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Loket" sheetId="1" r:id="rId5"/>
    <sheet state="visible" name="a 01" sheetId="2" r:id="rId6"/>
    <sheet state="visible" name="Warkah" sheetId="3" r:id="rId7"/>
    <sheet state="visible" name="369" sheetId="4" r:id="rId8"/>
    <sheet state="visible" name="Sampul" sheetId="5" r:id="rId9"/>
  </sheets>
  <definedNames>
    <definedName hidden="1" localSheetId="2" name="_xlnm._FilterDatabase">Warkah!$B$6:$K$2006</definedName>
  </definedNames>
  <calcPr/>
</workbook>
</file>

<file path=xl/sharedStrings.xml><?xml version="1.0" encoding="utf-8"?>
<sst xmlns="http://schemas.openxmlformats.org/spreadsheetml/2006/main" count="4024" uniqueCount="510">
  <si>
    <t xml:space="preserve">                                                                                                                               </t>
  </si>
  <si>
    <t>Kantor Pertanahan Kota Bandar Lampung</t>
  </si>
  <si>
    <t>Lembar Kerja Warkah</t>
  </si>
  <si>
    <t>Lembar Kerja Pengembalian Warkah Sementara</t>
  </si>
  <si>
    <t>P0</t>
  </si>
  <si>
    <t>No</t>
  </si>
  <si>
    <t>Nomor Hak</t>
  </si>
  <si>
    <t>https://docs.google.com/spreadsheets/d/1caGeSM59WVEFjQpGbUW7We7Zr97jHfvg94KgbsFlB2I/edit?usp=sharing</t>
  </si>
  <si>
    <t>Nomor Tiket</t>
  </si>
  <si>
    <t>Kode Tiket</t>
  </si>
  <si>
    <t>Jenis Permohonan</t>
  </si>
  <si>
    <t>Nomor Sertipikat</t>
  </si>
  <si>
    <t>Nama Petugas Warkah</t>
  </si>
  <si>
    <t>Tanggal Input Loket</t>
  </si>
  <si>
    <t>Status Dokumen BT-SU</t>
  </si>
  <si>
    <t>Tanggal Diterima Dokumen</t>
  </si>
  <si>
    <t>Kode Odner</t>
  </si>
  <si>
    <t>Status Sertipikat</t>
  </si>
  <si>
    <t>Tanggal Kembali
ke Back Office</t>
  </si>
  <si>
    <t>https://docs.google.com/spreadsheets/d/1BiVpi0WpqThm5wAzoeAIKEkTsofTP81O3MZ4f8L-uXo/edit?gid=1040887655#gid=1040887655</t>
  </si>
  <si>
    <t>Tanggal diserahkan kepada Validator/Back Office</t>
  </si>
  <si>
    <t>Tanggal Kembali</t>
  </si>
  <si>
    <t>Tanggal
Kembali</t>
  </si>
  <si>
    <t>Penerima Dokumen di BackOffice</t>
  </si>
  <si>
    <t>Cetak Sampul</t>
  </si>
  <si>
    <t>Nomor TIket</t>
  </si>
  <si>
    <t>Nama Petugas BT</t>
  </si>
  <si>
    <t>M. 2589/ Kota Baru</t>
  </si>
  <si>
    <t>Status BT</t>
  </si>
  <si>
    <t>Tanggal Selesai Validasi BT</t>
  </si>
  <si>
    <t>Nama Petugas Validator SU</t>
  </si>
  <si>
    <t>Status Validasi SU</t>
  </si>
  <si>
    <t>Tanggal Selesai Validasi SU</t>
  </si>
  <si>
    <t>Kesimupulan Validator</t>
  </si>
  <si>
    <t>Tangal BT SU Selesai</t>
  </si>
  <si>
    <t>Daftar Nomor Hak</t>
  </si>
  <si>
    <t>Diberikan kepada Petugas Alih Media</t>
  </si>
  <si>
    <t>DIberikan Kepada Warkah Sementara</t>
  </si>
  <si>
    <t>Time Stamp</t>
  </si>
  <si>
    <t>Count</t>
  </si>
  <si>
    <t>Nama Pemohon</t>
  </si>
  <si>
    <t>Pembetulan Berkas</t>
  </si>
  <si>
    <t>Sahelia</t>
  </si>
  <si>
    <t>DIKEMBALIKAN SEMENTARA</t>
  </si>
  <si>
    <t>bu ila verif</t>
  </si>
  <si>
    <t>Cetak</t>
  </si>
  <si>
    <t>M. 2283/ GEDONG AIR</t>
  </si>
  <si>
    <t>PROSES</t>
  </si>
  <si>
    <t>David</t>
  </si>
  <si>
    <t>agis</t>
  </si>
  <si>
    <t>Berry</t>
  </si>
  <si>
    <t>M.250/LANGKAPURA BARU</t>
  </si>
  <si>
    <t>DISERAHKAN</t>
  </si>
  <si>
    <t>M. 1931/ Campang Jaya</t>
  </si>
  <si>
    <t>ola</t>
  </si>
  <si>
    <t>M. 133/ SUKARAME BARU- SEKARANG; B. 144/ SUKARAME BARU-DAHULU; B. 4605/SUKARAME I-DAHULU</t>
  </si>
  <si>
    <t>M. 1952/ Langkapura</t>
  </si>
  <si>
    <t>M.9974/TANJUNG BARU</t>
  </si>
  <si>
    <t>M.2617/WAY KANDIS</t>
  </si>
  <si>
    <t>HM 2144/WAY KANDIS</t>
  </si>
  <si>
    <t>TIDAK DITEMUKAN</t>
  </si>
  <si>
    <t>B.895/BERINGIN JAYA</t>
  </si>
  <si>
    <t>M.11980/JAGABAYA II</t>
  </si>
  <si>
    <t>M.988/NEGERI OLOK GADING-SEKARANG;B.1050/NEGERI OLOK GADING-DAHULU</t>
  </si>
  <si>
    <t>M.1088/NEGERI OLOK GADING-SEKARANG;B.1201/NEGERI OLOK GADING-DAHULU</t>
  </si>
  <si>
    <t>B.561/NUSANTARA PERMAI;B.329/CAMPANG RAYA-DAHULU</t>
  </si>
  <si>
    <t>rina</t>
  </si>
  <si>
    <t>HM 17565/SUKARAME I</t>
  </si>
  <si>
    <t>M.1540/GUNUNG TERANG;B.17/GU TERANG-DAHULU</t>
  </si>
  <si>
    <t>ayi</t>
  </si>
  <si>
    <t>HM 1812/TANJUNG SENANG</t>
  </si>
  <si>
    <t>M. 6977/ TANJUNG SENANG</t>
  </si>
  <si>
    <t>M.16678/SUKABUMI</t>
  </si>
  <si>
    <t>B. 613/ SUMUR PUTRI</t>
  </si>
  <si>
    <t>M.2094/CAMPANG JAYA</t>
  </si>
  <si>
    <t>M.676/SAWAH BREBES</t>
  </si>
  <si>
    <t>M. 3157/ LABUHAN DALAM</t>
  </si>
  <si>
    <t>M.9137/GEDONG MENENG</t>
  </si>
  <si>
    <t>M.3326/LANGKAPURA</t>
  </si>
  <si>
    <t>M. 10315/ Rajabasa</t>
  </si>
  <si>
    <t>M. 2400/ NOG;  M. 811/ Bakung; M. 131/NOG:</t>
  </si>
  <si>
    <t>M.2064/GUNUNG TERANG</t>
  </si>
  <si>
    <t>M. 3901/ Tanjung Senang</t>
  </si>
  <si>
    <t>HM 4010/TANJUNG SENANG</t>
  </si>
  <si>
    <t>M. 2424/ KEDAUNG</t>
  </si>
  <si>
    <t>M. 2418/ KEDAUNG</t>
  </si>
  <si>
    <t>Alfiansyah</t>
  </si>
  <si>
    <t>DISERAHKAN BT</t>
  </si>
  <si>
    <t>HM 401/KALI BALAU KENCANA</t>
  </si>
  <si>
    <t>M. 1311/ Beringin Jaya; dahulu B. 2093/ Beringin Raya</t>
  </si>
  <si>
    <t>M. 41/ Kota Sepang</t>
  </si>
  <si>
    <t>B. 176/ LABUHAN RATU RAYA</t>
  </si>
  <si>
    <t>M.13978/TANJUNG BARU</t>
  </si>
  <si>
    <t>M. 2732/ KOTA BARU</t>
  </si>
  <si>
    <t>HM 1763/RAJABASA NUNYAI</t>
  </si>
  <si>
    <t>M. 11294/ Labuhan Ratu</t>
  </si>
  <si>
    <t>M. 13602/ SEGALA MIDER</t>
  </si>
  <si>
    <t>M. 509/ LABUHAN RATU RAYA</t>
  </si>
  <si>
    <t>B.238/BERINGIN RAYA;B.238/BERINGIN JAYA-DAHULU</t>
  </si>
  <si>
    <t>Bayu</t>
  </si>
  <si>
    <t>M.3814/SUKADANAHAM</t>
  </si>
  <si>
    <t>M.550/KORPRI RAYA-SEKARANG;M.10135/SUKARAME U-DAHULU</t>
  </si>
  <si>
    <t>HM 3925/BERINGIN RAYA (SEBELUM NYA) HM 1609/SS (SEKARANG)</t>
  </si>
  <si>
    <t>M. 1535/ KEDAUNG</t>
  </si>
  <si>
    <t>B. 598/ SUMBER AGUNG</t>
  </si>
  <si>
    <t>M. 5621/ Langkapura</t>
  </si>
  <si>
    <t>M. 579/ KUPANG KOTA</t>
  </si>
  <si>
    <t>M. 1186/ Enggal</t>
  </si>
  <si>
    <t>M. 2465/ Pinang jaya</t>
  </si>
  <si>
    <t>M. 2523/ Pinang Jaya</t>
  </si>
  <si>
    <t>M. 128/ Kemiling Raya</t>
  </si>
  <si>
    <t>M. 111/ KEMILING RAYA</t>
  </si>
  <si>
    <t xml:space="preserve">B.522/BERINGIN JAYA </t>
  </si>
  <si>
    <t>M. 16119/ Sukabumi</t>
  </si>
  <si>
    <t>M. 1402/ Tanjung Raya</t>
  </si>
  <si>
    <t>M. 2800/ Sumber Rejo</t>
  </si>
  <si>
    <t>B. 592/ SUMBER AGUNG</t>
  </si>
  <si>
    <t>M.48/KALI BALAU KENCANA-SEKARANG;B.46/KALI BALAU KENCANA -DAHULU</t>
  </si>
  <si>
    <t>M. 590/ Pematang Wangi; 382/ Tanjung Senang dahulu</t>
  </si>
  <si>
    <t>M.1095/NOG</t>
  </si>
  <si>
    <t>HGB 416/WAY KANDIS</t>
  </si>
  <si>
    <t>M.13036/SUKABUMI</t>
  </si>
  <si>
    <t>M. 288/ Kaliawi</t>
  </si>
  <si>
    <t>M. 2924/ Sukarame II</t>
  </si>
  <si>
    <t>M. 2933/ Sukarame II</t>
  </si>
  <si>
    <t>B. 649/ Sumber Agung</t>
  </si>
  <si>
    <t>M. 6466/ Way kandis</t>
  </si>
  <si>
    <t>M. 3265/ Gedong Air</t>
  </si>
  <si>
    <t>M.9381/SURABAYA</t>
  </si>
  <si>
    <t>M. 4522/ Gunung Terang</t>
  </si>
  <si>
    <t>M. 1812/ Rajabasa Nunyai-</t>
  </si>
  <si>
    <t>M. 14030/ Tanjung Baru; M. 13709/ Kedamaian-dahulu</t>
  </si>
  <si>
    <t>M.779/NEGERI OLOK GADING-SEKARANG;B.579/NEGERI OLOK GADING-DAHULU</t>
  </si>
  <si>
    <t>M. 651/ Durian Payung</t>
  </si>
  <si>
    <t>M. 511/ PEMATANG WANGI</t>
  </si>
  <si>
    <t>M. 377/ ENGGAL</t>
  </si>
  <si>
    <t>HM 16138/SUKARAME I</t>
  </si>
  <si>
    <t>HM 296/RAJABASA RAYA</t>
  </si>
  <si>
    <t>HM 1375/TANJUNG SENENG</t>
  </si>
  <si>
    <t>M. 11796/ Sukabumi; B. 3316/ Sukabumi-dahulu</t>
  </si>
  <si>
    <t>B.834/PWK;B.763/WAY KANDIS-DAHULU</t>
  </si>
  <si>
    <t>rina u/ lisca</t>
  </si>
  <si>
    <t>M. 1401/ K B K SHT 3354/2013 dan 590/2017</t>
  </si>
  <si>
    <t>B. 653; 654/ Pesawahan dan SHT 1213/2008 dan SHT 3013/2006</t>
  </si>
  <si>
    <t>M.13833/RAJABASA</t>
  </si>
  <si>
    <t>M. 37/ KUPANG TEBA</t>
  </si>
  <si>
    <t>M.9733/SURABAYA-SEKARANG;B.249/SURABAYA-DAHULU</t>
  </si>
  <si>
    <t>M.2892/SUKARAME BARU-SEKARANG;B.3671/SUKARAME I-DAHULU</t>
  </si>
  <si>
    <t>M. 3996/ Rajabasa Jaya</t>
  </si>
  <si>
    <t>M. 227/ Sukarame Baru- sekarang; M. 13036/ Sukarame I- dahulu</t>
  </si>
  <si>
    <t>M.598/GUNUNG TERANG</t>
  </si>
  <si>
    <t>M. 1371/ Pengajaran</t>
  </si>
  <si>
    <t>M.5070/RAJABASA JAYA</t>
  </si>
  <si>
    <t>M.1552/PESAWAHAN</t>
  </si>
  <si>
    <t>M.1297/GUNUNG TERANG</t>
  </si>
  <si>
    <t>B. 538/ SUKARAME BARU</t>
  </si>
  <si>
    <t>M.2473/RAJABASA JAYA</t>
  </si>
  <si>
    <t>M. 370/ Korpri Raya-sekarang; M. 9602/ Sukarame I-dahulu</t>
  </si>
  <si>
    <t>kembali hny su</t>
  </si>
  <si>
    <t>B.569/NUSANTARA PERMAI-SEKARANG;B.336/CAMPANG RAYA-DAHULU</t>
  </si>
  <si>
    <t>HGB 3764/BERINGIN RAYA</t>
  </si>
  <si>
    <t>M. 467/ Sumur Putri</t>
  </si>
  <si>
    <t>M. 2661/ Sukarame Baru</t>
  </si>
  <si>
    <t>M. 240/ Kemiling Permai</t>
  </si>
  <si>
    <t>M.2704/SUKARAME BARU-SEKARANG;B.986/SUKARAME -DAHULU</t>
  </si>
  <si>
    <t>M. 2644/ Sumber Rejo</t>
  </si>
  <si>
    <t>HM 479/HARAPAN JAYA (DAHULU)-HM 49/KORPRI JAYA (SEKARANG)</t>
  </si>
  <si>
    <t>HM 101/KEMILING RAYA</t>
  </si>
  <si>
    <t>HM 2414/KUPANG TEBA</t>
  </si>
  <si>
    <t>HM 180/PINANG JAYA</t>
  </si>
  <si>
    <t>hanya SU</t>
  </si>
  <si>
    <t>B. 696/ Peswahan dan SHT 3014/2006</t>
  </si>
  <si>
    <t>HM 2993/CAMPANG RAYA-SEKARANG;HGB 2402/CAMPANG RAYA-DAHULU</t>
  </si>
  <si>
    <t>HM 15995/SUKARAME I</t>
  </si>
  <si>
    <t>B.530/CAMPANG JAYA</t>
  </si>
  <si>
    <t>M. 2888/ Sukarame Baru- sekarang; M. 17475/ Sukarame I</t>
  </si>
  <si>
    <t>M. 11632/ Sukarame</t>
  </si>
  <si>
    <t>B. 606/ Sumur Putri</t>
  </si>
  <si>
    <t>B. 209/ Campang Jaya</t>
  </si>
  <si>
    <t>M. 4625/ Sukadana Ham</t>
  </si>
  <si>
    <t>M. 4393/ Gunung Terang</t>
  </si>
  <si>
    <t>M. 2263/ Kedaung</t>
  </si>
  <si>
    <t>M. 2226/ kedaung</t>
  </si>
  <si>
    <t>M. 1504/ Batu Putuk</t>
  </si>
  <si>
    <t>M.1260/SUKAJAWA</t>
  </si>
  <si>
    <t>M.1326/KOTA BARU</t>
  </si>
  <si>
    <t>M. 1046/ Kupang Teba</t>
  </si>
  <si>
    <t>M. 543/ Sumur Putri</t>
  </si>
  <si>
    <t>M. 2152/ Sepang Jaya</t>
  </si>
  <si>
    <t>M. 525/ Sumber Agung</t>
  </si>
  <si>
    <t>M. 16685/ SUKABUMI</t>
  </si>
  <si>
    <t>B.97/BILABONG JAYA;B.28/SUSUNAN BARU-DAHULU</t>
  </si>
  <si>
    <t>M. 1992/ L R R</t>
  </si>
  <si>
    <t>M. 1991/ L R R</t>
  </si>
  <si>
    <t>M. 10719/ Segala Mider</t>
  </si>
  <si>
    <t>B. 1206/ Kemiling Permai</t>
  </si>
  <si>
    <t>M.2225/SUKARAME BARU</t>
  </si>
  <si>
    <t>M.2226/SUKARAME BARU</t>
  </si>
  <si>
    <t>M. 8119/ Sukabumi</t>
  </si>
  <si>
    <t>B. 2082/ Sukabumi</t>
  </si>
  <si>
    <t>M.4449/SUKADANAHAM</t>
  </si>
  <si>
    <t>M.1878/KEDAUNG</t>
  </si>
  <si>
    <t>M. 2278/ Rajabasa Jaya</t>
  </si>
  <si>
    <t>M. 11085/ Kedamaian; SHT 4351/2015</t>
  </si>
  <si>
    <t>HM 1642/KOTA KARANG</t>
  </si>
  <si>
    <t>M. 1666/ Way Halim Permai; SHT 1552/2016</t>
  </si>
  <si>
    <t>B.1044/KEMILING PERMAI</t>
  </si>
  <si>
    <t>DISERAHKAN SU</t>
  </si>
  <si>
    <t>M.26/LANGKAPURA BARU-SEKARANG;B.113/LANGKAPURA-DAHULU</t>
  </si>
  <si>
    <t>M. 2446/ Way Kandis</t>
  </si>
  <si>
    <t>M. 1556/ Bumi Waras</t>
  </si>
  <si>
    <t>M. 351/ Sumber Rejo</t>
  </si>
  <si>
    <t>M.1116/LABUHAN RATU RAYA</t>
  </si>
  <si>
    <t>M. 2222/ Way Kandis; SHT 1348/ 2018</t>
  </si>
  <si>
    <t>M. 2232/ KUPANG TEBA</t>
  </si>
  <si>
    <t>M. 3219/ Way Kandis</t>
  </si>
  <si>
    <t>M. 9800/ Kedamaian; SHT 2878/2017 dan SHT 1059/20211</t>
  </si>
  <si>
    <t>HMASRS/ 178/ I/MASRS/Tanjungkarang</t>
  </si>
  <si>
    <t>B.627/KEMILING PERMAI</t>
  </si>
  <si>
    <t>B.657/KEMILING PERMAI</t>
  </si>
  <si>
    <t>M. 6618/TANJUNG SENENG</t>
  </si>
  <si>
    <t>M. 2583/ Rajabasa Jaya</t>
  </si>
  <si>
    <t>M. 16581/ Sukabumi</t>
  </si>
  <si>
    <t>M. 561/ Tanjung Senang</t>
  </si>
  <si>
    <t>M. 308/ Kupang Kota</t>
  </si>
  <si>
    <t xml:space="preserve">M.6404/WAY KANDIS </t>
  </si>
  <si>
    <t>B.311/PEMATANG WANGI;B.546/TJ SENANG-DAHULU</t>
  </si>
  <si>
    <t>M. 1120/ Sukajawa</t>
  </si>
  <si>
    <t>M.2065/GUNUNG TERANG</t>
  </si>
  <si>
    <t>M.3337/SUKADANA HAM</t>
  </si>
  <si>
    <t>HGB.4629/BERINGIN RAYA</t>
  </si>
  <si>
    <t>M.3338/SUKADANA HAM</t>
  </si>
  <si>
    <t>M. 182/ Way Kandis</t>
  </si>
  <si>
    <t>B.605/SUMUR PUTRI</t>
  </si>
  <si>
    <t>M. 3227/Gunung Terang</t>
  </si>
  <si>
    <t>B. 903/ Kemiling Permai</t>
  </si>
  <si>
    <t>M.466/WAY TATAAN</t>
  </si>
  <si>
    <t>M. 11524/ Kedamaian</t>
  </si>
  <si>
    <t>M.2877/SUKARAME II</t>
  </si>
  <si>
    <t>M.1591/RAJABASA NUNYAI-SEKARANG;B.347/RAJABASA NUNYAI-DAHULU</t>
  </si>
  <si>
    <t>M.231/CAMPANG JAYA-SEKARANG;M.231/NUSANTARA PERMAI-DAHULU</t>
  </si>
  <si>
    <t>B. 164/ Rawa Laut</t>
  </si>
  <si>
    <t>M. 3797/ Keteguhan</t>
  </si>
  <si>
    <t>M. 9417/ Sidodadi</t>
  </si>
  <si>
    <t>M.1593/BUMI KEDAMAIAN-SEKARANG;M.10186/KEDAMAIAN-DAHULU</t>
  </si>
  <si>
    <t>M. 2051/ L R R; M. 11392/ L R</t>
  </si>
  <si>
    <t>M. 1543/ Kupang Kota</t>
  </si>
  <si>
    <t>M/ 1544/ Kupang Kota</t>
  </si>
  <si>
    <t>M. 2394/ Pinang Jaya</t>
  </si>
  <si>
    <t>M. 2528/ Pinang Jaya</t>
  </si>
  <si>
    <t>M. 2543/ Pinang Jaya</t>
  </si>
  <si>
    <t>M. 811/ Way Dadi</t>
  </si>
  <si>
    <t>M. 18118/ Sukarame</t>
  </si>
  <si>
    <t>M. 13693/ Korpri Raya; M. 13693/ Sukarame-dahulu</t>
  </si>
  <si>
    <t>M. 1824/ Beringin Jaya ; M. 944/ Beringin Raya-dahulu; B. 718/ Beringin Raya-dahulu</t>
  </si>
  <si>
    <t>M.739/NOG</t>
  </si>
  <si>
    <t>M. 1317/ Kupang Teba</t>
  </si>
  <si>
    <t>M. 45/ Kupang Teba</t>
  </si>
  <si>
    <t>HM 12867/TANJUNG BARU</t>
  </si>
  <si>
    <t>M. 13663/ Segala Mider</t>
  </si>
  <si>
    <t>M. 3289/ kota baru</t>
  </si>
  <si>
    <t>M.990/DURIAN PAYUNG</t>
  </si>
  <si>
    <t xml:space="preserve">B.355 DAN B.356/LABUHAN RATU </t>
  </si>
  <si>
    <t>HGB 254/CAMPANG RAYA</t>
  </si>
  <si>
    <t>M. 13993/ SukarameI, M. 13992/ Sukarame I-sekarang; B. 443/ Way Halim Permai, B. 984/ Way Halim Permai-dahulu</t>
  </si>
  <si>
    <t>M.2112 SUMBEREJO/KEMILING</t>
  </si>
  <si>
    <t>HGB 208/PWK</t>
  </si>
  <si>
    <t>M.15567/S I</t>
  </si>
  <si>
    <t>B. 578/ Negeri Olok Gading</t>
  </si>
  <si>
    <t>B.161/LRR;B.161/LR-DAHULU</t>
  </si>
  <si>
    <t>B. 835/ Perumnas Way Kandis; B. 309/ Way Kandis</t>
  </si>
  <si>
    <t>B.244/LRR;B.28/LR-DAHULU</t>
  </si>
  <si>
    <t>HGB 3734/BERINGIN RAYA</t>
  </si>
  <si>
    <t>M.14233/SEGALA MIDER</t>
  </si>
  <si>
    <t>B. 503/ Gunung Sulah</t>
  </si>
  <si>
    <t>M. 17942/ Sukarame</t>
  </si>
  <si>
    <t>M.1397/RAJABASA NUNYAI-SEKARANG;B.346/RAJABASA NUNYAI-DAHULU</t>
  </si>
  <si>
    <t>B.721/SUMUR PUTRI</t>
  </si>
  <si>
    <t>M. 1647/ Rajabasa Pemuka</t>
  </si>
  <si>
    <t xml:space="preserve">B.138/KEMILING PERMAI </t>
  </si>
  <si>
    <t>M. 2314/ NOG; B. 558/ NOG</t>
  </si>
  <si>
    <t>M. 2009/ Tanjung Senang</t>
  </si>
  <si>
    <t>M. 1938/ Kupang Kota</t>
  </si>
  <si>
    <t>M.10426/KAMPUNG BARU</t>
  </si>
  <si>
    <t>M.11542/LABUHAN RATU</t>
  </si>
  <si>
    <t>M. 18827/ Sukarame</t>
  </si>
  <si>
    <t>M.5568/LANGKAPURA</t>
  </si>
  <si>
    <t>M. 2398/ Kedaung</t>
  </si>
  <si>
    <t>M. 2390/ Kedaung</t>
  </si>
  <si>
    <t>M.422/KUPANG RAYA</t>
  </si>
  <si>
    <t>M. 2375/ Kedaung</t>
  </si>
  <si>
    <t>M. 2590/ Beringin Raya - sekarang; B. 2536/ Beringin raya-dahulu</t>
  </si>
  <si>
    <t>M. 923/ Gunung Sulah</t>
  </si>
  <si>
    <t>M. 1304/ Sumur Putri</t>
  </si>
  <si>
    <t>M. 3413/ Kota Baru</t>
  </si>
  <si>
    <t>M.14139/KEDAMAIAN</t>
  </si>
  <si>
    <t>M. 534/ Sumur Batu</t>
  </si>
  <si>
    <t>M. 1126/ Gotong Royong</t>
  </si>
  <si>
    <t xml:space="preserve">M. 3082/ Labuhan Dalam </t>
  </si>
  <si>
    <t>M.600/RAJABASA NUNYAI</t>
  </si>
  <si>
    <t>SARUSUN 180/SUMUR PUTRI</t>
  </si>
  <si>
    <t>M.715/PINANG JAYA</t>
  </si>
  <si>
    <t>HM 1472/DURIAN PAYUNG</t>
  </si>
  <si>
    <t>M. 9298/ Rajabasa</t>
  </si>
  <si>
    <t>M. 1279/ SUKAJAWA</t>
  </si>
  <si>
    <t>M.9801/SUKABUMI</t>
  </si>
  <si>
    <t>HM 29/RAJABASA NUNYAI</t>
  </si>
  <si>
    <t>HM 2643/GUNUNG TERANG</t>
  </si>
  <si>
    <t>HM 2070/PWH</t>
  </si>
  <si>
    <t>HM 11867/LABUHAN RATU</t>
  </si>
  <si>
    <t>M.11011/KEDAMAIAN- HT 5445/2014</t>
  </si>
  <si>
    <t>HM 617/SUKARAJA</t>
  </si>
  <si>
    <t>M.11025/SUKABUMI</t>
  </si>
  <si>
    <t>HM 1869/TANJUNG SENANG</t>
  </si>
  <si>
    <t>M. 1927/ Labuhan Dalam</t>
  </si>
  <si>
    <t>HM 208/KUPANG RAYA</t>
  </si>
  <si>
    <t>M.2281/SU HAM</t>
  </si>
  <si>
    <t>HM 2509/WAY KANDIS</t>
  </si>
  <si>
    <t>HM 2000/WAY KANDIS</t>
  </si>
  <si>
    <t>M.217/TJ RAYA</t>
  </si>
  <si>
    <t>M.1586/SUMUR BATU;SHT. 5389/2018</t>
  </si>
  <si>
    <t>B.1037/CAMPANG JAYA;B.1083/CAMPANG RAYA-DAHULU</t>
  </si>
  <si>
    <t>B.571/NUSANTARA PERMAI-SEKARANG;B.616/CAMPANG RAYA-DAHULU</t>
  </si>
  <si>
    <t>HGB 403/SUKARAME BARU</t>
  </si>
  <si>
    <t>B. 1546/ Sukabumi</t>
  </si>
  <si>
    <t>M.702/KORPRI JAYA-SEKARANG;M12004/SUKARAME I-DAHULU</t>
  </si>
  <si>
    <t>M. 666/ Beringin Jaya</t>
  </si>
  <si>
    <t>M. 963; 932/ Pengajaran; SHT2637/2017 dan SHT 2144/2017</t>
  </si>
  <si>
    <t>M. 1333/ SEPANG JAYA</t>
  </si>
  <si>
    <t>M.2818/GU.T;B.92/GU.T-DAHULU</t>
  </si>
  <si>
    <t>B. 763/ Sumur Putri</t>
  </si>
  <si>
    <t>M. 1603/ Bumi Kedamaian</t>
  </si>
  <si>
    <t>M. 1069/ Rajabasa Pemuka</t>
  </si>
  <si>
    <t>M. 16697/ Sukabumi</t>
  </si>
  <si>
    <t>M. 12564/ Rajabasa Nunyai; 1137/ Rajabasa Dahulu</t>
  </si>
  <si>
    <t>M.1459/KEMILING PERMAI</t>
  </si>
  <si>
    <t>M.9511/SIDODADI</t>
  </si>
  <si>
    <t>M.1014/BUMI KEDAMAIAN-SEKARANG;M.12108/KEDAMAIAN-DAHULU</t>
  </si>
  <si>
    <t>M.1915/SUKARAME BARU</t>
  </si>
  <si>
    <t>M.183/LABUHAN RATU RAYA</t>
  </si>
  <si>
    <t>M.1183/PERUMNAS WAY KANDIS</t>
  </si>
  <si>
    <t>M. 3912/ Sukadana Ham</t>
  </si>
  <si>
    <t>B.698/NEGERI OLOK GADING</t>
  </si>
  <si>
    <t>M. 6570/ TANJUNG SENANG</t>
  </si>
  <si>
    <t>M. 948/ Campang Raya; B. 200/ CR-dahulu</t>
  </si>
  <si>
    <t>M.5014/RAJABASA JAYA-SEKARANG;M.9263/RAJABASA-DAHULU</t>
  </si>
  <si>
    <t>M. 16736/ Sukabumi</t>
  </si>
  <si>
    <t>M. 1601/ Bumi Kedamaian</t>
  </si>
  <si>
    <t>M. 16698/ Sukabumi</t>
  </si>
  <si>
    <t>M. 2679/ Kota Baru</t>
  </si>
  <si>
    <t>M. 19255/ Sukarame</t>
  </si>
  <si>
    <t>M. 13899/ Rajabasa</t>
  </si>
  <si>
    <t>HM 1915/GUNUNG TERANG</t>
  </si>
  <si>
    <t>M. 859/ Tanjung Gading</t>
  </si>
  <si>
    <t>M. 1233/ Talang</t>
  </si>
  <si>
    <t>HM 1095/GEDONG AIR</t>
  </si>
  <si>
    <t>M.15228/S I</t>
  </si>
  <si>
    <t>M. 639/ PEMATANG WANGI</t>
  </si>
  <si>
    <t>M. 860/ Tanjung Gading</t>
  </si>
  <si>
    <t>M.11378/SEGALA MIDER</t>
  </si>
  <si>
    <t>M. 551/ Way Halim Permai</t>
  </si>
  <si>
    <t>B. 578/ Sumber Agung</t>
  </si>
  <si>
    <t>B. 581/ Sumber Agung</t>
  </si>
  <si>
    <t>M.1462/SS.B</t>
  </si>
  <si>
    <t>M. 16570/ Sukabumi</t>
  </si>
  <si>
    <t>B. 946/ Beringin Jaya</t>
  </si>
  <si>
    <t>Pras</t>
  </si>
  <si>
    <t>M. 520/ Gunung Agung</t>
  </si>
  <si>
    <t>M.1563/KEMILING PERMAI</t>
  </si>
  <si>
    <t>M.16627/SUKABUMI</t>
  </si>
  <si>
    <t>M.505/SUKABUMI INDAH</t>
  </si>
  <si>
    <t>B. 128/ Nusantara Permai</t>
  </si>
  <si>
    <t>B. 127/ Nusantara Permai</t>
  </si>
  <si>
    <t>M.2446/RAJABASA JAYA</t>
  </si>
  <si>
    <t>B. 256/ Nusantara Permai</t>
  </si>
  <si>
    <t>B. 103/ Nusantara Permai</t>
  </si>
  <si>
    <t>M.5980/WAY KANDIS</t>
  </si>
  <si>
    <t>M.5979/WAY KANDIS</t>
  </si>
  <si>
    <t>M. 2996/ Sukadana Ham</t>
  </si>
  <si>
    <t>B.1127/KEMILING PERMAI</t>
  </si>
  <si>
    <t>M. 3998/ Rajabasa Jaya</t>
  </si>
  <si>
    <t>B. 1717/ Jagabaya II; SHT 5850/2013 dan SHT 763/2015</t>
  </si>
  <si>
    <t>M.1814/RAJABASA NUNYAI</t>
  </si>
  <si>
    <t>M.3314/KOTA KARANG</t>
  </si>
  <si>
    <t>M.221/BILABONG JAYA</t>
  </si>
  <si>
    <t>M.2632/SUMBER AGUNG</t>
  </si>
  <si>
    <t>M.2066/RAJABASA RAYA</t>
  </si>
  <si>
    <t>M. 12720/ Kedaton</t>
  </si>
  <si>
    <t>M.2660/SUMBER AGUNG-SEKARANG;M.90/BERINGIN RAYA-DAHULU</t>
  </si>
  <si>
    <t>M. 2889/ Sukarame Baru- sekarang; M. 16509/ Sukarame-dahulu</t>
  </si>
  <si>
    <t>M.671/ENGGAL</t>
  </si>
  <si>
    <t>M. 2956/ Sukarame Baru- sekarang; M. 16805/ Sukarame I</t>
  </si>
  <si>
    <t>OLA</t>
  </si>
  <si>
    <t>M. 12471/ Kedamaian</t>
  </si>
  <si>
    <t>B.1202/SUKABUMI INDAH-SEKARANG; B.1339/SUKABUMI-DAHULU</t>
  </si>
  <si>
    <t>B.4891 / BERINGIN RAYA</t>
  </si>
  <si>
    <t>B.764/WAY KANDIS</t>
  </si>
  <si>
    <t>M.286/LABUHAN RATU RAYA</t>
  </si>
  <si>
    <t>M. 776/ NOG; B. 809/ N O G-dahulu</t>
  </si>
  <si>
    <t>M.4410/BERINGIN RAYA</t>
  </si>
  <si>
    <t xml:space="preserve">B. 1406/ Jagabaya II </t>
  </si>
  <si>
    <t>M. 9268/ Sidodadi</t>
  </si>
  <si>
    <t>M. 10227/ Segala Mider</t>
  </si>
  <si>
    <t>B.661/SUKABUMI INDAH</t>
  </si>
  <si>
    <t>M.11580/SEGALA MIDER</t>
  </si>
  <si>
    <t>M.13763/RAJABASA</t>
  </si>
  <si>
    <t>HM 769/WHP</t>
  </si>
  <si>
    <t>M.24/NUSANTARA PERMAI-SEKARANG; M.32/CAMPANG RAYA -DAHULU</t>
  </si>
  <si>
    <t>M.3994/WAY KANDIS</t>
  </si>
  <si>
    <t>M.1669/KALIAWI</t>
  </si>
  <si>
    <t>M. 1979/ Way Halim Permai</t>
  </si>
  <si>
    <t>M.631/LANGKAPURA BARU</t>
  </si>
  <si>
    <t>M. 591/ Rajabasa Jaya</t>
  </si>
  <si>
    <t>M. 2268/ Pinang Jaya</t>
  </si>
  <si>
    <t>M.2303/CAMPANG JAYA-SEKARANG;M.1537/CAMPANG RAYA-DAHULU</t>
  </si>
  <si>
    <t xml:space="preserve">M.573/PERUMNAS WAY KANDIS-SEKARANG;B.419/WAY KANDIS </t>
  </si>
  <si>
    <t>M. 1055/ PemaTang Wangi</t>
  </si>
  <si>
    <t>M. 876/ Korpri Jaya</t>
  </si>
  <si>
    <t>M.2429/KEDAUNG</t>
  </si>
  <si>
    <t>M.2425/KEDAUNG</t>
  </si>
  <si>
    <t>M. 1825/ Panjang Utara</t>
  </si>
  <si>
    <t xml:space="preserve">M.1311 /GUNUNG SULAH </t>
  </si>
  <si>
    <t>M.417/NUSANTARA PERMAI-SEKARANG;B.381/CAMPANG RAYA-DAHULU</t>
  </si>
  <si>
    <t>M. 937/ Gunung Terang</t>
  </si>
  <si>
    <t>M. 11995/ Segala Mider</t>
  </si>
  <si>
    <t>M. 146/ Kampung Baru Raya</t>
  </si>
  <si>
    <t>M. 168/ Bumi Raya</t>
  </si>
  <si>
    <t>M.548/RAJABASA PEMUKA</t>
  </si>
  <si>
    <t>M.1524/RAJABASA JAYA</t>
  </si>
  <si>
    <t>M.6050/WAY KANDIS</t>
  </si>
  <si>
    <t>M. 2693/ Sukadana Ham</t>
  </si>
  <si>
    <t>M.4157/LANGKAPURA</t>
  </si>
  <si>
    <t>M. 884/ SUMBER AGUNG</t>
  </si>
  <si>
    <t>M. 2322/ Kedaung</t>
  </si>
  <si>
    <t>M.9336/GEDONG MENENG</t>
  </si>
  <si>
    <t>M. 12416/ Sukabumi; B. 4544/ Sukabumi</t>
  </si>
  <si>
    <t>M.1773/SUKAJAWA</t>
  </si>
  <si>
    <t>M. 2253/ Kedaung</t>
  </si>
  <si>
    <t>M. 2095/ Campang Jaya</t>
  </si>
  <si>
    <t>M. 3488/ Kota Baru</t>
  </si>
  <si>
    <t>M.1031/NEGERI OLOK GADING-SEKARANG;B.975/NEGERI OLOK GADING-DAHULU</t>
  </si>
  <si>
    <t>M. 2800/ Sukarame II</t>
  </si>
  <si>
    <t>M. 87/ L R R</t>
  </si>
  <si>
    <t>M. 4107/ Tanjung Seneng</t>
  </si>
  <si>
    <t>M.2428/ Kedaung</t>
  </si>
  <si>
    <t>M. 2426/ Kedaung</t>
  </si>
  <si>
    <t>M. 2430/ Kedaung</t>
  </si>
  <si>
    <t>M.2555/PINANG JAYA</t>
  </si>
  <si>
    <t>M.4696/SUKADANAHAM</t>
  </si>
  <si>
    <t>M.4706/SUKADANAHAM</t>
  </si>
  <si>
    <t>M.2475/PINANG JAYA</t>
  </si>
  <si>
    <t>HM 2435/PANJANG UTARA</t>
  </si>
  <si>
    <t>M. 10980/ Segala Mider</t>
  </si>
  <si>
    <t>B. 1118/ Keteguhan</t>
  </si>
  <si>
    <t>B.798/SUMUR PUTRI</t>
  </si>
  <si>
    <t>B. 621/ Kemiling Permai</t>
  </si>
  <si>
    <t>M. 1894/ Sukaraja</t>
  </si>
  <si>
    <t>B. 716/ Kemiling Permai</t>
  </si>
  <si>
    <t>M. 16717/ Sukarame I</t>
  </si>
  <si>
    <t>B.1777/JAGABAYA II-SEKARANG;B.354/JAGABAYA III-DAHULU</t>
  </si>
  <si>
    <t>M.3135/TANJUNG SENENG</t>
  </si>
  <si>
    <t>cari tanggal 5/11/24</t>
  </si>
  <si>
    <t>M. 228/ Jagabaya I</t>
  </si>
  <si>
    <t>M.9492/SEGALAMIDER</t>
  </si>
  <si>
    <t>B.3378/SUKABUMI</t>
  </si>
  <si>
    <t>M. 429/ Gedong Pakuon</t>
  </si>
  <si>
    <t>M.1565/KEMILING PERMAI</t>
  </si>
  <si>
    <t>M. 141/ Talang (gedung pakuon Talang)</t>
  </si>
  <si>
    <t>M. 15125/ Sukabumi</t>
  </si>
  <si>
    <t>M. 2122/ Way Kandis</t>
  </si>
  <si>
    <t>Rahma</t>
  </si>
  <si>
    <t>M. 5102/ Rajabasa Jaya</t>
  </si>
  <si>
    <t>M. 2684/ Pinang Jaya-sekarang; B. 12782/ Pinang Jaya</t>
  </si>
  <si>
    <t>m.1815/RAJABASA NUNYAI_SEKARANG;b.1210/RAJABASA-DAHULU</t>
  </si>
  <si>
    <t>HGB 1368/KEMILING PERMAI</t>
  </si>
  <si>
    <t>M. 2050/ L R R; M. 11134/ Labuhan Ratu-dahulu</t>
  </si>
  <si>
    <t>M. 445/ Kota Sepang</t>
  </si>
  <si>
    <t>M. 2181/ Kemiling Permai; SHT 1853/2019</t>
  </si>
  <si>
    <t>M. 2096/ Kangkung</t>
  </si>
  <si>
    <t>M.2019/LABUHAN DALAM</t>
  </si>
  <si>
    <t>M. 927/ Pelita; SHT 2384/2014 dan SHT 4033/2018</t>
  </si>
  <si>
    <t>M. 1704/ Way Kandis</t>
  </si>
  <si>
    <t>B. 254/ Nusantara Permai</t>
  </si>
  <si>
    <t>M.3348/KEMILING PERMAI-SEKARANG;M.1620-SUMBEREJO/KEMILING-DAHULU</t>
  </si>
  <si>
    <t>B. 1655/ KANGKUNG</t>
  </si>
  <si>
    <t>M. 2206/ Perumnas Way Halim</t>
  </si>
  <si>
    <t>M. 2147/ WAY HALIM PERMAI</t>
  </si>
  <si>
    <t>B. 105/ Nusantara Permai</t>
  </si>
  <si>
    <t>HGB 811/KETEGUHAN</t>
  </si>
  <si>
    <t>M.05/GUNUNG SARI</t>
  </si>
  <si>
    <t>M. 1538/ Keteguhan</t>
  </si>
  <si>
    <t>M.16239/SUKABUMI</t>
  </si>
  <si>
    <t>M. 4132/ Keteguhan</t>
  </si>
  <si>
    <t>M. 901/ Sumberrejo Sehatera</t>
  </si>
  <si>
    <t>B. 1017/ Keteguhan</t>
  </si>
  <si>
    <t>M.1929/KALI BALAU KENCANA</t>
  </si>
  <si>
    <t>B. 388/ Panjang Utara</t>
  </si>
  <si>
    <t>M. 1440/ Pesawahan</t>
  </si>
  <si>
    <t>M.3451/KOTABARU-SEKARANG;B.211/KOTA BARU-DAHULU</t>
  </si>
  <si>
    <t>M.1511/BUMI WARAS</t>
  </si>
  <si>
    <t xml:space="preserve">                             </t>
  </si>
  <si>
    <t xml:space="preserve"> </t>
  </si>
  <si>
    <t>K/5/151024/2</t>
  </si>
  <si>
    <t>TANGGAL TERIMA DOKUMEN</t>
  </si>
  <si>
    <t>NAMA PETUGAS WARKAH</t>
  </si>
  <si>
    <t>KODE ODNER</t>
  </si>
  <si>
    <t>TANGGAL DISERAHKAN KE BACKOFFICE</t>
  </si>
  <si>
    <t>NAMA PENERIMA BERKAS</t>
  </si>
  <si>
    <t>salah sayu BT SU sudah pulang An. Sumarditanto</t>
  </si>
  <si>
    <t>786 tidak ada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</si>
</sst>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"/>
    <numFmt numFmtId="165" formatCode="dd/MM/yyyy HH:mm:ss"/>
    <numFmt numFmtId="166" formatCode="dd/MM/yyyy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theme="1"/>
      <name val="Bookman Old Style"/>
    </font>
    <font>
      <u/>
      <color rgb="FF0000FF"/>
    </font>
    <font>
      <u/>
      <color rgb="FF0000FF"/>
      <name val="Roboto"/>
    </font>
    <font>
      <sz val="15.0"/>
      <color theme="1"/>
      <name val="Arial"/>
      <scheme val="minor"/>
    </font>
    <font/>
    <font>
      <sz val="19.0"/>
      <color theme="1"/>
      <name val="Arial"/>
      <scheme val="minor"/>
    </font>
    <font>
      <sz val="2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49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1" numFmtId="164" xfId="0" applyAlignment="1" applyFont="1" applyNumberFormat="1">
      <alignment shrinkToFit="0" vertical="center" wrapText="1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1" fillId="0" fontId="5" numFmtId="0" xfId="0" applyAlignment="1" applyBorder="1" applyFont="1">
      <alignment readingOrder="0"/>
    </xf>
    <xf borderId="2" fillId="0" fontId="5" numFmtId="0" xfId="0" applyAlignment="1" applyBorder="1" applyFont="1">
      <alignment horizontal="center" readingOrder="0"/>
    </xf>
    <xf borderId="3" fillId="0" fontId="6" numFmtId="0" xfId="0" applyBorder="1" applyFont="1"/>
    <xf borderId="4" fillId="0" fontId="6" numFmtId="0" xfId="0" applyBorder="1" applyFont="1"/>
    <xf borderId="0" fillId="0" fontId="5" numFmtId="0" xfId="0" applyFont="1"/>
    <xf borderId="1" fillId="0" fontId="5" numFmtId="0" xfId="0" applyBorder="1" applyFont="1"/>
    <xf borderId="2" fillId="0" fontId="5" numFmtId="166" xfId="0" applyAlignment="1" applyBorder="1" applyFont="1" applyNumberFormat="1">
      <alignment horizontal="center"/>
    </xf>
    <xf borderId="0" fillId="0" fontId="5" numFmtId="0" xfId="0" applyAlignment="1" applyFont="1">
      <alignment horizontal="center"/>
    </xf>
    <xf borderId="0" fillId="0" fontId="7" numFmtId="0" xfId="0" applyFont="1"/>
    <xf borderId="0" fillId="0" fontId="8" numFmtId="0" xfId="0" applyFont="1"/>
    <xf borderId="0" fillId="0" fontId="1" numFmtId="164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Form Responses Loke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 0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Warkah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69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3:H10000" displayName="Table_Respons_Loket" name="Table_Respons_Loket" id="1">
  <tableColumns count="7">
    <tableColumn name="Nomor Tiket" id="1"/>
    <tableColumn name="Daftar Nomor Hak" id="2"/>
    <tableColumn name="Time Stamp" id="3"/>
    <tableColumn name="Jenis Permohonan" id="4"/>
    <tableColumn name="Nama Pemohon" id="5"/>
    <tableColumn name="Count" id="6"/>
    <tableColumn name="Pembetulan Berkas" id="7"/>
  </tableColumns>
  <tableStyleInfo name="Form Responses Loket-style" showColumnStripes="0" showFirstColumn="1" showLastColumn="1" showRowStripes="1"/>
</table>
</file>

<file path=xl/tables/table2.xml><?xml version="1.0" encoding="utf-8"?>
<table xmlns="http://schemas.openxmlformats.org/spreadsheetml/2006/main" ref="B5:O6972" displayName="Tarik_Data_Validator" name="Tarik_Data_Validator" id="2">
  <tableColumns count="14">
    <tableColumn name="No" id="1"/>
    <tableColumn name="Nomor Sertipikat" id="2"/>
    <tableColumn name="Nomor TIket" id="3"/>
    <tableColumn name="Nama Petugas BT" id="4"/>
    <tableColumn name="Status BT" id="5"/>
    <tableColumn name="Tanggal Selesai Validasi BT" id="6"/>
    <tableColumn name="Nama Petugas Validator SU" id="7"/>
    <tableColumn name="Status Validasi SU" id="8"/>
    <tableColumn name="Tanggal Selesai Validasi SU" id="9"/>
    <tableColumn name="Kesimupulan Validator" id="10"/>
    <tableColumn name="Tangal BT SU Selesai" id="11"/>
    <tableColumn name="Diberikan kepada Petugas Alih Media" id="12"/>
    <tableColumn name="DIberikan Kepada Warkah Sementara" id="13"/>
    <tableColumn name="Count" id="14"/>
  </tableColumns>
  <tableStyleInfo name="a 01-style" showColumnStripes="0" showFirstColumn="1" showLastColumn="1" showRowStripes="1"/>
</table>
</file>

<file path=xl/tables/table3.xml><?xml version="1.0" encoding="utf-8"?>
<table xmlns="http://schemas.openxmlformats.org/spreadsheetml/2006/main" ref="B6:K2006" displayName="Table_Warkah" name="Table_Warkah" id="3">
  <autoFilter ref="$B$6:$K$2006"/>
  <tableColumns count="10">
    <tableColumn name="No" id="1"/>
    <tableColumn name="Kode Tiket" id="2"/>
    <tableColumn name="Nomor Sertipikat" id="3"/>
    <tableColumn name="Tanggal Input Loket" id="4"/>
    <tableColumn name="Jenis Permohonan" id="5"/>
    <tableColumn name="Nama Petugas Warkah" id="6"/>
    <tableColumn name="Status Sertipikat" id="7"/>
    <tableColumn name="Tanggal diserahkan kepada Validator/Back Office" id="8"/>
    <tableColumn name="Tanggal_x000a_Kembali" id="9"/>
    <tableColumn name="Tanggal Kembali" id="10"/>
  </tableColumns>
  <tableStyleInfo name="Warkah-style" showColumnStripes="0" showFirstColumn="1" showLastColumn="1" showRowStripes="1"/>
</table>
</file>

<file path=xl/tables/table4.xml><?xml version="1.0" encoding="utf-8"?>
<table xmlns="http://schemas.openxmlformats.org/spreadsheetml/2006/main" ref="B7:M1000" displayName="T_Warkah_Sementara" name="T_Warkah_Sementara" id="4">
  <tableColumns count="12">
    <tableColumn name="No" id="1"/>
    <tableColumn name="Nomor Hak" id="2"/>
    <tableColumn name="Nomor Tiket" id="3"/>
    <tableColumn name="Jenis Permohonan" id="4"/>
    <tableColumn name="Nama Petugas Warkah" id="5"/>
    <tableColumn name="Status Dokumen BT-SU" id="6"/>
    <tableColumn name="Tanggal Diterima Dokumen" id="7"/>
    <tableColumn name="Kode Odner" id="8"/>
    <tableColumn name="Tanggal Kembali_x000a_ke Back Office" id="9"/>
    <tableColumn name="Tanggal Kembali" id="10"/>
    <tableColumn name="Penerima Dokumen di BackOffice" id="11"/>
    <tableColumn name="Cetak Sampul" id="12"/>
  </tableColumns>
  <tableStyleInfo name="369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BiVpi0WpqThm5wAzoeAIKEkTsofTP81O3MZ4f8L-uXo/edit?gid=1040887655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caGeSM59WVEFjQpGbUW7We7Zr97jHfvg94KgbsFlB2I/edit?usp=sharing" TargetMode="External"/><Relationship Id="rId2" Type="http://schemas.openxmlformats.org/officeDocument/2006/relationships/drawing" Target="../drawings/drawing2.xml"/><Relationship Id="rId4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13.13"/>
    <col customWidth="1" min="3" max="3" width="23.75"/>
    <col customWidth="1" min="4" max="4" width="20.63"/>
    <col customWidth="1" min="5" max="6" width="22.25"/>
  </cols>
  <sheetData>
    <row r="1">
      <c r="B1" s="7" t="s">
        <v>19</v>
      </c>
    </row>
    <row r="3" ht="22.5" customHeight="1">
      <c r="B3" s="10" t="s">
        <v>8</v>
      </c>
      <c r="C3" s="10" t="s">
        <v>35</v>
      </c>
      <c r="D3" s="10" t="s">
        <v>38</v>
      </c>
      <c r="E3" s="10" t="s">
        <v>10</v>
      </c>
      <c r="F3" s="10" t="s">
        <v>40</v>
      </c>
      <c r="G3" s="10" t="s">
        <v>39</v>
      </c>
      <c r="H3" s="10" t="s">
        <v>41</v>
      </c>
    </row>
    <row r="4" ht="22.5" customHeight="1">
      <c r="B4" s="15" t="str">
        <f>IFERROR(__xludf.DUMMYFUNCTION("IMPORTRANGE($B$1,""Form responses 1!B2:B10000"")"),"")</f>
        <v/>
      </c>
      <c r="C4" s="16" t="str">
        <f>IFERROR(__xludf.DUMMYFUNCTION("IMPORTRANGE($B$1,""Form responses 1!F2:F10000"")"),"")</f>
        <v/>
      </c>
      <c r="D4" s="13" t="str">
        <f>IFERROR(__xludf.DUMMYFUNCTION("IMPORTRANGE($B$1,""Form responses 1!A2:A10000"")"),"")</f>
        <v/>
      </c>
      <c r="E4" s="11" t="str">
        <f>IFERROR(__xludf.DUMMYFUNCTION("IMPORTRANGE($B$1,""Form responses 1!E2:E10000"")"),"")</f>
        <v/>
      </c>
      <c r="F4" s="11" t="str">
        <f>IFERROR(__xludf.DUMMYFUNCTION("IMPORTRANGE($B$1,""Form responses 1!C2:C10000"")"),"")</f>
        <v/>
      </c>
      <c r="G4" s="11">
        <v>1.0</v>
      </c>
      <c r="H4" s="13" t="str">
        <f>IFERROR(__xludf.DUMMYFUNCTION("IMPORTRANGE($B$1,""Form responses 1!H2:H10000"")"),"")</f>
        <v/>
      </c>
    </row>
    <row r="5" ht="22.5" customHeight="1">
      <c r="B5" s="19"/>
      <c r="C5" s="19"/>
      <c r="D5" s="13"/>
      <c r="E5" s="13"/>
      <c r="F5" s="13"/>
      <c r="G5" s="13">
        <f t="shared" ref="G5:G10000" si="1">IF(OR(C5="-",C5="",H5&lt;&gt;"P0"),G4,G4+1)</f>
        <v>1</v>
      </c>
      <c r="H5" s="13"/>
    </row>
    <row r="6" ht="22.5" customHeight="1">
      <c r="B6" s="19" t="str">
        <f>IFERROR(__xludf.DUMMYFUNCTION("""COMPUTED_VALUE"""),"L/1/141024/1")</f>
        <v>L/1/141024/1</v>
      </c>
      <c r="C6" s="19" t="str">
        <f>IFERROR(__xludf.DUMMYFUNCTION("""COMPUTED_VALUE"""),"HM 9463/GEDUNG MENENG")</f>
        <v>HM 9463/GEDUNG MENENG</v>
      </c>
      <c r="D6" s="17">
        <f>IFERROR(__xludf.DUMMYFUNCTION("""COMPUTED_VALUE"""),45579.36115568287)</f>
        <v>45579.36116</v>
      </c>
      <c r="E6" s="13" t="str">
        <f>IFERROR(__xludf.DUMMYFUNCTION("""COMPUTED_VALUE"""),"ROYA")</f>
        <v>ROYA</v>
      </c>
      <c r="F6" s="13" t="str">
        <f>IFERROR(__xludf.DUMMYFUNCTION("""COMPUTED_VALUE"""),"CHAIRUL ANWAR SATAR")</f>
        <v>CHAIRUL ANWAR SATAR</v>
      </c>
      <c r="G6" s="13">
        <f t="shared" si="1"/>
        <v>2</v>
      </c>
      <c r="H6" s="13" t="str">
        <f>IFERROR(__xludf.DUMMYFUNCTION("""COMPUTED_VALUE"""),"P0")</f>
        <v>P0</v>
      </c>
    </row>
    <row r="7" ht="22.5" customHeight="1">
      <c r="B7" s="19" t="str">
        <f>IFERROR(__xludf.DUMMYFUNCTION("""COMPUTED_VALUE"""),"L/2/141024/1")</f>
        <v>L/2/141024/1</v>
      </c>
      <c r="C7" s="19" t="str">
        <f>IFERROR(__xludf.DUMMYFUNCTION("""COMPUTED_VALUE"""),"HM 17565/SUKARAME I")</f>
        <v>HM 17565/SUKARAME I</v>
      </c>
      <c r="D7" s="17">
        <f>IFERROR(__xludf.DUMMYFUNCTION("""COMPUTED_VALUE"""),45579.37694246528)</f>
        <v>45579.37694</v>
      </c>
      <c r="E7" s="13" t="str">
        <f>IFERROR(__xludf.DUMMYFUNCTION("""COMPUTED_VALUE"""),"ROYA")</f>
        <v>ROYA</v>
      </c>
      <c r="F7" s="13" t="str">
        <f>IFERROR(__xludf.DUMMYFUNCTION("""COMPUTED_VALUE"""),"RIRIN OKTARINA")</f>
        <v>RIRIN OKTARINA</v>
      </c>
      <c r="G7" s="13">
        <f t="shared" si="1"/>
        <v>3</v>
      </c>
      <c r="H7" s="13" t="str">
        <f>IFERROR(__xludf.DUMMYFUNCTION("""COMPUTED_VALUE"""),"P0")</f>
        <v>P0</v>
      </c>
    </row>
    <row r="8" ht="22.5" customHeight="1">
      <c r="B8" s="19" t="str">
        <f>IFERROR(__xludf.DUMMYFUNCTION("""COMPUTED_VALUE"""),"K/3/141024/1")</f>
        <v>K/3/141024/1</v>
      </c>
      <c r="C8" s="19" t="str">
        <f>IFERROR(__xludf.DUMMYFUNCTION("""COMPUTED_VALUE"""),"-")</f>
        <v>-</v>
      </c>
      <c r="D8" s="17">
        <f>IFERROR(__xludf.DUMMYFUNCTION("""COMPUTED_VALUE"""),45579.39939559028)</f>
        <v>45579.3994</v>
      </c>
      <c r="E8" s="13" t="str">
        <f>IFERROR(__xludf.DUMMYFUNCTION("""COMPUTED_VALUE"""),"PTPGT")</f>
        <v>PTPGT</v>
      </c>
      <c r="F8" s="13" t="str">
        <f>IFERROR(__xludf.DUMMYFUNCTION("""COMPUTED_VALUE"""),"GURUH SAMODRA AJI, ST.MT/WAHYUDIN")</f>
        <v>GURUH SAMODRA AJI, ST.MT/WAHYUDIN</v>
      </c>
      <c r="G8" s="13">
        <f t="shared" si="1"/>
        <v>3</v>
      </c>
      <c r="H8" s="13" t="str">
        <f>IFERROR(__xludf.DUMMYFUNCTION("""COMPUTED_VALUE"""),"P0")</f>
        <v>P0</v>
      </c>
    </row>
    <row r="9" ht="22.5" customHeight="1">
      <c r="B9" s="19" t="str">
        <f>IFERROR(__xludf.DUMMYFUNCTION("""COMPUTED_VALUE"""),"K/4/141024/2")</f>
        <v>K/4/141024/2</v>
      </c>
      <c r="C9" s="19" t="str">
        <f>IFERROR(__xludf.DUMMYFUNCTION("""COMPUTED_VALUE"""),"-")</f>
        <v>-</v>
      </c>
      <c r="D9" s="17">
        <f>IFERROR(__xludf.DUMMYFUNCTION("""COMPUTED_VALUE"""),45579.40069350695)</f>
        <v>45579.40069</v>
      </c>
      <c r="E9" s="13" t="str">
        <f>IFERROR(__xludf.DUMMYFUNCTION("""COMPUTED_VALUE"""),"PTPGT")</f>
        <v>PTPGT</v>
      </c>
      <c r="F9" s="13" t="str">
        <f>IFERROR(__xludf.DUMMYFUNCTION("""COMPUTED_VALUE"""),"GURUH SAMODRA AJI, ST.MT/WAHYUDIN")</f>
        <v>GURUH SAMODRA AJI, ST.MT/WAHYUDIN</v>
      </c>
      <c r="G9" s="13">
        <f t="shared" si="1"/>
        <v>3</v>
      </c>
      <c r="H9" s="13" t="str">
        <f>IFERROR(__xludf.DUMMYFUNCTION("""COMPUTED_VALUE"""),"P0")</f>
        <v>P0</v>
      </c>
    </row>
    <row r="10" ht="22.5" customHeight="1">
      <c r="B10" s="19" t="str">
        <f>IFERROR(__xludf.DUMMYFUNCTION("""COMPUTED_VALUE"""),"L/5/141024/1")</f>
        <v>L/5/141024/1</v>
      </c>
      <c r="C10" s="19" t="str">
        <f>IFERROR(__xludf.DUMMYFUNCTION("""COMPUTED_VALUE"""),"M.9974/TANJUNG BARU")</f>
        <v>M.9974/TANJUNG BARU</v>
      </c>
      <c r="D10" s="17">
        <f>IFERROR(__xludf.DUMMYFUNCTION("""COMPUTED_VALUE"""),45579.40328578703)</f>
        <v>45579.40329</v>
      </c>
      <c r="E10" s="13" t="str">
        <f>IFERROR(__xludf.DUMMYFUNCTION("""COMPUTED_VALUE"""),"ROYA")</f>
        <v>ROYA</v>
      </c>
      <c r="F10" s="13" t="str">
        <f>IFERROR(__xludf.DUMMYFUNCTION("""COMPUTED_VALUE"""),"SITI NAZROH")</f>
        <v>SITI NAZROH</v>
      </c>
      <c r="G10" s="13">
        <f t="shared" si="1"/>
        <v>4</v>
      </c>
      <c r="H10" s="13" t="str">
        <f>IFERROR(__xludf.DUMMYFUNCTION("""COMPUTED_VALUE"""),"P0")</f>
        <v>P0</v>
      </c>
    </row>
    <row r="11" ht="22.5" customHeight="1">
      <c r="B11" s="19" t="str">
        <f>IFERROR(__xludf.DUMMYFUNCTION("""COMPUTED_VALUE"""),"L/6/141024/1")</f>
        <v>L/6/141024/1</v>
      </c>
      <c r="C11" s="19" t="str">
        <f>IFERROR(__xludf.DUMMYFUNCTION("""COMPUTED_VALUE""")," HM 154/SUSUNAN BARU")</f>
        <v> HM 154/SUSUNAN BARU</v>
      </c>
      <c r="D11" s="17">
        <f>IFERROR(__xludf.DUMMYFUNCTION("""COMPUTED_VALUE"""),45579.40467556713)</f>
        <v>45579.40468</v>
      </c>
      <c r="E11" s="13" t="str">
        <f>IFERROR(__xludf.DUMMYFUNCTION("""COMPUTED_VALUE"""),"PLOT SERTIPIKAT HILANG")</f>
        <v>PLOT SERTIPIKAT HILANG</v>
      </c>
      <c r="F11" s="13" t="str">
        <f>IFERROR(__xludf.DUMMYFUNCTION("""COMPUTED_VALUE"""),"EMY MARSINEM")</f>
        <v>EMY MARSINEM</v>
      </c>
      <c r="G11" s="13">
        <f t="shared" si="1"/>
        <v>5</v>
      </c>
      <c r="H11" s="13" t="str">
        <f>IFERROR(__xludf.DUMMYFUNCTION("""COMPUTED_VALUE"""),"P0")</f>
        <v>P0</v>
      </c>
    </row>
    <row r="12" ht="22.5" customHeight="1">
      <c r="B12" s="19" t="str">
        <f>IFERROR(__xludf.DUMMYFUNCTION("""COMPUTED_VALUE"""),"K/7/141024/1")</f>
        <v>K/7/141024/1</v>
      </c>
      <c r="C12" s="19" t="str">
        <f>IFERROR(__xludf.DUMMYFUNCTION("""COMPUTED_VALUE"""),"M. 631/Pahoman- sekarang; M. 631/Pahoman-Dahulu")</f>
        <v>M. 631/Pahoman- sekarang; M. 631/Pahoman-Dahulu</v>
      </c>
      <c r="D12" s="17">
        <f>IFERROR(__xludf.DUMMYFUNCTION("""COMPUTED_VALUE"""),45579.40998118056)</f>
        <v>45579.40998</v>
      </c>
      <c r="E12" s="13" t="str">
        <f>IFERROR(__xludf.DUMMYFUNCTION("""COMPUTED_VALUE"""),"ANGKAT SITA")</f>
        <v>ANGKAT SITA</v>
      </c>
      <c r="F12" s="13" t="str">
        <f>IFERROR(__xludf.DUMMYFUNCTION("""COMPUTED_VALUE"""),"IKE FEBRINA, S.IP")</f>
        <v>IKE FEBRINA, S.IP</v>
      </c>
      <c r="G12" s="13">
        <f t="shared" si="1"/>
        <v>6</v>
      </c>
      <c r="H12" s="13" t="str">
        <f>IFERROR(__xludf.DUMMYFUNCTION("""COMPUTED_VALUE"""),"P0")</f>
        <v>P0</v>
      </c>
    </row>
    <row r="13" ht="22.5" customHeight="1">
      <c r="B13" s="19" t="str">
        <f>IFERROR(__xludf.DUMMYFUNCTION("""COMPUTED_VALUE"""),"L/8/141024/1")</f>
        <v>L/8/141024/1</v>
      </c>
      <c r="C13" s="19" t="str">
        <f>IFERROR(__xludf.DUMMYFUNCTION("""COMPUTED_VALUE"""),"M.1134/GULAK GALIK")</f>
        <v>M.1134/GULAK GALIK</v>
      </c>
      <c r="D13" s="17">
        <f>IFERROR(__xludf.DUMMYFUNCTION("""COMPUTED_VALUE"""),45579.416174513884)</f>
        <v>45579.41617</v>
      </c>
      <c r="E13" s="13" t="str">
        <f>IFERROR(__xludf.DUMMYFUNCTION("""COMPUTED_VALUE"""),"HAPUS BPHTB")</f>
        <v>HAPUS BPHTB</v>
      </c>
      <c r="F13" s="13" t="str">
        <f>IFERROR(__xludf.DUMMYFUNCTION("""COMPUTED_VALUE"""),"JUNAIDI")</f>
        <v>JUNAIDI</v>
      </c>
      <c r="G13" s="13">
        <f t="shared" si="1"/>
        <v>7</v>
      </c>
      <c r="H13" s="13" t="str">
        <f>IFERROR(__xludf.DUMMYFUNCTION("""COMPUTED_VALUE"""),"P0")</f>
        <v>P0</v>
      </c>
    </row>
    <row r="14" ht="22.5" customHeight="1">
      <c r="B14" s="19" t="str">
        <f>IFERROR(__xludf.DUMMYFUNCTION("""COMPUTED_VALUE"""),"K/9/141024/1")</f>
        <v>K/9/141024/1</v>
      </c>
      <c r="C14" s="19" t="str">
        <f>IFERROR(__xludf.DUMMYFUNCTION("""COMPUTED_VALUE"""),"M.11980/JAGABAYA II")</f>
        <v>M.11980/JAGABAYA II</v>
      </c>
      <c r="D14" s="17">
        <f>IFERROR(__xludf.DUMMYFUNCTION("""COMPUTED_VALUE"""),45579.42397335648)</f>
        <v>45579.42397</v>
      </c>
      <c r="E14" s="13" t="str">
        <f>IFERROR(__xludf.DUMMYFUNCTION("""COMPUTED_VALUE"""),"ROYA")</f>
        <v>ROYA</v>
      </c>
      <c r="F14" s="13" t="str">
        <f>IFERROR(__xludf.DUMMYFUNCTION("""COMPUTED_VALUE"""),"LEOSA AUGDETA/LINGGA AYU B")</f>
        <v>LEOSA AUGDETA/LINGGA AYU B</v>
      </c>
      <c r="G14" s="13">
        <f t="shared" si="1"/>
        <v>8</v>
      </c>
      <c r="H14" s="13" t="str">
        <f>IFERROR(__xludf.DUMMYFUNCTION("""COMPUTED_VALUE"""),"P0")</f>
        <v>P0</v>
      </c>
    </row>
    <row r="15" ht="22.5" customHeight="1">
      <c r="B15" s="19" t="str">
        <f>IFERROR(__xludf.DUMMYFUNCTION("""COMPUTED_VALUE"""),"L/11/141024/1")</f>
        <v>L/11/141024/1</v>
      </c>
      <c r="C15" s="19" t="str">
        <f>IFERROR(__xludf.DUMMYFUNCTION("""COMPUTED_VALUE"""),"HM 1505 LABUHAN DALAM &amp; HM 1506 LABUHAN DALAM")</f>
        <v>HM 1505 LABUHAN DALAM &amp; HM 1506 LABUHAN DALAM</v>
      </c>
      <c r="D15" s="17">
        <f>IFERROR(__xludf.DUMMYFUNCTION("""COMPUTED_VALUE"""),45579.43479998843)</f>
        <v>45579.4348</v>
      </c>
      <c r="E15" s="13" t="str">
        <f>IFERROR(__xludf.DUMMYFUNCTION("""COMPUTED_VALUE"""),"ROYA")</f>
        <v>ROYA</v>
      </c>
      <c r="F15" s="13" t="str">
        <f>IFERROR(__xludf.DUMMYFUNCTION("""COMPUTED_VALUE"""),"HENNY INDRIYANI")</f>
        <v>HENNY INDRIYANI</v>
      </c>
      <c r="G15" s="13">
        <f t="shared" si="1"/>
        <v>9</v>
      </c>
      <c r="H15" s="13" t="str">
        <f>IFERROR(__xludf.DUMMYFUNCTION("""COMPUTED_VALUE"""),"P0")</f>
        <v>P0</v>
      </c>
    </row>
    <row r="16" ht="22.5" customHeight="1">
      <c r="B16" s="19" t="str">
        <f>IFERROR(__xludf.DUMMYFUNCTION("""COMPUTED_VALUE"""),"K/10/141024/2")</f>
        <v>K/10/141024/2</v>
      </c>
      <c r="C16" s="19" t="str">
        <f>IFERROR(__xludf.DUMMYFUNCTION("""COMPUTED_VALUE"""),"-")</f>
        <v>-</v>
      </c>
      <c r="D16" s="17">
        <f>IFERROR(__xludf.DUMMYFUNCTION("""COMPUTED_VALUE"""),45579.4453597338)</f>
        <v>45579.44536</v>
      </c>
      <c r="E16" s="13" t="str">
        <f>IFERROR(__xludf.DUMMYFUNCTION("""COMPUTED_VALUE"""),"GANDES")</f>
        <v>GANDES</v>
      </c>
      <c r="F16" s="13" t="str">
        <f>IFERROR(__xludf.DUMMYFUNCTION("""COMPUTED_VALUE"""),"ANTONI SINULINGGA /LINGGA A")</f>
        <v>ANTONI SINULINGGA /LINGGA A</v>
      </c>
      <c r="G16" s="13">
        <f t="shared" si="1"/>
        <v>9</v>
      </c>
      <c r="H16" s="13" t="str">
        <f>IFERROR(__xludf.DUMMYFUNCTION("""COMPUTED_VALUE"""),"P0")</f>
        <v>P0</v>
      </c>
    </row>
    <row r="17" ht="22.5" customHeight="1">
      <c r="B17" s="19" t="str">
        <f>IFERROR(__xludf.DUMMYFUNCTION("""COMPUTED_VALUE"""),"K/12/141024/1")</f>
        <v>K/12/141024/1</v>
      </c>
      <c r="C17" s="19" t="str">
        <f>IFERROR(__xludf.DUMMYFUNCTION("""COMPUTED_VALUE"""),"M.3326/LANGKAPURA")</f>
        <v>M.3326/LANGKAPURA</v>
      </c>
      <c r="D17" s="17">
        <f>IFERROR(__xludf.DUMMYFUNCTION("""COMPUTED_VALUE"""),45579.44647563658)</f>
        <v>45579.44648</v>
      </c>
      <c r="E17" s="13" t="str">
        <f>IFERROR(__xludf.DUMMYFUNCTION("""COMPUTED_VALUE"""),"ROYA")</f>
        <v>ROYA</v>
      </c>
      <c r="F17" s="13" t="str">
        <f>IFERROR(__xludf.DUMMYFUNCTION("""COMPUTED_VALUE"""),"META ARIDHOTU PRANATA /PANARY SITOPU")</f>
        <v>META ARIDHOTU PRANATA /PANARY SITOPU</v>
      </c>
      <c r="G17" s="13">
        <f t="shared" si="1"/>
        <v>10</v>
      </c>
      <c r="H17" s="13" t="str">
        <f>IFERROR(__xludf.DUMMYFUNCTION("""COMPUTED_VALUE"""),"P0")</f>
        <v>P0</v>
      </c>
    </row>
    <row r="18" ht="22.5" customHeight="1">
      <c r="B18" s="19" t="str">
        <f>IFERROR(__xludf.DUMMYFUNCTION("""COMPUTED_VALUE"""),"K/13/141024/2")</f>
        <v>K/13/141024/2</v>
      </c>
      <c r="C18" s="19" t="str">
        <f>IFERROR(__xludf.DUMMYFUNCTION("""COMPUTED_VALUE"""),"M.1088/NEGERI OLOK GADING-SEKARANG;B.1201/NEGERI OLOK GADING-DAHULU")</f>
        <v>M.1088/NEGERI OLOK GADING-SEKARANG;B.1201/NEGERI OLOK GADING-DAHULU</v>
      </c>
      <c r="D18" s="17">
        <f>IFERROR(__xludf.DUMMYFUNCTION("""COMPUTED_VALUE"""),45579.448010532404)</f>
        <v>45579.44801</v>
      </c>
      <c r="E18" s="13" t="str">
        <f>IFERROR(__xludf.DUMMYFUNCTION("""COMPUTED_VALUE"""),"ROYA")</f>
        <v>ROYA</v>
      </c>
      <c r="F18" s="13" t="str">
        <f>IFERROR(__xludf.DUMMYFUNCTION("""COMPUTED_VALUE"""),"APRILIA/PANARY SITOPU")</f>
        <v>APRILIA/PANARY SITOPU</v>
      </c>
      <c r="G18" s="13">
        <f t="shared" si="1"/>
        <v>11</v>
      </c>
      <c r="H18" s="13" t="str">
        <f>IFERROR(__xludf.DUMMYFUNCTION("""COMPUTED_VALUE"""),"P0")</f>
        <v>P0</v>
      </c>
    </row>
    <row r="19" ht="22.5" customHeight="1">
      <c r="B19" s="19" t="str">
        <f>IFERROR(__xludf.DUMMYFUNCTION("""COMPUTED_VALUE"""),"K/14/141024/3")</f>
        <v>K/14/141024/3</v>
      </c>
      <c r="C19" s="19" t="str">
        <f>IFERROR(__xludf.DUMMYFUNCTION("""COMPUTED_VALUE"""),"M.988/NEGERI OLOK GADING-SEKARANG;B.1050/NEGERI OLOK GADING-DAHULU")</f>
        <v>M.988/NEGERI OLOK GADING-SEKARANG;B.1050/NEGERI OLOK GADING-DAHULU</v>
      </c>
      <c r="D19" s="17">
        <f>IFERROR(__xludf.DUMMYFUNCTION("""COMPUTED_VALUE"""),45579.44913846065)</f>
        <v>45579.44914</v>
      </c>
      <c r="E19" s="13" t="str">
        <f>IFERROR(__xludf.DUMMYFUNCTION("""COMPUTED_VALUE"""),"ROYA")</f>
        <v>ROYA</v>
      </c>
      <c r="F19" s="13" t="str">
        <f>IFERROR(__xludf.DUMMYFUNCTION("""COMPUTED_VALUE"""),"APRILIA/PANARY SITOPU")</f>
        <v>APRILIA/PANARY SITOPU</v>
      </c>
      <c r="G19" s="13">
        <f t="shared" si="1"/>
        <v>12</v>
      </c>
      <c r="H19" s="13" t="str">
        <f>IFERROR(__xludf.DUMMYFUNCTION("""COMPUTED_VALUE"""),"P0")</f>
        <v>P0</v>
      </c>
    </row>
    <row r="20" ht="22.5" customHeight="1">
      <c r="B20" s="19" t="str">
        <f>IFERROR(__xludf.DUMMYFUNCTION("""COMPUTED_VALUE"""),"K/15/141024/4")</f>
        <v>K/15/141024/4</v>
      </c>
      <c r="C20" s="19" t="str">
        <f>IFERROR(__xludf.DUMMYFUNCTION("""COMPUTED_VALUE"""),"-")</f>
        <v>-</v>
      </c>
      <c r="D20" s="17">
        <f>IFERROR(__xludf.DUMMYFUNCTION("""COMPUTED_VALUE"""),45579.45057248842)</f>
        <v>45579.45057</v>
      </c>
      <c r="E20" s="13" t="str">
        <f>IFERROR(__xludf.DUMMYFUNCTION("""COMPUTED_VALUE"""),"PENINGKATAN HAK")</f>
        <v>PENINGKATAN HAK</v>
      </c>
      <c r="F20" s="13" t="str">
        <f>IFERROR(__xludf.DUMMYFUNCTION("""COMPUTED_VALUE"""),"PANGGARA PAGARISI/PANARY SITOPU")</f>
        <v>PANGGARA PAGARISI/PANARY SITOPU</v>
      </c>
      <c r="G20" s="13">
        <f t="shared" si="1"/>
        <v>12</v>
      </c>
      <c r="H20" s="13" t="str">
        <f>IFERROR(__xludf.DUMMYFUNCTION("""COMPUTED_VALUE"""),"P0")</f>
        <v>P0</v>
      </c>
    </row>
    <row r="21" ht="22.5" customHeight="1">
      <c r="B21" s="19" t="str">
        <f>IFERROR(__xludf.DUMMYFUNCTION("""COMPUTED_VALUE"""),"K/16/141024/1")</f>
        <v>K/16/141024/1</v>
      </c>
      <c r="C21" s="19" t="str">
        <f>IFERROR(__xludf.DUMMYFUNCTION("""COMPUTED_VALUE"""),"M.9137/GEDONG MENENG")</f>
        <v>M.9137/GEDONG MENENG</v>
      </c>
      <c r="D21" s="17">
        <f>IFERROR(__xludf.DUMMYFUNCTION("""COMPUTED_VALUE"""),45579.46382863426)</f>
        <v>45579.46383</v>
      </c>
      <c r="E21" s="13" t="str">
        <f>IFERROR(__xludf.DUMMYFUNCTION("""COMPUTED_VALUE"""),"SKPT")</f>
        <v>SKPT</v>
      </c>
      <c r="F21" s="13" t="str">
        <f>IFERROR(__xludf.DUMMYFUNCTION("""COMPUTED_VALUE"""),"TITIK WIJAYANTI/SENDI DINI HARIYATI")</f>
        <v>TITIK WIJAYANTI/SENDI DINI HARIYATI</v>
      </c>
      <c r="G21" s="13">
        <f t="shared" si="1"/>
        <v>13</v>
      </c>
      <c r="H21" s="13" t="str">
        <f>IFERROR(__xludf.DUMMYFUNCTION("""COMPUTED_VALUE"""),"P0")</f>
        <v>P0</v>
      </c>
    </row>
    <row r="22" ht="22.5" customHeight="1">
      <c r="B22" s="19" t="str">
        <f>IFERROR(__xludf.DUMMYFUNCTION("""COMPUTED_VALUE"""),"L/17/141024/1")</f>
        <v>L/17/141024/1</v>
      </c>
      <c r="C22" s="19" t="str">
        <f>IFERROR(__xludf.DUMMYFUNCTION("""COMPUTED_VALUE"""),"HM 2144/WAY KANDIS")</f>
        <v>HM 2144/WAY KANDIS</v>
      </c>
      <c r="D22" s="17">
        <f>IFERROR(__xludf.DUMMYFUNCTION("""COMPUTED_VALUE"""),45579.47772299769)</f>
        <v>45579.47772</v>
      </c>
      <c r="E22" s="13" t="str">
        <f>IFERROR(__xludf.DUMMYFUNCTION("""COMPUTED_VALUE"""),"ROYA")</f>
        <v>ROYA</v>
      </c>
      <c r="F22" s="13" t="str">
        <f>IFERROR(__xludf.DUMMYFUNCTION("""COMPUTED_VALUE"""),"SARIFUDDIN HUTAGALUNG")</f>
        <v>SARIFUDDIN HUTAGALUNG</v>
      </c>
      <c r="G22" s="13">
        <f t="shared" si="1"/>
        <v>14</v>
      </c>
      <c r="H22" s="13" t="str">
        <f>IFERROR(__xludf.DUMMYFUNCTION("""COMPUTED_VALUE"""),"P0")</f>
        <v>P0</v>
      </c>
    </row>
    <row r="23" ht="22.5" customHeight="1">
      <c r="B23" s="19" t="str">
        <f>IFERROR(__xludf.DUMMYFUNCTION("""COMPUTED_VALUE"""),"K/19/141024/1")</f>
        <v>K/19/141024/1</v>
      </c>
      <c r="C23" s="19" t="str">
        <f>IFERROR(__xludf.DUMMYFUNCTION("""COMPUTED_VALUE"""),"M.16678/SUKABUMI")</f>
        <v>M.16678/SUKABUMI</v>
      </c>
      <c r="D23" s="17">
        <f>IFERROR(__xludf.DUMMYFUNCTION("""COMPUTED_VALUE"""),45579.48395140046)</f>
        <v>45579.48395</v>
      </c>
      <c r="E23" s="13" t="str">
        <f>IFERROR(__xludf.DUMMYFUNCTION("""COMPUTED_VALUE"""),"PERALIHAN JUAL BELI")</f>
        <v>PERALIHAN JUAL BELI</v>
      </c>
      <c r="F23" s="13" t="str">
        <f>IFERROR(__xludf.DUMMYFUNCTION("""COMPUTED_VALUE"""),"ROSIDA LINGSA KENCANA/RAHMADIYANTI")</f>
        <v>ROSIDA LINGSA KENCANA/RAHMADIYANTI</v>
      </c>
      <c r="G23" s="13">
        <f t="shared" si="1"/>
        <v>15</v>
      </c>
      <c r="H23" s="13" t="str">
        <f>IFERROR(__xludf.DUMMYFUNCTION("""COMPUTED_VALUE"""),"P0")</f>
        <v>P0</v>
      </c>
    </row>
    <row r="24" ht="22.5" customHeight="1">
      <c r="B24" s="19" t="str">
        <f>IFERROR(__xludf.DUMMYFUNCTION("""COMPUTED_VALUE"""),"L/18/141024/1")</f>
        <v>L/18/141024/1</v>
      </c>
      <c r="C24" s="19" t="str">
        <f>IFERROR(__xludf.DUMMYFUNCTION("""COMPUTED_VALUE"""),"M.331/NUSANTARA PERMAI;B.389/CAMPANG RAYA-DAHULU")</f>
        <v>M.331/NUSANTARA PERMAI;B.389/CAMPANG RAYA-DAHULU</v>
      </c>
      <c r="D24" s="17">
        <f>IFERROR(__xludf.DUMMYFUNCTION("""COMPUTED_VALUE"""),45579.484038842595)</f>
        <v>45579.48404</v>
      </c>
      <c r="E24" s="13" t="str">
        <f>IFERROR(__xludf.DUMMYFUNCTION("""COMPUTED_VALUE"""),"BLOKIR")</f>
        <v>BLOKIR</v>
      </c>
      <c r="F24" s="13" t="str">
        <f>IFERROR(__xludf.DUMMYFUNCTION("""COMPUTED_VALUE"""),"SUNILA HAKI")</f>
        <v>SUNILA HAKI</v>
      </c>
      <c r="G24" s="13">
        <f t="shared" si="1"/>
        <v>16</v>
      </c>
      <c r="H24" s="13" t="str">
        <f>IFERROR(__xludf.DUMMYFUNCTION("""COMPUTED_VALUE"""),"P0")</f>
        <v>P0</v>
      </c>
    </row>
    <row r="25" ht="22.5" customHeight="1">
      <c r="B25" s="19" t="str">
        <f>IFERROR(__xludf.DUMMYFUNCTION("""COMPUTED_VALUE"""),"K/20/141024/1")</f>
        <v>K/20/141024/1</v>
      </c>
      <c r="C25" s="19" t="str">
        <f>IFERROR(__xludf.DUMMYFUNCTION("""COMPUTED_VALUE"""),"M.12883/RAJABASA-SEKARANG;B.1210/RAJABASA-DAHULU")</f>
        <v>M.12883/RAJABASA-SEKARANG;B.1210/RAJABASA-DAHULU</v>
      </c>
      <c r="D25" s="17">
        <f>IFERROR(__xludf.DUMMYFUNCTION("""COMPUTED_VALUE"""),45579.48986872685)</f>
        <v>45579.48987</v>
      </c>
      <c r="E25" s="13" t="str">
        <f>IFERROR(__xludf.DUMMYFUNCTION("""COMPUTED_VALUE"""),"GANDES")</f>
        <v>GANDES</v>
      </c>
      <c r="F25" s="13" t="str">
        <f>IFERROR(__xludf.DUMMYFUNCTION("""COMPUTED_VALUE"""),"BERRYAN AULIA UMAM J/HARITO WIDODO")</f>
        <v>BERRYAN AULIA UMAM J/HARITO WIDODO</v>
      </c>
      <c r="G25" s="13">
        <f t="shared" si="1"/>
        <v>17</v>
      </c>
      <c r="H25" s="13" t="str">
        <f>IFERROR(__xludf.DUMMYFUNCTION("""COMPUTED_VALUE"""),"P0")</f>
        <v>P0</v>
      </c>
    </row>
    <row r="26" ht="22.5" customHeight="1">
      <c r="B26" s="19" t="str">
        <f>IFERROR(__xludf.DUMMYFUNCTION("""COMPUTED_VALUE"""),"L/21/141024/1")</f>
        <v>L/21/141024/1</v>
      </c>
      <c r="C26" s="19" t="str">
        <f>IFERROR(__xludf.DUMMYFUNCTION("""COMPUTED_VALUE"""),"HM 1812/TANJUNG SENANG")</f>
        <v>HM 1812/TANJUNG SENANG</v>
      </c>
      <c r="D26" s="17">
        <f>IFERROR(__xludf.DUMMYFUNCTION("""COMPUTED_VALUE"""),45579.49266887731)</f>
        <v>45579.49267</v>
      </c>
      <c r="E26" s="13" t="str">
        <f>IFERROR(__xludf.DUMMYFUNCTION("""COMPUTED_VALUE"""),"ROYA")</f>
        <v>ROYA</v>
      </c>
      <c r="F26" s="13" t="str">
        <f>IFERROR(__xludf.DUMMYFUNCTION("""COMPUTED_VALUE"""),"DWI ASTANTO")</f>
        <v>DWI ASTANTO</v>
      </c>
      <c r="G26" s="13">
        <f t="shared" si="1"/>
        <v>18</v>
      </c>
      <c r="H26" s="13" t="str">
        <f>IFERROR(__xludf.DUMMYFUNCTION("""COMPUTED_VALUE"""),"P0")</f>
        <v>P0</v>
      </c>
    </row>
    <row r="27" ht="22.5" customHeight="1">
      <c r="B27" s="19" t="str">
        <f>IFERROR(__xludf.DUMMYFUNCTION("""COMPUTED_VALUE"""),"K/22/141024/1")</f>
        <v>K/22/141024/1</v>
      </c>
      <c r="C27" s="19" t="str">
        <f>IFERROR(__xludf.DUMMYFUNCTION("""COMPUTED_VALUE"""),"M. 6977/ TANJUNG SENANG")</f>
        <v>M. 6977/ TANJUNG SENANG</v>
      </c>
      <c r="D27" s="17">
        <f>IFERROR(__xludf.DUMMYFUNCTION("""COMPUTED_VALUE"""),45579.49679517361)</f>
        <v>45579.4968</v>
      </c>
      <c r="E27" s="13" t="str">
        <f>IFERROR(__xludf.DUMMYFUNCTION("""COMPUTED_VALUE"""),"PERALIHAN JUAL BELI")</f>
        <v>PERALIHAN JUAL BELI</v>
      </c>
      <c r="F27" s="13" t="str">
        <f>IFERROR(__xludf.DUMMYFUNCTION("""COMPUTED_VALUE"""),"MURSALIN")</f>
        <v>MURSALIN</v>
      </c>
      <c r="G27" s="13">
        <f t="shared" si="1"/>
        <v>19</v>
      </c>
      <c r="H27" s="13" t="str">
        <f>IFERROR(__xludf.DUMMYFUNCTION("""COMPUTED_VALUE"""),"P0")</f>
        <v>P0</v>
      </c>
    </row>
    <row r="28" ht="22.5" customHeight="1">
      <c r="B28" s="19" t="str">
        <f>IFERROR(__xludf.DUMMYFUNCTION("""COMPUTED_VALUE"""),"K/23/141024/2")</f>
        <v>K/23/141024/2</v>
      </c>
      <c r="C28" s="19" t="str">
        <f>IFERROR(__xludf.DUMMYFUNCTION("""COMPUTED_VALUE"""),"M. 246/ GUNUNG SULAH")</f>
        <v>M. 246/ GUNUNG SULAH</v>
      </c>
      <c r="D28" s="17">
        <f>IFERROR(__xludf.DUMMYFUNCTION("""COMPUTED_VALUE"""),45579.500235740736)</f>
        <v>45579.50024</v>
      </c>
      <c r="E28" s="13" t="str">
        <f>IFERROR(__xludf.DUMMYFUNCTION("""COMPUTED_VALUE"""),"PLOTTING")</f>
        <v>PLOTTING</v>
      </c>
      <c r="F28" s="13" t="str">
        <f>IFERROR(__xludf.DUMMYFUNCTION("""COMPUTED_VALUE"""),"MURSALIN")</f>
        <v>MURSALIN</v>
      </c>
      <c r="G28" s="13">
        <f t="shared" si="1"/>
        <v>20</v>
      </c>
      <c r="H28" s="13" t="str">
        <f>IFERROR(__xludf.DUMMYFUNCTION("""COMPUTED_VALUE"""),"P0")</f>
        <v>P0</v>
      </c>
    </row>
    <row r="29" ht="22.5" customHeight="1">
      <c r="B29" s="19" t="str">
        <f>IFERROR(__xludf.DUMMYFUNCTION("""COMPUTED_VALUE"""),"L/24/141024/1")</f>
        <v>L/24/141024/1</v>
      </c>
      <c r="C29" s="19" t="str">
        <f>IFERROR(__xludf.DUMMYFUNCTION("""COMPUTED_VALUE"""),"M.2064/GUNUNG TERANG")</f>
        <v>M.2064/GUNUNG TERANG</v>
      </c>
      <c r="D29" s="17">
        <f>IFERROR(__xludf.DUMMYFUNCTION("""COMPUTED_VALUE"""),45579.50035021991)</f>
        <v>45579.50035</v>
      </c>
      <c r="E29" s="13" t="str">
        <f>IFERROR(__xludf.DUMMYFUNCTION("""COMPUTED_VALUE"""),"ROYA")</f>
        <v>ROYA</v>
      </c>
      <c r="F29" s="13" t="str">
        <f>IFERROR(__xludf.DUMMYFUNCTION("""COMPUTED_VALUE"""),"DEWI YULIANA")</f>
        <v>DEWI YULIANA</v>
      </c>
      <c r="G29" s="13">
        <f t="shared" si="1"/>
        <v>21</v>
      </c>
      <c r="H29" s="13" t="str">
        <f>IFERROR(__xludf.DUMMYFUNCTION("""COMPUTED_VALUE"""),"P0")</f>
        <v>P0</v>
      </c>
    </row>
    <row r="30" ht="22.5" customHeight="1">
      <c r="B30" s="19" t="str">
        <f>IFERROR(__xludf.DUMMYFUNCTION("""COMPUTED_VALUE"""),"K/25/141024/3")</f>
        <v>K/25/141024/3</v>
      </c>
      <c r="C30" s="19" t="str">
        <f>IFERROR(__xludf.DUMMYFUNCTION("""COMPUTED_VALUE"""),"M. 133/ SUKARAME BARU- SEKARANG; B. 144/ SUKARAME BARU-DAHULU; B. 4605/SUKARAME I-DAHULU")</f>
        <v>M. 133/ SUKARAME BARU- SEKARANG; B. 144/ SUKARAME BARU-DAHULU; B. 4605/SUKARAME I-DAHULU</v>
      </c>
      <c r="D30" s="17">
        <f>IFERROR(__xludf.DUMMYFUNCTION("""COMPUTED_VALUE"""),45579.55981415509)</f>
        <v>45579.55981</v>
      </c>
      <c r="E30" s="13" t="str">
        <f>IFERROR(__xludf.DUMMYFUNCTION("""COMPUTED_VALUE"""),"PERALIHAN JUAL BELI")</f>
        <v>PERALIHAN JUAL BELI</v>
      </c>
      <c r="F30" s="13" t="str">
        <f>IFERROR(__xludf.DUMMYFUNCTION("""COMPUTED_VALUE"""),"MURSALIN")</f>
        <v>MURSALIN</v>
      </c>
      <c r="G30" s="13">
        <f t="shared" si="1"/>
        <v>22</v>
      </c>
      <c r="H30" s="13" t="str">
        <f>IFERROR(__xludf.DUMMYFUNCTION("""COMPUTED_VALUE"""),"P0")</f>
        <v>P0</v>
      </c>
    </row>
    <row r="31" ht="22.5" customHeight="1">
      <c r="B31" s="19" t="str">
        <f>IFERROR(__xludf.DUMMYFUNCTION("""COMPUTED_VALUE"""),"K/26/141024/1")</f>
        <v>K/26/141024/1</v>
      </c>
      <c r="C31" s="19" t="str">
        <f>IFERROR(__xludf.DUMMYFUNCTION("""COMPUTED_VALUE"""),"M.2094/CAMPANG JAYA")</f>
        <v>M.2094/CAMPANG JAYA</v>
      </c>
      <c r="D31" s="17">
        <f>IFERROR(__xludf.DUMMYFUNCTION("""COMPUTED_VALUE"""),45579.565665312504)</f>
        <v>45579.56567</v>
      </c>
      <c r="E31" s="13" t="str">
        <f>IFERROR(__xludf.DUMMYFUNCTION("""COMPUTED_VALUE"""),"PERALIHAN JUAL BELI")</f>
        <v>PERALIHAN JUAL BELI</v>
      </c>
      <c r="F31" s="13" t="str">
        <f>IFERROR(__xludf.DUMMYFUNCTION("""COMPUTED_VALUE"""),"KHARISMA MANISHA CECILIYA/ILANUR")</f>
        <v>KHARISMA MANISHA CECILIYA/ILANUR</v>
      </c>
      <c r="G31" s="13">
        <f t="shared" si="1"/>
        <v>23</v>
      </c>
      <c r="H31" s="13" t="str">
        <f>IFERROR(__xludf.DUMMYFUNCTION("""COMPUTED_VALUE"""),"P0")</f>
        <v>P0</v>
      </c>
    </row>
    <row r="32" ht="22.5" customHeight="1">
      <c r="B32" s="19" t="str">
        <f>IFERROR(__xludf.DUMMYFUNCTION("""COMPUTED_VALUE"""),"K/27/141024/4")</f>
        <v>K/27/141024/4</v>
      </c>
      <c r="C32" s="19" t="str">
        <f>IFERROR(__xludf.DUMMYFUNCTION("""COMPUTED_VALUE"""),"M. 13414/ SUKABUMI")</f>
        <v>M. 13414/ SUKABUMI</v>
      </c>
      <c r="D32" s="17">
        <f>IFERROR(__xludf.DUMMYFUNCTION("""COMPUTED_VALUE"""),45579.57014332176)</f>
        <v>45579.57014</v>
      </c>
      <c r="E32" s="13" t="str">
        <f>IFERROR(__xludf.DUMMYFUNCTION("""COMPUTED_VALUE"""),"PERALIHAN JUAL BELI")</f>
        <v>PERALIHAN JUAL BELI</v>
      </c>
      <c r="F32" s="13" t="str">
        <f>IFERROR(__xludf.DUMMYFUNCTION("""COMPUTED_VALUE"""),"MURSALIN")</f>
        <v>MURSALIN</v>
      </c>
      <c r="G32" s="13">
        <f t="shared" si="1"/>
        <v>24</v>
      </c>
      <c r="H32" s="13" t="str">
        <f>IFERROR(__xludf.DUMMYFUNCTION("""COMPUTED_VALUE"""),"P0")</f>
        <v>P0</v>
      </c>
    </row>
    <row r="33" ht="22.5" customHeight="1">
      <c r="B33" s="19" t="str">
        <f>IFERROR(__xludf.DUMMYFUNCTION("""COMPUTED_VALUE"""),"K/28/141024/1")</f>
        <v>K/28/141024/1</v>
      </c>
      <c r="C33" s="19" t="str">
        <f>IFERROR(__xludf.DUMMYFUNCTION("""COMPUTED_VALUE"""),"B.895/BERINGIN JAYA")</f>
        <v>B.895/BERINGIN JAYA</v>
      </c>
      <c r="D33" s="17">
        <f>IFERROR(__xludf.DUMMYFUNCTION("""COMPUTED_VALUE"""),45579.572772569445)</f>
        <v>45579.57277</v>
      </c>
      <c r="E33" s="13" t="str">
        <f>IFERROR(__xludf.DUMMYFUNCTION("""COMPUTED_VALUE"""),"PERALIHAN JUAL BELI")</f>
        <v>PERALIHAN JUAL BELI</v>
      </c>
      <c r="F33" s="13" t="str">
        <f>IFERROR(__xludf.DUMMYFUNCTION("""COMPUTED_VALUE"""),"ADE HERDIANYAH/WHINDA YULIANTI")</f>
        <v>ADE HERDIANYAH/WHINDA YULIANTI</v>
      </c>
      <c r="G33" s="13">
        <f t="shared" si="1"/>
        <v>25</v>
      </c>
      <c r="H33" s="13" t="str">
        <f>IFERROR(__xludf.DUMMYFUNCTION("""COMPUTED_VALUE"""),"P0")</f>
        <v>P0</v>
      </c>
    </row>
    <row r="34" ht="22.5" customHeight="1">
      <c r="B34" s="19" t="str">
        <f>IFERROR(__xludf.DUMMYFUNCTION("""COMPUTED_VALUE"""),"K/29/141024/1")</f>
        <v>K/29/141024/1</v>
      </c>
      <c r="C34" s="19" t="str">
        <f>IFERROR(__xludf.DUMMYFUNCTION("""COMPUTED_VALUE"""),"M. 2445/ SUKADANA HAM")</f>
        <v>M. 2445/ SUKADANA HAM</v>
      </c>
      <c r="D34" s="17">
        <f>IFERROR(__xludf.DUMMYFUNCTION("""COMPUTED_VALUE"""),45579.577937511574)</f>
        <v>45579.57794</v>
      </c>
      <c r="E34" s="13" t="str">
        <f>IFERROR(__xludf.DUMMYFUNCTION("""COMPUTED_VALUE"""),"PTPGT PEMECAHAN")</f>
        <v>PTPGT PEMECAHAN</v>
      </c>
      <c r="F34" s="13" t="str">
        <f>IFERROR(__xludf.DUMMYFUNCTION("""COMPUTED_VALUE"""),"GUNAWAN")</f>
        <v>GUNAWAN</v>
      </c>
      <c r="G34" s="13">
        <f t="shared" si="1"/>
        <v>26</v>
      </c>
      <c r="H34" s="13" t="str">
        <f>IFERROR(__xludf.DUMMYFUNCTION("""COMPUTED_VALUE"""),"P0")</f>
        <v>P0</v>
      </c>
    </row>
    <row r="35" ht="22.5" customHeight="1">
      <c r="B35" s="19" t="str">
        <f>IFERROR(__xludf.DUMMYFUNCTION("""COMPUTED_VALUE"""),"K/30/141024/1")</f>
        <v>K/30/141024/1</v>
      </c>
      <c r="C35" s="19" t="str">
        <f>IFERROR(__xludf.DUMMYFUNCTION("""COMPUTED_VALUE"""),"M.2617/WAY KANDIS")</f>
        <v>M.2617/WAY KANDIS</v>
      </c>
      <c r="D35" s="17">
        <f>IFERROR(__xludf.DUMMYFUNCTION("""COMPUTED_VALUE"""),45579.580212719906)</f>
        <v>45579.58021</v>
      </c>
      <c r="E35" s="13" t="str">
        <f>IFERROR(__xludf.DUMMYFUNCTION("""COMPUTED_VALUE"""),"ROYA")</f>
        <v>ROYA</v>
      </c>
      <c r="F35" s="13" t="str">
        <f>IFERROR(__xludf.DUMMYFUNCTION("""COMPUTED_VALUE"""),"SUHARTONO/KRISTINA SIAHAAN")</f>
        <v>SUHARTONO/KRISTINA SIAHAAN</v>
      </c>
      <c r="G35" s="13">
        <f t="shared" si="1"/>
        <v>27</v>
      </c>
      <c r="H35" s="13" t="str">
        <f>IFERROR(__xludf.DUMMYFUNCTION("""COMPUTED_VALUE"""),"P0")</f>
        <v>P0</v>
      </c>
    </row>
    <row r="36" ht="22.5" customHeight="1">
      <c r="B36" s="19" t="str">
        <f>IFERROR(__xludf.DUMMYFUNCTION("""COMPUTED_VALUE"""),"K/31/141024/1")</f>
        <v>K/31/141024/1</v>
      </c>
      <c r="C36" s="19" t="str">
        <f>IFERROR(__xludf.DUMMYFUNCTION("""COMPUTED_VALUE"""),"NIBEL 1691/ SUKABUMI INDAH")</f>
        <v>NIBEL 1691/ SUKABUMI INDAH</v>
      </c>
      <c r="D36" s="17">
        <f>IFERROR(__xludf.DUMMYFUNCTION("""COMPUTED_VALUE"""),45579.584890625)</f>
        <v>45579.58489</v>
      </c>
      <c r="E36" s="13" t="str">
        <f>IFERROR(__xludf.DUMMYFUNCTION("""COMPUTED_VALUE"""),"PERUBAHAN HAK")</f>
        <v>PERUBAHAN HAK</v>
      </c>
      <c r="F36" s="13" t="str">
        <f>IFERROR(__xludf.DUMMYFUNCTION("""COMPUTED_VALUE"""),"APRILLIYANI")</f>
        <v>APRILLIYANI</v>
      </c>
      <c r="G36" s="13">
        <f t="shared" si="1"/>
        <v>28</v>
      </c>
      <c r="H36" s="13" t="str">
        <f>IFERROR(__xludf.DUMMYFUNCTION("""COMPUTED_VALUE"""),"P0")</f>
        <v>P0</v>
      </c>
    </row>
    <row r="37" ht="22.5" customHeight="1">
      <c r="B37" s="19" t="str">
        <f>IFERROR(__xludf.DUMMYFUNCTION("""COMPUTED_VALUE"""),"L/34/141024/1")</f>
        <v>L/34/141024/1</v>
      </c>
      <c r="C37" s="19" t="str">
        <f>IFERROR(__xludf.DUMMYFUNCTION("""COMPUTED_VALUE"""),"KORPRI JAYA")</f>
        <v>KORPRI JAYA</v>
      </c>
      <c r="D37" s="17">
        <f>IFERROR(__xludf.DUMMYFUNCTION("""COMPUTED_VALUE"""),45579.591902245375)</f>
        <v>45579.5919</v>
      </c>
      <c r="E37" s="13" t="str">
        <f>IFERROR(__xludf.DUMMYFUNCTION("""COMPUTED_VALUE"""),"PERTAMA KALI")</f>
        <v>PERTAMA KALI</v>
      </c>
      <c r="F37" s="13" t="str">
        <f>IFERROR(__xludf.DUMMYFUNCTION("""COMPUTED_VALUE"""),"RENNY SILALAHI")</f>
        <v>RENNY SILALAHI</v>
      </c>
      <c r="G37" s="13">
        <f t="shared" si="1"/>
        <v>29</v>
      </c>
      <c r="H37" s="13" t="str">
        <f>IFERROR(__xludf.DUMMYFUNCTION("""COMPUTED_VALUE"""),"P0")</f>
        <v>P0</v>
      </c>
    </row>
    <row r="38" ht="22.5" customHeight="1">
      <c r="B38" s="19" t="str">
        <f>IFERROR(__xludf.DUMMYFUNCTION("""COMPUTED_VALUE"""),"L/33/141024/1")</f>
        <v>L/33/141024/1</v>
      </c>
      <c r="C38" s="19" t="str">
        <f>IFERROR(__xludf.DUMMYFUNCTION("""COMPUTED_VALUE"""),"M.1540/GUNUNG TERANG;B.17/GU TERANG-DAHULU")</f>
        <v>M.1540/GUNUNG TERANG;B.17/GU TERANG-DAHULU</v>
      </c>
      <c r="D38" s="17">
        <f>IFERROR(__xludf.DUMMYFUNCTION("""COMPUTED_VALUE"""),45579.59196659722)</f>
        <v>45579.59197</v>
      </c>
      <c r="E38" s="13" t="str">
        <f>IFERROR(__xludf.DUMMYFUNCTION("""COMPUTED_VALUE"""),"ROYA")</f>
        <v>ROYA</v>
      </c>
      <c r="F38" s="13" t="str">
        <f>IFERROR(__xludf.DUMMYFUNCTION("""COMPUTED_VALUE"""),"MOCHAMAD MA'RUF")</f>
        <v>MOCHAMAD MA'RUF</v>
      </c>
      <c r="G38" s="13">
        <f t="shared" si="1"/>
        <v>30</v>
      </c>
      <c r="H38" s="13" t="str">
        <f>IFERROR(__xludf.DUMMYFUNCTION("""COMPUTED_VALUE"""),"P0")</f>
        <v>P0</v>
      </c>
    </row>
    <row r="39" ht="22.5" customHeight="1">
      <c r="B39" s="19" t="str">
        <f>IFERROR(__xludf.DUMMYFUNCTION("""COMPUTED_VALUE"""),"K/32/141024/1")</f>
        <v>K/32/141024/1</v>
      </c>
      <c r="C39" s="19" t="str">
        <f>IFERROR(__xludf.DUMMYFUNCTION("""COMPUTED_VALUE"""),"M.10108/LABUHAN RATU")</f>
        <v>M.10108/LABUHAN RATU</v>
      </c>
      <c r="D39" s="17">
        <f>IFERROR(__xludf.DUMMYFUNCTION("""COMPUTED_VALUE"""),45579.59303643518)</f>
        <v>45579.59304</v>
      </c>
      <c r="E39" s="13" t="str">
        <f>IFERROR(__xludf.DUMMYFUNCTION("""COMPUTED_VALUE"""),"GANDES")</f>
        <v>GANDES</v>
      </c>
      <c r="F39" s="13" t="str">
        <f>IFERROR(__xludf.DUMMYFUNCTION("""COMPUTED_VALUE"""),"ICHWANTO/BUDI KRISTIYANTO")</f>
        <v>ICHWANTO/BUDI KRISTIYANTO</v>
      </c>
      <c r="G39" s="13">
        <f t="shared" si="1"/>
        <v>31</v>
      </c>
      <c r="H39" s="13" t="str">
        <f>IFERROR(__xludf.DUMMYFUNCTION("""COMPUTED_VALUE"""),"P0")</f>
        <v>P0</v>
      </c>
    </row>
    <row r="40" ht="22.5" customHeight="1">
      <c r="B40" s="19" t="str">
        <f>IFERROR(__xludf.DUMMYFUNCTION("""COMPUTED_VALUE"""),"L/35/141024/1")</f>
        <v>L/35/141024/1</v>
      </c>
      <c r="C40" s="19" t="str">
        <f>IFERROR(__xludf.DUMMYFUNCTION("""COMPUTED_VALUE"""),"M.676/SAWAH BREBES")</f>
        <v>M.676/SAWAH BREBES</v>
      </c>
      <c r="D40" s="17">
        <f>IFERROR(__xludf.DUMMYFUNCTION("""COMPUTED_VALUE"""),45579.59566706019)</f>
        <v>45579.59567</v>
      </c>
      <c r="E40" s="13" t="str">
        <f>IFERROR(__xludf.DUMMYFUNCTION("""COMPUTED_VALUE"""),"ROYA LELANG")</f>
        <v>ROYA LELANG</v>
      </c>
      <c r="F40" s="13" t="str">
        <f>IFERROR(__xludf.DUMMYFUNCTION("""COMPUTED_VALUE"""),"DEBY JULISDA")</f>
        <v>DEBY JULISDA</v>
      </c>
      <c r="G40" s="13">
        <f t="shared" si="1"/>
        <v>32</v>
      </c>
      <c r="H40" s="13" t="str">
        <f>IFERROR(__xludf.DUMMYFUNCTION("""COMPUTED_VALUE"""),"P0")</f>
        <v>P0</v>
      </c>
    </row>
    <row r="41" ht="22.5" customHeight="1">
      <c r="B41" s="19" t="str">
        <f>IFERROR(__xludf.DUMMYFUNCTION("""COMPUTED_VALUE"""),"K/36/141024/1")</f>
        <v>K/36/141024/1</v>
      </c>
      <c r="C41" s="19" t="str">
        <f>IFERROR(__xludf.DUMMYFUNCTION("""COMPUTED_VALUE"""),"M.250/LANGKAPURA BARU")</f>
        <v>M.250/LANGKAPURA BARU</v>
      </c>
      <c r="D41" s="17">
        <f>IFERROR(__xludf.DUMMYFUNCTION("""COMPUTED_VALUE"""),45579.59832927083)</f>
        <v>45579.59833</v>
      </c>
      <c r="E41" s="13" t="str">
        <f>IFERROR(__xludf.DUMMYFUNCTION("""COMPUTED_VALUE"""),"PERALIHAN JUAL BELI ")</f>
        <v>PERALIHAN JUAL BELI </v>
      </c>
      <c r="F41" s="13" t="str">
        <f>IFERROR(__xludf.DUMMYFUNCTION("""COMPUTED_VALUE"""),"YUDA SAPUTRA/I MADE RETUG")</f>
        <v>YUDA SAPUTRA/I MADE RETUG</v>
      </c>
      <c r="G41" s="13">
        <f t="shared" si="1"/>
        <v>33</v>
      </c>
      <c r="H41" s="13" t="str">
        <f>IFERROR(__xludf.DUMMYFUNCTION("""COMPUTED_VALUE"""),"P0")</f>
        <v>P0</v>
      </c>
    </row>
    <row r="42" ht="22.5" customHeight="1">
      <c r="B42" s="19" t="str">
        <f>IFERROR(__xludf.DUMMYFUNCTION("""COMPUTED_VALUE"""),"K/37/141024/1")</f>
        <v>K/37/141024/1</v>
      </c>
      <c r="C42" s="19" t="str">
        <f>IFERROR(__xludf.DUMMYFUNCTION("""COMPUTED_VALUE"""),"-")</f>
        <v>-</v>
      </c>
      <c r="D42" s="17">
        <f>IFERROR(__xludf.DUMMYFUNCTION("""COMPUTED_VALUE"""),45579.60091741898)</f>
        <v>45579.60092</v>
      </c>
      <c r="E42" s="13" t="str">
        <f>IFERROR(__xludf.DUMMYFUNCTION("""COMPUTED_VALUE"""),"PERALIHAN JUAL BELI ")</f>
        <v>PERALIHAN JUAL BELI </v>
      </c>
      <c r="F42" s="13" t="str">
        <f>IFERROR(__xludf.DUMMYFUNCTION("""COMPUTED_VALUE"""),"PT KEONG NUSANTARA ABADI/KHRESNA DJUAINI")</f>
        <v>PT KEONG NUSANTARA ABADI/KHRESNA DJUAINI</v>
      </c>
      <c r="G42" s="13">
        <f t="shared" si="1"/>
        <v>33</v>
      </c>
      <c r="H42" s="13" t="str">
        <f>IFERROR(__xludf.DUMMYFUNCTION("""COMPUTED_VALUE"""),"P0")</f>
        <v>P0</v>
      </c>
    </row>
    <row r="43" ht="22.5" customHeight="1">
      <c r="B43" s="19" t="str">
        <f>IFERROR(__xludf.DUMMYFUNCTION("""COMPUTED_VALUE"""),"K/38/141024/1")</f>
        <v>K/38/141024/1</v>
      </c>
      <c r="C43" s="19" t="str">
        <f>IFERROR(__xludf.DUMMYFUNCTION("""COMPUTED_VALUE"""),"M. 3157/ LABUHAN DALAM")</f>
        <v>M. 3157/ LABUHAN DALAM</v>
      </c>
      <c r="D43" s="17">
        <f>IFERROR(__xludf.DUMMYFUNCTION("""COMPUTED_VALUE"""),45579.60111422454)</f>
        <v>45579.60111</v>
      </c>
      <c r="E43" s="13" t="str">
        <f>IFERROR(__xludf.DUMMYFUNCTION("""COMPUTED_VALUE"""),"PERALIHAN HAK JUAL BELI")</f>
        <v>PERALIHAN HAK JUAL BELI</v>
      </c>
      <c r="F43" s="13" t="str">
        <f>IFERROR(__xludf.DUMMYFUNCTION("""COMPUTED_VALUE"""),"ISMARINA")</f>
        <v>ISMARINA</v>
      </c>
      <c r="G43" s="13">
        <f t="shared" si="1"/>
        <v>34</v>
      </c>
      <c r="H43" s="13" t="str">
        <f>IFERROR(__xludf.DUMMYFUNCTION("""COMPUTED_VALUE"""),"P0")</f>
        <v>P0</v>
      </c>
    </row>
    <row r="44" ht="22.5" customHeight="1">
      <c r="B44" s="19" t="str">
        <f>IFERROR(__xludf.DUMMYFUNCTION("""COMPUTED_VALUE"""),"K/39/141024/1")</f>
        <v>K/39/141024/1</v>
      </c>
      <c r="C44" s="19" t="str">
        <f>IFERROR(__xludf.DUMMYFUNCTION("""COMPUTED_VALUE"""),"M.379/KALI BALAU KENCANA ")</f>
        <v>M.379/KALI BALAU KENCANA </v>
      </c>
      <c r="D44" s="17">
        <f>IFERROR(__xludf.DUMMYFUNCTION("""COMPUTED_VALUE"""),45579.60447009259)</f>
        <v>45579.60447</v>
      </c>
      <c r="E44" s="13" t="str">
        <f>IFERROR(__xludf.DUMMYFUNCTION("""COMPUTED_VALUE"""),"GANDES")</f>
        <v>GANDES</v>
      </c>
      <c r="F44" s="13" t="str">
        <f>IFERROR(__xludf.DUMMYFUNCTION("""COMPUTED_VALUE"""),"MAHRODIN/VITTA N")</f>
        <v>MAHRODIN/VITTA N</v>
      </c>
      <c r="G44" s="13">
        <f t="shared" si="1"/>
        <v>35</v>
      </c>
      <c r="H44" s="13" t="str">
        <f>IFERROR(__xludf.DUMMYFUNCTION("""COMPUTED_VALUE"""),"P0")</f>
        <v>P0</v>
      </c>
    </row>
    <row r="45" ht="22.5" customHeight="1">
      <c r="B45" s="19" t="str">
        <f>IFERROR(__xludf.DUMMYFUNCTION("""COMPUTED_VALUE"""),"K/40/141024/5")</f>
        <v>K/40/141024/5</v>
      </c>
      <c r="C45" s="19" t="str">
        <f>IFERROR(__xludf.DUMMYFUNCTION("""COMPUTED_VALUE"""),"NIBEL 2507/ SUMUR BATU")</f>
        <v>NIBEL 2507/ SUMUR BATU</v>
      </c>
      <c r="D45" s="17">
        <f>IFERROR(__xludf.DUMMYFUNCTION("""COMPUTED_VALUE"""),45579.608445578706)</f>
        <v>45579.60845</v>
      </c>
      <c r="E45" s="13" t="str">
        <f>IFERROR(__xludf.DUMMYFUNCTION("""COMPUTED_VALUE"""),"PERALIHAN JUAL BELI")</f>
        <v>PERALIHAN JUAL BELI</v>
      </c>
      <c r="F45" s="13" t="str">
        <f>IFERROR(__xludf.DUMMYFUNCTION("""COMPUTED_VALUE"""),"MURSALIN")</f>
        <v>MURSALIN</v>
      </c>
      <c r="G45" s="13">
        <f t="shared" si="1"/>
        <v>36</v>
      </c>
      <c r="H45" s="13" t="str">
        <f>IFERROR(__xludf.DUMMYFUNCTION("""COMPUTED_VALUE"""),"P0")</f>
        <v>P0</v>
      </c>
    </row>
    <row r="46" ht="22.5" customHeight="1">
      <c r="B46" s="19" t="str">
        <f>IFERROR(__xludf.DUMMYFUNCTION("""COMPUTED_VALUE"""),"K/42/141024/1")</f>
        <v>K/42/141024/1</v>
      </c>
      <c r="C46" s="19" t="str">
        <f>IFERROR(__xludf.DUMMYFUNCTION("""COMPUTED_VALUE"""),"M.10676/KEDATON")</f>
        <v>M.10676/KEDATON</v>
      </c>
      <c r="D46" s="17">
        <f>IFERROR(__xludf.DUMMYFUNCTION("""COMPUTED_VALUE"""),45579.61593804398)</f>
        <v>45579.61594</v>
      </c>
      <c r="E46" s="13" t="str">
        <f>IFERROR(__xludf.DUMMYFUNCTION("""COMPUTED_VALUE"""),"GANDES")</f>
        <v>GANDES</v>
      </c>
      <c r="F46" s="13" t="str">
        <f>IFERROR(__xludf.DUMMYFUNCTION("""COMPUTED_VALUE"""),"DARWIN RUSLINUR/EWON GUNAWAN")</f>
        <v>DARWIN RUSLINUR/EWON GUNAWAN</v>
      </c>
      <c r="G46" s="13">
        <f t="shared" si="1"/>
        <v>37</v>
      </c>
      <c r="H46" s="13" t="str">
        <f>IFERROR(__xludf.DUMMYFUNCTION("""COMPUTED_VALUE"""),"P0")</f>
        <v>P0</v>
      </c>
    </row>
    <row r="47" ht="22.5" customHeight="1">
      <c r="B47" s="19" t="str">
        <f>IFERROR(__xludf.DUMMYFUNCTION("""COMPUTED_VALUE"""),"K/41/141024/1")</f>
        <v>K/41/141024/1</v>
      </c>
      <c r="C47" s="19" t="str">
        <f>IFERROR(__xludf.DUMMYFUNCTION("""COMPUTED_VALUE"""),"M. 2283/ GEDONG AIR")</f>
        <v>M. 2283/ GEDONG AIR</v>
      </c>
      <c r="D47" s="17">
        <f>IFERROR(__xludf.DUMMYFUNCTION("""COMPUTED_VALUE"""),45579.61630037037)</f>
        <v>45579.6163</v>
      </c>
      <c r="E47" s="13" t="str">
        <f>IFERROR(__xludf.DUMMYFUNCTION("""COMPUTED_VALUE"""),"ROYA ")</f>
        <v>ROYA </v>
      </c>
      <c r="F47" s="13" t="str">
        <f>IFERROR(__xludf.DUMMYFUNCTION("""COMPUTED_VALUE"""),"RAHMADIYANTI")</f>
        <v>RAHMADIYANTI</v>
      </c>
      <c r="G47" s="13">
        <f t="shared" si="1"/>
        <v>38</v>
      </c>
      <c r="H47" s="13" t="str">
        <f>IFERROR(__xludf.DUMMYFUNCTION("""COMPUTED_VALUE"""),"P0")</f>
        <v>P0</v>
      </c>
    </row>
    <row r="48" ht="22.5" customHeight="1">
      <c r="B48" s="19" t="str">
        <f>IFERROR(__xludf.DUMMYFUNCTION("""COMPUTED_VALUE"""),"K/43/141024/1")</f>
        <v>K/43/141024/1</v>
      </c>
      <c r="C48" s="19" t="str">
        <f>IFERROR(__xludf.DUMMYFUNCTION("""COMPUTED_VALUE"""),"B.2096/CAMPANG RAYA")</f>
        <v>B.2096/CAMPANG RAYA</v>
      </c>
      <c r="D48" s="17">
        <f>IFERROR(__xludf.DUMMYFUNCTION("""COMPUTED_VALUE"""),45579.62726357639)</f>
        <v>45579.62726</v>
      </c>
      <c r="E48" s="13" t="str">
        <f>IFERROR(__xludf.DUMMYFUNCTION("""COMPUTED_VALUE"""),"GANDES")</f>
        <v>GANDES</v>
      </c>
      <c r="F48" s="13" t="str">
        <f>IFERROR(__xludf.DUMMYFUNCTION("""COMPUTED_VALUE"""),"PT SUKSES CIPTAGRIYA LESTARI/PANARY SITOPU")</f>
        <v>PT SUKSES CIPTAGRIYA LESTARI/PANARY SITOPU</v>
      </c>
      <c r="G48" s="13">
        <f t="shared" si="1"/>
        <v>39</v>
      </c>
      <c r="H48" s="13" t="str">
        <f>IFERROR(__xludf.DUMMYFUNCTION("""COMPUTED_VALUE"""),"P0")</f>
        <v>P0</v>
      </c>
    </row>
    <row r="49" ht="22.5" customHeight="1">
      <c r="B49" s="19" t="str">
        <f>IFERROR(__xludf.DUMMYFUNCTION("""COMPUTED_VALUE"""),"K/44/141024/2")</f>
        <v>K/44/141024/2</v>
      </c>
      <c r="C49" s="19" t="str">
        <f>IFERROR(__xludf.DUMMYFUNCTION("""COMPUTED_VALUE"""),"B.2095/CAMPANG RAYA")</f>
        <v>B.2095/CAMPANG RAYA</v>
      </c>
      <c r="D49" s="17">
        <f>IFERROR(__xludf.DUMMYFUNCTION("""COMPUTED_VALUE"""),45579.62802350694)</f>
        <v>45579.62802</v>
      </c>
      <c r="E49" s="13" t="str">
        <f>IFERROR(__xludf.DUMMYFUNCTION("""COMPUTED_VALUE"""),"GANDES")</f>
        <v>GANDES</v>
      </c>
      <c r="F49" s="13" t="str">
        <f>IFERROR(__xludf.DUMMYFUNCTION("""COMPUTED_VALUE"""),"PT SUKSES CIPTAGRIYA LESTARI/PANARY SITOPU")</f>
        <v>PT SUKSES CIPTAGRIYA LESTARI/PANARY SITOPU</v>
      </c>
      <c r="G49" s="13">
        <f t="shared" si="1"/>
        <v>40</v>
      </c>
      <c r="H49" s="13" t="str">
        <f>IFERROR(__xludf.DUMMYFUNCTION("""COMPUTED_VALUE"""),"P0")</f>
        <v>P0</v>
      </c>
    </row>
    <row r="50" ht="22.5" customHeight="1">
      <c r="B50" s="19" t="str">
        <f>IFERROR(__xludf.DUMMYFUNCTION("""COMPUTED_VALUE"""),"K/45/151024/1")</f>
        <v>K/45/151024/1</v>
      </c>
      <c r="C50" s="19" t="str">
        <f>IFERROR(__xludf.DUMMYFUNCTION("""COMPUTED_VALUE"""),"M. 2732/ KOTA BARU")</f>
        <v>M. 2732/ KOTA BARU</v>
      </c>
      <c r="D50" s="17">
        <f>IFERROR(__xludf.DUMMYFUNCTION("""COMPUTED_VALUE"""),45580.36647100694)</f>
        <v>45580.36647</v>
      </c>
      <c r="E50" s="13" t="str">
        <f>IFERROR(__xludf.DUMMYFUNCTION("""COMPUTED_VALUE"""),"PERALIHAN HAK KEWARISAN")</f>
        <v>PERALIHAN HAK KEWARISAN</v>
      </c>
      <c r="F50" s="13" t="str">
        <f>IFERROR(__xludf.DUMMYFUNCTION("""COMPUTED_VALUE"""),"ABDUL GANI/ DODI SUWANTO CS")</f>
        <v>ABDUL GANI/ DODI SUWANTO CS</v>
      </c>
      <c r="G50" s="13">
        <f t="shared" si="1"/>
        <v>41</v>
      </c>
      <c r="H50" s="13" t="str">
        <f>IFERROR(__xludf.DUMMYFUNCTION("""COMPUTED_VALUE"""),"P0")</f>
        <v>P0</v>
      </c>
    </row>
    <row r="51" ht="22.5" customHeight="1">
      <c r="B51" s="19" t="str">
        <f>IFERROR(__xludf.DUMMYFUNCTION("""COMPUTED_VALUE"""),"K/46/151024/2")</f>
        <v>K/46/151024/2</v>
      </c>
      <c r="C51" s="19" t="str">
        <f>IFERROR(__xludf.DUMMYFUNCTION("""COMPUTED_VALUE"""),"M. 534/ SUMBEREJO SEJAHTERA")</f>
        <v>M. 534/ SUMBEREJO SEJAHTERA</v>
      </c>
      <c r="D51" s="17">
        <f>IFERROR(__xludf.DUMMYFUNCTION("""COMPUTED_VALUE"""),45580.36855835648)</f>
        <v>45580.36856</v>
      </c>
      <c r="E51" s="13" t="str">
        <f>IFERROR(__xludf.DUMMYFUNCTION("""COMPUTED_VALUE"""),"PTPGT")</f>
        <v>PTPGT</v>
      </c>
      <c r="F51" s="13" t="str">
        <f>IFERROR(__xludf.DUMMYFUNCTION("""COMPUTED_VALUE"""),"ABDUL GANI/ SUHARI YANTI")</f>
        <v>ABDUL GANI/ SUHARI YANTI</v>
      </c>
      <c r="G51" s="13">
        <f t="shared" si="1"/>
        <v>42</v>
      </c>
      <c r="H51" s="13" t="str">
        <f>IFERROR(__xludf.DUMMYFUNCTION("""COMPUTED_VALUE"""),"P0")</f>
        <v>P0</v>
      </c>
    </row>
    <row r="52" ht="22.5" customHeight="1">
      <c r="B52" s="19" t="str">
        <f>IFERROR(__xludf.DUMMYFUNCTION("""COMPUTED_VALUE"""),"K/1/151024/1")</f>
        <v>K/1/151024/1</v>
      </c>
      <c r="C52" s="19" t="str">
        <f>IFERROR(__xludf.DUMMYFUNCTION("""COMPUTED_VALUE"""),"M. 777/ GEDONG PAKUON")</f>
        <v>M. 777/ GEDONG PAKUON</v>
      </c>
      <c r="D52" s="17">
        <f>IFERROR(__xludf.DUMMYFUNCTION("""COMPUTED_VALUE"""),45580.38408798611)</f>
        <v>45580.38409</v>
      </c>
      <c r="E52" s="13" t="str">
        <f>IFERROR(__xludf.DUMMYFUNCTION("""COMPUTED_VALUE"""),"PENGECEKKAN")</f>
        <v>PENGECEKKAN</v>
      </c>
      <c r="F52" s="13" t="str">
        <f>IFERROR(__xludf.DUMMYFUNCTION("""COMPUTED_VALUE"""),"CITRA AYU WARDANI/ ASTARI")</f>
        <v>CITRA AYU WARDANI/ ASTARI</v>
      </c>
      <c r="G52" s="13">
        <f t="shared" si="1"/>
        <v>43</v>
      </c>
      <c r="H52" s="13" t="str">
        <f>IFERROR(__xludf.DUMMYFUNCTION("""COMPUTED_VALUE"""),"P0")</f>
        <v>P0</v>
      </c>
    </row>
    <row r="53" ht="22.5" customHeight="1">
      <c r="B53" s="19" t="str">
        <f>IFERROR(__xludf.DUMMYFUNCTION("""COMPUTED_VALUE"""),"K/2/151024/2")</f>
        <v>K/2/151024/2</v>
      </c>
      <c r="C53" s="19" t="str">
        <f>IFERROR(__xludf.DUMMYFUNCTION("""COMPUTED_VALUE"""),"M. 12840/ SEGALA MIDER")</f>
        <v>M. 12840/ SEGALA MIDER</v>
      </c>
      <c r="D53" s="17">
        <f>IFERROR(__xludf.DUMMYFUNCTION("""COMPUTED_VALUE"""),45580.385649131946)</f>
        <v>45580.38565</v>
      </c>
      <c r="E53" s="13" t="str">
        <f>IFERROR(__xludf.DUMMYFUNCTION("""COMPUTED_VALUE"""),"PENGECEKKAN")</f>
        <v>PENGECEKKAN</v>
      </c>
      <c r="F53" s="13" t="str">
        <f>IFERROR(__xludf.DUMMYFUNCTION("""COMPUTED_VALUE"""),"CITRA AYU W/ RISHNALDI")</f>
        <v>CITRA AYU W/ RISHNALDI</v>
      </c>
      <c r="G53" s="13">
        <f t="shared" si="1"/>
        <v>44</v>
      </c>
      <c r="H53" s="13" t="str">
        <f>IFERROR(__xludf.DUMMYFUNCTION("""COMPUTED_VALUE"""),"P0")</f>
        <v>P0</v>
      </c>
    </row>
    <row r="54" ht="22.5" customHeight="1">
      <c r="B54" s="19" t="str">
        <f>IFERROR(__xludf.DUMMYFUNCTION("""COMPUTED_VALUE"""),"K/3/151024/1")</f>
        <v>K/3/151024/1</v>
      </c>
      <c r="C54" s="19" t="str">
        <f>IFERROR(__xludf.DUMMYFUNCTION("""COMPUTED_VALUE"""),"B. 613/ SUMUR PUTRI")</f>
        <v>B. 613/ SUMUR PUTRI</v>
      </c>
      <c r="D54" s="17">
        <f>IFERROR(__xludf.DUMMYFUNCTION("""COMPUTED_VALUE"""),45580.394699537035)</f>
        <v>45580.3947</v>
      </c>
      <c r="E54" s="13" t="str">
        <f>IFERROR(__xludf.DUMMYFUNCTION("""COMPUTED_VALUE"""),"PERALIHAN JUAL BELI")</f>
        <v>PERALIHAN JUAL BELI</v>
      </c>
      <c r="F54" s="13" t="str">
        <f>IFERROR(__xludf.DUMMYFUNCTION("""COMPUTED_VALUE"""),"EVA SURIANI / YOSEF OKTOROZI")</f>
        <v>EVA SURIANI / YOSEF OKTOROZI</v>
      </c>
      <c r="G54" s="13">
        <f t="shared" si="1"/>
        <v>45</v>
      </c>
      <c r="H54" s="13" t="str">
        <f>IFERROR(__xludf.DUMMYFUNCTION("""COMPUTED_VALUE"""),"P0")</f>
        <v>P0</v>
      </c>
    </row>
    <row r="55" ht="22.5" customHeight="1">
      <c r="B55" s="19" t="str">
        <f>IFERROR(__xludf.DUMMYFUNCTION("""COMPUTED_VALUE"""),"K/4/151024/1")</f>
        <v>K/4/151024/1</v>
      </c>
      <c r="C55" s="19" t="str">
        <f>IFERROR(__xludf.DUMMYFUNCTION("""COMPUTED_VALUE"""),"M. 10315/ Rajabasa")</f>
        <v>M. 10315/ Rajabasa</v>
      </c>
      <c r="D55" s="17">
        <f>IFERROR(__xludf.DUMMYFUNCTION("""COMPUTED_VALUE"""),45580.39812384259)</f>
        <v>45580.39812</v>
      </c>
      <c r="E55" s="13" t="str">
        <f>IFERROR(__xludf.DUMMYFUNCTION("""COMPUTED_VALUE"""),"Roya")</f>
        <v>Roya</v>
      </c>
      <c r="F55" s="13" t="str">
        <f>IFERROR(__xludf.DUMMYFUNCTION("""COMPUTED_VALUE"""),"Renaldi Pratama S/ Rahmat Mirzani D")</f>
        <v>Renaldi Pratama S/ Rahmat Mirzani D</v>
      </c>
      <c r="G55" s="13">
        <f t="shared" si="1"/>
        <v>46</v>
      </c>
      <c r="H55" s="13" t="str">
        <f>IFERROR(__xludf.DUMMYFUNCTION("""COMPUTED_VALUE"""),"P0")</f>
        <v>P0</v>
      </c>
    </row>
    <row r="56" ht="22.5" customHeight="1">
      <c r="B56" s="19" t="str">
        <f>IFERROR(__xludf.DUMMYFUNCTION("""COMPUTED_VALUE"""),"K/5/151024/2")</f>
        <v>K/5/151024/2</v>
      </c>
      <c r="C56" s="19" t="str">
        <f>IFERROR(__xludf.DUMMYFUNCTION("""COMPUTED_VALUE"""),"M. 1952/ Langkapura")</f>
        <v>M. 1952/ Langkapura</v>
      </c>
      <c r="D56" s="17">
        <f>IFERROR(__xludf.DUMMYFUNCTION("""COMPUTED_VALUE"""),45580.401090810185)</f>
        <v>45580.40109</v>
      </c>
      <c r="E56" s="13" t="str">
        <f>IFERROR(__xludf.DUMMYFUNCTION("""COMPUTED_VALUE"""),"Roya ")</f>
        <v>Roya </v>
      </c>
      <c r="F56" s="13" t="str">
        <f>IFERROR(__xludf.DUMMYFUNCTION("""COMPUTED_VALUE"""),"Renaldi Pratama S/ Nurul S")</f>
        <v>Renaldi Pratama S/ Nurul S</v>
      </c>
      <c r="G56" s="13">
        <f t="shared" si="1"/>
        <v>47</v>
      </c>
      <c r="H56" s="13" t="str">
        <f>IFERROR(__xludf.DUMMYFUNCTION("""COMPUTED_VALUE"""),"P0")</f>
        <v>P0</v>
      </c>
    </row>
    <row r="57" ht="22.5" customHeight="1">
      <c r="B57" s="19" t="str">
        <f>IFERROR(__xludf.DUMMYFUNCTION("""COMPUTED_VALUE"""),"L/8/151024/1")</f>
        <v>L/8/151024/1</v>
      </c>
      <c r="C57" s="19" t="str">
        <f>IFERROR(__xludf.DUMMYFUNCTION("""COMPUTED_VALUE"""),"NIB 0801000002556/KEMILING PERMAI")</f>
        <v>NIB 0801000002556/KEMILING PERMAI</v>
      </c>
      <c r="D57" s="17">
        <f>IFERROR(__xludf.DUMMYFUNCTION("""COMPUTED_VALUE"""),45580.40741165509)</f>
        <v>45580.40741</v>
      </c>
      <c r="E57" s="13" t="str">
        <f>IFERROR(__xludf.DUMMYFUNCTION("""COMPUTED_VALUE"""),"PERUBAHAN HAK")</f>
        <v>PERUBAHAN HAK</v>
      </c>
      <c r="F57" s="13" t="str">
        <f>IFERROR(__xludf.DUMMYFUNCTION("""COMPUTED_VALUE"""),"MALA HARTIANA")</f>
        <v>MALA HARTIANA</v>
      </c>
      <c r="G57" s="13">
        <f t="shared" si="1"/>
        <v>48</v>
      </c>
      <c r="H57" s="13" t="str">
        <f>IFERROR(__xludf.DUMMYFUNCTION("""COMPUTED_VALUE"""),"P0")</f>
        <v>P0</v>
      </c>
    </row>
    <row r="58" ht="22.5" customHeight="1">
      <c r="B58" s="19" t="str">
        <f>IFERROR(__xludf.DUMMYFUNCTION("""COMPUTED_VALUE"""),"K/7/151024/1")</f>
        <v>K/7/151024/1</v>
      </c>
      <c r="C58" s="19" t="str">
        <f>IFERROR(__xludf.DUMMYFUNCTION("""COMPUTED_VALUE"""),"NIBEL 874/ BUMI KEDAMAIAN")</f>
        <v>NIBEL 874/ BUMI KEDAMAIAN</v>
      </c>
      <c r="D58" s="17">
        <f>IFERROR(__xludf.DUMMYFUNCTION("""COMPUTED_VALUE"""),45580.40826240741)</f>
        <v>45580.40826</v>
      </c>
      <c r="E58" s="13" t="str">
        <f>IFERROR(__xludf.DUMMYFUNCTION("""COMPUTED_VALUE"""),"PERALIHAN JUAL BELI")</f>
        <v>PERALIHAN JUAL BELI</v>
      </c>
      <c r="F58" s="13" t="str">
        <f>IFERROR(__xludf.DUMMYFUNCTION("""COMPUTED_VALUE"""),"ALI LIUS / ANTHONY")</f>
        <v>ALI LIUS / ANTHONY</v>
      </c>
      <c r="G58" s="13">
        <f t="shared" si="1"/>
        <v>49</v>
      </c>
      <c r="H58" s="13" t="str">
        <f>IFERROR(__xludf.DUMMYFUNCTION("""COMPUTED_VALUE"""),"P0")</f>
        <v>P0</v>
      </c>
    </row>
    <row r="59" ht="22.5" customHeight="1">
      <c r="B59" s="19" t="str">
        <f>IFERROR(__xludf.DUMMYFUNCTION("""COMPUTED_VALUE"""),"K/6/151024/1")</f>
        <v>K/6/151024/1</v>
      </c>
      <c r="C59" s="19" t="str">
        <f>IFERROR(__xludf.DUMMYFUNCTION("""COMPUTED_VALUE"""),"M. 1931/ Campang Jaya")</f>
        <v>M. 1931/ Campang Jaya</v>
      </c>
      <c r="D59" s="17">
        <f>IFERROR(__xludf.DUMMYFUNCTION("""COMPUTED_VALUE"""),45580.412339918985)</f>
        <v>45580.41234</v>
      </c>
      <c r="E59" s="13" t="str">
        <f>IFERROR(__xludf.DUMMYFUNCTION("""COMPUTED_VALUE"""),"BN Jual Beli")</f>
        <v>BN Jual Beli</v>
      </c>
      <c r="F59" s="13" t="str">
        <f>IFERROR(__xludf.DUMMYFUNCTION("""COMPUTED_VALUE"""),"Ilanur/ Doni Kris M")</f>
        <v>Ilanur/ Doni Kris M</v>
      </c>
      <c r="G59" s="13">
        <f t="shared" si="1"/>
        <v>50</v>
      </c>
      <c r="H59" s="13" t="str">
        <f>IFERROR(__xludf.DUMMYFUNCTION("""COMPUTED_VALUE"""),"P0")</f>
        <v>P0</v>
      </c>
    </row>
    <row r="60" ht="22.5" customHeight="1">
      <c r="B60" s="19" t="str">
        <f>IFERROR(__xludf.DUMMYFUNCTION("""COMPUTED_VALUE"""),"K/9/151024/2")</f>
        <v>K/9/151024/2</v>
      </c>
      <c r="C60" s="19" t="str">
        <f>IFERROR(__xludf.DUMMYFUNCTION("""COMPUTED_VALUE"""),"M. 2400/ NOG;  M. 811/ Bakung; M. 131/NOG:")</f>
        <v>M. 2400/ NOG;  M. 811/ Bakung; M. 131/NOG:</v>
      </c>
      <c r="D60" s="17">
        <f>IFERROR(__xludf.DUMMYFUNCTION("""COMPUTED_VALUE"""),45580.41903491898)</f>
        <v>45580.41903</v>
      </c>
      <c r="E60" s="13" t="str">
        <f>IFERROR(__xludf.DUMMYFUNCTION("""COMPUTED_VALUE"""),"BN Jual Beli")</f>
        <v>BN Jual Beli</v>
      </c>
      <c r="F60" s="13" t="str">
        <f>IFERROR(__xludf.DUMMYFUNCTION("""COMPUTED_VALUE"""),"Ilanur/ Ailing")</f>
        <v>Ilanur/ Ailing</v>
      </c>
      <c r="G60" s="13">
        <f t="shared" si="1"/>
        <v>51</v>
      </c>
      <c r="H60" s="13" t="str">
        <f>IFERROR(__xludf.DUMMYFUNCTION("""COMPUTED_VALUE"""),"P0")</f>
        <v>P0</v>
      </c>
    </row>
    <row r="61" ht="22.5" customHeight="1">
      <c r="B61" s="19" t="str">
        <f>IFERROR(__xludf.DUMMYFUNCTION("""COMPUTED_VALUE"""),"L/10/151024/1")</f>
        <v>L/10/151024/1</v>
      </c>
      <c r="C61" s="19" t="str">
        <f>IFERROR(__xludf.DUMMYFUNCTION("""COMPUTED_VALUE"""),"B.561/NUSANTARA PERMAI;B.329/CAMPANG RAYA-DAHULU")</f>
        <v>B.561/NUSANTARA PERMAI;B.329/CAMPANG RAYA-DAHULU</v>
      </c>
      <c r="D61" s="17">
        <f>IFERROR(__xludf.DUMMYFUNCTION("""COMPUTED_VALUE"""),45580.42200319444)</f>
        <v>45580.422</v>
      </c>
      <c r="E61" s="13" t="str">
        <f>IFERROR(__xludf.DUMMYFUNCTION("""COMPUTED_VALUE"""),"PERUBAHAN HAK")</f>
        <v>PERUBAHAN HAK</v>
      </c>
      <c r="F61" s="13" t="str">
        <f>IFERROR(__xludf.DUMMYFUNCTION("""COMPUTED_VALUE"""),"AHMAD SUKRI")</f>
        <v>AHMAD SUKRI</v>
      </c>
      <c r="G61" s="13">
        <f t="shared" si="1"/>
        <v>52</v>
      </c>
      <c r="H61" s="13" t="str">
        <f>IFERROR(__xludf.DUMMYFUNCTION("""COMPUTED_VALUE"""),"P0")</f>
        <v>P0</v>
      </c>
    </row>
    <row r="62" ht="22.5" customHeight="1">
      <c r="B62" s="19" t="str">
        <f>IFERROR(__xludf.DUMMYFUNCTION("""COMPUTED_VALUE"""),"K/11/151024/1")</f>
        <v>K/11/151024/1</v>
      </c>
      <c r="C62" s="19" t="str">
        <f>IFERROR(__xludf.DUMMYFUNCTION("""COMPUTED_VALUE"""),"Nibel. M. 1869/ Sepang Jaya")</f>
        <v>Nibel. M. 1869/ Sepang Jaya</v>
      </c>
      <c r="D62" s="17">
        <f>IFERROR(__xludf.DUMMYFUNCTION("""COMPUTED_VALUE"""),45580.42409033565)</f>
        <v>45580.42409</v>
      </c>
      <c r="E62" s="13" t="str">
        <f>IFERROR(__xludf.DUMMYFUNCTION("""COMPUTED_VALUE"""),"BN Jual Beli")</f>
        <v>BN Jual Beli</v>
      </c>
      <c r="F62" s="13" t="str">
        <f>IFERROR(__xludf.DUMMYFUNCTION("""COMPUTED_VALUE"""),"Maryanti Kurniawan/ Suprapti R")</f>
        <v>Maryanti Kurniawan/ Suprapti R</v>
      </c>
      <c r="G62" s="13">
        <f t="shared" si="1"/>
        <v>53</v>
      </c>
      <c r="H62" s="13" t="str">
        <f>IFERROR(__xludf.DUMMYFUNCTION("""COMPUTED_VALUE"""),"P0")</f>
        <v>P0</v>
      </c>
    </row>
    <row r="63" ht="22.5" customHeight="1">
      <c r="B63" s="19" t="str">
        <f>IFERROR(__xludf.DUMMYFUNCTION("""COMPUTED_VALUE"""),"K/12/151024/2")</f>
        <v>K/12/151024/2</v>
      </c>
      <c r="C63" s="19" t="str">
        <f>IFERROR(__xludf.DUMMYFUNCTION("""COMPUTED_VALUE"""),"M. 288/ Kaliawi")</f>
        <v>M. 288/ Kaliawi</v>
      </c>
      <c r="D63" s="17">
        <f>IFERROR(__xludf.DUMMYFUNCTION("""COMPUTED_VALUE"""),45580.42576048611)</f>
        <v>45580.42576</v>
      </c>
      <c r="E63" s="13" t="str">
        <f>IFERROR(__xludf.DUMMYFUNCTION("""COMPUTED_VALUE"""),"BN Jual Beli")</f>
        <v>BN Jual Beli</v>
      </c>
      <c r="F63" s="13" t="str">
        <f>IFERROR(__xludf.DUMMYFUNCTION("""COMPUTED_VALUE"""),"Maryanti K/ Joko Setiawan")</f>
        <v>Maryanti K/ Joko Setiawan</v>
      </c>
      <c r="G63" s="13">
        <f t="shared" si="1"/>
        <v>54</v>
      </c>
      <c r="H63" s="13" t="str">
        <f>IFERROR(__xludf.DUMMYFUNCTION("""COMPUTED_VALUE"""),"P0")</f>
        <v>P0</v>
      </c>
    </row>
    <row r="64" ht="22.5" customHeight="1">
      <c r="B64" s="19" t="str">
        <f>IFERROR(__xludf.DUMMYFUNCTION("""COMPUTED_VALUE"""),"K/13/151024/3")</f>
        <v>K/13/151024/3</v>
      </c>
      <c r="C64" s="19" t="str">
        <f>IFERROR(__xludf.DUMMYFUNCTION("""COMPUTED_VALUE"""),"M. 41/ Kota Sepang")</f>
        <v>M. 41/ Kota Sepang</v>
      </c>
      <c r="D64" s="17">
        <f>IFERROR(__xludf.DUMMYFUNCTION("""COMPUTED_VALUE"""),45580.427211574075)</f>
        <v>45580.42721</v>
      </c>
      <c r="E64" s="13" t="str">
        <f>IFERROR(__xludf.DUMMYFUNCTION("""COMPUTED_VALUE"""),"BN Jual Beli")</f>
        <v>BN Jual Beli</v>
      </c>
      <c r="F64" s="13" t="str">
        <f>IFERROR(__xludf.DUMMYFUNCTION("""COMPUTED_VALUE"""),"Maryanti K/ Asri")</f>
        <v>Maryanti K/ Asri</v>
      </c>
      <c r="G64" s="13">
        <f t="shared" si="1"/>
        <v>55</v>
      </c>
      <c r="H64" s="13" t="str">
        <f>IFERROR(__xludf.DUMMYFUNCTION("""COMPUTED_VALUE"""),"P0")</f>
        <v>P0</v>
      </c>
    </row>
    <row r="65" ht="22.5" customHeight="1">
      <c r="B65" s="19" t="str">
        <f>IFERROR(__xludf.DUMMYFUNCTION("""COMPUTED_VALUE"""),"K/14/151024/1")</f>
        <v>K/14/151024/1</v>
      </c>
      <c r="C65" s="19" t="str">
        <f>IFERROR(__xludf.DUMMYFUNCTION("""COMPUTED_VALUE"""),"M. 3901/ Tanjung Senang")</f>
        <v>M. 3901/ Tanjung Senang</v>
      </c>
      <c r="D65" s="17">
        <f>IFERROR(__xludf.DUMMYFUNCTION("""COMPUTED_VALUE"""),45580.43018231481)</f>
        <v>45580.43018</v>
      </c>
      <c r="E65" s="13" t="str">
        <f>IFERROR(__xludf.DUMMYFUNCTION("""COMPUTED_VALUE"""),"Roya")</f>
        <v>Roya</v>
      </c>
      <c r="F65" s="13" t="str">
        <f>IFERROR(__xludf.DUMMYFUNCTION("""COMPUTED_VALUE"""),"Reflan R/ Mardhatillah")</f>
        <v>Reflan R/ Mardhatillah</v>
      </c>
      <c r="G65" s="13">
        <f t="shared" si="1"/>
        <v>56</v>
      </c>
      <c r="H65" s="13" t="str">
        <f>IFERROR(__xludf.DUMMYFUNCTION("""COMPUTED_VALUE"""),"P0")</f>
        <v>P0</v>
      </c>
    </row>
    <row r="66" ht="22.5" customHeight="1">
      <c r="B66" s="19" t="str">
        <f>IFERROR(__xludf.DUMMYFUNCTION("""COMPUTED_VALUE"""),"K/15/151024/1")</f>
        <v>K/15/151024/1</v>
      </c>
      <c r="C66" s="19" t="str">
        <f>IFERROR(__xludf.DUMMYFUNCTION("""COMPUTED_VALUE"""),"M. 2424/ KEDAUNG")</f>
        <v>M. 2424/ KEDAUNG</v>
      </c>
      <c r="D66" s="17">
        <f>IFERROR(__xludf.DUMMYFUNCTION("""COMPUTED_VALUE"""),45580.43752939814)</f>
        <v>45580.43753</v>
      </c>
      <c r="E66" s="13" t="str">
        <f>IFERROR(__xludf.DUMMYFUNCTION("""COMPUTED_VALUE"""),"BN JUAL BELI")</f>
        <v>BN JUAL BELI</v>
      </c>
      <c r="F66" s="13" t="str">
        <f>IFERROR(__xludf.DUMMYFUNCTION("""COMPUTED_VALUE"""),"M ARIEF S/ KADEK SETIAWAN")</f>
        <v>M ARIEF S/ KADEK SETIAWAN</v>
      </c>
      <c r="G66" s="13">
        <f t="shared" si="1"/>
        <v>57</v>
      </c>
      <c r="H66" s="13" t="str">
        <f>IFERROR(__xludf.DUMMYFUNCTION("""COMPUTED_VALUE"""),"P0")</f>
        <v>P0</v>
      </c>
    </row>
    <row r="67" ht="22.5" customHeight="1">
      <c r="B67" s="19" t="str">
        <f>IFERROR(__xludf.DUMMYFUNCTION("""COMPUTED_VALUE"""),"K/16/151024/2")</f>
        <v>K/16/151024/2</v>
      </c>
      <c r="C67" s="19" t="str">
        <f>IFERROR(__xludf.DUMMYFUNCTION("""COMPUTED_VALUE"""),"M. 2418/ KEDAUNG")</f>
        <v>M. 2418/ KEDAUNG</v>
      </c>
      <c r="D67" s="17">
        <f>IFERROR(__xludf.DUMMYFUNCTION("""COMPUTED_VALUE"""),45580.44058946759)</f>
        <v>45580.44059</v>
      </c>
      <c r="E67" s="13" t="str">
        <f>IFERROR(__xludf.DUMMYFUNCTION("""COMPUTED_VALUE"""),"BN JUAL BELI")</f>
        <v>BN JUAL BELI</v>
      </c>
      <c r="F67" s="13" t="str">
        <f>IFERROR(__xludf.DUMMYFUNCTION("""COMPUTED_VALUE"""),"M ARIEF S/ AKHMAD RIDHO")</f>
        <v>M ARIEF S/ AKHMAD RIDHO</v>
      </c>
      <c r="G67" s="13">
        <f t="shared" si="1"/>
        <v>58</v>
      </c>
      <c r="H67" s="13" t="str">
        <f>IFERROR(__xludf.DUMMYFUNCTION("""COMPUTED_VALUE"""),"P0")</f>
        <v>P0</v>
      </c>
    </row>
    <row r="68" ht="22.5" customHeight="1">
      <c r="B68" s="19" t="str">
        <f>IFERROR(__xludf.DUMMYFUNCTION("""COMPUTED_VALUE"""),"L/18/151024/1")</f>
        <v>L/18/151024/1</v>
      </c>
      <c r="C68" s="19" t="str">
        <f>IFERROR(__xludf.DUMMYFUNCTION("""COMPUTED_VALUE"""),"HM 1527/RAJABASA NUNYAI (SUPER PRIORITAS)")</f>
        <v>HM 1527/RAJABASA NUNYAI (SUPER PRIORITAS)</v>
      </c>
      <c r="D68" s="17">
        <f>IFERROR(__xludf.DUMMYFUNCTION("""COMPUTED_VALUE"""),45580.44300060185)</f>
        <v>45580.443</v>
      </c>
      <c r="E68" s="13" t="str">
        <f>IFERROR(__xludf.DUMMYFUNCTION("""COMPUTED_VALUE"""),"BN JUAL BELI")</f>
        <v>BN JUAL BELI</v>
      </c>
      <c r="F68" s="13" t="str">
        <f>IFERROR(__xludf.DUMMYFUNCTION("""COMPUTED_VALUE"""),"ABU BAKAR")</f>
        <v>ABU BAKAR</v>
      </c>
      <c r="G68" s="13">
        <f t="shared" si="1"/>
        <v>59</v>
      </c>
      <c r="H68" s="13" t="str">
        <f>IFERROR(__xludf.DUMMYFUNCTION("""COMPUTED_VALUE"""),"P0")</f>
        <v>P0</v>
      </c>
    </row>
    <row r="69" ht="22.5" customHeight="1">
      <c r="B69" s="19" t="str">
        <f>IFERROR(__xludf.DUMMYFUNCTION("""COMPUTED_VALUE"""),"L/19/151024/1")</f>
        <v>L/19/151024/1</v>
      </c>
      <c r="C69" s="19" t="str">
        <f>IFERROR(__xludf.DUMMYFUNCTION("""COMPUTED_VALUE"""),"M.178/GARUNTANG")</f>
        <v>M.178/GARUNTANG</v>
      </c>
      <c r="D69" s="17">
        <f>IFERROR(__xludf.DUMMYFUNCTION("""COMPUTED_VALUE"""),45580.446338344904)</f>
        <v>45580.44634</v>
      </c>
      <c r="E69" s="13" t="str">
        <f>IFERROR(__xludf.DUMMYFUNCTION("""COMPUTED_VALUE"""),"GANDES")</f>
        <v>GANDES</v>
      </c>
      <c r="F69" s="13" t="str">
        <f>IFERROR(__xludf.DUMMYFUNCTION("""COMPUTED_VALUE"""),"JUMENAH")</f>
        <v>JUMENAH</v>
      </c>
      <c r="G69" s="13">
        <f t="shared" si="1"/>
        <v>60</v>
      </c>
      <c r="H69" s="13" t="str">
        <f>IFERROR(__xludf.DUMMYFUNCTION("""COMPUTED_VALUE"""),"P0")</f>
        <v>P0</v>
      </c>
    </row>
    <row r="70" ht="22.5" customHeight="1">
      <c r="B70" s="19" t="str">
        <f>IFERROR(__xludf.DUMMYFUNCTION("""COMPUTED_VALUE"""),"L/20/151024/1")</f>
        <v>L/20/151024/1</v>
      </c>
      <c r="C70" s="19" t="str">
        <f>IFERROR(__xludf.DUMMYFUNCTION("""COMPUTED_VALUE"""),"NIB 0801000023950/SUKARAME")</f>
        <v>NIB 0801000023950/SUKARAME</v>
      </c>
      <c r="D70" s="17">
        <f>IFERROR(__xludf.DUMMYFUNCTION("""COMPUTED_VALUE"""),45580.45502780093)</f>
        <v>45580.45503</v>
      </c>
      <c r="E70" s="13" t="str">
        <f>IFERROR(__xludf.DUMMYFUNCTION("""COMPUTED_VALUE"""),"GANTI NAMA")</f>
        <v>GANTI NAMA</v>
      </c>
      <c r="F70" s="13" t="str">
        <f>IFERROR(__xludf.DUMMYFUNCTION("""COMPUTED_VALUE"""),"BUDY RAHARJO")</f>
        <v>BUDY RAHARJO</v>
      </c>
      <c r="G70" s="13">
        <f t="shared" si="1"/>
        <v>61</v>
      </c>
      <c r="H70" s="13" t="str">
        <f>IFERROR(__xludf.DUMMYFUNCTION("""COMPUTED_VALUE"""),"P0")</f>
        <v>P0</v>
      </c>
    </row>
    <row r="71" ht="22.5" customHeight="1">
      <c r="B71" s="19" t="str">
        <f>IFERROR(__xludf.DUMMYFUNCTION("""COMPUTED_VALUE"""),"K/17/151024/1")</f>
        <v>K/17/151024/1</v>
      </c>
      <c r="C71" s="19" t="str">
        <f>IFERROR(__xludf.DUMMYFUNCTION("""COMPUTED_VALUE"""),"M. 13602/ SEGALA MIDER")</f>
        <v>M. 13602/ SEGALA MIDER</v>
      </c>
      <c r="D71" s="17">
        <f>IFERROR(__xludf.DUMMYFUNCTION("""COMPUTED_VALUE"""),45580.46981002315)</f>
        <v>45580.46981</v>
      </c>
      <c r="E71" s="13" t="str">
        <f>IFERROR(__xludf.DUMMYFUNCTION("""COMPUTED_VALUE"""),"BN JUAL BELI")</f>
        <v>BN JUAL BELI</v>
      </c>
      <c r="F71" s="13" t="str">
        <f>IFERROR(__xludf.DUMMYFUNCTION("""COMPUTED_VALUE"""),"BAMBANG ABIYONO / EDY")</f>
        <v>BAMBANG ABIYONO / EDY</v>
      </c>
      <c r="G71" s="13">
        <f t="shared" si="1"/>
        <v>62</v>
      </c>
      <c r="H71" s="13" t="str">
        <f>IFERROR(__xludf.DUMMYFUNCTION("""COMPUTED_VALUE"""),"P0")</f>
        <v>P0</v>
      </c>
    </row>
    <row r="72" ht="22.5" customHeight="1">
      <c r="B72" s="19" t="str">
        <f>IFERROR(__xludf.DUMMYFUNCTION("""COMPUTED_VALUE"""),"K/21/151024/1")</f>
        <v>K/21/151024/1</v>
      </c>
      <c r="C72" s="19" t="str">
        <f>IFERROR(__xludf.DUMMYFUNCTION("""COMPUTED_VALUE"""),"M. 652/ PINANG JAYA")</f>
        <v>M. 652/ PINANG JAYA</v>
      </c>
      <c r="D72" s="17">
        <f>IFERROR(__xludf.DUMMYFUNCTION("""COMPUTED_VALUE"""),45580.47268)</f>
        <v>45580.47268</v>
      </c>
      <c r="E72" s="13" t="str">
        <f>IFERROR(__xludf.DUMMYFUNCTION("""COMPUTED_VALUE"""),"BN JUAL BELI")</f>
        <v>BN JUAL BELI</v>
      </c>
      <c r="F72" s="13" t="str">
        <f>IFERROR(__xludf.DUMMYFUNCTION("""COMPUTED_VALUE"""),"RAHMADIYANTI / SORAYA SOPHA")</f>
        <v>RAHMADIYANTI / SORAYA SOPHA</v>
      </c>
      <c r="G72" s="13">
        <f t="shared" si="1"/>
        <v>63</v>
      </c>
      <c r="H72" s="13" t="str">
        <f>IFERROR(__xludf.DUMMYFUNCTION("""COMPUTED_VALUE"""),"P0")</f>
        <v>P0</v>
      </c>
    </row>
    <row r="73" ht="22.5" customHeight="1">
      <c r="B73" s="19" t="str">
        <f>IFERROR(__xludf.DUMMYFUNCTION("""COMPUTED_VALUE"""),"K/24/151024/1")</f>
        <v>K/24/151024/1</v>
      </c>
      <c r="C73" s="19" t="str">
        <f>IFERROR(__xludf.DUMMYFUNCTION("""COMPUTED_VALUE"""),"M. 2009/ Campang Jaya")</f>
        <v>M. 2009/ Campang Jaya</v>
      </c>
      <c r="D73" s="17">
        <f>IFERROR(__xludf.DUMMYFUNCTION("""COMPUTED_VALUE"""),45580.47344811342)</f>
        <v>45580.47345</v>
      </c>
      <c r="E73" s="13" t="str">
        <f>IFERROR(__xludf.DUMMYFUNCTION("""COMPUTED_VALUE"""),"Pengecekan")</f>
        <v>Pengecekan</v>
      </c>
      <c r="F73" s="13" t="str">
        <f>IFERROR(__xludf.DUMMYFUNCTION("""COMPUTED_VALUE"""),"Zul April/ M Fajar S ")</f>
        <v>Zul April/ M Fajar S </v>
      </c>
      <c r="G73" s="13">
        <f t="shared" si="1"/>
        <v>64</v>
      </c>
      <c r="H73" s="13" t="str">
        <f>IFERROR(__xludf.DUMMYFUNCTION("""COMPUTED_VALUE"""),"P0")</f>
        <v>P0</v>
      </c>
    </row>
    <row r="74" ht="22.5" customHeight="1">
      <c r="B74" s="19" t="str">
        <f>IFERROR(__xludf.DUMMYFUNCTION("""COMPUTED_VALUE"""),"L/26/151024/1")</f>
        <v>L/26/151024/1</v>
      </c>
      <c r="C74" s="19" t="str">
        <f>IFERROR(__xludf.DUMMYFUNCTION("""COMPUTED_VALUE"""),"HM 401/KALI BALAU KENCANA")</f>
        <v>HM 401/KALI BALAU KENCANA</v>
      </c>
      <c r="D74" s="17">
        <f>IFERROR(__xludf.DUMMYFUNCTION("""COMPUTED_VALUE"""),45580.47411325232)</f>
        <v>45580.47411</v>
      </c>
      <c r="E74" s="13" t="str">
        <f>IFERROR(__xludf.DUMMYFUNCTION("""COMPUTED_VALUE"""),"ROYA")</f>
        <v>ROYA</v>
      </c>
      <c r="F74" s="13" t="str">
        <f>IFERROR(__xludf.DUMMYFUNCTION("""COMPUTED_VALUE"""),"MUHAMMAD ROCYCH")</f>
        <v>MUHAMMAD ROCYCH</v>
      </c>
      <c r="G74" s="13">
        <f t="shared" si="1"/>
        <v>65</v>
      </c>
      <c r="H74" s="13" t="str">
        <f>IFERROR(__xludf.DUMMYFUNCTION("""COMPUTED_VALUE"""),"P0")</f>
        <v>P0</v>
      </c>
    </row>
    <row r="75" ht="22.5" customHeight="1">
      <c r="B75" s="19" t="str">
        <f>IFERROR(__xludf.DUMMYFUNCTION("""COMPUTED_VALUE"""),"K/25/151024/2")</f>
        <v>K/25/151024/2</v>
      </c>
      <c r="C75" s="19" t="str">
        <f>IFERROR(__xludf.DUMMYFUNCTION("""COMPUTED_VALUE"""),"M. 2010/ Campang Jaya")</f>
        <v>M. 2010/ Campang Jaya</v>
      </c>
      <c r="D75" s="17">
        <f>IFERROR(__xludf.DUMMYFUNCTION("""COMPUTED_VALUE"""),45580.47578221065)</f>
        <v>45580.47578</v>
      </c>
      <c r="E75" s="13" t="str">
        <f>IFERROR(__xludf.DUMMYFUNCTION("""COMPUTED_VALUE"""),"Pengecekan")</f>
        <v>Pengecekan</v>
      </c>
      <c r="F75" s="13" t="str">
        <f>IFERROR(__xludf.DUMMYFUNCTION("""COMPUTED_VALUE"""),"Zul April/ M Fajar S P")</f>
        <v>Zul April/ M Fajar S P</v>
      </c>
      <c r="G75" s="13">
        <f t="shared" si="1"/>
        <v>66</v>
      </c>
      <c r="H75" s="13" t="str">
        <f>IFERROR(__xludf.DUMMYFUNCTION("""COMPUTED_VALUE"""),"P0")</f>
        <v>P0</v>
      </c>
    </row>
    <row r="76" ht="22.5" customHeight="1">
      <c r="B76" s="19" t="str">
        <f>IFERROR(__xludf.DUMMYFUNCTION("""COMPUTED_VALUE"""),"K/22/151024/2")</f>
        <v>K/22/151024/2</v>
      </c>
      <c r="C76" s="19" t="str">
        <f>IFERROR(__xludf.DUMMYFUNCTION("""COMPUTED_VALUE"""),"NIBEL 3118/ SEGALA MIDER")</f>
        <v>NIBEL 3118/ SEGALA MIDER</v>
      </c>
      <c r="D76" s="17">
        <f>IFERROR(__xludf.DUMMYFUNCTION("""COMPUTED_VALUE"""),45580.477096215276)</f>
        <v>45580.4771</v>
      </c>
      <c r="E76" s="13" t="str">
        <f>IFERROR(__xludf.DUMMYFUNCTION("""COMPUTED_VALUE"""),"BN JUAL BELI")</f>
        <v>BN JUAL BELI</v>
      </c>
      <c r="F76" s="13" t="str">
        <f>IFERROR(__xludf.DUMMYFUNCTION("""COMPUTED_VALUE"""),"RAHMADIYANTI/ RUDIYAN")</f>
        <v>RAHMADIYANTI/ RUDIYAN</v>
      </c>
      <c r="G76" s="13">
        <f t="shared" si="1"/>
        <v>67</v>
      </c>
      <c r="H76" s="13" t="str">
        <f>IFERROR(__xludf.DUMMYFUNCTION("""COMPUTED_VALUE"""),"P0")</f>
        <v>P0</v>
      </c>
    </row>
    <row r="77" ht="22.5" customHeight="1">
      <c r="B77" s="19" t="str">
        <f>IFERROR(__xludf.DUMMYFUNCTION("""COMPUTED_VALUE"""),"K/27/151024/1")</f>
        <v>K/27/151024/1</v>
      </c>
      <c r="C77" s="19" t="str">
        <f>IFERROR(__xludf.DUMMYFUNCTION("""COMPUTED_VALUE"""),"M.629/RAWA LAUT")</f>
        <v>M.629/RAWA LAUT</v>
      </c>
      <c r="D77" s="17">
        <f>IFERROR(__xludf.DUMMYFUNCTION("""COMPUTED_VALUE"""),45580.47836738426)</f>
        <v>45580.47837</v>
      </c>
      <c r="E77" s="13" t="str">
        <f>IFERROR(__xludf.DUMMYFUNCTION("""COMPUTED_VALUE"""),"GANDES")</f>
        <v>GANDES</v>
      </c>
      <c r="F77" s="13" t="str">
        <f>IFERROR(__xludf.DUMMYFUNCTION("""COMPUTED_VALUE"""),"LENI MASITA CS/ACHMAD ROSWANTAMA")</f>
        <v>LENI MASITA CS/ACHMAD ROSWANTAMA</v>
      </c>
      <c r="G77" s="13">
        <f t="shared" si="1"/>
        <v>68</v>
      </c>
      <c r="H77" s="13" t="str">
        <f>IFERROR(__xludf.DUMMYFUNCTION("""COMPUTED_VALUE"""),"P0")</f>
        <v>P0</v>
      </c>
    </row>
    <row r="78" ht="22.5" customHeight="1">
      <c r="B78" s="19" t="str">
        <f>IFERROR(__xludf.DUMMYFUNCTION("""COMPUTED_VALUE"""),"K/23/151024/3")</f>
        <v>K/23/151024/3</v>
      </c>
      <c r="C78" s="19" t="str">
        <f>IFERROR(__xludf.DUMMYFUNCTION("""COMPUTED_VALUE"""),"M. 509/ LABUHAN RATU RAYA")</f>
        <v>M. 509/ LABUHAN RATU RAYA</v>
      </c>
      <c r="D78" s="17">
        <f>IFERROR(__xludf.DUMMYFUNCTION("""COMPUTED_VALUE"""),45580.4800118287)</f>
        <v>45580.48001</v>
      </c>
      <c r="E78" s="13" t="str">
        <f>IFERROR(__xludf.DUMMYFUNCTION("""COMPUTED_VALUE"""),"BN JUAL BELI")</f>
        <v>BN JUAL BELI</v>
      </c>
      <c r="F78" s="13" t="str">
        <f>IFERROR(__xludf.DUMMYFUNCTION("""COMPUTED_VALUE"""),"RAHMADIYANTI/ SELVI HELINA")</f>
        <v>RAHMADIYANTI/ SELVI HELINA</v>
      </c>
      <c r="G78" s="13">
        <f t="shared" si="1"/>
        <v>69</v>
      </c>
      <c r="H78" s="13" t="str">
        <f>IFERROR(__xludf.DUMMYFUNCTION("""COMPUTED_VALUE"""),"P0")</f>
        <v>P0</v>
      </c>
    </row>
    <row r="79" ht="22.5" customHeight="1">
      <c r="B79" s="19" t="str">
        <f>IFERROR(__xludf.DUMMYFUNCTION("""COMPUTED_VALUE"""),"K/28/151024/1")</f>
        <v>K/28/151024/1</v>
      </c>
      <c r="C79" s="19" t="str">
        <f>IFERROR(__xludf.DUMMYFUNCTION("""COMPUTED_VALUE"""),"B. 309/ Way Kandis")</f>
        <v>B. 309/ Way Kandis</v>
      </c>
      <c r="D79" s="17">
        <f>IFERROR(__xludf.DUMMYFUNCTION("""COMPUTED_VALUE"""),45580.48194575231)</f>
        <v>45580.48195</v>
      </c>
      <c r="E79" s="13" t="str">
        <f>IFERROR(__xludf.DUMMYFUNCTION("""COMPUTED_VALUE"""),"Gandes")</f>
        <v>Gandes</v>
      </c>
      <c r="F79" s="13" t="str">
        <f>IFERROR(__xludf.DUMMYFUNCTION("""COMPUTED_VALUE"""),"Eka Sari T/ Misgianto")</f>
        <v>Eka Sari T/ Misgianto</v>
      </c>
      <c r="G79" s="13">
        <f t="shared" si="1"/>
        <v>70</v>
      </c>
      <c r="H79" s="13" t="str">
        <f>IFERROR(__xludf.DUMMYFUNCTION("""COMPUTED_VALUE"""),"P0")</f>
        <v>P0</v>
      </c>
    </row>
    <row r="80" ht="22.5" customHeight="1">
      <c r="B80" s="19" t="str">
        <f>IFERROR(__xludf.DUMMYFUNCTION("""COMPUTED_VALUE"""),"K/29/151024/2")</f>
        <v>K/29/151024/2</v>
      </c>
      <c r="C80" s="19" t="str">
        <f>IFERROR(__xludf.DUMMYFUNCTION("""COMPUTED_VALUE"""),"Nibel. B. 2015/ Pinang Jaya")</f>
        <v>Nibel. B. 2015/ Pinang Jaya</v>
      </c>
      <c r="D80" s="17">
        <f>IFERROR(__xludf.DUMMYFUNCTION("""COMPUTED_VALUE"""),45580.48416207176)</f>
        <v>45580.48416</v>
      </c>
      <c r="E80" s="13" t="str">
        <f>IFERROR(__xludf.DUMMYFUNCTION("""COMPUTED_VALUE"""),"Perubahan Hak")</f>
        <v>Perubahan Hak</v>
      </c>
      <c r="F80" s="13" t="str">
        <f>IFERROR(__xludf.DUMMYFUNCTION("""COMPUTED_VALUE"""),"Eka Sari T/ Desi Arita")</f>
        <v>Eka Sari T/ Desi Arita</v>
      </c>
      <c r="G80" s="13">
        <f t="shared" si="1"/>
        <v>71</v>
      </c>
      <c r="H80" s="13" t="str">
        <f>IFERROR(__xludf.DUMMYFUNCTION("""COMPUTED_VALUE"""),"P0")</f>
        <v>P0</v>
      </c>
    </row>
    <row r="81" ht="22.5" customHeight="1">
      <c r="B81" s="19" t="str">
        <f>IFERROR(__xludf.DUMMYFUNCTION("""COMPUTED_VALUE"""),"K/30/151024/1")</f>
        <v>K/30/151024/1</v>
      </c>
      <c r="C81" s="19" t="str">
        <f>IFERROR(__xludf.DUMMYFUNCTION("""COMPUTED_VALUE"""),"M.3814/SUKADANAHAM")</f>
        <v>M.3814/SUKADANAHAM</v>
      </c>
      <c r="D81" s="17">
        <f>IFERROR(__xludf.DUMMYFUNCTION("""COMPUTED_VALUE"""),45580.54480939815)</f>
        <v>45580.54481</v>
      </c>
      <c r="E81" s="13" t="str">
        <f>IFERROR(__xludf.DUMMYFUNCTION("""COMPUTED_VALUE"""),"HAPUS BPHTB")</f>
        <v>HAPUS BPHTB</v>
      </c>
      <c r="F81" s="13" t="str">
        <f>IFERROR(__xludf.DUMMYFUNCTION("""COMPUTED_VALUE"""),"NENY SWEET MIDEARTI/NINA ZUSANTI")</f>
        <v>NENY SWEET MIDEARTI/NINA ZUSANTI</v>
      </c>
      <c r="G81" s="13">
        <f t="shared" si="1"/>
        <v>72</v>
      </c>
      <c r="H81" s="13" t="str">
        <f>IFERROR(__xludf.DUMMYFUNCTION("""COMPUTED_VALUE"""),"P0")</f>
        <v>P0</v>
      </c>
    </row>
    <row r="82" ht="22.5" customHeight="1">
      <c r="B82" s="19" t="str">
        <f>IFERROR(__xludf.DUMMYFUNCTION("""COMPUTED_VALUE"""),"L/31/151024/1")</f>
        <v>L/31/151024/1</v>
      </c>
      <c r="C82" s="19" t="str">
        <f>IFERROR(__xludf.DUMMYFUNCTION("""COMPUTED_VALUE"""),"B.91/GUNUNG TERANG")</f>
        <v>B.91/GUNUNG TERANG</v>
      </c>
      <c r="D82" s="17">
        <f>IFERROR(__xludf.DUMMYFUNCTION("""COMPUTED_VALUE"""),45580.569989456024)</f>
        <v>45580.56999</v>
      </c>
      <c r="E82" s="13" t="str">
        <f>IFERROR(__xludf.DUMMYFUNCTION("""COMPUTED_VALUE"""),"PERUBAHAN HAK")</f>
        <v>PERUBAHAN HAK</v>
      </c>
      <c r="F82" s="13" t="str">
        <f>IFERROR(__xludf.DUMMYFUNCTION("""COMPUTED_VALUE"""),"HERLINA SARI")</f>
        <v>HERLINA SARI</v>
      </c>
      <c r="G82" s="13">
        <f t="shared" si="1"/>
        <v>73</v>
      </c>
      <c r="H82" s="13" t="str">
        <f>IFERROR(__xludf.DUMMYFUNCTION("""COMPUTED_VALUE"""),"P0")</f>
        <v>P0</v>
      </c>
    </row>
    <row r="83" ht="22.5" customHeight="1">
      <c r="B83" s="19" t="str">
        <f>IFERROR(__xludf.DUMMYFUNCTION("""COMPUTED_VALUE"""),"K/32/151024/1")</f>
        <v>K/32/151024/1</v>
      </c>
      <c r="C83" s="19" t="str">
        <f>IFERROR(__xludf.DUMMYFUNCTION("""COMPUTED_VALUE"""),"M. 11169/ Tanjung Baru")</f>
        <v>M. 11169/ Tanjung Baru</v>
      </c>
      <c r="D83" s="17">
        <f>IFERROR(__xludf.DUMMYFUNCTION("""COMPUTED_VALUE"""),45580.575810787035)</f>
        <v>45580.57581</v>
      </c>
      <c r="E83" s="13" t="str">
        <f>IFERROR(__xludf.DUMMYFUNCTION("""COMPUTED_VALUE"""),"Cabut Blokir")</f>
        <v>Cabut Blokir</v>
      </c>
      <c r="F83" s="13" t="str">
        <f>IFERROR(__xludf.DUMMYFUNCTION("""COMPUTED_VALUE"""),"Junaidi saptopo/ Yohanes Herman")</f>
        <v>Junaidi saptopo/ Yohanes Herman</v>
      </c>
      <c r="G83" s="13">
        <f t="shared" si="1"/>
        <v>74</v>
      </c>
      <c r="H83" s="13" t="str">
        <f>IFERROR(__xludf.DUMMYFUNCTION("""COMPUTED_VALUE"""),"P0")</f>
        <v>P0</v>
      </c>
    </row>
    <row r="84" ht="22.5" customHeight="1">
      <c r="B84" s="19" t="str">
        <f>IFERROR(__xludf.DUMMYFUNCTION("""COMPUTED_VALUE"""),"K/34/151024/2")</f>
        <v>K/34/151024/2</v>
      </c>
      <c r="C84" s="19" t="str">
        <f>IFERROR(__xludf.DUMMYFUNCTION("""COMPUTED_VALUE"""),"M. 1311/ Beringin Jaya; dahulu B. 2093/ Beringin Raya")</f>
        <v>M. 1311/ Beringin Jaya; dahulu B. 2093/ Beringin Raya</v>
      </c>
      <c r="D84" s="17">
        <f>IFERROR(__xludf.DUMMYFUNCTION("""COMPUTED_VALUE"""),45580.57893325231)</f>
        <v>45580.57893</v>
      </c>
      <c r="E84" s="13" t="str">
        <f>IFERROR(__xludf.DUMMYFUNCTION("""COMPUTED_VALUE"""),"BN Hibah")</f>
        <v>BN Hibah</v>
      </c>
      <c r="F84" s="13" t="str">
        <f>IFERROR(__xludf.DUMMYFUNCTION("""COMPUTED_VALUE"""),"Ayi Ruhiat/ Eri Yulianti")</f>
        <v>Ayi Ruhiat/ Eri Yulianti</v>
      </c>
      <c r="G84" s="13">
        <f t="shared" si="1"/>
        <v>75</v>
      </c>
      <c r="H84" s="13" t="str">
        <f>IFERROR(__xludf.DUMMYFUNCTION("""COMPUTED_VALUE"""),"P0")</f>
        <v>P0</v>
      </c>
    </row>
    <row r="85" ht="22.5" customHeight="1">
      <c r="B85" s="19" t="str">
        <f>IFERROR(__xludf.DUMMYFUNCTION("""COMPUTED_VALUE"""),"K/36/151024/1")</f>
        <v>K/36/151024/1</v>
      </c>
      <c r="C85" s="19" t="str">
        <f>IFERROR(__xludf.DUMMYFUNCTION("""COMPUTED_VALUE"""),"M.4791/BERINGIN RAYA-SEKARANG;B.1135/SUMBERREJO-DAHULU")</f>
        <v>M.4791/BERINGIN RAYA-SEKARANG;B.1135/SUMBERREJO-DAHULU</v>
      </c>
      <c r="D85" s="17">
        <f>IFERROR(__xludf.DUMMYFUNCTION("""COMPUTED_VALUE"""),45580.5815102662)</f>
        <v>45580.58151</v>
      </c>
      <c r="E85" s="13" t="str">
        <f>IFERROR(__xludf.DUMMYFUNCTION("""COMPUTED_VALUE"""),"PERALIHAN LELANG")</f>
        <v>PERALIHAN LELANG</v>
      </c>
      <c r="F85" s="13" t="str">
        <f>IFERROR(__xludf.DUMMYFUNCTION("""COMPUTED_VALUE"""),"LINA YOSEPA/HERIYANSYAH")</f>
        <v>LINA YOSEPA/HERIYANSYAH</v>
      </c>
      <c r="G85" s="13">
        <f t="shared" si="1"/>
        <v>76</v>
      </c>
      <c r="H85" s="13" t="str">
        <f>IFERROR(__xludf.DUMMYFUNCTION("""COMPUTED_VALUE"""),"P0")</f>
        <v>P0</v>
      </c>
    </row>
    <row r="86" ht="22.5" customHeight="1">
      <c r="B86" s="19" t="str">
        <f>IFERROR(__xludf.DUMMYFUNCTION("""COMPUTED_VALUE"""),"K/33/151024/1")</f>
        <v>K/33/151024/1</v>
      </c>
      <c r="C86" s="19" t="str">
        <f>IFERROR(__xludf.DUMMYFUNCTION("""COMPUTED_VALUE"""),"M. 933/ Sukarame")</f>
        <v>M. 933/ Sukarame</v>
      </c>
      <c r="D86" s="17">
        <f>IFERROR(__xludf.DUMMYFUNCTION("""COMPUTED_VALUE"""),45580.581754328705)</f>
        <v>45580.58175</v>
      </c>
      <c r="E86" s="13" t="str">
        <f>IFERROR(__xludf.DUMMYFUNCTION("""COMPUTED_VALUE"""),"Gandes")</f>
        <v>Gandes</v>
      </c>
      <c r="F86" s="13" t="str">
        <f>IFERROR(__xludf.DUMMYFUNCTION("""COMPUTED_VALUE"""),"Ayi Ruhiat/ Rakhmat A S")</f>
        <v>Ayi Ruhiat/ Rakhmat A S</v>
      </c>
      <c r="G86" s="13">
        <f t="shared" si="1"/>
        <v>77</v>
      </c>
      <c r="H86" s="13" t="str">
        <f>IFERROR(__xludf.DUMMYFUNCTION("""COMPUTED_VALUE"""),"P0")</f>
        <v>P0</v>
      </c>
    </row>
    <row r="87" ht="22.5" customHeight="1">
      <c r="B87" s="19" t="str">
        <f>IFERROR(__xludf.DUMMYFUNCTION("""COMPUTED_VALUE"""),"K/37/151024/1")</f>
        <v>K/37/151024/1</v>
      </c>
      <c r="C87" s="19" t="str">
        <f>IFERROR(__xludf.DUMMYFUNCTION("""COMPUTED_VALUE"""),"M. 3954/ BERINGIN RAYA-SEKARANG; B.4107/ BERINGIN RAYA-DAHULU")</f>
        <v>M. 3954/ BERINGIN RAYA-SEKARANG; B.4107/ BERINGIN RAYA-DAHULU</v>
      </c>
      <c r="D87" s="17">
        <f>IFERROR(__xludf.DUMMYFUNCTION("""COMPUTED_VALUE"""),45580.583908368055)</f>
        <v>45580.58391</v>
      </c>
      <c r="E87" s="13" t="str">
        <f>IFERROR(__xludf.DUMMYFUNCTION("""COMPUTED_VALUE"""),"GANTI KELURAHAN")</f>
        <v>GANTI KELURAHAN</v>
      </c>
      <c r="F87" s="13" t="str">
        <f>IFERROR(__xludf.DUMMYFUNCTION("""COMPUTED_VALUE"""),"IG YOGA/ OMO KUSNADI")</f>
        <v>IG YOGA/ OMO KUSNADI</v>
      </c>
      <c r="G87" s="13">
        <f t="shared" si="1"/>
        <v>78</v>
      </c>
      <c r="H87" s="13" t="str">
        <f>IFERROR(__xludf.DUMMYFUNCTION("""COMPUTED_VALUE"""),"P0")</f>
        <v>P0</v>
      </c>
    </row>
    <row r="88" ht="22.5" customHeight="1">
      <c r="B88" s="19" t="str">
        <f>IFERROR(__xludf.DUMMYFUNCTION("""COMPUTED_VALUE"""),"L/35/151024/1")</f>
        <v>L/35/151024/1</v>
      </c>
      <c r="C88" s="19" t="str">
        <f>IFERROR(__xludf.DUMMYFUNCTION("""COMPUTED_VALUE"""),"HM 479/HARAPAN JAYA (DAHULU)-HM 49/KORPRI JAYA (SEKARANG)")</f>
        <v>HM 479/HARAPAN JAYA (DAHULU)-HM 49/KORPRI JAYA (SEKARANG)</v>
      </c>
      <c r="D88" s="17">
        <f>IFERROR(__xludf.DUMMYFUNCTION("""COMPUTED_VALUE"""),45580.585208449076)</f>
        <v>45580.58521</v>
      </c>
      <c r="E88" s="13" t="str">
        <f>IFERROR(__xludf.DUMMYFUNCTION("""COMPUTED_VALUE"""),"BN PUTUSAN PENGADILAN (AHLI WARIS)")</f>
        <v>BN PUTUSAN PENGADILAN (AHLI WARIS)</v>
      </c>
      <c r="F88" s="13" t="str">
        <f>IFERROR(__xludf.DUMMYFUNCTION("""COMPUTED_VALUE"""),"FIRMANSYAH/CS")</f>
        <v>FIRMANSYAH/CS</v>
      </c>
      <c r="G88" s="13">
        <f t="shared" si="1"/>
        <v>79</v>
      </c>
      <c r="H88" s="13" t="str">
        <f>IFERROR(__xludf.DUMMYFUNCTION("""COMPUTED_VALUE"""),"P0")</f>
        <v>P0</v>
      </c>
    </row>
    <row r="89" ht="22.5" customHeight="1">
      <c r="B89" s="19" t="str">
        <f>IFERROR(__xludf.DUMMYFUNCTION("""COMPUTED_VALUE"""),"K/38/151024/2")</f>
        <v>K/38/151024/2</v>
      </c>
      <c r="C89" s="19" t="str">
        <f>IFERROR(__xludf.DUMMYFUNCTION("""COMPUTED_VALUE"""),"M. 1904/ KALIAWI")</f>
        <v>M. 1904/ KALIAWI</v>
      </c>
      <c r="D89" s="17">
        <f>IFERROR(__xludf.DUMMYFUNCTION("""COMPUTED_VALUE"""),45580.5854624537)</f>
        <v>45580.58546</v>
      </c>
      <c r="E89" s="13" t="str">
        <f>IFERROR(__xludf.DUMMYFUNCTION("""COMPUTED_VALUE"""),"GANDES")</f>
        <v>GANDES</v>
      </c>
      <c r="F89" s="13" t="str">
        <f>IFERROR(__xludf.DUMMYFUNCTION("""COMPUTED_VALUE"""),"IG YOGA/ OMO KUSNADI")</f>
        <v>IG YOGA/ OMO KUSNADI</v>
      </c>
      <c r="G89" s="13">
        <f t="shared" si="1"/>
        <v>80</v>
      </c>
      <c r="H89" s="13" t="str">
        <f>IFERROR(__xludf.DUMMYFUNCTION("""COMPUTED_VALUE"""),"P0")</f>
        <v>P0</v>
      </c>
    </row>
    <row r="90" ht="22.5" customHeight="1">
      <c r="B90" s="19" t="str">
        <f>IFERROR(__xludf.DUMMYFUNCTION("""COMPUTED_VALUE"""),"K/39/151024/1")</f>
        <v>K/39/151024/1</v>
      </c>
      <c r="C90" s="19" t="str">
        <f>IFERROR(__xludf.DUMMYFUNCTION("""COMPUTED_VALUE"""),"M.13978/TANJUNG BARU")</f>
        <v>M.13978/TANJUNG BARU</v>
      </c>
      <c r="D90" s="17">
        <f>IFERROR(__xludf.DUMMYFUNCTION("""COMPUTED_VALUE"""),45580.58769320602)</f>
        <v>45580.58769</v>
      </c>
      <c r="E90" s="13" t="str">
        <f>IFERROR(__xludf.DUMMYFUNCTION("""COMPUTED_VALUE"""),"PERALIHAN JUAL BELI")</f>
        <v>PERALIHAN JUAL BELI</v>
      </c>
      <c r="F90" s="13" t="str">
        <f>IFERROR(__xludf.DUMMYFUNCTION("""COMPUTED_VALUE"""),"SUMIRAT/RINI ANHARI")</f>
        <v>SUMIRAT/RINI ANHARI</v>
      </c>
      <c r="G90" s="13">
        <f t="shared" si="1"/>
        <v>81</v>
      </c>
      <c r="H90" s="13" t="str">
        <f>IFERROR(__xludf.DUMMYFUNCTION("""COMPUTED_VALUE"""),"P0")</f>
        <v>P0</v>
      </c>
    </row>
    <row r="91" ht="22.5" customHeight="1">
      <c r="B91" s="19" t="str">
        <f>IFERROR(__xludf.DUMMYFUNCTION("""COMPUTED_VALUE"""),"K/40/151024/1")</f>
        <v>K/40/151024/1</v>
      </c>
      <c r="C91" s="19" t="str">
        <f>IFERROR(__xludf.DUMMYFUNCTION("""COMPUTED_VALUE"""),"M. 2800/ Sumber Rejo")</f>
        <v>M. 2800/ Sumber Rejo</v>
      </c>
      <c r="D91" s="17">
        <f>IFERROR(__xludf.DUMMYFUNCTION("""COMPUTED_VALUE"""),45580.590163298606)</f>
        <v>45580.59016</v>
      </c>
      <c r="E91" s="13" t="str">
        <f>IFERROR(__xludf.DUMMYFUNCTION("""COMPUTED_VALUE"""),"BN Jual Beli")</f>
        <v>BN Jual Beli</v>
      </c>
      <c r="F91" s="13" t="str">
        <f>IFERROR(__xludf.DUMMYFUNCTION("""COMPUTED_VALUE"""),"Fahrul Rozi/ Lela Monika")</f>
        <v>Fahrul Rozi/ Lela Monika</v>
      </c>
      <c r="G91" s="13">
        <f t="shared" si="1"/>
        <v>82</v>
      </c>
      <c r="H91" s="13" t="str">
        <f>IFERROR(__xludf.DUMMYFUNCTION("""COMPUTED_VALUE"""),"P0")</f>
        <v>P0</v>
      </c>
    </row>
    <row r="92" ht="22.5" customHeight="1">
      <c r="B92" s="19" t="str">
        <f>IFERROR(__xludf.DUMMYFUNCTION("""COMPUTED_VALUE"""),"L/43/151024/1")</f>
        <v>L/43/151024/1</v>
      </c>
      <c r="C92" s="19" t="str">
        <f>IFERROR(__xludf.DUMMYFUNCTION("""COMPUTED_VALUE"""),"HM 4010/TANJUNG SENANG")</f>
        <v>HM 4010/TANJUNG SENANG</v>
      </c>
      <c r="D92" s="17">
        <f>IFERROR(__xludf.DUMMYFUNCTION("""COMPUTED_VALUE"""),45580.59199082176)</f>
        <v>45580.59199</v>
      </c>
      <c r="E92" s="13" t="str">
        <f>IFERROR(__xludf.DUMMYFUNCTION("""COMPUTED_VALUE"""),"ROYA")</f>
        <v>ROYA</v>
      </c>
      <c r="F92" s="13" t="str">
        <f>IFERROR(__xludf.DUMMYFUNCTION("""COMPUTED_VALUE"""),"SEPTA RENI")</f>
        <v>SEPTA RENI</v>
      </c>
      <c r="G92" s="13">
        <f t="shared" si="1"/>
        <v>83</v>
      </c>
      <c r="H92" s="13" t="str">
        <f>IFERROR(__xludf.DUMMYFUNCTION("""COMPUTED_VALUE"""),"P0")</f>
        <v>P0</v>
      </c>
    </row>
    <row r="93" ht="22.5" customHeight="1">
      <c r="B93" s="19" t="str">
        <f>IFERROR(__xludf.DUMMYFUNCTION("""COMPUTED_VALUE"""),"K/41/151024/2")</f>
        <v>K/41/151024/2</v>
      </c>
      <c r="C93" s="19" t="str">
        <f>IFERROR(__xludf.DUMMYFUNCTION("""COMPUTED_VALUE"""),"M. 11294/ Labuhan Ratu")</f>
        <v>M. 11294/ Labuhan Ratu</v>
      </c>
      <c r="D93" s="17">
        <f>IFERROR(__xludf.DUMMYFUNCTION("""COMPUTED_VALUE"""),45580.59360407408)</f>
        <v>45580.5936</v>
      </c>
      <c r="E93" s="13" t="str">
        <f>IFERROR(__xludf.DUMMYFUNCTION("""COMPUTED_VALUE"""),"BN Jual Beli")</f>
        <v>BN Jual Beli</v>
      </c>
      <c r="F93" s="13" t="str">
        <f>IFERROR(__xludf.DUMMYFUNCTION("""COMPUTED_VALUE"""),"Fahrul Rozi/Novarida")</f>
        <v>Fahrul Rozi/Novarida</v>
      </c>
      <c r="G93" s="13">
        <f t="shared" si="1"/>
        <v>84</v>
      </c>
      <c r="H93" s="13" t="str">
        <f>IFERROR(__xludf.DUMMYFUNCTION("""COMPUTED_VALUE"""),"P0")</f>
        <v>P0</v>
      </c>
    </row>
    <row r="94" ht="22.5" customHeight="1">
      <c r="B94" s="19" t="str">
        <f>IFERROR(__xludf.DUMMYFUNCTION("""COMPUTED_VALUE"""),"K/44/151024/1")</f>
        <v>K/44/151024/1</v>
      </c>
      <c r="C94" s="19" t="str">
        <f>IFERROR(__xludf.DUMMYFUNCTION("""COMPUTED_VALUE"""),"M.1375/PERUMNAS WAY HALIM-SEKARANG;B.2097/KEDATON-DAHULU")</f>
        <v>M.1375/PERUMNAS WAY HALIM-SEKARANG;B.2097/KEDATON-DAHULU</v>
      </c>
      <c r="D94" s="17">
        <f>IFERROR(__xludf.DUMMYFUNCTION("""COMPUTED_VALUE"""),45580.59473335648)</f>
        <v>45580.59473</v>
      </c>
      <c r="E94" s="13" t="str">
        <f>IFERROR(__xludf.DUMMYFUNCTION("""COMPUTED_VALUE"""),"SKPT")</f>
        <v>SKPT</v>
      </c>
      <c r="F94" s="13" t="str">
        <f>IFERROR(__xludf.DUMMYFUNCTION("""COMPUTED_VALUE"""),"TITIK WIJAYANTI/SENDI DINI H")</f>
        <v>TITIK WIJAYANTI/SENDI DINI H</v>
      </c>
      <c r="G94" s="13">
        <f t="shared" si="1"/>
        <v>85</v>
      </c>
      <c r="H94" s="13" t="str">
        <f>IFERROR(__xludf.DUMMYFUNCTION("""COMPUTED_VALUE"""),"P0")</f>
        <v>P0</v>
      </c>
    </row>
    <row r="95" ht="22.5" customHeight="1">
      <c r="B95" s="19" t="str">
        <f>IFERROR(__xludf.DUMMYFUNCTION("""COMPUTED_VALUE"""),"K/42/151024/3")</f>
        <v>K/42/151024/3</v>
      </c>
      <c r="C95" s="19" t="str">
        <f>IFERROR(__xludf.DUMMYFUNCTION("""COMPUTED_VALUE"""),"M. 2589/ Kota Baru")</f>
        <v>M. 2589/ Kota Baru</v>
      </c>
      <c r="D95" s="17">
        <f>IFERROR(__xludf.DUMMYFUNCTION("""COMPUTED_VALUE"""),45580.596932650464)</f>
        <v>45580.59693</v>
      </c>
      <c r="E95" s="13" t="str">
        <f>IFERROR(__xludf.DUMMYFUNCTION("""COMPUTED_VALUE"""),"BN Kewarisan")</f>
        <v>BN Kewarisan</v>
      </c>
      <c r="F95" s="13" t="str">
        <f>IFERROR(__xludf.DUMMYFUNCTION("""COMPUTED_VALUE"""),"Fahrul Rozi/ Winarni")</f>
        <v>Fahrul Rozi/ Winarni</v>
      </c>
      <c r="G95" s="13">
        <f t="shared" si="1"/>
        <v>86</v>
      </c>
      <c r="H95" s="13" t="str">
        <f>IFERROR(__xludf.DUMMYFUNCTION("""COMPUTED_VALUE"""),"P0")</f>
        <v>P0</v>
      </c>
    </row>
    <row r="96" ht="22.5" customHeight="1">
      <c r="B96" s="19" t="str">
        <f>IFERROR(__xludf.DUMMYFUNCTION("""COMPUTED_VALUE"""),"K/47/151024/1")</f>
        <v>K/47/151024/1</v>
      </c>
      <c r="C96" s="19" t="str">
        <f>IFERROR(__xludf.DUMMYFUNCTION("""COMPUTED_VALUE"""),"B. 176/ LABUHAN RATU RAYA")</f>
        <v>B. 176/ LABUHAN RATU RAYA</v>
      </c>
      <c r="D96" s="17">
        <f>IFERROR(__xludf.DUMMYFUNCTION("""COMPUTED_VALUE"""),45580.60010206018)</f>
        <v>45580.6001</v>
      </c>
      <c r="E96" s="13" t="str">
        <f>IFERROR(__xludf.DUMMYFUNCTION("""COMPUTED_VALUE"""),"BN JUAL BELI")</f>
        <v>BN JUAL BELI</v>
      </c>
      <c r="F96" s="13" t="str">
        <f>IFERROR(__xludf.DUMMYFUNCTION("""COMPUTED_VALUE"""),"NEDI HERYANDI/ YULIA IKA W")</f>
        <v>NEDI HERYANDI/ YULIA IKA W</v>
      </c>
      <c r="G96" s="13">
        <f t="shared" si="1"/>
        <v>87</v>
      </c>
      <c r="H96" s="13" t="str">
        <f>IFERROR(__xludf.DUMMYFUNCTION("""COMPUTED_VALUE"""),"P0")</f>
        <v>P0</v>
      </c>
    </row>
    <row r="97" ht="22.5" customHeight="1">
      <c r="B97" s="19" t="str">
        <f>IFERROR(__xludf.DUMMYFUNCTION("""COMPUTED_VALUE"""),"K/48/151024/1")</f>
        <v>K/48/151024/1</v>
      </c>
      <c r="C97" s="19" t="str">
        <f>IFERROR(__xludf.DUMMYFUNCTION("""COMPUTED_VALUE"""),"M.550/KORPRI RAYA-SEKARANG;M.10135/SUKARAME U-DAHULU")</f>
        <v>M.550/KORPRI RAYA-SEKARANG;M.10135/SUKARAME U-DAHULU</v>
      </c>
      <c r="D97" s="17">
        <f>IFERROR(__xludf.DUMMYFUNCTION("""COMPUTED_VALUE"""),45580.604247650466)</f>
        <v>45580.60425</v>
      </c>
      <c r="E97" s="13" t="str">
        <f>IFERROR(__xludf.DUMMYFUNCTION("""COMPUTED_VALUE"""),"PERALIHAN JUAL BELI")</f>
        <v>PERALIHAN JUAL BELI</v>
      </c>
      <c r="F97" s="13" t="str">
        <f>IFERROR(__xludf.DUMMYFUNCTION("""COMPUTED_VALUE"""),"ROHAYATI/SUJONO PARYONO")</f>
        <v>ROHAYATI/SUJONO PARYONO</v>
      </c>
      <c r="G97" s="13">
        <f t="shared" si="1"/>
        <v>88</v>
      </c>
      <c r="H97" s="13" t="str">
        <f>IFERROR(__xludf.DUMMYFUNCTION("""COMPUTED_VALUE"""),"P0")</f>
        <v>P0</v>
      </c>
    </row>
    <row r="98" ht="22.5" customHeight="1">
      <c r="B98" s="19" t="str">
        <f>IFERROR(__xludf.DUMMYFUNCTION("""COMPUTED_VALUE"""),"L/49/151024/1")</f>
        <v>L/49/151024/1</v>
      </c>
      <c r="C98" s="19" t="str">
        <f>IFERROR(__xludf.DUMMYFUNCTION("""COMPUTED_VALUE"""),"B.238/BERINGIN RAYA;B.238/BERINGIN JAYA-DAHULU")</f>
        <v>B.238/BERINGIN RAYA;B.238/BERINGIN JAYA-DAHULU</v>
      </c>
      <c r="D98" s="17">
        <f>IFERROR(__xludf.DUMMYFUNCTION("""COMPUTED_VALUE"""),45580.60850206019)</f>
        <v>45580.6085</v>
      </c>
      <c r="E98" s="13" t="str">
        <f>IFERROR(__xludf.DUMMYFUNCTION("""COMPUTED_VALUE"""),"PERUBAHAN HAK")</f>
        <v>PERUBAHAN HAK</v>
      </c>
      <c r="F98" s="13" t="str">
        <f>IFERROR(__xludf.DUMMYFUNCTION("""COMPUTED_VALUE"""),"SOENANTO")</f>
        <v>SOENANTO</v>
      </c>
      <c r="G98" s="13">
        <f t="shared" si="1"/>
        <v>89</v>
      </c>
      <c r="H98" s="13" t="str">
        <f>IFERROR(__xludf.DUMMYFUNCTION("""COMPUTED_VALUE"""),"P0")</f>
        <v>P0</v>
      </c>
    </row>
    <row r="99" ht="22.5" customHeight="1">
      <c r="B99" s="19" t="str">
        <f>IFERROR(__xludf.DUMMYFUNCTION("""COMPUTED_VALUE"""),"L/50/151024/1")</f>
        <v>L/50/151024/1</v>
      </c>
      <c r="C99" s="19" t="str">
        <f>IFERROR(__xludf.DUMMYFUNCTION("""COMPUTED_VALUE"""),"HM 1763/RAJABASA NUNYAI")</f>
        <v>HM 1763/RAJABASA NUNYAI</v>
      </c>
      <c r="D99" s="17">
        <f>IFERROR(__xludf.DUMMYFUNCTION("""COMPUTED_VALUE"""),45580.61031559028)</f>
        <v>45580.61032</v>
      </c>
      <c r="E99" s="13" t="str">
        <f>IFERROR(__xludf.DUMMYFUNCTION("""COMPUTED_VALUE"""),"BN JUAL-BELI")</f>
        <v>BN JUAL-BELI</v>
      </c>
      <c r="F99" s="13" t="str">
        <f>IFERROR(__xludf.DUMMYFUNCTION("""COMPUTED_VALUE"""),"ALDY DIAN SATRIA")</f>
        <v>ALDY DIAN SATRIA</v>
      </c>
      <c r="G99" s="13">
        <f t="shared" si="1"/>
        <v>90</v>
      </c>
      <c r="H99" s="13" t="str">
        <f>IFERROR(__xludf.DUMMYFUNCTION("""COMPUTED_VALUE"""),"P0")</f>
        <v>P0</v>
      </c>
    </row>
    <row r="100" ht="22.5" customHeight="1">
      <c r="B100" s="19" t="str">
        <f>IFERROR(__xludf.DUMMYFUNCTION("""COMPUTED_VALUE"""),"K/51/151024/1")</f>
        <v>K/51/151024/1</v>
      </c>
      <c r="C100" s="19" t="str">
        <f>IFERROR(__xludf.DUMMYFUNCTION("""COMPUTED_VALUE"""),"M. 2411/ Kota Karang")</f>
        <v>M. 2411/ Kota Karang</v>
      </c>
      <c r="D100" s="17">
        <f>IFERROR(__xludf.DUMMYFUNCTION("""COMPUTED_VALUE"""),45580.61462719907)</f>
        <v>45580.61463</v>
      </c>
      <c r="E100" s="13" t="str">
        <f>IFERROR(__xludf.DUMMYFUNCTION("""COMPUTED_VALUE"""),"Gandes")</f>
        <v>Gandes</v>
      </c>
      <c r="F100" s="13" t="str">
        <f>IFERROR(__xludf.DUMMYFUNCTION("""COMPUTED_VALUE"""),"Rendy Renaldy/ Rusgani")</f>
        <v>Rendy Renaldy/ Rusgani</v>
      </c>
      <c r="G100" s="13">
        <f t="shared" si="1"/>
        <v>91</v>
      </c>
      <c r="H100" s="13" t="str">
        <f>IFERROR(__xludf.DUMMYFUNCTION("""COMPUTED_VALUE"""),"P0")</f>
        <v>P0</v>
      </c>
    </row>
    <row r="101" ht="22.5" customHeight="1">
      <c r="B101" s="19" t="str">
        <f>IFERROR(__xludf.DUMMYFUNCTION("""COMPUTED_VALUE"""),"K/52/151024/1")</f>
        <v>K/52/151024/1</v>
      </c>
      <c r="C101" s="19" t="str">
        <f>IFERROR(__xludf.DUMMYFUNCTION("""COMPUTED_VALUE"""),"M. 579/ KUPANG KOTA")</f>
        <v>M. 579/ KUPANG KOTA</v>
      </c>
      <c r="D101" s="17">
        <f>IFERROR(__xludf.DUMMYFUNCTION("""COMPUTED_VALUE"""),45580.6185305324)</f>
        <v>45580.61853</v>
      </c>
      <c r="E101" s="13" t="str">
        <f>IFERROR(__xludf.DUMMYFUNCTION("""COMPUTED_VALUE"""),"BN WARIS")</f>
        <v>BN WARIS</v>
      </c>
      <c r="F101" s="13" t="str">
        <f>IFERROR(__xludf.DUMMYFUNCTION("""COMPUTED_VALUE"""),"ANDRY YULIAN/ KASIH PUWANINGSIH CS")</f>
        <v>ANDRY YULIAN/ KASIH PUWANINGSIH CS</v>
      </c>
      <c r="G101" s="13">
        <f t="shared" si="1"/>
        <v>92</v>
      </c>
      <c r="H101" s="13" t="str">
        <f>IFERROR(__xludf.DUMMYFUNCTION("""COMPUTED_VALUE"""),"P0")</f>
        <v>P0</v>
      </c>
    </row>
    <row r="102" ht="22.5" customHeight="1">
      <c r="B102" s="19" t="str">
        <f>IFERROR(__xludf.DUMMYFUNCTION("""COMPUTED_VALUE"""),"K/53/151024/4")</f>
        <v>K/53/151024/4</v>
      </c>
      <c r="C102" s="19" t="str">
        <f>IFERROR(__xludf.DUMMYFUNCTION("""COMPUTED_VALUE"""),"M. 672/ Tanjung Karang")</f>
        <v>M. 672/ Tanjung Karang</v>
      </c>
      <c r="D102" s="17">
        <f>IFERROR(__xludf.DUMMYFUNCTION("""COMPUTED_VALUE"""),45580.62490565972)</f>
        <v>45580.62491</v>
      </c>
      <c r="E102" s="13" t="str">
        <f>IFERROR(__xludf.DUMMYFUNCTION("""COMPUTED_VALUE"""),"Gandes")</f>
        <v>Gandes</v>
      </c>
      <c r="F102" s="13" t="str">
        <f>IFERROR(__xludf.DUMMYFUNCTION("""COMPUTED_VALUE"""),"Fahrul Rozi/ Hermansyah H")</f>
        <v>Fahrul Rozi/ Hermansyah H</v>
      </c>
      <c r="G102" s="13">
        <f t="shared" si="1"/>
        <v>93</v>
      </c>
      <c r="H102" s="13" t="str">
        <f>IFERROR(__xludf.DUMMYFUNCTION("""COMPUTED_VALUE"""),"P0")</f>
        <v>P0</v>
      </c>
    </row>
    <row r="103" ht="22.5" customHeight="1">
      <c r="B103" s="19" t="str">
        <f>IFERROR(__xludf.DUMMYFUNCTION("""COMPUTED_VALUE"""),"K/54/151024/1")</f>
        <v>K/54/151024/1</v>
      </c>
      <c r="C103" s="19" t="str">
        <f>IFERROR(__xludf.DUMMYFUNCTION("""COMPUTED_VALUE"""),"M.131/PENGAJARAN")</f>
        <v>M.131/PENGAJARAN</v>
      </c>
      <c r="D103" s="17">
        <f>IFERROR(__xludf.DUMMYFUNCTION("""COMPUTED_VALUE"""),45580.63203491898)</f>
        <v>45580.63203</v>
      </c>
      <c r="E103" s="13" t="str">
        <f>IFERROR(__xludf.DUMMYFUNCTION("""COMPUTED_VALUE"""),"PLOTING")</f>
        <v>PLOTING</v>
      </c>
      <c r="F103" s="13" t="str">
        <f>IFERROR(__xludf.DUMMYFUNCTION("""COMPUTED_VALUE"""),"HARUN AMIN/CHRISTINA ULINA ")</f>
        <v>HARUN AMIN/CHRISTINA ULINA </v>
      </c>
      <c r="G103" s="13">
        <f t="shared" si="1"/>
        <v>94</v>
      </c>
      <c r="H103" s="13" t="str">
        <f>IFERROR(__xludf.DUMMYFUNCTION("""COMPUTED_VALUE"""),"P0")</f>
        <v>P0</v>
      </c>
    </row>
    <row r="104" ht="22.5" customHeight="1">
      <c r="B104" s="19" t="str">
        <f>IFERROR(__xludf.DUMMYFUNCTION("""COMPUTED_VALUE"""),"K/55/151024/1")</f>
        <v>K/55/151024/1</v>
      </c>
      <c r="C104" s="19" t="str">
        <f>IFERROR(__xludf.DUMMYFUNCTION("""COMPUTED_VALUE"""),"M. 1402/ Tanjung Raya")</f>
        <v>M. 1402/ Tanjung Raya</v>
      </c>
      <c r="D104" s="17">
        <f>IFERROR(__xludf.DUMMYFUNCTION("""COMPUTED_VALUE"""),45580.63240973379)</f>
        <v>45580.63241</v>
      </c>
      <c r="E104" s="13" t="str">
        <f>IFERROR(__xludf.DUMMYFUNCTION("""COMPUTED_VALUE"""),"BN Jual Beli")</f>
        <v>BN Jual Beli</v>
      </c>
      <c r="F104" s="13" t="str">
        <f>IFERROR(__xludf.DUMMYFUNCTION("""COMPUTED_VALUE"""),"Mahfud/ Tozien")</f>
        <v>Mahfud/ Tozien</v>
      </c>
      <c r="G104" s="13">
        <f t="shared" si="1"/>
        <v>95</v>
      </c>
      <c r="H104" s="13" t="str">
        <f>IFERROR(__xludf.DUMMYFUNCTION("""COMPUTED_VALUE"""),"P0")</f>
        <v>P0</v>
      </c>
    </row>
    <row r="105" ht="22.5" customHeight="1">
      <c r="B105" s="19" t="str">
        <f>IFERROR(__xludf.DUMMYFUNCTION("""COMPUTED_VALUE"""),"K/56/151024/2")</f>
        <v>K/56/151024/2</v>
      </c>
      <c r="C105" s="19" t="str">
        <f>IFERROR(__xludf.DUMMYFUNCTION("""COMPUTED_VALUE"""),"M. 345/ Rajabasa Jaya; dahulu M. 9164/Rajabasa")</f>
        <v>M. 345/ Rajabasa Jaya; dahulu M. 9164/Rajabasa</v>
      </c>
      <c r="D105" s="17">
        <f>IFERROR(__xludf.DUMMYFUNCTION("""COMPUTED_VALUE"""),45580.63431175926)</f>
        <v>45580.63431</v>
      </c>
      <c r="E105" s="13" t="str">
        <f>IFERROR(__xludf.DUMMYFUNCTION("""COMPUTED_VALUE"""),"Ploting")</f>
        <v>Ploting</v>
      </c>
      <c r="F105" s="13" t="str">
        <f>IFERROR(__xludf.DUMMYFUNCTION("""COMPUTED_VALUE"""),"Mahfud/ Masrudin")</f>
        <v>Mahfud/ Masrudin</v>
      </c>
      <c r="G105" s="13">
        <f t="shared" si="1"/>
        <v>96</v>
      </c>
      <c r="H105" s="13" t="str">
        <f>IFERROR(__xludf.DUMMYFUNCTION("""COMPUTED_VALUE"""),"P0")</f>
        <v>P0</v>
      </c>
    </row>
    <row r="106" ht="22.5" customHeight="1">
      <c r="B106" s="19" t="str">
        <f>IFERROR(__xludf.DUMMYFUNCTION("""COMPUTED_VALUE"""),"K/57/151024/3")</f>
        <v>K/57/151024/3</v>
      </c>
      <c r="C106" s="19" t="str">
        <f>IFERROR(__xludf.DUMMYFUNCTION("""COMPUTED_VALUE"""),"M. 590/ Pematang Wangi; 382/ Tanjung Senang dahulu")</f>
        <v>M. 590/ Pematang Wangi; 382/ Tanjung Senang dahulu</v>
      </c>
      <c r="D106" s="17">
        <f>IFERROR(__xludf.DUMMYFUNCTION("""COMPUTED_VALUE"""),45580.63574103009)</f>
        <v>45580.63574</v>
      </c>
      <c r="E106" s="13" t="str">
        <f>IFERROR(__xludf.DUMMYFUNCTION("""COMPUTED_VALUE"""),"Roya")</f>
        <v>Roya</v>
      </c>
      <c r="F106" s="13" t="str">
        <f>IFERROR(__xludf.DUMMYFUNCTION("""COMPUTED_VALUE"""),"Mahfud/ Abaston")</f>
        <v>Mahfud/ Abaston</v>
      </c>
      <c r="G106" s="13">
        <f t="shared" si="1"/>
        <v>97</v>
      </c>
      <c r="H106" s="13" t="str">
        <f>IFERROR(__xludf.DUMMYFUNCTION("""COMPUTED_VALUE"""),"P0")</f>
        <v>P0</v>
      </c>
    </row>
    <row r="107" ht="22.5" customHeight="1">
      <c r="B107" s="19" t="str">
        <f>IFERROR(__xludf.DUMMYFUNCTION("""COMPUTED_VALUE"""),"L/58/151024/1")</f>
        <v>L/58/151024/1</v>
      </c>
      <c r="C107" s="19" t="str">
        <f>IFERROR(__xludf.DUMMYFUNCTION("""COMPUTED_VALUE"""),"HM 730/SAWAH LAMA")</f>
        <v>HM 730/SAWAH LAMA</v>
      </c>
      <c r="D107" s="17">
        <f>IFERROR(__xludf.DUMMYFUNCTION("""COMPUTED_VALUE"""),45580.64101980324)</f>
        <v>45580.64102</v>
      </c>
      <c r="E107" s="13" t="str">
        <f>IFERROR(__xludf.DUMMYFUNCTION("""COMPUTED_VALUE"""),"PENGHAPUSAN BPHTB")</f>
        <v>PENGHAPUSAN BPHTB</v>
      </c>
      <c r="F107" s="13" t="str">
        <f>IFERROR(__xludf.DUMMYFUNCTION("""COMPUTED_VALUE"""),"SAMSUL BAHRI")</f>
        <v>SAMSUL BAHRI</v>
      </c>
      <c r="G107" s="13">
        <f t="shared" si="1"/>
        <v>98</v>
      </c>
      <c r="H107" s="13" t="str">
        <f>IFERROR(__xludf.DUMMYFUNCTION("""COMPUTED_VALUE"""),"P0")</f>
        <v>P0</v>
      </c>
    </row>
    <row r="108" ht="22.5" customHeight="1">
      <c r="B108" s="19" t="str">
        <f>IFERROR(__xludf.DUMMYFUNCTION("""COMPUTED_VALUE"""),"K/59/151024/1")</f>
        <v>K/59/151024/1</v>
      </c>
      <c r="C108" s="19" t="str">
        <f>IFERROR(__xludf.DUMMYFUNCTION("""COMPUTED_VALUE"""),"B.522/BERINGIN JAYA ")</f>
        <v>B.522/BERINGIN JAYA </v>
      </c>
      <c r="D108" s="17">
        <f>IFERROR(__xludf.DUMMYFUNCTION("""COMPUTED_VALUE"""),45580.64728799769)</f>
        <v>45580.64729</v>
      </c>
      <c r="E108" s="13" t="str">
        <f>IFERROR(__xludf.DUMMYFUNCTION("""COMPUTED_VALUE"""),"PERALIHAN JUAL BELI ")</f>
        <v>PERALIHAN JUAL BELI </v>
      </c>
      <c r="F108" s="13" t="str">
        <f>IFERROR(__xludf.DUMMYFUNCTION("""COMPUTED_VALUE"""),"IRMA SILVIA/ I MADE RETUG")</f>
        <v>IRMA SILVIA/ I MADE RETUG</v>
      </c>
      <c r="G108" s="13">
        <f t="shared" si="1"/>
        <v>99</v>
      </c>
      <c r="H108" s="13" t="str">
        <f>IFERROR(__xludf.DUMMYFUNCTION("""COMPUTED_VALUE"""),"P0")</f>
        <v>P0</v>
      </c>
    </row>
    <row r="109" ht="22.5" customHeight="1">
      <c r="B109" s="19" t="str">
        <f>IFERROR(__xludf.DUMMYFUNCTION("""COMPUTED_VALUE"""),"K/1/161024/1")</f>
        <v>K/1/161024/1</v>
      </c>
      <c r="C109" s="19" t="str">
        <f>IFERROR(__xludf.DUMMYFUNCTION("""COMPUTED_VALUE"""),"NIBEL M.2600/SUKARAME")</f>
        <v>NIBEL M.2600/SUKARAME</v>
      </c>
      <c r="D109" s="17">
        <f>IFERROR(__xludf.DUMMYFUNCTION("""COMPUTED_VALUE"""),45581.38195368055)</f>
        <v>45581.38195</v>
      </c>
      <c r="E109" s="13" t="str">
        <f>IFERROR(__xludf.DUMMYFUNCTION("""COMPUTED_VALUE"""),"PERALIHAN KEWARISAN")</f>
        <v>PERALIHAN KEWARISAN</v>
      </c>
      <c r="F109" s="13" t="str">
        <f>IFERROR(__xludf.DUMMYFUNCTION("""COMPUTED_VALUE"""),"RUSMIATI/ADE ISKANDAR BUNARI")</f>
        <v>RUSMIATI/ADE ISKANDAR BUNARI</v>
      </c>
      <c r="G109" s="13">
        <f t="shared" si="1"/>
        <v>100</v>
      </c>
      <c r="H109" s="13" t="str">
        <f>IFERROR(__xludf.DUMMYFUNCTION("""COMPUTED_VALUE"""),"P0")</f>
        <v>P0</v>
      </c>
    </row>
    <row r="110" ht="22.5" customHeight="1">
      <c r="B110" s="19" t="str">
        <f>IFERROR(__xludf.DUMMYFUNCTION("""COMPUTED_VALUE"""),"K/2/161024/1")</f>
        <v>K/2/161024/1</v>
      </c>
      <c r="C110" s="19" t="str">
        <f>IFERROR(__xludf.DUMMYFUNCTION("""COMPUTED_VALUE"""),"Nibel. M. 2246/ Sumber Agung")</f>
        <v>Nibel. M. 2246/ Sumber Agung</v>
      </c>
      <c r="D110" s="17">
        <f>IFERROR(__xludf.DUMMYFUNCTION("""COMPUTED_VALUE"""),45581.38880053241)</f>
        <v>45581.3888</v>
      </c>
      <c r="E110" s="13" t="str">
        <f>IFERROR(__xludf.DUMMYFUNCTION("""COMPUTED_VALUE"""),"BN Jual Beli")</f>
        <v>BN Jual Beli</v>
      </c>
      <c r="F110" s="13" t="str">
        <f>IFERROR(__xludf.DUMMYFUNCTION("""COMPUTED_VALUE"""),"Dedi Setiawan/ Yosi Mariani")</f>
        <v>Dedi Setiawan/ Yosi Mariani</v>
      </c>
      <c r="G110" s="13">
        <f t="shared" si="1"/>
        <v>101</v>
      </c>
      <c r="H110" s="13" t="str">
        <f>IFERROR(__xludf.DUMMYFUNCTION("""COMPUTED_VALUE"""),"P0")</f>
        <v>P0</v>
      </c>
    </row>
    <row r="111" ht="22.5" customHeight="1">
      <c r="B111" s="19" t="str">
        <f>IFERROR(__xludf.DUMMYFUNCTION("""COMPUTED_VALUE"""),"K/3/161024/2")</f>
        <v>K/3/161024/2</v>
      </c>
      <c r="C111" s="19" t="str">
        <f>IFERROR(__xludf.DUMMYFUNCTION("""COMPUTED_VALUE"""),"M. 1217/ Campang Jaya")</f>
        <v>M. 1217/ Campang Jaya</v>
      </c>
      <c r="D111" s="17">
        <f>IFERROR(__xludf.DUMMYFUNCTION("""COMPUTED_VALUE"""),45581.3905655787)</f>
        <v>45581.39057</v>
      </c>
      <c r="E111" s="13" t="str">
        <f>IFERROR(__xludf.DUMMYFUNCTION("""COMPUTED_VALUE"""),"BN Jual Beli")</f>
        <v>BN Jual Beli</v>
      </c>
      <c r="F111" s="13" t="str">
        <f>IFERROR(__xludf.DUMMYFUNCTION("""COMPUTED_VALUE"""),"Adnan/ Junifa Andrian")</f>
        <v>Adnan/ Junifa Andrian</v>
      </c>
      <c r="G111" s="13">
        <f t="shared" si="1"/>
        <v>102</v>
      </c>
      <c r="H111" s="13" t="str">
        <f>IFERROR(__xludf.DUMMYFUNCTION("""COMPUTED_VALUE"""),"P0")</f>
        <v>P0</v>
      </c>
    </row>
    <row r="112" ht="22.5" customHeight="1">
      <c r="B112" s="19" t="str">
        <f>IFERROR(__xludf.DUMMYFUNCTION("""COMPUTED_VALUE"""),"K/26/141024/1")</f>
        <v>K/26/141024/1</v>
      </c>
      <c r="C112" s="19" t="str">
        <f>IFERROR(__xludf.DUMMYFUNCTION("""COMPUTED_VALUE"""),"M.2094/M.2094/CAMPANG JAYA")</f>
        <v>M.2094/M.2094/CAMPANG JAYA</v>
      </c>
      <c r="D112" s="17">
        <f>IFERROR(__xludf.DUMMYFUNCTION("""COMPUTED_VALUE"""),45581.39905273148)</f>
        <v>45581.39905</v>
      </c>
      <c r="E112" s="13" t="str">
        <f>IFERROR(__xludf.DUMMYFUNCTION("""COMPUTED_VALUE"""),"PERALIHAN JUAL BELI")</f>
        <v>PERALIHAN JUAL BELI</v>
      </c>
      <c r="F112" s="13" t="str">
        <f>IFERROR(__xludf.DUMMYFUNCTION("""COMPUTED_VALUE"""),"KHARISMA MANISHA CECILIYA/ILANUR")</f>
        <v>KHARISMA MANISHA CECILIYA/ILANUR</v>
      </c>
      <c r="G112" s="13">
        <f t="shared" si="1"/>
        <v>102</v>
      </c>
      <c r="H112" s="13" t="str">
        <f>IFERROR(__xludf.DUMMYFUNCTION("""COMPUTED_VALUE"""),"P1")</f>
        <v>P1</v>
      </c>
    </row>
    <row r="113" ht="22.5" customHeight="1">
      <c r="B113" s="19" t="str">
        <f>IFERROR(__xludf.DUMMYFUNCTION("""COMPUTED_VALUE"""),"L/4/161024/1")</f>
        <v>L/4/161024/1</v>
      </c>
      <c r="C113" s="19" t="str">
        <f>IFERROR(__xludf.DUMMYFUNCTION("""COMPUTED_VALUE"""),"B.3464/SUKABUMI")</f>
        <v>B.3464/SUKABUMI</v>
      </c>
      <c r="D113" s="17">
        <f>IFERROR(__xludf.DUMMYFUNCTION("""COMPUTED_VALUE"""),45581.3995169213)</f>
        <v>45581.39952</v>
      </c>
      <c r="E113" s="13" t="str">
        <f>IFERROR(__xludf.DUMMYFUNCTION("""COMPUTED_VALUE"""),"SKPT INFORMASI PEMBAHARUAN")</f>
        <v>SKPT INFORMASI PEMBAHARUAN</v>
      </c>
      <c r="F113" s="13" t="str">
        <f>IFERROR(__xludf.DUMMYFUNCTION("""COMPUTED_VALUE"""),"HELDAYANI CS")</f>
        <v>HELDAYANI CS</v>
      </c>
      <c r="G113" s="13">
        <f t="shared" si="1"/>
        <v>103</v>
      </c>
      <c r="H113" s="13" t="str">
        <f>IFERROR(__xludf.DUMMYFUNCTION("""COMPUTED_VALUE"""),"P0")</f>
        <v>P0</v>
      </c>
    </row>
    <row r="114" ht="22.5" customHeight="1">
      <c r="B114" s="19" t="str">
        <f>IFERROR(__xludf.DUMMYFUNCTION("""COMPUTED_VALUE"""),"K/5/161024/1")</f>
        <v>K/5/161024/1</v>
      </c>
      <c r="C114" s="19" t="str">
        <f>IFERROR(__xludf.DUMMYFUNCTION("""COMPUTED_VALUE"""),"M. 1818/ Kupang Teba")</f>
        <v>M. 1818/ Kupang Teba</v>
      </c>
      <c r="D114" s="17">
        <f>IFERROR(__xludf.DUMMYFUNCTION("""COMPUTED_VALUE"""),45581.40296290509)</f>
        <v>45581.40296</v>
      </c>
      <c r="E114" s="13" t="str">
        <f>IFERROR(__xludf.DUMMYFUNCTION("""COMPUTED_VALUE"""),"BN Jual Beli")</f>
        <v>BN Jual Beli</v>
      </c>
      <c r="F114" s="13" t="str">
        <f>IFERROR(__xludf.DUMMYFUNCTION("""COMPUTED_VALUE"""),"Reflan Rasyid/ Ria Meilani")</f>
        <v>Reflan Rasyid/ Ria Meilani</v>
      </c>
      <c r="G114" s="13">
        <f t="shared" si="1"/>
        <v>104</v>
      </c>
      <c r="H114" s="13" t="str">
        <f>IFERROR(__xludf.DUMMYFUNCTION("""COMPUTED_VALUE"""),"P0")</f>
        <v>P0</v>
      </c>
    </row>
    <row r="115" ht="22.5" customHeight="1">
      <c r="B115" s="19" t="str">
        <f>IFERROR(__xludf.DUMMYFUNCTION("""COMPUTED_VALUE"""),"K/6/161024/1")</f>
        <v>K/6/161024/1</v>
      </c>
      <c r="C115" s="19" t="str">
        <f>IFERROR(__xludf.DUMMYFUNCTION("""COMPUTED_VALUE"""),"M. 1560/ Bumi Waras")</f>
        <v>M. 1560/ Bumi Waras</v>
      </c>
      <c r="D115" s="17">
        <f>IFERROR(__xludf.DUMMYFUNCTION("""COMPUTED_VALUE"""),45581.4054884375)</f>
        <v>45581.40549</v>
      </c>
      <c r="E115" s="13" t="str">
        <f>IFERROR(__xludf.DUMMYFUNCTION("""COMPUTED_VALUE"""),"SKPT LELANG")</f>
        <v>SKPT LELANG</v>
      </c>
      <c r="F115" s="13" t="str">
        <f>IFERROR(__xludf.DUMMYFUNCTION("""COMPUTED_VALUE"""),"DITO SAPUTRA/ TITIK WIJAYANTI")</f>
        <v>DITO SAPUTRA/ TITIK WIJAYANTI</v>
      </c>
      <c r="G115" s="13">
        <f t="shared" si="1"/>
        <v>105</v>
      </c>
      <c r="H115" s="13" t="str">
        <f>IFERROR(__xludf.DUMMYFUNCTION("""COMPUTED_VALUE"""),"P0")</f>
        <v>P0</v>
      </c>
    </row>
    <row r="116" ht="22.5" customHeight="1">
      <c r="B116" s="19" t="str">
        <f>IFERROR(__xludf.DUMMYFUNCTION("""COMPUTED_VALUE"""),"K/7/161024/2")</f>
        <v>K/7/161024/2</v>
      </c>
      <c r="C116" s="19" t="str">
        <f>IFERROR(__xludf.DUMMYFUNCTION("""COMPUTED_VALUE"""),"M. 617/ SAWAH LAMA")</f>
        <v>M. 617/ SAWAH LAMA</v>
      </c>
      <c r="D116" s="17">
        <f>IFERROR(__xludf.DUMMYFUNCTION("""COMPUTED_VALUE"""),45581.40765490741)</f>
        <v>45581.40765</v>
      </c>
      <c r="E116" s="13" t="str">
        <f>IFERROR(__xludf.DUMMYFUNCTION("""COMPUTED_VALUE"""),"SKPT LELANG")</f>
        <v>SKPT LELANG</v>
      </c>
      <c r="F116" s="13" t="str">
        <f>IFERROR(__xludf.DUMMYFUNCTION("""COMPUTED_VALUE"""),"DITO SAPUTRA/ TITIK WIJAYANTI")</f>
        <v>DITO SAPUTRA/ TITIK WIJAYANTI</v>
      </c>
      <c r="G116" s="13">
        <f t="shared" si="1"/>
        <v>106</v>
      </c>
      <c r="H116" s="13" t="str">
        <f>IFERROR(__xludf.DUMMYFUNCTION("""COMPUTED_VALUE"""),"P0")</f>
        <v>P0</v>
      </c>
    </row>
    <row r="117" ht="22.5" customHeight="1">
      <c r="B117" s="19" t="str">
        <f>IFERROR(__xludf.DUMMYFUNCTION("""COMPUTED_VALUE"""),"L/8/161024/1")</f>
        <v>L/8/161024/1</v>
      </c>
      <c r="C117" s="19" t="str">
        <f>IFERROR(__xludf.DUMMYFUNCTION("""COMPUTED_VALUE"""),"B.834/PWK;B.763/WAY KANDIS-DAHULU")</f>
        <v>B.834/PWK;B.763/WAY KANDIS-DAHULU</v>
      </c>
      <c r="D117" s="17">
        <f>IFERROR(__xludf.DUMMYFUNCTION("""COMPUTED_VALUE"""),45581.417020023146)</f>
        <v>45581.41702</v>
      </c>
      <c r="E117" s="13" t="str">
        <f>IFERROR(__xludf.DUMMYFUNCTION("""COMPUTED_VALUE"""),"PERUBAHAN HAK")</f>
        <v>PERUBAHAN HAK</v>
      </c>
      <c r="F117" s="13" t="str">
        <f>IFERROR(__xludf.DUMMYFUNCTION("""COMPUTED_VALUE"""),"EVIE MUARA")</f>
        <v>EVIE MUARA</v>
      </c>
      <c r="G117" s="13">
        <f t="shared" si="1"/>
        <v>107</v>
      </c>
      <c r="H117" s="13" t="str">
        <f>IFERROR(__xludf.DUMMYFUNCTION("""COMPUTED_VALUE"""),"P0")</f>
        <v>P0</v>
      </c>
    </row>
    <row r="118" ht="22.5" customHeight="1">
      <c r="B118" s="19" t="str">
        <f>IFERROR(__xludf.DUMMYFUNCTION("""COMPUTED_VALUE"""),"K/9/161024/1")</f>
        <v>K/9/161024/1</v>
      </c>
      <c r="C118" s="19" t="str">
        <f>IFERROR(__xludf.DUMMYFUNCTION("""COMPUTED_VALUE"""),"M. 3934/ Way Kandis - sekarang/ B. 923/ Way Kandis -dahulu")</f>
        <v>M. 3934/ Way Kandis - sekarang/ B. 923/ Way Kandis -dahulu</v>
      </c>
      <c r="D118" s="17">
        <f>IFERROR(__xludf.DUMMYFUNCTION("""COMPUTED_VALUE"""),45581.430449618056)</f>
        <v>45581.43045</v>
      </c>
      <c r="E118" s="13" t="str">
        <f>IFERROR(__xludf.DUMMYFUNCTION("""COMPUTED_VALUE"""),"Ganti Kelurahan")</f>
        <v>Ganti Kelurahan</v>
      </c>
      <c r="F118" s="13" t="str">
        <f>IFERROR(__xludf.DUMMYFUNCTION("""COMPUTED_VALUE"""),"tony azhari/ aris putra")</f>
        <v>tony azhari/ aris putra</v>
      </c>
      <c r="G118" s="13">
        <f t="shared" si="1"/>
        <v>108</v>
      </c>
      <c r="H118" s="13" t="str">
        <f>IFERROR(__xludf.DUMMYFUNCTION("""COMPUTED_VALUE"""),"P0")</f>
        <v>P0</v>
      </c>
    </row>
    <row r="119" ht="22.5" customHeight="1">
      <c r="B119" s="19" t="str">
        <f>IFERROR(__xludf.DUMMYFUNCTION("""COMPUTED_VALUE"""),"K/10/161024/1")</f>
        <v>K/10/161024/1</v>
      </c>
      <c r="C119" s="19" t="str">
        <f>IFERROR(__xludf.DUMMYFUNCTION("""COMPUTED_VALUE"""),"NIBEL M.2729/GUNUNG SULAH")</f>
        <v>NIBEL M.2729/GUNUNG SULAH</v>
      </c>
      <c r="D119" s="17">
        <f>IFERROR(__xludf.DUMMYFUNCTION("""COMPUTED_VALUE"""),45581.435807800925)</f>
        <v>45581.43581</v>
      </c>
      <c r="E119" s="13" t="str">
        <f>IFERROR(__xludf.DUMMYFUNCTION("""COMPUTED_VALUE"""),"PERALIHAN JUAL BELI")</f>
        <v>PERALIHAN JUAL BELI</v>
      </c>
      <c r="F119" s="13" t="str">
        <f>IFERROR(__xludf.DUMMYFUNCTION("""COMPUTED_VALUE"""),"KUMALA RATNA SARI/PANARY SITOPU")</f>
        <v>KUMALA RATNA SARI/PANARY SITOPU</v>
      </c>
      <c r="G119" s="13">
        <f t="shared" si="1"/>
        <v>109</v>
      </c>
      <c r="H119" s="13" t="str">
        <f>IFERROR(__xludf.DUMMYFUNCTION("""COMPUTED_VALUE"""),"P0")</f>
        <v>P0</v>
      </c>
    </row>
    <row r="120" ht="22.5" customHeight="1">
      <c r="B120" s="19" t="str">
        <f>IFERROR(__xludf.DUMMYFUNCTION("""COMPUTED_VALUE"""),"K/11/161024/2")</f>
        <v>K/11/161024/2</v>
      </c>
      <c r="C120" s="19" t="str">
        <f>IFERROR(__xludf.DUMMYFUNCTION("""COMPUTED_VALUE"""),"NIBEL B.2730/GUNUNG SULAH")</f>
        <v>NIBEL B.2730/GUNUNG SULAH</v>
      </c>
      <c r="D120" s="17">
        <f>IFERROR(__xludf.DUMMYFUNCTION("""COMPUTED_VALUE"""),45581.43662146991)</f>
        <v>45581.43662</v>
      </c>
      <c r="E120" s="13" t="str">
        <f>IFERROR(__xludf.DUMMYFUNCTION("""COMPUTED_VALUE"""),"PERALIHAN BALIK NAMA")</f>
        <v>PERALIHAN BALIK NAMA</v>
      </c>
      <c r="F120" s="13" t="str">
        <f>IFERROR(__xludf.DUMMYFUNCTION("""COMPUTED_VALUE"""),"CHRISTYAN BILLY/PANARY SITOPU")</f>
        <v>CHRISTYAN BILLY/PANARY SITOPU</v>
      </c>
      <c r="G120" s="13">
        <f t="shared" si="1"/>
        <v>110</v>
      </c>
      <c r="H120" s="13" t="str">
        <f>IFERROR(__xludf.DUMMYFUNCTION("""COMPUTED_VALUE"""),"P0")</f>
        <v>P0</v>
      </c>
    </row>
    <row r="121" ht="22.5" customHeight="1">
      <c r="B121" s="19" t="str">
        <f>IFERROR(__xludf.DUMMYFUNCTION("""COMPUTED_VALUE"""),"K/12/161024/3")</f>
        <v>K/12/161024/3</v>
      </c>
      <c r="C121" s="19" t="str">
        <f>IFERROR(__xludf.DUMMYFUNCTION("""COMPUTED_VALUE"""),"B.545/GUNUNG SULAH")</f>
        <v>B.545/GUNUNG SULAH</v>
      </c>
      <c r="D121" s="17">
        <f>IFERROR(__xludf.DUMMYFUNCTION("""COMPUTED_VALUE"""),45581.43738870371)</f>
        <v>45581.43739</v>
      </c>
      <c r="E121" s="13" t="str">
        <f>IFERROR(__xludf.DUMMYFUNCTION("""COMPUTED_VALUE"""),"PERALIHAN JUAL BELI")</f>
        <v>PERALIHAN JUAL BELI</v>
      </c>
      <c r="F121" s="13" t="str">
        <f>IFERROR(__xludf.DUMMYFUNCTION("""COMPUTED_VALUE"""),"CHRISTYNA BELLY/PANARY SITOPU")</f>
        <v>CHRISTYNA BELLY/PANARY SITOPU</v>
      </c>
      <c r="G121" s="13">
        <f t="shared" si="1"/>
        <v>111</v>
      </c>
      <c r="H121" s="13" t="str">
        <f>IFERROR(__xludf.DUMMYFUNCTION("""COMPUTED_VALUE"""),"P0")</f>
        <v>P0</v>
      </c>
    </row>
    <row r="122" ht="22.5" customHeight="1">
      <c r="B122" s="19" t="str">
        <f>IFERROR(__xludf.DUMMYFUNCTION("""COMPUTED_VALUE"""),"K/13/161024/1")</f>
        <v>K/13/161024/1</v>
      </c>
      <c r="C122" s="19" t="str">
        <f>IFERROR(__xludf.DUMMYFUNCTION("""COMPUTED_VALUE"""),"M. 1186/ Enggal")</f>
        <v>M. 1186/ Enggal</v>
      </c>
      <c r="D122" s="17">
        <f>IFERROR(__xludf.DUMMYFUNCTION("""COMPUTED_VALUE"""),45581.43797126158)</f>
        <v>45581.43797</v>
      </c>
      <c r="E122" s="13" t="str">
        <f>IFERROR(__xludf.DUMMYFUNCTION("""COMPUTED_VALUE"""),"BN Jual Beli")</f>
        <v>BN Jual Beli</v>
      </c>
      <c r="F122" s="13" t="str">
        <f>IFERROR(__xludf.DUMMYFUNCTION("""COMPUTED_VALUE"""),"A. Roswantama/ Mardi")</f>
        <v>A. Roswantama/ Mardi</v>
      </c>
      <c r="G122" s="13">
        <f t="shared" si="1"/>
        <v>112</v>
      </c>
      <c r="H122" s="13" t="str">
        <f>IFERROR(__xludf.DUMMYFUNCTION("""COMPUTED_VALUE"""),"P0")</f>
        <v>P0</v>
      </c>
    </row>
    <row r="123" ht="22.5" customHeight="1">
      <c r="B123" s="19" t="str">
        <f>IFERROR(__xludf.DUMMYFUNCTION("""COMPUTED_VALUE"""),"K/14/161024/2")</f>
        <v>K/14/161024/2</v>
      </c>
      <c r="C123" s="19" t="str">
        <f>IFERROR(__xludf.DUMMYFUNCTION("""COMPUTED_VALUE"""),"M. 5621/ Langkapura")</f>
        <v>M. 5621/ Langkapura</v>
      </c>
      <c r="D123" s="17">
        <f>IFERROR(__xludf.DUMMYFUNCTION("""COMPUTED_VALUE"""),45581.440413206015)</f>
        <v>45581.44041</v>
      </c>
      <c r="E123" s="13" t="str">
        <f>IFERROR(__xludf.DUMMYFUNCTION("""COMPUTED_VALUE"""),"BN Jual Beli")</f>
        <v>BN Jual Beli</v>
      </c>
      <c r="F123" s="13" t="str">
        <f>IFERROR(__xludf.DUMMYFUNCTION("""COMPUTED_VALUE"""),"A. Roswantama/ Assabiqun Alpan")</f>
        <v>A. Roswantama/ Assabiqun Alpan</v>
      </c>
      <c r="G123" s="13">
        <f t="shared" si="1"/>
        <v>113</v>
      </c>
      <c r="H123" s="13" t="str">
        <f>IFERROR(__xludf.DUMMYFUNCTION("""COMPUTED_VALUE"""),"P0")</f>
        <v>P0</v>
      </c>
    </row>
    <row r="124" ht="22.5" customHeight="1">
      <c r="B124" s="19" t="str">
        <f>IFERROR(__xludf.DUMMYFUNCTION("""COMPUTED_VALUE"""),"K/15/161024/1")</f>
        <v>K/15/161024/1</v>
      </c>
      <c r="C124" s="19" t="str">
        <f>IFERROR(__xludf.DUMMYFUNCTION("""COMPUTED_VALUE"""),"M. 639/ PEMATANG WANGI")</f>
        <v>M. 639/ PEMATANG WANGI</v>
      </c>
      <c r="D124" s="17">
        <f>IFERROR(__xludf.DUMMYFUNCTION("""COMPUTED_VALUE"""),45581.44720471065)</f>
        <v>45581.4472</v>
      </c>
      <c r="E124" s="13" t="str">
        <f>IFERROR(__xludf.DUMMYFUNCTION("""COMPUTED_VALUE"""),"PLOTTING")</f>
        <v>PLOTTING</v>
      </c>
      <c r="F124" s="13" t="str">
        <f>IFERROR(__xludf.DUMMYFUNCTION("""COMPUTED_VALUE"""),"ENDANG APRILIA/ ADE MALIANA")</f>
        <v>ENDANG APRILIA/ ADE MALIANA</v>
      </c>
      <c r="G124" s="13">
        <f t="shared" si="1"/>
        <v>114</v>
      </c>
      <c r="H124" s="13" t="str">
        <f>IFERROR(__xludf.DUMMYFUNCTION("""COMPUTED_VALUE"""),"P0")</f>
        <v>P0</v>
      </c>
    </row>
    <row r="125" ht="22.5" customHeight="1">
      <c r="B125" s="19" t="str">
        <f>IFERROR(__xludf.DUMMYFUNCTION("""COMPUTED_VALUE"""),"L/16/161024/1")</f>
        <v>L/16/161024/1</v>
      </c>
      <c r="C125" s="19" t="str">
        <f>IFERROR(__xludf.DUMMYFUNCTION("""COMPUTED_VALUE"""),"M.1095/NOG")</f>
        <v>M.1095/NOG</v>
      </c>
      <c r="D125" s="17">
        <f>IFERROR(__xludf.DUMMYFUNCTION("""COMPUTED_VALUE"""),45581.450085289354)</f>
        <v>45581.45009</v>
      </c>
      <c r="E125" s="13" t="str">
        <f>IFERROR(__xludf.DUMMYFUNCTION("""COMPUTED_VALUE"""),"ROYA")</f>
        <v>ROYA</v>
      </c>
      <c r="F125" s="13" t="str">
        <f>IFERROR(__xludf.DUMMYFUNCTION("""COMPUTED_VALUE"""),"LILY KURNIATI")</f>
        <v>LILY KURNIATI</v>
      </c>
      <c r="G125" s="13">
        <f t="shared" si="1"/>
        <v>115</v>
      </c>
      <c r="H125" s="13" t="str">
        <f>IFERROR(__xludf.DUMMYFUNCTION("""COMPUTED_VALUE"""),"P0")</f>
        <v>P0</v>
      </c>
    </row>
    <row r="126" ht="22.5" customHeight="1">
      <c r="B126" s="19" t="str">
        <f>IFERROR(__xludf.DUMMYFUNCTION("""COMPUTED_VALUE"""),"K/17/161024/1")</f>
        <v>K/17/161024/1</v>
      </c>
      <c r="C126" s="19" t="str">
        <f>IFERROR(__xludf.DUMMYFUNCTION("""COMPUTED_VALUE"""),"M. 12720/ SUKABUMI")</f>
        <v>M. 12720/ SUKABUMI</v>
      </c>
      <c r="D126" s="17">
        <f>IFERROR(__xludf.DUMMYFUNCTION("""COMPUTED_VALUE"""),45581.471058888885)</f>
        <v>45581.47106</v>
      </c>
      <c r="E126" s="13" t="str">
        <f>IFERROR(__xludf.DUMMYFUNCTION("""COMPUTED_VALUE"""),"PENGECEKKAN")</f>
        <v>PENGECEKKAN</v>
      </c>
      <c r="F126" s="13" t="str">
        <f>IFERROR(__xludf.DUMMYFUNCTION("""COMPUTED_VALUE"""),"DINI ISABELLA / M SABAN")</f>
        <v>DINI ISABELLA / M SABAN</v>
      </c>
      <c r="G126" s="13">
        <f t="shared" si="1"/>
        <v>116</v>
      </c>
      <c r="H126" s="13" t="str">
        <f>IFERROR(__xludf.DUMMYFUNCTION("""COMPUTED_VALUE"""),"P0")</f>
        <v>P0</v>
      </c>
    </row>
    <row r="127" ht="22.5" customHeight="1">
      <c r="B127" s="19" t="str">
        <f>IFERROR(__xludf.DUMMYFUNCTION("""COMPUTED_VALUE"""),"K/18/161024/1")</f>
        <v>K/18/161024/1</v>
      </c>
      <c r="C127" s="19" t="str">
        <f>IFERROR(__xludf.DUMMYFUNCTION("""COMPUTED_VALUE"""),"M. 1213/ SUKARAME II")</f>
        <v>M. 1213/ SUKARAME II</v>
      </c>
      <c r="D127" s="17">
        <f>IFERROR(__xludf.DUMMYFUNCTION("""COMPUTED_VALUE"""),45581.47877324074)</f>
        <v>45581.47877</v>
      </c>
      <c r="E127" s="13" t="str">
        <f>IFERROR(__xludf.DUMMYFUNCTION("""COMPUTED_VALUE"""),"HAPUS BHPTB")</f>
        <v>HAPUS BHPTB</v>
      </c>
      <c r="F127" s="13" t="str">
        <f>IFERROR(__xludf.DUMMYFUNCTION("""COMPUTED_VALUE"""),"FERAWATI/ SRI YANTI")</f>
        <v>FERAWATI/ SRI YANTI</v>
      </c>
      <c r="G127" s="13">
        <f t="shared" si="1"/>
        <v>117</v>
      </c>
      <c r="H127" s="13" t="str">
        <f>IFERROR(__xludf.DUMMYFUNCTION("""COMPUTED_VALUE"""),"P0")</f>
        <v>P0</v>
      </c>
    </row>
    <row r="128" ht="22.5" customHeight="1">
      <c r="B128" s="19" t="str">
        <f>IFERROR(__xludf.DUMMYFUNCTION("""COMPUTED_VALUE"""),"L/19/161024/1")</f>
        <v>L/19/161024/1</v>
      </c>
      <c r="C128" s="19" t="str">
        <f>IFERROR(__xludf.DUMMYFUNCTION("""COMPUTED_VALUE"""),"HM 3925/BERINGIN RAYA (SEBELUM NYA) HM 1609/SS (SEKARANG)")</f>
        <v>HM 3925/BERINGIN RAYA (SEBELUM NYA) HM 1609/SS (SEKARANG)</v>
      </c>
      <c r="D128" s="17">
        <f>IFERROR(__xludf.DUMMYFUNCTION("""COMPUTED_VALUE"""),45581.47973150463)</f>
        <v>45581.47973</v>
      </c>
      <c r="E128" s="13" t="str">
        <f>IFERROR(__xludf.DUMMYFUNCTION("""COMPUTED_VALUE"""),"BN HIBAH")</f>
        <v>BN HIBAH</v>
      </c>
      <c r="F128" s="13" t="str">
        <f>IFERROR(__xludf.DUMMYFUNCTION("""COMPUTED_VALUE"""),"FATMAWATI ASLAM")</f>
        <v>FATMAWATI ASLAM</v>
      </c>
      <c r="G128" s="13">
        <f t="shared" si="1"/>
        <v>118</v>
      </c>
      <c r="H128" s="13" t="str">
        <f>IFERROR(__xludf.DUMMYFUNCTION("""COMPUTED_VALUE"""),"P0")</f>
        <v>P0</v>
      </c>
    </row>
    <row r="129" ht="22.5" customHeight="1">
      <c r="B129" s="19" t="str">
        <f>IFERROR(__xludf.DUMMYFUNCTION("""COMPUTED_VALUE"""),"K/20/161024/1")</f>
        <v>K/20/161024/1</v>
      </c>
      <c r="C129" s="19" t="str">
        <f>IFERROR(__xludf.DUMMYFUNCTION("""COMPUTED_VALUE"""),"M.48/KALI BALAU KENCANA-SEKARANG;B.46/KALI BALAU KENCANA -DAHULU")</f>
        <v>M.48/KALI BALAU KENCANA-SEKARANG;B.46/KALI BALAU KENCANA -DAHULU</v>
      </c>
      <c r="D129" s="17">
        <f>IFERROR(__xludf.DUMMYFUNCTION("""COMPUTED_VALUE"""),45581.482823541664)</f>
        <v>45581.48282</v>
      </c>
      <c r="E129" s="13" t="str">
        <f>IFERROR(__xludf.DUMMYFUNCTION("""COMPUTED_VALUE"""),"PERALIHAN KEWARISAN")</f>
        <v>PERALIHAN KEWARISAN</v>
      </c>
      <c r="F129" s="13" t="str">
        <f>IFERROR(__xludf.DUMMYFUNCTION("""COMPUTED_VALUE"""),"JONEA GRADIANTO CS/RICHARD ADI P")</f>
        <v>JONEA GRADIANTO CS/RICHARD ADI P</v>
      </c>
      <c r="G129" s="13">
        <f t="shared" si="1"/>
        <v>119</v>
      </c>
      <c r="H129" s="13" t="str">
        <f>IFERROR(__xludf.DUMMYFUNCTION("""COMPUTED_VALUE"""),"P0")</f>
        <v>P0</v>
      </c>
    </row>
    <row r="130" ht="22.5" customHeight="1">
      <c r="B130" s="19" t="str">
        <f>IFERROR(__xludf.DUMMYFUNCTION("""COMPUTED_VALUE"""),"K/21/161024/1")</f>
        <v>K/21/161024/1</v>
      </c>
      <c r="C130" s="19" t="str">
        <f>IFERROR(__xludf.DUMMYFUNCTION("""COMPUTED_VALUE"""),"M. 651/ Durian Payung")</f>
        <v>M. 651/ Durian Payung</v>
      </c>
      <c r="D130" s="17">
        <f>IFERROR(__xludf.DUMMYFUNCTION("""COMPUTED_VALUE"""),45581.486140787034)</f>
        <v>45581.48614</v>
      </c>
      <c r="E130" s="13" t="str">
        <f>IFERROR(__xludf.DUMMYFUNCTION("""COMPUTED_VALUE"""),"BN PHB")</f>
        <v>BN PHB</v>
      </c>
      <c r="F130" s="13" t="str">
        <f>IFERROR(__xludf.DUMMYFUNCTION("""COMPUTED_VALUE"""),"Rizki Febrian/ Nuraini Wahyu")</f>
        <v>Rizki Febrian/ Nuraini Wahyu</v>
      </c>
      <c r="G130" s="13">
        <f t="shared" si="1"/>
        <v>120</v>
      </c>
      <c r="H130" s="13" t="str">
        <f>IFERROR(__xludf.DUMMYFUNCTION("""COMPUTED_VALUE"""),"P0")</f>
        <v>P0</v>
      </c>
    </row>
    <row r="131" ht="22.5" customHeight="1">
      <c r="B131" s="19" t="str">
        <f>IFERROR(__xludf.DUMMYFUNCTION("""COMPUTED_VALUE"""),"K/23/161024/1")</f>
        <v>K/23/161024/1</v>
      </c>
      <c r="C131" s="19" t="str">
        <f>IFERROR(__xludf.DUMMYFUNCTION("""COMPUTED_VALUE"""),"NIBEL 2899/ RAWA LAUT")</f>
        <v>NIBEL 2899/ RAWA LAUT</v>
      </c>
      <c r="D131" s="17">
        <f>IFERROR(__xludf.DUMMYFUNCTION("""COMPUTED_VALUE"""),45581.56868027778)</f>
        <v>45581.56868</v>
      </c>
      <c r="E131" s="13" t="str">
        <f>IFERROR(__xludf.DUMMYFUNCTION("""COMPUTED_VALUE"""),"BN JUAL BELI")</f>
        <v>BN JUAL BELI</v>
      </c>
      <c r="F131" s="13" t="str">
        <f>IFERROR(__xludf.DUMMYFUNCTION("""COMPUTED_VALUE"""),"NUR HAYATI/ JONNI MURSALIM")</f>
        <v>NUR HAYATI/ JONNI MURSALIM</v>
      </c>
      <c r="G131" s="13">
        <f t="shared" si="1"/>
        <v>121</v>
      </c>
      <c r="H131" s="13" t="str">
        <f>IFERROR(__xludf.DUMMYFUNCTION("""COMPUTED_VALUE"""),"P0")</f>
        <v>P0</v>
      </c>
    </row>
    <row r="132" ht="22.5" customHeight="1">
      <c r="B132" s="19" t="str">
        <f>IFERROR(__xludf.DUMMYFUNCTION("""COMPUTED_VALUE"""),"K/25/161024/1")</f>
        <v>K/25/161024/1</v>
      </c>
      <c r="C132" s="19" t="str">
        <f>IFERROR(__xludf.DUMMYFUNCTION("""COMPUTED_VALUE"""),"-")</f>
        <v>-</v>
      </c>
      <c r="D132" s="17">
        <f>IFERROR(__xludf.DUMMYFUNCTION("""COMPUTED_VALUE"""),45581.5698384375)</f>
        <v>45581.56984</v>
      </c>
      <c r="E132" s="13" t="str">
        <f>IFERROR(__xludf.DUMMYFUNCTION("""COMPUTED_VALUE"""),"ASPEK")</f>
        <v>ASPEK</v>
      </c>
      <c r="F132" s="13" t="str">
        <f>IFERROR(__xludf.DUMMYFUNCTION("""COMPUTED_VALUE"""),"FACHRUDDIN")</f>
        <v>FACHRUDDIN</v>
      </c>
      <c r="G132" s="13">
        <f t="shared" si="1"/>
        <v>121</v>
      </c>
      <c r="H132" s="13" t="str">
        <f>IFERROR(__xludf.DUMMYFUNCTION("""COMPUTED_VALUE"""),"P0")</f>
        <v>P0</v>
      </c>
    </row>
    <row r="133" ht="22.5" customHeight="1">
      <c r="B133" s="19" t="str">
        <f>IFERROR(__xludf.DUMMYFUNCTION("""COMPUTED_VALUE"""),"K/25/161024/2")</f>
        <v>K/25/161024/2</v>
      </c>
      <c r="C133" s="19" t="str">
        <f>IFERROR(__xludf.DUMMYFUNCTION("""COMPUTED_VALUE"""),"M. 1443/ Batu Putuk")</f>
        <v>M. 1443/ Batu Putuk</v>
      </c>
      <c r="D133" s="17">
        <f>IFERROR(__xludf.DUMMYFUNCTION("""COMPUTED_VALUE"""),45581.570522696755)</f>
        <v>45581.57052</v>
      </c>
      <c r="E133" s="13" t="str">
        <f>IFERROR(__xludf.DUMMYFUNCTION("""COMPUTED_VALUE"""),"Hapus BPHTB")</f>
        <v>Hapus BPHTB</v>
      </c>
      <c r="F133" s="13" t="str">
        <f>IFERROR(__xludf.DUMMYFUNCTION("""COMPUTED_VALUE"""),"Asmara/Samah")</f>
        <v>Asmara/Samah</v>
      </c>
      <c r="G133" s="13">
        <f t="shared" si="1"/>
        <v>122</v>
      </c>
      <c r="H133" s="13" t="str">
        <f>IFERROR(__xludf.DUMMYFUNCTION("""COMPUTED_VALUE"""),"P0")</f>
        <v>P0</v>
      </c>
    </row>
    <row r="134" ht="22.5" customHeight="1">
      <c r="B134" s="19" t="str">
        <f>IFERROR(__xludf.DUMMYFUNCTION("""COMPUTED_VALUE"""),"K/24/161024/2")</f>
        <v>K/24/161024/2</v>
      </c>
      <c r="C134" s="19" t="str">
        <f>IFERROR(__xludf.DUMMYFUNCTION("""COMPUTED_VALUE"""),"M. 1535/ KEDAUNG")</f>
        <v>M. 1535/ KEDAUNG</v>
      </c>
      <c r="D134" s="17">
        <f>IFERROR(__xludf.DUMMYFUNCTION("""COMPUTED_VALUE"""),45581.570660937505)</f>
        <v>45581.57066</v>
      </c>
      <c r="E134" s="13" t="str">
        <f>IFERROR(__xludf.DUMMYFUNCTION("""COMPUTED_VALUE"""),"BN JUAL BELI")</f>
        <v>BN JUAL BELI</v>
      </c>
      <c r="F134" s="13" t="str">
        <f>IFERROR(__xludf.DUMMYFUNCTION("""COMPUTED_VALUE"""),"NUR HAYATI / KARNO")</f>
        <v>NUR HAYATI / KARNO</v>
      </c>
      <c r="G134" s="13">
        <f t="shared" si="1"/>
        <v>123</v>
      </c>
      <c r="H134" s="13" t="str">
        <f>IFERROR(__xludf.DUMMYFUNCTION("""COMPUTED_VALUE"""),"P0")</f>
        <v>P0</v>
      </c>
    </row>
    <row r="135" ht="22.5" customHeight="1">
      <c r="B135" s="19" t="str">
        <f>IFERROR(__xludf.DUMMYFUNCTION("""COMPUTED_VALUE"""),"K/27/161024/1")</f>
        <v>K/27/161024/1</v>
      </c>
      <c r="C135" s="19" t="str">
        <f>IFERROR(__xludf.DUMMYFUNCTION("""COMPUTED_VALUE"""),"M. 12564/ Rajabasa Nunyai; 1137/ Rajabasa Dahulu")</f>
        <v>M. 12564/ Rajabasa Nunyai; 1137/ Rajabasa Dahulu</v>
      </c>
      <c r="D135" s="17">
        <f>IFERROR(__xludf.DUMMYFUNCTION("""COMPUTED_VALUE"""),45581.57970383102)</f>
        <v>45581.5797</v>
      </c>
      <c r="E135" s="13" t="str">
        <f>IFERROR(__xludf.DUMMYFUNCTION("""COMPUTED_VALUE"""),"BN Jual Beli")</f>
        <v>BN Jual Beli</v>
      </c>
      <c r="F135" s="13" t="str">
        <f>IFERROR(__xludf.DUMMYFUNCTION("""COMPUTED_VALUE"""),"Fahrul Rozi/ Kevin A S P")</f>
        <v>Fahrul Rozi/ Kevin A S P</v>
      </c>
      <c r="G135" s="13">
        <f t="shared" si="1"/>
        <v>124</v>
      </c>
      <c r="H135" s="13" t="str">
        <f>IFERROR(__xludf.DUMMYFUNCTION("""COMPUTED_VALUE"""),"P0")</f>
        <v>P0</v>
      </c>
    </row>
    <row r="136" ht="22.5" customHeight="1">
      <c r="B136" s="19" t="str">
        <f>IFERROR(__xludf.DUMMYFUNCTION("""COMPUTED_VALUE"""),"K/28/161024/1")</f>
        <v>K/28/161024/1</v>
      </c>
      <c r="C136" s="19" t="str">
        <f>IFERROR(__xludf.DUMMYFUNCTION("""COMPUTED_VALUE"""),"M. 68/ Perumnas Way Kandis")</f>
        <v>M. 68/ Perumnas Way Kandis</v>
      </c>
      <c r="D136" s="17">
        <f>IFERROR(__xludf.DUMMYFUNCTION("""COMPUTED_VALUE"""),45581.58029027778)</f>
        <v>45581.58029</v>
      </c>
      <c r="E136" s="13" t="str">
        <f>IFERROR(__xludf.DUMMYFUNCTION("""COMPUTED_VALUE"""),"PEMECAHAN BIDANG")</f>
        <v>PEMECAHAN BIDANG</v>
      </c>
      <c r="F136" s="13" t="str">
        <f>IFERROR(__xludf.DUMMYFUNCTION("""COMPUTED_VALUE"""),"tony azhari")</f>
        <v>tony azhari</v>
      </c>
      <c r="G136" s="13">
        <f t="shared" si="1"/>
        <v>125</v>
      </c>
      <c r="H136" s="13" t="str">
        <f>IFERROR(__xludf.DUMMYFUNCTION("""COMPUTED_VALUE"""),"P0")</f>
        <v>P0</v>
      </c>
    </row>
    <row r="137" ht="22.5" customHeight="1">
      <c r="B137" s="19" t="str">
        <f>IFERROR(__xludf.DUMMYFUNCTION("""COMPUTED_VALUE"""),"K/29/161024/2")</f>
        <v>K/29/161024/2</v>
      </c>
      <c r="C137" s="19" t="str">
        <f>IFERROR(__xludf.DUMMYFUNCTION("""COMPUTED_VALUE"""),"M. 8953/ KAMPUNG BARU")</f>
        <v>M. 8953/ KAMPUNG BARU</v>
      </c>
      <c r="D137" s="17">
        <f>IFERROR(__xludf.DUMMYFUNCTION("""COMPUTED_VALUE"""),45581.58124284723)</f>
        <v>45581.58124</v>
      </c>
      <c r="E137" s="13" t="str">
        <f>IFERROR(__xludf.DUMMYFUNCTION("""COMPUTED_VALUE"""),"GANTI KELURAHAN")</f>
        <v>GANTI KELURAHAN</v>
      </c>
      <c r="F137" s="13" t="str">
        <f>IFERROR(__xludf.DUMMYFUNCTION("""COMPUTED_VALUE"""),"TONY AZHARI/ ARIS")</f>
        <v>TONY AZHARI/ ARIS</v>
      </c>
      <c r="G137" s="13">
        <f t="shared" si="1"/>
        <v>126</v>
      </c>
      <c r="H137" s="13" t="str">
        <f>IFERROR(__xludf.DUMMYFUNCTION("""COMPUTED_VALUE"""),"P0")</f>
        <v>P0</v>
      </c>
    </row>
    <row r="138" ht="22.5" customHeight="1">
      <c r="B138" s="19" t="str">
        <f>IFERROR(__xludf.DUMMYFUNCTION("""COMPUTED_VALUE"""),"K/30/161024/1")</f>
        <v>K/30/161024/1</v>
      </c>
      <c r="C138" s="19" t="str">
        <f>IFERROR(__xludf.DUMMYFUNCTION("""COMPUTED_VALUE"""),"M. 4485/ Beringin Raya; B. 1808/ Beringin Raya")</f>
        <v>M. 4485/ Beringin Raya; B. 1808/ Beringin Raya</v>
      </c>
      <c r="D138" s="17">
        <f>IFERROR(__xludf.DUMMYFUNCTION("""COMPUTED_VALUE"""),45581.602824456015)</f>
        <v>45581.60282</v>
      </c>
      <c r="E138" s="13" t="str">
        <f>IFERROR(__xludf.DUMMYFUNCTION("""COMPUTED_VALUE"""),"BN Jual Beli")</f>
        <v>BN Jual Beli</v>
      </c>
      <c r="F138" s="13" t="str">
        <f>IFERROR(__xludf.DUMMYFUNCTION("""COMPUTED_VALUE"""),"Atiansya Febra/ Candra Putra")</f>
        <v>Atiansya Febra/ Candra Putra</v>
      </c>
      <c r="G138" s="13">
        <f t="shared" si="1"/>
        <v>127</v>
      </c>
      <c r="H138" s="13" t="str">
        <f>IFERROR(__xludf.DUMMYFUNCTION("""COMPUTED_VALUE"""),"P0")</f>
        <v>P0</v>
      </c>
    </row>
    <row r="139" ht="22.5" customHeight="1">
      <c r="B139" s="19" t="str">
        <f>IFERROR(__xludf.DUMMYFUNCTION("""COMPUTED_VALUE"""),"L/31/161024/1")</f>
        <v>L/31/161024/1</v>
      </c>
      <c r="C139" s="19" t="str">
        <f>IFERROR(__xludf.DUMMYFUNCTION("""COMPUTED_VALUE"""),"-")</f>
        <v>-</v>
      </c>
      <c r="D139" s="17">
        <f>IFERROR(__xludf.DUMMYFUNCTION("""COMPUTED_VALUE"""),45581.58323256944)</f>
        <v>45581.58323</v>
      </c>
      <c r="E139" s="13" t="str">
        <f>IFERROR(__xludf.DUMMYFUNCTION("""COMPUTED_VALUE"""),"PERTAMA KALI")</f>
        <v>PERTAMA KALI</v>
      </c>
      <c r="F139" s="13" t="str">
        <f>IFERROR(__xludf.DUMMYFUNCTION("""COMPUTED_VALUE"""),"RATNA")</f>
        <v>RATNA</v>
      </c>
      <c r="G139" s="13">
        <f t="shared" si="1"/>
        <v>127</v>
      </c>
      <c r="H139" s="13" t="str">
        <f>IFERROR(__xludf.DUMMYFUNCTION("""COMPUTED_VALUE"""),"P0")</f>
        <v>P0</v>
      </c>
    </row>
    <row r="140" ht="22.5" customHeight="1">
      <c r="B140" s="19" t="str">
        <f>IFERROR(__xludf.DUMMYFUNCTION("""COMPUTED_VALUE"""),"K/32/161024/1")</f>
        <v>K/32/161024/1</v>
      </c>
      <c r="C140" s="19" t="str">
        <f>IFERROR(__xludf.DUMMYFUNCTION("""COMPUTED_VALUE"""),"B. 598/ SUMBER AGUNG")</f>
        <v>B. 598/ SUMBER AGUNG</v>
      </c>
      <c r="D140" s="17">
        <f>IFERROR(__xludf.DUMMYFUNCTION("""COMPUTED_VALUE"""),45581.58637694444)</f>
        <v>45581.58638</v>
      </c>
      <c r="E140" s="13" t="str">
        <f>IFERROR(__xludf.DUMMYFUNCTION("""COMPUTED_VALUE"""),"BN JUAL BELI")</f>
        <v>BN JUAL BELI</v>
      </c>
      <c r="F140" s="13" t="str">
        <f>IFERROR(__xludf.DUMMYFUNCTION("""COMPUTED_VALUE"""),"ENDANG APRILIA/ DESTA YOZA")</f>
        <v>ENDANG APRILIA/ DESTA YOZA</v>
      </c>
      <c r="G140" s="13">
        <f t="shared" si="1"/>
        <v>128</v>
      </c>
      <c r="H140" s="13" t="str">
        <f>IFERROR(__xludf.DUMMYFUNCTION("""COMPUTED_VALUE"""),"P0")</f>
        <v>P0</v>
      </c>
    </row>
    <row r="141" ht="22.5" customHeight="1">
      <c r="B141" s="19" t="str">
        <f>IFERROR(__xludf.DUMMYFUNCTION("""COMPUTED_VALUE"""),"L/34/161024/1")</f>
        <v>L/34/161024/1</v>
      </c>
      <c r="C141" s="19" t="str">
        <f>IFERROR(__xludf.DUMMYFUNCTION("""COMPUTED_VALUE"""),"M.1450/SUMBERREJO SEJAHTERA")</f>
        <v>M.1450/SUMBERREJO SEJAHTERA</v>
      </c>
      <c r="D141" s="17">
        <f>IFERROR(__xludf.DUMMYFUNCTION("""COMPUTED_VALUE"""),45581.58918888889)</f>
        <v>45581.58919</v>
      </c>
      <c r="E141" s="13" t="str">
        <f>IFERROR(__xludf.DUMMYFUNCTION("""COMPUTED_VALUE"""),"HAPUS BPHTB")</f>
        <v>HAPUS BPHTB</v>
      </c>
      <c r="F141" s="13" t="str">
        <f>IFERROR(__xludf.DUMMYFUNCTION("""COMPUTED_VALUE"""),"ABDUL KARIM PAYOPO")</f>
        <v>ABDUL KARIM PAYOPO</v>
      </c>
      <c r="G141" s="13">
        <f t="shared" si="1"/>
        <v>129</v>
      </c>
      <c r="H141" s="13" t="str">
        <f>IFERROR(__xludf.DUMMYFUNCTION("""COMPUTED_VALUE"""),"P0")</f>
        <v>P0</v>
      </c>
    </row>
    <row r="142" ht="22.5" customHeight="1">
      <c r="B142" s="19" t="str">
        <f>IFERROR(__xludf.DUMMYFUNCTION("""COMPUTED_VALUE"""),"K/33/161024/2")</f>
        <v>K/33/161024/2</v>
      </c>
      <c r="C142" s="19" t="str">
        <f>IFERROR(__xludf.DUMMYFUNCTION("""COMPUTED_VALUE"""),"B. 592/ SUMBER AGUNG")</f>
        <v>B. 592/ SUMBER AGUNG</v>
      </c>
      <c r="D142" s="17">
        <f>IFERROR(__xludf.DUMMYFUNCTION("""COMPUTED_VALUE"""),45581.58977552083)</f>
        <v>45581.58978</v>
      </c>
      <c r="E142" s="13" t="str">
        <f>IFERROR(__xludf.DUMMYFUNCTION("""COMPUTED_VALUE"""),"BN JUAL BELI")</f>
        <v>BN JUAL BELI</v>
      </c>
      <c r="F142" s="13" t="str">
        <f>IFERROR(__xludf.DUMMYFUNCTION("""COMPUTED_VALUE"""),"ENDANG APRILIA/ WAHYU")</f>
        <v>ENDANG APRILIA/ WAHYU</v>
      </c>
      <c r="G142" s="13">
        <f t="shared" si="1"/>
        <v>130</v>
      </c>
      <c r="H142" s="13" t="str">
        <f>IFERROR(__xludf.DUMMYFUNCTION("""COMPUTED_VALUE"""),"P0")</f>
        <v>P0</v>
      </c>
    </row>
    <row r="143" ht="22.5" customHeight="1">
      <c r="B143" s="19" t="str">
        <f>IFERROR(__xludf.DUMMYFUNCTION("""COMPUTED_VALUE"""),"K/35/161024/1")</f>
        <v>K/35/161024/1</v>
      </c>
      <c r="C143" s="19" t="str">
        <f>IFERROR(__xludf.DUMMYFUNCTION("""COMPUTED_VALUE"""),"M.11916/SUKABUMI-SEKARANG;B.3374/SUKABUMI-DAHULU")</f>
        <v>M.11916/SUKABUMI-SEKARANG;B.3374/SUKABUMI-DAHULU</v>
      </c>
      <c r="D143" s="17">
        <f>IFERROR(__xludf.DUMMYFUNCTION("""COMPUTED_VALUE"""),45581.59411423611)</f>
        <v>45581.59411</v>
      </c>
      <c r="E143" s="13" t="str">
        <f>IFERROR(__xludf.DUMMYFUNCTION("""COMPUTED_VALUE"""),"ROYA")</f>
        <v>ROYA</v>
      </c>
      <c r="F143" s="13" t="str">
        <f>IFERROR(__xludf.DUMMYFUNCTION("""COMPUTED_VALUE"""),"DEVI ERIZAL/WARDIYAH")</f>
        <v>DEVI ERIZAL/WARDIYAH</v>
      </c>
      <c r="G143" s="13">
        <f t="shared" si="1"/>
        <v>131</v>
      </c>
      <c r="H143" s="13" t="str">
        <f>IFERROR(__xludf.DUMMYFUNCTION("""COMPUTED_VALUE"""),"P0")</f>
        <v>P0</v>
      </c>
    </row>
    <row r="144" ht="22.5" customHeight="1">
      <c r="B144" s="19" t="str">
        <f>IFERROR(__xludf.DUMMYFUNCTION("""COMPUTED_VALUE"""),"K/36/161024/1")</f>
        <v>K/36/161024/1</v>
      </c>
      <c r="C144" s="19" t="str">
        <f>IFERROR(__xludf.DUMMYFUNCTION("""COMPUTED_VALUE"""),"M. 16685/ SUKABUMI")</f>
        <v>M. 16685/ SUKABUMI</v>
      </c>
      <c r="D144" s="17">
        <f>IFERROR(__xludf.DUMMYFUNCTION("""COMPUTED_VALUE"""),45581.60120488426)</f>
        <v>45581.6012</v>
      </c>
      <c r="E144" s="13" t="str">
        <f>IFERROR(__xludf.DUMMYFUNCTION("""COMPUTED_VALUE"""),"PEMECAHAN BIDANG")</f>
        <v>PEMECAHAN BIDANG</v>
      </c>
      <c r="F144" s="13" t="str">
        <f>IFERROR(__xludf.DUMMYFUNCTION("""COMPUTED_VALUE"""),"mustaredi/ mat ali")</f>
        <v>mustaredi/ mat ali</v>
      </c>
      <c r="G144" s="13">
        <f t="shared" si="1"/>
        <v>132</v>
      </c>
      <c r="H144" s="13" t="str">
        <f>IFERROR(__xludf.DUMMYFUNCTION("""COMPUTED_VALUE"""),"P0")</f>
        <v>P0</v>
      </c>
    </row>
    <row r="145" ht="22.5" customHeight="1">
      <c r="B145" s="19" t="str">
        <f>IFERROR(__xludf.DUMMYFUNCTION("""COMPUTED_VALUE"""),"K/37/161024/1")</f>
        <v>K/37/161024/1</v>
      </c>
      <c r="C145" s="19" t="str">
        <f>IFERROR(__xludf.DUMMYFUNCTION("""COMPUTED_VALUE"""),"M. 16119/ Sukabumi")</f>
        <v>M. 16119/ Sukabumi</v>
      </c>
      <c r="D145" s="17">
        <f>IFERROR(__xludf.DUMMYFUNCTION("""COMPUTED_VALUE"""),45581.603724733795)</f>
        <v>45581.60372</v>
      </c>
      <c r="E145" s="13" t="str">
        <f>IFERROR(__xludf.DUMMYFUNCTION("""COMPUTED_VALUE"""),"BN Jual Beli")</f>
        <v>BN Jual Beli</v>
      </c>
      <c r="F145" s="13" t="str">
        <f>IFERROR(__xludf.DUMMYFUNCTION("""COMPUTED_VALUE"""),"Nanik Maryani/ Siwi A")</f>
        <v>Nanik Maryani/ Siwi A</v>
      </c>
      <c r="G145" s="13">
        <f t="shared" si="1"/>
        <v>133</v>
      </c>
      <c r="H145" s="13" t="str">
        <f>IFERROR(__xludf.DUMMYFUNCTION("""COMPUTED_VALUE"""),"P0")</f>
        <v>P0</v>
      </c>
    </row>
    <row r="146" ht="22.5" customHeight="1">
      <c r="B146" s="19" t="str">
        <f>IFERROR(__xludf.DUMMYFUNCTION("""COMPUTED_VALUE"""),"K/38/161024/1")</f>
        <v>K/38/161024/1</v>
      </c>
      <c r="C146" s="19" t="str">
        <f>IFERROR(__xludf.DUMMYFUNCTION("""COMPUTED_VALUE"""),"M. 2904/ Gedong Air")</f>
        <v>M. 2904/ Gedong Air</v>
      </c>
      <c r="D146" s="17">
        <f>IFERROR(__xludf.DUMMYFUNCTION("""COMPUTED_VALUE"""),45581.60956753472)</f>
        <v>45581.60957</v>
      </c>
      <c r="E146" s="13" t="str">
        <f>IFERROR(__xludf.DUMMYFUNCTION("""COMPUTED_VALUE"""),"Hapus BPHTB")</f>
        <v>Hapus BPHTB</v>
      </c>
      <c r="F146" s="13" t="str">
        <f>IFERROR(__xludf.DUMMYFUNCTION("""COMPUTED_VALUE"""),"Chandra Alam/ Heri S. cs")</f>
        <v>Chandra Alam/ Heri S. cs</v>
      </c>
      <c r="G146" s="13">
        <f t="shared" si="1"/>
        <v>134</v>
      </c>
      <c r="H146" s="13" t="str">
        <f>IFERROR(__xludf.DUMMYFUNCTION("""COMPUTED_VALUE"""),"P0")</f>
        <v>P0</v>
      </c>
    </row>
    <row r="147" ht="22.5" customHeight="1">
      <c r="B147" s="19" t="str">
        <f>IFERROR(__xludf.DUMMYFUNCTION("""COMPUTED_VALUE"""),"K/39/161024/1")</f>
        <v>K/39/161024/1</v>
      </c>
      <c r="C147" s="19" t="str">
        <f>IFERROR(__xludf.DUMMYFUNCTION("""COMPUTED_VALUE"""),"M. 1812/ Rajabasa Nunyai-")</f>
        <v>M. 1812/ Rajabasa Nunyai-</v>
      </c>
      <c r="D147" s="17">
        <f>IFERROR(__xludf.DUMMYFUNCTION("""COMPUTED_VALUE"""),45581.61554396991)</f>
        <v>45581.61554</v>
      </c>
      <c r="E147" s="13" t="str">
        <f>IFERROR(__xludf.DUMMYFUNCTION("""COMPUTED_VALUE"""),"BN Jual Beli")</f>
        <v>BN Jual Beli</v>
      </c>
      <c r="F147" s="13" t="str">
        <f>IFERROR(__xludf.DUMMYFUNCTION("""COMPUTED_VALUE"""),"IG YOGA/ DEBI HARDIAN")</f>
        <v>IG YOGA/ DEBI HARDIAN</v>
      </c>
      <c r="G147" s="13">
        <f t="shared" si="1"/>
        <v>135</v>
      </c>
      <c r="H147" s="13" t="str">
        <f>IFERROR(__xludf.DUMMYFUNCTION("""COMPUTED_VALUE"""),"P0")</f>
        <v>P0</v>
      </c>
    </row>
    <row r="148" ht="22.5" customHeight="1">
      <c r="B148" s="19" t="str">
        <f>IFERROR(__xludf.DUMMYFUNCTION("""COMPUTED_VALUE"""),"K/40/161024/1")</f>
        <v>K/40/161024/1</v>
      </c>
      <c r="C148" s="19" t="str">
        <f>IFERROR(__xludf.DUMMYFUNCTION("""COMPUTED_VALUE"""),"M.5925/TANJUNG SENENG")</f>
        <v>M.5925/TANJUNG SENENG</v>
      </c>
      <c r="D148" s="17">
        <f>IFERROR(__xludf.DUMMYFUNCTION("""COMPUTED_VALUE"""),45581.616174062496)</f>
        <v>45581.61617</v>
      </c>
      <c r="E148" s="13" t="str">
        <f>IFERROR(__xludf.DUMMYFUNCTION("""COMPUTED_VALUE"""),"HAPUS BPHTB")</f>
        <v>HAPUS BPHTB</v>
      </c>
      <c r="F148" s="13" t="str">
        <f>IFERROR(__xludf.DUMMYFUNCTION("""COMPUTED_VALUE"""),"SULASTRI/CHRISTINA ULINA")</f>
        <v>SULASTRI/CHRISTINA ULINA</v>
      </c>
      <c r="G148" s="13">
        <f t="shared" si="1"/>
        <v>136</v>
      </c>
      <c r="H148" s="13" t="str">
        <f>IFERROR(__xludf.DUMMYFUNCTION("""COMPUTED_VALUE"""),"P0")</f>
        <v>P0</v>
      </c>
    </row>
    <row r="149" ht="22.5" customHeight="1">
      <c r="B149" s="19" t="str">
        <f>IFERROR(__xludf.DUMMYFUNCTION("""COMPUTED_VALUE"""),"K/1/171024/1")</f>
        <v>K/1/171024/1</v>
      </c>
      <c r="C149" s="19" t="str">
        <f>IFERROR(__xludf.DUMMYFUNCTION("""COMPUTED_VALUE"""),"B.1379/SUKABUMI")</f>
        <v>B.1379/SUKABUMI</v>
      </c>
      <c r="D149" s="17">
        <f>IFERROR(__xludf.DUMMYFUNCTION("""COMPUTED_VALUE"""),45582.40406702546)</f>
        <v>45582.40407</v>
      </c>
      <c r="E149" s="13" t="str">
        <f>IFERROR(__xludf.DUMMYFUNCTION("""COMPUTED_VALUE"""),"GANDES")</f>
        <v>GANDES</v>
      </c>
      <c r="F149" s="13" t="str">
        <f>IFERROR(__xludf.DUMMYFUNCTION("""COMPUTED_VALUE"""),"RAHMAWATI CS/SABBIHIS")</f>
        <v>RAHMAWATI CS/SABBIHIS</v>
      </c>
      <c r="G149" s="13">
        <f t="shared" si="1"/>
        <v>137</v>
      </c>
      <c r="H149" s="13" t="str">
        <f>IFERROR(__xludf.DUMMYFUNCTION("""COMPUTED_VALUE"""),"P0")</f>
        <v>P0</v>
      </c>
    </row>
    <row r="150" ht="22.5" customHeight="1">
      <c r="B150" s="19" t="str">
        <f>IFERROR(__xludf.DUMMYFUNCTION("""COMPUTED_VALUE"""),"K/2/171024/1")</f>
        <v>K/2/171024/1</v>
      </c>
      <c r="C150" s="19" t="str">
        <f>IFERROR(__xludf.DUMMYFUNCTION("""COMPUTED_VALUE"""),"M. 525/ Sumber Agung")</f>
        <v>M. 525/ Sumber Agung</v>
      </c>
      <c r="D150" s="17">
        <f>IFERROR(__xludf.DUMMYFUNCTION("""COMPUTED_VALUE"""),45582.40807489584)</f>
        <v>45582.40807</v>
      </c>
      <c r="E150" s="13" t="str">
        <f>IFERROR(__xludf.DUMMYFUNCTION("""COMPUTED_VALUE"""),"PEMECAHAN BIDANG")</f>
        <v>PEMECAHAN BIDANG</v>
      </c>
      <c r="F150" s="13" t="str">
        <f>IFERROR(__xludf.DUMMYFUNCTION("""COMPUTED_VALUE"""),"M.HUSNUN/ MARKIM")</f>
        <v>M.HUSNUN/ MARKIM</v>
      </c>
      <c r="G150" s="13">
        <f t="shared" si="1"/>
        <v>138</v>
      </c>
      <c r="H150" s="13" t="str">
        <f>IFERROR(__xludf.DUMMYFUNCTION("""COMPUTED_VALUE"""),"P0")</f>
        <v>P0</v>
      </c>
    </row>
    <row r="151" ht="22.5" customHeight="1">
      <c r="B151" s="19" t="str">
        <f>IFERROR(__xludf.DUMMYFUNCTION("""COMPUTED_VALUE"""),"L/3/171024/1")</f>
        <v>L/3/171024/1</v>
      </c>
      <c r="C151" s="19" t="str">
        <f>IFERROR(__xludf.DUMMYFUNCTION("""COMPUTED_VALUE"""),"M 3895/CAMPANG RAYA")</f>
        <v>M 3895/CAMPANG RAYA</v>
      </c>
      <c r="D151" s="17">
        <f>IFERROR(__xludf.DUMMYFUNCTION("""COMPUTED_VALUE"""),45582.4096537963)</f>
        <v>45582.40965</v>
      </c>
      <c r="E151" s="13" t="str">
        <f>IFERROR(__xludf.DUMMYFUNCTION("""COMPUTED_VALUE"""),"HAPUS BPTHB")</f>
        <v>HAPUS BPTHB</v>
      </c>
      <c r="F151" s="13" t="str">
        <f>IFERROR(__xludf.DUMMYFUNCTION("""COMPUTED_VALUE"""),"BETI ASTRI NINGSIH")</f>
        <v>BETI ASTRI NINGSIH</v>
      </c>
      <c r="G151" s="13">
        <f t="shared" si="1"/>
        <v>139</v>
      </c>
      <c r="H151" s="13" t="str">
        <f>IFERROR(__xludf.DUMMYFUNCTION("""COMPUTED_VALUE"""),"P0")</f>
        <v>P0</v>
      </c>
    </row>
    <row r="152" ht="22.5" customHeight="1">
      <c r="B152" s="19" t="str">
        <f>IFERROR(__xludf.DUMMYFUNCTION("""COMPUTED_VALUE"""),"K/4/171024/1")</f>
        <v>K/4/171024/1</v>
      </c>
      <c r="C152" s="19" t="str">
        <f>IFERROR(__xludf.DUMMYFUNCTION("""COMPUTED_VALUE"""),"NIBEL B.2410/RAJABASA NUNYAI")</f>
        <v>NIBEL B.2410/RAJABASA NUNYAI</v>
      </c>
      <c r="D152" s="17">
        <f>IFERROR(__xludf.DUMMYFUNCTION("""COMPUTED_VALUE"""),45582.419087939816)</f>
        <v>45582.41909</v>
      </c>
      <c r="E152" s="13" t="str">
        <f>IFERROR(__xludf.DUMMYFUNCTION("""COMPUTED_VALUE"""),"PENINGKATAN HAK")</f>
        <v>PENINGKATAN HAK</v>
      </c>
      <c r="F152" s="13" t="str">
        <f>IFERROR(__xludf.DUMMYFUNCTION("""COMPUTED_VALUE"""),"IRMA SURYANI HARAHAP/ISMARINA")</f>
        <v>IRMA SURYANI HARAHAP/ISMARINA</v>
      </c>
      <c r="G152" s="13">
        <f t="shared" si="1"/>
        <v>140</v>
      </c>
      <c r="H152" s="13" t="str">
        <f>IFERROR(__xludf.DUMMYFUNCTION("""COMPUTED_VALUE"""),"P0")</f>
        <v>P0</v>
      </c>
    </row>
    <row r="153" ht="22.5" customHeight="1">
      <c r="B153" s="19" t="str">
        <f>IFERROR(__xludf.DUMMYFUNCTION("""COMPUTED_VALUE"""),"K/5/171024/1")</f>
        <v>K/5/171024/1</v>
      </c>
      <c r="C153" s="19" t="str">
        <f>IFERROR(__xludf.DUMMYFUNCTION("""COMPUTED_VALUE"""),"M. 14030/ Tanjung Baru; M. 13709/ Kedamaian-dahulu")</f>
        <v>M. 14030/ Tanjung Baru; M. 13709/ Kedamaian-dahulu</v>
      </c>
      <c r="D153" s="17">
        <f>IFERROR(__xludf.DUMMYFUNCTION("""COMPUTED_VALUE"""),45582.42341761574)</f>
        <v>45582.42342</v>
      </c>
      <c r="E153" s="13" t="str">
        <f>IFERROR(__xludf.DUMMYFUNCTION("""COMPUTED_VALUE"""),"BN Waris")</f>
        <v>BN Waris</v>
      </c>
      <c r="F153" s="13" t="str">
        <f>IFERROR(__xludf.DUMMYFUNCTION("""COMPUTED_VALUE"""),"Rahmadiyanti/ Aryudi Cs")</f>
        <v>Rahmadiyanti/ Aryudi Cs</v>
      </c>
      <c r="G153" s="13">
        <f t="shared" si="1"/>
        <v>141</v>
      </c>
      <c r="H153" s="13" t="str">
        <f>IFERROR(__xludf.DUMMYFUNCTION("""COMPUTED_VALUE"""),"P0")</f>
        <v>P0</v>
      </c>
    </row>
    <row r="154" ht="22.5" customHeight="1">
      <c r="B154" s="19" t="str">
        <f>IFERROR(__xludf.DUMMYFUNCTION("""COMPUTED_VALUE"""),"L/6/171024/1")</f>
        <v>L/6/171024/1</v>
      </c>
      <c r="C154" s="19" t="str">
        <f>IFERROR(__xludf.DUMMYFUNCTION("""COMPUTED_VALUE"""),"M.13036/SUKABUMI")</f>
        <v>M.13036/SUKABUMI</v>
      </c>
      <c r="D154" s="17">
        <f>IFERROR(__xludf.DUMMYFUNCTION("""COMPUTED_VALUE"""),45582.423913680555)</f>
        <v>45582.42391</v>
      </c>
      <c r="E154" s="13" t="str">
        <f>IFERROR(__xludf.DUMMYFUNCTION("""COMPUTED_VALUE"""),"ROYA")</f>
        <v>ROYA</v>
      </c>
      <c r="F154" s="13" t="str">
        <f>IFERROR(__xludf.DUMMYFUNCTION("""COMPUTED_VALUE"""),"GUSMAYANTI")</f>
        <v>GUSMAYANTI</v>
      </c>
      <c r="G154" s="13">
        <f t="shared" si="1"/>
        <v>142</v>
      </c>
      <c r="H154" s="13" t="str">
        <f>IFERROR(__xludf.DUMMYFUNCTION("""COMPUTED_VALUE"""),"P0")</f>
        <v>P0</v>
      </c>
    </row>
    <row r="155" ht="22.5" customHeight="1">
      <c r="B155" s="19" t="str">
        <f>IFERROR(__xludf.DUMMYFUNCTION("""COMPUTED_VALUE"""),"K/7/171024/1")</f>
        <v>K/7/171024/1</v>
      </c>
      <c r="C155" s="19" t="str">
        <f>IFERROR(__xludf.DUMMYFUNCTION("""COMPUTED_VALUE"""),"M. 2174/ Way Kandis")</f>
        <v>M. 2174/ Way Kandis</v>
      </c>
      <c r="D155" s="17">
        <f>IFERROR(__xludf.DUMMYFUNCTION("""COMPUTED_VALUE"""),45582.43222515046)</f>
        <v>45582.43223</v>
      </c>
      <c r="E155" s="13" t="str">
        <f>IFERROR(__xludf.DUMMYFUNCTION("""COMPUTED_VALUE"""),"Pemecahan")</f>
        <v>Pemecahan</v>
      </c>
      <c r="F155" s="13" t="str">
        <f>IFERROR(__xludf.DUMMYFUNCTION("""COMPUTED_VALUE"""),"Fitriana/ Paiman")</f>
        <v>Fitriana/ Paiman</v>
      </c>
      <c r="G155" s="13">
        <f t="shared" si="1"/>
        <v>143</v>
      </c>
      <c r="H155" s="13" t="str">
        <f>IFERROR(__xludf.DUMMYFUNCTION("""COMPUTED_VALUE"""),"P0")</f>
        <v>P0</v>
      </c>
    </row>
    <row r="156" ht="22.5" customHeight="1">
      <c r="B156" s="19" t="str">
        <f>IFERROR(__xludf.DUMMYFUNCTION("""COMPUTED_VALUE"""),"K/8/171024/1")</f>
        <v>K/8/171024/1</v>
      </c>
      <c r="C156" s="19" t="str">
        <f>IFERROR(__xludf.DUMMYFUNCTION("""COMPUTED_VALUE"""),"M.779/NEGERI OLOK GADING-SEKARANG;B.579/NEGERI OLOK GADING-DAHULU")</f>
        <v>M.779/NEGERI OLOK GADING-SEKARANG;B.579/NEGERI OLOK GADING-DAHULU</v>
      </c>
      <c r="D156" s="17">
        <f>IFERROR(__xludf.DUMMYFUNCTION("""COMPUTED_VALUE"""),45582.43544243056)</f>
        <v>45582.43544</v>
      </c>
      <c r="E156" s="13" t="str">
        <f>IFERROR(__xludf.DUMMYFUNCTION("""COMPUTED_VALUE"""),"PERALIHAN JUAL BELI")</f>
        <v>PERALIHAN JUAL BELI</v>
      </c>
      <c r="F156" s="13" t="str">
        <f>IFERROR(__xludf.DUMMYFUNCTION("""COMPUTED_VALUE"""),"ELVILLIANA FRANSISCA/AFRIZAL")</f>
        <v>ELVILLIANA FRANSISCA/AFRIZAL</v>
      </c>
      <c r="G156" s="13">
        <f t="shared" si="1"/>
        <v>144</v>
      </c>
      <c r="H156" s="13" t="str">
        <f>IFERROR(__xludf.DUMMYFUNCTION("""COMPUTED_VALUE"""),"P0")</f>
        <v>P0</v>
      </c>
    </row>
    <row r="157" ht="22.5" customHeight="1">
      <c r="B157" s="19" t="str">
        <f>IFERROR(__xludf.DUMMYFUNCTION("""COMPUTED_VALUE"""),"K/9/171024/1")</f>
        <v>K/9/171024/1</v>
      </c>
      <c r="C157" s="19" t="str">
        <f>IFERROR(__xludf.DUMMYFUNCTION("""COMPUTED_VALUE"""),"M. 18422/ SUKARAME I")</f>
        <v>M. 18422/ SUKARAME I</v>
      </c>
      <c r="D157" s="17">
        <f>IFERROR(__xludf.DUMMYFUNCTION("""COMPUTED_VALUE"""),45582.44572096065)</f>
        <v>45582.44572</v>
      </c>
      <c r="E157" s="13" t="str">
        <f>IFERROR(__xludf.DUMMYFUNCTION("""COMPUTED_VALUE"""),"GANTI KELURAHAN")</f>
        <v>GANTI KELURAHAN</v>
      </c>
      <c r="F157" s="13" t="str">
        <f>IFERROR(__xludf.DUMMYFUNCTION("""COMPUTED_VALUE"""),"EKA SARI TAHERAH/ WARDAH AFIF")</f>
        <v>EKA SARI TAHERAH/ WARDAH AFIF</v>
      </c>
      <c r="G157" s="13">
        <f t="shared" si="1"/>
        <v>145</v>
      </c>
      <c r="H157" s="13" t="str">
        <f>IFERROR(__xludf.DUMMYFUNCTION("""COMPUTED_VALUE"""),"P0")</f>
        <v>P0</v>
      </c>
    </row>
    <row r="158" ht="22.5" customHeight="1">
      <c r="B158" s="19" t="str">
        <f>IFERROR(__xludf.DUMMYFUNCTION("""COMPUTED_VALUE"""),"K/10/171024/2")</f>
        <v>K/10/171024/2</v>
      </c>
      <c r="C158" s="19" t="str">
        <f>IFERROR(__xludf.DUMMYFUNCTION("""COMPUTED_VALUE"""),"M. 511/ PEMATANG WANGI")</f>
        <v>M. 511/ PEMATANG WANGI</v>
      </c>
      <c r="D158" s="17">
        <f>IFERROR(__xludf.DUMMYFUNCTION("""COMPUTED_VALUE"""),45582.45584084491)</f>
        <v>45582.45584</v>
      </c>
      <c r="E158" s="13" t="str">
        <f>IFERROR(__xludf.DUMMYFUNCTION("""COMPUTED_VALUE"""),"BN JUAL BELI")</f>
        <v>BN JUAL BELI</v>
      </c>
      <c r="F158" s="13" t="str">
        <f>IFERROR(__xludf.DUMMYFUNCTION("""COMPUTED_VALUE"""),"EKA SARI TAHERAH/ DENDI INDRAJAYA")</f>
        <v>EKA SARI TAHERAH/ DENDI INDRAJAYA</v>
      </c>
      <c r="G158" s="13">
        <f t="shared" si="1"/>
        <v>146</v>
      </c>
      <c r="H158" s="13" t="str">
        <f>IFERROR(__xludf.DUMMYFUNCTION("""COMPUTED_VALUE"""),"P0")</f>
        <v>P0</v>
      </c>
    </row>
    <row r="159" ht="22.5" customHeight="1">
      <c r="B159" s="19" t="str">
        <f>IFERROR(__xludf.DUMMYFUNCTION("""COMPUTED_VALUE"""),"L/11/171024/1")</f>
        <v>L/11/171024/1</v>
      </c>
      <c r="C159" s="19" t="str">
        <f>IFERROR(__xludf.DUMMYFUNCTION("""COMPUTED_VALUE"""),"HGB 416/WAY KANDIS")</f>
        <v>HGB 416/WAY KANDIS</v>
      </c>
      <c r="D159" s="17">
        <f>IFERROR(__xludf.DUMMYFUNCTION("""COMPUTED_VALUE"""),45582.45850644676)</f>
        <v>45582.45851</v>
      </c>
      <c r="E159" s="13" t="str">
        <f>IFERROR(__xludf.DUMMYFUNCTION("""COMPUTED_VALUE"""),"ROYA")</f>
        <v>ROYA</v>
      </c>
      <c r="F159" s="13" t="str">
        <f>IFERROR(__xludf.DUMMYFUNCTION("""COMPUTED_VALUE"""),"SYAMSUARDI")</f>
        <v>SYAMSUARDI</v>
      </c>
      <c r="G159" s="13">
        <f t="shared" si="1"/>
        <v>147</v>
      </c>
      <c r="H159" s="13" t="str">
        <f>IFERROR(__xludf.DUMMYFUNCTION("""COMPUTED_VALUE"""),"P0")</f>
        <v>P0</v>
      </c>
    </row>
    <row r="160" ht="22.5" customHeight="1">
      <c r="B160" s="19" t="str">
        <f>IFERROR(__xludf.DUMMYFUNCTION("""COMPUTED_VALUE"""),"K/12/171024/3")</f>
        <v>K/12/171024/3</v>
      </c>
      <c r="C160" s="19" t="str">
        <f>IFERROR(__xludf.DUMMYFUNCTION("""COMPUTED_VALUE"""),"M. 2463/ Pinang Jaya")</f>
        <v>M. 2463/ Pinang Jaya</v>
      </c>
      <c r="D160" s="17">
        <f>IFERROR(__xludf.DUMMYFUNCTION("""COMPUTED_VALUE"""),45582.45988246528)</f>
        <v>45582.45988</v>
      </c>
      <c r="E160" s="13" t="str">
        <f>IFERROR(__xludf.DUMMYFUNCTION("""COMPUTED_VALUE"""),"BN Jual beli")</f>
        <v>BN Jual beli</v>
      </c>
      <c r="F160" s="13" t="str">
        <f>IFERROR(__xludf.DUMMYFUNCTION("""COMPUTED_VALUE"""),"eka sari taherah/m azmi")</f>
        <v>eka sari taherah/m azmi</v>
      </c>
      <c r="G160" s="13">
        <f t="shared" si="1"/>
        <v>148</v>
      </c>
      <c r="H160" s="13" t="str">
        <f>IFERROR(__xludf.DUMMYFUNCTION("""COMPUTED_VALUE"""),"P0")</f>
        <v>P0</v>
      </c>
    </row>
    <row r="161" ht="22.5" customHeight="1">
      <c r="B161" s="19" t="str">
        <f>IFERROR(__xludf.DUMMYFUNCTION("""COMPUTED_VALUE"""),"K/13/171024/4")</f>
        <v>K/13/171024/4</v>
      </c>
      <c r="C161" s="19" t="str">
        <f>IFERROR(__xludf.DUMMYFUNCTION("""COMPUTED_VALUE"""),"M. 2523/ Pinang Jaya")</f>
        <v>M. 2523/ Pinang Jaya</v>
      </c>
      <c r="D161" s="17">
        <f>IFERROR(__xludf.DUMMYFUNCTION("""COMPUTED_VALUE"""),45582.46349180555)</f>
        <v>45582.46349</v>
      </c>
      <c r="E161" s="13" t="str">
        <f>IFERROR(__xludf.DUMMYFUNCTION("""COMPUTED_VALUE"""),"BN Jual beli")</f>
        <v>BN Jual beli</v>
      </c>
      <c r="F161" s="13" t="str">
        <f>IFERROR(__xludf.DUMMYFUNCTION("""COMPUTED_VALUE"""),"eka sari taherah/devita dina mentari")</f>
        <v>eka sari taherah/devita dina mentari</v>
      </c>
      <c r="G161" s="13">
        <f t="shared" si="1"/>
        <v>149</v>
      </c>
      <c r="H161" s="13" t="str">
        <f>IFERROR(__xludf.DUMMYFUNCTION("""COMPUTED_VALUE"""),"P0")</f>
        <v>P0</v>
      </c>
    </row>
    <row r="162" ht="22.5" customHeight="1">
      <c r="B162" s="19" t="str">
        <f>IFERROR(__xludf.DUMMYFUNCTION("""COMPUTED_VALUE"""),"K/14/171024/5")</f>
        <v>K/14/171024/5</v>
      </c>
      <c r="C162" s="19" t="str">
        <f>IFERROR(__xludf.DUMMYFUNCTION("""COMPUTED_VALUE"""),"M. 2465/ Pinang jaya")</f>
        <v>M. 2465/ Pinang jaya</v>
      </c>
      <c r="D162" s="17">
        <f>IFERROR(__xludf.DUMMYFUNCTION("""COMPUTED_VALUE"""),45582.467181597225)</f>
        <v>45582.46718</v>
      </c>
      <c r="E162" s="13" t="str">
        <f>IFERROR(__xludf.DUMMYFUNCTION("""COMPUTED_VALUE"""),"BN Jual Beli")</f>
        <v>BN Jual Beli</v>
      </c>
      <c r="F162" s="13" t="str">
        <f>IFERROR(__xludf.DUMMYFUNCTION("""COMPUTED_VALUE"""),"eka sari taherah/ yayan kesuma")</f>
        <v>eka sari taherah/ yayan kesuma</v>
      </c>
      <c r="G162" s="13">
        <f t="shared" si="1"/>
        <v>150</v>
      </c>
      <c r="H162" s="13" t="str">
        <f>IFERROR(__xludf.DUMMYFUNCTION("""COMPUTED_VALUE"""),"P0")</f>
        <v>P0</v>
      </c>
    </row>
    <row r="163" ht="22.5" customHeight="1">
      <c r="B163" s="19" t="str">
        <f>IFERROR(__xludf.DUMMYFUNCTION("""COMPUTED_VALUE"""),"K/15/171024/1")</f>
        <v>K/15/171024/1</v>
      </c>
      <c r="C163" s="19" t="str">
        <f>IFERROR(__xludf.DUMMYFUNCTION("""COMPUTED_VALUE"""),"M.10543/GEDONG MENENG")</f>
        <v>M.10543/GEDONG MENENG</v>
      </c>
      <c r="D163" s="17">
        <f>IFERROR(__xludf.DUMMYFUNCTION("""COMPUTED_VALUE"""),45582.481657847224)</f>
        <v>45582.48166</v>
      </c>
      <c r="E163" s="13" t="str">
        <f>IFERROR(__xludf.DUMMYFUNCTION("""COMPUTED_VALUE"""),"PENGUKURAN ULANG")</f>
        <v>PENGUKURAN ULANG</v>
      </c>
      <c r="F163" s="13" t="str">
        <f>IFERROR(__xludf.DUMMYFUNCTION("""COMPUTED_VALUE"""),"NISWATUN HASANAH/FAUZIYAH ASTUTI SEMBIRING")</f>
        <v>NISWATUN HASANAH/FAUZIYAH ASTUTI SEMBIRING</v>
      </c>
      <c r="G163" s="13">
        <f t="shared" si="1"/>
        <v>151</v>
      </c>
      <c r="H163" s="13" t="str">
        <f>IFERROR(__xludf.DUMMYFUNCTION("""COMPUTED_VALUE"""),"P0")</f>
        <v>P0</v>
      </c>
    </row>
    <row r="164" ht="22.5" customHeight="1">
      <c r="B164" s="19" t="str">
        <f>IFERROR(__xludf.DUMMYFUNCTION("""COMPUTED_VALUE"""),"K/16/171024/1")</f>
        <v>K/16/171024/1</v>
      </c>
      <c r="C164" s="19" t="str">
        <f>IFERROR(__xludf.DUMMYFUNCTION("""COMPUTED_VALUE"""),"M. 3235/ Rajabasa Jaya")</f>
        <v>M. 3235/ Rajabasa Jaya</v>
      </c>
      <c r="D164" s="17">
        <f>IFERROR(__xludf.DUMMYFUNCTION("""COMPUTED_VALUE"""),45582.48306077546)</f>
        <v>45582.48306</v>
      </c>
      <c r="E164" s="13" t="str">
        <f>IFERROR(__xludf.DUMMYFUNCTION("""COMPUTED_VALUE"""),"Plotting")</f>
        <v>Plotting</v>
      </c>
      <c r="F164" s="13" t="str">
        <f>IFERROR(__xludf.DUMMYFUNCTION("""COMPUTED_VALUE"""),"Hariyo Widodo/ Sulaiman")</f>
        <v>Hariyo Widodo/ Sulaiman</v>
      </c>
      <c r="G164" s="13">
        <f t="shared" si="1"/>
        <v>152</v>
      </c>
      <c r="H164" s="13" t="str">
        <f>IFERROR(__xludf.DUMMYFUNCTION("""COMPUTED_VALUE"""),"P0")</f>
        <v>P0</v>
      </c>
    </row>
    <row r="165" ht="22.5" customHeight="1">
      <c r="B165" s="19" t="str">
        <f>IFERROR(__xludf.DUMMYFUNCTION("""COMPUTED_VALUE"""),"K/17/171024/1")</f>
        <v>K/17/171024/1</v>
      </c>
      <c r="C165" s="19" t="str">
        <f>IFERROR(__xludf.DUMMYFUNCTION("""COMPUTED_VALUE"""),"M. 560/ Korpri Raya; 9773/ Sukarame-dahulu")</f>
        <v>M. 560/ Korpri Raya; 9773/ Sukarame-dahulu</v>
      </c>
      <c r="D165" s="17">
        <f>IFERROR(__xludf.DUMMYFUNCTION("""COMPUTED_VALUE"""),45582.48653599537)</f>
        <v>45582.48654</v>
      </c>
      <c r="E165" s="13" t="str">
        <f>IFERROR(__xludf.DUMMYFUNCTION("""COMPUTED_VALUE"""),"Pengecekan")</f>
        <v>Pengecekan</v>
      </c>
      <c r="F165" s="13" t="str">
        <f>IFERROR(__xludf.DUMMYFUNCTION("""COMPUTED_VALUE"""),"Zul April/ Siswanto Cs")</f>
        <v>Zul April/ Siswanto Cs</v>
      </c>
      <c r="G165" s="13">
        <f t="shared" si="1"/>
        <v>153</v>
      </c>
      <c r="H165" s="13" t="str">
        <f>IFERROR(__xludf.DUMMYFUNCTION("""COMPUTED_VALUE"""),"P0")</f>
        <v>P0</v>
      </c>
    </row>
    <row r="166" ht="22.5" customHeight="1">
      <c r="B166" s="19" t="str">
        <f>IFERROR(__xludf.DUMMYFUNCTION("""COMPUTED_VALUE"""),"K/18/171024/1")</f>
        <v>K/18/171024/1</v>
      </c>
      <c r="C166" s="19" t="str">
        <f>IFERROR(__xludf.DUMMYFUNCTION("""COMPUTED_VALUE"""),"M. 111/ KEMILING RAYA")</f>
        <v>M. 111/ KEMILING RAYA</v>
      </c>
      <c r="D166" s="17">
        <f>IFERROR(__xludf.DUMMYFUNCTION("""COMPUTED_VALUE"""),45582.48818104167)</f>
        <v>45582.48818</v>
      </c>
      <c r="E166" s="13" t="str">
        <f>IFERROR(__xludf.DUMMYFUNCTION("""COMPUTED_VALUE"""),"BN JUAL BELI")</f>
        <v>BN JUAL BELI</v>
      </c>
      <c r="F166" s="13" t="str">
        <f>IFERROR(__xludf.DUMMYFUNCTION("""COMPUTED_VALUE"""),"ALI LIUS /HEFRIZON")</f>
        <v>ALI LIUS /HEFRIZON</v>
      </c>
      <c r="G166" s="13">
        <f t="shared" si="1"/>
        <v>154</v>
      </c>
      <c r="H166" s="13" t="str">
        <f>IFERROR(__xludf.DUMMYFUNCTION("""COMPUTED_VALUE"""),"P0")</f>
        <v>P0</v>
      </c>
    </row>
    <row r="167" ht="22.5" customHeight="1">
      <c r="B167" s="19" t="str">
        <f>IFERROR(__xludf.DUMMYFUNCTION("""COMPUTED_VALUE"""),"K/19/171024/1")</f>
        <v>K/19/171024/1</v>
      </c>
      <c r="C167" s="19" t="str">
        <f>IFERROR(__xludf.DUMMYFUNCTION("""COMPUTED_VALUE"""),"M.2442/TANJUNG SENENG")</f>
        <v>M.2442/TANJUNG SENENG</v>
      </c>
      <c r="D167" s="17">
        <f>IFERROR(__xludf.DUMMYFUNCTION("""COMPUTED_VALUE"""),45582.49042100694)</f>
        <v>45582.49042</v>
      </c>
      <c r="E167" s="13" t="str">
        <f>IFERROR(__xludf.DUMMYFUNCTION("""COMPUTED_VALUE"""),"SKPT LELANG")</f>
        <v>SKPT LELANG</v>
      </c>
      <c r="F167" s="13" t="str">
        <f>IFERROR(__xludf.DUMMYFUNCTION("""COMPUTED_VALUE"""),"TITIK WIJAYANTI/RIFKI KURNIAWAN SAPUTRA")</f>
        <v>TITIK WIJAYANTI/RIFKI KURNIAWAN SAPUTRA</v>
      </c>
      <c r="G167" s="13">
        <f t="shared" si="1"/>
        <v>155</v>
      </c>
      <c r="H167" s="13" t="str">
        <f>IFERROR(__xludf.DUMMYFUNCTION("""COMPUTED_VALUE"""),"P0")</f>
        <v>P0</v>
      </c>
    </row>
    <row r="168" ht="22.5" customHeight="1">
      <c r="B168" s="19" t="str">
        <f>IFERROR(__xludf.DUMMYFUNCTION("""COMPUTED_VALUE"""),"K/21/171024/2")</f>
        <v>K/21/171024/2</v>
      </c>
      <c r="C168" s="19" t="str">
        <f>IFERROR(__xludf.DUMMYFUNCTION("""COMPUTED_VALUE"""),"M. 128/ Kemiling Raya")</f>
        <v>M. 128/ Kemiling Raya</v>
      </c>
      <c r="D168" s="17">
        <f>IFERROR(__xludf.DUMMYFUNCTION("""COMPUTED_VALUE"""),45582.4908203125)</f>
        <v>45582.49082</v>
      </c>
      <c r="E168" s="13" t="str">
        <f>IFERROR(__xludf.DUMMYFUNCTION("""COMPUTED_VALUE"""),"BN Jual Beli")</f>
        <v>BN Jual Beli</v>
      </c>
      <c r="F168" s="13" t="str">
        <f>IFERROR(__xludf.DUMMYFUNCTION("""COMPUTED_VALUE"""),"ali lius / hefrizin qq putri naura")</f>
        <v>ali lius / hefrizin qq putri naura</v>
      </c>
      <c r="G168" s="13">
        <f t="shared" si="1"/>
        <v>156</v>
      </c>
      <c r="H168" s="13" t="str">
        <f>IFERROR(__xludf.DUMMYFUNCTION("""COMPUTED_VALUE"""),"P0")</f>
        <v>P0</v>
      </c>
    </row>
    <row r="169" ht="22.5" customHeight="1">
      <c r="B169" s="19" t="str">
        <f>IFERROR(__xludf.DUMMYFUNCTION("""COMPUTED_VALUE"""),"K/20/171024/2")</f>
        <v>K/20/171024/2</v>
      </c>
      <c r="C169" s="19" t="str">
        <f>IFERROR(__xludf.DUMMYFUNCTION("""COMPUTED_VALUE"""),"M.11594/JAGABAYA II")</f>
        <v>M.11594/JAGABAYA II</v>
      </c>
      <c r="D169" s="17">
        <f>IFERROR(__xludf.DUMMYFUNCTION("""COMPUTED_VALUE"""),45582.491129375005)</f>
        <v>45582.49113</v>
      </c>
      <c r="E169" s="13" t="str">
        <f>IFERROR(__xludf.DUMMYFUNCTION("""COMPUTED_VALUE"""),"SKPT ")</f>
        <v>SKPT </v>
      </c>
      <c r="F169" s="13" t="str">
        <f>IFERROR(__xludf.DUMMYFUNCTION("""COMPUTED_VALUE"""),"TITIK WIJAYANTI/RIFKI KURNIAWAN SAPUTRA")</f>
        <v>TITIK WIJAYANTI/RIFKI KURNIAWAN SAPUTRA</v>
      </c>
      <c r="G169" s="13">
        <f t="shared" si="1"/>
        <v>157</v>
      </c>
      <c r="H169" s="13" t="str">
        <f>IFERROR(__xludf.DUMMYFUNCTION("""COMPUTED_VALUE"""),"P0")</f>
        <v>P0</v>
      </c>
    </row>
    <row r="170" ht="22.5" customHeight="1">
      <c r="B170" s="19" t="str">
        <f>IFERROR(__xludf.DUMMYFUNCTION("""COMPUTED_VALUE"""),"K/22/171024/1")</f>
        <v>K/22/171024/1</v>
      </c>
      <c r="C170" s="19" t="str">
        <f>IFERROR(__xludf.DUMMYFUNCTION("""COMPUTED_VALUE"""),"Nibel. M. 118/ Rajabasa Raya")</f>
        <v>Nibel. M. 118/ Rajabasa Raya</v>
      </c>
      <c r="D170" s="17">
        <f>IFERROR(__xludf.DUMMYFUNCTION("""COMPUTED_VALUE"""),45582.49305085649)</f>
        <v>45582.49305</v>
      </c>
      <c r="E170" s="13" t="str">
        <f>IFERROR(__xludf.DUMMYFUNCTION("""COMPUTED_VALUE"""),"BN Jual Beli")</f>
        <v>BN Jual Beli</v>
      </c>
      <c r="F170" s="13" t="str">
        <f>IFERROR(__xludf.DUMMYFUNCTION("""COMPUTED_VALUE"""),"Mursalin/ Andrianus B S")</f>
        <v>Mursalin/ Andrianus B S</v>
      </c>
      <c r="G170" s="13">
        <f t="shared" si="1"/>
        <v>158</v>
      </c>
      <c r="H170" s="13" t="str">
        <f>IFERROR(__xludf.DUMMYFUNCTION("""COMPUTED_VALUE"""),"P0")</f>
        <v>P0</v>
      </c>
    </row>
    <row r="171" ht="22.5" customHeight="1">
      <c r="B171" s="19" t="str">
        <f>IFERROR(__xludf.DUMMYFUNCTION("""COMPUTED_VALUE"""),"K/7/151024/1")</f>
        <v>K/7/151024/1</v>
      </c>
      <c r="C171" s="19" t="str">
        <f>IFERROR(__xludf.DUMMYFUNCTION("""COMPUTED_VALUE"""),"NIBEL874/ BUMI KEDAMAIAN")</f>
        <v>NIBEL874/ BUMI KEDAMAIAN</v>
      </c>
      <c r="D171" s="17">
        <f>IFERROR(__xludf.DUMMYFUNCTION("""COMPUTED_VALUE"""),45582.55103577547)</f>
        <v>45582.55104</v>
      </c>
      <c r="E171" s="13" t="str">
        <f>IFERROR(__xludf.DUMMYFUNCTION("""COMPUTED_VALUE"""),"BN JUAL BELI")</f>
        <v>BN JUAL BELI</v>
      </c>
      <c r="F171" s="13" t="str">
        <f>IFERROR(__xludf.DUMMYFUNCTION("""COMPUTED_VALUE"""),"ALI LIUS/ANTHONY TANJUNG")</f>
        <v>ALI LIUS/ANTHONY TANJUNG</v>
      </c>
      <c r="G171" s="13">
        <f t="shared" si="1"/>
        <v>158</v>
      </c>
      <c r="H171" s="13" t="str">
        <f>IFERROR(__xludf.DUMMYFUNCTION("""COMPUTED_VALUE"""),"P1")</f>
        <v>P1</v>
      </c>
    </row>
    <row r="172" ht="22.5" customHeight="1">
      <c r="B172" s="19" t="str">
        <f>IFERROR(__xludf.DUMMYFUNCTION("""COMPUTED_VALUE"""),"L/23/171024/1")</f>
        <v>L/23/171024/1</v>
      </c>
      <c r="C172" s="19" t="str">
        <f>IFERROR(__xludf.DUMMYFUNCTION("""COMPUTED_VALUE"""),"HGB 556/WAY KANDIS")</f>
        <v>HGB 556/WAY KANDIS</v>
      </c>
      <c r="D172" s="17">
        <f>IFERROR(__xludf.DUMMYFUNCTION("""COMPUTED_VALUE"""),45582.558614027774)</f>
        <v>45582.55861</v>
      </c>
      <c r="E172" s="13" t="str">
        <f>IFERROR(__xludf.DUMMYFUNCTION("""COMPUTED_VALUE"""),"GANDES")</f>
        <v>GANDES</v>
      </c>
      <c r="F172" s="13" t="str">
        <f>IFERROR(__xludf.DUMMYFUNCTION("""COMPUTED_VALUE"""),"ROSNAWATI BR TARIGAN")</f>
        <v>ROSNAWATI BR TARIGAN</v>
      </c>
      <c r="G172" s="13">
        <f t="shared" si="1"/>
        <v>159</v>
      </c>
      <c r="H172" s="13" t="str">
        <f>IFERROR(__xludf.DUMMYFUNCTION("""COMPUTED_VALUE"""),"P0")</f>
        <v>P0</v>
      </c>
    </row>
    <row r="173" ht="22.5" customHeight="1">
      <c r="B173" s="19" t="str">
        <f>IFERROR(__xludf.DUMMYFUNCTION("""COMPUTED_VALUE"""),"K/24/171024/1")</f>
        <v>K/24/171024/1</v>
      </c>
      <c r="C173" s="19" t="str">
        <f>IFERROR(__xludf.DUMMYFUNCTION("""COMPUTED_VALUE"""),"NIBEL M.370/GUNUNG SULAH")</f>
        <v>NIBEL M.370/GUNUNG SULAH</v>
      </c>
      <c r="D173" s="17">
        <f>IFERROR(__xludf.DUMMYFUNCTION("""COMPUTED_VALUE"""),45582.56040822917)</f>
        <v>45582.56041</v>
      </c>
      <c r="E173" s="13" t="str">
        <f>IFERROR(__xludf.DUMMYFUNCTION("""COMPUTED_VALUE"""),"PERALIHAN JUAL BELI")</f>
        <v>PERALIHAN JUAL BELI</v>
      </c>
      <c r="F173" s="13" t="str">
        <f>IFERROR(__xludf.DUMMYFUNCTION("""COMPUTED_VALUE"""),"KORNELIUS SULEMI/SERUNI WIDYAWATI")</f>
        <v>KORNELIUS SULEMI/SERUNI WIDYAWATI</v>
      </c>
      <c r="G173" s="13">
        <f t="shared" si="1"/>
        <v>160</v>
      </c>
      <c r="H173" s="13" t="str">
        <f>IFERROR(__xludf.DUMMYFUNCTION("""COMPUTED_VALUE"""),"P0")</f>
        <v>P0</v>
      </c>
    </row>
    <row r="174" ht="22.5" customHeight="1">
      <c r="B174" s="19" t="str">
        <f>IFERROR(__xludf.DUMMYFUNCTION("""COMPUTED_VALUE"""),"K/25/171024/1")</f>
        <v>K/25/171024/1</v>
      </c>
      <c r="C174" s="19" t="str">
        <f>IFERROR(__xludf.DUMMYFUNCTION("""COMPUTED_VALUE"""),"Nibel. M. 1067/ Sukarame Baru")</f>
        <v>Nibel. M. 1067/ Sukarame Baru</v>
      </c>
      <c r="D174" s="17">
        <f>IFERROR(__xludf.DUMMYFUNCTION("""COMPUTED_VALUE"""),45582.56123482639)</f>
        <v>45582.56123</v>
      </c>
      <c r="E174" s="13" t="str">
        <f>IFERROR(__xludf.DUMMYFUNCTION("""COMPUTED_VALUE"""),"BN Jual Beli")</f>
        <v>BN Jual Beli</v>
      </c>
      <c r="F174" s="13" t="str">
        <f>IFERROR(__xludf.DUMMYFUNCTION("""COMPUTED_VALUE"""),"Ilanur/ Etika Fitri S")</f>
        <v>Ilanur/ Etika Fitri S</v>
      </c>
      <c r="G174" s="13">
        <f t="shared" si="1"/>
        <v>161</v>
      </c>
      <c r="H174" s="13" t="str">
        <f>IFERROR(__xludf.DUMMYFUNCTION("""COMPUTED_VALUE"""),"P0")</f>
        <v>P0</v>
      </c>
    </row>
    <row r="175" ht="22.5" customHeight="1">
      <c r="B175" s="19" t="str">
        <f>IFERROR(__xludf.DUMMYFUNCTION("""COMPUTED_VALUE"""),"K/26/171024/2")</f>
        <v>K/26/171024/2</v>
      </c>
      <c r="C175" s="19" t="str">
        <f>IFERROR(__xludf.DUMMYFUNCTION("""COMPUTED_VALUE"""),"Nibel. M. 1066/ Sukarame Baru")</f>
        <v>Nibel. M. 1066/ Sukarame Baru</v>
      </c>
      <c r="D175" s="17">
        <f>IFERROR(__xludf.DUMMYFUNCTION("""COMPUTED_VALUE"""),45582.56277592592)</f>
        <v>45582.56278</v>
      </c>
      <c r="E175" s="13" t="str">
        <f>IFERROR(__xludf.DUMMYFUNCTION("""COMPUTED_VALUE"""),"BN Jual Beli")</f>
        <v>BN Jual Beli</v>
      </c>
      <c r="F175" s="13" t="str">
        <f>IFERROR(__xludf.DUMMYFUNCTION("""COMPUTED_VALUE"""),"Ilanur/ Dhita A")</f>
        <v>Ilanur/ Dhita A</v>
      </c>
      <c r="G175" s="13">
        <f t="shared" si="1"/>
        <v>162</v>
      </c>
      <c r="H175" s="13" t="str">
        <f>IFERROR(__xludf.DUMMYFUNCTION("""COMPUTED_VALUE"""),"P0")</f>
        <v>P0</v>
      </c>
    </row>
    <row r="176" ht="22.5" customHeight="1">
      <c r="B176" s="19" t="str">
        <f>IFERROR(__xludf.DUMMYFUNCTION("""COMPUTED_VALUE"""),"K/27/171024/1")</f>
        <v>K/27/171024/1</v>
      </c>
      <c r="C176" s="19" t="str">
        <f>IFERROR(__xludf.DUMMYFUNCTION("""COMPUTED_VALUE"""),"M. 3797/ Keteguhan")</f>
        <v>M. 3797/ Keteguhan</v>
      </c>
      <c r="D176" s="17">
        <f>IFERROR(__xludf.DUMMYFUNCTION("""COMPUTED_VALUE"""),45582.56674642361)</f>
        <v>45582.56675</v>
      </c>
      <c r="E176" s="13" t="str">
        <f>IFERROR(__xludf.DUMMYFUNCTION("""COMPUTED_VALUE"""),"BN Jual Beli")</f>
        <v>BN Jual Beli</v>
      </c>
      <c r="F176" s="13" t="str">
        <f>IFERROR(__xludf.DUMMYFUNCTION("""COMPUTED_VALUE"""),"Dian Eka Sari/ Mardan V")</f>
        <v>Dian Eka Sari/ Mardan V</v>
      </c>
      <c r="G176" s="13">
        <f t="shared" si="1"/>
        <v>163</v>
      </c>
      <c r="H176" s="13" t="str">
        <f>IFERROR(__xludf.DUMMYFUNCTION("""COMPUTED_VALUE"""),"P0")</f>
        <v>P0</v>
      </c>
    </row>
    <row r="177" ht="22.5" customHeight="1">
      <c r="B177" s="19" t="str">
        <f>IFERROR(__xludf.DUMMYFUNCTION("""COMPUTED_VALUE"""),"K/29/171024/1")</f>
        <v>K/29/171024/1</v>
      </c>
      <c r="C177" s="19" t="str">
        <f>IFERROR(__xludf.DUMMYFUNCTION("""COMPUTED_VALUE"""),"M.617/SUKARAJA")</f>
        <v>M.617/SUKARAJA</v>
      </c>
      <c r="D177" s="17">
        <f>IFERROR(__xludf.DUMMYFUNCTION("""COMPUTED_VALUE"""),45582.56720800926)</f>
        <v>45582.56721</v>
      </c>
      <c r="E177" s="13" t="str">
        <f>IFERROR(__xludf.DUMMYFUNCTION("""COMPUTED_VALUE"""),"GANDES")</f>
        <v>GANDES</v>
      </c>
      <c r="F177" s="13" t="str">
        <f>IFERROR(__xludf.DUMMYFUNCTION("""COMPUTED_VALUE"""),"SYOGITRI EVALIANTI/MOHAMAD ARIF SOEHARNOKO")</f>
        <v>SYOGITRI EVALIANTI/MOHAMAD ARIF SOEHARNOKO</v>
      </c>
      <c r="G177" s="13">
        <f t="shared" si="1"/>
        <v>164</v>
      </c>
      <c r="H177" s="13" t="str">
        <f>IFERROR(__xludf.DUMMYFUNCTION("""COMPUTED_VALUE"""),"P0")</f>
        <v>P0</v>
      </c>
    </row>
    <row r="178" ht="22.5" customHeight="1">
      <c r="B178" s="19" t="str">
        <f>IFERROR(__xludf.DUMMYFUNCTION("""COMPUTED_VALUE"""),"K/28/171024/2")</f>
        <v>K/28/171024/2</v>
      </c>
      <c r="C178" s="19" t="str">
        <f>IFERROR(__xludf.DUMMYFUNCTION("""COMPUTED_VALUE"""),"M. 182/ Way Kandis")</f>
        <v>M. 182/ Way Kandis</v>
      </c>
      <c r="D178" s="17">
        <f>IFERROR(__xludf.DUMMYFUNCTION("""COMPUTED_VALUE"""),45582.56845333333)</f>
        <v>45582.56845</v>
      </c>
      <c r="E178" s="13" t="str">
        <f>IFERROR(__xludf.DUMMYFUNCTION("""COMPUTED_VALUE"""),"BN Jual Beli")</f>
        <v>BN Jual Beli</v>
      </c>
      <c r="F178" s="13" t="str">
        <f>IFERROR(__xludf.DUMMYFUNCTION("""COMPUTED_VALUE"""),"Dian Eka Sari/ M. Nizar")</f>
        <v>Dian Eka Sari/ M. Nizar</v>
      </c>
      <c r="G178" s="13">
        <f t="shared" si="1"/>
        <v>165</v>
      </c>
      <c r="H178" s="13" t="str">
        <f>IFERROR(__xludf.DUMMYFUNCTION("""COMPUTED_VALUE"""),"P0")</f>
        <v>P0</v>
      </c>
    </row>
    <row r="179" ht="22.5" customHeight="1">
      <c r="B179" s="19" t="str">
        <f>IFERROR(__xludf.DUMMYFUNCTION("""COMPUTED_VALUE"""),"K/30/171024/2")</f>
        <v>K/30/171024/2</v>
      </c>
      <c r="C179" s="19" t="str">
        <f>IFERROR(__xludf.DUMMYFUNCTION("""COMPUTED_VALUE"""),"M.9272/RAJABASA")</f>
        <v>M.9272/RAJABASA</v>
      </c>
      <c r="D179" s="17">
        <f>IFERROR(__xludf.DUMMYFUNCTION("""COMPUTED_VALUE"""),45582.569694502316)</f>
        <v>45582.56969</v>
      </c>
      <c r="E179" s="13" t="str">
        <f>IFERROR(__xludf.DUMMYFUNCTION("""COMPUTED_VALUE"""),"PLOTING")</f>
        <v>PLOTING</v>
      </c>
      <c r="F179" s="13" t="str">
        <f>IFERROR(__xludf.DUMMYFUNCTION("""COMPUTED_VALUE"""),"TARMIN CECEP/M ARIF SOEHARNOKO")</f>
        <v>TARMIN CECEP/M ARIF SOEHARNOKO</v>
      </c>
      <c r="G179" s="13">
        <f t="shared" si="1"/>
        <v>166</v>
      </c>
      <c r="H179" s="13" t="str">
        <f>IFERROR(__xludf.DUMMYFUNCTION("""COMPUTED_VALUE"""),"P0")</f>
        <v>P0</v>
      </c>
    </row>
    <row r="180" ht="22.5" customHeight="1">
      <c r="B180" s="19" t="str">
        <f>IFERROR(__xludf.DUMMYFUNCTION("""COMPUTED_VALUE"""),"K/31/171024/1")</f>
        <v>K/31/171024/1</v>
      </c>
      <c r="C180" s="19" t="str">
        <f>IFERROR(__xludf.DUMMYFUNCTION("""COMPUTED_VALUE"""),"M. 2933/ Sukarame II")</f>
        <v>M. 2933/ Sukarame II</v>
      </c>
      <c r="D180" s="17">
        <f>IFERROR(__xludf.DUMMYFUNCTION("""COMPUTED_VALUE"""),45582.569698657404)</f>
        <v>45582.5697</v>
      </c>
      <c r="E180" s="13" t="str">
        <f>IFERROR(__xludf.DUMMYFUNCTION("""COMPUTED_VALUE"""),"BN Jual Beli")</f>
        <v>BN Jual Beli</v>
      </c>
      <c r="F180" s="13" t="str">
        <f>IFERROR(__xludf.DUMMYFUNCTION("""COMPUTED_VALUE"""),"richard adi/ randi sutrisno")</f>
        <v>richard adi/ randi sutrisno</v>
      </c>
      <c r="G180" s="13">
        <f t="shared" si="1"/>
        <v>167</v>
      </c>
      <c r="H180" s="13" t="str">
        <f>IFERROR(__xludf.DUMMYFUNCTION("""COMPUTED_VALUE"""),"P0")</f>
        <v>P0</v>
      </c>
    </row>
    <row r="181" ht="22.5" customHeight="1">
      <c r="B181" s="19" t="str">
        <f>IFERROR(__xludf.DUMMYFUNCTION("""COMPUTED_VALUE"""),"L/32/171024/1")</f>
        <v>L/32/171024/1</v>
      </c>
      <c r="C181" s="19" t="str">
        <f>IFERROR(__xludf.DUMMYFUNCTION("""COMPUTED_VALUE"""),"M.1520/BATU PUTUK")</f>
        <v>M.1520/BATU PUTUK</v>
      </c>
      <c r="D181" s="17">
        <f>IFERROR(__xludf.DUMMYFUNCTION("""COMPUTED_VALUE"""),45582.57046574074)</f>
        <v>45582.57047</v>
      </c>
      <c r="E181" s="13" t="str">
        <f>IFERROR(__xludf.DUMMYFUNCTION("""COMPUTED_VALUE"""),"PEMISAHAN")</f>
        <v>PEMISAHAN</v>
      </c>
      <c r="F181" s="13" t="str">
        <f>IFERROR(__xludf.DUMMYFUNCTION("""COMPUTED_VALUE"""),"SLAMET RIYADI")</f>
        <v>SLAMET RIYADI</v>
      </c>
      <c r="G181" s="13">
        <f t="shared" si="1"/>
        <v>168</v>
      </c>
      <c r="H181" s="13" t="str">
        <f>IFERROR(__xludf.DUMMYFUNCTION("""COMPUTED_VALUE"""),"P0")</f>
        <v>P0</v>
      </c>
    </row>
    <row r="182" ht="22.5" customHeight="1">
      <c r="B182" s="19" t="str">
        <f>IFERROR(__xludf.DUMMYFUNCTION("""COMPUTED_VALUE"""),"K/30/141024/1")</f>
        <v>K/30/141024/1</v>
      </c>
      <c r="C182" s="19" t="str">
        <f>IFERROR(__xludf.DUMMYFUNCTION("""COMPUTED_VALUE"""),"M.2617/WAY KANDIS")</f>
        <v>M.2617/WAY KANDIS</v>
      </c>
      <c r="D182" s="17">
        <f>IFERROR(__xludf.DUMMYFUNCTION("""COMPUTED_VALUE"""),45582.570906458335)</f>
        <v>45582.57091</v>
      </c>
      <c r="E182" s="13" t="str">
        <f>IFERROR(__xludf.DUMMYFUNCTION("""COMPUTED_VALUE"""),"ROYA")</f>
        <v>ROYA</v>
      </c>
      <c r="F182" s="13" t="str">
        <f>IFERROR(__xludf.DUMMYFUNCTION("""COMPUTED_VALUE"""),"SUHARTONO/KRISTINA SIAHAAN")</f>
        <v>SUHARTONO/KRISTINA SIAHAAN</v>
      </c>
      <c r="G182" s="13">
        <f t="shared" si="1"/>
        <v>168</v>
      </c>
      <c r="H182" s="13" t="str">
        <f>IFERROR(__xludf.DUMMYFUNCTION("""COMPUTED_VALUE"""),"P1")</f>
        <v>P1</v>
      </c>
    </row>
    <row r="183" ht="22.5" customHeight="1">
      <c r="B183" s="19" t="str">
        <f>IFERROR(__xludf.DUMMYFUNCTION("""COMPUTED_VALUE"""),"K/34/171024/2")</f>
        <v>K/34/171024/2</v>
      </c>
      <c r="C183" s="19" t="str">
        <f>IFERROR(__xludf.DUMMYFUNCTION("""COMPUTED_VALUE"""),"M. 2924/ Sukarame II")</f>
        <v>M. 2924/ Sukarame II</v>
      </c>
      <c r="D183" s="17">
        <f>IFERROR(__xludf.DUMMYFUNCTION("""COMPUTED_VALUE"""),45582.57259609953)</f>
        <v>45582.5726</v>
      </c>
      <c r="E183" s="13" t="str">
        <f>IFERROR(__xludf.DUMMYFUNCTION("""COMPUTED_VALUE"""),"BN Jual Beli")</f>
        <v>BN Jual Beli</v>
      </c>
      <c r="F183" s="13" t="str">
        <f>IFERROR(__xludf.DUMMYFUNCTION("""COMPUTED_VALUE"""),"richard adi / agus prasetyo")</f>
        <v>richard adi / agus prasetyo</v>
      </c>
      <c r="G183" s="13">
        <f t="shared" si="1"/>
        <v>169</v>
      </c>
      <c r="H183" s="13" t="str">
        <f>IFERROR(__xludf.DUMMYFUNCTION("""COMPUTED_VALUE"""),"P0")</f>
        <v>P0</v>
      </c>
    </row>
    <row r="184" ht="22.5" customHeight="1">
      <c r="B184" s="19" t="str">
        <f>IFERROR(__xludf.DUMMYFUNCTION("""COMPUTED_VALUE"""),"L/35/171024/1")</f>
        <v>L/35/171024/1</v>
      </c>
      <c r="C184" s="19" t="str">
        <f>IFERROR(__xludf.DUMMYFUNCTION("""COMPUTED_VALUE"""),"HM 296/RAJABASA RAYA")</f>
        <v>HM 296/RAJABASA RAYA</v>
      </c>
      <c r="D184" s="17">
        <f>IFERROR(__xludf.DUMMYFUNCTION("""COMPUTED_VALUE"""),45582.577999409725)</f>
        <v>45582.578</v>
      </c>
      <c r="E184" s="13" t="str">
        <f>IFERROR(__xludf.DUMMYFUNCTION("""COMPUTED_VALUE"""),"ROYA")</f>
        <v>ROYA</v>
      </c>
      <c r="F184" s="13" t="str">
        <f>IFERROR(__xludf.DUMMYFUNCTION("""COMPUTED_VALUE"""),"SUSYANA")</f>
        <v>SUSYANA</v>
      </c>
      <c r="G184" s="13">
        <f t="shared" si="1"/>
        <v>170</v>
      </c>
      <c r="H184" s="13" t="str">
        <f>IFERROR(__xludf.DUMMYFUNCTION("""COMPUTED_VALUE"""),"P0")</f>
        <v>P0</v>
      </c>
    </row>
    <row r="185" ht="22.5" customHeight="1">
      <c r="B185" s="19" t="str">
        <f>IFERROR(__xludf.DUMMYFUNCTION("""COMPUTED_VALUE"""),"K/33/171024/1")</f>
        <v>K/33/171024/1</v>
      </c>
      <c r="C185" s="19" t="str">
        <f>IFERROR(__xludf.DUMMYFUNCTION("""COMPUTED_VALUE"""),"NIBEL M.1652/LABUHAN DALAM")</f>
        <v>NIBEL M.1652/LABUHAN DALAM</v>
      </c>
      <c r="D185" s="17">
        <f>IFERROR(__xludf.DUMMYFUNCTION("""COMPUTED_VALUE"""),45582.58034702546)</f>
        <v>45582.58035</v>
      </c>
      <c r="E185" s="13" t="str">
        <f>IFERROR(__xludf.DUMMYFUNCTION("""COMPUTED_VALUE"""),"PERALIHAN JUAL BELI")</f>
        <v>PERALIHAN JUAL BELI</v>
      </c>
      <c r="F185" s="13" t="str">
        <f>IFERROR(__xludf.DUMMYFUNCTION("""COMPUTED_VALUE"""),"HENI NURMAINI/ANDRIANTO ")</f>
        <v>HENI NURMAINI/ANDRIANTO </v>
      </c>
      <c r="G185" s="13">
        <f t="shared" si="1"/>
        <v>171</v>
      </c>
      <c r="H185" s="13" t="str">
        <f>IFERROR(__xludf.DUMMYFUNCTION("""COMPUTED_VALUE"""),"P0")</f>
        <v>P0</v>
      </c>
    </row>
    <row r="186" ht="22.5" customHeight="1">
      <c r="B186" s="19" t="str">
        <f>IFERROR(__xludf.DUMMYFUNCTION("""COMPUTED_VALUE"""),"K/36/171024/2")</f>
        <v>K/36/171024/2</v>
      </c>
      <c r="C186" s="19" t="str">
        <f>IFERROR(__xludf.DUMMYFUNCTION("""COMPUTED_VALUE"""),"M.789/PELITA")</f>
        <v>M.789/PELITA</v>
      </c>
      <c r="D186" s="17">
        <f>IFERROR(__xludf.DUMMYFUNCTION("""COMPUTED_VALUE"""),45582.581733831015)</f>
        <v>45582.58173</v>
      </c>
      <c r="E186" s="13" t="str">
        <f>IFERROR(__xludf.DUMMYFUNCTION("""COMPUTED_VALUE"""),"GANDES")</f>
        <v>GANDES</v>
      </c>
      <c r="F186" s="13" t="str">
        <f>IFERROR(__xludf.DUMMYFUNCTION("""COMPUTED_VALUE"""),"NODIS HENDRI/ANDRIANTO")</f>
        <v>NODIS HENDRI/ANDRIANTO</v>
      </c>
      <c r="G186" s="13">
        <f t="shared" si="1"/>
        <v>172</v>
      </c>
      <c r="H186" s="13" t="str">
        <f>IFERROR(__xludf.DUMMYFUNCTION("""COMPUTED_VALUE"""),"P0")</f>
        <v>P0</v>
      </c>
    </row>
    <row r="187" ht="22.5" customHeight="1">
      <c r="B187" s="19" t="str">
        <f>IFERROR(__xludf.DUMMYFUNCTION("""COMPUTED_VALUE"""),"K/37/171024/1")</f>
        <v>K/37/171024/1</v>
      </c>
      <c r="C187" s="19" t="str">
        <f>IFERROR(__xludf.DUMMYFUNCTION("""COMPUTED_VALUE"""),"M. 1305/ KBK; B. 185/KBK-dahulu")</f>
        <v>M. 1305/ KBK; B. 185/KBK-dahulu</v>
      </c>
      <c r="D187" s="17">
        <f>IFERROR(__xludf.DUMMYFUNCTION("""COMPUTED_VALUE"""),45582.58336697917)</f>
        <v>45582.58337</v>
      </c>
      <c r="E187" s="13" t="str">
        <f>IFERROR(__xludf.DUMMYFUNCTION("""COMPUTED_VALUE"""),"BN Jual Beli")</f>
        <v>BN Jual Beli</v>
      </c>
      <c r="F187" s="13" t="str">
        <f>IFERROR(__xludf.DUMMYFUNCTION("""COMPUTED_VALUE"""),"Angga Purnama/ Yolanda A")</f>
        <v>Angga Purnama/ Yolanda A</v>
      </c>
      <c r="G187" s="13">
        <f t="shared" si="1"/>
        <v>173</v>
      </c>
      <c r="H187" s="13" t="str">
        <f>IFERROR(__xludf.DUMMYFUNCTION("""COMPUTED_VALUE"""),"P0")</f>
        <v>P0</v>
      </c>
    </row>
    <row r="188" ht="22.5" customHeight="1">
      <c r="B188" s="19" t="str">
        <f>IFERROR(__xludf.DUMMYFUNCTION("""COMPUTED_VALUE"""),"K/38/171024/2")</f>
        <v>K/38/171024/2</v>
      </c>
      <c r="C188" s="19" t="str">
        <f>IFERROR(__xludf.DUMMYFUNCTION("""COMPUTED_VALUE"""),"M. 4522/ Gunung Terang")</f>
        <v>M. 4522/ Gunung Terang</v>
      </c>
      <c r="D188" s="17">
        <f>IFERROR(__xludf.DUMMYFUNCTION("""COMPUTED_VALUE"""),45582.58544946759)</f>
        <v>45582.58545</v>
      </c>
      <c r="E188" s="13" t="str">
        <f>IFERROR(__xludf.DUMMYFUNCTION("""COMPUTED_VALUE"""),"BN Jual Beli")</f>
        <v>BN Jual Beli</v>
      </c>
      <c r="F188" s="13" t="str">
        <f>IFERROR(__xludf.DUMMYFUNCTION("""COMPUTED_VALUE"""),"Angga Purnama/ Farida N")</f>
        <v>Angga Purnama/ Farida N</v>
      </c>
      <c r="G188" s="13">
        <f t="shared" si="1"/>
        <v>174</v>
      </c>
      <c r="H188" s="13" t="str">
        <f>IFERROR(__xludf.DUMMYFUNCTION("""COMPUTED_VALUE"""),"P0")</f>
        <v>P0</v>
      </c>
    </row>
    <row r="189" ht="22.5" customHeight="1">
      <c r="B189" s="19" t="str">
        <f>IFERROR(__xludf.DUMMYFUNCTION("""COMPUTED_VALUE"""),"K/39/171024/3")</f>
        <v>K/39/171024/3</v>
      </c>
      <c r="C189" s="19" t="str">
        <f>IFERROR(__xludf.DUMMYFUNCTION("""COMPUTED_VALUE"""),"M. 1461/ Rajabasa Jaya")</f>
        <v>M. 1461/ Rajabasa Jaya</v>
      </c>
      <c r="D189" s="17">
        <f>IFERROR(__xludf.DUMMYFUNCTION("""COMPUTED_VALUE"""),45582.58710409723)</f>
        <v>45582.5871</v>
      </c>
      <c r="E189" s="13" t="str">
        <f>IFERROR(__xludf.DUMMYFUNCTION("""COMPUTED_VALUE"""),"Hapus BPHTB")</f>
        <v>Hapus BPHTB</v>
      </c>
      <c r="F189" s="13" t="str">
        <f>IFERROR(__xludf.DUMMYFUNCTION("""COMPUTED_VALUE"""),"Angga Purnama/ Rajabasa Jaya")</f>
        <v>Angga Purnama/ Rajabasa Jaya</v>
      </c>
      <c r="G189" s="13">
        <f t="shared" si="1"/>
        <v>175</v>
      </c>
      <c r="H189" s="13" t="str">
        <f>IFERROR(__xludf.DUMMYFUNCTION("""COMPUTED_VALUE"""),"P0")</f>
        <v>P0</v>
      </c>
    </row>
    <row r="190" ht="22.5" customHeight="1">
      <c r="B190" s="19" t="str">
        <f>IFERROR(__xludf.DUMMYFUNCTION("""COMPUTED_VALUE"""),"L/40/171024/1")</f>
        <v>L/40/171024/1</v>
      </c>
      <c r="C190" s="19" t="str">
        <f>IFERROR(__xludf.DUMMYFUNCTION("""COMPUTED_VALUE"""),"HM 1375/TANJUNG SENENG")</f>
        <v>HM 1375/TANJUNG SENENG</v>
      </c>
      <c r="D190" s="17">
        <f>IFERROR(__xludf.DUMMYFUNCTION("""COMPUTED_VALUE"""),45582.593075729164)</f>
        <v>45582.59308</v>
      </c>
      <c r="E190" s="13" t="str">
        <f>IFERROR(__xludf.DUMMYFUNCTION("""COMPUTED_VALUE"""),"ROYA")</f>
        <v>ROYA</v>
      </c>
      <c r="F190" s="13" t="str">
        <f>IFERROR(__xludf.DUMMYFUNCTION("""COMPUTED_VALUE"""),"ACENG SOLEHUDIN")</f>
        <v>ACENG SOLEHUDIN</v>
      </c>
      <c r="G190" s="13">
        <f t="shared" si="1"/>
        <v>176</v>
      </c>
      <c r="H190" s="13" t="str">
        <f>IFERROR(__xludf.DUMMYFUNCTION("""COMPUTED_VALUE"""),"P0")</f>
        <v>P0</v>
      </c>
    </row>
    <row r="191" ht="22.5" customHeight="1">
      <c r="B191" s="19" t="str">
        <f>IFERROR(__xludf.DUMMYFUNCTION("""COMPUTED_VALUE"""),"K/41/171024/1")</f>
        <v>K/41/171024/1</v>
      </c>
      <c r="C191" s="19" t="str">
        <f>IFERROR(__xludf.DUMMYFUNCTION("""COMPUTED_VALUE"""),"M. 11796/ Sukabumi; B. 3316/ Sukabumi-dahulu")</f>
        <v>M. 11796/ Sukabumi; B. 3316/ Sukabumi-dahulu</v>
      </c>
      <c r="D191" s="17">
        <f>IFERROR(__xludf.DUMMYFUNCTION("""COMPUTED_VALUE"""),45582.59361457176)</f>
        <v>45582.59361</v>
      </c>
      <c r="E191" s="13" t="str">
        <f>IFERROR(__xludf.DUMMYFUNCTION("""COMPUTED_VALUE"""),"Roya")</f>
        <v>Roya</v>
      </c>
      <c r="F191" s="13" t="str">
        <f>IFERROR(__xludf.DUMMYFUNCTION("""COMPUTED_VALUE"""),"Reflan Rasyid/ Rulli Anisasi")</f>
        <v>Reflan Rasyid/ Rulli Anisasi</v>
      </c>
      <c r="G191" s="13">
        <f t="shared" si="1"/>
        <v>177</v>
      </c>
      <c r="H191" s="13" t="str">
        <f>IFERROR(__xludf.DUMMYFUNCTION("""COMPUTED_VALUE"""),"P0")</f>
        <v>P0</v>
      </c>
    </row>
    <row r="192" ht="22.5" customHeight="1">
      <c r="B192" s="19" t="str">
        <f>IFERROR(__xludf.DUMMYFUNCTION("""COMPUTED_VALUE"""),"K/42/171024/1")</f>
        <v>K/42/171024/1</v>
      </c>
      <c r="C192" s="19" t="str">
        <f>IFERROR(__xludf.DUMMYFUNCTION("""COMPUTED_VALUE"""),"B. 649/ Sumber Agung")</f>
        <v>B. 649/ Sumber Agung</v>
      </c>
      <c r="D192" s="17">
        <f>IFERROR(__xludf.DUMMYFUNCTION("""COMPUTED_VALUE"""),45582.59670804398)</f>
        <v>45582.59671</v>
      </c>
      <c r="E192" s="13" t="str">
        <f>IFERROR(__xludf.DUMMYFUNCTION("""COMPUTED_VALUE"""),"BN Jual Beli")</f>
        <v>BN Jual Beli</v>
      </c>
      <c r="F192" s="13" t="str">
        <f>IFERROR(__xludf.DUMMYFUNCTION("""COMPUTED_VALUE"""),"endang aprilia/okta kaisar saputra")</f>
        <v>endang aprilia/okta kaisar saputra</v>
      </c>
      <c r="G192" s="13">
        <f t="shared" si="1"/>
        <v>178</v>
      </c>
      <c r="H192" s="13" t="str">
        <f>IFERROR(__xludf.DUMMYFUNCTION("""COMPUTED_VALUE"""),"P0")</f>
        <v>P0</v>
      </c>
    </row>
    <row r="193" ht="22.5" customHeight="1">
      <c r="B193" s="19" t="str">
        <f>IFERROR(__xludf.DUMMYFUNCTION("""COMPUTED_VALUE"""),"K/43/171024/1")</f>
        <v>K/43/171024/1</v>
      </c>
      <c r="C193" s="19" t="str">
        <f>IFERROR(__xludf.DUMMYFUNCTION("""COMPUTED_VALUE"""),"M. 600/ Rajabasa Nunyai")</f>
        <v>M. 600/ Rajabasa Nunyai</v>
      </c>
      <c r="D193" s="17">
        <f>IFERROR(__xludf.DUMMYFUNCTION("""COMPUTED_VALUE"""),45582.60169236111)</f>
        <v>45582.60169</v>
      </c>
      <c r="E193" s="13" t="str">
        <f>IFERROR(__xludf.DUMMYFUNCTION("""COMPUTED_VALUE"""),"Pengecekan")</f>
        <v>Pengecekan</v>
      </c>
      <c r="F193" s="13" t="str">
        <f>IFERROR(__xludf.DUMMYFUNCTION("""COMPUTED_VALUE"""),"Sujono P/ Halilintar Duta M")</f>
        <v>Sujono P/ Halilintar Duta M</v>
      </c>
      <c r="G193" s="13">
        <f t="shared" si="1"/>
        <v>179</v>
      </c>
      <c r="H193" s="13" t="str">
        <f>IFERROR(__xludf.DUMMYFUNCTION("""COMPUTED_VALUE"""),"P0")</f>
        <v>P0</v>
      </c>
    </row>
    <row r="194" ht="22.5" customHeight="1">
      <c r="B194" s="19" t="str">
        <f>IFERROR(__xludf.DUMMYFUNCTION("""COMPUTED_VALUE"""),"L/44/171024/1")</f>
        <v>L/44/171024/1</v>
      </c>
      <c r="C194" s="19" t="str">
        <f>IFERROR(__xludf.DUMMYFUNCTION("""COMPUTED_VALUE"""),"HM 16138/SUKARAME I")</f>
        <v>HM 16138/SUKARAME I</v>
      </c>
      <c r="D194" s="17">
        <f>IFERROR(__xludf.DUMMYFUNCTION("""COMPUTED_VALUE"""),45582.60236096065)</f>
        <v>45582.60236</v>
      </c>
      <c r="E194" s="13" t="str">
        <f>IFERROR(__xludf.DUMMYFUNCTION("""COMPUTED_VALUE"""),"ROYA")</f>
        <v>ROYA</v>
      </c>
      <c r="F194" s="13" t="str">
        <f>IFERROR(__xludf.DUMMYFUNCTION("""COMPUTED_VALUE"""),"MAYLINA")</f>
        <v>MAYLINA</v>
      </c>
      <c r="G194" s="13">
        <f t="shared" si="1"/>
        <v>180</v>
      </c>
      <c r="H194" s="13" t="str">
        <f>IFERROR(__xludf.DUMMYFUNCTION("""COMPUTED_VALUE"""),"P0")</f>
        <v>P0</v>
      </c>
    </row>
    <row r="195" ht="22.5" customHeight="1">
      <c r="B195" s="19" t="str">
        <f>IFERROR(__xludf.DUMMYFUNCTION("""COMPUTED_VALUE"""),"K/45/171024/1")</f>
        <v>K/45/171024/1</v>
      </c>
      <c r="C195" s="19" t="str">
        <f>IFERROR(__xludf.DUMMYFUNCTION("""COMPUTED_VALUE"""),"B. 903/ Kemiling Permai")</f>
        <v>B. 903/ Kemiling Permai</v>
      </c>
      <c r="D195" s="17">
        <f>IFERROR(__xludf.DUMMYFUNCTION("""COMPUTED_VALUE"""),45582.616140625)</f>
        <v>45582.61614</v>
      </c>
      <c r="E195" s="13" t="str">
        <f>IFERROR(__xludf.DUMMYFUNCTION("""COMPUTED_VALUE"""),"pengecekkan")</f>
        <v>pengecekkan</v>
      </c>
      <c r="F195" s="13" t="str">
        <f>IFERROR(__xludf.DUMMYFUNCTION("""COMPUTED_VALUE"""),"maya ayuningtias/ johanes")</f>
        <v>maya ayuningtias/ johanes</v>
      </c>
      <c r="G195" s="13">
        <f t="shared" si="1"/>
        <v>181</v>
      </c>
      <c r="H195" s="13" t="str">
        <f>IFERROR(__xludf.DUMMYFUNCTION("""COMPUTED_VALUE"""),"P0")</f>
        <v>P0</v>
      </c>
    </row>
    <row r="196" ht="22.5" customHeight="1">
      <c r="B196" s="19" t="str">
        <f>IFERROR(__xludf.DUMMYFUNCTION("""COMPUTED_VALUE"""),"K/46/171024/1")</f>
        <v>K/46/171024/1</v>
      </c>
      <c r="C196" s="19" t="str">
        <f>IFERROR(__xludf.DUMMYFUNCTION("""COMPUTED_VALUE"""),"M.9381/SURABAYA")</f>
        <v>M.9381/SURABAYA</v>
      </c>
      <c r="D196" s="17">
        <f>IFERROR(__xludf.DUMMYFUNCTION("""COMPUTED_VALUE"""),45582.61485027778)</f>
        <v>45582.61485</v>
      </c>
      <c r="E196" s="13" t="str">
        <f>IFERROR(__xludf.DUMMYFUNCTION("""COMPUTED_VALUE"""),"PERALIHAN JUAL BELI")</f>
        <v>PERALIHAN JUAL BELI</v>
      </c>
      <c r="F196" s="13" t="str">
        <f>IFERROR(__xludf.DUMMYFUNCTION("""COMPUTED_VALUE"""),"FAJRI ROBIANSYAH/REFLAN RASYID")</f>
        <v>FAJRI ROBIANSYAH/REFLAN RASYID</v>
      </c>
      <c r="G196" s="13">
        <f t="shared" si="1"/>
        <v>182</v>
      </c>
      <c r="H196" s="13" t="str">
        <f>IFERROR(__xludf.DUMMYFUNCTION("""COMPUTED_VALUE"""),"P0")</f>
        <v>P0</v>
      </c>
    </row>
    <row r="197" ht="22.5" customHeight="1">
      <c r="B197" s="19" t="str">
        <f>IFERROR(__xludf.DUMMYFUNCTION("""COMPUTED_VALUE"""),"K/47/171024/1")</f>
        <v>K/47/171024/1</v>
      </c>
      <c r="C197" s="19" t="str">
        <f>IFERROR(__xludf.DUMMYFUNCTION("""COMPUTED_VALUE"""),"M. 463/ Sukaraja")</f>
        <v>M. 463/ Sukaraja</v>
      </c>
      <c r="D197" s="17">
        <f>IFERROR(__xludf.DUMMYFUNCTION("""COMPUTED_VALUE"""),45582.61752167824)</f>
        <v>45582.61752</v>
      </c>
      <c r="E197" s="13" t="str">
        <f>IFERROR(__xludf.DUMMYFUNCTION("""COMPUTED_VALUE"""),"plotting")</f>
        <v>plotting</v>
      </c>
      <c r="F197" s="13" t="str">
        <f>IFERROR(__xludf.DUMMYFUNCTION("""COMPUTED_VALUE"""),"mahfud/rukmiati")</f>
        <v>mahfud/rukmiati</v>
      </c>
      <c r="G197" s="13">
        <f t="shared" si="1"/>
        <v>183</v>
      </c>
      <c r="H197" s="13" t="str">
        <f>IFERROR(__xludf.DUMMYFUNCTION("""COMPUTED_VALUE"""),"P0")</f>
        <v>P0</v>
      </c>
    </row>
    <row r="198" ht="22.5" customHeight="1">
      <c r="B198" s="19" t="str">
        <f>IFERROR(__xludf.DUMMYFUNCTION("""COMPUTED_VALUE"""),"K/48/171024/1")</f>
        <v>K/48/171024/1</v>
      </c>
      <c r="C198" s="19" t="str">
        <f>IFERROR(__xludf.DUMMYFUNCTION("""COMPUTED_VALUE"""),"M. 6466/ Way kandis")</f>
        <v>M. 6466/ Way kandis</v>
      </c>
      <c r="D198" s="17">
        <f>IFERROR(__xludf.DUMMYFUNCTION("""COMPUTED_VALUE"""),45582.61895701389)</f>
        <v>45582.61896</v>
      </c>
      <c r="E198" s="13" t="str">
        <f>IFERROR(__xludf.DUMMYFUNCTION("""COMPUTED_VALUE"""),"BN Jual Beli")</f>
        <v>BN Jual Beli</v>
      </c>
      <c r="F198" s="13" t="str">
        <f>IFERROR(__xludf.DUMMYFUNCTION("""COMPUTED_VALUE"""),"Fahrul Rozi/ Andika Hendri")</f>
        <v>Fahrul Rozi/ Andika Hendri</v>
      </c>
      <c r="G198" s="13">
        <f t="shared" si="1"/>
        <v>184</v>
      </c>
      <c r="H198" s="13" t="str">
        <f>IFERROR(__xludf.DUMMYFUNCTION("""COMPUTED_VALUE"""),"P0")</f>
        <v>P0</v>
      </c>
    </row>
    <row r="199" ht="22.5" customHeight="1">
      <c r="B199" s="19" t="str">
        <f>IFERROR(__xludf.DUMMYFUNCTION("""COMPUTED_VALUE"""),"K/49/171024/2")</f>
        <v>K/49/171024/2</v>
      </c>
      <c r="C199" s="19" t="str">
        <f>IFERROR(__xludf.DUMMYFUNCTION("""COMPUTED_VALUE"""),"M. 3265/ Gedong Air")</f>
        <v>M. 3265/ Gedong Air</v>
      </c>
      <c r="D199" s="17">
        <f>IFERROR(__xludf.DUMMYFUNCTION("""COMPUTED_VALUE"""),45582.61983060185)</f>
        <v>45582.61983</v>
      </c>
      <c r="E199" s="13" t="str">
        <f>IFERROR(__xludf.DUMMYFUNCTION("""COMPUTED_VALUE"""),"BN Jual Beli")</f>
        <v>BN Jual Beli</v>
      </c>
      <c r="F199" s="13" t="str">
        <f>IFERROR(__xludf.DUMMYFUNCTION("""COMPUTED_VALUE"""),"Fahrul Rozi/ Harlinda")</f>
        <v>Fahrul Rozi/ Harlinda</v>
      </c>
      <c r="G199" s="13">
        <f t="shared" si="1"/>
        <v>185</v>
      </c>
      <c r="H199" s="13" t="str">
        <f>IFERROR(__xludf.DUMMYFUNCTION("""COMPUTED_VALUE"""),"P0")</f>
        <v>P0</v>
      </c>
    </row>
    <row r="200" ht="22.5" customHeight="1">
      <c r="B200" s="19" t="str">
        <f>IFERROR(__xludf.DUMMYFUNCTION("""COMPUTED_VALUE"""),"K/50/171024/3")</f>
        <v>K/50/171024/3</v>
      </c>
      <c r="C200" s="19" t="str">
        <f>IFERROR(__xludf.DUMMYFUNCTION("""COMPUTED_VALUE"""),"M. 2502/ Kemiling Permai- B. 248/ Kemiling Permai-dahulu")</f>
        <v>M. 2502/ Kemiling Permai- B. 248/ Kemiling Permai-dahulu</v>
      </c>
      <c r="D200" s="17">
        <f>IFERROR(__xludf.DUMMYFUNCTION("""COMPUTED_VALUE"""),45582.62063601852)</f>
        <v>45582.62064</v>
      </c>
      <c r="E200" s="13" t="str">
        <f>IFERROR(__xludf.DUMMYFUNCTION("""COMPUTED_VALUE"""),"Roya")</f>
        <v>Roya</v>
      </c>
      <c r="F200" s="13" t="str">
        <f>IFERROR(__xludf.DUMMYFUNCTION("""COMPUTED_VALUE"""),"Fahrul Rozi/ I Putu Purwa")</f>
        <v>Fahrul Rozi/ I Putu Purwa</v>
      </c>
      <c r="G200" s="13">
        <f t="shared" si="1"/>
        <v>186</v>
      </c>
      <c r="H200" s="13" t="str">
        <f>IFERROR(__xludf.DUMMYFUNCTION("""COMPUTED_VALUE"""),"P0")</f>
        <v>P0</v>
      </c>
    </row>
    <row r="201" ht="22.5" customHeight="1">
      <c r="B201" s="19" t="str">
        <f>IFERROR(__xludf.DUMMYFUNCTION("""COMPUTED_VALUE"""),"K/51/171024/1")</f>
        <v>K/51/171024/1</v>
      </c>
      <c r="C201" s="19" t="str">
        <f>IFERROR(__xludf.DUMMYFUNCTION("""COMPUTED_VALUE"""),"M.178/PERWATA")</f>
        <v>M.178/PERWATA</v>
      </c>
      <c r="D201" s="17">
        <f>IFERROR(__xludf.DUMMYFUNCTION("""COMPUTED_VALUE"""),45582.62126435185)</f>
        <v>45582.62126</v>
      </c>
      <c r="E201" s="13" t="str">
        <f>IFERROR(__xludf.DUMMYFUNCTION("""COMPUTED_VALUE"""),"PEMECAHAN")</f>
        <v>PEMECAHAN</v>
      </c>
      <c r="F201" s="13" t="str">
        <f>IFERROR(__xludf.DUMMYFUNCTION("""COMPUTED_VALUE"""),"ABDUL SOMAD/JUANDA ")</f>
        <v>ABDUL SOMAD/JUANDA </v>
      </c>
      <c r="G201" s="13">
        <f t="shared" si="1"/>
        <v>187</v>
      </c>
      <c r="H201" s="13" t="str">
        <f>IFERROR(__xludf.DUMMYFUNCTION("""COMPUTED_VALUE"""),"P0")</f>
        <v>P0</v>
      </c>
    </row>
    <row r="202" ht="22.5" customHeight="1">
      <c r="B202" s="19" t="str">
        <f>IFERROR(__xludf.DUMMYFUNCTION("""COMPUTED_VALUE"""),"K/52/171024/1")</f>
        <v>K/52/171024/1</v>
      </c>
      <c r="C202" s="19" t="str">
        <f>IFERROR(__xludf.DUMMYFUNCTION("""COMPUTED_VALUE"""),"M.3877/TANJUNG SENENG")</f>
        <v>M.3877/TANJUNG SENENG</v>
      </c>
      <c r="D202" s="17">
        <f>IFERROR(__xludf.DUMMYFUNCTION("""COMPUTED_VALUE"""),45582.632845)</f>
        <v>45582.63285</v>
      </c>
      <c r="E202" s="13" t="str">
        <f>IFERROR(__xludf.DUMMYFUNCTION("""COMPUTED_VALUE"""),"PENGECEKAN ")</f>
        <v>PENGECEKAN </v>
      </c>
      <c r="F202" s="13" t="str">
        <f>IFERROR(__xludf.DUMMYFUNCTION("""COMPUTED_VALUE"""),"SUROTO/CHRISTINA ULINA ")</f>
        <v>SUROTO/CHRISTINA ULINA </v>
      </c>
      <c r="G202" s="13">
        <f t="shared" si="1"/>
        <v>188</v>
      </c>
      <c r="H202" s="13" t="str">
        <f>IFERROR(__xludf.DUMMYFUNCTION("""COMPUTED_VALUE"""),"P0")</f>
        <v>P0</v>
      </c>
    </row>
    <row r="203" ht="22.5" customHeight="1">
      <c r="B203" s="19" t="str">
        <f>IFERROR(__xludf.DUMMYFUNCTION("""COMPUTED_VALUE"""),"K/53/171024/2")</f>
        <v>K/53/171024/2</v>
      </c>
      <c r="C203" s="19" t="str">
        <f>IFERROR(__xludf.DUMMYFUNCTION("""COMPUTED_VALUE"""),"M.1183/PERUMNAS WAY KANDIS ")</f>
        <v>M.1183/PERUMNAS WAY KANDIS </v>
      </c>
      <c r="D203" s="17">
        <f>IFERROR(__xludf.DUMMYFUNCTION("""COMPUTED_VALUE"""),45582.63373731481)</f>
        <v>45582.63374</v>
      </c>
      <c r="E203" s="13" t="str">
        <f>IFERROR(__xludf.DUMMYFUNCTION("""COMPUTED_VALUE"""),"PENGECEKAN")</f>
        <v>PENGECEKAN</v>
      </c>
      <c r="F203" s="13" t="str">
        <f>IFERROR(__xludf.DUMMYFUNCTION("""COMPUTED_VALUE"""),"RUDI YANTO/CHRISTINA ULINA")</f>
        <v>RUDI YANTO/CHRISTINA ULINA</v>
      </c>
      <c r="G203" s="13">
        <f t="shared" si="1"/>
        <v>189</v>
      </c>
      <c r="H203" s="13" t="str">
        <f>IFERROR(__xludf.DUMMYFUNCTION("""COMPUTED_VALUE"""),"P0")</f>
        <v>P0</v>
      </c>
    </row>
    <row r="204" ht="22.5" customHeight="1">
      <c r="B204" s="19" t="str">
        <f>IFERROR(__xludf.DUMMYFUNCTION("""COMPUTED_VALUE"""),"K/54/171024/3")</f>
        <v>K/54/171024/3</v>
      </c>
      <c r="C204" s="19" t="str">
        <f>IFERROR(__xludf.DUMMYFUNCTION("""COMPUTED_VALUE"""),"M.1473/KUPANG TEBA ")</f>
        <v>M.1473/KUPANG TEBA </v>
      </c>
      <c r="D204" s="17">
        <f>IFERROR(__xludf.DUMMYFUNCTION("""COMPUTED_VALUE"""),45582.634807916664)</f>
        <v>45582.63481</v>
      </c>
      <c r="E204" s="13" t="str">
        <f>IFERROR(__xludf.DUMMYFUNCTION("""COMPUTED_VALUE"""),"PLOTING")</f>
        <v>PLOTING</v>
      </c>
      <c r="F204" s="13" t="str">
        <f>IFERROR(__xludf.DUMMYFUNCTION("""COMPUTED_VALUE"""),"NGATIMAH/CHRISTINA ULINA ")</f>
        <v>NGATIMAH/CHRISTINA ULINA </v>
      </c>
      <c r="G204" s="13">
        <f t="shared" si="1"/>
        <v>190</v>
      </c>
      <c r="H204" s="13" t="str">
        <f>IFERROR(__xludf.DUMMYFUNCTION("""COMPUTED_VALUE"""),"P0")</f>
        <v>P0</v>
      </c>
    </row>
    <row r="205" ht="22.5" customHeight="1">
      <c r="B205" s="19" t="str">
        <f>IFERROR(__xludf.DUMMYFUNCTION("""COMPUTED_VALUE"""),"K/56/171024/1")</f>
        <v>K/56/171024/1</v>
      </c>
      <c r="C205" s="19" t="str">
        <f>IFERROR(__xludf.DUMMYFUNCTION("""COMPUTED_VALUE"""),"M. 377/ ENGGAL")</f>
        <v>M. 377/ ENGGAL</v>
      </c>
      <c r="D205" s="17">
        <f>IFERROR(__xludf.DUMMYFUNCTION("""COMPUTED_VALUE"""),45582.65453685186)</f>
        <v>45582.65454</v>
      </c>
      <c r="E205" s="13" t="str">
        <f>IFERROR(__xludf.DUMMYFUNCTION("""COMPUTED_VALUE"""),"ROYA")</f>
        <v>ROYA</v>
      </c>
      <c r="F205" s="13" t="str">
        <f>IFERROR(__xludf.DUMMYFUNCTION("""COMPUTED_VALUE"""),"RIKA WISANGRATRI/ JULIUS BUTAR BUTAR")</f>
        <v>RIKA WISANGRATRI/ JULIUS BUTAR BUTAR</v>
      </c>
      <c r="G205" s="13">
        <f t="shared" si="1"/>
        <v>191</v>
      </c>
      <c r="H205" s="13" t="str">
        <f>IFERROR(__xludf.DUMMYFUNCTION("""COMPUTED_VALUE"""),"P0")</f>
        <v>P0</v>
      </c>
    </row>
    <row r="206" ht="22.5" customHeight="1">
      <c r="B206" s="19" t="str">
        <f>IFERROR(__xludf.DUMMYFUNCTION("""COMPUTED_VALUE"""),"L/57/181024/1")</f>
        <v>L/57/181024/1</v>
      </c>
      <c r="C206" s="19" t="str">
        <f>IFERROR(__xludf.DUMMYFUNCTION("""COMPUTED_VALUE"""),"M.13833/RAJABASA")</f>
        <v>M.13833/RAJABASA</v>
      </c>
      <c r="D206" s="17">
        <f>IFERROR(__xludf.DUMMYFUNCTION("""COMPUTED_VALUE"""),45583.39713790509)</f>
        <v>45583.39714</v>
      </c>
      <c r="E206" s="13" t="str">
        <f>IFERROR(__xludf.DUMMYFUNCTION("""COMPUTED_VALUE"""),"ROYA")</f>
        <v>ROYA</v>
      </c>
      <c r="F206" s="13" t="str">
        <f>IFERROR(__xludf.DUMMYFUNCTION("""COMPUTED_VALUE"""),"MUJAMIL")</f>
        <v>MUJAMIL</v>
      </c>
      <c r="G206" s="13">
        <f t="shared" si="1"/>
        <v>192</v>
      </c>
      <c r="H206" s="13" t="str">
        <f>IFERROR(__xludf.DUMMYFUNCTION("""COMPUTED_VALUE"""),"P0")</f>
        <v>P0</v>
      </c>
    </row>
    <row r="207" ht="22.5" customHeight="1">
      <c r="B207" s="19" t="str">
        <f>IFERROR(__xludf.DUMMYFUNCTION("""COMPUTED_VALUE"""),"K/1/181024/1")</f>
        <v>K/1/181024/1</v>
      </c>
      <c r="C207" s="19" t="str">
        <f>IFERROR(__xludf.DUMMYFUNCTION("""COMPUTED_VALUE"""),"NIBEL 1145/ SUKAMAJU")</f>
        <v>NIBEL 1145/ SUKAMAJU</v>
      </c>
      <c r="D207" s="17">
        <f>IFERROR(__xludf.DUMMYFUNCTION("""COMPUTED_VALUE"""),45583.410131122684)</f>
        <v>45583.41013</v>
      </c>
      <c r="E207" s="13" t="str">
        <f>IFERROR(__xludf.DUMMYFUNCTION("""COMPUTED_VALUE"""),"BN PHB")</f>
        <v>BN PHB</v>
      </c>
      <c r="F207" s="13" t="str">
        <f>IFERROR(__xludf.DUMMYFUNCTION("""COMPUTED_VALUE"""),"ISMARINA/ NASRULLAH")</f>
        <v>ISMARINA/ NASRULLAH</v>
      </c>
      <c r="G207" s="13">
        <f t="shared" si="1"/>
        <v>193</v>
      </c>
      <c r="H207" s="13" t="str">
        <f>IFERROR(__xludf.DUMMYFUNCTION("""COMPUTED_VALUE"""),"P0")</f>
        <v>P0</v>
      </c>
    </row>
    <row r="208" ht="22.5" customHeight="1">
      <c r="B208" s="19" t="str">
        <f>IFERROR(__xludf.DUMMYFUNCTION("""COMPUTED_VALUE"""),"K/4/181024/1")</f>
        <v>K/4/181024/1</v>
      </c>
      <c r="C208" s="19" t="str">
        <f>IFERROR(__xludf.DUMMYFUNCTION("""COMPUTED_VALUE"""),"M. 1401/ K B K SHT 3354/2013 dan 590/2017")</f>
        <v>M. 1401/ K B K SHT 3354/2013 dan 590/2017</v>
      </c>
      <c r="D208" s="17">
        <f>IFERROR(__xludf.DUMMYFUNCTION("""COMPUTED_VALUE"""),45583.41040465278)</f>
        <v>45583.4104</v>
      </c>
      <c r="E208" s="13" t="str">
        <f>IFERROR(__xludf.DUMMYFUNCTION("""COMPUTED_VALUE"""),"Roya")</f>
        <v>Roya</v>
      </c>
      <c r="F208" s="13" t="str">
        <f>IFERROR(__xludf.DUMMYFUNCTION("""COMPUTED_VALUE"""),"Vitta N/ Yanni")</f>
        <v>Vitta N/ Yanni</v>
      </c>
      <c r="G208" s="13">
        <f t="shared" si="1"/>
        <v>194</v>
      </c>
      <c r="H208" s="13" t="str">
        <f>IFERROR(__xludf.DUMMYFUNCTION("""COMPUTED_VALUE"""),"P0")</f>
        <v>P0</v>
      </c>
    </row>
    <row r="209" ht="22.5" customHeight="1">
      <c r="B209" s="19" t="str">
        <f>IFERROR(__xludf.DUMMYFUNCTION("""COMPUTED_VALUE"""),"K/2/181024/2")</f>
        <v>K/2/181024/2</v>
      </c>
      <c r="C209" s="19" t="str">
        <f>IFERROR(__xludf.DUMMYFUNCTION("""COMPUTED_VALUE"""),"M. 596/ Gunung Terang")</f>
        <v>M. 596/ Gunung Terang</v>
      </c>
      <c r="D209" s="17">
        <f>IFERROR(__xludf.DUMMYFUNCTION("""COMPUTED_VALUE"""),45583.41585362269)</f>
        <v>45583.41585</v>
      </c>
      <c r="E209" s="13" t="str">
        <f>IFERROR(__xludf.DUMMYFUNCTION("""COMPUTED_VALUE"""),"BN JUAL BELI")</f>
        <v>BN JUAL BELI</v>
      </c>
      <c r="F209" s="13" t="str">
        <f>IFERROR(__xludf.DUMMYFUNCTION("""COMPUTED_VALUE"""),"ISMARINA")</f>
        <v>ISMARINA</v>
      </c>
      <c r="G209" s="13">
        <f t="shared" si="1"/>
        <v>195</v>
      </c>
      <c r="H209" s="13" t="str">
        <f>IFERROR(__xludf.DUMMYFUNCTION("""COMPUTED_VALUE"""),"P0")</f>
        <v>P0</v>
      </c>
    </row>
    <row r="210" ht="22.5" customHeight="1">
      <c r="B210" s="19" t="str">
        <f>IFERROR(__xludf.DUMMYFUNCTION("""COMPUTED_VALUE"""),"K/3/181024/3")</f>
        <v>K/3/181024/3</v>
      </c>
      <c r="C210" s="19" t="str">
        <f>IFERROR(__xludf.DUMMYFUNCTION("""COMPUTED_VALUE"""),"B. 538/ SUKARAME BARU")</f>
        <v>B. 538/ SUKARAME BARU</v>
      </c>
      <c r="D210" s="17">
        <f>IFERROR(__xludf.DUMMYFUNCTION("""COMPUTED_VALUE"""),45583.42008490741)</f>
        <v>45583.42008</v>
      </c>
      <c r="E210" s="13" t="str">
        <f>IFERROR(__xludf.DUMMYFUNCTION("""COMPUTED_VALUE"""),"BN JUAL BELI")</f>
        <v>BN JUAL BELI</v>
      </c>
      <c r="F210" s="13" t="str">
        <f>IFERROR(__xludf.DUMMYFUNCTION("""COMPUTED_VALUE"""),"ISMARINA/M VENDY")</f>
        <v>ISMARINA/M VENDY</v>
      </c>
      <c r="G210" s="13">
        <f t="shared" si="1"/>
        <v>196</v>
      </c>
      <c r="H210" s="13" t="str">
        <f>IFERROR(__xludf.DUMMYFUNCTION("""COMPUTED_VALUE"""),"P0")</f>
        <v>P0</v>
      </c>
    </row>
    <row r="211" ht="22.5" customHeight="1">
      <c r="B211" s="19" t="str">
        <f>IFERROR(__xludf.DUMMYFUNCTION("""COMPUTED_VALUE"""),"K/5/181024/1")</f>
        <v>K/5/181024/1</v>
      </c>
      <c r="C211" s="19" t="str">
        <f>IFERROR(__xludf.DUMMYFUNCTION("""COMPUTED_VALUE"""),"B. 164/ Rawa Laut")</f>
        <v>B. 164/ Rawa Laut</v>
      </c>
      <c r="D211" s="17">
        <f>IFERROR(__xludf.DUMMYFUNCTION("""COMPUTED_VALUE"""),45583.429904641205)</f>
        <v>45583.4299</v>
      </c>
      <c r="E211" s="13" t="str">
        <f>IFERROR(__xludf.DUMMYFUNCTION("""COMPUTED_VALUE"""),"BN Jual Beli")</f>
        <v>BN Jual Beli</v>
      </c>
      <c r="F211" s="13" t="str">
        <f>IFERROR(__xludf.DUMMYFUNCTION("""COMPUTED_VALUE"""),"Yulian Suhandi/ Leni Ervina")</f>
        <v>Yulian Suhandi/ Leni Ervina</v>
      </c>
      <c r="G211" s="13">
        <f t="shared" si="1"/>
        <v>197</v>
      </c>
      <c r="H211" s="13" t="str">
        <f>IFERROR(__xludf.DUMMYFUNCTION("""COMPUTED_VALUE"""),"P0")</f>
        <v>P0</v>
      </c>
    </row>
    <row r="212" ht="22.5" customHeight="1">
      <c r="B212" s="19" t="str">
        <f>IFERROR(__xludf.DUMMYFUNCTION("""COMPUTED_VALUE"""),"K/8/181024/1")</f>
        <v>K/8/181024/1</v>
      </c>
      <c r="C212" s="19" t="str">
        <f>IFERROR(__xludf.DUMMYFUNCTION("""COMPUTED_VALUE"""),"M. 227/ Sukarame Baru- sekarang; M. 13036/ Sukarame I- dahulu")</f>
        <v>M. 227/ Sukarame Baru- sekarang; M. 13036/ Sukarame I- dahulu</v>
      </c>
      <c r="D212" s="17">
        <f>IFERROR(__xludf.DUMMYFUNCTION("""COMPUTED_VALUE"""),45583.4365762963)</f>
        <v>45583.43658</v>
      </c>
      <c r="E212" s="13" t="str">
        <f>IFERROR(__xludf.DUMMYFUNCTION("""COMPUTED_VALUE"""),"BN JUAL BELI")</f>
        <v>BN JUAL BELI</v>
      </c>
      <c r="F212" s="13" t="str">
        <f>IFERROR(__xludf.DUMMYFUNCTION("""COMPUTED_VALUE"""),"RAHMADIYANTI/RAIHAN AZHAR")</f>
        <v>RAHMADIYANTI/RAIHAN AZHAR</v>
      </c>
      <c r="G212" s="13">
        <f t="shared" si="1"/>
        <v>198</v>
      </c>
      <c r="H212" s="13" t="str">
        <f>IFERROR(__xludf.DUMMYFUNCTION("""COMPUTED_VALUE"""),"P0")</f>
        <v>P0</v>
      </c>
    </row>
    <row r="213" ht="22.5" customHeight="1">
      <c r="B213" s="19" t="str">
        <f>IFERROR(__xludf.DUMMYFUNCTION("""COMPUTED_VALUE"""),"K/6/181024/1")</f>
        <v>K/6/181024/1</v>
      </c>
      <c r="C213" s="19" t="str">
        <f>IFERROR(__xludf.DUMMYFUNCTION("""COMPUTED_VALUE"""),"B. 653; 654/ Pesawahan dan SHT 1213/2008 dan SHT 3013/2006")</f>
        <v>B. 653; 654/ Pesawahan dan SHT 1213/2008 dan SHT 3013/2006</v>
      </c>
      <c r="D213" s="17">
        <f>IFERROR(__xludf.DUMMYFUNCTION("""COMPUTED_VALUE"""),45583.4378553125)</f>
        <v>45583.43786</v>
      </c>
      <c r="E213" s="13" t="str">
        <f>IFERROR(__xludf.DUMMYFUNCTION("""COMPUTED_VALUE"""),"Roya")</f>
        <v>Roya</v>
      </c>
      <c r="F213" s="13" t="str">
        <f>IFERROR(__xludf.DUMMYFUNCTION("""COMPUTED_VALUE"""),"Afrizal/ Welly H")</f>
        <v>Afrizal/ Welly H</v>
      </c>
      <c r="G213" s="13">
        <f t="shared" si="1"/>
        <v>199</v>
      </c>
      <c r="H213" s="13" t="str">
        <f>IFERROR(__xludf.DUMMYFUNCTION("""COMPUTED_VALUE"""),"P0")</f>
        <v>P0</v>
      </c>
    </row>
    <row r="214" ht="22.5" customHeight="1">
      <c r="B214" s="19" t="str">
        <f>IFERROR(__xludf.DUMMYFUNCTION("""COMPUTED_VALUE"""),"K/9/181024/1")</f>
        <v>K/9/181024/1</v>
      </c>
      <c r="C214" s="19" t="str">
        <f>IFERROR(__xludf.DUMMYFUNCTION("""COMPUTED_VALUE"""),"M.5070/RAJABASA JAYA")</f>
        <v>M.5070/RAJABASA JAYA</v>
      </c>
      <c r="D214" s="17">
        <f>IFERROR(__xludf.DUMMYFUNCTION("""COMPUTED_VALUE"""),45583.43806460648)</f>
        <v>45583.43806</v>
      </c>
      <c r="E214" s="13" t="str">
        <f>IFERROR(__xludf.DUMMYFUNCTION("""COMPUTED_VALUE"""),"PERALIHAN JUAL BELI")</f>
        <v>PERALIHAN JUAL BELI</v>
      </c>
      <c r="F214" s="13" t="str">
        <f>IFERROR(__xludf.DUMMYFUNCTION("""COMPUTED_VALUE"""),"VERA ANDRIYANI PUTRI/A.ROSWANTAMA ")</f>
        <v>VERA ANDRIYANI PUTRI/A.ROSWANTAMA </v>
      </c>
      <c r="G214" s="13">
        <f t="shared" si="1"/>
        <v>200</v>
      </c>
      <c r="H214" s="13" t="str">
        <f>IFERROR(__xludf.DUMMYFUNCTION("""COMPUTED_VALUE"""),"P0")</f>
        <v>P0</v>
      </c>
    </row>
    <row r="215" ht="22.5" customHeight="1">
      <c r="B215" s="19" t="str">
        <f>IFERROR(__xludf.DUMMYFUNCTION("""COMPUTED_VALUE"""),"K/7/181024/2")</f>
        <v>K/7/181024/2</v>
      </c>
      <c r="C215" s="19" t="str">
        <f>IFERROR(__xludf.DUMMYFUNCTION("""COMPUTED_VALUE"""),"B. 696/ Peswahan dan SHT 3014/2006")</f>
        <v>B. 696/ Peswahan dan SHT 3014/2006</v>
      </c>
      <c r="D215" s="17">
        <f>IFERROR(__xludf.DUMMYFUNCTION("""COMPUTED_VALUE"""),45583.43899255787)</f>
        <v>45583.43899</v>
      </c>
      <c r="E215" s="13" t="str">
        <f>IFERROR(__xludf.DUMMYFUNCTION("""COMPUTED_VALUE"""),"Roya")</f>
        <v>Roya</v>
      </c>
      <c r="F215" s="13" t="str">
        <f>IFERROR(__xludf.DUMMYFUNCTION("""COMPUTED_VALUE"""),"Afrizal/ Andrew Rusli")</f>
        <v>Afrizal/ Andrew Rusli</v>
      </c>
      <c r="G215" s="13">
        <f t="shared" si="1"/>
        <v>201</v>
      </c>
      <c r="H215" s="13" t="str">
        <f>IFERROR(__xludf.DUMMYFUNCTION("""COMPUTED_VALUE"""),"P0")</f>
        <v>P0</v>
      </c>
    </row>
    <row r="216" ht="22.5" customHeight="1">
      <c r="B216" s="19" t="str">
        <f>IFERROR(__xludf.DUMMYFUNCTION("""COMPUTED_VALUE"""),"L/10/181024/1")</f>
        <v>L/10/181024/1</v>
      </c>
      <c r="C216" s="19" t="str">
        <f>IFERROR(__xludf.DUMMYFUNCTION("""COMPUTED_VALUE"""),"HGB.4629/BERINGIN RAYA")</f>
        <v>HGB.4629/BERINGIN RAYA</v>
      </c>
      <c r="D216" s="17">
        <f>IFERROR(__xludf.DUMMYFUNCTION("""COMPUTED_VALUE"""),45583.44937987268)</f>
        <v>45583.44938</v>
      </c>
      <c r="E216" s="13" t="str">
        <f>IFERROR(__xludf.DUMMYFUNCTION("""COMPUTED_VALUE"""),"SERTIPIKAT HILANG")</f>
        <v>SERTIPIKAT HILANG</v>
      </c>
      <c r="F216" s="13" t="str">
        <f>IFERROR(__xludf.DUMMYFUNCTION("""COMPUTED_VALUE"""),"HAPPY JOY PW SIREGAR")</f>
        <v>HAPPY JOY PW SIREGAR</v>
      </c>
      <c r="G216" s="13">
        <f t="shared" si="1"/>
        <v>202</v>
      </c>
      <c r="H216" s="13" t="str">
        <f>IFERROR(__xludf.DUMMYFUNCTION("""COMPUTED_VALUE"""),"P0")</f>
        <v>P0</v>
      </c>
    </row>
    <row r="217" ht="22.5" customHeight="1">
      <c r="B217" s="19" t="str">
        <f>IFERROR(__xludf.DUMMYFUNCTION("""COMPUTED_VALUE"""),"K/11/181024/1")</f>
        <v>K/11/181024/1</v>
      </c>
      <c r="C217" s="19" t="str">
        <f>IFERROR(__xludf.DUMMYFUNCTION("""COMPUTED_VALUE"""),"M.1637/BUMI KEDAMAIAN-SEKARANG;M.13670/KEDAMAIAN-DAHULU")</f>
        <v>M.1637/BUMI KEDAMAIAN-SEKARANG;M.13670/KEDAMAIAN-DAHULU</v>
      </c>
      <c r="D217" s="17">
        <f>IFERROR(__xludf.DUMMYFUNCTION("""COMPUTED_VALUE"""),45583.45149019676)</f>
        <v>45583.45149</v>
      </c>
      <c r="E217" s="13" t="str">
        <f>IFERROR(__xludf.DUMMYFUNCTION("""COMPUTED_VALUE"""),"PEMECAHAN")</f>
        <v>PEMECAHAN</v>
      </c>
      <c r="F217" s="13" t="str">
        <f>IFERROR(__xludf.DUMMYFUNCTION("""COMPUTED_VALUE"""),"DRS.M NADJIB RIPHAT/DRA HJ MASDALIZA JN")</f>
        <v>DRS.M NADJIB RIPHAT/DRA HJ MASDALIZA JN</v>
      </c>
      <c r="G217" s="13">
        <f t="shared" si="1"/>
        <v>203</v>
      </c>
      <c r="H217" s="13" t="str">
        <f>IFERROR(__xludf.DUMMYFUNCTION("""COMPUTED_VALUE"""),"P0")</f>
        <v>P0</v>
      </c>
    </row>
    <row r="218" ht="22.5" customHeight="1">
      <c r="B218" s="19" t="str">
        <f>IFERROR(__xludf.DUMMYFUNCTION("""COMPUTED_VALUE"""),"K/12/181024/1")</f>
        <v>K/12/181024/1</v>
      </c>
      <c r="C218" s="19" t="str">
        <f>IFERROR(__xludf.DUMMYFUNCTION("""COMPUTED_VALUE"""),"M. 13899/ Rajabasa")</f>
        <v>M. 13899/ Rajabasa</v>
      </c>
      <c r="D218" s="17">
        <f>IFERROR(__xludf.DUMMYFUNCTION("""COMPUTED_VALUE"""),45583.45676685185)</f>
        <v>45583.45677</v>
      </c>
      <c r="E218" s="13" t="str">
        <f>IFERROR(__xludf.DUMMYFUNCTION("""COMPUTED_VALUE"""),"BN Jual Beli")</f>
        <v>BN Jual Beli</v>
      </c>
      <c r="F218" s="13" t="str">
        <f>IFERROR(__xludf.DUMMYFUNCTION("""COMPUTED_VALUE"""),"Ilanur/ Basariyah")</f>
        <v>Ilanur/ Basariyah</v>
      </c>
      <c r="G218" s="13">
        <f t="shared" si="1"/>
        <v>204</v>
      </c>
      <c r="H218" s="13" t="str">
        <f>IFERROR(__xludf.DUMMYFUNCTION("""COMPUTED_VALUE"""),"P0")</f>
        <v>P0</v>
      </c>
    </row>
    <row r="219" ht="22.5" customHeight="1">
      <c r="B219" s="19" t="str">
        <f>IFERROR(__xludf.DUMMYFUNCTION("""COMPUTED_VALUE"""),"L/13/181024/1")</f>
        <v>L/13/181024/1</v>
      </c>
      <c r="C219" s="19" t="str">
        <f>IFERROR(__xludf.DUMMYFUNCTION("""COMPUTED_VALUE"""),"HGB.1333/JG II")</f>
        <v>HGB.1333/JG II</v>
      </c>
      <c r="D219" s="17">
        <f>IFERROR(__xludf.DUMMYFUNCTION("""COMPUTED_VALUE"""),45583.457875127315)</f>
        <v>45583.45788</v>
      </c>
      <c r="E219" s="13" t="str">
        <f>IFERROR(__xludf.DUMMYFUNCTION("""COMPUTED_VALUE"""),"GANDES")</f>
        <v>GANDES</v>
      </c>
      <c r="F219" s="13" t="str">
        <f>IFERROR(__xludf.DUMMYFUNCTION("""COMPUTED_VALUE"""),"LILY KURNIATI")</f>
        <v>LILY KURNIATI</v>
      </c>
      <c r="G219" s="13">
        <f t="shared" si="1"/>
        <v>205</v>
      </c>
      <c r="H219" s="13" t="str">
        <f>IFERROR(__xludf.DUMMYFUNCTION("""COMPUTED_VALUE"""),"P0")</f>
        <v>P0</v>
      </c>
    </row>
    <row r="220" ht="22.5" customHeight="1">
      <c r="B220" s="19" t="str">
        <f>IFERROR(__xludf.DUMMYFUNCTION("""COMPUTED_VALUE"""),"K/14/181024/1")</f>
        <v>K/14/181024/1</v>
      </c>
      <c r="C220" s="19" t="str">
        <f>IFERROR(__xludf.DUMMYFUNCTION("""COMPUTED_VALUE"""),"M. 13267/ Sukabumi")</f>
        <v>M. 13267/ Sukabumi</v>
      </c>
      <c r="D220" s="17">
        <f>IFERROR(__xludf.DUMMYFUNCTION("""COMPUTED_VALUE"""),45583.465276504634)</f>
        <v>45583.46528</v>
      </c>
      <c r="E220" s="13" t="str">
        <f>IFERROR(__xludf.DUMMYFUNCTION("""COMPUTED_VALUE"""),"BN Jual Beli")</f>
        <v>BN Jual Beli</v>
      </c>
      <c r="F220" s="13" t="str">
        <f>IFERROR(__xludf.DUMMYFUNCTION("""COMPUTED_VALUE"""),"Intan Avita S/ Heru Sugianto")</f>
        <v>Intan Avita S/ Heru Sugianto</v>
      </c>
      <c r="G220" s="13">
        <f t="shared" si="1"/>
        <v>206</v>
      </c>
      <c r="H220" s="13" t="str">
        <f>IFERROR(__xludf.DUMMYFUNCTION("""COMPUTED_VALUE"""),"P0")</f>
        <v>P0</v>
      </c>
    </row>
    <row r="221" ht="22.5" customHeight="1">
      <c r="B221" s="19" t="str">
        <f>IFERROR(__xludf.DUMMYFUNCTION("""COMPUTED_VALUE"""),"K/15/181024/1")</f>
        <v>K/15/181024/1</v>
      </c>
      <c r="C221" s="19" t="str">
        <f>IFERROR(__xludf.DUMMYFUNCTION("""COMPUTED_VALUE"""),"B.921/NEGERI OLOK GADING")</f>
        <v>B.921/NEGERI OLOK GADING</v>
      </c>
      <c r="D221" s="17">
        <f>IFERROR(__xludf.DUMMYFUNCTION("""COMPUTED_VALUE"""),45583.46533533565)</f>
        <v>45583.46534</v>
      </c>
      <c r="E221" s="13" t="str">
        <f>IFERROR(__xludf.DUMMYFUNCTION("""COMPUTED_VALUE"""),"SKPT PERPANJANGAN")</f>
        <v>SKPT PERPANJANGAN</v>
      </c>
      <c r="F221" s="13" t="str">
        <f>IFERROR(__xludf.DUMMYFUNCTION("""COMPUTED_VALUE"""),"GEREJA KRISTUS  TELUK BETUNG/NICO HIDAYAT")</f>
        <v>GEREJA KRISTUS  TELUK BETUNG/NICO HIDAYAT</v>
      </c>
      <c r="G221" s="13">
        <f t="shared" si="1"/>
        <v>207</v>
      </c>
      <c r="H221" s="13" t="str">
        <f>IFERROR(__xludf.DUMMYFUNCTION("""COMPUTED_VALUE"""),"P0")</f>
        <v>P0</v>
      </c>
    </row>
    <row r="222" ht="22.5" customHeight="1">
      <c r="B222" s="19" t="str">
        <f>IFERROR(__xludf.DUMMYFUNCTION("""COMPUTED_VALUE"""),"K/16/181024/1")</f>
        <v>K/16/181024/1</v>
      </c>
      <c r="C222" s="19" t="str">
        <f>IFERROR(__xludf.DUMMYFUNCTION("""COMPUTED_VALUE"""),"Nibel 2006/ sumur putri")</f>
        <v>Nibel 2006/ sumur putri</v>
      </c>
      <c r="D222" s="17">
        <f>IFERROR(__xludf.DUMMYFUNCTION("""COMPUTED_VALUE"""),45583.465745208334)</f>
        <v>45583.46575</v>
      </c>
      <c r="E222" s="13" t="str">
        <f>IFERROR(__xludf.DUMMYFUNCTION("""COMPUTED_VALUE"""),"perubahan hak")</f>
        <v>perubahan hak</v>
      </c>
      <c r="F222" s="13" t="str">
        <f>IFERROR(__xludf.DUMMYFUNCTION("""COMPUTED_VALUE"""),"nanik maryani/ darwin")</f>
        <v>nanik maryani/ darwin</v>
      </c>
      <c r="G222" s="13">
        <f t="shared" si="1"/>
        <v>208</v>
      </c>
      <c r="H222" s="13" t="str">
        <f>IFERROR(__xludf.DUMMYFUNCTION("""COMPUTED_VALUE"""),"P0")</f>
        <v>P0</v>
      </c>
    </row>
    <row r="223" ht="22.5" customHeight="1">
      <c r="B223" s="19" t="str">
        <f>IFERROR(__xludf.DUMMYFUNCTION("""COMPUTED_VALUE"""),"K/17/181024/2")</f>
        <v>K/17/181024/2</v>
      </c>
      <c r="C223" s="19" t="str">
        <f>IFERROR(__xludf.DUMMYFUNCTION("""COMPUTED_VALUE"""),"M. 443/ Sukarame")</f>
        <v>M. 443/ Sukarame</v>
      </c>
      <c r="D223" s="17">
        <f>IFERROR(__xludf.DUMMYFUNCTION("""COMPUTED_VALUE"""),45583.46774597222)</f>
        <v>45583.46775</v>
      </c>
      <c r="E223" s="13" t="str">
        <f>IFERROR(__xludf.DUMMYFUNCTION("""COMPUTED_VALUE"""),"ganti kelurahan")</f>
        <v>ganti kelurahan</v>
      </c>
      <c r="F223" s="13" t="str">
        <f>IFERROR(__xludf.DUMMYFUNCTION("""COMPUTED_VALUE"""),"nanik maryani/ nuryani")</f>
        <v>nanik maryani/ nuryani</v>
      </c>
      <c r="G223" s="13">
        <f t="shared" si="1"/>
        <v>209</v>
      </c>
      <c r="H223" s="13" t="str">
        <f>IFERROR(__xludf.DUMMYFUNCTION("""COMPUTED_VALUE"""),"P0")</f>
        <v>P0</v>
      </c>
    </row>
    <row r="224" ht="22.5" customHeight="1">
      <c r="B224" s="19" t="str">
        <f>IFERROR(__xludf.DUMMYFUNCTION("""COMPUTED_VALUE"""),"K/18/181024/1")</f>
        <v>K/18/181024/1</v>
      </c>
      <c r="C224" s="19" t="str">
        <f>IFERROR(__xludf.DUMMYFUNCTION("""COMPUTED_VALUE"""),"M.4511/WAY KANDIS ")</f>
        <v>M.4511/WAY KANDIS </v>
      </c>
      <c r="D224" s="17">
        <f>IFERROR(__xludf.DUMMYFUNCTION("""COMPUTED_VALUE"""),45583.46943628472)</f>
        <v>45583.46944</v>
      </c>
      <c r="E224" s="13" t="str">
        <f>IFERROR(__xludf.DUMMYFUNCTION("""COMPUTED_VALUE"""),"PEMECAHAN")</f>
        <v>PEMECAHAN</v>
      </c>
      <c r="F224" s="13" t="str">
        <f>IFERROR(__xludf.DUMMYFUNCTION("""COMPUTED_VALUE"""),"PAINO/MULYADI RASYID")</f>
        <v>PAINO/MULYADI RASYID</v>
      </c>
      <c r="G224" s="13">
        <f t="shared" si="1"/>
        <v>210</v>
      </c>
      <c r="H224" s="13" t="str">
        <f>IFERROR(__xludf.DUMMYFUNCTION("""COMPUTED_VALUE"""),"P0")</f>
        <v>P0</v>
      </c>
    </row>
    <row r="225" ht="22.5" customHeight="1">
      <c r="B225" s="19" t="str">
        <f>IFERROR(__xludf.DUMMYFUNCTION("""COMPUTED_VALUE"""),"K/19/181024/2")</f>
        <v>K/19/181024/2</v>
      </c>
      <c r="C225" s="19" t="str">
        <f>IFERROR(__xludf.DUMMYFUNCTION("""COMPUTED_VALUE"""),"M.4510/WAY KANDIS")</f>
        <v>M.4510/WAY KANDIS</v>
      </c>
      <c r="D225" s="17">
        <f>IFERROR(__xludf.DUMMYFUNCTION("""COMPUTED_VALUE"""),45583.469993715276)</f>
        <v>45583.46999</v>
      </c>
      <c r="E225" s="13" t="str">
        <f>IFERROR(__xludf.DUMMYFUNCTION("""COMPUTED_VALUE"""),"PEMECAHAN")</f>
        <v>PEMECAHAN</v>
      </c>
      <c r="F225" s="13" t="str">
        <f>IFERROR(__xludf.DUMMYFUNCTION("""COMPUTED_VALUE"""),"PAINO/MULYADI RASYID")</f>
        <v>PAINO/MULYADI RASYID</v>
      </c>
      <c r="G225" s="13">
        <f t="shared" si="1"/>
        <v>211</v>
      </c>
      <c r="H225" s="13" t="str">
        <f>IFERROR(__xludf.DUMMYFUNCTION("""COMPUTED_VALUE"""),"P0")</f>
        <v>P0</v>
      </c>
    </row>
    <row r="226" ht="22.5" customHeight="1">
      <c r="B226" s="19" t="str">
        <f>IFERROR(__xludf.DUMMYFUNCTION("""COMPUTED_VALUE"""),"K/20/181024/1")</f>
        <v>K/20/181024/1</v>
      </c>
      <c r="C226" s="19" t="str">
        <f>IFERROR(__xludf.DUMMYFUNCTION("""COMPUTED_VALUE"""),"M. 501/ Campang Jaya")</f>
        <v>M. 501/ Campang Jaya</v>
      </c>
      <c r="D226" s="17">
        <f>IFERROR(__xludf.DUMMYFUNCTION("""COMPUTED_VALUE"""),45583.47171454861)</f>
        <v>45583.47171</v>
      </c>
      <c r="E226" s="13" t="str">
        <f>IFERROR(__xludf.DUMMYFUNCTION("""COMPUTED_VALUE"""),"Hapus BPHTB")</f>
        <v>Hapus BPHTB</v>
      </c>
      <c r="F226" s="13" t="str">
        <f>IFERROR(__xludf.DUMMYFUNCTION("""COMPUTED_VALUE"""),"Irawati Kurniawan/ Yani Aria")</f>
        <v>Irawati Kurniawan/ Yani Aria</v>
      </c>
      <c r="G226" s="13">
        <f t="shared" si="1"/>
        <v>212</v>
      </c>
      <c r="H226" s="13" t="str">
        <f>IFERROR(__xludf.DUMMYFUNCTION("""COMPUTED_VALUE"""),"P0")</f>
        <v>P0</v>
      </c>
    </row>
    <row r="227" ht="22.5" customHeight="1">
      <c r="B227" s="19" t="str">
        <f>IFERROR(__xludf.DUMMYFUNCTION("""COMPUTED_VALUE"""),"K/21/181024/1")</f>
        <v>K/21/181024/1</v>
      </c>
      <c r="C227" s="19" t="str">
        <f>IFERROR(__xludf.DUMMYFUNCTION("""COMPUTED_VALUE"""),"B. 616/ Campang Raya")</f>
        <v>B. 616/ Campang Raya</v>
      </c>
      <c r="D227" s="17">
        <f>IFERROR(__xludf.DUMMYFUNCTION("""COMPUTED_VALUE"""),45583.48062410879)</f>
        <v>45583.48062</v>
      </c>
      <c r="E227" s="13" t="str">
        <f>IFERROR(__xludf.DUMMYFUNCTION("""COMPUTED_VALUE"""),"Gandes")</f>
        <v>Gandes</v>
      </c>
      <c r="F227" s="13" t="str">
        <f>IFERROR(__xludf.DUMMYFUNCTION("""COMPUTED_VALUE"""),"Rafico/ Vonita")</f>
        <v>Rafico/ Vonita</v>
      </c>
      <c r="G227" s="13">
        <f t="shared" si="1"/>
        <v>213</v>
      </c>
      <c r="H227" s="13" t="str">
        <f>IFERROR(__xludf.DUMMYFUNCTION("""COMPUTED_VALUE"""),"P0")</f>
        <v>P0</v>
      </c>
    </row>
    <row r="228" ht="22.5" customHeight="1">
      <c r="B228" s="19" t="str">
        <f>IFERROR(__xludf.DUMMYFUNCTION("""COMPUTED_VALUE"""),"K/22/181024/2")</f>
        <v>K/22/181024/2</v>
      </c>
      <c r="C228" s="19" t="str">
        <f>IFERROR(__xludf.DUMMYFUNCTION("""COMPUTED_VALUE"""),"B. 641/ Campang Raya")</f>
        <v>B. 641/ Campang Raya</v>
      </c>
      <c r="D228" s="17">
        <f>IFERROR(__xludf.DUMMYFUNCTION("""COMPUTED_VALUE"""),45583.55113146991)</f>
        <v>45583.55113</v>
      </c>
      <c r="E228" s="13" t="str">
        <f>IFERROR(__xludf.DUMMYFUNCTION("""COMPUTED_VALUE"""),"Gandes")</f>
        <v>Gandes</v>
      </c>
      <c r="F228" s="13" t="str">
        <f>IFERROR(__xludf.DUMMYFUNCTION("""COMPUTED_VALUE"""),"Rafico/ Vonita")</f>
        <v>Rafico/ Vonita</v>
      </c>
      <c r="G228" s="13">
        <f t="shared" si="1"/>
        <v>214</v>
      </c>
      <c r="H228" s="13" t="str">
        <f>IFERROR(__xludf.DUMMYFUNCTION("""COMPUTED_VALUE"""),"P0")</f>
        <v>P0</v>
      </c>
    </row>
    <row r="229" ht="22.5" customHeight="1">
      <c r="B229" s="19" t="str">
        <f>IFERROR(__xludf.DUMMYFUNCTION("""COMPUTED_VALUE"""),"K/23/181024/1")</f>
        <v>K/23/181024/1</v>
      </c>
      <c r="C229" s="19" t="str">
        <f>IFERROR(__xludf.DUMMYFUNCTION("""COMPUTED_VALUE"""),"M. 224/ Kampung Baru Raya")</f>
        <v>M. 224/ Kampung Baru Raya</v>
      </c>
      <c r="D229" s="17">
        <f>IFERROR(__xludf.DUMMYFUNCTION("""COMPUTED_VALUE"""),45583.58127837963)</f>
        <v>45583.58128</v>
      </c>
      <c r="E229" s="13" t="str">
        <f>IFERROR(__xludf.DUMMYFUNCTION("""COMPUTED_VALUE"""),"BN Jual Beli")</f>
        <v>BN Jual Beli</v>
      </c>
      <c r="F229" s="13" t="str">
        <f>IFERROR(__xludf.DUMMYFUNCTION("""COMPUTED_VALUE"""),"Nurhayati/ Yolanda Regina")</f>
        <v>Nurhayati/ Yolanda Regina</v>
      </c>
      <c r="G229" s="13">
        <f t="shared" si="1"/>
        <v>215</v>
      </c>
      <c r="H229" s="13" t="str">
        <f>IFERROR(__xludf.DUMMYFUNCTION("""COMPUTED_VALUE"""),"P0")</f>
        <v>P0</v>
      </c>
    </row>
    <row r="230" ht="22.5" customHeight="1">
      <c r="B230" s="19" t="str">
        <f>IFERROR(__xludf.DUMMYFUNCTION("""COMPUTED_VALUE"""),"K/24/181024/1")</f>
        <v>K/24/181024/1</v>
      </c>
      <c r="C230" s="19" t="str">
        <f>IFERROR(__xludf.DUMMYFUNCTION("""COMPUTED_VALUE"""),"M. 1371/ Pengajaran")</f>
        <v>M. 1371/ Pengajaran</v>
      </c>
      <c r="D230" s="17">
        <f>IFERROR(__xludf.DUMMYFUNCTION("""COMPUTED_VALUE"""),45583.55506929399)</f>
        <v>45583.55507</v>
      </c>
      <c r="E230" s="13" t="str">
        <f>IFERROR(__xludf.DUMMYFUNCTION("""COMPUTED_VALUE"""),"BN Hibah")</f>
        <v>BN Hibah</v>
      </c>
      <c r="F230" s="13" t="str">
        <f>IFERROR(__xludf.DUMMYFUNCTION("""COMPUTED_VALUE"""),"novan saputra/ nirwan adi ")</f>
        <v>novan saputra/ nirwan adi </v>
      </c>
      <c r="G230" s="13">
        <f t="shared" si="1"/>
        <v>216</v>
      </c>
      <c r="H230" s="13" t="str">
        <f>IFERROR(__xludf.DUMMYFUNCTION("""COMPUTED_VALUE"""),"P0")</f>
        <v>P0</v>
      </c>
    </row>
    <row r="231" ht="22.5" customHeight="1">
      <c r="B231" s="19" t="str">
        <f>IFERROR(__xludf.DUMMYFUNCTION("""COMPUTED_VALUE"""),"K/25/181024/1")</f>
        <v>K/25/181024/1</v>
      </c>
      <c r="C231" s="19" t="str">
        <f>IFERROR(__xludf.DUMMYFUNCTION("""COMPUTED_VALUE"""),"M. 3996/ Rajabasa Jaya")</f>
        <v>M. 3996/ Rajabasa Jaya</v>
      </c>
      <c r="D231" s="17">
        <f>IFERROR(__xludf.DUMMYFUNCTION("""COMPUTED_VALUE"""),45583.58111298611)</f>
        <v>45583.58111</v>
      </c>
      <c r="E231" s="13" t="str">
        <f>IFERROR(__xludf.DUMMYFUNCTION("""COMPUTED_VALUE"""),"BN Jual Beli")</f>
        <v>BN Jual Beli</v>
      </c>
      <c r="F231" s="13" t="str">
        <f>IFERROR(__xludf.DUMMYFUNCTION("""COMPUTED_VALUE"""),"Angga Yustian/ Daryati")</f>
        <v>Angga Yustian/ Daryati</v>
      </c>
      <c r="G231" s="13">
        <f t="shared" si="1"/>
        <v>217</v>
      </c>
      <c r="H231" s="13" t="str">
        <f>IFERROR(__xludf.DUMMYFUNCTION("""COMPUTED_VALUE"""),"P0")</f>
        <v>P0</v>
      </c>
    </row>
    <row r="232" ht="22.5" customHeight="1">
      <c r="B232" s="19" t="str">
        <f>IFERROR(__xludf.DUMMYFUNCTION("""COMPUTED_VALUE"""),"K/26/181024/1")</f>
        <v>K/26/181024/1</v>
      </c>
      <c r="C232" s="19" t="str">
        <f>IFERROR(__xludf.DUMMYFUNCTION("""COMPUTED_VALUE"""),"M. 114/ Tanjung Karang")</f>
        <v>M. 114/ Tanjung Karang</v>
      </c>
      <c r="D232" s="17">
        <f>IFERROR(__xludf.DUMMYFUNCTION("""COMPUTED_VALUE"""),45583.58288606482)</f>
        <v>45583.58289</v>
      </c>
      <c r="E232" s="13" t="str">
        <f>IFERROR(__xludf.DUMMYFUNCTION("""COMPUTED_VALUE"""),"Gandes")</f>
        <v>Gandes</v>
      </c>
      <c r="F232" s="13" t="str">
        <f>IFERROR(__xludf.DUMMYFUNCTION("""COMPUTED_VALUE"""),"Desta Pandu W/ Samira K Cs")</f>
        <v>Desta Pandu W/ Samira K Cs</v>
      </c>
      <c r="G232" s="13">
        <f t="shared" si="1"/>
        <v>218</v>
      </c>
      <c r="H232" s="13" t="str">
        <f>IFERROR(__xludf.DUMMYFUNCTION("""COMPUTED_VALUE"""),"P0")</f>
        <v>P0</v>
      </c>
    </row>
    <row r="233" ht="22.5" customHeight="1">
      <c r="B233" s="19" t="str">
        <f>IFERROR(__xludf.DUMMYFUNCTION("""COMPUTED_VALUE"""),"K/27/181024/1")</f>
        <v>K/27/181024/1</v>
      </c>
      <c r="C233" s="19" t="str">
        <f>IFERROR(__xludf.DUMMYFUNCTION("""COMPUTED_VALUE"""),"M. 193/ Palapa")</f>
        <v>M. 193/ Palapa</v>
      </c>
      <c r="D233" s="17">
        <f>IFERROR(__xludf.DUMMYFUNCTION("""COMPUTED_VALUE"""),45583.586042442126)</f>
        <v>45583.58604</v>
      </c>
      <c r="E233" s="13" t="str">
        <f>IFERROR(__xludf.DUMMYFUNCTION("""COMPUTED_VALUE"""),"Pemecahan")</f>
        <v>Pemecahan</v>
      </c>
      <c r="F233" s="13" t="str">
        <f>IFERROR(__xludf.DUMMYFUNCTION("""COMPUTED_VALUE"""),"Rendy Renaldy/ Arif Basuki")</f>
        <v>Rendy Renaldy/ Arif Basuki</v>
      </c>
      <c r="G233" s="13">
        <f t="shared" si="1"/>
        <v>219</v>
      </c>
      <c r="H233" s="13" t="str">
        <f>IFERROR(__xludf.DUMMYFUNCTION("""COMPUTED_VALUE"""),"P0")</f>
        <v>P0</v>
      </c>
    </row>
    <row r="234" ht="22.5" customHeight="1">
      <c r="B234" s="19" t="str">
        <f>IFERROR(__xludf.DUMMYFUNCTION("""COMPUTED_VALUE"""),"K/28/181024/1")</f>
        <v>K/28/181024/1</v>
      </c>
      <c r="C234" s="19" t="str">
        <f>IFERROR(__xludf.DUMMYFUNCTION("""COMPUTED_VALUE"""),"M. 690/ Sumur Putri dan SHT 4003/ 2013")</f>
        <v>M. 690/ Sumur Putri dan SHT 4003/ 2013</v>
      </c>
      <c r="D234" s="17">
        <f>IFERROR(__xludf.DUMMYFUNCTION("""COMPUTED_VALUE"""),45583.59042688657)</f>
        <v>45583.59043</v>
      </c>
      <c r="E234" s="13" t="str">
        <f>IFERROR(__xludf.DUMMYFUNCTION("""COMPUTED_VALUE"""),"Roya")</f>
        <v>Roya</v>
      </c>
      <c r="F234" s="13" t="str">
        <f>IFERROR(__xludf.DUMMYFUNCTION("""COMPUTED_VALUE"""),"Novalia Eka P/ Dian Ratna W")</f>
        <v>Novalia Eka P/ Dian Ratna W</v>
      </c>
      <c r="G234" s="13">
        <f t="shared" si="1"/>
        <v>220</v>
      </c>
      <c r="H234" s="13" t="str">
        <f>IFERROR(__xludf.DUMMYFUNCTION("""COMPUTED_VALUE"""),"P0")</f>
        <v>P0</v>
      </c>
    </row>
    <row r="235" ht="22.5" customHeight="1">
      <c r="B235" s="19" t="str">
        <f>IFERROR(__xludf.DUMMYFUNCTION("""COMPUTED_VALUE"""),"K/29/181024/1")</f>
        <v>K/29/181024/1</v>
      </c>
      <c r="C235" s="19" t="str">
        <f>IFERROR(__xludf.DUMMYFUNCTION("""COMPUTED_VALUE"""),"B. 02/ Gunung Mas")</f>
        <v>B. 02/ Gunung Mas</v>
      </c>
      <c r="D235" s="17">
        <f>IFERROR(__xludf.DUMMYFUNCTION("""COMPUTED_VALUE"""),45583.597956875004)</f>
        <v>45583.59796</v>
      </c>
      <c r="E235" s="13" t="str">
        <f>IFERROR(__xludf.DUMMYFUNCTION("""COMPUTED_VALUE"""),"Pengukuran Hgb Berakhir")</f>
        <v>Pengukuran Hgb Berakhir</v>
      </c>
      <c r="F235" s="13" t="str">
        <f>IFERROR(__xludf.DUMMYFUNCTION("""COMPUTED_VALUE"""),"Kiki Astuti/ Suyanti")</f>
        <v>Kiki Astuti/ Suyanti</v>
      </c>
      <c r="G235" s="13">
        <f t="shared" si="1"/>
        <v>221</v>
      </c>
      <c r="H235" s="13" t="str">
        <f>IFERROR(__xludf.DUMMYFUNCTION("""COMPUTED_VALUE"""),"P0")</f>
        <v>P0</v>
      </c>
    </row>
    <row r="236" ht="22.5" customHeight="1">
      <c r="B236" s="19" t="str">
        <f>IFERROR(__xludf.DUMMYFUNCTION("""COMPUTED_VALUE"""),"K/30/181024/1")</f>
        <v>K/30/181024/1</v>
      </c>
      <c r="C236" s="19" t="str">
        <f>IFERROR(__xludf.DUMMYFUNCTION("""COMPUTED_VALUE"""),"M. 10206/ Segala Mider")</f>
        <v>M. 10206/ Segala Mider</v>
      </c>
      <c r="D236" s="17">
        <f>IFERROR(__xludf.DUMMYFUNCTION("""COMPUTED_VALUE"""),45583.59886336805)</f>
        <v>45583.59886</v>
      </c>
      <c r="E236" s="13" t="str">
        <f>IFERROR(__xludf.DUMMYFUNCTION("""COMPUTED_VALUE"""),"Plotting")</f>
        <v>Plotting</v>
      </c>
      <c r="F236" s="13" t="str">
        <f>IFERROR(__xludf.DUMMYFUNCTION("""COMPUTED_VALUE"""),"Budi K/ Indrawati")</f>
        <v>Budi K/ Indrawati</v>
      </c>
      <c r="G236" s="13">
        <f t="shared" si="1"/>
        <v>222</v>
      </c>
      <c r="H236" s="13" t="str">
        <f>IFERROR(__xludf.DUMMYFUNCTION("""COMPUTED_VALUE"""),"P0")</f>
        <v>P0</v>
      </c>
    </row>
    <row r="237" ht="22.5" customHeight="1">
      <c r="B237" s="19" t="str">
        <f>IFERROR(__xludf.DUMMYFUNCTION("""COMPUTED_VALUE"""),"K/31/181024/2")</f>
        <v>K/31/181024/2</v>
      </c>
      <c r="C237" s="19" t="str">
        <f>IFERROR(__xludf.DUMMYFUNCTION("""COMPUTED_VALUE"""),"M. 1134/ Sukamaju")</f>
        <v>M. 1134/ Sukamaju</v>
      </c>
      <c r="D237" s="17">
        <f>IFERROR(__xludf.DUMMYFUNCTION("""COMPUTED_VALUE"""),45583.60035670139)</f>
        <v>45583.60036</v>
      </c>
      <c r="E237" s="13" t="str">
        <f>IFERROR(__xludf.DUMMYFUNCTION("""COMPUTED_VALUE"""),"plotting")</f>
        <v>plotting</v>
      </c>
      <c r="F237" s="13" t="str">
        <f>IFERROR(__xludf.DUMMYFUNCTION("""COMPUTED_VALUE"""),"Budi K/ Dedi Rahman")</f>
        <v>Budi K/ Dedi Rahman</v>
      </c>
      <c r="G237" s="13">
        <f t="shared" si="1"/>
        <v>223</v>
      </c>
      <c r="H237" s="13" t="str">
        <f>IFERROR(__xludf.DUMMYFUNCTION("""COMPUTED_VALUE"""),"P0")</f>
        <v>P0</v>
      </c>
    </row>
    <row r="238" ht="22.5" customHeight="1">
      <c r="B238" s="19" t="str">
        <f>IFERROR(__xludf.DUMMYFUNCTION("""COMPUTED_VALUE"""),"K/32/181024/3")</f>
        <v>K/32/181024/3</v>
      </c>
      <c r="C238" s="19" t="str">
        <f>IFERROR(__xludf.DUMMYFUNCTION("""COMPUTED_VALUE"""),"M. 2500/ Sumberejo kemiling")</f>
        <v>M. 2500/ Sumberejo kemiling</v>
      </c>
      <c r="D238" s="17">
        <f>IFERROR(__xludf.DUMMYFUNCTION("""COMPUTED_VALUE"""),45583.6046418287)</f>
        <v>45583.60464</v>
      </c>
      <c r="E238" s="13" t="str">
        <f>IFERROR(__xludf.DUMMYFUNCTION("""COMPUTED_VALUE"""),"plotting")</f>
        <v>plotting</v>
      </c>
      <c r="F238" s="13" t="str">
        <f>IFERROR(__xludf.DUMMYFUNCTION("""COMPUTED_VALUE"""),"Budi K/ sugiyanto")</f>
        <v>Budi K/ sugiyanto</v>
      </c>
      <c r="G238" s="13">
        <f t="shared" si="1"/>
        <v>224</v>
      </c>
      <c r="H238" s="13" t="str">
        <f>IFERROR(__xludf.DUMMYFUNCTION("""COMPUTED_VALUE"""),"P0")</f>
        <v>P0</v>
      </c>
    </row>
    <row r="239" ht="22.5" customHeight="1">
      <c r="B239" s="19" t="str">
        <f>IFERROR(__xludf.DUMMYFUNCTION("""COMPUTED_VALUE"""),"K/33/181024/1")</f>
        <v>K/33/181024/1</v>
      </c>
      <c r="C239" s="19" t="str">
        <f>IFERROR(__xludf.DUMMYFUNCTION("""COMPUTED_VALUE"""),"M.3314/KOTA KARANG")</f>
        <v>M.3314/KOTA KARANG</v>
      </c>
      <c r="D239" s="17">
        <f>IFERROR(__xludf.DUMMYFUNCTION("""COMPUTED_VALUE"""),45583.603707291666)</f>
        <v>45583.60371</v>
      </c>
      <c r="E239" s="13" t="str">
        <f>IFERROR(__xludf.DUMMYFUNCTION("""COMPUTED_VALUE"""),"PERALIHAN JUAL BELI")</f>
        <v>PERALIHAN JUAL BELI</v>
      </c>
      <c r="F239" s="13" t="str">
        <f>IFERROR(__xludf.DUMMYFUNCTION("""COMPUTED_VALUE"""),"JULIANTO WIBOWO/ANNA PURNAMASARI")</f>
        <v>JULIANTO WIBOWO/ANNA PURNAMASARI</v>
      </c>
      <c r="G239" s="13">
        <f t="shared" si="1"/>
        <v>225</v>
      </c>
      <c r="H239" s="13" t="str">
        <f>IFERROR(__xludf.DUMMYFUNCTION("""COMPUTED_VALUE"""),"P0")</f>
        <v>P0</v>
      </c>
    </row>
    <row r="240" ht="22.5" customHeight="1">
      <c r="B240" s="19" t="str">
        <f>IFERROR(__xludf.DUMMYFUNCTION("""COMPUTED_VALUE"""),"K/34/181024/2")</f>
        <v>K/34/181024/2</v>
      </c>
      <c r="C240" s="19" t="str">
        <f>IFERROR(__xludf.DUMMYFUNCTION("""COMPUTED_VALUE"""),"M.1552/PESAWAHAN")</f>
        <v>M.1552/PESAWAHAN</v>
      </c>
      <c r="D240" s="17">
        <f>IFERROR(__xludf.DUMMYFUNCTION("""COMPUTED_VALUE"""),45583.605460011575)</f>
        <v>45583.60546</v>
      </c>
      <c r="E240" s="13" t="str">
        <f>IFERROR(__xludf.DUMMYFUNCTION("""COMPUTED_VALUE"""),"PERALIHAN JUAL BELI")</f>
        <v>PERALIHAN JUAL BELI</v>
      </c>
      <c r="F240" s="13" t="str">
        <f>IFERROR(__xludf.DUMMYFUNCTION("""COMPUTED_VALUE"""),"SUHESTI/ANNA PURNAMASARI")</f>
        <v>SUHESTI/ANNA PURNAMASARI</v>
      </c>
      <c r="G240" s="13">
        <f t="shared" si="1"/>
        <v>226</v>
      </c>
      <c r="H240" s="13" t="str">
        <f>IFERROR(__xludf.DUMMYFUNCTION("""COMPUTED_VALUE"""),"P0")</f>
        <v>P0</v>
      </c>
    </row>
    <row r="241" ht="22.5" customHeight="1">
      <c r="B241" s="19" t="str">
        <f>IFERROR(__xludf.DUMMYFUNCTION("""COMPUTED_VALUE"""),"K/35/181024/1")</f>
        <v>K/35/181024/1</v>
      </c>
      <c r="C241" s="19" t="str">
        <f>IFERROR(__xludf.DUMMYFUNCTION("""COMPUTED_VALUE"""),"B.936/JAGABAYA III-SEKARANG;B.1342/JAGABAYA II-DAHULU")</f>
        <v>B.936/JAGABAYA III-SEKARANG;B.1342/JAGABAYA II-DAHULU</v>
      </c>
      <c r="D241" s="17">
        <f>IFERROR(__xludf.DUMMYFUNCTION("""COMPUTED_VALUE"""),45583.60650234953)</f>
        <v>45583.6065</v>
      </c>
      <c r="E241" s="13" t="str">
        <f>IFERROR(__xludf.DUMMYFUNCTION("""COMPUTED_VALUE"""),"PENINGKATAN ")</f>
        <v>PENINGKATAN </v>
      </c>
      <c r="F241" s="13" t="str">
        <f>IFERROR(__xludf.DUMMYFUNCTION("""COMPUTED_VALUE"""),"JUSUFIN/MAYA AYUNINGTIAS")</f>
        <v>JUSUFIN/MAYA AYUNINGTIAS</v>
      </c>
      <c r="G241" s="13">
        <f t="shared" si="1"/>
        <v>227</v>
      </c>
      <c r="H241" s="13" t="str">
        <f>IFERROR(__xludf.DUMMYFUNCTION("""COMPUTED_VALUE"""),"P0")</f>
        <v>P0</v>
      </c>
    </row>
    <row r="242" ht="22.5" customHeight="1">
      <c r="B242" s="19" t="str">
        <f>IFERROR(__xludf.DUMMYFUNCTION("""COMPUTED_VALUE"""),"K/36/181024/1")</f>
        <v>K/36/181024/1</v>
      </c>
      <c r="C242" s="19" t="str">
        <f>IFERROR(__xludf.DUMMYFUNCTION("""COMPUTED_VALUE"""),"Nibel. M. 379/ Gunung Sulah")</f>
        <v>Nibel. M. 379/ Gunung Sulah</v>
      </c>
      <c r="D242" s="17">
        <f>IFERROR(__xludf.DUMMYFUNCTION("""COMPUTED_VALUE"""),45583.60826586805)</f>
        <v>45583.60827</v>
      </c>
      <c r="E242" s="13" t="str">
        <f>IFERROR(__xludf.DUMMYFUNCTION("""COMPUTED_VALUE"""),"BN Jual Beli")</f>
        <v>BN Jual Beli</v>
      </c>
      <c r="F242" s="13" t="str">
        <f>IFERROR(__xludf.DUMMYFUNCTION("""COMPUTED_VALUE"""),"Seruni W/ Nabila F S")</f>
        <v>Seruni W/ Nabila F S</v>
      </c>
      <c r="G242" s="13">
        <f t="shared" si="1"/>
        <v>228</v>
      </c>
      <c r="H242" s="13" t="str">
        <f>IFERROR(__xludf.DUMMYFUNCTION("""COMPUTED_VALUE"""),"P0")</f>
        <v>P0</v>
      </c>
    </row>
    <row r="243" ht="22.5" customHeight="1">
      <c r="B243" s="19" t="str">
        <f>IFERROR(__xludf.DUMMYFUNCTION("""COMPUTED_VALUE"""),"K/37/181024/3")</f>
        <v>K/37/181024/3</v>
      </c>
      <c r="C243" s="19" t="str">
        <f>IFERROR(__xludf.DUMMYFUNCTION("""COMPUTED_VALUE"""),"M.1593/BUMI KEDAMAIAN-SEKARANG;M.10186/KEDAMAIAN-DAHULU")</f>
        <v>M.1593/BUMI KEDAMAIAN-SEKARANG;M.10186/KEDAMAIAN-DAHULU</v>
      </c>
      <c r="D243" s="17">
        <f>IFERROR(__xludf.DUMMYFUNCTION("""COMPUTED_VALUE"""),45583.610580925924)</f>
        <v>45583.61058</v>
      </c>
      <c r="E243" s="13" t="str">
        <f>IFERROR(__xludf.DUMMYFUNCTION("""COMPUTED_VALUE"""),"PERALIHAN JUAL BELI")</f>
        <v>PERALIHAN JUAL BELI</v>
      </c>
      <c r="F243" s="13" t="str">
        <f>IFERROR(__xludf.DUMMYFUNCTION("""COMPUTED_VALUE"""),"I KETUT WARDANA/ANNA PURNAMASARI")</f>
        <v>I KETUT WARDANA/ANNA PURNAMASARI</v>
      </c>
      <c r="G243" s="13">
        <f t="shared" si="1"/>
        <v>229</v>
      </c>
      <c r="H243" s="13" t="str">
        <f>IFERROR(__xludf.DUMMYFUNCTION("""COMPUTED_VALUE"""),"P0")</f>
        <v>P0</v>
      </c>
    </row>
    <row r="244" ht="22.5" customHeight="1">
      <c r="B244" s="19" t="str">
        <f>IFERROR(__xludf.DUMMYFUNCTION("""COMPUTED_VALUE"""),"K/38/181024/1")</f>
        <v>K/38/181024/1</v>
      </c>
      <c r="C244" s="19" t="str">
        <f>IFERROR(__xludf.DUMMYFUNCTION("""COMPUTED_VALUE"""),"M. 370/ Korpri Raya-sekarang; M. 9602/ Sukarame I-dahulu")</f>
        <v>M. 370/ Korpri Raya-sekarang; M. 9602/ Sukarame I-dahulu</v>
      </c>
      <c r="D244" s="17">
        <f>IFERROR(__xludf.DUMMYFUNCTION("""COMPUTED_VALUE"""),45583.61317225694)</f>
        <v>45583.61317</v>
      </c>
      <c r="E244" s="13" t="str">
        <f>IFERROR(__xludf.DUMMYFUNCTION("""COMPUTED_VALUE"""),"BN Jual Beli")</f>
        <v>BN Jual Beli</v>
      </c>
      <c r="F244" s="13" t="str">
        <f>IFERROR(__xludf.DUMMYFUNCTION("""COMPUTED_VALUE"""),"Akhmadi Dachlan/ Dian Dwi A")</f>
        <v>Akhmadi Dachlan/ Dian Dwi A</v>
      </c>
      <c r="G244" s="13">
        <f t="shared" si="1"/>
        <v>230</v>
      </c>
      <c r="H244" s="13" t="str">
        <f>IFERROR(__xludf.DUMMYFUNCTION("""COMPUTED_VALUE"""),"P0")</f>
        <v>P0</v>
      </c>
    </row>
    <row r="245" ht="22.5" customHeight="1">
      <c r="B245" s="19" t="str">
        <f>IFERROR(__xludf.DUMMYFUNCTION("""COMPUTED_VALUE"""),"K/40/181024/1")</f>
        <v>K/40/181024/1</v>
      </c>
      <c r="C245" s="19" t="str">
        <f>IFERROR(__xludf.DUMMYFUNCTION("""COMPUTED_VALUE"""),"Nibel. M. 816/ Durian Payung")</f>
        <v>Nibel. M. 816/ Durian Payung</v>
      </c>
      <c r="D245" s="17">
        <f>IFERROR(__xludf.DUMMYFUNCTION("""COMPUTED_VALUE"""),45583.61476814815)</f>
        <v>45583.61477</v>
      </c>
      <c r="E245" s="13" t="str">
        <f>IFERROR(__xludf.DUMMYFUNCTION("""COMPUTED_VALUE"""),"BN Jual beli")</f>
        <v>BN Jual beli</v>
      </c>
      <c r="F245" s="13" t="str">
        <f>IFERROR(__xludf.DUMMYFUNCTION("""COMPUTED_VALUE"""),"Evi Udin/ Endah M")</f>
        <v>Evi Udin/ Endah M</v>
      </c>
      <c r="G245" s="13">
        <f t="shared" si="1"/>
        <v>231</v>
      </c>
      <c r="H245" s="13" t="str">
        <f>IFERROR(__xludf.DUMMYFUNCTION("""COMPUTED_VALUE"""),"P0")</f>
        <v>P0</v>
      </c>
    </row>
    <row r="246" ht="22.5" customHeight="1">
      <c r="B246" s="19" t="str">
        <f>IFERROR(__xludf.DUMMYFUNCTION("""COMPUTED_VALUE"""),"K/39/181024/2")</f>
        <v>K/39/181024/2</v>
      </c>
      <c r="C246" s="19" t="str">
        <f>IFERROR(__xludf.DUMMYFUNCTION("""COMPUTED_VALUE"""),"M. 37/ KUPANG TEBA")</f>
        <v>M. 37/ KUPANG TEBA</v>
      </c>
      <c r="D246" s="17">
        <f>IFERROR(__xludf.DUMMYFUNCTION("""COMPUTED_VALUE"""),45583.61580299769)</f>
        <v>45583.6158</v>
      </c>
      <c r="E246" s="13" t="str">
        <f>IFERROR(__xludf.DUMMYFUNCTION("""COMPUTED_VALUE"""),"ROYA")</f>
        <v>ROYA</v>
      </c>
      <c r="F246" s="13" t="str">
        <f>IFERROR(__xludf.DUMMYFUNCTION("""COMPUTED_VALUE"""),"akhmadi dachlan/ johny efendy")</f>
        <v>akhmadi dachlan/ johny efendy</v>
      </c>
      <c r="G246" s="13">
        <f t="shared" si="1"/>
        <v>232</v>
      </c>
      <c r="H246" s="13" t="str">
        <f>IFERROR(__xludf.DUMMYFUNCTION("""COMPUTED_VALUE"""),"P0")</f>
        <v>P0</v>
      </c>
    </row>
    <row r="247" ht="22.5" customHeight="1">
      <c r="B247" s="19" t="str">
        <f>IFERROR(__xludf.DUMMYFUNCTION("""COMPUTED_VALUE"""),"K/41/181024/1")</f>
        <v>K/41/181024/1</v>
      </c>
      <c r="C247" s="19" t="str">
        <f>IFERROR(__xludf.DUMMYFUNCTION("""COMPUTED_VALUE"""),"M. 1504/ Batu Putuk")</f>
        <v>M. 1504/ Batu Putuk</v>
      </c>
      <c r="D247" s="17">
        <f>IFERROR(__xludf.DUMMYFUNCTION("""COMPUTED_VALUE"""),45583.62141465278)</f>
        <v>45583.62141</v>
      </c>
      <c r="E247" s="13" t="str">
        <f>IFERROR(__xludf.DUMMYFUNCTION("""COMPUTED_VALUE"""),"BN Jual Beli")</f>
        <v>BN Jual Beli</v>
      </c>
      <c r="F247" s="13" t="str">
        <f>IFERROR(__xludf.DUMMYFUNCTION("""COMPUTED_VALUE"""),"Reflan Rasyid/ Sefti Maria")</f>
        <v>Reflan Rasyid/ Sefti Maria</v>
      </c>
      <c r="G247" s="13">
        <f t="shared" si="1"/>
        <v>233</v>
      </c>
      <c r="H247" s="13" t="str">
        <f>IFERROR(__xludf.DUMMYFUNCTION("""COMPUTED_VALUE"""),"P0")</f>
        <v>P0</v>
      </c>
    </row>
    <row r="248" ht="22.5" customHeight="1">
      <c r="B248" s="19" t="str">
        <f>IFERROR(__xludf.DUMMYFUNCTION("""COMPUTED_VALUE"""),"K/43/181024/1")</f>
        <v>K/43/181024/1</v>
      </c>
      <c r="C248" s="19" t="str">
        <f>IFERROR(__xludf.DUMMYFUNCTION("""COMPUTED_VALUE"""),"M. 3058/ Gunung Terang")</f>
        <v>M. 3058/ Gunung Terang</v>
      </c>
      <c r="D248" s="17">
        <f>IFERROR(__xludf.DUMMYFUNCTION("""COMPUTED_VALUE"""),45583.6238725463)</f>
        <v>45583.62387</v>
      </c>
      <c r="E248" s="13" t="str">
        <f>IFERROR(__xludf.DUMMYFUNCTION("""COMPUTED_VALUE"""),"Hapus BPHTB")</f>
        <v>Hapus BPHTB</v>
      </c>
      <c r="F248" s="13" t="str">
        <f>IFERROR(__xludf.DUMMYFUNCTION("""COMPUTED_VALUE"""),"Endang Aprilia/ M Ma'ruf")</f>
        <v>Endang Aprilia/ M Ma'ruf</v>
      </c>
      <c r="G248" s="13">
        <f t="shared" si="1"/>
        <v>234</v>
      </c>
      <c r="H248" s="13" t="str">
        <f>IFERROR(__xludf.DUMMYFUNCTION("""COMPUTED_VALUE"""),"P0")</f>
        <v>P0</v>
      </c>
    </row>
    <row r="249" ht="22.5" customHeight="1">
      <c r="B249" s="19" t="str">
        <f>IFERROR(__xludf.DUMMYFUNCTION("""COMPUTED_VALUE"""),"K/45/181024/1")</f>
        <v>K/45/181024/1</v>
      </c>
      <c r="C249" s="19" t="str">
        <f>IFERROR(__xludf.DUMMYFUNCTION("""COMPUTED_VALUE"""),"M.2473/RAJABASA JAYA")</f>
        <v>M.2473/RAJABASA JAYA</v>
      </c>
      <c r="D249" s="17">
        <f>IFERROR(__xludf.DUMMYFUNCTION("""COMPUTED_VALUE"""),45583.62462383102)</f>
        <v>45583.62462</v>
      </c>
      <c r="E249" s="13" t="str">
        <f>IFERROR(__xludf.DUMMYFUNCTION("""COMPUTED_VALUE"""),"KEWARISAN")</f>
        <v>KEWARISAN</v>
      </c>
      <c r="F249" s="13" t="str">
        <f>IFERROR(__xludf.DUMMYFUNCTION("""COMPUTED_VALUE"""),"SITI KHONNIA/ANDRI NOVIAR")</f>
        <v>SITI KHONNIA/ANDRI NOVIAR</v>
      </c>
      <c r="G249" s="13">
        <f t="shared" si="1"/>
        <v>235</v>
      </c>
      <c r="H249" s="13" t="str">
        <f>IFERROR(__xludf.DUMMYFUNCTION("""COMPUTED_VALUE"""),"P0")</f>
        <v>P0</v>
      </c>
    </row>
    <row r="250" ht="22.5" customHeight="1">
      <c r="B250" s="19" t="str">
        <f>IFERROR(__xludf.DUMMYFUNCTION("""COMPUTED_VALUE"""),"K/42/181024/2")</f>
        <v>K/42/181024/2</v>
      </c>
      <c r="C250" s="19" t="str">
        <f>IFERROR(__xludf.DUMMYFUNCTION("""COMPUTED_VALUE"""),"M. 1938/ Kupang Kota")</f>
        <v>M. 1938/ Kupang Kota</v>
      </c>
      <c r="D250" s="17">
        <f>IFERROR(__xludf.DUMMYFUNCTION("""COMPUTED_VALUE"""),45583.62509340278)</f>
        <v>45583.62509</v>
      </c>
      <c r="E250" s="13" t="str">
        <f>IFERROR(__xludf.DUMMYFUNCTION("""COMPUTED_VALUE"""),"BN PHB")</f>
        <v>BN PHB</v>
      </c>
      <c r="F250" s="13" t="str">
        <f>IFERROR(__xludf.DUMMYFUNCTION("""COMPUTED_VALUE"""),"REFLAN RASYID/ M.YUDHA CS")</f>
        <v>REFLAN RASYID/ M.YUDHA CS</v>
      </c>
      <c r="G250" s="13">
        <f t="shared" si="1"/>
        <v>236</v>
      </c>
      <c r="H250" s="13" t="str">
        <f>IFERROR(__xludf.DUMMYFUNCTION("""COMPUTED_VALUE"""),"P0")</f>
        <v>P0</v>
      </c>
    </row>
    <row r="251" ht="22.5" customHeight="1">
      <c r="B251" s="19" t="str">
        <f>IFERROR(__xludf.DUMMYFUNCTION("""COMPUTED_VALUE"""),"K/46/181024/2")</f>
        <v>K/46/181024/2</v>
      </c>
      <c r="C251" s="19" t="str">
        <f>IFERROR(__xludf.DUMMYFUNCTION("""COMPUTED_VALUE"""),"M.598/GUNUNG TERANG")</f>
        <v>M.598/GUNUNG TERANG</v>
      </c>
      <c r="D251" s="17">
        <f>IFERROR(__xludf.DUMMYFUNCTION("""COMPUTED_VALUE"""),45583.625519918976)</f>
        <v>45583.62552</v>
      </c>
      <c r="E251" s="13" t="str">
        <f>IFERROR(__xludf.DUMMYFUNCTION("""COMPUTED_VALUE"""),"KEWARISAN")</f>
        <v>KEWARISAN</v>
      </c>
      <c r="F251" s="13" t="str">
        <f>IFERROR(__xludf.DUMMYFUNCTION("""COMPUTED_VALUE"""),"SRI ELFINA PUJIATI/ANDRI NOVIAR")</f>
        <v>SRI ELFINA PUJIATI/ANDRI NOVIAR</v>
      </c>
      <c r="G251" s="13">
        <f t="shared" si="1"/>
        <v>237</v>
      </c>
      <c r="H251" s="13" t="str">
        <f>IFERROR(__xludf.DUMMYFUNCTION("""COMPUTED_VALUE"""),"P0")</f>
        <v>P0</v>
      </c>
    </row>
    <row r="252" ht="22.5" customHeight="1">
      <c r="B252" s="19" t="str">
        <f>IFERROR(__xludf.DUMMYFUNCTION("""COMPUTED_VALUE"""),"K/47/181024/3")</f>
        <v>K/47/181024/3</v>
      </c>
      <c r="C252" s="19" t="str">
        <f>IFERROR(__xludf.DUMMYFUNCTION("""COMPUTED_VALUE"""),"M.1297/GUNUNG TERANG")</f>
        <v>M.1297/GUNUNG TERANG</v>
      </c>
      <c r="D252" s="17">
        <f>IFERROR(__xludf.DUMMYFUNCTION("""COMPUTED_VALUE"""),45583.62611053241)</f>
        <v>45583.62611</v>
      </c>
      <c r="E252" s="13" t="str">
        <f>IFERROR(__xludf.DUMMYFUNCTION("""COMPUTED_VALUE"""),"KEWARISAN")</f>
        <v>KEWARISAN</v>
      </c>
      <c r="F252" s="13" t="str">
        <f>IFERROR(__xludf.DUMMYFUNCTION("""COMPUTED_VALUE"""),"SRI RAHAYU/ANDRI NOVIAR")</f>
        <v>SRI RAHAYU/ANDRI NOVIAR</v>
      </c>
      <c r="G252" s="13">
        <f t="shared" si="1"/>
        <v>238</v>
      </c>
      <c r="H252" s="13" t="str">
        <f>IFERROR(__xludf.DUMMYFUNCTION("""COMPUTED_VALUE"""),"P0")</f>
        <v>P0</v>
      </c>
    </row>
    <row r="253" ht="22.5" customHeight="1">
      <c r="B253" s="19" t="str">
        <f>IFERROR(__xludf.DUMMYFUNCTION("""COMPUTED_VALUE"""),"K/48/181024/4")</f>
        <v>K/48/181024/4</v>
      </c>
      <c r="C253" s="19" t="str">
        <f>IFERROR(__xludf.DUMMYFUNCTION("""COMPUTED_VALUE"""),"M.9733/SURABAYA-SEKARANG;B.249/SURABAYA-DAHULU")</f>
        <v>M.9733/SURABAYA-SEKARANG;B.249/SURABAYA-DAHULU</v>
      </c>
      <c r="D253" s="17">
        <f>IFERROR(__xludf.DUMMYFUNCTION("""COMPUTED_VALUE"""),45583.62718256944)</f>
        <v>45583.62718</v>
      </c>
      <c r="E253" s="13" t="str">
        <f>IFERROR(__xludf.DUMMYFUNCTION("""COMPUTED_VALUE"""),"ROYA LELANG")</f>
        <v>ROYA LELANG</v>
      </c>
      <c r="F253" s="13" t="str">
        <f>IFERROR(__xludf.DUMMYFUNCTION("""COMPUTED_VALUE"""),"ROBERTUS BUDIONO/ANDRI NOVIAR")</f>
        <v>ROBERTUS BUDIONO/ANDRI NOVIAR</v>
      </c>
      <c r="G253" s="13">
        <f t="shared" si="1"/>
        <v>239</v>
      </c>
      <c r="H253" s="13" t="str">
        <f>IFERROR(__xludf.DUMMYFUNCTION("""COMPUTED_VALUE"""),"P0")</f>
        <v>P0</v>
      </c>
    </row>
    <row r="254" ht="22.5" customHeight="1">
      <c r="B254" s="19" t="str">
        <f>IFERROR(__xludf.DUMMYFUNCTION("""COMPUTED_VALUE"""),"K/44/181024/2")</f>
        <v>K/44/181024/2</v>
      </c>
      <c r="C254" s="19" t="str">
        <f>IFERROR(__xludf.DUMMYFUNCTION("""COMPUTED_VALUE"""),"Nibel. B. 2430/ Kemiling Permai")</f>
        <v>Nibel. B. 2430/ Kemiling Permai</v>
      </c>
      <c r="D254" s="17">
        <f>IFERROR(__xludf.DUMMYFUNCTION("""COMPUTED_VALUE"""),45583.62853648148)</f>
        <v>45583.62854</v>
      </c>
      <c r="E254" s="13" t="str">
        <f>IFERROR(__xludf.DUMMYFUNCTION("""COMPUTED_VALUE"""),"Perubahan Hak")</f>
        <v>Perubahan Hak</v>
      </c>
      <c r="F254" s="13" t="str">
        <f>IFERROR(__xludf.DUMMYFUNCTION("""COMPUTED_VALUE"""),"Endang Aprilia/ Fani Mutia S")</f>
        <v>Endang Aprilia/ Fani Mutia S</v>
      </c>
      <c r="G254" s="13">
        <f t="shared" si="1"/>
        <v>240</v>
      </c>
      <c r="H254" s="13" t="str">
        <f>IFERROR(__xludf.DUMMYFUNCTION("""COMPUTED_VALUE"""),"P0")</f>
        <v>P0</v>
      </c>
    </row>
    <row r="255" ht="22.5" customHeight="1">
      <c r="B255" s="19" t="str">
        <f>IFERROR(__xludf.DUMMYFUNCTION("""COMPUTED_VALUE"""),"K/49/181024/4")</f>
        <v>K/49/181024/4</v>
      </c>
      <c r="C255" s="19" t="str">
        <f>IFERROR(__xludf.DUMMYFUNCTION("""COMPUTED_VALUE"""),"M.2892/SUKARAME BARU-SEKARANG;B.3671/SUKARAME I-DAHULU")</f>
        <v>M.2892/SUKARAME BARU-SEKARANG;B.3671/SUKARAME I-DAHULU</v>
      </c>
      <c r="D255" s="17">
        <f>IFERROR(__xludf.DUMMYFUNCTION("""COMPUTED_VALUE"""),45583.63185965278)</f>
        <v>45583.63186</v>
      </c>
      <c r="E255" s="13" t="str">
        <f>IFERROR(__xludf.DUMMYFUNCTION("""COMPUTED_VALUE"""),"PERALIHAN HAK")</f>
        <v>PERALIHAN HAK</v>
      </c>
      <c r="F255" s="13" t="str">
        <f>IFERROR(__xludf.DUMMYFUNCTION("""COMPUTED_VALUE"""),"ARLIZA RESYAD/ANNA PURNAMASARI")</f>
        <v>ARLIZA RESYAD/ANNA PURNAMASARI</v>
      </c>
      <c r="G255" s="13">
        <f t="shared" si="1"/>
        <v>241</v>
      </c>
      <c r="H255" s="13" t="str">
        <f>IFERROR(__xludf.DUMMYFUNCTION("""COMPUTED_VALUE"""),"P0")</f>
        <v>P0</v>
      </c>
    </row>
    <row r="256" ht="22.5" customHeight="1">
      <c r="B256" s="19" t="str">
        <f>IFERROR(__xludf.DUMMYFUNCTION("""COMPUTED_VALUE"""),"L/50/191024/1")</f>
        <v>L/50/191024/1</v>
      </c>
      <c r="C256" s="19" t="str">
        <f>IFERROR(__xludf.DUMMYFUNCTION("""COMPUTED_VALUE"""),"M.3937/WAY KANDIS")</f>
        <v>M.3937/WAY KANDIS</v>
      </c>
      <c r="D256" s="17">
        <f>IFERROR(__xludf.DUMMYFUNCTION("""COMPUTED_VALUE"""),45584.39489998843)</f>
        <v>45584.3949</v>
      </c>
      <c r="E256" s="13" t="str">
        <f>IFERROR(__xludf.DUMMYFUNCTION("""COMPUTED_VALUE"""),"ROYA")</f>
        <v>ROYA</v>
      </c>
      <c r="F256" s="13" t="str">
        <f>IFERROR(__xludf.DUMMYFUNCTION("""COMPUTED_VALUE"""),"EVTI APRILIYANI")</f>
        <v>EVTI APRILIYANI</v>
      </c>
      <c r="G256" s="13">
        <f t="shared" si="1"/>
        <v>242</v>
      </c>
      <c r="H256" s="13" t="str">
        <f>IFERROR(__xludf.DUMMYFUNCTION("""COMPUTED_VALUE"""),"P0")</f>
        <v>P0</v>
      </c>
    </row>
    <row r="257" ht="22.5" customHeight="1">
      <c r="B257" s="19" t="str">
        <f>IFERROR(__xludf.DUMMYFUNCTION("""COMPUTED_VALUE"""),"L/52/191024/1")</f>
        <v>L/52/191024/1</v>
      </c>
      <c r="C257" s="19" t="str">
        <f>IFERROR(__xludf.DUMMYFUNCTION("""COMPUTED_VALUE"""),"M.9013/GEDONGMENENG")</f>
        <v>M.9013/GEDONGMENENG</v>
      </c>
      <c r="D257" s="17">
        <f>IFERROR(__xludf.DUMMYFUNCTION("""COMPUTED_VALUE"""),45584.433043136574)</f>
        <v>45584.43304</v>
      </c>
      <c r="E257" s="13" t="str">
        <f>IFERROR(__xludf.DUMMYFUNCTION("""COMPUTED_VALUE"""),"GANDES")</f>
        <v>GANDES</v>
      </c>
      <c r="F257" s="13" t="str">
        <f>IFERROR(__xludf.DUMMYFUNCTION("""COMPUTED_VALUE"""),"YULIA")</f>
        <v>YULIA</v>
      </c>
      <c r="G257" s="13">
        <f t="shared" si="1"/>
        <v>243</v>
      </c>
      <c r="H257" s="13" t="str">
        <f>IFERROR(__xludf.DUMMYFUNCTION("""COMPUTED_VALUE"""),"P0")</f>
        <v>P0</v>
      </c>
    </row>
    <row r="258" ht="22.5" customHeight="1">
      <c r="B258" s="19" t="str">
        <f>IFERROR(__xludf.DUMMYFUNCTION("""COMPUTED_VALUE"""),"L/53/191024/1")</f>
        <v>L/53/191024/1</v>
      </c>
      <c r="C258" s="19" t="str">
        <f>IFERROR(__xludf.DUMMYFUNCTION("""COMPUTED_VALUE"""),"M.13681/LABUHAN RATU")</f>
        <v>M.13681/LABUHAN RATU</v>
      </c>
      <c r="D258" s="17">
        <f>IFERROR(__xludf.DUMMYFUNCTION("""COMPUTED_VALUE"""),45584.43982126158)</f>
        <v>45584.43982</v>
      </c>
      <c r="E258" s="13" t="str">
        <f>IFERROR(__xludf.DUMMYFUNCTION("""COMPUTED_VALUE"""),"CEKPLOT GANTI BLANGKO LAMA")</f>
        <v>CEKPLOT GANTI BLANGKO LAMA</v>
      </c>
      <c r="F258" s="13" t="str">
        <f>IFERROR(__xludf.DUMMYFUNCTION("""COMPUTED_VALUE"""),"MUHAMMAD HATTA")</f>
        <v>MUHAMMAD HATTA</v>
      </c>
      <c r="G258" s="13">
        <f t="shared" si="1"/>
        <v>244</v>
      </c>
      <c r="H258" s="13" t="str">
        <f>IFERROR(__xludf.DUMMYFUNCTION("""COMPUTED_VALUE"""),"P0")</f>
        <v>P0</v>
      </c>
    </row>
    <row r="259" ht="22.5" customHeight="1">
      <c r="B259" s="19" t="str">
        <f>IFERROR(__xludf.DUMMYFUNCTION("""COMPUTED_VALUE"""),"K/1/211024/1")</f>
        <v>K/1/211024/1</v>
      </c>
      <c r="C259" s="19" t="str">
        <f>IFERROR(__xludf.DUMMYFUNCTION("""COMPUTED_VALUE"""),"B. 1370/ Kemiling Permai; B. 1441/ Su K")</f>
        <v>B. 1370/ Kemiling Permai; B. 1441/ Su K</v>
      </c>
      <c r="D259" s="17">
        <f>IFERROR(__xludf.DUMMYFUNCTION("""COMPUTED_VALUE"""),45586.36775601852)</f>
        <v>45586.36776</v>
      </c>
      <c r="E259" s="13" t="str">
        <f>IFERROR(__xludf.DUMMYFUNCTION("""COMPUTED_VALUE"""),"Perubahan Hak")</f>
        <v>Perubahan Hak</v>
      </c>
      <c r="F259" s="13" t="str">
        <f>IFERROR(__xludf.DUMMYFUNCTION("""COMPUTED_VALUE"""),"Eko Juni W/ Yuliansyah")</f>
        <v>Eko Juni W/ Yuliansyah</v>
      </c>
      <c r="G259" s="13">
        <f t="shared" si="1"/>
        <v>245</v>
      </c>
      <c r="H259" s="13" t="str">
        <f>IFERROR(__xludf.DUMMYFUNCTION("""COMPUTED_VALUE"""),"P0")</f>
        <v>P0</v>
      </c>
    </row>
    <row r="260" ht="22.5" customHeight="1">
      <c r="B260" s="19" t="str">
        <f>IFERROR(__xludf.DUMMYFUNCTION("""COMPUTED_VALUE"""),"K/3/151024/1")</f>
        <v>K/3/151024/1</v>
      </c>
      <c r="C260" s="19" t="str">
        <f>IFERROR(__xludf.DUMMYFUNCTION("""COMPUTED_VALUE"""),"B. 613/ SUMUR PUTRI")</f>
        <v>B. 613/ SUMUR PUTRI</v>
      </c>
      <c r="D260" s="17">
        <f>IFERROR(__xludf.DUMMYFUNCTION("""COMPUTED_VALUE"""),45586.369165763885)</f>
        <v>45586.36917</v>
      </c>
      <c r="E260" s="13" t="str">
        <f>IFERROR(__xludf.DUMMYFUNCTION("""COMPUTED_VALUE"""),"BN JUAL BELI")</f>
        <v>BN JUAL BELI</v>
      </c>
      <c r="F260" s="13" t="str">
        <f>IFERROR(__xludf.DUMMYFUNCTION("""COMPUTED_VALUE"""),"EVA SURIANI / YOSEF OKTOROZI")</f>
        <v>EVA SURIANI / YOSEF OKTOROZI</v>
      </c>
      <c r="G260" s="13">
        <f t="shared" si="1"/>
        <v>245</v>
      </c>
      <c r="H260" s="13" t="str">
        <f>IFERROR(__xludf.DUMMYFUNCTION("""COMPUTED_VALUE"""),"P1")</f>
        <v>P1</v>
      </c>
    </row>
    <row r="261" ht="22.5" customHeight="1">
      <c r="B261" s="19" t="str">
        <f>IFERROR(__xludf.DUMMYFUNCTION("""COMPUTED_VALUE"""),"K/3/211024/1")</f>
        <v>K/3/211024/1</v>
      </c>
      <c r="C261" s="19" t="str">
        <f>IFERROR(__xludf.DUMMYFUNCTION("""COMPUTED_VALUE"""),"B.530/CAMPANG JAYA")</f>
        <v>B.530/CAMPANG JAYA</v>
      </c>
      <c r="D261" s="17">
        <f>IFERROR(__xludf.DUMMYFUNCTION("""COMPUTED_VALUE"""),45586.38950822917)</f>
        <v>45586.38951</v>
      </c>
      <c r="E261" s="13" t="str">
        <f>IFERROR(__xludf.DUMMYFUNCTION("""COMPUTED_VALUE"""),"PENINGKATAN HAK")</f>
        <v>PENINGKATAN HAK</v>
      </c>
      <c r="F261" s="13" t="str">
        <f>IFERROR(__xludf.DUMMYFUNCTION("""COMPUTED_VALUE"""),"AHMAD SIDIK/MUSA")</f>
        <v>AHMAD SIDIK/MUSA</v>
      </c>
      <c r="G261" s="13">
        <f t="shared" si="1"/>
        <v>246</v>
      </c>
      <c r="H261" s="13" t="str">
        <f>IFERROR(__xludf.DUMMYFUNCTION("""COMPUTED_VALUE"""),"P0")</f>
        <v>P0</v>
      </c>
    </row>
    <row r="262" ht="22.5" customHeight="1">
      <c r="B262" s="19" t="str">
        <f>IFERROR(__xludf.DUMMYFUNCTION("""COMPUTED_VALUE"""),"K/4/211024/1")</f>
        <v>K/4/211024/1</v>
      </c>
      <c r="C262" s="19" t="str">
        <f>IFERROR(__xludf.DUMMYFUNCTION("""COMPUTED_VALUE"""),"B. 327/ Labuhan Ratu")</f>
        <v>B. 327/ Labuhan Ratu</v>
      </c>
      <c r="D262" s="17">
        <f>IFERROR(__xludf.DUMMYFUNCTION("""COMPUTED_VALUE"""),45586.415747418985)</f>
        <v>45586.41575</v>
      </c>
      <c r="E262" s="13" t="str">
        <f>IFERROR(__xludf.DUMMYFUNCTION("""COMPUTED_VALUE"""),"Gandes")</f>
        <v>Gandes</v>
      </c>
      <c r="F262" s="13" t="str">
        <f>IFERROR(__xludf.DUMMYFUNCTION("""COMPUTED_VALUE"""),"Nanik M/ Ronauli Panjaitan N")</f>
        <v>Nanik M/ Ronauli Panjaitan N</v>
      </c>
      <c r="G262" s="13">
        <f t="shared" si="1"/>
        <v>247</v>
      </c>
      <c r="H262" s="13" t="str">
        <f>IFERROR(__xludf.DUMMYFUNCTION("""COMPUTED_VALUE"""),"P0")</f>
        <v>P0</v>
      </c>
    </row>
    <row r="263" ht="22.5" customHeight="1">
      <c r="B263" s="19" t="str">
        <f>IFERROR(__xludf.DUMMYFUNCTION("""COMPUTED_VALUE"""),"K/5/211024/2")</f>
        <v>K/5/211024/2</v>
      </c>
      <c r="C263" s="19" t="str">
        <f>IFERROR(__xludf.DUMMYFUNCTION("""COMPUTED_VALUE"""),"B. 324/ Labuhan Ratu")</f>
        <v>B. 324/ Labuhan Ratu</v>
      </c>
      <c r="D263" s="17">
        <f>IFERROR(__xludf.DUMMYFUNCTION("""COMPUTED_VALUE"""),45586.41635734953)</f>
        <v>45586.41636</v>
      </c>
      <c r="E263" s="13" t="str">
        <f>IFERROR(__xludf.DUMMYFUNCTION("""COMPUTED_VALUE"""),"Gandes")</f>
        <v>Gandes</v>
      </c>
      <c r="F263" s="13" t="str">
        <f>IFERROR(__xludf.DUMMYFUNCTION("""COMPUTED_VALUE"""),"Nanik M/ Ronauli Panjaitan N")</f>
        <v>Nanik M/ Ronauli Panjaitan N</v>
      </c>
      <c r="G263" s="13">
        <f t="shared" si="1"/>
        <v>248</v>
      </c>
      <c r="H263" s="13" t="str">
        <f>IFERROR(__xludf.DUMMYFUNCTION("""COMPUTED_VALUE"""),"P0")</f>
        <v>P0</v>
      </c>
    </row>
    <row r="264" ht="22.5" customHeight="1">
      <c r="B264" s="19" t="str">
        <f>IFERROR(__xludf.DUMMYFUNCTION("""COMPUTED_VALUE"""),"K/6/211024/3")</f>
        <v>K/6/211024/3</v>
      </c>
      <c r="C264" s="19" t="str">
        <f>IFERROR(__xludf.DUMMYFUNCTION("""COMPUTED_VALUE"""),"B. 326/ Labuhan Ratu")</f>
        <v>B. 326/ Labuhan Ratu</v>
      </c>
      <c r="D264" s="17">
        <f>IFERROR(__xludf.DUMMYFUNCTION("""COMPUTED_VALUE"""),45586.417069675925)</f>
        <v>45586.41707</v>
      </c>
      <c r="E264" s="13" t="str">
        <f>IFERROR(__xludf.DUMMYFUNCTION("""COMPUTED_VALUE"""),"Gandes")</f>
        <v>Gandes</v>
      </c>
      <c r="F264" s="13" t="str">
        <f>IFERROR(__xludf.DUMMYFUNCTION("""COMPUTED_VALUE"""),"Nanik M/ Ronauli Panjaitan N")</f>
        <v>Nanik M/ Ronauli Panjaitan N</v>
      </c>
      <c r="G264" s="13">
        <f t="shared" si="1"/>
        <v>249</v>
      </c>
      <c r="H264" s="13" t="str">
        <f>IFERROR(__xludf.DUMMYFUNCTION("""COMPUTED_VALUE"""),"P0")</f>
        <v>P0</v>
      </c>
    </row>
    <row r="265" ht="22.5" customHeight="1">
      <c r="B265" s="19" t="str">
        <f>IFERROR(__xludf.DUMMYFUNCTION("""COMPUTED_VALUE"""),"L/7/211024/1")</f>
        <v>L/7/211024/1</v>
      </c>
      <c r="C265" s="19" t="str">
        <f>IFERROR(__xludf.DUMMYFUNCTION("""COMPUTED_VALUE"""),"NIB 08010000029980/WAY GUBAK")</f>
        <v>NIB 08010000029980/WAY GUBAK</v>
      </c>
      <c r="D265" s="17">
        <f>IFERROR(__xludf.DUMMYFUNCTION("""COMPUTED_VALUE"""),45586.424342384256)</f>
        <v>45586.42434</v>
      </c>
      <c r="E265" s="13" t="str">
        <f>IFERROR(__xludf.DUMMYFUNCTION("""COMPUTED_VALUE"""),"BALIK NAMA LELANG")</f>
        <v>BALIK NAMA LELANG</v>
      </c>
      <c r="F265" s="13" t="str">
        <f>IFERROR(__xludf.DUMMYFUNCTION("""COMPUTED_VALUE"""),"ALDINO AHMAD")</f>
        <v>ALDINO AHMAD</v>
      </c>
      <c r="G265" s="13">
        <f t="shared" si="1"/>
        <v>250</v>
      </c>
      <c r="H265" s="13" t="str">
        <f>IFERROR(__xludf.DUMMYFUNCTION("""COMPUTED_VALUE"""),"P0")</f>
        <v>P0</v>
      </c>
    </row>
    <row r="266" ht="22.5" customHeight="1">
      <c r="B266" s="19" t="str">
        <f>IFERROR(__xludf.DUMMYFUNCTION("""COMPUTED_VALUE"""),"L/8/211024/1")</f>
        <v>L/8/211024/1</v>
      </c>
      <c r="C266" s="19" t="str">
        <f>IFERROR(__xludf.DUMMYFUNCTION("""COMPUTED_VALUE"""),"HM 15995/SUKARAME I")</f>
        <v>HM 15995/SUKARAME I</v>
      </c>
      <c r="D266" s="17">
        <f>IFERROR(__xludf.DUMMYFUNCTION("""COMPUTED_VALUE"""),45586.428483090276)</f>
        <v>45586.42848</v>
      </c>
      <c r="E266" s="13" t="str">
        <f>IFERROR(__xludf.DUMMYFUNCTION("""COMPUTED_VALUE"""),"ROYA")</f>
        <v>ROYA</v>
      </c>
      <c r="F266" s="13" t="str">
        <f>IFERROR(__xludf.DUMMYFUNCTION("""COMPUTED_VALUE"""),"ANASTASIA ASTUTI")</f>
        <v>ANASTASIA ASTUTI</v>
      </c>
      <c r="G266" s="13">
        <f t="shared" si="1"/>
        <v>251</v>
      </c>
      <c r="H266" s="13" t="str">
        <f>IFERROR(__xludf.DUMMYFUNCTION("""COMPUTED_VALUE"""),"P0")</f>
        <v>P0</v>
      </c>
    </row>
    <row r="267" ht="22.5" customHeight="1">
      <c r="B267" s="19" t="str">
        <f>IFERROR(__xludf.DUMMYFUNCTION("""COMPUTED_VALUE"""),"L/9/211024/1")</f>
        <v>L/9/211024/1</v>
      </c>
      <c r="C267" s="19" t="str">
        <f>IFERROR(__xludf.DUMMYFUNCTION("""COMPUTED_VALUE"""),"HM 2993/CAMPANG RAYA-SEKARANG;HGB 2402/CAMPANG RAYA-DAHULU")</f>
        <v>HM 2993/CAMPANG RAYA-SEKARANG;HGB 2402/CAMPANG RAYA-DAHULU</v>
      </c>
      <c r="D267" s="17">
        <f>IFERROR(__xludf.DUMMYFUNCTION("""COMPUTED_VALUE"""),45586.433526493056)</f>
        <v>45586.43353</v>
      </c>
      <c r="E267" s="13" t="str">
        <f>IFERROR(__xludf.DUMMYFUNCTION("""COMPUTED_VALUE"""),"ROYA")</f>
        <v>ROYA</v>
      </c>
      <c r="F267" s="13" t="str">
        <f>IFERROR(__xludf.DUMMYFUNCTION("""COMPUTED_VALUE"""),"PETRUS")</f>
        <v>PETRUS</v>
      </c>
      <c r="G267" s="13">
        <f t="shared" si="1"/>
        <v>252</v>
      </c>
      <c r="H267" s="13" t="str">
        <f>IFERROR(__xludf.DUMMYFUNCTION("""COMPUTED_VALUE"""),"P0")</f>
        <v>P0</v>
      </c>
    </row>
    <row r="268" ht="22.5" customHeight="1">
      <c r="B268" s="19" t="str">
        <f>IFERROR(__xludf.DUMMYFUNCTION("""COMPUTED_VALUE"""),"K/10/211024/1")</f>
        <v>K/10/211024/1</v>
      </c>
      <c r="C268" s="19" t="str">
        <f>IFERROR(__xludf.DUMMYFUNCTION("""COMPUTED_VALUE"""),"B. 606/ Sumur Putri")</f>
        <v>B. 606/ Sumur Putri</v>
      </c>
      <c r="D268" s="17">
        <f>IFERROR(__xludf.DUMMYFUNCTION("""COMPUTED_VALUE"""),45586.43605934028)</f>
        <v>45586.43606</v>
      </c>
      <c r="E268" s="13" t="str">
        <f>IFERROR(__xludf.DUMMYFUNCTION("""COMPUTED_VALUE"""),"BN Jual Beli")</f>
        <v>BN Jual Beli</v>
      </c>
      <c r="F268" s="13" t="str">
        <f>IFERROR(__xludf.DUMMYFUNCTION("""COMPUTED_VALUE"""),"Panary S/ Lili Meilani")</f>
        <v>Panary S/ Lili Meilani</v>
      </c>
      <c r="G268" s="13">
        <f t="shared" si="1"/>
        <v>253</v>
      </c>
      <c r="H268" s="13" t="str">
        <f>IFERROR(__xludf.DUMMYFUNCTION("""COMPUTED_VALUE"""),"P0")</f>
        <v>P0</v>
      </c>
    </row>
    <row r="269" ht="22.5" customHeight="1">
      <c r="B269" s="19" t="str">
        <f>IFERROR(__xludf.DUMMYFUNCTION("""COMPUTED_VALUE"""),"K/11/211024/2")</f>
        <v>K/11/211024/2</v>
      </c>
      <c r="C269" s="19" t="str">
        <f>IFERROR(__xludf.DUMMYFUNCTION("""COMPUTED_VALUE"""),"B. 763/ Sumur Putri")</f>
        <v>B. 763/ Sumur Putri</v>
      </c>
      <c r="D269" s="17">
        <f>IFERROR(__xludf.DUMMYFUNCTION("""COMPUTED_VALUE"""),45586.4373816088)</f>
        <v>45586.43738</v>
      </c>
      <c r="E269" s="13" t="str">
        <f>IFERROR(__xludf.DUMMYFUNCTION("""COMPUTED_VALUE"""),"BN Jual Beli")</f>
        <v>BN Jual Beli</v>
      </c>
      <c r="F269" s="13" t="str">
        <f>IFERROR(__xludf.DUMMYFUNCTION("""COMPUTED_VALUE"""),"Panary S/Joseph Edo T")</f>
        <v>Panary S/Joseph Edo T</v>
      </c>
      <c r="G269" s="13">
        <f t="shared" si="1"/>
        <v>254</v>
      </c>
      <c r="H269" s="13" t="str">
        <f>IFERROR(__xludf.DUMMYFUNCTION("""COMPUTED_VALUE"""),"P0")</f>
        <v>P0</v>
      </c>
    </row>
    <row r="270" ht="22.5" customHeight="1">
      <c r="B270" s="19" t="str">
        <f>IFERROR(__xludf.DUMMYFUNCTION("""COMPUTED_VALUE"""),"K/12/211024/3")</f>
        <v>K/12/211024/3</v>
      </c>
      <c r="C270" s="19" t="str">
        <f>IFERROR(__xludf.DUMMYFUNCTION("""COMPUTED_VALUE"""),"Nibel. B. 2432/ N O G")</f>
        <v>Nibel. B. 2432/ N O G</v>
      </c>
      <c r="D270" s="17">
        <f>IFERROR(__xludf.DUMMYFUNCTION("""COMPUTED_VALUE"""),45586.43935042824)</f>
        <v>45586.43935</v>
      </c>
      <c r="E270" s="13" t="str">
        <f>IFERROR(__xludf.DUMMYFUNCTION("""COMPUTED_VALUE"""),"Perubahan Hak")</f>
        <v>Perubahan Hak</v>
      </c>
      <c r="F270" s="13" t="str">
        <f>IFERROR(__xludf.DUMMYFUNCTION("""COMPUTED_VALUE"""),"Panary S/ Sugianto")</f>
        <v>Panary S/ Sugianto</v>
      </c>
      <c r="G270" s="13">
        <f t="shared" si="1"/>
        <v>255</v>
      </c>
      <c r="H270" s="13" t="str">
        <f>IFERROR(__xludf.DUMMYFUNCTION("""COMPUTED_VALUE"""),"P0")</f>
        <v>P0</v>
      </c>
    </row>
    <row r="271" ht="22.5" customHeight="1">
      <c r="B271" s="19" t="str">
        <f>IFERROR(__xludf.DUMMYFUNCTION("""COMPUTED_VALUE"""),"K/13/211024/4")</f>
        <v>K/13/211024/4</v>
      </c>
      <c r="C271" s="19" t="str">
        <f>IFERROR(__xludf.DUMMYFUNCTION("""COMPUTED_VALUE"""),"Nibel. B. 2361/ N O G")</f>
        <v>Nibel. B. 2361/ N O G</v>
      </c>
      <c r="D271" s="17">
        <f>IFERROR(__xludf.DUMMYFUNCTION("""COMPUTED_VALUE"""),45586.440448298614)</f>
        <v>45586.44045</v>
      </c>
      <c r="E271" s="13" t="str">
        <f>IFERROR(__xludf.DUMMYFUNCTION("""COMPUTED_VALUE"""),"Perubahan Hak")</f>
        <v>Perubahan Hak</v>
      </c>
      <c r="F271" s="13" t="str">
        <f>IFERROR(__xludf.DUMMYFUNCTION("""COMPUTED_VALUE"""),"Panary S/ Lay Herlinawati")</f>
        <v>Panary S/ Lay Herlinawati</v>
      </c>
      <c r="G271" s="13">
        <f t="shared" si="1"/>
        <v>256</v>
      </c>
      <c r="H271" s="13" t="str">
        <f>IFERROR(__xludf.DUMMYFUNCTION("""COMPUTED_VALUE"""),"P0")</f>
        <v>P0</v>
      </c>
    </row>
    <row r="272" ht="22.5" customHeight="1">
      <c r="B272" s="19" t="str">
        <f>IFERROR(__xludf.DUMMYFUNCTION("""COMPUTED_VALUE"""),"K/15/211024/1")</f>
        <v>K/15/211024/1</v>
      </c>
      <c r="C272" s="19" t="str">
        <f>IFERROR(__xludf.DUMMYFUNCTION("""COMPUTED_VALUE"""),"PBT 162/2024 KEL. LABUHAN DALAM")</f>
        <v>PBT 162/2024 KEL. LABUHAN DALAM</v>
      </c>
      <c r="D272" s="17">
        <f>IFERROR(__xludf.DUMMYFUNCTION("""COMPUTED_VALUE"""),45586.446084490744)</f>
        <v>45586.44608</v>
      </c>
      <c r="E272" s="13" t="str">
        <f>IFERROR(__xludf.DUMMYFUNCTION("""COMPUTED_VALUE"""),"PTPGT")</f>
        <v>PTPGT</v>
      </c>
      <c r="F272" s="13" t="str">
        <f>IFERROR(__xludf.DUMMYFUNCTION("""COMPUTED_VALUE"""),"ASMA'I AFRIZAL MUSTAFA/SUPRIYATIN")</f>
        <v>ASMA'I AFRIZAL MUSTAFA/SUPRIYATIN</v>
      </c>
      <c r="G272" s="13">
        <f t="shared" si="1"/>
        <v>257</v>
      </c>
      <c r="H272" s="13" t="str">
        <f>IFERROR(__xludf.DUMMYFUNCTION("""COMPUTED_VALUE"""),"P0")</f>
        <v>P0</v>
      </c>
    </row>
    <row r="273" ht="22.5" customHeight="1">
      <c r="B273" s="19" t="str">
        <f>IFERROR(__xludf.DUMMYFUNCTION("""COMPUTED_VALUE"""),"K/14/211024/1")</f>
        <v>K/14/211024/1</v>
      </c>
      <c r="C273" s="19" t="str">
        <f>IFERROR(__xludf.DUMMYFUNCTION("""COMPUTED_VALUE"""),"M. 11632/ Sukarame")</f>
        <v>M. 11632/ Sukarame</v>
      </c>
      <c r="D273" s="17">
        <f>IFERROR(__xludf.DUMMYFUNCTION("""COMPUTED_VALUE"""),45586.44863460648)</f>
        <v>45586.44863</v>
      </c>
      <c r="E273" s="13" t="str">
        <f>IFERROR(__xludf.DUMMYFUNCTION("""COMPUTED_VALUE"""),"BN Jual Beli")</f>
        <v>BN Jual Beli</v>
      </c>
      <c r="F273" s="13" t="str">
        <f>IFERROR(__xludf.DUMMYFUNCTION("""COMPUTED_VALUE"""),"Yudeni T/ Wita A")</f>
        <v>Yudeni T/ Wita A</v>
      </c>
      <c r="G273" s="13">
        <f t="shared" si="1"/>
        <v>258</v>
      </c>
      <c r="H273" s="13" t="str">
        <f>IFERROR(__xludf.DUMMYFUNCTION("""COMPUTED_VALUE"""),"P0")</f>
        <v>P0</v>
      </c>
    </row>
    <row r="274" ht="22.5" customHeight="1">
      <c r="B274" s="19" t="str">
        <f>IFERROR(__xludf.DUMMYFUNCTION("""COMPUTED_VALUE"""),"K/16/211024/2")</f>
        <v>K/16/211024/2</v>
      </c>
      <c r="C274" s="19" t="str">
        <f>IFERROR(__xludf.DUMMYFUNCTION("""COMPUTED_VALUE"""),"M. 467/ Sumur Putri")</f>
        <v>M. 467/ Sumur Putri</v>
      </c>
      <c r="D274" s="17">
        <f>IFERROR(__xludf.DUMMYFUNCTION("""COMPUTED_VALUE"""),45586.44995195602)</f>
        <v>45586.44995</v>
      </c>
      <c r="E274" s="13" t="str">
        <f>IFERROR(__xludf.DUMMYFUNCTION("""COMPUTED_VALUE"""),"BN Jual Beli")</f>
        <v>BN Jual Beli</v>
      </c>
      <c r="F274" s="13" t="str">
        <f>IFERROR(__xludf.DUMMYFUNCTION("""COMPUTED_VALUE"""),"Yudeni T/ M Rully A")</f>
        <v>Yudeni T/ M Rully A</v>
      </c>
      <c r="G274" s="13">
        <f t="shared" si="1"/>
        <v>259</v>
      </c>
      <c r="H274" s="13" t="str">
        <f>IFERROR(__xludf.DUMMYFUNCTION("""COMPUTED_VALUE"""),"P0")</f>
        <v>P0</v>
      </c>
    </row>
    <row r="275" ht="22.5" customHeight="1">
      <c r="B275" s="19" t="str">
        <f>IFERROR(__xludf.DUMMYFUNCTION("""COMPUTED_VALUE"""),"K/17/211024/1")</f>
        <v>K/17/211024/1</v>
      </c>
      <c r="C275" s="19" t="str">
        <f>IFERROR(__xludf.DUMMYFUNCTION("""COMPUTED_VALUE"""),"M. 4393/ Gunung Terang")</f>
        <v>M. 4393/ Gunung Terang</v>
      </c>
      <c r="D275" s="17">
        <f>IFERROR(__xludf.DUMMYFUNCTION("""COMPUTED_VALUE"""),45586.459929317134)</f>
        <v>45586.45993</v>
      </c>
      <c r="E275" s="13" t="str">
        <f>IFERROR(__xludf.DUMMYFUNCTION("""COMPUTED_VALUE"""),"BN Jual Beli")</f>
        <v>BN Jual Beli</v>
      </c>
      <c r="F275" s="13" t="str">
        <f>IFERROR(__xludf.DUMMYFUNCTION("""COMPUTED_VALUE"""),"A. Roswantama/ Meiliyana")</f>
        <v>A. Roswantama/ Meiliyana</v>
      </c>
      <c r="G275" s="13">
        <f t="shared" si="1"/>
        <v>260</v>
      </c>
      <c r="H275" s="13" t="str">
        <f>IFERROR(__xludf.DUMMYFUNCTION("""COMPUTED_VALUE"""),"P0")</f>
        <v>P0</v>
      </c>
    </row>
    <row r="276" ht="22.5" customHeight="1">
      <c r="B276" s="19" t="str">
        <f>IFERROR(__xludf.DUMMYFUNCTION("""COMPUTED_VALUE"""),"K/18/211024/1")</f>
        <v>K/18/211024/1</v>
      </c>
      <c r="C276" s="19" t="str">
        <f>IFERROR(__xludf.DUMMYFUNCTION("""COMPUTED_VALUE"""),"B. 209/ Campang Jaya")</f>
        <v>B. 209/ Campang Jaya</v>
      </c>
      <c r="D276" s="17">
        <f>IFERROR(__xludf.DUMMYFUNCTION("""COMPUTED_VALUE"""),45586.47370008102)</f>
        <v>45586.4737</v>
      </c>
      <c r="E276" s="13" t="str">
        <f>IFERROR(__xludf.DUMMYFUNCTION("""COMPUTED_VALUE"""),"Bn Jual Beli")</f>
        <v>Bn Jual Beli</v>
      </c>
      <c r="F276" s="13" t="str">
        <f>IFERROR(__xludf.DUMMYFUNCTION("""COMPUTED_VALUE"""),"eka sari taherah/ Riyanto")</f>
        <v>eka sari taherah/ Riyanto</v>
      </c>
      <c r="G276" s="13">
        <f t="shared" si="1"/>
        <v>261</v>
      </c>
      <c r="H276" s="13" t="str">
        <f>IFERROR(__xludf.DUMMYFUNCTION("""COMPUTED_VALUE"""),"P0")</f>
        <v>P0</v>
      </c>
    </row>
    <row r="277" ht="22.5" customHeight="1">
      <c r="B277" s="19" t="str">
        <f>IFERROR(__xludf.DUMMYFUNCTION("""COMPUTED_VALUE"""),"K/19/211024/2")</f>
        <v>K/19/211024/2</v>
      </c>
      <c r="C277" s="19" t="str">
        <f>IFERROR(__xludf.DUMMYFUNCTION("""COMPUTED_VALUE"""),"M. 4625/ Sukadana Ham")</f>
        <v>M. 4625/ Sukadana Ham</v>
      </c>
      <c r="D277" s="17">
        <f>IFERROR(__xludf.DUMMYFUNCTION("""COMPUTED_VALUE"""),45586.47666724537)</f>
        <v>45586.47667</v>
      </c>
      <c r="E277" s="13" t="str">
        <f>IFERROR(__xludf.DUMMYFUNCTION("""COMPUTED_VALUE"""),"BN Jual Beli")</f>
        <v>BN Jual Beli</v>
      </c>
      <c r="F277" s="13" t="str">
        <f>IFERROR(__xludf.DUMMYFUNCTION("""COMPUTED_VALUE"""),"Eka sari taherah/ nova astamin")</f>
        <v>Eka sari taherah/ nova astamin</v>
      </c>
      <c r="G277" s="13">
        <f t="shared" si="1"/>
        <v>262</v>
      </c>
      <c r="H277" s="13" t="str">
        <f>IFERROR(__xludf.DUMMYFUNCTION("""COMPUTED_VALUE"""),"P0")</f>
        <v>P0</v>
      </c>
    </row>
    <row r="278" ht="22.5" customHeight="1">
      <c r="B278" s="19" t="str">
        <f>IFERROR(__xludf.DUMMYFUNCTION("""COMPUTED_VALUE"""),"K/22/211024/1")</f>
        <v>K/22/211024/1</v>
      </c>
      <c r="C278" s="19" t="str">
        <f>IFERROR(__xludf.DUMMYFUNCTION("""COMPUTED_VALUE"""),"M. 2644/ Sumber Rejo")</f>
        <v>M. 2644/ Sumber Rejo</v>
      </c>
      <c r="D278" s="17">
        <f>IFERROR(__xludf.DUMMYFUNCTION("""COMPUTED_VALUE"""),45586.47820508102)</f>
        <v>45586.47821</v>
      </c>
      <c r="E278" s="13" t="str">
        <f>IFERROR(__xludf.DUMMYFUNCTION("""COMPUTED_VALUE"""),"BN Waris")</f>
        <v>BN Waris</v>
      </c>
      <c r="F278" s="13" t="str">
        <f>IFERROR(__xludf.DUMMYFUNCTION("""COMPUTED_VALUE"""),"Ajeng W/ Kuswan")</f>
        <v>Ajeng W/ Kuswan</v>
      </c>
      <c r="G278" s="13">
        <f t="shared" si="1"/>
        <v>263</v>
      </c>
      <c r="H278" s="13" t="str">
        <f>IFERROR(__xludf.DUMMYFUNCTION("""COMPUTED_VALUE"""),"P0")</f>
        <v>P0</v>
      </c>
    </row>
    <row r="279" ht="22.5" customHeight="1">
      <c r="B279" s="19" t="str">
        <f>IFERROR(__xludf.DUMMYFUNCTION("""COMPUTED_VALUE"""),"K/20/211024/3")</f>
        <v>K/20/211024/3</v>
      </c>
      <c r="C279" s="19" t="str">
        <f>IFERROR(__xludf.DUMMYFUNCTION("""COMPUTED_VALUE"""),"M. 2226/ kedaung")</f>
        <v>M. 2226/ kedaung</v>
      </c>
      <c r="D279" s="17">
        <f>IFERROR(__xludf.DUMMYFUNCTION("""COMPUTED_VALUE"""),45586.47962856482)</f>
        <v>45586.47963</v>
      </c>
      <c r="E279" s="13" t="str">
        <f>IFERROR(__xludf.DUMMYFUNCTION("""COMPUTED_VALUE"""),"BN Jual Beli")</f>
        <v>BN Jual Beli</v>
      </c>
      <c r="F279" s="13" t="str">
        <f>IFERROR(__xludf.DUMMYFUNCTION("""COMPUTED_VALUE"""),"eka sari taherah/ firda ningsih")</f>
        <v>eka sari taherah/ firda ningsih</v>
      </c>
      <c r="G279" s="13">
        <f t="shared" si="1"/>
        <v>264</v>
      </c>
      <c r="H279" s="13" t="str">
        <f>IFERROR(__xludf.DUMMYFUNCTION("""COMPUTED_VALUE"""),"P0")</f>
        <v>P0</v>
      </c>
    </row>
    <row r="280" ht="22.5" customHeight="1">
      <c r="B280" s="19" t="str">
        <f>IFERROR(__xludf.DUMMYFUNCTION("""COMPUTED_VALUE"""),"K/21/211024/4")</f>
        <v>K/21/211024/4</v>
      </c>
      <c r="C280" s="19" t="str">
        <f>IFERROR(__xludf.DUMMYFUNCTION("""COMPUTED_VALUE"""),"M. 2263/ Kedaung")</f>
        <v>M. 2263/ Kedaung</v>
      </c>
      <c r="D280" s="17">
        <f>IFERROR(__xludf.DUMMYFUNCTION("""COMPUTED_VALUE"""),45586.482989861106)</f>
        <v>45586.48299</v>
      </c>
      <c r="E280" s="13" t="str">
        <f>IFERROR(__xludf.DUMMYFUNCTION("""COMPUTED_VALUE"""),"BN Jual Beli")</f>
        <v>BN Jual Beli</v>
      </c>
      <c r="F280" s="13" t="str">
        <f>IFERROR(__xludf.DUMMYFUNCTION("""COMPUTED_VALUE"""),"Eka Sari Taherah/ Ferri Gunadi")</f>
        <v>Eka Sari Taherah/ Ferri Gunadi</v>
      </c>
      <c r="G280" s="13">
        <f t="shared" si="1"/>
        <v>265</v>
      </c>
      <c r="H280" s="13" t="str">
        <f>IFERROR(__xludf.DUMMYFUNCTION("""COMPUTED_VALUE"""),"P0")</f>
        <v>P0</v>
      </c>
    </row>
    <row r="281" ht="22.5" customHeight="1">
      <c r="B281" s="19" t="str">
        <f>IFERROR(__xludf.DUMMYFUNCTION("""COMPUTED_VALUE"""),"L/23/211024/1")</f>
        <v>L/23/211024/1</v>
      </c>
      <c r="C281" s="19" t="str">
        <f>IFERROR(__xludf.DUMMYFUNCTION("""COMPUTED_VALUE"""),"HGB 3764/BERINGIN RAYA")</f>
        <v>HGB 3764/BERINGIN RAYA</v>
      </c>
      <c r="D281" s="17">
        <f>IFERROR(__xludf.DUMMYFUNCTION("""COMPUTED_VALUE"""),45586.488383090276)</f>
        <v>45586.48838</v>
      </c>
      <c r="E281" s="13" t="str">
        <f>IFERROR(__xludf.DUMMYFUNCTION("""COMPUTED_VALUE"""),"PH")</f>
        <v>PH</v>
      </c>
      <c r="F281" s="13" t="str">
        <f>IFERROR(__xludf.DUMMYFUNCTION("""COMPUTED_VALUE"""),"RIFAI ISRON SALEH")</f>
        <v>RIFAI ISRON SALEH</v>
      </c>
      <c r="G281" s="13">
        <f t="shared" si="1"/>
        <v>266</v>
      </c>
      <c r="H281" s="13" t="str">
        <f>IFERROR(__xludf.DUMMYFUNCTION("""COMPUTED_VALUE"""),"P0")</f>
        <v>P0</v>
      </c>
    </row>
    <row r="282" ht="22.5" customHeight="1">
      <c r="B282" s="19" t="str">
        <f>IFERROR(__xludf.DUMMYFUNCTION("""COMPUTED_VALUE"""),"K/24/211024/1")</f>
        <v>K/24/211024/1</v>
      </c>
      <c r="C282" s="19" t="str">
        <f>IFERROR(__xludf.DUMMYFUNCTION("""COMPUTED_VALUE"""),"M. 12665/ Kali Balau Kencana-sekarang; M. 12665/ Tanjung Baru- dahulu")</f>
        <v>M. 12665/ Kali Balau Kencana-sekarang; M. 12665/ Tanjung Baru- dahulu</v>
      </c>
      <c r="D282" s="17">
        <f>IFERROR(__xludf.DUMMYFUNCTION("""COMPUTED_VALUE"""),45586.493045428244)</f>
        <v>45586.49305</v>
      </c>
      <c r="E282" s="13" t="str">
        <f>IFERROR(__xludf.DUMMYFUNCTION("""COMPUTED_VALUE"""),"BN Waris")</f>
        <v>BN Waris</v>
      </c>
      <c r="F282" s="13" t="str">
        <f>IFERROR(__xludf.DUMMYFUNCTION("""COMPUTED_VALUE"""),"Nur Hayati/ Ani Liani CS")</f>
        <v>Nur Hayati/ Ani Liani CS</v>
      </c>
      <c r="G282" s="13">
        <f t="shared" si="1"/>
        <v>267</v>
      </c>
      <c r="H282" s="13" t="str">
        <f>IFERROR(__xludf.DUMMYFUNCTION("""COMPUTED_VALUE"""),"P0")</f>
        <v>P0</v>
      </c>
    </row>
    <row r="283" ht="22.5" customHeight="1">
      <c r="B283" s="19" t="str">
        <f>IFERROR(__xludf.DUMMYFUNCTION("""COMPUTED_VALUE"""),"K/25/211024/2")</f>
        <v>K/25/211024/2</v>
      </c>
      <c r="C283" s="19" t="str">
        <f>IFERROR(__xludf.DUMMYFUNCTION("""COMPUTED_VALUE"""),"M. 215/ Beringin Raya")</f>
        <v>M. 215/ Beringin Raya</v>
      </c>
      <c r="D283" s="17">
        <f>IFERROR(__xludf.DUMMYFUNCTION("""COMPUTED_VALUE"""),45586.49594504629)</f>
        <v>45586.49595</v>
      </c>
      <c r="E283" s="13" t="str">
        <f>IFERROR(__xludf.DUMMYFUNCTION("""COMPUTED_VALUE"""),"BN Jual Beli")</f>
        <v>BN Jual Beli</v>
      </c>
      <c r="F283" s="13" t="str">
        <f>IFERROR(__xludf.DUMMYFUNCTION("""COMPUTED_VALUE"""),"Nur Hayati/ Iskandar")</f>
        <v>Nur Hayati/ Iskandar</v>
      </c>
      <c r="G283" s="13">
        <f t="shared" si="1"/>
        <v>268</v>
      </c>
      <c r="H283" s="13" t="str">
        <f>IFERROR(__xludf.DUMMYFUNCTION("""COMPUTED_VALUE"""),"P0")</f>
        <v>P0</v>
      </c>
    </row>
    <row r="284" ht="22.5" customHeight="1">
      <c r="B284" s="19" t="str">
        <f>IFERROR(__xludf.DUMMYFUNCTION("""COMPUTED_VALUE"""),"L/26/211024/1")</f>
        <v>L/26/211024/1</v>
      </c>
      <c r="C284" s="19" t="str">
        <f>IFERROR(__xludf.DUMMYFUNCTION("""COMPUTED_VALUE"""),"B.97/BILABONG JAYA;B.28/SUSUNAN BARU-DAHULU")</f>
        <v>B.97/BILABONG JAYA;B.28/SUSUNAN BARU-DAHULU</v>
      </c>
      <c r="D284" s="17">
        <f>IFERROR(__xludf.DUMMYFUNCTION("""COMPUTED_VALUE"""),45586.554170682866)</f>
        <v>45586.55417</v>
      </c>
      <c r="E284" s="13" t="str">
        <f>IFERROR(__xludf.DUMMYFUNCTION("""COMPUTED_VALUE"""),"PERUBAHAN HAK")</f>
        <v>PERUBAHAN HAK</v>
      </c>
      <c r="F284" s="13" t="str">
        <f>IFERROR(__xludf.DUMMYFUNCTION("""COMPUTED_VALUE"""),"ETIK YULIANTI")</f>
        <v>ETIK YULIANTI</v>
      </c>
      <c r="G284" s="13">
        <f t="shared" si="1"/>
        <v>269</v>
      </c>
      <c r="H284" s="13" t="str">
        <f>IFERROR(__xludf.DUMMYFUNCTION("""COMPUTED_VALUE"""),"P0")</f>
        <v>P0</v>
      </c>
    </row>
    <row r="285" ht="22.5" customHeight="1">
      <c r="B285" s="19" t="str">
        <f>IFERROR(__xludf.DUMMYFUNCTION("""COMPUTED_VALUE"""),"K/27/211024/1")</f>
        <v>K/27/211024/1</v>
      </c>
      <c r="C285" s="19" t="str">
        <f>IFERROR(__xludf.DUMMYFUNCTION("""COMPUTED_VALUE"""),"M. 1717/ Batu Putuk")</f>
        <v>M. 1717/ Batu Putuk</v>
      </c>
      <c r="D285" s="17">
        <f>IFERROR(__xludf.DUMMYFUNCTION("""COMPUTED_VALUE"""),45586.56267208333)</f>
        <v>45586.56267</v>
      </c>
      <c r="E285" s="13" t="str">
        <f>IFERROR(__xludf.DUMMYFUNCTION("""COMPUTED_VALUE"""),"PTPGT (Pemecahan)")</f>
        <v>PTPGT (Pemecahan)</v>
      </c>
      <c r="F285" s="13" t="str">
        <f>IFERROR(__xludf.DUMMYFUNCTION("""COMPUTED_VALUE"""),"Paimo Saputra/ Waras S")</f>
        <v>Paimo Saputra/ Waras S</v>
      </c>
      <c r="G285" s="13">
        <f t="shared" si="1"/>
        <v>270</v>
      </c>
      <c r="H285" s="13" t="str">
        <f>IFERROR(__xludf.DUMMYFUNCTION("""COMPUTED_VALUE"""),"P0")</f>
        <v>P0</v>
      </c>
    </row>
    <row r="286" ht="22.5" customHeight="1">
      <c r="B286" s="19" t="str">
        <f>IFERROR(__xludf.DUMMYFUNCTION("""COMPUTED_VALUE"""),"L/28/211024/1")</f>
        <v>L/28/211024/1</v>
      </c>
      <c r="C286" s="19" t="str">
        <f>IFERROR(__xludf.DUMMYFUNCTION("""COMPUTED_VALUE"""),"HM 2414/KUPANG TEBA")</f>
        <v>HM 2414/KUPANG TEBA</v>
      </c>
      <c r="D286" s="17">
        <f>IFERROR(__xludf.DUMMYFUNCTION("""COMPUTED_VALUE"""),45586.563376018516)</f>
        <v>45586.56338</v>
      </c>
      <c r="E286" s="13" t="str">
        <f>IFERROR(__xludf.DUMMYFUNCTION("""COMPUTED_VALUE"""),"ROYA")</f>
        <v>ROYA</v>
      </c>
      <c r="F286" s="13" t="str">
        <f>IFERROR(__xludf.DUMMYFUNCTION("""COMPUTED_VALUE"""),"WARSONO")</f>
        <v>WARSONO</v>
      </c>
      <c r="G286" s="13">
        <f t="shared" si="1"/>
        <v>271</v>
      </c>
      <c r="H286" s="13" t="str">
        <f>IFERROR(__xludf.DUMMYFUNCTION("""COMPUTED_VALUE"""),"P0")</f>
        <v>P0</v>
      </c>
    </row>
    <row r="287" ht="22.5" customHeight="1">
      <c r="B287" s="19" t="str">
        <f>IFERROR(__xludf.DUMMYFUNCTION("""COMPUTED_VALUE"""),"K/29/211024/1")</f>
        <v>K/29/211024/1</v>
      </c>
      <c r="C287" s="19" t="str">
        <f>IFERROR(__xludf.DUMMYFUNCTION("""COMPUTED_VALUE"""),"M. 14789/ Sukarame; B. 2781/ Sukarame-dahulu; SHT 2097/2010 dan SHT 1880/2008")</f>
        <v>M. 14789/ Sukarame; B. 2781/ Sukarame-dahulu; SHT 2097/2010 dan SHT 1880/2008</v>
      </c>
      <c r="D287" s="17">
        <f>IFERROR(__xludf.DUMMYFUNCTION("""COMPUTED_VALUE"""),45586.57569236111)</f>
        <v>45586.57569</v>
      </c>
      <c r="E287" s="13" t="str">
        <f>IFERROR(__xludf.DUMMYFUNCTION("""COMPUTED_VALUE"""),"Roya")</f>
        <v>Roya</v>
      </c>
      <c r="F287" s="13" t="str">
        <f>IFERROR(__xludf.DUMMYFUNCTION("""COMPUTED_VALUE"""),"Richard Adi P/ Herfina")</f>
        <v>Richard Adi P/ Herfina</v>
      </c>
      <c r="G287" s="13">
        <f t="shared" si="1"/>
        <v>272</v>
      </c>
      <c r="H287" s="13" t="str">
        <f>IFERROR(__xludf.DUMMYFUNCTION("""COMPUTED_VALUE"""),"P0")</f>
        <v>P0</v>
      </c>
    </row>
    <row r="288" ht="22.5" customHeight="1">
      <c r="B288" s="19" t="str">
        <f>IFERROR(__xludf.DUMMYFUNCTION("""COMPUTED_VALUE"""),"K/30/211024/2")</f>
        <v>K/30/211024/2</v>
      </c>
      <c r="C288" s="19" t="str">
        <f>IFERROR(__xludf.DUMMYFUNCTION("""COMPUTED_VALUE"""),"M. 2661/ Sukarame Baru")</f>
        <v>M. 2661/ Sukarame Baru</v>
      </c>
      <c r="D288" s="17">
        <f>IFERROR(__xludf.DUMMYFUNCTION("""COMPUTED_VALUE"""),45586.577285231484)</f>
        <v>45586.57729</v>
      </c>
      <c r="E288" s="13" t="str">
        <f>IFERROR(__xludf.DUMMYFUNCTION("""COMPUTED_VALUE"""),"BN Jual Beli")</f>
        <v>BN Jual Beli</v>
      </c>
      <c r="F288" s="13" t="str">
        <f>IFERROR(__xludf.DUMMYFUNCTION("""COMPUTED_VALUE"""),"Richar Adi P/ Angga Aldimas")</f>
        <v>Richar Adi P/ Angga Aldimas</v>
      </c>
      <c r="G288" s="13">
        <f t="shared" si="1"/>
        <v>273</v>
      </c>
      <c r="H288" s="13" t="str">
        <f>IFERROR(__xludf.DUMMYFUNCTION("""COMPUTED_VALUE"""),"P0")</f>
        <v>P0</v>
      </c>
    </row>
    <row r="289" ht="22.5" customHeight="1">
      <c r="B289" s="19" t="str">
        <f>IFERROR(__xludf.DUMMYFUNCTION("""COMPUTED_VALUE"""),"K/31/211024/1")</f>
        <v>K/31/211024/1</v>
      </c>
      <c r="C289" s="19" t="str">
        <f>IFERROR(__xludf.DUMMYFUNCTION("""COMPUTED_VALUE"""),"M.658/GUNUNG TERANG")</f>
        <v>M.658/GUNUNG TERANG</v>
      </c>
      <c r="D289" s="17">
        <f>IFERROR(__xludf.DUMMYFUNCTION("""COMPUTED_VALUE"""),45586.57799196759)</f>
        <v>45586.57799</v>
      </c>
      <c r="E289" s="13" t="str">
        <f>IFERROR(__xludf.DUMMYFUNCTION("""COMPUTED_VALUE"""),"PLOTING")</f>
        <v>PLOTING</v>
      </c>
      <c r="F289" s="13" t="str">
        <f>IFERROR(__xludf.DUMMYFUNCTION("""COMPUTED_VALUE"""),"HERNANTO DWI NUGROHO/TONY AZHARI")</f>
        <v>HERNANTO DWI NUGROHO/TONY AZHARI</v>
      </c>
      <c r="G289" s="13">
        <f t="shared" si="1"/>
        <v>274</v>
      </c>
      <c r="H289" s="13" t="str">
        <f>IFERROR(__xludf.DUMMYFUNCTION("""COMPUTED_VALUE"""),"P0")</f>
        <v>P0</v>
      </c>
    </row>
    <row r="290" ht="22.5" customHeight="1">
      <c r="B290" s="19" t="str">
        <f>IFERROR(__xludf.DUMMYFUNCTION("""COMPUTED_VALUE"""),"K/32/211024/1")</f>
        <v>K/32/211024/1</v>
      </c>
      <c r="C290" s="19" t="str">
        <f>IFERROR(__xludf.DUMMYFUNCTION("""COMPUTED_VALUE"""),"M.466/GUBUNG MAS-SEKARANG;M 466/GUNUNG MAS -DAHULU")</f>
        <v>M.466/GUBUNG MAS-SEKARANG;M 466/GUNUNG MAS -DAHULU</v>
      </c>
      <c r="D290" s="17">
        <f>IFERROR(__xludf.DUMMYFUNCTION("""COMPUTED_VALUE"""),45586.57933738426)</f>
        <v>45586.57934</v>
      </c>
      <c r="E290" s="13" t="str">
        <f>IFERROR(__xludf.DUMMYFUNCTION("""COMPUTED_VALUE"""),"PLOT")</f>
        <v>PLOT</v>
      </c>
      <c r="F290" s="13" t="str">
        <f>IFERROR(__xludf.DUMMYFUNCTION("""COMPUTED_VALUE"""),"MUHAMMAD MIRZA /RENALDY PRATAMA SIRYA")</f>
        <v>MUHAMMAD MIRZA /RENALDY PRATAMA SIRYA</v>
      </c>
      <c r="G290" s="13">
        <f t="shared" si="1"/>
        <v>275</v>
      </c>
      <c r="H290" s="13" t="str">
        <f>IFERROR(__xludf.DUMMYFUNCTION("""COMPUTED_VALUE"""),"P0")</f>
        <v>P0</v>
      </c>
    </row>
    <row r="291" ht="22.5" customHeight="1">
      <c r="B291" s="19" t="str">
        <f>IFERROR(__xludf.DUMMYFUNCTION("""COMPUTED_VALUE"""),"L/33/211024/1")</f>
        <v>L/33/211024/1</v>
      </c>
      <c r="C291" s="19" t="str">
        <f>IFERROR(__xludf.DUMMYFUNCTION("""COMPUTED_VALUE"""),"HM 180/PINANG JAYA")</f>
        <v>HM 180/PINANG JAYA</v>
      </c>
      <c r="D291" s="17">
        <f>IFERROR(__xludf.DUMMYFUNCTION("""COMPUTED_VALUE"""),45586.58033521991)</f>
        <v>45586.58034</v>
      </c>
      <c r="E291" s="13" t="str">
        <f>IFERROR(__xludf.DUMMYFUNCTION("""COMPUTED_VALUE"""),"ROYA")</f>
        <v>ROYA</v>
      </c>
      <c r="F291" s="13" t="str">
        <f>IFERROR(__xludf.DUMMYFUNCTION("""COMPUTED_VALUE"""),"NURLELA")</f>
        <v>NURLELA</v>
      </c>
      <c r="G291" s="13">
        <f t="shared" si="1"/>
        <v>276</v>
      </c>
      <c r="H291" s="13" t="str">
        <f>IFERROR(__xludf.DUMMYFUNCTION("""COMPUTED_VALUE"""),"P0")</f>
        <v>P0</v>
      </c>
    </row>
    <row r="292" ht="22.5" customHeight="1">
      <c r="B292" s="19" t="str">
        <f>IFERROR(__xludf.DUMMYFUNCTION("""COMPUTED_VALUE"""),"K/34/211024/1")</f>
        <v>K/34/211024/1</v>
      </c>
      <c r="C292" s="19" t="str">
        <f>IFERROR(__xludf.DUMMYFUNCTION("""COMPUTED_VALUE"""),"M. 1594/ langkapura")</f>
        <v>M. 1594/ langkapura</v>
      </c>
      <c r="D292" s="17">
        <f>IFERROR(__xludf.DUMMYFUNCTION("""COMPUTED_VALUE"""),45586.58868630787)</f>
        <v>45586.58869</v>
      </c>
      <c r="E292" s="13" t="str">
        <f>IFERROR(__xludf.DUMMYFUNCTION("""COMPUTED_VALUE"""),"SKPT Lelang")</f>
        <v>SKPT Lelang</v>
      </c>
      <c r="F292" s="13" t="str">
        <f>IFERROR(__xludf.DUMMYFUNCTION("""COMPUTED_VALUE"""),"agus supriyanti")</f>
        <v>agus supriyanti</v>
      </c>
      <c r="G292" s="13">
        <f t="shared" si="1"/>
        <v>277</v>
      </c>
      <c r="H292" s="13" t="str">
        <f>IFERROR(__xludf.DUMMYFUNCTION("""COMPUTED_VALUE"""),"P0")</f>
        <v>P0</v>
      </c>
    </row>
    <row r="293" ht="22.5" customHeight="1">
      <c r="B293" s="19" t="str">
        <f>IFERROR(__xludf.DUMMYFUNCTION("""COMPUTED_VALUE"""),"K/35/211024/2")</f>
        <v>K/35/211024/2</v>
      </c>
      <c r="C293" s="19" t="str">
        <f>IFERROR(__xludf.DUMMYFUNCTION("""COMPUTED_VALUE"""),"M.181/ Bumi Kedamaian")</f>
        <v>M.181/ Bumi Kedamaian</v>
      </c>
      <c r="D293" s="17">
        <f>IFERROR(__xludf.DUMMYFUNCTION("""COMPUTED_VALUE"""),45586.59003659722)</f>
        <v>45586.59004</v>
      </c>
      <c r="E293" s="13" t="str">
        <f>IFERROR(__xludf.DUMMYFUNCTION("""COMPUTED_VALUE"""),"SKPT LELANG")</f>
        <v>SKPT LELANG</v>
      </c>
      <c r="F293" s="13" t="str">
        <f>IFERROR(__xludf.DUMMYFUNCTION("""COMPUTED_VALUE"""),"AGUS SUPRIYANTO")</f>
        <v>AGUS SUPRIYANTO</v>
      </c>
      <c r="G293" s="13">
        <f t="shared" si="1"/>
        <v>278</v>
      </c>
      <c r="H293" s="13" t="str">
        <f>IFERROR(__xludf.DUMMYFUNCTION("""COMPUTED_VALUE"""),"P0")</f>
        <v>P0</v>
      </c>
    </row>
    <row r="294" ht="22.5" customHeight="1">
      <c r="B294" s="19" t="str">
        <f>IFERROR(__xludf.DUMMYFUNCTION("""COMPUTED_VALUE"""),"K/36/211024/3")</f>
        <v>K/36/211024/3</v>
      </c>
      <c r="C294" s="19" t="str">
        <f>IFERROR(__xludf.DUMMYFUNCTION("""COMPUTED_VALUE"""),"M. 977/ Tanjung Gading")</f>
        <v>M. 977/ Tanjung Gading</v>
      </c>
      <c r="D294" s="17">
        <f>IFERROR(__xludf.DUMMYFUNCTION("""COMPUTED_VALUE"""),45586.59182375)</f>
        <v>45586.59182</v>
      </c>
      <c r="E294" s="13" t="str">
        <f>IFERROR(__xludf.DUMMYFUNCTION("""COMPUTED_VALUE"""),"SKPT Lelang")</f>
        <v>SKPT Lelang</v>
      </c>
      <c r="F294" s="13" t="str">
        <f>IFERROR(__xludf.DUMMYFUNCTION("""COMPUTED_VALUE"""),"Agus Supriyanto")</f>
        <v>Agus Supriyanto</v>
      </c>
      <c r="G294" s="13">
        <f t="shared" si="1"/>
        <v>279</v>
      </c>
      <c r="H294" s="13" t="str">
        <f>IFERROR(__xludf.DUMMYFUNCTION("""COMPUTED_VALUE"""),"P0")</f>
        <v>P0</v>
      </c>
    </row>
    <row r="295" ht="22.5" customHeight="1">
      <c r="B295" s="19" t="str">
        <f>IFERROR(__xludf.DUMMYFUNCTION("""COMPUTED_VALUE"""),"K/38/211024/1")</f>
        <v>K/38/211024/1</v>
      </c>
      <c r="C295" s="19" t="str">
        <f>IFERROR(__xludf.DUMMYFUNCTION("""COMPUTED_VALUE"""),"PBT 26/2024 KEL. WAY LAGA ")</f>
        <v>PBT 26/2024 KEL. WAY LAGA </v>
      </c>
      <c r="D295" s="17">
        <f>IFERROR(__xludf.DUMMYFUNCTION("""COMPUTED_VALUE"""),45586.59239065972)</f>
        <v>45586.59239</v>
      </c>
      <c r="E295" s="13" t="str">
        <f>IFERROR(__xludf.DUMMYFUNCTION("""COMPUTED_VALUE"""),"PERMOHONAN SK")</f>
        <v>PERMOHONAN SK</v>
      </c>
      <c r="F295" s="13" t="str">
        <f>IFERROR(__xludf.DUMMYFUNCTION("""COMPUTED_VALUE"""),"BPJN LAMPUNG/WAHYUDIN")</f>
        <v>BPJN LAMPUNG/WAHYUDIN</v>
      </c>
      <c r="G295" s="13">
        <f t="shared" si="1"/>
        <v>280</v>
      </c>
      <c r="H295" s="13" t="str">
        <f>IFERROR(__xludf.DUMMYFUNCTION("""COMPUTED_VALUE"""),"P0")</f>
        <v>P0</v>
      </c>
    </row>
    <row r="296" ht="22.5" customHeight="1">
      <c r="B296" s="19" t="str">
        <f>IFERROR(__xludf.DUMMYFUNCTION("""COMPUTED_VALUE"""),"K/37/211024/1")</f>
        <v>K/37/211024/1</v>
      </c>
      <c r="C296" s="19" t="str">
        <f>IFERROR(__xludf.DUMMYFUNCTION("""COMPUTED_VALUE"""),"B. 354/ Kangkung; PBT. 98/2024")</f>
        <v>B. 354/ Kangkung; PBT. 98/2024</v>
      </c>
      <c r="D296" s="17">
        <f>IFERROR(__xludf.DUMMYFUNCTION("""COMPUTED_VALUE"""),45586.59264203704)</f>
        <v>45586.59264</v>
      </c>
      <c r="E296" s="13" t="str">
        <f>IFERROR(__xludf.DUMMYFUNCTION("""COMPUTED_VALUE"""),"PTPGT (Hgb Berakhir)")</f>
        <v>PTPGT (Hgb Berakhir)</v>
      </c>
      <c r="F296" s="13" t="str">
        <f>IFERROR(__xludf.DUMMYFUNCTION("""COMPUTED_VALUE"""),"David Handoko/ Ermina")</f>
        <v>David Handoko/ Ermina</v>
      </c>
      <c r="G296" s="13">
        <f t="shared" si="1"/>
        <v>281</v>
      </c>
      <c r="H296" s="13" t="str">
        <f>IFERROR(__xludf.DUMMYFUNCTION("""COMPUTED_VALUE"""),"P0")</f>
        <v>P0</v>
      </c>
    </row>
    <row r="297" ht="22.5" customHeight="1">
      <c r="B297" s="19" t="str">
        <f>IFERROR(__xludf.DUMMYFUNCTION("""COMPUTED_VALUE"""),"L/40/211024/1")</f>
        <v>L/40/211024/1</v>
      </c>
      <c r="C297" s="19" t="str">
        <f>IFERROR(__xludf.DUMMYFUNCTION("""COMPUTED_VALUE"""),"HM 101/KEMILING RAYA")</f>
        <v>HM 101/KEMILING RAYA</v>
      </c>
      <c r="D297" s="17">
        <f>IFERROR(__xludf.DUMMYFUNCTION("""COMPUTED_VALUE"""),45586.59312777778)</f>
        <v>45586.59313</v>
      </c>
      <c r="E297" s="13" t="str">
        <f>IFERROR(__xludf.DUMMYFUNCTION("""COMPUTED_VALUE"""),"ROYA LELANG")</f>
        <v>ROYA LELANG</v>
      </c>
      <c r="F297" s="13" t="str">
        <f>IFERROR(__xludf.DUMMYFUNCTION("""COMPUTED_VALUE"""),"RIZKY PRIMASARI AMALIA")</f>
        <v>RIZKY PRIMASARI AMALIA</v>
      </c>
      <c r="G297" s="13">
        <f t="shared" si="1"/>
        <v>282</v>
      </c>
      <c r="H297" s="13" t="str">
        <f>IFERROR(__xludf.DUMMYFUNCTION("""COMPUTED_VALUE"""),"P0")</f>
        <v>P0</v>
      </c>
    </row>
    <row r="298" ht="22.5" customHeight="1">
      <c r="B298" s="19" t="str">
        <f>IFERROR(__xludf.DUMMYFUNCTION("""COMPUTED_VALUE"""),"K/39/211024/2")</f>
        <v>K/39/211024/2</v>
      </c>
      <c r="C298" s="19" t="str">
        <f>IFERROR(__xludf.DUMMYFUNCTION("""COMPUTED_VALUE"""),"PBT 27/2024 KEL. WAY GUBAK")</f>
        <v>PBT 27/2024 KEL. WAY GUBAK</v>
      </c>
      <c r="D298" s="17">
        <f>IFERROR(__xludf.DUMMYFUNCTION("""COMPUTED_VALUE"""),45586.59960403935)</f>
        <v>45586.5996</v>
      </c>
      <c r="E298" s="13" t="str">
        <f>IFERROR(__xludf.DUMMYFUNCTION("""COMPUTED_VALUE"""),"PERMOHONAN SK")</f>
        <v>PERMOHONAN SK</v>
      </c>
      <c r="F298" s="13" t="str">
        <f>IFERROR(__xludf.DUMMYFUNCTION("""COMPUTED_VALUE"""),"BPJN LAMPUNG/WAHYUDIN ")</f>
        <v>BPJN LAMPUNG/WAHYUDIN </v>
      </c>
      <c r="G298" s="13">
        <f t="shared" si="1"/>
        <v>283</v>
      </c>
      <c r="H298" s="13" t="str">
        <f>IFERROR(__xludf.DUMMYFUNCTION("""COMPUTED_VALUE"""),"P0")</f>
        <v>P0</v>
      </c>
    </row>
    <row r="299" ht="22.5" customHeight="1">
      <c r="B299" s="19" t="str">
        <f>IFERROR(__xludf.DUMMYFUNCTION("""COMPUTED_VALUE"""),"K/41/211024/1")</f>
        <v>K/41/211024/1</v>
      </c>
      <c r="C299" s="19" t="str">
        <f>IFERROR(__xludf.DUMMYFUNCTION("""COMPUTED_VALUE"""),"B.569/NUSANTARA PERMAI-SEKARANG;B.336/CAMPANG RAYA-DAHULU")</f>
        <v>B.569/NUSANTARA PERMAI-SEKARANG;B.336/CAMPANG RAYA-DAHULU</v>
      </c>
      <c r="D299" s="17">
        <f>IFERROR(__xludf.DUMMYFUNCTION("""COMPUTED_VALUE"""),45586.60118070601)</f>
        <v>45586.60118</v>
      </c>
      <c r="E299" s="13" t="str">
        <f>IFERROR(__xludf.DUMMYFUNCTION("""COMPUTED_VALUE"""),"PENINGKATAN HAK")</f>
        <v>PENINGKATAN HAK</v>
      </c>
      <c r="F299" s="13" t="str">
        <f>IFERROR(__xludf.DUMMYFUNCTION("""COMPUTED_VALUE"""),"TAMAULI SITOHANG/SAHAT VAULIAN")</f>
        <v>TAMAULI SITOHANG/SAHAT VAULIAN</v>
      </c>
      <c r="G299" s="13">
        <f t="shared" si="1"/>
        <v>284</v>
      </c>
      <c r="H299" s="13" t="str">
        <f>IFERROR(__xludf.DUMMYFUNCTION("""COMPUTED_VALUE"""),"P0")</f>
        <v>P0</v>
      </c>
    </row>
    <row r="300" ht="22.5" customHeight="1">
      <c r="B300" s="19" t="str">
        <f>IFERROR(__xludf.DUMMYFUNCTION("""COMPUTED_VALUE"""),"K/44/211024/1")</f>
        <v>K/44/211024/1</v>
      </c>
      <c r="C300" s="19" t="str">
        <f>IFERROR(__xludf.DUMMYFUNCTION("""COMPUTED_VALUE"""),"M. 19255/ Sukarame")</f>
        <v>M. 19255/ Sukarame</v>
      </c>
      <c r="D300" s="17">
        <f>IFERROR(__xludf.DUMMYFUNCTION("""COMPUTED_VALUE"""),45586.60514197916)</f>
        <v>45586.60514</v>
      </c>
      <c r="E300" s="13" t="str">
        <f>IFERROR(__xludf.DUMMYFUNCTION("""COMPUTED_VALUE"""),"BN Jual Beli")</f>
        <v>BN Jual Beli</v>
      </c>
      <c r="F300" s="13" t="str">
        <f>IFERROR(__xludf.DUMMYFUNCTION("""COMPUTED_VALUE"""),"nuryati/ Ridho Saputra")</f>
        <v>nuryati/ Ridho Saputra</v>
      </c>
      <c r="G300" s="13">
        <f t="shared" si="1"/>
        <v>285</v>
      </c>
      <c r="H300" s="13" t="str">
        <f>IFERROR(__xludf.DUMMYFUNCTION("""COMPUTED_VALUE"""),"P0")</f>
        <v>P0</v>
      </c>
    </row>
    <row r="301" ht="22.5" customHeight="1">
      <c r="B301" s="19" t="str">
        <f>IFERROR(__xludf.DUMMYFUNCTION("""COMPUTED_VALUE"""),"K/45/211024/1")</f>
        <v>K/45/211024/1</v>
      </c>
      <c r="C301" s="19" t="str">
        <f>IFERROR(__xludf.DUMMYFUNCTION("""COMPUTED_VALUE"""),"M. 2245/ Sukarame Baru; B. 4947/Sukarame-dahulu")</f>
        <v>M. 2245/ Sukarame Baru; B. 4947/Sukarame-dahulu</v>
      </c>
      <c r="D301" s="17">
        <f>IFERROR(__xludf.DUMMYFUNCTION("""COMPUTED_VALUE"""),45586.60815702546)</f>
        <v>45586.60816</v>
      </c>
      <c r="E301" s="13" t="str">
        <f>IFERROR(__xludf.DUMMYFUNCTION("""COMPUTED_VALUE"""),"BN Jual Beli")</f>
        <v>BN Jual Beli</v>
      </c>
      <c r="F301" s="13" t="str">
        <f>IFERROR(__xludf.DUMMYFUNCTION("""COMPUTED_VALUE"""),"Ayi Ruhiat/ Mas Panji S")</f>
        <v>Ayi Ruhiat/ Mas Panji S</v>
      </c>
      <c r="G301" s="13">
        <f t="shared" si="1"/>
        <v>286</v>
      </c>
      <c r="H301" s="13" t="str">
        <f>IFERROR(__xludf.DUMMYFUNCTION("""COMPUTED_VALUE"""),"P0")</f>
        <v>P0</v>
      </c>
    </row>
    <row r="302" ht="22.5" customHeight="1">
      <c r="B302" s="19" t="str">
        <f>IFERROR(__xludf.DUMMYFUNCTION("""COMPUTED_VALUE"""),"K/46/211024/2")</f>
        <v>K/46/211024/2</v>
      </c>
      <c r="C302" s="19" t="str">
        <f>IFERROR(__xludf.DUMMYFUNCTION("""COMPUTED_VALUE"""),"B. 1717/ Jagabaya II; SHT 5850/2013 dan SHT 763/2015")</f>
        <v>B. 1717/ Jagabaya II; SHT 5850/2013 dan SHT 763/2015</v>
      </c>
      <c r="D302" s="17">
        <f>IFERROR(__xludf.DUMMYFUNCTION("""COMPUTED_VALUE"""),45586.621708935185)</f>
        <v>45586.62171</v>
      </c>
      <c r="E302" s="13" t="str">
        <f>IFERROR(__xludf.DUMMYFUNCTION("""COMPUTED_VALUE"""),"Roya")</f>
        <v>Roya</v>
      </c>
      <c r="F302" s="13" t="str">
        <f>IFERROR(__xludf.DUMMYFUNCTION("""COMPUTED_VALUE"""),"Ayi Ruhiat/ M. Fauzi K")</f>
        <v>Ayi Ruhiat/ M. Fauzi K</v>
      </c>
      <c r="G302" s="13">
        <f t="shared" si="1"/>
        <v>287</v>
      </c>
      <c r="H302" s="13" t="str">
        <f>IFERROR(__xludf.DUMMYFUNCTION("""COMPUTED_VALUE"""),"P0")</f>
        <v>P0</v>
      </c>
    </row>
    <row r="303" ht="22.5" customHeight="1">
      <c r="B303" s="19" t="str">
        <f>IFERROR(__xludf.DUMMYFUNCTION("""COMPUTED_VALUE"""),"K/47/211024/1")</f>
        <v>K/47/211024/1</v>
      </c>
      <c r="C303" s="19" t="str">
        <f>IFERROR(__xludf.DUMMYFUNCTION("""COMPUTED_VALUE"""),"M.2704/SUKARAME BARU-SEKARANG;B.986/SUKARAME -DAHULU")</f>
        <v>M.2704/SUKARAME BARU-SEKARANG;B.986/SUKARAME -DAHULU</v>
      </c>
      <c r="D303" s="17">
        <f>IFERROR(__xludf.DUMMYFUNCTION("""COMPUTED_VALUE"""),45586.61618981481)</f>
        <v>45586.61619</v>
      </c>
      <c r="E303" s="13" t="str">
        <f>IFERROR(__xludf.DUMMYFUNCTION("""COMPUTED_VALUE"""),"PERALIHAN JUAL BELI")</f>
        <v>PERALIHAN JUAL BELI</v>
      </c>
      <c r="F303" s="13" t="str">
        <f>IFERROR(__xludf.DUMMYFUNCTION("""COMPUTED_VALUE"""),"RADEN MUHAMAD ILYAS/ARIE MAULUDI")</f>
        <v>RADEN MUHAMAD ILYAS/ARIE MAULUDI</v>
      </c>
      <c r="G303" s="13">
        <f t="shared" si="1"/>
        <v>288</v>
      </c>
      <c r="H303" s="13" t="str">
        <f>IFERROR(__xludf.DUMMYFUNCTION("""COMPUTED_VALUE"""),"P0")</f>
        <v>P0</v>
      </c>
    </row>
    <row r="304" ht="22.5" customHeight="1">
      <c r="B304" s="19" t="str">
        <f>IFERROR(__xludf.DUMMYFUNCTION("""COMPUTED_VALUE"""),"K/48/211024/1")</f>
        <v>K/48/211024/1</v>
      </c>
      <c r="C304" s="19" t="str">
        <f>IFERROR(__xludf.DUMMYFUNCTION("""COMPUTED_VALUE"""),"M. 240/ Kemiling Permai")</f>
        <v>M. 240/ Kemiling Permai</v>
      </c>
      <c r="D304" s="17">
        <f>IFERROR(__xludf.DUMMYFUNCTION("""COMPUTED_VALUE"""),45586.61763685185)</f>
        <v>45586.61764</v>
      </c>
      <c r="E304" s="13" t="str">
        <f>IFERROR(__xludf.DUMMYFUNCTION("""COMPUTED_VALUE"""),"BN Jual Beli")</f>
        <v>BN Jual Beli</v>
      </c>
      <c r="F304" s="13" t="str">
        <f>IFERROR(__xludf.DUMMYFUNCTION("""COMPUTED_VALUE"""),"Reflan Rasyid/ Ari Pran")</f>
        <v>Reflan Rasyid/ Ari Pran</v>
      </c>
      <c r="G304" s="13">
        <f t="shared" si="1"/>
        <v>289</v>
      </c>
      <c r="H304" s="13" t="str">
        <f>IFERROR(__xludf.DUMMYFUNCTION("""COMPUTED_VALUE"""),"P0")</f>
        <v>P0</v>
      </c>
    </row>
    <row r="305" ht="22.5" customHeight="1">
      <c r="B305" s="19" t="str">
        <f>IFERROR(__xludf.DUMMYFUNCTION("""COMPUTED_VALUE"""),"L/49/211024/1")</f>
        <v>L/49/211024/1</v>
      </c>
      <c r="C305" s="19" t="str">
        <f>IFERROR(__xludf.DUMMYFUNCTION("""COMPUTED_VALUE"""),"NIB 0801000019330/NOG")</f>
        <v>NIB 0801000019330/NOG</v>
      </c>
      <c r="D305" s="17">
        <f>IFERROR(__xludf.DUMMYFUNCTION("""COMPUTED_VALUE"""),45586.61770418982)</f>
        <v>45586.6177</v>
      </c>
      <c r="E305" s="13" t="str">
        <f>IFERROR(__xludf.DUMMYFUNCTION("""COMPUTED_VALUE"""),"PH")</f>
        <v>PH</v>
      </c>
      <c r="F305" s="13" t="str">
        <f>IFERROR(__xludf.DUMMYFUNCTION("""COMPUTED_VALUE"""),"NETTI FITRIA")</f>
        <v>NETTI FITRIA</v>
      </c>
      <c r="G305" s="13">
        <f t="shared" si="1"/>
        <v>290</v>
      </c>
      <c r="H305" s="13" t="str">
        <f>IFERROR(__xludf.DUMMYFUNCTION("""COMPUTED_VALUE"""),"P0")</f>
        <v>P0</v>
      </c>
    </row>
    <row r="306" ht="22.5" customHeight="1">
      <c r="B306" s="19" t="str">
        <f>IFERROR(__xludf.DUMMYFUNCTION("""COMPUTED_VALUE"""),"K/50/211024/1")</f>
        <v>K/50/211024/1</v>
      </c>
      <c r="C306" s="19" t="str">
        <f>IFERROR(__xludf.DUMMYFUNCTION("""COMPUTED_VALUE"""),"M. 13651/ Labuhan Ratu; SHT 2739/2019")</f>
        <v>M. 13651/ Labuhan Ratu; SHT 2739/2019</v>
      </c>
      <c r="D306" s="17">
        <f>IFERROR(__xludf.DUMMYFUNCTION("""COMPUTED_VALUE"""),45586.623078055556)</f>
        <v>45586.62308</v>
      </c>
      <c r="E306" s="13" t="str">
        <f>IFERROR(__xludf.DUMMYFUNCTION("""COMPUTED_VALUE"""),"Roya")</f>
        <v>Roya</v>
      </c>
      <c r="F306" s="13" t="str">
        <f>IFERROR(__xludf.DUMMYFUNCTION("""COMPUTED_VALUE"""),"Budi K/ Debora A T")</f>
        <v>Budi K/ Debora A T</v>
      </c>
      <c r="G306" s="13">
        <f t="shared" si="1"/>
        <v>291</v>
      </c>
      <c r="H306" s="13" t="str">
        <f>IFERROR(__xludf.DUMMYFUNCTION("""COMPUTED_VALUE"""),"P0")</f>
        <v>P0</v>
      </c>
    </row>
    <row r="307" ht="22.5" customHeight="1">
      <c r="B307" s="19" t="str">
        <f>IFERROR(__xludf.DUMMYFUNCTION("""COMPUTED_VALUE"""),"K/51/211024/2")</f>
        <v>K/51/211024/2</v>
      </c>
      <c r="C307" s="19" t="str">
        <f>IFERROR(__xludf.DUMMYFUNCTION("""COMPUTED_VALUE"""),"M. 923/ Gunung Sulah")</f>
        <v>M. 923/ Gunung Sulah</v>
      </c>
      <c r="D307" s="17">
        <f>IFERROR(__xludf.DUMMYFUNCTION("""COMPUTED_VALUE"""),45586.62575166667)</f>
        <v>45586.62575</v>
      </c>
      <c r="E307" s="13" t="str">
        <f>IFERROR(__xludf.DUMMYFUNCTION("""COMPUTED_VALUE"""),"BN Jual Beli")</f>
        <v>BN Jual Beli</v>
      </c>
      <c r="F307" s="13" t="str">
        <f>IFERROR(__xludf.DUMMYFUNCTION("""COMPUTED_VALUE"""),"Budi K/ Andri Adi")</f>
        <v>Budi K/ Andri Adi</v>
      </c>
      <c r="G307" s="13">
        <f t="shared" si="1"/>
        <v>292</v>
      </c>
      <c r="H307" s="13" t="str">
        <f>IFERROR(__xludf.DUMMYFUNCTION("""COMPUTED_VALUE"""),"P0")</f>
        <v>P0</v>
      </c>
    </row>
    <row r="308" ht="22.5" customHeight="1">
      <c r="B308" s="19" t="str">
        <f>IFERROR(__xludf.DUMMYFUNCTION("""COMPUTED_VALUE"""),"K/52/211024/1")</f>
        <v>K/52/211024/1</v>
      </c>
      <c r="C308" s="19" t="str">
        <f>IFERROR(__xludf.DUMMYFUNCTION("""COMPUTED_VALUE"""),"M. 1885/ Sumberejo/ Kemiling")</f>
        <v>M. 1885/ Sumberejo/ Kemiling</v>
      </c>
      <c r="D308" s="17">
        <f>IFERROR(__xludf.DUMMYFUNCTION("""COMPUTED_VALUE"""),45586.642234652776)</f>
        <v>45586.64223</v>
      </c>
      <c r="E308" s="13" t="str">
        <f>IFERROR(__xludf.DUMMYFUNCTION("""COMPUTED_VALUE"""),"Gandes")</f>
        <v>Gandes</v>
      </c>
      <c r="F308" s="13" t="str">
        <f>IFERROR(__xludf.DUMMYFUNCTION("""COMPUTED_VALUE"""),"Rendy Renaldy/ / Marya Laila")</f>
        <v>Rendy Renaldy/ / Marya Laila</v>
      </c>
      <c r="G308" s="13">
        <f t="shared" si="1"/>
        <v>293</v>
      </c>
      <c r="H308" s="13" t="str">
        <f>IFERROR(__xludf.DUMMYFUNCTION("""COMPUTED_VALUE"""),"P0")</f>
        <v>P0</v>
      </c>
    </row>
    <row r="309" ht="22.5" customHeight="1">
      <c r="B309" s="19" t="str">
        <f>IFERROR(__xludf.DUMMYFUNCTION("""COMPUTED_VALUE"""),"K/53/211024/1")</f>
        <v>K/53/211024/1</v>
      </c>
      <c r="C309" s="19" t="str">
        <f>IFERROR(__xludf.DUMMYFUNCTION("""COMPUTED_VALUE"""),"M. 666/ Beringin Jaya")</f>
        <v>M. 666/ Beringin Jaya</v>
      </c>
      <c r="D309" s="17">
        <f>IFERROR(__xludf.DUMMYFUNCTION("""COMPUTED_VALUE"""),45586.64783069445)</f>
        <v>45586.64783</v>
      </c>
      <c r="E309" s="13" t="str">
        <f>IFERROR(__xludf.DUMMYFUNCTION("""COMPUTED_VALUE"""),"BN Jual Beli")</f>
        <v>BN Jual Beli</v>
      </c>
      <c r="F309" s="13" t="str">
        <f>IFERROR(__xludf.DUMMYFUNCTION("""COMPUTED_VALUE"""),"Rendy Renaldy/ Hairiwi U")</f>
        <v>Rendy Renaldy/ Hairiwi U</v>
      </c>
      <c r="G309" s="13">
        <f t="shared" si="1"/>
        <v>294</v>
      </c>
      <c r="H309" s="13" t="str">
        <f>IFERROR(__xludf.DUMMYFUNCTION("""COMPUTED_VALUE"""),"P0")</f>
        <v>P0</v>
      </c>
    </row>
    <row r="310" ht="22.5" customHeight="1">
      <c r="B310" s="19" t="str">
        <f>IFERROR(__xludf.DUMMYFUNCTION("""COMPUTED_VALUE"""),"K/44/151024/1")</f>
        <v>K/44/151024/1</v>
      </c>
      <c r="C310" s="19" t="str">
        <f>IFERROR(__xludf.DUMMYFUNCTION("""COMPUTED_VALUE"""),"M.1375/PERUMNAS WAY HALIM-SEKARANG;B.2097/KEDATON-DAHULU")</f>
        <v>M.1375/PERUMNAS WAY HALIM-SEKARANG;B.2097/KEDATON-DAHULU</v>
      </c>
      <c r="D310" s="17">
        <f>IFERROR(__xludf.DUMMYFUNCTION("""COMPUTED_VALUE"""),45586.648061678236)</f>
        <v>45586.64806</v>
      </c>
      <c r="E310" s="13" t="str">
        <f>IFERROR(__xludf.DUMMYFUNCTION("""COMPUTED_VALUE"""),"TITIK WIJAYANTI/SENDI DINI H")</f>
        <v>TITIK WIJAYANTI/SENDI DINI H</v>
      </c>
      <c r="F310" s="13" t="str">
        <f>IFERROR(__xludf.DUMMYFUNCTION("""COMPUTED_VALUE"""),"TITIK WIJAYANTI/SENDI DINI H")</f>
        <v>TITIK WIJAYANTI/SENDI DINI H</v>
      </c>
      <c r="G310" s="13">
        <f t="shared" si="1"/>
        <v>294</v>
      </c>
      <c r="H310" s="13" t="str">
        <f>IFERROR(__xludf.DUMMYFUNCTION("""COMPUTED_VALUE"""),"P1")</f>
        <v>P1</v>
      </c>
    </row>
    <row r="311" ht="22.5" customHeight="1">
      <c r="B311" s="19" t="str">
        <f>IFERROR(__xludf.DUMMYFUNCTION("""COMPUTED_VALUE"""),"K/54/211024/1")</f>
        <v>K/54/211024/1</v>
      </c>
      <c r="C311" s="19" t="str">
        <f>IFERROR(__xludf.DUMMYFUNCTION("""COMPUTED_VALUE"""),"B. 578/ Negeri Olok Gading")</f>
        <v>B. 578/ Negeri Olok Gading</v>
      </c>
      <c r="D311" s="17">
        <f>IFERROR(__xludf.DUMMYFUNCTION("""COMPUTED_VALUE"""),45586.65351978009)</f>
        <v>45586.65352</v>
      </c>
      <c r="E311" s="13" t="str">
        <f>IFERROR(__xludf.DUMMYFUNCTION("""COMPUTED_VALUE"""),"Roya")</f>
        <v>Roya</v>
      </c>
      <c r="F311" s="13" t="str">
        <f>IFERROR(__xludf.DUMMYFUNCTION("""COMPUTED_VALUE"""),"Rendy Renaldy/ Bani Fitriansyah")</f>
        <v>Rendy Renaldy/ Bani Fitriansyah</v>
      </c>
      <c r="G311" s="13">
        <f t="shared" si="1"/>
        <v>295</v>
      </c>
      <c r="H311" s="13" t="str">
        <f>IFERROR(__xludf.DUMMYFUNCTION("""COMPUTED_VALUE"""),"P0")</f>
        <v>P0</v>
      </c>
    </row>
    <row r="312" ht="22.5" customHeight="1">
      <c r="B312" s="19" t="str">
        <f>IFERROR(__xludf.DUMMYFUNCTION("""COMPUTED_VALUE"""),"K/1/221024/1")</f>
        <v>K/1/221024/1</v>
      </c>
      <c r="C312" s="19" t="str">
        <f>IFERROR(__xludf.DUMMYFUNCTION("""COMPUTED_VALUE"""),"M. 2232/ KUPANG TEBA")</f>
        <v>M. 2232/ KUPANG TEBA</v>
      </c>
      <c r="D312" s="17">
        <f>IFERROR(__xludf.DUMMYFUNCTION("""COMPUTED_VALUE"""),45587.381703125)</f>
        <v>45587.3817</v>
      </c>
      <c r="E312" s="13" t="str">
        <f>IFERROR(__xludf.DUMMYFUNCTION("""COMPUTED_VALUE"""),"ROYA")</f>
        <v>ROYA</v>
      </c>
      <c r="F312" s="13" t="str">
        <f>IFERROR(__xludf.DUMMYFUNCTION("""COMPUTED_VALUE"""),"EVA SURIANI")</f>
        <v>EVA SURIANI</v>
      </c>
      <c r="G312" s="13">
        <f t="shared" si="1"/>
        <v>296</v>
      </c>
      <c r="H312" s="13" t="str">
        <f>IFERROR(__xludf.DUMMYFUNCTION("""COMPUTED_VALUE"""),"P0")</f>
        <v>P0</v>
      </c>
    </row>
    <row r="313" ht="22.5" customHeight="1">
      <c r="B313" s="19" t="str">
        <f>IFERROR(__xludf.DUMMYFUNCTION("""COMPUTED_VALUE"""),"K/2/221024/2")</f>
        <v>K/2/221024/2</v>
      </c>
      <c r="C313" s="19" t="str">
        <f>IFERROR(__xludf.DUMMYFUNCTION("""COMPUTED_VALUE"""),"M. 1556/ Bumi Waras")</f>
        <v>M. 1556/ Bumi Waras</v>
      </c>
      <c r="D313" s="17">
        <f>IFERROR(__xludf.DUMMYFUNCTION("""COMPUTED_VALUE"""),45587.38308005787)</f>
        <v>45587.38308</v>
      </c>
      <c r="E313" s="13" t="str">
        <f>IFERROR(__xludf.DUMMYFUNCTION("""COMPUTED_VALUE"""),"Roya")</f>
        <v>Roya</v>
      </c>
      <c r="F313" s="13" t="str">
        <f>IFERROR(__xludf.DUMMYFUNCTION("""COMPUTED_VALUE"""),"A roswantama/ Rudy")</f>
        <v>A roswantama/ Rudy</v>
      </c>
      <c r="G313" s="13">
        <f t="shared" si="1"/>
        <v>297</v>
      </c>
      <c r="H313" s="13" t="str">
        <f>IFERROR(__xludf.DUMMYFUNCTION("""COMPUTED_VALUE"""),"P0")</f>
        <v>P0</v>
      </c>
    </row>
    <row r="314" ht="22.5" customHeight="1">
      <c r="B314" s="19" t="str">
        <f>IFERROR(__xludf.DUMMYFUNCTION("""COMPUTED_VALUE"""),"K/3/221024/1c")</f>
        <v>K/3/221024/1c</v>
      </c>
      <c r="C314" s="19" t="str">
        <f>IFERROR(__xludf.DUMMYFUNCTION("""COMPUTED_VALUE"""),"M.1260/SUKAJAWA")</f>
        <v>M.1260/SUKAJAWA</v>
      </c>
      <c r="D314" s="17">
        <f>IFERROR(__xludf.DUMMYFUNCTION("""COMPUTED_VALUE"""),45587.38516306713)</f>
        <v>45587.38516</v>
      </c>
      <c r="E314" s="13" t="str">
        <f>IFERROR(__xludf.DUMMYFUNCTION("""COMPUTED_VALUE"""),"ROYA")</f>
        <v>ROYA</v>
      </c>
      <c r="F314" s="13" t="str">
        <f>IFERROR(__xludf.DUMMYFUNCTION("""COMPUTED_VALUE"""),"PADIMIN/ CITRA AYU WARDANI")</f>
        <v>PADIMIN/ CITRA AYU WARDANI</v>
      </c>
      <c r="G314" s="13">
        <f t="shared" si="1"/>
        <v>298</v>
      </c>
      <c r="H314" s="13" t="str">
        <f>IFERROR(__xludf.DUMMYFUNCTION("""COMPUTED_VALUE"""),"P0")</f>
        <v>P0</v>
      </c>
    </row>
    <row r="315" ht="22.5" customHeight="1">
      <c r="B315" s="19" t="str">
        <f>IFERROR(__xludf.DUMMYFUNCTION("""COMPUTED_VALUE"""),"L/4/221024/1")</f>
        <v>L/4/221024/1</v>
      </c>
      <c r="C315" s="19" t="str">
        <f>IFERROR(__xludf.DUMMYFUNCTION("""COMPUTED_VALUE"""),"HM 3875/LANGKAPURA")</f>
        <v>HM 3875/LANGKAPURA</v>
      </c>
      <c r="D315" s="17">
        <f>IFERROR(__xludf.DUMMYFUNCTION("""COMPUTED_VALUE"""),45587.385280891205)</f>
        <v>45587.38528</v>
      </c>
      <c r="E315" s="13" t="str">
        <f>IFERROR(__xludf.DUMMYFUNCTION("""COMPUTED_VALUE"""),"BN WARIS")</f>
        <v>BN WARIS</v>
      </c>
      <c r="F315" s="13" t="str">
        <f>IFERROR(__xludf.DUMMYFUNCTION("""COMPUTED_VALUE"""),"DINA JULIANA/CS")</f>
        <v>DINA JULIANA/CS</v>
      </c>
      <c r="G315" s="13">
        <f t="shared" si="1"/>
        <v>299</v>
      </c>
      <c r="H315" s="13" t="str">
        <f>IFERROR(__xludf.DUMMYFUNCTION("""COMPUTED_VALUE"""),"P0")</f>
        <v>P0</v>
      </c>
    </row>
    <row r="316" ht="22.5" customHeight="1">
      <c r="B316" s="19" t="str">
        <f>IFERROR(__xludf.DUMMYFUNCTION("""COMPUTED_VALUE"""),"K/5/221024/1")</f>
        <v>K/5/221024/1</v>
      </c>
      <c r="C316" s="19" t="str">
        <f>IFERROR(__xludf.DUMMYFUNCTION("""COMPUTED_VALUE"""),"B. 308/ Pematang Wangi; B. 964/ Tanjung Senang")</f>
        <v>B. 308/ Pematang Wangi; B. 964/ Tanjung Senang</v>
      </c>
      <c r="D316" s="17">
        <f>IFERROR(__xludf.DUMMYFUNCTION("""COMPUTED_VALUE"""),45587.388472858795)</f>
        <v>45587.38847</v>
      </c>
      <c r="E316" s="13" t="str">
        <f>IFERROR(__xludf.DUMMYFUNCTION("""COMPUTED_VALUE"""),"Perubahan Hak")</f>
        <v>Perubahan Hak</v>
      </c>
      <c r="F316" s="13" t="str">
        <f>IFERROR(__xludf.DUMMYFUNCTION("""COMPUTED_VALUE"""),"Dodi Setiawan/ Sriwati")</f>
        <v>Dodi Setiawan/ Sriwati</v>
      </c>
      <c r="G316" s="13">
        <f t="shared" si="1"/>
        <v>300</v>
      </c>
      <c r="H316" s="13" t="str">
        <f>IFERROR(__xludf.DUMMYFUNCTION("""COMPUTED_VALUE"""),"P0")</f>
        <v>P0</v>
      </c>
    </row>
    <row r="317" ht="22.5" customHeight="1">
      <c r="B317" s="19" t="str">
        <f>IFERROR(__xludf.DUMMYFUNCTION("""COMPUTED_VALUE"""),"L/6/221024/1")</f>
        <v>L/6/221024/1</v>
      </c>
      <c r="C317" s="19" t="str">
        <f>IFERROR(__xludf.DUMMYFUNCTION("""COMPUTED_VALUE"""),"SHGB.262/KAMPUNG BARU DAN SHGB.258/KAMPUNG BARU")</f>
        <v>SHGB.262/KAMPUNG BARU DAN SHGB.258/KAMPUNG BARU</v>
      </c>
      <c r="D317" s="17">
        <f>IFERROR(__xludf.DUMMYFUNCTION("""COMPUTED_VALUE"""),45587.38905109954)</f>
        <v>45587.38905</v>
      </c>
      <c r="E317" s="13" t="str">
        <f>IFERROR(__xludf.DUMMYFUNCTION("""COMPUTED_VALUE"""),"ROYA")</f>
        <v>ROYA</v>
      </c>
      <c r="F317" s="13" t="str">
        <f>IFERROR(__xludf.DUMMYFUNCTION("""COMPUTED_VALUE"""),"DRISNAF SWASTYARDI")</f>
        <v>DRISNAF SWASTYARDI</v>
      </c>
      <c r="G317" s="13">
        <f t="shared" si="1"/>
        <v>301</v>
      </c>
      <c r="H317" s="13" t="str">
        <f>IFERROR(__xludf.DUMMYFUNCTION("""COMPUTED_VALUE"""),"P0")</f>
        <v>P0</v>
      </c>
    </row>
    <row r="318" ht="22.5" customHeight="1">
      <c r="B318" s="19" t="str">
        <f>IFERROR(__xludf.DUMMYFUNCTION("""COMPUTED_VALUE"""),"K/7/221024/1")</f>
        <v>K/7/221024/1</v>
      </c>
      <c r="C318" s="19" t="str">
        <f>IFERROR(__xludf.DUMMYFUNCTION("""COMPUTED_VALUE"""),"M. 2222/ Way Kandis; SHT 1348/ 2018")</f>
        <v>M. 2222/ Way Kandis; SHT 1348/ 2018</v>
      </c>
      <c r="D318" s="17">
        <f>IFERROR(__xludf.DUMMYFUNCTION("""COMPUTED_VALUE"""),45587.395896331014)</f>
        <v>45587.3959</v>
      </c>
      <c r="E318" s="13" t="str">
        <f>IFERROR(__xludf.DUMMYFUNCTION("""COMPUTED_VALUE"""),"Roya")</f>
        <v>Roya</v>
      </c>
      <c r="F318" s="13" t="str">
        <f>IFERROR(__xludf.DUMMYFUNCTION("""COMPUTED_VALUE"""),"Feryana/ M. Nasir")</f>
        <v>Feryana/ M. Nasir</v>
      </c>
      <c r="G318" s="13">
        <f t="shared" si="1"/>
        <v>302</v>
      </c>
      <c r="H318" s="13" t="str">
        <f>IFERROR(__xludf.DUMMYFUNCTION("""COMPUTED_VALUE"""),"P0")</f>
        <v>P0</v>
      </c>
    </row>
    <row r="319" ht="22.5" customHeight="1">
      <c r="B319" s="19" t="str">
        <f>IFERROR(__xludf.DUMMYFUNCTION("""COMPUTED_VALUE"""),"L/8/221024/1")</f>
        <v>L/8/221024/1</v>
      </c>
      <c r="C319" s="19" t="str">
        <f>IFERROR(__xludf.DUMMYFUNCTION("""COMPUTED_VALUE"""),"HGB 143/KAMPUNG BARU")</f>
        <v>HGB 143/KAMPUNG BARU</v>
      </c>
      <c r="D319" s="17">
        <f>IFERROR(__xludf.DUMMYFUNCTION("""COMPUTED_VALUE"""),45587.396322824075)</f>
        <v>45587.39632</v>
      </c>
      <c r="E319" s="13" t="str">
        <f>IFERROR(__xludf.DUMMYFUNCTION("""COMPUTED_VALUE"""),"ROYA")</f>
        <v>ROYA</v>
      </c>
      <c r="F319" s="13" t="str">
        <f>IFERROR(__xludf.DUMMYFUNCTION("""COMPUTED_VALUE"""),"TAUFIK")</f>
        <v>TAUFIK</v>
      </c>
      <c r="G319" s="13">
        <f t="shared" si="1"/>
        <v>303</v>
      </c>
      <c r="H319" s="13" t="str">
        <f>IFERROR(__xludf.DUMMYFUNCTION("""COMPUTED_VALUE"""),"P0")</f>
        <v>P0</v>
      </c>
    </row>
    <row r="320" ht="22.5" customHeight="1">
      <c r="B320" s="19" t="str">
        <f>IFERROR(__xludf.DUMMYFUNCTION("""COMPUTED_VALUE"""),"K/9/221024/1")</f>
        <v>K/9/221024/1</v>
      </c>
      <c r="C320" s="19" t="str">
        <f>IFERROR(__xludf.DUMMYFUNCTION("""COMPUTED_VALUE"""),"M.26/LANGKAPURA BARU-SEKARANG;B.113/LANGKAPURA-DAHULU")</f>
        <v>M.26/LANGKAPURA BARU-SEKARANG;B.113/LANGKAPURA-DAHULU</v>
      </c>
      <c r="D320" s="17">
        <f>IFERROR(__xludf.DUMMYFUNCTION("""COMPUTED_VALUE"""),45587.409204606476)</f>
        <v>45587.4092</v>
      </c>
      <c r="E320" s="13" t="str">
        <f>IFERROR(__xludf.DUMMYFUNCTION("""COMPUTED_VALUE"""),"ROYA")</f>
        <v>ROYA</v>
      </c>
      <c r="F320" s="13" t="str">
        <f>IFERROR(__xludf.DUMMYFUNCTION("""COMPUTED_VALUE"""),"HELMA DEVIANTI/KRISTIA AGUSTINA")</f>
        <v>HELMA DEVIANTI/KRISTIA AGUSTINA</v>
      </c>
      <c r="G320" s="13">
        <f t="shared" si="1"/>
        <v>304</v>
      </c>
      <c r="H320" s="13" t="str">
        <f>IFERROR(__xludf.DUMMYFUNCTION("""COMPUTED_VALUE"""),"P0")</f>
        <v>P0</v>
      </c>
    </row>
    <row r="321" ht="22.5" customHeight="1">
      <c r="B321" s="19" t="str">
        <f>IFERROR(__xludf.DUMMYFUNCTION("""COMPUTED_VALUE"""),"K/10/221024/1")</f>
        <v>K/10/221024/1</v>
      </c>
      <c r="C321" s="19" t="str">
        <f>IFERROR(__xludf.DUMMYFUNCTION("""COMPUTED_VALUE"""),"M.13711/RAJABASA")</f>
        <v>M.13711/RAJABASA</v>
      </c>
      <c r="D321" s="17">
        <f>IFERROR(__xludf.DUMMYFUNCTION("""COMPUTED_VALUE"""),45587.40977484954)</f>
        <v>45587.40977</v>
      </c>
      <c r="E321" s="13" t="str">
        <f>IFERROR(__xludf.DUMMYFUNCTION("""COMPUTED_VALUE"""),"GANDES")</f>
        <v>GANDES</v>
      </c>
      <c r="F321" s="13" t="str">
        <f>IFERROR(__xludf.DUMMYFUNCTION("""COMPUTED_VALUE"""),"EMILIA AGUSTINI/LAKSAMANA SAMUDRA MAHARDIKA")</f>
        <v>EMILIA AGUSTINI/LAKSAMANA SAMUDRA MAHARDIKA</v>
      </c>
      <c r="G321" s="13">
        <f t="shared" si="1"/>
        <v>305</v>
      </c>
      <c r="H321" s="13" t="str">
        <f>IFERROR(__xludf.DUMMYFUNCTION("""COMPUTED_VALUE"""),"P0")</f>
        <v>P0</v>
      </c>
    </row>
    <row r="322" ht="22.5" customHeight="1">
      <c r="B322" s="19" t="str">
        <f>IFERROR(__xludf.DUMMYFUNCTION("""COMPUTED_VALUE"""),"K/13/221024/1")</f>
        <v>K/13/221024/1</v>
      </c>
      <c r="C322" s="19" t="str">
        <f>IFERROR(__xludf.DUMMYFUNCTION("""COMPUTED_VALUE"""),"Nibel. M. 1167/ Tanjung Gading")</f>
        <v>Nibel. M. 1167/ Tanjung Gading</v>
      </c>
      <c r="D322" s="17">
        <f>IFERROR(__xludf.DUMMYFUNCTION("""COMPUTED_VALUE"""),45587.4142662963)</f>
        <v>45587.41427</v>
      </c>
      <c r="E322" s="13" t="str">
        <f>IFERROR(__xludf.DUMMYFUNCTION("""COMPUTED_VALUE"""),"BN Jual Beli")</f>
        <v>BN Jual Beli</v>
      </c>
      <c r="F322" s="13" t="str">
        <f>IFERROR(__xludf.DUMMYFUNCTION("""COMPUTED_VALUE"""),"Nanik Maryani/ Nikki F &amp; Indi")</f>
        <v>Nanik Maryani/ Nikki F &amp; Indi</v>
      </c>
      <c r="G322" s="13">
        <f t="shared" si="1"/>
        <v>306</v>
      </c>
      <c r="H322" s="13" t="str">
        <f>IFERROR(__xludf.DUMMYFUNCTION("""COMPUTED_VALUE"""),"P0")</f>
        <v>P0</v>
      </c>
    </row>
    <row r="323" ht="22.5" customHeight="1">
      <c r="B323" s="19" t="str">
        <f>IFERROR(__xludf.DUMMYFUNCTION("""COMPUTED_VALUE"""),"L/12/221024/1")</f>
        <v>L/12/221024/1</v>
      </c>
      <c r="C323" s="19" t="str">
        <f>IFERROR(__xludf.DUMMYFUNCTION("""COMPUTED_VALUE"""),"HM 769/WHP")</f>
        <v>HM 769/WHP</v>
      </c>
      <c r="D323" s="17">
        <f>IFERROR(__xludf.DUMMYFUNCTION("""COMPUTED_VALUE"""),45587.41470333333)</f>
        <v>45587.4147</v>
      </c>
      <c r="E323" s="13" t="str">
        <f>IFERROR(__xludf.DUMMYFUNCTION("""COMPUTED_VALUE"""),"ROYA")</f>
        <v>ROYA</v>
      </c>
      <c r="F323" s="13" t="str">
        <f>IFERROR(__xludf.DUMMYFUNCTION("""COMPUTED_VALUE"""),"INDRA KURNIAWAN")</f>
        <v>INDRA KURNIAWAN</v>
      </c>
      <c r="G323" s="13">
        <f t="shared" si="1"/>
        <v>307</v>
      </c>
      <c r="H323" s="13" t="str">
        <f>IFERROR(__xludf.DUMMYFUNCTION("""COMPUTED_VALUE"""),"P0")</f>
        <v>P0</v>
      </c>
    </row>
    <row r="324" ht="22.5" customHeight="1">
      <c r="B324" s="19" t="str">
        <f>IFERROR(__xludf.DUMMYFUNCTION("""COMPUTED_VALUE"""),"L/11/221024/1")</f>
        <v>L/11/221024/1</v>
      </c>
      <c r="C324" s="19" t="str">
        <f>IFERROR(__xludf.DUMMYFUNCTION("""COMPUTED_VALUE"""),"M.12607/RAJABASA;B.1164/RAJABASA-DAHULU")</f>
        <v>M.12607/RAJABASA;B.1164/RAJABASA-DAHULU</v>
      </c>
      <c r="D324" s="17">
        <f>IFERROR(__xludf.DUMMYFUNCTION("""COMPUTED_VALUE"""),45587.41688658565)</f>
        <v>45587.41689</v>
      </c>
      <c r="E324" s="13" t="str">
        <f>IFERROR(__xludf.DUMMYFUNCTION("""COMPUTED_VALUE"""),"ROYA")</f>
        <v>ROYA</v>
      </c>
      <c r="F324" s="13" t="str">
        <f>IFERROR(__xludf.DUMMYFUNCTION("""COMPUTED_VALUE"""),"SIGID APRIADI")</f>
        <v>SIGID APRIADI</v>
      </c>
      <c r="G324" s="13">
        <f t="shared" si="1"/>
        <v>308</v>
      </c>
      <c r="H324" s="13" t="str">
        <f>IFERROR(__xludf.DUMMYFUNCTION("""COMPUTED_VALUE"""),"P0")</f>
        <v>P0</v>
      </c>
    </row>
    <row r="325" ht="22.5" customHeight="1">
      <c r="B325" s="19" t="str">
        <f>IFERROR(__xludf.DUMMYFUNCTION("""COMPUTED_VALUE"""),"K/15/221024/1")</f>
        <v>K/15/221024/1</v>
      </c>
      <c r="C325" s="19" t="str">
        <f>IFERROR(__xludf.DUMMYFUNCTION("""COMPUTED_VALUE"""),"M. 1415/ Labuhan Dalam")</f>
        <v>M. 1415/ Labuhan Dalam</v>
      </c>
      <c r="D325" s="17">
        <f>IFERROR(__xludf.DUMMYFUNCTION("""COMPUTED_VALUE"""),45587.417818692134)</f>
        <v>45587.41782</v>
      </c>
      <c r="E325" s="13" t="str">
        <f>IFERROR(__xludf.DUMMYFUNCTION("""COMPUTED_VALUE"""),"Pengecekkan")</f>
        <v>Pengecekkan</v>
      </c>
      <c r="F325" s="13" t="str">
        <f>IFERROR(__xludf.DUMMYFUNCTION("""COMPUTED_VALUE"""),"zul april/ yayan")</f>
        <v>zul april/ yayan</v>
      </c>
      <c r="G325" s="13">
        <f t="shared" si="1"/>
        <v>309</v>
      </c>
      <c r="H325" s="13" t="str">
        <f>IFERROR(__xludf.DUMMYFUNCTION("""COMPUTED_VALUE"""),"P0")</f>
        <v>P0</v>
      </c>
    </row>
    <row r="326" ht="22.5" customHeight="1">
      <c r="B326" s="19" t="str">
        <f>IFERROR(__xludf.DUMMYFUNCTION("""COMPUTED_VALUE"""),"K/16/221024/2")</f>
        <v>K/16/221024/2</v>
      </c>
      <c r="C326" s="19" t="str">
        <f>IFERROR(__xludf.DUMMYFUNCTION("""COMPUTED_VALUE"""),"M. 48/ Kedaton")</f>
        <v>M. 48/ Kedaton</v>
      </c>
      <c r="D326" s="17">
        <f>IFERROR(__xludf.DUMMYFUNCTION("""COMPUTED_VALUE"""),45587.420446805554)</f>
        <v>45587.42045</v>
      </c>
      <c r="E326" s="13" t="str">
        <f>IFERROR(__xludf.DUMMYFUNCTION("""COMPUTED_VALUE"""),"Pengecekkan")</f>
        <v>Pengecekkan</v>
      </c>
      <c r="F326" s="13" t="str">
        <f>IFERROR(__xludf.DUMMYFUNCTION("""COMPUTED_VALUE"""),"Zul April/ Penny W")</f>
        <v>Zul April/ Penny W</v>
      </c>
      <c r="G326" s="13">
        <f t="shared" si="1"/>
        <v>310</v>
      </c>
      <c r="H326" s="13" t="str">
        <f>IFERROR(__xludf.DUMMYFUNCTION("""COMPUTED_VALUE"""),"P0")</f>
        <v>P0</v>
      </c>
    </row>
    <row r="327" ht="22.5" customHeight="1">
      <c r="B327" s="19" t="str">
        <f>IFERROR(__xludf.DUMMYFUNCTION("""COMPUTED_VALUE"""),"K/14/221024/2")</f>
        <v>K/14/221024/2</v>
      </c>
      <c r="C327" s="19" t="str">
        <f>IFERROR(__xludf.DUMMYFUNCTION("""COMPUTED_VALUE"""),"M. 3903/ Way Kandis")</f>
        <v>M. 3903/ Way Kandis</v>
      </c>
      <c r="D327" s="17">
        <f>IFERROR(__xludf.DUMMYFUNCTION("""COMPUTED_VALUE"""),45587.42740284722)</f>
        <v>45587.4274</v>
      </c>
      <c r="E327" s="13" t="str">
        <f>IFERROR(__xludf.DUMMYFUNCTION("""COMPUTED_VALUE"""),"BN Waris")</f>
        <v>BN Waris</v>
      </c>
      <c r="F327" s="13" t="str">
        <f>IFERROR(__xludf.DUMMYFUNCTION("""COMPUTED_VALUE"""),"Nanik Maryani/ Hilda S Cs")</f>
        <v>Nanik Maryani/ Hilda S Cs</v>
      </c>
      <c r="G327" s="13">
        <f t="shared" si="1"/>
        <v>311</v>
      </c>
      <c r="H327" s="13" t="str">
        <f>IFERROR(__xludf.DUMMYFUNCTION("""COMPUTED_VALUE"""),"P0")</f>
        <v>P0</v>
      </c>
    </row>
    <row r="328" ht="22.5" customHeight="1">
      <c r="B328" s="19" t="str">
        <f>IFERROR(__xludf.DUMMYFUNCTION("""COMPUTED_VALUE"""),"K/17/221024/3")</f>
        <v>K/17/221024/3</v>
      </c>
      <c r="C328" s="19" t="str">
        <f>IFERROR(__xludf.DUMMYFUNCTION("""COMPUTED_VALUE"""),"M. 8998/ Surabaya")</f>
        <v>M. 8998/ Surabaya</v>
      </c>
      <c r="D328" s="17">
        <f>IFERROR(__xludf.DUMMYFUNCTION("""COMPUTED_VALUE"""),45587.421017824076)</f>
        <v>45587.42102</v>
      </c>
      <c r="E328" s="13" t="str">
        <f>IFERROR(__xludf.DUMMYFUNCTION("""COMPUTED_VALUE"""),"Pengecekkan")</f>
        <v>Pengecekkan</v>
      </c>
      <c r="F328" s="13" t="str">
        <f>IFERROR(__xludf.DUMMYFUNCTION("""COMPUTED_VALUE"""),"Zul april/ Enjah CS")</f>
        <v>Zul april/ Enjah CS</v>
      </c>
      <c r="G328" s="13">
        <f t="shared" si="1"/>
        <v>312</v>
      </c>
      <c r="H328" s="13" t="str">
        <f>IFERROR(__xludf.DUMMYFUNCTION("""COMPUTED_VALUE"""),"P0")</f>
        <v>P0</v>
      </c>
    </row>
    <row r="329" ht="22.5" customHeight="1">
      <c r="B329" s="19" t="str">
        <f>IFERROR(__xludf.DUMMYFUNCTION("""COMPUTED_VALUE"""),"K/18/221024/4")</f>
        <v>K/18/221024/4</v>
      </c>
      <c r="C329" s="19" t="str">
        <f>IFERROR(__xludf.DUMMYFUNCTION("""COMPUTED_VALUE"""),"M. 5809/ Surabaya")</f>
        <v>M. 5809/ Surabaya</v>
      </c>
      <c r="D329" s="17">
        <f>IFERROR(__xludf.DUMMYFUNCTION("""COMPUTED_VALUE"""),45587.421650868055)</f>
        <v>45587.42165</v>
      </c>
      <c r="E329" s="13" t="str">
        <f>IFERROR(__xludf.DUMMYFUNCTION("""COMPUTED_VALUE"""),"Pengecekkan")</f>
        <v>Pengecekkan</v>
      </c>
      <c r="F329" s="13" t="str">
        <f>IFERROR(__xludf.DUMMYFUNCTION("""COMPUTED_VALUE"""),"Zul April/ Enjah")</f>
        <v>Zul April/ Enjah</v>
      </c>
      <c r="G329" s="13">
        <f t="shared" si="1"/>
        <v>313</v>
      </c>
      <c r="H329" s="13" t="str">
        <f>IFERROR(__xludf.DUMMYFUNCTION("""COMPUTED_VALUE"""),"P0")</f>
        <v>P0</v>
      </c>
    </row>
    <row r="330" ht="22.5" customHeight="1">
      <c r="B330" s="19" t="str">
        <f>IFERROR(__xludf.DUMMYFUNCTION("""COMPUTED_VALUE"""),"K/19/221024/5")</f>
        <v>K/19/221024/5</v>
      </c>
      <c r="C330" s="19" t="str">
        <f>IFERROR(__xludf.DUMMYFUNCTION("""COMPUTED_VALUE"""),"M. 9899/ Surabaya")</f>
        <v>M. 9899/ Surabaya</v>
      </c>
      <c r="D330" s="17">
        <f>IFERROR(__xludf.DUMMYFUNCTION("""COMPUTED_VALUE"""),45587.42220045139)</f>
        <v>45587.4222</v>
      </c>
      <c r="E330" s="13" t="str">
        <f>IFERROR(__xludf.DUMMYFUNCTION("""COMPUTED_VALUE"""),"Pengecekkan")</f>
        <v>Pengecekkan</v>
      </c>
      <c r="F330" s="13" t="str">
        <f>IFERROR(__xludf.DUMMYFUNCTION("""COMPUTED_VALUE"""),"Zul April/ Enjah")</f>
        <v>Zul April/ Enjah</v>
      </c>
      <c r="G330" s="13">
        <f t="shared" si="1"/>
        <v>314</v>
      </c>
      <c r="H330" s="13" t="str">
        <f>IFERROR(__xludf.DUMMYFUNCTION("""COMPUTED_VALUE"""),"P0")</f>
        <v>P0</v>
      </c>
    </row>
    <row r="331" ht="22.5" customHeight="1">
      <c r="B331" s="19" t="str">
        <f>IFERROR(__xludf.DUMMYFUNCTION("""COMPUTED_VALUE"""),"K/20/221024/6")</f>
        <v>K/20/221024/6</v>
      </c>
      <c r="C331" s="19" t="str">
        <f>IFERROR(__xludf.DUMMYFUNCTION("""COMPUTED_VALUE"""),"M. 8940/ Surabaya")</f>
        <v>M. 8940/ Surabaya</v>
      </c>
      <c r="D331" s="17">
        <f>IFERROR(__xludf.DUMMYFUNCTION("""COMPUTED_VALUE"""),45587.42303204861)</f>
        <v>45587.42303</v>
      </c>
      <c r="E331" s="13" t="str">
        <f>IFERROR(__xludf.DUMMYFUNCTION("""COMPUTED_VALUE"""),"Pengecekkan")</f>
        <v>Pengecekkan</v>
      </c>
      <c r="F331" s="13" t="str">
        <f>IFERROR(__xludf.DUMMYFUNCTION("""COMPUTED_VALUE"""),"Zul April/ Enjah")</f>
        <v>Zul April/ Enjah</v>
      </c>
      <c r="G331" s="13">
        <f t="shared" si="1"/>
        <v>315</v>
      </c>
      <c r="H331" s="13" t="str">
        <f>IFERROR(__xludf.DUMMYFUNCTION("""COMPUTED_VALUE"""),"P0")</f>
        <v>P0</v>
      </c>
    </row>
    <row r="332" ht="22.5" customHeight="1">
      <c r="B332" s="19" t="str">
        <f>IFERROR(__xludf.DUMMYFUNCTION("""COMPUTED_VALUE"""),"K/21/221024/7")</f>
        <v>K/21/221024/7</v>
      </c>
      <c r="C332" s="19" t="str">
        <f>IFERROR(__xludf.DUMMYFUNCTION("""COMPUTED_VALUE"""),"M. 9894/ Surabaya")</f>
        <v>M. 9894/ Surabaya</v>
      </c>
      <c r="D332" s="17">
        <f>IFERROR(__xludf.DUMMYFUNCTION("""COMPUTED_VALUE"""),45587.423726678244)</f>
        <v>45587.42373</v>
      </c>
      <c r="E332" s="13" t="str">
        <f>IFERROR(__xludf.DUMMYFUNCTION("""COMPUTED_VALUE"""),"Pengecekkan")</f>
        <v>Pengecekkan</v>
      </c>
      <c r="F332" s="13" t="str">
        <f>IFERROR(__xludf.DUMMYFUNCTION("""COMPUTED_VALUE"""),"Zul APril/ Enjah")</f>
        <v>Zul APril/ Enjah</v>
      </c>
      <c r="G332" s="13">
        <f t="shared" si="1"/>
        <v>316</v>
      </c>
      <c r="H332" s="13" t="str">
        <f>IFERROR(__xludf.DUMMYFUNCTION("""COMPUTED_VALUE"""),"P0")</f>
        <v>P0</v>
      </c>
    </row>
    <row r="333" ht="22.5" customHeight="1">
      <c r="B333" s="19" t="str">
        <f>IFERROR(__xludf.DUMMYFUNCTION("""COMPUTED_VALUE"""),"K/22/221024/1")</f>
        <v>K/22/221024/1</v>
      </c>
      <c r="C333" s="19" t="str">
        <f>IFERROR(__xludf.DUMMYFUNCTION("""COMPUTED_VALUE"""),"NIBEL M.2999/BUMI KEDAMAIAN")</f>
        <v>NIBEL M.2999/BUMI KEDAMAIAN</v>
      </c>
      <c r="D333" s="17">
        <f>IFERROR(__xludf.DUMMYFUNCTION("""COMPUTED_VALUE"""),45587.42464409722)</f>
        <v>45587.42464</v>
      </c>
      <c r="E333" s="13" t="str">
        <f>IFERROR(__xludf.DUMMYFUNCTION("""COMPUTED_VALUE"""),"PERALIHAN JUAL BELI")</f>
        <v>PERALIHAN JUAL BELI</v>
      </c>
      <c r="F333" s="13" t="str">
        <f>IFERROR(__xludf.DUMMYFUNCTION("""COMPUTED_VALUE"""),"MARCUS/WHINDA YULIANTI")</f>
        <v>MARCUS/WHINDA YULIANTI</v>
      </c>
      <c r="G333" s="13">
        <f t="shared" si="1"/>
        <v>317</v>
      </c>
      <c r="H333" s="13" t="str">
        <f>IFERROR(__xludf.DUMMYFUNCTION("""COMPUTED_VALUE"""),"P0")</f>
        <v>P0</v>
      </c>
    </row>
    <row r="334" ht="22.5" customHeight="1">
      <c r="B334" s="19" t="str">
        <f>IFERROR(__xludf.DUMMYFUNCTION("""COMPUTED_VALUE"""),"K/23/221024/8")</f>
        <v>K/23/221024/8</v>
      </c>
      <c r="C334" s="19" t="str">
        <f>IFERROR(__xludf.DUMMYFUNCTION("""COMPUTED_VALUE"""),"M. 560/ Korpri Raya - sekarang; M. 9773/ Sukarame I-Dahulu")</f>
        <v>M. 560/ Korpri Raya - sekarang; M. 9773/ Sukarame I-Dahulu</v>
      </c>
      <c r="D334" s="17">
        <f>IFERROR(__xludf.DUMMYFUNCTION("""COMPUTED_VALUE"""),45587.42691368055)</f>
        <v>45587.42691</v>
      </c>
      <c r="E334" s="13" t="str">
        <f>IFERROR(__xludf.DUMMYFUNCTION("""COMPUTED_VALUE"""),"BN Waris")</f>
        <v>BN Waris</v>
      </c>
      <c r="F334" s="13" t="str">
        <f>IFERROR(__xludf.DUMMYFUNCTION("""COMPUTED_VALUE"""),"Zul April/ Siswanto CS")</f>
        <v>Zul April/ Siswanto CS</v>
      </c>
      <c r="G334" s="13">
        <f t="shared" si="1"/>
        <v>318</v>
      </c>
      <c r="H334" s="13" t="str">
        <f>IFERROR(__xludf.DUMMYFUNCTION("""COMPUTED_VALUE"""),"P0")</f>
        <v>P0</v>
      </c>
    </row>
    <row r="335" ht="22.5" customHeight="1">
      <c r="B335" s="19" t="str">
        <f>IFERROR(__xludf.DUMMYFUNCTION("""COMPUTED_VALUE"""),"K/24/221024/3")</f>
        <v>K/24/221024/3</v>
      </c>
      <c r="C335" s="19" t="str">
        <f>IFERROR(__xludf.DUMMYFUNCTION("""COMPUTED_VALUE"""),"B. 314/ Labuhan Ratu")</f>
        <v>B. 314/ Labuhan Ratu</v>
      </c>
      <c r="D335" s="17">
        <f>IFERROR(__xludf.DUMMYFUNCTION("""COMPUTED_VALUE"""),45587.428794085645)</f>
        <v>45587.42879</v>
      </c>
      <c r="E335" s="13" t="str">
        <f>IFERROR(__xludf.DUMMYFUNCTION("""COMPUTED_VALUE"""),"Gandes")</f>
        <v>Gandes</v>
      </c>
      <c r="F335" s="13" t="str">
        <f>IFERROR(__xludf.DUMMYFUNCTION("""COMPUTED_VALUE"""),"Nanik Maryani/ Ronauli P")</f>
        <v>Nanik Maryani/ Ronauli P</v>
      </c>
      <c r="G335" s="13">
        <f t="shared" si="1"/>
        <v>319</v>
      </c>
      <c r="H335" s="13" t="str">
        <f>IFERROR(__xludf.DUMMYFUNCTION("""COMPUTED_VALUE"""),"P0")</f>
        <v>P0</v>
      </c>
    </row>
    <row r="336" ht="22.5" customHeight="1">
      <c r="B336" s="19" t="str">
        <f>IFERROR(__xludf.DUMMYFUNCTION("""COMPUTED_VALUE"""),"K/25/221024/4")</f>
        <v>K/25/221024/4</v>
      </c>
      <c r="C336" s="19" t="str">
        <f>IFERROR(__xludf.DUMMYFUNCTION("""COMPUTED_VALUE"""),"B. 330/ Labuhan Ratu")</f>
        <v>B. 330/ Labuhan Ratu</v>
      </c>
      <c r="D336" s="17">
        <f>IFERROR(__xludf.DUMMYFUNCTION("""COMPUTED_VALUE"""),45587.42931101852)</f>
        <v>45587.42931</v>
      </c>
      <c r="E336" s="13" t="str">
        <f>IFERROR(__xludf.DUMMYFUNCTION("""COMPUTED_VALUE"""),"Gandes")</f>
        <v>Gandes</v>
      </c>
      <c r="F336" s="13" t="str">
        <f>IFERROR(__xludf.DUMMYFUNCTION("""COMPUTED_VALUE"""),"Nanik Maryani/ Ronauli P")</f>
        <v>Nanik Maryani/ Ronauli P</v>
      </c>
      <c r="G336" s="13">
        <f t="shared" si="1"/>
        <v>320</v>
      </c>
      <c r="H336" s="13" t="str">
        <f>IFERROR(__xludf.DUMMYFUNCTION("""COMPUTED_VALUE"""),"P0")</f>
        <v>P0</v>
      </c>
    </row>
    <row r="337" ht="22.5" customHeight="1">
      <c r="B337" s="19" t="str">
        <f>IFERROR(__xludf.DUMMYFUNCTION("""COMPUTED_VALUE"""),"K/26/221024/5")</f>
        <v>K/26/221024/5</v>
      </c>
      <c r="C337" s="19" t="str">
        <f>IFERROR(__xludf.DUMMYFUNCTION("""COMPUTED_VALUE"""),"B. 325/ Labuhan Ratu")</f>
        <v>B. 325/ Labuhan Ratu</v>
      </c>
      <c r="D337" s="17">
        <f>IFERROR(__xludf.DUMMYFUNCTION("""COMPUTED_VALUE"""),45587.4297930787)</f>
        <v>45587.42979</v>
      </c>
      <c r="E337" s="13" t="str">
        <f>IFERROR(__xludf.DUMMYFUNCTION("""COMPUTED_VALUE"""),"Gandes")</f>
        <v>Gandes</v>
      </c>
      <c r="F337" s="13" t="str">
        <f>IFERROR(__xludf.DUMMYFUNCTION("""COMPUTED_VALUE"""),"Nanik Maryani/ Ronauli P")</f>
        <v>Nanik Maryani/ Ronauli P</v>
      </c>
      <c r="G337" s="13">
        <f t="shared" si="1"/>
        <v>321</v>
      </c>
      <c r="H337" s="13" t="str">
        <f>IFERROR(__xludf.DUMMYFUNCTION("""COMPUTED_VALUE"""),"P0")</f>
        <v>P0</v>
      </c>
    </row>
    <row r="338" ht="22.5" customHeight="1">
      <c r="B338" s="19" t="str">
        <f>IFERROR(__xludf.DUMMYFUNCTION("""COMPUTED_VALUE"""),"K/28/221024/1")</f>
        <v>K/28/221024/1</v>
      </c>
      <c r="C338" s="19" t="str">
        <f>IFERROR(__xludf.DUMMYFUNCTION("""COMPUTED_VALUE"""),"B. 1206/ Kemiling Permai")</f>
        <v>B. 1206/ Kemiling Permai</v>
      </c>
      <c r="D338" s="17">
        <f>IFERROR(__xludf.DUMMYFUNCTION("""COMPUTED_VALUE"""),45587.441205995376)</f>
        <v>45587.44121</v>
      </c>
      <c r="E338" s="13" t="str">
        <f>IFERROR(__xludf.DUMMYFUNCTION("""COMPUTED_VALUE"""),"Bn Jual Beli")</f>
        <v>Bn Jual Beli</v>
      </c>
      <c r="F338" s="13" t="str">
        <f>IFERROR(__xludf.DUMMYFUNCTION("""COMPUTED_VALUE"""),"Herlina Ratna SN/ Yudha O")</f>
        <v>Herlina Ratna SN/ Yudha O</v>
      </c>
      <c r="G338" s="13">
        <f t="shared" si="1"/>
        <v>322</v>
      </c>
      <c r="H338" s="13" t="str">
        <f>IFERROR(__xludf.DUMMYFUNCTION("""COMPUTED_VALUE"""),"P0")</f>
        <v>P0</v>
      </c>
    </row>
    <row r="339" ht="22.5" customHeight="1">
      <c r="B339" s="19" t="str">
        <f>IFERROR(__xludf.DUMMYFUNCTION("""COMPUTED_VALUE"""),"K/27/221024/1")</f>
        <v>K/27/221024/1</v>
      </c>
      <c r="C339" s="19" t="str">
        <f>IFERROR(__xludf.DUMMYFUNCTION("""COMPUTED_VALUE"""),"M.1252/LANGKAPURA BARU")</f>
        <v>M.1252/LANGKAPURA BARU</v>
      </c>
      <c r="D339" s="17">
        <f>IFERROR(__xludf.DUMMYFUNCTION("""COMPUTED_VALUE"""),45587.44417716435)</f>
        <v>45587.44418</v>
      </c>
      <c r="E339" s="13" t="str">
        <f>IFERROR(__xludf.DUMMYFUNCTION("""COMPUTED_VALUE"""),"PERALIHAN JUAL BELI")</f>
        <v>PERALIHAN JUAL BELI</v>
      </c>
      <c r="F339" s="13" t="str">
        <f>IFERROR(__xludf.DUMMYFUNCTION("""COMPUTED_VALUE"""),"SURYATI/WAYAN RASTA ")</f>
        <v>SURYATI/WAYAN RASTA </v>
      </c>
      <c r="G339" s="13">
        <f t="shared" si="1"/>
        <v>323</v>
      </c>
      <c r="H339" s="13" t="str">
        <f>IFERROR(__xludf.DUMMYFUNCTION("""COMPUTED_VALUE"""),"P0")</f>
        <v>P0</v>
      </c>
    </row>
    <row r="340" ht="22.5" customHeight="1">
      <c r="B340" s="19" t="str">
        <f>IFERROR(__xludf.DUMMYFUNCTION("""COMPUTED_VALUE"""),"K/29/221024/1")</f>
        <v>K/29/221024/1</v>
      </c>
      <c r="C340" s="19" t="str">
        <f>IFERROR(__xludf.DUMMYFUNCTION("""COMPUTED_VALUE"""),"M.1636/SUMBEREJO/KEMILING")</f>
        <v>M.1636/SUMBEREJO/KEMILING</v>
      </c>
      <c r="D340" s="17">
        <f>IFERROR(__xludf.DUMMYFUNCTION("""COMPUTED_VALUE"""),45587.44474337963)</f>
        <v>45587.44474</v>
      </c>
      <c r="E340" s="13" t="str">
        <f>IFERROR(__xludf.DUMMYFUNCTION("""COMPUTED_VALUE"""),"PLOTING")</f>
        <v>PLOTING</v>
      </c>
      <c r="F340" s="13" t="str">
        <f>IFERROR(__xludf.DUMMYFUNCTION("""COMPUTED_VALUE"""),"SUNARMI/AMARULLAH")</f>
        <v>SUNARMI/AMARULLAH</v>
      </c>
      <c r="G340" s="13">
        <f t="shared" si="1"/>
        <v>324</v>
      </c>
      <c r="H340" s="13" t="str">
        <f>IFERROR(__xludf.DUMMYFUNCTION("""COMPUTED_VALUE"""),"P0")</f>
        <v>P0</v>
      </c>
    </row>
    <row r="341" ht="22.5" customHeight="1">
      <c r="B341" s="19" t="str">
        <f>IFERROR(__xludf.DUMMYFUNCTION("""COMPUTED_VALUE"""),"K/30/221024/2")</f>
        <v>K/30/221024/2</v>
      </c>
      <c r="C341" s="19" t="str">
        <f>IFERROR(__xludf.DUMMYFUNCTION("""COMPUTED_VALUE"""),"M.1898/BUMI WARAS")</f>
        <v>M.1898/BUMI WARAS</v>
      </c>
      <c r="D341" s="17">
        <f>IFERROR(__xludf.DUMMYFUNCTION("""COMPUTED_VALUE"""),45587.445385706014)</f>
        <v>45587.44539</v>
      </c>
      <c r="E341" s="13" t="str">
        <f>IFERROR(__xludf.DUMMYFUNCTION("""COMPUTED_VALUE"""),"PLOTING")</f>
        <v>PLOTING</v>
      </c>
      <c r="F341" s="13" t="str">
        <f>IFERROR(__xludf.DUMMYFUNCTION("""COMPUTED_VALUE"""),"EMI KASMINI/AMARULLAH")</f>
        <v>EMI KASMINI/AMARULLAH</v>
      </c>
      <c r="G341" s="13">
        <f t="shared" si="1"/>
        <v>325</v>
      </c>
      <c r="H341" s="13" t="str">
        <f>IFERROR(__xludf.DUMMYFUNCTION("""COMPUTED_VALUE"""),"P0")</f>
        <v>P0</v>
      </c>
    </row>
    <row r="342" ht="22.5" customHeight="1">
      <c r="B342" s="19" t="str">
        <f>IFERROR(__xludf.DUMMYFUNCTION("""COMPUTED_VALUE"""),"K/32/221024/1")</f>
        <v>K/32/221024/1</v>
      </c>
      <c r="C342" s="19" t="str">
        <f>IFERROR(__xludf.DUMMYFUNCTION("""COMPUTED_VALUE"""),"Nibel. B. 2386/ P W K")</f>
        <v>Nibel. B. 2386/ P W K</v>
      </c>
      <c r="D342" s="17">
        <f>IFERROR(__xludf.DUMMYFUNCTION("""COMPUTED_VALUE"""),45587.446112743055)</f>
        <v>45587.44611</v>
      </c>
      <c r="E342" s="13" t="str">
        <f>IFERROR(__xludf.DUMMYFUNCTION("""COMPUTED_VALUE"""),"Perubahan Hak")</f>
        <v>Perubahan Hak</v>
      </c>
      <c r="F342" s="13" t="str">
        <f>IFERROR(__xludf.DUMMYFUNCTION("""COMPUTED_VALUE"""),"Imelda Pasaribu/ Rotua P")</f>
        <v>Imelda Pasaribu/ Rotua P</v>
      </c>
      <c r="G342" s="13">
        <f t="shared" si="1"/>
        <v>326</v>
      </c>
      <c r="H342" s="13" t="str">
        <f>IFERROR(__xludf.DUMMYFUNCTION("""COMPUTED_VALUE"""),"P0")</f>
        <v>P0</v>
      </c>
    </row>
    <row r="343" ht="22.5" customHeight="1">
      <c r="B343" s="19" t="str">
        <f>IFERROR(__xludf.DUMMYFUNCTION("""COMPUTED_VALUE"""),"K/31/221024/3")</f>
        <v>K/31/221024/3</v>
      </c>
      <c r="C343" s="19" t="str">
        <f>IFERROR(__xludf.DUMMYFUNCTION("""COMPUTED_VALUE"""),"M.1459/KEMILING PERMAI")</f>
        <v>M.1459/KEMILING PERMAI</v>
      </c>
      <c r="D343" s="17">
        <f>IFERROR(__xludf.DUMMYFUNCTION("""COMPUTED_VALUE"""),45587.4464021412)</f>
        <v>45587.4464</v>
      </c>
      <c r="E343" s="13" t="str">
        <f>IFERROR(__xludf.DUMMYFUNCTION("""COMPUTED_VALUE"""),"PERALIHAN JUAL BELI")</f>
        <v>PERALIHAN JUAL BELI</v>
      </c>
      <c r="F343" s="13" t="str">
        <f>IFERROR(__xludf.DUMMYFUNCTION("""COMPUTED_VALUE"""),"HERMASNYAH/AMARULLAH")</f>
        <v>HERMASNYAH/AMARULLAH</v>
      </c>
      <c r="G343" s="13">
        <f t="shared" si="1"/>
        <v>327</v>
      </c>
      <c r="H343" s="13" t="str">
        <f>IFERROR(__xludf.DUMMYFUNCTION("""COMPUTED_VALUE"""),"P0")</f>
        <v>P0</v>
      </c>
    </row>
    <row r="344" ht="22.5" customHeight="1">
      <c r="B344" s="19" t="str">
        <f>IFERROR(__xludf.DUMMYFUNCTION("""COMPUTED_VALUE"""),"K/33/221024/1")</f>
        <v>K/33/221024/1</v>
      </c>
      <c r="C344" s="19" t="str">
        <f>IFERROR(__xludf.DUMMYFUNCTION("""COMPUTED_VALUE"""),"M. 2679/ Kota Baru")</f>
        <v>M. 2679/ Kota Baru</v>
      </c>
      <c r="D344" s="17">
        <f>IFERROR(__xludf.DUMMYFUNCTION("""COMPUTED_VALUE"""),45587.44848931713)</f>
        <v>45587.44849</v>
      </c>
      <c r="E344" s="13" t="str">
        <f>IFERROR(__xludf.DUMMYFUNCTION("""COMPUTED_VALUE"""),"BN Jual Beli")</f>
        <v>BN Jual Beli</v>
      </c>
      <c r="F344" s="13" t="str">
        <f>IFERROR(__xludf.DUMMYFUNCTION("""COMPUTED_VALUE"""),"Evi Udin/ Seftiana")</f>
        <v>Evi Udin/ Seftiana</v>
      </c>
      <c r="G344" s="13">
        <f t="shared" si="1"/>
        <v>328</v>
      </c>
      <c r="H344" s="13" t="str">
        <f>IFERROR(__xludf.DUMMYFUNCTION("""COMPUTED_VALUE"""),"P0")</f>
        <v>P0</v>
      </c>
    </row>
    <row r="345" ht="22.5" customHeight="1">
      <c r="B345" s="19" t="str">
        <f>IFERROR(__xludf.DUMMYFUNCTION("""COMPUTED_VALUE"""),"K/34/221024/1")</f>
        <v>K/34/221024/1</v>
      </c>
      <c r="C345" s="19" t="str">
        <f>IFERROR(__xludf.DUMMYFUNCTION("""COMPUTED_VALUE"""),"M.2138/NEGERI OLOK GADING ")</f>
        <v>M.2138/NEGERI OLOK GADING </v>
      </c>
      <c r="D345" s="17">
        <f>IFERROR(__xludf.DUMMYFUNCTION("""COMPUTED_VALUE"""),45587.45460321759)</f>
        <v>45587.4546</v>
      </c>
      <c r="E345" s="13" t="str">
        <f>IFERROR(__xludf.DUMMYFUNCTION("""COMPUTED_VALUE"""),"PERALIHAN JUAL BELI")</f>
        <v>PERALIHAN JUAL BELI</v>
      </c>
      <c r="F345" s="13" t="str">
        <f>IFERROR(__xludf.DUMMYFUNCTION("""COMPUTED_VALUE"""),"RIVA YOHANA/NOVALIA EKA PUTRI")</f>
        <v>RIVA YOHANA/NOVALIA EKA PUTRI</v>
      </c>
      <c r="G345" s="13">
        <f t="shared" si="1"/>
        <v>329</v>
      </c>
      <c r="H345" s="13" t="str">
        <f>IFERROR(__xludf.DUMMYFUNCTION("""COMPUTED_VALUE"""),"P0")</f>
        <v>P0</v>
      </c>
    </row>
    <row r="346" ht="22.5" customHeight="1">
      <c r="B346" s="19" t="str">
        <f>IFERROR(__xludf.DUMMYFUNCTION("""COMPUTED_VALUE"""),"K/35/221024/1")</f>
        <v>K/35/221024/1</v>
      </c>
      <c r="C346" s="19" t="str">
        <f>IFERROR(__xludf.DUMMYFUNCTION("""COMPUTED_VALUE"""),"M. 10040/ Segala Mider")</f>
        <v>M. 10040/ Segala Mider</v>
      </c>
      <c r="D346" s="17">
        <f>IFERROR(__xludf.DUMMYFUNCTION("""COMPUTED_VALUE"""),45587.457091122684)</f>
        <v>45587.45709</v>
      </c>
      <c r="E346" s="13" t="str">
        <f>IFERROR(__xludf.DUMMYFUNCTION("""COMPUTED_VALUE"""),"PTPGT Pemecahan")</f>
        <v>PTPGT Pemecahan</v>
      </c>
      <c r="F346" s="13" t="str">
        <f>IFERROR(__xludf.DUMMYFUNCTION("""COMPUTED_VALUE"""),"Afrikianza Arla/ Suntoro")</f>
        <v>Afrikianza Arla/ Suntoro</v>
      </c>
      <c r="G346" s="13">
        <f t="shared" si="1"/>
        <v>330</v>
      </c>
      <c r="H346" s="13" t="str">
        <f>IFERROR(__xludf.DUMMYFUNCTION("""COMPUTED_VALUE"""),"P0")</f>
        <v>P0</v>
      </c>
    </row>
    <row r="347" ht="22.5" customHeight="1">
      <c r="B347" s="19" t="str">
        <f>IFERROR(__xludf.DUMMYFUNCTION("""COMPUTED_VALUE"""),"K/36/221024/1")</f>
        <v>K/36/221024/1</v>
      </c>
      <c r="C347" s="19" t="str">
        <f>IFERROR(__xludf.DUMMYFUNCTION("""COMPUTED_VALUE"""),"M. 1399/ Beringin Jaya; M. 2912 Beringin Raya-dahulu; B. 2928/ Berringin Raya-dahulu")</f>
        <v>M. 1399/ Beringin Jaya; M. 2912 Beringin Raya-dahulu; B. 2928/ Berringin Raya-dahulu</v>
      </c>
      <c r="D347" s="17">
        <f>IFERROR(__xludf.DUMMYFUNCTION("""COMPUTED_VALUE"""),45587.461173414355)</f>
        <v>45587.46117</v>
      </c>
      <c r="E347" s="13" t="str">
        <f>IFERROR(__xludf.DUMMYFUNCTION("""COMPUTED_VALUE"""),"BN Jual Beli")</f>
        <v>BN Jual Beli</v>
      </c>
      <c r="F347" s="13" t="str">
        <f>IFERROR(__xludf.DUMMYFUNCTION("""COMPUTED_VALUE"""),"Endang Aprilia/ Fitri R S")</f>
        <v>Endang Aprilia/ Fitri R S</v>
      </c>
      <c r="G347" s="13">
        <f t="shared" si="1"/>
        <v>331</v>
      </c>
      <c r="H347" s="13" t="str">
        <f>IFERROR(__xludf.DUMMYFUNCTION("""COMPUTED_VALUE"""),"P0")</f>
        <v>P0</v>
      </c>
    </row>
    <row r="348" ht="22.5" customHeight="1">
      <c r="B348" s="19" t="str">
        <f>IFERROR(__xludf.DUMMYFUNCTION("""COMPUTED_VALUE"""),"K/38/221024/2")</f>
        <v>K/38/221024/2</v>
      </c>
      <c r="C348" s="19" t="str">
        <f>IFERROR(__xludf.DUMMYFUNCTION("""COMPUTED_VALUE"""),"M. 2050/ L R R; M. 11134/ Labuhan Ratu-dahulu")</f>
        <v>M. 2050/ L R R; M. 11134/ Labuhan Ratu-dahulu</v>
      </c>
      <c r="D348" s="17">
        <f>IFERROR(__xludf.DUMMYFUNCTION("""COMPUTED_VALUE"""),45587.475602719904)</f>
        <v>45587.4756</v>
      </c>
      <c r="E348" s="13" t="str">
        <f>IFERROR(__xludf.DUMMYFUNCTION("""COMPUTED_VALUE"""),"BN Waris")</f>
        <v>BN Waris</v>
      </c>
      <c r="F348" s="13" t="str">
        <f>IFERROR(__xludf.DUMMYFUNCTION("""COMPUTED_VALUE"""),"Endang Aprilia/ Erwin S Cs")</f>
        <v>Endang Aprilia/ Erwin S Cs</v>
      </c>
      <c r="G348" s="13">
        <f t="shared" si="1"/>
        <v>332</v>
      </c>
      <c r="H348" s="13" t="str">
        <f>IFERROR(__xludf.DUMMYFUNCTION("""COMPUTED_VALUE"""),"P0")</f>
        <v>P0</v>
      </c>
    </row>
    <row r="349" ht="22.5" customHeight="1">
      <c r="B349" s="19" t="str">
        <f>IFERROR(__xludf.DUMMYFUNCTION("""COMPUTED_VALUE"""),"K/37/221024/1")</f>
        <v>K/37/221024/1</v>
      </c>
      <c r="C349" s="19" t="str">
        <f>IFERROR(__xludf.DUMMYFUNCTION("""COMPUTED_VALUE"""),"M. 14029/ Tanjung Baru")</f>
        <v>M. 14029/ Tanjung Baru</v>
      </c>
      <c r="D349" s="17">
        <f>IFERROR(__xludf.DUMMYFUNCTION("""COMPUTED_VALUE"""),45587.47480353009)</f>
        <v>45587.4748</v>
      </c>
      <c r="E349" s="13" t="str">
        <f>IFERROR(__xludf.DUMMYFUNCTION("""COMPUTED_VALUE"""),"BN Hibah")</f>
        <v>BN Hibah</v>
      </c>
      <c r="F349" s="13" t="str">
        <f>IFERROR(__xludf.DUMMYFUNCTION("""COMPUTED_VALUE"""),"Yudeni Thoha/ Fitta Anggairi")</f>
        <v>Yudeni Thoha/ Fitta Anggairi</v>
      </c>
      <c r="G349" s="13">
        <f t="shared" si="1"/>
        <v>333</v>
      </c>
      <c r="H349" s="13" t="str">
        <f>IFERROR(__xludf.DUMMYFUNCTION("""COMPUTED_VALUE"""),"P0")</f>
        <v>P0</v>
      </c>
    </row>
    <row r="350" ht="22.5" customHeight="1">
      <c r="B350" s="19" t="str">
        <f>IFERROR(__xludf.DUMMYFUNCTION("""COMPUTED_VALUE"""),"K/42/221024/4")</f>
        <v>K/42/221024/4</v>
      </c>
      <c r="C350" s="19" t="str">
        <f>IFERROR(__xludf.DUMMYFUNCTION("""COMPUTED_VALUE"""),"M. 5090/ Way Kandis")</f>
        <v>M. 5090/ Way Kandis</v>
      </c>
      <c r="D350" s="17">
        <f>IFERROR(__xludf.DUMMYFUNCTION("""COMPUTED_VALUE"""),45587.48073591435)</f>
        <v>45587.48074</v>
      </c>
      <c r="E350" s="13" t="str">
        <f>IFERROR(__xludf.DUMMYFUNCTION("""COMPUTED_VALUE"""),"Hapus BPHTB")</f>
        <v>Hapus BPHTB</v>
      </c>
      <c r="F350" s="13" t="str">
        <f>IFERROR(__xludf.DUMMYFUNCTION("""COMPUTED_VALUE"""),"Panary S/ Indra K")</f>
        <v>Panary S/ Indra K</v>
      </c>
      <c r="G350" s="13">
        <f t="shared" si="1"/>
        <v>334</v>
      </c>
      <c r="H350" s="13" t="str">
        <f>IFERROR(__xludf.DUMMYFUNCTION("""COMPUTED_VALUE"""),"P0")</f>
        <v>P0</v>
      </c>
    </row>
    <row r="351" ht="22.5" customHeight="1">
      <c r="B351" s="19" t="str">
        <f>IFERROR(__xludf.DUMMYFUNCTION("""COMPUTED_VALUE"""),"K/41/221024/3")</f>
        <v>K/41/221024/3</v>
      </c>
      <c r="C351" s="19" t="str">
        <f>IFERROR(__xludf.DUMMYFUNCTION("""COMPUTED_VALUE"""),"M. 1069/ Rajabasa Pemuka")</f>
        <v>M. 1069/ Rajabasa Pemuka</v>
      </c>
      <c r="D351" s="17">
        <f>IFERROR(__xludf.DUMMYFUNCTION("""COMPUTED_VALUE"""),45587.48185287037)</f>
        <v>45587.48185</v>
      </c>
      <c r="E351" s="13" t="str">
        <f>IFERROR(__xludf.DUMMYFUNCTION("""COMPUTED_VALUE"""),"BN Jual Beli")</f>
        <v>BN Jual Beli</v>
      </c>
      <c r="F351" s="13" t="str">
        <f>IFERROR(__xludf.DUMMYFUNCTION("""COMPUTED_VALUE"""),"Panary S/ Arif K")</f>
        <v>Panary S/ Arif K</v>
      </c>
      <c r="G351" s="13">
        <f t="shared" si="1"/>
        <v>335</v>
      </c>
      <c r="H351" s="13" t="str">
        <f>IFERROR(__xludf.DUMMYFUNCTION("""COMPUTED_VALUE"""),"P0")</f>
        <v>P0</v>
      </c>
    </row>
    <row r="352" ht="22.5" customHeight="1">
      <c r="B352" s="19" t="str">
        <f>IFERROR(__xludf.DUMMYFUNCTION("""COMPUTED_VALUE"""),"K/40/221024/2")</f>
        <v>K/40/221024/2</v>
      </c>
      <c r="C352" s="19" t="str">
        <f>IFERROR(__xludf.DUMMYFUNCTION("""COMPUTED_VALUE"""),"M. 2152/ Sepang Jaya")</f>
        <v>M. 2152/ Sepang Jaya</v>
      </c>
      <c r="D352" s="17">
        <f>IFERROR(__xludf.DUMMYFUNCTION("""COMPUTED_VALUE"""),45587.4828199537)</f>
        <v>45587.48282</v>
      </c>
      <c r="E352" s="13" t="str">
        <f>IFERROR(__xludf.DUMMYFUNCTION("""COMPUTED_VALUE"""),"BN Jual Beli")</f>
        <v>BN Jual Beli</v>
      </c>
      <c r="F352" s="13" t="str">
        <f>IFERROR(__xludf.DUMMYFUNCTION("""COMPUTED_VALUE"""),"Panary S/ Azhari")</f>
        <v>Panary S/ Azhari</v>
      </c>
      <c r="G352" s="13">
        <f t="shared" si="1"/>
        <v>336</v>
      </c>
      <c r="H352" s="13" t="str">
        <f>IFERROR(__xludf.DUMMYFUNCTION("""COMPUTED_VALUE"""),"P0")</f>
        <v>P0</v>
      </c>
    </row>
    <row r="353" ht="22.5" customHeight="1">
      <c r="B353" s="19" t="str">
        <f>IFERROR(__xludf.DUMMYFUNCTION("""COMPUTED_VALUE"""),"K/39/221024/1")</f>
        <v>K/39/221024/1</v>
      </c>
      <c r="C353" s="19" t="str">
        <f>IFERROR(__xludf.DUMMYFUNCTION("""COMPUTED_VALUE"""),"M. 6475/ Way Kandis")</f>
        <v>M. 6475/ Way Kandis</v>
      </c>
      <c r="D353" s="17">
        <f>IFERROR(__xludf.DUMMYFUNCTION("""COMPUTED_VALUE"""),45587.48373765046)</f>
        <v>45587.48374</v>
      </c>
      <c r="E353" s="13" t="str">
        <f>IFERROR(__xludf.DUMMYFUNCTION("""COMPUTED_VALUE"""),"BN Jual Beli")</f>
        <v>BN Jual Beli</v>
      </c>
      <c r="F353" s="13" t="str">
        <f>IFERROR(__xludf.DUMMYFUNCTION("""COMPUTED_VALUE"""),"Panary S/ Amirhan")</f>
        <v>Panary S/ Amirhan</v>
      </c>
      <c r="G353" s="13">
        <f t="shared" si="1"/>
        <v>337</v>
      </c>
      <c r="H353" s="13" t="str">
        <f>IFERROR(__xludf.DUMMYFUNCTION("""COMPUTED_VALUE"""),"P0")</f>
        <v>P0</v>
      </c>
    </row>
    <row r="354" ht="22.5" customHeight="1">
      <c r="B354" s="19" t="str">
        <f>IFERROR(__xludf.DUMMYFUNCTION("""COMPUTED_VALUE"""),"K/43/221024/1")</f>
        <v>K/43/221024/1</v>
      </c>
      <c r="C354" s="19" t="str">
        <f>IFERROR(__xludf.DUMMYFUNCTION("""COMPUTED_VALUE"""),"M. 5455/ Tanjung Seneng")</f>
        <v>M. 5455/ Tanjung Seneng</v>
      </c>
      <c r="D354" s="17">
        <f>IFERROR(__xludf.DUMMYFUNCTION("""COMPUTED_VALUE"""),45587.48945622685)</f>
        <v>45587.48946</v>
      </c>
      <c r="E354" s="13" t="str">
        <f>IFERROR(__xludf.DUMMYFUNCTION("""COMPUTED_VALUE"""),"BN Jual Beli")</f>
        <v>BN Jual Beli</v>
      </c>
      <c r="F354" s="13" t="str">
        <f>IFERROR(__xludf.DUMMYFUNCTION("""COMPUTED_VALUE"""),"Adnan/ Wasilawati")</f>
        <v>Adnan/ Wasilawati</v>
      </c>
      <c r="G354" s="13">
        <f t="shared" si="1"/>
        <v>338</v>
      </c>
      <c r="H354" s="13" t="str">
        <f>IFERROR(__xludf.DUMMYFUNCTION("""COMPUTED_VALUE"""),"P0")</f>
        <v>P0</v>
      </c>
    </row>
    <row r="355" ht="22.5" customHeight="1">
      <c r="B355" s="19" t="str">
        <f>IFERROR(__xludf.DUMMYFUNCTION("""COMPUTED_VALUE"""),"K/44/221024/2")</f>
        <v>K/44/221024/2</v>
      </c>
      <c r="C355" s="19" t="str">
        <f>IFERROR(__xludf.DUMMYFUNCTION("""COMPUTED_VALUE"""),"M. 2956/ Sukarame Baru- sekarang; M. 16805/ Sukarame I")</f>
        <v>M. 2956/ Sukarame Baru- sekarang; M. 16805/ Sukarame I</v>
      </c>
      <c r="D355" s="17">
        <f>IFERROR(__xludf.DUMMYFUNCTION("""COMPUTED_VALUE"""),45587.49386756944)</f>
        <v>45587.49387</v>
      </c>
      <c r="E355" s="13" t="str">
        <f>IFERROR(__xludf.DUMMYFUNCTION("""COMPUTED_VALUE"""),"BN Waris")</f>
        <v>BN Waris</v>
      </c>
      <c r="F355" s="13" t="str">
        <f>IFERROR(__xludf.DUMMYFUNCTION("""COMPUTED_VALUE"""),"Adnan/ Lieta Devi")</f>
        <v>Adnan/ Lieta Devi</v>
      </c>
      <c r="G355" s="13">
        <f t="shared" si="1"/>
        <v>339</v>
      </c>
      <c r="H355" s="13" t="str">
        <f>IFERROR(__xludf.DUMMYFUNCTION("""COMPUTED_VALUE"""),"P0")</f>
        <v>P0</v>
      </c>
    </row>
    <row r="356" ht="22.5" customHeight="1">
      <c r="B356" s="19" t="str">
        <f>IFERROR(__xludf.DUMMYFUNCTION("""COMPUTED_VALUE"""),"K/45/221024/1")</f>
        <v>K/45/221024/1</v>
      </c>
      <c r="C356" s="19" t="str">
        <f>IFERROR(__xludf.DUMMYFUNCTION("""COMPUTED_VALUE"""),"M. 543/ Sumur Putri")</f>
        <v>M. 543/ Sumur Putri</v>
      </c>
      <c r="D356" s="17">
        <f>IFERROR(__xludf.DUMMYFUNCTION("""COMPUTED_VALUE"""),45587.55794190972)</f>
        <v>45587.55794</v>
      </c>
      <c r="E356" s="13" t="str">
        <f>IFERROR(__xludf.DUMMYFUNCTION("""COMPUTED_VALUE"""),"Roya")</f>
        <v>Roya</v>
      </c>
      <c r="F356" s="13" t="str">
        <f>IFERROR(__xludf.DUMMYFUNCTION("""COMPUTED_VALUE"""),"Nur Hayati/Rubiyanto")</f>
        <v>Nur Hayati/Rubiyanto</v>
      </c>
      <c r="G356" s="13">
        <f t="shared" si="1"/>
        <v>340</v>
      </c>
      <c r="H356" s="13" t="str">
        <f>IFERROR(__xludf.DUMMYFUNCTION("""COMPUTED_VALUE"""),"P0")</f>
        <v>P0</v>
      </c>
    </row>
    <row r="357" ht="22.5" customHeight="1">
      <c r="B357" s="19" t="str">
        <f>IFERROR(__xludf.DUMMYFUNCTION("""COMPUTED_VALUE"""),"K/46/221024/1")</f>
        <v>K/46/221024/1</v>
      </c>
      <c r="C357" s="19" t="str">
        <f>IFERROR(__xludf.DUMMYFUNCTION("""COMPUTED_VALUE"""),"M. 12400/ Kedaton")</f>
        <v>M. 12400/ Kedaton</v>
      </c>
      <c r="D357" s="17">
        <f>IFERROR(__xludf.DUMMYFUNCTION("""COMPUTED_VALUE"""),45587.57033728009)</f>
        <v>45587.57034</v>
      </c>
      <c r="E357" s="13" t="str">
        <f>IFERROR(__xludf.DUMMYFUNCTION("""COMPUTED_VALUE"""),"Plotting")</f>
        <v>Plotting</v>
      </c>
      <c r="F357" s="13" t="str">
        <f>IFERROR(__xludf.DUMMYFUNCTION("""COMPUTED_VALUE"""),"Ria Natalya/ Cahyan")</f>
        <v>Ria Natalya/ Cahyan</v>
      </c>
      <c r="G357" s="13">
        <f t="shared" si="1"/>
        <v>341</v>
      </c>
      <c r="H357" s="13" t="str">
        <f>IFERROR(__xludf.DUMMYFUNCTION("""COMPUTED_VALUE"""),"P0")</f>
        <v>P0</v>
      </c>
    </row>
    <row r="358" ht="22.5" customHeight="1">
      <c r="B358" s="19" t="str">
        <f>IFERROR(__xludf.DUMMYFUNCTION("""COMPUTED_VALUE"""),"K/47/221024/1")</f>
        <v>K/47/221024/1</v>
      </c>
      <c r="C358" s="19" t="str">
        <f>IFERROR(__xludf.DUMMYFUNCTION("""COMPUTED_VALUE"""),"M. 417/ Nusantara Permai")</f>
        <v>M. 417/ Nusantara Permai</v>
      </c>
      <c r="D358" s="17">
        <f>IFERROR(__xludf.DUMMYFUNCTION("""COMPUTED_VALUE"""),45587.58135)</f>
        <v>45587.58135</v>
      </c>
      <c r="E358" s="13" t="str">
        <f>IFERROR(__xludf.DUMMYFUNCTION("""COMPUTED_VALUE"""),"Plotting")</f>
        <v>Plotting</v>
      </c>
      <c r="F358" s="13" t="str">
        <f>IFERROR(__xludf.DUMMYFUNCTION("""COMPUTED_VALUE"""),"Hariyo Widodo/ Edy Nefo")</f>
        <v>Hariyo Widodo/ Edy Nefo</v>
      </c>
      <c r="G358" s="13">
        <f t="shared" si="1"/>
        <v>342</v>
      </c>
      <c r="H358" s="13" t="str">
        <f>IFERROR(__xludf.DUMMYFUNCTION("""COMPUTED_VALUE"""),"P0")</f>
        <v>P0</v>
      </c>
    </row>
    <row r="359" ht="22.5" customHeight="1">
      <c r="B359" s="19" t="str">
        <f>IFERROR(__xludf.DUMMYFUNCTION("""COMPUTED_VALUE"""),"K/49/221024/1")</f>
        <v>K/49/221024/1</v>
      </c>
      <c r="C359" s="19" t="str">
        <f>IFERROR(__xludf.DUMMYFUNCTION("""COMPUTED_VALUE"""),"M. 351/ Sumber Rejo")</f>
        <v>M. 351/ Sumber Rejo</v>
      </c>
      <c r="D359" s="17">
        <f>IFERROR(__xludf.DUMMYFUNCTION("""COMPUTED_VALUE"""),45587.58496446759)</f>
        <v>45587.58496</v>
      </c>
      <c r="E359" s="13" t="str">
        <f>IFERROR(__xludf.DUMMYFUNCTION("""COMPUTED_VALUE"""),"Roya")</f>
        <v>Roya</v>
      </c>
      <c r="F359" s="13" t="str">
        <f>IFERROR(__xludf.DUMMYFUNCTION("""COMPUTED_VALUE"""),"Hera Agustianti/ Seto Irawan")</f>
        <v>Hera Agustianti/ Seto Irawan</v>
      </c>
      <c r="G359" s="13">
        <f t="shared" si="1"/>
        <v>343</v>
      </c>
      <c r="H359" s="13" t="str">
        <f>IFERROR(__xludf.DUMMYFUNCTION("""COMPUTED_VALUE"""),"P0")</f>
        <v>P0</v>
      </c>
    </row>
    <row r="360" ht="22.5" customHeight="1">
      <c r="B360" s="19" t="str">
        <f>IFERROR(__xludf.DUMMYFUNCTION("""COMPUTED_VALUE"""),"K/47/151024/1")</f>
        <v>K/47/151024/1</v>
      </c>
      <c r="C360" s="19" t="str">
        <f>IFERROR(__xludf.DUMMYFUNCTION("""COMPUTED_VALUE"""),"B. 176/ Labuhan Ratu Raya")</f>
        <v>B. 176/ Labuhan Ratu Raya</v>
      </c>
      <c r="D360" s="17">
        <f>IFERROR(__xludf.DUMMYFUNCTION("""COMPUTED_VALUE"""),45587.594799618055)</f>
        <v>45587.5948</v>
      </c>
      <c r="E360" s="13" t="str">
        <f>IFERROR(__xludf.DUMMYFUNCTION("""COMPUTED_VALUE"""),"BN Jual Beli")</f>
        <v>BN Jual Beli</v>
      </c>
      <c r="F360" s="13" t="str">
        <f>IFERROR(__xludf.DUMMYFUNCTION("""COMPUTED_VALUE"""),"Nedi Heryandi/ Yulia Eka")</f>
        <v>Nedi Heryandi/ Yulia Eka</v>
      </c>
      <c r="G360" s="13">
        <f t="shared" si="1"/>
        <v>343</v>
      </c>
      <c r="H360" s="13" t="str">
        <f>IFERROR(__xludf.DUMMYFUNCTION("""COMPUTED_VALUE"""),"P1")</f>
        <v>P1</v>
      </c>
    </row>
    <row r="361" ht="22.5" customHeight="1">
      <c r="B361" s="19" t="str">
        <f>IFERROR(__xludf.DUMMYFUNCTION("""COMPUTED_VALUE"""),"K/50/221024/1")</f>
        <v>K/50/221024/1</v>
      </c>
      <c r="C361" s="19" t="str">
        <f>IFERROR(__xludf.DUMMYFUNCTION("""COMPUTED_VALUE"""),"M. 1410/ Bumi Waras")</f>
        <v>M. 1410/ Bumi Waras</v>
      </c>
      <c r="D361" s="17">
        <f>IFERROR(__xludf.DUMMYFUNCTION("""COMPUTED_VALUE"""),45587.59922646991)</f>
        <v>45587.59923</v>
      </c>
      <c r="E361" s="13" t="str">
        <f>IFERROR(__xludf.DUMMYFUNCTION("""COMPUTED_VALUE"""),"Ganti Kelurahan")</f>
        <v>Ganti Kelurahan</v>
      </c>
      <c r="F361" s="13" t="str">
        <f>IFERROR(__xludf.DUMMYFUNCTION("""COMPUTED_VALUE"""),"Budi K/ Sukandar")</f>
        <v>Budi K/ Sukandar</v>
      </c>
      <c r="G361" s="13">
        <f t="shared" si="1"/>
        <v>344</v>
      </c>
      <c r="H361" s="13" t="str">
        <f>IFERROR(__xludf.DUMMYFUNCTION("""COMPUTED_VALUE"""),"P0")</f>
        <v>P0</v>
      </c>
    </row>
    <row r="362" ht="22.5" customHeight="1">
      <c r="B362" s="19" t="str">
        <f>IFERROR(__xludf.DUMMYFUNCTION("""COMPUTED_VALUE"""),"K/48/221024/1")</f>
        <v>K/48/221024/1</v>
      </c>
      <c r="C362" s="19" t="str">
        <f>IFERROR(__xludf.DUMMYFUNCTION("""COMPUTED_VALUE"""),"B.578/KEMILING PERMAI")</f>
        <v>B.578/KEMILING PERMAI</v>
      </c>
      <c r="D362" s="17">
        <f>IFERROR(__xludf.DUMMYFUNCTION("""COMPUTED_VALUE"""),45587.60553356481)</f>
        <v>45587.60553</v>
      </c>
      <c r="E362" s="13" t="str">
        <f>IFERROR(__xludf.DUMMYFUNCTION("""COMPUTED_VALUE"""),"PERALIHAN JUAL BELI")</f>
        <v>PERALIHAN JUAL BELI</v>
      </c>
      <c r="F362" s="13" t="str">
        <f>IFERROR(__xludf.DUMMYFUNCTION("""COMPUTED_VALUE"""),"TERESIA OLIVIA OENNUS/MAYA AYUNINGTIAS")</f>
        <v>TERESIA OLIVIA OENNUS/MAYA AYUNINGTIAS</v>
      </c>
      <c r="G362" s="13">
        <f t="shared" si="1"/>
        <v>345</v>
      </c>
      <c r="H362" s="13" t="str">
        <f>IFERROR(__xludf.DUMMYFUNCTION("""COMPUTED_VALUE"""),"P0")</f>
        <v>P0</v>
      </c>
    </row>
    <row r="363" ht="22.5" customHeight="1">
      <c r="B363" s="19" t="str">
        <f>IFERROR(__xludf.DUMMYFUNCTION("""COMPUTED_VALUE"""),"L/54/221024/1")</f>
        <v>L/54/221024/1</v>
      </c>
      <c r="C363" s="19" t="str">
        <f>IFERROR(__xludf.DUMMYFUNCTION("""COMPUTED_VALUE"""),"HM 2260/NOG")</f>
        <v>HM 2260/NOG</v>
      </c>
      <c r="D363" s="17">
        <f>IFERROR(__xludf.DUMMYFUNCTION("""COMPUTED_VALUE"""),45587.60581368055)</f>
        <v>45587.60581</v>
      </c>
      <c r="E363" s="13" t="str">
        <f>IFERROR(__xludf.DUMMYFUNCTION("""COMPUTED_VALUE"""),"GANDES")</f>
        <v>GANDES</v>
      </c>
      <c r="F363" s="13" t="str">
        <f>IFERROR(__xludf.DUMMYFUNCTION("""COMPUTED_VALUE"""),"RAHADIAN")</f>
        <v>RAHADIAN</v>
      </c>
      <c r="G363" s="13">
        <f t="shared" si="1"/>
        <v>346</v>
      </c>
      <c r="H363" s="13" t="str">
        <f>IFERROR(__xludf.DUMMYFUNCTION("""COMPUTED_VALUE"""),"P0")</f>
        <v>P0</v>
      </c>
    </row>
    <row r="364" ht="22.5" customHeight="1">
      <c r="B364" s="19" t="str">
        <f>IFERROR(__xludf.DUMMYFUNCTION("""COMPUTED_VALUE"""),"K/51/221024/1")</f>
        <v>K/51/221024/1</v>
      </c>
      <c r="C364" s="19" t="str">
        <f>IFERROR(__xludf.DUMMYFUNCTION("""COMPUTED_VALUE"""),"M. 1358/ Sukajawa")</f>
        <v>M. 1358/ Sukajawa</v>
      </c>
      <c r="D364" s="17">
        <f>IFERROR(__xludf.DUMMYFUNCTION("""COMPUTED_VALUE"""),45587.60662450231)</f>
        <v>45587.60662</v>
      </c>
      <c r="E364" s="13" t="str">
        <f>IFERROR(__xludf.DUMMYFUNCTION("""COMPUTED_VALUE"""),"Plotting")</f>
        <v>Plotting</v>
      </c>
      <c r="F364" s="13" t="str">
        <f>IFERROR(__xludf.DUMMYFUNCTION("""COMPUTED_VALUE"""),"Mahfud/ Tritis")</f>
        <v>Mahfud/ Tritis</v>
      </c>
      <c r="G364" s="13">
        <f t="shared" si="1"/>
        <v>347</v>
      </c>
      <c r="H364" s="13" t="str">
        <f>IFERROR(__xludf.DUMMYFUNCTION("""COMPUTED_VALUE"""),"P0")</f>
        <v>P0</v>
      </c>
    </row>
    <row r="365" ht="22.5" customHeight="1">
      <c r="B365" s="19" t="str">
        <f>IFERROR(__xludf.DUMMYFUNCTION("""COMPUTED_VALUE"""),"K/55/221024/1")</f>
        <v>K/55/221024/1</v>
      </c>
      <c r="C365" s="19" t="str">
        <f>IFERROR(__xludf.DUMMYFUNCTION("""COMPUTED_VALUE"""),"M.671/ENGGAL")</f>
        <v>M.671/ENGGAL</v>
      </c>
      <c r="D365" s="17">
        <f>IFERROR(__xludf.DUMMYFUNCTION("""COMPUTED_VALUE"""),45587.60667075231)</f>
        <v>45587.60667</v>
      </c>
      <c r="E365" s="13" t="str">
        <f>IFERROR(__xludf.DUMMYFUNCTION("""COMPUTED_VALUE"""),"PERALIHAN JUAL BELI")</f>
        <v>PERALIHAN JUAL BELI</v>
      </c>
      <c r="F365" s="13" t="str">
        <f>IFERROR(__xludf.DUMMYFUNCTION("""COMPUTED_VALUE"""),"TATO NIKO/RENALDI PRATAMA SIRYA")</f>
        <v>TATO NIKO/RENALDI PRATAMA SIRYA</v>
      </c>
      <c r="G365" s="13">
        <f t="shared" si="1"/>
        <v>348</v>
      </c>
      <c r="H365" s="13" t="str">
        <f>IFERROR(__xludf.DUMMYFUNCTION("""COMPUTED_VALUE"""),"P0")</f>
        <v>P0</v>
      </c>
    </row>
    <row r="366" ht="22.5" customHeight="1">
      <c r="B366" s="19" t="str">
        <f>IFERROR(__xludf.DUMMYFUNCTION("""COMPUTED_VALUE"""),"K/57/221024/1")</f>
        <v>K/57/221024/1</v>
      </c>
      <c r="C366" s="19" t="str">
        <f>IFERROR(__xludf.DUMMYFUNCTION("""COMPUTED_VALUE"""),"M. 1470/ Sukamaju")</f>
        <v>M. 1470/ Sukamaju</v>
      </c>
      <c r="D366" s="17">
        <f>IFERROR(__xludf.DUMMYFUNCTION("""COMPUTED_VALUE"""),45587.60725702546)</f>
        <v>45587.60726</v>
      </c>
      <c r="E366" s="13" t="str">
        <f>IFERROR(__xludf.DUMMYFUNCTION("""COMPUTED_VALUE"""),"BN Jual Beli")</f>
        <v>BN Jual Beli</v>
      </c>
      <c r="F366" s="13" t="str">
        <f>IFERROR(__xludf.DUMMYFUNCTION("""COMPUTED_VALUE"""),"Budi K/ Darmin")</f>
        <v>Budi K/ Darmin</v>
      </c>
      <c r="G366" s="13">
        <f t="shared" si="1"/>
        <v>349</v>
      </c>
      <c r="H366" s="13" t="str">
        <f>IFERROR(__xludf.DUMMYFUNCTION("""COMPUTED_VALUE"""),"P0")</f>
        <v>P0</v>
      </c>
    </row>
    <row r="367" ht="22.5" customHeight="1">
      <c r="B367" s="19" t="str">
        <f>IFERROR(__xludf.DUMMYFUNCTION("""COMPUTED_VALUE"""),"K/52/221024/2")</f>
        <v>K/52/221024/2</v>
      </c>
      <c r="C367" s="19" t="str">
        <f>IFERROR(__xludf.DUMMYFUNCTION("""COMPUTED_VALUE"""),"M. 1991/ L R R")</f>
        <v>M. 1991/ L R R</v>
      </c>
      <c r="D367" s="17">
        <f>IFERROR(__xludf.DUMMYFUNCTION("""COMPUTED_VALUE"""),45587.60911331019)</f>
        <v>45587.60911</v>
      </c>
      <c r="E367" s="13" t="str">
        <f>IFERROR(__xludf.DUMMYFUNCTION("""COMPUTED_VALUE"""),"BN Jual Beli")</f>
        <v>BN Jual Beli</v>
      </c>
      <c r="F367" s="13" t="str">
        <f>IFERROR(__xludf.DUMMYFUNCTION("""COMPUTED_VALUE"""),"Mahfud/ Putri A")</f>
        <v>Mahfud/ Putri A</v>
      </c>
      <c r="G367" s="13">
        <f t="shared" si="1"/>
        <v>350</v>
      </c>
      <c r="H367" s="13" t="str">
        <f>IFERROR(__xludf.DUMMYFUNCTION("""COMPUTED_VALUE"""),"P0")</f>
        <v>P0</v>
      </c>
    </row>
    <row r="368" ht="22.5" customHeight="1">
      <c r="B368" s="19" t="str">
        <f>IFERROR(__xludf.DUMMYFUNCTION("""COMPUTED_VALUE"""),"K/53/221024/3")</f>
        <v>K/53/221024/3</v>
      </c>
      <c r="C368" s="19" t="str">
        <f>IFERROR(__xludf.DUMMYFUNCTION("""COMPUTED_VALUE"""),"M. 1992/ L R R")</f>
        <v>M. 1992/ L R R</v>
      </c>
      <c r="D368" s="17">
        <f>IFERROR(__xludf.DUMMYFUNCTION("""COMPUTED_VALUE"""),45587.6097255787)</f>
        <v>45587.60973</v>
      </c>
      <c r="E368" s="13" t="str">
        <f>IFERROR(__xludf.DUMMYFUNCTION("""COMPUTED_VALUE"""),"BN Jual Beli")</f>
        <v>BN Jual Beli</v>
      </c>
      <c r="F368" s="13" t="str">
        <f>IFERROR(__xludf.DUMMYFUNCTION("""COMPUTED_VALUE"""),"Mahfud/ Putri A")</f>
        <v>Mahfud/ Putri A</v>
      </c>
      <c r="G368" s="13">
        <f t="shared" si="1"/>
        <v>351</v>
      </c>
      <c r="H368" s="13" t="str">
        <f>IFERROR(__xludf.DUMMYFUNCTION("""COMPUTED_VALUE"""),"P0")</f>
        <v>P0</v>
      </c>
    </row>
    <row r="369" ht="22.5" customHeight="1">
      <c r="B369" s="19" t="str">
        <f>IFERROR(__xludf.DUMMYFUNCTION("""COMPUTED_VALUE"""),"K/58/221024/2")</f>
        <v>K/58/221024/2</v>
      </c>
      <c r="C369" s="19" t="str">
        <f>IFERROR(__xludf.DUMMYFUNCTION("""COMPUTED_VALUE"""),"M. 1469/ Sukamaju")</f>
        <v>M. 1469/ Sukamaju</v>
      </c>
      <c r="D369" s="17">
        <f>IFERROR(__xludf.DUMMYFUNCTION("""COMPUTED_VALUE"""),45587.60989170139)</f>
        <v>45587.60989</v>
      </c>
      <c r="E369" s="13" t="str">
        <f>IFERROR(__xludf.DUMMYFUNCTION("""COMPUTED_VALUE"""),"BN Jual Beli")</f>
        <v>BN Jual Beli</v>
      </c>
      <c r="F369" s="13" t="str">
        <f>IFERROR(__xludf.DUMMYFUNCTION("""COMPUTED_VALUE"""),"Budi K/ Darmin")</f>
        <v>Budi K/ Darmin</v>
      </c>
      <c r="G369" s="13">
        <f t="shared" si="1"/>
        <v>352</v>
      </c>
      <c r="H369" s="13" t="str">
        <f>IFERROR(__xludf.DUMMYFUNCTION("""COMPUTED_VALUE"""),"P0")</f>
        <v>P0</v>
      </c>
    </row>
    <row r="370" ht="22.5" customHeight="1">
      <c r="B370" s="19" t="str">
        <f>IFERROR(__xludf.DUMMYFUNCTION("""COMPUTED_VALUE"""),"K/55/151024/1")</f>
        <v>K/55/151024/1</v>
      </c>
      <c r="C370" s="19" t="str">
        <f>IFERROR(__xludf.DUMMYFUNCTION("""COMPUTED_VALUE"""),"M. 1402/ Tanjung Raya")</f>
        <v>M. 1402/ Tanjung Raya</v>
      </c>
      <c r="D370" s="17">
        <f>IFERROR(__xludf.DUMMYFUNCTION("""COMPUTED_VALUE"""),45587.610606111106)</f>
        <v>45587.61061</v>
      </c>
      <c r="E370" s="13" t="str">
        <f>IFERROR(__xludf.DUMMYFUNCTION("""COMPUTED_VALUE"""),"BN Jual Beli")</f>
        <v>BN Jual Beli</v>
      </c>
      <c r="F370" s="13" t="str">
        <f>IFERROR(__xludf.DUMMYFUNCTION("""COMPUTED_VALUE"""),"Mahfud/ Tozien")</f>
        <v>Mahfud/ Tozien</v>
      </c>
      <c r="G370" s="13">
        <f t="shared" si="1"/>
        <v>352</v>
      </c>
      <c r="H370" s="13" t="str">
        <f>IFERROR(__xludf.DUMMYFUNCTION("""COMPUTED_VALUE"""),"P1")</f>
        <v>P1</v>
      </c>
    </row>
    <row r="371" ht="22.5" customHeight="1">
      <c r="B371" s="19" t="str">
        <f>IFERROR(__xludf.DUMMYFUNCTION("""COMPUTED_VALUE"""),"K/5/151024/2")</f>
        <v>K/5/151024/2</v>
      </c>
      <c r="C371" s="19" t="str">
        <f>IFERROR(__xludf.DUMMYFUNCTION("""COMPUTED_VALUE"""),"M. 1952/ Langkapura")</f>
        <v>M. 1952/ Langkapura</v>
      </c>
      <c r="D371" s="17">
        <f>IFERROR(__xludf.DUMMYFUNCTION("""COMPUTED_VALUE"""),45587.618830983796)</f>
        <v>45587.61883</v>
      </c>
      <c r="E371" s="13" t="str">
        <f>IFERROR(__xludf.DUMMYFUNCTION("""COMPUTED_VALUE"""),"Roya ")</f>
        <v>Roya </v>
      </c>
      <c r="F371" s="13" t="str">
        <f>IFERROR(__xludf.DUMMYFUNCTION("""COMPUTED_VALUE"""),"Renaldi Pratama S/ Nurul S")</f>
        <v>Renaldi Pratama S/ Nurul S</v>
      </c>
      <c r="G371" s="13">
        <f t="shared" si="1"/>
        <v>352</v>
      </c>
      <c r="H371" s="13" t="str">
        <f>IFERROR(__xludf.DUMMYFUNCTION("""COMPUTED_VALUE"""),"P1")</f>
        <v>P1</v>
      </c>
    </row>
    <row r="372" ht="22.5" customHeight="1">
      <c r="B372" s="19" t="str">
        <f>IFERROR(__xludf.DUMMYFUNCTION("""COMPUTED_VALUE"""),"K/56/221024/2")</f>
        <v>K/56/221024/2</v>
      </c>
      <c r="C372" s="19" t="str">
        <f>IFERROR(__xludf.DUMMYFUNCTION("""COMPUTED_VALUE"""),"M.1107/PEMATANG WANGI-SEKARANG;M.792/TANJUNG SENENG-DAHULU")</f>
        <v>M.1107/PEMATANG WANGI-SEKARANG;M.792/TANJUNG SENENG-DAHULU</v>
      </c>
      <c r="D372" s="17">
        <f>IFERROR(__xludf.DUMMYFUNCTION("""COMPUTED_VALUE"""),45587.62249206018)</f>
        <v>45587.62249</v>
      </c>
      <c r="E372" s="13" t="str">
        <f>IFERROR(__xludf.DUMMYFUNCTION("""COMPUTED_VALUE"""),"PEMISAHAN")</f>
        <v>PEMISAHAN</v>
      </c>
      <c r="F372" s="13" t="str">
        <f>IFERROR(__xludf.DUMMYFUNCTION("""COMPUTED_VALUE"""),"NURHUDA ATIJA CS/RENALDI PRATAMA SIRYA")</f>
        <v>NURHUDA ATIJA CS/RENALDI PRATAMA SIRYA</v>
      </c>
      <c r="G372" s="13">
        <f t="shared" si="1"/>
        <v>353</v>
      </c>
      <c r="H372" s="13" t="str">
        <f>IFERROR(__xludf.DUMMYFUNCTION("""COMPUTED_VALUE"""),"P0")</f>
        <v>P0</v>
      </c>
    </row>
    <row r="373" ht="22.5" customHeight="1">
      <c r="B373" s="19" t="str">
        <f>IFERROR(__xludf.DUMMYFUNCTION("""COMPUTED_VALUE"""),"K/59/221024/1")</f>
        <v>K/59/221024/1</v>
      </c>
      <c r="C373" s="19" t="str">
        <f>IFERROR(__xludf.DUMMYFUNCTION("""COMPUTED_VALUE"""),"M.118/GEDUNG MENENG BARU-SEKARANG;M.9441/GEDUNG MENENG-DAHULU")</f>
        <v>M.118/GEDUNG MENENG BARU-SEKARANG;M.9441/GEDUNG MENENG-DAHULU</v>
      </c>
      <c r="D373" s="17">
        <f>IFERROR(__xludf.DUMMYFUNCTION("""COMPUTED_VALUE"""),45587.623435671296)</f>
        <v>45587.62344</v>
      </c>
      <c r="E373" s="13" t="str">
        <f>IFERROR(__xludf.DUMMYFUNCTION("""COMPUTED_VALUE"""),"KEWARISAN")</f>
        <v>KEWARISAN</v>
      </c>
      <c r="F373" s="13" t="str">
        <f>IFERROR(__xludf.DUMMYFUNCTION("""COMPUTED_VALUE"""),"TITI DWI KORANTI CS/DEWI SUKMASARI")</f>
        <v>TITI DWI KORANTI CS/DEWI SUKMASARI</v>
      </c>
      <c r="G373" s="13">
        <f t="shared" si="1"/>
        <v>354</v>
      </c>
      <c r="H373" s="13" t="str">
        <f>IFERROR(__xludf.DUMMYFUNCTION("""COMPUTED_VALUE"""),"P0")</f>
        <v>P0</v>
      </c>
    </row>
    <row r="374" ht="22.5" customHeight="1">
      <c r="B374" s="19" t="str">
        <f>IFERROR(__xludf.DUMMYFUNCTION("""COMPUTED_VALUE"""),"K/16/151024/2")</f>
        <v>K/16/151024/2</v>
      </c>
      <c r="C374" s="19" t="str">
        <f>IFERROR(__xludf.DUMMYFUNCTION("""COMPUTED_VALUE"""),"M. 2418/ Kedaung")</f>
        <v>M. 2418/ Kedaung</v>
      </c>
      <c r="D374" s="17">
        <f>IFERROR(__xludf.DUMMYFUNCTION("""COMPUTED_VALUE"""),45587.6266108912)</f>
        <v>45587.62661</v>
      </c>
      <c r="E374" s="13" t="str">
        <f>IFERROR(__xludf.DUMMYFUNCTION("""COMPUTED_VALUE"""),"BN Jual Beli")</f>
        <v>BN Jual Beli</v>
      </c>
      <c r="F374" s="13" t="str">
        <f>IFERROR(__xludf.DUMMYFUNCTION("""COMPUTED_VALUE"""),"M Arief S/Akhmad Ridho")</f>
        <v>M Arief S/Akhmad Ridho</v>
      </c>
      <c r="G374" s="13">
        <f t="shared" si="1"/>
        <v>354</v>
      </c>
      <c r="H374" s="13" t="str">
        <f>IFERROR(__xludf.DUMMYFUNCTION("""COMPUTED_VALUE"""),"P1")</f>
        <v>P1</v>
      </c>
    </row>
    <row r="375" ht="22.5" customHeight="1">
      <c r="B375" s="19" t="str">
        <f>IFERROR(__xludf.DUMMYFUNCTION("""COMPUTED_VALUE"""),"K/61/221024/1")</f>
        <v>K/61/221024/1</v>
      </c>
      <c r="C375" s="19" t="str">
        <f>IFERROR(__xludf.DUMMYFUNCTION("""COMPUTED_VALUE"""),"Nibel. M. 1018/ Tanjung Baru")</f>
        <v>Nibel. M. 1018/ Tanjung Baru</v>
      </c>
      <c r="D375" s="17">
        <f>IFERROR(__xludf.DUMMYFUNCTION("""COMPUTED_VALUE"""),45587.628765208334)</f>
        <v>45587.62877</v>
      </c>
      <c r="E375" s="13" t="str">
        <f>IFERROR(__xludf.DUMMYFUNCTION("""COMPUTED_VALUE"""),"BN Jual Beli")</f>
        <v>BN Jual Beli</v>
      </c>
      <c r="F375" s="13" t="str">
        <f>IFERROR(__xludf.DUMMYFUNCTION("""COMPUTED_VALUE"""),"Andrianto/ Tjen Ona K")</f>
        <v>Andrianto/ Tjen Ona K</v>
      </c>
      <c r="G375" s="13">
        <f t="shared" si="1"/>
        <v>355</v>
      </c>
      <c r="H375" s="13" t="str">
        <f>IFERROR(__xludf.DUMMYFUNCTION("""COMPUTED_VALUE"""),"P0")</f>
        <v>P0</v>
      </c>
    </row>
    <row r="376" ht="22.5" customHeight="1">
      <c r="B376" s="19" t="str">
        <f>IFERROR(__xludf.DUMMYFUNCTION("""COMPUTED_VALUE"""),"K/64/221024/1")</f>
        <v>K/64/221024/1</v>
      </c>
      <c r="C376" s="19" t="str">
        <f>IFERROR(__xludf.DUMMYFUNCTION("""COMPUTED_VALUE"""),"M. 16736/ Sukabumi")</f>
        <v>M. 16736/ Sukabumi</v>
      </c>
      <c r="D376" s="17">
        <f>IFERROR(__xludf.DUMMYFUNCTION("""COMPUTED_VALUE"""),45587.62963005787)</f>
        <v>45587.62963</v>
      </c>
      <c r="E376" s="13" t="str">
        <f>IFERROR(__xludf.DUMMYFUNCTION("""COMPUTED_VALUE"""),"BN Jual Beli")</f>
        <v>BN Jual Beli</v>
      </c>
      <c r="F376" s="13" t="str">
        <f>IFERROR(__xludf.DUMMYFUNCTION("""COMPUTED_VALUE"""),"M Arief S/ Indari")</f>
        <v>M Arief S/ Indari</v>
      </c>
      <c r="G376" s="13">
        <f t="shared" si="1"/>
        <v>356</v>
      </c>
      <c r="H376" s="13" t="str">
        <f>IFERROR(__xludf.DUMMYFUNCTION("""COMPUTED_VALUE"""),"P0")</f>
        <v>P0</v>
      </c>
    </row>
    <row r="377" ht="22.5" customHeight="1">
      <c r="B377" s="19" t="str">
        <f>IFERROR(__xludf.DUMMYFUNCTION("""COMPUTED_VALUE"""),"K/62/221024/2")</f>
        <v>K/62/221024/2</v>
      </c>
      <c r="C377" s="19" t="str">
        <f>IFERROR(__xludf.DUMMYFUNCTION("""COMPUTED_VALUE"""),"M. 1603/ Bumi Kedamaian")</f>
        <v>M. 1603/ Bumi Kedamaian</v>
      </c>
      <c r="D377" s="17">
        <f>IFERROR(__xludf.DUMMYFUNCTION("""COMPUTED_VALUE"""),45587.63113847222)</f>
        <v>45587.63114</v>
      </c>
      <c r="E377" s="13" t="str">
        <f>IFERROR(__xludf.DUMMYFUNCTION("""COMPUTED_VALUE"""),"BN Jual Beli")</f>
        <v>BN Jual Beli</v>
      </c>
      <c r="F377" s="13" t="str">
        <f>IFERROR(__xludf.DUMMYFUNCTION("""COMPUTED_VALUE"""),"Andrianto/ Eka Wijaya")</f>
        <v>Andrianto/ Eka Wijaya</v>
      </c>
      <c r="G377" s="13">
        <f t="shared" si="1"/>
        <v>357</v>
      </c>
      <c r="H377" s="13" t="str">
        <f>IFERROR(__xludf.DUMMYFUNCTION("""COMPUTED_VALUE"""),"P0")</f>
        <v>P0</v>
      </c>
    </row>
    <row r="378" ht="22.5" customHeight="1">
      <c r="B378" s="19" t="str">
        <f>IFERROR(__xludf.DUMMYFUNCTION("""COMPUTED_VALUE"""),"K/65/221024/2")</f>
        <v>K/65/221024/2</v>
      </c>
      <c r="C378" s="19" t="str">
        <f>IFERROR(__xludf.DUMMYFUNCTION("""COMPUTED_VALUE"""),"M. 16640/ Sukabumi")</f>
        <v>M. 16640/ Sukabumi</v>
      </c>
      <c r="D378" s="17">
        <f>IFERROR(__xludf.DUMMYFUNCTION("""COMPUTED_VALUE"""),45587.63164871528)</f>
        <v>45587.63165</v>
      </c>
      <c r="E378" s="13" t="str">
        <f>IFERROR(__xludf.DUMMYFUNCTION("""COMPUTED_VALUE"""),"BN Jual Beli")</f>
        <v>BN Jual Beli</v>
      </c>
      <c r="F378" s="13" t="str">
        <f>IFERROR(__xludf.DUMMYFUNCTION("""COMPUTED_VALUE"""),"M Arief S / Prasojo")</f>
        <v>M Arief S / Prasojo</v>
      </c>
      <c r="G378" s="13">
        <f t="shared" si="1"/>
        <v>358</v>
      </c>
      <c r="H378" s="13" t="str">
        <f>IFERROR(__xludf.DUMMYFUNCTION("""COMPUTED_VALUE"""),"P0")</f>
        <v>P0</v>
      </c>
    </row>
    <row r="379" ht="22.5" customHeight="1">
      <c r="B379" s="19" t="str">
        <f>IFERROR(__xludf.DUMMYFUNCTION("""COMPUTED_VALUE"""),"K/63/221024/3")</f>
        <v>K/63/221024/3</v>
      </c>
      <c r="C379" s="19" t="str">
        <f>IFERROR(__xludf.DUMMYFUNCTION("""COMPUTED_VALUE"""),"M. 1601/ Bumi Kedamaian")</f>
        <v>M. 1601/ Bumi Kedamaian</v>
      </c>
      <c r="D379" s="17">
        <f>IFERROR(__xludf.DUMMYFUNCTION("""COMPUTED_VALUE"""),45587.6334872338)</f>
        <v>45587.63349</v>
      </c>
      <c r="E379" s="13" t="str">
        <f>IFERROR(__xludf.DUMMYFUNCTION("""COMPUTED_VALUE"""),"BN Jual Beli")</f>
        <v>BN Jual Beli</v>
      </c>
      <c r="F379" s="13" t="str">
        <f>IFERROR(__xludf.DUMMYFUNCTION("""COMPUTED_VALUE"""),"Andrianto/ Wiwik A")</f>
        <v>Andrianto/ Wiwik A</v>
      </c>
      <c r="G379" s="13">
        <f t="shared" si="1"/>
        <v>359</v>
      </c>
      <c r="H379" s="13" t="str">
        <f>IFERROR(__xludf.DUMMYFUNCTION("""COMPUTED_VALUE"""),"P0")</f>
        <v>P0</v>
      </c>
    </row>
    <row r="380" ht="22.5" customHeight="1">
      <c r="B380" s="19" t="str">
        <f>IFERROR(__xludf.DUMMYFUNCTION("""COMPUTED_VALUE"""),"K/60/221024/2")</f>
        <v>K/60/221024/2</v>
      </c>
      <c r="C380" s="19" t="str">
        <f>IFERROR(__xludf.DUMMYFUNCTION("""COMPUTED_VALUE"""),"NIBEL M 859/NUSANTARA PERMAI")</f>
        <v>NIBEL M 859/NUSANTARA PERMAI</v>
      </c>
      <c r="D380" s="17">
        <f>IFERROR(__xludf.DUMMYFUNCTION("""COMPUTED_VALUE"""),45588.358201863426)</f>
        <v>45588.3582</v>
      </c>
      <c r="E380" s="13" t="str">
        <f>IFERROR(__xludf.DUMMYFUNCTION("""COMPUTED_VALUE"""),"HIBAH")</f>
        <v>HIBAH</v>
      </c>
      <c r="F380" s="13" t="str">
        <f>IFERROR(__xludf.DUMMYFUNCTION("""COMPUTED_VALUE"""),"LUNA KARINA/ANDRI YULIAN")</f>
        <v>LUNA KARINA/ANDRI YULIAN</v>
      </c>
      <c r="G380" s="13">
        <f t="shared" si="1"/>
        <v>360</v>
      </c>
      <c r="H380" s="13" t="str">
        <f>IFERROR(__xludf.DUMMYFUNCTION("""COMPUTED_VALUE"""),"P0")</f>
        <v>P0</v>
      </c>
    </row>
    <row r="381" ht="22.5" customHeight="1">
      <c r="B381" s="19" t="str">
        <f>IFERROR(__xludf.DUMMYFUNCTION("""COMPUTED_VALUE"""),"K/1/231024/1")</f>
        <v>K/1/231024/1</v>
      </c>
      <c r="C381" s="19" t="str">
        <f>IFERROR(__xludf.DUMMYFUNCTION("""COMPUTED_VALUE"""),"M. 2889/ Sukarame Baru- sekarang; M. 16509/ Sukarame-dahulu")</f>
        <v>M. 2889/ Sukarame Baru- sekarang; M. 16509/ Sukarame-dahulu</v>
      </c>
      <c r="D381" s="17">
        <f>IFERROR(__xludf.DUMMYFUNCTION("""COMPUTED_VALUE"""),45588.369877453704)</f>
        <v>45588.36988</v>
      </c>
      <c r="E381" s="13" t="str">
        <f>IFERROR(__xludf.DUMMYFUNCTION("""COMPUTED_VALUE"""),"BN Hibah")</f>
        <v>BN Hibah</v>
      </c>
      <c r="F381" s="13" t="str">
        <f>IFERROR(__xludf.DUMMYFUNCTION("""COMPUTED_VALUE"""),"Moh Reza/ M. Lanando Azhari")</f>
        <v>Moh Reza/ M. Lanando Azhari</v>
      </c>
      <c r="G381" s="13">
        <f t="shared" si="1"/>
        <v>361</v>
      </c>
      <c r="H381" s="13" t="str">
        <f>IFERROR(__xludf.DUMMYFUNCTION("""COMPUTED_VALUE"""),"P0")</f>
        <v>P0</v>
      </c>
    </row>
    <row r="382" ht="22.5" customHeight="1">
      <c r="B382" s="19" t="str">
        <f>IFERROR(__xludf.DUMMYFUNCTION("""COMPUTED_VALUE"""),"K/2/231024/2")</f>
        <v>K/2/231024/2</v>
      </c>
      <c r="C382" s="19" t="str">
        <f>IFERROR(__xludf.DUMMYFUNCTION("""COMPUTED_VALUE"""),"M. 2888/ Sukarame Baru- sekarang; M. 17475/ Sukarame I")</f>
        <v>M. 2888/ Sukarame Baru- sekarang; M. 17475/ Sukarame I</v>
      </c>
      <c r="D382" s="17">
        <f>IFERROR(__xludf.DUMMYFUNCTION("""COMPUTED_VALUE"""),45588.37441638889)</f>
        <v>45588.37442</v>
      </c>
      <c r="E382" s="13" t="str">
        <f>IFERROR(__xludf.DUMMYFUNCTION("""COMPUTED_VALUE"""),"BN Hibah")</f>
        <v>BN Hibah</v>
      </c>
      <c r="F382" s="13" t="str">
        <f>IFERROR(__xludf.DUMMYFUNCTION("""COMPUTED_VALUE"""),"Moh Reza/ M Lanando")</f>
        <v>Moh Reza/ M Lanando</v>
      </c>
      <c r="G382" s="13">
        <f t="shared" si="1"/>
        <v>362</v>
      </c>
      <c r="H382" s="13" t="str">
        <f>IFERROR(__xludf.DUMMYFUNCTION("""COMPUTED_VALUE"""),"P0")</f>
        <v>P0</v>
      </c>
    </row>
    <row r="383" ht="22.5" customHeight="1">
      <c r="B383" s="19" t="str">
        <f>IFERROR(__xludf.DUMMYFUNCTION("""COMPUTED_VALUE"""),"K/3/231024/1")</f>
        <v>K/3/231024/1</v>
      </c>
      <c r="C383" s="19" t="str">
        <f>IFERROR(__xludf.DUMMYFUNCTION("""COMPUTED_VALUE"""),"M. 1186/ Teluk betung")</f>
        <v>M. 1186/ Teluk betung</v>
      </c>
      <c r="D383" s="17">
        <f>IFERROR(__xludf.DUMMYFUNCTION("""COMPUTED_VALUE"""),45588.39353365741)</f>
        <v>45588.39353</v>
      </c>
      <c r="E383" s="13" t="str">
        <f>IFERROR(__xludf.DUMMYFUNCTION("""COMPUTED_VALUE"""),"BN Hibah")</f>
        <v>BN Hibah</v>
      </c>
      <c r="F383" s="13" t="str">
        <f>IFERROR(__xludf.DUMMYFUNCTION("""COMPUTED_VALUE"""),"Anna P/ Imam Firdaus")</f>
        <v>Anna P/ Imam Firdaus</v>
      </c>
      <c r="G383" s="13">
        <f t="shared" si="1"/>
        <v>363</v>
      </c>
      <c r="H383" s="13" t="str">
        <f>IFERROR(__xludf.DUMMYFUNCTION("""COMPUTED_VALUE"""),"P0")</f>
        <v>P0</v>
      </c>
    </row>
    <row r="384" ht="22.5" customHeight="1">
      <c r="B384" s="19" t="str">
        <f>IFERROR(__xludf.DUMMYFUNCTION("""COMPUTED_VALUE"""),"K/4/231024/2")</f>
        <v>K/4/231024/2</v>
      </c>
      <c r="C384" s="19" t="str">
        <f>IFERROR(__xludf.DUMMYFUNCTION("""COMPUTED_VALUE"""),"M. 1238/ Sukamaju")</f>
        <v>M. 1238/ Sukamaju</v>
      </c>
      <c r="D384" s="17">
        <f>IFERROR(__xludf.DUMMYFUNCTION("""COMPUTED_VALUE"""),45588.40785108796)</f>
        <v>45588.40785</v>
      </c>
      <c r="E384" s="13" t="str">
        <f>IFERROR(__xludf.DUMMYFUNCTION("""COMPUTED_VALUE"""),"Plotting")</f>
        <v>Plotting</v>
      </c>
      <c r="F384" s="13" t="str">
        <f>IFERROR(__xludf.DUMMYFUNCTION("""COMPUTED_VALUE"""),"Anna Purnamasari/ Winarti")</f>
        <v>Anna Purnamasari/ Winarti</v>
      </c>
      <c r="G384" s="13">
        <f t="shared" si="1"/>
        <v>364</v>
      </c>
      <c r="H384" s="13" t="str">
        <f>IFERROR(__xludf.DUMMYFUNCTION("""COMPUTED_VALUE"""),"P0")</f>
        <v>P0</v>
      </c>
    </row>
    <row r="385" ht="22.5" customHeight="1">
      <c r="B385" s="19" t="str">
        <f>IFERROR(__xludf.DUMMYFUNCTION("""COMPUTED_VALUE"""),"K/5/231024/1")</f>
        <v>K/5/231024/1</v>
      </c>
      <c r="C385" s="19" t="str">
        <f>IFERROR(__xludf.DUMMYFUNCTION("""COMPUTED_VALUE"""),"M. 1046/ Kupang Teba")</f>
        <v>M. 1046/ Kupang Teba</v>
      </c>
      <c r="D385" s="17">
        <f>IFERROR(__xludf.DUMMYFUNCTION("""COMPUTED_VALUE"""),45588.43544973379)</f>
        <v>45588.43545</v>
      </c>
      <c r="E385" s="13" t="str">
        <f>IFERROR(__xludf.DUMMYFUNCTION("""COMPUTED_VALUE"""),"Roya")</f>
        <v>Roya</v>
      </c>
      <c r="F385" s="13" t="str">
        <f>IFERROR(__xludf.DUMMYFUNCTION("""COMPUTED_VALUE"""),"Bambang Abiyono/ Nurhayati")</f>
        <v>Bambang Abiyono/ Nurhayati</v>
      </c>
      <c r="G385" s="13">
        <f t="shared" si="1"/>
        <v>365</v>
      </c>
      <c r="H385" s="13" t="str">
        <f>IFERROR(__xludf.DUMMYFUNCTION("""COMPUTED_VALUE"""),"P0")</f>
        <v>P0</v>
      </c>
    </row>
    <row r="386" ht="22.5" customHeight="1">
      <c r="B386" s="19" t="str">
        <f>IFERROR(__xludf.DUMMYFUNCTION("""COMPUTED_VALUE"""),"K/29/151024/2")</f>
        <v>K/29/151024/2</v>
      </c>
      <c r="C386" s="19" t="str">
        <f>IFERROR(__xludf.DUMMYFUNCTION("""COMPUTED_VALUE"""),"Nibel. B. 2015/ Pinang Jaya")</f>
        <v>Nibel. B. 2015/ Pinang Jaya</v>
      </c>
      <c r="D386" s="17">
        <f>IFERROR(__xludf.DUMMYFUNCTION("""COMPUTED_VALUE"""),45588.43901288194)</f>
        <v>45588.43901</v>
      </c>
      <c r="E386" s="13" t="str">
        <f>IFERROR(__xludf.DUMMYFUNCTION("""COMPUTED_VALUE"""),"Perubahan Hak")</f>
        <v>Perubahan Hak</v>
      </c>
      <c r="F386" s="13" t="str">
        <f>IFERROR(__xludf.DUMMYFUNCTION("""COMPUTED_VALUE"""),"Eka Sari T/ Desi Arita	")</f>
        <v>Eka Sari T/ Desi Arita	</v>
      </c>
      <c r="G386" s="13">
        <f t="shared" si="1"/>
        <v>365</v>
      </c>
      <c r="H386" s="13" t="str">
        <f>IFERROR(__xludf.DUMMYFUNCTION("""COMPUTED_VALUE"""),"P1")</f>
        <v>P1</v>
      </c>
    </row>
    <row r="387" ht="22.5" customHeight="1">
      <c r="B387" s="19" t="str">
        <f>IFERROR(__xludf.DUMMYFUNCTION("""COMPUTED_VALUE"""),"K/6/231024/1")</f>
        <v>K/6/231024/1</v>
      </c>
      <c r="C387" s="19" t="str">
        <f>IFERROR(__xludf.DUMMYFUNCTION("""COMPUTED_VALUE"""),"M. 149/ Bakung")</f>
        <v>M. 149/ Bakung</v>
      </c>
      <c r="D387" s="17">
        <f>IFERROR(__xludf.DUMMYFUNCTION("""COMPUTED_VALUE"""),45588.44665532408)</f>
        <v>45588.44666</v>
      </c>
      <c r="E387" s="13" t="str">
        <f>IFERROR(__xludf.DUMMYFUNCTION("""COMPUTED_VALUE"""),"Pemecahan")</f>
        <v>Pemecahan</v>
      </c>
      <c r="F387" s="13" t="str">
        <f>IFERROR(__xludf.DUMMYFUNCTION("""COMPUTED_VALUE"""),"Sukijo B S/ Jumangin")</f>
        <v>Sukijo B S/ Jumangin</v>
      </c>
      <c r="G387" s="13">
        <f t="shared" si="1"/>
        <v>366</v>
      </c>
      <c r="H387" s="13" t="str">
        <f>IFERROR(__xludf.DUMMYFUNCTION("""COMPUTED_VALUE"""),"P0")</f>
        <v>P0</v>
      </c>
    </row>
    <row r="388" ht="22.5" customHeight="1">
      <c r="B388" s="19" t="str">
        <f>IFERROR(__xludf.DUMMYFUNCTION("""COMPUTED_VALUE"""),"L/7/231024/1")</f>
        <v>L/7/231024/1</v>
      </c>
      <c r="C388" s="19" t="str">
        <f>IFERROR(__xludf.DUMMYFUNCTION("""COMPUTED_VALUE"""),"M.1326/KOTA BARU")</f>
        <v>M.1326/KOTA BARU</v>
      </c>
      <c r="D388" s="17">
        <f>IFERROR(__xludf.DUMMYFUNCTION("""COMPUTED_VALUE"""),45588.446748483795)</f>
        <v>45588.44675</v>
      </c>
      <c r="E388" s="13" t="str">
        <f>IFERROR(__xludf.DUMMYFUNCTION("""COMPUTED_VALUE"""),"ROYA WARIS")</f>
        <v>ROYA WARIS</v>
      </c>
      <c r="F388" s="13" t="str">
        <f>IFERROR(__xludf.DUMMYFUNCTION("""COMPUTED_VALUE"""),"SATRIA DINATA CS")</f>
        <v>SATRIA DINATA CS</v>
      </c>
      <c r="G388" s="13">
        <f t="shared" si="1"/>
        <v>367</v>
      </c>
      <c r="H388" s="13" t="str">
        <f>IFERROR(__xludf.DUMMYFUNCTION("""COMPUTED_VALUE"""),"P0")</f>
        <v>P0</v>
      </c>
    </row>
    <row r="389" ht="22.5" customHeight="1">
      <c r="B389" s="19" t="str">
        <f>IFERROR(__xludf.DUMMYFUNCTION("""COMPUTED_VALUE"""),"K/8/231024/1")</f>
        <v>K/8/231024/1</v>
      </c>
      <c r="C389" s="19" t="str">
        <f>IFERROR(__xludf.DUMMYFUNCTION("""COMPUTED_VALUE"""),"M. 547/ Sukajawa")</f>
        <v>M. 547/ Sukajawa</v>
      </c>
      <c r="D389" s="17">
        <f>IFERROR(__xludf.DUMMYFUNCTION("""COMPUTED_VALUE"""),45588.44990761574)</f>
        <v>45588.44991</v>
      </c>
      <c r="E389" s="13" t="str">
        <f>IFERROR(__xludf.DUMMYFUNCTION("""COMPUTED_VALUE"""),"Ganti Kelurahan")</f>
        <v>Ganti Kelurahan</v>
      </c>
      <c r="F389" s="13" t="str">
        <f>IFERROR(__xludf.DUMMYFUNCTION("""COMPUTED_VALUE"""),"Rahmadiyanti/ Muswardi")</f>
        <v>Rahmadiyanti/ Muswardi</v>
      </c>
      <c r="G389" s="13">
        <f t="shared" si="1"/>
        <v>368</v>
      </c>
      <c r="H389" s="13" t="str">
        <f>IFERROR(__xludf.DUMMYFUNCTION("""COMPUTED_VALUE"""),"P0")</f>
        <v>P0</v>
      </c>
    </row>
    <row r="390" ht="22.5" customHeight="1">
      <c r="B390" s="19" t="str">
        <f>IFERROR(__xludf.DUMMYFUNCTION("""COMPUTED_VALUE"""),"K/9/231024/2")</f>
        <v>K/9/231024/2</v>
      </c>
      <c r="C390" s="19" t="str">
        <f>IFERROR(__xludf.DUMMYFUNCTION("""COMPUTED_VALUE"""),"M. 1636/ Bumi Kedamaian- Sekarang; M. 7926/ Kedamaian- dahulu")</f>
        <v>M. 1636/ Bumi Kedamaian- Sekarang; M. 7926/ Kedamaian- dahulu</v>
      </c>
      <c r="D390" s="17">
        <f>IFERROR(__xludf.DUMMYFUNCTION("""COMPUTED_VALUE"""),45588.45241753472)</f>
        <v>45588.45242</v>
      </c>
      <c r="E390" s="13" t="str">
        <f>IFERROR(__xludf.DUMMYFUNCTION("""COMPUTED_VALUE"""),"BN Jual Beli")</f>
        <v>BN Jual Beli</v>
      </c>
      <c r="F390" s="13" t="str">
        <f>IFERROR(__xludf.DUMMYFUNCTION("""COMPUTED_VALUE"""),"Rahmadiyanti/ Fredy")</f>
        <v>Rahmadiyanti/ Fredy</v>
      </c>
      <c r="G390" s="13">
        <f t="shared" si="1"/>
        <v>369</v>
      </c>
      <c r="H390" s="13" t="str">
        <f>IFERROR(__xludf.DUMMYFUNCTION("""COMPUTED_VALUE"""),"P0")</f>
        <v>P0</v>
      </c>
    </row>
    <row r="391" ht="22.5" customHeight="1">
      <c r="B391" s="19" t="str">
        <f>IFERROR(__xludf.DUMMYFUNCTION("""COMPUTED_VALUE"""),"K/10/231024/3")</f>
        <v>K/10/231024/3</v>
      </c>
      <c r="C391" s="19" t="str">
        <f>IFERROR(__xludf.DUMMYFUNCTION("""COMPUTED_VALUE"""),"M. 10670/ Kedaton")</f>
        <v>M. 10670/ Kedaton</v>
      </c>
      <c r="D391" s="17">
        <f>IFERROR(__xludf.DUMMYFUNCTION("""COMPUTED_VALUE"""),45588.453967071764)</f>
        <v>45588.45397</v>
      </c>
      <c r="E391" s="13" t="str">
        <f>IFERROR(__xludf.DUMMYFUNCTION("""COMPUTED_VALUE"""),"Roya")</f>
        <v>Roya</v>
      </c>
      <c r="F391" s="13" t="str">
        <f>IFERROR(__xludf.DUMMYFUNCTION("""COMPUTED_VALUE"""),"Rahmadiyanti/ cindra viktor")</f>
        <v>Rahmadiyanti/ cindra viktor</v>
      </c>
      <c r="G391" s="13">
        <f t="shared" si="1"/>
        <v>370</v>
      </c>
      <c r="H391" s="13" t="str">
        <f>IFERROR(__xludf.DUMMYFUNCTION("""COMPUTED_VALUE"""),"P0")</f>
        <v>P0</v>
      </c>
    </row>
    <row r="392" ht="22.5" customHeight="1">
      <c r="B392" s="19" t="str">
        <f>IFERROR(__xludf.DUMMYFUNCTION("""COMPUTED_VALUE"""),"K/12/231024/1")</f>
        <v>K/12/231024/1</v>
      </c>
      <c r="C392" s="19" t="str">
        <f>IFERROR(__xludf.DUMMYFUNCTION("""COMPUTED_VALUE"""),"M. 10719/ Segala Mider")</f>
        <v>M. 10719/ Segala Mider</v>
      </c>
      <c r="D392" s="17">
        <f>IFERROR(__xludf.DUMMYFUNCTION("""COMPUTED_VALUE"""),45588.45569859954)</f>
        <v>45588.4557</v>
      </c>
      <c r="E392" s="13" t="str">
        <f>IFERROR(__xludf.DUMMYFUNCTION("""COMPUTED_VALUE"""),"BN Jual Beli")</f>
        <v>BN Jual Beli</v>
      </c>
      <c r="F392" s="13" t="str">
        <f>IFERROR(__xludf.DUMMYFUNCTION("""COMPUTED_VALUE"""),"Agustina S/  Hamim P")</f>
        <v>Agustina S/  Hamim P</v>
      </c>
      <c r="G392" s="13">
        <f t="shared" si="1"/>
        <v>371</v>
      </c>
      <c r="H392" s="13" t="str">
        <f>IFERROR(__xludf.DUMMYFUNCTION("""COMPUTED_VALUE"""),"P0")</f>
        <v>P0</v>
      </c>
    </row>
    <row r="393" ht="22.5" customHeight="1">
      <c r="B393" s="19" t="str">
        <f>IFERROR(__xludf.DUMMYFUNCTION("""COMPUTED_VALUE"""),"K/11/231024/4")</f>
        <v>K/11/231024/4</v>
      </c>
      <c r="C393" s="19" t="str">
        <f>IFERROR(__xludf.DUMMYFUNCTION("""COMPUTED_VALUE"""),"M. 395/ Kebon Jeruk")</f>
        <v>M. 395/ Kebon Jeruk</v>
      </c>
      <c r="D393" s="17">
        <f>IFERROR(__xludf.DUMMYFUNCTION("""COMPUTED_VALUE"""),45588.45686119213)</f>
        <v>45588.45686</v>
      </c>
      <c r="E393" s="13" t="str">
        <f>IFERROR(__xludf.DUMMYFUNCTION("""COMPUTED_VALUE"""),"BN Jual beli")</f>
        <v>BN Jual beli</v>
      </c>
      <c r="F393" s="13" t="str">
        <f>IFERROR(__xludf.DUMMYFUNCTION("""COMPUTED_VALUE"""),"Rahmadiyanti/ Rizal Chaniago")</f>
        <v>Rahmadiyanti/ Rizal Chaniago</v>
      </c>
      <c r="G393" s="13">
        <f t="shared" si="1"/>
        <v>372</v>
      </c>
      <c r="H393" s="13" t="str">
        <f>IFERROR(__xludf.DUMMYFUNCTION("""COMPUTED_VALUE"""),"P0")</f>
        <v>P0</v>
      </c>
    </row>
    <row r="394" ht="22.5" customHeight="1">
      <c r="B394" s="19" t="str">
        <f>IFERROR(__xludf.DUMMYFUNCTION("""COMPUTED_VALUE"""),"K/13/231024/1")</f>
        <v>K/13/231024/1</v>
      </c>
      <c r="C394" s="19" t="str">
        <f>IFERROR(__xludf.DUMMYFUNCTION("""COMPUTED_VALUE"""),"B. 645/ Jagabaya III; 4216/Sukarame-dahulu")</f>
        <v>B. 645/ Jagabaya III; 4216/Sukarame-dahulu</v>
      </c>
      <c r="D394" s="17">
        <f>IFERROR(__xludf.DUMMYFUNCTION("""COMPUTED_VALUE"""),45588.45810532407)</f>
        <v>45588.45811</v>
      </c>
      <c r="E394" s="13" t="str">
        <f>IFERROR(__xludf.DUMMYFUNCTION("""COMPUTED_VALUE"""),"Perubahan Hak")</f>
        <v>Perubahan Hak</v>
      </c>
      <c r="F394" s="13" t="str">
        <f>IFERROR(__xludf.DUMMYFUNCTION("""COMPUTED_VALUE"""),"Maryanti K/ Sri Rahayu")</f>
        <v>Maryanti K/ Sri Rahayu</v>
      </c>
      <c r="G394" s="13">
        <f t="shared" si="1"/>
        <v>373</v>
      </c>
      <c r="H394" s="13" t="str">
        <f>IFERROR(__xludf.DUMMYFUNCTION("""COMPUTED_VALUE"""),"P0")</f>
        <v>P0</v>
      </c>
    </row>
    <row r="395" ht="22.5" customHeight="1">
      <c r="B395" s="19" t="str">
        <f>IFERROR(__xludf.DUMMYFUNCTION("""COMPUTED_VALUE"""),"L/14/231024/1")</f>
        <v>L/14/231024/1</v>
      </c>
      <c r="C395" s="19" t="str">
        <f>IFERROR(__xludf.DUMMYFUNCTION("""COMPUTED_VALUE"""),"HM 14460/SUKABUMI")</f>
        <v>HM 14460/SUKABUMI</v>
      </c>
      <c r="D395" s="17">
        <f>IFERROR(__xludf.DUMMYFUNCTION("""COMPUTED_VALUE"""),45588.4605293287)</f>
        <v>45588.46053</v>
      </c>
      <c r="E395" s="13" t="str">
        <f>IFERROR(__xludf.DUMMYFUNCTION("""COMPUTED_VALUE"""),"PENGHAPUSAN BPHTB")</f>
        <v>PENGHAPUSAN BPHTB</v>
      </c>
      <c r="F395" s="13" t="str">
        <f>IFERROR(__xludf.DUMMYFUNCTION("""COMPUTED_VALUE"""),"SAMANAN")</f>
        <v>SAMANAN</v>
      </c>
      <c r="G395" s="13">
        <f t="shared" si="1"/>
        <v>374</v>
      </c>
      <c r="H395" s="13" t="str">
        <f>IFERROR(__xludf.DUMMYFUNCTION("""COMPUTED_VALUE"""),"P0")</f>
        <v>P0</v>
      </c>
    </row>
    <row r="396" ht="22.5" customHeight="1">
      <c r="B396" s="19" t="str">
        <f>IFERROR(__xludf.DUMMYFUNCTION("""COMPUTED_VALUE"""),"K/14/151024/1")</f>
        <v>K/14/151024/1</v>
      </c>
      <c r="C396" s="19" t="str">
        <f>IFERROR(__xludf.DUMMYFUNCTION("""COMPUTED_VALUE"""),"M. 3901/ Tanjung Senang")</f>
        <v>M. 3901/ Tanjung Senang</v>
      </c>
      <c r="D396" s="17">
        <f>IFERROR(__xludf.DUMMYFUNCTION("""COMPUTED_VALUE"""),45588.46182491898)</f>
        <v>45588.46182</v>
      </c>
      <c r="E396" s="13" t="str">
        <f>IFERROR(__xludf.DUMMYFUNCTION("""COMPUTED_VALUE"""),"	Roya")</f>
        <v>	Roya</v>
      </c>
      <c r="F396" s="13" t="str">
        <f>IFERROR(__xludf.DUMMYFUNCTION("""COMPUTED_VALUE"""),"Reflan R/ Mardhatillah")</f>
        <v>Reflan R/ Mardhatillah</v>
      </c>
      <c r="G396" s="13">
        <f t="shared" si="1"/>
        <v>374</v>
      </c>
      <c r="H396" s="13" t="str">
        <f>IFERROR(__xludf.DUMMYFUNCTION("""COMPUTED_VALUE"""),"P1")</f>
        <v>P1</v>
      </c>
    </row>
    <row r="397" ht="22.5" customHeight="1">
      <c r="B397" s="19" t="str">
        <f>IFERROR(__xludf.DUMMYFUNCTION("""COMPUTED_VALUE"""),"K/15/231024/1")</f>
        <v>K/15/231024/1</v>
      </c>
      <c r="C397" s="19" t="str">
        <f>IFERROR(__xludf.DUMMYFUNCTION("""COMPUTED_VALUE"""),"M. 8119/ Sukabumi")</f>
        <v>M. 8119/ Sukabumi</v>
      </c>
      <c r="D397" s="17">
        <f>IFERROR(__xludf.DUMMYFUNCTION("""COMPUTED_VALUE"""),45588.46327813657)</f>
        <v>45588.46328</v>
      </c>
      <c r="E397" s="13" t="str">
        <f>IFERROR(__xludf.DUMMYFUNCTION("""COMPUTED_VALUE"""),"BN Jual Beli")</f>
        <v>BN Jual Beli</v>
      </c>
      <c r="F397" s="13" t="str">
        <f>IFERROR(__xludf.DUMMYFUNCTION("""COMPUTED_VALUE"""),"Reflan R/ Winny W")</f>
        <v>Reflan R/ Winny W</v>
      </c>
      <c r="G397" s="13">
        <f t="shared" si="1"/>
        <v>375</v>
      </c>
      <c r="H397" s="13" t="str">
        <f>IFERROR(__xludf.DUMMYFUNCTION("""COMPUTED_VALUE"""),"P0")</f>
        <v>P0</v>
      </c>
    </row>
    <row r="398" ht="22.5" customHeight="1">
      <c r="B398" s="19" t="str">
        <f>IFERROR(__xludf.DUMMYFUNCTION("""COMPUTED_VALUE"""),"L/16/231024/1")</f>
        <v>L/16/231024/1</v>
      </c>
      <c r="C398" s="19" t="str">
        <f>IFERROR(__xludf.DUMMYFUNCTION("""COMPUTED_VALUE"""),"M.3338/SUKADANA HAM")</f>
        <v>M.3338/SUKADANA HAM</v>
      </c>
      <c r="D398" s="17">
        <f>IFERROR(__xludf.DUMMYFUNCTION("""COMPUTED_VALUE"""),45588.47713393519)</f>
        <v>45588.47713</v>
      </c>
      <c r="E398" s="13" t="str">
        <f>IFERROR(__xludf.DUMMYFUNCTION("""COMPUTED_VALUE"""),"SERTIPIKAT HILANG")</f>
        <v>SERTIPIKAT HILANG</v>
      </c>
      <c r="F398" s="13" t="str">
        <f>IFERROR(__xludf.DUMMYFUNCTION("""COMPUTED_VALUE"""),"EDI SUYANTO")</f>
        <v>EDI SUYANTO</v>
      </c>
      <c r="G398" s="13">
        <f t="shared" si="1"/>
        <v>376</v>
      </c>
      <c r="H398" s="13" t="str">
        <f>IFERROR(__xludf.DUMMYFUNCTION("""COMPUTED_VALUE"""),"P0")</f>
        <v>P0</v>
      </c>
    </row>
    <row r="399" ht="22.5" customHeight="1">
      <c r="B399" s="19" t="str">
        <f>IFERROR(__xludf.DUMMYFUNCTION("""COMPUTED_VALUE"""),"L/17/231024/2")</f>
        <v>L/17/231024/2</v>
      </c>
      <c r="C399" s="19" t="str">
        <f>IFERROR(__xludf.DUMMYFUNCTION("""COMPUTED_VALUE"""),"M.3337/SUKADANA HAM")</f>
        <v>M.3337/SUKADANA HAM</v>
      </c>
      <c r="D399" s="17">
        <f>IFERROR(__xludf.DUMMYFUNCTION("""COMPUTED_VALUE"""),45588.478669108794)</f>
        <v>45588.47867</v>
      </c>
      <c r="E399" s="13" t="str">
        <f>IFERROR(__xludf.DUMMYFUNCTION("""COMPUTED_VALUE"""),"SERTIPIKAT HILANG")</f>
        <v>SERTIPIKAT HILANG</v>
      </c>
      <c r="F399" s="13" t="str">
        <f>IFERROR(__xludf.DUMMYFUNCTION("""COMPUTED_VALUE"""),"EDI SUYANTO")</f>
        <v>EDI SUYANTO</v>
      </c>
      <c r="G399" s="13">
        <f t="shared" si="1"/>
        <v>377</v>
      </c>
      <c r="H399" s="13" t="str">
        <f>IFERROR(__xludf.DUMMYFUNCTION("""COMPUTED_VALUE"""),"P0")</f>
        <v>P0</v>
      </c>
    </row>
    <row r="400" ht="22.5" customHeight="1">
      <c r="B400" s="19" t="str">
        <f>IFERROR(__xludf.DUMMYFUNCTION("""COMPUTED_VALUE"""),"K/18/231024/1")</f>
        <v>K/18/231024/1</v>
      </c>
      <c r="C400" s="19" t="str">
        <f>IFERROR(__xludf.DUMMYFUNCTION("""COMPUTED_VALUE"""),"Nibel 3407/ Jagabaya II")</f>
        <v>Nibel 3407/ Jagabaya II</v>
      </c>
      <c r="D400" s="17">
        <f>IFERROR(__xludf.DUMMYFUNCTION("""COMPUTED_VALUE"""),45588.47981784723)</f>
        <v>45588.47982</v>
      </c>
      <c r="E400" s="13" t="str">
        <f>IFERROR(__xludf.DUMMYFUNCTION("""COMPUTED_VALUE"""),"BN Lelang")</f>
        <v>BN Lelang</v>
      </c>
      <c r="F400" s="13" t="str">
        <f>IFERROR(__xludf.DUMMYFUNCTION("""COMPUTED_VALUE"""),"Aditya/ Henny")</f>
        <v>Aditya/ Henny</v>
      </c>
      <c r="G400" s="13">
        <f t="shared" si="1"/>
        <v>378</v>
      </c>
      <c r="H400" s="13" t="str">
        <f>IFERROR(__xludf.DUMMYFUNCTION("""COMPUTED_VALUE"""),"P0")</f>
        <v>P0</v>
      </c>
    </row>
    <row r="401" ht="22.5" customHeight="1">
      <c r="B401" s="19" t="str">
        <f>IFERROR(__xludf.DUMMYFUNCTION("""COMPUTED_VALUE"""),"L/19/231024/1")</f>
        <v>L/19/231024/1</v>
      </c>
      <c r="C401" s="19" t="str">
        <f>IFERROR(__xludf.DUMMYFUNCTION("""COMPUTED_VALUE"""),"HM 409/KBK")</f>
        <v>HM 409/KBK</v>
      </c>
      <c r="D401" s="17">
        <f>IFERROR(__xludf.DUMMYFUNCTION("""COMPUTED_VALUE"""),45588.482928032405)</f>
        <v>45588.48293</v>
      </c>
      <c r="E401" s="13" t="str">
        <f>IFERROR(__xludf.DUMMYFUNCTION("""COMPUTED_VALUE"""),"ROYA")</f>
        <v>ROYA</v>
      </c>
      <c r="F401" s="13" t="str">
        <f>IFERROR(__xludf.DUMMYFUNCTION("""COMPUTED_VALUE"""),"SHOLEH")</f>
        <v>SHOLEH</v>
      </c>
      <c r="G401" s="13">
        <f t="shared" si="1"/>
        <v>379</v>
      </c>
      <c r="H401" s="13" t="str">
        <f>IFERROR(__xludf.DUMMYFUNCTION("""COMPUTED_VALUE"""),"P0")</f>
        <v>P0</v>
      </c>
    </row>
    <row r="402" ht="22.5" customHeight="1">
      <c r="B402" s="19" t="str">
        <f>IFERROR(__xludf.DUMMYFUNCTION("""COMPUTED_VALUE"""),"K/20/231024/1")</f>
        <v>K/20/231024/1</v>
      </c>
      <c r="C402" s="19" t="str">
        <f>IFERROR(__xludf.DUMMYFUNCTION("""COMPUTED_VALUE"""),"NIBEL M.2396/KORPRI RAYA")</f>
        <v>NIBEL M.2396/KORPRI RAYA</v>
      </c>
      <c r="D402" s="17">
        <f>IFERROR(__xludf.DUMMYFUNCTION("""COMPUTED_VALUE"""),45588.48675913195)</f>
        <v>45588.48676</v>
      </c>
      <c r="E402" s="13" t="str">
        <f>IFERROR(__xludf.DUMMYFUNCTION("""COMPUTED_VALUE"""),"BN JUAL BELI")</f>
        <v>BN JUAL BELI</v>
      </c>
      <c r="F402" s="13" t="str">
        <f>IFERROR(__xludf.DUMMYFUNCTION("""COMPUTED_VALUE"""),"NURHIKMAH IMANI/ANDRY YULIAN")</f>
        <v>NURHIKMAH IMANI/ANDRY YULIAN</v>
      </c>
      <c r="G402" s="13">
        <f t="shared" si="1"/>
        <v>380</v>
      </c>
      <c r="H402" s="13" t="str">
        <f>IFERROR(__xludf.DUMMYFUNCTION("""COMPUTED_VALUE"""),"P0")</f>
        <v>P0</v>
      </c>
    </row>
    <row r="403" ht="22.5" customHeight="1">
      <c r="B403" s="19" t="str">
        <f>IFERROR(__xludf.DUMMYFUNCTION("""COMPUTED_VALUE"""),"K/22/231024/1")</f>
        <v>K/22/231024/1</v>
      </c>
      <c r="C403" s="19" t="str">
        <f>IFERROR(__xludf.DUMMYFUNCTION("""COMPUTED_VALUE"""),"M. 6306/ Way Kandis")</f>
        <v>M. 6306/ Way Kandis</v>
      </c>
      <c r="D403" s="17">
        <f>IFERROR(__xludf.DUMMYFUNCTION("""COMPUTED_VALUE"""),45588.49031159723)</f>
        <v>45588.49031</v>
      </c>
      <c r="E403" s="13" t="str">
        <f>IFERROR(__xludf.DUMMYFUNCTION("""COMPUTED_VALUE"""),"BN Jual Beli")</f>
        <v>BN Jual Beli</v>
      </c>
      <c r="F403" s="13" t="str">
        <f>IFERROR(__xludf.DUMMYFUNCTION("""COMPUTED_VALUE"""),"Nanik M/ Findalia")</f>
        <v>Nanik M/ Findalia</v>
      </c>
      <c r="G403" s="13">
        <f t="shared" si="1"/>
        <v>381</v>
      </c>
      <c r="H403" s="13" t="str">
        <f>IFERROR(__xludf.DUMMYFUNCTION("""COMPUTED_VALUE"""),"P0")</f>
        <v>P0</v>
      </c>
    </row>
    <row r="404" ht="22.5" customHeight="1">
      <c r="B404" s="19" t="str">
        <f>IFERROR(__xludf.DUMMYFUNCTION("""COMPUTED_VALUE"""),"K/21/231024/1")</f>
        <v>K/21/231024/1</v>
      </c>
      <c r="C404" s="19" t="str">
        <f>IFERROR(__xludf.DUMMYFUNCTION("""COMPUTED_VALUE"""),"Nibel. B. 2499/ Sumur Putri")</f>
        <v>Nibel. B. 2499/ Sumur Putri</v>
      </c>
      <c r="D404" s="17">
        <f>IFERROR(__xludf.DUMMYFUNCTION("""COMPUTED_VALUE"""),45588.49184159722)</f>
        <v>45588.49184</v>
      </c>
      <c r="E404" s="13" t="str">
        <f>IFERROR(__xludf.DUMMYFUNCTION("""COMPUTED_VALUE"""),"Perubahan Hak")</f>
        <v>Perubahan Hak</v>
      </c>
      <c r="F404" s="13" t="str">
        <f>IFERROR(__xludf.DUMMYFUNCTION("""COMPUTED_VALUE"""),"Panary Sitopu/ Sherly Sagita E")</f>
        <v>Panary Sitopu/ Sherly Sagita E</v>
      </c>
      <c r="G404" s="13">
        <f t="shared" si="1"/>
        <v>382</v>
      </c>
      <c r="H404" s="13" t="str">
        <f>IFERROR(__xludf.DUMMYFUNCTION("""COMPUTED_VALUE"""),"P0")</f>
        <v>P0</v>
      </c>
    </row>
    <row r="405" ht="22.5" customHeight="1">
      <c r="B405" s="19" t="str">
        <f>IFERROR(__xludf.DUMMYFUNCTION("""COMPUTED_VALUE"""),"K/23/231024/2")</f>
        <v>K/23/231024/2</v>
      </c>
      <c r="C405" s="19" t="str">
        <f>IFERROR(__xludf.DUMMYFUNCTION("""COMPUTED_VALUE"""),"B. 922/ Campang Raya")</f>
        <v>B. 922/ Campang Raya</v>
      </c>
      <c r="D405" s="17">
        <f>IFERROR(__xludf.DUMMYFUNCTION("""COMPUTED_VALUE"""),45588.492941296296)</f>
        <v>45588.49294</v>
      </c>
      <c r="E405" s="13" t="str">
        <f>IFERROR(__xludf.DUMMYFUNCTION("""COMPUTED_VALUE"""),"Ploting")</f>
        <v>Ploting</v>
      </c>
      <c r="F405" s="13" t="str">
        <f>IFERROR(__xludf.DUMMYFUNCTION("""COMPUTED_VALUE"""),"Panary Sitopu/  PT Sukses Cipta G L")</f>
        <v>Panary Sitopu/  PT Sukses Cipta G L</v>
      </c>
      <c r="G405" s="13">
        <f t="shared" si="1"/>
        <v>383</v>
      </c>
      <c r="H405" s="13" t="str">
        <f>IFERROR(__xludf.DUMMYFUNCTION("""COMPUTED_VALUE"""),"P0")</f>
        <v>P0</v>
      </c>
    </row>
    <row r="406" ht="22.5" customHeight="1">
      <c r="B406" s="19" t="str">
        <f>IFERROR(__xludf.DUMMYFUNCTION("""COMPUTED_VALUE"""),"K/24/231024/1")</f>
        <v>K/24/231024/1</v>
      </c>
      <c r="C406" s="19" t="str">
        <f>IFERROR(__xludf.DUMMYFUNCTION("""COMPUTED_VALUE"""),"M.2226/SUKARAME BARU")</f>
        <v>M.2226/SUKARAME BARU</v>
      </c>
      <c r="D406" s="17">
        <f>IFERROR(__xludf.DUMMYFUNCTION("""COMPUTED_VALUE"""),45588.4939905787)</f>
        <v>45588.49399</v>
      </c>
      <c r="E406" s="13" t="str">
        <f>IFERROR(__xludf.DUMMYFUNCTION("""COMPUTED_VALUE"""),"BN JUAL BELI")</f>
        <v>BN JUAL BELI</v>
      </c>
      <c r="F406" s="13" t="str">
        <f>IFERROR(__xludf.DUMMYFUNCTION("""COMPUTED_VALUE"""),"EKA PUTRI PALAM SILABAN/BUDI KRISTIYANTO")</f>
        <v>EKA PUTRI PALAM SILABAN/BUDI KRISTIYANTO</v>
      </c>
      <c r="G406" s="13">
        <f t="shared" si="1"/>
        <v>384</v>
      </c>
      <c r="H406" s="13" t="str">
        <f>IFERROR(__xludf.DUMMYFUNCTION("""COMPUTED_VALUE"""),"P0")</f>
        <v>P0</v>
      </c>
    </row>
    <row r="407" ht="22.5" customHeight="1">
      <c r="B407" s="19" t="str">
        <f>IFERROR(__xludf.DUMMYFUNCTION("""COMPUTED_VALUE"""),"K/25/231024/2")</f>
        <v>K/25/231024/2</v>
      </c>
      <c r="C407" s="19" t="str">
        <f>IFERROR(__xludf.DUMMYFUNCTION("""COMPUTED_VALUE"""),"M.2225/SUKARAME BARU")</f>
        <v>M.2225/SUKARAME BARU</v>
      </c>
      <c r="D407" s="17">
        <f>IFERROR(__xludf.DUMMYFUNCTION("""COMPUTED_VALUE"""),45588.4949709375)</f>
        <v>45588.49497</v>
      </c>
      <c r="E407" s="13" t="str">
        <f>IFERROR(__xludf.DUMMYFUNCTION("""COMPUTED_VALUE"""),"BN JUAL BELI")</f>
        <v>BN JUAL BELI</v>
      </c>
      <c r="F407" s="13" t="str">
        <f>IFERROR(__xludf.DUMMYFUNCTION("""COMPUTED_VALUE"""),"EKA PUTRI PALAM SILABAN/BUDI KRISTIYANTO")</f>
        <v>EKA PUTRI PALAM SILABAN/BUDI KRISTIYANTO</v>
      </c>
      <c r="G407" s="13">
        <f t="shared" si="1"/>
        <v>385</v>
      </c>
      <c r="H407" s="13" t="str">
        <f>IFERROR(__xludf.DUMMYFUNCTION("""COMPUTED_VALUE"""),"P0")</f>
        <v>P0</v>
      </c>
    </row>
    <row r="408" ht="22.5" customHeight="1">
      <c r="B408" s="19" t="str">
        <f>IFERROR(__xludf.DUMMYFUNCTION("""COMPUTED_VALUE"""),"K/26/231024/2")</f>
        <v>K/26/231024/2</v>
      </c>
      <c r="C408" s="19" t="str">
        <f>IFERROR(__xludf.DUMMYFUNCTION("""COMPUTED_VALUE"""),"Nibel 2486/ Sumur Putri")</f>
        <v>Nibel 2486/ Sumur Putri</v>
      </c>
      <c r="D408" s="17">
        <f>IFERROR(__xludf.DUMMYFUNCTION("""COMPUTED_VALUE"""),45588.495652997684)</f>
        <v>45588.49565</v>
      </c>
      <c r="E408" s="13" t="str">
        <f>IFERROR(__xludf.DUMMYFUNCTION("""COMPUTED_VALUE"""),"Perubahan Hak")</f>
        <v>Perubahan Hak</v>
      </c>
      <c r="F408" s="13" t="str">
        <f>IFERROR(__xludf.DUMMYFUNCTION("""COMPUTED_VALUE"""),"Nanik Maryani/ Imas")</f>
        <v>Nanik Maryani/ Imas</v>
      </c>
      <c r="G408" s="13">
        <f t="shared" si="1"/>
        <v>386</v>
      </c>
      <c r="H408" s="13" t="str">
        <f>IFERROR(__xludf.DUMMYFUNCTION("""COMPUTED_VALUE"""),"P0")</f>
        <v>P0</v>
      </c>
    </row>
    <row r="409" ht="22.5" customHeight="1">
      <c r="B409" s="19" t="str">
        <f>IFERROR(__xludf.DUMMYFUNCTION("""COMPUTED_VALUE"""),"K/27/231024/3")</f>
        <v>K/27/231024/3</v>
      </c>
      <c r="C409" s="19" t="str">
        <f>IFERROR(__xludf.DUMMYFUNCTION("""COMPUTED_VALUE"""),"M. 9026/ Labuhan Ratu")</f>
        <v>M. 9026/ Labuhan Ratu</v>
      </c>
      <c r="D409" s="17">
        <f>IFERROR(__xludf.DUMMYFUNCTION("""COMPUTED_VALUE"""),45588.49938630787)</f>
        <v>45588.49939</v>
      </c>
      <c r="E409" s="13" t="str">
        <f>IFERROR(__xludf.DUMMYFUNCTION("""COMPUTED_VALUE"""),"Plotting")</f>
        <v>Plotting</v>
      </c>
      <c r="F409" s="13" t="str">
        <f>IFERROR(__xludf.DUMMYFUNCTION("""COMPUTED_VALUE"""),"Nanik Maryani/ tasmiyati")</f>
        <v>Nanik Maryani/ tasmiyati</v>
      </c>
      <c r="G409" s="13">
        <f t="shared" si="1"/>
        <v>387</v>
      </c>
      <c r="H409" s="13" t="str">
        <f>IFERROR(__xludf.DUMMYFUNCTION("""COMPUTED_VALUE"""),"P0")</f>
        <v>P0</v>
      </c>
    </row>
    <row r="410" ht="22.5" customHeight="1">
      <c r="B410" s="19" t="str">
        <f>IFERROR(__xludf.DUMMYFUNCTION("""COMPUTED_VALUE"""),"K/28/231024/1")</f>
        <v>K/28/231024/1</v>
      </c>
      <c r="C410" s="19" t="str">
        <f>IFERROR(__xludf.DUMMYFUNCTION("""COMPUTED_VALUE"""),"M. 2446/ Way Kandis")</f>
        <v>M. 2446/ Way Kandis</v>
      </c>
      <c r="D410" s="17">
        <f>IFERROR(__xludf.DUMMYFUNCTION("""COMPUTED_VALUE"""),45588.555914375)</f>
        <v>45588.55591</v>
      </c>
      <c r="E410" s="13" t="str">
        <f>IFERROR(__xludf.DUMMYFUNCTION("""COMPUTED_VALUE"""),"Roya")</f>
        <v>Roya</v>
      </c>
      <c r="F410" s="13" t="str">
        <f>IFERROR(__xludf.DUMMYFUNCTION("""COMPUTED_VALUE"""),"Marissa valina/ Heliana Sihotang")</f>
        <v>Marissa valina/ Heliana Sihotang</v>
      </c>
      <c r="G410" s="13">
        <f t="shared" si="1"/>
        <v>388</v>
      </c>
      <c r="H410" s="13" t="str">
        <f>IFERROR(__xludf.DUMMYFUNCTION("""COMPUTED_VALUE"""),"P0")</f>
        <v>P0</v>
      </c>
    </row>
    <row r="411" ht="22.5" customHeight="1">
      <c r="B411" s="19" t="str">
        <f>IFERROR(__xludf.DUMMYFUNCTION("""COMPUTED_VALUE"""),"K/30/231024/1")</f>
        <v>K/30/231024/1</v>
      </c>
      <c r="C411" s="19" t="str">
        <f>IFERROR(__xludf.DUMMYFUNCTION("""COMPUTED_VALUE"""),"NIBEL M.661/BILABONG JAYA")</f>
        <v>NIBEL M.661/BILABONG JAYA</v>
      </c>
      <c r="D411" s="17">
        <f>IFERROR(__xludf.DUMMYFUNCTION("""COMPUTED_VALUE"""),45588.564258819446)</f>
        <v>45588.56426</v>
      </c>
      <c r="E411" s="13" t="str">
        <f>IFERROR(__xludf.DUMMYFUNCTION("""COMPUTED_VALUE"""),"BN JUAL BELI")</f>
        <v>BN JUAL BELI</v>
      </c>
      <c r="F411" s="13" t="str">
        <f>IFERROR(__xludf.DUMMYFUNCTION("""COMPUTED_VALUE"""),"M FARREL F P/TRIADI KURNIAWAN")</f>
        <v>M FARREL F P/TRIADI KURNIAWAN</v>
      </c>
      <c r="G411" s="13">
        <f t="shared" si="1"/>
        <v>389</v>
      </c>
      <c r="H411" s="13" t="str">
        <f>IFERROR(__xludf.DUMMYFUNCTION("""COMPUTED_VALUE"""),"P0")</f>
        <v>P0</v>
      </c>
    </row>
    <row r="412" ht="22.5" customHeight="1">
      <c r="B412" s="19" t="str">
        <f>IFERROR(__xludf.DUMMYFUNCTION("""COMPUTED_VALUE"""),"K/46/151024/2")</f>
        <v>K/46/151024/2</v>
      </c>
      <c r="C412" s="19" t="str">
        <f>IFERROR(__xludf.DUMMYFUNCTION("""COMPUTED_VALUE"""),"M. 534/ Sumberejo Sejahtera")</f>
        <v>M. 534/ Sumberejo Sejahtera</v>
      </c>
      <c r="D412" s="17">
        <f>IFERROR(__xludf.DUMMYFUNCTION("""COMPUTED_VALUE"""),45588.56720230324)</f>
        <v>45588.5672</v>
      </c>
      <c r="E412" s="13" t="str">
        <f>IFERROR(__xludf.DUMMYFUNCTION("""COMPUTED_VALUE"""),"PTPGT")</f>
        <v>PTPGT</v>
      </c>
      <c r="F412" s="13" t="str">
        <f>IFERROR(__xludf.DUMMYFUNCTION("""COMPUTED_VALUE"""),"Abdul Gani/ Suhari Yanti")</f>
        <v>Abdul Gani/ Suhari Yanti</v>
      </c>
      <c r="G412" s="13">
        <f t="shared" si="1"/>
        <v>389</v>
      </c>
      <c r="H412" s="13" t="str">
        <f>IFERROR(__xludf.DUMMYFUNCTION("""COMPUTED_VALUE"""),"P1")</f>
        <v>P1</v>
      </c>
    </row>
    <row r="413" ht="22.5" customHeight="1">
      <c r="B413" s="19" t="str">
        <f>IFERROR(__xludf.DUMMYFUNCTION("""COMPUTED_VALUE"""),"K/31/231024/1")</f>
        <v>K/31/231024/1</v>
      </c>
      <c r="C413" s="19" t="str">
        <f>IFERROR(__xludf.DUMMYFUNCTION("""COMPUTED_VALUE"""),"Nibel.2638/ Sumberejo/Kemiling")</f>
        <v>Nibel.2638/ Sumberejo/Kemiling</v>
      </c>
      <c r="D413" s="17">
        <f>IFERROR(__xludf.DUMMYFUNCTION("""COMPUTED_VALUE"""),45588.56878037037)</f>
        <v>45588.56878</v>
      </c>
      <c r="E413" s="13" t="str">
        <f>IFERROR(__xludf.DUMMYFUNCTION("""COMPUTED_VALUE"""),"Gandes")</f>
        <v>Gandes</v>
      </c>
      <c r="F413" s="13" t="str">
        <f>IFERROR(__xludf.DUMMYFUNCTION("""COMPUTED_VALUE"""),"Ida Farida/ Hayula Mega")</f>
        <v>Ida Farida/ Hayula Mega</v>
      </c>
      <c r="G413" s="13">
        <f t="shared" si="1"/>
        <v>390</v>
      </c>
      <c r="H413" s="13" t="str">
        <f>IFERROR(__xludf.DUMMYFUNCTION("""COMPUTED_VALUE"""),"P0")</f>
        <v>P0</v>
      </c>
    </row>
    <row r="414" ht="22.5" customHeight="1">
      <c r="B414" s="19" t="str">
        <f>IFERROR(__xludf.DUMMYFUNCTION("""COMPUTED_VALUE"""),"L/32/231024/1")</f>
        <v>L/32/231024/1</v>
      </c>
      <c r="C414" s="19" t="str">
        <f>IFERROR(__xludf.DUMMYFUNCTION("""COMPUTED_VALUE"""),"B.1072/CAMPANG JAYA")</f>
        <v>B.1072/CAMPANG JAYA</v>
      </c>
      <c r="D414" s="17">
        <f>IFERROR(__xludf.DUMMYFUNCTION("""COMPUTED_VALUE"""),45588.57020722222)</f>
        <v>45588.57021</v>
      </c>
      <c r="E414" s="13" t="str">
        <f>IFERROR(__xludf.DUMMYFUNCTION("""COMPUTED_VALUE"""),"PERUBAHAN HAK")</f>
        <v>PERUBAHAN HAK</v>
      </c>
      <c r="F414" s="13" t="str">
        <f>IFERROR(__xludf.DUMMYFUNCTION("""COMPUTED_VALUE"""),"BUDIYANTO")</f>
        <v>BUDIYANTO</v>
      </c>
      <c r="G414" s="13">
        <f t="shared" si="1"/>
        <v>391</v>
      </c>
      <c r="H414" s="13" t="str">
        <f>IFERROR(__xludf.DUMMYFUNCTION("""COMPUTED_VALUE"""),"P0")</f>
        <v>P0</v>
      </c>
    </row>
    <row r="415" ht="22.5" customHeight="1">
      <c r="B415" s="19" t="str">
        <f>IFERROR(__xludf.DUMMYFUNCTION("""COMPUTED_VALUE"""),"K/6/151024/1")</f>
        <v>K/6/151024/1</v>
      </c>
      <c r="C415" s="19" t="str">
        <f>IFERROR(__xludf.DUMMYFUNCTION("""COMPUTED_VALUE"""),"M. 1931/ Campang Jaya	")</f>
        <v>M. 1931/ Campang Jaya	</v>
      </c>
      <c r="D415" s="17">
        <f>IFERROR(__xludf.DUMMYFUNCTION("""COMPUTED_VALUE"""),45588.57859819444)</f>
        <v>45588.5786</v>
      </c>
      <c r="E415" s="13" t="str">
        <f>IFERROR(__xludf.DUMMYFUNCTION("""COMPUTED_VALUE"""),"BN Jual Beli")</f>
        <v>BN Jual Beli</v>
      </c>
      <c r="F415" s="13" t="str">
        <f>IFERROR(__xludf.DUMMYFUNCTION("""COMPUTED_VALUE"""),"Ilanur/ Doni Kris M	")</f>
        <v>Ilanur/ Doni Kris M	</v>
      </c>
      <c r="G415" s="13">
        <f t="shared" si="1"/>
        <v>391</v>
      </c>
      <c r="H415" s="13" t="str">
        <f>IFERROR(__xludf.DUMMYFUNCTION("""COMPUTED_VALUE"""),"P1")</f>
        <v>P1</v>
      </c>
    </row>
    <row r="416" ht="22.5" customHeight="1">
      <c r="B416" s="19" t="str">
        <f>IFERROR(__xludf.DUMMYFUNCTION("""COMPUTED_VALUE"""),"K/33/231024/1")</f>
        <v>K/33/231024/1</v>
      </c>
      <c r="C416" s="19" t="str">
        <f>IFERROR(__xludf.DUMMYFUNCTION("""COMPUTED_VALUE"""),"M. 1666/ Way Halim Permai; SHT 1552/2016")</f>
        <v>M. 1666/ Way Halim Permai; SHT 1552/2016</v>
      </c>
      <c r="D416" s="17">
        <f>IFERROR(__xludf.DUMMYFUNCTION("""COMPUTED_VALUE"""),45588.58259431713)</f>
        <v>45588.58259</v>
      </c>
      <c r="E416" s="13" t="str">
        <f>IFERROR(__xludf.DUMMYFUNCTION("""COMPUTED_VALUE"""),"Roya")</f>
        <v>Roya</v>
      </c>
      <c r="F416" s="13" t="str">
        <f>IFERROR(__xludf.DUMMYFUNCTION("""COMPUTED_VALUE"""),"Budi K/ Nurmaitun")</f>
        <v>Budi K/ Nurmaitun</v>
      </c>
      <c r="G416" s="13">
        <f t="shared" si="1"/>
        <v>392</v>
      </c>
      <c r="H416" s="13" t="str">
        <f>IFERROR(__xludf.DUMMYFUNCTION("""COMPUTED_VALUE"""),"P0")</f>
        <v>P0</v>
      </c>
    </row>
    <row r="417" ht="22.5" customHeight="1">
      <c r="B417" s="19" t="str">
        <f>IFERROR(__xludf.DUMMYFUNCTION("""COMPUTED_VALUE"""),"K/34/231024/2")</f>
        <v>K/34/231024/2</v>
      </c>
      <c r="C417" s="19" t="str">
        <f>IFERROR(__xludf.DUMMYFUNCTION("""COMPUTED_VALUE"""),"M. 19/ L R R")</f>
        <v>M. 19/ L R R</v>
      </c>
      <c r="D417" s="17">
        <f>IFERROR(__xludf.DUMMYFUNCTION("""COMPUTED_VALUE"""),45588.5842471412)</f>
        <v>45588.58425</v>
      </c>
      <c r="E417" s="13" t="str">
        <f>IFERROR(__xludf.DUMMYFUNCTION("""COMPUTED_VALUE"""),"Ploting")</f>
        <v>Ploting</v>
      </c>
      <c r="F417" s="13" t="str">
        <f>IFERROR(__xludf.DUMMYFUNCTION("""COMPUTED_VALUE"""),"Budi K/ Kusnadi")</f>
        <v>Budi K/ Kusnadi</v>
      </c>
      <c r="G417" s="13">
        <f t="shared" si="1"/>
        <v>393</v>
      </c>
      <c r="H417" s="13" t="str">
        <f>IFERROR(__xludf.DUMMYFUNCTION("""COMPUTED_VALUE"""),"P0")</f>
        <v>P0</v>
      </c>
    </row>
    <row r="418" ht="22.5" customHeight="1">
      <c r="B418" s="19" t="str">
        <f>IFERROR(__xludf.DUMMYFUNCTION("""COMPUTED_VALUE"""),"K/35/231024/3")</f>
        <v>K/35/231024/3</v>
      </c>
      <c r="C418" s="19" t="str">
        <f>IFERROR(__xludf.DUMMYFUNCTION("""COMPUTED_VALUE"""),"M. 113/ Rajabasa Pemuka")</f>
        <v>M. 113/ Rajabasa Pemuka</v>
      </c>
      <c r="D418" s="17">
        <f>IFERROR(__xludf.DUMMYFUNCTION("""COMPUTED_VALUE"""),45588.584838483795)</f>
        <v>45588.58484</v>
      </c>
      <c r="E418" s="13" t="str">
        <f>IFERROR(__xludf.DUMMYFUNCTION("""COMPUTED_VALUE"""),"Ploting")</f>
        <v>Ploting</v>
      </c>
      <c r="F418" s="13" t="str">
        <f>IFERROR(__xludf.DUMMYFUNCTION("""COMPUTED_VALUE"""),"Budi K/ Endriyani")</f>
        <v>Budi K/ Endriyani</v>
      </c>
      <c r="G418" s="13">
        <f t="shared" si="1"/>
        <v>394</v>
      </c>
      <c r="H418" s="13" t="str">
        <f>IFERROR(__xludf.DUMMYFUNCTION("""COMPUTED_VALUE"""),"P0")</f>
        <v>P0</v>
      </c>
    </row>
    <row r="419" ht="22.5" customHeight="1">
      <c r="B419" s="19" t="str">
        <f>IFERROR(__xludf.DUMMYFUNCTION("""COMPUTED_VALUE"""),"K/36/231024/4")</f>
        <v>K/36/231024/4</v>
      </c>
      <c r="C419" s="19" t="str">
        <f>IFERROR(__xludf.DUMMYFUNCTION("""COMPUTED_VALUE"""),"M. 112/ Rajabasa Pemuka")</f>
        <v>M. 112/ Rajabasa Pemuka</v>
      </c>
      <c r="D419" s="17">
        <f>IFERROR(__xludf.DUMMYFUNCTION("""COMPUTED_VALUE"""),45588.58535364583)</f>
        <v>45588.58535</v>
      </c>
      <c r="E419" s="13" t="str">
        <f>IFERROR(__xludf.DUMMYFUNCTION("""COMPUTED_VALUE"""),"Ploting")</f>
        <v>Ploting</v>
      </c>
      <c r="F419" s="13" t="str">
        <f>IFERROR(__xludf.DUMMYFUNCTION("""COMPUTED_VALUE"""),"Budi K/ Endriyani")</f>
        <v>Budi K/ Endriyani</v>
      </c>
      <c r="G419" s="13">
        <f t="shared" si="1"/>
        <v>395</v>
      </c>
      <c r="H419" s="13" t="str">
        <f>IFERROR(__xludf.DUMMYFUNCTION("""COMPUTED_VALUE"""),"P0")</f>
        <v>P0</v>
      </c>
    </row>
    <row r="420" ht="22.5" customHeight="1">
      <c r="B420" s="19" t="str">
        <f>IFERROR(__xludf.DUMMYFUNCTION("""COMPUTED_VALUE"""),"L/37/231024/1")</f>
        <v>L/37/231024/1</v>
      </c>
      <c r="C420" s="19" t="str">
        <f>IFERROR(__xludf.DUMMYFUNCTION("""COMPUTED_VALUE"""),"HM 1642/KOTA KARANG")</f>
        <v>HM 1642/KOTA KARANG</v>
      </c>
      <c r="D420" s="17">
        <f>IFERROR(__xludf.DUMMYFUNCTION("""COMPUTED_VALUE"""),45588.58694217593)</f>
        <v>45588.58694</v>
      </c>
      <c r="E420" s="13" t="str">
        <f>IFERROR(__xludf.DUMMYFUNCTION("""COMPUTED_VALUE"""),"ROYA")</f>
        <v>ROYA</v>
      </c>
      <c r="F420" s="13" t="str">
        <f>IFERROR(__xludf.DUMMYFUNCTION("""COMPUTED_VALUE"""),"SITTI SUBAIDAH")</f>
        <v>SITTI SUBAIDAH</v>
      </c>
      <c r="G420" s="13">
        <f t="shared" si="1"/>
        <v>396</v>
      </c>
      <c r="H420" s="13" t="str">
        <f>IFERROR(__xludf.DUMMYFUNCTION("""COMPUTED_VALUE"""),"P0")</f>
        <v>P0</v>
      </c>
    </row>
    <row r="421" ht="22.5" customHeight="1">
      <c r="B421" s="19" t="str">
        <f>IFERROR(__xludf.DUMMYFUNCTION("""COMPUTED_VALUE"""),"K/38/231024/1")</f>
        <v>K/38/231024/1</v>
      </c>
      <c r="C421" s="19" t="str">
        <f>IFERROR(__xludf.DUMMYFUNCTION("""COMPUTED_VALUE"""),"Nibel 2815/  Kemiling raya")</f>
        <v>Nibel 2815/  Kemiling raya</v>
      </c>
      <c r="D421" s="17">
        <f>IFERROR(__xludf.DUMMYFUNCTION("""COMPUTED_VALUE"""),45588.58915855324)</f>
        <v>45588.58916</v>
      </c>
      <c r="E421" s="13" t="str">
        <f>IFERROR(__xludf.DUMMYFUNCTION("""COMPUTED_VALUE"""),"Perubahan Hak")</f>
        <v>Perubahan Hak</v>
      </c>
      <c r="F421" s="13" t="str">
        <f>IFERROR(__xludf.DUMMYFUNCTION("""COMPUTED_VALUE"""),"Ismarina/ Siti fajar")</f>
        <v>Ismarina/ Siti fajar</v>
      </c>
      <c r="G421" s="13">
        <f t="shared" si="1"/>
        <v>397</v>
      </c>
      <c r="H421" s="13" t="str">
        <f>IFERROR(__xludf.DUMMYFUNCTION("""COMPUTED_VALUE"""),"P0")</f>
        <v>P0</v>
      </c>
    </row>
    <row r="422" ht="22.5" customHeight="1">
      <c r="B422" s="19" t="str">
        <f>IFERROR(__xludf.DUMMYFUNCTION("""COMPUTED_VALUE"""),"K/39/231024/1")</f>
        <v>K/39/231024/1</v>
      </c>
      <c r="C422" s="19" t="str">
        <f>IFERROR(__xludf.DUMMYFUNCTION("""COMPUTED_VALUE"""),"M. 2683/ Sukadana Ham")</f>
        <v>M. 2683/ Sukadana Ham</v>
      </c>
      <c r="D422" s="17">
        <f>IFERROR(__xludf.DUMMYFUNCTION("""COMPUTED_VALUE"""),45588.589179456016)</f>
        <v>45588.58918</v>
      </c>
      <c r="E422" s="13" t="str">
        <f>IFERROR(__xludf.DUMMYFUNCTION("""COMPUTED_VALUE"""),"PTPGT (Pemecahan)")</f>
        <v>PTPGT (Pemecahan)</v>
      </c>
      <c r="F422" s="13" t="str">
        <f>IFERROR(__xludf.DUMMYFUNCTION("""COMPUTED_VALUE"""),"Evi Yuriyanti/ Sunarto")</f>
        <v>Evi Yuriyanti/ Sunarto</v>
      </c>
      <c r="G422" s="13">
        <f t="shared" si="1"/>
        <v>398</v>
      </c>
      <c r="H422" s="13" t="str">
        <f>IFERROR(__xludf.DUMMYFUNCTION("""COMPUTED_VALUE"""),"P0")</f>
        <v>P0</v>
      </c>
    </row>
    <row r="423" ht="22.5" customHeight="1">
      <c r="B423" s="19" t="str">
        <f>IFERROR(__xludf.DUMMYFUNCTION("""COMPUTED_VALUE"""),"L/40/231024/1")</f>
        <v>L/40/231024/1</v>
      </c>
      <c r="C423" s="19" t="str">
        <f>IFERROR(__xludf.DUMMYFUNCTION("""COMPUTED_VALUE"""),"B.1044/KEMILING PERMAI")</f>
        <v>B.1044/KEMILING PERMAI</v>
      </c>
      <c r="D423" s="17">
        <f>IFERROR(__xludf.DUMMYFUNCTION("""COMPUTED_VALUE"""),45588.594434803235)</f>
        <v>45588.59443</v>
      </c>
      <c r="E423" s="13" t="str">
        <f>IFERROR(__xludf.DUMMYFUNCTION("""COMPUTED_VALUE"""),"ROYA")</f>
        <v>ROYA</v>
      </c>
      <c r="F423" s="13" t="str">
        <f>IFERROR(__xludf.DUMMYFUNCTION("""COMPUTED_VALUE"""),"HENNY KARTIKA H (BU DIANING)")</f>
        <v>HENNY KARTIKA H (BU DIANING)</v>
      </c>
      <c r="G423" s="13">
        <f t="shared" si="1"/>
        <v>399</v>
      </c>
      <c r="H423" s="13" t="str">
        <f>IFERROR(__xludf.DUMMYFUNCTION("""COMPUTED_VALUE"""),"P0")</f>
        <v>P0</v>
      </c>
    </row>
    <row r="424" ht="22.5" customHeight="1">
      <c r="B424" s="19" t="str">
        <f>IFERROR(__xludf.DUMMYFUNCTION("""COMPUTED_VALUE"""),"K/30/161024/1")</f>
        <v>K/30/161024/1</v>
      </c>
      <c r="C424" s="19" t="str">
        <f>IFERROR(__xludf.DUMMYFUNCTION("""COMPUTED_VALUE"""),"M. 4485/ Beringin Raya")</f>
        <v>M. 4485/ Beringin Raya</v>
      </c>
      <c r="D424" s="17">
        <f>IFERROR(__xludf.DUMMYFUNCTION("""COMPUTED_VALUE"""),45588.595331979166)</f>
        <v>45588.59533</v>
      </c>
      <c r="E424" s="13" t="str">
        <f>IFERROR(__xludf.DUMMYFUNCTION("""COMPUTED_VALUE"""),"BN Jual Beli")</f>
        <v>BN Jual Beli</v>
      </c>
      <c r="F424" s="13" t="str">
        <f>IFERROR(__xludf.DUMMYFUNCTION("""COMPUTED_VALUE"""),"Atiansya Febra/ Candra Putra")</f>
        <v>Atiansya Febra/ Candra Putra</v>
      </c>
      <c r="G424" s="13">
        <f t="shared" si="1"/>
        <v>399</v>
      </c>
      <c r="H424" s="13" t="str">
        <f>IFERROR(__xludf.DUMMYFUNCTION("""COMPUTED_VALUE"""),"P1")</f>
        <v>P1</v>
      </c>
    </row>
    <row r="425" ht="22.5" customHeight="1">
      <c r="B425" s="19" t="str">
        <f>IFERROR(__xludf.DUMMYFUNCTION("""COMPUTED_VALUE"""),"K/40/151024/1")</f>
        <v>K/40/151024/1</v>
      </c>
      <c r="C425" s="19" t="str">
        <f>IFERROR(__xludf.DUMMYFUNCTION("""COMPUTED_VALUE"""),"M. 2800/ Sumber Rejo")</f>
        <v>M. 2800/ Sumber Rejo</v>
      </c>
      <c r="D425" s="17">
        <f>IFERROR(__xludf.DUMMYFUNCTION("""COMPUTED_VALUE"""),45588.59655836805)</f>
        <v>45588.59656</v>
      </c>
      <c r="E425" s="13" t="str">
        <f>IFERROR(__xludf.DUMMYFUNCTION("""COMPUTED_VALUE"""),"BN Jual Beli")</f>
        <v>BN Jual Beli</v>
      </c>
      <c r="F425" s="13" t="str">
        <f>IFERROR(__xludf.DUMMYFUNCTION("""COMPUTED_VALUE"""),"Fahrul Rozi/ Lela Monika")</f>
        <v>Fahrul Rozi/ Lela Monika</v>
      </c>
      <c r="G425" s="13">
        <f t="shared" si="1"/>
        <v>399</v>
      </c>
      <c r="H425" s="13" t="str">
        <f>IFERROR(__xludf.DUMMYFUNCTION("""COMPUTED_VALUE"""),"P1")</f>
        <v>P1</v>
      </c>
    </row>
    <row r="426" ht="22.5" customHeight="1">
      <c r="B426" s="19" t="str">
        <f>IFERROR(__xludf.DUMMYFUNCTION("""COMPUTED_VALUE"""),"L/41/231024/1")</f>
        <v>L/41/231024/1</v>
      </c>
      <c r="C426" s="19" t="str">
        <f>IFERROR(__xludf.DUMMYFUNCTION("""COMPUTED_VALUE"""),"M.1801/KELAPA TIGA")</f>
        <v>M.1801/KELAPA TIGA</v>
      </c>
      <c r="D426" s="17">
        <f>IFERROR(__xludf.DUMMYFUNCTION("""COMPUTED_VALUE"""),45588.59933143518)</f>
        <v>45588.59933</v>
      </c>
      <c r="E426" s="13" t="str">
        <f>IFERROR(__xludf.DUMMYFUNCTION("""COMPUTED_VALUE"""),"ROYA")</f>
        <v>ROYA</v>
      </c>
      <c r="F426" s="13" t="str">
        <f>IFERROR(__xludf.DUMMYFUNCTION("""COMPUTED_VALUE"""),"ROHMAYATI")</f>
        <v>ROHMAYATI</v>
      </c>
      <c r="G426" s="13">
        <f t="shared" si="1"/>
        <v>400</v>
      </c>
      <c r="H426" s="13" t="str">
        <f>IFERROR(__xludf.DUMMYFUNCTION("""COMPUTED_VALUE"""),"P0")</f>
        <v>P0</v>
      </c>
    </row>
    <row r="427" ht="22.5" customHeight="1">
      <c r="B427" s="19" t="str">
        <f>IFERROR(__xludf.DUMMYFUNCTION("""COMPUTED_VALUE"""),"K/42/231024/1")</f>
        <v>K/42/231024/1</v>
      </c>
      <c r="C427" s="19" t="str">
        <f>IFERROR(__xludf.DUMMYFUNCTION("""COMPUTED_VALUE"""),"M.1878/KEDAUNG")</f>
        <v>M.1878/KEDAUNG</v>
      </c>
      <c r="D427" s="17">
        <f>IFERROR(__xludf.DUMMYFUNCTION("""COMPUTED_VALUE"""),45588.6032277662)</f>
        <v>45588.60323</v>
      </c>
      <c r="E427" s="13" t="str">
        <f>IFERROR(__xludf.DUMMYFUNCTION("""COMPUTED_VALUE"""),"BN JUAL BELI")</f>
        <v>BN JUAL BELI</v>
      </c>
      <c r="F427" s="13" t="str">
        <f>IFERROR(__xludf.DUMMYFUNCTION("""COMPUTED_VALUE"""),"FAIZAL RIZAL/NAZAIRONI A")</f>
        <v>FAIZAL RIZAL/NAZAIRONI A</v>
      </c>
      <c r="G427" s="13">
        <f t="shared" si="1"/>
        <v>401</v>
      </c>
      <c r="H427" s="13" t="str">
        <f>IFERROR(__xludf.DUMMYFUNCTION("""COMPUTED_VALUE"""),"P0")</f>
        <v>P0</v>
      </c>
    </row>
    <row r="428" ht="22.5" customHeight="1">
      <c r="B428" s="19" t="str">
        <f>IFERROR(__xludf.DUMMYFUNCTION("""COMPUTED_VALUE"""),"K/43/231024/1")</f>
        <v>K/43/231024/1</v>
      </c>
      <c r="C428" s="19" t="str">
        <f>IFERROR(__xludf.DUMMYFUNCTION("""COMPUTED_VALUE"""),"Nibel. B. 3306/ Kedamaian")</f>
        <v>Nibel. B. 3306/ Kedamaian</v>
      </c>
      <c r="D428" s="17">
        <f>IFERROR(__xludf.DUMMYFUNCTION("""COMPUTED_VALUE"""),45588.604127592596)</f>
        <v>45588.60413</v>
      </c>
      <c r="E428" s="13" t="str">
        <f>IFERROR(__xludf.DUMMYFUNCTION("""COMPUTED_VALUE"""),"Gandes")</f>
        <v>Gandes</v>
      </c>
      <c r="F428" s="13" t="str">
        <f>IFERROR(__xludf.DUMMYFUNCTION("""COMPUTED_VALUE"""),"TB Lukman Suheru/ Andi S")</f>
        <v>TB Lukman Suheru/ Andi S</v>
      </c>
      <c r="G428" s="13">
        <f t="shared" si="1"/>
        <v>402</v>
      </c>
      <c r="H428" s="13" t="str">
        <f>IFERROR(__xludf.DUMMYFUNCTION("""COMPUTED_VALUE"""),"P0")</f>
        <v>P0</v>
      </c>
    </row>
    <row r="429" ht="22.5" customHeight="1">
      <c r="B429" s="19" t="str">
        <f>IFERROR(__xludf.DUMMYFUNCTION("""COMPUTED_VALUE"""),"K/25/141024/3")</f>
        <v>K/25/141024/3</v>
      </c>
      <c r="C429" s="19" t="str">
        <f>IFERROR(__xludf.DUMMYFUNCTION("""COMPUTED_VALUE"""),"M. 133/ SUKARAME BARU")</f>
        <v>M. 133/ SUKARAME BARU</v>
      </c>
      <c r="D429" s="17">
        <f>IFERROR(__xludf.DUMMYFUNCTION("""COMPUTED_VALUE"""),45588.606235150466)</f>
        <v>45588.60624</v>
      </c>
      <c r="E429" s="13" t="str">
        <f>IFERROR(__xludf.DUMMYFUNCTION("""COMPUTED_VALUE"""),"BN JUAL BELI")</f>
        <v>BN JUAL BELI</v>
      </c>
      <c r="F429" s="13" t="str">
        <f>IFERROR(__xludf.DUMMYFUNCTION("""COMPUTED_VALUE"""),"MURSALIN/ JOKO")</f>
        <v>MURSALIN/ JOKO</v>
      </c>
      <c r="G429" s="13">
        <f t="shared" si="1"/>
        <v>402</v>
      </c>
      <c r="H429" s="13" t="str">
        <f>IFERROR(__xludf.DUMMYFUNCTION("""COMPUTED_VALUE"""),"P1")</f>
        <v>P1</v>
      </c>
    </row>
    <row r="430" ht="22.5" customHeight="1">
      <c r="B430" s="19" t="str">
        <f>IFERROR(__xludf.DUMMYFUNCTION("""COMPUTED_VALUE"""),"K/22/141024/1")</f>
        <v>K/22/141024/1</v>
      </c>
      <c r="C430" s="19" t="str">
        <f>IFERROR(__xludf.DUMMYFUNCTION("""COMPUTED_VALUE"""),"M. 6977/ Tanjung Senang")</f>
        <v>M. 6977/ Tanjung Senang</v>
      </c>
      <c r="D430" s="17">
        <f>IFERROR(__xludf.DUMMYFUNCTION("""COMPUTED_VALUE"""),45588.60830891204)</f>
        <v>45588.60831</v>
      </c>
      <c r="E430" s="13" t="str">
        <f>IFERROR(__xludf.DUMMYFUNCTION("""COMPUTED_VALUE"""),"BN JUAL BELI")</f>
        <v>BN JUAL BELI</v>
      </c>
      <c r="F430" s="13" t="str">
        <f>IFERROR(__xludf.DUMMYFUNCTION("""COMPUTED_VALUE"""),"MURSALIN/ ELISABETH")</f>
        <v>MURSALIN/ ELISABETH</v>
      </c>
      <c r="G430" s="13">
        <f t="shared" si="1"/>
        <v>402</v>
      </c>
      <c r="H430" s="13" t="str">
        <f>IFERROR(__xludf.DUMMYFUNCTION("""COMPUTED_VALUE"""),"P1")</f>
        <v>P1</v>
      </c>
    </row>
    <row r="431" ht="22.5" customHeight="1">
      <c r="B431" s="19" t="str">
        <f>IFERROR(__xludf.DUMMYFUNCTION("""COMPUTED_VALUE"""),"K/27/141024/4")</f>
        <v>K/27/141024/4</v>
      </c>
      <c r="C431" s="19" t="str">
        <f>IFERROR(__xludf.DUMMYFUNCTION("""COMPUTED_VALUE"""),"M. 13414/ Sukabumi")</f>
        <v>M. 13414/ Sukabumi</v>
      </c>
      <c r="D431" s="17">
        <f>IFERROR(__xludf.DUMMYFUNCTION("""COMPUTED_VALUE"""),45588.609945185184)</f>
        <v>45588.60995</v>
      </c>
      <c r="E431" s="13" t="str">
        <f>IFERROR(__xludf.DUMMYFUNCTION("""COMPUTED_VALUE"""),"BN JUAL BELI")</f>
        <v>BN JUAL BELI</v>
      </c>
      <c r="F431" s="13" t="str">
        <f>IFERROR(__xludf.DUMMYFUNCTION("""COMPUTED_VALUE"""),"MURSALIN/WENNEDY SAGALA")</f>
        <v>MURSALIN/WENNEDY SAGALA</v>
      </c>
      <c r="G431" s="13">
        <f t="shared" si="1"/>
        <v>402</v>
      </c>
      <c r="H431" s="13" t="str">
        <f>IFERROR(__xludf.DUMMYFUNCTION("""COMPUTED_VALUE"""),"P1")</f>
        <v>P1</v>
      </c>
    </row>
    <row r="432" ht="22.5" customHeight="1">
      <c r="B432" s="19" t="str">
        <f>IFERROR(__xludf.DUMMYFUNCTION("""COMPUTED_VALUE"""),"K/44/231024/1")</f>
        <v>K/44/231024/1</v>
      </c>
      <c r="C432" s="19" t="str">
        <f>IFERROR(__xludf.DUMMYFUNCTION("""COMPUTED_VALUE"""),"M. 11085/ Kedamaian; SHT 4351/2015")</f>
        <v>M. 11085/ Kedamaian; SHT 4351/2015</v>
      </c>
      <c r="D432" s="17">
        <f>IFERROR(__xludf.DUMMYFUNCTION("""COMPUTED_VALUE"""),45588.612230439816)</f>
        <v>45588.61223</v>
      </c>
      <c r="E432" s="13" t="str">
        <f>IFERROR(__xludf.DUMMYFUNCTION("""COMPUTED_VALUE"""),"Roya")</f>
        <v>Roya</v>
      </c>
      <c r="F432" s="13" t="str">
        <f>IFERROR(__xludf.DUMMYFUNCTION("""COMPUTED_VALUE"""),"Suwarno/ Susilawaty CS")</f>
        <v>Suwarno/ Susilawaty CS</v>
      </c>
      <c r="G432" s="13">
        <f t="shared" si="1"/>
        <v>403</v>
      </c>
      <c r="H432" s="13" t="str">
        <f>IFERROR(__xludf.DUMMYFUNCTION("""COMPUTED_VALUE"""),"P0")</f>
        <v>P0</v>
      </c>
    </row>
    <row r="433" ht="22.5" customHeight="1">
      <c r="B433" s="19" t="str">
        <f>IFERROR(__xludf.DUMMYFUNCTION("""COMPUTED_VALUE"""),"K/45/231024/1")</f>
        <v>K/45/231024/1</v>
      </c>
      <c r="C433" s="19" t="str">
        <f>IFERROR(__xludf.DUMMYFUNCTION("""COMPUTED_VALUE"""),"M.4728/TANJUNG SENENG")</f>
        <v>M.4728/TANJUNG SENENG</v>
      </c>
      <c r="D433" s="17">
        <f>IFERROR(__xludf.DUMMYFUNCTION("""COMPUTED_VALUE"""),45588.61628072917)</f>
        <v>45588.61628</v>
      </c>
      <c r="E433" s="13" t="str">
        <f>IFERROR(__xludf.DUMMYFUNCTION("""COMPUTED_VALUE"""),"GANDES")</f>
        <v>GANDES</v>
      </c>
      <c r="F433" s="13" t="str">
        <f>IFERROR(__xludf.DUMMYFUNCTION("""COMPUTED_VALUE"""),"KOESMIARSIH/NURYATI")</f>
        <v>KOESMIARSIH/NURYATI</v>
      </c>
      <c r="G433" s="13">
        <f t="shared" si="1"/>
        <v>404</v>
      </c>
      <c r="H433" s="13" t="str">
        <f>IFERROR(__xludf.DUMMYFUNCTION("""COMPUTED_VALUE"""),"P0")</f>
        <v>P0</v>
      </c>
    </row>
    <row r="434" ht="22.5" customHeight="1">
      <c r="B434" s="19" t="str">
        <f>IFERROR(__xludf.DUMMYFUNCTION("""COMPUTED_VALUE"""),"K/46/231024/2")</f>
        <v>K/46/231024/2</v>
      </c>
      <c r="C434" s="19" t="str">
        <f>IFERROR(__xludf.DUMMYFUNCTION("""COMPUTED_VALUE"""),"M.1395/WAY HALIM PERMAI")</f>
        <v>M.1395/WAY HALIM PERMAI</v>
      </c>
      <c r="D434" s="17">
        <f>IFERROR(__xludf.DUMMYFUNCTION("""COMPUTED_VALUE"""),45588.61688133102)</f>
        <v>45588.61688</v>
      </c>
      <c r="E434" s="13" t="str">
        <f>IFERROR(__xludf.DUMMYFUNCTION("""COMPUTED_VALUE"""),"GANDES")</f>
        <v>GANDES</v>
      </c>
      <c r="F434" s="13" t="str">
        <f>IFERROR(__xludf.DUMMYFUNCTION("""COMPUTED_VALUE"""),"DWI IRIANI/NURYATI")</f>
        <v>DWI IRIANI/NURYATI</v>
      </c>
      <c r="G434" s="13">
        <f t="shared" si="1"/>
        <v>405</v>
      </c>
      <c r="H434" s="13" t="str">
        <f>IFERROR(__xludf.DUMMYFUNCTION("""COMPUTED_VALUE"""),"P0")</f>
        <v>P0</v>
      </c>
    </row>
    <row r="435" ht="22.5" customHeight="1">
      <c r="B435" s="19" t="str">
        <f>IFERROR(__xludf.DUMMYFUNCTION("""COMPUTED_VALUE"""),"K/47/231024/1")</f>
        <v>K/47/231024/1</v>
      </c>
      <c r="C435" s="19" t="str">
        <f>IFERROR(__xludf.DUMMYFUNCTION("""COMPUTED_VALUE"""),"B. 2082/ Sukabumi")</f>
        <v>B. 2082/ Sukabumi</v>
      </c>
      <c r="D435" s="17">
        <f>IFERROR(__xludf.DUMMYFUNCTION("""COMPUTED_VALUE"""),45588.618485370374)</f>
        <v>45588.61849</v>
      </c>
      <c r="E435" s="13" t="str">
        <f>IFERROR(__xludf.DUMMYFUNCTION("""COMPUTED_VALUE"""),"BN Waris")</f>
        <v>BN Waris</v>
      </c>
      <c r="F435" s="13" t="str">
        <f>IFERROR(__xludf.DUMMYFUNCTION("""COMPUTED_VALUE"""),"Evi Udin/ Rini Zainuddin")</f>
        <v>Evi Udin/ Rini Zainuddin</v>
      </c>
      <c r="G435" s="13">
        <f t="shared" si="1"/>
        <v>406</v>
      </c>
      <c r="H435" s="13" t="str">
        <f>IFERROR(__xludf.DUMMYFUNCTION("""COMPUTED_VALUE"""),"P0")</f>
        <v>P0</v>
      </c>
    </row>
    <row r="436" ht="22.5" customHeight="1">
      <c r="B436" s="19" t="str">
        <f>IFERROR(__xludf.DUMMYFUNCTION("""COMPUTED_VALUE"""),"K/48/231024/2")</f>
        <v>K/48/231024/2</v>
      </c>
      <c r="C436" s="19" t="str">
        <f>IFERROR(__xludf.DUMMYFUNCTION("""COMPUTED_VALUE"""),"Nibel. M. 2130/ Panjang Selatan")</f>
        <v>Nibel. M. 2130/ Panjang Selatan</v>
      </c>
      <c r="D436" s="17">
        <f>IFERROR(__xludf.DUMMYFUNCTION("""COMPUTED_VALUE"""),45588.62350966435)</f>
        <v>45588.62351</v>
      </c>
      <c r="E436" s="13" t="str">
        <f>IFERROR(__xludf.DUMMYFUNCTION("""COMPUTED_VALUE"""),"BN Jual Beli")</f>
        <v>BN Jual Beli</v>
      </c>
      <c r="F436" s="13" t="str">
        <f>IFERROR(__xludf.DUMMYFUNCTION("""COMPUTED_VALUE"""),"Evi Udin/ Sumiati")</f>
        <v>Evi Udin/ Sumiati</v>
      </c>
      <c r="G436" s="13">
        <f t="shared" si="1"/>
        <v>407</v>
      </c>
      <c r="H436" s="13" t="str">
        <f>IFERROR(__xludf.DUMMYFUNCTION("""COMPUTED_VALUE"""),"P0")</f>
        <v>P0</v>
      </c>
    </row>
    <row r="437" ht="22.5" customHeight="1">
      <c r="B437" s="19" t="str">
        <f>IFERROR(__xludf.DUMMYFUNCTION("""COMPUTED_VALUE"""),"K/49/231024/1")</f>
        <v>K/49/231024/1</v>
      </c>
      <c r="C437" s="19" t="str">
        <f>IFERROR(__xludf.DUMMYFUNCTION("""COMPUTED_VALUE"""),"M. 2278/ Rajabasa Jaya")</f>
        <v>M. 2278/ Rajabasa Jaya</v>
      </c>
      <c r="D437" s="17">
        <f>IFERROR(__xludf.DUMMYFUNCTION("""COMPUTED_VALUE"""),45588.62482144676)</f>
        <v>45588.62482</v>
      </c>
      <c r="E437" s="13" t="str">
        <f>IFERROR(__xludf.DUMMYFUNCTION("""COMPUTED_VALUE"""),"BN JUAL BELI")</f>
        <v>BN JUAL BELI</v>
      </c>
      <c r="F437" s="13" t="str">
        <f>IFERROR(__xludf.DUMMYFUNCTION("""COMPUTED_VALUE"""),"NURHAYATI")</f>
        <v>NURHAYATI</v>
      </c>
      <c r="G437" s="13">
        <f t="shared" si="1"/>
        <v>408</v>
      </c>
      <c r="H437" s="13" t="str">
        <f>IFERROR(__xludf.DUMMYFUNCTION("""COMPUTED_VALUE"""),"P0")</f>
        <v>P0</v>
      </c>
    </row>
    <row r="438" ht="22.5" customHeight="1">
      <c r="B438" s="19" t="str">
        <f>IFERROR(__xludf.DUMMYFUNCTION("""COMPUTED_VALUE"""),"K/50/231024/1")</f>
        <v>K/50/231024/1</v>
      </c>
      <c r="C438" s="19" t="str">
        <f>IFERROR(__xludf.DUMMYFUNCTION("""COMPUTED_VALUE"""),"M.4449/SUKADANAHAM")</f>
        <v>M.4449/SUKADANAHAM</v>
      </c>
      <c r="D438" s="17">
        <f>IFERROR(__xludf.DUMMYFUNCTION("""COMPUTED_VALUE"""),45588.62825981481)</f>
        <v>45588.62826</v>
      </c>
      <c r="E438" s="13" t="str">
        <f>IFERROR(__xludf.DUMMYFUNCTION("""COMPUTED_VALUE"""),"BN JUAL BELI")</f>
        <v>BN JUAL BELI</v>
      </c>
      <c r="F438" s="13" t="str">
        <f>IFERROR(__xludf.DUMMYFUNCTION("""COMPUTED_VALUE"""),"ANDI WIDODO/NOVALIA EKA P")</f>
        <v>ANDI WIDODO/NOVALIA EKA P</v>
      </c>
      <c r="G438" s="13">
        <f t="shared" si="1"/>
        <v>409</v>
      </c>
      <c r="H438" s="13" t="str">
        <f>IFERROR(__xludf.DUMMYFUNCTION("""COMPUTED_VALUE"""),"P0")</f>
        <v>P0</v>
      </c>
    </row>
    <row r="439" ht="22.5" customHeight="1">
      <c r="B439" s="19" t="str">
        <f>IFERROR(__xludf.DUMMYFUNCTION("""COMPUTED_VALUE"""),"K/51/231024/1")</f>
        <v>K/51/231024/1</v>
      </c>
      <c r="C439" s="19" t="str">
        <f>IFERROR(__xludf.DUMMYFUNCTION("""COMPUTED_VALUE"""),"M.2040/SUSUNAN BARU")</f>
        <v>M.2040/SUSUNAN BARU</v>
      </c>
      <c r="D439" s="17">
        <f>IFERROR(__xludf.DUMMYFUNCTION("""COMPUTED_VALUE"""),45588.63220078703)</f>
        <v>45588.6322</v>
      </c>
      <c r="E439" s="13" t="str">
        <f>IFERROR(__xludf.DUMMYFUNCTION("""COMPUTED_VALUE"""),"PLOT")</f>
        <v>PLOT</v>
      </c>
      <c r="F439" s="13" t="str">
        <f>IFERROR(__xludf.DUMMYFUNCTION("""COMPUTED_VALUE"""),"SANTI MUHAMAD SALIM/MOH MEINAZIER Z")</f>
        <v>SANTI MUHAMAD SALIM/MOH MEINAZIER Z</v>
      </c>
      <c r="G439" s="13">
        <f t="shared" si="1"/>
        <v>410</v>
      </c>
      <c r="H439" s="13" t="str">
        <f>IFERROR(__xludf.DUMMYFUNCTION("""COMPUTED_VALUE"""),"P0")</f>
        <v>P0</v>
      </c>
    </row>
    <row r="440" ht="22.5" customHeight="1">
      <c r="B440" s="19" t="str">
        <f>IFERROR(__xludf.DUMMYFUNCTION("""COMPUTED_VALUE"""),"K/52/231024/2")</f>
        <v>K/52/231024/2</v>
      </c>
      <c r="C440" s="19" t="str">
        <f>IFERROR(__xludf.DUMMYFUNCTION("""COMPUTED_VALUE"""),"B.288/KELAPA TIGA ")</f>
        <v>B.288/KELAPA TIGA </v>
      </c>
      <c r="D440" s="17">
        <f>IFERROR(__xludf.DUMMYFUNCTION("""COMPUTED_VALUE"""),45588.63283986111)</f>
        <v>45588.63284</v>
      </c>
      <c r="E440" s="13" t="str">
        <f>IFERROR(__xludf.DUMMYFUNCTION("""COMPUTED_VALUE"""),"PLOT")</f>
        <v>PLOT</v>
      </c>
      <c r="F440" s="13" t="str">
        <f>IFERROR(__xludf.DUMMYFUNCTION("""COMPUTED_VALUE"""),"ANDRYAS CHANDRA/MOH MEINAZIER ZEIN")</f>
        <v>ANDRYAS CHANDRA/MOH MEINAZIER ZEIN</v>
      </c>
      <c r="G440" s="13">
        <f t="shared" si="1"/>
        <v>411</v>
      </c>
      <c r="H440" s="13" t="str">
        <f>IFERROR(__xludf.DUMMYFUNCTION("""COMPUTED_VALUE"""),"P0")</f>
        <v>P0</v>
      </c>
    </row>
    <row r="441" ht="22.5" customHeight="1">
      <c r="B441" s="19" t="str">
        <f>IFERROR(__xludf.DUMMYFUNCTION("""COMPUTED_VALUE"""),"K/1/241024/1")</f>
        <v>K/1/241024/1</v>
      </c>
      <c r="C441" s="19" t="str">
        <f>IFERROR(__xludf.DUMMYFUNCTION("""COMPUTED_VALUE"""),"M.2632/SUMBER AGUNG")</f>
        <v>M.2632/SUMBER AGUNG</v>
      </c>
      <c r="D441" s="17">
        <f>IFERROR(__xludf.DUMMYFUNCTION("""COMPUTED_VALUE"""),45589.376797372686)</f>
        <v>45589.3768</v>
      </c>
      <c r="E441" s="13" t="str">
        <f>IFERROR(__xludf.DUMMYFUNCTION("""COMPUTED_VALUE"""),"BN JUAL BELI")</f>
        <v>BN JUAL BELI</v>
      </c>
      <c r="F441" s="13" t="str">
        <f>IFERROR(__xludf.DUMMYFUNCTION("""COMPUTED_VALUE"""),"RIO VALUVI/IG YOGA ADI N")</f>
        <v>RIO VALUVI/IG YOGA ADI N</v>
      </c>
      <c r="G441" s="13">
        <f t="shared" si="1"/>
        <v>412</v>
      </c>
      <c r="H441" s="13" t="str">
        <f>IFERROR(__xludf.DUMMYFUNCTION("""COMPUTED_VALUE"""),"P0")</f>
        <v>P0</v>
      </c>
    </row>
    <row r="442" ht="22.5" customHeight="1">
      <c r="B442" s="19" t="str">
        <f>IFERROR(__xludf.DUMMYFUNCTION("""COMPUTED_VALUE"""),"K/2/241024/1")</f>
        <v>K/2/241024/1</v>
      </c>
      <c r="C442" s="19" t="str">
        <f>IFERROR(__xludf.DUMMYFUNCTION("""COMPUTED_VALUE"""),"M. 3219/ Way Kandis")</f>
        <v>M. 3219/ Way Kandis</v>
      </c>
      <c r="D442" s="17">
        <f>IFERROR(__xludf.DUMMYFUNCTION("""COMPUTED_VALUE"""),45589.37948550926)</f>
        <v>45589.37949</v>
      </c>
      <c r="E442" s="13" t="str">
        <f>IFERROR(__xludf.DUMMYFUNCTION("""COMPUTED_VALUE"""),"roya")</f>
        <v>roya</v>
      </c>
      <c r="F442" s="13" t="str">
        <f>IFERROR(__xludf.DUMMYFUNCTION("""COMPUTED_VALUE"""),"Vitta N/ Sukardi")</f>
        <v>Vitta N/ Sukardi</v>
      </c>
      <c r="G442" s="13">
        <f t="shared" si="1"/>
        <v>413</v>
      </c>
      <c r="H442" s="13" t="str">
        <f>IFERROR(__xludf.DUMMYFUNCTION("""COMPUTED_VALUE"""),"P0")</f>
        <v>P0</v>
      </c>
    </row>
    <row r="443" ht="22.5" customHeight="1">
      <c r="B443" s="19" t="str">
        <f>IFERROR(__xludf.DUMMYFUNCTION("""COMPUTED_VALUE"""),"K/3/241024/2")</f>
        <v>K/3/241024/2</v>
      </c>
      <c r="C443" s="19" t="str">
        <f>IFERROR(__xludf.DUMMYFUNCTION("""COMPUTED_VALUE"""),"M. 379/ Kali Balau Kencana")</f>
        <v>M. 379/ Kali Balau Kencana</v>
      </c>
      <c r="D443" s="17">
        <f>IFERROR(__xludf.DUMMYFUNCTION("""COMPUTED_VALUE"""),45589.387782708334)</f>
        <v>45589.38778</v>
      </c>
      <c r="E443" s="13" t="str">
        <f>IFERROR(__xludf.DUMMYFUNCTION("""COMPUTED_VALUE"""),"BN Jual Beli")</f>
        <v>BN Jual Beli</v>
      </c>
      <c r="F443" s="13" t="str">
        <f>IFERROR(__xludf.DUMMYFUNCTION("""COMPUTED_VALUE"""),"vitta N/ Pepang qq Daniella")</f>
        <v>vitta N/ Pepang qq Daniella</v>
      </c>
      <c r="G443" s="13">
        <f t="shared" si="1"/>
        <v>414</v>
      </c>
      <c r="H443" s="13" t="str">
        <f>IFERROR(__xludf.DUMMYFUNCTION("""COMPUTED_VALUE"""),"P0")</f>
        <v>P0</v>
      </c>
    </row>
    <row r="444" ht="22.5" customHeight="1">
      <c r="B444" s="19" t="str">
        <f>IFERROR(__xludf.DUMMYFUNCTION("""COMPUTED_VALUE"""),"K/4/241024/1")</f>
        <v>K/4/241024/1</v>
      </c>
      <c r="C444" s="19" t="str">
        <f>IFERROR(__xludf.DUMMYFUNCTION("""COMPUTED_VALUE"""),"M. 2271/ Rajabasa Jaya")</f>
        <v>M. 2271/ Rajabasa Jaya</v>
      </c>
      <c r="D444" s="17">
        <f>IFERROR(__xludf.DUMMYFUNCTION("""COMPUTED_VALUE"""),45589.38948428241)</f>
        <v>45589.38948</v>
      </c>
      <c r="E444" s="13" t="str">
        <f>IFERROR(__xludf.DUMMYFUNCTION("""COMPUTED_VALUE"""),"BN Jual Beli")</f>
        <v>BN Jual Beli</v>
      </c>
      <c r="F444" s="13" t="str">
        <f>IFERROR(__xludf.DUMMYFUNCTION("""COMPUTED_VALUE"""),"Dedi Setiawan/ Riski Jaya P")</f>
        <v>Dedi Setiawan/ Riski Jaya P</v>
      </c>
      <c r="G444" s="13">
        <f t="shared" si="1"/>
        <v>415</v>
      </c>
      <c r="H444" s="13" t="str">
        <f>IFERROR(__xludf.DUMMYFUNCTION("""COMPUTED_VALUE"""),"P0")</f>
        <v>P0</v>
      </c>
    </row>
    <row r="445" ht="22.5" customHeight="1">
      <c r="B445" s="19" t="str">
        <f>IFERROR(__xludf.DUMMYFUNCTION("""COMPUTED_VALUE"""),"K/5/241024/2")</f>
        <v>K/5/241024/2</v>
      </c>
      <c r="C445" s="19" t="str">
        <f>IFERROR(__xludf.DUMMYFUNCTION("""COMPUTED_VALUE"""),"M. 2955/ Sukarame Baru; M. 16806/ Sukarame-dahulu; B. 2357/ Sukarame-dahulu; ")</f>
        <v>M. 2955/ Sukarame Baru; M. 16806/ Sukarame-dahulu; B. 2357/ Sukarame-dahulu; </v>
      </c>
      <c r="D445" s="17">
        <f>IFERROR(__xludf.DUMMYFUNCTION("""COMPUTED_VALUE"""),45589.39086505787)</f>
        <v>45589.39087</v>
      </c>
      <c r="E445" s="13" t="str">
        <f>IFERROR(__xludf.DUMMYFUNCTION("""COMPUTED_VALUE"""),"BN Waris")</f>
        <v>BN Waris</v>
      </c>
      <c r="F445" s="13" t="str">
        <f>IFERROR(__xludf.DUMMYFUNCTION("""COMPUTED_VALUE"""),"Adnan/ Yanti S H")</f>
        <v>Adnan/ Yanti S H</v>
      </c>
      <c r="G445" s="13">
        <f t="shared" si="1"/>
        <v>416</v>
      </c>
      <c r="H445" s="13" t="str">
        <f>IFERROR(__xludf.DUMMYFUNCTION("""COMPUTED_VALUE"""),"P0")</f>
        <v>P0</v>
      </c>
    </row>
    <row r="446" ht="22.5" customHeight="1">
      <c r="B446" s="19" t="str">
        <f>IFERROR(__xludf.DUMMYFUNCTION("""COMPUTED_VALUE"""),"K/6/241024/3")</f>
        <v>K/6/241024/3</v>
      </c>
      <c r="C446" s="19" t="str">
        <f>IFERROR(__xludf.DUMMYFUNCTION("""COMPUTED_VALUE"""),"M. 1498/ Kali Balau Kencana-sekarang; M. 11808/ Tanjung Baru-dahulu")</f>
        <v>M. 1498/ Kali Balau Kencana-sekarang; M. 11808/ Tanjung Baru-dahulu</v>
      </c>
      <c r="D446" s="17">
        <f>IFERROR(__xludf.DUMMYFUNCTION("""COMPUTED_VALUE"""),45589.39131489584)</f>
        <v>45589.39131</v>
      </c>
      <c r="E446" s="13" t="str">
        <f>IFERROR(__xludf.DUMMYFUNCTION("""COMPUTED_VALUE"""),"BN Jual Beli")</f>
        <v>BN Jual Beli</v>
      </c>
      <c r="F446" s="13" t="str">
        <f>IFERROR(__xludf.DUMMYFUNCTION("""COMPUTED_VALUE"""),"Vitta N/ pepang qq daniella")</f>
        <v>Vitta N/ pepang qq daniella</v>
      </c>
      <c r="G446" s="13">
        <f t="shared" si="1"/>
        <v>417</v>
      </c>
      <c r="H446" s="13" t="str">
        <f>IFERROR(__xludf.DUMMYFUNCTION("""COMPUTED_VALUE"""),"P0")</f>
        <v>P0</v>
      </c>
    </row>
    <row r="447" ht="22.5" customHeight="1">
      <c r="B447" s="19" t="str">
        <f>IFERROR(__xludf.DUMMYFUNCTION("""COMPUTED_VALUE"""),"K/7/241024/1")</f>
        <v>K/7/241024/1</v>
      </c>
      <c r="C447" s="19" t="str">
        <f>IFERROR(__xludf.DUMMYFUNCTION("""COMPUTED_VALUE"""),"M.1116/LABUHAN RATU RAYA")</f>
        <v>M.1116/LABUHAN RATU RAYA</v>
      </c>
      <c r="D447" s="17">
        <f>IFERROR(__xludf.DUMMYFUNCTION("""COMPUTED_VALUE"""),45589.39145285879)</f>
        <v>45589.39145</v>
      </c>
      <c r="E447" s="13" t="str">
        <f>IFERROR(__xludf.DUMMYFUNCTION("""COMPUTED_VALUE"""),"ROYA")</f>
        <v>ROYA</v>
      </c>
      <c r="F447" s="13" t="str">
        <f>IFERROR(__xludf.DUMMYFUNCTION("""COMPUTED_VALUE"""),"FRANYCO HENDRI F.S/MONICA ")</f>
        <v>FRANYCO HENDRI F.S/MONICA </v>
      </c>
      <c r="G447" s="13">
        <f t="shared" si="1"/>
        <v>418</v>
      </c>
      <c r="H447" s="13" t="str">
        <f>IFERROR(__xludf.DUMMYFUNCTION("""COMPUTED_VALUE"""),"P0")</f>
        <v>P0</v>
      </c>
    </row>
    <row r="448" ht="22.5" customHeight="1">
      <c r="B448" s="19" t="str">
        <f>IFERROR(__xludf.DUMMYFUNCTION("""COMPUTED_VALUE"""),"K/8/241024/4")</f>
        <v>K/8/241024/4</v>
      </c>
      <c r="C448" s="19" t="str">
        <f>IFERROR(__xludf.DUMMYFUNCTION("""COMPUTED_VALUE"""),"M. 369/ Kali Balau Kencana")</f>
        <v>M. 369/ Kali Balau Kencana</v>
      </c>
      <c r="D448" s="17">
        <f>IFERROR(__xludf.DUMMYFUNCTION("""COMPUTED_VALUE"""),45589.394623182874)</f>
        <v>45589.39462</v>
      </c>
      <c r="E448" s="13" t="str">
        <f>IFERROR(__xludf.DUMMYFUNCTION("""COMPUTED_VALUE"""),"BN Jual Beli")</f>
        <v>BN Jual Beli</v>
      </c>
      <c r="F448" s="13" t="str">
        <f>IFERROR(__xludf.DUMMYFUNCTION("""COMPUTED_VALUE"""),"Vitta N / Pepang qq daniella")</f>
        <v>Vitta N / Pepang qq daniella</v>
      </c>
      <c r="G448" s="13">
        <f t="shared" si="1"/>
        <v>419</v>
      </c>
      <c r="H448" s="13" t="str">
        <f>IFERROR(__xludf.DUMMYFUNCTION("""COMPUTED_VALUE"""),"P0")</f>
        <v>P0</v>
      </c>
    </row>
    <row r="449" ht="22.5" customHeight="1">
      <c r="B449" s="19" t="str">
        <f>IFERROR(__xludf.DUMMYFUNCTION("""COMPUTED_VALUE"""),"K/9/241024/1")</f>
        <v>K/9/241024/1</v>
      </c>
      <c r="C449" s="19" t="str">
        <f>IFERROR(__xludf.DUMMYFUNCTION("""COMPUTED_VALUE"""),"M. 9800/ Kedamaian; SHT 2878/2017 dan SHT 1059/20211")</f>
        <v>M. 9800/ Kedamaian; SHT 2878/2017 dan SHT 1059/20211</v>
      </c>
      <c r="D449" s="17">
        <f>IFERROR(__xludf.DUMMYFUNCTION("""COMPUTED_VALUE"""),45589.39704913195)</f>
        <v>45589.39705</v>
      </c>
      <c r="E449" s="13" t="str">
        <f>IFERROR(__xludf.DUMMYFUNCTION("""COMPUTED_VALUE"""),"Roya")</f>
        <v>Roya</v>
      </c>
      <c r="F449" s="13" t="str">
        <f>IFERROR(__xludf.DUMMYFUNCTION("""COMPUTED_VALUE"""),"Luciana/ Kessica L Cs")</f>
        <v>Luciana/ Kessica L Cs</v>
      </c>
      <c r="G449" s="13">
        <f t="shared" si="1"/>
        <v>420</v>
      </c>
      <c r="H449" s="13" t="str">
        <f>IFERROR(__xludf.DUMMYFUNCTION("""COMPUTED_VALUE"""),"P0")</f>
        <v>P0</v>
      </c>
    </row>
    <row r="450" ht="22.5" customHeight="1">
      <c r="B450" s="19" t="str">
        <f>IFERROR(__xludf.DUMMYFUNCTION("""COMPUTED_VALUE"""),"K/10/241024/1")</f>
        <v>K/10/241024/1</v>
      </c>
      <c r="C450" s="19" t="str">
        <f>IFERROR(__xludf.DUMMYFUNCTION("""COMPUTED_VALUE"""),"NIBEL M. 2525/WAY HALIM PERMAI")</f>
        <v>NIBEL M. 2525/WAY HALIM PERMAI</v>
      </c>
      <c r="D450" s="17">
        <f>IFERROR(__xludf.DUMMYFUNCTION("""COMPUTED_VALUE"""),45589.40898528935)</f>
        <v>45589.40899</v>
      </c>
      <c r="E450" s="13" t="str">
        <f>IFERROR(__xludf.DUMMYFUNCTION("""COMPUTED_VALUE"""),"BN JUAL BELI")</f>
        <v>BN JUAL BELI</v>
      </c>
      <c r="F450" s="13" t="str">
        <f>IFERROR(__xludf.DUMMYFUNCTION("""COMPUTED_VALUE"""),"NOVALIA ISABELA/PANARY SITOPU")</f>
        <v>NOVALIA ISABELA/PANARY SITOPU</v>
      </c>
      <c r="G450" s="13">
        <f t="shared" si="1"/>
        <v>421</v>
      </c>
      <c r="H450" s="13" t="str">
        <f>IFERROR(__xludf.DUMMYFUNCTION("""COMPUTED_VALUE"""),"P0")</f>
        <v>P0</v>
      </c>
    </row>
    <row r="451" ht="22.5" customHeight="1">
      <c r="B451" s="19" t="str">
        <f>IFERROR(__xludf.DUMMYFUNCTION("""COMPUTED_VALUE"""),"K/12/241024/1")</f>
        <v>K/12/241024/1</v>
      </c>
      <c r="C451" s="19" t="str">
        <f>IFERROR(__xludf.DUMMYFUNCTION("""COMPUTED_VALUE"""),"M. 1651/ Sukarame II")</f>
        <v>M. 1651/ Sukarame II</v>
      </c>
      <c r="D451" s="17">
        <f>IFERROR(__xludf.DUMMYFUNCTION("""COMPUTED_VALUE"""),45589.415776064816)</f>
        <v>45589.41578</v>
      </c>
      <c r="E451" s="13" t="str">
        <f>IFERROR(__xludf.DUMMYFUNCTION("""COMPUTED_VALUE"""),"BN Jual Beli")</f>
        <v>BN Jual Beli</v>
      </c>
      <c r="F451" s="13" t="str">
        <f>IFERROR(__xludf.DUMMYFUNCTION("""COMPUTED_VALUE"""),"Herlina Ratna SN/ Siti Ayu KS")</f>
        <v>Herlina Ratna SN/ Siti Ayu KS</v>
      </c>
      <c r="G451" s="13">
        <f t="shared" si="1"/>
        <v>422</v>
      </c>
      <c r="H451" s="13" t="str">
        <f>IFERROR(__xludf.DUMMYFUNCTION("""COMPUTED_VALUE"""),"P0")</f>
        <v>P0</v>
      </c>
    </row>
    <row r="452" ht="22.5" customHeight="1">
      <c r="B452" s="19" t="str">
        <f>IFERROR(__xludf.DUMMYFUNCTION("""COMPUTED_VALUE"""),"K/11/241024/1")</f>
        <v>K/11/241024/1</v>
      </c>
      <c r="C452" s="19" t="str">
        <f>IFERROR(__xludf.DUMMYFUNCTION("""COMPUTED_VALUE"""),"M. 2231/ Durian Payung")</f>
        <v>M. 2231/ Durian Payung</v>
      </c>
      <c r="D452" s="17">
        <f>IFERROR(__xludf.DUMMYFUNCTION("""COMPUTED_VALUE"""),45589.41736193287)</f>
        <v>45589.41736</v>
      </c>
      <c r="E452" s="13" t="str">
        <f>IFERROR(__xludf.DUMMYFUNCTION("""COMPUTED_VALUE"""),"BN Waris")</f>
        <v>BN Waris</v>
      </c>
      <c r="F452" s="13" t="str">
        <f>IFERROR(__xludf.DUMMYFUNCTION("""COMPUTED_VALUE"""),"A Roswantama/ Sulaiman cs")</f>
        <v>A Roswantama/ Sulaiman cs</v>
      </c>
      <c r="G452" s="13">
        <f t="shared" si="1"/>
        <v>423</v>
      </c>
      <c r="H452" s="13" t="str">
        <f>IFERROR(__xludf.DUMMYFUNCTION("""COMPUTED_VALUE"""),"P0")</f>
        <v>P0</v>
      </c>
    </row>
    <row r="453" ht="22.5" customHeight="1">
      <c r="B453" s="19" t="str">
        <f>IFERROR(__xludf.DUMMYFUNCTION("""COMPUTED_VALUE"""),"K/13/241024/2")</f>
        <v>K/13/241024/2</v>
      </c>
      <c r="C453" s="19" t="str">
        <f>IFERROR(__xludf.DUMMYFUNCTION("""COMPUTED_VALUE"""),"M. 1832/ Sumberrejo sejahtera-sekarang; M.1090/ Sumberrejo Dahulu")</f>
        <v>M. 1832/ Sumberrejo sejahtera-sekarang; M.1090/ Sumberrejo Dahulu</v>
      </c>
      <c r="D453" s="17">
        <f>IFERROR(__xludf.DUMMYFUNCTION("""COMPUTED_VALUE"""),45589.42179195602)</f>
        <v>45589.42179</v>
      </c>
      <c r="E453" s="13" t="str">
        <f>IFERROR(__xludf.DUMMYFUNCTION("""COMPUTED_VALUE"""),"BN Jual Beli")</f>
        <v>BN Jual Beli</v>
      </c>
      <c r="F453" s="13" t="str">
        <f>IFERROR(__xludf.DUMMYFUNCTION("""COMPUTED_VALUE"""),"A Roswantama/ Abdil Hafizh")</f>
        <v>A Roswantama/ Abdil Hafizh</v>
      </c>
      <c r="G453" s="13">
        <f t="shared" si="1"/>
        <v>424</v>
      </c>
      <c r="H453" s="13" t="str">
        <f>IFERROR(__xludf.DUMMYFUNCTION("""COMPUTED_VALUE"""),"P0")</f>
        <v>P0</v>
      </c>
    </row>
    <row r="454" ht="22.5" customHeight="1">
      <c r="B454" s="19" t="str">
        <f>IFERROR(__xludf.DUMMYFUNCTION("""COMPUTED_VALUE"""),"L/14/241024/1")</f>
        <v>L/14/241024/1</v>
      </c>
      <c r="C454" s="19" t="str">
        <f>IFERROR(__xludf.DUMMYFUNCTION("""COMPUTED_VALUE"""),"M.16877/SUKARAME I")</f>
        <v>M.16877/SUKARAME I</v>
      </c>
      <c r="D454" s="17">
        <f>IFERROR(__xludf.DUMMYFUNCTION("""COMPUTED_VALUE"""),45589.42290450231)</f>
        <v>45589.4229</v>
      </c>
      <c r="E454" s="13" t="str">
        <f>IFERROR(__xludf.DUMMYFUNCTION("""COMPUTED_VALUE"""),"ROYA")</f>
        <v>ROYA</v>
      </c>
      <c r="F454" s="13" t="str">
        <f>IFERROR(__xludf.DUMMYFUNCTION("""COMPUTED_VALUE"""),"PRATIKNO")</f>
        <v>PRATIKNO</v>
      </c>
      <c r="G454" s="13">
        <f t="shared" si="1"/>
        <v>425</v>
      </c>
      <c r="H454" s="13" t="str">
        <f>IFERROR(__xludf.DUMMYFUNCTION("""COMPUTED_VALUE"""),"P0")</f>
        <v>P0</v>
      </c>
    </row>
    <row r="455" ht="22.5" customHeight="1">
      <c r="B455" s="19" t="str">
        <f>IFERROR(__xludf.DUMMYFUNCTION("""COMPUTED_VALUE"""),"L/15/241024/1")</f>
        <v>L/15/241024/1</v>
      </c>
      <c r="C455" s="19" t="str">
        <f>IFERROR(__xludf.DUMMYFUNCTION("""COMPUTED_VALUE"""),"HM 5933/WAY KANDIS")</f>
        <v>HM 5933/WAY KANDIS</v>
      </c>
      <c r="D455" s="17">
        <f>IFERROR(__xludf.DUMMYFUNCTION("""COMPUTED_VALUE"""),45589.43548476852)</f>
        <v>45589.43548</v>
      </c>
      <c r="E455" s="13" t="str">
        <f>IFERROR(__xludf.DUMMYFUNCTION("""COMPUTED_VALUE"""),"PTPGT")</f>
        <v>PTPGT</v>
      </c>
      <c r="F455" s="13" t="str">
        <f>IFERROR(__xludf.DUMMYFUNCTION("""COMPUTED_VALUE"""),"MARGARETA YULIANTI")</f>
        <v>MARGARETA YULIANTI</v>
      </c>
      <c r="G455" s="13">
        <f t="shared" si="1"/>
        <v>426</v>
      </c>
      <c r="H455" s="13" t="str">
        <f>IFERROR(__xludf.DUMMYFUNCTION("""COMPUTED_VALUE"""),"P0")</f>
        <v>P0</v>
      </c>
    </row>
    <row r="456" ht="22.5" customHeight="1">
      <c r="B456" s="19" t="str">
        <f>IFERROR(__xludf.DUMMYFUNCTION("""COMPUTED_VALUE"""),"K/8/171024/1")</f>
        <v>K/8/171024/1</v>
      </c>
      <c r="C456" s="19" t="str">
        <f>IFERROR(__xludf.DUMMYFUNCTION("""COMPUTED_VALUE"""),"M.779/NEGERI OLOK GADING-SEKARANG;B.579/NEGERI OLOK GADING-DAHULU")</f>
        <v>M.779/NEGERI OLOK GADING-SEKARANG;B.579/NEGERI OLOK GADING-DAHULU</v>
      </c>
      <c r="D456" s="17">
        <f>IFERROR(__xludf.DUMMYFUNCTION("""COMPUTED_VALUE"""),45589.44053046296)</f>
        <v>45589.44053</v>
      </c>
      <c r="E456" s="13" t="str">
        <f>IFERROR(__xludf.DUMMYFUNCTION("""COMPUTED_VALUE"""),"PERALIHAN JUAL BELI")</f>
        <v>PERALIHAN JUAL BELI</v>
      </c>
      <c r="F456" s="13" t="str">
        <f>IFERROR(__xludf.DUMMYFUNCTION("""COMPUTED_VALUE"""),"ELVILLIANA FRANSISCA/AFRIZAL")</f>
        <v>ELVILLIANA FRANSISCA/AFRIZAL</v>
      </c>
      <c r="G456" s="13">
        <f t="shared" si="1"/>
        <v>426</v>
      </c>
      <c r="H456" s="13" t="str">
        <f>IFERROR(__xludf.DUMMYFUNCTION("""COMPUTED_VALUE"""),"P1")</f>
        <v>P1</v>
      </c>
    </row>
    <row r="457" ht="22.5" customHeight="1">
      <c r="B457" s="19" t="str">
        <f>IFERROR(__xludf.DUMMYFUNCTION("""COMPUTED_VALUE"""),"K/36/141024/1")</f>
        <v>K/36/141024/1</v>
      </c>
      <c r="C457" s="19" t="str">
        <f>IFERROR(__xludf.DUMMYFUNCTION("""COMPUTED_VALUE"""),"M.250/LANGKAPURA BARU")</f>
        <v>M.250/LANGKAPURA BARU</v>
      </c>
      <c r="D457" s="17">
        <f>IFERROR(__xludf.DUMMYFUNCTION("""COMPUTED_VALUE"""),45589.44279206019)</f>
        <v>45589.44279</v>
      </c>
      <c r="E457" s="13" t="str">
        <f>IFERROR(__xludf.DUMMYFUNCTION("""COMPUTED_VALUE"""),"PERALIHAN JUAL BELI ")</f>
        <v>PERALIHAN JUAL BELI </v>
      </c>
      <c r="F457" s="13" t="str">
        <f>IFERROR(__xludf.DUMMYFUNCTION("""COMPUTED_VALUE"""),"YUDA SAPUTRA/I MADE RETUG")</f>
        <v>YUDA SAPUTRA/I MADE RETUG</v>
      </c>
      <c r="G457" s="13">
        <f t="shared" si="1"/>
        <v>426</v>
      </c>
      <c r="H457" s="13" t="str">
        <f>IFERROR(__xludf.DUMMYFUNCTION("""COMPUTED_VALUE"""),"P1")</f>
        <v>P1</v>
      </c>
    </row>
    <row r="458" ht="22.5" customHeight="1">
      <c r="B458" s="19" t="str">
        <f>IFERROR(__xludf.DUMMYFUNCTION("""COMPUTED_VALUE"""),"K/16/241024/1")</f>
        <v>K/16/241024/1</v>
      </c>
      <c r="C458" s="19" t="str">
        <f>IFERROR(__xludf.DUMMYFUNCTION("""COMPUTED_VALUE"""),"Nibel 1410/ Kemiling Permai")</f>
        <v>Nibel 1410/ Kemiling Permai</v>
      </c>
      <c r="D458" s="17">
        <f>IFERROR(__xludf.DUMMYFUNCTION("""COMPUTED_VALUE"""),45589.44924155093)</f>
        <v>45589.44924</v>
      </c>
      <c r="E458" s="13" t="str">
        <f>IFERROR(__xludf.DUMMYFUNCTION("""COMPUTED_VALUE"""),"BN Jual beli")</f>
        <v>BN Jual beli</v>
      </c>
      <c r="F458" s="13" t="str">
        <f>IFERROR(__xludf.DUMMYFUNCTION("""COMPUTED_VALUE"""),"Bambang ABiyono/ izhar Qamara")</f>
        <v>Bambang ABiyono/ izhar Qamara</v>
      </c>
      <c r="G458" s="13">
        <f t="shared" si="1"/>
        <v>427</v>
      </c>
      <c r="H458" s="13" t="str">
        <f>IFERROR(__xludf.DUMMYFUNCTION("""COMPUTED_VALUE"""),"P0")</f>
        <v>P0</v>
      </c>
    </row>
    <row r="459" ht="22.5" customHeight="1">
      <c r="B459" s="19" t="str">
        <f>IFERROR(__xludf.DUMMYFUNCTION("""COMPUTED_VALUE"""),"K/17/241024/1")</f>
        <v>K/17/241024/1</v>
      </c>
      <c r="C459" s="19" t="str">
        <f>IFERROR(__xludf.DUMMYFUNCTION("""COMPUTED_VALUE"""),"M. 2476/ Sukadana Ham")</f>
        <v>M. 2476/ Sukadana Ham</v>
      </c>
      <c r="D459" s="17">
        <f>IFERROR(__xludf.DUMMYFUNCTION("""COMPUTED_VALUE"""),45589.4546916088)</f>
        <v>45589.45469</v>
      </c>
      <c r="E459" s="13" t="str">
        <f>IFERROR(__xludf.DUMMYFUNCTION("""COMPUTED_VALUE"""),"Pengecekan")</f>
        <v>Pengecekan</v>
      </c>
      <c r="F459" s="13" t="str">
        <f>IFERROR(__xludf.DUMMYFUNCTION("""COMPUTED_VALUE"""),"Rizal E/ Mars Dwi T")</f>
        <v>Rizal E/ Mars Dwi T</v>
      </c>
      <c r="G459" s="13">
        <f t="shared" si="1"/>
        <v>428</v>
      </c>
      <c r="H459" s="13" t="str">
        <f>IFERROR(__xludf.DUMMYFUNCTION("""COMPUTED_VALUE"""),"P0")</f>
        <v>P0</v>
      </c>
    </row>
    <row r="460" ht="22.5" customHeight="1">
      <c r="B460" s="19" t="str">
        <f>IFERROR(__xludf.DUMMYFUNCTION("""COMPUTED_VALUE"""),"L/20/241024/1")</f>
        <v>L/20/241024/1</v>
      </c>
      <c r="C460" s="19" t="str">
        <f>IFERROR(__xludf.DUMMYFUNCTION("""COMPUTED_VALUE"""),"NIB 16050/CAMPANG RAYA")</f>
        <v>NIB 16050/CAMPANG RAYA</v>
      </c>
      <c r="D460" s="17">
        <f>IFERROR(__xludf.DUMMYFUNCTION("""COMPUTED_VALUE"""),45589.45942771991)</f>
        <v>45589.45943</v>
      </c>
      <c r="E460" s="13" t="str">
        <f>IFERROR(__xludf.DUMMYFUNCTION("""COMPUTED_VALUE"""),"GANDES")</f>
        <v>GANDES</v>
      </c>
      <c r="F460" s="13" t="str">
        <f>IFERROR(__xludf.DUMMYFUNCTION("""COMPUTED_VALUE"""),"SUTADI")</f>
        <v>SUTADI</v>
      </c>
      <c r="G460" s="13">
        <f t="shared" si="1"/>
        <v>429</v>
      </c>
      <c r="H460" s="13" t="str">
        <f>IFERROR(__xludf.DUMMYFUNCTION("""COMPUTED_VALUE"""),"P0")</f>
        <v>P0</v>
      </c>
    </row>
    <row r="461" ht="22.5" customHeight="1">
      <c r="B461" s="19" t="str">
        <f>IFERROR(__xludf.DUMMYFUNCTION("""COMPUTED_VALUE"""),"L/18/241024/1")</f>
        <v>L/18/241024/1</v>
      </c>
      <c r="C461" s="19" t="str">
        <f>IFERROR(__xludf.DUMMYFUNCTION("""COMPUTED_VALUE"""),"M.1248/SUKARAME BARU")</f>
        <v>M.1248/SUKARAME BARU</v>
      </c>
      <c r="D461" s="17">
        <f>IFERROR(__xludf.DUMMYFUNCTION("""COMPUTED_VALUE"""),45589.459759363424)</f>
        <v>45589.45976</v>
      </c>
      <c r="E461" s="13" t="str">
        <f>IFERROR(__xludf.DUMMYFUNCTION("""COMPUTED_VALUE"""),"SITA")</f>
        <v>SITA</v>
      </c>
      <c r="F461" s="13" t="str">
        <f>IFERROR(__xludf.DUMMYFUNCTION("""COMPUTED_VALUE"""),"MUHAMAD WAHYU HARSENO")</f>
        <v>MUHAMAD WAHYU HARSENO</v>
      </c>
      <c r="G461" s="13">
        <f t="shared" si="1"/>
        <v>430</v>
      </c>
      <c r="H461" s="13" t="str">
        <f>IFERROR(__xludf.DUMMYFUNCTION("""COMPUTED_VALUE"""),"P0")</f>
        <v>P0</v>
      </c>
    </row>
    <row r="462" ht="22.5" customHeight="1">
      <c r="B462" s="19" t="str">
        <f>IFERROR(__xludf.DUMMYFUNCTION("""COMPUTED_VALUE"""),"L/19/241024/2")</f>
        <v>L/19/241024/2</v>
      </c>
      <c r="C462" s="19" t="str">
        <f>IFERROR(__xludf.DUMMYFUNCTION("""COMPUTED_VALUE"""),"M.1249/SUKARAME BARU")</f>
        <v>M.1249/SUKARAME BARU</v>
      </c>
      <c r="D462" s="17">
        <f>IFERROR(__xludf.DUMMYFUNCTION("""COMPUTED_VALUE"""),45589.460310636576)</f>
        <v>45589.46031</v>
      </c>
      <c r="E462" s="13" t="str">
        <f>IFERROR(__xludf.DUMMYFUNCTION("""COMPUTED_VALUE"""),"SITA")</f>
        <v>SITA</v>
      </c>
      <c r="F462" s="13" t="str">
        <f>IFERROR(__xludf.DUMMYFUNCTION("""COMPUTED_VALUE"""),"MUHAMAD WAHYU HARSENO")</f>
        <v>MUHAMAD WAHYU HARSENO</v>
      </c>
      <c r="G462" s="13">
        <f t="shared" si="1"/>
        <v>431</v>
      </c>
      <c r="H462" s="13" t="str">
        <f>IFERROR(__xludf.DUMMYFUNCTION("""COMPUTED_VALUE"""),"P0")</f>
        <v>P0</v>
      </c>
    </row>
    <row r="463" ht="22.5" customHeight="1">
      <c r="B463" s="19" t="str">
        <f>IFERROR(__xludf.DUMMYFUNCTION("""COMPUTED_VALUE"""),"K/21/241024/1")</f>
        <v>K/21/241024/1</v>
      </c>
      <c r="C463" s="19" t="str">
        <f>IFERROR(__xludf.DUMMYFUNCTION("""COMPUTED_VALUE"""),"M. 217/ Bilabong Jaya-sekarang; M.880/ susunan Baru-dahulu")</f>
        <v>M. 217/ Bilabong Jaya-sekarang; M.880/ susunan Baru-dahulu</v>
      </c>
      <c r="D463" s="17">
        <f>IFERROR(__xludf.DUMMYFUNCTION("""COMPUTED_VALUE"""),45589.474373206016)</f>
        <v>45589.47437</v>
      </c>
      <c r="E463" s="13" t="str">
        <f>IFERROR(__xludf.DUMMYFUNCTION("""COMPUTED_VALUE"""),"BN Jual Beli")</f>
        <v>BN Jual Beli</v>
      </c>
      <c r="F463" s="13" t="str">
        <f>IFERROR(__xludf.DUMMYFUNCTION("""COMPUTED_VALUE"""),"Rahmadiyanti/ Ganda")</f>
        <v>Rahmadiyanti/ Ganda</v>
      </c>
      <c r="G463" s="13">
        <f t="shared" si="1"/>
        <v>432</v>
      </c>
      <c r="H463" s="13" t="str">
        <f>IFERROR(__xludf.DUMMYFUNCTION("""COMPUTED_VALUE"""),"P0")</f>
        <v>P0</v>
      </c>
    </row>
    <row r="464" ht="22.5" customHeight="1">
      <c r="B464" s="19" t="str">
        <f>IFERROR(__xludf.DUMMYFUNCTION("""COMPUTED_VALUE"""),"L/22/241024/1")</f>
        <v>L/22/241024/1</v>
      </c>
      <c r="C464" s="19" t="str">
        <f>IFERROR(__xludf.DUMMYFUNCTION("""COMPUTED_VALUE"""),"HM 1366/KALIAWI")</f>
        <v>HM 1366/KALIAWI</v>
      </c>
      <c r="D464" s="17">
        <f>IFERROR(__xludf.DUMMYFUNCTION("""COMPUTED_VALUE"""),45589.47456685185)</f>
        <v>45589.47457</v>
      </c>
      <c r="E464" s="13" t="str">
        <f>IFERROR(__xludf.DUMMYFUNCTION("""COMPUTED_VALUE"""),"ROYA")</f>
        <v>ROYA</v>
      </c>
      <c r="F464" s="13" t="str">
        <f>IFERROR(__xludf.DUMMYFUNCTION("""COMPUTED_VALUE"""),"SYAIFUL ANTONI")</f>
        <v>SYAIFUL ANTONI</v>
      </c>
      <c r="G464" s="13">
        <f t="shared" si="1"/>
        <v>433</v>
      </c>
      <c r="H464" s="13" t="str">
        <f>IFERROR(__xludf.DUMMYFUNCTION("""COMPUTED_VALUE"""),"P0")</f>
        <v>P0</v>
      </c>
    </row>
    <row r="465" ht="22.5" customHeight="1">
      <c r="B465" s="19" t="str">
        <f>IFERROR(__xludf.DUMMYFUNCTION("""COMPUTED_VALUE"""),"K/23/241024/1")</f>
        <v>K/23/241024/1</v>
      </c>
      <c r="C465" s="19" t="str">
        <f>IFERROR(__xludf.DUMMYFUNCTION("""COMPUTED_VALUE"""),"M. 16697/ Sukabumi")</f>
        <v>M. 16697/ Sukabumi</v>
      </c>
      <c r="D465" s="17">
        <f>IFERROR(__xludf.DUMMYFUNCTION("""COMPUTED_VALUE"""),45589.477249247684)</f>
        <v>45589.47725</v>
      </c>
      <c r="E465" s="13" t="str">
        <f>IFERROR(__xludf.DUMMYFUNCTION("""COMPUTED_VALUE"""),"BN Jual Beli")</f>
        <v>BN Jual Beli</v>
      </c>
      <c r="F465" s="13" t="str">
        <f>IFERROR(__xludf.DUMMYFUNCTION("""COMPUTED_VALUE"""),"M. Areif S/ Ardi K A")</f>
        <v>M. Areif S/ Ardi K A</v>
      </c>
      <c r="G465" s="13">
        <f t="shared" si="1"/>
        <v>434</v>
      </c>
      <c r="H465" s="13" t="str">
        <f>IFERROR(__xludf.DUMMYFUNCTION("""COMPUTED_VALUE"""),"P0")</f>
        <v>P0</v>
      </c>
    </row>
    <row r="466" ht="22.5" customHeight="1">
      <c r="B466" s="19" t="str">
        <f>IFERROR(__xludf.DUMMYFUNCTION("""COMPUTED_VALUE"""),"K/24/241024/1")</f>
        <v>K/24/241024/1</v>
      </c>
      <c r="C466" s="19" t="str">
        <f>IFERROR(__xludf.DUMMYFUNCTION("""COMPUTED_VALUE"""),"NIBEL B.2466/SUKABUMI")</f>
        <v>NIBEL B.2466/SUKABUMI</v>
      </c>
      <c r="D466" s="17">
        <f>IFERROR(__xludf.DUMMYFUNCTION("""COMPUTED_VALUE"""),45589.48029)</f>
        <v>45589.48029</v>
      </c>
      <c r="E466" s="13" t="str">
        <f>IFERROR(__xludf.DUMMYFUNCTION("""COMPUTED_VALUE"""),"PENINGKATAN")</f>
        <v>PENINGKATAN</v>
      </c>
      <c r="F466" s="13" t="str">
        <f>IFERROR(__xludf.DUMMYFUNCTION("""COMPUTED_VALUE"""),"AGUS LATEST/ENDANG APRILIA")</f>
        <v>AGUS LATEST/ENDANG APRILIA</v>
      </c>
      <c r="G466" s="13">
        <f t="shared" si="1"/>
        <v>435</v>
      </c>
      <c r="H466" s="13" t="str">
        <f>IFERROR(__xludf.DUMMYFUNCTION("""COMPUTED_VALUE"""),"P0")</f>
        <v>P0</v>
      </c>
    </row>
    <row r="467" ht="22.5" customHeight="1">
      <c r="B467" s="19" t="str">
        <f>IFERROR(__xludf.DUMMYFUNCTION("""COMPUTED_VALUE"""),"K/25/241024/2")</f>
        <v>K/25/241024/2</v>
      </c>
      <c r="C467" s="19" t="str">
        <f>IFERROR(__xludf.DUMMYFUNCTION("""COMPUTED_VALUE"""),"B.627/KEMILING PERMAI")</f>
        <v>B.627/KEMILING PERMAI</v>
      </c>
      <c r="D467" s="17">
        <f>IFERROR(__xludf.DUMMYFUNCTION("""COMPUTED_VALUE"""),45589.480981388886)</f>
        <v>45589.48098</v>
      </c>
      <c r="E467" s="13" t="str">
        <f>IFERROR(__xludf.DUMMYFUNCTION("""COMPUTED_VALUE"""),"BN JUAL BELI")</f>
        <v>BN JUAL BELI</v>
      </c>
      <c r="F467" s="13" t="str">
        <f>IFERROR(__xludf.DUMMYFUNCTION("""COMPUTED_VALUE"""),"FEBRIANSYAH/ENDANG APRILIA")</f>
        <v>FEBRIANSYAH/ENDANG APRILIA</v>
      </c>
      <c r="G467" s="13">
        <f t="shared" si="1"/>
        <v>436</v>
      </c>
      <c r="H467" s="13" t="str">
        <f>IFERROR(__xludf.DUMMYFUNCTION("""COMPUTED_VALUE"""),"P0")</f>
        <v>P0</v>
      </c>
    </row>
    <row r="468" ht="22.5" customHeight="1">
      <c r="B468" s="19" t="str">
        <f>IFERROR(__xludf.DUMMYFUNCTION("""COMPUTED_VALUE"""),"K/26/241024/3")</f>
        <v>K/26/241024/3</v>
      </c>
      <c r="C468" s="19" t="str">
        <f>IFERROR(__xludf.DUMMYFUNCTION("""COMPUTED_VALUE"""),"B.657/KEMILING PERMAI")</f>
        <v>B.657/KEMILING PERMAI</v>
      </c>
      <c r="D468" s="17">
        <f>IFERROR(__xludf.DUMMYFUNCTION("""COMPUTED_VALUE"""),45589.481542361114)</f>
        <v>45589.48154</v>
      </c>
      <c r="E468" s="13" t="str">
        <f>IFERROR(__xludf.DUMMYFUNCTION("""COMPUTED_VALUE"""),"BN JUAL BELI")</f>
        <v>BN JUAL BELI</v>
      </c>
      <c r="F468" s="13" t="str">
        <f>IFERROR(__xludf.DUMMYFUNCTION("""COMPUTED_VALUE"""),"JARWOTO/ENDANG APRILIA")</f>
        <v>JARWOTO/ENDANG APRILIA</v>
      </c>
      <c r="G468" s="13">
        <f t="shared" si="1"/>
        <v>437</v>
      </c>
      <c r="H468" s="13" t="str">
        <f>IFERROR(__xludf.DUMMYFUNCTION("""COMPUTED_VALUE"""),"P0")</f>
        <v>P0</v>
      </c>
    </row>
    <row r="469" ht="22.5" customHeight="1">
      <c r="B469" s="19" t="str">
        <f>IFERROR(__xludf.DUMMYFUNCTION("""COMPUTED_VALUE"""),"L/27/241024/1")</f>
        <v>L/27/241024/1</v>
      </c>
      <c r="C469" s="19" t="str">
        <f>IFERROR(__xludf.DUMMYFUNCTION("""COMPUTED_VALUE"""),"HM 1540/SUKARAME BARU")</f>
        <v>HM 1540/SUKARAME BARU</v>
      </c>
      <c r="D469" s="17">
        <f>IFERROR(__xludf.DUMMYFUNCTION("""COMPUTED_VALUE"""),45589.48914146991)</f>
        <v>45589.48914</v>
      </c>
      <c r="E469" s="13" t="str">
        <f>IFERROR(__xludf.DUMMYFUNCTION("""COMPUTED_VALUE"""),"SKPT INFORMASI")</f>
        <v>SKPT INFORMASI</v>
      </c>
      <c r="F469" s="13" t="str">
        <f>IFERROR(__xludf.DUMMYFUNCTION("""COMPUTED_VALUE"""),"SURIYONO LOEKITO")</f>
        <v>SURIYONO LOEKITO</v>
      </c>
      <c r="G469" s="13">
        <f t="shared" si="1"/>
        <v>438</v>
      </c>
      <c r="H469" s="13" t="str">
        <f>IFERROR(__xludf.DUMMYFUNCTION("""COMPUTED_VALUE"""),"P0")</f>
        <v>P0</v>
      </c>
    </row>
    <row r="470" ht="22.5" customHeight="1">
      <c r="B470" s="19" t="str">
        <f>IFERROR(__xludf.DUMMYFUNCTION("""COMPUTED_VALUE"""),"K/28/241024/1")</f>
        <v>K/28/241024/1</v>
      </c>
      <c r="C470" s="19" t="str">
        <f>IFERROR(__xludf.DUMMYFUNCTION("""COMPUTED_VALUE"""),"Nibel. M. 2140/ Kupang Raya")</f>
        <v>Nibel. M. 2140/ Kupang Raya</v>
      </c>
      <c r="D470" s="17">
        <f>IFERROR(__xludf.DUMMYFUNCTION("""COMPUTED_VALUE"""),45589.4914375463)</f>
        <v>45589.49144</v>
      </c>
      <c r="E470" s="13" t="str">
        <f>IFERROR(__xludf.DUMMYFUNCTION("""COMPUTED_VALUE"""),"Pemecahan")</f>
        <v>Pemecahan</v>
      </c>
      <c r="F470" s="13" t="str">
        <f>IFERROR(__xludf.DUMMYFUNCTION("""COMPUTED_VALUE"""),"M. Meinazir/ Yayah Cs")</f>
        <v>M. Meinazir/ Yayah Cs</v>
      </c>
      <c r="G470" s="13">
        <f t="shared" si="1"/>
        <v>439</v>
      </c>
      <c r="H470" s="13" t="str">
        <f>IFERROR(__xludf.DUMMYFUNCTION("""COMPUTED_VALUE"""),"P0")</f>
        <v>P0</v>
      </c>
    </row>
    <row r="471" ht="22.5" customHeight="1">
      <c r="B471" s="19" t="str">
        <f>IFERROR(__xludf.DUMMYFUNCTION("""COMPUTED_VALUE"""),"K/29/241024/1")</f>
        <v>K/29/241024/1</v>
      </c>
      <c r="C471" s="19" t="str">
        <f>IFERROR(__xludf.DUMMYFUNCTION("""COMPUTED_VALUE"""),"m. 2395/ CAMPANG JAYA-SEKARANG; M. 1702/ CAMPANG RAYA-DAHULU")</f>
        <v>m. 2395/ CAMPANG JAYA-SEKARANG; M. 1702/ CAMPANG RAYA-DAHULU</v>
      </c>
      <c r="D471" s="17">
        <f>IFERROR(__xludf.DUMMYFUNCTION("""COMPUTED_VALUE"""),45589.49342087963)</f>
        <v>45589.49342</v>
      </c>
      <c r="E471" s="13" t="str">
        <f>IFERROR(__xludf.DUMMYFUNCTION("""COMPUTED_VALUE"""),"PLOTTING")</f>
        <v>PLOTTING</v>
      </c>
      <c r="F471" s="13" t="str">
        <f>IFERROR(__xludf.DUMMYFUNCTION("""COMPUTED_VALUE"""),"HARIYO WIDODO/ DARMAWAN")</f>
        <v>HARIYO WIDODO/ DARMAWAN</v>
      </c>
      <c r="G471" s="13">
        <f t="shared" si="1"/>
        <v>440</v>
      </c>
      <c r="H471" s="13" t="str">
        <f>IFERROR(__xludf.DUMMYFUNCTION("""COMPUTED_VALUE"""),"P0")</f>
        <v>P0</v>
      </c>
    </row>
    <row r="472" ht="22.5" customHeight="1">
      <c r="B472" s="19" t="str">
        <f>IFERROR(__xludf.DUMMYFUNCTION("""COMPUTED_VALUE"""),"L/31/241024/1")</f>
        <v>L/31/241024/1</v>
      </c>
      <c r="C472" s="19" t="str">
        <f>IFERROR(__xludf.DUMMYFUNCTION("""COMPUTED_VALUE"""),"B.311/PEMATANG WANGI;B.546/TJ SENANG-DAHULU")</f>
        <v>B.311/PEMATANG WANGI;B.546/TJ SENANG-DAHULU</v>
      </c>
      <c r="D472" s="17">
        <f>IFERROR(__xludf.DUMMYFUNCTION("""COMPUTED_VALUE"""),45589.493608564815)</f>
        <v>45589.49361</v>
      </c>
      <c r="E472" s="13" t="str">
        <f>IFERROR(__xludf.DUMMYFUNCTION("""COMPUTED_VALUE"""),"PERUBAHAN HAK")</f>
        <v>PERUBAHAN HAK</v>
      </c>
      <c r="F472" s="13" t="str">
        <f>IFERROR(__xludf.DUMMYFUNCTION("""COMPUTED_VALUE"""),"DADAG WIJANARKO")</f>
        <v>DADAG WIJANARKO</v>
      </c>
      <c r="G472" s="13">
        <f t="shared" si="1"/>
        <v>441</v>
      </c>
      <c r="H472" s="13" t="str">
        <f>IFERROR(__xludf.DUMMYFUNCTION("""COMPUTED_VALUE"""),"P0")</f>
        <v>P0</v>
      </c>
    </row>
    <row r="473" ht="22.5" customHeight="1">
      <c r="B473" s="19" t="str">
        <f>IFERROR(__xludf.DUMMYFUNCTION("""COMPUTED_VALUE"""),"K/30/241024/2")</f>
        <v>K/30/241024/2</v>
      </c>
      <c r="C473" s="19" t="str">
        <f>IFERROR(__xludf.DUMMYFUNCTION("""COMPUTED_VALUE"""),"M. 5834/ Way kandis")</f>
        <v>M. 5834/ Way kandis</v>
      </c>
      <c r="D473" s="17">
        <f>IFERROR(__xludf.DUMMYFUNCTION("""COMPUTED_VALUE"""),45589.494891504626)</f>
        <v>45589.49489</v>
      </c>
      <c r="E473" s="13" t="str">
        <f>IFERROR(__xludf.DUMMYFUNCTION("""COMPUTED_VALUE"""),"plotting")</f>
        <v>plotting</v>
      </c>
      <c r="F473" s="13" t="str">
        <f>IFERROR(__xludf.DUMMYFUNCTION("""COMPUTED_VALUE"""),"hariyo widodo/ rospita")</f>
        <v>hariyo widodo/ rospita</v>
      </c>
      <c r="G473" s="13">
        <f t="shared" si="1"/>
        <v>442</v>
      </c>
      <c r="H473" s="13" t="str">
        <f>IFERROR(__xludf.DUMMYFUNCTION("""COMPUTED_VALUE"""),"P0")</f>
        <v>P0</v>
      </c>
    </row>
    <row r="474" ht="22.5" customHeight="1">
      <c r="B474" s="19" t="str">
        <f>IFERROR(__xludf.DUMMYFUNCTION("""COMPUTED_VALUE"""),"K/32/241024/1")</f>
        <v>K/32/241024/1</v>
      </c>
      <c r="C474" s="19" t="str">
        <f>IFERROR(__xludf.DUMMYFUNCTION("""COMPUTED_VALUE"""),"M. 1120/ Sukajawa")</f>
        <v>M. 1120/ Sukajawa</v>
      </c>
      <c r="D474" s="17">
        <f>IFERROR(__xludf.DUMMYFUNCTION("""COMPUTED_VALUE"""),45589.547535844904)</f>
        <v>45589.54754</v>
      </c>
      <c r="E474" s="13" t="str">
        <f>IFERROR(__xludf.DUMMYFUNCTION("""COMPUTED_VALUE"""),"roya")</f>
        <v>roya</v>
      </c>
      <c r="F474" s="13" t="str">
        <f>IFERROR(__xludf.DUMMYFUNCTION("""COMPUTED_VALUE"""),"hariyo widodo/ sarno")</f>
        <v>hariyo widodo/ sarno</v>
      </c>
      <c r="G474" s="13">
        <f t="shared" si="1"/>
        <v>443</v>
      </c>
      <c r="H474" s="13" t="str">
        <f>IFERROR(__xludf.DUMMYFUNCTION("""COMPUTED_VALUE"""),"P0")</f>
        <v>P0</v>
      </c>
    </row>
    <row r="475" ht="22.5" customHeight="1">
      <c r="B475" s="19" t="str">
        <f>IFERROR(__xludf.DUMMYFUNCTION("""COMPUTED_VALUE"""),"K/33/241024/2")</f>
        <v>K/33/241024/2</v>
      </c>
      <c r="C475" s="19" t="str">
        <f>IFERROR(__xludf.DUMMYFUNCTION("""COMPUTED_VALUE"""),"M. 16698/ Sukabumi")</f>
        <v>M. 16698/ Sukabumi</v>
      </c>
      <c r="D475" s="17">
        <f>IFERROR(__xludf.DUMMYFUNCTION("""COMPUTED_VALUE"""),45589.566821608794)</f>
        <v>45589.56682</v>
      </c>
      <c r="E475" s="13" t="str">
        <f>IFERROR(__xludf.DUMMYFUNCTION("""COMPUTED_VALUE"""),"BN Jual Beli")</f>
        <v>BN Jual Beli</v>
      </c>
      <c r="F475" s="13" t="str">
        <f>IFERROR(__xludf.DUMMYFUNCTION("""COMPUTED_VALUE"""),"M. Arief S/ Nur Azizah")</f>
        <v>M. Arief S/ Nur Azizah</v>
      </c>
      <c r="G475" s="13">
        <f t="shared" si="1"/>
        <v>444</v>
      </c>
      <c r="H475" s="13" t="str">
        <f>IFERROR(__xludf.DUMMYFUNCTION("""COMPUTED_VALUE"""),"P0")</f>
        <v>P0</v>
      </c>
    </row>
    <row r="476" ht="22.5" customHeight="1">
      <c r="B476" s="19" t="str">
        <f>IFERROR(__xludf.DUMMYFUNCTION("""COMPUTED_VALUE"""),"K/40/181024/1")</f>
        <v>K/40/181024/1</v>
      </c>
      <c r="C476" s="19" t="str">
        <f>IFERROR(__xludf.DUMMYFUNCTION("""COMPUTED_VALUE"""),"Nibel. M. 816/ Durian Payung	")</f>
        <v>Nibel. M. 816/ Durian Payung	</v>
      </c>
      <c r="D476" s="17">
        <f>IFERROR(__xludf.DUMMYFUNCTION("""COMPUTED_VALUE"""),45589.57221085648)</f>
        <v>45589.57221</v>
      </c>
      <c r="E476" s="13" t="str">
        <f>IFERROR(__xludf.DUMMYFUNCTION("""COMPUTED_VALUE"""),"BN Jual beli")</f>
        <v>BN Jual beli</v>
      </c>
      <c r="F476" s="13" t="str">
        <f>IFERROR(__xludf.DUMMYFUNCTION("""COMPUTED_VALUE"""),"Evi Udin/ Endah M		")</f>
        <v>Evi Udin/ Endah M		</v>
      </c>
      <c r="G476" s="13">
        <f t="shared" si="1"/>
        <v>444</v>
      </c>
      <c r="H476" s="13" t="str">
        <f>IFERROR(__xludf.DUMMYFUNCTION("""COMPUTED_VALUE"""),"P1")</f>
        <v>P1</v>
      </c>
    </row>
    <row r="477" ht="22.5" customHeight="1">
      <c r="B477" s="19" t="str">
        <f>IFERROR(__xludf.DUMMYFUNCTION("""COMPUTED_VALUE"""),"K/4/151024/1")</f>
        <v>K/4/151024/1</v>
      </c>
      <c r="C477" s="19" t="str">
        <f>IFERROR(__xludf.DUMMYFUNCTION("""COMPUTED_VALUE"""),"M. 10315/ Rajabasa	")</f>
        <v>M. 10315/ Rajabasa	</v>
      </c>
      <c r="D477" s="17">
        <f>IFERROR(__xludf.DUMMYFUNCTION("""COMPUTED_VALUE"""),45589.57324090278)</f>
        <v>45589.57324</v>
      </c>
      <c r="E477" s="13" t="str">
        <f>IFERROR(__xludf.DUMMYFUNCTION("""COMPUTED_VALUE"""),"Roya")</f>
        <v>Roya</v>
      </c>
      <c r="F477" s="13" t="str">
        <f>IFERROR(__xludf.DUMMYFUNCTION("""COMPUTED_VALUE"""),"Renaldi Pratama S/ Rahmat M D")</f>
        <v>Renaldi Pratama S/ Rahmat M D</v>
      </c>
      <c r="G477" s="13">
        <f t="shared" si="1"/>
        <v>444</v>
      </c>
      <c r="H477" s="13" t="str">
        <f>IFERROR(__xludf.DUMMYFUNCTION("""COMPUTED_VALUE"""),"P1")</f>
        <v>P1</v>
      </c>
    </row>
    <row r="478" ht="22.5" customHeight="1">
      <c r="B478" s="19" t="str">
        <f>IFERROR(__xludf.DUMMYFUNCTION("""COMPUTED_VALUE"""),"K/34/241024/1")</f>
        <v>K/34/241024/1</v>
      </c>
      <c r="C478" s="19" t="str">
        <f>IFERROR(__xludf.DUMMYFUNCTION("""COMPUTED_VALUE"""),"M. 709/ Pahoman")</f>
        <v>M. 709/ Pahoman</v>
      </c>
      <c r="D478" s="17">
        <f>IFERROR(__xludf.DUMMYFUNCTION("""COMPUTED_VALUE"""),45589.57441664352)</f>
        <v>45589.57442</v>
      </c>
      <c r="E478" s="13" t="str">
        <f>IFERROR(__xludf.DUMMYFUNCTION("""COMPUTED_VALUE"""),"Ploting")</f>
        <v>Ploting</v>
      </c>
      <c r="F478" s="13" t="str">
        <f>IFERROR(__xludf.DUMMYFUNCTION("""COMPUTED_VALUE"""),"Renaldi Pratama S/ Iria Z A")</f>
        <v>Renaldi Pratama S/ Iria Z A</v>
      </c>
      <c r="G478" s="13">
        <f t="shared" si="1"/>
        <v>445</v>
      </c>
      <c r="H478" s="13" t="str">
        <f>IFERROR(__xludf.DUMMYFUNCTION("""COMPUTED_VALUE"""),"P0")</f>
        <v>P0</v>
      </c>
    </row>
    <row r="479" ht="22.5" customHeight="1">
      <c r="B479" s="19" t="str">
        <f>IFERROR(__xludf.DUMMYFUNCTION("""COMPUTED_VALUE"""),"K/35/241024/2")</f>
        <v>K/35/241024/2</v>
      </c>
      <c r="C479" s="19" t="str">
        <f>IFERROR(__xludf.DUMMYFUNCTION("""COMPUTED_VALUE"""),"M. 11671/ Kedamaian")</f>
        <v>M. 11671/ Kedamaian</v>
      </c>
      <c r="D479" s="17">
        <f>IFERROR(__xludf.DUMMYFUNCTION("""COMPUTED_VALUE"""),45589.57560930555)</f>
        <v>45589.57561</v>
      </c>
      <c r="E479" s="13" t="str">
        <f>IFERROR(__xludf.DUMMYFUNCTION("""COMPUTED_VALUE"""),"Ploting")</f>
        <v>Ploting</v>
      </c>
      <c r="F479" s="13" t="str">
        <f>IFERROR(__xludf.DUMMYFUNCTION("""COMPUTED_VALUE"""),"Tony Azhari/ Siti Aminah")</f>
        <v>Tony Azhari/ Siti Aminah</v>
      </c>
      <c r="G479" s="13">
        <f t="shared" si="1"/>
        <v>445</v>
      </c>
      <c r="H479" s="13" t="str">
        <f>IFERROR(__xludf.DUMMYFUNCTION("""COMPUTED_VALUE"""),"P1")</f>
        <v>P1</v>
      </c>
    </row>
    <row r="480" ht="22.5" customHeight="1">
      <c r="B480" s="19" t="str">
        <f>IFERROR(__xludf.DUMMYFUNCTION("""COMPUTED_VALUE"""),"K/38/241024/1")</f>
        <v>K/38/241024/1</v>
      </c>
      <c r="C480" s="19" t="str">
        <f>IFERROR(__xludf.DUMMYFUNCTION("""COMPUTED_VALUE"""),"M.5925/TANJUNG SENENG")</f>
        <v>M.5925/TANJUNG SENENG</v>
      </c>
      <c r="D480" s="17">
        <f>IFERROR(__xludf.DUMMYFUNCTION("""COMPUTED_VALUE"""),45589.580101342595)</f>
        <v>45589.5801</v>
      </c>
      <c r="E480" s="13" t="str">
        <f>IFERROR(__xludf.DUMMYFUNCTION("""COMPUTED_VALUE"""),"PENGECEKAN")</f>
        <v>PENGECEKAN</v>
      </c>
      <c r="F480" s="13" t="str">
        <f>IFERROR(__xludf.DUMMYFUNCTION("""COMPUTED_VALUE"""),"SULASTRI/CHRISTINA ULINA ")</f>
        <v>SULASTRI/CHRISTINA ULINA </v>
      </c>
      <c r="G480" s="13">
        <f t="shared" si="1"/>
        <v>446</v>
      </c>
      <c r="H480" s="13" t="str">
        <f>IFERROR(__xludf.DUMMYFUNCTION("""COMPUTED_VALUE"""),"P0")</f>
        <v>P0</v>
      </c>
    </row>
    <row r="481" ht="22.5" customHeight="1">
      <c r="B481" s="19" t="str">
        <f>IFERROR(__xludf.DUMMYFUNCTION("""COMPUTED_VALUE"""),"K/36/241024/1")</f>
        <v>K/36/241024/1</v>
      </c>
      <c r="C481" s="19" t="str">
        <f>IFERROR(__xludf.DUMMYFUNCTION("""COMPUTED_VALUE"""),"Tanah mentah")</f>
        <v>Tanah mentah</v>
      </c>
      <c r="D481" s="17">
        <f>IFERROR(__xludf.DUMMYFUNCTION("""COMPUTED_VALUE"""),45589.58173346065)</f>
        <v>45589.58173</v>
      </c>
      <c r="E481" s="13" t="str">
        <f>IFERROR(__xludf.DUMMYFUNCTION("""COMPUTED_VALUE"""),"Pengukuran Pertama Kali")</f>
        <v>Pengukuran Pertama Kali</v>
      </c>
      <c r="F481" s="13" t="str">
        <f>IFERROR(__xludf.DUMMYFUNCTION("""COMPUTED_VALUE"""),"Yuni Astuti/ Istikariana CS")</f>
        <v>Yuni Astuti/ Istikariana CS</v>
      </c>
      <c r="G481" s="13">
        <f t="shared" si="1"/>
        <v>447</v>
      </c>
      <c r="H481" s="13" t="str">
        <f>IFERROR(__xludf.DUMMYFUNCTION("""COMPUTED_VALUE"""),"P0")</f>
        <v>P0</v>
      </c>
    </row>
    <row r="482" ht="22.5" customHeight="1">
      <c r="B482" s="19" t="str">
        <f>IFERROR(__xludf.DUMMYFUNCTION("""COMPUTED_VALUE"""),"K/37/241024/2")</f>
        <v>K/37/241024/2</v>
      </c>
      <c r="C482" s="19" t="str">
        <f>IFERROR(__xludf.DUMMYFUNCTION("""COMPUTED_VALUE"""),"Tanah Mentah")</f>
        <v>Tanah Mentah</v>
      </c>
      <c r="D482" s="17">
        <f>IFERROR(__xludf.DUMMYFUNCTION("""COMPUTED_VALUE"""),45589.58340722222)</f>
        <v>45589.58341</v>
      </c>
      <c r="E482" s="13" t="str">
        <f>IFERROR(__xludf.DUMMYFUNCTION("""COMPUTED_VALUE"""),"Pengukuran Pertama Kali")</f>
        <v>Pengukuran Pertama Kali</v>
      </c>
      <c r="F482" s="13" t="str">
        <f>IFERROR(__xludf.DUMMYFUNCTION("""COMPUTED_VALUE"""),"Yuni Astuti u/ Istikariana")</f>
        <v>Yuni Astuti u/ Istikariana</v>
      </c>
      <c r="G482" s="13">
        <f t="shared" si="1"/>
        <v>448</v>
      </c>
      <c r="H482" s="13" t="str">
        <f>IFERROR(__xludf.DUMMYFUNCTION("""COMPUTED_VALUE"""),"P0")</f>
        <v>P0</v>
      </c>
    </row>
    <row r="483" ht="22.5" customHeight="1">
      <c r="B483" s="19" t="str">
        <f>IFERROR(__xludf.DUMMYFUNCTION("""COMPUTED_VALUE"""),"K/1/181024/1")</f>
        <v>K/1/181024/1</v>
      </c>
      <c r="C483" s="19" t="str">
        <f>IFERROR(__xludf.DUMMYFUNCTION("""COMPUTED_VALUE"""),"Nibel 1145/ Sukamaju")</f>
        <v>Nibel 1145/ Sukamaju</v>
      </c>
      <c r="D483" s="17">
        <f>IFERROR(__xludf.DUMMYFUNCTION("""COMPUTED_VALUE"""),45589.586185810185)</f>
        <v>45589.58619</v>
      </c>
      <c r="E483" s="13" t="str">
        <f>IFERROR(__xludf.DUMMYFUNCTION("""COMPUTED_VALUE"""),"BN PHB")</f>
        <v>BN PHB</v>
      </c>
      <c r="F483" s="13" t="str">
        <f>IFERROR(__xludf.DUMMYFUNCTION("""COMPUTED_VALUE"""),"Ismarina/ nasrullah")</f>
        <v>Ismarina/ nasrullah</v>
      </c>
      <c r="G483" s="13">
        <f t="shared" si="1"/>
        <v>448</v>
      </c>
      <c r="H483" s="13" t="str">
        <f>IFERROR(__xludf.DUMMYFUNCTION("""COMPUTED_VALUE"""),"P1")</f>
        <v>P1</v>
      </c>
    </row>
    <row r="484" ht="22.5" customHeight="1">
      <c r="B484" s="19" t="str">
        <f>IFERROR(__xludf.DUMMYFUNCTION("""COMPUTED_VALUE"""),"K/40/241024/1")</f>
        <v>K/40/241024/1</v>
      </c>
      <c r="C484" s="19" t="str">
        <f>IFERROR(__xludf.DUMMYFUNCTION("""COMPUTED_VALUE"""),"M.852/KEMILING RAYA")</f>
        <v>M.852/KEMILING RAYA</v>
      </c>
      <c r="D484" s="17">
        <f>IFERROR(__xludf.DUMMYFUNCTION("""COMPUTED_VALUE"""),45589.59181554399)</f>
        <v>45589.59182</v>
      </c>
      <c r="E484" s="13" t="str">
        <f>IFERROR(__xludf.DUMMYFUNCTION("""COMPUTED_VALUE"""),"HAPUS BPHTB")</f>
        <v>HAPUS BPHTB</v>
      </c>
      <c r="F484" s="13" t="str">
        <f>IFERROR(__xludf.DUMMYFUNCTION("""COMPUTED_VALUE"""),"TARMIZI/NOVALIA EKA P")</f>
        <v>TARMIZI/NOVALIA EKA P</v>
      </c>
      <c r="G484" s="13">
        <f t="shared" si="1"/>
        <v>449</v>
      </c>
      <c r="H484" s="13" t="str">
        <f>IFERROR(__xludf.DUMMYFUNCTION("""COMPUTED_VALUE"""),"P0")</f>
        <v>P0</v>
      </c>
    </row>
    <row r="485" ht="22.5" customHeight="1">
      <c r="B485" s="19" t="str">
        <f>IFERROR(__xludf.DUMMYFUNCTION("""COMPUTED_VALUE"""),"K/39/241024/1")</f>
        <v>K/39/241024/1</v>
      </c>
      <c r="C485" s="19" t="str">
        <f>IFERROR(__xludf.DUMMYFUNCTION("""COMPUTED_VALUE"""),"M. 2583/ Rajabasa Jaya")</f>
        <v>M. 2583/ Rajabasa Jaya</v>
      </c>
      <c r="D485" s="17">
        <f>IFERROR(__xludf.DUMMYFUNCTION("""COMPUTED_VALUE"""),45589.59579969908)</f>
        <v>45589.5958</v>
      </c>
      <c r="E485" s="13" t="str">
        <f>IFERROR(__xludf.DUMMYFUNCTION("""COMPUTED_VALUE"""),"BN Jual Beli")</f>
        <v>BN Jual Beli</v>
      </c>
      <c r="F485" s="13" t="str">
        <f>IFERROR(__xludf.DUMMYFUNCTION("""COMPUTED_VALUE"""),"Nuryati/ Fitri F")</f>
        <v>Nuryati/ Fitri F</v>
      </c>
      <c r="G485" s="13">
        <f t="shared" si="1"/>
        <v>450</v>
      </c>
      <c r="H485" s="13" t="str">
        <f>IFERROR(__xludf.DUMMYFUNCTION("""COMPUTED_VALUE"""),"P0")</f>
        <v>P0</v>
      </c>
    </row>
    <row r="486" ht="22.5" customHeight="1">
      <c r="B486" s="19" t="str">
        <f>IFERROR(__xludf.DUMMYFUNCTION("""COMPUTED_VALUE"""),"K/48/171024/1")</f>
        <v>K/48/171024/1</v>
      </c>
      <c r="C486" s="19" t="str">
        <f>IFERROR(__xludf.DUMMYFUNCTION("""COMPUTED_VALUE"""),"M. 6466/ Way kandis	")</f>
        <v>M. 6466/ Way kandis	</v>
      </c>
      <c r="D486" s="17">
        <f>IFERROR(__xludf.DUMMYFUNCTION("""COMPUTED_VALUE"""),45589.60158041667)</f>
        <v>45589.60158</v>
      </c>
      <c r="E486" s="13" t="str">
        <f>IFERROR(__xludf.DUMMYFUNCTION("""COMPUTED_VALUE"""),"BN Jual Beli")</f>
        <v>BN Jual Beli</v>
      </c>
      <c r="F486" s="13" t="str">
        <f>IFERROR(__xludf.DUMMYFUNCTION("""COMPUTED_VALUE"""),"Fahrul Rozi/ Andika Hendri")</f>
        <v>Fahrul Rozi/ Andika Hendri</v>
      </c>
      <c r="G486" s="13">
        <f t="shared" si="1"/>
        <v>450</v>
      </c>
      <c r="H486" s="13" t="str">
        <f>IFERROR(__xludf.DUMMYFUNCTION("""COMPUTED_VALUE"""),"P1")</f>
        <v>P1</v>
      </c>
    </row>
    <row r="487" ht="22.5" customHeight="1">
      <c r="B487" s="19" t="str">
        <f>IFERROR(__xludf.DUMMYFUNCTION("""COMPUTED_VALUE"""),"K/41/241024/1")</f>
        <v>K/41/241024/1</v>
      </c>
      <c r="C487" s="19" t="str">
        <f>IFERROR(__xludf.DUMMYFUNCTION("""COMPUTED_VALUE"""),"HMASRS/64/I/MASRS/Tanjung karang")</f>
        <v>HMASRS/64/I/MASRS/Tanjung karang</v>
      </c>
      <c r="D487" s="17">
        <f>IFERROR(__xludf.DUMMYFUNCTION("""COMPUTED_VALUE"""),45589.60344041667)</f>
        <v>45589.60344</v>
      </c>
      <c r="E487" s="13" t="str">
        <f>IFERROR(__xludf.DUMMYFUNCTION("""COMPUTED_VALUE"""),"BN Waris")</f>
        <v>BN Waris</v>
      </c>
      <c r="F487" s="13" t="str">
        <f>IFERROR(__xludf.DUMMYFUNCTION("""COMPUTED_VALUE"""),"Budi K/ boby Ronaldo")</f>
        <v>Budi K/ boby Ronaldo</v>
      </c>
      <c r="G487" s="13">
        <f t="shared" si="1"/>
        <v>451</v>
      </c>
      <c r="H487" s="13" t="str">
        <f>IFERROR(__xludf.DUMMYFUNCTION("""COMPUTED_VALUE"""),"P0")</f>
        <v>P0</v>
      </c>
    </row>
    <row r="488" ht="22.5" customHeight="1">
      <c r="B488" s="19" t="str">
        <f>IFERROR(__xludf.DUMMYFUNCTION("""COMPUTED_VALUE"""),"K/50/211024/1")</f>
        <v>K/50/211024/1</v>
      </c>
      <c r="C488" s="19" t="str">
        <f>IFERROR(__xludf.DUMMYFUNCTION("""COMPUTED_VALUE"""),"M. 13651/ Labuhan Ratu; SHT 2739/2019	")</f>
        <v>M. 13651/ Labuhan Ratu; SHT 2739/2019	</v>
      </c>
      <c r="D488" s="17">
        <f>IFERROR(__xludf.DUMMYFUNCTION("""COMPUTED_VALUE"""),45589.605776111115)</f>
        <v>45589.60578</v>
      </c>
      <c r="E488" s="13" t="str">
        <f>IFERROR(__xludf.DUMMYFUNCTION("""COMPUTED_VALUE"""),"Roya")</f>
        <v>Roya</v>
      </c>
      <c r="F488" s="13" t="str">
        <f>IFERROR(__xludf.DUMMYFUNCTION("""COMPUTED_VALUE"""),"Budi K/ Debora A T")</f>
        <v>Budi K/ Debora A T</v>
      </c>
      <c r="G488" s="13">
        <f t="shared" si="1"/>
        <v>451</v>
      </c>
      <c r="H488" s="13" t="str">
        <f>IFERROR(__xludf.DUMMYFUNCTION("""COMPUTED_VALUE"""),"P1")</f>
        <v>P1</v>
      </c>
    </row>
    <row r="489" ht="22.5" customHeight="1">
      <c r="B489" s="19" t="str">
        <f>IFERROR(__xludf.DUMMYFUNCTION("""COMPUTED_VALUE"""),"K/42/241024/2")</f>
        <v>K/42/241024/2</v>
      </c>
      <c r="C489" s="19" t="str">
        <f>IFERROR(__xludf.DUMMYFUNCTION("""COMPUTED_VALUE"""),"HMASRS/ 178/ I/MASRS/Tanjungkarang")</f>
        <v>HMASRS/ 178/ I/MASRS/Tanjungkarang</v>
      </c>
      <c r="D489" s="17">
        <f>IFERROR(__xludf.DUMMYFUNCTION("""COMPUTED_VALUE"""),45589.60622180556)</f>
        <v>45589.60622</v>
      </c>
      <c r="E489" s="13" t="str">
        <f>IFERROR(__xludf.DUMMYFUNCTION("""COMPUTED_VALUE"""),"BN Waris")</f>
        <v>BN Waris</v>
      </c>
      <c r="F489" s="13" t="str">
        <f>IFERROR(__xludf.DUMMYFUNCTION("""COMPUTED_VALUE"""),"Budi K/ Roby Ronaldo")</f>
        <v>Budi K/ Roby Ronaldo</v>
      </c>
      <c r="G489" s="13">
        <f t="shared" si="1"/>
        <v>452</v>
      </c>
      <c r="H489" s="13" t="str">
        <f>IFERROR(__xludf.DUMMYFUNCTION("""COMPUTED_VALUE"""),"P0")</f>
        <v>P0</v>
      </c>
    </row>
    <row r="490" ht="22.5" customHeight="1">
      <c r="B490" s="19" t="str">
        <f>IFERROR(__xludf.DUMMYFUNCTION("""COMPUTED_VALUE"""),"K/43/241024/1")</f>
        <v>K/43/241024/1</v>
      </c>
      <c r="C490" s="19" t="str">
        <f>IFERROR(__xludf.DUMMYFUNCTION("""COMPUTED_VALUE"""),"M.2065/GUNUNG TERANG")</f>
        <v>M.2065/GUNUNG TERANG</v>
      </c>
      <c r="D490" s="17">
        <f>IFERROR(__xludf.DUMMYFUNCTION("""COMPUTED_VALUE"""),45589.609901539356)</f>
        <v>45589.6099</v>
      </c>
      <c r="E490" s="13" t="str">
        <f>IFERROR(__xludf.DUMMYFUNCTION("""COMPUTED_VALUE"""),"ROYA")</f>
        <v>ROYA</v>
      </c>
      <c r="F490" s="13" t="str">
        <f>IFERROR(__xludf.DUMMYFUNCTION("""COMPUTED_VALUE"""),"NURUL HIDAYAH/ABDI HARI K")</f>
        <v>NURUL HIDAYAH/ABDI HARI K</v>
      </c>
      <c r="G490" s="13">
        <f t="shared" si="1"/>
        <v>453</v>
      </c>
      <c r="H490" s="13" t="str">
        <f>IFERROR(__xludf.DUMMYFUNCTION("""COMPUTED_VALUE"""),"P0")</f>
        <v>P0</v>
      </c>
    </row>
    <row r="491" ht="22.5" customHeight="1">
      <c r="B491" s="19" t="str">
        <f>IFERROR(__xludf.DUMMYFUNCTION("""COMPUTED_VALUE"""),"K/44/241024/1")</f>
        <v>K/44/241024/1</v>
      </c>
      <c r="C491" s="19" t="str">
        <f>IFERROR(__xludf.DUMMYFUNCTION("""COMPUTED_VALUE"""),"M.6404/WAY KANDIS ")</f>
        <v>M.6404/WAY KANDIS </v>
      </c>
      <c r="D491" s="17">
        <f>IFERROR(__xludf.DUMMYFUNCTION("""COMPUTED_VALUE"""),45589.61073707176)</f>
        <v>45589.61074</v>
      </c>
      <c r="E491" s="13" t="str">
        <f>IFERROR(__xludf.DUMMYFUNCTION("""COMPUTED_VALUE"""),"BN JUAL BELI")</f>
        <v>BN JUAL BELI</v>
      </c>
      <c r="F491" s="13" t="str">
        <f>IFERROR(__xludf.DUMMYFUNCTION("""COMPUTED_VALUE"""),"SOLIHIN SAPUTRA/RICHARD ADI P")</f>
        <v>SOLIHIN SAPUTRA/RICHARD ADI P</v>
      </c>
      <c r="G491" s="13">
        <f t="shared" si="1"/>
        <v>454</v>
      </c>
      <c r="H491" s="13" t="str">
        <f>IFERROR(__xludf.DUMMYFUNCTION("""COMPUTED_VALUE"""),"P0")</f>
        <v>P0</v>
      </c>
    </row>
    <row r="492" ht="22.5" customHeight="1">
      <c r="B492" s="19" t="str">
        <f>IFERROR(__xludf.DUMMYFUNCTION("""COMPUTED_VALUE"""),"K/45/241024/2")</f>
        <v>K/45/241024/2</v>
      </c>
      <c r="C492" s="19" t="str">
        <f>IFERROR(__xludf.DUMMYFUNCTION("""COMPUTED_VALUE"""),"M. 6618/TANJUNG SENENG")</f>
        <v>M. 6618/TANJUNG SENENG</v>
      </c>
      <c r="D492" s="17">
        <f>IFERROR(__xludf.DUMMYFUNCTION("""COMPUTED_VALUE"""),45589.61137570602)</f>
        <v>45589.61138</v>
      </c>
      <c r="E492" s="13" t="str">
        <f>IFERROR(__xludf.DUMMYFUNCTION("""COMPUTED_VALUE"""),"BN JUAL BELI")</f>
        <v>BN JUAL BELI</v>
      </c>
      <c r="F492" s="13" t="str">
        <f>IFERROR(__xludf.DUMMYFUNCTION("""COMPUTED_VALUE"""),"PRIO NUR UTOMO/RICHARD ADI P")</f>
        <v>PRIO NUR UTOMO/RICHARD ADI P</v>
      </c>
      <c r="G492" s="13">
        <f t="shared" si="1"/>
        <v>455</v>
      </c>
      <c r="H492" s="13" t="str">
        <f>IFERROR(__xludf.DUMMYFUNCTION("""COMPUTED_VALUE"""),"P0")</f>
        <v>P0</v>
      </c>
    </row>
    <row r="493" ht="22.5" customHeight="1">
      <c r="B493" s="19" t="str">
        <f>IFERROR(__xludf.DUMMYFUNCTION("""COMPUTED_VALUE"""),"K/46/241024/1")</f>
        <v>K/46/241024/1</v>
      </c>
      <c r="C493" s="19" t="str">
        <f>IFERROR(__xludf.DUMMYFUNCTION("""COMPUTED_VALUE"""),"M. 105/ Penengahan")</f>
        <v>M. 105/ Penengahan</v>
      </c>
      <c r="D493" s="17">
        <f>IFERROR(__xludf.DUMMYFUNCTION("""COMPUTED_VALUE"""),45589.6127075)</f>
        <v>45589.61271</v>
      </c>
      <c r="E493" s="13" t="str">
        <f>IFERROR(__xludf.DUMMYFUNCTION("""COMPUTED_VALUE"""),"Plotting")</f>
        <v>Plotting</v>
      </c>
      <c r="F493" s="13" t="str">
        <f>IFERROR(__xludf.DUMMYFUNCTION("""COMPUTED_VALUE"""),"Nediu Heryandi/ Ninik Surtini")</f>
        <v>Nediu Heryandi/ Ninik Surtini</v>
      </c>
      <c r="G493" s="13">
        <f t="shared" si="1"/>
        <v>456</v>
      </c>
      <c r="H493" s="13" t="str">
        <f>IFERROR(__xludf.DUMMYFUNCTION("""COMPUTED_VALUE"""),"P0")</f>
        <v>P0</v>
      </c>
    </row>
    <row r="494" ht="22.5" customHeight="1">
      <c r="B494" s="19" t="str">
        <f>IFERROR(__xludf.DUMMYFUNCTION("""COMPUTED_VALUE"""),"K/48/151024/1")</f>
        <v>K/48/151024/1</v>
      </c>
      <c r="C494" s="19" t="str">
        <f>IFERROR(__xludf.DUMMYFUNCTION("""COMPUTED_VALUE"""),"M.550/KORPRI RAYA-SEKARANG;M.10135/SUKARAME U-DAHULU")</f>
        <v>M.550/KORPRI RAYA-SEKARANG;M.10135/SUKARAME U-DAHULU</v>
      </c>
      <c r="D494" s="17">
        <f>IFERROR(__xludf.DUMMYFUNCTION("""COMPUTED_VALUE"""),45589.61436237268)</f>
        <v>45589.61436</v>
      </c>
      <c r="E494" s="13" t="str">
        <f>IFERROR(__xludf.DUMMYFUNCTION("""COMPUTED_VALUE"""),"PERALIHAN JUAL BELI")</f>
        <v>PERALIHAN JUAL BELI</v>
      </c>
      <c r="F494" s="13" t="str">
        <f>IFERROR(__xludf.DUMMYFUNCTION("""COMPUTED_VALUE"""),"ROHAYATI/SUJONO PARYONO")</f>
        <v>ROHAYATI/SUJONO PARYONO</v>
      </c>
      <c r="G494" s="13">
        <f t="shared" si="1"/>
        <v>456</v>
      </c>
      <c r="H494" s="13" t="str">
        <f>IFERROR(__xludf.DUMMYFUNCTION("""COMPUTED_VALUE"""),"P1")</f>
        <v>P1</v>
      </c>
    </row>
    <row r="495" ht="22.5" customHeight="1">
      <c r="B495" s="19" t="str">
        <f>IFERROR(__xludf.DUMMYFUNCTION("""COMPUTED_VALUE"""),"K/47/241024/1")</f>
        <v>K/47/241024/1</v>
      </c>
      <c r="C495" s="19" t="str">
        <f>IFERROR(__xludf.DUMMYFUNCTION("""COMPUTED_VALUE"""),"M. 308/ Kupang Kota")</f>
        <v>M. 308/ Kupang Kota</v>
      </c>
      <c r="D495" s="17">
        <f>IFERROR(__xludf.DUMMYFUNCTION("""COMPUTED_VALUE"""),45589.62075803241)</f>
        <v>45589.62076</v>
      </c>
      <c r="E495" s="13" t="str">
        <f>IFERROR(__xludf.DUMMYFUNCTION("""COMPUTED_VALUE"""),"BN Jual Beli")</f>
        <v>BN Jual Beli</v>
      </c>
      <c r="F495" s="13" t="str">
        <f>IFERROR(__xludf.DUMMYFUNCTION("""COMPUTED_VALUE"""),"Nanik M/ Barabas")</f>
        <v>Nanik M/ Barabas</v>
      </c>
      <c r="G495" s="13">
        <f t="shared" si="1"/>
        <v>457</v>
      </c>
      <c r="H495" s="13" t="str">
        <f>IFERROR(__xludf.DUMMYFUNCTION("""COMPUTED_VALUE"""),"P0")</f>
        <v>P0</v>
      </c>
    </row>
    <row r="496" ht="22.5" customHeight="1">
      <c r="B496" s="19" t="str">
        <f>IFERROR(__xludf.DUMMYFUNCTION("""COMPUTED_VALUE"""),"K/48/241024/1")</f>
        <v>K/48/241024/1</v>
      </c>
      <c r="C496" s="19" t="str">
        <f>IFERROR(__xludf.DUMMYFUNCTION("""COMPUTED_VALUE"""),"M. 1348/ Kaliawi")</f>
        <v>M. 1348/ Kaliawi</v>
      </c>
      <c r="D496" s="17">
        <f>IFERROR(__xludf.DUMMYFUNCTION("""COMPUTED_VALUE"""),45589.623453252316)</f>
        <v>45589.62345</v>
      </c>
      <c r="E496" s="13" t="str">
        <f>IFERROR(__xludf.DUMMYFUNCTION("""COMPUTED_VALUE"""),"Cekplot S. Hilang")</f>
        <v>Cekplot S. Hilang</v>
      </c>
      <c r="F496" s="13" t="str">
        <f>IFERROR(__xludf.DUMMYFUNCTION("""COMPUTED_VALUE"""),"Feby Fitria Cs")</f>
        <v>Feby Fitria Cs</v>
      </c>
      <c r="G496" s="13">
        <f t="shared" si="1"/>
        <v>458</v>
      </c>
      <c r="H496" s="13" t="str">
        <f>IFERROR(__xludf.DUMMYFUNCTION("""COMPUTED_VALUE"""),"P0")</f>
        <v>P0</v>
      </c>
    </row>
    <row r="497" ht="22.5" customHeight="1">
      <c r="B497" s="19" t="str">
        <f>IFERROR(__xludf.DUMMYFUNCTION("""COMPUTED_VALUE"""),"K/49/241024/2")</f>
        <v>K/49/241024/2</v>
      </c>
      <c r="C497" s="19" t="str">
        <f>IFERROR(__xludf.DUMMYFUNCTION("""COMPUTED_VALUE"""),"M. 16581/ Sukabumi")</f>
        <v>M. 16581/ Sukabumi</v>
      </c>
      <c r="D497" s="17">
        <f>IFERROR(__xludf.DUMMYFUNCTION("""COMPUTED_VALUE"""),45589.623921875)</f>
        <v>45589.62392</v>
      </c>
      <c r="E497" s="13" t="str">
        <f>IFERROR(__xludf.DUMMYFUNCTION("""COMPUTED_VALUE"""),"BN Jual Beli")</f>
        <v>BN Jual Beli</v>
      </c>
      <c r="F497" s="13" t="str">
        <f>IFERROR(__xludf.DUMMYFUNCTION("""COMPUTED_VALUE"""),"nanik maryani/ asep yaya")</f>
        <v>nanik maryani/ asep yaya</v>
      </c>
      <c r="G497" s="13">
        <f t="shared" si="1"/>
        <v>459</v>
      </c>
      <c r="H497" s="13" t="str">
        <f>IFERROR(__xludf.DUMMYFUNCTION("""COMPUTED_VALUE"""),"P0")</f>
        <v>P0</v>
      </c>
    </row>
    <row r="498" ht="22.5" customHeight="1">
      <c r="B498" s="19" t="str">
        <f>IFERROR(__xludf.DUMMYFUNCTION("""COMPUTED_VALUE"""),"K/50/241024/3")</f>
        <v>K/50/241024/3</v>
      </c>
      <c r="C498" s="19" t="str">
        <f>IFERROR(__xludf.DUMMYFUNCTION("""COMPUTED_VALUE"""),"Nibel 923/ Rajabasa Raya")</f>
        <v>Nibel 923/ Rajabasa Raya</v>
      </c>
      <c r="D498" s="17">
        <f>IFERROR(__xludf.DUMMYFUNCTION("""COMPUTED_VALUE"""),45589.62624096065)</f>
        <v>45589.62624</v>
      </c>
      <c r="E498" s="13" t="str">
        <f>IFERROR(__xludf.DUMMYFUNCTION("""COMPUTED_VALUE"""),"Bn Jual Beli")</f>
        <v>Bn Jual Beli</v>
      </c>
      <c r="F498" s="13" t="str">
        <f>IFERROR(__xludf.DUMMYFUNCTION("""COMPUTED_VALUE"""),"Nanik Maryani/ Eva Rina")</f>
        <v>Nanik Maryani/ Eva Rina</v>
      </c>
      <c r="G498" s="13">
        <f t="shared" si="1"/>
        <v>460</v>
      </c>
      <c r="H498" s="13" t="str">
        <f>IFERROR(__xludf.DUMMYFUNCTION("""COMPUTED_VALUE"""),"P0")</f>
        <v>P0</v>
      </c>
    </row>
    <row r="499" ht="22.5" customHeight="1">
      <c r="B499" s="19" t="str">
        <f>IFERROR(__xludf.DUMMYFUNCTION("""COMPUTED_VALUE"""),"K/51/241024/4")</f>
        <v>K/51/241024/4</v>
      </c>
      <c r="C499" s="19" t="str">
        <f>IFERROR(__xludf.DUMMYFUNCTION("""COMPUTED_VALUE"""),"Nibel 1674/ Sumur Putri")</f>
        <v>Nibel 1674/ Sumur Putri</v>
      </c>
      <c r="D499" s="17">
        <f>IFERROR(__xludf.DUMMYFUNCTION("""COMPUTED_VALUE"""),45589.62891974537)</f>
        <v>45589.62892</v>
      </c>
      <c r="E499" s="13" t="str">
        <f>IFERROR(__xludf.DUMMYFUNCTION("""COMPUTED_VALUE"""),"Perubahan Hak")</f>
        <v>Perubahan Hak</v>
      </c>
      <c r="F499" s="13" t="str">
        <f>IFERROR(__xludf.DUMMYFUNCTION("""COMPUTED_VALUE"""),"Nanik Maryani")</f>
        <v>Nanik Maryani</v>
      </c>
      <c r="G499" s="13">
        <f t="shared" si="1"/>
        <v>461</v>
      </c>
      <c r="H499" s="13" t="str">
        <f>IFERROR(__xludf.DUMMYFUNCTION("""COMPUTED_VALUE"""),"P0")</f>
        <v>P0</v>
      </c>
    </row>
    <row r="500" ht="22.5" customHeight="1">
      <c r="B500" s="19" t="str">
        <f>IFERROR(__xludf.DUMMYFUNCTION("""COMPUTED_VALUE"""),"K/52/241024/1")</f>
        <v>K/52/241024/1</v>
      </c>
      <c r="C500" s="19" t="str">
        <f>IFERROR(__xludf.DUMMYFUNCTION("""COMPUTED_VALUE"""),"M.221/BILABONG JAYA")</f>
        <v>M.221/BILABONG JAYA</v>
      </c>
      <c r="D500" s="17">
        <f>IFERROR(__xludf.DUMMYFUNCTION("""COMPUTED_VALUE"""),45589.628941874995)</f>
        <v>45589.62894</v>
      </c>
      <c r="E500" s="13" t="str">
        <f>IFERROR(__xludf.DUMMYFUNCTION("""COMPUTED_VALUE"""),"BN JUAL BELI")</f>
        <v>BN JUAL BELI</v>
      </c>
      <c r="F500" s="13" t="str">
        <f>IFERROR(__xludf.DUMMYFUNCTION("""COMPUTED_VALUE"""),"BAMBANG PURWANTO/I MADE RETUG")</f>
        <v>BAMBANG PURWANTO/I MADE RETUG</v>
      </c>
      <c r="G500" s="13">
        <f t="shared" si="1"/>
        <v>462</v>
      </c>
      <c r="H500" s="13" t="str">
        <f>IFERROR(__xludf.DUMMYFUNCTION("""COMPUTED_VALUE"""),"P0")</f>
        <v>P0</v>
      </c>
    </row>
    <row r="501" ht="22.5" customHeight="1">
      <c r="B501" s="19" t="str">
        <f>IFERROR(__xludf.DUMMYFUNCTION("""COMPUTED_VALUE"""),"K/53/241024/1")</f>
        <v>K/53/241024/1</v>
      </c>
      <c r="C501" s="19" t="str">
        <f>IFERROR(__xludf.DUMMYFUNCTION("""COMPUTED_VALUE"""),"M. 561/ Tanjung Senang")</f>
        <v>M. 561/ Tanjung Senang</v>
      </c>
      <c r="D501" s="17">
        <f>IFERROR(__xludf.DUMMYFUNCTION("""COMPUTED_VALUE"""),45589.63271585648)</f>
        <v>45589.63272</v>
      </c>
      <c r="E501" s="13" t="str">
        <f>IFERROR(__xludf.DUMMYFUNCTION("""COMPUTED_VALUE"""),"BN Jual Beli")</f>
        <v>BN Jual Beli</v>
      </c>
      <c r="F501" s="13" t="str">
        <f>IFERROR(__xludf.DUMMYFUNCTION("""COMPUTED_VALUE"""),"Riadh I/ Eddy")</f>
        <v>Riadh I/ Eddy</v>
      </c>
      <c r="G501" s="13">
        <f t="shared" si="1"/>
        <v>463</v>
      </c>
      <c r="H501" s="13" t="str">
        <f>IFERROR(__xludf.DUMMYFUNCTION("""COMPUTED_VALUE"""),"P0")</f>
        <v>P0</v>
      </c>
    </row>
    <row r="502" ht="22.5" customHeight="1">
      <c r="B502" s="19" t="str">
        <f>IFERROR(__xludf.DUMMYFUNCTION("""COMPUTED_VALUE"""),"K/54/241024/2")</f>
        <v>K/54/241024/2</v>
      </c>
      <c r="C502" s="19" t="str">
        <f>IFERROR(__xludf.DUMMYFUNCTION("""COMPUTED_VALUE"""),"M. 4838/ Tanjung Senang")</f>
        <v>M. 4838/ Tanjung Senang</v>
      </c>
      <c r="D502" s="17">
        <f>IFERROR(__xludf.DUMMYFUNCTION("""COMPUTED_VALUE"""),45589.63340064815)</f>
        <v>45589.6334</v>
      </c>
      <c r="E502" s="13" t="str">
        <f>IFERROR(__xludf.DUMMYFUNCTION("""COMPUTED_VALUE"""),"BN Jual Beli")</f>
        <v>BN Jual Beli</v>
      </c>
      <c r="F502" s="13" t="str">
        <f>IFERROR(__xludf.DUMMYFUNCTION("""COMPUTED_VALUE"""),"Riadh I/ Eddy")</f>
        <v>Riadh I/ Eddy</v>
      </c>
      <c r="G502" s="13">
        <f t="shared" si="1"/>
        <v>464</v>
      </c>
      <c r="H502" s="13" t="str">
        <f>IFERROR(__xludf.DUMMYFUNCTION("""COMPUTED_VALUE"""),"P0")</f>
        <v>P0</v>
      </c>
    </row>
    <row r="503" ht="22.5" customHeight="1">
      <c r="B503" s="19" t="str">
        <f>IFERROR(__xludf.DUMMYFUNCTION("""COMPUTED_VALUE"""),"K/1/251024/1")</f>
        <v>K/1/251024/1</v>
      </c>
      <c r="C503" s="19" t="str">
        <f>IFERROR(__xludf.DUMMYFUNCTION("""COMPUTED_VALUE"""),"M. 2799/ Sumberrejo")</f>
        <v>M. 2799/ Sumberrejo</v>
      </c>
      <c r="D503" s="17">
        <f>IFERROR(__xludf.DUMMYFUNCTION("""COMPUTED_VALUE"""),45590.38118319445)</f>
        <v>45590.38118</v>
      </c>
      <c r="E503" s="13" t="str">
        <f>IFERROR(__xludf.DUMMYFUNCTION("""COMPUTED_VALUE"""),"PTPGT Pemecahan")</f>
        <v>PTPGT Pemecahan</v>
      </c>
      <c r="F503" s="13" t="str">
        <f>IFERROR(__xludf.DUMMYFUNCTION("""COMPUTED_VALUE"""),"Juriansyah/ m Eko")</f>
        <v>Juriansyah/ m Eko</v>
      </c>
      <c r="G503" s="13">
        <f t="shared" si="1"/>
        <v>465</v>
      </c>
      <c r="H503" s="13" t="str">
        <f>IFERROR(__xludf.DUMMYFUNCTION("""COMPUTED_VALUE"""),"P0")</f>
        <v>P0</v>
      </c>
    </row>
    <row r="504" ht="22.5" customHeight="1">
      <c r="B504" s="19" t="str">
        <f>IFERROR(__xludf.DUMMYFUNCTION("""COMPUTED_VALUE"""),"K/2/251024/2")</f>
        <v>K/2/251024/2</v>
      </c>
      <c r="C504" s="19" t="str">
        <f>IFERROR(__xludf.DUMMYFUNCTION("""COMPUTED_VALUE"""),"M. 2798/ Sumberrejo")</f>
        <v>M. 2798/ Sumberrejo</v>
      </c>
      <c r="D504" s="17">
        <f>IFERROR(__xludf.DUMMYFUNCTION("""COMPUTED_VALUE"""),45590.383504212965)</f>
        <v>45590.3835</v>
      </c>
      <c r="E504" s="13" t="str">
        <f>IFERROR(__xludf.DUMMYFUNCTION("""COMPUTED_VALUE"""),"PTPGT Pemecahan")</f>
        <v>PTPGT Pemecahan</v>
      </c>
      <c r="F504" s="13" t="str">
        <f>IFERROR(__xludf.DUMMYFUNCTION("""COMPUTED_VALUE"""),"Juriansyah/ M eko winangto")</f>
        <v>Juriansyah/ M eko winangto</v>
      </c>
      <c r="G504" s="13">
        <f t="shared" si="1"/>
        <v>466</v>
      </c>
      <c r="H504" s="13" t="str">
        <f>IFERROR(__xludf.DUMMYFUNCTION("""COMPUTED_VALUE"""),"P0")</f>
        <v>P0</v>
      </c>
    </row>
    <row r="505" ht="22.5" customHeight="1">
      <c r="B505" s="19" t="str">
        <f>IFERROR(__xludf.DUMMYFUNCTION("""COMPUTED_VALUE"""),"K/27/181024/1")</f>
        <v>K/27/181024/1</v>
      </c>
      <c r="C505" s="19" t="str">
        <f>IFERROR(__xludf.DUMMYFUNCTION("""COMPUTED_VALUE"""),"M. 193/ Palapa	")</f>
        <v>M. 193/ Palapa	</v>
      </c>
      <c r="D505" s="17">
        <f>IFERROR(__xludf.DUMMYFUNCTION("""COMPUTED_VALUE"""),45590.397482280096)</f>
        <v>45590.39748</v>
      </c>
      <c r="E505" s="13" t="str">
        <f>IFERROR(__xludf.DUMMYFUNCTION("""COMPUTED_VALUE"""),"Pemecahan")</f>
        <v>Pemecahan</v>
      </c>
      <c r="F505" s="13" t="str">
        <f>IFERROR(__xludf.DUMMYFUNCTION("""COMPUTED_VALUE"""),"Rendy Renaldy/ Arif Basuki		")</f>
        <v>Rendy Renaldy/ Arif Basuki		</v>
      </c>
      <c r="G505" s="13">
        <f t="shared" si="1"/>
        <v>466</v>
      </c>
      <c r="H505" s="13" t="str">
        <f>IFERROR(__xludf.DUMMYFUNCTION("""COMPUTED_VALUE"""),"P1")</f>
        <v>P1</v>
      </c>
    </row>
    <row r="506" ht="22.5" customHeight="1">
      <c r="B506" s="19" t="str">
        <f>IFERROR(__xludf.DUMMYFUNCTION("""COMPUTED_VALUE"""),"K/46/211024/2")</f>
        <v>K/46/211024/2</v>
      </c>
      <c r="C506" s="19" t="str">
        <f>IFERROR(__xludf.DUMMYFUNCTION("""COMPUTED_VALUE"""),"B. 1717/ Jagabaya II; SHT 5850/2013 dan SHT 763/2015")</f>
        <v>B. 1717/ Jagabaya II; SHT 5850/2013 dan SHT 763/2015</v>
      </c>
      <c r="D506" s="17">
        <f>IFERROR(__xludf.DUMMYFUNCTION("""COMPUTED_VALUE"""),45590.40745204861)</f>
        <v>45590.40745</v>
      </c>
      <c r="E506" s="13" t="str">
        <f>IFERROR(__xludf.DUMMYFUNCTION("""COMPUTED_VALUE"""),"Roya")</f>
        <v>Roya</v>
      </c>
      <c r="F506" s="13" t="str">
        <f>IFERROR(__xludf.DUMMYFUNCTION("""COMPUTED_VALUE"""),"Ayi Ruhiat/ M. Fauzi K")</f>
        <v>Ayi Ruhiat/ M. Fauzi K</v>
      </c>
      <c r="G506" s="13">
        <f t="shared" si="1"/>
        <v>466</v>
      </c>
      <c r="H506" s="13" t="str">
        <f>IFERROR(__xludf.DUMMYFUNCTION("""COMPUTED_VALUE"""),"P1")</f>
        <v>P1</v>
      </c>
    </row>
    <row r="507" ht="22.5" customHeight="1">
      <c r="B507" s="19" t="str">
        <f>IFERROR(__xludf.DUMMYFUNCTION("""COMPUTED_VALUE"""),"K/3/251024/1")</f>
        <v>K/3/251024/1</v>
      </c>
      <c r="C507" s="19" t="str">
        <f>IFERROR(__xludf.DUMMYFUNCTION("""COMPUTED_VALUE"""),"M.2066/RAJABASA RAYA")</f>
        <v>M.2066/RAJABASA RAYA</v>
      </c>
      <c r="D507" s="17">
        <f>IFERROR(__xludf.DUMMYFUNCTION("""COMPUTED_VALUE"""),45590.40937721065)</f>
        <v>45590.40938</v>
      </c>
      <c r="E507" s="13" t="str">
        <f>IFERROR(__xludf.DUMMYFUNCTION("""COMPUTED_VALUE"""),"BN JUAL BELI")</f>
        <v>BN JUAL BELI</v>
      </c>
      <c r="F507" s="13" t="str">
        <f>IFERROR(__xludf.DUMMYFUNCTION("""COMPUTED_VALUE"""),"YUKIO NISHIMURA/LINGGA AYU B")</f>
        <v>YUKIO NISHIMURA/LINGGA AYU B</v>
      </c>
      <c r="G507" s="13">
        <f t="shared" si="1"/>
        <v>467</v>
      </c>
      <c r="H507" s="13" t="str">
        <f>IFERROR(__xludf.DUMMYFUNCTION("""COMPUTED_VALUE"""),"P0")</f>
        <v>P0</v>
      </c>
    </row>
    <row r="508" ht="22.5" customHeight="1">
      <c r="B508" s="19" t="str">
        <f>IFERROR(__xludf.DUMMYFUNCTION("""COMPUTED_VALUE"""),"K/18/161024/1")</f>
        <v>K/18/161024/1</v>
      </c>
      <c r="C508" s="19" t="str">
        <f>IFERROR(__xludf.DUMMYFUNCTION("""COMPUTED_VALUE"""),"M. 1213/ Sukarame II")</f>
        <v>M. 1213/ Sukarame II</v>
      </c>
      <c r="D508" s="17">
        <f>IFERROR(__xludf.DUMMYFUNCTION("""COMPUTED_VALUE"""),45590.412493055555)</f>
        <v>45590.41249</v>
      </c>
      <c r="E508" s="13" t="str">
        <f>IFERROR(__xludf.DUMMYFUNCTION("""COMPUTED_VALUE"""),"HAPUS BPHTB")</f>
        <v>HAPUS BPHTB</v>
      </c>
      <c r="F508" s="13" t="str">
        <f>IFERROR(__xludf.DUMMYFUNCTION("""COMPUTED_VALUE"""),"FERAWATI/ SRI YANTI")</f>
        <v>FERAWATI/ SRI YANTI</v>
      </c>
      <c r="G508" s="13">
        <f t="shared" si="1"/>
        <v>467</v>
      </c>
      <c r="H508" s="13" t="str">
        <f>IFERROR(__xludf.DUMMYFUNCTION("""COMPUTED_VALUE"""),"P1")</f>
        <v>P1</v>
      </c>
    </row>
    <row r="509" ht="22.5" customHeight="1">
      <c r="B509" s="19" t="str">
        <f>IFERROR(__xludf.DUMMYFUNCTION("""COMPUTED_VALUE"""),"L/4/251024/1")</f>
        <v>L/4/251024/1</v>
      </c>
      <c r="C509" s="19" t="str">
        <f>IFERROR(__xludf.DUMMYFUNCTION("""COMPUTED_VALUE"""),"NIB 2765/PWH")</f>
        <v>NIB 2765/PWH</v>
      </c>
      <c r="D509" s="17">
        <f>IFERROR(__xludf.DUMMYFUNCTION("""COMPUTED_VALUE"""),45590.41778135417)</f>
        <v>45590.41778</v>
      </c>
      <c r="E509" s="13" t="str">
        <f>IFERROR(__xludf.DUMMYFUNCTION("""COMPUTED_VALUE"""),"BN WARIS")</f>
        <v>BN WARIS</v>
      </c>
      <c r="F509" s="13" t="str">
        <f>IFERROR(__xludf.DUMMYFUNCTION("""COMPUTED_VALUE"""),"ZUBAIDAH/CS")</f>
        <v>ZUBAIDAH/CS</v>
      </c>
      <c r="G509" s="13">
        <f t="shared" si="1"/>
        <v>468</v>
      </c>
      <c r="H509" s="13" t="str">
        <f>IFERROR(__xludf.DUMMYFUNCTION("""COMPUTED_VALUE"""),"P0")</f>
        <v>P0</v>
      </c>
    </row>
    <row r="510" ht="22.5" customHeight="1">
      <c r="B510" s="19" t="str">
        <f>IFERROR(__xludf.DUMMYFUNCTION("""COMPUTED_VALUE"""),"K/5/251024/1")</f>
        <v>K/5/251024/1</v>
      </c>
      <c r="C510" s="19" t="str">
        <f>IFERROR(__xludf.DUMMYFUNCTION("""COMPUTED_VALUE"""),"Nibel. M. 1272/ Rajabasa Jaya")</f>
        <v>Nibel. M. 1272/ Rajabasa Jaya</v>
      </c>
      <c r="D510" s="17">
        <f>IFERROR(__xludf.DUMMYFUNCTION("""COMPUTED_VALUE"""),45590.41871603009)</f>
        <v>45590.41872</v>
      </c>
      <c r="E510" s="13" t="str">
        <f>IFERROR(__xludf.DUMMYFUNCTION("""COMPUTED_VALUE"""),"Pemecahan")</f>
        <v>Pemecahan</v>
      </c>
      <c r="F510" s="13" t="str">
        <f>IFERROR(__xludf.DUMMYFUNCTION("""COMPUTED_VALUE"""),"Habibah/ Lestari CS")</f>
        <v>Habibah/ Lestari CS</v>
      </c>
      <c r="G510" s="13">
        <f t="shared" si="1"/>
        <v>469</v>
      </c>
      <c r="H510" s="13" t="str">
        <f>IFERROR(__xludf.DUMMYFUNCTION("""COMPUTED_VALUE"""),"P0")</f>
        <v>P0</v>
      </c>
    </row>
    <row r="511" ht="22.5" customHeight="1">
      <c r="B511" s="19" t="str">
        <f>IFERROR(__xludf.DUMMYFUNCTION("""COMPUTED_VALUE"""),"K/6/251024/1")</f>
        <v>K/6/251024/1</v>
      </c>
      <c r="C511" s="19" t="str">
        <f>IFERROR(__xludf.DUMMYFUNCTION("""COMPUTED_VALUE"""),"NIBEL B.748/KANGKUNG")</f>
        <v>NIBEL B.748/KANGKUNG</v>
      </c>
      <c r="D511" s="17">
        <f>IFERROR(__xludf.DUMMYFUNCTION("""COMPUTED_VALUE"""),45590.42176164352)</f>
        <v>45590.42176</v>
      </c>
      <c r="E511" s="13" t="str">
        <f>IFERROR(__xludf.DUMMYFUNCTION("""COMPUTED_VALUE"""),"BN JUAL BELI")</f>
        <v>BN JUAL BELI</v>
      </c>
      <c r="F511" s="13" t="str">
        <f>IFERROR(__xludf.DUMMYFUNCTION("""COMPUTED_VALUE"""),"PT KEONG NUSANTARA ABADI/KHRESNA DJUAINI")</f>
        <v>PT KEONG NUSANTARA ABADI/KHRESNA DJUAINI</v>
      </c>
      <c r="G511" s="13">
        <f t="shared" si="1"/>
        <v>470</v>
      </c>
      <c r="H511" s="13" t="str">
        <f>IFERROR(__xludf.DUMMYFUNCTION("""COMPUTED_VALUE"""),"P0")</f>
        <v>P0</v>
      </c>
    </row>
    <row r="512" ht="22.5" customHeight="1">
      <c r="B512" s="19" t="str">
        <f>IFERROR(__xludf.DUMMYFUNCTION("""COMPUTED_VALUE"""),"L/9/251024/1")</f>
        <v>L/9/251024/1</v>
      </c>
      <c r="C512" s="19" t="str">
        <f>IFERROR(__xludf.DUMMYFUNCTION("""COMPUTED_VALUE"""),"HM 12867/TANJUNG BARU")</f>
        <v>HM 12867/TANJUNG BARU</v>
      </c>
      <c r="D512" s="17">
        <f>IFERROR(__xludf.DUMMYFUNCTION("""COMPUTED_VALUE"""),45590.4250694213)</f>
        <v>45590.42507</v>
      </c>
      <c r="E512" s="13" t="str">
        <f>IFERROR(__xludf.DUMMYFUNCTION("""COMPUTED_VALUE"""),"ROYA")</f>
        <v>ROYA</v>
      </c>
      <c r="F512" s="13" t="str">
        <f>IFERROR(__xludf.DUMMYFUNCTION("""COMPUTED_VALUE"""),"NABILA")</f>
        <v>NABILA</v>
      </c>
      <c r="G512" s="13">
        <f t="shared" si="1"/>
        <v>471</v>
      </c>
      <c r="H512" s="13" t="str">
        <f>IFERROR(__xludf.DUMMYFUNCTION("""COMPUTED_VALUE"""),"P0")</f>
        <v>P0</v>
      </c>
    </row>
    <row r="513" ht="22.5" customHeight="1">
      <c r="B513" s="19" t="str">
        <f>IFERROR(__xludf.DUMMYFUNCTION("""COMPUTED_VALUE"""),"K/8/251024/1")</f>
        <v>K/8/251024/1</v>
      </c>
      <c r="C513" s="19" t="str">
        <f>IFERROR(__xludf.DUMMYFUNCTION("""COMPUTED_VALUE"""),"M. 13993/ SukarameI, M. 13992/ Sukarame I-sekarang; B. 443/ Way Halim Permai, B. 984/ Way Halim Permai-dahulu")</f>
        <v>M. 13993/ SukarameI, M. 13992/ Sukarame I-sekarang; B. 443/ Way Halim Permai, B. 984/ Way Halim Permai-dahulu</v>
      </c>
      <c r="D513" s="17">
        <f>IFERROR(__xludf.DUMMYFUNCTION("""COMPUTED_VALUE"""),45590.4624009838)</f>
        <v>45590.4624</v>
      </c>
      <c r="E513" s="13" t="str">
        <f>IFERROR(__xludf.DUMMYFUNCTION("""COMPUTED_VALUE"""),"Roya")</f>
        <v>Roya</v>
      </c>
      <c r="F513" s="13" t="str">
        <f>IFERROR(__xludf.DUMMYFUNCTION("""COMPUTED_VALUE"""),"Nuryati/ Christina")</f>
        <v>Nuryati/ Christina</v>
      </c>
      <c r="G513" s="13">
        <f t="shared" si="1"/>
        <v>472</v>
      </c>
      <c r="H513" s="13" t="str">
        <f>IFERROR(__xludf.DUMMYFUNCTION("""COMPUTED_VALUE"""),"P0")</f>
        <v>P0</v>
      </c>
    </row>
    <row r="514" ht="22.5" customHeight="1">
      <c r="B514" s="19" t="str">
        <f>IFERROR(__xludf.DUMMYFUNCTION("""COMPUTED_VALUE"""),"K/7/251024/2")</f>
        <v>K/7/251024/2</v>
      </c>
      <c r="C514" s="19" t="str">
        <f>IFERROR(__xludf.DUMMYFUNCTION("""COMPUTED_VALUE"""),"NIBEL B.2134/KAMPUNG BARU RAYA")</f>
        <v>NIBEL B.2134/KAMPUNG BARU RAYA</v>
      </c>
      <c r="D514" s="17">
        <f>IFERROR(__xludf.DUMMYFUNCTION("""COMPUTED_VALUE"""),45590.427260648146)</f>
        <v>45590.42726</v>
      </c>
      <c r="E514" s="13" t="str">
        <f>IFERROR(__xludf.DUMMYFUNCTION("""COMPUTED_VALUE"""),"BN HIBAH ")</f>
        <v>BN HIBAH </v>
      </c>
      <c r="F514" s="13" t="str">
        <f>IFERROR(__xludf.DUMMYFUNCTION("""COMPUTED_VALUE"""),"ELMIRA TJAHYA/KHRESNA DJUAINI")</f>
        <v>ELMIRA TJAHYA/KHRESNA DJUAINI</v>
      </c>
      <c r="G514" s="13">
        <f t="shared" si="1"/>
        <v>473</v>
      </c>
      <c r="H514" s="13" t="str">
        <f>IFERROR(__xludf.DUMMYFUNCTION("""COMPUTED_VALUE"""),"P0")</f>
        <v>P0</v>
      </c>
    </row>
    <row r="515" ht="22.5" customHeight="1">
      <c r="B515" s="19" t="str">
        <f>IFERROR(__xludf.DUMMYFUNCTION("""COMPUTED_VALUE"""),"K/11/251024/1")</f>
        <v>K/11/251024/1</v>
      </c>
      <c r="C515" s="19" t="str">
        <f>IFERROR(__xludf.DUMMYFUNCTION("""COMPUTED_VALUE"""),"M. 13693/ Korpri Raya; M. 13693/ Sukarame-dahulu")</f>
        <v>M. 13693/ Korpri Raya; M. 13693/ Sukarame-dahulu</v>
      </c>
      <c r="D515" s="17">
        <f>IFERROR(__xludf.DUMMYFUNCTION("""COMPUTED_VALUE"""),45590.43062642361)</f>
        <v>45590.43063</v>
      </c>
      <c r="E515" s="13" t="str">
        <f>IFERROR(__xludf.DUMMYFUNCTION("""COMPUTED_VALUE"""),"BN Hibah")</f>
        <v>BN Hibah</v>
      </c>
      <c r="F515" s="13" t="str">
        <f>IFERROR(__xludf.DUMMYFUNCTION("""COMPUTED_VALUE"""),"Fahmi Sasmita/ Erilisa")</f>
        <v>Fahmi Sasmita/ Erilisa</v>
      </c>
      <c r="G515" s="13">
        <f t="shared" si="1"/>
        <v>474</v>
      </c>
      <c r="H515" s="13" t="str">
        <f>IFERROR(__xludf.DUMMYFUNCTION("""COMPUTED_VALUE"""),"P0")</f>
        <v>P0</v>
      </c>
    </row>
    <row r="516" ht="22.5" customHeight="1">
      <c r="B516" s="19" t="str">
        <f>IFERROR(__xludf.DUMMYFUNCTION("""COMPUTED_VALUE"""),"L/10/251024/1")</f>
        <v>L/10/251024/1</v>
      </c>
      <c r="C516" s="19" t="str">
        <f>IFERROR(__xludf.DUMMYFUNCTION("""COMPUTED_VALUE"""),"M.14233/SEGALA MIDER")</f>
        <v>M.14233/SEGALA MIDER</v>
      </c>
      <c r="D516" s="17">
        <f>IFERROR(__xludf.DUMMYFUNCTION("""COMPUTED_VALUE"""),45590.43399478009)</f>
        <v>45590.43399</v>
      </c>
      <c r="E516" s="13" t="str">
        <f>IFERROR(__xludf.DUMMYFUNCTION("""COMPUTED_VALUE"""),"PEMECAHAN")</f>
        <v>PEMECAHAN</v>
      </c>
      <c r="F516" s="13" t="str">
        <f>IFERROR(__xludf.DUMMYFUNCTION("""COMPUTED_VALUE"""),"EDWAR JUANDA RUSYDI")</f>
        <v>EDWAR JUANDA RUSYDI</v>
      </c>
      <c r="G516" s="13">
        <f t="shared" si="1"/>
        <v>475</v>
      </c>
      <c r="H516" s="13" t="str">
        <f>IFERROR(__xludf.DUMMYFUNCTION("""COMPUTED_VALUE"""),"P0")</f>
        <v>P0</v>
      </c>
    </row>
    <row r="517" ht="22.5" customHeight="1">
      <c r="B517" s="19" t="str">
        <f>IFERROR(__xludf.DUMMYFUNCTION("""COMPUTED_VALUE"""),"K/25/171024/1")</f>
        <v>K/25/171024/1</v>
      </c>
      <c r="C517" s="19" t="str">
        <f>IFERROR(__xludf.DUMMYFUNCTION("""COMPUTED_VALUE"""),"Nibel. M. 1067/ Sukarame Baru")</f>
        <v>Nibel. M. 1067/ Sukarame Baru</v>
      </c>
      <c r="D517" s="17">
        <f>IFERROR(__xludf.DUMMYFUNCTION("""COMPUTED_VALUE"""),45590.43730471065)</f>
        <v>45590.4373</v>
      </c>
      <c r="E517" s="13" t="str">
        <f>IFERROR(__xludf.DUMMYFUNCTION("""COMPUTED_VALUE"""),"BN Jual Beli")</f>
        <v>BN Jual Beli</v>
      </c>
      <c r="F517" s="13" t="str">
        <f>IFERROR(__xludf.DUMMYFUNCTION("""COMPUTED_VALUE"""),"Ilanur/ Etika Fitri S	")</f>
        <v>Ilanur/ Etika Fitri S	</v>
      </c>
      <c r="G517" s="13">
        <f t="shared" si="1"/>
        <v>475</v>
      </c>
      <c r="H517" s="13" t="str">
        <f>IFERROR(__xludf.DUMMYFUNCTION("""COMPUTED_VALUE"""),"P1")</f>
        <v>P1</v>
      </c>
    </row>
    <row r="518" ht="22.5" customHeight="1">
      <c r="B518" s="19" t="str">
        <f>IFERROR(__xludf.DUMMYFUNCTION("""COMPUTED_VALUE"""),"K/12/181024/1")</f>
        <v>K/12/181024/1</v>
      </c>
      <c r="C518" s="19" t="str">
        <f>IFERROR(__xludf.DUMMYFUNCTION("""COMPUTED_VALUE"""),"M. 13899/ Rajabasa	")</f>
        <v>M. 13899/ Rajabasa	</v>
      </c>
      <c r="D518" s="17">
        <f>IFERROR(__xludf.DUMMYFUNCTION("""COMPUTED_VALUE"""),45590.43789771991)</f>
        <v>45590.4379</v>
      </c>
      <c r="E518" s="13" t="str">
        <f>IFERROR(__xludf.DUMMYFUNCTION("""COMPUTED_VALUE"""),"BN Jual Beli")</f>
        <v>BN Jual Beli</v>
      </c>
      <c r="F518" s="13" t="str">
        <f>IFERROR(__xludf.DUMMYFUNCTION("""COMPUTED_VALUE"""),"Ilanur/ Basariyah		")</f>
        <v>Ilanur/ Basariyah		</v>
      </c>
      <c r="G518" s="13">
        <f t="shared" si="1"/>
        <v>475</v>
      </c>
      <c r="H518" s="13" t="str">
        <f>IFERROR(__xludf.DUMMYFUNCTION("""COMPUTED_VALUE"""),"P1")</f>
        <v>P1</v>
      </c>
    </row>
    <row r="519" ht="22.5" customHeight="1">
      <c r="B519" s="19" t="str">
        <f>IFERROR(__xludf.DUMMYFUNCTION("""COMPUTED_VALUE"""),"K/12/251024/1")</f>
        <v>K/12/251024/1</v>
      </c>
      <c r="C519" s="19" t="str">
        <f>IFERROR(__xludf.DUMMYFUNCTION("""COMPUTED_VALUE"""),"Nibel. M. 1424/ Jagabaya II")</f>
        <v>Nibel. M. 1424/ Jagabaya II</v>
      </c>
      <c r="D519" s="17">
        <f>IFERROR(__xludf.DUMMYFUNCTION("""COMPUTED_VALUE"""),45590.44860020833)</f>
        <v>45590.4486</v>
      </c>
      <c r="E519" s="13" t="str">
        <f>IFERROR(__xludf.DUMMYFUNCTION("""COMPUTED_VALUE"""),"BN Hibah")</f>
        <v>BN Hibah</v>
      </c>
      <c r="F519" s="13" t="str">
        <f>IFERROR(__xludf.DUMMYFUNCTION("""COMPUTED_VALUE"""),"Yudeni T/ Daniel Fajar")</f>
        <v>Yudeni T/ Daniel Fajar</v>
      </c>
      <c r="G519" s="13">
        <f t="shared" si="1"/>
        <v>476</v>
      </c>
      <c r="H519" s="13" t="str">
        <f>IFERROR(__xludf.DUMMYFUNCTION("""COMPUTED_VALUE"""),"P0")</f>
        <v>P0</v>
      </c>
    </row>
    <row r="520" ht="22.5" customHeight="1">
      <c r="B520" s="19" t="str">
        <f>IFERROR(__xludf.DUMMYFUNCTION("""COMPUTED_VALUE"""),"K/13/251024/1")</f>
        <v>K/13/251024/1</v>
      </c>
      <c r="C520" s="19" t="str">
        <f>IFERROR(__xludf.DUMMYFUNCTION("""COMPUTED_VALUE"""),"M.990/DURIAN PAYUNG")</f>
        <v>M.990/DURIAN PAYUNG</v>
      </c>
      <c r="D520" s="17">
        <f>IFERROR(__xludf.DUMMYFUNCTION("""COMPUTED_VALUE"""),45590.456297384255)</f>
        <v>45590.4563</v>
      </c>
      <c r="E520" s="13" t="str">
        <f>IFERROR(__xludf.DUMMYFUNCTION("""COMPUTED_VALUE"""),"ROYA")</f>
        <v>ROYA</v>
      </c>
      <c r="F520" s="13" t="str">
        <f>IFERROR(__xludf.DUMMYFUNCTION("""COMPUTED_VALUE"""),"ROMLI/MUHAMMAD IWAN KURNIAWAN")</f>
        <v>ROMLI/MUHAMMAD IWAN KURNIAWAN</v>
      </c>
      <c r="G520" s="13">
        <f t="shared" si="1"/>
        <v>477</v>
      </c>
      <c r="H520" s="13" t="str">
        <f>IFERROR(__xludf.DUMMYFUNCTION("""COMPUTED_VALUE"""),"P0")</f>
        <v>P0</v>
      </c>
    </row>
    <row r="521" ht="22.5" customHeight="1">
      <c r="B521" s="19" t="str">
        <f>IFERROR(__xludf.DUMMYFUNCTION("""COMPUTED_VALUE"""),"K/14/251024/1")</f>
        <v>K/14/251024/1</v>
      </c>
      <c r="C521" s="19" t="str">
        <f>IFERROR(__xludf.DUMMYFUNCTION("""COMPUTED_VALUE"""),"M.37/LABUHAN DALAM")</f>
        <v>M.37/LABUHAN DALAM</v>
      </c>
      <c r="D521" s="17">
        <f>IFERROR(__xludf.DUMMYFUNCTION("""COMPUTED_VALUE"""),45590.4571380787)</f>
        <v>45590.45714</v>
      </c>
      <c r="E521" s="13" t="str">
        <f>IFERROR(__xludf.DUMMYFUNCTION("""COMPUTED_VALUE"""),"GANDES")</f>
        <v>GANDES</v>
      </c>
      <c r="F521" s="13" t="str">
        <f>IFERROR(__xludf.DUMMYFUNCTION("""COMPUTED_VALUE"""),"IR KETUT PASEK/GUSTI KOMANG OKA TRIO PUTRA")</f>
        <v>IR KETUT PASEK/GUSTI KOMANG OKA TRIO PUTRA</v>
      </c>
      <c r="G521" s="13">
        <f t="shared" si="1"/>
        <v>478</v>
      </c>
      <c r="H521" s="13" t="str">
        <f>IFERROR(__xludf.DUMMYFUNCTION("""COMPUTED_VALUE"""),"P0")</f>
        <v>P0</v>
      </c>
    </row>
    <row r="522" ht="22.5" customHeight="1">
      <c r="B522" s="19" t="str">
        <f>IFERROR(__xludf.DUMMYFUNCTION("""COMPUTED_VALUE"""),"L/15/251024/1")</f>
        <v>L/15/251024/1</v>
      </c>
      <c r="C522" s="19" t="str">
        <f>IFERROR(__xludf.DUMMYFUNCTION("""COMPUTED_VALUE"""),"SIDODADI")</f>
        <v>SIDODADI</v>
      </c>
      <c r="D522" s="17">
        <f>IFERROR(__xludf.DUMMYFUNCTION("""COMPUTED_VALUE"""),45590.46005574074)</f>
        <v>45590.46006</v>
      </c>
      <c r="E522" s="13" t="str">
        <f>IFERROR(__xludf.DUMMYFUNCTION("""COMPUTED_VALUE"""),"ASPEK")</f>
        <v>ASPEK</v>
      </c>
      <c r="F522" s="13" t="str">
        <f>IFERROR(__xludf.DUMMYFUNCTION("""COMPUTED_VALUE"""),"M RONI")</f>
        <v>M RONI</v>
      </c>
      <c r="G522" s="13">
        <f t="shared" si="1"/>
        <v>479</v>
      </c>
      <c r="H522" s="13" t="str">
        <f>IFERROR(__xludf.DUMMYFUNCTION("""COMPUTED_VALUE"""),"P0")</f>
        <v>P0</v>
      </c>
    </row>
    <row r="523" ht="22.5" customHeight="1">
      <c r="B523" s="19" t="str">
        <f>IFERROR(__xludf.DUMMYFUNCTION("""COMPUTED_VALUE"""),"K/16/251024/1")</f>
        <v>K/16/251024/1</v>
      </c>
      <c r="C523" s="19" t="str">
        <f>IFERROR(__xludf.DUMMYFUNCTION("""COMPUTED_VALUE"""),"M. 2543/ Pinang Jaya")</f>
        <v>M. 2543/ Pinang Jaya</v>
      </c>
      <c r="D523" s="17">
        <f>IFERROR(__xludf.DUMMYFUNCTION("""COMPUTED_VALUE"""),45590.46879186343)</f>
        <v>45590.46879</v>
      </c>
      <c r="E523" s="13" t="str">
        <f>IFERROR(__xludf.DUMMYFUNCTION("""COMPUTED_VALUE"""),"BN Jual Beli")</f>
        <v>BN Jual Beli</v>
      </c>
      <c r="F523" s="13" t="str">
        <f>IFERROR(__xludf.DUMMYFUNCTION("""COMPUTED_VALUE"""),"Eka Sari T/ Ary Y")</f>
        <v>Eka Sari T/ Ary Y</v>
      </c>
      <c r="G523" s="13">
        <f t="shared" si="1"/>
        <v>480</v>
      </c>
      <c r="H523" s="13" t="str">
        <f>IFERROR(__xludf.DUMMYFUNCTION("""COMPUTED_VALUE"""),"P0")</f>
        <v>P0</v>
      </c>
    </row>
    <row r="524" ht="22.5" customHeight="1">
      <c r="B524" s="19" t="str">
        <f>IFERROR(__xludf.DUMMYFUNCTION("""COMPUTED_VALUE"""),"K/19/251024/1")</f>
        <v>K/19/251024/1</v>
      </c>
      <c r="C524" s="19" t="str">
        <f>IFERROR(__xludf.DUMMYFUNCTION("""COMPUTED_VALUE"""),"M.1833/RAJABASA JAYA")</f>
        <v>M.1833/RAJABASA JAYA</v>
      </c>
      <c r="D524" s="17">
        <f>IFERROR(__xludf.DUMMYFUNCTION("""COMPUTED_VALUE"""),45590.46976792824)</f>
        <v>45590.46977</v>
      </c>
      <c r="E524" s="13" t="str">
        <f>IFERROR(__xludf.DUMMYFUNCTION("""COMPUTED_VALUE"""),"HAPUS BPHTB")</f>
        <v>HAPUS BPHTB</v>
      </c>
      <c r="F524" s="13" t="str">
        <f>IFERROR(__xludf.DUMMYFUNCTION("""COMPUTED_VALUE"""),"NURHAYATI/VIVI INGGRIT LESTARI")</f>
        <v>NURHAYATI/VIVI INGGRIT LESTARI</v>
      </c>
      <c r="G524" s="13">
        <f t="shared" si="1"/>
        <v>481</v>
      </c>
      <c r="H524" s="13" t="str">
        <f>IFERROR(__xludf.DUMMYFUNCTION("""COMPUTED_VALUE"""),"P0")</f>
        <v>P0</v>
      </c>
    </row>
    <row r="525" ht="22.5" customHeight="1">
      <c r="B525" s="19" t="str">
        <f>IFERROR(__xludf.DUMMYFUNCTION("""COMPUTED_VALUE"""),"K/17/251024/2")</f>
        <v>K/17/251024/2</v>
      </c>
      <c r="C525" s="19" t="str">
        <f>IFERROR(__xludf.DUMMYFUNCTION("""COMPUTED_VALUE"""),"M. 2394/ Pinang Jaya")</f>
        <v>M. 2394/ Pinang Jaya</v>
      </c>
      <c r="D525" s="17">
        <f>IFERROR(__xludf.DUMMYFUNCTION("""COMPUTED_VALUE"""),45590.47026585648)</f>
        <v>45590.47027</v>
      </c>
      <c r="E525" s="13" t="str">
        <f>IFERROR(__xludf.DUMMYFUNCTION("""COMPUTED_VALUE"""),"BN Jual Beli")</f>
        <v>BN Jual Beli</v>
      </c>
      <c r="F525" s="13" t="str">
        <f>IFERROR(__xludf.DUMMYFUNCTION("""COMPUTED_VALUE"""),"Eka Sari T/ Emilia")</f>
        <v>Eka Sari T/ Emilia</v>
      </c>
      <c r="G525" s="13">
        <f t="shared" si="1"/>
        <v>482</v>
      </c>
      <c r="H525" s="13" t="str">
        <f>IFERROR(__xludf.DUMMYFUNCTION("""COMPUTED_VALUE"""),"P0")</f>
        <v>P0</v>
      </c>
    </row>
    <row r="526" ht="22.5" customHeight="1">
      <c r="B526" s="19" t="str">
        <f>IFERROR(__xludf.DUMMYFUNCTION("""COMPUTED_VALUE"""),"K/18/251024/3")</f>
        <v>K/18/251024/3</v>
      </c>
      <c r="C526" s="19" t="str">
        <f>IFERROR(__xludf.DUMMYFUNCTION("""COMPUTED_VALUE"""),"M. 2528/ Pinang Jaya")</f>
        <v>M. 2528/ Pinang Jaya</v>
      </c>
      <c r="D526" s="17">
        <f>IFERROR(__xludf.DUMMYFUNCTION("""COMPUTED_VALUE"""),45590.47119265047)</f>
        <v>45590.47119</v>
      </c>
      <c r="E526" s="13" t="str">
        <f>IFERROR(__xludf.DUMMYFUNCTION("""COMPUTED_VALUE"""),"BN Jual Beli")</f>
        <v>BN Jual Beli</v>
      </c>
      <c r="F526" s="13" t="str">
        <f>IFERROR(__xludf.DUMMYFUNCTION("""COMPUTED_VALUE"""),"Eka Sari T/ Ilmiati S")</f>
        <v>Eka Sari T/ Ilmiati S</v>
      </c>
      <c r="G526" s="13">
        <f t="shared" si="1"/>
        <v>483</v>
      </c>
      <c r="H526" s="13" t="str">
        <f>IFERROR(__xludf.DUMMYFUNCTION("""COMPUTED_VALUE"""),"P0")</f>
        <v>P0</v>
      </c>
    </row>
    <row r="527" ht="22.5" customHeight="1">
      <c r="B527" s="19" t="str">
        <f>IFERROR(__xludf.DUMMYFUNCTION("""COMPUTED_VALUE"""),"K/21/151024/1")</f>
        <v>K/21/151024/1</v>
      </c>
      <c r="C527" s="19" t="str">
        <f>IFERROR(__xludf.DUMMYFUNCTION("""COMPUTED_VALUE"""),"M. 652/ Pinang Jaya")</f>
        <v>M. 652/ Pinang Jaya</v>
      </c>
      <c r="D527" s="17">
        <f>IFERROR(__xludf.DUMMYFUNCTION("""COMPUTED_VALUE"""),45590.52943851852)</f>
        <v>45590.52944</v>
      </c>
      <c r="E527" s="13" t="str">
        <f>IFERROR(__xludf.DUMMYFUNCTION("""COMPUTED_VALUE"""),"BN Jual Beli")</f>
        <v>BN Jual Beli</v>
      </c>
      <c r="F527" s="13" t="str">
        <f>IFERROR(__xludf.DUMMYFUNCTION("""COMPUTED_VALUE"""),"rahmadiyanti")</f>
        <v>rahmadiyanti</v>
      </c>
      <c r="G527" s="13">
        <f t="shared" si="1"/>
        <v>483</v>
      </c>
      <c r="H527" s="13" t="str">
        <f>IFERROR(__xludf.DUMMYFUNCTION("""COMPUTED_VALUE"""),"P1")</f>
        <v>P1</v>
      </c>
    </row>
    <row r="528" ht="22.5" customHeight="1">
      <c r="B528" s="19" t="str">
        <f>IFERROR(__xludf.DUMMYFUNCTION("""COMPUTED_VALUE"""),"K/20/251024/1")</f>
        <v>K/20/251024/1</v>
      </c>
      <c r="C528" s="19" t="str">
        <f>IFERROR(__xludf.DUMMYFUNCTION("""COMPUTED_VALUE"""),"M. 2051/ L R R; M. 11392/ L R")</f>
        <v>M. 2051/ L R R; M. 11392/ L R</v>
      </c>
      <c r="D528" s="17">
        <f>IFERROR(__xludf.DUMMYFUNCTION("""COMPUTED_VALUE"""),45590.54771767361)</f>
        <v>45590.54772</v>
      </c>
      <c r="E528" s="13" t="str">
        <f>IFERROR(__xludf.DUMMYFUNCTION("""COMPUTED_VALUE"""),"BN Jual Beli")</f>
        <v>BN Jual Beli</v>
      </c>
      <c r="F528" s="13" t="str">
        <f>IFERROR(__xludf.DUMMYFUNCTION("""COMPUTED_VALUE"""),"Agustina S/ Erdi Purnomo")</f>
        <v>Agustina S/ Erdi Purnomo</v>
      </c>
      <c r="G528" s="13">
        <f t="shared" si="1"/>
        <v>484</v>
      </c>
      <c r="H528" s="13" t="str">
        <f>IFERROR(__xludf.DUMMYFUNCTION("""COMPUTED_VALUE"""),"P0")</f>
        <v>P0</v>
      </c>
    </row>
    <row r="529" ht="22.5" customHeight="1">
      <c r="B529" s="19" t="str">
        <f>IFERROR(__xludf.DUMMYFUNCTION("""COMPUTED_VALUE"""),"K/35/211024/2")</f>
        <v>K/35/211024/2</v>
      </c>
      <c r="C529" s="19" t="str">
        <f>IFERROR(__xludf.DUMMYFUNCTION("""COMPUTED_VALUE"""),"M.181/ Bumi Kedamaian")</f>
        <v>M.181/ Bumi Kedamaian</v>
      </c>
      <c r="D529" s="17">
        <f>IFERROR(__xludf.DUMMYFUNCTION("""COMPUTED_VALUE"""),45590.547792604164)</f>
        <v>45590.54779</v>
      </c>
      <c r="E529" s="13" t="str">
        <f>IFERROR(__xludf.DUMMYFUNCTION("""COMPUTED_VALUE"""),"SKPT LELANG")</f>
        <v>SKPT LELANG</v>
      </c>
      <c r="F529" s="13" t="str">
        <f>IFERROR(__xludf.DUMMYFUNCTION("""COMPUTED_VALUE"""),"Agus Supriyanto")</f>
        <v>Agus Supriyanto</v>
      </c>
      <c r="G529" s="13">
        <f t="shared" si="1"/>
        <v>484</v>
      </c>
      <c r="H529" s="13" t="str">
        <f>IFERROR(__xludf.DUMMYFUNCTION("""COMPUTED_VALUE"""),"P1")</f>
        <v>P1</v>
      </c>
    </row>
    <row r="530" ht="22.5" customHeight="1">
      <c r="B530" s="19" t="str">
        <f>IFERROR(__xludf.DUMMYFUNCTION("""COMPUTED_VALUE"""),"K/21/251024/1")</f>
        <v>K/21/251024/1</v>
      </c>
      <c r="C530" s="19" t="str">
        <f>IFERROR(__xludf.DUMMYFUNCTION("""COMPUTED_VALUE"""),"M. 1360/ Tanjungkarang")</f>
        <v>M. 1360/ Tanjungkarang</v>
      </c>
      <c r="D530" s="17">
        <f>IFERROR(__xludf.DUMMYFUNCTION("""COMPUTED_VALUE"""),45590.55264710648)</f>
        <v>45590.55265</v>
      </c>
      <c r="E530" s="13" t="str">
        <f>IFERROR(__xludf.DUMMYFUNCTION("""COMPUTED_VALUE"""),"SKPT LELANG")</f>
        <v>SKPT LELANG</v>
      </c>
      <c r="F530" s="13" t="str">
        <f>IFERROR(__xludf.DUMMYFUNCTION("""COMPUTED_VALUE"""),"Titik Wijayanti/Dito ")</f>
        <v>Titik Wijayanti/Dito </v>
      </c>
      <c r="G530" s="13">
        <f t="shared" si="1"/>
        <v>485</v>
      </c>
      <c r="H530" s="13" t="str">
        <f>IFERROR(__xludf.DUMMYFUNCTION("""COMPUTED_VALUE"""),"P0")</f>
        <v>P0</v>
      </c>
    </row>
    <row r="531" ht="22.5" customHeight="1">
      <c r="B531" s="19" t="str">
        <f>IFERROR(__xludf.DUMMYFUNCTION("""COMPUTED_VALUE"""),"K/22/251024/2")</f>
        <v>K/22/251024/2</v>
      </c>
      <c r="C531" s="19" t="str">
        <f>IFERROR(__xludf.DUMMYFUNCTION("""COMPUTED_VALUE"""),"M. 63/ Labuhan Dalam")</f>
        <v>M. 63/ Labuhan Dalam</v>
      </c>
      <c r="D531" s="17">
        <f>IFERROR(__xludf.DUMMYFUNCTION("""COMPUTED_VALUE"""),45590.553775057866)</f>
        <v>45590.55378</v>
      </c>
      <c r="E531" s="13" t="str">
        <f>IFERROR(__xludf.DUMMYFUNCTION("""COMPUTED_VALUE"""),"SKPT LELANG")</f>
        <v>SKPT LELANG</v>
      </c>
      <c r="F531" s="13" t="str">
        <f>IFERROR(__xludf.DUMMYFUNCTION("""COMPUTED_VALUE"""),"dito saputra")</f>
        <v>dito saputra</v>
      </c>
      <c r="G531" s="13">
        <f t="shared" si="1"/>
        <v>486</v>
      </c>
      <c r="H531" s="13" t="str">
        <f>IFERROR(__xludf.DUMMYFUNCTION("""COMPUTED_VALUE"""),"P0")</f>
        <v>P0</v>
      </c>
    </row>
    <row r="532" ht="22.5" customHeight="1">
      <c r="B532" s="19" t="str">
        <f>IFERROR(__xludf.DUMMYFUNCTION("""COMPUTED_VALUE"""),"K/23/251024/3")</f>
        <v>K/23/251024/3</v>
      </c>
      <c r="C532" s="19" t="str">
        <f>IFERROR(__xludf.DUMMYFUNCTION("""COMPUTED_VALUE"""),"M. 1255/ Gunung Terang")</f>
        <v>M. 1255/ Gunung Terang</v>
      </c>
      <c r="D532" s="17">
        <f>IFERROR(__xludf.DUMMYFUNCTION("""COMPUTED_VALUE"""),45590.55509581018)</f>
        <v>45590.5551</v>
      </c>
      <c r="E532" s="13" t="str">
        <f>IFERROR(__xludf.DUMMYFUNCTION("""COMPUTED_VALUE"""),"skpt lelang")</f>
        <v>skpt lelang</v>
      </c>
      <c r="F532" s="13" t="str">
        <f>IFERROR(__xludf.DUMMYFUNCTION("""COMPUTED_VALUE"""),"dito saputra")</f>
        <v>dito saputra</v>
      </c>
      <c r="G532" s="13">
        <f t="shared" si="1"/>
        <v>487</v>
      </c>
      <c r="H532" s="13" t="str">
        <f>IFERROR(__xludf.DUMMYFUNCTION("""COMPUTED_VALUE"""),"P0")</f>
        <v>P0</v>
      </c>
    </row>
    <row r="533" ht="22.5" customHeight="1">
      <c r="B533" s="19" t="str">
        <f>IFERROR(__xludf.DUMMYFUNCTION("""COMPUTED_VALUE"""),"K/24/251024/4")</f>
        <v>K/24/251024/4</v>
      </c>
      <c r="C533" s="19" t="str">
        <f>IFERROR(__xludf.DUMMYFUNCTION("""COMPUTED_VALUE"""),"M. 1255/ Gunung Terang")</f>
        <v>M. 1255/ Gunung Terang</v>
      </c>
      <c r="D533" s="17">
        <f>IFERROR(__xludf.DUMMYFUNCTION("""COMPUTED_VALUE"""),45590.55623884259)</f>
        <v>45590.55624</v>
      </c>
      <c r="E533" s="13" t="str">
        <f>IFERROR(__xludf.DUMMYFUNCTION("""COMPUTED_VALUE"""),"SKPT LELANG")</f>
        <v>SKPT LELANG</v>
      </c>
      <c r="F533" s="13" t="str">
        <f>IFERROR(__xludf.DUMMYFUNCTION("""COMPUTED_VALUE"""),"DITO SAPUTRA")</f>
        <v>DITO SAPUTRA</v>
      </c>
      <c r="G533" s="13">
        <f t="shared" si="1"/>
        <v>488</v>
      </c>
      <c r="H533" s="13" t="str">
        <f>IFERROR(__xludf.DUMMYFUNCTION("""COMPUTED_VALUE"""),"P0")</f>
        <v>P0</v>
      </c>
    </row>
    <row r="534" ht="22.5" customHeight="1">
      <c r="B534" s="19" t="str">
        <f>IFERROR(__xludf.DUMMYFUNCTION("""COMPUTED_VALUE"""),"K/25/251024/5")</f>
        <v>K/25/251024/5</v>
      </c>
      <c r="C534" s="19" t="str">
        <f>IFERROR(__xludf.DUMMYFUNCTION("""COMPUTED_VALUE"""),"M. 9350/ Segala mider")</f>
        <v>M. 9350/ Segala mider</v>
      </c>
      <c r="D534" s="17">
        <f>IFERROR(__xludf.DUMMYFUNCTION("""COMPUTED_VALUE"""),45590.55815571759)</f>
        <v>45590.55816</v>
      </c>
      <c r="E534" s="13" t="str">
        <f>IFERROR(__xludf.DUMMYFUNCTION("""COMPUTED_VALUE"""),"SKPT LELANG")</f>
        <v>SKPT LELANG</v>
      </c>
      <c r="F534" s="13" t="str">
        <f>IFERROR(__xludf.DUMMYFUNCTION("""COMPUTED_VALUE"""),"DITO SAPUTRA")</f>
        <v>DITO SAPUTRA</v>
      </c>
      <c r="G534" s="13">
        <f t="shared" si="1"/>
        <v>489</v>
      </c>
      <c r="H534" s="13" t="str">
        <f>IFERROR(__xludf.DUMMYFUNCTION("""COMPUTED_VALUE"""),"P0")</f>
        <v>P0</v>
      </c>
    </row>
    <row r="535" ht="22.5" customHeight="1">
      <c r="B535" s="19" t="str">
        <f>IFERROR(__xludf.DUMMYFUNCTION("""COMPUTED_VALUE"""),"K/1/211024/1")</f>
        <v>K/1/211024/1</v>
      </c>
      <c r="C535" s="19" t="str">
        <f>IFERROR(__xludf.DUMMYFUNCTION("""COMPUTED_VALUE"""),"B. 1370/ Kemiling Permai; B. 1441/ Su K-dahulu")</f>
        <v>B. 1370/ Kemiling Permai; B. 1441/ Su K-dahulu</v>
      </c>
      <c r="D535" s="17">
        <f>IFERROR(__xludf.DUMMYFUNCTION("""COMPUTED_VALUE"""),45590.55967362269)</f>
        <v>45590.55967</v>
      </c>
      <c r="E535" s="13" t="str">
        <f>IFERROR(__xludf.DUMMYFUNCTION("""COMPUTED_VALUE"""),"Perubahan Hak")</f>
        <v>Perubahan Hak</v>
      </c>
      <c r="F535" s="13" t="str">
        <f>IFERROR(__xludf.DUMMYFUNCTION("""COMPUTED_VALUE"""),"Eko Juni W/ Yuliansyah")</f>
        <v>Eko Juni W/ Yuliansyah</v>
      </c>
      <c r="G535" s="13">
        <f t="shared" si="1"/>
        <v>490</v>
      </c>
      <c r="H535" s="13" t="str">
        <f>IFERROR(__xludf.DUMMYFUNCTION("""COMPUTED_VALUE"""),"P0")</f>
        <v>P0</v>
      </c>
    </row>
    <row r="536" ht="22.5" customHeight="1">
      <c r="B536" s="19" t="str">
        <f>IFERROR(__xludf.DUMMYFUNCTION("""COMPUTED_VALUE"""),"K/31/171024/1")</f>
        <v>K/31/171024/1</v>
      </c>
      <c r="C536" s="19" t="str">
        <f>IFERROR(__xludf.DUMMYFUNCTION("""COMPUTED_VALUE"""),"M. 2933/ Sukarame II")</f>
        <v>M. 2933/ Sukarame II</v>
      </c>
      <c r="D536" s="17">
        <f>IFERROR(__xludf.DUMMYFUNCTION("""COMPUTED_VALUE"""),45590.5600040162)</f>
        <v>45590.56</v>
      </c>
      <c r="E536" s="13" t="str">
        <f>IFERROR(__xludf.DUMMYFUNCTION("""COMPUTED_VALUE"""),"BN JUAL BELI")</f>
        <v>BN JUAL BELI</v>
      </c>
      <c r="F536" s="13" t="str">
        <f>IFERROR(__xludf.DUMMYFUNCTION("""COMPUTED_VALUE"""),"richard/ randi")</f>
        <v>richard/ randi</v>
      </c>
      <c r="G536" s="13">
        <f t="shared" si="1"/>
        <v>490</v>
      </c>
      <c r="H536" s="13" t="str">
        <f>IFERROR(__xludf.DUMMYFUNCTION("""COMPUTED_VALUE"""),"P1")</f>
        <v>P1</v>
      </c>
    </row>
    <row r="537" ht="22.5" customHeight="1">
      <c r="B537" s="19" t="str">
        <f>IFERROR(__xludf.DUMMYFUNCTION("""COMPUTED_VALUE"""),"K/27/251024/1")</f>
        <v>K/27/251024/1</v>
      </c>
      <c r="C537" s="19" t="str">
        <f>IFERROR(__xludf.DUMMYFUNCTION("""COMPUTED_VALUE"""),"M. 2572/ Gedong Air")</f>
        <v>M. 2572/ Gedong Air</v>
      </c>
      <c r="D537" s="17">
        <f>IFERROR(__xludf.DUMMYFUNCTION("""COMPUTED_VALUE"""),45590.562656678245)</f>
        <v>45590.56266</v>
      </c>
      <c r="E537" s="13" t="str">
        <f>IFERROR(__xludf.DUMMYFUNCTION("""COMPUTED_VALUE"""),"BN JUAL BELI")</f>
        <v>BN JUAL BELI</v>
      </c>
      <c r="F537" s="13" t="str">
        <f>IFERROR(__xludf.DUMMYFUNCTION("""COMPUTED_VALUE"""),"TRIADI K/ JOKO")</f>
        <v>TRIADI K/ JOKO</v>
      </c>
      <c r="G537" s="13">
        <f t="shared" si="1"/>
        <v>491</v>
      </c>
      <c r="H537" s="13" t="str">
        <f>IFERROR(__xludf.DUMMYFUNCTION("""COMPUTED_VALUE"""),"P0")</f>
        <v>P0</v>
      </c>
    </row>
    <row r="538" ht="22.5" customHeight="1">
      <c r="B538" s="19" t="str">
        <f>IFERROR(__xludf.DUMMYFUNCTION("""COMPUTED_VALUE"""),"K/28/251024/2")</f>
        <v>K/28/251024/2</v>
      </c>
      <c r="C538" s="19" t="str">
        <f>IFERROR(__xludf.DUMMYFUNCTION("""COMPUTED_VALUE"""),"M. 2585/ Gedong Air")</f>
        <v>M. 2585/ Gedong Air</v>
      </c>
      <c r="D538" s="17">
        <f>IFERROR(__xludf.DUMMYFUNCTION("""COMPUTED_VALUE"""),45590.564807835646)</f>
        <v>45590.56481</v>
      </c>
      <c r="E538" s="13" t="str">
        <f>IFERROR(__xludf.DUMMYFUNCTION("""COMPUTED_VALUE"""),"BN JUAL BELI")</f>
        <v>BN JUAL BELI</v>
      </c>
      <c r="F538" s="13" t="str">
        <f>IFERROR(__xludf.DUMMYFUNCTION("""COMPUTED_VALUE"""),"TRIADI K/ JOKO")</f>
        <v>TRIADI K/ JOKO</v>
      </c>
      <c r="G538" s="13">
        <f t="shared" si="1"/>
        <v>492</v>
      </c>
      <c r="H538" s="13" t="str">
        <f>IFERROR(__xludf.DUMMYFUNCTION("""COMPUTED_VALUE"""),"P0")</f>
        <v>P0</v>
      </c>
    </row>
    <row r="539" ht="22.5" customHeight="1">
      <c r="B539" s="19" t="str">
        <f>IFERROR(__xludf.DUMMYFUNCTION("""COMPUTED_VALUE"""),"K/29/251024/3")</f>
        <v>K/29/251024/3</v>
      </c>
      <c r="C539" s="19" t="str">
        <f>IFERROR(__xludf.DUMMYFUNCTION("""COMPUTED_VALUE"""),"m. 2586/ Gedong AIr")</f>
        <v>m. 2586/ Gedong AIr</v>
      </c>
      <c r="D539" s="17">
        <f>IFERROR(__xludf.DUMMYFUNCTION("""COMPUTED_VALUE"""),45590.56617048611)</f>
        <v>45590.56617</v>
      </c>
      <c r="E539" s="13" t="str">
        <f>IFERROR(__xludf.DUMMYFUNCTION("""COMPUTED_VALUE"""),"bn jual beli")</f>
        <v>bn jual beli</v>
      </c>
      <c r="F539" s="13" t="str">
        <f>IFERROR(__xludf.DUMMYFUNCTION("""COMPUTED_VALUE"""),"triadi k/ joko")</f>
        <v>triadi k/ joko</v>
      </c>
      <c r="G539" s="13">
        <f t="shared" si="1"/>
        <v>493</v>
      </c>
      <c r="H539" s="13" t="str">
        <f>IFERROR(__xludf.DUMMYFUNCTION("""COMPUTED_VALUE"""),"P0")</f>
        <v>P0</v>
      </c>
    </row>
    <row r="540" ht="22.5" customHeight="1">
      <c r="B540" s="19" t="str">
        <f>IFERROR(__xludf.DUMMYFUNCTION("""COMPUTED_VALUE"""),"L/32/251024/1")</f>
        <v>L/32/251024/1</v>
      </c>
      <c r="C540" s="19" t="str">
        <f>IFERROR(__xludf.DUMMYFUNCTION("""COMPUTED_VALUE"""),"PBT243/2023")</f>
        <v>PBT243/2023</v>
      </c>
      <c r="D540" s="17">
        <f>IFERROR(__xludf.DUMMYFUNCTION("""COMPUTED_VALUE"""),45590.570520451394)</f>
        <v>45590.57052</v>
      </c>
      <c r="E540" s="13" t="str">
        <f>IFERROR(__xludf.DUMMYFUNCTION("""COMPUTED_VALUE"""),"PENDAFTARAN SK HAK")</f>
        <v>PENDAFTARAN SK HAK</v>
      </c>
      <c r="F540" s="13" t="str">
        <f>IFERROR(__xludf.DUMMYFUNCTION("""COMPUTED_VALUE"""),"TJIA BENNY")</f>
        <v>TJIA BENNY</v>
      </c>
      <c r="G540" s="13">
        <f t="shared" si="1"/>
        <v>494</v>
      </c>
      <c r="H540" s="13" t="str">
        <f>IFERROR(__xludf.DUMMYFUNCTION("""COMPUTED_VALUE"""),"P0")</f>
        <v>P0</v>
      </c>
    </row>
    <row r="541" ht="22.5" customHeight="1">
      <c r="B541" s="19" t="str">
        <f>IFERROR(__xludf.DUMMYFUNCTION("""COMPUTED_VALUE"""),"K/30/251024/1")</f>
        <v>K/30/251024/1</v>
      </c>
      <c r="C541" s="19" t="str">
        <f>IFERROR(__xludf.DUMMYFUNCTION("""COMPUTED_VALUE"""),"M. 18118/ Sukarame")</f>
        <v>M. 18118/ Sukarame</v>
      </c>
      <c r="D541" s="17">
        <f>IFERROR(__xludf.DUMMYFUNCTION("""COMPUTED_VALUE"""),45590.572070752314)</f>
        <v>45590.57207</v>
      </c>
      <c r="E541" s="13" t="str">
        <f>IFERROR(__xludf.DUMMYFUNCTION("""COMPUTED_VALUE"""),"BN Jual Beli")</f>
        <v>BN Jual Beli</v>
      </c>
      <c r="F541" s="13" t="str">
        <f>IFERROR(__xludf.DUMMYFUNCTION("""COMPUTED_VALUE"""),"Reflan R/ ALex P")</f>
        <v>Reflan R/ ALex P</v>
      </c>
      <c r="G541" s="13">
        <f t="shared" si="1"/>
        <v>495</v>
      </c>
      <c r="H541" s="13" t="str">
        <f>IFERROR(__xludf.DUMMYFUNCTION("""COMPUTED_VALUE"""),"P0")</f>
        <v>P0</v>
      </c>
    </row>
    <row r="542" ht="22.5" customHeight="1">
      <c r="B542" s="19" t="str">
        <f>IFERROR(__xludf.DUMMYFUNCTION("""COMPUTED_VALUE"""),"K/31/251024/2")</f>
        <v>K/31/251024/2</v>
      </c>
      <c r="C542" s="19" t="str">
        <f>IFERROR(__xludf.DUMMYFUNCTION("""COMPUTED_VALUE"""),"B. 503/ Gunung Sulah")</f>
        <v>B. 503/ Gunung Sulah</v>
      </c>
      <c r="D542" s="17">
        <f>IFERROR(__xludf.DUMMYFUNCTION("""COMPUTED_VALUE"""),45590.572903657405)</f>
        <v>45590.5729</v>
      </c>
      <c r="E542" s="13" t="str">
        <f>IFERROR(__xludf.DUMMYFUNCTION("""COMPUTED_VALUE"""),"Perubahan Hak")</f>
        <v>Perubahan Hak</v>
      </c>
      <c r="F542" s="13" t="str">
        <f>IFERROR(__xludf.DUMMYFUNCTION("""COMPUTED_VALUE"""),"Reflan R/ Dwi M")</f>
        <v>Reflan R/ Dwi M</v>
      </c>
      <c r="G542" s="13">
        <f t="shared" si="1"/>
        <v>496</v>
      </c>
      <c r="H542" s="13" t="str">
        <f>IFERROR(__xludf.DUMMYFUNCTION("""COMPUTED_VALUE"""),"P0")</f>
        <v>P0</v>
      </c>
    </row>
    <row r="543" ht="22.5" customHeight="1">
      <c r="B543" s="19" t="str">
        <f>IFERROR(__xludf.DUMMYFUNCTION("""COMPUTED_VALUE"""),"K/33/251024/1")</f>
        <v>K/33/251024/1</v>
      </c>
      <c r="C543" s="19" t="str">
        <f>IFERROR(__xludf.DUMMYFUNCTION("""COMPUTED_VALUE"""),"NIBEL M.2482/KOTA BARU ")</f>
        <v>NIBEL M.2482/KOTA BARU </v>
      </c>
      <c r="D543" s="17">
        <f>IFERROR(__xludf.DUMMYFUNCTION("""COMPUTED_VALUE"""),45590.57344821759)</f>
        <v>45590.57345</v>
      </c>
      <c r="E543" s="13" t="str">
        <f>IFERROR(__xludf.DUMMYFUNCTION("""COMPUTED_VALUE"""),"PTPGT PEMECAHAN")</f>
        <v>PTPGT PEMECAHAN</v>
      </c>
      <c r="F543" s="13" t="str">
        <f>IFERROR(__xludf.DUMMYFUNCTION("""COMPUTED_VALUE"""),"DINI MAYSURI SIBRON/M. FAJAR DIFITRI")</f>
        <v>DINI MAYSURI SIBRON/M. FAJAR DIFITRI</v>
      </c>
      <c r="G543" s="13">
        <f t="shared" si="1"/>
        <v>497</v>
      </c>
      <c r="H543" s="13" t="str">
        <f>IFERROR(__xludf.DUMMYFUNCTION("""COMPUTED_VALUE"""),"P0")</f>
        <v>P0</v>
      </c>
    </row>
    <row r="544" ht="22.5" customHeight="1">
      <c r="B544" s="19" t="str">
        <f>IFERROR(__xludf.DUMMYFUNCTION("""COMPUTED_VALUE"""),"L/34/251024/1")</f>
        <v>L/34/251024/1</v>
      </c>
      <c r="C544" s="19" t="str">
        <f>IFERROR(__xludf.DUMMYFUNCTION("""COMPUTED_VALUE"""),"HGB 254/CAMPANG RAYA")</f>
        <v>HGB 254/CAMPANG RAYA</v>
      </c>
      <c r="D544" s="17">
        <f>IFERROR(__xludf.DUMMYFUNCTION("""COMPUTED_VALUE"""),45590.5781649537)</f>
        <v>45590.57816</v>
      </c>
      <c r="E544" s="13" t="str">
        <f>IFERROR(__xludf.DUMMYFUNCTION("""COMPUTED_VALUE"""),"ROYA")</f>
        <v>ROYA</v>
      </c>
      <c r="F544" s="13" t="str">
        <f>IFERROR(__xludf.DUMMYFUNCTION("""COMPUTED_VALUE"""),"SUMARSIH")</f>
        <v>SUMARSIH</v>
      </c>
      <c r="G544" s="13">
        <f t="shared" si="1"/>
        <v>498</v>
      </c>
      <c r="H544" s="13" t="str">
        <f>IFERROR(__xludf.DUMMYFUNCTION("""COMPUTED_VALUE"""),"P0")</f>
        <v>P0</v>
      </c>
    </row>
    <row r="545" ht="22.5" customHeight="1">
      <c r="B545" s="19" t="str">
        <f>IFERROR(__xludf.DUMMYFUNCTION("""COMPUTED_VALUE"""),"K/38/171024/2")</f>
        <v>K/38/171024/2</v>
      </c>
      <c r="C545" s="19" t="str">
        <f>IFERROR(__xludf.DUMMYFUNCTION("""COMPUTED_VALUE"""),"M. 4522/ Gunung Terang")</f>
        <v>M. 4522/ Gunung Terang</v>
      </c>
      <c r="D545" s="17">
        <f>IFERROR(__xludf.DUMMYFUNCTION("""COMPUTED_VALUE"""),45590.58110701389)</f>
        <v>45590.58111</v>
      </c>
      <c r="E545" s="13" t="str">
        <f>IFERROR(__xludf.DUMMYFUNCTION("""COMPUTED_VALUE"""),"BN Jual Beli")</f>
        <v>BN Jual Beli</v>
      </c>
      <c r="F545" s="13" t="str">
        <f>IFERROR(__xludf.DUMMYFUNCTION("""COMPUTED_VALUE"""),"Angga Purnama/ Farida N")</f>
        <v>Angga Purnama/ Farida N</v>
      </c>
      <c r="G545" s="13">
        <f t="shared" si="1"/>
        <v>498</v>
      </c>
      <c r="H545" s="13" t="str">
        <f>IFERROR(__xludf.DUMMYFUNCTION("""COMPUTED_VALUE"""),"P1")</f>
        <v>P1</v>
      </c>
    </row>
    <row r="546" ht="22.5" customHeight="1">
      <c r="B546" s="19" t="str">
        <f>IFERROR(__xludf.DUMMYFUNCTION("""COMPUTED_VALUE"""),"K/27/161024/1")</f>
        <v>K/27/161024/1</v>
      </c>
      <c r="C546" s="19" t="str">
        <f>IFERROR(__xludf.DUMMYFUNCTION("""COMPUTED_VALUE"""),"M. 12564/ Rajabasa Nunyai	")</f>
        <v>M. 12564/ Rajabasa Nunyai	</v>
      </c>
      <c r="D546" s="17">
        <f>IFERROR(__xludf.DUMMYFUNCTION("""COMPUTED_VALUE"""),45590.58218253472)</f>
        <v>45590.58218</v>
      </c>
      <c r="E546" s="13" t="str">
        <f>IFERROR(__xludf.DUMMYFUNCTION("""COMPUTED_VALUE"""),"BN Jual Beli")</f>
        <v>BN Jual Beli</v>
      </c>
      <c r="F546" s="13" t="str">
        <f>IFERROR(__xludf.DUMMYFUNCTION("""COMPUTED_VALUE"""),"Fahrul Rozi/ Kevin A S P")</f>
        <v>Fahrul Rozi/ Kevin A S P</v>
      </c>
      <c r="G546" s="13">
        <f t="shared" si="1"/>
        <v>498</v>
      </c>
      <c r="H546" s="13" t="str">
        <f>IFERROR(__xludf.DUMMYFUNCTION("""COMPUTED_VALUE"""),"P1")</f>
        <v>P1</v>
      </c>
    </row>
    <row r="547" ht="22.5" customHeight="1">
      <c r="B547" s="19" t="str">
        <f>IFERROR(__xludf.DUMMYFUNCTION("""COMPUTED_VALUE"""),"K/35/251024/1")</f>
        <v>K/35/251024/1</v>
      </c>
      <c r="C547" s="19" t="str">
        <f>IFERROR(__xludf.DUMMYFUNCTION("""COMPUTED_VALUE"""),"M.11312/KEDAMAIAN")</f>
        <v>M.11312/KEDAMAIAN</v>
      </c>
      <c r="D547" s="17">
        <f>IFERROR(__xludf.DUMMYFUNCTION("""COMPUTED_VALUE"""),45590.583058344906)</f>
        <v>45590.58306</v>
      </c>
      <c r="E547" s="13" t="str">
        <f>IFERROR(__xludf.DUMMYFUNCTION("""COMPUTED_VALUE"""),"SKPT ")</f>
        <v>SKPT </v>
      </c>
      <c r="F547" s="13" t="str">
        <f>IFERROR(__xludf.DUMMYFUNCTION("""COMPUTED_VALUE"""),"TITIK WIJAYANTI/AGUS SUPRIYANTO")</f>
        <v>TITIK WIJAYANTI/AGUS SUPRIYANTO</v>
      </c>
      <c r="G547" s="13">
        <f t="shared" si="1"/>
        <v>499</v>
      </c>
      <c r="H547" s="13" t="str">
        <f>IFERROR(__xludf.DUMMYFUNCTION("""COMPUTED_VALUE"""),"P0")</f>
        <v>P0</v>
      </c>
    </row>
    <row r="548" ht="22.5" customHeight="1">
      <c r="B548" s="19" t="str">
        <f>IFERROR(__xludf.DUMMYFUNCTION("""COMPUTED_VALUE"""),"K/36/251024/2")</f>
        <v>K/36/251024/2</v>
      </c>
      <c r="C548" s="19" t="str">
        <f>IFERROR(__xludf.DUMMYFUNCTION("""COMPUTED_VALUE"""),"M.1268/BUMI WARAS")</f>
        <v>M.1268/BUMI WARAS</v>
      </c>
      <c r="D548" s="17">
        <f>IFERROR(__xludf.DUMMYFUNCTION("""COMPUTED_VALUE"""),45590.58375583333)</f>
        <v>45590.58376</v>
      </c>
      <c r="E548" s="13" t="str">
        <f>IFERROR(__xludf.DUMMYFUNCTION("""COMPUTED_VALUE"""),"SKPT")</f>
        <v>SKPT</v>
      </c>
      <c r="F548" s="13" t="str">
        <f>IFERROR(__xludf.DUMMYFUNCTION("""COMPUTED_VALUE"""),"TITIK WIJAYANTI/AGUS SUPRIYANTO")</f>
        <v>TITIK WIJAYANTI/AGUS SUPRIYANTO</v>
      </c>
      <c r="G548" s="13">
        <f t="shared" si="1"/>
        <v>500</v>
      </c>
      <c r="H548" s="13" t="str">
        <f>IFERROR(__xludf.DUMMYFUNCTION("""COMPUTED_VALUE"""),"P0")</f>
        <v>P0</v>
      </c>
    </row>
    <row r="549" ht="22.5" customHeight="1">
      <c r="B549" s="19" t="str">
        <f>IFERROR(__xludf.DUMMYFUNCTION("""COMPUTED_VALUE"""),"K/37/251024/1")</f>
        <v>K/37/251024/1</v>
      </c>
      <c r="C549" s="19" t="str">
        <f>IFERROR(__xludf.DUMMYFUNCTION("""COMPUTED_VALUE"""),"M. 3227/Gunung Terang")</f>
        <v>M. 3227/Gunung Terang</v>
      </c>
      <c r="D549" s="17">
        <f>IFERROR(__xludf.DUMMYFUNCTION("""COMPUTED_VALUE"""),45590.58916744213)</f>
        <v>45590.58917</v>
      </c>
      <c r="E549" s="13" t="str">
        <f>IFERROR(__xludf.DUMMYFUNCTION("""COMPUTED_VALUE"""),"BN Jual Beli")</f>
        <v>BN Jual Beli</v>
      </c>
      <c r="F549" s="13" t="str">
        <f>IFERROR(__xludf.DUMMYFUNCTION("""COMPUTED_VALUE"""),"Angga Purnama/ Siti M")</f>
        <v>Angga Purnama/ Siti M</v>
      </c>
      <c r="G549" s="13">
        <f t="shared" si="1"/>
        <v>501</v>
      </c>
      <c r="H549" s="13" t="str">
        <f>IFERROR(__xludf.DUMMYFUNCTION("""COMPUTED_VALUE"""),"P0")</f>
        <v>P0</v>
      </c>
    </row>
    <row r="550" ht="22.5" customHeight="1">
      <c r="B550" s="19" t="str">
        <f>IFERROR(__xludf.DUMMYFUNCTION("""COMPUTED_VALUE"""),"K/39/251024/1")</f>
        <v>K/39/251024/1</v>
      </c>
      <c r="C550" s="19" t="str">
        <f>IFERROR(__xludf.DUMMYFUNCTION("""COMPUTED_VALUE"""),"NIBEL M 1086/KOTA KARANG")</f>
        <v>NIBEL M 1086/KOTA KARANG</v>
      </c>
      <c r="D550" s="17">
        <f>IFERROR(__xludf.DUMMYFUNCTION("""COMPUTED_VALUE"""),45590.589604768524)</f>
        <v>45590.5896</v>
      </c>
      <c r="E550" s="13" t="str">
        <f>IFERROR(__xludf.DUMMYFUNCTION("""COMPUTED_VALUE"""),"BN JUAL BELI")</f>
        <v>BN JUAL BELI</v>
      </c>
      <c r="F550" s="13" t="str">
        <f>IFERROR(__xludf.DUMMYFUNCTION("""COMPUTED_VALUE"""),"YANTI/MARISA EVALINA")</f>
        <v>YANTI/MARISA EVALINA</v>
      </c>
      <c r="G550" s="13">
        <f t="shared" si="1"/>
        <v>502</v>
      </c>
      <c r="H550" s="13" t="str">
        <f>IFERROR(__xludf.DUMMYFUNCTION("""COMPUTED_VALUE"""),"P0")</f>
        <v>P0</v>
      </c>
    </row>
    <row r="551" ht="22.5" customHeight="1">
      <c r="B551" s="19" t="str">
        <f>IFERROR(__xludf.DUMMYFUNCTION("""COMPUTED_VALUE"""),"K/38/251024/2")</f>
        <v>K/38/251024/2</v>
      </c>
      <c r="C551" s="19" t="str">
        <f>IFERROR(__xludf.DUMMYFUNCTION("""COMPUTED_VALUE"""),"Nibel. M. 2592/ Beringin Raya")</f>
        <v>Nibel. M. 2592/ Beringin Raya</v>
      </c>
      <c r="D551" s="17">
        <f>IFERROR(__xludf.DUMMYFUNCTION("""COMPUTED_VALUE"""),45590.59000359954)</f>
        <v>45590.59</v>
      </c>
      <c r="E551" s="13" t="str">
        <f>IFERROR(__xludf.DUMMYFUNCTION("""COMPUTED_VALUE"""),"BN Waris")</f>
        <v>BN Waris</v>
      </c>
      <c r="F551" s="13" t="str">
        <f>IFERROR(__xludf.DUMMYFUNCTION("""COMPUTED_VALUE"""),"Angga Purnama/ Camelis Cs")</f>
        <v>Angga Purnama/ Camelis Cs</v>
      </c>
      <c r="G551" s="13">
        <f t="shared" si="1"/>
        <v>503</v>
      </c>
      <c r="H551" s="13" t="str">
        <f>IFERROR(__xludf.DUMMYFUNCTION("""COMPUTED_VALUE"""),"P0")</f>
        <v>P0</v>
      </c>
    </row>
    <row r="552" ht="22.5" customHeight="1">
      <c r="B552" s="19" t="str">
        <f>IFERROR(__xludf.DUMMYFUNCTION("""COMPUTED_VALUE"""),"L/40/251024/1")</f>
        <v>L/40/251024/1</v>
      </c>
      <c r="C552" s="19" t="str">
        <f>IFERROR(__xludf.DUMMYFUNCTION("""COMPUTED_VALUE"""),"HM 3757/RAJABASA JAYA")</f>
        <v>HM 3757/RAJABASA JAYA</v>
      </c>
      <c r="D552" s="17">
        <f>IFERROR(__xludf.DUMMYFUNCTION("""COMPUTED_VALUE"""),45590.59204377315)</f>
        <v>45590.59204</v>
      </c>
      <c r="E552" s="13" t="str">
        <f>IFERROR(__xludf.DUMMYFUNCTION("""COMPUTED_VALUE"""),"PENGHAPUSAN BPHTB")</f>
        <v>PENGHAPUSAN BPHTB</v>
      </c>
      <c r="F552" s="13" t="str">
        <f>IFERROR(__xludf.DUMMYFUNCTION("""COMPUTED_VALUE"""),"VIVI INGGRIT LESTARI")</f>
        <v>VIVI INGGRIT LESTARI</v>
      </c>
      <c r="G552" s="13">
        <f t="shared" si="1"/>
        <v>504</v>
      </c>
      <c r="H552" s="13" t="str">
        <f>IFERROR(__xludf.DUMMYFUNCTION("""COMPUTED_VALUE"""),"P0")</f>
        <v>P0</v>
      </c>
    </row>
    <row r="553" ht="22.5" customHeight="1">
      <c r="B553" s="19" t="str">
        <f>IFERROR(__xludf.DUMMYFUNCTION("""COMPUTED_VALUE"""),"K/41/251024/1")</f>
        <v>K/41/251024/1</v>
      </c>
      <c r="C553" s="19" t="str">
        <f>IFERROR(__xludf.DUMMYFUNCTION("""COMPUTED_VALUE"""),"M. 1824/ Beringin Jaya ; M. 944/ Beringin Raya-dahulu; B. 718/ Beringin Raya-dahulu")</f>
        <v>M. 1824/ Beringin Jaya ; M. 944/ Beringin Raya-dahulu; B. 718/ Beringin Raya-dahulu</v>
      </c>
      <c r="D553" s="17">
        <f>IFERROR(__xludf.DUMMYFUNCTION("""COMPUTED_VALUE"""),45590.60574111111)</f>
        <v>45590.60574</v>
      </c>
      <c r="E553" s="13" t="str">
        <f>IFERROR(__xludf.DUMMYFUNCTION("""COMPUTED_VALUE"""),"BN Jual Beli")</f>
        <v>BN Jual Beli</v>
      </c>
      <c r="F553" s="13" t="str">
        <f>IFERROR(__xludf.DUMMYFUNCTION("""COMPUTED_VALUE"""),"Ira Familia/ Budiono")</f>
        <v>Ira Familia/ Budiono</v>
      </c>
      <c r="G553" s="13">
        <f t="shared" si="1"/>
        <v>505</v>
      </c>
      <c r="H553" s="13" t="str">
        <f>IFERROR(__xludf.DUMMYFUNCTION("""COMPUTED_VALUE"""),"P0")</f>
        <v>P0</v>
      </c>
    </row>
    <row r="554" ht="22.5" customHeight="1">
      <c r="B554" s="19" t="str">
        <f>IFERROR(__xludf.DUMMYFUNCTION("""COMPUTED_VALUE"""),"K/42/251024/1")</f>
        <v>K/42/251024/1</v>
      </c>
      <c r="C554" s="19" t="str">
        <f>IFERROR(__xludf.DUMMYFUNCTION("""COMPUTED_VALUE"""),"M. 11524/ Kedamaian")</f>
        <v>M. 11524/ Kedamaian</v>
      </c>
      <c r="D554" s="17">
        <f>IFERROR(__xludf.DUMMYFUNCTION("""COMPUTED_VALUE"""),45590.60840612269)</f>
        <v>45590.60841</v>
      </c>
      <c r="E554" s="13" t="str">
        <f>IFERROR(__xludf.DUMMYFUNCTION("""COMPUTED_VALUE"""),"BN JUAL BELI")</f>
        <v>BN JUAL BELI</v>
      </c>
      <c r="F554" s="13" t="str">
        <f>IFERROR(__xludf.DUMMYFUNCTION("""COMPUTED_VALUE"""),"achmad mulya/oktavianus")</f>
        <v>achmad mulya/oktavianus</v>
      </c>
      <c r="G554" s="13">
        <f t="shared" si="1"/>
        <v>506</v>
      </c>
      <c r="H554" s="13" t="str">
        <f>IFERROR(__xludf.DUMMYFUNCTION("""COMPUTED_VALUE"""),"P0")</f>
        <v>P0</v>
      </c>
    </row>
    <row r="555" ht="22.5" customHeight="1">
      <c r="B555" s="19" t="str">
        <f>IFERROR(__xludf.DUMMYFUNCTION("""COMPUTED_VALUE"""),"K/43/251024/2")</f>
        <v>K/43/251024/2</v>
      </c>
      <c r="C555" s="19" t="str">
        <f>IFERROR(__xludf.DUMMYFUNCTION("""COMPUTED_VALUE"""),"M. 3289/ kota baru")</f>
        <v>M. 3289/ kota baru</v>
      </c>
      <c r="D555" s="17">
        <f>IFERROR(__xludf.DUMMYFUNCTION("""COMPUTED_VALUE"""),45590.60982233797)</f>
        <v>45590.60982</v>
      </c>
      <c r="E555" s="13" t="str">
        <f>IFERROR(__xludf.DUMMYFUNCTION("""COMPUTED_VALUE"""),"ROYA")</f>
        <v>ROYA</v>
      </c>
      <c r="F555" s="13" t="str">
        <f>IFERROR(__xludf.DUMMYFUNCTION("""COMPUTED_VALUE"""),"ACHMAD MULYA/ ALIH FAHRUL")</f>
        <v>ACHMAD MULYA/ ALIH FAHRUL</v>
      </c>
      <c r="G555" s="13">
        <f t="shared" si="1"/>
        <v>507</v>
      </c>
      <c r="H555" s="13" t="str">
        <f>IFERROR(__xludf.DUMMYFUNCTION("""COMPUTED_VALUE"""),"P0")</f>
        <v>P0</v>
      </c>
    </row>
    <row r="556" ht="22.5" customHeight="1">
      <c r="B556" s="19" t="str">
        <f>IFERROR(__xludf.DUMMYFUNCTION("""COMPUTED_VALUE"""),"K/37/181024/3")</f>
        <v>K/37/181024/3</v>
      </c>
      <c r="C556" s="19" t="str">
        <f>IFERROR(__xludf.DUMMYFUNCTION("""COMPUTED_VALUE"""),"M.1593/BUMI KEDAMAIAN-SEKARANG;M.10186/KEDAMAIAN-DAHULU")</f>
        <v>M.1593/BUMI KEDAMAIAN-SEKARANG;M.10186/KEDAMAIAN-DAHULU</v>
      </c>
      <c r="D556" s="17">
        <f>IFERROR(__xludf.DUMMYFUNCTION("""COMPUTED_VALUE"""),45590.61038896991)</f>
        <v>45590.61039</v>
      </c>
      <c r="E556" s="13" t="str">
        <f>IFERROR(__xludf.DUMMYFUNCTION("""COMPUTED_VALUE"""),"BN JUAL BELI")</f>
        <v>BN JUAL BELI</v>
      </c>
      <c r="F556" s="13" t="str">
        <f>IFERROR(__xludf.DUMMYFUNCTION("""COMPUTED_VALUE"""),"I KETUT WARDANA/ANNA PURNAMASARI")</f>
        <v>I KETUT WARDANA/ANNA PURNAMASARI</v>
      </c>
      <c r="G556" s="13">
        <f t="shared" si="1"/>
        <v>507</v>
      </c>
      <c r="H556" s="13" t="str">
        <f>IFERROR(__xludf.DUMMYFUNCTION("""COMPUTED_VALUE"""),"P1")</f>
        <v>P1</v>
      </c>
    </row>
    <row r="557" ht="22.5" customHeight="1">
      <c r="B557" s="19" t="str">
        <f>IFERROR(__xludf.DUMMYFUNCTION("""COMPUTED_VALUE"""),"L//251024/1")</f>
        <v>L//251024/1</v>
      </c>
      <c r="C557" s="19" t="str">
        <f>IFERROR(__xludf.DUMMYFUNCTION("""COMPUTED_VALUE"""),"NIB 3303/WAY LAGA")</f>
        <v>NIB 3303/WAY LAGA</v>
      </c>
      <c r="D557" s="17">
        <f>IFERROR(__xludf.DUMMYFUNCTION("""COMPUTED_VALUE"""),45590.61065560185)</f>
        <v>45590.61066</v>
      </c>
      <c r="E557" s="13" t="str">
        <f>IFERROR(__xludf.DUMMYFUNCTION("""COMPUTED_VALUE"""),"BN LELANG")</f>
        <v>BN LELANG</v>
      </c>
      <c r="F557" s="13" t="str">
        <f>IFERROR(__xludf.DUMMYFUNCTION("""COMPUTED_VALUE"""),"ADRIAWAN TIRTA")</f>
        <v>ADRIAWAN TIRTA</v>
      </c>
      <c r="G557" s="13">
        <f t="shared" si="1"/>
        <v>508</v>
      </c>
      <c r="H557" s="13" t="str">
        <f>IFERROR(__xludf.DUMMYFUNCTION("""COMPUTED_VALUE"""),"P0")</f>
        <v>P0</v>
      </c>
    </row>
    <row r="558" ht="22.5" customHeight="1">
      <c r="B558" s="19" t="str">
        <f>IFERROR(__xludf.DUMMYFUNCTION("""COMPUTED_VALUE"""),"K/44/251024/3")</f>
        <v>K/44/251024/3</v>
      </c>
      <c r="C558" s="19" t="str">
        <f>IFERROR(__xludf.DUMMYFUNCTION("""COMPUTED_VALUE"""),"M. 13663/ Segala Mider")</f>
        <v>M. 13663/ Segala Mider</v>
      </c>
      <c r="D558" s="17">
        <f>IFERROR(__xludf.DUMMYFUNCTION("""COMPUTED_VALUE"""),45590.61116076389)</f>
        <v>45590.61116</v>
      </c>
      <c r="E558" s="13" t="str">
        <f>IFERROR(__xludf.DUMMYFUNCTION("""COMPUTED_VALUE"""),"ROYA")</f>
        <v>ROYA</v>
      </c>
      <c r="F558" s="13" t="str">
        <f>IFERROR(__xludf.DUMMYFUNCTION("""COMPUTED_VALUE"""),"ACHMAD MULYA/ KRISTIN")</f>
        <v>ACHMAD MULYA/ KRISTIN</v>
      </c>
      <c r="G558" s="13">
        <f t="shared" si="1"/>
        <v>509</v>
      </c>
      <c r="H558" s="13" t="str">
        <f>IFERROR(__xludf.DUMMYFUNCTION("""COMPUTED_VALUE"""),"P0")</f>
        <v>P0</v>
      </c>
    </row>
    <row r="559" ht="22.5" customHeight="1">
      <c r="B559" s="19" t="str">
        <f>IFERROR(__xludf.DUMMYFUNCTION("""COMPUTED_VALUE"""),"L/48/251024/1")</f>
        <v>L/48/251024/1</v>
      </c>
      <c r="C559" s="19" t="str">
        <f>IFERROR(__xludf.DUMMYFUNCTION("""COMPUTED_VALUE"""),"HGB 1368/KEMILING PERMAI")</f>
        <v>HGB 1368/KEMILING PERMAI</v>
      </c>
      <c r="D559" s="17">
        <f>IFERROR(__xludf.DUMMYFUNCTION("""COMPUTED_VALUE"""),45590.614115081014)</f>
        <v>45590.61412</v>
      </c>
      <c r="E559" s="13" t="str">
        <f>IFERROR(__xludf.DUMMYFUNCTION("""COMPUTED_VALUE"""),"GANTI TAHUN LAHIR")</f>
        <v>GANTI TAHUN LAHIR</v>
      </c>
      <c r="F559" s="13" t="str">
        <f>IFERROR(__xludf.DUMMYFUNCTION("""COMPUTED_VALUE"""),"HERMIYATI")</f>
        <v>HERMIYATI</v>
      </c>
      <c r="G559" s="13">
        <f t="shared" si="1"/>
        <v>510</v>
      </c>
      <c r="H559" s="13" t="str">
        <f>IFERROR(__xludf.DUMMYFUNCTION("""COMPUTED_VALUE"""),"P0")</f>
        <v>P0</v>
      </c>
    </row>
    <row r="560" ht="22.5" customHeight="1">
      <c r="B560" s="19" t="str">
        <f>IFERROR(__xludf.DUMMYFUNCTION("""COMPUTED_VALUE"""),"K/46/251024/1")</f>
        <v>K/46/251024/1</v>
      </c>
      <c r="C560" s="19" t="str">
        <f>IFERROR(__xludf.DUMMYFUNCTION("""COMPUTED_VALUE"""),"M. 4231/ Rajabasa Jaya; 10134/ Rajabasa-dahulu")</f>
        <v>M. 4231/ Rajabasa Jaya; 10134/ Rajabasa-dahulu</v>
      </c>
      <c r="D560" s="17">
        <f>IFERROR(__xludf.DUMMYFUNCTION("""COMPUTED_VALUE"""),45590.615328078704)</f>
        <v>45590.61533</v>
      </c>
      <c r="E560" s="13" t="str">
        <f>IFERROR(__xludf.DUMMYFUNCTION("""COMPUTED_VALUE"""),"SKPT Lelang")</f>
        <v>SKPT Lelang</v>
      </c>
      <c r="F560" s="13" t="str">
        <f>IFERROR(__xludf.DUMMYFUNCTION("""COMPUTED_VALUE"""),"Sendi Dini/ Titik W")</f>
        <v>Sendi Dini/ Titik W</v>
      </c>
      <c r="G560" s="13">
        <f t="shared" si="1"/>
        <v>511</v>
      </c>
      <c r="H560" s="13" t="str">
        <f>IFERROR(__xludf.DUMMYFUNCTION("""COMPUTED_VALUE"""),"P0")</f>
        <v>P0</v>
      </c>
    </row>
    <row r="561" ht="22.5" customHeight="1">
      <c r="B561" s="19" t="str">
        <f>IFERROR(__xludf.DUMMYFUNCTION("""COMPUTED_VALUE"""),"L/49/251024/1")</f>
        <v>L/49/251024/1</v>
      </c>
      <c r="C561" s="19" t="str">
        <f>IFERROR(__xludf.DUMMYFUNCTION("""COMPUTED_VALUE"""),"B.355 DAN B.356/LABUHAN RATU ")</f>
        <v>B.355 DAN B.356/LABUHAN RATU </v>
      </c>
      <c r="D561" s="17">
        <f>IFERROR(__xludf.DUMMYFUNCTION("""COMPUTED_VALUE"""),45590.615725763884)</f>
        <v>45590.61573</v>
      </c>
      <c r="E561" s="13" t="str">
        <f>IFERROR(__xludf.DUMMYFUNCTION("""COMPUTED_VALUE"""),"ROYA")</f>
        <v>ROYA</v>
      </c>
      <c r="F561" s="13" t="str">
        <f>IFERROR(__xludf.DUMMYFUNCTION("""COMPUTED_VALUE"""),"IAN RAHMADI")</f>
        <v>IAN RAHMADI</v>
      </c>
      <c r="G561" s="13">
        <f t="shared" si="1"/>
        <v>512</v>
      </c>
      <c r="H561" s="13" t="str">
        <f>IFERROR(__xludf.DUMMYFUNCTION("""COMPUTED_VALUE"""),"P0")</f>
        <v>P0</v>
      </c>
    </row>
    <row r="562" ht="22.5" customHeight="1">
      <c r="B562" s="19" t="str">
        <f>IFERROR(__xludf.DUMMYFUNCTION("""COMPUTED_VALUE"""),"K/47/251024/2")</f>
        <v>K/47/251024/2</v>
      </c>
      <c r="C562" s="19" t="str">
        <f>IFERROR(__xludf.DUMMYFUNCTION("""COMPUTED_VALUE"""),"M. 3605/ Rajabasa Jaya; M. 10913/ Rajabasa")</f>
        <v>M. 3605/ Rajabasa Jaya; M. 10913/ Rajabasa</v>
      </c>
      <c r="D562" s="17">
        <f>IFERROR(__xludf.DUMMYFUNCTION("""COMPUTED_VALUE"""),45590.616597500004)</f>
        <v>45590.6166</v>
      </c>
      <c r="E562" s="13" t="str">
        <f>IFERROR(__xludf.DUMMYFUNCTION("""COMPUTED_VALUE"""),"SKPT Lelang")</f>
        <v>SKPT Lelang</v>
      </c>
      <c r="F562" s="13" t="str">
        <f>IFERROR(__xludf.DUMMYFUNCTION("""COMPUTED_VALUE"""),"Sendi Dini H/ Titik W")</f>
        <v>Sendi Dini H/ Titik W</v>
      </c>
      <c r="G562" s="13">
        <f t="shared" si="1"/>
        <v>513</v>
      </c>
      <c r="H562" s="13" t="str">
        <f>IFERROR(__xludf.DUMMYFUNCTION("""COMPUTED_VALUE"""),"P0")</f>
        <v>P0</v>
      </c>
    </row>
    <row r="563" ht="22.5" customHeight="1">
      <c r="B563" s="19" t="str">
        <f>IFERROR(__xludf.DUMMYFUNCTION("""COMPUTED_VALUE"""),"K/40/141024/5")</f>
        <v>K/40/141024/5</v>
      </c>
      <c r="C563" s="19" t="str">
        <f>IFERROR(__xludf.DUMMYFUNCTION("""COMPUTED_VALUE"""),"Nibel 2507/ Sumur Batu")</f>
        <v>Nibel 2507/ Sumur Batu</v>
      </c>
      <c r="D563" s="17">
        <f>IFERROR(__xludf.DUMMYFUNCTION("""COMPUTED_VALUE"""),45590.62088241898)</f>
        <v>45590.62088</v>
      </c>
      <c r="E563" s="13" t="str">
        <f>IFERROR(__xludf.DUMMYFUNCTION("""COMPUTED_VALUE"""),"BN JUAL BELI")</f>
        <v>BN JUAL BELI</v>
      </c>
      <c r="F563" s="13" t="str">
        <f>IFERROR(__xludf.DUMMYFUNCTION("""COMPUTED_VALUE"""),"MURSALIN/ I MADE SUKANTRA")</f>
        <v>MURSALIN/ I MADE SUKANTRA</v>
      </c>
      <c r="G563" s="13">
        <f t="shared" si="1"/>
        <v>513</v>
      </c>
      <c r="H563" s="13" t="str">
        <f>IFERROR(__xludf.DUMMYFUNCTION("""COMPUTED_VALUE"""),"P1")</f>
        <v>P1</v>
      </c>
    </row>
    <row r="564" ht="22.5" customHeight="1">
      <c r="B564" s="19" t="str">
        <f>IFERROR(__xludf.DUMMYFUNCTION("""COMPUTED_VALUE"""),"K/50/251024/1")</f>
        <v>K/50/251024/1</v>
      </c>
      <c r="C564" s="19" t="str">
        <f>IFERROR(__xludf.DUMMYFUNCTION("""COMPUTED_VALUE"""),"Nibel. M. 2897/ Kota Baru")</f>
        <v>Nibel. M. 2897/ Kota Baru</v>
      </c>
      <c r="D564" s="17">
        <f>IFERROR(__xludf.DUMMYFUNCTION("""COMPUTED_VALUE"""),45590.62098890047)</f>
        <v>45590.62099</v>
      </c>
      <c r="E564" s="13" t="str">
        <f>IFERROR(__xludf.DUMMYFUNCTION("""COMPUTED_VALUE"""),"BN Jual Beli")</f>
        <v>BN Jual Beli</v>
      </c>
      <c r="F564" s="13" t="str">
        <f>IFERROR(__xludf.DUMMYFUNCTION("""COMPUTED_VALUE"""),"Fahrul Rozi/ Titien A")</f>
        <v>Fahrul Rozi/ Titien A</v>
      </c>
      <c r="G564" s="13">
        <f t="shared" si="1"/>
        <v>514</v>
      </c>
      <c r="H564" s="13" t="str">
        <f>IFERROR(__xludf.DUMMYFUNCTION("""COMPUTED_VALUE"""),"P0")</f>
        <v>P0</v>
      </c>
    </row>
    <row r="565" ht="22.5" customHeight="1">
      <c r="B565" s="19" t="str">
        <f>IFERROR(__xludf.DUMMYFUNCTION("""COMPUTED_VALUE"""),"K/45/151024/1")</f>
        <v>K/45/151024/1</v>
      </c>
      <c r="C565" s="19" t="str">
        <f>IFERROR(__xludf.DUMMYFUNCTION("""COMPUTED_VALUE"""),"M. 2732/ KOTA BARU")</f>
        <v>M. 2732/ KOTA BARU</v>
      </c>
      <c r="D565" s="17">
        <f>IFERROR(__xludf.DUMMYFUNCTION("""COMPUTED_VALUE"""),45590.634079826385)</f>
        <v>45590.63408</v>
      </c>
      <c r="E565" s="13" t="str">
        <f>IFERROR(__xludf.DUMMYFUNCTION("""COMPUTED_VALUE"""),"PERALIHAN HAK KEWARISAN")</f>
        <v>PERALIHAN HAK KEWARISAN</v>
      </c>
      <c r="F565" s="13" t="str">
        <f>IFERROR(__xludf.DUMMYFUNCTION("""COMPUTED_VALUE"""),"ABDUL GANI/ DODI SUWANTO CS")</f>
        <v>ABDUL GANI/ DODI SUWANTO CS</v>
      </c>
      <c r="G565" s="13">
        <f t="shared" si="1"/>
        <v>514</v>
      </c>
      <c r="H565" s="13" t="str">
        <f>IFERROR(__xludf.DUMMYFUNCTION("""COMPUTED_VALUE"""),"P1")</f>
        <v>P1</v>
      </c>
    </row>
    <row r="566" ht="22.5" customHeight="1">
      <c r="B566" s="19" t="str">
        <f>IFERROR(__xludf.DUMMYFUNCTION("""COMPUTED_VALUE"""),"K/51/251024/1")</f>
        <v>K/51/251024/1</v>
      </c>
      <c r="C566" s="19" t="str">
        <f>IFERROR(__xludf.DUMMYFUNCTION("""COMPUTED_VALUE"""),"M. 1543/ Kupang Kota")</f>
        <v>M. 1543/ Kupang Kota</v>
      </c>
      <c r="D566" s="17">
        <f>IFERROR(__xludf.DUMMYFUNCTION("""COMPUTED_VALUE"""),45590.63700105324)</f>
        <v>45590.637</v>
      </c>
      <c r="E566" s="13" t="str">
        <f>IFERROR(__xludf.DUMMYFUNCTION("""COMPUTED_VALUE"""),"BN Jual Beli")</f>
        <v>BN Jual Beli</v>
      </c>
      <c r="F566" s="13" t="str">
        <f>IFERROR(__xludf.DUMMYFUNCTION("""COMPUTED_VALUE"""),"Panary Sitopu/ Mustopa")</f>
        <v>Panary Sitopu/ Mustopa</v>
      </c>
      <c r="G566" s="13">
        <f t="shared" si="1"/>
        <v>515</v>
      </c>
      <c r="H566" s="13" t="str">
        <f>IFERROR(__xludf.DUMMYFUNCTION("""COMPUTED_VALUE"""),"P0")</f>
        <v>P0</v>
      </c>
    </row>
    <row r="567" ht="22.5" customHeight="1">
      <c r="B567" s="19" t="str">
        <f>IFERROR(__xludf.DUMMYFUNCTION("""COMPUTED_VALUE"""),"K/52/251024/2")</f>
        <v>K/52/251024/2</v>
      </c>
      <c r="C567" s="19" t="str">
        <f>IFERROR(__xludf.DUMMYFUNCTION("""COMPUTED_VALUE"""),"M/ 1544/ Kupang Kota")</f>
        <v>M/ 1544/ Kupang Kota</v>
      </c>
      <c r="D567" s="17">
        <f>IFERROR(__xludf.DUMMYFUNCTION("""COMPUTED_VALUE"""),45590.63782966435)</f>
        <v>45590.63783</v>
      </c>
      <c r="E567" s="13" t="str">
        <f>IFERROR(__xludf.DUMMYFUNCTION("""COMPUTED_VALUE"""),"BN Jual Beli")</f>
        <v>BN Jual Beli</v>
      </c>
      <c r="F567" s="13" t="str">
        <f>IFERROR(__xludf.DUMMYFUNCTION("""COMPUTED_VALUE"""),"Panary Sitopu/ Mustopa")</f>
        <v>Panary Sitopu/ Mustopa</v>
      </c>
      <c r="G567" s="13">
        <f t="shared" si="1"/>
        <v>516</v>
      </c>
      <c r="H567" s="13" t="str">
        <f>IFERROR(__xludf.DUMMYFUNCTION("""COMPUTED_VALUE"""),"P0")</f>
        <v>P0</v>
      </c>
    </row>
    <row r="568" ht="22.5" customHeight="1">
      <c r="B568" s="19" t="str">
        <f>IFERROR(__xludf.DUMMYFUNCTION("""COMPUTED_VALUE"""),"K/53/251024/1")</f>
        <v>K/53/251024/1</v>
      </c>
      <c r="C568" s="19" t="str">
        <f>IFERROR(__xludf.DUMMYFUNCTION("""COMPUTED_VALUE"""),"M. 22/ Perwata dan SHT 7366/2013")</f>
        <v>M. 22/ Perwata dan SHT 7366/2013</v>
      </c>
      <c r="D568" s="17">
        <f>IFERROR(__xludf.DUMMYFUNCTION("""COMPUTED_VALUE"""),45590.64692097223)</f>
        <v>45590.64692</v>
      </c>
      <c r="E568" s="13" t="str">
        <f>IFERROR(__xludf.DUMMYFUNCTION("""COMPUTED_VALUE"""),"Roya")</f>
        <v>Roya</v>
      </c>
      <c r="F568" s="13" t="str">
        <f>IFERROR(__xludf.DUMMYFUNCTION("""COMPUTED_VALUE"""),"Rendy R/ Suryono")</f>
        <v>Rendy R/ Suryono</v>
      </c>
      <c r="G568" s="13">
        <f t="shared" si="1"/>
        <v>517</v>
      </c>
      <c r="H568" s="13" t="str">
        <f>IFERROR(__xludf.DUMMYFUNCTION("""COMPUTED_VALUE"""),"P0")</f>
        <v>P0</v>
      </c>
    </row>
    <row r="569" ht="22.5" customHeight="1">
      <c r="B569" s="19" t="str">
        <f>IFERROR(__xludf.DUMMYFUNCTION("""COMPUTED_VALUE"""),"K/54/251024/1")</f>
        <v>K/54/251024/1</v>
      </c>
      <c r="C569" s="19" t="str">
        <f>IFERROR(__xludf.DUMMYFUNCTION("""COMPUTED_VALUE"""),"M.1393/SUKAJAWA")</f>
        <v>M.1393/SUKAJAWA</v>
      </c>
      <c r="D569" s="17">
        <f>IFERROR(__xludf.DUMMYFUNCTION("""COMPUTED_VALUE"""),45590.66200648148)</f>
        <v>45590.66201</v>
      </c>
      <c r="E569" s="13" t="str">
        <f>IFERROR(__xludf.DUMMYFUNCTION("""COMPUTED_VALUE"""),"SITA")</f>
        <v>SITA</v>
      </c>
      <c r="F569" s="13" t="str">
        <f>IFERROR(__xludf.DUMMYFUNCTION("""COMPUTED_VALUE"""),"LPS/PENI WAHYUDI")</f>
        <v>LPS/PENI WAHYUDI</v>
      </c>
      <c r="G569" s="13">
        <f t="shared" si="1"/>
        <v>518</v>
      </c>
      <c r="H569" s="13" t="str">
        <f>IFERROR(__xludf.DUMMYFUNCTION("""COMPUTED_VALUE"""),"P0")</f>
        <v>P0</v>
      </c>
    </row>
    <row r="570" ht="22.5" customHeight="1">
      <c r="B570" s="19" t="str">
        <f>IFERROR(__xludf.DUMMYFUNCTION("""COMPUTED_VALUE"""),"K/55/251024/2")</f>
        <v>K/55/251024/2</v>
      </c>
      <c r="C570" s="19" t="str">
        <f>IFERROR(__xludf.DUMMYFUNCTION("""COMPUTED_VALUE"""),"M.1741/SUKAJAWA")</f>
        <v>M.1741/SUKAJAWA</v>
      </c>
      <c r="D570" s="17">
        <f>IFERROR(__xludf.DUMMYFUNCTION("""COMPUTED_VALUE"""),45590.66259231481)</f>
        <v>45590.66259</v>
      </c>
      <c r="E570" s="13" t="str">
        <f>IFERROR(__xludf.DUMMYFUNCTION("""COMPUTED_VALUE"""),"SITA")</f>
        <v>SITA</v>
      </c>
      <c r="F570" s="13" t="str">
        <f>IFERROR(__xludf.DUMMYFUNCTION("""COMPUTED_VALUE"""),"LPS/PENI WAHYUDI")</f>
        <v>LPS/PENI WAHYUDI</v>
      </c>
      <c r="G570" s="13">
        <f t="shared" si="1"/>
        <v>519</v>
      </c>
      <c r="H570" s="13" t="str">
        <f>IFERROR(__xludf.DUMMYFUNCTION("""COMPUTED_VALUE"""),"P0")</f>
        <v>P0</v>
      </c>
    </row>
    <row r="571" ht="22.5" customHeight="1">
      <c r="B571" s="19" t="str">
        <f>IFERROR(__xludf.DUMMYFUNCTION("""COMPUTED_VALUE"""),"K/29/211024/1")</f>
        <v>K/29/211024/1</v>
      </c>
      <c r="C571" s="19" t="str">
        <f>IFERROR(__xludf.DUMMYFUNCTION("""COMPUTED_VALUE"""),"M. 14789/ Sukarame; B. 2781/ Sukarame-dahulu; SHT 2097/2010 dan SHT 1880/2008	")</f>
        <v>M. 14789/ Sukarame; B. 2781/ Sukarame-dahulu; SHT 2097/2010 dan SHT 1880/2008	</v>
      </c>
      <c r="D571" s="17">
        <f>IFERROR(__xludf.DUMMYFUNCTION("""COMPUTED_VALUE"""),45590.66553371528)</f>
        <v>45590.66553</v>
      </c>
      <c r="E571" s="13" t="str">
        <f>IFERROR(__xludf.DUMMYFUNCTION("""COMPUTED_VALUE"""),"Roya")</f>
        <v>Roya</v>
      </c>
      <c r="F571" s="13" t="str">
        <f>IFERROR(__xludf.DUMMYFUNCTION("""COMPUTED_VALUE"""),"Richard Adi P/ Herfina")</f>
        <v>Richard Adi P/ Herfina</v>
      </c>
      <c r="G571" s="13">
        <f t="shared" si="1"/>
        <v>519</v>
      </c>
      <c r="H571" s="13" t="str">
        <f>IFERROR(__xludf.DUMMYFUNCTION("""COMPUTED_VALUE"""),"P1")</f>
        <v>P1</v>
      </c>
    </row>
    <row r="572" ht="22.5" customHeight="1">
      <c r="B572" s="19" t="str">
        <f>IFERROR(__xludf.DUMMYFUNCTION("""COMPUTED_VALUE"""),"K/6/181024/1")</f>
        <v>K/6/181024/1</v>
      </c>
      <c r="C572" s="19" t="str">
        <f>IFERROR(__xludf.DUMMYFUNCTION("""COMPUTED_VALUE"""),"B. 653; 654/ Pesawahan dan SHT 1213/2008 dan SHT 3013/2006")</f>
        <v>B. 653; 654/ Pesawahan dan SHT 1213/2008 dan SHT 3013/2006</v>
      </c>
      <c r="D572" s="17">
        <f>IFERROR(__xludf.DUMMYFUNCTION("""COMPUTED_VALUE"""),45590.666485636575)</f>
        <v>45590.66649</v>
      </c>
      <c r="E572" s="13" t="str">
        <f>IFERROR(__xludf.DUMMYFUNCTION("""COMPUTED_VALUE"""),"Roya")</f>
        <v>Roya</v>
      </c>
      <c r="F572" s="13" t="str">
        <f>IFERROR(__xludf.DUMMYFUNCTION("""COMPUTED_VALUE"""),"Afrizal/ Welly H	")</f>
        <v>Afrizal/ Welly H	</v>
      </c>
      <c r="G572" s="13">
        <f t="shared" si="1"/>
        <v>519</v>
      </c>
      <c r="H572" s="13" t="str">
        <f>IFERROR(__xludf.DUMMYFUNCTION("""COMPUTED_VALUE"""),"P1")</f>
        <v>P1</v>
      </c>
    </row>
    <row r="573" ht="22.5" customHeight="1">
      <c r="B573" s="19" t="str">
        <f>IFERROR(__xludf.DUMMYFUNCTION("""COMPUTED_VALUE"""),"L/26/251024/1")</f>
        <v>L/26/251024/1</v>
      </c>
      <c r="C573" s="19" t="str">
        <f>IFERROR(__xludf.DUMMYFUNCTION("""COMPUTED_VALUE"""),"M.15567/S I")</f>
        <v>M.15567/S I</v>
      </c>
      <c r="D573" s="17">
        <f>IFERROR(__xludf.DUMMYFUNCTION("""COMPUTED_VALUE"""),45590.70029408565)</f>
        <v>45590.70029</v>
      </c>
      <c r="E573" s="13" t="str">
        <f>IFERROR(__xludf.DUMMYFUNCTION("""COMPUTED_VALUE"""),"ROYA")</f>
        <v>ROYA</v>
      </c>
      <c r="F573" s="13" t="str">
        <f>IFERROR(__xludf.DUMMYFUNCTION("""COMPUTED_VALUE"""),"RUDI SIREGAR")</f>
        <v>RUDI SIREGAR</v>
      </c>
      <c r="G573" s="13">
        <f t="shared" si="1"/>
        <v>520</v>
      </c>
      <c r="H573" s="13" t="str">
        <f>IFERROR(__xludf.DUMMYFUNCTION("""COMPUTED_VALUE"""),"P0")</f>
        <v>P0</v>
      </c>
    </row>
    <row r="574" ht="22.5" customHeight="1">
      <c r="B574" s="19" t="str">
        <f>IFERROR(__xludf.DUMMYFUNCTION("""COMPUTED_VALUE"""),"L/1/261024/1")</f>
        <v>L/1/261024/1</v>
      </c>
      <c r="C574" s="19" t="str">
        <f>IFERROR(__xludf.DUMMYFUNCTION("""COMPUTED_VALUE"""),"HGB 208/PWK")</f>
        <v>HGB 208/PWK</v>
      </c>
      <c r="D574" s="17">
        <f>IFERROR(__xludf.DUMMYFUNCTION("""COMPUTED_VALUE"""),45591.4153316088)</f>
        <v>45591.41533</v>
      </c>
      <c r="E574" s="13" t="str">
        <f>IFERROR(__xludf.DUMMYFUNCTION("""COMPUTED_VALUE"""),"ROYA")</f>
        <v>ROYA</v>
      </c>
      <c r="F574" s="13" t="str">
        <f>IFERROR(__xludf.DUMMYFUNCTION("""COMPUTED_VALUE"""),"NIA FAUNIA")</f>
        <v>NIA FAUNIA</v>
      </c>
      <c r="G574" s="13">
        <f t="shared" si="1"/>
        <v>521</v>
      </c>
      <c r="H574" s="13" t="str">
        <f>IFERROR(__xludf.DUMMYFUNCTION("""COMPUTED_VALUE"""),"P0")</f>
        <v>P0</v>
      </c>
    </row>
    <row r="575" ht="22.5" customHeight="1">
      <c r="B575" s="19" t="str">
        <f>IFERROR(__xludf.DUMMYFUNCTION("""COMPUTED_VALUE"""),"K/1/281024/1")</f>
        <v>K/1/281024/1</v>
      </c>
      <c r="C575" s="19" t="str">
        <f>IFERROR(__xludf.DUMMYFUNCTION("""COMPUTED_VALUE"""),"B. 770/ SUMUR PUTRI")</f>
        <v>B. 770/ SUMUR PUTRI</v>
      </c>
      <c r="D575" s="17">
        <f>IFERROR(__xludf.DUMMYFUNCTION("""COMPUTED_VALUE"""),45593.374504340274)</f>
        <v>45593.3745</v>
      </c>
      <c r="E575" s="13" t="str">
        <f>IFERROR(__xludf.DUMMYFUNCTION("""COMPUTED_VALUE"""),"BN JUAL BELI")</f>
        <v>BN JUAL BELI</v>
      </c>
      <c r="F575" s="13" t="str">
        <f>IFERROR(__xludf.DUMMYFUNCTION("""COMPUTED_VALUE"""),"EVA SURIANI/ CHRISTIAN LIEANDOE")</f>
        <v>EVA SURIANI/ CHRISTIAN LIEANDOE</v>
      </c>
      <c r="G575" s="13">
        <f t="shared" si="1"/>
        <v>522</v>
      </c>
      <c r="H575" s="13" t="str">
        <f>IFERROR(__xludf.DUMMYFUNCTION("""COMPUTED_VALUE"""),"P0")</f>
        <v>P0</v>
      </c>
    </row>
    <row r="576" ht="22.5" customHeight="1">
      <c r="B576" s="19" t="str">
        <f>IFERROR(__xludf.DUMMYFUNCTION("""COMPUTED_VALUE"""),"L/2/281024/1")</f>
        <v>L/2/281024/1</v>
      </c>
      <c r="C576" s="19" t="str">
        <f>IFERROR(__xludf.DUMMYFUNCTION("""COMPUTED_VALUE"""),"TANJUNG AGUNG")</f>
        <v>TANJUNG AGUNG</v>
      </c>
      <c r="D576" s="17">
        <f>IFERROR(__xludf.DUMMYFUNCTION("""COMPUTED_VALUE"""),45593.377906875)</f>
        <v>45593.37791</v>
      </c>
      <c r="E576" s="13" t="str">
        <f>IFERROR(__xludf.DUMMYFUNCTION("""COMPUTED_VALUE"""),"PERTAMA KALI")</f>
        <v>PERTAMA KALI</v>
      </c>
      <c r="F576" s="13" t="str">
        <f>IFERROR(__xludf.DUMMYFUNCTION("""COMPUTED_VALUE"""),"FITRIA AGUSTINA")</f>
        <v>FITRIA AGUSTINA</v>
      </c>
      <c r="G576" s="13">
        <f t="shared" si="1"/>
        <v>523</v>
      </c>
      <c r="H576" s="13" t="str">
        <f>IFERROR(__xludf.DUMMYFUNCTION("""COMPUTED_VALUE"""),"P0")</f>
        <v>P0</v>
      </c>
    </row>
    <row r="577" ht="22.5" customHeight="1">
      <c r="B577" s="19" t="str">
        <f>IFERROR(__xludf.DUMMYFUNCTION("""COMPUTED_VALUE"""),"K/3/281024/1")</f>
        <v>K/3/281024/1</v>
      </c>
      <c r="C577" s="19" t="str">
        <f>IFERROR(__xludf.DUMMYFUNCTION("""COMPUTED_VALUE"""),"M. 139/ rajabasa Jaya")</f>
        <v>M. 139/ rajabasa Jaya</v>
      </c>
      <c r="D577" s="17">
        <f>IFERROR(__xludf.DUMMYFUNCTION("""COMPUTED_VALUE"""),45593.380978506946)</f>
        <v>45593.38098</v>
      </c>
      <c r="E577" s="13" t="str">
        <f>IFERROR(__xludf.DUMMYFUNCTION("""COMPUTED_VALUE"""),"SKPT Lelang")</f>
        <v>SKPT Lelang</v>
      </c>
      <c r="F577" s="13" t="str">
        <f>IFERROR(__xludf.DUMMYFUNCTION("""COMPUTED_VALUE"""),"dito saputra/titik w")</f>
        <v>dito saputra/titik w</v>
      </c>
      <c r="G577" s="13">
        <f t="shared" si="1"/>
        <v>524</v>
      </c>
      <c r="H577" s="13" t="str">
        <f>IFERROR(__xludf.DUMMYFUNCTION("""COMPUTED_VALUE"""),"P0")</f>
        <v>P0</v>
      </c>
    </row>
    <row r="578" ht="22.5" customHeight="1">
      <c r="B578" s="19" t="str">
        <f>IFERROR(__xludf.DUMMYFUNCTION("""COMPUTED_VALUE"""),"K/4/281024/2")</f>
        <v>K/4/281024/2</v>
      </c>
      <c r="C578" s="19" t="str">
        <f>IFERROR(__xludf.DUMMYFUNCTION("""COMPUTED_VALUE"""),"M. 660/ Tanjung Gading")</f>
        <v>M. 660/ Tanjung Gading</v>
      </c>
      <c r="D578" s="17">
        <f>IFERROR(__xludf.DUMMYFUNCTION("""COMPUTED_VALUE"""),45593.38483789352)</f>
        <v>45593.38484</v>
      </c>
      <c r="E578" s="13" t="str">
        <f>IFERROR(__xludf.DUMMYFUNCTION("""COMPUTED_VALUE"""),"SKPT lelang")</f>
        <v>SKPT lelang</v>
      </c>
      <c r="F578" s="13" t="str">
        <f>IFERROR(__xludf.DUMMYFUNCTION("""COMPUTED_VALUE"""),"dito saputra/titik wijayanti")</f>
        <v>dito saputra/titik wijayanti</v>
      </c>
      <c r="G578" s="13">
        <f t="shared" si="1"/>
        <v>525</v>
      </c>
      <c r="H578" s="13" t="str">
        <f>IFERROR(__xludf.DUMMYFUNCTION("""COMPUTED_VALUE"""),"P0")</f>
        <v>P0</v>
      </c>
    </row>
    <row r="579" ht="22.5" customHeight="1">
      <c r="B579" s="19" t="str">
        <f>IFERROR(__xludf.DUMMYFUNCTION("""COMPUTED_VALUE"""),"K/5/281024/1")</f>
        <v>K/5/281024/1</v>
      </c>
      <c r="C579" s="19" t="str">
        <f>IFERROR(__xludf.DUMMYFUNCTION("""COMPUTED_VALUE"""),"M. 1409/ Panjang Utara")</f>
        <v>M. 1409/ Panjang Utara</v>
      </c>
      <c r="D579" s="17">
        <f>IFERROR(__xludf.DUMMYFUNCTION("""COMPUTED_VALUE"""),45593.388390810185)</f>
        <v>45593.38839</v>
      </c>
      <c r="E579" s="13" t="str">
        <f>IFERROR(__xludf.DUMMYFUNCTION("""COMPUTED_VALUE"""),"Ganti Nama")</f>
        <v>Ganti Nama</v>
      </c>
      <c r="F579" s="13" t="str">
        <f>IFERROR(__xludf.DUMMYFUNCTION("""COMPUTED_VALUE"""),"Evi Udin/ Wong Tjhi Mie")</f>
        <v>Evi Udin/ Wong Tjhi Mie</v>
      </c>
      <c r="G579" s="13">
        <f t="shared" si="1"/>
        <v>526</v>
      </c>
      <c r="H579" s="13" t="str">
        <f>IFERROR(__xludf.DUMMYFUNCTION("""COMPUTED_VALUE"""),"P0")</f>
        <v>P0</v>
      </c>
    </row>
    <row r="580" ht="22.5" customHeight="1">
      <c r="B580" s="19" t="str">
        <f>IFERROR(__xludf.DUMMYFUNCTION("""COMPUTED_VALUE"""),"L/6/281024/1")</f>
        <v>L/6/281024/1</v>
      </c>
      <c r="C580" s="19" t="str">
        <f>IFERROR(__xludf.DUMMYFUNCTION("""COMPUTED_VALUE"""),"HM 8198/SUKABUMI")</f>
        <v>HM 8198/SUKABUMI</v>
      </c>
      <c r="D580" s="17">
        <f>IFERROR(__xludf.DUMMYFUNCTION("""COMPUTED_VALUE"""),45593.39435988426)</f>
        <v>45593.39436</v>
      </c>
      <c r="E580" s="13" t="str">
        <f>IFERROR(__xludf.DUMMYFUNCTION("""COMPUTED_VALUE"""),"BN LELANG")</f>
        <v>BN LELANG</v>
      </c>
      <c r="F580" s="13" t="str">
        <f>IFERROR(__xludf.DUMMYFUNCTION("""COMPUTED_VALUE"""),"IMAWAN SUTAMTO")</f>
        <v>IMAWAN SUTAMTO</v>
      </c>
      <c r="G580" s="13">
        <f t="shared" si="1"/>
        <v>527</v>
      </c>
      <c r="H580" s="13" t="str">
        <f>IFERROR(__xludf.DUMMYFUNCTION("""COMPUTED_VALUE"""),"P0")</f>
        <v>P0</v>
      </c>
    </row>
    <row r="581" ht="22.5" customHeight="1">
      <c r="B581" s="19" t="str">
        <f>IFERROR(__xludf.DUMMYFUNCTION("""COMPUTED_VALUE"""),"K/7/281024/1")</f>
        <v>K/7/281024/1</v>
      </c>
      <c r="C581" s="19" t="str">
        <f>IFERROR(__xludf.DUMMYFUNCTION("""COMPUTED_VALUE"""),"Nibel. M. 1226/ Gulak Galik")</f>
        <v>Nibel. M. 1226/ Gulak Galik</v>
      </c>
      <c r="D581" s="17">
        <f>IFERROR(__xludf.DUMMYFUNCTION("""COMPUTED_VALUE"""),45593.40090392361)</f>
        <v>45593.4009</v>
      </c>
      <c r="E581" s="13" t="str">
        <f>IFERROR(__xludf.DUMMYFUNCTION("""COMPUTED_VALUE"""),"BN Hibah")</f>
        <v>BN Hibah</v>
      </c>
      <c r="F581" s="13" t="str">
        <f>IFERROR(__xludf.DUMMYFUNCTION("""COMPUTED_VALUE"""),"Mahfud/ Alwiyah ALi")</f>
        <v>Mahfud/ Alwiyah ALi</v>
      </c>
      <c r="G581" s="13">
        <f t="shared" si="1"/>
        <v>528</v>
      </c>
      <c r="H581" s="13" t="str">
        <f>IFERROR(__xludf.DUMMYFUNCTION("""COMPUTED_VALUE"""),"P0")</f>
        <v>P0</v>
      </c>
    </row>
    <row r="582" ht="22.5" customHeight="1">
      <c r="B582" s="19" t="str">
        <f>IFERROR(__xludf.DUMMYFUNCTION("""COMPUTED_VALUE"""),"K/9/281024/1")</f>
        <v>K/9/281024/1</v>
      </c>
      <c r="C582" s="19" t="str">
        <f>IFERROR(__xludf.DUMMYFUNCTION("""COMPUTED_VALUE"""),"M.1591/RAJABASA NUNYAI-SEKARANG;B.347/RAJABASA NUNYAI-DAHULU")</f>
        <v>M.1591/RAJABASA NUNYAI-SEKARANG;B.347/RAJABASA NUNYAI-DAHULU</v>
      </c>
      <c r="D582" s="17">
        <f>IFERROR(__xludf.DUMMYFUNCTION("""COMPUTED_VALUE"""),45593.4030053125)</f>
        <v>45593.40301</v>
      </c>
      <c r="E582" s="13" t="str">
        <f>IFERROR(__xludf.DUMMYFUNCTION("""COMPUTED_VALUE"""),"BN JUAL BELI")</f>
        <v>BN JUAL BELI</v>
      </c>
      <c r="F582" s="13" t="str">
        <f>IFERROR(__xludf.DUMMYFUNCTION("""COMPUTED_VALUE"""),"DYAH NINGTIYA ASTUTI/ISMARIN")</f>
        <v>DYAH NINGTIYA ASTUTI/ISMARIN</v>
      </c>
      <c r="G582" s="13">
        <f t="shared" si="1"/>
        <v>529</v>
      </c>
      <c r="H582" s="13" t="str">
        <f>IFERROR(__xludf.DUMMYFUNCTION("""COMPUTED_VALUE"""),"P0")</f>
        <v>P0</v>
      </c>
    </row>
    <row r="583" ht="22.5" customHeight="1">
      <c r="B583" s="19" t="str">
        <f>IFERROR(__xludf.DUMMYFUNCTION("""COMPUTED_VALUE"""),"K/8/281024/1")</f>
        <v>K/8/281024/1</v>
      </c>
      <c r="C583" s="19" t="str">
        <f>IFERROR(__xludf.DUMMYFUNCTION("""COMPUTED_VALUE"""),"M. 3464/ Gunung Terang")</f>
        <v>M. 3464/ Gunung Terang</v>
      </c>
      <c r="D583" s="17">
        <f>IFERROR(__xludf.DUMMYFUNCTION("""COMPUTED_VALUE"""),45593.40304275463)</f>
        <v>45593.40304</v>
      </c>
      <c r="E583" s="13" t="str">
        <f>IFERROR(__xludf.DUMMYFUNCTION("""COMPUTED_VALUE"""),"PTPGT Pemecahan")</f>
        <v>PTPGT Pemecahan</v>
      </c>
      <c r="F583" s="13" t="str">
        <f>IFERROR(__xludf.DUMMYFUNCTION("""COMPUTED_VALUE"""),"Hendri Irawan/ Rachmat Mulyadi")</f>
        <v>Hendri Irawan/ Rachmat Mulyadi</v>
      </c>
      <c r="G583" s="13">
        <f t="shared" si="1"/>
        <v>530</v>
      </c>
      <c r="H583" s="13" t="str">
        <f>IFERROR(__xludf.DUMMYFUNCTION("""COMPUTED_VALUE"""),"P0")</f>
        <v>P0</v>
      </c>
    </row>
    <row r="584" ht="22.5" customHeight="1">
      <c r="B584" s="19" t="str">
        <f>IFERROR(__xludf.DUMMYFUNCTION("""COMPUTED_VALUE"""),"L/10/281024/1")</f>
        <v>L/10/281024/1</v>
      </c>
      <c r="C584" s="19" t="str">
        <f>IFERROR(__xludf.DUMMYFUNCTION("""COMPUTED_VALUE"""),"M.1465/KEDAMAIAN")</f>
        <v>M.1465/KEDAMAIAN</v>
      </c>
      <c r="D584" s="17">
        <f>IFERROR(__xludf.DUMMYFUNCTION("""COMPUTED_VALUE"""),45593.40696090278)</f>
        <v>45593.40696</v>
      </c>
      <c r="E584" s="13" t="str">
        <f>IFERROR(__xludf.DUMMYFUNCTION("""COMPUTED_VALUE"""),"CEKPLOT HILANG")</f>
        <v>CEKPLOT HILANG</v>
      </c>
      <c r="F584" s="13" t="str">
        <f>IFERROR(__xludf.DUMMYFUNCTION("""COMPUTED_VALUE"""),"NURAINI RAHIM")</f>
        <v>NURAINI RAHIM</v>
      </c>
      <c r="G584" s="13">
        <f t="shared" si="1"/>
        <v>531</v>
      </c>
      <c r="H584" s="13" t="str">
        <f>IFERROR(__xludf.DUMMYFUNCTION("""COMPUTED_VALUE"""),"P0")</f>
        <v>P0</v>
      </c>
    </row>
    <row r="585" ht="22.5" customHeight="1">
      <c r="B585" s="19" t="str">
        <f>IFERROR(__xludf.DUMMYFUNCTION("""COMPUTED_VALUE"""),"L/11/281024/2")</f>
        <v>L/11/281024/2</v>
      </c>
      <c r="C585" s="19" t="str">
        <f>IFERROR(__xludf.DUMMYFUNCTION("""COMPUTED_VALUE"""),"M.11474/KEDAMAIAN-SERTIPIKAT TETANGGA")</f>
        <v>M.11474/KEDAMAIAN-SERTIPIKAT TETANGGA</v>
      </c>
      <c r="D585" s="17">
        <f>IFERROR(__xludf.DUMMYFUNCTION("""COMPUTED_VALUE"""),45593.40769876157)</f>
        <v>45593.4077</v>
      </c>
      <c r="E585" s="13" t="str">
        <f>IFERROR(__xludf.DUMMYFUNCTION("""COMPUTED_VALUE"""),"CEKPLOT HILANG")</f>
        <v>CEKPLOT HILANG</v>
      </c>
      <c r="F585" s="13" t="str">
        <f>IFERROR(__xludf.DUMMYFUNCTION("""COMPUTED_VALUE"""),"NURAINI RAHIM")</f>
        <v>NURAINI RAHIM</v>
      </c>
      <c r="G585" s="13">
        <f t="shared" si="1"/>
        <v>532</v>
      </c>
      <c r="H585" s="13" t="str">
        <f>IFERROR(__xludf.DUMMYFUNCTION("""COMPUTED_VALUE"""),"P0")</f>
        <v>P0</v>
      </c>
    </row>
    <row r="586" ht="22.5" customHeight="1">
      <c r="B586" s="19" t="str">
        <f>IFERROR(__xludf.DUMMYFUNCTION("""COMPUTED_VALUE"""),"K/12/281024/1")</f>
        <v>K/12/281024/1</v>
      </c>
      <c r="C586" s="19" t="str">
        <f>IFERROR(__xludf.DUMMYFUNCTION("""COMPUTED_VALUE"""),"M.2877/SUKARAME II")</f>
        <v>M.2877/SUKARAME II</v>
      </c>
      <c r="D586" s="17">
        <f>IFERROR(__xludf.DUMMYFUNCTION("""COMPUTED_VALUE"""),45593.40916332176)</f>
        <v>45593.40916</v>
      </c>
      <c r="E586" s="13" t="str">
        <f>IFERROR(__xludf.DUMMYFUNCTION("""COMPUTED_VALUE"""),"BN JUAL BELI")</f>
        <v>BN JUAL BELI</v>
      </c>
      <c r="F586" s="13" t="str">
        <f>IFERROR(__xludf.DUMMYFUNCTION("""COMPUTED_VALUE"""),"SOPHI YULITA PRASIPI/FERAWATI")</f>
        <v>SOPHI YULITA PRASIPI/FERAWATI</v>
      </c>
      <c r="G586" s="13">
        <f t="shared" si="1"/>
        <v>533</v>
      </c>
      <c r="H586" s="13" t="str">
        <f>IFERROR(__xludf.DUMMYFUNCTION("""COMPUTED_VALUE"""),"P0")</f>
        <v>P0</v>
      </c>
    </row>
    <row r="587" ht="22.5" customHeight="1">
      <c r="B587" s="19" t="str">
        <f>IFERROR(__xludf.DUMMYFUNCTION("""COMPUTED_VALUE"""),"K/13/281024/1")</f>
        <v>K/13/281024/1</v>
      </c>
      <c r="C587" s="19" t="str">
        <f>IFERROR(__xludf.DUMMYFUNCTION("""COMPUTED_VALUE"""),"M. 1317/ Kupang Teba")</f>
        <v>M. 1317/ Kupang Teba</v>
      </c>
      <c r="D587" s="17">
        <f>IFERROR(__xludf.DUMMYFUNCTION("""COMPUTED_VALUE"""),45593.41614886574)</f>
        <v>45593.41615</v>
      </c>
      <c r="E587" s="13" t="str">
        <f>IFERROR(__xludf.DUMMYFUNCTION("""COMPUTED_VALUE"""),"Roya")</f>
        <v>Roya</v>
      </c>
      <c r="F587" s="13" t="str">
        <f>IFERROR(__xludf.DUMMYFUNCTION("""COMPUTED_VALUE"""),"Nur Hayati/ Herni Sutedja")</f>
        <v>Nur Hayati/ Herni Sutedja</v>
      </c>
      <c r="G587" s="13">
        <f t="shared" si="1"/>
        <v>534</v>
      </c>
      <c r="H587" s="13" t="str">
        <f>IFERROR(__xludf.DUMMYFUNCTION("""COMPUTED_VALUE"""),"P0")</f>
        <v>P0</v>
      </c>
    </row>
    <row r="588" ht="22.5" customHeight="1">
      <c r="B588" s="19" t="str">
        <f>IFERROR(__xludf.DUMMYFUNCTION("""COMPUTED_VALUE"""),"K/14/281024/2")</f>
        <v>K/14/281024/2</v>
      </c>
      <c r="C588" s="19" t="str">
        <f>IFERROR(__xludf.DUMMYFUNCTION("""COMPUTED_VALUE"""),"M. 45/ Kupang Teba")</f>
        <v>M. 45/ Kupang Teba</v>
      </c>
      <c r="D588" s="17">
        <f>IFERROR(__xludf.DUMMYFUNCTION("""COMPUTED_VALUE"""),45593.418670555555)</f>
        <v>45593.41867</v>
      </c>
      <c r="E588" s="13" t="str">
        <f>IFERROR(__xludf.DUMMYFUNCTION("""COMPUTED_VALUE"""),"Roya")</f>
        <v>Roya</v>
      </c>
      <c r="F588" s="13" t="str">
        <f>IFERROR(__xludf.DUMMYFUNCTION("""COMPUTED_VALUE"""),"Nur Hayati/ Juliani")</f>
        <v>Nur Hayati/ Juliani</v>
      </c>
      <c r="G588" s="13">
        <f t="shared" si="1"/>
        <v>535</v>
      </c>
      <c r="H588" s="13" t="str">
        <f>IFERROR(__xludf.DUMMYFUNCTION("""COMPUTED_VALUE"""),"P0")</f>
        <v>P0</v>
      </c>
    </row>
    <row r="589" ht="22.5" customHeight="1">
      <c r="B589" s="19" t="str">
        <f>IFERROR(__xludf.DUMMYFUNCTION("""COMPUTED_VALUE"""),"K/13/281024/2")</f>
        <v>K/13/281024/2</v>
      </c>
      <c r="C589" s="19" t="str">
        <f>IFERROR(__xludf.DUMMYFUNCTION("""COMPUTED_VALUE"""),"Nibel 2342/ Sumur Putri")</f>
        <v>Nibel 2342/ Sumur Putri</v>
      </c>
      <c r="D589" s="17">
        <f>IFERROR(__xludf.DUMMYFUNCTION("""COMPUTED_VALUE"""),45593.42185427083)</f>
        <v>45593.42185</v>
      </c>
      <c r="E589" s="13" t="str">
        <f>IFERROR(__xludf.DUMMYFUNCTION("""COMPUTED_VALUE"""),"Perubahan Hak ")</f>
        <v>Perubahan Hak </v>
      </c>
      <c r="F589" s="13" t="str">
        <f>IFERROR(__xludf.DUMMYFUNCTION("""COMPUTED_VALUE"""),"Nanik Maryani")</f>
        <v>Nanik Maryani</v>
      </c>
      <c r="G589" s="13">
        <f t="shared" si="1"/>
        <v>536</v>
      </c>
      <c r="H589" s="13" t="str">
        <f>IFERROR(__xludf.DUMMYFUNCTION("""COMPUTED_VALUE"""),"P0")</f>
        <v>P0</v>
      </c>
    </row>
    <row r="590" ht="22.5" customHeight="1">
      <c r="B590" s="19" t="str">
        <f>IFERROR(__xludf.DUMMYFUNCTION("""COMPUTED_VALUE"""),"K/5/171024/1")</f>
        <v>K/5/171024/1</v>
      </c>
      <c r="C590" s="19" t="str">
        <f>IFERROR(__xludf.DUMMYFUNCTION("""COMPUTED_VALUE"""),"M. 14030/ Tanjung Baru; M. 13709/ Kedamaian-dahulu	")</f>
        <v>M. 14030/ Tanjung Baru; M. 13709/ Kedamaian-dahulu	</v>
      </c>
      <c r="D590" s="17">
        <f>IFERROR(__xludf.DUMMYFUNCTION("""COMPUTED_VALUE"""),45593.42542690972)</f>
        <v>45593.42543</v>
      </c>
      <c r="E590" s="13" t="str">
        <f>IFERROR(__xludf.DUMMYFUNCTION("""COMPUTED_VALUE"""),"BN Waris")</f>
        <v>BN Waris</v>
      </c>
      <c r="F590" s="13" t="str">
        <f>IFERROR(__xludf.DUMMYFUNCTION("""COMPUTED_VALUE"""),"Rahmadiyanti/ Aryudi Cs")</f>
        <v>Rahmadiyanti/ Aryudi Cs</v>
      </c>
      <c r="G590" s="13">
        <f t="shared" si="1"/>
        <v>536</v>
      </c>
      <c r="H590" s="13" t="str">
        <f>IFERROR(__xludf.DUMMYFUNCTION("""COMPUTED_VALUE"""),"P1")</f>
        <v>P1</v>
      </c>
    </row>
    <row r="591" ht="22.5" customHeight="1">
      <c r="B591" s="19" t="str">
        <f>IFERROR(__xludf.DUMMYFUNCTION("""COMPUTED_VALUE"""),"L/16/281024/1")</f>
        <v>L/16/281024/1</v>
      </c>
      <c r="C591" s="19" t="str">
        <f>IFERROR(__xludf.DUMMYFUNCTION("""COMPUTED_VALUE"""),"M.739/NOG")</f>
        <v>M.739/NOG</v>
      </c>
      <c r="D591" s="17">
        <f>IFERROR(__xludf.DUMMYFUNCTION("""COMPUTED_VALUE"""),45593.42732096065)</f>
        <v>45593.42732</v>
      </c>
      <c r="E591" s="13" t="str">
        <f>IFERROR(__xludf.DUMMYFUNCTION("""COMPUTED_VALUE"""),"ROYA")</f>
        <v>ROYA</v>
      </c>
      <c r="F591" s="13" t="str">
        <f>IFERROR(__xludf.DUMMYFUNCTION("""COMPUTED_VALUE"""),"NORMANSYAH")</f>
        <v>NORMANSYAH</v>
      </c>
      <c r="G591" s="13">
        <f t="shared" si="1"/>
        <v>537</v>
      </c>
      <c r="H591" s="13" t="str">
        <f>IFERROR(__xludf.DUMMYFUNCTION("""COMPUTED_VALUE"""),"P0")</f>
        <v>P0</v>
      </c>
    </row>
    <row r="592" ht="22.5" customHeight="1">
      <c r="B592" s="19" t="str">
        <f>IFERROR(__xludf.DUMMYFUNCTION("""COMPUTED_VALUE"""),"K/17/281024/1")</f>
        <v>K/17/281024/1</v>
      </c>
      <c r="C592" s="19" t="str">
        <f>IFERROR(__xludf.DUMMYFUNCTION("""COMPUTED_VALUE"""),"M. 1597/ Gedong Air")</f>
        <v>M. 1597/ Gedong Air</v>
      </c>
      <c r="D592" s="17">
        <f>IFERROR(__xludf.DUMMYFUNCTION("""COMPUTED_VALUE"""),45593.42812116898)</f>
        <v>45593.42812</v>
      </c>
      <c r="E592" s="13" t="str">
        <f>IFERROR(__xludf.DUMMYFUNCTION("""COMPUTED_VALUE"""),"S. Hilang")</f>
        <v>S. Hilang</v>
      </c>
      <c r="F592" s="13" t="str">
        <f>IFERROR(__xludf.DUMMYFUNCTION("""COMPUTED_VALUE"""),"Effendi. M Satam")</f>
        <v>Effendi. M Satam</v>
      </c>
      <c r="G592" s="13">
        <f t="shared" si="1"/>
        <v>538</v>
      </c>
      <c r="H592" s="13" t="str">
        <f>IFERROR(__xludf.DUMMYFUNCTION("""COMPUTED_VALUE"""),"P0")</f>
        <v>P0</v>
      </c>
    </row>
    <row r="593" ht="22.5" customHeight="1">
      <c r="B593" s="19" t="str">
        <f>IFERROR(__xludf.DUMMYFUNCTION("""COMPUTED_VALUE"""),"K/15/281024/1")</f>
        <v>K/15/281024/1</v>
      </c>
      <c r="C593" s="19" t="str">
        <f>IFERROR(__xludf.DUMMYFUNCTION("""COMPUTED_VALUE"""),"M. 9417/ Sidodadi")</f>
        <v>M. 9417/ Sidodadi</v>
      </c>
      <c r="D593" s="17">
        <f>IFERROR(__xludf.DUMMYFUNCTION("""COMPUTED_VALUE"""),45593.42998346065)</f>
        <v>45593.42998</v>
      </c>
      <c r="E593" s="13" t="str">
        <f>IFERROR(__xludf.DUMMYFUNCTION("""COMPUTED_VALUE"""),"BN WARIS")</f>
        <v>BN WARIS</v>
      </c>
      <c r="F593" s="13" t="str">
        <f>IFERROR(__xludf.DUMMYFUNCTION("""COMPUTED_VALUE"""),"ANNA P/ RISMAN CS")</f>
        <v>ANNA P/ RISMAN CS</v>
      </c>
      <c r="G593" s="13">
        <f t="shared" si="1"/>
        <v>539</v>
      </c>
      <c r="H593" s="13" t="str">
        <f>IFERROR(__xludf.DUMMYFUNCTION("""COMPUTED_VALUE"""),"P0")</f>
        <v>P0</v>
      </c>
    </row>
    <row r="594" ht="22.5" customHeight="1">
      <c r="B594" s="19" t="str">
        <f>IFERROR(__xludf.DUMMYFUNCTION("""COMPUTED_VALUE"""),"K/32/221024/1")</f>
        <v>K/32/221024/1</v>
      </c>
      <c r="C594" s="19" t="str">
        <f>IFERROR(__xludf.DUMMYFUNCTION("""COMPUTED_VALUE"""),"Nibel. B. 2386/ P W K")</f>
        <v>Nibel. B. 2386/ P W K</v>
      </c>
      <c r="D594" s="17">
        <f>IFERROR(__xludf.DUMMYFUNCTION("""COMPUTED_VALUE"""),45593.44350530092)</f>
        <v>45593.44351</v>
      </c>
      <c r="E594" s="13" t="str">
        <f>IFERROR(__xludf.DUMMYFUNCTION("""COMPUTED_VALUE"""),"Perubahan Hak")</f>
        <v>Perubahan Hak</v>
      </c>
      <c r="F594" s="13" t="str">
        <f>IFERROR(__xludf.DUMMYFUNCTION("""COMPUTED_VALUE"""),"Imelda Pasaribu/ Rotua P")</f>
        <v>Imelda Pasaribu/ Rotua P</v>
      </c>
      <c r="G594" s="13">
        <f t="shared" si="1"/>
        <v>539</v>
      </c>
      <c r="H594" s="13" t="str">
        <f>IFERROR(__xludf.DUMMYFUNCTION("""COMPUTED_VALUE"""),"P1")</f>
        <v>P1</v>
      </c>
    </row>
    <row r="595" ht="22.5" customHeight="1">
      <c r="B595" s="19" t="str">
        <f>IFERROR(__xludf.DUMMYFUNCTION("""COMPUTED_VALUE"""),"K/2/161024/1")</f>
        <v>K/2/161024/1</v>
      </c>
      <c r="C595" s="19" t="str">
        <f>IFERROR(__xludf.DUMMYFUNCTION("""COMPUTED_VALUE"""),"Nibel. M. 2246/ Sumber Agung")</f>
        <v>Nibel. M. 2246/ Sumber Agung</v>
      </c>
      <c r="D595" s="17">
        <f>IFERROR(__xludf.DUMMYFUNCTION("""COMPUTED_VALUE"""),45593.444187280096)</f>
        <v>45593.44419</v>
      </c>
      <c r="E595" s="13" t="str">
        <f>IFERROR(__xludf.DUMMYFUNCTION("""COMPUTED_VALUE"""),"BN Jual Beli")</f>
        <v>BN Jual Beli</v>
      </c>
      <c r="F595" s="13" t="str">
        <f>IFERROR(__xludf.DUMMYFUNCTION("""COMPUTED_VALUE"""),"Dedi Setiawan/ Yosi Mariani")</f>
        <v>Dedi Setiawan/ Yosi Mariani</v>
      </c>
      <c r="G595" s="13">
        <f t="shared" si="1"/>
        <v>539</v>
      </c>
      <c r="H595" s="13" t="str">
        <f>IFERROR(__xludf.DUMMYFUNCTION("""COMPUTED_VALUE"""),"P1")</f>
        <v>P1</v>
      </c>
    </row>
    <row r="596" ht="22.5" customHeight="1">
      <c r="B596" s="19" t="str">
        <f>IFERROR(__xludf.DUMMYFUNCTION("""COMPUTED_VALUE"""),"K/19/281024/1")</f>
        <v>K/19/281024/1</v>
      </c>
      <c r="C596" s="19" t="str">
        <f>IFERROR(__xludf.DUMMYFUNCTION("""COMPUTED_VALUE"""),"M.231/CAMPANG JAYA-SEKARANG;M.231/NUSANTARA PERMAI-DAHULU")</f>
        <v>M.231/CAMPANG JAYA-SEKARANG;M.231/NUSANTARA PERMAI-DAHULU</v>
      </c>
      <c r="D596" s="17">
        <f>IFERROR(__xludf.DUMMYFUNCTION("""COMPUTED_VALUE"""),45593.44786320602)</f>
        <v>45593.44786</v>
      </c>
      <c r="E596" s="13" t="str">
        <f>IFERROR(__xludf.DUMMYFUNCTION("""COMPUTED_VALUE"""),"BN JUAL BELI")</f>
        <v>BN JUAL BELI</v>
      </c>
      <c r="F596" s="13" t="str">
        <f>IFERROR(__xludf.DUMMYFUNCTION("""COMPUTED_VALUE"""),"SHOBARIAH/MYRDA LIBRINA ")</f>
        <v>SHOBARIAH/MYRDA LIBRINA </v>
      </c>
      <c r="G596" s="13">
        <f t="shared" si="1"/>
        <v>540</v>
      </c>
      <c r="H596" s="13" t="str">
        <f>IFERROR(__xludf.DUMMYFUNCTION("""COMPUTED_VALUE"""),"P0")</f>
        <v>P0</v>
      </c>
    </row>
    <row r="597" ht="22.5" customHeight="1">
      <c r="B597" s="19" t="str">
        <f>IFERROR(__xludf.DUMMYFUNCTION("""COMPUTED_VALUE"""),"K/20/281024/2")</f>
        <v>K/20/281024/2</v>
      </c>
      <c r="C597" s="19" t="str">
        <f>IFERROR(__xludf.DUMMYFUNCTION("""COMPUTED_VALUE"""),"M.2072/CAMPANG JAYA-SEKARANG;M 247/NUSANTARA PERMAI-DAHULU")</f>
        <v>M.2072/CAMPANG JAYA-SEKARANG;M 247/NUSANTARA PERMAI-DAHULU</v>
      </c>
      <c r="D597" s="17">
        <f>IFERROR(__xludf.DUMMYFUNCTION("""COMPUTED_VALUE"""),45593.44889914352)</f>
        <v>45593.4489</v>
      </c>
      <c r="E597" s="13" t="str">
        <f>IFERROR(__xludf.DUMMYFUNCTION("""COMPUTED_VALUE"""),"BN JUAL BELI")</f>
        <v>BN JUAL BELI</v>
      </c>
      <c r="F597" s="13" t="str">
        <f>IFERROR(__xludf.DUMMYFUNCTION("""COMPUTED_VALUE"""),"DELI SATRIA/MYRDA LIBRINA ")</f>
        <v>DELI SATRIA/MYRDA LIBRINA </v>
      </c>
      <c r="G597" s="13">
        <f t="shared" si="1"/>
        <v>541</v>
      </c>
      <c r="H597" s="13" t="str">
        <f>IFERROR(__xludf.DUMMYFUNCTION("""COMPUTED_VALUE"""),"P0")</f>
        <v>P0</v>
      </c>
    </row>
    <row r="598" ht="22.5" customHeight="1">
      <c r="B598" s="19" t="str">
        <f>IFERROR(__xludf.DUMMYFUNCTION("""COMPUTED_VALUE"""),"K/18/281024/1")</f>
        <v>K/18/281024/1</v>
      </c>
      <c r="C598" s="19" t="str">
        <f>IFERROR(__xludf.DUMMYFUNCTION("""COMPUTED_VALUE"""),"M. 811/ Way Dadi")</f>
        <v>M. 811/ Way Dadi</v>
      </c>
      <c r="D598" s="17">
        <f>IFERROR(__xludf.DUMMYFUNCTION("""COMPUTED_VALUE"""),45593.47226635416)</f>
        <v>45593.47227</v>
      </c>
      <c r="E598" s="13" t="str">
        <f>IFERROR(__xludf.DUMMYFUNCTION("""COMPUTED_VALUE"""),"BN Jual Beli")</f>
        <v>BN Jual Beli</v>
      </c>
      <c r="F598" s="13" t="str">
        <f>IFERROR(__xludf.DUMMYFUNCTION("""COMPUTED_VALUE"""),"Heriyantoni/ Merlinda Yanti")</f>
        <v>Heriyantoni/ Merlinda Yanti</v>
      </c>
      <c r="G598" s="13">
        <f t="shared" si="1"/>
        <v>542</v>
      </c>
      <c r="H598" s="13" t="str">
        <f>IFERROR(__xludf.DUMMYFUNCTION("""COMPUTED_VALUE"""),"P0")</f>
        <v>P0</v>
      </c>
    </row>
    <row r="599" ht="22.5" customHeight="1">
      <c r="B599" s="19" t="str">
        <f>IFERROR(__xludf.DUMMYFUNCTION("""COMPUTED_VALUE"""),"L/22/281024/1")</f>
        <v>L/22/281024/1</v>
      </c>
      <c r="C599" s="19" t="str">
        <f>IFERROR(__xludf.DUMMYFUNCTION("""COMPUTED_VALUE"""),"HGB 3734/BERINGIN RAYA")</f>
        <v>HGB 3734/BERINGIN RAYA</v>
      </c>
      <c r="D599" s="17">
        <f>IFERROR(__xludf.DUMMYFUNCTION("""COMPUTED_VALUE"""),45593.45570349537)</f>
        <v>45593.4557</v>
      </c>
      <c r="E599" s="13" t="str">
        <f>IFERROR(__xludf.DUMMYFUNCTION("""COMPUTED_VALUE"""),"PH")</f>
        <v>PH</v>
      </c>
      <c r="F599" s="13" t="str">
        <f>IFERROR(__xludf.DUMMYFUNCTION("""COMPUTED_VALUE"""),"SLAMET PUROYO")</f>
        <v>SLAMET PUROYO</v>
      </c>
      <c r="G599" s="13">
        <f t="shared" si="1"/>
        <v>543</v>
      </c>
      <c r="H599" s="13" t="str">
        <f>IFERROR(__xludf.DUMMYFUNCTION("""COMPUTED_VALUE"""),"P0")</f>
        <v>P0</v>
      </c>
    </row>
    <row r="600" ht="22.5" customHeight="1">
      <c r="B600" s="19" t="str">
        <f>IFERROR(__xludf.DUMMYFUNCTION("""COMPUTED_VALUE"""),"K/21/281024/1")</f>
        <v>K/21/281024/1</v>
      </c>
      <c r="C600" s="19" t="str">
        <f>IFERROR(__xludf.DUMMYFUNCTION("""COMPUTED_VALUE"""),"M.466/WAY TATAAN")</f>
        <v>M.466/WAY TATAAN</v>
      </c>
      <c r="D600" s="17">
        <f>IFERROR(__xludf.DUMMYFUNCTION("""COMPUTED_VALUE"""),45593.45580652778)</f>
        <v>45593.45581</v>
      </c>
      <c r="E600" s="13" t="str">
        <f>IFERROR(__xludf.DUMMYFUNCTION("""COMPUTED_VALUE"""),"BN JUAL BELI")</f>
        <v>BN JUAL BELI</v>
      </c>
      <c r="F600" s="13" t="str">
        <f>IFERROR(__xludf.DUMMYFUNCTION("""COMPUTED_VALUE"""),"ROSIDAH/TEDDY WAN")</f>
        <v>ROSIDAH/TEDDY WAN</v>
      </c>
      <c r="G600" s="13">
        <f t="shared" si="1"/>
        <v>544</v>
      </c>
      <c r="H600" s="13" t="str">
        <f>IFERROR(__xludf.DUMMYFUNCTION("""COMPUTED_VALUE"""),"P0")</f>
        <v>P0</v>
      </c>
    </row>
    <row r="601" ht="22.5" customHeight="1">
      <c r="B601" s="19" t="str">
        <f>IFERROR(__xludf.DUMMYFUNCTION("""COMPUTED_VALUE"""),"K/23/281024/1")</f>
        <v>K/23/281024/1</v>
      </c>
      <c r="C601" s="19" t="str">
        <f>IFERROR(__xludf.DUMMYFUNCTION("""COMPUTED_VALUE"""),"Nibel. M. 1929/ Beringin Raya")</f>
        <v>Nibel. M. 1929/ Beringin Raya</v>
      </c>
      <c r="D601" s="17">
        <f>IFERROR(__xludf.DUMMYFUNCTION("""COMPUTED_VALUE"""),45593.47322869213)</f>
        <v>45593.47323</v>
      </c>
      <c r="E601" s="13" t="str">
        <f>IFERROR(__xludf.DUMMYFUNCTION("""COMPUTED_VALUE"""),"BN Jual Beli")</f>
        <v>BN Jual Beli</v>
      </c>
      <c r="F601" s="13" t="str">
        <f>IFERROR(__xludf.DUMMYFUNCTION("""COMPUTED_VALUE"""),"Ria Yuliana/ Redo R")</f>
        <v>Ria Yuliana/ Redo R</v>
      </c>
      <c r="G601" s="13">
        <f t="shared" si="1"/>
        <v>545</v>
      </c>
      <c r="H601" s="13" t="str">
        <f>IFERROR(__xludf.DUMMYFUNCTION("""COMPUTED_VALUE"""),"P0")</f>
        <v>P0</v>
      </c>
    </row>
    <row r="602" ht="22.5" customHeight="1">
      <c r="B602" s="19" t="str">
        <f>IFERROR(__xludf.DUMMYFUNCTION("""COMPUTED_VALUE"""),"K/24/281024/1")</f>
        <v>K/24/281024/1</v>
      </c>
      <c r="C602" s="19" t="str">
        <f>IFERROR(__xludf.DUMMYFUNCTION("""COMPUTED_VALUE"""),"M. 709/ Pahoman")</f>
        <v>M. 709/ Pahoman</v>
      </c>
      <c r="D602" s="17">
        <f>IFERROR(__xludf.DUMMYFUNCTION("""COMPUTED_VALUE"""),45593.473884189814)</f>
        <v>45593.47388</v>
      </c>
      <c r="E602" s="13" t="str">
        <f>IFERROR(__xludf.DUMMYFUNCTION("""COMPUTED_VALUE"""),"Ganti Kelurahan")</f>
        <v>Ganti Kelurahan</v>
      </c>
      <c r="F602" s="13" t="str">
        <f>IFERROR(__xludf.DUMMYFUNCTION("""COMPUTED_VALUE"""),"Renaldi P/ Iria Zaita")</f>
        <v>Renaldi P/ Iria Zaita</v>
      </c>
      <c r="G602" s="13">
        <f t="shared" si="1"/>
        <v>546</v>
      </c>
      <c r="H602" s="13" t="str">
        <f>IFERROR(__xludf.DUMMYFUNCTION("""COMPUTED_VALUE"""),"P0")</f>
        <v>P0</v>
      </c>
    </row>
    <row r="603" ht="22.5" customHeight="1">
      <c r="B603" s="19" t="str">
        <f>IFERROR(__xludf.DUMMYFUNCTION("""COMPUTED_VALUE"""),"K/25/281024/2")</f>
        <v>K/25/281024/2</v>
      </c>
      <c r="C603" s="19" t="str">
        <f>IFERROR(__xludf.DUMMYFUNCTION("""COMPUTED_VALUE"""),"M. 466/ Gunung Mas")</f>
        <v>M. 466/ Gunung Mas</v>
      </c>
      <c r="D603" s="17">
        <f>IFERROR(__xludf.DUMMYFUNCTION("""COMPUTED_VALUE"""),45593.475005555556)</f>
        <v>45593.47501</v>
      </c>
      <c r="E603" s="13" t="str">
        <f>IFERROR(__xludf.DUMMYFUNCTION("""COMPUTED_VALUE"""),"Ganti Kecamatan")</f>
        <v>Ganti Kecamatan</v>
      </c>
      <c r="F603" s="13" t="str">
        <f>IFERROR(__xludf.DUMMYFUNCTION("""COMPUTED_VALUE"""),"Renaldi P/ M Mirza")</f>
        <v>Renaldi P/ M Mirza</v>
      </c>
      <c r="G603" s="13">
        <f t="shared" si="1"/>
        <v>547</v>
      </c>
      <c r="H603" s="13" t="str">
        <f>IFERROR(__xludf.DUMMYFUNCTION("""COMPUTED_VALUE"""),"P0")</f>
        <v>P0</v>
      </c>
    </row>
    <row r="604" ht="22.5" customHeight="1">
      <c r="B604" s="19" t="str">
        <f>IFERROR(__xludf.DUMMYFUNCTION("""COMPUTED_VALUE"""),"K/27/281024/1")</f>
        <v>K/27/281024/1</v>
      </c>
      <c r="C604" s="19" t="str">
        <f>IFERROR(__xludf.DUMMYFUNCTION("""COMPUTED_VALUE"""),"B. 835/ Perumnas Way Kandis; B. 309/ Way Kandis")</f>
        <v>B. 835/ Perumnas Way Kandis; B. 309/ Way Kandis</v>
      </c>
      <c r="D604" s="17">
        <f>IFERROR(__xludf.DUMMYFUNCTION("""COMPUTED_VALUE"""),45593.49006699074)</f>
        <v>45593.49007</v>
      </c>
      <c r="E604" s="13" t="str">
        <f>IFERROR(__xludf.DUMMYFUNCTION("""COMPUTED_VALUE"""),"Perubahan Hak")</f>
        <v>Perubahan Hak</v>
      </c>
      <c r="F604" s="13" t="str">
        <f>IFERROR(__xludf.DUMMYFUNCTION("""COMPUTED_VALUE"""),"Eka Sari T/ Misgiantho")</f>
        <v>Eka Sari T/ Misgiantho</v>
      </c>
      <c r="G604" s="13">
        <f t="shared" si="1"/>
        <v>548</v>
      </c>
      <c r="H604" s="13" t="str">
        <f>IFERROR(__xludf.DUMMYFUNCTION("""COMPUTED_VALUE"""),"P0")</f>
        <v>P0</v>
      </c>
    </row>
    <row r="605" ht="22.5" customHeight="1">
      <c r="B605" s="19" t="str">
        <f>IFERROR(__xludf.DUMMYFUNCTION("""COMPUTED_VALUE"""),"K/30/281024/1")</f>
        <v>K/30/281024/1</v>
      </c>
      <c r="C605" s="19" t="str">
        <f>IFERROR(__xludf.DUMMYFUNCTION("""COMPUTED_VALUE"""),"M.3414/SUMBEREJO/KEMILING")</f>
        <v>M.3414/SUMBEREJO/KEMILING</v>
      </c>
      <c r="D605" s="17">
        <f>IFERROR(__xludf.DUMMYFUNCTION("""COMPUTED_VALUE"""),45593.561079861116)</f>
        <v>45593.56108</v>
      </c>
      <c r="E605" s="13" t="str">
        <f>IFERROR(__xludf.DUMMYFUNCTION("""COMPUTED_VALUE"""),"GANDES")</f>
        <v>GANDES</v>
      </c>
      <c r="F605" s="13" t="str">
        <f>IFERROR(__xludf.DUMMYFUNCTION("""COMPUTED_VALUE"""),"NGADINEM/YUSRIZAL DARWIS")</f>
        <v>NGADINEM/YUSRIZAL DARWIS</v>
      </c>
      <c r="G605" s="13">
        <f t="shared" si="1"/>
        <v>549</v>
      </c>
      <c r="H605" s="13" t="str">
        <f>IFERROR(__xludf.DUMMYFUNCTION("""COMPUTED_VALUE"""),"P0")</f>
        <v>P0</v>
      </c>
    </row>
    <row r="606" ht="22.5" customHeight="1">
      <c r="B606" s="19" t="str">
        <f>IFERROR(__xludf.DUMMYFUNCTION("""COMPUTED_VALUE"""),"L/31/281024/1")</f>
        <v>L/31/281024/1</v>
      </c>
      <c r="C606" s="19" t="str">
        <f>IFERROR(__xludf.DUMMYFUNCTION("""COMPUTED_VALUE"""),"M.2112 SUMBEREJO/KEMILING")</f>
        <v>M.2112 SUMBEREJO/KEMILING</v>
      </c>
      <c r="D606" s="17">
        <f>IFERROR(__xludf.DUMMYFUNCTION("""COMPUTED_VALUE"""),45593.56179222222)</f>
        <v>45593.56179</v>
      </c>
      <c r="E606" s="13" t="str">
        <f>IFERROR(__xludf.DUMMYFUNCTION("""COMPUTED_VALUE"""),"ROYA")</f>
        <v>ROYA</v>
      </c>
      <c r="F606" s="13" t="str">
        <f>IFERROR(__xludf.DUMMYFUNCTION("""COMPUTED_VALUE"""),"DINI DEWINDARU")</f>
        <v>DINI DEWINDARU</v>
      </c>
      <c r="G606" s="13">
        <f t="shared" si="1"/>
        <v>550</v>
      </c>
      <c r="H606" s="13" t="str">
        <f>IFERROR(__xludf.DUMMYFUNCTION("""COMPUTED_VALUE"""),"P0")</f>
        <v>P0</v>
      </c>
    </row>
    <row r="607" ht="22.5" customHeight="1">
      <c r="B607" s="19" t="str">
        <f>IFERROR(__xludf.DUMMYFUNCTION("""COMPUTED_VALUE"""),"K/28/281024/1")</f>
        <v>K/28/281024/1</v>
      </c>
      <c r="C607" s="19" t="str">
        <f>IFERROR(__xludf.DUMMYFUNCTION("""COMPUTED_VALUE"""),"M. 2095/ Campang Jaya")</f>
        <v>M. 2095/ Campang Jaya</v>
      </c>
      <c r="D607" s="17">
        <f>IFERROR(__xludf.DUMMYFUNCTION("""COMPUTED_VALUE"""),45593.562247800925)</f>
        <v>45593.56225</v>
      </c>
      <c r="E607" s="13" t="str">
        <f>IFERROR(__xludf.DUMMYFUNCTION("""COMPUTED_VALUE"""),"BN JUAL BELI")</f>
        <v>BN JUAL BELI</v>
      </c>
      <c r="F607" s="13" t="str">
        <f>IFERROR(__xludf.DUMMYFUNCTION("""COMPUTED_VALUE"""),"ILANUR/ MIKO DWI")</f>
        <v>ILANUR/ MIKO DWI</v>
      </c>
      <c r="G607" s="13">
        <f t="shared" si="1"/>
        <v>551</v>
      </c>
      <c r="H607" s="13" t="str">
        <f>IFERROR(__xludf.DUMMYFUNCTION("""COMPUTED_VALUE"""),"P0")</f>
        <v>P0</v>
      </c>
    </row>
    <row r="608" ht="22.5" customHeight="1">
      <c r="B608" s="19" t="str">
        <f>IFERROR(__xludf.DUMMYFUNCTION("""COMPUTED_VALUE"""),"L/32/281024/1")</f>
        <v>L/32/281024/1</v>
      </c>
      <c r="C608" s="19" t="str">
        <f>IFERROR(__xludf.DUMMYFUNCTION("""COMPUTED_VALUE"""),"B.244/LRR;B.28/LR-DAHULU")</f>
        <v>B.244/LRR;B.28/LR-DAHULU</v>
      </c>
      <c r="D608" s="17">
        <f>IFERROR(__xludf.DUMMYFUNCTION("""COMPUTED_VALUE"""),45593.57287230324)</f>
        <v>45593.57287</v>
      </c>
      <c r="E608" s="13" t="str">
        <f>IFERROR(__xludf.DUMMYFUNCTION("""COMPUTED_VALUE"""),"PERUBAHAN HAK")</f>
        <v>PERUBAHAN HAK</v>
      </c>
      <c r="F608" s="13" t="str">
        <f>IFERROR(__xludf.DUMMYFUNCTION("""COMPUTED_VALUE"""),"MIDUK SIANTURI")</f>
        <v>MIDUK SIANTURI</v>
      </c>
      <c r="G608" s="13">
        <f t="shared" si="1"/>
        <v>552</v>
      </c>
      <c r="H608" s="13" t="str">
        <f>IFERROR(__xludf.DUMMYFUNCTION("""COMPUTED_VALUE"""),"P0")</f>
        <v>P0</v>
      </c>
    </row>
    <row r="609" ht="22.5" customHeight="1">
      <c r="B609" s="19" t="str">
        <f>IFERROR(__xludf.DUMMYFUNCTION("""COMPUTED_VALUE"""),"L/33/281024/2")</f>
        <v>L/33/281024/2</v>
      </c>
      <c r="C609" s="19" t="str">
        <f>IFERROR(__xludf.DUMMYFUNCTION("""COMPUTED_VALUE"""),"B.161/LRR;B.161/LR-DAHULU")</f>
        <v>B.161/LRR;B.161/LR-DAHULU</v>
      </c>
      <c r="D609" s="17">
        <f>IFERROR(__xludf.DUMMYFUNCTION("""COMPUTED_VALUE"""),45593.575709490746)</f>
        <v>45593.57571</v>
      </c>
      <c r="E609" s="13" t="str">
        <f>IFERROR(__xludf.DUMMYFUNCTION("""COMPUTED_VALUE"""),"PERUBAHAN HAK")</f>
        <v>PERUBAHAN HAK</v>
      </c>
      <c r="F609" s="13" t="str">
        <f>IFERROR(__xludf.DUMMYFUNCTION("""COMPUTED_VALUE"""),"MIDUK SIANTURI")</f>
        <v>MIDUK SIANTURI</v>
      </c>
      <c r="G609" s="13">
        <f t="shared" si="1"/>
        <v>553</v>
      </c>
      <c r="H609" s="13" t="str">
        <f>IFERROR(__xludf.DUMMYFUNCTION("""COMPUTED_VALUE"""),"P0")</f>
        <v>P0</v>
      </c>
    </row>
    <row r="610" ht="22.5" customHeight="1">
      <c r="B610" s="19" t="str">
        <f>IFERROR(__xludf.DUMMYFUNCTION("""COMPUTED_VALUE"""),"K/34/281024/1")</f>
        <v>K/34/281024/1</v>
      </c>
      <c r="C610" s="19" t="str">
        <f>IFERROR(__xludf.DUMMYFUNCTION("""COMPUTED_VALUE"""),"NIBEL M.2194/GUNUNG TERANG")</f>
        <v>NIBEL M.2194/GUNUNG TERANG</v>
      </c>
      <c r="D610" s="17">
        <f>IFERROR(__xludf.DUMMYFUNCTION("""COMPUTED_VALUE"""),45593.58049028935)</f>
        <v>45593.58049</v>
      </c>
      <c r="E610" s="13" t="str">
        <f>IFERROR(__xludf.DUMMYFUNCTION("""COMPUTED_VALUE"""),"BN JUAL BELI")</f>
        <v>BN JUAL BELI</v>
      </c>
      <c r="F610" s="13" t="str">
        <f>IFERROR(__xludf.DUMMYFUNCTION("""COMPUTED_VALUE"""),"NURKHOLIS/ISMARINA")</f>
        <v>NURKHOLIS/ISMARINA</v>
      </c>
      <c r="G610" s="13">
        <f t="shared" si="1"/>
        <v>554</v>
      </c>
      <c r="H610" s="13" t="str">
        <f>IFERROR(__xludf.DUMMYFUNCTION("""COMPUTED_VALUE"""),"P0")</f>
        <v>P0</v>
      </c>
    </row>
    <row r="611" ht="22.5" customHeight="1">
      <c r="B611" s="19" t="str">
        <f>IFERROR(__xludf.DUMMYFUNCTION("""COMPUTED_VALUE"""),"K/29/281024/1")</f>
        <v>K/29/281024/1</v>
      </c>
      <c r="C611" s="19" t="str">
        <f>IFERROR(__xludf.DUMMYFUNCTION("""COMPUTED_VALUE"""),"B, 570/ Nusantara Permai")</f>
        <v>B, 570/ Nusantara Permai</v>
      </c>
      <c r="D611" s="17">
        <f>IFERROR(__xludf.DUMMYFUNCTION("""COMPUTED_VALUE"""),45593.5809753125)</f>
        <v>45593.58098</v>
      </c>
      <c r="E611" s="13" t="str">
        <f>IFERROR(__xludf.DUMMYFUNCTION("""COMPUTED_VALUE"""),"Perubahan Hak")</f>
        <v>Perubahan Hak</v>
      </c>
      <c r="F611" s="13" t="str">
        <f>IFERROR(__xludf.DUMMYFUNCTION("""COMPUTED_VALUE"""),"Rafico/ Vonita")</f>
        <v>Rafico/ Vonita</v>
      </c>
      <c r="G611" s="13">
        <f t="shared" si="1"/>
        <v>555</v>
      </c>
      <c r="H611" s="13" t="str">
        <f>IFERROR(__xludf.DUMMYFUNCTION("""COMPUTED_VALUE"""),"P0")</f>
        <v>P0</v>
      </c>
    </row>
    <row r="612" ht="22.5" customHeight="1">
      <c r="B612" s="19" t="str">
        <f>IFERROR(__xludf.DUMMYFUNCTION("""COMPUTED_VALUE"""),"K/35/281024/1")</f>
        <v>K/35/281024/1</v>
      </c>
      <c r="C612" s="19" t="str">
        <f>IFERROR(__xludf.DUMMYFUNCTION("""COMPUTED_VALUE"""),"Nibel. M. 2665/ Beringin Raya")</f>
        <v>Nibel. M. 2665/ Beringin Raya</v>
      </c>
      <c r="D612" s="17">
        <f>IFERROR(__xludf.DUMMYFUNCTION("""COMPUTED_VALUE"""),45593.58325077547)</f>
        <v>45593.58325</v>
      </c>
      <c r="E612" s="13" t="str">
        <f>IFERROR(__xludf.DUMMYFUNCTION("""COMPUTED_VALUE"""),"BN Jual Beli")</f>
        <v>BN Jual Beli</v>
      </c>
      <c r="F612" s="13" t="str">
        <f>IFERROR(__xludf.DUMMYFUNCTION("""COMPUTED_VALUE"""),"Budi K/ Desi Arif Y")</f>
        <v>Budi K/ Desi Arif Y</v>
      </c>
      <c r="G612" s="13">
        <f t="shared" si="1"/>
        <v>556</v>
      </c>
      <c r="H612" s="13" t="str">
        <f>IFERROR(__xludf.DUMMYFUNCTION("""COMPUTED_VALUE"""),"P0")</f>
        <v>P0</v>
      </c>
    </row>
    <row r="613" ht="22.5" customHeight="1">
      <c r="B613" s="19" t="str">
        <f>IFERROR(__xludf.DUMMYFUNCTION("""COMPUTED_VALUE"""),"K/29/141024/1")</f>
        <v>K/29/141024/1</v>
      </c>
      <c r="C613" s="19" t="str">
        <f>IFERROR(__xludf.DUMMYFUNCTION("""COMPUTED_VALUE"""),"M. 2445/ Sukadana Ham")</f>
        <v>M. 2445/ Sukadana Ham</v>
      </c>
      <c r="D613" s="17">
        <f>IFERROR(__xludf.DUMMYFUNCTION("""COMPUTED_VALUE"""),45593.58716060185)</f>
        <v>45593.58716</v>
      </c>
      <c r="E613" s="13" t="str">
        <f>IFERROR(__xludf.DUMMYFUNCTION("""COMPUTED_VALUE"""),"PTPGT Pemecahan")</f>
        <v>PTPGT Pemecahan</v>
      </c>
      <c r="F613" s="13" t="str">
        <f>IFERROR(__xludf.DUMMYFUNCTION("""COMPUTED_VALUE"""),"GUNAWAN/ SRI UJI")</f>
        <v>GUNAWAN/ SRI UJI</v>
      </c>
      <c r="G613" s="13">
        <f t="shared" si="1"/>
        <v>556</v>
      </c>
      <c r="H613" s="13" t="str">
        <f>IFERROR(__xludf.DUMMYFUNCTION("""COMPUTED_VALUE"""),"P1")</f>
        <v>P1</v>
      </c>
    </row>
    <row r="614" ht="22.5" customHeight="1">
      <c r="B614" s="19" t="str">
        <f>IFERROR(__xludf.DUMMYFUNCTION("""COMPUTED_VALUE"""),"K/36/281024/1")</f>
        <v>K/36/281024/1</v>
      </c>
      <c r="C614" s="19" t="str">
        <f>IFERROR(__xludf.DUMMYFUNCTION("""COMPUTED_VALUE"""),"M. 1142/ Kemiling Raya")</f>
        <v>M. 1142/ Kemiling Raya</v>
      </c>
      <c r="D614" s="17">
        <f>IFERROR(__xludf.DUMMYFUNCTION("""COMPUTED_VALUE"""),45593.59300625)</f>
        <v>45593.59301</v>
      </c>
      <c r="E614" s="13" t="str">
        <f>IFERROR(__xludf.DUMMYFUNCTION("""COMPUTED_VALUE"""),"HAPUS BPHTB")</f>
        <v>HAPUS BPHTB</v>
      </c>
      <c r="F614" s="13" t="str">
        <f>IFERROR(__xludf.DUMMYFUNCTION("""COMPUTED_VALUE"""),"ELVAN SIUS/ PONIAH")</f>
        <v>ELVAN SIUS/ PONIAH</v>
      </c>
      <c r="G614" s="13">
        <f t="shared" si="1"/>
        <v>557</v>
      </c>
      <c r="H614" s="13" t="str">
        <f>IFERROR(__xludf.DUMMYFUNCTION("""COMPUTED_VALUE"""),"P0")</f>
        <v>P0</v>
      </c>
    </row>
    <row r="615" ht="22.5" customHeight="1">
      <c r="B615" s="19" t="str">
        <f>IFERROR(__xludf.DUMMYFUNCTION("""COMPUTED_VALUE"""),"K/42/181024/2")</f>
        <v>K/42/181024/2</v>
      </c>
      <c r="C615" s="19" t="str">
        <f>IFERROR(__xludf.DUMMYFUNCTION("""COMPUTED_VALUE"""),"M. 1938/ Kupang Kota")</f>
        <v>M. 1938/ Kupang Kota</v>
      </c>
      <c r="D615" s="17">
        <f>IFERROR(__xludf.DUMMYFUNCTION("""COMPUTED_VALUE"""),45593.60349105324)</f>
        <v>45593.60349</v>
      </c>
      <c r="E615" s="13" t="str">
        <f>IFERROR(__xludf.DUMMYFUNCTION("""COMPUTED_VALUE"""),"BN PHB")</f>
        <v>BN PHB</v>
      </c>
      <c r="F615" s="13" t="str">
        <f>IFERROR(__xludf.DUMMYFUNCTION("""COMPUTED_VALUE"""),"M ARIEF / M YUDHA CS")</f>
        <v>M ARIEF / M YUDHA CS</v>
      </c>
      <c r="G615" s="13">
        <f t="shared" si="1"/>
        <v>557</v>
      </c>
      <c r="H615" s="13" t="str">
        <f>IFERROR(__xludf.DUMMYFUNCTION("""COMPUTED_VALUE"""),"P1")</f>
        <v>P1</v>
      </c>
    </row>
    <row r="616" ht="22.5" customHeight="1">
      <c r="B616" s="19" t="str">
        <f>IFERROR(__xludf.DUMMYFUNCTION("""COMPUTED_VALUE"""),"K/37/281024/1")</f>
        <v>K/37/281024/1</v>
      </c>
      <c r="C616" s="19" t="str">
        <f>IFERROR(__xludf.DUMMYFUNCTION("""COMPUTED_VALUE"""),"M.1602/BUMI KEDAMAIAN")</f>
        <v>M.1602/BUMI KEDAMAIAN</v>
      </c>
      <c r="D616" s="17">
        <f>IFERROR(__xludf.DUMMYFUNCTION("""COMPUTED_VALUE"""),45593.60364971065)</f>
        <v>45593.60365</v>
      </c>
      <c r="E616" s="13" t="str">
        <f>IFERROR(__xludf.DUMMYFUNCTION("""COMPUTED_VALUE"""),"BN JUAL BELI")</f>
        <v>BN JUAL BELI</v>
      </c>
      <c r="F616" s="13" t="str">
        <f>IFERROR(__xludf.DUMMYFUNCTION("""COMPUTED_VALUE"""),"RESTI NUR INDAH O P/ANDRIANTO ")</f>
        <v>RESTI NUR INDAH O P/ANDRIANTO </v>
      </c>
      <c r="G616" s="13">
        <f t="shared" si="1"/>
        <v>558</v>
      </c>
      <c r="H616" s="13" t="str">
        <f>IFERROR(__xludf.DUMMYFUNCTION("""COMPUTED_VALUE"""),"P0")</f>
        <v>P0</v>
      </c>
    </row>
    <row r="617" ht="22.5" customHeight="1">
      <c r="B617" s="19" t="str">
        <f>IFERROR(__xludf.DUMMYFUNCTION("""COMPUTED_VALUE"""),"K/65/221024/2")</f>
        <v>K/65/221024/2</v>
      </c>
      <c r="C617" s="19" t="str">
        <f>IFERROR(__xludf.DUMMYFUNCTION("""COMPUTED_VALUE"""),"M. 16640/ Sukabumi")</f>
        <v>M. 16640/ Sukabumi</v>
      </c>
      <c r="D617" s="17">
        <f>IFERROR(__xludf.DUMMYFUNCTION("""COMPUTED_VALUE"""),45593.60449452546)</f>
        <v>45593.60449</v>
      </c>
      <c r="E617" s="13" t="str">
        <f>IFERROR(__xludf.DUMMYFUNCTION("""COMPUTED_VALUE"""),"BN Jual Beli")</f>
        <v>BN Jual Beli</v>
      </c>
      <c r="F617" s="13" t="str">
        <f>IFERROR(__xludf.DUMMYFUNCTION("""COMPUTED_VALUE"""),"M Arief S")</f>
        <v>M Arief S</v>
      </c>
      <c r="G617" s="13">
        <f t="shared" si="1"/>
        <v>558</v>
      </c>
      <c r="H617" s="13" t="str">
        <f>IFERROR(__xludf.DUMMYFUNCTION("""COMPUTED_VALUE"""),"P1")</f>
        <v>P1</v>
      </c>
    </row>
    <row r="618" ht="22.5" customHeight="1">
      <c r="B618" s="19" t="str">
        <f>IFERROR(__xludf.DUMMYFUNCTION("""COMPUTED_VALUE"""),"K/38/281024/2")</f>
        <v>K/38/281024/2</v>
      </c>
      <c r="C618" s="19" t="str">
        <f>IFERROR(__xludf.DUMMYFUNCTION("""COMPUTED_VALUE"""),"M.9123/TANJUNG BARU ")</f>
        <v>M.9123/TANJUNG BARU </v>
      </c>
      <c r="D618" s="17">
        <f>IFERROR(__xludf.DUMMYFUNCTION("""COMPUTED_VALUE"""),45593.60859127315)</f>
        <v>45593.60859</v>
      </c>
      <c r="E618" s="13" t="str">
        <f>IFERROR(__xludf.DUMMYFUNCTION("""COMPUTED_VALUE"""),"GANDES")</f>
        <v>GANDES</v>
      </c>
      <c r="F618" s="13" t="str">
        <f>IFERROR(__xludf.DUMMYFUNCTION("""COMPUTED_VALUE"""),"BRAN RESMANA/ANDRIANTO")</f>
        <v>BRAN RESMANA/ANDRIANTO</v>
      </c>
      <c r="G618" s="13">
        <f t="shared" si="1"/>
        <v>559</v>
      </c>
      <c r="H618" s="13" t="str">
        <f>IFERROR(__xludf.DUMMYFUNCTION("""COMPUTED_VALUE"""),"P0")</f>
        <v>P0</v>
      </c>
    </row>
    <row r="619" ht="22.5" customHeight="1">
      <c r="B619" s="19" t="str">
        <f>IFERROR(__xludf.DUMMYFUNCTION("""COMPUTED_VALUE"""),"K/39/281024/3")</f>
        <v>K/39/281024/3</v>
      </c>
      <c r="C619" s="19" t="str">
        <f>IFERROR(__xludf.DUMMYFUNCTION("""COMPUTED_VALUE"""),"M.10097/TANJUNG BARU")</f>
        <v>M.10097/TANJUNG BARU</v>
      </c>
      <c r="D619" s="17">
        <f>IFERROR(__xludf.DUMMYFUNCTION("""COMPUTED_VALUE"""),45593.60938974537)</f>
        <v>45593.60939</v>
      </c>
      <c r="E619" s="13" t="str">
        <f>IFERROR(__xludf.DUMMYFUNCTION("""COMPUTED_VALUE"""),"GANDES")</f>
        <v>GANDES</v>
      </c>
      <c r="F619" s="13" t="str">
        <f>IFERROR(__xludf.DUMMYFUNCTION("""COMPUTED_VALUE"""),"ZARTINI/ANDRIANTO")</f>
        <v>ZARTINI/ANDRIANTO</v>
      </c>
      <c r="G619" s="13">
        <f t="shared" si="1"/>
        <v>560</v>
      </c>
      <c r="H619" s="13" t="str">
        <f>IFERROR(__xludf.DUMMYFUNCTION("""COMPUTED_VALUE"""),"P0")</f>
        <v>P0</v>
      </c>
    </row>
    <row r="620" ht="22.5" customHeight="1">
      <c r="B620" s="19" t="str">
        <f>IFERROR(__xludf.DUMMYFUNCTION("""COMPUTED_VALUE"""),"K/40/281024/1")</f>
        <v>K/40/281024/1</v>
      </c>
      <c r="C620" s="19" t="str">
        <f>IFERROR(__xludf.DUMMYFUNCTION("""COMPUTED_VALUE"""),"B. 903/ Kemiling Permai")</f>
        <v>B. 903/ Kemiling Permai</v>
      </c>
      <c r="D620" s="17">
        <f>IFERROR(__xludf.DUMMYFUNCTION("""COMPUTED_VALUE"""),45593.611443229165)</f>
        <v>45593.61144</v>
      </c>
      <c r="E620" s="13" t="str">
        <f>IFERROR(__xludf.DUMMYFUNCTION("""COMPUTED_VALUE"""),"BN JUAL BELI")</f>
        <v>BN JUAL BELI</v>
      </c>
      <c r="F620" s="13" t="str">
        <f>IFERROR(__xludf.DUMMYFUNCTION("""COMPUTED_VALUE"""),"MAYA AYU/ RUSLY")</f>
        <v>MAYA AYU/ RUSLY</v>
      </c>
      <c r="G620" s="13">
        <f t="shared" si="1"/>
        <v>561</v>
      </c>
      <c r="H620" s="13" t="str">
        <f>IFERROR(__xludf.DUMMYFUNCTION("""COMPUTED_VALUE"""),"P0")</f>
        <v>P0</v>
      </c>
    </row>
    <row r="621" ht="22.5" customHeight="1">
      <c r="B621" s="19" t="str">
        <f>IFERROR(__xludf.DUMMYFUNCTION("""COMPUTED_VALUE"""),"K/41/281024/2")</f>
        <v>K/41/281024/2</v>
      </c>
      <c r="C621" s="19" t="str">
        <f>IFERROR(__xludf.DUMMYFUNCTION("""COMPUTED_VALUE"""),"M. 9110/ Kedaton")</f>
        <v>M. 9110/ Kedaton</v>
      </c>
      <c r="D621" s="17">
        <f>IFERROR(__xludf.DUMMYFUNCTION("""COMPUTED_VALUE"""),45593.61377707176)</f>
        <v>45593.61378</v>
      </c>
      <c r="E621" s="13" t="str">
        <f>IFERROR(__xludf.DUMMYFUNCTION("""COMPUTED_VALUE"""),"ganti kelurahan")</f>
        <v>ganti kelurahan</v>
      </c>
      <c r="F621" s="13" t="str">
        <f>IFERROR(__xludf.DUMMYFUNCTION("""COMPUTED_VALUE"""),"maya ayu/ hedar")</f>
        <v>maya ayu/ hedar</v>
      </c>
      <c r="G621" s="13">
        <f t="shared" si="1"/>
        <v>562</v>
      </c>
      <c r="H621" s="13" t="str">
        <f>IFERROR(__xludf.DUMMYFUNCTION("""COMPUTED_VALUE"""),"P0")</f>
        <v>P0</v>
      </c>
    </row>
    <row r="622" ht="22.5" customHeight="1">
      <c r="B622" s="19" t="str">
        <f>IFERROR(__xludf.DUMMYFUNCTION("""COMPUTED_VALUE"""),"K/42/281024/1")</f>
        <v>K/42/281024/1</v>
      </c>
      <c r="C622" s="19" t="str">
        <f>IFERROR(__xludf.DUMMYFUNCTION("""COMPUTED_VALUE"""),"Nibel. 3488/ Tanjungkarang")</f>
        <v>Nibel. 3488/ Tanjungkarang</v>
      </c>
      <c r="D622" s="17">
        <f>IFERROR(__xludf.DUMMYFUNCTION("""COMPUTED_VALUE"""),45593.62142403935)</f>
        <v>45593.62142</v>
      </c>
      <c r="E622" s="13" t="str">
        <f>IFERROR(__xludf.DUMMYFUNCTION("""COMPUTED_VALUE"""),"Pembaharuan R Susun")</f>
        <v>Pembaharuan R Susun</v>
      </c>
      <c r="F622" s="13" t="str">
        <f>IFERROR(__xludf.DUMMYFUNCTION("""COMPUTED_VALUE"""),"Sunarso/ Firdaus")</f>
        <v>Sunarso/ Firdaus</v>
      </c>
      <c r="G622" s="13">
        <f t="shared" si="1"/>
        <v>563</v>
      </c>
      <c r="H622" s="13" t="str">
        <f>IFERROR(__xludf.DUMMYFUNCTION("""COMPUTED_VALUE"""),"P0")</f>
        <v>P0</v>
      </c>
    </row>
    <row r="623" ht="22.5" customHeight="1">
      <c r="B623" s="19" t="str">
        <f>IFERROR(__xludf.DUMMYFUNCTION("""COMPUTED_VALUE"""),"K/11/211024/2")</f>
        <v>K/11/211024/2</v>
      </c>
      <c r="C623" s="19" t="str">
        <f>IFERROR(__xludf.DUMMYFUNCTION("""COMPUTED_VALUE"""),"B. 763/ Sumur Putri")</f>
        <v>B. 763/ Sumur Putri</v>
      </c>
      <c r="D623" s="17">
        <f>IFERROR(__xludf.DUMMYFUNCTION("""COMPUTED_VALUE"""),45593.62652362269)</f>
        <v>45593.62652</v>
      </c>
      <c r="E623" s="13" t="str">
        <f>IFERROR(__xludf.DUMMYFUNCTION("""COMPUTED_VALUE"""),"BN Jual Beli")</f>
        <v>BN Jual Beli</v>
      </c>
      <c r="F623" s="13" t="str">
        <f>IFERROR(__xludf.DUMMYFUNCTION("""COMPUTED_VALUE"""),"Panary S/Joseph Edo T")</f>
        <v>Panary S/Joseph Edo T</v>
      </c>
      <c r="G623" s="13">
        <f t="shared" si="1"/>
        <v>563</v>
      </c>
      <c r="H623" s="13" t="str">
        <f>IFERROR(__xludf.DUMMYFUNCTION("""COMPUTED_VALUE"""),"P1")</f>
        <v>P1</v>
      </c>
    </row>
    <row r="624" ht="22.5" customHeight="1">
      <c r="B624" s="19" t="str">
        <f>IFERROR(__xludf.DUMMYFUNCTION("""COMPUTED_VALUE"""),"K/43/181024/1")</f>
        <v>K/43/181024/1</v>
      </c>
      <c r="C624" s="19" t="str">
        <f>IFERROR(__xludf.DUMMYFUNCTION("""COMPUTED_VALUE"""),"M. 3058/ Gunung Terang	")</f>
        <v>M. 3058/ Gunung Terang	</v>
      </c>
      <c r="D624" s="17">
        <f>IFERROR(__xludf.DUMMYFUNCTION("""COMPUTED_VALUE"""),45593.62745636574)</f>
        <v>45593.62746</v>
      </c>
      <c r="E624" s="13" t="str">
        <f>IFERROR(__xludf.DUMMYFUNCTION("""COMPUTED_VALUE"""),"Hapus BPHTB")</f>
        <v>Hapus BPHTB</v>
      </c>
      <c r="F624" s="13" t="str">
        <f>IFERROR(__xludf.DUMMYFUNCTION("""COMPUTED_VALUE"""),"Endang Aprilia/ M Ma'ruf")</f>
        <v>Endang Aprilia/ M Ma'ruf</v>
      </c>
      <c r="G624" s="13">
        <f t="shared" si="1"/>
        <v>563</v>
      </c>
      <c r="H624" s="13" t="str">
        <f>IFERROR(__xludf.DUMMYFUNCTION("""COMPUTED_VALUE"""),"P1")</f>
        <v>P1</v>
      </c>
    </row>
    <row r="625" ht="22.5" customHeight="1">
      <c r="B625" s="19" t="str">
        <f>IFERROR(__xludf.DUMMYFUNCTION("""COMPUTED_VALUE"""),"K/43/281024/1")</f>
        <v>K/43/281024/1</v>
      </c>
      <c r="C625" s="19" t="str">
        <f>IFERROR(__xludf.DUMMYFUNCTION("""COMPUTED_VALUE"""),"B.605/SUMUR PUTRI")</f>
        <v>B.605/SUMUR PUTRI</v>
      </c>
      <c r="D625" s="17">
        <f>IFERROR(__xludf.DUMMYFUNCTION("""COMPUTED_VALUE"""),45593.667010624995)</f>
        <v>45593.66701</v>
      </c>
      <c r="E625" s="13" t="str">
        <f>IFERROR(__xludf.DUMMYFUNCTION("""COMPUTED_VALUE"""),"BN JUAL BELI ")</f>
        <v>BN JUAL BELI </v>
      </c>
      <c r="F625" s="13" t="str">
        <f>IFERROR(__xludf.DUMMYFUNCTION("""COMPUTED_VALUE"""),"MARTINUS HANDOYO S/PANARY SITOPU")</f>
        <v>MARTINUS HANDOYO S/PANARY SITOPU</v>
      </c>
      <c r="G625" s="13">
        <f t="shared" si="1"/>
        <v>564</v>
      </c>
      <c r="H625" s="13" t="str">
        <f>IFERROR(__xludf.DUMMYFUNCTION("""COMPUTED_VALUE"""),"P0")</f>
        <v>P0</v>
      </c>
    </row>
    <row r="626" ht="22.5" customHeight="1">
      <c r="B626" s="19" t="str">
        <f>IFERROR(__xludf.DUMMYFUNCTION("""COMPUTED_VALUE"""),"K/44/281024/2")</f>
        <v>K/44/281024/2</v>
      </c>
      <c r="C626" s="19" t="str">
        <f>IFERROR(__xludf.DUMMYFUNCTION("""COMPUTED_VALUE"""),"B.721/SUMUR PUTRI")</f>
        <v>B.721/SUMUR PUTRI</v>
      </c>
      <c r="D626" s="17">
        <f>IFERROR(__xludf.DUMMYFUNCTION("""COMPUTED_VALUE"""),45593.66777597222)</f>
        <v>45593.66778</v>
      </c>
      <c r="E626" s="13" t="str">
        <f>IFERROR(__xludf.DUMMYFUNCTION("""COMPUTED_VALUE"""),"BN JUAL BELI")</f>
        <v>BN JUAL BELI</v>
      </c>
      <c r="F626" s="13" t="str">
        <f>IFERROR(__xludf.DUMMYFUNCTION("""COMPUTED_VALUE"""),"YANTI MEUTIA S/PANARY SITOPU")</f>
        <v>YANTI MEUTIA S/PANARY SITOPU</v>
      </c>
      <c r="G626" s="13">
        <f t="shared" si="1"/>
        <v>565</v>
      </c>
      <c r="H626" s="13" t="str">
        <f>IFERROR(__xludf.DUMMYFUNCTION("""COMPUTED_VALUE"""),"P0")</f>
        <v>P0</v>
      </c>
    </row>
    <row r="627" ht="22.5" customHeight="1">
      <c r="B627" s="19" t="str">
        <f>IFERROR(__xludf.DUMMYFUNCTION("""COMPUTED_VALUE"""),"L/1/291024/1")</f>
        <v>L/1/291024/1</v>
      </c>
      <c r="C627" s="19" t="str">
        <f>IFERROR(__xludf.DUMMYFUNCTION("""COMPUTED_VALUE"""),"HM 12271/LABUHAN RATU (SHM TETANGGA)")</f>
        <v>HM 12271/LABUHAN RATU (SHM TETANGGA)</v>
      </c>
      <c r="D627" s="17">
        <f>IFERROR(__xludf.DUMMYFUNCTION("""COMPUTED_VALUE"""),45594.37286224537)</f>
        <v>45594.37286</v>
      </c>
      <c r="E627" s="13" t="str">
        <f>IFERROR(__xludf.DUMMYFUNCTION("""COMPUTED_VALUE"""),"CEK PLOT SERTIPIKAT HILANG")</f>
        <v>CEK PLOT SERTIPIKAT HILANG</v>
      </c>
      <c r="F627" s="13" t="str">
        <f>IFERROR(__xludf.DUMMYFUNCTION("""COMPUTED_VALUE"""),"HERU PRATIKNO")</f>
        <v>HERU PRATIKNO</v>
      </c>
      <c r="G627" s="13">
        <f t="shared" si="1"/>
        <v>566</v>
      </c>
      <c r="H627" s="13" t="str">
        <f>IFERROR(__xludf.DUMMYFUNCTION("""COMPUTED_VALUE"""),"P0")</f>
        <v>P0</v>
      </c>
    </row>
    <row r="628" ht="22.5" customHeight="1">
      <c r="B628" s="19" t="str">
        <f>IFERROR(__xludf.DUMMYFUNCTION("""COMPUTED_VALUE"""),"L/2/291024/1")</f>
        <v>L/2/291024/1</v>
      </c>
      <c r="C628" s="19" t="str">
        <f>IFERROR(__xludf.DUMMYFUNCTION("""COMPUTED_VALUE"""),"HM 208/KUPANG RAYA")</f>
        <v>HM 208/KUPANG RAYA</v>
      </c>
      <c r="D628" s="17">
        <f>IFERROR(__xludf.DUMMYFUNCTION("""COMPUTED_VALUE"""),45594.38542006945)</f>
        <v>45594.38542</v>
      </c>
      <c r="E628" s="13" t="str">
        <f>IFERROR(__xludf.DUMMYFUNCTION("""COMPUTED_VALUE"""),"ROYA")</f>
        <v>ROYA</v>
      </c>
      <c r="F628" s="13" t="str">
        <f>IFERROR(__xludf.DUMMYFUNCTION("""COMPUTED_VALUE"""),"HAJARUL HAITOMI")</f>
        <v>HAJARUL HAITOMI</v>
      </c>
      <c r="G628" s="13">
        <f t="shared" si="1"/>
        <v>567</v>
      </c>
      <c r="H628" s="13" t="str">
        <f>IFERROR(__xludf.DUMMYFUNCTION("""COMPUTED_VALUE"""),"P0")</f>
        <v>P0</v>
      </c>
    </row>
    <row r="629" ht="22.5" customHeight="1">
      <c r="B629" s="19" t="str">
        <f>IFERROR(__xludf.DUMMYFUNCTION("""COMPUTED_VALUE"""),"K/3/291024/1")</f>
        <v>K/3/291024/1</v>
      </c>
      <c r="C629" s="19" t="str">
        <f>IFERROR(__xludf.DUMMYFUNCTION("""COMPUTED_VALUE"""),"M. 711/ Penengahan")</f>
        <v>M. 711/ Penengahan</v>
      </c>
      <c r="D629" s="17">
        <f>IFERROR(__xludf.DUMMYFUNCTION("""COMPUTED_VALUE"""),45594.399443726856)</f>
        <v>45594.39944</v>
      </c>
      <c r="E629" s="13" t="str">
        <f>IFERROR(__xludf.DUMMYFUNCTION("""COMPUTED_VALUE"""),"Gandes")</f>
        <v>Gandes</v>
      </c>
      <c r="F629" s="13" t="str">
        <f>IFERROR(__xludf.DUMMYFUNCTION("""COMPUTED_VALUE"""),"Mahfud/ Zam Zami")</f>
        <v>Mahfud/ Zam Zami</v>
      </c>
      <c r="G629" s="13">
        <f t="shared" si="1"/>
        <v>568</v>
      </c>
      <c r="H629" s="13" t="str">
        <f>IFERROR(__xludf.DUMMYFUNCTION("""COMPUTED_VALUE"""),"P0")</f>
        <v>P0</v>
      </c>
    </row>
    <row r="630" ht="22.5" customHeight="1">
      <c r="B630" s="19" t="str">
        <f>IFERROR(__xludf.DUMMYFUNCTION("""COMPUTED_VALUE"""),"K/52/221024/2")</f>
        <v>K/52/221024/2</v>
      </c>
      <c r="C630" s="19" t="str">
        <f>IFERROR(__xludf.DUMMYFUNCTION("""COMPUTED_VALUE"""),"M. 1991/ L R R	")</f>
        <v>M. 1991/ L R R	</v>
      </c>
      <c r="D630" s="17">
        <f>IFERROR(__xludf.DUMMYFUNCTION("""COMPUTED_VALUE"""),45594.41118762732)</f>
        <v>45594.41119</v>
      </c>
      <c r="E630" s="13" t="str">
        <f>IFERROR(__xludf.DUMMYFUNCTION("""COMPUTED_VALUE"""),"BN Jual Beli")</f>
        <v>BN Jual Beli</v>
      </c>
      <c r="F630" s="13" t="str">
        <f>IFERROR(__xludf.DUMMYFUNCTION("""COMPUTED_VALUE"""),"Mahfud/ Putri A	")</f>
        <v>Mahfud/ Putri A	</v>
      </c>
      <c r="G630" s="13">
        <f t="shared" si="1"/>
        <v>568</v>
      </c>
      <c r="H630" s="13" t="str">
        <f>IFERROR(__xludf.DUMMYFUNCTION("""COMPUTED_VALUE"""),"P1")</f>
        <v>P1</v>
      </c>
    </row>
    <row r="631" ht="22.5" customHeight="1">
      <c r="B631" s="19" t="str">
        <f>IFERROR(__xludf.DUMMYFUNCTION("""COMPUTED_VALUE"""),"K/2/171024/1")</f>
        <v>K/2/171024/1</v>
      </c>
      <c r="C631" s="19" t="str">
        <f>IFERROR(__xludf.DUMMYFUNCTION("""COMPUTED_VALUE"""),"M. 525/ Sumber Agung")</f>
        <v>M. 525/ Sumber Agung</v>
      </c>
      <c r="D631" s="17">
        <f>IFERROR(__xludf.DUMMYFUNCTION("""COMPUTED_VALUE"""),45594.41706908565)</f>
        <v>45594.41707</v>
      </c>
      <c r="E631" s="13" t="str">
        <f>IFERROR(__xludf.DUMMYFUNCTION("""COMPUTED_VALUE"""),"PEMECHAN BIDANG")</f>
        <v>PEMECHAN BIDANG</v>
      </c>
      <c r="F631" s="13" t="str">
        <f>IFERROR(__xludf.DUMMYFUNCTION("""COMPUTED_VALUE"""),"M HUSNUN/ MARKIM")</f>
        <v>M HUSNUN/ MARKIM</v>
      </c>
      <c r="G631" s="13">
        <f t="shared" si="1"/>
        <v>568</v>
      </c>
      <c r="H631" s="13" t="str">
        <f>IFERROR(__xludf.DUMMYFUNCTION("""COMPUTED_VALUE"""),"P1")</f>
        <v>P1</v>
      </c>
    </row>
    <row r="632" ht="22.5" customHeight="1">
      <c r="B632" s="19" t="str">
        <f>IFERROR(__xludf.DUMMYFUNCTION("""COMPUTED_VALUE"""),"K/4/291024/1")</f>
        <v>K/4/291024/1</v>
      </c>
      <c r="C632" s="19" t="str">
        <f>IFERROR(__xludf.DUMMYFUNCTION("""COMPUTED_VALUE"""),"M. 3413/ Kota Baru")</f>
        <v>M. 3413/ Kota Baru</v>
      </c>
      <c r="D632" s="17">
        <f>IFERROR(__xludf.DUMMYFUNCTION("""COMPUTED_VALUE"""),45594.42177299768)</f>
        <v>45594.42177</v>
      </c>
      <c r="E632" s="13" t="str">
        <f>IFERROR(__xludf.DUMMYFUNCTION("""COMPUTED_VALUE"""),"BN Jual Beli")</f>
        <v>BN Jual Beli</v>
      </c>
      <c r="F632" s="13" t="str">
        <f>IFERROR(__xludf.DUMMYFUNCTION("""COMPUTED_VALUE"""),"Tjhia Giok T/ Hairul Azhari")</f>
        <v>Tjhia Giok T/ Hairul Azhari</v>
      </c>
      <c r="G632" s="13">
        <f t="shared" si="1"/>
        <v>569</v>
      </c>
      <c r="H632" s="13" t="str">
        <f>IFERROR(__xludf.DUMMYFUNCTION("""COMPUTED_VALUE"""),"P0")</f>
        <v>P0</v>
      </c>
    </row>
    <row r="633" ht="22.5" customHeight="1">
      <c r="B633" s="19" t="str">
        <f>IFERROR(__xludf.DUMMYFUNCTION("""COMPUTED_VALUE"""),"K/5/291024/1")</f>
        <v>K/5/291024/1</v>
      </c>
      <c r="C633" s="19" t="str">
        <f>IFERROR(__xludf.DUMMYFUNCTION("""COMPUTED_VALUE"""),"M.1397/RAJABASA NUNYAI-SEKARANG;B.346/RAJABASA NUNYAI-DAHULU")</f>
        <v>M.1397/RAJABASA NUNYAI-SEKARANG;B.346/RAJABASA NUNYAI-DAHULU</v>
      </c>
      <c r="D633" s="17">
        <f>IFERROR(__xludf.DUMMYFUNCTION("""COMPUTED_VALUE"""),45594.42349261574)</f>
        <v>45594.42349</v>
      </c>
      <c r="E633" s="13" t="str">
        <f>IFERROR(__xludf.DUMMYFUNCTION("""COMPUTED_VALUE"""),"BN JUAL BELI")</f>
        <v>BN JUAL BELI</v>
      </c>
      <c r="F633" s="13" t="str">
        <f>IFERROR(__xludf.DUMMYFUNCTION("""COMPUTED_VALUE"""),"DYAH NINGTIYASTUTI/ISMARINA")</f>
        <v>DYAH NINGTIYASTUTI/ISMARINA</v>
      </c>
      <c r="G633" s="13">
        <f t="shared" si="1"/>
        <v>570</v>
      </c>
      <c r="H633" s="13" t="str">
        <f>IFERROR(__xludf.DUMMYFUNCTION("""COMPUTED_VALUE"""),"P0")</f>
        <v>P0</v>
      </c>
    </row>
    <row r="634" ht="22.5" customHeight="1">
      <c r="B634" s="19" t="str">
        <f>IFERROR(__xludf.DUMMYFUNCTION("""COMPUTED_VALUE"""),"K/6/291024/1")</f>
        <v>K/6/291024/1</v>
      </c>
      <c r="C634" s="19" t="str">
        <f>IFERROR(__xludf.DUMMYFUNCTION("""COMPUTED_VALUE"""),"M. 1350/ Perumnas Way Halim")</f>
        <v>M. 1350/ Perumnas Way Halim</v>
      </c>
      <c r="D634" s="17">
        <f>IFERROR(__xludf.DUMMYFUNCTION("""COMPUTED_VALUE"""),45594.42791020834)</f>
        <v>45594.42791</v>
      </c>
      <c r="E634" s="13" t="str">
        <f>IFERROR(__xludf.DUMMYFUNCTION("""COMPUTED_VALUE"""),"roya")</f>
        <v>roya</v>
      </c>
      <c r="F634" s="13" t="str">
        <f>IFERROR(__xludf.DUMMYFUNCTION("""COMPUTED_VALUE"""),"rahmadiyanti/ lidya sari")</f>
        <v>rahmadiyanti/ lidya sari</v>
      </c>
      <c r="G634" s="13">
        <f t="shared" si="1"/>
        <v>571</v>
      </c>
      <c r="H634" s="13" t="str">
        <f>IFERROR(__xludf.DUMMYFUNCTION("""COMPUTED_VALUE"""),"P0")</f>
        <v>P0</v>
      </c>
    </row>
    <row r="635" ht="22.5" customHeight="1">
      <c r="B635" s="19" t="str">
        <f>IFERROR(__xludf.DUMMYFUNCTION("""COMPUTED_VALUE"""),"K/1/291024/1")</f>
        <v>K/1/291024/1</v>
      </c>
      <c r="C635" s="19" t="str">
        <f>IFERROR(__xludf.DUMMYFUNCTION("""COMPUTED_VALUE"""),"NIBEL B.2359/PERUMNAS WAY KANDIS")</f>
        <v>NIBEL B.2359/PERUMNAS WAY KANDIS</v>
      </c>
      <c r="D635" s="17">
        <f>IFERROR(__xludf.DUMMYFUNCTION("""COMPUTED_VALUE"""),45594.428174016204)</f>
        <v>45594.42817</v>
      </c>
      <c r="E635" s="13" t="str">
        <f>IFERROR(__xludf.DUMMYFUNCTION("""COMPUTED_VALUE"""),"PENINGKATAN")</f>
        <v>PENINGKATAN</v>
      </c>
      <c r="F635" s="13" t="str">
        <f>IFERROR(__xludf.DUMMYFUNCTION("""COMPUTED_VALUE"""),"RIZA MARROSKA/CHRISTINA ULINA")</f>
        <v>RIZA MARROSKA/CHRISTINA ULINA</v>
      </c>
      <c r="G635" s="13">
        <f t="shared" si="1"/>
        <v>572</v>
      </c>
      <c r="H635" s="13" t="str">
        <f>IFERROR(__xludf.DUMMYFUNCTION("""COMPUTED_VALUE"""),"P0")</f>
        <v>P0</v>
      </c>
    </row>
    <row r="636" ht="22.5" customHeight="1">
      <c r="B636" s="19" t="str">
        <f>IFERROR(__xludf.DUMMYFUNCTION("""COMPUTED_VALUE"""),"K/8/291024/1")</f>
        <v>K/8/291024/1</v>
      </c>
      <c r="C636" s="19" t="str">
        <f>IFERROR(__xludf.DUMMYFUNCTION("""COMPUTED_VALUE"""),"M.12840/SEGALA MIDER-SEKARANG;B.114/SEGALA MIDER-DAHULU")</f>
        <v>M.12840/SEGALA MIDER-SEKARANG;B.114/SEGALA MIDER-DAHULU</v>
      </c>
      <c r="D636" s="17">
        <f>IFERROR(__xludf.DUMMYFUNCTION("""COMPUTED_VALUE"""),45594.42928040509)</f>
        <v>45594.42928</v>
      </c>
      <c r="E636" s="13" t="str">
        <f>IFERROR(__xludf.DUMMYFUNCTION("""COMPUTED_VALUE"""),"PENGECEKAN")</f>
        <v>PENGECEKAN</v>
      </c>
      <c r="F636" s="13" t="str">
        <f>IFERROR(__xludf.DUMMYFUNCTION("""COMPUTED_VALUE"""),"RISHNALDI/CITRA AYU WARDANI")</f>
        <v>RISHNALDI/CITRA AYU WARDANI</v>
      </c>
      <c r="G636" s="13">
        <f t="shared" si="1"/>
        <v>573</v>
      </c>
      <c r="H636" s="13" t="str">
        <f>IFERROR(__xludf.DUMMYFUNCTION("""COMPUTED_VALUE"""),"P0")</f>
        <v>P0</v>
      </c>
    </row>
    <row r="637" ht="22.5" customHeight="1">
      <c r="B637" s="19" t="str">
        <f>IFERROR(__xludf.DUMMYFUNCTION("""COMPUTED_VALUE"""),"K/7/291024/2")</f>
        <v>K/7/291024/2</v>
      </c>
      <c r="C637" s="19" t="str">
        <f>IFERROR(__xludf.DUMMYFUNCTION("""COMPUTED_VALUE"""),"M. 2590/ Beringin Raya - sekarang; B. 2536/ Beringin raya-dahulu")</f>
        <v>M. 2590/ Beringin Raya - sekarang; B. 2536/ Beringin raya-dahulu</v>
      </c>
      <c r="D637" s="17">
        <f>IFERROR(__xludf.DUMMYFUNCTION("""COMPUTED_VALUE"""),45594.43112872685)</f>
        <v>45594.43113</v>
      </c>
      <c r="E637" s="13" t="str">
        <f>IFERROR(__xludf.DUMMYFUNCTION("""COMPUTED_VALUE"""),"bn waris")</f>
        <v>bn waris</v>
      </c>
      <c r="F637" s="13" t="str">
        <f>IFERROR(__xludf.DUMMYFUNCTION("""COMPUTED_VALUE"""),"rahmadiyanti/ dahlia cs")</f>
        <v>rahmadiyanti/ dahlia cs</v>
      </c>
      <c r="G637" s="13">
        <f t="shared" si="1"/>
        <v>574</v>
      </c>
      <c r="H637" s="13" t="str">
        <f>IFERROR(__xludf.DUMMYFUNCTION("""COMPUTED_VALUE"""),"P0")</f>
        <v>P0</v>
      </c>
    </row>
    <row r="638" ht="22.5" customHeight="1">
      <c r="B638" s="19" t="str">
        <f>IFERROR(__xludf.DUMMYFUNCTION("""COMPUTED_VALUE"""),"K/9/291024/2")</f>
        <v>K/9/291024/2</v>
      </c>
      <c r="C638" s="19" t="str">
        <f>IFERROR(__xludf.DUMMYFUNCTION("""COMPUTED_VALUE"""),"M.1586/SUMUR BATU;SHT. 5389/2018")</f>
        <v>M.1586/SUMUR BATU;SHT. 5389/2018</v>
      </c>
      <c r="D638" s="17">
        <f>IFERROR(__xludf.DUMMYFUNCTION("""COMPUTED_VALUE"""),45594.43415527778)</f>
        <v>45594.43416</v>
      </c>
      <c r="E638" s="13" t="str">
        <f>IFERROR(__xludf.DUMMYFUNCTION("""COMPUTED_VALUE"""),"ROYA")</f>
        <v>ROYA</v>
      </c>
      <c r="F638" s="13" t="str">
        <f>IFERROR(__xludf.DUMMYFUNCTION("""COMPUTED_VALUE"""),"SALIMAN/CITRA AYU WARDANI")</f>
        <v>SALIMAN/CITRA AYU WARDANI</v>
      </c>
      <c r="G638" s="13">
        <f t="shared" si="1"/>
        <v>575</v>
      </c>
      <c r="H638" s="13" t="str">
        <f>IFERROR(__xludf.DUMMYFUNCTION("""COMPUTED_VALUE"""),"P0")</f>
        <v>P0</v>
      </c>
    </row>
    <row r="639" ht="22.5" customHeight="1">
      <c r="B639" s="19" t="str">
        <f>IFERROR(__xludf.DUMMYFUNCTION("""COMPUTED_VALUE"""),"K/11/291024/1")</f>
        <v>K/11/291024/1</v>
      </c>
      <c r="C639" s="19" t="str">
        <f>IFERROR(__xludf.DUMMYFUNCTION("""COMPUTED_VALUE"""),"B. 1045/ Negeri olok gading")</f>
        <v>B. 1045/ Negeri olok gading</v>
      </c>
      <c r="D639" s="17">
        <f>IFERROR(__xludf.DUMMYFUNCTION("""COMPUTED_VALUE"""),45594.45209274306)</f>
        <v>45594.45209</v>
      </c>
      <c r="E639" s="13" t="str">
        <f>IFERROR(__xludf.DUMMYFUNCTION("""COMPUTED_VALUE"""),"Pendaftaran SK Perpanjangan")</f>
        <v>Pendaftaran SK Perpanjangan</v>
      </c>
      <c r="F639" s="13" t="str">
        <f>IFERROR(__xludf.DUMMYFUNCTION("""COMPUTED_VALUE"""),"Vitta N/ Yan Bastian")</f>
        <v>Vitta N/ Yan Bastian</v>
      </c>
      <c r="G639" s="13">
        <f t="shared" si="1"/>
        <v>576</v>
      </c>
      <c r="H639" s="13" t="str">
        <f>IFERROR(__xludf.DUMMYFUNCTION("""COMPUTED_VALUE"""),"P0")</f>
        <v>P0</v>
      </c>
    </row>
    <row r="640" ht="22.5" customHeight="1">
      <c r="B640" s="19" t="str">
        <f>IFERROR(__xludf.DUMMYFUNCTION("""COMPUTED_VALUE"""),"K/26/171024/2")</f>
        <v>K/26/171024/2</v>
      </c>
      <c r="C640" s="19" t="str">
        <f>IFERROR(__xludf.DUMMYFUNCTION("""COMPUTED_VALUE"""),"Nibel. M. 1066/ Sukarame Baru	")</f>
        <v>Nibel. M. 1066/ Sukarame Baru	</v>
      </c>
      <c r="D640" s="17">
        <f>IFERROR(__xludf.DUMMYFUNCTION("""COMPUTED_VALUE"""),45594.454893449074)</f>
        <v>45594.45489</v>
      </c>
      <c r="E640" s="13" t="str">
        <f>IFERROR(__xludf.DUMMYFUNCTION("""COMPUTED_VALUE"""),"BN Jual Beli")</f>
        <v>BN Jual Beli</v>
      </c>
      <c r="F640" s="13" t="str">
        <f>IFERROR(__xludf.DUMMYFUNCTION("""COMPUTED_VALUE"""),"Ilanur/ Dhita A")</f>
        <v>Ilanur/ Dhita A</v>
      </c>
      <c r="G640" s="13">
        <f t="shared" si="1"/>
        <v>576</v>
      </c>
      <c r="H640" s="13" t="str">
        <f>IFERROR(__xludf.DUMMYFUNCTION("""COMPUTED_VALUE"""),"P1")</f>
        <v>P1</v>
      </c>
    </row>
    <row r="641" ht="22.5" customHeight="1">
      <c r="B641" s="19" t="str">
        <f>IFERROR(__xludf.DUMMYFUNCTION("""COMPUTED_VALUE"""),"K/12/291024/1")</f>
        <v>K/12/291024/1</v>
      </c>
      <c r="C641" s="19" t="str">
        <f>IFERROR(__xludf.DUMMYFUNCTION("""COMPUTED_VALUE"""),"Nibel 1193/ Jagabaya III")</f>
        <v>Nibel 1193/ Jagabaya III</v>
      </c>
      <c r="D641" s="17">
        <f>IFERROR(__xludf.DUMMYFUNCTION("""COMPUTED_VALUE"""),45594.46594539352)</f>
        <v>45594.46595</v>
      </c>
      <c r="E641" s="13" t="str">
        <f>IFERROR(__xludf.DUMMYFUNCTION("""COMPUTED_VALUE"""),"PERUBAHAN HAK")</f>
        <v>PERUBAHAN HAK</v>
      </c>
      <c r="F641" s="13" t="str">
        <f>IFERROR(__xludf.DUMMYFUNCTION("""COMPUTED_VALUE"""),"RENI F/ MARIA REYNELDA")</f>
        <v>RENI F/ MARIA REYNELDA</v>
      </c>
      <c r="G641" s="13">
        <f t="shared" si="1"/>
        <v>577</v>
      </c>
      <c r="H641" s="13" t="str">
        <f>IFERROR(__xludf.DUMMYFUNCTION("""COMPUTED_VALUE"""),"P0")</f>
        <v>P0</v>
      </c>
    </row>
    <row r="642" ht="22.5" customHeight="1">
      <c r="B642" s="19" t="str">
        <f>IFERROR(__xludf.DUMMYFUNCTION("""COMPUTED_VALUE"""),"K/13/291024/1")</f>
        <v>K/13/291024/1</v>
      </c>
      <c r="C642" s="19" t="str">
        <f>IFERROR(__xludf.DUMMYFUNCTION("""COMPUTED_VALUE"""),"M.14139/KEDAMAIAN")</f>
        <v>M.14139/KEDAMAIAN</v>
      </c>
      <c r="D642" s="17">
        <f>IFERROR(__xludf.DUMMYFUNCTION("""COMPUTED_VALUE"""),45594.47250549769)</f>
        <v>45594.47251</v>
      </c>
      <c r="E642" s="13" t="str">
        <f>IFERROR(__xludf.DUMMYFUNCTION("""COMPUTED_VALUE"""),"BN JUAL BELI ")</f>
        <v>BN JUAL BELI </v>
      </c>
      <c r="F642" s="13" t="str">
        <f>IFERROR(__xludf.DUMMYFUNCTION("""COMPUTED_VALUE"""),"FITROUL/AMARULLAH")</f>
        <v>FITROUL/AMARULLAH</v>
      </c>
      <c r="G642" s="13">
        <f t="shared" si="1"/>
        <v>578</v>
      </c>
      <c r="H642" s="13" t="str">
        <f>IFERROR(__xludf.DUMMYFUNCTION("""COMPUTED_VALUE"""),"P0")</f>
        <v>P0</v>
      </c>
    </row>
    <row r="643" ht="22.5" customHeight="1">
      <c r="B643" s="19" t="str">
        <f>IFERROR(__xludf.DUMMYFUNCTION("""COMPUTED_VALUE"""),"K/14/291024/2")</f>
        <v>K/14/291024/2</v>
      </c>
      <c r="C643" s="19" t="str">
        <f>IFERROR(__xludf.DUMMYFUNCTION("""COMPUTED_VALUE"""),"M.60/RAJABASA JAYA")</f>
        <v>M.60/RAJABASA JAYA</v>
      </c>
      <c r="D643" s="17">
        <f>IFERROR(__xludf.DUMMYFUNCTION("""COMPUTED_VALUE"""),45594.473472812504)</f>
        <v>45594.47347</v>
      </c>
      <c r="E643" s="13" t="str">
        <f>IFERROR(__xludf.DUMMYFUNCTION("""COMPUTED_VALUE"""),"PLOTING")</f>
        <v>PLOTING</v>
      </c>
      <c r="F643" s="13" t="str">
        <f>IFERROR(__xludf.DUMMYFUNCTION("""COMPUTED_VALUE"""),"DARWANIAH NASUTION/AMARULLAH")</f>
        <v>DARWANIAH NASUTION/AMARULLAH</v>
      </c>
      <c r="G643" s="13">
        <f t="shared" si="1"/>
        <v>579</v>
      </c>
      <c r="H643" s="13" t="str">
        <f>IFERROR(__xludf.DUMMYFUNCTION("""COMPUTED_VALUE"""),"P0")</f>
        <v>P0</v>
      </c>
    </row>
    <row r="644" ht="22.5" customHeight="1">
      <c r="B644" s="19" t="str">
        <f>IFERROR(__xludf.DUMMYFUNCTION("""COMPUTED_VALUE"""),"K/15/291024/1")</f>
        <v>K/15/291024/1</v>
      </c>
      <c r="C644" s="19" t="str">
        <f>IFERROR(__xludf.DUMMYFUNCTION("""COMPUTED_VALUE"""),"M. 534/ Sumur Batu")</f>
        <v>M. 534/ Sumur Batu</v>
      </c>
      <c r="D644" s="17">
        <f>IFERROR(__xludf.DUMMYFUNCTION("""COMPUTED_VALUE"""),45594.48087980324)</f>
        <v>45594.48088</v>
      </c>
      <c r="E644" s="13" t="str">
        <f>IFERROR(__xludf.DUMMYFUNCTION("""COMPUTED_VALUE"""),"BN Jual Beli")</f>
        <v>BN Jual Beli</v>
      </c>
      <c r="F644" s="13" t="str">
        <f>IFERROR(__xludf.DUMMYFUNCTION("""COMPUTED_VALUE"""),"Teddy Saputra/ Dahlia")</f>
        <v>Teddy Saputra/ Dahlia</v>
      </c>
      <c r="G644" s="13">
        <f t="shared" si="1"/>
        <v>580</v>
      </c>
      <c r="H644" s="13" t="str">
        <f>IFERROR(__xludf.DUMMYFUNCTION("""COMPUTED_VALUE"""),"P0")</f>
        <v>P0</v>
      </c>
    </row>
    <row r="645" ht="22.5" customHeight="1">
      <c r="B645" s="19" t="str">
        <f>IFERROR(__xludf.DUMMYFUNCTION("""COMPUTED_VALUE"""),"L/16/291024/1")</f>
        <v>L/16/291024/1</v>
      </c>
      <c r="C645" s="19" t="str">
        <f>IFERROR(__xludf.DUMMYFUNCTION("""COMPUTED_VALUE"""),"M.715/PINANG JAYA")</f>
        <v>M.715/PINANG JAYA</v>
      </c>
      <c r="D645" s="17">
        <f>IFERROR(__xludf.DUMMYFUNCTION("""COMPUTED_VALUE"""),45594.4820443287)</f>
        <v>45594.48204</v>
      </c>
      <c r="E645" s="13" t="str">
        <f>IFERROR(__xludf.DUMMYFUNCTION("""COMPUTED_VALUE"""),"ROYA")</f>
        <v>ROYA</v>
      </c>
      <c r="F645" s="13" t="str">
        <f>IFERROR(__xludf.DUMMYFUNCTION("""COMPUTED_VALUE"""),"M IQBAL RAMADHAN")</f>
        <v>M IQBAL RAMADHAN</v>
      </c>
      <c r="G645" s="13">
        <f t="shared" si="1"/>
        <v>581</v>
      </c>
      <c r="H645" s="13" t="str">
        <f>IFERROR(__xludf.DUMMYFUNCTION("""COMPUTED_VALUE"""),"P0")</f>
        <v>P0</v>
      </c>
    </row>
    <row r="646" ht="22.5" customHeight="1">
      <c r="B646" s="19" t="str">
        <f>IFERROR(__xludf.DUMMYFUNCTION("""COMPUTED_VALUE"""),"K/18/291024/1")</f>
        <v>K/18/291024/1</v>
      </c>
      <c r="C646" s="19" t="str">
        <f>IFERROR(__xludf.DUMMYFUNCTION("""COMPUTED_VALUE"""),"M. 1304/ Sumur Putri")</f>
        <v>M. 1304/ Sumur Putri</v>
      </c>
      <c r="D646" s="17">
        <f>IFERROR(__xludf.DUMMYFUNCTION("""COMPUTED_VALUE"""),45594.49731880787)</f>
        <v>45594.49732</v>
      </c>
      <c r="E646" s="13" t="str">
        <f>IFERROR(__xludf.DUMMYFUNCTION("""COMPUTED_VALUE"""),"BN JUAL BELI")</f>
        <v>BN JUAL BELI</v>
      </c>
      <c r="F646" s="13" t="str">
        <f>IFERROR(__xludf.DUMMYFUNCTION("""COMPUTED_VALUE"""),"NOVALIA EKA PUTRI/ SITI NUR HAYANI")</f>
        <v>NOVALIA EKA PUTRI/ SITI NUR HAYANI</v>
      </c>
      <c r="G646" s="13">
        <f t="shared" si="1"/>
        <v>582</v>
      </c>
      <c r="H646" s="13" t="str">
        <f>IFERROR(__xludf.DUMMYFUNCTION("""COMPUTED_VALUE"""),"P0")</f>
        <v>P0</v>
      </c>
    </row>
    <row r="647" ht="22.5" customHeight="1">
      <c r="B647" s="19" t="str">
        <f>IFERROR(__xludf.DUMMYFUNCTION("""COMPUTED_VALUE"""),"K/17/291024/1")</f>
        <v>K/17/291024/1</v>
      </c>
      <c r="C647" s="19" t="str">
        <f>IFERROR(__xludf.DUMMYFUNCTION("""COMPUTED_VALUE"""),"NIbel. B. 133/ Kelapa Tiga")</f>
        <v>NIbel. B. 133/ Kelapa Tiga</v>
      </c>
      <c r="D647" s="17">
        <f>IFERROR(__xludf.DUMMYFUNCTION("""COMPUTED_VALUE"""),45594.49441900463)</f>
        <v>45594.49442</v>
      </c>
      <c r="E647" s="13" t="str">
        <f>IFERROR(__xludf.DUMMYFUNCTION("""COMPUTED_VALUE"""),"SKPT Informasi")</f>
        <v>SKPT Informasi</v>
      </c>
      <c r="F647" s="13" t="str">
        <f>IFERROR(__xludf.DUMMYFUNCTION("""COMPUTED_VALUE"""),"Romi Zam Zami/ Lendrawati")</f>
        <v>Romi Zam Zami/ Lendrawati</v>
      </c>
      <c r="G647" s="13">
        <f t="shared" si="1"/>
        <v>583</v>
      </c>
      <c r="H647" s="13" t="str">
        <f>IFERROR(__xludf.DUMMYFUNCTION("""COMPUTED_VALUE"""),"P0")</f>
        <v>P0</v>
      </c>
    </row>
    <row r="648" ht="22.5" customHeight="1">
      <c r="B648" s="19" t="str">
        <f>IFERROR(__xludf.DUMMYFUNCTION("""COMPUTED_VALUE"""),"K/19/291024/1")</f>
        <v>K/19/291024/1</v>
      </c>
      <c r="C648" s="19" t="str">
        <f>IFERROR(__xludf.DUMMYFUNCTION("""COMPUTED_VALUE"""),"M. 910/ Jagabaya III")</f>
        <v>M. 910/ Jagabaya III</v>
      </c>
      <c r="D648" s="17">
        <f>IFERROR(__xludf.DUMMYFUNCTION("""COMPUTED_VALUE"""),45594.49856221065)</f>
        <v>45594.49856</v>
      </c>
      <c r="E648" s="13" t="str">
        <f>IFERROR(__xludf.DUMMYFUNCTION("""COMPUTED_VALUE"""),"Gandes")</f>
        <v>Gandes</v>
      </c>
      <c r="F648" s="13" t="str">
        <f>IFERROR(__xludf.DUMMYFUNCTION("""COMPUTED_VALUE"""),"Maryanti K/ Suhoko")</f>
        <v>Maryanti K/ Suhoko</v>
      </c>
      <c r="G648" s="13">
        <f t="shared" si="1"/>
        <v>584</v>
      </c>
      <c r="H648" s="13" t="str">
        <f>IFERROR(__xludf.DUMMYFUNCTION("""COMPUTED_VALUE"""),"P0")</f>
        <v>P0</v>
      </c>
    </row>
    <row r="649" ht="22.5" customHeight="1">
      <c r="B649" s="19" t="str">
        <f>IFERROR(__xludf.DUMMYFUNCTION("""COMPUTED_VALUE"""),"K/20/291024/1")</f>
        <v>K/20/291024/1</v>
      </c>
      <c r="C649" s="19" t="str">
        <f>IFERROR(__xludf.DUMMYFUNCTION("""COMPUTED_VALUE"""),"M. 3225/ Kupang Teba")</f>
        <v>M. 3225/ Kupang Teba</v>
      </c>
      <c r="D649" s="17">
        <f>IFERROR(__xludf.DUMMYFUNCTION("""COMPUTED_VALUE"""),45594.5550884375)</f>
        <v>45594.55509</v>
      </c>
      <c r="E649" s="13" t="str">
        <f>IFERROR(__xludf.DUMMYFUNCTION("""COMPUTED_VALUE"""),"plotting")</f>
        <v>plotting</v>
      </c>
      <c r="F649" s="13" t="str">
        <f>IFERROR(__xludf.DUMMYFUNCTION("""COMPUTED_VALUE"""),"hera Agustianti/ nunung")</f>
        <v>hera Agustianti/ nunung</v>
      </c>
      <c r="G649" s="13">
        <f t="shared" si="1"/>
        <v>585</v>
      </c>
      <c r="H649" s="13" t="str">
        <f>IFERROR(__xludf.DUMMYFUNCTION("""COMPUTED_VALUE"""),"P0")</f>
        <v>P0</v>
      </c>
    </row>
    <row r="650" ht="22.5" customHeight="1">
      <c r="B650" s="19" t="str">
        <f>IFERROR(__xludf.DUMMYFUNCTION("""COMPUTED_VALUE"""),"L/23/291024/1")</f>
        <v>L/23/291024/1</v>
      </c>
      <c r="C650" s="19" t="str">
        <f>IFERROR(__xludf.DUMMYFUNCTION("""COMPUTED_VALUE"""),"M.2281/SU HAM")</f>
        <v>M.2281/SU HAM</v>
      </c>
      <c r="D650" s="17">
        <f>IFERROR(__xludf.DUMMYFUNCTION("""COMPUTED_VALUE"""),45594.56794226852)</f>
        <v>45594.56794</v>
      </c>
      <c r="E650" s="13" t="str">
        <f>IFERROR(__xludf.DUMMYFUNCTION("""COMPUTED_VALUE"""),"ROYA")</f>
        <v>ROYA</v>
      </c>
      <c r="F650" s="13" t="str">
        <f>IFERROR(__xludf.DUMMYFUNCTION("""COMPUTED_VALUE"""),"LINDA AMELIA")</f>
        <v>LINDA AMELIA</v>
      </c>
      <c r="G650" s="13">
        <f t="shared" si="1"/>
        <v>586</v>
      </c>
      <c r="H650" s="13" t="str">
        <f>IFERROR(__xludf.DUMMYFUNCTION("""COMPUTED_VALUE"""),"P0")</f>
        <v>P0</v>
      </c>
    </row>
    <row r="651" ht="22.5" customHeight="1">
      <c r="B651" s="19" t="str">
        <f>IFERROR(__xludf.DUMMYFUNCTION("""COMPUTED_VALUE"""),"K/21/291024/1")</f>
        <v>K/21/291024/1</v>
      </c>
      <c r="C651" s="19" t="str">
        <f>IFERROR(__xludf.DUMMYFUNCTION("""COMPUTED_VALUE"""),"Nibel. B. 1478/ Kemiling Permai")</f>
        <v>Nibel. B. 1478/ Kemiling Permai</v>
      </c>
      <c r="D651" s="17">
        <f>IFERROR(__xludf.DUMMYFUNCTION("""COMPUTED_VALUE"""),45594.57120435185)</f>
        <v>45594.5712</v>
      </c>
      <c r="E651" s="13" t="str">
        <f>IFERROR(__xludf.DUMMYFUNCTION("""COMPUTED_VALUE"""),"Perubahan Hak")</f>
        <v>Perubahan Hak</v>
      </c>
      <c r="F651" s="13" t="str">
        <f>IFERROR(__xludf.DUMMYFUNCTION("""COMPUTED_VALUE"""),"Endang Aprilia/ Raras F")</f>
        <v>Endang Aprilia/ Raras F</v>
      </c>
      <c r="G651" s="13">
        <f t="shared" si="1"/>
        <v>587</v>
      </c>
      <c r="H651" s="13" t="str">
        <f>IFERROR(__xludf.DUMMYFUNCTION("""COMPUTED_VALUE"""),"P0")</f>
        <v>P0</v>
      </c>
    </row>
    <row r="652" ht="22.5" customHeight="1">
      <c r="B652" s="19" t="str">
        <f>IFERROR(__xludf.DUMMYFUNCTION("""COMPUTED_VALUE"""),"K/22/291024/2")</f>
        <v>K/22/291024/2</v>
      </c>
      <c r="C652" s="19" t="str">
        <f>IFERROR(__xludf.DUMMYFUNCTION("""COMPUTED_VALUE"""),"Nibel. B. 2603/ Kemiling Permai")</f>
        <v>Nibel. B. 2603/ Kemiling Permai</v>
      </c>
      <c r="D652" s="17">
        <f>IFERROR(__xludf.DUMMYFUNCTION("""COMPUTED_VALUE"""),45594.57177023149)</f>
        <v>45594.57177</v>
      </c>
      <c r="E652" s="13" t="str">
        <f>IFERROR(__xludf.DUMMYFUNCTION("""COMPUTED_VALUE"""),"Perubahan Hak")</f>
        <v>Perubahan Hak</v>
      </c>
      <c r="F652" s="13" t="str">
        <f>IFERROR(__xludf.DUMMYFUNCTION("""COMPUTED_VALUE"""),"Endang Aprilia/ Dennis  A")</f>
        <v>Endang Aprilia/ Dennis  A</v>
      </c>
      <c r="G652" s="13">
        <f t="shared" si="1"/>
        <v>588</v>
      </c>
      <c r="H652" s="13" t="str">
        <f>IFERROR(__xludf.DUMMYFUNCTION("""COMPUTED_VALUE"""),"P0")</f>
        <v>P0</v>
      </c>
    </row>
    <row r="653" ht="22.5" customHeight="1">
      <c r="B653" s="19" t="str">
        <f>IFERROR(__xludf.DUMMYFUNCTION("""COMPUTED_VALUE"""),"K/24/291024/1")</f>
        <v>K/24/291024/1</v>
      </c>
      <c r="C653" s="19" t="str">
        <f>IFERROR(__xludf.DUMMYFUNCTION("""COMPUTED_VALUE"""),"B.138/KEMILING PERMAI ")</f>
        <v>B.138/KEMILING PERMAI </v>
      </c>
      <c r="D653" s="17">
        <f>IFERROR(__xludf.DUMMYFUNCTION("""COMPUTED_VALUE"""),45594.575026631945)</f>
        <v>45594.57503</v>
      </c>
      <c r="E653" s="13" t="str">
        <f>IFERROR(__xludf.DUMMYFUNCTION("""COMPUTED_VALUE"""),"BN JUAL BELI")</f>
        <v>BN JUAL BELI</v>
      </c>
      <c r="F653" s="13" t="str">
        <f>IFERROR(__xludf.DUMMYFUNCTION("""COMPUTED_VALUE"""),"JAMILAH SISWATI/AYI RUHIAT")</f>
        <v>JAMILAH SISWATI/AYI RUHIAT</v>
      </c>
      <c r="G653" s="13">
        <f t="shared" si="1"/>
        <v>589</v>
      </c>
      <c r="H653" s="13" t="str">
        <f>IFERROR(__xludf.DUMMYFUNCTION("""COMPUTED_VALUE"""),"P0")</f>
        <v>P0</v>
      </c>
    </row>
    <row r="654" ht="22.5" customHeight="1">
      <c r="B654" s="19" t="str">
        <f>IFERROR(__xludf.DUMMYFUNCTION("""COMPUTED_VALUE"""),"K/63/221024/3")</f>
        <v>K/63/221024/3</v>
      </c>
      <c r="C654" s="19" t="str">
        <f>IFERROR(__xludf.DUMMYFUNCTION("""COMPUTED_VALUE"""),"M. 1601/ Bumi Kedamaian	")</f>
        <v>M. 1601/ Bumi Kedamaian	</v>
      </c>
      <c r="D654" s="17">
        <f>IFERROR(__xludf.DUMMYFUNCTION("""COMPUTED_VALUE"""),45594.57554122685)</f>
        <v>45594.57554</v>
      </c>
      <c r="E654" s="13" t="str">
        <f>IFERROR(__xludf.DUMMYFUNCTION("""COMPUTED_VALUE"""),"BN Jual Beli")</f>
        <v>BN Jual Beli</v>
      </c>
      <c r="F654" s="13" t="str">
        <f>IFERROR(__xludf.DUMMYFUNCTION("""COMPUTED_VALUE"""),"Andrianto/ Wiwik A")</f>
        <v>Andrianto/ Wiwik A</v>
      </c>
      <c r="G654" s="13">
        <f t="shared" si="1"/>
        <v>589</v>
      </c>
      <c r="H654" s="13" t="str">
        <f>IFERROR(__xludf.DUMMYFUNCTION("""COMPUTED_VALUE"""),"P1")</f>
        <v>P1</v>
      </c>
    </row>
    <row r="655" ht="22.5" customHeight="1">
      <c r="B655" s="19" t="str">
        <f>IFERROR(__xludf.DUMMYFUNCTION("""COMPUTED_VALUE"""),"K/45/221024/1")</f>
        <v>K/45/221024/1</v>
      </c>
      <c r="C655" s="19" t="str">
        <f>IFERROR(__xludf.DUMMYFUNCTION("""COMPUTED_VALUE"""),"M. 543/ Sumur Putri")</f>
        <v>M. 543/ Sumur Putri</v>
      </c>
      <c r="D655" s="17">
        <f>IFERROR(__xludf.DUMMYFUNCTION("""COMPUTED_VALUE"""),45594.575980243055)</f>
        <v>45594.57598</v>
      </c>
      <c r="E655" s="13" t="str">
        <f>IFERROR(__xludf.DUMMYFUNCTION("""COMPUTED_VALUE"""),"Roya")</f>
        <v>Roya</v>
      </c>
      <c r="F655" s="13" t="str">
        <f>IFERROR(__xludf.DUMMYFUNCTION("""COMPUTED_VALUE"""),"nur hayati/ rubiyanto")</f>
        <v>nur hayati/ rubiyanto</v>
      </c>
      <c r="G655" s="13">
        <f t="shared" si="1"/>
        <v>589</v>
      </c>
      <c r="H655" s="13" t="str">
        <f>IFERROR(__xludf.DUMMYFUNCTION("""COMPUTED_VALUE"""),"P1")</f>
        <v>P1</v>
      </c>
    </row>
    <row r="656" ht="22.5" customHeight="1">
      <c r="B656" s="19" t="str">
        <f>IFERROR(__xludf.DUMMYFUNCTION("""COMPUTED_VALUE"""),"K/34/151024/2")</f>
        <v>K/34/151024/2</v>
      </c>
      <c r="C656" s="19" t="str">
        <f>IFERROR(__xludf.DUMMYFUNCTION("""COMPUTED_VALUE"""),"M. 1311/ Beringin Jaya; dahulu B. 2093/ Beringin Raya")</f>
        <v>M. 1311/ Beringin Jaya; dahulu B. 2093/ Beringin Raya</v>
      </c>
      <c r="D656" s="17">
        <f>IFERROR(__xludf.DUMMYFUNCTION("""COMPUTED_VALUE"""),45594.5764047338)</f>
        <v>45594.5764</v>
      </c>
      <c r="E656" s="13" t="str">
        <f>IFERROR(__xludf.DUMMYFUNCTION("""COMPUTED_VALUE"""),"BN Hibah")</f>
        <v>BN Hibah</v>
      </c>
      <c r="F656" s="13" t="str">
        <f>IFERROR(__xludf.DUMMYFUNCTION("""COMPUTED_VALUE"""),"Ayi Ruhiat/ Eri Yulianti")</f>
        <v>Ayi Ruhiat/ Eri Yulianti</v>
      </c>
      <c r="G656" s="13">
        <f t="shared" si="1"/>
        <v>589</v>
      </c>
      <c r="H656" s="13" t="str">
        <f>IFERROR(__xludf.DUMMYFUNCTION("""COMPUTED_VALUE"""),"P1")</f>
        <v>P1</v>
      </c>
    </row>
    <row r="657" ht="22.5" customHeight="1">
      <c r="B657" s="19" t="str">
        <f>IFERROR(__xludf.DUMMYFUNCTION("""COMPUTED_VALUE"""),"K/30/231024/1")</f>
        <v>K/30/231024/1</v>
      </c>
      <c r="C657" s="19" t="str">
        <f>IFERROR(__xludf.DUMMYFUNCTION("""COMPUTED_VALUE"""),"NIBEL M.661/BILABONG JAYA")</f>
        <v>NIBEL M.661/BILABONG JAYA</v>
      </c>
      <c r="D657" s="17">
        <f>IFERROR(__xludf.DUMMYFUNCTION("""COMPUTED_VALUE"""),45594.587413553236)</f>
        <v>45594.58741</v>
      </c>
      <c r="E657" s="13" t="str">
        <f>IFERROR(__xludf.DUMMYFUNCTION("""COMPUTED_VALUE"""),"BN JUAL BELI")</f>
        <v>BN JUAL BELI</v>
      </c>
      <c r="F657" s="13" t="str">
        <f>IFERROR(__xludf.DUMMYFUNCTION("""COMPUTED_VALUE"""),"M FARREL F P/TRIADI KURNIAWAN")</f>
        <v>M FARREL F P/TRIADI KURNIAWAN</v>
      </c>
      <c r="G657" s="13">
        <f t="shared" si="1"/>
        <v>589</v>
      </c>
      <c r="H657" s="13" t="str">
        <f>IFERROR(__xludf.DUMMYFUNCTION("""COMPUTED_VALUE"""),"P1")</f>
        <v>P1</v>
      </c>
    </row>
    <row r="658" ht="22.5" customHeight="1">
      <c r="B658" s="19" t="str">
        <f>IFERROR(__xludf.DUMMYFUNCTION("""COMPUTED_VALUE"""),"K/26/291024/1")</f>
        <v>K/26/291024/1</v>
      </c>
      <c r="C658" s="19" t="str">
        <f>IFERROR(__xludf.DUMMYFUNCTION("""COMPUTED_VALUE"""),"M. 3082/ Labuhan Dalam ")</f>
        <v>M. 3082/ Labuhan Dalam </v>
      </c>
      <c r="D658" s="17">
        <f>IFERROR(__xludf.DUMMYFUNCTION("""COMPUTED_VALUE"""),45594.58212375)</f>
        <v>45594.58212</v>
      </c>
      <c r="E658" s="13" t="str">
        <f>IFERROR(__xludf.DUMMYFUNCTION("""COMPUTED_VALUE"""),"BN Jual Beli")</f>
        <v>BN Jual Beli</v>
      </c>
      <c r="F658" s="13" t="str">
        <f>IFERROR(__xludf.DUMMYFUNCTION("""COMPUTED_VALUE"""),"Andrianto/ Ryan Aditya")</f>
        <v>Andrianto/ Ryan Aditya</v>
      </c>
      <c r="G658" s="13">
        <f t="shared" si="1"/>
        <v>590</v>
      </c>
      <c r="H658" s="13" t="str">
        <f>IFERROR(__xludf.DUMMYFUNCTION("""COMPUTED_VALUE"""),"P0")</f>
        <v>P0</v>
      </c>
    </row>
    <row r="659" ht="22.5" customHeight="1">
      <c r="B659" s="19" t="str">
        <f>IFERROR(__xludf.DUMMYFUNCTION("""COMPUTED_VALUE"""),"L/27/291024/1")</f>
        <v>L/27/291024/1</v>
      </c>
      <c r="C659" s="19" t="str">
        <f>IFERROR(__xludf.DUMMYFUNCTION("""COMPUTED_VALUE"""),"HM 1472/DURIAN PAYUNG")</f>
        <v>HM 1472/DURIAN PAYUNG</v>
      </c>
      <c r="D659" s="17">
        <f>IFERROR(__xludf.DUMMYFUNCTION("""COMPUTED_VALUE"""),45594.583922777776)</f>
        <v>45594.58392</v>
      </c>
      <c r="E659" s="13" t="str">
        <f>IFERROR(__xludf.DUMMYFUNCTION("""COMPUTED_VALUE"""),"ROYA")</f>
        <v>ROYA</v>
      </c>
      <c r="F659" s="13" t="str">
        <f>IFERROR(__xludf.DUMMYFUNCTION("""COMPUTED_VALUE"""),"ANE INDAH KURNIA")</f>
        <v>ANE INDAH KURNIA</v>
      </c>
      <c r="G659" s="13">
        <f t="shared" si="1"/>
        <v>591</v>
      </c>
      <c r="H659" s="13" t="str">
        <f>IFERROR(__xludf.DUMMYFUNCTION("""COMPUTED_VALUE"""),"P0")</f>
        <v>P0</v>
      </c>
    </row>
    <row r="660" ht="22.5" customHeight="1">
      <c r="B660" s="19" t="str">
        <f>IFERROR(__xludf.DUMMYFUNCTION("""COMPUTED_VALUE"""),"L/28/291024/1")</f>
        <v>L/28/291024/1</v>
      </c>
      <c r="C660" s="19" t="str">
        <f>IFERROR(__xludf.DUMMYFUNCTION("""COMPUTED_VALUE"""),"M.13498/SUKABUMI;B.2732/SUKABUMI-DAHULU")</f>
        <v>M.13498/SUKABUMI;B.2732/SUKABUMI-DAHULU</v>
      </c>
      <c r="D660" s="17">
        <f>IFERROR(__xludf.DUMMYFUNCTION("""COMPUTED_VALUE"""),45594.58890960648)</f>
        <v>45594.58891</v>
      </c>
      <c r="E660" s="13" t="str">
        <f>IFERROR(__xludf.DUMMYFUNCTION("""COMPUTED_VALUE"""),"ROYA")</f>
        <v>ROYA</v>
      </c>
      <c r="F660" s="13" t="str">
        <f>IFERROR(__xludf.DUMMYFUNCTION("""COMPUTED_VALUE"""),"CIPTO NUGROHO")</f>
        <v>CIPTO NUGROHO</v>
      </c>
      <c r="G660" s="13">
        <f t="shared" si="1"/>
        <v>592</v>
      </c>
      <c r="H660" s="13" t="str">
        <f>IFERROR(__xludf.DUMMYFUNCTION("""COMPUTED_VALUE"""),"P0")</f>
        <v>P0</v>
      </c>
    </row>
    <row r="661" ht="22.5" customHeight="1">
      <c r="B661" s="19" t="str">
        <f>IFERROR(__xludf.DUMMYFUNCTION("""COMPUTED_VALUE"""),"K/29/291024/1")</f>
        <v>K/29/291024/1</v>
      </c>
      <c r="C661" s="19" t="str">
        <f>IFERROR(__xludf.DUMMYFUNCTION("""COMPUTED_VALUE"""),"M. 9298/ Rajabasa")</f>
        <v>M. 9298/ Rajabasa</v>
      </c>
      <c r="D661" s="17">
        <f>IFERROR(__xludf.DUMMYFUNCTION("""COMPUTED_VALUE"""),45594.59423283565)</f>
        <v>45594.59423</v>
      </c>
      <c r="E661" s="13" t="str">
        <f>IFERROR(__xludf.DUMMYFUNCTION("""COMPUTED_VALUE"""),"Roya")</f>
        <v>Roya</v>
      </c>
      <c r="F661" s="13" t="str">
        <f>IFERROR(__xludf.DUMMYFUNCTION("""COMPUTED_VALUE"""),"Mulhan/ Viah")</f>
        <v>Mulhan/ Viah</v>
      </c>
      <c r="G661" s="13">
        <f t="shared" si="1"/>
        <v>593</v>
      </c>
      <c r="H661" s="13" t="str">
        <f>IFERROR(__xludf.DUMMYFUNCTION("""COMPUTED_VALUE"""),"P0")</f>
        <v>P0</v>
      </c>
    </row>
    <row r="662" ht="22.5" customHeight="1">
      <c r="B662" s="19" t="str">
        <f>IFERROR(__xludf.DUMMYFUNCTION("""COMPUTED_VALUE"""),"K/30/291024/1")</f>
        <v>K/30/291024/1</v>
      </c>
      <c r="C662" s="19" t="str">
        <f>IFERROR(__xludf.DUMMYFUNCTION("""COMPUTED_VALUE"""),"M. 1891/ Beringin Jaya; M. 1233/ Beringin Jaya-dahulu")</f>
        <v>M. 1891/ Beringin Jaya; M. 1233/ Beringin Jaya-dahulu</v>
      </c>
      <c r="D662" s="17">
        <f>IFERROR(__xludf.DUMMYFUNCTION("""COMPUTED_VALUE"""),45594.59633424769)</f>
        <v>45594.59633</v>
      </c>
      <c r="E662" s="13" t="str">
        <f>IFERROR(__xludf.DUMMYFUNCTION("""COMPUTED_VALUE"""),"PTPGT (Pemecahan)")</f>
        <v>PTPGT (Pemecahan)</v>
      </c>
      <c r="F662" s="13" t="str">
        <f>IFERROR(__xludf.DUMMYFUNCTION("""COMPUTED_VALUE"""),"I Made R/ Miswanto")</f>
        <v>I Made R/ Miswanto</v>
      </c>
      <c r="G662" s="13">
        <f t="shared" si="1"/>
        <v>594</v>
      </c>
      <c r="H662" s="13" t="str">
        <f>IFERROR(__xludf.DUMMYFUNCTION("""COMPUTED_VALUE"""),"P0")</f>
        <v>P0</v>
      </c>
    </row>
    <row r="663" ht="22.5" customHeight="1">
      <c r="B663" s="19" t="str">
        <f>IFERROR(__xludf.DUMMYFUNCTION("""COMPUTED_VALUE"""),"K/31/291024/1")</f>
        <v>K/31/291024/1</v>
      </c>
      <c r="C663" s="19" t="str">
        <f>IFERROR(__xludf.DUMMYFUNCTION("""COMPUTED_VALUE"""),"SARUSUN 54/I/MASRS/TANJUNG KARANG")</f>
        <v>SARUSUN 54/I/MASRS/TANJUNG KARANG</v>
      </c>
      <c r="D663" s="17">
        <f>IFERROR(__xludf.DUMMYFUNCTION("""COMPUTED_VALUE"""),45594.598807789356)</f>
        <v>45594.59881</v>
      </c>
      <c r="E663" s="13" t="str">
        <f>IFERROR(__xludf.DUMMYFUNCTION("""COMPUTED_VALUE"""),"GANDES")</f>
        <v>GANDES</v>
      </c>
      <c r="F663" s="13" t="str">
        <f>IFERROR(__xludf.DUMMYFUNCTION("""COMPUTED_VALUE"""),"HJ MEGAWATI/LAZMAWATI")</f>
        <v>HJ MEGAWATI/LAZMAWATI</v>
      </c>
      <c r="G663" s="13">
        <f t="shared" si="1"/>
        <v>595</v>
      </c>
      <c r="H663" s="13" t="str">
        <f>IFERROR(__xludf.DUMMYFUNCTION("""COMPUTED_VALUE"""),"P0")</f>
        <v>P0</v>
      </c>
    </row>
    <row r="664" ht="22.5" customHeight="1">
      <c r="B664" s="19" t="str">
        <f>IFERROR(__xludf.DUMMYFUNCTION("""COMPUTED_VALUE"""),"K/32/291024/2")</f>
        <v>K/32/291024/2</v>
      </c>
      <c r="C664" s="19" t="str">
        <f>IFERROR(__xludf.DUMMYFUNCTION("""COMPUTED_VALUE"""),"SARUSUN 53/I/MASRS/TANJUNG KARANG")</f>
        <v>SARUSUN 53/I/MASRS/TANJUNG KARANG</v>
      </c>
      <c r="D664" s="17">
        <f>IFERROR(__xludf.DUMMYFUNCTION("""COMPUTED_VALUE"""),45594.59971072916)</f>
        <v>45594.59971</v>
      </c>
      <c r="E664" s="13" t="str">
        <f>IFERROR(__xludf.DUMMYFUNCTION("""COMPUTED_VALUE"""),"GANDES")</f>
        <v>GANDES</v>
      </c>
      <c r="F664" s="13" t="str">
        <f>IFERROR(__xludf.DUMMYFUNCTION("""COMPUTED_VALUE"""),"HJ MEGAWATI/LAZMAWATI")</f>
        <v>HJ MEGAWATI/LAZMAWATI</v>
      </c>
      <c r="G664" s="13">
        <f t="shared" si="1"/>
        <v>596</v>
      </c>
      <c r="H664" s="13" t="str">
        <f>IFERROR(__xludf.DUMMYFUNCTION("""COMPUTED_VALUE"""),"P0")</f>
        <v>P0</v>
      </c>
    </row>
    <row r="665" ht="22.5" customHeight="1">
      <c r="B665" s="19" t="str">
        <f>IFERROR(__xludf.DUMMYFUNCTION("""COMPUTED_VALUE"""),"K/33/291024/1")</f>
        <v>K/33/291024/1</v>
      </c>
      <c r="C665" s="19" t="str">
        <f>IFERROR(__xludf.DUMMYFUNCTION("""COMPUTED_VALUE"""),"M. 1126/ Gotong Royong")</f>
        <v>M. 1126/ Gotong Royong</v>
      </c>
      <c r="D665" s="17">
        <f>IFERROR(__xludf.DUMMYFUNCTION("""COMPUTED_VALUE"""),45594.60672333333)</f>
        <v>45594.60672</v>
      </c>
      <c r="E665" s="13" t="str">
        <f>IFERROR(__xludf.DUMMYFUNCTION("""COMPUTED_VALUE"""),"BN Waris")</f>
        <v>BN Waris</v>
      </c>
      <c r="F665" s="13" t="str">
        <f>IFERROR(__xludf.DUMMYFUNCTION("""COMPUTED_VALUE"""),"Fahrul Rozi/ Maria Evi Cs")</f>
        <v>Fahrul Rozi/ Maria Evi Cs</v>
      </c>
      <c r="G665" s="13">
        <f t="shared" si="1"/>
        <v>597</v>
      </c>
      <c r="H665" s="13" t="str">
        <f>IFERROR(__xludf.DUMMYFUNCTION("""COMPUTED_VALUE"""),"P0")</f>
        <v>P0</v>
      </c>
    </row>
    <row r="666" ht="22.5" customHeight="1">
      <c r="B666" s="19" t="str">
        <f>IFERROR(__xludf.DUMMYFUNCTION("""COMPUTED_VALUE"""),"K/34/291024/1")</f>
        <v>K/34/291024/1</v>
      </c>
      <c r="C666" s="19" t="str">
        <f>IFERROR(__xludf.DUMMYFUNCTION("""COMPUTED_VALUE"""),"M. 1279/ SUKAJAWA")</f>
        <v>M. 1279/ SUKAJAWA</v>
      </c>
      <c r="D666" s="17">
        <f>IFERROR(__xludf.DUMMYFUNCTION("""COMPUTED_VALUE"""),45594.60996728009)</f>
        <v>45594.60997</v>
      </c>
      <c r="E666" s="13" t="str">
        <f>IFERROR(__xludf.DUMMYFUNCTION("""COMPUTED_VALUE"""),"ROYA")</f>
        <v>ROYA</v>
      </c>
      <c r="F666" s="13" t="str">
        <f>IFERROR(__xludf.DUMMYFUNCTION("""COMPUTED_VALUE"""),"Desi PUSPITA SARI/ MARIMAN")</f>
        <v>Desi PUSPITA SARI/ MARIMAN</v>
      </c>
      <c r="G666" s="13">
        <f t="shared" si="1"/>
        <v>598</v>
      </c>
      <c r="H666" s="13" t="str">
        <f>IFERROR(__xludf.DUMMYFUNCTION("""COMPUTED_VALUE"""),"P0")</f>
        <v>P0</v>
      </c>
    </row>
    <row r="667" ht="22.5" customHeight="1">
      <c r="B667" s="19" t="str">
        <f>IFERROR(__xludf.DUMMYFUNCTION("""COMPUTED_VALUE"""),"K/35/291024/1")</f>
        <v>K/35/291024/1</v>
      </c>
      <c r="C667" s="19" t="str">
        <f>IFERROR(__xludf.DUMMYFUNCTION("""COMPUTED_VALUE"""),"M. 1647/ Rajabasa Pemuka")</f>
        <v>M. 1647/ Rajabasa Pemuka</v>
      </c>
      <c r="D667" s="17">
        <f>IFERROR(__xludf.DUMMYFUNCTION("""COMPUTED_VALUE"""),45594.61268185185)</f>
        <v>45594.61268</v>
      </c>
      <c r="E667" s="13" t="str">
        <f>IFERROR(__xludf.DUMMYFUNCTION("""COMPUTED_VALUE"""),"BN Jual Beli")</f>
        <v>BN Jual Beli</v>
      </c>
      <c r="F667" s="13" t="str">
        <f>IFERROR(__xludf.DUMMYFUNCTION("""COMPUTED_VALUE"""),"Angga Yustian/ Andika")</f>
        <v>Angga Yustian/ Andika</v>
      </c>
      <c r="G667" s="13">
        <f t="shared" si="1"/>
        <v>599</v>
      </c>
      <c r="H667" s="13" t="str">
        <f>IFERROR(__xludf.DUMMYFUNCTION("""COMPUTED_VALUE"""),"P0")</f>
        <v>P0</v>
      </c>
    </row>
    <row r="668" ht="22.5" customHeight="1">
      <c r="B668" s="19" t="str">
        <f>IFERROR(__xludf.DUMMYFUNCTION("""COMPUTED_VALUE"""),"L/37/291024/1")</f>
        <v>L/37/291024/1</v>
      </c>
      <c r="C668" s="19" t="str">
        <f>IFERROR(__xludf.DUMMYFUNCTION("""COMPUTED_VALUE"""),"HM 12538/JAGABAYA II (SHM TETANGGA)")</f>
        <v>HM 12538/JAGABAYA II (SHM TETANGGA)</v>
      </c>
      <c r="D668" s="17">
        <f>IFERROR(__xludf.DUMMYFUNCTION("""COMPUTED_VALUE"""),45594.62017434028)</f>
        <v>45594.62017</v>
      </c>
      <c r="E668" s="13" t="str">
        <f>IFERROR(__xludf.DUMMYFUNCTION("""COMPUTED_VALUE"""),"PLOT SHM HILANG")</f>
        <v>PLOT SHM HILANG</v>
      </c>
      <c r="F668" s="13" t="str">
        <f>IFERROR(__xludf.DUMMYFUNCTION("""COMPUTED_VALUE"""),"SITI TRI ")</f>
        <v>SITI TRI </v>
      </c>
      <c r="G668" s="13">
        <f t="shared" si="1"/>
        <v>600</v>
      </c>
      <c r="H668" s="13" t="str">
        <f>IFERROR(__xludf.DUMMYFUNCTION("""COMPUTED_VALUE"""),"P0")</f>
        <v>P0</v>
      </c>
    </row>
    <row r="669" ht="22.5" customHeight="1">
      <c r="B669" s="19" t="str">
        <f>IFERROR(__xludf.DUMMYFUNCTION("""COMPUTED_VALUE"""),"K/36/291024/1")</f>
        <v>K/36/291024/1</v>
      </c>
      <c r="C669" s="19" t="str">
        <f>IFERROR(__xludf.DUMMYFUNCTION("""COMPUTED_VALUE"""),"SARUSUN 180/SUMUR PUTRI")</f>
        <v>SARUSUN 180/SUMUR PUTRI</v>
      </c>
      <c r="D669" s="17">
        <f>IFERROR(__xludf.DUMMYFUNCTION("""COMPUTED_VALUE"""),45594.62042664352)</f>
        <v>45594.62043</v>
      </c>
      <c r="E669" s="13" t="str">
        <f>IFERROR(__xludf.DUMMYFUNCTION("""COMPUTED_VALUE"""),"BN JUAL BELI ")</f>
        <v>BN JUAL BELI </v>
      </c>
      <c r="F669" s="13" t="str">
        <f>IFERROR(__xludf.DUMMYFUNCTION("""COMPUTED_VALUE"""),"MARIA APRILIA VINA DWIYANTI/MAYA AYUNINGTIAS")</f>
        <v>MARIA APRILIA VINA DWIYANTI/MAYA AYUNINGTIAS</v>
      </c>
      <c r="G669" s="13">
        <f t="shared" si="1"/>
        <v>601</v>
      </c>
      <c r="H669" s="13" t="str">
        <f>IFERROR(__xludf.DUMMYFUNCTION("""COMPUTED_VALUE"""),"P0")</f>
        <v>P0</v>
      </c>
    </row>
    <row r="670" ht="22.5" customHeight="1">
      <c r="B670" s="19" t="str">
        <f>IFERROR(__xludf.DUMMYFUNCTION("""COMPUTED_VALUE"""),"L/38/291024/1")</f>
        <v>L/38/291024/1</v>
      </c>
      <c r="C670" s="19" t="str">
        <f>IFERROR(__xludf.DUMMYFUNCTION("""COMPUTED_VALUE"""),"HM 29/RAJABASA NUNYAI")</f>
        <v>HM 29/RAJABASA NUNYAI</v>
      </c>
      <c r="D670" s="17">
        <f>IFERROR(__xludf.DUMMYFUNCTION("""COMPUTED_VALUE"""),45594.62133872685)</f>
        <v>45594.62134</v>
      </c>
      <c r="E670" s="13" t="str">
        <f>IFERROR(__xludf.DUMMYFUNCTION("""COMPUTED_VALUE"""),"ROYA")</f>
        <v>ROYA</v>
      </c>
      <c r="F670" s="13" t="str">
        <f>IFERROR(__xludf.DUMMYFUNCTION("""COMPUTED_VALUE"""),"MADE JANJI")</f>
        <v>MADE JANJI</v>
      </c>
      <c r="G670" s="13">
        <f t="shared" si="1"/>
        <v>602</v>
      </c>
      <c r="H670" s="13" t="str">
        <f>IFERROR(__xludf.DUMMYFUNCTION("""COMPUTED_VALUE"""),"P0")</f>
        <v>P0</v>
      </c>
    </row>
    <row r="671" ht="22.5" customHeight="1">
      <c r="B671" s="19" t="str">
        <f>IFERROR(__xludf.DUMMYFUNCTION("""COMPUTED_VALUE"""),"K/39/291024/1")</f>
        <v>K/39/291024/1</v>
      </c>
      <c r="C671" s="19" t="str">
        <f>IFERROR(__xludf.DUMMYFUNCTION("""COMPUTED_VALUE"""),"B.1431/PEMATANG WANGI-SEKARANG;B.805/TANJUNG SENENG")</f>
        <v>B.1431/PEMATANG WANGI-SEKARANG;B.805/TANJUNG SENENG</v>
      </c>
      <c r="D671" s="17">
        <f>IFERROR(__xludf.DUMMYFUNCTION("""COMPUTED_VALUE"""),45594.62777902778)</f>
        <v>45594.62778</v>
      </c>
      <c r="E671" s="13" t="str">
        <f>IFERROR(__xludf.DUMMYFUNCTION("""COMPUTED_VALUE"""),"PENGECEKAN")</f>
        <v>PENGECEKAN</v>
      </c>
      <c r="F671" s="13" t="str">
        <f>IFERROR(__xludf.DUMMYFUNCTION("""COMPUTED_VALUE"""),"MASDALENA/SUJONO PARYONO")</f>
        <v>MASDALENA/SUJONO PARYONO</v>
      </c>
      <c r="G671" s="13">
        <f t="shared" si="1"/>
        <v>603</v>
      </c>
      <c r="H671" s="13" t="str">
        <f>IFERROR(__xludf.DUMMYFUNCTION("""COMPUTED_VALUE"""),"P0")</f>
        <v>P0</v>
      </c>
    </row>
    <row r="672" ht="22.5" customHeight="1">
      <c r="B672" s="19" t="str">
        <f>IFERROR(__xludf.DUMMYFUNCTION("""COMPUTED_VALUE"""),"K/40/291024/2")</f>
        <v>K/40/291024/2</v>
      </c>
      <c r="C672" s="19" t="str">
        <f>IFERROR(__xludf.DUMMYFUNCTION("""COMPUTED_VALUE"""),"M.11470/KEDATON")</f>
        <v>M.11470/KEDATON</v>
      </c>
      <c r="D672" s="17">
        <f>IFERROR(__xludf.DUMMYFUNCTION("""COMPUTED_VALUE"""),45594.62843806713)</f>
        <v>45594.62844</v>
      </c>
      <c r="E672" s="13" t="str">
        <f>IFERROR(__xludf.DUMMYFUNCTION("""COMPUTED_VALUE"""),"PENGECEKAN")</f>
        <v>PENGECEKAN</v>
      </c>
      <c r="F672" s="13" t="str">
        <f>IFERROR(__xludf.DUMMYFUNCTION("""COMPUTED_VALUE"""),"MASDALENA/SUJONO PARYONO")</f>
        <v>MASDALENA/SUJONO PARYONO</v>
      </c>
      <c r="G672" s="13">
        <f t="shared" si="1"/>
        <v>604</v>
      </c>
      <c r="H672" s="13" t="str">
        <f>IFERROR(__xludf.DUMMYFUNCTION("""COMPUTED_VALUE"""),"P0")</f>
        <v>P0</v>
      </c>
    </row>
    <row r="673" ht="22.5" customHeight="1">
      <c r="B673" s="19" t="str">
        <f>IFERROR(__xludf.DUMMYFUNCTION("""COMPUTED_VALUE"""),"K/41/291024/3")</f>
        <v>K/41/291024/3</v>
      </c>
      <c r="C673" s="19" t="str">
        <f>IFERROR(__xludf.DUMMYFUNCTION("""COMPUTED_VALUE"""),"M.1321/SUSUNAN BARU")</f>
        <v>M.1321/SUSUNAN BARU</v>
      </c>
      <c r="D673" s="17">
        <f>IFERROR(__xludf.DUMMYFUNCTION("""COMPUTED_VALUE"""),45594.62915842593)</f>
        <v>45594.62916</v>
      </c>
      <c r="E673" s="13" t="str">
        <f>IFERROR(__xludf.DUMMYFUNCTION("""COMPUTED_VALUE"""),"PLOTING")</f>
        <v>PLOTING</v>
      </c>
      <c r="F673" s="13" t="str">
        <f>IFERROR(__xludf.DUMMYFUNCTION("""COMPUTED_VALUE"""),"SUDARYONO/SUJONO PARYONO")</f>
        <v>SUDARYONO/SUJONO PARYONO</v>
      </c>
      <c r="G673" s="13">
        <f t="shared" si="1"/>
        <v>605</v>
      </c>
      <c r="H673" s="13" t="str">
        <f>IFERROR(__xludf.DUMMYFUNCTION("""COMPUTED_VALUE"""),"P0")</f>
        <v>P0</v>
      </c>
    </row>
    <row r="674" ht="22.5" customHeight="1">
      <c r="B674" s="19" t="str">
        <f>IFERROR(__xludf.DUMMYFUNCTION("""COMPUTED_VALUE"""),"K/43/291024/1")</f>
        <v>K/43/291024/1</v>
      </c>
      <c r="C674" s="19" t="str">
        <f>IFERROR(__xludf.DUMMYFUNCTION("""COMPUTED_VALUE"""),"M. 6486/ Way Kandis")</f>
        <v>M. 6486/ Way Kandis</v>
      </c>
      <c r="D674" s="17">
        <f>IFERROR(__xludf.DUMMYFUNCTION("""COMPUTED_VALUE"""),45594.629639074075)</f>
        <v>45594.62964</v>
      </c>
      <c r="E674" s="13" t="str">
        <f>IFERROR(__xludf.DUMMYFUNCTION("""COMPUTED_VALUE"""),"BN Jual Beli")</f>
        <v>BN Jual Beli</v>
      </c>
      <c r="F674" s="13" t="str">
        <f>IFERROR(__xludf.DUMMYFUNCTION("""COMPUTED_VALUE"""),"nanik maryani/abdul mukti")</f>
        <v>nanik maryani/abdul mukti</v>
      </c>
      <c r="G674" s="13">
        <f t="shared" si="1"/>
        <v>606</v>
      </c>
      <c r="H674" s="13" t="str">
        <f>IFERROR(__xludf.DUMMYFUNCTION("""COMPUTED_VALUE"""),"P0")</f>
        <v>P0</v>
      </c>
    </row>
    <row r="675" ht="22.5" customHeight="1">
      <c r="B675" s="19" t="str">
        <f>IFERROR(__xludf.DUMMYFUNCTION("""COMPUTED_VALUE"""),"K/42/291024/4")</f>
        <v>K/42/291024/4</v>
      </c>
      <c r="C675" s="19" t="str">
        <f>IFERROR(__xludf.DUMMYFUNCTION("""COMPUTED_VALUE"""),"M.600/RAJABASA NUNYAI")</f>
        <v>M.600/RAJABASA NUNYAI</v>
      </c>
      <c r="D675" s="17">
        <f>IFERROR(__xludf.DUMMYFUNCTION("""COMPUTED_VALUE"""),45594.630032291665)</f>
        <v>45594.63003</v>
      </c>
      <c r="E675" s="13" t="str">
        <f>IFERROR(__xludf.DUMMYFUNCTION("""COMPUTED_VALUE"""),"BN LELANG")</f>
        <v>BN LELANG</v>
      </c>
      <c r="F675" s="13" t="str">
        <f>IFERROR(__xludf.DUMMYFUNCTION("""COMPUTED_VALUE"""),"JEPRI YANTO/SUJONO PARYONO")</f>
        <v>JEPRI YANTO/SUJONO PARYONO</v>
      </c>
      <c r="G675" s="13">
        <f t="shared" si="1"/>
        <v>607</v>
      </c>
      <c r="H675" s="13" t="str">
        <f>IFERROR(__xludf.DUMMYFUNCTION("""COMPUTED_VALUE"""),"P0")</f>
        <v>P0</v>
      </c>
    </row>
    <row r="676" ht="22.5" customHeight="1">
      <c r="B676" s="19" t="str">
        <f>IFERROR(__xludf.DUMMYFUNCTION("""COMPUTED_VALUE"""),"K/44/291024/1")</f>
        <v>K/44/291024/1</v>
      </c>
      <c r="C676" s="19" t="str">
        <f>IFERROR(__xludf.DUMMYFUNCTION("""COMPUTED_VALUE"""),"M.3081/BERINGIN RAYA-SEKARANG;B.139/SUMBER REJO-DAHULU")</f>
        <v>M.3081/BERINGIN RAYA-SEKARANG;B.139/SUMBER REJO-DAHULU</v>
      </c>
      <c r="D676" s="17">
        <f>IFERROR(__xludf.DUMMYFUNCTION("""COMPUTED_VALUE"""),45594.64388387732)</f>
        <v>45594.64388</v>
      </c>
      <c r="E676" s="13" t="str">
        <f>IFERROR(__xludf.DUMMYFUNCTION("""COMPUTED_VALUE"""),"PLOTING")</f>
        <v>PLOTING</v>
      </c>
      <c r="F676" s="13" t="str">
        <f>IFERROR(__xludf.DUMMYFUNCTION("""COMPUTED_VALUE"""),"YULINAR/ABDI HARI KURNIAWAN")</f>
        <v>YULINAR/ABDI HARI KURNIAWAN</v>
      </c>
      <c r="G676" s="13">
        <f t="shared" si="1"/>
        <v>608</v>
      </c>
      <c r="H676" s="13" t="str">
        <f>IFERROR(__xludf.DUMMYFUNCTION("""COMPUTED_VALUE"""),"P0")</f>
        <v>P0</v>
      </c>
    </row>
    <row r="677" ht="22.5" customHeight="1">
      <c r="B677" s="19" t="str">
        <f>IFERROR(__xludf.DUMMYFUNCTION("""COMPUTED_VALUE"""),"L/45/291024/1")</f>
        <v>L/45/291024/1</v>
      </c>
      <c r="C677" s="19" t="str">
        <f>IFERROR(__xludf.DUMMYFUNCTION("""COMPUTED_VALUE"""),"-")</f>
        <v>-</v>
      </c>
      <c r="D677" s="17">
        <f>IFERROR(__xludf.DUMMYFUNCTION("""COMPUTED_VALUE"""),45594.65174103009)</f>
        <v>45594.65174</v>
      </c>
      <c r="E677" s="13" t="str">
        <f>IFERROR(__xludf.DUMMYFUNCTION("""COMPUTED_VALUE"""),"ASPEK")</f>
        <v>ASPEK</v>
      </c>
      <c r="F677" s="13" t="str">
        <f>IFERROR(__xludf.DUMMYFUNCTION("""COMPUTED_VALUE"""),"M CHANDRA TASLI")</f>
        <v>M CHANDRA TASLI</v>
      </c>
      <c r="G677" s="13">
        <f t="shared" si="1"/>
        <v>608</v>
      </c>
      <c r="H677" s="13" t="str">
        <f>IFERROR(__xludf.DUMMYFUNCTION("""COMPUTED_VALUE"""),"P0")</f>
        <v>P0</v>
      </c>
    </row>
    <row r="678" ht="22.5" customHeight="1">
      <c r="B678" s="19" t="str">
        <f>IFERROR(__xludf.DUMMYFUNCTION("""COMPUTED_VALUE"""),"K/46/291024/1")</f>
        <v>K/46/291024/1</v>
      </c>
      <c r="C678" s="19" t="str">
        <f>IFERROR(__xludf.DUMMYFUNCTION("""COMPUTED_VALUE"""),"M. 1894/ Sukaraja")</f>
        <v>M. 1894/ Sukaraja</v>
      </c>
      <c r="D678" s="17">
        <f>IFERROR(__xludf.DUMMYFUNCTION("""COMPUTED_VALUE"""),45594.66186521991)</f>
        <v>45594.66187</v>
      </c>
      <c r="E678" s="13" t="str">
        <f>IFERROR(__xludf.DUMMYFUNCTION("""COMPUTED_VALUE"""),"BN JUAL BELI")</f>
        <v>BN JUAL BELI</v>
      </c>
      <c r="F678" s="13" t="str">
        <f>IFERROR(__xludf.DUMMYFUNCTION("""COMPUTED_VALUE"""),"ALI SAPTO/ RIKA WISANGRATRI")</f>
        <v>ALI SAPTO/ RIKA WISANGRATRI</v>
      </c>
      <c r="G678" s="13">
        <f t="shared" si="1"/>
        <v>609</v>
      </c>
      <c r="H678" s="13" t="str">
        <f>IFERROR(__xludf.DUMMYFUNCTION("""COMPUTED_VALUE"""),"P0")</f>
        <v>P0</v>
      </c>
    </row>
    <row r="679" ht="22.5" customHeight="1">
      <c r="B679" s="19" t="str">
        <f>IFERROR(__xludf.DUMMYFUNCTION("""COMPUTED_VALUE"""),"K/47/291024/2")</f>
        <v>K/47/291024/2</v>
      </c>
      <c r="C679" s="19" t="str">
        <f>IFERROR(__xludf.DUMMYFUNCTION("""COMPUTED_VALUE"""),"Nibel 2137/ Telukbetung")</f>
        <v>Nibel 2137/ Telukbetung</v>
      </c>
      <c r="D679" s="17">
        <f>IFERROR(__xludf.DUMMYFUNCTION("""COMPUTED_VALUE"""),45594.6650037037)</f>
        <v>45594.665</v>
      </c>
      <c r="E679" s="13" t="str">
        <f>IFERROR(__xludf.DUMMYFUNCTION("""COMPUTED_VALUE"""),"BN JUAL BELI")</f>
        <v>BN JUAL BELI</v>
      </c>
      <c r="F679" s="13" t="str">
        <f>IFERROR(__xludf.DUMMYFUNCTION("""COMPUTED_VALUE"""),"ALI SAPTO/ RIKA")</f>
        <v>ALI SAPTO/ RIKA</v>
      </c>
      <c r="G679" s="13">
        <f t="shared" si="1"/>
        <v>610</v>
      </c>
      <c r="H679" s="13" t="str">
        <f>IFERROR(__xludf.DUMMYFUNCTION("""COMPUTED_VALUE"""),"P0")</f>
        <v>P0</v>
      </c>
    </row>
    <row r="680" ht="22.5" customHeight="1">
      <c r="B680" s="19" t="str">
        <f>IFERROR(__xludf.DUMMYFUNCTION("""COMPUTED_VALUE"""),"L/48/291024/1")</f>
        <v>L/48/291024/1</v>
      </c>
      <c r="C680" s="19" t="str">
        <f>IFERROR(__xludf.DUMMYFUNCTION("""COMPUTED_VALUE"""),"HM 2643/GUNUNG TERANG")</f>
        <v>HM 2643/GUNUNG TERANG</v>
      </c>
      <c r="D680" s="17">
        <f>IFERROR(__xludf.DUMMYFUNCTION("""COMPUTED_VALUE"""),45594.66518660879)</f>
        <v>45594.66519</v>
      </c>
      <c r="E680" s="13" t="str">
        <f>IFERROR(__xludf.DUMMYFUNCTION("""COMPUTED_VALUE"""),"ROYA")</f>
        <v>ROYA</v>
      </c>
      <c r="F680" s="13" t="str">
        <f>IFERROR(__xludf.DUMMYFUNCTION("""COMPUTED_VALUE"""),"ARIF BUDIYANTO (PERMOHONAN TGL 28 BLM INPUT KODE TIKET)")</f>
        <v>ARIF BUDIYANTO (PERMOHONAN TGL 28 BLM INPUT KODE TIKET)</v>
      </c>
      <c r="G680" s="13">
        <f t="shared" si="1"/>
        <v>611</v>
      </c>
      <c r="H680" s="13" t="str">
        <f>IFERROR(__xludf.DUMMYFUNCTION("""COMPUTED_VALUE"""),"P0")</f>
        <v>P0</v>
      </c>
    </row>
    <row r="681" ht="22.5" customHeight="1">
      <c r="B681" s="19" t="str">
        <f>IFERROR(__xludf.DUMMYFUNCTION("""COMPUTED_VALUE"""),"K/5/231024/1")</f>
        <v>K/5/231024/1</v>
      </c>
      <c r="C681" s="19" t="str">
        <f>IFERROR(__xludf.DUMMYFUNCTION("""COMPUTED_VALUE"""),"M. 1046/ Kupang Teba")</f>
        <v>M. 1046/ Kupang Teba</v>
      </c>
      <c r="D681" s="17">
        <f>IFERROR(__xludf.DUMMYFUNCTION("""COMPUTED_VALUE"""),45595.360875983795)</f>
        <v>45595.36088</v>
      </c>
      <c r="E681" s="13" t="str">
        <f>IFERROR(__xludf.DUMMYFUNCTION("""COMPUTED_VALUE"""),"ROYA")</f>
        <v>ROYA</v>
      </c>
      <c r="F681" s="13" t="str">
        <f>IFERROR(__xludf.DUMMYFUNCTION("""COMPUTED_VALUE"""),"BAMBANG ABIYONO/ NURHAYATI")</f>
        <v>BAMBANG ABIYONO/ NURHAYATI</v>
      </c>
      <c r="G681" s="13">
        <f t="shared" si="1"/>
        <v>611</v>
      </c>
      <c r="H681" s="13" t="str">
        <f>IFERROR(__xludf.DUMMYFUNCTION("""COMPUTED_VALUE"""),"P1")</f>
        <v>P1</v>
      </c>
    </row>
    <row r="682" ht="22.5" customHeight="1">
      <c r="B682" s="19" t="str">
        <f>IFERROR(__xludf.DUMMYFUNCTION("""COMPUTED_VALUE""")," K/32/241024/1")</f>
        <v> K/32/241024/1</v>
      </c>
      <c r="C682" s="19" t="str">
        <f>IFERROR(__xludf.DUMMYFUNCTION("""COMPUTED_VALUE"""),"M. 1120/ Sukajawa")</f>
        <v>M. 1120/ Sukajawa</v>
      </c>
      <c r="D682" s="17">
        <f>IFERROR(__xludf.DUMMYFUNCTION("""COMPUTED_VALUE"""),45595.36184224537)</f>
        <v>45595.36184</v>
      </c>
      <c r="E682" s="13" t="str">
        <f>IFERROR(__xludf.DUMMYFUNCTION("""COMPUTED_VALUE"""),"ROYA")</f>
        <v>ROYA</v>
      </c>
      <c r="F682" s="13" t="str">
        <f>IFERROR(__xludf.DUMMYFUNCTION("""COMPUTED_VALUE"""),"HARIYO WIDODO/SARNO")</f>
        <v>HARIYO WIDODO/SARNO</v>
      </c>
      <c r="G682" s="13">
        <f t="shared" si="1"/>
        <v>611</v>
      </c>
      <c r="H682" s="13" t="str">
        <f>IFERROR(__xludf.DUMMYFUNCTION("""COMPUTED_VALUE"""),"P1")</f>
        <v>P1</v>
      </c>
    </row>
    <row r="683" ht="22.5" customHeight="1">
      <c r="B683" s="19" t="str">
        <f>IFERROR(__xludf.DUMMYFUNCTION("""COMPUTED_VALUE"""),"K/8/251024/1")</f>
        <v>K/8/251024/1</v>
      </c>
      <c r="C683" s="19" t="str">
        <f>IFERROR(__xludf.DUMMYFUNCTION("""COMPUTED_VALUE"""),"M. 13993,13992/ Sukarame I")</f>
        <v>M. 13993,13992/ Sukarame I</v>
      </c>
      <c r="D683" s="17">
        <f>IFERROR(__xludf.DUMMYFUNCTION("""COMPUTED_VALUE"""),45595.36268626158)</f>
        <v>45595.36269</v>
      </c>
      <c r="E683" s="13" t="str">
        <f>IFERROR(__xludf.DUMMYFUNCTION("""COMPUTED_VALUE"""),"ROYA")</f>
        <v>ROYA</v>
      </c>
      <c r="F683" s="13" t="str">
        <f>IFERROR(__xludf.DUMMYFUNCTION("""COMPUTED_VALUE"""),"NURYATI/ CHRISTINA")</f>
        <v>NURYATI/ CHRISTINA</v>
      </c>
      <c r="G683" s="13">
        <f t="shared" si="1"/>
        <v>611</v>
      </c>
      <c r="H683" s="13" t="str">
        <f>IFERROR(__xludf.DUMMYFUNCTION("""COMPUTED_VALUE"""),"P1")</f>
        <v>P1</v>
      </c>
    </row>
    <row r="684" ht="22.5" customHeight="1">
      <c r="B684" s="19" t="str">
        <f>IFERROR(__xludf.DUMMYFUNCTION("""COMPUTED_VALUE"""),"K/35/221024/1")</f>
        <v>K/35/221024/1</v>
      </c>
      <c r="C684" s="19" t="str">
        <f>IFERROR(__xludf.DUMMYFUNCTION("""COMPUTED_VALUE"""),"M. 10040/ Segala Mider")</f>
        <v>M. 10040/ Segala Mider</v>
      </c>
      <c r="D684" s="17">
        <f>IFERROR(__xludf.DUMMYFUNCTION("""COMPUTED_VALUE"""),45595.36339344908)</f>
        <v>45595.36339</v>
      </c>
      <c r="E684" s="13" t="str">
        <f>IFERROR(__xludf.DUMMYFUNCTION("""COMPUTED_VALUE"""),"PTPGT Pemecahan")</f>
        <v>PTPGT Pemecahan</v>
      </c>
      <c r="F684" s="13" t="str">
        <f>IFERROR(__xludf.DUMMYFUNCTION("""COMPUTED_VALUE"""),"Afrikianza arla u/ Suntoro")</f>
        <v>Afrikianza arla u/ Suntoro</v>
      </c>
      <c r="G684" s="13">
        <f t="shared" si="1"/>
        <v>611</v>
      </c>
      <c r="H684" s="13" t="str">
        <f>IFERROR(__xludf.DUMMYFUNCTION("""COMPUTED_VALUE"""),"P1")</f>
        <v>P1</v>
      </c>
    </row>
    <row r="685" ht="22.5" customHeight="1">
      <c r="B685" s="19" t="str">
        <f>IFERROR(__xludf.DUMMYFUNCTION("""COMPUTED_VALUE"""),"L/1/301024/1")</f>
        <v>L/1/301024/1</v>
      </c>
      <c r="C685" s="19" t="str">
        <f>IFERROR(__xludf.DUMMYFUNCTION("""COMPUTED_VALUE"""),"HM 2509/WAY KANDIS")</f>
        <v>HM 2509/WAY KANDIS</v>
      </c>
      <c r="D685" s="17">
        <f>IFERROR(__xludf.DUMMYFUNCTION("""COMPUTED_VALUE"""),45595.37981791666)</f>
        <v>45595.37982</v>
      </c>
      <c r="E685" s="13" t="str">
        <f>IFERROR(__xludf.DUMMYFUNCTION("""COMPUTED_VALUE"""),"ROYA")</f>
        <v>ROYA</v>
      </c>
      <c r="F685" s="13" t="str">
        <f>IFERROR(__xludf.DUMMYFUNCTION("""COMPUTED_VALUE"""),"SUKANTO")</f>
        <v>SUKANTO</v>
      </c>
      <c r="G685" s="13">
        <f t="shared" si="1"/>
        <v>612</v>
      </c>
      <c r="H685" s="13" t="str">
        <f>IFERROR(__xludf.DUMMYFUNCTION("""COMPUTED_VALUE"""),"P0")</f>
        <v>P0</v>
      </c>
    </row>
    <row r="686" ht="22.5" customHeight="1">
      <c r="B686" s="19" t="str">
        <f>IFERROR(__xludf.DUMMYFUNCTION("""COMPUTED_VALUE"""),"L/1/301024/2")</f>
        <v>L/1/301024/2</v>
      </c>
      <c r="C686" s="19" t="str">
        <f>IFERROR(__xludf.DUMMYFUNCTION("""COMPUTED_VALUE"""),"HM 2000/WAY KANDIS")</f>
        <v>HM 2000/WAY KANDIS</v>
      </c>
      <c r="D686" s="17">
        <f>IFERROR(__xludf.DUMMYFUNCTION("""COMPUTED_VALUE"""),45595.38105570602)</f>
        <v>45595.38106</v>
      </c>
      <c r="E686" s="13" t="str">
        <f>IFERROR(__xludf.DUMMYFUNCTION("""COMPUTED_VALUE"""),"ROYA")</f>
        <v>ROYA</v>
      </c>
      <c r="F686" s="13" t="str">
        <f>IFERROR(__xludf.DUMMYFUNCTION("""COMPUTED_VALUE"""),"SUKANTO")</f>
        <v>SUKANTO</v>
      </c>
      <c r="G686" s="13">
        <f t="shared" si="1"/>
        <v>613</v>
      </c>
      <c r="H686" s="13" t="str">
        <f>IFERROR(__xludf.DUMMYFUNCTION("""COMPUTED_VALUE"""),"P0")</f>
        <v>P0</v>
      </c>
    </row>
    <row r="687" ht="22.5" customHeight="1">
      <c r="B687" s="19" t="str">
        <f>IFERROR(__xludf.DUMMYFUNCTION("""COMPUTED_VALUE"""),"K/50/241024/3")</f>
        <v>K/50/241024/3</v>
      </c>
      <c r="C687" s="19" t="str">
        <f>IFERROR(__xludf.DUMMYFUNCTION("""COMPUTED_VALUE"""),"Nibel 923/ Rajabasa Raya")</f>
        <v>Nibel 923/ Rajabasa Raya</v>
      </c>
      <c r="D687" s="17">
        <f>IFERROR(__xludf.DUMMYFUNCTION("""COMPUTED_VALUE"""),45595.395438796295)</f>
        <v>45595.39544</v>
      </c>
      <c r="E687" s="13" t="str">
        <f>IFERROR(__xludf.DUMMYFUNCTION("""COMPUTED_VALUE"""),"BN JUAL BELI")</f>
        <v>BN JUAL BELI</v>
      </c>
      <c r="F687" s="13" t="str">
        <f>IFERROR(__xludf.DUMMYFUNCTION("""COMPUTED_VALUE"""),"Nanik Maryani")</f>
        <v>Nanik Maryani</v>
      </c>
      <c r="G687" s="13">
        <f t="shared" si="1"/>
        <v>614</v>
      </c>
      <c r="H687" s="13" t="str">
        <f>IFERROR(__xludf.DUMMYFUNCTION("""COMPUTED_VALUE"""),"P0")</f>
        <v>P0</v>
      </c>
    </row>
    <row r="688" ht="22.5" customHeight="1">
      <c r="B688" s="19" t="str">
        <f>IFERROR(__xludf.DUMMYFUNCTION("""COMPUTED_VALUE"""),"K/2/301024/1")</f>
        <v>K/2/301024/1</v>
      </c>
      <c r="C688" s="19" t="str">
        <f>IFERROR(__xludf.DUMMYFUNCTION("""COMPUTED_VALUE"""),"M. 2375/ Kedaung")</f>
        <v>M. 2375/ Kedaung</v>
      </c>
      <c r="D688" s="17">
        <f>IFERROR(__xludf.DUMMYFUNCTION("""COMPUTED_VALUE"""),45595.400421701386)</f>
        <v>45595.40042</v>
      </c>
      <c r="E688" s="13" t="str">
        <f>IFERROR(__xludf.DUMMYFUNCTION("""COMPUTED_VALUE"""),"BN JUAL BELI")</f>
        <v>BN JUAL BELI</v>
      </c>
      <c r="F688" s="13" t="str">
        <f>IFERROR(__xludf.DUMMYFUNCTION("""COMPUTED_VALUE"""),"NANIK MARYANI/ PUNGKY")</f>
        <v>NANIK MARYANI/ PUNGKY</v>
      </c>
      <c r="G688" s="13">
        <f t="shared" si="1"/>
        <v>615</v>
      </c>
      <c r="H688" s="13" t="str">
        <f>IFERROR(__xludf.DUMMYFUNCTION("""COMPUTED_VALUE"""),"P0")</f>
        <v>P0</v>
      </c>
    </row>
    <row r="689" ht="22.5" customHeight="1">
      <c r="B689" s="19" t="str">
        <f>IFERROR(__xludf.DUMMYFUNCTION("""COMPUTED_VALUE"""),"K/3/301024/2")</f>
        <v>K/3/301024/2</v>
      </c>
      <c r="C689" s="19" t="str">
        <f>IFERROR(__xludf.DUMMYFUNCTION("""COMPUTED_VALUE"""),"M. 2398/ Kedaung")</f>
        <v>M. 2398/ Kedaung</v>
      </c>
      <c r="D689" s="17">
        <f>IFERROR(__xludf.DUMMYFUNCTION("""COMPUTED_VALUE"""),45595.402377743056)</f>
        <v>45595.40238</v>
      </c>
      <c r="E689" s="13" t="str">
        <f>IFERROR(__xludf.DUMMYFUNCTION("""COMPUTED_VALUE"""),"bn jual beli")</f>
        <v>bn jual beli</v>
      </c>
      <c r="F689" s="13" t="str">
        <f>IFERROR(__xludf.DUMMYFUNCTION("""COMPUTED_VALUE"""),"nanik maryani/ rusnadi")</f>
        <v>nanik maryani/ rusnadi</v>
      </c>
      <c r="G689" s="13">
        <f t="shared" si="1"/>
        <v>616</v>
      </c>
      <c r="H689" s="13" t="str">
        <f>IFERROR(__xludf.DUMMYFUNCTION("""COMPUTED_VALUE"""),"P0")</f>
        <v>P0</v>
      </c>
    </row>
    <row r="690" ht="22.5" customHeight="1">
      <c r="B690" s="19" t="str">
        <f>IFERROR(__xludf.DUMMYFUNCTION("""COMPUTED_VALUE"""),"K/4/301024/3")</f>
        <v>K/4/301024/3</v>
      </c>
      <c r="C690" s="19" t="str">
        <f>IFERROR(__xludf.DUMMYFUNCTION("""COMPUTED_VALUE"""),"M. 2390/ Kedaung")</f>
        <v>M. 2390/ Kedaung</v>
      </c>
      <c r="D690" s="17">
        <f>IFERROR(__xludf.DUMMYFUNCTION("""COMPUTED_VALUE"""),45595.40356197917)</f>
        <v>45595.40356</v>
      </c>
      <c r="E690" s="13" t="str">
        <f>IFERROR(__xludf.DUMMYFUNCTION("""COMPUTED_VALUE"""),"BN JUAL BELI")</f>
        <v>BN JUAL BELI</v>
      </c>
      <c r="F690" s="13" t="str">
        <f>IFERROR(__xludf.DUMMYFUNCTION("""COMPUTED_VALUE"""),"NANIK MARYANI/ NENG TIARA")</f>
        <v>NANIK MARYANI/ NENG TIARA</v>
      </c>
      <c r="G690" s="13">
        <f t="shared" si="1"/>
        <v>617</v>
      </c>
      <c r="H690" s="13" t="str">
        <f>IFERROR(__xludf.DUMMYFUNCTION("""COMPUTED_VALUE"""),"P0")</f>
        <v>P0</v>
      </c>
    </row>
    <row r="691" ht="22.5" customHeight="1">
      <c r="B691" s="19" t="str">
        <f>IFERROR(__xludf.DUMMYFUNCTION("""COMPUTED_VALUE"""),"K/5/301024/4")</f>
        <v>K/5/301024/4</v>
      </c>
      <c r="C691" s="19" t="str">
        <f>IFERROR(__xludf.DUMMYFUNCTION("""COMPUTED_VALUE"""),"M. 17942/ Sukarame")</f>
        <v>M. 17942/ Sukarame</v>
      </c>
      <c r="D691" s="17">
        <f>IFERROR(__xludf.DUMMYFUNCTION("""COMPUTED_VALUE"""),45595.408617395835)</f>
        <v>45595.40862</v>
      </c>
      <c r="E691" s="13" t="str">
        <f>IFERROR(__xludf.DUMMYFUNCTION("""COMPUTED_VALUE"""),"BN JUAL BELI")</f>
        <v>BN JUAL BELI</v>
      </c>
      <c r="F691" s="13" t="str">
        <f>IFERROR(__xludf.DUMMYFUNCTION("""COMPUTED_VALUE"""),"nanik maryan/agnes")</f>
        <v>nanik maryan/agnes</v>
      </c>
      <c r="G691" s="13">
        <f t="shared" si="1"/>
        <v>618</v>
      </c>
      <c r="H691" s="13" t="str">
        <f>IFERROR(__xludf.DUMMYFUNCTION("""COMPUTED_VALUE"""),"P0")</f>
        <v>P0</v>
      </c>
    </row>
    <row r="692" ht="22.5" customHeight="1">
      <c r="B692" s="19" t="str">
        <f>IFERROR(__xludf.DUMMYFUNCTION("""COMPUTED_VALUE"""),"K/14/221024/2")</f>
        <v>K/14/221024/2</v>
      </c>
      <c r="C692" s="19" t="str">
        <f>IFERROR(__xludf.DUMMYFUNCTION("""COMPUTED_VALUE"""),"M. 3903/ Way Kandis	")</f>
        <v>M. 3903/ Way Kandis	</v>
      </c>
      <c r="D692" s="17">
        <f>IFERROR(__xludf.DUMMYFUNCTION("""COMPUTED_VALUE"""),45595.41696693287)</f>
        <v>45595.41697</v>
      </c>
      <c r="E692" s="13" t="str">
        <f>IFERROR(__xludf.DUMMYFUNCTION("""COMPUTED_VALUE"""),"Nanik Maryani/ Hilda S Cs")</f>
        <v>Nanik Maryani/ Hilda S Cs</v>
      </c>
      <c r="F692" s="13" t="str">
        <f>IFERROR(__xludf.DUMMYFUNCTION("""COMPUTED_VALUE"""),"BN Waris")</f>
        <v>BN Waris</v>
      </c>
      <c r="G692" s="13">
        <f t="shared" si="1"/>
        <v>618</v>
      </c>
      <c r="H692" s="13" t="str">
        <f>IFERROR(__xludf.DUMMYFUNCTION("""COMPUTED_VALUE"""),"P1")</f>
        <v>P1</v>
      </c>
    </row>
    <row r="693" ht="22.5" customHeight="1">
      <c r="B693" s="19" t="str">
        <f>IFERROR(__xludf.DUMMYFUNCTION("""COMPUTED_VALUE"""),"L/6/301024/1")</f>
        <v>L/6/301024/1</v>
      </c>
      <c r="C693" s="19" t="str">
        <f>IFERROR(__xludf.DUMMYFUNCTION("""COMPUTED_VALUE"""),"M.217/TJ RAYA")</f>
        <v>M.217/TJ RAYA</v>
      </c>
      <c r="D693" s="17">
        <f>IFERROR(__xludf.DUMMYFUNCTION("""COMPUTED_VALUE"""),45595.41966703704)</f>
        <v>45595.41967</v>
      </c>
      <c r="E693" s="13" t="str">
        <f>IFERROR(__xludf.DUMMYFUNCTION("""COMPUTED_VALUE"""),"ROYA")</f>
        <v>ROYA</v>
      </c>
      <c r="F693" s="13" t="str">
        <f>IFERROR(__xludf.DUMMYFUNCTION("""COMPUTED_VALUE"""),"HENNY CHRISTYANTI MD")</f>
        <v>HENNY CHRISTYANTI MD</v>
      </c>
      <c r="G693" s="13">
        <f t="shared" si="1"/>
        <v>619</v>
      </c>
      <c r="H693" s="13" t="str">
        <f>IFERROR(__xludf.DUMMYFUNCTION("""COMPUTED_VALUE"""),"P0")</f>
        <v>P0</v>
      </c>
    </row>
    <row r="694" ht="22.5" customHeight="1">
      <c r="B694" s="19" t="str">
        <f>IFERROR(__xludf.DUMMYFUNCTION("""COMPUTED_VALUE"""),"K/7/301024/1")</f>
        <v>K/7/301024/1</v>
      </c>
      <c r="C694" s="19" t="str">
        <f>IFERROR(__xludf.DUMMYFUNCTION("""COMPUTED_VALUE"""),"M. 17182/ Sukarame; B. 1230/ Sukarame-dahulu")</f>
        <v>M. 17182/ Sukarame; B. 1230/ Sukarame-dahulu</v>
      </c>
      <c r="D694" s="17">
        <f>IFERROR(__xludf.DUMMYFUNCTION("""COMPUTED_VALUE"""),45595.43144886574)</f>
        <v>45595.43145</v>
      </c>
      <c r="E694" s="13" t="str">
        <f>IFERROR(__xludf.DUMMYFUNCTION("""COMPUTED_VALUE"""),"Gandes")</f>
        <v>Gandes</v>
      </c>
      <c r="F694" s="13" t="str">
        <f>IFERROR(__xludf.DUMMYFUNCTION("""COMPUTED_VALUE"""),"Ismarina/ Dikdo W")</f>
        <v>Ismarina/ Dikdo W</v>
      </c>
      <c r="G694" s="13">
        <f t="shared" si="1"/>
        <v>620</v>
      </c>
      <c r="H694" s="13" t="str">
        <f>IFERROR(__xludf.DUMMYFUNCTION("""COMPUTED_VALUE"""),"P0")</f>
        <v>P0</v>
      </c>
    </row>
    <row r="695" ht="22.5" customHeight="1">
      <c r="B695" s="19" t="str">
        <f>IFERROR(__xludf.DUMMYFUNCTION("""COMPUTED_VALUE"""),"K/26/231024/2")</f>
        <v>K/26/231024/2</v>
      </c>
      <c r="C695" s="19" t="str">
        <f>IFERROR(__xludf.DUMMYFUNCTION("""COMPUTED_VALUE"""),"Nibel 2486/ Sumur Putri")</f>
        <v>Nibel 2486/ Sumur Putri</v>
      </c>
      <c r="D695" s="17">
        <f>IFERROR(__xludf.DUMMYFUNCTION("""COMPUTED_VALUE"""),45595.442708518516)</f>
        <v>45595.44271</v>
      </c>
      <c r="E695" s="13" t="str">
        <f>IFERROR(__xludf.DUMMYFUNCTION("""COMPUTED_VALUE"""),"Perubahan Hak")</f>
        <v>Perubahan Hak</v>
      </c>
      <c r="F695" s="13" t="str">
        <f>IFERROR(__xludf.DUMMYFUNCTION("""COMPUTED_VALUE"""),"Nanik Maryani")</f>
        <v>Nanik Maryani</v>
      </c>
      <c r="G695" s="13">
        <f t="shared" si="1"/>
        <v>620</v>
      </c>
      <c r="H695" s="13" t="str">
        <f>IFERROR(__xludf.DUMMYFUNCTION("""COMPUTED_VALUE"""),"P1")</f>
        <v>P1</v>
      </c>
    </row>
    <row r="696" ht="22.5" customHeight="1">
      <c r="B696" s="19" t="str">
        <f>IFERROR(__xludf.DUMMYFUNCTION("""COMPUTED_VALUE"""),"K/9/301024/1")</f>
        <v>K/9/301024/1</v>
      </c>
      <c r="C696" s="19" t="str">
        <f>IFERROR(__xludf.DUMMYFUNCTION("""COMPUTED_VALUE"""),"M. 18827/ Sukarame")</f>
        <v>M. 18827/ Sukarame</v>
      </c>
      <c r="D696" s="17">
        <f>IFERROR(__xludf.DUMMYFUNCTION("""COMPUTED_VALUE"""),45595.44309075232)</f>
        <v>45595.44309</v>
      </c>
      <c r="E696" s="13" t="str">
        <f>IFERROR(__xludf.DUMMYFUNCTION("""COMPUTED_VALUE"""),"BN Jual Beli")</f>
        <v>BN Jual Beli</v>
      </c>
      <c r="F696" s="13" t="str">
        <f>IFERROR(__xludf.DUMMYFUNCTION("""COMPUTED_VALUE"""),"Evi Udin/ Valeri A W")</f>
        <v>Evi Udin/ Valeri A W</v>
      </c>
      <c r="G696" s="13">
        <f t="shared" si="1"/>
        <v>621</v>
      </c>
      <c r="H696" s="13" t="str">
        <f>IFERROR(__xludf.DUMMYFUNCTION("""COMPUTED_VALUE"""),"P0")</f>
        <v>P0</v>
      </c>
    </row>
    <row r="697" ht="22.5" customHeight="1">
      <c r="B697" s="19" t="str">
        <f>IFERROR(__xludf.DUMMYFUNCTION("""COMPUTED_VALUE"""),"K/3/231024/1")</f>
        <v>K/3/231024/1</v>
      </c>
      <c r="C697" s="19" t="str">
        <f>IFERROR(__xludf.DUMMYFUNCTION("""COMPUTED_VALUE"""),"M. 1186/ Telukbetung")</f>
        <v>M. 1186/ Telukbetung</v>
      </c>
      <c r="D697" s="17">
        <f>IFERROR(__xludf.DUMMYFUNCTION("""COMPUTED_VALUE"""),45595.44421052083)</f>
        <v>45595.44421</v>
      </c>
      <c r="E697" s="13" t="str">
        <f>IFERROR(__xludf.DUMMYFUNCTION("""COMPUTED_VALUE"""),"BN Hibah")</f>
        <v>BN Hibah</v>
      </c>
      <c r="F697" s="13" t="str">
        <f>IFERROR(__xludf.DUMMYFUNCTION("""COMPUTED_VALUE"""),"Anna P")</f>
        <v>Anna P</v>
      </c>
      <c r="G697" s="13">
        <f t="shared" si="1"/>
        <v>621</v>
      </c>
      <c r="H697" s="13" t="str">
        <f>IFERROR(__xludf.DUMMYFUNCTION("""COMPUTED_VALUE"""),"P1")</f>
        <v>P1</v>
      </c>
    </row>
    <row r="698" ht="22.5" customHeight="1">
      <c r="B698" s="19" t="str">
        <f>IFERROR(__xludf.DUMMYFUNCTION("""COMPUTED_VALUE"""),"K/8/301024/1")</f>
        <v>K/8/301024/1</v>
      </c>
      <c r="C698" s="19" t="str">
        <f>IFERROR(__xludf.DUMMYFUNCTION("""COMPUTED_VALUE"""),"M.1814/RAJABASA NUNYAI")</f>
        <v>M.1814/RAJABASA NUNYAI</v>
      </c>
      <c r="D698" s="17">
        <f>IFERROR(__xludf.DUMMYFUNCTION("""COMPUTED_VALUE"""),45595.44814403935)</f>
        <v>45595.44814</v>
      </c>
      <c r="E698" s="13" t="str">
        <f>IFERROR(__xludf.DUMMYFUNCTION("""COMPUTED_VALUE"""),"BN JUAL BELI")</f>
        <v>BN JUAL BELI</v>
      </c>
      <c r="F698" s="13" t="str">
        <f>IFERROR(__xludf.DUMMYFUNCTION("""COMPUTED_VALUE"""),"SUHENDAR ZUBER/TRIADI KURNIAWAN")</f>
        <v>SUHENDAR ZUBER/TRIADI KURNIAWAN</v>
      </c>
      <c r="G698" s="13">
        <f t="shared" si="1"/>
        <v>622</v>
      </c>
      <c r="H698" s="13" t="str">
        <f>IFERROR(__xludf.DUMMYFUNCTION("""COMPUTED_VALUE"""),"P0")</f>
        <v>P0</v>
      </c>
    </row>
    <row r="699" ht="22.5" customHeight="1">
      <c r="B699" s="19" t="str">
        <f>IFERROR(__xludf.DUMMYFUNCTION("""COMPUTED_VALUE"""),"K/10/301024/1")</f>
        <v>K/10/301024/1</v>
      </c>
      <c r="C699" s="19" t="str">
        <f>IFERROR(__xludf.DUMMYFUNCTION("""COMPUTED_VALUE"""),"M.220/BATU PUTU")</f>
        <v>M.220/BATU PUTU</v>
      </c>
      <c r="D699" s="17">
        <f>IFERROR(__xludf.DUMMYFUNCTION("""COMPUTED_VALUE"""),45595.448890775464)</f>
        <v>45595.44889</v>
      </c>
      <c r="E699" s="13" t="str">
        <f>IFERROR(__xludf.DUMMYFUNCTION("""COMPUTED_VALUE"""),"PLOTING")</f>
        <v>PLOTING</v>
      </c>
      <c r="F699" s="13" t="str">
        <f>IFERROR(__xludf.DUMMYFUNCTION("""COMPUTED_VALUE"""),"FRANCO LUCAS/HERA AGUSTIANTI PUTRI")</f>
        <v>FRANCO LUCAS/HERA AGUSTIANTI PUTRI</v>
      </c>
      <c r="G699" s="13">
        <f t="shared" si="1"/>
        <v>623</v>
      </c>
      <c r="H699" s="13" t="str">
        <f>IFERROR(__xludf.DUMMYFUNCTION("""COMPUTED_VALUE"""),"P0")</f>
        <v>P0</v>
      </c>
    </row>
    <row r="700" ht="22.5" customHeight="1">
      <c r="B700" s="19" t="str">
        <f>IFERROR(__xludf.DUMMYFUNCTION("""COMPUTED_VALUE"""),"K/46/181024/2")</f>
        <v>K/46/181024/2</v>
      </c>
      <c r="C700" s="19" t="str">
        <f>IFERROR(__xludf.DUMMYFUNCTION("""COMPUTED_VALUE"""),"M.598/GUNUNG TERANG")</f>
        <v>M.598/GUNUNG TERANG</v>
      </c>
      <c r="D700" s="17">
        <f>IFERROR(__xludf.DUMMYFUNCTION("""COMPUTED_VALUE"""),45595.453191759254)</f>
        <v>45595.45319</v>
      </c>
      <c r="E700" s="13" t="str">
        <f>IFERROR(__xludf.DUMMYFUNCTION("""COMPUTED_VALUE"""),"KEWARISAN")</f>
        <v>KEWARISAN</v>
      </c>
      <c r="F700" s="13" t="str">
        <f>IFERROR(__xludf.DUMMYFUNCTION("""COMPUTED_VALUE"""),"SRI ELFINA PUJIATI/ANDRI NOVIAR")</f>
        <v>SRI ELFINA PUJIATI/ANDRI NOVIAR</v>
      </c>
      <c r="G700" s="13">
        <f t="shared" si="1"/>
        <v>623</v>
      </c>
      <c r="H700" s="13" t="str">
        <f>IFERROR(__xludf.DUMMYFUNCTION("""COMPUTED_VALUE"""),"P1")</f>
        <v>P1</v>
      </c>
    </row>
    <row r="701" ht="22.5" customHeight="1">
      <c r="B701" s="19" t="str">
        <f>IFERROR(__xludf.DUMMYFUNCTION("""COMPUTED_VALUE"""),"K/47/181024/3")</f>
        <v>K/47/181024/3</v>
      </c>
      <c r="C701" s="19" t="str">
        <f>IFERROR(__xludf.DUMMYFUNCTION("""COMPUTED_VALUE"""),"M.1297/GUNUNG TERANG")</f>
        <v>M.1297/GUNUNG TERANG</v>
      </c>
      <c r="D701" s="17">
        <f>IFERROR(__xludf.DUMMYFUNCTION("""COMPUTED_VALUE"""),45595.45459141204)</f>
        <v>45595.45459</v>
      </c>
      <c r="E701" s="13" t="str">
        <f>IFERROR(__xludf.DUMMYFUNCTION("""COMPUTED_VALUE"""),"KEWARISAN")</f>
        <v>KEWARISAN</v>
      </c>
      <c r="F701" s="13" t="str">
        <f>IFERROR(__xludf.DUMMYFUNCTION("""COMPUTED_VALUE"""),"SRI RAHAYU/ANDRI NOVIAR")</f>
        <v>SRI RAHAYU/ANDRI NOVIAR</v>
      </c>
      <c r="G701" s="13">
        <f t="shared" si="1"/>
        <v>623</v>
      </c>
      <c r="H701" s="13" t="str">
        <f>IFERROR(__xludf.DUMMYFUNCTION("""COMPUTED_VALUE"""),"P1")</f>
        <v>P1</v>
      </c>
    </row>
    <row r="702" ht="22.5" customHeight="1">
      <c r="B702" s="19" t="str">
        <f>IFERROR(__xludf.DUMMYFUNCTION("""COMPUTED_VALUE"""),"L/11/301024/1")</f>
        <v>L/11/301024/1</v>
      </c>
      <c r="C702" s="19" t="str">
        <f>IFERROR(__xludf.DUMMYFUNCTION("""COMPUTED_VALUE"""),"HGB 1677/SUKARAME I")</f>
        <v>HGB 1677/SUKARAME I</v>
      </c>
      <c r="D702" s="17">
        <f>IFERROR(__xludf.DUMMYFUNCTION("""COMPUTED_VALUE"""),45595.45607921296)</f>
        <v>45595.45608</v>
      </c>
      <c r="E702" s="13" t="str">
        <f>IFERROR(__xludf.DUMMYFUNCTION("""COMPUTED_VALUE"""),"GANDES")</f>
        <v>GANDES</v>
      </c>
      <c r="F702" s="13" t="str">
        <f>IFERROR(__xludf.DUMMYFUNCTION("""COMPUTED_VALUE"""),"AWALUDIN")</f>
        <v>AWALUDIN</v>
      </c>
      <c r="G702" s="13">
        <f t="shared" si="1"/>
        <v>624</v>
      </c>
      <c r="H702" s="13" t="str">
        <f>IFERROR(__xludf.DUMMYFUNCTION("""COMPUTED_VALUE"""),"P0")</f>
        <v>P0</v>
      </c>
    </row>
    <row r="703" ht="22.5" customHeight="1">
      <c r="B703" s="19" t="str">
        <f>IFERROR(__xludf.DUMMYFUNCTION("""COMPUTED_VALUE"""),"K/12/301024/1")</f>
        <v>K/12/301024/1</v>
      </c>
      <c r="C703" s="19" t="str">
        <f>IFERROR(__xludf.DUMMYFUNCTION("""COMPUTED_VALUE"""),"M. 2009/ Tanjung Senang")</f>
        <v>M. 2009/ Tanjung Senang</v>
      </c>
      <c r="D703" s="17">
        <f>IFERROR(__xludf.DUMMYFUNCTION("""COMPUTED_VALUE"""),45595.45741461805)</f>
        <v>45595.45741</v>
      </c>
      <c r="E703" s="13" t="str">
        <f>IFERROR(__xludf.DUMMYFUNCTION("""COMPUTED_VALUE"""),"BN Waris")</f>
        <v>BN Waris</v>
      </c>
      <c r="F703" s="13" t="str">
        <f>IFERROR(__xludf.DUMMYFUNCTION("""COMPUTED_VALUE"""),"Ewon G/ Wirhaida CS")</f>
        <v>Ewon G/ Wirhaida CS</v>
      </c>
      <c r="G703" s="13">
        <f t="shared" si="1"/>
        <v>625</v>
      </c>
      <c r="H703" s="13" t="str">
        <f>IFERROR(__xludf.DUMMYFUNCTION("""COMPUTED_VALUE"""),"P0")</f>
        <v>P0</v>
      </c>
    </row>
    <row r="704" ht="22.5" customHeight="1">
      <c r="B704" s="19" t="str">
        <f>IFERROR(__xludf.DUMMYFUNCTION("""COMPUTED_VALUE"""),"K/13/171024/4")</f>
        <v>K/13/171024/4</v>
      </c>
      <c r="C704" s="19" t="str">
        <f>IFERROR(__xludf.DUMMYFUNCTION("""COMPUTED_VALUE"""),"M. 2523/ Pinang Jaya")</f>
        <v>M. 2523/ Pinang Jaya</v>
      </c>
      <c r="D704" s="17">
        <f>IFERROR(__xludf.DUMMYFUNCTION("""COMPUTED_VALUE"""),45595.45838114583)</f>
        <v>45595.45838</v>
      </c>
      <c r="E704" s="13" t="str">
        <f>IFERROR(__xludf.DUMMYFUNCTION("""COMPUTED_VALUE"""),"BN Jual beli")</f>
        <v>BN Jual beli</v>
      </c>
      <c r="F704" s="13" t="str">
        <f>IFERROR(__xludf.DUMMYFUNCTION("""COMPUTED_VALUE"""),"Eka Sari Taherah")</f>
        <v>Eka Sari Taherah</v>
      </c>
      <c r="G704" s="13">
        <f t="shared" si="1"/>
        <v>625</v>
      </c>
      <c r="H704" s="13" t="str">
        <f>IFERROR(__xludf.DUMMYFUNCTION("""COMPUTED_VALUE"""),"P1")</f>
        <v>P1</v>
      </c>
    </row>
    <row r="705" ht="22.5" customHeight="1">
      <c r="B705" s="19" t="str">
        <f>IFERROR(__xludf.DUMMYFUNCTION("""COMPUTED_VALUE"""),"K/14/301024/1")</f>
        <v>K/14/301024/1</v>
      </c>
      <c r="C705" s="19" t="str">
        <f>IFERROR(__xludf.DUMMYFUNCTION("""COMPUTED_VALUE"""),"M.422/KUPANG RAYA")</f>
        <v>M.422/KUPANG RAYA</v>
      </c>
      <c r="D705" s="17">
        <f>IFERROR(__xludf.DUMMYFUNCTION("""COMPUTED_VALUE"""),45595.462941875)</f>
        <v>45595.46294</v>
      </c>
      <c r="E705" s="13" t="str">
        <f>IFERROR(__xludf.DUMMYFUNCTION("""COMPUTED_VALUE"""),"BN JUAL BELI")</f>
        <v>BN JUAL BELI</v>
      </c>
      <c r="F705" s="13" t="str">
        <f>IFERROR(__xludf.DUMMYFUNCTION("""COMPUTED_VALUE"""),"DODDY SETIAWAN/PANARY SITOPU")</f>
        <v>DODDY SETIAWAN/PANARY SITOPU</v>
      </c>
      <c r="G705" s="13">
        <f t="shared" si="1"/>
        <v>626</v>
      </c>
      <c r="H705" s="13" t="str">
        <f>IFERROR(__xludf.DUMMYFUNCTION("""COMPUTED_VALUE"""),"P0")</f>
        <v>P0</v>
      </c>
    </row>
    <row r="706" ht="22.5" customHeight="1">
      <c r="B706" s="19" t="str">
        <f>IFERROR(__xludf.DUMMYFUNCTION("""COMPUTED_VALUE"""),"L/15/301024/1")</f>
        <v>L/15/301024/1</v>
      </c>
      <c r="C706" s="19" t="str">
        <f>IFERROR(__xludf.DUMMYFUNCTION("""COMPUTED_VALUE"""),"HM 617/SUKARAJA")</f>
        <v>HM 617/SUKARAJA</v>
      </c>
      <c r="D706" s="17">
        <f>IFERROR(__xludf.DUMMYFUNCTION("""COMPUTED_VALUE"""),45595.463396238425)</f>
        <v>45595.4634</v>
      </c>
      <c r="E706" s="13" t="str">
        <f>IFERROR(__xludf.DUMMYFUNCTION("""COMPUTED_VALUE"""),"ROYA LELANG")</f>
        <v>ROYA LELANG</v>
      </c>
      <c r="F706" s="13" t="str">
        <f>IFERROR(__xludf.DUMMYFUNCTION("""COMPUTED_VALUE"""),"SUNNY WADHWA")</f>
        <v>SUNNY WADHWA</v>
      </c>
      <c r="G706" s="13">
        <f t="shared" si="1"/>
        <v>627</v>
      </c>
      <c r="H706" s="13" t="str">
        <f>IFERROR(__xludf.DUMMYFUNCTION("""COMPUTED_VALUE"""),"P0")</f>
        <v>P0</v>
      </c>
    </row>
    <row r="707" ht="22.5" customHeight="1">
      <c r="B707" s="19" t="str">
        <f>IFERROR(__xludf.DUMMYFUNCTION("""COMPUTED_VALUE"""),"K/46/171024/1")</f>
        <v>K/46/171024/1</v>
      </c>
      <c r="C707" s="19" t="str">
        <f>IFERROR(__xludf.DUMMYFUNCTION("""COMPUTED_VALUE"""),"M.9381/SURABAYA")</f>
        <v>M.9381/SURABAYA</v>
      </c>
      <c r="D707" s="17">
        <f>IFERROR(__xludf.DUMMYFUNCTION("""COMPUTED_VALUE"""),45595.47246527778)</f>
        <v>45595.47247</v>
      </c>
      <c r="E707" s="13" t="str">
        <f>IFERROR(__xludf.DUMMYFUNCTION("""COMPUTED_VALUE"""),"PERALIHAN JUAL BELI")</f>
        <v>PERALIHAN JUAL BELI</v>
      </c>
      <c r="F707" s="13" t="str">
        <f>IFERROR(__xludf.DUMMYFUNCTION("""COMPUTED_VALUE"""),"FAJRI ROBIANSYAH/REFLAN RASYID")</f>
        <v>FAJRI ROBIANSYAH/REFLAN RASYID</v>
      </c>
      <c r="G707" s="13">
        <f t="shared" si="1"/>
        <v>627</v>
      </c>
      <c r="H707" s="13" t="str">
        <f>IFERROR(__xludf.DUMMYFUNCTION("""COMPUTED_VALUE"""),"P1")</f>
        <v>P1</v>
      </c>
    </row>
    <row r="708" ht="22.5" customHeight="1">
      <c r="B708" s="19" t="str">
        <f>IFERROR(__xludf.DUMMYFUNCTION("""COMPUTED_VALUE"""),"L/16/301024/1")</f>
        <v>L/16/301024/1</v>
      </c>
      <c r="C708" s="19" t="str">
        <f>IFERROR(__xludf.DUMMYFUNCTION("""COMPUTED_VALUE"""),"HM 2070/PWH")</f>
        <v>HM 2070/PWH</v>
      </c>
      <c r="D708" s="17">
        <f>IFERROR(__xludf.DUMMYFUNCTION("""COMPUTED_VALUE"""),45595.47334386574)</f>
        <v>45595.47334</v>
      </c>
      <c r="E708" s="13" t="str">
        <f>IFERROR(__xludf.DUMMYFUNCTION("""COMPUTED_VALUE"""),"ROYA")</f>
        <v>ROYA</v>
      </c>
      <c r="F708" s="13" t="str">
        <f>IFERROR(__xludf.DUMMYFUNCTION("""COMPUTED_VALUE"""),"SISKA DAMAYANTI")</f>
        <v>SISKA DAMAYANTI</v>
      </c>
      <c r="G708" s="13">
        <f t="shared" si="1"/>
        <v>628</v>
      </c>
      <c r="H708" s="13" t="str">
        <f>IFERROR(__xludf.DUMMYFUNCTION("""COMPUTED_VALUE"""),"P0")</f>
        <v>P0</v>
      </c>
    </row>
    <row r="709" ht="22.5" customHeight="1">
      <c r="B709" s="19" t="str">
        <f>IFERROR(__xludf.DUMMYFUNCTION("""COMPUTED_VALUE"""),"K/17/301024/1")</f>
        <v>K/17/301024/1</v>
      </c>
      <c r="C709" s="19" t="str">
        <f>IFERROR(__xludf.DUMMYFUNCTION("""COMPUTED_VALUE"""),"M. 10866/ SUKARAME I")</f>
        <v>M. 10866/ SUKARAME I</v>
      </c>
      <c r="D709" s="17">
        <f>IFERROR(__xludf.DUMMYFUNCTION("""COMPUTED_VALUE"""),45595.480712916666)</f>
        <v>45595.48071</v>
      </c>
      <c r="E709" s="13" t="str">
        <f>IFERROR(__xludf.DUMMYFUNCTION("""COMPUTED_VALUE"""),"PLOTTING")</f>
        <v>PLOTTING</v>
      </c>
      <c r="F709" s="13" t="str">
        <f>IFERROR(__xludf.DUMMYFUNCTION("""COMPUTED_VALUE"""),"DEDI/ TURSINA")</f>
        <v>DEDI/ TURSINA</v>
      </c>
      <c r="G709" s="13">
        <f t="shared" si="1"/>
        <v>629</v>
      </c>
      <c r="H709" s="13" t="str">
        <f>IFERROR(__xludf.DUMMYFUNCTION("""COMPUTED_VALUE"""),"P0")</f>
        <v>P0</v>
      </c>
    </row>
    <row r="710" ht="22.5" customHeight="1">
      <c r="B710" s="19" t="str">
        <f>IFERROR(__xludf.DUMMYFUNCTION("""COMPUTED_VALUE"""),"K/18/301024/1")</f>
        <v>K/18/301024/1</v>
      </c>
      <c r="C710" s="19" t="str">
        <f>IFERROR(__xludf.DUMMYFUNCTION("""COMPUTED_VALUE"""),"M.9567/SUKABUMI")</f>
        <v>M.9567/SUKABUMI</v>
      </c>
      <c r="D710" s="17">
        <f>IFERROR(__xludf.DUMMYFUNCTION("""COMPUTED_VALUE"""),45595.48175634259)</f>
        <v>45595.48176</v>
      </c>
      <c r="E710" s="13" t="str">
        <f>IFERROR(__xludf.DUMMYFUNCTION("""COMPUTED_VALUE"""),"TITAWATI CS/HENGKI KURNIAWAN")</f>
        <v>TITAWATI CS/HENGKI KURNIAWAN</v>
      </c>
      <c r="F710" s="13" t="str">
        <f>IFERROR(__xludf.DUMMYFUNCTION("""COMPUTED_VALUE"""),"ROYA ")</f>
        <v>ROYA </v>
      </c>
      <c r="G710" s="13">
        <f t="shared" si="1"/>
        <v>630</v>
      </c>
      <c r="H710" s="13" t="str">
        <f>IFERROR(__xludf.DUMMYFUNCTION("""COMPUTED_VALUE"""),"P0")</f>
        <v>P0</v>
      </c>
    </row>
    <row r="711" ht="22.5" customHeight="1">
      <c r="B711" s="19" t="str">
        <f>IFERROR(__xludf.DUMMYFUNCTION("""COMPUTED_VALUE"""),"L/21/301024/1")</f>
        <v>L/21/301024/1</v>
      </c>
      <c r="C711" s="19" t="str">
        <f>IFERROR(__xludf.DUMMYFUNCTION("""COMPUTED_VALUE"""),"M.12717/S I")</f>
        <v>M.12717/S I</v>
      </c>
      <c r="D711" s="17">
        <f>IFERROR(__xludf.DUMMYFUNCTION("""COMPUTED_VALUE"""),45595.48208630787)</f>
        <v>45595.48209</v>
      </c>
      <c r="E711" s="13" t="str">
        <f>IFERROR(__xludf.DUMMYFUNCTION("""COMPUTED_VALUE"""),"SKPT INFORMASI")</f>
        <v>SKPT INFORMASI</v>
      </c>
      <c r="F711" s="13" t="str">
        <f>IFERROR(__xludf.DUMMYFUNCTION("""COMPUTED_VALUE"""),"ARSIYA ERLINDA")</f>
        <v>ARSIYA ERLINDA</v>
      </c>
      <c r="G711" s="13">
        <f t="shared" si="1"/>
        <v>631</v>
      </c>
      <c r="H711" s="13" t="str">
        <f>IFERROR(__xludf.DUMMYFUNCTION("""COMPUTED_VALUE"""),"P0")</f>
        <v>P0</v>
      </c>
    </row>
    <row r="712" ht="22.5" customHeight="1">
      <c r="B712" s="19" t="str">
        <f>IFERROR(__xludf.DUMMYFUNCTION("""COMPUTED_VALUE"""),"K/19/301024/2")</f>
        <v>K/19/301024/2</v>
      </c>
      <c r="C712" s="19" t="str">
        <f>IFERROR(__xludf.DUMMYFUNCTION("""COMPUTED_VALUE"""),"M.11025/SUKABUMI")</f>
        <v>M.11025/SUKABUMI</v>
      </c>
      <c r="D712" s="17">
        <f>IFERROR(__xludf.DUMMYFUNCTION("""COMPUTED_VALUE"""),45595.48251886574)</f>
        <v>45595.48252</v>
      </c>
      <c r="E712" s="13" t="str">
        <f>IFERROR(__xludf.DUMMYFUNCTION("""COMPUTED_VALUE"""),"ROYA")</f>
        <v>ROYA</v>
      </c>
      <c r="F712" s="13" t="str">
        <f>IFERROR(__xludf.DUMMYFUNCTION("""COMPUTED_VALUE"""),"TITAWATI CS/HENGKI KURNIAWAN ")</f>
        <v>TITAWATI CS/HENGKI KURNIAWAN </v>
      </c>
      <c r="G712" s="13">
        <f t="shared" si="1"/>
        <v>632</v>
      </c>
      <c r="H712" s="13" t="str">
        <f>IFERROR(__xludf.DUMMYFUNCTION("""COMPUTED_VALUE"""),"P0")</f>
        <v>P0</v>
      </c>
    </row>
    <row r="713" ht="22.5" customHeight="1">
      <c r="B713" s="19" t="str">
        <f>IFERROR(__xludf.DUMMYFUNCTION("""COMPUTED_VALUE"""),"K/20/301024/3")</f>
        <v>K/20/301024/3</v>
      </c>
      <c r="C713" s="19" t="str">
        <f>IFERROR(__xludf.DUMMYFUNCTION("""COMPUTED_VALUE"""),"M.9801/SUKABUMI")</f>
        <v>M.9801/SUKABUMI</v>
      </c>
      <c r="D713" s="17">
        <f>IFERROR(__xludf.DUMMYFUNCTION("""COMPUTED_VALUE"""),45595.483269143515)</f>
        <v>45595.48327</v>
      </c>
      <c r="E713" s="13" t="str">
        <f>IFERROR(__xludf.DUMMYFUNCTION("""COMPUTED_VALUE"""),"ROYA")</f>
        <v>ROYA</v>
      </c>
      <c r="F713" s="13" t="str">
        <f>IFERROR(__xludf.DUMMYFUNCTION("""COMPUTED_VALUE"""),"TITAWATI CS/HENGKI GUSTIAWAN")</f>
        <v>TITAWATI CS/HENGKI GUSTIAWAN</v>
      </c>
      <c r="G713" s="13">
        <f t="shared" si="1"/>
        <v>633</v>
      </c>
      <c r="H713" s="13" t="str">
        <f>IFERROR(__xludf.DUMMYFUNCTION("""COMPUTED_VALUE"""),"P0")</f>
        <v>P0</v>
      </c>
    </row>
    <row r="714" ht="22.5" customHeight="1">
      <c r="B714" s="19" t="str">
        <f>IFERROR(__xludf.DUMMYFUNCTION("""COMPUTED_VALUE"""),"K/44/221024/2")</f>
        <v>K/44/221024/2</v>
      </c>
      <c r="C714" s="19" t="str">
        <f>IFERROR(__xludf.DUMMYFUNCTION("""COMPUTED_VALUE"""),"M. 2956/ Sukarame Baru")</f>
        <v>M. 2956/ Sukarame Baru</v>
      </c>
      <c r="D714" s="17">
        <f>IFERROR(__xludf.DUMMYFUNCTION("""COMPUTED_VALUE"""),45595.49120929398)</f>
        <v>45595.49121</v>
      </c>
      <c r="E714" s="13" t="str">
        <f>IFERROR(__xludf.DUMMYFUNCTION("""COMPUTED_VALUE"""),"BN Waris")</f>
        <v>BN Waris</v>
      </c>
      <c r="F714" s="13" t="str">
        <f>IFERROR(__xludf.DUMMYFUNCTION("""COMPUTED_VALUE"""),"Adnan")</f>
        <v>Adnan</v>
      </c>
      <c r="G714" s="13">
        <f t="shared" si="1"/>
        <v>633</v>
      </c>
      <c r="H714" s="13" t="str">
        <f>IFERROR(__xludf.DUMMYFUNCTION("""COMPUTED_VALUE"""),"P1")</f>
        <v>P1</v>
      </c>
    </row>
    <row r="715" ht="22.5" customHeight="1">
      <c r="B715" s="19" t="str">
        <f>IFERROR(__xludf.DUMMYFUNCTION("""COMPUTED_VALUE"""),"L/22/301024/1")</f>
        <v>L/22/301024/1</v>
      </c>
      <c r="C715" s="19" t="str">
        <f>IFERROR(__xludf.DUMMYFUNCTION("""COMPUTED_VALUE"""),"HM 11867/LABUHAN RATU")</f>
        <v>HM 11867/LABUHAN RATU</v>
      </c>
      <c r="D715" s="17">
        <f>IFERROR(__xludf.DUMMYFUNCTION("""COMPUTED_VALUE"""),45595.55807734954)</f>
        <v>45595.55808</v>
      </c>
      <c r="E715" s="13" t="str">
        <f>IFERROR(__xludf.DUMMYFUNCTION("""COMPUTED_VALUE"""),"ROYA")</f>
        <v>ROYA</v>
      </c>
      <c r="F715" s="13" t="str">
        <f>IFERROR(__xludf.DUMMYFUNCTION("""COMPUTED_VALUE"""),"LISMAWATI")</f>
        <v>LISMAWATI</v>
      </c>
      <c r="G715" s="13">
        <f t="shared" si="1"/>
        <v>634</v>
      </c>
      <c r="H715" s="13" t="str">
        <f>IFERROR(__xludf.DUMMYFUNCTION("""COMPUTED_VALUE"""),"P0")</f>
        <v>P0</v>
      </c>
    </row>
    <row r="716" ht="22.5" customHeight="1">
      <c r="B716" s="19" t="str">
        <f>IFERROR(__xludf.DUMMYFUNCTION("""COMPUTED_VALUE"""),"K/58/221024/2")</f>
        <v>K/58/221024/2</v>
      </c>
      <c r="C716" s="19" t="str">
        <f>IFERROR(__xludf.DUMMYFUNCTION("""COMPUTED_VALUE"""),"M. 1469/ Sukamaju")</f>
        <v>M. 1469/ Sukamaju</v>
      </c>
      <c r="D716" s="17">
        <f>IFERROR(__xludf.DUMMYFUNCTION("""COMPUTED_VALUE"""),45595.56420957176)</f>
        <v>45595.56421</v>
      </c>
      <c r="E716" s="13" t="str">
        <f>IFERROR(__xludf.DUMMYFUNCTION("""COMPUTED_VALUE"""),"BN Jual Beli")</f>
        <v>BN Jual Beli</v>
      </c>
      <c r="F716" s="13" t="str">
        <f>IFERROR(__xludf.DUMMYFUNCTION("""COMPUTED_VALUE"""),"Budi Kristiyanto")</f>
        <v>Budi Kristiyanto</v>
      </c>
      <c r="G716" s="13">
        <f t="shared" si="1"/>
        <v>634</v>
      </c>
      <c r="H716" s="13" t="str">
        <f>IFERROR(__xludf.DUMMYFUNCTION("""COMPUTED_VALUE"""),"P1")</f>
        <v>P1</v>
      </c>
    </row>
    <row r="717" ht="22.5" customHeight="1">
      <c r="B717" s="19" t="str">
        <f>IFERROR(__xludf.DUMMYFUNCTION("""COMPUTED_VALUE"""),"K/57/221024/1")</f>
        <v>K/57/221024/1</v>
      </c>
      <c r="C717" s="19" t="str">
        <f>IFERROR(__xludf.DUMMYFUNCTION("""COMPUTED_VALUE"""),"M. 1470/ Sukamaju")</f>
        <v>M. 1470/ Sukamaju</v>
      </c>
      <c r="D717" s="17">
        <f>IFERROR(__xludf.DUMMYFUNCTION("""COMPUTED_VALUE"""),45595.564926481486)</f>
        <v>45595.56493</v>
      </c>
      <c r="E717" s="13" t="str">
        <f>IFERROR(__xludf.DUMMYFUNCTION("""COMPUTED_VALUE"""),"BN Jual Beli")</f>
        <v>BN Jual Beli</v>
      </c>
      <c r="F717" s="13" t="str">
        <f>IFERROR(__xludf.DUMMYFUNCTION("""COMPUTED_VALUE"""),"Budi Kristiyanto")</f>
        <v>Budi Kristiyanto</v>
      </c>
      <c r="G717" s="13">
        <f t="shared" si="1"/>
        <v>634</v>
      </c>
      <c r="H717" s="13" t="str">
        <f>IFERROR(__xludf.DUMMYFUNCTION("""COMPUTED_VALUE"""),"P1")</f>
        <v>P1</v>
      </c>
    </row>
    <row r="718" ht="22.5" customHeight="1">
      <c r="B718" s="19" t="str">
        <f>IFERROR(__xludf.DUMMYFUNCTION("""COMPUTED_VALUE"""),"K/23/301024/1")</f>
        <v>K/23/301024/1</v>
      </c>
      <c r="C718" s="19" t="str">
        <f>IFERROR(__xludf.DUMMYFUNCTION("""COMPUTED_VALUE"""),"M. 10292/ Segala Mider")</f>
        <v>M. 10292/ Segala Mider</v>
      </c>
      <c r="D718" s="17">
        <f>IFERROR(__xludf.DUMMYFUNCTION("""COMPUTED_VALUE"""),45595.570613020835)</f>
        <v>45595.57061</v>
      </c>
      <c r="E718" s="13" t="str">
        <f>IFERROR(__xludf.DUMMYFUNCTION("""COMPUTED_VALUE"""),"Gandes")</f>
        <v>Gandes</v>
      </c>
      <c r="F718" s="13" t="str">
        <f>IFERROR(__xludf.DUMMYFUNCTION("""COMPUTED_VALUE"""),"Budi K/ Buyung Cs")</f>
        <v>Budi K/ Buyung Cs</v>
      </c>
      <c r="G718" s="13">
        <f t="shared" si="1"/>
        <v>635</v>
      </c>
      <c r="H718" s="13" t="str">
        <f>IFERROR(__xludf.DUMMYFUNCTION("""COMPUTED_VALUE"""),"P0")</f>
        <v>P0</v>
      </c>
    </row>
    <row r="719" ht="22.5" customHeight="1">
      <c r="B719" s="19" t="str">
        <f>IFERROR(__xludf.DUMMYFUNCTION("""COMPUTED_VALUE"""),"K/24/301024/2")</f>
        <v>K/24/301024/2</v>
      </c>
      <c r="C719" s="19" t="str">
        <f>IFERROR(__xludf.DUMMYFUNCTION("""COMPUTED_VALUE"""),"M. 2314/ NOG; B. 558/ NOG")</f>
        <v>M. 2314/ NOG; B. 558/ NOG</v>
      </c>
      <c r="D719" s="17">
        <f>IFERROR(__xludf.DUMMYFUNCTION("""COMPUTED_VALUE"""),45595.571982071764)</f>
        <v>45595.57198</v>
      </c>
      <c r="E719" s="13" t="str">
        <f>IFERROR(__xludf.DUMMYFUNCTION("""COMPUTED_VALUE"""),"BN Jual Beli")</f>
        <v>BN Jual Beli</v>
      </c>
      <c r="F719" s="13" t="str">
        <f>IFERROR(__xludf.DUMMYFUNCTION("""COMPUTED_VALUE"""),"Budi K/ Arianto")</f>
        <v>Budi K/ Arianto</v>
      </c>
      <c r="G719" s="13">
        <f t="shared" si="1"/>
        <v>636</v>
      </c>
      <c r="H719" s="13" t="str">
        <f>IFERROR(__xludf.DUMMYFUNCTION("""COMPUTED_VALUE"""),"P0")</f>
        <v>P0</v>
      </c>
    </row>
    <row r="720" ht="22.5" customHeight="1">
      <c r="B720" s="19" t="str">
        <f>IFERROR(__xludf.DUMMYFUNCTION("""COMPUTED_VALUE"""),"K/25/301024/1")</f>
        <v>K/25/301024/1</v>
      </c>
      <c r="C720" s="19" t="str">
        <f>IFERROR(__xludf.DUMMYFUNCTION("""COMPUTED_VALUE"""),"M.5568/LANGKAPURA")</f>
        <v>M.5568/LANGKAPURA</v>
      </c>
      <c r="D720" s="17">
        <f>IFERROR(__xludf.DUMMYFUNCTION("""COMPUTED_VALUE"""),45595.57715702546)</f>
        <v>45595.57716</v>
      </c>
      <c r="E720" s="13" t="str">
        <f>IFERROR(__xludf.DUMMYFUNCTION("""COMPUTED_VALUE"""),"BN JUAL BELI")</f>
        <v>BN JUAL BELI</v>
      </c>
      <c r="F720" s="13" t="str">
        <f>IFERROR(__xludf.DUMMYFUNCTION("""COMPUTED_VALUE"""),"TRI RUMIYANI/SERUNI WIDYAWATI")</f>
        <v>TRI RUMIYANI/SERUNI WIDYAWATI</v>
      </c>
      <c r="G720" s="13">
        <f t="shared" si="1"/>
        <v>637</v>
      </c>
      <c r="H720" s="13" t="str">
        <f>IFERROR(__xludf.DUMMYFUNCTION("""COMPUTED_VALUE"""),"P0")</f>
        <v>P0</v>
      </c>
    </row>
    <row r="721" ht="22.5" customHeight="1">
      <c r="B721" s="19" t="str">
        <f>IFERROR(__xludf.DUMMYFUNCTION("""COMPUTED_VALUE"""),"K/26/301024/2")</f>
        <v>K/26/301024/2</v>
      </c>
      <c r="C721" s="19" t="str">
        <f>IFERROR(__xludf.DUMMYFUNCTION("""COMPUTED_VALUE"""),"M.11542/LABUHAN RATU")</f>
        <v>M.11542/LABUHAN RATU</v>
      </c>
      <c r="D721" s="17">
        <f>IFERROR(__xludf.DUMMYFUNCTION("""COMPUTED_VALUE"""),45595.57784591435)</f>
        <v>45595.57785</v>
      </c>
      <c r="E721" s="13" t="str">
        <f>IFERROR(__xludf.DUMMYFUNCTION("""COMPUTED_VALUE"""),"HIBAH")</f>
        <v>HIBAH</v>
      </c>
      <c r="F721" s="13" t="str">
        <f>IFERROR(__xludf.DUMMYFUNCTION("""COMPUTED_VALUE"""),"HERLIYANTI/SERUNI WIDYAWATI")</f>
        <v>HERLIYANTI/SERUNI WIDYAWATI</v>
      </c>
      <c r="G721" s="13">
        <f t="shared" si="1"/>
        <v>638</v>
      </c>
      <c r="H721" s="13" t="str">
        <f>IFERROR(__xludf.DUMMYFUNCTION("""COMPUTED_VALUE"""),"P0")</f>
        <v>P0</v>
      </c>
    </row>
    <row r="722" ht="22.5" customHeight="1">
      <c r="B722" s="19" t="str">
        <f>IFERROR(__xludf.DUMMYFUNCTION("""COMPUTED_VALUE"""),"K/27/301024/3")</f>
        <v>K/27/301024/3</v>
      </c>
      <c r="C722" s="19" t="str">
        <f>IFERROR(__xludf.DUMMYFUNCTION("""COMPUTED_VALUE"""),"M.10426/KAMPUNG BARU")</f>
        <v>M.10426/KAMPUNG BARU</v>
      </c>
      <c r="D722" s="17">
        <f>IFERROR(__xludf.DUMMYFUNCTION("""COMPUTED_VALUE"""),45595.57854644676)</f>
        <v>45595.57855</v>
      </c>
      <c r="E722" s="13" t="str">
        <f>IFERROR(__xludf.DUMMYFUNCTION("""COMPUTED_VALUE"""),"BN JUAL BELI")</f>
        <v>BN JUAL BELI</v>
      </c>
      <c r="F722" s="13" t="str">
        <f>IFERROR(__xludf.DUMMYFUNCTION("""COMPUTED_VALUE"""),"MARYANA/SERUNI WIDYAWATI")</f>
        <v>MARYANA/SERUNI WIDYAWATI</v>
      </c>
      <c r="G722" s="13">
        <f t="shared" si="1"/>
        <v>639</v>
      </c>
      <c r="H722" s="13" t="str">
        <f>IFERROR(__xludf.DUMMYFUNCTION("""COMPUTED_VALUE"""),"P0")</f>
        <v>P0</v>
      </c>
    </row>
    <row r="723" ht="22.5" customHeight="1">
      <c r="B723" s="19" t="str">
        <f>IFERROR(__xludf.DUMMYFUNCTION("""COMPUTED_VALUE"""),"K/28/301024/1")</f>
        <v>K/28/301024/1</v>
      </c>
      <c r="C723" s="19" t="str">
        <f>IFERROR(__xludf.DUMMYFUNCTION("""COMPUTED_VALUE"""),"M.74/TANJUNG AGUNG")</f>
        <v>M.74/TANJUNG AGUNG</v>
      </c>
      <c r="D723" s="17">
        <f>IFERROR(__xludf.DUMMYFUNCTION("""COMPUTED_VALUE"""),45595.58056793982)</f>
        <v>45595.58057</v>
      </c>
      <c r="E723" s="13" t="str">
        <f>IFERROR(__xludf.DUMMYFUNCTION("""COMPUTED_VALUE"""),"SKPT LELANG")</f>
        <v>SKPT LELANG</v>
      </c>
      <c r="F723" s="13" t="str">
        <f>IFERROR(__xludf.DUMMYFUNCTION("""COMPUTED_VALUE"""),"TITIK WIJAYANTI/AGUS SUPRIYANTO")</f>
        <v>TITIK WIJAYANTI/AGUS SUPRIYANTO</v>
      </c>
      <c r="G723" s="13">
        <f t="shared" si="1"/>
        <v>640</v>
      </c>
      <c r="H723" s="13" t="str">
        <f>IFERROR(__xludf.DUMMYFUNCTION("""COMPUTED_VALUE"""),"P0")</f>
        <v>P0</v>
      </c>
    </row>
    <row r="724" ht="22.5" customHeight="1">
      <c r="B724" s="19" t="str">
        <f>IFERROR(__xludf.DUMMYFUNCTION("""COMPUTED_VALUE"""),"K/29/301024/1")</f>
        <v>K/29/301024/1</v>
      </c>
      <c r="C724" s="19" t="str">
        <f>IFERROR(__xludf.DUMMYFUNCTION("""COMPUTED_VALUE"""),"M. 1927/ Labuhan Dalam")</f>
        <v>M. 1927/ Labuhan Dalam</v>
      </c>
      <c r="D724" s="17">
        <f>IFERROR(__xludf.DUMMYFUNCTION("""COMPUTED_VALUE"""),45595.58268960648)</f>
        <v>45595.58269</v>
      </c>
      <c r="E724" s="13" t="str">
        <f>IFERROR(__xludf.DUMMYFUNCTION("""COMPUTED_VALUE"""),"ROYA")</f>
        <v>ROYA</v>
      </c>
      <c r="F724" s="13" t="str">
        <f>IFERROR(__xludf.DUMMYFUNCTION("""COMPUTED_VALUE"""),"SERUNI WIDYAWATI")</f>
        <v>SERUNI WIDYAWATI</v>
      </c>
      <c r="G724" s="13">
        <f t="shared" si="1"/>
        <v>641</v>
      </c>
      <c r="H724" s="13" t="str">
        <f>IFERROR(__xludf.DUMMYFUNCTION("""COMPUTED_VALUE"""),"P0")</f>
        <v>P0</v>
      </c>
    </row>
    <row r="725" ht="22.5" customHeight="1">
      <c r="B725" s="19" t="str">
        <f>IFERROR(__xludf.DUMMYFUNCTION("""COMPUTED_VALUE"""),"K/31/221024/3")</f>
        <v>K/31/221024/3</v>
      </c>
      <c r="C725" s="19" t="str">
        <f>IFERROR(__xludf.DUMMYFUNCTION("""COMPUTED_VALUE"""),"M.1459/KEMILING PERMAI")</f>
        <v>M.1459/KEMILING PERMAI</v>
      </c>
      <c r="D725" s="17">
        <f>IFERROR(__xludf.DUMMYFUNCTION("""COMPUTED_VALUE"""),45595.58606230324)</f>
        <v>45595.58606</v>
      </c>
      <c r="E725" s="13" t="str">
        <f>IFERROR(__xludf.DUMMYFUNCTION("""COMPUTED_VALUE"""),"PERALIHAN JUAL BELI")</f>
        <v>PERALIHAN JUAL BELI</v>
      </c>
      <c r="F725" s="13" t="str">
        <f>IFERROR(__xludf.DUMMYFUNCTION("""COMPUTED_VALUE"""),"HERMASNYAH/AMARULLAH")</f>
        <v>HERMASNYAH/AMARULLAH</v>
      </c>
      <c r="G725" s="13">
        <f t="shared" si="1"/>
        <v>641</v>
      </c>
      <c r="H725" s="13" t="str">
        <f>IFERROR(__xludf.DUMMYFUNCTION("""COMPUTED_VALUE"""),"P1")</f>
        <v>P1</v>
      </c>
    </row>
    <row r="726" ht="22.5" customHeight="1">
      <c r="B726" s="19" t="str">
        <f>IFERROR(__xludf.DUMMYFUNCTION("""COMPUTED_VALUE"""),"K/31/301024/1")</f>
        <v>K/31/301024/1</v>
      </c>
      <c r="C726" s="19" t="str">
        <f>IFERROR(__xludf.DUMMYFUNCTION("""COMPUTED_VALUE"""),"M.12541/TANJUNG BARU")</f>
        <v>M.12541/TANJUNG BARU</v>
      </c>
      <c r="D726" s="17">
        <f>IFERROR(__xludf.DUMMYFUNCTION("""COMPUTED_VALUE"""),45595.60211760417)</f>
        <v>45595.60212</v>
      </c>
      <c r="E726" s="13" t="str">
        <f>IFERROR(__xludf.DUMMYFUNCTION("""COMPUTED_VALUE"""),"SKPT")</f>
        <v>SKPT</v>
      </c>
      <c r="F726" s="13" t="str">
        <f>IFERROR(__xludf.DUMMYFUNCTION("""COMPUTED_VALUE"""),"TITIK WIJAYANTI/VYATRA EKO SUSANTO")</f>
        <v>TITIK WIJAYANTI/VYATRA EKO SUSANTO</v>
      </c>
      <c r="G726" s="13">
        <f t="shared" si="1"/>
        <v>642</v>
      </c>
      <c r="H726" s="13" t="str">
        <f>IFERROR(__xludf.DUMMYFUNCTION("""COMPUTED_VALUE"""),"P0")</f>
        <v>P0</v>
      </c>
    </row>
    <row r="727" ht="22.5" customHeight="1">
      <c r="B727" s="19" t="str">
        <f>IFERROR(__xludf.DUMMYFUNCTION("""COMPUTED_VALUE"""),"K/32/301024/2")</f>
        <v>K/32/301024/2</v>
      </c>
      <c r="C727" s="19" t="str">
        <f>IFERROR(__xludf.DUMMYFUNCTION("""COMPUTED_VALUE"""),"M.9564/TANJUNG BARU")</f>
        <v>M.9564/TANJUNG BARU</v>
      </c>
      <c r="D727" s="17">
        <f>IFERROR(__xludf.DUMMYFUNCTION("""COMPUTED_VALUE"""),45595.60289793981)</f>
        <v>45595.6029</v>
      </c>
      <c r="E727" s="13" t="str">
        <f>IFERROR(__xludf.DUMMYFUNCTION("""COMPUTED_VALUE"""),"SKPT")</f>
        <v>SKPT</v>
      </c>
      <c r="F727" s="13" t="str">
        <f>IFERROR(__xludf.DUMMYFUNCTION("""COMPUTED_VALUE"""),"TITIK WIJAYANTI/VYATRA EKO SUSANTO")</f>
        <v>TITIK WIJAYANTI/VYATRA EKO SUSANTO</v>
      </c>
      <c r="G727" s="13">
        <f t="shared" si="1"/>
        <v>643</v>
      </c>
      <c r="H727" s="13" t="str">
        <f>IFERROR(__xludf.DUMMYFUNCTION("""COMPUTED_VALUE"""),"P0")</f>
        <v>P0</v>
      </c>
    </row>
    <row r="728" ht="22.5" customHeight="1">
      <c r="B728" s="19" t="str">
        <f>IFERROR(__xludf.DUMMYFUNCTION("""COMPUTED_VALUE"""),"L/30/301024/1")</f>
        <v>L/30/301024/1</v>
      </c>
      <c r="C728" s="19" t="str">
        <f>IFERROR(__xludf.DUMMYFUNCTION("""COMPUTED_VALUE"""),"HM 1525/BERINGIN RAYA")</f>
        <v>HM 1525/BERINGIN RAYA</v>
      </c>
      <c r="D728" s="17">
        <f>IFERROR(__xludf.DUMMYFUNCTION("""COMPUTED_VALUE"""),45595.60315758102)</f>
        <v>45595.60316</v>
      </c>
      <c r="E728" s="13" t="str">
        <f>IFERROR(__xludf.DUMMYFUNCTION("""COMPUTED_VALUE"""),"GANDES")</f>
        <v>GANDES</v>
      </c>
      <c r="F728" s="13" t="str">
        <f>IFERROR(__xludf.DUMMYFUNCTION("""COMPUTED_VALUE"""),"AMINAH")</f>
        <v>AMINAH</v>
      </c>
      <c r="G728" s="13">
        <f t="shared" si="1"/>
        <v>644</v>
      </c>
      <c r="H728" s="13" t="str">
        <f>IFERROR(__xludf.DUMMYFUNCTION("""COMPUTED_VALUE"""),"P0")</f>
        <v>P0</v>
      </c>
    </row>
    <row r="729" ht="22.5" customHeight="1">
      <c r="B729" s="19" t="str">
        <f>IFERROR(__xludf.DUMMYFUNCTION("""COMPUTED_VALUE"""),"K/33/301024/3")</f>
        <v>K/33/301024/3</v>
      </c>
      <c r="C729" s="19" t="str">
        <f>IFERROR(__xludf.DUMMYFUNCTION("""COMPUTED_VALUE"""),"M.13730/TANJUNG BARU")</f>
        <v>M.13730/TANJUNG BARU</v>
      </c>
      <c r="D729" s="17">
        <f>IFERROR(__xludf.DUMMYFUNCTION("""COMPUTED_VALUE"""),45595.6039509375)</f>
        <v>45595.60395</v>
      </c>
      <c r="E729" s="13" t="str">
        <f>IFERROR(__xludf.DUMMYFUNCTION("""COMPUTED_VALUE"""),"SKPT")</f>
        <v>SKPT</v>
      </c>
      <c r="F729" s="13" t="str">
        <f>IFERROR(__xludf.DUMMYFUNCTION("""COMPUTED_VALUE"""),"TITIK WIJAYANTI/VYATRA EKO SUSANTO")</f>
        <v>TITIK WIJAYANTI/VYATRA EKO SUSANTO</v>
      </c>
      <c r="G729" s="13">
        <f t="shared" si="1"/>
        <v>645</v>
      </c>
      <c r="H729" s="13" t="str">
        <f>IFERROR(__xludf.DUMMYFUNCTION("""COMPUTED_VALUE"""),"P0")</f>
        <v>P0</v>
      </c>
    </row>
    <row r="730" ht="22.5" customHeight="1">
      <c r="B730" s="19" t="str">
        <f>IFERROR(__xludf.DUMMYFUNCTION("""COMPUTED_VALUE"""),"K/35/301024/1")</f>
        <v>K/35/301024/1</v>
      </c>
      <c r="C730" s="19" t="str">
        <f>IFERROR(__xludf.DUMMYFUNCTION("""COMPUTED_VALUE"""),"M. 10396/ Labuhan Ratu")</f>
        <v>M. 10396/ Labuhan Ratu</v>
      </c>
      <c r="D730" s="17">
        <f>IFERROR(__xludf.DUMMYFUNCTION("""COMPUTED_VALUE"""),45595.61170429398)</f>
        <v>45595.6117</v>
      </c>
      <c r="E730" s="13" t="str">
        <f>IFERROR(__xludf.DUMMYFUNCTION("""COMPUTED_VALUE"""),"Gandes")</f>
        <v>Gandes</v>
      </c>
      <c r="F730" s="13" t="str">
        <f>IFERROR(__xludf.DUMMYFUNCTION("""COMPUTED_VALUE"""),"Apriga P/ Azwan E")</f>
        <v>Apriga P/ Azwan E</v>
      </c>
      <c r="G730" s="13">
        <f t="shared" si="1"/>
        <v>646</v>
      </c>
      <c r="H730" s="13" t="str">
        <f>IFERROR(__xludf.DUMMYFUNCTION("""COMPUTED_VALUE"""),"P0")</f>
        <v>P0</v>
      </c>
    </row>
    <row r="731" ht="22.5" customHeight="1">
      <c r="B731" s="19" t="str">
        <f>IFERROR(__xludf.DUMMYFUNCTION("""COMPUTED_VALUE"""),"L/38/301024/1")</f>
        <v>L/38/301024/1</v>
      </c>
      <c r="C731" s="19" t="str">
        <f>IFERROR(__xludf.DUMMYFUNCTION("""COMPUTED_VALUE"""),"HM 1869/TANJUNG SENANG")</f>
        <v>HM 1869/TANJUNG SENANG</v>
      </c>
      <c r="D731" s="17">
        <f>IFERROR(__xludf.DUMMYFUNCTION("""COMPUTED_VALUE"""),45595.60946003472)</f>
        <v>45595.60946</v>
      </c>
      <c r="E731" s="13" t="str">
        <f>IFERROR(__xludf.DUMMYFUNCTION("""COMPUTED_VALUE"""),"ROYA")</f>
        <v>ROYA</v>
      </c>
      <c r="F731" s="13" t="str">
        <f>IFERROR(__xludf.DUMMYFUNCTION("""COMPUTED_VALUE"""),"PURNOMO")</f>
        <v>PURNOMO</v>
      </c>
      <c r="G731" s="13">
        <f t="shared" si="1"/>
        <v>647</v>
      </c>
      <c r="H731" s="13" t="str">
        <f>IFERROR(__xludf.DUMMYFUNCTION("""COMPUTED_VALUE"""),"P0")</f>
        <v>P0</v>
      </c>
    </row>
    <row r="732" ht="22.5" customHeight="1">
      <c r="B732" s="19" t="str">
        <f>IFERROR(__xludf.DUMMYFUNCTION("""COMPUTED_VALUE"""),"K/36/301024/1")</f>
        <v>K/36/301024/1</v>
      </c>
      <c r="C732" s="19" t="str">
        <f>IFERROR(__xludf.DUMMYFUNCTION("""COMPUTED_VALUE"""),"M. 476/ SUKARAJA")</f>
        <v>M. 476/ SUKARAJA</v>
      </c>
      <c r="D732" s="17">
        <f>IFERROR(__xludf.DUMMYFUNCTION("""COMPUTED_VALUE"""),45595.60984042824)</f>
        <v>45595.60984</v>
      </c>
      <c r="E732" s="13" t="str">
        <f>IFERROR(__xludf.DUMMYFUNCTION("""COMPUTED_VALUE"""),"ganti kelurahan")</f>
        <v>ganti kelurahan</v>
      </c>
      <c r="F732" s="13" t="str">
        <f>IFERROR(__xludf.DUMMYFUNCTION("""COMPUTED_VALUE"""),"MAHFUD/ MUSRIAH")</f>
        <v>MAHFUD/ MUSRIAH</v>
      </c>
      <c r="G732" s="13">
        <f t="shared" si="1"/>
        <v>648</v>
      </c>
      <c r="H732" s="13" t="str">
        <f>IFERROR(__xludf.DUMMYFUNCTION("""COMPUTED_VALUE"""),"P0")</f>
        <v>P0</v>
      </c>
    </row>
    <row r="733" ht="22.5" customHeight="1">
      <c r="B733" s="19" t="str">
        <f>IFERROR(__xludf.DUMMYFUNCTION("""COMPUTED_VALUE"""),"K/37/301024/2")</f>
        <v>K/37/301024/2</v>
      </c>
      <c r="C733" s="19" t="str">
        <f>IFERROR(__xludf.DUMMYFUNCTION("""COMPUTED_VALUE"""),"M. 13119/ SUKARAME I")</f>
        <v>M. 13119/ SUKARAME I</v>
      </c>
      <c r="D733" s="17">
        <f>IFERROR(__xludf.DUMMYFUNCTION("""COMPUTED_VALUE"""),45595.610794479166)</f>
        <v>45595.61079</v>
      </c>
      <c r="E733" s="13" t="str">
        <f>IFERROR(__xludf.DUMMYFUNCTION("""COMPUTED_VALUE"""),"PLOTTING")</f>
        <v>PLOTTING</v>
      </c>
      <c r="F733" s="13" t="str">
        <f>IFERROR(__xludf.DUMMYFUNCTION("""COMPUTED_VALUE"""),"MAHFUD/ DASRUL")</f>
        <v>MAHFUD/ DASRUL</v>
      </c>
      <c r="G733" s="13">
        <f t="shared" si="1"/>
        <v>649</v>
      </c>
      <c r="H733" s="13" t="str">
        <f>IFERROR(__xludf.DUMMYFUNCTION("""COMPUTED_VALUE"""),"P0")</f>
        <v>P0</v>
      </c>
    </row>
    <row r="734" ht="22.5" customHeight="1">
      <c r="B734" s="19" t="str">
        <f>IFERROR(__xludf.DUMMYFUNCTION("""COMPUTED_VALUE"""),"K/47/231024/1")</f>
        <v>K/47/231024/1</v>
      </c>
      <c r="C734" s="19" t="str">
        <f>IFERROR(__xludf.DUMMYFUNCTION("""COMPUTED_VALUE"""),"B. 2082/ Sukabumi	")</f>
        <v>B. 2082/ Sukabumi	</v>
      </c>
      <c r="D734" s="17">
        <f>IFERROR(__xludf.DUMMYFUNCTION("""COMPUTED_VALUE"""),45595.612104907406)</f>
        <v>45595.6121</v>
      </c>
      <c r="E734" s="13" t="str">
        <f>IFERROR(__xludf.DUMMYFUNCTION("""COMPUTED_VALUE"""),"BN Waris")</f>
        <v>BN Waris</v>
      </c>
      <c r="F734" s="13" t="str">
        <f>IFERROR(__xludf.DUMMYFUNCTION("""COMPUTED_VALUE"""),"Evi Udin/ Rini Zainuddin	")</f>
        <v>Evi Udin/ Rini Zainuddin	</v>
      </c>
      <c r="G734" s="13">
        <f t="shared" si="1"/>
        <v>649</v>
      </c>
      <c r="H734" s="13" t="str">
        <f>IFERROR(__xludf.DUMMYFUNCTION("""COMPUTED_VALUE"""),"P1")</f>
        <v>P1</v>
      </c>
    </row>
    <row r="735" ht="22.5" customHeight="1">
      <c r="B735" s="19" t="str">
        <f>IFERROR(__xludf.DUMMYFUNCTION("""COMPUTED_VALUE"""),"K/45/211024/1")</f>
        <v>K/45/211024/1</v>
      </c>
      <c r="C735" s="19" t="str">
        <f>IFERROR(__xludf.DUMMYFUNCTION("""COMPUTED_VALUE"""),"M. 2245/ Sukarame Baru; B. 4947/Sukarame-dahulu")</f>
        <v>M. 2245/ Sukarame Baru; B. 4947/Sukarame-dahulu</v>
      </c>
      <c r="D735" s="17">
        <f>IFERROR(__xludf.DUMMYFUNCTION("""COMPUTED_VALUE"""),45595.61308336805)</f>
        <v>45595.61308</v>
      </c>
      <c r="E735" s="13" t="str">
        <f>IFERROR(__xludf.DUMMYFUNCTION("""COMPUTED_VALUE"""),"BN Jual Beli")</f>
        <v>BN Jual Beli</v>
      </c>
      <c r="F735" s="13" t="str">
        <f>IFERROR(__xludf.DUMMYFUNCTION("""COMPUTED_VALUE"""),"Ayi Ruhiat/ Mas Panji S")</f>
        <v>Ayi Ruhiat/ Mas Panji S</v>
      </c>
      <c r="G735" s="13">
        <f t="shared" si="1"/>
        <v>649</v>
      </c>
      <c r="H735" s="13" t="str">
        <f>IFERROR(__xludf.DUMMYFUNCTION("""COMPUTED_VALUE"""),"P1")</f>
        <v>P1</v>
      </c>
    </row>
    <row r="736" ht="22.5" customHeight="1">
      <c r="B736" s="19" t="str">
        <f>IFERROR(__xludf.DUMMYFUNCTION("""COMPUTED_VALUE"""),"L/39/301024/1")</f>
        <v>L/39/301024/1</v>
      </c>
      <c r="C736" s="19" t="str">
        <f>IFERROR(__xludf.DUMMYFUNCTION("""COMPUTED_VALUE"""),"M.11011/KEDAMAIAN- HT 5445/2014")</f>
        <v>M.11011/KEDAMAIAN- HT 5445/2014</v>
      </c>
      <c r="D736" s="17">
        <f>IFERROR(__xludf.DUMMYFUNCTION("""COMPUTED_VALUE"""),45595.62086270833)</f>
        <v>45595.62086</v>
      </c>
      <c r="E736" s="13" t="str">
        <f>IFERROR(__xludf.DUMMYFUNCTION("""COMPUTED_VALUE"""),"ROYA")</f>
        <v>ROYA</v>
      </c>
      <c r="F736" s="13" t="str">
        <f>IFERROR(__xludf.DUMMYFUNCTION("""COMPUTED_VALUE"""),"ARNIS BAHAR")</f>
        <v>ARNIS BAHAR</v>
      </c>
      <c r="G736" s="13">
        <f t="shared" si="1"/>
        <v>650</v>
      </c>
      <c r="H736" s="13" t="str">
        <f>IFERROR(__xludf.DUMMYFUNCTION("""COMPUTED_VALUE"""),"P0")</f>
        <v>P0</v>
      </c>
    </row>
    <row r="737" ht="22.5" customHeight="1">
      <c r="B737" s="19" t="str">
        <f>IFERROR(__xludf.DUMMYFUNCTION("""COMPUTED_VALUE"""),"K/38/221024/2")</f>
        <v>K/38/221024/2</v>
      </c>
      <c r="C737" s="19" t="str">
        <f>IFERROR(__xludf.DUMMYFUNCTION("""COMPUTED_VALUE"""),"M. 2050/ L R R; M. 11134/ Labuhan Ratu-dahulu")</f>
        <v>M. 2050/ L R R; M. 11134/ Labuhan Ratu-dahulu</v>
      </c>
      <c r="D737" s="17">
        <f>IFERROR(__xludf.DUMMYFUNCTION("""COMPUTED_VALUE"""),45595.62309443287)</f>
        <v>45595.62309</v>
      </c>
      <c r="E737" s="13" t="str">
        <f>IFERROR(__xludf.DUMMYFUNCTION("""COMPUTED_VALUE"""),"BN Waris")</f>
        <v>BN Waris</v>
      </c>
      <c r="F737" s="13" t="str">
        <f>IFERROR(__xludf.DUMMYFUNCTION("""COMPUTED_VALUE"""),"Endang Aprilia/ Erwin S Cs")</f>
        <v>Endang Aprilia/ Erwin S Cs</v>
      </c>
      <c r="G737" s="13">
        <f t="shared" si="1"/>
        <v>650</v>
      </c>
      <c r="H737" s="13" t="str">
        <f>IFERROR(__xludf.DUMMYFUNCTION("""COMPUTED_VALUE"""),"P1")</f>
        <v>P1</v>
      </c>
    </row>
    <row r="738" ht="22.5" customHeight="1">
      <c r="B738" s="19" t="str">
        <f>IFERROR(__xludf.DUMMYFUNCTION("""COMPUTED_VALUE"""),"K/36/221024/1")</f>
        <v>K/36/221024/1</v>
      </c>
      <c r="C738" s="19" t="str">
        <f>IFERROR(__xludf.DUMMYFUNCTION("""COMPUTED_VALUE"""),"M. 1399/ Beringin Jaya; M. 2912 Beringin Raya-dahulu; B. 2928/ Berringin Raya-dahulu	")</f>
        <v>M. 1399/ Beringin Jaya; M. 2912 Beringin Raya-dahulu; B. 2928/ Berringin Raya-dahulu	</v>
      </c>
      <c r="D738" s="17">
        <f>IFERROR(__xludf.DUMMYFUNCTION("""COMPUTED_VALUE"""),45595.62386208333)</f>
        <v>45595.62386</v>
      </c>
      <c r="E738" s="13" t="str">
        <f>IFERROR(__xludf.DUMMYFUNCTION("""COMPUTED_VALUE"""),"BN Jual Beli")</f>
        <v>BN Jual Beli</v>
      </c>
      <c r="F738" s="13" t="str">
        <f>IFERROR(__xludf.DUMMYFUNCTION("""COMPUTED_VALUE"""),"Endang Aprilia/ Fitri R S	")</f>
        <v>Endang Aprilia/ Fitri R S	</v>
      </c>
      <c r="G738" s="13">
        <f t="shared" si="1"/>
        <v>650</v>
      </c>
      <c r="H738" s="13" t="str">
        <f>IFERROR(__xludf.DUMMYFUNCTION("""COMPUTED_VALUE"""),"P1")</f>
        <v>P1</v>
      </c>
    </row>
    <row r="739" ht="22.5" customHeight="1">
      <c r="B739" s="19" t="str">
        <f>IFERROR(__xludf.DUMMYFUNCTION("""COMPUTED_VALUE"""),"K/53/241024/1")</f>
        <v>K/53/241024/1</v>
      </c>
      <c r="C739" s="19" t="str">
        <f>IFERROR(__xludf.DUMMYFUNCTION("""COMPUTED_VALUE"""),"M. 561/ Tanjung Senang	")</f>
        <v>M. 561/ Tanjung Senang	</v>
      </c>
      <c r="D739" s="17">
        <f>IFERROR(__xludf.DUMMYFUNCTION("""COMPUTED_VALUE"""),45595.624697141204)</f>
        <v>45595.6247</v>
      </c>
      <c r="E739" s="13" t="str">
        <f>IFERROR(__xludf.DUMMYFUNCTION("""COMPUTED_VALUE"""),"BN Jual Beli")</f>
        <v>BN Jual Beli</v>
      </c>
      <c r="F739" s="13" t="str">
        <f>IFERROR(__xludf.DUMMYFUNCTION("""COMPUTED_VALUE"""),"Riadh I/ Eddy")</f>
        <v>Riadh I/ Eddy</v>
      </c>
      <c r="G739" s="13">
        <f t="shared" si="1"/>
        <v>650</v>
      </c>
      <c r="H739" s="13" t="str">
        <f>IFERROR(__xludf.DUMMYFUNCTION("""COMPUTED_VALUE"""),"P1")</f>
        <v>P1</v>
      </c>
    </row>
    <row r="740" ht="22.5" customHeight="1">
      <c r="B740" s="19" t="str">
        <f>IFERROR(__xludf.DUMMYFUNCTION("""COMPUTED_VALUE"""),"K/40/301024/1")</f>
        <v>K/40/301024/1</v>
      </c>
      <c r="C740" s="19" t="str">
        <f>IFERROR(__xludf.DUMMYFUNCTION("""COMPUTED_VALUE"""),"M. 2285/ Bumi Waras")</f>
        <v>M. 2285/ Bumi Waras</v>
      </c>
      <c r="D740" s="17">
        <f>IFERROR(__xludf.DUMMYFUNCTION("""COMPUTED_VALUE"""),45595.62655074074)</f>
        <v>45595.62655</v>
      </c>
      <c r="E740" s="13" t="str">
        <f>IFERROR(__xludf.DUMMYFUNCTION("""COMPUTED_VALUE"""),"BN PHB")</f>
        <v>BN PHB</v>
      </c>
      <c r="F740" s="13" t="str">
        <f>IFERROR(__xludf.DUMMYFUNCTION("""COMPUTED_VALUE"""),"Mahfud/ Sumyati")</f>
        <v>Mahfud/ Sumyati</v>
      </c>
      <c r="G740" s="13">
        <f t="shared" si="1"/>
        <v>651</v>
      </c>
      <c r="H740" s="13" t="str">
        <f>IFERROR(__xludf.DUMMYFUNCTION("""COMPUTED_VALUE"""),"P0")</f>
        <v>P0</v>
      </c>
    </row>
    <row r="741" ht="22.5" customHeight="1">
      <c r="B741" s="19" t="str">
        <f>IFERROR(__xludf.DUMMYFUNCTION("""COMPUTED_VALUE"""),"K/22/171024/1")</f>
        <v>K/22/171024/1</v>
      </c>
      <c r="C741" s="19" t="str">
        <f>IFERROR(__xludf.DUMMYFUNCTION("""COMPUTED_VALUE"""),"Nibel. M. 118/ Rajabasa Raya	")</f>
        <v>Nibel. M. 118/ Rajabasa Raya	</v>
      </c>
      <c r="D741" s="17">
        <f>IFERROR(__xludf.DUMMYFUNCTION("""COMPUTED_VALUE"""),45595.62836681713)</f>
        <v>45595.62837</v>
      </c>
      <c r="E741" s="13" t="str">
        <f>IFERROR(__xludf.DUMMYFUNCTION("""COMPUTED_VALUE"""),"BN Jual Beli")</f>
        <v>BN Jual Beli</v>
      </c>
      <c r="F741" s="13" t="str">
        <f>IFERROR(__xludf.DUMMYFUNCTION("""COMPUTED_VALUE"""),"Mursalin/ Andrianus B S")</f>
        <v>Mursalin/ Andrianus B S</v>
      </c>
      <c r="G741" s="13">
        <f t="shared" si="1"/>
        <v>651</v>
      </c>
      <c r="H741" s="13" t="str">
        <f>IFERROR(__xludf.DUMMYFUNCTION("""COMPUTED_VALUE"""),"P1")</f>
        <v>P1</v>
      </c>
    </row>
    <row r="742" ht="22.5" customHeight="1">
      <c r="B742" s="19" t="str">
        <f>IFERROR(__xludf.DUMMYFUNCTION("""COMPUTED_VALUE"""),"K/34/301024/4")</f>
        <v>K/34/301024/4</v>
      </c>
      <c r="C742" s="19" t="str">
        <f>IFERROR(__xludf.DUMMYFUNCTION("""COMPUTED_VALUE"""),"M.11237/TANJUNG BARU")</f>
        <v>M.11237/TANJUNG BARU</v>
      </c>
      <c r="D742" s="17">
        <f>IFERROR(__xludf.DUMMYFUNCTION("""COMPUTED_VALUE"""),45595.63508960648)</f>
        <v>45595.63509</v>
      </c>
      <c r="E742" s="13" t="str">
        <f>IFERROR(__xludf.DUMMYFUNCTION("""COMPUTED_VALUE"""),"SKPT")</f>
        <v>SKPT</v>
      </c>
      <c r="F742" s="13" t="str">
        <f>IFERROR(__xludf.DUMMYFUNCTION("""COMPUTED_VALUE"""),"TITIK WIJAYANTI/VYATRA EKO SUSANTO")</f>
        <v>TITIK WIJAYANTI/VYATRA EKO SUSANTO</v>
      </c>
      <c r="G742" s="13">
        <f t="shared" si="1"/>
        <v>652</v>
      </c>
      <c r="H742" s="13" t="str">
        <f>IFERROR(__xludf.DUMMYFUNCTION("""COMPUTED_VALUE"""),"P0")</f>
        <v>P0</v>
      </c>
    </row>
    <row r="743" ht="22.5" customHeight="1">
      <c r="B743" s="19" t="str">
        <f>IFERROR(__xludf.DUMMYFUNCTION("""COMPUTED_VALUE"""),"K/40/301024/1")</f>
        <v>K/40/301024/1</v>
      </c>
      <c r="C743" s="19" t="str">
        <f>IFERROR(__xludf.DUMMYFUNCTION("""COMPUTED_VALUE"""),"M.1704/PERUMNAS WAY HALIM-SEKARANG;B.562/KEDATON-DAHULU")</f>
        <v>M.1704/PERUMNAS WAY HALIM-SEKARANG;B.562/KEDATON-DAHULU</v>
      </c>
      <c r="D743" s="17">
        <f>IFERROR(__xludf.DUMMYFUNCTION("""COMPUTED_VALUE"""),45595.63604481482)</f>
        <v>45595.63604</v>
      </c>
      <c r="E743" s="13" t="str">
        <f>IFERROR(__xludf.DUMMYFUNCTION("""COMPUTED_VALUE"""),"PLOTING")</f>
        <v>PLOTING</v>
      </c>
      <c r="F743" s="13" t="str">
        <f>IFERROR(__xludf.DUMMYFUNCTION("""COMPUTED_VALUE"""),"NIRWATI/CHRISTINA ULINA ")</f>
        <v>NIRWATI/CHRISTINA ULINA </v>
      </c>
      <c r="G743" s="13">
        <f t="shared" si="1"/>
        <v>653</v>
      </c>
      <c r="H743" s="13" t="str">
        <f>IFERROR(__xludf.DUMMYFUNCTION("""COMPUTED_VALUE"""),"P0")</f>
        <v>P0</v>
      </c>
    </row>
    <row r="744" ht="22.5" customHeight="1">
      <c r="B744" s="19" t="str">
        <f>IFERROR(__xludf.DUMMYFUNCTION("""COMPUTED_VALUE"""),"L/1/311024/1")</f>
        <v>L/1/311024/1</v>
      </c>
      <c r="C744" s="19" t="str">
        <f>IFERROR(__xludf.DUMMYFUNCTION("""COMPUTED_VALUE"""),"B.1037/CAMPANG JAYA;B.1083/CAMPANG RAYA-DAHULU")</f>
        <v>B.1037/CAMPANG JAYA;B.1083/CAMPANG RAYA-DAHULU</v>
      </c>
      <c r="D744" s="17">
        <f>IFERROR(__xludf.DUMMYFUNCTION("""COMPUTED_VALUE"""),45596.37272865741)</f>
        <v>45596.37273</v>
      </c>
      <c r="E744" s="13" t="str">
        <f>IFERROR(__xludf.DUMMYFUNCTION("""COMPUTED_VALUE"""),"PERUBAHAN HAK")</f>
        <v>PERUBAHAN HAK</v>
      </c>
      <c r="F744" s="13" t="str">
        <f>IFERROR(__xludf.DUMMYFUNCTION("""COMPUTED_VALUE"""),"FERNANDO HUTAGALUNG")</f>
        <v>FERNANDO HUTAGALUNG</v>
      </c>
      <c r="G744" s="13">
        <f t="shared" si="1"/>
        <v>654</v>
      </c>
      <c r="H744" s="13" t="str">
        <f>IFERROR(__xludf.DUMMYFUNCTION("""COMPUTED_VALUE"""),"P0")</f>
        <v>P0</v>
      </c>
    </row>
    <row r="745" ht="22.5" customHeight="1">
      <c r="B745" s="19" t="str">
        <f>IFERROR(__xludf.DUMMYFUNCTION("""COMPUTED_VALUE"""),"K/8/241024/4")</f>
        <v>K/8/241024/4</v>
      </c>
      <c r="C745" s="19" t="str">
        <f>IFERROR(__xludf.DUMMYFUNCTION("""COMPUTED_VALUE"""),"M. 369/ Kali Balau Kencana")</f>
        <v>M. 369/ Kali Balau Kencana</v>
      </c>
      <c r="D745" s="17">
        <f>IFERROR(__xludf.DUMMYFUNCTION("""COMPUTED_VALUE"""),45596.37962569445)</f>
        <v>45596.37963</v>
      </c>
      <c r="E745" s="13" t="str">
        <f>IFERROR(__xludf.DUMMYFUNCTION("""COMPUTED_VALUE"""),"BN JUAL BELI")</f>
        <v>BN JUAL BELI</v>
      </c>
      <c r="F745" s="13" t="str">
        <f>IFERROR(__xludf.DUMMYFUNCTION("""COMPUTED_VALUE"""),"VITTA N")</f>
        <v>VITTA N</v>
      </c>
      <c r="G745" s="13">
        <f t="shared" si="1"/>
        <v>654</v>
      </c>
      <c r="H745" s="13" t="str">
        <f>IFERROR(__xludf.DUMMYFUNCTION("""COMPUTED_VALUE"""),"P1")</f>
        <v>P1</v>
      </c>
    </row>
    <row r="746" ht="22.5" customHeight="1">
      <c r="B746" s="19" t="str">
        <f>IFERROR(__xludf.DUMMYFUNCTION("""COMPUTED_VALUE"""),"K/7/221024/1")</f>
        <v>K/7/221024/1</v>
      </c>
      <c r="C746" s="19" t="str">
        <f>IFERROR(__xludf.DUMMYFUNCTION("""COMPUTED_VALUE"""),"M. 2222/ Way Kandis; SHT 1348/ 2018	")</f>
        <v>M. 2222/ Way Kandis; SHT 1348/ 2018	</v>
      </c>
      <c r="D746" s="17">
        <f>IFERROR(__xludf.DUMMYFUNCTION("""COMPUTED_VALUE"""),45596.38399584491)</f>
        <v>45596.384</v>
      </c>
      <c r="E746" s="13" t="str">
        <f>IFERROR(__xludf.DUMMYFUNCTION("""COMPUTED_VALUE"""),"Roya")</f>
        <v>Roya</v>
      </c>
      <c r="F746" s="13" t="str">
        <f>IFERROR(__xludf.DUMMYFUNCTION("""COMPUTED_VALUE"""),"Feryana/ M. Nasir	")</f>
        <v>Feryana/ M. Nasir	</v>
      </c>
      <c r="G746" s="13">
        <f t="shared" si="1"/>
        <v>654</v>
      </c>
      <c r="H746" s="13" t="str">
        <f>IFERROR(__xludf.DUMMYFUNCTION("""COMPUTED_VALUE"""),"P1")</f>
        <v>P1</v>
      </c>
    </row>
    <row r="747" ht="22.5" customHeight="1">
      <c r="B747" s="19" t="str">
        <f>IFERROR(__xludf.DUMMYFUNCTION("""COMPUTED_VALUE"""),"K/3/311024/1")</f>
        <v>K/3/311024/1</v>
      </c>
      <c r="C747" s="19" t="str">
        <f>IFERROR(__xludf.DUMMYFUNCTION("""COMPUTED_VALUE"""),"M. 5834/ Way Kandis")</f>
        <v>M. 5834/ Way Kandis</v>
      </c>
      <c r="D747" s="17">
        <f>IFERROR(__xludf.DUMMYFUNCTION("""COMPUTED_VALUE"""),45596.39462238426)</f>
        <v>45596.39462</v>
      </c>
      <c r="E747" s="13" t="str">
        <f>IFERROR(__xludf.DUMMYFUNCTION("""COMPUTED_VALUE"""),"HAPUS BPHTB")</f>
        <v>HAPUS BPHTB</v>
      </c>
      <c r="F747" s="13" t="str">
        <f>IFERROR(__xludf.DUMMYFUNCTION("""COMPUTED_VALUE"""),"hariyo widodo/ rospita")</f>
        <v>hariyo widodo/ rospita</v>
      </c>
      <c r="G747" s="13">
        <f t="shared" si="1"/>
        <v>655</v>
      </c>
      <c r="H747" s="13" t="str">
        <f>IFERROR(__xludf.DUMMYFUNCTION("""COMPUTED_VALUE"""),"P0")</f>
        <v>P0</v>
      </c>
    </row>
    <row r="748" ht="22.5" customHeight="1">
      <c r="B748" s="19" t="str">
        <f>IFERROR(__xludf.DUMMYFUNCTION("""COMPUTED_VALUE"""),"K/2/311024/1")</f>
        <v>K/2/311024/1</v>
      </c>
      <c r="C748" s="19" t="str">
        <f>IFERROR(__xludf.DUMMYFUNCTION("""COMPUTED_VALUE"""),"M.702/KORPRI JAYA-SEKARANG;M12004/SUKARAME I-DAHULU")</f>
        <v>M.702/KORPRI JAYA-SEKARANG;M12004/SUKARAME I-DAHULU</v>
      </c>
      <c r="D748" s="17">
        <f>IFERROR(__xludf.DUMMYFUNCTION("""COMPUTED_VALUE"""),45596.3956071412)</f>
        <v>45596.39561</v>
      </c>
      <c r="E748" s="13" t="str">
        <f>IFERROR(__xludf.DUMMYFUNCTION("""COMPUTED_VALUE"""),"PEMECAHAN")</f>
        <v>PEMECAHAN</v>
      </c>
      <c r="F748" s="13" t="str">
        <f>IFERROR(__xludf.DUMMYFUNCTION("""COMPUTED_VALUE"""),"MISWANTO CS/ZAHRA")</f>
        <v>MISWANTO CS/ZAHRA</v>
      </c>
      <c r="G748" s="13">
        <f t="shared" si="1"/>
        <v>656</v>
      </c>
      <c r="H748" s="13" t="str">
        <f>IFERROR(__xludf.DUMMYFUNCTION("""COMPUTED_VALUE"""),"P0")</f>
        <v>P0</v>
      </c>
    </row>
    <row r="749" ht="22.5" customHeight="1">
      <c r="B749" s="19" t="str">
        <f>IFERROR(__xludf.DUMMYFUNCTION("""COMPUTED_VALUE"""),"K/15/231024/1")</f>
        <v>K/15/231024/1</v>
      </c>
      <c r="C749" s="19" t="str">
        <f>IFERROR(__xludf.DUMMYFUNCTION("""COMPUTED_VALUE"""),"M. 8119/ Sukabumi	")</f>
        <v>M. 8119/ Sukabumi	</v>
      </c>
      <c r="D749" s="17">
        <f>IFERROR(__xludf.DUMMYFUNCTION("""COMPUTED_VALUE"""),45596.396520787035)</f>
        <v>45596.39652</v>
      </c>
      <c r="E749" s="13" t="str">
        <f>IFERROR(__xludf.DUMMYFUNCTION("""COMPUTED_VALUE"""),"BN Jual Beli")</f>
        <v>BN Jual Beli</v>
      </c>
      <c r="F749" s="13" t="str">
        <f>IFERROR(__xludf.DUMMYFUNCTION("""COMPUTED_VALUE"""),"Reflan R/ Winny W")</f>
        <v>Reflan R/ Winny W</v>
      </c>
      <c r="G749" s="13">
        <f t="shared" si="1"/>
        <v>656</v>
      </c>
      <c r="H749" s="13" t="str">
        <f>IFERROR(__xludf.DUMMYFUNCTION("""COMPUTED_VALUE"""),"P1")</f>
        <v>P1</v>
      </c>
    </row>
    <row r="750" ht="22.5" customHeight="1">
      <c r="B750" s="19" t="str">
        <f>IFERROR(__xludf.DUMMYFUNCTION("""COMPUTED_VALUE"""),"K/5/311024/1")</f>
        <v>K/5/311024/1</v>
      </c>
      <c r="C750" s="19" t="str">
        <f>IFERROR(__xludf.DUMMYFUNCTION("""COMPUTED_VALUE"""),"M. 213/ K B K")</f>
        <v>M. 213/ K B K</v>
      </c>
      <c r="D750" s="17">
        <f>IFERROR(__xludf.DUMMYFUNCTION("""COMPUTED_VALUE"""),45596.39750665509)</f>
        <v>45596.39751</v>
      </c>
      <c r="E750" s="13" t="str">
        <f>IFERROR(__xludf.DUMMYFUNCTION("""COMPUTED_VALUE"""),"Gandes")</f>
        <v>Gandes</v>
      </c>
      <c r="F750" s="13" t="str">
        <f>IFERROR(__xludf.DUMMYFUNCTION("""COMPUTED_VALUE"""),"Reflan R/ Antika D")</f>
        <v>Reflan R/ Antika D</v>
      </c>
      <c r="G750" s="13">
        <f t="shared" si="1"/>
        <v>657</v>
      </c>
      <c r="H750" s="13" t="str">
        <f>IFERROR(__xludf.DUMMYFUNCTION("""COMPUTED_VALUE"""),"P0")</f>
        <v>P0</v>
      </c>
    </row>
    <row r="751" ht="22.5" customHeight="1">
      <c r="B751" s="19" t="str">
        <f>IFERROR(__xludf.DUMMYFUNCTION("""COMPUTED_VALUE"""),"K/4/311024/2")</f>
        <v>K/4/311024/2</v>
      </c>
      <c r="C751" s="19" t="str">
        <f>IFERROR(__xludf.DUMMYFUNCTION("""COMPUTED_VALUE"""),"M. 228/ Jagabaya I")</f>
        <v>M. 228/ Jagabaya I</v>
      </c>
      <c r="D751" s="17">
        <f>IFERROR(__xludf.DUMMYFUNCTION("""COMPUTED_VALUE"""),45596.40108887732)</f>
        <v>45596.40109</v>
      </c>
      <c r="E751" s="13" t="str">
        <f>IFERROR(__xludf.DUMMYFUNCTION("""COMPUTED_VALUE"""),"ROYA")</f>
        <v>ROYA</v>
      </c>
      <c r="F751" s="13" t="str">
        <f>IFERROR(__xludf.DUMMYFUNCTION("""COMPUTED_VALUE"""),"kusniyah/ hariyo widodo")</f>
        <v>kusniyah/ hariyo widodo</v>
      </c>
      <c r="G751" s="13">
        <f t="shared" si="1"/>
        <v>658</v>
      </c>
      <c r="H751" s="13" t="str">
        <f>IFERROR(__xludf.DUMMYFUNCTION("""COMPUTED_VALUE"""),"P0")</f>
        <v>P0</v>
      </c>
    </row>
    <row r="752" ht="22.5" customHeight="1">
      <c r="B752" s="19" t="str">
        <f>IFERROR(__xludf.DUMMYFUNCTION("""COMPUTED_VALUE""")," K/10/231024/3")</f>
        <v> K/10/231024/3</v>
      </c>
      <c r="C752" s="19" t="str">
        <f>IFERROR(__xludf.DUMMYFUNCTION("""COMPUTED_VALUE"""),"M. 10670/ Kedaton")</f>
        <v>M. 10670/ Kedaton</v>
      </c>
      <c r="D752" s="17">
        <f>IFERROR(__xludf.DUMMYFUNCTION("""COMPUTED_VALUE"""),45596.40872097222)</f>
        <v>45596.40872</v>
      </c>
      <c r="E752" s="13" t="str">
        <f>IFERROR(__xludf.DUMMYFUNCTION("""COMPUTED_VALUE"""),"ROYA")</f>
        <v>ROYA</v>
      </c>
      <c r="F752" s="13" t="str">
        <f>IFERROR(__xludf.DUMMYFUNCTION("""COMPUTED_VALUE"""),"RAHMADIYANTI")</f>
        <v>RAHMADIYANTI</v>
      </c>
      <c r="G752" s="13">
        <f t="shared" si="1"/>
        <v>658</v>
      </c>
      <c r="H752" s="13" t="str">
        <f>IFERROR(__xludf.DUMMYFUNCTION("""COMPUTED_VALUE"""),"P1")</f>
        <v>P1</v>
      </c>
    </row>
    <row r="753" ht="22.5" customHeight="1">
      <c r="B753" s="19" t="str">
        <f>IFERROR(__xludf.DUMMYFUNCTION("""COMPUTED_VALUE"""),"K/11/231024/4")</f>
        <v>K/11/231024/4</v>
      </c>
      <c r="C753" s="19" t="str">
        <f>IFERROR(__xludf.DUMMYFUNCTION("""COMPUTED_VALUE"""),"M. 395/ Kebon Jeruk")</f>
        <v>M. 395/ Kebon Jeruk</v>
      </c>
      <c r="D753" s="17">
        <f>IFERROR(__xludf.DUMMYFUNCTION("""COMPUTED_VALUE"""),45596.40969325231)</f>
        <v>45596.40969</v>
      </c>
      <c r="E753" s="13" t="str">
        <f>IFERROR(__xludf.DUMMYFUNCTION("""COMPUTED_VALUE"""),"BN JUAL BELI")</f>
        <v>BN JUAL BELI</v>
      </c>
      <c r="F753" s="13" t="str">
        <f>IFERROR(__xludf.DUMMYFUNCTION("""COMPUTED_VALUE"""),"RAHMADIYANTI")</f>
        <v>RAHMADIYANTI</v>
      </c>
      <c r="G753" s="13">
        <f t="shared" si="1"/>
        <v>658</v>
      </c>
      <c r="H753" s="13" t="str">
        <f>IFERROR(__xludf.DUMMYFUNCTION("""COMPUTED_VALUE"""),"P1")</f>
        <v>P1</v>
      </c>
    </row>
    <row r="754" ht="22.5" customHeight="1">
      <c r="B754" s="19" t="str">
        <f>IFERROR(__xludf.DUMMYFUNCTION("""COMPUTED_VALUE"""),"K/6/311024/1")</f>
        <v>K/6/311024/1</v>
      </c>
      <c r="C754" s="19" t="str">
        <f>IFERROR(__xludf.DUMMYFUNCTION("""COMPUTED_VALUE"""),"M. 948/ Campang Raya; B. 200/ CR-dahulu")</f>
        <v>M. 948/ Campang Raya; B. 200/ CR-dahulu</v>
      </c>
      <c r="D754" s="17">
        <f>IFERROR(__xludf.DUMMYFUNCTION("""COMPUTED_VALUE"""),45596.416365324076)</f>
        <v>45596.41637</v>
      </c>
      <c r="E754" s="13" t="str">
        <f>IFERROR(__xludf.DUMMYFUNCTION("""COMPUTED_VALUE"""),"BN Jual Beli")</f>
        <v>BN Jual Beli</v>
      </c>
      <c r="F754" s="13" t="str">
        <f>IFERROR(__xludf.DUMMYFUNCTION("""COMPUTED_VALUE"""),"Indah Syafitri/ Saipulloh")</f>
        <v>Indah Syafitri/ Saipulloh</v>
      </c>
      <c r="G754" s="13">
        <f t="shared" si="1"/>
        <v>659</v>
      </c>
      <c r="H754" s="13" t="str">
        <f>IFERROR(__xludf.DUMMYFUNCTION("""COMPUTED_VALUE"""),"P0")</f>
        <v>P0</v>
      </c>
    </row>
    <row r="755" ht="22.5" customHeight="1">
      <c r="B755" s="19" t="str">
        <f>IFERROR(__xludf.DUMMYFUNCTION("""COMPUTED_VALUE"""),"L/11/311024/1")</f>
        <v>L/11/311024/1</v>
      </c>
      <c r="C755" s="19" t="str">
        <f>IFERROR(__xludf.DUMMYFUNCTION("""COMPUTED_VALUE"""),"HM 1362/WHP")</f>
        <v>HM 1362/WHP</v>
      </c>
      <c r="D755" s="17">
        <f>IFERROR(__xludf.DUMMYFUNCTION("""COMPUTED_VALUE"""),45596.42052868055)</f>
        <v>45596.42053</v>
      </c>
      <c r="E755" s="13" t="str">
        <f>IFERROR(__xludf.DUMMYFUNCTION("""COMPUTED_VALUE"""),"ROYA")</f>
        <v>ROYA</v>
      </c>
      <c r="F755" s="13" t="str">
        <f>IFERROR(__xludf.DUMMYFUNCTION("""COMPUTED_VALUE"""),"SUHENDRA")</f>
        <v>SUHENDRA</v>
      </c>
      <c r="G755" s="13">
        <f t="shared" si="1"/>
        <v>660</v>
      </c>
      <c r="H755" s="13" t="str">
        <f>IFERROR(__xludf.DUMMYFUNCTION("""COMPUTED_VALUE"""),"P0")</f>
        <v>P0</v>
      </c>
    </row>
    <row r="756" ht="22.5" customHeight="1">
      <c r="B756" s="19" t="str">
        <f>IFERROR(__xludf.DUMMYFUNCTION("""COMPUTED_VALUE"""),"K/7/311024/1")</f>
        <v>K/7/311024/1</v>
      </c>
      <c r="C756" s="19" t="str">
        <f>IFERROR(__xludf.DUMMYFUNCTION("""COMPUTED_VALUE"""),"B.3378/SUKABUMI")</f>
        <v>B.3378/SUKABUMI</v>
      </c>
      <c r="D756" s="17">
        <f>IFERROR(__xludf.DUMMYFUNCTION("""COMPUTED_VALUE"""),45596.422280659724)</f>
        <v>45596.42228</v>
      </c>
      <c r="E756" s="13" t="str">
        <f>IFERROR(__xludf.DUMMYFUNCTION("""COMPUTED_VALUE"""),"HIBAH")</f>
        <v>HIBAH</v>
      </c>
      <c r="F756" s="13" t="str">
        <f>IFERROR(__xludf.DUMMYFUNCTION("""COMPUTED_VALUE"""),"LINDA ASTUTI/EDYAWATY ")</f>
        <v>LINDA ASTUTI/EDYAWATY </v>
      </c>
      <c r="G756" s="13">
        <f t="shared" si="1"/>
        <v>661</v>
      </c>
      <c r="H756" s="13" t="str">
        <f>IFERROR(__xludf.DUMMYFUNCTION("""COMPUTED_VALUE"""),"P0")</f>
        <v>P0</v>
      </c>
    </row>
    <row r="757" ht="22.5" customHeight="1">
      <c r="B757" s="19" t="str">
        <f>IFERROR(__xludf.DUMMYFUNCTION("""COMPUTED_VALUE"""),"K/8/311024/2")</f>
        <v>K/8/311024/2</v>
      </c>
      <c r="C757" s="19" t="str">
        <f>IFERROR(__xludf.DUMMYFUNCTION("""COMPUTED_VALUE"""),"M.1565/KEMILING PERMAI")</f>
        <v>M.1565/KEMILING PERMAI</v>
      </c>
      <c r="D757" s="17">
        <f>IFERROR(__xludf.DUMMYFUNCTION("""COMPUTED_VALUE"""),45596.423320856484)</f>
        <v>45596.42332</v>
      </c>
      <c r="E757" s="13" t="str">
        <f>IFERROR(__xludf.DUMMYFUNCTION("""COMPUTED_VALUE"""),"BN JUAL BELI")</f>
        <v>BN JUAL BELI</v>
      </c>
      <c r="F757" s="13" t="str">
        <f>IFERROR(__xludf.DUMMYFUNCTION("""COMPUTED_VALUE"""),"NOVI FIRDAYANTI/EDYAWATI")</f>
        <v>NOVI FIRDAYANTI/EDYAWATI</v>
      </c>
      <c r="G757" s="13">
        <f t="shared" si="1"/>
        <v>662</v>
      </c>
      <c r="H757" s="13" t="str">
        <f>IFERROR(__xludf.DUMMYFUNCTION("""COMPUTED_VALUE"""),"P0")</f>
        <v>P0</v>
      </c>
    </row>
    <row r="758" ht="22.5" customHeight="1">
      <c r="B758" s="19" t="str">
        <f>IFERROR(__xludf.DUMMYFUNCTION("""COMPUTED_VALUE"""),"L/12/311024/1")</f>
        <v>L/12/311024/1</v>
      </c>
      <c r="C758" s="19" t="str">
        <f>IFERROR(__xludf.DUMMYFUNCTION("""COMPUTED_VALUE"""),"HM 13738/SUKABUMI")</f>
        <v>HM 13738/SUKABUMI</v>
      </c>
      <c r="D758" s="17">
        <f>IFERROR(__xludf.DUMMYFUNCTION("""COMPUTED_VALUE"""),45596.42365991898)</f>
        <v>45596.42366</v>
      </c>
      <c r="E758" s="13" t="str">
        <f>IFERROR(__xludf.DUMMYFUNCTION("""COMPUTED_VALUE"""),"ROYA")</f>
        <v>ROYA</v>
      </c>
      <c r="F758" s="13" t="str">
        <f>IFERROR(__xludf.DUMMYFUNCTION("""COMPUTED_VALUE"""),"DASWAN")</f>
        <v>DASWAN</v>
      </c>
      <c r="G758" s="13">
        <f t="shared" si="1"/>
        <v>663</v>
      </c>
      <c r="H758" s="13" t="str">
        <f>IFERROR(__xludf.DUMMYFUNCTION("""COMPUTED_VALUE"""),"P0")</f>
        <v>P0</v>
      </c>
    </row>
    <row r="759" ht="22.5" customHeight="1">
      <c r="B759" s="19" t="str">
        <f>IFERROR(__xludf.DUMMYFUNCTION("""COMPUTED_VALUE"""),"K/9/311024/3")</f>
        <v>K/9/311024/3</v>
      </c>
      <c r="C759" s="19" t="str">
        <f>IFERROR(__xludf.DUMMYFUNCTION("""COMPUTED_VALUE"""),"M.9492/SEGALAMIDER")</f>
        <v>M.9492/SEGALAMIDER</v>
      </c>
      <c r="D759" s="17">
        <f>IFERROR(__xludf.DUMMYFUNCTION("""COMPUTED_VALUE"""),45596.42439806713)</f>
        <v>45596.4244</v>
      </c>
      <c r="E759" s="13" t="str">
        <f>IFERROR(__xludf.DUMMYFUNCTION("""COMPUTED_VALUE"""),"BN JUAL BELI")</f>
        <v>BN JUAL BELI</v>
      </c>
      <c r="F759" s="13" t="str">
        <f>IFERROR(__xludf.DUMMYFUNCTION("""COMPUTED_VALUE"""),"NOVIFIRDAYANTI/EDYAWATI")</f>
        <v>NOVIFIRDAYANTI/EDYAWATI</v>
      </c>
      <c r="G759" s="13">
        <f t="shared" si="1"/>
        <v>664</v>
      </c>
      <c r="H759" s="13" t="str">
        <f>IFERROR(__xludf.DUMMYFUNCTION("""COMPUTED_VALUE"""),"P0")</f>
        <v>P0</v>
      </c>
    </row>
    <row r="760" ht="22.5" customHeight="1">
      <c r="B760" s="19" t="str">
        <f>IFERROR(__xludf.DUMMYFUNCTION("""COMPUTED_VALUE"""),"K/10/311024/4")</f>
        <v>K/10/311024/4</v>
      </c>
      <c r="C760" s="19" t="str">
        <f>IFERROR(__xludf.DUMMYFUNCTION("""COMPUTED_VALUE"""),"M.1563/KEMILING PERMAI")</f>
        <v>M.1563/KEMILING PERMAI</v>
      </c>
      <c r="D760" s="17">
        <f>IFERROR(__xludf.DUMMYFUNCTION("""COMPUTED_VALUE"""),45596.426696678245)</f>
        <v>45596.4267</v>
      </c>
      <c r="E760" s="13" t="str">
        <f>IFERROR(__xludf.DUMMYFUNCTION("""COMPUTED_VALUE"""),"KEWARISAN")</f>
        <v>KEWARISAN</v>
      </c>
      <c r="F760" s="13" t="str">
        <f>IFERROR(__xludf.DUMMYFUNCTION("""COMPUTED_VALUE"""),"NOVI FIRDAYANTI CS/EDYAWATI")</f>
        <v>NOVI FIRDAYANTI CS/EDYAWATI</v>
      </c>
      <c r="G760" s="13">
        <f t="shared" si="1"/>
        <v>665</v>
      </c>
      <c r="H760" s="13" t="str">
        <f>IFERROR(__xludf.DUMMYFUNCTION("""COMPUTED_VALUE"""),"P0")</f>
        <v>P0</v>
      </c>
    </row>
    <row r="761" ht="22.5" customHeight="1">
      <c r="B761" s="19" t="str">
        <f>IFERROR(__xludf.DUMMYFUNCTION("""COMPUTED_VALUE"""),"L/13/311024/1")</f>
        <v>L/13/311024/1</v>
      </c>
      <c r="C761" s="19" t="str">
        <f>IFERROR(__xludf.DUMMYFUNCTION("""COMPUTED_VALUE"""),"B.1043/RJB")</f>
        <v>B.1043/RJB</v>
      </c>
      <c r="D761" s="17">
        <f>IFERROR(__xludf.DUMMYFUNCTION("""COMPUTED_VALUE"""),45596.43871930556)</f>
        <v>45596.43872</v>
      </c>
      <c r="E761" s="13" t="str">
        <f>IFERROR(__xludf.DUMMYFUNCTION("""COMPUTED_VALUE"""),"GANDES")</f>
        <v>GANDES</v>
      </c>
      <c r="F761" s="13" t="str">
        <f>IFERROR(__xludf.DUMMYFUNCTION("""COMPUTED_VALUE"""),"HADI YANI")</f>
        <v>HADI YANI</v>
      </c>
      <c r="G761" s="13">
        <f t="shared" si="1"/>
        <v>666</v>
      </c>
      <c r="H761" s="13" t="str">
        <f>IFERROR(__xludf.DUMMYFUNCTION("""COMPUTED_VALUE"""),"P0")</f>
        <v>P0</v>
      </c>
    </row>
    <row r="762" ht="22.5" customHeight="1">
      <c r="B762" s="19" t="str">
        <f>IFERROR(__xludf.DUMMYFUNCTION("""COMPUTED_VALUE"""),"K/9/181024/1")</f>
        <v>K/9/181024/1</v>
      </c>
      <c r="C762" s="19" t="str">
        <f>IFERROR(__xludf.DUMMYFUNCTION("""COMPUTED_VALUE"""),"M.5070/RAJABASA JAYA")</f>
        <v>M.5070/RAJABASA JAYA</v>
      </c>
      <c r="D762" s="17">
        <f>IFERROR(__xludf.DUMMYFUNCTION("""COMPUTED_VALUE"""),45596.4395631713)</f>
        <v>45596.43956</v>
      </c>
      <c r="E762" s="13" t="str">
        <f>IFERROR(__xludf.DUMMYFUNCTION("""COMPUTED_VALUE"""),"PERALIHAN JUAL BELI")</f>
        <v>PERALIHAN JUAL BELI</v>
      </c>
      <c r="F762" s="13" t="str">
        <f>IFERROR(__xludf.DUMMYFUNCTION("""COMPUTED_VALUE"""),"VERA ANDRIYANI PUTRI/A.ROSWANTAMA ")</f>
        <v>VERA ANDRIYANI PUTRI/A.ROSWANTAMA </v>
      </c>
      <c r="G762" s="13">
        <f t="shared" si="1"/>
        <v>666</v>
      </c>
      <c r="H762" s="13" t="str">
        <f>IFERROR(__xludf.DUMMYFUNCTION("""COMPUTED_VALUE"""),"P1")</f>
        <v>P1</v>
      </c>
    </row>
    <row r="763" ht="22.5" customHeight="1">
      <c r="B763" s="19" t="str">
        <f>IFERROR(__xludf.DUMMYFUNCTION("""COMPUTED_VALUE"""),"K/15/311024/1")</f>
        <v>K/15/311024/1</v>
      </c>
      <c r="C763" s="19" t="str">
        <f>IFERROR(__xludf.DUMMYFUNCTION("""COMPUTED_VALUE"""),"M. 15125/ Sukabumi")</f>
        <v>M. 15125/ Sukabumi</v>
      </c>
      <c r="D763" s="17">
        <f>IFERROR(__xludf.DUMMYFUNCTION("""COMPUTED_VALUE"""),45596.446298622686)</f>
        <v>45596.4463</v>
      </c>
      <c r="E763" s="13" t="str">
        <f>IFERROR(__xludf.DUMMYFUNCTION("""COMPUTED_VALUE"""),"BN JUAL BELI")</f>
        <v>BN JUAL BELI</v>
      </c>
      <c r="F763" s="13" t="str">
        <f>IFERROR(__xludf.DUMMYFUNCTION("""COMPUTED_VALUE"""),"AFRIZAL/ ARIF ANDI")</f>
        <v>AFRIZAL/ ARIF ANDI</v>
      </c>
      <c r="G763" s="13">
        <f t="shared" si="1"/>
        <v>667</v>
      </c>
      <c r="H763" s="13" t="str">
        <f>IFERROR(__xludf.DUMMYFUNCTION("""COMPUTED_VALUE"""),"P0")</f>
        <v>P0</v>
      </c>
    </row>
    <row r="764" ht="22.5" customHeight="1">
      <c r="B764" s="19" t="str">
        <f>IFERROR(__xludf.DUMMYFUNCTION("""COMPUTED_VALUE"""),"K/14/311024/1")</f>
        <v>K/14/311024/1</v>
      </c>
      <c r="C764" s="19" t="str">
        <f>IFERROR(__xludf.DUMMYFUNCTION("""COMPUTED_VALUE"""),"Nibel. M. 642/ Jagabaya II")</f>
        <v>Nibel. M. 642/ Jagabaya II</v>
      </c>
      <c r="D764" s="17">
        <f>IFERROR(__xludf.DUMMYFUNCTION("""COMPUTED_VALUE"""),45596.44680549769)</f>
        <v>45596.44681</v>
      </c>
      <c r="E764" s="13" t="str">
        <f>IFERROR(__xludf.DUMMYFUNCTION("""COMPUTED_VALUE"""),"BN Jual Beli")</f>
        <v>BN Jual Beli</v>
      </c>
      <c r="F764" s="13" t="str">
        <f>IFERROR(__xludf.DUMMYFUNCTION("""COMPUTED_VALUE"""),"Eka Chandre/ Nelly S")</f>
        <v>Eka Chandre/ Nelly S</v>
      </c>
      <c r="G764" s="13">
        <f t="shared" si="1"/>
        <v>668</v>
      </c>
      <c r="H764" s="13" t="str">
        <f>IFERROR(__xludf.DUMMYFUNCTION("""COMPUTED_VALUE"""),"P0")</f>
        <v>P0</v>
      </c>
    </row>
    <row r="765" ht="22.5" customHeight="1">
      <c r="B765" s="19" t="str">
        <f>IFERROR(__xludf.DUMMYFUNCTION("""COMPUTED_VALUE"""),"K/17/211024/1")</f>
        <v>K/17/211024/1</v>
      </c>
      <c r="C765" s="19" t="str">
        <f>IFERROR(__xludf.DUMMYFUNCTION("""COMPUTED_VALUE"""),"M. 4393/ Gunung Terang	")</f>
        <v>M. 4393/ Gunung Terang	</v>
      </c>
      <c r="D765" s="17">
        <f>IFERROR(__xludf.DUMMYFUNCTION("""COMPUTED_VALUE"""),45596.457281689814)</f>
        <v>45596.45728</v>
      </c>
      <c r="E765" s="13" t="str">
        <f>IFERROR(__xludf.DUMMYFUNCTION("""COMPUTED_VALUE"""),"BN Jual Beli")</f>
        <v>BN Jual Beli</v>
      </c>
      <c r="F765" s="13" t="str">
        <f>IFERROR(__xludf.DUMMYFUNCTION("""COMPUTED_VALUE"""),"A. Roswantama/ Meiliyana")</f>
        <v>A. Roswantama/ Meiliyana</v>
      </c>
      <c r="G765" s="13">
        <f t="shared" si="1"/>
        <v>668</v>
      </c>
      <c r="H765" s="13" t="str">
        <f>IFERROR(__xludf.DUMMYFUNCTION("""COMPUTED_VALUE"""),"P1")</f>
        <v>P1</v>
      </c>
    </row>
    <row r="766" ht="22.5" customHeight="1">
      <c r="B766" s="19" t="str">
        <f>IFERROR(__xludf.DUMMYFUNCTION("""COMPUTED_VALUE"""),"K/16/311024/1")</f>
        <v>K/16/311024/1</v>
      </c>
      <c r="C766" s="19" t="str">
        <f>IFERROR(__xludf.DUMMYFUNCTION("""COMPUTED_VALUE"""),"M. 11645/ Sukarame")</f>
        <v>M. 11645/ Sukarame</v>
      </c>
      <c r="D766" s="17">
        <f>IFERROR(__xludf.DUMMYFUNCTION("""COMPUTED_VALUE"""),45596.46312601852)</f>
        <v>45596.46313</v>
      </c>
      <c r="E766" s="13" t="str">
        <f>IFERROR(__xludf.DUMMYFUNCTION("""COMPUTED_VALUE"""),"Pengecekan")</f>
        <v>Pengecekan</v>
      </c>
      <c r="F766" s="13" t="str">
        <f>IFERROR(__xludf.DUMMYFUNCTION("""COMPUTED_VALUE"""),"Irawati K/ Sarinawaty T")</f>
        <v>Irawati K/ Sarinawaty T</v>
      </c>
      <c r="G766" s="13">
        <f t="shared" si="1"/>
        <v>669</v>
      </c>
      <c r="H766" s="13" t="str">
        <f>IFERROR(__xludf.DUMMYFUNCTION("""COMPUTED_VALUE"""),"P0")</f>
        <v>P0</v>
      </c>
    </row>
    <row r="767" ht="22.5" customHeight="1">
      <c r="B767" s="19" t="str">
        <f>IFERROR(__xludf.DUMMYFUNCTION("""COMPUTED_VALUE"""),"K/17/311024/1")</f>
        <v>K/17/311024/1</v>
      </c>
      <c r="C767" s="19" t="str">
        <f>IFERROR(__xludf.DUMMYFUNCTION("""COMPUTED_VALUE"""),"M. 13031/ Sukarame")</f>
        <v>M. 13031/ Sukarame</v>
      </c>
      <c r="D767" s="17">
        <f>IFERROR(__xludf.DUMMYFUNCTION("""COMPUTED_VALUE"""),45596.47378186343)</f>
        <v>45596.47378</v>
      </c>
      <c r="E767" s="13" t="str">
        <f>IFERROR(__xludf.DUMMYFUNCTION("""COMPUTED_VALUE"""),"plottting")</f>
        <v>plottting</v>
      </c>
      <c r="F767" s="13" t="str">
        <f>IFERROR(__xludf.DUMMYFUNCTION("""COMPUTED_VALUE"""),"ewon gunawan")</f>
        <v>ewon gunawan</v>
      </c>
      <c r="G767" s="13">
        <f t="shared" si="1"/>
        <v>670</v>
      </c>
      <c r="H767" s="13" t="str">
        <f>IFERROR(__xludf.DUMMYFUNCTION("""COMPUTED_VALUE"""),"P0")</f>
        <v>P0</v>
      </c>
    </row>
    <row r="768" ht="22.5" customHeight="1">
      <c r="B768" s="19" t="str">
        <f>IFERROR(__xludf.DUMMYFUNCTION("""COMPUTED_VALUE"""),"L/18/311024/1")</f>
        <v>L/18/311024/1</v>
      </c>
      <c r="C768" s="19" t="str">
        <f>IFERROR(__xludf.DUMMYFUNCTION("""COMPUTED_VALUE"""),"HM 1915/GUNUNG TERANG")</f>
        <v>HM 1915/GUNUNG TERANG</v>
      </c>
      <c r="D768" s="17">
        <f>IFERROR(__xludf.DUMMYFUNCTION("""COMPUTED_VALUE"""),45596.46877386574)</f>
        <v>45596.46877</v>
      </c>
      <c r="E768" s="13" t="str">
        <f>IFERROR(__xludf.DUMMYFUNCTION("""COMPUTED_VALUE"""),"ROYA")</f>
        <v>ROYA</v>
      </c>
      <c r="F768" s="13" t="str">
        <f>IFERROR(__xludf.DUMMYFUNCTION("""COMPUTED_VALUE"""),"ERNAWATY SILVYA")</f>
        <v>ERNAWATY SILVYA</v>
      </c>
      <c r="G768" s="13">
        <f t="shared" si="1"/>
        <v>671</v>
      </c>
      <c r="H768" s="13" t="str">
        <f>IFERROR(__xludf.DUMMYFUNCTION("""COMPUTED_VALUE"""),"P0")</f>
        <v>P0</v>
      </c>
    </row>
    <row r="769" ht="22.5" customHeight="1">
      <c r="B769" s="19" t="str">
        <f>IFERROR(__xludf.DUMMYFUNCTION("""COMPUTED_VALUE"""),"L/19/311024/1")</f>
        <v>L/19/311024/1</v>
      </c>
      <c r="C769" s="19" t="str">
        <f>IFERROR(__xludf.DUMMYFUNCTION("""COMPUTED_VALUE"""),"M.2510/KP;B.175/KP-DAHULU")</f>
        <v>M.2510/KP;B.175/KP-DAHULU</v>
      </c>
      <c r="D769" s="17">
        <f>IFERROR(__xludf.DUMMYFUNCTION("""COMPUTED_VALUE"""),45596.476223680555)</f>
        <v>45596.47622</v>
      </c>
      <c r="E769" s="13" t="str">
        <f>IFERROR(__xludf.DUMMYFUNCTION("""COMPUTED_VALUE"""),"ROYA")</f>
        <v>ROYA</v>
      </c>
      <c r="F769" s="13" t="str">
        <f>IFERROR(__xludf.DUMMYFUNCTION("""COMPUTED_VALUE"""),"MANSYURSYAH BASTARI")</f>
        <v>MANSYURSYAH BASTARI</v>
      </c>
      <c r="G769" s="13">
        <f t="shared" si="1"/>
        <v>672</v>
      </c>
      <c r="H769" s="13" t="str">
        <f>IFERROR(__xludf.DUMMYFUNCTION("""COMPUTED_VALUE"""),"P0")</f>
        <v>P0</v>
      </c>
    </row>
    <row r="770" ht="22.5" customHeight="1">
      <c r="B770" s="19" t="str">
        <f>IFERROR(__xludf.DUMMYFUNCTION("""COMPUTED_VALUE"""),"K/20/311024/1")</f>
        <v>K/20/311024/1</v>
      </c>
      <c r="C770" s="19" t="str">
        <f>IFERROR(__xludf.DUMMYFUNCTION("""COMPUTED_VALUE"""),"M. 101/ P W K")</f>
        <v>M. 101/ P W K</v>
      </c>
      <c r="D770" s="17">
        <f>IFERROR(__xludf.DUMMYFUNCTION("""COMPUTED_VALUE"""),45596.48070280092)</f>
        <v>45596.4807</v>
      </c>
      <c r="E770" s="13" t="str">
        <f>IFERROR(__xludf.DUMMYFUNCTION("""COMPUTED_VALUE"""),"PTPGT (Pemecahan)")</f>
        <v>PTPGT (Pemecahan)</v>
      </c>
      <c r="F770" s="13" t="str">
        <f>IFERROR(__xludf.DUMMYFUNCTION("""COMPUTED_VALUE"""),"Priyo Susilo/ Lukita S")</f>
        <v>Priyo Susilo/ Lukita S</v>
      </c>
      <c r="G770" s="13">
        <f t="shared" si="1"/>
        <v>673</v>
      </c>
      <c r="H770" s="13" t="str">
        <f>IFERROR(__xludf.DUMMYFUNCTION("""COMPUTED_VALUE"""),"P0")</f>
        <v>P0</v>
      </c>
    </row>
    <row r="771" ht="22.5" customHeight="1">
      <c r="B771" s="19" t="str">
        <f>IFERROR(__xludf.DUMMYFUNCTION("""COMPUTED_VALUE"""),"K/21/311024/1")</f>
        <v>K/21/311024/1</v>
      </c>
      <c r="C771" s="19" t="str">
        <f>IFERROR(__xludf.DUMMYFUNCTION("""COMPUTED_VALUE"""),"M. 815/ PASIR GINTUNG")</f>
        <v>M. 815/ PASIR GINTUNG</v>
      </c>
      <c r="D771" s="17">
        <f>IFERROR(__xludf.DUMMYFUNCTION("""COMPUTED_VALUE"""),45596.48074636574)</f>
        <v>45596.48075</v>
      </c>
      <c r="E771" s="13" t="str">
        <f>IFERROR(__xludf.DUMMYFUNCTION("""COMPUTED_VALUE"""),"GANTI KECAMATAN")</f>
        <v>GANTI KECAMATAN</v>
      </c>
      <c r="F771" s="13" t="str">
        <f>IFERROR(__xludf.DUMMYFUNCTION("""COMPUTED_VALUE"""),"SAHRUL BAHRI/ EVI NURLELI")</f>
        <v>SAHRUL BAHRI/ EVI NURLELI</v>
      </c>
      <c r="G771" s="13">
        <f t="shared" si="1"/>
        <v>674</v>
      </c>
      <c r="H771" s="13" t="str">
        <f>IFERROR(__xludf.DUMMYFUNCTION("""COMPUTED_VALUE"""),"P0")</f>
        <v>P0</v>
      </c>
    </row>
    <row r="772" ht="22.5" customHeight="1">
      <c r="B772" s="19" t="str">
        <f>IFERROR(__xludf.DUMMYFUNCTION("""COMPUTED_VALUE"""),"K/22/311024/1")</f>
        <v>K/22/311024/1</v>
      </c>
      <c r="C772" s="19" t="str">
        <f>IFERROR(__xludf.DUMMYFUNCTION("""COMPUTED_VALUE"""),"B.698/NEGERI OLOK GADING")</f>
        <v>B.698/NEGERI OLOK GADING</v>
      </c>
      <c r="D772" s="17">
        <f>IFERROR(__xludf.DUMMYFUNCTION("""COMPUTED_VALUE"""),45596.48718287037)</f>
        <v>45596.48718</v>
      </c>
      <c r="E772" s="13" t="str">
        <f>IFERROR(__xludf.DUMMYFUNCTION("""COMPUTED_VALUE"""),"PENINGKATAN")</f>
        <v>PENINGKATAN</v>
      </c>
      <c r="F772" s="13" t="str">
        <f>IFERROR(__xludf.DUMMYFUNCTION("""COMPUTED_VALUE"""),"YETTY HERAWATY/M FAJAR DIFITRI")</f>
        <v>YETTY HERAWATY/M FAJAR DIFITRI</v>
      </c>
      <c r="G772" s="13">
        <f t="shared" si="1"/>
        <v>675</v>
      </c>
      <c r="H772" s="13" t="str">
        <f>IFERROR(__xludf.DUMMYFUNCTION("""COMPUTED_VALUE"""),"P0")</f>
        <v>P0</v>
      </c>
    </row>
    <row r="773" ht="22.5" customHeight="1">
      <c r="B773" s="19" t="str">
        <f>IFERROR(__xludf.DUMMYFUNCTION("""COMPUTED_VALUE"""),"K/23/311024/1")</f>
        <v>K/23/311024/1</v>
      </c>
      <c r="C773" s="19" t="str">
        <f>IFERROR(__xludf.DUMMYFUNCTION("""COMPUTED_VALUE"""),"M.3135/TANJUNG SENENG")</f>
        <v>M.3135/TANJUNG SENENG</v>
      </c>
      <c r="D773" s="17">
        <f>IFERROR(__xludf.DUMMYFUNCTION("""COMPUTED_VALUE"""),45596.48969113426)</f>
        <v>45596.48969</v>
      </c>
      <c r="E773" s="13" t="str">
        <f>IFERROR(__xludf.DUMMYFUNCTION("""COMPUTED_VALUE"""),"ROYA")</f>
        <v>ROYA</v>
      </c>
      <c r="F773" s="13" t="str">
        <f>IFERROR(__xludf.DUMMYFUNCTION("""COMPUTED_VALUE"""),"HERRI WIBOWO/ABDI  HARI KURNIAWAN")</f>
        <v>HERRI WIBOWO/ABDI  HARI KURNIAWAN</v>
      </c>
      <c r="G773" s="13">
        <f t="shared" si="1"/>
        <v>676</v>
      </c>
      <c r="H773" s="13" t="str">
        <f>IFERROR(__xludf.DUMMYFUNCTION("""COMPUTED_VALUE"""),"P0")</f>
        <v>P0</v>
      </c>
    </row>
    <row r="774" ht="22.5" customHeight="1">
      <c r="B774" s="19" t="str">
        <f>IFERROR(__xludf.DUMMYFUNCTION("""COMPUTED_VALUE"""),"K/24/311024/2")</f>
        <v>K/24/311024/2</v>
      </c>
      <c r="C774" s="19" t="str">
        <f>IFERROR(__xludf.DUMMYFUNCTION("""COMPUTED_VALUE"""),"M.11853/LABUHAN RATU")</f>
        <v>M.11853/LABUHAN RATU</v>
      </c>
      <c r="D774" s="17">
        <f>IFERROR(__xludf.DUMMYFUNCTION("""COMPUTED_VALUE"""),45596.49029321759)</f>
        <v>45596.49029</v>
      </c>
      <c r="E774" s="13" t="str">
        <f>IFERROR(__xludf.DUMMYFUNCTION("""COMPUTED_VALUE"""),"PLOTING")</f>
        <v>PLOTING</v>
      </c>
      <c r="F774" s="13" t="str">
        <f>IFERROR(__xludf.DUMMYFUNCTION("""COMPUTED_VALUE"""),"GIM DIRMAN/ABDI HARI KURNIAWAN")</f>
        <v>GIM DIRMAN/ABDI HARI KURNIAWAN</v>
      </c>
      <c r="G774" s="13">
        <f t="shared" si="1"/>
        <v>677</v>
      </c>
      <c r="H774" s="13" t="str">
        <f>IFERROR(__xludf.DUMMYFUNCTION("""COMPUTED_VALUE"""),"P0")</f>
        <v>P0</v>
      </c>
    </row>
    <row r="775" ht="22.5" customHeight="1">
      <c r="B775" s="19" t="str">
        <f>IFERROR(__xludf.DUMMYFUNCTION("""COMPUTED_VALUE"""),"L/25/311024/1")</f>
        <v>L/25/311024/1</v>
      </c>
      <c r="C775" s="19" t="str">
        <f>IFERROR(__xludf.DUMMYFUNCTION("""COMPUTED_VALUE"""),"M.10385/KEDAMAIAN")</f>
        <v>M.10385/KEDAMAIAN</v>
      </c>
      <c r="D775" s="17">
        <f>IFERROR(__xludf.DUMMYFUNCTION("""COMPUTED_VALUE"""),45596.491203425925)</f>
        <v>45596.4912</v>
      </c>
      <c r="E775" s="13" t="str">
        <f>IFERROR(__xludf.DUMMYFUNCTION("""COMPUTED_VALUE"""),"CEKPLOT HILANG")</f>
        <v>CEKPLOT HILANG</v>
      </c>
      <c r="F775" s="13" t="str">
        <f>IFERROR(__xludf.DUMMYFUNCTION("""COMPUTED_VALUE"""),"YOGI RIAWAN")</f>
        <v>YOGI RIAWAN</v>
      </c>
      <c r="G775" s="13">
        <f t="shared" si="1"/>
        <v>678</v>
      </c>
      <c r="H775" s="13" t="str">
        <f>IFERROR(__xludf.DUMMYFUNCTION("""COMPUTED_VALUE"""),"P0")</f>
        <v>P0</v>
      </c>
    </row>
    <row r="776" ht="22.5" customHeight="1">
      <c r="B776" s="19" t="str">
        <f>IFERROR(__xludf.DUMMYFUNCTION("""COMPUTED_VALUE"""),"L/26/311024/1")</f>
        <v>L/26/311024/1</v>
      </c>
      <c r="C776" s="19" t="str">
        <f>IFERROR(__xludf.DUMMYFUNCTION("""COMPUTED_VALUE"""),"HGB 138/KEMILING PERMAI")</f>
        <v>HGB 138/KEMILING PERMAI</v>
      </c>
      <c r="D776" s="17">
        <f>IFERROR(__xludf.DUMMYFUNCTION("""COMPUTED_VALUE"""),45596.55343010416)</f>
        <v>45596.55343</v>
      </c>
      <c r="E776" s="13" t="str">
        <f>IFERROR(__xludf.DUMMYFUNCTION("""COMPUTED_VALUE"""),"ROYA")</f>
        <v>ROYA</v>
      </c>
      <c r="F776" s="13" t="str">
        <f>IFERROR(__xludf.DUMMYFUNCTION("""COMPUTED_VALUE"""),"SUSISWO")</f>
        <v>SUSISWO</v>
      </c>
      <c r="G776" s="13">
        <f t="shared" si="1"/>
        <v>679</v>
      </c>
      <c r="H776" s="13" t="str">
        <f>IFERROR(__xludf.DUMMYFUNCTION("""COMPUTED_VALUE"""),"P0")</f>
        <v>P0</v>
      </c>
    </row>
    <row r="777" ht="22.5" customHeight="1">
      <c r="B777" s="19" t="str">
        <f>IFERROR(__xludf.DUMMYFUNCTION("""COMPUTED_VALUE"""),"L/27/311024/1")</f>
        <v>L/27/311024/1</v>
      </c>
      <c r="C777" s="19" t="str">
        <f>IFERROR(__xludf.DUMMYFUNCTION("""COMPUTED_VALUE"""),"M.2818/GU.T;B.92/GU.T-DAHULU")</f>
        <v>M.2818/GU.T;B.92/GU.T-DAHULU</v>
      </c>
      <c r="D777" s="17">
        <f>IFERROR(__xludf.DUMMYFUNCTION("""COMPUTED_VALUE"""),45596.55648914352)</f>
        <v>45596.55649</v>
      </c>
      <c r="E777" s="13" t="str">
        <f>IFERROR(__xludf.DUMMYFUNCTION("""COMPUTED_VALUE"""),"ROYA")</f>
        <v>ROYA</v>
      </c>
      <c r="F777" s="13" t="str">
        <f>IFERROR(__xludf.DUMMYFUNCTION("""COMPUTED_VALUE"""),"MUHAMAD YUSUF")</f>
        <v>MUHAMAD YUSUF</v>
      </c>
      <c r="G777" s="13">
        <f t="shared" si="1"/>
        <v>680</v>
      </c>
      <c r="H777" s="13" t="str">
        <f>IFERROR(__xludf.DUMMYFUNCTION("""COMPUTED_VALUE"""),"P0")</f>
        <v>P0</v>
      </c>
    </row>
    <row r="778" ht="22.5" customHeight="1">
      <c r="B778" s="19" t="str">
        <f>IFERROR(__xludf.DUMMYFUNCTION("""COMPUTED_VALUE"""),"K/28/311024/1")</f>
        <v>K/28/311024/1</v>
      </c>
      <c r="C778" s="19" t="str">
        <f>IFERROR(__xludf.DUMMYFUNCTION("""COMPUTED_VALUE"""),"B. 1546/ Sukabumi")</f>
        <v>B. 1546/ Sukabumi</v>
      </c>
      <c r="D778" s="17">
        <f>IFERROR(__xludf.DUMMYFUNCTION("""COMPUTED_VALUE"""),45596.5577418287)</f>
        <v>45596.55774</v>
      </c>
      <c r="E778" s="13" t="str">
        <f>IFERROR(__xludf.DUMMYFUNCTION("""COMPUTED_VALUE"""),"Perubahan Hak")</f>
        <v>Perubahan Hak</v>
      </c>
      <c r="F778" s="13" t="str">
        <f>IFERROR(__xludf.DUMMYFUNCTION("""COMPUTED_VALUE"""),"Destia Liana P/ Harti W")</f>
        <v>Destia Liana P/ Harti W</v>
      </c>
      <c r="G778" s="13">
        <f t="shared" si="1"/>
        <v>681</v>
      </c>
      <c r="H778" s="13" t="str">
        <f>IFERROR(__xludf.DUMMYFUNCTION("""COMPUTED_VALUE"""),"P0")</f>
        <v>P0</v>
      </c>
    </row>
    <row r="779" ht="22.5" customHeight="1">
      <c r="B779" s="19" t="str">
        <f>IFERROR(__xludf.DUMMYFUNCTION("""COMPUTED_VALUE"""),"K/29/311024/1")</f>
        <v>K/29/311024/1</v>
      </c>
      <c r="C779" s="19" t="str">
        <f>IFERROR(__xludf.DUMMYFUNCTION("""COMPUTED_VALUE"""),"B. 1655/ KANGKUNG")</f>
        <v>B. 1655/ KANGKUNG</v>
      </c>
      <c r="D779" s="17">
        <f>IFERROR(__xludf.DUMMYFUNCTION("""COMPUTED_VALUE"""),45596.56939053241)</f>
        <v>45596.56939</v>
      </c>
      <c r="E779" s="13" t="str">
        <f>IFERROR(__xludf.DUMMYFUNCTION("""COMPUTED_VALUE"""),"BN PHB")</f>
        <v>BN PHB</v>
      </c>
      <c r="F779" s="13" t="str">
        <f>IFERROR(__xludf.DUMMYFUNCTION("""COMPUTED_VALUE"""),"NANIK MARYANI/ HUMAIDI")</f>
        <v>NANIK MARYANI/ HUMAIDI</v>
      </c>
      <c r="G779" s="13">
        <f t="shared" si="1"/>
        <v>682</v>
      </c>
      <c r="H779" s="13" t="str">
        <f>IFERROR(__xludf.DUMMYFUNCTION("""COMPUTED_VALUE"""),"P0")</f>
        <v>P0</v>
      </c>
    </row>
    <row r="780" ht="22.5" customHeight="1">
      <c r="B780" s="19" t="str">
        <f>IFERROR(__xludf.DUMMYFUNCTION("""COMPUTED_VALUE"""),"K/32/311024/1")</f>
        <v>K/32/311024/1</v>
      </c>
      <c r="C780" s="19" t="str">
        <f>IFERROR(__xludf.DUMMYFUNCTION("""COMPUTED_VALUE"""),"M.11880/SEGALA MIDER")</f>
        <v>M.11880/SEGALA MIDER</v>
      </c>
      <c r="D780" s="17">
        <f>IFERROR(__xludf.DUMMYFUNCTION("""COMPUTED_VALUE"""),45596.57069361111)</f>
        <v>45596.57069</v>
      </c>
      <c r="E780" s="13" t="str">
        <f>IFERROR(__xludf.DUMMYFUNCTION("""COMPUTED_VALUE"""),"PLOTING")</f>
        <v>PLOTING</v>
      </c>
      <c r="F780" s="13" t="str">
        <f>IFERROR(__xludf.DUMMYFUNCTION("""COMPUTED_VALUE"""),"ABDUL MANAN/BUDI KRISTIANTO")</f>
        <v>ABDUL MANAN/BUDI KRISTIANTO</v>
      </c>
      <c r="G780" s="13">
        <f t="shared" si="1"/>
        <v>683</v>
      </c>
      <c r="H780" s="13" t="str">
        <f>IFERROR(__xludf.DUMMYFUNCTION("""COMPUTED_VALUE"""),"P0")</f>
        <v>P0</v>
      </c>
    </row>
    <row r="781" ht="22.5" customHeight="1">
      <c r="B781" s="19" t="str">
        <f>IFERROR(__xludf.DUMMYFUNCTION("""COMPUTED_VALUE"""),"K/33/311024/2")</f>
        <v>K/33/311024/2</v>
      </c>
      <c r="C781" s="19" t="str">
        <f>IFERROR(__xludf.DUMMYFUNCTION("""COMPUTED_VALUE"""),"M.9885/KEDATON")</f>
        <v>M.9885/KEDATON</v>
      </c>
      <c r="D781" s="17">
        <f>IFERROR(__xludf.DUMMYFUNCTION("""COMPUTED_VALUE"""),45596.5713421875)</f>
        <v>45596.57134</v>
      </c>
      <c r="E781" s="13" t="str">
        <f>IFERROR(__xludf.DUMMYFUNCTION("""COMPUTED_VALUE"""),"PLOTING")</f>
        <v>PLOTING</v>
      </c>
      <c r="F781" s="13" t="str">
        <f>IFERROR(__xludf.DUMMYFUNCTION("""COMPUTED_VALUE"""),"MAULANA MUHAMMAD RANGGA/BUDI KRISTIANTO")</f>
        <v>MAULANA MUHAMMAD RANGGA/BUDI KRISTIANTO</v>
      </c>
      <c r="G781" s="13">
        <f t="shared" si="1"/>
        <v>684</v>
      </c>
      <c r="H781" s="13" t="str">
        <f>IFERROR(__xludf.DUMMYFUNCTION("""COMPUTED_VALUE"""),"P0")</f>
        <v>P0</v>
      </c>
    </row>
    <row r="782" ht="22.5" customHeight="1">
      <c r="B782" s="19" t="str">
        <f>IFERROR(__xludf.DUMMYFUNCTION("""COMPUTED_VALUE"""),"K/34/311024/3")</f>
        <v>K/34/311024/3</v>
      </c>
      <c r="C782" s="19" t="str">
        <f>IFERROR(__xludf.DUMMYFUNCTION("""COMPUTED_VALUE"""),"B.535/BAKUNG")</f>
        <v>B.535/BAKUNG</v>
      </c>
      <c r="D782" s="17">
        <f>IFERROR(__xludf.DUMMYFUNCTION("""COMPUTED_VALUE"""),45596.572055763885)</f>
        <v>45596.57206</v>
      </c>
      <c r="E782" s="13" t="str">
        <f>IFERROR(__xludf.DUMMYFUNCTION("""COMPUTED_VALUE"""),"PLOTING")</f>
        <v>PLOTING</v>
      </c>
      <c r="F782" s="13" t="str">
        <f>IFERROR(__xludf.DUMMYFUNCTION("""COMPUTED_VALUE"""),"ANGELINA ALI/BUDI KRISTIANTO")</f>
        <v>ANGELINA ALI/BUDI KRISTIANTO</v>
      </c>
      <c r="G782" s="13">
        <f t="shared" si="1"/>
        <v>685</v>
      </c>
      <c r="H782" s="13" t="str">
        <f>IFERROR(__xludf.DUMMYFUNCTION("""COMPUTED_VALUE"""),"P0")</f>
        <v>P0</v>
      </c>
    </row>
    <row r="783" ht="22.5" customHeight="1">
      <c r="B783" s="19" t="str">
        <f>IFERROR(__xludf.DUMMYFUNCTION("""COMPUTED_VALUE"""),"K/30/311024/2")</f>
        <v>K/30/311024/2</v>
      </c>
      <c r="C783" s="19" t="str">
        <f>IFERROR(__xludf.DUMMYFUNCTION("""COMPUTED_VALUE"""),"M. 520/ Gunung Agung")</f>
        <v>M. 520/ Gunung Agung</v>
      </c>
      <c r="D783" s="17">
        <f>IFERROR(__xludf.DUMMYFUNCTION("""COMPUTED_VALUE"""),45596.57358271991)</f>
        <v>45596.57358</v>
      </c>
      <c r="E783" s="13" t="str">
        <f>IFERROR(__xludf.DUMMYFUNCTION("""COMPUTED_VALUE"""),"BN JUAL BELI")</f>
        <v>BN JUAL BELI</v>
      </c>
      <c r="F783" s="13" t="str">
        <f>IFERROR(__xludf.DUMMYFUNCTION("""COMPUTED_VALUE"""),"NANIK MARYANI")</f>
        <v>NANIK MARYANI</v>
      </c>
      <c r="G783" s="13">
        <f t="shared" si="1"/>
        <v>686</v>
      </c>
      <c r="H783" s="13" t="str">
        <f>IFERROR(__xludf.DUMMYFUNCTION("""COMPUTED_VALUE"""),"P0")</f>
        <v>P0</v>
      </c>
    </row>
    <row r="784" ht="22.5" customHeight="1">
      <c r="B784" s="19" t="str">
        <f>IFERROR(__xludf.DUMMYFUNCTION("""COMPUTED_VALUE"""),"K/35/311024/1")</f>
        <v>K/35/311024/1</v>
      </c>
      <c r="C784" s="19" t="str">
        <f>IFERROR(__xludf.DUMMYFUNCTION("""COMPUTED_VALUE"""),"M. 16570/ Sukabumi")</f>
        <v>M. 16570/ Sukabumi</v>
      </c>
      <c r="D784" s="17">
        <f>IFERROR(__xludf.DUMMYFUNCTION("""COMPUTED_VALUE"""),45596.57594938658)</f>
        <v>45596.57595</v>
      </c>
      <c r="E784" s="13" t="str">
        <f>IFERROR(__xludf.DUMMYFUNCTION("""COMPUTED_VALUE"""),"BN Jual Beli")</f>
        <v>BN Jual Beli</v>
      </c>
      <c r="F784" s="13" t="str">
        <f>IFERROR(__xludf.DUMMYFUNCTION("""COMPUTED_VALUE"""),"M. Arief S/ Maulia A P")</f>
        <v>M. Arief S/ Maulia A P</v>
      </c>
      <c r="G784" s="13">
        <f t="shared" si="1"/>
        <v>687</v>
      </c>
      <c r="H784" s="13" t="str">
        <f>IFERROR(__xludf.DUMMYFUNCTION("""COMPUTED_VALUE"""),"P0")</f>
        <v>P0</v>
      </c>
    </row>
    <row r="785" ht="22.5" customHeight="1">
      <c r="B785" s="19" t="str">
        <f>IFERROR(__xludf.DUMMYFUNCTION("""COMPUTED_VALUE"""),"K/31/311024/3")</f>
        <v>K/31/311024/3</v>
      </c>
      <c r="C785" s="19" t="str">
        <f>IFERROR(__xludf.DUMMYFUNCTION("""COMPUTED_VALUE"""),"M. 3998/ Rajabasa Jaya")</f>
        <v>M. 3998/ Rajabasa Jaya</v>
      </c>
      <c r="D785" s="17">
        <f>IFERROR(__xludf.DUMMYFUNCTION("""COMPUTED_VALUE"""),45596.575977291664)</f>
        <v>45596.57598</v>
      </c>
      <c r="E785" s="13" t="str">
        <f>IFERROR(__xludf.DUMMYFUNCTION("""COMPUTED_VALUE"""),"bn jual beli")</f>
        <v>bn jual beli</v>
      </c>
      <c r="F785" s="13" t="str">
        <f>IFERROR(__xludf.DUMMYFUNCTION("""COMPUTED_VALUE"""),"nanik/ dina")</f>
        <v>nanik/ dina</v>
      </c>
      <c r="G785" s="13">
        <f t="shared" si="1"/>
        <v>688</v>
      </c>
      <c r="H785" s="13" t="str">
        <f>IFERROR(__xludf.DUMMYFUNCTION("""COMPUTED_VALUE"""),"P0")</f>
        <v>P0</v>
      </c>
    </row>
    <row r="786" ht="22.5" customHeight="1">
      <c r="B786" s="19" t="str">
        <f>IFERROR(__xludf.DUMMYFUNCTION("""COMPUTED_VALUE"""),"K/36/311024/1")</f>
        <v>K/36/311024/1</v>
      </c>
      <c r="C786" s="19" t="str">
        <f>IFERROR(__xludf.DUMMYFUNCTION("""COMPUTED_VALUE"""),"B.571/NUSANTARA PERMAI-SEKARANG;B.616/CAMPANG RAYA-DAHULU")</f>
        <v>B.571/NUSANTARA PERMAI-SEKARANG;B.616/CAMPANG RAYA-DAHULU</v>
      </c>
      <c r="D786" s="17">
        <f>IFERROR(__xludf.DUMMYFUNCTION("""COMPUTED_VALUE"""),45596.57915755787)</f>
        <v>45596.57916</v>
      </c>
      <c r="E786" s="13" t="str">
        <f>IFERROR(__xludf.DUMMYFUNCTION("""COMPUTED_VALUE"""),"PENINGKATAN")</f>
        <v>PENINGKATAN</v>
      </c>
      <c r="F786" s="13" t="str">
        <f>IFERROR(__xludf.DUMMYFUNCTION("""COMPUTED_VALUE"""),"VONITA/RAFICO")</f>
        <v>VONITA/RAFICO</v>
      </c>
      <c r="G786" s="13">
        <f t="shared" si="1"/>
        <v>689</v>
      </c>
      <c r="H786" s="13" t="str">
        <f>IFERROR(__xludf.DUMMYFUNCTION("""COMPUTED_VALUE"""),"P0")</f>
        <v>P0</v>
      </c>
    </row>
    <row r="787" ht="22.5" customHeight="1">
      <c r="B787" s="19" t="str">
        <f>IFERROR(__xludf.DUMMYFUNCTION("""COMPUTED_VALUE"""),"K/37/311024/1")</f>
        <v>K/37/311024/1</v>
      </c>
      <c r="C787" s="19" t="str">
        <f>IFERROR(__xludf.DUMMYFUNCTION("""COMPUTED_VALUE"""),"M.9511/SIDODADI")</f>
        <v>M.9511/SIDODADI</v>
      </c>
      <c r="D787" s="17">
        <f>IFERROR(__xludf.DUMMYFUNCTION("""COMPUTED_VALUE"""),45596.57994122685)</f>
        <v>45596.57994</v>
      </c>
      <c r="E787" s="13" t="str">
        <f>IFERROR(__xludf.DUMMYFUNCTION("""COMPUTED_VALUE"""),"HIBAH")</f>
        <v>HIBAH</v>
      </c>
      <c r="F787" s="13" t="str">
        <f>IFERROR(__xludf.DUMMYFUNCTION("""COMPUTED_VALUE"""),"NYIMAS AYU ANGGUN SHINTIYA CS/LILIS DAMAYANTI")</f>
        <v>NYIMAS AYU ANGGUN SHINTIYA CS/LILIS DAMAYANTI</v>
      </c>
      <c r="G787" s="13">
        <f t="shared" si="1"/>
        <v>690</v>
      </c>
      <c r="H787" s="13" t="str">
        <f>IFERROR(__xludf.DUMMYFUNCTION("""COMPUTED_VALUE"""),"P0")</f>
        <v>P0</v>
      </c>
    </row>
    <row r="788" ht="22.5" customHeight="1">
      <c r="B788" s="19" t="str">
        <f>IFERROR(__xludf.DUMMYFUNCTION("""COMPUTED_VALUE"""),"K/38/311024/1")</f>
        <v>K/38/311024/1</v>
      </c>
      <c r="C788" s="19" t="str">
        <f>IFERROR(__xludf.DUMMYFUNCTION("""COMPUTED_VALUE"""),"M. 2181/ Kemiling Permai; SHT 1853/2019")</f>
        <v>M. 2181/ Kemiling Permai; SHT 1853/2019</v>
      </c>
      <c r="D788" s="17">
        <f>IFERROR(__xludf.DUMMYFUNCTION("""COMPUTED_VALUE"""),45596.58770575232)</f>
        <v>45596.58771</v>
      </c>
      <c r="E788" s="13" t="str">
        <f>IFERROR(__xludf.DUMMYFUNCTION("""COMPUTED_VALUE"""),"Ganti Nama Kreditur")</f>
        <v>Ganti Nama Kreditur</v>
      </c>
      <c r="F788" s="13" t="str">
        <f>IFERROR(__xludf.DUMMYFUNCTION("""COMPUTED_VALUE"""),"Ernawati/ Elvina (BPR Adji Caka)")</f>
        <v>Ernawati/ Elvina (BPR Adji Caka)</v>
      </c>
      <c r="G788" s="13">
        <f t="shared" si="1"/>
        <v>691</v>
      </c>
      <c r="H788" s="13" t="str">
        <f>IFERROR(__xludf.DUMMYFUNCTION("""COMPUTED_VALUE"""),"P0")</f>
        <v>P0</v>
      </c>
    </row>
    <row r="789" ht="22.5" customHeight="1">
      <c r="B789" s="19" t="str">
        <f>IFERROR(__xludf.DUMMYFUNCTION("""COMPUTED_VALUE"""),"K/39/311024/1")</f>
        <v>K/39/311024/1</v>
      </c>
      <c r="C789" s="19" t="str">
        <f>IFERROR(__xludf.DUMMYFUNCTION("""COMPUTED_VALUE"""),"M.183/LABUHAN RATU RAYA")</f>
        <v>M.183/LABUHAN RATU RAYA</v>
      </c>
      <c r="D789" s="17">
        <f>IFERROR(__xludf.DUMMYFUNCTION("""COMPUTED_VALUE"""),45596.59034563658)</f>
        <v>45596.59035</v>
      </c>
      <c r="E789" s="13" t="str">
        <f>IFERROR(__xludf.DUMMYFUNCTION("""COMPUTED_VALUE"""),"BN JUAL BELI")</f>
        <v>BN JUAL BELI</v>
      </c>
      <c r="F789" s="13" t="str">
        <f>IFERROR(__xludf.DUMMYFUNCTION("""COMPUTED_VALUE"""),"KASIRAH/CHRISTINA ULINA")</f>
        <v>KASIRAH/CHRISTINA ULINA</v>
      </c>
      <c r="G789" s="13">
        <f t="shared" si="1"/>
        <v>692</v>
      </c>
      <c r="H789" s="13" t="str">
        <f>IFERROR(__xludf.DUMMYFUNCTION("""COMPUTED_VALUE"""),"P0")</f>
        <v>P0</v>
      </c>
    </row>
    <row r="790" ht="22.5" customHeight="1">
      <c r="B790" s="19" t="str">
        <f>IFERROR(__xludf.DUMMYFUNCTION("""COMPUTED_VALUE"""),"K/40/311024/2")</f>
        <v>K/40/311024/2</v>
      </c>
      <c r="C790" s="19" t="str">
        <f>IFERROR(__xludf.DUMMYFUNCTION("""COMPUTED_VALUE"""),"M.1183/PERUMNAS WAY KANDIS")</f>
        <v>M.1183/PERUMNAS WAY KANDIS</v>
      </c>
      <c r="D790" s="17">
        <f>IFERROR(__xludf.DUMMYFUNCTION("""COMPUTED_VALUE"""),45596.59088243055)</f>
        <v>45596.59088</v>
      </c>
      <c r="E790" s="13" t="str">
        <f>IFERROR(__xludf.DUMMYFUNCTION("""COMPUTED_VALUE"""),"BN JUAL BELI")</f>
        <v>BN JUAL BELI</v>
      </c>
      <c r="F790" s="13" t="str">
        <f>IFERROR(__xludf.DUMMYFUNCTION("""COMPUTED_VALUE"""),"NURMA/CHRISTINA ULINA")</f>
        <v>NURMA/CHRISTINA ULINA</v>
      </c>
      <c r="G790" s="13">
        <f t="shared" si="1"/>
        <v>693</v>
      </c>
      <c r="H790" s="13" t="str">
        <f>IFERROR(__xludf.DUMMYFUNCTION("""COMPUTED_VALUE"""),"P0")</f>
        <v>P0</v>
      </c>
    </row>
    <row r="791" ht="22.5" customHeight="1">
      <c r="B791" s="19" t="str">
        <f>IFERROR(__xludf.DUMMYFUNCTION("""COMPUTED_VALUE"""),"K/42/151024/3")</f>
        <v>K/42/151024/3</v>
      </c>
      <c r="C791" s="19" t="str">
        <f>IFERROR(__xludf.DUMMYFUNCTION("""COMPUTED_VALUE"""),"M. 2589/ Kota Baru	")</f>
        <v>M. 2589/ Kota Baru	</v>
      </c>
      <c r="D791" s="17">
        <f>IFERROR(__xludf.DUMMYFUNCTION("""COMPUTED_VALUE"""),45596.594675810185)</f>
        <v>45596.59468</v>
      </c>
      <c r="E791" s="13" t="str">
        <f>IFERROR(__xludf.DUMMYFUNCTION("""COMPUTED_VALUE"""),"BN Kewarisan")</f>
        <v>BN Kewarisan</v>
      </c>
      <c r="F791" s="13" t="str">
        <f>IFERROR(__xludf.DUMMYFUNCTION("""COMPUTED_VALUE"""),"Fahrul Rozi/ Winarni")</f>
        <v>Fahrul Rozi/ Winarni</v>
      </c>
      <c r="G791" s="13">
        <f t="shared" si="1"/>
        <v>693</v>
      </c>
      <c r="H791" s="13" t="str">
        <f>IFERROR(__xludf.DUMMYFUNCTION("""COMPUTED_VALUE"""),"P1")</f>
        <v>P1</v>
      </c>
    </row>
    <row r="792" ht="22.5" customHeight="1">
      <c r="B792" s="19" t="str">
        <f>IFERROR(__xludf.DUMMYFUNCTION("""COMPUTED_VALUE"""),"K/41/311024/1")</f>
        <v>K/41/311024/1</v>
      </c>
      <c r="C792" s="19" t="str">
        <f>IFERROR(__xludf.DUMMYFUNCTION("""COMPUTED_VALUE"""),"M. 3912/ Sukadana Ham")</f>
        <v>M. 3912/ Sukadana Ham</v>
      </c>
      <c r="D792" s="17">
        <f>IFERROR(__xludf.DUMMYFUNCTION("""COMPUTED_VALUE"""),45596.59708099537)</f>
        <v>45596.59708</v>
      </c>
      <c r="E792" s="13" t="str">
        <f>IFERROR(__xludf.DUMMYFUNCTION("""COMPUTED_VALUE"""),"BN Jual Beli")</f>
        <v>BN Jual Beli</v>
      </c>
      <c r="F792" s="13" t="str">
        <f>IFERROR(__xludf.DUMMYFUNCTION("""COMPUTED_VALUE"""),"Reflan R/ Riang Budi S")</f>
        <v>Reflan R/ Riang Budi S</v>
      </c>
      <c r="G792" s="13">
        <f t="shared" si="1"/>
        <v>694</v>
      </c>
      <c r="H792" s="13" t="str">
        <f>IFERROR(__xludf.DUMMYFUNCTION("""COMPUTED_VALUE"""),"P0")</f>
        <v>P0</v>
      </c>
    </row>
    <row r="793" ht="22.5" customHeight="1">
      <c r="B793" s="19" t="str">
        <f>IFERROR(__xludf.DUMMYFUNCTION("""COMPUTED_VALUE"""),"K/42/311024/1")</f>
        <v>K/42/311024/1</v>
      </c>
      <c r="C793" s="19" t="str">
        <f>IFERROR(__xludf.DUMMYFUNCTION("""COMPUTED_VALUE"""),"M. 1333/ SEPANG JAYA")</f>
        <v>M. 1333/ SEPANG JAYA</v>
      </c>
      <c r="D793" s="17">
        <f>IFERROR(__xludf.DUMMYFUNCTION("""COMPUTED_VALUE"""),45596.600041446756)</f>
        <v>45596.60004</v>
      </c>
      <c r="E793" s="13" t="str">
        <f>IFERROR(__xludf.DUMMYFUNCTION("""COMPUTED_VALUE"""),"ROYA")</f>
        <v>ROYA</v>
      </c>
      <c r="F793" s="13" t="str">
        <f>IFERROR(__xludf.DUMMYFUNCTION("""COMPUTED_VALUE"""),"ILANUR")</f>
        <v>ILANUR</v>
      </c>
      <c r="G793" s="13">
        <f t="shared" si="1"/>
        <v>695</v>
      </c>
      <c r="H793" s="13" t="str">
        <f>IFERROR(__xludf.DUMMYFUNCTION("""COMPUTED_VALUE"""),"P0")</f>
        <v>P0</v>
      </c>
    </row>
    <row r="794" ht="22.5" customHeight="1">
      <c r="B794" s="19" t="str">
        <f>IFERROR(__xludf.DUMMYFUNCTION("""COMPUTED_VALUE"""),"K/43/311024/1")</f>
        <v>K/43/311024/1</v>
      </c>
      <c r="C794" s="19" t="str">
        <f>IFERROR(__xludf.DUMMYFUNCTION("""COMPUTED_VALUE"""),"M. 860/ Tanjung Gading")</f>
        <v>M. 860/ Tanjung Gading</v>
      </c>
      <c r="D794" s="17">
        <f>IFERROR(__xludf.DUMMYFUNCTION("""COMPUTED_VALUE"""),45596.60688508102)</f>
        <v>45596.60689</v>
      </c>
      <c r="E794" s="13" t="str">
        <f>IFERROR(__xludf.DUMMYFUNCTION("""COMPUTED_VALUE"""),"BN Hibah")</f>
        <v>BN Hibah</v>
      </c>
      <c r="F794" s="13" t="str">
        <f>IFERROR(__xludf.DUMMYFUNCTION("""COMPUTED_VALUE"""),"Budi K/ Vilyanti Fernandez W")</f>
        <v>Budi K/ Vilyanti Fernandez W</v>
      </c>
      <c r="G794" s="13">
        <f t="shared" si="1"/>
        <v>696</v>
      </c>
      <c r="H794" s="13" t="str">
        <f>IFERROR(__xludf.DUMMYFUNCTION("""COMPUTED_VALUE"""),"P0")</f>
        <v>P0</v>
      </c>
    </row>
    <row r="795" ht="22.5" customHeight="1">
      <c r="B795" s="19" t="str">
        <f>IFERROR(__xludf.DUMMYFUNCTION("""COMPUTED_VALUE"""),"K/44/311024/2")</f>
        <v>K/44/311024/2</v>
      </c>
      <c r="C795" s="19" t="str">
        <f>IFERROR(__xludf.DUMMYFUNCTION("""COMPUTED_VALUE"""),"M. 858/ Tanjung Gading")</f>
        <v>M. 858/ Tanjung Gading</v>
      </c>
      <c r="D795" s="17">
        <f>IFERROR(__xludf.DUMMYFUNCTION("""COMPUTED_VALUE"""),45596.6075806713)</f>
        <v>45596.60758</v>
      </c>
      <c r="E795" s="13" t="str">
        <f>IFERROR(__xludf.DUMMYFUNCTION("""COMPUTED_VALUE"""),"BN Hibah")</f>
        <v>BN Hibah</v>
      </c>
      <c r="F795" s="13" t="str">
        <f>IFERROR(__xludf.DUMMYFUNCTION("""COMPUTED_VALUE"""),"Budi K/ Vilaynti F W")</f>
        <v>Budi K/ Vilaynti F W</v>
      </c>
      <c r="G795" s="13">
        <f t="shared" si="1"/>
        <v>697</v>
      </c>
      <c r="H795" s="13" t="str">
        <f>IFERROR(__xludf.DUMMYFUNCTION("""COMPUTED_VALUE"""),"P0")</f>
        <v>P0</v>
      </c>
    </row>
    <row r="796" ht="22.5" customHeight="1">
      <c r="B796" s="19" t="str">
        <f>IFERROR(__xludf.DUMMYFUNCTION("""COMPUTED_VALUE"""),"L/46/311024/1")</f>
        <v>L/46/311024/1</v>
      </c>
      <c r="C796" s="19" t="str">
        <f>IFERROR(__xludf.DUMMYFUNCTION("""COMPUTED_VALUE"""),"M.1462/SS.B")</f>
        <v>M.1462/SS.B</v>
      </c>
      <c r="D796" s="17">
        <f>IFERROR(__xludf.DUMMYFUNCTION("""COMPUTED_VALUE"""),45596.6080325)</f>
        <v>45596.60803</v>
      </c>
      <c r="E796" s="13" t="str">
        <f>IFERROR(__xludf.DUMMYFUNCTION("""COMPUTED_VALUE"""),"ROYA")</f>
        <v>ROYA</v>
      </c>
      <c r="F796" s="13" t="str">
        <f>IFERROR(__xludf.DUMMYFUNCTION("""COMPUTED_VALUE"""),"EFENDI SUYANTO")</f>
        <v>EFENDI SUYANTO</v>
      </c>
      <c r="G796" s="13">
        <f t="shared" si="1"/>
        <v>698</v>
      </c>
      <c r="H796" s="13" t="str">
        <f>IFERROR(__xludf.DUMMYFUNCTION("""COMPUTED_VALUE"""),"P0")</f>
        <v>P0</v>
      </c>
    </row>
    <row r="797" ht="22.5" customHeight="1">
      <c r="B797" s="19" t="str">
        <f>IFERROR(__xludf.DUMMYFUNCTION("""COMPUTED_VALUE"""),"K/45/311024/3")</f>
        <v>K/45/311024/3</v>
      </c>
      <c r="C797" s="19" t="str">
        <f>IFERROR(__xludf.DUMMYFUNCTION("""COMPUTED_VALUE"""),"M. 859/ Tanjung Gading")</f>
        <v>M. 859/ Tanjung Gading</v>
      </c>
      <c r="D797" s="17">
        <f>IFERROR(__xludf.DUMMYFUNCTION("""COMPUTED_VALUE"""),45596.60879932871)</f>
        <v>45596.6088</v>
      </c>
      <c r="E797" s="13" t="str">
        <f>IFERROR(__xludf.DUMMYFUNCTION("""COMPUTED_VALUE"""),"BN Hibah")</f>
        <v>BN Hibah</v>
      </c>
      <c r="F797" s="13" t="str">
        <f>IFERROR(__xludf.DUMMYFUNCTION("""COMPUTED_VALUE"""),"Budi K/ Vilaynti Fernandez W")</f>
        <v>Budi K/ Vilaynti Fernandez W</v>
      </c>
      <c r="G797" s="13">
        <f t="shared" si="1"/>
        <v>699</v>
      </c>
      <c r="H797" s="13" t="str">
        <f>IFERROR(__xludf.DUMMYFUNCTION("""COMPUTED_VALUE"""),"P0")</f>
        <v>P0</v>
      </c>
    </row>
    <row r="798" ht="22.5" customHeight="1">
      <c r="B798" s="19" t="str">
        <f>IFERROR(__xludf.DUMMYFUNCTION("""COMPUTED_VALUE"""),"K/47/311024/1")</f>
        <v>K/47/311024/1</v>
      </c>
      <c r="C798" s="19" t="str">
        <f>IFERROR(__xludf.DUMMYFUNCTION("""COMPUTED_VALUE"""),"M. 1057/ BERINGIN RAYA")</f>
        <v>M. 1057/ BERINGIN RAYA</v>
      </c>
      <c r="D798" s="17">
        <f>IFERROR(__xludf.DUMMYFUNCTION("""COMPUTED_VALUE"""),45596.60972409722)</f>
        <v>45596.60972</v>
      </c>
      <c r="E798" s="13" t="str">
        <f>IFERROR(__xludf.DUMMYFUNCTION("""COMPUTED_VALUE"""),"GANTI KELURAHAN")</f>
        <v>GANTI KELURAHAN</v>
      </c>
      <c r="F798" s="13" t="str">
        <f>IFERROR(__xludf.DUMMYFUNCTION("""COMPUTED_VALUE"""),"SUJONO PARYONO")</f>
        <v>SUJONO PARYONO</v>
      </c>
      <c r="G798" s="13">
        <f t="shared" si="1"/>
        <v>700</v>
      </c>
      <c r="H798" s="13" t="str">
        <f>IFERROR(__xludf.DUMMYFUNCTION("""COMPUTED_VALUE"""),"P0")</f>
        <v>P0</v>
      </c>
    </row>
    <row r="799" ht="22.5" customHeight="1">
      <c r="B799" s="19" t="str">
        <f>IFERROR(__xludf.DUMMYFUNCTION("""COMPUTED_VALUE"""),"K/48/311024/1")</f>
        <v>K/48/311024/1</v>
      </c>
      <c r="C799" s="19" t="str">
        <f>IFERROR(__xludf.DUMMYFUNCTION("""COMPUTED_VALUE"""),"M.233/PERUMNAS WAY KANDIS-SEKARANG;B.233/KEDATON-DAHULU")</f>
        <v>M.233/PERUMNAS WAY KANDIS-SEKARANG;B.233/KEDATON-DAHULU</v>
      </c>
      <c r="D799" s="17">
        <f>IFERROR(__xludf.DUMMYFUNCTION("""COMPUTED_VALUE"""),45596.61166822916)</f>
        <v>45596.61167</v>
      </c>
      <c r="E799" s="13" t="str">
        <f>IFERROR(__xludf.DUMMYFUNCTION("""COMPUTED_VALUE"""),"Ploting")</f>
        <v>Ploting</v>
      </c>
      <c r="F799" s="13" t="str">
        <f>IFERROR(__xludf.DUMMYFUNCTION("""COMPUTED_VALUE"""),"SRI SURYANI CS/NOVALIA EKA PUTRI")</f>
        <v>SRI SURYANI CS/NOVALIA EKA PUTRI</v>
      </c>
      <c r="G799" s="13">
        <f t="shared" si="1"/>
        <v>701</v>
      </c>
      <c r="H799" s="13" t="str">
        <f>IFERROR(__xludf.DUMMYFUNCTION("""COMPUTED_VALUE"""),"P0")</f>
        <v>P0</v>
      </c>
    </row>
    <row r="800" ht="22.5" customHeight="1">
      <c r="B800" s="19" t="str">
        <f>IFERROR(__xludf.DUMMYFUNCTION("""COMPUTED_VALUE"""),"K/49/311024/2")</f>
        <v>K/49/311024/2</v>
      </c>
      <c r="C800" s="19" t="str">
        <f>IFERROR(__xludf.DUMMYFUNCTION("""COMPUTED_VALUE"""),"M.1351/WAY HALIM PERMAI-SEKARANG;B.437/JAGABAYA II-DAHULU")</f>
        <v>M.1351/WAY HALIM PERMAI-SEKARANG;B.437/JAGABAYA II-DAHULU</v>
      </c>
      <c r="D800" s="17">
        <f>IFERROR(__xludf.DUMMYFUNCTION("""COMPUTED_VALUE"""),45596.61253802083)</f>
        <v>45596.61254</v>
      </c>
      <c r="E800" s="13" t="str">
        <f>IFERROR(__xludf.DUMMYFUNCTION("""COMPUTED_VALUE"""),"PLOTING")</f>
        <v>PLOTING</v>
      </c>
      <c r="F800" s="13" t="str">
        <f>IFERROR(__xludf.DUMMYFUNCTION("""COMPUTED_VALUE"""),"ASTRID TANDIARI/NOVALIA EKA PUTRI")</f>
        <v>ASTRID TANDIARI/NOVALIA EKA PUTRI</v>
      </c>
      <c r="G800" s="13">
        <f t="shared" si="1"/>
        <v>702</v>
      </c>
      <c r="H800" s="13" t="str">
        <f>IFERROR(__xludf.DUMMYFUNCTION("""COMPUTED_VALUE"""),"P0")</f>
        <v>P0</v>
      </c>
    </row>
    <row r="801" ht="22.5" customHeight="1">
      <c r="B801" s="19" t="str">
        <f>IFERROR(__xludf.DUMMYFUNCTION("""COMPUTED_VALUE"""),"L/54/311024/1")</f>
        <v>L/54/311024/1</v>
      </c>
      <c r="C801" s="19" t="str">
        <f>IFERROR(__xludf.DUMMYFUNCTION("""COMPUTED_VALUE"""),"NIB 1772/SUKARAME")</f>
        <v>NIB 1772/SUKARAME</v>
      </c>
      <c r="D801" s="17">
        <f>IFERROR(__xludf.DUMMYFUNCTION("""COMPUTED_VALUE"""),45596.61309613426)</f>
        <v>45596.6131</v>
      </c>
      <c r="E801" s="13" t="str">
        <f>IFERROR(__xludf.DUMMYFUNCTION("""COMPUTED_VALUE"""),"BN LELANG")</f>
        <v>BN LELANG</v>
      </c>
      <c r="F801" s="13" t="str">
        <f>IFERROR(__xludf.DUMMYFUNCTION("""COMPUTED_VALUE"""),"ADRIAWAN TIRTA")</f>
        <v>ADRIAWAN TIRTA</v>
      </c>
      <c r="G801" s="13">
        <f t="shared" si="1"/>
        <v>703</v>
      </c>
      <c r="H801" s="13" t="str">
        <f>IFERROR(__xludf.DUMMYFUNCTION("""COMPUTED_VALUE"""),"P0")</f>
        <v>P0</v>
      </c>
    </row>
    <row r="802" ht="22.5" customHeight="1">
      <c r="B802" s="19" t="str">
        <f>IFERROR(__xludf.DUMMYFUNCTION("""COMPUTED_VALUE"""),"K/50/311024/3")</f>
        <v>K/50/311024/3</v>
      </c>
      <c r="C802" s="19" t="str">
        <f>IFERROR(__xludf.DUMMYFUNCTION("""COMPUTED_VALUE"""),"M.5980/WAY KANDIS")</f>
        <v>M.5980/WAY KANDIS</v>
      </c>
      <c r="D802" s="17">
        <f>IFERROR(__xludf.DUMMYFUNCTION("""COMPUTED_VALUE"""),45596.613222037035)</f>
        <v>45596.61322</v>
      </c>
      <c r="E802" s="13" t="str">
        <f>IFERROR(__xludf.DUMMYFUNCTION("""COMPUTED_VALUE"""),"KEWARISAN")</f>
        <v>KEWARISAN</v>
      </c>
      <c r="F802" s="13" t="str">
        <f>IFERROR(__xludf.DUMMYFUNCTION("""COMPUTED_VALUE"""),"MAIMUNAH CS/NOVALIA EKA PUTRI")</f>
        <v>MAIMUNAH CS/NOVALIA EKA PUTRI</v>
      </c>
      <c r="G802" s="13">
        <f t="shared" si="1"/>
        <v>704</v>
      </c>
      <c r="H802" s="13" t="str">
        <f>IFERROR(__xludf.DUMMYFUNCTION("""COMPUTED_VALUE"""),"P0")</f>
        <v>P0</v>
      </c>
    </row>
    <row r="803" ht="22.5" customHeight="1">
      <c r="B803" s="19" t="str">
        <f>IFERROR(__xludf.DUMMYFUNCTION("""COMPUTED_VALUE"""),"K/51/311024/4")</f>
        <v>K/51/311024/4</v>
      </c>
      <c r="C803" s="19" t="str">
        <f>IFERROR(__xludf.DUMMYFUNCTION("""COMPUTED_VALUE"""),"M.5979/WAY KANDIS")</f>
        <v>M.5979/WAY KANDIS</v>
      </c>
      <c r="D803" s="17">
        <f>IFERROR(__xludf.DUMMYFUNCTION("""COMPUTED_VALUE"""),45596.61385631944)</f>
        <v>45596.61386</v>
      </c>
      <c r="E803" s="13" t="str">
        <f>IFERROR(__xludf.DUMMYFUNCTION("""COMPUTED_VALUE"""),"KEWARISAN")</f>
        <v>KEWARISAN</v>
      </c>
      <c r="F803" s="13" t="str">
        <f>IFERROR(__xludf.DUMMYFUNCTION("""COMPUTED_VALUE"""),"MAIMUNAH CS/NOVALIA EKA PUTRI")</f>
        <v>MAIMUNAH CS/NOVALIA EKA PUTRI</v>
      </c>
      <c r="G803" s="13">
        <f t="shared" si="1"/>
        <v>705</v>
      </c>
      <c r="H803" s="13" t="str">
        <f>IFERROR(__xludf.DUMMYFUNCTION("""COMPUTED_VALUE"""),"P0")</f>
        <v>P0</v>
      </c>
    </row>
    <row r="804" ht="22.5" customHeight="1">
      <c r="B804" s="19" t="str">
        <f>IFERROR(__xludf.DUMMYFUNCTION("""COMPUTED_VALUE"""),"K/52/311024/1")</f>
        <v>K/52/311024/1</v>
      </c>
      <c r="C804" s="19" t="str">
        <f>IFERROR(__xludf.DUMMYFUNCTION("""COMPUTED_VALUE"""),"NIBEL 2355/ SUKABUMI")</f>
        <v>NIBEL 2355/ SUKABUMI</v>
      </c>
      <c r="D804" s="17">
        <f>IFERROR(__xludf.DUMMYFUNCTION("""COMPUTED_VALUE"""),45596.61394760417)</f>
        <v>45596.61395</v>
      </c>
      <c r="E804" s="13" t="str">
        <f>IFERROR(__xludf.DUMMYFUNCTION("""COMPUTED_VALUE"""),"PERUBAHAN HAK")</f>
        <v>PERUBAHAN HAK</v>
      </c>
      <c r="F804" s="13" t="str">
        <f>IFERROR(__xludf.DUMMYFUNCTION("""COMPUTED_VALUE"""),"RAHMADIYANTI")</f>
        <v>RAHMADIYANTI</v>
      </c>
      <c r="G804" s="13">
        <f t="shared" si="1"/>
        <v>706</v>
      </c>
      <c r="H804" s="13" t="str">
        <f>IFERROR(__xludf.DUMMYFUNCTION("""COMPUTED_VALUE"""),"P0")</f>
        <v>P0</v>
      </c>
    </row>
    <row r="805" ht="22.5" customHeight="1">
      <c r="B805" s="19" t="str">
        <f>IFERROR(__xludf.DUMMYFUNCTION("""COMPUTED_VALUE"""),"K/53/311024/2")</f>
        <v>K/53/311024/2</v>
      </c>
      <c r="C805" s="19" t="str">
        <f>IFERROR(__xludf.DUMMYFUNCTION("""COMPUTED_VALUE"""),"Nibel 2354/ Sukabumi")</f>
        <v>Nibel 2354/ Sukabumi</v>
      </c>
      <c r="D805" s="17">
        <f>IFERROR(__xludf.DUMMYFUNCTION("""COMPUTED_VALUE"""),45596.61590143519)</f>
        <v>45596.6159</v>
      </c>
      <c r="E805" s="13" t="str">
        <f>IFERROR(__xludf.DUMMYFUNCTION("""COMPUTED_VALUE"""),"perubahan hak")</f>
        <v>perubahan hak</v>
      </c>
      <c r="F805" s="13" t="str">
        <f>IFERROR(__xludf.DUMMYFUNCTION("""COMPUTED_VALUE"""),"annisa/ rahmadiyanti")</f>
        <v>annisa/ rahmadiyanti</v>
      </c>
      <c r="G805" s="13">
        <f t="shared" si="1"/>
        <v>707</v>
      </c>
      <c r="H805" s="13" t="str">
        <f>IFERROR(__xludf.DUMMYFUNCTION("""COMPUTED_VALUE"""),"P0")</f>
        <v>P0</v>
      </c>
    </row>
    <row r="806" ht="22.5" customHeight="1">
      <c r="B806" s="19" t="str">
        <f>IFERROR(__xludf.DUMMYFUNCTION("""COMPUTED_VALUE"""),"K/55/311024/2")</f>
        <v>K/55/311024/2</v>
      </c>
      <c r="C806" s="19" t="str">
        <f>IFERROR(__xludf.DUMMYFUNCTION("""COMPUTED_VALUE"""),"Nibel.M. 2744/ Sukarame Baru")</f>
        <v>Nibel.M. 2744/ Sukarame Baru</v>
      </c>
      <c r="D806" s="17">
        <f>IFERROR(__xludf.DUMMYFUNCTION("""COMPUTED_VALUE"""),45596.618478923614)</f>
        <v>45596.61848</v>
      </c>
      <c r="E806" s="13" t="str">
        <f>IFERROR(__xludf.DUMMYFUNCTION("""COMPUTED_VALUE"""),"PTPGT (Pemecahan)")</f>
        <v>PTPGT (Pemecahan)</v>
      </c>
      <c r="F806" s="13" t="str">
        <f>IFERROR(__xludf.DUMMYFUNCTION("""COMPUTED_VALUE"""),"Reflan R/ Radiyo")</f>
        <v>Reflan R/ Radiyo</v>
      </c>
      <c r="G806" s="13">
        <f t="shared" si="1"/>
        <v>708</v>
      </c>
      <c r="H806" s="13" t="str">
        <f>IFERROR(__xludf.DUMMYFUNCTION("""COMPUTED_VALUE"""),"P0")</f>
        <v>P0</v>
      </c>
    </row>
    <row r="807" ht="22.5" customHeight="1">
      <c r="B807" s="19" t="str">
        <f>IFERROR(__xludf.DUMMYFUNCTION("""COMPUTED_VALUE"""),"K/56/311024/3")</f>
        <v>K/56/311024/3</v>
      </c>
      <c r="C807" s="19" t="str">
        <f>IFERROR(__xludf.DUMMYFUNCTION("""COMPUTED_VALUE"""),"Nibel. M. 2743/ Sukarame Baru")</f>
        <v>Nibel. M. 2743/ Sukarame Baru</v>
      </c>
      <c r="D807" s="17">
        <f>IFERROR(__xludf.DUMMYFUNCTION("""COMPUTED_VALUE"""),45596.61927863426)</f>
        <v>45596.61928</v>
      </c>
      <c r="E807" s="13" t="str">
        <f>IFERROR(__xludf.DUMMYFUNCTION("""COMPUTED_VALUE"""),"PTPGT (Pemecahan)")</f>
        <v>PTPGT (Pemecahan)</v>
      </c>
      <c r="F807" s="13" t="str">
        <f>IFERROR(__xludf.DUMMYFUNCTION("""COMPUTED_VALUE"""),"Reflan R/ Radiyo")</f>
        <v>Reflan R/ Radiyo</v>
      </c>
      <c r="G807" s="13">
        <f t="shared" si="1"/>
        <v>709</v>
      </c>
      <c r="H807" s="13" t="str">
        <f>IFERROR(__xludf.DUMMYFUNCTION("""COMPUTED_VALUE"""),"P0")</f>
        <v>P0</v>
      </c>
    </row>
    <row r="808" ht="22.5" customHeight="1">
      <c r="B808" s="19" t="str">
        <f>IFERROR(__xludf.DUMMYFUNCTION("""COMPUTED_VALUE"""),"K/57/311024/1")</f>
        <v>K/57/311024/1</v>
      </c>
      <c r="C808" s="19" t="str">
        <f>IFERROR(__xludf.DUMMYFUNCTION("""COMPUTED_VALUE"""),"B. 581/ Sumber Agung")</f>
        <v>B. 581/ Sumber Agung</v>
      </c>
      <c r="D808" s="17">
        <f>IFERROR(__xludf.DUMMYFUNCTION("""COMPUTED_VALUE"""),45596.620140451385)</f>
        <v>45596.62014</v>
      </c>
      <c r="E808" s="13" t="str">
        <f>IFERROR(__xludf.DUMMYFUNCTION("""COMPUTED_VALUE"""),"BN JUAL BELI")</f>
        <v>BN JUAL BELI</v>
      </c>
      <c r="F808" s="13" t="str">
        <f>IFERROR(__xludf.DUMMYFUNCTION("""COMPUTED_VALUE"""),"ENDANG/ ENRIKO")</f>
        <v>ENDANG/ ENRIKO</v>
      </c>
      <c r="G808" s="13">
        <f t="shared" si="1"/>
        <v>710</v>
      </c>
      <c r="H808" s="13" t="str">
        <f>IFERROR(__xludf.DUMMYFUNCTION("""COMPUTED_VALUE"""),"P0")</f>
        <v>P0</v>
      </c>
    </row>
    <row r="809" ht="22.5" customHeight="1">
      <c r="B809" s="19" t="str">
        <f>IFERROR(__xludf.DUMMYFUNCTION("""COMPUTED_VALUE"""),"K/59/311024/1")</f>
        <v>K/59/311024/1</v>
      </c>
      <c r="C809" s="19" t="str">
        <f>IFERROR(__xludf.DUMMYFUNCTION("""COMPUTED_VALUE"""),"M.9662/KEDAMAIAN")</f>
        <v>M.9662/KEDAMAIAN</v>
      </c>
      <c r="D809" s="17">
        <f>IFERROR(__xludf.DUMMYFUNCTION("""COMPUTED_VALUE"""),45596.620208356486)</f>
        <v>45596.62021</v>
      </c>
      <c r="E809" s="13" t="str">
        <f>IFERROR(__xludf.DUMMYFUNCTION("""COMPUTED_VALUE"""),"PLOTING")</f>
        <v>PLOTING</v>
      </c>
      <c r="F809" s="13" t="str">
        <f>IFERROR(__xludf.DUMMYFUNCTION("""COMPUTED_VALUE"""),"ZUKI LOEKMAN/HERA AGUSTIANTI PUTRI")</f>
        <v>ZUKI LOEKMAN/HERA AGUSTIANTI PUTRI</v>
      </c>
      <c r="G809" s="13">
        <f t="shared" si="1"/>
        <v>711</v>
      </c>
      <c r="H809" s="13" t="str">
        <f>IFERROR(__xludf.DUMMYFUNCTION("""COMPUTED_VALUE"""),"P0")</f>
        <v>P0</v>
      </c>
    </row>
    <row r="810" ht="22.5" customHeight="1">
      <c r="B810" s="19" t="str">
        <f>IFERROR(__xludf.DUMMYFUNCTION("""COMPUTED_VALUE"""),"K/62/221024/2")</f>
        <v>K/62/221024/2</v>
      </c>
      <c r="C810" s="19" t="str">
        <f>IFERROR(__xludf.DUMMYFUNCTION("""COMPUTED_VALUE"""),"M. 1603/ Bumi Kedamaian	")</f>
        <v>M. 1603/ Bumi Kedamaian	</v>
      </c>
      <c r="D810" s="17">
        <f>IFERROR(__xludf.DUMMYFUNCTION("""COMPUTED_VALUE"""),45596.620348321754)</f>
        <v>45596.62035</v>
      </c>
      <c r="E810" s="13" t="str">
        <f>IFERROR(__xludf.DUMMYFUNCTION("""COMPUTED_VALUE"""),"BN Jual Beli")</f>
        <v>BN Jual Beli</v>
      </c>
      <c r="F810" s="13" t="str">
        <f>IFERROR(__xludf.DUMMYFUNCTION("""COMPUTED_VALUE"""),"Andrianto/ Eka Wijaya	")</f>
        <v>Andrianto/ Eka Wijaya	</v>
      </c>
      <c r="G810" s="13">
        <f t="shared" si="1"/>
        <v>711</v>
      </c>
      <c r="H810" s="13" t="str">
        <f>IFERROR(__xludf.DUMMYFUNCTION("""COMPUTED_VALUE"""),"P1")</f>
        <v>P1</v>
      </c>
    </row>
    <row r="811" ht="22.5" customHeight="1">
      <c r="B811" s="19" t="str">
        <f>IFERROR(__xludf.DUMMYFUNCTION("""COMPUTED_VALUE"""),"K/20/251024/1")</f>
        <v>K/20/251024/1</v>
      </c>
      <c r="C811" s="19" t="str">
        <f>IFERROR(__xludf.DUMMYFUNCTION("""COMPUTED_VALUE"""),"M. 2051/ L R R; M. 11392/ L R	")</f>
        <v>M. 2051/ L R R; M. 11392/ L R	</v>
      </c>
      <c r="D811" s="17">
        <f>IFERROR(__xludf.DUMMYFUNCTION("""COMPUTED_VALUE"""),45596.621024699074)</f>
        <v>45596.62102</v>
      </c>
      <c r="E811" s="13" t="str">
        <f>IFERROR(__xludf.DUMMYFUNCTION("""COMPUTED_VALUE"""),"BN Jual Beli")</f>
        <v>BN Jual Beli</v>
      </c>
      <c r="F811" s="13" t="str">
        <f>IFERROR(__xludf.DUMMYFUNCTION("""COMPUTED_VALUE"""),"Agustina S/ Erdi Purnomo	")</f>
        <v>Agustina S/ Erdi Purnomo	</v>
      </c>
      <c r="G811" s="13">
        <f t="shared" si="1"/>
        <v>711</v>
      </c>
      <c r="H811" s="13" t="str">
        <f>IFERROR(__xludf.DUMMYFUNCTION("""COMPUTED_VALUE"""),"P1")</f>
        <v>P1</v>
      </c>
    </row>
    <row r="812" ht="22.5" customHeight="1">
      <c r="B812" s="19" t="str">
        <f>IFERROR(__xludf.DUMMYFUNCTION("""COMPUTED_VALUE"""),"K/60/311024/1")</f>
        <v>K/60/311024/1</v>
      </c>
      <c r="C812" s="19" t="str">
        <f>IFERROR(__xludf.DUMMYFUNCTION("""COMPUTED_VALUE"""),"M. 12416/ Sukabumi; B. 4544/ Sukabumi")</f>
        <v>M. 12416/ Sukabumi; B. 4544/ Sukabumi</v>
      </c>
      <c r="D812" s="17">
        <f>IFERROR(__xludf.DUMMYFUNCTION("""COMPUTED_VALUE"""),45596.62287425926)</f>
        <v>45596.62287</v>
      </c>
      <c r="E812" s="13" t="str">
        <f>IFERROR(__xludf.DUMMYFUNCTION("""COMPUTED_VALUE"""),"BN Jual Beli")</f>
        <v>BN Jual Beli</v>
      </c>
      <c r="F812" s="13" t="str">
        <f>IFERROR(__xludf.DUMMYFUNCTION("""COMPUTED_VALUE"""),"Mahfud/ Eka C ")</f>
        <v>Mahfud/ Eka C </v>
      </c>
      <c r="G812" s="13">
        <f t="shared" si="1"/>
        <v>712</v>
      </c>
      <c r="H812" s="13" t="str">
        <f>IFERROR(__xludf.DUMMYFUNCTION("""COMPUTED_VALUE"""),"P0")</f>
        <v>P0</v>
      </c>
    </row>
    <row r="813" ht="22.5" customHeight="1">
      <c r="B813" s="19" t="str">
        <f>IFERROR(__xludf.DUMMYFUNCTION("""COMPUTED_VALUE"""),"K/44/241024/1")</f>
        <v>K/44/241024/1</v>
      </c>
      <c r="C813" s="19" t="str">
        <f>IFERROR(__xludf.DUMMYFUNCTION("""COMPUTED_VALUE"""),"M.6404/WAY KANDIS ")</f>
        <v>M.6404/WAY KANDIS </v>
      </c>
      <c r="D813" s="17">
        <f>IFERROR(__xludf.DUMMYFUNCTION("""COMPUTED_VALUE"""),45596.62394355324)</f>
        <v>45596.62394</v>
      </c>
      <c r="E813" s="13" t="str">
        <f>IFERROR(__xludf.DUMMYFUNCTION("""COMPUTED_VALUE"""),"BN JUAL BELI")</f>
        <v>BN JUAL BELI</v>
      </c>
      <c r="F813" s="13" t="str">
        <f>IFERROR(__xludf.DUMMYFUNCTION("""COMPUTED_VALUE"""),"SOLIHIN SAPUTRA/RICHARD ADI P")</f>
        <v>SOLIHIN SAPUTRA/RICHARD ADI P</v>
      </c>
      <c r="G813" s="13">
        <f t="shared" si="1"/>
        <v>712</v>
      </c>
      <c r="H813" s="13" t="str">
        <f>IFERROR(__xludf.DUMMYFUNCTION("""COMPUTED_VALUE"""),"P1")</f>
        <v>P1</v>
      </c>
    </row>
    <row r="814" ht="22.5" customHeight="1">
      <c r="B814" s="19" t="str">
        <f>IFERROR(__xludf.DUMMYFUNCTION("""COMPUTED_VALUE"""),"K/58/311024/2")</f>
        <v>K/58/311024/2</v>
      </c>
      <c r="C814" s="19" t="str">
        <f>IFERROR(__xludf.DUMMYFUNCTION("""COMPUTED_VALUE"""),"M. 6488/ Way Kandis")</f>
        <v>M. 6488/ Way Kandis</v>
      </c>
      <c r="D814" s="17">
        <f>IFERROR(__xludf.DUMMYFUNCTION("""COMPUTED_VALUE"""),45596.62435655092)</f>
        <v>45596.62436</v>
      </c>
      <c r="E814" s="13" t="str">
        <f>IFERROR(__xludf.DUMMYFUNCTION("""COMPUTED_VALUE"""),"BN JUAL BELI")</f>
        <v>BN JUAL BELI</v>
      </c>
      <c r="F814" s="13" t="str">
        <f>IFERROR(__xludf.DUMMYFUNCTION("""COMPUTED_VALUE"""),"endang aprilia/ ingga")</f>
        <v>endang aprilia/ ingga</v>
      </c>
      <c r="G814" s="13">
        <f t="shared" si="1"/>
        <v>713</v>
      </c>
      <c r="H814" s="13" t="str">
        <f>IFERROR(__xludf.DUMMYFUNCTION("""COMPUTED_VALUE"""),"P0")</f>
        <v>P0</v>
      </c>
    </row>
    <row r="815" ht="22.5" customHeight="1">
      <c r="B815" s="19" t="str">
        <f>IFERROR(__xludf.DUMMYFUNCTION("""COMPUTED_VALUE"""),"K/45/241024/2")</f>
        <v>K/45/241024/2</v>
      </c>
      <c r="C815" s="19" t="str">
        <f>IFERROR(__xludf.DUMMYFUNCTION("""COMPUTED_VALUE"""),"M. 6618/TANJUNG SENENG")</f>
        <v>M. 6618/TANJUNG SENENG</v>
      </c>
      <c r="D815" s="17">
        <f>IFERROR(__xludf.DUMMYFUNCTION("""COMPUTED_VALUE"""),45596.62440847223)</f>
        <v>45596.62441</v>
      </c>
      <c r="E815" s="13" t="str">
        <f>IFERROR(__xludf.DUMMYFUNCTION("""COMPUTED_VALUE"""),"BN JUAL BELI")</f>
        <v>BN JUAL BELI</v>
      </c>
      <c r="F815" s="13" t="str">
        <f>IFERROR(__xludf.DUMMYFUNCTION("""COMPUTED_VALUE"""),"PRIO NUR UTOMO/RICHARD ADI P")</f>
        <v>PRIO NUR UTOMO/RICHARD ADI P</v>
      </c>
      <c r="G815" s="13">
        <f t="shared" si="1"/>
        <v>713</v>
      </c>
      <c r="H815" s="13" t="str">
        <f>IFERROR(__xludf.DUMMYFUNCTION("""COMPUTED_VALUE"""),"P1")</f>
        <v>P1</v>
      </c>
    </row>
    <row r="816" ht="22.5" customHeight="1">
      <c r="B816" s="19" t="str">
        <f>IFERROR(__xludf.DUMMYFUNCTION("""COMPUTED_VALUE"""),"K/61/311024/2")</f>
        <v>K/61/311024/2</v>
      </c>
      <c r="C816" s="19" t="str">
        <f>IFERROR(__xludf.DUMMYFUNCTION("""COMPUTED_VALUE"""),"B. 944/ Kedaton")</f>
        <v>B. 944/ Kedaton</v>
      </c>
      <c r="D816" s="17">
        <f>IFERROR(__xludf.DUMMYFUNCTION("""COMPUTED_VALUE"""),45596.626555497685)</f>
        <v>45596.62656</v>
      </c>
      <c r="E816" s="13" t="str">
        <f>IFERROR(__xludf.DUMMYFUNCTION("""COMPUTED_VALUE"""),"Pengukuran HGB Berakhir")</f>
        <v>Pengukuran HGB Berakhir</v>
      </c>
      <c r="F816" s="13" t="str">
        <f>IFERROR(__xludf.DUMMYFUNCTION("""COMPUTED_VALUE"""),"Mahfud/ Bambang P")</f>
        <v>Mahfud/ Bambang P</v>
      </c>
      <c r="G816" s="13">
        <f t="shared" si="1"/>
        <v>714</v>
      </c>
      <c r="H816" s="13" t="str">
        <f>IFERROR(__xludf.DUMMYFUNCTION("""COMPUTED_VALUE"""),"P0")</f>
        <v>P0</v>
      </c>
    </row>
    <row r="817" ht="22.5" customHeight="1">
      <c r="B817" s="19" t="str">
        <f>IFERROR(__xludf.DUMMYFUNCTION("""COMPUTED_VALUE"""),"K/62/311024/3")</f>
        <v>K/62/311024/3</v>
      </c>
      <c r="C817" s="19" t="str">
        <f>IFERROR(__xludf.DUMMYFUNCTION("""COMPUTED_VALUE"""),"B. 578/ Sumber Agung")</f>
        <v>B. 578/ Sumber Agung</v>
      </c>
      <c r="D817" s="17">
        <f>IFERROR(__xludf.DUMMYFUNCTION("""COMPUTED_VALUE"""),45596.62730050926)</f>
        <v>45596.6273</v>
      </c>
      <c r="E817" s="13" t="str">
        <f>IFERROR(__xludf.DUMMYFUNCTION("""COMPUTED_VALUE"""),"bn jual beli")</f>
        <v>bn jual beli</v>
      </c>
      <c r="F817" s="13" t="str">
        <f>IFERROR(__xludf.DUMMYFUNCTION("""COMPUTED_VALUE"""),"endang aprilia/ billy")</f>
        <v>endang aprilia/ billy</v>
      </c>
      <c r="G817" s="13">
        <f t="shared" si="1"/>
        <v>715</v>
      </c>
      <c r="H817" s="13" t="str">
        <f>IFERROR(__xludf.DUMMYFUNCTION("""COMPUTED_VALUE"""),"P0")</f>
        <v>P0</v>
      </c>
    </row>
    <row r="818" ht="22.5" customHeight="1">
      <c r="B818" s="19" t="str">
        <f>IFERROR(__xludf.DUMMYFUNCTION("""COMPUTED_VALUE"""),"K/65/311024/2")</f>
        <v>K/65/311024/2</v>
      </c>
      <c r="C818" s="19" t="str">
        <f>IFERROR(__xludf.DUMMYFUNCTION("""COMPUTED_VALUE"""),"B. 103/ Nusantara Permai")</f>
        <v>B. 103/ Nusantara Permai</v>
      </c>
      <c r="D818" s="17">
        <f>IFERROR(__xludf.DUMMYFUNCTION("""COMPUTED_VALUE"""),45596.63629956018)</f>
        <v>45596.6363</v>
      </c>
      <c r="E818" s="13" t="str">
        <f>IFERROR(__xludf.DUMMYFUNCTION("""COMPUTED_VALUE"""),"BN Jual Beli")</f>
        <v>BN Jual Beli</v>
      </c>
      <c r="F818" s="13" t="str">
        <f>IFERROR(__xludf.DUMMYFUNCTION("""COMPUTED_VALUE"""),"Richard Adi P/ Chytia R M")</f>
        <v>Richard Adi P/ Chytia R M</v>
      </c>
      <c r="G818" s="13">
        <f t="shared" si="1"/>
        <v>716</v>
      </c>
      <c r="H818" s="13" t="str">
        <f>IFERROR(__xludf.DUMMYFUNCTION("""COMPUTED_VALUE"""),"P0")</f>
        <v>P0</v>
      </c>
    </row>
    <row r="819" ht="22.5" customHeight="1">
      <c r="B819" s="19" t="str">
        <f>IFERROR(__xludf.DUMMYFUNCTION("""COMPUTED_VALUE"""),"K/66/311024/1")</f>
        <v>K/66/311024/1</v>
      </c>
      <c r="C819" s="19" t="str">
        <f>IFERROR(__xludf.DUMMYFUNCTION("""COMPUTED_VALUE"""),"M. 1871/ Tanjung Seneng")</f>
        <v>M. 1871/ Tanjung Seneng</v>
      </c>
      <c r="D819" s="17">
        <f>IFERROR(__xludf.DUMMYFUNCTION("""COMPUTED_VALUE"""),45596.63841480324)</f>
        <v>45596.63841</v>
      </c>
      <c r="E819" s="13" t="str">
        <f>IFERROR(__xludf.DUMMYFUNCTION("""COMPUTED_VALUE"""),"BN LELANG")</f>
        <v>BN LELANG</v>
      </c>
      <c r="F819" s="13" t="str">
        <f>IFERROR(__xludf.DUMMYFUNCTION("""COMPUTED_VALUE"""),"ZAMRONI/ WIDODO")</f>
        <v>ZAMRONI/ WIDODO</v>
      </c>
      <c r="G819" s="13">
        <f t="shared" si="1"/>
        <v>717</v>
      </c>
      <c r="H819" s="13" t="str">
        <f>IFERROR(__xludf.DUMMYFUNCTION("""COMPUTED_VALUE"""),"P0")</f>
        <v>P0</v>
      </c>
    </row>
    <row r="820" ht="22.5" customHeight="1">
      <c r="B820" s="19" t="str">
        <f>IFERROR(__xludf.DUMMYFUNCTION("""COMPUTED_VALUE"""),"K/64/311024/1")</f>
        <v>K/64/311024/1</v>
      </c>
      <c r="C820" s="19" t="str">
        <f>IFERROR(__xludf.DUMMYFUNCTION("""COMPUTED_VALUE"""),"B. 256/ Nusantara Permai")</f>
        <v>B. 256/ Nusantara Permai</v>
      </c>
      <c r="D820" s="17">
        <f>IFERROR(__xludf.DUMMYFUNCTION("""COMPUTED_VALUE"""),45596.6390727199)</f>
        <v>45596.63907</v>
      </c>
      <c r="E820" s="13" t="str">
        <f>IFERROR(__xludf.DUMMYFUNCTION("""COMPUTED_VALUE"""),"BN Jual Beli")</f>
        <v>BN Jual Beli</v>
      </c>
      <c r="F820" s="13" t="str">
        <f>IFERROR(__xludf.DUMMYFUNCTION("""COMPUTED_VALUE"""),"Richard Adi P/ Ferawati J")</f>
        <v>Richard Adi P/ Ferawati J</v>
      </c>
      <c r="G820" s="13">
        <f t="shared" si="1"/>
        <v>718</v>
      </c>
      <c r="H820" s="13" t="str">
        <f>IFERROR(__xludf.DUMMYFUNCTION("""COMPUTED_VALUE"""),"P0")</f>
        <v>P0</v>
      </c>
    </row>
    <row r="821" ht="22.5" customHeight="1">
      <c r="B821" s="19" t="str">
        <f>IFERROR(__xludf.DUMMYFUNCTION("""COMPUTED_VALUE"""),"K/67/311024/1")</f>
        <v>K/67/311024/1</v>
      </c>
      <c r="C821" s="19" t="str">
        <f>IFERROR(__xludf.DUMMYFUNCTION("""COMPUTED_VALUE"""),"M.2446/RAJABASA JAYA")</f>
        <v>M.2446/RAJABASA JAYA</v>
      </c>
      <c r="D821" s="17">
        <f>IFERROR(__xludf.DUMMYFUNCTION("""COMPUTED_VALUE"""),45596.64137857639)</f>
        <v>45596.64138</v>
      </c>
      <c r="E821" s="13" t="str">
        <f>IFERROR(__xludf.DUMMYFUNCTION("""COMPUTED_VALUE"""),"BN JUAL BELI")</f>
        <v>BN JUAL BELI</v>
      </c>
      <c r="F821" s="13" t="str">
        <f>IFERROR(__xludf.DUMMYFUNCTION("""COMPUTED_VALUE"""),"WINDA KARTIKA/ANDRY YULIAN")</f>
        <v>WINDA KARTIKA/ANDRY YULIAN</v>
      </c>
      <c r="G821" s="13">
        <f t="shared" si="1"/>
        <v>719</v>
      </c>
      <c r="H821" s="13" t="str">
        <f>IFERROR(__xludf.DUMMYFUNCTION("""COMPUTED_VALUE"""),"P0")</f>
        <v>P0</v>
      </c>
    </row>
    <row r="822" ht="22.5" customHeight="1">
      <c r="B822" s="19" t="str">
        <f>IFERROR(__xludf.DUMMYFUNCTION("""COMPUTED_VALUE"""),"K/68/311024/2")</f>
        <v>K/68/311024/2</v>
      </c>
      <c r="C822" s="19" t="str">
        <f>IFERROR(__xludf.DUMMYFUNCTION("""COMPUTED_VALUE"""),"M.11378/SEGALA MIDER")</f>
        <v>M.11378/SEGALA MIDER</v>
      </c>
      <c r="D822" s="17">
        <f>IFERROR(__xludf.DUMMYFUNCTION("""COMPUTED_VALUE"""),45596.64218589121)</f>
        <v>45596.64219</v>
      </c>
      <c r="E822" s="13" t="str">
        <f>IFERROR(__xludf.DUMMYFUNCTION("""COMPUTED_VALUE"""),"BN JUAL BELI")</f>
        <v>BN JUAL BELI</v>
      </c>
      <c r="F822" s="13" t="str">
        <f>IFERROR(__xludf.DUMMYFUNCTION("""COMPUTED_VALUE"""),"MOHAMAD FADIL/DEWI SUKMASARI")</f>
        <v>MOHAMAD FADIL/DEWI SUKMASARI</v>
      </c>
      <c r="G822" s="13">
        <f t="shared" si="1"/>
        <v>720</v>
      </c>
      <c r="H822" s="13" t="str">
        <f>IFERROR(__xludf.DUMMYFUNCTION("""COMPUTED_VALUE"""),"P0")</f>
        <v>P0</v>
      </c>
    </row>
    <row r="823" ht="22.5" customHeight="1">
      <c r="B823" s="19" t="str">
        <f>IFERROR(__xludf.DUMMYFUNCTION("""COMPUTED_VALUE"""),"K/69/311024/3")</f>
        <v>K/69/311024/3</v>
      </c>
      <c r="C823" s="19" t="str">
        <f>IFERROR(__xludf.DUMMYFUNCTION("""COMPUTED_VALUE"""),"M.10150/SUKAMENANTI")</f>
        <v>M.10150/SUKAMENANTI</v>
      </c>
      <c r="D823" s="17">
        <f>IFERROR(__xludf.DUMMYFUNCTION("""COMPUTED_VALUE"""),45596.64292925926)</f>
        <v>45596.64293</v>
      </c>
      <c r="E823" s="13" t="str">
        <f>IFERROR(__xludf.DUMMYFUNCTION("""COMPUTED_VALUE"""),"BN JUAL BELI")</f>
        <v>BN JUAL BELI</v>
      </c>
      <c r="F823" s="13" t="str">
        <f>IFERROR(__xludf.DUMMYFUNCTION("""COMPUTED_VALUE"""),"SRI RISMA YENNY/DWI SUKMASARI")</f>
        <v>SRI RISMA YENNY/DWI SUKMASARI</v>
      </c>
      <c r="G823" s="13">
        <f t="shared" si="1"/>
        <v>721</v>
      </c>
      <c r="H823" s="13" t="str">
        <f>IFERROR(__xludf.DUMMYFUNCTION("""COMPUTED_VALUE"""),"P0")</f>
        <v>P0</v>
      </c>
    </row>
    <row r="824" ht="22.5" customHeight="1">
      <c r="B824" s="19" t="str">
        <f>IFERROR(__xludf.DUMMYFUNCTION("""COMPUTED_VALUE"""),"K/1/45597/1")</f>
        <v>K/1/45597/1</v>
      </c>
      <c r="C824" s="19" t="str">
        <f>IFERROR(__xludf.DUMMYFUNCTION("""COMPUTED_VALUE"""),"M.4660/LANGKAPURA")</f>
        <v>M.4660/LANGKAPURA</v>
      </c>
      <c r="D824" s="17">
        <f>IFERROR(__xludf.DUMMYFUNCTION("""COMPUTED_VALUE"""),45597.36252697917)</f>
        <v>45597.36253</v>
      </c>
      <c r="E824" s="13" t="str">
        <f>IFERROR(__xludf.DUMMYFUNCTION("""COMPUTED_VALUE"""),"HAPUS BPHTB")</f>
        <v>HAPUS BPHTB</v>
      </c>
      <c r="F824" s="13" t="str">
        <f>IFERROR(__xludf.DUMMYFUNCTION("""COMPUTED_VALUE"""),"AZHAR KOMAR/RUMAIDA ")</f>
        <v>AZHAR KOMAR/RUMAIDA </v>
      </c>
      <c r="G824" s="13">
        <f t="shared" si="1"/>
        <v>722</v>
      </c>
      <c r="H824" s="13" t="str">
        <f>IFERROR(__xludf.DUMMYFUNCTION("""COMPUTED_VALUE"""),"P0")</f>
        <v>P0</v>
      </c>
    </row>
    <row r="825" ht="22.5" customHeight="1">
      <c r="B825" s="19" t="str">
        <f>IFERROR(__xludf.DUMMYFUNCTION("""COMPUTED_VALUE"""),"L/2/11124/1")</f>
        <v>L/2/11124/1</v>
      </c>
      <c r="C825" s="19" t="str">
        <f>IFERROR(__xludf.DUMMYFUNCTION("""COMPUTED_VALUE"""),"HGB 403/SUKARAME BARU")</f>
        <v>HGB 403/SUKARAME BARU</v>
      </c>
      <c r="D825" s="17">
        <f>IFERROR(__xludf.DUMMYFUNCTION("""COMPUTED_VALUE"""),45597.38294693287)</f>
        <v>45597.38295</v>
      </c>
      <c r="E825" s="13" t="str">
        <f>IFERROR(__xludf.DUMMYFUNCTION("""COMPUTED_VALUE"""),"PERUBAHAN HAK")</f>
        <v>PERUBAHAN HAK</v>
      </c>
      <c r="F825" s="13" t="str">
        <f>IFERROR(__xludf.DUMMYFUNCTION("""COMPUTED_VALUE"""),"ADELLA WULAN SAPTIANA")</f>
        <v>ADELLA WULAN SAPTIANA</v>
      </c>
      <c r="G825" s="13">
        <f t="shared" si="1"/>
        <v>723</v>
      </c>
      <c r="H825" s="13" t="str">
        <f>IFERROR(__xludf.DUMMYFUNCTION("""COMPUTED_VALUE"""),"P0")</f>
        <v>P0</v>
      </c>
    </row>
    <row r="826" ht="22.5" customHeight="1">
      <c r="B826" s="19" t="str">
        <f>IFERROR(__xludf.DUMMYFUNCTION("""COMPUTED_VALUE"""),"K/45/151024/1")</f>
        <v>K/45/151024/1</v>
      </c>
      <c r="C826" s="19" t="str">
        <f>IFERROR(__xludf.DUMMYFUNCTION("""COMPUTED_VALUE"""),"M. 2732/ KOTA BARU")</f>
        <v>M. 2732/ KOTA BARU</v>
      </c>
      <c r="D826" s="17">
        <f>IFERROR(__xludf.DUMMYFUNCTION("""COMPUTED_VALUE"""),45597.38880561343)</f>
        <v>45597.38881</v>
      </c>
      <c r="E826" s="13" t="str">
        <f>IFERROR(__xludf.DUMMYFUNCTION("""COMPUTED_VALUE"""),"PERALIHAN HAK KEWARISAN")</f>
        <v>PERALIHAN HAK KEWARISAN</v>
      </c>
      <c r="F826" s="13" t="str">
        <f>IFERROR(__xludf.DUMMYFUNCTION("""COMPUTED_VALUE"""),"ABDUL GANI/ DODI SUWANTO CS")</f>
        <v>ABDUL GANI/ DODI SUWANTO CS</v>
      </c>
      <c r="G826" s="13">
        <f t="shared" si="1"/>
        <v>723</v>
      </c>
      <c r="H826" s="13" t="str">
        <f>IFERROR(__xludf.DUMMYFUNCTION("""COMPUTED_VALUE"""),"P2")</f>
        <v>P2</v>
      </c>
    </row>
    <row r="827" ht="22.5" customHeight="1">
      <c r="B827" s="19" t="str">
        <f>IFERROR(__xludf.DUMMYFUNCTION("""COMPUTED_VALUE"""),"K/3/11124/1")</f>
        <v>K/3/11124/1</v>
      </c>
      <c r="C827" s="19" t="str">
        <f>IFERROR(__xludf.DUMMYFUNCTION("""COMPUTED_VALUE"""),"M. 11571/ TANJUNG BARU")</f>
        <v>M. 11571/ TANJUNG BARU</v>
      </c>
      <c r="D827" s="17">
        <f>IFERROR(__xludf.DUMMYFUNCTION("""COMPUTED_VALUE"""),45597.39651550926)</f>
        <v>45597.39652</v>
      </c>
      <c r="E827" s="13" t="str">
        <f>IFERROR(__xludf.DUMMYFUNCTION("""COMPUTED_VALUE"""),"GANTI KELURAHAN")</f>
        <v>GANTI KELURAHAN</v>
      </c>
      <c r="F827" s="13" t="str">
        <f>IFERROR(__xludf.DUMMYFUNCTION("""COMPUTED_VALUE"""),"REFLAN/ BOY")</f>
        <v>REFLAN/ BOY</v>
      </c>
      <c r="G827" s="13">
        <f t="shared" si="1"/>
        <v>724</v>
      </c>
      <c r="H827" s="13" t="str">
        <f>IFERROR(__xludf.DUMMYFUNCTION("""COMPUTED_VALUE"""),"P0")</f>
        <v>P0</v>
      </c>
    </row>
    <row r="828" ht="22.5" customHeight="1">
      <c r="B828" s="19" t="str">
        <f>IFERROR(__xludf.DUMMYFUNCTION("""COMPUTED_VALUE"""),"K/4/11124/2")</f>
        <v>K/4/11124/2</v>
      </c>
      <c r="C828" s="19" t="str">
        <f>IFERROR(__xludf.DUMMYFUNCTION("""COMPUTED_VALUE"""),"M. 599/ KALI BALAU KENCANA")</f>
        <v>M. 599/ KALI BALAU KENCANA</v>
      </c>
      <c r="D828" s="17">
        <f>IFERROR(__xludf.DUMMYFUNCTION("""COMPUTED_VALUE"""),45597.39785123843)</f>
        <v>45597.39785</v>
      </c>
      <c r="E828" s="13" t="str">
        <f>IFERROR(__xludf.DUMMYFUNCTION("""COMPUTED_VALUE"""),"GANTI KELURAHAN")</f>
        <v>GANTI KELURAHAN</v>
      </c>
      <c r="F828" s="13" t="str">
        <f>IFERROR(__xludf.DUMMYFUNCTION("""COMPUTED_VALUE"""),"REFLAN RASYID/ BOY")</f>
        <v>REFLAN RASYID/ BOY</v>
      </c>
      <c r="G828" s="13">
        <f t="shared" si="1"/>
        <v>725</v>
      </c>
      <c r="H828" s="13" t="str">
        <f>IFERROR(__xludf.DUMMYFUNCTION("""COMPUTED_VALUE"""),"P0")</f>
        <v>P0</v>
      </c>
    </row>
    <row r="829" ht="22.5" customHeight="1">
      <c r="B829" s="19" t="str">
        <f>IFERROR(__xludf.DUMMYFUNCTION("""COMPUTED_VALUE"""),"K/5/11124/1")</f>
        <v>K/5/11124/1</v>
      </c>
      <c r="C829" s="19" t="str">
        <f>IFERROR(__xludf.DUMMYFUNCTION("""COMPUTED_VALUE"""),"M. 6050/ Way Kandis")</f>
        <v>M. 6050/ Way Kandis</v>
      </c>
      <c r="D829" s="17">
        <f>IFERROR(__xludf.DUMMYFUNCTION("""COMPUTED_VALUE"""),45597.40594975694)</f>
        <v>45597.40595</v>
      </c>
      <c r="E829" s="13" t="str">
        <f>IFERROR(__xludf.DUMMYFUNCTION("""COMPUTED_VALUE"""),"pengecekkan")</f>
        <v>pengecekkan</v>
      </c>
      <c r="F829" s="13" t="str">
        <f>IFERROR(__xludf.DUMMYFUNCTION("""COMPUTED_VALUE"""),"rizal effendi/ irvan")</f>
        <v>rizal effendi/ irvan</v>
      </c>
      <c r="G829" s="13">
        <f t="shared" si="1"/>
        <v>726</v>
      </c>
      <c r="H829" s="13" t="str">
        <f>IFERROR(__xludf.DUMMYFUNCTION("""COMPUTED_VALUE"""),"P0")</f>
        <v>P0</v>
      </c>
    </row>
    <row r="830" ht="22.5" customHeight="1">
      <c r="B830" s="19" t="str">
        <f>IFERROR(__xludf.DUMMYFUNCTION("""COMPUTED_VALUE"""),"K/6/11124/1")</f>
        <v>K/6/11124/1</v>
      </c>
      <c r="C830" s="19" t="str">
        <f>IFERROR(__xludf.DUMMYFUNCTION("""COMPUTED_VALUE"""),"M. 6570/ TANJUNG SENANG")</f>
        <v>M. 6570/ TANJUNG SENANG</v>
      </c>
      <c r="D830" s="17">
        <f>IFERROR(__xludf.DUMMYFUNCTION("""COMPUTED_VALUE"""),45597.43461928241)</f>
        <v>45597.43462</v>
      </c>
      <c r="E830" s="13" t="str">
        <f>IFERROR(__xludf.DUMMYFUNCTION("""COMPUTED_VALUE"""),"BN JUAL BELI")</f>
        <v>BN JUAL BELI</v>
      </c>
      <c r="F830" s="13" t="str">
        <f>IFERROR(__xludf.DUMMYFUNCTION("""COMPUTED_VALUE"""),"RAHMADIYANTI/ AGRI")</f>
        <v>RAHMADIYANTI/ AGRI</v>
      </c>
      <c r="G830" s="13">
        <f t="shared" si="1"/>
        <v>727</v>
      </c>
      <c r="H830" s="13" t="str">
        <f>IFERROR(__xludf.DUMMYFUNCTION("""COMPUTED_VALUE"""),"P0")</f>
        <v>P0</v>
      </c>
    </row>
    <row r="831" ht="22.5" customHeight="1">
      <c r="B831" s="19" t="str">
        <f>IFERROR(__xludf.DUMMYFUNCTION("""COMPUTED_VALUE"""),"K/8/011124/1")</f>
        <v>K/8/011124/1</v>
      </c>
      <c r="C831" s="19" t="str">
        <f>IFERROR(__xludf.DUMMYFUNCTION("""COMPUTED_VALUE"""),"B. 65/ Labuhan Dalam")</f>
        <v>B. 65/ Labuhan Dalam</v>
      </c>
      <c r="D831" s="17">
        <f>IFERROR(__xludf.DUMMYFUNCTION("""COMPUTED_VALUE"""),45597.438918263884)</f>
        <v>45597.43892</v>
      </c>
      <c r="E831" s="13" t="str">
        <f>IFERROR(__xludf.DUMMYFUNCTION("""COMPUTED_VALUE"""),"Ploting")</f>
        <v>Ploting</v>
      </c>
      <c r="F831" s="13" t="str">
        <f>IFERROR(__xludf.DUMMYFUNCTION("""COMPUTED_VALUE"""),"Hera A P/ May Duma")</f>
        <v>Hera A P/ May Duma</v>
      </c>
      <c r="G831" s="13">
        <f t="shared" si="1"/>
        <v>728</v>
      </c>
      <c r="H831" s="13" t="str">
        <f>IFERROR(__xludf.DUMMYFUNCTION("""COMPUTED_VALUE"""),"P0")</f>
        <v>P0</v>
      </c>
    </row>
    <row r="832" ht="22.5" customHeight="1">
      <c r="B832" s="19" t="str">
        <f>IFERROR(__xludf.DUMMYFUNCTION("""COMPUTED_VALUE"""),"K/9/011124/2")</f>
        <v>K/9/011124/2</v>
      </c>
      <c r="C832" s="19" t="str">
        <f>IFERROR(__xludf.DUMMYFUNCTION("""COMPUTED_VALUE"""),"M. 1322/ Labuhan Dalam")</f>
        <v>M. 1322/ Labuhan Dalam</v>
      </c>
      <c r="D832" s="17">
        <f>IFERROR(__xludf.DUMMYFUNCTION("""COMPUTED_VALUE"""),45597.439773680555)</f>
        <v>45597.43977</v>
      </c>
      <c r="E832" s="13" t="str">
        <f>IFERROR(__xludf.DUMMYFUNCTION("""COMPUTED_VALUE"""),"Ploting")</f>
        <v>Ploting</v>
      </c>
      <c r="F832" s="13" t="str">
        <f>IFERROR(__xludf.DUMMYFUNCTION("""COMPUTED_VALUE"""),"Hera A P/ Dede Kurniawan")</f>
        <v>Hera A P/ Dede Kurniawan</v>
      </c>
      <c r="G832" s="13">
        <f t="shared" si="1"/>
        <v>729</v>
      </c>
      <c r="H832" s="13" t="str">
        <f>IFERROR(__xludf.DUMMYFUNCTION("""COMPUTED_VALUE"""),"P0")</f>
        <v>P0</v>
      </c>
    </row>
    <row r="833" ht="22.5" customHeight="1">
      <c r="B833" s="19" t="str">
        <f>IFERROR(__xludf.DUMMYFUNCTION("""COMPUTED_VALUE"""),"K/10/011124/1")</f>
        <v>K/10/011124/1</v>
      </c>
      <c r="C833" s="19" t="str">
        <f>IFERROR(__xludf.DUMMYFUNCTION("""COMPUTED_VALUE"""),"M.1915/SUKARAME BARU")</f>
        <v>M.1915/SUKARAME BARU</v>
      </c>
      <c r="D833" s="17">
        <f>IFERROR(__xludf.DUMMYFUNCTION("""COMPUTED_VALUE"""),45597.44724270834)</f>
        <v>45597.44724</v>
      </c>
      <c r="E833" s="13" t="str">
        <f>IFERROR(__xludf.DUMMYFUNCTION("""COMPUTED_VALUE"""),"BN JUAL BELI")</f>
        <v>BN JUAL BELI</v>
      </c>
      <c r="F833" s="13" t="str">
        <f>IFERROR(__xludf.DUMMYFUNCTION("""COMPUTED_VALUE"""),"RENI DEVITASARI/LINGGA AYU BURDANI")</f>
        <v>RENI DEVITASARI/LINGGA AYU BURDANI</v>
      </c>
      <c r="G833" s="13">
        <f t="shared" si="1"/>
        <v>730</v>
      </c>
      <c r="H833" s="13" t="str">
        <f>IFERROR(__xludf.DUMMYFUNCTION("""COMPUTED_VALUE"""),"P0")</f>
        <v>P0</v>
      </c>
    </row>
    <row r="834" ht="22.5" customHeight="1">
      <c r="B834" s="19" t="str">
        <f>IFERROR(__xludf.DUMMYFUNCTION("""COMPUTED_VALUE"""),"K/7/011124/1")</f>
        <v>K/7/011124/1</v>
      </c>
      <c r="C834" s="19" t="str">
        <f>IFERROR(__xludf.DUMMYFUNCTION("""COMPUTED_VALUE"""),"M. 2869/ Sukarame Baru")</f>
        <v>M. 2869/ Sukarame Baru</v>
      </c>
      <c r="D834" s="17">
        <f>IFERROR(__xludf.DUMMYFUNCTION("""COMPUTED_VALUE"""),45597.447811527774)</f>
        <v>45597.44781</v>
      </c>
      <c r="E834" s="13" t="str">
        <f>IFERROR(__xludf.DUMMYFUNCTION("""COMPUTED_VALUE"""),"BN Jual Beli")</f>
        <v>BN Jual Beli</v>
      </c>
      <c r="F834" s="13" t="str">
        <f>IFERROR(__xludf.DUMMYFUNCTION("""COMPUTED_VALUE"""),"Ilanur/ Taryadi Ilyas")</f>
        <v>Ilanur/ Taryadi Ilyas</v>
      </c>
      <c r="G834" s="13">
        <f t="shared" si="1"/>
        <v>731</v>
      </c>
      <c r="H834" s="13" t="str">
        <f>IFERROR(__xludf.DUMMYFUNCTION("""COMPUTED_VALUE"""),"P0")</f>
        <v>P0</v>
      </c>
    </row>
    <row r="835" ht="22.5" customHeight="1">
      <c r="B835" s="19" t="str">
        <f>IFERROR(__xludf.DUMMYFUNCTION("""COMPUTED_VALUE"""),"K/11/011124/2")</f>
        <v>K/11/011124/2</v>
      </c>
      <c r="C835" s="19" t="str">
        <f>IFERROR(__xludf.DUMMYFUNCTION("""COMPUTED_VALUE"""),"M.505/SUKABUMI INDAH")</f>
        <v>M.505/SUKABUMI INDAH</v>
      </c>
      <c r="D835" s="17">
        <f>IFERROR(__xludf.DUMMYFUNCTION("""COMPUTED_VALUE"""),45597.44787289352)</f>
        <v>45597.44787</v>
      </c>
      <c r="E835" s="13" t="str">
        <f>IFERROR(__xludf.DUMMYFUNCTION("""COMPUTED_VALUE"""),"KEWARISAN")</f>
        <v>KEWARISAN</v>
      </c>
      <c r="F835" s="13" t="str">
        <f>IFERROR(__xludf.DUMMYFUNCTION("""COMPUTED_VALUE"""),"MURHASANAH CS/LINGGA AYU BURDHANI")</f>
        <v>MURHASANAH CS/LINGGA AYU BURDHANI</v>
      </c>
      <c r="G835" s="13">
        <f t="shared" si="1"/>
        <v>732</v>
      </c>
      <c r="H835" s="13" t="str">
        <f>IFERROR(__xludf.DUMMYFUNCTION("""COMPUTED_VALUE"""),"P0")</f>
        <v>P0</v>
      </c>
    </row>
    <row r="836" ht="22.5" customHeight="1">
      <c r="B836" s="19" t="str">
        <f>IFERROR(__xludf.DUMMYFUNCTION("""COMPUTED_VALUE"""),"K/7/011124/1")</f>
        <v>K/7/011124/1</v>
      </c>
      <c r="C836" s="19" t="str">
        <f>IFERROR(__xludf.DUMMYFUNCTION("""COMPUTED_VALUE"""),"M. 2869/ Sukarame Baru")</f>
        <v>M. 2869/ Sukarame Baru</v>
      </c>
      <c r="D836" s="17">
        <f>IFERROR(__xludf.DUMMYFUNCTION("""COMPUTED_VALUE"""),45597.44909465278)</f>
        <v>45597.44909</v>
      </c>
      <c r="E836" s="13" t="str">
        <f>IFERROR(__xludf.DUMMYFUNCTION("""COMPUTED_VALUE"""),"BN Jual Beli")</f>
        <v>BN Jual Beli</v>
      </c>
      <c r="F836" s="13" t="str">
        <f>IFERROR(__xludf.DUMMYFUNCTION("""COMPUTED_VALUE"""),"Ilanur/ Taryadi Ilayas")</f>
        <v>Ilanur/ Taryadi Ilayas</v>
      </c>
      <c r="G836" s="13">
        <f t="shared" si="1"/>
        <v>733</v>
      </c>
      <c r="H836" s="13" t="str">
        <f>IFERROR(__xludf.DUMMYFUNCTION("""COMPUTED_VALUE"""),"P0")</f>
        <v>P0</v>
      </c>
    </row>
    <row r="837" ht="22.5" customHeight="1">
      <c r="B837" s="19" t="str">
        <f>IFERROR(__xludf.DUMMYFUNCTION("""COMPUTED_VALUE"""),"L/12/011124/1")</f>
        <v>L/12/011124/1</v>
      </c>
      <c r="C837" s="19" t="str">
        <f>IFERROR(__xludf.DUMMYFUNCTION("""COMPUTED_VALUE"""),"SUMBER AGUNG, KEMILING")</f>
        <v>SUMBER AGUNG, KEMILING</v>
      </c>
      <c r="D837" s="17">
        <f>IFERROR(__xludf.DUMMYFUNCTION("""COMPUTED_VALUE"""),45597.44937)</f>
        <v>45597.44937</v>
      </c>
      <c r="E837" s="13" t="str">
        <f>IFERROR(__xludf.DUMMYFUNCTION("""COMPUTED_VALUE"""),"TANAH MENTAH")</f>
        <v>TANAH MENTAH</v>
      </c>
      <c r="F837" s="13" t="str">
        <f>IFERROR(__xludf.DUMMYFUNCTION("""COMPUTED_VALUE"""),"ANISA CAHAYA PRATIWI")</f>
        <v>ANISA CAHAYA PRATIWI</v>
      </c>
      <c r="G837" s="13">
        <f t="shared" si="1"/>
        <v>734</v>
      </c>
      <c r="H837" s="13" t="str">
        <f>IFERROR(__xludf.DUMMYFUNCTION("""COMPUTED_VALUE"""),"P0")</f>
        <v>P0</v>
      </c>
    </row>
    <row r="838" ht="22.5" customHeight="1">
      <c r="B838" s="19" t="str">
        <f>IFERROR(__xludf.DUMMYFUNCTION("""COMPUTED_VALUE"""),"K/21/161024/1")</f>
        <v>K/21/161024/1</v>
      </c>
      <c r="C838" s="19" t="str">
        <f>IFERROR(__xludf.DUMMYFUNCTION("""COMPUTED_VALUE"""),"M. 651/ Durian Payung	")</f>
        <v>M. 651/ Durian Payung	</v>
      </c>
      <c r="D838" s="17">
        <f>IFERROR(__xludf.DUMMYFUNCTION("""COMPUTED_VALUE"""),45597.453199606476)</f>
        <v>45597.4532</v>
      </c>
      <c r="E838" s="13" t="str">
        <f>IFERROR(__xludf.DUMMYFUNCTION("""COMPUTED_VALUE"""),"BN PHB")</f>
        <v>BN PHB</v>
      </c>
      <c r="F838" s="13" t="str">
        <f>IFERROR(__xludf.DUMMYFUNCTION("""COMPUTED_VALUE"""),"Rizki Febrian/ Nuraini Wahyu")</f>
        <v>Rizki Febrian/ Nuraini Wahyu</v>
      </c>
      <c r="G838" s="13">
        <f t="shared" si="1"/>
        <v>734</v>
      </c>
      <c r="H838" s="13" t="str">
        <f>IFERROR(__xludf.DUMMYFUNCTION("""COMPUTED_VALUE"""),"P1")</f>
        <v>P1</v>
      </c>
    </row>
    <row r="839" ht="22.5" customHeight="1">
      <c r="B839" s="19" t="str">
        <f>IFERROR(__xludf.DUMMYFUNCTION("""COMPUTED_VALUE"""),"K/13/011124/1")</f>
        <v>K/13/011124/1</v>
      </c>
      <c r="C839" s="19" t="str">
        <f>IFERROR(__xludf.DUMMYFUNCTION("""COMPUTED_VALUE"""),"PBT 131/2024")</f>
        <v>PBT 131/2024</v>
      </c>
      <c r="D839" s="17">
        <f>IFERROR(__xludf.DUMMYFUNCTION("""COMPUTED_VALUE"""),45597.46951913195)</f>
        <v>45597.46952</v>
      </c>
      <c r="E839" s="13" t="str">
        <f>IFERROR(__xludf.DUMMYFUNCTION("""COMPUTED_VALUE"""),"PTPGT HGB BERAKHIR")</f>
        <v>PTPGT HGB BERAKHIR</v>
      </c>
      <c r="F839" s="13" t="str">
        <f>IFERROR(__xludf.DUMMYFUNCTION("""COMPUTED_VALUE"""),"elvan Sius/ Lie Tjie Jin")</f>
        <v>elvan Sius/ Lie Tjie Jin</v>
      </c>
      <c r="G839" s="13">
        <f t="shared" si="1"/>
        <v>735</v>
      </c>
      <c r="H839" s="13" t="str">
        <f>IFERROR(__xludf.DUMMYFUNCTION("""COMPUTED_VALUE"""),"P0")</f>
        <v>P0</v>
      </c>
    </row>
    <row r="840" ht="22.5" customHeight="1">
      <c r="B840" s="19" t="str">
        <f>IFERROR(__xludf.DUMMYFUNCTION("""COMPUTED_VALUE"""),"K/48/181024/4")</f>
        <v>K/48/181024/4</v>
      </c>
      <c r="C840" s="19" t="str">
        <f>IFERROR(__xludf.DUMMYFUNCTION("""COMPUTED_VALUE"""),"M.9733/SURABAYA-SEKARANG;B.249/SURABAYA-DAHULU")</f>
        <v>M.9733/SURABAYA-SEKARANG;B.249/SURABAYA-DAHULU</v>
      </c>
      <c r="D840" s="17">
        <f>IFERROR(__xludf.DUMMYFUNCTION("""COMPUTED_VALUE"""),45597.47056627314)</f>
        <v>45597.47057</v>
      </c>
      <c r="E840" s="13" t="str">
        <f>IFERROR(__xludf.DUMMYFUNCTION("""COMPUTED_VALUE"""),"ROYA LELANG")</f>
        <v>ROYA LELANG</v>
      </c>
      <c r="F840" s="13" t="str">
        <f>IFERROR(__xludf.DUMMYFUNCTION("""COMPUTED_VALUE"""),"ROBERTUS BUDIONO/ANDRI NOVIAR")</f>
        <v>ROBERTUS BUDIONO/ANDRI NOVIAR</v>
      </c>
      <c r="G840" s="13">
        <f t="shared" si="1"/>
        <v>735</v>
      </c>
      <c r="H840" s="13" t="str">
        <f>IFERROR(__xludf.DUMMYFUNCTION("""COMPUTED_VALUE"""),"P1")</f>
        <v>P1</v>
      </c>
    </row>
    <row r="841" ht="22.5" customHeight="1">
      <c r="B841" s="19" t="str">
        <f>IFERROR(__xludf.DUMMYFUNCTION("""COMPUTED_VALUE"""),"K/14/011124/1")</f>
        <v>K/14/011124/1</v>
      </c>
      <c r="C841" s="19" t="str">
        <f>IFERROR(__xludf.DUMMYFUNCTION("""COMPUTED_VALUE"""),"M. 3651/ Surabaya")</f>
        <v>M. 3651/ Surabaya</v>
      </c>
      <c r="D841" s="17">
        <f>IFERROR(__xludf.DUMMYFUNCTION("""COMPUTED_VALUE"""),45597.47369949074)</f>
        <v>45597.4737</v>
      </c>
      <c r="E841" s="13" t="str">
        <f>IFERROR(__xludf.DUMMYFUNCTION("""COMPUTED_VALUE"""),"Gandes")</f>
        <v>Gandes</v>
      </c>
      <c r="F841" s="13" t="str">
        <f>IFERROR(__xludf.DUMMYFUNCTION("""COMPUTED_VALUE"""),"Richard Adi P/ Andhika S")</f>
        <v>Richard Adi P/ Andhika S</v>
      </c>
      <c r="G841" s="13">
        <f t="shared" si="1"/>
        <v>736</v>
      </c>
      <c r="H841" s="13" t="str">
        <f>IFERROR(__xludf.DUMMYFUNCTION("""COMPUTED_VALUE"""),"P0")</f>
        <v>P0</v>
      </c>
    </row>
    <row r="842" ht="22.5" customHeight="1">
      <c r="B842" s="19" t="str">
        <f>IFERROR(__xludf.DUMMYFUNCTION("""COMPUTED_VALUE"""),"K/17/011124/1")</f>
        <v>K/17/011124/1</v>
      </c>
      <c r="C842" s="19" t="str">
        <f>IFERROR(__xludf.DUMMYFUNCTION("""COMPUTED_VALUE"""),"M.1014/BUMI KEDAMAIAN-SEKARANG;M.12108/KEDAMAIAN-DAHULU")</f>
        <v>M.1014/BUMI KEDAMAIAN-SEKARANG;M.12108/KEDAMAIAN-DAHULU</v>
      </c>
      <c r="D842" s="17">
        <f>IFERROR(__xludf.DUMMYFUNCTION("""COMPUTED_VALUE"""),45597.47735513889)</f>
        <v>45597.47736</v>
      </c>
      <c r="E842" s="13" t="str">
        <f>IFERROR(__xludf.DUMMYFUNCTION("""COMPUTED_VALUE"""),"BN JUAL BELI")</f>
        <v>BN JUAL BELI</v>
      </c>
      <c r="F842" s="13" t="str">
        <f>IFERROR(__xludf.DUMMYFUNCTION("""COMPUTED_VALUE"""),"LIUS SANDI SAPUTRA/PANARY SITOPU")</f>
        <v>LIUS SANDI SAPUTRA/PANARY SITOPU</v>
      </c>
      <c r="G842" s="13">
        <f t="shared" si="1"/>
        <v>737</v>
      </c>
      <c r="H842" s="13" t="str">
        <f>IFERROR(__xludf.DUMMYFUNCTION("""COMPUTED_VALUE"""),"P0")</f>
        <v>P0</v>
      </c>
    </row>
    <row r="843" ht="22.5" customHeight="1">
      <c r="B843" s="19" t="str">
        <f>IFERROR(__xludf.DUMMYFUNCTION("""COMPUTED_VALUE"""),"K/15/011124/2")</f>
        <v>K/15/011124/2</v>
      </c>
      <c r="C843" s="19" t="str">
        <f>IFERROR(__xludf.DUMMYFUNCTION("""COMPUTED_VALUE"""),"B. 127/ Nusantara Permai")</f>
        <v>B. 127/ Nusantara Permai</v>
      </c>
      <c r="D843" s="17">
        <f>IFERROR(__xludf.DUMMYFUNCTION("""COMPUTED_VALUE"""),45597.478845578706)</f>
        <v>45597.47885</v>
      </c>
      <c r="E843" s="13" t="str">
        <f>IFERROR(__xludf.DUMMYFUNCTION("""COMPUTED_VALUE"""),"BN Jual Beli")</f>
        <v>BN Jual Beli</v>
      </c>
      <c r="F843" s="13" t="str">
        <f>IFERROR(__xludf.DUMMYFUNCTION("""COMPUTED_VALUE"""),"Richard Adi/ Iwan S")</f>
        <v>Richard Adi/ Iwan S</v>
      </c>
      <c r="G843" s="13">
        <f t="shared" si="1"/>
        <v>738</v>
      </c>
      <c r="H843" s="13" t="str">
        <f>IFERROR(__xludf.DUMMYFUNCTION("""COMPUTED_VALUE"""),"P0")</f>
        <v>P0</v>
      </c>
    </row>
    <row r="844" ht="22.5" customHeight="1">
      <c r="B844" s="19" t="str">
        <f>IFERROR(__xludf.DUMMYFUNCTION("""COMPUTED_VALUE"""),"K/16/011124/3")</f>
        <v>K/16/011124/3</v>
      </c>
      <c r="C844" s="19" t="str">
        <f>IFERROR(__xludf.DUMMYFUNCTION("""COMPUTED_VALUE"""),"B. 128/ Nusantara Permai")</f>
        <v>B. 128/ Nusantara Permai</v>
      </c>
      <c r="D844" s="17">
        <f>IFERROR(__xludf.DUMMYFUNCTION("""COMPUTED_VALUE"""),45597.479876377314)</f>
        <v>45597.47988</v>
      </c>
      <c r="E844" s="13" t="str">
        <f>IFERROR(__xludf.DUMMYFUNCTION("""COMPUTED_VALUE"""),"BN Jual Beli")</f>
        <v>BN Jual Beli</v>
      </c>
      <c r="F844" s="13" t="str">
        <f>IFERROR(__xludf.DUMMYFUNCTION("""COMPUTED_VALUE"""),"Richard Adi P/ Welly P")</f>
        <v>Richard Adi P/ Welly P</v>
      </c>
      <c r="G844" s="13">
        <f t="shared" si="1"/>
        <v>739</v>
      </c>
      <c r="H844" s="13" t="str">
        <f>IFERROR(__xludf.DUMMYFUNCTION("""COMPUTED_VALUE"""),"P0")</f>
        <v>P0</v>
      </c>
    </row>
    <row r="845" ht="22.5" customHeight="1">
      <c r="B845" s="19" t="str">
        <f>IFERROR(__xludf.DUMMYFUNCTION("""COMPUTED_VALUE"""),"L/18/011124/1")</f>
        <v>L/18/011124/1</v>
      </c>
      <c r="C845" s="19" t="str">
        <f>IFERROR(__xludf.DUMMYFUNCTION("""COMPUTED_VALUE"""),"HM 1095/GEDONG AIR")</f>
        <v>HM 1095/GEDONG AIR</v>
      </c>
      <c r="D845" s="17">
        <f>IFERROR(__xludf.DUMMYFUNCTION("""COMPUTED_VALUE"""),45597.48116923611)</f>
        <v>45597.48117</v>
      </c>
      <c r="E845" s="13" t="str">
        <f>IFERROR(__xludf.DUMMYFUNCTION("""COMPUTED_VALUE"""),"ROYA")</f>
        <v>ROYA</v>
      </c>
      <c r="F845" s="13" t="str">
        <f>IFERROR(__xludf.DUMMYFUNCTION("""COMPUTED_VALUE"""),"YOGASARI HAYUNINGTYAS")</f>
        <v>YOGASARI HAYUNINGTYAS</v>
      </c>
      <c r="G845" s="13">
        <f t="shared" si="1"/>
        <v>740</v>
      </c>
      <c r="H845" s="13" t="str">
        <f>IFERROR(__xludf.DUMMYFUNCTION("""COMPUTED_VALUE"""),"P0")</f>
        <v>P0</v>
      </c>
    </row>
    <row r="846" ht="22.5" customHeight="1">
      <c r="B846" s="19" t="str">
        <f>IFERROR(__xludf.DUMMYFUNCTION("""COMPUTED_VALUE"""),"L/13/301024/1")</f>
        <v>L/13/301024/1</v>
      </c>
      <c r="C846" s="19" t="str">
        <f>IFERROR(__xludf.DUMMYFUNCTION("""COMPUTED_VALUE"""),"M.15228/S I")</f>
        <v>M.15228/S I</v>
      </c>
      <c r="D846" s="17">
        <f>IFERROR(__xludf.DUMMYFUNCTION("""COMPUTED_VALUE"""),45597.52169650463)</f>
        <v>45597.5217</v>
      </c>
      <c r="E846" s="13" t="str">
        <f>IFERROR(__xludf.DUMMYFUNCTION("""COMPUTED_VALUE"""),"ROYA")</f>
        <v>ROYA</v>
      </c>
      <c r="F846" s="13" t="str">
        <f>IFERROR(__xludf.DUMMYFUNCTION("""COMPUTED_VALUE"""),"EMYLYA KRISTINA")</f>
        <v>EMYLYA KRISTINA</v>
      </c>
      <c r="G846" s="13">
        <f t="shared" si="1"/>
        <v>741</v>
      </c>
      <c r="H846" s="13" t="str">
        <f>IFERROR(__xludf.DUMMYFUNCTION("""COMPUTED_VALUE"""),"P0")</f>
        <v>P0</v>
      </c>
    </row>
    <row r="847" ht="22.5" customHeight="1">
      <c r="B847" s="19" t="str">
        <f>IFERROR(__xludf.DUMMYFUNCTION("""COMPUTED_VALUE"""),"K/19/011124/2")</f>
        <v>K/19/011124/2</v>
      </c>
      <c r="C847" s="19" t="str">
        <f>IFERROR(__xludf.DUMMYFUNCTION("""COMPUTED_VALUE"""),"B.752/SUMUR PUTRI")</f>
        <v>B.752/SUMUR PUTRI</v>
      </c>
      <c r="D847" s="17">
        <f>IFERROR(__xludf.DUMMYFUNCTION("""COMPUTED_VALUE"""),45597.52650818287)</f>
        <v>45597.52651</v>
      </c>
      <c r="E847" s="13" t="str">
        <f>IFERROR(__xludf.DUMMYFUNCTION("""COMPUTED_VALUE"""),"BN JUAL BELI")</f>
        <v>BN JUAL BELI</v>
      </c>
      <c r="F847" s="13" t="str">
        <f>IFERROR(__xludf.DUMMYFUNCTION("""COMPUTED_VALUE"""),"INGGIT PUTRIA MARGA/PANARY SITOPU")</f>
        <v>INGGIT PUTRIA MARGA/PANARY SITOPU</v>
      </c>
      <c r="G847" s="13">
        <f t="shared" si="1"/>
        <v>742</v>
      </c>
      <c r="H847" s="13" t="str">
        <f>IFERROR(__xludf.DUMMYFUNCTION("""COMPUTED_VALUE"""),"P0")</f>
        <v>P0</v>
      </c>
    </row>
    <row r="848" ht="22.5" customHeight="1">
      <c r="B848" s="19" t="str">
        <f>IFERROR(__xludf.DUMMYFUNCTION("""COMPUTED_VALUE"""),"K/20/011124/1")</f>
        <v>K/20/011124/1</v>
      </c>
      <c r="C848" s="19" t="str">
        <f>IFERROR(__xludf.DUMMYFUNCTION("""COMPUTED_VALUE"""),"Nibel 2191/ Gunung Terang ")</f>
        <v>Nibel 2191/ Gunung Terang </v>
      </c>
      <c r="D848" s="17">
        <f>IFERROR(__xludf.DUMMYFUNCTION("""COMPUTED_VALUE"""),45597.554914409724)</f>
        <v>45597.55491</v>
      </c>
      <c r="E848" s="13" t="str">
        <f>IFERROR(__xludf.DUMMYFUNCTION("""COMPUTED_VALUE"""),"BN JUAL BELI")</f>
        <v>BN JUAL BELI</v>
      </c>
      <c r="F848" s="13" t="str">
        <f>IFERROR(__xludf.DUMMYFUNCTION("""COMPUTED_VALUE"""),"ANDRI NOVIAR/ RIDWAN")</f>
        <v>ANDRI NOVIAR/ RIDWAN</v>
      </c>
      <c r="G848" s="13">
        <f t="shared" si="1"/>
        <v>743</v>
      </c>
      <c r="H848" s="13" t="str">
        <f>IFERROR(__xludf.DUMMYFUNCTION("""COMPUTED_VALUE"""),"P0")</f>
        <v>P0</v>
      </c>
    </row>
    <row r="849" ht="22.5" customHeight="1">
      <c r="B849" s="19" t="str">
        <f>IFERROR(__xludf.DUMMYFUNCTION("""COMPUTED_VALUE"""),"K/21/011124/1")</f>
        <v>K/21/011124/1</v>
      </c>
      <c r="C849" s="19" t="str">
        <f>IFERROR(__xludf.DUMMYFUNCTION("""COMPUTED_VALUE"""),"B.4381/SUKARAME I")</f>
        <v>B.4381/SUKARAME I</v>
      </c>
      <c r="D849" s="17">
        <f>IFERROR(__xludf.DUMMYFUNCTION("""COMPUTED_VALUE"""),45597.565332592596)</f>
        <v>45597.56533</v>
      </c>
      <c r="E849" s="13" t="str">
        <f>IFERROR(__xludf.DUMMYFUNCTION("""COMPUTED_VALUE"""),"GANDES")</f>
        <v>GANDES</v>
      </c>
      <c r="F849" s="13" t="str">
        <f>IFERROR(__xludf.DUMMYFUNCTION("""COMPUTED_VALUE"""),"PT UTAMI JAYA MANDIRI/ISMARINA")</f>
        <v>PT UTAMI JAYA MANDIRI/ISMARINA</v>
      </c>
      <c r="G849" s="13">
        <f t="shared" si="1"/>
        <v>744</v>
      </c>
      <c r="H849" s="13" t="str">
        <f>IFERROR(__xludf.DUMMYFUNCTION("""COMPUTED_VALUE"""),"P0")</f>
        <v>P0</v>
      </c>
    </row>
    <row r="850" ht="22.5" customHeight="1">
      <c r="B850" s="19" t="str">
        <f>IFERROR(__xludf.DUMMYFUNCTION("""COMPUTED_VALUE"""),"K/10/211024/1")</f>
        <v>K/10/211024/1</v>
      </c>
      <c r="C850" s="19" t="str">
        <f>IFERROR(__xludf.DUMMYFUNCTION("""COMPUTED_VALUE"""),"B. 606/ ")</f>
        <v>B. 606/ </v>
      </c>
      <c r="D850" s="17">
        <f>IFERROR(__xludf.DUMMYFUNCTION("""COMPUTED_VALUE"""),45597.56653384259)</f>
        <v>45597.56653</v>
      </c>
      <c r="E850" s="13" t="str">
        <f>IFERROR(__xludf.DUMMYFUNCTION("""COMPUTED_VALUE"""),"BN Jual Beli")</f>
        <v>BN Jual Beli</v>
      </c>
      <c r="F850" s="13" t="str">
        <f>IFERROR(__xludf.DUMMYFUNCTION("""COMPUTED_VALUE"""),"Panary S/ Lili Meilani	")</f>
        <v>Panary S/ Lili Meilani	</v>
      </c>
      <c r="G850" s="13">
        <f t="shared" si="1"/>
        <v>744</v>
      </c>
      <c r="H850" s="13" t="str">
        <f>IFERROR(__xludf.DUMMYFUNCTION("""COMPUTED_VALUE"""),"P1")</f>
        <v>P1</v>
      </c>
    </row>
    <row r="851" ht="22.5" customHeight="1">
      <c r="B851" s="19" t="str">
        <f>IFERROR(__xludf.DUMMYFUNCTION("""COMPUTED_VALUE"""),"K/21/231024/1")</f>
        <v>K/21/231024/1</v>
      </c>
      <c r="C851" s="19" t="str">
        <f>IFERROR(__xludf.DUMMYFUNCTION("""COMPUTED_VALUE"""),"Nibel. B. 2499/ Sumur Putri")</f>
        <v>Nibel. B. 2499/ Sumur Putri</v>
      </c>
      <c r="D851" s="17">
        <f>IFERROR(__xludf.DUMMYFUNCTION("""COMPUTED_VALUE"""),45597.56723444445)</f>
        <v>45597.56723</v>
      </c>
      <c r="E851" s="13" t="str">
        <f>IFERROR(__xludf.DUMMYFUNCTION("""COMPUTED_VALUE"""),"Perubahan Hak")</f>
        <v>Perubahan Hak</v>
      </c>
      <c r="F851" s="13" t="str">
        <f>IFERROR(__xludf.DUMMYFUNCTION("""COMPUTED_VALUE"""),"Panary Sitopu/ Sherly Sagita E	")</f>
        <v>Panary Sitopu/ Sherly Sagita E	</v>
      </c>
      <c r="G851" s="13">
        <f t="shared" si="1"/>
        <v>744</v>
      </c>
      <c r="H851" s="13" t="str">
        <f>IFERROR(__xludf.DUMMYFUNCTION("""COMPUTED_VALUE"""),"P1")</f>
        <v>P1</v>
      </c>
    </row>
    <row r="852" ht="22.5" customHeight="1">
      <c r="B852" s="19" t="str">
        <f>IFERROR(__xludf.DUMMYFUNCTION("""COMPUTED_VALUE"""),"K/39/221024/1")</f>
        <v>K/39/221024/1</v>
      </c>
      <c r="C852" s="19" t="str">
        <f>IFERROR(__xludf.DUMMYFUNCTION("""COMPUTED_VALUE"""),"M. 6475/ Way Kandis	")</f>
        <v>M. 6475/ Way Kandis	</v>
      </c>
      <c r="D852" s="17">
        <f>IFERROR(__xludf.DUMMYFUNCTION("""COMPUTED_VALUE"""),45597.56803758102)</f>
        <v>45597.56804</v>
      </c>
      <c r="E852" s="13" t="str">
        <f>IFERROR(__xludf.DUMMYFUNCTION("""COMPUTED_VALUE"""),"BN Jual Beli")</f>
        <v>BN Jual Beli</v>
      </c>
      <c r="F852" s="13" t="str">
        <f>IFERROR(__xludf.DUMMYFUNCTION("""COMPUTED_VALUE"""),"Panary S/ Amirhan	")</f>
        <v>Panary S/ Amirhan	</v>
      </c>
      <c r="G852" s="13">
        <f t="shared" si="1"/>
        <v>744</v>
      </c>
      <c r="H852" s="13" t="str">
        <f>IFERROR(__xludf.DUMMYFUNCTION("""COMPUTED_VALUE"""),"P1")</f>
        <v>P1</v>
      </c>
    </row>
    <row r="853" ht="22.5" customHeight="1">
      <c r="B853" s="19" t="str">
        <f>IFERROR(__xludf.DUMMYFUNCTION("""COMPUTED_VALUE"""),"K/22/011124/2")</f>
        <v>K/22/011124/2</v>
      </c>
      <c r="C853" s="19" t="str">
        <f>IFERROR(__xludf.DUMMYFUNCTION("""COMPUTED_VALUE"""),"M.17182/SUKARAME-SEKARANG'B.1230/SUKARAME I")</f>
        <v>M.17182/SUKARAME-SEKARANG'B.1230/SUKARAME I</v>
      </c>
      <c r="D853" s="17">
        <f>IFERROR(__xludf.DUMMYFUNCTION("""COMPUTED_VALUE"""),45597.574015081016)</f>
        <v>45597.57402</v>
      </c>
      <c r="E853" s="13" t="str">
        <f>IFERROR(__xludf.DUMMYFUNCTION("""COMPUTED_VALUE"""),"ROYA")</f>
        <v>ROYA</v>
      </c>
      <c r="F853" s="13" t="str">
        <f>IFERROR(__xludf.DUMMYFUNCTION("""COMPUTED_VALUE"""),"DIKDO WIRATNO/ISMARINA ")</f>
        <v>DIKDO WIRATNO/ISMARINA </v>
      </c>
      <c r="G853" s="13">
        <f t="shared" si="1"/>
        <v>745</v>
      </c>
      <c r="H853" s="13" t="str">
        <f>IFERROR(__xludf.DUMMYFUNCTION("""COMPUTED_VALUE"""),"P0")</f>
        <v>P0</v>
      </c>
    </row>
    <row r="854" ht="22.5" customHeight="1">
      <c r="B854" s="19" t="str">
        <f>IFERROR(__xludf.DUMMYFUNCTION("""COMPUTED_VALUE"""),"K/34/221024/1")</f>
        <v>K/34/221024/1</v>
      </c>
      <c r="C854" s="19" t="str">
        <f>IFERROR(__xludf.DUMMYFUNCTION("""COMPUTED_VALUE"""),"M.2138/NEGERI OLOK GADING ")</f>
        <v>M.2138/NEGERI OLOK GADING </v>
      </c>
      <c r="D854" s="17">
        <f>IFERROR(__xludf.DUMMYFUNCTION("""COMPUTED_VALUE"""),45597.57464851852)</f>
        <v>45597.57465</v>
      </c>
      <c r="E854" s="13" t="str">
        <f>IFERROR(__xludf.DUMMYFUNCTION("""COMPUTED_VALUE"""),"PERALIHAN JUAL BELI")</f>
        <v>PERALIHAN JUAL BELI</v>
      </c>
      <c r="F854" s="13" t="str">
        <f>IFERROR(__xludf.DUMMYFUNCTION("""COMPUTED_VALUE"""),"RIVA YOHANA/NOVALIA EKA PUTRI")</f>
        <v>RIVA YOHANA/NOVALIA EKA PUTRI</v>
      </c>
      <c r="G854" s="13">
        <f t="shared" si="1"/>
        <v>745</v>
      </c>
      <c r="H854" s="13" t="str">
        <f>IFERROR(__xludf.DUMMYFUNCTION("""COMPUTED_VALUE"""),"P1")</f>
        <v>P1</v>
      </c>
    </row>
    <row r="855" ht="22.5" customHeight="1">
      <c r="B855" s="19" t="str">
        <f>IFERROR(__xludf.DUMMYFUNCTION("""COMPUTED_VALUE"""),"K/23/011124/1")</f>
        <v>K/23/011124/1</v>
      </c>
      <c r="C855" s="19" t="str">
        <f>IFERROR(__xludf.DUMMYFUNCTION("""COMPUTED_VALUE"""),"NIBEL 2563/ BERINGIN RAYA")</f>
        <v>NIBEL 2563/ BERINGIN RAYA</v>
      </c>
      <c r="D855" s="17">
        <f>IFERROR(__xludf.DUMMYFUNCTION("""COMPUTED_VALUE"""),45597.58188096065)</f>
        <v>45597.58188</v>
      </c>
      <c r="E855" s="13" t="str">
        <f>IFERROR(__xludf.DUMMYFUNCTION("""COMPUTED_VALUE"""),"GANTI KELURAHAN")</f>
        <v>GANTI KELURAHAN</v>
      </c>
      <c r="F855" s="13" t="str">
        <f>IFERROR(__xludf.DUMMYFUNCTION("""COMPUTED_VALUE"""),"ERNY OKTAVIA")</f>
        <v>ERNY OKTAVIA</v>
      </c>
      <c r="G855" s="13">
        <f t="shared" si="1"/>
        <v>746</v>
      </c>
      <c r="H855" s="13" t="str">
        <f>IFERROR(__xludf.DUMMYFUNCTION("""COMPUTED_VALUE"""),"P0")</f>
        <v>P0</v>
      </c>
    </row>
    <row r="856" ht="22.5" customHeight="1">
      <c r="B856" s="19" t="str">
        <f>IFERROR(__xludf.DUMMYFUNCTION("""COMPUTED_VALUE"""),"K/24/011124/1")</f>
        <v>K/24/011124/1</v>
      </c>
      <c r="C856" s="19" t="str">
        <f>IFERROR(__xludf.DUMMYFUNCTION("""COMPUTED_VALUE"""),"M NIEBL 1952/LABUHAN DALAM")</f>
        <v>M NIEBL 1952/LABUHAN DALAM</v>
      </c>
      <c r="D856" s="17">
        <f>IFERROR(__xludf.DUMMYFUNCTION("""COMPUTED_VALUE"""),45597.585839328705)</f>
        <v>45597.58584</v>
      </c>
      <c r="E856" s="13" t="str">
        <f>IFERROR(__xludf.DUMMYFUNCTION("""COMPUTED_VALUE"""),"PTPGT")</f>
        <v>PTPGT</v>
      </c>
      <c r="F856" s="13" t="str">
        <f>IFERROR(__xludf.DUMMYFUNCTION("""COMPUTED_VALUE"""),"I GUSTI NGURAH BIANTARA/NINA HANDAYANI")</f>
        <v>I GUSTI NGURAH BIANTARA/NINA HANDAYANI</v>
      </c>
      <c r="G856" s="13">
        <f t="shared" si="1"/>
        <v>747</v>
      </c>
      <c r="H856" s="13" t="str">
        <f>IFERROR(__xludf.DUMMYFUNCTION("""COMPUTED_VALUE"""),"P0")</f>
        <v>P0</v>
      </c>
    </row>
    <row r="857" ht="22.5" customHeight="1">
      <c r="B857" s="19" t="str">
        <f>IFERROR(__xludf.DUMMYFUNCTION("""COMPUTED_VALUE"""),"K/25/011124/2")</f>
        <v>K/25/011124/2</v>
      </c>
      <c r="C857" s="19" t="str">
        <f>IFERROR(__xludf.DUMMYFUNCTION("""COMPUTED_VALUE"""),"NIBEL M 1953/LABUHAN DALAM")</f>
        <v>NIBEL M 1953/LABUHAN DALAM</v>
      </c>
      <c r="D857" s="17">
        <f>IFERROR(__xludf.DUMMYFUNCTION("""COMPUTED_VALUE"""),45597.58682898148)</f>
        <v>45597.58683</v>
      </c>
      <c r="E857" s="13" t="str">
        <f>IFERROR(__xludf.DUMMYFUNCTION("""COMPUTED_VALUE"""),"PTPGT")</f>
        <v>PTPGT</v>
      </c>
      <c r="F857" s="13" t="str">
        <f>IFERROR(__xludf.DUMMYFUNCTION("""COMPUTED_VALUE"""),"I GUSTI NGURAH BIANTARA/NINA HANDAYANI")</f>
        <v>I GUSTI NGURAH BIANTARA/NINA HANDAYANI</v>
      </c>
      <c r="G857" s="13">
        <f t="shared" si="1"/>
        <v>748</v>
      </c>
      <c r="H857" s="13" t="str">
        <f>IFERROR(__xludf.DUMMYFUNCTION("""COMPUTED_VALUE"""),"P0")</f>
        <v>P0</v>
      </c>
    </row>
    <row r="858" ht="22.5" customHeight="1">
      <c r="B858" s="19" t="str">
        <f>IFERROR(__xludf.DUMMYFUNCTION("""COMPUTED_VALUE"""),"K/26/011124/1")</f>
        <v>K/26/011124/1</v>
      </c>
      <c r="C858" s="19" t="str">
        <f>IFERROR(__xludf.DUMMYFUNCTION("""COMPUTED_VALUE"""),"M.5014/RAJABASA JAYA-SEKARANG;M.9263/RAJABASA-DAHULU")</f>
        <v>M.5014/RAJABASA JAYA-SEKARANG;M.9263/RAJABASA-DAHULU</v>
      </c>
      <c r="D858" s="17">
        <f>IFERROR(__xludf.DUMMYFUNCTION("""COMPUTED_VALUE"""),45597.58834579861)</f>
        <v>45597.58835</v>
      </c>
      <c r="E858" s="13" t="str">
        <f>IFERROR(__xludf.DUMMYFUNCTION("""COMPUTED_VALUE"""),"BN JUAL BELI")</f>
        <v>BN JUAL BELI</v>
      </c>
      <c r="F858" s="13" t="str">
        <f>IFERROR(__xludf.DUMMYFUNCTION("""COMPUTED_VALUE"""),"SEPRIYANTONI/NOVALIA EKA PUTRI")</f>
        <v>SEPRIYANTONI/NOVALIA EKA PUTRI</v>
      </c>
      <c r="G858" s="13">
        <f t="shared" si="1"/>
        <v>749</v>
      </c>
      <c r="H858" s="13" t="str">
        <f>IFERROR(__xludf.DUMMYFUNCTION("""COMPUTED_VALUE"""),"P0")</f>
        <v>P0</v>
      </c>
    </row>
    <row r="859" ht="22.5" customHeight="1">
      <c r="B859" s="19" t="str">
        <f>IFERROR(__xludf.DUMMYFUNCTION("""COMPUTED_VALUE"""),"K/33/161024/2")</f>
        <v>K/33/161024/2</v>
      </c>
      <c r="C859" s="19" t="str">
        <f>IFERROR(__xludf.DUMMYFUNCTION("""COMPUTED_VALUE"""),"B. 592/ Sumber Agung")</f>
        <v>B. 592/ Sumber Agung</v>
      </c>
      <c r="D859" s="17">
        <f>IFERROR(__xludf.DUMMYFUNCTION("""COMPUTED_VALUE"""),45597.58845916667)</f>
        <v>45597.58846</v>
      </c>
      <c r="E859" s="13" t="str">
        <f>IFERROR(__xludf.DUMMYFUNCTION("""COMPUTED_VALUE"""),"BN Jual beli")</f>
        <v>BN Jual beli</v>
      </c>
      <c r="F859" s="13" t="str">
        <f>IFERROR(__xludf.DUMMYFUNCTION("""COMPUTED_VALUE"""),"ENDANG / WAHYU AJI P")</f>
        <v>ENDANG / WAHYU AJI P</v>
      </c>
      <c r="G859" s="13">
        <f t="shared" si="1"/>
        <v>749</v>
      </c>
      <c r="H859" s="13" t="str">
        <f>IFERROR(__xludf.DUMMYFUNCTION("""COMPUTED_VALUE"""),"P1")</f>
        <v>P1</v>
      </c>
    </row>
    <row r="860" ht="22.5" customHeight="1">
      <c r="B860" s="19" t="str">
        <f>IFERROR(__xludf.DUMMYFUNCTION("""COMPUTED_VALUE"""),"K/27/011124/1")</f>
        <v>K/27/011124/1</v>
      </c>
      <c r="C860" s="19" t="str">
        <f>IFERROR(__xludf.DUMMYFUNCTION("""COMPUTED_VALUE"""),"M. 639/ PEMATANG WANGI")</f>
        <v>M. 639/ PEMATANG WANGI</v>
      </c>
      <c r="D860" s="17">
        <f>IFERROR(__xludf.DUMMYFUNCTION("""COMPUTED_VALUE"""),45597.592945613425)</f>
        <v>45597.59295</v>
      </c>
      <c r="E860" s="13" t="str">
        <f>IFERROR(__xludf.DUMMYFUNCTION("""COMPUTED_VALUE"""),"BN JUAL BELI")</f>
        <v>BN JUAL BELI</v>
      </c>
      <c r="F860" s="13" t="str">
        <f>IFERROR(__xludf.DUMMYFUNCTION("""COMPUTED_VALUE"""),"ENDANG APRILIA")</f>
        <v>ENDANG APRILIA</v>
      </c>
      <c r="G860" s="13">
        <f t="shared" si="1"/>
        <v>750</v>
      </c>
      <c r="H860" s="13" t="str">
        <f>IFERROR(__xludf.DUMMYFUNCTION("""COMPUTED_VALUE"""),"P0")</f>
        <v>P0</v>
      </c>
    </row>
    <row r="861" ht="22.5" customHeight="1">
      <c r="B861" s="19" t="str">
        <f>IFERROR(__xludf.DUMMYFUNCTION("""COMPUTED_VALUE"""),"K/28/011124/2")</f>
        <v>K/28/011124/2</v>
      </c>
      <c r="C861" s="19" t="str">
        <f>IFERROR(__xludf.DUMMYFUNCTION("""COMPUTED_VALUE"""),"nibel 1096/ kemiling permai")</f>
        <v>nibel 1096/ kemiling permai</v>
      </c>
      <c r="D861" s="17">
        <f>IFERROR(__xludf.DUMMYFUNCTION("""COMPUTED_VALUE"""),45597.59378462963)</f>
        <v>45597.59378</v>
      </c>
      <c r="E861" s="13" t="str">
        <f>IFERROR(__xludf.DUMMYFUNCTION("""COMPUTED_VALUE"""),"plotting")</f>
        <v>plotting</v>
      </c>
      <c r="F861" s="13" t="str">
        <f>IFERROR(__xludf.DUMMYFUNCTION("""COMPUTED_VALUE"""),"endang")</f>
        <v>endang</v>
      </c>
      <c r="G861" s="13">
        <f t="shared" si="1"/>
        <v>751</v>
      </c>
      <c r="H861" s="13" t="str">
        <f>IFERROR(__xludf.DUMMYFUNCTION("""COMPUTED_VALUE"""),"P0")</f>
        <v>P0</v>
      </c>
    </row>
    <row r="862" ht="22.5" customHeight="1">
      <c r="B862" s="19" t="str">
        <f>IFERROR(__xludf.DUMMYFUNCTION("""COMPUTED_VALUE"""),"K/29/011124/3")</f>
        <v>K/29/011124/3</v>
      </c>
      <c r="C862" s="19" t="str">
        <f>IFERROR(__xludf.DUMMYFUNCTION("""COMPUTED_VALUE"""),"Nibel 2430/ kemiling permai")</f>
        <v>Nibel 2430/ kemiling permai</v>
      </c>
      <c r="D862" s="17">
        <f>IFERROR(__xludf.DUMMYFUNCTION("""COMPUTED_VALUE"""),45597.59551644676)</f>
        <v>45597.59552</v>
      </c>
      <c r="E862" s="13" t="str">
        <f>IFERROR(__xludf.DUMMYFUNCTION("""COMPUTED_VALUE"""),"plotting")</f>
        <v>plotting</v>
      </c>
      <c r="F862" s="13" t="str">
        <f>IFERROR(__xludf.DUMMYFUNCTION("""COMPUTED_VALUE"""),"endang")</f>
        <v>endang</v>
      </c>
      <c r="G862" s="13">
        <f t="shared" si="1"/>
        <v>752</v>
      </c>
      <c r="H862" s="13" t="str">
        <f>IFERROR(__xludf.DUMMYFUNCTION("""COMPUTED_VALUE"""),"P0")</f>
        <v>P0</v>
      </c>
    </row>
    <row r="863" ht="22.5" customHeight="1">
      <c r="B863" s="19" t="str">
        <f>IFERROR(__xludf.DUMMYFUNCTION("""COMPUTED_VALUE"""),"K/30/011124/1")</f>
        <v>K/30/011124/1</v>
      </c>
      <c r="C863" s="19" t="str">
        <f>IFERROR(__xludf.DUMMYFUNCTION("""COMPUTED_VALUE"""),"PBT. 87/2024")</f>
        <v>PBT. 87/2024</v>
      </c>
      <c r="D863" s="17">
        <f>IFERROR(__xludf.DUMMYFUNCTION("""COMPUTED_VALUE"""),45597.59707398148)</f>
        <v>45597.59707</v>
      </c>
      <c r="E863" s="13" t="str">
        <f>IFERROR(__xludf.DUMMYFUNCTION("""COMPUTED_VALUE"""),"PTPGT (Pertama Kali)")</f>
        <v>PTPGT (Pertama Kali)</v>
      </c>
      <c r="F863" s="13" t="str">
        <f>IFERROR(__xludf.DUMMYFUNCTION("""COMPUTED_VALUE"""),"I Made R/ yudha S")</f>
        <v>I Made R/ yudha S</v>
      </c>
      <c r="G863" s="13">
        <f t="shared" si="1"/>
        <v>753</v>
      </c>
      <c r="H863" s="13" t="str">
        <f>IFERROR(__xludf.DUMMYFUNCTION("""COMPUTED_VALUE"""),"P0")</f>
        <v>P0</v>
      </c>
    </row>
    <row r="864" ht="22.5" customHeight="1">
      <c r="B864" s="19" t="str">
        <f>IFERROR(__xludf.DUMMYFUNCTION("""COMPUTED_VALUE"""),"K/31/011124/2")</f>
        <v>K/31/011124/2</v>
      </c>
      <c r="C864" s="19" t="str">
        <f>IFERROR(__xludf.DUMMYFUNCTION("""COMPUTED_VALUE"""),"M. 2996/ Sukadana Ham")</f>
        <v>M. 2996/ Sukadana Ham</v>
      </c>
      <c r="D864" s="17">
        <f>IFERROR(__xludf.DUMMYFUNCTION("""COMPUTED_VALUE"""),45597.59872969908)</f>
        <v>45597.59873</v>
      </c>
      <c r="E864" s="13" t="str">
        <f>IFERROR(__xludf.DUMMYFUNCTION("""COMPUTED_VALUE"""),"BN Jual Beli")</f>
        <v>BN Jual Beli</v>
      </c>
      <c r="F864" s="13" t="str">
        <f>IFERROR(__xludf.DUMMYFUNCTION("""COMPUTED_VALUE"""),"I Made R/ Susi F")</f>
        <v>I Made R/ Susi F</v>
      </c>
      <c r="G864" s="13">
        <f t="shared" si="1"/>
        <v>754</v>
      </c>
      <c r="H864" s="13" t="str">
        <f>IFERROR(__xludf.DUMMYFUNCTION("""COMPUTED_VALUE"""),"P0")</f>
        <v>P0</v>
      </c>
    </row>
    <row r="865" ht="22.5" customHeight="1">
      <c r="B865" s="19" t="str">
        <f>IFERROR(__xludf.DUMMYFUNCTION("""COMPUTED_VALUE"""),"K/35/281024/1")</f>
        <v>K/35/281024/1</v>
      </c>
      <c r="C865" s="19" t="str">
        <f>IFERROR(__xludf.DUMMYFUNCTION("""COMPUTED_VALUE"""),"Nibel. M. 2665/ Beringin Raya	")</f>
        <v>Nibel. M. 2665/ Beringin Raya	</v>
      </c>
      <c r="D865" s="17">
        <f>IFERROR(__xludf.DUMMYFUNCTION("""COMPUTED_VALUE"""),45597.6006997338)</f>
        <v>45597.6007</v>
      </c>
      <c r="E865" s="13" t="str">
        <f>IFERROR(__xludf.DUMMYFUNCTION("""COMPUTED_VALUE"""),"BN Jual Beli")</f>
        <v>BN Jual Beli</v>
      </c>
      <c r="F865" s="13" t="str">
        <f>IFERROR(__xludf.DUMMYFUNCTION("""COMPUTED_VALUE"""),"Budi K/ Desi Arif Y	")</f>
        <v>Budi K/ Desi Arif Y	</v>
      </c>
      <c r="G865" s="13">
        <f t="shared" si="1"/>
        <v>754</v>
      </c>
      <c r="H865" s="13" t="str">
        <f>IFERROR(__xludf.DUMMYFUNCTION("""COMPUTED_VALUE"""),"P1")</f>
        <v>P1</v>
      </c>
    </row>
    <row r="866" ht="22.5" customHeight="1">
      <c r="B866" s="19" t="str">
        <f>IFERROR(__xludf.DUMMYFUNCTION("""COMPUTED_VALUE"""),"K/32/011124/1")</f>
        <v>K/32/011124/1</v>
      </c>
      <c r="C866" s="19" t="str">
        <f>IFERROR(__xludf.DUMMYFUNCTION("""COMPUTED_VALUE"""),"B.1127/KEMILING PERMAI")</f>
        <v>B.1127/KEMILING PERMAI</v>
      </c>
      <c r="D866" s="17">
        <f>IFERROR(__xludf.DUMMYFUNCTION("""COMPUTED_VALUE"""),45597.60318460648)</f>
        <v>45597.60318</v>
      </c>
      <c r="E866" s="13" t="str">
        <f>IFERROR(__xludf.DUMMYFUNCTION("""COMPUTED_VALUE"""),"BN JUAL BELI")</f>
        <v>BN JUAL BELI</v>
      </c>
      <c r="F866" s="13" t="str">
        <f>IFERROR(__xludf.DUMMYFUNCTION("""COMPUTED_VALUE"""),"IDA YUDIKA ESTOMIHI N/AYI RUHIYAT")</f>
        <v>IDA YUDIKA ESTOMIHI N/AYI RUHIYAT</v>
      </c>
      <c r="G866" s="13">
        <f t="shared" si="1"/>
        <v>755</v>
      </c>
      <c r="H866" s="13" t="str">
        <f>IFERROR(__xludf.DUMMYFUNCTION("""COMPUTED_VALUE"""),"P0")</f>
        <v>P0</v>
      </c>
    </row>
    <row r="867" ht="22.5" customHeight="1">
      <c r="B867" s="19" t="str">
        <f>IFERROR(__xludf.DUMMYFUNCTION("""COMPUTED_VALUE"""),"K/33/011124/1")</f>
        <v>K/33/011124/1</v>
      </c>
      <c r="C867" s="19" t="str">
        <f>IFERROR(__xludf.DUMMYFUNCTION("""COMPUTED_VALUE"""),"M.16627/SUKABUMI")</f>
        <v>M.16627/SUKABUMI</v>
      </c>
      <c r="D867" s="17">
        <f>IFERROR(__xludf.DUMMYFUNCTION("""COMPUTED_VALUE"""),45597.61062364583)</f>
        <v>45597.61062</v>
      </c>
      <c r="E867" s="13" t="str">
        <f>IFERROR(__xludf.DUMMYFUNCTION("""COMPUTED_VALUE"""),"BN JUAL BELI")</f>
        <v>BN JUAL BELI</v>
      </c>
      <c r="F867" s="13" t="str">
        <f>IFERROR(__xludf.DUMMYFUNCTION("""COMPUTED_VALUE"""),"RIZKI PARLIANSYAH/DZAKY AGUSTHOMI")</f>
        <v>RIZKI PARLIANSYAH/DZAKY AGUSTHOMI</v>
      </c>
      <c r="G867" s="13">
        <f t="shared" si="1"/>
        <v>756</v>
      </c>
      <c r="H867" s="13" t="str">
        <f>IFERROR(__xludf.DUMMYFUNCTION("""COMPUTED_VALUE"""),"P0")</f>
        <v>P0</v>
      </c>
    </row>
    <row r="868" ht="22.5" customHeight="1">
      <c r="B868" s="19" t="str">
        <f>IFERROR(__xludf.DUMMYFUNCTION("""COMPUTED_VALUE"""),"K/49/171024/2")</f>
        <v>K/49/171024/2</v>
      </c>
      <c r="C868" s="19" t="str">
        <f>IFERROR(__xludf.DUMMYFUNCTION("""COMPUTED_VALUE"""),"M. 3265/ Gedong Air	")</f>
        <v>M. 3265/ Gedong Air	</v>
      </c>
      <c r="D868" s="17">
        <f>IFERROR(__xludf.DUMMYFUNCTION("""COMPUTED_VALUE"""),45597.61065263889)</f>
        <v>45597.61065</v>
      </c>
      <c r="E868" s="13" t="str">
        <f>IFERROR(__xludf.DUMMYFUNCTION("""COMPUTED_VALUE"""),"BN Jual Beli")</f>
        <v>BN Jual Beli</v>
      </c>
      <c r="F868" s="13" t="str">
        <f>IFERROR(__xludf.DUMMYFUNCTION("""COMPUTED_VALUE"""),"Fahrul Rozi/ Harlinda	")</f>
        <v>Fahrul Rozi/ Harlinda	</v>
      </c>
      <c r="G868" s="13">
        <f t="shared" si="1"/>
        <v>756</v>
      </c>
      <c r="H868" s="13" t="str">
        <f>IFERROR(__xludf.DUMMYFUNCTION("""COMPUTED_VALUE"""),"P1")</f>
        <v>P1</v>
      </c>
    </row>
    <row r="869" ht="22.5" customHeight="1">
      <c r="B869" s="19" t="str">
        <f>IFERROR(__xludf.DUMMYFUNCTION("""COMPUTED_VALUE"""),"K/34/011124/1")</f>
        <v>K/34/011124/1</v>
      </c>
      <c r="C869" s="19" t="str">
        <f>IFERROR(__xludf.DUMMYFUNCTION("""COMPUTED_VALUE"""),"M.1342/SUMUR PUTRI-SEKARANG;B.1342/SUMUR PUTRI-DAHULU")</f>
        <v>M.1342/SUMUR PUTRI-SEKARANG;B.1342/SUMUR PUTRI-DAHULU</v>
      </c>
      <c r="D869" s="17">
        <f>IFERROR(__xludf.DUMMYFUNCTION("""COMPUTED_VALUE"""),45597.61413916667)</f>
        <v>45597.61414</v>
      </c>
      <c r="E869" s="13" t="str">
        <f>IFERROR(__xludf.DUMMYFUNCTION("""COMPUTED_VALUE"""),"ploting")</f>
        <v>ploting</v>
      </c>
      <c r="F869" s="13" t="str">
        <f>IFERROR(__xludf.DUMMYFUNCTION("""COMPUTED_VALUE"""),"rani prameswari cs/algy belamy deseandre")</f>
        <v>rani prameswari cs/algy belamy deseandre</v>
      </c>
      <c r="G869" s="13">
        <f t="shared" si="1"/>
        <v>757</v>
      </c>
      <c r="H869" s="13" t="str">
        <f>IFERROR(__xludf.DUMMYFUNCTION("""COMPUTED_VALUE"""),"P0")</f>
        <v>P0</v>
      </c>
    </row>
    <row r="870" ht="22.5" customHeight="1">
      <c r="B870" s="19" t="str">
        <f>IFERROR(__xludf.DUMMYFUNCTION("""COMPUTED_VALUE"""),"K/28/221024/1")</f>
        <v>K/28/221024/1</v>
      </c>
      <c r="C870" s="19" t="str">
        <f>IFERROR(__xludf.DUMMYFUNCTION("""COMPUTED_VALUE"""),"B. 1206/ Kemiling Permai	")</f>
        <v>B. 1206/ Kemiling Permai	</v>
      </c>
      <c r="D870" s="17">
        <f>IFERROR(__xludf.DUMMYFUNCTION("""COMPUTED_VALUE"""),45597.620775752315)</f>
        <v>45597.62078</v>
      </c>
      <c r="E870" s="13" t="str">
        <f>IFERROR(__xludf.DUMMYFUNCTION("""COMPUTED_VALUE"""),"Bn Jual Beli")</f>
        <v>Bn Jual Beli</v>
      </c>
      <c r="F870" s="13" t="str">
        <f>IFERROR(__xludf.DUMMYFUNCTION("""COMPUTED_VALUE"""),"Herlina Ratna SN/ Yudha O	")</f>
        <v>Herlina Ratna SN/ Yudha O	</v>
      </c>
      <c r="G870" s="13">
        <f t="shared" si="1"/>
        <v>757</v>
      </c>
      <c r="H870" s="13" t="str">
        <f>IFERROR(__xludf.DUMMYFUNCTION("""COMPUTED_VALUE"""),"P1")</f>
        <v>P1</v>
      </c>
    </row>
    <row r="871" ht="22.5" customHeight="1">
      <c r="B871" s="19" t="str">
        <f>IFERROR(__xludf.DUMMYFUNCTION("""COMPUTED_VALUE"""),"K/35/011124/1")</f>
        <v>K/35/011124/1</v>
      </c>
      <c r="C871" s="19" t="str">
        <f>IFERROR(__xludf.DUMMYFUNCTION("""COMPUTED_VALUE"""),"B. 946/ Beringin Jaya")</f>
        <v>B. 946/ Beringin Jaya</v>
      </c>
      <c r="D871" s="17">
        <f>IFERROR(__xludf.DUMMYFUNCTION("""COMPUTED_VALUE"""),45597.623480891205)</f>
        <v>45597.62348</v>
      </c>
      <c r="E871" s="13" t="str">
        <f>IFERROR(__xludf.DUMMYFUNCTION("""COMPUTED_VALUE"""),"BN Jual Beli")</f>
        <v>BN Jual Beli</v>
      </c>
      <c r="F871" s="13" t="str">
        <f>IFERROR(__xludf.DUMMYFUNCTION("""COMPUTED_VALUE"""),"WHINDA YULIANTI/ SURI")</f>
        <v>WHINDA YULIANTI/ SURI</v>
      </c>
      <c r="G871" s="13">
        <f t="shared" si="1"/>
        <v>758</v>
      </c>
      <c r="H871" s="13" t="str">
        <f>IFERROR(__xludf.DUMMYFUNCTION("""COMPUTED_VALUE"""),"P0")</f>
        <v>P0</v>
      </c>
    </row>
    <row r="872" ht="22.5" customHeight="1">
      <c r="B872" s="19" t="str">
        <f>IFERROR(__xludf.DUMMYFUNCTION("""COMPUTED_VALUE"""),"K/37/011124/1")</f>
        <v>K/37/011124/1</v>
      </c>
      <c r="C872" s="19" t="str">
        <f>IFERROR(__xludf.DUMMYFUNCTION("""COMPUTED_VALUE"""),"M. 429/ Gedong Pakuon")</f>
        <v>M. 429/ Gedong Pakuon</v>
      </c>
      <c r="D872" s="17">
        <f>IFERROR(__xludf.DUMMYFUNCTION("""COMPUTED_VALUE"""),45597.62399258102)</f>
        <v>45597.62399</v>
      </c>
      <c r="E872" s="13" t="str">
        <f>IFERROR(__xludf.DUMMYFUNCTION("""COMPUTED_VALUE"""),"BN PHB")</f>
        <v>BN PHB</v>
      </c>
      <c r="F872" s="13" t="str">
        <f>IFERROR(__xludf.DUMMYFUNCTION("""COMPUTED_VALUE"""),"Reflan R/ Andy Suherman")</f>
        <v>Reflan R/ Andy Suherman</v>
      </c>
      <c r="G872" s="13">
        <f t="shared" si="1"/>
        <v>759</v>
      </c>
      <c r="H872" s="13" t="str">
        <f>IFERROR(__xludf.DUMMYFUNCTION("""COMPUTED_VALUE"""),"P0")</f>
        <v>P0</v>
      </c>
    </row>
    <row r="873" ht="22.5" customHeight="1">
      <c r="B873" s="19" t="str">
        <f>IFERROR(__xludf.DUMMYFUNCTION("""COMPUTED_VALUE"""),"K/36/011124/2")</f>
        <v>K/36/011124/2</v>
      </c>
      <c r="C873" s="19" t="str">
        <f>IFERROR(__xludf.DUMMYFUNCTION("""COMPUTED_VALUE"""),"Nibel 626/ Campang Raya")</f>
        <v>Nibel 626/ Campang Raya</v>
      </c>
      <c r="D873" s="17">
        <f>IFERROR(__xludf.DUMMYFUNCTION("""COMPUTED_VALUE"""),45597.62494930555)</f>
        <v>45597.62495</v>
      </c>
      <c r="E873" s="13" t="str">
        <f>IFERROR(__xludf.DUMMYFUNCTION("""COMPUTED_VALUE"""),"BN JUAL BELI")</f>
        <v>BN JUAL BELI</v>
      </c>
      <c r="F873" s="13" t="str">
        <f>IFERROR(__xludf.DUMMYFUNCTION("""COMPUTED_VALUE"""),"WHINDA Y")</f>
        <v>WHINDA Y</v>
      </c>
      <c r="G873" s="13">
        <f t="shared" si="1"/>
        <v>760</v>
      </c>
      <c r="H873" s="13" t="str">
        <f>IFERROR(__xludf.DUMMYFUNCTION("""COMPUTED_VALUE"""),"P0")</f>
        <v>P0</v>
      </c>
    </row>
    <row r="874" ht="22.5" customHeight="1">
      <c r="B874" s="19" t="str">
        <f>IFERROR(__xludf.DUMMYFUNCTION("""COMPUTED_VALUE"""),"K/38/011124/2")</f>
        <v>K/38/011124/2</v>
      </c>
      <c r="C874" s="19" t="str">
        <f>IFERROR(__xludf.DUMMYFUNCTION("""COMPUTED_VALUE"""),"M. 141/ Talang (gedung pakuon Talang)")</f>
        <v>M. 141/ Talang (gedung pakuon Talang)</v>
      </c>
      <c r="D874" s="17">
        <f>IFERROR(__xludf.DUMMYFUNCTION("""COMPUTED_VALUE"""),45597.626792800926)</f>
        <v>45597.62679</v>
      </c>
      <c r="E874" s="13" t="str">
        <f>IFERROR(__xludf.DUMMYFUNCTION("""COMPUTED_VALUE"""),"BN Jual Beli")</f>
        <v>BN Jual Beli</v>
      </c>
      <c r="F874" s="13" t="str">
        <f>IFERROR(__xludf.DUMMYFUNCTION("""COMPUTED_VALUE"""),"Reflan R/ Hermawati")</f>
        <v>Reflan R/ Hermawati</v>
      </c>
      <c r="G874" s="13">
        <f t="shared" si="1"/>
        <v>761</v>
      </c>
      <c r="H874" s="13" t="str">
        <f>IFERROR(__xludf.DUMMYFUNCTION("""COMPUTED_VALUE"""),"P0")</f>
        <v>P0</v>
      </c>
    </row>
    <row r="875" ht="22.5" customHeight="1">
      <c r="B875" s="19" t="str">
        <f>IFERROR(__xludf.DUMMYFUNCTION("""COMPUTED_VALUE"""),"K/39/011124/3")</f>
        <v>K/39/011124/3</v>
      </c>
      <c r="C875" s="19" t="str">
        <f>IFERROR(__xludf.DUMMYFUNCTION("""COMPUTED_VALUE"""),"M. 963; 932/ Pengajaran; SHT2637/2017 dan SHT 2144/2017")</f>
        <v>M. 963; 932/ Pengajaran; SHT2637/2017 dan SHT 2144/2017</v>
      </c>
      <c r="D875" s="17">
        <f>IFERROR(__xludf.DUMMYFUNCTION("""COMPUTED_VALUE"""),45597.62910662037)</f>
        <v>45597.62911</v>
      </c>
      <c r="E875" s="13" t="str">
        <f>IFERROR(__xludf.DUMMYFUNCTION("""COMPUTED_VALUE"""),"Roya")</f>
        <v>Roya</v>
      </c>
      <c r="F875" s="13" t="str">
        <f>IFERROR(__xludf.DUMMYFUNCTION("""COMPUTED_VALUE"""),"Reflan R/ Risneni")</f>
        <v>Reflan R/ Risneni</v>
      </c>
      <c r="G875" s="13">
        <f t="shared" si="1"/>
        <v>762</v>
      </c>
      <c r="H875" s="13" t="str">
        <f>IFERROR(__xludf.DUMMYFUNCTION("""COMPUTED_VALUE"""),"P0")</f>
        <v>P0</v>
      </c>
    </row>
    <row r="876" ht="22.5" customHeight="1">
      <c r="B876" s="19" t="str">
        <f>IFERROR(__xludf.DUMMYFUNCTION("""COMPUTED_VALUE"""),"K/40/011124/1")</f>
        <v>K/40/011124/1</v>
      </c>
      <c r="C876" s="19" t="str">
        <f>IFERROR(__xludf.DUMMYFUNCTION("""COMPUTED_VALUE"""),"M. 551/ Way Halim Permai")</f>
        <v>M. 551/ Way Halim Permai</v>
      </c>
      <c r="D876" s="17">
        <f>IFERROR(__xludf.DUMMYFUNCTION("""COMPUTED_VALUE"""),45597.63250652778)</f>
        <v>45597.63251</v>
      </c>
      <c r="E876" s="13" t="str">
        <f>IFERROR(__xludf.DUMMYFUNCTION("""COMPUTED_VALUE"""),"BN Hibah")</f>
        <v>BN Hibah</v>
      </c>
      <c r="F876" s="13" t="str">
        <f>IFERROR(__xludf.DUMMYFUNCTION("""COMPUTED_VALUE"""),"Febriyanti prisca Sutikna/ Livia Yonathan")</f>
        <v>Febriyanti prisca Sutikna/ Livia Yonathan</v>
      </c>
      <c r="G876" s="13">
        <f t="shared" si="1"/>
        <v>763</v>
      </c>
      <c r="H876" s="13" t="str">
        <f>IFERROR(__xludf.DUMMYFUNCTION("""COMPUTED_VALUE"""),"P0")</f>
        <v>P0</v>
      </c>
    </row>
    <row r="877" ht="22.5" customHeight="1">
      <c r="B877" s="19" t="str">
        <f>IFERROR(__xludf.DUMMYFUNCTION("""COMPUTED_VALUE"""),"K/41/011124/1")</f>
        <v>K/41/011124/1</v>
      </c>
      <c r="C877" s="19" t="str">
        <f>IFERROR(__xludf.DUMMYFUNCTION("""COMPUTED_VALUE"""),"M. 624/ Sukarame")</f>
        <v>M. 624/ Sukarame</v>
      </c>
      <c r="D877" s="17">
        <f>IFERROR(__xludf.DUMMYFUNCTION("""COMPUTED_VALUE"""),45597.63341587963)</f>
        <v>45597.63342</v>
      </c>
      <c r="E877" s="13" t="str">
        <f>IFERROR(__xludf.DUMMYFUNCTION("""COMPUTED_VALUE"""),"Pengecekan")</f>
        <v>Pengecekan</v>
      </c>
      <c r="F877" s="13" t="str">
        <f>IFERROR(__xludf.DUMMYFUNCTION("""COMPUTED_VALUE"""),"Siti Fatimah/ Hadiyanto")</f>
        <v>Siti Fatimah/ Hadiyanto</v>
      </c>
      <c r="G877" s="13">
        <f t="shared" si="1"/>
        <v>764</v>
      </c>
      <c r="H877" s="13" t="str">
        <f>IFERROR(__xludf.DUMMYFUNCTION("""COMPUTED_VALUE"""),"P0")</f>
        <v>P0</v>
      </c>
    </row>
    <row r="878" ht="22.5" customHeight="1">
      <c r="B878" s="19" t="str">
        <f>IFERROR(__xludf.DUMMYFUNCTION("""COMPUTED_VALUE"""),"K/42/011124/2")</f>
        <v>K/42/011124/2</v>
      </c>
      <c r="C878" s="19" t="str">
        <f>IFERROR(__xludf.DUMMYFUNCTION("""COMPUTED_VALUE"""),"M. 379/ Kemiling Permai")</f>
        <v>M. 379/ Kemiling Permai</v>
      </c>
      <c r="D878" s="17">
        <f>IFERROR(__xludf.DUMMYFUNCTION("""COMPUTED_VALUE"""),45597.63418959491)</f>
        <v>45597.63419</v>
      </c>
      <c r="E878" s="13" t="str">
        <f>IFERROR(__xludf.DUMMYFUNCTION("""COMPUTED_VALUE"""),"Ploting")</f>
        <v>Ploting</v>
      </c>
      <c r="F878" s="13" t="str">
        <f>IFERROR(__xludf.DUMMYFUNCTION("""COMPUTED_VALUE"""),"Siti Fatimah/ Tety Herawaty")</f>
        <v>Siti Fatimah/ Tety Herawaty</v>
      </c>
      <c r="G878" s="13">
        <f t="shared" si="1"/>
        <v>765</v>
      </c>
      <c r="H878" s="13" t="str">
        <f>IFERROR(__xludf.DUMMYFUNCTION("""COMPUTED_VALUE"""),"P0")</f>
        <v>P0</v>
      </c>
    </row>
    <row r="879" ht="22.5" customHeight="1">
      <c r="B879" s="19" t="str">
        <f>IFERROR(__xludf.DUMMYFUNCTION("""COMPUTED_VALUE"""),"K/1/041124/1")</f>
        <v>K/1/041124/1</v>
      </c>
      <c r="C879" s="19" t="str">
        <f>IFERROR(__xludf.DUMMYFUNCTION("""COMPUTED_VALUE"""),"M. 2498/ Way Laga")</f>
        <v>M. 2498/ Way Laga</v>
      </c>
      <c r="D879" s="17">
        <f>IFERROR(__xludf.DUMMYFUNCTION("""COMPUTED_VALUE"""),45600.37665387732)</f>
        <v>45600.37665</v>
      </c>
      <c r="E879" s="13" t="str">
        <f>IFERROR(__xludf.DUMMYFUNCTION("""COMPUTED_VALUE"""),"Hapus BPHTB")</f>
        <v>Hapus BPHTB</v>
      </c>
      <c r="F879" s="13" t="str">
        <f>IFERROR(__xludf.DUMMYFUNCTION("""COMPUTED_VALUE"""),"Fahmi Sasmita/ Agus S")</f>
        <v>Fahmi Sasmita/ Agus S</v>
      </c>
      <c r="G879" s="13">
        <f t="shared" si="1"/>
        <v>766</v>
      </c>
      <c r="H879" s="13" t="str">
        <f>IFERROR(__xludf.DUMMYFUNCTION("""COMPUTED_VALUE"""),"P0")</f>
        <v>P0</v>
      </c>
    </row>
    <row r="880" ht="22.5" customHeight="1">
      <c r="B880" s="19" t="str">
        <f>IFERROR(__xludf.DUMMYFUNCTION("""COMPUTED_VALUE"""),"K/2/041125/1")</f>
        <v>K/2/041125/1</v>
      </c>
      <c r="C880" s="19" t="str">
        <f>IFERROR(__xludf.DUMMYFUNCTION("""COMPUTED_VALUE"""),"M. 1233/ Talang")</f>
        <v>M. 1233/ Talang</v>
      </c>
      <c r="D880" s="17">
        <f>IFERROR(__xludf.DUMMYFUNCTION("""COMPUTED_VALUE"""),45600.394084155094)</f>
        <v>45600.39408</v>
      </c>
      <c r="E880" s="13" t="str">
        <f>IFERROR(__xludf.DUMMYFUNCTION("""COMPUTED_VALUE"""),"ROYA")</f>
        <v>ROYA</v>
      </c>
      <c r="F880" s="13" t="str">
        <f>IFERROR(__xludf.DUMMYFUNCTION("""COMPUTED_VALUE"""),"ARIS ARDIANSYAH/ EPI PARELA")</f>
        <v>ARIS ARDIANSYAH/ EPI PARELA</v>
      </c>
      <c r="G880" s="13">
        <f t="shared" si="1"/>
        <v>767</v>
      </c>
      <c r="H880" s="13" t="str">
        <f>IFERROR(__xludf.DUMMYFUNCTION("""COMPUTED_VALUE"""),"P0")</f>
        <v>P0</v>
      </c>
    </row>
    <row r="881" ht="22.5" customHeight="1">
      <c r="B881" s="19" t="str">
        <f>IFERROR(__xludf.DUMMYFUNCTION("""COMPUTED_VALUE"""),"K/39/161024/1")</f>
        <v>K/39/161024/1</v>
      </c>
      <c r="C881" s="19" t="str">
        <f>IFERROR(__xludf.DUMMYFUNCTION("""COMPUTED_VALUE"""),"M. 1812/ Rajabasa Nunyai")</f>
        <v>M. 1812/ Rajabasa Nunyai</v>
      </c>
      <c r="D881" s="17">
        <f>IFERROR(__xludf.DUMMYFUNCTION("""COMPUTED_VALUE"""),45600.40309865741)</f>
        <v>45600.4031</v>
      </c>
      <c r="E881" s="13" t="str">
        <f>IFERROR(__xludf.DUMMYFUNCTION("""COMPUTED_VALUE"""),"BN JUAL BELI")</f>
        <v>BN JUAL BELI</v>
      </c>
      <c r="F881" s="13" t="str">
        <f>IFERROR(__xludf.DUMMYFUNCTION("""COMPUTED_VALUE"""),"IG YOGA/ DEBY HARDIAN")</f>
        <v>IG YOGA/ DEBY HARDIAN</v>
      </c>
      <c r="G881" s="13">
        <f t="shared" si="1"/>
        <v>767</v>
      </c>
      <c r="H881" s="13" t="str">
        <f>IFERROR(__xludf.DUMMYFUNCTION("""COMPUTED_VALUE"""),"P1")</f>
        <v>P1</v>
      </c>
    </row>
    <row r="882" ht="22.5" customHeight="1">
      <c r="B882" s="19" t="str">
        <f>IFERROR(__xludf.DUMMYFUNCTION("""COMPUTED_VALUE"""),"K/3/041124/1")</f>
        <v>K/3/041124/1</v>
      </c>
      <c r="C882" s="19" t="str">
        <f>IFERROR(__xludf.DUMMYFUNCTION("""COMPUTED_VALUE"""),"M. 1357/ KETEGUHAN")</f>
        <v>M. 1357/ KETEGUHAN</v>
      </c>
      <c r="D882" s="17">
        <f>IFERROR(__xludf.DUMMYFUNCTION("""COMPUTED_VALUE"""),45600.40669746528)</f>
        <v>45600.4067</v>
      </c>
      <c r="E882" s="13" t="str">
        <f>IFERROR(__xludf.DUMMYFUNCTION("""COMPUTED_VALUE"""),"GANTI KELURAHAN")</f>
        <v>GANTI KELURAHAN</v>
      </c>
      <c r="F882" s="13" t="str">
        <f>IFERROR(__xludf.DUMMYFUNCTION("""COMPUTED_VALUE"""),"IG YOGA/ ERPIALIS")</f>
        <v>IG YOGA/ ERPIALIS</v>
      </c>
      <c r="G882" s="13">
        <f t="shared" si="1"/>
        <v>768</v>
      </c>
      <c r="H882" s="13" t="str">
        <f>IFERROR(__xludf.DUMMYFUNCTION("""COMPUTED_VALUE"""),"P0")</f>
        <v>P0</v>
      </c>
    </row>
    <row r="883" ht="22.5" customHeight="1">
      <c r="B883" s="19" t="str">
        <f>IFERROR(__xludf.DUMMYFUNCTION("""COMPUTED_VALUE"""),"K/4/041124/1")</f>
        <v>K/4/041124/1</v>
      </c>
      <c r="C883" s="19" t="str">
        <f>IFERROR(__xludf.DUMMYFUNCTION("""COMPUTED_VALUE"""),"M. 6423/ Gunung Sulah")</f>
        <v>M. 6423/ Gunung Sulah</v>
      </c>
      <c r="D883" s="17">
        <f>IFERROR(__xludf.DUMMYFUNCTION("""COMPUTED_VALUE"""),45600.41211482639)</f>
        <v>45600.41211</v>
      </c>
      <c r="E883" s="13" t="str">
        <f>IFERROR(__xludf.DUMMYFUNCTION("""COMPUTED_VALUE"""),"BN Hibah")</f>
        <v>BN Hibah</v>
      </c>
      <c r="F883" s="13" t="str">
        <f>IFERROR(__xludf.DUMMYFUNCTION("""COMPUTED_VALUE"""),"Indah S/ Nita A")</f>
        <v>Indah S/ Nita A</v>
      </c>
      <c r="G883" s="13">
        <f t="shared" si="1"/>
        <v>769</v>
      </c>
      <c r="H883" s="13" t="str">
        <f>IFERROR(__xludf.DUMMYFUNCTION("""COMPUTED_VALUE"""),"P0")</f>
        <v>P0</v>
      </c>
    </row>
    <row r="884" ht="22.5" customHeight="1">
      <c r="B884" s="19" t="str">
        <f>IFERROR(__xludf.DUMMYFUNCTION("""COMPUTED_VALUE"""),"K/5/041124/1")</f>
        <v>K/5/041124/1</v>
      </c>
      <c r="C884" s="19" t="str">
        <f>IFERROR(__xludf.DUMMYFUNCTION("""COMPUTED_VALUE"""),"M. 2126/ Kangkung")</f>
        <v>M. 2126/ Kangkung</v>
      </c>
      <c r="D884" s="17">
        <f>IFERROR(__xludf.DUMMYFUNCTION("""COMPUTED_VALUE"""),45600.419663796296)</f>
        <v>45600.41966</v>
      </c>
      <c r="E884" s="13" t="str">
        <f>IFERROR(__xludf.DUMMYFUNCTION("""COMPUTED_VALUE"""),"BN Waris")</f>
        <v>BN Waris</v>
      </c>
      <c r="F884" s="13" t="str">
        <f>IFERROR(__xludf.DUMMYFUNCTION("""COMPUTED_VALUE"""),"Triadi K/ William Felix")</f>
        <v>Triadi K/ William Felix</v>
      </c>
      <c r="G884" s="13">
        <f t="shared" si="1"/>
        <v>770</v>
      </c>
      <c r="H884" s="13" t="str">
        <f>IFERROR(__xludf.DUMMYFUNCTION("""COMPUTED_VALUE"""),"P0")</f>
        <v>P0</v>
      </c>
    </row>
    <row r="885" ht="22.5" customHeight="1">
      <c r="B885" s="19" t="str">
        <f>IFERROR(__xludf.DUMMYFUNCTION("""COMPUTED_VALUE"""),"K/6/041124/1")</f>
        <v>K/6/041124/1</v>
      </c>
      <c r="C885" s="19" t="str">
        <f>IFERROR(__xludf.DUMMYFUNCTION("""COMPUTED_VALUE"""),"M. 746/ JAGABAYA III")</f>
        <v>M. 746/ JAGABAYA III</v>
      </c>
      <c r="D885" s="17">
        <f>IFERROR(__xludf.DUMMYFUNCTION("""COMPUTED_VALUE"""),45600.42169265046)</f>
        <v>45600.42169</v>
      </c>
      <c r="E885" s="13" t="str">
        <f>IFERROR(__xludf.DUMMYFUNCTION("""COMPUTED_VALUE"""),"PLOTTING")</f>
        <v>PLOTTING</v>
      </c>
      <c r="F885" s="13" t="str">
        <f>IFERROR(__xludf.DUMMYFUNCTION("""COMPUTED_VALUE"""),"HARIYO WIDODO/ MELDA")</f>
        <v>HARIYO WIDODO/ MELDA</v>
      </c>
      <c r="G885" s="13">
        <f t="shared" si="1"/>
        <v>771</v>
      </c>
      <c r="H885" s="13" t="str">
        <f>IFERROR(__xludf.DUMMYFUNCTION("""COMPUTED_VALUE"""),"P0")</f>
        <v>P0</v>
      </c>
    </row>
    <row r="886" ht="22.5" customHeight="1">
      <c r="B886" s="19" t="str">
        <f>IFERROR(__xludf.DUMMYFUNCTION("""COMPUTED_VALUE"""),"K/7/041124/2")</f>
        <v>K/7/041124/2</v>
      </c>
      <c r="C886" s="19" t="str">
        <f>IFERROR(__xludf.DUMMYFUNCTION("""COMPUTED_VALUE"""),"M. 4993/ TANJUNG SENENG")</f>
        <v>M. 4993/ TANJUNG SENENG</v>
      </c>
      <c r="D886" s="17">
        <f>IFERROR(__xludf.DUMMYFUNCTION("""COMPUTED_VALUE"""),45600.42472148148)</f>
        <v>45600.42472</v>
      </c>
      <c r="E886" s="13" t="str">
        <f>IFERROR(__xludf.DUMMYFUNCTION("""COMPUTED_VALUE"""),"GANTI KECAMATAN")</f>
        <v>GANTI KECAMATAN</v>
      </c>
      <c r="F886" s="13" t="str">
        <f>IFERROR(__xludf.DUMMYFUNCTION("""COMPUTED_VALUE"""),"HARIYO WIDODO")</f>
        <v>HARIYO WIDODO</v>
      </c>
      <c r="G886" s="13">
        <f t="shared" si="1"/>
        <v>772</v>
      </c>
      <c r="H886" s="13" t="str">
        <f>IFERROR(__xludf.DUMMYFUNCTION("""COMPUTED_VALUE"""),"P0")</f>
        <v>P0</v>
      </c>
    </row>
    <row r="887" ht="22.5" customHeight="1">
      <c r="B887" s="19" t="str">
        <f>IFERROR(__xludf.DUMMYFUNCTION("""COMPUTED_VALUE"""),"L/63/311024/1")</f>
        <v>L/63/311024/1</v>
      </c>
      <c r="C887" s="19" t="str">
        <f>IFERROR(__xludf.DUMMYFUNCTION("""COMPUTED_VALUE"""),"B.764/WAY KANDIS")</f>
        <v>B.764/WAY KANDIS</v>
      </c>
      <c r="D887" s="17">
        <f>IFERROR(__xludf.DUMMYFUNCTION("""COMPUTED_VALUE"""),45600.427902048614)</f>
        <v>45600.4279</v>
      </c>
      <c r="E887" s="13" t="str">
        <f>IFERROR(__xludf.DUMMYFUNCTION("""COMPUTED_VALUE"""),"ROYA")</f>
        <v>ROYA</v>
      </c>
      <c r="F887" s="13" t="str">
        <f>IFERROR(__xludf.DUMMYFUNCTION("""COMPUTED_VALUE"""),"LURMI HAYATI MANURUNG")</f>
        <v>LURMI HAYATI MANURUNG</v>
      </c>
      <c r="G887" s="13">
        <f t="shared" si="1"/>
        <v>773</v>
      </c>
      <c r="H887" s="13" t="str">
        <f>IFERROR(__xludf.DUMMYFUNCTION("""COMPUTED_VALUE"""),"P0")</f>
        <v>P0</v>
      </c>
    </row>
    <row r="888" ht="22.5" customHeight="1">
      <c r="B888" s="19" t="str">
        <f>IFERROR(__xludf.DUMMYFUNCTION("""COMPUTED_VALUE"""),"K/9/041124/1")</f>
        <v>K/9/041124/1</v>
      </c>
      <c r="C888" s="19" t="str">
        <f>IFERROR(__xludf.DUMMYFUNCTION("""COMPUTED_VALUE"""),"IBEL B.640/CAMPANG RAYA")</f>
        <v>IBEL B.640/CAMPANG RAYA</v>
      </c>
      <c r="D888" s="17">
        <f>IFERROR(__xludf.DUMMYFUNCTION("""COMPUTED_VALUE"""),45600.42920266204)</f>
        <v>45600.4292</v>
      </c>
      <c r="E888" s="13" t="str">
        <f>IFERROR(__xludf.DUMMYFUNCTION("""COMPUTED_VALUE"""),"BN JUAL BELI")</f>
        <v>BN JUAL BELI</v>
      </c>
      <c r="F888" s="13" t="str">
        <f>IFERROR(__xludf.DUMMYFUNCTION("""COMPUTED_VALUE"""),"PT CIPTA ABADI PRIMA SEJAHTERA/WHINDA YULIANTI")</f>
        <v>PT CIPTA ABADI PRIMA SEJAHTERA/WHINDA YULIANTI</v>
      </c>
      <c r="G888" s="13">
        <f t="shared" si="1"/>
        <v>774</v>
      </c>
      <c r="H888" s="13" t="str">
        <f>IFERROR(__xludf.DUMMYFUNCTION("""COMPUTED_VALUE"""),"P0")</f>
        <v>P0</v>
      </c>
    </row>
    <row r="889" ht="22.5" customHeight="1">
      <c r="B889" s="19" t="str">
        <f>IFERROR(__xludf.DUMMYFUNCTION("""COMPUTED_VALUE"""),"K/10/041124/2")</f>
        <v>K/10/041124/2</v>
      </c>
      <c r="C889" s="19" t="str">
        <f>IFERROR(__xludf.DUMMYFUNCTION("""COMPUTED_VALUE"""),"NIBEL B.506/GUNUNG SULAH")</f>
        <v>NIBEL B.506/GUNUNG SULAH</v>
      </c>
      <c r="D889" s="17">
        <f>IFERROR(__xludf.DUMMYFUNCTION("""COMPUTED_VALUE"""),45600.43012377315)</f>
        <v>45600.43012</v>
      </c>
      <c r="E889" s="13" t="str">
        <f>IFERROR(__xludf.DUMMYFUNCTION("""COMPUTED_VALUE"""),"BN JUAL BELI")</f>
        <v>BN JUAL BELI</v>
      </c>
      <c r="F889" s="13" t="str">
        <f>IFERROR(__xludf.DUMMYFUNCTION("""COMPUTED_VALUE"""),"PT GUNUNG SULAH MEDIKA/WHINDA YULIANTI")</f>
        <v>PT GUNUNG SULAH MEDIKA/WHINDA YULIANTI</v>
      </c>
      <c r="G889" s="13">
        <f t="shared" si="1"/>
        <v>775</v>
      </c>
      <c r="H889" s="13" t="str">
        <f>IFERROR(__xludf.DUMMYFUNCTION("""COMPUTED_VALUE"""),"P0")</f>
        <v>P0</v>
      </c>
    </row>
    <row r="890" ht="22.5" customHeight="1">
      <c r="B890" s="19" t="str">
        <f>IFERROR(__xludf.DUMMYFUNCTION("""COMPUTED_VALUE"""),"K/12/041124/3")</f>
        <v>K/12/041124/3</v>
      </c>
      <c r="C890" s="19" t="str">
        <f>IFERROR(__xludf.DUMMYFUNCTION("""COMPUTED_VALUE"""),"NIBEL B.508/GUNUNG SULAH")</f>
        <v>NIBEL B.508/GUNUNG SULAH</v>
      </c>
      <c r="D890" s="17">
        <f>IFERROR(__xludf.DUMMYFUNCTION("""COMPUTED_VALUE"""),45600.43875541667)</f>
        <v>45600.43876</v>
      </c>
      <c r="E890" s="13" t="str">
        <f>IFERROR(__xludf.DUMMYFUNCTION("""COMPUTED_VALUE"""),"BN JUAL BELI ")</f>
        <v>BN JUAL BELI </v>
      </c>
      <c r="F890" s="13" t="str">
        <f>IFERROR(__xludf.DUMMYFUNCTION("""COMPUTED_VALUE"""),"PT GUNUNG SULAH MEDIKA/WHINDA YULIANTI")</f>
        <v>PT GUNUNG SULAH MEDIKA/WHINDA YULIANTI</v>
      </c>
      <c r="G890" s="13">
        <f t="shared" si="1"/>
        <v>776</v>
      </c>
      <c r="H890" s="13" t="str">
        <f>IFERROR(__xludf.DUMMYFUNCTION("""COMPUTED_VALUE"""),"P0")</f>
        <v>P0</v>
      </c>
    </row>
    <row r="891" ht="22.5" customHeight="1">
      <c r="B891" s="19" t="str">
        <f>IFERROR(__xludf.DUMMYFUNCTION("""COMPUTED_VALUE"""),"K/13/041124/4")</f>
        <v>K/13/041124/4</v>
      </c>
      <c r="C891" s="19" t="str">
        <f>IFERROR(__xludf.DUMMYFUNCTION("""COMPUTED_VALUE"""),"NIBEL B.507/GUNUNG SULAH")</f>
        <v>NIBEL B.507/GUNUNG SULAH</v>
      </c>
      <c r="D891" s="17">
        <f>IFERROR(__xludf.DUMMYFUNCTION("""COMPUTED_VALUE"""),45600.43984357639)</f>
        <v>45600.43984</v>
      </c>
      <c r="E891" s="13" t="str">
        <f>IFERROR(__xludf.DUMMYFUNCTION("""COMPUTED_VALUE"""),"BN JUAL BELI")</f>
        <v>BN JUAL BELI</v>
      </c>
      <c r="F891" s="13" t="str">
        <f>IFERROR(__xludf.DUMMYFUNCTION("""COMPUTED_VALUE"""),"PT GUNUNG SULAH MEDIKA/WHINDA YULIANTI")</f>
        <v>PT GUNUNG SULAH MEDIKA/WHINDA YULIANTI</v>
      </c>
      <c r="G891" s="13">
        <f t="shared" si="1"/>
        <v>777</v>
      </c>
      <c r="H891" s="13" t="str">
        <f>IFERROR(__xludf.DUMMYFUNCTION("""COMPUTED_VALUE"""),"P0")</f>
        <v>P0</v>
      </c>
    </row>
    <row r="892" ht="22.5" customHeight="1">
      <c r="B892" s="19" t="str">
        <f>IFERROR(__xludf.DUMMYFUNCTION("""COMPUTED_VALUE"""),"K/8/041124/1")</f>
        <v>K/8/041124/1</v>
      </c>
      <c r="C892" s="19" t="str">
        <f>IFERROR(__xludf.DUMMYFUNCTION("""COMPUTED_VALUE"""),"M. 3227/ TANJUNG SENENG")</f>
        <v>M. 3227/ TANJUNG SENENG</v>
      </c>
      <c r="D892" s="17">
        <f>IFERROR(__xludf.DUMMYFUNCTION("""COMPUTED_VALUE"""),45600.44639165509)</f>
        <v>45600.44639</v>
      </c>
      <c r="E892" s="13" t="str">
        <f>IFERROR(__xludf.DUMMYFUNCTION("""COMPUTED_VALUE"""),"BN WARIS")</f>
        <v>BN WARIS</v>
      </c>
      <c r="F892" s="13" t="str">
        <f>IFERROR(__xludf.DUMMYFUNCTION("""COMPUTED_VALUE"""),"A ROSWANTAMA/ EMITA CS")</f>
        <v>A ROSWANTAMA/ EMITA CS</v>
      </c>
      <c r="G892" s="13">
        <f t="shared" si="1"/>
        <v>778</v>
      </c>
      <c r="H892" s="13" t="str">
        <f>IFERROR(__xludf.DUMMYFUNCTION("""COMPUTED_VALUE"""),"P0")</f>
        <v>P0</v>
      </c>
    </row>
    <row r="893" ht="22.5" customHeight="1">
      <c r="B893" s="19" t="str">
        <f>IFERROR(__xludf.DUMMYFUNCTION("""COMPUTED_VALUE"""),"L/15/041131/1")</f>
        <v>L/15/041131/1</v>
      </c>
      <c r="C893" s="19" t="str">
        <f>IFERROR(__xludf.DUMMYFUNCTION("""COMPUTED_VALUE"""),"M.24/NUSANTARA PERMAI-SEKARANG; M.32/CAMPANG RAYA -DAHULU")</f>
        <v>M.24/NUSANTARA PERMAI-SEKARANG; M.32/CAMPANG RAYA -DAHULU</v>
      </c>
      <c r="D893" s="17">
        <f>IFERROR(__xludf.DUMMYFUNCTION("""COMPUTED_VALUE"""),45600.45174991898)</f>
        <v>45600.45175</v>
      </c>
      <c r="E893" s="13" t="str">
        <f>IFERROR(__xludf.DUMMYFUNCTION("""COMPUTED_VALUE"""),"ROYA")</f>
        <v>ROYA</v>
      </c>
      <c r="F893" s="13" t="str">
        <f>IFERROR(__xludf.DUMMYFUNCTION("""COMPUTED_VALUE"""),"EDIYANTO")</f>
        <v>EDIYANTO</v>
      </c>
      <c r="G893" s="13">
        <f t="shared" si="1"/>
        <v>779</v>
      </c>
      <c r="H893" s="13" t="str">
        <f>IFERROR(__xludf.DUMMYFUNCTION("""COMPUTED_VALUE"""),"P0")</f>
        <v>P0</v>
      </c>
    </row>
    <row r="894" ht="22.5" customHeight="1">
      <c r="B894" s="19" t="str">
        <f>IFERROR(__xludf.DUMMYFUNCTION("""COMPUTED_VALUE"""),"L/16/041132/1")</f>
        <v>L/16/041132/1</v>
      </c>
      <c r="C894" s="19" t="str">
        <f>IFERROR(__xludf.DUMMYFUNCTION("""COMPUTED_VALUE"""),"B.4891 / BERINGIN RAYA")</f>
        <v>B.4891 / BERINGIN RAYA</v>
      </c>
      <c r="D894" s="17">
        <f>IFERROR(__xludf.DUMMYFUNCTION("""COMPUTED_VALUE"""),45600.46072315972)</f>
        <v>45600.46072</v>
      </c>
      <c r="E894" s="13" t="str">
        <f>IFERROR(__xludf.DUMMYFUNCTION("""COMPUTED_VALUE"""),"PERUBAHAN HAK")</f>
        <v>PERUBAHAN HAK</v>
      </c>
      <c r="F894" s="13" t="str">
        <f>IFERROR(__xludf.DUMMYFUNCTION("""COMPUTED_VALUE"""),"A SYAFARI")</f>
        <v>A SYAFARI</v>
      </c>
      <c r="G894" s="13">
        <f t="shared" si="1"/>
        <v>780</v>
      </c>
      <c r="H894" s="13" t="str">
        <f>IFERROR(__xludf.DUMMYFUNCTION("""COMPUTED_VALUE"""),"P0")</f>
        <v>P0</v>
      </c>
    </row>
    <row r="895" ht="22.5" customHeight="1">
      <c r="B895" s="19" t="str">
        <f>IFERROR(__xludf.DUMMYFUNCTION("""COMPUTED_VALUE"""),"K/18/041124/1")</f>
        <v>K/18/041124/1</v>
      </c>
      <c r="C895" s="19" t="str">
        <f>IFERROR(__xludf.DUMMYFUNCTION("""COMPUTED_VALUE"""),"M. 2289/ Perumnas Way Halim")</f>
        <v>M. 2289/ Perumnas Way Halim</v>
      </c>
      <c r="D895" s="17">
        <f>IFERROR(__xludf.DUMMYFUNCTION("""COMPUTED_VALUE"""),45600.47040638889)</f>
        <v>45600.47041</v>
      </c>
      <c r="E895" s="13" t="str">
        <f>IFERROR(__xludf.DUMMYFUNCTION("""COMPUTED_VALUE"""),"BN Jual Beli")</f>
        <v>BN Jual Beli</v>
      </c>
      <c r="F895" s="13" t="str">
        <f>IFERROR(__xludf.DUMMYFUNCTION("""COMPUTED_VALUE"""),"Intan Avita S/ Yuly Wina A")</f>
        <v>Intan Avita S/ Yuly Wina A</v>
      </c>
      <c r="G895" s="13">
        <f t="shared" si="1"/>
        <v>781</v>
      </c>
      <c r="H895" s="13" t="str">
        <f>IFERROR(__xludf.DUMMYFUNCTION("""COMPUTED_VALUE"""),"P0")</f>
        <v>P0</v>
      </c>
    </row>
    <row r="896" ht="22.5" customHeight="1">
      <c r="B896" s="19" t="str">
        <f>IFERROR(__xludf.DUMMYFUNCTION("""COMPUTED_VALUE"""),"K/19/041124/1")</f>
        <v>K/19/041124/1</v>
      </c>
      <c r="C896" s="19" t="str">
        <f>IFERROR(__xludf.DUMMYFUNCTION("""COMPUTED_VALUE"""),"PBT 90/2024")</f>
        <v>PBT 90/2024</v>
      </c>
      <c r="D896" s="17">
        <f>IFERROR(__xludf.DUMMYFUNCTION("""COMPUTED_VALUE"""),45600.473461030095)</f>
        <v>45600.47346</v>
      </c>
      <c r="E896" s="13" t="str">
        <f>IFERROR(__xludf.DUMMYFUNCTION("""COMPUTED_VALUE"""),"PTPGT TANAH MENDTAH")</f>
        <v>PTPGT TANAH MENDTAH</v>
      </c>
      <c r="F896" s="13" t="str">
        <f>IFERROR(__xludf.DUMMYFUNCTION("""COMPUTED_VALUE"""),"HAMDA YUPI/ RAHMI GUSTINA")</f>
        <v>HAMDA YUPI/ RAHMI GUSTINA</v>
      </c>
      <c r="G896" s="13">
        <f t="shared" si="1"/>
        <v>781</v>
      </c>
      <c r="H896" s="13" t="str">
        <f>IFERROR(__xludf.DUMMYFUNCTION("""COMPUTED_VALUE"""),"P1")</f>
        <v>P1</v>
      </c>
    </row>
    <row r="897" ht="22.5" customHeight="1">
      <c r="B897" s="19" t="str">
        <f>IFERROR(__xludf.DUMMYFUNCTION("""COMPUTED_VALUE"""),"K/11/041124/1")</f>
        <v>K/11/041124/1</v>
      </c>
      <c r="C897" s="19" t="str">
        <f>IFERROR(__xludf.DUMMYFUNCTION("""COMPUTED_VALUE"""),"M. 1346/ Sumberrejo")</f>
        <v>M. 1346/ Sumberrejo</v>
      </c>
      <c r="D897" s="17">
        <f>IFERROR(__xludf.DUMMYFUNCTION("""COMPUTED_VALUE"""),45600.47428300926)</f>
        <v>45600.47428</v>
      </c>
      <c r="E897" s="13" t="str">
        <f>IFERROR(__xludf.DUMMYFUNCTION("""COMPUTED_VALUE"""),"BN Jual Beli")</f>
        <v>BN Jual Beli</v>
      </c>
      <c r="F897" s="13" t="str">
        <f>IFERROR(__xludf.DUMMYFUNCTION("""COMPUTED_VALUE"""),"Dian Eka S. Gustia Yolanda")</f>
        <v>Dian Eka S. Gustia Yolanda</v>
      </c>
      <c r="G897" s="13">
        <f t="shared" si="1"/>
        <v>782</v>
      </c>
      <c r="H897" s="13" t="str">
        <f>IFERROR(__xludf.DUMMYFUNCTION("""COMPUTED_VALUE"""),"P0")</f>
        <v>P0</v>
      </c>
    </row>
    <row r="898" ht="22.5" customHeight="1">
      <c r="B898" s="19" t="str">
        <f>IFERROR(__xludf.DUMMYFUNCTION("""COMPUTED_VALUE"""),"L/16/041124/1")</f>
        <v>L/16/041124/1</v>
      </c>
      <c r="C898" s="19" t="str">
        <f>IFERROR(__xludf.DUMMYFUNCTION("""COMPUTED_VALUE"""),"-")</f>
        <v>-</v>
      </c>
      <c r="D898" s="17">
        <f>IFERROR(__xludf.DUMMYFUNCTION("""COMPUTED_VALUE"""),45600.476428043985)</f>
        <v>45600.47643</v>
      </c>
      <c r="E898" s="13" t="str">
        <f>IFERROR(__xludf.DUMMYFUNCTION("""COMPUTED_VALUE"""),"ASPEK")</f>
        <v>ASPEK</v>
      </c>
      <c r="F898" s="13" t="str">
        <f>IFERROR(__xludf.DUMMYFUNCTION("""COMPUTED_VALUE"""),"SRI AGUSTINA")</f>
        <v>SRI AGUSTINA</v>
      </c>
      <c r="G898" s="13">
        <f t="shared" si="1"/>
        <v>782</v>
      </c>
      <c r="H898" s="13" t="str">
        <f>IFERROR(__xludf.DUMMYFUNCTION("""COMPUTED_VALUE"""),"P0")</f>
        <v>P0</v>
      </c>
    </row>
    <row r="899" ht="22.5" customHeight="1">
      <c r="B899" s="19" t="str">
        <f>IFERROR(__xludf.DUMMYFUNCTION("""COMPUTED_VALUE"""),"K/21/041124/1")</f>
        <v>K/21/041124/1</v>
      </c>
      <c r="C899" s="19" t="str">
        <f>IFERROR(__xludf.DUMMYFUNCTION("""COMPUTED_VALUE"""),"M.1031/NEGERI OLOK GADING-SEKARANG;B.975/NEGERI OLOK GADING-DAHULU")</f>
        <v>M.1031/NEGERI OLOK GADING-SEKARANG;B.975/NEGERI OLOK GADING-DAHULU</v>
      </c>
      <c r="D899" s="17">
        <f>IFERROR(__xludf.DUMMYFUNCTION("""COMPUTED_VALUE"""),45600.477455115746)</f>
        <v>45600.47746</v>
      </c>
      <c r="E899" s="13" t="str">
        <f>IFERROR(__xludf.DUMMYFUNCTION("""COMPUTED_VALUE"""),"BN JUAL BELI")</f>
        <v>BN JUAL BELI</v>
      </c>
      <c r="F899" s="13" t="str">
        <f>IFERROR(__xludf.DUMMYFUNCTION("""COMPUTED_VALUE"""),"IDAYATI SISWANTO/AFRIZAL")</f>
        <v>IDAYATI SISWANTO/AFRIZAL</v>
      </c>
      <c r="G899" s="13">
        <f t="shared" si="1"/>
        <v>783</v>
      </c>
      <c r="H899" s="13" t="str">
        <f>IFERROR(__xludf.DUMMYFUNCTION("""COMPUTED_VALUE"""),"P0")</f>
        <v>P0</v>
      </c>
    </row>
    <row r="900" ht="22.5" customHeight="1">
      <c r="B900" s="19" t="str">
        <f>IFERROR(__xludf.DUMMYFUNCTION("""COMPUTED_VALUE"""),"K/7/291024/2")</f>
        <v>K/7/291024/2</v>
      </c>
      <c r="C900" s="19" t="str">
        <f>IFERROR(__xludf.DUMMYFUNCTION("""COMPUTED_VALUE"""),"M. 2590/ Beringin Raya - sekarang; B. 2536/ Beringin raya-dahulu")</f>
        <v>M. 2590/ Beringin Raya - sekarang; B. 2536/ Beringin raya-dahulu</v>
      </c>
      <c r="D900" s="17">
        <f>IFERROR(__xludf.DUMMYFUNCTION("""COMPUTED_VALUE"""),45600.48175460648)</f>
        <v>45600.48175</v>
      </c>
      <c r="E900" s="13" t="str">
        <f>IFERROR(__xludf.DUMMYFUNCTION("""COMPUTED_VALUE"""),"BN WARIS")</f>
        <v>BN WARIS</v>
      </c>
      <c r="F900" s="13" t="str">
        <f>IFERROR(__xludf.DUMMYFUNCTION("""COMPUTED_VALUE"""),"RAHMADIYANTI")</f>
        <v>RAHMADIYANTI</v>
      </c>
      <c r="G900" s="13">
        <f t="shared" si="1"/>
        <v>783</v>
      </c>
      <c r="H900" s="13" t="str">
        <f>IFERROR(__xludf.DUMMYFUNCTION("""COMPUTED_VALUE"""),"P1")</f>
        <v>P1</v>
      </c>
    </row>
    <row r="901" ht="22.5" customHeight="1">
      <c r="B901" s="19" t="str">
        <f>IFERROR(__xludf.DUMMYFUNCTION("""COMPUTED_VALUE"""),"L/24/041124/1")</f>
        <v>L/24/041124/1</v>
      </c>
      <c r="C901" s="19" t="str">
        <f>IFERROR(__xludf.DUMMYFUNCTION("""COMPUTED_VALUE"""),"M.11580/SEGALA MIDER")</f>
        <v>M.11580/SEGALA MIDER</v>
      </c>
      <c r="D901" s="17">
        <f>IFERROR(__xludf.DUMMYFUNCTION("""COMPUTED_VALUE"""),45600.48432484954)</f>
        <v>45600.48432</v>
      </c>
      <c r="E901" s="13" t="str">
        <f>IFERROR(__xludf.DUMMYFUNCTION("""COMPUTED_VALUE"""),"ROYA")</f>
        <v>ROYA</v>
      </c>
      <c r="F901" s="13" t="str">
        <f>IFERROR(__xludf.DUMMYFUNCTION("""COMPUTED_VALUE"""),"RAHMAT EDWARD")</f>
        <v>RAHMAT EDWARD</v>
      </c>
      <c r="G901" s="13">
        <f t="shared" si="1"/>
        <v>784</v>
      </c>
      <c r="H901" s="13" t="str">
        <f>IFERROR(__xludf.DUMMYFUNCTION("""COMPUTED_VALUE"""),"P0")</f>
        <v>P0</v>
      </c>
    </row>
    <row r="902" ht="22.5" customHeight="1">
      <c r="B902" s="19" t="str">
        <f>IFERROR(__xludf.DUMMYFUNCTION("""COMPUTED_VALUE"""),"K/22/041124/2")</f>
        <v>K/22/041124/2</v>
      </c>
      <c r="C902" s="19" t="str">
        <f>IFERROR(__xludf.DUMMYFUNCTION("""COMPUTED_VALUE"""),"M.2660/SUMBER AGUNG-SEKARANG;M.90/BERINGIN RAYA-DAHULU")</f>
        <v>M.2660/SUMBER AGUNG-SEKARANG;M.90/BERINGIN RAYA-DAHULU</v>
      </c>
      <c r="D902" s="17">
        <f>IFERROR(__xludf.DUMMYFUNCTION("""COMPUTED_VALUE"""),45600.48712423611)</f>
        <v>45600.48712</v>
      </c>
      <c r="E902" s="13" t="str">
        <f>IFERROR(__xludf.DUMMYFUNCTION("""COMPUTED_VALUE"""),"BN JUAL BELI")</f>
        <v>BN JUAL BELI</v>
      </c>
      <c r="F902" s="13" t="str">
        <f>IFERROR(__xludf.DUMMYFUNCTION("""COMPUTED_VALUE"""),"YUSUF EFFENDI/AFRIZAL")</f>
        <v>YUSUF EFFENDI/AFRIZAL</v>
      </c>
      <c r="G902" s="13">
        <f t="shared" si="1"/>
        <v>785</v>
      </c>
      <c r="H902" s="13" t="str">
        <f>IFERROR(__xludf.DUMMYFUNCTION("""COMPUTED_VALUE"""),"P0")</f>
        <v>P0</v>
      </c>
    </row>
    <row r="903" ht="22.5" customHeight="1">
      <c r="B903" s="19" t="str">
        <f>IFERROR(__xludf.DUMMYFUNCTION("""COMPUTED_VALUE"""),"K/23/041124/3")</f>
        <v>K/23/041124/3</v>
      </c>
      <c r="C903" s="19" t="str">
        <f>IFERROR(__xludf.DUMMYFUNCTION("""COMPUTED_VALUE"""),"NIBEL B.3071.1/KETEGUHAN")</f>
        <v>NIBEL B.3071.1/KETEGUHAN</v>
      </c>
      <c r="D903" s="17">
        <f>IFERROR(__xludf.DUMMYFUNCTION("""COMPUTED_VALUE"""),45600.48878193287)</f>
        <v>45600.48878</v>
      </c>
      <c r="E903" s="13" t="str">
        <f>IFERROR(__xludf.DUMMYFUNCTION("""COMPUTED_VALUE"""),"BN JUAL BELI")</f>
        <v>BN JUAL BELI</v>
      </c>
      <c r="F903" s="13" t="str">
        <f>IFERROR(__xludf.DUMMYFUNCTION("""COMPUTED_VALUE"""),"ERIC TJONG/AFRIZAL")</f>
        <v>ERIC TJONG/AFRIZAL</v>
      </c>
      <c r="G903" s="13">
        <f t="shared" si="1"/>
        <v>786</v>
      </c>
      <c r="H903" s="13" t="str">
        <f>IFERROR(__xludf.DUMMYFUNCTION("""COMPUTED_VALUE"""),"P0")</f>
        <v>P0</v>
      </c>
    </row>
    <row r="904" ht="22.5" customHeight="1">
      <c r="B904" s="19" t="str">
        <f>IFERROR(__xludf.DUMMYFUNCTION("""COMPUTED_VALUE"""),"K/25/041124/1")</f>
        <v>K/25/041124/1</v>
      </c>
      <c r="C904" s="19" t="str">
        <f>IFERROR(__xludf.DUMMYFUNCTION("""COMPUTED_VALUE"""),"M. 3488/ Kota Baru")</f>
        <v>M. 3488/ Kota Baru</v>
      </c>
      <c r="D904" s="17">
        <f>IFERROR(__xludf.DUMMYFUNCTION("""COMPUTED_VALUE"""),45600.48910144676)</f>
        <v>45600.4891</v>
      </c>
      <c r="E904" s="13" t="str">
        <f>IFERROR(__xludf.DUMMYFUNCTION("""COMPUTED_VALUE"""),"BN JUAL BELI")</f>
        <v>BN JUAL BELI</v>
      </c>
      <c r="F904" s="13" t="str">
        <f>IFERROR(__xludf.DUMMYFUNCTION("""COMPUTED_VALUE"""),"EVI UDIN/ TONI SETIAWAN")</f>
        <v>EVI UDIN/ TONI SETIAWAN</v>
      </c>
      <c r="G904" s="13">
        <f t="shared" si="1"/>
        <v>787</v>
      </c>
      <c r="H904" s="13" t="str">
        <f>IFERROR(__xludf.DUMMYFUNCTION("""COMPUTED_VALUE"""),"P0")</f>
        <v>P0</v>
      </c>
    </row>
    <row r="905" ht="22.5" customHeight="1">
      <c r="B905" s="19" t="str">
        <f>IFERROR(__xludf.DUMMYFUNCTION("""COMPUTED_VALUE"""),"L/30/041124/1")</f>
        <v>L/30/041124/1</v>
      </c>
      <c r="C905" s="19" t="str">
        <f>IFERROR(__xludf.DUMMYFUNCTION("""COMPUTED_VALUE"""),"M.13763/RAJABASA")</f>
        <v>M.13763/RAJABASA</v>
      </c>
      <c r="D905" s="17">
        <f>IFERROR(__xludf.DUMMYFUNCTION("""COMPUTED_VALUE"""),45600.4927649537)</f>
        <v>45600.49276</v>
      </c>
      <c r="E905" s="13" t="str">
        <f>IFERROR(__xludf.DUMMYFUNCTION("""COMPUTED_VALUE"""),"ROYA")</f>
        <v>ROYA</v>
      </c>
      <c r="F905" s="13" t="str">
        <f>IFERROR(__xludf.DUMMYFUNCTION("""COMPUTED_VALUE"""),"TARWIYAH")</f>
        <v>TARWIYAH</v>
      </c>
      <c r="G905" s="13">
        <f t="shared" si="1"/>
        <v>788</v>
      </c>
      <c r="H905" s="13" t="str">
        <f>IFERROR(__xludf.DUMMYFUNCTION("""COMPUTED_VALUE"""),"P0")</f>
        <v>P0</v>
      </c>
    </row>
    <row r="906" ht="22.5" customHeight="1">
      <c r="B906" s="19" t="str">
        <f>IFERROR(__xludf.DUMMYFUNCTION("""COMPUTED_VALUE"""),"K/26/041124/2")</f>
        <v>K/26/041124/2</v>
      </c>
      <c r="C906" s="19" t="str">
        <f>IFERROR(__xludf.DUMMYFUNCTION("""COMPUTED_VALUE"""),"Nibel 2271/ Way Halim Permai")</f>
        <v>Nibel 2271/ Way Halim Permai</v>
      </c>
      <c r="D906" s="17">
        <f>IFERROR(__xludf.DUMMYFUNCTION("""COMPUTED_VALUE"""),45600.49369020833)</f>
        <v>45600.49369</v>
      </c>
      <c r="E906" s="13" t="str">
        <f>IFERROR(__xludf.DUMMYFUNCTION("""COMPUTED_VALUE"""),"BN JUAL BELI")</f>
        <v>BN JUAL BELI</v>
      </c>
      <c r="F906" s="13" t="str">
        <f>IFERROR(__xludf.DUMMYFUNCTION("""COMPUTED_VALUE"""),"EVI UDIN/ NIRAWATI TAN")</f>
        <v>EVI UDIN/ NIRAWATI TAN</v>
      </c>
      <c r="G906" s="13">
        <f t="shared" si="1"/>
        <v>789</v>
      </c>
      <c r="H906" s="13" t="str">
        <f>IFERROR(__xludf.DUMMYFUNCTION("""COMPUTED_VALUE"""),"P0")</f>
        <v>P0</v>
      </c>
    </row>
    <row r="907" ht="22.5" customHeight="1">
      <c r="B907" s="19" t="str">
        <f>IFERROR(__xludf.DUMMYFUNCTION("""COMPUTED_VALUE"""),"K/27/041124/1")</f>
        <v>K/27/041124/1</v>
      </c>
      <c r="C907" s="19" t="str">
        <f>IFERROR(__xludf.DUMMYFUNCTION("""COMPUTED_VALUE"""),"M. 2800/ Sukarame II")</f>
        <v>M. 2800/ Sukarame II</v>
      </c>
      <c r="D907" s="17">
        <f>IFERROR(__xludf.DUMMYFUNCTION("""COMPUTED_VALUE"""),45600.49404150463)</f>
        <v>45600.49404</v>
      </c>
      <c r="E907" s="13" t="str">
        <f>IFERROR(__xludf.DUMMYFUNCTION("""COMPUTED_VALUE"""),"BN Jual Beli")</f>
        <v>BN Jual Beli</v>
      </c>
      <c r="F907" s="13" t="str">
        <f>IFERROR(__xludf.DUMMYFUNCTION("""COMPUTED_VALUE"""),"Ilanur/ Amin Nudin")</f>
        <v>Ilanur/ Amin Nudin</v>
      </c>
      <c r="G907" s="13">
        <f t="shared" si="1"/>
        <v>790</v>
      </c>
      <c r="H907" s="13" t="str">
        <f>IFERROR(__xludf.DUMMYFUNCTION("""COMPUTED_VALUE"""),"P0")</f>
        <v>P0</v>
      </c>
    </row>
    <row r="908" ht="22.5" customHeight="1">
      <c r="B908" s="19" t="str">
        <f>IFERROR(__xludf.DUMMYFUNCTION("""COMPUTED_VALUE"""),"K/28/281024/1")</f>
        <v>K/28/281024/1</v>
      </c>
      <c r="C908" s="19" t="str">
        <f>IFERROR(__xludf.DUMMYFUNCTION("""COMPUTED_VALUE"""),"M. 2095/ Campang Jaya")</f>
        <v>M. 2095/ Campang Jaya</v>
      </c>
      <c r="D908" s="17">
        <f>IFERROR(__xludf.DUMMYFUNCTION("""COMPUTED_VALUE"""),45600.49495042824)</f>
        <v>45600.49495</v>
      </c>
      <c r="E908" s="13" t="str">
        <f>IFERROR(__xludf.DUMMYFUNCTION("""COMPUTED_VALUE"""),"BN JUAL BELI")</f>
        <v>BN JUAL BELI</v>
      </c>
      <c r="F908" s="13" t="str">
        <f>IFERROR(__xludf.DUMMYFUNCTION("""COMPUTED_VALUE"""),"ILANUR/ MIKO DWI")</f>
        <v>ILANUR/ MIKO DWI</v>
      </c>
      <c r="G908" s="13">
        <f t="shared" si="1"/>
        <v>791</v>
      </c>
      <c r="H908" s="13" t="str">
        <f>IFERROR(__xludf.DUMMYFUNCTION("""COMPUTED_VALUE"""),"P0")</f>
        <v>P0</v>
      </c>
    </row>
    <row r="909" ht="22.5" customHeight="1">
      <c r="B909" s="19" t="str">
        <f>IFERROR(__xludf.DUMMYFUNCTION("""COMPUTED_VALUE"""),"K/28/041124/2")</f>
        <v>K/28/041124/2</v>
      </c>
      <c r="C909" s="19" t="str">
        <f>IFERROR(__xludf.DUMMYFUNCTION("""COMPUTED_VALUE"""),"M. 2253/ Kedaung")</f>
        <v>M. 2253/ Kedaung</v>
      </c>
      <c r="D909" s="17">
        <f>IFERROR(__xludf.DUMMYFUNCTION("""COMPUTED_VALUE"""),45600.49641960648)</f>
        <v>45600.49642</v>
      </c>
      <c r="E909" s="13" t="str">
        <f>IFERROR(__xludf.DUMMYFUNCTION("""COMPUTED_VALUE"""),"BN Jual Beli")</f>
        <v>BN Jual Beli</v>
      </c>
      <c r="F909" s="13" t="str">
        <f>IFERROR(__xludf.DUMMYFUNCTION("""COMPUTED_VALUE"""),"Ilanur/ Clara C D")</f>
        <v>Ilanur/ Clara C D</v>
      </c>
      <c r="G909" s="13">
        <f t="shared" si="1"/>
        <v>792</v>
      </c>
      <c r="H909" s="13" t="str">
        <f>IFERROR(__xludf.DUMMYFUNCTION("""COMPUTED_VALUE"""),"P0")</f>
        <v>P0</v>
      </c>
    </row>
    <row r="910" ht="22.5" customHeight="1">
      <c r="B910" s="19" t="str">
        <f>IFERROR(__xludf.DUMMYFUNCTION("""COMPUTED_VALUE"""),"K/29/041124/3")</f>
        <v>K/29/041124/3</v>
      </c>
      <c r="C910" s="19" t="str">
        <f>IFERROR(__xludf.DUMMYFUNCTION("""COMPUTED_VALUE"""),"M. 2322/ Kedaung")</f>
        <v>M. 2322/ Kedaung</v>
      </c>
      <c r="D910" s="17">
        <f>IFERROR(__xludf.DUMMYFUNCTION("""COMPUTED_VALUE"""),45600.497262164354)</f>
        <v>45600.49726</v>
      </c>
      <c r="E910" s="13" t="str">
        <f>IFERROR(__xludf.DUMMYFUNCTION("""COMPUTED_VALUE"""),"BN Jual Beli")</f>
        <v>BN Jual Beli</v>
      </c>
      <c r="F910" s="13" t="str">
        <f>IFERROR(__xludf.DUMMYFUNCTION("""COMPUTED_VALUE"""),"Ilanur/ Erensia D N")</f>
        <v>Ilanur/ Erensia D N</v>
      </c>
      <c r="G910" s="13">
        <f t="shared" si="1"/>
        <v>793</v>
      </c>
      <c r="H910" s="13" t="str">
        <f>IFERROR(__xludf.DUMMYFUNCTION("""COMPUTED_VALUE"""),"P0")</f>
        <v>P0</v>
      </c>
    </row>
    <row r="911" ht="22.5" customHeight="1">
      <c r="B911" s="19" t="str">
        <f>IFERROR(__xludf.DUMMYFUNCTION("""COMPUTED_VALUE"""),"L/31/041124/1")</f>
        <v>L/31/041124/1</v>
      </c>
      <c r="C911" s="19" t="str">
        <f>IFERROR(__xludf.DUMMYFUNCTION("""COMPUTED_VALUE"""),"B.1202/SUKABUMI INDAH-SEKARANG; B.1339/SUKABUMI-DAHULU")</f>
        <v>B.1202/SUKABUMI INDAH-SEKARANG; B.1339/SUKABUMI-DAHULU</v>
      </c>
      <c r="D911" s="17">
        <f>IFERROR(__xludf.DUMMYFUNCTION("""COMPUTED_VALUE"""),45600.500901782405)</f>
        <v>45600.5009</v>
      </c>
      <c r="E911" s="13" t="str">
        <f>IFERROR(__xludf.DUMMYFUNCTION("""COMPUTED_VALUE"""),"PERUBAHAN HAK")</f>
        <v>PERUBAHAN HAK</v>
      </c>
      <c r="F911" s="13" t="str">
        <f>IFERROR(__xludf.DUMMYFUNCTION("""COMPUTED_VALUE"""),"RACMA WATI")</f>
        <v>RACMA WATI</v>
      </c>
      <c r="G911" s="13">
        <f t="shared" si="1"/>
        <v>794</v>
      </c>
      <c r="H911" s="13" t="str">
        <f>IFERROR(__xludf.DUMMYFUNCTION("""COMPUTED_VALUE"""),"P0")</f>
        <v>P0</v>
      </c>
    </row>
    <row r="912" ht="22.5" customHeight="1">
      <c r="B912" s="19" t="str">
        <f>IFERROR(__xludf.DUMMYFUNCTION("""COMPUTED_VALUE"""),"K/4/241024/1")</f>
        <v>K/4/241024/1</v>
      </c>
      <c r="C912" s="19" t="str">
        <f>IFERROR(__xludf.DUMMYFUNCTION("""COMPUTED_VALUE"""),"M. 2271/ Rajabasa Jaya	")</f>
        <v>M. 2271/ Rajabasa Jaya	</v>
      </c>
      <c r="D912" s="17">
        <f>IFERROR(__xludf.DUMMYFUNCTION("""COMPUTED_VALUE"""),45600.545629942135)</f>
        <v>45600.54563</v>
      </c>
      <c r="E912" s="13" t="str">
        <f>IFERROR(__xludf.DUMMYFUNCTION("""COMPUTED_VALUE"""),"BN Jual Beli")</f>
        <v>BN Jual Beli</v>
      </c>
      <c r="F912" s="13" t="str">
        <f>IFERROR(__xludf.DUMMYFUNCTION("""COMPUTED_VALUE"""),"Dedi Setiawan/ Riski Jaya P	")</f>
        <v>Dedi Setiawan/ Riski Jaya P	</v>
      </c>
      <c r="G912" s="13">
        <f t="shared" si="1"/>
        <v>794</v>
      </c>
      <c r="H912" s="13" t="str">
        <f>IFERROR(__xludf.DUMMYFUNCTION("""COMPUTED_VALUE"""),"P1")</f>
        <v>P1</v>
      </c>
    </row>
    <row r="913" ht="22.5" customHeight="1">
      <c r="B913" s="19" t="str">
        <f>IFERROR(__xludf.DUMMYFUNCTION("""COMPUTED_VALUE"""),"K/32/041124/1")</f>
        <v>K/32/041124/1</v>
      </c>
      <c r="C913" s="19" t="str">
        <f>IFERROR(__xludf.DUMMYFUNCTION("""COMPUTED_VALUE"""),"M. 9246/ Kedamaian")</f>
        <v>M. 9246/ Kedamaian</v>
      </c>
      <c r="D913" s="17">
        <f>IFERROR(__xludf.DUMMYFUNCTION("""COMPUTED_VALUE"""),45600.54986650463)</f>
        <v>45600.54987</v>
      </c>
      <c r="E913" s="13" t="str">
        <f>IFERROR(__xludf.DUMMYFUNCTION("""COMPUTED_VALUE"""),"Gandes")</f>
        <v>Gandes</v>
      </c>
      <c r="F913" s="13" t="str">
        <f>IFERROR(__xludf.DUMMYFUNCTION("""COMPUTED_VALUE"""),"Nuryati/ Rosdiana H Cs")</f>
        <v>Nuryati/ Rosdiana H Cs</v>
      </c>
      <c r="G913" s="13">
        <f t="shared" si="1"/>
        <v>795</v>
      </c>
      <c r="H913" s="13" t="str">
        <f>IFERROR(__xludf.DUMMYFUNCTION("""COMPUTED_VALUE"""),"P0")</f>
        <v>P0</v>
      </c>
    </row>
    <row r="914" ht="22.5" customHeight="1">
      <c r="B914" s="19" t="str">
        <f>IFERROR(__xludf.DUMMYFUNCTION("""COMPUTED_VALUE"""),"K/33/041124/1")</f>
        <v>K/33/041124/1</v>
      </c>
      <c r="C914" s="19" t="str">
        <f>IFERROR(__xludf.DUMMYFUNCTION("""COMPUTED_VALUE"""),"Nibel. M. 2196/ Gunung Terang")</f>
        <v>Nibel. M. 2196/ Gunung Terang</v>
      </c>
      <c r="D914" s="17">
        <f>IFERROR(__xludf.DUMMYFUNCTION("""COMPUTED_VALUE"""),45600.56736487268)</f>
        <v>45600.56736</v>
      </c>
      <c r="E914" s="13" t="str">
        <f>IFERROR(__xludf.DUMMYFUNCTION("""COMPUTED_VALUE"""),"BN Jual Beli")</f>
        <v>BN Jual Beli</v>
      </c>
      <c r="F914" s="13" t="str">
        <f>IFERROR(__xludf.DUMMYFUNCTION("""COMPUTED_VALUE"""),"Erista S/ Desi S")</f>
        <v>Erista S/ Desi S</v>
      </c>
      <c r="G914" s="13">
        <f t="shared" si="1"/>
        <v>796</v>
      </c>
      <c r="H914" s="13" t="str">
        <f>IFERROR(__xludf.DUMMYFUNCTION("""COMPUTED_VALUE"""),"P0")</f>
        <v>P0</v>
      </c>
    </row>
    <row r="915" ht="22.5" customHeight="1">
      <c r="B915" s="19" t="str">
        <f>IFERROR(__xludf.DUMMYFUNCTION("""COMPUTED_VALUE"""),"K/34/041124/1")</f>
        <v>K/34/041124/1</v>
      </c>
      <c r="C915" s="19" t="str">
        <f>IFERROR(__xludf.DUMMYFUNCTION("""COMPUTED_VALUE"""),"M. 2958/ Kota Baru")</f>
        <v>M. 2958/ Kota Baru</v>
      </c>
      <c r="D915" s="17">
        <f>IFERROR(__xludf.DUMMYFUNCTION("""COMPUTED_VALUE"""),45600.57295104167)</f>
        <v>45600.57295</v>
      </c>
      <c r="E915" s="13" t="str">
        <f>IFERROR(__xludf.DUMMYFUNCTION("""COMPUTED_VALUE"""),"PTPGT (Pemecahan)")</f>
        <v>PTPGT (Pemecahan)</v>
      </c>
      <c r="F915" s="13" t="str">
        <f>IFERROR(__xludf.DUMMYFUNCTION("""COMPUTED_VALUE"""),"Robin/ Samaya Cs")</f>
        <v>Robin/ Samaya Cs</v>
      </c>
      <c r="G915" s="13">
        <f t="shared" si="1"/>
        <v>797</v>
      </c>
      <c r="H915" s="13" t="str">
        <f>IFERROR(__xludf.DUMMYFUNCTION("""COMPUTED_VALUE"""),"P0")</f>
        <v>P0</v>
      </c>
    </row>
    <row r="916" ht="22.5" customHeight="1">
      <c r="B916" s="19" t="str">
        <f>IFERROR(__xludf.DUMMYFUNCTION("""COMPUTED_VALUE"""),"K/35/041124/1")</f>
        <v>K/35/041124/1</v>
      </c>
      <c r="C916" s="19" t="str">
        <f>IFERROR(__xludf.DUMMYFUNCTION("""COMPUTED_VALUE"""),"M. 9268/ Sidodadi")</f>
        <v>M. 9268/ Sidodadi</v>
      </c>
      <c r="D916" s="17">
        <f>IFERROR(__xludf.DUMMYFUNCTION("""COMPUTED_VALUE"""),45600.57382185185)</f>
        <v>45600.57382</v>
      </c>
      <c r="E916" s="13" t="str">
        <f>IFERROR(__xludf.DUMMYFUNCTION("""COMPUTED_VALUE"""),"roya")</f>
        <v>roya</v>
      </c>
      <c r="F916" s="13" t="str">
        <f>IFERROR(__xludf.DUMMYFUNCTION("""COMPUTED_VALUE"""),"haryono/ nurhayati")</f>
        <v>haryono/ nurhayati</v>
      </c>
      <c r="G916" s="13">
        <f t="shared" si="1"/>
        <v>798</v>
      </c>
      <c r="H916" s="13" t="str">
        <f>IFERROR(__xludf.DUMMYFUNCTION("""COMPUTED_VALUE"""),"P0")</f>
        <v>P0</v>
      </c>
    </row>
    <row r="917" ht="22.5" customHeight="1">
      <c r="B917" s="19" t="str">
        <f>IFERROR(__xludf.DUMMYFUNCTION("""COMPUTED_VALUE"""),"K/36/041124/2")</f>
        <v>K/36/041124/2</v>
      </c>
      <c r="C917" s="19" t="str">
        <f>IFERROR(__xludf.DUMMYFUNCTION("""COMPUTED_VALUE"""),"M. 10227/ Segala Mider")</f>
        <v>M. 10227/ Segala Mider</v>
      </c>
      <c r="D917" s="17">
        <f>IFERROR(__xludf.DUMMYFUNCTION("""COMPUTED_VALUE"""),45600.57502297453)</f>
        <v>45600.57502</v>
      </c>
      <c r="E917" s="13" t="str">
        <f>IFERROR(__xludf.DUMMYFUNCTION("""COMPUTED_VALUE"""),"roya")</f>
        <v>roya</v>
      </c>
      <c r="F917" s="13" t="str">
        <f>IFERROR(__xludf.DUMMYFUNCTION("""COMPUTED_VALUE"""),"sri Fatria/ nur hayati")</f>
        <v>sri Fatria/ nur hayati</v>
      </c>
      <c r="G917" s="13">
        <f t="shared" si="1"/>
        <v>799</v>
      </c>
      <c r="H917" s="13" t="str">
        <f>IFERROR(__xludf.DUMMYFUNCTION("""COMPUTED_VALUE"""),"P0")</f>
        <v>P0</v>
      </c>
    </row>
    <row r="918" ht="22.5" customHeight="1">
      <c r="B918" s="19" t="str">
        <f>IFERROR(__xludf.DUMMYFUNCTION("""COMPUTED_VALUE"""),"K/37/041124/3")</f>
        <v>K/37/041124/3</v>
      </c>
      <c r="C918" s="19" t="str">
        <f>IFERROR(__xludf.DUMMYFUNCTION("""COMPUTED_VALUE"""),"M. 12471/ Kedamaian")</f>
        <v>M. 12471/ Kedamaian</v>
      </c>
      <c r="D918" s="17">
        <f>IFERROR(__xludf.DUMMYFUNCTION("""COMPUTED_VALUE"""),45600.577322337966)</f>
        <v>45600.57732</v>
      </c>
      <c r="E918" s="13" t="str">
        <f>IFERROR(__xludf.DUMMYFUNCTION("""COMPUTED_VALUE"""),"PENATAAN BATAS")</f>
        <v>PENATAAN BATAS</v>
      </c>
      <c r="F918" s="13" t="str">
        <f>IFERROR(__xludf.DUMMYFUNCTION("""COMPUTED_VALUE"""),"AGUSRI SYATIF/ NUR HAYATI")</f>
        <v>AGUSRI SYATIF/ NUR HAYATI</v>
      </c>
      <c r="G918" s="13">
        <f t="shared" si="1"/>
        <v>800</v>
      </c>
      <c r="H918" s="13" t="str">
        <f>IFERROR(__xludf.DUMMYFUNCTION("""COMPUTED_VALUE"""),"P0")</f>
        <v>P0</v>
      </c>
    </row>
    <row r="919" ht="22.5" customHeight="1">
      <c r="B919" s="19" t="str">
        <f>IFERROR(__xludf.DUMMYFUNCTION("""COMPUTED_VALUE"""),"K/33/231024/1")</f>
        <v>K/33/231024/1</v>
      </c>
      <c r="C919" s="19" t="str">
        <f>IFERROR(__xludf.DUMMYFUNCTION("""COMPUTED_VALUE"""),"M. 1666/ Way Halim Permai; SHT 1552/2016	")</f>
        <v>M. 1666/ Way Halim Permai; SHT 1552/2016	</v>
      </c>
      <c r="D919" s="17">
        <f>IFERROR(__xludf.DUMMYFUNCTION("""COMPUTED_VALUE"""),45600.5808008912)</f>
        <v>45600.5808</v>
      </c>
      <c r="E919" s="13" t="str">
        <f>IFERROR(__xludf.DUMMYFUNCTION("""COMPUTED_VALUE"""),"Roya")</f>
        <v>Roya</v>
      </c>
      <c r="F919" s="13" t="str">
        <f>IFERROR(__xludf.DUMMYFUNCTION("""COMPUTED_VALUE"""),"Budi K/ Nurmaitun")</f>
        <v>Budi K/ Nurmaitun</v>
      </c>
      <c r="G919" s="13">
        <f t="shared" si="1"/>
        <v>800</v>
      </c>
      <c r="H919" s="13" t="str">
        <f>IFERROR(__xludf.DUMMYFUNCTION("""COMPUTED_VALUE"""),"P1")</f>
        <v>P1</v>
      </c>
    </row>
    <row r="920" ht="22.5" customHeight="1">
      <c r="B920" s="19" t="str">
        <f>IFERROR(__xludf.DUMMYFUNCTION("""COMPUTED_VALUE"""),"K/38/041124/4")</f>
        <v>K/38/041124/4</v>
      </c>
      <c r="C920" s="19" t="str">
        <f>IFERROR(__xludf.DUMMYFUNCTION("""COMPUTED_VALUE"""),"B. 1406/ Jagabaya II ")</f>
        <v>B. 1406/ Jagabaya II </v>
      </c>
      <c r="D920" s="17">
        <f>IFERROR(__xludf.DUMMYFUNCTION("""COMPUTED_VALUE"""),45600.58113131944)</f>
        <v>45600.58113</v>
      </c>
      <c r="E920" s="13" t="str">
        <f>IFERROR(__xludf.DUMMYFUNCTION("""COMPUTED_VALUE"""),"ROYA")</f>
        <v>ROYA</v>
      </c>
      <c r="F920" s="13" t="str">
        <f>IFERROR(__xludf.DUMMYFUNCTION("""COMPUTED_VALUE"""),"FIRMANSYAH")</f>
        <v>FIRMANSYAH</v>
      </c>
      <c r="G920" s="13">
        <f t="shared" si="1"/>
        <v>801</v>
      </c>
      <c r="H920" s="13" t="str">
        <f>IFERROR(__xludf.DUMMYFUNCTION("""COMPUTED_VALUE"""),"P0")</f>
        <v>P0</v>
      </c>
    </row>
    <row r="921" ht="22.5" customHeight="1">
      <c r="B921" s="19" t="str">
        <f>IFERROR(__xludf.DUMMYFUNCTION("""COMPUTED_VALUE"""),"K/39/041124/1")</f>
        <v>K/39/041124/1</v>
      </c>
      <c r="C921" s="19" t="str">
        <f>IFERROR(__xludf.DUMMYFUNCTION("""COMPUTED_VALUE"""),"M.1773/SUKAJAWA")</f>
        <v>M.1773/SUKAJAWA</v>
      </c>
      <c r="D921" s="17">
        <f>IFERROR(__xludf.DUMMYFUNCTION("""COMPUTED_VALUE"""),45600.585889953705)</f>
        <v>45600.58589</v>
      </c>
      <c r="E921" s="13" t="str">
        <f>IFERROR(__xludf.DUMMYFUNCTION("""COMPUTED_VALUE"""),"BN JUAL BELI")</f>
        <v>BN JUAL BELI</v>
      </c>
      <c r="F921" s="13" t="str">
        <f>IFERROR(__xludf.DUMMYFUNCTION("""COMPUTED_VALUE"""),"DADANG SUDRAJAT/BUDI KRISTIYANTO")</f>
        <v>DADANG SUDRAJAT/BUDI KRISTIYANTO</v>
      </c>
      <c r="G921" s="13">
        <f t="shared" si="1"/>
        <v>802</v>
      </c>
      <c r="H921" s="13" t="str">
        <f>IFERROR(__xludf.DUMMYFUNCTION("""COMPUTED_VALUE"""),"P0")</f>
        <v>P0</v>
      </c>
    </row>
    <row r="922" ht="22.5" customHeight="1">
      <c r="B922" s="19" t="str">
        <f>IFERROR(__xludf.DUMMYFUNCTION("""COMPUTED_VALUE"""),"L/40/041124/1")</f>
        <v>L/40/041124/1</v>
      </c>
      <c r="C922" s="19" t="str">
        <f>IFERROR(__xludf.DUMMYFUNCTION("""COMPUTED_VALUE"""),"M.1706/PERUMNAS WAY HALIM")</f>
        <v>M.1706/PERUMNAS WAY HALIM</v>
      </c>
      <c r="D922" s="17">
        <f>IFERROR(__xludf.DUMMYFUNCTION("""COMPUTED_VALUE"""),45600.59082909722)</f>
        <v>45600.59083</v>
      </c>
      <c r="E922" s="13" t="str">
        <f>IFERROR(__xludf.DUMMYFUNCTION("""COMPUTED_VALUE"""),"ROYA")</f>
        <v>ROYA</v>
      </c>
      <c r="F922" s="13" t="str">
        <f>IFERROR(__xludf.DUMMYFUNCTION("""COMPUTED_VALUE"""),"FIRMANSYAH")</f>
        <v>FIRMANSYAH</v>
      </c>
      <c r="G922" s="13">
        <f t="shared" si="1"/>
        <v>803</v>
      </c>
      <c r="H922" s="13" t="str">
        <f>IFERROR(__xludf.DUMMYFUNCTION("""COMPUTED_VALUE"""),"P0")</f>
        <v>P0</v>
      </c>
    </row>
    <row r="923" ht="22.5" customHeight="1">
      <c r="B923" s="19" t="str">
        <f>IFERROR(__xludf.DUMMYFUNCTION("""COMPUTED_VALUE"""),"K/41/041124/1")</f>
        <v>K/41/041124/1</v>
      </c>
      <c r="C923" s="19" t="str">
        <f>IFERROR(__xludf.DUMMYFUNCTION("""COMPUTED_VALUE"""),"B. 1481/ Tanjung Senang")</f>
        <v>B. 1481/ Tanjung Senang</v>
      </c>
      <c r="D923" s="17">
        <f>IFERROR(__xludf.DUMMYFUNCTION("""COMPUTED_VALUE"""),45600.592076319444)</f>
        <v>45600.59208</v>
      </c>
      <c r="E923" s="13" t="str">
        <f>IFERROR(__xludf.DUMMYFUNCTION("""COMPUTED_VALUE"""),"Gandes")</f>
        <v>Gandes</v>
      </c>
      <c r="F923" s="13" t="str">
        <f>IFERROR(__xludf.DUMMYFUNCTION("""COMPUTED_VALUE"""),"Ade Putra/ Ilhammuddin")</f>
        <v>Ade Putra/ Ilhammuddin</v>
      </c>
      <c r="G923" s="13">
        <f t="shared" si="1"/>
        <v>804</v>
      </c>
      <c r="H923" s="13" t="str">
        <f>IFERROR(__xludf.DUMMYFUNCTION("""COMPUTED_VALUE"""),"P0")</f>
        <v>P0</v>
      </c>
    </row>
    <row r="924" ht="22.5" customHeight="1">
      <c r="B924" s="19" t="str">
        <f>IFERROR(__xludf.DUMMYFUNCTION("""COMPUTED_VALUE"""),"L/42/041124/1")</f>
        <v>L/42/041124/1</v>
      </c>
      <c r="C924" s="19" t="str">
        <f>IFERROR(__xludf.DUMMYFUNCTION("""COMPUTED_VALUE"""),"B.661/SUKABUMI INDAH")</f>
        <v>B.661/SUKABUMI INDAH</v>
      </c>
      <c r="D924" s="17">
        <f>IFERROR(__xludf.DUMMYFUNCTION("""COMPUTED_VALUE"""),45600.601190914356)</f>
        <v>45600.60119</v>
      </c>
      <c r="E924" s="13" t="str">
        <f>IFERROR(__xludf.DUMMYFUNCTION("""COMPUTED_VALUE"""),"ROYA")</f>
        <v>ROYA</v>
      </c>
      <c r="F924" s="13" t="str">
        <f>IFERROR(__xludf.DUMMYFUNCTION("""COMPUTED_VALUE"""),"ASEP SULAIMAN")</f>
        <v>ASEP SULAIMAN</v>
      </c>
      <c r="G924" s="13">
        <f t="shared" si="1"/>
        <v>805</v>
      </c>
      <c r="H924" s="13" t="str">
        <f>IFERROR(__xludf.DUMMYFUNCTION("""COMPUTED_VALUE"""),"P0")</f>
        <v>P0</v>
      </c>
    </row>
    <row r="925" ht="22.5" customHeight="1">
      <c r="B925" s="19" t="str">
        <f>IFERROR(__xludf.DUMMYFUNCTION("""COMPUTED_VALUE"""),"K/43/041124/1")</f>
        <v>K/43/041124/1</v>
      </c>
      <c r="C925" s="19" t="str">
        <f>IFERROR(__xludf.DUMMYFUNCTION("""COMPUTED_VALUE"""),"M. 2684/ Pinang Jaya-sekarang; B. 12782/ Pinang Jaya")</f>
        <v>M. 2684/ Pinang Jaya-sekarang; B. 12782/ Pinang Jaya</v>
      </c>
      <c r="D925" s="17">
        <f>IFERROR(__xludf.DUMMYFUNCTION("""COMPUTED_VALUE"""),45600.60533431713)</f>
        <v>45600.60533</v>
      </c>
      <c r="E925" s="13" t="str">
        <f>IFERROR(__xludf.DUMMYFUNCTION("""COMPUTED_VALUE"""),"BN Lelang")</f>
        <v>BN Lelang</v>
      </c>
      <c r="F925" s="13" t="str">
        <f>IFERROR(__xludf.DUMMYFUNCTION("""COMPUTED_VALUE"""),"aditya/ Icha")</f>
        <v>aditya/ Icha</v>
      </c>
      <c r="G925" s="13">
        <f t="shared" si="1"/>
        <v>806</v>
      </c>
      <c r="H925" s="13" t="str">
        <f>IFERROR(__xludf.DUMMYFUNCTION("""COMPUTED_VALUE"""),"P0")</f>
        <v>P0</v>
      </c>
    </row>
    <row r="926" ht="22.5" customHeight="1">
      <c r="B926" s="19" t="str">
        <f>IFERROR(__xludf.DUMMYFUNCTION("""COMPUTED_VALUE"""),"K/44/041124/1")</f>
        <v>K/44/041124/1</v>
      </c>
      <c r="C926" s="19" t="str">
        <f>IFERROR(__xludf.DUMMYFUNCTION("""COMPUTED_VALUE"""),"HMASRS/ 152/ SUMUR PUTRI")</f>
        <v>HMASRS/ 152/ SUMUR PUTRI</v>
      </c>
      <c r="D926" s="17">
        <f>IFERROR(__xludf.DUMMYFUNCTION("""COMPUTED_VALUE"""),45600.607456701386)</f>
        <v>45600.60746</v>
      </c>
      <c r="E926" s="13" t="str">
        <f>IFERROR(__xludf.DUMMYFUNCTION("""COMPUTED_VALUE"""),"PENGECEKKAN")</f>
        <v>PENGECEKKAN</v>
      </c>
      <c r="F926" s="13" t="str">
        <f>IFERROR(__xludf.DUMMYFUNCTION("""COMPUTED_VALUE"""),"MAYA AYU")</f>
        <v>MAYA AYU</v>
      </c>
      <c r="G926" s="13">
        <f t="shared" si="1"/>
        <v>807</v>
      </c>
      <c r="H926" s="13" t="str">
        <f>IFERROR(__xludf.DUMMYFUNCTION("""COMPUTED_VALUE"""),"P0")</f>
        <v>P0</v>
      </c>
    </row>
    <row r="927" ht="22.5" customHeight="1">
      <c r="B927" s="19" t="str">
        <f>IFERROR(__xludf.DUMMYFUNCTION("""COMPUTED_VALUE"""),"K/45/041124/1")</f>
        <v>K/45/041124/1</v>
      </c>
      <c r="C927" s="19" t="str">
        <f>IFERROR(__xludf.DUMMYFUNCTION("""COMPUTED_VALUE"""),"B. 756/ Sumur Putri")</f>
        <v>B. 756/ Sumur Putri</v>
      </c>
      <c r="D927" s="17">
        <f>IFERROR(__xludf.DUMMYFUNCTION("""COMPUTED_VALUE"""),45600.60995790509)</f>
        <v>45600.60996</v>
      </c>
      <c r="E927" s="13" t="str">
        <f>IFERROR(__xludf.DUMMYFUNCTION("""COMPUTED_VALUE"""),"BN JUAL BELI")</f>
        <v>BN JUAL BELI</v>
      </c>
      <c r="F927" s="13" t="str">
        <f>IFERROR(__xludf.DUMMYFUNCTION("""COMPUTED_VALUE"""),"PERIU HALIM/ EVA SI=URIANI")</f>
        <v>PERIU HALIM/ EVA SI=URIANI</v>
      </c>
      <c r="G927" s="13">
        <f t="shared" si="1"/>
        <v>808</v>
      </c>
      <c r="H927" s="13" t="str">
        <f>IFERROR(__xludf.DUMMYFUNCTION("""COMPUTED_VALUE"""),"P0")</f>
        <v>P0</v>
      </c>
    </row>
    <row r="928" ht="22.5" customHeight="1">
      <c r="B928" s="19" t="str">
        <f>IFERROR(__xludf.DUMMYFUNCTION("""COMPUTED_VALUE"""),"K/46/041124/2")</f>
        <v>K/46/041124/2</v>
      </c>
      <c r="C928" s="19" t="str">
        <f>IFERROR(__xludf.DUMMYFUNCTION("""COMPUTED_VALUE"""),"M. 146/ Kampung Baru Raya")</f>
        <v>M. 146/ Kampung Baru Raya</v>
      </c>
      <c r="D928" s="17">
        <f>IFERROR(__xludf.DUMMYFUNCTION("""COMPUTED_VALUE"""),45600.611563530096)</f>
        <v>45600.61156</v>
      </c>
      <c r="E928" s="13" t="str">
        <f>IFERROR(__xludf.DUMMYFUNCTION("""COMPUTED_VALUE"""),"BN JUAL BELI")</f>
        <v>BN JUAL BELI</v>
      </c>
      <c r="F928" s="13" t="str">
        <f>IFERROR(__xludf.DUMMYFUNCTION("""COMPUTED_VALUE"""),"EVA SURIANI/NURBAITI")</f>
        <v>EVA SURIANI/NURBAITI</v>
      </c>
      <c r="G928" s="13">
        <f t="shared" si="1"/>
        <v>809</v>
      </c>
      <c r="H928" s="13" t="str">
        <f>IFERROR(__xludf.DUMMYFUNCTION("""COMPUTED_VALUE"""),"P0")</f>
        <v>P0</v>
      </c>
    </row>
    <row r="929" ht="22.5" customHeight="1">
      <c r="B929" s="19" t="str">
        <f>IFERROR(__xludf.DUMMYFUNCTION("""COMPUTED_VALUE"""),"K/47/041124/1")</f>
        <v>K/47/041124/1</v>
      </c>
      <c r="C929" s="19" t="str">
        <f>IFERROR(__xludf.DUMMYFUNCTION("""COMPUTED_VALUE"""),"Nibel. M. 693/ Segala Mider")</f>
        <v>Nibel. M. 693/ Segala Mider</v>
      </c>
      <c r="D929" s="17">
        <f>IFERROR(__xludf.DUMMYFUNCTION("""COMPUTED_VALUE"""),45600.61395771991)</f>
        <v>45600.61396</v>
      </c>
      <c r="E929" s="13" t="str">
        <f>IFERROR(__xludf.DUMMYFUNCTION("""COMPUTED_VALUE"""),"BN Jual Beli")</f>
        <v>BN Jual Beli</v>
      </c>
      <c r="F929" s="13" t="str">
        <f>IFERROR(__xludf.DUMMYFUNCTION("""COMPUTED_VALUE"""),"Andry Yulian/ Murni A")</f>
        <v>Andry Yulian/ Murni A</v>
      </c>
      <c r="G929" s="13">
        <f t="shared" si="1"/>
        <v>810</v>
      </c>
      <c r="H929" s="13" t="str">
        <f>IFERROR(__xludf.DUMMYFUNCTION("""COMPUTED_VALUE"""),"P0")</f>
        <v>P0</v>
      </c>
    </row>
    <row r="930" ht="22.5" customHeight="1">
      <c r="B930" s="19" t="str">
        <f>IFERROR(__xludf.DUMMYFUNCTION("""COMPUTED_VALUE"""),"K/48/041124/2")</f>
        <v>K/48/041124/2</v>
      </c>
      <c r="C930" s="19" t="str">
        <f>IFERROR(__xludf.DUMMYFUNCTION("""COMPUTED_VALUE"""),"M. 1113/ Pematang Wangi; M. 3217/ Tanjung Senang-dahulu")</f>
        <v>M. 1113/ Pematang Wangi; M. 3217/ Tanjung Senang-dahulu</v>
      </c>
      <c r="D930" s="17">
        <f>IFERROR(__xludf.DUMMYFUNCTION("""COMPUTED_VALUE"""),45600.61490388889)</f>
        <v>45600.6149</v>
      </c>
      <c r="E930" s="13" t="str">
        <f>IFERROR(__xludf.DUMMYFUNCTION("""COMPUTED_VALUE"""),"BN Jual Beli")</f>
        <v>BN Jual Beli</v>
      </c>
      <c r="F930" s="13" t="str">
        <f>IFERROR(__xludf.DUMMYFUNCTION("""COMPUTED_VALUE"""),"Andry Yulian/ Novi  W")</f>
        <v>Andry Yulian/ Novi  W</v>
      </c>
      <c r="G930" s="13">
        <f t="shared" si="1"/>
        <v>811</v>
      </c>
      <c r="H930" s="13" t="str">
        <f>IFERROR(__xludf.DUMMYFUNCTION("""COMPUTED_VALUE"""),"P0")</f>
        <v>P0</v>
      </c>
    </row>
    <row r="931" ht="22.5" customHeight="1">
      <c r="B931" s="19" t="str">
        <f>IFERROR(__xludf.DUMMYFUNCTION("""COMPUTED_VALUE"""),"K/49/041124/1")</f>
        <v>K/49/041124/1</v>
      </c>
      <c r="C931" s="19" t="str">
        <f>IFERROR(__xludf.DUMMYFUNCTION("""COMPUTED_VALUE"""),"M.9336/GEDONG MENENG")</f>
        <v>M.9336/GEDONG MENENG</v>
      </c>
      <c r="D931" s="17">
        <f>IFERROR(__xludf.DUMMYFUNCTION("""COMPUTED_VALUE"""),45600.618520034724)</f>
        <v>45600.61852</v>
      </c>
      <c r="E931" s="13" t="str">
        <f>IFERROR(__xludf.DUMMYFUNCTION("""COMPUTED_VALUE"""),"HIBAH")</f>
        <v>HIBAH</v>
      </c>
      <c r="F931" s="13" t="str">
        <f>IFERROR(__xludf.DUMMYFUNCTION("""COMPUTED_VALUE"""),"DEWI MAYANG SURI DJAUSAL/RICHARD ADI PRASTYA")</f>
        <v>DEWI MAYANG SURI DJAUSAL/RICHARD ADI PRASTYA</v>
      </c>
      <c r="G931" s="13">
        <f t="shared" si="1"/>
        <v>812</v>
      </c>
      <c r="H931" s="13" t="str">
        <f>IFERROR(__xludf.DUMMYFUNCTION("""COMPUTED_VALUE"""),"P0")</f>
        <v>P0</v>
      </c>
    </row>
    <row r="932" ht="22.5" customHeight="1">
      <c r="B932" s="19" t="str">
        <f>IFERROR(__xludf.DUMMYFUNCTION("""COMPUTED_VALUE"""),"K/50/041124/1")</f>
        <v>K/50/041124/1</v>
      </c>
      <c r="C932" s="19" t="str">
        <f>IFERROR(__xludf.DUMMYFUNCTION("""COMPUTED_VALUE"""),"M. 884/ SUMBER AGUNG")</f>
        <v>M. 884/ SUMBER AGUNG</v>
      </c>
      <c r="D932" s="17">
        <f>IFERROR(__xludf.DUMMYFUNCTION("""COMPUTED_VALUE"""),45600.62568303241)</f>
        <v>45600.62568</v>
      </c>
      <c r="E932" s="13" t="str">
        <f>IFERROR(__xludf.DUMMYFUNCTION("""COMPUTED_VALUE"""),"BN JUAL BELI")</f>
        <v>BN JUAL BELI</v>
      </c>
      <c r="F932" s="13" t="str">
        <f>IFERROR(__xludf.DUMMYFUNCTION("""COMPUTED_VALUE"""),"FAHRUL ROZI")</f>
        <v>FAHRUL ROZI</v>
      </c>
      <c r="G932" s="13">
        <f t="shared" si="1"/>
        <v>813</v>
      </c>
      <c r="H932" s="13" t="str">
        <f>IFERROR(__xludf.DUMMYFUNCTION("""COMPUTED_VALUE"""),"P0")</f>
        <v>P0</v>
      </c>
    </row>
    <row r="933" ht="22.5" customHeight="1">
      <c r="B933" s="19" t="str">
        <f>IFERROR(__xludf.DUMMYFUNCTION("""COMPUTED_VALUE"""),"K/51/041124/1")</f>
        <v>K/51/041124/1</v>
      </c>
      <c r="C933" s="19" t="str">
        <f>IFERROR(__xludf.DUMMYFUNCTION("""COMPUTED_VALUE"""),"M.4157/LANGKAPURA")</f>
        <v>M.4157/LANGKAPURA</v>
      </c>
      <c r="D933" s="17">
        <f>IFERROR(__xludf.DUMMYFUNCTION("""COMPUTED_VALUE"""),45600.63331994213)</f>
        <v>45600.63332</v>
      </c>
      <c r="E933" s="13" t="str">
        <f>IFERROR(__xludf.DUMMYFUNCTION("""COMPUTED_VALUE"""),"BN JUAL BELI")</f>
        <v>BN JUAL BELI</v>
      </c>
      <c r="F933" s="13" t="str">
        <f>IFERROR(__xludf.DUMMYFUNCTION("""COMPUTED_VALUE"""),"ANIS JULIANA SARI/THABRANI")</f>
        <v>ANIS JULIANA SARI/THABRANI</v>
      </c>
      <c r="G933" s="13">
        <f t="shared" si="1"/>
        <v>814</v>
      </c>
      <c r="H933" s="13" t="str">
        <f>IFERROR(__xludf.DUMMYFUNCTION("""COMPUTED_VALUE"""),"P0")</f>
        <v>P0</v>
      </c>
    </row>
    <row r="934" ht="22.5" customHeight="1">
      <c r="B934" s="19" t="str">
        <f>IFERROR(__xludf.DUMMYFUNCTION("""COMPUTED_VALUE"""),"K/52/041124/1")</f>
        <v>K/52/041124/1</v>
      </c>
      <c r="C934" s="19" t="str">
        <f>IFERROR(__xludf.DUMMYFUNCTION("""COMPUTED_VALUE"""),"M.548/RAJABASA PEMUKA")</f>
        <v>M.548/RAJABASA PEMUKA</v>
      </c>
      <c r="D934" s="17">
        <f>IFERROR(__xludf.DUMMYFUNCTION("""COMPUTED_VALUE"""),45600.63433130787)</f>
        <v>45600.63433</v>
      </c>
      <c r="E934" s="13" t="str">
        <f>IFERROR(__xludf.DUMMYFUNCTION("""COMPUTED_VALUE"""),"BN JUAL BELI")</f>
        <v>BN JUAL BELI</v>
      </c>
      <c r="F934" s="13" t="str">
        <f>IFERROR(__xludf.DUMMYFUNCTION("""COMPUTED_VALUE"""),"INDAH WAHYU NINGSIH/IBK SUKASANA")</f>
        <v>INDAH WAHYU NINGSIH/IBK SUKASANA</v>
      </c>
      <c r="G934" s="13">
        <f t="shared" si="1"/>
        <v>815</v>
      </c>
      <c r="H934" s="13" t="str">
        <f>IFERROR(__xludf.DUMMYFUNCTION("""COMPUTED_VALUE"""),"P0")</f>
        <v>P0</v>
      </c>
    </row>
    <row r="935" ht="22.5" customHeight="1">
      <c r="B935" s="19" t="str">
        <f>IFERROR(__xludf.DUMMYFUNCTION("""COMPUTED_VALUE"""),"K/1/231024/1")</f>
        <v>K/1/231024/1</v>
      </c>
      <c r="C935" s="19" t="str">
        <f>IFERROR(__xludf.DUMMYFUNCTION("""COMPUTED_VALUE"""),"M. 2889/ Sukarame Baru- sekarang; M. 16509/ Sukarame-dahulu")</f>
        <v>M. 2889/ Sukarame Baru- sekarang; M. 16509/ Sukarame-dahulu</v>
      </c>
      <c r="D935" s="17">
        <f>IFERROR(__xludf.DUMMYFUNCTION("""COMPUTED_VALUE"""),45601.37530697917)</f>
        <v>45601.37531</v>
      </c>
      <c r="E935" s="13" t="str">
        <f>IFERROR(__xludf.DUMMYFUNCTION("""COMPUTED_VALUE"""),"BN Hibah")</f>
        <v>BN Hibah</v>
      </c>
      <c r="F935" s="13" t="str">
        <f>IFERROR(__xludf.DUMMYFUNCTION("""COMPUTED_VALUE"""),"Moh Reza")</f>
        <v>Moh Reza</v>
      </c>
      <c r="G935" s="13">
        <f t="shared" si="1"/>
        <v>815</v>
      </c>
      <c r="H935" s="13" t="str">
        <f>IFERROR(__xludf.DUMMYFUNCTION("""COMPUTED_VALUE"""),"P1")</f>
        <v>P1</v>
      </c>
    </row>
    <row r="936" ht="22.5" customHeight="1">
      <c r="B936" s="19" t="str">
        <f>IFERROR(__xludf.DUMMYFUNCTION("""COMPUTED_VALUE"""),"K/1/051124/1")</f>
        <v>K/1/051124/1</v>
      </c>
      <c r="C936" s="19" t="str">
        <f>IFERROR(__xludf.DUMMYFUNCTION("""COMPUTED_VALUE"""),"M.1892/LANGKAPURA")</f>
        <v>M.1892/LANGKAPURA</v>
      </c>
      <c r="D936" s="17">
        <f>IFERROR(__xludf.DUMMYFUNCTION("""COMPUTED_VALUE"""),45601.39725393518)</f>
        <v>45601.39725</v>
      </c>
      <c r="E936" s="13" t="str">
        <f>IFERROR(__xludf.DUMMYFUNCTION("""COMPUTED_VALUE"""),"PLOTING")</f>
        <v>PLOTING</v>
      </c>
      <c r="F936" s="13" t="str">
        <f>IFERROR(__xludf.DUMMYFUNCTION("""COMPUTED_VALUE"""),"LISMIYATI/RENALDI PRATAMA SIRYA")</f>
        <v>LISMIYATI/RENALDI PRATAMA SIRYA</v>
      </c>
      <c r="G936" s="13">
        <f t="shared" si="1"/>
        <v>816</v>
      </c>
      <c r="H936" s="13" t="str">
        <f>IFERROR(__xludf.DUMMYFUNCTION("""COMPUTED_VALUE"""),"P0")</f>
        <v>P0</v>
      </c>
    </row>
    <row r="937" ht="22.5" customHeight="1">
      <c r="B937" s="19" t="str">
        <f>IFERROR(__xludf.DUMMYFUNCTION("""COMPUTED_VALUE"""),"K/2/051124/2")</f>
        <v>K/2/051124/2</v>
      </c>
      <c r="C937" s="19" t="str">
        <f>IFERROR(__xludf.DUMMYFUNCTION("""COMPUTED_VALUE"""),"M.631/LANGKAPURA BARU")</f>
        <v>M.631/LANGKAPURA BARU</v>
      </c>
      <c r="D937" s="17">
        <f>IFERROR(__xludf.DUMMYFUNCTION("""COMPUTED_VALUE"""),45601.397938379625)</f>
        <v>45601.39794</v>
      </c>
      <c r="E937" s="13" t="str">
        <f>IFERROR(__xludf.DUMMYFUNCTION("""COMPUTED_VALUE"""),"BN JUAL BELI")</f>
        <v>BN JUAL BELI</v>
      </c>
      <c r="F937" s="13" t="str">
        <f>IFERROR(__xludf.DUMMYFUNCTION("""COMPUTED_VALUE"""),"WURI VALENDZA WIJAYA")</f>
        <v>WURI VALENDZA WIJAYA</v>
      </c>
      <c r="G937" s="13">
        <f t="shared" si="1"/>
        <v>817</v>
      </c>
      <c r="H937" s="13" t="str">
        <f>IFERROR(__xludf.DUMMYFUNCTION("""COMPUTED_VALUE"""),"P0")</f>
        <v>P0</v>
      </c>
    </row>
    <row r="938" ht="22.5" customHeight="1">
      <c r="B938" s="19" t="str">
        <f>IFERROR(__xludf.DUMMYFUNCTION("""COMPUTED_VALUE"""),"K/3/051124/3")</f>
        <v>K/3/051124/3</v>
      </c>
      <c r="C938" s="19" t="str">
        <f>IFERROR(__xludf.DUMMYFUNCTION("""COMPUTED_VALUE"""),"M.1524/RAJABASA JAYA")</f>
        <v>M.1524/RAJABASA JAYA</v>
      </c>
      <c r="D938" s="17">
        <f>IFERROR(__xludf.DUMMYFUNCTION("""COMPUTED_VALUE"""),45601.39871758102)</f>
        <v>45601.39872</v>
      </c>
      <c r="E938" s="13" t="str">
        <f>IFERROR(__xludf.DUMMYFUNCTION("""COMPUTED_VALUE"""),"BN JUAL BELI")</f>
        <v>BN JUAL BELI</v>
      </c>
      <c r="F938" s="13" t="str">
        <f>IFERROR(__xludf.DUMMYFUNCTION("""COMPUTED_VALUE"""),"NOVI ETRISIA/RENALDI PRATAMA SIRYA")</f>
        <v>NOVI ETRISIA/RENALDI PRATAMA SIRYA</v>
      </c>
      <c r="G938" s="13">
        <f t="shared" si="1"/>
        <v>818</v>
      </c>
      <c r="H938" s="13" t="str">
        <f>IFERROR(__xludf.DUMMYFUNCTION("""COMPUTED_VALUE"""),"P0")</f>
        <v>P0</v>
      </c>
    </row>
    <row r="939" ht="22.5" customHeight="1">
      <c r="B939" s="19" t="str">
        <f>IFERROR(__xludf.DUMMYFUNCTION("""COMPUTED_VALUE"""),"K/4/051124/1")</f>
        <v>K/4/051124/1</v>
      </c>
      <c r="C939" s="19" t="str">
        <f>IFERROR(__xludf.DUMMYFUNCTION("""COMPUTED_VALUE"""),"M. 11995/ Segala Mider")</f>
        <v>M. 11995/ Segala Mider</v>
      </c>
      <c r="D939" s="17">
        <f>IFERROR(__xludf.DUMMYFUNCTION("""COMPUTED_VALUE"""),45601.4069334838)</f>
        <v>45601.40693</v>
      </c>
      <c r="E939" s="13" t="str">
        <f>IFERROR(__xludf.DUMMYFUNCTION("""COMPUTED_VALUE"""),"BN Hibah")</f>
        <v>BN Hibah</v>
      </c>
      <c r="F939" s="13" t="str">
        <f>IFERROR(__xludf.DUMMYFUNCTION("""COMPUTED_VALUE"""),"Reflan Rasyid/ Vega A P")</f>
        <v>Reflan Rasyid/ Vega A P</v>
      </c>
      <c r="G939" s="13">
        <f t="shared" si="1"/>
        <v>819</v>
      </c>
      <c r="H939" s="13" t="str">
        <f>IFERROR(__xludf.DUMMYFUNCTION("""COMPUTED_VALUE"""),"P0")</f>
        <v>P0</v>
      </c>
    </row>
    <row r="940" ht="22.5" customHeight="1">
      <c r="B940" s="19" t="str">
        <f>IFERROR(__xludf.DUMMYFUNCTION("""COMPUTED_VALUE"""),"K/17/281024/1")</f>
        <v>K/17/281024/1</v>
      </c>
      <c r="C940" s="19" t="str">
        <f>IFERROR(__xludf.DUMMYFUNCTION("""COMPUTED_VALUE"""),"M. 1597/ Gedong Air	")</f>
        <v>M. 1597/ Gedong Air	</v>
      </c>
      <c r="D940" s="17">
        <f>IFERROR(__xludf.DUMMYFUNCTION("""COMPUTED_VALUE"""),45601.409241064815)</f>
        <v>45601.40924</v>
      </c>
      <c r="E940" s="13" t="str">
        <f>IFERROR(__xludf.DUMMYFUNCTION("""COMPUTED_VALUE"""),"S. Hilang")</f>
        <v>S. Hilang</v>
      </c>
      <c r="F940" s="13" t="str">
        <f>IFERROR(__xludf.DUMMYFUNCTION("""COMPUTED_VALUE"""),"Effendi/ M Satam")</f>
        <v>Effendi/ M Satam</v>
      </c>
      <c r="G940" s="13">
        <f t="shared" si="1"/>
        <v>819</v>
      </c>
      <c r="H940" s="13" t="str">
        <f>IFERROR(__xludf.DUMMYFUNCTION("""COMPUTED_VALUE"""),"P1")</f>
        <v>P1</v>
      </c>
    </row>
    <row r="941" ht="22.5" customHeight="1">
      <c r="B941" s="19" t="str">
        <f>IFERROR(__xludf.DUMMYFUNCTION("""COMPUTED_VALUE"""),"K/6/051124/1")</f>
        <v>K/6/051124/1</v>
      </c>
      <c r="C941" s="19" t="str">
        <f>IFERROR(__xludf.DUMMYFUNCTION("""COMPUTED_VALUE"""),"M.1447/KOTA KARANG")</f>
        <v>M.1447/KOTA KARANG</v>
      </c>
      <c r="D941" s="17">
        <f>IFERROR(__xludf.DUMMYFUNCTION("""COMPUTED_VALUE"""),45601.410608680555)</f>
        <v>45601.41061</v>
      </c>
      <c r="E941" s="13" t="str">
        <f>IFERROR(__xludf.DUMMYFUNCTION("""COMPUTED_VALUE"""),"PLOTING")</f>
        <v>PLOTING</v>
      </c>
      <c r="F941" s="13" t="str">
        <f>IFERROR(__xludf.DUMMYFUNCTION("""COMPUTED_VALUE"""),"BAHARUDIN/HARIYO WIDODO")</f>
        <v>BAHARUDIN/HARIYO WIDODO</v>
      </c>
      <c r="G941" s="13">
        <f t="shared" si="1"/>
        <v>820</v>
      </c>
      <c r="H941" s="13" t="str">
        <f>IFERROR(__xludf.DUMMYFUNCTION("""COMPUTED_VALUE"""),"P0")</f>
        <v>P0</v>
      </c>
    </row>
    <row r="942" ht="22.5" customHeight="1">
      <c r="B942" s="19" t="str">
        <f>IFERROR(__xludf.DUMMYFUNCTION("""COMPUTED_VALUE"""),"L/8/051124/1")</f>
        <v>L/8/051124/1</v>
      </c>
      <c r="C942" s="19" t="str">
        <f>IFERROR(__xludf.DUMMYFUNCTION("""COMPUTED_VALUE"""),"M.1311 /GUNUNG SULAH ")</f>
        <v>M.1311 /GUNUNG SULAH </v>
      </c>
      <c r="D942" s="17">
        <f>IFERROR(__xludf.DUMMYFUNCTION("""COMPUTED_VALUE"""),45601.41149758102)</f>
        <v>45601.4115</v>
      </c>
      <c r="E942" s="13" t="str">
        <f>IFERROR(__xludf.DUMMYFUNCTION("""COMPUTED_VALUE"""),"SERTIFIKAT PENGGANTI KARENA HILANG")</f>
        <v>SERTIFIKAT PENGGANTI KARENA HILANG</v>
      </c>
      <c r="F942" s="13" t="str">
        <f>IFERROR(__xludf.DUMMYFUNCTION("""COMPUTED_VALUE"""),"NUR BAIDI")</f>
        <v>NUR BAIDI</v>
      </c>
      <c r="G942" s="13">
        <f t="shared" si="1"/>
        <v>821</v>
      </c>
      <c r="H942" s="13" t="str">
        <f>IFERROR(__xludf.DUMMYFUNCTION("""COMPUTED_VALUE"""),"P0")</f>
        <v>P0</v>
      </c>
    </row>
    <row r="943" ht="22.5" customHeight="1">
      <c r="B943" s="19" t="str">
        <f>IFERROR(__xludf.DUMMYFUNCTION("""COMPUTED_VALUE"""),"K/7/051124/2")</f>
        <v>K/7/051124/2</v>
      </c>
      <c r="C943" s="19" t="str">
        <f>IFERROR(__xludf.DUMMYFUNCTION("""COMPUTED_VALUE"""),"m.1815/RAJABASA NUNYAI_SEKARANG;b.1210/RAJABASA-DAHULU")</f>
        <v>m.1815/RAJABASA NUNYAI_SEKARANG;b.1210/RAJABASA-DAHULU</v>
      </c>
      <c r="D943" s="17">
        <f>IFERROR(__xludf.DUMMYFUNCTION("""COMPUTED_VALUE"""),45601.41183173611)</f>
        <v>45601.41183</v>
      </c>
      <c r="E943" s="13" t="str">
        <f>IFERROR(__xludf.DUMMYFUNCTION("""COMPUTED_VALUE"""),"BN JUAL BELI")</f>
        <v>BN JUAL BELI</v>
      </c>
      <c r="F943" s="13" t="str">
        <f>IFERROR(__xludf.DUMMYFUNCTION("""COMPUTED_VALUE"""),"ZURAIDAH/HARIYO WIDODO")</f>
        <v>ZURAIDAH/HARIYO WIDODO</v>
      </c>
      <c r="G943" s="13">
        <f t="shared" si="1"/>
        <v>822</v>
      </c>
      <c r="H943" s="13" t="str">
        <f>IFERROR(__xludf.DUMMYFUNCTION("""COMPUTED_VALUE"""),"P0")</f>
        <v>P0</v>
      </c>
    </row>
    <row r="944" ht="22.5" customHeight="1">
      <c r="B944" s="19" t="str">
        <f>IFERROR(__xludf.DUMMYFUNCTION("""COMPUTED_VALUE"""),"K/5/051124/1")</f>
        <v>K/5/051124/1</v>
      </c>
      <c r="C944" s="19" t="str">
        <f>IFERROR(__xludf.DUMMYFUNCTION("""COMPUTED_VALUE"""),"M. 4226/ LANGKAPURA")</f>
        <v>M. 4226/ LANGKAPURA</v>
      </c>
      <c r="D944" s="17">
        <f>IFERROR(__xludf.DUMMYFUNCTION("""COMPUTED_VALUE"""),45601.413256307875)</f>
        <v>45601.41326</v>
      </c>
      <c r="E944" s="13" t="str">
        <f>IFERROR(__xludf.DUMMYFUNCTION("""COMPUTED_VALUE"""),"SERTIPKAT HILANG")</f>
        <v>SERTIPKAT HILANG</v>
      </c>
      <c r="F944" s="13" t="str">
        <f>IFERROR(__xludf.DUMMYFUNCTION("""COMPUTED_VALUE"""),"A JAZULI MADJID/ JONI")</f>
        <v>A JAZULI MADJID/ JONI</v>
      </c>
      <c r="G944" s="13">
        <f t="shared" si="1"/>
        <v>823</v>
      </c>
      <c r="H944" s="13" t="str">
        <f>IFERROR(__xludf.DUMMYFUNCTION("""COMPUTED_VALUE"""),"P0")</f>
        <v>P0</v>
      </c>
    </row>
    <row r="945" ht="22.5" customHeight="1">
      <c r="B945" s="19" t="str">
        <f>IFERROR(__xludf.DUMMYFUNCTION("""COMPUTED_VALUE"""),"K/9/051124/1")</f>
        <v>K/9/051124/1</v>
      </c>
      <c r="C945" s="19" t="str">
        <f>IFERROR(__xludf.DUMMYFUNCTION("""COMPUTED_VALUE"""),"M. 236/ L R R")</f>
        <v>M. 236/ L R R</v>
      </c>
      <c r="D945" s="17">
        <f>IFERROR(__xludf.DUMMYFUNCTION("""COMPUTED_VALUE"""),45601.41477239583)</f>
        <v>45601.41477</v>
      </c>
      <c r="E945" s="13" t="str">
        <f>IFERROR(__xludf.DUMMYFUNCTION("""COMPUTED_VALUE"""),"PTPGT (Pemecahan)")</f>
        <v>PTPGT (Pemecahan)</v>
      </c>
      <c r="F945" s="13" t="str">
        <f>IFERROR(__xludf.DUMMYFUNCTION("""COMPUTED_VALUE"""),"Sugiat/ Eka Agustina")</f>
        <v>Sugiat/ Eka Agustina</v>
      </c>
      <c r="G945" s="13">
        <f t="shared" si="1"/>
        <v>824</v>
      </c>
      <c r="H945" s="13" t="str">
        <f>IFERROR(__xludf.DUMMYFUNCTION("""COMPUTED_VALUE"""),"P0")</f>
        <v>P0</v>
      </c>
    </row>
    <row r="946" ht="22.5" customHeight="1">
      <c r="B946" s="19" t="str">
        <f>IFERROR(__xludf.DUMMYFUNCTION("""COMPUTED_VALUE"""),"K/10/051124/1")</f>
        <v>K/10/051124/1</v>
      </c>
      <c r="C946" s="19" t="str">
        <f>IFERROR(__xludf.DUMMYFUNCTION("""COMPUTED_VALUE"""),"M. 253/ Tanjung Raya")</f>
        <v>M. 253/ Tanjung Raya</v>
      </c>
      <c r="D946" s="17">
        <f>IFERROR(__xludf.DUMMYFUNCTION("""COMPUTED_VALUE"""),45601.425865173616)</f>
        <v>45601.42587</v>
      </c>
      <c r="E946" s="13" t="str">
        <f>IFERROR(__xludf.DUMMYFUNCTION("""COMPUTED_VALUE"""),"Gandes")</f>
        <v>Gandes</v>
      </c>
      <c r="F946" s="13" t="str">
        <f>IFERROR(__xludf.DUMMYFUNCTION("""COMPUTED_VALUE"""),"A. Roswantama/ Hafifi")</f>
        <v>A. Roswantama/ Hafifi</v>
      </c>
      <c r="G946" s="13">
        <f t="shared" si="1"/>
        <v>825</v>
      </c>
      <c r="H946" s="13" t="str">
        <f>IFERROR(__xludf.DUMMYFUNCTION("""COMPUTED_VALUE"""),"P0")</f>
        <v>P0</v>
      </c>
    </row>
    <row r="947" ht="22.5" customHeight="1">
      <c r="B947" s="19" t="str">
        <f>IFERROR(__xludf.DUMMYFUNCTION("""COMPUTED_VALUE"""),"K/12/051124/3")</f>
        <v>K/12/051124/3</v>
      </c>
      <c r="C947" s="19" t="str">
        <f>IFERROR(__xludf.DUMMYFUNCTION("""COMPUTED_VALUE"""),"M.417/NUSANTARA PERMAI-SEKARANG;B.381/CAMPANG RAYA-DAHULU")</f>
        <v>M.417/NUSANTARA PERMAI-SEKARANG;B.381/CAMPANG RAYA-DAHULU</v>
      </c>
      <c r="D947" s="17">
        <f>IFERROR(__xludf.DUMMYFUNCTION("""COMPUTED_VALUE"""),45601.4264755787)</f>
        <v>45601.42648</v>
      </c>
      <c r="E947" s="13" t="str">
        <f>IFERROR(__xludf.DUMMYFUNCTION("""COMPUTED_VALUE"""),"BN JUAL BELI")</f>
        <v>BN JUAL BELI</v>
      </c>
      <c r="F947" s="13" t="str">
        <f>IFERROR(__xludf.DUMMYFUNCTION("""COMPUTED_VALUE"""),"SAFITRI HANDAYANI/HARIYO WIDODO")</f>
        <v>SAFITRI HANDAYANI/HARIYO WIDODO</v>
      </c>
      <c r="G947" s="13">
        <f t="shared" si="1"/>
        <v>826</v>
      </c>
      <c r="H947" s="13" t="str">
        <f>IFERROR(__xludf.DUMMYFUNCTION("""COMPUTED_VALUE"""),"P0")</f>
        <v>P0</v>
      </c>
    </row>
    <row r="948" ht="22.5" customHeight="1">
      <c r="B948" s="19" t="str">
        <f>IFERROR(__xludf.DUMMYFUNCTION("""COMPUTED_VALUE"""),"K/11/051124/2")</f>
        <v>K/11/051124/2</v>
      </c>
      <c r="C948" s="19" t="str">
        <f>IFERROR(__xludf.DUMMYFUNCTION("""COMPUTED_VALUE"""),"M. 184/ Gunung Terang")</f>
        <v>M. 184/ Gunung Terang</v>
      </c>
      <c r="D948" s="17">
        <f>IFERROR(__xludf.DUMMYFUNCTION("""COMPUTED_VALUE"""),45601.42650412037)</f>
        <v>45601.4265</v>
      </c>
      <c r="E948" s="13" t="str">
        <f>IFERROR(__xludf.DUMMYFUNCTION("""COMPUTED_VALUE"""),"Gandes")</f>
        <v>Gandes</v>
      </c>
      <c r="F948" s="13" t="str">
        <f>IFERROR(__xludf.DUMMYFUNCTION("""COMPUTED_VALUE"""),"A. Roswantama/ Jodi G K")</f>
        <v>A. Roswantama/ Jodi G K</v>
      </c>
      <c r="G948" s="13">
        <f t="shared" si="1"/>
        <v>827</v>
      </c>
      <c r="H948" s="13" t="str">
        <f>IFERROR(__xludf.DUMMYFUNCTION("""COMPUTED_VALUE"""),"P0")</f>
        <v>P0</v>
      </c>
    </row>
    <row r="949" ht="22.5" customHeight="1">
      <c r="B949" s="19" t="str">
        <f>IFERROR(__xludf.DUMMYFUNCTION("""COMPUTED_VALUE"""),"K/13/051124/1")</f>
        <v>K/13/051124/1</v>
      </c>
      <c r="C949" s="19" t="str">
        <f>IFERROR(__xludf.DUMMYFUNCTION("""COMPUTED_VALUE"""),"M. 471/ Harapan Jaya")</f>
        <v>M. 471/ Harapan Jaya</v>
      </c>
      <c r="D949" s="17">
        <f>IFERROR(__xludf.DUMMYFUNCTION("""COMPUTED_VALUE"""),45601.42786591435)</f>
        <v>45601.42787</v>
      </c>
      <c r="E949" s="13" t="str">
        <f>IFERROR(__xludf.DUMMYFUNCTION("""COMPUTED_VALUE"""),"Gandes")</f>
        <v>Gandes</v>
      </c>
      <c r="F949" s="13" t="str">
        <f>IFERROR(__xludf.DUMMYFUNCTION("""COMPUTED_VALUE"""),"Mahfud/ Ferryana Subiyakti")</f>
        <v>Mahfud/ Ferryana Subiyakti</v>
      </c>
      <c r="G949" s="13">
        <f t="shared" si="1"/>
        <v>828</v>
      </c>
      <c r="H949" s="13" t="str">
        <f>IFERROR(__xludf.DUMMYFUNCTION("""COMPUTED_VALUE"""),"P0")</f>
        <v>P0</v>
      </c>
    </row>
    <row r="950" ht="22.5" customHeight="1">
      <c r="B950" s="19" t="str">
        <f>IFERROR(__xludf.DUMMYFUNCTION("""COMPUTED_VALUE"""),"K/14/051124/2")</f>
        <v>K/14/051124/2</v>
      </c>
      <c r="C950" s="19" t="str">
        <f>IFERROR(__xludf.DUMMYFUNCTION("""COMPUTED_VALUE"""),"M. 1110/ Sumur Putri")</f>
        <v>M. 1110/ Sumur Putri</v>
      </c>
      <c r="D950" s="17">
        <f>IFERROR(__xludf.DUMMYFUNCTION("""COMPUTED_VALUE"""),45601.42931680556)</f>
        <v>45601.42932</v>
      </c>
      <c r="E950" s="13" t="str">
        <f>IFERROR(__xludf.DUMMYFUNCTION("""COMPUTED_VALUE"""),"Ploting")</f>
        <v>Ploting</v>
      </c>
      <c r="F950" s="13" t="str">
        <f>IFERROR(__xludf.DUMMYFUNCTION("""COMPUTED_VALUE"""),"Mahfud/ Hadijah")</f>
        <v>Mahfud/ Hadijah</v>
      </c>
      <c r="G950" s="13">
        <f t="shared" si="1"/>
        <v>829</v>
      </c>
      <c r="H950" s="13" t="str">
        <f>IFERROR(__xludf.DUMMYFUNCTION("""COMPUTED_VALUE"""),"P0")</f>
        <v>P0</v>
      </c>
    </row>
    <row r="951" ht="22.5" customHeight="1">
      <c r="B951" s="19" t="str">
        <f>IFERROR(__xludf.DUMMYFUNCTION("""COMPUTED_VALUE"""),"K/11/291024/1")</f>
        <v>K/11/291024/1</v>
      </c>
      <c r="C951" s="19" t="str">
        <f>IFERROR(__xludf.DUMMYFUNCTION("""COMPUTED_VALUE"""),"B. 1045/ Negeri olok gading")</f>
        <v>B. 1045/ Negeri olok gading</v>
      </c>
      <c r="D951" s="17">
        <f>IFERROR(__xludf.DUMMYFUNCTION("""COMPUTED_VALUE"""),45601.434122199076)</f>
        <v>45601.43412</v>
      </c>
      <c r="E951" s="13" t="str">
        <f>IFERROR(__xludf.DUMMYFUNCTION("""COMPUTED_VALUE"""),"PENDAFTARAN SK")</f>
        <v>PENDAFTARAN SK</v>
      </c>
      <c r="F951" s="13" t="str">
        <f>IFERROR(__xludf.DUMMYFUNCTION("""COMPUTED_VALUE"""),"VITTA n")</f>
        <v>VITTA n</v>
      </c>
      <c r="G951" s="13">
        <f t="shared" si="1"/>
        <v>829</v>
      </c>
      <c r="H951" s="13" t="str">
        <f>IFERROR(__xludf.DUMMYFUNCTION("""COMPUTED_VALUE"""),"P1")</f>
        <v>P1</v>
      </c>
    </row>
    <row r="952" ht="22.5" customHeight="1">
      <c r="B952" s="19" t="str">
        <f>IFERROR(__xludf.DUMMYFUNCTION("""COMPUTED_VALUE"""),"K/15/051124/3")</f>
        <v>K/15/051124/3</v>
      </c>
      <c r="C952" s="19" t="str">
        <f>IFERROR(__xludf.DUMMYFUNCTION("""COMPUTED_VALUE"""),"M. 937/ Gunung Terang")</f>
        <v>M. 937/ Gunung Terang</v>
      </c>
      <c r="D952" s="17">
        <f>IFERROR(__xludf.DUMMYFUNCTION("""COMPUTED_VALUE"""),45601.434973090276)</f>
        <v>45601.43497</v>
      </c>
      <c r="E952" s="13" t="str">
        <f>IFERROR(__xludf.DUMMYFUNCTION("""COMPUTED_VALUE"""),"BN PHB")</f>
        <v>BN PHB</v>
      </c>
      <c r="F952" s="13" t="str">
        <f>IFERROR(__xludf.DUMMYFUNCTION("""COMPUTED_VALUE"""),"Mahfud/ Arya D S")</f>
        <v>Mahfud/ Arya D S</v>
      </c>
      <c r="G952" s="13">
        <f t="shared" si="1"/>
        <v>830</v>
      </c>
      <c r="H952" s="13" t="str">
        <f>IFERROR(__xludf.DUMMYFUNCTION("""COMPUTED_VALUE"""),"P0")</f>
        <v>P0</v>
      </c>
    </row>
    <row r="953" ht="22.5" customHeight="1">
      <c r="B953" s="19" t="str">
        <f>IFERROR(__xludf.DUMMYFUNCTION("""COMPUTED_VALUE"""),"K/16/051124/1")</f>
        <v>K/16/051124/1</v>
      </c>
      <c r="C953" s="19" t="str">
        <f>IFERROR(__xludf.DUMMYFUNCTION("""COMPUTED_VALUE"""),"M.6050/WAY KANDIS")</f>
        <v>M.6050/WAY KANDIS</v>
      </c>
      <c r="D953" s="17">
        <f>IFERROR(__xludf.DUMMYFUNCTION("""COMPUTED_VALUE"""),45601.436919201384)</f>
        <v>45601.43692</v>
      </c>
      <c r="E953" s="13" t="str">
        <f>IFERROR(__xludf.DUMMYFUNCTION("""COMPUTED_VALUE"""),"BN JUAL BELI")</f>
        <v>BN JUAL BELI</v>
      </c>
      <c r="F953" s="13" t="str">
        <f>IFERROR(__xludf.DUMMYFUNCTION("""COMPUTED_VALUE"""),"ANDI SUHARDI/RIZAL EFFENDI")</f>
        <v>ANDI SUHARDI/RIZAL EFFENDI</v>
      </c>
      <c r="G953" s="13">
        <f t="shared" si="1"/>
        <v>831</v>
      </c>
      <c r="H953" s="13" t="str">
        <f>IFERROR(__xludf.DUMMYFUNCTION("""COMPUTED_VALUE"""),"P0")</f>
        <v>P0</v>
      </c>
    </row>
    <row r="954" ht="22.5" customHeight="1">
      <c r="B954" s="19" t="str">
        <f>IFERROR(__xludf.DUMMYFUNCTION("""COMPUTED_VALUE"""),"K/17/051124/1")</f>
        <v>K/17/051124/1</v>
      </c>
      <c r="C954" s="19" t="str">
        <f>IFERROR(__xludf.DUMMYFUNCTION("""COMPUTED_VALUE"""),"M. 776/ NOG; B. 809/ N O G-dahulu")</f>
        <v>M. 776/ NOG; B. 809/ N O G-dahulu</v>
      </c>
      <c r="D954" s="17">
        <f>IFERROR(__xludf.DUMMYFUNCTION("""COMPUTED_VALUE"""),45601.44950234954)</f>
        <v>45601.4495</v>
      </c>
      <c r="E954" s="13" t="str">
        <f>IFERROR(__xludf.DUMMYFUNCTION("""COMPUTED_VALUE"""),"Roya")</f>
        <v>Roya</v>
      </c>
      <c r="F954" s="13" t="str">
        <f>IFERROR(__xludf.DUMMYFUNCTION("""COMPUTED_VALUE"""),"Imelda P/ Halim B")</f>
        <v>Imelda P/ Halim B</v>
      </c>
      <c r="G954" s="13">
        <f t="shared" si="1"/>
        <v>832</v>
      </c>
      <c r="H954" s="13" t="str">
        <f>IFERROR(__xludf.DUMMYFUNCTION("""COMPUTED_VALUE"""),"P0")</f>
        <v>P0</v>
      </c>
    </row>
    <row r="955" ht="22.5" customHeight="1">
      <c r="B955" s="19" t="str">
        <f>IFERROR(__xludf.DUMMYFUNCTION("""COMPUTED_VALUE"""),"L/18/051124/1")</f>
        <v>L/18/051124/1</v>
      </c>
      <c r="C955" s="19" t="str">
        <f>IFERROR(__xludf.DUMMYFUNCTION("""COMPUTED_VALUE"""),"M.4410/BERINGIN RAYA")</f>
        <v>M.4410/BERINGIN RAYA</v>
      </c>
      <c r="D955" s="17">
        <f>IFERROR(__xludf.DUMMYFUNCTION("""COMPUTED_VALUE"""),45601.45360835648)</f>
        <v>45601.45361</v>
      </c>
      <c r="E955" s="13" t="str">
        <f>IFERROR(__xludf.DUMMYFUNCTION("""COMPUTED_VALUE"""),"ROYA")</f>
        <v>ROYA</v>
      </c>
      <c r="F955" s="13" t="str">
        <f>IFERROR(__xludf.DUMMYFUNCTION("""COMPUTED_VALUE"""),"ANDRI NOPIRIANTO")</f>
        <v>ANDRI NOPIRIANTO</v>
      </c>
      <c r="G955" s="13">
        <f t="shared" si="1"/>
        <v>833</v>
      </c>
      <c r="H955" s="13" t="str">
        <f>IFERROR(__xludf.DUMMYFUNCTION("""COMPUTED_VALUE"""),"P0")</f>
        <v>P0</v>
      </c>
    </row>
    <row r="956" ht="22.5" customHeight="1">
      <c r="B956" s="19" t="str">
        <f>IFERROR(__xludf.DUMMYFUNCTION("""COMPUTED_VALUE"""),"K/19/051124/1")</f>
        <v>K/19/051124/1</v>
      </c>
      <c r="C956" s="19" t="str">
        <f>IFERROR(__xludf.DUMMYFUNCTION("""COMPUTED_VALUE"""),"M.2429/KEDAUNG")</f>
        <v>M.2429/KEDAUNG</v>
      </c>
      <c r="D956" s="17">
        <f>IFERROR(__xludf.DUMMYFUNCTION("""COMPUTED_VALUE"""),45601.46082412037)</f>
        <v>45601.46082</v>
      </c>
      <c r="E956" s="13" t="str">
        <f>IFERROR(__xludf.DUMMYFUNCTION("""COMPUTED_VALUE"""),"BN JUAL BELI")</f>
        <v>BN JUAL BELI</v>
      </c>
      <c r="F956" s="13" t="str">
        <f>IFERROR(__xludf.DUMMYFUNCTION("""COMPUTED_VALUE"""),"MAISAROH/HERLINA RATNA SN")</f>
        <v>MAISAROH/HERLINA RATNA SN</v>
      </c>
      <c r="G956" s="13">
        <f t="shared" si="1"/>
        <v>834</v>
      </c>
      <c r="H956" s="13" t="str">
        <f>IFERROR(__xludf.DUMMYFUNCTION("""COMPUTED_VALUE"""),"P0")</f>
        <v>P0</v>
      </c>
    </row>
    <row r="957" ht="22.5" customHeight="1">
      <c r="B957" s="19" t="str">
        <f>IFERROR(__xludf.DUMMYFUNCTION("""COMPUTED_VALUE"""),"K/20/051124/1")</f>
        <v>K/20/051124/1</v>
      </c>
      <c r="C957" s="19" t="str">
        <f>IFERROR(__xludf.DUMMYFUNCTION("""COMPUTED_VALUE"""),"Nibel. B. 3021/ Kemiling Permai")</f>
        <v>Nibel. B. 3021/ Kemiling Permai</v>
      </c>
      <c r="D957" s="17">
        <f>IFERROR(__xludf.DUMMYFUNCTION("""COMPUTED_VALUE"""),45601.46138491898)</f>
        <v>45601.46138</v>
      </c>
      <c r="E957" s="13" t="str">
        <f>IFERROR(__xludf.DUMMYFUNCTION("""COMPUTED_VALUE"""),"Perubahan Hak")</f>
        <v>Perubahan Hak</v>
      </c>
      <c r="F957" s="13" t="str">
        <f>IFERROR(__xludf.DUMMYFUNCTION("""COMPUTED_VALUE"""),"Maya A/ Nurul Habibah")</f>
        <v>Maya A/ Nurul Habibah</v>
      </c>
      <c r="G957" s="13">
        <f t="shared" si="1"/>
        <v>835</v>
      </c>
      <c r="H957" s="13" t="str">
        <f>IFERROR(__xludf.DUMMYFUNCTION("""COMPUTED_VALUE"""),"P0")</f>
        <v>P0</v>
      </c>
    </row>
    <row r="958" ht="22.5" customHeight="1">
      <c r="B958" s="19" t="str">
        <f>IFERROR(__xludf.DUMMYFUNCTION("""COMPUTED_VALUE"""),"K/21/051124/2")</f>
        <v>K/21/051124/2</v>
      </c>
      <c r="C958" s="19" t="str">
        <f>IFERROR(__xludf.DUMMYFUNCTION("""COMPUTED_VALUE"""),"B. 208/ Gunung Sari")</f>
        <v>B. 208/ Gunung Sari</v>
      </c>
      <c r="D958" s="17">
        <f>IFERROR(__xludf.DUMMYFUNCTION("""COMPUTED_VALUE"""),45601.46337600694)</f>
        <v>45601.46338</v>
      </c>
      <c r="E958" s="13" t="str">
        <f>IFERROR(__xludf.DUMMYFUNCTION("""COMPUTED_VALUE"""),"Pengecekan")</f>
        <v>Pengecekan</v>
      </c>
      <c r="F958" s="13" t="str">
        <f>IFERROR(__xludf.DUMMYFUNCTION("""COMPUTED_VALUE"""),"Maya A N/ Nofrizal")</f>
        <v>Maya A N/ Nofrizal</v>
      </c>
      <c r="G958" s="13">
        <f t="shared" si="1"/>
        <v>836</v>
      </c>
      <c r="H958" s="13" t="str">
        <f>IFERROR(__xludf.DUMMYFUNCTION("""COMPUTED_VALUE"""),"P0")</f>
        <v>P0</v>
      </c>
    </row>
    <row r="959" ht="22.5" customHeight="1">
      <c r="B959" s="19" t="str">
        <f>IFERROR(__xludf.DUMMYFUNCTION("""COMPUTED_VALUE"""),"K/22/051124/2")</f>
        <v>K/22/051124/2</v>
      </c>
      <c r="C959" s="19" t="str">
        <f>IFERROR(__xludf.DUMMYFUNCTION("""COMPUTED_VALUE"""),"M.2425/KEDAUNG")</f>
        <v>M.2425/KEDAUNG</v>
      </c>
      <c r="D959" s="17">
        <f>IFERROR(__xludf.DUMMYFUNCTION("""COMPUTED_VALUE"""),45601.464712141205)</f>
        <v>45601.46471</v>
      </c>
      <c r="E959" s="13" t="str">
        <f>IFERROR(__xludf.DUMMYFUNCTION("""COMPUTED_VALUE"""),"BN JUAL BELI")</f>
        <v>BN JUAL BELI</v>
      </c>
      <c r="F959" s="13" t="str">
        <f>IFERROR(__xludf.DUMMYFUNCTION("""COMPUTED_VALUE"""),"JIMMI AFRIANDO AKBAR/HERLINA RATNA  SN")</f>
        <v>JIMMI AFRIANDO AKBAR/HERLINA RATNA  SN</v>
      </c>
      <c r="G959" s="13">
        <f t="shared" si="1"/>
        <v>837</v>
      </c>
      <c r="H959" s="13" t="str">
        <f>IFERROR(__xludf.DUMMYFUNCTION("""COMPUTED_VALUE"""),"P0")</f>
        <v>P0</v>
      </c>
    </row>
    <row r="960" ht="22.5" customHeight="1">
      <c r="B960" s="19" t="str">
        <f>IFERROR(__xludf.DUMMYFUNCTION("""COMPUTED_VALUE"""),"K/23/051124/1")</f>
        <v>K/23/051124/1</v>
      </c>
      <c r="C960" s="19" t="str">
        <f>IFERROR(__xludf.DUMMYFUNCTION("""COMPUTED_VALUE"""),"Nibel 641/ Gunung Sulah")</f>
        <v>Nibel 641/ Gunung Sulah</v>
      </c>
      <c r="D960" s="17">
        <f>IFERROR(__xludf.DUMMYFUNCTION("""COMPUTED_VALUE"""),45601.465599641204)</f>
        <v>45601.4656</v>
      </c>
      <c r="E960" s="13" t="str">
        <f>IFERROR(__xludf.DUMMYFUNCTION("""COMPUTED_VALUE"""),"BN JUAL BELI")</f>
        <v>BN JUAL BELI</v>
      </c>
      <c r="F960" s="13" t="str">
        <f>IFERROR(__xludf.DUMMYFUNCTION("""COMPUTED_VALUE"""),"WHINDA Y/ SOEWONDO")</f>
        <v>WHINDA Y/ SOEWONDO</v>
      </c>
      <c r="G960" s="13">
        <f t="shared" si="1"/>
        <v>838</v>
      </c>
      <c r="H960" s="13" t="str">
        <f>IFERROR(__xludf.DUMMYFUNCTION("""COMPUTED_VALUE"""),"P0")</f>
        <v>P0</v>
      </c>
    </row>
    <row r="961" ht="22.5" customHeight="1">
      <c r="B961" s="19" t="str">
        <f>IFERROR(__xludf.DUMMYFUNCTION("""COMPUTED_VALUE"""),"K/24/051124/2")</f>
        <v>K/24/051124/2</v>
      </c>
      <c r="C961" s="19" t="str">
        <f>IFERROR(__xludf.DUMMYFUNCTION("""COMPUTED_VALUE"""),"Nibel 504/ Gunung Sulah")</f>
        <v>Nibel 504/ Gunung Sulah</v>
      </c>
      <c r="D961" s="17">
        <f>IFERROR(__xludf.DUMMYFUNCTION("""COMPUTED_VALUE"""),45601.473108356484)</f>
        <v>45601.47311</v>
      </c>
      <c r="E961" s="13" t="str">
        <f>IFERROR(__xludf.DUMMYFUNCTION("""COMPUTED_VALUE"""),"BN JUAL BELI")</f>
        <v>BN JUAL BELI</v>
      </c>
      <c r="F961" s="13" t="str">
        <f>IFERROR(__xludf.DUMMYFUNCTION("""COMPUTED_VALUE"""),"whinda y/ soewondo")</f>
        <v>whinda y/ soewondo</v>
      </c>
      <c r="G961" s="13">
        <f t="shared" si="1"/>
        <v>839</v>
      </c>
      <c r="H961" s="13" t="str">
        <f>IFERROR(__xludf.DUMMYFUNCTION("""COMPUTED_VALUE"""),"P0")</f>
        <v>P0</v>
      </c>
    </row>
    <row r="962" ht="22.5" customHeight="1">
      <c r="B962" s="19" t="str">
        <f>IFERROR(__xludf.DUMMYFUNCTION("""COMPUTED_VALUE"""),"K/26/051124/1")</f>
        <v>K/26/051124/1</v>
      </c>
      <c r="C962" s="19" t="str">
        <f>IFERROR(__xludf.DUMMYFUNCTION("""COMPUTED_VALUE"""),"M. 14387/ Rajabasa; SHT 2838/ 2018")</f>
        <v>M. 14387/ Rajabasa; SHT 2838/ 2018</v>
      </c>
      <c r="D962" s="17">
        <f>IFERROR(__xludf.DUMMYFUNCTION("""COMPUTED_VALUE"""),45601.47375273149)</f>
        <v>45601.47375</v>
      </c>
      <c r="E962" s="13" t="str">
        <f>IFERROR(__xludf.DUMMYFUNCTION("""COMPUTED_VALUE"""),"Roya")</f>
        <v>Roya</v>
      </c>
      <c r="F962" s="13" t="str">
        <f>IFERROR(__xludf.DUMMYFUNCTION("""COMPUTED_VALUE"""),"Evi Udin/ Agustino H")</f>
        <v>Evi Udin/ Agustino H</v>
      </c>
      <c r="G962" s="13">
        <f t="shared" si="1"/>
        <v>840</v>
      </c>
      <c r="H962" s="13" t="str">
        <f>IFERROR(__xludf.DUMMYFUNCTION("""COMPUTED_VALUE"""),"P0")</f>
        <v>P0</v>
      </c>
    </row>
    <row r="963" ht="22.5" customHeight="1">
      <c r="B963" s="19" t="str">
        <f>IFERROR(__xludf.DUMMYFUNCTION("""COMPUTED_VALUE"""),"L/28/051124/1")</f>
        <v>L/28/051124/1</v>
      </c>
      <c r="C963" s="19" t="str">
        <f>IFERROR(__xludf.DUMMYFUNCTION("""COMPUTED_VALUE"""),"-")</f>
        <v>-</v>
      </c>
      <c r="D963" s="17">
        <f>IFERROR(__xludf.DUMMYFUNCTION("""COMPUTED_VALUE"""),45601.47495590278)</f>
        <v>45601.47496</v>
      </c>
      <c r="E963" s="13" t="str">
        <f>IFERROR(__xludf.DUMMYFUNCTION("""COMPUTED_VALUE"""),"PERMOHONAN SK HAK MILIK PERORANGAN")</f>
        <v>PERMOHONAN SK HAK MILIK PERORANGAN</v>
      </c>
      <c r="F963" s="13" t="str">
        <f>IFERROR(__xludf.DUMMYFUNCTION("""COMPUTED_VALUE"""),"NANI YULIANINGSIH")</f>
        <v>NANI YULIANINGSIH</v>
      </c>
      <c r="G963" s="13">
        <f t="shared" si="1"/>
        <v>840</v>
      </c>
      <c r="H963" s="13" t="str">
        <f>IFERROR(__xludf.DUMMYFUNCTION("""COMPUTED_VALUE"""),"P0")</f>
        <v>P0</v>
      </c>
    </row>
    <row r="964" ht="22.5" customHeight="1">
      <c r="B964" s="19" t="str">
        <f>IFERROR(__xludf.DUMMYFUNCTION("""COMPUTED_VALUE"""),"K/27/051124/2")</f>
        <v>K/27/051124/2</v>
      </c>
      <c r="C964" s="19" t="str">
        <f>IFERROR(__xludf.DUMMYFUNCTION("""COMPUTED_VALUE"""),"M. 2693/ Sukadana Ham")</f>
        <v>M. 2693/ Sukadana Ham</v>
      </c>
      <c r="D964" s="17">
        <f>IFERROR(__xludf.DUMMYFUNCTION("""COMPUTED_VALUE"""),45601.476252395834)</f>
        <v>45601.47625</v>
      </c>
      <c r="E964" s="13" t="str">
        <f>IFERROR(__xludf.DUMMYFUNCTION("""COMPUTED_VALUE"""),"BN Waris")</f>
        <v>BN Waris</v>
      </c>
      <c r="F964" s="13" t="str">
        <f>IFERROR(__xludf.DUMMYFUNCTION("""COMPUTED_VALUE"""),"Evi Udin/ Sylvia W S Cs")</f>
        <v>Evi Udin/ Sylvia W S Cs</v>
      </c>
      <c r="G964" s="13">
        <f t="shared" si="1"/>
        <v>841</v>
      </c>
      <c r="H964" s="13" t="str">
        <f>IFERROR(__xludf.DUMMYFUNCTION("""COMPUTED_VALUE"""),"P0")</f>
        <v>P0</v>
      </c>
    </row>
    <row r="965" ht="22.5" customHeight="1">
      <c r="B965" s="19" t="str">
        <f>IFERROR(__xludf.DUMMYFUNCTION("""COMPUTED_VALUE"""),"K/25/051124/3")</f>
        <v>K/25/051124/3</v>
      </c>
      <c r="C965" s="19" t="str">
        <f>IFERROR(__xludf.DUMMYFUNCTION("""COMPUTED_VALUE"""),"Nibel 505/ Gunung Sulah")</f>
        <v>Nibel 505/ Gunung Sulah</v>
      </c>
      <c r="D965" s="17">
        <f>IFERROR(__xludf.DUMMYFUNCTION("""COMPUTED_VALUE"""),45601.47636239583)</f>
        <v>45601.47636</v>
      </c>
      <c r="E965" s="13" t="str">
        <f>IFERROR(__xludf.DUMMYFUNCTION("""COMPUTED_VALUE"""),"BN JUAL BELI")</f>
        <v>BN JUAL BELI</v>
      </c>
      <c r="F965" s="13" t="str">
        <f>IFERROR(__xludf.DUMMYFUNCTION("""COMPUTED_VALUE"""),"WHINDA YULIANTI/ SOEWONDO")</f>
        <v>WHINDA YULIANTI/ SOEWONDO</v>
      </c>
      <c r="G965" s="13">
        <f t="shared" si="1"/>
        <v>842</v>
      </c>
      <c r="H965" s="13" t="str">
        <f>IFERROR(__xludf.DUMMYFUNCTION("""COMPUTED_VALUE"""),"P0")</f>
        <v>P0</v>
      </c>
    </row>
    <row r="966" ht="22.5" customHeight="1">
      <c r="B966" s="19" t="str">
        <f>IFERROR(__xludf.DUMMYFUNCTION("""COMPUTED_VALUE"""),"K/29/051124/4")</f>
        <v>K/29/051124/4</v>
      </c>
      <c r="C966" s="19" t="str">
        <f>IFERROR(__xludf.DUMMYFUNCTION("""COMPUTED_VALUE"""),"M. 168/ Bumi Raya")</f>
        <v>M. 168/ Bumi Raya</v>
      </c>
      <c r="D966" s="17">
        <f>IFERROR(__xludf.DUMMYFUNCTION("""COMPUTED_VALUE"""),45601.47926310185)</f>
        <v>45601.47926</v>
      </c>
      <c r="E966" s="13" t="str">
        <f>IFERROR(__xludf.DUMMYFUNCTION("""COMPUTED_VALUE"""),"BN JUAL BELI")</f>
        <v>BN JUAL BELI</v>
      </c>
      <c r="F966" s="13" t="str">
        <f>IFERROR(__xludf.DUMMYFUNCTION("""COMPUTED_VALUE"""),"WHINDA y/ bUDI s")</f>
        <v>WHINDA y/ bUDI s</v>
      </c>
      <c r="G966" s="13">
        <f t="shared" si="1"/>
        <v>843</v>
      </c>
      <c r="H966" s="13" t="str">
        <f>IFERROR(__xludf.DUMMYFUNCTION("""COMPUTED_VALUE"""),"P0")</f>
        <v>P0</v>
      </c>
    </row>
    <row r="967" ht="22.5" customHeight="1">
      <c r="B967" s="19" t="str">
        <f>IFERROR(__xludf.DUMMYFUNCTION("""COMPUTED_VALUE"""),"K/30/051124/5")</f>
        <v>K/30/051124/5</v>
      </c>
      <c r="C967" s="19" t="str">
        <f>IFERROR(__xludf.DUMMYFUNCTION("""COMPUTED_VALUE"""),"M. 1055/ PemaTang Wangi")</f>
        <v>M. 1055/ PemaTang Wangi</v>
      </c>
      <c r="D967" s="17">
        <f>IFERROR(__xludf.DUMMYFUNCTION("""COMPUTED_VALUE"""),45601.480954108796)</f>
        <v>45601.48095</v>
      </c>
      <c r="E967" s="13" t="str">
        <f>IFERROR(__xludf.DUMMYFUNCTION("""COMPUTED_VALUE"""),"BN JUAL BELI")</f>
        <v>BN JUAL BELI</v>
      </c>
      <c r="F967" s="13" t="str">
        <f>IFERROR(__xludf.DUMMYFUNCTION("""COMPUTED_VALUE"""),"WHINDA YULIANTI")</f>
        <v>WHINDA YULIANTI</v>
      </c>
      <c r="G967" s="13">
        <f t="shared" si="1"/>
        <v>844</v>
      </c>
      <c r="H967" s="13" t="str">
        <f>IFERROR(__xludf.DUMMYFUNCTION("""COMPUTED_VALUE"""),"P0")</f>
        <v>P0</v>
      </c>
    </row>
    <row r="968" ht="22.5" customHeight="1">
      <c r="B968" s="19" t="str">
        <f>IFERROR(__xludf.DUMMYFUNCTION("""COMPUTED_VALUE"""),"L/31/051124/1")</f>
        <v>L/31/051124/1</v>
      </c>
      <c r="C968" s="19" t="str">
        <f>IFERROR(__xludf.DUMMYFUNCTION("""COMPUTED_VALUE"""),"M.286/LABUHAN RATU RAYA")</f>
        <v>M.286/LABUHAN RATU RAYA</v>
      </c>
      <c r="D968" s="17">
        <f>IFERROR(__xludf.DUMMYFUNCTION("""COMPUTED_VALUE"""),45601.48284261574)</f>
        <v>45601.48284</v>
      </c>
      <c r="E968" s="13" t="str">
        <f>IFERROR(__xludf.DUMMYFUNCTION("""COMPUTED_VALUE"""),"ROYA")</f>
        <v>ROYA</v>
      </c>
      <c r="F968" s="13" t="str">
        <f>IFERROR(__xludf.DUMMYFUNCTION("""COMPUTED_VALUE"""),"KADEK AGUS SUWITRA")</f>
        <v>KADEK AGUS SUWITRA</v>
      </c>
      <c r="G968" s="13">
        <f t="shared" si="1"/>
        <v>845</v>
      </c>
      <c r="H968" s="13" t="str">
        <f>IFERROR(__xludf.DUMMYFUNCTION("""COMPUTED_VALUE"""),"P0")</f>
        <v>P0</v>
      </c>
    </row>
    <row r="969" ht="22.5" customHeight="1">
      <c r="B969" s="19" t="str">
        <f>IFERROR(__xludf.DUMMYFUNCTION("""COMPUTED_VALUE"""),"K/29/281024/1")</f>
        <v>K/29/281024/1</v>
      </c>
      <c r="C969" s="19" t="str">
        <f>IFERROR(__xludf.DUMMYFUNCTION("""COMPUTED_VALUE"""),"B, 570/ Nusantara Permai")</f>
        <v>B, 570/ Nusantara Permai</v>
      </c>
      <c r="D969" s="17">
        <f>IFERROR(__xludf.DUMMYFUNCTION("""COMPUTED_VALUE"""),45601.485757476854)</f>
        <v>45601.48576</v>
      </c>
      <c r="E969" s="13" t="str">
        <f>IFERROR(__xludf.DUMMYFUNCTION("""COMPUTED_VALUE"""),"PERUBAHAN HAK")</f>
        <v>PERUBAHAN HAK</v>
      </c>
      <c r="F969" s="13" t="str">
        <f>IFERROR(__xludf.DUMMYFUNCTION("""COMPUTED_VALUE"""),"RAFICO/ VONITA")</f>
        <v>RAFICO/ VONITA</v>
      </c>
      <c r="G969" s="13">
        <f t="shared" si="1"/>
        <v>845</v>
      </c>
      <c r="H969" s="13" t="str">
        <f>IFERROR(__xludf.DUMMYFUNCTION("""COMPUTED_VALUE"""),"P1")</f>
        <v>P1</v>
      </c>
    </row>
    <row r="970" ht="22.5" customHeight="1">
      <c r="B970" s="19" t="str">
        <f>IFERROR(__xludf.DUMMYFUNCTION("""COMPUTED_VALUE"""),"K/32/051124/1")</f>
        <v>K/32/051124/1</v>
      </c>
      <c r="C970" s="19" t="str">
        <f>IFERROR(__xludf.DUMMYFUNCTION("""COMPUTED_VALUE"""),"M. 11712/ Sukarame")</f>
        <v>M. 11712/ Sukarame</v>
      </c>
      <c r="D970" s="17">
        <f>IFERROR(__xludf.DUMMYFUNCTION("""COMPUTED_VALUE"""),45601.48711825232)</f>
        <v>45601.48712</v>
      </c>
      <c r="E970" s="13" t="str">
        <f>IFERROR(__xludf.DUMMYFUNCTION("""COMPUTED_VALUE"""),"Gandes")</f>
        <v>Gandes</v>
      </c>
      <c r="F970" s="13" t="str">
        <f>IFERROR(__xludf.DUMMYFUNCTION("""COMPUTED_VALUE"""),"M. 11712/ Sukarame")</f>
        <v>M. 11712/ Sukarame</v>
      </c>
      <c r="G970" s="13">
        <f t="shared" si="1"/>
        <v>846</v>
      </c>
      <c r="H970" s="13" t="str">
        <f>IFERROR(__xludf.DUMMYFUNCTION("""COMPUTED_VALUE"""),"P0")</f>
        <v>P0</v>
      </c>
    </row>
    <row r="971" ht="22.5" customHeight="1">
      <c r="B971" s="19" t="str">
        <f>IFERROR(__xludf.DUMMYFUNCTION("""COMPUTED_VALUE"""),"L/33/051124/1")</f>
        <v>L/33/051124/1</v>
      </c>
      <c r="C971" s="19" t="str">
        <f>IFERROR(__xludf.DUMMYFUNCTION("""COMPUTED_VALUE"""),"M.154/SUSUNAN BARU")</f>
        <v>M.154/SUSUNAN BARU</v>
      </c>
      <c r="D971" s="17">
        <f>IFERROR(__xludf.DUMMYFUNCTION("""COMPUTED_VALUE"""),45601.49158011574)</f>
        <v>45601.49158</v>
      </c>
      <c r="E971" s="13" t="str">
        <f>IFERROR(__xludf.DUMMYFUNCTION("""COMPUTED_VALUE"""),"SERTIPIKAT PENGGANTI KARENA HILANG")</f>
        <v>SERTIPIKAT PENGGANTI KARENA HILANG</v>
      </c>
      <c r="F971" s="13" t="str">
        <f>IFERROR(__xludf.DUMMYFUNCTION("""COMPUTED_VALUE"""),"EMY MARSINEM")</f>
        <v>EMY MARSINEM</v>
      </c>
      <c r="G971" s="13">
        <f t="shared" si="1"/>
        <v>847</v>
      </c>
      <c r="H971" s="13" t="str">
        <f>IFERROR(__xludf.DUMMYFUNCTION("""COMPUTED_VALUE"""),"P0")</f>
        <v>P0</v>
      </c>
    </row>
    <row r="972" ht="22.5" customHeight="1">
      <c r="B972" s="19" t="str">
        <f>IFERROR(__xludf.DUMMYFUNCTION("""COMPUTED_VALUE"""),"K/34/051124/1")</f>
        <v>K/34/051124/1</v>
      </c>
      <c r="C972" s="19" t="str">
        <f>IFERROR(__xludf.DUMMYFUNCTION("""COMPUTED_VALUE"""),"B.818/SUMUR PUTRI")</f>
        <v>B.818/SUMUR PUTRI</v>
      </c>
      <c r="D972" s="17">
        <f>IFERROR(__xludf.DUMMYFUNCTION("""COMPUTED_VALUE"""),45601.4920931713)</f>
        <v>45601.49209</v>
      </c>
      <c r="E972" s="13" t="str">
        <f>IFERROR(__xludf.DUMMYFUNCTION("""COMPUTED_VALUE"""),"BN JUAL BELI")</f>
        <v>BN JUAL BELI</v>
      </c>
      <c r="F972" s="13" t="str">
        <f>IFERROR(__xludf.DUMMYFUNCTION("""COMPUTED_VALUE"""),"DESIANTI/PANARY SITOPU")</f>
        <v>DESIANTI/PANARY SITOPU</v>
      </c>
      <c r="G972" s="13">
        <f t="shared" si="1"/>
        <v>848</v>
      </c>
      <c r="H972" s="13" t="str">
        <f>IFERROR(__xludf.DUMMYFUNCTION("""COMPUTED_VALUE"""),"P0")</f>
        <v>P0</v>
      </c>
    </row>
    <row r="973" ht="22.5" customHeight="1">
      <c r="B973" s="19" t="str">
        <f>IFERROR(__xludf.DUMMYFUNCTION("""COMPUTED_VALUE"""),"K/35/051124/1")</f>
        <v>K/35/051124/1</v>
      </c>
      <c r="C973" s="19" t="str">
        <f>IFERROR(__xludf.DUMMYFUNCTION("""COMPUTED_VALUE"""),"M. 12144/ SUKARAME I")</f>
        <v>M. 12144/ SUKARAME I</v>
      </c>
      <c r="D973" s="17">
        <f>IFERROR(__xludf.DUMMYFUNCTION("""COMPUTED_VALUE"""),45601.551324988424)</f>
        <v>45601.55132</v>
      </c>
      <c r="E973" s="13" t="str">
        <f>IFERROR(__xludf.DUMMYFUNCTION("""COMPUTED_VALUE"""),"PLOTTING")</f>
        <v>PLOTTING</v>
      </c>
      <c r="F973" s="13" t="str">
        <f>IFERROR(__xludf.DUMMYFUNCTION("""COMPUTED_VALUE"""),"ABDI HARI KUNIAWAN/ MARHAN")</f>
        <v>ABDI HARI KUNIAWAN/ MARHAN</v>
      </c>
      <c r="G973" s="13">
        <f t="shared" si="1"/>
        <v>849</v>
      </c>
      <c r="H973" s="13" t="str">
        <f>IFERROR(__xludf.DUMMYFUNCTION("""COMPUTED_VALUE"""),"P0")</f>
        <v>P0</v>
      </c>
    </row>
    <row r="974" ht="22.5" customHeight="1">
      <c r="B974" s="19" t="str">
        <f>IFERROR(__xludf.DUMMYFUNCTION("""COMPUTED_VALUE"""),"K/38/051124/1")</f>
        <v>K/38/051124/1</v>
      </c>
      <c r="C974" s="19" t="str">
        <f>IFERROR(__xludf.DUMMYFUNCTION("""COMPUTED_VALUE"""),"M.573/PERUMNAS WAY KANDIS-SEKARANG;B.419/WAY KANDIS ")</f>
        <v>M.573/PERUMNAS WAY KANDIS-SEKARANG;B.419/WAY KANDIS </v>
      </c>
      <c r="D974" s="17">
        <f>IFERROR(__xludf.DUMMYFUNCTION("""COMPUTED_VALUE"""),45601.555483275464)</f>
        <v>45601.55548</v>
      </c>
      <c r="E974" s="13" t="str">
        <f>IFERROR(__xludf.DUMMYFUNCTION("""COMPUTED_VALUE"""),"BN JUAL BELI")</f>
        <v>BN JUAL BELI</v>
      </c>
      <c r="F974" s="13" t="str">
        <f>IFERROR(__xludf.DUMMYFUNCTION("""COMPUTED_VALUE"""),"ZUHRI MUTTAQIN/RENALDI PRATAMA SIRYA")</f>
        <v>ZUHRI MUTTAQIN/RENALDI PRATAMA SIRYA</v>
      </c>
      <c r="G974" s="13">
        <f t="shared" si="1"/>
        <v>850</v>
      </c>
      <c r="H974" s="13" t="str">
        <f>IFERROR(__xludf.DUMMYFUNCTION("""COMPUTED_VALUE"""),"P0")</f>
        <v>P0</v>
      </c>
    </row>
    <row r="975" ht="22.5" customHeight="1">
      <c r="B975" s="19" t="str">
        <f>IFERROR(__xludf.DUMMYFUNCTION("""COMPUTED_VALUE"""),"K/36/051124/2")</f>
        <v>K/36/051124/2</v>
      </c>
      <c r="C975" s="19" t="str">
        <f>IFERROR(__xludf.DUMMYFUNCTION("""COMPUTED_VALUE"""),"M. 2167/ Labuhan Dalam")</f>
        <v>M. 2167/ Labuhan Dalam</v>
      </c>
      <c r="D975" s="17">
        <f>IFERROR(__xludf.DUMMYFUNCTION("""COMPUTED_VALUE"""),45601.55622559028)</f>
        <v>45601.55623</v>
      </c>
      <c r="E975" s="13" t="str">
        <f>IFERROR(__xludf.DUMMYFUNCTION("""COMPUTED_VALUE"""),"HAPUS BPHTB")</f>
        <v>HAPUS BPHTB</v>
      </c>
      <c r="F975" s="13" t="str">
        <f>IFERROR(__xludf.DUMMYFUNCTION("""COMPUTED_VALUE"""),"abdi hari/ mareduansyah")</f>
        <v>abdi hari/ mareduansyah</v>
      </c>
      <c r="G975" s="13">
        <f t="shared" si="1"/>
        <v>851</v>
      </c>
      <c r="H975" s="13" t="str">
        <f>IFERROR(__xludf.DUMMYFUNCTION("""COMPUTED_VALUE"""),"P0")</f>
        <v>P0</v>
      </c>
    </row>
    <row r="976" ht="22.5" customHeight="1">
      <c r="B976" s="19" t="str">
        <f>IFERROR(__xludf.DUMMYFUNCTION("""COMPUTED_VALUE"""),"K/39/051124/1")</f>
        <v>K/39/051124/1</v>
      </c>
      <c r="C976" s="19" t="str">
        <f>IFERROR(__xludf.DUMMYFUNCTION("""COMPUTED_VALUE"""),"M. 876/ Korpri Jaya")</f>
        <v>M. 876/ Korpri Jaya</v>
      </c>
      <c r="D976" s="17">
        <f>IFERROR(__xludf.DUMMYFUNCTION("""COMPUTED_VALUE"""),45601.55762097222)</f>
        <v>45601.55762</v>
      </c>
      <c r="E976" s="13" t="str">
        <f>IFERROR(__xludf.DUMMYFUNCTION("""COMPUTED_VALUE"""),"BN Jual Beli")</f>
        <v>BN Jual Beli</v>
      </c>
      <c r="F976" s="13" t="str">
        <f>IFERROR(__xludf.DUMMYFUNCTION("""COMPUTED_VALUE"""),"Sony Hanata P/ Dhany K")</f>
        <v>Sony Hanata P/ Dhany K</v>
      </c>
      <c r="G976" s="13">
        <f t="shared" si="1"/>
        <v>852</v>
      </c>
      <c r="H976" s="13" t="str">
        <f>IFERROR(__xludf.DUMMYFUNCTION("""COMPUTED_VALUE"""),"P0")</f>
        <v>P0</v>
      </c>
    </row>
    <row r="977" ht="22.5" customHeight="1">
      <c r="B977" s="19" t="str">
        <f>IFERROR(__xludf.DUMMYFUNCTION("""COMPUTED_VALUE""")," K/37/051124/3")</f>
        <v> K/37/051124/3</v>
      </c>
      <c r="C977" s="19" t="str">
        <f>IFERROR(__xludf.DUMMYFUNCTION("""COMPUTED_VALUE"""),"M. 1790/ Bakung")</f>
        <v>M. 1790/ Bakung</v>
      </c>
      <c r="D977" s="17">
        <f>IFERROR(__xludf.DUMMYFUNCTION("""COMPUTED_VALUE"""),45601.558503692126)</f>
        <v>45601.5585</v>
      </c>
      <c r="E977" s="13" t="str">
        <f>IFERROR(__xludf.DUMMYFUNCTION("""COMPUTED_VALUE"""),"HAPUS BPHTB")</f>
        <v>HAPUS BPHTB</v>
      </c>
      <c r="F977" s="13" t="str">
        <f>IFERROR(__xludf.DUMMYFUNCTION("""COMPUTED_VALUE"""),"ABDI HARI/ ASNI")</f>
        <v>ABDI HARI/ ASNI</v>
      </c>
      <c r="G977" s="13">
        <f t="shared" si="1"/>
        <v>853</v>
      </c>
      <c r="H977" s="13" t="str">
        <f>IFERROR(__xludf.DUMMYFUNCTION("""COMPUTED_VALUE"""),"P0")</f>
        <v>P0</v>
      </c>
    </row>
    <row r="978" ht="22.5" customHeight="1">
      <c r="B978" s="19" t="str">
        <f>IFERROR(__xludf.DUMMYFUNCTION("""COMPUTED_VALUE"""),"K/41/051124/1")</f>
        <v>K/41/051124/1</v>
      </c>
      <c r="C978" s="19" t="str">
        <f>IFERROR(__xludf.DUMMYFUNCTION("""COMPUTED_VALUE"""),"M.2303/CAMPANG JAYA-SEKARANG;M.1537/CAMPANG RAYA-DAHULU")</f>
        <v>M.2303/CAMPANG JAYA-SEKARANG;M.1537/CAMPANG RAYA-DAHULU</v>
      </c>
      <c r="D978" s="17">
        <f>IFERROR(__xludf.DUMMYFUNCTION("""COMPUTED_VALUE"""),45601.561373171295)</f>
        <v>45601.56137</v>
      </c>
      <c r="E978" s="13" t="str">
        <f>IFERROR(__xludf.DUMMYFUNCTION("""COMPUTED_VALUE"""),"BN JUAL BELI")</f>
        <v>BN JUAL BELI</v>
      </c>
      <c r="F978" s="13" t="str">
        <f>IFERROR(__xludf.DUMMYFUNCTION("""COMPUTED_VALUE"""),"JURIAH/HALIYUN")</f>
        <v>JURIAH/HALIYUN</v>
      </c>
      <c r="G978" s="13">
        <f t="shared" si="1"/>
        <v>854</v>
      </c>
      <c r="H978" s="13" t="str">
        <f>IFERROR(__xludf.DUMMYFUNCTION("""COMPUTED_VALUE"""),"P0")</f>
        <v>P0</v>
      </c>
    </row>
    <row r="979" ht="22.5" customHeight="1">
      <c r="B979" s="19" t="str">
        <f>IFERROR(__xludf.DUMMYFUNCTION("""COMPUTED_VALUE"""),"K/40/051124/4")</f>
        <v>K/40/051124/4</v>
      </c>
      <c r="C979" s="19" t="str">
        <f>IFERROR(__xludf.DUMMYFUNCTION("""COMPUTED_VALUE"""),"M. 1372/ RAJABASA RAYA")</f>
        <v>M. 1372/ RAJABASA RAYA</v>
      </c>
      <c r="D979" s="17">
        <f>IFERROR(__xludf.DUMMYFUNCTION("""COMPUTED_VALUE"""),45601.56811445602)</f>
        <v>45601.56811</v>
      </c>
      <c r="E979" s="13" t="str">
        <f>IFERROR(__xludf.DUMMYFUNCTION("""COMPUTED_VALUE"""),"HAPUS BPHTB")</f>
        <v>HAPUS BPHTB</v>
      </c>
      <c r="F979" s="13" t="str">
        <f>IFERROR(__xludf.DUMMYFUNCTION("""COMPUTED_VALUE"""),"ABDI HARI/ ALEXANDER")</f>
        <v>ABDI HARI/ ALEXANDER</v>
      </c>
      <c r="G979" s="13">
        <f t="shared" si="1"/>
        <v>855</v>
      </c>
      <c r="H979" s="13" t="str">
        <f>IFERROR(__xludf.DUMMYFUNCTION("""COMPUTED_VALUE"""),"P0")</f>
        <v>P0</v>
      </c>
    </row>
    <row r="980" ht="22.5" customHeight="1">
      <c r="B980" s="19" t="str">
        <f>IFERROR(__xludf.DUMMYFUNCTION("""COMPUTED_VALUE"""),"K/42/051124/1")</f>
        <v>K/42/051124/1</v>
      </c>
      <c r="C980" s="19" t="str">
        <f>IFERROR(__xludf.DUMMYFUNCTION("""COMPUTED_VALUE"""),"M. 1979/ Way Halim Permai")</f>
        <v>M. 1979/ Way Halim Permai</v>
      </c>
      <c r="D980" s="17">
        <f>IFERROR(__xludf.DUMMYFUNCTION("""COMPUTED_VALUE"""),45601.5701824537)</f>
        <v>45601.57018</v>
      </c>
      <c r="E980" s="13" t="str">
        <f>IFERROR(__xludf.DUMMYFUNCTION("""COMPUTED_VALUE"""),"BN JUAL BELI")</f>
        <v>BN JUAL BELI</v>
      </c>
      <c r="F980" s="13" t="str">
        <f>IFERROR(__xludf.DUMMYFUNCTION("""COMPUTED_VALUE"""),"RAHMADIYANTI/ HENDRY RIDUAN")</f>
        <v>RAHMADIYANTI/ HENDRY RIDUAN</v>
      </c>
      <c r="G980" s="13">
        <f t="shared" si="1"/>
        <v>856</v>
      </c>
      <c r="H980" s="13" t="str">
        <f>IFERROR(__xludf.DUMMYFUNCTION("""COMPUTED_VALUE"""),"P0")</f>
        <v>P0</v>
      </c>
    </row>
    <row r="981" ht="22.5" customHeight="1">
      <c r="B981" s="19" t="str">
        <f>IFERROR(__xludf.DUMMYFUNCTION("""COMPUTED_VALUE"""),"K/43/051124/2")</f>
        <v>K/43/051124/2</v>
      </c>
      <c r="C981" s="19" t="str">
        <f>IFERROR(__xludf.DUMMYFUNCTION("""COMPUTED_VALUE"""),"M. 2660/ Sukarame Baru")</f>
        <v>M. 2660/ Sukarame Baru</v>
      </c>
      <c r="D981" s="17">
        <f>IFERROR(__xludf.DUMMYFUNCTION("""COMPUTED_VALUE"""),45601.57170053241)</f>
        <v>45601.5717</v>
      </c>
      <c r="E981" s="13" t="str">
        <f>IFERROR(__xludf.DUMMYFUNCTION("""COMPUTED_VALUE"""),"BN Jual Beli")</f>
        <v>BN Jual Beli</v>
      </c>
      <c r="F981" s="13" t="str">
        <f>IFERROR(__xludf.DUMMYFUNCTION("""COMPUTED_VALUE"""),"RAHMADIYANTI")</f>
        <v>RAHMADIYANTI</v>
      </c>
      <c r="G981" s="13">
        <f t="shared" si="1"/>
        <v>857</v>
      </c>
      <c r="H981" s="13" t="str">
        <f>IFERROR(__xludf.DUMMYFUNCTION("""COMPUTED_VALUE"""),"P0")</f>
        <v>P0</v>
      </c>
    </row>
    <row r="982" ht="22.5" customHeight="1">
      <c r="B982" s="19" t="str">
        <f>IFERROR(__xludf.DUMMYFUNCTION("""COMPUTED_VALUE"""),"K/11/251024/1")</f>
        <v>K/11/251024/1</v>
      </c>
      <c r="C982" s="19" t="str">
        <f>IFERROR(__xludf.DUMMYFUNCTION("""COMPUTED_VALUE"""),"M. 13693/ Korpri Raya; M. 13693/ Sukarame-dahulu")</f>
        <v>M. 13693/ Korpri Raya; M. 13693/ Sukarame-dahulu</v>
      </c>
      <c r="D982" s="17">
        <f>IFERROR(__xludf.DUMMYFUNCTION("""COMPUTED_VALUE"""),45601.57336628472)</f>
        <v>45601.57337</v>
      </c>
      <c r="E982" s="13" t="str">
        <f>IFERROR(__xludf.DUMMYFUNCTION("""COMPUTED_VALUE"""),"BN Hibah")</f>
        <v>BN Hibah</v>
      </c>
      <c r="F982" s="13" t="str">
        <f>IFERROR(__xludf.DUMMYFUNCTION("""COMPUTED_VALUE"""),"Fahmi Sasmita/ Erilisa	")</f>
        <v>Fahmi Sasmita/ Erilisa	</v>
      </c>
      <c r="G982" s="13">
        <f t="shared" si="1"/>
        <v>857</v>
      </c>
      <c r="H982" s="13" t="str">
        <f>IFERROR(__xludf.DUMMYFUNCTION("""COMPUTED_VALUE"""),"P1")</f>
        <v>P1</v>
      </c>
    </row>
    <row r="983" ht="22.5" customHeight="1">
      <c r="B983" s="19" t="str">
        <f>IFERROR(__xludf.DUMMYFUNCTION("""COMPUTED_VALUE"""),"K/44/051124/1")</f>
        <v>K/44/051124/1</v>
      </c>
      <c r="C983" s="19" t="str">
        <f>IFERROR(__xludf.DUMMYFUNCTION("""COMPUTED_VALUE"""),"M.3994/WAY KANDIS")</f>
        <v>M.3994/WAY KANDIS</v>
      </c>
      <c r="D983" s="17">
        <f>IFERROR(__xludf.DUMMYFUNCTION("""COMPUTED_VALUE"""),45601.5779499537)</f>
        <v>45601.57795</v>
      </c>
      <c r="E983" s="13" t="str">
        <f>IFERROR(__xludf.DUMMYFUNCTION("""COMPUTED_VALUE"""),"KEWARISAN")</f>
        <v>KEWARISAN</v>
      </c>
      <c r="F983" s="13" t="str">
        <f>IFERROR(__xludf.DUMMYFUNCTION("""COMPUTED_VALUE"""),"MAIMUNAH CS/NOVALIA EKA PUTRI")</f>
        <v>MAIMUNAH CS/NOVALIA EKA PUTRI</v>
      </c>
      <c r="G983" s="13">
        <f t="shared" si="1"/>
        <v>858</v>
      </c>
      <c r="H983" s="13" t="str">
        <f>IFERROR(__xludf.DUMMYFUNCTION("""COMPUTED_VALUE"""),"P0")</f>
        <v>P0</v>
      </c>
    </row>
    <row r="984" ht="22.5" customHeight="1">
      <c r="B984" s="19" t="str">
        <f>IFERROR(__xludf.DUMMYFUNCTION("""COMPUTED_VALUE"""),"L/45/051124/1")</f>
        <v>L/45/051124/1</v>
      </c>
      <c r="C984" s="19" t="str">
        <f>IFERROR(__xludf.DUMMYFUNCTION("""COMPUTED_VALUE"""),"SURABAYA")</f>
        <v>SURABAYA</v>
      </c>
      <c r="D984" s="17">
        <f>IFERROR(__xludf.DUMMYFUNCTION("""COMPUTED_VALUE"""),45601.5794753588)</f>
        <v>45601.57948</v>
      </c>
      <c r="E984" s="13" t="str">
        <f>IFERROR(__xludf.DUMMYFUNCTION("""COMPUTED_VALUE"""),"ASPEK")</f>
        <v>ASPEK</v>
      </c>
      <c r="F984" s="13" t="str">
        <f>IFERROR(__xludf.DUMMYFUNCTION("""COMPUTED_VALUE"""),"ZAINAL ABIDIN")</f>
        <v>ZAINAL ABIDIN</v>
      </c>
      <c r="G984" s="13">
        <f t="shared" si="1"/>
        <v>859</v>
      </c>
      <c r="H984" s="13" t="str">
        <f>IFERROR(__xludf.DUMMYFUNCTION("""COMPUTED_VALUE"""),"P0")</f>
        <v>P0</v>
      </c>
    </row>
    <row r="985" ht="22.5" customHeight="1">
      <c r="B985" s="19" t="str">
        <f>IFERROR(__xludf.DUMMYFUNCTION("""COMPUTED_VALUE"""),"K/47/051124/1")</f>
        <v>K/47/051124/1</v>
      </c>
      <c r="C985" s="19" t="str">
        <f>IFERROR(__xludf.DUMMYFUNCTION("""COMPUTED_VALUE"""),"M. 1825/ Panjang Utara")</f>
        <v>M. 1825/ Panjang Utara</v>
      </c>
      <c r="D985" s="17">
        <f>IFERROR(__xludf.DUMMYFUNCTION("""COMPUTED_VALUE"""),45601.58597373843)</f>
        <v>45601.58597</v>
      </c>
      <c r="E985" s="13" t="str">
        <f>IFERROR(__xludf.DUMMYFUNCTION("""COMPUTED_VALUE"""),"BN WARIS")</f>
        <v>BN WARIS</v>
      </c>
      <c r="F985" s="13" t="str">
        <f>IFERROR(__xludf.DUMMYFUNCTION("""COMPUTED_VALUE"""),"FAHMI SASMITA/RISYADI CS")</f>
        <v>FAHMI SASMITA/RISYADI CS</v>
      </c>
      <c r="G985" s="13">
        <f t="shared" si="1"/>
        <v>860</v>
      </c>
      <c r="H985" s="13" t="str">
        <f>IFERROR(__xludf.DUMMYFUNCTION("""COMPUTED_VALUE"""),"P0")</f>
        <v>P0</v>
      </c>
    </row>
    <row r="986" ht="22.5" customHeight="1">
      <c r="B986" s="19" t="str">
        <f>IFERROR(__xludf.DUMMYFUNCTION("""COMPUTED_VALUE"""),"K/46/051124/4")</f>
        <v>K/46/051124/4</v>
      </c>
      <c r="C986" s="19" t="str">
        <f>IFERROR(__xludf.DUMMYFUNCTION("""COMPUTED_VALUE"""),"M.12226/SUKABUMI-SEKARANG;B.2222/SUKABUMI-DAHULU")</f>
        <v>M.12226/SUKABUMI-SEKARANG;B.2222/SUKABUMI-DAHULU</v>
      </c>
      <c r="D986" s="17">
        <f>IFERROR(__xludf.DUMMYFUNCTION("""COMPUTED_VALUE"""),45601.58714577546)</f>
        <v>45601.58715</v>
      </c>
      <c r="E986" s="13" t="str">
        <f>IFERROR(__xludf.DUMMYFUNCTION("""COMPUTED_VALUE"""),"GANTI NAMA KREDITUR")</f>
        <v>GANTI NAMA KREDITUR</v>
      </c>
      <c r="F986" s="13" t="str">
        <f>IFERROR(__xludf.DUMMYFUNCTION("""COMPUTED_VALUE"""),"BUDI KRISTIYANTO/HENDRI IR. MM")</f>
        <v>BUDI KRISTIYANTO/HENDRI IR. MM</v>
      </c>
      <c r="G986" s="13">
        <f t="shared" si="1"/>
        <v>861</v>
      </c>
      <c r="H986" s="13" t="str">
        <f>IFERROR(__xludf.DUMMYFUNCTION("""COMPUTED_VALUE"""),"P0")</f>
        <v>P0</v>
      </c>
    </row>
    <row r="987" ht="22.5" customHeight="1">
      <c r="B987" s="19" t="str">
        <f>IFERROR(__xludf.DUMMYFUNCTION("""COMPUTED_VALUE"""),"K/8/181024/1")</f>
        <v>K/8/181024/1</v>
      </c>
      <c r="C987" s="19" t="str">
        <f>IFERROR(__xludf.DUMMYFUNCTION("""COMPUTED_VALUE"""),"M. 227/ Sukarame Baru- sekarang; M. 13036/ Sukarame I- dahulu")</f>
        <v>M. 227/ Sukarame Baru- sekarang; M. 13036/ Sukarame I- dahulu</v>
      </c>
      <c r="D987" s="17">
        <f>IFERROR(__xludf.DUMMYFUNCTION("""COMPUTED_VALUE"""),45601.589027905095)</f>
        <v>45601.58903</v>
      </c>
      <c r="E987" s="13" t="str">
        <f>IFERROR(__xludf.DUMMYFUNCTION("""COMPUTED_VALUE"""),"BN JUAL BELI")</f>
        <v>BN JUAL BELI</v>
      </c>
      <c r="F987" s="13" t="str">
        <f>IFERROR(__xludf.DUMMYFUNCTION("""COMPUTED_VALUE"""),"RAHMADIYANTI/RAIHAN AZHAR")</f>
        <v>RAHMADIYANTI/RAIHAN AZHAR</v>
      </c>
      <c r="G987" s="13">
        <f t="shared" si="1"/>
        <v>861</v>
      </c>
      <c r="H987" s="13" t="str">
        <f>IFERROR(__xludf.DUMMYFUNCTION("""COMPUTED_VALUE"""),"P1")</f>
        <v>P1</v>
      </c>
    </row>
    <row r="988" ht="22.5" customHeight="1">
      <c r="B988" s="19" t="str">
        <f>IFERROR(__xludf.DUMMYFUNCTION("""COMPUTED_VALUE"""),"L/49/051124/1")</f>
        <v>L/49/051124/1</v>
      </c>
      <c r="C988" s="19" t="str">
        <f>IFERROR(__xludf.DUMMYFUNCTION("""COMPUTED_VALUE"""),"M.1669/KALIAWI")</f>
        <v>M.1669/KALIAWI</v>
      </c>
      <c r="D988" s="17">
        <f>IFERROR(__xludf.DUMMYFUNCTION("""COMPUTED_VALUE"""),45601.59003402777)</f>
        <v>45601.59003</v>
      </c>
      <c r="E988" s="13" t="str">
        <f>IFERROR(__xludf.DUMMYFUNCTION("""COMPUTED_VALUE"""),"ROYA")</f>
        <v>ROYA</v>
      </c>
      <c r="F988" s="13" t="str">
        <f>IFERROR(__xludf.DUMMYFUNCTION("""COMPUTED_VALUE"""),"ZAINAL")</f>
        <v>ZAINAL</v>
      </c>
      <c r="G988" s="13">
        <f t="shared" si="1"/>
        <v>862</v>
      </c>
      <c r="H988" s="13" t="str">
        <f>IFERROR(__xludf.DUMMYFUNCTION("""COMPUTED_VALUE"""),"P0")</f>
        <v>P0</v>
      </c>
    </row>
    <row r="989" ht="22.5" customHeight="1">
      <c r="B989" s="19" t="str">
        <f>IFERROR(__xludf.DUMMYFUNCTION("""COMPUTED_VALUE"""),"K/50/051124/1")</f>
        <v>K/50/051124/1</v>
      </c>
      <c r="C989" s="19" t="str">
        <f>IFERROR(__xludf.DUMMYFUNCTION("""COMPUTED_VALUE"""),"M.1898/BUMI WARAS")</f>
        <v>M.1898/BUMI WARAS</v>
      </c>
      <c r="D989" s="17">
        <f>IFERROR(__xludf.DUMMYFUNCTION("""COMPUTED_VALUE"""),45601.59095273148)</f>
        <v>45601.59095</v>
      </c>
      <c r="E989" s="13" t="str">
        <f>IFERROR(__xludf.DUMMYFUNCTION("""COMPUTED_VALUE"""),"GANDES")</f>
        <v>GANDES</v>
      </c>
      <c r="F989" s="13" t="str">
        <f>IFERROR(__xludf.DUMMYFUNCTION("""COMPUTED_VALUE"""),"EMI KASMINI/AMARULLAH")</f>
        <v>EMI KASMINI/AMARULLAH</v>
      </c>
      <c r="G989" s="13">
        <f t="shared" si="1"/>
        <v>863</v>
      </c>
      <c r="H989" s="13" t="str">
        <f>IFERROR(__xludf.DUMMYFUNCTION("""COMPUTED_VALUE"""),"P0")</f>
        <v>P0</v>
      </c>
    </row>
    <row r="990" ht="22.5" customHeight="1">
      <c r="B990" s="19" t="str">
        <f>IFERROR(__xludf.DUMMYFUNCTION("""COMPUTED_VALUE"""),"K/48/051124/1")</f>
        <v>K/48/051124/1</v>
      </c>
      <c r="C990" s="19" t="str">
        <f>IFERROR(__xludf.DUMMYFUNCTION("""COMPUTED_VALUE"""),"M. 2268/ Pinang Jaya")</f>
        <v>M. 2268/ Pinang Jaya</v>
      </c>
      <c r="D990" s="17">
        <f>IFERROR(__xludf.DUMMYFUNCTION("""COMPUTED_VALUE"""),45601.592384918986)</f>
        <v>45601.59238</v>
      </c>
      <c r="E990" s="13" t="str">
        <f>IFERROR(__xludf.DUMMYFUNCTION("""COMPUTED_VALUE"""),"BN Jual Beli")</f>
        <v>BN Jual Beli</v>
      </c>
      <c r="F990" s="13" t="str">
        <f>IFERROR(__xludf.DUMMYFUNCTION("""COMPUTED_VALUE"""),"M. Arief S/ Febriyant")</f>
        <v>M. Arief S/ Febriyant</v>
      </c>
      <c r="G990" s="13">
        <f t="shared" si="1"/>
        <v>864</v>
      </c>
      <c r="H990" s="13" t="str">
        <f>IFERROR(__xludf.DUMMYFUNCTION("""COMPUTED_VALUE"""),"P0")</f>
        <v>P0</v>
      </c>
    </row>
    <row r="991" ht="22.5" customHeight="1">
      <c r="B991" s="19" t="str">
        <f>IFERROR(__xludf.DUMMYFUNCTION("""COMPUTED_VALUE"""),"K/52/051124/2")</f>
        <v>K/52/051124/2</v>
      </c>
      <c r="C991" s="19" t="str">
        <f>IFERROR(__xludf.DUMMYFUNCTION("""COMPUTED_VALUE"""),"M.2421/WAY KANDIS")</f>
        <v>M.2421/WAY KANDIS</v>
      </c>
      <c r="D991" s="17">
        <f>IFERROR(__xludf.DUMMYFUNCTION("""COMPUTED_VALUE"""),45601.59258305556)</f>
        <v>45601.59258</v>
      </c>
      <c r="E991" s="13" t="str">
        <f>IFERROR(__xludf.DUMMYFUNCTION("""COMPUTED_VALUE"""),"PLOTTING")</f>
        <v>PLOTTING</v>
      </c>
      <c r="F991" s="13" t="str">
        <f>IFERROR(__xludf.DUMMYFUNCTION("""COMPUTED_VALUE"""),"BUDI KRISTIYANTO/SOFYAN ISMAIL")</f>
        <v>BUDI KRISTIYANTO/SOFYAN ISMAIL</v>
      </c>
      <c r="G991" s="13">
        <f t="shared" si="1"/>
        <v>865</v>
      </c>
      <c r="H991" s="13" t="str">
        <f>IFERROR(__xludf.DUMMYFUNCTION("""COMPUTED_VALUE"""),"P0")</f>
        <v>P0</v>
      </c>
    </row>
    <row r="992" ht="22.5" customHeight="1">
      <c r="B992" s="19" t="str">
        <f>IFERROR(__xludf.DUMMYFUNCTION("""COMPUTED_VALUE"""),"K/53/051124/1")</f>
        <v>K/53/051124/1</v>
      </c>
      <c r="C992" s="19" t="str">
        <f>IFERROR(__xludf.DUMMYFUNCTION("""COMPUTED_VALUE"""),"M.344/BAKUNG")</f>
        <v>M.344/BAKUNG</v>
      </c>
      <c r="D992" s="17">
        <f>IFERROR(__xludf.DUMMYFUNCTION("""COMPUTED_VALUE"""),45601.593811053244)</f>
        <v>45601.59381</v>
      </c>
      <c r="E992" s="13" t="str">
        <f>IFERROR(__xludf.DUMMYFUNCTION("""COMPUTED_VALUE"""),"PTPGT")</f>
        <v>PTPGT</v>
      </c>
      <c r="F992" s="13" t="str">
        <f>IFERROR(__xludf.DUMMYFUNCTION("""COMPUTED_VALUE"""),"ARPAN/WAHYUNI")</f>
        <v>ARPAN/WAHYUNI</v>
      </c>
      <c r="G992" s="13">
        <f t="shared" si="1"/>
        <v>866</v>
      </c>
      <c r="H992" s="13" t="str">
        <f>IFERROR(__xludf.DUMMYFUNCTION("""COMPUTED_VALUE"""),"P0")</f>
        <v>P0</v>
      </c>
    </row>
    <row r="993" ht="22.5" customHeight="1">
      <c r="B993" s="19" t="str">
        <f>IFERROR(__xludf.DUMMYFUNCTION("""COMPUTED_VALUE"""),"K/51/051124/1")</f>
        <v>K/51/051124/1</v>
      </c>
      <c r="C993" s="19" t="str">
        <f>IFERROR(__xludf.DUMMYFUNCTION("""COMPUTED_VALUE"""),"M. 2122/ Way Kandis")</f>
        <v>M. 2122/ Way Kandis</v>
      </c>
      <c r="D993" s="17">
        <f>IFERROR(__xludf.DUMMYFUNCTION("""COMPUTED_VALUE"""),45601.594444884264)</f>
        <v>45601.59444</v>
      </c>
      <c r="E993" s="13" t="str">
        <f>IFERROR(__xludf.DUMMYFUNCTION("""COMPUTED_VALUE"""),"Ganti Nama")</f>
        <v>Ganti Nama</v>
      </c>
      <c r="F993" s="13" t="str">
        <f>IFERROR(__xludf.DUMMYFUNCTION("""COMPUTED_VALUE"""),"J Aman S/ Juliaty")</f>
        <v>J Aman S/ Juliaty</v>
      </c>
      <c r="G993" s="13">
        <f t="shared" si="1"/>
        <v>867</v>
      </c>
      <c r="H993" s="13" t="str">
        <f>IFERROR(__xludf.DUMMYFUNCTION("""COMPUTED_VALUE"""),"P0")</f>
        <v>P0</v>
      </c>
    </row>
    <row r="994" ht="22.5" customHeight="1">
      <c r="B994" s="19" t="str">
        <f>IFERROR(__xludf.DUMMYFUNCTION("""COMPUTED_VALUE"""),"K/61/221024/1")</f>
        <v>K/61/221024/1</v>
      </c>
      <c r="C994" s="19" t="str">
        <f>IFERROR(__xludf.DUMMYFUNCTION("""COMPUTED_VALUE"""),"Nibel. M. 1018/ Tanjung Baru	")</f>
        <v>Nibel. M. 1018/ Tanjung Baru	</v>
      </c>
      <c r="D994" s="17">
        <f>IFERROR(__xludf.DUMMYFUNCTION("""COMPUTED_VALUE"""),45601.60532248842)</f>
        <v>45601.60532</v>
      </c>
      <c r="E994" s="13" t="str">
        <f>IFERROR(__xludf.DUMMYFUNCTION("""COMPUTED_VALUE"""),"BN Jual Beli")</f>
        <v>BN Jual Beli</v>
      </c>
      <c r="F994" s="13" t="str">
        <f>IFERROR(__xludf.DUMMYFUNCTION("""COMPUTED_VALUE"""),"Andrianto/ Tjen Ona K	")</f>
        <v>Andrianto/ Tjen Ona K	</v>
      </c>
      <c r="G994" s="13">
        <f t="shared" si="1"/>
        <v>867</v>
      </c>
      <c r="H994" s="13" t="str">
        <f>IFERROR(__xludf.DUMMYFUNCTION("""COMPUTED_VALUE"""),"P1")</f>
        <v>P1</v>
      </c>
    </row>
    <row r="995" ht="22.5" customHeight="1">
      <c r="B995" s="19" t="str">
        <f>IFERROR(__xludf.DUMMYFUNCTION("""COMPUTED_VALUE"""),"K/54/051124/1")</f>
        <v>K/54/051124/1</v>
      </c>
      <c r="C995" s="19" t="str">
        <f>IFERROR(__xludf.DUMMYFUNCTION("""COMPUTED_VALUE"""),"M. 591/ Rajabasa Jaya")</f>
        <v>M. 591/ Rajabasa Jaya</v>
      </c>
      <c r="D995" s="17">
        <f>IFERROR(__xludf.DUMMYFUNCTION("""COMPUTED_VALUE"""),45601.611457604165)</f>
        <v>45601.61146</v>
      </c>
      <c r="E995" s="13" t="str">
        <f>IFERROR(__xludf.DUMMYFUNCTION("""COMPUTED_VALUE"""),"BN Jual Beli")</f>
        <v>BN Jual Beli</v>
      </c>
      <c r="F995" s="13" t="str">
        <f>IFERROR(__xludf.DUMMYFUNCTION("""COMPUTED_VALUE"""),"Andrianto/ Ferdiawan S")</f>
        <v>Andrianto/ Ferdiawan S</v>
      </c>
      <c r="G995" s="13">
        <f t="shared" si="1"/>
        <v>868</v>
      </c>
      <c r="H995" s="13" t="str">
        <f>IFERROR(__xludf.DUMMYFUNCTION("""COMPUTED_VALUE"""),"P0")</f>
        <v>P0</v>
      </c>
    </row>
    <row r="996" ht="22.5" customHeight="1">
      <c r="B996" s="19" t="str">
        <f>IFERROR(__xludf.DUMMYFUNCTION("""COMPUTED_VALUE"""),"K/55/051124/1")</f>
        <v>K/55/051124/1</v>
      </c>
      <c r="C996" s="19" t="str">
        <f>IFERROR(__xludf.DUMMYFUNCTION("""COMPUTED_VALUE"""),"M. 3237/ Labuhan Dalam")</f>
        <v>M. 3237/ Labuhan Dalam</v>
      </c>
      <c r="D996" s="17">
        <f>IFERROR(__xludf.DUMMYFUNCTION("""COMPUTED_VALUE"""),45601.61252228009)</f>
        <v>45601.61252</v>
      </c>
      <c r="E996" s="13" t="str">
        <f>IFERROR(__xludf.DUMMYFUNCTION("""COMPUTED_VALUE"""),"BN JUAL BELI")</f>
        <v>BN JUAL BELI</v>
      </c>
      <c r="F996" s="13" t="str">
        <f>IFERROR(__xludf.DUMMYFUNCTION("""COMPUTED_VALUE"""),"ILANUR/ NYOMAN ARTE")</f>
        <v>ILANUR/ NYOMAN ARTE</v>
      </c>
      <c r="G996" s="13">
        <f t="shared" si="1"/>
        <v>869</v>
      </c>
      <c r="H996" s="13" t="str">
        <f>IFERROR(__xludf.DUMMYFUNCTION("""COMPUTED_VALUE"""),"P0")</f>
        <v>P0</v>
      </c>
    </row>
    <row r="997" ht="22.5" customHeight="1">
      <c r="B997" s="19" t="str">
        <f>IFERROR(__xludf.DUMMYFUNCTION("""COMPUTED_VALUE"""),"K/41/241024/1")</f>
        <v>K/41/241024/1</v>
      </c>
      <c r="C997" s="19" t="str">
        <f>IFERROR(__xludf.DUMMYFUNCTION("""COMPUTED_VALUE"""),"HMASRS/64/I/MASRS/Tanjung karang")</f>
        <v>HMASRS/64/I/MASRS/Tanjung karang</v>
      </c>
      <c r="D997" s="17">
        <f>IFERROR(__xludf.DUMMYFUNCTION("""COMPUTED_VALUE"""),45601.6144530787)</f>
        <v>45601.61445</v>
      </c>
      <c r="E997" s="13" t="str">
        <f>IFERROR(__xludf.DUMMYFUNCTION("""COMPUTED_VALUE"""),"BN Waris")</f>
        <v>BN Waris</v>
      </c>
      <c r="F997" s="13" t="str">
        <f>IFERROR(__xludf.DUMMYFUNCTION("""COMPUTED_VALUE"""),"Budi K/ boby Ronaldo")</f>
        <v>Budi K/ boby Ronaldo</v>
      </c>
      <c r="G997" s="13">
        <f t="shared" si="1"/>
        <v>869</v>
      </c>
      <c r="H997" s="13" t="str">
        <f>IFERROR(__xludf.DUMMYFUNCTION("""COMPUTED_VALUE"""),"P1")</f>
        <v>P1</v>
      </c>
    </row>
    <row r="998" ht="22.5" customHeight="1">
      <c r="B998" s="19" t="str">
        <f>IFERROR(__xludf.DUMMYFUNCTION("""COMPUTED_VALUE"""),"K/56/051124/1")</f>
        <v>K/56/051124/1</v>
      </c>
      <c r="C998" s="19" t="str">
        <f>IFERROR(__xludf.DUMMYFUNCTION("""COMPUTED_VALUE"""),"Nibel. M. 1926/ Keteguhan")</f>
        <v>Nibel. M. 1926/ Keteguhan</v>
      </c>
      <c r="D998" s="17">
        <f>IFERROR(__xludf.DUMMYFUNCTION("""COMPUTED_VALUE"""),45601.62224685185)</f>
        <v>45601.62225</v>
      </c>
      <c r="E998" s="13" t="str">
        <f>IFERROR(__xludf.DUMMYFUNCTION("""COMPUTED_VALUE"""),"BN Jual Beli")</f>
        <v>BN Jual Beli</v>
      </c>
      <c r="F998" s="13" t="str">
        <f>IFERROR(__xludf.DUMMYFUNCTION("""COMPUTED_VALUE"""),"Elvan Sius S/ Marianus S")</f>
        <v>Elvan Sius S/ Marianus S</v>
      </c>
      <c r="G998" s="13">
        <f t="shared" si="1"/>
        <v>870</v>
      </c>
      <c r="H998" s="13" t="str">
        <f>IFERROR(__xludf.DUMMYFUNCTION("""COMPUTED_VALUE"""),"P0")</f>
        <v>P0</v>
      </c>
    </row>
    <row r="999" ht="22.5" customHeight="1">
      <c r="B999" s="19" t="str">
        <f>IFERROR(__xludf.DUMMYFUNCTION("""COMPUTED_VALUE"""),"K/58/051124/1")</f>
        <v>K/58/051124/1</v>
      </c>
      <c r="C999" s="19" t="str">
        <f>IFERROR(__xludf.DUMMYFUNCTION("""COMPUTED_VALUE"""),"M.13163/KEDAMAIAN")</f>
        <v>M.13163/KEDAMAIAN</v>
      </c>
      <c r="D999" s="17">
        <f>IFERROR(__xludf.DUMMYFUNCTION("""COMPUTED_VALUE"""),45601.623616909725)</f>
        <v>45601.62362</v>
      </c>
      <c r="E999" s="13" t="str">
        <f>IFERROR(__xludf.DUMMYFUNCTION("""COMPUTED_VALUE"""),"GANTI KECAMATAN")</f>
        <v>GANTI KECAMATAN</v>
      </c>
      <c r="F999" s="13" t="str">
        <f>IFERROR(__xludf.DUMMYFUNCTION("""COMPUTED_VALUE"""),"EKO TAMINA/HERIYANTOMO T")</f>
        <v>EKO TAMINA/HERIYANTOMO T</v>
      </c>
      <c r="G999" s="13">
        <f t="shared" si="1"/>
        <v>871</v>
      </c>
      <c r="H999" s="13" t="str">
        <f>IFERROR(__xludf.DUMMYFUNCTION("""COMPUTED_VALUE"""),"P0")</f>
        <v>P0</v>
      </c>
    </row>
    <row r="1000" ht="22.5" customHeight="1">
      <c r="B1000" s="19" t="str">
        <f>IFERROR(__xludf.DUMMYFUNCTION("""COMPUTED_VALUE"""),"K/36/291024/1")</f>
        <v>K/36/291024/1</v>
      </c>
      <c r="C1000" s="19" t="str">
        <f>IFERROR(__xludf.DUMMYFUNCTION("""COMPUTED_VALUE"""),"SARUSUN 180/SUMUR PUTRI")</f>
        <v>SARUSUN 180/SUMUR PUTRI</v>
      </c>
      <c r="D1000" s="17">
        <f>IFERROR(__xludf.DUMMYFUNCTION("""COMPUTED_VALUE"""),45601.627533101855)</f>
        <v>45601.62753</v>
      </c>
      <c r="E1000" s="13" t="str">
        <f>IFERROR(__xludf.DUMMYFUNCTION("""COMPUTED_VALUE"""),"BN JUAL BELI ")</f>
        <v>BN JUAL BELI </v>
      </c>
      <c r="F1000" s="13" t="str">
        <f>IFERROR(__xludf.DUMMYFUNCTION("""COMPUTED_VALUE"""),"MARIA APRILIA VINA DWIYANTI/MAYA AYUNINGTIAS")</f>
        <v>MARIA APRILIA VINA DWIYANTI/MAYA AYUNINGTIAS</v>
      </c>
      <c r="G1000" s="13">
        <f t="shared" si="1"/>
        <v>871</v>
      </c>
      <c r="H1000" s="13" t="str">
        <f>IFERROR(__xludf.DUMMYFUNCTION("""COMPUTED_VALUE"""),"P1")</f>
        <v>P1</v>
      </c>
    </row>
    <row r="1001" ht="22.5" customHeight="1">
      <c r="B1001" s="16" t="str">
        <f>IFERROR(__xludf.DUMMYFUNCTION("""COMPUTED_VALUE"""),"K/59/051124/1")</f>
        <v>K/59/051124/1</v>
      </c>
      <c r="C1001" s="16" t="str">
        <f>IFERROR(__xludf.DUMMYFUNCTION("""COMPUTED_VALUE"""),"Nibel 435/ Kemiling Permai")</f>
        <v>Nibel 435/ Kemiling Permai</v>
      </c>
      <c r="D1001" s="17">
        <f>IFERROR(__xludf.DUMMYFUNCTION("""COMPUTED_VALUE"""),45601.62787232639)</f>
        <v>45601.62787</v>
      </c>
      <c r="E1001" s="25" t="str">
        <f>IFERROR(__xludf.DUMMYFUNCTION("""COMPUTED_VALUE"""),"BN JUAL BELI")</f>
        <v>BN JUAL BELI</v>
      </c>
      <c r="F1001" s="25" t="str">
        <f>IFERROR(__xludf.DUMMYFUNCTION("""COMPUTED_VALUE"""),"ADES PIANA")</f>
        <v>ADES PIANA</v>
      </c>
      <c r="G1001" s="13">
        <f t="shared" si="1"/>
        <v>872</v>
      </c>
      <c r="H1001" s="13" t="str">
        <f>IFERROR(__xludf.DUMMYFUNCTION("""COMPUTED_VALUE"""),"P0")</f>
        <v>P0</v>
      </c>
    </row>
    <row r="1002" ht="22.5" customHeight="1">
      <c r="B1002" s="16" t="str">
        <f>IFERROR(__xludf.DUMMYFUNCTION("""COMPUTED_VALUE"""),"K/57/051124/1")</f>
        <v>K/57/051124/1</v>
      </c>
      <c r="C1002" s="16" t="str">
        <f>IFERROR(__xludf.DUMMYFUNCTION("""COMPUTED_VALUE"""),"M.1132/SEPANG JAYA")</f>
        <v>M.1132/SEPANG JAYA</v>
      </c>
      <c r="D1002" s="17">
        <f>IFERROR(__xludf.DUMMYFUNCTION("""COMPUTED_VALUE"""),45601.630608506945)</f>
        <v>45601.63061</v>
      </c>
      <c r="E1002" s="25" t="str">
        <f>IFERROR(__xludf.DUMMYFUNCTION("""COMPUTED_VALUE"""),"PLOTING")</f>
        <v>PLOTING</v>
      </c>
      <c r="F1002" s="25" t="str">
        <f>IFERROR(__xludf.DUMMYFUNCTION("""COMPUTED_VALUE"""),"ARI SEPTIANA/MURSALIN")</f>
        <v>ARI SEPTIANA/MURSALIN</v>
      </c>
      <c r="G1002" s="13">
        <f t="shared" si="1"/>
        <v>873</v>
      </c>
      <c r="H1002" s="13" t="str">
        <f>IFERROR(__xludf.DUMMYFUNCTION("""COMPUTED_VALUE"""),"P0")</f>
        <v>P0</v>
      </c>
    </row>
    <row r="1003" ht="22.5" customHeight="1">
      <c r="B1003" s="16" t="str">
        <f>IFERROR(__xludf.DUMMYFUNCTION("""COMPUTED_VALUE"""),"K/60/051124/2")</f>
        <v>K/60/051124/2</v>
      </c>
      <c r="C1003" s="16" t="str">
        <f>IFERROR(__xludf.DUMMYFUNCTION("""COMPUTED_VALUE"""),"Nibel 448/ Kemiling Permai")</f>
        <v>Nibel 448/ Kemiling Permai</v>
      </c>
      <c r="D1003" s="17">
        <f>IFERROR(__xludf.DUMMYFUNCTION("""COMPUTED_VALUE"""),45601.63383)</f>
        <v>45601.63383</v>
      </c>
      <c r="E1003" s="25" t="str">
        <f>IFERROR(__xludf.DUMMYFUNCTION("""COMPUTED_VALUE"""),"BN JUAL BELI")</f>
        <v>BN JUAL BELI</v>
      </c>
      <c r="F1003" s="25" t="str">
        <f>IFERROR(__xludf.DUMMYFUNCTION("""COMPUTED_VALUE"""),"DWI DOSO ANGGORO")</f>
        <v>DWI DOSO ANGGORO</v>
      </c>
      <c r="G1003" s="13">
        <f t="shared" si="1"/>
        <v>874</v>
      </c>
      <c r="H1003" s="13" t="str">
        <f>IFERROR(__xludf.DUMMYFUNCTION("""COMPUTED_VALUE"""),"P0")</f>
        <v>P0</v>
      </c>
    </row>
    <row r="1004" ht="22.5" customHeight="1">
      <c r="B1004" s="16" t="str">
        <f>IFERROR(__xludf.DUMMYFUNCTION("""COMPUTED_VALUE"""),"K/61/051124/3")</f>
        <v>K/61/051124/3</v>
      </c>
      <c r="C1004" s="16" t="str">
        <f>IFERROR(__xludf.DUMMYFUNCTION("""COMPUTED_VALUE"""),"Nibel 394/ Kemiling Permai")</f>
        <v>Nibel 394/ Kemiling Permai</v>
      </c>
      <c r="D1004" s="17">
        <f>IFERROR(__xludf.DUMMYFUNCTION("""COMPUTED_VALUE"""),45601.634803692126)</f>
        <v>45601.6348</v>
      </c>
      <c r="E1004" s="25" t="str">
        <f>IFERROR(__xludf.DUMMYFUNCTION("""COMPUTED_VALUE"""),"BN JUAL BELI")</f>
        <v>BN JUAL BELI</v>
      </c>
      <c r="F1004" s="25" t="str">
        <f>IFERROR(__xludf.DUMMYFUNCTION("""COMPUTED_VALUE"""),"ardiansyah")</f>
        <v>ardiansyah</v>
      </c>
      <c r="G1004" s="13">
        <f t="shared" si="1"/>
        <v>875</v>
      </c>
      <c r="H1004" s="13" t="str">
        <f>IFERROR(__xludf.DUMMYFUNCTION("""COMPUTED_VALUE"""),"P0")</f>
        <v>P0</v>
      </c>
    </row>
    <row r="1005" ht="22.5" customHeight="1">
      <c r="B1005" s="16" t="str">
        <f>IFERROR(__xludf.DUMMYFUNCTION("""COMPUTED_VALUE"""),"K/63/051124/1")</f>
        <v>K/63/051124/1</v>
      </c>
      <c r="C1005" s="16" t="str">
        <f>IFERROR(__xludf.DUMMYFUNCTION("""COMPUTED_VALUE"""),"M.2297/TANJUNG SENENG")</f>
        <v>M.2297/TANJUNG SENENG</v>
      </c>
      <c r="D1005" s="17">
        <f>IFERROR(__xludf.DUMMYFUNCTION("""COMPUTED_VALUE"""),45601.63544574074)</f>
        <v>45601.63545</v>
      </c>
      <c r="E1005" s="25" t="str">
        <f>IFERROR(__xludf.DUMMYFUNCTION("""COMPUTED_VALUE"""),"GANDES")</f>
        <v>GANDES</v>
      </c>
      <c r="F1005" s="25" t="str">
        <f>IFERROR(__xludf.DUMMYFUNCTION("""COMPUTED_VALUE"""),"IDA ARITONANG/CHRISTINA ULINA")</f>
        <v>IDA ARITONANG/CHRISTINA ULINA</v>
      </c>
      <c r="G1005" s="13">
        <f t="shared" si="1"/>
        <v>876</v>
      </c>
      <c r="H1005" s="13" t="str">
        <f>IFERROR(__xludf.DUMMYFUNCTION("""COMPUTED_VALUE"""),"P0")</f>
        <v>P0</v>
      </c>
    </row>
    <row r="1006" ht="22.5" customHeight="1">
      <c r="B1006" s="16" t="str">
        <f>IFERROR(__xludf.DUMMYFUNCTION("""COMPUTED_VALUE"""),"K/62/051124/4")</f>
        <v>K/62/051124/4</v>
      </c>
      <c r="C1006" s="16" t="str">
        <f>IFERROR(__xludf.DUMMYFUNCTION("""COMPUTED_VALUE"""),"M. 12720/ Kedaton")</f>
        <v>M. 12720/ Kedaton</v>
      </c>
      <c r="D1006" s="17">
        <f>IFERROR(__xludf.DUMMYFUNCTION("""COMPUTED_VALUE"""),45601.635875196764)</f>
        <v>45601.63588</v>
      </c>
      <c r="E1006" s="25" t="str">
        <f>IFERROR(__xludf.DUMMYFUNCTION("""COMPUTED_VALUE"""),"BN JUAL BELI")</f>
        <v>BN JUAL BELI</v>
      </c>
      <c r="F1006" s="25" t="str">
        <f>IFERROR(__xludf.DUMMYFUNCTION("""COMPUTED_VALUE"""),"EDI/ NUR HAYATI")</f>
        <v>EDI/ NUR HAYATI</v>
      </c>
      <c r="G1006" s="13">
        <f t="shared" si="1"/>
        <v>877</v>
      </c>
      <c r="H1006" s="13" t="str">
        <f>IFERROR(__xludf.DUMMYFUNCTION("""COMPUTED_VALUE"""),"P0")</f>
        <v>P0</v>
      </c>
    </row>
    <row r="1007" ht="22.5" customHeight="1">
      <c r="B1007" s="16" t="str">
        <f>IFERROR(__xludf.DUMMYFUNCTION("""COMPUTED_VALUE"""),"K/64/051124/1")</f>
        <v>K/64/051124/1</v>
      </c>
      <c r="C1007" s="16" t="str">
        <f>IFERROR(__xludf.DUMMYFUNCTION("""COMPUTED_VALUE"""),"M. 11579/ Rajabasa")</f>
        <v>M. 11579/ Rajabasa</v>
      </c>
      <c r="D1007" s="17">
        <f>IFERROR(__xludf.DUMMYFUNCTION("""COMPUTED_VALUE"""),45601.637257939816)</f>
        <v>45601.63726</v>
      </c>
      <c r="E1007" s="25" t="str">
        <f>IFERROR(__xludf.DUMMYFUNCTION("""COMPUTED_VALUE"""),"SKPT INFORMASI")</f>
        <v>SKPT INFORMASI</v>
      </c>
      <c r="F1007" s="25" t="str">
        <f>IFERROR(__xludf.DUMMYFUNCTION("""COMPUTED_VALUE"""),"DENI ATIKA")</f>
        <v>DENI ATIKA</v>
      </c>
      <c r="G1007" s="13">
        <f t="shared" si="1"/>
        <v>878</v>
      </c>
      <c r="H1007" s="13" t="str">
        <f>IFERROR(__xludf.DUMMYFUNCTION("""COMPUTED_VALUE"""),"P0")</f>
        <v>P0</v>
      </c>
    </row>
    <row r="1008" ht="22.5" customHeight="1">
      <c r="B1008" s="16" t="str">
        <f>IFERROR(__xludf.DUMMYFUNCTION("""COMPUTED_VALUE"""),"K/65/051124/2")</f>
        <v>K/65/051124/2</v>
      </c>
      <c r="C1008" s="16" t="str">
        <f>IFERROR(__xludf.DUMMYFUNCTION("""COMPUTED_VALUE"""),"M. 3787/ rajabasa jaya")</f>
        <v>M. 3787/ rajabasa jaya</v>
      </c>
      <c r="D1008" s="17">
        <f>IFERROR(__xludf.DUMMYFUNCTION("""COMPUTED_VALUE"""),45601.638523726855)</f>
        <v>45601.63852</v>
      </c>
      <c r="E1008" s="25" t="str">
        <f>IFERROR(__xludf.DUMMYFUNCTION("""COMPUTED_VALUE"""),"PTPGT PEMECHAN")</f>
        <v>PTPGT PEMECHAN</v>
      </c>
      <c r="F1008" s="25" t="str">
        <f>IFERROR(__xludf.DUMMYFUNCTION("""COMPUTED_VALUE"""),"deni atika")</f>
        <v>deni atika</v>
      </c>
      <c r="G1008" s="13">
        <f t="shared" si="1"/>
        <v>879</v>
      </c>
      <c r="H1008" s="13" t="str">
        <f>IFERROR(__xludf.DUMMYFUNCTION("""COMPUTED_VALUE"""),"P0")</f>
        <v>P0</v>
      </c>
    </row>
    <row r="1009" ht="22.5" customHeight="1">
      <c r="B1009" s="16" t="str">
        <f>IFERROR(__xludf.DUMMYFUNCTION("""COMPUTED_VALUE"""),"K/42/171024/1")</f>
        <v>K/42/171024/1</v>
      </c>
      <c r="C1009" s="16" t="str">
        <f>IFERROR(__xludf.DUMMYFUNCTION("""COMPUTED_VALUE"""),"B. 649/ Sumber Agung")</f>
        <v>B. 649/ Sumber Agung</v>
      </c>
      <c r="D1009" s="17">
        <f>IFERROR(__xludf.DUMMYFUNCTION("""COMPUTED_VALUE"""),45601.640740891205)</f>
        <v>45601.64074</v>
      </c>
      <c r="E1009" s="25" t="str">
        <f>IFERROR(__xludf.DUMMYFUNCTION("""COMPUTED_VALUE"""),"BN JUAL BELI")</f>
        <v>BN JUAL BELI</v>
      </c>
      <c r="F1009" s="25" t="str">
        <f>IFERROR(__xludf.DUMMYFUNCTION("""COMPUTED_VALUE"""),"ENDANG APRILIA")</f>
        <v>ENDANG APRILIA</v>
      </c>
      <c r="G1009" s="13">
        <f t="shared" si="1"/>
        <v>879</v>
      </c>
      <c r="H1009" s="13" t="str">
        <f>IFERROR(__xludf.DUMMYFUNCTION("""COMPUTED_VALUE"""),"P1")</f>
        <v>P1</v>
      </c>
    </row>
    <row r="1010" ht="22.5" customHeight="1">
      <c r="B1010" s="16" t="str">
        <f>IFERROR(__xludf.DUMMYFUNCTION("""COMPUTED_VALUE"""),"K/1/061124/1")</f>
        <v>K/1/061124/1</v>
      </c>
      <c r="C1010" s="16" t="str">
        <f>IFERROR(__xludf.DUMMYFUNCTION("""COMPUTED_VALUE"""),"M.12840/SEGALA MIDER-SEKARANG;B.114/SEGALA MIDER-DAHULU")</f>
        <v>M.12840/SEGALA MIDER-SEKARANG;B.114/SEGALA MIDER-DAHULU</v>
      </c>
      <c r="D1010" s="17">
        <f>IFERROR(__xludf.DUMMYFUNCTION("""COMPUTED_VALUE"""),45602.36498391203)</f>
        <v>45602.36498</v>
      </c>
      <c r="E1010" s="25" t="str">
        <f>IFERROR(__xludf.DUMMYFUNCTION("""COMPUTED_VALUE"""),"BN JUAL BELI")</f>
        <v>BN JUAL BELI</v>
      </c>
      <c r="F1010" s="25" t="str">
        <f>IFERROR(__xludf.DUMMYFUNCTION("""COMPUTED_VALUE"""),"MAGHDALENA/CITRA AYU WARDANI")</f>
        <v>MAGHDALENA/CITRA AYU WARDANI</v>
      </c>
      <c r="G1010" s="13">
        <f t="shared" si="1"/>
        <v>880</v>
      </c>
      <c r="H1010" s="13" t="str">
        <f>IFERROR(__xludf.DUMMYFUNCTION("""COMPUTED_VALUE"""),"P0")</f>
        <v>P0</v>
      </c>
    </row>
    <row r="1011" ht="22.5" customHeight="1">
      <c r="B1011" s="16" t="str">
        <f>IFERROR(__xludf.DUMMYFUNCTION("""COMPUTED_VALUE"""),"K/9/281024/1")</f>
        <v>K/9/281024/1</v>
      </c>
      <c r="C1011" s="16" t="str">
        <f>IFERROR(__xludf.DUMMYFUNCTION("""COMPUTED_VALUE"""),"M.1591/RAJABASA NUNYAI-SEKARANG;B.347/RAJABASA NUNYAI-DAHULU")</f>
        <v>M.1591/RAJABASA NUNYAI-SEKARANG;B.347/RAJABASA NUNYAI-DAHULU</v>
      </c>
      <c r="D1011" s="17">
        <f>IFERROR(__xludf.DUMMYFUNCTION("""COMPUTED_VALUE"""),45602.36644974537)</f>
        <v>45602.36645</v>
      </c>
      <c r="E1011" s="25" t="str">
        <f>IFERROR(__xludf.DUMMYFUNCTION("""COMPUTED_VALUE"""),"BN JUAL BELI")</f>
        <v>BN JUAL BELI</v>
      </c>
      <c r="F1011" s="25" t="str">
        <f>IFERROR(__xludf.DUMMYFUNCTION("""COMPUTED_VALUE"""),"DYAH NINGTIYA ASTUTI/ISMARINA")</f>
        <v>DYAH NINGTIYA ASTUTI/ISMARINA</v>
      </c>
      <c r="G1011" s="13">
        <f t="shared" si="1"/>
        <v>880</v>
      </c>
      <c r="H1011" s="13" t="str">
        <f>IFERROR(__xludf.DUMMYFUNCTION("""COMPUTED_VALUE"""),"P1")</f>
        <v>P1</v>
      </c>
    </row>
    <row r="1012" ht="22.5" customHeight="1">
      <c r="B1012" s="16" t="str">
        <f>IFERROR(__xludf.DUMMYFUNCTION("""COMPUTED_VALUE"""),"K/2/061124/1")</f>
        <v>K/2/061124/1</v>
      </c>
      <c r="C1012" s="16" t="str">
        <f>IFERROR(__xludf.DUMMYFUNCTION("""COMPUTED_VALUE"""),"NIBEL M.5648/ENGGAL")</f>
        <v>NIBEL M.5648/ENGGAL</v>
      </c>
      <c r="D1012" s="17">
        <f>IFERROR(__xludf.DUMMYFUNCTION("""COMPUTED_VALUE"""),45602.36901258102)</f>
        <v>45602.36901</v>
      </c>
      <c r="E1012" s="25" t="str">
        <f>IFERROR(__xludf.DUMMYFUNCTION("""COMPUTED_VALUE"""),"BN JUAL BELI")</f>
        <v>BN JUAL BELI</v>
      </c>
      <c r="F1012" s="25" t="str">
        <f>IFERROR(__xludf.DUMMYFUNCTION("""COMPUTED_VALUE"""),"ISMARINA/ASIH PURWANTI")</f>
        <v>ISMARINA/ASIH PURWANTI</v>
      </c>
      <c r="G1012" s="13">
        <f t="shared" si="1"/>
        <v>881</v>
      </c>
      <c r="H1012" s="13" t="str">
        <f>IFERROR(__xludf.DUMMYFUNCTION("""COMPUTED_VALUE"""),"P0")</f>
        <v>P0</v>
      </c>
    </row>
    <row r="1013" ht="22.5" customHeight="1">
      <c r="B1013" s="16" t="str">
        <f>IFERROR(__xludf.DUMMYFUNCTION("""COMPUTED_VALUE"""),"K/15/291024/1")</f>
        <v>K/15/291024/1</v>
      </c>
      <c r="C1013" s="16" t="str">
        <f>IFERROR(__xludf.DUMMYFUNCTION("""COMPUTED_VALUE"""),"M. 534/ Sumur Batu	")</f>
        <v>M. 534/ Sumur Batu	</v>
      </c>
      <c r="D1013" s="17">
        <f>IFERROR(__xludf.DUMMYFUNCTION("""COMPUTED_VALUE"""),45602.37202579861)</f>
        <v>45602.37203</v>
      </c>
      <c r="E1013" s="25" t="str">
        <f>IFERROR(__xludf.DUMMYFUNCTION("""COMPUTED_VALUE"""),"BN Jual Beli")</f>
        <v>BN Jual Beli</v>
      </c>
      <c r="F1013" s="25" t="str">
        <f>IFERROR(__xludf.DUMMYFUNCTION("""COMPUTED_VALUE"""),"Teddy Saputra/ Dahlia	")</f>
        <v>Teddy Saputra/ Dahlia	</v>
      </c>
      <c r="G1013" s="13">
        <f t="shared" si="1"/>
        <v>881</v>
      </c>
      <c r="H1013" s="13" t="str">
        <f>IFERROR(__xludf.DUMMYFUNCTION("""COMPUTED_VALUE"""),"P1")</f>
        <v>P1</v>
      </c>
    </row>
    <row r="1014" ht="22.5" customHeight="1">
      <c r="B1014" s="16" t="str">
        <f>IFERROR(__xludf.DUMMYFUNCTION("""COMPUTED_VALUE"""),"K/3/061124/2")</f>
        <v>K/3/061124/2</v>
      </c>
      <c r="C1014" s="16" t="str">
        <f>IFERROR(__xludf.DUMMYFUNCTION("""COMPUTED_VALUE"""),"M.1588/SUMUR BATU")</f>
        <v>M.1588/SUMUR BATU</v>
      </c>
      <c r="D1014" s="17">
        <f>IFERROR(__xludf.DUMMYFUNCTION("""COMPUTED_VALUE"""),45602.374799791665)</f>
        <v>45602.3748</v>
      </c>
      <c r="E1014" s="25" t="str">
        <f>IFERROR(__xludf.DUMMYFUNCTION("""COMPUTED_VALUE"""),"PENGUKURAN ULANG")</f>
        <v>PENGUKURAN ULANG</v>
      </c>
      <c r="F1014" s="25" t="str">
        <f>IFERROR(__xludf.DUMMYFUNCTION("""COMPUTED_VALUE"""),"AHMAD HUSIN DAULAY/CITRA AYU WARDANI")</f>
        <v>AHMAD HUSIN DAULAY/CITRA AYU WARDANI</v>
      </c>
      <c r="G1014" s="13">
        <f t="shared" si="1"/>
        <v>882</v>
      </c>
      <c r="H1014" s="13" t="str">
        <f>IFERROR(__xludf.DUMMYFUNCTION("""COMPUTED_VALUE"""),"P0")</f>
        <v>P0</v>
      </c>
    </row>
    <row r="1015" ht="22.5" customHeight="1">
      <c r="B1015" s="16" t="str">
        <f>IFERROR(__xludf.DUMMYFUNCTION("""COMPUTED_VALUE"""),"L/4/061124/1")</f>
        <v>L/4/061124/1</v>
      </c>
      <c r="C1015" s="16" t="str">
        <f>IFERROR(__xludf.DUMMYFUNCTION("""COMPUTED_VALUE"""),"NIB 1770/PINANG JAYA")</f>
        <v>NIB 1770/PINANG JAYA</v>
      </c>
      <c r="D1015" s="17">
        <f>IFERROR(__xludf.DUMMYFUNCTION("""COMPUTED_VALUE"""),45602.38796818287)</f>
        <v>45602.38797</v>
      </c>
      <c r="E1015" s="25" t="str">
        <f>IFERROR(__xludf.DUMMYFUNCTION("""COMPUTED_VALUE"""),"PH")</f>
        <v>PH</v>
      </c>
      <c r="F1015" s="25" t="str">
        <f>IFERROR(__xludf.DUMMYFUNCTION("""COMPUTED_VALUE"""),"JALALUDIN")</f>
        <v>JALALUDIN</v>
      </c>
      <c r="G1015" s="13">
        <f t="shared" si="1"/>
        <v>883</v>
      </c>
      <c r="H1015" s="13" t="str">
        <f>IFERROR(__xludf.DUMMYFUNCTION("""COMPUTED_VALUE"""),"P0")</f>
        <v>P0</v>
      </c>
    </row>
    <row r="1016" ht="22.5" customHeight="1">
      <c r="B1016" s="16" t="str">
        <f>IFERROR(__xludf.DUMMYFUNCTION("""COMPUTED_VALUE"""),"K/5/061124/1")</f>
        <v>K/5/061124/1</v>
      </c>
      <c r="C1016" s="16" t="str">
        <f>IFERROR(__xludf.DUMMYFUNCTION("""COMPUTED_VALUE"""),"M. 534/ Sumberrejo Sejahtera")</f>
        <v>M. 534/ Sumberrejo Sejahtera</v>
      </c>
      <c r="D1016" s="17">
        <f>IFERROR(__xludf.DUMMYFUNCTION("""COMPUTED_VALUE"""),45602.39179709491)</f>
        <v>45602.3918</v>
      </c>
      <c r="E1016" s="25" t="str">
        <f>IFERROR(__xludf.DUMMYFUNCTION("""COMPUTED_VALUE"""),"Pemecahan")</f>
        <v>Pemecahan</v>
      </c>
      <c r="F1016" s="25" t="str">
        <f>IFERROR(__xludf.DUMMYFUNCTION("""COMPUTED_VALUE"""),"Abdul Gani/ Suhari Y")</f>
        <v>Abdul Gani/ Suhari Y</v>
      </c>
      <c r="G1016" s="13">
        <f t="shared" si="1"/>
        <v>884</v>
      </c>
      <c r="H1016" s="13" t="str">
        <f>IFERROR(__xludf.DUMMYFUNCTION("""COMPUTED_VALUE"""),"P0")</f>
        <v>P0</v>
      </c>
    </row>
    <row r="1017" ht="22.5" customHeight="1">
      <c r="B1017" s="16" t="str">
        <f>IFERROR(__xludf.DUMMYFUNCTION("""COMPUTED_VALUE"""),"K/6/061124/1")</f>
        <v>K/6/061124/1</v>
      </c>
      <c r="C1017" s="16" t="str">
        <f>IFERROR(__xludf.DUMMYFUNCTION("""COMPUTED_VALUE"""),"M.3348/KEMILING PERMAI-SEKARANG;M.1620-SUMBEREJO/KEMILING-DAHULU")</f>
        <v>M.3348/KEMILING PERMAI-SEKARANG;M.1620-SUMBEREJO/KEMILING-DAHULU</v>
      </c>
      <c r="D1017" s="17">
        <f>IFERROR(__xludf.DUMMYFUNCTION("""COMPUTED_VALUE"""),45602.3951283912)</f>
        <v>45602.39513</v>
      </c>
      <c r="E1017" s="25" t="str">
        <f>IFERROR(__xludf.DUMMYFUNCTION("""COMPUTED_VALUE"""),"BN JUAL BELI")</f>
        <v>BN JUAL BELI</v>
      </c>
      <c r="F1017" s="25" t="str">
        <f>IFERROR(__xludf.DUMMYFUNCTION("""COMPUTED_VALUE"""),"M FAHRI ALVANZY RAFIQI/ANNA PUNAMASARI")</f>
        <v>M FAHRI ALVANZY RAFIQI/ANNA PUNAMASARI</v>
      </c>
      <c r="G1017" s="13">
        <f t="shared" si="1"/>
        <v>885</v>
      </c>
      <c r="H1017" s="13" t="str">
        <f>IFERROR(__xludf.DUMMYFUNCTION("""COMPUTED_VALUE"""),"P0")</f>
        <v>P0</v>
      </c>
    </row>
    <row r="1018" ht="22.5" customHeight="1">
      <c r="B1018" s="17" t="str">
        <f>IFERROR(__xludf.DUMMYFUNCTION("""COMPUTED_VALUE"""),"L/7/061124/1")</f>
        <v>L/7/061124/1</v>
      </c>
      <c r="C1018" s="17" t="str">
        <f>IFERROR(__xludf.DUMMYFUNCTION("""COMPUTED_VALUE"""),"HM 1120/BUMI KEDAMAIAN")</f>
        <v>HM 1120/BUMI KEDAMAIAN</v>
      </c>
      <c r="D1018" s="17">
        <f>IFERROR(__xludf.DUMMYFUNCTION("""COMPUTED_VALUE"""),45602.41193862268)</f>
        <v>45602.41194</v>
      </c>
      <c r="E1018" s="11" t="str">
        <f>IFERROR(__xludf.DUMMYFUNCTION("""COMPUTED_VALUE"""),"BLOKIR")</f>
        <v>BLOKIR</v>
      </c>
      <c r="F1018" s="11" t="str">
        <f>IFERROR(__xludf.DUMMYFUNCTION("""COMPUTED_VALUE"""),"WONG PIX JUNG")</f>
        <v>WONG PIX JUNG</v>
      </c>
      <c r="G1018" s="13">
        <f t="shared" si="1"/>
        <v>886</v>
      </c>
      <c r="H1018" s="13" t="str">
        <f>IFERROR(__xludf.DUMMYFUNCTION("""COMPUTED_VALUE"""),"P0")</f>
        <v>P0</v>
      </c>
    </row>
    <row r="1019" ht="22.5" customHeight="1">
      <c r="B1019" s="17" t="str">
        <f>IFERROR(__xludf.DUMMYFUNCTION("""COMPUTED_VALUE"""),"K/9/061124/1")</f>
        <v>K/9/061124/1</v>
      </c>
      <c r="C1019" s="17" t="str">
        <f>IFERROR(__xludf.DUMMYFUNCTION("""COMPUTED_VALUE"""),"Nibel 7188/ Gunung Sulah")</f>
        <v>Nibel 7188/ Gunung Sulah</v>
      </c>
      <c r="D1019" s="17">
        <f>IFERROR(__xludf.DUMMYFUNCTION("""COMPUTED_VALUE"""),45602.414499085644)</f>
        <v>45602.4145</v>
      </c>
      <c r="E1019" s="11" t="str">
        <f>IFERROR(__xludf.DUMMYFUNCTION("""COMPUTED_VALUE"""),"BN LELANG")</f>
        <v>BN LELANG</v>
      </c>
      <c r="F1019" s="11" t="str">
        <f>IFERROR(__xludf.DUMMYFUNCTION("""COMPUTED_VALUE"""),"SUGIARNO/ ADITYA")</f>
        <v>SUGIARNO/ ADITYA</v>
      </c>
      <c r="G1019" s="13">
        <f t="shared" si="1"/>
        <v>887</v>
      </c>
      <c r="H1019" s="13" t="str">
        <f>IFERROR(__xludf.DUMMYFUNCTION("""COMPUTED_VALUE"""),"P0")</f>
        <v>P0</v>
      </c>
    </row>
    <row r="1020" ht="22.5" customHeight="1">
      <c r="B1020" s="17" t="str">
        <f>IFERROR(__xludf.DUMMYFUNCTION("""COMPUTED_VALUE"""),"K/11/061124/1")</f>
        <v>K/11/061124/1</v>
      </c>
      <c r="C1020" s="17" t="str">
        <f>IFERROR(__xludf.DUMMYFUNCTION("""COMPUTED_VALUE"""),"M. 927/ Pelita; SHT 2384/2014 dan SHT 4033/2018")</f>
        <v>M. 927/ Pelita; SHT 2384/2014 dan SHT 4033/2018</v>
      </c>
      <c r="D1020" s="17">
        <f>IFERROR(__xludf.DUMMYFUNCTION("""COMPUTED_VALUE"""),45602.415042685185)</f>
        <v>45602.41504</v>
      </c>
      <c r="E1020" s="11" t="str">
        <f>IFERROR(__xludf.DUMMYFUNCTION("""COMPUTED_VALUE"""),"Roya")</f>
        <v>Roya</v>
      </c>
      <c r="F1020" s="11" t="str">
        <f>IFERROR(__xludf.DUMMYFUNCTION("""COMPUTED_VALUE"""),"Imelda Pasaribu/ Petrus S")</f>
        <v>Imelda Pasaribu/ Petrus S</v>
      </c>
      <c r="G1020" s="13">
        <f t="shared" si="1"/>
        <v>888</v>
      </c>
      <c r="H1020" s="13" t="str">
        <f>IFERROR(__xludf.DUMMYFUNCTION("""COMPUTED_VALUE"""),"P0")</f>
        <v>P0</v>
      </c>
    </row>
    <row r="1021" ht="22.5" customHeight="1">
      <c r="B1021" s="17" t="str">
        <f>IFERROR(__xludf.DUMMYFUNCTION("""COMPUTED_VALUE"""),"K/10/061124/2")</f>
        <v>K/10/061124/2</v>
      </c>
      <c r="C1021" s="17" t="str">
        <f>IFERROR(__xludf.DUMMYFUNCTION("""COMPUTED_VALUE""")," M. 2147/ Way Halim Permai")</f>
        <v> M. 2147/ Way Halim Permai</v>
      </c>
      <c r="D1021" s="17">
        <f>IFERROR(__xludf.DUMMYFUNCTION("""COMPUTED_VALUE"""),45602.41704399306)</f>
        <v>45602.41704</v>
      </c>
      <c r="E1021" s="11" t="str">
        <f>IFERROR(__xludf.DUMMYFUNCTION("""COMPUTED_VALUE"""),"BN WARIS")</f>
        <v>BN WARIS</v>
      </c>
      <c r="F1021" s="11" t="str">
        <f>IFERROR(__xludf.DUMMYFUNCTION("""COMPUTED_VALUE"""),"ELITA PURBA CS")</f>
        <v>ELITA PURBA CS</v>
      </c>
      <c r="G1021" s="13">
        <f t="shared" si="1"/>
        <v>888</v>
      </c>
      <c r="H1021" s="13" t="str">
        <f>IFERROR(__xludf.DUMMYFUNCTION("""COMPUTED_VALUE"""),"P1")</f>
        <v>P1</v>
      </c>
    </row>
    <row r="1022" ht="22.5" customHeight="1">
      <c r="B1022" s="17" t="str">
        <f>IFERROR(__xludf.DUMMYFUNCTION("""COMPUTED_VALUE"""),"K/8/241024/4")</f>
        <v>K/8/241024/4</v>
      </c>
      <c r="C1022" s="17" t="str">
        <f>IFERROR(__xludf.DUMMYFUNCTION("""COMPUTED_VALUE"""),"M. 369/ Kali Balau Kencana")</f>
        <v>M. 369/ Kali Balau Kencana</v>
      </c>
      <c r="D1022" s="17">
        <f>IFERROR(__xludf.DUMMYFUNCTION("""COMPUTED_VALUE"""),45602.4262247338)</f>
        <v>45602.42622</v>
      </c>
      <c r="E1022" s="11" t="str">
        <f>IFERROR(__xludf.DUMMYFUNCTION("""COMPUTED_VALUE"""),"BN JUAL BELI")</f>
        <v>BN JUAL BELI</v>
      </c>
      <c r="F1022" s="11" t="str">
        <f>IFERROR(__xludf.DUMMYFUNCTION("""COMPUTED_VALUE"""),"VITTA N")</f>
        <v>VITTA N</v>
      </c>
      <c r="G1022" s="13">
        <f t="shared" si="1"/>
        <v>888</v>
      </c>
      <c r="H1022" s="13" t="str">
        <f>IFERROR(__xludf.DUMMYFUNCTION("""COMPUTED_VALUE"""),"P2")</f>
        <v>P2</v>
      </c>
    </row>
    <row r="1023" ht="22.5" customHeight="1">
      <c r="B1023" s="17" t="str">
        <f>IFERROR(__xludf.DUMMYFUNCTION("""COMPUTED_VALUE"""),"K/6/241024/3")</f>
        <v>K/6/241024/3</v>
      </c>
      <c r="C1023" s="17" t="str">
        <f>IFERROR(__xludf.DUMMYFUNCTION("""COMPUTED_VALUE"""),"M. 1498/ Kali Balau Kencana")</f>
        <v>M. 1498/ Kali Balau Kencana</v>
      </c>
      <c r="D1023" s="17">
        <f>IFERROR(__xludf.DUMMYFUNCTION("""COMPUTED_VALUE"""),45602.43130810185)</f>
        <v>45602.43131</v>
      </c>
      <c r="E1023" s="11" t="str">
        <f>IFERROR(__xludf.DUMMYFUNCTION("""COMPUTED_VALUE"""),"BN JUAL BELI")</f>
        <v>BN JUAL BELI</v>
      </c>
      <c r="F1023" s="11" t="str">
        <f>IFERROR(__xludf.DUMMYFUNCTION("""COMPUTED_VALUE"""),"VITTA N")</f>
        <v>VITTA N</v>
      </c>
      <c r="G1023" s="13">
        <f t="shared" si="1"/>
        <v>888</v>
      </c>
      <c r="H1023" s="13" t="str">
        <f>IFERROR(__xludf.DUMMYFUNCTION("""COMPUTED_VALUE"""),"P1")</f>
        <v>P1</v>
      </c>
    </row>
    <row r="1024" ht="22.5" customHeight="1">
      <c r="B1024" s="17" t="str">
        <f>IFERROR(__xludf.DUMMYFUNCTION("""COMPUTED_VALUE"""),"K/12/061124/1")</f>
        <v>K/12/061124/1</v>
      </c>
      <c r="C1024" s="17" t="str">
        <f>IFERROR(__xludf.DUMMYFUNCTION("""COMPUTED_VALUE"""),"M. 4132/ Keteguhan")</f>
        <v>M. 4132/ Keteguhan</v>
      </c>
      <c r="D1024" s="17">
        <f>IFERROR(__xludf.DUMMYFUNCTION("""COMPUTED_VALUE"""),45602.441787187505)</f>
        <v>45602.44179</v>
      </c>
      <c r="E1024" s="11" t="str">
        <f>IFERROR(__xludf.DUMMYFUNCTION("""COMPUTED_VALUE"""),"BN Jual Beli")</f>
        <v>BN Jual Beli</v>
      </c>
      <c r="F1024" s="11" t="str">
        <f>IFERROR(__xludf.DUMMYFUNCTION("""COMPUTED_VALUE"""),"Rahmadiyanti/ Iponi")</f>
        <v>Rahmadiyanti/ Iponi</v>
      </c>
      <c r="G1024" s="13">
        <f t="shared" si="1"/>
        <v>889</v>
      </c>
      <c r="H1024" s="13" t="str">
        <f>IFERROR(__xludf.DUMMYFUNCTION("""COMPUTED_VALUE"""),"P0")</f>
        <v>P0</v>
      </c>
    </row>
    <row r="1025" ht="22.5" customHeight="1">
      <c r="B1025" s="17" t="str">
        <f>IFERROR(__xludf.DUMMYFUNCTION("""COMPUTED_VALUE"""),"K/25/011124/2")</f>
        <v>K/25/011124/2</v>
      </c>
      <c r="C1025" s="17" t="str">
        <f>IFERROR(__xludf.DUMMYFUNCTION("""COMPUTED_VALUE"""),"NIBEL M 1953/LABUHAN DALAM")</f>
        <v>NIBEL M 1953/LABUHAN DALAM</v>
      </c>
      <c r="D1025" s="17">
        <f>IFERROR(__xludf.DUMMYFUNCTION("""COMPUTED_VALUE"""),45602.44615134259)</f>
        <v>45602.44615</v>
      </c>
      <c r="E1025" s="11" t="str">
        <f>IFERROR(__xludf.DUMMYFUNCTION("""COMPUTED_VALUE"""),"PTPGT")</f>
        <v>PTPGT</v>
      </c>
      <c r="F1025" s="11" t="str">
        <f>IFERROR(__xludf.DUMMYFUNCTION("""COMPUTED_VALUE"""),"I GUSTI NGURAH BIANTARA/NINA HANDAYANI")</f>
        <v>I GUSTI NGURAH BIANTARA/NINA HANDAYANI</v>
      </c>
      <c r="G1025" s="13">
        <f t="shared" si="1"/>
        <v>889</v>
      </c>
      <c r="H1025" s="13" t="str">
        <f>IFERROR(__xludf.DUMMYFUNCTION("""COMPUTED_VALUE"""),"P1")</f>
        <v>P1</v>
      </c>
    </row>
    <row r="1026" ht="22.5" customHeight="1">
      <c r="B1026" s="17" t="str">
        <f>IFERROR(__xludf.DUMMYFUNCTION("""COMPUTED_VALUE"""),"K/65/311024/2")</f>
        <v>K/65/311024/2</v>
      </c>
      <c r="C1026" s="17" t="str">
        <f>IFERROR(__xludf.DUMMYFUNCTION("""COMPUTED_VALUE"""),"B. 103/ Nusantara Permai	")</f>
        <v>B. 103/ Nusantara Permai	</v>
      </c>
      <c r="D1026" s="17">
        <f>IFERROR(__xludf.DUMMYFUNCTION("""COMPUTED_VALUE"""),45602.44625736111)</f>
        <v>45602.44626</v>
      </c>
      <c r="E1026" s="11" t="str">
        <f>IFERROR(__xludf.DUMMYFUNCTION("""COMPUTED_VALUE"""),"BN Jual Beli")</f>
        <v>BN Jual Beli</v>
      </c>
      <c r="F1026" s="11" t="str">
        <f>IFERROR(__xludf.DUMMYFUNCTION("""COMPUTED_VALUE"""),"Richard Adi P/ Chytia R M	")</f>
        <v>Richard Adi P/ Chytia R M	</v>
      </c>
      <c r="G1026" s="13">
        <f t="shared" si="1"/>
        <v>889</v>
      </c>
      <c r="H1026" s="13" t="str">
        <f>IFERROR(__xludf.DUMMYFUNCTION("""COMPUTED_VALUE"""),"P1")</f>
        <v>P1</v>
      </c>
    </row>
    <row r="1027" ht="22.5" customHeight="1">
      <c r="B1027" s="17" t="str">
        <f>IFERROR(__xludf.DUMMYFUNCTION("""COMPUTED_VALUE"""),"K/24/011124/1")</f>
        <v>K/24/011124/1</v>
      </c>
      <c r="C1027" s="17" t="str">
        <f>IFERROR(__xludf.DUMMYFUNCTION("""COMPUTED_VALUE"""),"M NIBEL 1952/LABUHAN DALAM")</f>
        <v>M NIBEL 1952/LABUHAN DALAM</v>
      </c>
      <c r="D1027" s="17">
        <f>IFERROR(__xludf.DUMMYFUNCTION("""COMPUTED_VALUE"""),45602.446815243056)</f>
        <v>45602.44682</v>
      </c>
      <c r="E1027" s="11" t="str">
        <f>IFERROR(__xludf.DUMMYFUNCTION("""COMPUTED_VALUE"""),"PTPGT")</f>
        <v>PTPGT</v>
      </c>
      <c r="F1027" s="11" t="str">
        <f>IFERROR(__xludf.DUMMYFUNCTION("""COMPUTED_VALUE"""),"I GUSTI NGURAH BIANTARA/NINA HANDAYANI")</f>
        <v>I GUSTI NGURAH BIANTARA/NINA HANDAYANI</v>
      </c>
      <c r="G1027" s="13">
        <f t="shared" si="1"/>
        <v>889</v>
      </c>
      <c r="H1027" s="13" t="str">
        <f>IFERROR(__xludf.DUMMYFUNCTION("""COMPUTED_VALUE"""),"P1")</f>
        <v>P1</v>
      </c>
    </row>
    <row r="1028" ht="22.5" customHeight="1">
      <c r="B1028" s="17" t="str">
        <f>IFERROR(__xludf.DUMMYFUNCTION("""COMPUTED_VALUE"""),"K/16/011124/3")</f>
        <v>K/16/011124/3</v>
      </c>
      <c r="C1028" s="17" t="str">
        <f>IFERROR(__xludf.DUMMYFUNCTION("""COMPUTED_VALUE"""),"B. 128/ Nusantara Permai	")</f>
        <v>B. 128/ Nusantara Permai	</v>
      </c>
      <c r="D1028" s="17">
        <f>IFERROR(__xludf.DUMMYFUNCTION("""COMPUTED_VALUE"""),45602.44689310185)</f>
        <v>45602.44689</v>
      </c>
      <c r="E1028" s="11" t="str">
        <f>IFERROR(__xludf.DUMMYFUNCTION("""COMPUTED_VALUE"""),"BN Jual Beli")</f>
        <v>BN Jual Beli</v>
      </c>
      <c r="F1028" s="11" t="str">
        <f>IFERROR(__xludf.DUMMYFUNCTION("""COMPUTED_VALUE"""),"Richard Adi P/ Welly P	")</f>
        <v>Richard Adi P/ Welly P	</v>
      </c>
      <c r="G1028" s="13">
        <f t="shared" si="1"/>
        <v>889</v>
      </c>
      <c r="H1028" s="13" t="str">
        <f>IFERROR(__xludf.DUMMYFUNCTION("""COMPUTED_VALUE"""),"P1")</f>
        <v>P1</v>
      </c>
    </row>
    <row r="1029" ht="22.5" customHeight="1">
      <c r="B1029" s="17" t="str">
        <f>IFERROR(__xludf.DUMMYFUNCTION("""COMPUTED_VALUE"""),"K/45/241024/2")</f>
        <v>K/45/241024/2</v>
      </c>
      <c r="C1029" s="17" t="str">
        <f>IFERROR(__xludf.DUMMYFUNCTION("""COMPUTED_VALUE"""),"M. 6618/TANJUNG SENENG")</f>
        <v>M. 6618/TANJUNG SENENG</v>
      </c>
      <c r="D1029" s="17">
        <f>IFERROR(__xludf.DUMMYFUNCTION("""COMPUTED_VALUE"""),45602.44842850695)</f>
        <v>45602.44843</v>
      </c>
      <c r="E1029" s="11" t="str">
        <f>IFERROR(__xludf.DUMMYFUNCTION("""COMPUTED_VALUE"""),"BN JUAL BELI")</f>
        <v>BN JUAL BELI</v>
      </c>
      <c r="F1029" s="11" t="str">
        <f>IFERROR(__xludf.DUMMYFUNCTION("""COMPUTED_VALUE"""),"PRIO NUR UTOMO/RICHARD ADI P")</f>
        <v>PRIO NUR UTOMO/RICHARD ADI P</v>
      </c>
      <c r="G1029" s="13">
        <f t="shared" si="1"/>
        <v>889</v>
      </c>
      <c r="H1029" s="13" t="str">
        <f>IFERROR(__xludf.DUMMYFUNCTION("""COMPUTED_VALUE"""),"P1")</f>
        <v>P1</v>
      </c>
    </row>
    <row r="1030" ht="22.5" customHeight="1">
      <c r="B1030" s="17" t="str">
        <f>IFERROR(__xludf.DUMMYFUNCTION("""COMPUTED_VALUE"""),"L/13/061124/1")</f>
        <v>L/13/061124/1</v>
      </c>
      <c r="C1030" s="17" t="str">
        <f>IFERROR(__xludf.DUMMYFUNCTION("""COMPUTED_VALUE"""),"RAJABASA JAYA")</f>
        <v>RAJABASA JAYA</v>
      </c>
      <c r="D1030" s="17">
        <f>IFERROR(__xludf.DUMMYFUNCTION("""COMPUTED_VALUE"""),45602.449928472226)</f>
        <v>45602.44993</v>
      </c>
      <c r="E1030" s="11" t="str">
        <f>IFERROR(__xludf.DUMMYFUNCTION("""COMPUTED_VALUE"""),"PERTAMA KALI")</f>
        <v>PERTAMA KALI</v>
      </c>
      <c r="F1030" s="11" t="str">
        <f>IFERROR(__xludf.DUMMYFUNCTION("""COMPUTED_VALUE"""),"WAYAN DARMIYATI")</f>
        <v>WAYAN DARMIYATI</v>
      </c>
      <c r="G1030" s="13">
        <f t="shared" si="1"/>
        <v>890</v>
      </c>
      <c r="H1030" s="13" t="str">
        <f>IFERROR(__xludf.DUMMYFUNCTION("""COMPUTED_VALUE"""),"P0")</f>
        <v>P0</v>
      </c>
    </row>
    <row r="1031" ht="22.5" customHeight="1">
      <c r="B1031" s="17" t="str">
        <f>IFERROR(__xludf.DUMMYFUNCTION("""COMPUTED_VALUE"""),"K/14/061124/1")</f>
        <v>K/14/061124/1</v>
      </c>
      <c r="C1031" s="17" t="str">
        <f>IFERROR(__xludf.DUMMYFUNCTION("""COMPUTED_VALUE"""),"M.1511/BUMI WARAS")</f>
        <v>M.1511/BUMI WARAS</v>
      </c>
      <c r="D1031" s="17">
        <f>IFERROR(__xludf.DUMMYFUNCTION("""COMPUTED_VALUE"""),45602.45261512732)</f>
        <v>45602.45262</v>
      </c>
      <c r="E1031" s="11" t="str">
        <f>IFERROR(__xludf.DUMMYFUNCTION("""COMPUTED_VALUE"""),"BN JUAL BELI")</f>
        <v>BN JUAL BELI</v>
      </c>
      <c r="F1031" s="11" t="str">
        <f>IFERROR(__xludf.DUMMYFUNCTION("""COMPUTED_VALUE"""),"DEMMY ANNE WINGARDI/EFFENDY")</f>
        <v>DEMMY ANNE WINGARDI/EFFENDY</v>
      </c>
      <c r="G1031" s="13">
        <f t="shared" si="1"/>
        <v>891</v>
      </c>
      <c r="H1031" s="13" t="str">
        <f>IFERROR(__xludf.DUMMYFUNCTION("""COMPUTED_VALUE"""),"P0")</f>
        <v>P0</v>
      </c>
    </row>
    <row r="1032" ht="22.5" customHeight="1">
      <c r="B1032" s="17" t="str">
        <f>IFERROR(__xludf.DUMMYFUNCTION("""COMPUTED_VALUE"""),"K/10/061124/2")</f>
        <v>K/10/061124/2</v>
      </c>
      <c r="C1032" s="17" t="str">
        <f>IFERROR(__xludf.DUMMYFUNCTION("""COMPUTED_VALUE"""),"M. 2147/ WAY HALIM PERMAI")</f>
        <v>M. 2147/ WAY HALIM PERMAI</v>
      </c>
      <c r="D1032" s="17">
        <f>IFERROR(__xludf.DUMMYFUNCTION("""COMPUTED_VALUE"""),45602.45268619213)</f>
        <v>45602.45269</v>
      </c>
      <c r="E1032" s="11" t="str">
        <f>IFERROR(__xludf.DUMMYFUNCTION("""COMPUTED_VALUE"""),"BN WARIS")</f>
        <v>BN WARIS</v>
      </c>
      <c r="F1032" s="11" t="str">
        <f>IFERROR(__xludf.DUMMYFUNCTION("""COMPUTED_VALUE""")," ELITA PURBA CS/ ADITYA")</f>
        <v> ELITA PURBA CS/ ADITYA</v>
      </c>
      <c r="G1032" s="13">
        <f t="shared" si="1"/>
        <v>892</v>
      </c>
      <c r="H1032" s="13" t="str">
        <f>IFERROR(__xludf.DUMMYFUNCTION("""COMPUTED_VALUE"""),"P0")</f>
        <v>P0</v>
      </c>
    </row>
    <row r="1033" ht="22.5" customHeight="1">
      <c r="B1033" s="17" t="str">
        <f>IFERROR(__xludf.DUMMYFUNCTION("""COMPUTED_VALUE"""),"K/16/061124/1")</f>
        <v>K/16/061124/1</v>
      </c>
      <c r="C1033" s="17" t="str">
        <f>IFERROR(__xludf.DUMMYFUNCTION("""COMPUTED_VALUE"""),"B. 105/ Nusantara Permai")</f>
        <v>B. 105/ Nusantara Permai</v>
      </c>
      <c r="D1033" s="17">
        <f>IFERROR(__xludf.DUMMYFUNCTION("""COMPUTED_VALUE"""),45602.45852082176)</f>
        <v>45602.45852</v>
      </c>
      <c r="E1033" s="11" t="str">
        <f>IFERROR(__xludf.DUMMYFUNCTION("""COMPUTED_VALUE"""),"BN Jual Beli")</f>
        <v>BN Jual Beli</v>
      </c>
      <c r="F1033" s="11" t="str">
        <f>IFERROR(__xludf.DUMMYFUNCTION("""COMPUTED_VALUE"""),"Richard Adi P/ Antonius D A")</f>
        <v>Richard Adi P/ Antonius D A</v>
      </c>
      <c r="G1033" s="13">
        <f t="shared" si="1"/>
        <v>893</v>
      </c>
      <c r="H1033" s="13" t="str">
        <f>IFERROR(__xludf.DUMMYFUNCTION("""COMPUTED_VALUE"""),"P0")</f>
        <v>P0</v>
      </c>
    </row>
    <row r="1034" ht="22.5" customHeight="1">
      <c r="B1034" s="17" t="str">
        <f>IFERROR(__xludf.DUMMYFUNCTION("""COMPUTED_VALUE"""),"K/15/061124/2")</f>
        <v>K/15/061124/2</v>
      </c>
      <c r="C1034" s="17" t="str">
        <f>IFERROR(__xludf.DUMMYFUNCTION("""COMPUTED_VALUE"""),"M.05/GUNUNG SARI")</f>
        <v>M.05/GUNUNG SARI</v>
      </c>
      <c r="D1034" s="17">
        <f>IFERROR(__xludf.DUMMYFUNCTION("""COMPUTED_VALUE"""),45602.458822245375)</f>
        <v>45602.45882</v>
      </c>
      <c r="E1034" s="11" t="str">
        <f>IFERROR(__xludf.DUMMYFUNCTION("""COMPUTED_VALUE"""),"BN HIBAH")</f>
        <v>BN HIBAH</v>
      </c>
      <c r="F1034" s="11" t="str">
        <f>IFERROR(__xludf.DUMMYFUNCTION("""COMPUTED_VALUE"""),"KARTIKA UTAMI/ SHERLY")</f>
        <v>KARTIKA UTAMI/ SHERLY</v>
      </c>
      <c r="G1034" s="13">
        <f t="shared" si="1"/>
        <v>894</v>
      </c>
      <c r="H1034" s="13" t="str">
        <f>IFERROR(__xludf.DUMMYFUNCTION("""COMPUTED_VALUE"""),"P0")</f>
        <v>P0</v>
      </c>
    </row>
    <row r="1035" ht="22.5" customHeight="1">
      <c r="B1035" s="17" t="str">
        <f>IFERROR(__xludf.DUMMYFUNCTION("""COMPUTED_VALUE"""),"K/17/061124/1")</f>
        <v>K/17/061124/1</v>
      </c>
      <c r="C1035" s="17" t="str">
        <f>IFERROR(__xludf.DUMMYFUNCTION("""COMPUTED_VALUE"""),"M.1375/BERINGIN JAYA-SEKARANG;B.2740/BERINGIN RAYA-DAHULU")</f>
        <v>M.1375/BERINGIN JAYA-SEKARANG;B.2740/BERINGIN RAYA-DAHULU</v>
      </c>
      <c r="D1035" s="17">
        <f>IFERROR(__xludf.DUMMYFUNCTION("""COMPUTED_VALUE"""),45602.462799479166)</f>
        <v>45602.4628</v>
      </c>
      <c r="E1035" s="11" t="str">
        <f>IFERROR(__xludf.DUMMYFUNCTION("""COMPUTED_VALUE"""),"BN JUAL BELI")</f>
        <v>BN JUAL BELI</v>
      </c>
      <c r="F1035" s="11" t="str">
        <f>IFERROR(__xludf.DUMMYFUNCTION("""COMPUTED_VALUE"""),"APRIANA INDARWATI/NOVALIA EKA PUTRI")</f>
        <v>APRIANA INDARWATI/NOVALIA EKA PUTRI</v>
      </c>
      <c r="G1035" s="13">
        <f t="shared" si="1"/>
        <v>895</v>
      </c>
      <c r="H1035" s="13" t="str">
        <f>IFERROR(__xludf.DUMMYFUNCTION("""COMPUTED_VALUE"""),"P0")</f>
        <v>P0</v>
      </c>
    </row>
    <row r="1036" ht="22.5" customHeight="1">
      <c r="B1036" s="17" t="str">
        <f>IFERROR(__xludf.DUMMYFUNCTION("""COMPUTED_VALUE"""),"K/10/211024/1")</f>
        <v>K/10/211024/1</v>
      </c>
      <c r="C1036" s="17" t="str">
        <f>IFERROR(__xludf.DUMMYFUNCTION("""COMPUTED_VALUE"""),"B. 606/ Sumur Putri	")</f>
        <v>B. 606/ Sumur Putri	</v>
      </c>
      <c r="D1036" s="17">
        <f>IFERROR(__xludf.DUMMYFUNCTION("""COMPUTED_VALUE"""),45602.465115115745)</f>
        <v>45602.46512</v>
      </c>
      <c r="E1036" s="11" t="str">
        <f>IFERROR(__xludf.DUMMYFUNCTION("""COMPUTED_VALUE"""),"BN Jual Beli")</f>
        <v>BN Jual Beli</v>
      </c>
      <c r="F1036" s="11" t="str">
        <f>IFERROR(__xludf.DUMMYFUNCTION("""COMPUTED_VALUE"""),"Panary S/ Lili Meilani	")</f>
        <v>Panary S/ Lili Meilani	</v>
      </c>
      <c r="G1036" s="13">
        <f t="shared" si="1"/>
        <v>895</v>
      </c>
      <c r="H1036" s="13" t="str">
        <f>IFERROR(__xludf.DUMMYFUNCTION("""COMPUTED_VALUE"""),"P2")</f>
        <v>P2</v>
      </c>
    </row>
    <row r="1037" ht="22.5" customHeight="1">
      <c r="B1037" s="17" t="str">
        <f>IFERROR(__xludf.DUMMYFUNCTION("""COMPUTED_VALUE"""),"K/39/221024/1")</f>
        <v>K/39/221024/1</v>
      </c>
      <c r="C1037" s="17" t="str">
        <f>IFERROR(__xludf.DUMMYFUNCTION("""COMPUTED_VALUE"""),"M. 6475/ Way Kandis	")</f>
        <v>M. 6475/ Way Kandis	</v>
      </c>
      <c r="D1037" s="17">
        <f>IFERROR(__xludf.DUMMYFUNCTION("""COMPUTED_VALUE"""),45602.46644788195)</f>
        <v>45602.46645</v>
      </c>
      <c r="E1037" s="11" t="str">
        <f>IFERROR(__xludf.DUMMYFUNCTION("""COMPUTED_VALUE"""),"BN Jual Beli")</f>
        <v>BN Jual Beli</v>
      </c>
      <c r="F1037" s="11" t="str">
        <f>IFERROR(__xludf.DUMMYFUNCTION("""COMPUTED_VALUE"""),"Panary S/ Amirhan")</f>
        <v>Panary S/ Amirhan</v>
      </c>
      <c r="G1037" s="13">
        <f t="shared" si="1"/>
        <v>895</v>
      </c>
      <c r="H1037" s="13" t="str">
        <f>IFERROR(__xludf.DUMMYFUNCTION("""COMPUTED_VALUE"""),"P2")</f>
        <v>P2</v>
      </c>
    </row>
    <row r="1038" ht="22.5" customHeight="1">
      <c r="B1038" s="17" t="str">
        <f>IFERROR(__xludf.DUMMYFUNCTION("""COMPUTED_VALUE"""),"L/18/061124/1")</f>
        <v>L/18/061124/1</v>
      </c>
      <c r="C1038" s="17" t="str">
        <f>IFERROR(__xludf.DUMMYFUNCTION("""COMPUTED_VALUE"""),"HM 13595/SUKABUMI")</f>
        <v>HM 13595/SUKABUMI</v>
      </c>
      <c r="D1038" s="17">
        <f>IFERROR(__xludf.DUMMYFUNCTION("""COMPUTED_VALUE"""),45602.46919640046)</f>
        <v>45602.4692</v>
      </c>
      <c r="E1038" s="11" t="str">
        <f>IFERROR(__xludf.DUMMYFUNCTION("""COMPUTED_VALUE"""),"ROYA")</f>
        <v>ROYA</v>
      </c>
      <c r="F1038" s="11" t="str">
        <f>IFERROR(__xludf.DUMMYFUNCTION("""COMPUTED_VALUE"""),"RINA")</f>
        <v>RINA</v>
      </c>
      <c r="G1038" s="13">
        <f t="shared" si="1"/>
        <v>896</v>
      </c>
      <c r="H1038" s="13" t="str">
        <f>IFERROR(__xludf.DUMMYFUNCTION("""COMPUTED_VALUE"""),"P0")</f>
        <v>P0</v>
      </c>
    </row>
    <row r="1039" ht="22.5" customHeight="1">
      <c r="B1039" s="17" t="str">
        <f>IFERROR(__xludf.DUMMYFUNCTION("""COMPUTED_VALUE"""),"K/19/061124/1")</f>
        <v>K/19/061124/1</v>
      </c>
      <c r="C1039" s="17" t="str">
        <f>IFERROR(__xludf.DUMMYFUNCTION("""COMPUTED_VALUE"""),"M. 1704/ Way Kandis")</f>
        <v>M. 1704/ Way Kandis</v>
      </c>
      <c r="D1039" s="17">
        <f>IFERROR(__xludf.DUMMYFUNCTION("""COMPUTED_VALUE"""),45602.47057679398)</f>
        <v>45602.47058</v>
      </c>
      <c r="E1039" s="11" t="str">
        <f>IFERROR(__xludf.DUMMYFUNCTION("""COMPUTED_VALUE"""),"ROYA")</f>
        <v>ROYA</v>
      </c>
      <c r="F1039" s="11" t="str">
        <f>IFERROR(__xludf.DUMMYFUNCTION("""COMPUTED_VALUE"""),"PANARY SITOPU/ JUNJUNGAN")</f>
        <v>PANARY SITOPU/ JUNJUNGAN</v>
      </c>
      <c r="G1039" s="13">
        <f t="shared" si="1"/>
        <v>897</v>
      </c>
      <c r="H1039" s="13" t="str">
        <f>IFERROR(__xludf.DUMMYFUNCTION("""COMPUTED_VALUE"""),"P0")</f>
        <v>P0</v>
      </c>
    </row>
    <row r="1040" ht="22.5" customHeight="1">
      <c r="B1040" s="17" t="str">
        <f>IFERROR(__xludf.DUMMYFUNCTION("""COMPUTED_VALUE"""),"K/43/281024/1")</f>
        <v>K/43/281024/1</v>
      </c>
      <c r="C1040" s="17" t="str">
        <f>IFERROR(__xludf.DUMMYFUNCTION("""COMPUTED_VALUE"""),"B.605/SUMUR PUTRI")</f>
        <v>B.605/SUMUR PUTRI</v>
      </c>
      <c r="D1040" s="17">
        <f>IFERROR(__xludf.DUMMYFUNCTION("""COMPUTED_VALUE"""),45602.47159965278)</f>
        <v>45602.4716</v>
      </c>
      <c r="E1040" s="11" t="str">
        <f>IFERROR(__xludf.DUMMYFUNCTION("""COMPUTED_VALUE"""),"BN JUAL BELI ")</f>
        <v>BN JUAL BELI </v>
      </c>
      <c r="F1040" s="11" t="str">
        <f>IFERROR(__xludf.DUMMYFUNCTION("""COMPUTED_VALUE"""),"MARTINUS HANDOYO S/PANARY SITOPU")</f>
        <v>MARTINUS HANDOYO S/PANARY SITOPU</v>
      </c>
      <c r="G1040" s="13">
        <f t="shared" si="1"/>
        <v>897</v>
      </c>
      <c r="H1040" s="13" t="str">
        <f>IFERROR(__xludf.DUMMYFUNCTION("""COMPUTED_VALUE"""),"P1")</f>
        <v>P1</v>
      </c>
    </row>
    <row r="1041" ht="22.5" customHeight="1">
      <c r="B1041" s="17" t="str">
        <f>IFERROR(__xludf.DUMMYFUNCTION("""COMPUTED_VALUE"""),"L/20/061124/1")</f>
        <v>L/20/061124/1</v>
      </c>
      <c r="C1041" s="17" t="str">
        <f>IFERROR(__xludf.DUMMYFUNCTION("""COMPUTED_VALUE"""),"HM 2606/WAY KANDIS")</f>
        <v>HM 2606/WAY KANDIS</v>
      </c>
      <c r="D1041" s="17">
        <f>IFERROR(__xludf.DUMMYFUNCTION("""COMPUTED_VALUE"""),45602.477295358796)</f>
        <v>45602.4773</v>
      </c>
      <c r="E1041" s="11" t="str">
        <f>IFERROR(__xludf.DUMMYFUNCTION("""COMPUTED_VALUE"""),"PTPGT")</f>
        <v>PTPGT</v>
      </c>
      <c r="F1041" s="11" t="str">
        <f>IFERROR(__xludf.DUMMYFUNCTION("""COMPUTED_VALUE"""),"JUJU JURIAH")</f>
        <v>JUJU JURIAH</v>
      </c>
      <c r="G1041" s="13">
        <f t="shared" si="1"/>
        <v>898</v>
      </c>
      <c r="H1041" s="13" t="str">
        <f>IFERROR(__xludf.DUMMYFUNCTION("""COMPUTED_VALUE"""),"P0")</f>
        <v>P0</v>
      </c>
    </row>
    <row r="1042" ht="22.5" customHeight="1">
      <c r="B1042" s="17" t="str">
        <f>IFERROR(__xludf.DUMMYFUNCTION("""COMPUTED_VALUE"""),"K/21/061124/1")</f>
        <v>K/21/061124/1</v>
      </c>
      <c r="C1042" s="17" t="str">
        <f>IFERROR(__xludf.DUMMYFUNCTION("""COMPUTED_VALUE"""),"M. 1538/ Keteguhan")</f>
        <v>M. 1538/ Keteguhan</v>
      </c>
      <c r="D1042" s="17">
        <f>IFERROR(__xludf.DUMMYFUNCTION("""COMPUTED_VALUE"""),45602.48073490741)</f>
        <v>45602.48073</v>
      </c>
      <c r="E1042" s="11" t="str">
        <f>IFERROR(__xludf.DUMMYFUNCTION("""COMPUTED_VALUE"""),"BN Jual Beli")</f>
        <v>BN Jual Beli</v>
      </c>
      <c r="F1042" s="11" t="str">
        <f>IFERROR(__xludf.DUMMYFUNCTION("""COMPUTED_VALUE"""),"Adnan/ Risna Umami")</f>
        <v>Adnan/ Risna Umami</v>
      </c>
      <c r="G1042" s="13">
        <f t="shared" si="1"/>
        <v>899</v>
      </c>
      <c r="H1042" s="13" t="str">
        <f>IFERROR(__xludf.DUMMYFUNCTION("""COMPUTED_VALUE"""),"P0")</f>
        <v>P0</v>
      </c>
    </row>
    <row r="1043" ht="22.5" customHeight="1">
      <c r="B1043" s="17" t="str">
        <f>IFERROR(__xludf.DUMMYFUNCTION("""COMPUTED_VALUE"""),"L/22/061124/1")</f>
        <v>L/22/061124/1</v>
      </c>
      <c r="C1043" s="17" t="str">
        <f>IFERROR(__xludf.DUMMYFUNCTION("""COMPUTED_VALUE"""),"HGB 216/RAJABASA PEMUKA")</f>
        <v>HGB 216/RAJABASA PEMUKA</v>
      </c>
      <c r="D1043" s="17">
        <f>IFERROR(__xludf.DUMMYFUNCTION("""COMPUTED_VALUE"""),45602.48362932871)</f>
        <v>45602.48363</v>
      </c>
      <c r="E1043" s="11" t="str">
        <f>IFERROR(__xludf.DUMMYFUNCTION("""COMPUTED_VALUE"""),"PERUBAHAN HAK")</f>
        <v>PERUBAHAN HAK</v>
      </c>
      <c r="F1043" s="11" t="str">
        <f>IFERROR(__xludf.DUMMYFUNCTION("""COMPUTED_VALUE"""),"A GUNAWAN")</f>
        <v>A GUNAWAN</v>
      </c>
      <c r="G1043" s="13">
        <f t="shared" si="1"/>
        <v>900</v>
      </c>
      <c r="H1043" s="13" t="str">
        <f>IFERROR(__xludf.DUMMYFUNCTION("""COMPUTED_VALUE"""),"P0")</f>
        <v>P0</v>
      </c>
    </row>
    <row r="1044" ht="22.5" customHeight="1">
      <c r="B1044" s="17" t="str">
        <f>IFERROR(__xludf.DUMMYFUNCTION("""COMPUTED_VALUE"""),"K/24/061124/1")</f>
        <v>K/24/061124/1</v>
      </c>
      <c r="C1044" s="17" t="str">
        <f>IFERROR(__xludf.DUMMYFUNCTION("""COMPUTED_VALUE"""),"B. 388/ Panjang Utara")</f>
        <v>B. 388/ Panjang Utara</v>
      </c>
      <c r="D1044" s="17">
        <f>IFERROR(__xludf.DUMMYFUNCTION("""COMPUTED_VALUE"""),45602.48831936343)</f>
        <v>45602.48832</v>
      </c>
      <c r="E1044" s="11" t="str">
        <f>IFERROR(__xludf.DUMMYFUNCTION("""COMPUTED_VALUE"""),"PERUBAHAN HAK")</f>
        <v>PERUBAHAN HAK</v>
      </c>
      <c r="F1044" s="11" t="str">
        <f>IFERROR(__xludf.DUMMYFUNCTION("""COMPUTED_VALUE"""),"REFIYANTI/ ADITYA WIJAYA")</f>
        <v>REFIYANTI/ ADITYA WIJAYA</v>
      </c>
      <c r="G1044" s="13">
        <f t="shared" si="1"/>
        <v>901</v>
      </c>
      <c r="H1044" s="13" t="str">
        <f>IFERROR(__xludf.DUMMYFUNCTION("""COMPUTED_VALUE"""),"P0")</f>
        <v>P0</v>
      </c>
    </row>
    <row r="1045" ht="22.5" customHeight="1">
      <c r="B1045" s="17" t="str">
        <f>IFERROR(__xludf.DUMMYFUNCTION("""COMPUTED_VALUE"""),"K/23/061124/1")</f>
        <v>K/23/061124/1</v>
      </c>
      <c r="C1045" s="17" t="str">
        <f>IFERROR(__xludf.DUMMYFUNCTION("""COMPUTED_VALUE"""),"M. 11169/ Tanjung Baru")</f>
        <v>M. 11169/ Tanjung Baru</v>
      </c>
      <c r="D1045" s="17">
        <f>IFERROR(__xludf.DUMMYFUNCTION("""COMPUTED_VALUE"""),45602.4892715162)</f>
        <v>45602.48927</v>
      </c>
      <c r="E1045" s="11" t="str">
        <f>IFERROR(__xludf.DUMMYFUNCTION("""COMPUTED_VALUE"""),"BN Lelang")</f>
        <v>BN Lelang</v>
      </c>
      <c r="F1045" s="11" t="str">
        <f>IFERROR(__xludf.DUMMYFUNCTION("""COMPUTED_VALUE"""),"Junaidi Saptopo/ Yohanes Herman")</f>
        <v>Junaidi Saptopo/ Yohanes Herman</v>
      </c>
      <c r="G1045" s="13">
        <f t="shared" si="1"/>
        <v>902</v>
      </c>
      <c r="H1045" s="13" t="str">
        <f>IFERROR(__xludf.DUMMYFUNCTION("""COMPUTED_VALUE"""),"P0")</f>
        <v>P0</v>
      </c>
    </row>
    <row r="1046" ht="22.5" customHeight="1">
      <c r="B1046" s="17" t="str">
        <f>IFERROR(__xludf.DUMMYFUNCTION("""COMPUTED_VALUE"""),"K/24/181024/1")</f>
        <v>K/24/181024/1</v>
      </c>
      <c r="C1046" s="17" t="str">
        <f>IFERROR(__xludf.DUMMYFUNCTION("""COMPUTED_VALUE"""),"M. 1371/ Pengajaran")</f>
        <v>M. 1371/ Pengajaran</v>
      </c>
      <c r="D1046" s="17">
        <f>IFERROR(__xludf.DUMMYFUNCTION("""COMPUTED_VALUE"""),45602.54330525463)</f>
        <v>45602.54331</v>
      </c>
      <c r="E1046" s="11" t="str">
        <f>IFERROR(__xludf.DUMMYFUNCTION("""COMPUTED_VALUE"""),"BN HIBAH")</f>
        <v>BN HIBAH</v>
      </c>
      <c r="F1046" s="11" t="str">
        <f>IFERROR(__xludf.DUMMYFUNCTION("""COMPUTED_VALUE"""),"NOVAN SAPUTRA")</f>
        <v>NOVAN SAPUTRA</v>
      </c>
      <c r="G1046" s="13">
        <f t="shared" si="1"/>
        <v>902</v>
      </c>
      <c r="H1046" s="13" t="str">
        <f>IFERROR(__xludf.DUMMYFUNCTION("""COMPUTED_VALUE"""),"P1")</f>
        <v>P1</v>
      </c>
    </row>
    <row r="1047" ht="22.5" customHeight="1">
      <c r="B1047" s="17" t="str">
        <f>IFERROR(__xludf.DUMMYFUNCTION("""COMPUTED_VALUE"""),"K/25/061124/1")</f>
        <v>K/25/061124/1</v>
      </c>
      <c r="C1047" s="17" t="str">
        <f>IFERROR(__xludf.DUMMYFUNCTION("""COMPUTED_VALUE"""),"Nibel 1278/ Gunung terang")</f>
        <v>Nibel 1278/ Gunung terang</v>
      </c>
      <c r="D1047" s="17">
        <f>IFERROR(__xludf.DUMMYFUNCTION("""COMPUTED_VALUE"""),45602.55429935185)</f>
        <v>45602.5543</v>
      </c>
      <c r="E1047" s="11" t="str">
        <f>IFERROR(__xludf.DUMMYFUNCTION("""COMPUTED_VALUE"""),"PERUBAHAN HAK")</f>
        <v>PERUBAHAN HAK</v>
      </c>
      <c r="F1047" s="11" t="str">
        <f>IFERROR(__xludf.DUMMYFUNCTION("""COMPUTED_VALUE"""),"BUDI K/ GERRY GIOVANNI")</f>
        <v>BUDI K/ GERRY GIOVANNI</v>
      </c>
      <c r="G1047" s="13">
        <f t="shared" si="1"/>
        <v>903</v>
      </c>
      <c r="H1047" s="13" t="str">
        <f>IFERROR(__xludf.DUMMYFUNCTION("""COMPUTED_VALUE"""),"P0")</f>
        <v>P0</v>
      </c>
    </row>
    <row r="1048" ht="22.5" customHeight="1">
      <c r="B1048" s="17" t="str">
        <f>IFERROR(__xludf.DUMMYFUNCTION("""COMPUTED_VALUE"""),"L//061124/1")</f>
        <v>L//061124/1</v>
      </c>
      <c r="C1048" s="17" t="str">
        <f>IFERROR(__xludf.DUMMYFUNCTION("""COMPUTED_VALUE"""),"BATU PUTUK")</f>
        <v>BATU PUTUK</v>
      </c>
      <c r="D1048" s="17">
        <f>IFERROR(__xludf.DUMMYFUNCTION("""COMPUTED_VALUE"""),45602.568472430554)</f>
        <v>45602.56847</v>
      </c>
      <c r="E1048" s="11" t="str">
        <f>IFERROR(__xludf.DUMMYFUNCTION("""COMPUTED_VALUE"""),"TANAH MENTAH")</f>
        <v>TANAH MENTAH</v>
      </c>
      <c r="F1048" s="11" t="str">
        <f>IFERROR(__xludf.DUMMYFUNCTION("""COMPUTED_VALUE"""),"RITA PURNAMAWATI")</f>
        <v>RITA PURNAMAWATI</v>
      </c>
      <c r="G1048" s="13">
        <f t="shared" si="1"/>
        <v>904</v>
      </c>
      <c r="H1048" s="13" t="str">
        <f>IFERROR(__xludf.DUMMYFUNCTION("""COMPUTED_VALUE"""),"P0")</f>
        <v>P0</v>
      </c>
    </row>
    <row r="1049" ht="22.5" customHeight="1">
      <c r="B1049" s="17" t="str">
        <f>IFERROR(__xludf.DUMMYFUNCTION("""COMPUTED_VALUE"""),"K/21/171024/2")</f>
        <v>K/21/171024/2</v>
      </c>
      <c r="C1049" s="17" t="str">
        <f>IFERROR(__xludf.DUMMYFUNCTION("""COMPUTED_VALUE"""),"M. 128/ Kemiling raya")</f>
        <v>M. 128/ Kemiling raya</v>
      </c>
      <c r="D1049" s="17">
        <f>IFERROR(__xludf.DUMMYFUNCTION("""COMPUTED_VALUE"""),45602.568473287036)</f>
        <v>45602.56847</v>
      </c>
      <c r="E1049" s="11" t="str">
        <f>IFERROR(__xludf.DUMMYFUNCTION("""COMPUTED_VALUE"""),"BN JUAL BELI")</f>
        <v>BN JUAL BELI</v>
      </c>
      <c r="F1049" s="11" t="str">
        <f>IFERROR(__xludf.DUMMYFUNCTION("""COMPUTED_VALUE"""),"ALI LIUS")</f>
        <v>ALI LIUS</v>
      </c>
      <c r="G1049" s="13">
        <f t="shared" si="1"/>
        <v>904</v>
      </c>
      <c r="H1049" s="13" t="str">
        <f>IFERROR(__xludf.DUMMYFUNCTION("""COMPUTED_VALUE"""),"P1")</f>
        <v>P1</v>
      </c>
    </row>
    <row r="1050" ht="22.5" customHeight="1">
      <c r="B1050" s="17" t="str">
        <f>IFERROR(__xludf.DUMMYFUNCTION("""COMPUTED_VALUE"""),"K/33/291024/1")</f>
        <v>K/33/291024/1</v>
      </c>
      <c r="C1050" s="17" t="str">
        <f>IFERROR(__xludf.DUMMYFUNCTION("""COMPUTED_VALUE"""),"M. 1126/ Gotong Royong	")</f>
        <v>M. 1126/ Gotong Royong	</v>
      </c>
      <c r="D1050" s="17">
        <f>IFERROR(__xludf.DUMMYFUNCTION("""COMPUTED_VALUE"""),45602.56971045139)</f>
        <v>45602.56971</v>
      </c>
      <c r="E1050" s="11" t="str">
        <f>IFERROR(__xludf.DUMMYFUNCTION("""COMPUTED_VALUE"""),"BN Waris")</f>
        <v>BN Waris</v>
      </c>
      <c r="F1050" s="11" t="str">
        <f>IFERROR(__xludf.DUMMYFUNCTION("""COMPUTED_VALUE"""),"Fahrul Rozi/ Maria Evi Cs	")</f>
        <v>Fahrul Rozi/ Maria Evi Cs	</v>
      </c>
      <c r="G1050" s="13">
        <f t="shared" si="1"/>
        <v>904</v>
      </c>
      <c r="H1050" s="13" t="str">
        <f>IFERROR(__xludf.DUMMYFUNCTION("""COMPUTED_VALUE"""),"P1")</f>
        <v>P1</v>
      </c>
    </row>
    <row r="1051" ht="22.5" customHeight="1">
      <c r="B1051" s="17" t="str">
        <f>IFERROR(__xludf.DUMMYFUNCTION("""COMPUTED_VALUE"""),"L//061124/2")</f>
        <v>L//061124/2</v>
      </c>
      <c r="C1051" s="17" t="str">
        <f>IFERROR(__xludf.DUMMYFUNCTION("""COMPUTED_VALUE"""),"BATU PUTUK")</f>
        <v>BATU PUTUK</v>
      </c>
      <c r="D1051" s="17">
        <f>IFERROR(__xludf.DUMMYFUNCTION("""COMPUTED_VALUE"""),45602.571871215274)</f>
        <v>45602.57187</v>
      </c>
      <c r="E1051" s="11" t="str">
        <f>IFERROR(__xludf.DUMMYFUNCTION("""COMPUTED_VALUE"""),"TANAH MENTAH")</f>
        <v>TANAH MENTAH</v>
      </c>
      <c r="F1051" s="11" t="str">
        <f>IFERROR(__xludf.DUMMYFUNCTION("""COMPUTED_VALUE"""),"RITA PURNAMAWATI")</f>
        <v>RITA PURNAMAWATI</v>
      </c>
      <c r="G1051" s="13">
        <f t="shared" si="1"/>
        <v>905</v>
      </c>
      <c r="H1051" s="13" t="str">
        <f>IFERROR(__xludf.DUMMYFUNCTION("""COMPUTED_VALUE"""),"P0")</f>
        <v>P0</v>
      </c>
    </row>
    <row r="1052" ht="22.5" customHeight="1">
      <c r="B1052" s="17" t="str">
        <f>IFERROR(__xludf.DUMMYFUNCTION("""COMPUTED_VALUE"""),"K/29/061124/1")</f>
        <v>K/29/061124/1</v>
      </c>
      <c r="C1052" s="17" t="str">
        <f>IFERROR(__xludf.DUMMYFUNCTION("""COMPUTED_VALUE"""),"M. 711/ Penengahan")</f>
        <v>M. 711/ Penengahan</v>
      </c>
      <c r="D1052" s="17">
        <f>IFERROR(__xludf.DUMMYFUNCTION("""COMPUTED_VALUE"""),45602.57368548611)</f>
        <v>45602.57369</v>
      </c>
      <c r="E1052" s="11" t="str">
        <f>IFERROR(__xludf.DUMMYFUNCTION("""COMPUTED_VALUE"""),"Ploting")</f>
        <v>Ploting</v>
      </c>
      <c r="F1052" s="11" t="str">
        <f>IFERROR(__xludf.DUMMYFUNCTION("""COMPUTED_VALUE"""),"Mahfud/ Zamzami")</f>
        <v>Mahfud/ Zamzami</v>
      </c>
      <c r="G1052" s="13">
        <f t="shared" si="1"/>
        <v>906</v>
      </c>
      <c r="H1052" s="13" t="str">
        <f>IFERROR(__xludf.DUMMYFUNCTION("""COMPUTED_VALUE"""),"P0")</f>
        <v>P0</v>
      </c>
    </row>
    <row r="1053" ht="22.5" customHeight="1">
      <c r="B1053" s="17" t="str">
        <f>IFERROR(__xludf.DUMMYFUNCTION("""COMPUTED_VALUE"""),"K/30/061124/2")</f>
        <v>K/30/061124/2</v>
      </c>
      <c r="C1053" s="17" t="str">
        <f>IFERROR(__xludf.DUMMYFUNCTION("""COMPUTED_VALUE"""),"M. 725/ Kupang Teba")</f>
        <v>M. 725/ Kupang Teba</v>
      </c>
      <c r="D1053" s="17">
        <f>IFERROR(__xludf.DUMMYFUNCTION("""COMPUTED_VALUE"""),45602.57421395833)</f>
        <v>45602.57421</v>
      </c>
      <c r="E1053" s="11" t="str">
        <f>IFERROR(__xludf.DUMMYFUNCTION("""COMPUTED_VALUE"""),"Gandes")</f>
        <v>Gandes</v>
      </c>
      <c r="F1053" s="11" t="str">
        <f>IFERROR(__xludf.DUMMYFUNCTION("""COMPUTED_VALUE"""),"Mahfud/ Me Nie")</f>
        <v>Mahfud/ Me Nie</v>
      </c>
      <c r="G1053" s="13">
        <f t="shared" si="1"/>
        <v>907</v>
      </c>
      <c r="H1053" s="13" t="str">
        <f>IFERROR(__xludf.DUMMYFUNCTION("""COMPUTED_VALUE"""),"P0")</f>
        <v>P0</v>
      </c>
    </row>
    <row r="1054" ht="22.5" customHeight="1">
      <c r="B1054" s="17" t="str">
        <f>IFERROR(__xludf.DUMMYFUNCTION("""COMPUTED_VALUE"""),"L/28/061124/3")</f>
        <v>L/28/061124/3</v>
      </c>
      <c r="C1054" s="17" t="str">
        <f>IFERROR(__xludf.DUMMYFUNCTION("""COMPUTED_VALUE"""),"BATU PUTU")</f>
        <v>BATU PUTU</v>
      </c>
      <c r="D1054" s="17">
        <f>IFERROR(__xludf.DUMMYFUNCTION("""COMPUTED_VALUE"""),45602.57526547454)</f>
        <v>45602.57527</v>
      </c>
      <c r="E1054" s="11" t="str">
        <f>IFERROR(__xludf.DUMMYFUNCTION("""COMPUTED_VALUE"""),"TANAH MENTAH")</f>
        <v>TANAH MENTAH</v>
      </c>
      <c r="F1054" s="11" t="str">
        <f>IFERROR(__xludf.DUMMYFUNCTION("""COMPUTED_VALUE"""),"RITA PURNAMASARI")</f>
        <v>RITA PURNAMASARI</v>
      </c>
      <c r="G1054" s="13">
        <f t="shared" si="1"/>
        <v>908</v>
      </c>
      <c r="H1054" s="13" t="str">
        <f>IFERROR(__xludf.DUMMYFUNCTION("""COMPUTED_VALUE"""),"P0")</f>
        <v>P0</v>
      </c>
    </row>
    <row r="1055" ht="22.5" customHeight="1">
      <c r="B1055" s="17" t="str">
        <f>IFERROR(__xludf.DUMMYFUNCTION("""COMPUTED_VALUE"""),"K/7/281024/1")</f>
        <v>K/7/281024/1</v>
      </c>
      <c r="C1055" s="17" t="str">
        <f>IFERROR(__xludf.DUMMYFUNCTION("""COMPUTED_VALUE"""),"Nibel. M. 1226/ Gulak Galik	")</f>
        <v>Nibel. M. 1226/ Gulak Galik	</v>
      </c>
      <c r="D1055" s="17">
        <f>IFERROR(__xludf.DUMMYFUNCTION("""COMPUTED_VALUE"""),45602.576655613426)</f>
        <v>45602.57666</v>
      </c>
      <c r="E1055" s="11" t="str">
        <f>IFERROR(__xludf.DUMMYFUNCTION("""COMPUTED_VALUE"""),"BN Hibah")</f>
        <v>BN Hibah</v>
      </c>
      <c r="F1055" s="11" t="str">
        <f>IFERROR(__xludf.DUMMYFUNCTION("""COMPUTED_VALUE"""),"Mahfud/ Alwiyah ALi")</f>
        <v>Mahfud/ Alwiyah ALi</v>
      </c>
      <c r="G1055" s="13">
        <f t="shared" si="1"/>
        <v>908</v>
      </c>
      <c r="H1055" s="13" t="str">
        <f>IFERROR(__xludf.DUMMYFUNCTION("""COMPUTED_VALUE"""),"P1")</f>
        <v>P1</v>
      </c>
    </row>
    <row r="1056" ht="22.5" customHeight="1">
      <c r="B1056" s="17" t="str">
        <f>IFERROR(__xludf.DUMMYFUNCTION("""COMPUTED_VALUE"""),"K/31/061124/1")</f>
        <v>K/31/061124/1</v>
      </c>
      <c r="C1056" s="17" t="str">
        <f>IFERROR(__xludf.DUMMYFUNCTION("""COMPUTED_VALUE"""),"B. 254/ Nusantara Permai")</f>
        <v>B. 254/ Nusantara Permai</v>
      </c>
      <c r="D1056" s="17">
        <f>IFERROR(__xludf.DUMMYFUNCTION("""COMPUTED_VALUE"""),45602.57977678241)</f>
        <v>45602.57978</v>
      </c>
      <c r="E1056" s="11" t="str">
        <f>IFERROR(__xludf.DUMMYFUNCTION("""COMPUTED_VALUE"""),"Bn Jual Beli")</f>
        <v>Bn Jual Beli</v>
      </c>
      <c r="F1056" s="11" t="str">
        <f>IFERROR(__xludf.DUMMYFUNCTION("""COMPUTED_VALUE"""),"Fahrul R/ Chandra I")</f>
        <v>Fahrul R/ Chandra I</v>
      </c>
      <c r="G1056" s="13">
        <f t="shared" si="1"/>
        <v>909</v>
      </c>
      <c r="H1056" s="13" t="str">
        <f>IFERROR(__xludf.DUMMYFUNCTION("""COMPUTED_VALUE"""),"P0")</f>
        <v>P0</v>
      </c>
    </row>
    <row r="1057" ht="22.5" customHeight="1">
      <c r="B1057" s="17" t="str">
        <f>IFERROR(__xludf.DUMMYFUNCTION("""COMPUTED_VALUE"""),"K/32/061124/2")</f>
        <v>K/32/061124/2</v>
      </c>
      <c r="C1057" s="17" t="str">
        <f>IFERROR(__xludf.DUMMYFUNCTION("""COMPUTED_VALUE"""),"M. 901/ Sumberrejo Sehatera")</f>
        <v>M. 901/ Sumberrejo Sehatera</v>
      </c>
      <c r="D1057" s="17">
        <f>IFERROR(__xludf.DUMMYFUNCTION("""COMPUTED_VALUE"""),45602.58284721065)</f>
        <v>45602.58285</v>
      </c>
      <c r="E1057" s="11" t="str">
        <f>IFERROR(__xludf.DUMMYFUNCTION("""COMPUTED_VALUE"""),"BN Jual Beli")</f>
        <v>BN Jual Beli</v>
      </c>
      <c r="F1057" s="11" t="str">
        <f>IFERROR(__xludf.DUMMYFUNCTION("""COMPUTED_VALUE"""),"Fahrul R/ Prayoga P P")</f>
        <v>Fahrul R/ Prayoga P P</v>
      </c>
      <c r="G1057" s="13">
        <f t="shared" si="1"/>
        <v>910</v>
      </c>
      <c r="H1057" s="13" t="str">
        <f>IFERROR(__xludf.DUMMYFUNCTION("""COMPUTED_VALUE"""),"P0")</f>
        <v>P0</v>
      </c>
    </row>
    <row r="1058" ht="22.5" customHeight="1">
      <c r="B1058" s="17" t="str">
        <f>IFERROR(__xludf.DUMMYFUNCTION("""COMPUTED_VALUE"""),"K/33/061124/3")</f>
        <v>K/33/061124/3</v>
      </c>
      <c r="C1058" s="17" t="str">
        <f>IFERROR(__xludf.DUMMYFUNCTION("""COMPUTED_VALUE"""),"B. 1017/ Keteguhan")</f>
        <v>B. 1017/ Keteguhan</v>
      </c>
      <c r="D1058" s="17">
        <f>IFERROR(__xludf.DUMMYFUNCTION("""COMPUTED_VALUE"""),45602.58430939815)</f>
        <v>45602.58431</v>
      </c>
      <c r="E1058" s="11" t="str">
        <f>IFERROR(__xludf.DUMMYFUNCTION("""COMPUTED_VALUE"""),"BN Jual Beli")</f>
        <v>BN Jual Beli</v>
      </c>
      <c r="F1058" s="11" t="str">
        <f>IFERROR(__xludf.DUMMYFUNCTION("""COMPUTED_VALUE"""),"Fahrul R/ Leonita")</f>
        <v>Fahrul R/ Leonita</v>
      </c>
      <c r="G1058" s="13">
        <f t="shared" si="1"/>
        <v>911</v>
      </c>
      <c r="H1058" s="13" t="str">
        <f>IFERROR(__xludf.DUMMYFUNCTION("""COMPUTED_VALUE"""),"P0")</f>
        <v>P0</v>
      </c>
    </row>
    <row r="1059" ht="22.5" customHeight="1">
      <c r="B1059" s="17" t="str">
        <f>IFERROR(__xludf.DUMMYFUNCTION("""COMPUTED_VALUE"""),"K/34/061124/1")</f>
        <v>K/34/061124/1</v>
      </c>
      <c r="C1059" s="17" t="str">
        <f>IFERROR(__xludf.DUMMYFUNCTION("""COMPUTED_VALUE"""),"M.1929/KALI BALAU KENCANA")</f>
        <v>M.1929/KALI BALAU KENCANA</v>
      </c>
      <c r="D1059" s="17">
        <f>IFERROR(__xludf.DUMMYFUNCTION("""COMPUTED_VALUE"""),45602.58441115741)</f>
        <v>45602.58441</v>
      </c>
      <c r="E1059" s="11" t="str">
        <f>IFERROR(__xludf.DUMMYFUNCTION("""COMPUTED_VALUE"""),"BN JUAL BELI")</f>
        <v>BN JUAL BELI</v>
      </c>
      <c r="F1059" s="11" t="str">
        <f>IFERROR(__xludf.DUMMYFUNCTION("""COMPUTED_VALUE"""),"SEPTIANA/DEWI SUKMASARI")</f>
        <v>SEPTIANA/DEWI SUKMASARI</v>
      </c>
      <c r="G1059" s="13">
        <f t="shared" si="1"/>
        <v>912</v>
      </c>
      <c r="H1059" s="13" t="str">
        <f>IFERROR(__xludf.DUMMYFUNCTION("""COMPUTED_VALUE"""),"P0")</f>
        <v>P0</v>
      </c>
    </row>
    <row r="1060" ht="22.5" customHeight="1">
      <c r="B1060" s="17" t="str">
        <f>IFERROR(__xludf.DUMMYFUNCTION("""COMPUTED_VALUE"""),"K/36/061124/1")</f>
        <v>K/36/061124/1</v>
      </c>
      <c r="C1060" s="17" t="str">
        <f>IFERROR(__xludf.DUMMYFUNCTION("""COMPUTED_VALUE"""),"NIBEL M.1005/TANJUNGKARANG")</f>
        <v>NIBEL M.1005/TANJUNGKARANG</v>
      </c>
      <c r="D1060" s="17">
        <f>IFERROR(__xludf.DUMMYFUNCTION("""COMPUTED_VALUE"""),45602.591530370366)</f>
        <v>45602.59153</v>
      </c>
      <c r="E1060" s="11" t="str">
        <f>IFERROR(__xludf.DUMMYFUNCTION("""COMPUTED_VALUE"""),"BN JUAL BELI")</f>
        <v>BN JUAL BELI</v>
      </c>
      <c r="F1060" s="11" t="str">
        <f>IFERROR(__xludf.DUMMYFUNCTION("""COMPUTED_VALUE"""),"LILIS LISIANI HARSONO/TJHIA GIOK TJOE ")</f>
        <v>LILIS LISIANI HARSONO/TJHIA GIOK TJOE </v>
      </c>
      <c r="G1060" s="13">
        <f t="shared" si="1"/>
        <v>913</v>
      </c>
      <c r="H1060" s="13" t="str">
        <f>IFERROR(__xludf.DUMMYFUNCTION("""COMPUTED_VALUE"""),"P0")</f>
        <v>P0</v>
      </c>
    </row>
    <row r="1061" ht="22.5" customHeight="1">
      <c r="B1061" s="17" t="str">
        <f>IFERROR(__xludf.DUMMYFUNCTION("""COMPUTED_VALUE"""),"K/35/061124/1")</f>
        <v>K/35/061124/1</v>
      </c>
      <c r="C1061" s="17" t="str">
        <f>IFERROR(__xludf.DUMMYFUNCTION("""COMPUTED_VALUE"""),"M. 1440/ Pesawahan")</f>
        <v>M. 1440/ Pesawahan</v>
      </c>
      <c r="D1061" s="17">
        <f>IFERROR(__xludf.DUMMYFUNCTION("""COMPUTED_VALUE"""),45602.59181863426)</f>
        <v>45602.59182</v>
      </c>
      <c r="E1061" s="11" t="str">
        <f>IFERROR(__xludf.DUMMYFUNCTION("""COMPUTED_VALUE"""),"BN Jual Beli")</f>
        <v>BN Jual Beli</v>
      </c>
      <c r="F1061" s="11" t="str">
        <f>IFERROR(__xludf.DUMMYFUNCTION("""COMPUTED_VALUE"""),"Iqbal A/ Yuliati")</f>
        <v>Iqbal A/ Yuliati</v>
      </c>
      <c r="G1061" s="13">
        <f t="shared" si="1"/>
        <v>914</v>
      </c>
      <c r="H1061" s="13" t="str">
        <f>IFERROR(__xludf.DUMMYFUNCTION("""COMPUTED_VALUE"""),"P0")</f>
        <v>P0</v>
      </c>
    </row>
    <row r="1062" ht="22.5" customHeight="1">
      <c r="B1062" s="17" t="str">
        <f>IFERROR(__xludf.DUMMYFUNCTION("""COMPUTED_VALUE"""),"K/13/011124/1")</f>
        <v>K/13/011124/1</v>
      </c>
      <c r="C1062" s="17" t="str">
        <f>IFERROR(__xludf.DUMMYFUNCTION("""COMPUTED_VALUE"""),"PBT 131/2024 / B.213/ Kota Karang")</f>
        <v>PBT 131/2024 / B.213/ Kota Karang</v>
      </c>
      <c r="D1062" s="17">
        <f>IFERROR(__xludf.DUMMYFUNCTION("""COMPUTED_VALUE"""),45602.59521547453)</f>
        <v>45602.59522</v>
      </c>
      <c r="E1062" s="11" t="str">
        <f>IFERROR(__xludf.DUMMYFUNCTION("""COMPUTED_VALUE"""),"PTPGT HGB MATI")</f>
        <v>PTPGT HGB MATI</v>
      </c>
      <c r="F1062" s="11" t="str">
        <f>IFERROR(__xludf.DUMMYFUNCTION("""COMPUTED_VALUE"""),"ELVAN SIUS")</f>
        <v>ELVAN SIUS</v>
      </c>
      <c r="G1062" s="13">
        <f t="shared" si="1"/>
        <v>914</v>
      </c>
      <c r="H1062" s="13" t="str">
        <f>IFERROR(__xludf.DUMMYFUNCTION("""COMPUTED_VALUE"""),"P1")</f>
        <v>P1</v>
      </c>
    </row>
    <row r="1063" ht="22.5" customHeight="1">
      <c r="B1063" s="17" t="str">
        <f>IFERROR(__xludf.DUMMYFUNCTION("""COMPUTED_VALUE"""),"L/37/061124/1")</f>
        <v>L/37/061124/1</v>
      </c>
      <c r="C1063" s="17" t="str">
        <f>IFERROR(__xludf.DUMMYFUNCTION("""COMPUTED_VALUE"""),"HGB 811/KETEGUHAN")</f>
        <v>HGB 811/KETEGUHAN</v>
      </c>
      <c r="D1063" s="17">
        <f>IFERROR(__xludf.DUMMYFUNCTION("""COMPUTED_VALUE"""),45602.59533957176)</f>
        <v>45602.59534</v>
      </c>
      <c r="E1063" s="11" t="str">
        <f>IFERROR(__xludf.DUMMYFUNCTION("""COMPUTED_VALUE"""),"PH")</f>
        <v>PH</v>
      </c>
      <c r="F1063" s="11" t="str">
        <f>IFERROR(__xludf.DUMMYFUNCTION("""COMPUTED_VALUE"""),"EDI PURWONO")</f>
        <v>EDI PURWONO</v>
      </c>
      <c r="G1063" s="13">
        <f t="shared" si="1"/>
        <v>915</v>
      </c>
      <c r="H1063" s="13" t="str">
        <f>IFERROR(__xludf.DUMMYFUNCTION("""COMPUTED_VALUE"""),"P0")</f>
        <v>P0</v>
      </c>
    </row>
    <row r="1064" ht="22.5" customHeight="1">
      <c r="B1064" s="17" t="str">
        <f>IFERROR(__xludf.DUMMYFUNCTION("""COMPUTED_VALUE""")," K/46/291024/1")</f>
        <v> K/46/291024/1</v>
      </c>
      <c r="C1064" s="17" t="str">
        <f>IFERROR(__xludf.DUMMYFUNCTION("""COMPUTED_VALUE"""),"M. 1894/ Sukaraja")</f>
        <v>M. 1894/ Sukaraja</v>
      </c>
      <c r="D1064" s="17">
        <f>IFERROR(__xludf.DUMMYFUNCTION("""COMPUTED_VALUE"""),45602.5981187963)</f>
        <v>45602.59812</v>
      </c>
      <c r="E1064" s="11" t="str">
        <f>IFERROR(__xludf.DUMMYFUNCTION("""COMPUTED_VALUE"""),"BN JUAL BELI")</f>
        <v>BN JUAL BELI</v>
      </c>
      <c r="F1064" s="11" t="str">
        <f>IFERROR(__xludf.DUMMYFUNCTION("""COMPUTED_VALUE"""),"RIKA WISANGRATRI")</f>
        <v>RIKA WISANGRATRI</v>
      </c>
      <c r="G1064" s="13">
        <f t="shared" si="1"/>
        <v>915</v>
      </c>
      <c r="H1064" s="13" t="str">
        <f>IFERROR(__xludf.DUMMYFUNCTION("""COMPUTED_VALUE"""),"P1")</f>
        <v>P1</v>
      </c>
    </row>
    <row r="1065" ht="22.5" customHeight="1">
      <c r="B1065" s="17" t="str">
        <f>IFERROR(__xludf.DUMMYFUNCTION("""COMPUTED_VALUE"""),"K/39/061124/1")</f>
        <v>K/39/061124/1</v>
      </c>
      <c r="C1065" s="17" t="str">
        <f>IFERROR(__xludf.DUMMYFUNCTION("""COMPUTED_VALUE"""),"PBT. 148/2024")</f>
        <v>PBT. 148/2024</v>
      </c>
      <c r="D1065" s="17">
        <f>IFERROR(__xludf.DUMMYFUNCTION("""COMPUTED_VALUE"""),45602.622433125)</f>
        <v>45602.62243</v>
      </c>
      <c r="E1065" s="11" t="str">
        <f>IFERROR(__xludf.DUMMYFUNCTION("""COMPUTED_VALUE"""),"PTPGT (Pertama Kali)")</f>
        <v>PTPGT (Pertama Kali)</v>
      </c>
      <c r="F1065" s="11" t="str">
        <f>IFERROR(__xludf.DUMMYFUNCTION("""COMPUTED_VALUE"""),"Kusno/ Muhijan")</f>
        <v>Kusno/ Muhijan</v>
      </c>
      <c r="G1065" s="13">
        <f t="shared" si="1"/>
        <v>916</v>
      </c>
      <c r="H1065" s="13" t="str">
        <f>IFERROR(__xludf.DUMMYFUNCTION("""COMPUTED_VALUE"""),"P0")</f>
        <v>P0</v>
      </c>
    </row>
    <row r="1066" ht="22.5" customHeight="1">
      <c r="B1066" s="17" t="str">
        <f>IFERROR(__xludf.DUMMYFUNCTION("""COMPUTED_VALUE"""),"K/38/061124/1")</f>
        <v>K/38/061124/1</v>
      </c>
      <c r="C1066" s="17" t="str">
        <f>IFERROR(__xludf.DUMMYFUNCTION("""COMPUTED_VALUE"""),"NIBEL M. 3311/LABUHAN RATU RAYA")</f>
        <v>NIBEL M. 3311/LABUHAN RATU RAYA</v>
      </c>
      <c r="D1066" s="17">
        <f>IFERROR(__xludf.DUMMYFUNCTION("""COMPUTED_VALUE"""),45602.60119443287)</f>
        <v>45602.60119</v>
      </c>
      <c r="E1066" s="11" t="str">
        <f>IFERROR(__xludf.DUMMYFUNCTION("""COMPUTED_VALUE"""),"PTPGT")</f>
        <v>PTPGT</v>
      </c>
      <c r="F1066" s="11" t="str">
        <f>IFERROR(__xludf.DUMMYFUNCTION("""COMPUTED_VALUE"""),"ENDANG APRILIA/CHANDRA WISNU WARDANA DAN RIZKI AGUNG PRASETYO")</f>
        <v>ENDANG APRILIA/CHANDRA WISNU WARDANA DAN RIZKI AGUNG PRASETYO</v>
      </c>
      <c r="G1066" s="13">
        <f t="shared" si="1"/>
        <v>917</v>
      </c>
      <c r="H1066" s="13" t="str">
        <f>IFERROR(__xludf.DUMMYFUNCTION("""COMPUTED_VALUE"""),"P0")</f>
        <v>P0</v>
      </c>
    </row>
    <row r="1067" ht="22.5" customHeight="1">
      <c r="B1067" s="17" t="str">
        <f>IFERROR(__xludf.DUMMYFUNCTION("""COMPUTED_VALUE"""),"L/41/061124/1")</f>
        <v>L/41/061124/1</v>
      </c>
      <c r="C1067" s="17" t="str">
        <f>IFERROR(__xludf.DUMMYFUNCTION("""COMPUTED_VALUE"""),"HM 13950/SUKABUMI")</f>
        <v>HM 13950/SUKABUMI</v>
      </c>
      <c r="D1067" s="17">
        <f>IFERROR(__xludf.DUMMYFUNCTION("""COMPUTED_VALUE"""),45602.60216554398)</f>
        <v>45602.60217</v>
      </c>
      <c r="E1067" s="11" t="str">
        <f>IFERROR(__xludf.DUMMYFUNCTION("""COMPUTED_VALUE"""),"PTPGT")</f>
        <v>PTPGT</v>
      </c>
      <c r="F1067" s="11" t="str">
        <f>IFERROR(__xludf.DUMMYFUNCTION("""COMPUTED_VALUE"""),"JAP IE LIEN")</f>
        <v>JAP IE LIEN</v>
      </c>
      <c r="G1067" s="13">
        <f t="shared" si="1"/>
        <v>918</v>
      </c>
      <c r="H1067" s="13" t="str">
        <f>IFERROR(__xludf.DUMMYFUNCTION("""COMPUTED_VALUE"""),"P0")</f>
        <v>P0</v>
      </c>
    </row>
    <row r="1068" ht="22.5" customHeight="1">
      <c r="B1068" s="17" t="str">
        <f>IFERROR(__xludf.DUMMYFUNCTION("""COMPUTED_VALUE"""),"K/40/061124/1")</f>
        <v>K/40/061124/1</v>
      </c>
      <c r="C1068" s="17" t="str">
        <f>IFERROR(__xludf.DUMMYFUNCTION("""COMPUTED_VALUE"""),"M.541/SAWAH LAMA")</f>
        <v>M.541/SAWAH LAMA</v>
      </c>
      <c r="D1068" s="17">
        <f>IFERROR(__xludf.DUMMYFUNCTION("""COMPUTED_VALUE"""),45602.60247302083)</f>
        <v>45602.60247</v>
      </c>
      <c r="E1068" s="11" t="str">
        <f>IFERROR(__xludf.DUMMYFUNCTION("""COMPUTED_VALUE"""),"PENGECEKAN")</f>
        <v>PENGECEKAN</v>
      </c>
      <c r="F1068" s="11" t="str">
        <f>IFERROR(__xludf.DUMMYFUNCTION("""COMPUTED_VALUE"""),"SUPAWIT/RENI FEBRIANI")</f>
        <v>SUPAWIT/RENI FEBRIANI</v>
      </c>
      <c r="G1068" s="13">
        <f t="shared" si="1"/>
        <v>919</v>
      </c>
      <c r="H1068" s="13" t="str">
        <f>IFERROR(__xludf.DUMMYFUNCTION("""COMPUTED_VALUE"""),"P0")</f>
        <v>P0</v>
      </c>
    </row>
    <row r="1069" ht="22.5" customHeight="1">
      <c r="B1069" s="17" t="str">
        <f>IFERROR(__xludf.DUMMYFUNCTION("""COMPUTED_VALUE"""),"K/42/061124/1")</f>
        <v>K/42/061124/1</v>
      </c>
      <c r="C1069" s="17" t="str">
        <f>IFERROR(__xludf.DUMMYFUNCTION("""COMPUTED_VALUE"""),"M. 2206/ Perumnas Way Halim")</f>
        <v>M. 2206/ Perumnas Way Halim</v>
      </c>
      <c r="D1069" s="17">
        <f>IFERROR(__xludf.DUMMYFUNCTION("""COMPUTED_VALUE"""),45602.60595041666)</f>
        <v>45602.60595</v>
      </c>
      <c r="E1069" s="11" t="str">
        <f>IFERROR(__xludf.DUMMYFUNCTION("""COMPUTED_VALUE"""),"BN JUAL BELI")</f>
        <v>BN JUAL BELI</v>
      </c>
      <c r="F1069" s="11" t="str">
        <f>IFERROR(__xludf.DUMMYFUNCTION("""COMPUTED_VALUE"""),"RIKA/ ROBET")</f>
        <v>RIKA/ ROBET</v>
      </c>
      <c r="G1069" s="13">
        <f t="shared" si="1"/>
        <v>920</v>
      </c>
      <c r="H1069" s="13" t="str">
        <f>IFERROR(__xludf.DUMMYFUNCTION("""COMPUTED_VALUE"""),"P0")</f>
        <v>P0</v>
      </c>
    </row>
    <row r="1070" ht="22.5" customHeight="1">
      <c r="B1070" s="17" t="str">
        <f>IFERROR(__xludf.DUMMYFUNCTION("""COMPUTED_VALUE"""),"K/54/211024/1")</f>
        <v>K/54/211024/1</v>
      </c>
      <c r="C1070" s="17" t="str">
        <f>IFERROR(__xludf.DUMMYFUNCTION("""COMPUTED_VALUE"""),"B. 578/ Negeri Olok Gading")</f>
        <v>B. 578/ Negeri Olok Gading</v>
      </c>
      <c r="D1070" s="17">
        <f>IFERROR(__xludf.DUMMYFUNCTION("""COMPUTED_VALUE"""),45602.60680259259)</f>
        <v>45602.6068</v>
      </c>
      <c r="E1070" s="11" t="str">
        <f>IFERROR(__xludf.DUMMYFUNCTION("""COMPUTED_VALUE"""),"ROYA")</f>
        <v>ROYA</v>
      </c>
      <c r="F1070" s="11" t="str">
        <f>IFERROR(__xludf.DUMMYFUNCTION("""COMPUTED_VALUE"""),"RENDY RENALDY")</f>
        <v>RENDY RENALDY</v>
      </c>
      <c r="G1070" s="13">
        <f t="shared" si="1"/>
        <v>920</v>
      </c>
      <c r="H1070" s="13" t="str">
        <f>IFERROR(__xludf.DUMMYFUNCTION("""COMPUTED_VALUE"""),"P1")</f>
        <v>P1</v>
      </c>
    </row>
    <row r="1071" ht="22.5" customHeight="1">
      <c r="B1071" s="17" t="str">
        <f>IFERROR(__xludf.DUMMYFUNCTION("""COMPUTED_VALUE"""),"K/43/061124/1")</f>
        <v>K/43/061124/1</v>
      </c>
      <c r="C1071" s="17" t="str">
        <f>IFERROR(__xludf.DUMMYFUNCTION("""COMPUTED_VALUE"""),"M. 11916/ tanjung baru")</f>
        <v>M. 11916/ tanjung baru</v>
      </c>
      <c r="D1071" s="17">
        <f>IFERROR(__xludf.DUMMYFUNCTION("""COMPUTED_VALUE"""),45602.60929951389)</f>
        <v>45602.6093</v>
      </c>
      <c r="E1071" s="11" t="str">
        <f>IFERROR(__xludf.DUMMYFUNCTION("""COMPUTED_VALUE"""),"SKPT LELANG")</f>
        <v>SKPT LELANG</v>
      </c>
      <c r="F1071" s="11" t="str">
        <f>IFERROR(__xludf.DUMMYFUNCTION("""COMPUTED_VALUE"""),"TITIK WIJAYANTI")</f>
        <v>TITIK WIJAYANTI</v>
      </c>
      <c r="G1071" s="13">
        <f t="shared" si="1"/>
        <v>921</v>
      </c>
      <c r="H1071" s="13" t="str">
        <f>IFERROR(__xludf.DUMMYFUNCTION("""COMPUTED_VALUE"""),"P0")</f>
        <v>P0</v>
      </c>
    </row>
    <row r="1072" ht="22.5" customHeight="1">
      <c r="B1072" s="17" t="str">
        <f>IFERROR(__xludf.DUMMYFUNCTION("""COMPUTED_VALUE"""),"K/40/311024/2")</f>
        <v>K/40/311024/2</v>
      </c>
      <c r="C1072" s="17" t="str">
        <f>IFERROR(__xludf.DUMMYFUNCTION("""COMPUTED_VALUE"""),"M.1183/PERUMNAS WAY KANDIS")</f>
        <v>M.1183/PERUMNAS WAY KANDIS</v>
      </c>
      <c r="D1072" s="17">
        <f>IFERROR(__xludf.DUMMYFUNCTION("""COMPUTED_VALUE"""),45602.612409270834)</f>
        <v>45602.61241</v>
      </c>
      <c r="E1072" s="11" t="str">
        <f>IFERROR(__xludf.DUMMYFUNCTION("""COMPUTED_VALUE"""),"BN JUAL BELI")</f>
        <v>BN JUAL BELI</v>
      </c>
      <c r="F1072" s="11" t="str">
        <f>IFERROR(__xludf.DUMMYFUNCTION("""COMPUTED_VALUE"""),"NURMA/CHRISTINA ULINA")</f>
        <v>NURMA/CHRISTINA ULINA</v>
      </c>
      <c r="G1072" s="13">
        <f t="shared" si="1"/>
        <v>922</v>
      </c>
      <c r="H1072" s="13" t="str">
        <f>IFERROR(__xludf.DUMMYFUNCTION("""COMPUTED_VALUE"""),"P0")</f>
        <v>P0</v>
      </c>
    </row>
    <row r="1073" ht="22.5" customHeight="1">
      <c r="B1073" s="17" t="str">
        <f>IFERROR(__xludf.DUMMYFUNCTION("""COMPUTED_VALUE"""),"K/44/061124/2")</f>
        <v>K/44/061124/2</v>
      </c>
      <c r="C1073" s="17" t="str">
        <f>IFERROR(__xludf.DUMMYFUNCTION("""COMPUTED_VALUE"""),"M. 1126/ Jagabaya III")</f>
        <v>M. 1126/ Jagabaya III</v>
      </c>
      <c r="D1073" s="17">
        <f>IFERROR(__xludf.DUMMYFUNCTION("""COMPUTED_VALUE"""),45602.61241391204)</f>
        <v>45602.61241</v>
      </c>
      <c r="E1073" s="11" t="str">
        <f>IFERROR(__xludf.DUMMYFUNCTION("""COMPUTED_VALUE"""),"SKPT LELANG")</f>
        <v>SKPT LELANG</v>
      </c>
      <c r="F1073" s="11" t="str">
        <f>IFERROR(__xludf.DUMMYFUNCTION("""COMPUTED_VALUE"""),"TITIK WIJAYANTI")</f>
        <v>TITIK WIJAYANTI</v>
      </c>
      <c r="G1073" s="13">
        <f t="shared" si="1"/>
        <v>923</v>
      </c>
      <c r="H1073" s="13" t="str">
        <f>IFERROR(__xludf.DUMMYFUNCTION("""COMPUTED_VALUE"""),"P0")</f>
        <v>P0</v>
      </c>
    </row>
    <row r="1074" ht="22.5" customHeight="1">
      <c r="B1074" s="17" t="str">
        <f>IFERROR(__xludf.DUMMYFUNCTION("""COMPUTED_VALUE"""),"K/45/061124/3")</f>
        <v>K/45/061124/3</v>
      </c>
      <c r="C1074" s="17" t="str">
        <f>IFERROR(__xludf.DUMMYFUNCTION("""COMPUTED_VALUE"""),"M. 11414/ Jagabaya II")</f>
        <v>M. 11414/ Jagabaya II</v>
      </c>
      <c r="D1074" s="17">
        <f>IFERROR(__xludf.DUMMYFUNCTION("""COMPUTED_VALUE"""),45602.613703703704)</f>
        <v>45602.6137</v>
      </c>
      <c r="E1074" s="11" t="str">
        <f>IFERROR(__xludf.DUMMYFUNCTION("""COMPUTED_VALUE"""),"SKPT LELANG")</f>
        <v>SKPT LELANG</v>
      </c>
      <c r="F1074" s="11" t="str">
        <f>IFERROR(__xludf.DUMMYFUNCTION("""COMPUTED_VALUE"""),"TITIK WIJAYANTI")</f>
        <v>TITIK WIJAYANTI</v>
      </c>
      <c r="G1074" s="13">
        <f t="shared" si="1"/>
        <v>924</v>
      </c>
      <c r="H1074" s="13" t="str">
        <f>IFERROR(__xludf.DUMMYFUNCTION("""COMPUTED_VALUE"""),"P0")</f>
        <v>P0</v>
      </c>
    </row>
    <row r="1075" ht="22.5" customHeight="1">
      <c r="B1075" s="17" t="str">
        <f>IFERROR(__xludf.DUMMYFUNCTION("""COMPUTED_VALUE"""),"L/46/061124/1")</f>
        <v>L/46/061124/1</v>
      </c>
      <c r="C1075" s="17" t="str">
        <f>IFERROR(__xludf.DUMMYFUNCTION("""COMPUTED_VALUE"""),"HM 1570/JAGABAYA III")</f>
        <v>HM 1570/JAGABAYA III</v>
      </c>
      <c r="D1075" s="17">
        <f>IFERROR(__xludf.DUMMYFUNCTION("""COMPUTED_VALUE"""),45602.61701548611)</f>
        <v>45602.61702</v>
      </c>
      <c r="E1075" s="11" t="str">
        <f>IFERROR(__xludf.DUMMYFUNCTION("""COMPUTED_VALUE"""),"PLOT SERTIPIKAT HILANG")</f>
        <v>PLOT SERTIPIKAT HILANG</v>
      </c>
      <c r="F1075" s="11" t="str">
        <f>IFERROR(__xludf.DUMMYFUNCTION("""COMPUTED_VALUE"""),"LIE LIANAWATY")</f>
        <v>LIE LIANAWATY</v>
      </c>
      <c r="G1075" s="13">
        <f t="shared" si="1"/>
        <v>925</v>
      </c>
      <c r="H1075" s="13" t="str">
        <f>IFERROR(__xludf.DUMMYFUNCTION("""COMPUTED_VALUE"""),"P0")</f>
        <v>P0</v>
      </c>
    </row>
    <row r="1076" ht="22.5" customHeight="1">
      <c r="B1076" s="17" t="str">
        <f>IFERROR(__xludf.DUMMYFUNCTION("""COMPUTED_VALUE"""),"K/47/061124/1")</f>
        <v>K/47/061124/1</v>
      </c>
      <c r="C1076" s="17" t="str">
        <f>IFERROR(__xludf.DUMMYFUNCTION("""COMPUTED_VALUE"""),"M.16239/SUKABUMI")</f>
        <v>M.16239/SUKABUMI</v>
      </c>
      <c r="D1076" s="17">
        <f>IFERROR(__xludf.DUMMYFUNCTION("""COMPUTED_VALUE"""),45602.618600057875)</f>
        <v>45602.6186</v>
      </c>
      <c r="E1076" s="11" t="str">
        <f>IFERROR(__xludf.DUMMYFUNCTION("""COMPUTED_VALUE"""),"BN JUAL BELI")</f>
        <v>BN JUAL BELI</v>
      </c>
      <c r="F1076" s="11" t="str">
        <f>IFERROR(__xludf.DUMMYFUNCTION("""COMPUTED_VALUE"""),"NANIK MARYANI/RAKHMA WATI")</f>
        <v>NANIK MARYANI/RAKHMA WATI</v>
      </c>
      <c r="G1076" s="13">
        <f t="shared" si="1"/>
        <v>926</v>
      </c>
      <c r="H1076" s="13" t="str">
        <f>IFERROR(__xludf.DUMMYFUNCTION("""COMPUTED_VALUE"""),"P0")</f>
        <v>P0</v>
      </c>
    </row>
    <row r="1077" ht="22.5" customHeight="1">
      <c r="B1077" s="17" t="str">
        <f>IFERROR(__xludf.DUMMYFUNCTION("""COMPUTED_VALUE"""),"K/50/061124/1")</f>
        <v>K/50/061124/1</v>
      </c>
      <c r="C1077" s="17" t="str">
        <f>IFERROR(__xludf.DUMMYFUNCTION("""COMPUTED_VALUE"""),"M. 2096/ Kangkung")</f>
        <v>M. 2096/ Kangkung</v>
      </c>
      <c r="D1077" s="17">
        <f>IFERROR(__xludf.DUMMYFUNCTION("""COMPUTED_VALUE"""),45602.619200127316)</f>
        <v>45602.6192</v>
      </c>
      <c r="E1077" s="11" t="str">
        <f>IFERROR(__xludf.DUMMYFUNCTION("""COMPUTED_VALUE"""),"ROYA")</f>
        <v>ROYA</v>
      </c>
      <c r="F1077" s="11" t="str">
        <f>IFERROR(__xludf.DUMMYFUNCTION("""COMPUTED_VALUE"""),"RENDY RENALDY/ ELIYAH")</f>
        <v>RENDY RENALDY/ ELIYAH</v>
      </c>
      <c r="G1077" s="13">
        <f t="shared" si="1"/>
        <v>927</v>
      </c>
      <c r="H1077" s="13" t="str">
        <f>IFERROR(__xludf.DUMMYFUNCTION("""COMPUTED_VALUE"""),"P0")</f>
        <v>P0</v>
      </c>
    </row>
    <row r="1078" ht="22.5" customHeight="1">
      <c r="B1078" s="17" t="str">
        <f>IFERROR(__xludf.DUMMYFUNCTION("""COMPUTED_VALUE"""),"K/48/061124/2")</f>
        <v>K/48/061124/2</v>
      </c>
      <c r="C1078" s="17" t="str">
        <f>IFERROR(__xludf.DUMMYFUNCTION("""COMPUTED_VALUE"""),"M.3451/KOTABARU-SEKARANG;B.211/KOTA BARU-DAHULU")</f>
        <v>M.3451/KOTABARU-SEKARANG;B.211/KOTA BARU-DAHULU</v>
      </c>
      <c r="D1078" s="17">
        <f>IFERROR(__xludf.DUMMYFUNCTION("""COMPUTED_VALUE"""),45602.62058113426)</f>
        <v>45602.62058</v>
      </c>
      <c r="E1078" s="11" t="str">
        <f>IFERROR(__xludf.DUMMYFUNCTION("""COMPUTED_VALUE"""),"BN JUAL BELI")</f>
        <v>BN JUAL BELI</v>
      </c>
      <c r="F1078" s="11" t="str">
        <f>IFERROR(__xludf.DUMMYFUNCTION("""COMPUTED_VALUE"""),"NANIK MARYANI/NILA PERMATA SARI")</f>
        <v>NANIK MARYANI/NILA PERMATA SARI</v>
      </c>
      <c r="G1078" s="13">
        <f t="shared" si="1"/>
        <v>928</v>
      </c>
      <c r="H1078" s="13" t="str">
        <f>IFERROR(__xludf.DUMMYFUNCTION("""COMPUTED_VALUE"""),"P0")</f>
        <v>P0</v>
      </c>
    </row>
    <row r="1079" ht="22.5" customHeight="1">
      <c r="B1079" s="17" t="str">
        <f>IFERROR(__xludf.DUMMYFUNCTION("""COMPUTED_VALUE"""),"K/51/061124/1")</f>
        <v>K/51/061124/1</v>
      </c>
      <c r="C1079" s="17" t="str">
        <f>IFERROR(__xludf.DUMMYFUNCTION("""COMPUTED_VALUE"""),"M.2019/LABUHAN DALAM")</f>
        <v>M.2019/LABUHAN DALAM</v>
      </c>
      <c r="D1079" s="17">
        <f>IFERROR(__xludf.DUMMYFUNCTION("""COMPUTED_VALUE"""),45602.623674780094)</f>
        <v>45602.62367</v>
      </c>
      <c r="E1079" s="11" t="str">
        <f>IFERROR(__xludf.DUMMYFUNCTION("""COMPUTED_VALUE"""),"BN JUAL BELI")</f>
        <v>BN JUAL BELI</v>
      </c>
      <c r="F1079" s="11" t="str">
        <f>IFERROR(__xludf.DUMMYFUNCTION("""COMPUTED_VALUE"""),"PURWANTI/CHRISTINA ULINA ")</f>
        <v>PURWANTI/CHRISTINA ULINA </v>
      </c>
      <c r="G1079" s="13">
        <f t="shared" si="1"/>
        <v>929</v>
      </c>
      <c r="H1079" s="13" t="str">
        <f>IFERROR(__xludf.DUMMYFUNCTION("""COMPUTED_VALUE"""),"P0")</f>
        <v>P0</v>
      </c>
    </row>
    <row r="1080" ht="22.5" customHeight="1">
      <c r="B1080" s="17" t="str">
        <f>IFERROR(__xludf.DUMMYFUNCTION("""COMPUTED_VALUE"""),"K/13/281024/2")</f>
        <v>K/13/281024/2</v>
      </c>
      <c r="C1080" s="17" t="str">
        <f>IFERROR(__xludf.DUMMYFUNCTION("""COMPUTED_VALUE"""),"Nibel 2342/ Sumur Putri")</f>
        <v>Nibel 2342/ Sumur Putri</v>
      </c>
      <c r="D1080" s="17">
        <f>IFERROR(__xludf.DUMMYFUNCTION("""COMPUTED_VALUE"""),45602.62367538194)</f>
        <v>45602.62368</v>
      </c>
      <c r="E1080" s="11" t="str">
        <f>IFERROR(__xludf.DUMMYFUNCTION("""COMPUTED_VALUE"""),"PERUBAHAN HAK")</f>
        <v>PERUBAHAN HAK</v>
      </c>
      <c r="F1080" s="11" t="str">
        <f>IFERROR(__xludf.DUMMYFUNCTION("""COMPUTED_VALUE"""),"NANIK MARYANI")</f>
        <v>NANIK MARYANI</v>
      </c>
      <c r="G1080" s="13">
        <f t="shared" si="1"/>
        <v>929</v>
      </c>
      <c r="H1080" s="13" t="str">
        <f>IFERROR(__xludf.DUMMYFUNCTION("""COMPUTED_VALUE"""),"P1")</f>
        <v>P1</v>
      </c>
    </row>
    <row r="1081" ht="22.5" customHeight="1">
      <c r="B1081" s="17" t="str">
        <f>IFERROR(__xludf.DUMMYFUNCTION("""COMPUTED_VALUE"""),"K/53/251024/1")</f>
        <v>K/53/251024/1</v>
      </c>
      <c r="C1081" s="17" t="str">
        <f>IFERROR(__xludf.DUMMYFUNCTION("""COMPUTED_VALUE"""),"M. 22/ Perwata dan SHT 7366/2013	")</f>
        <v>M. 22/ Perwata dan SHT 7366/2013	</v>
      </c>
      <c r="D1081" s="17">
        <f>IFERROR(__xludf.DUMMYFUNCTION("""COMPUTED_VALUE"""),45602.62729527778)</f>
        <v>45602.6273</v>
      </c>
      <c r="E1081" s="11" t="str">
        <f>IFERROR(__xludf.DUMMYFUNCTION("""COMPUTED_VALUE"""),"Roya")</f>
        <v>Roya</v>
      </c>
      <c r="F1081" s="11" t="str">
        <f>IFERROR(__xludf.DUMMYFUNCTION("""COMPUTED_VALUE"""),"Rendy R/ Suryono	")</f>
        <v>Rendy R/ Suryono	</v>
      </c>
      <c r="G1081" s="13">
        <f t="shared" si="1"/>
        <v>929</v>
      </c>
      <c r="H1081" s="13" t="str">
        <f>IFERROR(__xludf.DUMMYFUNCTION("""COMPUTED_VALUE"""),"P1")</f>
        <v>P1</v>
      </c>
    </row>
    <row r="1082" ht="22.5" customHeight="1">
      <c r="B1082" s="17" t="str">
        <f>IFERROR(__xludf.DUMMYFUNCTION("""COMPUTED_VALUE"""),"K/31/011124/2")</f>
        <v>K/31/011124/2</v>
      </c>
      <c r="C1082" s="17" t="str">
        <f>IFERROR(__xludf.DUMMYFUNCTION("""COMPUTED_VALUE"""),"M. 2996/ Sukadana Ham")</f>
        <v>M. 2996/ Sukadana Ham</v>
      </c>
      <c r="D1082" s="17">
        <f>IFERROR(__xludf.DUMMYFUNCTION("""COMPUTED_VALUE"""),45602.62788112268)</f>
        <v>45602.62788</v>
      </c>
      <c r="E1082" s="11" t="str">
        <f>IFERROR(__xludf.DUMMYFUNCTION("""COMPUTED_VALUE"""),"BN Jual Beli")</f>
        <v>BN Jual Beli</v>
      </c>
      <c r="F1082" s="11" t="str">
        <f>IFERROR(__xludf.DUMMYFUNCTION("""COMPUTED_VALUE"""),"I Made R/ Susi F	")</f>
        <v>I Made R/ Susi F	</v>
      </c>
      <c r="G1082" s="13">
        <f t="shared" si="1"/>
        <v>929</v>
      </c>
      <c r="H1082" s="13" t="str">
        <f>IFERROR(__xludf.DUMMYFUNCTION("""COMPUTED_VALUE"""),"P1")</f>
        <v>P1</v>
      </c>
    </row>
    <row r="1083" ht="22.5" customHeight="1">
      <c r="B1083" s="17" t="str">
        <f>IFERROR(__xludf.DUMMYFUNCTION("""COMPUTED_VALUE"""),"K/53/061124/1")</f>
        <v>K/53/061124/1</v>
      </c>
      <c r="C1083" s="17" t="str">
        <f>IFERROR(__xludf.DUMMYFUNCTION("""COMPUTED_VALUE"""),"M.11612/SEGALA MIDER")</f>
        <v>M.11612/SEGALA MIDER</v>
      </c>
      <c r="D1083" s="17">
        <f>IFERROR(__xludf.DUMMYFUNCTION("""COMPUTED_VALUE"""),45602.63178466435)</f>
        <v>45602.63178</v>
      </c>
      <c r="E1083" s="11" t="str">
        <f>IFERROR(__xludf.DUMMYFUNCTION("""COMPUTED_VALUE"""),"ROYA")</f>
        <v>ROYA</v>
      </c>
      <c r="F1083" s="11" t="str">
        <f>IFERROR(__xludf.DUMMYFUNCTION("""COMPUTED_VALUE"""),"SUTIKNO/EWON GUNAWAN")</f>
        <v>SUTIKNO/EWON GUNAWAN</v>
      </c>
      <c r="G1083" s="13">
        <f t="shared" si="1"/>
        <v>930</v>
      </c>
      <c r="H1083" s="13" t="str">
        <f>IFERROR(__xludf.DUMMYFUNCTION("""COMPUTED_VALUE"""),"P0")</f>
        <v>P0</v>
      </c>
    </row>
    <row r="1084" ht="22.5" customHeight="1">
      <c r="B1084" s="17" t="str">
        <f>IFERROR(__xludf.DUMMYFUNCTION("""COMPUTED_VALUE"""),"K/52/061124/1")</f>
        <v>K/52/061124/1</v>
      </c>
      <c r="C1084" s="17" t="str">
        <f>IFERROR(__xludf.DUMMYFUNCTION("""COMPUTED_VALUE"""),"Nibel. B. 2254/ Kedamaian")</f>
        <v>Nibel. B. 2254/ Kedamaian</v>
      </c>
      <c r="D1084" s="17">
        <f>IFERROR(__xludf.DUMMYFUNCTION("""COMPUTED_VALUE"""),45602.633249502316)</f>
        <v>45602.63325</v>
      </c>
      <c r="E1084" s="11" t="str">
        <f>IFERROR(__xludf.DUMMYFUNCTION("""COMPUTED_VALUE"""),"SKPT Informasi")</f>
        <v>SKPT Informasi</v>
      </c>
      <c r="F1084" s="11" t="str">
        <f>IFERROR(__xludf.DUMMYFUNCTION("""COMPUTED_VALUE"""),"Husin AS/ Sri Indarti")</f>
        <v>Husin AS/ Sri Indarti</v>
      </c>
      <c r="G1084" s="13">
        <f t="shared" si="1"/>
        <v>931</v>
      </c>
      <c r="H1084" s="13" t="str">
        <f>IFERROR(__xludf.DUMMYFUNCTION("""COMPUTED_VALUE"""),"P0")</f>
        <v>P0</v>
      </c>
    </row>
    <row r="1085" ht="22.5" customHeight="1">
      <c r="B1085" s="17" t="str">
        <f>IFERROR(__xludf.DUMMYFUNCTION("""COMPUTED_VALUE"""),"K/54/061124/1")</f>
        <v>K/54/061124/1</v>
      </c>
      <c r="C1085" s="17" t="str">
        <f>IFERROR(__xludf.DUMMYFUNCTION("""COMPUTED_VALUE"""),"B. 121/ Kupang Kota")</f>
        <v>B. 121/ Kupang Kota</v>
      </c>
      <c r="D1085" s="17">
        <f>IFERROR(__xludf.DUMMYFUNCTION("""COMPUTED_VALUE"""),45602.634951064814)</f>
        <v>45602.63495</v>
      </c>
      <c r="E1085" s="11" t="str">
        <f>IFERROR(__xludf.DUMMYFUNCTION("""COMPUTED_VALUE"""),"PTPGT (Perpanjangan)")</f>
        <v>PTPGT (Perpanjangan)</v>
      </c>
      <c r="F1085" s="11" t="str">
        <f>IFERROR(__xludf.DUMMYFUNCTION("""COMPUTED_VALUE"""),"Rendy R/ PT Pegadaian")</f>
        <v>Rendy R/ PT Pegadaian</v>
      </c>
      <c r="G1085" s="13">
        <f t="shared" si="1"/>
        <v>932</v>
      </c>
      <c r="H1085" s="13" t="str">
        <f>IFERROR(__xludf.DUMMYFUNCTION("""COMPUTED_VALUE"""),"P0")</f>
        <v>P0</v>
      </c>
    </row>
    <row r="1086" ht="22.5" customHeight="1">
      <c r="B1086" s="17" t="str">
        <f>IFERROR(__xludf.DUMMYFUNCTION("""COMPUTED_VALUE"""),"K/55/061124/2")</f>
        <v>K/55/061124/2</v>
      </c>
      <c r="C1086" s="17" t="str">
        <f>IFERROR(__xludf.DUMMYFUNCTION("""COMPUTED_VALUE"""),"B. 120/ Kupang Kota	")</f>
        <v>B. 120/ Kupang Kota	</v>
      </c>
      <c r="D1086" s="17">
        <f>IFERROR(__xludf.DUMMYFUNCTION("""COMPUTED_VALUE"""),45602.63631163194)</f>
        <v>45602.63631</v>
      </c>
      <c r="E1086" s="11" t="str">
        <f>IFERROR(__xludf.DUMMYFUNCTION("""COMPUTED_VALUE"""),"PTPGT (Perpanjangan)")</f>
        <v>PTPGT (Perpanjangan)</v>
      </c>
      <c r="F1086" s="11" t="str">
        <f>IFERROR(__xludf.DUMMYFUNCTION("""COMPUTED_VALUE"""),"Rendy R/ PT Pegadaian")</f>
        <v>Rendy R/ PT Pegadaian</v>
      </c>
      <c r="G1086" s="13">
        <f t="shared" si="1"/>
        <v>933</v>
      </c>
      <c r="H1086" s="13" t="str">
        <f>IFERROR(__xludf.DUMMYFUNCTION("""COMPUTED_VALUE"""),"P0")</f>
        <v>P0</v>
      </c>
    </row>
    <row r="1087" ht="22.5" customHeight="1">
      <c r="B1087" s="17" t="str">
        <f>IFERROR(__xludf.DUMMYFUNCTION("""COMPUTED_VALUE"""),"K/49/061124/3")</f>
        <v>K/49/061124/3</v>
      </c>
      <c r="C1087" s="17" t="str">
        <f>IFERROR(__xludf.DUMMYFUNCTION("""COMPUTED_VALUE"""),"B.1777/JAGABAYA II-SEKARANG;B.354/JAGABAYA III-DAHULU")</f>
        <v>B.1777/JAGABAYA II-SEKARANG;B.354/JAGABAYA III-DAHULU</v>
      </c>
      <c r="D1087" s="17">
        <f>IFERROR(__xludf.DUMMYFUNCTION("""COMPUTED_VALUE"""),45602.63679621527)</f>
        <v>45602.6368</v>
      </c>
      <c r="E1087" s="11" t="str">
        <f>IFERROR(__xludf.DUMMYFUNCTION("""COMPUTED_VALUE"""),"PH")</f>
        <v>PH</v>
      </c>
      <c r="F1087" s="11" t="str">
        <f>IFERROR(__xludf.DUMMYFUNCTION("""COMPUTED_VALUE"""),"NANIK MARYANI / DAUD HADI WINARTO")</f>
        <v>NANIK MARYANI / DAUD HADI WINARTO</v>
      </c>
      <c r="G1087" s="13">
        <f t="shared" si="1"/>
        <v>934</v>
      </c>
      <c r="H1087" s="13" t="str">
        <f>IFERROR(__xludf.DUMMYFUNCTION("""COMPUTED_VALUE"""),"P0")</f>
        <v>P0</v>
      </c>
    </row>
    <row r="1088" ht="22.5" customHeight="1">
      <c r="B1088" s="17" t="str">
        <f>IFERROR(__xludf.DUMMYFUNCTION("""COMPUTED_VALUE"""),"K/24/211024/1")</f>
        <v>K/24/211024/1</v>
      </c>
      <c r="C1088" s="17" t="str">
        <f>IFERROR(__xludf.DUMMYFUNCTION("""COMPUTED_VALUE"""),"M. 12665/ Kali Balau Kencana-sekarang; M. 12665/ Tanjung Baru- dahulu")</f>
        <v>M. 12665/ Kali Balau Kencana-sekarang; M. 12665/ Tanjung Baru- dahulu</v>
      </c>
      <c r="D1088" s="17">
        <f>IFERROR(__xludf.DUMMYFUNCTION("""COMPUTED_VALUE"""),45602.6369759375)</f>
        <v>45602.63698</v>
      </c>
      <c r="E1088" s="11" t="str">
        <f>IFERROR(__xludf.DUMMYFUNCTION("""COMPUTED_VALUE"""),"WARIS")</f>
        <v>WARIS</v>
      </c>
      <c r="F1088" s="11" t="str">
        <f>IFERROR(__xludf.DUMMYFUNCTION("""COMPUTED_VALUE"""),"NUR HAYATI")</f>
        <v>NUR HAYATI</v>
      </c>
      <c r="G1088" s="13">
        <f t="shared" si="1"/>
        <v>934</v>
      </c>
      <c r="H1088" s="13" t="str">
        <f>IFERROR(__xludf.DUMMYFUNCTION("""COMPUTED_VALUE"""),"P1")</f>
        <v>P1</v>
      </c>
    </row>
    <row r="1089" ht="22.5" customHeight="1">
      <c r="B1089" s="17" t="str">
        <f>IFERROR(__xludf.DUMMYFUNCTION("""COMPUTED_VALUE"""),"K/9/051124/1")</f>
        <v>K/9/051124/1</v>
      </c>
      <c r="C1089" s="17" t="str">
        <f>IFERROR(__xludf.DUMMYFUNCTION("""COMPUTED_VALUE"""),"M. 236/ L R R	")</f>
        <v>M. 236/ L R R	</v>
      </c>
      <c r="D1089" s="17">
        <f>IFERROR(__xludf.DUMMYFUNCTION("""COMPUTED_VALUE"""),45602.69082454861)</f>
        <v>45602.69082</v>
      </c>
      <c r="E1089" s="11" t="str">
        <f>IFERROR(__xludf.DUMMYFUNCTION("""COMPUTED_VALUE"""),"PTPGT (Pemecahan)")</f>
        <v>PTPGT (Pemecahan)</v>
      </c>
      <c r="F1089" s="11" t="str">
        <f>IFERROR(__xludf.DUMMYFUNCTION("""COMPUTED_VALUE"""),"Sugiat/ Eka Agustina	")</f>
        <v>Sugiat/ Eka Agustina	</v>
      </c>
      <c r="G1089" s="13">
        <f t="shared" si="1"/>
        <v>934</v>
      </c>
      <c r="H1089" s="13" t="str">
        <f>IFERROR(__xludf.DUMMYFUNCTION("""COMPUTED_VALUE"""),"P1")</f>
        <v>P1</v>
      </c>
    </row>
    <row r="1090" ht="22.5" customHeight="1">
      <c r="B1090" s="17" t="str">
        <f>IFERROR(__xludf.DUMMYFUNCTION("""COMPUTED_VALUE"""),"K/1/071124/1")</f>
        <v>K/1/071124/1</v>
      </c>
      <c r="C1090" s="17" t="str">
        <f>IFERROR(__xludf.DUMMYFUNCTION("""COMPUTED_VALUE"""),"M. 5102/ Rajabasa Jaya")</f>
        <v>M. 5102/ Rajabasa Jaya</v>
      </c>
      <c r="D1090" s="17">
        <f>IFERROR(__xludf.DUMMYFUNCTION("""COMPUTED_VALUE"""),45603.36771789352)</f>
        <v>45603.36772</v>
      </c>
      <c r="E1090" s="11" t="str">
        <f>IFERROR(__xludf.DUMMYFUNCTION("""COMPUTED_VALUE"""),"BN Jul Beli")</f>
        <v>BN Jul Beli</v>
      </c>
      <c r="F1090" s="11" t="str">
        <f>IFERROR(__xludf.DUMMYFUNCTION("""COMPUTED_VALUE"""),"Ismarina/ Muji Rahayu")</f>
        <v>Ismarina/ Muji Rahayu</v>
      </c>
      <c r="G1090" s="13">
        <f t="shared" si="1"/>
        <v>935</v>
      </c>
      <c r="H1090" s="13" t="str">
        <f>IFERROR(__xludf.DUMMYFUNCTION("""COMPUTED_VALUE"""),"P0")</f>
        <v>P0</v>
      </c>
    </row>
    <row r="1091" ht="22.5" customHeight="1">
      <c r="B1091" s="17" t="str">
        <f>IFERROR(__xludf.DUMMYFUNCTION("""COMPUTED_VALUE"""),"K/2/071124/1")</f>
        <v>K/2/071124/1</v>
      </c>
      <c r="C1091" s="17" t="str">
        <f>IFERROR(__xludf.DUMMYFUNCTION("""COMPUTED_VALUE"""),"M. 4107/ Tanjung Seneng")</f>
        <v>M. 4107/ Tanjung Seneng</v>
      </c>
      <c r="D1091" s="17">
        <f>IFERROR(__xludf.DUMMYFUNCTION("""COMPUTED_VALUE"""),45603.381714131945)</f>
        <v>45603.38171</v>
      </c>
      <c r="E1091" s="11" t="str">
        <f>IFERROR(__xludf.DUMMYFUNCTION("""COMPUTED_VALUE"""),"BN WARIS")</f>
        <v>BN WARIS</v>
      </c>
      <c r="F1091" s="11" t="str">
        <f>IFERROR(__xludf.DUMMYFUNCTION("""COMPUTED_VALUE"""),"YUNI ASTUTI/ SITI AMINAH CS")</f>
        <v>YUNI ASTUTI/ SITI AMINAH CS</v>
      </c>
      <c r="G1091" s="13">
        <f t="shared" si="1"/>
        <v>936</v>
      </c>
      <c r="H1091" s="13" t="str">
        <f>IFERROR(__xludf.DUMMYFUNCTION("""COMPUTED_VALUE"""),"P0")</f>
        <v>P0</v>
      </c>
    </row>
    <row r="1092" ht="22.5" customHeight="1">
      <c r="B1092" s="17" t="str">
        <f>IFERROR(__xludf.DUMMYFUNCTION("""COMPUTED_VALUE"""),"K/3/071124/1")</f>
        <v>K/3/071124/1</v>
      </c>
      <c r="C1092" s="17" t="str">
        <f>IFERROR(__xludf.DUMMYFUNCTION("""COMPUTED_VALUE"""),"M.1615/SUKABUMI INDAH")</f>
        <v>M.1615/SUKABUMI INDAH</v>
      </c>
      <c r="D1092" s="17">
        <f>IFERROR(__xludf.DUMMYFUNCTION("""COMPUTED_VALUE"""),45603.392875439815)</f>
        <v>45603.39288</v>
      </c>
      <c r="E1092" s="11" t="str">
        <f>IFERROR(__xludf.DUMMYFUNCTION("""COMPUTED_VALUE"""),"BN AKTA JUAL BELI")</f>
        <v>BN AKTA JUAL BELI</v>
      </c>
      <c r="F1092" s="11" t="str">
        <f>IFERROR(__xludf.DUMMYFUNCTION("""COMPUTED_VALUE"""),"EKO TAMINA / SUSI ASTUTIE")</f>
        <v>EKO TAMINA / SUSI ASTUTIE</v>
      </c>
      <c r="G1092" s="13">
        <f t="shared" si="1"/>
        <v>937</v>
      </c>
      <c r="H1092" s="13" t="str">
        <f>IFERROR(__xludf.DUMMYFUNCTION("""COMPUTED_VALUE"""),"P0")</f>
        <v>P0</v>
      </c>
    </row>
    <row r="1093" ht="22.5" customHeight="1">
      <c r="B1093" s="17" t="str">
        <f>IFERROR(__xludf.DUMMYFUNCTION("""COMPUTED_VALUE"""),"K/17/281024/1")</f>
        <v>K/17/281024/1</v>
      </c>
      <c r="C1093" s="17" t="str">
        <f>IFERROR(__xludf.DUMMYFUNCTION("""COMPUTED_VALUE"""),"M. 1597/ Gedong Air	")</f>
        <v>M. 1597/ Gedong Air	</v>
      </c>
      <c r="D1093" s="17">
        <f>IFERROR(__xludf.DUMMYFUNCTION("""COMPUTED_VALUE"""),45603.404873761574)</f>
        <v>45603.40487</v>
      </c>
      <c r="E1093" s="11" t="str">
        <f>IFERROR(__xludf.DUMMYFUNCTION("""COMPUTED_VALUE"""),"S. Hilang")</f>
        <v>S. Hilang</v>
      </c>
      <c r="F1093" s="11" t="str">
        <f>IFERROR(__xludf.DUMMYFUNCTION("""COMPUTED_VALUE"""),"Effendi. M Satam")</f>
        <v>Effendi. M Satam</v>
      </c>
      <c r="G1093" s="13">
        <f t="shared" si="1"/>
        <v>937</v>
      </c>
      <c r="H1093" s="13" t="str">
        <f>IFERROR(__xludf.DUMMYFUNCTION("""COMPUTED_VALUE"""),"P2")</f>
        <v>P2</v>
      </c>
    </row>
    <row r="1094" ht="22.5" customHeight="1">
      <c r="B1094" s="17" t="str">
        <f>IFERROR(__xludf.DUMMYFUNCTION("""COMPUTED_VALUE"""),"K/4/071124/1")</f>
        <v>K/4/071124/1</v>
      </c>
      <c r="C1094" s="17" t="str">
        <f>IFERROR(__xludf.DUMMYFUNCTION("""COMPUTED_VALUE"""),"M.1758/KUPANG KOTA")</f>
        <v>M.1758/KUPANG KOTA</v>
      </c>
      <c r="D1094" s="17">
        <f>IFERROR(__xludf.DUMMYFUNCTION("""COMPUTED_VALUE"""),45603.40514016204)</f>
        <v>45603.40514</v>
      </c>
      <c r="E1094" s="11" t="str">
        <f>IFERROR(__xludf.DUMMYFUNCTION("""COMPUTED_VALUE"""),"PLOTING")</f>
        <v>PLOTING</v>
      </c>
      <c r="F1094" s="11" t="str">
        <f>IFERROR(__xludf.DUMMYFUNCTION("""COMPUTED_VALUE"""),"MARSALI/YENI EKAWATI")</f>
        <v>MARSALI/YENI EKAWATI</v>
      </c>
      <c r="G1094" s="13">
        <f t="shared" si="1"/>
        <v>938</v>
      </c>
      <c r="H1094" s="13" t="str">
        <f>IFERROR(__xludf.DUMMYFUNCTION("""COMPUTED_VALUE"""),"P0")</f>
        <v>P0</v>
      </c>
    </row>
    <row r="1095" ht="22.5" customHeight="1">
      <c r="B1095" s="17" t="str">
        <f>IFERROR(__xludf.DUMMYFUNCTION("""COMPUTED_VALUE"""),"K/22/211024/1")</f>
        <v>K/22/211024/1</v>
      </c>
      <c r="C1095" s="17" t="str">
        <f>IFERROR(__xludf.DUMMYFUNCTION("""COMPUTED_VALUE"""),"M. 2644/ Sumber Rejo	")</f>
        <v>M. 2644/ Sumber Rejo	</v>
      </c>
      <c r="D1095" s="17">
        <f>IFERROR(__xludf.DUMMYFUNCTION("""COMPUTED_VALUE"""),45603.405653483795)</f>
        <v>45603.40565</v>
      </c>
      <c r="E1095" s="11" t="str">
        <f>IFERROR(__xludf.DUMMYFUNCTION("""COMPUTED_VALUE"""),"BN Waris")</f>
        <v>BN Waris</v>
      </c>
      <c r="F1095" s="11" t="str">
        <f>IFERROR(__xludf.DUMMYFUNCTION("""COMPUTED_VALUE"""),"Ajeng W/ Kuswan	")</f>
        <v>Ajeng W/ Kuswan	</v>
      </c>
      <c r="G1095" s="13">
        <f t="shared" si="1"/>
        <v>938</v>
      </c>
      <c r="H1095" s="13" t="str">
        <f>IFERROR(__xludf.DUMMYFUNCTION("""COMPUTED_VALUE"""),"P1")</f>
        <v>P1</v>
      </c>
    </row>
    <row r="1096" ht="22.5" customHeight="1">
      <c r="B1096" s="17" t="str">
        <f>IFERROR(__xludf.DUMMYFUNCTION("""COMPUTED_VALUE"""),"K/5/071124/1")</f>
        <v>K/5/071124/1</v>
      </c>
      <c r="C1096" s="17" t="str">
        <f>IFERROR(__xludf.DUMMYFUNCTION("""COMPUTED_VALUE"""),"M. 71/ Sawah Lama")</f>
        <v>M. 71/ Sawah Lama</v>
      </c>
      <c r="D1096" s="17">
        <f>IFERROR(__xludf.DUMMYFUNCTION("""COMPUTED_VALUE"""),45603.41239524305)</f>
        <v>45603.4124</v>
      </c>
      <c r="E1096" s="11" t="str">
        <f>IFERROR(__xludf.DUMMYFUNCTION("""COMPUTED_VALUE"""),"Gandes")</f>
        <v>Gandes</v>
      </c>
      <c r="F1096" s="11" t="str">
        <f>IFERROR(__xludf.DUMMYFUNCTION("""COMPUTED_VALUE"""),"Ria Natalya/ Nurhayati  cs")</f>
        <v>Ria Natalya/ Nurhayati  cs</v>
      </c>
      <c r="G1096" s="13">
        <f t="shared" si="1"/>
        <v>939</v>
      </c>
      <c r="H1096" s="13" t="str">
        <f>IFERROR(__xludf.DUMMYFUNCTION("""COMPUTED_VALUE"""),"P0")</f>
        <v>P0</v>
      </c>
    </row>
    <row r="1097" ht="22.5" customHeight="1">
      <c r="B1097" s="17" t="str">
        <f>IFERROR(__xludf.DUMMYFUNCTION("""COMPUTED_VALUE"""),"K/6/071124/1")</f>
        <v>K/6/071124/1</v>
      </c>
      <c r="C1097" s="17" t="str">
        <f>IFERROR(__xludf.DUMMYFUNCTION("""COMPUTED_VALUE"""),"B.798/SUMUR PUTRI")</f>
        <v>B.798/SUMUR PUTRI</v>
      </c>
      <c r="D1097" s="17">
        <f>IFERROR(__xludf.DUMMYFUNCTION("""COMPUTED_VALUE"""),45603.422649409724)</f>
        <v>45603.42265</v>
      </c>
      <c r="E1097" s="11" t="str">
        <f>IFERROR(__xludf.DUMMYFUNCTION("""COMPUTED_VALUE"""),"BN JUAL BELI")</f>
        <v>BN JUAL BELI</v>
      </c>
      <c r="F1097" s="11" t="str">
        <f>IFERROR(__xludf.DUMMYFUNCTION("""COMPUTED_VALUE"""),"YULIANA LUISYE K/VITTA NOGOSANNYONO")</f>
        <v>YULIANA LUISYE K/VITTA NOGOSANNYONO</v>
      </c>
      <c r="G1097" s="13">
        <f t="shared" si="1"/>
        <v>940</v>
      </c>
      <c r="H1097" s="13" t="str">
        <f>IFERROR(__xludf.DUMMYFUNCTION("""COMPUTED_VALUE"""),"P0")</f>
        <v>P0</v>
      </c>
    </row>
    <row r="1098" ht="22.5" customHeight="1">
      <c r="B1098" s="17" t="str">
        <f>IFERROR(__xludf.DUMMYFUNCTION("""COMPUTED_VALUE"""),"K/7/071124/1")</f>
        <v>K/7/071124/1</v>
      </c>
      <c r="C1098" s="17" t="str">
        <f>IFERROR(__xludf.DUMMYFUNCTION("""COMPUTED_VALUE"""),"M.1636/SUMBEREJO/KEMILING")</f>
        <v>M.1636/SUMBEREJO/KEMILING</v>
      </c>
      <c r="D1098" s="17">
        <f>IFERROR(__xludf.DUMMYFUNCTION("""COMPUTED_VALUE"""),45603.42950646991)</f>
        <v>45603.42951</v>
      </c>
      <c r="E1098" s="11" t="str">
        <f>IFERROR(__xludf.DUMMYFUNCTION("""COMPUTED_VALUE"""),"GANDES")</f>
        <v>GANDES</v>
      </c>
      <c r="F1098" s="11" t="str">
        <f>IFERROR(__xludf.DUMMYFUNCTION("""COMPUTED_VALUE"""),"AMARULLAH / SUNARMI")</f>
        <v>AMARULLAH / SUNARMI</v>
      </c>
      <c r="G1098" s="13">
        <f t="shared" si="1"/>
        <v>941</v>
      </c>
      <c r="H1098" s="13" t="str">
        <f>IFERROR(__xludf.DUMMYFUNCTION("""COMPUTED_VALUE"""),"P0")</f>
        <v>P0</v>
      </c>
    </row>
    <row r="1099" ht="22.5" customHeight="1">
      <c r="B1099" s="17" t="str">
        <f>IFERROR(__xludf.DUMMYFUNCTION("""COMPUTED_VALUE"""),"K/35/311024/1")</f>
        <v>K/35/311024/1</v>
      </c>
      <c r="C1099" s="17" t="str">
        <f>IFERROR(__xludf.DUMMYFUNCTION("""COMPUTED_VALUE"""),"M. 16570/ Sukabumi	")</f>
        <v>M. 16570/ Sukabumi	</v>
      </c>
      <c r="D1099" s="17">
        <f>IFERROR(__xludf.DUMMYFUNCTION("""COMPUTED_VALUE"""),45603.434233692125)</f>
        <v>45603.43423</v>
      </c>
      <c r="E1099" s="11" t="str">
        <f>IFERROR(__xludf.DUMMYFUNCTION("""COMPUTED_VALUE"""),"BN Jual Beli")</f>
        <v>BN Jual Beli</v>
      </c>
      <c r="F1099" s="11" t="str">
        <f>IFERROR(__xludf.DUMMYFUNCTION("""COMPUTED_VALUE"""),"M. Arief S/ Maulia A P	")</f>
        <v>M. Arief S/ Maulia A P	</v>
      </c>
      <c r="G1099" s="13">
        <f t="shared" si="1"/>
        <v>941</v>
      </c>
      <c r="H1099" s="13" t="str">
        <f>IFERROR(__xludf.DUMMYFUNCTION("""COMPUTED_VALUE"""),"P1")</f>
        <v>P1</v>
      </c>
    </row>
    <row r="1100" ht="22.5" customHeight="1">
      <c r="B1100" s="17" t="str">
        <f>IFERROR(__xludf.DUMMYFUNCTION("""COMPUTED_VALUE"""),"K/9/071124/2")</f>
        <v>K/9/071124/2</v>
      </c>
      <c r="C1100" s="17" t="str">
        <f>IFERROR(__xludf.DUMMYFUNCTION("""COMPUTED_VALUE"""),"M.2428/ Kedaung")</f>
        <v>M.2428/ Kedaung</v>
      </c>
      <c r="D1100" s="17">
        <f>IFERROR(__xludf.DUMMYFUNCTION("""COMPUTED_VALUE"""),45603.4433696412)</f>
        <v>45603.44337</v>
      </c>
      <c r="E1100" s="11" t="str">
        <f>IFERROR(__xludf.DUMMYFUNCTION("""COMPUTED_VALUE"""),"BN Jual Beli")</f>
        <v>BN Jual Beli</v>
      </c>
      <c r="F1100" s="11" t="str">
        <f>IFERROR(__xludf.DUMMYFUNCTION("""COMPUTED_VALUE"""),"M. Arif S/ Daniq M A")</f>
        <v>M. Arif S/ Daniq M A</v>
      </c>
      <c r="G1100" s="13">
        <f t="shared" si="1"/>
        <v>942</v>
      </c>
      <c r="H1100" s="13" t="str">
        <f>IFERROR(__xludf.DUMMYFUNCTION("""COMPUTED_VALUE"""),"P0")</f>
        <v>P0</v>
      </c>
    </row>
    <row r="1101" ht="22.5" customHeight="1">
      <c r="B1101" s="17" t="str">
        <f>IFERROR(__xludf.DUMMYFUNCTION("""COMPUTED_VALUE"""),"K/12/071124/1")</f>
        <v>K/12/071124/1</v>
      </c>
      <c r="C1101" s="17" t="str">
        <f>IFERROR(__xludf.DUMMYFUNCTION("""COMPUTED_VALUE"""),"M.12905/RAJABASA")</f>
        <v>M.12905/RAJABASA</v>
      </c>
      <c r="D1101" s="17">
        <f>IFERROR(__xludf.DUMMYFUNCTION("""COMPUTED_VALUE"""),45603.44132583334)</f>
        <v>45603.44133</v>
      </c>
      <c r="E1101" s="11" t="str">
        <f>IFERROR(__xludf.DUMMYFUNCTION("""COMPUTED_VALUE"""),"GANDES")</f>
        <v>GANDES</v>
      </c>
      <c r="F1101" s="11" t="str">
        <f>IFERROR(__xludf.DUMMYFUNCTION("""COMPUTED_VALUE"""),"DEA FRISKA RUSDARA / TOHARI")</f>
        <v>DEA FRISKA RUSDARA / TOHARI</v>
      </c>
      <c r="G1101" s="13">
        <f t="shared" si="1"/>
        <v>943</v>
      </c>
      <c r="H1101" s="13" t="str">
        <f>IFERROR(__xludf.DUMMYFUNCTION("""COMPUTED_VALUE"""),"P0")</f>
        <v>P0</v>
      </c>
    </row>
    <row r="1102" ht="22.5" customHeight="1">
      <c r="B1102" s="17" t="str">
        <f>IFERROR(__xludf.DUMMYFUNCTION("""COMPUTED_VALUE"""),"K/8/071124/1")</f>
        <v>K/8/071124/1</v>
      </c>
      <c r="C1102" s="17" t="str">
        <f>IFERROR(__xludf.DUMMYFUNCTION("""COMPUTED_VALUE"""),"Nibel. B. 2237/ Sukarame")</f>
        <v>Nibel. B. 2237/ Sukarame</v>
      </c>
      <c r="D1102" s="17">
        <f>IFERROR(__xludf.DUMMYFUNCTION("""COMPUTED_VALUE"""),45603.44431096065)</f>
        <v>45603.44431</v>
      </c>
      <c r="E1102" s="11" t="str">
        <f>IFERROR(__xludf.DUMMYFUNCTION("""COMPUTED_VALUE"""),"BN Lelang")</f>
        <v>BN Lelang</v>
      </c>
      <c r="F1102" s="11" t="str">
        <f>IFERROR(__xludf.DUMMYFUNCTION("""COMPUTED_VALUE"""),"M. Arif S/ Tiara Ayu")</f>
        <v>M. Arif S/ Tiara Ayu</v>
      </c>
      <c r="G1102" s="13">
        <f t="shared" si="1"/>
        <v>944</v>
      </c>
      <c r="H1102" s="13" t="str">
        <f>IFERROR(__xludf.DUMMYFUNCTION("""COMPUTED_VALUE"""),"P0")</f>
        <v>P0</v>
      </c>
    </row>
    <row r="1103" ht="22.5" customHeight="1">
      <c r="B1103" s="17" t="str">
        <f>IFERROR(__xludf.DUMMYFUNCTION("""COMPUTED_VALUE"""),"K/14/071124/1")</f>
        <v>K/14/071124/1</v>
      </c>
      <c r="C1103" s="17" t="str">
        <f>IFERROR(__xludf.DUMMYFUNCTION("""COMPUTED_VALUE"""),"M. 2226/ Gunung Terang")</f>
        <v>M. 2226/ Gunung Terang</v>
      </c>
      <c r="D1103" s="17">
        <f>IFERROR(__xludf.DUMMYFUNCTION("""COMPUTED_VALUE"""),45603.44487361111)</f>
        <v>45603.44487</v>
      </c>
      <c r="E1103" s="11" t="str">
        <f>IFERROR(__xludf.DUMMYFUNCTION("""COMPUTED_VALUE"""),"GANTI KECAMATAN")</f>
        <v>GANTI KECAMATAN</v>
      </c>
      <c r="F1103" s="11" t="str">
        <f>IFERROR(__xludf.DUMMYFUNCTION("""COMPUTED_VALUE"""),"BUDI K")</f>
        <v>BUDI K</v>
      </c>
      <c r="G1103" s="13">
        <f t="shared" si="1"/>
        <v>945</v>
      </c>
      <c r="H1103" s="13" t="str">
        <f>IFERROR(__xludf.DUMMYFUNCTION("""COMPUTED_VALUE"""),"P0")</f>
        <v>P0</v>
      </c>
    </row>
    <row r="1104" ht="22.5" customHeight="1">
      <c r="B1104" s="17" t="str">
        <f>IFERROR(__xludf.DUMMYFUNCTION("""COMPUTED_VALUE"""),"K/10/071124/3")</f>
        <v>K/10/071124/3</v>
      </c>
      <c r="C1104" s="17" t="str">
        <f>IFERROR(__xludf.DUMMYFUNCTION("""COMPUTED_VALUE"""),"M. 2430/ Kedaung")</f>
        <v>M. 2430/ Kedaung</v>
      </c>
      <c r="D1104" s="17">
        <f>IFERROR(__xludf.DUMMYFUNCTION("""COMPUTED_VALUE"""),45603.4449525463)</f>
        <v>45603.44495</v>
      </c>
      <c r="E1104" s="11" t="str">
        <f>IFERROR(__xludf.DUMMYFUNCTION("""COMPUTED_VALUE"""),"BN Jual Beli")</f>
        <v>BN Jual Beli</v>
      </c>
      <c r="F1104" s="11" t="str">
        <f>IFERROR(__xludf.DUMMYFUNCTION("""COMPUTED_VALUE"""),"M. Arif S/ Kevin Ahada R")</f>
        <v>M. Arif S/ Kevin Ahada R</v>
      </c>
      <c r="G1104" s="13">
        <f t="shared" si="1"/>
        <v>946</v>
      </c>
      <c r="H1104" s="13" t="str">
        <f>IFERROR(__xludf.DUMMYFUNCTION("""COMPUTED_VALUE"""),"P0")</f>
        <v>P0</v>
      </c>
    </row>
    <row r="1105" ht="22.5" customHeight="1">
      <c r="B1105" s="17" t="str">
        <f>IFERROR(__xludf.DUMMYFUNCTION("""COMPUTED_VALUE"""),"K/11/071124/4")</f>
        <v>K/11/071124/4</v>
      </c>
      <c r="C1105" s="17" t="str">
        <f>IFERROR(__xludf.DUMMYFUNCTION("""COMPUTED_VALUE"""),"M. 2426/ Kedaung")</f>
        <v>M. 2426/ Kedaung</v>
      </c>
      <c r="D1105" s="17">
        <f>IFERROR(__xludf.DUMMYFUNCTION("""COMPUTED_VALUE"""),45603.445558657404)</f>
        <v>45603.44556</v>
      </c>
      <c r="E1105" s="11" t="str">
        <f>IFERROR(__xludf.DUMMYFUNCTION("""COMPUTED_VALUE"""),"BN Jual Beli")</f>
        <v>BN Jual Beli</v>
      </c>
      <c r="F1105" s="11" t="str">
        <f>IFERROR(__xludf.DUMMYFUNCTION("""COMPUTED_VALUE"""),"M. Arif S/ Friska AFR")</f>
        <v>M. Arif S/ Friska AFR</v>
      </c>
      <c r="G1105" s="13">
        <f t="shared" si="1"/>
        <v>947</v>
      </c>
      <c r="H1105" s="13" t="str">
        <f>IFERROR(__xludf.DUMMYFUNCTION("""COMPUTED_VALUE"""),"P0")</f>
        <v>P0</v>
      </c>
    </row>
    <row r="1106" ht="22.5" customHeight="1">
      <c r="B1106" s="17" t="str">
        <f>IFERROR(__xludf.DUMMYFUNCTION("""COMPUTED_VALUE"""),"K/13/071124/2")</f>
        <v>K/13/071124/2</v>
      </c>
      <c r="C1106" s="17" t="str">
        <f>IFERROR(__xludf.DUMMYFUNCTION("""COMPUTED_VALUE"""),"M. 2150/SUKARAME BARU-SEKARANG;B. 2323/SUKARAME-DAHULU")</f>
        <v>M. 2150/SUKARAME BARU-SEKARANG;B. 2323/SUKARAME-DAHULU</v>
      </c>
      <c r="D1106" s="17">
        <f>IFERROR(__xludf.DUMMYFUNCTION("""COMPUTED_VALUE"""),45603.44707106482)</f>
        <v>45603.44707</v>
      </c>
      <c r="E1106" s="11" t="str">
        <f>IFERROR(__xludf.DUMMYFUNCTION("""COMPUTED_VALUE"""),"ROYA")</f>
        <v>ROYA</v>
      </c>
      <c r="F1106" s="11" t="str">
        <f>IFERROR(__xludf.DUMMYFUNCTION("""COMPUTED_VALUE"""),"DEA FRISKA RUSDARA / JERRY YANTO")</f>
        <v>DEA FRISKA RUSDARA / JERRY YANTO</v>
      </c>
      <c r="G1106" s="13">
        <f t="shared" si="1"/>
        <v>948</v>
      </c>
      <c r="H1106" s="13" t="str">
        <f>IFERROR(__xludf.DUMMYFUNCTION("""COMPUTED_VALUE"""),"P0")</f>
        <v>P0</v>
      </c>
    </row>
    <row r="1107" ht="22.5" customHeight="1">
      <c r="B1107" s="17" t="str">
        <f>IFERROR(__xludf.DUMMYFUNCTION("""COMPUTED_VALUE"""),"K/15/071124/1")</f>
        <v>K/15/071124/1</v>
      </c>
      <c r="C1107" s="17" t="str">
        <f>IFERROR(__xludf.DUMMYFUNCTION("""COMPUTED_VALUE"""),"M.2555/PINANG JAYA")</f>
        <v>M.2555/PINANG JAYA</v>
      </c>
      <c r="D1107" s="17">
        <f>IFERROR(__xludf.DUMMYFUNCTION("""COMPUTED_VALUE"""),45603.44739770833)</f>
        <v>45603.4474</v>
      </c>
      <c r="E1107" s="11" t="str">
        <f>IFERROR(__xludf.DUMMYFUNCTION("""COMPUTED_VALUE"""),"BN JUAL BELI")</f>
        <v>BN JUAL BELI</v>
      </c>
      <c r="F1107" s="11" t="str">
        <f>IFERROR(__xludf.DUMMYFUNCTION("""COMPUTED_VALUE"""),"LELI SEPTIANA/EKA SARI TAHERAH")</f>
        <v>LELI SEPTIANA/EKA SARI TAHERAH</v>
      </c>
      <c r="G1107" s="13">
        <f t="shared" si="1"/>
        <v>949</v>
      </c>
      <c r="H1107" s="13" t="str">
        <f>IFERROR(__xludf.DUMMYFUNCTION("""COMPUTED_VALUE"""),"P0")</f>
        <v>P0</v>
      </c>
    </row>
    <row r="1108" ht="22.5" customHeight="1">
      <c r="B1108" s="17" t="str">
        <f>IFERROR(__xludf.DUMMYFUNCTION("""COMPUTED_VALUE"""),"K/19/071124/2")</f>
        <v>K/19/071124/2</v>
      </c>
      <c r="C1108" s="17" t="str">
        <f>IFERROR(__xludf.DUMMYFUNCTION("""COMPUTED_VALUE"""),"Nibel 3070/ keteguhan")</f>
        <v>Nibel 3070/ keteguhan</v>
      </c>
      <c r="D1108" s="17">
        <f>IFERROR(__xludf.DUMMYFUNCTION("""COMPUTED_VALUE"""),45603.44785701389)</f>
        <v>45603.44786</v>
      </c>
      <c r="E1108" s="11" t="str">
        <f>IFERROR(__xludf.DUMMYFUNCTION("""COMPUTED_VALUE"""),"BN JUAL BELI")</f>
        <v>BN JUAL BELI</v>
      </c>
      <c r="F1108" s="11" t="str">
        <f>IFERROR(__xludf.DUMMYFUNCTION("""COMPUTED_VALUE"""),"BUDI KRISTIYANTO")</f>
        <v>BUDI KRISTIYANTO</v>
      </c>
      <c r="G1108" s="13">
        <f t="shared" si="1"/>
        <v>950</v>
      </c>
      <c r="H1108" s="13" t="str">
        <f>IFERROR(__xludf.DUMMYFUNCTION("""COMPUTED_VALUE"""),"P0")</f>
        <v>P0</v>
      </c>
    </row>
    <row r="1109" ht="22.5" customHeight="1">
      <c r="B1109" s="17" t="str">
        <f>IFERROR(__xludf.DUMMYFUNCTION("""COMPUTED_VALUE"""),"K/16/071124/2")</f>
        <v>K/16/071124/2</v>
      </c>
      <c r="C1109" s="17" t="str">
        <f>IFERROR(__xludf.DUMMYFUNCTION("""COMPUTED_VALUE"""),"M.4696/SUKADANAHAM")</f>
        <v>M.4696/SUKADANAHAM</v>
      </c>
      <c r="D1109" s="17">
        <f>IFERROR(__xludf.DUMMYFUNCTION("""COMPUTED_VALUE"""),45603.4480965625)</f>
        <v>45603.4481</v>
      </c>
      <c r="E1109" s="11" t="str">
        <f>IFERROR(__xludf.DUMMYFUNCTION("""COMPUTED_VALUE"""),"BN JUAL BELI")</f>
        <v>BN JUAL BELI</v>
      </c>
      <c r="F1109" s="11" t="str">
        <f>IFERROR(__xludf.DUMMYFUNCTION("""COMPUTED_VALUE"""),"APRIZAL/EKA SARI TAHERAH")</f>
        <v>APRIZAL/EKA SARI TAHERAH</v>
      </c>
      <c r="G1109" s="13">
        <f t="shared" si="1"/>
        <v>951</v>
      </c>
      <c r="H1109" s="13" t="str">
        <f>IFERROR(__xludf.DUMMYFUNCTION("""COMPUTED_VALUE"""),"P0")</f>
        <v>P0</v>
      </c>
    </row>
    <row r="1110" ht="22.5" customHeight="1">
      <c r="B1110" s="17" t="str">
        <f>IFERROR(__xludf.DUMMYFUNCTION("""COMPUTED_VALUE"""),"K/17/071124/3")</f>
        <v>K/17/071124/3</v>
      </c>
      <c r="C1110" s="17" t="str">
        <f>IFERROR(__xludf.DUMMYFUNCTION("""COMPUTED_VALUE"""),"M.4706/SUKADANAHAM")</f>
        <v>M.4706/SUKADANAHAM</v>
      </c>
      <c r="D1110" s="17">
        <f>IFERROR(__xludf.DUMMYFUNCTION("""COMPUTED_VALUE"""),45603.449586215276)</f>
        <v>45603.44959</v>
      </c>
      <c r="E1110" s="11" t="str">
        <f>IFERROR(__xludf.DUMMYFUNCTION("""COMPUTED_VALUE"""),"BN JUAL BELI")</f>
        <v>BN JUAL BELI</v>
      </c>
      <c r="F1110" s="11" t="str">
        <f>IFERROR(__xludf.DUMMYFUNCTION("""COMPUTED_VALUE"""),"ANDRE SETIAWAN/EKA SARI TAHERAH")</f>
        <v>ANDRE SETIAWAN/EKA SARI TAHERAH</v>
      </c>
      <c r="G1110" s="13">
        <f t="shared" si="1"/>
        <v>952</v>
      </c>
      <c r="H1110" s="13" t="str">
        <f>IFERROR(__xludf.DUMMYFUNCTION("""COMPUTED_VALUE"""),"P0")</f>
        <v>P0</v>
      </c>
    </row>
    <row r="1111" ht="22.5" customHeight="1">
      <c r="B1111" s="17" t="str">
        <f>IFERROR(__xludf.DUMMYFUNCTION("""COMPUTED_VALUE"""),"K/18/071124/4")</f>
        <v>K/18/071124/4</v>
      </c>
      <c r="C1111" s="17" t="str">
        <f>IFERROR(__xludf.DUMMYFUNCTION("""COMPUTED_VALUE"""),"M.2475/PINANG JAYA")</f>
        <v>M.2475/PINANG JAYA</v>
      </c>
      <c r="D1111" s="17">
        <f>IFERROR(__xludf.DUMMYFUNCTION("""COMPUTED_VALUE"""),45603.45032097222)</f>
        <v>45603.45032</v>
      </c>
      <c r="E1111" s="11" t="str">
        <f>IFERROR(__xludf.DUMMYFUNCTION("""COMPUTED_VALUE"""),"BN JUAL BELI")</f>
        <v>BN JUAL BELI</v>
      </c>
      <c r="F1111" s="11" t="str">
        <f>IFERROR(__xludf.DUMMYFUNCTION("""COMPUTED_VALUE"""),"ADI WIDODO/EKA SARI TAHERAH")</f>
        <v>ADI WIDODO/EKA SARI TAHERAH</v>
      </c>
      <c r="G1111" s="13">
        <f t="shared" si="1"/>
        <v>953</v>
      </c>
      <c r="H1111" s="13" t="str">
        <f>IFERROR(__xludf.DUMMYFUNCTION("""COMPUTED_VALUE"""),"P0")</f>
        <v>P0</v>
      </c>
    </row>
    <row r="1112" ht="22.5" customHeight="1">
      <c r="B1112" s="17" t="str">
        <f>IFERROR(__xludf.DUMMYFUNCTION("""COMPUTED_VALUE"""),"K/60/311024/1")</f>
        <v>K/60/311024/1</v>
      </c>
      <c r="C1112" s="17" t="str">
        <f>IFERROR(__xludf.DUMMYFUNCTION("""COMPUTED_VALUE"""),"M. 12416/ Sukabumi; B. 4544/ Sukabumi")</f>
        <v>M. 12416/ Sukabumi; B. 4544/ Sukabumi</v>
      </c>
      <c r="D1112" s="17">
        <f>IFERROR(__xludf.DUMMYFUNCTION("""COMPUTED_VALUE"""),45603.45138733796)</f>
        <v>45603.45139</v>
      </c>
      <c r="E1112" s="11" t="str">
        <f>IFERROR(__xludf.DUMMYFUNCTION("""COMPUTED_VALUE"""),"BN Jual Beli")</f>
        <v>BN Jual Beli</v>
      </c>
      <c r="F1112" s="11" t="str">
        <f>IFERROR(__xludf.DUMMYFUNCTION("""COMPUTED_VALUE"""),"Mahfud/ Eka C 	")</f>
        <v>Mahfud/ Eka C 	</v>
      </c>
      <c r="G1112" s="13">
        <f t="shared" si="1"/>
        <v>953</v>
      </c>
      <c r="H1112" s="13" t="str">
        <f>IFERROR(__xludf.DUMMYFUNCTION("""COMPUTED_VALUE"""),"P1")</f>
        <v>P1</v>
      </c>
    </row>
    <row r="1113" ht="22.5" customHeight="1">
      <c r="B1113" s="17" t="str">
        <f>IFERROR(__xludf.DUMMYFUNCTION("""COMPUTED_VALUE"""),"K/26/051124/1")</f>
        <v>K/26/051124/1</v>
      </c>
      <c r="C1113" s="17" t="str">
        <f>IFERROR(__xludf.DUMMYFUNCTION("""COMPUTED_VALUE"""),"M. 14387/ Rajabasa; SHT 2838/ 2018	")</f>
        <v>M. 14387/ Rajabasa; SHT 2838/ 2018	</v>
      </c>
      <c r="D1113" s="17">
        <f>IFERROR(__xludf.DUMMYFUNCTION("""COMPUTED_VALUE"""),45603.453210011576)</f>
        <v>45603.45321</v>
      </c>
      <c r="E1113" s="11" t="str">
        <f>IFERROR(__xludf.DUMMYFUNCTION("""COMPUTED_VALUE"""),"Roya")</f>
        <v>Roya</v>
      </c>
      <c r="F1113" s="11" t="str">
        <f>IFERROR(__xludf.DUMMYFUNCTION("""COMPUTED_VALUE"""),"Evi Udin/ Agustino H	")</f>
        <v>Evi Udin/ Agustino H	</v>
      </c>
      <c r="G1113" s="13">
        <f t="shared" si="1"/>
        <v>953</v>
      </c>
      <c r="H1113" s="13" t="str">
        <f>IFERROR(__xludf.DUMMYFUNCTION("""COMPUTED_VALUE"""),"P1")</f>
        <v>P1</v>
      </c>
    </row>
    <row r="1114" ht="22.5" customHeight="1">
      <c r="B1114" s="17" t="str">
        <f>IFERROR(__xludf.DUMMYFUNCTION("""COMPUTED_VALUE"""),"K/8/311024/2")</f>
        <v>K/8/311024/2</v>
      </c>
      <c r="C1114" s="17" t="str">
        <f>IFERROR(__xludf.DUMMYFUNCTION("""COMPUTED_VALUE"""),"M.1565/KEMILING PERMAI")</f>
        <v>M.1565/KEMILING PERMAI</v>
      </c>
      <c r="D1114" s="17">
        <f>IFERROR(__xludf.DUMMYFUNCTION("""COMPUTED_VALUE"""),45603.4549665625)</f>
        <v>45603.45497</v>
      </c>
      <c r="E1114" s="11" t="str">
        <f>IFERROR(__xludf.DUMMYFUNCTION("""COMPUTED_VALUE"""),"BN JUAL BELI")</f>
        <v>BN JUAL BELI</v>
      </c>
      <c r="F1114" s="11" t="str">
        <f>IFERROR(__xludf.DUMMYFUNCTION("""COMPUTED_VALUE"""),"NOVI FIRDAYANTI/EDYAWATI")</f>
        <v>NOVI FIRDAYANTI/EDYAWATI</v>
      </c>
      <c r="G1114" s="13">
        <f t="shared" si="1"/>
        <v>953</v>
      </c>
      <c r="H1114" s="13" t="str">
        <f>IFERROR(__xludf.DUMMYFUNCTION("""COMPUTED_VALUE"""),"P1")</f>
        <v>P1</v>
      </c>
    </row>
    <row r="1115" ht="22.5" customHeight="1">
      <c r="B1115" s="17" t="str">
        <f>IFERROR(__xludf.DUMMYFUNCTION("""COMPUTED_VALUE"""),"K/7/311024/1")</f>
        <v>K/7/311024/1</v>
      </c>
      <c r="C1115" s="17" t="str">
        <f>IFERROR(__xludf.DUMMYFUNCTION("""COMPUTED_VALUE"""),"B.3378/SUKABUMI")</f>
        <v>B.3378/SUKABUMI</v>
      </c>
      <c r="D1115" s="17">
        <f>IFERROR(__xludf.DUMMYFUNCTION("""COMPUTED_VALUE"""),45603.45565751157)</f>
        <v>45603.45566</v>
      </c>
      <c r="E1115" s="11" t="str">
        <f>IFERROR(__xludf.DUMMYFUNCTION("""COMPUTED_VALUE"""),"HIBAH")</f>
        <v>HIBAH</v>
      </c>
      <c r="F1115" s="11" t="str">
        <f>IFERROR(__xludf.DUMMYFUNCTION("""COMPUTED_VALUE"""),"LINDA ASTUTI/EDYAWATY ")</f>
        <v>LINDA ASTUTI/EDYAWATY </v>
      </c>
      <c r="G1115" s="13">
        <f t="shared" si="1"/>
        <v>953</v>
      </c>
      <c r="H1115" s="13" t="str">
        <f>IFERROR(__xludf.DUMMYFUNCTION("""COMPUTED_VALUE"""),"P1")</f>
        <v>P1</v>
      </c>
    </row>
    <row r="1116" ht="22.5" customHeight="1">
      <c r="B1116" s="17" t="str">
        <f>IFERROR(__xludf.DUMMYFUNCTION("""COMPUTED_VALUE"""),"K/18/251024/3")</f>
        <v>K/18/251024/3</v>
      </c>
      <c r="C1116" s="17" t="str">
        <f>IFERROR(__xludf.DUMMYFUNCTION("""COMPUTED_VALUE"""),"M. 2528/ Pinang Jaya	")</f>
        <v>M. 2528/ Pinang Jaya	</v>
      </c>
      <c r="D1116" s="17">
        <f>IFERROR(__xludf.DUMMYFUNCTION("""COMPUTED_VALUE"""),45603.45602409722)</f>
        <v>45603.45602</v>
      </c>
      <c r="E1116" s="11" t="str">
        <f>IFERROR(__xludf.DUMMYFUNCTION("""COMPUTED_VALUE"""),"BN Jual Beli")</f>
        <v>BN Jual Beli</v>
      </c>
      <c r="F1116" s="11" t="str">
        <f>IFERROR(__xludf.DUMMYFUNCTION("""COMPUTED_VALUE"""),"Eka Sari T/ Ilmiati S	")</f>
        <v>Eka Sari T/ Ilmiati S	</v>
      </c>
      <c r="G1116" s="13">
        <f t="shared" si="1"/>
        <v>953</v>
      </c>
      <c r="H1116" s="13" t="str">
        <f>IFERROR(__xludf.DUMMYFUNCTION("""COMPUTED_VALUE"""),"P1")</f>
        <v>P1</v>
      </c>
    </row>
    <row r="1117" ht="22.5" customHeight="1">
      <c r="B1117" s="17" t="str">
        <f>IFERROR(__xludf.DUMMYFUNCTION("""COMPUTED_VALUE"""),"K/24/301024/2")</f>
        <v>K/24/301024/2</v>
      </c>
      <c r="C1117" s="17" t="str">
        <f>IFERROR(__xludf.DUMMYFUNCTION("""COMPUTED_VALUE"""),"M. 2314/ NOG; B. 558/ NOG")</f>
        <v>M. 2314/ NOG; B. 558/ NOG</v>
      </c>
      <c r="D1117" s="17">
        <f>IFERROR(__xludf.DUMMYFUNCTION("""COMPUTED_VALUE"""),45603.45674533564)</f>
        <v>45603.45675</v>
      </c>
      <c r="E1117" s="11" t="str">
        <f>IFERROR(__xludf.DUMMYFUNCTION("""COMPUTED_VALUE"""),"BN Jual Beli")</f>
        <v>BN Jual Beli</v>
      </c>
      <c r="F1117" s="11" t="str">
        <f>IFERROR(__xludf.DUMMYFUNCTION("""COMPUTED_VALUE"""),"Budi K/ Arianto")</f>
        <v>Budi K/ Arianto</v>
      </c>
      <c r="G1117" s="13">
        <f t="shared" si="1"/>
        <v>953</v>
      </c>
      <c r="H1117" s="13" t="str">
        <f>IFERROR(__xludf.DUMMYFUNCTION("""COMPUTED_VALUE"""),"P1")</f>
        <v>P1</v>
      </c>
    </row>
    <row r="1118" ht="22.5" customHeight="1">
      <c r="B1118" s="17" t="str">
        <f>IFERROR(__xludf.DUMMYFUNCTION("""COMPUTED_VALUE"""),"K/20/071124/1")</f>
        <v>K/20/071124/1</v>
      </c>
      <c r="C1118" s="17" t="str">
        <f>IFERROR(__xludf.DUMMYFUNCTION("""COMPUTED_VALUE"""),"M. 141/ PERUMNAS WAY KANDIS-SEKARANG; B. 250/ WAY KANDIS-DAHULU")</f>
        <v>M. 141/ PERUMNAS WAY KANDIS-SEKARANG; B. 250/ WAY KANDIS-DAHULU</v>
      </c>
      <c r="D1118" s="17">
        <f>IFERROR(__xludf.DUMMYFUNCTION("""COMPUTED_VALUE"""),45603.465972314814)</f>
        <v>45603.46597</v>
      </c>
      <c r="E1118" s="11" t="str">
        <f>IFERROR(__xludf.DUMMYFUNCTION("""COMPUTED_VALUE"""),"BN JUAL BELI")</f>
        <v>BN JUAL BELI</v>
      </c>
      <c r="F1118" s="11" t="str">
        <f>IFERROR(__xludf.DUMMYFUNCTION("""COMPUTED_VALUE"""),"NOVALIA EKA PUTRI / ROSMAWATI")</f>
        <v>NOVALIA EKA PUTRI / ROSMAWATI</v>
      </c>
      <c r="G1118" s="13">
        <f t="shared" si="1"/>
        <v>954</v>
      </c>
      <c r="H1118" s="13" t="str">
        <f>IFERROR(__xludf.DUMMYFUNCTION("""COMPUTED_VALUE"""),"P0")</f>
        <v>P0</v>
      </c>
    </row>
    <row r="1119" ht="22.5" customHeight="1">
      <c r="B1119" s="17" t="str">
        <f>IFERROR(__xludf.DUMMYFUNCTION("""COMPUTED_VALUE"""),"K/21/071124/1")</f>
        <v>K/21/071124/1</v>
      </c>
      <c r="C1119" s="17" t="str">
        <f>IFERROR(__xludf.DUMMYFUNCTION("""COMPUTED_VALUE"""),"M. 4901/ Langkapura")</f>
        <v>M. 4901/ Langkapura</v>
      </c>
      <c r="D1119" s="17">
        <f>IFERROR(__xludf.DUMMYFUNCTION("""COMPUTED_VALUE"""),45603.47188484954)</f>
        <v>45603.47188</v>
      </c>
      <c r="E1119" s="11" t="str">
        <f>IFERROR(__xludf.DUMMYFUNCTION("""COMPUTED_VALUE"""),"Hapus BPHTB")</f>
        <v>Hapus BPHTB</v>
      </c>
      <c r="F1119" s="11" t="str">
        <f>IFERROR(__xludf.DUMMYFUNCTION("""COMPUTED_VALUE"""),"Richard Adi P/ Achmad A")</f>
        <v>Richard Adi P/ Achmad A</v>
      </c>
      <c r="G1119" s="13">
        <f t="shared" si="1"/>
        <v>955</v>
      </c>
      <c r="H1119" s="13" t="str">
        <f>IFERROR(__xludf.DUMMYFUNCTION("""COMPUTED_VALUE"""),"P0")</f>
        <v>P0</v>
      </c>
    </row>
    <row r="1120" ht="22.5" customHeight="1">
      <c r="B1120" s="17" t="str">
        <f>IFERROR(__xludf.DUMMYFUNCTION("""COMPUTED_VALUE"""),"L/22/071124/1")</f>
        <v>L/22/071124/1</v>
      </c>
      <c r="C1120" s="17" t="str">
        <f>IFERROR(__xludf.DUMMYFUNCTION("""COMPUTED_VALUE"""),"HM 2435/PANJANG UTARA")</f>
        <v>HM 2435/PANJANG UTARA</v>
      </c>
      <c r="D1120" s="17">
        <f>IFERROR(__xludf.DUMMYFUNCTION("""COMPUTED_VALUE"""),45603.48048945602)</f>
        <v>45603.48049</v>
      </c>
      <c r="E1120" s="11" t="str">
        <f>IFERROR(__xludf.DUMMYFUNCTION("""COMPUTED_VALUE"""),"BN HIBAH")</f>
        <v>BN HIBAH</v>
      </c>
      <c r="F1120" s="11" t="str">
        <f>IFERROR(__xludf.DUMMYFUNCTION("""COMPUTED_VALUE"""),"TAUPIK AKBAR")</f>
        <v>TAUPIK AKBAR</v>
      </c>
      <c r="G1120" s="13">
        <f t="shared" si="1"/>
        <v>956</v>
      </c>
      <c r="H1120" s="13" t="str">
        <f>IFERROR(__xludf.DUMMYFUNCTION("""COMPUTED_VALUE"""),"P0")</f>
        <v>P0</v>
      </c>
    </row>
    <row r="1121" ht="22.5" customHeight="1">
      <c r="B1121" s="17" t="str">
        <f>IFERROR(__xludf.DUMMYFUNCTION("""COMPUTED_VALUE"""),"K/23/071124/1")</f>
        <v>K/23/071124/1</v>
      </c>
      <c r="C1121" s="17" t="str">
        <f>IFERROR(__xludf.DUMMYFUNCTION("""COMPUTED_VALUE"""),"M. 16717/ Sukarame I")</f>
        <v>M. 16717/ Sukarame I</v>
      </c>
      <c r="D1121" s="17">
        <f>IFERROR(__xludf.DUMMYFUNCTION("""COMPUTED_VALUE"""),45603.54728204861)</f>
        <v>45603.54728</v>
      </c>
      <c r="E1121" s="11" t="str">
        <f>IFERROR(__xludf.DUMMYFUNCTION("""COMPUTED_VALUE"""),"ROYA")</f>
        <v>ROYA</v>
      </c>
      <c r="F1121" s="11" t="str">
        <f>IFERROR(__xludf.DUMMYFUNCTION("""COMPUTED_VALUE"""),"GITA ATIKA/SALIM WIJAYA")</f>
        <v>GITA ATIKA/SALIM WIJAYA</v>
      </c>
      <c r="G1121" s="13">
        <f t="shared" si="1"/>
        <v>957</v>
      </c>
      <c r="H1121" s="13" t="str">
        <f>IFERROR(__xludf.DUMMYFUNCTION("""COMPUTED_VALUE"""),"P0")</f>
        <v>P0</v>
      </c>
    </row>
    <row r="1122" ht="22.5" customHeight="1">
      <c r="B1122" s="17" t="str">
        <f>IFERROR(__xludf.DUMMYFUNCTION("""COMPUTED_VALUE"""),"K/24/071124/1")</f>
        <v>K/24/071124/1</v>
      </c>
      <c r="C1122" s="17" t="str">
        <f>IFERROR(__xludf.DUMMYFUNCTION("""COMPUTED_VALUE"""),"M. 658/ Gunung Terang")</f>
        <v>M. 658/ Gunung Terang</v>
      </c>
      <c r="D1122" s="17">
        <f>IFERROR(__xludf.DUMMYFUNCTION("""COMPUTED_VALUE"""),45603.55134460648)</f>
        <v>45603.55134</v>
      </c>
      <c r="E1122" s="11" t="str">
        <f>IFERROR(__xludf.DUMMYFUNCTION("""COMPUTED_VALUE"""),"GANTI KECAMATAN")</f>
        <v>GANTI KECAMATAN</v>
      </c>
      <c r="F1122" s="11" t="str">
        <f>IFERROR(__xludf.DUMMYFUNCTION("""COMPUTED_VALUE"""),"TONY AZHARI")</f>
        <v>TONY AZHARI</v>
      </c>
      <c r="G1122" s="13">
        <f t="shared" si="1"/>
        <v>958</v>
      </c>
      <c r="H1122" s="13" t="str">
        <f>IFERROR(__xludf.DUMMYFUNCTION("""COMPUTED_VALUE"""),"P0")</f>
        <v>P0</v>
      </c>
    </row>
    <row r="1123" ht="22.5" customHeight="1">
      <c r="B1123" s="17" t="str">
        <f>IFERROR(__xludf.DUMMYFUNCTION("""COMPUTED_VALUE"""),"L/25/071124/1")</f>
        <v>L/25/071124/1</v>
      </c>
      <c r="C1123" s="17" t="str">
        <f>IFERROR(__xludf.DUMMYFUNCTION("""COMPUTED_VALUE"""),"TANJUNG AGUNG")</f>
        <v>TANJUNG AGUNG</v>
      </c>
      <c r="D1123" s="17">
        <f>IFERROR(__xludf.DUMMYFUNCTION("""COMPUTED_VALUE"""),45603.553184027776)</f>
        <v>45603.55318</v>
      </c>
      <c r="E1123" s="11" t="str">
        <f>IFERROR(__xludf.DUMMYFUNCTION("""COMPUTED_VALUE"""),"PERTAMA KALI")</f>
        <v>PERTAMA KALI</v>
      </c>
      <c r="F1123" s="11" t="str">
        <f>IFERROR(__xludf.DUMMYFUNCTION("""COMPUTED_VALUE"""),"TIAS SANGUN RATU")</f>
        <v>TIAS SANGUN RATU</v>
      </c>
      <c r="G1123" s="13">
        <f t="shared" si="1"/>
        <v>959</v>
      </c>
      <c r="H1123" s="13" t="str">
        <f>IFERROR(__xludf.DUMMYFUNCTION("""COMPUTED_VALUE"""),"P0")</f>
        <v>P0</v>
      </c>
    </row>
    <row r="1124" ht="22.5" customHeight="1">
      <c r="B1124" s="17" t="str">
        <f>IFERROR(__xludf.DUMMYFUNCTION("""COMPUTED_VALUE"""),"K/53/051124/1")</f>
        <v>K/53/051124/1</v>
      </c>
      <c r="C1124" s="17" t="str">
        <f>IFERROR(__xludf.DUMMYFUNCTION("""COMPUTED_VALUE"""),"M.344/BAKUNG")</f>
        <v>M.344/BAKUNG</v>
      </c>
      <c r="D1124" s="17">
        <f>IFERROR(__xludf.DUMMYFUNCTION("""COMPUTED_VALUE"""),45603.56548041667)</f>
        <v>45603.56548</v>
      </c>
      <c r="E1124" s="11" t="str">
        <f>IFERROR(__xludf.DUMMYFUNCTION("""COMPUTED_VALUE"""),"PTPGT")</f>
        <v>PTPGT</v>
      </c>
      <c r="F1124" s="11" t="str">
        <f>IFERROR(__xludf.DUMMYFUNCTION("""COMPUTED_VALUE"""),"ARPAN/WAHYUNI")</f>
        <v>ARPAN/WAHYUNI</v>
      </c>
      <c r="G1124" s="13">
        <f t="shared" si="1"/>
        <v>959</v>
      </c>
      <c r="H1124" s="13" t="str">
        <f>IFERROR(__xludf.DUMMYFUNCTION("""COMPUTED_VALUE"""),"P1")</f>
        <v>P1</v>
      </c>
    </row>
    <row r="1125" ht="22.5" customHeight="1">
      <c r="B1125" s="17" t="str">
        <f>IFERROR(__xludf.DUMMYFUNCTION("""COMPUTED_VALUE"""),"K/29/071124/1")</f>
        <v>K/29/071124/1</v>
      </c>
      <c r="C1125" s="17" t="str">
        <f>IFERROR(__xludf.DUMMYFUNCTION("""COMPUTED_VALUE"""),"M. 439/KALIAWI PERSADA-SEKARANG;B.41/SUKADANA HAM-DAHULU")</f>
        <v>M. 439/KALIAWI PERSADA-SEKARANG;B.41/SUKADANA HAM-DAHULU</v>
      </c>
      <c r="D1125" s="17">
        <f>IFERROR(__xludf.DUMMYFUNCTION("""COMPUTED_VALUE"""),45603.57218402778)</f>
        <v>45603.57218</v>
      </c>
      <c r="E1125" s="11" t="str">
        <f>IFERROR(__xludf.DUMMYFUNCTION("""COMPUTED_VALUE"""),"BN JUAL BELI")</f>
        <v>BN JUAL BELI</v>
      </c>
      <c r="F1125" s="11" t="str">
        <f>IFERROR(__xludf.DUMMYFUNCTION("""COMPUTED_VALUE"""),"DESSY NOFITA / ADRISMAN")</f>
        <v>DESSY NOFITA / ADRISMAN</v>
      </c>
      <c r="G1125" s="13">
        <f t="shared" si="1"/>
        <v>960</v>
      </c>
      <c r="H1125" s="13" t="str">
        <f>IFERROR(__xludf.DUMMYFUNCTION("""COMPUTED_VALUE"""),"P0")</f>
        <v>P0</v>
      </c>
    </row>
    <row r="1126" ht="22.5" customHeight="1">
      <c r="B1126" s="17" t="str">
        <f>IFERROR(__xludf.DUMMYFUNCTION("""COMPUTED_VALUE"""),"K/26/071124/1")</f>
        <v>K/26/071124/1</v>
      </c>
      <c r="C1126" s="17" t="str">
        <f>IFERROR(__xludf.DUMMYFUNCTION("""COMPUTED_VALUE"""),"M. 445/ Kota Sepang")</f>
        <v>M. 445/ Kota Sepang</v>
      </c>
      <c r="D1126" s="17">
        <f>IFERROR(__xludf.DUMMYFUNCTION("""COMPUTED_VALUE"""),45603.56992285879)</f>
        <v>45603.56992</v>
      </c>
      <c r="E1126" s="11" t="str">
        <f>IFERROR(__xludf.DUMMYFUNCTION("""COMPUTED_VALUE"""),"BN Jual Beli")</f>
        <v>BN Jual Beli</v>
      </c>
      <c r="F1126" s="11" t="str">
        <f>IFERROR(__xludf.DUMMYFUNCTION("""COMPUTED_VALUE"""),"Ilanur/ Rudi M Irawan")</f>
        <v>Ilanur/ Rudi M Irawan</v>
      </c>
      <c r="G1126" s="13">
        <f t="shared" si="1"/>
        <v>961</v>
      </c>
      <c r="H1126" s="13" t="str">
        <f>IFERROR(__xludf.DUMMYFUNCTION("""COMPUTED_VALUE"""),"P0")</f>
        <v>P0</v>
      </c>
    </row>
    <row r="1127" ht="22.5" customHeight="1">
      <c r="B1127" s="17" t="str">
        <f>IFERROR(__xludf.DUMMYFUNCTION("""COMPUTED_VALUE"""),"K/27/071124/2")</f>
        <v>K/27/071124/2</v>
      </c>
      <c r="C1127" s="17" t="str">
        <f>IFERROR(__xludf.DUMMYFUNCTION("""COMPUTED_VALUE"""),"M. 87/ L R R")</f>
        <v>M. 87/ L R R</v>
      </c>
      <c r="D1127" s="17">
        <f>IFERROR(__xludf.DUMMYFUNCTION("""COMPUTED_VALUE"""),45603.57056961805)</f>
        <v>45603.57057</v>
      </c>
      <c r="E1127" s="11" t="str">
        <f>IFERROR(__xludf.DUMMYFUNCTION("""COMPUTED_VALUE"""),"BN Jual Beli")</f>
        <v>BN Jual Beli</v>
      </c>
      <c r="F1127" s="11" t="str">
        <f>IFERROR(__xludf.DUMMYFUNCTION("""COMPUTED_VALUE"""),"Ilanur/ Siti Nurhasanah")</f>
        <v>Ilanur/ Siti Nurhasanah</v>
      </c>
      <c r="G1127" s="13">
        <f t="shared" si="1"/>
        <v>962</v>
      </c>
      <c r="H1127" s="13" t="str">
        <f>IFERROR(__xludf.DUMMYFUNCTION("""COMPUTED_VALUE"""),"P0")</f>
        <v>P0</v>
      </c>
    </row>
    <row r="1128" ht="22.5" customHeight="1">
      <c r="B1128" s="17" t="str">
        <f>IFERROR(__xludf.DUMMYFUNCTION("""COMPUTED_VALUE"""),"K/28/071124/3")</f>
        <v>K/28/071124/3</v>
      </c>
      <c r="C1128" s="17" t="str">
        <f>IFERROR(__xludf.DUMMYFUNCTION("""COMPUTED_VALUE"""),"Nibel. M. 699/ Kota Sepang")</f>
        <v>Nibel. M. 699/ Kota Sepang</v>
      </c>
      <c r="D1128" s="17">
        <f>IFERROR(__xludf.DUMMYFUNCTION("""COMPUTED_VALUE"""),45603.571239247685)</f>
        <v>45603.57124</v>
      </c>
      <c r="E1128" s="11" t="str">
        <f>IFERROR(__xludf.DUMMYFUNCTION("""COMPUTED_VALUE"""),"BN Jual Beli")</f>
        <v>BN Jual Beli</v>
      </c>
      <c r="F1128" s="11" t="str">
        <f>IFERROR(__xludf.DUMMYFUNCTION("""COMPUTED_VALUE"""),"Ilanur/ Rudi M Irawan")</f>
        <v>Ilanur/ Rudi M Irawan</v>
      </c>
      <c r="G1128" s="13">
        <f t="shared" si="1"/>
        <v>963</v>
      </c>
      <c r="H1128" s="13" t="str">
        <f>IFERROR(__xludf.DUMMYFUNCTION("""COMPUTED_VALUE"""),"P0")</f>
        <v>P0</v>
      </c>
    </row>
    <row r="1129" ht="22.5" customHeight="1">
      <c r="B1129" s="17" t="str">
        <f>IFERROR(__xludf.DUMMYFUNCTION("""COMPUTED_VALUE"""),"K/30/071124/1")</f>
        <v>K/30/071124/1</v>
      </c>
      <c r="C1129" s="17" t="str">
        <f>IFERROR(__xludf.DUMMYFUNCTION("""COMPUTED_VALUE"""),"Nibel 3504/ Bumi Kedamaian")</f>
        <v>Nibel 3504/ Bumi Kedamaian</v>
      </c>
      <c r="D1129" s="17">
        <f>IFERROR(__xludf.DUMMYFUNCTION("""COMPUTED_VALUE"""),45603.5759029051)</f>
        <v>45603.5759</v>
      </c>
      <c r="E1129" s="11" t="str">
        <f>IFERROR(__xludf.DUMMYFUNCTION("""COMPUTED_VALUE"""),"BN JUAL BELI")</f>
        <v>BN JUAL BELI</v>
      </c>
      <c r="F1129" s="11" t="str">
        <f>IFERROR(__xludf.DUMMYFUNCTION("""COMPUTED_VALUE"""),"KRESHNA/ RITA")</f>
        <v>KRESHNA/ RITA</v>
      </c>
      <c r="G1129" s="13">
        <f t="shared" si="1"/>
        <v>964</v>
      </c>
      <c r="H1129" s="13" t="str">
        <f>IFERROR(__xludf.DUMMYFUNCTION("""COMPUTED_VALUE"""),"P0")</f>
        <v>P0</v>
      </c>
    </row>
    <row r="1130" ht="22.5" customHeight="1">
      <c r="B1130" s="17" t="str">
        <f>IFERROR(__xludf.DUMMYFUNCTION("""COMPUTED_VALUE"""),"K/31/071124/1")</f>
        <v>K/31/071124/1</v>
      </c>
      <c r="C1130" s="17" t="str">
        <f>IFERROR(__xludf.DUMMYFUNCTION("""COMPUTED_VALUE"""),"Nibel. M. 2217/ Sukabumi")</f>
        <v>Nibel. M. 2217/ Sukabumi</v>
      </c>
      <c r="D1130" s="17">
        <f>IFERROR(__xludf.DUMMYFUNCTION("""COMPUTED_VALUE"""),45603.5798646412)</f>
        <v>45603.57986</v>
      </c>
      <c r="E1130" s="11" t="str">
        <f>IFERROR(__xludf.DUMMYFUNCTION("""COMPUTED_VALUE"""),"PTPGT (Pemecahan)")</f>
        <v>PTPGT (Pemecahan)</v>
      </c>
      <c r="F1130" s="11" t="str">
        <f>IFERROR(__xludf.DUMMYFUNCTION("""COMPUTED_VALUE"""),"Abdul Gani/ Sarwan")</f>
        <v>Abdul Gani/ Sarwan</v>
      </c>
      <c r="G1130" s="13">
        <f t="shared" si="1"/>
        <v>965</v>
      </c>
      <c r="H1130" s="13" t="str">
        <f>IFERROR(__xludf.DUMMYFUNCTION("""COMPUTED_VALUE"""),"P0")</f>
        <v>P0</v>
      </c>
    </row>
    <row r="1131" ht="22.5" customHeight="1">
      <c r="B1131" s="17" t="str">
        <f>IFERROR(__xludf.DUMMYFUNCTION("""COMPUTED_VALUE"""),"K/32/071124/1")</f>
        <v>K/32/071124/1</v>
      </c>
      <c r="C1131" s="17" t="str">
        <f>IFERROR(__xludf.DUMMYFUNCTION("""COMPUTED_VALUE"""),"M. 12112/TANJUNG BARU")</f>
        <v>M. 12112/TANJUNG BARU</v>
      </c>
      <c r="D1131" s="17">
        <f>IFERROR(__xludf.DUMMYFUNCTION("""COMPUTED_VALUE"""),45603.58977439815)</f>
        <v>45603.58977</v>
      </c>
      <c r="E1131" s="11" t="str">
        <f>IFERROR(__xludf.DUMMYFUNCTION("""COMPUTED_VALUE"""),"ROYA")</f>
        <v>ROYA</v>
      </c>
      <c r="F1131" s="11" t="str">
        <f>IFERROR(__xludf.DUMMYFUNCTION("""COMPUTED_VALUE"""),"EVI UDIN / PONO SUSANTO")</f>
        <v>EVI UDIN / PONO SUSANTO</v>
      </c>
      <c r="G1131" s="13">
        <f t="shared" si="1"/>
        <v>966</v>
      </c>
      <c r="H1131" s="13" t="str">
        <f>IFERROR(__xludf.DUMMYFUNCTION("""COMPUTED_VALUE"""),"P0")</f>
        <v>P0</v>
      </c>
    </row>
    <row r="1132" ht="22.5" customHeight="1">
      <c r="B1132" s="17" t="str">
        <f>IFERROR(__xludf.DUMMYFUNCTION("""COMPUTED_VALUE"""),"L/34/071124/1")</f>
        <v>L/34/071124/1</v>
      </c>
      <c r="C1132" s="17" t="str">
        <f>IFERROR(__xludf.DUMMYFUNCTION("""COMPUTED_VALUE"""),"HM 15030/SUKARAME I (SHM TETANGGA)")</f>
        <v>HM 15030/SUKARAME I (SHM TETANGGA)</v>
      </c>
      <c r="D1132" s="17">
        <f>IFERROR(__xludf.DUMMYFUNCTION("""COMPUTED_VALUE"""),45603.59087453704)</f>
        <v>45603.59087</v>
      </c>
      <c r="E1132" s="11" t="str">
        <f>IFERROR(__xludf.DUMMYFUNCTION("""COMPUTED_VALUE"""),"SERTIPIKAT HILANG")</f>
        <v>SERTIPIKAT HILANG</v>
      </c>
      <c r="F1132" s="11" t="str">
        <f>IFERROR(__xludf.DUMMYFUNCTION("""COMPUTED_VALUE"""),"ABDUL RACHMAN")</f>
        <v>ABDUL RACHMAN</v>
      </c>
      <c r="G1132" s="13">
        <f t="shared" si="1"/>
        <v>967</v>
      </c>
      <c r="H1132" s="13" t="str">
        <f>IFERROR(__xludf.DUMMYFUNCTION("""COMPUTED_VALUE"""),"P0")</f>
        <v>P0</v>
      </c>
    </row>
    <row r="1133" ht="22.5" customHeight="1">
      <c r="B1133" s="17" t="str">
        <f>IFERROR(__xludf.DUMMYFUNCTION("""COMPUTED_VALUE"""),"K/35/071124/1")</f>
        <v>K/35/071124/1</v>
      </c>
      <c r="C1133" s="17" t="str">
        <f>IFERROR(__xludf.DUMMYFUNCTION("""COMPUTED_VALUE"""),"M. 10980/ Segala Mider")</f>
        <v>M. 10980/ Segala Mider</v>
      </c>
      <c r="D1133" s="17">
        <f>IFERROR(__xludf.DUMMYFUNCTION("""COMPUTED_VALUE"""),45603.59192653935)</f>
        <v>45603.59193</v>
      </c>
      <c r="E1133" s="11" t="str">
        <f>IFERROR(__xludf.DUMMYFUNCTION("""COMPUTED_VALUE"""),"BN Jual Beli")</f>
        <v>BN Jual Beli</v>
      </c>
      <c r="F1133" s="11" t="str">
        <f>IFERROR(__xludf.DUMMYFUNCTION("""COMPUTED_VALUE"""),"LILIS DAMAYANTI")</f>
        <v>LILIS DAMAYANTI</v>
      </c>
      <c r="G1133" s="13">
        <f t="shared" si="1"/>
        <v>968</v>
      </c>
      <c r="H1133" s="13" t="str">
        <f>IFERROR(__xludf.DUMMYFUNCTION("""COMPUTED_VALUE"""),"P0")</f>
        <v>P0</v>
      </c>
    </row>
    <row r="1134" ht="22.5" customHeight="1">
      <c r="B1134" s="17" t="str">
        <f>IFERROR(__xludf.DUMMYFUNCTION("""COMPUTED_VALUE"""),"K/38/071124/3")</f>
        <v>K/38/071124/3</v>
      </c>
      <c r="C1134" s="17" t="str">
        <f>IFERROR(__xludf.DUMMYFUNCTION("""COMPUTED_VALUE"""),"B. 716/ Kemiling Permai")</f>
        <v>B. 716/ Kemiling Permai</v>
      </c>
      <c r="D1134" s="17">
        <f>IFERROR(__xludf.DUMMYFUNCTION("""COMPUTED_VALUE"""),45603.59738950232)</f>
        <v>45603.59739</v>
      </c>
      <c r="E1134" s="11" t="str">
        <f>IFERROR(__xludf.DUMMYFUNCTION("""COMPUTED_VALUE"""),"BN Jual Beli")</f>
        <v>BN Jual Beli</v>
      </c>
      <c r="F1134" s="11" t="str">
        <f>IFERROR(__xludf.DUMMYFUNCTION("""COMPUTED_VALUE"""),"Endang A/ Sri Wahyuni")</f>
        <v>Endang A/ Sri Wahyuni</v>
      </c>
      <c r="G1134" s="13">
        <f t="shared" si="1"/>
        <v>969</v>
      </c>
      <c r="H1134" s="13" t="str">
        <f>IFERROR(__xludf.DUMMYFUNCTION("""COMPUTED_VALUE"""),"P0")</f>
        <v>P0</v>
      </c>
    </row>
    <row r="1135" ht="22.5" customHeight="1">
      <c r="B1135" s="17" t="str">
        <f>IFERROR(__xludf.DUMMYFUNCTION("""COMPUTED_VALUE"""),"K/37/071124/2")</f>
        <v>K/37/071124/2</v>
      </c>
      <c r="C1135" s="17" t="str">
        <f>IFERROR(__xludf.DUMMYFUNCTION("""COMPUTED_VALUE"""),"B. 621/ Kemiling Permai")</f>
        <v>B. 621/ Kemiling Permai</v>
      </c>
      <c r="D1135" s="17">
        <f>IFERROR(__xludf.DUMMYFUNCTION("""COMPUTED_VALUE"""),45603.598085219906)</f>
        <v>45603.59809</v>
      </c>
      <c r="E1135" s="11" t="str">
        <f>IFERROR(__xludf.DUMMYFUNCTION("""COMPUTED_VALUE"""),"BN Jual Beli")</f>
        <v>BN Jual Beli</v>
      </c>
      <c r="F1135" s="11" t="str">
        <f>IFERROR(__xludf.DUMMYFUNCTION("""COMPUTED_VALUE"""),"Endang A/ Fadel F")</f>
        <v>Endang A/ Fadel F</v>
      </c>
      <c r="G1135" s="13">
        <f t="shared" si="1"/>
        <v>969</v>
      </c>
      <c r="H1135" s="13" t="str">
        <f>IFERROR(__xludf.DUMMYFUNCTION("""COMPUTED_VALUE"""),"P1")</f>
        <v>P1</v>
      </c>
    </row>
    <row r="1136" ht="22.5" customHeight="1">
      <c r="B1136" s="17" t="str">
        <f>IFERROR(__xludf.DUMMYFUNCTION("""COMPUTED_VALUE"""),"K/39/071124/1")</f>
        <v>K/39/071124/1</v>
      </c>
      <c r="C1136" s="17" t="str">
        <f>IFERROR(__xludf.DUMMYFUNCTION("""COMPUTED_VALUE"""),"M.105/PENENGAHAN")</f>
        <v>M.105/PENENGAHAN</v>
      </c>
      <c r="D1136" s="17">
        <f>IFERROR(__xludf.DUMMYFUNCTION("""COMPUTED_VALUE"""),45603.598962372685)</f>
        <v>45603.59896</v>
      </c>
      <c r="E1136" s="11" t="str">
        <f>IFERROR(__xludf.DUMMYFUNCTION("""COMPUTED_VALUE"""),"GANDES")</f>
        <v>GANDES</v>
      </c>
      <c r="F1136" s="11" t="str">
        <f>IFERROR(__xludf.DUMMYFUNCTION("""COMPUTED_VALUE"""),"NINIK SURTINI/NEDI HERYANDI")</f>
        <v>NINIK SURTINI/NEDI HERYANDI</v>
      </c>
      <c r="G1136" s="13">
        <f t="shared" si="1"/>
        <v>970</v>
      </c>
      <c r="H1136" s="13" t="str">
        <f>IFERROR(__xludf.DUMMYFUNCTION("""COMPUTED_VALUE"""),"P0")</f>
        <v>P0</v>
      </c>
    </row>
    <row r="1137" ht="22.5" customHeight="1">
      <c r="B1137" s="17" t="str">
        <f>IFERROR(__xludf.DUMMYFUNCTION("""COMPUTED_VALUE"""),"K/36/071124/1")</f>
        <v>K/36/071124/1</v>
      </c>
      <c r="C1137" s="17" t="str">
        <f>IFERROR(__xludf.DUMMYFUNCTION("""COMPUTED_VALUE"""),"B. 919/ Beringin Jaya")</f>
        <v>B. 919/ Beringin Jaya</v>
      </c>
      <c r="D1137" s="17">
        <f>IFERROR(__xludf.DUMMYFUNCTION("""COMPUTED_VALUE"""),45603.598982118056)</f>
        <v>45603.59898</v>
      </c>
      <c r="E1137" s="11" t="str">
        <f>IFERROR(__xludf.DUMMYFUNCTION("""COMPUTED_VALUE"""),"BN Jual Beli")</f>
        <v>BN Jual Beli</v>
      </c>
      <c r="F1137" s="11" t="str">
        <f>IFERROR(__xludf.DUMMYFUNCTION("""COMPUTED_VALUE"""),"Endang A/ Rita M S")</f>
        <v>Endang A/ Rita M S</v>
      </c>
      <c r="G1137" s="13">
        <f t="shared" si="1"/>
        <v>971</v>
      </c>
      <c r="H1137" s="13" t="str">
        <f>IFERROR(__xludf.DUMMYFUNCTION("""COMPUTED_VALUE"""),"P0")</f>
        <v>P0</v>
      </c>
    </row>
    <row r="1138" ht="22.5" customHeight="1">
      <c r="B1138" s="17" t="str">
        <f>IFERROR(__xludf.DUMMYFUNCTION("""COMPUTED_VALUE"""),"K/37/071124/2")</f>
        <v>K/37/071124/2</v>
      </c>
      <c r="C1138" s="17" t="str">
        <f>IFERROR(__xludf.DUMMYFUNCTION("""COMPUTED_VALUE"""),"B. 621/ Kemiling Permai")</f>
        <v>B. 621/ Kemiling Permai</v>
      </c>
      <c r="D1138" s="17">
        <f>IFERROR(__xludf.DUMMYFUNCTION("""COMPUTED_VALUE"""),45603.60083144676)</f>
        <v>45603.60083</v>
      </c>
      <c r="E1138" s="11" t="str">
        <f>IFERROR(__xludf.DUMMYFUNCTION("""COMPUTED_VALUE"""),"BN Jual Beli")</f>
        <v>BN Jual Beli</v>
      </c>
      <c r="F1138" s="11" t="str">
        <f>IFERROR(__xludf.DUMMYFUNCTION("""COMPUTED_VALUE"""),"Endang A/ Fadel A")</f>
        <v>Endang A/ Fadel A</v>
      </c>
      <c r="G1138" s="13">
        <f t="shared" si="1"/>
        <v>972</v>
      </c>
      <c r="H1138" s="13" t="str">
        <f>IFERROR(__xludf.DUMMYFUNCTION("""COMPUTED_VALUE"""),"P0")</f>
        <v>P0</v>
      </c>
    </row>
    <row r="1139" ht="22.5" customHeight="1">
      <c r="B1139" s="17" t="str">
        <f>IFERROR(__xludf.DUMMYFUNCTION("""COMPUTED_VALUE"""),"K/38/221024/2")</f>
        <v>K/38/221024/2</v>
      </c>
      <c r="C1139" s="17" t="str">
        <f>IFERROR(__xludf.DUMMYFUNCTION("""COMPUTED_VALUE"""),"M. 2050/ L R R; M. 11134/ Labuhan Ratu-dahulu")</f>
        <v>M. 2050/ L R R; M. 11134/ Labuhan Ratu-dahulu</v>
      </c>
      <c r="D1139" s="17">
        <f>IFERROR(__xludf.DUMMYFUNCTION("""COMPUTED_VALUE"""),45603.60381100695)</f>
        <v>45603.60381</v>
      </c>
      <c r="E1139" s="11" t="str">
        <f>IFERROR(__xludf.DUMMYFUNCTION("""COMPUTED_VALUE"""),"BN Waris")</f>
        <v>BN Waris</v>
      </c>
      <c r="F1139" s="11" t="str">
        <f>IFERROR(__xludf.DUMMYFUNCTION("""COMPUTED_VALUE"""),"Endang Aprilia/ Erwin S Cs")</f>
        <v>Endang Aprilia/ Erwin S Cs</v>
      </c>
      <c r="G1139" s="13">
        <f t="shared" si="1"/>
        <v>972</v>
      </c>
      <c r="H1139" s="13" t="str">
        <f>IFERROR(__xludf.DUMMYFUNCTION("""COMPUTED_VALUE"""),"P1")</f>
        <v>P1</v>
      </c>
    </row>
    <row r="1140" ht="22.5" customHeight="1">
      <c r="B1140" s="17" t="str">
        <f>IFERROR(__xludf.DUMMYFUNCTION("""COMPUTED_VALUE"""),"K/40/071124/1")</f>
        <v>K/40/071124/1</v>
      </c>
      <c r="C1140" s="17" t="str">
        <f>IFERROR(__xludf.DUMMYFUNCTION("""COMPUTED_VALUE"""),"B. 1118/ Keteguhan")</f>
        <v>B. 1118/ Keteguhan</v>
      </c>
      <c r="D1140" s="17">
        <f>IFERROR(__xludf.DUMMYFUNCTION("""COMPUTED_VALUE"""),45603.61605304398)</f>
        <v>45603.61605</v>
      </c>
      <c r="E1140" s="11" t="str">
        <f>IFERROR(__xludf.DUMMYFUNCTION("""COMPUTED_VALUE"""),"BN Jual Beli")</f>
        <v>BN Jual Beli</v>
      </c>
      <c r="F1140" s="11" t="str">
        <f>IFERROR(__xludf.DUMMYFUNCTION("""COMPUTED_VALUE"""),"Fahrul Rozi/ Jainuri")</f>
        <v>Fahrul Rozi/ Jainuri</v>
      </c>
      <c r="G1140" s="13">
        <f t="shared" si="1"/>
        <v>973</v>
      </c>
      <c r="H1140" s="13" t="str">
        <f>IFERROR(__xludf.DUMMYFUNCTION("""COMPUTED_VALUE"""),"P0")</f>
        <v>P0</v>
      </c>
    </row>
    <row r="1141" ht="22.5" customHeight="1">
      <c r="B1141" s="17" t="str">
        <f>IFERROR(__xludf.DUMMYFUNCTION("""COMPUTED_VALUE"""),"K/15/011124/2")</f>
        <v>K/15/011124/2</v>
      </c>
      <c r="C1141" s="17" t="str">
        <f>IFERROR(__xludf.DUMMYFUNCTION("""COMPUTED_VALUE"""),"B. 127/ Nusantara Permai")</f>
        <v>B. 127/ Nusantara Permai</v>
      </c>
      <c r="D1141" s="17">
        <f>IFERROR(__xludf.DUMMYFUNCTION("""COMPUTED_VALUE"""),45603.61736265046)</f>
        <v>45603.61736</v>
      </c>
      <c r="E1141" s="11" t="str">
        <f>IFERROR(__xludf.DUMMYFUNCTION("""COMPUTED_VALUE"""),"BN Jual Beli")</f>
        <v>BN Jual Beli</v>
      </c>
      <c r="F1141" s="11" t="str">
        <f>IFERROR(__xludf.DUMMYFUNCTION("""COMPUTED_VALUE"""),"Richard Adi/ Iwan S")</f>
        <v>Richard Adi/ Iwan S</v>
      </c>
      <c r="G1141" s="13">
        <f t="shared" si="1"/>
        <v>973</v>
      </c>
      <c r="H1141" s="13" t="str">
        <f>IFERROR(__xludf.DUMMYFUNCTION("""COMPUTED_VALUE"""),"P1")</f>
        <v>P1</v>
      </c>
    </row>
    <row r="1142" ht="22.5" customHeight="1">
      <c r="B1142" s="17" t="str">
        <f>IFERROR(__xludf.DUMMYFUNCTION("""COMPUTED_VALUE"""),"K/41/071124/1")</f>
        <v>K/41/071124/1</v>
      </c>
      <c r="C1142" s="17" t="str">
        <f>IFERROR(__xludf.DUMMYFUNCTION("""COMPUTED_VALUE"""),"M. 1254/ Langkapura Baru")</f>
        <v>M. 1254/ Langkapura Baru</v>
      </c>
      <c r="D1142" s="17">
        <f>IFERROR(__xludf.DUMMYFUNCTION("""COMPUTED_VALUE"""),45603.61744605324)</f>
        <v>45603.61745</v>
      </c>
      <c r="E1142" s="11" t="str">
        <f>IFERROR(__xludf.DUMMYFUNCTION("""COMPUTED_VALUE"""),"BN JUAL BELI")</f>
        <v>BN JUAL BELI</v>
      </c>
      <c r="F1142" s="11" t="str">
        <f>IFERROR(__xludf.DUMMYFUNCTION("""COMPUTED_VALUE"""),"RICHARD ADI/CITRA YULIA")</f>
        <v>RICHARD ADI/CITRA YULIA</v>
      </c>
      <c r="G1142" s="13">
        <f t="shared" si="1"/>
        <v>974</v>
      </c>
      <c r="H1142" s="13" t="str">
        <f>IFERROR(__xludf.DUMMYFUNCTION("""COMPUTED_VALUE"""),"P0")</f>
        <v>P0</v>
      </c>
    </row>
    <row r="1143" ht="22.5" customHeight="1">
      <c r="B1143" s="17" t="str">
        <f>IFERROR(__xludf.DUMMYFUNCTION("""COMPUTED_VALUE"""),"K/25/291024/1")</f>
        <v>K/25/291024/1</v>
      </c>
      <c r="C1143" s="17" t="str">
        <f>IFERROR(__xludf.DUMMYFUNCTION("""COMPUTED_VALUE"""),"M.697/GUNUNG AGUNG")</f>
        <v>M.697/GUNUNG AGUNG</v>
      </c>
      <c r="D1143" s="17">
        <f>IFERROR(__xludf.DUMMYFUNCTION("""COMPUTED_VALUE"""),45603.62831190972)</f>
        <v>45603.62831</v>
      </c>
      <c r="E1143" s="11" t="str">
        <f>IFERROR(__xludf.DUMMYFUNCTION("""COMPUTED_VALUE"""),"BN JUAL BELI")</f>
        <v>BN JUAL BELI</v>
      </c>
      <c r="F1143" s="11" t="str">
        <f>IFERROR(__xludf.DUMMYFUNCTION("""COMPUTED_VALUE"""),"AZMI ARDIANSYAH/YENI EKAWATI")</f>
        <v>AZMI ARDIANSYAH/YENI EKAWATI</v>
      </c>
      <c r="G1143" s="13">
        <f t="shared" si="1"/>
        <v>975</v>
      </c>
      <c r="H1143" s="13" t="str">
        <f>IFERROR(__xludf.DUMMYFUNCTION("""COMPUTED_VALUE"""),"P0")</f>
        <v>P0</v>
      </c>
    </row>
    <row r="1144" ht="22.5" customHeight="1">
      <c r="B1144" s="17" t="str">
        <f>IFERROR(__xludf.DUMMYFUNCTION("""COMPUTED_VALUE"""),"K/48/041124/2")</f>
        <v>K/48/041124/2</v>
      </c>
      <c r="C1144" s="17" t="str">
        <f>IFERROR(__xludf.DUMMYFUNCTION("""COMPUTED_VALUE"""),"M. 1113/ Pematang Wangi; M. 3217/ Tanjung Senang-dahulu")</f>
        <v>M. 1113/ Pematang Wangi; M. 3217/ Tanjung Senang-dahulu</v>
      </c>
      <c r="D1144" s="17">
        <f>IFERROR(__xludf.DUMMYFUNCTION("""COMPUTED_VALUE"""),45603.63153238426)</f>
        <v>45603.63153</v>
      </c>
      <c r="E1144" s="11" t="str">
        <f>IFERROR(__xludf.DUMMYFUNCTION("""COMPUTED_VALUE"""),"BN Jual Beli")</f>
        <v>BN Jual Beli</v>
      </c>
      <c r="F1144" s="11" t="str">
        <f>IFERROR(__xludf.DUMMYFUNCTION("""COMPUTED_VALUE"""),"Andry Yulian/ Novi  W")</f>
        <v>Andry Yulian/ Novi  W</v>
      </c>
      <c r="G1144" s="13">
        <f t="shared" si="1"/>
        <v>975</v>
      </c>
      <c r="H1144" s="13" t="str">
        <f>IFERROR(__xludf.DUMMYFUNCTION("""COMPUTED_VALUE"""),"P1")</f>
        <v>P1</v>
      </c>
    </row>
    <row r="1145" ht="22.5" customHeight="1">
      <c r="B1145" s="17" t="str">
        <f>IFERROR(__xludf.DUMMYFUNCTION("""COMPUTED_VALUE"""),"K/33/071124/2")</f>
        <v>K/33/071124/2</v>
      </c>
      <c r="C1145" s="17" t="str">
        <f>IFERROR(__xludf.DUMMYFUNCTION("""COMPUTED_VALUE"""),"M. 676/BUMI KEDAMAIAN")</f>
        <v>M. 676/BUMI KEDAMAIAN</v>
      </c>
      <c r="D1145" s="17">
        <f>IFERROR(__xludf.DUMMYFUNCTION("""COMPUTED_VALUE"""),45604.38531107639)</f>
        <v>45604.38531</v>
      </c>
      <c r="E1145" s="11" t="str">
        <f>IFERROR(__xludf.DUMMYFUNCTION("""COMPUTED_VALUE"""),"BN WARIS")</f>
        <v>BN WARIS</v>
      </c>
      <c r="F1145" s="11" t="str">
        <f>IFERROR(__xludf.DUMMYFUNCTION("""COMPUTED_VALUE"""),"EVI UDIN / YOHANES CS")</f>
        <v>EVI UDIN / YOHANES CS</v>
      </c>
      <c r="G1145" s="13">
        <f t="shared" si="1"/>
        <v>976</v>
      </c>
      <c r="H1145" s="13" t="str">
        <f>IFERROR(__xludf.DUMMYFUNCTION("""COMPUTED_VALUE"""),"P0")</f>
        <v>P0</v>
      </c>
    </row>
    <row r="1146" ht="22.5" customHeight="1">
      <c r="B1146" s="17" t="str">
        <f>IFERROR(__xludf.DUMMYFUNCTION("""COMPUTED_VALUE"""),"K/1/081124/1")</f>
        <v>K/1/081124/1</v>
      </c>
      <c r="C1146" s="17" t="str">
        <f>IFERROR(__xludf.DUMMYFUNCTION("""COMPUTED_VALUE"""),"M.1419/SUSUNAN BARU")</f>
        <v>M.1419/SUSUNAN BARU</v>
      </c>
      <c r="D1146" s="17">
        <f>IFERROR(__xludf.DUMMYFUNCTION("""COMPUTED_VALUE"""),45604.38598716435)</f>
        <v>45604.38599</v>
      </c>
      <c r="E1146" s="11" t="str">
        <f>IFERROR(__xludf.DUMMYFUNCTION("""COMPUTED_VALUE"""),"BN JUAL BELI")</f>
        <v>BN JUAL BELI</v>
      </c>
      <c r="F1146" s="11" t="str">
        <f>IFERROR(__xludf.DUMMYFUNCTION("""COMPUTED_VALUE"""),"FAIZAL SUBNI/ANNA PURNAMASARI")</f>
        <v>FAIZAL SUBNI/ANNA PURNAMASARI</v>
      </c>
      <c r="G1146" s="13">
        <f t="shared" si="1"/>
        <v>977</v>
      </c>
      <c r="H1146" s="13" t="str">
        <f>IFERROR(__xludf.DUMMYFUNCTION("""COMPUTED_VALUE"""),"P0")</f>
        <v>P0</v>
      </c>
    </row>
    <row r="1147" ht="22.5" customHeight="1">
      <c r="B1147" s="17" t="str">
        <f>IFERROR(__xludf.DUMMYFUNCTION("""COMPUTED_VALUE"""),"L/3/081124/1")</f>
        <v>L/3/081124/1</v>
      </c>
      <c r="C1147" s="17" t="str">
        <f>IFERROR(__xludf.DUMMYFUNCTION("""COMPUTED_VALUE"""),"HM 10617/KEDAMAIAN (SHM TETANGGA)")</f>
        <v>HM 10617/KEDAMAIAN (SHM TETANGGA)</v>
      </c>
      <c r="D1147" s="17">
        <f>IFERROR(__xludf.DUMMYFUNCTION("""COMPUTED_VALUE"""),45604.38624891204)</f>
        <v>45604.38625</v>
      </c>
      <c r="E1147" s="11" t="str">
        <f>IFERROR(__xludf.DUMMYFUNCTION("""COMPUTED_VALUE"""),"SERTIPIKAT HILANG")</f>
        <v>SERTIPIKAT HILANG</v>
      </c>
      <c r="F1147" s="11" t="str">
        <f>IFERROR(__xludf.DUMMYFUNCTION("""COMPUTED_VALUE"""),"NURAINI RAHIM")</f>
        <v>NURAINI RAHIM</v>
      </c>
      <c r="G1147" s="13">
        <f t="shared" si="1"/>
        <v>978</v>
      </c>
      <c r="H1147" s="13" t="str">
        <f>IFERROR(__xludf.DUMMYFUNCTION("""COMPUTED_VALUE"""),"P0")</f>
        <v>P0</v>
      </c>
    </row>
    <row r="1148" ht="22.5" customHeight="1">
      <c r="B1148" s="17" t="str">
        <f>IFERROR(__xludf.DUMMYFUNCTION("""COMPUTED_VALUE"""),"K/2/081124/2")</f>
        <v>K/2/081124/2</v>
      </c>
      <c r="C1148" s="17" t="str">
        <f>IFERROR(__xludf.DUMMYFUNCTION("""COMPUTED_VALUE"""),"M. 1892/BERINGIN JAYA-SEKARANG;M.1538/BERINGIN RAYA-DAHULU")</f>
        <v>M. 1892/BERINGIN JAYA-SEKARANG;M.1538/BERINGIN RAYA-DAHULU</v>
      </c>
      <c r="D1148" s="17">
        <f>IFERROR(__xludf.DUMMYFUNCTION("""COMPUTED_VALUE"""),45604.387459791666)</f>
        <v>45604.38746</v>
      </c>
      <c r="E1148" s="11" t="str">
        <f>IFERROR(__xludf.DUMMYFUNCTION("""COMPUTED_VALUE"""),"HIBAH")</f>
        <v>HIBAH</v>
      </c>
      <c r="F1148" s="11" t="str">
        <f>IFERROR(__xludf.DUMMYFUNCTION("""COMPUTED_VALUE"""),"REFYATI/ANNA PURNAMASARI")</f>
        <v>REFYATI/ANNA PURNAMASARI</v>
      </c>
      <c r="G1148" s="13">
        <f t="shared" si="1"/>
        <v>979</v>
      </c>
      <c r="H1148" s="13" t="str">
        <f>IFERROR(__xludf.DUMMYFUNCTION("""COMPUTED_VALUE"""),"P0")</f>
        <v>P0</v>
      </c>
    </row>
    <row r="1149" ht="22.5" customHeight="1">
      <c r="B1149" s="17" t="str">
        <f>IFERROR(__xludf.DUMMYFUNCTION("""COMPUTED_VALUE"""),"L/5/081124/1")</f>
        <v>L/5/081124/1</v>
      </c>
      <c r="C1149" s="17" t="str">
        <f>IFERROR(__xludf.DUMMYFUNCTION("""COMPUTED_VALUE"""),"HM 12327/LABUHAN RATU")</f>
        <v>HM 12327/LABUHAN RATU</v>
      </c>
      <c r="D1149" s="17">
        <f>IFERROR(__xludf.DUMMYFUNCTION("""COMPUTED_VALUE"""),45604.394748819446)</f>
        <v>45604.39475</v>
      </c>
      <c r="E1149" s="11" t="str">
        <f>IFERROR(__xludf.DUMMYFUNCTION("""COMPUTED_VALUE"""),"ROYA")</f>
        <v>ROYA</v>
      </c>
      <c r="F1149" s="11" t="str">
        <f>IFERROR(__xludf.DUMMYFUNCTION("""COMPUTED_VALUE"""),"MARLIN KRISTINA")</f>
        <v>MARLIN KRISTINA</v>
      </c>
      <c r="G1149" s="13">
        <f t="shared" si="1"/>
        <v>980</v>
      </c>
      <c r="H1149" s="13" t="str">
        <f>IFERROR(__xludf.DUMMYFUNCTION("""COMPUTED_VALUE"""),"P0")</f>
        <v>P0</v>
      </c>
    </row>
    <row r="1150" ht="22.5" customHeight="1">
      <c r="B1150" s="17" t="str">
        <f>IFERROR(__xludf.DUMMYFUNCTION("""COMPUTED_VALUE"""),"K/6/081124/1")</f>
        <v>K/6/081124/1</v>
      </c>
      <c r="C1150" s="17" t="str">
        <f>IFERROR(__xludf.DUMMYFUNCTION("""COMPUTED_VALUE"""),"M.12571/BERINGIN RAYA-SEKARANG;B.2268/BERINGIN RAYA")</f>
        <v>M.12571/BERINGIN RAYA-SEKARANG;B.2268/BERINGIN RAYA</v>
      </c>
      <c r="D1150" s="17">
        <f>IFERROR(__xludf.DUMMYFUNCTION("""COMPUTED_VALUE"""),45604.39915247685)</f>
        <v>45604.39915</v>
      </c>
      <c r="E1150" s="11" t="str">
        <f>IFERROR(__xludf.DUMMYFUNCTION("""COMPUTED_VALUE"""),"PLOTING")</f>
        <v>PLOTING</v>
      </c>
      <c r="F1150" s="11" t="str">
        <f>IFERROR(__xludf.DUMMYFUNCTION("""COMPUTED_VALUE"""),"LIDYA MARDIANA SIREGAR/IG YOGA NUGROHO")</f>
        <v>LIDYA MARDIANA SIREGAR/IG YOGA NUGROHO</v>
      </c>
      <c r="G1150" s="13">
        <f t="shared" si="1"/>
        <v>981</v>
      </c>
      <c r="H1150" s="13" t="str">
        <f>IFERROR(__xludf.DUMMYFUNCTION("""COMPUTED_VALUE"""),"P0")</f>
        <v>P0</v>
      </c>
    </row>
    <row r="1151" ht="22.5" customHeight="1">
      <c r="B1151" s="17" t="str">
        <f>IFERROR(__xludf.DUMMYFUNCTION("""COMPUTED_VALUE"""),"K/8/081124/1")</f>
        <v>K/8/081124/1</v>
      </c>
      <c r="C1151" s="17" t="str">
        <f>IFERROR(__xludf.DUMMYFUNCTION("""COMPUTED_VALUE"""),"M.5182/RAJABASA JAYA")</f>
        <v>M.5182/RAJABASA JAYA</v>
      </c>
      <c r="D1151" s="17">
        <f>IFERROR(__xludf.DUMMYFUNCTION("""COMPUTED_VALUE"""),45604.407911539354)</f>
        <v>45604.40791</v>
      </c>
      <c r="E1151" s="11" t="str">
        <f>IFERROR(__xludf.DUMMYFUNCTION("""COMPUTED_VALUE"""),"BN JUAL BELI")</f>
        <v>BN JUAL BELI</v>
      </c>
      <c r="F1151" s="11" t="str">
        <f>IFERROR(__xludf.DUMMYFUNCTION("""COMPUTED_VALUE"""),"JUNAEDI ARMAN/ACHMAD ROSWANTAMA")</f>
        <v>JUNAEDI ARMAN/ACHMAD ROSWANTAMA</v>
      </c>
      <c r="G1151" s="13">
        <f t="shared" si="1"/>
        <v>982</v>
      </c>
      <c r="H1151" s="13" t="str">
        <f>IFERROR(__xludf.DUMMYFUNCTION("""COMPUTED_VALUE"""),"P0")</f>
        <v>P0</v>
      </c>
    </row>
    <row r="1152" ht="22.5" customHeight="1">
      <c r="B1152" s="17" t="str">
        <f>IFERROR(__xludf.DUMMYFUNCTION("""COMPUTED_VALUE"""),"K/7/081124/1")</f>
        <v>K/7/081124/1</v>
      </c>
      <c r="C1152" s="17" t="str">
        <f>IFERROR(__xludf.DUMMYFUNCTION("""COMPUTED_VALUE"""),"M. 10329/ Segala Mider")</f>
        <v>M. 10329/ Segala Mider</v>
      </c>
      <c r="D1152" s="17">
        <f>IFERROR(__xludf.DUMMYFUNCTION("""COMPUTED_VALUE"""),45604.40859398148)</f>
        <v>45604.40859</v>
      </c>
      <c r="E1152" s="11" t="str">
        <f>IFERROR(__xludf.DUMMYFUNCTION("""COMPUTED_VALUE"""),"BN JUAL BELI")</f>
        <v>BN JUAL BELI</v>
      </c>
      <c r="F1152" s="11" t="str">
        <f>IFERROR(__xludf.DUMMYFUNCTION("""COMPUTED_VALUE"""),"M ANDRIZA/ VITO")</f>
        <v>M ANDRIZA/ VITO</v>
      </c>
      <c r="G1152" s="13">
        <f t="shared" si="1"/>
        <v>983</v>
      </c>
      <c r="H1152" s="13" t="str">
        <f>IFERROR(__xludf.DUMMYFUNCTION("""COMPUTED_VALUE"""),"P0")</f>
        <v>P0</v>
      </c>
    </row>
    <row r="1153" ht="22.5" customHeight="1">
      <c r="B1153" s="17" t="str">
        <f>IFERROR(__xludf.DUMMYFUNCTION("""COMPUTED_VALUE"""),"L/9/081124/1")</f>
        <v>L/9/081124/1</v>
      </c>
      <c r="C1153" s="17" t="str">
        <f>IFERROR(__xludf.DUMMYFUNCTION("""COMPUTED_VALUE"""),"GM 613/PEMATANG WANGI")</f>
        <v>GM 613/PEMATANG WANGI</v>
      </c>
      <c r="D1153" s="17">
        <f>IFERROR(__xludf.DUMMYFUNCTION("""COMPUTED_VALUE"""),45604.41045300926)</f>
        <v>45604.41045</v>
      </c>
      <c r="E1153" s="11" t="str">
        <f>IFERROR(__xludf.DUMMYFUNCTION("""COMPUTED_VALUE"""),"SULYA YENTY")</f>
        <v>SULYA YENTY</v>
      </c>
      <c r="F1153" s="11" t="str">
        <f>IFERROR(__xludf.DUMMYFUNCTION("""COMPUTED_VALUE"""),"SULYA YENI")</f>
        <v>SULYA YENI</v>
      </c>
      <c r="G1153" s="13">
        <f t="shared" si="1"/>
        <v>984</v>
      </c>
      <c r="H1153" s="13" t="str">
        <f>IFERROR(__xludf.DUMMYFUNCTION("""COMPUTED_VALUE"""),"P0")</f>
        <v>P0</v>
      </c>
    </row>
    <row r="1154" ht="22.5" customHeight="1">
      <c r="B1154" s="17" t="str">
        <f>IFERROR(__xludf.DUMMYFUNCTION("""COMPUTED_VALUE"""),"K/10/081124/1")</f>
        <v>K/10/081124/1</v>
      </c>
      <c r="C1154" s="17" t="str">
        <f>IFERROR(__xludf.DUMMYFUNCTION("""COMPUTED_VALUE"""),"B. 4954, 4958/ Kali Balau Kencana")</f>
        <v>B. 4954, 4958/ Kali Balau Kencana</v>
      </c>
      <c r="D1154" s="17">
        <f>IFERROR(__xludf.DUMMYFUNCTION("""COMPUTED_VALUE"""),45604.4158359375)</f>
        <v>45604.41584</v>
      </c>
      <c r="E1154" s="11" t="str">
        <f>IFERROR(__xludf.DUMMYFUNCTION("""COMPUTED_VALUE"""),"ROYA")</f>
        <v>ROYA</v>
      </c>
      <c r="F1154" s="11" t="str">
        <f>IFERROR(__xludf.DUMMYFUNCTION("""COMPUTED_VALUE"""),"YENI EKAWATI")</f>
        <v>YENI EKAWATI</v>
      </c>
      <c r="G1154" s="13">
        <f t="shared" si="1"/>
        <v>985</v>
      </c>
      <c r="H1154" s="13" t="str">
        <f>IFERROR(__xludf.DUMMYFUNCTION("""COMPUTED_VALUE"""),"P0")</f>
        <v>P0</v>
      </c>
    </row>
    <row r="1155" ht="22.5" customHeight="1">
      <c r="B1155" s="17" t="str">
        <f>IFERROR(__xludf.DUMMYFUNCTION("""COMPUTED_VALUE"""),"K/13/241024/2")</f>
        <v>K/13/241024/2</v>
      </c>
      <c r="C1155" s="17" t="str">
        <f>IFERROR(__xludf.DUMMYFUNCTION("""COMPUTED_VALUE"""),"M. 1832/ Sumberrejo sejahtera-sekarang; M.1090/ Sumberrejo Dahulu")</f>
        <v>M. 1832/ Sumberrejo sejahtera-sekarang; M.1090/ Sumberrejo Dahulu</v>
      </c>
      <c r="D1155" s="17">
        <f>IFERROR(__xludf.DUMMYFUNCTION("""COMPUTED_VALUE"""),45604.41726461805)</f>
        <v>45604.41726</v>
      </c>
      <c r="E1155" s="11" t="str">
        <f>IFERROR(__xludf.DUMMYFUNCTION("""COMPUTED_VALUE"""),"BN JUAL BELI")</f>
        <v>BN JUAL BELI</v>
      </c>
      <c r="F1155" s="11" t="str">
        <f>IFERROR(__xludf.DUMMYFUNCTION("""COMPUTED_VALUE"""),"AROSWANTAMA")</f>
        <v>AROSWANTAMA</v>
      </c>
      <c r="G1155" s="13">
        <f t="shared" si="1"/>
        <v>985</v>
      </c>
      <c r="H1155" s="13" t="str">
        <f>IFERROR(__xludf.DUMMYFUNCTION("""COMPUTED_VALUE"""),"P1")</f>
        <v>P1</v>
      </c>
    </row>
    <row r="1156" ht="22.5" customHeight="1">
      <c r="B1156" s="17" t="str">
        <f>IFERROR(__xludf.DUMMYFUNCTION("""COMPUTED_VALUE"""),"K/14/161024/2")</f>
        <v>K/14/161024/2</v>
      </c>
      <c r="C1156" s="17" t="str">
        <f>IFERROR(__xludf.DUMMYFUNCTION("""COMPUTED_VALUE"""),"M. 5621/ Langkapura")</f>
        <v>M. 5621/ Langkapura</v>
      </c>
      <c r="D1156" s="17">
        <f>IFERROR(__xludf.DUMMYFUNCTION("""COMPUTED_VALUE"""),45604.41877877315)</f>
        <v>45604.41878</v>
      </c>
      <c r="E1156" s="11" t="str">
        <f>IFERROR(__xludf.DUMMYFUNCTION("""COMPUTED_VALUE"""),"BN Jual Beli")</f>
        <v>BN Jual Beli</v>
      </c>
      <c r="F1156" s="11" t="str">
        <f>IFERROR(__xludf.DUMMYFUNCTION("""COMPUTED_VALUE"""),"Roswantama/ Assabiqun Alpan")</f>
        <v>Roswantama/ Assabiqun Alpan</v>
      </c>
      <c r="G1156" s="13">
        <f t="shared" si="1"/>
        <v>985</v>
      </c>
      <c r="H1156" s="13" t="str">
        <f>IFERROR(__xludf.DUMMYFUNCTION("""COMPUTED_VALUE"""),"P1")</f>
        <v>P1</v>
      </c>
    </row>
    <row r="1157" ht="22.5" customHeight="1">
      <c r="B1157" s="17" t="str">
        <f>IFERROR(__xludf.DUMMYFUNCTION("""COMPUTED_VALUE"""),"L/11/081124/1")</f>
        <v>L/11/081124/1</v>
      </c>
      <c r="C1157" s="17" t="str">
        <f>IFERROR(__xludf.DUMMYFUNCTION("""COMPUTED_VALUE"""),"HM 837/SUKARAME BARU")</f>
        <v>HM 837/SUKARAME BARU</v>
      </c>
      <c r="D1157" s="17">
        <f>IFERROR(__xludf.DUMMYFUNCTION("""COMPUTED_VALUE"""),45604.419212939814)</f>
        <v>45604.41921</v>
      </c>
      <c r="E1157" s="11" t="str">
        <f>IFERROR(__xludf.DUMMYFUNCTION("""COMPUTED_VALUE"""),"ROYA LELANG")</f>
        <v>ROYA LELANG</v>
      </c>
      <c r="F1157" s="11" t="str">
        <f>IFERROR(__xludf.DUMMYFUNCTION("""COMPUTED_VALUE"""),"HARYATI")</f>
        <v>HARYATI</v>
      </c>
      <c r="G1157" s="13">
        <f t="shared" si="1"/>
        <v>986</v>
      </c>
      <c r="H1157" s="13" t="str">
        <f>IFERROR(__xludf.DUMMYFUNCTION("""COMPUTED_VALUE"""),"P0")</f>
        <v>P0</v>
      </c>
    </row>
    <row r="1158" ht="22.5" customHeight="1">
      <c r="B1158" s="17" t="str">
        <f>IFERROR(__xludf.DUMMYFUNCTION("""COMPUTED_VALUE"""),"K/20/281024/2")</f>
        <v>K/20/281024/2</v>
      </c>
      <c r="C1158" s="17" t="str">
        <f>IFERROR(__xludf.DUMMYFUNCTION("""COMPUTED_VALUE"""),"M.2072/CAMPANG JAYA-SEKARANG;M 247/NUSANTARA PERMAI-DAHULU")</f>
        <v>M.2072/CAMPANG JAYA-SEKARANG;M 247/NUSANTARA PERMAI-DAHULU</v>
      </c>
      <c r="D1158" s="17">
        <f>IFERROR(__xludf.DUMMYFUNCTION("""COMPUTED_VALUE"""),45604.423642361115)</f>
        <v>45604.42364</v>
      </c>
      <c r="E1158" s="11" t="str">
        <f>IFERROR(__xludf.DUMMYFUNCTION("""COMPUTED_VALUE"""),"BN JUAL BELI")</f>
        <v>BN JUAL BELI</v>
      </c>
      <c r="F1158" s="11" t="str">
        <f>IFERROR(__xludf.DUMMYFUNCTION("""COMPUTED_VALUE"""),"DELI SATRIA/MYRDA LIBRINA ")</f>
        <v>DELI SATRIA/MYRDA LIBRINA </v>
      </c>
      <c r="G1158" s="13">
        <f t="shared" si="1"/>
        <v>986</v>
      </c>
      <c r="H1158" s="13" t="str">
        <f>IFERROR(__xludf.DUMMYFUNCTION("""COMPUTED_VALUE"""),"P1")</f>
        <v>P1</v>
      </c>
    </row>
    <row r="1159" ht="22.5" customHeight="1">
      <c r="B1159" s="17" t="str">
        <f>IFERROR(__xludf.DUMMYFUNCTION("""COMPUTED_VALUE"""),"K/4/081124/1")</f>
        <v>K/4/081124/1</v>
      </c>
      <c r="C1159" s="17" t="str">
        <f>IFERROR(__xludf.DUMMYFUNCTION("""COMPUTED_VALUE"""),"M. 1242/SUKABUMI INDAH")</f>
        <v>M. 1242/SUKABUMI INDAH</v>
      </c>
      <c r="D1159" s="17">
        <f>IFERROR(__xludf.DUMMYFUNCTION("""COMPUTED_VALUE"""),45604.42506368055)</f>
        <v>45604.42506</v>
      </c>
      <c r="E1159" s="11" t="str">
        <f>IFERROR(__xludf.DUMMYFUNCTION("""COMPUTED_VALUE"""),"BN JUAL BELI")</f>
        <v>BN JUAL BELI</v>
      </c>
      <c r="F1159" s="11" t="str">
        <f>IFERROR(__xludf.DUMMYFUNCTION("""COMPUTED_VALUE"""),"DIAN EKA SARI / HAPPY YUNITA SUMAKA")</f>
        <v>DIAN EKA SARI / HAPPY YUNITA SUMAKA</v>
      </c>
      <c r="G1159" s="13">
        <f t="shared" si="1"/>
        <v>987</v>
      </c>
      <c r="H1159" s="13" t="str">
        <f>IFERROR(__xludf.DUMMYFUNCTION("""COMPUTED_VALUE"""),"P0")</f>
        <v>P0</v>
      </c>
    </row>
    <row r="1160" ht="22.5" customHeight="1">
      <c r="B1160" s="17" t="str">
        <f>IFERROR(__xludf.DUMMYFUNCTION("""COMPUTED_VALUE"""),"K/12/251024/1")</f>
        <v>K/12/251024/1</v>
      </c>
      <c r="C1160" s="17" t="str">
        <f>IFERROR(__xludf.DUMMYFUNCTION("""COMPUTED_VALUE"""),"Nibel. M. 1424/ Jagabaya II	")</f>
        <v>Nibel. M. 1424/ Jagabaya II	</v>
      </c>
      <c r="D1160" s="17">
        <f>IFERROR(__xludf.DUMMYFUNCTION("""COMPUTED_VALUE"""),45604.42532855324)</f>
        <v>45604.42533</v>
      </c>
      <c r="E1160" s="11" t="str">
        <f>IFERROR(__xludf.DUMMYFUNCTION("""COMPUTED_VALUE"""),"BN Hibah")</f>
        <v>BN Hibah</v>
      </c>
      <c r="F1160" s="11" t="str">
        <f>IFERROR(__xludf.DUMMYFUNCTION("""COMPUTED_VALUE"""),"Yudeni T/ Daniel Fajar	")</f>
        <v>Yudeni T/ Daniel Fajar	</v>
      </c>
      <c r="G1160" s="13">
        <f t="shared" si="1"/>
        <v>987</v>
      </c>
      <c r="H1160" s="13" t="str">
        <f>IFERROR(__xludf.DUMMYFUNCTION("""COMPUTED_VALUE"""),"P1")</f>
        <v>P1</v>
      </c>
    </row>
    <row r="1161" ht="22.5" customHeight="1">
      <c r="B1161" s="17" t="str">
        <f>IFERROR(__xludf.DUMMYFUNCTION("""COMPUTED_VALUE"""),"K/37/221024/1")</f>
        <v>K/37/221024/1</v>
      </c>
      <c r="C1161" s="17" t="str">
        <f>IFERROR(__xludf.DUMMYFUNCTION("""COMPUTED_VALUE"""),"M. 14029/ Tanjung Baru")</f>
        <v>M. 14029/ Tanjung Baru</v>
      </c>
      <c r="D1161" s="17">
        <f>IFERROR(__xludf.DUMMYFUNCTION("""COMPUTED_VALUE"""),45604.426321747684)</f>
        <v>45604.42632</v>
      </c>
      <c r="E1161" s="11" t="str">
        <f>IFERROR(__xludf.DUMMYFUNCTION("""COMPUTED_VALUE"""),"BN HIBAH")</f>
        <v>BN HIBAH</v>
      </c>
      <c r="F1161" s="11" t="str">
        <f>IFERROR(__xludf.DUMMYFUNCTION("""COMPUTED_VALUE"""),"yudeni thoha")</f>
        <v>yudeni thoha</v>
      </c>
      <c r="G1161" s="13">
        <f t="shared" si="1"/>
        <v>987</v>
      </c>
      <c r="H1161" s="13" t="str">
        <f>IFERROR(__xludf.DUMMYFUNCTION("""COMPUTED_VALUE"""),"P1")</f>
        <v>P1</v>
      </c>
    </row>
    <row r="1162" ht="22.5" customHeight="1">
      <c r="B1162" s="17" t="str">
        <f>IFERROR(__xludf.DUMMYFUNCTION("""COMPUTED_VALUE"""),"K/12/081124/1")</f>
        <v>K/12/081124/1</v>
      </c>
      <c r="C1162" s="17" t="str">
        <f>IFERROR(__xludf.DUMMYFUNCTION("""COMPUTED_VALUE"""),"M. 2353/SUKARAME BARU-SEKARANG;M.17754/SUKARAME-DAHULU")</f>
        <v>M. 2353/SUKARAME BARU-SEKARANG;M.17754/SUKARAME-DAHULU</v>
      </c>
      <c r="D1162" s="17">
        <f>IFERROR(__xludf.DUMMYFUNCTION("""COMPUTED_VALUE"""),45604.440248645835)</f>
        <v>45604.44025</v>
      </c>
      <c r="E1162" s="11" t="str">
        <f>IFERROR(__xludf.DUMMYFUNCTION("""COMPUTED_VALUE"""),"BN JUAL BELI")</f>
        <v>BN JUAL BELI</v>
      </c>
      <c r="F1162" s="11" t="str">
        <f>IFERROR(__xludf.DUMMYFUNCTION("""COMPUTED_VALUE"""),"NANIK MARYANI / RUDY HERIJANTO WIDJAJA")</f>
        <v>NANIK MARYANI / RUDY HERIJANTO WIDJAJA</v>
      </c>
      <c r="G1162" s="13">
        <f t="shared" si="1"/>
        <v>988</v>
      </c>
      <c r="H1162" s="13" t="str">
        <f>IFERROR(__xludf.DUMMYFUNCTION("""COMPUTED_VALUE"""),"P0")</f>
        <v>P0</v>
      </c>
    </row>
    <row r="1163" ht="22.5" customHeight="1">
      <c r="B1163" s="17" t="str">
        <f>IFERROR(__xludf.DUMMYFUNCTION("""COMPUTED_VALUE"""),"L/13/081124/1")</f>
        <v>L/13/081124/1</v>
      </c>
      <c r="C1163" s="17" t="str">
        <f>IFERROR(__xludf.DUMMYFUNCTION("""COMPUTED_VALUE"""),"HM 271/RAJABSA NUNYAI")</f>
        <v>HM 271/RAJABSA NUNYAI</v>
      </c>
      <c r="D1163" s="17">
        <f>IFERROR(__xludf.DUMMYFUNCTION("""COMPUTED_VALUE"""),45604.43170266204)</f>
        <v>45604.4317</v>
      </c>
      <c r="E1163" s="11" t="str">
        <f>IFERROR(__xludf.DUMMYFUNCTION("""COMPUTED_VALUE"""),"ROYA")</f>
        <v>ROYA</v>
      </c>
      <c r="F1163" s="11" t="str">
        <f>IFERROR(__xludf.DUMMYFUNCTION("""COMPUTED_VALUE"""),"SUTOYO")</f>
        <v>SUTOYO</v>
      </c>
      <c r="G1163" s="13">
        <f t="shared" si="1"/>
        <v>989</v>
      </c>
      <c r="H1163" s="13" t="str">
        <f>IFERROR(__xludf.DUMMYFUNCTION("""COMPUTED_VALUE"""),"P0")</f>
        <v>P0</v>
      </c>
    </row>
    <row r="1164" ht="22.5" customHeight="1">
      <c r="B1164" s="17" t="str">
        <f>IFERROR(__xludf.DUMMYFUNCTION("""COMPUTED_VALUE"""),"K/34/041124/1")</f>
        <v>K/34/041124/1</v>
      </c>
      <c r="C1164" s="17" t="str">
        <f>IFERROR(__xludf.DUMMYFUNCTION("""COMPUTED_VALUE"""),"M. 2958/ Kota Baru	")</f>
        <v>M. 2958/ Kota Baru	</v>
      </c>
      <c r="D1164" s="17">
        <f>IFERROR(__xludf.DUMMYFUNCTION("""COMPUTED_VALUE"""),45604.43962430555)</f>
        <v>45604.43962</v>
      </c>
      <c r="E1164" s="11" t="str">
        <f>IFERROR(__xludf.DUMMYFUNCTION("""COMPUTED_VALUE"""),"PTPGT (Pemecahan)")</f>
        <v>PTPGT (Pemecahan)</v>
      </c>
      <c r="F1164" s="11" t="str">
        <f>IFERROR(__xludf.DUMMYFUNCTION("""COMPUTED_VALUE"""),"Robin/ Samaya Cs	")</f>
        <v>Robin/ Samaya Cs	</v>
      </c>
      <c r="G1164" s="13">
        <f t="shared" si="1"/>
        <v>989</v>
      </c>
      <c r="H1164" s="13" t="str">
        <f>IFERROR(__xludf.DUMMYFUNCTION("""COMPUTED_VALUE"""),"P1")</f>
        <v>P1</v>
      </c>
    </row>
    <row r="1165" ht="22.5" customHeight="1">
      <c r="B1165" s="17" t="str">
        <f>IFERROR(__xludf.DUMMYFUNCTION("""COMPUTED_VALUE"""),"K/14/081124/1")</f>
        <v>K/14/081124/1</v>
      </c>
      <c r="C1165" s="17" t="str">
        <f>IFERROR(__xludf.DUMMYFUNCTION("""COMPUTED_VALUE"""),"B.223/NEGERI OLOK GADING")</f>
        <v>B.223/NEGERI OLOK GADING</v>
      </c>
      <c r="D1165" s="17">
        <f>IFERROR(__xludf.DUMMYFUNCTION("""COMPUTED_VALUE"""),45604.43985681713)</f>
        <v>45604.43986</v>
      </c>
      <c r="E1165" s="11" t="str">
        <f>IFERROR(__xludf.DUMMYFUNCTION("""COMPUTED_VALUE"""),"PENDAFTARAN SK PERPANJANGAN ")</f>
        <v>PENDAFTARAN SK PERPANJANGAN </v>
      </c>
      <c r="F1165" s="11" t="str">
        <f>IFERROR(__xludf.DUMMYFUNCTION("""COMPUTED_VALUE"""),"YAN BASTIAN/VITTA NOGOSANNYONO")</f>
        <v>YAN BASTIAN/VITTA NOGOSANNYONO</v>
      </c>
      <c r="G1165" s="13">
        <f t="shared" si="1"/>
        <v>990</v>
      </c>
      <c r="H1165" s="13" t="str">
        <f>IFERROR(__xludf.DUMMYFUNCTION("""COMPUTED_VALUE"""),"P0")</f>
        <v>P0</v>
      </c>
    </row>
    <row r="1166" ht="22.5" customHeight="1">
      <c r="B1166" s="17" t="str">
        <f>IFERROR(__xludf.DUMMYFUNCTION("""COMPUTED_VALUE"""),"K/12/241024/1")</f>
        <v>K/12/241024/1</v>
      </c>
      <c r="C1166" s="17" t="str">
        <f>IFERROR(__xludf.DUMMYFUNCTION("""COMPUTED_VALUE"""),"M. 1651/ Sukarame II	")</f>
        <v>M. 1651/ Sukarame II	</v>
      </c>
      <c r="D1166" s="17">
        <f>IFERROR(__xludf.DUMMYFUNCTION("""COMPUTED_VALUE"""),45604.44042315972)</f>
        <v>45604.44042</v>
      </c>
      <c r="E1166" s="11" t="str">
        <f>IFERROR(__xludf.DUMMYFUNCTION("""COMPUTED_VALUE"""),"BN Jual Beli")</f>
        <v>BN Jual Beli</v>
      </c>
      <c r="F1166" s="11" t="str">
        <f>IFERROR(__xludf.DUMMYFUNCTION("""COMPUTED_VALUE"""),"Herlina Ratna SN/ Siti Ayu KS	")</f>
        <v>Herlina Ratna SN/ Siti Ayu KS	</v>
      </c>
      <c r="G1166" s="13">
        <f t="shared" si="1"/>
        <v>990</v>
      </c>
      <c r="H1166" s="13" t="str">
        <f>IFERROR(__xludf.DUMMYFUNCTION("""COMPUTED_VALUE"""),"P1")</f>
        <v>P1</v>
      </c>
    </row>
    <row r="1167" ht="22.5" customHeight="1">
      <c r="B1167" s="17" t="str">
        <f>IFERROR(__xludf.DUMMYFUNCTION("""COMPUTED_VALUE"""),"K/15/081124/1")</f>
        <v>K/15/081124/1</v>
      </c>
      <c r="C1167" s="17" t="str">
        <f>IFERROR(__xludf.DUMMYFUNCTION("""COMPUTED_VALUE"""),"NIBEL M. 2040/HARAPAN JAYA")</f>
        <v>NIBEL M. 2040/HARAPAN JAYA</v>
      </c>
      <c r="D1167" s="17">
        <f>IFERROR(__xludf.DUMMYFUNCTION("""COMPUTED_VALUE"""),45604.441384826394)</f>
        <v>45604.44138</v>
      </c>
      <c r="E1167" s="11" t="str">
        <f>IFERROR(__xludf.DUMMYFUNCTION("""COMPUTED_VALUE"""),"GANDES")</f>
        <v>GANDES</v>
      </c>
      <c r="F1167" s="11" t="str">
        <f>IFERROR(__xludf.DUMMYFUNCTION("""COMPUTED_VALUE"""),"ABDI HARI KURNIAWAN / MUSLIM")</f>
        <v>ABDI HARI KURNIAWAN / MUSLIM</v>
      </c>
      <c r="G1167" s="13">
        <f t="shared" si="1"/>
        <v>991</v>
      </c>
      <c r="H1167" s="13" t="str">
        <f>IFERROR(__xludf.DUMMYFUNCTION("""COMPUTED_VALUE"""),"P0")</f>
        <v>P0</v>
      </c>
    </row>
    <row r="1168" ht="22.5" customHeight="1">
      <c r="B1168" s="17" t="str">
        <f>IFERROR(__xludf.DUMMYFUNCTION("""COMPUTED_VALUE"""),"K/16/081124/2")</f>
        <v>K/16/081124/2</v>
      </c>
      <c r="C1168" s="17" t="str">
        <f>IFERROR(__xludf.DUMMYFUNCTION("""COMPUTED_VALUE"""),"NIBEL. M 2976/KORPRI RAYA")</f>
        <v>NIBEL. M 2976/KORPRI RAYA</v>
      </c>
      <c r="D1168" s="17">
        <f>IFERROR(__xludf.DUMMYFUNCTION("""COMPUTED_VALUE"""),45604.44262524306)</f>
        <v>45604.44263</v>
      </c>
      <c r="E1168" s="11" t="str">
        <f>IFERROR(__xludf.DUMMYFUNCTION("""COMPUTED_VALUE"""),"GANDES")</f>
        <v>GANDES</v>
      </c>
      <c r="F1168" s="11" t="str">
        <f>IFERROR(__xludf.DUMMYFUNCTION("""COMPUTED_VALUE"""),"ABDI HARI KURNIAWAN / MUSLIM")</f>
        <v>ABDI HARI KURNIAWAN / MUSLIM</v>
      </c>
      <c r="G1168" s="13">
        <f t="shared" si="1"/>
        <v>992</v>
      </c>
      <c r="H1168" s="13" t="str">
        <f>IFERROR(__xludf.DUMMYFUNCTION("""COMPUTED_VALUE"""),"P0")</f>
        <v>P0</v>
      </c>
    </row>
    <row r="1169" ht="22.5" customHeight="1">
      <c r="B1169" s="17" t="str">
        <f>IFERROR(__xludf.DUMMYFUNCTION("""COMPUTED_VALUE"""),"L/17/081124/1")</f>
        <v>L/17/081124/1</v>
      </c>
      <c r="C1169" s="17" t="str">
        <f>IFERROR(__xludf.DUMMYFUNCTION("""COMPUTED_VALUE"""),"HM 1134/GULAK GALIK")</f>
        <v>HM 1134/GULAK GALIK</v>
      </c>
      <c r="D1169" s="17">
        <f>IFERROR(__xludf.DUMMYFUNCTION("""COMPUTED_VALUE"""),45604.44796800926)</f>
        <v>45604.44797</v>
      </c>
      <c r="E1169" s="11" t="str">
        <f>IFERROR(__xludf.DUMMYFUNCTION("""COMPUTED_VALUE"""),"PENATAAN BATAS")</f>
        <v>PENATAAN BATAS</v>
      </c>
      <c r="F1169" s="11" t="str">
        <f>IFERROR(__xludf.DUMMYFUNCTION("""COMPUTED_VALUE"""),"JUNAIDI")</f>
        <v>JUNAIDI</v>
      </c>
      <c r="G1169" s="13">
        <f t="shared" si="1"/>
        <v>993</v>
      </c>
      <c r="H1169" s="13" t="str">
        <f>IFERROR(__xludf.DUMMYFUNCTION("""COMPUTED_VALUE"""),"P0")</f>
        <v>P0</v>
      </c>
    </row>
    <row r="1170" ht="22.5" customHeight="1">
      <c r="B1170" s="17" t="str">
        <f>IFERROR(__xludf.DUMMYFUNCTION("""COMPUTED_VALUE"""),"K/18/081124/1")</f>
        <v>K/18/081124/1</v>
      </c>
      <c r="C1170" s="17" t="str">
        <f>IFERROR(__xludf.DUMMYFUNCTION("""COMPUTED_VALUE"""),"M. 1479/ Serengsem")</f>
        <v>M. 1479/ Serengsem</v>
      </c>
      <c r="D1170" s="17">
        <f>IFERROR(__xludf.DUMMYFUNCTION("""COMPUTED_VALUE"""),45604.45212328703)</f>
        <v>45604.45212</v>
      </c>
      <c r="E1170" s="11" t="str">
        <f>IFERROR(__xludf.DUMMYFUNCTION("""COMPUTED_VALUE"""),"SKPT Lelang")</f>
        <v>SKPT Lelang</v>
      </c>
      <c r="F1170" s="11" t="str">
        <f>IFERROR(__xludf.DUMMYFUNCTION("""COMPUTED_VALUE"""),"Sendi Dini/ Titik W")</f>
        <v>Sendi Dini/ Titik W</v>
      </c>
      <c r="G1170" s="13">
        <f t="shared" si="1"/>
        <v>994</v>
      </c>
      <c r="H1170" s="13" t="str">
        <f>IFERROR(__xludf.DUMMYFUNCTION("""COMPUTED_VALUE"""),"P0")</f>
        <v>P0</v>
      </c>
    </row>
    <row r="1171" ht="22.5" customHeight="1">
      <c r="B1171" s="17" t="str">
        <f>IFERROR(__xludf.DUMMYFUNCTION("""COMPUTED_VALUE"""),"K/19/081124/1")</f>
        <v>K/19/081124/1</v>
      </c>
      <c r="C1171" s="17" t="str">
        <f>IFERROR(__xludf.DUMMYFUNCTION("""COMPUTED_VALUE"""),"Nibel 8260/ Negeri Olok gading")</f>
        <v>Nibel 8260/ Negeri Olok gading</v>
      </c>
      <c r="D1171" s="17">
        <f>IFERROR(__xludf.DUMMYFUNCTION("""COMPUTED_VALUE"""),45604.45392277778)</f>
        <v>45604.45392</v>
      </c>
      <c r="E1171" s="11" t="str">
        <f>IFERROR(__xludf.DUMMYFUNCTION("""COMPUTED_VALUE"""),"BN LELANG")</f>
        <v>BN LELANG</v>
      </c>
      <c r="F1171" s="11" t="str">
        <f>IFERROR(__xludf.DUMMYFUNCTION("""COMPUTED_VALUE"""),"JAROT/ ADITYA")</f>
        <v>JAROT/ ADITYA</v>
      </c>
      <c r="G1171" s="13">
        <f t="shared" si="1"/>
        <v>995</v>
      </c>
      <c r="H1171" s="13" t="str">
        <f>IFERROR(__xludf.DUMMYFUNCTION("""COMPUTED_VALUE"""),"P0")</f>
        <v>P0</v>
      </c>
    </row>
    <row r="1172" ht="22.5" customHeight="1">
      <c r="B1172" s="17" t="str">
        <f>IFERROR(__xludf.DUMMYFUNCTION("""COMPUTED_VALUE"""),"K/20/081124/1")</f>
        <v>K/20/081124/1</v>
      </c>
      <c r="C1172" s="17" t="str">
        <f>IFERROR(__xludf.DUMMYFUNCTION("""COMPUTED_VALUE"""),"M.1712/RAJABASA NUNYAI")</f>
        <v>M.1712/RAJABASA NUNYAI</v>
      </c>
      <c r="D1172" s="17">
        <f>IFERROR(__xludf.DUMMYFUNCTION("""COMPUTED_VALUE"""),45604.457568032405)</f>
        <v>45604.45757</v>
      </c>
      <c r="E1172" s="11" t="str">
        <f>IFERROR(__xludf.DUMMYFUNCTION("""COMPUTED_VALUE"""),"HAR NELI DEWI/ISMARINA")</f>
        <v>HAR NELI DEWI/ISMARINA</v>
      </c>
      <c r="F1172" s="11" t="str">
        <f>IFERROR(__xludf.DUMMYFUNCTION("""COMPUTED_VALUE"""),"BN JUAL BELI")</f>
        <v>BN JUAL BELI</v>
      </c>
      <c r="G1172" s="13">
        <f t="shared" si="1"/>
        <v>996</v>
      </c>
      <c r="H1172" s="13" t="str">
        <f>IFERROR(__xludf.DUMMYFUNCTION("""COMPUTED_VALUE"""),"P0")</f>
        <v>P0</v>
      </c>
    </row>
    <row r="1173" ht="22.5" customHeight="1">
      <c r="B1173" s="17" t="str">
        <f>IFERROR(__xludf.DUMMYFUNCTION("""COMPUTED_VALUE"""),"K/6/11124/1")</f>
        <v>K/6/11124/1</v>
      </c>
      <c r="C1173" s="17" t="str">
        <f>IFERROR(__xludf.DUMMYFUNCTION("""COMPUTED_VALUE"""),"M. 6570/ TANJUNG SENANG")</f>
        <v>M. 6570/ TANJUNG SENANG</v>
      </c>
      <c r="D1173" s="17">
        <f>IFERROR(__xludf.DUMMYFUNCTION("""COMPUTED_VALUE"""),45604.45991686343)</f>
        <v>45604.45992</v>
      </c>
      <c r="E1173" s="11" t="str">
        <f>IFERROR(__xludf.DUMMYFUNCTION("""COMPUTED_VALUE"""),"BN JUAL BELI")</f>
        <v>BN JUAL BELI</v>
      </c>
      <c r="F1173" s="11" t="str">
        <f>IFERROR(__xludf.DUMMYFUNCTION("""COMPUTED_VALUE"""),"RAHMADIYANTI/ AGRI")</f>
        <v>RAHMADIYANTI/ AGRI</v>
      </c>
      <c r="G1173" s="13">
        <f t="shared" si="1"/>
        <v>996</v>
      </c>
      <c r="H1173" s="13" t="str">
        <f>IFERROR(__xludf.DUMMYFUNCTION("""COMPUTED_VALUE"""),"P1")</f>
        <v>P1</v>
      </c>
    </row>
    <row r="1174" ht="22.5" customHeight="1">
      <c r="B1174" s="17" t="str">
        <f>IFERROR(__xludf.DUMMYFUNCTION("""COMPUTED_VALUE"""),"K/21/081124/1")</f>
        <v>K/21/081124/1</v>
      </c>
      <c r="C1174" s="17" t="str">
        <f>IFERROR(__xludf.DUMMYFUNCTION("""COMPUTED_VALUE"""),"M. N12856/ RAJABASA")</f>
        <v>M. N12856/ RAJABASA</v>
      </c>
      <c r="D1174" s="17">
        <f>IFERROR(__xludf.DUMMYFUNCTION("""COMPUTED_VALUE"""),45604.46160271991)</f>
        <v>45604.4616</v>
      </c>
      <c r="E1174" s="11" t="str">
        <f>IFERROR(__xludf.DUMMYFUNCTION("""COMPUTED_VALUE"""),"GANTI KELURAHAN")</f>
        <v>GANTI KELURAHAN</v>
      </c>
      <c r="F1174" s="11" t="str">
        <f>IFERROR(__xludf.DUMMYFUNCTION("""COMPUTED_VALUE"""),"SYAMSIAH")</f>
        <v>SYAMSIAH</v>
      </c>
      <c r="G1174" s="13">
        <f t="shared" si="1"/>
        <v>997</v>
      </c>
      <c r="H1174" s="13" t="str">
        <f>IFERROR(__xludf.DUMMYFUNCTION("""COMPUTED_VALUE"""),"P0")</f>
        <v>P0</v>
      </c>
    </row>
    <row r="1175" ht="22.5" customHeight="1">
      <c r="B1175" s="17" t="str">
        <f>IFERROR(__xludf.DUMMYFUNCTION("""COMPUTED_VALUE"""),"K/22/081124/2")</f>
        <v>K/22/081124/2</v>
      </c>
      <c r="C1175" s="17" t="str">
        <f>IFERROR(__xludf.DUMMYFUNCTION("""COMPUTED_VALUE"""),"M. 12543/ Tanjung Baru")</f>
        <v>M. 12543/ Tanjung Baru</v>
      </c>
      <c r="D1175" s="17">
        <f>IFERROR(__xludf.DUMMYFUNCTION("""COMPUTED_VALUE"""),45604.46247982639)</f>
        <v>45604.46248</v>
      </c>
      <c r="E1175" s="11" t="str">
        <f>IFERROR(__xludf.DUMMYFUNCTION("""COMPUTED_VALUE"""),"GANTI KELURAHAN")</f>
        <v>GANTI KELURAHAN</v>
      </c>
      <c r="F1175" s="11" t="str">
        <f>IFERROR(__xludf.DUMMYFUNCTION("""COMPUTED_VALUE"""),"YULIWATI")</f>
        <v>YULIWATI</v>
      </c>
      <c r="G1175" s="13">
        <f t="shared" si="1"/>
        <v>998</v>
      </c>
      <c r="H1175" s="13" t="str">
        <f>IFERROR(__xludf.DUMMYFUNCTION("""COMPUTED_VALUE"""),"P0")</f>
        <v>P0</v>
      </c>
    </row>
    <row r="1176" ht="22.5" customHeight="1">
      <c r="B1176" s="17" t="str">
        <f>IFERROR(__xludf.DUMMYFUNCTION("""COMPUTED_VALUE"""),"K/23/081124/1")</f>
        <v>K/23/081124/1</v>
      </c>
      <c r="C1176" s="17" t="str">
        <f>IFERROR(__xludf.DUMMYFUNCTION("""COMPUTED_VALUE"""),"Nibel 1229/ Labuhan Dalam")</f>
        <v>Nibel 1229/ Labuhan Dalam</v>
      </c>
      <c r="D1176" s="17">
        <f>IFERROR(__xludf.DUMMYFUNCTION("""COMPUTED_VALUE"""),45604.464527372686)</f>
        <v>45604.46453</v>
      </c>
      <c r="E1176" s="11" t="str">
        <f>IFERROR(__xludf.DUMMYFUNCTION("""COMPUTED_VALUE"""),"BN JUAL BELI")</f>
        <v>BN JUAL BELI</v>
      </c>
      <c r="F1176" s="11" t="str">
        <f>IFERROR(__xludf.DUMMYFUNCTION("""COMPUTED_VALUE"""),"RAHMADIYANTI/ YASRANUDDIN")</f>
        <v>RAHMADIYANTI/ YASRANUDDIN</v>
      </c>
      <c r="G1176" s="13">
        <f t="shared" si="1"/>
        <v>999</v>
      </c>
      <c r="H1176" s="13" t="str">
        <f>IFERROR(__xludf.DUMMYFUNCTION("""COMPUTED_VALUE"""),"P0")</f>
        <v>P0</v>
      </c>
    </row>
    <row r="1177" ht="22.5" customHeight="1">
      <c r="B1177" s="17" t="str">
        <f>IFERROR(__xludf.DUMMYFUNCTION("""COMPUTED_VALUE"""),"K/24/081124/2")</f>
        <v>K/24/081124/2</v>
      </c>
      <c r="C1177" s="17" t="str">
        <f>IFERROR(__xludf.DUMMYFUNCTION("""COMPUTED_VALUE"""),"M. 813/WAY DADI- SEKARANG; M. 13188/SUKARAME I")</f>
        <v>M. 813/WAY DADI- SEKARANG; M. 13188/SUKARAME I</v>
      </c>
      <c r="D1177" s="17">
        <f>IFERROR(__xludf.DUMMYFUNCTION("""COMPUTED_VALUE"""),45604.46835609953)</f>
        <v>45604.46836</v>
      </c>
      <c r="E1177" s="11" t="str">
        <f>IFERROR(__xludf.DUMMYFUNCTION("""COMPUTED_VALUE"""),"BN JUAL BELI")</f>
        <v>BN JUAL BELI</v>
      </c>
      <c r="F1177" s="11" t="str">
        <f>IFERROR(__xludf.DUMMYFUNCTION("""COMPUTED_VALUE"""),"RAHMADIYANTI")</f>
        <v>RAHMADIYANTI</v>
      </c>
      <c r="G1177" s="13">
        <f t="shared" si="1"/>
        <v>1000</v>
      </c>
      <c r="H1177" s="13" t="str">
        <f>IFERROR(__xludf.DUMMYFUNCTION("""COMPUTED_VALUE"""),"P0")</f>
        <v>P0</v>
      </c>
    </row>
    <row r="1178" ht="22.5" customHeight="1">
      <c r="B1178" s="17" t="str">
        <f>IFERROR(__xludf.DUMMYFUNCTION("""COMPUTED_VALUE"""),"K/25/081124/1")</f>
        <v>K/25/081124/1</v>
      </c>
      <c r="C1178" s="17" t="str">
        <f>IFERROR(__xludf.DUMMYFUNCTION("""COMPUTED_VALUE"""),"M. 2076/ Kota Baru")</f>
        <v>M. 2076/ Kota Baru</v>
      </c>
      <c r="D1178" s="17">
        <f>IFERROR(__xludf.DUMMYFUNCTION("""COMPUTED_VALUE"""),45604.47064638889)</f>
        <v>45604.47065</v>
      </c>
      <c r="E1178" s="11" t="str">
        <f>IFERROR(__xludf.DUMMYFUNCTION("""COMPUTED_VALUE"""),"BN JUAL BELI")</f>
        <v>BN JUAL BELI</v>
      </c>
      <c r="F1178" s="11" t="str">
        <f>IFERROR(__xludf.DUMMYFUNCTION("""COMPUTED_VALUE"""),"RICHARD ADI P")</f>
        <v>RICHARD ADI P</v>
      </c>
      <c r="G1178" s="13">
        <f t="shared" si="1"/>
        <v>1001</v>
      </c>
      <c r="H1178" s="13" t="str">
        <f>IFERROR(__xludf.DUMMYFUNCTION("""COMPUTED_VALUE"""),"P0")</f>
        <v>P0</v>
      </c>
    </row>
    <row r="1179" ht="22.5" customHeight="1">
      <c r="B1179" s="17" t="str">
        <f>IFERROR(__xludf.DUMMYFUNCTION("""COMPUTED_VALUE"""),"K/17/011124/1")</f>
        <v>K/17/011124/1</v>
      </c>
      <c r="C1179" s="17" t="str">
        <f>IFERROR(__xludf.DUMMYFUNCTION("""COMPUTED_VALUE"""),"M.1014/BUMI KEDAMAIAN-SEKARANG;M.12108/KEDAMAIAN-DAHULU")</f>
        <v>M.1014/BUMI KEDAMAIAN-SEKARANG;M.12108/KEDAMAIAN-DAHULU</v>
      </c>
      <c r="D1179" s="17">
        <f>IFERROR(__xludf.DUMMYFUNCTION("""COMPUTED_VALUE"""),45604.559293645834)</f>
        <v>45604.55929</v>
      </c>
      <c r="E1179" s="11" t="str">
        <f>IFERROR(__xludf.DUMMYFUNCTION("""COMPUTED_VALUE"""),"BN JUAL BELI")</f>
        <v>BN JUAL BELI</v>
      </c>
      <c r="F1179" s="11" t="str">
        <f>IFERROR(__xludf.DUMMYFUNCTION("""COMPUTED_VALUE"""),"LIUS SANDI SAPUTRA/PANARY SITOPU")</f>
        <v>LIUS SANDI SAPUTRA/PANARY SITOPU</v>
      </c>
      <c r="G1179" s="13">
        <f t="shared" si="1"/>
        <v>1001</v>
      </c>
      <c r="H1179" s="13" t="str">
        <f>IFERROR(__xludf.DUMMYFUNCTION("""COMPUTED_VALUE"""),"P1")</f>
        <v>P1</v>
      </c>
    </row>
    <row r="1180" ht="22.5" customHeight="1">
      <c r="B1180" s="17" t="str">
        <f>IFERROR(__xludf.DUMMYFUNCTION("""COMPUTED_VALUE"""),"K/45/181024/1")</f>
        <v>K/45/181024/1</v>
      </c>
      <c r="C1180" s="17" t="str">
        <f>IFERROR(__xludf.DUMMYFUNCTION("""COMPUTED_VALUE"""),"M.2473/RAJABASA JAYA")</f>
        <v>M.2473/RAJABASA JAYA</v>
      </c>
      <c r="D1180" s="17">
        <f>IFERROR(__xludf.DUMMYFUNCTION("""COMPUTED_VALUE"""),45604.56037957176)</f>
        <v>45604.56038</v>
      </c>
      <c r="E1180" s="11" t="str">
        <f>IFERROR(__xludf.DUMMYFUNCTION("""COMPUTED_VALUE"""),"KEWARISAN")</f>
        <v>KEWARISAN</v>
      </c>
      <c r="F1180" s="11" t="str">
        <f>IFERROR(__xludf.DUMMYFUNCTION("""COMPUTED_VALUE"""),"SITI KHONNIA/ANDRI NOVIAR")</f>
        <v>SITI KHONNIA/ANDRI NOVIAR</v>
      </c>
      <c r="G1180" s="13">
        <f t="shared" si="1"/>
        <v>1001</v>
      </c>
      <c r="H1180" s="13" t="str">
        <f>IFERROR(__xludf.DUMMYFUNCTION("""COMPUTED_VALUE"""),"P1")</f>
        <v>P1</v>
      </c>
    </row>
    <row r="1181" ht="22.5" customHeight="1">
      <c r="B1181" s="17" t="str">
        <f>IFERROR(__xludf.DUMMYFUNCTION("""COMPUTED_VALUE"""),"K/55/051124/1")</f>
        <v>K/55/051124/1</v>
      </c>
      <c r="C1181" s="17" t="str">
        <f>IFERROR(__xludf.DUMMYFUNCTION("""COMPUTED_VALUE"""),"M. 3237/ Labuhan Dalam")</f>
        <v>M. 3237/ Labuhan Dalam</v>
      </c>
      <c r="D1181" s="17">
        <f>IFERROR(__xludf.DUMMYFUNCTION("""COMPUTED_VALUE"""),45604.56166959491)</f>
        <v>45604.56167</v>
      </c>
      <c r="E1181" s="11" t="str">
        <f>IFERROR(__xludf.DUMMYFUNCTION("""COMPUTED_VALUE"""),"BN JUAL BELI")</f>
        <v>BN JUAL BELI</v>
      </c>
      <c r="F1181" s="11" t="str">
        <f>IFERROR(__xludf.DUMMYFUNCTION("""COMPUTED_VALUE"""),"ILANUR/ NYOMAN ARTE")</f>
        <v>ILANUR/ NYOMAN ARTE</v>
      </c>
      <c r="G1181" s="13">
        <f t="shared" si="1"/>
        <v>1001</v>
      </c>
      <c r="H1181" s="13" t="str">
        <f>IFERROR(__xludf.DUMMYFUNCTION("""COMPUTED_VALUE"""),"P1")</f>
        <v>P1</v>
      </c>
    </row>
    <row r="1182" ht="22.5" customHeight="1">
      <c r="B1182" s="17" t="str">
        <f>IFERROR(__xludf.DUMMYFUNCTION("""COMPUTED_VALUE"""),"K/19/011124/2")</f>
        <v>K/19/011124/2</v>
      </c>
      <c r="C1182" s="17" t="str">
        <f>IFERROR(__xludf.DUMMYFUNCTION("""COMPUTED_VALUE"""),"B.752/SUMUR PUTRI")</f>
        <v>B.752/SUMUR PUTRI</v>
      </c>
      <c r="D1182" s="17">
        <f>IFERROR(__xludf.DUMMYFUNCTION("""COMPUTED_VALUE"""),45604.56175020833)</f>
        <v>45604.56175</v>
      </c>
      <c r="E1182" s="11" t="str">
        <f>IFERROR(__xludf.DUMMYFUNCTION("""COMPUTED_VALUE"""),"BN JUAL BELI")</f>
        <v>BN JUAL BELI</v>
      </c>
      <c r="F1182" s="11" t="str">
        <f>IFERROR(__xludf.DUMMYFUNCTION("""COMPUTED_VALUE"""),"INGGIT PUTRIA MARGA/PANARY SITOPU")</f>
        <v>INGGIT PUTRIA MARGA/PANARY SITOPU</v>
      </c>
      <c r="G1182" s="13">
        <f t="shared" si="1"/>
        <v>1001</v>
      </c>
      <c r="H1182" s="13" t="str">
        <f>IFERROR(__xludf.DUMMYFUNCTION("""COMPUTED_VALUE"""),"P1")</f>
        <v>P1</v>
      </c>
    </row>
    <row r="1183" ht="22.5" customHeight="1">
      <c r="B1183" s="17" t="str">
        <f>IFERROR(__xludf.DUMMYFUNCTION("""COMPUTED_VALUE"""),"K/26/081124/2")</f>
        <v>K/26/081124/2</v>
      </c>
      <c r="C1183" s="17" t="str">
        <f>IFERROR(__xludf.DUMMYFUNCTION("""COMPUTED_VALUE"""),"M.1711/RAJABASA NUNYAI")</f>
        <v>M.1711/RAJABASA NUNYAI</v>
      </c>
      <c r="D1183" s="17">
        <f>IFERROR(__xludf.DUMMYFUNCTION("""COMPUTED_VALUE"""),45604.56382896991)</f>
        <v>45604.56383</v>
      </c>
      <c r="E1183" s="11" t="str">
        <f>IFERROR(__xludf.DUMMYFUNCTION("""COMPUTED_VALUE"""),"BN JUAL BELI")</f>
        <v>BN JUAL BELI</v>
      </c>
      <c r="F1183" s="11" t="str">
        <f>IFERROR(__xludf.DUMMYFUNCTION("""COMPUTED_VALUE"""),"HAR NELI DEWI/ISMARINA")</f>
        <v>HAR NELI DEWI/ISMARINA</v>
      </c>
      <c r="G1183" s="13">
        <f t="shared" si="1"/>
        <v>1002</v>
      </c>
      <c r="H1183" s="13" t="str">
        <f>IFERROR(__xludf.DUMMYFUNCTION("""COMPUTED_VALUE"""),"P0")</f>
        <v>P0</v>
      </c>
    </row>
    <row r="1184" ht="22.5" customHeight="1">
      <c r="B1184" s="17" t="str">
        <f>IFERROR(__xludf.DUMMYFUNCTION("""COMPUTED_VALUE"""),"L/27/081124/1")</f>
        <v>L/27/081124/1</v>
      </c>
      <c r="C1184" s="17" t="str">
        <f>IFERROR(__xludf.DUMMYFUNCTION("""COMPUTED_VALUE"""),"HM 683/JAGABAYA III")</f>
        <v>HM 683/JAGABAYA III</v>
      </c>
      <c r="D1184" s="17">
        <f>IFERROR(__xludf.DUMMYFUNCTION("""COMPUTED_VALUE"""),45604.56507532408)</f>
        <v>45604.56508</v>
      </c>
      <c r="E1184" s="11" t="str">
        <f>IFERROR(__xludf.DUMMYFUNCTION("""COMPUTED_VALUE"""),"ROYA")</f>
        <v>ROYA</v>
      </c>
      <c r="F1184" s="11" t="str">
        <f>IFERROR(__xludf.DUMMYFUNCTION("""COMPUTED_VALUE"""),"FRIDA CHRISNASARI DEWI")</f>
        <v>FRIDA CHRISNASARI DEWI</v>
      </c>
      <c r="G1184" s="13">
        <f t="shared" si="1"/>
        <v>1003</v>
      </c>
      <c r="H1184" s="13" t="str">
        <f>IFERROR(__xludf.DUMMYFUNCTION("""COMPUTED_VALUE"""),"P0")</f>
        <v>P0</v>
      </c>
    </row>
    <row r="1185" ht="22.5" customHeight="1">
      <c r="B1185" s="17" t="str">
        <f>IFERROR(__xludf.DUMMYFUNCTION("""COMPUTED_VALUE"""),"K/28/081124/1")</f>
        <v>K/28/081124/1</v>
      </c>
      <c r="C1185" s="17" t="str">
        <f>IFERROR(__xludf.DUMMYFUNCTION("""COMPUTED_VALUE"""),"M. 1079/ JAGABAYA III")</f>
        <v>M. 1079/ JAGABAYA III</v>
      </c>
      <c r="D1185" s="17">
        <f>IFERROR(__xludf.DUMMYFUNCTION("""COMPUTED_VALUE"""),45604.56870532407)</f>
        <v>45604.56871</v>
      </c>
      <c r="E1185" s="11" t="str">
        <f>IFERROR(__xludf.DUMMYFUNCTION("""COMPUTED_VALUE"""),"GANTI KECAMATAN")</f>
        <v>GANTI KECAMATAN</v>
      </c>
      <c r="F1185" s="11" t="str">
        <f>IFERROR(__xludf.DUMMYFUNCTION("""COMPUTED_VALUE"""),"EWON GUNAWAN/ HANDI KAUNANG")</f>
        <v>EWON GUNAWAN/ HANDI KAUNANG</v>
      </c>
      <c r="G1185" s="13">
        <f t="shared" si="1"/>
        <v>1004</v>
      </c>
      <c r="H1185" s="13" t="str">
        <f>IFERROR(__xludf.DUMMYFUNCTION("""COMPUTED_VALUE"""),"P0")</f>
        <v>P0</v>
      </c>
    </row>
    <row r="1186" ht="22.5" customHeight="1">
      <c r="B1186" s="17" t="str">
        <f>IFERROR(__xludf.DUMMYFUNCTION("""COMPUTED_VALUE""")," K/29/081124/2")</f>
        <v> K/29/081124/2</v>
      </c>
      <c r="C1186" s="17" t="str">
        <f>IFERROR(__xludf.DUMMYFUNCTION("""COMPUTED_VALUE"""),"M. 2329/ SEPANG JAYA")</f>
        <v>M. 2329/ SEPANG JAYA</v>
      </c>
      <c r="D1186" s="17">
        <f>IFERROR(__xludf.DUMMYFUNCTION("""COMPUTED_VALUE"""),45604.569910289356)</f>
        <v>45604.56991</v>
      </c>
      <c r="E1186" s="11" t="str">
        <f>IFERROR(__xludf.DUMMYFUNCTION("""COMPUTED_VALUE"""),"PENGECEKKAN")</f>
        <v>PENGECEKKAN</v>
      </c>
      <c r="F1186" s="11" t="str">
        <f>IFERROR(__xludf.DUMMYFUNCTION("""COMPUTED_VALUE"""),"EWON GUNAWAN")</f>
        <v>EWON GUNAWAN</v>
      </c>
      <c r="G1186" s="13">
        <f t="shared" si="1"/>
        <v>1005</v>
      </c>
      <c r="H1186" s="13" t="str">
        <f>IFERROR(__xludf.DUMMYFUNCTION("""COMPUTED_VALUE"""),"P0")</f>
        <v>P0</v>
      </c>
    </row>
    <row r="1187" ht="22.5" customHeight="1">
      <c r="B1187" s="17" t="str">
        <f>IFERROR(__xludf.DUMMYFUNCTION("""COMPUTED_VALUE"""),"K/30/081124/3")</f>
        <v>K/30/081124/3</v>
      </c>
      <c r="C1187" s="17" t="str">
        <f>IFERROR(__xludf.DUMMYFUNCTION("""COMPUTED_VALUE"""),"M. 695/ RAJABASA NUNYAI")</f>
        <v>M. 695/ RAJABASA NUNYAI</v>
      </c>
      <c r="D1187" s="17">
        <f>IFERROR(__xludf.DUMMYFUNCTION("""COMPUTED_VALUE"""),45604.596696990746)</f>
        <v>45604.5967</v>
      </c>
      <c r="E1187" s="11" t="str">
        <f>IFERROR(__xludf.DUMMYFUNCTION("""COMPUTED_VALUE"""),"PENGECEKKAN")</f>
        <v>PENGECEKKAN</v>
      </c>
      <c r="F1187" s="11" t="str">
        <f>IFERROR(__xludf.DUMMYFUNCTION("""COMPUTED_VALUE"""),"EWON GUNAWAN")</f>
        <v>EWON GUNAWAN</v>
      </c>
      <c r="G1187" s="13">
        <f t="shared" si="1"/>
        <v>1006</v>
      </c>
      <c r="H1187" s="13" t="str">
        <f>IFERROR(__xludf.DUMMYFUNCTION("""COMPUTED_VALUE"""),"P0")</f>
        <v>P0</v>
      </c>
    </row>
    <row r="1188" ht="22.5" customHeight="1">
      <c r="B1188" s="17" t="str">
        <f>IFERROR(__xludf.DUMMYFUNCTION("""COMPUTED_VALUE"""),"K/28/041124/2")</f>
        <v>K/28/041124/2</v>
      </c>
      <c r="C1188" s="17" t="str">
        <f>IFERROR(__xludf.DUMMYFUNCTION("""COMPUTED_VALUE"""),"M. 2253/ Kedaung	")</f>
        <v>M. 2253/ Kedaung	</v>
      </c>
      <c r="D1188" s="17">
        <f>IFERROR(__xludf.DUMMYFUNCTION("""COMPUTED_VALUE"""),45604.571210381946)</f>
        <v>45604.57121</v>
      </c>
      <c r="E1188" s="11" t="str">
        <f>IFERROR(__xludf.DUMMYFUNCTION("""COMPUTED_VALUE"""),"BN Jual Beli")</f>
        <v>BN Jual Beli</v>
      </c>
      <c r="F1188" s="11" t="str">
        <f>IFERROR(__xludf.DUMMYFUNCTION("""COMPUTED_VALUE"""),"Ilanur/ Clara C D	")</f>
        <v>Ilanur/ Clara C D	</v>
      </c>
      <c r="G1188" s="13">
        <f t="shared" si="1"/>
        <v>1006</v>
      </c>
      <c r="H1188" s="13" t="str">
        <f>IFERROR(__xludf.DUMMYFUNCTION("""COMPUTED_VALUE"""),"P1")</f>
        <v>P1</v>
      </c>
    </row>
    <row r="1189" ht="22.5" customHeight="1">
      <c r="B1189" s="17" t="str">
        <f>IFERROR(__xludf.DUMMYFUNCTION("""COMPUTED_VALUE"""),"K/27/041124/1")</f>
        <v>K/27/041124/1</v>
      </c>
      <c r="C1189" s="17" t="str">
        <f>IFERROR(__xludf.DUMMYFUNCTION("""COMPUTED_VALUE"""),"M. 2800/ Sukarame II	")</f>
        <v>M. 2800/ Sukarame II	</v>
      </c>
      <c r="D1189" s="17">
        <f>IFERROR(__xludf.DUMMYFUNCTION("""COMPUTED_VALUE"""),45604.5724183912)</f>
        <v>45604.57242</v>
      </c>
      <c r="E1189" s="11" t="str">
        <f>IFERROR(__xludf.DUMMYFUNCTION("""COMPUTED_VALUE"""),"BN Jual Beli")</f>
        <v>BN Jual Beli</v>
      </c>
      <c r="F1189" s="11" t="str">
        <f>IFERROR(__xludf.DUMMYFUNCTION("""COMPUTED_VALUE"""),"Ilanur/ Amin Nudin	")</f>
        <v>Ilanur/ Amin Nudin	</v>
      </c>
      <c r="G1189" s="13">
        <f t="shared" si="1"/>
        <v>1006</v>
      </c>
      <c r="H1189" s="13" t="str">
        <f>IFERROR(__xludf.DUMMYFUNCTION("""COMPUTED_VALUE"""),"P1")</f>
        <v>P1</v>
      </c>
    </row>
    <row r="1190" ht="22.5" customHeight="1">
      <c r="B1190" s="17" t="str">
        <f>IFERROR(__xludf.DUMMYFUNCTION("""COMPUTED_VALUE"""),"K/7/011124/1")</f>
        <v>K/7/011124/1</v>
      </c>
      <c r="C1190" s="17" t="str">
        <f>IFERROR(__xludf.DUMMYFUNCTION("""COMPUTED_VALUE"""),"M. 2869/ Sukarame Baru	")</f>
        <v>M. 2869/ Sukarame Baru	</v>
      </c>
      <c r="D1190" s="17">
        <f>IFERROR(__xludf.DUMMYFUNCTION("""COMPUTED_VALUE"""),45604.57335236111)</f>
        <v>45604.57335</v>
      </c>
      <c r="E1190" s="11" t="str">
        <f>IFERROR(__xludf.DUMMYFUNCTION("""COMPUTED_VALUE"""),"BN Jual Beli")</f>
        <v>BN Jual Beli</v>
      </c>
      <c r="F1190" s="11" t="str">
        <f>IFERROR(__xludf.DUMMYFUNCTION("""COMPUTED_VALUE"""),"Ilanur/ Taryadi Ilayas	")</f>
        <v>Ilanur/ Taryadi Ilayas	</v>
      </c>
      <c r="G1190" s="13">
        <f t="shared" si="1"/>
        <v>1006</v>
      </c>
      <c r="H1190" s="13" t="str">
        <f>IFERROR(__xludf.DUMMYFUNCTION("""COMPUTED_VALUE"""),"P1")</f>
        <v>P1</v>
      </c>
    </row>
    <row r="1191" ht="22.5" customHeight="1">
      <c r="B1191" s="17" t="str">
        <f>IFERROR(__xludf.DUMMYFUNCTION("""COMPUTED_VALUE"""),"K/31/081124/1")</f>
        <v>K/31/081124/1</v>
      </c>
      <c r="C1191" s="17" t="str">
        <f>IFERROR(__xludf.DUMMYFUNCTION("""COMPUTED_VALUE"""),"M.301/PERUMNAS WAY KANDIS-SEKARANG;B.695/WAY KANDIS ")</f>
        <v>M.301/PERUMNAS WAY KANDIS-SEKARANG;B.695/WAY KANDIS </v>
      </c>
      <c r="D1191" s="17">
        <f>IFERROR(__xludf.DUMMYFUNCTION("""COMPUTED_VALUE"""),45604.57411755787)</f>
        <v>45604.57412</v>
      </c>
      <c r="E1191" s="11" t="str">
        <f>IFERROR(__xludf.DUMMYFUNCTION("""COMPUTED_VALUE"""),"PLOTING ")</f>
        <v>PLOTING </v>
      </c>
      <c r="F1191" s="11" t="str">
        <f>IFERROR(__xludf.DUMMYFUNCTION("""COMPUTED_VALUE"""),"BINNA RL SIMBOLON/CHRISTINA ULINA")</f>
        <v>BINNA RL SIMBOLON/CHRISTINA ULINA</v>
      </c>
      <c r="G1191" s="13">
        <f t="shared" si="1"/>
        <v>1007</v>
      </c>
      <c r="H1191" s="13" t="str">
        <f>IFERROR(__xludf.DUMMYFUNCTION("""COMPUTED_VALUE"""),"P0")</f>
        <v>P0</v>
      </c>
    </row>
    <row r="1192" ht="22.5" customHeight="1">
      <c r="B1192" s="17" t="str">
        <f>IFERROR(__xludf.DUMMYFUNCTION("""COMPUTED_VALUE"""),"K/32/081124/2")</f>
        <v>K/32/081124/2</v>
      </c>
      <c r="C1192" s="17" t="str">
        <f>IFERROR(__xludf.DUMMYFUNCTION("""COMPUTED_VALUE"""),"M.970/KUPANG KOTA")</f>
        <v>M.970/KUPANG KOTA</v>
      </c>
      <c r="D1192" s="17">
        <f>IFERROR(__xludf.DUMMYFUNCTION("""COMPUTED_VALUE"""),45604.57552521991)</f>
        <v>45604.57553</v>
      </c>
      <c r="E1192" s="11" t="str">
        <f>IFERROR(__xludf.DUMMYFUNCTION("""COMPUTED_VALUE"""),"PLOTING")</f>
        <v>PLOTING</v>
      </c>
      <c r="F1192" s="11" t="str">
        <f>IFERROR(__xludf.DUMMYFUNCTION("""COMPUTED_VALUE"""),"ROSIDAH/CHRISTINA ULINA")</f>
        <v>ROSIDAH/CHRISTINA ULINA</v>
      </c>
      <c r="G1192" s="13">
        <f t="shared" si="1"/>
        <v>1008</v>
      </c>
      <c r="H1192" s="13" t="str">
        <f>IFERROR(__xludf.DUMMYFUNCTION("""COMPUTED_VALUE"""),"P0")</f>
        <v>P0</v>
      </c>
    </row>
    <row r="1193" ht="22.5" customHeight="1">
      <c r="B1193" s="17" t="str">
        <f>IFERROR(__xludf.DUMMYFUNCTION("""COMPUTED_VALUE"""),"K/33/081124/3")</f>
        <v>K/33/081124/3</v>
      </c>
      <c r="C1193" s="17" t="str">
        <f>IFERROR(__xludf.DUMMYFUNCTION("""COMPUTED_VALUE"""),"M.6974/TANJUNG SENENG")</f>
        <v>M.6974/TANJUNG SENENG</v>
      </c>
      <c r="D1193" s="17">
        <f>IFERROR(__xludf.DUMMYFUNCTION("""COMPUTED_VALUE"""),45604.576217071764)</f>
        <v>45604.57622</v>
      </c>
      <c r="E1193" s="11" t="str">
        <f>IFERROR(__xludf.DUMMYFUNCTION("""COMPUTED_VALUE"""),"PENGECEKAN")</f>
        <v>PENGECEKAN</v>
      </c>
      <c r="F1193" s="11" t="str">
        <f>IFERROR(__xludf.DUMMYFUNCTION("""COMPUTED_VALUE"""),"ISYADI/CHRISTINA ULINA")</f>
        <v>ISYADI/CHRISTINA ULINA</v>
      </c>
      <c r="G1193" s="13">
        <f t="shared" si="1"/>
        <v>1009</v>
      </c>
      <c r="H1193" s="13" t="str">
        <f>IFERROR(__xludf.DUMMYFUNCTION("""COMPUTED_VALUE"""),"P0")</f>
        <v>P0</v>
      </c>
    </row>
    <row r="1194" ht="22.5" customHeight="1">
      <c r="B1194" s="17" t="str">
        <f>IFERROR(__xludf.DUMMYFUNCTION("""COMPUTED_VALUE"""),"K/34/081124/4")</f>
        <v>K/34/081124/4</v>
      </c>
      <c r="C1194" s="17" t="str">
        <f>IFERROR(__xludf.DUMMYFUNCTION("""COMPUTED_VALUE"""),"M.6814/TANJUNG SENENG")</f>
        <v>M.6814/TANJUNG SENENG</v>
      </c>
      <c r="D1194" s="17">
        <f>IFERROR(__xludf.DUMMYFUNCTION("""COMPUTED_VALUE"""),45604.57690546296)</f>
        <v>45604.57691</v>
      </c>
      <c r="E1194" s="11" t="str">
        <f>IFERROR(__xludf.DUMMYFUNCTION("""COMPUTED_VALUE"""),"PENGECEKAN")</f>
        <v>PENGECEKAN</v>
      </c>
      <c r="F1194" s="11" t="str">
        <f>IFERROR(__xludf.DUMMYFUNCTION("""COMPUTED_VALUE"""),"ROHMAN/CHRISTINA ULINA")</f>
        <v>ROHMAN/CHRISTINA ULINA</v>
      </c>
      <c r="G1194" s="13">
        <f t="shared" si="1"/>
        <v>1010</v>
      </c>
      <c r="H1194" s="13" t="str">
        <f>IFERROR(__xludf.DUMMYFUNCTION("""COMPUTED_VALUE"""),"P0")</f>
        <v>P0</v>
      </c>
    </row>
    <row r="1195" ht="22.5" customHeight="1">
      <c r="B1195" s="17" t="str">
        <f>IFERROR(__xludf.DUMMYFUNCTION("""COMPUTED_VALUE"""),"K/35/081124/5")</f>
        <v>K/35/081124/5</v>
      </c>
      <c r="C1195" s="17" t="str">
        <f>IFERROR(__xludf.DUMMYFUNCTION("""COMPUTED_VALUE"""),"M.6867/TANJUNG SENENG")</f>
        <v>M.6867/TANJUNG SENENG</v>
      </c>
      <c r="D1195" s="17">
        <f>IFERROR(__xludf.DUMMYFUNCTION("""COMPUTED_VALUE"""),45604.57775041666)</f>
        <v>45604.57775</v>
      </c>
      <c r="E1195" s="11" t="str">
        <f>IFERROR(__xludf.DUMMYFUNCTION("""COMPUTED_VALUE"""),"BN JUAL BELI")</f>
        <v>BN JUAL BELI</v>
      </c>
      <c r="F1195" s="11" t="str">
        <f>IFERROR(__xludf.DUMMYFUNCTION("""COMPUTED_VALUE"""),"RAIHAN SUDRAJAT/CHRISTINA ULINA")</f>
        <v>RAIHAN SUDRAJAT/CHRISTINA ULINA</v>
      </c>
      <c r="G1195" s="13">
        <f t="shared" si="1"/>
        <v>1011</v>
      </c>
      <c r="H1195" s="13" t="str">
        <f>IFERROR(__xludf.DUMMYFUNCTION("""COMPUTED_VALUE"""),"P0")</f>
        <v>P0</v>
      </c>
    </row>
    <row r="1196" ht="22.5" customHeight="1">
      <c r="B1196" s="17" t="str">
        <f>IFERROR(__xludf.DUMMYFUNCTION("""COMPUTED_VALUE"""),"K/36/081124/1")</f>
        <v>K/36/081124/1</v>
      </c>
      <c r="C1196" s="17" t="str">
        <f>IFERROR(__xludf.DUMMYFUNCTION("""COMPUTED_VALUE"""),"M. 6416/WAY KANDIS")</f>
        <v>M. 6416/WAY KANDIS</v>
      </c>
      <c r="D1196" s="17">
        <f>IFERROR(__xludf.DUMMYFUNCTION("""COMPUTED_VALUE"""),45604.579122916664)</f>
        <v>45604.57912</v>
      </c>
      <c r="E1196" s="11" t="str">
        <f>IFERROR(__xludf.DUMMYFUNCTION("""COMPUTED_VALUE"""),"BN JUAL BELI")</f>
        <v>BN JUAL BELI</v>
      </c>
      <c r="F1196" s="11" t="str">
        <f>IFERROR(__xludf.DUMMYFUNCTION("""COMPUTED_VALUE"""),"PANARY SITOPU / MUHAMMAD MAHDI ")</f>
        <v>PANARY SITOPU / MUHAMMAD MAHDI </v>
      </c>
      <c r="G1196" s="13">
        <f t="shared" si="1"/>
        <v>1012</v>
      </c>
      <c r="H1196" s="13" t="str">
        <f>IFERROR(__xludf.DUMMYFUNCTION("""COMPUTED_VALUE"""),"P0")</f>
        <v>P0</v>
      </c>
    </row>
    <row r="1197" ht="22.5" customHeight="1">
      <c r="B1197" s="17" t="str">
        <f>IFERROR(__xludf.DUMMYFUNCTION("""COMPUTED_VALUE"""),"K/39/081124/1")</f>
        <v>K/39/081124/1</v>
      </c>
      <c r="C1197" s="17" t="str">
        <f>IFERROR(__xludf.DUMMYFUNCTION("""COMPUTED_VALUE"""),"Nibel. M.3301/ Tanjung Senang")</f>
        <v>Nibel. M.3301/ Tanjung Senang</v>
      </c>
      <c r="D1197" s="17">
        <f>IFERROR(__xludf.DUMMYFUNCTION("""COMPUTED_VALUE"""),45604.5795674074)</f>
        <v>45604.57957</v>
      </c>
      <c r="E1197" s="11" t="str">
        <f>IFERROR(__xludf.DUMMYFUNCTION("""COMPUTED_VALUE"""),"BN Lelang")</f>
        <v>BN Lelang</v>
      </c>
      <c r="F1197" s="11" t="str">
        <f>IFERROR(__xludf.DUMMYFUNCTION("""COMPUTED_VALUE"""),"Ilanur/ Trian H")</f>
        <v>Ilanur/ Trian H</v>
      </c>
      <c r="G1197" s="13">
        <f t="shared" si="1"/>
        <v>1013</v>
      </c>
      <c r="H1197" s="13" t="str">
        <f>IFERROR(__xludf.DUMMYFUNCTION("""COMPUTED_VALUE"""),"P0")</f>
        <v>P0</v>
      </c>
    </row>
    <row r="1198" ht="22.5" customHeight="1">
      <c r="B1198" s="17" t="str">
        <f>IFERROR(__xludf.DUMMYFUNCTION("""COMPUTED_VALUE"""),"K/37/081124/2")</f>
        <v>K/37/081124/2</v>
      </c>
      <c r="C1198" s="17" t="str">
        <f>IFERROR(__xludf.DUMMYFUNCTION("""COMPUTED_VALUE"""),"NIBEL M. 6180/PELITA")</f>
        <v>NIBEL M. 6180/PELITA</v>
      </c>
      <c r="D1198" s="17">
        <f>IFERROR(__xludf.DUMMYFUNCTION("""COMPUTED_VALUE"""),45604.57998550926)</f>
        <v>45604.57999</v>
      </c>
      <c r="E1198" s="11" t="str">
        <f>IFERROR(__xludf.DUMMYFUNCTION("""COMPUTED_VALUE"""),"BN JUAL BELI")</f>
        <v>BN JUAL BELI</v>
      </c>
      <c r="F1198" s="11" t="str">
        <f>IFERROR(__xludf.DUMMYFUNCTION("""COMPUTED_VALUE"""),"PANARY SITOPU / MELJI")</f>
        <v>PANARY SITOPU / MELJI</v>
      </c>
      <c r="G1198" s="13">
        <f t="shared" si="1"/>
        <v>1014</v>
      </c>
      <c r="H1198" s="13" t="str">
        <f>IFERROR(__xludf.DUMMYFUNCTION("""COMPUTED_VALUE"""),"P0")</f>
        <v>P0</v>
      </c>
    </row>
    <row r="1199" ht="22.5" customHeight="1">
      <c r="B1199" s="17" t="str">
        <f>IFERROR(__xludf.DUMMYFUNCTION("""COMPUTED_VALUE"""),"K/38/081124/3")</f>
        <v>K/38/081124/3</v>
      </c>
      <c r="C1199" s="17" t="str">
        <f>IFERROR(__xludf.DUMMYFUNCTION("""COMPUTED_VALUE"""),"NIBEL M. 6138/PELITA")</f>
        <v>NIBEL M. 6138/PELITA</v>
      </c>
      <c r="D1199" s="17">
        <f>IFERROR(__xludf.DUMMYFUNCTION("""COMPUTED_VALUE"""),45604.58062033565)</f>
        <v>45604.58062</v>
      </c>
      <c r="E1199" s="11" t="str">
        <f>IFERROR(__xludf.DUMMYFUNCTION("""COMPUTED_VALUE"""),"BN JUAL BELI")</f>
        <v>BN JUAL BELI</v>
      </c>
      <c r="F1199" s="11" t="str">
        <f>IFERROR(__xludf.DUMMYFUNCTION("""COMPUTED_VALUE"""),"PANARY SITOPU / MELJI")</f>
        <v>PANARY SITOPU / MELJI</v>
      </c>
      <c r="G1199" s="13">
        <f t="shared" si="1"/>
        <v>1015</v>
      </c>
      <c r="H1199" s="13" t="str">
        <f>IFERROR(__xludf.DUMMYFUNCTION("""COMPUTED_VALUE"""),"P0")</f>
        <v>P0</v>
      </c>
    </row>
    <row r="1200" ht="22.5" customHeight="1">
      <c r="B1200" s="17" t="str">
        <f>IFERROR(__xludf.DUMMYFUNCTION("""COMPUTED_VALUE"""),"K/40/081124/1")</f>
        <v>K/40/081124/1</v>
      </c>
      <c r="C1200" s="17" t="str">
        <f>IFERROR(__xludf.DUMMYFUNCTION("""COMPUTED_VALUE"""),"M. 70/ Garuntang")</f>
        <v>M. 70/ Garuntang</v>
      </c>
      <c r="D1200" s="17">
        <f>IFERROR(__xludf.DUMMYFUNCTION("""COMPUTED_VALUE"""),45604.58649868055)</f>
        <v>45604.5865</v>
      </c>
      <c r="E1200" s="11" t="str">
        <f>IFERROR(__xludf.DUMMYFUNCTION("""COMPUTED_VALUE"""),"BN Waris")</f>
        <v>BN Waris</v>
      </c>
      <c r="F1200" s="11" t="str">
        <f>IFERROR(__xludf.DUMMYFUNCTION("""COMPUTED_VALUE"""),"Novalia E P/ Gusnawati")</f>
        <v>Novalia E P/ Gusnawati</v>
      </c>
      <c r="G1200" s="13">
        <f t="shared" si="1"/>
        <v>1016</v>
      </c>
      <c r="H1200" s="13" t="str">
        <f>IFERROR(__xludf.DUMMYFUNCTION("""COMPUTED_VALUE"""),"P0")</f>
        <v>P0</v>
      </c>
    </row>
    <row r="1201" ht="22.5" customHeight="1">
      <c r="B1201" s="17" t="str">
        <f>IFERROR(__xludf.DUMMYFUNCTION("""COMPUTED_VALUE"""),"K/41/081124/1")</f>
        <v>K/41/081124/1</v>
      </c>
      <c r="C1201" s="17" t="str">
        <f>IFERROR(__xludf.DUMMYFUNCTION("""COMPUTED_VALUE"""),"M. 72/ LANGKAPURA BARU")</f>
        <v>M. 72/ LANGKAPURA BARU</v>
      </c>
      <c r="D1201" s="17">
        <f>IFERROR(__xludf.DUMMYFUNCTION("""COMPUTED_VALUE"""),45604.58963918981)</f>
        <v>45604.58964</v>
      </c>
      <c r="E1201" s="11" t="str">
        <f>IFERROR(__xludf.DUMMYFUNCTION("""COMPUTED_VALUE"""),"PLOTTING")</f>
        <v>PLOTTING</v>
      </c>
      <c r="F1201" s="11" t="str">
        <f>IFERROR(__xludf.DUMMYFUNCTION("""COMPUTED_VALUE"""),"ENDANG APRILIA / ACHMAD IQBAL")</f>
        <v>ENDANG APRILIA / ACHMAD IQBAL</v>
      </c>
      <c r="G1201" s="13">
        <f t="shared" si="1"/>
        <v>1017</v>
      </c>
      <c r="H1201" s="13" t="str">
        <f>IFERROR(__xludf.DUMMYFUNCTION("""COMPUTED_VALUE"""),"P0")</f>
        <v>P0</v>
      </c>
    </row>
    <row r="1202" ht="22.5" customHeight="1">
      <c r="B1202" s="17" t="str">
        <f>IFERROR(__xludf.DUMMYFUNCTION("""COMPUTED_VALUE"""),"K/42/081124/1")</f>
        <v>K/42/081124/1</v>
      </c>
      <c r="C1202" s="17" t="str">
        <f>IFERROR(__xludf.DUMMYFUNCTION("""COMPUTED_VALUE"""),"M.4432/GUNUNG TERANG ")</f>
        <v>M.4432/GUNUNG TERANG </v>
      </c>
      <c r="D1202" s="17">
        <f>IFERROR(__xludf.DUMMYFUNCTION("""COMPUTED_VALUE"""),45604.59225591435)</f>
        <v>45604.59226</v>
      </c>
      <c r="E1202" s="11" t="str">
        <f>IFERROR(__xludf.DUMMYFUNCTION("""COMPUTED_VALUE"""),"KEWARISAN ")</f>
        <v>KEWARISAN </v>
      </c>
      <c r="F1202" s="11" t="str">
        <f>IFERROR(__xludf.DUMMYFUNCTION("""COMPUTED_VALUE"""),"JUNIARTHI FATHIAH CS/LILIS DAMAYANTI")</f>
        <v>JUNIARTHI FATHIAH CS/LILIS DAMAYANTI</v>
      </c>
      <c r="G1202" s="13">
        <f t="shared" si="1"/>
        <v>1018</v>
      </c>
      <c r="H1202" s="13" t="str">
        <f>IFERROR(__xludf.DUMMYFUNCTION("""COMPUTED_VALUE"""),"P0")</f>
        <v>P0</v>
      </c>
    </row>
    <row r="1203" ht="22.5" customHeight="1">
      <c r="B1203" s="17" t="str">
        <f>IFERROR(__xludf.DUMMYFUNCTION("""COMPUTED_VALUE"""),"K/43/081124/1")</f>
        <v>K/43/081124/1</v>
      </c>
      <c r="C1203" s="17" t="str">
        <f>IFERROR(__xludf.DUMMYFUNCTION("""COMPUTED_VALUE"""),"M. 1322/ Labuhan Dalam")</f>
        <v>M. 1322/ Labuhan Dalam</v>
      </c>
      <c r="D1203" s="17">
        <f>IFERROR(__xludf.DUMMYFUNCTION("""COMPUTED_VALUE"""),45604.597747754626)</f>
        <v>45604.59775</v>
      </c>
      <c r="E1203" s="11" t="str">
        <f>IFERROR(__xludf.DUMMYFUNCTION("""COMPUTED_VALUE"""),"ROYA")</f>
        <v>ROYA</v>
      </c>
      <c r="F1203" s="11" t="str">
        <f>IFERROR(__xludf.DUMMYFUNCTION("""COMPUTED_VALUE"""),"HERA A/ DEDE K")</f>
        <v>HERA A/ DEDE K</v>
      </c>
      <c r="G1203" s="13">
        <f t="shared" si="1"/>
        <v>1019</v>
      </c>
      <c r="H1203" s="13" t="str">
        <f>IFERROR(__xludf.DUMMYFUNCTION("""COMPUTED_VALUE"""),"P0")</f>
        <v>P0</v>
      </c>
    </row>
    <row r="1204" ht="22.5" customHeight="1">
      <c r="B1204" s="17" t="str">
        <f>IFERROR(__xludf.DUMMYFUNCTION("""COMPUTED_VALUE"""),"K/44/081124/2")</f>
        <v>K/44/081124/2</v>
      </c>
      <c r="C1204" s="17" t="str">
        <f>IFERROR(__xludf.DUMMYFUNCTION("""COMPUTED_VALUE"""),"M. 9662/ KEDAMAIAN")</f>
        <v>M. 9662/ KEDAMAIAN</v>
      </c>
      <c r="D1204" s="17">
        <f>IFERROR(__xludf.DUMMYFUNCTION("""COMPUTED_VALUE"""),45604.60299748843)</f>
        <v>45604.603</v>
      </c>
      <c r="E1204" s="11" t="str">
        <f>IFERROR(__xludf.DUMMYFUNCTION("""COMPUTED_VALUE"""),"GANTI KECAMATAN")</f>
        <v>GANTI KECAMATAN</v>
      </c>
      <c r="F1204" s="11" t="str">
        <f>IFERROR(__xludf.DUMMYFUNCTION("""COMPUTED_VALUE"""),"HERA A/ ZUKI LOEKMAN")</f>
        <v>HERA A/ ZUKI LOEKMAN</v>
      </c>
      <c r="G1204" s="13">
        <f t="shared" si="1"/>
        <v>1020</v>
      </c>
      <c r="H1204" s="13" t="str">
        <f>IFERROR(__xludf.DUMMYFUNCTION("""COMPUTED_VALUE"""),"P0")</f>
        <v>P0</v>
      </c>
    </row>
    <row r="1205" ht="22.5" customHeight="1">
      <c r="B1205" s="17" t="str">
        <f>IFERROR(__xludf.DUMMYFUNCTION("""COMPUTED_VALUE"""),"K/62/311024/3")</f>
        <v>K/62/311024/3</v>
      </c>
      <c r="C1205" s="17" t="str">
        <f>IFERROR(__xludf.DUMMYFUNCTION("""COMPUTED_VALUE"""),"B. 578/ Sumber Agung")</f>
        <v>B. 578/ Sumber Agung</v>
      </c>
      <c r="D1205" s="17">
        <f>IFERROR(__xludf.DUMMYFUNCTION("""COMPUTED_VALUE"""),45604.606182233794)</f>
        <v>45604.60618</v>
      </c>
      <c r="E1205" s="11" t="str">
        <f>IFERROR(__xludf.DUMMYFUNCTION("""COMPUTED_VALUE"""),"BN JUAL BELI")</f>
        <v>BN JUAL BELI</v>
      </c>
      <c r="F1205" s="11" t="str">
        <f>IFERROR(__xludf.DUMMYFUNCTION("""COMPUTED_VALUE"""),"endang aprilia/ billy")</f>
        <v>endang aprilia/ billy</v>
      </c>
      <c r="G1205" s="13">
        <f t="shared" si="1"/>
        <v>1020</v>
      </c>
      <c r="H1205" s="13" t="str">
        <f>IFERROR(__xludf.DUMMYFUNCTION("""COMPUTED_VALUE"""),"P1")</f>
        <v>P1</v>
      </c>
    </row>
    <row r="1206" ht="22.5" customHeight="1">
      <c r="B1206" s="17" t="str">
        <f>IFERROR(__xludf.DUMMYFUNCTION("""COMPUTED_VALUE"""),"L/45/081124/1")</f>
        <v>L/45/081124/1</v>
      </c>
      <c r="C1206" s="17" t="str">
        <f>IFERROR(__xludf.DUMMYFUNCTION("""COMPUTED_VALUE"""),"HGB 4249/BERINGIN RAYA")</f>
        <v>HGB 4249/BERINGIN RAYA</v>
      </c>
      <c r="D1206" s="17">
        <f>IFERROR(__xludf.DUMMYFUNCTION("""COMPUTED_VALUE"""),45604.60696417824)</f>
        <v>45604.60696</v>
      </c>
      <c r="E1206" s="11" t="str">
        <f>IFERROR(__xludf.DUMMYFUNCTION("""COMPUTED_VALUE"""),"GANDES")</f>
        <v>GANDES</v>
      </c>
      <c r="F1206" s="11" t="str">
        <f>IFERROR(__xludf.DUMMYFUNCTION("""COMPUTED_VALUE"""),"JUWITA SARI")</f>
        <v>JUWITA SARI</v>
      </c>
      <c r="G1206" s="13">
        <f t="shared" si="1"/>
        <v>1021</v>
      </c>
      <c r="H1206" s="13" t="str">
        <f>IFERROR(__xludf.DUMMYFUNCTION("""COMPUTED_VALUE"""),"P0")</f>
        <v>P0</v>
      </c>
    </row>
    <row r="1207" ht="22.5" customHeight="1">
      <c r="B1207" s="17" t="str">
        <f>IFERROR(__xludf.DUMMYFUNCTION("""COMPUTED_VALUE"""),"K/42/241024/2")</f>
        <v>K/42/241024/2</v>
      </c>
      <c r="C1207" s="17" t="str">
        <f>IFERROR(__xludf.DUMMYFUNCTION("""COMPUTED_VALUE"""),"HMASRS/ 178/ I/MASRS/Tanjungkarang")</f>
        <v>HMASRS/ 178/ I/MASRS/Tanjungkarang</v>
      </c>
      <c r="D1207" s="17">
        <f>IFERROR(__xludf.DUMMYFUNCTION("""COMPUTED_VALUE"""),45604.60935457176)</f>
        <v>45604.60935</v>
      </c>
      <c r="E1207" s="11" t="str">
        <f>IFERROR(__xludf.DUMMYFUNCTION("""COMPUTED_VALUE"""),"BN Waris")</f>
        <v>BN Waris</v>
      </c>
      <c r="F1207" s="11" t="str">
        <f>IFERROR(__xludf.DUMMYFUNCTION("""COMPUTED_VALUE"""),"Budi K/ Roby Ronaldo")</f>
        <v>Budi K/ Roby Ronaldo</v>
      </c>
      <c r="G1207" s="13">
        <f t="shared" si="1"/>
        <v>1021</v>
      </c>
      <c r="H1207" s="13" t="str">
        <f>IFERROR(__xludf.DUMMYFUNCTION("""COMPUTED_VALUE"""),"P1")</f>
        <v>P1</v>
      </c>
    </row>
    <row r="1208" ht="22.5" customHeight="1">
      <c r="B1208" s="17" t="str">
        <f>IFERROR(__xludf.DUMMYFUNCTION("""COMPUTED_VALUE"""),"K/58/311024/2")</f>
        <v>K/58/311024/2</v>
      </c>
      <c r="C1208" s="17" t="str">
        <f>IFERROR(__xludf.DUMMYFUNCTION("""COMPUTED_VALUE"""),"M. 6488/ Way Kandis")</f>
        <v>M. 6488/ Way Kandis</v>
      </c>
      <c r="D1208" s="17">
        <f>IFERROR(__xludf.DUMMYFUNCTION("""COMPUTED_VALUE"""),45604.61014449074)</f>
        <v>45604.61014</v>
      </c>
      <c r="E1208" s="11" t="str">
        <f>IFERROR(__xludf.DUMMYFUNCTION("""COMPUTED_VALUE"""),"BN JUAL BELI")</f>
        <v>BN JUAL BELI</v>
      </c>
      <c r="F1208" s="11" t="str">
        <f>IFERROR(__xludf.DUMMYFUNCTION("""COMPUTED_VALUE"""),"endang aprilia/ ingga")</f>
        <v>endang aprilia/ ingga</v>
      </c>
      <c r="G1208" s="13">
        <f t="shared" si="1"/>
        <v>1021</v>
      </c>
      <c r="H1208" s="13" t="str">
        <f>IFERROR(__xludf.DUMMYFUNCTION("""COMPUTED_VALUE"""),"P1")</f>
        <v>P1</v>
      </c>
    </row>
    <row r="1209" ht="22.5" customHeight="1">
      <c r="B1209" s="17" t="str">
        <f>IFERROR(__xludf.DUMMYFUNCTION("""COMPUTED_VALUE"""),"K/57/311024/1")</f>
        <v>K/57/311024/1</v>
      </c>
      <c r="C1209" s="17" t="str">
        <f>IFERROR(__xludf.DUMMYFUNCTION("""COMPUTED_VALUE"""),"B. 581/ Sumber Agung")</f>
        <v>B. 581/ Sumber Agung</v>
      </c>
      <c r="D1209" s="17">
        <f>IFERROR(__xludf.DUMMYFUNCTION("""COMPUTED_VALUE"""),45604.610772685184)</f>
        <v>45604.61077</v>
      </c>
      <c r="E1209" s="11" t="str">
        <f>IFERROR(__xludf.DUMMYFUNCTION("""COMPUTED_VALUE"""),"BN JUAL BELI")</f>
        <v>BN JUAL BELI</v>
      </c>
      <c r="F1209" s="11" t="str">
        <f>IFERROR(__xludf.DUMMYFUNCTION("""COMPUTED_VALUE"""),"ENDANG/ ENRIKO")</f>
        <v>ENDANG/ ENRIKO</v>
      </c>
      <c r="G1209" s="13">
        <f t="shared" si="1"/>
        <v>1021</v>
      </c>
      <c r="H1209" s="13" t="str">
        <f>IFERROR(__xludf.DUMMYFUNCTION("""COMPUTED_VALUE"""),"P1")</f>
        <v>P1</v>
      </c>
    </row>
    <row r="1210" ht="22.5" customHeight="1">
      <c r="B1210" s="17" t="str">
        <f>IFERROR(__xludf.DUMMYFUNCTION("""COMPUTED_VALUE"""),"K/18/041124/1")</f>
        <v>K/18/041124/1</v>
      </c>
      <c r="C1210" s="17" t="str">
        <f>IFERROR(__xludf.DUMMYFUNCTION("""COMPUTED_VALUE"""),"M. 2289/ Perumnas Way Halim")</f>
        <v>M. 2289/ Perumnas Way Halim</v>
      </c>
      <c r="D1210" s="17">
        <f>IFERROR(__xludf.DUMMYFUNCTION("""COMPUTED_VALUE"""),45604.61269841435)</f>
        <v>45604.6127</v>
      </c>
      <c r="E1210" s="11" t="str">
        <f>IFERROR(__xludf.DUMMYFUNCTION("""COMPUTED_VALUE"""),"BN Jual Beli")</f>
        <v>BN Jual Beli</v>
      </c>
      <c r="F1210" s="11" t="str">
        <f>IFERROR(__xludf.DUMMYFUNCTION("""COMPUTED_VALUE"""),"Intan Avita S/ Yuly Wina A	")</f>
        <v>Intan Avita S/ Yuly Wina A	</v>
      </c>
      <c r="G1210" s="13">
        <f t="shared" si="1"/>
        <v>1021</v>
      </c>
      <c r="H1210" s="13" t="str">
        <f>IFERROR(__xludf.DUMMYFUNCTION("""COMPUTED_VALUE"""),"P1")</f>
        <v>P1</v>
      </c>
    </row>
    <row r="1211" ht="22.5" customHeight="1">
      <c r="B1211" s="17" t="str">
        <f>IFERROR(__xludf.DUMMYFUNCTION("""COMPUTED_VALUE"""),"K/47/081124/1")</f>
        <v>K/47/081124/1</v>
      </c>
      <c r="C1211" s="17" t="str">
        <f>IFERROR(__xludf.DUMMYFUNCTION("""COMPUTED_VALUE"""),"M.2593/CAMPANG RAYA-SEKARANG;B.2035/CAMPANG RAYA-DAHULU")</f>
        <v>M.2593/CAMPANG RAYA-SEKARANG;B.2035/CAMPANG RAYA-DAHULU</v>
      </c>
      <c r="D1211" s="17">
        <f>IFERROR(__xludf.DUMMYFUNCTION("""COMPUTED_VALUE"""),45604.61389354167)</f>
        <v>45604.61389</v>
      </c>
      <c r="E1211" s="11" t="str">
        <f>IFERROR(__xludf.DUMMYFUNCTION("""COMPUTED_VALUE"""),"ROYA")</f>
        <v>ROYA</v>
      </c>
      <c r="F1211" s="11" t="str">
        <f>IFERROR(__xludf.DUMMYFUNCTION("""COMPUTED_VALUE"""),"ANGGI PRATIWI/ANDRI YULIAN")</f>
        <v>ANGGI PRATIWI/ANDRI YULIAN</v>
      </c>
      <c r="G1211" s="13">
        <f t="shared" si="1"/>
        <v>1022</v>
      </c>
      <c r="H1211" s="13" t="str">
        <f>IFERROR(__xludf.DUMMYFUNCTION("""COMPUTED_VALUE"""),"P0")</f>
        <v>P0</v>
      </c>
    </row>
    <row r="1212" ht="22.5" customHeight="1">
      <c r="B1212" s="17" t="str">
        <f>IFERROR(__xludf.DUMMYFUNCTION("""COMPUTED_VALUE"""),"K/34/291024/1")</f>
        <v>K/34/291024/1</v>
      </c>
      <c r="C1212" s="17" t="str">
        <f>IFERROR(__xludf.DUMMYFUNCTION("""COMPUTED_VALUE"""),"M. 1279/ SUKAJAWA")</f>
        <v>M. 1279/ SUKAJAWA</v>
      </c>
      <c r="D1212" s="17">
        <f>IFERROR(__xludf.DUMMYFUNCTION("""COMPUTED_VALUE"""),45604.61466141204)</f>
        <v>45604.61466</v>
      </c>
      <c r="E1212" s="11" t="str">
        <f>IFERROR(__xludf.DUMMYFUNCTION("""COMPUTED_VALUE"""),"ROYA")</f>
        <v>ROYA</v>
      </c>
      <c r="F1212" s="11" t="str">
        <f>IFERROR(__xludf.DUMMYFUNCTION("""COMPUTED_VALUE"""),"Desi PUSPITA SARI/ MARIMAN")</f>
        <v>Desi PUSPITA SARI/ MARIMAN</v>
      </c>
      <c r="G1212" s="13">
        <f t="shared" si="1"/>
        <v>1022</v>
      </c>
      <c r="H1212" s="13" t="str">
        <f>IFERROR(__xludf.DUMMYFUNCTION("""COMPUTED_VALUE"""),"P1")</f>
        <v>P1</v>
      </c>
    </row>
    <row r="1213" ht="22.5" customHeight="1">
      <c r="B1213" s="17" t="str">
        <f>IFERROR(__xludf.DUMMYFUNCTION("""COMPUTED_VALUE"""),"K/26/291024/1")</f>
        <v>K/26/291024/1</v>
      </c>
      <c r="C1213" s="17" t="str">
        <f>IFERROR(__xludf.DUMMYFUNCTION("""COMPUTED_VALUE"""),"M. 3082/ Labuhan Dalam ")</f>
        <v>M. 3082/ Labuhan Dalam </v>
      </c>
      <c r="D1213" s="17">
        <f>IFERROR(__xludf.DUMMYFUNCTION("""COMPUTED_VALUE"""),45604.61641607639)</f>
        <v>45604.61642</v>
      </c>
      <c r="E1213" s="11" t="str">
        <f>IFERROR(__xludf.DUMMYFUNCTION("""COMPUTED_VALUE"""),"BN Jual Beli")</f>
        <v>BN Jual Beli</v>
      </c>
      <c r="F1213" s="11" t="str">
        <f>IFERROR(__xludf.DUMMYFUNCTION("""COMPUTED_VALUE"""),"Andrianto/ Ryan Aditya")</f>
        <v>Andrianto/ Ryan Aditya</v>
      </c>
      <c r="G1213" s="13">
        <f t="shared" si="1"/>
        <v>1022</v>
      </c>
      <c r="H1213" s="13" t="str">
        <f>IFERROR(__xludf.DUMMYFUNCTION("""COMPUTED_VALUE"""),"P1")</f>
        <v>P1</v>
      </c>
    </row>
    <row r="1214" ht="22.5" customHeight="1">
      <c r="B1214" s="17" t="str">
        <f>IFERROR(__xludf.DUMMYFUNCTION("""COMPUTED_VALUE"""),"K/46/081124/1")</f>
        <v>K/46/081124/1</v>
      </c>
      <c r="C1214" s="17" t="str">
        <f>IFERROR(__xludf.DUMMYFUNCTION("""COMPUTED_VALUE"""),"M. 1450/ Kupang Teba")</f>
        <v>M. 1450/ Kupang Teba</v>
      </c>
      <c r="D1214" s="17">
        <f>IFERROR(__xludf.DUMMYFUNCTION("""COMPUTED_VALUE"""),45604.61834119213)</f>
        <v>45604.61834</v>
      </c>
      <c r="E1214" s="11" t="str">
        <f>IFERROR(__xludf.DUMMYFUNCTION("""COMPUTED_VALUE"""),"BN Jual Beli")</f>
        <v>BN Jual Beli</v>
      </c>
      <c r="F1214" s="11" t="str">
        <f>IFERROR(__xludf.DUMMYFUNCTION("""COMPUTED_VALUE"""),"Mursalin/ Nurul Q")</f>
        <v>Mursalin/ Nurul Q</v>
      </c>
      <c r="G1214" s="13">
        <f t="shared" si="1"/>
        <v>1023</v>
      </c>
      <c r="H1214" s="13" t="str">
        <f>IFERROR(__xludf.DUMMYFUNCTION("""COMPUTED_VALUE"""),"P0")</f>
        <v>P0</v>
      </c>
    </row>
    <row r="1215" ht="22.5" customHeight="1">
      <c r="B1215" s="17" t="str">
        <f>IFERROR(__xludf.DUMMYFUNCTION("""COMPUTED_VALUE"""),"K/37/281024/1")</f>
        <v>K/37/281024/1</v>
      </c>
      <c r="C1215" s="17" t="str">
        <f>IFERROR(__xludf.DUMMYFUNCTION("""COMPUTED_VALUE"""),"M.1602/BUMI KEDAMAIAN")</f>
        <v>M.1602/BUMI KEDAMAIAN</v>
      </c>
      <c r="D1215" s="17">
        <f>IFERROR(__xludf.DUMMYFUNCTION("""COMPUTED_VALUE"""),45604.618654398146)</f>
        <v>45604.61865</v>
      </c>
      <c r="E1215" s="11" t="str">
        <f>IFERROR(__xludf.DUMMYFUNCTION("""COMPUTED_VALUE"""),"BN JUAL BELI")</f>
        <v>BN JUAL BELI</v>
      </c>
      <c r="F1215" s="11" t="str">
        <f>IFERROR(__xludf.DUMMYFUNCTION("""COMPUTED_VALUE"""),"RESTI NUR INDAH O P/ANDRIANTO ")</f>
        <v>RESTI NUR INDAH O P/ANDRIANTO </v>
      </c>
      <c r="G1215" s="13">
        <f t="shared" si="1"/>
        <v>1023</v>
      </c>
      <c r="H1215" s="13" t="str">
        <f>IFERROR(__xludf.DUMMYFUNCTION("""COMPUTED_VALUE"""),"P1")</f>
        <v>P1</v>
      </c>
    </row>
    <row r="1216" ht="22.5" customHeight="1">
      <c r="B1216" s="17" t="str">
        <f>IFERROR(__xludf.DUMMYFUNCTION("""COMPUTED_VALUE"""),"K/38/011124/2")</f>
        <v>K/38/011124/2</v>
      </c>
      <c r="C1216" s="17" t="str">
        <f>IFERROR(__xludf.DUMMYFUNCTION("""COMPUTED_VALUE"""),"M. 141/ Talang (gedung pakuon Talang)")</f>
        <v>M. 141/ Talang (gedung pakuon Talang)</v>
      </c>
      <c r="D1216" s="17">
        <f>IFERROR(__xludf.DUMMYFUNCTION("""COMPUTED_VALUE"""),45604.619108125)</f>
        <v>45604.61911</v>
      </c>
      <c r="E1216" s="11" t="str">
        <f>IFERROR(__xludf.DUMMYFUNCTION("""COMPUTED_VALUE"""),"BN Jual Beli")</f>
        <v>BN Jual Beli</v>
      </c>
      <c r="F1216" s="11" t="str">
        <f>IFERROR(__xludf.DUMMYFUNCTION("""COMPUTED_VALUE"""),"Reflan R/ Hermawati")</f>
        <v>Reflan R/ Hermawati</v>
      </c>
      <c r="G1216" s="13">
        <f t="shared" si="1"/>
        <v>1023</v>
      </c>
      <c r="H1216" s="13" t="str">
        <f>IFERROR(__xludf.DUMMYFUNCTION("""COMPUTED_VALUE"""),"P1")</f>
        <v>P1</v>
      </c>
    </row>
    <row r="1217" ht="22.5" customHeight="1">
      <c r="B1217" s="17" t="str">
        <f>IFERROR(__xludf.DUMMYFUNCTION("""COMPUTED_VALUE"""),"K/37/011124/1")</f>
        <v>K/37/011124/1</v>
      </c>
      <c r="C1217" s="17" t="str">
        <f>IFERROR(__xludf.DUMMYFUNCTION("""COMPUTED_VALUE"""),"M. 429/ Gedong Pakuon	")</f>
        <v>M. 429/ Gedong Pakuon	</v>
      </c>
      <c r="D1217" s="17">
        <f>IFERROR(__xludf.DUMMYFUNCTION("""COMPUTED_VALUE"""),45604.619931469904)</f>
        <v>45604.61993</v>
      </c>
      <c r="E1217" s="11" t="str">
        <f>IFERROR(__xludf.DUMMYFUNCTION("""COMPUTED_VALUE"""),"BN PHB")</f>
        <v>BN PHB</v>
      </c>
      <c r="F1217" s="11" t="str">
        <f>IFERROR(__xludf.DUMMYFUNCTION("""COMPUTED_VALUE"""),"Reflan R/ Andy Suherman	")</f>
        <v>Reflan R/ Andy Suherman	</v>
      </c>
      <c r="G1217" s="13">
        <f t="shared" si="1"/>
        <v>1023</v>
      </c>
      <c r="H1217" s="13" t="str">
        <f>IFERROR(__xludf.DUMMYFUNCTION("""COMPUTED_VALUE"""),"P1")</f>
        <v>P1</v>
      </c>
    </row>
    <row r="1218" ht="22.5" customHeight="1">
      <c r="B1218" s="17" t="str">
        <f>IFERROR(__xludf.DUMMYFUNCTION("""COMPUTED_VALUE"""),"K/48/081124/1")</f>
        <v>K/48/081124/1</v>
      </c>
      <c r="C1218" s="17" t="str">
        <f>IFERROR(__xludf.DUMMYFUNCTION("""COMPUTED_VALUE"""),"M.1114/PEMATANG WANGI")</f>
        <v>M.1114/PEMATANG WANGI</v>
      </c>
      <c r="D1218" s="17">
        <f>IFERROR(__xludf.DUMMYFUNCTION("""COMPUTED_VALUE"""),45604.62036050926)</f>
        <v>45604.62036</v>
      </c>
      <c r="E1218" s="11" t="str">
        <f>IFERROR(__xludf.DUMMYFUNCTION("""COMPUTED_VALUE"""),"PENGECEKAN")</f>
        <v>PENGECEKAN</v>
      </c>
      <c r="F1218" s="11" t="str">
        <f>IFERROR(__xludf.DUMMYFUNCTION("""COMPUTED_VALUE"""),"KOESMIARSIH/NURYATI")</f>
        <v>KOESMIARSIH/NURYATI</v>
      </c>
      <c r="G1218" s="13">
        <f t="shared" si="1"/>
        <v>1024</v>
      </c>
      <c r="H1218" s="13" t="str">
        <f>IFERROR(__xludf.DUMMYFUNCTION("""COMPUTED_VALUE"""),"P0")</f>
        <v>P0</v>
      </c>
    </row>
    <row r="1219" ht="22.5" customHeight="1">
      <c r="B1219" s="17" t="str">
        <f>IFERROR(__xludf.DUMMYFUNCTION("""COMPUTED_VALUE"""),"K/30/291024/1")</f>
        <v>K/30/291024/1</v>
      </c>
      <c r="C1219" s="17" t="str">
        <f>IFERROR(__xludf.DUMMYFUNCTION("""COMPUTED_VALUE"""),"M. 1891/ Beringin Jaya; M. 1233/ Beringin Jaya-dahulu")</f>
        <v>M. 1891/ Beringin Jaya; M. 1233/ Beringin Jaya-dahulu</v>
      </c>
      <c r="D1219" s="17">
        <f>IFERROR(__xludf.DUMMYFUNCTION("""COMPUTED_VALUE"""),45604.622961608795)</f>
        <v>45604.62296</v>
      </c>
      <c r="E1219" s="11" t="str">
        <f>IFERROR(__xludf.DUMMYFUNCTION("""COMPUTED_VALUE"""),"PTPGT (Pemecahan)")</f>
        <v>PTPGT (Pemecahan)</v>
      </c>
      <c r="F1219" s="11" t="str">
        <f>IFERROR(__xludf.DUMMYFUNCTION("""COMPUTED_VALUE"""),"I Made R/ Miswanto	")</f>
        <v>I Made R/ Miswanto	</v>
      </c>
      <c r="G1219" s="13">
        <f t="shared" si="1"/>
        <v>1024</v>
      </c>
      <c r="H1219" s="13" t="str">
        <f>IFERROR(__xludf.DUMMYFUNCTION("""COMPUTED_VALUE"""),"P1")</f>
        <v>P1</v>
      </c>
    </row>
    <row r="1220" ht="22.5" customHeight="1">
      <c r="B1220" s="17" t="str">
        <f>IFERROR(__xludf.DUMMYFUNCTION("""COMPUTED_VALUE"""),"K/49/081124/1")</f>
        <v>K/49/081124/1</v>
      </c>
      <c r="C1220" s="17" t="str">
        <f>IFERROR(__xludf.DUMMYFUNCTION("""COMPUTED_VALUE"""),"M. 3493/ Kota Baru")</f>
        <v>M. 3493/ Kota Baru</v>
      </c>
      <c r="D1220" s="17">
        <f>IFERROR(__xludf.DUMMYFUNCTION("""COMPUTED_VALUE"""),45604.625023229164)</f>
        <v>45604.62502</v>
      </c>
      <c r="E1220" s="11" t="str">
        <f>IFERROR(__xludf.DUMMYFUNCTION("""COMPUTED_VALUE"""),"BN JUAL BELI")</f>
        <v>BN JUAL BELI</v>
      </c>
      <c r="F1220" s="11" t="str">
        <f>IFERROR(__xludf.DUMMYFUNCTION("""COMPUTED_VALUE"""),"RIKA WISANGRATRI")</f>
        <v>RIKA WISANGRATRI</v>
      </c>
      <c r="G1220" s="13">
        <f t="shared" si="1"/>
        <v>1025</v>
      </c>
      <c r="H1220" s="13" t="str">
        <f>IFERROR(__xludf.DUMMYFUNCTION("""COMPUTED_VALUE"""),"P0")</f>
        <v>P0</v>
      </c>
    </row>
    <row r="1221" ht="22.5" customHeight="1">
      <c r="B1221" s="17" t="str">
        <f>IFERROR(__xludf.DUMMYFUNCTION("""COMPUTED_VALUE"""),"K/23/041124/3")</f>
        <v>K/23/041124/3</v>
      </c>
      <c r="C1221" s="17" t="str">
        <f>IFERROR(__xludf.DUMMYFUNCTION("""COMPUTED_VALUE"""),"NIBEL B.3071.1/KETEGUHAN")</f>
        <v>NIBEL B.3071.1/KETEGUHAN</v>
      </c>
      <c r="D1221" s="17">
        <f>IFERROR(__xludf.DUMMYFUNCTION("""COMPUTED_VALUE"""),45604.63098809028)</f>
        <v>45604.63099</v>
      </c>
      <c r="E1221" s="11" t="str">
        <f>IFERROR(__xludf.DUMMYFUNCTION("""COMPUTED_VALUE"""),"BN JUAL BELI")</f>
        <v>BN JUAL BELI</v>
      </c>
      <c r="F1221" s="11" t="str">
        <f>IFERROR(__xludf.DUMMYFUNCTION("""COMPUTED_VALUE"""),"ERIC TJONG/AFRIZAL")</f>
        <v>ERIC TJONG/AFRIZAL</v>
      </c>
      <c r="G1221" s="13">
        <f t="shared" si="1"/>
        <v>1025</v>
      </c>
      <c r="H1221" s="13" t="str">
        <f>IFERROR(__xludf.DUMMYFUNCTION("""COMPUTED_VALUE"""),"P1")</f>
        <v>P1</v>
      </c>
    </row>
    <row r="1222" ht="22.5" customHeight="1">
      <c r="B1222" s="17" t="str">
        <f>IFERROR(__xludf.DUMMYFUNCTION("""COMPUTED_VALUE"""),"K/50/081124/1")</f>
        <v>K/50/081124/1</v>
      </c>
      <c r="C1222" s="17" t="str">
        <f>IFERROR(__xludf.DUMMYFUNCTION("""COMPUTED_VALUE"""),"B. 1183/ Sukabumi Indah")</f>
        <v>B. 1183/ Sukabumi Indah</v>
      </c>
      <c r="D1222" s="17">
        <f>IFERROR(__xludf.DUMMYFUNCTION("""COMPUTED_VALUE"""),45604.632405185184)</f>
        <v>45604.63241</v>
      </c>
      <c r="E1222" s="11" t="str">
        <f>IFERROR(__xludf.DUMMYFUNCTION("""COMPUTED_VALUE"""),"Pengukuran HGB Berakhir")</f>
        <v>Pengukuran HGB Berakhir</v>
      </c>
      <c r="F1222" s="11" t="str">
        <f>IFERROR(__xludf.DUMMYFUNCTION("""COMPUTED_VALUE"""),"I Made R/ Ning Surahman Cs")</f>
        <v>I Made R/ Ning Surahman Cs</v>
      </c>
      <c r="G1222" s="13">
        <f t="shared" si="1"/>
        <v>1026</v>
      </c>
      <c r="H1222" s="13" t="str">
        <f>IFERROR(__xludf.DUMMYFUNCTION("""COMPUTED_VALUE"""),"P0")</f>
        <v>P0</v>
      </c>
    </row>
    <row r="1223" ht="22.5" customHeight="1">
      <c r="B1223" s="17" t="str">
        <f>IFERROR(__xludf.DUMMYFUNCTION("""COMPUTED_VALUE"""),"K/51/081124/1")</f>
        <v>K/51/081124/1</v>
      </c>
      <c r="C1223" s="17" t="str">
        <f>IFERROR(__xludf.DUMMYFUNCTION("""COMPUTED_VALUE"""),"M. 541/ SAWAH LAMA")</f>
        <v>M. 541/ SAWAH LAMA</v>
      </c>
      <c r="D1223" s="17">
        <f>IFERROR(__xludf.DUMMYFUNCTION("""COMPUTED_VALUE"""),45604.633179004624)</f>
        <v>45604.63318</v>
      </c>
      <c r="E1223" s="11" t="str">
        <f>IFERROR(__xludf.DUMMYFUNCTION("""COMPUTED_VALUE"""),"BN HIBAH")</f>
        <v>BN HIBAH</v>
      </c>
      <c r="F1223" s="11" t="str">
        <f>IFERROR(__xludf.DUMMYFUNCTION("""COMPUTED_VALUE"""),"RENI FEBRIANI / YUNINGSIH AMBARYANI")</f>
        <v>RENI FEBRIANI / YUNINGSIH AMBARYANI</v>
      </c>
      <c r="G1223" s="13">
        <f t="shared" si="1"/>
        <v>1027</v>
      </c>
      <c r="H1223" s="13" t="str">
        <f>IFERROR(__xludf.DUMMYFUNCTION("""COMPUTED_VALUE"""),"P0")</f>
        <v>P0</v>
      </c>
    </row>
    <row r="1224" ht="22.5" customHeight="1">
      <c r="B1224" s="17" t="str">
        <f>IFERROR(__xludf.DUMMYFUNCTION("""COMPUTED_VALUE"""),"K/52/081124/2")</f>
        <v>K/52/081124/2</v>
      </c>
      <c r="C1224" s="17" t="str">
        <f>IFERROR(__xludf.DUMMYFUNCTION("""COMPUTED_VALUE"""),"M. 19646/ Sukarame")</f>
        <v>M. 19646/ Sukarame</v>
      </c>
      <c r="D1224" s="17">
        <f>IFERROR(__xludf.DUMMYFUNCTION("""COMPUTED_VALUE"""),45604.639242708334)</f>
        <v>45604.63924</v>
      </c>
      <c r="E1224" s="11" t="str">
        <f>IFERROR(__xludf.DUMMYFUNCTION("""COMPUTED_VALUE"""),"BN Jual Beli")</f>
        <v>BN Jual Beli</v>
      </c>
      <c r="F1224" s="11" t="str">
        <f>IFERROR(__xludf.DUMMYFUNCTION("""COMPUTED_VALUE"""),"I Made R/ Desy Malia")</f>
        <v>I Made R/ Desy Malia</v>
      </c>
      <c r="G1224" s="13">
        <f t="shared" si="1"/>
        <v>1028</v>
      </c>
      <c r="H1224" s="13" t="str">
        <f>IFERROR(__xludf.DUMMYFUNCTION("""COMPUTED_VALUE"""),"P0")</f>
        <v>P0</v>
      </c>
    </row>
    <row r="1225" ht="22.5" customHeight="1">
      <c r="B1225" s="17" t="str">
        <f>IFERROR(__xludf.DUMMYFUNCTION("""COMPUTED_VALUE"""),"K/53/081124/1")</f>
        <v>K/53/081124/1</v>
      </c>
      <c r="C1225" s="17" t="str">
        <f>IFERROR(__xludf.DUMMYFUNCTION("""COMPUTED_VALUE"""),"M. 324/ Korpri Raya")</f>
        <v>M. 324/ Korpri Raya</v>
      </c>
      <c r="D1225" s="17">
        <f>IFERROR(__xludf.DUMMYFUNCTION("""COMPUTED_VALUE"""),45604.642175381945)</f>
        <v>45604.64218</v>
      </c>
      <c r="E1225" s="11" t="str">
        <f>IFERROR(__xludf.DUMMYFUNCTION("""COMPUTED_VALUE"""),"BN Hibah")</f>
        <v>BN Hibah</v>
      </c>
      <c r="F1225" s="11" t="str">
        <f>IFERROR(__xludf.DUMMYFUNCTION("""COMPUTED_VALUE"""),"Rendy Ry/ Okta Rika")</f>
        <v>Rendy Ry/ Okta Rika</v>
      </c>
      <c r="G1225" s="13">
        <f t="shared" si="1"/>
        <v>1029</v>
      </c>
      <c r="H1225" s="13" t="str">
        <f>IFERROR(__xludf.DUMMYFUNCTION("""COMPUTED_VALUE"""),"P0")</f>
        <v>P0</v>
      </c>
    </row>
    <row r="1226" ht="22.5" customHeight="1">
      <c r="B1226" s="17" t="str">
        <f>IFERROR(__xludf.DUMMYFUNCTION("""COMPUTED_VALUE"""),"K/45/041124/1")</f>
        <v>K/45/041124/1</v>
      </c>
      <c r="C1226" s="17" t="str">
        <f>IFERROR(__xludf.DUMMYFUNCTION("""COMPUTED_VALUE"""),"B. 756/ Sumur Putri")</f>
        <v>B. 756/ Sumur Putri</v>
      </c>
      <c r="D1226" s="17">
        <f>IFERROR(__xludf.DUMMYFUNCTION("""COMPUTED_VALUE"""),45607.35736638889)</f>
        <v>45607.35737</v>
      </c>
      <c r="E1226" s="11" t="str">
        <f>IFERROR(__xludf.DUMMYFUNCTION("""COMPUTED_VALUE"""),"BN JUAL BEL")</f>
        <v>BN JUAL BEL</v>
      </c>
      <c r="F1226" s="11" t="str">
        <f>IFERROR(__xludf.DUMMYFUNCTION("""COMPUTED_VALUE"""),"PERIU HALIM/ EVA SURIANI")</f>
        <v>PERIU HALIM/ EVA SURIANI</v>
      </c>
      <c r="G1226" s="13">
        <f t="shared" si="1"/>
        <v>1029</v>
      </c>
      <c r="H1226" s="13" t="str">
        <f>IFERROR(__xludf.DUMMYFUNCTION("""COMPUTED_VALUE"""),"P1")</f>
        <v>P1</v>
      </c>
    </row>
    <row r="1227" ht="22.5" customHeight="1">
      <c r="B1227" s="17" t="str">
        <f>IFERROR(__xludf.DUMMYFUNCTION("""COMPUTED_VALUE"""),"K/10/311024/4")</f>
        <v>K/10/311024/4</v>
      </c>
      <c r="C1227" s="17" t="str">
        <f>IFERROR(__xludf.DUMMYFUNCTION("""COMPUTED_VALUE"""),"M.1563/KEMILING PERMAI")</f>
        <v>M.1563/KEMILING PERMAI</v>
      </c>
      <c r="D1227" s="17">
        <f>IFERROR(__xludf.DUMMYFUNCTION("""COMPUTED_VALUE"""),45607.371779444446)</f>
        <v>45607.37178</v>
      </c>
      <c r="E1227" s="11" t="str">
        <f>IFERROR(__xludf.DUMMYFUNCTION("""COMPUTED_VALUE"""),"KEWARISAN")</f>
        <v>KEWARISAN</v>
      </c>
      <c r="F1227" s="11" t="str">
        <f>IFERROR(__xludf.DUMMYFUNCTION("""COMPUTED_VALUE"""),"NOVI FIRDAYANTI CS/EDYAWATI")</f>
        <v>NOVI FIRDAYANTI CS/EDYAWATI</v>
      </c>
      <c r="G1227" s="13">
        <f t="shared" si="1"/>
        <v>1029</v>
      </c>
      <c r="H1227" s="13" t="str">
        <f>IFERROR(__xludf.DUMMYFUNCTION("""COMPUTED_VALUE"""),"P1")</f>
        <v>P1</v>
      </c>
    </row>
    <row r="1228" ht="22.5" customHeight="1">
      <c r="B1228" s="17" t="str">
        <f>IFERROR(__xludf.DUMMYFUNCTION("""COMPUTED_VALUE"""),"K/1/091124/1")</f>
        <v>K/1/091124/1</v>
      </c>
      <c r="C1228" s="17" t="str">
        <f>IFERROR(__xludf.DUMMYFUNCTION("""COMPUTED_VALUE"""),"M. 9754/KEDAMAIAN")</f>
        <v>M. 9754/KEDAMAIAN</v>
      </c>
      <c r="D1228" s="17">
        <f>IFERROR(__xludf.DUMMYFUNCTION("""COMPUTED_VALUE"""),45607.37377097222)</f>
        <v>45607.37377</v>
      </c>
      <c r="E1228" s="11" t="str">
        <f>IFERROR(__xludf.DUMMYFUNCTION("""COMPUTED_VALUE"""),"PLOTTING")</f>
        <v>PLOTTING</v>
      </c>
      <c r="F1228" s="11" t="str">
        <f>IFERROR(__xludf.DUMMYFUNCTION("""COMPUTED_VALUE"""),"RIA NATALYA / THEN EFFENDY")</f>
        <v>RIA NATALYA / THEN EFFENDY</v>
      </c>
      <c r="G1228" s="13">
        <f t="shared" si="1"/>
        <v>1030</v>
      </c>
      <c r="H1228" s="13" t="str">
        <f>IFERROR(__xludf.DUMMYFUNCTION("""COMPUTED_VALUE"""),"P0")</f>
        <v>P0</v>
      </c>
    </row>
    <row r="1229" ht="22.5" customHeight="1">
      <c r="B1229" s="17" t="str">
        <f>IFERROR(__xludf.DUMMYFUNCTION("""COMPUTED_VALUE"""),"K/2/111124/1")</f>
        <v>K/2/111124/1</v>
      </c>
      <c r="C1229" s="17" t="str">
        <f>IFERROR(__xludf.DUMMYFUNCTION("""COMPUTED_VALUE"""),"Nibel 3185/ Beringin Raya")</f>
        <v>Nibel 3185/ Beringin Raya</v>
      </c>
      <c r="D1229" s="17">
        <f>IFERROR(__xludf.DUMMYFUNCTION("""COMPUTED_VALUE"""),45607.42112135417)</f>
        <v>45607.42112</v>
      </c>
      <c r="E1229" s="11" t="str">
        <f>IFERROR(__xludf.DUMMYFUNCTION("""COMPUTED_VALUE"""),"BN JUAL BELI")</f>
        <v>BN JUAL BELI</v>
      </c>
      <c r="F1229" s="11" t="str">
        <f>IFERROR(__xludf.DUMMYFUNCTION("""COMPUTED_VALUE"""),"EVA SURIANI/ DWI ARIYANTI")</f>
        <v>EVA SURIANI/ DWI ARIYANTI</v>
      </c>
      <c r="G1229" s="13">
        <f t="shared" si="1"/>
        <v>1031</v>
      </c>
      <c r="H1229" s="13" t="str">
        <f>IFERROR(__xludf.DUMMYFUNCTION("""COMPUTED_VALUE"""),"P0")</f>
        <v>P0</v>
      </c>
    </row>
    <row r="1230" ht="22.5" customHeight="1">
      <c r="B1230" s="17" t="str">
        <f>IFERROR(__xludf.DUMMYFUNCTION("""COMPUTED_VALUE"""),"L/3/111124/1")</f>
        <v>L/3/111124/1</v>
      </c>
      <c r="C1230" s="17" t="str">
        <f>IFERROR(__xludf.DUMMYFUNCTION("""COMPUTED_VALUE"""),"HM 11988/LABUHAN RATU")</f>
        <v>HM 11988/LABUHAN RATU</v>
      </c>
      <c r="D1230" s="17">
        <f>IFERROR(__xludf.DUMMYFUNCTION("""COMPUTED_VALUE"""),45607.38600722222)</f>
        <v>45607.38601</v>
      </c>
      <c r="E1230" s="11" t="str">
        <f>IFERROR(__xludf.DUMMYFUNCTION("""COMPUTED_VALUE"""),"ROYA")</f>
        <v>ROYA</v>
      </c>
      <c r="F1230" s="11" t="str">
        <f>IFERROR(__xludf.DUMMYFUNCTION("""COMPUTED_VALUE"""),"MARGIE BRITE")</f>
        <v>MARGIE BRITE</v>
      </c>
      <c r="G1230" s="13">
        <f t="shared" si="1"/>
        <v>1032</v>
      </c>
      <c r="H1230" s="13" t="str">
        <f>IFERROR(__xludf.DUMMYFUNCTION("""COMPUTED_VALUE"""),"P0")</f>
        <v>P0</v>
      </c>
    </row>
    <row r="1231" ht="22.5" customHeight="1">
      <c r="B1231" s="17" t="str">
        <f>IFERROR(__xludf.DUMMYFUNCTION("""COMPUTED_VALUE"""),"K/4/111124/1")</f>
        <v>K/4/111124/1</v>
      </c>
      <c r="C1231" s="17" t="str">
        <f>IFERROR(__xludf.DUMMYFUNCTION("""COMPUTED_VALUE"""),"M.103/PINANG JAYA")</f>
        <v>M.103/PINANG JAYA</v>
      </c>
      <c r="D1231" s="17">
        <f>IFERROR(__xludf.DUMMYFUNCTION("""COMPUTED_VALUE"""),45607.40299002315)</f>
        <v>45607.40299</v>
      </c>
      <c r="E1231" s="11" t="str">
        <f>IFERROR(__xludf.DUMMYFUNCTION("""COMPUTED_VALUE"""),"PLOTING")</f>
        <v>PLOTING</v>
      </c>
      <c r="F1231" s="11" t="str">
        <f>IFERROR(__xludf.DUMMYFUNCTION("""COMPUTED_VALUE"""),"KOMARUZZAMAN /RENALDI PRATAMA SIRYA")</f>
        <v>KOMARUZZAMAN /RENALDI PRATAMA SIRYA</v>
      </c>
      <c r="G1231" s="13">
        <f t="shared" si="1"/>
        <v>1033</v>
      </c>
      <c r="H1231" s="13" t="str">
        <f>IFERROR(__xludf.DUMMYFUNCTION("""COMPUTED_VALUE"""),"P0")</f>
        <v>P0</v>
      </c>
    </row>
    <row r="1232" ht="22.5" customHeight="1">
      <c r="B1232" s="17" t="str">
        <f>IFERROR(__xludf.DUMMYFUNCTION("""COMPUTED_VALUE"""),"K/7/111124/1")</f>
        <v>K/7/111124/1</v>
      </c>
      <c r="C1232" s="17" t="str">
        <f>IFERROR(__xludf.DUMMYFUNCTION("""COMPUTED_VALUE"""),"M.1550/BUMI KEDAMAIAN-SEKARANG;M.6824/KEDAMAIAN-DAHULU")</f>
        <v>M.1550/BUMI KEDAMAIAN-SEKARANG;M.6824/KEDAMAIAN-DAHULU</v>
      </c>
      <c r="D1232" s="17">
        <f>IFERROR(__xludf.DUMMYFUNCTION("""COMPUTED_VALUE"""),45607.410950439815)</f>
        <v>45607.41095</v>
      </c>
      <c r="E1232" s="11" t="str">
        <f>IFERROR(__xludf.DUMMYFUNCTION("""COMPUTED_VALUE"""),"PLOTING")</f>
        <v>PLOTING</v>
      </c>
      <c r="F1232" s="11" t="str">
        <f>IFERROR(__xludf.DUMMYFUNCTION("""COMPUTED_VALUE"""),"IMELDA MARGARETHA/RIA NATALYA")</f>
        <v>IMELDA MARGARETHA/RIA NATALYA</v>
      </c>
      <c r="G1232" s="13">
        <f t="shared" si="1"/>
        <v>1034</v>
      </c>
      <c r="H1232" s="13" t="str">
        <f>IFERROR(__xludf.DUMMYFUNCTION("""COMPUTED_VALUE"""),"P0")</f>
        <v>P0</v>
      </c>
    </row>
    <row r="1233" ht="22.5" customHeight="1">
      <c r="B1233" s="17" t="str">
        <f>IFERROR(__xludf.DUMMYFUNCTION("""COMPUTED_VALUE"""),"K/5/111124/1")</f>
        <v>K/5/111124/1</v>
      </c>
      <c r="C1233" s="17" t="str">
        <f>IFERROR(__xludf.DUMMYFUNCTION("""COMPUTED_VALUE"""),"M. 1638/ Bumi Kedamaian")</f>
        <v>M. 1638/ Bumi Kedamaian</v>
      </c>
      <c r="D1233" s="17">
        <f>IFERROR(__xludf.DUMMYFUNCTION("""COMPUTED_VALUE"""),45607.411996111114)</f>
        <v>45607.412</v>
      </c>
      <c r="E1233" s="11" t="str">
        <f>IFERROR(__xludf.DUMMYFUNCTION("""COMPUTED_VALUE"""),"BN Waris")</f>
        <v>BN Waris</v>
      </c>
      <c r="F1233" s="11" t="str">
        <f>IFERROR(__xludf.DUMMYFUNCTION("""COMPUTED_VALUE"""),"Evi Udin/ Rachel Risiana")</f>
        <v>Evi Udin/ Rachel Risiana</v>
      </c>
      <c r="G1233" s="13">
        <f t="shared" si="1"/>
        <v>1035</v>
      </c>
      <c r="H1233" s="13" t="str">
        <f>IFERROR(__xludf.DUMMYFUNCTION("""COMPUTED_VALUE"""),"P0")</f>
        <v>P0</v>
      </c>
    </row>
    <row r="1234" ht="22.5" customHeight="1">
      <c r="B1234" s="17" t="str">
        <f>IFERROR(__xludf.DUMMYFUNCTION("""COMPUTED_VALUE"""),"K/6/111124/2")</f>
        <v>K/6/111124/2</v>
      </c>
      <c r="C1234" s="17" t="str">
        <f>IFERROR(__xludf.DUMMYFUNCTION("""COMPUTED_VALUE"""),"M. 9657/ Labuhan Ratu")</f>
        <v>M. 9657/ Labuhan Ratu</v>
      </c>
      <c r="D1234" s="17">
        <f>IFERROR(__xludf.DUMMYFUNCTION("""COMPUTED_VALUE"""),45607.41286931713)</f>
        <v>45607.41287</v>
      </c>
      <c r="E1234" s="11" t="str">
        <f>IFERROR(__xludf.DUMMYFUNCTION("""COMPUTED_VALUE"""),"BN Waris")</f>
        <v>BN Waris</v>
      </c>
      <c r="F1234" s="11" t="str">
        <f>IFERROR(__xludf.DUMMYFUNCTION("""COMPUTED_VALUE"""),"EVi Udin/ Hwa Nio Cs")</f>
        <v>EVi Udin/ Hwa Nio Cs</v>
      </c>
      <c r="G1234" s="13">
        <f t="shared" si="1"/>
        <v>1036</v>
      </c>
      <c r="H1234" s="13" t="str">
        <f>IFERROR(__xludf.DUMMYFUNCTION("""COMPUTED_VALUE"""),"P0")</f>
        <v>P0</v>
      </c>
    </row>
    <row r="1235" ht="22.5" customHeight="1">
      <c r="B1235" s="17" t="str">
        <f>IFERROR(__xludf.DUMMYFUNCTION("""COMPUTED_VALUE"""),"K/9/041124/1")</f>
        <v>K/9/041124/1</v>
      </c>
      <c r="C1235" s="17" t="str">
        <f>IFERROR(__xludf.DUMMYFUNCTION("""COMPUTED_VALUE"""),"NIBEL B.640/CAMPANG RAYA")</f>
        <v>NIBEL B.640/CAMPANG RAYA</v>
      </c>
      <c r="D1235" s="17">
        <f>IFERROR(__xludf.DUMMYFUNCTION("""COMPUTED_VALUE"""),45607.419032881946)</f>
        <v>45607.41903</v>
      </c>
      <c r="E1235" s="11" t="str">
        <f>IFERROR(__xludf.DUMMYFUNCTION("""COMPUTED_VALUE"""),"BN JUAL BELI")</f>
        <v>BN JUAL BELI</v>
      </c>
      <c r="F1235" s="11" t="str">
        <f>IFERROR(__xludf.DUMMYFUNCTION("""COMPUTED_VALUE"""),"PT CIPTA ABADI PRIMA SEJAHTERA/WHINDA YULIANTI")</f>
        <v>PT CIPTA ABADI PRIMA SEJAHTERA/WHINDA YULIANTI</v>
      </c>
      <c r="G1235" s="13">
        <f t="shared" si="1"/>
        <v>1036</v>
      </c>
      <c r="H1235" s="13" t="str">
        <f>IFERROR(__xludf.DUMMYFUNCTION("""COMPUTED_VALUE"""),"P1")</f>
        <v>P1</v>
      </c>
    </row>
    <row r="1236" ht="22.5" customHeight="1">
      <c r="B1236" s="17" t="str">
        <f>IFERROR(__xludf.DUMMYFUNCTION("""COMPUTED_VALUE"""),"K/13/041124/4")</f>
        <v>K/13/041124/4</v>
      </c>
      <c r="C1236" s="17" t="str">
        <f>IFERROR(__xludf.DUMMYFUNCTION("""COMPUTED_VALUE"""),"NIBEL B.507/GUNUNG SULAH")</f>
        <v>NIBEL B.507/GUNUNG SULAH</v>
      </c>
      <c r="D1236" s="17">
        <f>IFERROR(__xludf.DUMMYFUNCTION("""COMPUTED_VALUE"""),45607.420155879634)</f>
        <v>45607.42016</v>
      </c>
      <c r="E1236" s="11" t="str">
        <f>IFERROR(__xludf.DUMMYFUNCTION("""COMPUTED_VALUE"""),"BN JUAL BELI")</f>
        <v>BN JUAL BELI</v>
      </c>
      <c r="F1236" s="11" t="str">
        <f>IFERROR(__xludf.DUMMYFUNCTION("""COMPUTED_VALUE"""),"PT GUNUNG SULAH MEDIKA/WHINDA YULIANTI")</f>
        <v>PT GUNUNG SULAH MEDIKA/WHINDA YULIANTI</v>
      </c>
      <c r="G1236" s="13">
        <f t="shared" si="1"/>
        <v>1036</v>
      </c>
      <c r="H1236" s="13" t="str">
        <f>IFERROR(__xludf.DUMMYFUNCTION("""COMPUTED_VALUE"""),"P1")</f>
        <v>P1</v>
      </c>
    </row>
    <row r="1237" ht="22.5" customHeight="1">
      <c r="B1237" s="17" t="str">
        <f>IFERROR(__xludf.DUMMYFUNCTION("""COMPUTED_VALUE"""),"K/24/051124/2")</f>
        <v>K/24/051124/2</v>
      </c>
      <c r="C1237" s="17" t="str">
        <f>IFERROR(__xludf.DUMMYFUNCTION("""COMPUTED_VALUE"""),"Nibel 504/ Gunung Sulah")</f>
        <v>Nibel 504/ Gunung Sulah</v>
      </c>
      <c r="D1237" s="17">
        <f>IFERROR(__xludf.DUMMYFUNCTION("""COMPUTED_VALUE"""),45607.421702673615)</f>
        <v>45607.4217</v>
      </c>
      <c r="E1237" s="11" t="str">
        <f>IFERROR(__xludf.DUMMYFUNCTION("""COMPUTED_VALUE"""),"BN JUAL BELI")</f>
        <v>BN JUAL BELI</v>
      </c>
      <c r="F1237" s="11" t="str">
        <f>IFERROR(__xludf.DUMMYFUNCTION("""COMPUTED_VALUE"""),"whinda y/ soewondo")</f>
        <v>whinda y/ soewondo</v>
      </c>
      <c r="G1237" s="13">
        <f t="shared" si="1"/>
        <v>1036</v>
      </c>
      <c r="H1237" s="13" t="str">
        <f>IFERROR(__xludf.DUMMYFUNCTION("""COMPUTED_VALUE"""),"P1")</f>
        <v>P1</v>
      </c>
    </row>
    <row r="1238" ht="22.5" customHeight="1">
      <c r="B1238" s="17" t="str">
        <f>IFERROR(__xludf.DUMMYFUNCTION("""COMPUTED_VALUE"""),"K/36/011124/2")</f>
        <v>K/36/011124/2</v>
      </c>
      <c r="C1238" s="17" t="str">
        <f>IFERROR(__xludf.DUMMYFUNCTION("""COMPUTED_VALUE"""),"Nibel 626/ Campang Raya")</f>
        <v>Nibel 626/ Campang Raya</v>
      </c>
      <c r="D1238" s="17">
        <f>IFERROR(__xludf.DUMMYFUNCTION("""COMPUTED_VALUE"""),45607.42278502315)</f>
        <v>45607.42279</v>
      </c>
      <c r="E1238" s="11" t="str">
        <f>IFERROR(__xludf.DUMMYFUNCTION("""COMPUTED_VALUE"""),"BN JUAL BELI")</f>
        <v>BN JUAL BELI</v>
      </c>
      <c r="F1238" s="11" t="str">
        <f>IFERROR(__xludf.DUMMYFUNCTION("""COMPUTED_VALUE"""),"WHINDA Y")</f>
        <v>WHINDA Y</v>
      </c>
      <c r="G1238" s="13">
        <f t="shared" si="1"/>
        <v>1036</v>
      </c>
      <c r="H1238" s="13" t="str">
        <f>IFERROR(__xludf.DUMMYFUNCTION("""COMPUTED_VALUE"""),"P1")</f>
        <v>P1</v>
      </c>
    </row>
    <row r="1239" ht="22.5" customHeight="1">
      <c r="B1239" s="17" t="str">
        <f>IFERROR(__xludf.DUMMYFUNCTION("""COMPUTED_VALUE"""),"K/23/051124/1")</f>
        <v>K/23/051124/1</v>
      </c>
      <c r="C1239" s="17" t="str">
        <f>IFERROR(__xludf.DUMMYFUNCTION("""COMPUTED_VALUE"""),"Nibel 641/ Gunung Sulah")</f>
        <v>Nibel 641/ Gunung Sulah</v>
      </c>
      <c r="D1239" s="17">
        <f>IFERROR(__xludf.DUMMYFUNCTION("""COMPUTED_VALUE"""),45607.423734930555)</f>
        <v>45607.42373</v>
      </c>
      <c r="E1239" s="11" t="str">
        <f>IFERROR(__xludf.DUMMYFUNCTION("""COMPUTED_VALUE"""),"BN JUAL BELI")</f>
        <v>BN JUAL BELI</v>
      </c>
      <c r="F1239" s="11" t="str">
        <f>IFERROR(__xludf.DUMMYFUNCTION("""COMPUTED_VALUE"""),"WHINDA Y/ SOEWONDO")</f>
        <v>WHINDA Y/ SOEWONDO</v>
      </c>
      <c r="G1239" s="13">
        <f t="shared" si="1"/>
        <v>1036</v>
      </c>
      <c r="H1239" s="13" t="str">
        <f>IFERROR(__xludf.DUMMYFUNCTION("""COMPUTED_VALUE"""),"P1")</f>
        <v>P1</v>
      </c>
    </row>
    <row r="1240" ht="22.5" customHeight="1">
      <c r="B1240" s="17" t="str">
        <f>IFERROR(__xludf.DUMMYFUNCTION("""COMPUTED_VALUE"""),"K/36/041124/2")</f>
        <v>K/36/041124/2</v>
      </c>
      <c r="C1240" s="17" t="str">
        <f>IFERROR(__xludf.DUMMYFUNCTION("""COMPUTED_VALUE"""),"M. 10227/ Segala Mider")</f>
        <v>M. 10227/ Segala Mider</v>
      </c>
      <c r="D1240" s="17">
        <f>IFERROR(__xludf.DUMMYFUNCTION("""COMPUTED_VALUE"""),45607.424735162036)</f>
        <v>45607.42474</v>
      </c>
      <c r="E1240" s="11" t="str">
        <f>IFERROR(__xludf.DUMMYFUNCTION("""COMPUTED_VALUE"""),"roya")</f>
        <v>roya</v>
      </c>
      <c r="F1240" s="11" t="str">
        <f>IFERROR(__xludf.DUMMYFUNCTION("""COMPUTED_VALUE"""),"sri Fatria/ nur hayati")</f>
        <v>sri Fatria/ nur hayati</v>
      </c>
      <c r="G1240" s="13">
        <f t="shared" si="1"/>
        <v>1036</v>
      </c>
      <c r="H1240" s="13" t="str">
        <f>IFERROR(__xludf.DUMMYFUNCTION("""COMPUTED_VALUE"""),"P1")</f>
        <v>P1</v>
      </c>
    </row>
    <row r="1241" ht="22.5" customHeight="1">
      <c r="B1241" s="17" t="str">
        <f>IFERROR(__xludf.DUMMYFUNCTION("""COMPUTED_VALUE"""),"K/8/111124/1")</f>
        <v>K/8/111124/1</v>
      </c>
      <c r="C1241" s="17" t="str">
        <f>IFERROR(__xludf.DUMMYFUNCTION("""COMPUTED_VALUE"""),"M. 3347/ Kemiling Raya")</f>
        <v>M. 3347/ Kemiling Raya</v>
      </c>
      <c r="D1241" s="17">
        <f>IFERROR(__xludf.DUMMYFUNCTION("""COMPUTED_VALUE"""),45607.42520805556)</f>
        <v>45607.42521</v>
      </c>
      <c r="E1241" s="11" t="str">
        <f>IFERROR(__xludf.DUMMYFUNCTION("""COMPUTED_VALUE"""),"BN Jual Beli")</f>
        <v>BN Jual Beli</v>
      </c>
      <c r="F1241" s="11" t="str">
        <f>IFERROR(__xludf.DUMMYFUNCTION("""COMPUTED_VALUE"""),"Yulian Suhandi/ Natasha S A")</f>
        <v>Yulian Suhandi/ Natasha S A</v>
      </c>
      <c r="G1241" s="13">
        <f t="shared" si="1"/>
        <v>1037</v>
      </c>
      <c r="H1241" s="13" t="str">
        <f>IFERROR(__xludf.DUMMYFUNCTION("""COMPUTED_VALUE"""),"P0")</f>
        <v>P0</v>
      </c>
    </row>
    <row r="1242" ht="22.5" customHeight="1">
      <c r="B1242" s="17" t="str">
        <f>IFERROR(__xludf.DUMMYFUNCTION("""COMPUTED_VALUE"""),"K/43/051124/2")</f>
        <v>K/43/051124/2</v>
      </c>
      <c r="C1242" s="17" t="str">
        <f>IFERROR(__xludf.DUMMYFUNCTION("""COMPUTED_VALUE"""),"M. 2660/ Sukarame Baru")</f>
        <v>M. 2660/ Sukarame Baru</v>
      </c>
      <c r="D1242" s="17">
        <f>IFERROR(__xludf.DUMMYFUNCTION("""COMPUTED_VALUE"""),45607.42579702546)</f>
        <v>45607.4258</v>
      </c>
      <c r="E1242" s="11" t="str">
        <f>IFERROR(__xludf.DUMMYFUNCTION("""COMPUTED_VALUE"""),"BN JUAL BELI")</f>
        <v>BN JUAL BELI</v>
      </c>
      <c r="F1242" s="11" t="str">
        <f>IFERROR(__xludf.DUMMYFUNCTION("""COMPUTED_VALUE"""),"RAHMADIYANTI")</f>
        <v>RAHMADIYANTI</v>
      </c>
      <c r="G1242" s="13">
        <f t="shared" si="1"/>
        <v>1037</v>
      </c>
      <c r="H1242" s="13" t="str">
        <f>IFERROR(__xludf.DUMMYFUNCTION("""COMPUTED_VALUE"""),"P1")</f>
        <v>P1</v>
      </c>
    </row>
    <row r="1243" ht="22.5" customHeight="1">
      <c r="B1243" s="17" t="str">
        <f>IFERROR(__xludf.DUMMYFUNCTION("""COMPUTED_VALUE"""),"K/9/111124/1")</f>
        <v>K/9/111124/1</v>
      </c>
      <c r="C1243" s="17" t="str">
        <f>IFERROR(__xludf.DUMMYFUNCTION("""COMPUTED_VALUE"""),"M. 815/ Rajabasa Pemuka")</f>
        <v>M. 815/ Rajabasa Pemuka</v>
      </c>
      <c r="D1243" s="17">
        <f>IFERROR(__xludf.DUMMYFUNCTION("""COMPUTED_VALUE"""),45607.44411696759)</f>
        <v>45607.44412</v>
      </c>
      <c r="E1243" s="11" t="str">
        <f>IFERROR(__xludf.DUMMYFUNCTION("""COMPUTED_VALUE"""),"BN LELANG")</f>
        <v>BN LELANG</v>
      </c>
      <c r="F1243" s="11" t="str">
        <f>IFERROR(__xludf.DUMMYFUNCTION("""COMPUTED_VALUE"""),"ERWIN ZULIAN")</f>
        <v>ERWIN ZULIAN</v>
      </c>
      <c r="G1243" s="13">
        <f t="shared" si="1"/>
        <v>1038</v>
      </c>
      <c r="H1243" s="13" t="str">
        <f>IFERROR(__xludf.DUMMYFUNCTION("""COMPUTED_VALUE"""),"P0")</f>
        <v>P0</v>
      </c>
    </row>
    <row r="1244" ht="22.5" customHeight="1">
      <c r="B1244" s="17" t="str">
        <f>IFERROR(__xludf.DUMMYFUNCTION("""COMPUTED_VALUE"""),"K/10/111124/1")</f>
        <v>K/10/111124/1</v>
      </c>
      <c r="C1244" s="17" t="str">
        <f>IFERROR(__xludf.DUMMYFUNCTION("""COMPUTED_VALUE"""),"M. 10853/ Jagabaya II")</f>
        <v>M. 10853/ Jagabaya II</v>
      </c>
      <c r="D1244" s="17">
        <f>IFERROR(__xludf.DUMMYFUNCTION("""COMPUTED_VALUE"""),45607.446170509254)</f>
        <v>45607.44617</v>
      </c>
      <c r="E1244" s="11" t="str">
        <f>IFERROR(__xludf.DUMMYFUNCTION("""COMPUTED_VALUE"""),"ROYA")</f>
        <v>ROYA</v>
      </c>
      <c r="F1244" s="11" t="str">
        <f>IFERROR(__xludf.DUMMYFUNCTION("""COMPUTED_VALUE"""),"FITRIANA/ HEVY")</f>
        <v>FITRIANA/ HEVY</v>
      </c>
      <c r="G1244" s="13">
        <f t="shared" si="1"/>
        <v>1039</v>
      </c>
      <c r="H1244" s="13" t="str">
        <f>IFERROR(__xludf.DUMMYFUNCTION("""COMPUTED_VALUE"""),"P0")</f>
        <v>P0</v>
      </c>
    </row>
    <row r="1245" ht="22.5" customHeight="1">
      <c r="B1245" s="17" t="str">
        <f>IFERROR(__xludf.DUMMYFUNCTION("""COMPUTED_VALUE"""),"K/11/111124/1")</f>
        <v>K/11/111124/1</v>
      </c>
      <c r="C1245" s="17" t="str">
        <f>IFERROR(__xludf.DUMMYFUNCTION("""COMPUTED_VALUE"""),"M. 11329/TANJUNG BARU")</f>
        <v>M. 11329/TANJUNG BARU</v>
      </c>
      <c r="D1245" s="17">
        <f>IFERROR(__xludf.DUMMYFUNCTION("""COMPUTED_VALUE"""),45607.45589111111)</f>
        <v>45607.45589</v>
      </c>
      <c r="E1245" s="11" t="str">
        <f>IFERROR(__xludf.DUMMYFUNCTION("""COMPUTED_VALUE"""),"ROYA")</f>
        <v>ROYA</v>
      </c>
      <c r="F1245" s="11" t="str">
        <f>IFERROR(__xludf.DUMMYFUNCTION("""COMPUTED_VALUE"""),"AFRIZAL / SHEN HANA LIANI SANJAYA")</f>
        <v>AFRIZAL / SHEN HANA LIANI SANJAYA</v>
      </c>
      <c r="G1245" s="13">
        <f t="shared" si="1"/>
        <v>1040</v>
      </c>
      <c r="H1245" s="13" t="str">
        <f>IFERROR(__xludf.DUMMYFUNCTION("""COMPUTED_VALUE"""),"P0")</f>
        <v>P0</v>
      </c>
    </row>
    <row r="1246" ht="22.5" customHeight="1">
      <c r="B1246" s="17" t="str">
        <f>IFERROR(__xludf.DUMMYFUNCTION("""COMPUTED_VALUE"""),"K/12/111124/1")</f>
        <v>K/12/111124/1</v>
      </c>
      <c r="C1246" s="17" t="str">
        <f>IFERROR(__xludf.DUMMYFUNCTION("""COMPUTED_VALUE"""),"Nibel. M. 1113/ Bumi Raya")</f>
        <v>Nibel. M. 1113/ Bumi Raya</v>
      </c>
      <c r="D1246" s="17">
        <f>IFERROR(__xludf.DUMMYFUNCTION("""COMPUTED_VALUE"""),45607.45826861111)</f>
        <v>45607.45827</v>
      </c>
      <c r="E1246" s="11" t="str">
        <f>IFERROR(__xludf.DUMMYFUNCTION("""COMPUTED_VALUE"""),"BN Lelang")</f>
        <v>BN Lelang</v>
      </c>
      <c r="F1246" s="11" t="str">
        <f>IFERROR(__xludf.DUMMYFUNCTION("""COMPUTED_VALUE"""),"Renaldi P S/ Arienanda D")</f>
        <v>Renaldi P S/ Arienanda D</v>
      </c>
      <c r="G1246" s="13">
        <f t="shared" si="1"/>
        <v>1041</v>
      </c>
      <c r="H1246" s="13" t="str">
        <f>IFERROR(__xludf.DUMMYFUNCTION("""COMPUTED_VALUE"""),"P0")</f>
        <v>P0</v>
      </c>
    </row>
    <row r="1247" ht="22.5" customHeight="1">
      <c r="B1247" s="17" t="str">
        <f>IFERROR(__xludf.DUMMYFUNCTION("""COMPUTED_VALUE"""),"K/13/111124/1")</f>
        <v>K/13/111124/1</v>
      </c>
      <c r="C1247" s="17" t="str">
        <f>IFERROR(__xludf.DUMMYFUNCTION("""COMPUTED_VALUE"""),"M.8738/SUKABUMI ")</f>
        <v>M.8738/SUKABUMI </v>
      </c>
      <c r="D1247" s="17">
        <f>IFERROR(__xludf.DUMMYFUNCTION("""COMPUTED_VALUE"""),45607.46058291667)</f>
        <v>45607.46058</v>
      </c>
      <c r="E1247" s="11" t="str">
        <f>IFERROR(__xludf.DUMMYFUNCTION("""COMPUTED_VALUE"""),"BN JUAL BELI")</f>
        <v>BN JUAL BELI</v>
      </c>
      <c r="F1247" s="11" t="str">
        <f>IFERROR(__xludf.DUMMYFUNCTION("""COMPUTED_VALUE"""),"SIBEL ALBERRY/RIADH INDRAWAN")</f>
        <v>SIBEL ALBERRY/RIADH INDRAWAN</v>
      </c>
      <c r="G1247" s="13">
        <f t="shared" si="1"/>
        <v>1042</v>
      </c>
      <c r="H1247" s="13" t="str">
        <f>IFERROR(__xludf.DUMMYFUNCTION("""COMPUTED_VALUE"""),"P0")</f>
        <v>P0</v>
      </c>
    </row>
    <row r="1248" ht="22.5" customHeight="1">
      <c r="B1248" s="17" t="str">
        <f>IFERROR(__xludf.DUMMYFUNCTION("""COMPUTED_VALUE"""),"K/14/111124/2")</f>
        <v>K/14/111124/2</v>
      </c>
      <c r="C1248" s="17" t="str">
        <f>IFERROR(__xludf.DUMMYFUNCTION("""COMPUTED_VALUE"""),"M. 428/SAWAH BREBES")</f>
        <v>M. 428/SAWAH BREBES</v>
      </c>
      <c r="D1248" s="17">
        <f>IFERROR(__xludf.DUMMYFUNCTION("""COMPUTED_VALUE"""),45607.46174431713)</f>
        <v>45607.46174</v>
      </c>
      <c r="E1248" s="11" t="str">
        <f>IFERROR(__xludf.DUMMYFUNCTION("""COMPUTED_VALUE"""),"BN JUAL BELI ")</f>
        <v>BN JUAL BELI </v>
      </c>
      <c r="F1248" s="11" t="str">
        <f>IFERROR(__xludf.DUMMYFUNCTION("""COMPUTED_VALUE"""),"POGET SAPUTRA/RIADH INDRAWAN ")</f>
        <v>POGET SAPUTRA/RIADH INDRAWAN </v>
      </c>
      <c r="G1248" s="13">
        <f t="shared" si="1"/>
        <v>1043</v>
      </c>
      <c r="H1248" s="13" t="str">
        <f>IFERROR(__xludf.DUMMYFUNCTION("""COMPUTED_VALUE"""),"P0")</f>
        <v>P0</v>
      </c>
    </row>
    <row r="1249" ht="22.5" customHeight="1">
      <c r="B1249" s="17" t="str">
        <f>IFERROR(__xludf.DUMMYFUNCTION("""COMPUTED_VALUE"""),"K/15/111124/1")</f>
        <v>K/15/111124/1</v>
      </c>
      <c r="C1249" s="17" t="str">
        <f>IFERROR(__xludf.DUMMYFUNCTION("""COMPUTED_VALUE"""),"M. 16629/ Sukabumi")</f>
        <v>M. 16629/ Sukabumi</v>
      </c>
      <c r="D1249" s="17">
        <f>IFERROR(__xludf.DUMMYFUNCTION("""COMPUTED_VALUE"""),45607.467446180555)</f>
        <v>45607.46745</v>
      </c>
      <c r="E1249" s="11" t="str">
        <f>IFERROR(__xludf.DUMMYFUNCTION("""COMPUTED_VALUE"""),"BN Jual Beli")</f>
        <v>BN Jual Beli</v>
      </c>
      <c r="F1249" s="11" t="str">
        <f>IFERROR(__xludf.DUMMYFUNCTION("""COMPUTED_VALUE"""),"M Arief Soeharnoko")</f>
        <v>M Arief Soeharnoko</v>
      </c>
      <c r="G1249" s="13">
        <f t="shared" si="1"/>
        <v>1044</v>
      </c>
      <c r="H1249" s="13" t="str">
        <f>IFERROR(__xludf.DUMMYFUNCTION("""COMPUTED_VALUE"""),"P0")</f>
        <v>P0</v>
      </c>
    </row>
    <row r="1250" ht="22.5" customHeight="1">
      <c r="B1250" s="17" t="str">
        <f>IFERROR(__xludf.DUMMYFUNCTION("""COMPUTED_VALUE"""),"K/16/111124/1")</f>
        <v>K/16/111124/1</v>
      </c>
      <c r="C1250" s="17" t="str">
        <f>IFERROR(__xludf.DUMMYFUNCTION("""COMPUTED_VALUE"""),"M.10866/SUKARAME I")</f>
        <v>M.10866/SUKARAME I</v>
      </c>
      <c r="D1250" s="17">
        <f>IFERROR(__xludf.DUMMYFUNCTION("""COMPUTED_VALUE"""),45607.47770898148)</f>
        <v>45607.47771</v>
      </c>
      <c r="E1250" s="11" t="str">
        <f>IFERROR(__xludf.DUMMYFUNCTION("""COMPUTED_VALUE"""),"GANDES")</f>
        <v>GANDES</v>
      </c>
      <c r="F1250" s="11" t="str">
        <f>IFERROR(__xludf.DUMMYFUNCTION("""COMPUTED_VALUE"""),"TURSINA/DEDI SETIAWAN")</f>
        <v>TURSINA/DEDI SETIAWAN</v>
      </c>
      <c r="G1250" s="13">
        <f t="shared" si="1"/>
        <v>1045</v>
      </c>
      <c r="H1250" s="13" t="str">
        <f>IFERROR(__xludf.DUMMYFUNCTION("""COMPUTED_VALUE"""),"P0")</f>
        <v>P0</v>
      </c>
    </row>
    <row r="1251" ht="22.5" customHeight="1">
      <c r="B1251" s="17" t="str">
        <f>IFERROR(__xludf.DUMMYFUNCTION("""COMPUTED_VALUE"""),"K/25/301024/1")</f>
        <v>K/25/301024/1</v>
      </c>
      <c r="C1251" s="17" t="str">
        <f>IFERROR(__xludf.DUMMYFUNCTION("""COMPUTED_VALUE"""),"M.5568/LANGKAPURA")</f>
        <v>M.5568/LANGKAPURA</v>
      </c>
      <c r="D1251" s="17">
        <f>IFERROR(__xludf.DUMMYFUNCTION("""COMPUTED_VALUE"""),45607.55046506945)</f>
        <v>45607.55047</v>
      </c>
      <c r="E1251" s="11" t="str">
        <f>IFERROR(__xludf.DUMMYFUNCTION("""COMPUTED_VALUE"""),"BN JUAL BELI")</f>
        <v>BN JUAL BELI</v>
      </c>
      <c r="F1251" s="11" t="str">
        <f>IFERROR(__xludf.DUMMYFUNCTION("""COMPUTED_VALUE"""),"TRI RUMIYANI/SERUNI WIDYAWATI")</f>
        <v>TRI RUMIYANI/SERUNI WIDYAWATI</v>
      </c>
      <c r="G1251" s="13">
        <f t="shared" si="1"/>
        <v>1045</v>
      </c>
      <c r="H1251" s="13" t="str">
        <f>IFERROR(__xludf.DUMMYFUNCTION("""COMPUTED_VALUE"""),"P1")</f>
        <v>P1</v>
      </c>
    </row>
    <row r="1252" ht="22.5" customHeight="1">
      <c r="B1252" s="17" t="str">
        <f>IFERROR(__xludf.DUMMYFUNCTION("""COMPUTED_VALUE"""),"K/17/111124/1")</f>
        <v>K/17/111124/1</v>
      </c>
      <c r="C1252" s="17" t="str">
        <f>IFERROR(__xludf.DUMMYFUNCTION("""COMPUTED_VALUE"""),"M. 657/ Kangkung")</f>
        <v>M. 657/ Kangkung</v>
      </c>
      <c r="D1252" s="17">
        <f>IFERROR(__xludf.DUMMYFUNCTION("""COMPUTED_VALUE"""),45607.55936010416)</f>
        <v>45607.55936</v>
      </c>
      <c r="E1252" s="11" t="str">
        <f>IFERROR(__xludf.DUMMYFUNCTION("""COMPUTED_VALUE"""),"BN Jual Beli")</f>
        <v>BN Jual Beli</v>
      </c>
      <c r="F1252" s="11" t="str">
        <f>IFERROR(__xludf.DUMMYFUNCTION("""COMPUTED_VALUE"""),"Maryanti Kurniwan/ Kuni")</f>
        <v>Maryanti Kurniwan/ Kuni</v>
      </c>
      <c r="G1252" s="13">
        <f t="shared" si="1"/>
        <v>1046</v>
      </c>
      <c r="H1252" s="13" t="str">
        <f>IFERROR(__xludf.DUMMYFUNCTION("""COMPUTED_VALUE"""),"P0")</f>
        <v>P0</v>
      </c>
    </row>
    <row r="1253" ht="22.5" customHeight="1">
      <c r="B1253" s="17" t="str">
        <f>IFERROR(__xludf.DUMMYFUNCTION("""COMPUTED_VALUE"""),"K/18/111124/1")</f>
        <v>K/18/111124/1</v>
      </c>
      <c r="C1253" s="17" t="str">
        <f>IFERROR(__xludf.DUMMYFUNCTION("""COMPUTED_VALUE"""),"M. 6354/ Gunung Sulah")</f>
        <v>M. 6354/ Gunung Sulah</v>
      </c>
      <c r="D1253" s="17">
        <f>IFERROR(__xludf.DUMMYFUNCTION("""COMPUTED_VALUE"""),45607.559473009256)</f>
        <v>45607.55947</v>
      </c>
      <c r="E1253" s="11" t="str">
        <f>IFERROR(__xludf.DUMMYFUNCTION("""COMPUTED_VALUE"""),"BN HIBAH")</f>
        <v>BN HIBAH</v>
      </c>
      <c r="F1253" s="11" t="str">
        <f>IFERROR(__xludf.DUMMYFUNCTION("""COMPUTED_VALUE"""),"RENALDI PRATAMA S/ LITA")</f>
        <v>RENALDI PRATAMA S/ LITA</v>
      </c>
      <c r="G1253" s="13">
        <f t="shared" si="1"/>
        <v>1047</v>
      </c>
      <c r="H1253" s="13" t="str">
        <f>IFERROR(__xludf.DUMMYFUNCTION("""COMPUTED_VALUE"""),"P0")</f>
        <v>P0</v>
      </c>
    </row>
    <row r="1254" ht="22.5" customHeight="1">
      <c r="B1254" s="17" t="str">
        <f>IFERROR(__xludf.DUMMYFUNCTION("""COMPUTED_VALUE"""),"K/19/111124/1")</f>
        <v>K/19/111124/1</v>
      </c>
      <c r="C1254" s="17" t="str">
        <f>IFERROR(__xludf.DUMMYFUNCTION("""COMPUTED_VALUE"""),"M. 3209/ Labuhan Dalam")</f>
        <v>M. 3209/ Labuhan Dalam</v>
      </c>
      <c r="D1254" s="17">
        <f>IFERROR(__xludf.DUMMYFUNCTION("""COMPUTED_VALUE"""),45607.56834709491)</f>
        <v>45607.56835</v>
      </c>
      <c r="E1254" s="11" t="str">
        <f>IFERROR(__xludf.DUMMYFUNCTION("""COMPUTED_VALUE"""),"BN Jual Beli")</f>
        <v>BN Jual Beli</v>
      </c>
      <c r="F1254" s="11" t="str">
        <f>IFERROR(__xludf.DUMMYFUNCTION("""COMPUTED_VALUE"""),"Seruni W/ Nadila A")</f>
        <v>Seruni W/ Nadila A</v>
      </c>
      <c r="G1254" s="13">
        <f t="shared" si="1"/>
        <v>1048</v>
      </c>
      <c r="H1254" s="13" t="str">
        <f>IFERROR(__xludf.DUMMYFUNCTION("""COMPUTED_VALUE"""),"P0")</f>
        <v>P0</v>
      </c>
    </row>
    <row r="1255" ht="22.5" customHeight="1">
      <c r="B1255" s="17" t="str">
        <f>IFERROR(__xludf.DUMMYFUNCTION("""COMPUTED_VALUE"""),"K/20/111124/2")</f>
        <v>K/20/111124/2</v>
      </c>
      <c r="C1255" s="17" t="str">
        <f>IFERROR(__xludf.DUMMYFUNCTION("""COMPUTED_VALUE"""),"Nibel. M. 3511/ Gedong Meneng")</f>
        <v>Nibel. M. 3511/ Gedong Meneng</v>
      </c>
      <c r="D1255" s="17">
        <f>IFERROR(__xludf.DUMMYFUNCTION("""COMPUTED_VALUE"""),45607.56920408565)</f>
        <v>45607.5692</v>
      </c>
      <c r="E1255" s="11" t="str">
        <f>IFERROR(__xludf.DUMMYFUNCTION("""COMPUTED_VALUE"""),"BN Jual Beli")</f>
        <v>BN Jual Beli</v>
      </c>
      <c r="F1255" s="11" t="str">
        <f>IFERROR(__xludf.DUMMYFUNCTION("""COMPUTED_VALUE"""),"Seruni W/ Iskandar Johar")</f>
        <v>Seruni W/ Iskandar Johar</v>
      </c>
      <c r="G1255" s="13">
        <f t="shared" si="1"/>
        <v>1049</v>
      </c>
      <c r="H1255" s="13" t="str">
        <f>IFERROR(__xludf.DUMMYFUNCTION("""COMPUTED_VALUE"""),"P0")</f>
        <v>P0</v>
      </c>
    </row>
    <row r="1256" ht="22.5" customHeight="1">
      <c r="B1256" s="17" t="str">
        <f>IFERROR(__xludf.DUMMYFUNCTION("""COMPUTED_VALUE"""),"K/22/111124/2")</f>
        <v>K/22/111124/2</v>
      </c>
      <c r="C1256" s="17" t="str">
        <f>IFERROR(__xludf.DUMMYFUNCTION("""COMPUTED_VALUE"""),"Nibel 1517/ Sawah Brebes")</f>
        <v>Nibel 1517/ Sawah Brebes</v>
      </c>
      <c r="D1256" s="17">
        <f>IFERROR(__xludf.DUMMYFUNCTION("""COMPUTED_VALUE"""),45607.56995497685)</f>
        <v>45607.56995</v>
      </c>
      <c r="E1256" s="11" t="str">
        <f>IFERROR(__xludf.DUMMYFUNCTION("""COMPUTED_VALUE"""),"BN JUAL BELI")</f>
        <v>BN JUAL BELI</v>
      </c>
      <c r="F1256" s="11" t="str">
        <f>IFERROR(__xludf.DUMMYFUNCTION("""COMPUTED_VALUE"""),"RENALDI PRATAMA SIRYA")</f>
        <v>RENALDI PRATAMA SIRYA</v>
      </c>
      <c r="G1256" s="13">
        <f t="shared" si="1"/>
        <v>1050</v>
      </c>
      <c r="H1256" s="13" t="str">
        <f>IFERROR(__xludf.DUMMYFUNCTION("""COMPUTED_VALUE"""),"P0")</f>
        <v>P0</v>
      </c>
    </row>
    <row r="1257" ht="22.5" customHeight="1">
      <c r="B1257" s="17" t="str">
        <f>IFERROR(__xludf.DUMMYFUNCTION("""COMPUTED_VALUE"""),"K/23/111124/1")</f>
        <v>K/23/111124/1</v>
      </c>
      <c r="C1257" s="17" t="str">
        <f>IFERROR(__xludf.DUMMYFUNCTION("""COMPUTED_VALUE"""),"HMASRS. 152/SUMUR PUTRI")</f>
        <v>HMASRS. 152/SUMUR PUTRI</v>
      </c>
      <c r="D1257" s="17">
        <f>IFERROR(__xludf.DUMMYFUNCTION("""COMPUTED_VALUE"""),45607.58612118056)</f>
        <v>45607.58612</v>
      </c>
      <c r="E1257" s="11" t="str">
        <f>IFERROR(__xludf.DUMMYFUNCTION("""COMPUTED_VALUE"""),"BN JUAL BELI")</f>
        <v>BN JUAL BELI</v>
      </c>
      <c r="F1257" s="11" t="str">
        <f>IFERROR(__xludf.DUMMYFUNCTION("""COMPUTED_VALUE"""),"MAYA AYUNINGTYAS / RUDY")</f>
        <v>MAYA AYUNINGTYAS / RUDY</v>
      </c>
      <c r="G1257" s="13">
        <f t="shared" si="1"/>
        <v>1051</v>
      </c>
      <c r="H1257" s="13" t="str">
        <f>IFERROR(__xludf.DUMMYFUNCTION("""COMPUTED_VALUE"""),"P0")</f>
        <v>P0</v>
      </c>
    </row>
    <row r="1258" ht="22.5" customHeight="1">
      <c r="B1258" s="17" t="str">
        <f>IFERROR(__xludf.DUMMYFUNCTION("""COMPUTED_VALUE"""),"K/21/111124/1")</f>
        <v>K/21/111124/1</v>
      </c>
      <c r="C1258" s="17" t="str">
        <f>IFERROR(__xludf.DUMMYFUNCTION("""COMPUTED_VALUE"""),"B.65/LABUHAN DALAM")</f>
        <v>B.65/LABUHAN DALAM</v>
      </c>
      <c r="D1258" s="17">
        <f>IFERROR(__xludf.DUMMYFUNCTION("""COMPUTED_VALUE"""),45607.57487538195)</f>
        <v>45607.57488</v>
      </c>
      <c r="E1258" s="11" t="str">
        <f>IFERROR(__xludf.DUMMYFUNCTION("""COMPUTED_VALUE"""),"ROYA")</f>
        <v>ROYA</v>
      </c>
      <c r="F1258" s="11" t="str">
        <f>IFERROR(__xludf.DUMMYFUNCTION("""COMPUTED_VALUE"""),"MAY DUMA/HERA AGUSTIANTI PUTRI")</f>
        <v>MAY DUMA/HERA AGUSTIANTI PUTRI</v>
      </c>
      <c r="G1258" s="13">
        <f t="shared" si="1"/>
        <v>1052</v>
      </c>
      <c r="H1258" s="13" t="str">
        <f>IFERROR(__xludf.DUMMYFUNCTION("""COMPUTED_VALUE"""),"P0")</f>
        <v>P0</v>
      </c>
    </row>
    <row r="1259" ht="22.5" customHeight="1">
      <c r="B1259" s="17" t="str">
        <f>IFERROR(__xludf.DUMMYFUNCTION("""COMPUTED_VALUE"""),"K/25/111124/1")</f>
        <v>K/25/111124/1</v>
      </c>
      <c r="C1259" s="17" t="str">
        <f>IFERROR(__xludf.DUMMYFUNCTION("""COMPUTED_VALUE"""),"Nibel 3510/ Rajabasa Pemuka")</f>
        <v>Nibel 3510/ Rajabasa Pemuka</v>
      </c>
      <c r="D1259" s="17">
        <f>IFERROR(__xludf.DUMMYFUNCTION("""COMPUTED_VALUE"""),45607.57947611111)</f>
        <v>45607.57948</v>
      </c>
      <c r="E1259" s="11" t="str">
        <f>IFERROR(__xludf.DUMMYFUNCTION("""COMPUTED_VALUE"""),"BN JUAL BELI")</f>
        <v>BN JUAL BELI</v>
      </c>
      <c r="F1259" s="11" t="str">
        <f>IFERROR(__xludf.DUMMYFUNCTION("""COMPUTED_VALUE"""),"NURLAILA")</f>
        <v>NURLAILA</v>
      </c>
      <c r="G1259" s="13">
        <f t="shared" si="1"/>
        <v>1053</v>
      </c>
      <c r="H1259" s="13" t="str">
        <f>IFERROR(__xludf.DUMMYFUNCTION("""COMPUTED_VALUE"""),"P0")</f>
        <v>P0</v>
      </c>
    </row>
    <row r="1260" ht="22.5" customHeight="1">
      <c r="B1260" s="17" t="str">
        <f>IFERROR(__xludf.DUMMYFUNCTION("""COMPUTED_VALUE"""),"K/23/221024/8")</f>
        <v>K/23/221024/8</v>
      </c>
      <c r="C1260" s="17" t="str">
        <f>IFERROR(__xludf.DUMMYFUNCTION("""COMPUTED_VALUE"""),"M. 560/ KORPRI RAYA")</f>
        <v>M. 560/ KORPRI RAYA</v>
      </c>
      <c r="D1260" s="17">
        <f>IFERROR(__xludf.DUMMYFUNCTION("""COMPUTED_VALUE"""),45607.58065099537)</f>
        <v>45607.58065</v>
      </c>
      <c r="E1260" s="11" t="str">
        <f>IFERROR(__xludf.DUMMYFUNCTION("""COMPUTED_VALUE"""),"BN WARIS")</f>
        <v>BN WARIS</v>
      </c>
      <c r="F1260" s="11" t="str">
        <f>IFERROR(__xludf.DUMMYFUNCTION("""COMPUTED_VALUE"""),"ZUL APRIL")</f>
        <v>ZUL APRIL</v>
      </c>
      <c r="G1260" s="13">
        <f t="shared" si="1"/>
        <v>1053</v>
      </c>
      <c r="H1260" s="13" t="str">
        <f>IFERROR(__xludf.DUMMYFUNCTION("""COMPUTED_VALUE"""),"P1")</f>
        <v>P1</v>
      </c>
    </row>
    <row r="1261" ht="22.5" customHeight="1">
      <c r="B1261" s="17" t="str">
        <f>IFERROR(__xludf.DUMMYFUNCTION("""COMPUTED_VALUE"""),"K/26/111124/1")</f>
        <v>K/26/111124/1</v>
      </c>
      <c r="C1261" s="17" t="str">
        <f>IFERROR(__xludf.DUMMYFUNCTION("""COMPUTED_VALUE"""),"B. 1677/ SUKARAME")</f>
        <v>B. 1677/ SUKARAME</v>
      </c>
      <c r="D1261" s="17">
        <f>IFERROR(__xludf.DUMMYFUNCTION("""COMPUTED_VALUE"""),45607.58682280093)</f>
        <v>45607.58682</v>
      </c>
      <c r="E1261" s="11" t="str">
        <f>IFERROR(__xludf.DUMMYFUNCTION("""COMPUTED_VALUE"""),"PENGECEKAN")</f>
        <v>PENGECEKAN</v>
      </c>
      <c r="F1261" s="11" t="str">
        <f>IFERROR(__xludf.DUMMYFUNCTION("""COMPUTED_VALUE"""),"ELTI YUNANI / AWALUDIN")</f>
        <v>ELTI YUNANI / AWALUDIN</v>
      </c>
      <c r="G1261" s="13">
        <f t="shared" si="1"/>
        <v>1054</v>
      </c>
      <c r="H1261" s="13" t="str">
        <f>IFERROR(__xludf.DUMMYFUNCTION("""COMPUTED_VALUE"""),"P0")</f>
        <v>P0</v>
      </c>
    </row>
    <row r="1262" ht="22.5" customHeight="1">
      <c r="B1262" s="17" t="str">
        <f>IFERROR(__xludf.DUMMYFUNCTION("""COMPUTED_VALUE"""),"K/28/111124/1")</f>
        <v>K/28/111124/1</v>
      </c>
      <c r="C1262" s="17" t="str">
        <f>IFERROR(__xludf.DUMMYFUNCTION("""COMPUTED_VALUE"""),"M.1280/KELAPA TIGA")</f>
        <v>M.1280/KELAPA TIGA</v>
      </c>
      <c r="D1262" s="17">
        <f>IFERROR(__xludf.DUMMYFUNCTION("""COMPUTED_VALUE"""),45607.58855666667)</f>
        <v>45607.58856</v>
      </c>
      <c r="E1262" s="11" t="str">
        <f>IFERROR(__xludf.DUMMYFUNCTION("""COMPUTED_VALUE"""),"KEWARISAN")</f>
        <v>KEWARISAN</v>
      </c>
      <c r="F1262" s="11" t="str">
        <f>IFERROR(__xludf.DUMMYFUNCTION("""COMPUTED_VALUE"""),"NURMAWATI CS/CHRISTINA ULINA")</f>
        <v>NURMAWATI CS/CHRISTINA ULINA</v>
      </c>
      <c r="G1262" s="13">
        <f t="shared" si="1"/>
        <v>1055</v>
      </c>
      <c r="H1262" s="13" t="str">
        <f>IFERROR(__xludf.DUMMYFUNCTION("""COMPUTED_VALUE"""),"P0")</f>
        <v>P0</v>
      </c>
    </row>
    <row r="1263" ht="22.5" customHeight="1">
      <c r="B1263" s="17" t="str">
        <f>IFERROR(__xludf.DUMMYFUNCTION("""COMPUTED_VALUE"""),"K/27/111124/1")</f>
        <v>K/27/111124/1</v>
      </c>
      <c r="C1263" s="17" t="str">
        <f>IFERROR(__xludf.DUMMYFUNCTION("""COMPUTED_VALUE"""),"M. 1467; 1474/ Tanjung Karang; SHT 5221/2017 dan 2980/2017 dan 3713/2017 dan 3715/2017 dan 2985/2017")</f>
        <v>M. 1467; 1474/ Tanjung Karang; SHT 5221/2017 dan 2980/2017 dan 3713/2017 dan 3715/2017 dan 2985/2017</v>
      </c>
      <c r="D1263" s="17">
        <f>IFERROR(__xludf.DUMMYFUNCTION("""COMPUTED_VALUE"""),45607.58909472222)</f>
        <v>45607.58909</v>
      </c>
      <c r="E1263" s="11" t="str">
        <f>IFERROR(__xludf.DUMMYFUNCTION("""COMPUTED_VALUE"""),"Ganti Nama Kreditur")</f>
        <v>Ganti Nama Kreditur</v>
      </c>
      <c r="F1263" s="11" t="str">
        <f>IFERROR(__xludf.DUMMYFUNCTION("""COMPUTED_VALUE"""),"Budi K/ Bank Hibank")</f>
        <v>Budi K/ Bank Hibank</v>
      </c>
      <c r="G1263" s="13">
        <f t="shared" si="1"/>
        <v>1056</v>
      </c>
      <c r="H1263" s="13" t="str">
        <f>IFERROR(__xludf.DUMMYFUNCTION("""COMPUTED_VALUE"""),"P0")</f>
        <v>P0</v>
      </c>
    </row>
    <row r="1264" ht="22.5" customHeight="1">
      <c r="B1264" s="17" t="str">
        <f>IFERROR(__xludf.DUMMYFUNCTION("""COMPUTED_VALUE"""),"K/31/111124/1")</f>
        <v>K/31/111124/1</v>
      </c>
      <c r="C1264" s="17" t="str">
        <f>IFERROR(__xludf.DUMMYFUNCTION("""COMPUTED_VALUE"""),"B. 256/ Kota Baru")</f>
        <v>B. 256/ Kota Baru</v>
      </c>
      <c r="D1264" s="17">
        <f>IFERROR(__xludf.DUMMYFUNCTION("""COMPUTED_VALUE"""),45607.5974305787)</f>
        <v>45607.59743</v>
      </c>
      <c r="E1264" s="11" t="str">
        <f>IFERROR(__xludf.DUMMYFUNCTION("""COMPUTED_VALUE"""),"BN JUAL BELI")</f>
        <v>BN JUAL BELI</v>
      </c>
      <c r="F1264" s="11" t="str">
        <f>IFERROR(__xludf.DUMMYFUNCTION("""COMPUTED_VALUE"""),"ILANUR")</f>
        <v>ILANUR</v>
      </c>
      <c r="G1264" s="13">
        <f t="shared" si="1"/>
        <v>1057</v>
      </c>
      <c r="H1264" s="13" t="str">
        <f>IFERROR(__xludf.DUMMYFUNCTION("""COMPUTED_VALUE"""),"P0")</f>
        <v>P0</v>
      </c>
    </row>
    <row r="1265" ht="22.5" customHeight="1">
      <c r="B1265" s="17" t="str">
        <f>IFERROR(__xludf.DUMMYFUNCTION("""COMPUTED_VALUE"""),"K/24/111124/1")</f>
        <v>K/24/111124/1</v>
      </c>
      <c r="C1265" s="17" t="str">
        <f>IFERROR(__xludf.DUMMYFUNCTION("""COMPUTED_VALUE"""),"Nibel. M. 2723/ Kedaton")</f>
        <v>Nibel. M. 2723/ Kedaton</v>
      </c>
      <c r="D1265" s="17">
        <f>IFERROR(__xludf.DUMMYFUNCTION("""COMPUTED_VALUE"""),45607.6010590625)</f>
        <v>45607.60106</v>
      </c>
      <c r="E1265" s="11" t="str">
        <f>IFERROR(__xludf.DUMMYFUNCTION("""COMPUTED_VALUE"""),"BN Jual Beli")</f>
        <v>BN Jual Beli</v>
      </c>
      <c r="F1265" s="11" t="str">
        <f>IFERROR(__xludf.DUMMYFUNCTION("""COMPUTED_VALUE"""),"Thabrani/ Sumiati")</f>
        <v>Thabrani/ Sumiati</v>
      </c>
      <c r="G1265" s="13">
        <f t="shared" si="1"/>
        <v>1058</v>
      </c>
      <c r="H1265" s="13" t="str">
        <f>IFERROR(__xludf.DUMMYFUNCTION("""COMPUTED_VALUE"""),"P0")</f>
        <v>P0</v>
      </c>
    </row>
    <row r="1266" ht="22.5" customHeight="1">
      <c r="B1266" s="17" t="str">
        <f>IFERROR(__xludf.DUMMYFUNCTION("""COMPUTED_VALUE"""),"K/29/111124/3")</f>
        <v>K/29/111124/3</v>
      </c>
      <c r="C1266" s="17" t="str">
        <f>IFERROR(__xludf.DUMMYFUNCTION("""COMPUTED_VALUE"""),"M. 867/ Kupang Teba")</f>
        <v>M. 867/ Kupang Teba</v>
      </c>
      <c r="D1266" s="17">
        <f>IFERROR(__xludf.DUMMYFUNCTION("""COMPUTED_VALUE"""),45607.602016770834)</f>
        <v>45607.60202</v>
      </c>
      <c r="E1266" s="11" t="str">
        <f>IFERROR(__xludf.DUMMYFUNCTION("""COMPUTED_VALUE"""),"BN Jual Beli")</f>
        <v>BN Jual Beli</v>
      </c>
      <c r="F1266" s="11" t="str">
        <f>IFERROR(__xludf.DUMMYFUNCTION("""COMPUTED_VALUE"""),"Evi Udin/ Evi SDS")</f>
        <v>Evi Udin/ Evi SDS</v>
      </c>
      <c r="G1266" s="13">
        <f t="shared" si="1"/>
        <v>1059</v>
      </c>
      <c r="H1266" s="13" t="str">
        <f>IFERROR(__xludf.DUMMYFUNCTION("""COMPUTED_VALUE"""),"P0")</f>
        <v>P0</v>
      </c>
    </row>
    <row r="1267" ht="22.5" customHeight="1">
      <c r="B1267" s="17" t="str">
        <f>IFERROR(__xludf.DUMMYFUNCTION("""COMPUTED_VALUE"""),"K/30/111124/4")</f>
        <v>K/30/111124/4</v>
      </c>
      <c r="C1267" s="17" t="str">
        <f>IFERROR(__xludf.DUMMYFUNCTION("""COMPUTED_VALUE"""),"M. 12739/ Kedaton")</f>
        <v>M. 12739/ Kedaton</v>
      </c>
      <c r="D1267" s="17">
        <f>IFERROR(__xludf.DUMMYFUNCTION("""COMPUTED_VALUE"""),45607.602616759264)</f>
        <v>45607.60262</v>
      </c>
      <c r="E1267" s="11" t="str">
        <f>IFERROR(__xludf.DUMMYFUNCTION("""COMPUTED_VALUE"""),"BN Waris")</f>
        <v>BN Waris</v>
      </c>
      <c r="F1267" s="11" t="str">
        <f>IFERROR(__xludf.DUMMYFUNCTION("""COMPUTED_VALUE"""),"Evi Udin/ Krisnandar Cs")</f>
        <v>Evi Udin/ Krisnandar Cs</v>
      </c>
      <c r="G1267" s="13">
        <f t="shared" si="1"/>
        <v>1060</v>
      </c>
      <c r="H1267" s="13" t="str">
        <f>IFERROR(__xludf.DUMMYFUNCTION("""COMPUTED_VALUE"""),"P0")</f>
        <v>P0</v>
      </c>
    </row>
    <row r="1268" ht="22.5" customHeight="1">
      <c r="B1268" s="17" t="str">
        <f>IFERROR(__xludf.DUMMYFUNCTION("""COMPUTED_VALUE"""),"K/32/111124/2")</f>
        <v>K/32/111124/2</v>
      </c>
      <c r="C1268" s="17" t="str">
        <f>IFERROR(__xludf.DUMMYFUNCTION("""COMPUTED_VALUE"""),"M.9663/SEGALA MIDER")</f>
        <v>M.9663/SEGALA MIDER</v>
      </c>
      <c r="D1268" s="17">
        <f>IFERROR(__xludf.DUMMYFUNCTION("""COMPUTED_VALUE"""),45607.605434930556)</f>
        <v>45607.60543</v>
      </c>
      <c r="E1268" s="11" t="str">
        <f>IFERROR(__xludf.DUMMYFUNCTION("""COMPUTED_VALUE"""),"PLOTTING")</f>
        <v>PLOTTING</v>
      </c>
      <c r="F1268" s="11" t="str">
        <f>IFERROR(__xludf.DUMMYFUNCTION("""COMPUTED_VALUE"""),"MAYA AYUNINGTYAS / DHANNY YURISTIAWAN")</f>
        <v>MAYA AYUNINGTYAS / DHANNY YURISTIAWAN</v>
      </c>
      <c r="G1268" s="13">
        <f t="shared" si="1"/>
        <v>1061</v>
      </c>
      <c r="H1268" s="13" t="str">
        <f>IFERROR(__xludf.DUMMYFUNCTION("""COMPUTED_VALUE"""),"P0")</f>
        <v>P0</v>
      </c>
    </row>
    <row r="1269" ht="22.5" customHeight="1">
      <c r="B1269" s="17" t="str">
        <f>IFERROR(__xludf.DUMMYFUNCTION("""COMPUTED_VALUE"""),"K/33/111124/1")</f>
        <v>K/33/111124/1</v>
      </c>
      <c r="C1269" s="17" t="str">
        <f>IFERROR(__xludf.DUMMYFUNCTION("""COMPUTED_VALUE"""),"M.2945/SUKARAME II")</f>
        <v>M.2945/SUKARAME II</v>
      </c>
      <c r="D1269" s="17">
        <f>IFERROR(__xludf.DUMMYFUNCTION("""COMPUTED_VALUE"""),45607.60907453704)</f>
        <v>45607.60907</v>
      </c>
      <c r="E1269" s="11" t="str">
        <f>IFERROR(__xludf.DUMMYFUNCTION("""COMPUTED_VALUE"""),"BN JUAL BELI")</f>
        <v>BN JUAL BELI</v>
      </c>
      <c r="F1269" s="11" t="str">
        <f>IFERROR(__xludf.DUMMYFUNCTION("""COMPUTED_VALUE"""),"RIDHO ISRA YANTO/RICHARD ADI PRASTYA")</f>
        <v>RIDHO ISRA YANTO/RICHARD ADI PRASTYA</v>
      </c>
      <c r="G1269" s="13">
        <f t="shared" si="1"/>
        <v>1062</v>
      </c>
      <c r="H1269" s="13" t="str">
        <f>IFERROR(__xludf.DUMMYFUNCTION("""COMPUTED_VALUE"""),"P0")</f>
        <v>P0</v>
      </c>
    </row>
    <row r="1270" ht="22.5" customHeight="1">
      <c r="B1270" s="17" t="str">
        <f>IFERROR(__xludf.DUMMYFUNCTION("""COMPUTED_VALUE"""),"K/34/111124/1")</f>
        <v>K/34/111124/1</v>
      </c>
      <c r="C1270" s="17" t="str">
        <f>IFERROR(__xludf.DUMMYFUNCTION("""COMPUTED_VALUE"""),"M. 1320/ Gedong Air")</f>
        <v>M. 1320/ Gedong Air</v>
      </c>
      <c r="D1270" s="17">
        <f>IFERROR(__xludf.DUMMYFUNCTION("""COMPUTED_VALUE"""),45607.609397430555)</f>
        <v>45607.6094</v>
      </c>
      <c r="E1270" s="11" t="str">
        <f>IFERROR(__xludf.DUMMYFUNCTION("""COMPUTED_VALUE"""),"BN Jual Beli")</f>
        <v>BN Jual Beli</v>
      </c>
      <c r="F1270" s="11" t="str">
        <f>IFERROR(__xludf.DUMMYFUNCTION("""COMPUTED_VALUE"""),"Reflan R/ Maya W P")</f>
        <v>Reflan R/ Maya W P</v>
      </c>
      <c r="G1270" s="13">
        <f t="shared" si="1"/>
        <v>1062</v>
      </c>
      <c r="H1270" s="13" t="str">
        <f>IFERROR(__xludf.DUMMYFUNCTION("""COMPUTED_VALUE"""),"P1")</f>
        <v>P1</v>
      </c>
    </row>
    <row r="1271" ht="22.5" customHeight="1">
      <c r="B1271" s="17" t="str">
        <f>IFERROR(__xludf.DUMMYFUNCTION("""COMPUTED_VALUE"""),"K/35/111124/1")</f>
        <v>K/35/111124/1</v>
      </c>
      <c r="C1271" s="17" t="str">
        <f>IFERROR(__xludf.DUMMYFUNCTION("""COMPUTED_VALUE"""),"NIBEL M. 2683/ PENENGAHAN RAYA")</f>
        <v>NIBEL M. 2683/ PENENGAHAN RAYA</v>
      </c>
      <c r="D1271" s="17">
        <f>IFERROR(__xludf.DUMMYFUNCTION("""COMPUTED_VALUE"""),45607.609753067125)</f>
        <v>45607.60975</v>
      </c>
      <c r="E1271" s="11" t="str">
        <f>IFERROR(__xludf.DUMMYFUNCTION("""COMPUTED_VALUE"""),"BN APHB")</f>
        <v>BN APHB</v>
      </c>
      <c r="F1271" s="11" t="str">
        <f>IFERROR(__xludf.DUMMYFUNCTION("""COMPUTED_VALUE"""),"YENI EKAWATI / NURLELA")</f>
        <v>YENI EKAWATI / NURLELA</v>
      </c>
      <c r="G1271" s="13">
        <f t="shared" si="1"/>
        <v>1063</v>
      </c>
      <c r="H1271" s="13" t="str">
        <f>IFERROR(__xludf.DUMMYFUNCTION("""COMPUTED_VALUE"""),"P0")</f>
        <v>P0</v>
      </c>
    </row>
    <row r="1272" ht="22.5" customHeight="1">
      <c r="B1272" s="17" t="str">
        <f>IFERROR(__xludf.DUMMYFUNCTION("""COMPUTED_VALUE"""),"L/36/111124/1")</f>
        <v>L/36/111124/1</v>
      </c>
      <c r="C1272" s="17" t="str">
        <f>IFERROR(__xludf.DUMMYFUNCTION("""COMPUTED_VALUE"""),"HM 1934/PENGAJARAN")</f>
        <v>HM 1934/PENGAJARAN</v>
      </c>
      <c r="D1272" s="17">
        <f>IFERROR(__xludf.DUMMYFUNCTION("""COMPUTED_VALUE"""),45607.61285844907)</f>
        <v>45607.61286</v>
      </c>
      <c r="E1272" s="11" t="str">
        <f>IFERROR(__xludf.DUMMYFUNCTION("""COMPUTED_VALUE"""),"BN WARIS")</f>
        <v>BN WARIS</v>
      </c>
      <c r="F1272" s="11" t="str">
        <f>IFERROR(__xludf.DUMMYFUNCTION("""COMPUTED_VALUE"""),"HAZIM")</f>
        <v>HAZIM</v>
      </c>
      <c r="G1272" s="13">
        <f t="shared" si="1"/>
        <v>1064</v>
      </c>
      <c r="H1272" s="13" t="str">
        <f>IFERROR(__xludf.DUMMYFUNCTION("""COMPUTED_VALUE"""),"P0")</f>
        <v>P0</v>
      </c>
    </row>
    <row r="1273" ht="22.5" customHeight="1">
      <c r="B1273" s="17" t="str">
        <f>IFERROR(__xludf.DUMMYFUNCTION("""COMPUTED_VALUE"""),"L/37/111124/1")</f>
        <v>L/37/111124/1</v>
      </c>
      <c r="C1273" s="17" t="str">
        <f>IFERROR(__xludf.DUMMYFUNCTION("""COMPUTED_VALUE"""),"HM 17234/SUKARAME")</f>
        <v>HM 17234/SUKARAME</v>
      </c>
      <c r="D1273" s="17">
        <f>IFERROR(__xludf.DUMMYFUNCTION("""COMPUTED_VALUE"""),45607.61732826389)</f>
        <v>45607.61733</v>
      </c>
      <c r="E1273" s="11" t="str">
        <f>IFERROR(__xludf.DUMMYFUNCTION("""COMPUTED_VALUE"""),"ROYA")</f>
        <v>ROYA</v>
      </c>
      <c r="F1273" s="11" t="str">
        <f>IFERROR(__xludf.DUMMYFUNCTION("""COMPUTED_VALUE"""),"SRI SUHARNI")</f>
        <v>SRI SUHARNI</v>
      </c>
      <c r="G1273" s="13">
        <f t="shared" si="1"/>
        <v>1065</v>
      </c>
      <c r="H1273" s="13" t="str">
        <f>IFERROR(__xludf.DUMMYFUNCTION("""COMPUTED_VALUE"""),"P0")</f>
        <v>P0</v>
      </c>
    </row>
    <row r="1274" ht="22.5" customHeight="1">
      <c r="B1274" s="17" t="str">
        <f>IFERROR(__xludf.DUMMYFUNCTION("""COMPUTED_VALUE"""),"K/38/111124/2")</f>
        <v>K/38/111124/2</v>
      </c>
      <c r="C1274" s="17" t="str">
        <f>IFERROR(__xludf.DUMMYFUNCTION("""COMPUTED_VALUE"""),"M. 5933/ Way Kandis")</f>
        <v>M. 5933/ Way Kandis</v>
      </c>
      <c r="D1274" s="17">
        <f>IFERROR(__xludf.DUMMYFUNCTION("""COMPUTED_VALUE"""),45607.62588112269)</f>
        <v>45607.62588</v>
      </c>
      <c r="E1274" s="11" t="str">
        <f>IFERROR(__xludf.DUMMYFUNCTION("""COMPUTED_VALUE"""),"Pemecahan")</f>
        <v>Pemecahan</v>
      </c>
      <c r="F1274" s="11" t="str">
        <f>IFERROR(__xludf.DUMMYFUNCTION("""COMPUTED_VALUE"""),"Reflan R/ Margareta Y")</f>
        <v>Reflan R/ Margareta Y</v>
      </c>
      <c r="G1274" s="13">
        <f t="shared" si="1"/>
        <v>1066</v>
      </c>
      <c r="H1274" s="13" t="str">
        <f>IFERROR(__xludf.DUMMYFUNCTION("""COMPUTED_VALUE"""),"P0")</f>
        <v>P0</v>
      </c>
    </row>
    <row r="1275" ht="22.5" customHeight="1">
      <c r="B1275" s="17" t="str">
        <f>IFERROR(__xludf.DUMMYFUNCTION("""COMPUTED_VALUE"""),"K/39/111124/1")</f>
        <v>K/39/111124/1</v>
      </c>
      <c r="C1275" s="17" t="str">
        <f>IFERROR(__xludf.DUMMYFUNCTION("""COMPUTED_VALUE"""),"M. 1775/ Rajabasa Pemuka")</f>
        <v>M. 1775/ Rajabasa Pemuka</v>
      </c>
      <c r="D1275" s="17">
        <f>IFERROR(__xludf.DUMMYFUNCTION("""COMPUTED_VALUE"""),45607.626805277774)</f>
        <v>45607.62681</v>
      </c>
      <c r="E1275" s="11" t="str">
        <f>IFERROR(__xludf.DUMMYFUNCTION("""COMPUTED_VALUE"""),"BN JUAL BELI")</f>
        <v>BN JUAL BELI</v>
      </c>
      <c r="F1275" s="11" t="str">
        <f>IFERROR(__xludf.DUMMYFUNCTION("""COMPUTED_VALUE"""),"IBK SUKASANA/ARI NURWENI")</f>
        <v>IBK SUKASANA/ARI NURWENI</v>
      </c>
      <c r="G1275" s="13">
        <f t="shared" si="1"/>
        <v>1067</v>
      </c>
      <c r="H1275" s="13" t="str">
        <f>IFERROR(__xludf.DUMMYFUNCTION("""COMPUTED_VALUE"""),"P0")</f>
        <v>P0</v>
      </c>
    </row>
    <row r="1276" ht="22.5" customHeight="1">
      <c r="B1276" s="17" t="str">
        <f>IFERROR(__xludf.DUMMYFUNCTION("""COMPUTED_VALUE"""),"K/40/111124/1")</f>
        <v>K/40/111124/1</v>
      </c>
      <c r="C1276" s="17" t="str">
        <f>IFERROR(__xludf.DUMMYFUNCTION("""COMPUTED_VALUE"""),"M.868/BAKUNG")</f>
        <v>M.868/BAKUNG</v>
      </c>
      <c r="D1276" s="17">
        <f>IFERROR(__xludf.DUMMYFUNCTION("""COMPUTED_VALUE"""),45607.626991111116)</f>
        <v>45607.62699</v>
      </c>
      <c r="E1276" s="11" t="str">
        <f>IFERROR(__xludf.DUMMYFUNCTION("""COMPUTED_VALUE"""),"KEWARISAN")</f>
        <v>KEWARISAN</v>
      </c>
      <c r="F1276" s="11" t="str">
        <f>IFERROR(__xludf.DUMMYFUNCTION("""COMPUTED_VALUE"""),"TIORISMA SINURAT CS/NAZAIRONI ASIBRIYHA ")</f>
        <v>TIORISMA SINURAT CS/NAZAIRONI ASIBRIYHA </v>
      </c>
      <c r="G1276" s="13">
        <f t="shared" si="1"/>
        <v>1068</v>
      </c>
      <c r="H1276" s="13" t="str">
        <f>IFERROR(__xludf.DUMMYFUNCTION("""COMPUTED_VALUE"""),"P0")</f>
        <v>P0</v>
      </c>
    </row>
    <row r="1277" ht="22.5" customHeight="1">
      <c r="B1277" s="17" t="str">
        <f>IFERROR(__xludf.DUMMYFUNCTION("""COMPUTED_VALUE"""),"L/41/111124/1")</f>
        <v>L/41/111124/1</v>
      </c>
      <c r="C1277" s="17" t="str">
        <f>IFERROR(__xludf.DUMMYFUNCTION("""COMPUTED_VALUE"""),"HM 4762/TANJUNG SENANG")</f>
        <v>HM 4762/TANJUNG SENANG</v>
      </c>
      <c r="D1277" s="17">
        <f>IFERROR(__xludf.DUMMYFUNCTION("""COMPUTED_VALUE"""),45607.628093865744)</f>
        <v>45607.62809</v>
      </c>
      <c r="E1277" s="11" t="str">
        <f>IFERROR(__xludf.DUMMYFUNCTION("""COMPUTED_VALUE"""),"ROYA")</f>
        <v>ROYA</v>
      </c>
      <c r="F1277" s="11" t="str">
        <f>IFERROR(__xludf.DUMMYFUNCTION("""COMPUTED_VALUE"""),"HM 4762/TANJUNG SENANG")</f>
        <v>HM 4762/TANJUNG SENANG</v>
      </c>
      <c r="G1277" s="13">
        <f t="shared" si="1"/>
        <v>1069</v>
      </c>
      <c r="H1277" s="13" t="str">
        <f>IFERROR(__xludf.DUMMYFUNCTION("""COMPUTED_VALUE"""),"P0")</f>
        <v>P0</v>
      </c>
    </row>
    <row r="1278" ht="22.5" customHeight="1">
      <c r="B1278" s="17" t="str">
        <f>IFERROR(__xludf.DUMMYFUNCTION("""COMPUTED_VALUE"""),"K/42/111124/1")</f>
        <v>K/42/111124/1</v>
      </c>
      <c r="C1278" s="17" t="str">
        <f>IFERROR(__xludf.DUMMYFUNCTION("""COMPUTED_VALUE"""),"M. 2213/ Labuhan Dalam")</f>
        <v>M. 2213/ Labuhan Dalam</v>
      </c>
      <c r="D1278" s="17">
        <f>IFERROR(__xludf.DUMMYFUNCTION("""COMPUTED_VALUE"""),45607.63010797453)</f>
        <v>45607.63011</v>
      </c>
      <c r="E1278" s="11" t="str">
        <f>IFERROR(__xludf.DUMMYFUNCTION("""COMPUTED_VALUE"""),"Pemecahan")</f>
        <v>Pemecahan</v>
      </c>
      <c r="F1278" s="11" t="str">
        <f>IFERROR(__xludf.DUMMYFUNCTION("""COMPUTED_VALUE"""),"Anggun Y/ Susanto")</f>
        <v>Anggun Y/ Susanto</v>
      </c>
      <c r="G1278" s="13">
        <f t="shared" si="1"/>
        <v>1070</v>
      </c>
      <c r="H1278" s="13" t="str">
        <f>IFERROR(__xludf.DUMMYFUNCTION("""COMPUTED_VALUE"""),"P0")</f>
        <v>P0</v>
      </c>
    </row>
    <row r="1279" ht="22.5" customHeight="1">
      <c r="B1279" s="17" t="str">
        <f>IFERROR(__xludf.DUMMYFUNCTION("""COMPUTED_VALUE"""),"K/43/111124/1")</f>
        <v>K/43/111124/1</v>
      </c>
      <c r="C1279" s="17" t="str">
        <f>IFERROR(__xludf.DUMMYFUNCTION("""COMPUTED_VALUE"""),"M. 8979/ JAGABAYA II")</f>
        <v>M. 8979/ JAGABAYA II</v>
      </c>
      <c r="D1279" s="17">
        <f>IFERROR(__xludf.DUMMYFUNCTION("""COMPUTED_VALUE"""),45607.63470635416)</f>
        <v>45607.63471</v>
      </c>
      <c r="E1279" s="11" t="str">
        <f>IFERROR(__xludf.DUMMYFUNCTION("""COMPUTED_VALUE"""),"GANTI KECAMATAN")</f>
        <v>GANTI KECAMATAN</v>
      </c>
      <c r="F1279" s="11" t="str">
        <f>IFERROR(__xludf.DUMMYFUNCTION("""COMPUTED_VALUE"""),"RENDY RENDALDY / SUMARSIH CS")</f>
        <v>RENDY RENDALDY / SUMARSIH CS</v>
      </c>
      <c r="G1279" s="13">
        <f t="shared" si="1"/>
        <v>1071</v>
      </c>
      <c r="H1279" s="13" t="str">
        <f>IFERROR(__xludf.DUMMYFUNCTION("""COMPUTED_VALUE"""),"P0")</f>
        <v>P0</v>
      </c>
    </row>
    <row r="1280" ht="22.5" customHeight="1">
      <c r="B1280" s="17" t="str">
        <f>IFERROR(__xludf.DUMMYFUNCTION("""COMPUTED_VALUE"""),"K/44/111124/1")</f>
        <v>K/44/111124/1</v>
      </c>
      <c r="C1280" s="17" t="str">
        <f>IFERROR(__xludf.DUMMYFUNCTION("""COMPUTED_VALUE"""),"M.18234/SUKARAME")</f>
        <v>M.18234/SUKARAME</v>
      </c>
      <c r="D1280" s="17">
        <f>IFERROR(__xludf.DUMMYFUNCTION("""COMPUTED_VALUE"""),45607.639963842594)</f>
        <v>45607.63996</v>
      </c>
      <c r="E1280" s="11" t="str">
        <f>IFERROR(__xludf.DUMMYFUNCTION("""COMPUTED_VALUE"""),"GANDES")</f>
        <v>GANDES</v>
      </c>
      <c r="F1280" s="11" t="str">
        <f>IFERROR(__xludf.DUMMYFUNCTION("""COMPUTED_VALUE"""),"TEDDY WAN / MARIA YESSI")</f>
        <v>TEDDY WAN / MARIA YESSI</v>
      </c>
      <c r="G1280" s="13">
        <f t="shared" si="1"/>
        <v>1072</v>
      </c>
      <c r="H1280" s="13" t="str">
        <f>IFERROR(__xludf.DUMMYFUNCTION("""COMPUTED_VALUE"""),"P0")</f>
        <v>P0</v>
      </c>
    </row>
    <row r="1281" ht="22.5" customHeight="1">
      <c r="B1281" s="17" t="str">
        <f>IFERROR(__xludf.DUMMYFUNCTION("""COMPUTED_VALUE"""),"K/45/111124/2")</f>
        <v>K/45/111124/2</v>
      </c>
      <c r="C1281" s="17" t="str">
        <f>IFERROR(__xludf.DUMMYFUNCTION("""COMPUTED_VALUE"""),"B.277/ BAKUNG")</f>
        <v>B.277/ BAKUNG</v>
      </c>
      <c r="D1281" s="17">
        <f>IFERROR(__xludf.DUMMYFUNCTION("""COMPUTED_VALUE"""),45607.64183313657)</f>
        <v>45607.64183</v>
      </c>
      <c r="E1281" s="11" t="str">
        <f>IFERROR(__xludf.DUMMYFUNCTION("""COMPUTED_VALUE"""),"ROYA")</f>
        <v>ROYA</v>
      </c>
      <c r="F1281" s="11" t="str">
        <f>IFERROR(__xludf.DUMMYFUNCTION("""COMPUTED_VALUE"""),"TEDDY WAN / KURNIA SANTOSO")</f>
        <v>TEDDY WAN / KURNIA SANTOSO</v>
      </c>
      <c r="G1281" s="13">
        <f t="shared" si="1"/>
        <v>1073</v>
      </c>
      <c r="H1281" s="13" t="str">
        <f>IFERROR(__xludf.DUMMYFUNCTION("""COMPUTED_VALUE"""),"P0")</f>
        <v>P0</v>
      </c>
    </row>
    <row r="1282" ht="22.5" customHeight="1">
      <c r="B1282" s="17" t="str">
        <f>IFERROR(__xludf.DUMMYFUNCTION("""COMPUTED_VALUE"""),"K/34/111124/1")</f>
        <v>K/34/111124/1</v>
      </c>
      <c r="C1282" s="17" t="str">
        <f>IFERROR(__xludf.DUMMYFUNCTION("""COMPUTED_VALUE"""),"M. 1320/ Gedong Air")</f>
        <v>M. 1320/ Gedong Air</v>
      </c>
      <c r="D1282" s="17">
        <f>IFERROR(__xludf.DUMMYFUNCTION("""COMPUTED_VALUE"""),45607.66095697916)</f>
        <v>45607.66096</v>
      </c>
      <c r="E1282" s="11" t="str">
        <f>IFERROR(__xludf.DUMMYFUNCTION("""COMPUTED_VALUE"""),"BN Jual Beli")</f>
        <v>BN Jual Beli</v>
      </c>
      <c r="F1282" s="11" t="str">
        <f>IFERROR(__xludf.DUMMYFUNCTION("""COMPUTED_VALUE"""),"Reflan R/ Maya W")</f>
        <v>Reflan R/ Maya W</v>
      </c>
      <c r="G1282" s="13">
        <f t="shared" si="1"/>
        <v>1074</v>
      </c>
      <c r="H1282" s="13" t="str">
        <f>IFERROR(__xludf.DUMMYFUNCTION("""COMPUTED_VALUE"""),"P0")</f>
        <v>P0</v>
      </c>
    </row>
    <row r="1283" ht="22.5" customHeight="1">
      <c r="B1283" s="17" t="str">
        <f>IFERROR(__xludf.DUMMYFUNCTION("""COMPUTED_VALUE"""),"K/2/121124/1")</f>
        <v>K/2/121124/1</v>
      </c>
      <c r="C1283" s="17" t="str">
        <f>IFERROR(__xludf.DUMMYFUNCTION("""COMPUTED_VALUE"""),"M. 7935/ Kedamaian")</f>
        <v>M. 7935/ Kedamaian</v>
      </c>
      <c r="D1283" s="17">
        <f>IFERROR(__xludf.DUMMYFUNCTION("""COMPUTED_VALUE"""),45608.38587215278)</f>
        <v>45608.38587</v>
      </c>
      <c r="E1283" s="11" t="str">
        <f>IFERROR(__xludf.DUMMYFUNCTION("""COMPUTED_VALUE"""),"GANTI KELURAHAN")</f>
        <v>GANTI KELURAHAN</v>
      </c>
      <c r="F1283" s="11" t="str">
        <f>IFERROR(__xludf.DUMMYFUNCTION("""COMPUTED_VALUE"""),"ANGGA PURNAMA")</f>
        <v>ANGGA PURNAMA</v>
      </c>
      <c r="G1283" s="13">
        <f t="shared" si="1"/>
        <v>1075</v>
      </c>
      <c r="H1283" s="13" t="str">
        <f>IFERROR(__xludf.DUMMYFUNCTION("""COMPUTED_VALUE"""),"P0")</f>
        <v>P0</v>
      </c>
    </row>
    <row r="1284" ht="22.5" customHeight="1">
      <c r="B1284" s="17" t="str">
        <f>IFERROR(__xludf.DUMMYFUNCTION("""COMPUTED_VALUE"""),"K/1/121124/1")</f>
        <v>K/1/121124/1</v>
      </c>
      <c r="C1284" s="17" t="str">
        <f>IFERROR(__xludf.DUMMYFUNCTION("""COMPUTED_VALUE"""),"B. 215/ Kota Baru")</f>
        <v>B. 215/ Kota Baru</v>
      </c>
      <c r="D1284" s="17">
        <f>IFERROR(__xludf.DUMMYFUNCTION("""COMPUTED_VALUE"""),45608.38676662037)</f>
        <v>45608.38677</v>
      </c>
      <c r="E1284" s="11" t="str">
        <f>IFERROR(__xludf.DUMMYFUNCTION("""COMPUTED_VALUE"""),"Perubahan Hak")</f>
        <v>Perubahan Hak</v>
      </c>
      <c r="F1284" s="11" t="str">
        <f>IFERROR(__xludf.DUMMYFUNCTION("""COMPUTED_VALUE"""),"Reka Surabaja AS/ Bernadeth WWR")</f>
        <v>Reka Surabaja AS/ Bernadeth WWR</v>
      </c>
      <c r="G1284" s="13">
        <f t="shared" si="1"/>
        <v>1076</v>
      </c>
      <c r="H1284" s="13" t="str">
        <f>IFERROR(__xludf.DUMMYFUNCTION("""COMPUTED_VALUE"""),"P0")</f>
        <v>P0</v>
      </c>
    </row>
    <row r="1285" ht="22.5" customHeight="1">
      <c r="B1285" s="17" t="str">
        <f>IFERROR(__xludf.DUMMYFUNCTION("""COMPUTED_VALUE"""),"K/3/121124/2")</f>
        <v>K/3/121124/2</v>
      </c>
      <c r="C1285" s="17" t="str">
        <f>IFERROR(__xludf.DUMMYFUNCTION("""COMPUTED_VALUE"""),"M. 181/ Bumi Kedamaian; SHT 05715/2018")</f>
        <v>M. 181/ Bumi Kedamaian; SHT 05715/2018</v>
      </c>
      <c r="D1285" s="17">
        <f>IFERROR(__xludf.DUMMYFUNCTION("""COMPUTED_VALUE"""),45608.38953346065)</f>
        <v>45608.38953</v>
      </c>
      <c r="E1285" s="11" t="str">
        <f>IFERROR(__xludf.DUMMYFUNCTION("""COMPUTED_VALUE"""),"ROYA")</f>
        <v>ROYA</v>
      </c>
      <c r="F1285" s="11" t="str">
        <f>IFERROR(__xludf.DUMMYFUNCTION("""COMPUTED_VALUE"""),"ANGGA P/ HABRIN")</f>
        <v>ANGGA P/ HABRIN</v>
      </c>
      <c r="G1285" s="13">
        <f t="shared" si="1"/>
        <v>1077</v>
      </c>
      <c r="H1285" s="13" t="str">
        <f>IFERROR(__xludf.DUMMYFUNCTION("""COMPUTED_VALUE"""),"P0")</f>
        <v>P0</v>
      </c>
    </row>
    <row r="1286" ht="22.5" customHeight="1">
      <c r="B1286" s="17" t="str">
        <f>IFERROR(__xludf.DUMMYFUNCTION("""COMPUTED_VALUE"""),"K/4/121124/1")</f>
        <v>K/4/121124/1</v>
      </c>
      <c r="C1286" s="17" t="str">
        <f>IFERROR(__xludf.DUMMYFUNCTION("""COMPUTED_VALUE"""),"M. 1541/ Keteguhan")</f>
        <v>M. 1541/ Keteguhan</v>
      </c>
      <c r="D1286" s="17">
        <f>IFERROR(__xludf.DUMMYFUNCTION("""COMPUTED_VALUE"""),45608.393796585646)</f>
        <v>45608.3938</v>
      </c>
      <c r="E1286" s="11" t="str">
        <f>IFERROR(__xludf.DUMMYFUNCTION("""COMPUTED_VALUE"""),"BN PHB")</f>
        <v>BN PHB</v>
      </c>
      <c r="F1286" s="11" t="str">
        <f>IFERROR(__xludf.DUMMYFUNCTION("""COMPUTED_VALUE"""),"MOH REZA")</f>
        <v>MOH REZA</v>
      </c>
      <c r="G1286" s="13">
        <f t="shared" si="1"/>
        <v>1078</v>
      </c>
      <c r="H1286" s="13" t="str">
        <f>IFERROR(__xludf.DUMMYFUNCTION("""COMPUTED_VALUE"""),"P0")</f>
        <v>P0</v>
      </c>
    </row>
    <row r="1287" ht="22.5" customHeight="1">
      <c r="B1287" s="17" t="str">
        <f>IFERROR(__xludf.DUMMYFUNCTION("""COMPUTED_VALUE"""),"K/5/121124/1")</f>
        <v>K/5/121124/1</v>
      </c>
      <c r="C1287" s="17" t="str">
        <f>IFERROR(__xludf.DUMMYFUNCTION("""COMPUTED_VALUE"""),"M.67/SUMBEREJO SEJAHTERA")</f>
        <v>M.67/SUMBEREJO SEJAHTERA</v>
      </c>
      <c r="D1287" s="17">
        <f>IFERROR(__xludf.DUMMYFUNCTION("""COMPUTED_VALUE"""),45608.40214525463)</f>
        <v>45608.40215</v>
      </c>
      <c r="E1287" s="11" t="str">
        <f>IFERROR(__xludf.DUMMYFUNCTION("""COMPUTED_VALUE"""),"SKPT LELANG")</f>
        <v>SKPT LELANG</v>
      </c>
      <c r="F1287" s="11" t="str">
        <f>IFERROR(__xludf.DUMMYFUNCTION("""COMPUTED_VALUE"""),"TITIK WIJAYANTI/ADE FIRMANSYAH")</f>
        <v>TITIK WIJAYANTI/ADE FIRMANSYAH</v>
      </c>
      <c r="G1287" s="13">
        <f t="shared" si="1"/>
        <v>1079</v>
      </c>
      <c r="H1287" s="13" t="str">
        <f>IFERROR(__xludf.DUMMYFUNCTION("""COMPUTED_VALUE"""),"P0")</f>
        <v>P0</v>
      </c>
    </row>
    <row r="1288" ht="22.5" customHeight="1">
      <c r="B1288" s="17" t="str">
        <f>IFERROR(__xludf.DUMMYFUNCTION("""COMPUTED_VALUE"""),"K/6/121124/2")</f>
        <v>K/6/121124/2</v>
      </c>
      <c r="C1288" s="17" t="str">
        <f>IFERROR(__xludf.DUMMYFUNCTION("""COMPUTED_VALUE"""),"B.865/KETEGUHAN ")</f>
        <v>B.865/KETEGUHAN </v>
      </c>
      <c r="D1288" s="17">
        <f>IFERROR(__xludf.DUMMYFUNCTION("""COMPUTED_VALUE"""),45608.40290365741)</f>
        <v>45608.4029</v>
      </c>
      <c r="E1288" s="11" t="str">
        <f>IFERROR(__xludf.DUMMYFUNCTION("""COMPUTED_VALUE"""),"SKPT LELANG")</f>
        <v>SKPT LELANG</v>
      </c>
      <c r="F1288" s="11" t="str">
        <f>IFERROR(__xludf.DUMMYFUNCTION("""COMPUTED_VALUE"""),"TITIK WIJAYANTI/ADE FIRMANSYAH")</f>
        <v>TITIK WIJAYANTI/ADE FIRMANSYAH</v>
      </c>
      <c r="G1288" s="13">
        <f t="shared" si="1"/>
        <v>1080</v>
      </c>
      <c r="H1288" s="13" t="str">
        <f>IFERROR(__xludf.DUMMYFUNCTION("""COMPUTED_VALUE"""),"P0")</f>
        <v>P0</v>
      </c>
    </row>
    <row r="1289" ht="22.5" customHeight="1">
      <c r="B1289" s="17" t="str">
        <f>IFERROR(__xludf.DUMMYFUNCTION("""COMPUTED_VALUE"""),"K/39/151024/1")</f>
        <v>K/39/151024/1</v>
      </c>
      <c r="C1289" s="17" t="str">
        <f>IFERROR(__xludf.DUMMYFUNCTION("""COMPUTED_VALUE"""),"M.13978/TANJUNG BARU")</f>
        <v>M.13978/TANJUNG BARU</v>
      </c>
      <c r="D1289" s="17">
        <f>IFERROR(__xludf.DUMMYFUNCTION("""COMPUTED_VALUE"""),45608.40704747685)</f>
        <v>45608.40705</v>
      </c>
      <c r="E1289" s="11" t="str">
        <f>IFERROR(__xludf.DUMMYFUNCTION("""COMPUTED_VALUE"""),"PERALIHAN JUAL BELI")</f>
        <v>PERALIHAN JUAL BELI</v>
      </c>
      <c r="F1289" s="11" t="str">
        <f>IFERROR(__xludf.DUMMYFUNCTION("""COMPUTED_VALUE"""),"SUMIRAT/RINI ANHARI")</f>
        <v>SUMIRAT/RINI ANHARI</v>
      </c>
      <c r="G1289" s="13">
        <f t="shared" si="1"/>
        <v>1080</v>
      </c>
      <c r="H1289" s="13" t="str">
        <f>IFERROR(__xludf.DUMMYFUNCTION("""COMPUTED_VALUE"""),"P1")</f>
        <v>P1</v>
      </c>
    </row>
    <row r="1290" ht="22.5" customHeight="1">
      <c r="B1290" s="17" t="str">
        <f>IFERROR(__xludf.DUMMYFUNCTION("""COMPUTED_VALUE"""),"K/7/121124/1")</f>
        <v>K/7/121124/1</v>
      </c>
      <c r="C1290" s="17" t="str">
        <f>IFERROR(__xludf.DUMMYFUNCTION("""COMPUTED_VALUE"""),"M. 1103/ Sukamaju")</f>
        <v>M. 1103/ Sukamaju</v>
      </c>
      <c r="D1290" s="17">
        <f>IFERROR(__xludf.DUMMYFUNCTION("""COMPUTED_VALUE"""),45608.408832615736)</f>
        <v>45608.40883</v>
      </c>
      <c r="E1290" s="11" t="str">
        <f>IFERROR(__xludf.DUMMYFUNCTION("""COMPUTED_VALUE"""),"BN Waris")</f>
        <v>BN Waris</v>
      </c>
      <c r="F1290" s="11" t="str">
        <f>IFERROR(__xludf.DUMMYFUNCTION("""COMPUTED_VALUE"""),"Eko Tamina/ Indra Yama CS")</f>
        <v>Eko Tamina/ Indra Yama CS</v>
      </c>
      <c r="G1290" s="13">
        <f t="shared" si="1"/>
        <v>1081</v>
      </c>
      <c r="H1290" s="13" t="str">
        <f>IFERROR(__xludf.DUMMYFUNCTION("""COMPUTED_VALUE"""),"P0")</f>
        <v>P0</v>
      </c>
    </row>
    <row r="1291" ht="22.5" customHeight="1">
      <c r="B1291" s="17" t="str">
        <f>IFERROR(__xludf.DUMMYFUNCTION("""COMPUTED_VALUE"""),"K/8/121124/1")</f>
        <v>K/8/121124/1</v>
      </c>
      <c r="C1291" s="17" t="str">
        <f>IFERROR(__xludf.DUMMYFUNCTION("""COMPUTED_VALUE"""),"M. 467/ Kota Sepang")</f>
        <v>M. 467/ Kota Sepang</v>
      </c>
      <c r="D1291" s="17">
        <f>IFERROR(__xludf.DUMMYFUNCTION("""COMPUTED_VALUE"""),45608.410708842595)</f>
        <v>45608.41071</v>
      </c>
      <c r="E1291" s="11" t="str">
        <f>IFERROR(__xludf.DUMMYFUNCTION("""COMPUTED_VALUE"""),"BN JUAL BELI")</f>
        <v>BN JUAL BELI</v>
      </c>
      <c r="F1291" s="11" t="str">
        <f>IFERROR(__xludf.DUMMYFUNCTION("""COMPUTED_VALUE""")," AROSWANTAMA/ RINAWATI")</f>
        <v> AROSWANTAMA/ RINAWATI</v>
      </c>
      <c r="G1291" s="13">
        <f t="shared" si="1"/>
        <v>1082</v>
      </c>
      <c r="H1291" s="13" t="str">
        <f>IFERROR(__xludf.DUMMYFUNCTION("""COMPUTED_VALUE"""),"P0")</f>
        <v>P0</v>
      </c>
    </row>
    <row r="1292" ht="22.5" customHeight="1">
      <c r="B1292" s="17" t="str">
        <f>IFERROR(__xludf.DUMMYFUNCTION("""COMPUTED_VALUE"""),"K/9/121124/2")</f>
        <v>K/9/121124/2</v>
      </c>
      <c r="C1292" s="17" t="str">
        <f>IFERROR(__xludf.DUMMYFUNCTION("""COMPUTED_VALUE"""),"Nibel 2551/ Bumi raya")</f>
        <v>Nibel 2551/ Bumi raya</v>
      </c>
      <c r="D1292" s="17">
        <f>IFERROR(__xludf.DUMMYFUNCTION("""COMPUTED_VALUE"""),45608.41305479167)</f>
        <v>45608.41305</v>
      </c>
      <c r="E1292" s="11" t="str">
        <f>IFERROR(__xludf.DUMMYFUNCTION("""COMPUTED_VALUE"""),"BN PHB")</f>
        <v>BN PHB</v>
      </c>
      <c r="F1292" s="11" t="str">
        <f>IFERROR(__xludf.DUMMYFUNCTION("""COMPUTED_VALUE"""),"A ROSWANTAMA/ DWI")</f>
        <v>A ROSWANTAMA/ DWI</v>
      </c>
      <c r="G1292" s="13">
        <f t="shared" si="1"/>
        <v>1083</v>
      </c>
      <c r="H1292" s="13" t="str">
        <f>IFERROR(__xludf.DUMMYFUNCTION("""COMPUTED_VALUE"""),"P0")</f>
        <v>P0</v>
      </c>
    </row>
    <row r="1293" ht="22.5" customHeight="1">
      <c r="B1293" s="17" t="str">
        <f>IFERROR(__xludf.DUMMYFUNCTION("""COMPUTED_VALUE""")," K/14/171024/5")</f>
        <v> K/14/171024/5</v>
      </c>
      <c r="C1293" s="17" t="str">
        <f>IFERROR(__xludf.DUMMYFUNCTION("""COMPUTED_VALUE"""),"M. 2465/ Pinang Jaya")</f>
        <v>M. 2465/ Pinang Jaya</v>
      </c>
      <c r="D1293" s="17">
        <f>IFERROR(__xludf.DUMMYFUNCTION("""COMPUTED_VALUE"""),45608.41586111111)</f>
        <v>45608.41586</v>
      </c>
      <c r="E1293" s="11" t="str">
        <f>IFERROR(__xludf.DUMMYFUNCTION("""COMPUTED_VALUE"""),"BN JUAL BELI")</f>
        <v>BN JUAL BELI</v>
      </c>
      <c r="F1293" s="11" t="str">
        <f>IFERROR(__xludf.DUMMYFUNCTION("""COMPUTED_VALUE"""),"Eka Sari Taherah")</f>
        <v>Eka Sari Taherah</v>
      </c>
      <c r="G1293" s="13">
        <f t="shared" si="1"/>
        <v>1084</v>
      </c>
      <c r="H1293" s="13" t="str">
        <f>IFERROR(__xludf.DUMMYFUNCTION("""COMPUTED_VALUE"""),"P0")</f>
        <v>P0</v>
      </c>
    </row>
    <row r="1294" ht="22.5" customHeight="1">
      <c r="B1294" s="17" t="str">
        <f>IFERROR(__xludf.DUMMYFUNCTION("""COMPUTED_VALUE"""),"K/10/121124/1")</f>
        <v>K/10/121124/1</v>
      </c>
      <c r="C1294" s="17" t="str">
        <f>IFERROR(__xludf.DUMMYFUNCTION("""COMPUTED_VALUE"""),"M. 370/ Campang Raya ")</f>
        <v>M. 370/ Campang Raya </v>
      </c>
      <c r="D1294" s="17">
        <f>IFERROR(__xludf.DUMMYFUNCTION("""COMPUTED_VALUE"""),45608.429747800925)</f>
        <v>45608.42975</v>
      </c>
      <c r="E1294" s="11" t="str">
        <f>IFERROR(__xludf.DUMMYFUNCTION("""COMPUTED_VALUE"""),"ROYA")</f>
        <v>ROYA</v>
      </c>
      <c r="F1294" s="11" t="str">
        <f>IFERROR(__xludf.DUMMYFUNCTION("""COMPUTED_VALUE"""),"EVI UDIN/ RONI CAHYADI")</f>
        <v>EVI UDIN/ RONI CAHYADI</v>
      </c>
      <c r="G1294" s="13">
        <f t="shared" si="1"/>
        <v>1085</v>
      </c>
      <c r="H1294" s="13" t="str">
        <f>IFERROR(__xludf.DUMMYFUNCTION("""COMPUTED_VALUE"""),"P0")</f>
        <v>P0</v>
      </c>
    </row>
    <row r="1295" ht="22.5" customHeight="1">
      <c r="B1295" s="17" t="str">
        <f>IFERROR(__xludf.DUMMYFUNCTION("""COMPUTED_VALUE"""),"K/11/121124/1")</f>
        <v>K/11/121124/1</v>
      </c>
      <c r="C1295" s="17" t="str">
        <f>IFERROR(__xludf.DUMMYFUNCTION("""COMPUTED_VALUE"""),"M.5073/RAJABASA JAYA")</f>
        <v>M.5073/RAJABASA JAYA</v>
      </c>
      <c r="D1295" s="17">
        <f>IFERROR(__xludf.DUMMYFUNCTION("""COMPUTED_VALUE"""),45608.43061657407)</f>
        <v>45608.43062</v>
      </c>
      <c r="E1295" s="11" t="str">
        <f>IFERROR(__xludf.DUMMYFUNCTION("""COMPUTED_VALUE"""),"BN JUAL BELI")</f>
        <v>BN JUAL BELI</v>
      </c>
      <c r="F1295" s="11" t="str">
        <f>IFERROR(__xludf.DUMMYFUNCTION("""COMPUTED_VALUE"""),"MIRANDA OKTAVIA/EKA SARI TAHERAH")</f>
        <v>MIRANDA OKTAVIA/EKA SARI TAHERAH</v>
      </c>
      <c r="G1295" s="13">
        <f t="shared" si="1"/>
        <v>1086</v>
      </c>
      <c r="H1295" s="13" t="str">
        <f>IFERROR(__xludf.DUMMYFUNCTION("""COMPUTED_VALUE"""),"P0")</f>
        <v>P0</v>
      </c>
    </row>
    <row r="1296" ht="22.5" customHeight="1">
      <c r="B1296" s="17" t="str">
        <f>IFERROR(__xludf.DUMMYFUNCTION("""COMPUTED_VALUE"""),"K/12/121124/2")</f>
        <v>K/12/121124/2</v>
      </c>
      <c r="C1296" s="17" t="str">
        <f>IFERROR(__xludf.DUMMYFUNCTION("""COMPUTED_VALUE"""),"M.2462/PINANG JAYA")</f>
        <v>M.2462/PINANG JAYA</v>
      </c>
      <c r="D1296" s="17">
        <f>IFERROR(__xludf.DUMMYFUNCTION("""COMPUTED_VALUE"""),45608.43149136574)</f>
        <v>45608.43149</v>
      </c>
      <c r="E1296" s="11" t="str">
        <f>IFERROR(__xludf.DUMMYFUNCTION("""COMPUTED_VALUE"""),"BN JUAL BELI")</f>
        <v>BN JUAL BELI</v>
      </c>
      <c r="F1296" s="11" t="str">
        <f>IFERROR(__xludf.DUMMYFUNCTION("""COMPUTED_VALUE"""),"EMAWATY/EKA SARI TAHERAH")</f>
        <v>EMAWATY/EKA SARI TAHERAH</v>
      </c>
      <c r="G1296" s="13">
        <f t="shared" si="1"/>
        <v>1087</v>
      </c>
      <c r="H1296" s="13" t="str">
        <f>IFERROR(__xludf.DUMMYFUNCTION("""COMPUTED_VALUE"""),"P0")</f>
        <v>P0</v>
      </c>
    </row>
    <row r="1297" ht="22.5" customHeight="1">
      <c r="B1297" s="17" t="str">
        <f>IFERROR(__xludf.DUMMYFUNCTION("""COMPUTED_VALUE"""),"L/13/121124/1")</f>
        <v>L/13/121124/1</v>
      </c>
      <c r="C1297" s="17" t="str">
        <f>IFERROR(__xludf.DUMMYFUNCTION("""COMPUTED_VALUE"""),"NIB 7691/SUKARAME")</f>
        <v>NIB 7691/SUKARAME</v>
      </c>
      <c r="D1297" s="17">
        <f>IFERROR(__xludf.DUMMYFUNCTION("""COMPUTED_VALUE"""),45608.44054548611)</f>
        <v>45608.44055</v>
      </c>
      <c r="E1297" s="11" t="str">
        <f>IFERROR(__xludf.DUMMYFUNCTION("""COMPUTED_VALUE"""),"GANDES")</f>
        <v>GANDES</v>
      </c>
      <c r="F1297" s="11" t="str">
        <f>IFERROR(__xludf.DUMMYFUNCTION("""COMPUTED_VALUE"""),"AIDEL FIANDRA")</f>
        <v>AIDEL FIANDRA</v>
      </c>
      <c r="G1297" s="13">
        <f t="shared" si="1"/>
        <v>1088</v>
      </c>
      <c r="H1297" s="13" t="str">
        <f>IFERROR(__xludf.DUMMYFUNCTION("""COMPUTED_VALUE"""),"P0")</f>
        <v>P0</v>
      </c>
    </row>
    <row r="1298" ht="22.5" customHeight="1">
      <c r="B1298" s="17" t="str">
        <f>IFERROR(__xludf.DUMMYFUNCTION("""COMPUTED_VALUE"""),"K/14/121124/1")</f>
        <v>K/14/121124/1</v>
      </c>
      <c r="C1298" s="17" t="str">
        <f>IFERROR(__xludf.DUMMYFUNCTION("""COMPUTED_VALUE"""),"M. 1004/ Gunung Agung-SEKARANG; M. 9784/ SEGALA MIDER-DAHULU")</f>
        <v>M. 1004/ Gunung Agung-SEKARANG; M. 9784/ SEGALA MIDER-DAHULU</v>
      </c>
      <c r="D1298" s="17">
        <f>IFERROR(__xludf.DUMMYFUNCTION("""COMPUTED_VALUE"""),45608.44277638889)</f>
        <v>45608.44278</v>
      </c>
      <c r="E1298" s="11" t="str">
        <f>IFERROR(__xludf.DUMMYFUNCTION("""COMPUTED_VALUE"""),"BN HIBAH")</f>
        <v>BN HIBAH</v>
      </c>
      <c r="F1298" s="11" t="str">
        <f>IFERROR(__xludf.DUMMYFUNCTION("""COMPUTED_VALUE"""),"RAHMADIYANTI")</f>
        <v>RAHMADIYANTI</v>
      </c>
      <c r="G1298" s="13">
        <f t="shared" si="1"/>
        <v>1089</v>
      </c>
      <c r="H1298" s="13" t="str">
        <f>IFERROR(__xludf.DUMMYFUNCTION("""COMPUTED_VALUE"""),"P0")</f>
        <v>P0</v>
      </c>
    </row>
    <row r="1299" ht="22.5" customHeight="1">
      <c r="B1299" s="17" t="str">
        <f>IFERROR(__xludf.DUMMYFUNCTION("""COMPUTED_VALUE"""),"K/19/051124/1")</f>
        <v>K/19/051124/1</v>
      </c>
      <c r="C1299" s="17" t="str">
        <f>IFERROR(__xludf.DUMMYFUNCTION("""COMPUTED_VALUE"""),"M.2429/KEDAUNG")</f>
        <v>M.2429/KEDAUNG</v>
      </c>
      <c r="D1299" s="17">
        <f>IFERROR(__xludf.DUMMYFUNCTION("""COMPUTED_VALUE"""),45608.44115085648)</f>
        <v>45608.44115</v>
      </c>
      <c r="E1299" s="11" t="str">
        <f>IFERROR(__xludf.DUMMYFUNCTION("""COMPUTED_VALUE"""),"BN JUAL BELI")</f>
        <v>BN JUAL BELI</v>
      </c>
      <c r="F1299" s="11" t="str">
        <f>IFERROR(__xludf.DUMMYFUNCTION("""COMPUTED_VALUE"""),"MAISAROH/HERLINA RATNA SN")</f>
        <v>MAISAROH/HERLINA RATNA SN</v>
      </c>
      <c r="G1299" s="13">
        <f t="shared" si="1"/>
        <v>1089</v>
      </c>
      <c r="H1299" s="13" t="str">
        <f>IFERROR(__xludf.DUMMYFUNCTION("""COMPUTED_VALUE"""),"P1")</f>
        <v>P1</v>
      </c>
    </row>
    <row r="1300" ht="22.5" customHeight="1">
      <c r="B1300" s="17" t="str">
        <f>IFERROR(__xludf.DUMMYFUNCTION("""COMPUTED_VALUE"""),"K/16/121124/1")</f>
        <v>K/16/121124/1</v>
      </c>
      <c r="C1300" s="17" t="str">
        <f>IFERROR(__xludf.DUMMYFUNCTION("""COMPUTED_VALUE"""),"M. 253/ Kemiling Permai")</f>
        <v>M. 253/ Kemiling Permai</v>
      </c>
      <c r="D1300" s="17">
        <f>IFERROR(__xludf.DUMMYFUNCTION("""COMPUTED_VALUE"""),45608.44263582176)</f>
        <v>45608.44264</v>
      </c>
      <c r="E1300" s="11" t="str">
        <f>IFERROR(__xludf.DUMMYFUNCTION("""COMPUTED_VALUE"""),"Penurunan Hak")</f>
        <v>Penurunan Hak</v>
      </c>
      <c r="F1300" s="11" t="str">
        <f>IFERROR(__xludf.DUMMYFUNCTION("""COMPUTED_VALUE"""),"Dzaky Agustomi/ Elly R")</f>
        <v>Dzaky Agustomi/ Elly R</v>
      </c>
      <c r="G1300" s="13">
        <f t="shared" si="1"/>
        <v>1090</v>
      </c>
      <c r="H1300" s="13" t="str">
        <f>IFERROR(__xludf.DUMMYFUNCTION("""COMPUTED_VALUE"""),"P0")</f>
        <v>P0</v>
      </c>
    </row>
    <row r="1301" ht="22.5" customHeight="1">
      <c r="B1301" s="17" t="str">
        <f>IFERROR(__xludf.DUMMYFUNCTION("""COMPUTED_VALUE"""),"K/15/121124/2")</f>
        <v>K/15/121124/2</v>
      </c>
      <c r="C1301" s="17" t="str">
        <f>IFERROR(__xludf.DUMMYFUNCTION("""COMPUTED_VALUE"""),"M. 787, 786, 773/ Rajabasa Jaya")</f>
        <v>M. 787, 786, 773/ Rajabasa Jaya</v>
      </c>
      <c r="D1301" s="17">
        <f>IFERROR(__xludf.DUMMYFUNCTION("""COMPUTED_VALUE"""),45608.44573944445)</f>
        <v>45608.44574</v>
      </c>
      <c r="E1301" s="11" t="str">
        <f>IFERROR(__xludf.DUMMYFUNCTION("""COMPUTED_VALUE"""),"ROYA")</f>
        <v>ROYA</v>
      </c>
      <c r="F1301" s="11" t="str">
        <f>IFERROR(__xludf.DUMMYFUNCTION("""COMPUTED_VALUE"""),"RICHARD ADI/ ELLY KASIM")</f>
        <v>RICHARD ADI/ ELLY KASIM</v>
      </c>
      <c r="G1301" s="13">
        <f t="shared" si="1"/>
        <v>1091</v>
      </c>
      <c r="H1301" s="13" t="str">
        <f>IFERROR(__xludf.DUMMYFUNCTION("""COMPUTED_VALUE"""),"P0")</f>
        <v>P0</v>
      </c>
    </row>
    <row r="1302" ht="22.5" customHeight="1">
      <c r="B1302" s="17" t="str">
        <f>IFERROR(__xludf.DUMMYFUNCTION("""COMPUTED_VALUE"""),"K/17/121124/3")</f>
        <v>K/17/121124/3</v>
      </c>
      <c r="C1302" s="17" t="str">
        <f>IFERROR(__xludf.DUMMYFUNCTION("""COMPUTED_VALUE"""),"M.15/RAJABASA JAYA")</f>
        <v>M.15/RAJABASA JAYA</v>
      </c>
      <c r="D1302" s="17">
        <f>IFERROR(__xludf.DUMMYFUNCTION("""COMPUTED_VALUE"""),45608.44637240741)</f>
        <v>45608.44637</v>
      </c>
      <c r="E1302" s="11" t="str">
        <f>IFERROR(__xludf.DUMMYFUNCTION("""COMPUTED_VALUE"""),"ROYA")</f>
        <v>ROYA</v>
      </c>
      <c r="F1302" s="11" t="str">
        <f>IFERROR(__xludf.DUMMYFUNCTION("""COMPUTED_VALUE"""),"RASIMAN/EKA SARI TAHERAH")</f>
        <v>RASIMAN/EKA SARI TAHERAH</v>
      </c>
      <c r="G1302" s="13">
        <f t="shared" si="1"/>
        <v>1092</v>
      </c>
      <c r="H1302" s="13" t="str">
        <f>IFERROR(__xludf.DUMMYFUNCTION("""COMPUTED_VALUE"""),"P0")</f>
        <v>P0</v>
      </c>
    </row>
    <row r="1303" ht="22.5" customHeight="1">
      <c r="B1303" s="17" t="str">
        <f>IFERROR(__xludf.DUMMYFUNCTION("""COMPUTED_VALUE"""),"K/18/121124/1")</f>
        <v>K/18/121124/1</v>
      </c>
      <c r="C1303" s="17" t="str">
        <f>IFERROR(__xludf.DUMMYFUNCTION("""COMPUTED_VALUE"""),"Nibel 5278/ kemiling raya")</f>
        <v>Nibel 5278/ kemiling raya</v>
      </c>
      <c r="D1303" s="17">
        <f>IFERROR(__xludf.DUMMYFUNCTION("""COMPUTED_VALUE"""),45608.44736614583)</f>
        <v>45608.44737</v>
      </c>
      <c r="E1303" s="11" t="str">
        <f>IFERROR(__xludf.DUMMYFUNCTION("""COMPUTED_VALUE"""),"BN LELANG")</f>
        <v>BN LELANG</v>
      </c>
      <c r="F1303" s="11" t="str">
        <f>IFERROR(__xludf.DUMMYFUNCTION("""COMPUTED_VALUE"""),"KHOLILAH")</f>
        <v>KHOLILAH</v>
      </c>
      <c r="G1303" s="13">
        <f t="shared" si="1"/>
        <v>1093</v>
      </c>
      <c r="H1303" s="13" t="str">
        <f>IFERROR(__xludf.DUMMYFUNCTION("""COMPUTED_VALUE"""),"P0")</f>
        <v>P0</v>
      </c>
    </row>
    <row r="1304" ht="22.5" customHeight="1">
      <c r="B1304" s="17" t="str">
        <f>IFERROR(__xludf.DUMMYFUNCTION("""COMPUTED_VALUE"""),"K/19/121124/1")</f>
        <v>K/19/121124/1</v>
      </c>
      <c r="C1304" s="17" t="str">
        <f>IFERROR(__xludf.DUMMYFUNCTION("""COMPUTED_VALUE"""),"B. 225/ LABUHAN RATU RAYA")</f>
        <v>B. 225/ LABUHAN RATU RAYA</v>
      </c>
      <c r="D1304" s="17">
        <f>IFERROR(__xludf.DUMMYFUNCTION("""COMPUTED_VALUE"""),45608.4538525463)</f>
        <v>45608.45385</v>
      </c>
      <c r="E1304" s="11" t="str">
        <f>IFERROR(__xludf.DUMMYFUNCTION("""COMPUTED_VALUE"""),"PH")</f>
        <v>PH</v>
      </c>
      <c r="F1304" s="11" t="str">
        <f>IFERROR(__xludf.DUMMYFUNCTION("""COMPUTED_VALUE"""),"BILLY OBOR ABABIL / ACHMAD RIATAMA")</f>
        <v>BILLY OBOR ABABIL / ACHMAD RIATAMA</v>
      </c>
      <c r="G1304" s="13">
        <f t="shared" si="1"/>
        <v>1094</v>
      </c>
      <c r="H1304" s="13" t="str">
        <f>IFERROR(__xludf.DUMMYFUNCTION("""COMPUTED_VALUE"""),"P0")</f>
        <v>P0</v>
      </c>
    </row>
    <row r="1305" ht="22.5" customHeight="1">
      <c r="B1305" s="17" t="str">
        <f>IFERROR(__xludf.DUMMYFUNCTION("""COMPUTED_VALUE"""),"K/5/301024/4")</f>
        <v>K/5/301024/4</v>
      </c>
      <c r="C1305" s="17" t="str">
        <f>IFERROR(__xludf.DUMMYFUNCTION("""COMPUTED_VALUE"""),"M. 17942/ Sukarame")</f>
        <v>M. 17942/ Sukarame</v>
      </c>
      <c r="D1305" s="17">
        <f>IFERROR(__xludf.DUMMYFUNCTION("""COMPUTED_VALUE"""),45608.4491333912)</f>
        <v>45608.44913</v>
      </c>
      <c r="E1305" s="11" t="str">
        <f>IFERROR(__xludf.DUMMYFUNCTION("""COMPUTED_VALUE"""),"BN JUAL BELI")</f>
        <v>BN JUAL BELI</v>
      </c>
      <c r="F1305" s="11" t="str">
        <f>IFERROR(__xludf.DUMMYFUNCTION("""COMPUTED_VALUE"""),"NANIK MARYANI")</f>
        <v>NANIK MARYANI</v>
      </c>
      <c r="G1305" s="13">
        <f t="shared" si="1"/>
        <v>1094</v>
      </c>
      <c r="H1305" s="13" t="str">
        <f>IFERROR(__xludf.DUMMYFUNCTION("""COMPUTED_VALUE"""),"P1")</f>
        <v>P1</v>
      </c>
    </row>
    <row r="1306" ht="22.5" customHeight="1">
      <c r="B1306" s="17" t="str">
        <f>IFERROR(__xludf.DUMMYFUNCTION("""COMPUTED_VALUE"""),"K/20/121124/1")</f>
        <v>K/20/121124/1</v>
      </c>
      <c r="C1306" s="17" t="str">
        <f>IFERROR(__xludf.DUMMYFUNCTION("""COMPUTED_VALUE"""),"M.18944/SUKARAME I-SEKARANG;B.5019/SUKARAME I-DAHULU")</f>
        <v>M.18944/SUKARAME I-SEKARANG;B.5019/SUKARAME I-DAHULU</v>
      </c>
      <c r="D1306" s="17">
        <f>IFERROR(__xludf.DUMMYFUNCTION("""COMPUTED_VALUE"""),45608.45222409722)</f>
        <v>45608.45222</v>
      </c>
      <c r="E1306" s="11" t="str">
        <f>IFERROR(__xludf.DUMMYFUNCTION("""COMPUTED_VALUE"""),"PLOTING")</f>
        <v>PLOTING</v>
      </c>
      <c r="F1306" s="11" t="str">
        <f>IFERROR(__xludf.DUMMYFUNCTION("""COMPUTED_VALUE"""),"ASNIDIA/MAHFUD")</f>
        <v>ASNIDIA/MAHFUD</v>
      </c>
      <c r="G1306" s="13">
        <f t="shared" si="1"/>
        <v>1095</v>
      </c>
      <c r="H1306" s="13" t="str">
        <f>IFERROR(__xludf.DUMMYFUNCTION("""COMPUTED_VALUE"""),"P0")</f>
        <v>P0</v>
      </c>
    </row>
    <row r="1307" ht="22.5" customHeight="1">
      <c r="B1307" s="17" t="str">
        <f>IFERROR(__xludf.DUMMYFUNCTION("""COMPUTED_VALUE"""),"K/21/121124/1")</f>
        <v>K/21/121124/1</v>
      </c>
      <c r="C1307" s="17" t="str">
        <f>IFERROR(__xludf.DUMMYFUNCTION("""COMPUTED_VALUE"""),"M. 12302/ Jagabaya II")</f>
        <v>M. 12302/ Jagabaya II</v>
      </c>
      <c r="D1307" s="17">
        <f>IFERROR(__xludf.DUMMYFUNCTION("""COMPUTED_VALUE"""),45608.45593497685)</f>
        <v>45608.45593</v>
      </c>
      <c r="E1307" s="11" t="str">
        <f>IFERROR(__xludf.DUMMYFUNCTION("""COMPUTED_VALUE"""),"PTPGT (Pemecahan)")</f>
        <v>PTPGT (Pemecahan)</v>
      </c>
      <c r="F1307" s="11" t="str">
        <f>IFERROR(__xludf.DUMMYFUNCTION("""COMPUTED_VALUE"""),"Aditya/ Mena")</f>
        <v>Aditya/ Mena</v>
      </c>
      <c r="G1307" s="13">
        <f t="shared" si="1"/>
        <v>1096</v>
      </c>
      <c r="H1307" s="13" t="str">
        <f>IFERROR(__xludf.DUMMYFUNCTION("""COMPUTED_VALUE"""),"P0")</f>
        <v>P0</v>
      </c>
    </row>
    <row r="1308" ht="22.5" customHeight="1">
      <c r="B1308" s="17" t="str">
        <f>IFERROR(__xludf.DUMMYFUNCTION("""COMPUTED_VALUE"""),"L/22/121124/1")</f>
        <v>L/22/121124/1</v>
      </c>
      <c r="C1308" s="17" t="str">
        <f>IFERROR(__xludf.DUMMYFUNCTION("""COMPUTED_VALUE"""),"KEMILING PERMAI")</f>
        <v>KEMILING PERMAI</v>
      </c>
      <c r="D1308" s="17">
        <f>IFERROR(__xludf.DUMMYFUNCTION("""COMPUTED_VALUE"""),45608.45638737269)</f>
        <v>45608.45639</v>
      </c>
      <c r="E1308" s="11" t="str">
        <f>IFERROR(__xludf.DUMMYFUNCTION("""COMPUTED_VALUE"""),"PERMOHONAN SK")</f>
        <v>PERMOHONAN SK</v>
      </c>
      <c r="F1308" s="11" t="str">
        <f>IFERROR(__xludf.DUMMYFUNCTION("""COMPUTED_VALUE"""),"TRIASIH FAJARWATI")</f>
        <v>TRIASIH FAJARWATI</v>
      </c>
      <c r="G1308" s="13">
        <f t="shared" si="1"/>
        <v>1097</v>
      </c>
      <c r="H1308" s="13" t="str">
        <f>IFERROR(__xludf.DUMMYFUNCTION("""COMPUTED_VALUE"""),"P0")</f>
        <v>P0</v>
      </c>
    </row>
    <row r="1309" ht="22.5" customHeight="1">
      <c r="B1309" s="17" t="str">
        <f>IFERROR(__xludf.DUMMYFUNCTION("""COMPUTED_VALUE"""),"K/23/121124/1")</f>
        <v>K/23/121124/1</v>
      </c>
      <c r="C1309" s="17" t="str">
        <f>IFERROR(__xludf.DUMMYFUNCTION("""COMPUTED_VALUE"""),"Nibel 1221/ Durian Payung")</f>
        <v>Nibel 1221/ Durian Payung</v>
      </c>
      <c r="D1309" s="17">
        <f>IFERROR(__xludf.DUMMYFUNCTION("""COMPUTED_VALUE"""),45608.46093952547)</f>
        <v>45608.46094</v>
      </c>
      <c r="E1309" s="11" t="str">
        <f>IFERROR(__xludf.DUMMYFUNCTION("""COMPUTED_VALUE"""),"PERUBAHAN HAK")</f>
        <v>PERUBAHAN HAK</v>
      </c>
      <c r="F1309" s="11" t="str">
        <f>IFERROR(__xludf.DUMMYFUNCTION("""COMPUTED_VALUE"""),"NANIK MARYANI/ WENDY")</f>
        <v>NANIK MARYANI/ WENDY</v>
      </c>
      <c r="G1309" s="13">
        <f t="shared" si="1"/>
        <v>1098</v>
      </c>
      <c r="H1309" s="13" t="str">
        <f>IFERROR(__xludf.DUMMYFUNCTION("""COMPUTED_VALUE"""),"P0")</f>
        <v>P0</v>
      </c>
    </row>
    <row r="1310" ht="22.5" customHeight="1">
      <c r="B1310" s="17" t="str">
        <f>IFERROR(__xludf.DUMMYFUNCTION("""COMPUTED_VALUE"""),"K/25/121124/1")</f>
        <v>K/25/121124/1</v>
      </c>
      <c r="C1310" s="17" t="str">
        <f>IFERROR(__xludf.DUMMYFUNCTION("""COMPUTED_VALUE"""),"M. 2237/LANGKAPURA")</f>
        <v>M. 2237/LANGKAPURA</v>
      </c>
      <c r="D1310" s="17">
        <f>IFERROR(__xludf.DUMMYFUNCTION("""COMPUTED_VALUE"""),45608.474850694445)</f>
        <v>45608.47485</v>
      </c>
      <c r="E1310" s="11" t="str">
        <f>IFERROR(__xludf.DUMMYFUNCTION("""COMPUTED_VALUE"""),"ROYA")</f>
        <v>ROYA</v>
      </c>
      <c r="F1310" s="11" t="str">
        <f>IFERROR(__xludf.DUMMYFUNCTION("""COMPUTED_VALUE"""),"SINTA WULAN DESI / HERU WIRYOKO")</f>
        <v>SINTA WULAN DESI / HERU WIRYOKO</v>
      </c>
      <c r="G1310" s="13">
        <f t="shared" si="1"/>
        <v>1099</v>
      </c>
      <c r="H1310" s="13" t="str">
        <f>IFERROR(__xludf.DUMMYFUNCTION("""COMPUTED_VALUE"""),"P0")</f>
        <v>P0</v>
      </c>
    </row>
    <row r="1311" ht="22.5" customHeight="1">
      <c r="B1311" s="17" t="str">
        <f>IFERROR(__xludf.DUMMYFUNCTION("""COMPUTED_VALUE"""),"K/24/121124/2")</f>
        <v>K/24/121124/2</v>
      </c>
      <c r="C1311" s="17" t="str">
        <f>IFERROR(__xludf.DUMMYFUNCTION("""COMPUTED_VALUE"""),"B. 668/ Sukabumi Indah")</f>
        <v>B. 668/ Sukabumi Indah</v>
      </c>
      <c r="D1311" s="17">
        <f>IFERROR(__xludf.DUMMYFUNCTION("""COMPUTED_VALUE"""),45608.46953318287)</f>
        <v>45608.46953</v>
      </c>
      <c r="E1311" s="11" t="str">
        <f>IFERROR(__xludf.DUMMYFUNCTION("""COMPUTED_VALUE"""),"BN JUAL BELI")</f>
        <v>BN JUAL BELI</v>
      </c>
      <c r="F1311" s="11" t="str">
        <f>IFERROR(__xludf.DUMMYFUNCTION("""COMPUTED_VALUE"""),"NANIK MARYANI")</f>
        <v>NANIK MARYANI</v>
      </c>
      <c r="G1311" s="13">
        <f t="shared" si="1"/>
        <v>1100</v>
      </c>
      <c r="H1311" s="13" t="str">
        <f>IFERROR(__xludf.DUMMYFUNCTION("""COMPUTED_VALUE"""),"P0")</f>
        <v>P0</v>
      </c>
    </row>
    <row r="1312" ht="22.5" customHeight="1">
      <c r="B1312" s="17" t="str">
        <f>IFERROR(__xludf.DUMMYFUNCTION("""COMPUTED_VALUE"""),"K/26/121124/3")</f>
        <v>K/26/121124/3</v>
      </c>
      <c r="C1312" s="17" t="str">
        <f>IFERROR(__xludf.DUMMYFUNCTION("""COMPUTED_VALUE"""),"M. 16695/ Sukabumi")</f>
        <v>M. 16695/ Sukabumi</v>
      </c>
      <c r="D1312" s="17">
        <f>IFERROR(__xludf.DUMMYFUNCTION("""COMPUTED_VALUE"""),45608.477359756944)</f>
        <v>45608.47736</v>
      </c>
      <c r="E1312" s="11" t="str">
        <f>IFERROR(__xludf.DUMMYFUNCTION("""COMPUTED_VALUE"""),"BN JUAL BELI")</f>
        <v>BN JUAL BELI</v>
      </c>
      <c r="F1312" s="11" t="str">
        <f>IFERROR(__xludf.DUMMYFUNCTION("""COMPUTED_VALUE"""),"NANIK MARYANI")</f>
        <v>NANIK MARYANI</v>
      </c>
      <c r="G1312" s="13">
        <f t="shared" si="1"/>
        <v>1101</v>
      </c>
      <c r="H1312" s="13" t="str">
        <f>IFERROR(__xludf.DUMMYFUNCTION("""COMPUTED_VALUE"""),"P0")</f>
        <v>P0</v>
      </c>
    </row>
    <row r="1313" ht="22.5" customHeight="1">
      <c r="B1313" s="17" t="str">
        <f>IFERROR(__xludf.DUMMYFUNCTION("""COMPUTED_VALUE"""),"L/27/121124/1")</f>
        <v>L/27/121124/1</v>
      </c>
      <c r="C1313" s="17" t="str">
        <f>IFERROR(__xludf.DUMMYFUNCTION("""COMPUTED_VALUE"""),"HM 10312/SUKABUMI")</f>
        <v>HM 10312/SUKABUMI</v>
      </c>
      <c r="D1313" s="17">
        <f>IFERROR(__xludf.DUMMYFUNCTION("""COMPUTED_VALUE"""),45608.47976619213)</f>
        <v>45608.47977</v>
      </c>
      <c r="E1313" s="11" t="str">
        <f>IFERROR(__xludf.DUMMYFUNCTION("""COMPUTED_VALUE"""),"PTPGT")</f>
        <v>PTPGT</v>
      </c>
      <c r="F1313" s="11" t="str">
        <f>IFERROR(__xludf.DUMMYFUNCTION("""COMPUTED_VALUE"""),"SAIFUL FITRI")</f>
        <v>SAIFUL FITRI</v>
      </c>
      <c r="G1313" s="13">
        <f t="shared" si="1"/>
        <v>1102</v>
      </c>
      <c r="H1313" s="13" t="str">
        <f>IFERROR(__xludf.DUMMYFUNCTION("""COMPUTED_VALUE"""),"P0")</f>
        <v>P0</v>
      </c>
    </row>
    <row r="1314" ht="22.5" customHeight="1">
      <c r="B1314" s="17" t="str">
        <f>IFERROR(__xludf.DUMMYFUNCTION("""COMPUTED_VALUE"""),"K/28/121124/1")</f>
        <v>K/28/121124/1</v>
      </c>
      <c r="C1314" s="17" t="str">
        <f>IFERROR(__xludf.DUMMYFUNCTION("""COMPUTED_VALUE"""),"Nibel. M. 8263/ Pesawahan")</f>
        <v>Nibel. M. 8263/ Pesawahan</v>
      </c>
      <c r="D1314" s="17">
        <f>IFERROR(__xludf.DUMMYFUNCTION("""COMPUTED_VALUE"""),45608.48531089121)</f>
        <v>45608.48531</v>
      </c>
      <c r="E1314" s="11" t="str">
        <f>IFERROR(__xludf.DUMMYFUNCTION("""COMPUTED_VALUE"""),"BN Waris")</f>
        <v>BN Waris</v>
      </c>
      <c r="F1314" s="11" t="str">
        <f>IFERROR(__xludf.DUMMYFUNCTION("""COMPUTED_VALUE"""),"Richard Adi P/ Henny Cs")</f>
        <v>Richard Adi P/ Henny Cs</v>
      </c>
      <c r="G1314" s="13">
        <f t="shared" si="1"/>
        <v>1103</v>
      </c>
      <c r="H1314" s="13" t="str">
        <f>IFERROR(__xludf.DUMMYFUNCTION("""COMPUTED_VALUE"""),"P0")</f>
        <v>P0</v>
      </c>
    </row>
    <row r="1315" ht="22.5" customHeight="1">
      <c r="B1315" s="17" t="str">
        <f>IFERROR(__xludf.DUMMYFUNCTION("""COMPUTED_VALUE"""),"L/29/121124/1")</f>
        <v>L/29/121124/1</v>
      </c>
      <c r="C1315" s="17" t="str">
        <f>IFERROR(__xludf.DUMMYFUNCTION("""COMPUTED_VALUE"""),"HM 358/WHP")</f>
        <v>HM 358/WHP</v>
      </c>
      <c r="D1315" s="17">
        <f>IFERROR(__xludf.DUMMYFUNCTION("""COMPUTED_VALUE"""),45608.485900671294)</f>
        <v>45608.4859</v>
      </c>
      <c r="E1315" s="11" t="str">
        <f>IFERROR(__xludf.DUMMYFUNCTION("""COMPUTED_VALUE"""),"ROYA")</f>
        <v>ROYA</v>
      </c>
      <c r="F1315" s="11" t="str">
        <f>IFERROR(__xludf.DUMMYFUNCTION("""COMPUTED_VALUE"""),"ASTRID TANDIARI")</f>
        <v>ASTRID TANDIARI</v>
      </c>
      <c r="G1315" s="13">
        <f t="shared" si="1"/>
        <v>1104</v>
      </c>
      <c r="H1315" s="13" t="str">
        <f>IFERROR(__xludf.DUMMYFUNCTION("""COMPUTED_VALUE"""),"P0")</f>
        <v>P0</v>
      </c>
    </row>
    <row r="1316" ht="22.5" customHeight="1">
      <c r="B1316" s="17" t="str">
        <f>IFERROR(__xludf.DUMMYFUNCTION("""COMPUTED_VALUE"""),"K/30/121124/1")</f>
        <v>K/30/121124/1</v>
      </c>
      <c r="C1316" s="17" t="str">
        <f>IFERROR(__xludf.DUMMYFUNCTION("""COMPUTED_VALUE"""),"M.1142/BUMI KEDAMAIAN")</f>
        <v>M.1142/BUMI KEDAMAIAN</v>
      </c>
      <c r="D1316" s="17">
        <f>IFERROR(__xludf.DUMMYFUNCTION("""COMPUTED_VALUE"""),45608.49061787037)</f>
        <v>45608.49062</v>
      </c>
      <c r="E1316" s="11" t="str">
        <f>IFERROR(__xludf.DUMMYFUNCTION("""COMPUTED_VALUE"""),"BN JUAL BELI")</f>
        <v>BN JUAL BELI</v>
      </c>
      <c r="F1316" s="11" t="str">
        <f>IFERROR(__xludf.DUMMYFUNCTION("""COMPUTED_VALUE"""),"AAN/PANARY SITOPU")</f>
        <v>AAN/PANARY SITOPU</v>
      </c>
      <c r="G1316" s="13">
        <f t="shared" si="1"/>
        <v>1105</v>
      </c>
      <c r="H1316" s="13" t="str">
        <f>IFERROR(__xludf.DUMMYFUNCTION("""COMPUTED_VALUE"""),"P0")</f>
        <v>P0</v>
      </c>
    </row>
    <row r="1317" ht="22.5" customHeight="1">
      <c r="B1317" s="17" t="str">
        <f>IFERROR(__xludf.DUMMYFUNCTION("""COMPUTED_VALUE"""),"K/31/121124/2")</f>
        <v>K/31/121124/2</v>
      </c>
      <c r="C1317" s="17" t="str">
        <f>IFERROR(__xludf.DUMMYFUNCTION("""COMPUTED_VALUE"""),"M.14216/RAJABASA")</f>
        <v>M.14216/RAJABASA</v>
      </c>
      <c r="D1317" s="17">
        <f>IFERROR(__xludf.DUMMYFUNCTION("""COMPUTED_VALUE"""),45608.49126181713)</f>
        <v>45608.49126</v>
      </c>
      <c r="E1317" s="11" t="str">
        <f>IFERROR(__xludf.DUMMYFUNCTION("""COMPUTED_VALUE"""),"ROYA")</f>
        <v>ROYA</v>
      </c>
      <c r="F1317" s="11" t="str">
        <f>IFERROR(__xludf.DUMMYFUNCTION("""COMPUTED_VALUE"""),"WAHYUDI/PANARY SITOPU")</f>
        <v>WAHYUDI/PANARY SITOPU</v>
      </c>
      <c r="G1317" s="13">
        <f t="shared" si="1"/>
        <v>1106</v>
      </c>
      <c r="H1317" s="13" t="str">
        <f>IFERROR(__xludf.DUMMYFUNCTION("""COMPUTED_VALUE"""),"P0")</f>
        <v>P0</v>
      </c>
    </row>
    <row r="1318" ht="22.5" customHeight="1">
      <c r="B1318" s="17" t="str">
        <f>IFERROR(__xludf.DUMMYFUNCTION("""COMPUTED_VALUE"""),"K/32/121124/3")</f>
        <v>K/32/121124/3</v>
      </c>
      <c r="C1318" s="17" t="str">
        <f>IFERROR(__xludf.DUMMYFUNCTION("""COMPUTED_VALUE"""),"B.1269/SUMBERREJO")</f>
        <v>B.1269/SUMBERREJO</v>
      </c>
      <c r="D1318" s="17">
        <f>IFERROR(__xludf.DUMMYFUNCTION("""COMPUTED_VALUE"""),45608.49194277778)</f>
        <v>45608.49194</v>
      </c>
      <c r="E1318" s="11" t="str">
        <f>IFERROR(__xludf.DUMMYFUNCTION("""COMPUTED_VALUE"""),"PLOTING")</f>
        <v>PLOTING</v>
      </c>
      <c r="F1318" s="11" t="str">
        <f>IFERROR(__xludf.DUMMYFUNCTION("""COMPUTED_VALUE"""),"M THOLIB/PANARY SITOPU")</f>
        <v>M THOLIB/PANARY SITOPU</v>
      </c>
      <c r="G1318" s="13">
        <f t="shared" si="1"/>
        <v>1107</v>
      </c>
      <c r="H1318" s="13" t="str">
        <f>IFERROR(__xludf.DUMMYFUNCTION("""COMPUTED_VALUE"""),"P0")</f>
        <v>P0</v>
      </c>
    </row>
    <row r="1319" ht="22.5" customHeight="1">
      <c r="B1319" s="17" t="str">
        <f>IFERROR(__xludf.DUMMYFUNCTION("""COMPUTED_VALUE"""),"L/33/121124/1")</f>
        <v>L/33/121124/1</v>
      </c>
      <c r="C1319" s="17" t="str">
        <f>IFERROR(__xludf.DUMMYFUNCTION("""COMPUTED_VALUE"""),"HM 838/PINANG JAYA")</f>
        <v>HM 838/PINANG JAYA</v>
      </c>
      <c r="D1319" s="17">
        <f>IFERROR(__xludf.DUMMYFUNCTION("""COMPUTED_VALUE"""),45608.5465416088)</f>
        <v>45608.54654</v>
      </c>
      <c r="E1319" s="11" t="str">
        <f>IFERROR(__xludf.DUMMYFUNCTION("""COMPUTED_VALUE"""),"ROYA")</f>
        <v>ROYA</v>
      </c>
      <c r="F1319" s="11" t="str">
        <f>IFERROR(__xludf.DUMMYFUNCTION("""COMPUTED_VALUE"""),"NONING VERAWATI")</f>
        <v>NONING VERAWATI</v>
      </c>
      <c r="G1319" s="13">
        <f t="shared" si="1"/>
        <v>1108</v>
      </c>
      <c r="H1319" s="13" t="str">
        <f>IFERROR(__xludf.DUMMYFUNCTION("""COMPUTED_VALUE"""),"P0")</f>
        <v>P0</v>
      </c>
    </row>
    <row r="1320" ht="22.5" customHeight="1">
      <c r="B1320" s="17" t="str">
        <f>IFERROR(__xludf.DUMMYFUNCTION("""COMPUTED_VALUE"""),"K/2/051124/2")</f>
        <v>K/2/051124/2</v>
      </c>
      <c r="C1320" s="17" t="str">
        <f>IFERROR(__xludf.DUMMYFUNCTION("""COMPUTED_VALUE"""),"M.631/LANGKAPURA BARU")</f>
        <v>M.631/LANGKAPURA BARU</v>
      </c>
      <c r="D1320" s="17">
        <f>IFERROR(__xludf.DUMMYFUNCTION("""COMPUTED_VALUE"""),45608.54850524306)</f>
        <v>45608.54851</v>
      </c>
      <c r="E1320" s="11" t="str">
        <f>IFERROR(__xludf.DUMMYFUNCTION("""COMPUTED_VALUE"""),"BN JUAL BELI")</f>
        <v>BN JUAL BELI</v>
      </c>
      <c r="F1320" s="11" t="str">
        <f>IFERROR(__xludf.DUMMYFUNCTION("""COMPUTED_VALUE"""),"WURI VALENDZA WIJAYA/RENALDI PRATAMA SIRYA")</f>
        <v>WURI VALENDZA WIJAYA/RENALDI PRATAMA SIRYA</v>
      </c>
      <c r="G1320" s="13">
        <f t="shared" si="1"/>
        <v>1108</v>
      </c>
      <c r="H1320" s="13" t="str">
        <f>IFERROR(__xludf.DUMMYFUNCTION("""COMPUTED_VALUE"""),"P1")</f>
        <v>P1</v>
      </c>
    </row>
    <row r="1321" ht="22.5" customHeight="1">
      <c r="B1321" s="17" t="str">
        <f>IFERROR(__xludf.DUMMYFUNCTION("""COMPUTED_VALUE"""),"K/34/121124/1")</f>
        <v>K/34/121124/1</v>
      </c>
      <c r="C1321" s="17" t="str">
        <f>IFERROR(__xludf.DUMMYFUNCTION("""COMPUTED_VALUE"""),"M. 121/ Enggal")</f>
        <v>M. 121/ Enggal</v>
      </c>
      <c r="D1321" s="17">
        <f>IFERROR(__xludf.DUMMYFUNCTION("""COMPUTED_VALUE"""),45608.54896956019)</f>
        <v>45608.54897</v>
      </c>
      <c r="E1321" s="11" t="str">
        <f>IFERROR(__xludf.DUMMYFUNCTION("""COMPUTED_VALUE"""),"BN Waris")</f>
        <v>BN Waris</v>
      </c>
      <c r="F1321" s="11" t="str">
        <f>IFERROR(__xludf.DUMMYFUNCTION("""COMPUTED_VALUE"""),"Imelda P/ Awalusin A Cs")</f>
        <v>Imelda P/ Awalusin A Cs</v>
      </c>
      <c r="G1321" s="13">
        <f t="shared" si="1"/>
        <v>1109</v>
      </c>
      <c r="H1321" s="13" t="str">
        <f>IFERROR(__xludf.DUMMYFUNCTION("""COMPUTED_VALUE"""),"P0")</f>
        <v>P0</v>
      </c>
    </row>
    <row r="1322" ht="22.5" customHeight="1">
      <c r="B1322" s="17" t="str">
        <f>IFERROR(__xludf.DUMMYFUNCTION("""COMPUTED_VALUE"""),"K/36/121124/1")</f>
        <v>K/36/121124/1</v>
      </c>
      <c r="C1322" s="17" t="str">
        <f>IFERROR(__xludf.DUMMYFUNCTION("""COMPUTED_VALUE"""),"M.1599/WAY KANDIS")</f>
        <v>M.1599/WAY KANDIS</v>
      </c>
      <c r="D1322" s="17">
        <f>IFERROR(__xludf.DUMMYFUNCTION("""COMPUTED_VALUE"""),45608.562849131944)</f>
        <v>45608.56285</v>
      </c>
      <c r="E1322" s="11" t="str">
        <f>IFERROR(__xludf.DUMMYFUNCTION("""COMPUTED_VALUE"""),"GANDES")</f>
        <v>GANDES</v>
      </c>
      <c r="F1322" s="11" t="str">
        <f>IFERROR(__xludf.DUMMYFUNCTION("""COMPUTED_VALUE"""),"AFRIDA CS/NURYATI")</f>
        <v>AFRIDA CS/NURYATI</v>
      </c>
      <c r="G1322" s="13">
        <f t="shared" si="1"/>
        <v>1110</v>
      </c>
      <c r="H1322" s="13" t="str">
        <f>IFERROR(__xludf.DUMMYFUNCTION("""COMPUTED_VALUE"""),"P0")</f>
        <v>P0</v>
      </c>
    </row>
    <row r="1323" ht="22.5" customHeight="1">
      <c r="B1323" s="17" t="str">
        <f>IFERROR(__xludf.DUMMYFUNCTION("""COMPUTED_VALUE"""),"L/37/121124/1")</f>
        <v>L/37/121124/1</v>
      </c>
      <c r="C1323" s="17" t="str">
        <f>IFERROR(__xludf.DUMMYFUNCTION("""COMPUTED_VALUE"""),"NIB7348/TANJUNG BARU")</f>
        <v>NIB7348/TANJUNG BARU</v>
      </c>
      <c r="D1323" s="17">
        <f>IFERROR(__xludf.DUMMYFUNCTION("""COMPUTED_VALUE"""),45608.56343365741)</f>
        <v>45608.56343</v>
      </c>
      <c r="E1323" s="11" t="str">
        <f>IFERROR(__xludf.DUMMYFUNCTION("""COMPUTED_VALUE"""),"PH")</f>
        <v>PH</v>
      </c>
      <c r="F1323" s="11" t="str">
        <f>IFERROR(__xludf.DUMMYFUNCTION("""COMPUTED_VALUE"""),"TJANDERA WIDJONO")</f>
        <v>TJANDERA WIDJONO</v>
      </c>
      <c r="G1323" s="13">
        <f t="shared" si="1"/>
        <v>1111</v>
      </c>
      <c r="H1323" s="13" t="str">
        <f>IFERROR(__xludf.DUMMYFUNCTION("""COMPUTED_VALUE"""),"P0")</f>
        <v>P0</v>
      </c>
    </row>
    <row r="1324" ht="22.5" customHeight="1">
      <c r="B1324" s="17" t="str">
        <f>IFERROR(__xludf.DUMMYFUNCTION("""COMPUTED_VALUE"""),"K/35/121124/1")</f>
        <v>K/35/121124/1</v>
      </c>
      <c r="C1324" s="17" t="str">
        <f>IFERROR(__xludf.DUMMYFUNCTION("""COMPUTED_VALUE"""),"M. 1892/LANGKAPURA")</f>
        <v>M. 1892/LANGKAPURA</v>
      </c>
      <c r="D1324" s="17">
        <f>IFERROR(__xludf.DUMMYFUNCTION("""COMPUTED_VALUE"""),45608.56600364583)</f>
        <v>45608.566</v>
      </c>
      <c r="E1324" s="11" t="str">
        <f>IFERROR(__xludf.DUMMYFUNCTION("""COMPUTED_VALUE"""),"GANDES")</f>
        <v>GANDES</v>
      </c>
      <c r="F1324" s="11" t="str">
        <f>IFERROR(__xludf.DUMMYFUNCTION("""COMPUTED_VALUE"""),"RENALDI PRATAMA SIRYA / LISMIYATI")</f>
        <v>RENALDI PRATAMA SIRYA / LISMIYATI</v>
      </c>
      <c r="G1324" s="13">
        <f t="shared" si="1"/>
        <v>1112</v>
      </c>
      <c r="H1324" s="13" t="str">
        <f>IFERROR(__xludf.DUMMYFUNCTION("""COMPUTED_VALUE"""),"P0")</f>
        <v>P0</v>
      </c>
    </row>
    <row r="1325" ht="22.5" customHeight="1">
      <c r="B1325" s="17" t="str">
        <f>IFERROR(__xludf.DUMMYFUNCTION("""COMPUTED_VALUE"""),"K/38/121124/1")</f>
        <v>K/38/121124/1</v>
      </c>
      <c r="C1325" s="17" t="str">
        <f>IFERROR(__xludf.DUMMYFUNCTION("""COMPUTED_VALUE"""),"M. 1833/ Rajabasa Jaya")</f>
        <v>M. 1833/ Rajabasa Jaya</v>
      </c>
      <c r="D1325" s="17">
        <f>IFERROR(__xludf.DUMMYFUNCTION("""COMPUTED_VALUE"""),45608.56961939815)</f>
        <v>45608.56962</v>
      </c>
      <c r="E1325" s="11" t="str">
        <f>IFERROR(__xludf.DUMMYFUNCTION("""COMPUTED_VALUE"""),"Penataan Batas")</f>
        <v>Penataan Batas</v>
      </c>
      <c r="F1325" s="11" t="str">
        <f>IFERROR(__xludf.DUMMYFUNCTION("""COMPUTED_VALUE"""),"Vivi A/ Nurhayati")</f>
        <v>Vivi A/ Nurhayati</v>
      </c>
      <c r="G1325" s="13">
        <f t="shared" si="1"/>
        <v>1113</v>
      </c>
      <c r="H1325" s="13" t="str">
        <f>IFERROR(__xludf.DUMMYFUNCTION("""COMPUTED_VALUE"""),"P0")</f>
        <v>P0</v>
      </c>
    </row>
    <row r="1326" ht="22.5" customHeight="1">
      <c r="B1326" s="17" t="str">
        <f>IFERROR(__xludf.DUMMYFUNCTION("""COMPUTED_VALUE"""),"K/51/311024/4")</f>
        <v>K/51/311024/4</v>
      </c>
      <c r="C1326" s="17" t="str">
        <f>IFERROR(__xludf.DUMMYFUNCTION("""COMPUTED_VALUE"""),"M.5979/WAY KANDIS")</f>
        <v>M.5979/WAY KANDIS</v>
      </c>
      <c r="D1326" s="17">
        <f>IFERROR(__xludf.DUMMYFUNCTION("""COMPUTED_VALUE"""),45608.57170204861)</f>
        <v>45608.5717</v>
      </c>
      <c r="E1326" s="11" t="str">
        <f>IFERROR(__xludf.DUMMYFUNCTION("""COMPUTED_VALUE"""),"KEWARISAN")</f>
        <v>KEWARISAN</v>
      </c>
      <c r="F1326" s="11" t="str">
        <f>IFERROR(__xludf.DUMMYFUNCTION("""COMPUTED_VALUE"""),"MAIMUNAH CS/NOVALIA EKA PUTRI")</f>
        <v>MAIMUNAH CS/NOVALIA EKA PUTRI</v>
      </c>
      <c r="G1326" s="13">
        <f t="shared" si="1"/>
        <v>1113</v>
      </c>
      <c r="H1326" s="13" t="str">
        <f>IFERROR(__xludf.DUMMYFUNCTION("""COMPUTED_VALUE"""),"P1")</f>
        <v>P1</v>
      </c>
    </row>
    <row r="1327" ht="22.5" customHeight="1">
      <c r="B1327" s="17" t="str">
        <f>IFERROR(__xludf.DUMMYFUNCTION("""COMPUTED_VALUE"""),"K/17/061124/1")</f>
        <v>K/17/061124/1</v>
      </c>
      <c r="C1327" s="17" t="str">
        <f>IFERROR(__xludf.DUMMYFUNCTION("""COMPUTED_VALUE"""),"M.1375/BERINGIN JAYA-SEKARANG;B.2740/BERINGIN RAYA-DAHULU")</f>
        <v>M.1375/BERINGIN JAYA-SEKARANG;B.2740/BERINGIN RAYA-DAHULU</v>
      </c>
      <c r="D1327" s="17">
        <f>IFERROR(__xludf.DUMMYFUNCTION("""COMPUTED_VALUE"""),45608.57322226852)</f>
        <v>45608.57322</v>
      </c>
      <c r="E1327" s="11" t="str">
        <f>IFERROR(__xludf.DUMMYFUNCTION("""COMPUTED_VALUE"""),"BN JUAL BELI")</f>
        <v>BN JUAL BELI</v>
      </c>
      <c r="F1327" s="11" t="str">
        <f>IFERROR(__xludf.DUMMYFUNCTION("""COMPUTED_VALUE"""),"APRIANA INDARWATI/NOVALIA EKA PUTRI")</f>
        <v>APRIANA INDARWATI/NOVALIA EKA PUTRI</v>
      </c>
      <c r="G1327" s="13">
        <f t="shared" si="1"/>
        <v>1113</v>
      </c>
      <c r="H1327" s="13" t="str">
        <f>IFERROR(__xludf.DUMMYFUNCTION("""COMPUTED_VALUE"""),"P1")</f>
        <v>P1</v>
      </c>
    </row>
    <row r="1328" ht="22.5" customHeight="1">
      <c r="B1328" s="17" t="str">
        <f>IFERROR(__xludf.DUMMYFUNCTION("""COMPUTED_VALUE"""),"L/39/121124/1")</f>
        <v>L/39/121124/1</v>
      </c>
      <c r="C1328" s="17" t="str">
        <f>IFERROR(__xludf.DUMMYFUNCTION("""COMPUTED_VALUE"""),"HM 614/RAJABASA PEMUKA")</f>
        <v>HM 614/RAJABASA PEMUKA</v>
      </c>
      <c r="D1328" s="17">
        <f>IFERROR(__xludf.DUMMYFUNCTION("""COMPUTED_VALUE"""),45608.573854594906)</f>
        <v>45608.57385</v>
      </c>
      <c r="E1328" s="11" t="str">
        <f>IFERROR(__xludf.DUMMYFUNCTION("""COMPUTED_VALUE"""),"ROYA")</f>
        <v>ROYA</v>
      </c>
      <c r="F1328" s="11" t="str">
        <f>IFERROR(__xludf.DUMMYFUNCTION("""COMPUTED_VALUE"""),"AMIRUDDIN SIREGAR")</f>
        <v>AMIRUDDIN SIREGAR</v>
      </c>
      <c r="G1328" s="13">
        <f t="shared" si="1"/>
        <v>1114</v>
      </c>
      <c r="H1328" s="13" t="str">
        <f>IFERROR(__xludf.DUMMYFUNCTION("""COMPUTED_VALUE"""),"P0")</f>
        <v>P0</v>
      </c>
    </row>
    <row r="1329" ht="22.5" customHeight="1">
      <c r="B1329" s="17" t="str">
        <f>IFERROR(__xludf.DUMMYFUNCTION("""COMPUTED_VALUE"""),"K/40/121124/1")</f>
        <v>K/40/121124/1</v>
      </c>
      <c r="C1329" s="17" t="str">
        <f>IFERROR(__xludf.DUMMYFUNCTION("""COMPUTED_VALUE"""),"M. 9364/ Kampung Baru")</f>
        <v>M. 9364/ Kampung Baru</v>
      </c>
      <c r="D1329" s="17">
        <f>IFERROR(__xludf.DUMMYFUNCTION("""COMPUTED_VALUE"""),45608.575270208334)</f>
        <v>45608.57527</v>
      </c>
      <c r="E1329" s="11" t="str">
        <f>IFERROR(__xludf.DUMMYFUNCTION("""COMPUTED_VALUE"""),"BN JUAL BELI")</f>
        <v>BN JUAL BELI</v>
      </c>
      <c r="F1329" s="11" t="str">
        <f>IFERROR(__xludf.DUMMYFUNCTION("""COMPUTED_VALUE"""),"ISMARINA/ ACHMAD")</f>
        <v>ISMARINA/ ACHMAD</v>
      </c>
      <c r="G1329" s="13">
        <f t="shared" si="1"/>
        <v>1115</v>
      </c>
      <c r="H1329" s="13" t="str">
        <f>IFERROR(__xludf.DUMMYFUNCTION("""COMPUTED_VALUE"""),"P0")</f>
        <v>P0</v>
      </c>
    </row>
    <row r="1330" ht="22.5" customHeight="1">
      <c r="B1330" s="17" t="str">
        <f>IFERROR(__xludf.DUMMYFUNCTION("""COMPUTED_VALUE"""),"K/41/121124/2")</f>
        <v>K/41/121124/2</v>
      </c>
      <c r="C1330" s="17" t="str">
        <f>IFERROR(__xludf.DUMMYFUNCTION("""COMPUTED_VALUE"""),"M. 306/ Kota Sepang")</f>
        <v>M. 306/ Kota Sepang</v>
      </c>
      <c r="D1330" s="17">
        <f>IFERROR(__xludf.DUMMYFUNCTION("""COMPUTED_VALUE"""),45608.57761061343)</f>
        <v>45608.57761</v>
      </c>
      <c r="E1330" s="11" t="str">
        <f>IFERROR(__xludf.DUMMYFUNCTION("""COMPUTED_VALUE"""),"BN JUAL BELI")</f>
        <v>BN JUAL BELI</v>
      </c>
      <c r="F1330" s="11" t="str">
        <f>IFERROR(__xludf.DUMMYFUNCTION("""COMPUTED_VALUE"""),"ISMARINA/ BELA")</f>
        <v>ISMARINA/ BELA</v>
      </c>
      <c r="G1330" s="13">
        <f t="shared" si="1"/>
        <v>1116</v>
      </c>
      <c r="H1330" s="13" t="str">
        <f>IFERROR(__xludf.DUMMYFUNCTION("""COMPUTED_VALUE"""),"P0")</f>
        <v>P0</v>
      </c>
    </row>
    <row r="1331" ht="22.5" customHeight="1">
      <c r="B1331" s="17" t="str">
        <f>IFERROR(__xludf.DUMMYFUNCTION("""COMPUTED_VALUE"""),"K/42/121124/3")</f>
        <v>K/42/121124/3</v>
      </c>
      <c r="C1331" s="17" t="str">
        <f>IFERROR(__xludf.DUMMYFUNCTION("""COMPUTED_VALUE"""),"M. 914/ Kemiling Permai")</f>
        <v>M. 914/ Kemiling Permai</v>
      </c>
      <c r="D1331" s="17">
        <f>IFERROR(__xludf.DUMMYFUNCTION("""COMPUTED_VALUE"""),45608.57900532408)</f>
        <v>45608.57901</v>
      </c>
      <c r="E1331" s="11" t="str">
        <f>IFERROR(__xludf.DUMMYFUNCTION("""COMPUTED_VALUE"""),"BN JUAL BELI")</f>
        <v>BN JUAL BELI</v>
      </c>
      <c r="F1331" s="11" t="str">
        <f>IFERROR(__xludf.DUMMYFUNCTION("""COMPUTED_VALUE"""),"ISMARINA/YULI")</f>
        <v>ISMARINA/YULI</v>
      </c>
      <c r="G1331" s="13">
        <f t="shared" si="1"/>
        <v>1117</v>
      </c>
      <c r="H1331" s="13" t="str">
        <f>IFERROR(__xludf.DUMMYFUNCTION("""COMPUTED_VALUE"""),"P0")</f>
        <v>P0</v>
      </c>
    </row>
    <row r="1332" ht="22.5" customHeight="1">
      <c r="B1332" s="17" t="str">
        <f>IFERROR(__xludf.DUMMYFUNCTION("""COMPUTED_VALUE"""),"K/45/121124/1")</f>
        <v>K/45/121124/1</v>
      </c>
      <c r="C1332" s="17" t="str">
        <f>IFERROR(__xludf.DUMMYFUNCTION("""COMPUTED_VALUE"""),"M.3994/WAY KANDIS")</f>
        <v>M.3994/WAY KANDIS</v>
      </c>
      <c r="D1332" s="17">
        <f>IFERROR(__xludf.DUMMYFUNCTION("""COMPUTED_VALUE"""),45608.5801878125)</f>
        <v>45608.58019</v>
      </c>
      <c r="E1332" s="11" t="str">
        <f>IFERROR(__xludf.DUMMYFUNCTION("""COMPUTED_VALUE"""),"PLOTING")</f>
        <v>PLOTING</v>
      </c>
      <c r="F1332" s="11" t="str">
        <f>IFERROR(__xludf.DUMMYFUNCTION("""COMPUTED_VALUE"""),"MAIMUNAH CS/NOVALIA EKA PUTRI ")</f>
        <v>MAIMUNAH CS/NOVALIA EKA PUTRI </v>
      </c>
      <c r="G1332" s="13">
        <f t="shared" si="1"/>
        <v>1118</v>
      </c>
      <c r="H1332" s="13" t="str">
        <f>IFERROR(__xludf.DUMMYFUNCTION("""COMPUTED_VALUE"""),"P0")</f>
        <v>P0</v>
      </c>
    </row>
    <row r="1333" ht="22.5" customHeight="1">
      <c r="B1333" s="17" t="str">
        <f>IFERROR(__xludf.DUMMYFUNCTION("""COMPUTED_VALUE"""),"K/43/121124/4")</f>
        <v>K/43/121124/4</v>
      </c>
      <c r="C1333" s="17" t="str">
        <f>IFERROR(__xludf.DUMMYFUNCTION("""COMPUTED_VALUE"""),"Nibel 367/ Gunung Sulah")</f>
        <v>Nibel 367/ Gunung Sulah</v>
      </c>
      <c r="D1333" s="17">
        <f>IFERROR(__xludf.DUMMYFUNCTION("""COMPUTED_VALUE"""),45608.58103907407)</f>
        <v>45608.58104</v>
      </c>
      <c r="E1333" s="11" t="str">
        <f>IFERROR(__xludf.DUMMYFUNCTION("""COMPUTED_VALUE"""),"BN JUAL BELI")</f>
        <v>BN JUAL BELI</v>
      </c>
      <c r="F1333" s="11" t="str">
        <f>IFERROR(__xludf.DUMMYFUNCTION("""COMPUTED_VALUE"""),"IAMARINA/ DEDEN HERDIANSYAH")</f>
        <v>IAMARINA/ DEDEN HERDIANSYAH</v>
      </c>
      <c r="G1333" s="13">
        <f t="shared" si="1"/>
        <v>1119</v>
      </c>
      <c r="H1333" s="13" t="str">
        <f>IFERROR(__xludf.DUMMYFUNCTION("""COMPUTED_VALUE"""),"P0")</f>
        <v>P0</v>
      </c>
    </row>
    <row r="1334" ht="22.5" customHeight="1">
      <c r="B1334" s="17" t="str">
        <f>IFERROR(__xludf.DUMMYFUNCTION("""COMPUTED_VALUE"""),"K/44/121124/5")</f>
        <v>K/44/121124/5</v>
      </c>
      <c r="C1334" s="17" t="str">
        <f>IFERROR(__xludf.DUMMYFUNCTION("""COMPUTED_VALUE"""),"Nibel 371/ Gunung Sulah")</f>
        <v>Nibel 371/ Gunung Sulah</v>
      </c>
      <c r="D1334" s="17">
        <f>IFERROR(__xludf.DUMMYFUNCTION("""COMPUTED_VALUE"""),45608.582202164354)</f>
        <v>45608.5822</v>
      </c>
      <c r="E1334" s="11" t="str">
        <f>IFERROR(__xludf.DUMMYFUNCTION("""COMPUTED_VALUE"""),"BN JUAL BELI")</f>
        <v>BN JUAL BELI</v>
      </c>
      <c r="F1334" s="11" t="str">
        <f>IFERROR(__xludf.DUMMYFUNCTION("""COMPUTED_VALUE"""),"ISMARINA/ CITA")</f>
        <v>ISMARINA/ CITA</v>
      </c>
      <c r="G1334" s="13">
        <f t="shared" si="1"/>
        <v>1120</v>
      </c>
      <c r="H1334" s="13" t="str">
        <f>IFERROR(__xludf.DUMMYFUNCTION("""COMPUTED_VALUE"""),"P0")</f>
        <v>P0</v>
      </c>
    </row>
    <row r="1335" ht="22.5" customHeight="1">
      <c r="B1335" s="17" t="str">
        <f>IFERROR(__xludf.DUMMYFUNCTION("""COMPUTED_VALUE"""),"L/46/121124/1")</f>
        <v>L/46/121124/1</v>
      </c>
      <c r="C1335" s="17" t="str">
        <f>IFERROR(__xludf.DUMMYFUNCTION("""COMPUTED_VALUE"""),"HM 755/RAJABASA RAYA")</f>
        <v>HM 755/RAJABASA RAYA</v>
      </c>
      <c r="D1335" s="17">
        <f>IFERROR(__xludf.DUMMYFUNCTION("""COMPUTED_VALUE"""),45608.584214386574)</f>
        <v>45608.58421</v>
      </c>
      <c r="E1335" s="11" t="str">
        <f>IFERROR(__xludf.DUMMYFUNCTION("""COMPUTED_VALUE"""),"ROYA")</f>
        <v>ROYA</v>
      </c>
      <c r="F1335" s="11" t="str">
        <f>IFERROR(__xludf.DUMMYFUNCTION("""COMPUTED_VALUE"""),"NURUL HODAYATI")</f>
        <v>NURUL HODAYATI</v>
      </c>
      <c r="G1335" s="13">
        <f t="shared" si="1"/>
        <v>1121</v>
      </c>
      <c r="H1335" s="13" t="str">
        <f>IFERROR(__xludf.DUMMYFUNCTION("""COMPUTED_VALUE"""),"P0")</f>
        <v>P0</v>
      </c>
    </row>
    <row r="1336" ht="22.5" customHeight="1">
      <c r="B1336" s="17" t="str">
        <f>IFERROR(__xludf.DUMMYFUNCTION("""COMPUTED_VALUE"""),"K/10/041124/2")</f>
        <v>K/10/041124/2</v>
      </c>
      <c r="C1336" s="17" t="str">
        <f>IFERROR(__xludf.DUMMYFUNCTION("""COMPUTED_VALUE"""),"NIBEL B.506/GUNUNG SULAH")</f>
        <v>NIBEL B.506/GUNUNG SULAH</v>
      </c>
      <c r="D1336" s="17">
        <f>IFERROR(__xludf.DUMMYFUNCTION("""COMPUTED_VALUE"""),45608.584809733795)</f>
        <v>45608.58481</v>
      </c>
      <c r="E1336" s="11" t="str">
        <f>IFERROR(__xludf.DUMMYFUNCTION("""COMPUTED_VALUE"""),"BN JUAL BELI")</f>
        <v>BN JUAL BELI</v>
      </c>
      <c r="F1336" s="11" t="str">
        <f>IFERROR(__xludf.DUMMYFUNCTION("""COMPUTED_VALUE"""),"PT GUNUNG SULAH MEDIKA/WHINDA YULIANTI")</f>
        <v>PT GUNUNG SULAH MEDIKA/WHINDA YULIANTI</v>
      </c>
      <c r="G1336" s="13">
        <f t="shared" si="1"/>
        <v>1121</v>
      </c>
      <c r="H1336" s="13" t="str">
        <f>IFERROR(__xludf.DUMMYFUNCTION("""COMPUTED_VALUE"""),"P1")</f>
        <v>P1</v>
      </c>
    </row>
    <row r="1337" ht="22.5" customHeight="1">
      <c r="B1337" s="17" t="str">
        <f>IFERROR(__xludf.DUMMYFUNCTION("""COMPUTED_VALUE"""),"K/47/121124/1")</f>
        <v>K/47/121124/1</v>
      </c>
      <c r="C1337" s="17" t="str">
        <f>IFERROR(__xludf.DUMMYFUNCTION("""COMPUTED_VALUE"""),"M. 4936/ SUKADANA HAM")</f>
        <v>M. 4936/ SUKADANA HAM</v>
      </c>
      <c r="D1337" s="17">
        <f>IFERROR(__xludf.DUMMYFUNCTION("""COMPUTED_VALUE"""),45608.58920811342)</f>
        <v>45608.58921</v>
      </c>
      <c r="E1337" s="11" t="str">
        <f>IFERROR(__xludf.DUMMYFUNCTION("""COMPUTED_VALUE"""),"BN JUAL BELI")</f>
        <v>BN JUAL BELI</v>
      </c>
      <c r="F1337" s="11" t="str">
        <f>IFERROR(__xludf.DUMMYFUNCTION("""COMPUTED_VALUE"""),"FAHRUL ROZI / ANDRE WIBOWO")</f>
        <v>FAHRUL ROZI / ANDRE WIBOWO</v>
      </c>
      <c r="G1337" s="13">
        <f t="shared" si="1"/>
        <v>1122</v>
      </c>
      <c r="H1337" s="13" t="str">
        <f>IFERROR(__xludf.DUMMYFUNCTION("""COMPUTED_VALUE"""),"P0")</f>
        <v>P0</v>
      </c>
    </row>
    <row r="1338" ht="22.5" customHeight="1">
      <c r="B1338" s="17" t="str">
        <f>IFERROR(__xludf.DUMMYFUNCTION("""COMPUTED_VALUE"""),"L/48/121124/1")</f>
        <v>L/48/121124/1</v>
      </c>
      <c r="C1338" s="17" t="str">
        <f>IFERROR(__xludf.DUMMYFUNCTION("""COMPUTED_VALUE"""),"HGB 836/PWK")</f>
        <v>HGB 836/PWK</v>
      </c>
      <c r="D1338" s="17">
        <f>IFERROR(__xludf.DUMMYFUNCTION("""COMPUTED_VALUE"""),45608.592440810186)</f>
        <v>45608.59244</v>
      </c>
      <c r="E1338" s="11" t="str">
        <f>IFERROR(__xludf.DUMMYFUNCTION("""COMPUTED_VALUE"""),"PERUBAHAN HAK")</f>
        <v>PERUBAHAN HAK</v>
      </c>
      <c r="F1338" s="11" t="str">
        <f>IFERROR(__xludf.DUMMYFUNCTION("""COMPUTED_VALUE"""),"ROSNAWATI BR TARIGAN")</f>
        <v>ROSNAWATI BR TARIGAN</v>
      </c>
      <c r="G1338" s="13">
        <f t="shared" si="1"/>
        <v>1123</v>
      </c>
      <c r="H1338" s="13" t="str">
        <f>IFERROR(__xludf.DUMMYFUNCTION("""COMPUTED_VALUE"""),"P0")</f>
        <v>P0</v>
      </c>
    </row>
    <row r="1339" ht="22.5" customHeight="1">
      <c r="B1339" s="17" t="str">
        <f>IFERROR(__xludf.DUMMYFUNCTION("""COMPUTED_VALUE"""),"K/49/121124/1")</f>
        <v>K/49/121124/1</v>
      </c>
      <c r="C1339" s="17" t="str">
        <f>IFERROR(__xludf.DUMMYFUNCTION("""COMPUTED_VALUE"""),"M. 1756/ Rajabasa Nunyai")</f>
        <v>M. 1756/ Rajabasa Nunyai</v>
      </c>
      <c r="D1339" s="17">
        <f>IFERROR(__xludf.DUMMYFUNCTION("""COMPUTED_VALUE"""),45608.59602019676)</f>
        <v>45608.59602</v>
      </c>
      <c r="E1339" s="11" t="str">
        <f>IFERROR(__xludf.DUMMYFUNCTION("""COMPUTED_VALUE"""),"BN JUAL BELI")</f>
        <v>BN JUAL BELI</v>
      </c>
      <c r="F1339" s="11" t="str">
        <f>IFERROR(__xludf.DUMMYFUNCTION("""COMPUTED_VALUE"""),"MURSALIN/ UMAR SULAIMAN")</f>
        <v>MURSALIN/ UMAR SULAIMAN</v>
      </c>
      <c r="G1339" s="13">
        <f t="shared" si="1"/>
        <v>1124</v>
      </c>
      <c r="H1339" s="13" t="str">
        <f>IFERROR(__xludf.DUMMYFUNCTION("""COMPUTED_VALUE"""),"P0")</f>
        <v>P0</v>
      </c>
    </row>
    <row r="1340" ht="22.5" customHeight="1">
      <c r="B1340" s="17" t="str">
        <f>IFERROR(__xludf.DUMMYFUNCTION("""COMPUTED_VALUE"""),"K/50/121124/1")</f>
        <v>K/50/121124/1</v>
      </c>
      <c r="C1340" s="17" t="str">
        <f>IFERROR(__xludf.DUMMYFUNCTION("""COMPUTED_VALUE"""),"NIBEL M.1785/SUMUR PUTRI")</f>
        <v>NIBEL M.1785/SUMUR PUTRI</v>
      </c>
      <c r="D1340" s="17">
        <f>IFERROR(__xludf.DUMMYFUNCTION("""COMPUTED_VALUE"""),45608.60606519676)</f>
        <v>45608.60607</v>
      </c>
      <c r="E1340" s="11" t="str">
        <f>IFERROR(__xludf.DUMMYFUNCTION("""COMPUTED_VALUE"""),"BN JUAL BELI")</f>
        <v>BN JUAL BELI</v>
      </c>
      <c r="F1340" s="11" t="str">
        <f>IFERROR(__xludf.DUMMYFUNCTION("""COMPUTED_VALUE"""),"ERLY REBEKA SIMANJUNTAK/CHRISTINA ULINA")</f>
        <v>ERLY REBEKA SIMANJUNTAK/CHRISTINA ULINA</v>
      </c>
      <c r="G1340" s="13">
        <f t="shared" si="1"/>
        <v>1125</v>
      </c>
      <c r="H1340" s="13" t="str">
        <f>IFERROR(__xludf.DUMMYFUNCTION("""COMPUTED_VALUE"""),"P0")</f>
        <v>P0</v>
      </c>
    </row>
    <row r="1341" ht="22.5" customHeight="1">
      <c r="B1341" s="17" t="str">
        <f>IFERROR(__xludf.DUMMYFUNCTION("""COMPUTED_VALUE"""),"K/1/061124/1")</f>
        <v>K/1/061124/1</v>
      </c>
      <c r="C1341" s="17" t="str">
        <f>IFERROR(__xludf.DUMMYFUNCTION("""COMPUTED_VALUE"""),"M.12840/SEGALA MIDER-SEKARANG;B.114/SEGALA MIDER-DAHULU")</f>
        <v>M.12840/SEGALA MIDER-SEKARANG;B.114/SEGALA MIDER-DAHULU</v>
      </c>
      <c r="D1341" s="17">
        <f>IFERROR(__xludf.DUMMYFUNCTION("""COMPUTED_VALUE"""),45609.35983768519)</f>
        <v>45609.35984</v>
      </c>
      <c r="E1341" s="11" t="str">
        <f>IFERROR(__xludf.DUMMYFUNCTION("""COMPUTED_VALUE"""),"BN JUAL BELI")</f>
        <v>BN JUAL BELI</v>
      </c>
      <c r="F1341" s="11" t="str">
        <f>IFERROR(__xludf.DUMMYFUNCTION("""COMPUTED_VALUE"""),"MAGHDALENA/CITRA AYU WARDANI")</f>
        <v>MAGHDALENA/CITRA AYU WARDANI</v>
      </c>
      <c r="G1341" s="13">
        <f t="shared" si="1"/>
        <v>1125</v>
      </c>
      <c r="H1341" s="13" t="str">
        <f>IFERROR(__xludf.DUMMYFUNCTION("""COMPUTED_VALUE"""),"P1")</f>
        <v>P1</v>
      </c>
    </row>
    <row r="1342" ht="22.5" customHeight="1">
      <c r="B1342" s="17" t="str">
        <f>IFERROR(__xludf.DUMMYFUNCTION("""COMPUTED_VALUE"""),"K/1/131124/1")</f>
        <v>K/1/131124/1</v>
      </c>
      <c r="C1342" s="17" t="str">
        <f>IFERROR(__xludf.DUMMYFUNCTION("""COMPUTED_VALUE"""),"M. 10732/ Rajabasa")</f>
        <v>M. 10732/ Rajabasa</v>
      </c>
      <c r="D1342" s="17">
        <f>IFERROR(__xludf.DUMMYFUNCTION("""COMPUTED_VALUE"""),45609.3688677662)</f>
        <v>45609.36887</v>
      </c>
      <c r="E1342" s="11" t="str">
        <f>IFERROR(__xludf.DUMMYFUNCTION("""COMPUTED_VALUE"""),"SKPT Lelang")</f>
        <v>SKPT Lelang</v>
      </c>
      <c r="F1342" s="11" t="str">
        <f>IFERROR(__xludf.DUMMYFUNCTION("""COMPUTED_VALUE"""),"Titik W/ Yuli S")</f>
        <v>Titik W/ Yuli S</v>
      </c>
      <c r="G1342" s="13">
        <f t="shared" si="1"/>
        <v>1126</v>
      </c>
      <c r="H1342" s="13" t="str">
        <f>IFERROR(__xludf.DUMMYFUNCTION("""COMPUTED_VALUE"""),"P0")</f>
        <v>P0</v>
      </c>
    </row>
    <row r="1343" ht="22.5" customHeight="1">
      <c r="B1343" s="17" t="str">
        <f>IFERROR(__xludf.DUMMYFUNCTION("""COMPUTED_VALUE"""),"K/2/131124/2")</f>
        <v>K/2/131124/2</v>
      </c>
      <c r="C1343" s="17" t="str">
        <f>IFERROR(__xludf.DUMMYFUNCTION("""COMPUTED_VALUE"""),"M. 1713/ Sukamaju")</f>
        <v>M. 1713/ Sukamaju</v>
      </c>
      <c r="D1343" s="17">
        <f>IFERROR(__xludf.DUMMYFUNCTION("""COMPUTED_VALUE"""),45609.36959244213)</f>
        <v>45609.36959</v>
      </c>
      <c r="E1343" s="11" t="str">
        <f>IFERROR(__xludf.DUMMYFUNCTION("""COMPUTED_VALUE"""),"SKPT Lelang")</f>
        <v>SKPT Lelang</v>
      </c>
      <c r="F1343" s="11" t="str">
        <f>IFERROR(__xludf.DUMMYFUNCTION("""COMPUTED_VALUE"""),"Titik W/ Yuli S")</f>
        <v>Titik W/ Yuli S</v>
      </c>
      <c r="G1343" s="13">
        <f t="shared" si="1"/>
        <v>1127</v>
      </c>
      <c r="H1343" s="13" t="str">
        <f>IFERROR(__xludf.DUMMYFUNCTION("""COMPUTED_VALUE"""),"P0")</f>
        <v>P0</v>
      </c>
    </row>
    <row r="1344" ht="22.5" customHeight="1">
      <c r="B1344" s="17" t="str">
        <f>IFERROR(__xludf.DUMMYFUNCTION("""COMPUTED_VALUE"""),"K/3/131124/3")</f>
        <v>K/3/131124/3</v>
      </c>
      <c r="C1344" s="17" t="str">
        <f>IFERROR(__xludf.DUMMYFUNCTION("""COMPUTED_VALUE"""),"M. 1714/ Sukamaju")</f>
        <v>M. 1714/ Sukamaju</v>
      </c>
      <c r="D1344" s="17">
        <f>IFERROR(__xludf.DUMMYFUNCTION("""COMPUTED_VALUE"""),45609.432577604166)</f>
        <v>45609.43258</v>
      </c>
      <c r="E1344" s="11" t="str">
        <f>IFERROR(__xludf.DUMMYFUNCTION("""COMPUTED_VALUE"""),"SKPT Lelang")</f>
        <v>SKPT Lelang</v>
      </c>
      <c r="F1344" s="11" t="str">
        <f>IFERROR(__xludf.DUMMYFUNCTION("""COMPUTED_VALUE"""),"Titik W/ Yuli S")</f>
        <v>Titik W/ Yuli S</v>
      </c>
      <c r="G1344" s="13">
        <f t="shared" si="1"/>
        <v>1128</v>
      </c>
      <c r="H1344" s="13" t="str">
        <f>IFERROR(__xludf.DUMMYFUNCTION("""COMPUTED_VALUE"""),"P0")</f>
        <v>P0</v>
      </c>
    </row>
    <row r="1345" ht="22.5" customHeight="1">
      <c r="B1345" s="17" t="str">
        <f>IFERROR(__xludf.DUMMYFUNCTION("""COMPUTED_VALUE"""),"K/20/011124/1")</f>
        <v>K/20/011124/1</v>
      </c>
      <c r="C1345" s="17" t="str">
        <f>IFERROR(__xludf.DUMMYFUNCTION("""COMPUTED_VALUE"""),"Nibel 2191/ Gunung Terang")</f>
        <v>Nibel 2191/ Gunung Terang</v>
      </c>
      <c r="D1345" s="17">
        <f>IFERROR(__xludf.DUMMYFUNCTION("""COMPUTED_VALUE"""),45609.371991249995)</f>
        <v>45609.37199</v>
      </c>
      <c r="E1345" s="11" t="str">
        <f>IFERROR(__xludf.DUMMYFUNCTION("""COMPUTED_VALUE"""),"BN JUAL BELI")</f>
        <v>BN JUAL BELI</v>
      </c>
      <c r="F1345" s="11" t="str">
        <f>IFERROR(__xludf.DUMMYFUNCTION("""COMPUTED_VALUE"""),"ANDRI NOVIAR")</f>
        <v>ANDRI NOVIAR</v>
      </c>
      <c r="G1345" s="13">
        <f t="shared" si="1"/>
        <v>1128</v>
      </c>
      <c r="H1345" s="13" t="str">
        <f>IFERROR(__xludf.DUMMYFUNCTION("""COMPUTED_VALUE"""),"P1")</f>
        <v>P1</v>
      </c>
    </row>
    <row r="1346" ht="22.5" customHeight="1">
      <c r="B1346" s="17" t="str">
        <f>IFERROR(__xludf.DUMMYFUNCTION("""COMPUTED_VALUE"""),"K/4/131124/1")</f>
        <v>K/4/131124/1</v>
      </c>
      <c r="C1346" s="17" t="str">
        <f>IFERROR(__xludf.DUMMYFUNCTION("""COMPUTED_VALUE"""),"M. 4605/ Rajabasa Jaya")</f>
        <v>M. 4605/ Rajabasa Jaya</v>
      </c>
      <c r="D1346" s="17">
        <f>IFERROR(__xludf.DUMMYFUNCTION("""COMPUTED_VALUE"""),45609.376994039354)</f>
        <v>45609.37699</v>
      </c>
      <c r="E1346" s="11" t="str">
        <f>IFERROR(__xludf.DUMMYFUNCTION("""COMPUTED_VALUE"""),"BN JUAL BELI")</f>
        <v>BN JUAL BELI</v>
      </c>
      <c r="F1346" s="11" t="str">
        <f>IFERROR(__xludf.DUMMYFUNCTION("""COMPUTED_VALUE"""),"FRANKI MALAU")</f>
        <v>FRANKI MALAU</v>
      </c>
      <c r="G1346" s="13">
        <f t="shared" si="1"/>
        <v>1129</v>
      </c>
      <c r="H1346" s="13" t="str">
        <f>IFERROR(__xludf.DUMMYFUNCTION("""COMPUTED_VALUE"""),"P0")</f>
        <v>P0</v>
      </c>
    </row>
    <row r="1347" ht="22.5" customHeight="1">
      <c r="B1347" s="17" t="str">
        <f>IFERROR(__xludf.DUMMYFUNCTION("""COMPUTED_VALUE"""),"K/5/131124/2")</f>
        <v>K/5/131124/2</v>
      </c>
      <c r="C1347" s="17" t="str">
        <f>IFERROR(__xludf.DUMMYFUNCTION("""COMPUTED_VALUE"""),"m. 542/ beringin jaya")</f>
        <v>m. 542/ beringin jaya</v>
      </c>
      <c r="D1347" s="17">
        <f>IFERROR(__xludf.DUMMYFUNCTION("""COMPUTED_VALUE"""),45609.43066997685)</f>
        <v>45609.43067</v>
      </c>
      <c r="E1347" s="11" t="str">
        <f>IFERROR(__xludf.DUMMYFUNCTION("""COMPUTED_VALUE"""),"gandes")</f>
        <v>gandes</v>
      </c>
      <c r="F1347" s="11" t="str">
        <f>IFERROR(__xludf.DUMMYFUNCTION("""COMPUTED_VALUE""")," rahmadiyanti")</f>
        <v> rahmadiyanti</v>
      </c>
      <c r="G1347" s="13">
        <f t="shared" si="1"/>
        <v>1130</v>
      </c>
      <c r="H1347" s="13" t="str">
        <f>IFERROR(__xludf.DUMMYFUNCTION("""COMPUTED_VALUE"""),"P0")</f>
        <v>P0</v>
      </c>
    </row>
    <row r="1348" ht="22.5" customHeight="1">
      <c r="B1348" s="17" t="str">
        <f>IFERROR(__xludf.DUMMYFUNCTION("""COMPUTED_VALUE"""),"L/6/131124/1")</f>
        <v>L/6/131124/1</v>
      </c>
      <c r="C1348" s="17" t="str">
        <f>IFERROR(__xludf.DUMMYFUNCTION("""COMPUTED_VALUE"""),"SUKARAME")</f>
        <v>SUKARAME</v>
      </c>
      <c r="D1348" s="17">
        <f>IFERROR(__xludf.DUMMYFUNCTION("""COMPUTED_VALUE"""),45609.39046927083)</f>
        <v>45609.39047</v>
      </c>
      <c r="E1348" s="11" t="str">
        <f>IFERROR(__xludf.DUMMYFUNCTION("""COMPUTED_VALUE"""),"TANAH MENTAH")</f>
        <v>TANAH MENTAH</v>
      </c>
      <c r="F1348" s="11" t="str">
        <f>IFERROR(__xludf.DUMMYFUNCTION("""COMPUTED_VALUE"""),"DIAN PERDANA")</f>
        <v>DIAN PERDANA</v>
      </c>
      <c r="G1348" s="13">
        <f t="shared" si="1"/>
        <v>1131</v>
      </c>
      <c r="H1348" s="13" t="str">
        <f>IFERROR(__xludf.DUMMYFUNCTION("""COMPUTED_VALUE"""),"P0")</f>
        <v>P0</v>
      </c>
    </row>
    <row r="1349" ht="22.5" customHeight="1">
      <c r="B1349" s="17" t="str">
        <f>IFERROR(__xludf.DUMMYFUNCTION("""COMPUTED_VALUE"""),"K/7/131124/1")</f>
        <v>K/7/131124/1</v>
      </c>
      <c r="C1349" s="17" t="str">
        <f>IFERROR(__xludf.DUMMYFUNCTION("""COMPUTED_VALUE"""),"M.342/RAJABASA JAYA")</f>
        <v>M.342/RAJABASA JAYA</v>
      </c>
      <c r="D1349" s="17">
        <f>IFERROR(__xludf.DUMMYFUNCTION("""COMPUTED_VALUE"""),45609.41330188657)</f>
        <v>45609.4133</v>
      </c>
      <c r="E1349" s="11" t="str">
        <f>IFERROR(__xludf.DUMMYFUNCTION("""COMPUTED_VALUE"""),"ROYA")</f>
        <v>ROYA</v>
      </c>
      <c r="F1349" s="11" t="str">
        <f>IFERROR(__xludf.DUMMYFUNCTION("""COMPUTED_VALUE"""),"BERNARDO OTTO MARTIANUS/PANARY SITOPU")</f>
        <v>BERNARDO OTTO MARTIANUS/PANARY SITOPU</v>
      </c>
      <c r="G1349" s="13">
        <f t="shared" si="1"/>
        <v>1132</v>
      </c>
      <c r="H1349" s="13" t="str">
        <f>IFERROR(__xludf.DUMMYFUNCTION("""COMPUTED_VALUE"""),"P0")</f>
        <v>P0</v>
      </c>
    </row>
    <row r="1350" ht="22.5" customHeight="1">
      <c r="B1350" s="17" t="str">
        <f>IFERROR(__xludf.DUMMYFUNCTION("""COMPUTED_VALUE"""),"L/8/131124/1")</f>
        <v>L/8/131124/1</v>
      </c>
      <c r="C1350" s="17" t="str">
        <f>IFERROR(__xludf.DUMMYFUNCTION("""COMPUTED_VALUE"""),"HGB 836/PWK")</f>
        <v>HGB 836/PWK</v>
      </c>
      <c r="D1350" s="17">
        <f>IFERROR(__xludf.DUMMYFUNCTION("""COMPUTED_VALUE"""),45609.41589379629)</f>
        <v>45609.41589</v>
      </c>
      <c r="E1350" s="11" t="str">
        <f>IFERROR(__xludf.DUMMYFUNCTION("""COMPUTED_VALUE"""),"PH")</f>
        <v>PH</v>
      </c>
      <c r="F1350" s="11" t="str">
        <f>IFERROR(__xludf.DUMMYFUNCTION("""COMPUTED_VALUE"""),"ROSNAWATI BR TARIGAN")</f>
        <v>ROSNAWATI BR TARIGAN</v>
      </c>
      <c r="G1350" s="13">
        <f t="shared" si="1"/>
        <v>1133</v>
      </c>
      <c r="H1350" s="13" t="str">
        <f>IFERROR(__xludf.DUMMYFUNCTION("""COMPUTED_VALUE"""),"P0")</f>
        <v>P0</v>
      </c>
    </row>
    <row r="1351" ht="22.5" customHeight="1">
      <c r="B1351" s="17" t="str">
        <f>IFERROR(__xludf.DUMMYFUNCTION("""COMPUTED_VALUE"""),"K/47/081124/1")</f>
        <v>K/47/081124/1</v>
      </c>
      <c r="C1351" s="17" t="str">
        <f>IFERROR(__xludf.DUMMYFUNCTION("""COMPUTED_VALUE""")," M.2593/CAMPANG RAYA-SEKARANG;B.2035/CAMPANG RAYA-DAHULU")</f>
        <v> M.2593/CAMPANG RAYA-SEKARANG;B.2035/CAMPANG RAYA-DAHULU</v>
      </c>
      <c r="D1351" s="17">
        <f>IFERROR(__xludf.DUMMYFUNCTION("""COMPUTED_VALUE"""),45609.422217071755)</f>
        <v>45609.42222</v>
      </c>
      <c r="E1351" s="11" t="str">
        <f>IFERROR(__xludf.DUMMYFUNCTION("""COMPUTED_VALUE"""),"ROYA")</f>
        <v>ROYA</v>
      </c>
      <c r="F1351" s="11" t="str">
        <f>IFERROR(__xludf.DUMMYFUNCTION("""COMPUTED_VALUE"""),"ANGGI PRATIWI/ANDRI YULIAN")</f>
        <v>ANGGI PRATIWI/ANDRI YULIAN</v>
      </c>
      <c r="G1351" s="13">
        <f t="shared" si="1"/>
        <v>1133</v>
      </c>
      <c r="H1351" s="13" t="str">
        <f>IFERROR(__xludf.DUMMYFUNCTION("""COMPUTED_VALUE"""),"P1")</f>
        <v>P1</v>
      </c>
    </row>
    <row r="1352" ht="22.5" customHeight="1">
      <c r="B1352" s="17" t="str">
        <f>IFERROR(__xludf.DUMMYFUNCTION("""COMPUTED_VALUE"""),"L/9/131124/1")</f>
        <v>L/9/131124/1</v>
      </c>
      <c r="C1352" s="17" t="str">
        <f>IFERROR(__xludf.DUMMYFUNCTION("""COMPUTED_VALUE"""),"HM 11474/KEDAMAIAN (SHM TETANGGA)")</f>
        <v>HM 11474/KEDAMAIAN (SHM TETANGGA)</v>
      </c>
      <c r="D1352" s="17">
        <f>IFERROR(__xludf.DUMMYFUNCTION("""COMPUTED_VALUE"""),45609.42892975695)</f>
        <v>45609.42893</v>
      </c>
      <c r="E1352" s="11" t="str">
        <f>IFERROR(__xludf.DUMMYFUNCTION("""COMPUTED_VALUE"""),"SERTIPIKAT HILANG")</f>
        <v>SERTIPIKAT HILANG</v>
      </c>
      <c r="F1352" s="11" t="str">
        <f>IFERROR(__xludf.DUMMYFUNCTION("""COMPUTED_VALUE"""),"NURAINI RAHIM")</f>
        <v>NURAINI RAHIM</v>
      </c>
      <c r="G1352" s="13">
        <f t="shared" si="1"/>
        <v>1134</v>
      </c>
      <c r="H1352" s="13" t="str">
        <f>IFERROR(__xludf.DUMMYFUNCTION("""COMPUTED_VALUE"""),"P0")</f>
        <v>P0</v>
      </c>
    </row>
    <row r="1353" ht="22.5" customHeight="1">
      <c r="B1353" s="17" t="str">
        <f>IFERROR(__xludf.DUMMYFUNCTION("""COMPUTED_VALUE"""),"K/10/131124/1")</f>
        <v>K/10/131124/1</v>
      </c>
      <c r="C1353" s="17" t="str">
        <f>IFERROR(__xludf.DUMMYFUNCTION("""COMPUTED_VALUE"""),"M. 1193/ Sukadana Ham")</f>
        <v>M. 1193/ Sukadana Ham</v>
      </c>
      <c r="D1353" s="17">
        <f>IFERROR(__xludf.DUMMYFUNCTION("""COMPUTED_VALUE"""),45609.43314663194)</f>
        <v>45609.43315</v>
      </c>
      <c r="E1353" s="11" t="str">
        <f>IFERROR(__xludf.DUMMYFUNCTION("""COMPUTED_VALUE"""),"BN Jual Beli")</f>
        <v>BN Jual Beli</v>
      </c>
      <c r="F1353" s="11" t="str">
        <f>IFERROR(__xludf.DUMMYFUNCTION("""COMPUTED_VALUE"""),"Andry Yulian/ Efnita N R")</f>
        <v>Andry Yulian/ Efnita N R</v>
      </c>
      <c r="G1353" s="13">
        <f t="shared" si="1"/>
        <v>1135</v>
      </c>
      <c r="H1353" s="13" t="str">
        <f>IFERROR(__xludf.DUMMYFUNCTION("""COMPUTED_VALUE"""),"P0")</f>
        <v>P0</v>
      </c>
    </row>
    <row r="1354" ht="22.5" customHeight="1">
      <c r="B1354" s="17" t="str">
        <f>IFERROR(__xludf.DUMMYFUNCTION("""COMPUTED_VALUE"""),"K/22/051124/2")</f>
        <v>K/22/051124/2</v>
      </c>
      <c r="C1354" s="17" t="str">
        <f>IFERROR(__xludf.DUMMYFUNCTION("""COMPUTED_VALUE"""),"M.2425/KEDAUNG")</f>
        <v>M.2425/KEDAUNG</v>
      </c>
      <c r="D1354" s="17">
        <f>IFERROR(__xludf.DUMMYFUNCTION("""COMPUTED_VALUE"""),45609.435086446756)</f>
        <v>45609.43509</v>
      </c>
      <c r="E1354" s="11" t="str">
        <f>IFERROR(__xludf.DUMMYFUNCTION("""COMPUTED_VALUE"""),"BN JUAL BELI")</f>
        <v>BN JUAL BELI</v>
      </c>
      <c r="F1354" s="11" t="str">
        <f>IFERROR(__xludf.DUMMYFUNCTION("""COMPUTED_VALUE"""),"JIMMI AFRIANDO AKBAR/HERLINA RATNA  SN")</f>
        <v>JIMMI AFRIANDO AKBAR/HERLINA RATNA  SN</v>
      </c>
      <c r="G1354" s="13">
        <f t="shared" si="1"/>
        <v>1135</v>
      </c>
      <c r="H1354" s="13" t="str">
        <f>IFERROR(__xludf.DUMMYFUNCTION("""COMPUTED_VALUE"""),"P1")</f>
        <v>P1</v>
      </c>
    </row>
    <row r="1355" ht="22.5" customHeight="1">
      <c r="B1355" s="17" t="str">
        <f>IFERROR(__xludf.DUMMYFUNCTION("""COMPUTED_VALUE"""),"L/12/131124/1")</f>
        <v>L/12/131124/1</v>
      </c>
      <c r="C1355" s="17" t="str">
        <f>IFERROR(__xludf.DUMMYFUNCTION("""COMPUTED_VALUE"""),"HM 1424/BAKUNG &amp; HM 1423/BAKUNG")</f>
        <v>HM 1424/BAKUNG &amp; HM 1423/BAKUNG</v>
      </c>
      <c r="D1355" s="17">
        <f>IFERROR(__xludf.DUMMYFUNCTION("""COMPUTED_VALUE"""),45609.43631211805)</f>
        <v>45609.43631</v>
      </c>
      <c r="E1355" s="11" t="str">
        <f>IFERROR(__xludf.DUMMYFUNCTION("""COMPUTED_VALUE"""),"ROYA")</f>
        <v>ROYA</v>
      </c>
      <c r="F1355" s="11" t="str">
        <f>IFERROR(__xludf.DUMMYFUNCTION("""COMPUTED_VALUE"""),"ERNI ANGGRAINI")</f>
        <v>ERNI ANGGRAINI</v>
      </c>
      <c r="G1355" s="13">
        <f t="shared" si="1"/>
        <v>1136</v>
      </c>
      <c r="H1355" s="13" t="str">
        <f>IFERROR(__xludf.DUMMYFUNCTION("""COMPUTED_VALUE"""),"P0")</f>
        <v>P0</v>
      </c>
    </row>
    <row r="1356" ht="22.5" customHeight="1">
      <c r="B1356" s="17" t="str">
        <f>IFERROR(__xludf.DUMMYFUNCTION("""COMPUTED_VALUE"""),"K/11/131124/1")</f>
        <v>K/11/131124/1</v>
      </c>
      <c r="C1356" s="17" t="str">
        <f>IFERROR(__xludf.DUMMYFUNCTION("""COMPUTED_VALUE"""),"Nibel 133/ Kelapa Tiga")</f>
        <v>Nibel 133/ Kelapa Tiga</v>
      </c>
      <c r="D1356" s="17">
        <f>IFERROR(__xludf.DUMMYFUNCTION("""COMPUTED_VALUE"""),45609.438627766205)</f>
        <v>45609.43863</v>
      </c>
      <c r="E1356" s="11" t="str">
        <f>IFERROR(__xludf.DUMMYFUNCTION("""COMPUTED_VALUE"""),"PERMOHONAN SK PERPANJANGAN")</f>
        <v>PERMOHONAN SK PERPANJANGAN</v>
      </c>
      <c r="F1356" s="11" t="str">
        <f>IFERROR(__xludf.DUMMYFUNCTION("""COMPUTED_VALUE"""),"ROMI ZAMZAMI/ LENDRAWATI")</f>
        <v>ROMI ZAMZAMI/ LENDRAWATI</v>
      </c>
      <c r="G1356" s="13">
        <f t="shared" si="1"/>
        <v>1137</v>
      </c>
      <c r="H1356" s="13" t="str">
        <f>IFERROR(__xludf.DUMMYFUNCTION("""COMPUTED_VALUE"""),"P0")</f>
        <v>P0</v>
      </c>
    </row>
    <row r="1357" ht="22.5" customHeight="1">
      <c r="B1357" s="17" t="str">
        <f>IFERROR(__xludf.DUMMYFUNCTION("""COMPUTED_VALUE"""),"K/13/131124/1")</f>
        <v>K/13/131124/1</v>
      </c>
      <c r="C1357" s="17" t="str">
        <f>IFERROR(__xludf.DUMMYFUNCTION("""COMPUTED_VALUE"""),"M. 2268/ Campang Jaya-SEKARANG; m. 1520/ CAMPANG RAYA-DULU")</f>
        <v>M. 2268/ Campang Jaya-SEKARANG; m. 1520/ CAMPANG RAYA-DULU</v>
      </c>
      <c r="D1357" s="17">
        <f>IFERROR(__xludf.DUMMYFUNCTION("""COMPUTED_VALUE"""),45609.44684471065)</f>
        <v>45609.44684</v>
      </c>
      <c r="E1357" s="11" t="str">
        <f>IFERROR(__xludf.DUMMYFUNCTION("""COMPUTED_VALUE"""),"BN JUAL BELI")</f>
        <v>BN JUAL BELI</v>
      </c>
      <c r="F1357" s="11" t="str">
        <f>IFERROR(__xludf.DUMMYFUNCTION("""COMPUTED_VALUE"""),"EVI UDIN/ TRIYOKO")</f>
        <v>EVI UDIN/ TRIYOKO</v>
      </c>
      <c r="G1357" s="13">
        <f t="shared" si="1"/>
        <v>1138</v>
      </c>
      <c r="H1357" s="13" t="str">
        <f>IFERROR(__xludf.DUMMYFUNCTION("""COMPUTED_VALUE"""),"P0")</f>
        <v>P0</v>
      </c>
    </row>
    <row r="1358" ht="22.5" customHeight="1">
      <c r="B1358" s="17" t="str">
        <f>IFERROR(__xludf.DUMMYFUNCTION("""COMPUTED_VALUE"""),"K/14/131124/2")</f>
        <v>K/14/131124/2</v>
      </c>
      <c r="C1358" s="17" t="str">
        <f>IFERROR(__xludf.DUMMYFUNCTION("""COMPUTED_VALUE"""),"M. 346/ Sawah Lama")</f>
        <v>M. 346/ Sawah Lama</v>
      </c>
      <c r="D1358" s="17">
        <f>IFERROR(__xludf.DUMMYFUNCTION("""COMPUTED_VALUE"""),45609.45579487269)</f>
        <v>45609.45579</v>
      </c>
      <c r="E1358" s="11" t="str">
        <f>IFERROR(__xludf.DUMMYFUNCTION("""COMPUTED_VALUE"""),"BN JUAL JUAL BELI")</f>
        <v>BN JUAL JUAL BELI</v>
      </c>
      <c r="F1358" s="11" t="str">
        <f>IFERROR(__xludf.DUMMYFUNCTION("""COMPUTED_VALUE"""),"EVI UDIN/ TRIYOKO")</f>
        <v>EVI UDIN/ TRIYOKO</v>
      </c>
      <c r="G1358" s="13">
        <f t="shared" si="1"/>
        <v>1139</v>
      </c>
      <c r="H1358" s="13" t="str">
        <f>IFERROR(__xludf.DUMMYFUNCTION("""COMPUTED_VALUE"""),"P0")</f>
        <v>P0</v>
      </c>
    </row>
    <row r="1359" ht="22.5" customHeight="1">
      <c r="B1359" s="17" t="str">
        <f>IFERROR(__xludf.DUMMYFUNCTION("""COMPUTED_VALUE"""),"K/15/131124/3")</f>
        <v>K/15/131124/3</v>
      </c>
      <c r="C1359" s="17" t="str">
        <f>IFERROR(__xludf.DUMMYFUNCTION("""COMPUTED_VALUE"""),"M. 86/ Sawah Brebes")</f>
        <v>M. 86/ Sawah Brebes</v>
      </c>
      <c r="D1359" s="17">
        <f>IFERROR(__xludf.DUMMYFUNCTION("""COMPUTED_VALUE"""),45609.458632442125)</f>
        <v>45609.45863</v>
      </c>
      <c r="E1359" s="11" t="str">
        <f>IFERROR(__xludf.DUMMYFUNCTION("""COMPUTED_VALUE"""),"BN JUAL BELI")</f>
        <v>BN JUAL BELI</v>
      </c>
      <c r="F1359" s="11" t="str">
        <f>IFERROR(__xludf.DUMMYFUNCTION("""COMPUTED_VALUE"""),"evi udin/triyoko")</f>
        <v>evi udin/triyoko</v>
      </c>
      <c r="G1359" s="13">
        <f t="shared" si="1"/>
        <v>1140</v>
      </c>
      <c r="H1359" s="13" t="str">
        <f>IFERROR(__xludf.DUMMYFUNCTION("""COMPUTED_VALUE"""),"P0")</f>
        <v>P0</v>
      </c>
    </row>
    <row r="1360" ht="22.5" customHeight="1">
      <c r="B1360" s="17" t="str">
        <f>IFERROR(__xludf.DUMMYFUNCTION("""COMPUTED_VALUE"""),"K/16/131124/1")</f>
        <v>K/16/131124/1</v>
      </c>
      <c r="C1360" s="17" t="str">
        <f>IFERROR(__xludf.DUMMYFUNCTION("""COMPUTED_VALUE"""),"M. 561/ Bumi Kedamaian")</f>
        <v>M. 561/ Bumi Kedamaian</v>
      </c>
      <c r="D1360" s="17">
        <f>IFERROR(__xludf.DUMMYFUNCTION("""COMPUTED_VALUE"""),45609.474920243054)</f>
        <v>45609.47492</v>
      </c>
      <c r="E1360" s="11" t="str">
        <f>IFERROR(__xludf.DUMMYFUNCTION("""COMPUTED_VALUE"""),"Hapus BPHTB")</f>
        <v>Hapus BPHTB</v>
      </c>
      <c r="F1360" s="11" t="str">
        <f>IFERROR(__xludf.DUMMYFUNCTION("""COMPUTED_VALUE"""),"Naditha A/ Sarwan")</f>
        <v>Naditha A/ Sarwan</v>
      </c>
      <c r="G1360" s="13">
        <f t="shared" si="1"/>
        <v>1141</v>
      </c>
      <c r="H1360" s="13" t="str">
        <f>IFERROR(__xludf.DUMMYFUNCTION("""COMPUTED_VALUE"""),"P0")</f>
        <v>P0</v>
      </c>
    </row>
    <row r="1361" ht="22.5" customHeight="1">
      <c r="B1361" s="17" t="str">
        <f>IFERROR(__xludf.DUMMYFUNCTION("""COMPUTED_VALUE"""),"K/17/131124/1")</f>
        <v>K/17/131124/1</v>
      </c>
      <c r="C1361" s="17" t="str">
        <f>IFERROR(__xludf.DUMMYFUNCTION("""COMPUTED_VALUE"""),"M. 468/SUMUR PUTRI")</f>
        <v>M. 468/SUMUR PUTRI</v>
      </c>
      <c r="D1361" s="17">
        <f>IFERROR(__xludf.DUMMYFUNCTION("""COMPUTED_VALUE"""),45609.48725824074)</f>
        <v>45609.48726</v>
      </c>
      <c r="E1361" s="11" t="str">
        <f>IFERROR(__xludf.DUMMYFUNCTION("""COMPUTED_VALUE"""),"BN JUAL BELI")</f>
        <v>BN JUAL BELI</v>
      </c>
      <c r="F1361" s="11" t="str">
        <f>IFERROR(__xludf.DUMMYFUNCTION("""COMPUTED_VALUE"""),"YUDENI THOHA / AL FARIZI QQ DR. MOHAMMAD RULLY ARDIANSYAH")</f>
        <v>YUDENI THOHA / AL FARIZI QQ DR. MOHAMMAD RULLY ARDIANSYAH</v>
      </c>
      <c r="G1361" s="13">
        <f t="shared" si="1"/>
        <v>1142</v>
      </c>
      <c r="H1361" s="13" t="str">
        <f>IFERROR(__xludf.DUMMYFUNCTION("""COMPUTED_VALUE"""),"P0")</f>
        <v>P0</v>
      </c>
    </row>
    <row r="1362" ht="22.5" customHeight="1">
      <c r="B1362" s="17" t="str">
        <f>IFERROR(__xludf.DUMMYFUNCTION("""COMPUTED_VALUE"""),"L/18/131124/1")</f>
        <v>L/18/131124/1</v>
      </c>
      <c r="C1362" s="17" t="str">
        <f>IFERROR(__xludf.DUMMYFUNCTION("""COMPUTED_VALUE"""),"HGB 706/CAMPANG RAYA")</f>
        <v>HGB 706/CAMPANG RAYA</v>
      </c>
      <c r="D1362" s="17">
        <f>IFERROR(__xludf.DUMMYFUNCTION("""COMPUTED_VALUE"""),45609.490145856485)</f>
        <v>45609.49015</v>
      </c>
      <c r="E1362" s="11" t="str">
        <f>IFERROR(__xludf.DUMMYFUNCTION("""COMPUTED_VALUE"""),"SKPT INFORMASI")</f>
        <v>SKPT INFORMASI</v>
      </c>
      <c r="F1362" s="11" t="str">
        <f>IFERROR(__xludf.DUMMYFUNCTION("""COMPUTED_VALUE"""),"FEMI ARYANI")</f>
        <v>FEMI ARYANI</v>
      </c>
      <c r="G1362" s="13">
        <f t="shared" si="1"/>
        <v>1143</v>
      </c>
      <c r="H1362" s="13" t="str">
        <f>IFERROR(__xludf.DUMMYFUNCTION("""COMPUTED_VALUE"""),"P0")</f>
        <v>P0</v>
      </c>
    </row>
    <row r="1363" ht="22.5" customHeight="1">
      <c r="B1363" s="17" t="str">
        <f>IFERROR(__xludf.DUMMYFUNCTION("""COMPUTED_VALUE"""),"K/19/131124/1")</f>
        <v>K/19/131124/1</v>
      </c>
      <c r="C1363" s="17" t="str">
        <f>IFERROR(__xludf.DUMMYFUNCTION("""COMPUTED_VALUE"""),"M. 1845/ Kaliawi")</f>
        <v>M. 1845/ Kaliawi</v>
      </c>
      <c r="D1363" s="17">
        <f>IFERROR(__xludf.DUMMYFUNCTION("""COMPUTED_VALUE"""),45609.54510993056)</f>
        <v>45609.54511</v>
      </c>
      <c r="E1363" s="11" t="str">
        <f>IFERROR(__xludf.DUMMYFUNCTION("""COMPUTED_VALUE"""),"BN Waris")</f>
        <v>BN Waris</v>
      </c>
      <c r="F1363" s="11" t="str">
        <f>IFERROR(__xludf.DUMMYFUNCTION("""COMPUTED_VALUE"""),"Maryanti K/Vivi M Cs")</f>
        <v>Maryanti K/Vivi M Cs</v>
      </c>
      <c r="G1363" s="13">
        <f t="shared" si="1"/>
        <v>1144</v>
      </c>
      <c r="H1363" s="13" t="str">
        <f>IFERROR(__xludf.DUMMYFUNCTION("""COMPUTED_VALUE"""),"P0")</f>
        <v>P0</v>
      </c>
    </row>
    <row r="1364" ht="22.5" customHeight="1">
      <c r="B1364" s="17" t="str">
        <f>IFERROR(__xludf.DUMMYFUNCTION("""COMPUTED_VALUE"""),"K/20/131124/1")</f>
        <v>K/20/131124/1</v>
      </c>
      <c r="C1364" s="17" t="str">
        <f>IFERROR(__xludf.DUMMYFUNCTION("""COMPUTED_VALUE"""),"M. 942/ Sumur Putri")</f>
        <v>M. 942/ Sumur Putri</v>
      </c>
      <c r="D1364" s="17">
        <f>IFERROR(__xludf.DUMMYFUNCTION("""COMPUTED_VALUE"""),45609.55405048611)</f>
        <v>45609.55405</v>
      </c>
      <c r="E1364" s="11" t="str">
        <f>IFERROR(__xludf.DUMMYFUNCTION("""COMPUTED_VALUE"""),"BN JUAL BELI")</f>
        <v>BN JUAL BELI</v>
      </c>
      <c r="F1364" s="11" t="str">
        <f>IFERROR(__xludf.DUMMYFUNCTION("""COMPUTED_VALUE"""),"FRANKI MALAU/ AUFA")</f>
        <v>FRANKI MALAU/ AUFA</v>
      </c>
      <c r="G1364" s="13">
        <f t="shared" si="1"/>
        <v>1145</v>
      </c>
      <c r="H1364" s="13" t="str">
        <f>IFERROR(__xludf.DUMMYFUNCTION("""COMPUTED_VALUE"""),"P0")</f>
        <v>P0</v>
      </c>
    </row>
    <row r="1365" ht="22.5" customHeight="1">
      <c r="B1365" s="17" t="str">
        <f>IFERROR(__xludf.DUMMYFUNCTION("""COMPUTED_VALUE"""),"K/21/131124/1")</f>
        <v>K/21/131124/1</v>
      </c>
      <c r="C1365" s="17" t="str">
        <f>IFERROR(__xludf.DUMMYFUNCTION("""COMPUTED_VALUE"""),"M.10630/SIDODADI")</f>
        <v>M.10630/SIDODADI</v>
      </c>
      <c r="D1365" s="17">
        <f>IFERROR(__xludf.DUMMYFUNCTION("""COMPUTED_VALUE"""),45609.56040798611)</f>
        <v>45609.56041</v>
      </c>
      <c r="E1365" s="11" t="str">
        <f>IFERROR(__xludf.DUMMYFUNCTION("""COMPUTED_VALUE"""),"KEWARISAN")</f>
        <v>KEWARISAN</v>
      </c>
      <c r="F1365" s="11" t="str">
        <f>IFERROR(__xludf.DUMMYFUNCTION("""COMPUTED_VALUE"""),"LINA DJUARSA CS/DESSY NOFITA")</f>
        <v>LINA DJUARSA CS/DESSY NOFITA</v>
      </c>
      <c r="G1365" s="13">
        <f t="shared" si="1"/>
        <v>1146</v>
      </c>
      <c r="H1365" s="13" t="str">
        <f>IFERROR(__xludf.DUMMYFUNCTION("""COMPUTED_VALUE"""),"P0")</f>
        <v>P0</v>
      </c>
    </row>
    <row r="1366" ht="22.5" customHeight="1">
      <c r="B1366" s="17" t="str">
        <f>IFERROR(__xludf.DUMMYFUNCTION("""COMPUTED_VALUE"""),"K/22/131124/1")</f>
        <v>K/22/131124/1</v>
      </c>
      <c r="C1366" s="17" t="str">
        <f>IFERROR(__xludf.DUMMYFUNCTION("""COMPUTED_VALUE"""),"B. 326/ Negeri Olok Gading")</f>
        <v>B. 326/ Negeri Olok Gading</v>
      </c>
      <c r="D1366" s="17">
        <f>IFERROR(__xludf.DUMMYFUNCTION("""COMPUTED_VALUE"""),45609.562033124996)</f>
        <v>45609.56203</v>
      </c>
      <c r="E1366" s="11" t="str">
        <f>IFERROR(__xludf.DUMMYFUNCTION("""COMPUTED_VALUE"""),"ROYA")</f>
        <v>ROYA</v>
      </c>
      <c r="F1366" s="11" t="str">
        <f>IFERROR(__xludf.DUMMYFUNCTION("""COMPUTED_VALUE"""),"NUR HAYATI/ STEVANUS")</f>
        <v>NUR HAYATI/ STEVANUS</v>
      </c>
      <c r="G1366" s="13">
        <f t="shared" si="1"/>
        <v>1147</v>
      </c>
      <c r="H1366" s="13" t="str">
        <f>IFERROR(__xludf.DUMMYFUNCTION("""COMPUTED_VALUE"""),"P0")</f>
        <v>P0</v>
      </c>
    </row>
    <row r="1367" ht="22.5" customHeight="1">
      <c r="B1367" s="17" t="str">
        <f>IFERROR(__xludf.DUMMYFUNCTION("""COMPUTED_VALUE"""),"K/23/131124/1")</f>
        <v>K/23/131124/1</v>
      </c>
      <c r="C1367" s="17" t="str">
        <f>IFERROR(__xludf.DUMMYFUNCTION("""COMPUTED_VALUE"""),"M. 4937/ Sukadana Ham")</f>
        <v>M. 4937/ Sukadana Ham</v>
      </c>
      <c r="D1367" s="17">
        <f>IFERROR(__xludf.DUMMYFUNCTION("""COMPUTED_VALUE"""),45609.56784503472)</f>
        <v>45609.56785</v>
      </c>
      <c r="E1367" s="11" t="str">
        <f>IFERROR(__xludf.DUMMYFUNCTION("""COMPUTED_VALUE"""),"BN Jual Beli")</f>
        <v>BN Jual Beli</v>
      </c>
      <c r="F1367" s="11" t="str">
        <f>IFERROR(__xludf.DUMMYFUNCTION("""COMPUTED_VALUE"""),"Fahrul R/ Rama Agil S")</f>
        <v>Fahrul R/ Rama Agil S</v>
      </c>
      <c r="G1367" s="13">
        <f t="shared" si="1"/>
        <v>1148</v>
      </c>
      <c r="H1367" s="13" t="str">
        <f>IFERROR(__xludf.DUMMYFUNCTION("""COMPUTED_VALUE"""),"P0")</f>
        <v>P0</v>
      </c>
    </row>
    <row r="1368" ht="22.5" customHeight="1">
      <c r="B1368" s="17" t="str">
        <f>IFERROR(__xludf.DUMMYFUNCTION("""COMPUTED_VALUE"""),"K/24/131124/2")</f>
        <v>K/24/131124/2</v>
      </c>
      <c r="C1368" s="17" t="str">
        <f>IFERROR(__xludf.DUMMYFUNCTION("""COMPUTED_VALUE"""),"M. 4977/ Sukadana Ham")</f>
        <v>M. 4977/ Sukadana Ham</v>
      </c>
      <c r="D1368" s="17">
        <f>IFERROR(__xludf.DUMMYFUNCTION("""COMPUTED_VALUE"""),45609.56866321759)</f>
        <v>45609.56866</v>
      </c>
      <c r="E1368" s="11" t="str">
        <f>IFERROR(__xludf.DUMMYFUNCTION("""COMPUTED_VALUE"""),"BN Jual Beli")</f>
        <v>BN Jual Beli</v>
      </c>
      <c r="F1368" s="11" t="str">
        <f>IFERROR(__xludf.DUMMYFUNCTION("""COMPUTED_VALUE"""),"Fahrul R/ Andrian A")</f>
        <v>Fahrul R/ Andrian A</v>
      </c>
      <c r="G1368" s="13">
        <f t="shared" si="1"/>
        <v>1149</v>
      </c>
      <c r="H1368" s="13" t="str">
        <f>IFERROR(__xludf.DUMMYFUNCTION("""COMPUTED_VALUE"""),"P0")</f>
        <v>P0</v>
      </c>
    </row>
    <row r="1369" ht="22.5" customHeight="1">
      <c r="B1369" s="17" t="str">
        <f>IFERROR(__xludf.DUMMYFUNCTION("""COMPUTED_VALUE"""),"K/4/311024/2")</f>
        <v>K/4/311024/2</v>
      </c>
      <c r="C1369" s="17" t="str">
        <f>IFERROR(__xludf.DUMMYFUNCTION("""COMPUTED_VALUE"""),"M. 228/ JAGABAYA I")</f>
        <v>M. 228/ JAGABAYA I</v>
      </c>
      <c r="D1369" s="17">
        <f>IFERROR(__xludf.DUMMYFUNCTION("""COMPUTED_VALUE"""),45609.56896039352)</f>
        <v>45609.56896</v>
      </c>
      <c r="E1369" s="11" t="str">
        <f>IFERROR(__xludf.DUMMYFUNCTION("""COMPUTED_VALUE"""),"ROYA")</f>
        <v>ROYA</v>
      </c>
      <c r="F1369" s="11" t="str">
        <f>IFERROR(__xludf.DUMMYFUNCTION("""COMPUTED_VALUE"""),"HARIYO WIDODO/ KUSNIYAH")</f>
        <v>HARIYO WIDODO/ KUSNIYAH</v>
      </c>
      <c r="G1369" s="13">
        <f t="shared" si="1"/>
        <v>1149</v>
      </c>
      <c r="H1369" s="13" t="str">
        <f>IFERROR(__xludf.DUMMYFUNCTION("""COMPUTED_VALUE"""),"P1")</f>
        <v>P1</v>
      </c>
    </row>
    <row r="1370" ht="22.5" customHeight="1">
      <c r="B1370" s="17" t="str">
        <f>IFERROR(__xludf.DUMMYFUNCTION("""COMPUTED_VALUE"""),"L/25/131124/1")</f>
        <v>L/25/131124/1</v>
      </c>
      <c r="C1370" s="17" t="str">
        <f>IFERROR(__xludf.DUMMYFUNCTION("""COMPUTED_VALUE"""),"HM 1075/RAJABASA RAYA")</f>
        <v>HM 1075/RAJABASA RAYA</v>
      </c>
      <c r="D1370" s="17">
        <f>IFERROR(__xludf.DUMMYFUNCTION("""COMPUTED_VALUE"""),45609.571168194445)</f>
        <v>45609.57117</v>
      </c>
      <c r="E1370" s="11" t="str">
        <f>IFERROR(__xludf.DUMMYFUNCTION("""COMPUTED_VALUE"""),"ROYA")</f>
        <v>ROYA</v>
      </c>
      <c r="F1370" s="11" t="str">
        <f>IFERROR(__xludf.DUMMYFUNCTION("""COMPUTED_VALUE"""),"DHANNY SETYAWAN")</f>
        <v>DHANNY SETYAWAN</v>
      </c>
      <c r="G1370" s="13">
        <f t="shared" si="1"/>
        <v>1150</v>
      </c>
      <c r="H1370" s="13" t="str">
        <f>IFERROR(__xludf.DUMMYFUNCTION("""COMPUTED_VALUE"""),"P0")</f>
        <v>P0</v>
      </c>
    </row>
    <row r="1371" ht="22.5" customHeight="1">
      <c r="B1371" s="17" t="str">
        <f>IFERROR(__xludf.DUMMYFUNCTION("""COMPUTED_VALUE"""),"K/26/131124/1")</f>
        <v>K/26/131124/1</v>
      </c>
      <c r="C1371" s="17" t="str">
        <f>IFERROR(__xludf.DUMMYFUNCTION("""COMPUTED_VALUE"""),"B. 385/ Campang Raya")</f>
        <v>B. 385/ Campang Raya</v>
      </c>
      <c r="D1371" s="17">
        <f>IFERROR(__xludf.DUMMYFUNCTION("""COMPUTED_VALUE"""),45609.5759353125)</f>
        <v>45609.57594</v>
      </c>
      <c r="E1371" s="11" t="str">
        <f>IFERROR(__xludf.DUMMYFUNCTION("""COMPUTED_VALUE"""),"Gandes")</f>
        <v>Gandes</v>
      </c>
      <c r="F1371" s="11" t="str">
        <f>IFERROR(__xludf.DUMMYFUNCTION("""COMPUTED_VALUE"""),"Reflan R/ Imam R")</f>
        <v>Reflan R/ Imam R</v>
      </c>
      <c r="G1371" s="13">
        <f t="shared" si="1"/>
        <v>1151</v>
      </c>
      <c r="H1371" s="13" t="str">
        <f>IFERROR(__xludf.DUMMYFUNCTION("""COMPUTED_VALUE"""),"P0")</f>
        <v>P0</v>
      </c>
    </row>
    <row r="1372" ht="22.5" customHeight="1">
      <c r="B1372" s="17" t="str">
        <f>IFERROR(__xludf.DUMMYFUNCTION("""COMPUTED_VALUE"""),"K/69/311024/3")</f>
        <v>K/69/311024/3</v>
      </c>
      <c r="C1372" s="17" t="str">
        <f>IFERROR(__xludf.DUMMYFUNCTION("""COMPUTED_VALUE"""),"M.10150/SUKAMENANTI")</f>
        <v>M.10150/SUKAMENANTI</v>
      </c>
      <c r="D1372" s="17">
        <f>IFERROR(__xludf.DUMMYFUNCTION("""COMPUTED_VALUE"""),45609.576873391205)</f>
        <v>45609.57687</v>
      </c>
      <c r="E1372" s="11" t="str">
        <f>IFERROR(__xludf.DUMMYFUNCTION("""COMPUTED_VALUE"""),"BN JUAL BELI")</f>
        <v>BN JUAL BELI</v>
      </c>
      <c r="F1372" s="11" t="str">
        <f>IFERROR(__xludf.DUMMYFUNCTION("""COMPUTED_VALUE"""),"SRI RISMA YENNY/DWI SUKMASARI")</f>
        <v>SRI RISMA YENNY/DWI SUKMASARI</v>
      </c>
      <c r="G1372" s="13">
        <f t="shared" si="1"/>
        <v>1151</v>
      </c>
      <c r="H1372" s="13" t="str">
        <f>IFERROR(__xludf.DUMMYFUNCTION("""COMPUTED_VALUE"""),"P1")</f>
        <v>P1</v>
      </c>
    </row>
    <row r="1373" ht="22.5" customHeight="1">
      <c r="B1373" s="17" t="str">
        <f>IFERROR(__xludf.DUMMYFUNCTION("""COMPUTED_VALUE"""),"K/27/131124/1")</f>
        <v>K/27/131124/1</v>
      </c>
      <c r="C1373" s="17" t="str">
        <f>IFERROR(__xludf.DUMMYFUNCTION("""COMPUTED_VALUE"""),"M.1877/ BUMI WARAS")</f>
        <v>M.1877/ BUMI WARAS</v>
      </c>
      <c r="D1373" s="17">
        <f>IFERROR(__xludf.DUMMYFUNCTION("""COMPUTED_VALUE"""),45609.57877900463)</f>
        <v>45609.57878</v>
      </c>
      <c r="E1373" s="11" t="str">
        <f>IFERROR(__xludf.DUMMYFUNCTION("""COMPUTED_VALUE"""),"PLOTTING")</f>
        <v>PLOTTING</v>
      </c>
      <c r="F1373" s="11" t="str">
        <f>IFERROR(__xludf.DUMMYFUNCTION("""COMPUTED_VALUE"""),"ABDI HARI KURNIAWAN / MULYADI")</f>
        <v>ABDI HARI KURNIAWAN / MULYADI</v>
      </c>
      <c r="G1373" s="13">
        <f t="shared" si="1"/>
        <v>1152</v>
      </c>
      <c r="H1373" s="13" t="str">
        <f>IFERROR(__xludf.DUMMYFUNCTION("""COMPUTED_VALUE"""),"P0")</f>
        <v>P0</v>
      </c>
    </row>
    <row r="1374" ht="22.5" customHeight="1">
      <c r="B1374" s="17" t="str">
        <f>IFERROR(__xludf.DUMMYFUNCTION("""COMPUTED_VALUE"""),"K/28/131124/2")</f>
        <v>K/28/131124/2</v>
      </c>
      <c r="C1374" s="17" t="str">
        <f>IFERROR(__xludf.DUMMYFUNCTION("""COMPUTED_VALUE"""),"M. 1635 / PANJANG SELATAN")</f>
        <v>M. 1635 / PANJANG SELATAN</v>
      </c>
      <c r="D1374" s="17">
        <f>IFERROR(__xludf.DUMMYFUNCTION("""COMPUTED_VALUE"""),45609.58003182871)</f>
        <v>45609.58003</v>
      </c>
      <c r="E1374" s="11" t="str">
        <f>IFERROR(__xludf.DUMMYFUNCTION("""COMPUTED_VALUE"""),"ROYA")</f>
        <v>ROYA</v>
      </c>
      <c r="F1374" s="11" t="str">
        <f>IFERROR(__xludf.DUMMYFUNCTION("""COMPUTED_VALUE"""),"ABDI HARI KURNIAWAN / WIRAHAYU")</f>
        <v>ABDI HARI KURNIAWAN / WIRAHAYU</v>
      </c>
      <c r="G1374" s="13">
        <f t="shared" si="1"/>
        <v>1153</v>
      </c>
      <c r="H1374" s="13" t="str">
        <f>IFERROR(__xludf.DUMMYFUNCTION("""COMPUTED_VALUE"""),"P0")</f>
        <v>P0</v>
      </c>
    </row>
    <row r="1375" ht="22.5" customHeight="1">
      <c r="B1375" s="17" t="str">
        <f>IFERROR(__xludf.DUMMYFUNCTION("""COMPUTED_VALUE"""),"K/29/131124/1")</f>
        <v>K/29/131124/1</v>
      </c>
      <c r="C1375" s="17" t="str">
        <f>IFERROR(__xludf.DUMMYFUNCTION("""COMPUTED_VALUE"""),"M. 1200 / GULAK GALIK-SEKARANG;M. 66/SUMUR BATU-DAHULU")</f>
        <v>M. 1200 / GULAK GALIK-SEKARANG;M. 66/SUMUR BATU-DAHULU</v>
      </c>
      <c r="D1375" s="17">
        <f>IFERROR(__xludf.DUMMYFUNCTION("""COMPUTED_VALUE"""),45609.58451703704)</f>
        <v>45609.58452</v>
      </c>
      <c r="E1375" s="11" t="str">
        <f>IFERROR(__xludf.DUMMYFUNCTION("""COMPUTED_VALUE"""),"BN JUAL BELI")</f>
        <v>BN JUAL BELI</v>
      </c>
      <c r="F1375" s="11" t="str">
        <f>IFERROR(__xludf.DUMMYFUNCTION("""COMPUTED_VALUE"""),"TJHIA GIOK TJOE / BUDI SISWA")</f>
        <v>TJHIA GIOK TJOE / BUDI SISWA</v>
      </c>
      <c r="G1375" s="13">
        <f t="shared" si="1"/>
        <v>1154</v>
      </c>
      <c r="H1375" s="13" t="str">
        <f>IFERROR(__xludf.DUMMYFUNCTION("""COMPUTED_VALUE"""),"P0")</f>
        <v>P0</v>
      </c>
    </row>
    <row r="1376" ht="22.5" customHeight="1">
      <c r="B1376" s="17" t="str">
        <f>IFERROR(__xludf.DUMMYFUNCTION("""COMPUTED_VALUE"""),"K/50/311024/3")</f>
        <v>K/50/311024/3</v>
      </c>
      <c r="C1376" s="17" t="str">
        <f>IFERROR(__xludf.DUMMYFUNCTION("""COMPUTED_VALUE"""),"M.5980/WAY KANDIS")</f>
        <v>M.5980/WAY KANDIS</v>
      </c>
      <c r="D1376" s="17">
        <f>IFERROR(__xludf.DUMMYFUNCTION("""COMPUTED_VALUE"""),45609.58576834491)</f>
        <v>45609.58577</v>
      </c>
      <c r="E1376" s="11" t="str">
        <f>IFERROR(__xludf.DUMMYFUNCTION("""COMPUTED_VALUE"""),"KEWARISAN")</f>
        <v>KEWARISAN</v>
      </c>
      <c r="F1376" s="11" t="str">
        <f>IFERROR(__xludf.DUMMYFUNCTION("""COMPUTED_VALUE"""),"MAIMUNAH CS/NOVALIA EKA PUTRI")</f>
        <v>MAIMUNAH CS/NOVALIA EKA PUTRI</v>
      </c>
      <c r="G1376" s="13">
        <f t="shared" si="1"/>
        <v>1154</v>
      </c>
      <c r="H1376" s="13" t="str">
        <f>IFERROR(__xludf.DUMMYFUNCTION("""COMPUTED_VALUE"""),"P1")</f>
        <v>P1</v>
      </c>
    </row>
    <row r="1377" ht="22.5" customHeight="1">
      <c r="B1377" s="17" t="str">
        <f>IFERROR(__xludf.DUMMYFUNCTION("""COMPUTED_VALUE"""),"K/30/131124/1")</f>
        <v>K/30/131124/1</v>
      </c>
      <c r="C1377" s="17" t="str">
        <f>IFERROR(__xludf.DUMMYFUNCTION("""COMPUTED_VALUE"""),"M. 9210/ Kedamaian")</f>
        <v>M. 9210/ Kedamaian</v>
      </c>
      <c r="D1377" s="17">
        <f>IFERROR(__xludf.DUMMYFUNCTION("""COMPUTED_VALUE"""),45609.58601510417)</f>
        <v>45609.58602</v>
      </c>
      <c r="E1377" s="11" t="str">
        <f>IFERROR(__xludf.DUMMYFUNCTION("""COMPUTED_VALUE"""),"BN Waris")</f>
        <v>BN Waris</v>
      </c>
      <c r="F1377" s="11" t="str">
        <f>IFERROR(__xludf.DUMMYFUNCTION("""COMPUTED_VALUE"""),"Nuryati/ Rosdiana Cs")</f>
        <v>Nuryati/ Rosdiana Cs</v>
      </c>
      <c r="G1377" s="13">
        <f t="shared" si="1"/>
        <v>1155</v>
      </c>
      <c r="H1377" s="13" t="str">
        <f>IFERROR(__xludf.DUMMYFUNCTION("""COMPUTED_VALUE"""),"P0")</f>
        <v>P0</v>
      </c>
    </row>
    <row r="1378" ht="22.5" customHeight="1">
      <c r="B1378" s="17" t="str">
        <f>IFERROR(__xludf.DUMMYFUNCTION("""COMPUTED_VALUE"""),"K/31/131124/2")</f>
        <v>K/31/131124/2</v>
      </c>
      <c r="C1378" s="17" t="str">
        <f>IFERROR(__xludf.DUMMYFUNCTION("""COMPUTED_VALUE"""),"M. 1114/ Pematang Wangi")</f>
        <v>M. 1114/ Pematang Wangi</v>
      </c>
      <c r="D1378" s="17">
        <f>IFERROR(__xludf.DUMMYFUNCTION("""COMPUTED_VALUE"""),45609.58858481482)</f>
        <v>45609.58858</v>
      </c>
      <c r="E1378" s="11" t="str">
        <f>IFERROR(__xludf.DUMMYFUNCTION("""COMPUTED_VALUE"""),"BN Jual Beli")</f>
        <v>BN Jual Beli</v>
      </c>
      <c r="F1378" s="11" t="str">
        <f>IFERROR(__xludf.DUMMYFUNCTION("""COMPUTED_VALUE"""),"Nuryati/ Gita H")</f>
        <v>Nuryati/ Gita H</v>
      </c>
      <c r="G1378" s="13">
        <f t="shared" si="1"/>
        <v>1156</v>
      </c>
      <c r="H1378" s="13" t="str">
        <f>IFERROR(__xludf.DUMMYFUNCTION("""COMPUTED_VALUE"""),"P0")</f>
        <v>P0</v>
      </c>
    </row>
    <row r="1379" ht="22.5" customHeight="1">
      <c r="B1379" s="17" t="str">
        <f>IFERROR(__xludf.DUMMYFUNCTION("""COMPUTED_VALUE"""),"L/32/131124/1")</f>
        <v>L/32/131124/1</v>
      </c>
      <c r="C1379" s="17" t="str">
        <f>IFERROR(__xludf.DUMMYFUNCTION("""COMPUTED_VALUE"""),"HM 380/SUKARAJA")</f>
        <v>HM 380/SUKARAJA</v>
      </c>
      <c r="D1379" s="17">
        <f>IFERROR(__xludf.DUMMYFUNCTION("""COMPUTED_VALUE"""),45609.61088586805)</f>
        <v>45609.61089</v>
      </c>
      <c r="E1379" s="11" t="str">
        <f>IFERROR(__xludf.DUMMYFUNCTION("""COMPUTED_VALUE"""),"BLOKIR")</f>
        <v>BLOKIR</v>
      </c>
      <c r="F1379" s="11" t="str">
        <f>IFERROR(__xludf.DUMMYFUNCTION("""COMPUTED_VALUE"""),"HADI WAHYUDI")</f>
        <v>HADI WAHYUDI</v>
      </c>
      <c r="G1379" s="13">
        <f t="shared" si="1"/>
        <v>1157</v>
      </c>
      <c r="H1379" s="13" t="str">
        <f>IFERROR(__xludf.DUMMYFUNCTION("""COMPUTED_VALUE"""),"P0")</f>
        <v>P0</v>
      </c>
    </row>
    <row r="1380" ht="22.5" customHeight="1">
      <c r="B1380" s="17" t="str">
        <f>IFERROR(__xludf.DUMMYFUNCTION("""COMPUTED_VALUE"""),"K/34/131124/1")</f>
        <v>K/34/131124/1</v>
      </c>
      <c r="C1380" s="17" t="str">
        <f>IFERROR(__xludf.DUMMYFUNCTION("""COMPUTED_VALUE"""),"M. 4728/ Langkapura")</f>
        <v>M. 4728/ Langkapura</v>
      </c>
      <c r="D1380" s="17">
        <f>IFERROR(__xludf.DUMMYFUNCTION("""COMPUTED_VALUE"""),45609.61122049768)</f>
        <v>45609.61122</v>
      </c>
      <c r="E1380" s="11" t="str">
        <f>IFERROR(__xludf.DUMMYFUNCTION("""COMPUTED_VALUE"""),"BN JUAL BELI")</f>
        <v>BN JUAL BELI</v>
      </c>
      <c r="F1380" s="11" t="str">
        <f>IFERROR(__xludf.DUMMYFUNCTION("""COMPUTED_VALUE"""),"RENDY RENALDY/ AGUS")</f>
        <v>RENDY RENALDY/ AGUS</v>
      </c>
      <c r="G1380" s="13">
        <f t="shared" si="1"/>
        <v>1158</v>
      </c>
      <c r="H1380" s="13" t="str">
        <f>IFERROR(__xludf.DUMMYFUNCTION("""COMPUTED_VALUE"""),"P0")</f>
        <v>P0</v>
      </c>
    </row>
    <row r="1381" ht="22.5" customHeight="1">
      <c r="B1381" s="17" t="str">
        <f>IFERROR(__xludf.DUMMYFUNCTION("""COMPUTED_VALUE"""),"K/35/131124/2")</f>
        <v>K/35/131124/2</v>
      </c>
      <c r="C1381" s="17" t="str">
        <f>IFERROR(__xludf.DUMMYFUNCTION("""COMPUTED_VALUE"""),"M. 10668/ Kedaton")</f>
        <v>M. 10668/ Kedaton</v>
      </c>
      <c r="D1381" s="17">
        <f>IFERROR(__xludf.DUMMYFUNCTION("""COMPUTED_VALUE"""),45609.612733182876)</f>
        <v>45609.61273</v>
      </c>
      <c r="E1381" s="11" t="str">
        <f>IFERROR(__xludf.DUMMYFUNCTION("""COMPUTED_VALUE"""),"BN HIBAH")</f>
        <v>BN HIBAH</v>
      </c>
      <c r="F1381" s="11" t="str">
        <f>IFERROR(__xludf.DUMMYFUNCTION("""COMPUTED_VALUE"""),"RENDY RENALDY/ RAKA")</f>
        <v>RENDY RENALDY/ RAKA</v>
      </c>
      <c r="G1381" s="13">
        <f t="shared" si="1"/>
        <v>1159</v>
      </c>
      <c r="H1381" s="13" t="str">
        <f>IFERROR(__xludf.DUMMYFUNCTION("""COMPUTED_VALUE"""),"P0")</f>
        <v>P0</v>
      </c>
    </row>
    <row r="1382" ht="22.5" customHeight="1">
      <c r="B1382" s="17" t="str">
        <f>IFERROR(__xludf.DUMMYFUNCTION("""COMPUTED_VALUE"""),"K/36/131124/1")</f>
        <v>K/36/131124/1</v>
      </c>
      <c r="C1382" s="17" t="str">
        <f>IFERROR(__xludf.DUMMYFUNCTION("""COMPUTED_VALUE"""),"M. 1816/ Rajabasa Nunyai")</f>
        <v>M. 1816/ Rajabasa Nunyai</v>
      </c>
      <c r="D1382" s="17">
        <f>IFERROR(__xludf.DUMMYFUNCTION("""COMPUTED_VALUE"""),45609.61368895833)</f>
        <v>45609.61369</v>
      </c>
      <c r="E1382" s="11" t="str">
        <f>IFERROR(__xludf.DUMMYFUNCTION("""COMPUTED_VALUE"""),"BN Jual Beli")</f>
        <v>BN Jual Beli</v>
      </c>
      <c r="F1382" s="11" t="str">
        <f>IFERROR(__xludf.DUMMYFUNCTION("""COMPUTED_VALUE"""),"Endang A/ Dede H")</f>
        <v>Endang A/ Dede H</v>
      </c>
      <c r="G1382" s="13">
        <f t="shared" si="1"/>
        <v>1160</v>
      </c>
      <c r="H1382" s="13" t="str">
        <f>IFERROR(__xludf.DUMMYFUNCTION("""COMPUTED_VALUE"""),"P0")</f>
        <v>P0</v>
      </c>
    </row>
    <row r="1383" ht="22.5" customHeight="1">
      <c r="B1383" s="17" t="str">
        <f>IFERROR(__xludf.DUMMYFUNCTION("""COMPUTED_VALUE"""),"L/33/131124/2")</f>
        <v>L/33/131124/2</v>
      </c>
      <c r="C1383" s="17" t="str">
        <f>IFERROR(__xludf.DUMMYFUNCTION("""COMPUTED_VALUE"""),"HM 381/SUKARAJA")</f>
        <v>HM 381/SUKARAJA</v>
      </c>
      <c r="D1383" s="17">
        <f>IFERROR(__xludf.DUMMYFUNCTION("""COMPUTED_VALUE"""),45609.61578596065)</f>
        <v>45609.61579</v>
      </c>
      <c r="E1383" s="11" t="str">
        <f>IFERROR(__xludf.DUMMYFUNCTION("""COMPUTED_VALUE"""),"BLOKIR")</f>
        <v>BLOKIR</v>
      </c>
      <c r="F1383" s="11" t="str">
        <f>IFERROR(__xludf.DUMMYFUNCTION("""COMPUTED_VALUE"""),"HADI WAHYUDI")</f>
        <v>HADI WAHYUDI</v>
      </c>
      <c r="G1383" s="13">
        <f t="shared" si="1"/>
        <v>1161</v>
      </c>
      <c r="H1383" s="13" t="str">
        <f>IFERROR(__xludf.DUMMYFUNCTION("""COMPUTED_VALUE"""),"P0")</f>
        <v>P0</v>
      </c>
    </row>
    <row r="1384" ht="22.5" customHeight="1">
      <c r="B1384" s="17" t="str">
        <f>IFERROR(__xludf.DUMMYFUNCTION("""COMPUTED_VALUE"""),"K/37/131124/1")</f>
        <v>K/37/131124/1</v>
      </c>
      <c r="C1384" s="17" t="str">
        <f>IFERROR(__xludf.DUMMYFUNCTION("""COMPUTED_VALUE"""),"M. 9123 / TANJUNG BARU")</f>
        <v>M. 9123 / TANJUNG BARU</v>
      </c>
      <c r="D1384" s="17">
        <f>IFERROR(__xludf.DUMMYFUNCTION("""COMPUTED_VALUE"""),45609.618495462964)</f>
        <v>45609.6185</v>
      </c>
      <c r="E1384" s="11" t="str">
        <f>IFERROR(__xludf.DUMMYFUNCTION("""COMPUTED_VALUE"""),"BN JUAL BELI")</f>
        <v>BN JUAL BELI</v>
      </c>
      <c r="F1384" s="11" t="str">
        <f>IFERROR(__xludf.DUMMYFUNCTION("""COMPUTED_VALUE"""),"ANDRIANTO / TJEN ONA KEMBARA")</f>
        <v>ANDRIANTO / TJEN ONA KEMBARA</v>
      </c>
      <c r="G1384" s="13">
        <f t="shared" si="1"/>
        <v>1162</v>
      </c>
      <c r="H1384" s="13" t="str">
        <f>IFERROR(__xludf.DUMMYFUNCTION("""COMPUTED_VALUE"""),"P0")</f>
        <v>P0</v>
      </c>
    </row>
    <row r="1385" ht="22.5" customHeight="1">
      <c r="B1385" s="17" t="str">
        <f>IFERROR(__xludf.DUMMYFUNCTION("""COMPUTED_VALUE"""),"K/38/131124/1")</f>
        <v>K/38/131124/1</v>
      </c>
      <c r="C1385" s="17" t="str">
        <f>IFERROR(__xludf.DUMMYFUNCTION("""COMPUTED_VALUE"""),"M. 624 / SUKARAME II")</f>
        <v>M. 624 / SUKARAME II</v>
      </c>
      <c r="D1385" s="17">
        <f>IFERROR(__xludf.DUMMYFUNCTION("""COMPUTED_VALUE"""),45609.62132859953)</f>
        <v>45609.62133</v>
      </c>
      <c r="E1385" s="11" t="str">
        <f>IFERROR(__xludf.DUMMYFUNCTION("""COMPUTED_VALUE"""),"PLOTTING")</f>
        <v>PLOTTING</v>
      </c>
      <c r="F1385" s="11" t="str">
        <f>IFERROR(__xludf.DUMMYFUNCTION("""COMPUTED_VALUE"""),"SITI FATIMAH / HADIYANTO")</f>
        <v>SITI FATIMAH / HADIYANTO</v>
      </c>
      <c r="G1385" s="13">
        <f t="shared" si="1"/>
        <v>1163</v>
      </c>
      <c r="H1385" s="13" t="str">
        <f>IFERROR(__xludf.DUMMYFUNCTION("""COMPUTED_VALUE"""),"P0")</f>
        <v>P0</v>
      </c>
    </row>
    <row r="1386" ht="22.5" customHeight="1">
      <c r="B1386" s="17" t="str">
        <f>IFERROR(__xludf.DUMMYFUNCTION("""COMPUTED_VALUE"""),"L/1/141124/1")</f>
        <v>L/1/141124/1</v>
      </c>
      <c r="C1386" s="17" t="str">
        <f>IFERROR(__xludf.DUMMYFUNCTION("""COMPUTED_VALUE"""),"NIB 9499/SUKARAME BARU")</f>
        <v>NIB 9499/SUKARAME BARU</v>
      </c>
      <c r="D1386" s="17">
        <f>IFERROR(__xludf.DUMMYFUNCTION("""COMPUTED_VALUE"""),45610.378965497686)</f>
        <v>45610.37897</v>
      </c>
      <c r="E1386" s="11" t="str">
        <f>IFERROR(__xludf.DUMMYFUNCTION("""COMPUTED_VALUE"""),"BN LELANG")</f>
        <v>BN LELANG</v>
      </c>
      <c r="F1386" s="11" t="str">
        <f>IFERROR(__xludf.DUMMYFUNCTION("""COMPUTED_VALUE"""),"HARYATI")</f>
        <v>HARYATI</v>
      </c>
      <c r="G1386" s="13">
        <f t="shared" si="1"/>
        <v>1164</v>
      </c>
      <c r="H1386" s="13" t="str">
        <f>IFERROR(__xludf.DUMMYFUNCTION("""COMPUTED_VALUE"""),"P0")</f>
        <v>P0</v>
      </c>
    </row>
    <row r="1387" ht="22.5" customHeight="1">
      <c r="B1387" s="17" t="str">
        <f>IFERROR(__xludf.DUMMYFUNCTION("""COMPUTED_VALUE"""),"L/5/141124/1")</f>
        <v>L/5/141124/1</v>
      </c>
      <c r="C1387" s="17" t="str">
        <f>IFERROR(__xludf.DUMMYFUNCTION("""COMPUTED_VALUE"""),"HM 9337/SEGALA MIDER")</f>
        <v>HM 9337/SEGALA MIDER</v>
      </c>
      <c r="D1387" s="17">
        <f>IFERROR(__xludf.DUMMYFUNCTION("""COMPUTED_VALUE"""),45610.389659374996)</f>
        <v>45610.38966</v>
      </c>
      <c r="E1387" s="11" t="str">
        <f>IFERROR(__xludf.DUMMYFUNCTION("""COMPUTED_VALUE"""),"ROYA WARIS")</f>
        <v>ROYA WARIS</v>
      </c>
      <c r="F1387" s="11" t="str">
        <f>IFERROR(__xludf.DUMMYFUNCTION("""COMPUTED_VALUE"""),"FRINSYS DOA RAYA")</f>
        <v>FRINSYS DOA RAYA</v>
      </c>
      <c r="G1387" s="13">
        <f t="shared" si="1"/>
        <v>1165</v>
      </c>
      <c r="H1387" s="13" t="str">
        <f>IFERROR(__xludf.DUMMYFUNCTION("""COMPUTED_VALUE"""),"P0")</f>
        <v>P0</v>
      </c>
    </row>
    <row r="1388" ht="22.5" customHeight="1">
      <c r="B1388" s="17" t="str">
        <f>IFERROR(__xludf.DUMMYFUNCTION("""COMPUTED_VALUE"""),"K/2/141124/1")</f>
        <v>K/2/141124/1</v>
      </c>
      <c r="C1388" s="17" t="str">
        <f>IFERROR(__xludf.DUMMYFUNCTION("""COMPUTED_VALUE"""),"B. 799/ Sumur Putri")</f>
        <v>B. 799/ Sumur Putri</v>
      </c>
      <c r="D1388" s="17">
        <f>IFERROR(__xludf.DUMMYFUNCTION("""COMPUTED_VALUE"""),45610.390757650464)</f>
        <v>45610.39076</v>
      </c>
      <c r="E1388" s="11" t="str">
        <f>IFERROR(__xludf.DUMMYFUNCTION("""COMPUTED_VALUE"""),"BN JUAL BELI")</f>
        <v>BN JUAL BELI</v>
      </c>
      <c r="F1388" s="11" t="str">
        <f>IFERROR(__xludf.DUMMYFUNCTION("""COMPUTED_VALUE"""),"FRANSISCA/ EVA SURIANI")</f>
        <v>FRANSISCA/ EVA SURIANI</v>
      </c>
      <c r="G1388" s="13">
        <f t="shared" si="1"/>
        <v>1166</v>
      </c>
      <c r="H1388" s="13" t="str">
        <f>IFERROR(__xludf.DUMMYFUNCTION("""COMPUTED_VALUE"""),"P0")</f>
        <v>P0</v>
      </c>
    </row>
    <row r="1389" ht="22.5" customHeight="1">
      <c r="B1389" s="17" t="str">
        <f>IFERROR(__xludf.DUMMYFUNCTION("""COMPUTED_VALUE"""),"K/3/141124/2")</f>
        <v>K/3/141124/2</v>
      </c>
      <c r="C1389" s="17" t="str">
        <f>IFERROR(__xludf.DUMMYFUNCTION("""COMPUTED_VALUE"""),"M. 10144/ Kampung Baru")</f>
        <v>M. 10144/ Kampung Baru</v>
      </c>
      <c r="D1389" s="17">
        <f>IFERROR(__xludf.DUMMYFUNCTION("""COMPUTED_VALUE"""),45610.3923062963)</f>
        <v>45610.39231</v>
      </c>
      <c r="E1389" s="11" t="str">
        <f>IFERROR(__xludf.DUMMYFUNCTION("""COMPUTED_VALUE"""),"ROYA")</f>
        <v>ROYA</v>
      </c>
      <c r="F1389" s="11" t="str">
        <f>IFERROR(__xludf.DUMMYFUNCTION("""COMPUTED_VALUE"""),"EVA SURIANI/ MAHYATIN")</f>
        <v>EVA SURIANI/ MAHYATIN</v>
      </c>
      <c r="G1389" s="13">
        <f t="shared" si="1"/>
        <v>1167</v>
      </c>
      <c r="H1389" s="13" t="str">
        <f>IFERROR(__xludf.DUMMYFUNCTION("""COMPUTED_VALUE"""),"P0")</f>
        <v>P0</v>
      </c>
    </row>
    <row r="1390" ht="22.5" customHeight="1">
      <c r="B1390" s="17" t="str">
        <f>IFERROR(__xludf.DUMMYFUNCTION("""COMPUTED_VALUE"""),"K/4/141124/3")</f>
        <v>K/4/141124/3</v>
      </c>
      <c r="C1390" s="17" t="str">
        <f>IFERROR(__xludf.DUMMYFUNCTION("""COMPUTED_VALUE"""),"B. 335/ Kampung Baru")</f>
        <v>B. 335/ Kampung Baru</v>
      </c>
      <c r="D1390" s="17">
        <f>IFERROR(__xludf.DUMMYFUNCTION("""COMPUTED_VALUE"""),45610.395799375)</f>
        <v>45610.3958</v>
      </c>
      <c r="E1390" s="11" t="str">
        <f>IFERROR(__xludf.DUMMYFUNCTION("""COMPUTED_VALUE"""),"PERUBAHAN HAK")</f>
        <v>PERUBAHAN HAK</v>
      </c>
      <c r="F1390" s="11" t="str">
        <f>IFERROR(__xludf.DUMMYFUNCTION("""COMPUTED_VALUE"""),"EVA SURIANI/ MAHYATIN")</f>
        <v>EVA SURIANI/ MAHYATIN</v>
      </c>
      <c r="G1390" s="13">
        <f t="shared" si="1"/>
        <v>1168</v>
      </c>
      <c r="H1390" s="13" t="str">
        <f>IFERROR(__xludf.DUMMYFUNCTION("""COMPUTED_VALUE"""),"P0")</f>
        <v>P0</v>
      </c>
    </row>
    <row r="1391" ht="22.5" customHeight="1">
      <c r="B1391" s="17" t="str">
        <f>IFERROR(__xludf.DUMMYFUNCTION("""COMPUTED_VALUE"""),"K/6/141124/1")</f>
        <v>K/6/141124/1</v>
      </c>
      <c r="C1391" s="17" t="str">
        <f>IFERROR(__xludf.DUMMYFUNCTION("""COMPUTED_VALUE"""),"M. 6925/TANJUNG SENANG")</f>
        <v>M. 6925/TANJUNG SENANG</v>
      </c>
      <c r="D1391" s="17">
        <f>IFERROR(__xludf.DUMMYFUNCTION("""COMPUTED_VALUE"""),45610.39785303241)</f>
        <v>45610.39785</v>
      </c>
      <c r="E1391" s="11" t="str">
        <f>IFERROR(__xludf.DUMMYFUNCTION("""COMPUTED_VALUE"""),"BN JUAL BELI")</f>
        <v>BN JUAL BELI</v>
      </c>
      <c r="F1391" s="11" t="str">
        <f>IFERROR(__xludf.DUMMYFUNCTION("""COMPUTED_VALUE"""),"RENALDI PRATAMA SIRYA / EKA NURFANI")</f>
        <v>RENALDI PRATAMA SIRYA / EKA NURFANI</v>
      </c>
      <c r="G1391" s="13">
        <f t="shared" si="1"/>
        <v>1169</v>
      </c>
      <c r="H1391" s="13" t="str">
        <f>IFERROR(__xludf.DUMMYFUNCTION("""COMPUTED_VALUE"""),"P0")</f>
        <v>P0</v>
      </c>
    </row>
    <row r="1392" ht="22.5" customHeight="1">
      <c r="B1392" s="17" t="str">
        <f>IFERROR(__xludf.DUMMYFUNCTION("""COMPUTED_VALUE"""),"K/7/141124/1")</f>
        <v>K/7/141124/1</v>
      </c>
      <c r="C1392" s="17" t="str">
        <f>IFERROR(__xludf.DUMMYFUNCTION("""COMPUTED_VALUE"""),"NIBEL M. 1762/PEMATANG WANGI")</f>
        <v>NIBEL M. 1762/PEMATANG WANGI</v>
      </c>
      <c r="D1392" s="17">
        <f>IFERROR(__xludf.DUMMYFUNCTION("""COMPUTED_VALUE"""),45610.40380023148)</f>
        <v>45610.4038</v>
      </c>
      <c r="E1392" s="11" t="str">
        <f>IFERROR(__xludf.DUMMYFUNCTION("""COMPUTED_VALUE"""),"BN JUAL BELI")</f>
        <v>BN JUAL BELI</v>
      </c>
      <c r="F1392" s="11" t="str">
        <f>IFERROR(__xludf.DUMMYFUNCTION("""COMPUTED_VALUE"""),"BAMBANG ABIYONO / WINDI KANIASARI")</f>
        <v>BAMBANG ABIYONO / WINDI KANIASARI</v>
      </c>
      <c r="G1392" s="13">
        <f t="shared" si="1"/>
        <v>1170</v>
      </c>
      <c r="H1392" s="13" t="str">
        <f>IFERROR(__xludf.DUMMYFUNCTION("""COMPUTED_VALUE"""),"P0")</f>
        <v>P0</v>
      </c>
    </row>
    <row r="1393" ht="22.5" customHeight="1">
      <c r="B1393" s="17" t="str">
        <f>IFERROR(__xludf.DUMMYFUNCTION("""COMPUTED_VALUE"""),"L/10/141124/1")</f>
        <v>L/10/141124/1</v>
      </c>
      <c r="C1393" s="17" t="str">
        <f>IFERROR(__xludf.DUMMYFUNCTION("""COMPUTED_VALUE"""),"HM 17408/SUKARAME")</f>
        <v>HM 17408/SUKARAME</v>
      </c>
      <c r="D1393" s="17">
        <f>IFERROR(__xludf.DUMMYFUNCTION("""COMPUTED_VALUE"""),45610.41060092593)</f>
        <v>45610.4106</v>
      </c>
      <c r="E1393" s="11" t="str">
        <f>IFERROR(__xludf.DUMMYFUNCTION("""COMPUTED_VALUE"""),"ROYA")</f>
        <v>ROYA</v>
      </c>
      <c r="F1393" s="11" t="str">
        <f>IFERROR(__xludf.DUMMYFUNCTION("""COMPUTED_VALUE"""),"HANAFI")</f>
        <v>HANAFI</v>
      </c>
      <c r="G1393" s="13">
        <f t="shared" si="1"/>
        <v>1171</v>
      </c>
      <c r="H1393" s="13" t="str">
        <f>IFERROR(__xludf.DUMMYFUNCTION("""COMPUTED_VALUE"""),"P0")</f>
        <v>P0</v>
      </c>
    </row>
    <row r="1394" ht="22.5" customHeight="1">
      <c r="B1394" s="17" t="str">
        <f>IFERROR(__xludf.DUMMYFUNCTION("""COMPUTED_VALUE"""),"K/9/141124/1")</f>
        <v>K/9/141124/1</v>
      </c>
      <c r="C1394" s="17" t="str">
        <f>IFERROR(__xludf.DUMMYFUNCTION("""COMPUTED_VALUE"""),"M. 740/ Perwata")</f>
        <v>M. 740/ Perwata</v>
      </c>
      <c r="D1394" s="17">
        <f>IFERROR(__xludf.DUMMYFUNCTION("""COMPUTED_VALUE"""),45610.41360581019)</f>
        <v>45610.41361</v>
      </c>
      <c r="E1394" s="11" t="str">
        <f>IFERROR(__xludf.DUMMYFUNCTION("""COMPUTED_VALUE"""),"BN JUAL BELI")</f>
        <v>BN JUAL BELI</v>
      </c>
      <c r="F1394" s="11" t="str">
        <f>IFERROR(__xludf.DUMMYFUNCTION("""COMPUTED_VALUE"""),"EVI UDIN")</f>
        <v>EVI UDIN</v>
      </c>
      <c r="G1394" s="13">
        <f t="shared" si="1"/>
        <v>1172</v>
      </c>
      <c r="H1394" s="13" t="str">
        <f>IFERROR(__xludf.DUMMYFUNCTION("""COMPUTED_VALUE"""),"P0")</f>
        <v>P0</v>
      </c>
    </row>
    <row r="1395" ht="22.5" customHeight="1">
      <c r="B1395" s="17" t="str">
        <f>IFERROR(__xludf.DUMMYFUNCTION("""COMPUTED_VALUE"""),"K/11/141124/1")</f>
        <v>K/11/141124/1</v>
      </c>
      <c r="C1395" s="17" t="str">
        <f>IFERROR(__xludf.DUMMYFUNCTION("""COMPUTED_VALUE"""),"M. 13164/ Tanjung Baru")</f>
        <v>M. 13164/ Tanjung Baru</v>
      </c>
      <c r="D1395" s="17">
        <f>IFERROR(__xludf.DUMMYFUNCTION("""COMPUTED_VALUE"""),45610.43919585648)</f>
        <v>45610.4392</v>
      </c>
      <c r="E1395" s="11" t="str">
        <f>IFERROR(__xludf.DUMMYFUNCTION("""COMPUTED_VALUE"""),"ROYA")</f>
        <v>ROYA</v>
      </c>
      <c r="F1395" s="11" t="str">
        <f>IFERROR(__xludf.DUMMYFUNCTION("""COMPUTED_VALUE"""),"FITRIANA")</f>
        <v>FITRIANA</v>
      </c>
      <c r="G1395" s="13">
        <f t="shared" si="1"/>
        <v>1173</v>
      </c>
      <c r="H1395" s="13" t="str">
        <f>IFERROR(__xludf.DUMMYFUNCTION("""COMPUTED_VALUE"""),"P0")</f>
        <v>P0</v>
      </c>
    </row>
    <row r="1396" ht="22.5" customHeight="1">
      <c r="B1396" s="17" t="str">
        <f>IFERROR(__xludf.DUMMYFUNCTION("""COMPUTED_VALUE"""),"K/12/141124/1")</f>
        <v>K/12/141124/1</v>
      </c>
      <c r="C1396" s="17" t="str">
        <f>IFERROR(__xludf.DUMMYFUNCTION("""COMPUTED_VALUE"""),"M.2944/SUKARAME II")</f>
        <v>M.2944/SUKARAME II</v>
      </c>
      <c r="D1396" s="17">
        <f>IFERROR(__xludf.DUMMYFUNCTION("""COMPUTED_VALUE"""),45610.45235047454)</f>
        <v>45610.45235</v>
      </c>
      <c r="E1396" s="11" t="str">
        <f>IFERROR(__xludf.DUMMYFUNCTION("""COMPUTED_VALUE"""),"BN JUAL BELI")</f>
        <v>BN JUAL BELI</v>
      </c>
      <c r="F1396" s="11" t="str">
        <f>IFERROR(__xludf.DUMMYFUNCTION("""COMPUTED_VALUE"""),"AGUNG ADITYA PRATAMA/RICHARD ADI PRASTYA")</f>
        <v>AGUNG ADITYA PRATAMA/RICHARD ADI PRASTYA</v>
      </c>
      <c r="G1396" s="13">
        <f t="shared" si="1"/>
        <v>1174</v>
      </c>
      <c r="H1396" s="13" t="str">
        <f>IFERROR(__xludf.DUMMYFUNCTION("""COMPUTED_VALUE"""),"P0")</f>
        <v>P0</v>
      </c>
    </row>
    <row r="1397" ht="22.5" customHeight="1">
      <c r="B1397" s="17" t="str">
        <f>IFERROR(__xludf.DUMMYFUNCTION("""COMPUTED_VALUE"""),"K/13/141124/1")</f>
        <v>K/13/141124/1</v>
      </c>
      <c r="C1397" s="17" t="str">
        <f>IFERROR(__xludf.DUMMYFUNCTION("""COMPUTED_VALUE"""),"Nibel 2718/ Perumnas Way Kandis")</f>
        <v>Nibel 2718/ Perumnas Way Kandis</v>
      </c>
      <c r="D1397" s="17">
        <f>IFERROR(__xludf.DUMMYFUNCTION("""COMPUTED_VALUE"""),45610.45834469907)</f>
        <v>45610.45834</v>
      </c>
      <c r="E1397" s="11" t="str">
        <f>IFERROR(__xludf.DUMMYFUNCTION("""COMPUTED_VALUE"""),"PERUBAHAN HAK")</f>
        <v>PERUBAHAN HAK</v>
      </c>
      <c r="F1397" s="11" t="str">
        <f>IFERROR(__xludf.DUMMYFUNCTION("""COMPUTED_VALUE"""),"RAHMADIYANTI")</f>
        <v>RAHMADIYANTI</v>
      </c>
      <c r="G1397" s="13">
        <f t="shared" si="1"/>
        <v>1175</v>
      </c>
      <c r="H1397" s="13" t="str">
        <f>IFERROR(__xludf.DUMMYFUNCTION("""COMPUTED_VALUE"""),"P0")</f>
        <v>P0</v>
      </c>
    </row>
    <row r="1398" ht="22.5" customHeight="1">
      <c r="B1398" s="17" t="str">
        <f>IFERROR(__xludf.DUMMYFUNCTION("""COMPUTED_VALUE"""),"K/14/141124/2")</f>
        <v>K/14/141124/2</v>
      </c>
      <c r="C1398" s="17" t="str">
        <f>IFERROR(__xludf.DUMMYFUNCTION("""COMPUTED_VALUE"""),"Nibel 2441/ Perumnas Way Kandis")</f>
        <v>Nibel 2441/ Perumnas Way Kandis</v>
      </c>
      <c r="D1398" s="17">
        <f>IFERROR(__xludf.DUMMYFUNCTION("""COMPUTED_VALUE"""),45610.45948362269)</f>
        <v>45610.45948</v>
      </c>
      <c r="E1398" s="11" t="str">
        <f>IFERROR(__xludf.DUMMYFUNCTION("""COMPUTED_VALUE"""),"PERUBAHAN HAK")</f>
        <v>PERUBAHAN HAK</v>
      </c>
      <c r="F1398" s="11" t="str">
        <f>IFERROR(__xludf.DUMMYFUNCTION("""COMPUTED_VALUE"""),"RAHMADIYANTI")</f>
        <v>RAHMADIYANTI</v>
      </c>
      <c r="G1398" s="13">
        <f t="shared" si="1"/>
        <v>1176</v>
      </c>
      <c r="H1398" s="13" t="str">
        <f>IFERROR(__xludf.DUMMYFUNCTION("""COMPUTED_VALUE"""),"P0")</f>
        <v>P0</v>
      </c>
    </row>
    <row r="1399" ht="22.5" customHeight="1">
      <c r="B1399" s="17" t="str">
        <f>IFERROR(__xludf.DUMMYFUNCTION("""COMPUTED_VALUE"""),"K/15/141124/3")</f>
        <v>K/15/141124/3</v>
      </c>
      <c r="C1399" s="17" t="str">
        <f>IFERROR(__xludf.DUMMYFUNCTION("""COMPUTED_VALUE"""),"M. 693/ Gedong Air")</f>
        <v>M. 693/ Gedong Air</v>
      </c>
      <c r="D1399" s="17">
        <f>IFERROR(__xludf.DUMMYFUNCTION("""COMPUTED_VALUE"""),45610.46164299769)</f>
        <v>45610.46164</v>
      </c>
      <c r="E1399" s="11" t="str">
        <f>IFERROR(__xludf.DUMMYFUNCTION("""COMPUTED_VALUE"""),"BN HIBAH")</f>
        <v>BN HIBAH</v>
      </c>
      <c r="F1399" s="11" t="str">
        <f>IFERROR(__xludf.DUMMYFUNCTION("""COMPUTED_VALUE"""),"RAHMADIYANTI")</f>
        <v>RAHMADIYANTI</v>
      </c>
      <c r="G1399" s="13">
        <f t="shared" si="1"/>
        <v>1177</v>
      </c>
      <c r="H1399" s="13" t="str">
        <f>IFERROR(__xludf.DUMMYFUNCTION("""COMPUTED_VALUE"""),"P0")</f>
        <v>P0</v>
      </c>
    </row>
    <row r="1400" ht="22.5" customHeight="1">
      <c r="B1400" s="17" t="str">
        <f>IFERROR(__xludf.DUMMYFUNCTION("""COMPUTED_VALUE"""),"L/17/141124/1")</f>
        <v>L/17/141124/1</v>
      </c>
      <c r="C1400" s="17" t="str">
        <f>IFERROR(__xludf.DUMMYFUNCTION("""COMPUTED_VALUE"""),"HM 13818/SUKABUMI")</f>
        <v>HM 13818/SUKABUMI</v>
      </c>
      <c r="D1400" s="17">
        <f>IFERROR(__xludf.DUMMYFUNCTION("""COMPUTED_VALUE"""),45610.476313611114)</f>
        <v>45610.47631</v>
      </c>
      <c r="E1400" s="11" t="str">
        <f>IFERROR(__xludf.DUMMYFUNCTION("""COMPUTED_VALUE"""),"ROYA")</f>
        <v>ROYA</v>
      </c>
      <c r="F1400" s="11" t="str">
        <f>IFERROR(__xludf.DUMMYFUNCTION("""COMPUTED_VALUE"""),"RIO TRIVALDI")</f>
        <v>RIO TRIVALDI</v>
      </c>
      <c r="G1400" s="13">
        <f t="shared" si="1"/>
        <v>1178</v>
      </c>
      <c r="H1400" s="13" t="str">
        <f>IFERROR(__xludf.DUMMYFUNCTION("""COMPUTED_VALUE"""),"P0")</f>
        <v>P0</v>
      </c>
    </row>
    <row r="1401" ht="22.5" customHeight="1">
      <c r="B1401" s="17" t="str">
        <f>IFERROR(__xludf.DUMMYFUNCTION("""COMPUTED_VALUE"""),"K/16/141124/1")</f>
        <v>K/16/141124/1</v>
      </c>
      <c r="C1401" s="17" t="str">
        <f>IFERROR(__xludf.DUMMYFUNCTION("""COMPUTED_VALUE"""),"NIBEL B 2726")</f>
        <v>NIBEL B 2726</v>
      </c>
      <c r="D1401" s="17">
        <f>IFERROR(__xludf.DUMMYFUNCTION("""COMPUTED_VALUE"""),45610.4777422801)</f>
        <v>45610.47774</v>
      </c>
      <c r="E1401" s="11" t="str">
        <f>IFERROR(__xludf.DUMMYFUNCTION("""COMPUTED_VALUE"""),"PERUBAHAN HAK")</f>
        <v>PERUBAHAN HAK</v>
      </c>
      <c r="F1401" s="11" t="str">
        <f>IFERROR(__xludf.DUMMYFUNCTION("""COMPUTED_VALUE"""),"SAIDA FITRI YANA / SUBHAN ROZI")</f>
        <v>SAIDA FITRI YANA / SUBHAN ROZI</v>
      </c>
      <c r="G1401" s="13">
        <f t="shared" si="1"/>
        <v>1179</v>
      </c>
      <c r="H1401" s="13" t="str">
        <f>IFERROR(__xludf.DUMMYFUNCTION("""COMPUTED_VALUE"""),"P0")</f>
        <v>P0</v>
      </c>
    </row>
    <row r="1402" ht="22.5" customHeight="1">
      <c r="B1402" s="17" t="str">
        <f>IFERROR(__xludf.DUMMYFUNCTION("""COMPUTED_VALUE"""),"K/19/141124/2")</f>
        <v>K/19/141124/2</v>
      </c>
      <c r="C1402" s="17" t="str">
        <f>IFERROR(__xludf.DUMMYFUNCTION("""COMPUTED_VALUE"""),"NIBEL B 2208/BERINGIN JAYA")</f>
        <v>NIBEL B 2208/BERINGIN JAYA</v>
      </c>
      <c r="D1402" s="17">
        <f>IFERROR(__xludf.DUMMYFUNCTION("""COMPUTED_VALUE"""),45610.47877908565)</f>
        <v>45610.47878</v>
      </c>
      <c r="E1402" s="11" t="str">
        <f>IFERROR(__xludf.DUMMYFUNCTION("""COMPUTED_VALUE"""),"PERUBAHAN HAK")</f>
        <v>PERUBAHAN HAK</v>
      </c>
      <c r="F1402" s="11" t="str">
        <f>IFERROR(__xludf.DUMMYFUNCTION("""COMPUTED_VALUE"""),"SAIDA FITRI YANA / FARIDA")</f>
        <v>SAIDA FITRI YANA / FARIDA</v>
      </c>
      <c r="G1402" s="13">
        <f t="shared" si="1"/>
        <v>1180</v>
      </c>
      <c r="H1402" s="13" t="str">
        <f>IFERROR(__xludf.DUMMYFUNCTION("""COMPUTED_VALUE"""),"P0")</f>
        <v>P0</v>
      </c>
    </row>
    <row r="1403" ht="22.5" customHeight="1">
      <c r="B1403" s="17" t="str">
        <f>IFERROR(__xludf.DUMMYFUNCTION("""COMPUTED_VALUE"""),"K/20/141124/3")</f>
        <v>K/20/141124/3</v>
      </c>
      <c r="C1403" s="17" t="str">
        <f>IFERROR(__xludf.DUMMYFUNCTION("""COMPUTED_VALUE"""),"NIBEL B. 2343/BERINGIN JAYA")</f>
        <v>NIBEL B. 2343/BERINGIN JAYA</v>
      </c>
      <c r="D1403" s="17">
        <f>IFERROR(__xludf.DUMMYFUNCTION("""COMPUTED_VALUE"""),45610.479901886574)</f>
        <v>45610.4799</v>
      </c>
      <c r="E1403" s="11" t="str">
        <f>IFERROR(__xludf.DUMMYFUNCTION("""COMPUTED_VALUE"""),"PERUBAHAN HAK")</f>
        <v>PERUBAHAN HAK</v>
      </c>
      <c r="F1403" s="11" t="str">
        <f>IFERROR(__xludf.DUMMYFUNCTION("""COMPUTED_VALUE"""),"SAIDA FITRI YANA / FARIDA")</f>
        <v>SAIDA FITRI YANA / FARIDA</v>
      </c>
      <c r="G1403" s="13">
        <f t="shared" si="1"/>
        <v>1181</v>
      </c>
      <c r="H1403" s="13" t="str">
        <f>IFERROR(__xludf.DUMMYFUNCTION("""COMPUTED_VALUE"""),"P0")</f>
        <v>P0</v>
      </c>
    </row>
    <row r="1404" ht="22.5" customHeight="1">
      <c r="B1404" s="17" t="str">
        <f>IFERROR(__xludf.DUMMYFUNCTION("""COMPUTED_VALUE"""),"L/18/141124/1")</f>
        <v>L/18/141124/1</v>
      </c>
      <c r="C1404" s="17" t="str">
        <f>IFERROR(__xludf.DUMMYFUNCTION("""COMPUTED_VALUE"""),"HM 17028/SUKARAME")</f>
        <v>HM 17028/SUKARAME</v>
      </c>
      <c r="D1404" s="17">
        <f>IFERROR(__xludf.DUMMYFUNCTION("""COMPUTED_VALUE"""),45610.48057491898)</f>
        <v>45610.48057</v>
      </c>
      <c r="E1404" s="11" t="str">
        <f>IFERROR(__xludf.DUMMYFUNCTION("""COMPUTED_VALUE"""),"ROYA")</f>
        <v>ROYA</v>
      </c>
      <c r="F1404" s="11" t="str">
        <f>IFERROR(__xludf.DUMMYFUNCTION("""COMPUTED_VALUE"""),"HANAFI")</f>
        <v>HANAFI</v>
      </c>
      <c r="G1404" s="13">
        <f t="shared" si="1"/>
        <v>1182</v>
      </c>
      <c r="H1404" s="13" t="str">
        <f>IFERROR(__xludf.DUMMYFUNCTION("""COMPUTED_VALUE"""),"P0")</f>
        <v>P0</v>
      </c>
    </row>
    <row r="1405" ht="22.5" customHeight="1">
      <c r="B1405" s="17" t="str">
        <f>IFERROR(__xludf.DUMMYFUNCTION("""COMPUTED_VALUE"""),"K/21/141124/1")</f>
        <v>K/21/141124/1</v>
      </c>
      <c r="C1405" s="17" t="str">
        <f>IFERROR(__xludf.DUMMYFUNCTION("""COMPUTED_VALUE"""),"B. 773/ Sumur Putri")</f>
        <v>B. 773/ Sumur Putri</v>
      </c>
      <c r="D1405" s="17">
        <f>IFERROR(__xludf.DUMMYFUNCTION("""COMPUTED_VALUE"""),45610.49203439815)</f>
        <v>45610.49203</v>
      </c>
      <c r="E1405" s="11" t="str">
        <f>IFERROR(__xludf.DUMMYFUNCTION("""COMPUTED_VALUE"""),"BN JUAL BELI")</f>
        <v>BN JUAL BELI</v>
      </c>
      <c r="F1405" s="11" t="str">
        <f>IFERROR(__xludf.DUMMYFUNCTION("""COMPUTED_VALUE"""),"PANARY SITOPU")</f>
        <v>PANARY SITOPU</v>
      </c>
      <c r="G1405" s="13">
        <f t="shared" si="1"/>
        <v>1183</v>
      </c>
      <c r="H1405" s="13" t="str">
        <f>IFERROR(__xludf.DUMMYFUNCTION("""COMPUTED_VALUE"""),"P0")</f>
        <v>P0</v>
      </c>
    </row>
    <row r="1406" ht="22.5" customHeight="1">
      <c r="B1406" s="17" t="str">
        <f>IFERROR(__xludf.DUMMYFUNCTION("""COMPUTED_VALUE"""),"K/22/141124/1")</f>
        <v>K/22/141124/1</v>
      </c>
      <c r="C1406" s="17" t="str">
        <f>IFERROR(__xludf.DUMMYFUNCTION("""COMPUTED_VALUE"""),"B.815/SUKABUMI INDAH")</f>
        <v>B.815/SUKABUMI INDAH</v>
      </c>
      <c r="D1406" s="17">
        <f>IFERROR(__xludf.DUMMYFUNCTION("""COMPUTED_VALUE"""),45610.56321994213)</f>
        <v>45610.56322</v>
      </c>
      <c r="E1406" s="11" t="str">
        <f>IFERROR(__xludf.DUMMYFUNCTION("""COMPUTED_VALUE"""),"BN JUAL BELI")</f>
        <v>BN JUAL BELI</v>
      </c>
      <c r="F1406" s="11" t="str">
        <f>IFERROR(__xludf.DUMMYFUNCTION("""COMPUTED_VALUE"""),"KADEK SANTI/ISMARINA")</f>
        <v>KADEK SANTI/ISMARINA</v>
      </c>
      <c r="G1406" s="13">
        <f t="shared" si="1"/>
        <v>1184</v>
      </c>
      <c r="H1406" s="13" t="str">
        <f>IFERROR(__xludf.DUMMYFUNCTION("""COMPUTED_VALUE"""),"P0")</f>
        <v>P0</v>
      </c>
    </row>
    <row r="1407" ht="22.5" customHeight="1">
      <c r="B1407" s="17" t="str">
        <f>IFERROR(__xludf.DUMMYFUNCTION("""COMPUTED_VALUE"""),"K/67/311024/1")</f>
        <v>K/67/311024/1</v>
      </c>
      <c r="C1407" s="17" t="str">
        <f>IFERROR(__xludf.DUMMYFUNCTION("""COMPUTED_VALUE"""),"M.2446/RAJABASA JAYA")</f>
        <v>M.2446/RAJABASA JAYA</v>
      </c>
      <c r="D1407" s="17">
        <f>IFERROR(__xludf.DUMMYFUNCTION("""COMPUTED_VALUE"""),45610.56693178241)</f>
        <v>45610.56693</v>
      </c>
      <c r="E1407" s="11" t="str">
        <f>IFERROR(__xludf.DUMMYFUNCTION("""COMPUTED_VALUE"""),"BN JUAL BELI")</f>
        <v>BN JUAL BELI</v>
      </c>
      <c r="F1407" s="11" t="str">
        <f>IFERROR(__xludf.DUMMYFUNCTION("""COMPUTED_VALUE"""),"WINDA KARTIKA/ANDRY YULIAN")</f>
        <v>WINDA KARTIKA/ANDRY YULIAN</v>
      </c>
      <c r="G1407" s="13">
        <f t="shared" si="1"/>
        <v>1184</v>
      </c>
      <c r="H1407" s="13" t="str">
        <f>IFERROR(__xludf.DUMMYFUNCTION("""COMPUTED_VALUE"""),"P1")</f>
        <v>P1</v>
      </c>
    </row>
    <row r="1408" ht="22.5" customHeight="1">
      <c r="B1408" s="17" t="str">
        <f>IFERROR(__xludf.DUMMYFUNCTION("""COMPUTED_VALUE"""),"K/23/141124/1")</f>
        <v>K/23/141124/1</v>
      </c>
      <c r="C1408" s="17" t="str">
        <f>IFERROR(__xludf.DUMMYFUNCTION("""COMPUTED_VALUE"""),"NIBEL M.3412/LABUHAN RATU")</f>
        <v>NIBEL M.3412/LABUHAN RATU</v>
      </c>
      <c r="D1408" s="17">
        <f>IFERROR(__xludf.DUMMYFUNCTION("""COMPUTED_VALUE"""),45610.568865810186)</f>
        <v>45610.56887</v>
      </c>
      <c r="E1408" s="11" t="str">
        <f>IFERROR(__xludf.DUMMYFUNCTION("""COMPUTED_VALUE"""),"GANDES")</f>
        <v>GANDES</v>
      </c>
      <c r="F1408" s="11" t="str">
        <f>IFERROR(__xludf.DUMMYFUNCTION("""COMPUTED_VALUE"""),"NINIK SULISTIYORINI CS/NURYATI")</f>
        <v>NINIK SULISTIYORINI CS/NURYATI</v>
      </c>
      <c r="G1408" s="13">
        <f t="shared" si="1"/>
        <v>1185</v>
      </c>
      <c r="H1408" s="13" t="str">
        <f>IFERROR(__xludf.DUMMYFUNCTION("""COMPUTED_VALUE"""),"P0")</f>
        <v>P0</v>
      </c>
    </row>
    <row r="1409" ht="22.5" customHeight="1">
      <c r="B1409" s="17" t="str">
        <f>IFERROR(__xludf.DUMMYFUNCTION("""COMPUTED_VALUE"""),"K/24/141124/1")</f>
        <v>K/24/141124/1</v>
      </c>
      <c r="C1409" s="17" t="str">
        <f>IFERROR(__xludf.DUMMYFUNCTION("""COMPUTED_VALUE"""),"M. 2871/ Sukarame Baru")</f>
        <v>M. 2871/ Sukarame Baru</v>
      </c>
      <c r="D1409" s="17">
        <f>IFERROR(__xludf.DUMMYFUNCTION("""COMPUTED_VALUE"""),45610.573931817125)</f>
        <v>45610.57393</v>
      </c>
      <c r="E1409" s="11" t="str">
        <f>IFERROR(__xludf.DUMMYFUNCTION("""COMPUTED_VALUE"""),"BN Jual Beli")</f>
        <v>BN Jual Beli</v>
      </c>
      <c r="F1409" s="11" t="str">
        <f>IFERROR(__xludf.DUMMYFUNCTION("""COMPUTED_VALUE"""),"Ilanur/ Lina qq Peng Dachuan")</f>
        <v>Ilanur/ Lina qq Peng Dachuan</v>
      </c>
      <c r="G1409" s="13">
        <f t="shared" si="1"/>
        <v>1186</v>
      </c>
      <c r="H1409" s="13" t="str">
        <f>IFERROR(__xludf.DUMMYFUNCTION("""COMPUTED_VALUE"""),"P0")</f>
        <v>P0</v>
      </c>
    </row>
    <row r="1410" ht="22.5" customHeight="1">
      <c r="B1410" s="17" t="str">
        <f>IFERROR(__xludf.DUMMYFUNCTION("""COMPUTED_VALUE"""),"K/25/141124/1")</f>
        <v>K/25/141124/1</v>
      </c>
      <c r="C1410" s="17" t="str">
        <f>IFERROR(__xludf.DUMMYFUNCTION("""COMPUTED_VALUE"""),"M. 6036/WAY KANDIS")</f>
        <v>M. 6036/WAY KANDIS</v>
      </c>
      <c r="D1410" s="17">
        <f>IFERROR(__xludf.DUMMYFUNCTION("""COMPUTED_VALUE"""),45610.574778368056)</f>
        <v>45610.57478</v>
      </c>
      <c r="E1410" s="11" t="str">
        <f>IFERROR(__xludf.DUMMYFUNCTION("""COMPUTED_VALUE"""),"BN JUAL BELI")</f>
        <v>BN JUAL BELI</v>
      </c>
      <c r="F1410" s="11" t="str">
        <f>IFERROR(__xludf.DUMMYFUNCTION("""COMPUTED_VALUE"""),"DEWI SUKMASARI / FATHUR ROHMI")</f>
        <v>DEWI SUKMASARI / FATHUR ROHMI</v>
      </c>
      <c r="G1410" s="13">
        <f t="shared" si="1"/>
        <v>1187</v>
      </c>
      <c r="H1410" s="13" t="str">
        <f>IFERROR(__xludf.DUMMYFUNCTION("""COMPUTED_VALUE"""),"P0")</f>
        <v>P0</v>
      </c>
    </row>
    <row r="1411" ht="22.5" customHeight="1">
      <c r="B1411" s="17" t="str">
        <f>IFERROR(__xludf.DUMMYFUNCTION("""COMPUTED_VALUE"""),"K/28/141124/1")</f>
        <v>K/28/141124/1</v>
      </c>
      <c r="C1411" s="17" t="str">
        <f>IFERROR(__xludf.DUMMYFUNCTION("""COMPUTED_VALUE"""),"NIBEL B.1608/CAMPANG RAYA")</f>
        <v>NIBEL B.1608/CAMPANG RAYA</v>
      </c>
      <c r="D1411" s="17">
        <f>IFERROR(__xludf.DUMMYFUNCTION("""COMPUTED_VALUE"""),45610.58078135416)</f>
        <v>45610.58078</v>
      </c>
      <c r="E1411" s="11" t="str">
        <f>IFERROR(__xludf.DUMMYFUNCTION("""COMPUTED_VALUE"""),"BN JUAL BELI")</f>
        <v>BN JUAL BELI</v>
      </c>
      <c r="F1411" s="11" t="str">
        <f>IFERROR(__xludf.DUMMYFUNCTION("""COMPUTED_VALUE"""),"PT INTISUMBER HASILSEMPURNA/NANIK MARYANI")</f>
        <v>PT INTISUMBER HASILSEMPURNA/NANIK MARYANI</v>
      </c>
      <c r="G1411" s="13">
        <f t="shared" si="1"/>
        <v>1188</v>
      </c>
      <c r="H1411" s="13" t="str">
        <f>IFERROR(__xludf.DUMMYFUNCTION("""COMPUTED_VALUE"""),"P0")</f>
        <v>P0</v>
      </c>
    </row>
    <row r="1412" ht="22.5" customHeight="1">
      <c r="B1412" s="17" t="str">
        <f>IFERROR(__xludf.DUMMYFUNCTION("""COMPUTED_VALUE"""),"K/29/141124/2")</f>
        <v>K/29/141124/2</v>
      </c>
      <c r="C1412" s="17" t="str">
        <f>IFERROR(__xludf.DUMMYFUNCTION("""COMPUTED_VALUE"""),"NIBEL B.2258/CAMPANG RAYA")</f>
        <v>NIBEL B.2258/CAMPANG RAYA</v>
      </c>
      <c r="D1412" s="17">
        <f>IFERROR(__xludf.DUMMYFUNCTION("""COMPUTED_VALUE"""),45610.58174122685)</f>
        <v>45610.58174</v>
      </c>
      <c r="E1412" s="11" t="str">
        <f>IFERROR(__xludf.DUMMYFUNCTION("""COMPUTED_VALUE"""),"BN JUAL BELI")</f>
        <v>BN JUAL BELI</v>
      </c>
      <c r="F1412" s="11" t="str">
        <f>IFERROR(__xludf.DUMMYFUNCTION("""COMPUTED_VALUE"""),"PT INTISUMBER HASILSEMPURNA/NANIK MARYANI")</f>
        <v>PT INTISUMBER HASILSEMPURNA/NANIK MARYANI</v>
      </c>
      <c r="G1412" s="13">
        <f t="shared" si="1"/>
        <v>1189</v>
      </c>
      <c r="H1412" s="13" t="str">
        <f>IFERROR(__xludf.DUMMYFUNCTION("""COMPUTED_VALUE"""),"P0")</f>
        <v>P0</v>
      </c>
    </row>
    <row r="1413" ht="22.5" customHeight="1">
      <c r="B1413" s="17" t="str">
        <f>IFERROR(__xludf.DUMMYFUNCTION("""COMPUTED_VALUE"""),"L/26/141124/1")</f>
        <v>L/26/141124/1</v>
      </c>
      <c r="C1413" s="17" t="str">
        <f>IFERROR(__xludf.DUMMYFUNCTION("""COMPUTED_VALUE"""),"HM 2548/WAY KANDIS")</f>
        <v>HM 2548/WAY KANDIS</v>
      </c>
      <c r="D1413" s="17">
        <f>IFERROR(__xludf.DUMMYFUNCTION("""COMPUTED_VALUE"""),45610.58179082176)</f>
        <v>45610.58179</v>
      </c>
      <c r="E1413" s="11" t="str">
        <f>IFERROR(__xludf.DUMMYFUNCTION("""COMPUTED_VALUE"""),"ROYA")</f>
        <v>ROYA</v>
      </c>
      <c r="F1413" s="11" t="str">
        <f>IFERROR(__xludf.DUMMYFUNCTION("""COMPUTED_VALUE"""),"ERWIN S PURBA")</f>
        <v>ERWIN S PURBA</v>
      </c>
      <c r="G1413" s="13">
        <f t="shared" si="1"/>
        <v>1190</v>
      </c>
      <c r="H1413" s="13" t="str">
        <f>IFERROR(__xludf.DUMMYFUNCTION("""COMPUTED_VALUE"""),"P0")</f>
        <v>P0</v>
      </c>
    </row>
    <row r="1414" ht="22.5" customHeight="1">
      <c r="B1414" s="17" t="str">
        <f>IFERROR(__xludf.DUMMYFUNCTION("""COMPUTED_VALUE"""),"K/27/141124/1")</f>
        <v>K/27/141124/1</v>
      </c>
      <c r="C1414" s="17" t="str">
        <f>IFERROR(__xludf.DUMMYFUNCTION("""COMPUTED_VALUE"""),"M. 1432/ SUMUR PUTRI")</f>
        <v>M. 1432/ SUMUR PUTRI</v>
      </c>
      <c r="D1414" s="17">
        <f>IFERROR(__xludf.DUMMYFUNCTION("""COMPUTED_VALUE"""),45610.584696273145)</f>
        <v>45610.5847</v>
      </c>
      <c r="E1414" s="11" t="str">
        <f>IFERROR(__xludf.DUMMYFUNCTION("""COMPUTED_VALUE"""),"PENGECEKKAN")</f>
        <v>PENGECEKKAN</v>
      </c>
      <c r="F1414" s="11" t="str">
        <f>IFERROR(__xludf.DUMMYFUNCTION("""COMPUTED_VALUE"""),"ELTI YUNANI")</f>
        <v>ELTI YUNANI</v>
      </c>
      <c r="G1414" s="13">
        <f t="shared" si="1"/>
        <v>1191</v>
      </c>
      <c r="H1414" s="13" t="str">
        <f>IFERROR(__xludf.DUMMYFUNCTION("""COMPUTED_VALUE"""),"P0")</f>
        <v>P0</v>
      </c>
    </row>
    <row r="1415" ht="22.5" customHeight="1">
      <c r="B1415" s="17" t="str">
        <f>IFERROR(__xludf.DUMMYFUNCTION("""COMPUTED_VALUE"""),"K/30/141124/1")</f>
        <v>K/30/141124/1</v>
      </c>
      <c r="C1415" s="17" t="str">
        <f>IFERROR(__xludf.DUMMYFUNCTION("""COMPUTED_VALUE"""),"PBT. NO 24/2024/KEMILING PERMAI")</f>
        <v>PBT. NO 24/2024/KEMILING PERMAI</v>
      </c>
      <c r="D1415" s="17">
        <f>IFERROR(__xludf.DUMMYFUNCTION("""COMPUTED_VALUE"""),45610.58696291667)</f>
        <v>45610.58696</v>
      </c>
      <c r="E1415" s="11" t="str">
        <f>IFERROR(__xludf.DUMMYFUNCTION("""COMPUTED_VALUE"""),"PTPGT")</f>
        <v>PTPGT</v>
      </c>
      <c r="F1415" s="11" t="str">
        <f>IFERROR(__xludf.DUMMYFUNCTION("""COMPUTED_VALUE"""),"AYI RUHIYAT / SUHARTINI MASHUR")</f>
        <v>AYI RUHIYAT / SUHARTINI MASHUR</v>
      </c>
      <c r="G1415" s="13">
        <f t="shared" si="1"/>
        <v>1192</v>
      </c>
      <c r="H1415" s="13" t="str">
        <f>IFERROR(__xludf.DUMMYFUNCTION("""COMPUTED_VALUE"""),"P0")</f>
        <v>P0</v>
      </c>
    </row>
    <row r="1416" ht="22.5" customHeight="1">
      <c r="B1416" s="17" t="str">
        <f>IFERROR(__xludf.DUMMYFUNCTION("""COMPUTED_VALUE"""),"L/31/141124/1")</f>
        <v>L/31/141124/1</v>
      </c>
      <c r="C1416" s="17" t="str">
        <f>IFERROR(__xludf.DUMMYFUNCTION("""COMPUTED_VALUE"""),"HM 2692/KOTA BARU")</f>
        <v>HM 2692/KOTA BARU</v>
      </c>
      <c r="D1416" s="17">
        <f>IFERROR(__xludf.DUMMYFUNCTION("""COMPUTED_VALUE"""),45610.59343631944)</f>
        <v>45610.59344</v>
      </c>
      <c r="E1416" s="11" t="str">
        <f>IFERROR(__xludf.DUMMYFUNCTION("""COMPUTED_VALUE"""),"PTPGT")</f>
        <v>PTPGT</v>
      </c>
      <c r="F1416" s="11" t="str">
        <f>IFERROR(__xludf.DUMMYFUNCTION("""COMPUTED_VALUE"""),"AGUS DJOHAN")</f>
        <v>AGUS DJOHAN</v>
      </c>
      <c r="G1416" s="13">
        <f t="shared" si="1"/>
        <v>1193</v>
      </c>
      <c r="H1416" s="13" t="str">
        <f>IFERROR(__xludf.DUMMYFUNCTION("""COMPUTED_VALUE"""),"P0")</f>
        <v>P0</v>
      </c>
    </row>
    <row r="1417" ht="22.5" customHeight="1">
      <c r="B1417" s="17" t="str">
        <f>IFERROR(__xludf.DUMMYFUNCTION("""COMPUTED_VALUE"""),"K/32/141124/1")</f>
        <v>K/32/141124/1</v>
      </c>
      <c r="C1417" s="17" t="str">
        <f>IFERROR(__xludf.DUMMYFUNCTION("""COMPUTED_VALUE"""),"NIBEL B.3054/KEMILING PERMAI")</f>
        <v>NIBEL B.3054/KEMILING PERMAI</v>
      </c>
      <c r="D1417" s="17">
        <f>IFERROR(__xludf.DUMMYFUNCTION("""COMPUTED_VALUE"""),45610.59508557871)</f>
        <v>45610.59509</v>
      </c>
      <c r="E1417" s="11" t="str">
        <f>IFERROR(__xludf.DUMMYFUNCTION("""COMPUTED_VALUE"""),"PENINGKATAN")</f>
        <v>PENINGKATAN</v>
      </c>
      <c r="F1417" s="11" t="str">
        <f>IFERROR(__xludf.DUMMYFUNCTION("""COMPUTED_VALUE"""),"ARI ANGGRAINI/ENDANG APRILIA")</f>
        <v>ARI ANGGRAINI/ENDANG APRILIA</v>
      </c>
      <c r="G1417" s="13">
        <f t="shared" si="1"/>
        <v>1194</v>
      </c>
      <c r="H1417" s="13" t="str">
        <f>IFERROR(__xludf.DUMMYFUNCTION("""COMPUTED_VALUE"""),"P0")</f>
        <v>P0</v>
      </c>
    </row>
    <row r="1418" ht="22.5" customHeight="1">
      <c r="B1418" s="17" t="str">
        <f>IFERROR(__xludf.DUMMYFUNCTION("""COMPUTED_VALUE"""),"K/33/141124/2")</f>
        <v>K/33/141124/2</v>
      </c>
      <c r="C1418" s="17" t="str">
        <f>IFERROR(__xludf.DUMMYFUNCTION("""COMPUTED_VALUE"""),"NIBEL B.2993/KEMILING PERMAI")</f>
        <v>NIBEL B.2993/KEMILING PERMAI</v>
      </c>
      <c r="D1418" s="17">
        <f>IFERROR(__xludf.DUMMYFUNCTION("""COMPUTED_VALUE"""),45610.59585603009)</f>
        <v>45610.59586</v>
      </c>
      <c r="E1418" s="11" t="str">
        <f>IFERROR(__xludf.DUMMYFUNCTION("""COMPUTED_VALUE"""),"PENINGKATAN HAK")</f>
        <v>PENINGKATAN HAK</v>
      </c>
      <c r="F1418" s="11" t="str">
        <f>IFERROR(__xludf.DUMMYFUNCTION("""COMPUTED_VALUE"""),"INTAN KUSUMA DEWI/ENDANG APRILIA")</f>
        <v>INTAN KUSUMA DEWI/ENDANG APRILIA</v>
      </c>
      <c r="G1418" s="13">
        <f t="shared" si="1"/>
        <v>1195</v>
      </c>
      <c r="H1418" s="13" t="str">
        <f>IFERROR(__xludf.DUMMYFUNCTION("""COMPUTED_VALUE"""),"P0")</f>
        <v>P0</v>
      </c>
    </row>
    <row r="1419" ht="22.5" customHeight="1">
      <c r="B1419" s="17" t="str">
        <f>IFERROR(__xludf.DUMMYFUNCTION("""COMPUTED_VALUE"""),"K/36/141124/1")</f>
        <v>K/36/141124/1</v>
      </c>
      <c r="C1419" s="17" t="str">
        <f>IFERROR(__xludf.DUMMYFUNCTION("""COMPUTED_VALUE"""),"B. 387/ Telukbetung")</f>
        <v>B. 387/ Telukbetung</v>
      </c>
      <c r="D1419" s="17">
        <f>IFERROR(__xludf.DUMMYFUNCTION("""COMPUTED_VALUE"""),45610.59778574074)</f>
        <v>45610.59779</v>
      </c>
      <c r="E1419" s="11" t="str">
        <f>IFERROR(__xludf.DUMMYFUNCTION("""COMPUTED_VALUE"""),"SKPT Lelang")</f>
        <v>SKPT Lelang</v>
      </c>
      <c r="F1419" s="11" t="str">
        <f>IFERROR(__xludf.DUMMYFUNCTION("""COMPUTED_VALUE"""),"Dito Saputra")</f>
        <v>Dito Saputra</v>
      </c>
      <c r="G1419" s="13">
        <f t="shared" si="1"/>
        <v>1196</v>
      </c>
      <c r="H1419" s="13" t="str">
        <f>IFERROR(__xludf.DUMMYFUNCTION("""COMPUTED_VALUE"""),"P0")</f>
        <v>P0</v>
      </c>
    </row>
    <row r="1420" ht="22.5" customHeight="1">
      <c r="B1420" s="17" t="str">
        <f>IFERROR(__xludf.DUMMYFUNCTION("""COMPUTED_VALUE"""),"K/34/141124/1")</f>
        <v>K/34/141124/1</v>
      </c>
      <c r="C1420" s="17" t="str">
        <f>IFERROR(__xludf.DUMMYFUNCTION("""COMPUTED_VALUE"""),"M.14031/ Tanjung Baru")</f>
        <v>M.14031/ Tanjung Baru</v>
      </c>
      <c r="D1420" s="17">
        <f>IFERROR(__xludf.DUMMYFUNCTION("""COMPUTED_VALUE"""),45610.598113217595)</f>
        <v>45610.59811</v>
      </c>
      <c r="E1420" s="11" t="str">
        <f>IFERROR(__xludf.DUMMYFUNCTION("""COMPUTED_VALUE"""),"BN Jual Beli")</f>
        <v>BN Jual Beli</v>
      </c>
      <c r="F1420" s="11" t="str">
        <f>IFERROR(__xludf.DUMMYFUNCTION("""COMPUTED_VALUE"""),"Andrianto/ Tjen Ona")</f>
        <v>Andrianto/ Tjen Ona</v>
      </c>
      <c r="G1420" s="13">
        <f t="shared" si="1"/>
        <v>1197</v>
      </c>
      <c r="H1420" s="13" t="str">
        <f>IFERROR(__xludf.DUMMYFUNCTION("""COMPUTED_VALUE"""),"P0")</f>
        <v>P0</v>
      </c>
    </row>
    <row r="1421" ht="22.5" customHeight="1">
      <c r="B1421" s="17" t="str">
        <f>IFERROR(__xludf.DUMMYFUNCTION("""COMPUTED_VALUE"""),"K/37/141124/2")</f>
        <v>K/37/141124/2</v>
      </c>
      <c r="C1421" s="17" t="str">
        <f>IFERROR(__xludf.DUMMYFUNCTION("""COMPUTED_VALUE"""),"B. 384/ Telukbetung")</f>
        <v>B. 384/ Telukbetung</v>
      </c>
      <c r="D1421" s="17">
        <f>IFERROR(__xludf.DUMMYFUNCTION("""COMPUTED_VALUE"""),45610.60070675926)</f>
        <v>45610.60071</v>
      </c>
      <c r="E1421" s="11" t="str">
        <f>IFERROR(__xludf.DUMMYFUNCTION("""COMPUTED_VALUE"""),"SKPT LELANG")</f>
        <v>SKPT LELANG</v>
      </c>
      <c r="F1421" s="11" t="str">
        <f>IFERROR(__xludf.DUMMYFUNCTION("""COMPUTED_VALUE"""),"DITO SAPUTRA")</f>
        <v>DITO SAPUTRA</v>
      </c>
      <c r="G1421" s="13">
        <f t="shared" si="1"/>
        <v>1198</v>
      </c>
      <c r="H1421" s="13" t="str">
        <f>IFERROR(__xludf.DUMMYFUNCTION("""COMPUTED_VALUE"""),"P0")</f>
        <v>P0</v>
      </c>
    </row>
    <row r="1422" ht="22.5" customHeight="1">
      <c r="B1422" s="17" t="str">
        <f>IFERROR(__xludf.DUMMYFUNCTION("""COMPUTED_VALUE"""),"K/41/141124/1")</f>
        <v>K/41/141124/1</v>
      </c>
      <c r="C1422" s="17" t="str">
        <f>IFERROR(__xludf.DUMMYFUNCTION("""COMPUTED_VALUE"""),"M.14809/RAJABASA")</f>
        <v>M.14809/RAJABASA</v>
      </c>
      <c r="D1422" s="17">
        <f>IFERROR(__xludf.DUMMYFUNCTION("""COMPUTED_VALUE"""),45610.60219837963)</f>
        <v>45610.6022</v>
      </c>
      <c r="E1422" s="11" t="str">
        <f>IFERROR(__xludf.DUMMYFUNCTION("""COMPUTED_VALUE"""),"BN JUAL BELI")</f>
        <v>BN JUAL BELI</v>
      </c>
      <c r="F1422" s="11" t="str">
        <f>IFERROR(__xludf.DUMMYFUNCTION("""COMPUTED_VALUE"""),"WILLIAM TANDEAN/NEDI HERYANDI")</f>
        <v>WILLIAM TANDEAN/NEDI HERYANDI</v>
      </c>
      <c r="G1422" s="13">
        <f t="shared" si="1"/>
        <v>1199</v>
      </c>
      <c r="H1422" s="13" t="str">
        <f>IFERROR(__xludf.DUMMYFUNCTION("""COMPUTED_VALUE"""),"P0")</f>
        <v>P0</v>
      </c>
    </row>
    <row r="1423" ht="22.5" customHeight="1">
      <c r="B1423" s="17" t="str">
        <f>IFERROR(__xludf.DUMMYFUNCTION("""COMPUTED_VALUE"""),"K/42/141124/2")</f>
        <v>K/42/141124/2</v>
      </c>
      <c r="C1423" s="17" t="str">
        <f>IFERROR(__xludf.DUMMYFUNCTION("""COMPUTED_VALUE"""),"M.3233/GEDONG AIR")</f>
        <v>M.3233/GEDONG AIR</v>
      </c>
      <c r="D1423" s="17">
        <f>IFERROR(__xludf.DUMMYFUNCTION("""COMPUTED_VALUE"""),45610.60309255787)</f>
        <v>45610.60309</v>
      </c>
      <c r="E1423" s="11" t="str">
        <f>IFERROR(__xludf.DUMMYFUNCTION("""COMPUTED_VALUE"""),"BN JUAL BELI")</f>
        <v>BN JUAL BELI</v>
      </c>
      <c r="F1423" s="11" t="str">
        <f>IFERROR(__xludf.DUMMYFUNCTION("""COMPUTED_VALUE"""),"DEFTI NUGRAHENI/NEDI HERYANDI")</f>
        <v>DEFTI NUGRAHENI/NEDI HERYANDI</v>
      </c>
      <c r="G1423" s="13">
        <f t="shared" si="1"/>
        <v>1200</v>
      </c>
      <c r="H1423" s="13" t="str">
        <f>IFERROR(__xludf.DUMMYFUNCTION("""COMPUTED_VALUE"""),"P0")</f>
        <v>P0</v>
      </c>
    </row>
    <row r="1424" ht="22.5" customHeight="1">
      <c r="B1424" s="17" t="str">
        <f>IFERROR(__xludf.DUMMYFUNCTION("""COMPUTED_VALUE"""),"K/35/141124/2")</f>
        <v>K/35/141124/2</v>
      </c>
      <c r="C1424" s="17" t="str">
        <f>IFERROR(__xludf.DUMMYFUNCTION("""COMPUTED_VALUE"""),"M. 789/ Pelita")</f>
        <v>M. 789/ Pelita</v>
      </c>
      <c r="D1424" s="17">
        <f>IFERROR(__xludf.DUMMYFUNCTION("""COMPUTED_VALUE"""),45610.603961597226)</f>
        <v>45610.60396</v>
      </c>
      <c r="E1424" s="11" t="str">
        <f>IFERROR(__xludf.DUMMYFUNCTION("""COMPUTED_VALUE"""),"BN Jual Beli")</f>
        <v>BN Jual Beli</v>
      </c>
      <c r="F1424" s="11" t="str">
        <f>IFERROR(__xludf.DUMMYFUNCTION("""COMPUTED_VALUE"""),"Andrianto/ Kurniawan Halim Cs")</f>
        <v>Andrianto/ Kurniawan Halim Cs</v>
      </c>
      <c r="G1424" s="13">
        <f t="shared" si="1"/>
        <v>1201</v>
      </c>
      <c r="H1424" s="13" t="str">
        <f>IFERROR(__xludf.DUMMYFUNCTION("""COMPUTED_VALUE"""),"P0")</f>
        <v>P0</v>
      </c>
    </row>
    <row r="1425" ht="22.5" customHeight="1">
      <c r="B1425" s="17" t="str">
        <f>IFERROR(__xludf.DUMMYFUNCTION("""COMPUTED_VALUE"""),"K/43/141124/3")</f>
        <v>K/43/141124/3</v>
      </c>
      <c r="C1425" s="17" t="str">
        <f>IFERROR(__xludf.DUMMYFUNCTION("""COMPUTED_VALUE"""),"M.14810/RAJABASA")</f>
        <v>M.14810/RAJABASA</v>
      </c>
      <c r="D1425" s="17">
        <f>IFERROR(__xludf.DUMMYFUNCTION("""COMPUTED_VALUE"""),45610.603982141205)</f>
        <v>45610.60398</v>
      </c>
      <c r="E1425" s="11" t="str">
        <f>IFERROR(__xludf.DUMMYFUNCTION("""COMPUTED_VALUE"""),"BN JUAL BELI")</f>
        <v>BN JUAL BELI</v>
      </c>
      <c r="F1425" s="11" t="str">
        <f>IFERROR(__xludf.DUMMYFUNCTION("""COMPUTED_VALUE"""),"WILLIAM TANDEAN/NEDI HERYANDI")</f>
        <v>WILLIAM TANDEAN/NEDI HERYANDI</v>
      </c>
      <c r="G1425" s="13">
        <f t="shared" si="1"/>
        <v>1202</v>
      </c>
      <c r="H1425" s="13" t="str">
        <f>IFERROR(__xludf.DUMMYFUNCTION("""COMPUTED_VALUE"""),"P0")</f>
        <v>P0</v>
      </c>
    </row>
    <row r="1426" ht="22.5" customHeight="1">
      <c r="B1426" s="17" t="str">
        <f>IFERROR(__xludf.DUMMYFUNCTION("""COMPUTED_VALUE"""),"K/38/141124/3")</f>
        <v>K/38/141124/3</v>
      </c>
      <c r="C1426" s="17" t="str">
        <f>IFERROR(__xludf.DUMMYFUNCTION("""COMPUTED_VALUE"""),"M. 1252/ Kangkung")</f>
        <v>M. 1252/ Kangkung</v>
      </c>
      <c r="D1426" s="17">
        <f>IFERROR(__xludf.DUMMYFUNCTION("""COMPUTED_VALUE"""),45610.60471050926)</f>
        <v>45610.60471</v>
      </c>
      <c r="E1426" s="11" t="str">
        <f>IFERROR(__xludf.DUMMYFUNCTION("""COMPUTED_VALUE"""),"SKPT LELANG")</f>
        <v>SKPT LELANG</v>
      </c>
      <c r="F1426" s="11" t="str">
        <f>IFERROR(__xludf.DUMMYFUNCTION("""COMPUTED_VALUE"""),"DITO SAPUTRA")</f>
        <v>DITO SAPUTRA</v>
      </c>
      <c r="G1426" s="13">
        <f t="shared" si="1"/>
        <v>1203</v>
      </c>
      <c r="H1426" s="13" t="str">
        <f>IFERROR(__xludf.DUMMYFUNCTION("""COMPUTED_VALUE"""),"P0")</f>
        <v>P0</v>
      </c>
    </row>
    <row r="1427" ht="22.5" customHeight="1">
      <c r="B1427" s="17" t="str">
        <f>IFERROR(__xludf.DUMMYFUNCTION("""COMPUTED_VALUE"""),"K/39/141124/4")</f>
        <v>K/39/141124/4</v>
      </c>
      <c r="C1427" s="17" t="str">
        <f>IFERROR(__xludf.DUMMYFUNCTION("""COMPUTED_VALUE"""),"M. 385/ Sukaraja")</f>
        <v>M. 385/ Sukaraja</v>
      </c>
      <c r="D1427" s="17">
        <f>IFERROR(__xludf.DUMMYFUNCTION("""COMPUTED_VALUE"""),45610.60645791667)</f>
        <v>45610.60646</v>
      </c>
      <c r="E1427" s="11" t="str">
        <f>IFERROR(__xludf.DUMMYFUNCTION("""COMPUTED_VALUE"""),"SKPT LELANG")</f>
        <v>SKPT LELANG</v>
      </c>
      <c r="F1427" s="11" t="str">
        <f>IFERROR(__xludf.DUMMYFUNCTION("""COMPUTED_VALUE"""),"DITO SAPUTRA")</f>
        <v>DITO SAPUTRA</v>
      </c>
      <c r="G1427" s="13">
        <f t="shared" si="1"/>
        <v>1204</v>
      </c>
      <c r="H1427" s="13" t="str">
        <f>IFERROR(__xludf.DUMMYFUNCTION("""COMPUTED_VALUE"""),"P0")</f>
        <v>P0</v>
      </c>
    </row>
    <row r="1428" ht="22.5" customHeight="1">
      <c r="B1428" s="17" t="str">
        <f>IFERROR(__xludf.DUMMYFUNCTION("""COMPUTED_VALUE"""),"K/40/141124/5")</f>
        <v>K/40/141124/5</v>
      </c>
      <c r="C1428" s="17" t="str">
        <f>IFERROR(__xludf.DUMMYFUNCTION("""COMPUTED_VALUE"""),"M. 2806/ Beringin Raya")</f>
        <v>M. 2806/ Beringin Raya</v>
      </c>
      <c r="D1428" s="17">
        <f>IFERROR(__xludf.DUMMYFUNCTION("""COMPUTED_VALUE"""),45610.60834234954)</f>
        <v>45610.60834</v>
      </c>
      <c r="E1428" s="11" t="str">
        <f>IFERROR(__xludf.DUMMYFUNCTION("""COMPUTED_VALUE"""),"SKPT LELANG")</f>
        <v>SKPT LELANG</v>
      </c>
      <c r="F1428" s="11" t="str">
        <f>IFERROR(__xludf.DUMMYFUNCTION("""COMPUTED_VALUE"""),"DITO SAPUTRA")</f>
        <v>DITO SAPUTRA</v>
      </c>
      <c r="G1428" s="13">
        <f t="shared" si="1"/>
        <v>1205</v>
      </c>
      <c r="H1428" s="13" t="str">
        <f>IFERROR(__xludf.DUMMYFUNCTION("""COMPUTED_VALUE"""),"P0")</f>
        <v>P0</v>
      </c>
    </row>
    <row r="1429" ht="22.5" customHeight="1">
      <c r="B1429" s="17" t="str">
        <f>IFERROR(__xludf.DUMMYFUNCTION("""COMPUTED_VALUE"""),"K/44/141124/1")</f>
        <v>K/44/141124/1</v>
      </c>
      <c r="C1429" s="17" t="str">
        <f>IFERROR(__xludf.DUMMYFUNCTION("""COMPUTED_VALUE"""),"M. 26/ Kampung Baru Raya")</f>
        <v>M. 26/ Kampung Baru Raya</v>
      </c>
      <c r="D1429" s="17">
        <f>IFERROR(__xludf.DUMMYFUNCTION("""COMPUTED_VALUE"""),45610.61093722223)</f>
        <v>45610.61094</v>
      </c>
      <c r="E1429" s="11" t="str">
        <f>IFERROR(__xludf.DUMMYFUNCTION("""COMPUTED_VALUE"""),"ROYA")</f>
        <v>ROYA</v>
      </c>
      <c r="F1429" s="11" t="str">
        <f>IFERROR(__xludf.DUMMYFUNCTION("""COMPUTED_VALUE"""),"NUR HAYATI")</f>
        <v>NUR HAYATI</v>
      </c>
      <c r="G1429" s="13">
        <f t="shared" si="1"/>
        <v>1206</v>
      </c>
      <c r="H1429" s="13" t="str">
        <f>IFERROR(__xludf.DUMMYFUNCTION("""COMPUTED_VALUE"""),"P0")</f>
        <v>P0</v>
      </c>
    </row>
    <row r="1430" ht="22.5" customHeight="1">
      <c r="B1430" s="17" t="str">
        <f>IFERROR(__xludf.DUMMYFUNCTION("""COMPUTED_VALUE"""),"K/45/141124/2")</f>
        <v>K/45/141124/2</v>
      </c>
      <c r="C1430" s="17" t="str">
        <f>IFERROR(__xludf.DUMMYFUNCTION("""COMPUTED_VALUE"""),"M. 88/ Kampung Baru Raya")</f>
        <v>M. 88/ Kampung Baru Raya</v>
      </c>
      <c r="D1430" s="17">
        <f>IFERROR(__xludf.DUMMYFUNCTION("""COMPUTED_VALUE"""),45610.61214590278)</f>
        <v>45610.61215</v>
      </c>
      <c r="E1430" s="11" t="str">
        <f>IFERROR(__xludf.DUMMYFUNCTION("""COMPUTED_VALUE"""),"ROYA")</f>
        <v>ROYA</v>
      </c>
      <c r="F1430" s="11" t="str">
        <f>IFERROR(__xludf.DUMMYFUNCTION("""COMPUTED_VALUE"""),"NUR HAYATI")</f>
        <v>NUR HAYATI</v>
      </c>
      <c r="G1430" s="13">
        <f t="shared" si="1"/>
        <v>1207</v>
      </c>
      <c r="H1430" s="13" t="str">
        <f>IFERROR(__xludf.DUMMYFUNCTION("""COMPUTED_VALUE"""),"P0")</f>
        <v>P0</v>
      </c>
    </row>
    <row r="1431" ht="22.5" customHeight="1">
      <c r="B1431" s="17" t="str">
        <f>IFERROR(__xludf.DUMMYFUNCTION("""COMPUTED_VALUE"""),"K/47/141124/1")</f>
        <v>K/47/141124/1</v>
      </c>
      <c r="C1431" s="17" t="str">
        <f>IFERROR(__xludf.DUMMYFUNCTION("""COMPUTED_VALUE"""),"M. 1721/ Labuhan Dalam")</f>
        <v>M. 1721/ Labuhan Dalam</v>
      </c>
      <c r="D1431" s="17">
        <f>IFERROR(__xludf.DUMMYFUNCTION("""COMPUTED_VALUE"""),45610.61382490741)</f>
        <v>45610.61382</v>
      </c>
      <c r="E1431" s="11" t="str">
        <f>IFERROR(__xludf.DUMMYFUNCTION("""COMPUTED_VALUE"""),"Roya")</f>
        <v>Roya</v>
      </c>
      <c r="F1431" s="11" t="str">
        <f>IFERROR(__xludf.DUMMYFUNCTION("""COMPUTED_VALUE"""),"Mahfud/ Sutan Kesuma W")</f>
        <v>Mahfud/ Sutan Kesuma W</v>
      </c>
      <c r="G1431" s="13">
        <f t="shared" si="1"/>
        <v>1208</v>
      </c>
      <c r="H1431" s="13" t="str">
        <f>IFERROR(__xludf.DUMMYFUNCTION("""COMPUTED_VALUE"""),"P0")</f>
        <v>P0</v>
      </c>
    </row>
    <row r="1432" ht="22.5" customHeight="1">
      <c r="B1432" s="17" t="str">
        <f>IFERROR(__xludf.DUMMYFUNCTION("""COMPUTED_VALUE"""),"K/46/141124/3")</f>
        <v>K/46/141124/3</v>
      </c>
      <c r="C1432" s="17" t="str">
        <f>IFERROR(__xludf.DUMMYFUNCTION("""COMPUTED_VALUE"""),"M. 12/ Kampung Baru raya")</f>
        <v>M. 12/ Kampung Baru raya</v>
      </c>
      <c r="D1432" s="17">
        <f>IFERROR(__xludf.DUMMYFUNCTION("""COMPUTED_VALUE"""),45610.621729942126)</f>
        <v>45610.62173</v>
      </c>
      <c r="E1432" s="11" t="str">
        <f>IFERROR(__xludf.DUMMYFUNCTION("""COMPUTED_VALUE"""),"ROYA")</f>
        <v>ROYA</v>
      </c>
      <c r="F1432" s="11" t="str">
        <f>IFERROR(__xludf.DUMMYFUNCTION("""COMPUTED_VALUE"""),"NUR HAYATI")</f>
        <v>NUR HAYATI</v>
      </c>
      <c r="G1432" s="13">
        <f t="shared" si="1"/>
        <v>1209</v>
      </c>
      <c r="H1432" s="13" t="str">
        <f>IFERROR(__xludf.DUMMYFUNCTION("""COMPUTED_VALUE"""),"P0")</f>
        <v>P0</v>
      </c>
    </row>
    <row r="1433" ht="22.5" customHeight="1">
      <c r="B1433" s="17" t="str">
        <f>IFERROR(__xludf.DUMMYFUNCTION("""COMPUTED_VALUE"""),"K/49/141124/1")</f>
        <v>K/49/141124/1</v>
      </c>
      <c r="C1433" s="17" t="str">
        <f>IFERROR(__xludf.DUMMYFUNCTION("""COMPUTED_VALUE"""),"WAY GUBAK")</f>
        <v>WAY GUBAK</v>
      </c>
      <c r="D1433" s="17">
        <f>IFERROR(__xludf.DUMMYFUNCTION("""COMPUTED_VALUE"""),45610.621783622686)</f>
        <v>45610.62178</v>
      </c>
      <c r="E1433" s="11" t="str">
        <f>IFERROR(__xludf.DUMMYFUNCTION("""COMPUTED_VALUE"""),"TANAH MENTAH")</f>
        <v>TANAH MENTAH</v>
      </c>
      <c r="F1433" s="11" t="str">
        <f>IFERROR(__xludf.DUMMYFUNCTION("""COMPUTED_VALUE"""),"HARUN/WILSON ")</f>
        <v>HARUN/WILSON </v>
      </c>
      <c r="G1433" s="13">
        <f t="shared" si="1"/>
        <v>1210</v>
      </c>
      <c r="H1433" s="13" t="str">
        <f>IFERROR(__xludf.DUMMYFUNCTION("""COMPUTED_VALUE"""),"P0")</f>
        <v>P0</v>
      </c>
    </row>
    <row r="1434" ht="22.5" customHeight="1">
      <c r="B1434" s="17" t="str">
        <f>IFERROR(__xludf.DUMMYFUNCTION("""COMPUTED_VALUE"""),"K/48/141124/1")</f>
        <v>K/48/141124/1</v>
      </c>
      <c r="C1434" s="17" t="str">
        <f>IFERROR(__xludf.DUMMYFUNCTION("""COMPUTED_VALUE"""),"Nibel. B. 5029/ Batu Putuk")</f>
        <v>Nibel. B. 5029/ Batu Putuk</v>
      </c>
      <c r="D1434" s="17">
        <f>IFERROR(__xludf.DUMMYFUNCTION("""COMPUTED_VALUE"""),45610.632567002314)</f>
        <v>45610.63257</v>
      </c>
      <c r="E1434" s="11" t="str">
        <f>IFERROR(__xludf.DUMMYFUNCTION("""COMPUTED_VALUE"""),"BN Hibah")</f>
        <v>BN Hibah</v>
      </c>
      <c r="F1434" s="11" t="str">
        <f>IFERROR(__xludf.DUMMYFUNCTION("""COMPUTED_VALUE"""),"Djoni/ Yayasan Jannatun Naim")</f>
        <v>Djoni/ Yayasan Jannatun Naim</v>
      </c>
      <c r="G1434" s="13">
        <f t="shared" si="1"/>
        <v>1211</v>
      </c>
      <c r="H1434" s="13" t="str">
        <f>IFERROR(__xludf.DUMMYFUNCTION("""COMPUTED_VALUE"""),"P0")</f>
        <v>P0</v>
      </c>
    </row>
    <row r="1435" ht="22.5" customHeight="1">
      <c r="B1435" s="17" t="str">
        <f>IFERROR(__xludf.DUMMYFUNCTION("""COMPUTED_VALUE"""),"K/50/141124/1")</f>
        <v>K/50/141124/1</v>
      </c>
      <c r="C1435" s="17" t="str">
        <f>IFERROR(__xludf.DUMMYFUNCTION("""COMPUTED_VALUE"""),"M. 3242/ Labuhan Dalam")</f>
        <v>M. 3242/ Labuhan Dalam</v>
      </c>
      <c r="D1435" s="17">
        <f>IFERROR(__xludf.DUMMYFUNCTION("""COMPUTED_VALUE"""),45611.34080185185)</f>
        <v>45611.3408</v>
      </c>
      <c r="E1435" s="11" t="str">
        <f>IFERROR(__xludf.DUMMYFUNCTION("""COMPUTED_VALUE"""),"BN Jual Beli")</f>
        <v>BN Jual Beli</v>
      </c>
      <c r="F1435" s="11" t="str">
        <f>IFERROR(__xludf.DUMMYFUNCTION("""COMPUTED_VALUE"""),"fahrul rozi")</f>
        <v>fahrul rozi</v>
      </c>
      <c r="G1435" s="13">
        <f t="shared" si="1"/>
        <v>1212</v>
      </c>
      <c r="H1435" s="13" t="str">
        <f>IFERROR(__xludf.DUMMYFUNCTION("""COMPUTED_VALUE"""),"P0")</f>
        <v>P0</v>
      </c>
    </row>
    <row r="1436" ht="22.5" customHeight="1">
      <c r="B1436" s="17" t="str">
        <f>IFERROR(__xludf.DUMMYFUNCTION("""COMPUTED_VALUE"""),"K/51/141124/1")</f>
        <v>K/51/141124/1</v>
      </c>
      <c r="C1436" s="17" t="str">
        <f>IFERROR(__xludf.DUMMYFUNCTION("""COMPUTED_VALUE"""),"TANAH MENTAH")</f>
        <v>TANAH MENTAH</v>
      </c>
      <c r="D1436" s="17">
        <f>IFERROR(__xludf.DUMMYFUNCTION("""COMPUTED_VALUE"""),45611.34403359954)</f>
        <v>45611.34403</v>
      </c>
      <c r="E1436" s="11" t="str">
        <f>IFERROR(__xludf.DUMMYFUNCTION("""COMPUTED_VALUE"""),"PENGUKURAN PERTAMA KALI")</f>
        <v>PENGUKURAN PERTAMA KALI</v>
      </c>
      <c r="F1436" s="11" t="str">
        <f>IFERROR(__xludf.DUMMYFUNCTION("""COMPUTED_VALUE"""),"RITO PRIASMORO/ RISA")</f>
        <v>RITO PRIASMORO/ RISA</v>
      </c>
      <c r="G1436" s="13">
        <f t="shared" si="1"/>
        <v>1213</v>
      </c>
      <c r="H1436" s="13" t="str">
        <f>IFERROR(__xludf.DUMMYFUNCTION("""COMPUTED_VALUE"""),"P0")</f>
        <v>P0</v>
      </c>
    </row>
    <row r="1437" ht="22.5" customHeight="1">
      <c r="B1437" s="17" t="str">
        <f>IFERROR(__xludf.DUMMYFUNCTION("""COMPUTED_VALUE"""),"K/1/151124/1")</f>
        <v>K/1/151124/1</v>
      </c>
      <c r="C1437" s="17" t="str">
        <f>IFERROR(__xludf.DUMMYFUNCTION("""COMPUTED_VALUE"""),"Nibel 3493/ Kemiling Permai")</f>
        <v>Nibel 3493/ Kemiling Permai</v>
      </c>
      <c r="D1437" s="17">
        <f>IFERROR(__xludf.DUMMYFUNCTION("""COMPUTED_VALUE"""),45611.37416244213)</f>
        <v>45611.37416</v>
      </c>
      <c r="E1437" s="11" t="str">
        <f>IFERROR(__xludf.DUMMYFUNCTION("""COMPUTED_VALUE"""),"GANTI KELURAHAN")</f>
        <v>GANTI KELURAHAN</v>
      </c>
      <c r="F1437" s="11" t="str">
        <f>IFERROR(__xludf.DUMMYFUNCTION("""COMPUTED_VALUE"""),"ETI NUR CAHYA")</f>
        <v>ETI NUR CAHYA</v>
      </c>
      <c r="G1437" s="13">
        <f t="shared" si="1"/>
        <v>1214</v>
      </c>
      <c r="H1437" s="13" t="str">
        <f>IFERROR(__xludf.DUMMYFUNCTION("""COMPUTED_VALUE"""),"P0")</f>
        <v>P0</v>
      </c>
    </row>
    <row r="1438" ht="22.5" customHeight="1">
      <c r="B1438" s="17" t="str">
        <f>IFERROR(__xludf.DUMMYFUNCTION("""COMPUTED_VALUE"""),"K/2/151124/1")</f>
        <v>K/2/151124/1</v>
      </c>
      <c r="C1438" s="17" t="str">
        <f>IFERROR(__xludf.DUMMYFUNCTION("""COMPUTED_VALUE"""),"M. 576/ JAGABAYA III")</f>
        <v>M. 576/ JAGABAYA III</v>
      </c>
      <c r="D1438" s="17">
        <f>IFERROR(__xludf.DUMMYFUNCTION("""COMPUTED_VALUE"""),45611.37833129629)</f>
        <v>45611.37833</v>
      </c>
      <c r="E1438" s="11" t="str">
        <f>IFERROR(__xludf.DUMMYFUNCTION("""COMPUTED_VALUE"""),"PENGECEKKAN")</f>
        <v>PENGECEKKAN</v>
      </c>
      <c r="F1438" s="11" t="str">
        <f>IFERROR(__xludf.DUMMYFUNCTION("""COMPUTED_VALUE"""),"CITRA AYU WARDANI")</f>
        <v>CITRA AYU WARDANI</v>
      </c>
      <c r="G1438" s="13">
        <f t="shared" si="1"/>
        <v>1215</v>
      </c>
      <c r="H1438" s="13" t="str">
        <f>IFERROR(__xludf.DUMMYFUNCTION("""COMPUTED_VALUE"""),"P0")</f>
        <v>P0</v>
      </c>
    </row>
    <row r="1439" ht="22.5" customHeight="1">
      <c r="B1439" s="17" t="str">
        <f>IFERROR(__xludf.DUMMYFUNCTION("""COMPUTED_VALUE"""),"L/3/151124/1")</f>
        <v>L/3/151124/1</v>
      </c>
      <c r="C1439" s="17" t="str">
        <f>IFERROR(__xludf.DUMMYFUNCTION("""COMPUTED_VALUE"""),"HGB 4020/SUKABUMI")</f>
        <v>HGB 4020/SUKABUMI</v>
      </c>
      <c r="D1439" s="17">
        <f>IFERROR(__xludf.DUMMYFUNCTION("""COMPUTED_VALUE"""),45611.37945712963)</f>
        <v>45611.37946</v>
      </c>
      <c r="E1439" s="11" t="str">
        <f>IFERROR(__xludf.DUMMYFUNCTION("""COMPUTED_VALUE"""),"ROYA")</f>
        <v>ROYA</v>
      </c>
      <c r="F1439" s="11" t="str">
        <f>IFERROR(__xludf.DUMMYFUNCTION("""COMPUTED_VALUE"""),"JAYADI YASA")</f>
        <v>JAYADI YASA</v>
      </c>
      <c r="G1439" s="13">
        <f t="shared" si="1"/>
        <v>1216</v>
      </c>
      <c r="H1439" s="13" t="str">
        <f>IFERROR(__xludf.DUMMYFUNCTION("""COMPUTED_VALUE"""),"P0")</f>
        <v>P0</v>
      </c>
    </row>
    <row r="1440" ht="22.5" customHeight="1">
      <c r="B1440" s="17" t="str">
        <f>IFERROR(__xludf.DUMMYFUNCTION("""COMPUTED_VALUE"""),"K/4/151124/1")</f>
        <v>K/4/151124/1</v>
      </c>
      <c r="C1440" s="17" t="str">
        <f>IFERROR(__xludf.DUMMYFUNCTION("""COMPUTED_VALUE"""),"M.4148/LANGKAPURA")</f>
        <v>M.4148/LANGKAPURA</v>
      </c>
      <c r="D1440" s="17">
        <f>IFERROR(__xludf.DUMMYFUNCTION("""COMPUTED_VALUE"""),45611.383768750005)</f>
        <v>45611.38377</v>
      </c>
      <c r="E1440" s="11" t="str">
        <f>IFERROR(__xludf.DUMMYFUNCTION("""COMPUTED_VALUE"""),"ROYA")</f>
        <v>ROYA</v>
      </c>
      <c r="F1440" s="11" t="str">
        <f>IFERROR(__xludf.DUMMYFUNCTION("""COMPUTED_VALUE"""),"SUGIATI/MUSA")</f>
        <v>SUGIATI/MUSA</v>
      </c>
      <c r="G1440" s="13">
        <f t="shared" si="1"/>
        <v>1217</v>
      </c>
      <c r="H1440" s="13" t="str">
        <f>IFERROR(__xludf.DUMMYFUNCTION("""COMPUTED_VALUE"""),"P0")</f>
        <v>P0</v>
      </c>
    </row>
    <row r="1441" ht="22.5" customHeight="1">
      <c r="B1441" s="17" t="str">
        <f>IFERROR(__xludf.DUMMYFUNCTION("""COMPUTED_VALUE"""),"L/5/151124/1")</f>
        <v>L/5/151124/1</v>
      </c>
      <c r="C1441" s="17" t="str">
        <f>IFERROR(__xludf.DUMMYFUNCTION("""COMPUTED_VALUE"""),"3960/KEMILING PERMAI")</f>
        <v>3960/KEMILING PERMAI</v>
      </c>
      <c r="D1441" s="17">
        <f>IFERROR(__xludf.DUMMYFUNCTION("""COMPUTED_VALUE"""),45611.39483171296)</f>
        <v>45611.39483</v>
      </c>
      <c r="E1441" s="11" t="str">
        <f>IFERROR(__xludf.DUMMYFUNCTION("""COMPUTED_VALUE"""),"PTPGT")</f>
        <v>PTPGT</v>
      </c>
      <c r="F1441" s="11" t="str">
        <f>IFERROR(__xludf.DUMMYFUNCTION("""COMPUTED_VALUE"""),"HENNY KARTIKA")</f>
        <v>HENNY KARTIKA</v>
      </c>
      <c r="G1441" s="13">
        <f t="shared" si="1"/>
        <v>1218</v>
      </c>
      <c r="H1441" s="13" t="str">
        <f>IFERROR(__xludf.DUMMYFUNCTION("""COMPUTED_VALUE"""),"P0")</f>
        <v>P0</v>
      </c>
    </row>
    <row r="1442" ht="22.5" customHeight="1">
      <c r="B1442" s="17" t="str">
        <f>IFERROR(__xludf.DUMMYFUNCTION("""COMPUTED_VALUE"""),"L/6/151124/1")</f>
        <v>L/6/151124/1</v>
      </c>
      <c r="C1442" s="17" t="str">
        <f>IFERROR(__xludf.DUMMYFUNCTION("""COMPUTED_VALUE"""),"HM 605/SUMBER REJO")</f>
        <v>HM 605/SUMBER REJO</v>
      </c>
      <c r="D1442" s="17">
        <f>IFERROR(__xludf.DUMMYFUNCTION("""COMPUTED_VALUE"""),45611.41023108797)</f>
        <v>45611.41023</v>
      </c>
      <c r="E1442" s="11" t="str">
        <f>IFERROR(__xludf.DUMMYFUNCTION("""COMPUTED_VALUE"""),"ROYA")</f>
        <v>ROYA</v>
      </c>
      <c r="F1442" s="11" t="str">
        <f>IFERROR(__xludf.DUMMYFUNCTION("""COMPUTED_VALUE"""),"SUROSO")</f>
        <v>SUROSO</v>
      </c>
      <c r="G1442" s="13">
        <f t="shared" si="1"/>
        <v>1219</v>
      </c>
      <c r="H1442" s="13" t="str">
        <f>IFERROR(__xludf.DUMMYFUNCTION("""COMPUTED_VALUE"""),"P0")</f>
        <v>P0</v>
      </c>
    </row>
    <row r="1443" ht="22.5" customHeight="1">
      <c r="B1443" s="17" t="str">
        <f>IFERROR(__xludf.DUMMYFUNCTION("""COMPUTED_VALUE"""),"K/7/151124/1")</f>
        <v>K/7/151124/1</v>
      </c>
      <c r="C1443" s="17" t="str">
        <f>IFERROR(__xludf.DUMMYFUNCTION("""COMPUTED_VALUE"""),"B. 1290/ Campang Raya")</f>
        <v>B. 1290/ Campang Raya</v>
      </c>
      <c r="D1443" s="17">
        <f>IFERROR(__xludf.DUMMYFUNCTION("""COMPUTED_VALUE"""),45611.40112363426)</f>
        <v>45611.40112</v>
      </c>
      <c r="E1443" s="11" t="str">
        <f>IFERROR(__xludf.DUMMYFUNCTION("""COMPUTED_VALUE"""),"SKPT LELANG")</f>
        <v>SKPT LELANG</v>
      </c>
      <c r="F1443" s="11" t="str">
        <f>IFERROR(__xludf.DUMMYFUNCTION("""COMPUTED_VALUE"""),"JURIANSYAH")</f>
        <v>JURIANSYAH</v>
      </c>
      <c r="G1443" s="13">
        <f t="shared" si="1"/>
        <v>1220</v>
      </c>
      <c r="H1443" s="13" t="str">
        <f>IFERROR(__xludf.DUMMYFUNCTION("""COMPUTED_VALUE"""),"P0")</f>
        <v>P0</v>
      </c>
    </row>
    <row r="1444" ht="22.5" customHeight="1">
      <c r="B1444" s="17" t="str">
        <f>IFERROR(__xludf.DUMMYFUNCTION("""COMPUTED_VALUE"""),"K/8/151124/2")</f>
        <v>K/8/151124/2</v>
      </c>
      <c r="C1444" s="17" t="str">
        <f>IFERROR(__xludf.DUMMYFUNCTION("""COMPUTED_VALUE"""),"M. 2001/ Tanjung Seneng")</f>
        <v>M. 2001/ Tanjung Seneng</v>
      </c>
      <c r="D1444" s="17">
        <f>IFERROR(__xludf.DUMMYFUNCTION("""COMPUTED_VALUE"""),45611.40398688657)</f>
        <v>45611.40399</v>
      </c>
      <c r="E1444" s="11" t="str">
        <f>IFERROR(__xludf.DUMMYFUNCTION("""COMPUTED_VALUE"""),"PENATAAN BATAS")</f>
        <v>PENATAAN BATAS</v>
      </c>
      <c r="F1444" s="11" t="str">
        <f>IFERROR(__xludf.DUMMYFUNCTION("""COMPUTED_VALUE"""),"TONI ABDULLAH")</f>
        <v>TONI ABDULLAH</v>
      </c>
      <c r="G1444" s="13">
        <f t="shared" si="1"/>
        <v>1221</v>
      </c>
      <c r="H1444" s="13" t="str">
        <f>IFERROR(__xludf.DUMMYFUNCTION("""COMPUTED_VALUE"""),"P0")</f>
        <v>P0</v>
      </c>
    </row>
    <row r="1445" ht="22.5" customHeight="1">
      <c r="B1445" s="17" t="str">
        <f>IFERROR(__xludf.DUMMYFUNCTION("""COMPUTED_VALUE"""),"L/9/151124/1")</f>
        <v>L/9/151124/1</v>
      </c>
      <c r="C1445" s="17" t="str">
        <f>IFERROR(__xludf.DUMMYFUNCTION("""COMPUTED_VALUE"""),"HM 3174/GUNUNG TERANG")</f>
        <v>HM 3174/GUNUNG TERANG</v>
      </c>
      <c r="D1445" s="17">
        <f>IFERROR(__xludf.DUMMYFUNCTION("""COMPUTED_VALUE"""),45611.41072598379)</f>
        <v>45611.41073</v>
      </c>
      <c r="E1445" s="11" t="str">
        <f>IFERROR(__xludf.DUMMYFUNCTION("""COMPUTED_VALUE"""),"HAPUS BPHTB")</f>
        <v>HAPUS BPHTB</v>
      </c>
      <c r="F1445" s="11" t="str">
        <f>IFERROR(__xludf.DUMMYFUNCTION("""COMPUTED_VALUE"""),"RIZKI NUANSA")</f>
        <v>RIZKI NUANSA</v>
      </c>
      <c r="G1445" s="13">
        <f t="shared" si="1"/>
        <v>1222</v>
      </c>
      <c r="H1445" s="13" t="str">
        <f>IFERROR(__xludf.DUMMYFUNCTION("""COMPUTED_VALUE"""),"P0")</f>
        <v>P0</v>
      </c>
    </row>
    <row r="1446" ht="22.5" customHeight="1">
      <c r="B1446" s="17" t="str">
        <f>IFERROR(__xludf.DUMMYFUNCTION("""COMPUTED_VALUE"""),"K/6/061124/1")</f>
        <v>K/6/061124/1</v>
      </c>
      <c r="C1446" s="17" t="str">
        <f>IFERROR(__xludf.DUMMYFUNCTION("""COMPUTED_VALUE"""),"M.3348/KEMILING PERMAI-SEKARANG;M.1620-SUMBEREJO/KEMILING-DAHULU")</f>
        <v>M.3348/KEMILING PERMAI-SEKARANG;M.1620-SUMBEREJO/KEMILING-DAHULU</v>
      </c>
      <c r="D1446" s="17">
        <f>IFERROR(__xludf.DUMMYFUNCTION("""COMPUTED_VALUE"""),45611.41258508102)</f>
        <v>45611.41259</v>
      </c>
      <c r="E1446" s="11" t="str">
        <f>IFERROR(__xludf.DUMMYFUNCTION("""COMPUTED_VALUE"""),"BN JUAL BELI")</f>
        <v>BN JUAL BELI</v>
      </c>
      <c r="F1446" s="11" t="str">
        <f>IFERROR(__xludf.DUMMYFUNCTION("""COMPUTED_VALUE"""),"M FAHRI ALVANZY RAFIQI/ANNA PUNAMASARI")</f>
        <v>M FAHRI ALVANZY RAFIQI/ANNA PUNAMASARI</v>
      </c>
      <c r="G1446" s="13">
        <f t="shared" si="1"/>
        <v>1222</v>
      </c>
      <c r="H1446" s="13" t="str">
        <f>IFERROR(__xludf.DUMMYFUNCTION("""COMPUTED_VALUE"""),"P1")</f>
        <v>P1</v>
      </c>
    </row>
    <row r="1447" ht="22.5" customHeight="1">
      <c r="B1447" s="17" t="str">
        <f>IFERROR(__xludf.DUMMYFUNCTION("""COMPUTED_VALUE"""),"K/10/151124/1")</f>
        <v>K/10/151124/1</v>
      </c>
      <c r="C1447" s="17" t="str">
        <f>IFERROR(__xludf.DUMMYFUNCTION("""COMPUTED_VALUE"""),"M. 1447/ Kota Karang")</f>
        <v>M. 1447/ Kota Karang</v>
      </c>
      <c r="D1447" s="17">
        <f>IFERROR(__xludf.DUMMYFUNCTION("""COMPUTED_VALUE"""),45611.41322335648)</f>
        <v>45611.41322</v>
      </c>
      <c r="E1447" s="11" t="str">
        <f>IFERROR(__xludf.DUMMYFUNCTION("""COMPUTED_VALUE"""),"Gandes")</f>
        <v>Gandes</v>
      </c>
      <c r="F1447" s="11" t="str">
        <f>IFERROR(__xludf.DUMMYFUNCTION("""COMPUTED_VALUE"""),"Hariyo Widodo/ Baharudin")</f>
        <v>Hariyo Widodo/ Baharudin</v>
      </c>
      <c r="G1447" s="13">
        <f t="shared" si="1"/>
        <v>1223</v>
      </c>
      <c r="H1447" s="13" t="str">
        <f>IFERROR(__xludf.DUMMYFUNCTION("""COMPUTED_VALUE"""),"P0")</f>
        <v>P0</v>
      </c>
    </row>
    <row r="1448" ht="22.5" customHeight="1">
      <c r="B1448" s="17" t="str">
        <f>IFERROR(__xludf.DUMMYFUNCTION("""COMPUTED_VALUE"""),"K/11/151124/2")</f>
        <v>K/11/151124/2</v>
      </c>
      <c r="C1448" s="17" t="str">
        <f>IFERROR(__xludf.DUMMYFUNCTION("""COMPUTED_VALUE"""),"M. 1884/ Sukabumi Indah")</f>
        <v>M. 1884/ Sukabumi Indah</v>
      </c>
      <c r="D1448" s="17">
        <f>IFERROR(__xludf.DUMMYFUNCTION("""COMPUTED_VALUE"""),45611.4151491088)</f>
        <v>45611.41515</v>
      </c>
      <c r="E1448" s="11" t="str">
        <f>IFERROR(__xludf.DUMMYFUNCTION("""COMPUTED_VALUE"""),"Plotting")</f>
        <v>Plotting</v>
      </c>
      <c r="F1448" s="11" t="str">
        <f>IFERROR(__xludf.DUMMYFUNCTION("""COMPUTED_VALUE"""),"Hariyo Widodo/ Fahrul Rozi")</f>
        <v>Hariyo Widodo/ Fahrul Rozi</v>
      </c>
      <c r="G1448" s="13">
        <f t="shared" si="1"/>
        <v>1224</v>
      </c>
      <c r="H1448" s="13" t="str">
        <f>IFERROR(__xludf.DUMMYFUNCTION("""COMPUTED_VALUE"""),"P0")</f>
        <v>P0</v>
      </c>
    </row>
    <row r="1449" ht="22.5" customHeight="1">
      <c r="B1449" s="17" t="str">
        <f>IFERROR(__xludf.DUMMYFUNCTION("""COMPUTED_VALUE"""),"K/12/151124/1")</f>
        <v>K/12/151124/1</v>
      </c>
      <c r="C1449" s="17" t="str">
        <f>IFERROR(__xludf.DUMMYFUNCTION("""COMPUTED_VALUE"""),"M. 1436/ Kuripan")</f>
        <v>M. 1436/ Kuripan</v>
      </c>
      <c r="D1449" s="17">
        <f>IFERROR(__xludf.DUMMYFUNCTION("""COMPUTED_VALUE"""),45611.42342056713)</f>
        <v>45611.42342</v>
      </c>
      <c r="E1449" s="11" t="str">
        <f>IFERROR(__xludf.DUMMYFUNCTION("""COMPUTED_VALUE"""),"SKPT LELANG")</f>
        <v>SKPT LELANG</v>
      </c>
      <c r="F1449" s="11" t="str">
        <f>IFERROR(__xludf.DUMMYFUNCTION("""COMPUTED_VALUE"""),"SENDI DINI")</f>
        <v>SENDI DINI</v>
      </c>
      <c r="G1449" s="13">
        <f t="shared" si="1"/>
        <v>1225</v>
      </c>
      <c r="H1449" s="13" t="str">
        <f>IFERROR(__xludf.DUMMYFUNCTION("""COMPUTED_VALUE"""),"P0")</f>
        <v>P0</v>
      </c>
    </row>
    <row r="1450" ht="22.5" customHeight="1">
      <c r="B1450" s="17" t="str">
        <f>IFERROR(__xludf.DUMMYFUNCTION("""COMPUTED_VALUE"""),"K/13/151124/2")</f>
        <v>K/13/151124/2</v>
      </c>
      <c r="C1450" s="17" t="str">
        <f>IFERROR(__xludf.DUMMYFUNCTION("""COMPUTED_VALUE"""),"M. 1185/ Kuripan")</f>
        <v>M. 1185/ Kuripan</v>
      </c>
      <c r="D1450" s="17">
        <f>IFERROR(__xludf.DUMMYFUNCTION("""COMPUTED_VALUE"""),45611.42584606481)</f>
        <v>45611.42585</v>
      </c>
      <c r="E1450" s="11" t="str">
        <f>IFERROR(__xludf.DUMMYFUNCTION("""COMPUTED_VALUE"""),"SKPT LELANG")</f>
        <v>SKPT LELANG</v>
      </c>
      <c r="F1450" s="11" t="str">
        <f>IFERROR(__xludf.DUMMYFUNCTION("""COMPUTED_VALUE"""),"SENDI DINI")</f>
        <v>SENDI DINI</v>
      </c>
      <c r="G1450" s="13">
        <f t="shared" si="1"/>
        <v>1226</v>
      </c>
      <c r="H1450" s="13" t="str">
        <f>IFERROR(__xludf.DUMMYFUNCTION("""COMPUTED_VALUE"""),"P0")</f>
        <v>P0</v>
      </c>
    </row>
    <row r="1451" ht="22.5" customHeight="1">
      <c r="B1451" s="17" t="str">
        <f>IFERROR(__xludf.DUMMYFUNCTION("""COMPUTED_VALUE"""),"K/14/151124/3")</f>
        <v>K/14/151124/3</v>
      </c>
      <c r="C1451" s="17" t="str">
        <f>IFERROR(__xludf.DUMMYFUNCTION("""COMPUTED_VALUE"""),"M. 295/ Tanjung Raya")</f>
        <v>M. 295/ Tanjung Raya</v>
      </c>
      <c r="D1451" s="17">
        <f>IFERROR(__xludf.DUMMYFUNCTION("""COMPUTED_VALUE"""),45611.427301979165)</f>
        <v>45611.4273</v>
      </c>
      <c r="E1451" s="11" t="str">
        <f>IFERROR(__xludf.DUMMYFUNCTION("""COMPUTED_VALUE"""),"SKPT LELANG")</f>
        <v>SKPT LELANG</v>
      </c>
      <c r="F1451" s="11" t="str">
        <f>IFERROR(__xludf.DUMMYFUNCTION("""COMPUTED_VALUE"""),"SENDI DINI")</f>
        <v>SENDI DINI</v>
      </c>
      <c r="G1451" s="13">
        <f t="shared" si="1"/>
        <v>1227</v>
      </c>
      <c r="H1451" s="13" t="str">
        <f>IFERROR(__xludf.DUMMYFUNCTION("""COMPUTED_VALUE"""),"P0")</f>
        <v>P0</v>
      </c>
    </row>
    <row r="1452" ht="22.5" customHeight="1">
      <c r="B1452" s="17" t="str">
        <f>IFERROR(__xludf.DUMMYFUNCTION("""COMPUTED_VALUE"""),"K/16/151124/1")</f>
        <v>K/16/151124/1</v>
      </c>
      <c r="C1452" s="17" t="str">
        <f>IFERROR(__xludf.DUMMYFUNCTION("""COMPUTED_VALUE"""),"M.10613/KEDAMAIAN")</f>
        <v>M.10613/KEDAMAIAN</v>
      </c>
      <c r="D1452" s="17">
        <f>IFERROR(__xludf.DUMMYFUNCTION("""COMPUTED_VALUE"""),45611.43033335648)</f>
        <v>45611.43033</v>
      </c>
      <c r="E1452" s="11" t="str">
        <f>IFERROR(__xludf.DUMMYFUNCTION("""COMPUTED_VALUE"""),"BN WARIS")</f>
        <v>BN WARIS</v>
      </c>
      <c r="F1452" s="11" t="str">
        <f>IFERROR(__xludf.DUMMYFUNCTION("""COMPUTED_VALUE"""),"MARZUKI/YUNAH CS")</f>
        <v>MARZUKI/YUNAH CS</v>
      </c>
      <c r="G1452" s="13">
        <f t="shared" si="1"/>
        <v>1228</v>
      </c>
      <c r="H1452" s="13" t="str">
        <f>IFERROR(__xludf.DUMMYFUNCTION("""COMPUTED_VALUE"""),"P0")</f>
        <v>P0</v>
      </c>
    </row>
    <row r="1453" ht="22.5" customHeight="1">
      <c r="B1453" s="17" t="str">
        <f>IFERROR(__xludf.DUMMYFUNCTION("""COMPUTED_VALUE"""),"L/18/151124/1")</f>
        <v>L/18/151124/1</v>
      </c>
      <c r="C1453" s="17" t="str">
        <f>IFERROR(__xludf.DUMMYFUNCTION("""COMPUTED_VALUE"""),"HGB 584/WAY KANDIS")</f>
        <v>HGB 584/WAY KANDIS</v>
      </c>
      <c r="D1453" s="17">
        <f>IFERROR(__xludf.DUMMYFUNCTION("""COMPUTED_VALUE"""),45611.436486597224)</f>
        <v>45611.43649</v>
      </c>
      <c r="E1453" s="11" t="str">
        <f>IFERROR(__xludf.DUMMYFUNCTION("""COMPUTED_VALUE"""),"GANDES")</f>
        <v>GANDES</v>
      </c>
      <c r="F1453" s="11" t="str">
        <f>IFERROR(__xludf.DUMMYFUNCTION("""COMPUTED_VALUE"""),"HGB 584/WAY KANDIS")</f>
        <v>HGB 584/WAY KANDIS</v>
      </c>
      <c r="G1453" s="13">
        <f t="shared" si="1"/>
        <v>1229</v>
      </c>
      <c r="H1453" s="13" t="str">
        <f>IFERROR(__xludf.DUMMYFUNCTION("""COMPUTED_VALUE"""),"P0")</f>
        <v>P0</v>
      </c>
    </row>
    <row r="1454" ht="22.5" customHeight="1">
      <c r="B1454" s="17" t="str">
        <f>IFERROR(__xludf.DUMMYFUNCTION("""COMPUTED_VALUE"""),"K/15/151124/1")</f>
        <v>K/15/151124/1</v>
      </c>
      <c r="C1454" s="17" t="str">
        <f>IFERROR(__xludf.DUMMYFUNCTION("""COMPUTED_VALUE"""),"M. 769/ Sukaraja")</f>
        <v>M. 769/ Sukaraja</v>
      </c>
      <c r="D1454" s="17">
        <f>IFERROR(__xludf.DUMMYFUNCTION("""COMPUTED_VALUE"""),45611.43688508101)</f>
        <v>45611.43689</v>
      </c>
      <c r="E1454" s="11" t="str">
        <f>IFERROR(__xludf.DUMMYFUNCTION("""COMPUTED_VALUE"""),"SKPT LELANG")</f>
        <v>SKPT LELANG</v>
      </c>
      <c r="F1454" s="11" t="str">
        <f>IFERROR(__xludf.DUMMYFUNCTION("""COMPUTED_VALUE"""),"DITO S")</f>
        <v>DITO S</v>
      </c>
      <c r="G1454" s="13">
        <f t="shared" si="1"/>
        <v>1230</v>
      </c>
      <c r="H1454" s="13" t="str">
        <f>IFERROR(__xludf.DUMMYFUNCTION("""COMPUTED_VALUE"""),"P0")</f>
        <v>P0</v>
      </c>
    </row>
    <row r="1455" ht="22.5" customHeight="1">
      <c r="B1455" s="17" t="str">
        <f>IFERROR(__xludf.DUMMYFUNCTION("""COMPUTED_VALUE"""),"K/17/151124/1")</f>
        <v>K/17/151124/1</v>
      </c>
      <c r="C1455" s="17" t="str">
        <f>IFERROR(__xludf.DUMMYFUNCTION("""COMPUTED_VALUE"""),"M.944/SUKAMAJU")</f>
        <v>M.944/SUKAMAJU</v>
      </c>
      <c r="D1455" s="17">
        <f>IFERROR(__xludf.DUMMYFUNCTION("""COMPUTED_VALUE"""),45611.438006805554)</f>
        <v>45611.43801</v>
      </c>
      <c r="E1455" s="11" t="str">
        <f>IFERROR(__xludf.DUMMYFUNCTION("""COMPUTED_VALUE"""),"BUKA BLOKIR")</f>
        <v>BUKA BLOKIR</v>
      </c>
      <c r="F1455" s="11" t="str">
        <f>IFERROR(__xludf.DUMMYFUNCTION("""COMPUTED_VALUE"""),"WILAN KESUMA JAYA/ROSIAH WAHAB")</f>
        <v>WILAN KESUMA JAYA/ROSIAH WAHAB</v>
      </c>
      <c r="G1455" s="13">
        <f t="shared" si="1"/>
        <v>1231</v>
      </c>
      <c r="H1455" s="13" t="str">
        <f>IFERROR(__xludf.DUMMYFUNCTION("""COMPUTED_VALUE"""),"P0")</f>
        <v>P0</v>
      </c>
    </row>
    <row r="1456" ht="22.5" customHeight="1">
      <c r="B1456" s="17" t="str">
        <f>IFERROR(__xludf.DUMMYFUNCTION("""COMPUTED_VALUE"""),"K/19/151124/1")</f>
        <v>K/19/151124/1</v>
      </c>
      <c r="C1456" s="17" t="str">
        <f>IFERROR(__xludf.DUMMYFUNCTION("""COMPUTED_VALUE""")," M. 2517/ Pinang Jaya")</f>
        <v> M. 2517/ Pinang Jaya</v>
      </c>
      <c r="D1456" s="17">
        <f>IFERROR(__xludf.DUMMYFUNCTION("""COMPUTED_VALUE"""),45611.43873721064)</f>
        <v>45611.43874</v>
      </c>
      <c r="E1456" s="11" t="str">
        <f>IFERROR(__xludf.DUMMYFUNCTION("""COMPUTED_VALUE"""),"BN JUAL BE;I")</f>
        <v>BN JUAL BE;I</v>
      </c>
      <c r="F1456" s="11" t="str">
        <f>IFERROR(__xludf.DUMMYFUNCTION("""COMPUTED_VALUE"""),"EKA SARI TAHERAH")</f>
        <v>EKA SARI TAHERAH</v>
      </c>
      <c r="G1456" s="13">
        <f t="shared" si="1"/>
        <v>1232</v>
      </c>
      <c r="H1456" s="13" t="str">
        <f>IFERROR(__xludf.DUMMYFUNCTION("""COMPUTED_VALUE"""),"P0")</f>
        <v>P0</v>
      </c>
    </row>
    <row r="1457" ht="22.5" customHeight="1">
      <c r="B1457" s="17" t="str">
        <f>IFERROR(__xludf.DUMMYFUNCTION("""COMPUTED_VALUE"""),"K/20/151124/1")</f>
        <v>K/20/151124/1</v>
      </c>
      <c r="C1457" s="17" t="str">
        <f>IFERROR(__xludf.DUMMYFUNCTION("""COMPUTED_VALUE"""),"M.10108/LABUHAN RATU")</f>
        <v>M.10108/LABUHAN RATU</v>
      </c>
      <c r="D1457" s="17">
        <f>IFERROR(__xludf.DUMMYFUNCTION("""COMPUTED_VALUE"""),45611.44058657407)</f>
        <v>45611.44059</v>
      </c>
      <c r="E1457" s="11" t="str">
        <f>IFERROR(__xludf.DUMMYFUNCTION("""COMPUTED_VALUE"""),"KEWARISAN")</f>
        <v>KEWARISAN</v>
      </c>
      <c r="F1457" s="11" t="str">
        <f>IFERROR(__xludf.DUMMYFUNCTION("""COMPUTED_VALUE"""),"AMHAR PASYA CS/BUDI KRISTIYANTO")</f>
        <v>AMHAR PASYA CS/BUDI KRISTIYANTO</v>
      </c>
      <c r="G1457" s="13">
        <f t="shared" si="1"/>
        <v>1233</v>
      </c>
      <c r="H1457" s="13" t="str">
        <f>IFERROR(__xludf.DUMMYFUNCTION("""COMPUTED_VALUE"""),"P0")</f>
        <v>P0</v>
      </c>
    </row>
    <row r="1458" ht="22.5" customHeight="1">
      <c r="B1458" s="17" t="str">
        <f>IFERROR(__xludf.DUMMYFUNCTION("""COMPUTED_VALUE"""),"K/21/151124/2")</f>
        <v>K/21/151124/2</v>
      </c>
      <c r="C1458" s="17" t="str">
        <f>IFERROR(__xludf.DUMMYFUNCTION("""COMPUTED_VALUE"""),"B.535/BAKUNG")</f>
        <v>B.535/BAKUNG</v>
      </c>
      <c r="D1458" s="17">
        <f>IFERROR(__xludf.DUMMYFUNCTION("""COMPUTED_VALUE"""),45611.441319942125)</f>
        <v>45611.44132</v>
      </c>
      <c r="E1458" s="11" t="str">
        <f>IFERROR(__xludf.DUMMYFUNCTION("""COMPUTED_VALUE"""),"ROYA LELANG")</f>
        <v>ROYA LELANG</v>
      </c>
      <c r="F1458" s="11" t="str">
        <f>IFERROR(__xludf.DUMMYFUNCTION("""COMPUTED_VALUE"""),"ANGELIA ALI/BUDI KRISTIYANTO")</f>
        <v>ANGELIA ALI/BUDI KRISTIYANTO</v>
      </c>
      <c r="G1458" s="13">
        <f t="shared" si="1"/>
        <v>1234</v>
      </c>
      <c r="H1458" s="13" t="str">
        <f>IFERROR(__xludf.DUMMYFUNCTION("""COMPUTED_VALUE"""),"P0")</f>
        <v>P0</v>
      </c>
    </row>
    <row r="1459" ht="22.5" customHeight="1">
      <c r="B1459" s="17" t="str">
        <f>IFERROR(__xludf.DUMMYFUNCTION("""COMPUTED_VALUE"""),"K/22/151124/3")</f>
        <v>K/22/151124/3</v>
      </c>
      <c r="C1459" s="17" t="str">
        <f>IFERROR(__xludf.DUMMYFUNCTION("""COMPUTED_VALUE"""),"M.2500/SUMBEREJO/KEMILING")</f>
        <v>M.2500/SUMBEREJO/KEMILING</v>
      </c>
      <c r="D1459" s="17">
        <f>IFERROR(__xludf.DUMMYFUNCTION("""COMPUTED_VALUE"""),45611.44215675926)</f>
        <v>45611.44216</v>
      </c>
      <c r="E1459" s="11" t="str">
        <f>IFERROR(__xludf.DUMMYFUNCTION("""COMPUTED_VALUE"""),"GANDES")</f>
        <v>GANDES</v>
      </c>
      <c r="F1459" s="11" t="str">
        <f>IFERROR(__xludf.DUMMYFUNCTION("""COMPUTED_VALUE"""),"SUGIYANTO/BUDI KRISTIYANTO")</f>
        <v>SUGIYANTO/BUDI KRISTIYANTO</v>
      </c>
      <c r="G1459" s="13">
        <f t="shared" si="1"/>
        <v>1235</v>
      </c>
      <c r="H1459" s="13" t="str">
        <f>IFERROR(__xludf.DUMMYFUNCTION("""COMPUTED_VALUE"""),"P0")</f>
        <v>P0</v>
      </c>
    </row>
    <row r="1460" ht="22.5" customHeight="1">
      <c r="B1460" s="17" t="str">
        <f>IFERROR(__xludf.DUMMYFUNCTION("""COMPUTED_VALUE"""),"K/23/151124/2")</f>
        <v>K/23/151124/2</v>
      </c>
      <c r="C1460" s="17" t="str">
        <f>IFERROR(__xludf.DUMMYFUNCTION("""COMPUTED_VALUE"""),"M. 2483/ Pinang Jaya")</f>
        <v>M. 2483/ Pinang Jaya</v>
      </c>
      <c r="D1460" s="17">
        <f>IFERROR(__xludf.DUMMYFUNCTION("""COMPUTED_VALUE"""),45611.44545537037)</f>
        <v>45611.44546</v>
      </c>
      <c r="E1460" s="11" t="str">
        <f>IFERROR(__xludf.DUMMYFUNCTION("""COMPUTED_VALUE"""),"BN JUAL BELI")</f>
        <v>BN JUAL BELI</v>
      </c>
      <c r="F1460" s="11" t="str">
        <f>IFERROR(__xludf.DUMMYFUNCTION("""COMPUTED_VALUE"""),"EKA SARI TAHERAH")</f>
        <v>EKA SARI TAHERAH</v>
      </c>
      <c r="G1460" s="13">
        <f t="shared" si="1"/>
        <v>1236</v>
      </c>
      <c r="H1460" s="13" t="str">
        <f>IFERROR(__xludf.DUMMYFUNCTION("""COMPUTED_VALUE"""),"P0")</f>
        <v>P0</v>
      </c>
    </row>
    <row r="1461" ht="22.5" customHeight="1">
      <c r="B1461" s="17" t="str">
        <f>IFERROR(__xludf.DUMMYFUNCTION("""COMPUTED_VALUE"""),"K/15/071124/1")</f>
        <v>K/15/071124/1</v>
      </c>
      <c r="C1461" s="17" t="str">
        <f>IFERROR(__xludf.DUMMYFUNCTION("""COMPUTED_VALUE"""),"M.2555/PINANG JAYA")</f>
        <v>M.2555/PINANG JAYA</v>
      </c>
      <c r="D1461" s="17">
        <f>IFERROR(__xludf.DUMMYFUNCTION("""COMPUTED_VALUE"""),45611.44652428241)</f>
        <v>45611.44652</v>
      </c>
      <c r="E1461" s="11" t="str">
        <f>IFERROR(__xludf.DUMMYFUNCTION("""COMPUTED_VALUE"""),"BN JUAL BELI")</f>
        <v>BN JUAL BELI</v>
      </c>
      <c r="F1461" s="11" t="str">
        <f>IFERROR(__xludf.DUMMYFUNCTION("""COMPUTED_VALUE"""),"LELI SEPTIANA/EKA SARI TAHERAH")</f>
        <v>LELI SEPTIANA/EKA SARI TAHERAH</v>
      </c>
      <c r="G1461" s="13">
        <f t="shared" si="1"/>
        <v>1236</v>
      </c>
      <c r="H1461" s="13" t="str">
        <f>IFERROR(__xludf.DUMMYFUNCTION("""COMPUTED_VALUE"""),"P1")</f>
        <v>P1</v>
      </c>
    </row>
    <row r="1462" ht="22.5" customHeight="1">
      <c r="B1462" s="17" t="str">
        <f>IFERROR(__xludf.DUMMYFUNCTION("""COMPUTED_VALUE"""),"L/25/151124/1")</f>
        <v>L/25/151124/1</v>
      </c>
      <c r="C1462" s="17" t="str">
        <f>IFERROR(__xludf.DUMMYFUNCTION("""COMPUTED_VALUE"""),"HGB 560/WAY KANDIS")</f>
        <v>HGB 560/WAY KANDIS</v>
      </c>
      <c r="D1462" s="17">
        <f>IFERROR(__xludf.DUMMYFUNCTION("""COMPUTED_VALUE"""),45611.44823740741)</f>
        <v>45611.44824</v>
      </c>
      <c r="E1462" s="11" t="str">
        <f>IFERROR(__xludf.DUMMYFUNCTION("""COMPUTED_VALUE"""),"GANDES")</f>
        <v>GANDES</v>
      </c>
      <c r="F1462" s="11" t="str">
        <f>IFERROR(__xludf.DUMMYFUNCTION("""COMPUTED_VALUE"""),"RITATI")</f>
        <v>RITATI</v>
      </c>
      <c r="G1462" s="13">
        <f t="shared" si="1"/>
        <v>1237</v>
      </c>
      <c r="H1462" s="13" t="str">
        <f>IFERROR(__xludf.DUMMYFUNCTION("""COMPUTED_VALUE"""),"P0")</f>
        <v>P0</v>
      </c>
    </row>
    <row r="1463" ht="22.5" customHeight="1">
      <c r="B1463" s="17" t="str">
        <f>IFERROR(__xludf.DUMMYFUNCTION("""COMPUTED_VALUE"""),"K/12/121124/2")</f>
        <v>K/12/121124/2</v>
      </c>
      <c r="C1463" s="17" t="str">
        <f>IFERROR(__xludf.DUMMYFUNCTION("""COMPUTED_VALUE"""),"M.2462/PINANG JAYA")</f>
        <v>M.2462/PINANG JAYA</v>
      </c>
      <c r="D1463" s="17">
        <f>IFERROR(__xludf.DUMMYFUNCTION("""COMPUTED_VALUE"""),45611.45147664352)</f>
        <v>45611.45148</v>
      </c>
      <c r="E1463" s="11" t="str">
        <f>IFERROR(__xludf.DUMMYFUNCTION("""COMPUTED_VALUE"""),"BN JUAL BELI")</f>
        <v>BN JUAL BELI</v>
      </c>
      <c r="F1463" s="11" t="str">
        <f>IFERROR(__xludf.DUMMYFUNCTION("""COMPUTED_VALUE"""),"EMAWATY/EKA SARI TAHERAH")</f>
        <v>EMAWATY/EKA SARI TAHERAH</v>
      </c>
      <c r="G1463" s="13">
        <f t="shared" si="1"/>
        <v>1237</v>
      </c>
      <c r="H1463" s="13" t="str">
        <f>IFERROR(__xludf.DUMMYFUNCTION("""COMPUTED_VALUE"""),"P1")</f>
        <v>P1</v>
      </c>
    </row>
    <row r="1464" ht="22.5" customHeight="1">
      <c r="B1464" s="17" t="str">
        <f>IFERROR(__xludf.DUMMYFUNCTION("""COMPUTED_VALUE"""),"K/26/151124/1")</f>
        <v>K/26/151124/1</v>
      </c>
      <c r="C1464" s="17" t="str">
        <f>IFERROR(__xludf.DUMMYFUNCTION("""COMPUTED_VALUE"""),"M. 2553/ Pinang Jaya")</f>
        <v>M. 2553/ Pinang Jaya</v>
      </c>
      <c r="D1464" s="17">
        <f>IFERROR(__xludf.DUMMYFUNCTION("""COMPUTED_VALUE"""),45611.45371746528)</f>
        <v>45611.45372</v>
      </c>
      <c r="E1464" s="11" t="str">
        <f>IFERROR(__xludf.DUMMYFUNCTION("""COMPUTED_VALUE"""),"BN JUAL BELI")</f>
        <v>BN JUAL BELI</v>
      </c>
      <c r="F1464" s="11" t="str">
        <f>IFERROR(__xludf.DUMMYFUNCTION("""COMPUTED_VALUE"""),"EKA SARI TAHERAH")</f>
        <v>EKA SARI TAHERAH</v>
      </c>
      <c r="G1464" s="13">
        <f t="shared" si="1"/>
        <v>1238</v>
      </c>
      <c r="H1464" s="13" t="str">
        <f>IFERROR(__xludf.DUMMYFUNCTION("""COMPUTED_VALUE"""),"P0")</f>
        <v>P0</v>
      </c>
    </row>
    <row r="1465" ht="22.5" customHeight="1">
      <c r="B1465" s="17" t="str">
        <f>IFERROR(__xludf.DUMMYFUNCTION("""COMPUTED_VALUE"""),"L/27/151124/1")</f>
        <v>L/27/151124/1</v>
      </c>
      <c r="C1465" s="17" t="str">
        <f>IFERROR(__xludf.DUMMYFUNCTION("""COMPUTED_VALUE"""),"HGB 569/WAY KANDIS")</f>
        <v>HGB 569/WAY KANDIS</v>
      </c>
      <c r="D1465" s="17">
        <f>IFERROR(__xludf.DUMMYFUNCTION("""COMPUTED_VALUE"""),45611.463211979164)</f>
        <v>45611.46321</v>
      </c>
      <c r="E1465" s="11" t="str">
        <f>IFERROR(__xludf.DUMMYFUNCTION("""COMPUTED_VALUE"""),"GANDES")</f>
        <v>GANDES</v>
      </c>
      <c r="F1465" s="11" t="str">
        <f>IFERROR(__xludf.DUMMYFUNCTION("""COMPUTED_VALUE"""),"PRIHATIKA")</f>
        <v>PRIHATIKA</v>
      </c>
      <c r="G1465" s="13">
        <f t="shared" si="1"/>
        <v>1239</v>
      </c>
      <c r="H1465" s="13" t="str">
        <f>IFERROR(__xludf.DUMMYFUNCTION("""COMPUTED_VALUE"""),"P0")</f>
        <v>P0</v>
      </c>
    </row>
    <row r="1466" ht="22.5" customHeight="1">
      <c r="B1466" s="17" t="str">
        <f>IFERROR(__xludf.DUMMYFUNCTION("""COMPUTED_VALUE"""),"K/28/151124/1")</f>
        <v>K/28/151124/1</v>
      </c>
      <c r="C1466" s="17" t="str">
        <f>IFERROR(__xludf.DUMMYFUNCTION("""COMPUTED_VALUE"""),"B.1746/SUKARAME I")</f>
        <v>B.1746/SUKARAME I</v>
      </c>
      <c r="D1466" s="17">
        <f>IFERROR(__xludf.DUMMYFUNCTION("""COMPUTED_VALUE"""),45611.46550140047)</f>
        <v>45611.4655</v>
      </c>
      <c r="E1466" s="11" t="str">
        <f>IFERROR(__xludf.DUMMYFUNCTION("""COMPUTED_VALUE"""),"PLOTING")</f>
        <v>PLOTING</v>
      </c>
      <c r="F1466" s="11" t="str">
        <f>IFERROR(__xludf.DUMMYFUNCTION("""COMPUTED_VALUE"""),"TRI TRISNO/RENI FEBRIANI")</f>
        <v>TRI TRISNO/RENI FEBRIANI</v>
      </c>
      <c r="G1466" s="13">
        <f t="shared" si="1"/>
        <v>1240</v>
      </c>
      <c r="H1466" s="13" t="str">
        <f>IFERROR(__xludf.DUMMYFUNCTION("""COMPUTED_VALUE"""),"P0")</f>
        <v>P0</v>
      </c>
    </row>
    <row r="1467" ht="22.5" customHeight="1">
      <c r="B1467" s="17" t="str">
        <f>IFERROR(__xludf.DUMMYFUNCTION("""COMPUTED_VALUE"""),"K/24/151124/1")</f>
        <v>K/24/151124/1</v>
      </c>
      <c r="C1467" s="17" t="str">
        <f>IFERROR(__xludf.DUMMYFUNCTION("""COMPUTED_VALUE"""),"M. 1717/SUMBERREJO SEJAHTERA")</f>
        <v>M. 1717/SUMBERREJO SEJAHTERA</v>
      </c>
      <c r="D1467" s="17">
        <f>IFERROR(__xludf.DUMMYFUNCTION("""COMPUTED_VALUE"""),45611.465771296294)</f>
        <v>45611.46577</v>
      </c>
      <c r="E1467" s="11" t="str">
        <f>IFERROR(__xludf.DUMMYFUNCTION("""COMPUTED_VALUE"""),"BN JUAL BELI")</f>
        <v>BN JUAL BELI</v>
      </c>
      <c r="F1467" s="11" t="str">
        <f>IFERROR(__xludf.DUMMYFUNCTION("""COMPUTED_VALUE"""),"DEMMY ANNE WINGARDI / LIAUW DIANA SUSILAWATI")</f>
        <v>DEMMY ANNE WINGARDI / LIAUW DIANA SUSILAWATI</v>
      </c>
      <c r="G1467" s="13">
        <f t="shared" si="1"/>
        <v>1241</v>
      </c>
      <c r="H1467" s="13" t="str">
        <f>IFERROR(__xludf.DUMMYFUNCTION("""COMPUTED_VALUE"""),"P0")</f>
        <v>P0</v>
      </c>
    </row>
    <row r="1468" ht="22.5" customHeight="1">
      <c r="B1468" s="17" t="str">
        <f>IFERROR(__xludf.DUMMYFUNCTION("""COMPUTED_VALUE"""),"K/29/151124/1")</f>
        <v>K/29/151124/1</v>
      </c>
      <c r="C1468" s="17" t="str">
        <f>IFERROR(__xludf.DUMMYFUNCTION("""COMPUTED_VALUE"""),"M. 168/ Tanjung Senang")</f>
        <v>M. 168/ Tanjung Senang</v>
      </c>
      <c r="D1468" s="17">
        <f>IFERROR(__xludf.DUMMYFUNCTION("""COMPUTED_VALUE"""),45611.47473652777)</f>
        <v>45611.47474</v>
      </c>
      <c r="E1468" s="11" t="str">
        <f>IFERROR(__xludf.DUMMYFUNCTION("""COMPUTED_VALUE"""),"Gandes")</f>
        <v>Gandes</v>
      </c>
      <c r="F1468" s="11" t="str">
        <f>IFERROR(__xludf.DUMMYFUNCTION("""COMPUTED_VALUE"""),"Richard Adi P/ Fermayuni")</f>
        <v>Richard Adi P/ Fermayuni</v>
      </c>
      <c r="G1468" s="13">
        <f t="shared" si="1"/>
        <v>1242</v>
      </c>
      <c r="H1468" s="13" t="str">
        <f>IFERROR(__xludf.DUMMYFUNCTION("""COMPUTED_VALUE"""),"P0")</f>
        <v>P0</v>
      </c>
    </row>
    <row r="1469" ht="22.5" customHeight="1">
      <c r="B1469" s="17" t="str">
        <f>IFERROR(__xludf.DUMMYFUNCTION("""COMPUTED_VALUE"""),"K/29/151124/1")</f>
        <v>K/29/151124/1</v>
      </c>
      <c r="C1469" s="17" t="str">
        <f>IFERROR(__xludf.DUMMYFUNCTION("""COMPUTED_VALUE"""),"M. 9311/ TANJUNG BARU")</f>
        <v>M. 9311/ TANJUNG BARU</v>
      </c>
      <c r="D1469" s="17">
        <f>IFERROR(__xludf.DUMMYFUNCTION("""COMPUTED_VALUE"""),45611.48071221064)</f>
        <v>45611.48071</v>
      </c>
      <c r="E1469" s="11" t="str">
        <f>IFERROR(__xludf.DUMMYFUNCTION("""COMPUTED_VALUE"""),"GANTI KECAMATAN")</f>
        <v>GANTI KECAMATAN</v>
      </c>
      <c r="F1469" s="11" t="str">
        <f>IFERROR(__xludf.DUMMYFUNCTION("""COMPUTED_VALUE"""),"SURADI / RAMIYAH")</f>
        <v>SURADI / RAMIYAH</v>
      </c>
      <c r="G1469" s="13">
        <f t="shared" si="1"/>
        <v>1243</v>
      </c>
      <c r="H1469" s="13" t="str">
        <f>IFERROR(__xludf.DUMMYFUNCTION("""COMPUTED_VALUE"""),"P0")</f>
        <v>P0</v>
      </c>
    </row>
    <row r="1470" ht="22.5" customHeight="1">
      <c r="B1470" s="17" t="str">
        <f>IFERROR(__xludf.DUMMYFUNCTION("""COMPUTED_VALUE"""),"K/31/151124/1")</f>
        <v>K/31/151124/1</v>
      </c>
      <c r="C1470" s="17" t="str">
        <f>IFERROR(__xludf.DUMMYFUNCTION("""COMPUTED_VALUE"""),"M. 1250/ Kaliawi")</f>
        <v>M. 1250/ Kaliawi</v>
      </c>
      <c r="D1470" s="17">
        <f>IFERROR(__xludf.DUMMYFUNCTION("""COMPUTED_VALUE"""),45611.54241900463)</f>
        <v>45611.54242</v>
      </c>
      <c r="E1470" s="11" t="str">
        <f>IFERROR(__xludf.DUMMYFUNCTION("""COMPUTED_VALUE"""),"BN Waris")</f>
        <v>BN Waris</v>
      </c>
      <c r="F1470" s="11" t="str">
        <f>IFERROR(__xludf.DUMMYFUNCTION("""COMPUTED_VALUE"""),"Maryanti K/ Vivi M Cs")</f>
        <v>Maryanti K/ Vivi M Cs</v>
      </c>
      <c r="G1470" s="13">
        <f t="shared" si="1"/>
        <v>1244</v>
      </c>
      <c r="H1470" s="13" t="str">
        <f>IFERROR(__xludf.DUMMYFUNCTION("""COMPUTED_VALUE"""),"P0")</f>
        <v>P0</v>
      </c>
    </row>
    <row r="1471" ht="22.5" customHeight="1">
      <c r="B1471" s="17" t="str">
        <f>IFERROR(__xludf.DUMMYFUNCTION("""COMPUTED_VALUE"""),"K/32/151124/1")</f>
        <v>K/32/151124/1</v>
      </c>
      <c r="C1471" s="17" t="str">
        <f>IFERROR(__xludf.DUMMYFUNCTION("""COMPUTED_VALUE"""),"Nibel. M. 992/ Way Kandis")</f>
        <v>Nibel. M. 992/ Way Kandis</v>
      </c>
      <c r="D1471" s="17">
        <f>IFERROR(__xludf.DUMMYFUNCTION("""COMPUTED_VALUE"""),45611.543318993055)</f>
        <v>45611.54332</v>
      </c>
      <c r="E1471" s="11" t="str">
        <f>IFERROR(__xludf.DUMMYFUNCTION("""COMPUTED_VALUE"""),"BN Jual Beli")</f>
        <v>BN Jual Beli</v>
      </c>
      <c r="F1471" s="11" t="str">
        <f>IFERROR(__xludf.DUMMYFUNCTION("""COMPUTED_VALUE"""),"Hari Noor Y/ Darli")</f>
        <v>Hari Noor Y/ Darli</v>
      </c>
      <c r="G1471" s="13">
        <f t="shared" si="1"/>
        <v>1245</v>
      </c>
      <c r="H1471" s="13" t="str">
        <f>IFERROR(__xludf.DUMMYFUNCTION("""COMPUTED_VALUE"""),"P0")</f>
        <v>P0</v>
      </c>
    </row>
    <row r="1472" ht="22.5" customHeight="1">
      <c r="B1472" s="17" t="str">
        <f>IFERROR(__xludf.DUMMYFUNCTION("""COMPUTED_VALUE"""),"K/33/151124/2")</f>
        <v>K/33/151124/2</v>
      </c>
      <c r="C1472" s="17" t="str">
        <f>IFERROR(__xludf.DUMMYFUNCTION("""COMPUTED_VALUE"""),"M. 2669/ Sumberrejo")</f>
        <v>M. 2669/ Sumberrejo</v>
      </c>
      <c r="D1472" s="17">
        <f>IFERROR(__xludf.DUMMYFUNCTION("""COMPUTED_VALUE"""),45611.54401065972)</f>
        <v>45611.54401</v>
      </c>
      <c r="E1472" s="11" t="str">
        <f>IFERROR(__xludf.DUMMYFUNCTION("""COMPUTED_VALUE"""),"BN Jual Beli")</f>
        <v>BN Jual Beli</v>
      </c>
      <c r="F1472" s="11" t="str">
        <f>IFERROR(__xludf.DUMMYFUNCTION("""COMPUTED_VALUE"""),"Hari Noor Y/ Ulfa T")</f>
        <v>Hari Noor Y/ Ulfa T</v>
      </c>
      <c r="G1472" s="13">
        <f t="shared" si="1"/>
        <v>1246</v>
      </c>
      <c r="H1472" s="13" t="str">
        <f>IFERROR(__xludf.DUMMYFUNCTION("""COMPUTED_VALUE"""),"P0")</f>
        <v>P0</v>
      </c>
    </row>
    <row r="1473" ht="22.5" customHeight="1">
      <c r="B1473" s="17" t="str">
        <f>IFERROR(__xludf.DUMMYFUNCTION("""COMPUTED_VALUE"""),"L/34/151124/1")</f>
        <v>L/34/151124/1</v>
      </c>
      <c r="C1473" s="17" t="str">
        <f>IFERROR(__xludf.DUMMYFUNCTION("""COMPUTED_VALUE"""),"NIB 2708/NUSANTARA PERMAI")</f>
        <v>NIB 2708/NUSANTARA PERMAI</v>
      </c>
      <c r="D1473" s="17">
        <f>IFERROR(__xludf.DUMMYFUNCTION("""COMPUTED_VALUE"""),45611.54782554398)</f>
        <v>45611.54783</v>
      </c>
      <c r="E1473" s="11" t="str">
        <f>IFERROR(__xludf.DUMMYFUNCTION("""COMPUTED_VALUE"""),"BN LELANG")</f>
        <v>BN LELANG</v>
      </c>
      <c r="F1473" s="11" t="str">
        <f>IFERROR(__xludf.DUMMYFUNCTION("""COMPUTED_VALUE"""),"TRIAN HERMAWAN")</f>
        <v>TRIAN HERMAWAN</v>
      </c>
      <c r="G1473" s="13">
        <f t="shared" si="1"/>
        <v>1247</v>
      </c>
      <c r="H1473" s="13" t="str">
        <f>IFERROR(__xludf.DUMMYFUNCTION("""COMPUTED_VALUE"""),"P0")</f>
        <v>P0</v>
      </c>
    </row>
    <row r="1474" ht="22.5" customHeight="1">
      <c r="B1474" s="17" t="str">
        <f>IFERROR(__xludf.DUMMYFUNCTION("""COMPUTED_VALUE"""),"K/35/151124/1")</f>
        <v>K/35/151124/1</v>
      </c>
      <c r="C1474" s="17" t="str">
        <f>IFERROR(__xludf.DUMMYFUNCTION("""COMPUTED_VALUE"""),"M. 101/ P W K")</f>
        <v>M. 101/ P W K</v>
      </c>
      <c r="D1474" s="17">
        <f>IFERROR(__xludf.DUMMYFUNCTION("""COMPUTED_VALUE"""),45611.55792373842)</f>
        <v>45611.55792</v>
      </c>
      <c r="E1474" s="11" t="str">
        <f>IFERROR(__xludf.DUMMYFUNCTION("""COMPUTED_VALUE"""),"Pemecahan")</f>
        <v>Pemecahan</v>
      </c>
      <c r="F1474" s="11" t="str">
        <f>IFERROR(__xludf.DUMMYFUNCTION("""COMPUTED_VALUE"""),"Priyo Susilo/ Lukita Sari")</f>
        <v>Priyo Susilo/ Lukita Sari</v>
      </c>
      <c r="G1474" s="13">
        <f t="shared" si="1"/>
        <v>1248</v>
      </c>
      <c r="H1474" s="13" t="str">
        <f>IFERROR(__xludf.DUMMYFUNCTION("""COMPUTED_VALUE"""),"P0")</f>
        <v>P0</v>
      </c>
    </row>
    <row r="1475" ht="22.5" customHeight="1">
      <c r="B1475" s="17" t="str">
        <f>IFERROR(__xludf.DUMMYFUNCTION("""COMPUTED_VALUE"""),"L/36/151124/1")</f>
        <v>L/36/151124/1</v>
      </c>
      <c r="C1475" s="17" t="str">
        <f>IFERROR(__xludf.DUMMYFUNCTION("""COMPUTED_VALUE"""),"HGB 1204/SUKABUMI INDAH")</f>
        <v>HGB 1204/SUKABUMI INDAH</v>
      </c>
      <c r="D1475" s="17">
        <f>IFERROR(__xludf.DUMMYFUNCTION("""COMPUTED_VALUE"""),45611.55897633102)</f>
        <v>45611.55898</v>
      </c>
      <c r="E1475" s="11" t="str">
        <f>IFERROR(__xludf.DUMMYFUNCTION("""COMPUTED_VALUE"""),"PERUBAHAN HAK")</f>
        <v>PERUBAHAN HAK</v>
      </c>
      <c r="F1475" s="11" t="str">
        <f>IFERROR(__xludf.DUMMYFUNCTION("""COMPUTED_VALUE"""),"DIDIT SUHARMAWAN")</f>
        <v>DIDIT SUHARMAWAN</v>
      </c>
      <c r="G1475" s="13">
        <f t="shared" si="1"/>
        <v>1249</v>
      </c>
      <c r="H1475" s="13" t="str">
        <f>IFERROR(__xludf.DUMMYFUNCTION("""COMPUTED_VALUE"""),"P0")</f>
        <v>P0</v>
      </c>
    </row>
    <row r="1476" ht="22.5" customHeight="1">
      <c r="B1476" s="17" t="str">
        <f>IFERROR(__xludf.DUMMYFUNCTION("""COMPUTED_VALUE"""),"L/38/151124/1")</f>
        <v>L/38/151124/1</v>
      </c>
      <c r="C1476" s="17" t="str">
        <f>IFERROR(__xludf.DUMMYFUNCTION("""COMPUTED_VALUE"""),"HM 2221/SUKABUMI")</f>
        <v>HM 2221/SUKABUMI</v>
      </c>
      <c r="D1476" s="17">
        <f>IFERROR(__xludf.DUMMYFUNCTION("""COMPUTED_VALUE"""),45611.57123821759)</f>
        <v>45611.57124</v>
      </c>
      <c r="E1476" s="11" t="str">
        <f>IFERROR(__xludf.DUMMYFUNCTION("""COMPUTED_VALUE"""),"GANDES")</f>
        <v>GANDES</v>
      </c>
      <c r="F1476" s="11" t="str">
        <f>IFERROR(__xludf.DUMMYFUNCTION("""COMPUTED_VALUE"""),"MUHADI")</f>
        <v>MUHADI</v>
      </c>
      <c r="G1476" s="13">
        <f t="shared" si="1"/>
        <v>1250</v>
      </c>
      <c r="H1476" s="13" t="str">
        <f>IFERROR(__xludf.DUMMYFUNCTION("""COMPUTED_VALUE"""),"P0")</f>
        <v>P0</v>
      </c>
    </row>
    <row r="1477" ht="22.5" customHeight="1">
      <c r="B1477" s="17" t="str">
        <f>IFERROR(__xludf.DUMMYFUNCTION("""COMPUTED_VALUE"""),"K/37/151124/1")</f>
        <v>K/37/151124/1</v>
      </c>
      <c r="C1477" s="17" t="str">
        <f>IFERROR(__xludf.DUMMYFUNCTION("""COMPUTED_VALUE"""),"PBT 47/2024 Sukarame")</f>
        <v>PBT 47/2024 Sukarame</v>
      </c>
      <c r="D1477" s="17">
        <f>IFERROR(__xludf.DUMMYFUNCTION("""COMPUTED_VALUE"""),45611.571968414355)</f>
        <v>45611.57197</v>
      </c>
      <c r="E1477" s="11" t="str">
        <f>IFERROR(__xludf.DUMMYFUNCTION("""COMPUTED_VALUE"""),"PTPGT Pertama Kali")</f>
        <v>PTPGT Pertama Kali</v>
      </c>
      <c r="F1477" s="11" t="str">
        <f>IFERROR(__xludf.DUMMYFUNCTION("""COMPUTED_VALUE"""),"I Made Retug/ Indah Mayang")</f>
        <v>I Made Retug/ Indah Mayang</v>
      </c>
      <c r="G1477" s="13">
        <f t="shared" si="1"/>
        <v>1251</v>
      </c>
      <c r="H1477" s="13" t="str">
        <f>IFERROR(__xludf.DUMMYFUNCTION("""COMPUTED_VALUE"""),"P0")</f>
        <v>P0</v>
      </c>
    </row>
    <row r="1478" ht="22.5" customHeight="1">
      <c r="B1478" s="17" t="str">
        <f>IFERROR(__xludf.DUMMYFUNCTION("""COMPUTED_VALUE"""),"L/39/151124/1")</f>
        <v>L/39/151124/1</v>
      </c>
      <c r="C1478" s="17" t="str">
        <f>IFERROR(__xludf.DUMMYFUNCTION("""COMPUTED_VALUE"""),"HGB 172/LABUHAN DALAM")</f>
        <v>HGB 172/LABUHAN DALAM</v>
      </c>
      <c r="D1478" s="17">
        <f>IFERROR(__xludf.DUMMYFUNCTION("""COMPUTED_VALUE"""),45611.585107534724)</f>
        <v>45611.58511</v>
      </c>
      <c r="E1478" s="11" t="str">
        <f>IFERROR(__xludf.DUMMYFUNCTION("""COMPUTED_VALUE"""),"ROYA")</f>
        <v>ROYA</v>
      </c>
      <c r="F1478" s="11" t="str">
        <f>IFERROR(__xludf.DUMMYFUNCTION("""COMPUTED_VALUE"""),"LUH PENDRIATI")</f>
        <v>LUH PENDRIATI</v>
      </c>
      <c r="G1478" s="13">
        <f t="shared" si="1"/>
        <v>1252</v>
      </c>
      <c r="H1478" s="13" t="str">
        <f>IFERROR(__xludf.DUMMYFUNCTION("""COMPUTED_VALUE"""),"P0")</f>
        <v>P0</v>
      </c>
    </row>
    <row r="1479" ht="22.5" customHeight="1">
      <c r="B1479" s="17" t="str">
        <f>IFERROR(__xludf.DUMMYFUNCTION("""COMPUTED_VALUE"""),"K/40/151124/1")</f>
        <v>K/40/151124/1</v>
      </c>
      <c r="C1479" s="17" t="str">
        <f>IFERROR(__xludf.DUMMYFUNCTION("""COMPUTED_VALUE"""),"M.1375/KALI BALAU KENCANA")</f>
        <v>M.1375/KALI BALAU KENCANA</v>
      </c>
      <c r="D1479" s="17">
        <f>IFERROR(__xludf.DUMMYFUNCTION("""COMPUTED_VALUE"""),45611.58690627315)</f>
        <v>45611.58691</v>
      </c>
      <c r="E1479" s="11" t="str">
        <f>IFERROR(__xludf.DUMMYFUNCTION("""COMPUTED_VALUE"""),"BN JUAL BELI")</f>
        <v>BN JUAL BELI</v>
      </c>
      <c r="F1479" s="11" t="str">
        <f>IFERROR(__xludf.DUMMYFUNCTION("""COMPUTED_VALUE"""),"RATNA OKTARINA HANDAYANI/KRESHNA DJUAINI")</f>
        <v>RATNA OKTARINA HANDAYANI/KRESHNA DJUAINI</v>
      </c>
      <c r="G1479" s="13">
        <f t="shared" si="1"/>
        <v>1253</v>
      </c>
      <c r="H1479" s="13" t="str">
        <f>IFERROR(__xludf.DUMMYFUNCTION("""COMPUTED_VALUE"""),"P0")</f>
        <v>P0</v>
      </c>
    </row>
    <row r="1480" ht="22.5" customHeight="1">
      <c r="B1480" s="17" t="str">
        <f>IFERROR(__xludf.DUMMYFUNCTION("""COMPUTED_VALUE"""),"K/41/151124/2")</f>
        <v>K/41/151124/2</v>
      </c>
      <c r="C1480" s="17" t="str">
        <f>IFERROR(__xludf.DUMMYFUNCTION("""COMPUTED_VALUE"""),"M.2721/SUMBER REJO")</f>
        <v>M.2721/SUMBER REJO</v>
      </c>
      <c r="D1480" s="17">
        <f>IFERROR(__xludf.DUMMYFUNCTION("""COMPUTED_VALUE"""),45611.58760789352)</f>
        <v>45611.58761</v>
      </c>
      <c r="E1480" s="11" t="str">
        <f>IFERROR(__xludf.DUMMYFUNCTION("""COMPUTED_VALUE"""),"BN JUAL BELI")</f>
        <v>BN JUAL BELI</v>
      </c>
      <c r="F1480" s="11" t="str">
        <f>IFERROR(__xludf.DUMMYFUNCTION("""COMPUTED_VALUE"""),"DANNIE HAVIULLAH/KRESHNA DJUAINI")</f>
        <v>DANNIE HAVIULLAH/KRESHNA DJUAINI</v>
      </c>
      <c r="G1480" s="13">
        <f t="shared" si="1"/>
        <v>1254</v>
      </c>
      <c r="H1480" s="13" t="str">
        <f>IFERROR(__xludf.DUMMYFUNCTION("""COMPUTED_VALUE"""),"P0")</f>
        <v>P0</v>
      </c>
    </row>
    <row r="1481" ht="22.5" customHeight="1">
      <c r="B1481" s="17" t="str">
        <f>IFERROR(__xludf.DUMMYFUNCTION("""COMPUTED_VALUE"""),"K/42/151124/1")</f>
        <v>K/42/151124/1</v>
      </c>
      <c r="C1481" s="17" t="str">
        <f>IFERROR(__xludf.DUMMYFUNCTION("""COMPUTED_VALUE"""),"M.42/KORPRI RAYA-SEKARANG;M.9925/SUKARAME I-DAHULU")</f>
        <v>M.42/KORPRI RAYA-SEKARANG;M.9925/SUKARAME I-DAHULU</v>
      </c>
      <c r="D1481" s="17">
        <f>IFERROR(__xludf.DUMMYFUNCTION("""COMPUTED_VALUE"""),45611.58946574074)</f>
        <v>45611.58947</v>
      </c>
      <c r="E1481" s="11" t="str">
        <f>IFERROR(__xludf.DUMMYFUNCTION("""COMPUTED_VALUE"""),"KEWARISAN")</f>
        <v>KEWARISAN</v>
      </c>
      <c r="F1481" s="11" t="str">
        <f>IFERROR(__xludf.DUMMYFUNCTION("""COMPUTED_VALUE"""),"PUJI ASTUTIK CS/MEINAZIER ZEIN")</f>
        <v>PUJI ASTUTIK CS/MEINAZIER ZEIN</v>
      </c>
      <c r="G1481" s="13">
        <f t="shared" si="1"/>
        <v>1255</v>
      </c>
      <c r="H1481" s="13" t="str">
        <f>IFERROR(__xludf.DUMMYFUNCTION("""COMPUTED_VALUE"""),"P0")</f>
        <v>P0</v>
      </c>
    </row>
    <row r="1482" ht="22.5" customHeight="1">
      <c r="B1482" s="17" t="str">
        <f>IFERROR(__xludf.DUMMYFUNCTION("""COMPUTED_VALUE"""),"K/43/151124/1")</f>
        <v>K/43/151124/1</v>
      </c>
      <c r="C1482" s="17" t="str">
        <f>IFERROR(__xludf.DUMMYFUNCTION("""COMPUTED_VALUE"""),"Nibel B. 2838/ Kampung Baru Raya")</f>
        <v>Nibel B. 2838/ Kampung Baru Raya</v>
      </c>
      <c r="D1482" s="17">
        <f>IFERROR(__xludf.DUMMYFUNCTION("""COMPUTED_VALUE"""),45611.59015396991)</f>
        <v>45611.59015</v>
      </c>
      <c r="E1482" s="11" t="str">
        <f>IFERROR(__xludf.DUMMYFUNCTION("""COMPUTED_VALUE"""),"Perubahan Hak")</f>
        <v>Perubahan Hak</v>
      </c>
      <c r="F1482" s="11" t="str">
        <f>IFERROR(__xludf.DUMMYFUNCTION("""COMPUTED_VALUE"""),"Fatimah/ Widodo")</f>
        <v>Fatimah/ Widodo</v>
      </c>
      <c r="G1482" s="13">
        <f t="shared" si="1"/>
        <v>1256</v>
      </c>
      <c r="H1482" s="13" t="str">
        <f>IFERROR(__xludf.DUMMYFUNCTION("""COMPUTED_VALUE"""),"P0")</f>
        <v>P0</v>
      </c>
    </row>
    <row r="1483" ht="22.5" customHeight="1">
      <c r="B1483" s="17" t="str">
        <f>IFERROR(__xludf.DUMMYFUNCTION("""COMPUTED_VALUE"""),"L/45/151124/1")</f>
        <v>L/45/151124/1</v>
      </c>
      <c r="C1483" s="17" t="str">
        <f>IFERROR(__xludf.DUMMYFUNCTION("""COMPUTED_VALUE"""),"HGB 1677/SUKARAME")</f>
        <v>HGB 1677/SUKARAME</v>
      </c>
      <c r="D1483" s="17">
        <f>IFERROR(__xludf.DUMMYFUNCTION("""COMPUTED_VALUE"""),45611.59517908565)</f>
        <v>45611.59518</v>
      </c>
      <c r="E1483" s="11" t="str">
        <f>IFERROR(__xludf.DUMMYFUNCTION("""COMPUTED_VALUE"""),"B JUAL - BELI")</f>
        <v>B JUAL - BELI</v>
      </c>
      <c r="F1483" s="11" t="str">
        <f>IFERROR(__xludf.DUMMYFUNCTION("""COMPUTED_VALUE"""),"HGB 1677/SUKARAME")</f>
        <v>HGB 1677/SUKARAME</v>
      </c>
      <c r="G1483" s="13">
        <f t="shared" si="1"/>
        <v>1257</v>
      </c>
      <c r="H1483" s="13" t="str">
        <f>IFERROR(__xludf.DUMMYFUNCTION("""COMPUTED_VALUE"""),"P0")</f>
        <v>P0</v>
      </c>
    </row>
    <row r="1484" ht="22.5" customHeight="1">
      <c r="B1484" s="17" t="str">
        <f>IFERROR(__xludf.DUMMYFUNCTION("""COMPUTED_VALUE"""),"K/44/151124/1")</f>
        <v>K/44/151124/1</v>
      </c>
      <c r="C1484" s="17" t="str">
        <f>IFERROR(__xludf.DUMMYFUNCTION("""COMPUTED_VALUE"""),"M. 344/ Bakung")</f>
        <v>M. 344/ Bakung</v>
      </c>
      <c r="D1484" s="17">
        <f>IFERROR(__xludf.DUMMYFUNCTION("""COMPUTED_VALUE"""),45611.59645877314)</f>
        <v>45611.59646</v>
      </c>
      <c r="E1484" s="11" t="str">
        <f>IFERROR(__xludf.DUMMYFUNCTION("""COMPUTED_VALUE"""),"Pemecahan")</f>
        <v>Pemecahan</v>
      </c>
      <c r="F1484" s="11" t="str">
        <f>IFERROR(__xludf.DUMMYFUNCTION("""COMPUTED_VALUE"""),"Wahyuni/ Arpan")</f>
        <v>Wahyuni/ Arpan</v>
      </c>
      <c r="G1484" s="13">
        <f t="shared" si="1"/>
        <v>1258</v>
      </c>
      <c r="H1484" s="13" t="str">
        <f>IFERROR(__xludf.DUMMYFUNCTION("""COMPUTED_VALUE"""),"P0")</f>
        <v>P0</v>
      </c>
    </row>
    <row r="1485" ht="22.5" customHeight="1">
      <c r="B1485" s="17" t="str">
        <f>IFERROR(__xludf.DUMMYFUNCTION("""COMPUTED_VALUE"""),"K/46/151124/1")</f>
        <v>K/46/151124/1</v>
      </c>
      <c r="C1485" s="17" t="str">
        <f>IFERROR(__xludf.DUMMYFUNCTION("""COMPUTED_VALUE"""),"M.10069/SIDODADI")</f>
        <v>M.10069/SIDODADI</v>
      </c>
      <c r="D1485" s="17">
        <f>IFERROR(__xludf.DUMMYFUNCTION("""COMPUTED_VALUE"""),45611.598602708335)</f>
        <v>45611.5986</v>
      </c>
      <c r="E1485" s="11" t="str">
        <f>IFERROR(__xludf.DUMMYFUNCTION("""COMPUTED_VALUE"""),"PLOTING")</f>
        <v>PLOTING</v>
      </c>
      <c r="F1485" s="11" t="str">
        <f>IFERROR(__xludf.DUMMYFUNCTION("""COMPUTED_VALUE"""),"BHERTA SRI EKO MURTININGSIH/NOVALIA EKA PUTRI")</f>
        <v>BHERTA SRI EKO MURTININGSIH/NOVALIA EKA PUTRI</v>
      </c>
      <c r="G1485" s="13">
        <f t="shared" si="1"/>
        <v>1259</v>
      </c>
      <c r="H1485" s="13" t="str">
        <f>IFERROR(__xludf.DUMMYFUNCTION("""COMPUTED_VALUE"""),"P0")</f>
        <v>P0</v>
      </c>
    </row>
    <row r="1486" ht="22.5" customHeight="1">
      <c r="B1486" s="17" t="str">
        <f>IFERROR(__xludf.DUMMYFUNCTION("""COMPUTED_VALUE"""),"L/53/151124/1")</f>
        <v>L/53/151124/1</v>
      </c>
      <c r="C1486" s="17" t="str">
        <f>IFERROR(__xludf.DUMMYFUNCTION("""COMPUTED_VALUE"""),"NIB 8621/SUMBEREJO K")</f>
        <v>NIB 8621/SUMBEREJO K</v>
      </c>
      <c r="D1486" s="17">
        <f>IFERROR(__xludf.DUMMYFUNCTION("""COMPUTED_VALUE"""),45611.60083675926)</f>
        <v>45611.60084</v>
      </c>
      <c r="E1486" s="11" t="str">
        <f>IFERROR(__xludf.DUMMYFUNCTION("""COMPUTED_VALUE"""),"GANDES")</f>
        <v>GANDES</v>
      </c>
      <c r="F1486" s="11" t="str">
        <f>IFERROR(__xludf.DUMMYFUNCTION("""COMPUTED_VALUE"""),"NELIYATI")</f>
        <v>NELIYATI</v>
      </c>
      <c r="G1486" s="13">
        <f t="shared" si="1"/>
        <v>1260</v>
      </c>
      <c r="H1486" s="13" t="str">
        <f>IFERROR(__xludf.DUMMYFUNCTION("""COMPUTED_VALUE"""),"P0")</f>
        <v>P0</v>
      </c>
    </row>
    <row r="1487" ht="22.5" customHeight="1">
      <c r="B1487" s="17" t="str">
        <f>IFERROR(__xludf.DUMMYFUNCTION("""COMPUTED_VALUE"""),"K/47/151124/1")</f>
        <v>K/47/151124/1</v>
      </c>
      <c r="C1487" s="17" t="str">
        <f>IFERROR(__xludf.DUMMYFUNCTION("""COMPUTED_VALUE"""),"M.2316/GUNUNG TERANG")</f>
        <v>M.2316/GUNUNG TERANG</v>
      </c>
      <c r="D1487" s="17">
        <f>IFERROR(__xludf.DUMMYFUNCTION("""COMPUTED_VALUE"""),45611.600867037036)</f>
        <v>45611.60087</v>
      </c>
      <c r="E1487" s="11" t="str">
        <f>IFERROR(__xludf.DUMMYFUNCTION("""COMPUTED_VALUE"""),"GANDES (PERBAIKAN DATA SU)")</f>
        <v>GANDES (PERBAIKAN DATA SU)</v>
      </c>
      <c r="F1487" s="11" t="str">
        <f>IFERROR(__xludf.DUMMYFUNCTION("""COMPUTED_VALUE"""),"AYES / SUNARSIH")</f>
        <v>AYES / SUNARSIH</v>
      </c>
      <c r="G1487" s="13">
        <f t="shared" si="1"/>
        <v>1261</v>
      </c>
      <c r="H1487" s="13" t="str">
        <f>IFERROR(__xludf.DUMMYFUNCTION("""COMPUTED_VALUE"""),"P0")</f>
        <v>P0</v>
      </c>
    </row>
    <row r="1488" ht="22.5" customHeight="1">
      <c r="B1488" s="17" t="str">
        <f>IFERROR(__xludf.DUMMYFUNCTION("""COMPUTED_VALUE"""),"K/57/151124/1")</f>
        <v>K/57/151124/1</v>
      </c>
      <c r="C1488" s="17" t="str">
        <f>IFERROR(__xludf.DUMMYFUNCTION("""COMPUTED_VALUE"""),"M.1183/SUMBER AGUNG")</f>
        <v>M.1183/SUMBER AGUNG</v>
      </c>
      <c r="D1488" s="17">
        <f>IFERROR(__xludf.DUMMYFUNCTION("""COMPUTED_VALUE"""),45611.61044871528)</f>
        <v>45611.61045</v>
      </c>
      <c r="E1488" s="11" t="str">
        <f>IFERROR(__xludf.DUMMYFUNCTION("""COMPUTED_VALUE"""),"PLOTING")</f>
        <v>PLOTING</v>
      </c>
      <c r="F1488" s="11" t="str">
        <f>IFERROR(__xludf.DUMMYFUNCTION("""COMPUTED_VALUE"""),"APRIL LISTIANI/THABRANI")</f>
        <v>APRIL LISTIANI/THABRANI</v>
      </c>
      <c r="G1488" s="13">
        <f t="shared" si="1"/>
        <v>1262</v>
      </c>
      <c r="H1488" s="13" t="str">
        <f>IFERROR(__xludf.DUMMYFUNCTION("""COMPUTED_VALUE"""),"P0")</f>
        <v>P0</v>
      </c>
    </row>
    <row r="1489" ht="22.5" customHeight="1">
      <c r="B1489" s="17" t="str">
        <f>IFERROR(__xludf.DUMMYFUNCTION("""COMPUTED_VALUE"""),"K/60/151124/2")</f>
        <v>K/60/151124/2</v>
      </c>
      <c r="C1489" s="17" t="str">
        <f>IFERROR(__xludf.DUMMYFUNCTION("""COMPUTED_VALUE"""),"M. 6414/ Gunung Sulah")</f>
        <v>M. 6414/ Gunung Sulah</v>
      </c>
      <c r="D1489" s="17">
        <f>IFERROR(__xludf.DUMMYFUNCTION("""COMPUTED_VALUE"""),45611.620110034724)</f>
        <v>45611.62011</v>
      </c>
      <c r="E1489" s="11" t="str">
        <f>IFERROR(__xludf.DUMMYFUNCTION("""COMPUTED_VALUE"""),"BN Jual Beli")</f>
        <v>BN Jual Beli</v>
      </c>
      <c r="F1489" s="11" t="str">
        <f>IFERROR(__xludf.DUMMYFUNCTION("""COMPUTED_VALUE"""),"Fahrul Rozi/ Zaini Nurman")</f>
        <v>Fahrul Rozi/ Zaini Nurman</v>
      </c>
      <c r="G1489" s="13">
        <f t="shared" si="1"/>
        <v>1263</v>
      </c>
      <c r="H1489" s="13" t="str">
        <f>IFERROR(__xludf.DUMMYFUNCTION("""COMPUTED_VALUE"""),"P0")</f>
        <v>P0</v>
      </c>
    </row>
    <row r="1490" ht="22.5" customHeight="1">
      <c r="B1490" s="17" t="str">
        <f>IFERROR(__xludf.DUMMYFUNCTION("""COMPUTED_VALUE"""),"K/59/151124/1")</f>
        <v>K/59/151124/1</v>
      </c>
      <c r="C1490" s="17" t="str">
        <f>IFERROR(__xludf.DUMMYFUNCTION("""COMPUTED_VALUE"""),"M. 6417/ Gunung Sulah")</f>
        <v>M. 6417/ Gunung Sulah</v>
      </c>
      <c r="D1490" s="17">
        <f>IFERROR(__xludf.DUMMYFUNCTION("""COMPUTED_VALUE"""),45611.621027615736)</f>
        <v>45611.62103</v>
      </c>
      <c r="E1490" s="11" t="str">
        <f>IFERROR(__xludf.DUMMYFUNCTION("""COMPUTED_VALUE"""),"BN Jual Beli")</f>
        <v>BN Jual Beli</v>
      </c>
      <c r="F1490" s="11" t="str">
        <f>IFERROR(__xludf.DUMMYFUNCTION("""COMPUTED_VALUE"""),"Fahrul Rozi/ Zaini Nurman")</f>
        <v>Fahrul Rozi/ Zaini Nurman</v>
      </c>
      <c r="G1490" s="13">
        <f t="shared" si="1"/>
        <v>1264</v>
      </c>
      <c r="H1490" s="13" t="str">
        <f>IFERROR(__xludf.DUMMYFUNCTION("""COMPUTED_VALUE"""),"P0")</f>
        <v>P0</v>
      </c>
    </row>
    <row r="1491" ht="22.5" customHeight="1">
      <c r="B1491" s="17" t="str">
        <f>IFERROR(__xludf.DUMMYFUNCTION("""COMPUTED_VALUE"""),"K/58/151124/1")</f>
        <v>K/58/151124/1</v>
      </c>
      <c r="C1491" s="17" t="str">
        <f>IFERROR(__xludf.DUMMYFUNCTION("""COMPUTED_VALUE"""),"M. 213/ K B K")</f>
        <v>M. 213/ K B K</v>
      </c>
      <c r="D1491" s="17">
        <f>IFERROR(__xludf.DUMMYFUNCTION("""COMPUTED_VALUE"""),45611.621853564815)</f>
        <v>45611.62185</v>
      </c>
      <c r="E1491" s="11" t="str">
        <f>IFERROR(__xludf.DUMMYFUNCTION("""COMPUTED_VALUE"""),"BN Waris")</f>
        <v>BN Waris</v>
      </c>
      <c r="F1491" s="11" t="str">
        <f>IFERROR(__xludf.DUMMYFUNCTION("""COMPUTED_VALUE"""),"Reflan R/ Antika d CS")</f>
        <v>Reflan R/ Antika d CS</v>
      </c>
      <c r="G1491" s="13">
        <f t="shared" si="1"/>
        <v>1265</v>
      </c>
      <c r="H1491" s="13" t="str">
        <f>IFERROR(__xludf.DUMMYFUNCTION("""COMPUTED_VALUE"""),"P0")</f>
        <v>P0</v>
      </c>
    </row>
    <row r="1492" ht="22.5" customHeight="1">
      <c r="B1492" s="17" t="str">
        <f>IFERROR(__xludf.DUMMYFUNCTION("""COMPUTED_VALUE"""),"K/54/151124/1")</f>
        <v>K/54/151124/1</v>
      </c>
      <c r="C1492" s="17" t="str">
        <f>IFERROR(__xludf.DUMMYFUNCTION("""COMPUTED_VALUE"""),"M. 1646/ Negeri Olok Gading")</f>
        <v>M. 1646/ Negeri Olok Gading</v>
      </c>
      <c r="D1492" s="17">
        <f>IFERROR(__xludf.DUMMYFUNCTION("""COMPUTED_VALUE"""),45611.623095312505)</f>
        <v>45611.6231</v>
      </c>
      <c r="E1492" s="11" t="str">
        <f>IFERROR(__xludf.DUMMYFUNCTION("""COMPUTED_VALUE"""),"BN Jual Beli")</f>
        <v>BN Jual Beli</v>
      </c>
      <c r="F1492" s="11" t="str">
        <f>IFERROR(__xludf.DUMMYFUNCTION("""COMPUTED_VALUE"""),"Maryanti K/ Lidya C J")</f>
        <v>Maryanti K/ Lidya C J</v>
      </c>
      <c r="G1492" s="13">
        <f t="shared" si="1"/>
        <v>1266</v>
      </c>
      <c r="H1492" s="13" t="str">
        <f>IFERROR(__xludf.DUMMYFUNCTION("""COMPUTED_VALUE"""),"P0")</f>
        <v>P0</v>
      </c>
    </row>
    <row r="1493" ht="22.5" customHeight="1">
      <c r="B1493" s="17" t="str">
        <f>IFERROR(__xludf.DUMMYFUNCTION("""COMPUTED_VALUE"""),"K/55/151124/2")</f>
        <v>K/55/151124/2</v>
      </c>
      <c r="C1493" s="17" t="str">
        <f>IFERROR(__xludf.DUMMYFUNCTION("""COMPUTED_VALUE"""),"M. 1806/ Way Gubak")</f>
        <v>M. 1806/ Way Gubak</v>
      </c>
      <c r="D1493" s="17">
        <f>IFERROR(__xludf.DUMMYFUNCTION("""COMPUTED_VALUE"""),45611.62408574074)</f>
        <v>45611.62409</v>
      </c>
      <c r="E1493" s="11" t="str">
        <f>IFERROR(__xludf.DUMMYFUNCTION("""COMPUTED_VALUE"""),"Penataan Batas")</f>
        <v>Penataan Batas</v>
      </c>
      <c r="F1493" s="11" t="str">
        <f>IFERROR(__xludf.DUMMYFUNCTION("""COMPUTED_VALUE"""),"Maryanti K/ Netty")</f>
        <v>Maryanti K/ Netty</v>
      </c>
      <c r="G1493" s="13">
        <f t="shared" si="1"/>
        <v>1267</v>
      </c>
      <c r="H1493" s="13" t="str">
        <f>IFERROR(__xludf.DUMMYFUNCTION("""COMPUTED_VALUE"""),"P0")</f>
        <v>P0</v>
      </c>
    </row>
    <row r="1494" ht="22.5" customHeight="1">
      <c r="B1494" s="17" t="str">
        <f>IFERROR(__xludf.DUMMYFUNCTION("""COMPUTED_VALUE"""),"K/56/151124/3")</f>
        <v>K/56/151124/3</v>
      </c>
      <c r="C1494" s="17" t="str">
        <f>IFERROR(__xludf.DUMMYFUNCTION("""COMPUTED_VALUE"""),"M. 663/ Way Gubak")</f>
        <v>M. 663/ Way Gubak</v>
      </c>
      <c r="D1494" s="17">
        <f>IFERROR(__xludf.DUMMYFUNCTION("""COMPUTED_VALUE"""),45611.629504930555)</f>
        <v>45611.6295</v>
      </c>
      <c r="E1494" s="11" t="str">
        <f>IFERROR(__xludf.DUMMYFUNCTION("""COMPUTED_VALUE"""),"Pentaan Batas")</f>
        <v>Pentaan Batas</v>
      </c>
      <c r="F1494" s="11" t="str">
        <f>IFERROR(__xludf.DUMMYFUNCTION("""COMPUTED_VALUE"""),"Maryanti K/ Harun")</f>
        <v>Maryanti K/ Harun</v>
      </c>
      <c r="G1494" s="13">
        <f t="shared" si="1"/>
        <v>1268</v>
      </c>
      <c r="H1494" s="13" t="str">
        <f>IFERROR(__xludf.DUMMYFUNCTION("""COMPUTED_VALUE"""),"P0")</f>
        <v>P0</v>
      </c>
    </row>
    <row r="1495" ht="22.5" customHeight="1">
      <c r="B1495" s="17" t="str">
        <f>IFERROR(__xludf.DUMMYFUNCTION("""COMPUTED_VALUE"""),"K/49/151124/2")</f>
        <v>K/49/151124/2</v>
      </c>
      <c r="C1495" s="17" t="str">
        <f>IFERROR(__xludf.DUMMYFUNCTION("""COMPUTED_VALUE"""),"M. 6396/ Gunung Sulah")</f>
        <v>M. 6396/ Gunung Sulah</v>
      </c>
      <c r="D1495" s="17">
        <f>IFERROR(__xludf.DUMMYFUNCTION("""COMPUTED_VALUE"""),45611.63144537037)</f>
        <v>45611.63145</v>
      </c>
      <c r="E1495" s="11" t="str">
        <f>IFERROR(__xludf.DUMMYFUNCTION("""COMPUTED_VALUE"""),"BN Jual Beli")</f>
        <v>BN Jual Beli</v>
      </c>
      <c r="F1495" s="11" t="str">
        <f>IFERROR(__xludf.DUMMYFUNCTION("""COMPUTED_VALUE"""),"Fahrul R/ Zaini N")</f>
        <v>Fahrul R/ Zaini N</v>
      </c>
      <c r="G1495" s="13">
        <f t="shared" si="1"/>
        <v>1269</v>
      </c>
      <c r="H1495" s="13" t="str">
        <f>IFERROR(__xludf.DUMMYFUNCTION("""COMPUTED_VALUE"""),"P0")</f>
        <v>P0</v>
      </c>
    </row>
    <row r="1496" ht="22.5" customHeight="1">
      <c r="B1496" s="17" t="str">
        <f>IFERROR(__xludf.DUMMYFUNCTION("""COMPUTED_VALUE"""),"K/48/151124/1")</f>
        <v>K/48/151124/1</v>
      </c>
      <c r="C1496" s="17" t="str">
        <f>IFERROR(__xludf.DUMMYFUNCTION("""COMPUTED_VALUE"""),"M. 6411/ Gunung Sulah")</f>
        <v>M. 6411/ Gunung Sulah</v>
      </c>
      <c r="D1496" s="17">
        <f>IFERROR(__xludf.DUMMYFUNCTION("""COMPUTED_VALUE"""),45611.63247314814)</f>
        <v>45611.63247</v>
      </c>
      <c r="E1496" s="11" t="str">
        <f>IFERROR(__xludf.DUMMYFUNCTION("""COMPUTED_VALUE"""),"BN Jual Beli")</f>
        <v>BN Jual Beli</v>
      </c>
      <c r="F1496" s="11" t="str">
        <f>IFERROR(__xludf.DUMMYFUNCTION("""COMPUTED_VALUE"""),"Fahrul Rozi/ Zaini M")</f>
        <v>Fahrul Rozi/ Zaini M</v>
      </c>
      <c r="G1496" s="13">
        <f t="shared" si="1"/>
        <v>1270</v>
      </c>
      <c r="H1496" s="13" t="str">
        <f>IFERROR(__xludf.DUMMYFUNCTION("""COMPUTED_VALUE"""),"P0")</f>
        <v>P0</v>
      </c>
    </row>
    <row r="1497" ht="22.5" customHeight="1">
      <c r="B1497" s="17" t="str">
        <f>IFERROR(__xludf.DUMMYFUNCTION("""COMPUTED_VALUE"""),"K/50/151124/3")</f>
        <v>K/50/151124/3</v>
      </c>
      <c r="C1497" s="17" t="str">
        <f>IFERROR(__xludf.DUMMYFUNCTION("""COMPUTED_VALUE"""),"M. 6408/ Gunung Sulah")</f>
        <v>M. 6408/ Gunung Sulah</v>
      </c>
      <c r="D1497" s="17">
        <f>IFERROR(__xludf.DUMMYFUNCTION("""COMPUTED_VALUE"""),45611.63311850694)</f>
        <v>45611.63312</v>
      </c>
      <c r="E1497" s="11" t="str">
        <f>IFERROR(__xludf.DUMMYFUNCTION("""COMPUTED_VALUE"""),"BN Jual Beli")</f>
        <v>BN Jual Beli</v>
      </c>
      <c r="F1497" s="11" t="str">
        <f>IFERROR(__xludf.DUMMYFUNCTION("""COMPUTED_VALUE"""),"Fahrul R/ Zaini M")</f>
        <v>Fahrul R/ Zaini M</v>
      </c>
      <c r="G1497" s="13">
        <f t="shared" si="1"/>
        <v>1271</v>
      </c>
      <c r="H1497" s="13" t="str">
        <f>IFERROR(__xludf.DUMMYFUNCTION("""COMPUTED_VALUE"""),"P0")</f>
        <v>P0</v>
      </c>
    </row>
    <row r="1498" ht="22.5" customHeight="1">
      <c r="B1498" s="17" t="str">
        <f>IFERROR(__xludf.DUMMYFUNCTION("""COMPUTED_VALUE"""),"K/51/151124/4")</f>
        <v>K/51/151124/4</v>
      </c>
      <c r="C1498" s="17" t="str">
        <f>IFERROR(__xludf.DUMMYFUNCTION("""COMPUTED_VALUE"""),"M. 6415/ Gunung Sulah")</f>
        <v>M. 6415/ Gunung Sulah</v>
      </c>
      <c r="D1498" s="17">
        <f>IFERROR(__xludf.DUMMYFUNCTION("""COMPUTED_VALUE"""),45611.633786666665)</f>
        <v>45611.63379</v>
      </c>
      <c r="E1498" s="11" t="str">
        <f>IFERROR(__xludf.DUMMYFUNCTION("""COMPUTED_VALUE"""),"BN Jual Beli")</f>
        <v>BN Jual Beli</v>
      </c>
      <c r="F1498" s="11" t="str">
        <f>IFERROR(__xludf.DUMMYFUNCTION("""COMPUTED_VALUE"""),"Fahrul R/ Zaini M")</f>
        <v>Fahrul R/ Zaini M</v>
      </c>
      <c r="G1498" s="13">
        <f t="shared" si="1"/>
        <v>1272</v>
      </c>
      <c r="H1498" s="13" t="str">
        <f>IFERROR(__xludf.DUMMYFUNCTION("""COMPUTED_VALUE"""),"P0")</f>
        <v>P0</v>
      </c>
    </row>
    <row r="1499" ht="22.5" customHeight="1">
      <c r="B1499" s="17" t="str">
        <f>IFERROR(__xludf.DUMMYFUNCTION("""COMPUTED_VALUE"""),"K/52/151124/5")</f>
        <v>K/52/151124/5</v>
      </c>
      <c r="C1499" s="17" t="str">
        <f>IFERROR(__xludf.DUMMYFUNCTION("""COMPUTED_VALUE"""),"M. 6416/ Gunung Sulah")</f>
        <v>M. 6416/ Gunung Sulah</v>
      </c>
      <c r="D1499" s="17">
        <f>IFERROR(__xludf.DUMMYFUNCTION("""COMPUTED_VALUE"""),45611.63507621527)</f>
        <v>45611.63508</v>
      </c>
      <c r="E1499" s="11" t="str">
        <f>IFERROR(__xludf.DUMMYFUNCTION("""COMPUTED_VALUE"""),"BN Jual Beli")</f>
        <v>BN Jual Beli</v>
      </c>
      <c r="F1499" s="11" t="str">
        <f>IFERROR(__xludf.DUMMYFUNCTION("""COMPUTED_VALUE"""),"Fahrul R/ Zaini N")</f>
        <v>Fahrul R/ Zaini N</v>
      </c>
      <c r="G1499" s="13">
        <f t="shared" si="1"/>
        <v>1273</v>
      </c>
      <c r="H1499" s="13" t="str">
        <f>IFERROR(__xludf.DUMMYFUNCTION("""COMPUTED_VALUE"""),"P0")</f>
        <v>P0</v>
      </c>
    </row>
    <row r="1500" ht="22.5" customHeight="1">
      <c r="B1500" s="17" t="str">
        <f>IFERROR(__xludf.DUMMYFUNCTION("""COMPUTED_VALUE"""),"K/61/151124/2")</f>
        <v>K/61/151124/2</v>
      </c>
      <c r="C1500" s="17" t="str">
        <f>IFERROR(__xludf.DUMMYFUNCTION("""COMPUTED_VALUE"""),"M. 1429/ Tanjung Gading")</f>
        <v>M. 1429/ Tanjung Gading</v>
      </c>
      <c r="D1500" s="17">
        <f>IFERROR(__xludf.DUMMYFUNCTION("""COMPUTED_VALUE"""),45611.638114699075)</f>
        <v>45611.63811</v>
      </c>
      <c r="E1500" s="11" t="str">
        <f>IFERROR(__xludf.DUMMYFUNCTION("""COMPUTED_VALUE"""),"BN Hibah")</f>
        <v>BN Hibah</v>
      </c>
      <c r="F1500" s="11" t="str">
        <f>IFERROR(__xludf.DUMMYFUNCTION("""COMPUTED_VALUE"""),"Reflan R/ Andi A S J")</f>
        <v>Reflan R/ Andi A S J</v>
      </c>
      <c r="G1500" s="13">
        <f t="shared" si="1"/>
        <v>1274</v>
      </c>
      <c r="H1500" s="13" t="str">
        <f>IFERROR(__xludf.DUMMYFUNCTION("""COMPUTED_VALUE"""),"P0")</f>
        <v>P0</v>
      </c>
    </row>
    <row r="1501" ht="22.5" customHeight="1">
      <c r="B1501" s="17" t="str">
        <f>IFERROR(__xludf.DUMMYFUNCTION("""COMPUTED_VALUE"""),"K/62/151124/3")</f>
        <v>K/62/151124/3</v>
      </c>
      <c r="C1501" s="17" t="str">
        <f>IFERROR(__xludf.DUMMYFUNCTION("""COMPUTED_VALUE"""),"M. 1430/ Tanjung Gading")</f>
        <v>M. 1430/ Tanjung Gading</v>
      </c>
      <c r="D1501" s="17">
        <f>IFERROR(__xludf.DUMMYFUNCTION("""COMPUTED_VALUE"""),45611.63930766204)</f>
        <v>45611.63931</v>
      </c>
      <c r="E1501" s="11" t="str">
        <f>IFERROR(__xludf.DUMMYFUNCTION("""COMPUTED_VALUE"""),"BN Hibah")</f>
        <v>BN Hibah</v>
      </c>
      <c r="F1501" s="11" t="str">
        <f>IFERROR(__xludf.DUMMYFUNCTION("""COMPUTED_VALUE"""),"Reflan R/ Andi A SJ")</f>
        <v>Reflan R/ Andi A SJ</v>
      </c>
      <c r="G1501" s="13">
        <f t="shared" si="1"/>
        <v>1275</v>
      </c>
      <c r="H1501" s="13" t="str">
        <f>IFERROR(__xludf.DUMMYFUNCTION("""COMPUTED_VALUE"""),"P0")</f>
        <v>P0</v>
      </c>
    </row>
    <row r="1502" ht="22.5" customHeight="1">
      <c r="B1502" s="17" t="str">
        <f>IFERROR(__xludf.DUMMYFUNCTION("""COMPUTED_VALUE"""),"L/1/161124/1")</f>
        <v>L/1/161124/1</v>
      </c>
      <c r="C1502" s="17" t="str">
        <f>IFERROR(__xludf.DUMMYFUNCTION("""COMPUTED_VALUE"""),"NIB 3420/TANJUNG SENANG")</f>
        <v>NIB 3420/TANJUNG SENANG</v>
      </c>
      <c r="D1502" s="17">
        <f>IFERROR(__xludf.DUMMYFUNCTION("""COMPUTED_VALUE"""),45612.38727041667)</f>
        <v>45612.38727</v>
      </c>
      <c r="E1502" s="11" t="str">
        <f>IFERROR(__xludf.DUMMYFUNCTION("""COMPUTED_VALUE"""),"BN LELANG")</f>
        <v>BN LELANG</v>
      </c>
      <c r="F1502" s="11" t="str">
        <f>IFERROR(__xludf.DUMMYFUNCTION("""COMPUTED_VALUE"""),"SANDY BERIA")</f>
        <v>SANDY BERIA</v>
      </c>
      <c r="G1502" s="13">
        <f t="shared" si="1"/>
        <v>1276</v>
      </c>
      <c r="H1502" s="13" t="str">
        <f>IFERROR(__xludf.DUMMYFUNCTION("""COMPUTED_VALUE"""),"P0")</f>
        <v>P0</v>
      </c>
    </row>
    <row r="1503" ht="22.5" customHeight="1">
      <c r="B1503" s="17" t="str">
        <f>IFERROR(__xludf.DUMMYFUNCTION("""COMPUTED_VALUE"""),"L/2/161124/1")</f>
        <v>L/2/161124/1</v>
      </c>
      <c r="C1503" s="17" t="str">
        <f>IFERROR(__xludf.DUMMYFUNCTION("""COMPUTED_VALUE"""),"HM 10314/SUKABUMI")</f>
        <v>HM 10314/SUKABUMI</v>
      </c>
      <c r="D1503" s="17">
        <f>IFERROR(__xludf.DUMMYFUNCTION("""COMPUTED_VALUE"""),45612.41471449074)</f>
        <v>45612.41471</v>
      </c>
      <c r="E1503" s="11" t="str">
        <f>IFERROR(__xludf.DUMMYFUNCTION("""COMPUTED_VALUE"""),"PEMECAHAN")</f>
        <v>PEMECAHAN</v>
      </c>
      <c r="F1503" s="11" t="str">
        <f>IFERROR(__xludf.DUMMYFUNCTION("""COMPUTED_VALUE"""),"SAIFUL FITRI")</f>
        <v>SAIFUL FITRI</v>
      </c>
      <c r="G1503" s="13">
        <f t="shared" si="1"/>
        <v>1277</v>
      </c>
      <c r="H1503" s="13" t="str">
        <f>IFERROR(__xludf.DUMMYFUNCTION("""COMPUTED_VALUE"""),"P0")</f>
        <v>P0</v>
      </c>
    </row>
    <row r="1504" ht="22.5" customHeight="1">
      <c r="B1504" s="17" t="str">
        <f>IFERROR(__xludf.DUMMYFUNCTION("""COMPUTED_VALUE"""),"L/3/161124/1")</f>
        <v>L/3/161124/1</v>
      </c>
      <c r="C1504" s="17" t="str">
        <f>IFERROR(__xludf.DUMMYFUNCTION("""COMPUTED_VALUE"""),"NIB 2757/GUNTER")</f>
        <v>NIB 2757/GUNTER</v>
      </c>
      <c r="D1504" s="17">
        <f>IFERROR(__xludf.DUMMYFUNCTION("""COMPUTED_VALUE"""),45612.46867584491)</f>
        <v>45612.46868</v>
      </c>
      <c r="E1504" s="11" t="str">
        <f>IFERROR(__xludf.DUMMYFUNCTION("""COMPUTED_VALUE"""),"BN LELANG")</f>
        <v>BN LELANG</v>
      </c>
      <c r="F1504" s="11" t="str">
        <f>IFERROR(__xludf.DUMMYFUNCTION("""COMPUTED_VALUE"""),"PRA RIZKA")</f>
        <v>PRA RIZKA</v>
      </c>
      <c r="G1504" s="13">
        <f t="shared" si="1"/>
        <v>1278</v>
      </c>
      <c r="H1504" s="13" t="str">
        <f>IFERROR(__xludf.DUMMYFUNCTION("""COMPUTED_VALUE"""),"P0")</f>
        <v>P0</v>
      </c>
    </row>
    <row r="1505" ht="22.5" customHeight="1">
      <c r="B1505" s="17" t="str">
        <f>IFERROR(__xludf.DUMMYFUNCTION("""COMPUTED_VALUE"""),"L/4/161124/1")</f>
        <v>L/4/161124/1</v>
      </c>
      <c r="C1505" s="17" t="str">
        <f>IFERROR(__xludf.DUMMYFUNCTION("""COMPUTED_VALUE"""),"HGB 50/DURIAN PAYUNG")</f>
        <v>HGB 50/DURIAN PAYUNG</v>
      </c>
      <c r="D1505" s="17">
        <f>IFERROR(__xludf.DUMMYFUNCTION("""COMPUTED_VALUE"""),45612.486527789355)</f>
        <v>45612.48653</v>
      </c>
      <c r="E1505" s="11" t="str">
        <f>IFERROR(__xludf.DUMMYFUNCTION("""COMPUTED_VALUE"""),"ROYA")</f>
        <v>ROYA</v>
      </c>
      <c r="F1505" s="11" t="str">
        <f>IFERROR(__xludf.DUMMYFUNCTION("""COMPUTED_VALUE"""),"FRIMANSYAH CHANDERA")</f>
        <v>FRIMANSYAH CHANDERA</v>
      </c>
      <c r="G1505" s="13">
        <f t="shared" si="1"/>
        <v>1279</v>
      </c>
      <c r="H1505" s="13" t="str">
        <f>IFERROR(__xludf.DUMMYFUNCTION("""COMPUTED_VALUE"""),"P0")</f>
        <v>P0</v>
      </c>
    </row>
    <row r="1506" ht="22.5" customHeight="1">
      <c r="B1506" s="17" t="str">
        <f>IFERROR(__xludf.DUMMYFUNCTION("""COMPUTED_VALUE"""),"L/5/161124/1")</f>
        <v>L/5/161124/1</v>
      </c>
      <c r="C1506" s="17" t="str">
        <f>IFERROR(__xludf.DUMMYFUNCTION("""COMPUTED_VALUE"""),"HM 691/DURIAN PAYUNG")</f>
        <v>HM 691/DURIAN PAYUNG</v>
      </c>
      <c r="D1506" s="17">
        <f>IFERROR(__xludf.DUMMYFUNCTION("""COMPUTED_VALUE"""),45612.490200706015)</f>
        <v>45612.4902</v>
      </c>
      <c r="E1506" s="11" t="str">
        <f>IFERROR(__xludf.DUMMYFUNCTION("""COMPUTED_VALUE"""),"ROYA")</f>
        <v>ROYA</v>
      </c>
      <c r="F1506" s="11" t="str">
        <f>IFERROR(__xludf.DUMMYFUNCTION("""COMPUTED_VALUE"""),"FIRMANSYAH CHANDRA")</f>
        <v>FIRMANSYAH CHANDRA</v>
      </c>
      <c r="G1506" s="13">
        <f t="shared" si="1"/>
        <v>1280</v>
      </c>
      <c r="H1506" s="13" t="str">
        <f>IFERROR(__xludf.DUMMYFUNCTION("""COMPUTED_VALUE"""),"P0")</f>
        <v>P0</v>
      </c>
    </row>
    <row r="1507" ht="22.5" customHeight="1">
      <c r="B1507" s="17" t="str">
        <f>IFERROR(__xludf.DUMMYFUNCTION("""COMPUTED_VALUE"""),"L/1/171125/1")</f>
        <v>L/1/171125/1</v>
      </c>
      <c r="C1507" s="17" t="str">
        <f>IFERROR(__xludf.DUMMYFUNCTION("""COMPUTED_VALUE"""),"B. 1356/TANJUNG SENENG")</f>
        <v>B. 1356/TANJUNG SENENG</v>
      </c>
      <c r="D1507" s="17">
        <f>IFERROR(__xludf.DUMMYFUNCTION("""COMPUTED_VALUE"""),45613.434333321755)</f>
        <v>45613.43433</v>
      </c>
      <c r="E1507" s="11" t="str">
        <f>IFERROR(__xludf.DUMMYFUNCTION("""COMPUTED_VALUE"""),"SKPT INFORMASI")</f>
        <v>SKPT INFORMASI</v>
      </c>
      <c r="F1507" s="11" t="str">
        <f>IFERROR(__xludf.DUMMYFUNCTION("""COMPUTED_VALUE"""),"MOH SOCHIB HIDAYATULLAH")</f>
        <v>MOH SOCHIB HIDAYATULLAH</v>
      </c>
      <c r="G1507" s="13">
        <f t="shared" si="1"/>
        <v>1281</v>
      </c>
      <c r="H1507" s="13" t="str">
        <f>IFERROR(__xludf.DUMMYFUNCTION("""COMPUTED_VALUE"""),"P0")</f>
        <v>P0</v>
      </c>
    </row>
    <row r="1508" ht="22.5" customHeight="1">
      <c r="B1508" s="17"/>
      <c r="C1508" s="17"/>
      <c r="D1508" s="13"/>
      <c r="E1508" s="11"/>
      <c r="F1508" s="11"/>
      <c r="G1508" s="13">
        <f t="shared" si="1"/>
        <v>1281</v>
      </c>
      <c r="H1508" s="13"/>
    </row>
    <row r="1509" ht="22.5" customHeight="1">
      <c r="B1509" s="17"/>
      <c r="C1509" s="17"/>
      <c r="D1509" s="13"/>
      <c r="E1509" s="11"/>
      <c r="F1509" s="11"/>
      <c r="G1509" s="13">
        <f t="shared" si="1"/>
        <v>1281</v>
      </c>
      <c r="H1509" s="13"/>
    </row>
    <row r="1510" ht="22.5" customHeight="1">
      <c r="B1510" s="17"/>
      <c r="C1510" s="17"/>
      <c r="D1510" s="13"/>
      <c r="E1510" s="11"/>
      <c r="F1510" s="11"/>
      <c r="G1510" s="13">
        <f t="shared" si="1"/>
        <v>1281</v>
      </c>
      <c r="H1510" s="13"/>
    </row>
    <row r="1511" ht="22.5" customHeight="1">
      <c r="B1511" s="17"/>
      <c r="C1511" s="17"/>
      <c r="D1511" s="13"/>
      <c r="E1511" s="11"/>
      <c r="F1511" s="11"/>
      <c r="G1511" s="13">
        <f t="shared" si="1"/>
        <v>1281</v>
      </c>
      <c r="H1511" s="13"/>
    </row>
    <row r="1512" ht="22.5" customHeight="1">
      <c r="B1512" s="17"/>
      <c r="C1512" s="17"/>
      <c r="D1512" s="13"/>
      <c r="E1512" s="11"/>
      <c r="F1512" s="11"/>
      <c r="G1512" s="13">
        <f t="shared" si="1"/>
        <v>1281</v>
      </c>
      <c r="H1512" s="13"/>
    </row>
    <row r="1513" ht="22.5" customHeight="1">
      <c r="B1513" s="17"/>
      <c r="C1513" s="17"/>
      <c r="D1513" s="13"/>
      <c r="E1513" s="11"/>
      <c r="F1513" s="11"/>
      <c r="G1513" s="13">
        <f t="shared" si="1"/>
        <v>1281</v>
      </c>
      <c r="H1513" s="13"/>
    </row>
    <row r="1514" ht="22.5" customHeight="1">
      <c r="B1514" s="17"/>
      <c r="C1514" s="17"/>
      <c r="D1514" s="13"/>
      <c r="E1514" s="11"/>
      <c r="F1514" s="11"/>
      <c r="G1514" s="13">
        <f t="shared" si="1"/>
        <v>1281</v>
      </c>
      <c r="H1514" s="13"/>
    </row>
    <row r="1515" ht="22.5" customHeight="1">
      <c r="B1515" s="17"/>
      <c r="C1515" s="17"/>
      <c r="D1515" s="13"/>
      <c r="E1515" s="11"/>
      <c r="F1515" s="11"/>
      <c r="G1515" s="13">
        <f t="shared" si="1"/>
        <v>1281</v>
      </c>
      <c r="H1515" s="13"/>
    </row>
    <row r="1516" ht="22.5" customHeight="1">
      <c r="B1516" s="17"/>
      <c r="C1516" s="17"/>
      <c r="D1516" s="13"/>
      <c r="E1516" s="11"/>
      <c r="F1516" s="11"/>
      <c r="G1516" s="13">
        <f t="shared" si="1"/>
        <v>1281</v>
      </c>
      <c r="H1516" s="13"/>
    </row>
    <row r="1517" ht="22.5" customHeight="1">
      <c r="B1517" s="17"/>
      <c r="C1517" s="17"/>
      <c r="D1517" s="13"/>
      <c r="E1517" s="11"/>
      <c r="F1517" s="11"/>
      <c r="G1517" s="13">
        <f t="shared" si="1"/>
        <v>1281</v>
      </c>
      <c r="H1517" s="13"/>
    </row>
    <row r="1518" ht="22.5" customHeight="1">
      <c r="B1518" s="17"/>
      <c r="C1518" s="17"/>
      <c r="D1518" s="13"/>
      <c r="E1518" s="11"/>
      <c r="F1518" s="11"/>
      <c r="G1518" s="13">
        <f t="shared" si="1"/>
        <v>1281</v>
      </c>
      <c r="H1518" s="13"/>
    </row>
    <row r="1519" ht="22.5" customHeight="1">
      <c r="B1519" s="17"/>
      <c r="C1519" s="17"/>
      <c r="D1519" s="13"/>
      <c r="E1519" s="11"/>
      <c r="F1519" s="11"/>
      <c r="G1519" s="13">
        <f t="shared" si="1"/>
        <v>1281</v>
      </c>
      <c r="H1519" s="13"/>
    </row>
    <row r="1520" ht="22.5" customHeight="1">
      <c r="B1520" s="17"/>
      <c r="C1520" s="17"/>
      <c r="D1520" s="13"/>
      <c r="E1520" s="11"/>
      <c r="F1520" s="11"/>
      <c r="G1520" s="13">
        <f t="shared" si="1"/>
        <v>1281</v>
      </c>
      <c r="H1520" s="13"/>
    </row>
    <row r="1521" ht="22.5" customHeight="1">
      <c r="B1521" s="17"/>
      <c r="C1521" s="17"/>
      <c r="D1521" s="13"/>
      <c r="E1521" s="11"/>
      <c r="F1521" s="11"/>
      <c r="G1521" s="13">
        <f t="shared" si="1"/>
        <v>1281</v>
      </c>
      <c r="H1521" s="13"/>
    </row>
    <row r="1522" ht="22.5" customHeight="1">
      <c r="B1522" s="17"/>
      <c r="C1522" s="17"/>
      <c r="D1522" s="13"/>
      <c r="E1522" s="11"/>
      <c r="F1522" s="11"/>
      <c r="G1522" s="13">
        <f t="shared" si="1"/>
        <v>1281</v>
      </c>
      <c r="H1522" s="13"/>
    </row>
    <row r="1523" ht="22.5" customHeight="1">
      <c r="B1523" s="17"/>
      <c r="C1523" s="17"/>
      <c r="D1523" s="13"/>
      <c r="E1523" s="11"/>
      <c r="F1523" s="11"/>
      <c r="G1523" s="13">
        <f t="shared" si="1"/>
        <v>1281</v>
      </c>
      <c r="H1523" s="13"/>
    </row>
    <row r="1524" ht="22.5" customHeight="1">
      <c r="B1524" s="17"/>
      <c r="C1524" s="17"/>
      <c r="D1524" s="13"/>
      <c r="E1524" s="11"/>
      <c r="F1524" s="11"/>
      <c r="G1524" s="13">
        <f t="shared" si="1"/>
        <v>1281</v>
      </c>
      <c r="H1524" s="13"/>
    </row>
    <row r="1525" ht="22.5" customHeight="1">
      <c r="B1525" s="17"/>
      <c r="C1525" s="17"/>
      <c r="D1525" s="13"/>
      <c r="E1525" s="11"/>
      <c r="F1525" s="11"/>
      <c r="G1525" s="13">
        <f t="shared" si="1"/>
        <v>1281</v>
      </c>
      <c r="H1525" s="13"/>
    </row>
    <row r="1526" ht="22.5" customHeight="1">
      <c r="B1526" s="17"/>
      <c r="C1526" s="17"/>
      <c r="D1526" s="13"/>
      <c r="E1526" s="11"/>
      <c r="F1526" s="11"/>
      <c r="G1526" s="13">
        <f t="shared" si="1"/>
        <v>1281</v>
      </c>
      <c r="H1526" s="13"/>
    </row>
    <row r="1527" ht="22.5" customHeight="1">
      <c r="B1527" s="17"/>
      <c r="C1527" s="17"/>
      <c r="D1527" s="13"/>
      <c r="E1527" s="11"/>
      <c r="F1527" s="11"/>
      <c r="G1527" s="13">
        <f t="shared" si="1"/>
        <v>1281</v>
      </c>
      <c r="H1527" s="13"/>
    </row>
    <row r="1528" ht="22.5" customHeight="1">
      <c r="B1528" s="17"/>
      <c r="C1528" s="17"/>
      <c r="D1528" s="13"/>
      <c r="E1528" s="11"/>
      <c r="F1528" s="11"/>
      <c r="G1528" s="13">
        <f t="shared" si="1"/>
        <v>1281</v>
      </c>
      <c r="H1528" s="13"/>
    </row>
    <row r="1529" ht="22.5" customHeight="1">
      <c r="B1529" s="17"/>
      <c r="C1529" s="17"/>
      <c r="D1529" s="13"/>
      <c r="E1529" s="11"/>
      <c r="F1529" s="11"/>
      <c r="G1529" s="13">
        <f t="shared" si="1"/>
        <v>1281</v>
      </c>
      <c r="H1529" s="13"/>
    </row>
    <row r="1530" ht="22.5" customHeight="1">
      <c r="B1530" s="17"/>
      <c r="C1530" s="17"/>
      <c r="D1530" s="13"/>
      <c r="E1530" s="11"/>
      <c r="F1530" s="11"/>
      <c r="G1530" s="13">
        <f t="shared" si="1"/>
        <v>1281</v>
      </c>
      <c r="H1530" s="13"/>
    </row>
    <row r="1531" ht="22.5" customHeight="1">
      <c r="B1531" s="17"/>
      <c r="C1531" s="17"/>
      <c r="D1531" s="13"/>
      <c r="E1531" s="11"/>
      <c r="F1531" s="11"/>
      <c r="G1531" s="13">
        <f t="shared" si="1"/>
        <v>1281</v>
      </c>
      <c r="H1531" s="13"/>
    </row>
    <row r="1532" ht="22.5" customHeight="1">
      <c r="B1532" s="17"/>
      <c r="C1532" s="17"/>
      <c r="D1532" s="13"/>
      <c r="E1532" s="11"/>
      <c r="F1532" s="11"/>
      <c r="G1532" s="13">
        <f t="shared" si="1"/>
        <v>1281</v>
      </c>
      <c r="H1532" s="13"/>
    </row>
    <row r="1533" ht="22.5" customHeight="1">
      <c r="B1533" s="17"/>
      <c r="C1533" s="17"/>
      <c r="D1533" s="13"/>
      <c r="E1533" s="11"/>
      <c r="F1533" s="11"/>
      <c r="G1533" s="13">
        <f t="shared" si="1"/>
        <v>1281</v>
      </c>
      <c r="H1533" s="13"/>
    </row>
    <row r="1534" ht="22.5" customHeight="1">
      <c r="B1534" s="17"/>
      <c r="C1534" s="17"/>
      <c r="D1534" s="13"/>
      <c r="E1534" s="11"/>
      <c r="F1534" s="11"/>
      <c r="G1534" s="13">
        <f t="shared" si="1"/>
        <v>1281</v>
      </c>
      <c r="H1534" s="13"/>
    </row>
    <row r="1535" ht="22.5" customHeight="1">
      <c r="B1535" s="17"/>
      <c r="C1535" s="17"/>
      <c r="D1535" s="13"/>
      <c r="E1535" s="11"/>
      <c r="F1535" s="11"/>
      <c r="G1535" s="13">
        <f t="shared" si="1"/>
        <v>1281</v>
      </c>
      <c r="H1535" s="13"/>
    </row>
    <row r="1536" ht="22.5" customHeight="1">
      <c r="B1536" s="17"/>
      <c r="C1536" s="17"/>
      <c r="D1536" s="13"/>
      <c r="E1536" s="11"/>
      <c r="F1536" s="11"/>
      <c r="G1536" s="13">
        <f t="shared" si="1"/>
        <v>1281</v>
      </c>
      <c r="H1536" s="13"/>
    </row>
    <row r="1537" ht="22.5" customHeight="1">
      <c r="B1537" s="17"/>
      <c r="C1537" s="17"/>
      <c r="D1537" s="13"/>
      <c r="E1537" s="11"/>
      <c r="F1537" s="11"/>
      <c r="G1537" s="13">
        <f t="shared" si="1"/>
        <v>1281</v>
      </c>
      <c r="H1537" s="13"/>
    </row>
    <row r="1538" ht="22.5" customHeight="1">
      <c r="B1538" s="17"/>
      <c r="C1538" s="17"/>
      <c r="D1538" s="13"/>
      <c r="E1538" s="11"/>
      <c r="F1538" s="11"/>
      <c r="G1538" s="13">
        <f t="shared" si="1"/>
        <v>1281</v>
      </c>
      <c r="H1538" s="13"/>
    </row>
    <row r="1539" ht="22.5" customHeight="1">
      <c r="B1539" s="17"/>
      <c r="C1539" s="17"/>
      <c r="D1539" s="13"/>
      <c r="E1539" s="11"/>
      <c r="F1539" s="11"/>
      <c r="G1539" s="13">
        <f t="shared" si="1"/>
        <v>1281</v>
      </c>
      <c r="H1539" s="13"/>
    </row>
    <row r="1540" ht="22.5" customHeight="1">
      <c r="B1540" s="17"/>
      <c r="C1540" s="17"/>
      <c r="D1540" s="13"/>
      <c r="E1540" s="11"/>
      <c r="F1540" s="11"/>
      <c r="G1540" s="13">
        <f t="shared" si="1"/>
        <v>1281</v>
      </c>
      <c r="H1540" s="13"/>
    </row>
    <row r="1541" ht="22.5" customHeight="1">
      <c r="B1541" s="17"/>
      <c r="C1541" s="17"/>
      <c r="D1541" s="13"/>
      <c r="E1541" s="11"/>
      <c r="F1541" s="11"/>
      <c r="G1541" s="13">
        <f t="shared" si="1"/>
        <v>1281</v>
      </c>
      <c r="H1541" s="13"/>
    </row>
    <row r="1542" ht="22.5" customHeight="1">
      <c r="B1542" s="17"/>
      <c r="C1542" s="17"/>
      <c r="D1542" s="13"/>
      <c r="E1542" s="11"/>
      <c r="F1542" s="11"/>
      <c r="G1542" s="13">
        <f t="shared" si="1"/>
        <v>1281</v>
      </c>
      <c r="H1542" s="13"/>
    </row>
    <row r="1543" ht="22.5" customHeight="1">
      <c r="B1543" s="17"/>
      <c r="C1543" s="17"/>
      <c r="D1543" s="13"/>
      <c r="E1543" s="11"/>
      <c r="F1543" s="11"/>
      <c r="G1543" s="13">
        <f t="shared" si="1"/>
        <v>1281</v>
      </c>
      <c r="H1543" s="13"/>
    </row>
    <row r="1544" ht="22.5" customHeight="1">
      <c r="B1544" s="17"/>
      <c r="C1544" s="17"/>
      <c r="D1544" s="13"/>
      <c r="E1544" s="11"/>
      <c r="F1544" s="11"/>
      <c r="G1544" s="13">
        <f t="shared" si="1"/>
        <v>1281</v>
      </c>
      <c r="H1544" s="13"/>
    </row>
    <row r="1545" ht="22.5" customHeight="1">
      <c r="B1545" s="17"/>
      <c r="C1545" s="17"/>
      <c r="D1545" s="13"/>
      <c r="E1545" s="11"/>
      <c r="F1545" s="11"/>
      <c r="G1545" s="13">
        <f t="shared" si="1"/>
        <v>1281</v>
      </c>
      <c r="H1545" s="13"/>
    </row>
    <row r="1546" ht="22.5" customHeight="1">
      <c r="B1546" s="17"/>
      <c r="C1546" s="17"/>
      <c r="D1546" s="13"/>
      <c r="E1546" s="11"/>
      <c r="F1546" s="11"/>
      <c r="G1546" s="13">
        <f t="shared" si="1"/>
        <v>1281</v>
      </c>
      <c r="H1546" s="13"/>
    </row>
    <row r="1547" ht="22.5" customHeight="1">
      <c r="B1547" s="17"/>
      <c r="C1547" s="17"/>
      <c r="D1547" s="13"/>
      <c r="E1547" s="11"/>
      <c r="F1547" s="11"/>
      <c r="G1547" s="13">
        <f t="shared" si="1"/>
        <v>1281</v>
      </c>
      <c r="H1547" s="13"/>
    </row>
    <row r="1548" ht="22.5" customHeight="1">
      <c r="B1548" s="17"/>
      <c r="C1548" s="17"/>
      <c r="D1548" s="13"/>
      <c r="E1548" s="11"/>
      <c r="F1548" s="11"/>
      <c r="G1548" s="13">
        <f t="shared" si="1"/>
        <v>1281</v>
      </c>
      <c r="H1548" s="13"/>
    </row>
    <row r="1549" ht="22.5" customHeight="1">
      <c r="B1549" s="17"/>
      <c r="C1549" s="17"/>
      <c r="D1549" s="13"/>
      <c r="E1549" s="11"/>
      <c r="F1549" s="11"/>
      <c r="G1549" s="13">
        <f t="shared" si="1"/>
        <v>1281</v>
      </c>
      <c r="H1549" s="13"/>
    </row>
    <row r="1550" ht="22.5" customHeight="1">
      <c r="B1550" s="17"/>
      <c r="C1550" s="17"/>
      <c r="D1550" s="13"/>
      <c r="E1550" s="11"/>
      <c r="F1550" s="11"/>
      <c r="G1550" s="13">
        <f t="shared" si="1"/>
        <v>1281</v>
      </c>
      <c r="H1550" s="13"/>
    </row>
    <row r="1551" ht="22.5" customHeight="1">
      <c r="B1551" s="17"/>
      <c r="C1551" s="17"/>
      <c r="D1551" s="13"/>
      <c r="E1551" s="11"/>
      <c r="F1551" s="11"/>
      <c r="G1551" s="13">
        <f t="shared" si="1"/>
        <v>1281</v>
      </c>
      <c r="H1551" s="13"/>
    </row>
    <row r="1552" ht="22.5" customHeight="1">
      <c r="B1552" s="17"/>
      <c r="C1552" s="17"/>
      <c r="D1552" s="13"/>
      <c r="E1552" s="11"/>
      <c r="F1552" s="11"/>
      <c r="G1552" s="13">
        <f t="shared" si="1"/>
        <v>1281</v>
      </c>
      <c r="H1552" s="13"/>
    </row>
    <row r="1553" ht="22.5" customHeight="1">
      <c r="B1553" s="17"/>
      <c r="C1553" s="17"/>
      <c r="D1553" s="13"/>
      <c r="E1553" s="11"/>
      <c r="F1553" s="11"/>
      <c r="G1553" s="13">
        <f t="shared" si="1"/>
        <v>1281</v>
      </c>
      <c r="H1553" s="13"/>
    </row>
    <row r="1554" ht="22.5" customHeight="1">
      <c r="B1554" s="17"/>
      <c r="C1554" s="17"/>
      <c r="D1554" s="13"/>
      <c r="E1554" s="11"/>
      <c r="F1554" s="11"/>
      <c r="G1554" s="13">
        <f t="shared" si="1"/>
        <v>1281</v>
      </c>
      <c r="H1554" s="13"/>
    </row>
    <row r="1555" ht="22.5" customHeight="1">
      <c r="B1555" s="17"/>
      <c r="C1555" s="17"/>
      <c r="D1555" s="13"/>
      <c r="E1555" s="11"/>
      <c r="F1555" s="11"/>
      <c r="G1555" s="13">
        <f t="shared" si="1"/>
        <v>1281</v>
      </c>
      <c r="H1555" s="13"/>
    </row>
    <row r="1556" ht="22.5" customHeight="1">
      <c r="B1556" s="17"/>
      <c r="C1556" s="17"/>
      <c r="D1556" s="13"/>
      <c r="E1556" s="11"/>
      <c r="F1556" s="11"/>
      <c r="G1556" s="13">
        <f t="shared" si="1"/>
        <v>1281</v>
      </c>
      <c r="H1556" s="13"/>
    </row>
    <row r="1557" ht="22.5" customHeight="1">
      <c r="B1557" s="17"/>
      <c r="C1557" s="17"/>
      <c r="D1557" s="13"/>
      <c r="E1557" s="11"/>
      <c r="F1557" s="11"/>
      <c r="G1557" s="13">
        <f t="shared" si="1"/>
        <v>1281</v>
      </c>
      <c r="H1557" s="13"/>
    </row>
    <row r="1558" ht="22.5" customHeight="1">
      <c r="B1558" s="17"/>
      <c r="C1558" s="17"/>
      <c r="D1558" s="13"/>
      <c r="E1558" s="11"/>
      <c r="F1558" s="11"/>
      <c r="G1558" s="13">
        <f t="shared" si="1"/>
        <v>1281</v>
      </c>
      <c r="H1558" s="13"/>
    </row>
    <row r="1559" ht="22.5" customHeight="1">
      <c r="B1559" s="17"/>
      <c r="C1559" s="17"/>
      <c r="D1559" s="13"/>
      <c r="E1559" s="11"/>
      <c r="F1559" s="11"/>
      <c r="G1559" s="13">
        <f t="shared" si="1"/>
        <v>1281</v>
      </c>
      <c r="H1559" s="13"/>
    </row>
    <row r="1560" ht="22.5" customHeight="1">
      <c r="B1560" s="17"/>
      <c r="C1560" s="17"/>
      <c r="D1560" s="13"/>
      <c r="E1560" s="11"/>
      <c r="F1560" s="11"/>
      <c r="G1560" s="13">
        <f t="shared" si="1"/>
        <v>1281</v>
      </c>
      <c r="H1560" s="13"/>
    </row>
    <row r="1561" ht="22.5" customHeight="1">
      <c r="B1561" s="17"/>
      <c r="C1561" s="17"/>
      <c r="D1561" s="13"/>
      <c r="E1561" s="11"/>
      <c r="F1561" s="11"/>
      <c r="G1561" s="13">
        <f t="shared" si="1"/>
        <v>1281</v>
      </c>
      <c r="H1561" s="13"/>
    </row>
    <row r="1562" ht="22.5" customHeight="1">
      <c r="B1562" s="17"/>
      <c r="C1562" s="17"/>
      <c r="D1562" s="13"/>
      <c r="E1562" s="11"/>
      <c r="F1562" s="11"/>
      <c r="G1562" s="13">
        <f t="shared" si="1"/>
        <v>1281</v>
      </c>
      <c r="H1562" s="13"/>
    </row>
    <row r="1563" ht="22.5" customHeight="1">
      <c r="B1563" s="17"/>
      <c r="C1563" s="17"/>
      <c r="D1563" s="13"/>
      <c r="E1563" s="11"/>
      <c r="F1563" s="11"/>
      <c r="G1563" s="13">
        <f t="shared" si="1"/>
        <v>1281</v>
      </c>
      <c r="H1563" s="13"/>
    </row>
    <row r="1564" ht="22.5" customHeight="1">
      <c r="B1564" s="17"/>
      <c r="C1564" s="17"/>
      <c r="D1564" s="13"/>
      <c r="E1564" s="11"/>
      <c r="F1564" s="11"/>
      <c r="G1564" s="13">
        <f t="shared" si="1"/>
        <v>1281</v>
      </c>
      <c r="H1564" s="13"/>
    </row>
    <row r="1565" ht="22.5" customHeight="1">
      <c r="B1565" s="17"/>
      <c r="C1565" s="17"/>
      <c r="D1565" s="13"/>
      <c r="E1565" s="11"/>
      <c r="F1565" s="11"/>
      <c r="G1565" s="13">
        <f t="shared" si="1"/>
        <v>1281</v>
      </c>
      <c r="H1565" s="13"/>
    </row>
    <row r="1566" ht="22.5" customHeight="1">
      <c r="B1566" s="17"/>
      <c r="C1566" s="17"/>
      <c r="D1566" s="13"/>
      <c r="E1566" s="11"/>
      <c r="F1566" s="11"/>
      <c r="G1566" s="13">
        <f t="shared" si="1"/>
        <v>1281</v>
      </c>
      <c r="H1566" s="13"/>
    </row>
    <row r="1567" ht="22.5" customHeight="1">
      <c r="B1567" s="17"/>
      <c r="C1567" s="17"/>
      <c r="D1567" s="13"/>
      <c r="E1567" s="11"/>
      <c r="F1567" s="11"/>
      <c r="G1567" s="13">
        <f t="shared" si="1"/>
        <v>1281</v>
      </c>
      <c r="H1567" s="13"/>
    </row>
    <row r="1568" ht="22.5" customHeight="1">
      <c r="B1568" s="17"/>
      <c r="C1568" s="17"/>
      <c r="D1568" s="13"/>
      <c r="E1568" s="11"/>
      <c r="F1568" s="11"/>
      <c r="G1568" s="13">
        <f t="shared" si="1"/>
        <v>1281</v>
      </c>
      <c r="H1568" s="13"/>
    </row>
    <row r="1569" ht="22.5" customHeight="1">
      <c r="B1569" s="17"/>
      <c r="C1569" s="17"/>
      <c r="D1569" s="13"/>
      <c r="E1569" s="11"/>
      <c r="F1569" s="11"/>
      <c r="G1569" s="13">
        <f t="shared" si="1"/>
        <v>1281</v>
      </c>
      <c r="H1569" s="13"/>
    </row>
    <row r="1570" ht="22.5" customHeight="1">
      <c r="B1570" s="17"/>
      <c r="C1570" s="17"/>
      <c r="D1570" s="13"/>
      <c r="E1570" s="11"/>
      <c r="F1570" s="11"/>
      <c r="G1570" s="13">
        <f t="shared" si="1"/>
        <v>1281</v>
      </c>
      <c r="H1570" s="13"/>
    </row>
    <row r="1571" ht="22.5" customHeight="1">
      <c r="B1571" s="17"/>
      <c r="C1571" s="17"/>
      <c r="D1571" s="13"/>
      <c r="E1571" s="11"/>
      <c r="F1571" s="11"/>
      <c r="G1571" s="13">
        <f t="shared" si="1"/>
        <v>1281</v>
      </c>
      <c r="H1571" s="13"/>
    </row>
    <row r="1572" ht="22.5" customHeight="1">
      <c r="B1572" s="17"/>
      <c r="C1572" s="17"/>
      <c r="D1572" s="13"/>
      <c r="E1572" s="11"/>
      <c r="F1572" s="11"/>
      <c r="G1572" s="13">
        <f t="shared" si="1"/>
        <v>1281</v>
      </c>
      <c r="H1572" s="13"/>
    </row>
    <row r="1573" ht="22.5" customHeight="1">
      <c r="B1573" s="17"/>
      <c r="C1573" s="17"/>
      <c r="D1573" s="13"/>
      <c r="E1573" s="11"/>
      <c r="F1573" s="11"/>
      <c r="G1573" s="13">
        <f t="shared" si="1"/>
        <v>1281</v>
      </c>
      <c r="H1573" s="13"/>
    </row>
    <row r="1574" ht="22.5" customHeight="1">
      <c r="B1574" s="17"/>
      <c r="C1574" s="17"/>
      <c r="D1574" s="13"/>
      <c r="E1574" s="11"/>
      <c r="F1574" s="11"/>
      <c r="G1574" s="13">
        <f t="shared" si="1"/>
        <v>1281</v>
      </c>
      <c r="H1574" s="13"/>
    </row>
    <row r="1575" ht="22.5" customHeight="1">
      <c r="B1575" s="17"/>
      <c r="C1575" s="17"/>
      <c r="D1575" s="13"/>
      <c r="E1575" s="11"/>
      <c r="F1575" s="11"/>
      <c r="G1575" s="13">
        <f t="shared" si="1"/>
        <v>1281</v>
      </c>
      <c r="H1575" s="13"/>
    </row>
    <row r="1576" ht="22.5" customHeight="1">
      <c r="B1576" s="17"/>
      <c r="C1576" s="17"/>
      <c r="D1576" s="13"/>
      <c r="E1576" s="11"/>
      <c r="F1576" s="11"/>
      <c r="G1576" s="13">
        <f t="shared" si="1"/>
        <v>1281</v>
      </c>
      <c r="H1576" s="13"/>
    </row>
    <row r="1577" ht="22.5" customHeight="1">
      <c r="B1577" s="17"/>
      <c r="C1577" s="17"/>
      <c r="D1577" s="13"/>
      <c r="E1577" s="11"/>
      <c r="F1577" s="11"/>
      <c r="G1577" s="13">
        <f t="shared" si="1"/>
        <v>1281</v>
      </c>
      <c r="H1577" s="13"/>
    </row>
    <row r="1578" ht="22.5" customHeight="1">
      <c r="B1578" s="17"/>
      <c r="C1578" s="17"/>
      <c r="D1578" s="13"/>
      <c r="E1578" s="11"/>
      <c r="F1578" s="11"/>
      <c r="G1578" s="13">
        <f t="shared" si="1"/>
        <v>1281</v>
      </c>
      <c r="H1578" s="13"/>
    </row>
    <row r="1579" ht="22.5" customHeight="1">
      <c r="B1579" s="17"/>
      <c r="C1579" s="17"/>
      <c r="D1579" s="13"/>
      <c r="E1579" s="11"/>
      <c r="F1579" s="11"/>
      <c r="G1579" s="13">
        <f t="shared" si="1"/>
        <v>1281</v>
      </c>
      <c r="H1579" s="13"/>
    </row>
    <row r="1580" ht="22.5" customHeight="1">
      <c r="B1580" s="17"/>
      <c r="C1580" s="17"/>
      <c r="D1580" s="13"/>
      <c r="E1580" s="11"/>
      <c r="F1580" s="11"/>
      <c r="G1580" s="13">
        <f t="shared" si="1"/>
        <v>1281</v>
      </c>
      <c r="H1580" s="13"/>
    </row>
    <row r="1581" ht="22.5" customHeight="1">
      <c r="B1581" s="17"/>
      <c r="C1581" s="17"/>
      <c r="D1581" s="13"/>
      <c r="E1581" s="11"/>
      <c r="F1581" s="11"/>
      <c r="G1581" s="13">
        <f t="shared" si="1"/>
        <v>1281</v>
      </c>
      <c r="H1581" s="13"/>
    </row>
    <row r="1582" ht="22.5" customHeight="1">
      <c r="B1582" s="17"/>
      <c r="C1582" s="17"/>
      <c r="D1582" s="13"/>
      <c r="E1582" s="11"/>
      <c r="F1582" s="11"/>
      <c r="G1582" s="13">
        <f t="shared" si="1"/>
        <v>1281</v>
      </c>
      <c r="H1582" s="13"/>
    </row>
    <row r="1583" ht="22.5" customHeight="1">
      <c r="B1583" s="17"/>
      <c r="C1583" s="17"/>
      <c r="D1583" s="13"/>
      <c r="E1583" s="11"/>
      <c r="F1583" s="11"/>
      <c r="G1583" s="13">
        <f t="shared" si="1"/>
        <v>1281</v>
      </c>
      <c r="H1583" s="13"/>
    </row>
    <row r="1584" ht="22.5" customHeight="1">
      <c r="B1584" s="17"/>
      <c r="C1584" s="17"/>
      <c r="D1584" s="13"/>
      <c r="E1584" s="11"/>
      <c r="F1584" s="11"/>
      <c r="G1584" s="13">
        <f t="shared" si="1"/>
        <v>1281</v>
      </c>
      <c r="H1584" s="13"/>
    </row>
    <row r="1585" ht="22.5" customHeight="1">
      <c r="B1585" s="17"/>
      <c r="C1585" s="17"/>
      <c r="D1585" s="13"/>
      <c r="E1585" s="11"/>
      <c r="F1585" s="11"/>
      <c r="G1585" s="13">
        <f t="shared" si="1"/>
        <v>1281</v>
      </c>
      <c r="H1585" s="13"/>
    </row>
    <row r="1586" ht="22.5" customHeight="1">
      <c r="B1586" s="17"/>
      <c r="C1586" s="17"/>
      <c r="D1586" s="13"/>
      <c r="E1586" s="11"/>
      <c r="F1586" s="11"/>
      <c r="G1586" s="13">
        <f t="shared" si="1"/>
        <v>1281</v>
      </c>
      <c r="H1586" s="13"/>
    </row>
    <row r="1587" ht="22.5" customHeight="1">
      <c r="B1587" s="17"/>
      <c r="C1587" s="17"/>
      <c r="D1587" s="13"/>
      <c r="E1587" s="11"/>
      <c r="F1587" s="11"/>
      <c r="G1587" s="13">
        <f t="shared" si="1"/>
        <v>1281</v>
      </c>
      <c r="H1587" s="13"/>
    </row>
    <row r="1588" ht="22.5" customHeight="1">
      <c r="B1588" s="17"/>
      <c r="C1588" s="17"/>
      <c r="D1588" s="13"/>
      <c r="E1588" s="11"/>
      <c r="F1588" s="11"/>
      <c r="G1588" s="13">
        <f t="shared" si="1"/>
        <v>1281</v>
      </c>
      <c r="H1588" s="13"/>
    </row>
    <row r="1589" ht="22.5" customHeight="1">
      <c r="B1589" s="17"/>
      <c r="C1589" s="17"/>
      <c r="D1589" s="13"/>
      <c r="E1589" s="11"/>
      <c r="F1589" s="11"/>
      <c r="G1589" s="13">
        <f t="shared" si="1"/>
        <v>1281</v>
      </c>
      <c r="H1589" s="13"/>
    </row>
    <row r="1590" ht="22.5" customHeight="1">
      <c r="B1590" s="17"/>
      <c r="C1590" s="17"/>
      <c r="D1590" s="13"/>
      <c r="E1590" s="11"/>
      <c r="F1590" s="11"/>
      <c r="G1590" s="13">
        <f t="shared" si="1"/>
        <v>1281</v>
      </c>
      <c r="H1590" s="13"/>
    </row>
    <row r="1591" ht="22.5" customHeight="1">
      <c r="B1591" s="17"/>
      <c r="C1591" s="17"/>
      <c r="D1591" s="13"/>
      <c r="E1591" s="11"/>
      <c r="F1591" s="11"/>
      <c r="G1591" s="13">
        <f t="shared" si="1"/>
        <v>1281</v>
      </c>
      <c r="H1591" s="13"/>
    </row>
    <row r="1592" ht="22.5" customHeight="1">
      <c r="B1592" s="17"/>
      <c r="C1592" s="17"/>
      <c r="D1592" s="13"/>
      <c r="E1592" s="11"/>
      <c r="F1592" s="11"/>
      <c r="G1592" s="13">
        <f t="shared" si="1"/>
        <v>1281</v>
      </c>
      <c r="H1592" s="13"/>
    </row>
    <row r="1593" ht="22.5" customHeight="1">
      <c r="B1593" s="17"/>
      <c r="C1593" s="17"/>
      <c r="D1593" s="13"/>
      <c r="E1593" s="11"/>
      <c r="F1593" s="11"/>
      <c r="G1593" s="13">
        <f t="shared" si="1"/>
        <v>1281</v>
      </c>
      <c r="H1593" s="13"/>
    </row>
    <row r="1594" ht="22.5" customHeight="1">
      <c r="B1594" s="17"/>
      <c r="C1594" s="17"/>
      <c r="D1594" s="13"/>
      <c r="E1594" s="11"/>
      <c r="F1594" s="11"/>
      <c r="G1594" s="13">
        <f t="shared" si="1"/>
        <v>1281</v>
      </c>
      <c r="H1594" s="13"/>
    </row>
    <row r="1595" ht="22.5" customHeight="1">
      <c r="B1595" s="17"/>
      <c r="C1595" s="17"/>
      <c r="D1595" s="13"/>
      <c r="E1595" s="11"/>
      <c r="F1595" s="11"/>
      <c r="G1595" s="13">
        <f t="shared" si="1"/>
        <v>1281</v>
      </c>
      <c r="H1595" s="13"/>
    </row>
    <row r="1596" ht="22.5" customHeight="1">
      <c r="B1596" s="17"/>
      <c r="C1596" s="17"/>
      <c r="D1596" s="13"/>
      <c r="E1596" s="11"/>
      <c r="F1596" s="11"/>
      <c r="G1596" s="13">
        <f t="shared" si="1"/>
        <v>1281</v>
      </c>
      <c r="H1596" s="13"/>
    </row>
    <row r="1597" ht="22.5" customHeight="1">
      <c r="B1597" s="17"/>
      <c r="C1597" s="17"/>
      <c r="D1597" s="13"/>
      <c r="E1597" s="11"/>
      <c r="F1597" s="11"/>
      <c r="G1597" s="13">
        <f t="shared" si="1"/>
        <v>1281</v>
      </c>
      <c r="H1597" s="13"/>
    </row>
    <row r="1598" ht="22.5" customHeight="1">
      <c r="B1598" s="17"/>
      <c r="C1598" s="17"/>
      <c r="D1598" s="13"/>
      <c r="E1598" s="11"/>
      <c r="F1598" s="11"/>
      <c r="G1598" s="13">
        <f t="shared" si="1"/>
        <v>1281</v>
      </c>
      <c r="H1598" s="13"/>
    </row>
    <row r="1599" ht="22.5" customHeight="1">
      <c r="B1599" s="17"/>
      <c r="C1599" s="17"/>
      <c r="D1599" s="13"/>
      <c r="E1599" s="11"/>
      <c r="F1599" s="11"/>
      <c r="G1599" s="13">
        <f t="shared" si="1"/>
        <v>1281</v>
      </c>
      <c r="H1599" s="13"/>
    </row>
    <row r="1600" ht="22.5" customHeight="1">
      <c r="B1600" s="17"/>
      <c r="C1600" s="17"/>
      <c r="D1600" s="13"/>
      <c r="E1600" s="11"/>
      <c r="F1600" s="11"/>
      <c r="G1600" s="13">
        <f t="shared" si="1"/>
        <v>1281</v>
      </c>
      <c r="H1600" s="13"/>
    </row>
    <row r="1601" ht="22.5" customHeight="1">
      <c r="B1601" s="17"/>
      <c r="C1601" s="17"/>
      <c r="D1601" s="13"/>
      <c r="E1601" s="11"/>
      <c r="F1601" s="11"/>
      <c r="G1601" s="13">
        <f t="shared" si="1"/>
        <v>1281</v>
      </c>
      <c r="H1601" s="13"/>
    </row>
    <row r="1602" ht="22.5" customHeight="1">
      <c r="B1602" s="17"/>
      <c r="C1602" s="17"/>
      <c r="D1602" s="13"/>
      <c r="E1602" s="11"/>
      <c r="F1602" s="11"/>
      <c r="G1602" s="13">
        <f t="shared" si="1"/>
        <v>1281</v>
      </c>
      <c r="H1602" s="13"/>
    </row>
    <row r="1603" ht="22.5" customHeight="1">
      <c r="B1603" s="17"/>
      <c r="C1603" s="17"/>
      <c r="D1603" s="13"/>
      <c r="E1603" s="11"/>
      <c r="F1603" s="11"/>
      <c r="G1603" s="13">
        <f t="shared" si="1"/>
        <v>1281</v>
      </c>
      <c r="H1603" s="13"/>
    </row>
    <row r="1604" ht="22.5" customHeight="1">
      <c r="B1604" s="17"/>
      <c r="C1604" s="17"/>
      <c r="D1604" s="13"/>
      <c r="E1604" s="11"/>
      <c r="F1604" s="11"/>
      <c r="G1604" s="13">
        <f t="shared" si="1"/>
        <v>1281</v>
      </c>
      <c r="H1604" s="13"/>
    </row>
    <row r="1605" ht="22.5" customHeight="1">
      <c r="B1605" s="17"/>
      <c r="C1605" s="17"/>
      <c r="D1605" s="13"/>
      <c r="E1605" s="11"/>
      <c r="F1605" s="11"/>
      <c r="G1605" s="13">
        <f t="shared" si="1"/>
        <v>1281</v>
      </c>
      <c r="H1605" s="13"/>
    </row>
    <row r="1606" ht="22.5" customHeight="1">
      <c r="B1606" s="17"/>
      <c r="C1606" s="17"/>
      <c r="D1606" s="13"/>
      <c r="E1606" s="11"/>
      <c r="F1606" s="11"/>
      <c r="G1606" s="13">
        <f t="shared" si="1"/>
        <v>1281</v>
      </c>
      <c r="H1606" s="13"/>
    </row>
    <row r="1607" ht="22.5" customHeight="1">
      <c r="B1607" s="17"/>
      <c r="C1607" s="17"/>
      <c r="D1607" s="13"/>
      <c r="E1607" s="11"/>
      <c r="F1607" s="11"/>
      <c r="G1607" s="13">
        <f t="shared" si="1"/>
        <v>1281</v>
      </c>
      <c r="H1607" s="13"/>
    </row>
    <row r="1608" ht="22.5" customHeight="1">
      <c r="B1608" s="17"/>
      <c r="C1608" s="17"/>
      <c r="D1608" s="13"/>
      <c r="E1608" s="11"/>
      <c r="F1608" s="11"/>
      <c r="G1608" s="13">
        <f t="shared" si="1"/>
        <v>1281</v>
      </c>
      <c r="H1608" s="13"/>
    </row>
    <row r="1609" ht="22.5" customHeight="1">
      <c r="B1609" s="17"/>
      <c r="C1609" s="17"/>
      <c r="D1609" s="13"/>
      <c r="E1609" s="11"/>
      <c r="F1609" s="11"/>
      <c r="G1609" s="13">
        <f t="shared" si="1"/>
        <v>1281</v>
      </c>
      <c r="H1609" s="13"/>
    </row>
    <row r="1610" ht="22.5" customHeight="1">
      <c r="B1610" s="17"/>
      <c r="C1610" s="17"/>
      <c r="D1610" s="13"/>
      <c r="E1610" s="11"/>
      <c r="F1610" s="11"/>
      <c r="G1610" s="13">
        <f t="shared" si="1"/>
        <v>1281</v>
      </c>
      <c r="H1610" s="13"/>
    </row>
    <row r="1611" ht="22.5" customHeight="1">
      <c r="B1611" s="17"/>
      <c r="C1611" s="17"/>
      <c r="D1611" s="13"/>
      <c r="E1611" s="11"/>
      <c r="F1611" s="11"/>
      <c r="G1611" s="13">
        <f t="shared" si="1"/>
        <v>1281</v>
      </c>
      <c r="H1611" s="13"/>
    </row>
    <row r="1612" ht="22.5" customHeight="1">
      <c r="B1612" s="17"/>
      <c r="C1612" s="17"/>
      <c r="D1612" s="13"/>
      <c r="E1612" s="11"/>
      <c r="F1612" s="11"/>
      <c r="G1612" s="13">
        <f t="shared" si="1"/>
        <v>1281</v>
      </c>
      <c r="H1612" s="13"/>
    </row>
    <row r="1613" ht="22.5" customHeight="1">
      <c r="B1613" s="17"/>
      <c r="C1613" s="17"/>
      <c r="D1613" s="13"/>
      <c r="E1613" s="11"/>
      <c r="F1613" s="11"/>
      <c r="G1613" s="13">
        <f t="shared" si="1"/>
        <v>1281</v>
      </c>
      <c r="H1613" s="13"/>
    </row>
    <row r="1614" ht="22.5" customHeight="1">
      <c r="B1614" s="17"/>
      <c r="C1614" s="17"/>
      <c r="D1614" s="13"/>
      <c r="E1614" s="11"/>
      <c r="F1614" s="11"/>
      <c r="G1614" s="13">
        <f t="shared" si="1"/>
        <v>1281</v>
      </c>
      <c r="H1614" s="13"/>
    </row>
    <row r="1615" ht="22.5" customHeight="1">
      <c r="B1615" s="17"/>
      <c r="C1615" s="17"/>
      <c r="D1615" s="13"/>
      <c r="E1615" s="11"/>
      <c r="F1615" s="11"/>
      <c r="G1615" s="13">
        <f t="shared" si="1"/>
        <v>1281</v>
      </c>
      <c r="H1615" s="13"/>
    </row>
    <row r="1616" ht="22.5" customHeight="1">
      <c r="B1616" s="17"/>
      <c r="C1616" s="17"/>
      <c r="D1616" s="13"/>
      <c r="E1616" s="11"/>
      <c r="F1616" s="11"/>
      <c r="G1616" s="13">
        <f t="shared" si="1"/>
        <v>1281</v>
      </c>
      <c r="H1616" s="13"/>
    </row>
    <row r="1617" ht="22.5" customHeight="1">
      <c r="B1617" s="17"/>
      <c r="C1617" s="17"/>
      <c r="D1617" s="13"/>
      <c r="E1617" s="11"/>
      <c r="F1617" s="11"/>
      <c r="G1617" s="13">
        <f t="shared" si="1"/>
        <v>1281</v>
      </c>
      <c r="H1617" s="13"/>
    </row>
    <row r="1618" ht="22.5" customHeight="1">
      <c r="B1618" s="17"/>
      <c r="C1618" s="17"/>
      <c r="D1618" s="13"/>
      <c r="E1618" s="11"/>
      <c r="F1618" s="11"/>
      <c r="G1618" s="13">
        <f t="shared" si="1"/>
        <v>1281</v>
      </c>
      <c r="H1618" s="13"/>
    </row>
    <row r="1619" ht="22.5" customHeight="1">
      <c r="B1619" s="17"/>
      <c r="C1619" s="17"/>
      <c r="D1619" s="13"/>
      <c r="E1619" s="11"/>
      <c r="F1619" s="11"/>
      <c r="G1619" s="13">
        <f t="shared" si="1"/>
        <v>1281</v>
      </c>
      <c r="H1619" s="13"/>
    </row>
    <row r="1620" ht="22.5" customHeight="1">
      <c r="B1620" s="17"/>
      <c r="C1620" s="17"/>
      <c r="D1620" s="13"/>
      <c r="E1620" s="11"/>
      <c r="F1620" s="11"/>
      <c r="G1620" s="13">
        <f t="shared" si="1"/>
        <v>1281</v>
      </c>
      <c r="H1620" s="13"/>
    </row>
    <row r="1621" ht="22.5" customHeight="1">
      <c r="B1621" s="17"/>
      <c r="C1621" s="17"/>
      <c r="D1621" s="13"/>
      <c r="E1621" s="11"/>
      <c r="F1621" s="11"/>
      <c r="G1621" s="13">
        <f t="shared" si="1"/>
        <v>1281</v>
      </c>
      <c r="H1621" s="13"/>
    </row>
    <row r="1622" ht="22.5" customHeight="1">
      <c r="B1622" s="17"/>
      <c r="C1622" s="17"/>
      <c r="D1622" s="13"/>
      <c r="E1622" s="11"/>
      <c r="F1622" s="11"/>
      <c r="G1622" s="13">
        <f t="shared" si="1"/>
        <v>1281</v>
      </c>
      <c r="H1622" s="13"/>
    </row>
    <row r="1623" ht="22.5" customHeight="1">
      <c r="B1623" s="17"/>
      <c r="C1623" s="17"/>
      <c r="D1623" s="13"/>
      <c r="E1623" s="11"/>
      <c r="F1623" s="11"/>
      <c r="G1623" s="13">
        <f t="shared" si="1"/>
        <v>1281</v>
      </c>
      <c r="H1623" s="13"/>
    </row>
    <row r="1624" ht="22.5" customHeight="1">
      <c r="B1624" s="17"/>
      <c r="C1624" s="17"/>
      <c r="D1624" s="13"/>
      <c r="E1624" s="11"/>
      <c r="F1624" s="11"/>
      <c r="G1624" s="13">
        <f t="shared" si="1"/>
        <v>1281</v>
      </c>
      <c r="H1624" s="13"/>
    </row>
    <row r="1625" ht="22.5" customHeight="1">
      <c r="B1625" s="17"/>
      <c r="C1625" s="17"/>
      <c r="D1625" s="13"/>
      <c r="E1625" s="11"/>
      <c r="F1625" s="11"/>
      <c r="G1625" s="13">
        <f t="shared" si="1"/>
        <v>1281</v>
      </c>
      <c r="H1625" s="13"/>
    </row>
    <row r="1626" ht="22.5" customHeight="1">
      <c r="B1626" s="17"/>
      <c r="C1626" s="17"/>
      <c r="D1626" s="13"/>
      <c r="E1626" s="11"/>
      <c r="F1626" s="11"/>
      <c r="G1626" s="13">
        <f t="shared" si="1"/>
        <v>1281</v>
      </c>
      <c r="H1626" s="13"/>
    </row>
    <row r="1627" ht="22.5" customHeight="1">
      <c r="B1627" s="17"/>
      <c r="C1627" s="17"/>
      <c r="D1627" s="13"/>
      <c r="E1627" s="11"/>
      <c r="F1627" s="11"/>
      <c r="G1627" s="13">
        <f t="shared" si="1"/>
        <v>1281</v>
      </c>
      <c r="H1627" s="13"/>
    </row>
    <row r="1628" ht="22.5" customHeight="1">
      <c r="B1628" s="17"/>
      <c r="C1628" s="17"/>
      <c r="D1628" s="13"/>
      <c r="E1628" s="11"/>
      <c r="F1628" s="11"/>
      <c r="G1628" s="13">
        <f t="shared" si="1"/>
        <v>1281</v>
      </c>
      <c r="H1628" s="13"/>
    </row>
    <row r="1629" ht="22.5" customHeight="1">
      <c r="B1629" s="17"/>
      <c r="C1629" s="17"/>
      <c r="D1629" s="13"/>
      <c r="E1629" s="11"/>
      <c r="F1629" s="11"/>
      <c r="G1629" s="13">
        <f t="shared" si="1"/>
        <v>1281</v>
      </c>
      <c r="H1629" s="13"/>
    </row>
    <row r="1630" ht="22.5" customHeight="1">
      <c r="B1630" s="17"/>
      <c r="C1630" s="17"/>
      <c r="D1630" s="13"/>
      <c r="E1630" s="11"/>
      <c r="F1630" s="11"/>
      <c r="G1630" s="13">
        <f t="shared" si="1"/>
        <v>1281</v>
      </c>
      <c r="H1630" s="13"/>
    </row>
    <row r="1631" ht="22.5" customHeight="1">
      <c r="B1631" s="17"/>
      <c r="C1631" s="17"/>
      <c r="D1631" s="13"/>
      <c r="E1631" s="11"/>
      <c r="F1631" s="11"/>
      <c r="G1631" s="13">
        <f t="shared" si="1"/>
        <v>1281</v>
      </c>
      <c r="H1631" s="13"/>
    </row>
    <row r="1632" ht="22.5" customHeight="1">
      <c r="B1632" s="17"/>
      <c r="C1632" s="17"/>
      <c r="D1632" s="13"/>
      <c r="E1632" s="11"/>
      <c r="F1632" s="11"/>
      <c r="G1632" s="13">
        <f t="shared" si="1"/>
        <v>1281</v>
      </c>
      <c r="H1632" s="13"/>
    </row>
    <row r="1633" ht="22.5" customHeight="1">
      <c r="B1633" s="17"/>
      <c r="C1633" s="17"/>
      <c r="D1633" s="13"/>
      <c r="E1633" s="11"/>
      <c r="F1633" s="11"/>
      <c r="G1633" s="13">
        <f t="shared" si="1"/>
        <v>1281</v>
      </c>
      <c r="H1633" s="13"/>
    </row>
    <row r="1634" ht="22.5" customHeight="1">
      <c r="B1634" s="17"/>
      <c r="C1634" s="17"/>
      <c r="D1634" s="13"/>
      <c r="E1634" s="11"/>
      <c r="F1634" s="11"/>
      <c r="G1634" s="13">
        <f t="shared" si="1"/>
        <v>1281</v>
      </c>
      <c r="H1634" s="13"/>
    </row>
    <row r="1635" ht="22.5" customHeight="1">
      <c r="B1635" s="17"/>
      <c r="C1635" s="17"/>
      <c r="D1635" s="13"/>
      <c r="E1635" s="11"/>
      <c r="F1635" s="11"/>
      <c r="G1635" s="13">
        <f t="shared" si="1"/>
        <v>1281</v>
      </c>
      <c r="H1635" s="13"/>
    </row>
    <row r="1636" ht="22.5" customHeight="1">
      <c r="B1636" s="17"/>
      <c r="C1636" s="17"/>
      <c r="D1636" s="13"/>
      <c r="E1636" s="11"/>
      <c r="F1636" s="11"/>
      <c r="G1636" s="13">
        <f t="shared" si="1"/>
        <v>1281</v>
      </c>
      <c r="H1636" s="13"/>
    </row>
    <row r="1637" ht="22.5" customHeight="1">
      <c r="B1637" s="17"/>
      <c r="C1637" s="17"/>
      <c r="D1637" s="13"/>
      <c r="E1637" s="11"/>
      <c r="F1637" s="11"/>
      <c r="G1637" s="13">
        <f t="shared" si="1"/>
        <v>1281</v>
      </c>
      <c r="H1637" s="13"/>
    </row>
    <row r="1638" ht="22.5" customHeight="1">
      <c r="B1638" s="17"/>
      <c r="C1638" s="17"/>
      <c r="D1638" s="13"/>
      <c r="E1638" s="11"/>
      <c r="F1638" s="11"/>
      <c r="G1638" s="13">
        <f t="shared" si="1"/>
        <v>1281</v>
      </c>
      <c r="H1638" s="13"/>
    </row>
    <row r="1639" ht="22.5" customHeight="1">
      <c r="B1639" s="17"/>
      <c r="C1639" s="17"/>
      <c r="D1639" s="13"/>
      <c r="E1639" s="11"/>
      <c r="F1639" s="11"/>
      <c r="G1639" s="13">
        <f t="shared" si="1"/>
        <v>1281</v>
      </c>
      <c r="H1639" s="13"/>
    </row>
    <row r="1640" ht="22.5" customHeight="1">
      <c r="B1640" s="17"/>
      <c r="C1640" s="17"/>
      <c r="D1640" s="13"/>
      <c r="E1640" s="11"/>
      <c r="F1640" s="11"/>
      <c r="G1640" s="13">
        <f t="shared" si="1"/>
        <v>1281</v>
      </c>
      <c r="H1640" s="13"/>
    </row>
    <row r="1641" ht="22.5" customHeight="1">
      <c r="B1641" s="17"/>
      <c r="C1641" s="17"/>
      <c r="D1641" s="13"/>
      <c r="E1641" s="11"/>
      <c r="F1641" s="11"/>
      <c r="G1641" s="13">
        <f t="shared" si="1"/>
        <v>1281</v>
      </c>
      <c r="H1641" s="13"/>
    </row>
    <row r="1642" ht="22.5" customHeight="1">
      <c r="B1642" s="17"/>
      <c r="C1642" s="17"/>
      <c r="D1642" s="13"/>
      <c r="E1642" s="11"/>
      <c r="F1642" s="11"/>
      <c r="G1642" s="13">
        <f t="shared" si="1"/>
        <v>1281</v>
      </c>
      <c r="H1642" s="13"/>
    </row>
    <row r="1643" ht="22.5" customHeight="1">
      <c r="B1643" s="17"/>
      <c r="C1643" s="17"/>
      <c r="D1643" s="13"/>
      <c r="E1643" s="11"/>
      <c r="F1643" s="11"/>
      <c r="G1643" s="13">
        <f t="shared" si="1"/>
        <v>1281</v>
      </c>
      <c r="H1643" s="13"/>
    </row>
    <row r="1644" ht="22.5" customHeight="1">
      <c r="B1644" s="17"/>
      <c r="C1644" s="17"/>
      <c r="D1644" s="13"/>
      <c r="E1644" s="11"/>
      <c r="F1644" s="11"/>
      <c r="G1644" s="13">
        <f t="shared" si="1"/>
        <v>1281</v>
      </c>
      <c r="H1644" s="13"/>
    </row>
    <row r="1645" ht="22.5" customHeight="1">
      <c r="B1645" s="17"/>
      <c r="C1645" s="17"/>
      <c r="D1645" s="13"/>
      <c r="E1645" s="11"/>
      <c r="F1645" s="11"/>
      <c r="G1645" s="13">
        <f t="shared" si="1"/>
        <v>1281</v>
      </c>
      <c r="H1645" s="13"/>
    </row>
    <row r="1646" ht="22.5" customHeight="1">
      <c r="B1646" s="17"/>
      <c r="C1646" s="17"/>
      <c r="D1646" s="13"/>
      <c r="E1646" s="11"/>
      <c r="F1646" s="11"/>
      <c r="G1646" s="13">
        <f t="shared" si="1"/>
        <v>1281</v>
      </c>
      <c r="H1646" s="13"/>
    </row>
    <row r="1647" ht="22.5" customHeight="1">
      <c r="B1647" s="17"/>
      <c r="C1647" s="17"/>
      <c r="D1647" s="13"/>
      <c r="E1647" s="11"/>
      <c r="F1647" s="11"/>
      <c r="G1647" s="13">
        <f t="shared" si="1"/>
        <v>1281</v>
      </c>
      <c r="H1647" s="13"/>
    </row>
    <row r="1648" ht="22.5" customHeight="1">
      <c r="B1648" s="17"/>
      <c r="C1648" s="17"/>
      <c r="D1648" s="13"/>
      <c r="E1648" s="11"/>
      <c r="F1648" s="11"/>
      <c r="G1648" s="13">
        <f t="shared" si="1"/>
        <v>1281</v>
      </c>
      <c r="H1648" s="13"/>
    </row>
    <row r="1649" ht="22.5" customHeight="1">
      <c r="B1649" s="17"/>
      <c r="C1649" s="17"/>
      <c r="D1649" s="13"/>
      <c r="E1649" s="11"/>
      <c r="F1649" s="11"/>
      <c r="G1649" s="13">
        <f t="shared" si="1"/>
        <v>1281</v>
      </c>
      <c r="H1649" s="13"/>
    </row>
    <row r="1650" ht="22.5" customHeight="1">
      <c r="B1650" s="17"/>
      <c r="C1650" s="17"/>
      <c r="D1650" s="13"/>
      <c r="E1650" s="11"/>
      <c r="F1650" s="11"/>
      <c r="G1650" s="13">
        <f t="shared" si="1"/>
        <v>1281</v>
      </c>
      <c r="H1650" s="13"/>
    </row>
    <row r="1651" ht="22.5" customHeight="1">
      <c r="B1651" s="17"/>
      <c r="C1651" s="17"/>
      <c r="D1651" s="13"/>
      <c r="E1651" s="11"/>
      <c r="F1651" s="11"/>
      <c r="G1651" s="13">
        <f t="shared" si="1"/>
        <v>1281</v>
      </c>
      <c r="H1651" s="13"/>
    </row>
    <row r="1652" ht="22.5" customHeight="1">
      <c r="B1652" s="17"/>
      <c r="C1652" s="17"/>
      <c r="D1652" s="13"/>
      <c r="E1652" s="11"/>
      <c r="F1652" s="11"/>
      <c r="G1652" s="13">
        <f t="shared" si="1"/>
        <v>1281</v>
      </c>
      <c r="H1652" s="13"/>
    </row>
    <row r="1653" ht="22.5" customHeight="1">
      <c r="B1653" s="17"/>
      <c r="C1653" s="17"/>
      <c r="D1653" s="13"/>
      <c r="E1653" s="11"/>
      <c r="F1653" s="11"/>
      <c r="G1653" s="13">
        <f t="shared" si="1"/>
        <v>1281</v>
      </c>
      <c r="H1653" s="13"/>
    </row>
    <row r="1654" ht="22.5" customHeight="1">
      <c r="B1654" s="17"/>
      <c r="C1654" s="17"/>
      <c r="D1654" s="13"/>
      <c r="E1654" s="11"/>
      <c r="F1654" s="11"/>
      <c r="G1654" s="13">
        <f t="shared" si="1"/>
        <v>1281</v>
      </c>
      <c r="H1654" s="13"/>
    </row>
    <row r="1655" ht="22.5" customHeight="1">
      <c r="B1655" s="17"/>
      <c r="C1655" s="17"/>
      <c r="D1655" s="13"/>
      <c r="E1655" s="11"/>
      <c r="F1655" s="11"/>
      <c r="G1655" s="13">
        <f t="shared" si="1"/>
        <v>1281</v>
      </c>
      <c r="H1655" s="13"/>
    </row>
    <row r="1656" ht="22.5" customHeight="1">
      <c r="B1656" s="17"/>
      <c r="C1656" s="17"/>
      <c r="D1656" s="13"/>
      <c r="E1656" s="11"/>
      <c r="F1656" s="11"/>
      <c r="G1656" s="13">
        <f t="shared" si="1"/>
        <v>1281</v>
      </c>
      <c r="H1656" s="13"/>
    </row>
    <row r="1657" ht="22.5" customHeight="1">
      <c r="B1657" s="17"/>
      <c r="C1657" s="17"/>
      <c r="D1657" s="13"/>
      <c r="E1657" s="11"/>
      <c r="F1657" s="11"/>
      <c r="G1657" s="13">
        <f t="shared" si="1"/>
        <v>1281</v>
      </c>
      <c r="H1657" s="13"/>
    </row>
    <row r="1658" ht="22.5" customHeight="1">
      <c r="B1658" s="17"/>
      <c r="C1658" s="17"/>
      <c r="D1658" s="13"/>
      <c r="E1658" s="11"/>
      <c r="F1658" s="11"/>
      <c r="G1658" s="13">
        <f t="shared" si="1"/>
        <v>1281</v>
      </c>
      <c r="H1658" s="13"/>
    </row>
    <row r="1659" ht="22.5" customHeight="1">
      <c r="B1659" s="17"/>
      <c r="C1659" s="17"/>
      <c r="D1659" s="13"/>
      <c r="E1659" s="11"/>
      <c r="F1659" s="11"/>
      <c r="G1659" s="13">
        <f t="shared" si="1"/>
        <v>1281</v>
      </c>
      <c r="H1659" s="13"/>
    </row>
    <row r="1660" ht="22.5" customHeight="1">
      <c r="B1660" s="17"/>
      <c r="C1660" s="17"/>
      <c r="D1660" s="13"/>
      <c r="E1660" s="11"/>
      <c r="F1660" s="11"/>
      <c r="G1660" s="13">
        <f t="shared" si="1"/>
        <v>1281</v>
      </c>
      <c r="H1660" s="13"/>
    </row>
    <row r="1661" ht="22.5" customHeight="1">
      <c r="B1661" s="17"/>
      <c r="C1661" s="17"/>
      <c r="D1661" s="13"/>
      <c r="E1661" s="11"/>
      <c r="F1661" s="11"/>
      <c r="G1661" s="13">
        <f t="shared" si="1"/>
        <v>1281</v>
      </c>
      <c r="H1661" s="13"/>
    </row>
    <row r="1662" ht="22.5" customHeight="1">
      <c r="B1662" s="17"/>
      <c r="C1662" s="17"/>
      <c r="D1662" s="13"/>
      <c r="E1662" s="11"/>
      <c r="F1662" s="11"/>
      <c r="G1662" s="13">
        <f t="shared" si="1"/>
        <v>1281</v>
      </c>
      <c r="H1662" s="13"/>
    </row>
    <row r="1663" ht="22.5" customHeight="1">
      <c r="B1663" s="17"/>
      <c r="C1663" s="17"/>
      <c r="D1663" s="13"/>
      <c r="E1663" s="11"/>
      <c r="F1663" s="11"/>
      <c r="G1663" s="13">
        <f t="shared" si="1"/>
        <v>1281</v>
      </c>
      <c r="H1663" s="13"/>
    </row>
    <row r="1664" ht="22.5" customHeight="1">
      <c r="B1664" s="17"/>
      <c r="C1664" s="17"/>
      <c r="D1664" s="13"/>
      <c r="E1664" s="11"/>
      <c r="F1664" s="11"/>
      <c r="G1664" s="13">
        <f t="shared" si="1"/>
        <v>1281</v>
      </c>
      <c r="H1664" s="13"/>
    </row>
    <row r="1665" ht="22.5" customHeight="1">
      <c r="B1665" s="17"/>
      <c r="C1665" s="17"/>
      <c r="D1665" s="13"/>
      <c r="E1665" s="11"/>
      <c r="F1665" s="11"/>
      <c r="G1665" s="13">
        <f t="shared" si="1"/>
        <v>1281</v>
      </c>
      <c r="H1665" s="13"/>
    </row>
    <row r="1666" ht="22.5" customHeight="1">
      <c r="B1666" s="17"/>
      <c r="C1666" s="17"/>
      <c r="D1666" s="13"/>
      <c r="E1666" s="11"/>
      <c r="F1666" s="11"/>
      <c r="G1666" s="13">
        <f t="shared" si="1"/>
        <v>1281</v>
      </c>
      <c r="H1666" s="13"/>
    </row>
    <row r="1667" ht="22.5" customHeight="1">
      <c r="B1667" s="17"/>
      <c r="C1667" s="17"/>
      <c r="D1667" s="13"/>
      <c r="E1667" s="11"/>
      <c r="F1667" s="11"/>
      <c r="G1667" s="13">
        <f t="shared" si="1"/>
        <v>1281</v>
      </c>
      <c r="H1667" s="13"/>
    </row>
    <row r="1668" ht="22.5" customHeight="1">
      <c r="B1668" s="17"/>
      <c r="C1668" s="17"/>
      <c r="D1668" s="13"/>
      <c r="E1668" s="11"/>
      <c r="F1668" s="11"/>
      <c r="G1668" s="13">
        <f t="shared" si="1"/>
        <v>1281</v>
      </c>
      <c r="H1668" s="13"/>
    </row>
    <row r="1669" ht="22.5" customHeight="1">
      <c r="B1669" s="17"/>
      <c r="C1669" s="17"/>
      <c r="D1669" s="13"/>
      <c r="E1669" s="11"/>
      <c r="F1669" s="11"/>
      <c r="G1669" s="13">
        <f t="shared" si="1"/>
        <v>1281</v>
      </c>
      <c r="H1669" s="13"/>
    </row>
    <row r="1670" ht="22.5" customHeight="1">
      <c r="B1670" s="17"/>
      <c r="C1670" s="17"/>
      <c r="D1670" s="13"/>
      <c r="E1670" s="11"/>
      <c r="F1670" s="11"/>
      <c r="G1670" s="13">
        <f t="shared" si="1"/>
        <v>1281</v>
      </c>
      <c r="H1670" s="13"/>
    </row>
    <row r="1671" ht="22.5" customHeight="1">
      <c r="B1671" s="17"/>
      <c r="C1671" s="17"/>
      <c r="D1671" s="13"/>
      <c r="E1671" s="11"/>
      <c r="F1671" s="11"/>
      <c r="G1671" s="13">
        <f t="shared" si="1"/>
        <v>1281</v>
      </c>
      <c r="H1671" s="13"/>
    </row>
    <row r="1672" ht="22.5" customHeight="1">
      <c r="B1672" s="17"/>
      <c r="C1672" s="17"/>
      <c r="D1672" s="13"/>
      <c r="E1672" s="11"/>
      <c r="F1672" s="11"/>
      <c r="G1672" s="13">
        <f t="shared" si="1"/>
        <v>1281</v>
      </c>
      <c r="H1672" s="13"/>
    </row>
    <row r="1673" ht="22.5" customHeight="1">
      <c r="B1673" s="17"/>
      <c r="C1673" s="17"/>
      <c r="D1673" s="13"/>
      <c r="E1673" s="11"/>
      <c r="F1673" s="11"/>
      <c r="G1673" s="13">
        <f t="shared" si="1"/>
        <v>1281</v>
      </c>
      <c r="H1673" s="13"/>
    </row>
    <row r="1674" ht="22.5" customHeight="1">
      <c r="B1674" s="17"/>
      <c r="C1674" s="17"/>
      <c r="D1674" s="13"/>
      <c r="E1674" s="11"/>
      <c r="F1674" s="11"/>
      <c r="G1674" s="13">
        <f t="shared" si="1"/>
        <v>1281</v>
      </c>
      <c r="H1674" s="13"/>
    </row>
    <row r="1675" ht="22.5" customHeight="1">
      <c r="B1675" s="17"/>
      <c r="C1675" s="17"/>
      <c r="D1675" s="13"/>
      <c r="E1675" s="11"/>
      <c r="F1675" s="11"/>
      <c r="G1675" s="13">
        <f t="shared" si="1"/>
        <v>1281</v>
      </c>
      <c r="H1675" s="13"/>
    </row>
    <row r="1676" ht="22.5" customHeight="1">
      <c r="B1676" s="17"/>
      <c r="C1676" s="17"/>
      <c r="D1676" s="13"/>
      <c r="E1676" s="11"/>
      <c r="F1676" s="11"/>
      <c r="G1676" s="13">
        <f t="shared" si="1"/>
        <v>1281</v>
      </c>
      <c r="H1676" s="13"/>
    </row>
    <row r="1677" ht="22.5" customHeight="1">
      <c r="B1677" s="17"/>
      <c r="C1677" s="17"/>
      <c r="D1677" s="13"/>
      <c r="E1677" s="11"/>
      <c r="F1677" s="11"/>
      <c r="G1677" s="13">
        <f t="shared" si="1"/>
        <v>1281</v>
      </c>
      <c r="H1677" s="13"/>
    </row>
    <row r="1678" ht="22.5" customHeight="1">
      <c r="B1678" s="17"/>
      <c r="C1678" s="17"/>
      <c r="D1678" s="13"/>
      <c r="E1678" s="11"/>
      <c r="F1678" s="11"/>
      <c r="G1678" s="13">
        <f t="shared" si="1"/>
        <v>1281</v>
      </c>
      <c r="H1678" s="13"/>
    </row>
    <row r="1679" ht="22.5" customHeight="1">
      <c r="B1679" s="17"/>
      <c r="C1679" s="17"/>
      <c r="D1679" s="13"/>
      <c r="E1679" s="11"/>
      <c r="F1679" s="11"/>
      <c r="G1679" s="13">
        <f t="shared" si="1"/>
        <v>1281</v>
      </c>
      <c r="H1679" s="13"/>
    </row>
    <row r="1680" ht="22.5" customHeight="1">
      <c r="B1680" s="17"/>
      <c r="C1680" s="17"/>
      <c r="D1680" s="13"/>
      <c r="E1680" s="11"/>
      <c r="F1680" s="11"/>
      <c r="G1680" s="13">
        <f t="shared" si="1"/>
        <v>1281</v>
      </c>
      <c r="H1680" s="13"/>
    </row>
    <row r="1681" ht="22.5" customHeight="1">
      <c r="B1681" s="17"/>
      <c r="C1681" s="17"/>
      <c r="D1681" s="13"/>
      <c r="E1681" s="11"/>
      <c r="F1681" s="11"/>
      <c r="G1681" s="13">
        <f t="shared" si="1"/>
        <v>1281</v>
      </c>
      <c r="H1681" s="13"/>
    </row>
    <row r="1682" ht="22.5" customHeight="1">
      <c r="B1682" s="17"/>
      <c r="C1682" s="17"/>
      <c r="D1682" s="13"/>
      <c r="E1682" s="11"/>
      <c r="F1682" s="11"/>
      <c r="G1682" s="13">
        <f t="shared" si="1"/>
        <v>1281</v>
      </c>
      <c r="H1682" s="13"/>
    </row>
    <row r="1683" ht="22.5" customHeight="1">
      <c r="B1683" s="17"/>
      <c r="C1683" s="17"/>
      <c r="D1683" s="13"/>
      <c r="E1683" s="11"/>
      <c r="F1683" s="11"/>
      <c r="G1683" s="13">
        <f t="shared" si="1"/>
        <v>1281</v>
      </c>
      <c r="H1683" s="13"/>
    </row>
    <row r="1684" ht="22.5" customHeight="1">
      <c r="B1684" s="17"/>
      <c r="C1684" s="17"/>
      <c r="D1684" s="13"/>
      <c r="E1684" s="11"/>
      <c r="F1684" s="11"/>
      <c r="G1684" s="13">
        <f t="shared" si="1"/>
        <v>1281</v>
      </c>
      <c r="H1684" s="13"/>
    </row>
    <row r="1685" ht="22.5" customHeight="1">
      <c r="B1685" s="17"/>
      <c r="C1685" s="17"/>
      <c r="D1685" s="13"/>
      <c r="E1685" s="11"/>
      <c r="F1685" s="11"/>
      <c r="G1685" s="13">
        <f t="shared" si="1"/>
        <v>1281</v>
      </c>
      <c r="H1685" s="13"/>
    </row>
    <row r="1686" ht="22.5" customHeight="1">
      <c r="B1686" s="17"/>
      <c r="C1686" s="17"/>
      <c r="D1686" s="13"/>
      <c r="E1686" s="11"/>
      <c r="F1686" s="11"/>
      <c r="G1686" s="13">
        <f t="shared" si="1"/>
        <v>1281</v>
      </c>
      <c r="H1686" s="13"/>
    </row>
    <row r="1687" ht="22.5" customHeight="1">
      <c r="B1687" s="17"/>
      <c r="C1687" s="17"/>
      <c r="D1687" s="13"/>
      <c r="E1687" s="11"/>
      <c r="F1687" s="11"/>
      <c r="G1687" s="13">
        <f t="shared" si="1"/>
        <v>1281</v>
      </c>
      <c r="H1687" s="13"/>
    </row>
    <row r="1688" ht="22.5" customHeight="1">
      <c r="B1688" s="17"/>
      <c r="C1688" s="17"/>
      <c r="D1688" s="13"/>
      <c r="E1688" s="11"/>
      <c r="F1688" s="11"/>
      <c r="G1688" s="13">
        <f t="shared" si="1"/>
        <v>1281</v>
      </c>
      <c r="H1688" s="13"/>
    </row>
    <row r="1689" ht="22.5" customHeight="1">
      <c r="B1689" s="17"/>
      <c r="C1689" s="17"/>
      <c r="D1689" s="13"/>
      <c r="E1689" s="11"/>
      <c r="F1689" s="11"/>
      <c r="G1689" s="13">
        <f t="shared" si="1"/>
        <v>1281</v>
      </c>
      <c r="H1689" s="13"/>
    </row>
    <row r="1690" ht="22.5" customHeight="1">
      <c r="B1690" s="17"/>
      <c r="C1690" s="17"/>
      <c r="D1690" s="13"/>
      <c r="E1690" s="11"/>
      <c r="F1690" s="11"/>
      <c r="G1690" s="13">
        <f t="shared" si="1"/>
        <v>1281</v>
      </c>
      <c r="H1690" s="13"/>
    </row>
    <row r="1691" ht="22.5" customHeight="1">
      <c r="B1691" s="17"/>
      <c r="C1691" s="17"/>
      <c r="D1691" s="13"/>
      <c r="E1691" s="11"/>
      <c r="F1691" s="11"/>
      <c r="G1691" s="13">
        <f t="shared" si="1"/>
        <v>1281</v>
      </c>
      <c r="H1691" s="13"/>
    </row>
    <row r="1692" ht="22.5" customHeight="1">
      <c r="B1692" s="17"/>
      <c r="C1692" s="17"/>
      <c r="D1692" s="13"/>
      <c r="E1692" s="11"/>
      <c r="F1692" s="11"/>
      <c r="G1692" s="13">
        <f t="shared" si="1"/>
        <v>1281</v>
      </c>
      <c r="H1692" s="13"/>
    </row>
    <row r="1693" ht="22.5" customHeight="1">
      <c r="B1693" s="17"/>
      <c r="C1693" s="17"/>
      <c r="D1693" s="13"/>
      <c r="E1693" s="11"/>
      <c r="F1693" s="11"/>
      <c r="G1693" s="13">
        <f t="shared" si="1"/>
        <v>1281</v>
      </c>
      <c r="H1693" s="13"/>
    </row>
    <row r="1694" ht="22.5" customHeight="1">
      <c r="B1694" s="17"/>
      <c r="C1694" s="17"/>
      <c r="D1694" s="13"/>
      <c r="E1694" s="11"/>
      <c r="F1694" s="11"/>
      <c r="G1694" s="13">
        <f t="shared" si="1"/>
        <v>1281</v>
      </c>
      <c r="H1694" s="13"/>
    </row>
    <row r="1695" ht="22.5" customHeight="1">
      <c r="B1695" s="17"/>
      <c r="C1695" s="17"/>
      <c r="D1695" s="13"/>
      <c r="E1695" s="11"/>
      <c r="F1695" s="11"/>
      <c r="G1695" s="13">
        <f t="shared" si="1"/>
        <v>1281</v>
      </c>
      <c r="H1695" s="13"/>
    </row>
    <row r="1696" ht="22.5" customHeight="1">
      <c r="B1696" s="17"/>
      <c r="C1696" s="17"/>
      <c r="D1696" s="13"/>
      <c r="E1696" s="11"/>
      <c r="F1696" s="11"/>
      <c r="G1696" s="13">
        <f t="shared" si="1"/>
        <v>1281</v>
      </c>
      <c r="H1696" s="13"/>
    </row>
    <row r="1697" ht="22.5" customHeight="1">
      <c r="B1697" s="17"/>
      <c r="C1697" s="17"/>
      <c r="D1697" s="13"/>
      <c r="E1697" s="11"/>
      <c r="F1697" s="11"/>
      <c r="G1697" s="13">
        <f t="shared" si="1"/>
        <v>1281</v>
      </c>
      <c r="H1697" s="13"/>
    </row>
    <row r="1698" ht="22.5" customHeight="1">
      <c r="B1698" s="17"/>
      <c r="C1698" s="17"/>
      <c r="D1698" s="13"/>
      <c r="E1698" s="11"/>
      <c r="F1698" s="11"/>
      <c r="G1698" s="13">
        <f t="shared" si="1"/>
        <v>1281</v>
      </c>
      <c r="H1698" s="13"/>
    </row>
    <row r="1699" ht="22.5" customHeight="1">
      <c r="B1699" s="17"/>
      <c r="C1699" s="17"/>
      <c r="D1699" s="13"/>
      <c r="E1699" s="11"/>
      <c r="F1699" s="11"/>
      <c r="G1699" s="13">
        <f t="shared" si="1"/>
        <v>1281</v>
      </c>
      <c r="H1699" s="13"/>
    </row>
    <row r="1700" ht="22.5" customHeight="1">
      <c r="B1700" s="17"/>
      <c r="C1700" s="17"/>
      <c r="D1700" s="13"/>
      <c r="E1700" s="11"/>
      <c r="F1700" s="11"/>
      <c r="G1700" s="13">
        <f t="shared" si="1"/>
        <v>1281</v>
      </c>
      <c r="H1700" s="13"/>
    </row>
    <row r="1701" ht="22.5" customHeight="1">
      <c r="B1701" s="17"/>
      <c r="C1701" s="17"/>
      <c r="D1701" s="13"/>
      <c r="E1701" s="11"/>
      <c r="F1701" s="11"/>
      <c r="G1701" s="13">
        <f t="shared" si="1"/>
        <v>1281</v>
      </c>
      <c r="H1701" s="13"/>
    </row>
    <row r="1702" ht="22.5" customHeight="1">
      <c r="B1702" s="17"/>
      <c r="C1702" s="17"/>
      <c r="D1702" s="13"/>
      <c r="E1702" s="11"/>
      <c r="F1702" s="11"/>
      <c r="G1702" s="13">
        <f t="shared" si="1"/>
        <v>1281</v>
      </c>
      <c r="H1702" s="13"/>
    </row>
    <row r="1703" ht="22.5" customHeight="1">
      <c r="B1703" s="17"/>
      <c r="C1703" s="17"/>
      <c r="D1703" s="13"/>
      <c r="E1703" s="11"/>
      <c r="F1703" s="11"/>
      <c r="G1703" s="13">
        <f t="shared" si="1"/>
        <v>1281</v>
      </c>
      <c r="H1703" s="13"/>
    </row>
    <row r="1704" ht="22.5" customHeight="1">
      <c r="B1704" s="17"/>
      <c r="C1704" s="17"/>
      <c r="D1704" s="13"/>
      <c r="E1704" s="11"/>
      <c r="F1704" s="11"/>
      <c r="G1704" s="13">
        <f t="shared" si="1"/>
        <v>1281</v>
      </c>
      <c r="H1704" s="13"/>
    </row>
    <row r="1705" ht="22.5" customHeight="1">
      <c r="B1705" s="17"/>
      <c r="C1705" s="17"/>
      <c r="D1705" s="13"/>
      <c r="E1705" s="11"/>
      <c r="F1705" s="11"/>
      <c r="G1705" s="13">
        <f t="shared" si="1"/>
        <v>1281</v>
      </c>
      <c r="H1705" s="13"/>
    </row>
    <row r="1706" ht="22.5" customHeight="1">
      <c r="B1706" s="17"/>
      <c r="C1706" s="17"/>
      <c r="D1706" s="13"/>
      <c r="E1706" s="11"/>
      <c r="F1706" s="11"/>
      <c r="G1706" s="13">
        <f t="shared" si="1"/>
        <v>1281</v>
      </c>
      <c r="H1706" s="13"/>
    </row>
    <row r="1707" ht="22.5" customHeight="1">
      <c r="B1707" s="17"/>
      <c r="C1707" s="17"/>
      <c r="D1707" s="13"/>
      <c r="E1707" s="11"/>
      <c r="F1707" s="11"/>
      <c r="G1707" s="13">
        <f t="shared" si="1"/>
        <v>1281</v>
      </c>
      <c r="H1707" s="13"/>
    </row>
    <row r="1708" ht="22.5" customHeight="1">
      <c r="B1708" s="17"/>
      <c r="C1708" s="17"/>
      <c r="D1708" s="13"/>
      <c r="E1708" s="11"/>
      <c r="F1708" s="11"/>
      <c r="G1708" s="13">
        <f t="shared" si="1"/>
        <v>1281</v>
      </c>
      <c r="H1708" s="13"/>
    </row>
    <row r="1709" ht="22.5" customHeight="1">
      <c r="B1709" s="17"/>
      <c r="C1709" s="17"/>
      <c r="D1709" s="13"/>
      <c r="E1709" s="11"/>
      <c r="F1709" s="11"/>
      <c r="G1709" s="13">
        <f t="shared" si="1"/>
        <v>1281</v>
      </c>
      <c r="H1709" s="13"/>
    </row>
    <row r="1710" ht="22.5" customHeight="1">
      <c r="B1710" s="17"/>
      <c r="C1710" s="17"/>
      <c r="D1710" s="13"/>
      <c r="E1710" s="11"/>
      <c r="F1710" s="11"/>
      <c r="G1710" s="13">
        <f t="shared" si="1"/>
        <v>1281</v>
      </c>
      <c r="H1710" s="13"/>
    </row>
    <row r="1711" ht="22.5" customHeight="1">
      <c r="B1711" s="17"/>
      <c r="C1711" s="17"/>
      <c r="D1711" s="13"/>
      <c r="E1711" s="11"/>
      <c r="F1711" s="11"/>
      <c r="G1711" s="13">
        <f t="shared" si="1"/>
        <v>1281</v>
      </c>
      <c r="H1711" s="13"/>
    </row>
    <row r="1712" ht="22.5" customHeight="1">
      <c r="B1712" s="17"/>
      <c r="C1712" s="17"/>
      <c r="D1712" s="13"/>
      <c r="E1712" s="11"/>
      <c r="F1712" s="11"/>
      <c r="G1712" s="13">
        <f t="shared" si="1"/>
        <v>1281</v>
      </c>
      <c r="H1712" s="13"/>
    </row>
    <row r="1713" ht="22.5" customHeight="1">
      <c r="B1713" s="17"/>
      <c r="C1713" s="17"/>
      <c r="D1713" s="13"/>
      <c r="E1713" s="11"/>
      <c r="F1713" s="11"/>
      <c r="G1713" s="13">
        <f t="shared" si="1"/>
        <v>1281</v>
      </c>
      <c r="H1713" s="13"/>
    </row>
    <row r="1714" ht="22.5" customHeight="1">
      <c r="B1714" s="17"/>
      <c r="C1714" s="17"/>
      <c r="D1714" s="13"/>
      <c r="E1714" s="11"/>
      <c r="F1714" s="11"/>
      <c r="G1714" s="13">
        <f t="shared" si="1"/>
        <v>1281</v>
      </c>
      <c r="H1714" s="13"/>
    </row>
    <row r="1715" ht="22.5" customHeight="1">
      <c r="B1715" s="17"/>
      <c r="C1715" s="17"/>
      <c r="D1715" s="13"/>
      <c r="E1715" s="11"/>
      <c r="F1715" s="11"/>
      <c r="G1715" s="13">
        <f t="shared" si="1"/>
        <v>1281</v>
      </c>
      <c r="H1715" s="13"/>
    </row>
    <row r="1716" ht="22.5" customHeight="1">
      <c r="B1716" s="17"/>
      <c r="C1716" s="17"/>
      <c r="D1716" s="13"/>
      <c r="E1716" s="11"/>
      <c r="F1716" s="11"/>
      <c r="G1716" s="13">
        <f t="shared" si="1"/>
        <v>1281</v>
      </c>
      <c r="H1716" s="13"/>
    </row>
    <row r="1717" ht="22.5" customHeight="1">
      <c r="B1717" s="17"/>
      <c r="C1717" s="17"/>
      <c r="D1717" s="13"/>
      <c r="E1717" s="11"/>
      <c r="F1717" s="11"/>
      <c r="G1717" s="13">
        <f t="shared" si="1"/>
        <v>1281</v>
      </c>
      <c r="H1717" s="13"/>
    </row>
    <row r="1718" ht="22.5" customHeight="1">
      <c r="B1718" s="17"/>
      <c r="C1718" s="17"/>
      <c r="D1718" s="13"/>
      <c r="E1718" s="11"/>
      <c r="F1718" s="11"/>
      <c r="G1718" s="13">
        <f t="shared" si="1"/>
        <v>1281</v>
      </c>
      <c r="H1718" s="13"/>
    </row>
    <row r="1719" ht="22.5" customHeight="1">
      <c r="B1719" s="17"/>
      <c r="C1719" s="17"/>
      <c r="D1719" s="13"/>
      <c r="E1719" s="11"/>
      <c r="F1719" s="11"/>
      <c r="G1719" s="13">
        <f t="shared" si="1"/>
        <v>1281</v>
      </c>
      <c r="H1719" s="13"/>
    </row>
    <row r="1720" ht="22.5" customHeight="1">
      <c r="B1720" s="17"/>
      <c r="C1720" s="17"/>
      <c r="D1720" s="13"/>
      <c r="E1720" s="11"/>
      <c r="F1720" s="11"/>
      <c r="G1720" s="13">
        <f t="shared" si="1"/>
        <v>1281</v>
      </c>
      <c r="H1720" s="13"/>
    </row>
    <row r="1721" ht="22.5" customHeight="1">
      <c r="B1721" s="17"/>
      <c r="C1721" s="17"/>
      <c r="D1721" s="13"/>
      <c r="E1721" s="11"/>
      <c r="F1721" s="11"/>
      <c r="G1721" s="13">
        <f t="shared" si="1"/>
        <v>1281</v>
      </c>
      <c r="H1721" s="13"/>
    </row>
    <row r="1722" ht="22.5" customHeight="1">
      <c r="B1722" s="17"/>
      <c r="C1722" s="17"/>
      <c r="D1722" s="13"/>
      <c r="E1722" s="11"/>
      <c r="F1722" s="11"/>
      <c r="G1722" s="13">
        <f t="shared" si="1"/>
        <v>1281</v>
      </c>
      <c r="H1722" s="13"/>
    </row>
    <row r="1723" ht="22.5" customHeight="1">
      <c r="B1723" s="17"/>
      <c r="C1723" s="17"/>
      <c r="D1723" s="13"/>
      <c r="E1723" s="11"/>
      <c r="F1723" s="11"/>
      <c r="G1723" s="13">
        <f t="shared" si="1"/>
        <v>1281</v>
      </c>
      <c r="H1723" s="13"/>
    </row>
    <row r="1724" ht="22.5" customHeight="1">
      <c r="B1724" s="17"/>
      <c r="C1724" s="17"/>
      <c r="D1724" s="13"/>
      <c r="E1724" s="11"/>
      <c r="F1724" s="11"/>
      <c r="G1724" s="13">
        <f t="shared" si="1"/>
        <v>1281</v>
      </c>
      <c r="H1724" s="13"/>
    </row>
    <row r="1725" ht="22.5" customHeight="1">
      <c r="B1725" s="17"/>
      <c r="C1725" s="17"/>
      <c r="D1725" s="13"/>
      <c r="E1725" s="11"/>
      <c r="F1725" s="11"/>
      <c r="G1725" s="13">
        <f t="shared" si="1"/>
        <v>1281</v>
      </c>
      <c r="H1725" s="13"/>
    </row>
    <row r="1726" ht="22.5" customHeight="1">
      <c r="B1726" s="17"/>
      <c r="C1726" s="17"/>
      <c r="D1726" s="13"/>
      <c r="E1726" s="11"/>
      <c r="F1726" s="11"/>
      <c r="G1726" s="13">
        <f t="shared" si="1"/>
        <v>1281</v>
      </c>
      <c r="H1726" s="13"/>
    </row>
    <row r="1727" ht="22.5" customHeight="1">
      <c r="B1727" s="17"/>
      <c r="C1727" s="17"/>
      <c r="D1727" s="13"/>
      <c r="E1727" s="11"/>
      <c r="F1727" s="11"/>
      <c r="G1727" s="13">
        <f t="shared" si="1"/>
        <v>1281</v>
      </c>
      <c r="H1727" s="13"/>
    </row>
    <row r="1728" ht="22.5" customHeight="1">
      <c r="B1728" s="17"/>
      <c r="C1728" s="17"/>
      <c r="D1728" s="13"/>
      <c r="E1728" s="11"/>
      <c r="F1728" s="11"/>
      <c r="G1728" s="13">
        <f t="shared" si="1"/>
        <v>1281</v>
      </c>
      <c r="H1728" s="13"/>
    </row>
    <row r="1729" ht="22.5" customHeight="1">
      <c r="B1729" s="17"/>
      <c r="C1729" s="17"/>
      <c r="D1729" s="13"/>
      <c r="E1729" s="11"/>
      <c r="F1729" s="11"/>
      <c r="G1729" s="13">
        <f t="shared" si="1"/>
        <v>1281</v>
      </c>
      <c r="H1729" s="13"/>
    </row>
    <row r="1730" ht="22.5" customHeight="1">
      <c r="B1730" s="17"/>
      <c r="C1730" s="17"/>
      <c r="D1730" s="13"/>
      <c r="E1730" s="11"/>
      <c r="F1730" s="11"/>
      <c r="G1730" s="13">
        <f t="shared" si="1"/>
        <v>1281</v>
      </c>
      <c r="H1730" s="13"/>
    </row>
    <row r="1731" ht="22.5" customHeight="1">
      <c r="B1731" s="17"/>
      <c r="C1731" s="17"/>
      <c r="D1731" s="13"/>
      <c r="E1731" s="11"/>
      <c r="F1731" s="11"/>
      <c r="G1731" s="13">
        <f t="shared" si="1"/>
        <v>1281</v>
      </c>
      <c r="H1731" s="13"/>
    </row>
    <row r="1732" ht="22.5" customHeight="1">
      <c r="B1732" s="17"/>
      <c r="C1732" s="17"/>
      <c r="D1732" s="13"/>
      <c r="E1732" s="11"/>
      <c r="F1732" s="11"/>
      <c r="G1732" s="13">
        <f t="shared" si="1"/>
        <v>1281</v>
      </c>
      <c r="H1732" s="13"/>
    </row>
    <row r="1733" ht="22.5" customHeight="1">
      <c r="B1733" s="17"/>
      <c r="C1733" s="17"/>
      <c r="D1733" s="13"/>
      <c r="E1733" s="11"/>
      <c r="F1733" s="11"/>
      <c r="G1733" s="13">
        <f t="shared" si="1"/>
        <v>1281</v>
      </c>
      <c r="H1733" s="13"/>
    </row>
    <row r="1734" ht="22.5" customHeight="1">
      <c r="B1734" s="17"/>
      <c r="C1734" s="17"/>
      <c r="D1734" s="13"/>
      <c r="E1734" s="11"/>
      <c r="F1734" s="11"/>
      <c r="G1734" s="13">
        <f t="shared" si="1"/>
        <v>1281</v>
      </c>
      <c r="H1734" s="13"/>
    </row>
    <row r="1735" ht="22.5" customHeight="1">
      <c r="B1735" s="17"/>
      <c r="C1735" s="17"/>
      <c r="D1735" s="13"/>
      <c r="E1735" s="11"/>
      <c r="F1735" s="11"/>
      <c r="G1735" s="13">
        <f t="shared" si="1"/>
        <v>1281</v>
      </c>
      <c r="H1735" s="13"/>
    </row>
    <row r="1736" ht="22.5" customHeight="1">
      <c r="B1736" s="17"/>
      <c r="C1736" s="17"/>
      <c r="D1736" s="13"/>
      <c r="E1736" s="11"/>
      <c r="F1736" s="11"/>
      <c r="G1736" s="13">
        <f t="shared" si="1"/>
        <v>1281</v>
      </c>
      <c r="H1736" s="13"/>
    </row>
    <row r="1737" ht="22.5" customHeight="1">
      <c r="B1737" s="17"/>
      <c r="C1737" s="17"/>
      <c r="D1737" s="13"/>
      <c r="E1737" s="11"/>
      <c r="F1737" s="11"/>
      <c r="G1737" s="13">
        <f t="shared" si="1"/>
        <v>1281</v>
      </c>
      <c r="H1737" s="13"/>
    </row>
    <row r="1738" ht="22.5" customHeight="1">
      <c r="B1738" s="17"/>
      <c r="C1738" s="17"/>
      <c r="D1738" s="13"/>
      <c r="E1738" s="11"/>
      <c r="F1738" s="11"/>
      <c r="G1738" s="13">
        <f t="shared" si="1"/>
        <v>1281</v>
      </c>
      <c r="H1738" s="13"/>
    </row>
    <row r="1739" ht="22.5" customHeight="1">
      <c r="B1739" s="17"/>
      <c r="C1739" s="17"/>
      <c r="D1739" s="13"/>
      <c r="E1739" s="11"/>
      <c r="F1739" s="11"/>
      <c r="G1739" s="13">
        <f t="shared" si="1"/>
        <v>1281</v>
      </c>
      <c r="H1739" s="13"/>
    </row>
    <row r="1740" ht="22.5" customHeight="1">
      <c r="B1740" s="17"/>
      <c r="C1740" s="17"/>
      <c r="D1740" s="13"/>
      <c r="E1740" s="11"/>
      <c r="F1740" s="11"/>
      <c r="G1740" s="13">
        <f t="shared" si="1"/>
        <v>1281</v>
      </c>
      <c r="H1740" s="13"/>
    </row>
    <row r="1741" ht="22.5" customHeight="1">
      <c r="B1741" s="17"/>
      <c r="C1741" s="17"/>
      <c r="D1741" s="13"/>
      <c r="E1741" s="11"/>
      <c r="F1741" s="11"/>
      <c r="G1741" s="13">
        <f t="shared" si="1"/>
        <v>1281</v>
      </c>
      <c r="H1741" s="13"/>
    </row>
    <row r="1742" ht="22.5" customHeight="1">
      <c r="B1742" s="17"/>
      <c r="C1742" s="17"/>
      <c r="D1742" s="13"/>
      <c r="E1742" s="11"/>
      <c r="F1742" s="11"/>
      <c r="G1742" s="13">
        <f t="shared" si="1"/>
        <v>1281</v>
      </c>
      <c r="H1742" s="13"/>
    </row>
    <row r="1743" ht="22.5" customHeight="1">
      <c r="B1743" s="17"/>
      <c r="C1743" s="17"/>
      <c r="D1743" s="13"/>
      <c r="E1743" s="11"/>
      <c r="F1743" s="11"/>
      <c r="G1743" s="13">
        <f t="shared" si="1"/>
        <v>1281</v>
      </c>
      <c r="H1743" s="13"/>
    </row>
    <row r="1744" ht="22.5" customHeight="1">
      <c r="B1744" s="17"/>
      <c r="C1744" s="17"/>
      <c r="D1744" s="13"/>
      <c r="E1744" s="11"/>
      <c r="F1744" s="11"/>
      <c r="G1744" s="13">
        <f t="shared" si="1"/>
        <v>1281</v>
      </c>
      <c r="H1744" s="13"/>
    </row>
    <row r="1745" ht="22.5" customHeight="1">
      <c r="B1745" s="17"/>
      <c r="C1745" s="17"/>
      <c r="D1745" s="13"/>
      <c r="E1745" s="11"/>
      <c r="F1745" s="11"/>
      <c r="G1745" s="13">
        <f t="shared" si="1"/>
        <v>1281</v>
      </c>
      <c r="H1745" s="13"/>
    </row>
    <row r="1746" ht="22.5" customHeight="1">
      <c r="B1746" s="17"/>
      <c r="C1746" s="17"/>
      <c r="D1746" s="13"/>
      <c r="E1746" s="11"/>
      <c r="F1746" s="11"/>
      <c r="G1746" s="13">
        <f t="shared" si="1"/>
        <v>1281</v>
      </c>
      <c r="H1746" s="13"/>
    </row>
    <row r="1747" ht="22.5" customHeight="1">
      <c r="B1747" s="17"/>
      <c r="C1747" s="17"/>
      <c r="D1747" s="13"/>
      <c r="E1747" s="11"/>
      <c r="F1747" s="11"/>
      <c r="G1747" s="13">
        <f t="shared" si="1"/>
        <v>1281</v>
      </c>
      <c r="H1747" s="13"/>
    </row>
    <row r="1748" ht="22.5" customHeight="1">
      <c r="B1748" s="17"/>
      <c r="C1748" s="17"/>
      <c r="D1748" s="13"/>
      <c r="E1748" s="11"/>
      <c r="F1748" s="11"/>
      <c r="G1748" s="13">
        <f t="shared" si="1"/>
        <v>1281</v>
      </c>
      <c r="H1748" s="13"/>
    </row>
    <row r="1749" ht="22.5" customHeight="1">
      <c r="B1749" s="17"/>
      <c r="C1749" s="17"/>
      <c r="D1749" s="13"/>
      <c r="E1749" s="11"/>
      <c r="F1749" s="11"/>
      <c r="G1749" s="13">
        <f t="shared" si="1"/>
        <v>1281</v>
      </c>
      <c r="H1749" s="13"/>
    </row>
    <row r="1750" ht="22.5" customHeight="1">
      <c r="B1750" s="17"/>
      <c r="C1750" s="17"/>
      <c r="D1750" s="13"/>
      <c r="E1750" s="11"/>
      <c r="F1750" s="11"/>
      <c r="G1750" s="13">
        <f t="shared" si="1"/>
        <v>1281</v>
      </c>
      <c r="H1750" s="13"/>
    </row>
    <row r="1751" ht="22.5" customHeight="1">
      <c r="B1751" s="17"/>
      <c r="C1751" s="17"/>
      <c r="D1751" s="13"/>
      <c r="E1751" s="11"/>
      <c r="F1751" s="11"/>
      <c r="G1751" s="13">
        <f t="shared" si="1"/>
        <v>1281</v>
      </c>
      <c r="H1751" s="13"/>
    </row>
    <row r="1752" ht="22.5" customHeight="1">
      <c r="B1752" s="17"/>
      <c r="C1752" s="17"/>
      <c r="D1752" s="13"/>
      <c r="E1752" s="11"/>
      <c r="F1752" s="11"/>
      <c r="G1752" s="13">
        <f t="shared" si="1"/>
        <v>1281</v>
      </c>
      <c r="H1752" s="13"/>
    </row>
    <row r="1753" ht="22.5" customHeight="1">
      <c r="B1753" s="17"/>
      <c r="C1753" s="17"/>
      <c r="D1753" s="13"/>
      <c r="E1753" s="11"/>
      <c r="F1753" s="11"/>
      <c r="G1753" s="13">
        <f t="shared" si="1"/>
        <v>1281</v>
      </c>
      <c r="H1753" s="13"/>
    </row>
    <row r="1754" ht="22.5" customHeight="1">
      <c r="B1754" s="17"/>
      <c r="C1754" s="17"/>
      <c r="D1754" s="13"/>
      <c r="E1754" s="11"/>
      <c r="F1754" s="11"/>
      <c r="G1754" s="13">
        <f t="shared" si="1"/>
        <v>1281</v>
      </c>
      <c r="H1754" s="13"/>
    </row>
    <row r="1755" ht="22.5" customHeight="1">
      <c r="B1755" s="17"/>
      <c r="C1755" s="17"/>
      <c r="D1755" s="13"/>
      <c r="E1755" s="11"/>
      <c r="F1755" s="11"/>
      <c r="G1755" s="13">
        <f t="shared" si="1"/>
        <v>1281</v>
      </c>
      <c r="H1755" s="13"/>
    </row>
    <row r="1756" ht="22.5" customHeight="1">
      <c r="B1756" s="17"/>
      <c r="C1756" s="17"/>
      <c r="D1756" s="13"/>
      <c r="E1756" s="11"/>
      <c r="F1756" s="11"/>
      <c r="G1756" s="13">
        <f t="shared" si="1"/>
        <v>1281</v>
      </c>
      <c r="H1756" s="13"/>
    </row>
    <row r="1757" ht="22.5" customHeight="1">
      <c r="B1757" s="17"/>
      <c r="C1757" s="17"/>
      <c r="D1757" s="13"/>
      <c r="E1757" s="11"/>
      <c r="F1757" s="11"/>
      <c r="G1757" s="13">
        <f t="shared" si="1"/>
        <v>1281</v>
      </c>
      <c r="H1757" s="13"/>
    </row>
    <row r="1758" ht="22.5" customHeight="1">
      <c r="B1758" s="17"/>
      <c r="C1758" s="17"/>
      <c r="D1758" s="13"/>
      <c r="E1758" s="11"/>
      <c r="F1758" s="11"/>
      <c r="G1758" s="13">
        <f t="shared" si="1"/>
        <v>1281</v>
      </c>
      <c r="H1758" s="13"/>
    </row>
    <row r="1759" ht="22.5" customHeight="1">
      <c r="B1759" s="17"/>
      <c r="C1759" s="17"/>
      <c r="D1759" s="13"/>
      <c r="E1759" s="11"/>
      <c r="F1759" s="11"/>
      <c r="G1759" s="13">
        <f t="shared" si="1"/>
        <v>1281</v>
      </c>
      <c r="H1759" s="13"/>
    </row>
    <row r="1760" ht="22.5" customHeight="1">
      <c r="B1760" s="17"/>
      <c r="C1760" s="17"/>
      <c r="D1760" s="13"/>
      <c r="E1760" s="11"/>
      <c r="F1760" s="11"/>
      <c r="G1760" s="13">
        <f t="shared" si="1"/>
        <v>1281</v>
      </c>
      <c r="H1760" s="13"/>
    </row>
    <row r="1761" ht="22.5" customHeight="1">
      <c r="B1761" s="17"/>
      <c r="C1761" s="17"/>
      <c r="D1761" s="13"/>
      <c r="E1761" s="11"/>
      <c r="F1761" s="11"/>
      <c r="G1761" s="13">
        <f t="shared" si="1"/>
        <v>1281</v>
      </c>
      <c r="H1761" s="13"/>
    </row>
    <row r="1762" ht="22.5" customHeight="1">
      <c r="B1762" s="17"/>
      <c r="C1762" s="17"/>
      <c r="D1762" s="13"/>
      <c r="E1762" s="11"/>
      <c r="F1762" s="11"/>
      <c r="G1762" s="13">
        <f t="shared" si="1"/>
        <v>1281</v>
      </c>
      <c r="H1762" s="13"/>
    </row>
    <row r="1763" ht="22.5" customHeight="1">
      <c r="B1763" s="17"/>
      <c r="C1763" s="17"/>
      <c r="D1763" s="13"/>
      <c r="E1763" s="11"/>
      <c r="F1763" s="11"/>
      <c r="G1763" s="13">
        <f t="shared" si="1"/>
        <v>1281</v>
      </c>
      <c r="H1763" s="13"/>
    </row>
    <row r="1764" ht="22.5" customHeight="1">
      <c r="B1764" s="17"/>
      <c r="C1764" s="17"/>
      <c r="D1764" s="13"/>
      <c r="E1764" s="11"/>
      <c r="F1764" s="11"/>
      <c r="G1764" s="13">
        <f t="shared" si="1"/>
        <v>1281</v>
      </c>
      <c r="H1764" s="13"/>
    </row>
    <row r="1765" ht="22.5" customHeight="1">
      <c r="B1765" s="17"/>
      <c r="C1765" s="17"/>
      <c r="D1765" s="13"/>
      <c r="E1765" s="11"/>
      <c r="F1765" s="11"/>
      <c r="G1765" s="13">
        <f t="shared" si="1"/>
        <v>1281</v>
      </c>
      <c r="H1765" s="13"/>
    </row>
    <row r="1766" ht="22.5" customHeight="1">
      <c r="B1766" s="17"/>
      <c r="C1766" s="17"/>
      <c r="D1766" s="13"/>
      <c r="E1766" s="11"/>
      <c r="F1766" s="11"/>
      <c r="G1766" s="13">
        <f t="shared" si="1"/>
        <v>1281</v>
      </c>
      <c r="H1766" s="13"/>
    </row>
    <row r="1767" ht="22.5" customHeight="1">
      <c r="B1767" s="17"/>
      <c r="C1767" s="17"/>
      <c r="D1767" s="13"/>
      <c r="E1767" s="11"/>
      <c r="F1767" s="11"/>
      <c r="G1767" s="13">
        <f t="shared" si="1"/>
        <v>1281</v>
      </c>
      <c r="H1767" s="13"/>
    </row>
    <row r="1768" ht="22.5" customHeight="1">
      <c r="B1768" s="17"/>
      <c r="C1768" s="17"/>
      <c r="D1768" s="13"/>
      <c r="E1768" s="11"/>
      <c r="F1768" s="11"/>
      <c r="G1768" s="13">
        <f t="shared" si="1"/>
        <v>1281</v>
      </c>
      <c r="H1768" s="13"/>
    </row>
    <row r="1769" ht="22.5" customHeight="1">
      <c r="B1769" s="17"/>
      <c r="C1769" s="17"/>
      <c r="D1769" s="13"/>
      <c r="E1769" s="11"/>
      <c r="F1769" s="11"/>
      <c r="G1769" s="13">
        <f t="shared" si="1"/>
        <v>1281</v>
      </c>
      <c r="H1769" s="13"/>
    </row>
    <row r="1770" ht="22.5" customHeight="1">
      <c r="B1770" s="17"/>
      <c r="C1770" s="17"/>
      <c r="D1770" s="13"/>
      <c r="E1770" s="11"/>
      <c r="F1770" s="11"/>
      <c r="G1770" s="13">
        <f t="shared" si="1"/>
        <v>1281</v>
      </c>
      <c r="H1770" s="13"/>
    </row>
    <row r="1771" ht="22.5" customHeight="1">
      <c r="B1771" s="17"/>
      <c r="C1771" s="17"/>
      <c r="D1771" s="13"/>
      <c r="E1771" s="11"/>
      <c r="F1771" s="11"/>
      <c r="G1771" s="13">
        <f t="shared" si="1"/>
        <v>1281</v>
      </c>
      <c r="H1771" s="13"/>
    </row>
    <row r="1772" ht="22.5" customHeight="1">
      <c r="B1772" s="17"/>
      <c r="C1772" s="17"/>
      <c r="D1772" s="13"/>
      <c r="E1772" s="11"/>
      <c r="F1772" s="11"/>
      <c r="G1772" s="13">
        <f t="shared" si="1"/>
        <v>1281</v>
      </c>
      <c r="H1772" s="13"/>
    </row>
    <row r="1773" ht="22.5" customHeight="1">
      <c r="B1773" s="17"/>
      <c r="C1773" s="17"/>
      <c r="D1773" s="13"/>
      <c r="E1773" s="11"/>
      <c r="F1773" s="11"/>
      <c r="G1773" s="13">
        <f t="shared" si="1"/>
        <v>1281</v>
      </c>
      <c r="H1773" s="13"/>
    </row>
    <row r="1774" ht="22.5" customHeight="1">
      <c r="B1774" s="17"/>
      <c r="C1774" s="17"/>
      <c r="D1774" s="13"/>
      <c r="E1774" s="11"/>
      <c r="F1774" s="11"/>
      <c r="G1774" s="13">
        <f t="shared" si="1"/>
        <v>1281</v>
      </c>
      <c r="H1774" s="13"/>
    </row>
    <row r="1775" ht="22.5" customHeight="1">
      <c r="B1775" s="17"/>
      <c r="C1775" s="17"/>
      <c r="D1775" s="13"/>
      <c r="E1775" s="11"/>
      <c r="F1775" s="11"/>
      <c r="G1775" s="13">
        <f t="shared" si="1"/>
        <v>1281</v>
      </c>
      <c r="H1775" s="13"/>
    </row>
    <row r="1776" ht="22.5" customHeight="1">
      <c r="B1776" s="17"/>
      <c r="C1776" s="17"/>
      <c r="D1776" s="13"/>
      <c r="E1776" s="11"/>
      <c r="F1776" s="11"/>
      <c r="G1776" s="13">
        <f t="shared" si="1"/>
        <v>1281</v>
      </c>
      <c r="H1776" s="13"/>
    </row>
    <row r="1777" ht="22.5" customHeight="1">
      <c r="B1777" s="17"/>
      <c r="C1777" s="17"/>
      <c r="D1777" s="13"/>
      <c r="E1777" s="11"/>
      <c r="F1777" s="11"/>
      <c r="G1777" s="13">
        <f t="shared" si="1"/>
        <v>1281</v>
      </c>
      <c r="H1777" s="13"/>
    </row>
    <row r="1778" ht="22.5" customHeight="1">
      <c r="B1778" s="17"/>
      <c r="C1778" s="17"/>
      <c r="D1778" s="13"/>
      <c r="E1778" s="11"/>
      <c r="F1778" s="11"/>
      <c r="G1778" s="13">
        <f t="shared" si="1"/>
        <v>1281</v>
      </c>
      <c r="H1778" s="13"/>
    </row>
    <row r="1779" ht="22.5" customHeight="1">
      <c r="B1779" s="17"/>
      <c r="C1779" s="17"/>
      <c r="D1779" s="13"/>
      <c r="E1779" s="11"/>
      <c r="F1779" s="11"/>
      <c r="G1779" s="13">
        <f t="shared" si="1"/>
        <v>1281</v>
      </c>
      <c r="H1779" s="13"/>
    </row>
    <row r="1780" ht="22.5" customHeight="1">
      <c r="B1780" s="17"/>
      <c r="C1780" s="17"/>
      <c r="D1780" s="13"/>
      <c r="E1780" s="11"/>
      <c r="F1780" s="11"/>
      <c r="G1780" s="13">
        <f t="shared" si="1"/>
        <v>1281</v>
      </c>
      <c r="H1780" s="13"/>
    </row>
    <row r="1781" ht="22.5" customHeight="1">
      <c r="B1781" s="17"/>
      <c r="C1781" s="17"/>
      <c r="D1781" s="13"/>
      <c r="E1781" s="11"/>
      <c r="F1781" s="11"/>
      <c r="G1781" s="13">
        <f t="shared" si="1"/>
        <v>1281</v>
      </c>
      <c r="H1781" s="13"/>
    </row>
    <row r="1782" ht="22.5" customHeight="1">
      <c r="B1782" s="17"/>
      <c r="C1782" s="17"/>
      <c r="D1782" s="13"/>
      <c r="E1782" s="11"/>
      <c r="F1782" s="11"/>
      <c r="G1782" s="13">
        <f t="shared" si="1"/>
        <v>1281</v>
      </c>
      <c r="H1782" s="13"/>
    </row>
    <row r="1783" ht="22.5" customHeight="1">
      <c r="B1783" s="17"/>
      <c r="C1783" s="17"/>
      <c r="D1783" s="13"/>
      <c r="E1783" s="11"/>
      <c r="F1783" s="11"/>
      <c r="G1783" s="13">
        <f t="shared" si="1"/>
        <v>1281</v>
      </c>
      <c r="H1783" s="13"/>
    </row>
    <row r="1784" ht="22.5" customHeight="1">
      <c r="B1784" s="17"/>
      <c r="C1784" s="17"/>
      <c r="D1784" s="13"/>
      <c r="E1784" s="11"/>
      <c r="F1784" s="11"/>
      <c r="G1784" s="13">
        <f t="shared" si="1"/>
        <v>1281</v>
      </c>
      <c r="H1784" s="13"/>
    </row>
    <row r="1785" ht="22.5" customHeight="1">
      <c r="B1785" s="17"/>
      <c r="C1785" s="17"/>
      <c r="D1785" s="13"/>
      <c r="E1785" s="11"/>
      <c r="F1785" s="11"/>
      <c r="G1785" s="13">
        <f t="shared" si="1"/>
        <v>1281</v>
      </c>
      <c r="H1785" s="13"/>
    </row>
    <row r="1786" ht="22.5" customHeight="1">
      <c r="B1786" s="17"/>
      <c r="C1786" s="17"/>
      <c r="D1786" s="13"/>
      <c r="E1786" s="11"/>
      <c r="F1786" s="11"/>
      <c r="G1786" s="13">
        <f t="shared" si="1"/>
        <v>1281</v>
      </c>
      <c r="H1786" s="13"/>
    </row>
    <row r="1787" ht="22.5" customHeight="1">
      <c r="B1787" s="17"/>
      <c r="C1787" s="17"/>
      <c r="D1787" s="13"/>
      <c r="E1787" s="11"/>
      <c r="F1787" s="11"/>
      <c r="G1787" s="13">
        <f t="shared" si="1"/>
        <v>1281</v>
      </c>
      <c r="H1787" s="13"/>
    </row>
    <row r="1788" ht="22.5" customHeight="1">
      <c r="B1788" s="17"/>
      <c r="C1788" s="17"/>
      <c r="D1788" s="13"/>
      <c r="E1788" s="11"/>
      <c r="F1788" s="11"/>
      <c r="G1788" s="13">
        <f t="shared" si="1"/>
        <v>1281</v>
      </c>
      <c r="H1788" s="13"/>
    </row>
    <row r="1789" ht="22.5" customHeight="1">
      <c r="B1789" s="17"/>
      <c r="C1789" s="17"/>
      <c r="D1789" s="13"/>
      <c r="E1789" s="11"/>
      <c r="F1789" s="11"/>
      <c r="G1789" s="13">
        <f t="shared" si="1"/>
        <v>1281</v>
      </c>
      <c r="H1789" s="13"/>
    </row>
    <row r="1790" ht="22.5" customHeight="1">
      <c r="B1790" s="17"/>
      <c r="C1790" s="17"/>
      <c r="D1790" s="13"/>
      <c r="E1790" s="11"/>
      <c r="F1790" s="11"/>
      <c r="G1790" s="13">
        <f t="shared" si="1"/>
        <v>1281</v>
      </c>
      <c r="H1790" s="13"/>
    </row>
    <row r="1791" ht="22.5" customHeight="1">
      <c r="B1791" s="17"/>
      <c r="C1791" s="17"/>
      <c r="D1791" s="13"/>
      <c r="E1791" s="11"/>
      <c r="F1791" s="11"/>
      <c r="G1791" s="13">
        <f t="shared" si="1"/>
        <v>1281</v>
      </c>
      <c r="H1791" s="13"/>
    </row>
    <row r="1792" ht="22.5" customHeight="1">
      <c r="B1792" s="17"/>
      <c r="C1792" s="17"/>
      <c r="D1792" s="13"/>
      <c r="E1792" s="11"/>
      <c r="F1792" s="11"/>
      <c r="G1792" s="13">
        <f t="shared" si="1"/>
        <v>1281</v>
      </c>
      <c r="H1792" s="13"/>
    </row>
    <row r="1793" ht="22.5" customHeight="1">
      <c r="B1793" s="17"/>
      <c r="C1793" s="17"/>
      <c r="D1793" s="13"/>
      <c r="E1793" s="11"/>
      <c r="F1793" s="11"/>
      <c r="G1793" s="13">
        <f t="shared" si="1"/>
        <v>1281</v>
      </c>
      <c r="H1793" s="13"/>
    </row>
    <row r="1794" ht="22.5" customHeight="1">
      <c r="B1794" s="17"/>
      <c r="C1794" s="17"/>
      <c r="D1794" s="13"/>
      <c r="E1794" s="11"/>
      <c r="F1794" s="11"/>
      <c r="G1794" s="13">
        <f t="shared" si="1"/>
        <v>1281</v>
      </c>
      <c r="H1794" s="13"/>
    </row>
    <row r="1795" ht="22.5" customHeight="1">
      <c r="B1795" s="17"/>
      <c r="C1795" s="17"/>
      <c r="D1795" s="13"/>
      <c r="E1795" s="11"/>
      <c r="F1795" s="11"/>
      <c r="G1795" s="13">
        <f t="shared" si="1"/>
        <v>1281</v>
      </c>
      <c r="H1795" s="13"/>
    </row>
    <row r="1796" ht="22.5" customHeight="1">
      <c r="B1796" s="17"/>
      <c r="C1796" s="17"/>
      <c r="D1796" s="13"/>
      <c r="E1796" s="11"/>
      <c r="F1796" s="11"/>
      <c r="G1796" s="13">
        <f t="shared" si="1"/>
        <v>1281</v>
      </c>
      <c r="H1796" s="13"/>
    </row>
    <row r="1797" ht="22.5" customHeight="1">
      <c r="B1797" s="17"/>
      <c r="C1797" s="17"/>
      <c r="D1797" s="13"/>
      <c r="E1797" s="11"/>
      <c r="F1797" s="11"/>
      <c r="G1797" s="13">
        <f t="shared" si="1"/>
        <v>1281</v>
      </c>
      <c r="H1797" s="13"/>
    </row>
    <row r="1798" ht="22.5" customHeight="1">
      <c r="B1798" s="17"/>
      <c r="C1798" s="17"/>
      <c r="D1798" s="13"/>
      <c r="E1798" s="11"/>
      <c r="F1798" s="11"/>
      <c r="G1798" s="13">
        <f t="shared" si="1"/>
        <v>1281</v>
      </c>
      <c r="H1798" s="13"/>
    </row>
    <row r="1799" ht="22.5" customHeight="1">
      <c r="B1799" s="17"/>
      <c r="C1799" s="17"/>
      <c r="D1799" s="13"/>
      <c r="E1799" s="11"/>
      <c r="F1799" s="11"/>
      <c r="G1799" s="13">
        <f t="shared" si="1"/>
        <v>1281</v>
      </c>
      <c r="H1799" s="13"/>
    </row>
    <row r="1800" ht="22.5" customHeight="1">
      <c r="B1800" s="17"/>
      <c r="C1800" s="17"/>
      <c r="D1800" s="13"/>
      <c r="E1800" s="11"/>
      <c r="F1800" s="11"/>
      <c r="G1800" s="13">
        <f t="shared" si="1"/>
        <v>1281</v>
      </c>
      <c r="H1800" s="13"/>
    </row>
    <row r="1801" ht="22.5" customHeight="1">
      <c r="B1801" s="17"/>
      <c r="C1801" s="17"/>
      <c r="D1801" s="13"/>
      <c r="E1801" s="11"/>
      <c r="F1801" s="11"/>
      <c r="G1801" s="13">
        <f t="shared" si="1"/>
        <v>1281</v>
      </c>
      <c r="H1801" s="13"/>
    </row>
    <row r="1802" ht="22.5" customHeight="1">
      <c r="B1802" s="17"/>
      <c r="C1802" s="17"/>
      <c r="D1802" s="13"/>
      <c r="E1802" s="11"/>
      <c r="F1802" s="11"/>
      <c r="G1802" s="13">
        <f t="shared" si="1"/>
        <v>1281</v>
      </c>
      <c r="H1802" s="13"/>
    </row>
    <row r="1803" ht="22.5" customHeight="1">
      <c r="B1803" s="17"/>
      <c r="C1803" s="17"/>
      <c r="D1803" s="13"/>
      <c r="E1803" s="11"/>
      <c r="F1803" s="11"/>
      <c r="G1803" s="13">
        <f t="shared" si="1"/>
        <v>1281</v>
      </c>
      <c r="H1803" s="13"/>
    </row>
    <row r="1804" ht="22.5" customHeight="1">
      <c r="B1804" s="17"/>
      <c r="C1804" s="17"/>
      <c r="D1804" s="13"/>
      <c r="E1804" s="11"/>
      <c r="F1804" s="11"/>
      <c r="G1804" s="13">
        <f t="shared" si="1"/>
        <v>1281</v>
      </c>
      <c r="H1804" s="13"/>
    </row>
    <row r="1805" ht="22.5" customHeight="1">
      <c r="B1805" s="17"/>
      <c r="C1805" s="17"/>
      <c r="D1805" s="13"/>
      <c r="E1805" s="11"/>
      <c r="F1805" s="11"/>
      <c r="G1805" s="13">
        <f t="shared" si="1"/>
        <v>1281</v>
      </c>
      <c r="H1805" s="13"/>
    </row>
    <row r="1806" ht="22.5" customHeight="1">
      <c r="B1806" s="17"/>
      <c r="C1806" s="17"/>
      <c r="D1806" s="13"/>
      <c r="E1806" s="11"/>
      <c r="F1806" s="11"/>
      <c r="G1806" s="13">
        <f t="shared" si="1"/>
        <v>1281</v>
      </c>
      <c r="H1806" s="13"/>
    </row>
    <row r="1807" ht="22.5" customHeight="1">
      <c r="B1807" s="17"/>
      <c r="C1807" s="17"/>
      <c r="D1807" s="13"/>
      <c r="E1807" s="11"/>
      <c r="F1807" s="11"/>
      <c r="G1807" s="13">
        <f t="shared" si="1"/>
        <v>1281</v>
      </c>
      <c r="H1807" s="13"/>
    </row>
    <row r="1808" ht="22.5" customHeight="1">
      <c r="B1808" s="17"/>
      <c r="C1808" s="17"/>
      <c r="D1808" s="13"/>
      <c r="E1808" s="11"/>
      <c r="F1808" s="11"/>
      <c r="G1808" s="13">
        <f t="shared" si="1"/>
        <v>1281</v>
      </c>
      <c r="H1808" s="13"/>
    </row>
    <row r="1809" ht="22.5" customHeight="1">
      <c r="B1809" s="17"/>
      <c r="C1809" s="17"/>
      <c r="D1809" s="13"/>
      <c r="E1809" s="11"/>
      <c r="F1809" s="11"/>
      <c r="G1809" s="13">
        <f t="shared" si="1"/>
        <v>1281</v>
      </c>
      <c r="H1809" s="13"/>
    </row>
    <row r="1810" ht="22.5" customHeight="1">
      <c r="B1810" s="17"/>
      <c r="C1810" s="17"/>
      <c r="D1810" s="13"/>
      <c r="E1810" s="11"/>
      <c r="F1810" s="11"/>
      <c r="G1810" s="13">
        <f t="shared" si="1"/>
        <v>1281</v>
      </c>
      <c r="H1810" s="13"/>
    </row>
    <row r="1811" ht="22.5" customHeight="1">
      <c r="B1811" s="17"/>
      <c r="C1811" s="17"/>
      <c r="D1811" s="13"/>
      <c r="E1811" s="11"/>
      <c r="F1811" s="11"/>
      <c r="G1811" s="13">
        <f t="shared" si="1"/>
        <v>1281</v>
      </c>
      <c r="H1811" s="13"/>
    </row>
    <row r="1812" ht="22.5" customHeight="1">
      <c r="B1812" s="17"/>
      <c r="C1812" s="17"/>
      <c r="D1812" s="13"/>
      <c r="E1812" s="11"/>
      <c r="F1812" s="11"/>
      <c r="G1812" s="13">
        <f t="shared" si="1"/>
        <v>1281</v>
      </c>
      <c r="H1812" s="13"/>
    </row>
    <row r="1813" ht="22.5" customHeight="1">
      <c r="B1813" s="17"/>
      <c r="C1813" s="17"/>
      <c r="D1813" s="13"/>
      <c r="E1813" s="11"/>
      <c r="F1813" s="11"/>
      <c r="G1813" s="13">
        <f t="shared" si="1"/>
        <v>1281</v>
      </c>
      <c r="H1813" s="13"/>
    </row>
    <row r="1814" ht="22.5" customHeight="1">
      <c r="B1814" s="17"/>
      <c r="C1814" s="17"/>
      <c r="D1814" s="13"/>
      <c r="E1814" s="11"/>
      <c r="F1814" s="11"/>
      <c r="G1814" s="13">
        <f t="shared" si="1"/>
        <v>1281</v>
      </c>
      <c r="H1814" s="13"/>
    </row>
    <row r="1815" ht="22.5" customHeight="1">
      <c r="B1815" s="17"/>
      <c r="C1815" s="17"/>
      <c r="D1815" s="13"/>
      <c r="E1815" s="11"/>
      <c r="F1815" s="11"/>
      <c r="G1815" s="13">
        <f t="shared" si="1"/>
        <v>1281</v>
      </c>
      <c r="H1815" s="13"/>
    </row>
    <row r="1816" ht="22.5" customHeight="1">
      <c r="B1816" s="17"/>
      <c r="C1816" s="17"/>
      <c r="D1816" s="13"/>
      <c r="E1816" s="11"/>
      <c r="F1816" s="11"/>
      <c r="G1816" s="13">
        <f t="shared" si="1"/>
        <v>1281</v>
      </c>
      <c r="H1816" s="13"/>
    </row>
    <row r="1817" ht="22.5" customHeight="1">
      <c r="B1817" s="17"/>
      <c r="C1817" s="17"/>
      <c r="D1817" s="13"/>
      <c r="E1817" s="11"/>
      <c r="F1817" s="11"/>
      <c r="G1817" s="13">
        <f t="shared" si="1"/>
        <v>1281</v>
      </c>
      <c r="H1817" s="13"/>
    </row>
    <row r="1818" ht="22.5" customHeight="1">
      <c r="B1818" s="17"/>
      <c r="C1818" s="17"/>
      <c r="D1818" s="13"/>
      <c r="E1818" s="11"/>
      <c r="F1818" s="11"/>
      <c r="G1818" s="13">
        <f t="shared" si="1"/>
        <v>1281</v>
      </c>
      <c r="H1818" s="13"/>
    </row>
    <row r="1819" ht="22.5" customHeight="1">
      <c r="B1819" s="17"/>
      <c r="C1819" s="17"/>
      <c r="D1819" s="13"/>
      <c r="E1819" s="11"/>
      <c r="F1819" s="11"/>
      <c r="G1819" s="13">
        <f t="shared" si="1"/>
        <v>1281</v>
      </c>
      <c r="H1819" s="13"/>
    </row>
    <row r="1820" ht="22.5" customHeight="1">
      <c r="B1820" s="17"/>
      <c r="C1820" s="17"/>
      <c r="D1820" s="13"/>
      <c r="E1820" s="11"/>
      <c r="F1820" s="11"/>
      <c r="G1820" s="13">
        <f t="shared" si="1"/>
        <v>1281</v>
      </c>
      <c r="H1820" s="13"/>
    </row>
    <row r="1821" ht="22.5" customHeight="1">
      <c r="B1821" s="17"/>
      <c r="C1821" s="17"/>
      <c r="D1821" s="13"/>
      <c r="E1821" s="11"/>
      <c r="F1821" s="11"/>
      <c r="G1821" s="13">
        <f t="shared" si="1"/>
        <v>1281</v>
      </c>
      <c r="H1821" s="13"/>
    </row>
    <row r="1822" ht="22.5" customHeight="1">
      <c r="B1822" s="17"/>
      <c r="C1822" s="17"/>
      <c r="D1822" s="13"/>
      <c r="E1822" s="11"/>
      <c r="F1822" s="11"/>
      <c r="G1822" s="13">
        <f t="shared" si="1"/>
        <v>1281</v>
      </c>
      <c r="H1822" s="13"/>
    </row>
    <row r="1823" ht="22.5" customHeight="1">
      <c r="B1823" s="17"/>
      <c r="C1823" s="17"/>
      <c r="D1823" s="13"/>
      <c r="E1823" s="11"/>
      <c r="F1823" s="11"/>
      <c r="G1823" s="13">
        <f t="shared" si="1"/>
        <v>1281</v>
      </c>
      <c r="H1823" s="13"/>
    </row>
    <row r="1824" ht="22.5" customHeight="1">
      <c r="B1824" s="17"/>
      <c r="C1824" s="17"/>
      <c r="D1824" s="13"/>
      <c r="E1824" s="11"/>
      <c r="F1824" s="11"/>
      <c r="G1824" s="13">
        <f t="shared" si="1"/>
        <v>1281</v>
      </c>
      <c r="H1824" s="13"/>
    </row>
    <row r="1825" ht="22.5" customHeight="1">
      <c r="B1825" s="17"/>
      <c r="C1825" s="17"/>
      <c r="D1825" s="13"/>
      <c r="E1825" s="11"/>
      <c r="F1825" s="11"/>
      <c r="G1825" s="13">
        <f t="shared" si="1"/>
        <v>1281</v>
      </c>
      <c r="H1825" s="13"/>
    </row>
    <row r="1826" ht="22.5" customHeight="1">
      <c r="B1826" s="17"/>
      <c r="C1826" s="17"/>
      <c r="D1826" s="13"/>
      <c r="E1826" s="11"/>
      <c r="F1826" s="11"/>
      <c r="G1826" s="13">
        <f t="shared" si="1"/>
        <v>1281</v>
      </c>
      <c r="H1826" s="13"/>
    </row>
    <row r="1827" ht="22.5" customHeight="1">
      <c r="B1827" s="17"/>
      <c r="C1827" s="17"/>
      <c r="D1827" s="13"/>
      <c r="E1827" s="11"/>
      <c r="F1827" s="11"/>
      <c r="G1827" s="13">
        <f t="shared" si="1"/>
        <v>1281</v>
      </c>
      <c r="H1827" s="13"/>
    </row>
    <row r="1828" ht="22.5" customHeight="1">
      <c r="B1828" s="17"/>
      <c r="C1828" s="17"/>
      <c r="D1828" s="13"/>
      <c r="E1828" s="11"/>
      <c r="F1828" s="11"/>
      <c r="G1828" s="13">
        <f t="shared" si="1"/>
        <v>1281</v>
      </c>
      <c r="H1828" s="13"/>
    </row>
    <row r="1829" ht="22.5" customHeight="1">
      <c r="B1829" s="17"/>
      <c r="C1829" s="17"/>
      <c r="D1829" s="13"/>
      <c r="E1829" s="11"/>
      <c r="F1829" s="11"/>
      <c r="G1829" s="13">
        <f t="shared" si="1"/>
        <v>1281</v>
      </c>
      <c r="H1829" s="13"/>
    </row>
    <row r="1830" ht="22.5" customHeight="1">
      <c r="B1830" s="17"/>
      <c r="C1830" s="17"/>
      <c r="D1830" s="13"/>
      <c r="E1830" s="11"/>
      <c r="F1830" s="11"/>
      <c r="G1830" s="13">
        <f t="shared" si="1"/>
        <v>1281</v>
      </c>
      <c r="H1830" s="13"/>
    </row>
    <row r="1831" ht="22.5" customHeight="1">
      <c r="B1831" s="17"/>
      <c r="C1831" s="17"/>
      <c r="D1831" s="13"/>
      <c r="E1831" s="11"/>
      <c r="F1831" s="11"/>
      <c r="G1831" s="13">
        <f t="shared" si="1"/>
        <v>1281</v>
      </c>
      <c r="H1831" s="13"/>
    </row>
    <row r="1832" ht="22.5" customHeight="1">
      <c r="B1832" s="17"/>
      <c r="C1832" s="17"/>
      <c r="D1832" s="13"/>
      <c r="E1832" s="11"/>
      <c r="F1832" s="11"/>
      <c r="G1832" s="13">
        <f t="shared" si="1"/>
        <v>1281</v>
      </c>
      <c r="H1832" s="13"/>
    </row>
    <row r="1833" ht="22.5" customHeight="1">
      <c r="B1833" s="17"/>
      <c r="C1833" s="17"/>
      <c r="D1833" s="13"/>
      <c r="E1833" s="11"/>
      <c r="F1833" s="11"/>
      <c r="G1833" s="13">
        <f t="shared" si="1"/>
        <v>1281</v>
      </c>
      <c r="H1833" s="13"/>
    </row>
    <row r="1834" ht="22.5" customHeight="1">
      <c r="B1834" s="17"/>
      <c r="C1834" s="17"/>
      <c r="D1834" s="13"/>
      <c r="E1834" s="11"/>
      <c r="F1834" s="11"/>
      <c r="G1834" s="13">
        <f t="shared" si="1"/>
        <v>1281</v>
      </c>
      <c r="H1834" s="13"/>
    </row>
    <row r="1835" ht="22.5" customHeight="1">
      <c r="B1835" s="17"/>
      <c r="C1835" s="17"/>
      <c r="D1835" s="13"/>
      <c r="E1835" s="11"/>
      <c r="F1835" s="11"/>
      <c r="G1835" s="13">
        <f t="shared" si="1"/>
        <v>1281</v>
      </c>
      <c r="H1835" s="13"/>
    </row>
    <row r="1836" ht="22.5" customHeight="1">
      <c r="B1836" s="17"/>
      <c r="C1836" s="17"/>
      <c r="D1836" s="13"/>
      <c r="E1836" s="11"/>
      <c r="F1836" s="11"/>
      <c r="G1836" s="13">
        <f t="shared" si="1"/>
        <v>1281</v>
      </c>
      <c r="H1836" s="13"/>
    </row>
    <row r="1837" ht="22.5" customHeight="1">
      <c r="B1837" s="17"/>
      <c r="C1837" s="17"/>
      <c r="D1837" s="13"/>
      <c r="E1837" s="11"/>
      <c r="F1837" s="11"/>
      <c r="G1837" s="13">
        <f t="shared" si="1"/>
        <v>1281</v>
      </c>
      <c r="H1837" s="13"/>
    </row>
    <row r="1838" ht="22.5" customHeight="1">
      <c r="B1838" s="17"/>
      <c r="C1838" s="17"/>
      <c r="D1838" s="13"/>
      <c r="E1838" s="11"/>
      <c r="F1838" s="11"/>
      <c r="G1838" s="13">
        <f t="shared" si="1"/>
        <v>1281</v>
      </c>
      <c r="H1838" s="13"/>
    </row>
    <row r="1839" ht="22.5" customHeight="1">
      <c r="B1839" s="17"/>
      <c r="C1839" s="17"/>
      <c r="D1839" s="13"/>
      <c r="E1839" s="11"/>
      <c r="F1839" s="11"/>
      <c r="G1839" s="13">
        <f t="shared" si="1"/>
        <v>1281</v>
      </c>
      <c r="H1839" s="13"/>
    </row>
    <row r="1840" ht="22.5" customHeight="1">
      <c r="B1840" s="17"/>
      <c r="C1840" s="17"/>
      <c r="D1840" s="13"/>
      <c r="E1840" s="11"/>
      <c r="F1840" s="11"/>
      <c r="G1840" s="13">
        <f t="shared" si="1"/>
        <v>1281</v>
      </c>
      <c r="H1840" s="13"/>
    </row>
    <row r="1841" ht="22.5" customHeight="1">
      <c r="B1841" s="17"/>
      <c r="C1841" s="17"/>
      <c r="D1841" s="13"/>
      <c r="E1841" s="11"/>
      <c r="F1841" s="11"/>
      <c r="G1841" s="13">
        <f t="shared" si="1"/>
        <v>1281</v>
      </c>
      <c r="H1841" s="13"/>
    </row>
    <row r="1842" ht="22.5" customHeight="1">
      <c r="B1842" s="17"/>
      <c r="C1842" s="17"/>
      <c r="D1842" s="13"/>
      <c r="E1842" s="11"/>
      <c r="F1842" s="11"/>
      <c r="G1842" s="13">
        <f t="shared" si="1"/>
        <v>1281</v>
      </c>
      <c r="H1842" s="13"/>
    </row>
    <row r="1843" ht="22.5" customHeight="1">
      <c r="B1843" s="17"/>
      <c r="C1843" s="17"/>
      <c r="D1843" s="13"/>
      <c r="E1843" s="11"/>
      <c r="F1843" s="11"/>
      <c r="G1843" s="13">
        <f t="shared" si="1"/>
        <v>1281</v>
      </c>
      <c r="H1843" s="13"/>
    </row>
    <row r="1844" ht="22.5" customHeight="1">
      <c r="B1844" s="17"/>
      <c r="C1844" s="17"/>
      <c r="D1844" s="13"/>
      <c r="E1844" s="11"/>
      <c r="F1844" s="11"/>
      <c r="G1844" s="13">
        <f t="shared" si="1"/>
        <v>1281</v>
      </c>
      <c r="H1844" s="13"/>
    </row>
    <row r="1845" ht="22.5" customHeight="1">
      <c r="B1845" s="17"/>
      <c r="C1845" s="17"/>
      <c r="D1845" s="13"/>
      <c r="E1845" s="11"/>
      <c r="F1845" s="11"/>
      <c r="G1845" s="13">
        <f t="shared" si="1"/>
        <v>1281</v>
      </c>
      <c r="H1845" s="13"/>
    </row>
    <row r="1846" ht="22.5" customHeight="1">
      <c r="B1846" s="17"/>
      <c r="C1846" s="17"/>
      <c r="D1846" s="13"/>
      <c r="E1846" s="11"/>
      <c r="F1846" s="11"/>
      <c r="G1846" s="13">
        <f t="shared" si="1"/>
        <v>1281</v>
      </c>
      <c r="H1846" s="13"/>
    </row>
    <row r="1847" ht="22.5" customHeight="1">
      <c r="B1847" s="17"/>
      <c r="C1847" s="17"/>
      <c r="D1847" s="13"/>
      <c r="E1847" s="11"/>
      <c r="F1847" s="11"/>
      <c r="G1847" s="13">
        <f t="shared" si="1"/>
        <v>1281</v>
      </c>
      <c r="H1847" s="13"/>
    </row>
    <row r="1848" ht="22.5" customHeight="1">
      <c r="B1848" s="17"/>
      <c r="C1848" s="17"/>
      <c r="D1848" s="13"/>
      <c r="E1848" s="11"/>
      <c r="F1848" s="11"/>
      <c r="G1848" s="13">
        <f t="shared" si="1"/>
        <v>1281</v>
      </c>
      <c r="H1848" s="13"/>
    </row>
    <row r="1849" ht="22.5" customHeight="1">
      <c r="B1849" s="17"/>
      <c r="C1849" s="17"/>
      <c r="D1849" s="13"/>
      <c r="E1849" s="11"/>
      <c r="F1849" s="11"/>
      <c r="G1849" s="13">
        <f t="shared" si="1"/>
        <v>1281</v>
      </c>
      <c r="H1849" s="13"/>
    </row>
    <row r="1850" ht="22.5" customHeight="1">
      <c r="B1850" s="17"/>
      <c r="C1850" s="17"/>
      <c r="D1850" s="13"/>
      <c r="E1850" s="11"/>
      <c r="F1850" s="11"/>
      <c r="G1850" s="13">
        <f t="shared" si="1"/>
        <v>1281</v>
      </c>
      <c r="H1850" s="13"/>
    </row>
    <row r="1851" ht="22.5" customHeight="1">
      <c r="B1851" s="17"/>
      <c r="C1851" s="17"/>
      <c r="D1851" s="13"/>
      <c r="E1851" s="11"/>
      <c r="F1851" s="11"/>
      <c r="G1851" s="13">
        <f t="shared" si="1"/>
        <v>1281</v>
      </c>
      <c r="H1851" s="13"/>
    </row>
    <row r="1852" ht="22.5" customHeight="1">
      <c r="B1852" s="17"/>
      <c r="C1852" s="17"/>
      <c r="D1852" s="13"/>
      <c r="E1852" s="11"/>
      <c r="F1852" s="11"/>
      <c r="G1852" s="13">
        <f t="shared" si="1"/>
        <v>1281</v>
      </c>
      <c r="H1852" s="13"/>
    </row>
    <row r="1853" ht="22.5" customHeight="1">
      <c r="B1853" s="17"/>
      <c r="C1853" s="17"/>
      <c r="D1853" s="13"/>
      <c r="E1853" s="11"/>
      <c r="F1853" s="11"/>
      <c r="G1853" s="13">
        <f t="shared" si="1"/>
        <v>1281</v>
      </c>
      <c r="H1853" s="13"/>
    </row>
    <row r="1854" ht="22.5" customHeight="1">
      <c r="B1854" s="17"/>
      <c r="C1854" s="17"/>
      <c r="D1854" s="13"/>
      <c r="E1854" s="11"/>
      <c r="F1854" s="11"/>
      <c r="G1854" s="13">
        <f t="shared" si="1"/>
        <v>1281</v>
      </c>
      <c r="H1854" s="13"/>
    </row>
    <row r="1855" ht="22.5" customHeight="1">
      <c r="B1855" s="17"/>
      <c r="C1855" s="17"/>
      <c r="D1855" s="13"/>
      <c r="E1855" s="11"/>
      <c r="F1855" s="11"/>
      <c r="G1855" s="13">
        <f t="shared" si="1"/>
        <v>1281</v>
      </c>
      <c r="H1855" s="13"/>
    </row>
    <row r="1856" ht="22.5" customHeight="1">
      <c r="B1856" s="17"/>
      <c r="C1856" s="17"/>
      <c r="D1856" s="13"/>
      <c r="E1856" s="11"/>
      <c r="F1856" s="11"/>
      <c r="G1856" s="13">
        <f t="shared" si="1"/>
        <v>1281</v>
      </c>
      <c r="H1856" s="13"/>
    </row>
    <row r="1857" ht="22.5" customHeight="1">
      <c r="B1857" s="17"/>
      <c r="C1857" s="17"/>
      <c r="D1857" s="13"/>
      <c r="E1857" s="11"/>
      <c r="F1857" s="11"/>
      <c r="G1857" s="13">
        <f t="shared" si="1"/>
        <v>1281</v>
      </c>
      <c r="H1857" s="13"/>
    </row>
    <row r="1858" ht="22.5" customHeight="1">
      <c r="B1858" s="17"/>
      <c r="C1858" s="17"/>
      <c r="D1858" s="13"/>
      <c r="E1858" s="11"/>
      <c r="F1858" s="11"/>
      <c r="G1858" s="13">
        <f t="shared" si="1"/>
        <v>1281</v>
      </c>
      <c r="H1858" s="13"/>
    </row>
    <row r="1859" ht="22.5" customHeight="1">
      <c r="B1859" s="17"/>
      <c r="C1859" s="17"/>
      <c r="D1859" s="13"/>
      <c r="E1859" s="11"/>
      <c r="F1859" s="11"/>
      <c r="G1859" s="13">
        <f t="shared" si="1"/>
        <v>1281</v>
      </c>
      <c r="H1859" s="13"/>
    </row>
    <row r="1860" ht="22.5" customHeight="1">
      <c r="B1860" s="17"/>
      <c r="C1860" s="17"/>
      <c r="D1860" s="13"/>
      <c r="E1860" s="11"/>
      <c r="F1860" s="11"/>
      <c r="G1860" s="13">
        <f t="shared" si="1"/>
        <v>1281</v>
      </c>
      <c r="H1860" s="13"/>
    </row>
    <row r="1861" ht="22.5" customHeight="1">
      <c r="B1861" s="17"/>
      <c r="C1861" s="17"/>
      <c r="D1861" s="13"/>
      <c r="E1861" s="11"/>
      <c r="F1861" s="11"/>
      <c r="G1861" s="13">
        <f t="shared" si="1"/>
        <v>1281</v>
      </c>
      <c r="H1861" s="13"/>
    </row>
    <row r="1862" ht="22.5" customHeight="1">
      <c r="B1862" s="17"/>
      <c r="C1862" s="17"/>
      <c r="D1862" s="13"/>
      <c r="E1862" s="11"/>
      <c r="F1862" s="11"/>
      <c r="G1862" s="13">
        <f t="shared" si="1"/>
        <v>1281</v>
      </c>
      <c r="H1862" s="13"/>
    </row>
    <row r="1863" ht="22.5" customHeight="1">
      <c r="B1863" s="17"/>
      <c r="C1863" s="17"/>
      <c r="D1863" s="13"/>
      <c r="E1863" s="11"/>
      <c r="F1863" s="11"/>
      <c r="G1863" s="13">
        <f t="shared" si="1"/>
        <v>1281</v>
      </c>
      <c r="H1863" s="13"/>
    </row>
    <row r="1864" ht="22.5" customHeight="1">
      <c r="B1864" s="17"/>
      <c r="C1864" s="17"/>
      <c r="D1864" s="13"/>
      <c r="E1864" s="11"/>
      <c r="F1864" s="11"/>
      <c r="G1864" s="13">
        <f t="shared" si="1"/>
        <v>1281</v>
      </c>
      <c r="H1864" s="13"/>
    </row>
    <row r="1865" ht="22.5" customHeight="1">
      <c r="B1865" s="17"/>
      <c r="C1865" s="17"/>
      <c r="D1865" s="13"/>
      <c r="E1865" s="11"/>
      <c r="F1865" s="11"/>
      <c r="G1865" s="13">
        <f t="shared" si="1"/>
        <v>1281</v>
      </c>
      <c r="H1865" s="13"/>
    </row>
    <row r="1866" ht="22.5" customHeight="1">
      <c r="B1866" s="17"/>
      <c r="C1866" s="17"/>
      <c r="D1866" s="13"/>
      <c r="E1866" s="11"/>
      <c r="F1866" s="11"/>
      <c r="G1866" s="13">
        <f t="shared" si="1"/>
        <v>1281</v>
      </c>
      <c r="H1866" s="13"/>
    </row>
    <row r="1867" ht="22.5" customHeight="1">
      <c r="B1867" s="17"/>
      <c r="C1867" s="17"/>
      <c r="D1867" s="13"/>
      <c r="E1867" s="11"/>
      <c r="F1867" s="11"/>
      <c r="G1867" s="13">
        <f t="shared" si="1"/>
        <v>1281</v>
      </c>
      <c r="H1867" s="13"/>
    </row>
    <row r="1868" ht="22.5" customHeight="1">
      <c r="B1868" s="17"/>
      <c r="C1868" s="17"/>
      <c r="D1868" s="13"/>
      <c r="E1868" s="11"/>
      <c r="F1868" s="11"/>
      <c r="G1868" s="13">
        <f t="shared" si="1"/>
        <v>1281</v>
      </c>
      <c r="H1868" s="13"/>
    </row>
    <row r="1869" ht="22.5" customHeight="1">
      <c r="B1869" s="17"/>
      <c r="C1869" s="17"/>
      <c r="D1869" s="13"/>
      <c r="E1869" s="11"/>
      <c r="F1869" s="11"/>
      <c r="G1869" s="13">
        <f t="shared" si="1"/>
        <v>1281</v>
      </c>
      <c r="H1869" s="13"/>
    </row>
    <row r="1870" ht="22.5" customHeight="1">
      <c r="B1870" s="17"/>
      <c r="C1870" s="17"/>
      <c r="D1870" s="13"/>
      <c r="E1870" s="11"/>
      <c r="F1870" s="11"/>
      <c r="G1870" s="13">
        <f t="shared" si="1"/>
        <v>1281</v>
      </c>
      <c r="H1870" s="13"/>
    </row>
    <row r="1871" ht="22.5" customHeight="1">
      <c r="B1871" s="17"/>
      <c r="C1871" s="17"/>
      <c r="D1871" s="13"/>
      <c r="E1871" s="11"/>
      <c r="F1871" s="11"/>
      <c r="G1871" s="13">
        <f t="shared" si="1"/>
        <v>1281</v>
      </c>
      <c r="H1871" s="13"/>
    </row>
    <row r="1872" ht="22.5" customHeight="1">
      <c r="B1872" s="17"/>
      <c r="C1872" s="17"/>
      <c r="D1872" s="13"/>
      <c r="E1872" s="11"/>
      <c r="F1872" s="11"/>
      <c r="G1872" s="13">
        <f t="shared" si="1"/>
        <v>1281</v>
      </c>
      <c r="H1872" s="13"/>
    </row>
    <row r="1873" ht="22.5" customHeight="1">
      <c r="B1873" s="17"/>
      <c r="C1873" s="17"/>
      <c r="D1873" s="13"/>
      <c r="E1873" s="11"/>
      <c r="F1873" s="11"/>
      <c r="G1873" s="13">
        <f t="shared" si="1"/>
        <v>1281</v>
      </c>
      <c r="H1873" s="13"/>
    </row>
    <row r="1874" ht="22.5" customHeight="1">
      <c r="B1874" s="17"/>
      <c r="C1874" s="17"/>
      <c r="D1874" s="13"/>
      <c r="E1874" s="11"/>
      <c r="F1874" s="11"/>
      <c r="G1874" s="13">
        <f t="shared" si="1"/>
        <v>1281</v>
      </c>
      <c r="H1874" s="13"/>
    </row>
    <row r="1875" ht="22.5" customHeight="1">
      <c r="B1875" s="17"/>
      <c r="C1875" s="17"/>
      <c r="D1875" s="13"/>
      <c r="E1875" s="11"/>
      <c r="F1875" s="11"/>
      <c r="G1875" s="13">
        <f t="shared" si="1"/>
        <v>1281</v>
      </c>
      <c r="H1875" s="13"/>
    </row>
    <row r="1876" ht="22.5" customHeight="1">
      <c r="B1876" s="17"/>
      <c r="C1876" s="17"/>
      <c r="D1876" s="13"/>
      <c r="E1876" s="11"/>
      <c r="F1876" s="11"/>
      <c r="G1876" s="13">
        <f t="shared" si="1"/>
        <v>1281</v>
      </c>
      <c r="H1876" s="13"/>
    </row>
    <row r="1877" ht="22.5" customHeight="1">
      <c r="B1877" s="17"/>
      <c r="C1877" s="17"/>
      <c r="D1877" s="13"/>
      <c r="E1877" s="11"/>
      <c r="F1877" s="11"/>
      <c r="G1877" s="13">
        <f t="shared" si="1"/>
        <v>1281</v>
      </c>
      <c r="H1877" s="13"/>
    </row>
    <row r="1878" ht="22.5" customHeight="1">
      <c r="B1878" s="17"/>
      <c r="C1878" s="17"/>
      <c r="D1878" s="13"/>
      <c r="E1878" s="11"/>
      <c r="F1878" s="11"/>
      <c r="G1878" s="13">
        <f t="shared" si="1"/>
        <v>1281</v>
      </c>
      <c r="H1878" s="13"/>
    </row>
    <row r="1879" ht="22.5" customHeight="1">
      <c r="B1879" s="17"/>
      <c r="C1879" s="17"/>
      <c r="D1879" s="13"/>
      <c r="E1879" s="11"/>
      <c r="F1879" s="11"/>
      <c r="G1879" s="13">
        <f t="shared" si="1"/>
        <v>1281</v>
      </c>
      <c r="H1879" s="13"/>
    </row>
    <row r="1880" ht="22.5" customHeight="1">
      <c r="B1880" s="17"/>
      <c r="C1880" s="17"/>
      <c r="D1880" s="13"/>
      <c r="E1880" s="11"/>
      <c r="F1880" s="11"/>
      <c r="G1880" s="13">
        <f t="shared" si="1"/>
        <v>1281</v>
      </c>
      <c r="H1880" s="13"/>
    </row>
    <row r="1881" ht="22.5" customHeight="1">
      <c r="B1881" s="17"/>
      <c r="C1881" s="17"/>
      <c r="D1881" s="13"/>
      <c r="E1881" s="11"/>
      <c r="F1881" s="11"/>
      <c r="G1881" s="13">
        <f t="shared" si="1"/>
        <v>1281</v>
      </c>
      <c r="H1881" s="13"/>
    </row>
    <row r="1882" ht="22.5" customHeight="1">
      <c r="B1882" s="17"/>
      <c r="C1882" s="17"/>
      <c r="D1882" s="13"/>
      <c r="E1882" s="11"/>
      <c r="F1882" s="11"/>
      <c r="G1882" s="13">
        <f t="shared" si="1"/>
        <v>1281</v>
      </c>
      <c r="H1882" s="13"/>
    </row>
    <row r="1883" ht="22.5" customHeight="1">
      <c r="B1883" s="17"/>
      <c r="C1883" s="17"/>
      <c r="D1883" s="13"/>
      <c r="E1883" s="11"/>
      <c r="F1883" s="11"/>
      <c r="G1883" s="13">
        <f t="shared" si="1"/>
        <v>1281</v>
      </c>
      <c r="H1883" s="13"/>
    </row>
    <row r="1884" ht="22.5" customHeight="1">
      <c r="B1884" s="17"/>
      <c r="C1884" s="17"/>
      <c r="D1884" s="13"/>
      <c r="E1884" s="11"/>
      <c r="F1884" s="11"/>
      <c r="G1884" s="13">
        <f t="shared" si="1"/>
        <v>1281</v>
      </c>
      <c r="H1884" s="13"/>
    </row>
    <row r="1885" ht="22.5" customHeight="1">
      <c r="B1885" s="17"/>
      <c r="C1885" s="17"/>
      <c r="D1885" s="13"/>
      <c r="E1885" s="11"/>
      <c r="F1885" s="11"/>
      <c r="G1885" s="13">
        <f t="shared" si="1"/>
        <v>1281</v>
      </c>
      <c r="H1885" s="13"/>
    </row>
    <row r="1886" ht="22.5" customHeight="1">
      <c r="B1886" s="17"/>
      <c r="C1886" s="17"/>
      <c r="D1886" s="13"/>
      <c r="E1886" s="11"/>
      <c r="F1886" s="11"/>
      <c r="G1886" s="13">
        <f t="shared" si="1"/>
        <v>1281</v>
      </c>
      <c r="H1886" s="13"/>
    </row>
    <row r="1887" ht="22.5" customHeight="1">
      <c r="B1887" s="17"/>
      <c r="C1887" s="17"/>
      <c r="D1887" s="13"/>
      <c r="E1887" s="11"/>
      <c r="F1887" s="11"/>
      <c r="G1887" s="13">
        <f t="shared" si="1"/>
        <v>1281</v>
      </c>
      <c r="H1887" s="13"/>
    </row>
    <row r="1888" ht="22.5" customHeight="1">
      <c r="B1888" s="17"/>
      <c r="C1888" s="17"/>
      <c r="D1888" s="13"/>
      <c r="E1888" s="11"/>
      <c r="F1888" s="11"/>
      <c r="G1888" s="13">
        <f t="shared" si="1"/>
        <v>1281</v>
      </c>
      <c r="H1888" s="13"/>
    </row>
    <row r="1889" ht="22.5" customHeight="1">
      <c r="B1889" s="17"/>
      <c r="C1889" s="17"/>
      <c r="D1889" s="13"/>
      <c r="E1889" s="11"/>
      <c r="F1889" s="11"/>
      <c r="G1889" s="13">
        <f t="shared" si="1"/>
        <v>1281</v>
      </c>
      <c r="H1889" s="13"/>
    </row>
    <row r="1890" ht="22.5" customHeight="1">
      <c r="B1890" s="17"/>
      <c r="C1890" s="17"/>
      <c r="D1890" s="13"/>
      <c r="E1890" s="11"/>
      <c r="F1890" s="11"/>
      <c r="G1890" s="13">
        <f t="shared" si="1"/>
        <v>1281</v>
      </c>
      <c r="H1890" s="13"/>
    </row>
    <row r="1891" ht="22.5" customHeight="1">
      <c r="B1891" s="17"/>
      <c r="C1891" s="17"/>
      <c r="D1891" s="13"/>
      <c r="E1891" s="11"/>
      <c r="F1891" s="11"/>
      <c r="G1891" s="13">
        <f t="shared" si="1"/>
        <v>1281</v>
      </c>
      <c r="H1891" s="13"/>
    </row>
    <row r="1892" ht="22.5" customHeight="1">
      <c r="B1892" s="17"/>
      <c r="C1892" s="17"/>
      <c r="D1892" s="13"/>
      <c r="E1892" s="11"/>
      <c r="F1892" s="11"/>
      <c r="G1892" s="13">
        <f t="shared" si="1"/>
        <v>1281</v>
      </c>
      <c r="H1892" s="13"/>
    </row>
    <row r="1893" ht="22.5" customHeight="1">
      <c r="B1893" s="17"/>
      <c r="C1893" s="17"/>
      <c r="D1893" s="13"/>
      <c r="E1893" s="11"/>
      <c r="F1893" s="11"/>
      <c r="G1893" s="13">
        <f t="shared" si="1"/>
        <v>1281</v>
      </c>
      <c r="H1893" s="13"/>
    </row>
    <row r="1894" ht="22.5" customHeight="1">
      <c r="B1894" s="17"/>
      <c r="C1894" s="17"/>
      <c r="D1894" s="13"/>
      <c r="E1894" s="11"/>
      <c r="F1894" s="11"/>
      <c r="G1894" s="13">
        <f t="shared" si="1"/>
        <v>1281</v>
      </c>
      <c r="H1894" s="13"/>
    </row>
    <row r="1895" ht="22.5" customHeight="1">
      <c r="B1895" s="17"/>
      <c r="C1895" s="17"/>
      <c r="D1895" s="13"/>
      <c r="E1895" s="11"/>
      <c r="F1895" s="11"/>
      <c r="G1895" s="13">
        <f t="shared" si="1"/>
        <v>1281</v>
      </c>
      <c r="H1895" s="13"/>
    </row>
    <row r="1896" ht="22.5" customHeight="1">
      <c r="B1896" s="17"/>
      <c r="C1896" s="17"/>
      <c r="D1896" s="13"/>
      <c r="E1896" s="11"/>
      <c r="F1896" s="11"/>
      <c r="G1896" s="13">
        <f t="shared" si="1"/>
        <v>1281</v>
      </c>
      <c r="H1896" s="13"/>
    </row>
    <row r="1897" ht="22.5" customHeight="1">
      <c r="B1897" s="17"/>
      <c r="C1897" s="17"/>
      <c r="D1897" s="13"/>
      <c r="E1897" s="11"/>
      <c r="F1897" s="11"/>
      <c r="G1897" s="13">
        <f t="shared" si="1"/>
        <v>1281</v>
      </c>
      <c r="H1897" s="13"/>
    </row>
    <row r="1898" ht="22.5" customHeight="1">
      <c r="B1898" s="17"/>
      <c r="C1898" s="17"/>
      <c r="D1898" s="13"/>
      <c r="E1898" s="11"/>
      <c r="F1898" s="11"/>
      <c r="G1898" s="13">
        <f t="shared" si="1"/>
        <v>1281</v>
      </c>
      <c r="H1898" s="13"/>
    </row>
    <row r="1899" ht="22.5" customHeight="1">
      <c r="B1899" s="17"/>
      <c r="C1899" s="17"/>
      <c r="D1899" s="13"/>
      <c r="E1899" s="11"/>
      <c r="F1899" s="11"/>
      <c r="G1899" s="13">
        <f t="shared" si="1"/>
        <v>1281</v>
      </c>
      <c r="H1899" s="13"/>
    </row>
    <row r="1900" ht="22.5" customHeight="1">
      <c r="B1900" s="17"/>
      <c r="C1900" s="17"/>
      <c r="D1900" s="13"/>
      <c r="E1900" s="11"/>
      <c r="F1900" s="11"/>
      <c r="G1900" s="13">
        <f t="shared" si="1"/>
        <v>1281</v>
      </c>
      <c r="H1900" s="13"/>
    </row>
    <row r="1901" ht="22.5" customHeight="1">
      <c r="B1901" s="17"/>
      <c r="C1901" s="17"/>
      <c r="D1901" s="13"/>
      <c r="E1901" s="11"/>
      <c r="F1901" s="11"/>
      <c r="G1901" s="13">
        <f t="shared" si="1"/>
        <v>1281</v>
      </c>
      <c r="H1901" s="13"/>
    </row>
    <row r="1902" ht="22.5" customHeight="1">
      <c r="B1902" s="17"/>
      <c r="C1902" s="17"/>
      <c r="D1902" s="13"/>
      <c r="E1902" s="11"/>
      <c r="F1902" s="11"/>
      <c r="G1902" s="13">
        <f t="shared" si="1"/>
        <v>1281</v>
      </c>
      <c r="H1902" s="13"/>
    </row>
    <row r="1903" ht="22.5" customHeight="1">
      <c r="B1903" s="17"/>
      <c r="C1903" s="17"/>
      <c r="D1903" s="13"/>
      <c r="E1903" s="11"/>
      <c r="F1903" s="11"/>
      <c r="G1903" s="13">
        <f t="shared" si="1"/>
        <v>1281</v>
      </c>
      <c r="H1903" s="13"/>
    </row>
    <row r="1904" ht="22.5" customHeight="1">
      <c r="B1904" s="17"/>
      <c r="C1904" s="17"/>
      <c r="D1904" s="13"/>
      <c r="E1904" s="11"/>
      <c r="F1904" s="11"/>
      <c r="G1904" s="13">
        <f t="shared" si="1"/>
        <v>1281</v>
      </c>
      <c r="H1904" s="13"/>
    </row>
    <row r="1905" ht="22.5" customHeight="1">
      <c r="B1905" s="17"/>
      <c r="C1905" s="17"/>
      <c r="D1905" s="13"/>
      <c r="E1905" s="11"/>
      <c r="F1905" s="11"/>
      <c r="G1905" s="13">
        <f t="shared" si="1"/>
        <v>1281</v>
      </c>
      <c r="H1905" s="13"/>
    </row>
    <row r="1906" ht="22.5" customHeight="1">
      <c r="B1906" s="17"/>
      <c r="C1906" s="17"/>
      <c r="D1906" s="13"/>
      <c r="E1906" s="11"/>
      <c r="F1906" s="11"/>
      <c r="G1906" s="13">
        <f t="shared" si="1"/>
        <v>1281</v>
      </c>
      <c r="H1906" s="13"/>
    </row>
    <row r="1907" ht="22.5" customHeight="1">
      <c r="B1907" s="17"/>
      <c r="C1907" s="17"/>
      <c r="D1907" s="13"/>
      <c r="E1907" s="11"/>
      <c r="F1907" s="11"/>
      <c r="G1907" s="13">
        <f t="shared" si="1"/>
        <v>1281</v>
      </c>
      <c r="H1907" s="13"/>
    </row>
    <row r="1908" ht="22.5" customHeight="1">
      <c r="B1908" s="17"/>
      <c r="C1908" s="17"/>
      <c r="D1908" s="13"/>
      <c r="E1908" s="11"/>
      <c r="F1908" s="11"/>
      <c r="G1908" s="13">
        <f t="shared" si="1"/>
        <v>1281</v>
      </c>
      <c r="H1908" s="13"/>
    </row>
    <row r="1909" ht="22.5" customHeight="1">
      <c r="B1909" s="17"/>
      <c r="C1909" s="17"/>
      <c r="D1909" s="13"/>
      <c r="E1909" s="11"/>
      <c r="F1909" s="11"/>
      <c r="G1909" s="13">
        <f t="shared" si="1"/>
        <v>1281</v>
      </c>
      <c r="H1909" s="13"/>
    </row>
    <row r="1910" ht="22.5" customHeight="1">
      <c r="B1910" s="17"/>
      <c r="C1910" s="17"/>
      <c r="D1910" s="13"/>
      <c r="E1910" s="11"/>
      <c r="F1910" s="11"/>
      <c r="G1910" s="13">
        <f t="shared" si="1"/>
        <v>1281</v>
      </c>
      <c r="H1910" s="13"/>
    </row>
    <row r="1911" ht="22.5" customHeight="1">
      <c r="B1911" s="17"/>
      <c r="C1911" s="17"/>
      <c r="D1911" s="13"/>
      <c r="E1911" s="11"/>
      <c r="F1911" s="11"/>
      <c r="G1911" s="13">
        <f t="shared" si="1"/>
        <v>1281</v>
      </c>
      <c r="H1911" s="13"/>
    </row>
    <row r="1912" ht="22.5" customHeight="1">
      <c r="B1912" s="17"/>
      <c r="C1912" s="17"/>
      <c r="D1912" s="13"/>
      <c r="E1912" s="11"/>
      <c r="F1912" s="11"/>
      <c r="G1912" s="13">
        <f t="shared" si="1"/>
        <v>1281</v>
      </c>
      <c r="H1912" s="13"/>
    </row>
    <row r="1913" ht="22.5" customHeight="1">
      <c r="B1913" s="17"/>
      <c r="C1913" s="17"/>
      <c r="D1913" s="13"/>
      <c r="E1913" s="11"/>
      <c r="F1913" s="11"/>
      <c r="G1913" s="13">
        <f t="shared" si="1"/>
        <v>1281</v>
      </c>
      <c r="H1913" s="13"/>
    </row>
    <row r="1914" ht="22.5" customHeight="1">
      <c r="B1914" s="17"/>
      <c r="C1914" s="17"/>
      <c r="D1914" s="13"/>
      <c r="E1914" s="11"/>
      <c r="F1914" s="11"/>
      <c r="G1914" s="13">
        <f t="shared" si="1"/>
        <v>1281</v>
      </c>
      <c r="H1914" s="13"/>
    </row>
    <row r="1915" ht="22.5" customHeight="1">
      <c r="B1915" s="17"/>
      <c r="C1915" s="17"/>
      <c r="D1915" s="13"/>
      <c r="E1915" s="11"/>
      <c r="F1915" s="11"/>
      <c r="G1915" s="13">
        <f t="shared" si="1"/>
        <v>1281</v>
      </c>
      <c r="H1915" s="13"/>
    </row>
    <row r="1916" ht="22.5" customHeight="1">
      <c r="B1916" s="17"/>
      <c r="C1916" s="17"/>
      <c r="D1916" s="13"/>
      <c r="E1916" s="11"/>
      <c r="F1916" s="11"/>
      <c r="G1916" s="13">
        <f t="shared" si="1"/>
        <v>1281</v>
      </c>
      <c r="H1916" s="13"/>
    </row>
    <row r="1917" ht="22.5" customHeight="1">
      <c r="B1917" s="17"/>
      <c r="C1917" s="17"/>
      <c r="D1917" s="13"/>
      <c r="E1917" s="11"/>
      <c r="F1917" s="11"/>
      <c r="G1917" s="13">
        <f t="shared" si="1"/>
        <v>1281</v>
      </c>
      <c r="H1917" s="13"/>
    </row>
    <row r="1918" ht="22.5" customHeight="1">
      <c r="B1918" s="17"/>
      <c r="C1918" s="17"/>
      <c r="D1918" s="13"/>
      <c r="E1918" s="11"/>
      <c r="F1918" s="11"/>
      <c r="G1918" s="13">
        <f t="shared" si="1"/>
        <v>1281</v>
      </c>
      <c r="H1918" s="13"/>
    </row>
    <row r="1919" ht="22.5" customHeight="1">
      <c r="B1919" s="17"/>
      <c r="C1919" s="17"/>
      <c r="D1919" s="13"/>
      <c r="E1919" s="11"/>
      <c r="F1919" s="11"/>
      <c r="G1919" s="13">
        <f t="shared" si="1"/>
        <v>1281</v>
      </c>
      <c r="H1919" s="13"/>
    </row>
    <row r="1920" ht="22.5" customHeight="1">
      <c r="B1920" s="17"/>
      <c r="C1920" s="17"/>
      <c r="D1920" s="13"/>
      <c r="E1920" s="11"/>
      <c r="F1920" s="11"/>
      <c r="G1920" s="13">
        <f t="shared" si="1"/>
        <v>1281</v>
      </c>
      <c r="H1920" s="13"/>
    </row>
    <row r="1921" ht="22.5" customHeight="1">
      <c r="B1921" s="17"/>
      <c r="C1921" s="17"/>
      <c r="D1921" s="13"/>
      <c r="E1921" s="11"/>
      <c r="F1921" s="11"/>
      <c r="G1921" s="13">
        <f t="shared" si="1"/>
        <v>1281</v>
      </c>
      <c r="H1921" s="13"/>
    </row>
    <row r="1922" ht="22.5" customHeight="1">
      <c r="B1922" s="17"/>
      <c r="C1922" s="17"/>
      <c r="D1922" s="13"/>
      <c r="E1922" s="11"/>
      <c r="F1922" s="11"/>
      <c r="G1922" s="13">
        <f t="shared" si="1"/>
        <v>1281</v>
      </c>
      <c r="H1922" s="13"/>
    </row>
    <row r="1923" ht="22.5" customHeight="1">
      <c r="B1923" s="17"/>
      <c r="C1923" s="17"/>
      <c r="D1923" s="13"/>
      <c r="E1923" s="11"/>
      <c r="F1923" s="11"/>
      <c r="G1923" s="13">
        <f t="shared" si="1"/>
        <v>1281</v>
      </c>
      <c r="H1923" s="13"/>
    </row>
    <row r="1924" ht="22.5" customHeight="1">
      <c r="B1924" s="17"/>
      <c r="C1924" s="17"/>
      <c r="D1924" s="13"/>
      <c r="E1924" s="11"/>
      <c r="F1924" s="11"/>
      <c r="G1924" s="13">
        <f t="shared" si="1"/>
        <v>1281</v>
      </c>
      <c r="H1924" s="13"/>
    </row>
    <row r="1925" ht="22.5" customHeight="1">
      <c r="B1925" s="17"/>
      <c r="C1925" s="17"/>
      <c r="D1925" s="13"/>
      <c r="E1925" s="11"/>
      <c r="F1925" s="11"/>
      <c r="G1925" s="13">
        <f t="shared" si="1"/>
        <v>1281</v>
      </c>
      <c r="H1925" s="13"/>
    </row>
    <row r="1926" ht="22.5" customHeight="1">
      <c r="B1926" s="17"/>
      <c r="C1926" s="17"/>
      <c r="D1926" s="13"/>
      <c r="E1926" s="11"/>
      <c r="F1926" s="11"/>
      <c r="G1926" s="13">
        <f t="shared" si="1"/>
        <v>1281</v>
      </c>
      <c r="H1926" s="13"/>
    </row>
    <row r="1927" ht="22.5" customHeight="1">
      <c r="B1927" s="17"/>
      <c r="C1927" s="17"/>
      <c r="D1927" s="13"/>
      <c r="E1927" s="11"/>
      <c r="F1927" s="11"/>
      <c r="G1927" s="13">
        <f t="shared" si="1"/>
        <v>1281</v>
      </c>
      <c r="H1927" s="13"/>
    </row>
    <row r="1928" ht="22.5" customHeight="1">
      <c r="B1928" s="17"/>
      <c r="C1928" s="17"/>
      <c r="D1928" s="13"/>
      <c r="E1928" s="11"/>
      <c r="F1928" s="11"/>
      <c r="G1928" s="13">
        <f t="shared" si="1"/>
        <v>1281</v>
      </c>
      <c r="H1928" s="13"/>
    </row>
    <row r="1929" ht="22.5" customHeight="1">
      <c r="B1929" s="17"/>
      <c r="C1929" s="17"/>
      <c r="D1929" s="13"/>
      <c r="E1929" s="11"/>
      <c r="F1929" s="11"/>
      <c r="G1929" s="13">
        <f t="shared" si="1"/>
        <v>1281</v>
      </c>
      <c r="H1929" s="13"/>
    </row>
    <row r="1930" ht="22.5" customHeight="1">
      <c r="B1930" s="17"/>
      <c r="C1930" s="17"/>
      <c r="D1930" s="13"/>
      <c r="E1930" s="11"/>
      <c r="F1930" s="11"/>
      <c r="G1930" s="13">
        <f t="shared" si="1"/>
        <v>1281</v>
      </c>
      <c r="H1930" s="13"/>
    </row>
    <row r="1931" ht="22.5" customHeight="1">
      <c r="B1931" s="17"/>
      <c r="C1931" s="17"/>
      <c r="D1931" s="13"/>
      <c r="E1931" s="11"/>
      <c r="F1931" s="11"/>
      <c r="G1931" s="13">
        <f t="shared" si="1"/>
        <v>1281</v>
      </c>
      <c r="H1931" s="13"/>
    </row>
    <row r="1932" ht="22.5" customHeight="1">
      <c r="B1932" s="17"/>
      <c r="C1932" s="17"/>
      <c r="D1932" s="13"/>
      <c r="E1932" s="11"/>
      <c r="F1932" s="11"/>
      <c r="G1932" s="13">
        <f t="shared" si="1"/>
        <v>1281</v>
      </c>
      <c r="H1932" s="13"/>
    </row>
    <row r="1933" ht="22.5" customHeight="1">
      <c r="B1933" s="17"/>
      <c r="C1933" s="17"/>
      <c r="D1933" s="13"/>
      <c r="E1933" s="11"/>
      <c r="F1933" s="11"/>
      <c r="G1933" s="13">
        <f t="shared" si="1"/>
        <v>1281</v>
      </c>
      <c r="H1933" s="13"/>
    </row>
    <row r="1934" ht="22.5" customHeight="1">
      <c r="B1934" s="17"/>
      <c r="C1934" s="17"/>
      <c r="D1934" s="13"/>
      <c r="E1934" s="11"/>
      <c r="F1934" s="11"/>
      <c r="G1934" s="13">
        <f t="shared" si="1"/>
        <v>1281</v>
      </c>
      <c r="H1934" s="13"/>
    </row>
    <row r="1935" ht="22.5" customHeight="1">
      <c r="B1935" s="17"/>
      <c r="C1935" s="17"/>
      <c r="D1935" s="13"/>
      <c r="E1935" s="11"/>
      <c r="F1935" s="11"/>
      <c r="G1935" s="13">
        <f t="shared" si="1"/>
        <v>1281</v>
      </c>
      <c r="H1935" s="13"/>
    </row>
    <row r="1936" ht="22.5" customHeight="1">
      <c r="B1936" s="17"/>
      <c r="C1936" s="17"/>
      <c r="D1936" s="13"/>
      <c r="E1936" s="11"/>
      <c r="F1936" s="11"/>
      <c r="G1936" s="13">
        <f t="shared" si="1"/>
        <v>1281</v>
      </c>
      <c r="H1936" s="13"/>
    </row>
    <row r="1937" ht="22.5" customHeight="1">
      <c r="B1937" s="17"/>
      <c r="C1937" s="17"/>
      <c r="D1937" s="13"/>
      <c r="E1937" s="11"/>
      <c r="F1937" s="11"/>
      <c r="G1937" s="13">
        <f t="shared" si="1"/>
        <v>1281</v>
      </c>
      <c r="H1937" s="13"/>
    </row>
    <row r="1938" ht="22.5" customHeight="1">
      <c r="B1938" s="17"/>
      <c r="C1938" s="17"/>
      <c r="D1938" s="13"/>
      <c r="E1938" s="11"/>
      <c r="F1938" s="11"/>
      <c r="G1938" s="13">
        <f t="shared" si="1"/>
        <v>1281</v>
      </c>
      <c r="H1938" s="13"/>
    </row>
    <row r="1939" ht="22.5" customHeight="1">
      <c r="B1939" s="17"/>
      <c r="C1939" s="17"/>
      <c r="D1939" s="13"/>
      <c r="E1939" s="11"/>
      <c r="F1939" s="11"/>
      <c r="G1939" s="13">
        <f t="shared" si="1"/>
        <v>1281</v>
      </c>
      <c r="H1939" s="13"/>
    </row>
    <row r="1940" ht="22.5" customHeight="1">
      <c r="B1940" s="17"/>
      <c r="C1940" s="17"/>
      <c r="D1940" s="13"/>
      <c r="E1940" s="11"/>
      <c r="F1940" s="11"/>
      <c r="G1940" s="13">
        <f t="shared" si="1"/>
        <v>1281</v>
      </c>
      <c r="H1940" s="13"/>
    </row>
    <row r="1941" ht="22.5" customHeight="1">
      <c r="B1941" s="17"/>
      <c r="C1941" s="17"/>
      <c r="D1941" s="13"/>
      <c r="E1941" s="11"/>
      <c r="F1941" s="11"/>
      <c r="G1941" s="13">
        <f t="shared" si="1"/>
        <v>1281</v>
      </c>
      <c r="H1941" s="13"/>
    </row>
    <row r="1942" ht="22.5" customHeight="1">
      <c r="B1942" s="17"/>
      <c r="C1942" s="17"/>
      <c r="D1942" s="13"/>
      <c r="E1942" s="11"/>
      <c r="F1942" s="11"/>
      <c r="G1942" s="13">
        <f t="shared" si="1"/>
        <v>1281</v>
      </c>
      <c r="H1942" s="13"/>
    </row>
    <row r="1943" ht="22.5" customHeight="1">
      <c r="B1943" s="17"/>
      <c r="C1943" s="17"/>
      <c r="D1943" s="13"/>
      <c r="E1943" s="11"/>
      <c r="F1943" s="11"/>
      <c r="G1943" s="13">
        <f t="shared" si="1"/>
        <v>1281</v>
      </c>
      <c r="H1943" s="13"/>
    </row>
    <row r="1944" ht="22.5" customHeight="1">
      <c r="B1944" s="17"/>
      <c r="C1944" s="17"/>
      <c r="D1944" s="13"/>
      <c r="E1944" s="11"/>
      <c r="F1944" s="11"/>
      <c r="G1944" s="13">
        <f t="shared" si="1"/>
        <v>1281</v>
      </c>
      <c r="H1944" s="13"/>
    </row>
    <row r="1945" ht="22.5" customHeight="1">
      <c r="B1945" s="17"/>
      <c r="C1945" s="17"/>
      <c r="D1945" s="13"/>
      <c r="E1945" s="11"/>
      <c r="F1945" s="11"/>
      <c r="G1945" s="13">
        <f t="shared" si="1"/>
        <v>1281</v>
      </c>
      <c r="H1945" s="13"/>
    </row>
    <row r="1946" ht="22.5" customHeight="1">
      <c r="B1946" s="17"/>
      <c r="C1946" s="17"/>
      <c r="D1946" s="13"/>
      <c r="E1946" s="11"/>
      <c r="F1946" s="11"/>
      <c r="G1946" s="13">
        <f t="shared" si="1"/>
        <v>1281</v>
      </c>
      <c r="H1946" s="13"/>
    </row>
    <row r="1947" ht="22.5" customHeight="1">
      <c r="B1947" s="17"/>
      <c r="C1947" s="17"/>
      <c r="D1947" s="13"/>
      <c r="E1947" s="11"/>
      <c r="F1947" s="11"/>
      <c r="G1947" s="13">
        <f t="shared" si="1"/>
        <v>1281</v>
      </c>
      <c r="H1947" s="13"/>
    </row>
    <row r="1948" ht="22.5" customHeight="1">
      <c r="B1948" s="17"/>
      <c r="C1948" s="17"/>
      <c r="D1948" s="13"/>
      <c r="E1948" s="11"/>
      <c r="F1948" s="11"/>
      <c r="G1948" s="13">
        <f t="shared" si="1"/>
        <v>1281</v>
      </c>
      <c r="H1948" s="13"/>
    </row>
    <row r="1949" ht="22.5" customHeight="1">
      <c r="B1949" s="17"/>
      <c r="C1949" s="17"/>
      <c r="D1949" s="13"/>
      <c r="E1949" s="11"/>
      <c r="F1949" s="11"/>
      <c r="G1949" s="13">
        <f t="shared" si="1"/>
        <v>1281</v>
      </c>
      <c r="H1949" s="13"/>
    </row>
    <row r="1950" ht="22.5" customHeight="1">
      <c r="B1950" s="17"/>
      <c r="C1950" s="17"/>
      <c r="D1950" s="13"/>
      <c r="E1950" s="11"/>
      <c r="F1950" s="11"/>
      <c r="G1950" s="13">
        <f t="shared" si="1"/>
        <v>1281</v>
      </c>
      <c r="H1950" s="13"/>
    </row>
    <row r="1951" ht="22.5" customHeight="1">
      <c r="B1951" s="17"/>
      <c r="C1951" s="17"/>
      <c r="D1951" s="13"/>
      <c r="E1951" s="11"/>
      <c r="F1951" s="11"/>
      <c r="G1951" s="13">
        <f t="shared" si="1"/>
        <v>1281</v>
      </c>
      <c r="H1951" s="13"/>
    </row>
    <row r="1952" ht="22.5" customHeight="1">
      <c r="B1952" s="17"/>
      <c r="C1952" s="17"/>
      <c r="D1952" s="13"/>
      <c r="E1952" s="11"/>
      <c r="F1952" s="11"/>
      <c r="G1952" s="13">
        <f t="shared" si="1"/>
        <v>1281</v>
      </c>
      <c r="H1952" s="13"/>
    </row>
    <row r="1953" ht="22.5" customHeight="1">
      <c r="B1953" s="17"/>
      <c r="C1953" s="17"/>
      <c r="D1953" s="13"/>
      <c r="E1953" s="11"/>
      <c r="F1953" s="11"/>
      <c r="G1953" s="13">
        <f t="shared" si="1"/>
        <v>1281</v>
      </c>
      <c r="H1953" s="13"/>
    </row>
    <row r="1954" ht="22.5" customHeight="1">
      <c r="B1954" s="17"/>
      <c r="C1954" s="17"/>
      <c r="D1954" s="13"/>
      <c r="E1954" s="11"/>
      <c r="F1954" s="11"/>
      <c r="G1954" s="13">
        <f t="shared" si="1"/>
        <v>1281</v>
      </c>
      <c r="H1954" s="13"/>
    </row>
    <row r="1955" ht="22.5" customHeight="1">
      <c r="B1955" s="17"/>
      <c r="C1955" s="17"/>
      <c r="D1955" s="13"/>
      <c r="E1955" s="11"/>
      <c r="F1955" s="11"/>
      <c r="G1955" s="13">
        <f t="shared" si="1"/>
        <v>1281</v>
      </c>
      <c r="H1955" s="13"/>
    </row>
    <row r="1956" ht="22.5" customHeight="1">
      <c r="B1956" s="17"/>
      <c r="C1956" s="17"/>
      <c r="D1956" s="13"/>
      <c r="E1956" s="11"/>
      <c r="F1956" s="11"/>
      <c r="G1956" s="13">
        <f t="shared" si="1"/>
        <v>1281</v>
      </c>
      <c r="H1956" s="13"/>
    </row>
    <row r="1957" ht="22.5" customHeight="1">
      <c r="B1957" s="17"/>
      <c r="C1957" s="17"/>
      <c r="D1957" s="13"/>
      <c r="E1957" s="11"/>
      <c r="F1957" s="11"/>
      <c r="G1957" s="13">
        <f t="shared" si="1"/>
        <v>1281</v>
      </c>
      <c r="H1957" s="13"/>
    </row>
    <row r="1958" ht="22.5" customHeight="1">
      <c r="B1958" s="17"/>
      <c r="C1958" s="17"/>
      <c r="D1958" s="13"/>
      <c r="E1958" s="11"/>
      <c r="F1958" s="11"/>
      <c r="G1958" s="13">
        <f t="shared" si="1"/>
        <v>1281</v>
      </c>
      <c r="H1958" s="13"/>
    </row>
    <row r="1959" ht="22.5" customHeight="1">
      <c r="B1959" s="17"/>
      <c r="C1959" s="17"/>
      <c r="D1959" s="13"/>
      <c r="E1959" s="11"/>
      <c r="F1959" s="11"/>
      <c r="G1959" s="13">
        <f t="shared" si="1"/>
        <v>1281</v>
      </c>
      <c r="H1959" s="13"/>
    </row>
    <row r="1960" ht="22.5" customHeight="1">
      <c r="B1960" s="17"/>
      <c r="C1960" s="17"/>
      <c r="D1960" s="13"/>
      <c r="E1960" s="11"/>
      <c r="F1960" s="11"/>
      <c r="G1960" s="13">
        <f t="shared" si="1"/>
        <v>1281</v>
      </c>
      <c r="H1960" s="13"/>
    </row>
    <row r="1961" ht="22.5" customHeight="1">
      <c r="B1961" s="17"/>
      <c r="C1961" s="17"/>
      <c r="D1961" s="13"/>
      <c r="E1961" s="11"/>
      <c r="F1961" s="11"/>
      <c r="G1961" s="13">
        <f t="shared" si="1"/>
        <v>1281</v>
      </c>
      <c r="H1961" s="13"/>
    </row>
    <row r="1962" ht="22.5" customHeight="1">
      <c r="B1962" s="17"/>
      <c r="C1962" s="17"/>
      <c r="D1962" s="13"/>
      <c r="E1962" s="11"/>
      <c r="F1962" s="11"/>
      <c r="G1962" s="13">
        <f t="shared" si="1"/>
        <v>1281</v>
      </c>
      <c r="H1962" s="13"/>
    </row>
    <row r="1963" ht="22.5" customHeight="1">
      <c r="B1963" s="17"/>
      <c r="C1963" s="17"/>
      <c r="D1963" s="13"/>
      <c r="E1963" s="11"/>
      <c r="F1963" s="11"/>
      <c r="G1963" s="13">
        <f t="shared" si="1"/>
        <v>1281</v>
      </c>
      <c r="H1963" s="13"/>
    </row>
    <row r="1964" ht="22.5" customHeight="1">
      <c r="B1964" s="17"/>
      <c r="C1964" s="17"/>
      <c r="D1964" s="13"/>
      <c r="E1964" s="11"/>
      <c r="F1964" s="11"/>
      <c r="G1964" s="13">
        <f t="shared" si="1"/>
        <v>1281</v>
      </c>
      <c r="H1964" s="13"/>
    </row>
    <row r="1965" ht="22.5" customHeight="1">
      <c r="B1965" s="17"/>
      <c r="C1965" s="17"/>
      <c r="D1965" s="13"/>
      <c r="E1965" s="11"/>
      <c r="F1965" s="11"/>
      <c r="G1965" s="13">
        <f t="shared" si="1"/>
        <v>1281</v>
      </c>
      <c r="H1965" s="13"/>
    </row>
    <row r="1966" ht="22.5" customHeight="1">
      <c r="B1966" s="17"/>
      <c r="C1966" s="17"/>
      <c r="D1966" s="13"/>
      <c r="E1966" s="11"/>
      <c r="F1966" s="11"/>
      <c r="G1966" s="13">
        <f t="shared" si="1"/>
        <v>1281</v>
      </c>
      <c r="H1966" s="13"/>
    </row>
    <row r="1967" ht="22.5" customHeight="1">
      <c r="B1967" s="17"/>
      <c r="C1967" s="17"/>
      <c r="D1967" s="13"/>
      <c r="E1967" s="11"/>
      <c r="F1967" s="11"/>
      <c r="G1967" s="13">
        <f t="shared" si="1"/>
        <v>1281</v>
      </c>
      <c r="H1967" s="13"/>
    </row>
    <row r="1968" ht="22.5" customHeight="1">
      <c r="B1968" s="17"/>
      <c r="C1968" s="17"/>
      <c r="D1968" s="13"/>
      <c r="E1968" s="11"/>
      <c r="F1968" s="11"/>
      <c r="G1968" s="13">
        <f t="shared" si="1"/>
        <v>1281</v>
      </c>
      <c r="H1968" s="13"/>
    </row>
    <row r="1969" ht="22.5" customHeight="1">
      <c r="B1969" s="17"/>
      <c r="C1969" s="17"/>
      <c r="D1969" s="13"/>
      <c r="E1969" s="11"/>
      <c r="F1969" s="11"/>
      <c r="G1969" s="13">
        <f t="shared" si="1"/>
        <v>1281</v>
      </c>
      <c r="H1969" s="13"/>
    </row>
    <row r="1970" ht="22.5" customHeight="1">
      <c r="B1970" s="17"/>
      <c r="C1970" s="17"/>
      <c r="D1970" s="13"/>
      <c r="E1970" s="11"/>
      <c r="F1970" s="11"/>
      <c r="G1970" s="13">
        <f t="shared" si="1"/>
        <v>1281</v>
      </c>
      <c r="H1970" s="13"/>
    </row>
    <row r="1971" ht="22.5" customHeight="1">
      <c r="B1971" s="17"/>
      <c r="C1971" s="17"/>
      <c r="D1971" s="13"/>
      <c r="E1971" s="11"/>
      <c r="F1971" s="11"/>
      <c r="G1971" s="13">
        <f t="shared" si="1"/>
        <v>1281</v>
      </c>
      <c r="H1971" s="13"/>
    </row>
    <row r="1972" ht="22.5" customHeight="1">
      <c r="B1972" s="17"/>
      <c r="C1972" s="17"/>
      <c r="D1972" s="13"/>
      <c r="E1972" s="11"/>
      <c r="F1972" s="11"/>
      <c r="G1972" s="13">
        <f t="shared" si="1"/>
        <v>1281</v>
      </c>
      <c r="H1972" s="13"/>
    </row>
    <row r="1973" ht="22.5" customHeight="1">
      <c r="B1973" s="17"/>
      <c r="C1973" s="17"/>
      <c r="D1973" s="13"/>
      <c r="E1973" s="11"/>
      <c r="F1973" s="11"/>
      <c r="G1973" s="13">
        <f t="shared" si="1"/>
        <v>1281</v>
      </c>
      <c r="H1973" s="13"/>
    </row>
    <row r="1974" ht="22.5" customHeight="1">
      <c r="B1974" s="17"/>
      <c r="C1974" s="17"/>
      <c r="D1974" s="13"/>
      <c r="E1974" s="11"/>
      <c r="F1974" s="11"/>
      <c r="G1974" s="13">
        <f t="shared" si="1"/>
        <v>1281</v>
      </c>
      <c r="H1974" s="13"/>
    </row>
    <row r="1975" ht="22.5" customHeight="1">
      <c r="B1975" s="17"/>
      <c r="C1975" s="17"/>
      <c r="D1975" s="13"/>
      <c r="E1975" s="11"/>
      <c r="F1975" s="11"/>
      <c r="G1975" s="13">
        <f t="shared" si="1"/>
        <v>1281</v>
      </c>
      <c r="H1975" s="13"/>
    </row>
    <row r="1976" ht="22.5" customHeight="1">
      <c r="B1976" s="17"/>
      <c r="C1976" s="17"/>
      <c r="D1976" s="13"/>
      <c r="E1976" s="11"/>
      <c r="F1976" s="11"/>
      <c r="G1976" s="13">
        <f t="shared" si="1"/>
        <v>1281</v>
      </c>
      <c r="H1976" s="13"/>
    </row>
    <row r="1977" ht="22.5" customHeight="1">
      <c r="B1977" s="17"/>
      <c r="C1977" s="17"/>
      <c r="D1977" s="13"/>
      <c r="E1977" s="11"/>
      <c r="F1977" s="11"/>
      <c r="G1977" s="13">
        <f t="shared" si="1"/>
        <v>1281</v>
      </c>
      <c r="H1977" s="13"/>
    </row>
    <row r="1978" ht="22.5" customHeight="1">
      <c r="B1978" s="17"/>
      <c r="C1978" s="17"/>
      <c r="D1978" s="13"/>
      <c r="E1978" s="11"/>
      <c r="F1978" s="11"/>
      <c r="G1978" s="13">
        <f t="shared" si="1"/>
        <v>1281</v>
      </c>
      <c r="H1978" s="13"/>
    </row>
    <row r="1979" ht="22.5" customHeight="1">
      <c r="B1979" s="17"/>
      <c r="C1979" s="17"/>
      <c r="D1979" s="13"/>
      <c r="E1979" s="11"/>
      <c r="F1979" s="11"/>
      <c r="G1979" s="13">
        <f t="shared" si="1"/>
        <v>1281</v>
      </c>
      <c r="H1979" s="13"/>
    </row>
    <row r="1980" ht="22.5" customHeight="1">
      <c r="B1980" s="17"/>
      <c r="C1980" s="17"/>
      <c r="D1980" s="13"/>
      <c r="E1980" s="11"/>
      <c r="F1980" s="11"/>
      <c r="G1980" s="13">
        <f t="shared" si="1"/>
        <v>1281</v>
      </c>
      <c r="H1980" s="13"/>
    </row>
    <row r="1981" ht="22.5" customHeight="1">
      <c r="B1981" s="17"/>
      <c r="C1981" s="17"/>
      <c r="D1981" s="13"/>
      <c r="E1981" s="11"/>
      <c r="F1981" s="11"/>
      <c r="G1981" s="13">
        <f t="shared" si="1"/>
        <v>1281</v>
      </c>
      <c r="H1981" s="13"/>
    </row>
    <row r="1982" ht="22.5" customHeight="1">
      <c r="B1982" s="17"/>
      <c r="C1982" s="17"/>
      <c r="D1982" s="13"/>
      <c r="E1982" s="11"/>
      <c r="F1982" s="11"/>
      <c r="G1982" s="13">
        <f t="shared" si="1"/>
        <v>1281</v>
      </c>
      <c r="H1982" s="13"/>
    </row>
    <row r="1983" ht="22.5" customHeight="1">
      <c r="B1983" s="17"/>
      <c r="C1983" s="17"/>
      <c r="D1983" s="13"/>
      <c r="E1983" s="11"/>
      <c r="F1983" s="11"/>
      <c r="G1983" s="13">
        <f t="shared" si="1"/>
        <v>1281</v>
      </c>
      <c r="H1983" s="13"/>
    </row>
    <row r="1984" ht="22.5" customHeight="1">
      <c r="B1984" s="17"/>
      <c r="C1984" s="17"/>
      <c r="D1984" s="13"/>
      <c r="E1984" s="11"/>
      <c r="F1984" s="11"/>
      <c r="G1984" s="13">
        <f t="shared" si="1"/>
        <v>1281</v>
      </c>
      <c r="H1984" s="13"/>
    </row>
    <row r="1985" ht="22.5" customHeight="1">
      <c r="B1985" s="17"/>
      <c r="C1985" s="17"/>
      <c r="D1985" s="13"/>
      <c r="E1985" s="11"/>
      <c r="F1985" s="11"/>
      <c r="G1985" s="13">
        <f t="shared" si="1"/>
        <v>1281</v>
      </c>
      <c r="H1985" s="13"/>
    </row>
    <row r="1986" ht="22.5" customHeight="1">
      <c r="B1986" s="17"/>
      <c r="C1986" s="17"/>
      <c r="D1986" s="13"/>
      <c r="E1986" s="11"/>
      <c r="F1986" s="11"/>
      <c r="G1986" s="13">
        <f t="shared" si="1"/>
        <v>1281</v>
      </c>
      <c r="H1986" s="13"/>
    </row>
    <row r="1987" ht="22.5" customHeight="1">
      <c r="B1987" s="17"/>
      <c r="C1987" s="17"/>
      <c r="D1987" s="13"/>
      <c r="E1987" s="11"/>
      <c r="F1987" s="11"/>
      <c r="G1987" s="13">
        <f t="shared" si="1"/>
        <v>1281</v>
      </c>
      <c r="H1987" s="13"/>
    </row>
    <row r="1988" ht="22.5" customHeight="1">
      <c r="B1988" s="17"/>
      <c r="C1988" s="17"/>
      <c r="D1988" s="13"/>
      <c r="E1988" s="11"/>
      <c r="F1988" s="11"/>
      <c r="G1988" s="13">
        <f t="shared" si="1"/>
        <v>1281</v>
      </c>
      <c r="H1988" s="13"/>
    </row>
    <row r="1989" ht="22.5" customHeight="1">
      <c r="B1989" s="17"/>
      <c r="C1989" s="17"/>
      <c r="D1989" s="13"/>
      <c r="E1989" s="11"/>
      <c r="F1989" s="11"/>
      <c r="G1989" s="13">
        <f t="shared" si="1"/>
        <v>1281</v>
      </c>
      <c r="H1989" s="13"/>
    </row>
    <row r="1990" ht="22.5" customHeight="1">
      <c r="B1990" s="17"/>
      <c r="C1990" s="17"/>
      <c r="D1990" s="13"/>
      <c r="E1990" s="11"/>
      <c r="F1990" s="11"/>
      <c r="G1990" s="13">
        <f t="shared" si="1"/>
        <v>1281</v>
      </c>
      <c r="H1990" s="13"/>
    </row>
    <row r="1991" ht="22.5" customHeight="1">
      <c r="B1991" s="17"/>
      <c r="C1991" s="17"/>
      <c r="D1991" s="13"/>
      <c r="E1991" s="11"/>
      <c r="F1991" s="11"/>
      <c r="G1991" s="13">
        <f t="shared" si="1"/>
        <v>1281</v>
      </c>
      <c r="H1991" s="13"/>
    </row>
    <row r="1992" ht="22.5" customHeight="1">
      <c r="B1992" s="17"/>
      <c r="C1992" s="17"/>
      <c r="D1992" s="13"/>
      <c r="E1992" s="11"/>
      <c r="F1992" s="11"/>
      <c r="G1992" s="13">
        <f t="shared" si="1"/>
        <v>1281</v>
      </c>
      <c r="H1992" s="13"/>
    </row>
    <row r="1993" ht="22.5" customHeight="1">
      <c r="B1993" s="17"/>
      <c r="C1993" s="17"/>
      <c r="D1993" s="13"/>
      <c r="E1993" s="11"/>
      <c r="F1993" s="11"/>
      <c r="G1993" s="13">
        <f t="shared" si="1"/>
        <v>1281</v>
      </c>
      <c r="H1993" s="13"/>
    </row>
    <row r="1994" ht="22.5" customHeight="1">
      <c r="B1994" s="17"/>
      <c r="C1994" s="17"/>
      <c r="D1994" s="13"/>
      <c r="E1994" s="11"/>
      <c r="F1994" s="11"/>
      <c r="G1994" s="13">
        <f t="shared" si="1"/>
        <v>1281</v>
      </c>
      <c r="H1994" s="13"/>
    </row>
    <row r="1995" ht="22.5" customHeight="1">
      <c r="B1995" s="17"/>
      <c r="C1995" s="17"/>
      <c r="D1995" s="13"/>
      <c r="E1995" s="11"/>
      <c r="F1995" s="11"/>
      <c r="G1995" s="13">
        <f t="shared" si="1"/>
        <v>1281</v>
      </c>
      <c r="H1995" s="13"/>
    </row>
    <row r="1996" ht="22.5" customHeight="1">
      <c r="B1996" s="17"/>
      <c r="C1996" s="17"/>
      <c r="D1996" s="13"/>
      <c r="E1996" s="11"/>
      <c r="F1996" s="11"/>
      <c r="G1996" s="13">
        <f t="shared" si="1"/>
        <v>1281</v>
      </c>
      <c r="H1996" s="13"/>
    </row>
    <row r="1997" ht="22.5" customHeight="1">
      <c r="B1997" s="17"/>
      <c r="C1997" s="17"/>
      <c r="D1997" s="13"/>
      <c r="E1997" s="11"/>
      <c r="F1997" s="11"/>
      <c r="G1997" s="13">
        <f t="shared" si="1"/>
        <v>1281</v>
      </c>
      <c r="H1997" s="13"/>
    </row>
    <row r="1998" ht="22.5" customHeight="1">
      <c r="B1998" s="17"/>
      <c r="C1998" s="17"/>
      <c r="D1998" s="13"/>
      <c r="E1998" s="11"/>
      <c r="F1998" s="11"/>
      <c r="G1998" s="13">
        <f t="shared" si="1"/>
        <v>1281</v>
      </c>
      <c r="H1998" s="13"/>
    </row>
    <row r="1999" ht="22.5" customHeight="1">
      <c r="B1999" s="17"/>
      <c r="C1999" s="17"/>
      <c r="D1999" s="13"/>
      <c r="E1999" s="11"/>
      <c r="F1999" s="11"/>
      <c r="G1999" s="13">
        <f t="shared" si="1"/>
        <v>1281</v>
      </c>
      <c r="H1999" s="13"/>
    </row>
    <row r="2000" ht="22.5" customHeight="1">
      <c r="B2000" s="17"/>
      <c r="C2000" s="17"/>
      <c r="D2000" s="13"/>
      <c r="E2000" s="11"/>
      <c r="F2000" s="11"/>
      <c r="G2000" s="13">
        <f t="shared" si="1"/>
        <v>1281</v>
      </c>
      <c r="H2000" s="13"/>
    </row>
    <row r="2001" ht="22.5" customHeight="1">
      <c r="B2001" s="17"/>
      <c r="C2001" s="17"/>
      <c r="D2001" s="13"/>
      <c r="E2001" s="11"/>
      <c r="F2001" s="11"/>
      <c r="G2001" s="13">
        <f t="shared" si="1"/>
        <v>1281</v>
      </c>
      <c r="H2001" s="13"/>
    </row>
    <row r="2002" ht="22.5" customHeight="1">
      <c r="B2002" s="17"/>
      <c r="C2002" s="17"/>
      <c r="D2002" s="13"/>
      <c r="E2002" s="11"/>
      <c r="F2002" s="11"/>
      <c r="G2002" s="13">
        <f t="shared" si="1"/>
        <v>1281</v>
      </c>
      <c r="H2002" s="13"/>
    </row>
    <row r="2003" ht="22.5" customHeight="1">
      <c r="B2003" s="17"/>
      <c r="C2003" s="17"/>
      <c r="D2003" s="13"/>
      <c r="E2003" s="11"/>
      <c r="F2003" s="11"/>
      <c r="G2003" s="13">
        <f t="shared" si="1"/>
        <v>1281</v>
      </c>
      <c r="H2003" s="13"/>
    </row>
    <row r="2004" ht="22.5" customHeight="1">
      <c r="B2004" s="17"/>
      <c r="C2004" s="17"/>
      <c r="D2004" s="13"/>
      <c r="E2004" s="11"/>
      <c r="F2004" s="11"/>
      <c r="G2004" s="13">
        <f t="shared" si="1"/>
        <v>1281</v>
      </c>
      <c r="H2004" s="13"/>
    </row>
    <row r="2005" ht="22.5" customHeight="1">
      <c r="B2005" s="17"/>
      <c r="C2005" s="17"/>
      <c r="D2005" s="13"/>
      <c r="E2005" s="11"/>
      <c r="F2005" s="11"/>
      <c r="G2005" s="13">
        <f t="shared" si="1"/>
        <v>1281</v>
      </c>
      <c r="H2005" s="13"/>
    </row>
    <row r="2006" ht="22.5" customHeight="1">
      <c r="B2006" s="17"/>
      <c r="C2006" s="17"/>
      <c r="D2006" s="13"/>
      <c r="E2006" s="11"/>
      <c r="F2006" s="11"/>
      <c r="G2006" s="13">
        <f t="shared" si="1"/>
        <v>1281</v>
      </c>
      <c r="H2006" s="13"/>
    </row>
    <row r="2007" ht="22.5" customHeight="1">
      <c r="B2007" s="17"/>
      <c r="C2007" s="17"/>
      <c r="D2007" s="13"/>
      <c r="E2007" s="11"/>
      <c r="F2007" s="11"/>
      <c r="G2007" s="13">
        <f t="shared" si="1"/>
        <v>1281</v>
      </c>
      <c r="H2007" s="13"/>
    </row>
    <row r="2008" ht="22.5" customHeight="1">
      <c r="B2008" s="17"/>
      <c r="C2008" s="17"/>
      <c r="D2008" s="13"/>
      <c r="E2008" s="11"/>
      <c r="F2008" s="11"/>
      <c r="G2008" s="13">
        <f t="shared" si="1"/>
        <v>1281</v>
      </c>
      <c r="H2008" s="13"/>
    </row>
    <row r="2009" ht="22.5" customHeight="1">
      <c r="B2009" s="17"/>
      <c r="C2009" s="17"/>
      <c r="D2009" s="13"/>
      <c r="E2009" s="11"/>
      <c r="F2009" s="11"/>
      <c r="G2009" s="13">
        <f t="shared" si="1"/>
        <v>1281</v>
      </c>
      <c r="H2009" s="13"/>
    </row>
    <row r="2010" ht="22.5" customHeight="1">
      <c r="B2010" s="17"/>
      <c r="C2010" s="17"/>
      <c r="D2010" s="13"/>
      <c r="E2010" s="11"/>
      <c r="F2010" s="11"/>
      <c r="G2010" s="13">
        <f t="shared" si="1"/>
        <v>1281</v>
      </c>
      <c r="H2010" s="13"/>
    </row>
    <row r="2011" ht="22.5" customHeight="1">
      <c r="B2011" s="17"/>
      <c r="C2011" s="17"/>
      <c r="D2011" s="13"/>
      <c r="E2011" s="11"/>
      <c r="F2011" s="11"/>
      <c r="G2011" s="13">
        <f t="shared" si="1"/>
        <v>1281</v>
      </c>
      <c r="H2011" s="13"/>
    </row>
    <row r="2012" ht="22.5" customHeight="1">
      <c r="B2012" s="17"/>
      <c r="C2012" s="17"/>
      <c r="D2012" s="13"/>
      <c r="E2012" s="11"/>
      <c r="F2012" s="11"/>
      <c r="G2012" s="13">
        <f t="shared" si="1"/>
        <v>1281</v>
      </c>
      <c r="H2012" s="13"/>
    </row>
    <row r="2013" ht="22.5" customHeight="1">
      <c r="B2013" s="17"/>
      <c r="C2013" s="17"/>
      <c r="D2013" s="13"/>
      <c r="E2013" s="11"/>
      <c r="F2013" s="11"/>
      <c r="G2013" s="13">
        <f t="shared" si="1"/>
        <v>1281</v>
      </c>
      <c r="H2013" s="13"/>
    </row>
    <row r="2014" ht="22.5" customHeight="1">
      <c r="B2014" s="17"/>
      <c r="C2014" s="17"/>
      <c r="D2014" s="13"/>
      <c r="E2014" s="11"/>
      <c r="F2014" s="11"/>
      <c r="G2014" s="13">
        <f t="shared" si="1"/>
        <v>1281</v>
      </c>
      <c r="H2014" s="13"/>
    </row>
    <row r="2015" ht="22.5" customHeight="1">
      <c r="B2015" s="17"/>
      <c r="C2015" s="17"/>
      <c r="D2015" s="13"/>
      <c r="E2015" s="11"/>
      <c r="F2015" s="11"/>
      <c r="G2015" s="13">
        <f t="shared" si="1"/>
        <v>1281</v>
      </c>
      <c r="H2015" s="13"/>
    </row>
    <row r="2016" ht="22.5" customHeight="1">
      <c r="B2016" s="17"/>
      <c r="C2016" s="17"/>
      <c r="D2016" s="13"/>
      <c r="E2016" s="11"/>
      <c r="F2016" s="11"/>
      <c r="G2016" s="13">
        <f t="shared" si="1"/>
        <v>1281</v>
      </c>
      <c r="H2016" s="13"/>
    </row>
    <row r="2017" ht="22.5" customHeight="1">
      <c r="B2017" s="17"/>
      <c r="C2017" s="17"/>
      <c r="D2017" s="13"/>
      <c r="E2017" s="11"/>
      <c r="F2017" s="11"/>
      <c r="G2017" s="13">
        <f t="shared" si="1"/>
        <v>1281</v>
      </c>
      <c r="H2017" s="13"/>
    </row>
    <row r="2018" ht="22.5" customHeight="1">
      <c r="B2018" s="17"/>
      <c r="C2018" s="17"/>
      <c r="D2018" s="13"/>
      <c r="E2018" s="11"/>
      <c r="F2018" s="11"/>
      <c r="G2018" s="13">
        <f t="shared" si="1"/>
        <v>1281</v>
      </c>
      <c r="H2018" s="13"/>
    </row>
    <row r="2019" ht="22.5" customHeight="1">
      <c r="B2019" s="17"/>
      <c r="C2019" s="17"/>
      <c r="D2019" s="13"/>
      <c r="E2019" s="11"/>
      <c r="F2019" s="11"/>
      <c r="G2019" s="13">
        <f t="shared" si="1"/>
        <v>1281</v>
      </c>
      <c r="H2019" s="13"/>
    </row>
    <row r="2020" ht="22.5" customHeight="1">
      <c r="B2020" s="17"/>
      <c r="C2020" s="17"/>
      <c r="D2020" s="13"/>
      <c r="E2020" s="11"/>
      <c r="F2020" s="11"/>
      <c r="G2020" s="13">
        <f t="shared" si="1"/>
        <v>1281</v>
      </c>
      <c r="H2020" s="13"/>
    </row>
    <row r="2021" ht="22.5" customHeight="1">
      <c r="B2021" s="17"/>
      <c r="C2021" s="17"/>
      <c r="D2021" s="13"/>
      <c r="E2021" s="11"/>
      <c r="F2021" s="11"/>
      <c r="G2021" s="13">
        <f t="shared" si="1"/>
        <v>1281</v>
      </c>
      <c r="H2021" s="13"/>
    </row>
    <row r="2022" ht="22.5" customHeight="1">
      <c r="B2022" s="17"/>
      <c r="C2022" s="17"/>
      <c r="D2022" s="13"/>
      <c r="E2022" s="11"/>
      <c r="F2022" s="11"/>
      <c r="G2022" s="13">
        <f t="shared" si="1"/>
        <v>1281</v>
      </c>
      <c r="H2022" s="13"/>
    </row>
    <row r="2023" ht="22.5" customHeight="1">
      <c r="B2023" s="17"/>
      <c r="C2023" s="17"/>
      <c r="D2023" s="13"/>
      <c r="E2023" s="11"/>
      <c r="F2023" s="11"/>
      <c r="G2023" s="13">
        <f t="shared" si="1"/>
        <v>1281</v>
      </c>
      <c r="H2023" s="13"/>
    </row>
    <row r="2024" ht="22.5" customHeight="1">
      <c r="B2024" s="17"/>
      <c r="C2024" s="17"/>
      <c r="D2024" s="13"/>
      <c r="E2024" s="11"/>
      <c r="F2024" s="11"/>
      <c r="G2024" s="13">
        <f t="shared" si="1"/>
        <v>1281</v>
      </c>
      <c r="H2024" s="13"/>
    </row>
    <row r="2025" ht="22.5" customHeight="1">
      <c r="B2025" s="17"/>
      <c r="C2025" s="17"/>
      <c r="D2025" s="13"/>
      <c r="E2025" s="11"/>
      <c r="F2025" s="11"/>
      <c r="G2025" s="13">
        <f t="shared" si="1"/>
        <v>1281</v>
      </c>
      <c r="H2025" s="13"/>
    </row>
    <row r="2026" ht="22.5" customHeight="1">
      <c r="B2026" s="17"/>
      <c r="C2026" s="17"/>
      <c r="D2026" s="13"/>
      <c r="E2026" s="11"/>
      <c r="F2026" s="11"/>
      <c r="G2026" s="13">
        <f t="shared" si="1"/>
        <v>1281</v>
      </c>
      <c r="H2026" s="13"/>
    </row>
    <row r="2027" ht="22.5" customHeight="1">
      <c r="B2027" s="17"/>
      <c r="C2027" s="17"/>
      <c r="D2027" s="13"/>
      <c r="E2027" s="11"/>
      <c r="F2027" s="11"/>
      <c r="G2027" s="13">
        <f t="shared" si="1"/>
        <v>1281</v>
      </c>
      <c r="H2027" s="13"/>
    </row>
    <row r="2028" ht="22.5" customHeight="1">
      <c r="B2028" s="17"/>
      <c r="C2028" s="17"/>
      <c r="D2028" s="13"/>
      <c r="E2028" s="11"/>
      <c r="F2028" s="11"/>
      <c r="G2028" s="13">
        <f t="shared" si="1"/>
        <v>1281</v>
      </c>
      <c r="H2028" s="13"/>
    </row>
    <row r="2029" ht="22.5" customHeight="1">
      <c r="B2029" s="17"/>
      <c r="C2029" s="17"/>
      <c r="D2029" s="13"/>
      <c r="E2029" s="11"/>
      <c r="F2029" s="11"/>
      <c r="G2029" s="13">
        <f t="shared" si="1"/>
        <v>1281</v>
      </c>
      <c r="H2029" s="13"/>
    </row>
    <row r="2030" ht="22.5" customHeight="1">
      <c r="B2030" s="17"/>
      <c r="C2030" s="17"/>
      <c r="D2030" s="13"/>
      <c r="E2030" s="11"/>
      <c r="F2030" s="11"/>
      <c r="G2030" s="13">
        <f t="shared" si="1"/>
        <v>1281</v>
      </c>
      <c r="H2030" s="13"/>
    </row>
    <row r="2031" ht="22.5" customHeight="1">
      <c r="B2031" s="17"/>
      <c r="C2031" s="17"/>
      <c r="D2031" s="13"/>
      <c r="E2031" s="11"/>
      <c r="F2031" s="11"/>
      <c r="G2031" s="13">
        <f t="shared" si="1"/>
        <v>1281</v>
      </c>
      <c r="H2031" s="13"/>
    </row>
    <row r="2032" ht="22.5" customHeight="1">
      <c r="B2032" s="17"/>
      <c r="C2032" s="17"/>
      <c r="D2032" s="13"/>
      <c r="E2032" s="11"/>
      <c r="F2032" s="11"/>
      <c r="G2032" s="13">
        <f t="shared" si="1"/>
        <v>1281</v>
      </c>
      <c r="H2032" s="13"/>
    </row>
    <row r="2033" ht="22.5" customHeight="1">
      <c r="B2033" s="17"/>
      <c r="C2033" s="17"/>
      <c r="D2033" s="13"/>
      <c r="E2033" s="11"/>
      <c r="F2033" s="11"/>
      <c r="G2033" s="13">
        <f t="shared" si="1"/>
        <v>1281</v>
      </c>
      <c r="H2033" s="13"/>
    </row>
    <row r="2034" ht="22.5" customHeight="1">
      <c r="B2034" s="17"/>
      <c r="C2034" s="17"/>
      <c r="D2034" s="13"/>
      <c r="E2034" s="11"/>
      <c r="F2034" s="11"/>
      <c r="G2034" s="13">
        <f t="shared" si="1"/>
        <v>1281</v>
      </c>
      <c r="H2034" s="13"/>
    </row>
    <row r="2035" ht="22.5" customHeight="1">
      <c r="B2035" s="17"/>
      <c r="C2035" s="17"/>
      <c r="D2035" s="13"/>
      <c r="E2035" s="11"/>
      <c r="F2035" s="11"/>
      <c r="G2035" s="13">
        <f t="shared" si="1"/>
        <v>1281</v>
      </c>
      <c r="H2035" s="13"/>
    </row>
    <row r="2036" ht="22.5" customHeight="1">
      <c r="B2036" s="17"/>
      <c r="C2036" s="17"/>
      <c r="D2036" s="13"/>
      <c r="E2036" s="11"/>
      <c r="F2036" s="11"/>
      <c r="G2036" s="13">
        <f t="shared" si="1"/>
        <v>1281</v>
      </c>
      <c r="H2036" s="13"/>
    </row>
    <row r="2037" ht="22.5" customHeight="1">
      <c r="B2037" s="17"/>
      <c r="C2037" s="17"/>
      <c r="D2037" s="13"/>
      <c r="E2037" s="11"/>
      <c r="F2037" s="11"/>
      <c r="G2037" s="13">
        <f t="shared" si="1"/>
        <v>1281</v>
      </c>
      <c r="H2037" s="13"/>
    </row>
    <row r="2038" ht="22.5" customHeight="1">
      <c r="B2038" s="17"/>
      <c r="C2038" s="17"/>
      <c r="D2038" s="13"/>
      <c r="E2038" s="11"/>
      <c r="F2038" s="11"/>
      <c r="G2038" s="13">
        <f t="shared" si="1"/>
        <v>1281</v>
      </c>
      <c r="H2038" s="13"/>
    </row>
    <row r="2039" ht="22.5" customHeight="1">
      <c r="B2039" s="17"/>
      <c r="C2039" s="17"/>
      <c r="D2039" s="13"/>
      <c r="E2039" s="11"/>
      <c r="F2039" s="11"/>
      <c r="G2039" s="13">
        <f t="shared" si="1"/>
        <v>1281</v>
      </c>
      <c r="H2039" s="13"/>
    </row>
    <row r="2040" ht="22.5" customHeight="1">
      <c r="B2040" s="17"/>
      <c r="C2040" s="17"/>
      <c r="D2040" s="13"/>
      <c r="E2040" s="11"/>
      <c r="F2040" s="11"/>
      <c r="G2040" s="13">
        <f t="shared" si="1"/>
        <v>1281</v>
      </c>
      <c r="H2040" s="13"/>
    </row>
    <row r="2041" ht="22.5" customHeight="1">
      <c r="B2041" s="17"/>
      <c r="C2041" s="17"/>
      <c r="D2041" s="13"/>
      <c r="E2041" s="11"/>
      <c r="F2041" s="11"/>
      <c r="G2041" s="13">
        <f t="shared" si="1"/>
        <v>1281</v>
      </c>
      <c r="H2041" s="13"/>
    </row>
    <row r="2042" ht="22.5" customHeight="1">
      <c r="B2042" s="17"/>
      <c r="C2042" s="17"/>
      <c r="D2042" s="13"/>
      <c r="E2042" s="11"/>
      <c r="F2042" s="11"/>
      <c r="G2042" s="13">
        <f t="shared" si="1"/>
        <v>1281</v>
      </c>
      <c r="H2042" s="13"/>
    </row>
    <row r="2043" ht="22.5" customHeight="1">
      <c r="B2043" s="17"/>
      <c r="C2043" s="17"/>
      <c r="D2043" s="13"/>
      <c r="E2043" s="11"/>
      <c r="F2043" s="11"/>
      <c r="G2043" s="13">
        <f t="shared" si="1"/>
        <v>1281</v>
      </c>
      <c r="H2043" s="13"/>
    </row>
    <row r="2044" ht="22.5" customHeight="1">
      <c r="B2044" s="17"/>
      <c r="C2044" s="17"/>
      <c r="D2044" s="13"/>
      <c r="E2044" s="11"/>
      <c r="F2044" s="11"/>
      <c r="G2044" s="13">
        <f t="shared" si="1"/>
        <v>1281</v>
      </c>
      <c r="H2044" s="13"/>
    </row>
    <row r="2045" ht="22.5" customHeight="1">
      <c r="B2045" s="17"/>
      <c r="C2045" s="17"/>
      <c r="D2045" s="13"/>
      <c r="E2045" s="11"/>
      <c r="F2045" s="11"/>
      <c r="G2045" s="13">
        <f t="shared" si="1"/>
        <v>1281</v>
      </c>
      <c r="H2045" s="13"/>
    </row>
    <row r="2046" ht="22.5" customHeight="1">
      <c r="B2046" s="17"/>
      <c r="C2046" s="17"/>
      <c r="D2046" s="13"/>
      <c r="E2046" s="11"/>
      <c r="F2046" s="11"/>
      <c r="G2046" s="13">
        <f t="shared" si="1"/>
        <v>1281</v>
      </c>
      <c r="H2046" s="13"/>
    </row>
    <row r="2047" ht="22.5" customHeight="1">
      <c r="B2047" s="17"/>
      <c r="C2047" s="17"/>
      <c r="D2047" s="13"/>
      <c r="E2047" s="11"/>
      <c r="F2047" s="11"/>
      <c r="G2047" s="13">
        <f t="shared" si="1"/>
        <v>1281</v>
      </c>
      <c r="H2047" s="13"/>
    </row>
    <row r="2048" ht="22.5" customHeight="1">
      <c r="B2048" s="17"/>
      <c r="C2048" s="17"/>
      <c r="D2048" s="13"/>
      <c r="E2048" s="11"/>
      <c r="F2048" s="11"/>
      <c r="G2048" s="13">
        <f t="shared" si="1"/>
        <v>1281</v>
      </c>
      <c r="H2048" s="13"/>
    </row>
    <row r="2049" ht="22.5" customHeight="1">
      <c r="B2049" s="17"/>
      <c r="C2049" s="17"/>
      <c r="D2049" s="13"/>
      <c r="E2049" s="11"/>
      <c r="F2049" s="11"/>
      <c r="G2049" s="13">
        <f t="shared" si="1"/>
        <v>1281</v>
      </c>
      <c r="H2049" s="13"/>
    </row>
    <row r="2050" ht="22.5" customHeight="1">
      <c r="B2050" s="17"/>
      <c r="C2050" s="17"/>
      <c r="D2050" s="13"/>
      <c r="E2050" s="11"/>
      <c r="F2050" s="11"/>
      <c r="G2050" s="13">
        <f t="shared" si="1"/>
        <v>1281</v>
      </c>
      <c r="H2050" s="13"/>
    </row>
    <row r="2051" ht="22.5" customHeight="1">
      <c r="B2051" s="17"/>
      <c r="C2051" s="17"/>
      <c r="D2051" s="13"/>
      <c r="E2051" s="11"/>
      <c r="F2051" s="11"/>
      <c r="G2051" s="13">
        <f t="shared" si="1"/>
        <v>1281</v>
      </c>
      <c r="H2051" s="13"/>
    </row>
    <row r="2052" ht="22.5" customHeight="1">
      <c r="B2052" s="17"/>
      <c r="C2052" s="17"/>
      <c r="D2052" s="13"/>
      <c r="E2052" s="11"/>
      <c r="F2052" s="11"/>
      <c r="G2052" s="13">
        <f t="shared" si="1"/>
        <v>1281</v>
      </c>
      <c r="H2052" s="13"/>
    </row>
    <row r="2053" ht="22.5" customHeight="1">
      <c r="B2053" s="17"/>
      <c r="C2053" s="17"/>
      <c r="D2053" s="13"/>
      <c r="E2053" s="11"/>
      <c r="F2053" s="11"/>
      <c r="G2053" s="13">
        <f t="shared" si="1"/>
        <v>1281</v>
      </c>
      <c r="H2053" s="13"/>
    </row>
    <row r="2054" ht="22.5" customHeight="1">
      <c r="B2054" s="17"/>
      <c r="C2054" s="17"/>
      <c r="D2054" s="13"/>
      <c r="E2054" s="11"/>
      <c r="F2054" s="11"/>
      <c r="G2054" s="13">
        <f t="shared" si="1"/>
        <v>1281</v>
      </c>
      <c r="H2054" s="13"/>
    </row>
    <row r="2055" ht="22.5" customHeight="1">
      <c r="B2055" s="17"/>
      <c r="C2055" s="17"/>
      <c r="D2055" s="13"/>
      <c r="E2055" s="11"/>
      <c r="F2055" s="11"/>
      <c r="G2055" s="13">
        <f t="shared" si="1"/>
        <v>1281</v>
      </c>
      <c r="H2055" s="13"/>
    </row>
    <row r="2056" ht="22.5" customHeight="1">
      <c r="B2056" s="17"/>
      <c r="C2056" s="17"/>
      <c r="D2056" s="13"/>
      <c r="E2056" s="11"/>
      <c r="F2056" s="11"/>
      <c r="G2056" s="13">
        <f t="shared" si="1"/>
        <v>1281</v>
      </c>
      <c r="H2056" s="13"/>
    </row>
    <row r="2057" ht="22.5" customHeight="1">
      <c r="B2057" s="17"/>
      <c r="C2057" s="17"/>
      <c r="D2057" s="13"/>
      <c r="E2057" s="11"/>
      <c r="F2057" s="11"/>
      <c r="G2057" s="13">
        <f t="shared" si="1"/>
        <v>1281</v>
      </c>
      <c r="H2057" s="13"/>
    </row>
    <row r="2058" ht="22.5" customHeight="1">
      <c r="B2058" s="17"/>
      <c r="C2058" s="17"/>
      <c r="D2058" s="13"/>
      <c r="E2058" s="11"/>
      <c r="F2058" s="11"/>
      <c r="G2058" s="13">
        <f t="shared" si="1"/>
        <v>1281</v>
      </c>
      <c r="H2058" s="13"/>
    </row>
    <row r="2059" ht="22.5" customHeight="1">
      <c r="B2059" s="17"/>
      <c r="C2059" s="17"/>
      <c r="D2059" s="13"/>
      <c r="E2059" s="11"/>
      <c r="F2059" s="11"/>
      <c r="G2059" s="13">
        <f t="shared" si="1"/>
        <v>1281</v>
      </c>
      <c r="H2059" s="13"/>
    </row>
    <row r="2060" ht="22.5" customHeight="1">
      <c r="B2060" s="17"/>
      <c r="C2060" s="17"/>
      <c r="D2060" s="13"/>
      <c r="E2060" s="11"/>
      <c r="F2060" s="11"/>
      <c r="G2060" s="13">
        <f t="shared" si="1"/>
        <v>1281</v>
      </c>
      <c r="H2060" s="13"/>
    </row>
    <row r="2061" ht="22.5" customHeight="1">
      <c r="B2061" s="17"/>
      <c r="C2061" s="17"/>
      <c r="D2061" s="13"/>
      <c r="E2061" s="11"/>
      <c r="F2061" s="11"/>
      <c r="G2061" s="13">
        <f t="shared" si="1"/>
        <v>1281</v>
      </c>
      <c r="H2061" s="13"/>
    </row>
    <row r="2062" ht="22.5" customHeight="1">
      <c r="B2062" s="17"/>
      <c r="C2062" s="17"/>
      <c r="D2062" s="13"/>
      <c r="E2062" s="11"/>
      <c r="F2062" s="11"/>
      <c r="G2062" s="13">
        <f t="shared" si="1"/>
        <v>1281</v>
      </c>
      <c r="H2062" s="13"/>
    </row>
    <row r="2063" ht="22.5" customHeight="1">
      <c r="B2063" s="17"/>
      <c r="C2063" s="17"/>
      <c r="D2063" s="13"/>
      <c r="E2063" s="11"/>
      <c r="F2063" s="11"/>
      <c r="G2063" s="13">
        <f t="shared" si="1"/>
        <v>1281</v>
      </c>
      <c r="H2063" s="13"/>
    </row>
    <row r="2064" ht="22.5" customHeight="1">
      <c r="B2064" s="17"/>
      <c r="C2064" s="17"/>
      <c r="D2064" s="13"/>
      <c r="E2064" s="11"/>
      <c r="F2064" s="11"/>
      <c r="G2064" s="13">
        <f t="shared" si="1"/>
        <v>1281</v>
      </c>
      <c r="H2064" s="13"/>
    </row>
    <row r="2065" ht="22.5" customHeight="1">
      <c r="B2065" s="17"/>
      <c r="C2065" s="17"/>
      <c r="D2065" s="13"/>
      <c r="E2065" s="11"/>
      <c r="F2065" s="11"/>
      <c r="G2065" s="13">
        <f t="shared" si="1"/>
        <v>1281</v>
      </c>
      <c r="H2065" s="13"/>
    </row>
    <row r="2066" ht="22.5" customHeight="1">
      <c r="B2066" s="17"/>
      <c r="C2066" s="17"/>
      <c r="D2066" s="13"/>
      <c r="E2066" s="11"/>
      <c r="F2066" s="11"/>
      <c r="G2066" s="13">
        <f t="shared" si="1"/>
        <v>1281</v>
      </c>
      <c r="H2066" s="13"/>
    </row>
    <row r="2067" ht="22.5" customHeight="1">
      <c r="B2067" s="17"/>
      <c r="C2067" s="17"/>
      <c r="D2067" s="13"/>
      <c r="E2067" s="11"/>
      <c r="F2067" s="11"/>
      <c r="G2067" s="13">
        <f t="shared" si="1"/>
        <v>1281</v>
      </c>
      <c r="H2067" s="13"/>
    </row>
    <row r="2068" ht="22.5" customHeight="1">
      <c r="B2068" s="17"/>
      <c r="C2068" s="17"/>
      <c r="D2068" s="13"/>
      <c r="E2068" s="11"/>
      <c r="F2068" s="11"/>
      <c r="G2068" s="13">
        <f t="shared" si="1"/>
        <v>1281</v>
      </c>
      <c r="H2068" s="13"/>
    </row>
    <row r="2069" ht="22.5" customHeight="1">
      <c r="B2069" s="17"/>
      <c r="C2069" s="17"/>
      <c r="D2069" s="13"/>
      <c r="E2069" s="11"/>
      <c r="F2069" s="11"/>
      <c r="G2069" s="13">
        <f t="shared" si="1"/>
        <v>1281</v>
      </c>
      <c r="H2069" s="13"/>
    </row>
    <row r="2070" ht="22.5" customHeight="1">
      <c r="B2070" s="17"/>
      <c r="C2070" s="17"/>
      <c r="D2070" s="13"/>
      <c r="E2070" s="11"/>
      <c r="F2070" s="11"/>
      <c r="G2070" s="13">
        <f t="shared" si="1"/>
        <v>1281</v>
      </c>
      <c r="H2070" s="13"/>
    </row>
    <row r="2071" ht="22.5" customHeight="1">
      <c r="B2071" s="17"/>
      <c r="C2071" s="17"/>
      <c r="D2071" s="13"/>
      <c r="E2071" s="11"/>
      <c r="F2071" s="11"/>
      <c r="G2071" s="13">
        <f t="shared" si="1"/>
        <v>1281</v>
      </c>
      <c r="H2071" s="13"/>
    </row>
    <row r="2072" ht="22.5" customHeight="1">
      <c r="B2072" s="17"/>
      <c r="C2072" s="17"/>
      <c r="D2072" s="13"/>
      <c r="E2072" s="11"/>
      <c r="F2072" s="11"/>
      <c r="G2072" s="13">
        <f t="shared" si="1"/>
        <v>1281</v>
      </c>
      <c r="H2072" s="13"/>
    </row>
    <row r="2073" ht="22.5" customHeight="1">
      <c r="B2073" s="17"/>
      <c r="C2073" s="17"/>
      <c r="D2073" s="13"/>
      <c r="E2073" s="11"/>
      <c r="F2073" s="11"/>
      <c r="G2073" s="13">
        <f t="shared" si="1"/>
        <v>1281</v>
      </c>
      <c r="H2073" s="13"/>
    </row>
    <row r="2074" ht="22.5" customHeight="1">
      <c r="B2074" s="17"/>
      <c r="C2074" s="17"/>
      <c r="D2074" s="13"/>
      <c r="E2074" s="11"/>
      <c r="F2074" s="11"/>
      <c r="G2074" s="13">
        <f t="shared" si="1"/>
        <v>1281</v>
      </c>
      <c r="H2074" s="13"/>
    </row>
    <row r="2075" ht="22.5" customHeight="1">
      <c r="B2075" s="17"/>
      <c r="C2075" s="17"/>
      <c r="D2075" s="13"/>
      <c r="E2075" s="11"/>
      <c r="F2075" s="11"/>
      <c r="G2075" s="13">
        <f t="shared" si="1"/>
        <v>1281</v>
      </c>
      <c r="H2075" s="13"/>
    </row>
    <row r="2076" ht="22.5" customHeight="1">
      <c r="B2076" s="17"/>
      <c r="C2076" s="17"/>
      <c r="D2076" s="13"/>
      <c r="E2076" s="11"/>
      <c r="F2076" s="11"/>
      <c r="G2076" s="13">
        <f t="shared" si="1"/>
        <v>1281</v>
      </c>
      <c r="H2076" s="13"/>
    </row>
    <row r="2077" ht="22.5" customHeight="1">
      <c r="B2077" s="17"/>
      <c r="C2077" s="17"/>
      <c r="D2077" s="13"/>
      <c r="E2077" s="11"/>
      <c r="F2077" s="11"/>
      <c r="G2077" s="13">
        <f t="shared" si="1"/>
        <v>1281</v>
      </c>
      <c r="H2077" s="13"/>
    </row>
    <row r="2078" ht="22.5" customHeight="1">
      <c r="B2078" s="17"/>
      <c r="C2078" s="17"/>
      <c r="D2078" s="13"/>
      <c r="E2078" s="11"/>
      <c r="F2078" s="11"/>
      <c r="G2078" s="13">
        <f t="shared" si="1"/>
        <v>1281</v>
      </c>
      <c r="H2078" s="13"/>
    </row>
    <row r="2079" ht="22.5" customHeight="1">
      <c r="B2079" s="17"/>
      <c r="C2079" s="17"/>
      <c r="D2079" s="13"/>
      <c r="E2079" s="11"/>
      <c r="F2079" s="11"/>
      <c r="G2079" s="13">
        <f t="shared" si="1"/>
        <v>1281</v>
      </c>
      <c r="H2079" s="13"/>
    </row>
    <row r="2080" ht="22.5" customHeight="1">
      <c r="B2080" s="17"/>
      <c r="C2080" s="17"/>
      <c r="D2080" s="13"/>
      <c r="E2080" s="11"/>
      <c r="F2080" s="11"/>
      <c r="G2080" s="13">
        <f t="shared" si="1"/>
        <v>1281</v>
      </c>
      <c r="H2080" s="13"/>
    </row>
    <row r="2081" ht="22.5" customHeight="1">
      <c r="B2081" s="17"/>
      <c r="C2081" s="17"/>
      <c r="D2081" s="13"/>
      <c r="E2081" s="11"/>
      <c r="F2081" s="11"/>
      <c r="G2081" s="13">
        <f t="shared" si="1"/>
        <v>1281</v>
      </c>
      <c r="H2081" s="13"/>
    </row>
    <row r="2082" ht="22.5" customHeight="1">
      <c r="B2082" s="17"/>
      <c r="C2082" s="17"/>
      <c r="D2082" s="13"/>
      <c r="E2082" s="11"/>
      <c r="F2082" s="11"/>
      <c r="G2082" s="13">
        <f t="shared" si="1"/>
        <v>1281</v>
      </c>
      <c r="H2082" s="13"/>
    </row>
    <row r="2083" ht="22.5" customHeight="1">
      <c r="B2083" s="17"/>
      <c r="C2083" s="17"/>
      <c r="D2083" s="13"/>
      <c r="E2083" s="11"/>
      <c r="F2083" s="11"/>
      <c r="G2083" s="13">
        <f t="shared" si="1"/>
        <v>1281</v>
      </c>
      <c r="H2083" s="13"/>
    </row>
    <row r="2084" ht="22.5" customHeight="1">
      <c r="B2084" s="17"/>
      <c r="C2084" s="17"/>
      <c r="D2084" s="13"/>
      <c r="E2084" s="11"/>
      <c r="F2084" s="11"/>
      <c r="G2084" s="13">
        <f t="shared" si="1"/>
        <v>1281</v>
      </c>
      <c r="H2084" s="13"/>
    </row>
    <row r="2085" ht="22.5" customHeight="1">
      <c r="B2085" s="17"/>
      <c r="C2085" s="17"/>
      <c r="D2085" s="13"/>
      <c r="E2085" s="11"/>
      <c r="F2085" s="11"/>
      <c r="G2085" s="13">
        <f t="shared" si="1"/>
        <v>1281</v>
      </c>
      <c r="H2085" s="13"/>
    </row>
    <row r="2086" ht="22.5" customHeight="1">
      <c r="B2086" s="17"/>
      <c r="C2086" s="17"/>
      <c r="D2086" s="13"/>
      <c r="E2086" s="11"/>
      <c r="F2086" s="11"/>
      <c r="G2086" s="13">
        <f t="shared" si="1"/>
        <v>1281</v>
      </c>
      <c r="H2086" s="13"/>
    </row>
    <row r="2087" ht="22.5" customHeight="1">
      <c r="B2087" s="17"/>
      <c r="C2087" s="17"/>
      <c r="D2087" s="13"/>
      <c r="E2087" s="11"/>
      <c r="F2087" s="11"/>
      <c r="G2087" s="13">
        <f t="shared" si="1"/>
        <v>1281</v>
      </c>
      <c r="H2087" s="13"/>
    </row>
    <row r="2088" ht="22.5" customHeight="1">
      <c r="B2088" s="17"/>
      <c r="C2088" s="17"/>
      <c r="D2088" s="13"/>
      <c r="E2088" s="11"/>
      <c r="F2088" s="11"/>
      <c r="G2088" s="13">
        <f t="shared" si="1"/>
        <v>1281</v>
      </c>
      <c r="H2088" s="13"/>
    </row>
    <row r="2089" ht="22.5" customHeight="1">
      <c r="B2089" s="17"/>
      <c r="C2089" s="17"/>
      <c r="D2089" s="13"/>
      <c r="E2089" s="11"/>
      <c r="F2089" s="11"/>
      <c r="G2089" s="13">
        <f t="shared" si="1"/>
        <v>1281</v>
      </c>
      <c r="H2089" s="13"/>
    </row>
    <row r="2090" ht="22.5" customHeight="1">
      <c r="B2090" s="17"/>
      <c r="C2090" s="17"/>
      <c r="D2090" s="13"/>
      <c r="E2090" s="11"/>
      <c r="F2090" s="11"/>
      <c r="G2090" s="13">
        <f t="shared" si="1"/>
        <v>1281</v>
      </c>
      <c r="H2090" s="13"/>
    </row>
    <row r="2091" ht="22.5" customHeight="1">
      <c r="B2091" s="17"/>
      <c r="C2091" s="17"/>
      <c r="D2091" s="13"/>
      <c r="E2091" s="11"/>
      <c r="F2091" s="11"/>
      <c r="G2091" s="13">
        <f t="shared" si="1"/>
        <v>1281</v>
      </c>
      <c r="H2091" s="13"/>
    </row>
    <row r="2092" ht="22.5" customHeight="1">
      <c r="B2092" s="17"/>
      <c r="C2092" s="17"/>
      <c r="D2092" s="13"/>
      <c r="E2092" s="11"/>
      <c r="F2092" s="11"/>
      <c r="G2092" s="13">
        <f t="shared" si="1"/>
        <v>1281</v>
      </c>
      <c r="H2092" s="13"/>
    </row>
    <row r="2093" ht="22.5" customHeight="1">
      <c r="B2093" s="17"/>
      <c r="C2093" s="17"/>
      <c r="D2093" s="13"/>
      <c r="E2093" s="11"/>
      <c r="F2093" s="11"/>
      <c r="G2093" s="13">
        <f t="shared" si="1"/>
        <v>1281</v>
      </c>
      <c r="H2093" s="13"/>
    </row>
    <row r="2094" ht="22.5" customHeight="1">
      <c r="B2094" s="17"/>
      <c r="C2094" s="17"/>
      <c r="D2094" s="13"/>
      <c r="E2094" s="11"/>
      <c r="F2094" s="11"/>
      <c r="G2094" s="13">
        <f t="shared" si="1"/>
        <v>1281</v>
      </c>
      <c r="H2094" s="13"/>
    </row>
    <row r="2095" ht="22.5" customHeight="1">
      <c r="B2095" s="17"/>
      <c r="C2095" s="17"/>
      <c r="D2095" s="13"/>
      <c r="E2095" s="11"/>
      <c r="F2095" s="11"/>
      <c r="G2095" s="13">
        <f t="shared" si="1"/>
        <v>1281</v>
      </c>
      <c r="H2095" s="13"/>
    </row>
    <row r="2096" ht="22.5" customHeight="1">
      <c r="B2096" s="17"/>
      <c r="C2096" s="17"/>
      <c r="D2096" s="13"/>
      <c r="E2096" s="11"/>
      <c r="F2096" s="11"/>
      <c r="G2096" s="13">
        <f t="shared" si="1"/>
        <v>1281</v>
      </c>
      <c r="H2096" s="13"/>
    </row>
    <row r="2097" ht="22.5" customHeight="1">
      <c r="B2097" s="17"/>
      <c r="C2097" s="17"/>
      <c r="D2097" s="13"/>
      <c r="E2097" s="11"/>
      <c r="F2097" s="11"/>
      <c r="G2097" s="13">
        <f t="shared" si="1"/>
        <v>1281</v>
      </c>
      <c r="H2097" s="13"/>
    </row>
    <row r="2098" ht="22.5" customHeight="1">
      <c r="B2098" s="17"/>
      <c r="C2098" s="17"/>
      <c r="D2098" s="13"/>
      <c r="E2098" s="11"/>
      <c r="F2098" s="11"/>
      <c r="G2098" s="13">
        <f t="shared" si="1"/>
        <v>1281</v>
      </c>
      <c r="H2098" s="13"/>
    </row>
    <row r="2099" ht="22.5" customHeight="1">
      <c r="B2099" s="17"/>
      <c r="C2099" s="17"/>
      <c r="D2099" s="13"/>
      <c r="E2099" s="11"/>
      <c r="F2099" s="11"/>
      <c r="G2099" s="13">
        <f t="shared" si="1"/>
        <v>1281</v>
      </c>
      <c r="H2099" s="13"/>
    </row>
    <row r="2100" ht="22.5" customHeight="1">
      <c r="B2100" s="17"/>
      <c r="C2100" s="17"/>
      <c r="D2100" s="13"/>
      <c r="E2100" s="11"/>
      <c r="F2100" s="11"/>
      <c r="G2100" s="13">
        <f t="shared" si="1"/>
        <v>1281</v>
      </c>
      <c r="H2100" s="13"/>
    </row>
    <row r="2101" ht="22.5" customHeight="1">
      <c r="B2101" s="17"/>
      <c r="C2101" s="17"/>
      <c r="D2101" s="13"/>
      <c r="E2101" s="11"/>
      <c r="F2101" s="11"/>
      <c r="G2101" s="13">
        <f t="shared" si="1"/>
        <v>1281</v>
      </c>
      <c r="H2101" s="13"/>
    </row>
    <row r="2102" ht="22.5" customHeight="1">
      <c r="B2102" s="17"/>
      <c r="C2102" s="17"/>
      <c r="D2102" s="13"/>
      <c r="E2102" s="11"/>
      <c r="F2102" s="11"/>
      <c r="G2102" s="13">
        <f t="shared" si="1"/>
        <v>1281</v>
      </c>
      <c r="H2102" s="13"/>
    </row>
    <row r="2103" ht="22.5" customHeight="1">
      <c r="B2103" s="17"/>
      <c r="C2103" s="17"/>
      <c r="D2103" s="13"/>
      <c r="E2103" s="11"/>
      <c r="F2103" s="11"/>
      <c r="G2103" s="13">
        <f t="shared" si="1"/>
        <v>1281</v>
      </c>
      <c r="H2103" s="13"/>
    </row>
    <row r="2104" ht="22.5" customHeight="1">
      <c r="B2104" s="17"/>
      <c r="C2104" s="17"/>
      <c r="D2104" s="13"/>
      <c r="E2104" s="11"/>
      <c r="F2104" s="11"/>
      <c r="G2104" s="13">
        <f t="shared" si="1"/>
        <v>1281</v>
      </c>
      <c r="H2104" s="13"/>
    </row>
    <row r="2105" ht="22.5" customHeight="1">
      <c r="B2105" s="17"/>
      <c r="C2105" s="17"/>
      <c r="D2105" s="13"/>
      <c r="E2105" s="11"/>
      <c r="F2105" s="11"/>
      <c r="G2105" s="13">
        <f t="shared" si="1"/>
        <v>1281</v>
      </c>
      <c r="H2105" s="13"/>
    </row>
    <row r="2106" ht="22.5" customHeight="1">
      <c r="B2106" s="17"/>
      <c r="C2106" s="17"/>
      <c r="D2106" s="13"/>
      <c r="E2106" s="11"/>
      <c r="F2106" s="11"/>
      <c r="G2106" s="13">
        <f t="shared" si="1"/>
        <v>1281</v>
      </c>
      <c r="H2106" s="13"/>
    </row>
    <row r="2107" ht="22.5" customHeight="1">
      <c r="B2107" s="17"/>
      <c r="C2107" s="17"/>
      <c r="D2107" s="13"/>
      <c r="E2107" s="11"/>
      <c r="F2107" s="11"/>
      <c r="G2107" s="13">
        <f t="shared" si="1"/>
        <v>1281</v>
      </c>
      <c r="H2107" s="13"/>
    </row>
    <row r="2108" ht="22.5" customHeight="1">
      <c r="B2108" s="17"/>
      <c r="C2108" s="17"/>
      <c r="D2108" s="13"/>
      <c r="E2108" s="11"/>
      <c r="F2108" s="11"/>
      <c r="G2108" s="13">
        <f t="shared" si="1"/>
        <v>1281</v>
      </c>
      <c r="H2108" s="13"/>
    </row>
    <row r="2109" ht="22.5" customHeight="1">
      <c r="B2109" s="17"/>
      <c r="C2109" s="17"/>
      <c r="D2109" s="13"/>
      <c r="E2109" s="11"/>
      <c r="F2109" s="11"/>
      <c r="G2109" s="13">
        <f t="shared" si="1"/>
        <v>1281</v>
      </c>
      <c r="H2109" s="13"/>
    </row>
    <row r="2110" ht="22.5" customHeight="1">
      <c r="B2110" s="17"/>
      <c r="C2110" s="17"/>
      <c r="D2110" s="13"/>
      <c r="E2110" s="11"/>
      <c r="F2110" s="11"/>
      <c r="G2110" s="13">
        <f t="shared" si="1"/>
        <v>1281</v>
      </c>
      <c r="H2110" s="13"/>
    </row>
    <row r="2111" ht="22.5" customHeight="1">
      <c r="B2111" s="17"/>
      <c r="C2111" s="17"/>
      <c r="D2111" s="13"/>
      <c r="E2111" s="11"/>
      <c r="F2111" s="11"/>
      <c r="G2111" s="13">
        <f t="shared" si="1"/>
        <v>1281</v>
      </c>
      <c r="H2111" s="13"/>
    </row>
    <row r="2112" ht="22.5" customHeight="1">
      <c r="B2112" s="17"/>
      <c r="C2112" s="17"/>
      <c r="D2112" s="13"/>
      <c r="E2112" s="11"/>
      <c r="F2112" s="11"/>
      <c r="G2112" s="13">
        <f t="shared" si="1"/>
        <v>1281</v>
      </c>
      <c r="H2112" s="13"/>
    </row>
    <row r="2113" ht="22.5" customHeight="1">
      <c r="B2113" s="17"/>
      <c r="C2113" s="17"/>
      <c r="D2113" s="13"/>
      <c r="E2113" s="11"/>
      <c r="F2113" s="11"/>
      <c r="G2113" s="13">
        <f t="shared" si="1"/>
        <v>1281</v>
      </c>
      <c r="H2113" s="13"/>
    </row>
    <row r="2114" ht="22.5" customHeight="1">
      <c r="B2114" s="17"/>
      <c r="C2114" s="17"/>
      <c r="D2114" s="13"/>
      <c r="E2114" s="11"/>
      <c r="F2114" s="11"/>
      <c r="G2114" s="13">
        <f t="shared" si="1"/>
        <v>1281</v>
      </c>
      <c r="H2114" s="13"/>
    </row>
    <row r="2115" ht="22.5" customHeight="1">
      <c r="B2115" s="17"/>
      <c r="C2115" s="17"/>
      <c r="D2115" s="13"/>
      <c r="E2115" s="11"/>
      <c r="F2115" s="11"/>
      <c r="G2115" s="13">
        <f t="shared" si="1"/>
        <v>1281</v>
      </c>
      <c r="H2115" s="13"/>
    </row>
    <row r="2116" ht="22.5" customHeight="1">
      <c r="B2116" s="17"/>
      <c r="C2116" s="17"/>
      <c r="D2116" s="13"/>
      <c r="E2116" s="11"/>
      <c r="F2116" s="11"/>
      <c r="G2116" s="13">
        <f t="shared" si="1"/>
        <v>1281</v>
      </c>
      <c r="H2116" s="13"/>
    </row>
    <row r="2117" ht="22.5" customHeight="1">
      <c r="B2117" s="17"/>
      <c r="C2117" s="17"/>
      <c r="D2117" s="13"/>
      <c r="E2117" s="11"/>
      <c r="F2117" s="11"/>
      <c r="G2117" s="13">
        <f t="shared" si="1"/>
        <v>1281</v>
      </c>
      <c r="H2117" s="13"/>
    </row>
    <row r="2118" ht="22.5" customHeight="1">
      <c r="B2118" s="17"/>
      <c r="C2118" s="17"/>
      <c r="D2118" s="13"/>
      <c r="E2118" s="11"/>
      <c r="F2118" s="11"/>
      <c r="G2118" s="13">
        <f t="shared" si="1"/>
        <v>1281</v>
      </c>
      <c r="H2118" s="13"/>
    </row>
    <row r="2119" ht="22.5" customHeight="1">
      <c r="B2119" s="17"/>
      <c r="C2119" s="17"/>
      <c r="D2119" s="13"/>
      <c r="E2119" s="11"/>
      <c r="F2119" s="11"/>
      <c r="G2119" s="13">
        <f t="shared" si="1"/>
        <v>1281</v>
      </c>
      <c r="H2119" s="13"/>
    </row>
    <row r="2120" ht="22.5" customHeight="1">
      <c r="B2120" s="17"/>
      <c r="C2120" s="17"/>
      <c r="D2120" s="13"/>
      <c r="E2120" s="11"/>
      <c r="F2120" s="11"/>
      <c r="G2120" s="13">
        <f t="shared" si="1"/>
        <v>1281</v>
      </c>
      <c r="H2120" s="13"/>
    </row>
    <row r="2121" ht="22.5" customHeight="1">
      <c r="B2121" s="17"/>
      <c r="C2121" s="17"/>
      <c r="D2121" s="13"/>
      <c r="E2121" s="11"/>
      <c r="F2121" s="11"/>
      <c r="G2121" s="13">
        <f t="shared" si="1"/>
        <v>1281</v>
      </c>
      <c r="H2121" s="13"/>
    </row>
    <row r="2122" ht="22.5" customHeight="1">
      <c r="B2122" s="17"/>
      <c r="C2122" s="17"/>
      <c r="D2122" s="13"/>
      <c r="E2122" s="11"/>
      <c r="F2122" s="11"/>
      <c r="G2122" s="13">
        <f t="shared" si="1"/>
        <v>1281</v>
      </c>
      <c r="H2122" s="13"/>
    </row>
    <row r="2123" ht="22.5" customHeight="1">
      <c r="B2123" s="17"/>
      <c r="C2123" s="17"/>
      <c r="D2123" s="13"/>
      <c r="E2123" s="11"/>
      <c r="F2123" s="11"/>
      <c r="G2123" s="13">
        <f t="shared" si="1"/>
        <v>1281</v>
      </c>
      <c r="H2123" s="13"/>
    </row>
    <row r="2124" ht="22.5" customHeight="1">
      <c r="B2124" s="17"/>
      <c r="C2124" s="17"/>
      <c r="D2124" s="13"/>
      <c r="E2124" s="11"/>
      <c r="F2124" s="11"/>
      <c r="G2124" s="13">
        <f t="shared" si="1"/>
        <v>1281</v>
      </c>
      <c r="H2124" s="13"/>
    </row>
    <row r="2125" ht="22.5" customHeight="1">
      <c r="B2125" s="17"/>
      <c r="C2125" s="17"/>
      <c r="D2125" s="13"/>
      <c r="E2125" s="11"/>
      <c r="F2125" s="11"/>
      <c r="G2125" s="13">
        <f t="shared" si="1"/>
        <v>1281</v>
      </c>
      <c r="H2125" s="13"/>
    </row>
    <row r="2126" ht="22.5" customHeight="1">
      <c r="B2126" s="17"/>
      <c r="C2126" s="17"/>
      <c r="D2126" s="13"/>
      <c r="E2126" s="11"/>
      <c r="F2126" s="11"/>
      <c r="G2126" s="13">
        <f t="shared" si="1"/>
        <v>1281</v>
      </c>
      <c r="H2126" s="13"/>
    </row>
    <row r="2127" ht="22.5" customHeight="1">
      <c r="B2127" s="17"/>
      <c r="C2127" s="17"/>
      <c r="D2127" s="13"/>
      <c r="E2127" s="11"/>
      <c r="F2127" s="11"/>
      <c r="G2127" s="13">
        <f t="shared" si="1"/>
        <v>1281</v>
      </c>
      <c r="H2127" s="13"/>
    </row>
    <row r="2128" ht="22.5" customHeight="1">
      <c r="B2128" s="17"/>
      <c r="C2128" s="17"/>
      <c r="D2128" s="13"/>
      <c r="E2128" s="11"/>
      <c r="F2128" s="11"/>
      <c r="G2128" s="13">
        <f t="shared" si="1"/>
        <v>1281</v>
      </c>
      <c r="H2128" s="13"/>
    </row>
    <row r="2129" ht="22.5" customHeight="1">
      <c r="B2129" s="17"/>
      <c r="C2129" s="17"/>
      <c r="D2129" s="13"/>
      <c r="E2129" s="11"/>
      <c r="F2129" s="11"/>
      <c r="G2129" s="13">
        <f t="shared" si="1"/>
        <v>1281</v>
      </c>
      <c r="H2129" s="13"/>
    </row>
    <row r="2130" ht="22.5" customHeight="1">
      <c r="B2130" s="17"/>
      <c r="C2130" s="17"/>
      <c r="D2130" s="13"/>
      <c r="E2130" s="11"/>
      <c r="F2130" s="11"/>
      <c r="G2130" s="13">
        <f t="shared" si="1"/>
        <v>1281</v>
      </c>
      <c r="H2130" s="13"/>
    </row>
    <row r="2131" ht="22.5" customHeight="1">
      <c r="B2131" s="17"/>
      <c r="C2131" s="17"/>
      <c r="D2131" s="13"/>
      <c r="E2131" s="11"/>
      <c r="F2131" s="11"/>
      <c r="G2131" s="13">
        <f t="shared" si="1"/>
        <v>1281</v>
      </c>
      <c r="H2131" s="13"/>
    </row>
    <row r="2132" ht="22.5" customHeight="1">
      <c r="B2132" s="17"/>
      <c r="C2132" s="17"/>
      <c r="D2132" s="13"/>
      <c r="E2132" s="11"/>
      <c r="F2132" s="11"/>
      <c r="G2132" s="13">
        <f t="shared" si="1"/>
        <v>1281</v>
      </c>
      <c r="H2132" s="13"/>
    </row>
    <row r="2133" ht="22.5" customHeight="1">
      <c r="B2133" s="17"/>
      <c r="C2133" s="17"/>
      <c r="D2133" s="13"/>
      <c r="E2133" s="11"/>
      <c r="F2133" s="11"/>
      <c r="G2133" s="13">
        <f t="shared" si="1"/>
        <v>1281</v>
      </c>
      <c r="H2133" s="13"/>
    </row>
    <row r="2134" ht="22.5" customHeight="1">
      <c r="B2134" s="17"/>
      <c r="C2134" s="17"/>
      <c r="D2134" s="13"/>
      <c r="E2134" s="11"/>
      <c r="F2134" s="11"/>
      <c r="G2134" s="13">
        <f t="shared" si="1"/>
        <v>1281</v>
      </c>
      <c r="H2134" s="13"/>
    </row>
    <row r="2135" ht="22.5" customHeight="1">
      <c r="B2135" s="17"/>
      <c r="C2135" s="17"/>
      <c r="D2135" s="13"/>
      <c r="E2135" s="11"/>
      <c r="F2135" s="11"/>
      <c r="G2135" s="13">
        <f t="shared" si="1"/>
        <v>1281</v>
      </c>
      <c r="H2135" s="13"/>
    </row>
    <row r="2136" ht="22.5" customHeight="1">
      <c r="B2136" s="17"/>
      <c r="C2136" s="17"/>
      <c r="D2136" s="13"/>
      <c r="E2136" s="11"/>
      <c r="F2136" s="11"/>
      <c r="G2136" s="13">
        <f t="shared" si="1"/>
        <v>1281</v>
      </c>
      <c r="H2136" s="13"/>
    </row>
    <row r="2137" ht="22.5" customHeight="1">
      <c r="B2137" s="17"/>
      <c r="C2137" s="17"/>
      <c r="D2137" s="13"/>
      <c r="E2137" s="11"/>
      <c r="F2137" s="11"/>
      <c r="G2137" s="13">
        <f t="shared" si="1"/>
        <v>1281</v>
      </c>
      <c r="H2137" s="13"/>
    </row>
    <row r="2138" ht="22.5" customHeight="1">
      <c r="B2138" s="17"/>
      <c r="C2138" s="17"/>
      <c r="D2138" s="13"/>
      <c r="E2138" s="11"/>
      <c r="F2138" s="11"/>
      <c r="G2138" s="13">
        <f t="shared" si="1"/>
        <v>1281</v>
      </c>
      <c r="H2138" s="13"/>
    </row>
    <row r="2139" ht="22.5" customHeight="1">
      <c r="B2139" s="17"/>
      <c r="C2139" s="17"/>
      <c r="D2139" s="13"/>
      <c r="E2139" s="11"/>
      <c r="F2139" s="11"/>
      <c r="G2139" s="13">
        <f t="shared" si="1"/>
        <v>1281</v>
      </c>
      <c r="H2139" s="13"/>
    </row>
    <row r="2140" ht="22.5" customHeight="1">
      <c r="B2140" s="17"/>
      <c r="C2140" s="17"/>
      <c r="D2140" s="13"/>
      <c r="E2140" s="11"/>
      <c r="F2140" s="11"/>
      <c r="G2140" s="13">
        <f t="shared" si="1"/>
        <v>1281</v>
      </c>
      <c r="H2140" s="13"/>
    </row>
    <row r="2141" ht="22.5" customHeight="1">
      <c r="B2141" s="17"/>
      <c r="C2141" s="17"/>
      <c r="D2141" s="13"/>
      <c r="E2141" s="11"/>
      <c r="F2141" s="11"/>
      <c r="G2141" s="13">
        <f t="shared" si="1"/>
        <v>1281</v>
      </c>
      <c r="H2141" s="13"/>
    </row>
    <row r="2142" ht="22.5" customHeight="1">
      <c r="B2142" s="17"/>
      <c r="C2142" s="17"/>
      <c r="D2142" s="13"/>
      <c r="E2142" s="11"/>
      <c r="F2142" s="11"/>
      <c r="G2142" s="13">
        <f t="shared" si="1"/>
        <v>1281</v>
      </c>
      <c r="H2142" s="13"/>
    </row>
    <row r="2143" ht="22.5" customHeight="1">
      <c r="B2143" s="17"/>
      <c r="C2143" s="17"/>
      <c r="D2143" s="13"/>
      <c r="E2143" s="11"/>
      <c r="F2143" s="11"/>
      <c r="G2143" s="13">
        <f t="shared" si="1"/>
        <v>1281</v>
      </c>
      <c r="H2143" s="13"/>
    </row>
    <row r="2144" ht="22.5" customHeight="1">
      <c r="B2144" s="17"/>
      <c r="C2144" s="17"/>
      <c r="D2144" s="13"/>
      <c r="E2144" s="11"/>
      <c r="F2144" s="11"/>
      <c r="G2144" s="13">
        <f t="shared" si="1"/>
        <v>1281</v>
      </c>
      <c r="H2144" s="13"/>
    </row>
    <row r="2145" ht="22.5" customHeight="1">
      <c r="B2145" s="17"/>
      <c r="C2145" s="17"/>
      <c r="D2145" s="13"/>
      <c r="E2145" s="11"/>
      <c r="F2145" s="11"/>
      <c r="G2145" s="13">
        <f t="shared" si="1"/>
        <v>1281</v>
      </c>
      <c r="H2145" s="13"/>
    </row>
    <row r="2146" ht="22.5" customHeight="1">
      <c r="B2146" s="17"/>
      <c r="C2146" s="17"/>
      <c r="D2146" s="13"/>
      <c r="E2146" s="11"/>
      <c r="F2146" s="11"/>
      <c r="G2146" s="13">
        <f t="shared" si="1"/>
        <v>1281</v>
      </c>
      <c r="H2146" s="13"/>
    </row>
    <row r="2147" ht="22.5" customHeight="1">
      <c r="B2147" s="17"/>
      <c r="C2147" s="17"/>
      <c r="D2147" s="13"/>
      <c r="E2147" s="11"/>
      <c r="F2147" s="11"/>
      <c r="G2147" s="13">
        <f t="shared" si="1"/>
        <v>1281</v>
      </c>
      <c r="H2147" s="13"/>
    </row>
    <row r="2148" ht="22.5" customHeight="1">
      <c r="B2148" s="17"/>
      <c r="C2148" s="17"/>
      <c r="D2148" s="13"/>
      <c r="E2148" s="11"/>
      <c r="F2148" s="11"/>
      <c r="G2148" s="13">
        <f t="shared" si="1"/>
        <v>1281</v>
      </c>
      <c r="H2148" s="13"/>
    </row>
    <row r="2149" ht="22.5" customHeight="1">
      <c r="B2149" s="17"/>
      <c r="C2149" s="17"/>
      <c r="D2149" s="13"/>
      <c r="E2149" s="11"/>
      <c r="F2149" s="11"/>
      <c r="G2149" s="13">
        <f t="shared" si="1"/>
        <v>1281</v>
      </c>
      <c r="H2149" s="13"/>
    </row>
    <row r="2150" ht="22.5" customHeight="1">
      <c r="B2150" s="17"/>
      <c r="C2150" s="17"/>
      <c r="D2150" s="13"/>
      <c r="E2150" s="11"/>
      <c r="F2150" s="11"/>
      <c r="G2150" s="13">
        <f t="shared" si="1"/>
        <v>1281</v>
      </c>
      <c r="H2150" s="13"/>
    </row>
    <row r="2151" ht="22.5" customHeight="1">
      <c r="B2151" s="17"/>
      <c r="C2151" s="17"/>
      <c r="D2151" s="13"/>
      <c r="E2151" s="11"/>
      <c r="F2151" s="11"/>
      <c r="G2151" s="13">
        <f t="shared" si="1"/>
        <v>1281</v>
      </c>
      <c r="H2151" s="13"/>
    </row>
    <row r="2152" ht="22.5" customHeight="1">
      <c r="B2152" s="17"/>
      <c r="C2152" s="17"/>
      <c r="D2152" s="13"/>
      <c r="E2152" s="11"/>
      <c r="F2152" s="11"/>
      <c r="G2152" s="13">
        <f t="shared" si="1"/>
        <v>1281</v>
      </c>
      <c r="H2152" s="13"/>
    </row>
    <row r="2153" ht="22.5" customHeight="1">
      <c r="B2153" s="17"/>
      <c r="C2153" s="17"/>
      <c r="D2153" s="13"/>
      <c r="E2153" s="11"/>
      <c r="F2153" s="11"/>
      <c r="G2153" s="13">
        <f t="shared" si="1"/>
        <v>1281</v>
      </c>
      <c r="H2153" s="13"/>
    </row>
    <row r="2154" ht="22.5" customHeight="1">
      <c r="B2154" s="17"/>
      <c r="C2154" s="17"/>
      <c r="D2154" s="13"/>
      <c r="E2154" s="11"/>
      <c r="F2154" s="11"/>
      <c r="G2154" s="13">
        <f t="shared" si="1"/>
        <v>1281</v>
      </c>
      <c r="H2154" s="13"/>
    </row>
    <row r="2155" ht="22.5" customHeight="1">
      <c r="B2155" s="17"/>
      <c r="C2155" s="17"/>
      <c r="D2155" s="13"/>
      <c r="E2155" s="11"/>
      <c r="F2155" s="11"/>
      <c r="G2155" s="13">
        <f t="shared" si="1"/>
        <v>1281</v>
      </c>
      <c r="H2155" s="13"/>
    </row>
    <row r="2156" ht="22.5" customHeight="1">
      <c r="B2156" s="17"/>
      <c r="C2156" s="17"/>
      <c r="D2156" s="13"/>
      <c r="E2156" s="11"/>
      <c r="F2156" s="11"/>
      <c r="G2156" s="13">
        <f t="shared" si="1"/>
        <v>1281</v>
      </c>
      <c r="H2156" s="13"/>
    </row>
    <row r="2157" ht="22.5" customHeight="1">
      <c r="B2157" s="17"/>
      <c r="C2157" s="17"/>
      <c r="D2157" s="13"/>
      <c r="E2157" s="11"/>
      <c r="F2157" s="11"/>
      <c r="G2157" s="13">
        <f t="shared" si="1"/>
        <v>1281</v>
      </c>
      <c r="H2157" s="13"/>
    </row>
    <row r="2158" ht="22.5" customHeight="1">
      <c r="B2158" s="17"/>
      <c r="C2158" s="17"/>
      <c r="D2158" s="13"/>
      <c r="E2158" s="11"/>
      <c r="F2158" s="11"/>
      <c r="G2158" s="13">
        <f t="shared" si="1"/>
        <v>1281</v>
      </c>
      <c r="H2158" s="13"/>
    </row>
    <row r="2159" ht="22.5" customHeight="1">
      <c r="B2159" s="17"/>
      <c r="C2159" s="17"/>
      <c r="D2159" s="13"/>
      <c r="E2159" s="11"/>
      <c r="F2159" s="11"/>
      <c r="G2159" s="13">
        <f t="shared" si="1"/>
        <v>1281</v>
      </c>
      <c r="H2159" s="13"/>
    </row>
    <row r="2160" ht="22.5" customHeight="1">
      <c r="B2160" s="17"/>
      <c r="C2160" s="17"/>
      <c r="D2160" s="13"/>
      <c r="E2160" s="11"/>
      <c r="F2160" s="11"/>
      <c r="G2160" s="13">
        <f t="shared" si="1"/>
        <v>1281</v>
      </c>
      <c r="H2160" s="13"/>
    </row>
    <row r="2161" ht="22.5" customHeight="1">
      <c r="B2161" s="17"/>
      <c r="C2161" s="17"/>
      <c r="D2161" s="13"/>
      <c r="E2161" s="11"/>
      <c r="F2161" s="11"/>
      <c r="G2161" s="13">
        <f t="shared" si="1"/>
        <v>1281</v>
      </c>
      <c r="H2161" s="13"/>
    </row>
    <row r="2162" ht="22.5" customHeight="1">
      <c r="B2162" s="17"/>
      <c r="C2162" s="17"/>
      <c r="D2162" s="13"/>
      <c r="E2162" s="11"/>
      <c r="F2162" s="11"/>
      <c r="G2162" s="13">
        <f t="shared" si="1"/>
        <v>1281</v>
      </c>
      <c r="H2162" s="13"/>
    </row>
    <row r="2163" ht="22.5" customHeight="1">
      <c r="B2163" s="17"/>
      <c r="C2163" s="17"/>
      <c r="D2163" s="13"/>
      <c r="E2163" s="11"/>
      <c r="F2163" s="11"/>
      <c r="G2163" s="13">
        <f t="shared" si="1"/>
        <v>1281</v>
      </c>
      <c r="H2163" s="13"/>
    </row>
    <row r="2164" ht="22.5" customHeight="1">
      <c r="B2164" s="17"/>
      <c r="C2164" s="17"/>
      <c r="D2164" s="13"/>
      <c r="E2164" s="11"/>
      <c r="F2164" s="11"/>
      <c r="G2164" s="13">
        <f t="shared" si="1"/>
        <v>1281</v>
      </c>
      <c r="H2164" s="13"/>
    </row>
    <row r="2165" ht="22.5" customHeight="1">
      <c r="B2165" s="17"/>
      <c r="C2165" s="17"/>
      <c r="D2165" s="13"/>
      <c r="E2165" s="11"/>
      <c r="F2165" s="11"/>
      <c r="G2165" s="13">
        <f t="shared" si="1"/>
        <v>1281</v>
      </c>
      <c r="H2165" s="13"/>
    </row>
    <row r="2166" ht="22.5" customHeight="1">
      <c r="B2166" s="17"/>
      <c r="C2166" s="17"/>
      <c r="D2166" s="13"/>
      <c r="E2166" s="11"/>
      <c r="F2166" s="11"/>
      <c r="G2166" s="13">
        <f t="shared" si="1"/>
        <v>1281</v>
      </c>
      <c r="H2166" s="13"/>
    </row>
    <row r="2167" ht="22.5" customHeight="1">
      <c r="B2167" s="17"/>
      <c r="C2167" s="17"/>
      <c r="D2167" s="13"/>
      <c r="E2167" s="11"/>
      <c r="F2167" s="11"/>
      <c r="G2167" s="13">
        <f t="shared" si="1"/>
        <v>1281</v>
      </c>
      <c r="H2167" s="13"/>
    </row>
    <row r="2168" ht="22.5" customHeight="1">
      <c r="B2168" s="17"/>
      <c r="C2168" s="17"/>
      <c r="D2168" s="13"/>
      <c r="E2168" s="11"/>
      <c r="F2168" s="11"/>
      <c r="G2168" s="13">
        <f t="shared" si="1"/>
        <v>1281</v>
      </c>
      <c r="H2168" s="13"/>
    </row>
    <row r="2169" ht="22.5" customHeight="1">
      <c r="B2169" s="17"/>
      <c r="C2169" s="17"/>
      <c r="D2169" s="13"/>
      <c r="E2169" s="11"/>
      <c r="F2169" s="11"/>
      <c r="G2169" s="13">
        <f t="shared" si="1"/>
        <v>1281</v>
      </c>
      <c r="H2169" s="13"/>
    </row>
    <row r="2170" ht="22.5" customHeight="1">
      <c r="B2170" s="17"/>
      <c r="C2170" s="17"/>
      <c r="D2170" s="13"/>
      <c r="E2170" s="11"/>
      <c r="F2170" s="11"/>
      <c r="G2170" s="13">
        <f t="shared" si="1"/>
        <v>1281</v>
      </c>
      <c r="H2170" s="13"/>
    </row>
    <row r="2171" ht="22.5" customHeight="1">
      <c r="B2171" s="17"/>
      <c r="C2171" s="17"/>
      <c r="D2171" s="13"/>
      <c r="E2171" s="11"/>
      <c r="F2171" s="11"/>
      <c r="G2171" s="13">
        <f t="shared" si="1"/>
        <v>1281</v>
      </c>
      <c r="H2171" s="13"/>
    </row>
    <row r="2172" ht="22.5" customHeight="1">
      <c r="B2172" s="17"/>
      <c r="C2172" s="17"/>
      <c r="D2172" s="13"/>
      <c r="E2172" s="11"/>
      <c r="F2172" s="11"/>
      <c r="G2172" s="13">
        <f t="shared" si="1"/>
        <v>1281</v>
      </c>
      <c r="H2172" s="13"/>
    </row>
    <row r="2173" ht="22.5" customHeight="1">
      <c r="B2173" s="17"/>
      <c r="C2173" s="17"/>
      <c r="D2173" s="13"/>
      <c r="E2173" s="11"/>
      <c r="F2173" s="11"/>
      <c r="G2173" s="13">
        <f t="shared" si="1"/>
        <v>1281</v>
      </c>
      <c r="H2173" s="13"/>
    </row>
    <row r="2174" ht="22.5" customHeight="1">
      <c r="B2174" s="17"/>
      <c r="C2174" s="17"/>
      <c r="D2174" s="13"/>
      <c r="E2174" s="11"/>
      <c r="F2174" s="11"/>
      <c r="G2174" s="13">
        <f t="shared" si="1"/>
        <v>1281</v>
      </c>
      <c r="H2174" s="13"/>
    </row>
    <row r="2175" ht="22.5" customHeight="1">
      <c r="B2175" s="17"/>
      <c r="C2175" s="17"/>
      <c r="D2175" s="13"/>
      <c r="E2175" s="11"/>
      <c r="F2175" s="11"/>
      <c r="G2175" s="13">
        <f t="shared" si="1"/>
        <v>1281</v>
      </c>
      <c r="H2175" s="13"/>
    </row>
    <row r="2176" ht="22.5" customHeight="1">
      <c r="B2176" s="17"/>
      <c r="C2176" s="17"/>
      <c r="D2176" s="13"/>
      <c r="E2176" s="11"/>
      <c r="F2176" s="11"/>
      <c r="G2176" s="13">
        <f t="shared" si="1"/>
        <v>1281</v>
      </c>
      <c r="H2176" s="13"/>
    </row>
    <row r="2177" ht="22.5" customHeight="1">
      <c r="B2177" s="17"/>
      <c r="C2177" s="17"/>
      <c r="D2177" s="13"/>
      <c r="E2177" s="11"/>
      <c r="F2177" s="11"/>
      <c r="G2177" s="13">
        <f t="shared" si="1"/>
        <v>1281</v>
      </c>
      <c r="H2177" s="13"/>
    </row>
    <row r="2178" ht="22.5" customHeight="1">
      <c r="B2178" s="17"/>
      <c r="C2178" s="17"/>
      <c r="D2178" s="13"/>
      <c r="E2178" s="11"/>
      <c r="F2178" s="11"/>
      <c r="G2178" s="13">
        <f t="shared" si="1"/>
        <v>1281</v>
      </c>
      <c r="H2178" s="13"/>
    </row>
    <row r="2179" ht="22.5" customHeight="1">
      <c r="B2179" s="17"/>
      <c r="C2179" s="17"/>
      <c r="D2179" s="13"/>
      <c r="E2179" s="11"/>
      <c r="F2179" s="11"/>
      <c r="G2179" s="13">
        <f t="shared" si="1"/>
        <v>1281</v>
      </c>
      <c r="H2179" s="13"/>
    </row>
    <row r="2180" ht="22.5" customHeight="1">
      <c r="B2180" s="17"/>
      <c r="C2180" s="17"/>
      <c r="D2180" s="13"/>
      <c r="E2180" s="11"/>
      <c r="F2180" s="11"/>
      <c r="G2180" s="13">
        <f t="shared" si="1"/>
        <v>1281</v>
      </c>
      <c r="H2180" s="13"/>
    </row>
    <row r="2181" ht="22.5" customHeight="1">
      <c r="B2181" s="17"/>
      <c r="C2181" s="17"/>
      <c r="D2181" s="13"/>
      <c r="E2181" s="11"/>
      <c r="F2181" s="11"/>
      <c r="G2181" s="13">
        <f t="shared" si="1"/>
        <v>1281</v>
      </c>
      <c r="H2181" s="13"/>
    </row>
    <row r="2182" ht="22.5" customHeight="1">
      <c r="B2182" s="17"/>
      <c r="C2182" s="17"/>
      <c r="D2182" s="13"/>
      <c r="E2182" s="11"/>
      <c r="F2182" s="11"/>
      <c r="G2182" s="13">
        <f t="shared" si="1"/>
        <v>1281</v>
      </c>
      <c r="H2182" s="13"/>
    </row>
    <row r="2183" ht="22.5" customHeight="1">
      <c r="B2183" s="17"/>
      <c r="C2183" s="17"/>
      <c r="D2183" s="13"/>
      <c r="E2183" s="11"/>
      <c r="F2183" s="11"/>
      <c r="G2183" s="13">
        <f t="shared" si="1"/>
        <v>1281</v>
      </c>
      <c r="H2183" s="13"/>
    </row>
    <row r="2184" ht="22.5" customHeight="1">
      <c r="B2184" s="17"/>
      <c r="C2184" s="17"/>
      <c r="D2184" s="13"/>
      <c r="E2184" s="11"/>
      <c r="F2184" s="11"/>
      <c r="G2184" s="13">
        <f t="shared" si="1"/>
        <v>1281</v>
      </c>
      <c r="H2184" s="13"/>
    </row>
    <row r="2185" ht="22.5" customHeight="1">
      <c r="B2185" s="17"/>
      <c r="C2185" s="17"/>
      <c r="D2185" s="13"/>
      <c r="E2185" s="11"/>
      <c r="F2185" s="11"/>
      <c r="G2185" s="13">
        <f t="shared" si="1"/>
        <v>1281</v>
      </c>
      <c r="H2185" s="13"/>
    </row>
    <row r="2186" ht="22.5" customHeight="1">
      <c r="B2186" s="17"/>
      <c r="C2186" s="17"/>
      <c r="D2186" s="13"/>
      <c r="E2186" s="11"/>
      <c r="F2186" s="11"/>
      <c r="G2186" s="13">
        <f t="shared" si="1"/>
        <v>1281</v>
      </c>
      <c r="H2186" s="13"/>
    </row>
    <row r="2187" ht="22.5" customHeight="1">
      <c r="B2187" s="17"/>
      <c r="C2187" s="17"/>
      <c r="D2187" s="13"/>
      <c r="E2187" s="11"/>
      <c r="F2187" s="11"/>
      <c r="G2187" s="13">
        <f t="shared" si="1"/>
        <v>1281</v>
      </c>
      <c r="H2187" s="13"/>
    </row>
    <row r="2188" ht="22.5" customHeight="1">
      <c r="B2188" s="17"/>
      <c r="C2188" s="17"/>
      <c r="D2188" s="13"/>
      <c r="E2188" s="11"/>
      <c r="F2188" s="11"/>
      <c r="G2188" s="13">
        <f t="shared" si="1"/>
        <v>1281</v>
      </c>
      <c r="H2188" s="13"/>
    </row>
    <row r="2189" ht="22.5" customHeight="1">
      <c r="B2189" s="17"/>
      <c r="C2189" s="17"/>
      <c r="D2189" s="13"/>
      <c r="E2189" s="11"/>
      <c r="F2189" s="11"/>
      <c r="G2189" s="13">
        <f t="shared" si="1"/>
        <v>1281</v>
      </c>
      <c r="H2189" s="13"/>
    </row>
    <row r="2190" ht="22.5" customHeight="1">
      <c r="B2190" s="17"/>
      <c r="C2190" s="17"/>
      <c r="D2190" s="13"/>
      <c r="E2190" s="11"/>
      <c r="F2190" s="11"/>
      <c r="G2190" s="13">
        <f t="shared" si="1"/>
        <v>1281</v>
      </c>
      <c r="H2190" s="13"/>
    </row>
    <row r="2191" ht="22.5" customHeight="1">
      <c r="B2191" s="17"/>
      <c r="C2191" s="17"/>
      <c r="D2191" s="13"/>
      <c r="E2191" s="11"/>
      <c r="F2191" s="11"/>
      <c r="G2191" s="13">
        <f t="shared" si="1"/>
        <v>1281</v>
      </c>
      <c r="H2191" s="13"/>
    </row>
    <row r="2192" ht="22.5" customHeight="1">
      <c r="B2192" s="17"/>
      <c r="C2192" s="17"/>
      <c r="D2192" s="13"/>
      <c r="E2192" s="11"/>
      <c r="F2192" s="11"/>
      <c r="G2192" s="13">
        <f t="shared" si="1"/>
        <v>1281</v>
      </c>
      <c r="H2192" s="13"/>
    </row>
    <row r="2193" ht="22.5" customHeight="1">
      <c r="B2193" s="17"/>
      <c r="C2193" s="17"/>
      <c r="D2193" s="13"/>
      <c r="E2193" s="11"/>
      <c r="F2193" s="11"/>
      <c r="G2193" s="13">
        <f t="shared" si="1"/>
        <v>1281</v>
      </c>
      <c r="H2193" s="13"/>
    </row>
    <row r="2194" ht="22.5" customHeight="1">
      <c r="B2194" s="17"/>
      <c r="C2194" s="17"/>
      <c r="D2194" s="13"/>
      <c r="E2194" s="11"/>
      <c r="F2194" s="11"/>
      <c r="G2194" s="13">
        <f t="shared" si="1"/>
        <v>1281</v>
      </c>
      <c r="H2194" s="13"/>
    </row>
    <row r="2195" ht="22.5" customHeight="1">
      <c r="B2195" s="17"/>
      <c r="C2195" s="17"/>
      <c r="D2195" s="13"/>
      <c r="E2195" s="11"/>
      <c r="F2195" s="11"/>
      <c r="G2195" s="13">
        <f t="shared" si="1"/>
        <v>1281</v>
      </c>
      <c r="H2195" s="13"/>
    </row>
    <row r="2196" ht="22.5" customHeight="1">
      <c r="B2196" s="17"/>
      <c r="C2196" s="17"/>
      <c r="D2196" s="13"/>
      <c r="E2196" s="11"/>
      <c r="F2196" s="11"/>
      <c r="G2196" s="13">
        <f t="shared" si="1"/>
        <v>1281</v>
      </c>
      <c r="H2196" s="13"/>
    </row>
    <row r="2197" ht="22.5" customHeight="1">
      <c r="B2197" s="17"/>
      <c r="C2197" s="17"/>
      <c r="D2197" s="13"/>
      <c r="E2197" s="11"/>
      <c r="F2197" s="11"/>
      <c r="G2197" s="13">
        <f t="shared" si="1"/>
        <v>1281</v>
      </c>
      <c r="H2197" s="13"/>
    </row>
    <row r="2198" ht="22.5" customHeight="1">
      <c r="B2198" s="17"/>
      <c r="C2198" s="17"/>
      <c r="D2198" s="13"/>
      <c r="E2198" s="11"/>
      <c r="F2198" s="11"/>
      <c r="G2198" s="13">
        <f t="shared" si="1"/>
        <v>1281</v>
      </c>
      <c r="H2198" s="13"/>
    </row>
    <row r="2199" ht="22.5" customHeight="1">
      <c r="B2199" s="17"/>
      <c r="C2199" s="17"/>
      <c r="D2199" s="13"/>
      <c r="E2199" s="11"/>
      <c r="F2199" s="11"/>
      <c r="G2199" s="13">
        <f t="shared" si="1"/>
        <v>1281</v>
      </c>
      <c r="H2199" s="13"/>
    </row>
    <row r="2200" ht="22.5" customHeight="1">
      <c r="B2200" s="17"/>
      <c r="C2200" s="17"/>
      <c r="D2200" s="13"/>
      <c r="E2200" s="11"/>
      <c r="F2200" s="11"/>
      <c r="G2200" s="13">
        <f t="shared" si="1"/>
        <v>1281</v>
      </c>
      <c r="H2200" s="13"/>
    </row>
    <row r="2201" ht="22.5" customHeight="1">
      <c r="B2201" s="17"/>
      <c r="C2201" s="17"/>
      <c r="D2201" s="13"/>
      <c r="E2201" s="11"/>
      <c r="F2201" s="11"/>
      <c r="G2201" s="13">
        <f t="shared" si="1"/>
        <v>1281</v>
      </c>
      <c r="H2201" s="13"/>
    </row>
    <row r="2202" ht="22.5" customHeight="1">
      <c r="B2202" s="17"/>
      <c r="C2202" s="17"/>
      <c r="D2202" s="13"/>
      <c r="E2202" s="11"/>
      <c r="F2202" s="11"/>
      <c r="G2202" s="13">
        <f t="shared" si="1"/>
        <v>1281</v>
      </c>
      <c r="H2202" s="13"/>
    </row>
    <row r="2203" ht="22.5" customHeight="1">
      <c r="B2203" s="17"/>
      <c r="C2203" s="17"/>
      <c r="D2203" s="13"/>
      <c r="E2203" s="11"/>
      <c r="F2203" s="11"/>
      <c r="G2203" s="13">
        <f t="shared" si="1"/>
        <v>1281</v>
      </c>
      <c r="H2203" s="13"/>
    </row>
    <row r="2204" ht="22.5" customHeight="1">
      <c r="B2204" s="17"/>
      <c r="C2204" s="17"/>
      <c r="D2204" s="13"/>
      <c r="E2204" s="11"/>
      <c r="F2204" s="11"/>
      <c r="G2204" s="13">
        <f t="shared" si="1"/>
        <v>1281</v>
      </c>
      <c r="H2204" s="13"/>
    </row>
    <row r="2205" ht="22.5" customHeight="1">
      <c r="B2205" s="17"/>
      <c r="C2205" s="17"/>
      <c r="D2205" s="13"/>
      <c r="E2205" s="11"/>
      <c r="F2205" s="11"/>
      <c r="G2205" s="13">
        <f t="shared" si="1"/>
        <v>1281</v>
      </c>
      <c r="H2205" s="13"/>
    </row>
    <row r="2206" ht="22.5" customHeight="1">
      <c r="B2206" s="17"/>
      <c r="C2206" s="17"/>
      <c r="D2206" s="13"/>
      <c r="E2206" s="11"/>
      <c r="F2206" s="11"/>
      <c r="G2206" s="13">
        <f t="shared" si="1"/>
        <v>1281</v>
      </c>
      <c r="H2206" s="13"/>
    </row>
    <row r="2207" ht="22.5" customHeight="1">
      <c r="B2207" s="17"/>
      <c r="C2207" s="17"/>
      <c r="D2207" s="13"/>
      <c r="E2207" s="11"/>
      <c r="F2207" s="11"/>
      <c r="G2207" s="13">
        <f t="shared" si="1"/>
        <v>1281</v>
      </c>
      <c r="H2207" s="13"/>
    </row>
    <row r="2208" ht="22.5" customHeight="1">
      <c r="B2208" s="17"/>
      <c r="C2208" s="17"/>
      <c r="D2208" s="13"/>
      <c r="E2208" s="11"/>
      <c r="F2208" s="11"/>
      <c r="G2208" s="13">
        <f t="shared" si="1"/>
        <v>1281</v>
      </c>
      <c r="H2208" s="13"/>
    </row>
    <row r="2209" ht="22.5" customHeight="1">
      <c r="B2209" s="17"/>
      <c r="C2209" s="17"/>
      <c r="D2209" s="13"/>
      <c r="E2209" s="11"/>
      <c r="F2209" s="11"/>
      <c r="G2209" s="13">
        <f t="shared" si="1"/>
        <v>1281</v>
      </c>
      <c r="H2209" s="13"/>
    </row>
    <row r="2210" ht="22.5" customHeight="1">
      <c r="B2210" s="17"/>
      <c r="C2210" s="17"/>
      <c r="D2210" s="13"/>
      <c r="E2210" s="11"/>
      <c r="F2210" s="11"/>
      <c r="G2210" s="13">
        <f t="shared" si="1"/>
        <v>1281</v>
      </c>
      <c r="H2210" s="13"/>
    </row>
    <row r="2211" ht="22.5" customHeight="1">
      <c r="B2211" s="17"/>
      <c r="C2211" s="17"/>
      <c r="D2211" s="13"/>
      <c r="E2211" s="11"/>
      <c r="F2211" s="11"/>
      <c r="G2211" s="13">
        <f t="shared" si="1"/>
        <v>1281</v>
      </c>
      <c r="H2211" s="13"/>
    </row>
    <row r="2212" ht="22.5" customHeight="1">
      <c r="B2212" s="17"/>
      <c r="C2212" s="17"/>
      <c r="D2212" s="13"/>
      <c r="E2212" s="11"/>
      <c r="F2212" s="11"/>
      <c r="G2212" s="13">
        <f t="shared" si="1"/>
        <v>1281</v>
      </c>
      <c r="H2212" s="13"/>
    </row>
    <row r="2213" ht="22.5" customHeight="1">
      <c r="B2213" s="17"/>
      <c r="C2213" s="17"/>
      <c r="D2213" s="13"/>
      <c r="E2213" s="11"/>
      <c r="F2213" s="11"/>
      <c r="G2213" s="13">
        <f t="shared" si="1"/>
        <v>1281</v>
      </c>
      <c r="H2213" s="13"/>
    </row>
    <row r="2214" ht="22.5" customHeight="1">
      <c r="B2214" s="17"/>
      <c r="C2214" s="17"/>
      <c r="D2214" s="13"/>
      <c r="E2214" s="11"/>
      <c r="F2214" s="11"/>
      <c r="G2214" s="13">
        <f t="shared" si="1"/>
        <v>1281</v>
      </c>
      <c r="H2214" s="13"/>
    </row>
    <row r="2215" ht="22.5" customHeight="1">
      <c r="B2215" s="17"/>
      <c r="C2215" s="17"/>
      <c r="D2215" s="13"/>
      <c r="E2215" s="11"/>
      <c r="F2215" s="11"/>
      <c r="G2215" s="13">
        <f t="shared" si="1"/>
        <v>1281</v>
      </c>
      <c r="H2215" s="13"/>
    </row>
    <row r="2216" ht="22.5" customHeight="1">
      <c r="B2216" s="17"/>
      <c r="C2216" s="17"/>
      <c r="D2216" s="13"/>
      <c r="E2216" s="11"/>
      <c r="F2216" s="11"/>
      <c r="G2216" s="13">
        <f t="shared" si="1"/>
        <v>1281</v>
      </c>
      <c r="H2216" s="13"/>
    </row>
    <row r="2217" ht="22.5" customHeight="1">
      <c r="B2217" s="17"/>
      <c r="C2217" s="17"/>
      <c r="D2217" s="13"/>
      <c r="E2217" s="11"/>
      <c r="F2217" s="11"/>
      <c r="G2217" s="13">
        <f t="shared" si="1"/>
        <v>1281</v>
      </c>
      <c r="H2217" s="13"/>
    </row>
    <row r="2218" ht="22.5" customHeight="1">
      <c r="B2218" s="17"/>
      <c r="C2218" s="17"/>
      <c r="D2218" s="13"/>
      <c r="E2218" s="11"/>
      <c r="F2218" s="11"/>
      <c r="G2218" s="13">
        <f t="shared" si="1"/>
        <v>1281</v>
      </c>
      <c r="H2218" s="13"/>
    </row>
    <row r="2219" ht="22.5" customHeight="1">
      <c r="B2219" s="17"/>
      <c r="C2219" s="17"/>
      <c r="D2219" s="13"/>
      <c r="E2219" s="11"/>
      <c r="F2219" s="11"/>
      <c r="G2219" s="13">
        <f t="shared" si="1"/>
        <v>1281</v>
      </c>
      <c r="H2219" s="13"/>
    </row>
    <row r="2220" ht="22.5" customHeight="1">
      <c r="B2220" s="17"/>
      <c r="C2220" s="17"/>
      <c r="D2220" s="13"/>
      <c r="E2220" s="11"/>
      <c r="F2220" s="11"/>
      <c r="G2220" s="13">
        <f t="shared" si="1"/>
        <v>1281</v>
      </c>
      <c r="H2220" s="13"/>
    </row>
    <row r="2221" ht="22.5" customHeight="1">
      <c r="B2221" s="17"/>
      <c r="C2221" s="17"/>
      <c r="D2221" s="13"/>
      <c r="E2221" s="11"/>
      <c r="F2221" s="11"/>
      <c r="G2221" s="13">
        <f t="shared" si="1"/>
        <v>1281</v>
      </c>
      <c r="H2221" s="13"/>
    </row>
    <row r="2222" ht="22.5" customHeight="1">
      <c r="B2222" s="17"/>
      <c r="C2222" s="17"/>
      <c r="D2222" s="13"/>
      <c r="E2222" s="11"/>
      <c r="F2222" s="11"/>
      <c r="G2222" s="13">
        <f t="shared" si="1"/>
        <v>1281</v>
      </c>
      <c r="H2222" s="13"/>
    </row>
    <row r="2223" ht="22.5" customHeight="1">
      <c r="B2223" s="17"/>
      <c r="C2223" s="17"/>
      <c r="D2223" s="13"/>
      <c r="E2223" s="11"/>
      <c r="F2223" s="11"/>
      <c r="G2223" s="13">
        <f t="shared" si="1"/>
        <v>1281</v>
      </c>
      <c r="H2223" s="13"/>
    </row>
    <row r="2224" ht="22.5" customHeight="1">
      <c r="B2224" s="17"/>
      <c r="C2224" s="17"/>
      <c r="D2224" s="13"/>
      <c r="E2224" s="11"/>
      <c r="F2224" s="11"/>
      <c r="G2224" s="13">
        <f t="shared" si="1"/>
        <v>1281</v>
      </c>
      <c r="H2224" s="13"/>
    </row>
    <row r="2225" ht="22.5" customHeight="1">
      <c r="B2225" s="17"/>
      <c r="C2225" s="17"/>
      <c r="D2225" s="13"/>
      <c r="E2225" s="11"/>
      <c r="F2225" s="11"/>
      <c r="G2225" s="13">
        <f t="shared" si="1"/>
        <v>1281</v>
      </c>
      <c r="H2225" s="13"/>
    </row>
    <row r="2226" ht="22.5" customHeight="1">
      <c r="B2226" s="17"/>
      <c r="C2226" s="17"/>
      <c r="D2226" s="13"/>
      <c r="E2226" s="11"/>
      <c r="F2226" s="11"/>
      <c r="G2226" s="13">
        <f t="shared" si="1"/>
        <v>1281</v>
      </c>
      <c r="H2226" s="13"/>
    </row>
    <row r="2227" ht="22.5" customHeight="1">
      <c r="B2227" s="17"/>
      <c r="C2227" s="17"/>
      <c r="D2227" s="13"/>
      <c r="E2227" s="11"/>
      <c r="F2227" s="11"/>
      <c r="G2227" s="13">
        <f t="shared" si="1"/>
        <v>1281</v>
      </c>
      <c r="H2227" s="13"/>
    </row>
    <row r="2228" ht="22.5" customHeight="1">
      <c r="B2228" s="17"/>
      <c r="C2228" s="17"/>
      <c r="D2228" s="13"/>
      <c r="E2228" s="11"/>
      <c r="F2228" s="11"/>
      <c r="G2228" s="13">
        <f t="shared" si="1"/>
        <v>1281</v>
      </c>
      <c r="H2228" s="13"/>
    </row>
    <row r="2229" ht="22.5" customHeight="1">
      <c r="B2229" s="17"/>
      <c r="C2229" s="17"/>
      <c r="D2229" s="13"/>
      <c r="E2229" s="11"/>
      <c r="F2229" s="11"/>
      <c r="G2229" s="13">
        <f t="shared" si="1"/>
        <v>1281</v>
      </c>
      <c r="H2229" s="13"/>
    </row>
    <row r="2230" ht="22.5" customHeight="1">
      <c r="B2230" s="17"/>
      <c r="C2230" s="17"/>
      <c r="D2230" s="13"/>
      <c r="E2230" s="11"/>
      <c r="F2230" s="11"/>
      <c r="G2230" s="13">
        <f t="shared" si="1"/>
        <v>1281</v>
      </c>
      <c r="H2230" s="13"/>
    </row>
    <row r="2231" ht="22.5" customHeight="1">
      <c r="B2231" s="17"/>
      <c r="C2231" s="17"/>
      <c r="D2231" s="13"/>
      <c r="E2231" s="11"/>
      <c r="F2231" s="11"/>
      <c r="G2231" s="13">
        <f t="shared" si="1"/>
        <v>1281</v>
      </c>
      <c r="H2231" s="13"/>
    </row>
    <row r="2232" ht="22.5" customHeight="1">
      <c r="B2232" s="17"/>
      <c r="C2232" s="17"/>
      <c r="D2232" s="13"/>
      <c r="E2232" s="11"/>
      <c r="F2232" s="11"/>
      <c r="G2232" s="13">
        <f t="shared" si="1"/>
        <v>1281</v>
      </c>
      <c r="H2232" s="13"/>
    </row>
    <row r="2233" ht="22.5" customHeight="1">
      <c r="B2233" s="17"/>
      <c r="C2233" s="17"/>
      <c r="D2233" s="13"/>
      <c r="E2233" s="11"/>
      <c r="F2233" s="11"/>
      <c r="G2233" s="13">
        <f t="shared" si="1"/>
        <v>1281</v>
      </c>
      <c r="H2233" s="13"/>
    </row>
    <row r="2234" ht="22.5" customHeight="1">
      <c r="B2234" s="17"/>
      <c r="C2234" s="17"/>
      <c r="D2234" s="13"/>
      <c r="E2234" s="11"/>
      <c r="F2234" s="11"/>
      <c r="G2234" s="13">
        <f t="shared" si="1"/>
        <v>1281</v>
      </c>
      <c r="H2234" s="13"/>
    </row>
    <row r="2235" ht="22.5" customHeight="1">
      <c r="B2235" s="17"/>
      <c r="C2235" s="17"/>
      <c r="D2235" s="13"/>
      <c r="E2235" s="11"/>
      <c r="F2235" s="11"/>
      <c r="G2235" s="13">
        <f t="shared" si="1"/>
        <v>1281</v>
      </c>
      <c r="H2235" s="13"/>
    </row>
    <row r="2236" ht="22.5" customHeight="1">
      <c r="B2236" s="17"/>
      <c r="C2236" s="17"/>
      <c r="D2236" s="13"/>
      <c r="E2236" s="11"/>
      <c r="F2236" s="11"/>
      <c r="G2236" s="13">
        <f t="shared" si="1"/>
        <v>1281</v>
      </c>
      <c r="H2236" s="13"/>
    </row>
    <row r="2237" ht="22.5" customHeight="1">
      <c r="B2237" s="17"/>
      <c r="C2237" s="17"/>
      <c r="D2237" s="13"/>
      <c r="E2237" s="11"/>
      <c r="F2237" s="11"/>
      <c r="G2237" s="13">
        <f t="shared" si="1"/>
        <v>1281</v>
      </c>
      <c r="H2237" s="13"/>
    </row>
    <row r="2238" ht="22.5" customHeight="1">
      <c r="B2238" s="17"/>
      <c r="C2238" s="17"/>
      <c r="D2238" s="13"/>
      <c r="E2238" s="11"/>
      <c r="F2238" s="11"/>
      <c r="G2238" s="13">
        <f t="shared" si="1"/>
        <v>1281</v>
      </c>
      <c r="H2238" s="13"/>
    </row>
    <row r="2239" ht="22.5" customHeight="1">
      <c r="B2239" s="17"/>
      <c r="C2239" s="17"/>
      <c r="D2239" s="13"/>
      <c r="E2239" s="11"/>
      <c r="F2239" s="11"/>
      <c r="G2239" s="13">
        <f t="shared" si="1"/>
        <v>1281</v>
      </c>
      <c r="H2239" s="13"/>
    </row>
    <row r="2240" ht="22.5" customHeight="1">
      <c r="B2240" s="17"/>
      <c r="C2240" s="17"/>
      <c r="D2240" s="13"/>
      <c r="E2240" s="11"/>
      <c r="F2240" s="11"/>
      <c r="G2240" s="13">
        <f t="shared" si="1"/>
        <v>1281</v>
      </c>
      <c r="H2240" s="13"/>
    </row>
    <row r="2241" ht="22.5" customHeight="1">
      <c r="B2241" s="17"/>
      <c r="C2241" s="17"/>
      <c r="D2241" s="13"/>
      <c r="E2241" s="11"/>
      <c r="F2241" s="11"/>
      <c r="G2241" s="13">
        <f t="shared" si="1"/>
        <v>1281</v>
      </c>
      <c r="H2241" s="13"/>
    </row>
    <row r="2242" ht="22.5" customHeight="1">
      <c r="B2242" s="17"/>
      <c r="C2242" s="17"/>
      <c r="D2242" s="13"/>
      <c r="E2242" s="11"/>
      <c r="F2242" s="11"/>
      <c r="G2242" s="13">
        <f t="shared" si="1"/>
        <v>1281</v>
      </c>
      <c r="H2242" s="13"/>
    </row>
    <row r="2243" ht="22.5" customHeight="1">
      <c r="B2243" s="17"/>
      <c r="C2243" s="17"/>
      <c r="D2243" s="13"/>
      <c r="E2243" s="11"/>
      <c r="F2243" s="11"/>
      <c r="G2243" s="13">
        <f t="shared" si="1"/>
        <v>1281</v>
      </c>
      <c r="H2243" s="13"/>
    </row>
    <row r="2244" ht="22.5" customHeight="1">
      <c r="B2244" s="17"/>
      <c r="C2244" s="17"/>
      <c r="D2244" s="13"/>
      <c r="E2244" s="11"/>
      <c r="F2244" s="11"/>
      <c r="G2244" s="13">
        <f t="shared" si="1"/>
        <v>1281</v>
      </c>
      <c r="H2244" s="13"/>
    </row>
    <row r="2245" ht="22.5" customHeight="1">
      <c r="B2245" s="17"/>
      <c r="C2245" s="17"/>
      <c r="D2245" s="13"/>
      <c r="E2245" s="11"/>
      <c r="F2245" s="11"/>
      <c r="G2245" s="13">
        <f t="shared" si="1"/>
        <v>1281</v>
      </c>
      <c r="H2245" s="13"/>
    </row>
    <row r="2246" ht="22.5" customHeight="1">
      <c r="B2246" s="17"/>
      <c r="C2246" s="17"/>
      <c r="D2246" s="13"/>
      <c r="E2246" s="11"/>
      <c r="F2246" s="11"/>
      <c r="G2246" s="13">
        <f t="shared" si="1"/>
        <v>1281</v>
      </c>
      <c r="H2246" s="13"/>
    </row>
    <row r="2247" ht="22.5" customHeight="1">
      <c r="B2247" s="17"/>
      <c r="C2247" s="17"/>
      <c r="D2247" s="13"/>
      <c r="E2247" s="11"/>
      <c r="F2247" s="11"/>
      <c r="G2247" s="13">
        <f t="shared" si="1"/>
        <v>1281</v>
      </c>
      <c r="H2247" s="13"/>
    </row>
    <row r="2248" ht="22.5" customHeight="1">
      <c r="B2248" s="17"/>
      <c r="C2248" s="17"/>
      <c r="D2248" s="13"/>
      <c r="E2248" s="11"/>
      <c r="F2248" s="11"/>
      <c r="G2248" s="13">
        <f t="shared" si="1"/>
        <v>1281</v>
      </c>
      <c r="H2248" s="13"/>
    </row>
    <row r="2249" ht="22.5" customHeight="1">
      <c r="B2249" s="17"/>
      <c r="C2249" s="17"/>
      <c r="D2249" s="13"/>
      <c r="E2249" s="11"/>
      <c r="F2249" s="11"/>
      <c r="G2249" s="13">
        <f t="shared" si="1"/>
        <v>1281</v>
      </c>
      <c r="H2249" s="13"/>
    </row>
    <row r="2250" ht="22.5" customHeight="1">
      <c r="B2250" s="17"/>
      <c r="C2250" s="17"/>
      <c r="D2250" s="13"/>
      <c r="E2250" s="11"/>
      <c r="F2250" s="11"/>
      <c r="G2250" s="13">
        <f t="shared" si="1"/>
        <v>1281</v>
      </c>
      <c r="H2250" s="13"/>
    </row>
    <row r="2251" ht="22.5" customHeight="1">
      <c r="B2251" s="17"/>
      <c r="C2251" s="17"/>
      <c r="D2251" s="13"/>
      <c r="E2251" s="11"/>
      <c r="F2251" s="11"/>
      <c r="G2251" s="13">
        <f t="shared" si="1"/>
        <v>1281</v>
      </c>
      <c r="H2251" s="13"/>
    </row>
    <row r="2252" ht="22.5" customHeight="1">
      <c r="B2252" s="17"/>
      <c r="C2252" s="17"/>
      <c r="D2252" s="13"/>
      <c r="E2252" s="11"/>
      <c r="F2252" s="11"/>
      <c r="G2252" s="13">
        <f t="shared" si="1"/>
        <v>1281</v>
      </c>
      <c r="H2252" s="13"/>
    </row>
    <row r="2253" ht="22.5" customHeight="1">
      <c r="B2253" s="17"/>
      <c r="C2253" s="17"/>
      <c r="D2253" s="13"/>
      <c r="E2253" s="11"/>
      <c r="F2253" s="11"/>
      <c r="G2253" s="13">
        <f t="shared" si="1"/>
        <v>1281</v>
      </c>
      <c r="H2253" s="13"/>
    </row>
    <row r="2254" ht="22.5" customHeight="1">
      <c r="B2254" s="17"/>
      <c r="C2254" s="17"/>
      <c r="D2254" s="13"/>
      <c r="E2254" s="11"/>
      <c r="F2254" s="11"/>
      <c r="G2254" s="13">
        <f t="shared" si="1"/>
        <v>1281</v>
      </c>
      <c r="H2254" s="13"/>
    </row>
    <row r="2255" ht="22.5" customHeight="1">
      <c r="B2255" s="17"/>
      <c r="C2255" s="17"/>
      <c r="D2255" s="13"/>
      <c r="E2255" s="11"/>
      <c r="F2255" s="11"/>
      <c r="G2255" s="13">
        <f t="shared" si="1"/>
        <v>1281</v>
      </c>
      <c r="H2255" s="13"/>
    </row>
    <row r="2256" ht="22.5" customHeight="1">
      <c r="B2256" s="17"/>
      <c r="C2256" s="17"/>
      <c r="D2256" s="13"/>
      <c r="E2256" s="11"/>
      <c r="F2256" s="11"/>
      <c r="G2256" s="13">
        <f t="shared" si="1"/>
        <v>1281</v>
      </c>
      <c r="H2256" s="13"/>
    </row>
    <row r="2257" ht="22.5" customHeight="1">
      <c r="B2257" s="17"/>
      <c r="C2257" s="17"/>
      <c r="D2257" s="13"/>
      <c r="E2257" s="11"/>
      <c r="F2257" s="11"/>
      <c r="G2257" s="13">
        <f t="shared" si="1"/>
        <v>1281</v>
      </c>
      <c r="H2257" s="13"/>
    </row>
    <row r="2258" ht="22.5" customHeight="1">
      <c r="B2258" s="17"/>
      <c r="C2258" s="17"/>
      <c r="D2258" s="13"/>
      <c r="E2258" s="11"/>
      <c r="F2258" s="11"/>
      <c r="G2258" s="13">
        <f t="shared" si="1"/>
        <v>1281</v>
      </c>
      <c r="H2258" s="13"/>
    </row>
    <row r="2259" ht="22.5" customHeight="1">
      <c r="B2259" s="17"/>
      <c r="C2259" s="17"/>
      <c r="D2259" s="13"/>
      <c r="E2259" s="11"/>
      <c r="F2259" s="11"/>
      <c r="G2259" s="13">
        <f t="shared" si="1"/>
        <v>1281</v>
      </c>
      <c r="H2259" s="13"/>
    </row>
    <row r="2260" ht="22.5" customHeight="1">
      <c r="B2260" s="17"/>
      <c r="C2260" s="17"/>
      <c r="D2260" s="13"/>
      <c r="E2260" s="11"/>
      <c r="F2260" s="11"/>
      <c r="G2260" s="13">
        <f t="shared" si="1"/>
        <v>1281</v>
      </c>
      <c r="H2260" s="13"/>
    </row>
    <row r="2261" ht="22.5" customHeight="1">
      <c r="B2261" s="17"/>
      <c r="C2261" s="17"/>
      <c r="D2261" s="13"/>
      <c r="E2261" s="11"/>
      <c r="F2261" s="11"/>
      <c r="G2261" s="13">
        <f t="shared" si="1"/>
        <v>1281</v>
      </c>
      <c r="H2261" s="13"/>
    </row>
    <row r="2262" ht="22.5" customHeight="1">
      <c r="B2262" s="17"/>
      <c r="C2262" s="17"/>
      <c r="D2262" s="13"/>
      <c r="E2262" s="11"/>
      <c r="F2262" s="11"/>
      <c r="G2262" s="13">
        <f t="shared" si="1"/>
        <v>1281</v>
      </c>
      <c r="H2262" s="13"/>
    </row>
    <row r="2263" ht="22.5" customHeight="1">
      <c r="B2263" s="17"/>
      <c r="C2263" s="17"/>
      <c r="D2263" s="13"/>
      <c r="E2263" s="11"/>
      <c r="F2263" s="11"/>
      <c r="G2263" s="13">
        <f t="shared" si="1"/>
        <v>1281</v>
      </c>
      <c r="H2263" s="13"/>
    </row>
    <row r="2264" ht="22.5" customHeight="1">
      <c r="B2264" s="17"/>
      <c r="C2264" s="17"/>
      <c r="D2264" s="13"/>
      <c r="E2264" s="11"/>
      <c r="F2264" s="11"/>
      <c r="G2264" s="13">
        <f t="shared" si="1"/>
        <v>1281</v>
      </c>
      <c r="H2264" s="13"/>
    </row>
    <row r="2265" ht="22.5" customHeight="1">
      <c r="B2265" s="17"/>
      <c r="C2265" s="17"/>
      <c r="D2265" s="13"/>
      <c r="E2265" s="11"/>
      <c r="F2265" s="11"/>
      <c r="G2265" s="13">
        <f t="shared" si="1"/>
        <v>1281</v>
      </c>
      <c r="H2265" s="13"/>
    </row>
    <row r="2266" ht="22.5" customHeight="1">
      <c r="B2266" s="17"/>
      <c r="C2266" s="17"/>
      <c r="D2266" s="13"/>
      <c r="E2266" s="11"/>
      <c r="F2266" s="11"/>
      <c r="G2266" s="13">
        <f t="shared" si="1"/>
        <v>1281</v>
      </c>
      <c r="H2266" s="13"/>
    </row>
    <row r="2267" ht="22.5" customHeight="1">
      <c r="B2267" s="17"/>
      <c r="C2267" s="17"/>
      <c r="D2267" s="13"/>
      <c r="E2267" s="11"/>
      <c r="F2267" s="11"/>
      <c r="G2267" s="13">
        <f t="shared" si="1"/>
        <v>1281</v>
      </c>
      <c r="H2267" s="13"/>
    </row>
    <row r="2268" ht="22.5" customHeight="1">
      <c r="B2268" s="17"/>
      <c r="C2268" s="17"/>
      <c r="D2268" s="13"/>
      <c r="E2268" s="11"/>
      <c r="F2268" s="11"/>
      <c r="G2268" s="13">
        <f t="shared" si="1"/>
        <v>1281</v>
      </c>
      <c r="H2268" s="13"/>
    </row>
    <row r="2269" ht="22.5" customHeight="1">
      <c r="B2269" s="17"/>
      <c r="C2269" s="17"/>
      <c r="D2269" s="13"/>
      <c r="E2269" s="11"/>
      <c r="F2269" s="11"/>
      <c r="G2269" s="13">
        <f t="shared" si="1"/>
        <v>1281</v>
      </c>
      <c r="H2269" s="13"/>
    </row>
    <row r="2270" ht="22.5" customHeight="1">
      <c r="B2270" s="17"/>
      <c r="C2270" s="17"/>
      <c r="D2270" s="13"/>
      <c r="E2270" s="11"/>
      <c r="F2270" s="11"/>
      <c r="G2270" s="13">
        <f t="shared" si="1"/>
        <v>1281</v>
      </c>
      <c r="H2270" s="13"/>
    </row>
    <row r="2271" ht="22.5" customHeight="1">
      <c r="B2271" s="17"/>
      <c r="C2271" s="17"/>
      <c r="D2271" s="13"/>
      <c r="E2271" s="11"/>
      <c r="F2271" s="11"/>
      <c r="G2271" s="13">
        <f t="shared" si="1"/>
        <v>1281</v>
      </c>
      <c r="H2271" s="13"/>
    </row>
    <row r="2272" ht="22.5" customHeight="1">
      <c r="B2272" s="17"/>
      <c r="C2272" s="17"/>
      <c r="D2272" s="13"/>
      <c r="E2272" s="11"/>
      <c r="F2272" s="11"/>
      <c r="G2272" s="13">
        <f t="shared" si="1"/>
        <v>1281</v>
      </c>
      <c r="H2272" s="13"/>
    </row>
    <row r="2273" ht="22.5" customHeight="1">
      <c r="B2273" s="17"/>
      <c r="C2273" s="17"/>
      <c r="D2273" s="13"/>
      <c r="E2273" s="11"/>
      <c r="F2273" s="11"/>
      <c r="G2273" s="13">
        <f t="shared" si="1"/>
        <v>1281</v>
      </c>
      <c r="H2273" s="13"/>
    </row>
    <row r="2274" ht="22.5" customHeight="1">
      <c r="B2274" s="17"/>
      <c r="C2274" s="17"/>
      <c r="D2274" s="13"/>
      <c r="E2274" s="11"/>
      <c r="F2274" s="11"/>
      <c r="G2274" s="13">
        <f t="shared" si="1"/>
        <v>1281</v>
      </c>
      <c r="H2274" s="13"/>
    </row>
    <row r="2275" ht="22.5" customHeight="1">
      <c r="B2275" s="17"/>
      <c r="C2275" s="17"/>
      <c r="D2275" s="13"/>
      <c r="E2275" s="11"/>
      <c r="F2275" s="11"/>
      <c r="G2275" s="13">
        <f t="shared" si="1"/>
        <v>1281</v>
      </c>
      <c r="H2275" s="13"/>
    </row>
    <row r="2276" ht="22.5" customHeight="1">
      <c r="B2276" s="17"/>
      <c r="C2276" s="17"/>
      <c r="D2276" s="13"/>
      <c r="E2276" s="11"/>
      <c r="F2276" s="11"/>
      <c r="G2276" s="13">
        <f t="shared" si="1"/>
        <v>1281</v>
      </c>
      <c r="H2276" s="13"/>
    </row>
    <row r="2277" ht="22.5" customHeight="1">
      <c r="B2277" s="17"/>
      <c r="C2277" s="17"/>
      <c r="D2277" s="13"/>
      <c r="E2277" s="11"/>
      <c r="F2277" s="11"/>
      <c r="G2277" s="13">
        <f t="shared" si="1"/>
        <v>1281</v>
      </c>
      <c r="H2277" s="13"/>
    </row>
    <row r="2278" ht="22.5" customHeight="1">
      <c r="B2278" s="17"/>
      <c r="C2278" s="17"/>
      <c r="D2278" s="13"/>
      <c r="E2278" s="11"/>
      <c r="F2278" s="11"/>
      <c r="G2278" s="13">
        <f t="shared" si="1"/>
        <v>1281</v>
      </c>
      <c r="H2278" s="13"/>
    </row>
    <row r="2279" ht="22.5" customHeight="1">
      <c r="B2279" s="17"/>
      <c r="C2279" s="17"/>
      <c r="D2279" s="13"/>
      <c r="E2279" s="11"/>
      <c r="F2279" s="11"/>
      <c r="G2279" s="13">
        <f t="shared" si="1"/>
        <v>1281</v>
      </c>
      <c r="H2279" s="13"/>
    </row>
    <row r="2280" ht="22.5" customHeight="1">
      <c r="B2280" s="17"/>
      <c r="C2280" s="17"/>
      <c r="D2280" s="13"/>
      <c r="E2280" s="11"/>
      <c r="F2280" s="11"/>
      <c r="G2280" s="13">
        <f t="shared" si="1"/>
        <v>1281</v>
      </c>
      <c r="H2280" s="13"/>
    </row>
    <row r="2281" ht="22.5" customHeight="1">
      <c r="B2281" s="17"/>
      <c r="C2281" s="17"/>
      <c r="D2281" s="13"/>
      <c r="E2281" s="11"/>
      <c r="F2281" s="11"/>
      <c r="G2281" s="13">
        <f t="shared" si="1"/>
        <v>1281</v>
      </c>
      <c r="H2281" s="13"/>
    </row>
    <row r="2282" ht="22.5" customHeight="1">
      <c r="B2282" s="17"/>
      <c r="C2282" s="17"/>
      <c r="D2282" s="13"/>
      <c r="E2282" s="11"/>
      <c r="F2282" s="11"/>
      <c r="G2282" s="13">
        <f t="shared" si="1"/>
        <v>1281</v>
      </c>
      <c r="H2282" s="13"/>
    </row>
    <row r="2283" ht="22.5" customHeight="1">
      <c r="B2283" s="17"/>
      <c r="C2283" s="17"/>
      <c r="D2283" s="13"/>
      <c r="E2283" s="11"/>
      <c r="F2283" s="11"/>
      <c r="G2283" s="13">
        <f t="shared" si="1"/>
        <v>1281</v>
      </c>
      <c r="H2283" s="13"/>
    </row>
    <row r="2284" ht="22.5" customHeight="1">
      <c r="B2284" s="17"/>
      <c r="C2284" s="17"/>
      <c r="D2284" s="13"/>
      <c r="E2284" s="11"/>
      <c r="F2284" s="11"/>
      <c r="G2284" s="13">
        <f t="shared" si="1"/>
        <v>1281</v>
      </c>
      <c r="H2284" s="13"/>
    </row>
    <row r="2285" ht="22.5" customHeight="1">
      <c r="B2285" s="17"/>
      <c r="C2285" s="17"/>
      <c r="D2285" s="13"/>
      <c r="E2285" s="11"/>
      <c r="F2285" s="11"/>
      <c r="G2285" s="13">
        <f t="shared" si="1"/>
        <v>1281</v>
      </c>
      <c r="H2285" s="13"/>
    </row>
    <row r="2286" ht="22.5" customHeight="1">
      <c r="B2286" s="17"/>
      <c r="C2286" s="17"/>
      <c r="D2286" s="13"/>
      <c r="E2286" s="11"/>
      <c r="F2286" s="11"/>
      <c r="G2286" s="13">
        <f t="shared" si="1"/>
        <v>1281</v>
      </c>
      <c r="H2286" s="13"/>
    </row>
    <row r="2287" ht="22.5" customHeight="1">
      <c r="B2287" s="17"/>
      <c r="C2287" s="17"/>
      <c r="D2287" s="13"/>
      <c r="E2287" s="11"/>
      <c r="F2287" s="11"/>
      <c r="G2287" s="13">
        <f t="shared" si="1"/>
        <v>1281</v>
      </c>
      <c r="H2287" s="13"/>
    </row>
    <row r="2288" ht="22.5" customHeight="1">
      <c r="B2288" s="17"/>
      <c r="C2288" s="17"/>
      <c r="D2288" s="13"/>
      <c r="E2288" s="11"/>
      <c r="F2288" s="11"/>
      <c r="G2288" s="13">
        <f t="shared" si="1"/>
        <v>1281</v>
      </c>
      <c r="H2288" s="13"/>
    </row>
    <row r="2289" ht="22.5" customHeight="1">
      <c r="B2289" s="17"/>
      <c r="C2289" s="17"/>
      <c r="D2289" s="13"/>
      <c r="E2289" s="11"/>
      <c r="F2289" s="11"/>
      <c r="G2289" s="13">
        <f t="shared" si="1"/>
        <v>1281</v>
      </c>
      <c r="H2289" s="13"/>
    </row>
    <row r="2290" ht="22.5" customHeight="1">
      <c r="B2290" s="17"/>
      <c r="C2290" s="17"/>
      <c r="D2290" s="13"/>
      <c r="E2290" s="11"/>
      <c r="F2290" s="11"/>
      <c r="G2290" s="13">
        <f t="shared" si="1"/>
        <v>1281</v>
      </c>
      <c r="H2290" s="13"/>
    </row>
    <row r="2291" ht="22.5" customHeight="1">
      <c r="B2291" s="17"/>
      <c r="C2291" s="17"/>
      <c r="D2291" s="13"/>
      <c r="E2291" s="11"/>
      <c r="F2291" s="11"/>
      <c r="G2291" s="13">
        <f t="shared" si="1"/>
        <v>1281</v>
      </c>
      <c r="H2291" s="13"/>
    </row>
    <row r="2292" ht="22.5" customHeight="1">
      <c r="B2292" s="17"/>
      <c r="C2292" s="17"/>
      <c r="D2292" s="13"/>
      <c r="E2292" s="11"/>
      <c r="F2292" s="11"/>
      <c r="G2292" s="13">
        <f t="shared" si="1"/>
        <v>1281</v>
      </c>
      <c r="H2292" s="13"/>
    </row>
    <row r="2293" ht="22.5" customHeight="1">
      <c r="B2293" s="17"/>
      <c r="C2293" s="17"/>
      <c r="D2293" s="13"/>
      <c r="E2293" s="11"/>
      <c r="F2293" s="11"/>
      <c r="G2293" s="13">
        <f t="shared" si="1"/>
        <v>1281</v>
      </c>
      <c r="H2293" s="13"/>
    </row>
    <row r="2294" ht="22.5" customHeight="1">
      <c r="B2294" s="17"/>
      <c r="C2294" s="17"/>
      <c r="D2294" s="13"/>
      <c r="E2294" s="11"/>
      <c r="F2294" s="11"/>
      <c r="G2294" s="13">
        <f t="shared" si="1"/>
        <v>1281</v>
      </c>
      <c r="H2294" s="13"/>
    </row>
    <row r="2295" ht="22.5" customHeight="1">
      <c r="B2295" s="17"/>
      <c r="C2295" s="17"/>
      <c r="D2295" s="13"/>
      <c r="E2295" s="11"/>
      <c r="F2295" s="11"/>
      <c r="G2295" s="13">
        <f t="shared" si="1"/>
        <v>1281</v>
      </c>
      <c r="H2295" s="13"/>
    </row>
    <row r="2296" ht="22.5" customHeight="1">
      <c r="B2296" s="17"/>
      <c r="C2296" s="17"/>
      <c r="D2296" s="13"/>
      <c r="E2296" s="11"/>
      <c r="F2296" s="11"/>
      <c r="G2296" s="13">
        <f t="shared" si="1"/>
        <v>1281</v>
      </c>
      <c r="H2296" s="13"/>
    </row>
    <row r="2297" ht="22.5" customHeight="1">
      <c r="B2297" s="17"/>
      <c r="C2297" s="17"/>
      <c r="D2297" s="13"/>
      <c r="E2297" s="11"/>
      <c r="F2297" s="11"/>
      <c r="G2297" s="13">
        <f t="shared" si="1"/>
        <v>1281</v>
      </c>
      <c r="H2297" s="13"/>
    </row>
    <row r="2298" ht="22.5" customHeight="1">
      <c r="B2298" s="17"/>
      <c r="C2298" s="17"/>
      <c r="D2298" s="13"/>
      <c r="E2298" s="11"/>
      <c r="F2298" s="11"/>
      <c r="G2298" s="13">
        <f t="shared" si="1"/>
        <v>1281</v>
      </c>
      <c r="H2298" s="13"/>
    </row>
    <row r="2299" ht="22.5" customHeight="1">
      <c r="B2299" s="17"/>
      <c r="C2299" s="17"/>
      <c r="D2299" s="13"/>
      <c r="E2299" s="11"/>
      <c r="F2299" s="11"/>
      <c r="G2299" s="13">
        <f t="shared" si="1"/>
        <v>1281</v>
      </c>
      <c r="H2299" s="13"/>
    </row>
    <row r="2300" ht="22.5" customHeight="1">
      <c r="B2300" s="17"/>
      <c r="C2300" s="17"/>
      <c r="D2300" s="13"/>
      <c r="E2300" s="11"/>
      <c r="F2300" s="11"/>
      <c r="G2300" s="13">
        <f t="shared" si="1"/>
        <v>1281</v>
      </c>
      <c r="H2300" s="13"/>
    </row>
    <row r="2301" ht="22.5" customHeight="1">
      <c r="B2301" s="17"/>
      <c r="C2301" s="17"/>
      <c r="D2301" s="13"/>
      <c r="E2301" s="11"/>
      <c r="F2301" s="11"/>
      <c r="G2301" s="13">
        <f t="shared" si="1"/>
        <v>1281</v>
      </c>
      <c r="H2301" s="13"/>
    </row>
    <row r="2302" ht="22.5" customHeight="1">
      <c r="B2302" s="17"/>
      <c r="C2302" s="17"/>
      <c r="D2302" s="13"/>
      <c r="E2302" s="11"/>
      <c r="F2302" s="11"/>
      <c r="G2302" s="13">
        <f t="shared" si="1"/>
        <v>1281</v>
      </c>
      <c r="H2302" s="13"/>
    </row>
    <row r="2303" ht="22.5" customHeight="1">
      <c r="B2303" s="17"/>
      <c r="C2303" s="17"/>
      <c r="D2303" s="13"/>
      <c r="E2303" s="11"/>
      <c r="F2303" s="11"/>
      <c r="G2303" s="13">
        <f t="shared" si="1"/>
        <v>1281</v>
      </c>
      <c r="H2303" s="13"/>
    </row>
    <row r="2304" ht="22.5" customHeight="1">
      <c r="B2304" s="17"/>
      <c r="C2304" s="17"/>
      <c r="D2304" s="13"/>
      <c r="E2304" s="11"/>
      <c r="F2304" s="11"/>
      <c r="G2304" s="13">
        <f t="shared" si="1"/>
        <v>1281</v>
      </c>
      <c r="H2304" s="13"/>
    </row>
    <row r="2305" ht="22.5" customHeight="1">
      <c r="B2305" s="17"/>
      <c r="C2305" s="17"/>
      <c r="D2305" s="13"/>
      <c r="E2305" s="11"/>
      <c r="F2305" s="11"/>
      <c r="G2305" s="13">
        <f t="shared" si="1"/>
        <v>1281</v>
      </c>
      <c r="H2305" s="13"/>
    </row>
    <row r="2306" ht="22.5" customHeight="1">
      <c r="B2306" s="17"/>
      <c r="C2306" s="17"/>
      <c r="D2306" s="13"/>
      <c r="E2306" s="11"/>
      <c r="F2306" s="11"/>
      <c r="G2306" s="13">
        <f t="shared" si="1"/>
        <v>1281</v>
      </c>
      <c r="H2306" s="13"/>
    </row>
    <row r="2307" ht="22.5" customHeight="1">
      <c r="B2307" s="17"/>
      <c r="C2307" s="17"/>
      <c r="D2307" s="13"/>
      <c r="E2307" s="11"/>
      <c r="F2307" s="11"/>
      <c r="G2307" s="13">
        <f t="shared" si="1"/>
        <v>1281</v>
      </c>
      <c r="H2307" s="13"/>
    </row>
    <row r="2308" ht="22.5" customHeight="1">
      <c r="B2308" s="17"/>
      <c r="C2308" s="17"/>
      <c r="D2308" s="13"/>
      <c r="E2308" s="11"/>
      <c r="F2308" s="11"/>
      <c r="G2308" s="13">
        <f t="shared" si="1"/>
        <v>1281</v>
      </c>
      <c r="H2308" s="13"/>
    </row>
    <row r="2309" ht="22.5" customHeight="1">
      <c r="B2309" s="17"/>
      <c r="C2309" s="17"/>
      <c r="D2309" s="13"/>
      <c r="E2309" s="11"/>
      <c r="F2309" s="11"/>
      <c r="G2309" s="13">
        <f t="shared" si="1"/>
        <v>1281</v>
      </c>
      <c r="H2309" s="13"/>
    </row>
    <row r="2310" ht="22.5" customHeight="1">
      <c r="B2310" s="17"/>
      <c r="C2310" s="17"/>
      <c r="D2310" s="13"/>
      <c r="E2310" s="11"/>
      <c r="F2310" s="11"/>
      <c r="G2310" s="13">
        <f t="shared" si="1"/>
        <v>1281</v>
      </c>
      <c r="H2310" s="13"/>
    </row>
    <row r="2311" ht="22.5" customHeight="1">
      <c r="B2311" s="17"/>
      <c r="C2311" s="17"/>
      <c r="D2311" s="13"/>
      <c r="E2311" s="11"/>
      <c r="F2311" s="11"/>
      <c r="G2311" s="13">
        <f t="shared" si="1"/>
        <v>1281</v>
      </c>
      <c r="H2311" s="13"/>
    </row>
    <row r="2312" ht="22.5" customHeight="1">
      <c r="B2312" s="17"/>
      <c r="C2312" s="17"/>
      <c r="D2312" s="13"/>
      <c r="E2312" s="11"/>
      <c r="F2312" s="11"/>
      <c r="G2312" s="13">
        <f t="shared" si="1"/>
        <v>1281</v>
      </c>
      <c r="H2312" s="13"/>
    </row>
    <row r="2313" ht="22.5" customHeight="1">
      <c r="B2313" s="17"/>
      <c r="C2313" s="17"/>
      <c r="D2313" s="13"/>
      <c r="E2313" s="11"/>
      <c r="F2313" s="11"/>
      <c r="G2313" s="13">
        <f t="shared" si="1"/>
        <v>1281</v>
      </c>
      <c r="H2313" s="13"/>
    </row>
    <row r="2314" ht="22.5" customHeight="1">
      <c r="B2314" s="17"/>
      <c r="C2314" s="17"/>
      <c r="D2314" s="13"/>
      <c r="E2314" s="11"/>
      <c r="F2314" s="11"/>
      <c r="G2314" s="13">
        <f t="shared" si="1"/>
        <v>1281</v>
      </c>
      <c r="H2314" s="13"/>
    </row>
    <row r="2315" ht="22.5" customHeight="1">
      <c r="B2315" s="17"/>
      <c r="C2315" s="17"/>
      <c r="D2315" s="13"/>
      <c r="E2315" s="11"/>
      <c r="F2315" s="11"/>
      <c r="G2315" s="13">
        <f t="shared" si="1"/>
        <v>1281</v>
      </c>
      <c r="H2315" s="13"/>
    </row>
    <row r="2316" ht="22.5" customHeight="1">
      <c r="B2316" s="17"/>
      <c r="C2316" s="17"/>
      <c r="D2316" s="13"/>
      <c r="E2316" s="11"/>
      <c r="F2316" s="11"/>
      <c r="G2316" s="13">
        <f t="shared" si="1"/>
        <v>1281</v>
      </c>
      <c r="H2316" s="13"/>
    </row>
    <row r="2317" ht="22.5" customHeight="1">
      <c r="B2317" s="17"/>
      <c r="C2317" s="17"/>
      <c r="D2317" s="13"/>
      <c r="E2317" s="11"/>
      <c r="F2317" s="11"/>
      <c r="G2317" s="13">
        <f t="shared" si="1"/>
        <v>1281</v>
      </c>
      <c r="H2317" s="13"/>
    </row>
    <row r="2318" ht="22.5" customHeight="1">
      <c r="B2318" s="17"/>
      <c r="C2318" s="17"/>
      <c r="D2318" s="13"/>
      <c r="E2318" s="11"/>
      <c r="F2318" s="11"/>
      <c r="G2318" s="13">
        <f t="shared" si="1"/>
        <v>1281</v>
      </c>
      <c r="H2318" s="13"/>
    </row>
    <row r="2319" ht="22.5" customHeight="1">
      <c r="B2319" s="17"/>
      <c r="C2319" s="17"/>
      <c r="D2319" s="13"/>
      <c r="E2319" s="11"/>
      <c r="F2319" s="11"/>
      <c r="G2319" s="13">
        <f t="shared" si="1"/>
        <v>1281</v>
      </c>
      <c r="H2319" s="13"/>
    </row>
    <row r="2320" ht="22.5" customHeight="1">
      <c r="B2320" s="17"/>
      <c r="C2320" s="17"/>
      <c r="D2320" s="13"/>
      <c r="E2320" s="11"/>
      <c r="F2320" s="11"/>
      <c r="G2320" s="13">
        <f t="shared" si="1"/>
        <v>1281</v>
      </c>
      <c r="H2320" s="13"/>
    </row>
    <row r="2321" ht="22.5" customHeight="1">
      <c r="B2321" s="17"/>
      <c r="C2321" s="17"/>
      <c r="D2321" s="13"/>
      <c r="E2321" s="11"/>
      <c r="F2321" s="11"/>
      <c r="G2321" s="13">
        <f t="shared" si="1"/>
        <v>1281</v>
      </c>
      <c r="H2321" s="13"/>
    </row>
    <row r="2322" ht="22.5" customHeight="1">
      <c r="B2322" s="17"/>
      <c r="C2322" s="17"/>
      <c r="D2322" s="13"/>
      <c r="E2322" s="11"/>
      <c r="F2322" s="11"/>
      <c r="G2322" s="13">
        <f t="shared" si="1"/>
        <v>1281</v>
      </c>
      <c r="H2322" s="13"/>
    </row>
    <row r="2323" ht="22.5" customHeight="1">
      <c r="B2323" s="17"/>
      <c r="C2323" s="17"/>
      <c r="D2323" s="13"/>
      <c r="E2323" s="11"/>
      <c r="F2323" s="11"/>
      <c r="G2323" s="13">
        <f t="shared" si="1"/>
        <v>1281</v>
      </c>
      <c r="H2323" s="13"/>
    </row>
    <row r="2324" ht="22.5" customHeight="1">
      <c r="B2324" s="17"/>
      <c r="C2324" s="17"/>
      <c r="D2324" s="13"/>
      <c r="E2324" s="11"/>
      <c r="F2324" s="11"/>
      <c r="G2324" s="13">
        <f t="shared" si="1"/>
        <v>1281</v>
      </c>
      <c r="H2324" s="13"/>
    </row>
    <row r="2325" ht="22.5" customHeight="1">
      <c r="B2325" s="17"/>
      <c r="C2325" s="17"/>
      <c r="D2325" s="13"/>
      <c r="E2325" s="11"/>
      <c r="F2325" s="11"/>
      <c r="G2325" s="13">
        <f t="shared" si="1"/>
        <v>1281</v>
      </c>
      <c r="H2325" s="13"/>
    </row>
    <row r="2326" ht="22.5" customHeight="1">
      <c r="B2326" s="17"/>
      <c r="C2326" s="17"/>
      <c r="D2326" s="13"/>
      <c r="E2326" s="11"/>
      <c r="F2326" s="11"/>
      <c r="G2326" s="13">
        <f t="shared" si="1"/>
        <v>1281</v>
      </c>
      <c r="H2326" s="13"/>
    </row>
    <row r="2327" ht="22.5" customHeight="1">
      <c r="B2327" s="17"/>
      <c r="C2327" s="17"/>
      <c r="D2327" s="13"/>
      <c r="E2327" s="11"/>
      <c r="F2327" s="11"/>
      <c r="G2327" s="13">
        <f t="shared" si="1"/>
        <v>1281</v>
      </c>
      <c r="H2327" s="13"/>
    </row>
    <row r="2328" ht="22.5" customHeight="1">
      <c r="B2328" s="17"/>
      <c r="C2328" s="17"/>
      <c r="D2328" s="13"/>
      <c r="E2328" s="11"/>
      <c r="F2328" s="11"/>
      <c r="G2328" s="13">
        <f t="shared" si="1"/>
        <v>1281</v>
      </c>
      <c r="H2328" s="13"/>
    </row>
    <row r="2329" ht="22.5" customHeight="1">
      <c r="B2329" s="17"/>
      <c r="C2329" s="17"/>
      <c r="D2329" s="13"/>
      <c r="E2329" s="11"/>
      <c r="F2329" s="11"/>
      <c r="G2329" s="13">
        <f t="shared" si="1"/>
        <v>1281</v>
      </c>
      <c r="H2329" s="13"/>
    </row>
    <row r="2330" ht="22.5" customHeight="1">
      <c r="B2330" s="17"/>
      <c r="C2330" s="17"/>
      <c r="D2330" s="13"/>
      <c r="E2330" s="11"/>
      <c r="F2330" s="11"/>
      <c r="G2330" s="13">
        <f t="shared" si="1"/>
        <v>1281</v>
      </c>
      <c r="H2330" s="13"/>
    </row>
    <row r="2331" ht="22.5" customHeight="1">
      <c r="B2331" s="17"/>
      <c r="C2331" s="17"/>
      <c r="D2331" s="13"/>
      <c r="E2331" s="11"/>
      <c r="F2331" s="11"/>
      <c r="G2331" s="13">
        <f t="shared" si="1"/>
        <v>1281</v>
      </c>
      <c r="H2331" s="13"/>
    </row>
    <row r="2332" ht="22.5" customHeight="1">
      <c r="B2332" s="17"/>
      <c r="C2332" s="17"/>
      <c r="D2332" s="13"/>
      <c r="E2332" s="11"/>
      <c r="F2332" s="11"/>
      <c r="G2332" s="13">
        <f t="shared" si="1"/>
        <v>1281</v>
      </c>
      <c r="H2332" s="13"/>
    </row>
    <row r="2333" ht="22.5" customHeight="1">
      <c r="B2333" s="17"/>
      <c r="C2333" s="17"/>
      <c r="D2333" s="13"/>
      <c r="E2333" s="11"/>
      <c r="F2333" s="11"/>
      <c r="G2333" s="13">
        <f t="shared" si="1"/>
        <v>1281</v>
      </c>
      <c r="H2333" s="13"/>
    </row>
    <row r="2334" ht="22.5" customHeight="1">
      <c r="B2334" s="17"/>
      <c r="C2334" s="17"/>
      <c r="D2334" s="13"/>
      <c r="E2334" s="11"/>
      <c r="F2334" s="11"/>
      <c r="G2334" s="13">
        <f t="shared" si="1"/>
        <v>1281</v>
      </c>
      <c r="H2334" s="13"/>
    </row>
    <row r="2335" ht="22.5" customHeight="1">
      <c r="B2335" s="17"/>
      <c r="C2335" s="17"/>
      <c r="D2335" s="13"/>
      <c r="E2335" s="11"/>
      <c r="F2335" s="11"/>
      <c r="G2335" s="13">
        <f t="shared" si="1"/>
        <v>1281</v>
      </c>
      <c r="H2335" s="13"/>
    </row>
    <row r="2336" ht="22.5" customHeight="1">
      <c r="B2336" s="17"/>
      <c r="C2336" s="17"/>
      <c r="D2336" s="13"/>
      <c r="E2336" s="11"/>
      <c r="F2336" s="11"/>
      <c r="G2336" s="13">
        <f t="shared" si="1"/>
        <v>1281</v>
      </c>
      <c r="H2336" s="13"/>
    </row>
    <row r="2337" ht="22.5" customHeight="1">
      <c r="B2337" s="17"/>
      <c r="C2337" s="17"/>
      <c r="D2337" s="13"/>
      <c r="E2337" s="11"/>
      <c r="F2337" s="11"/>
      <c r="G2337" s="13">
        <f t="shared" si="1"/>
        <v>1281</v>
      </c>
      <c r="H2337" s="13"/>
    </row>
    <row r="2338" ht="22.5" customHeight="1">
      <c r="B2338" s="17"/>
      <c r="C2338" s="17"/>
      <c r="D2338" s="13"/>
      <c r="E2338" s="11"/>
      <c r="F2338" s="11"/>
      <c r="G2338" s="13">
        <f t="shared" si="1"/>
        <v>1281</v>
      </c>
      <c r="H2338" s="13"/>
    </row>
    <row r="2339" ht="22.5" customHeight="1">
      <c r="B2339" s="17"/>
      <c r="C2339" s="17"/>
      <c r="D2339" s="13"/>
      <c r="E2339" s="11"/>
      <c r="F2339" s="11"/>
      <c r="G2339" s="13">
        <f t="shared" si="1"/>
        <v>1281</v>
      </c>
      <c r="H2339" s="13"/>
    </row>
    <row r="2340" ht="22.5" customHeight="1">
      <c r="B2340" s="17"/>
      <c r="C2340" s="17"/>
      <c r="D2340" s="13"/>
      <c r="E2340" s="11"/>
      <c r="F2340" s="11"/>
      <c r="G2340" s="13">
        <f t="shared" si="1"/>
        <v>1281</v>
      </c>
      <c r="H2340" s="13"/>
    </row>
    <row r="2341" ht="22.5" customHeight="1">
      <c r="B2341" s="17"/>
      <c r="C2341" s="17"/>
      <c r="D2341" s="13"/>
      <c r="E2341" s="11"/>
      <c r="F2341" s="11"/>
      <c r="G2341" s="13">
        <f t="shared" si="1"/>
        <v>1281</v>
      </c>
      <c r="H2341" s="13"/>
    </row>
    <row r="2342" ht="22.5" customHeight="1">
      <c r="B2342" s="17"/>
      <c r="C2342" s="17"/>
      <c r="D2342" s="13"/>
      <c r="E2342" s="11"/>
      <c r="F2342" s="11"/>
      <c r="G2342" s="13">
        <f t="shared" si="1"/>
        <v>1281</v>
      </c>
      <c r="H2342" s="13"/>
    </row>
    <row r="2343" ht="22.5" customHeight="1">
      <c r="B2343" s="17"/>
      <c r="C2343" s="17"/>
      <c r="D2343" s="13"/>
      <c r="E2343" s="11"/>
      <c r="F2343" s="11"/>
      <c r="G2343" s="13">
        <f t="shared" si="1"/>
        <v>1281</v>
      </c>
      <c r="H2343" s="13"/>
    </row>
    <row r="2344" ht="22.5" customHeight="1">
      <c r="B2344" s="17"/>
      <c r="C2344" s="17"/>
      <c r="D2344" s="13"/>
      <c r="E2344" s="11"/>
      <c r="F2344" s="11"/>
      <c r="G2344" s="13">
        <f t="shared" si="1"/>
        <v>1281</v>
      </c>
      <c r="H2344" s="13"/>
    </row>
    <row r="2345" ht="22.5" customHeight="1">
      <c r="B2345" s="17"/>
      <c r="C2345" s="17"/>
      <c r="D2345" s="13"/>
      <c r="E2345" s="11"/>
      <c r="F2345" s="11"/>
      <c r="G2345" s="13">
        <f t="shared" si="1"/>
        <v>1281</v>
      </c>
      <c r="H2345" s="13"/>
    </row>
    <row r="2346" ht="22.5" customHeight="1">
      <c r="B2346" s="17"/>
      <c r="C2346" s="17"/>
      <c r="D2346" s="13"/>
      <c r="E2346" s="11"/>
      <c r="F2346" s="11"/>
      <c r="G2346" s="13">
        <f t="shared" si="1"/>
        <v>1281</v>
      </c>
      <c r="H2346" s="13"/>
    </row>
    <row r="2347" ht="22.5" customHeight="1">
      <c r="B2347" s="17"/>
      <c r="C2347" s="17"/>
      <c r="D2347" s="13"/>
      <c r="E2347" s="11"/>
      <c r="F2347" s="11"/>
      <c r="G2347" s="13">
        <f t="shared" si="1"/>
        <v>1281</v>
      </c>
      <c r="H2347" s="13"/>
    </row>
    <row r="2348" ht="22.5" customHeight="1">
      <c r="B2348" s="17"/>
      <c r="C2348" s="17"/>
      <c r="D2348" s="13"/>
      <c r="E2348" s="11"/>
      <c r="F2348" s="11"/>
      <c r="G2348" s="13">
        <f t="shared" si="1"/>
        <v>1281</v>
      </c>
      <c r="H2348" s="13"/>
    </row>
    <row r="2349" ht="22.5" customHeight="1">
      <c r="B2349" s="17"/>
      <c r="C2349" s="17"/>
      <c r="D2349" s="13"/>
      <c r="E2349" s="11"/>
      <c r="F2349" s="11"/>
      <c r="G2349" s="13">
        <f t="shared" si="1"/>
        <v>1281</v>
      </c>
      <c r="H2349" s="13"/>
    </row>
    <row r="2350" ht="22.5" customHeight="1">
      <c r="B2350" s="17"/>
      <c r="C2350" s="17"/>
      <c r="D2350" s="13"/>
      <c r="E2350" s="11"/>
      <c r="F2350" s="11"/>
      <c r="G2350" s="13">
        <f t="shared" si="1"/>
        <v>1281</v>
      </c>
      <c r="H2350" s="13"/>
    </row>
    <row r="2351" ht="22.5" customHeight="1">
      <c r="B2351" s="17"/>
      <c r="C2351" s="17"/>
      <c r="D2351" s="13"/>
      <c r="E2351" s="11"/>
      <c r="F2351" s="11"/>
      <c r="G2351" s="13">
        <f t="shared" si="1"/>
        <v>1281</v>
      </c>
      <c r="H2351" s="13"/>
    </row>
    <row r="2352" ht="22.5" customHeight="1">
      <c r="B2352" s="17"/>
      <c r="C2352" s="17"/>
      <c r="D2352" s="13"/>
      <c r="E2352" s="11"/>
      <c r="F2352" s="11"/>
      <c r="G2352" s="13">
        <f t="shared" si="1"/>
        <v>1281</v>
      </c>
      <c r="H2352" s="13"/>
    </row>
    <row r="2353" ht="22.5" customHeight="1">
      <c r="B2353" s="17"/>
      <c r="C2353" s="17"/>
      <c r="D2353" s="13"/>
      <c r="E2353" s="11"/>
      <c r="F2353" s="11"/>
      <c r="G2353" s="13">
        <f t="shared" si="1"/>
        <v>1281</v>
      </c>
      <c r="H2353" s="13"/>
    </row>
    <row r="2354" ht="22.5" customHeight="1">
      <c r="B2354" s="17"/>
      <c r="C2354" s="17"/>
      <c r="D2354" s="13"/>
      <c r="E2354" s="11"/>
      <c r="F2354" s="11"/>
      <c r="G2354" s="13">
        <f t="shared" si="1"/>
        <v>1281</v>
      </c>
      <c r="H2354" s="13"/>
    </row>
    <row r="2355" ht="22.5" customHeight="1">
      <c r="B2355" s="17"/>
      <c r="C2355" s="17"/>
      <c r="D2355" s="13"/>
      <c r="E2355" s="11"/>
      <c r="F2355" s="11"/>
      <c r="G2355" s="13">
        <f t="shared" si="1"/>
        <v>1281</v>
      </c>
      <c r="H2355" s="13"/>
    </row>
    <row r="2356" ht="22.5" customHeight="1">
      <c r="B2356" s="17"/>
      <c r="C2356" s="17"/>
      <c r="D2356" s="13"/>
      <c r="E2356" s="11"/>
      <c r="F2356" s="11"/>
      <c r="G2356" s="13">
        <f t="shared" si="1"/>
        <v>1281</v>
      </c>
      <c r="H2356" s="13"/>
    </row>
    <row r="2357" ht="22.5" customHeight="1">
      <c r="B2357" s="17"/>
      <c r="C2357" s="17"/>
      <c r="D2357" s="13"/>
      <c r="E2357" s="11"/>
      <c r="F2357" s="11"/>
      <c r="G2357" s="13">
        <f t="shared" si="1"/>
        <v>1281</v>
      </c>
      <c r="H2357" s="13"/>
    </row>
    <row r="2358" ht="22.5" customHeight="1">
      <c r="B2358" s="17"/>
      <c r="C2358" s="17"/>
      <c r="D2358" s="13"/>
      <c r="E2358" s="11"/>
      <c r="F2358" s="11"/>
      <c r="G2358" s="13">
        <f t="shared" si="1"/>
        <v>1281</v>
      </c>
      <c r="H2358" s="13"/>
    </row>
    <row r="2359" ht="22.5" customHeight="1">
      <c r="B2359" s="17"/>
      <c r="C2359" s="17"/>
      <c r="D2359" s="13"/>
      <c r="E2359" s="11"/>
      <c r="F2359" s="11"/>
      <c r="G2359" s="13">
        <f t="shared" si="1"/>
        <v>1281</v>
      </c>
      <c r="H2359" s="13"/>
    </row>
    <row r="2360" ht="22.5" customHeight="1">
      <c r="B2360" s="17"/>
      <c r="C2360" s="17"/>
      <c r="D2360" s="13"/>
      <c r="E2360" s="11"/>
      <c r="F2360" s="11"/>
      <c r="G2360" s="13">
        <f t="shared" si="1"/>
        <v>1281</v>
      </c>
      <c r="H2360" s="13"/>
    </row>
    <row r="2361" ht="22.5" customHeight="1">
      <c r="B2361" s="17"/>
      <c r="C2361" s="17"/>
      <c r="D2361" s="13"/>
      <c r="E2361" s="11"/>
      <c r="F2361" s="11"/>
      <c r="G2361" s="13">
        <f t="shared" si="1"/>
        <v>1281</v>
      </c>
      <c r="H2361" s="13"/>
    </row>
    <row r="2362" ht="22.5" customHeight="1">
      <c r="B2362" s="17"/>
      <c r="C2362" s="17"/>
      <c r="D2362" s="13"/>
      <c r="E2362" s="11"/>
      <c r="F2362" s="11"/>
      <c r="G2362" s="13">
        <f t="shared" si="1"/>
        <v>1281</v>
      </c>
      <c r="H2362" s="13"/>
    </row>
    <row r="2363" ht="22.5" customHeight="1">
      <c r="B2363" s="17"/>
      <c r="C2363" s="17"/>
      <c r="D2363" s="13"/>
      <c r="E2363" s="11"/>
      <c r="F2363" s="11"/>
      <c r="G2363" s="13">
        <f t="shared" si="1"/>
        <v>1281</v>
      </c>
      <c r="H2363" s="13"/>
    </row>
    <row r="2364" ht="22.5" customHeight="1">
      <c r="B2364" s="17"/>
      <c r="C2364" s="17"/>
      <c r="D2364" s="13"/>
      <c r="E2364" s="11"/>
      <c r="F2364" s="11"/>
      <c r="G2364" s="13">
        <f t="shared" si="1"/>
        <v>1281</v>
      </c>
      <c r="H2364" s="13"/>
    </row>
    <row r="2365" ht="22.5" customHeight="1">
      <c r="B2365" s="17"/>
      <c r="C2365" s="17"/>
      <c r="D2365" s="13"/>
      <c r="E2365" s="11"/>
      <c r="F2365" s="11"/>
      <c r="G2365" s="13">
        <f t="shared" si="1"/>
        <v>1281</v>
      </c>
      <c r="H2365" s="13"/>
    </row>
    <row r="2366" ht="22.5" customHeight="1">
      <c r="B2366" s="17"/>
      <c r="C2366" s="17"/>
      <c r="D2366" s="13"/>
      <c r="E2366" s="11"/>
      <c r="F2366" s="11"/>
      <c r="G2366" s="13">
        <f t="shared" si="1"/>
        <v>1281</v>
      </c>
      <c r="H2366" s="13"/>
    </row>
    <row r="2367" ht="22.5" customHeight="1">
      <c r="B2367" s="17"/>
      <c r="C2367" s="17"/>
      <c r="D2367" s="13"/>
      <c r="E2367" s="11"/>
      <c r="F2367" s="11"/>
      <c r="G2367" s="13">
        <f t="shared" si="1"/>
        <v>1281</v>
      </c>
      <c r="H2367" s="13"/>
    </row>
    <row r="2368" ht="22.5" customHeight="1">
      <c r="B2368" s="17"/>
      <c r="C2368" s="17"/>
      <c r="D2368" s="13"/>
      <c r="E2368" s="11"/>
      <c r="F2368" s="11"/>
      <c r="G2368" s="13">
        <f t="shared" si="1"/>
        <v>1281</v>
      </c>
      <c r="H2368" s="13"/>
    </row>
    <row r="2369" ht="22.5" customHeight="1">
      <c r="B2369" s="17"/>
      <c r="C2369" s="17"/>
      <c r="D2369" s="13"/>
      <c r="E2369" s="11"/>
      <c r="F2369" s="11"/>
      <c r="G2369" s="13">
        <f t="shared" si="1"/>
        <v>1281</v>
      </c>
      <c r="H2369" s="13"/>
    </row>
    <row r="2370" ht="22.5" customHeight="1">
      <c r="B2370" s="17"/>
      <c r="C2370" s="17"/>
      <c r="D2370" s="13"/>
      <c r="E2370" s="11"/>
      <c r="F2370" s="11"/>
      <c r="G2370" s="13">
        <f t="shared" si="1"/>
        <v>1281</v>
      </c>
      <c r="H2370" s="13"/>
    </row>
    <row r="2371" ht="22.5" customHeight="1">
      <c r="B2371" s="17"/>
      <c r="C2371" s="17"/>
      <c r="D2371" s="13"/>
      <c r="E2371" s="11"/>
      <c r="F2371" s="11"/>
      <c r="G2371" s="13">
        <f t="shared" si="1"/>
        <v>1281</v>
      </c>
      <c r="H2371" s="13"/>
    </row>
    <row r="2372" ht="22.5" customHeight="1">
      <c r="B2372" s="17"/>
      <c r="C2372" s="17"/>
      <c r="D2372" s="13"/>
      <c r="E2372" s="11"/>
      <c r="F2372" s="11"/>
      <c r="G2372" s="13">
        <f t="shared" si="1"/>
        <v>1281</v>
      </c>
      <c r="H2372" s="13"/>
    </row>
    <row r="2373" ht="22.5" customHeight="1">
      <c r="B2373" s="17"/>
      <c r="C2373" s="17"/>
      <c r="D2373" s="13"/>
      <c r="E2373" s="11"/>
      <c r="F2373" s="11"/>
      <c r="G2373" s="13">
        <f t="shared" si="1"/>
        <v>1281</v>
      </c>
      <c r="H2373" s="13"/>
    </row>
    <row r="2374" ht="22.5" customHeight="1">
      <c r="B2374" s="17"/>
      <c r="C2374" s="17"/>
      <c r="D2374" s="13"/>
      <c r="E2374" s="11"/>
      <c r="F2374" s="11"/>
      <c r="G2374" s="13">
        <f t="shared" si="1"/>
        <v>1281</v>
      </c>
      <c r="H2374" s="13"/>
    </row>
    <row r="2375" ht="22.5" customHeight="1">
      <c r="B2375" s="17"/>
      <c r="C2375" s="17"/>
      <c r="D2375" s="13"/>
      <c r="E2375" s="11"/>
      <c r="F2375" s="11"/>
      <c r="G2375" s="13">
        <f t="shared" si="1"/>
        <v>1281</v>
      </c>
      <c r="H2375" s="13"/>
    </row>
    <row r="2376" ht="22.5" customHeight="1">
      <c r="B2376" s="17"/>
      <c r="C2376" s="17"/>
      <c r="D2376" s="13"/>
      <c r="E2376" s="11"/>
      <c r="F2376" s="11"/>
      <c r="G2376" s="13">
        <f t="shared" si="1"/>
        <v>1281</v>
      </c>
      <c r="H2376" s="13"/>
    </row>
    <row r="2377" ht="22.5" customHeight="1">
      <c r="B2377" s="17"/>
      <c r="C2377" s="17"/>
      <c r="D2377" s="13"/>
      <c r="E2377" s="11"/>
      <c r="F2377" s="11"/>
      <c r="G2377" s="13">
        <f t="shared" si="1"/>
        <v>1281</v>
      </c>
      <c r="H2377" s="13"/>
    </row>
    <row r="2378" ht="22.5" customHeight="1">
      <c r="B2378" s="17"/>
      <c r="C2378" s="17"/>
      <c r="D2378" s="13"/>
      <c r="E2378" s="11"/>
      <c r="F2378" s="11"/>
      <c r="G2378" s="13">
        <f t="shared" si="1"/>
        <v>1281</v>
      </c>
      <c r="H2378" s="13"/>
    </row>
    <row r="2379" ht="22.5" customHeight="1">
      <c r="B2379" s="17"/>
      <c r="C2379" s="17"/>
      <c r="D2379" s="13"/>
      <c r="E2379" s="11"/>
      <c r="F2379" s="11"/>
      <c r="G2379" s="13">
        <f t="shared" si="1"/>
        <v>1281</v>
      </c>
      <c r="H2379" s="13"/>
    </row>
    <row r="2380" ht="22.5" customHeight="1">
      <c r="B2380" s="17"/>
      <c r="C2380" s="17"/>
      <c r="D2380" s="13"/>
      <c r="E2380" s="11"/>
      <c r="F2380" s="11"/>
      <c r="G2380" s="13">
        <f t="shared" si="1"/>
        <v>1281</v>
      </c>
      <c r="H2380" s="13"/>
    </row>
    <row r="2381" ht="22.5" customHeight="1">
      <c r="B2381" s="17"/>
      <c r="C2381" s="17"/>
      <c r="D2381" s="13"/>
      <c r="E2381" s="11"/>
      <c r="F2381" s="11"/>
      <c r="G2381" s="13">
        <f t="shared" si="1"/>
        <v>1281</v>
      </c>
      <c r="H2381" s="13"/>
    </row>
    <row r="2382" ht="22.5" customHeight="1">
      <c r="B2382" s="17"/>
      <c r="C2382" s="17"/>
      <c r="D2382" s="13"/>
      <c r="E2382" s="11"/>
      <c r="F2382" s="11"/>
      <c r="G2382" s="13">
        <f t="shared" si="1"/>
        <v>1281</v>
      </c>
      <c r="H2382" s="13"/>
    </row>
    <row r="2383" ht="22.5" customHeight="1">
      <c r="B2383" s="17"/>
      <c r="C2383" s="17"/>
      <c r="D2383" s="13"/>
      <c r="E2383" s="11"/>
      <c r="F2383" s="11"/>
      <c r="G2383" s="13">
        <f t="shared" si="1"/>
        <v>1281</v>
      </c>
      <c r="H2383" s="13"/>
    </row>
    <row r="2384" ht="22.5" customHeight="1">
      <c r="B2384" s="17"/>
      <c r="C2384" s="17"/>
      <c r="D2384" s="13"/>
      <c r="E2384" s="11"/>
      <c r="F2384" s="11"/>
      <c r="G2384" s="13">
        <f t="shared" si="1"/>
        <v>1281</v>
      </c>
      <c r="H2384" s="13"/>
    </row>
    <row r="2385" ht="22.5" customHeight="1">
      <c r="B2385" s="17"/>
      <c r="C2385" s="17"/>
      <c r="D2385" s="13"/>
      <c r="E2385" s="11"/>
      <c r="F2385" s="11"/>
      <c r="G2385" s="13">
        <f t="shared" si="1"/>
        <v>1281</v>
      </c>
      <c r="H2385" s="13"/>
    </row>
    <row r="2386" ht="22.5" customHeight="1">
      <c r="B2386" s="17"/>
      <c r="C2386" s="17"/>
      <c r="D2386" s="13"/>
      <c r="E2386" s="11"/>
      <c r="F2386" s="11"/>
      <c r="G2386" s="13">
        <f t="shared" si="1"/>
        <v>1281</v>
      </c>
      <c r="H2386" s="13"/>
    </row>
    <row r="2387" ht="22.5" customHeight="1">
      <c r="B2387" s="17"/>
      <c r="C2387" s="17"/>
      <c r="D2387" s="13"/>
      <c r="E2387" s="11"/>
      <c r="F2387" s="11"/>
      <c r="G2387" s="13">
        <f t="shared" si="1"/>
        <v>1281</v>
      </c>
      <c r="H2387" s="13"/>
    </row>
    <row r="2388" ht="22.5" customHeight="1">
      <c r="B2388" s="17"/>
      <c r="C2388" s="17"/>
      <c r="D2388" s="13"/>
      <c r="E2388" s="11"/>
      <c r="F2388" s="11"/>
      <c r="G2388" s="13">
        <f t="shared" si="1"/>
        <v>1281</v>
      </c>
      <c r="H2388" s="13"/>
    </row>
    <row r="2389" ht="22.5" customHeight="1">
      <c r="B2389" s="17"/>
      <c r="C2389" s="17"/>
      <c r="D2389" s="13"/>
      <c r="E2389" s="11"/>
      <c r="F2389" s="11"/>
      <c r="G2389" s="13">
        <f t="shared" si="1"/>
        <v>1281</v>
      </c>
      <c r="H2389" s="13"/>
    </row>
    <row r="2390" ht="22.5" customHeight="1">
      <c r="B2390" s="17"/>
      <c r="C2390" s="17"/>
      <c r="D2390" s="13"/>
      <c r="E2390" s="11"/>
      <c r="F2390" s="11"/>
      <c r="G2390" s="13">
        <f t="shared" si="1"/>
        <v>1281</v>
      </c>
      <c r="H2390" s="13"/>
    </row>
    <row r="2391" ht="22.5" customHeight="1">
      <c r="B2391" s="17"/>
      <c r="C2391" s="17"/>
      <c r="D2391" s="13"/>
      <c r="E2391" s="11"/>
      <c r="F2391" s="11"/>
      <c r="G2391" s="13">
        <f t="shared" si="1"/>
        <v>1281</v>
      </c>
      <c r="H2391" s="13"/>
    </row>
    <row r="2392" ht="22.5" customHeight="1">
      <c r="B2392" s="17"/>
      <c r="C2392" s="17"/>
      <c r="D2392" s="13"/>
      <c r="E2392" s="11"/>
      <c r="F2392" s="11"/>
      <c r="G2392" s="13">
        <f t="shared" si="1"/>
        <v>1281</v>
      </c>
      <c r="H2392" s="13"/>
    </row>
    <row r="2393" ht="22.5" customHeight="1">
      <c r="B2393" s="17"/>
      <c r="C2393" s="17"/>
      <c r="D2393" s="13"/>
      <c r="E2393" s="11"/>
      <c r="F2393" s="11"/>
      <c r="G2393" s="13">
        <f t="shared" si="1"/>
        <v>1281</v>
      </c>
      <c r="H2393" s="13"/>
    </row>
    <row r="2394" ht="22.5" customHeight="1">
      <c r="B2394" s="17"/>
      <c r="C2394" s="17"/>
      <c r="D2394" s="13"/>
      <c r="E2394" s="11"/>
      <c r="F2394" s="11"/>
      <c r="G2394" s="13">
        <f t="shared" si="1"/>
        <v>1281</v>
      </c>
      <c r="H2394" s="13"/>
    </row>
    <row r="2395" ht="22.5" customHeight="1">
      <c r="B2395" s="17"/>
      <c r="C2395" s="17"/>
      <c r="D2395" s="13"/>
      <c r="E2395" s="11"/>
      <c r="F2395" s="11"/>
      <c r="G2395" s="13">
        <f t="shared" si="1"/>
        <v>1281</v>
      </c>
      <c r="H2395" s="13"/>
    </row>
    <row r="2396" ht="22.5" customHeight="1">
      <c r="B2396" s="17"/>
      <c r="C2396" s="17"/>
      <c r="D2396" s="13"/>
      <c r="E2396" s="11"/>
      <c r="F2396" s="11"/>
      <c r="G2396" s="13">
        <f t="shared" si="1"/>
        <v>1281</v>
      </c>
      <c r="H2396" s="13"/>
    </row>
    <row r="2397" ht="22.5" customHeight="1">
      <c r="B2397" s="17"/>
      <c r="C2397" s="17"/>
      <c r="D2397" s="13"/>
      <c r="E2397" s="11"/>
      <c r="F2397" s="11"/>
      <c r="G2397" s="13">
        <f t="shared" si="1"/>
        <v>1281</v>
      </c>
      <c r="H2397" s="13"/>
    </row>
    <row r="2398" ht="22.5" customHeight="1">
      <c r="B2398" s="17"/>
      <c r="C2398" s="17"/>
      <c r="D2398" s="13"/>
      <c r="E2398" s="11"/>
      <c r="F2398" s="11"/>
      <c r="G2398" s="13">
        <f t="shared" si="1"/>
        <v>1281</v>
      </c>
      <c r="H2398" s="13"/>
    </row>
    <row r="2399" ht="22.5" customHeight="1">
      <c r="B2399" s="17"/>
      <c r="C2399" s="17"/>
      <c r="D2399" s="13"/>
      <c r="E2399" s="11"/>
      <c r="F2399" s="11"/>
      <c r="G2399" s="13">
        <f t="shared" si="1"/>
        <v>1281</v>
      </c>
      <c r="H2399" s="13"/>
    </row>
    <row r="2400" ht="22.5" customHeight="1">
      <c r="B2400" s="17"/>
      <c r="C2400" s="17"/>
      <c r="D2400" s="13"/>
      <c r="E2400" s="11"/>
      <c r="F2400" s="11"/>
      <c r="G2400" s="13">
        <f t="shared" si="1"/>
        <v>1281</v>
      </c>
      <c r="H2400" s="13"/>
    </row>
    <row r="2401" ht="22.5" customHeight="1">
      <c r="B2401" s="17"/>
      <c r="C2401" s="17"/>
      <c r="D2401" s="13"/>
      <c r="E2401" s="11"/>
      <c r="F2401" s="11"/>
      <c r="G2401" s="13">
        <f t="shared" si="1"/>
        <v>1281</v>
      </c>
      <c r="H2401" s="13"/>
    </row>
    <row r="2402" ht="22.5" customHeight="1">
      <c r="B2402" s="17"/>
      <c r="C2402" s="17"/>
      <c r="D2402" s="13"/>
      <c r="E2402" s="11"/>
      <c r="F2402" s="11"/>
      <c r="G2402" s="13">
        <f t="shared" si="1"/>
        <v>1281</v>
      </c>
      <c r="H2402" s="13"/>
    </row>
    <row r="2403" ht="22.5" customHeight="1">
      <c r="B2403" s="17"/>
      <c r="C2403" s="17"/>
      <c r="D2403" s="13"/>
      <c r="E2403" s="11"/>
      <c r="F2403" s="11"/>
      <c r="G2403" s="13">
        <f t="shared" si="1"/>
        <v>1281</v>
      </c>
      <c r="H2403" s="13"/>
    </row>
    <row r="2404" ht="22.5" customHeight="1">
      <c r="B2404" s="17"/>
      <c r="C2404" s="17"/>
      <c r="D2404" s="13"/>
      <c r="E2404" s="11"/>
      <c r="F2404" s="11"/>
      <c r="G2404" s="13">
        <f t="shared" si="1"/>
        <v>1281</v>
      </c>
      <c r="H2404" s="13"/>
    </row>
    <row r="2405" ht="22.5" customHeight="1">
      <c r="B2405" s="17"/>
      <c r="C2405" s="17"/>
      <c r="D2405" s="13"/>
      <c r="E2405" s="11"/>
      <c r="F2405" s="11"/>
      <c r="G2405" s="13">
        <f t="shared" si="1"/>
        <v>1281</v>
      </c>
      <c r="H2405" s="13"/>
    </row>
    <row r="2406" ht="22.5" customHeight="1">
      <c r="B2406" s="17"/>
      <c r="C2406" s="17"/>
      <c r="D2406" s="13"/>
      <c r="E2406" s="11"/>
      <c r="F2406" s="11"/>
      <c r="G2406" s="13">
        <f t="shared" si="1"/>
        <v>1281</v>
      </c>
      <c r="H2406" s="13"/>
    </row>
    <row r="2407" ht="22.5" customHeight="1">
      <c r="B2407" s="17"/>
      <c r="C2407" s="17"/>
      <c r="D2407" s="13"/>
      <c r="E2407" s="11"/>
      <c r="F2407" s="11"/>
      <c r="G2407" s="13">
        <f t="shared" si="1"/>
        <v>1281</v>
      </c>
      <c r="H2407" s="13"/>
    </row>
    <row r="2408" ht="22.5" customHeight="1">
      <c r="B2408" s="17"/>
      <c r="C2408" s="17"/>
      <c r="D2408" s="13"/>
      <c r="E2408" s="11"/>
      <c r="F2408" s="11"/>
      <c r="G2408" s="13">
        <f t="shared" si="1"/>
        <v>1281</v>
      </c>
      <c r="H2408" s="13"/>
    </row>
    <row r="2409" ht="22.5" customHeight="1">
      <c r="B2409" s="17"/>
      <c r="C2409" s="17"/>
      <c r="D2409" s="13"/>
      <c r="E2409" s="11"/>
      <c r="F2409" s="11"/>
      <c r="G2409" s="13">
        <f t="shared" si="1"/>
        <v>1281</v>
      </c>
      <c r="H2409" s="13"/>
    </row>
    <row r="2410" ht="22.5" customHeight="1">
      <c r="B2410" s="17"/>
      <c r="C2410" s="17"/>
      <c r="D2410" s="13"/>
      <c r="E2410" s="11"/>
      <c r="F2410" s="11"/>
      <c r="G2410" s="13">
        <f t="shared" si="1"/>
        <v>1281</v>
      </c>
      <c r="H2410" s="13"/>
    </row>
    <row r="2411" ht="22.5" customHeight="1">
      <c r="B2411" s="17"/>
      <c r="C2411" s="17"/>
      <c r="D2411" s="13"/>
      <c r="E2411" s="11"/>
      <c r="F2411" s="11"/>
      <c r="G2411" s="13">
        <f t="shared" si="1"/>
        <v>1281</v>
      </c>
      <c r="H2411" s="13"/>
    </row>
    <row r="2412" ht="22.5" customHeight="1">
      <c r="B2412" s="17"/>
      <c r="C2412" s="17"/>
      <c r="D2412" s="13"/>
      <c r="E2412" s="11"/>
      <c r="F2412" s="11"/>
      <c r="G2412" s="13">
        <f t="shared" si="1"/>
        <v>1281</v>
      </c>
      <c r="H2412" s="13"/>
    </row>
    <row r="2413" ht="22.5" customHeight="1">
      <c r="B2413" s="17"/>
      <c r="C2413" s="17"/>
      <c r="D2413" s="13"/>
      <c r="E2413" s="11"/>
      <c r="F2413" s="11"/>
      <c r="G2413" s="13">
        <f t="shared" si="1"/>
        <v>1281</v>
      </c>
      <c r="H2413" s="13"/>
    </row>
    <row r="2414" ht="22.5" customHeight="1">
      <c r="B2414" s="17"/>
      <c r="C2414" s="17"/>
      <c r="D2414" s="13"/>
      <c r="E2414" s="11"/>
      <c r="F2414" s="11"/>
      <c r="G2414" s="13">
        <f t="shared" si="1"/>
        <v>1281</v>
      </c>
      <c r="H2414" s="13"/>
    </row>
    <row r="2415" ht="22.5" customHeight="1">
      <c r="B2415" s="17"/>
      <c r="C2415" s="17"/>
      <c r="D2415" s="13"/>
      <c r="E2415" s="11"/>
      <c r="F2415" s="11"/>
      <c r="G2415" s="13">
        <f t="shared" si="1"/>
        <v>1281</v>
      </c>
      <c r="H2415" s="13"/>
    </row>
    <row r="2416" ht="22.5" customHeight="1">
      <c r="B2416" s="17"/>
      <c r="C2416" s="17"/>
      <c r="D2416" s="13"/>
      <c r="E2416" s="11"/>
      <c r="F2416" s="11"/>
      <c r="G2416" s="13">
        <f t="shared" si="1"/>
        <v>1281</v>
      </c>
      <c r="H2416" s="13"/>
    </row>
    <row r="2417" ht="22.5" customHeight="1">
      <c r="B2417" s="17"/>
      <c r="C2417" s="17"/>
      <c r="D2417" s="13"/>
      <c r="E2417" s="11"/>
      <c r="F2417" s="11"/>
      <c r="G2417" s="13">
        <f t="shared" si="1"/>
        <v>1281</v>
      </c>
      <c r="H2417" s="13"/>
    </row>
    <row r="2418" ht="22.5" customHeight="1">
      <c r="B2418" s="17"/>
      <c r="C2418" s="17"/>
      <c r="D2418" s="13"/>
      <c r="E2418" s="11"/>
      <c r="F2418" s="11"/>
      <c r="G2418" s="13">
        <f t="shared" si="1"/>
        <v>1281</v>
      </c>
      <c r="H2418" s="13"/>
    </row>
    <row r="2419" ht="22.5" customHeight="1">
      <c r="B2419" s="17"/>
      <c r="C2419" s="17"/>
      <c r="D2419" s="13"/>
      <c r="E2419" s="11"/>
      <c r="F2419" s="11"/>
      <c r="G2419" s="13">
        <f t="shared" si="1"/>
        <v>1281</v>
      </c>
      <c r="H2419" s="13"/>
    </row>
    <row r="2420" ht="22.5" customHeight="1">
      <c r="B2420" s="17"/>
      <c r="C2420" s="17"/>
      <c r="D2420" s="13"/>
      <c r="E2420" s="11"/>
      <c r="F2420" s="11"/>
      <c r="G2420" s="13">
        <f t="shared" si="1"/>
        <v>1281</v>
      </c>
      <c r="H2420" s="13"/>
    </row>
    <row r="2421" ht="22.5" customHeight="1">
      <c r="B2421" s="17"/>
      <c r="C2421" s="17"/>
      <c r="D2421" s="13"/>
      <c r="E2421" s="11"/>
      <c r="F2421" s="11"/>
      <c r="G2421" s="13">
        <f t="shared" si="1"/>
        <v>1281</v>
      </c>
      <c r="H2421" s="13"/>
    </row>
    <row r="2422" ht="22.5" customHeight="1">
      <c r="B2422" s="17"/>
      <c r="C2422" s="17"/>
      <c r="D2422" s="13"/>
      <c r="E2422" s="11"/>
      <c r="F2422" s="11"/>
      <c r="G2422" s="13">
        <f t="shared" si="1"/>
        <v>1281</v>
      </c>
      <c r="H2422" s="13"/>
    </row>
    <row r="2423" ht="22.5" customHeight="1">
      <c r="B2423" s="17"/>
      <c r="C2423" s="17"/>
      <c r="D2423" s="13"/>
      <c r="E2423" s="11"/>
      <c r="F2423" s="11"/>
      <c r="G2423" s="13">
        <f t="shared" si="1"/>
        <v>1281</v>
      </c>
      <c r="H2423" s="13"/>
    </row>
    <row r="2424" ht="22.5" customHeight="1">
      <c r="B2424" s="17"/>
      <c r="C2424" s="17"/>
      <c r="D2424" s="13"/>
      <c r="E2424" s="11"/>
      <c r="F2424" s="11"/>
      <c r="G2424" s="13">
        <f t="shared" si="1"/>
        <v>1281</v>
      </c>
      <c r="H2424" s="13"/>
    </row>
    <row r="2425" ht="22.5" customHeight="1">
      <c r="B2425" s="17"/>
      <c r="C2425" s="17"/>
      <c r="D2425" s="13"/>
      <c r="E2425" s="11"/>
      <c r="F2425" s="11"/>
      <c r="G2425" s="13">
        <f t="shared" si="1"/>
        <v>1281</v>
      </c>
      <c r="H2425" s="13"/>
    </row>
    <row r="2426" ht="22.5" customHeight="1">
      <c r="B2426" s="17"/>
      <c r="C2426" s="17"/>
      <c r="D2426" s="13"/>
      <c r="E2426" s="11"/>
      <c r="F2426" s="11"/>
      <c r="G2426" s="13">
        <f t="shared" si="1"/>
        <v>1281</v>
      </c>
      <c r="H2426" s="13"/>
    </row>
    <row r="2427" ht="22.5" customHeight="1">
      <c r="B2427" s="17"/>
      <c r="C2427" s="17"/>
      <c r="D2427" s="13"/>
      <c r="E2427" s="11"/>
      <c r="F2427" s="11"/>
      <c r="G2427" s="13">
        <f t="shared" si="1"/>
        <v>1281</v>
      </c>
      <c r="H2427" s="13"/>
    </row>
    <row r="2428" ht="22.5" customHeight="1">
      <c r="B2428" s="17"/>
      <c r="C2428" s="17"/>
      <c r="D2428" s="13"/>
      <c r="E2428" s="11"/>
      <c r="F2428" s="11"/>
      <c r="G2428" s="13">
        <f t="shared" si="1"/>
        <v>1281</v>
      </c>
      <c r="H2428" s="13"/>
    </row>
    <row r="2429" ht="22.5" customHeight="1">
      <c r="B2429" s="17"/>
      <c r="C2429" s="17"/>
      <c r="D2429" s="13"/>
      <c r="E2429" s="11"/>
      <c r="F2429" s="11"/>
      <c r="G2429" s="13">
        <f t="shared" si="1"/>
        <v>1281</v>
      </c>
      <c r="H2429" s="13"/>
    </row>
    <row r="2430" ht="22.5" customHeight="1">
      <c r="B2430" s="17"/>
      <c r="C2430" s="17"/>
      <c r="D2430" s="13"/>
      <c r="E2430" s="11"/>
      <c r="F2430" s="11"/>
      <c r="G2430" s="13">
        <f t="shared" si="1"/>
        <v>1281</v>
      </c>
      <c r="H2430" s="13"/>
    </row>
    <row r="2431" ht="22.5" customHeight="1">
      <c r="B2431" s="17"/>
      <c r="C2431" s="17"/>
      <c r="D2431" s="13"/>
      <c r="E2431" s="11"/>
      <c r="F2431" s="11"/>
      <c r="G2431" s="13">
        <f t="shared" si="1"/>
        <v>1281</v>
      </c>
      <c r="H2431" s="13"/>
    </row>
    <row r="2432" ht="22.5" customHeight="1">
      <c r="B2432" s="17"/>
      <c r="C2432" s="17"/>
      <c r="D2432" s="13"/>
      <c r="E2432" s="11"/>
      <c r="F2432" s="11"/>
      <c r="G2432" s="13">
        <f t="shared" si="1"/>
        <v>1281</v>
      </c>
      <c r="H2432" s="13"/>
    </row>
    <row r="2433" ht="22.5" customHeight="1">
      <c r="B2433" s="17"/>
      <c r="C2433" s="17"/>
      <c r="D2433" s="13"/>
      <c r="E2433" s="11"/>
      <c r="F2433" s="11"/>
      <c r="G2433" s="13">
        <f t="shared" si="1"/>
        <v>1281</v>
      </c>
      <c r="H2433" s="13"/>
    </row>
    <row r="2434" ht="22.5" customHeight="1">
      <c r="B2434" s="17"/>
      <c r="C2434" s="17"/>
      <c r="D2434" s="13"/>
      <c r="E2434" s="11"/>
      <c r="F2434" s="11"/>
      <c r="G2434" s="13">
        <f t="shared" si="1"/>
        <v>1281</v>
      </c>
      <c r="H2434" s="13"/>
    </row>
    <row r="2435" ht="22.5" customHeight="1">
      <c r="B2435" s="17"/>
      <c r="C2435" s="17"/>
      <c r="D2435" s="13"/>
      <c r="E2435" s="11"/>
      <c r="F2435" s="11"/>
      <c r="G2435" s="13">
        <f t="shared" si="1"/>
        <v>1281</v>
      </c>
      <c r="H2435" s="13"/>
    </row>
    <row r="2436" ht="22.5" customHeight="1">
      <c r="B2436" s="17"/>
      <c r="C2436" s="17"/>
      <c r="D2436" s="13"/>
      <c r="E2436" s="11"/>
      <c r="F2436" s="11"/>
      <c r="G2436" s="13">
        <f t="shared" si="1"/>
        <v>1281</v>
      </c>
      <c r="H2436" s="13"/>
    </row>
    <row r="2437" ht="22.5" customHeight="1">
      <c r="B2437" s="17"/>
      <c r="C2437" s="17"/>
      <c r="D2437" s="13"/>
      <c r="E2437" s="11"/>
      <c r="F2437" s="11"/>
      <c r="G2437" s="13">
        <f t="shared" si="1"/>
        <v>1281</v>
      </c>
      <c r="H2437" s="13"/>
    </row>
    <row r="2438" ht="22.5" customHeight="1">
      <c r="B2438" s="17"/>
      <c r="C2438" s="17"/>
      <c r="D2438" s="13"/>
      <c r="E2438" s="11"/>
      <c r="F2438" s="11"/>
      <c r="G2438" s="13">
        <f t="shared" si="1"/>
        <v>1281</v>
      </c>
      <c r="H2438" s="13"/>
    </row>
    <row r="2439" ht="22.5" customHeight="1">
      <c r="B2439" s="17"/>
      <c r="C2439" s="17"/>
      <c r="D2439" s="13"/>
      <c r="E2439" s="11"/>
      <c r="F2439" s="11"/>
      <c r="G2439" s="13">
        <f t="shared" si="1"/>
        <v>1281</v>
      </c>
      <c r="H2439" s="13"/>
    </row>
    <row r="2440" ht="22.5" customHeight="1">
      <c r="B2440" s="17"/>
      <c r="C2440" s="17"/>
      <c r="D2440" s="13"/>
      <c r="E2440" s="11"/>
      <c r="F2440" s="11"/>
      <c r="G2440" s="13">
        <f t="shared" si="1"/>
        <v>1281</v>
      </c>
      <c r="H2440" s="13"/>
    </row>
    <row r="2441" ht="22.5" customHeight="1">
      <c r="B2441" s="17"/>
      <c r="C2441" s="17"/>
      <c r="D2441" s="13"/>
      <c r="E2441" s="11"/>
      <c r="F2441" s="11"/>
      <c r="G2441" s="13">
        <f t="shared" si="1"/>
        <v>1281</v>
      </c>
      <c r="H2441" s="13"/>
    </row>
    <row r="2442" ht="22.5" customHeight="1">
      <c r="B2442" s="17"/>
      <c r="C2442" s="17"/>
      <c r="D2442" s="13"/>
      <c r="E2442" s="11"/>
      <c r="F2442" s="11"/>
      <c r="G2442" s="13">
        <f t="shared" si="1"/>
        <v>1281</v>
      </c>
      <c r="H2442" s="13"/>
    </row>
    <row r="2443" ht="22.5" customHeight="1">
      <c r="B2443" s="17"/>
      <c r="C2443" s="17"/>
      <c r="D2443" s="13"/>
      <c r="E2443" s="11"/>
      <c r="F2443" s="11"/>
      <c r="G2443" s="13">
        <f t="shared" si="1"/>
        <v>1281</v>
      </c>
      <c r="H2443" s="13"/>
    </row>
    <row r="2444" ht="22.5" customHeight="1">
      <c r="B2444" s="17"/>
      <c r="C2444" s="17"/>
      <c r="D2444" s="13"/>
      <c r="E2444" s="11"/>
      <c r="F2444" s="11"/>
      <c r="G2444" s="13">
        <f t="shared" si="1"/>
        <v>1281</v>
      </c>
      <c r="H2444" s="13"/>
    </row>
    <row r="2445" ht="22.5" customHeight="1">
      <c r="B2445" s="17"/>
      <c r="C2445" s="17"/>
      <c r="D2445" s="13"/>
      <c r="E2445" s="11"/>
      <c r="F2445" s="11"/>
      <c r="G2445" s="13">
        <f t="shared" si="1"/>
        <v>1281</v>
      </c>
      <c r="H2445" s="13"/>
    </row>
    <row r="2446" ht="22.5" customHeight="1">
      <c r="B2446" s="17"/>
      <c r="C2446" s="17"/>
      <c r="D2446" s="13"/>
      <c r="E2446" s="11"/>
      <c r="F2446" s="11"/>
      <c r="G2446" s="13">
        <f t="shared" si="1"/>
        <v>1281</v>
      </c>
      <c r="H2446" s="13"/>
    </row>
    <row r="2447" ht="22.5" customHeight="1">
      <c r="B2447" s="17"/>
      <c r="C2447" s="17"/>
      <c r="D2447" s="13"/>
      <c r="E2447" s="11"/>
      <c r="F2447" s="11"/>
      <c r="G2447" s="13">
        <f t="shared" si="1"/>
        <v>1281</v>
      </c>
      <c r="H2447" s="13"/>
    </row>
    <row r="2448" ht="22.5" customHeight="1">
      <c r="B2448" s="17"/>
      <c r="C2448" s="17"/>
      <c r="D2448" s="13"/>
      <c r="E2448" s="11"/>
      <c r="F2448" s="11"/>
      <c r="G2448" s="13">
        <f t="shared" si="1"/>
        <v>1281</v>
      </c>
      <c r="H2448" s="13"/>
    </row>
    <row r="2449" ht="22.5" customHeight="1">
      <c r="B2449" s="17"/>
      <c r="C2449" s="17"/>
      <c r="D2449" s="13"/>
      <c r="E2449" s="11"/>
      <c r="F2449" s="11"/>
      <c r="G2449" s="13">
        <f t="shared" si="1"/>
        <v>1281</v>
      </c>
      <c r="H2449" s="13"/>
    </row>
    <row r="2450" ht="22.5" customHeight="1">
      <c r="B2450" s="17"/>
      <c r="C2450" s="17"/>
      <c r="D2450" s="13"/>
      <c r="E2450" s="11"/>
      <c r="F2450" s="11"/>
      <c r="G2450" s="13">
        <f t="shared" si="1"/>
        <v>1281</v>
      </c>
      <c r="H2450" s="13"/>
    </row>
    <row r="2451" ht="22.5" customHeight="1">
      <c r="B2451" s="17"/>
      <c r="C2451" s="17"/>
      <c r="D2451" s="13"/>
      <c r="E2451" s="11"/>
      <c r="F2451" s="11"/>
      <c r="G2451" s="13">
        <f t="shared" si="1"/>
        <v>1281</v>
      </c>
      <c r="H2451" s="13"/>
    </row>
    <row r="2452" ht="22.5" customHeight="1">
      <c r="B2452" s="17"/>
      <c r="C2452" s="17"/>
      <c r="D2452" s="13"/>
      <c r="E2452" s="11"/>
      <c r="F2452" s="11"/>
      <c r="G2452" s="13">
        <f t="shared" si="1"/>
        <v>1281</v>
      </c>
      <c r="H2452" s="13"/>
    </row>
    <row r="2453" ht="22.5" customHeight="1">
      <c r="B2453" s="17"/>
      <c r="C2453" s="17"/>
      <c r="D2453" s="13"/>
      <c r="E2453" s="11"/>
      <c r="F2453" s="11"/>
      <c r="G2453" s="13">
        <f t="shared" si="1"/>
        <v>1281</v>
      </c>
      <c r="H2453" s="13"/>
    </row>
    <row r="2454" ht="22.5" customHeight="1">
      <c r="B2454" s="17"/>
      <c r="C2454" s="17"/>
      <c r="D2454" s="13"/>
      <c r="E2454" s="11"/>
      <c r="F2454" s="11"/>
      <c r="G2454" s="13">
        <f t="shared" si="1"/>
        <v>1281</v>
      </c>
      <c r="H2454" s="13"/>
    </row>
    <row r="2455" ht="22.5" customHeight="1">
      <c r="B2455" s="17"/>
      <c r="C2455" s="17"/>
      <c r="D2455" s="13"/>
      <c r="E2455" s="11"/>
      <c r="F2455" s="11"/>
      <c r="G2455" s="13">
        <f t="shared" si="1"/>
        <v>1281</v>
      </c>
      <c r="H2455" s="13"/>
    </row>
    <row r="2456" ht="22.5" customHeight="1">
      <c r="B2456" s="17"/>
      <c r="C2456" s="17"/>
      <c r="D2456" s="13"/>
      <c r="E2456" s="11"/>
      <c r="F2456" s="11"/>
      <c r="G2456" s="13">
        <f t="shared" si="1"/>
        <v>1281</v>
      </c>
      <c r="H2456" s="13"/>
    </row>
    <row r="2457" ht="22.5" customHeight="1">
      <c r="B2457" s="17"/>
      <c r="C2457" s="17"/>
      <c r="D2457" s="13"/>
      <c r="E2457" s="11"/>
      <c r="F2457" s="11"/>
      <c r="G2457" s="13">
        <f t="shared" si="1"/>
        <v>1281</v>
      </c>
      <c r="H2457" s="13"/>
    </row>
    <row r="2458" ht="22.5" customHeight="1">
      <c r="B2458" s="17"/>
      <c r="C2458" s="17"/>
      <c r="D2458" s="13"/>
      <c r="E2458" s="11"/>
      <c r="F2458" s="11"/>
      <c r="G2458" s="13">
        <f t="shared" si="1"/>
        <v>1281</v>
      </c>
      <c r="H2458" s="13"/>
    </row>
    <row r="2459" ht="22.5" customHeight="1">
      <c r="B2459" s="17"/>
      <c r="C2459" s="17"/>
      <c r="D2459" s="13"/>
      <c r="E2459" s="11"/>
      <c r="F2459" s="11"/>
      <c r="G2459" s="13">
        <f t="shared" si="1"/>
        <v>1281</v>
      </c>
      <c r="H2459" s="13"/>
    </row>
    <row r="2460" ht="22.5" customHeight="1">
      <c r="B2460" s="17"/>
      <c r="C2460" s="17"/>
      <c r="D2460" s="13"/>
      <c r="E2460" s="11"/>
      <c r="F2460" s="11"/>
      <c r="G2460" s="13">
        <f t="shared" si="1"/>
        <v>1281</v>
      </c>
      <c r="H2460" s="13"/>
    </row>
    <row r="2461" ht="22.5" customHeight="1">
      <c r="B2461" s="17"/>
      <c r="C2461" s="17"/>
      <c r="D2461" s="13"/>
      <c r="E2461" s="11"/>
      <c r="F2461" s="11"/>
      <c r="G2461" s="13">
        <f t="shared" si="1"/>
        <v>1281</v>
      </c>
      <c r="H2461" s="13"/>
    </row>
    <row r="2462" ht="22.5" customHeight="1">
      <c r="B2462" s="17"/>
      <c r="C2462" s="17"/>
      <c r="D2462" s="13"/>
      <c r="E2462" s="11"/>
      <c r="F2462" s="11"/>
      <c r="G2462" s="13">
        <f t="shared" si="1"/>
        <v>1281</v>
      </c>
      <c r="H2462" s="13"/>
    </row>
    <row r="2463" ht="22.5" customHeight="1">
      <c r="B2463" s="17"/>
      <c r="C2463" s="17"/>
      <c r="D2463" s="13"/>
      <c r="E2463" s="11"/>
      <c r="F2463" s="11"/>
      <c r="G2463" s="13">
        <f t="shared" si="1"/>
        <v>1281</v>
      </c>
      <c r="H2463" s="13"/>
    </row>
    <row r="2464" ht="22.5" customHeight="1">
      <c r="B2464" s="17"/>
      <c r="C2464" s="17"/>
      <c r="D2464" s="13"/>
      <c r="E2464" s="11"/>
      <c r="F2464" s="11"/>
      <c r="G2464" s="13">
        <f t="shared" si="1"/>
        <v>1281</v>
      </c>
      <c r="H2464" s="13"/>
    </row>
    <row r="2465" ht="22.5" customHeight="1">
      <c r="B2465" s="17"/>
      <c r="C2465" s="17"/>
      <c r="D2465" s="13"/>
      <c r="E2465" s="11"/>
      <c r="F2465" s="11"/>
      <c r="G2465" s="13">
        <f t="shared" si="1"/>
        <v>1281</v>
      </c>
      <c r="H2465" s="13"/>
    </row>
    <row r="2466" ht="22.5" customHeight="1">
      <c r="B2466" s="17"/>
      <c r="C2466" s="17"/>
      <c r="D2466" s="13"/>
      <c r="E2466" s="11"/>
      <c r="F2466" s="11"/>
      <c r="G2466" s="13">
        <f t="shared" si="1"/>
        <v>1281</v>
      </c>
      <c r="H2466" s="13"/>
    </row>
    <row r="2467" ht="22.5" customHeight="1">
      <c r="B2467" s="17"/>
      <c r="C2467" s="17"/>
      <c r="D2467" s="13"/>
      <c r="E2467" s="11"/>
      <c r="F2467" s="11"/>
      <c r="G2467" s="13">
        <f t="shared" si="1"/>
        <v>1281</v>
      </c>
      <c r="H2467" s="13"/>
    </row>
    <row r="2468" ht="22.5" customHeight="1">
      <c r="B2468" s="17"/>
      <c r="C2468" s="17"/>
      <c r="D2468" s="13"/>
      <c r="E2468" s="11"/>
      <c r="F2468" s="11"/>
      <c r="G2468" s="13">
        <f t="shared" si="1"/>
        <v>1281</v>
      </c>
      <c r="H2468" s="13"/>
    </row>
    <row r="2469" ht="22.5" customHeight="1">
      <c r="B2469" s="17"/>
      <c r="C2469" s="17"/>
      <c r="D2469" s="13"/>
      <c r="E2469" s="11"/>
      <c r="F2469" s="11"/>
      <c r="G2469" s="13">
        <f t="shared" si="1"/>
        <v>1281</v>
      </c>
      <c r="H2469" s="13"/>
    </row>
    <row r="2470" ht="22.5" customHeight="1">
      <c r="B2470" s="17"/>
      <c r="C2470" s="17"/>
      <c r="D2470" s="13"/>
      <c r="E2470" s="11"/>
      <c r="F2470" s="11"/>
      <c r="G2470" s="13">
        <f t="shared" si="1"/>
        <v>1281</v>
      </c>
      <c r="H2470" s="13"/>
    </row>
    <row r="2471" ht="22.5" customHeight="1">
      <c r="B2471" s="17"/>
      <c r="C2471" s="17"/>
      <c r="D2471" s="13"/>
      <c r="E2471" s="11"/>
      <c r="F2471" s="11"/>
      <c r="G2471" s="13">
        <f t="shared" si="1"/>
        <v>1281</v>
      </c>
      <c r="H2471" s="13"/>
    </row>
    <row r="2472" ht="22.5" customHeight="1">
      <c r="B2472" s="17"/>
      <c r="C2472" s="17"/>
      <c r="D2472" s="13"/>
      <c r="E2472" s="11"/>
      <c r="F2472" s="11"/>
      <c r="G2472" s="13">
        <f t="shared" si="1"/>
        <v>1281</v>
      </c>
      <c r="H2472" s="13"/>
    </row>
    <row r="2473" ht="22.5" customHeight="1">
      <c r="B2473" s="17"/>
      <c r="C2473" s="17"/>
      <c r="D2473" s="13"/>
      <c r="E2473" s="11"/>
      <c r="F2473" s="11"/>
      <c r="G2473" s="13">
        <f t="shared" si="1"/>
        <v>1281</v>
      </c>
      <c r="H2473" s="13"/>
    </row>
    <row r="2474" ht="22.5" customHeight="1">
      <c r="B2474" s="17"/>
      <c r="C2474" s="17"/>
      <c r="D2474" s="13"/>
      <c r="E2474" s="11"/>
      <c r="F2474" s="11"/>
      <c r="G2474" s="13">
        <f t="shared" si="1"/>
        <v>1281</v>
      </c>
      <c r="H2474" s="13"/>
    </row>
    <row r="2475" ht="22.5" customHeight="1">
      <c r="B2475" s="17"/>
      <c r="C2475" s="17"/>
      <c r="D2475" s="13"/>
      <c r="E2475" s="11"/>
      <c r="F2475" s="11"/>
      <c r="G2475" s="13">
        <f t="shared" si="1"/>
        <v>1281</v>
      </c>
      <c r="H2475" s="13"/>
    </row>
    <row r="2476" ht="22.5" customHeight="1">
      <c r="B2476" s="17"/>
      <c r="C2476" s="17"/>
      <c r="D2476" s="13"/>
      <c r="E2476" s="11"/>
      <c r="F2476" s="11"/>
      <c r="G2476" s="13">
        <f t="shared" si="1"/>
        <v>1281</v>
      </c>
      <c r="H2476" s="13"/>
    </row>
    <row r="2477" ht="22.5" customHeight="1">
      <c r="B2477" s="17"/>
      <c r="C2477" s="17"/>
      <c r="D2477" s="13"/>
      <c r="E2477" s="11"/>
      <c r="F2477" s="11"/>
      <c r="G2477" s="13">
        <f t="shared" si="1"/>
        <v>1281</v>
      </c>
      <c r="H2477" s="13"/>
    </row>
    <row r="2478" ht="22.5" customHeight="1">
      <c r="B2478" s="17"/>
      <c r="C2478" s="17"/>
      <c r="D2478" s="13"/>
      <c r="E2478" s="11"/>
      <c r="F2478" s="11"/>
      <c r="G2478" s="13">
        <f t="shared" si="1"/>
        <v>1281</v>
      </c>
      <c r="H2478" s="13"/>
    </row>
    <row r="2479" ht="22.5" customHeight="1">
      <c r="B2479" s="17"/>
      <c r="C2479" s="17"/>
      <c r="D2479" s="13"/>
      <c r="E2479" s="11"/>
      <c r="F2479" s="11"/>
      <c r="G2479" s="13">
        <f t="shared" si="1"/>
        <v>1281</v>
      </c>
      <c r="H2479" s="13"/>
    </row>
    <row r="2480" ht="22.5" customHeight="1">
      <c r="B2480" s="17"/>
      <c r="C2480" s="17"/>
      <c r="D2480" s="13"/>
      <c r="E2480" s="11"/>
      <c r="F2480" s="11"/>
      <c r="G2480" s="13">
        <f t="shared" si="1"/>
        <v>1281</v>
      </c>
      <c r="H2480" s="13"/>
    </row>
    <row r="2481" ht="22.5" customHeight="1">
      <c r="B2481" s="17"/>
      <c r="C2481" s="17"/>
      <c r="D2481" s="13"/>
      <c r="E2481" s="11"/>
      <c r="F2481" s="11"/>
      <c r="G2481" s="13">
        <f t="shared" si="1"/>
        <v>1281</v>
      </c>
      <c r="H2481" s="13"/>
    </row>
    <row r="2482" ht="22.5" customHeight="1">
      <c r="B2482" s="17"/>
      <c r="C2482" s="17"/>
      <c r="D2482" s="13"/>
      <c r="E2482" s="11"/>
      <c r="F2482" s="11"/>
      <c r="G2482" s="13">
        <f t="shared" si="1"/>
        <v>1281</v>
      </c>
      <c r="H2482" s="13"/>
    </row>
    <row r="2483" ht="22.5" customHeight="1">
      <c r="B2483" s="17"/>
      <c r="C2483" s="17"/>
      <c r="D2483" s="13"/>
      <c r="E2483" s="11"/>
      <c r="F2483" s="11"/>
      <c r="G2483" s="13">
        <f t="shared" si="1"/>
        <v>1281</v>
      </c>
      <c r="H2483" s="13"/>
    </row>
    <row r="2484" ht="22.5" customHeight="1">
      <c r="B2484" s="17"/>
      <c r="C2484" s="17"/>
      <c r="D2484" s="13"/>
      <c r="E2484" s="11"/>
      <c r="F2484" s="11"/>
      <c r="G2484" s="13">
        <f t="shared" si="1"/>
        <v>1281</v>
      </c>
      <c r="H2484" s="13"/>
    </row>
    <row r="2485" ht="22.5" customHeight="1">
      <c r="B2485" s="17"/>
      <c r="C2485" s="17"/>
      <c r="D2485" s="13"/>
      <c r="E2485" s="11"/>
      <c r="F2485" s="11"/>
      <c r="G2485" s="13">
        <f t="shared" si="1"/>
        <v>1281</v>
      </c>
      <c r="H2485" s="13"/>
    </row>
    <row r="2486" ht="22.5" customHeight="1">
      <c r="B2486" s="17"/>
      <c r="C2486" s="17"/>
      <c r="D2486" s="13"/>
      <c r="E2486" s="11"/>
      <c r="F2486" s="11"/>
      <c r="G2486" s="13">
        <f t="shared" si="1"/>
        <v>1281</v>
      </c>
      <c r="H2486" s="13"/>
    </row>
    <row r="2487" ht="22.5" customHeight="1">
      <c r="B2487" s="17"/>
      <c r="C2487" s="17"/>
      <c r="D2487" s="13"/>
      <c r="E2487" s="11"/>
      <c r="F2487" s="11"/>
      <c r="G2487" s="13">
        <f t="shared" si="1"/>
        <v>1281</v>
      </c>
      <c r="H2487" s="13"/>
    </row>
    <row r="2488" ht="22.5" customHeight="1">
      <c r="B2488" s="17"/>
      <c r="C2488" s="17"/>
      <c r="D2488" s="13"/>
      <c r="E2488" s="11"/>
      <c r="F2488" s="11"/>
      <c r="G2488" s="13">
        <f t="shared" si="1"/>
        <v>1281</v>
      </c>
      <c r="H2488" s="13"/>
    </row>
    <row r="2489" ht="22.5" customHeight="1">
      <c r="B2489" s="17"/>
      <c r="C2489" s="17"/>
      <c r="D2489" s="13"/>
      <c r="E2489" s="11"/>
      <c r="F2489" s="11"/>
      <c r="G2489" s="13">
        <f t="shared" si="1"/>
        <v>1281</v>
      </c>
      <c r="H2489" s="13"/>
    </row>
    <row r="2490" ht="22.5" customHeight="1">
      <c r="B2490" s="17"/>
      <c r="C2490" s="17"/>
      <c r="D2490" s="13"/>
      <c r="E2490" s="11"/>
      <c r="F2490" s="11"/>
      <c r="G2490" s="13">
        <f t="shared" si="1"/>
        <v>1281</v>
      </c>
      <c r="H2490" s="13"/>
    </row>
    <row r="2491" ht="22.5" customHeight="1">
      <c r="B2491" s="17"/>
      <c r="C2491" s="17"/>
      <c r="D2491" s="13"/>
      <c r="E2491" s="11"/>
      <c r="F2491" s="11"/>
      <c r="G2491" s="13">
        <f t="shared" si="1"/>
        <v>1281</v>
      </c>
      <c r="H2491" s="13"/>
    </row>
    <row r="2492" ht="22.5" customHeight="1">
      <c r="B2492" s="17"/>
      <c r="C2492" s="17"/>
      <c r="D2492" s="13"/>
      <c r="E2492" s="11"/>
      <c r="F2492" s="11"/>
      <c r="G2492" s="13">
        <f t="shared" si="1"/>
        <v>1281</v>
      </c>
      <c r="H2492" s="13"/>
    </row>
    <row r="2493" ht="22.5" customHeight="1">
      <c r="B2493" s="17"/>
      <c r="C2493" s="17"/>
      <c r="D2493" s="13"/>
      <c r="E2493" s="11"/>
      <c r="F2493" s="11"/>
      <c r="G2493" s="13">
        <f t="shared" si="1"/>
        <v>1281</v>
      </c>
      <c r="H2493" s="13"/>
    </row>
    <row r="2494" ht="22.5" customHeight="1">
      <c r="B2494" s="17"/>
      <c r="C2494" s="17"/>
      <c r="D2494" s="13"/>
      <c r="E2494" s="11"/>
      <c r="F2494" s="11"/>
      <c r="G2494" s="13">
        <f t="shared" si="1"/>
        <v>1281</v>
      </c>
      <c r="H2494" s="13"/>
    </row>
    <row r="2495" ht="22.5" customHeight="1">
      <c r="B2495" s="17"/>
      <c r="C2495" s="17"/>
      <c r="D2495" s="13"/>
      <c r="E2495" s="11"/>
      <c r="F2495" s="11"/>
      <c r="G2495" s="13">
        <f t="shared" si="1"/>
        <v>1281</v>
      </c>
      <c r="H2495" s="13"/>
    </row>
    <row r="2496" ht="22.5" customHeight="1">
      <c r="B2496" s="17"/>
      <c r="C2496" s="17"/>
      <c r="D2496" s="13"/>
      <c r="E2496" s="11"/>
      <c r="F2496" s="11"/>
      <c r="G2496" s="13">
        <f t="shared" si="1"/>
        <v>1281</v>
      </c>
      <c r="H2496" s="13"/>
    </row>
    <row r="2497" ht="22.5" customHeight="1">
      <c r="B2497" s="17"/>
      <c r="C2497" s="17"/>
      <c r="D2497" s="13"/>
      <c r="E2497" s="11"/>
      <c r="F2497" s="11"/>
      <c r="G2497" s="13">
        <f t="shared" si="1"/>
        <v>1281</v>
      </c>
      <c r="H2497" s="13"/>
    </row>
    <row r="2498" ht="22.5" customHeight="1">
      <c r="B2498" s="17"/>
      <c r="C2498" s="17"/>
      <c r="D2498" s="13"/>
      <c r="E2498" s="11"/>
      <c r="F2498" s="11"/>
      <c r="G2498" s="13">
        <f t="shared" si="1"/>
        <v>1281</v>
      </c>
      <c r="H2498" s="13"/>
    </row>
    <row r="2499" ht="22.5" customHeight="1">
      <c r="B2499" s="17"/>
      <c r="C2499" s="17"/>
      <c r="D2499" s="13"/>
      <c r="E2499" s="11"/>
      <c r="F2499" s="11"/>
      <c r="G2499" s="13">
        <f t="shared" si="1"/>
        <v>1281</v>
      </c>
      <c r="H2499" s="13"/>
    </row>
    <row r="2500" ht="22.5" customHeight="1">
      <c r="B2500" s="17"/>
      <c r="C2500" s="17"/>
      <c r="D2500" s="13"/>
      <c r="E2500" s="11"/>
      <c r="F2500" s="11"/>
      <c r="G2500" s="13">
        <f t="shared" si="1"/>
        <v>1281</v>
      </c>
      <c r="H2500" s="13"/>
    </row>
    <row r="2501" ht="22.5" customHeight="1">
      <c r="B2501" s="17"/>
      <c r="C2501" s="17"/>
      <c r="D2501" s="13"/>
      <c r="E2501" s="11"/>
      <c r="F2501" s="11"/>
      <c r="G2501" s="13">
        <f t="shared" si="1"/>
        <v>1281</v>
      </c>
      <c r="H2501" s="13"/>
    </row>
    <row r="2502" ht="22.5" customHeight="1">
      <c r="B2502" s="17"/>
      <c r="C2502" s="17"/>
      <c r="D2502" s="13"/>
      <c r="E2502" s="11"/>
      <c r="F2502" s="11"/>
      <c r="G2502" s="13">
        <f t="shared" si="1"/>
        <v>1281</v>
      </c>
      <c r="H2502" s="13"/>
    </row>
    <row r="2503" ht="22.5" customHeight="1">
      <c r="B2503" s="17"/>
      <c r="C2503" s="17"/>
      <c r="D2503" s="13"/>
      <c r="E2503" s="11"/>
      <c r="F2503" s="11"/>
      <c r="G2503" s="13">
        <f t="shared" si="1"/>
        <v>1281</v>
      </c>
      <c r="H2503" s="13"/>
    </row>
    <row r="2504" ht="22.5" customHeight="1">
      <c r="B2504" s="17"/>
      <c r="C2504" s="17"/>
      <c r="D2504" s="13"/>
      <c r="E2504" s="11"/>
      <c r="F2504" s="11"/>
      <c r="G2504" s="13">
        <f t="shared" si="1"/>
        <v>1281</v>
      </c>
      <c r="H2504" s="13"/>
    </row>
    <row r="2505" ht="22.5" customHeight="1">
      <c r="B2505" s="17"/>
      <c r="C2505" s="17"/>
      <c r="D2505" s="13"/>
      <c r="E2505" s="11"/>
      <c r="F2505" s="11"/>
      <c r="G2505" s="13">
        <f t="shared" si="1"/>
        <v>1281</v>
      </c>
      <c r="H2505" s="13"/>
    </row>
    <row r="2506" ht="22.5" customHeight="1">
      <c r="B2506" s="17"/>
      <c r="C2506" s="17"/>
      <c r="D2506" s="13"/>
      <c r="E2506" s="11"/>
      <c r="F2506" s="11"/>
      <c r="G2506" s="13">
        <f t="shared" si="1"/>
        <v>1281</v>
      </c>
      <c r="H2506" s="13"/>
    </row>
    <row r="2507" ht="22.5" customHeight="1">
      <c r="B2507" s="17"/>
      <c r="C2507" s="17"/>
      <c r="D2507" s="13"/>
      <c r="E2507" s="11"/>
      <c r="F2507" s="11"/>
      <c r="G2507" s="13">
        <f t="shared" si="1"/>
        <v>1281</v>
      </c>
      <c r="H2507" s="13"/>
    </row>
    <row r="2508" ht="22.5" customHeight="1">
      <c r="B2508" s="17"/>
      <c r="C2508" s="17"/>
      <c r="D2508" s="13"/>
      <c r="E2508" s="11"/>
      <c r="F2508" s="11"/>
      <c r="G2508" s="13">
        <f t="shared" si="1"/>
        <v>1281</v>
      </c>
      <c r="H2508" s="13"/>
    </row>
    <row r="2509" ht="22.5" customHeight="1">
      <c r="B2509" s="17"/>
      <c r="C2509" s="17"/>
      <c r="D2509" s="13"/>
      <c r="E2509" s="11"/>
      <c r="F2509" s="11"/>
      <c r="G2509" s="13">
        <f t="shared" si="1"/>
        <v>1281</v>
      </c>
      <c r="H2509" s="13"/>
    </row>
    <row r="2510" ht="22.5" customHeight="1">
      <c r="B2510" s="17"/>
      <c r="C2510" s="17"/>
      <c r="D2510" s="13"/>
      <c r="E2510" s="11"/>
      <c r="F2510" s="11"/>
      <c r="G2510" s="13">
        <f t="shared" si="1"/>
        <v>1281</v>
      </c>
      <c r="H2510" s="13"/>
    </row>
    <row r="2511" ht="22.5" customHeight="1">
      <c r="B2511" s="17"/>
      <c r="C2511" s="17"/>
      <c r="D2511" s="13"/>
      <c r="E2511" s="11"/>
      <c r="F2511" s="11"/>
      <c r="G2511" s="13">
        <f t="shared" si="1"/>
        <v>1281</v>
      </c>
      <c r="H2511" s="13"/>
    </row>
    <row r="2512" ht="22.5" customHeight="1">
      <c r="B2512" s="17"/>
      <c r="C2512" s="17"/>
      <c r="D2512" s="13"/>
      <c r="E2512" s="11"/>
      <c r="F2512" s="11"/>
      <c r="G2512" s="13">
        <f t="shared" si="1"/>
        <v>1281</v>
      </c>
      <c r="H2512" s="13"/>
    </row>
    <row r="2513" ht="22.5" customHeight="1">
      <c r="B2513" s="17"/>
      <c r="C2513" s="17"/>
      <c r="D2513" s="13"/>
      <c r="E2513" s="11"/>
      <c r="F2513" s="11"/>
      <c r="G2513" s="13">
        <f t="shared" si="1"/>
        <v>1281</v>
      </c>
      <c r="H2513" s="13"/>
    </row>
    <row r="2514" ht="22.5" customHeight="1">
      <c r="B2514" s="17"/>
      <c r="C2514" s="17"/>
      <c r="D2514" s="13"/>
      <c r="E2514" s="11"/>
      <c r="F2514" s="11"/>
      <c r="G2514" s="13">
        <f t="shared" si="1"/>
        <v>1281</v>
      </c>
      <c r="H2514" s="13"/>
    </row>
    <row r="2515" ht="22.5" customHeight="1">
      <c r="B2515" s="17"/>
      <c r="C2515" s="17"/>
      <c r="D2515" s="13"/>
      <c r="E2515" s="11"/>
      <c r="F2515" s="11"/>
      <c r="G2515" s="13">
        <f t="shared" si="1"/>
        <v>1281</v>
      </c>
      <c r="H2515" s="13"/>
    </row>
    <row r="2516" ht="22.5" customHeight="1">
      <c r="B2516" s="17"/>
      <c r="C2516" s="17"/>
      <c r="D2516" s="13"/>
      <c r="E2516" s="11"/>
      <c r="F2516" s="11"/>
      <c r="G2516" s="13">
        <f t="shared" si="1"/>
        <v>1281</v>
      </c>
      <c r="H2516" s="13"/>
    </row>
    <row r="2517" ht="22.5" customHeight="1">
      <c r="B2517" s="17"/>
      <c r="C2517" s="17"/>
      <c r="D2517" s="13"/>
      <c r="E2517" s="11"/>
      <c r="F2517" s="11"/>
      <c r="G2517" s="13">
        <f t="shared" si="1"/>
        <v>1281</v>
      </c>
      <c r="H2517" s="13"/>
    </row>
    <row r="2518" ht="22.5" customHeight="1">
      <c r="B2518" s="17"/>
      <c r="C2518" s="17"/>
      <c r="D2518" s="13"/>
      <c r="E2518" s="11"/>
      <c r="F2518" s="11"/>
      <c r="G2518" s="13">
        <f t="shared" si="1"/>
        <v>1281</v>
      </c>
      <c r="H2518" s="13"/>
    </row>
    <row r="2519" ht="22.5" customHeight="1">
      <c r="B2519" s="17"/>
      <c r="C2519" s="17"/>
      <c r="D2519" s="13"/>
      <c r="E2519" s="11"/>
      <c r="F2519" s="11"/>
      <c r="G2519" s="13">
        <f t="shared" si="1"/>
        <v>1281</v>
      </c>
      <c r="H2519" s="13"/>
    </row>
    <row r="2520" ht="22.5" customHeight="1">
      <c r="B2520" s="17"/>
      <c r="C2520" s="17"/>
      <c r="D2520" s="13"/>
      <c r="E2520" s="11"/>
      <c r="F2520" s="11"/>
      <c r="G2520" s="13">
        <f t="shared" si="1"/>
        <v>1281</v>
      </c>
      <c r="H2520" s="13"/>
    </row>
    <row r="2521" ht="22.5" customHeight="1">
      <c r="B2521" s="17"/>
      <c r="C2521" s="17"/>
      <c r="D2521" s="13"/>
      <c r="E2521" s="11"/>
      <c r="F2521" s="11"/>
      <c r="G2521" s="13">
        <f t="shared" si="1"/>
        <v>1281</v>
      </c>
      <c r="H2521" s="13"/>
    </row>
    <row r="2522" ht="22.5" customHeight="1">
      <c r="B2522" s="17"/>
      <c r="C2522" s="17"/>
      <c r="D2522" s="13"/>
      <c r="E2522" s="11"/>
      <c r="F2522" s="11"/>
      <c r="G2522" s="13">
        <f t="shared" si="1"/>
        <v>1281</v>
      </c>
      <c r="H2522" s="13"/>
    </row>
    <row r="2523" ht="22.5" customHeight="1">
      <c r="B2523" s="17"/>
      <c r="C2523" s="17"/>
      <c r="D2523" s="13"/>
      <c r="E2523" s="11"/>
      <c r="F2523" s="11"/>
      <c r="G2523" s="13">
        <f t="shared" si="1"/>
        <v>1281</v>
      </c>
      <c r="H2523" s="13"/>
    </row>
    <row r="2524" ht="22.5" customHeight="1">
      <c r="B2524" s="17"/>
      <c r="C2524" s="17"/>
      <c r="D2524" s="13"/>
      <c r="E2524" s="11"/>
      <c r="F2524" s="11"/>
      <c r="G2524" s="13">
        <f t="shared" si="1"/>
        <v>1281</v>
      </c>
      <c r="H2524" s="13"/>
    </row>
    <row r="2525" ht="22.5" customHeight="1">
      <c r="B2525" s="17"/>
      <c r="C2525" s="17"/>
      <c r="D2525" s="13"/>
      <c r="E2525" s="11"/>
      <c r="F2525" s="11"/>
      <c r="G2525" s="13">
        <f t="shared" si="1"/>
        <v>1281</v>
      </c>
      <c r="H2525" s="13"/>
    </row>
    <row r="2526" ht="22.5" customHeight="1">
      <c r="B2526" s="17"/>
      <c r="C2526" s="17"/>
      <c r="D2526" s="13"/>
      <c r="E2526" s="11"/>
      <c r="F2526" s="11"/>
      <c r="G2526" s="13">
        <f t="shared" si="1"/>
        <v>1281</v>
      </c>
      <c r="H2526" s="13"/>
    </row>
    <row r="2527" ht="22.5" customHeight="1">
      <c r="B2527" s="17"/>
      <c r="C2527" s="17"/>
      <c r="D2527" s="13"/>
      <c r="E2527" s="11"/>
      <c r="F2527" s="11"/>
      <c r="G2527" s="13">
        <f t="shared" si="1"/>
        <v>1281</v>
      </c>
      <c r="H2527" s="13"/>
    </row>
    <row r="2528" ht="22.5" customHeight="1">
      <c r="B2528" s="17"/>
      <c r="C2528" s="17"/>
      <c r="D2528" s="13"/>
      <c r="E2528" s="11"/>
      <c r="F2528" s="11"/>
      <c r="G2528" s="13">
        <f t="shared" si="1"/>
        <v>1281</v>
      </c>
      <c r="H2528" s="13"/>
    </row>
    <row r="2529" ht="22.5" customHeight="1">
      <c r="B2529" s="17"/>
      <c r="C2529" s="17"/>
      <c r="D2529" s="13"/>
      <c r="E2529" s="11"/>
      <c r="F2529" s="11"/>
      <c r="G2529" s="13">
        <f t="shared" si="1"/>
        <v>1281</v>
      </c>
      <c r="H2529" s="13"/>
    </row>
    <row r="2530" ht="22.5" customHeight="1">
      <c r="B2530" s="17"/>
      <c r="C2530" s="17"/>
      <c r="D2530" s="13"/>
      <c r="E2530" s="11"/>
      <c r="F2530" s="11"/>
      <c r="G2530" s="13">
        <f t="shared" si="1"/>
        <v>1281</v>
      </c>
      <c r="H2530" s="13"/>
    </row>
    <row r="2531" ht="22.5" customHeight="1">
      <c r="B2531" s="17"/>
      <c r="C2531" s="17"/>
      <c r="D2531" s="13"/>
      <c r="E2531" s="11"/>
      <c r="F2531" s="11"/>
      <c r="G2531" s="13">
        <f t="shared" si="1"/>
        <v>1281</v>
      </c>
      <c r="H2531" s="13"/>
    </row>
    <row r="2532" ht="22.5" customHeight="1">
      <c r="B2532" s="17"/>
      <c r="C2532" s="17"/>
      <c r="D2532" s="13"/>
      <c r="E2532" s="11"/>
      <c r="F2532" s="11"/>
      <c r="G2532" s="13">
        <f t="shared" si="1"/>
        <v>1281</v>
      </c>
      <c r="H2532" s="13"/>
    </row>
    <row r="2533" ht="22.5" customHeight="1">
      <c r="B2533" s="17"/>
      <c r="C2533" s="17"/>
      <c r="D2533" s="13"/>
      <c r="E2533" s="11"/>
      <c r="F2533" s="11"/>
      <c r="G2533" s="13">
        <f t="shared" si="1"/>
        <v>1281</v>
      </c>
      <c r="H2533" s="13"/>
    </row>
    <row r="2534" ht="22.5" customHeight="1">
      <c r="B2534" s="17"/>
      <c r="C2534" s="17"/>
      <c r="D2534" s="13"/>
      <c r="E2534" s="11"/>
      <c r="F2534" s="11"/>
      <c r="G2534" s="13">
        <f t="shared" si="1"/>
        <v>1281</v>
      </c>
      <c r="H2534" s="13"/>
    </row>
    <row r="2535" ht="22.5" customHeight="1">
      <c r="B2535" s="17"/>
      <c r="C2535" s="17"/>
      <c r="D2535" s="13"/>
      <c r="E2535" s="11"/>
      <c r="F2535" s="11"/>
      <c r="G2535" s="13">
        <f t="shared" si="1"/>
        <v>1281</v>
      </c>
      <c r="H2535" s="13"/>
    </row>
    <row r="2536" ht="22.5" customHeight="1">
      <c r="B2536" s="17"/>
      <c r="C2536" s="17"/>
      <c r="D2536" s="13"/>
      <c r="E2536" s="11"/>
      <c r="F2536" s="11"/>
      <c r="G2536" s="13">
        <f t="shared" si="1"/>
        <v>1281</v>
      </c>
      <c r="H2536" s="13"/>
    </row>
    <row r="2537" ht="22.5" customHeight="1">
      <c r="B2537" s="17"/>
      <c r="C2537" s="17"/>
      <c r="D2537" s="13"/>
      <c r="E2537" s="11"/>
      <c r="F2537" s="11"/>
      <c r="G2537" s="13">
        <f t="shared" si="1"/>
        <v>1281</v>
      </c>
      <c r="H2537" s="13"/>
    </row>
    <row r="2538" ht="22.5" customHeight="1">
      <c r="B2538" s="17"/>
      <c r="C2538" s="17"/>
      <c r="D2538" s="13"/>
      <c r="E2538" s="11"/>
      <c r="F2538" s="11"/>
      <c r="G2538" s="13">
        <f t="shared" si="1"/>
        <v>1281</v>
      </c>
      <c r="H2538" s="13"/>
    </row>
    <row r="2539" ht="22.5" customHeight="1">
      <c r="B2539" s="17"/>
      <c r="C2539" s="17"/>
      <c r="D2539" s="13"/>
      <c r="E2539" s="11"/>
      <c r="F2539" s="11"/>
      <c r="G2539" s="13">
        <f t="shared" si="1"/>
        <v>1281</v>
      </c>
      <c r="H2539" s="13"/>
    </row>
    <row r="2540" ht="22.5" customHeight="1">
      <c r="B2540" s="17"/>
      <c r="C2540" s="17"/>
      <c r="D2540" s="13"/>
      <c r="E2540" s="11"/>
      <c r="F2540" s="11"/>
      <c r="G2540" s="13">
        <f t="shared" si="1"/>
        <v>1281</v>
      </c>
      <c r="H2540" s="13"/>
    </row>
    <row r="2541" ht="22.5" customHeight="1">
      <c r="B2541" s="17"/>
      <c r="C2541" s="17"/>
      <c r="D2541" s="13"/>
      <c r="E2541" s="11"/>
      <c r="F2541" s="11"/>
      <c r="G2541" s="13">
        <f t="shared" si="1"/>
        <v>1281</v>
      </c>
      <c r="H2541" s="13"/>
    </row>
    <row r="2542" ht="22.5" customHeight="1">
      <c r="B2542" s="17"/>
      <c r="C2542" s="17"/>
      <c r="D2542" s="13"/>
      <c r="E2542" s="11"/>
      <c r="F2542" s="11"/>
      <c r="G2542" s="13">
        <f t="shared" si="1"/>
        <v>1281</v>
      </c>
      <c r="H2542" s="13"/>
    </row>
    <row r="2543" ht="22.5" customHeight="1">
      <c r="B2543" s="17"/>
      <c r="C2543" s="17"/>
      <c r="D2543" s="13"/>
      <c r="E2543" s="11"/>
      <c r="F2543" s="11"/>
      <c r="G2543" s="13">
        <f t="shared" si="1"/>
        <v>1281</v>
      </c>
      <c r="H2543" s="13"/>
    </row>
    <row r="2544" ht="22.5" customHeight="1">
      <c r="B2544" s="17"/>
      <c r="C2544" s="17"/>
      <c r="D2544" s="13"/>
      <c r="E2544" s="11"/>
      <c r="F2544" s="11"/>
      <c r="G2544" s="13">
        <f t="shared" si="1"/>
        <v>1281</v>
      </c>
      <c r="H2544" s="13"/>
    </row>
    <row r="2545" ht="22.5" customHeight="1">
      <c r="B2545" s="17"/>
      <c r="C2545" s="17"/>
      <c r="D2545" s="13"/>
      <c r="E2545" s="11"/>
      <c r="F2545" s="11"/>
      <c r="G2545" s="13">
        <f t="shared" si="1"/>
        <v>1281</v>
      </c>
      <c r="H2545" s="13"/>
    </row>
    <row r="2546" ht="22.5" customHeight="1">
      <c r="B2546" s="17"/>
      <c r="C2546" s="17"/>
      <c r="D2546" s="13"/>
      <c r="E2546" s="11"/>
      <c r="F2546" s="11"/>
      <c r="G2546" s="13">
        <f t="shared" si="1"/>
        <v>1281</v>
      </c>
      <c r="H2546" s="13"/>
    </row>
    <row r="2547" ht="22.5" customHeight="1">
      <c r="B2547" s="17"/>
      <c r="C2547" s="17"/>
      <c r="D2547" s="13"/>
      <c r="E2547" s="11"/>
      <c r="F2547" s="11"/>
      <c r="G2547" s="13">
        <f t="shared" si="1"/>
        <v>1281</v>
      </c>
      <c r="H2547" s="13"/>
    </row>
    <row r="2548" ht="22.5" customHeight="1">
      <c r="B2548" s="17"/>
      <c r="C2548" s="17"/>
      <c r="D2548" s="13"/>
      <c r="E2548" s="11"/>
      <c r="F2548" s="11"/>
      <c r="G2548" s="13">
        <f t="shared" si="1"/>
        <v>1281</v>
      </c>
      <c r="H2548" s="13"/>
    </row>
    <row r="2549" ht="22.5" customHeight="1">
      <c r="B2549" s="17"/>
      <c r="C2549" s="17"/>
      <c r="D2549" s="13"/>
      <c r="E2549" s="11"/>
      <c r="F2549" s="11"/>
      <c r="G2549" s="13">
        <f t="shared" si="1"/>
        <v>1281</v>
      </c>
      <c r="H2549" s="13"/>
    </row>
    <row r="2550" ht="22.5" customHeight="1">
      <c r="B2550" s="17"/>
      <c r="C2550" s="17"/>
      <c r="D2550" s="13"/>
      <c r="E2550" s="11"/>
      <c r="F2550" s="11"/>
      <c r="G2550" s="13">
        <f t="shared" si="1"/>
        <v>1281</v>
      </c>
      <c r="H2550" s="13"/>
    </row>
    <row r="2551" ht="22.5" customHeight="1">
      <c r="B2551" s="17"/>
      <c r="C2551" s="17"/>
      <c r="D2551" s="13"/>
      <c r="E2551" s="11"/>
      <c r="F2551" s="11"/>
      <c r="G2551" s="13">
        <f t="shared" si="1"/>
        <v>1281</v>
      </c>
      <c r="H2551" s="13"/>
    </row>
    <row r="2552" ht="22.5" customHeight="1">
      <c r="B2552" s="17"/>
      <c r="C2552" s="17"/>
      <c r="D2552" s="13"/>
      <c r="E2552" s="11"/>
      <c r="F2552" s="11"/>
      <c r="G2552" s="13">
        <f t="shared" si="1"/>
        <v>1281</v>
      </c>
      <c r="H2552" s="13"/>
    </row>
    <row r="2553" ht="22.5" customHeight="1">
      <c r="B2553" s="17"/>
      <c r="C2553" s="17"/>
      <c r="D2553" s="13"/>
      <c r="E2553" s="11"/>
      <c r="F2553" s="11"/>
      <c r="G2553" s="13">
        <f t="shared" si="1"/>
        <v>1281</v>
      </c>
      <c r="H2553" s="13"/>
    </row>
    <row r="2554" ht="22.5" customHeight="1">
      <c r="B2554" s="17"/>
      <c r="C2554" s="17"/>
      <c r="D2554" s="13"/>
      <c r="E2554" s="11"/>
      <c r="F2554" s="11"/>
      <c r="G2554" s="13">
        <f t="shared" si="1"/>
        <v>1281</v>
      </c>
      <c r="H2554" s="13"/>
    </row>
    <row r="2555" ht="22.5" customHeight="1">
      <c r="B2555" s="17"/>
      <c r="C2555" s="17"/>
      <c r="D2555" s="13"/>
      <c r="E2555" s="11"/>
      <c r="F2555" s="11"/>
      <c r="G2555" s="13">
        <f t="shared" si="1"/>
        <v>1281</v>
      </c>
      <c r="H2555" s="13"/>
    </row>
    <row r="2556" ht="22.5" customHeight="1">
      <c r="B2556" s="17"/>
      <c r="C2556" s="17"/>
      <c r="D2556" s="13"/>
      <c r="E2556" s="11"/>
      <c r="F2556" s="11"/>
      <c r="G2556" s="13">
        <f t="shared" si="1"/>
        <v>1281</v>
      </c>
      <c r="H2556" s="13"/>
    </row>
    <row r="2557" ht="22.5" customHeight="1">
      <c r="B2557" s="17"/>
      <c r="C2557" s="17"/>
      <c r="D2557" s="13"/>
      <c r="E2557" s="11"/>
      <c r="F2557" s="11"/>
      <c r="G2557" s="13">
        <f t="shared" si="1"/>
        <v>1281</v>
      </c>
      <c r="H2557" s="13"/>
    </row>
    <row r="2558" ht="22.5" customHeight="1">
      <c r="B2558" s="17"/>
      <c r="C2558" s="17"/>
      <c r="D2558" s="13"/>
      <c r="E2558" s="11"/>
      <c r="F2558" s="11"/>
      <c r="G2558" s="13">
        <f t="shared" si="1"/>
        <v>1281</v>
      </c>
      <c r="H2558" s="13"/>
    </row>
    <row r="2559" ht="22.5" customHeight="1">
      <c r="B2559" s="17"/>
      <c r="C2559" s="17"/>
      <c r="D2559" s="13"/>
      <c r="E2559" s="11"/>
      <c r="F2559" s="11"/>
      <c r="G2559" s="13">
        <f t="shared" si="1"/>
        <v>1281</v>
      </c>
      <c r="H2559" s="13"/>
    </row>
    <row r="2560" ht="22.5" customHeight="1">
      <c r="B2560" s="17"/>
      <c r="C2560" s="17"/>
      <c r="D2560" s="13"/>
      <c r="E2560" s="11"/>
      <c r="F2560" s="11"/>
      <c r="G2560" s="13">
        <f t="shared" si="1"/>
        <v>1281</v>
      </c>
      <c r="H2560" s="13"/>
    </row>
    <row r="2561" ht="22.5" customHeight="1">
      <c r="B2561" s="17"/>
      <c r="C2561" s="17"/>
      <c r="D2561" s="13"/>
      <c r="E2561" s="11"/>
      <c r="F2561" s="11"/>
      <c r="G2561" s="13">
        <f t="shared" si="1"/>
        <v>1281</v>
      </c>
      <c r="H2561" s="13"/>
    </row>
    <row r="2562" ht="22.5" customHeight="1">
      <c r="B2562" s="17"/>
      <c r="C2562" s="17"/>
      <c r="D2562" s="13"/>
      <c r="E2562" s="11"/>
      <c r="F2562" s="11"/>
      <c r="G2562" s="13">
        <f t="shared" si="1"/>
        <v>1281</v>
      </c>
      <c r="H2562" s="13"/>
    </row>
    <row r="2563" ht="22.5" customHeight="1">
      <c r="B2563" s="17"/>
      <c r="C2563" s="17"/>
      <c r="D2563" s="13"/>
      <c r="E2563" s="11"/>
      <c r="F2563" s="11"/>
      <c r="G2563" s="13">
        <f t="shared" si="1"/>
        <v>1281</v>
      </c>
      <c r="H2563" s="13"/>
    </row>
    <row r="2564" ht="22.5" customHeight="1">
      <c r="B2564" s="17"/>
      <c r="C2564" s="17"/>
      <c r="D2564" s="13"/>
      <c r="E2564" s="11"/>
      <c r="F2564" s="11"/>
      <c r="G2564" s="13">
        <f t="shared" si="1"/>
        <v>1281</v>
      </c>
      <c r="H2564" s="13"/>
    </row>
    <row r="2565" ht="22.5" customHeight="1">
      <c r="B2565" s="17"/>
      <c r="C2565" s="17"/>
      <c r="D2565" s="13"/>
      <c r="E2565" s="11"/>
      <c r="F2565" s="11"/>
      <c r="G2565" s="13">
        <f t="shared" si="1"/>
        <v>1281</v>
      </c>
      <c r="H2565" s="13"/>
    </row>
    <row r="2566" ht="22.5" customHeight="1">
      <c r="B2566" s="17"/>
      <c r="C2566" s="17"/>
      <c r="D2566" s="13"/>
      <c r="E2566" s="11"/>
      <c r="F2566" s="11"/>
      <c r="G2566" s="13">
        <f t="shared" si="1"/>
        <v>1281</v>
      </c>
      <c r="H2566" s="13"/>
    </row>
    <row r="2567" ht="22.5" customHeight="1">
      <c r="B2567" s="17"/>
      <c r="C2567" s="17"/>
      <c r="D2567" s="13"/>
      <c r="E2567" s="11"/>
      <c r="F2567" s="11"/>
      <c r="G2567" s="13">
        <f t="shared" si="1"/>
        <v>1281</v>
      </c>
      <c r="H2567" s="13"/>
    </row>
    <row r="2568" ht="22.5" customHeight="1">
      <c r="B2568" s="17"/>
      <c r="C2568" s="17"/>
      <c r="D2568" s="13"/>
      <c r="E2568" s="11"/>
      <c r="F2568" s="11"/>
      <c r="G2568" s="13">
        <f t="shared" si="1"/>
        <v>1281</v>
      </c>
      <c r="H2568" s="13"/>
    </row>
    <row r="2569" ht="22.5" customHeight="1">
      <c r="B2569" s="17"/>
      <c r="C2569" s="17"/>
      <c r="D2569" s="13"/>
      <c r="E2569" s="11"/>
      <c r="F2569" s="11"/>
      <c r="G2569" s="13">
        <f t="shared" si="1"/>
        <v>1281</v>
      </c>
      <c r="H2569" s="13"/>
    </row>
    <row r="2570" ht="22.5" customHeight="1">
      <c r="B2570" s="17"/>
      <c r="C2570" s="17"/>
      <c r="D2570" s="13"/>
      <c r="E2570" s="11"/>
      <c r="F2570" s="11"/>
      <c r="G2570" s="13">
        <f t="shared" si="1"/>
        <v>1281</v>
      </c>
      <c r="H2570" s="13"/>
    </row>
    <row r="2571" ht="22.5" customHeight="1">
      <c r="B2571" s="17"/>
      <c r="C2571" s="17"/>
      <c r="D2571" s="13"/>
      <c r="E2571" s="11"/>
      <c r="F2571" s="11"/>
      <c r="G2571" s="13">
        <f t="shared" si="1"/>
        <v>1281</v>
      </c>
      <c r="H2571" s="13"/>
    </row>
    <row r="2572" ht="22.5" customHeight="1">
      <c r="B2572" s="17"/>
      <c r="C2572" s="17"/>
      <c r="D2572" s="13"/>
      <c r="E2572" s="11"/>
      <c r="F2572" s="11"/>
      <c r="G2572" s="13">
        <f t="shared" si="1"/>
        <v>1281</v>
      </c>
      <c r="H2572" s="13"/>
    </row>
    <row r="2573" ht="22.5" customHeight="1">
      <c r="B2573" s="17"/>
      <c r="C2573" s="17"/>
      <c r="D2573" s="13"/>
      <c r="E2573" s="11"/>
      <c r="F2573" s="11"/>
      <c r="G2573" s="13">
        <f t="shared" si="1"/>
        <v>1281</v>
      </c>
      <c r="H2573" s="13"/>
    </row>
    <row r="2574" ht="22.5" customHeight="1">
      <c r="B2574" s="17"/>
      <c r="C2574" s="17"/>
      <c r="D2574" s="13"/>
      <c r="E2574" s="11"/>
      <c r="F2574" s="11"/>
      <c r="G2574" s="13">
        <f t="shared" si="1"/>
        <v>1281</v>
      </c>
      <c r="H2574" s="13"/>
    </row>
    <row r="2575" ht="22.5" customHeight="1">
      <c r="B2575" s="17"/>
      <c r="C2575" s="17"/>
      <c r="D2575" s="13"/>
      <c r="E2575" s="11"/>
      <c r="F2575" s="11"/>
      <c r="G2575" s="13">
        <f t="shared" si="1"/>
        <v>1281</v>
      </c>
      <c r="H2575" s="13"/>
    </row>
    <row r="2576" ht="22.5" customHeight="1">
      <c r="B2576" s="17"/>
      <c r="C2576" s="17"/>
      <c r="D2576" s="13"/>
      <c r="E2576" s="11"/>
      <c r="F2576" s="11"/>
      <c r="G2576" s="13">
        <f t="shared" si="1"/>
        <v>1281</v>
      </c>
      <c r="H2576" s="13"/>
    </row>
    <row r="2577" ht="22.5" customHeight="1">
      <c r="B2577" s="17"/>
      <c r="C2577" s="17"/>
      <c r="D2577" s="13"/>
      <c r="E2577" s="11"/>
      <c r="F2577" s="11"/>
      <c r="G2577" s="13">
        <f t="shared" si="1"/>
        <v>1281</v>
      </c>
      <c r="H2577" s="13"/>
    </row>
    <row r="2578" ht="22.5" customHeight="1">
      <c r="B2578" s="17"/>
      <c r="C2578" s="17"/>
      <c r="D2578" s="13"/>
      <c r="E2578" s="11"/>
      <c r="F2578" s="11"/>
      <c r="G2578" s="13">
        <f t="shared" si="1"/>
        <v>1281</v>
      </c>
      <c r="H2578" s="13"/>
    </row>
    <row r="2579" ht="22.5" customHeight="1">
      <c r="B2579" s="17"/>
      <c r="C2579" s="17"/>
      <c r="D2579" s="13"/>
      <c r="E2579" s="11"/>
      <c r="F2579" s="11"/>
      <c r="G2579" s="13">
        <f t="shared" si="1"/>
        <v>1281</v>
      </c>
      <c r="H2579" s="13"/>
    </row>
    <row r="2580" ht="22.5" customHeight="1">
      <c r="B2580" s="17"/>
      <c r="C2580" s="17"/>
      <c r="D2580" s="13"/>
      <c r="E2580" s="11"/>
      <c r="F2580" s="11"/>
      <c r="G2580" s="13">
        <f t="shared" si="1"/>
        <v>1281</v>
      </c>
      <c r="H2580" s="13"/>
    </row>
    <row r="2581" ht="22.5" customHeight="1">
      <c r="B2581" s="17"/>
      <c r="C2581" s="17"/>
      <c r="D2581" s="13"/>
      <c r="E2581" s="11"/>
      <c r="F2581" s="11"/>
      <c r="G2581" s="13">
        <f t="shared" si="1"/>
        <v>1281</v>
      </c>
      <c r="H2581" s="13"/>
    </row>
    <row r="2582" ht="22.5" customHeight="1">
      <c r="B2582" s="17"/>
      <c r="C2582" s="17"/>
      <c r="D2582" s="13"/>
      <c r="E2582" s="11"/>
      <c r="F2582" s="11"/>
      <c r="G2582" s="13">
        <f t="shared" si="1"/>
        <v>1281</v>
      </c>
      <c r="H2582" s="13"/>
    </row>
    <row r="2583" ht="22.5" customHeight="1">
      <c r="B2583" s="17"/>
      <c r="C2583" s="17"/>
      <c r="D2583" s="13"/>
      <c r="E2583" s="11"/>
      <c r="F2583" s="11"/>
      <c r="G2583" s="13">
        <f t="shared" si="1"/>
        <v>1281</v>
      </c>
      <c r="H2583" s="13"/>
    </row>
    <row r="2584" ht="22.5" customHeight="1">
      <c r="B2584" s="17"/>
      <c r="C2584" s="17"/>
      <c r="D2584" s="13"/>
      <c r="E2584" s="11"/>
      <c r="F2584" s="11"/>
      <c r="G2584" s="13">
        <f t="shared" si="1"/>
        <v>1281</v>
      </c>
      <c r="H2584" s="13"/>
    </row>
    <row r="2585" ht="22.5" customHeight="1">
      <c r="B2585" s="17"/>
      <c r="C2585" s="17"/>
      <c r="D2585" s="13"/>
      <c r="E2585" s="11"/>
      <c r="F2585" s="11"/>
      <c r="G2585" s="13">
        <f t="shared" si="1"/>
        <v>1281</v>
      </c>
      <c r="H2585" s="13"/>
    </row>
    <row r="2586" ht="22.5" customHeight="1">
      <c r="B2586" s="17"/>
      <c r="C2586" s="17"/>
      <c r="D2586" s="13"/>
      <c r="E2586" s="11"/>
      <c r="F2586" s="11"/>
      <c r="G2586" s="13">
        <f t="shared" si="1"/>
        <v>1281</v>
      </c>
      <c r="H2586" s="13"/>
    </row>
    <row r="2587" ht="22.5" customHeight="1">
      <c r="B2587" s="17"/>
      <c r="C2587" s="17"/>
      <c r="D2587" s="13"/>
      <c r="E2587" s="11"/>
      <c r="F2587" s="11"/>
      <c r="G2587" s="13">
        <f t="shared" si="1"/>
        <v>1281</v>
      </c>
      <c r="H2587" s="13"/>
    </row>
    <row r="2588" ht="22.5" customHeight="1">
      <c r="B2588" s="17"/>
      <c r="C2588" s="17"/>
      <c r="D2588" s="13"/>
      <c r="E2588" s="11"/>
      <c r="F2588" s="11"/>
      <c r="G2588" s="13">
        <f t="shared" si="1"/>
        <v>1281</v>
      </c>
      <c r="H2588" s="13"/>
    </row>
    <row r="2589" ht="22.5" customHeight="1">
      <c r="B2589" s="17"/>
      <c r="C2589" s="17"/>
      <c r="D2589" s="13"/>
      <c r="E2589" s="11"/>
      <c r="F2589" s="11"/>
      <c r="G2589" s="13">
        <f t="shared" si="1"/>
        <v>1281</v>
      </c>
      <c r="H2589" s="13"/>
    </row>
    <row r="2590" ht="22.5" customHeight="1">
      <c r="B2590" s="17"/>
      <c r="C2590" s="17"/>
      <c r="D2590" s="13"/>
      <c r="E2590" s="11"/>
      <c r="F2590" s="11"/>
      <c r="G2590" s="13">
        <f t="shared" si="1"/>
        <v>1281</v>
      </c>
      <c r="H2590" s="13"/>
    </row>
    <row r="2591" ht="22.5" customHeight="1">
      <c r="B2591" s="17"/>
      <c r="C2591" s="17"/>
      <c r="D2591" s="13"/>
      <c r="E2591" s="11"/>
      <c r="F2591" s="11"/>
      <c r="G2591" s="13">
        <f t="shared" si="1"/>
        <v>1281</v>
      </c>
      <c r="H2591" s="13"/>
    </row>
    <row r="2592" ht="22.5" customHeight="1">
      <c r="B2592" s="17"/>
      <c r="C2592" s="17"/>
      <c r="D2592" s="13"/>
      <c r="E2592" s="11"/>
      <c r="F2592" s="11"/>
      <c r="G2592" s="13">
        <f t="shared" si="1"/>
        <v>1281</v>
      </c>
      <c r="H2592" s="13"/>
    </row>
    <row r="2593" ht="22.5" customHeight="1">
      <c r="B2593" s="17"/>
      <c r="C2593" s="17"/>
      <c r="D2593" s="13"/>
      <c r="E2593" s="11"/>
      <c r="F2593" s="11"/>
      <c r="G2593" s="13">
        <f t="shared" si="1"/>
        <v>1281</v>
      </c>
      <c r="H2593" s="13"/>
    </row>
    <row r="2594" ht="22.5" customHeight="1">
      <c r="B2594" s="17"/>
      <c r="C2594" s="17"/>
      <c r="D2594" s="13"/>
      <c r="E2594" s="11"/>
      <c r="F2594" s="11"/>
      <c r="G2594" s="13">
        <f t="shared" si="1"/>
        <v>1281</v>
      </c>
      <c r="H2594" s="13"/>
    </row>
    <row r="2595" ht="22.5" customHeight="1">
      <c r="B2595" s="17"/>
      <c r="C2595" s="17"/>
      <c r="D2595" s="13"/>
      <c r="E2595" s="11"/>
      <c r="F2595" s="11"/>
      <c r="G2595" s="13">
        <f t="shared" si="1"/>
        <v>1281</v>
      </c>
      <c r="H2595" s="13"/>
    </row>
    <row r="2596" ht="22.5" customHeight="1">
      <c r="B2596" s="17"/>
      <c r="C2596" s="17"/>
      <c r="D2596" s="13"/>
      <c r="E2596" s="11"/>
      <c r="F2596" s="11"/>
      <c r="G2596" s="13">
        <f t="shared" si="1"/>
        <v>1281</v>
      </c>
      <c r="H2596" s="13"/>
    </row>
    <row r="2597" ht="22.5" customHeight="1">
      <c r="B2597" s="17"/>
      <c r="C2597" s="17"/>
      <c r="D2597" s="13"/>
      <c r="E2597" s="11"/>
      <c r="F2597" s="11"/>
      <c r="G2597" s="13">
        <f t="shared" si="1"/>
        <v>1281</v>
      </c>
      <c r="H2597" s="13"/>
    </row>
    <row r="2598" ht="22.5" customHeight="1">
      <c r="B2598" s="17"/>
      <c r="C2598" s="17"/>
      <c r="D2598" s="13"/>
      <c r="E2598" s="11"/>
      <c r="F2598" s="11"/>
      <c r="G2598" s="13">
        <f t="shared" si="1"/>
        <v>1281</v>
      </c>
      <c r="H2598" s="13"/>
    </row>
    <row r="2599" ht="22.5" customHeight="1">
      <c r="B2599" s="17"/>
      <c r="C2599" s="17"/>
      <c r="D2599" s="13"/>
      <c r="E2599" s="11"/>
      <c r="F2599" s="11"/>
      <c r="G2599" s="13">
        <f t="shared" si="1"/>
        <v>1281</v>
      </c>
      <c r="H2599" s="13"/>
    </row>
    <row r="2600" ht="22.5" customHeight="1">
      <c r="B2600" s="17"/>
      <c r="C2600" s="17"/>
      <c r="D2600" s="13"/>
      <c r="E2600" s="11"/>
      <c r="F2600" s="11"/>
      <c r="G2600" s="13">
        <f t="shared" si="1"/>
        <v>1281</v>
      </c>
      <c r="H2600" s="13"/>
    </row>
    <row r="2601" ht="22.5" customHeight="1">
      <c r="B2601" s="17"/>
      <c r="C2601" s="17"/>
      <c r="D2601" s="13"/>
      <c r="E2601" s="11"/>
      <c r="F2601" s="11"/>
      <c r="G2601" s="13">
        <f t="shared" si="1"/>
        <v>1281</v>
      </c>
      <c r="H2601" s="13"/>
    </row>
    <row r="2602" ht="22.5" customHeight="1">
      <c r="B2602" s="17"/>
      <c r="C2602" s="17"/>
      <c r="D2602" s="13"/>
      <c r="E2602" s="11"/>
      <c r="F2602" s="11"/>
      <c r="G2602" s="13">
        <f t="shared" si="1"/>
        <v>1281</v>
      </c>
      <c r="H2602" s="13"/>
    </row>
    <row r="2603" ht="22.5" customHeight="1">
      <c r="B2603" s="17"/>
      <c r="C2603" s="17"/>
      <c r="D2603" s="13"/>
      <c r="E2603" s="11"/>
      <c r="F2603" s="11"/>
      <c r="G2603" s="13">
        <f t="shared" si="1"/>
        <v>1281</v>
      </c>
      <c r="H2603" s="13"/>
    </row>
    <row r="2604" ht="22.5" customHeight="1">
      <c r="B2604" s="17"/>
      <c r="C2604" s="17"/>
      <c r="D2604" s="13"/>
      <c r="E2604" s="11"/>
      <c r="F2604" s="11"/>
      <c r="G2604" s="13">
        <f t="shared" si="1"/>
        <v>1281</v>
      </c>
      <c r="H2604" s="13"/>
    </row>
    <row r="2605" ht="22.5" customHeight="1">
      <c r="B2605" s="17"/>
      <c r="C2605" s="17"/>
      <c r="D2605" s="13"/>
      <c r="E2605" s="11"/>
      <c r="F2605" s="11"/>
      <c r="G2605" s="13">
        <f t="shared" si="1"/>
        <v>1281</v>
      </c>
      <c r="H2605" s="13"/>
    </row>
    <row r="2606" ht="22.5" customHeight="1">
      <c r="B2606" s="17"/>
      <c r="C2606" s="17"/>
      <c r="D2606" s="13"/>
      <c r="E2606" s="11"/>
      <c r="F2606" s="11"/>
      <c r="G2606" s="13">
        <f t="shared" si="1"/>
        <v>1281</v>
      </c>
      <c r="H2606" s="13"/>
    </row>
    <row r="2607" ht="22.5" customHeight="1">
      <c r="B2607" s="17"/>
      <c r="C2607" s="17"/>
      <c r="D2607" s="13"/>
      <c r="E2607" s="11"/>
      <c r="F2607" s="11"/>
      <c r="G2607" s="13">
        <f t="shared" si="1"/>
        <v>1281</v>
      </c>
      <c r="H2607" s="13"/>
    </row>
    <row r="2608" ht="22.5" customHeight="1">
      <c r="B2608" s="17"/>
      <c r="C2608" s="17"/>
      <c r="D2608" s="13"/>
      <c r="E2608" s="11"/>
      <c r="F2608" s="11"/>
      <c r="G2608" s="13">
        <f t="shared" si="1"/>
        <v>1281</v>
      </c>
      <c r="H2608" s="13"/>
    </row>
    <row r="2609" ht="22.5" customHeight="1">
      <c r="B2609" s="17"/>
      <c r="C2609" s="17"/>
      <c r="D2609" s="13"/>
      <c r="E2609" s="11"/>
      <c r="F2609" s="11"/>
      <c r="G2609" s="13">
        <f t="shared" si="1"/>
        <v>1281</v>
      </c>
      <c r="H2609" s="13"/>
    </row>
    <row r="2610" ht="22.5" customHeight="1">
      <c r="B2610" s="17"/>
      <c r="C2610" s="17"/>
      <c r="D2610" s="13"/>
      <c r="E2610" s="11"/>
      <c r="F2610" s="11"/>
      <c r="G2610" s="13">
        <f t="shared" si="1"/>
        <v>1281</v>
      </c>
      <c r="H2610" s="13"/>
    </row>
    <row r="2611" ht="22.5" customHeight="1">
      <c r="B2611" s="17"/>
      <c r="C2611" s="17"/>
      <c r="D2611" s="13"/>
      <c r="E2611" s="11"/>
      <c r="F2611" s="11"/>
      <c r="G2611" s="13">
        <f t="shared" si="1"/>
        <v>1281</v>
      </c>
      <c r="H2611" s="13"/>
    </row>
    <row r="2612" ht="22.5" customHeight="1">
      <c r="B2612" s="17"/>
      <c r="C2612" s="17"/>
      <c r="D2612" s="13"/>
      <c r="E2612" s="11"/>
      <c r="F2612" s="11"/>
      <c r="G2612" s="13">
        <f t="shared" si="1"/>
        <v>1281</v>
      </c>
      <c r="H2612" s="13"/>
    </row>
    <row r="2613" ht="22.5" customHeight="1">
      <c r="B2613" s="17"/>
      <c r="C2613" s="17"/>
      <c r="D2613" s="13"/>
      <c r="E2613" s="11"/>
      <c r="F2613" s="11"/>
      <c r="G2613" s="13">
        <f t="shared" si="1"/>
        <v>1281</v>
      </c>
      <c r="H2613" s="13"/>
    </row>
    <row r="2614" ht="22.5" customHeight="1">
      <c r="B2614" s="17"/>
      <c r="C2614" s="17"/>
      <c r="D2614" s="13"/>
      <c r="E2614" s="11"/>
      <c r="F2614" s="11"/>
      <c r="G2614" s="13">
        <f t="shared" si="1"/>
        <v>1281</v>
      </c>
      <c r="H2614" s="13"/>
    </row>
    <row r="2615" ht="22.5" customHeight="1">
      <c r="B2615" s="17"/>
      <c r="C2615" s="17"/>
      <c r="D2615" s="13"/>
      <c r="E2615" s="11"/>
      <c r="F2615" s="11"/>
      <c r="G2615" s="13">
        <f t="shared" si="1"/>
        <v>1281</v>
      </c>
      <c r="H2615" s="13"/>
    </row>
    <row r="2616" ht="22.5" customHeight="1">
      <c r="B2616" s="17"/>
      <c r="C2616" s="17"/>
      <c r="D2616" s="13"/>
      <c r="E2616" s="11"/>
      <c r="F2616" s="11"/>
      <c r="G2616" s="13">
        <f t="shared" si="1"/>
        <v>1281</v>
      </c>
      <c r="H2616" s="13"/>
    </row>
    <row r="2617" ht="22.5" customHeight="1">
      <c r="B2617" s="17"/>
      <c r="C2617" s="17"/>
      <c r="D2617" s="13"/>
      <c r="E2617" s="11"/>
      <c r="F2617" s="11"/>
      <c r="G2617" s="13">
        <f t="shared" si="1"/>
        <v>1281</v>
      </c>
      <c r="H2617" s="13"/>
    </row>
    <row r="2618" ht="22.5" customHeight="1">
      <c r="B2618" s="17"/>
      <c r="C2618" s="17"/>
      <c r="D2618" s="13"/>
      <c r="E2618" s="11"/>
      <c r="F2618" s="11"/>
      <c r="G2618" s="13">
        <f t="shared" si="1"/>
        <v>1281</v>
      </c>
      <c r="H2618" s="13"/>
    </row>
    <row r="2619" ht="22.5" customHeight="1">
      <c r="B2619" s="17"/>
      <c r="C2619" s="17"/>
      <c r="D2619" s="13"/>
      <c r="E2619" s="11"/>
      <c r="F2619" s="11"/>
      <c r="G2619" s="13">
        <f t="shared" si="1"/>
        <v>1281</v>
      </c>
      <c r="H2619" s="13"/>
    </row>
    <row r="2620" ht="22.5" customHeight="1">
      <c r="B2620" s="17"/>
      <c r="C2620" s="17"/>
      <c r="D2620" s="13"/>
      <c r="E2620" s="11"/>
      <c r="F2620" s="11"/>
      <c r="G2620" s="13">
        <f t="shared" si="1"/>
        <v>1281</v>
      </c>
      <c r="H2620" s="13"/>
    </row>
    <row r="2621" ht="22.5" customHeight="1">
      <c r="B2621" s="17"/>
      <c r="C2621" s="17"/>
      <c r="D2621" s="13"/>
      <c r="E2621" s="11"/>
      <c r="F2621" s="11"/>
      <c r="G2621" s="13">
        <f t="shared" si="1"/>
        <v>1281</v>
      </c>
      <c r="H2621" s="13"/>
    </row>
    <row r="2622" ht="22.5" customHeight="1">
      <c r="B2622" s="17"/>
      <c r="C2622" s="17"/>
      <c r="D2622" s="13"/>
      <c r="E2622" s="11"/>
      <c r="F2622" s="11"/>
      <c r="G2622" s="13">
        <f t="shared" si="1"/>
        <v>1281</v>
      </c>
      <c r="H2622" s="13"/>
    </row>
    <row r="2623" ht="22.5" customHeight="1">
      <c r="B2623" s="17"/>
      <c r="C2623" s="17"/>
      <c r="D2623" s="13"/>
      <c r="E2623" s="11"/>
      <c r="F2623" s="11"/>
      <c r="G2623" s="13">
        <f t="shared" si="1"/>
        <v>1281</v>
      </c>
      <c r="H2623" s="13"/>
    </row>
    <row r="2624" ht="22.5" customHeight="1">
      <c r="B2624" s="17"/>
      <c r="C2624" s="17"/>
      <c r="D2624" s="13"/>
      <c r="E2624" s="11"/>
      <c r="F2624" s="11"/>
      <c r="G2624" s="13">
        <f t="shared" si="1"/>
        <v>1281</v>
      </c>
      <c r="H2624" s="13"/>
    </row>
    <row r="2625" ht="22.5" customHeight="1">
      <c r="B2625" s="17"/>
      <c r="C2625" s="17"/>
      <c r="D2625" s="13"/>
      <c r="E2625" s="11"/>
      <c r="F2625" s="11"/>
      <c r="G2625" s="13">
        <f t="shared" si="1"/>
        <v>1281</v>
      </c>
      <c r="H2625" s="13"/>
    </row>
    <row r="2626" ht="22.5" customHeight="1">
      <c r="B2626" s="17"/>
      <c r="C2626" s="17"/>
      <c r="D2626" s="13"/>
      <c r="E2626" s="11"/>
      <c r="F2626" s="11"/>
      <c r="G2626" s="13">
        <f t="shared" si="1"/>
        <v>1281</v>
      </c>
      <c r="H2626" s="13"/>
    </row>
    <row r="2627" ht="22.5" customHeight="1">
      <c r="B2627" s="17"/>
      <c r="C2627" s="17"/>
      <c r="D2627" s="13"/>
      <c r="E2627" s="11"/>
      <c r="F2627" s="11"/>
      <c r="G2627" s="13">
        <f t="shared" si="1"/>
        <v>1281</v>
      </c>
      <c r="H2627" s="13"/>
    </row>
    <row r="2628" ht="22.5" customHeight="1">
      <c r="B2628" s="17"/>
      <c r="C2628" s="17"/>
      <c r="D2628" s="13"/>
      <c r="E2628" s="11"/>
      <c r="F2628" s="11"/>
      <c r="G2628" s="13">
        <f t="shared" si="1"/>
        <v>1281</v>
      </c>
      <c r="H2628" s="13"/>
    </row>
    <row r="2629" ht="22.5" customHeight="1">
      <c r="B2629" s="17"/>
      <c r="C2629" s="17"/>
      <c r="D2629" s="13"/>
      <c r="E2629" s="11"/>
      <c r="F2629" s="11"/>
      <c r="G2629" s="13">
        <f t="shared" si="1"/>
        <v>1281</v>
      </c>
      <c r="H2629" s="13"/>
    </row>
    <row r="2630" ht="22.5" customHeight="1">
      <c r="B2630" s="17"/>
      <c r="C2630" s="17"/>
      <c r="D2630" s="13"/>
      <c r="E2630" s="11"/>
      <c r="F2630" s="11"/>
      <c r="G2630" s="13">
        <f t="shared" si="1"/>
        <v>1281</v>
      </c>
      <c r="H2630" s="13"/>
    </row>
    <row r="2631" ht="22.5" customHeight="1">
      <c r="B2631" s="17"/>
      <c r="C2631" s="17"/>
      <c r="D2631" s="13"/>
      <c r="E2631" s="11"/>
      <c r="F2631" s="11"/>
      <c r="G2631" s="13">
        <f t="shared" si="1"/>
        <v>1281</v>
      </c>
      <c r="H2631" s="13"/>
    </row>
    <row r="2632" ht="22.5" customHeight="1">
      <c r="B2632" s="17"/>
      <c r="C2632" s="17"/>
      <c r="D2632" s="13"/>
      <c r="E2632" s="11"/>
      <c r="F2632" s="11"/>
      <c r="G2632" s="13">
        <f t="shared" si="1"/>
        <v>1281</v>
      </c>
      <c r="H2632" s="13"/>
    </row>
    <row r="2633" ht="22.5" customHeight="1">
      <c r="B2633" s="17"/>
      <c r="C2633" s="17"/>
      <c r="D2633" s="13"/>
      <c r="E2633" s="11"/>
      <c r="F2633" s="11"/>
      <c r="G2633" s="13">
        <f t="shared" si="1"/>
        <v>1281</v>
      </c>
      <c r="H2633" s="13"/>
    </row>
    <row r="2634" ht="22.5" customHeight="1">
      <c r="B2634" s="17"/>
      <c r="C2634" s="17"/>
      <c r="D2634" s="13"/>
      <c r="E2634" s="11"/>
      <c r="F2634" s="11"/>
      <c r="G2634" s="13">
        <f t="shared" si="1"/>
        <v>1281</v>
      </c>
      <c r="H2634" s="13"/>
    </row>
    <row r="2635" ht="22.5" customHeight="1">
      <c r="B2635" s="17"/>
      <c r="C2635" s="17"/>
      <c r="D2635" s="13"/>
      <c r="E2635" s="11"/>
      <c r="F2635" s="11"/>
      <c r="G2635" s="13">
        <f t="shared" si="1"/>
        <v>1281</v>
      </c>
      <c r="H2635" s="13"/>
    </row>
    <row r="2636" ht="22.5" customHeight="1">
      <c r="B2636" s="17"/>
      <c r="C2636" s="17"/>
      <c r="D2636" s="13"/>
      <c r="E2636" s="11"/>
      <c r="F2636" s="11"/>
      <c r="G2636" s="13">
        <f t="shared" si="1"/>
        <v>1281</v>
      </c>
      <c r="H2636" s="13"/>
    </row>
    <row r="2637" ht="22.5" customHeight="1">
      <c r="B2637" s="17"/>
      <c r="C2637" s="17"/>
      <c r="D2637" s="13"/>
      <c r="E2637" s="11"/>
      <c r="F2637" s="11"/>
      <c r="G2637" s="13">
        <f t="shared" si="1"/>
        <v>1281</v>
      </c>
      <c r="H2637" s="13"/>
    </row>
    <row r="2638" ht="22.5" customHeight="1">
      <c r="B2638" s="17"/>
      <c r="C2638" s="17"/>
      <c r="D2638" s="13"/>
      <c r="E2638" s="11"/>
      <c r="F2638" s="11"/>
      <c r="G2638" s="13">
        <f t="shared" si="1"/>
        <v>1281</v>
      </c>
      <c r="H2638" s="13"/>
    </row>
    <row r="2639" ht="22.5" customHeight="1">
      <c r="B2639" s="17"/>
      <c r="C2639" s="17"/>
      <c r="D2639" s="13"/>
      <c r="E2639" s="11"/>
      <c r="F2639" s="11"/>
      <c r="G2639" s="13">
        <f t="shared" si="1"/>
        <v>1281</v>
      </c>
      <c r="H2639" s="13"/>
    </row>
    <row r="2640" ht="22.5" customHeight="1">
      <c r="B2640" s="17"/>
      <c r="C2640" s="17"/>
      <c r="D2640" s="13"/>
      <c r="E2640" s="11"/>
      <c r="F2640" s="11"/>
      <c r="G2640" s="13">
        <f t="shared" si="1"/>
        <v>1281</v>
      </c>
      <c r="H2640" s="13"/>
    </row>
    <row r="2641" ht="22.5" customHeight="1">
      <c r="B2641" s="17"/>
      <c r="C2641" s="17"/>
      <c r="D2641" s="13"/>
      <c r="E2641" s="11"/>
      <c r="F2641" s="11"/>
      <c r="G2641" s="13">
        <f t="shared" si="1"/>
        <v>1281</v>
      </c>
      <c r="H2641" s="13"/>
    </row>
    <row r="2642" ht="22.5" customHeight="1">
      <c r="B2642" s="17"/>
      <c r="C2642" s="17"/>
      <c r="D2642" s="13"/>
      <c r="E2642" s="11"/>
      <c r="F2642" s="11"/>
      <c r="G2642" s="13">
        <f t="shared" si="1"/>
        <v>1281</v>
      </c>
      <c r="H2642" s="13"/>
    </row>
    <row r="2643" ht="22.5" customHeight="1">
      <c r="B2643" s="17"/>
      <c r="C2643" s="17"/>
      <c r="D2643" s="13"/>
      <c r="E2643" s="11"/>
      <c r="F2643" s="11"/>
      <c r="G2643" s="13">
        <f t="shared" si="1"/>
        <v>1281</v>
      </c>
      <c r="H2643" s="13"/>
    </row>
    <row r="2644" ht="22.5" customHeight="1">
      <c r="B2644" s="17"/>
      <c r="C2644" s="17"/>
      <c r="D2644" s="13"/>
      <c r="E2644" s="11"/>
      <c r="F2644" s="11"/>
      <c r="G2644" s="13">
        <f t="shared" si="1"/>
        <v>1281</v>
      </c>
      <c r="H2644" s="13"/>
    </row>
    <row r="2645" ht="22.5" customHeight="1">
      <c r="B2645" s="17"/>
      <c r="C2645" s="17"/>
      <c r="D2645" s="13"/>
      <c r="E2645" s="11"/>
      <c r="F2645" s="11"/>
      <c r="G2645" s="13">
        <f t="shared" si="1"/>
        <v>1281</v>
      </c>
      <c r="H2645" s="13"/>
    </row>
    <row r="2646" ht="22.5" customHeight="1">
      <c r="B2646" s="17"/>
      <c r="C2646" s="17"/>
      <c r="D2646" s="13"/>
      <c r="E2646" s="11"/>
      <c r="F2646" s="11"/>
      <c r="G2646" s="13">
        <f t="shared" si="1"/>
        <v>1281</v>
      </c>
      <c r="H2646" s="13"/>
    </row>
    <row r="2647" ht="22.5" customHeight="1">
      <c r="B2647" s="17"/>
      <c r="C2647" s="17"/>
      <c r="D2647" s="13"/>
      <c r="E2647" s="11"/>
      <c r="F2647" s="11"/>
      <c r="G2647" s="13">
        <f t="shared" si="1"/>
        <v>1281</v>
      </c>
      <c r="H2647" s="13"/>
    </row>
    <row r="2648" ht="22.5" customHeight="1">
      <c r="B2648" s="17"/>
      <c r="C2648" s="17"/>
      <c r="D2648" s="13"/>
      <c r="E2648" s="11"/>
      <c r="F2648" s="11"/>
      <c r="G2648" s="13">
        <f t="shared" si="1"/>
        <v>1281</v>
      </c>
      <c r="H2648" s="13"/>
    </row>
    <row r="2649" ht="22.5" customHeight="1">
      <c r="B2649" s="17"/>
      <c r="C2649" s="17"/>
      <c r="D2649" s="13"/>
      <c r="E2649" s="11"/>
      <c r="F2649" s="11"/>
      <c r="G2649" s="13">
        <f t="shared" si="1"/>
        <v>1281</v>
      </c>
      <c r="H2649" s="13"/>
    </row>
    <row r="2650" ht="22.5" customHeight="1">
      <c r="B2650" s="17"/>
      <c r="C2650" s="17"/>
      <c r="D2650" s="13"/>
      <c r="E2650" s="11"/>
      <c r="F2650" s="11"/>
      <c r="G2650" s="13">
        <f t="shared" si="1"/>
        <v>1281</v>
      </c>
      <c r="H2650" s="13"/>
    </row>
    <row r="2651" ht="22.5" customHeight="1">
      <c r="B2651" s="17"/>
      <c r="C2651" s="17"/>
      <c r="D2651" s="13"/>
      <c r="E2651" s="11"/>
      <c r="F2651" s="11"/>
      <c r="G2651" s="13">
        <f t="shared" si="1"/>
        <v>1281</v>
      </c>
      <c r="H2651" s="13"/>
    </row>
    <row r="2652" ht="22.5" customHeight="1">
      <c r="B2652" s="17"/>
      <c r="C2652" s="17"/>
      <c r="D2652" s="13"/>
      <c r="E2652" s="11"/>
      <c r="F2652" s="11"/>
      <c r="G2652" s="13">
        <f t="shared" si="1"/>
        <v>1281</v>
      </c>
      <c r="H2652" s="13"/>
    </row>
    <row r="2653" ht="22.5" customHeight="1">
      <c r="B2653" s="17"/>
      <c r="C2653" s="17"/>
      <c r="D2653" s="13"/>
      <c r="E2653" s="11"/>
      <c r="F2653" s="11"/>
      <c r="G2653" s="13">
        <f t="shared" si="1"/>
        <v>1281</v>
      </c>
      <c r="H2653" s="13"/>
    </row>
    <row r="2654" ht="22.5" customHeight="1">
      <c r="B2654" s="17"/>
      <c r="C2654" s="17"/>
      <c r="D2654" s="13"/>
      <c r="E2654" s="11"/>
      <c r="F2654" s="11"/>
      <c r="G2654" s="13">
        <f t="shared" si="1"/>
        <v>1281</v>
      </c>
      <c r="H2654" s="13"/>
    </row>
    <row r="2655" ht="22.5" customHeight="1">
      <c r="B2655" s="17"/>
      <c r="C2655" s="17"/>
      <c r="D2655" s="13"/>
      <c r="E2655" s="11"/>
      <c r="F2655" s="11"/>
      <c r="G2655" s="13">
        <f t="shared" si="1"/>
        <v>1281</v>
      </c>
      <c r="H2655" s="13"/>
    </row>
    <row r="2656" ht="22.5" customHeight="1">
      <c r="B2656" s="17"/>
      <c r="C2656" s="17"/>
      <c r="D2656" s="13"/>
      <c r="E2656" s="11"/>
      <c r="F2656" s="11"/>
      <c r="G2656" s="13">
        <f t="shared" si="1"/>
        <v>1281</v>
      </c>
      <c r="H2656" s="13"/>
    </row>
    <row r="2657" ht="22.5" customHeight="1">
      <c r="B2657" s="17"/>
      <c r="C2657" s="17"/>
      <c r="D2657" s="13"/>
      <c r="E2657" s="11"/>
      <c r="F2657" s="11"/>
      <c r="G2657" s="13">
        <f t="shared" si="1"/>
        <v>1281</v>
      </c>
      <c r="H2657" s="13"/>
    </row>
    <row r="2658" ht="22.5" customHeight="1">
      <c r="B2658" s="17"/>
      <c r="C2658" s="17"/>
      <c r="D2658" s="13"/>
      <c r="E2658" s="11"/>
      <c r="F2658" s="11"/>
      <c r="G2658" s="13">
        <f t="shared" si="1"/>
        <v>1281</v>
      </c>
      <c r="H2658" s="13"/>
    </row>
    <row r="2659" ht="22.5" customHeight="1">
      <c r="B2659" s="17"/>
      <c r="C2659" s="17"/>
      <c r="D2659" s="13"/>
      <c r="E2659" s="11"/>
      <c r="F2659" s="11"/>
      <c r="G2659" s="13">
        <f t="shared" si="1"/>
        <v>1281</v>
      </c>
      <c r="H2659" s="13"/>
    </row>
    <row r="2660" ht="22.5" customHeight="1">
      <c r="B2660" s="17"/>
      <c r="C2660" s="17"/>
      <c r="D2660" s="13"/>
      <c r="E2660" s="11"/>
      <c r="F2660" s="11"/>
      <c r="G2660" s="13">
        <f t="shared" si="1"/>
        <v>1281</v>
      </c>
      <c r="H2660" s="13"/>
    </row>
    <row r="2661" ht="22.5" customHeight="1">
      <c r="B2661" s="17"/>
      <c r="C2661" s="17"/>
      <c r="D2661" s="13"/>
      <c r="E2661" s="11"/>
      <c r="F2661" s="11"/>
      <c r="G2661" s="13">
        <f t="shared" si="1"/>
        <v>1281</v>
      </c>
      <c r="H2661" s="13"/>
    </row>
    <row r="2662" ht="22.5" customHeight="1">
      <c r="B2662" s="17"/>
      <c r="C2662" s="17"/>
      <c r="D2662" s="13"/>
      <c r="E2662" s="11"/>
      <c r="F2662" s="11"/>
      <c r="G2662" s="13">
        <f t="shared" si="1"/>
        <v>1281</v>
      </c>
      <c r="H2662" s="13"/>
    </row>
    <row r="2663" ht="22.5" customHeight="1">
      <c r="B2663" s="17"/>
      <c r="C2663" s="17"/>
      <c r="D2663" s="13"/>
      <c r="E2663" s="11"/>
      <c r="F2663" s="11"/>
      <c r="G2663" s="13">
        <f t="shared" si="1"/>
        <v>1281</v>
      </c>
      <c r="H2663" s="13"/>
    </row>
    <row r="2664" ht="22.5" customHeight="1">
      <c r="B2664" s="17"/>
      <c r="C2664" s="17"/>
      <c r="D2664" s="13"/>
      <c r="E2664" s="11"/>
      <c r="F2664" s="11"/>
      <c r="G2664" s="13">
        <f t="shared" si="1"/>
        <v>1281</v>
      </c>
      <c r="H2664" s="13"/>
    </row>
    <row r="2665" ht="22.5" customHeight="1">
      <c r="B2665" s="17"/>
      <c r="C2665" s="17"/>
      <c r="D2665" s="13"/>
      <c r="E2665" s="11"/>
      <c r="F2665" s="11"/>
      <c r="G2665" s="13">
        <f t="shared" si="1"/>
        <v>1281</v>
      </c>
      <c r="H2665" s="13"/>
    </row>
    <row r="2666" ht="22.5" customHeight="1">
      <c r="B2666" s="17"/>
      <c r="C2666" s="17"/>
      <c r="D2666" s="13"/>
      <c r="E2666" s="11"/>
      <c r="F2666" s="11"/>
      <c r="G2666" s="13">
        <f t="shared" si="1"/>
        <v>1281</v>
      </c>
      <c r="H2666" s="13"/>
    </row>
    <row r="2667" ht="22.5" customHeight="1">
      <c r="B2667" s="17"/>
      <c r="C2667" s="17"/>
      <c r="D2667" s="13"/>
      <c r="E2667" s="11"/>
      <c r="F2667" s="11"/>
      <c r="G2667" s="13">
        <f t="shared" si="1"/>
        <v>1281</v>
      </c>
      <c r="H2667" s="13"/>
    </row>
    <row r="2668" ht="22.5" customHeight="1">
      <c r="B2668" s="17"/>
      <c r="C2668" s="17"/>
      <c r="D2668" s="13"/>
      <c r="E2668" s="11"/>
      <c r="F2668" s="11"/>
      <c r="G2668" s="13">
        <f t="shared" si="1"/>
        <v>1281</v>
      </c>
      <c r="H2668" s="13"/>
    </row>
    <row r="2669" ht="22.5" customHeight="1">
      <c r="B2669" s="17"/>
      <c r="C2669" s="17"/>
      <c r="D2669" s="13"/>
      <c r="E2669" s="11"/>
      <c r="F2669" s="11"/>
      <c r="G2669" s="13">
        <f t="shared" si="1"/>
        <v>1281</v>
      </c>
      <c r="H2669" s="13"/>
    </row>
    <row r="2670" ht="22.5" customHeight="1">
      <c r="B2670" s="17"/>
      <c r="C2670" s="17"/>
      <c r="D2670" s="13"/>
      <c r="E2670" s="11"/>
      <c r="F2670" s="11"/>
      <c r="G2670" s="13">
        <f t="shared" si="1"/>
        <v>1281</v>
      </c>
      <c r="H2670" s="13"/>
    </row>
    <row r="2671" ht="22.5" customHeight="1">
      <c r="B2671" s="17"/>
      <c r="C2671" s="17"/>
      <c r="D2671" s="13"/>
      <c r="E2671" s="11"/>
      <c r="F2671" s="11"/>
      <c r="G2671" s="13">
        <f t="shared" si="1"/>
        <v>1281</v>
      </c>
      <c r="H2671" s="13"/>
    </row>
    <row r="2672" ht="22.5" customHeight="1">
      <c r="B2672" s="17"/>
      <c r="C2672" s="17"/>
      <c r="D2672" s="13"/>
      <c r="E2672" s="11"/>
      <c r="F2672" s="11"/>
      <c r="G2672" s="13">
        <f t="shared" si="1"/>
        <v>1281</v>
      </c>
      <c r="H2672" s="13"/>
    </row>
    <row r="2673" ht="22.5" customHeight="1">
      <c r="B2673" s="17"/>
      <c r="C2673" s="17"/>
      <c r="D2673" s="13"/>
      <c r="E2673" s="11"/>
      <c r="F2673" s="11"/>
      <c r="G2673" s="13">
        <f t="shared" si="1"/>
        <v>1281</v>
      </c>
      <c r="H2673" s="13"/>
    </row>
    <row r="2674" ht="22.5" customHeight="1">
      <c r="B2674" s="17"/>
      <c r="C2674" s="17"/>
      <c r="D2674" s="13"/>
      <c r="E2674" s="11"/>
      <c r="F2674" s="11"/>
      <c r="G2674" s="13">
        <f t="shared" si="1"/>
        <v>1281</v>
      </c>
      <c r="H2674" s="13"/>
    </row>
    <row r="2675" ht="22.5" customHeight="1">
      <c r="B2675" s="17"/>
      <c r="C2675" s="17"/>
      <c r="D2675" s="13"/>
      <c r="E2675" s="11"/>
      <c r="F2675" s="11"/>
      <c r="G2675" s="13">
        <f t="shared" si="1"/>
        <v>1281</v>
      </c>
      <c r="H2675" s="13"/>
    </row>
    <row r="2676" ht="22.5" customHeight="1">
      <c r="B2676" s="17"/>
      <c r="C2676" s="17"/>
      <c r="D2676" s="13"/>
      <c r="E2676" s="11"/>
      <c r="F2676" s="11"/>
      <c r="G2676" s="13">
        <f t="shared" si="1"/>
        <v>1281</v>
      </c>
      <c r="H2676" s="13"/>
    </row>
    <row r="2677" ht="22.5" customHeight="1">
      <c r="B2677" s="17"/>
      <c r="C2677" s="17"/>
      <c r="D2677" s="13"/>
      <c r="E2677" s="11"/>
      <c r="F2677" s="11"/>
      <c r="G2677" s="13">
        <f t="shared" si="1"/>
        <v>1281</v>
      </c>
      <c r="H2677" s="13"/>
    </row>
    <row r="2678" ht="22.5" customHeight="1">
      <c r="B2678" s="17"/>
      <c r="C2678" s="17"/>
      <c r="D2678" s="13"/>
      <c r="E2678" s="11"/>
      <c r="F2678" s="11"/>
      <c r="G2678" s="13">
        <f t="shared" si="1"/>
        <v>1281</v>
      </c>
      <c r="H2678" s="13"/>
    </row>
    <row r="2679" ht="22.5" customHeight="1">
      <c r="B2679" s="17"/>
      <c r="C2679" s="17"/>
      <c r="D2679" s="13"/>
      <c r="E2679" s="11"/>
      <c r="F2679" s="11"/>
      <c r="G2679" s="13">
        <f t="shared" si="1"/>
        <v>1281</v>
      </c>
      <c r="H2679" s="13"/>
    </row>
    <row r="2680" ht="22.5" customHeight="1">
      <c r="B2680" s="17"/>
      <c r="C2680" s="17"/>
      <c r="D2680" s="13"/>
      <c r="E2680" s="11"/>
      <c r="F2680" s="11"/>
      <c r="G2680" s="13">
        <f t="shared" si="1"/>
        <v>1281</v>
      </c>
      <c r="H2680" s="13"/>
    </row>
    <row r="2681" ht="22.5" customHeight="1">
      <c r="B2681" s="17"/>
      <c r="C2681" s="17"/>
      <c r="D2681" s="13"/>
      <c r="E2681" s="11"/>
      <c r="F2681" s="11"/>
      <c r="G2681" s="13">
        <f t="shared" si="1"/>
        <v>1281</v>
      </c>
      <c r="H2681" s="13"/>
    </row>
    <row r="2682" ht="22.5" customHeight="1">
      <c r="B2682" s="17"/>
      <c r="C2682" s="17"/>
      <c r="D2682" s="13"/>
      <c r="E2682" s="11"/>
      <c r="F2682" s="11"/>
      <c r="G2682" s="13">
        <f t="shared" si="1"/>
        <v>1281</v>
      </c>
      <c r="H2682" s="13"/>
    </row>
    <row r="2683" ht="22.5" customHeight="1">
      <c r="B2683" s="17"/>
      <c r="C2683" s="17"/>
      <c r="D2683" s="13"/>
      <c r="E2683" s="11"/>
      <c r="F2683" s="11"/>
      <c r="G2683" s="13">
        <f t="shared" si="1"/>
        <v>1281</v>
      </c>
      <c r="H2683" s="13"/>
    </row>
    <row r="2684" ht="22.5" customHeight="1">
      <c r="B2684" s="17"/>
      <c r="C2684" s="17"/>
      <c r="D2684" s="13"/>
      <c r="E2684" s="11"/>
      <c r="F2684" s="11"/>
      <c r="G2684" s="13">
        <f t="shared" si="1"/>
        <v>1281</v>
      </c>
      <c r="H2684" s="13"/>
    </row>
    <row r="2685" ht="22.5" customHeight="1">
      <c r="B2685" s="17"/>
      <c r="C2685" s="17"/>
      <c r="D2685" s="13"/>
      <c r="E2685" s="11"/>
      <c r="F2685" s="11"/>
      <c r="G2685" s="13">
        <f t="shared" si="1"/>
        <v>1281</v>
      </c>
      <c r="H2685" s="13"/>
    </row>
    <row r="2686" ht="22.5" customHeight="1">
      <c r="B2686" s="17"/>
      <c r="C2686" s="17"/>
      <c r="D2686" s="13"/>
      <c r="E2686" s="11"/>
      <c r="F2686" s="11"/>
      <c r="G2686" s="13">
        <f t="shared" si="1"/>
        <v>1281</v>
      </c>
      <c r="H2686" s="13"/>
    </row>
    <row r="2687" ht="22.5" customHeight="1">
      <c r="B2687" s="17"/>
      <c r="C2687" s="17"/>
      <c r="D2687" s="13"/>
      <c r="E2687" s="11"/>
      <c r="F2687" s="11"/>
      <c r="G2687" s="13">
        <f t="shared" si="1"/>
        <v>1281</v>
      </c>
      <c r="H2687" s="13"/>
    </row>
    <row r="2688" ht="22.5" customHeight="1">
      <c r="B2688" s="17"/>
      <c r="C2688" s="17"/>
      <c r="D2688" s="13"/>
      <c r="E2688" s="11"/>
      <c r="F2688" s="11"/>
      <c r="G2688" s="13">
        <f t="shared" si="1"/>
        <v>1281</v>
      </c>
      <c r="H2688" s="13"/>
    </row>
    <row r="2689" ht="22.5" customHeight="1">
      <c r="B2689" s="17"/>
      <c r="C2689" s="17"/>
      <c r="D2689" s="13"/>
      <c r="E2689" s="11"/>
      <c r="F2689" s="11"/>
      <c r="G2689" s="13">
        <f t="shared" si="1"/>
        <v>1281</v>
      </c>
      <c r="H2689" s="13"/>
    </row>
    <row r="2690" ht="22.5" customHeight="1">
      <c r="B2690" s="17"/>
      <c r="C2690" s="17"/>
      <c r="D2690" s="13"/>
      <c r="E2690" s="11"/>
      <c r="F2690" s="11"/>
      <c r="G2690" s="13">
        <f t="shared" si="1"/>
        <v>1281</v>
      </c>
      <c r="H2690" s="13"/>
    </row>
    <row r="2691" ht="22.5" customHeight="1">
      <c r="B2691" s="17"/>
      <c r="C2691" s="17"/>
      <c r="D2691" s="13"/>
      <c r="E2691" s="11"/>
      <c r="F2691" s="11"/>
      <c r="G2691" s="13">
        <f t="shared" si="1"/>
        <v>1281</v>
      </c>
      <c r="H2691" s="13"/>
    </row>
    <row r="2692" ht="22.5" customHeight="1">
      <c r="B2692" s="17"/>
      <c r="C2692" s="17"/>
      <c r="D2692" s="13"/>
      <c r="E2692" s="11"/>
      <c r="F2692" s="11"/>
      <c r="G2692" s="13">
        <f t="shared" si="1"/>
        <v>1281</v>
      </c>
      <c r="H2692" s="13"/>
    </row>
    <row r="2693" ht="22.5" customHeight="1">
      <c r="B2693" s="17"/>
      <c r="C2693" s="17"/>
      <c r="D2693" s="13"/>
      <c r="E2693" s="11"/>
      <c r="F2693" s="11"/>
      <c r="G2693" s="13">
        <f t="shared" si="1"/>
        <v>1281</v>
      </c>
      <c r="H2693" s="13"/>
    </row>
    <row r="2694" ht="22.5" customHeight="1">
      <c r="B2694" s="17"/>
      <c r="C2694" s="17"/>
      <c r="D2694" s="13"/>
      <c r="E2694" s="11"/>
      <c r="F2694" s="11"/>
      <c r="G2694" s="13">
        <f t="shared" si="1"/>
        <v>1281</v>
      </c>
      <c r="H2694" s="13"/>
    </row>
    <row r="2695" ht="22.5" customHeight="1">
      <c r="B2695" s="17"/>
      <c r="C2695" s="17"/>
      <c r="D2695" s="13"/>
      <c r="E2695" s="11"/>
      <c r="F2695" s="11"/>
      <c r="G2695" s="13">
        <f t="shared" si="1"/>
        <v>1281</v>
      </c>
      <c r="H2695" s="13"/>
    </row>
    <row r="2696" ht="22.5" customHeight="1">
      <c r="B2696" s="17"/>
      <c r="C2696" s="17"/>
      <c r="D2696" s="13"/>
      <c r="E2696" s="11"/>
      <c r="F2696" s="11"/>
      <c r="G2696" s="13">
        <f t="shared" si="1"/>
        <v>1281</v>
      </c>
      <c r="H2696" s="13"/>
    </row>
    <row r="2697" ht="22.5" customHeight="1">
      <c r="B2697" s="17"/>
      <c r="C2697" s="17"/>
      <c r="D2697" s="13"/>
      <c r="E2697" s="11"/>
      <c r="F2697" s="11"/>
      <c r="G2697" s="13">
        <f t="shared" si="1"/>
        <v>1281</v>
      </c>
      <c r="H2697" s="13"/>
    </row>
    <row r="2698" ht="22.5" customHeight="1">
      <c r="B2698" s="17"/>
      <c r="C2698" s="17"/>
      <c r="D2698" s="13"/>
      <c r="E2698" s="11"/>
      <c r="F2698" s="11"/>
      <c r="G2698" s="13">
        <f t="shared" si="1"/>
        <v>1281</v>
      </c>
      <c r="H2698" s="13"/>
    </row>
    <row r="2699" ht="22.5" customHeight="1">
      <c r="B2699" s="17"/>
      <c r="C2699" s="17"/>
      <c r="D2699" s="13"/>
      <c r="E2699" s="11"/>
      <c r="F2699" s="11"/>
      <c r="G2699" s="13">
        <f t="shared" si="1"/>
        <v>1281</v>
      </c>
      <c r="H2699" s="13"/>
    </row>
    <row r="2700" ht="22.5" customHeight="1">
      <c r="B2700" s="17"/>
      <c r="C2700" s="17"/>
      <c r="D2700" s="13"/>
      <c r="E2700" s="11"/>
      <c r="F2700" s="11"/>
      <c r="G2700" s="13">
        <f t="shared" si="1"/>
        <v>1281</v>
      </c>
      <c r="H2700" s="13"/>
    </row>
    <row r="2701" ht="22.5" customHeight="1">
      <c r="B2701" s="17"/>
      <c r="C2701" s="17"/>
      <c r="D2701" s="13"/>
      <c r="E2701" s="11"/>
      <c r="F2701" s="11"/>
      <c r="G2701" s="13">
        <f t="shared" si="1"/>
        <v>1281</v>
      </c>
      <c r="H2701" s="13"/>
    </row>
    <row r="2702" ht="22.5" customHeight="1">
      <c r="B2702" s="17"/>
      <c r="C2702" s="17"/>
      <c r="D2702" s="13"/>
      <c r="E2702" s="11"/>
      <c r="F2702" s="11"/>
      <c r="G2702" s="13">
        <f t="shared" si="1"/>
        <v>1281</v>
      </c>
      <c r="H2702" s="13"/>
    </row>
    <row r="2703" ht="22.5" customHeight="1">
      <c r="B2703" s="17"/>
      <c r="C2703" s="17"/>
      <c r="D2703" s="13"/>
      <c r="E2703" s="11"/>
      <c r="F2703" s="11"/>
      <c r="G2703" s="13">
        <f t="shared" si="1"/>
        <v>1281</v>
      </c>
      <c r="H2703" s="13"/>
    </row>
    <row r="2704" ht="22.5" customHeight="1">
      <c r="B2704" s="17"/>
      <c r="C2704" s="17"/>
      <c r="D2704" s="13"/>
      <c r="E2704" s="11"/>
      <c r="F2704" s="11"/>
      <c r="G2704" s="13">
        <f t="shared" si="1"/>
        <v>1281</v>
      </c>
      <c r="H2704" s="13"/>
    </row>
    <row r="2705" ht="22.5" customHeight="1">
      <c r="B2705" s="17"/>
      <c r="C2705" s="17"/>
      <c r="D2705" s="13"/>
      <c r="E2705" s="11"/>
      <c r="F2705" s="11"/>
      <c r="G2705" s="13">
        <f t="shared" si="1"/>
        <v>1281</v>
      </c>
      <c r="H2705" s="13"/>
    </row>
    <row r="2706" ht="22.5" customHeight="1">
      <c r="B2706" s="17"/>
      <c r="C2706" s="17"/>
      <c r="D2706" s="13"/>
      <c r="E2706" s="11"/>
      <c r="F2706" s="11"/>
      <c r="G2706" s="13">
        <f t="shared" si="1"/>
        <v>1281</v>
      </c>
      <c r="H2706" s="13"/>
    </row>
    <row r="2707" ht="22.5" customHeight="1">
      <c r="B2707" s="17"/>
      <c r="C2707" s="17"/>
      <c r="D2707" s="13"/>
      <c r="E2707" s="11"/>
      <c r="F2707" s="11"/>
      <c r="G2707" s="13">
        <f t="shared" si="1"/>
        <v>1281</v>
      </c>
      <c r="H2707" s="13"/>
    </row>
    <row r="2708" ht="22.5" customHeight="1">
      <c r="B2708" s="17"/>
      <c r="C2708" s="17"/>
      <c r="D2708" s="13"/>
      <c r="E2708" s="11"/>
      <c r="F2708" s="11"/>
      <c r="G2708" s="13">
        <f t="shared" si="1"/>
        <v>1281</v>
      </c>
      <c r="H2708" s="13"/>
    </row>
    <row r="2709" ht="22.5" customHeight="1">
      <c r="B2709" s="17"/>
      <c r="C2709" s="17"/>
      <c r="D2709" s="13"/>
      <c r="E2709" s="11"/>
      <c r="F2709" s="11"/>
      <c r="G2709" s="13">
        <f t="shared" si="1"/>
        <v>1281</v>
      </c>
      <c r="H2709" s="13"/>
    </row>
    <row r="2710" ht="22.5" customHeight="1">
      <c r="B2710" s="17"/>
      <c r="C2710" s="17"/>
      <c r="D2710" s="13"/>
      <c r="E2710" s="11"/>
      <c r="F2710" s="11"/>
      <c r="G2710" s="13">
        <f t="shared" si="1"/>
        <v>1281</v>
      </c>
      <c r="H2710" s="13"/>
    </row>
    <row r="2711" ht="22.5" customHeight="1">
      <c r="B2711" s="17"/>
      <c r="C2711" s="17"/>
      <c r="D2711" s="13"/>
      <c r="E2711" s="11"/>
      <c r="F2711" s="11"/>
      <c r="G2711" s="13">
        <f t="shared" si="1"/>
        <v>1281</v>
      </c>
      <c r="H2711" s="13"/>
    </row>
    <row r="2712" ht="22.5" customHeight="1">
      <c r="B2712" s="17"/>
      <c r="C2712" s="17"/>
      <c r="D2712" s="13"/>
      <c r="E2712" s="11"/>
      <c r="F2712" s="11"/>
      <c r="G2712" s="13">
        <f t="shared" si="1"/>
        <v>1281</v>
      </c>
      <c r="H2712" s="13"/>
    </row>
    <row r="2713" ht="22.5" customHeight="1">
      <c r="B2713" s="17"/>
      <c r="C2713" s="17"/>
      <c r="D2713" s="13"/>
      <c r="E2713" s="11"/>
      <c r="F2713" s="11"/>
      <c r="G2713" s="13">
        <f t="shared" si="1"/>
        <v>1281</v>
      </c>
      <c r="H2713" s="13"/>
    </row>
    <row r="2714" ht="22.5" customHeight="1">
      <c r="B2714" s="17"/>
      <c r="C2714" s="17"/>
      <c r="D2714" s="13"/>
      <c r="E2714" s="11"/>
      <c r="F2714" s="11"/>
      <c r="G2714" s="13">
        <f t="shared" si="1"/>
        <v>1281</v>
      </c>
      <c r="H2714" s="13"/>
    </row>
    <row r="2715" ht="22.5" customHeight="1">
      <c r="B2715" s="17"/>
      <c r="C2715" s="17"/>
      <c r="D2715" s="13"/>
      <c r="E2715" s="11"/>
      <c r="F2715" s="11"/>
      <c r="G2715" s="13">
        <f t="shared" si="1"/>
        <v>1281</v>
      </c>
      <c r="H2715" s="13"/>
    </row>
    <row r="2716" ht="22.5" customHeight="1">
      <c r="B2716" s="17"/>
      <c r="C2716" s="17"/>
      <c r="D2716" s="13"/>
      <c r="E2716" s="11"/>
      <c r="F2716" s="11"/>
      <c r="G2716" s="13">
        <f t="shared" si="1"/>
        <v>1281</v>
      </c>
      <c r="H2716" s="13"/>
    </row>
    <row r="2717" ht="22.5" customHeight="1">
      <c r="B2717" s="17"/>
      <c r="C2717" s="17"/>
      <c r="D2717" s="13"/>
      <c r="E2717" s="11"/>
      <c r="F2717" s="11"/>
      <c r="G2717" s="13">
        <f t="shared" si="1"/>
        <v>1281</v>
      </c>
      <c r="H2717" s="13"/>
    </row>
    <row r="2718" ht="22.5" customHeight="1">
      <c r="B2718" s="17"/>
      <c r="C2718" s="17"/>
      <c r="D2718" s="13"/>
      <c r="E2718" s="11"/>
      <c r="F2718" s="11"/>
      <c r="G2718" s="13">
        <f t="shared" si="1"/>
        <v>1281</v>
      </c>
      <c r="H2718" s="13"/>
    </row>
    <row r="2719" ht="22.5" customHeight="1">
      <c r="B2719" s="17"/>
      <c r="C2719" s="17"/>
      <c r="D2719" s="13"/>
      <c r="E2719" s="11"/>
      <c r="F2719" s="11"/>
      <c r="G2719" s="13">
        <f t="shared" si="1"/>
        <v>1281</v>
      </c>
      <c r="H2719" s="13"/>
    </row>
    <row r="2720" ht="22.5" customHeight="1">
      <c r="B2720" s="17"/>
      <c r="C2720" s="17"/>
      <c r="D2720" s="13"/>
      <c r="E2720" s="11"/>
      <c r="F2720" s="11"/>
      <c r="G2720" s="13">
        <f t="shared" si="1"/>
        <v>1281</v>
      </c>
      <c r="H2720" s="13"/>
    </row>
    <row r="2721" ht="22.5" customHeight="1">
      <c r="B2721" s="17"/>
      <c r="C2721" s="17"/>
      <c r="D2721" s="13"/>
      <c r="E2721" s="11"/>
      <c r="F2721" s="11"/>
      <c r="G2721" s="13">
        <f t="shared" si="1"/>
        <v>1281</v>
      </c>
      <c r="H2721" s="13"/>
    </row>
    <row r="2722" ht="22.5" customHeight="1">
      <c r="B2722" s="17"/>
      <c r="C2722" s="17"/>
      <c r="D2722" s="13"/>
      <c r="E2722" s="11"/>
      <c r="F2722" s="11"/>
      <c r="G2722" s="13">
        <f t="shared" si="1"/>
        <v>1281</v>
      </c>
      <c r="H2722" s="13"/>
    </row>
    <row r="2723" ht="22.5" customHeight="1">
      <c r="B2723" s="17"/>
      <c r="C2723" s="17"/>
      <c r="D2723" s="13"/>
      <c r="E2723" s="11"/>
      <c r="F2723" s="11"/>
      <c r="G2723" s="13">
        <f t="shared" si="1"/>
        <v>1281</v>
      </c>
      <c r="H2723" s="13"/>
    </row>
    <row r="2724" ht="22.5" customHeight="1">
      <c r="B2724" s="17"/>
      <c r="C2724" s="17"/>
      <c r="D2724" s="13"/>
      <c r="E2724" s="11"/>
      <c r="F2724" s="11"/>
      <c r="G2724" s="13">
        <f t="shared" si="1"/>
        <v>1281</v>
      </c>
      <c r="H2724" s="13"/>
    </row>
    <row r="2725" ht="22.5" customHeight="1">
      <c r="B2725" s="17"/>
      <c r="C2725" s="17"/>
      <c r="D2725" s="13"/>
      <c r="E2725" s="11"/>
      <c r="F2725" s="11"/>
      <c r="G2725" s="13">
        <f t="shared" si="1"/>
        <v>1281</v>
      </c>
      <c r="H2725" s="13"/>
    </row>
    <row r="2726" ht="22.5" customHeight="1">
      <c r="B2726" s="17"/>
      <c r="C2726" s="17"/>
      <c r="D2726" s="13"/>
      <c r="E2726" s="11"/>
      <c r="F2726" s="11"/>
      <c r="G2726" s="13">
        <f t="shared" si="1"/>
        <v>1281</v>
      </c>
      <c r="H2726" s="13"/>
    </row>
    <row r="2727" ht="22.5" customHeight="1">
      <c r="B2727" s="17"/>
      <c r="C2727" s="17"/>
      <c r="D2727" s="13"/>
      <c r="E2727" s="11"/>
      <c r="F2727" s="11"/>
      <c r="G2727" s="13">
        <f t="shared" si="1"/>
        <v>1281</v>
      </c>
      <c r="H2727" s="13"/>
    </row>
    <row r="2728" ht="22.5" customHeight="1">
      <c r="B2728" s="17"/>
      <c r="C2728" s="17"/>
      <c r="D2728" s="13"/>
      <c r="E2728" s="11"/>
      <c r="F2728" s="11"/>
      <c r="G2728" s="13">
        <f t="shared" si="1"/>
        <v>1281</v>
      </c>
      <c r="H2728" s="13"/>
    </row>
    <row r="2729" ht="22.5" customHeight="1">
      <c r="B2729" s="17"/>
      <c r="C2729" s="17"/>
      <c r="D2729" s="13"/>
      <c r="E2729" s="11"/>
      <c r="F2729" s="11"/>
      <c r="G2729" s="13">
        <f t="shared" si="1"/>
        <v>1281</v>
      </c>
      <c r="H2729" s="13"/>
    </row>
    <row r="2730" ht="22.5" customHeight="1">
      <c r="B2730" s="17"/>
      <c r="C2730" s="17"/>
      <c r="D2730" s="13"/>
      <c r="E2730" s="11"/>
      <c r="F2730" s="11"/>
      <c r="G2730" s="13">
        <f t="shared" si="1"/>
        <v>1281</v>
      </c>
      <c r="H2730" s="13"/>
    </row>
    <row r="2731" ht="22.5" customHeight="1">
      <c r="B2731" s="17"/>
      <c r="C2731" s="17"/>
      <c r="D2731" s="13"/>
      <c r="E2731" s="11"/>
      <c r="F2731" s="11"/>
      <c r="G2731" s="13">
        <f t="shared" si="1"/>
        <v>1281</v>
      </c>
      <c r="H2731" s="13"/>
    </row>
    <row r="2732" ht="22.5" customHeight="1">
      <c r="B2732" s="17"/>
      <c r="C2732" s="17"/>
      <c r="D2732" s="13"/>
      <c r="E2732" s="11"/>
      <c r="F2732" s="11"/>
      <c r="G2732" s="13">
        <f t="shared" si="1"/>
        <v>1281</v>
      </c>
      <c r="H2732" s="13"/>
    </row>
    <row r="2733" ht="22.5" customHeight="1">
      <c r="B2733" s="17"/>
      <c r="C2733" s="17"/>
      <c r="D2733" s="13"/>
      <c r="E2733" s="11"/>
      <c r="F2733" s="11"/>
      <c r="G2733" s="13">
        <f t="shared" si="1"/>
        <v>1281</v>
      </c>
      <c r="H2733" s="13"/>
    </row>
    <row r="2734" ht="22.5" customHeight="1">
      <c r="B2734" s="17"/>
      <c r="C2734" s="17"/>
      <c r="D2734" s="13"/>
      <c r="E2734" s="11"/>
      <c r="F2734" s="11"/>
      <c r="G2734" s="13">
        <f t="shared" si="1"/>
        <v>1281</v>
      </c>
      <c r="H2734" s="13"/>
    </row>
    <row r="2735" ht="22.5" customHeight="1">
      <c r="B2735" s="17"/>
      <c r="C2735" s="17"/>
      <c r="D2735" s="13"/>
      <c r="E2735" s="11"/>
      <c r="F2735" s="11"/>
      <c r="G2735" s="13">
        <f t="shared" si="1"/>
        <v>1281</v>
      </c>
      <c r="H2735" s="13"/>
    </row>
    <row r="2736" ht="22.5" customHeight="1">
      <c r="B2736" s="17"/>
      <c r="C2736" s="17"/>
      <c r="D2736" s="13"/>
      <c r="E2736" s="11"/>
      <c r="F2736" s="11"/>
      <c r="G2736" s="13">
        <f t="shared" si="1"/>
        <v>1281</v>
      </c>
      <c r="H2736" s="13"/>
    </row>
    <row r="2737" ht="22.5" customHeight="1">
      <c r="B2737" s="17"/>
      <c r="C2737" s="17"/>
      <c r="D2737" s="13"/>
      <c r="E2737" s="11"/>
      <c r="F2737" s="11"/>
      <c r="G2737" s="13">
        <f t="shared" si="1"/>
        <v>1281</v>
      </c>
      <c r="H2737" s="13"/>
    </row>
    <row r="2738" ht="22.5" customHeight="1">
      <c r="B2738" s="17"/>
      <c r="C2738" s="17"/>
      <c r="D2738" s="13"/>
      <c r="E2738" s="11"/>
      <c r="F2738" s="11"/>
      <c r="G2738" s="13">
        <f t="shared" si="1"/>
        <v>1281</v>
      </c>
      <c r="H2738" s="13"/>
    </row>
    <row r="2739" ht="22.5" customHeight="1">
      <c r="B2739" s="17"/>
      <c r="C2739" s="17"/>
      <c r="D2739" s="13"/>
      <c r="E2739" s="11"/>
      <c r="F2739" s="11"/>
      <c r="G2739" s="13">
        <f t="shared" si="1"/>
        <v>1281</v>
      </c>
      <c r="H2739" s="13"/>
    </row>
    <row r="2740" ht="22.5" customHeight="1">
      <c r="B2740" s="17"/>
      <c r="C2740" s="17"/>
      <c r="D2740" s="13"/>
      <c r="E2740" s="11"/>
      <c r="F2740" s="11"/>
      <c r="G2740" s="13">
        <f t="shared" si="1"/>
        <v>1281</v>
      </c>
      <c r="H2740" s="13"/>
    </row>
    <row r="2741" ht="22.5" customHeight="1">
      <c r="B2741" s="17"/>
      <c r="C2741" s="17"/>
      <c r="D2741" s="13"/>
      <c r="E2741" s="11"/>
      <c r="F2741" s="11"/>
      <c r="G2741" s="13">
        <f t="shared" si="1"/>
        <v>1281</v>
      </c>
      <c r="H2741" s="13"/>
    </row>
    <row r="2742" ht="22.5" customHeight="1">
      <c r="B2742" s="17"/>
      <c r="C2742" s="17"/>
      <c r="D2742" s="13"/>
      <c r="E2742" s="11"/>
      <c r="F2742" s="11"/>
      <c r="G2742" s="13">
        <f t="shared" si="1"/>
        <v>1281</v>
      </c>
      <c r="H2742" s="13"/>
    </row>
    <row r="2743" ht="22.5" customHeight="1">
      <c r="B2743" s="17"/>
      <c r="C2743" s="17"/>
      <c r="D2743" s="13"/>
      <c r="E2743" s="11"/>
      <c r="F2743" s="11"/>
      <c r="G2743" s="13">
        <f t="shared" si="1"/>
        <v>1281</v>
      </c>
      <c r="H2743" s="13"/>
    </row>
    <row r="2744" ht="22.5" customHeight="1">
      <c r="B2744" s="17"/>
      <c r="C2744" s="17"/>
      <c r="D2744" s="13"/>
      <c r="E2744" s="11"/>
      <c r="F2744" s="11"/>
      <c r="G2744" s="13">
        <f t="shared" si="1"/>
        <v>1281</v>
      </c>
      <c r="H2744" s="13"/>
    </row>
    <row r="2745" ht="22.5" customHeight="1">
      <c r="B2745" s="17"/>
      <c r="C2745" s="17"/>
      <c r="D2745" s="13"/>
      <c r="E2745" s="11"/>
      <c r="F2745" s="11"/>
      <c r="G2745" s="13">
        <f t="shared" si="1"/>
        <v>1281</v>
      </c>
      <c r="H2745" s="13"/>
    </row>
    <row r="2746" ht="22.5" customHeight="1">
      <c r="B2746" s="17"/>
      <c r="C2746" s="17"/>
      <c r="D2746" s="13"/>
      <c r="E2746" s="11"/>
      <c r="F2746" s="11"/>
      <c r="G2746" s="13">
        <f t="shared" si="1"/>
        <v>1281</v>
      </c>
      <c r="H2746" s="13"/>
    </row>
    <row r="2747" ht="22.5" customHeight="1">
      <c r="B2747" s="17"/>
      <c r="C2747" s="17"/>
      <c r="D2747" s="13"/>
      <c r="E2747" s="11"/>
      <c r="F2747" s="11"/>
      <c r="G2747" s="13">
        <f t="shared" si="1"/>
        <v>1281</v>
      </c>
      <c r="H2747" s="13"/>
    </row>
    <row r="2748" ht="22.5" customHeight="1">
      <c r="B2748" s="17"/>
      <c r="C2748" s="17"/>
      <c r="D2748" s="13"/>
      <c r="E2748" s="11"/>
      <c r="F2748" s="11"/>
      <c r="G2748" s="13">
        <f t="shared" si="1"/>
        <v>1281</v>
      </c>
      <c r="H2748" s="13"/>
    </row>
    <row r="2749" ht="22.5" customHeight="1">
      <c r="B2749" s="17"/>
      <c r="C2749" s="17"/>
      <c r="D2749" s="13"/>
      <c r="E2749" s="11"/>
      <c r="F2749" s="11"/>
      <c r="G2749" s="13">
        <f t="shared" si="1"/>
        <v>1281</v>
      </c>
      <c r="H2749" s="13"/>
    </row>
    <row r="2750" ht="22.5" customHeight="1">
      <c r="B2750" s="17"/>
      <c r="C2750" s="17"/>
      <c r="D2750" s="13"/>
      <c r="E2750" s="11"/>
      <c r="F2750" s="11"/>
      <c r="G2750" s="13">
        <f t="shared" si="1"/>
        <v>1281</v>
      </c>
      <c r="H2750" s="13"/>
    </row>
    <row r="2751" ht="22.5" customHeight="1">
      <c r="B2751" s="17"/>
      <c r="C2751" s="17"/>
      <c r="D2751" s="13"/>
      <c r="E2751" s="11"/>
      <c r="F2751" s="11"/>
      <c r="G2751" s="13">
        <f t="shared" si="1"/>
        <v>1281</v>
      </c>
      <c r="H2751" s="13"/>
    </row>
    <row r="2752" ht="22.5" customHeight="1">
      <c r="B2752" s="17"/>
      <c r="C2752" s="17"/>
      <c r="D2752" s="13"/>
      <c r="E2752" s="11"/>
      <c r="F2752" s="11"/>
      <c r="G2752" s="13">
        <f t="shared" si="1"/>
        <v>1281</v>
      </c>
      <c r="H2752" s="13"/>
    </row>
    <row r="2753" ht="22.5" customHeight="1">
      <c r="B2753" s="17"/>
      <c r="C2753" s="17"/>
      <c r="D2753" s="13"/>
      <c r="E2753" s="11"/>
      <c r="F2753" s="11"/>
      <c r="G2753" s="13">
        <f t="shared" si="1"/>
        <v>1281</v>
      </c>
      <c r="H2753" s="13"/>
    </row>
    <row r="2754" ht="22.5" customHeight="1">
      <c r="B2754" s="17"/>
      <c r="C2754" s="17"/>
      <c r="D2754" s="13"/>
      <c r="E2754" s="11"/>
      <c r="F2754" s="11"/>
      <c r="G2754" s="13">
        <f t="shared" si="1"/>
        <v>1281</v>
      </c>
      <c r="H2754" s="13"/>
    </row>
    <row r="2755" ht="22.5" customHeight="1">
      <c r="B2755" s="17"/>
      <c r="C2755" s="17"/>
      <c r="D2755" s="13"/>
      <c r="E2755" s="11"/>
      <c r="F2755" s="11"/>
      <c r="G2755" s="13">
        <f t="shared" si="1"/>
        <v>1281</v>
      </c>
      <c r="H2755" s="13"/>
    </row>
    <row r="2756" ht="22.5" customHeight="1">
      <c r="B2756" s="17"/>
      <c r="C2756" s="17"/>
      <c r="D2756" s="13"/>
      <c r="E2756" s="11"/>
      <c r="F2756" s="11"/>
      <c r="G2756" s="13">
        <f t="shared" si="1"/>
        <v>1281</v>
      </c>
      <c r="H2756" s="13"/>
    </row>
    <row r="2757" ht="22.5" customHeight="1">
      <c r="B2757" s="17"/>
      <c r="C2757" s="17"/>
      <c r="D2757" s="13"/>
      <c r="E2757" s="11"/>
      <c r="F2757" s="11"/>
      <c r="G2757" s="13">
        <f t="shared" si="1"/>
        <v>1281</v>
      </c>
      <c r="H2757" s="13"/>
    </row>
    <row r="2758" ht="22.5" customHeight="1">
      <c r="B2758" s="17"/>
      <c r="C2758" s="17"/>
      <c r="D2758" s="13"/>
      <c r="E2758" s="11"/>
      <c r="F2758" s="11"/>
      <c r="G2758" s="13">
        <f t="shared" si="1"/>
        <v>1281</v>
      </c>
      <c r="H2758" s="13"/>
    </row>
    <row r="2759" ht="22.5" customHeight="1">
      <c r="B2759" s="17"/>
      <c r="C2759" s="17"/>
      <c r="D2759" s="13"/>
      <c r="E2759" s="11"/>
      <c r="F2759" s="11"/>
      <c r="G2759" s="13">
        <f t="shared" si="1"/>
        <v>1281</v>
      </c>
      <c r="H2759" s="13"/>
    </row>
    <row r="2760" ht="22.5" customHeight="1">
      <c r="B2760" s="17"/>
      <c r="C2760" s="17"/>
      <c r="D2760" s="13"/>
      <c r="E2760" s="11"/>
      <c r="F2760" s="11"/>
      <c r="G2760" s="13">
        <f t="shared" si="1"/>
        <v>1281</v>
      </c>
      <c r="H2760" s="13"/>
    </row>
    <row r="2761" ht="22.5" customHeight="1">
      <c r="B2761" s="17"/>
      <c r="C2761" s="17"/>
      <c r="D2761" s="13"/>
      <c r="E2761" s="11"/>
      <c r="F2761" s="11"/>
      <c r="G2761" s="13">
        <f t="shared" si="1"/>
        <v>1281</v>
      </c>
      <c r="H2761" s="13"/>
    </row>
    <row r="2762" ht="22.5" customHeight="1">
      <c r="B2762" s="17"/>
      <c r="C2762" s="17"/>
      <c r="D2762" s="13"/>
      <c r="E2762" s="11"/>
      <c r="F2762" s="11"/>
      <c r="G2762" s="13">
        <f t="shared" si="1"/>
        <v>1281</v>
      </c>
      <c r="H2762" s="13"/>
    </row>
    <row r="2763" ht="22.5" customHeight="1">
      <c r="B2763" s="17"/>
      <c r="C2763" s="17"/>
      <c r="D2763" s="13"/>
      <c r="E2763" s="11"/>
      <c r="F2763" s="11"/>
      <c r="G2763" s="13">
        <f t="shared" si="1"/>
        <v>1281</v>
      </c>
      <c r="H2763" s="13"/>
    </row>
    <row r="2764" ht="22.5" customHeight="1">
      <c r="B2764" s="17"/>
      <c r="C2764" s="17"/>
      <c r="D2764" s="13"/>
      <c r="E2764" s="11"/>
      <c r="F2764" s="11"/>
      <c r="G2764" s="13">
        <f t="shared" si="1"/>
        <v>1281</v>
      </c>
      <c r="H2764" s="13"/>
    </row>
    <row r="2765" ht="22.5" customHeight="1">
      <c r="B2765" s="17"/>
      <c r="C2765" s="17"/>
      <c r="D2765" s="13"/>
      <c r="E2765" s="11"/>
      <c r="F2765" s="11"/>
      <c r="G2765" s="13">
        <f t="shared" si="1"/>
        <v>1281</v>
      </c>
      <c r="H2765" s="13"/>
    </row>
    <row r="2766" ht="22.5" customHeight="1">
      <c r="B2766" s="17"/>
      <c r="C2766" s="17"/>
      <c r="D2766" s="13"/>
      <c r="E2766" s="11"/>
      <c r="F2766" s="11"/>
      <c r="G2766" s="13">
        <f t="shared" si="1"/>
        <v>1281</v>
      </c>
      <c r="H2766" s="13"/>
    </row>
    <row r="2767" ht="22.5" customHeight="1">
      <c r="B2767" s="17"/>
      <c r="C2767" s="17"/>
      <c r="D2767" s="13"/>
      <c r="E2767" s="11"/>
      <c r="F2767" s="11"/>
      <c r="G2767" s="13">
        <f t="shared" si="1"/>
        <v>1281</v>
      </c>
      <c r="H2767" s="13"/>
    </row>
    <row r="2768" ht="22.5" customHeight="1">
      <c r="B2768" s="17"/>
      <c r="C2768" s="17"/>
      <c r="D2768" s="13"/>
      <c r="E2768" s="11"/>
      <c r="F2768" s="11"/>
      <c r="G2768" s="13">
        <f t="shared" si="1"/>
        <v>1281</v>
      </c>
      <c r="H2768" s="13"/>
    </row>
    <row r="2769" ht="22.5" customHeight="1">
      <c r="B2769" s="17"/>
      <c r="C2769" s="17"/>
      <c r="D2769" s="13"/>
      <c r="E2769" s="11"/>
      <c r="F2769" s="11"/>
      <c r="G2769" s="13">
        <f t="shared" si="1"/>
        <v>1281</v>
      </c>
      <c r="H2769" s="13"/>
    </row>
    <row r="2770" ht="22.5" customHeight="1">
      <c r="B2770" s="17"/>
      <c r="C2770" s="17"/>
      <c r="D2770" s="13"/>
      <c r="E2770" s="11"/>
      <c r="F2770" s="11"/>
      <c r="G2770" s="13">
        <f t="shared" si="1"/>
        <v>1281</v>
      </c>
      <c r="H2770" s="13"/>
    </row>
    <row r="2771" ht="22.5" customHeight="1">
      <c r="B2771" s="17"/>
      <c r="C2771" s="17"/>
      <c r="D2771" s="13"/>
      <c r="E2771" s="11"/>
      <c r="F2771" s="11"/>
      <c r="G2771" s="13">
        <f t="shared" si="1"/>
        <v>1281</v>
      </c>
      <c r="H2771" s="13"/>
    </row>
    <row r="2772" ht="22.5" customHeight="1">
      <c r="B2772" s="17"/>
      <c r="C2772" s="17"/>
      <c r="D2772" s="13"/>
      <c r="E2772" s="11"/>
      <c r="F2772" s="11"/>
      <c r="G2772" s="13">
        <f t="shared" si="1"/>
        <v>1281</v>
      </c>
      <c r="H2772" s="13"/>
    </row>
    <row r="2773" ht="22.5" customHeight="1">
      <c r="B2773" s="17"/>
      <c r="C2773" s="17"/>
      <c r="D2773" s="13"/>
      <c r="E2773" s="11"/>
      <c r="F2773" s="11"/>
      <c r="G2773" s="13">
        <f t="shared" si="1"/>
        <v>1281</v>
      </c>
      <c r="H2773" s="13"/>
    </row>
    <row r="2774" ht="22.5" customHeight="1">
      <c r="B2774" s="17"/>
      <c r="C2774" s="17"/>
      <c r="D2774" s="13"/>
      <c r="E2774" s="11"/>
      <c r="F2774" s="11"/>
      <c r="G2774" s="13">
        <f t="shared" si="1"/>
        <v>1281</v>
      </c>
      <c r="H2774" s="13"/>
    </row>
    <row r="2775" ht="22.5" customHeight="1">
      <c r="B2775" s="17"/>
      <c r="C2775" s="17"/>
      <c r="D2775" s="13"/>
      <c r="E2775" s="11"/>
      <c r="F2775" s="11"/>
      <c r="G2775" s="13">
        <f t="shared" si="1"/>
        <v>1281</v>
      </c>
      <c r="H2775" s="13"/>
    </row>
    <row r="2776" ht="22.5" customHeight="1">
      <c r="B2776" s="17"/>
      <c r="C2776" s="17"/>
      <c r="D2776" s="13"/>
      <c r="E2776" s="11"/>
      <c r="F2776" s="11"/>
      <c r="G2776" s="13">
        <f t="shared" si="1"/>
        <v>1281</v>
      </c>
      <c r="H2776" s="13"/>
    </row>
    <row r="2777" ht="22.5" customHeight="1">
      <c r="B2777" s="17"/>
      <c r="C2777" s="17"/>
      <c r="D2777" s="13"/>
      <c r="E2777" s="11"/>
      <c r="F2777" s="11"/>
      <c r="G2777" s="13">
        <f t="shared" si="1"/>
        <v>1281</v>
      </c>
      <c r="H2777" s="13"/>
    </row>
    <row r="2778" ht="22.5" customHeight="1">
      <c r="B2778" s="17"/>
      <c r="C2778" s="17"/>
      <c r="D2778" s="13"/>
      <c r="E2778" s="11"/>
      <c r="F2778" s="11"/>
      <c r="G2778" s="13">
        <f t="shared" si="1"/>
        <v>1281</v>
      </c>
      <c r="H2778" s="13"/>
    </row>
    <row r="2779" ht="22.5" customHeight="1">
      <c r="B2779" s="17"/>
      <c r="C2779" s="17"/>
      <c r="D2779" s="13"/>
      <c r="E2779" s="11"/>
      <c r="F2779" s="11"/>
      <c r="G2779" s="13">
        <f t="shared" si="1"/>
        <v>1281</v>
      </c>
      <c r="H2779" s="13"/>
    </row>
    <row r="2780" ht="22.5" customHeight="1">
      <c r="B2780" s="17"/>
      <c r="C2780" s="17"/>
      <c r="D2780" s="13"/>
      <c r="E2780" s="11"/>
      <c r="F2780" s="11"/>
      <c r="G2780" s="13">
        <f t="shared" si="1"/>
        <v>1281</v>
      </c>
      <c r="H2780" s="13"/>
    </row>
    <row r="2781" ht="22.5" customHeight="1">
      <c r="B2781" s="17"/>
      <c r="C2781" s="17"/>
      <c r="D2781" s="13"/>
      <c r="E2781" s="11"/>
      <c r="F2781" s="11"/>
      <c r="G2781" s="13">
        <f t="shared" si="1"/>
        <v>1281</v>
      </c>
      <c r="H2781" s="13"/>
    </row>
    <row r="2782" ht="22.5" customHeight="1">
      <c r="B2782" s="17"/>
      <c r="C2782" s="17"/>
      <c r="D2782" s="13"/>
      <c r="E2782" s="11"/>
      <c r="F2782" s="11"/>
      <c r="G2782" s="13">
        <f t="shared" si="1"/>
        <v>1281</v>
      </c>
      <c r="H2782" s="13"/>
    </row>
    <row r="2783" ht="22.5" customHeight="1">
      <c r="B2783" s="17"/>
      <c r="C2783" s="17"/>
      <c r="D2783" s="13"/>
      <c r="E2783" s="11"/>
      <c r="F2783" s="11"/>
      <c r="G2783" s="13">
        <f t="shared" si="1"/>
        <v>1281</v>
      </c>
      <c r="H2783" s="13"/>
    </row>
    <row r="2784" ht="22.5" customHeight="1">
      <c r="B2784" s="17"/>
      <c r="C2784" s="17"/>
      <c r="D2784" s="13"/>
      <c r="E2784" s="11"/>
      <c r="F2784" s="11"/>
      <c r="G2784" s="13">
        <f t="shared" si="1"/>
        <v>1281</v>
      </c>
      <c r="H2784" s="13"/>
    </row>
    <row r="2785" ht="22.5" customHeight="1">
      <c r="B2785" s="17"/>
      <c r="C2785" s="17"/>
      <c r="D2785" s="13"/>
      <c r="E2785" s="11"/>
      <c r="F2785" s="11"/>
      <c r="G2785" s="13">
        <f t="shared" si="1"/>
        <v>1281</v>
      </c>
      <c r="H2785" s="13"/>
    </row>
    <row r="2786" ht="22.5" customHeight="1">
      <c r="B2786" s="17"/>
      <c r="C2786" s="17"/>
      <c r="D2786" s="13"/>
      <c r="E2786" s="11"/>
      <c r="F2786" s="11"/>
      <c r="G2786" s="13">
        <f t="shared" si="1"/>
        <v>1281</v>
      </c>
      <c r="H2786" s="13"/>
    </row>
    <row r="2787" ht="22.5" customHeight="1">
      <c r="B2787" s="17"/>
      <c r="C2787" s="17"/>
      <c r="D2787" s="13"/>
      <c r="E2787" s="11"/>
      <c r="F2787" s="11"/>
      <c r="G2787" s="13">
        <f t="shared" si="1"/>
        <v>1281</v>
      </c>
      <c r="H2787" s="13"/>
    </row>
    <row r="2788" ht="22.5" customHeight="1">
      <c r="B2788" s="17"/>
      <c r="C2788" s="17"/>
      <c r="D2788" s="13"/>
      <c r="E2788" s="11"/>
      <c r="F2788" s="11"/>
      <c r="G2788" s="13">
        <f t="shared" si="1"/>
        <v>1281</v>
      </c>
      <c r="H2788" s="13"/>
    </row>
    <row r="2789" ht="22.5" customHeight="1">
      <c r="B2789" s="17"/>
      <c r="C2789" s="17"/>
      <c r="D2789" s="13"/>
      <c r="E2789" s="11"/>
      <c r="F2789" s="11"/>
      <c r="G2789" s="13">
        <f t="shared" si="1"/>
        <v>1281</v>
      </c>
      <c r="H2789" s="13"/>
    </row>
    <row r="2790" ht="22.5" customHeight="1">
      <c r="B2790" s="17"/>
      <c r="C2790" s="17"/>
      <c r="D2790" s="13"/>
      <c r="E2790" s="11"/>
      <c r="F2790" s="11"/>
      <c r="G2790" s="13">
        <f t="shared" si="1"/>
        <v>1281</v>
      </c>
      <c r="H2790" s="13"/>
    </row>
    <row r="2791" ht="22.5" customHeight="1">
      <c r="B2791" s="17"/>
      <c r="C2791" s="17"/>
      <c r="D2791" s="13"/>
      <c r="E2791" s="11"/>
      <c r="F2791" s="11"/>
      <c r="G2791" s="13">
        <f t="shared" si="1"/>
        <v>1281</v>
      </c>
      <c r="H2791" s="13"/>
    </row>
    <row r="2792" ht="22.5" customHeight="1">
      <c r="B2792" s="17"/>
      <c r="C2792" s="17"/>
      <c r="D2792" s="13"/>
      <c r="E2792" s="11"/>
      <c r="F2792" s="11"/>
      <c r="G2792" s="13">
        <f t="shared" si="1"/>
        <v>1281</v>
      </c>
      <c r="H2792" s="13"/>
    </row>
    <row r="2793" ht="22.5" customHeight="1">
      <c r="B2793" s="17"/>
      <c r="C2793" s="17"/>
      <c r="D2793" s="13"/>
      <c r="E2793" s="11"/>
      <c r="F2793" s="11"/>
      <c r="G2793" s="13">
        <f t="shared" si="1"/>
        <v>1281</v>
      </c>
      <c r="H2793" s="13"/>
    </row>
    <row r="2794" ht="22.5" customHeight="1">
      <c r="B2794" s="17"/>
      <c r="C2794" s="17"/>
      <c r="D2794" s="13"/>
      <c r="E2794" s="11"/>
      <c r="F2794" s="11"/>
      <c r="G2794" s="13">
        <f t="shared" si="1"/>
        <v>1281</v>
      </c>
      <c r="H2794" s="13"/>
    </row>
    <row r="2795" ht="22.5" customHeight="1">
      <c r="B2795" s="17"/>
      <c r="C2795" s="17"/>
      <c r="D2795" s="13"/>
      <c r="E2795" s="11"/>
      <c r="F2795" s="11"/>
      <c r="G2795" s="13">
        <f t="shared" si="1"/>
        <v>1281</v>
      </c>
      <c r="H2795" s="13"/>
    </row>
    <row r="2796" ht="22.5" customHeight="1">
      <c r="B2796" s="17"/>
      <c r="C2796" s="17"/>
      <c r="D2796" s="13"/>
      <c r="E2796" s="11"/>
      <c r="F2796" s="11"/>
      <c r="G2796" s="13">
        <f t="shared" si="1"/>
        <v>1281</v>
      </c>
      <c r="H2796" s="13"/>
    </row>
    <row r="2797" ht="22.5" customHeight="1">
      <c r="B2797" s="17"/>
      <c r="C2797" s="17"/>
      <c r="D2797" s="13"/>
      <c r="E2797" s="11"/>
      <c r="F2797" s="11"/>
      <c r="G2797" s="13">
        <f t="shared" si="1"/>
        <v>1281</v>
      </c>
      <c r="H2797" s="13"/>
    </row>
    <row r="2798" ht="22.5" customHeight="1">
      <c r="B2798" s="17"/>
      <c r="C2798" s="17"/>
      <c r="D2798" s="13"/>
      <c r="E2798" s="11"/>
      <c r="F2798" s="11"/>
      <c r="G2798" s="13">
        <f t="shared" si="1"/>
        <v>1281</v>
      </c>
      <c r="H2798" s="13"/>
    </row>
    <row r="2799" ht="22.5" customHeight="1">
      <c r="B2799" s="17"/>
      <c r="C2799" s="17"/>
      <c r="D2799" s="13"/>
      <c r="E2799" s="11"/>
      <c r="F2799" s="11"/>
      <c r="G2799" s="13">
        <f t="shared" si="1"/>
        <v>1281</v>
      </c>
      <c r="H2799" s="13"/>
    </row>
    <row r="2800" ht="22.5" customHeight="1">
      <c r="B2800" s="17"/>
      <c r="C2800" s="17"/>
      <c r="D2800" s="13"/>
      <c r="E2800" s="11"/>
      <c r="F2800" s="11"/>
      <c r="G2800" s="13">
        <f t="shared" si="1"/>
        <v>1281</v>
      </c>
      <c r="H2800" s="13"/>
    </row>
    <row r="2801" ht="22.5" customHeight="1">
      <c r="B2801" s="17"/>
      <c r="C2801" s="17"/>
      <c r="D2801" s="13"/>
      <c r="E2801" s="11"/>
      <c r="F2801" s="11"/>
      <c r="G2801" s="13">
        <f t="shared" si="1"/>
        <v>1281</v>
      </c>
      <c r="H2801" s="13"/>
    </row>
    <row r="2802" ht="22.5" customHeight="1">
      <c r="B2802" s="17"/>
      <c r="C2802" s="17"/>
      <c r="D2802" s="13"/>
      <c r="E2802" s="11"/>
      <c r="F2802" s="11"/>
      <c r="G2802" s="13">
        <f t="shared" si="1"/>
        <v>1281</v>
      </c>
      <c r="H2802" s="13"/>
    </row>
    <row r="2803" ht="22.5" customHeight="1">
      <c r="B2803" s="17"/>
      <c r="C2803" s="17"/>
      <c r="D2803" s="13"/>
      <c r="E2803" s="11"/>
      <c r="F2803" s="11"/>
      <c r="G2803" s="13">
        <f t="shared" si="1"/>
        <v>1281</v>
      </c>
      <c r="H2803" s="13"/>
    </row>
    <row r="2804" ht="22.5" customHeight="1">
      <c r="B2804" s="17"/>
      <c r="C2804" s="17"/>
      <c r="D2804" s="13"/>
      <c r="E2804" s="11"/>
      <c r="F2804" s="11"/>
      <c r="G2804" s="13">
        <f t="shared" si="1"/>
        <v>1281</v>
      </c>
      <c r="H2804" s="13"/>
    </row>
    <row r="2805" ht="22.5" customHeight="1">
      <c r="B2805" s="17"/>
      <c r="C2805" s="17"/>
      <c r="D2805" s="13"/>
      <c r="E2805" s="11"/>
      <c r="F2805" s="11"/>
      <c r="G2805" s="13">
        <f t="shared" si="1"/>
        <v>1281</v>
      </c>
      <c r="H2805" s="13"/>
    </row>
    <row r="2806" ht="22.5" customHeight="1">
      <c r="B2806" s="17"/>
      <c r="C2806" s="17"/>
      <c r="D2806" s="13"/>
      <c r="E2806" s="11"/>
      <c r="F2806" s="11"/>
      <c r="G2806" s="13">
        <f t="shared" si="1"/>
        <v>1281</v>
      </c>
      <c r="H2806" s="13"/>
    </row>
    <row r="2807" ht="22.5" customHeight="1">
      <c r="B2807" s="17"/>
      <c r="C2807" s="17"/>
      <c r="D2807" s="13"/>
      <c r="E2807" s="11"/>
      <c r="F2807" s="11"/>
      <c r="G2807" s="13">
        <f t="shared" si="1"/>
        <v>1281</v>
      </c>
      <c r="H2807" s="13"/>
    </row>
    <row r="2808" ht="22.5" customHeight="1">
      <c r="B2808" s="17"/>
      <c r="C2808" s="17"/>
      <c r="D2808" s="13"/>
      <c r="E2808" s="11"/>
      <c r="F2808" s="11"/>
      <c r="G2808" s="13">
        <f t="shared" si="1"/>
        <v>1281</v>
      </c>
      <c r="H2808" s="13"/>
    </row>
    <row r="2809" ht="22.5" customHeight="1">
      <c r="B2809" s="17"/>
      <c r="C2809" s="17"/>
      <c r="D2809" s="13"/>
      <c r="E2809" s="11"/>
      <c r="F2809" s="11"/>
      <c r="G2809" s="13">
        <f t="shared" si="1"/>
        <v>1281</v>
      </c>
      <c r="H2809" s="13"/>
    </row>
    <row r="2810" ht="22.5" customHeight="1">
      <c r="B2810" s="17"/>
      <c r="C2810" s="17"/>
      <c r="D2810" s="13"/>
      <c r="E2810" s="11"/>
      <c r="F2810" s="11"/>
      <c r="G2810" s="13">
        <f t="shared" si="1"/>
        <v>1281</v>
      </c>
      <c r="H2810" s="13"/>
    </row>
    <row r="2811" ht="22.5" customHeight="1">
      <c r="B2811" s="17"/>
      <c r="C2811" s="17"/>
      <c r="D2811" s="13"/>
      <c r="E2811" s="11"/>
      <c r="F2811" s="11"/>
      <c r="G2811" s="13">
        <f t="shared" si="1"/>
        <v>1281</v>
      </c>
      <c r="H2811" s="13"/>
    </row>
    <row r="2812" ht="22.5" customHeight="1">
      <c r="B2812" s="17"/>
      <c r="C2812" s="17"/>
      <c r="D2812" s="13"/>
      <c r="E2812" s="11"/>
      <c r="F2812" s="11"/>
      <c r="G2812" s="13">
        <f t="shared" si="1"/>
        <v>1281</v>
      </c>
      <c r="H2812" s="13"/>
    </row>
    <row r="2813" ht="22.5" customHeight="1">
      <c r="B2813" s="17"/>
      <c r="C2813" s="17"/>
      <c r="D2813" s="13"/>
      <c r="E2813" s="11"/>
      <c r="F2813" s="11"/>
      <c r="G2813" s="13">
        <f t="shared" si="1"/>
        <v>1281</v>
      </c>
      <c r="H2813" s="13"/>
    </row>
    <row r="2814" ht="22.5" customHeight="1">
      <c r="B2814" s="17"/>
      <c r="C2814" s="17"/>
      <c r="D2814" s="13"/>
      <c r="E2814" s="11"/>
      <c r="F2814" s="11"/>
      <c r="G2814" s="13">
        <f t="shared" si="1"/>
        <v>1281</v>
      </c>
      <c r="H2814" s="13"/>
    </row>
    <row r="2815" ht="22.5" customHeight="1">
      <c r="B2815" s="17"/>
      <c r="C2815" s="17"/>
      <c r="D2815" s="13"/>
      <c r="E2815" s="11"/>
      <c r="F2815" s="11"/>
      <c r="G2815" s="13">
        <f t="shared" si="1"/>
        <v>1281</v>
      </c>
      <c r="H2815" s="13"/>
    </row>
    <row r="2816" ht="22.5" customHeight="1">
      <c r="B2816" s="17"/>
      <c r="C2816" s="17"/>
      <c r="D2816" s="13"/>
      <c r="E2816" s="11"/>
      <c r="F2816" s="11"/>
      <c r="G2816" s="13">
        <f t="shared" si="1"/>
        <v>1281</v>
      </c>
      <c r="H2816" s="13"/>
    </row>
    <row r="2817" ht="22.5" customHeight="1">
      <c r="B2817" s="17"/>
      <c r="C2817" s="17"/>
      <c r="D2817" s="13"/>
      <c r="E2817" s="11"/>
      <c r="F2817" s="11"/>
      <c r="G2817" s="13">
        <f t="shared" si="1"/>
        <v>1281</v>
      </c>
      <c r="H2817" s="13"/>
    </row>
    <row r="2818" ht="22.5" customHeight="1">
      <c r="B2818" s="17"/>
      <c r="C2818" s="17"/>
      <c r="D2818" s="13"/>
      <c r="E2818" s="11"/>
      <c r="F2818" s="11"/>
      <c r="G2818" s="13">
        <f t="shared" si="1"/>
        <v>1281</v>
      </c>
      <c r="H2818" s="13"/>
    </row>
    <row r="2819" ht="22.5" customHeight="1">
      <c r="B2819" s="17"/>
      <c r="C2819" s="17"/>
      <c r="D2819" s="13"/>
      <c r="E2819" s="11"/>
      <c r="F2819" s="11"/>
      <c r="G2819" s="13">
        <f t="shared" si="1"/>
        <v>1281</v>
      </c>
      <c r="H2819" s="13"/>
    </row>
    <row r="2820" ht="22.5" customHeight="1">
      <c r="B2820" s="17"/>
      <c r="C2820" s="17"/>
      <c r="D2820" s="13"/>
      <c r="E2820" s="11"/>
      <c r="F2820" s="11"/>
      <c r="G2820" s="13">
        <f t="shared" si="1"/>
        <v>1281</v>
      </c>
      <c r="H2820" s="13"/>
    </row>
    <row r="2821" ht="22.5" customHeight="1">
      <c r="B2821" s="17"/>
      <c r="C2821" s="17"/>
      <c r="D2821" s="13"/>
      <c r="E2821" s="11"/>
      <c r="F2821" s="11"/>
      <c r="G2821" s="13">
        <f t="shared" si="1"/>
        <v>1281</v>
      </c>
      <c r="H2821" s="13"/>
    </row>
    <row r="2822" ht="22.5" customHeight="1">
      <c r="B2822" s="17"/>
      <c r="C2822" s="17"/>
      <c r="D2822" s="13"/>
      <c r="E2822" s="11"/>
      <c r="F2822" s="11"/>
      <c r="G2822" s="13">
        <f t="shared" si="1"/>
        <v>1281</v>
      </c>
      <c r="H2822" s="13"/>
    </row>
    <row r="2823" ht="22.5" customHeight="1">
      <c r="B2823" s="17"/>
      <c r="C2823" s="17"/>
      <c r="D2823" s="13"/>
      <c r="E2823" s="11"/>
      <c r="F2823" s="11"/>
      <c r="G2823" s="13">
        <f t="shared" si="1"/>
        <v>1281</v>
      </c>
      <c r="H2823" s="13"/>
    </row>
    <row r="2824" ht="22.5" customHeight="1">
      <c r="B2824" s="17"/>
      <c r="C2824" s="17"/>
      <c r="D2824" s="13"/>
      <c r="E2824" s="11"/>
      <c r="F2824" s="11"/>
      <c r="G2824" s="13">
        <f t="shared" si="1"/>
        <v>1281</v>
      </c>
      <c r="H2824" s="13"/>
    </row>
    <row r="2825" ht="22.5" customHeight="1">
      <c r="B2825" s="17"/>
      <c r="C2825" s="17"/>
      <c r="D2825" s="13"/>
      <c r="E2825" s="11"/>
      <c r="F2825" s="11"/>
      <c r="G2825" s="13">
        <f t="shared" si="1"/>
        <v>1281</v>
      </c>
      <c r="H2825" s="13"/>
    </row>
    <row r="2826" ht="22.5" customHeight="1">
      <c r="B2826" s="17"/>
      <c r="C2826" s="17"/>
      <c r="D2826" s="13"/>
      <c r="E2826" s="11"/>
      <c r="F2826" s="11"/>
      <c r="G2826" s="13">
        <f t="shared" si="1"/>
        <v>1281</v>
      </c>
      <c r="H2826" s="13"/>
    </row>
    <row r="2827" ht="22.5" customHeight="1">
      <c r="B2827" s="17"/>
      <c r="C2827" s="17"/>
      <c r="D2827" s="13"/>
      <c r="E2827" s="11"/>
      <c r="F2827" s="11"/>
      <c r="G2827" s="13">
        <f t="shared" si="1"/>
        <v>1281</v>
      </c>
      <c r="H2827" s="13"/>
    </row>
    <row r="2828" ht="22.5" customHeight="1">
      <c r="B2828" s="17"/>
      <c r="C2828" s="17"/>
      <c r="D2828" s="13"/>
      <c r="E2828" s="11"/>
      <c r="F2828" s="11"/>
      <c r="G2828" s="13">
        <f t="shared" si="1"/>
        <v>1281</v>
      </c>
      <c r="H2828" s="13"/>
    </row>
    <row r="2829" ht="22.5" customHeight="1">
      <c r="B2829" s="17"/>
      <c r="C2829" s="17"/>
      <c r="D2829" s="13"/>
      <c r="E2829" s="11"/>
      <c r="F2829" s="11"/>
      <c r="G2829" s="13">
        <f t="shared" si="1"/>
        <v>1281</v>
      </c>
      <c r="H2829" s="13"/>
    </row>
    <row r="2830" ht="22.5" customHeight="1">
      <c r="B2830" s="17"/>
      <c r="C2830" s="17"/>
      <c r="D2830" s="13"/>
      <c r="E2830" s="11"/>
      <c r="F2830" s="11"/>
      <c r="G2830" s="13">
        <f t="shared" si="1"/>
        <v>1281</v>
      </c>
      <c r="H2830" s="13"/>
    </row>
    <row r="2831" ht="22.5" customHeight="1">
      <c r="B2831" s="17"/>
      <c r="C2831" s="17"/>
      <c r="D2831" s="13"/>
      <c r="E2831" s="11"/>
      <c r="F2831" s="11"/>
      <c r="G2831" s="13">
        <f t="shared" si="1"/>
        <v>1281</v>
      </c>
      <c r="H2831" s="13"/>
    </row>
    <row r="2832" ht="22.5" customHeight="1">
      <c r="B2832" s="17"/>
      <c r="C2832" s="17"/>
      <c r="D2832" s="13"/>
      <c r="E2832" s="11"/>
      <c r="F2832" s="11"/>
      <c r="G2832" s="13">
        <f t="shared" si="1"/>
        <v>1281</v>
      </c>
      <c r="H2832" s="13"/>
    </row>
    <row r="2833" ht="22.5" customHeight="1">
      <c r="B2833" s="17"/>
      <c r="C2833" s="17"/>
      <c r="D2833" s="13"/>
      <c r="E2833" s="11"/>
      <c r="F2833" s="11"/>
      <c r="G2833" s="13">
        <f t="shared" si="1"/>
        <v>1281</v>
      </c>
      <c r="H2833" s="13"/>
    </row>
    <row r="2834" ht="22.5" customHeight="1">
      <c r="B2834" s="17"/>
      <c r="C2834" s="17"/>
      <c r="D2834" s="13"/>
      <c r="E2834" s="11"/>
      <c r="F2834" s="11"/>
      <c r="G2834" s="13">
        <f t="shared" si="1"/>
        <v>1281</v>
      </c>
      <c r="H2834" s="13"/>
    </row>
    <row r="2835" ht="22.5" customHeight="1">
      <c r="B2835" s="17"/>
      <c r="C2835" s="17"/>
      <c r="D2835" s="13"/>
      <c r="E2835" s="11"/>
      <c r="F2835" s="11"/>
      <c r="G2835" s="13">
        <f t="shared" si="1"/>
        <v>1281</v>
      </c>
      <c r="H2835" s="13"/>
    </row>
    <row r="2836" ht="22.5" customHeight="1">
      <c r="B2836" s="17"/>
      <c r="C2836" s="17"/>
      <c r="D2836" s="13"/>
      <c r="E2836" s="11"/>
      <c r="F2836" s="11"/>
      <c r="G2836" s="13">
        <f t="shared" si="1"/>
        <v>1281</v>
      </c>
      <c r="H2836" s="13"/>
    </row>
    <row r="2837" ht="22.5" customHeight="1">
      <c r="B2837" s="17"/>
      <c r="C2837" s="17"/>
      <c r="D2837" s="13"/>
      <c r="E2837" s="11"/>
      <c r="F2837" s="11"/>
      <c r="G2837" s="13">
        <f t="shared" si="1"/>
        <v>1281</v>
      </c>
      <c r="H2837" s="13"/>
    </row>
    <row r="2838" ht="22.5" customHeight="1">
      <c r="B2838" s="17"/>
      <c r="C2838" s="17"/>
      <c r="D2838" s="13"/>
      <c r="E2838" s="11"/>
      <c r="F2838" s="11"/>
      <c r="G2838" s="13">
        <f t="shared" si="1"/>
        <v>1281</v>
      </c>
      <c r="H2838" s="13"/>
    </row>
    <row r="2839" ht="22.5" customHeight="1">
      <c r="B2839" s="17"/>
      <c r="C2839" s="17"/>
      <c r="D2839" s="13"/>
      <c r="E2839" s="11"/>
      <c r="F2839" s="11"/>
      <c r="G2839" s="13">
        <f t="shared" si="1"/>
        <v>1281</v>
      </c>
      <c r="H2839" s="13"/>
    </row>
    <row r="2840" ht="22.5" customHeight="1">
      <c r="B2840" s="17"/>
      <c r="C2840" s="17"/>
      <c r="D2840" s="13"/>
      <c r="E2840" s="11"/>
      <c r="F2840" s="11"/>
      <c r="G2840" s="13">
        <f t="shared" si="1"/>
        <v>1281</v>
      </c>
      <c r="H2840" s="13"/>
    </row>
    <row r="2841" ht="22.5" customHeight="1">
      <c r="B2841" s="17"/>
      <c r="C2841" s="17"/>
      <c r="D2841" s="13"/>
      <c r="E2841" s="11"/>
      <c r="F2841" s="11"/>
      <c r="G2841" s="13">
        <f t="shared" si="1"/>
        <v>1281</v>
      </c>
      <c r="H2841" s="13"/>
    </row>
    <row r="2842" ht="22.5" customHeight="1">
      <c r="B2842" s="17"/>
      <c r="C2842" s="17"/>
      <c r="D2842" s="13"/>
      <c r="E2842" s="11"/>
      <c r="F2842" s="11"/>
      <c r="G2842" s="13">
        <f t="shared" si="1"/>
        <v>1281</v>
      </c>
      <c r="H2842" s="13"/>
    </row>
    <row r="2843" ht="22.5" customHeight="1">
      <c r="B2843" s="17"/>
      <c r="C2843" s="17"/>
      <c r="D2843" s="13"/>
      <c r="E2843" s="11"/>
      <c r="F2843" s="11"/>
      <c r="G2843" s="13">
        <f t="shared" si="1"/>
        <v>1281</v>
      </c>
      <c r="H2843" s="13"/>
    </row>
    <row r="2844" ht="22.5" customHeight="1">
      <c r="B2844" s="17"/>
      <c r="C2844" s="17"/>
      <c r="D2844" s="13"/>
      <c r="E2844" s="11"/>
      <c r="F2844" s="11"/>
      <c r="G2844" s="13">
        <f t="shared" si="1"/>
        <v>1281</v>
      </c>
      <c r="H2844" s="13"/>
    </row>
    <row r="2845" ht="22.5" customHeight="1">
      <c r="B2845" s="17"/>
      <c r="C2845" s="17"/>
      <c r="D2845" s="13"/>
      <c r="E2845" s="11"/>
      <c r="F2845" s="11"/>
      <c r="G2845" s="13">
        <f t="shared" si="1"/>
        <v>1281</v>
      </c>
      <c r="H2845" s="13"/>
    </row>
    <row r="2846" ht="22.5" customHeight="1">
      <c r="B2846" s="17"/>
      <c r="C2846" s="17"/>
      <c r="D2846" s="13"/>
      <c r="E2846" s="11"/>
      <c r="F2846" s="11"/>
      <c r="G2846" s="13">
        <f t="shared" si="1"/>
        <v>1281</v>
      </c>
      <c r="H2846" s="13"/>
    </row>
    <row r="2847" ht="22.5" customHeight="1">
      <c r="B2847" s="17"/>
      <c r="C2847" s="17"/>
      <c r="D2847" s="13"/>
      <c r="E2847" s="11"/>
      <c r="F2847" s="11"/>
      <c r="G2847" s="13">
        <f t="shared" si="1"/>
        <v>1281</v>
      </c>
      <c r="H2847" s="13"/>
    </row>
    <row r="2848" ht="22.5" customHeight="1">
      <c r="B2848" s="17"/>
      <c r="C2848" s="17"/>
      <c r="D2848" s="13"/>
      <c r="E2848" s="11"/>
      <c r="F2848" s="11"/>
      <c r="G2848" s="13">
        <f t="shared" si="1"/>
        <v>1281</v>
      </c>
      <c r="H2848" s="13"/>
    </row>
    <row r="2849" ht="22.5" customHeight="1">
      <c r="B2849" s="17"/>
      <c r="C2849" s="17"/>
      <c r="D2849" s="13"/>
      <c r="E2849" s="11"/>
      <c r="F2849" s="11"/>
      <c r="G2849" s="13">
        <f t="shared" si="1"/>
        <v>1281</v>
      </c>
      <c r="H2849" s="13"/>
    </row>
    <row r="2850" ht="22.5" customHeight="1">
      <c r="B2850" s="17"/>
      <c r="C2850" s="17"/>
      <c r="D2850" s="13"/>
      <c r="E2850" s="11"/>
      <c r="F2850" s="11"/>
      <c r="G2850" s="13">
        <f t="shared" si="1"/>
        <v>1281</v>
      </c>
      <c r="H2850" s="13"/>
    </row>
    <row r="2851" ht="22.5" customHeight="1">
      <c r="B2851" s="17"/>
      <c r="C2851" s="17"/>
      <c r="D2851" s="13"/>
      <c r="E2851" s="11"/>
      <c r="F2851" s="11"/>
      <c r="G2851" s="13">
        <f t="shared" si="1"/>
        <v>1281</v>
      </c>
      <c r="H2851" s="13"/>
    </row>
    <row r="2852" ht="22.5" customHeight="1">
      <c r="B2852" s="17"/>
      <c r="C2852" s="17"/>
      <c r="D2852" s="13"/>
      <c r="E2852" s="11"/>
      <c r="F2852" s="11"/>
      <c r="G2852" s="13">
        <f t="shared" si="1"/>
        <v>1281</v>
      </c>
      <c r="H2852" s="13"/>
    </row>
    <row r="2853" ht="22.5" customHeight="1">
      <c r="B2853" s="17"/>
      <c r="C2853" s="17"/>
      <c r="D2853" s="13"/>
      <c r="E2853" s="11"/>
      <c r="F2853" s="11"/>
      <c r="G2853" s="13">
        <f t="shared" si="1"/>
        <v>1281</v>
      </c>
      <c r="H2853" s="13"/>
    </row>
    <row r="2854" ht="22.5" customHeight="1">
      <c r="B2854" s="17"/>
      <c r="C2854" s="17"/>
      <c r="D2854" s="13"/>
      <c r="E2854" s="11"/>
      <c r="F2854" s="11"/>
      <c r="G2854" s="13">
        <f t="shared" si="1"/>
        <v>1281</v>
      </c>
      <c r="H2854" s="13"/>
    </row>
    <row r="2855" ht="22.5" customHeight="1">
      <c r="B2855" s="17"/>
      <c r="C2855" s="17"/>
      <c r="D2855" s="13"/>
      <c r="E2855" s="11"/>
      <c r="F2855" s="11"/>
      <c r="G2855" s="13">
        <f t="shared" si="1"/>
        <v>1281</v>
      </c>
      <c r="H2855" s="13"/>
    </row>
    <row r="2856" ht="22.5" customHeight="1">
      <c r="B2856" s="17"/>
      <c r="C2856" s="17"/>
      <c r="D2856" s="13"/>
      <c r="E2856" s="11"/>
      <c r="F2856" s="11"/>
      <c r="G2856" s="13">
        <f t="shared" si="1"/>
        <v>1281</v>
      </c>
      <c r="H2856" s="13"/>
    </row>
    <row r="2857" ht="22.5" customHeight="1">
      <c r="B2857" s="17"/>
      <c r="C2857" s="17"/>
      <c r="D2857" s="13"/>
      <c r="E2857" s="11"/>
      <c r="F2857" s="11"/>
      <c r="G2857" s="13">
        <f t="shared" si="1"/>
        <v>1281</v>
      </c>
      <c r="H2857" s="13"/>
    </row>
    <row r="2858" ht="22.5" customHeight="1">
      <c r="B2858" s="17"/>
      <c r="C2858" s="17"/>
      <c r="D2858" s="13"/>
      <c r="E2858" s="11"/>
      <c r="F2858" s="11"/>
      <c r="G2858" s="13">
        <f t="shared" si="1"/>
        <v>1281</v>
      </c>
      <c r="H2858" s="13"/>
    </row>
    <row r="2859" ht="22.5" customHeight="1">
      <c r="B2859" s="17"/>
      <c r="C2859" s="17"/>
      <c r="D2859" s="13"/>
      <c r="E2859" s="11"/>
      <c r="F2859" s="11"/>
      <c r="G2859" s="13">
        <f t="shared" si="1"/>
        <v>1281</v>
      </c>
      <c r="H2859" s="13"/>
    </row>
    <row r="2860" ht="22.5" customHeight="1">
      <c r="B2860" s="17"/>
      <c r="C2860" s="17"/>
      <c r="D2860" s="13"/>
      <c r="E2860" s="11"/>
      <c r="F2860" s="11"/>
      <c r="G2860" s="13">
        <f t="shared" si="1"/>
        <v>1281</v>
      </c>
      <c r="H2860" s="13"/>
    </row>
    <row r="2861" ht="22.5" customHeight="1">
      <c r="B2861" s="17"/>
      <c r="C2861" s="17"/>
      <c r="D2861" s="13"/>
      <c r="E2861" s="11"/>
      <c r="F2861" s="11"/>
      <c r="G2861" s="13">
        <f t="shared" si="1"/>
        <v>1281</v>
      </c>
      <c r="H2861" s="13"/>
    </row>
    <row r="2862" ht="22.5" customHeight="1">
      <c r="B2862" s="17"/>
      <c r="C2862" s="17"/>
      <c r="D2862" s="13"/>
      <c r="E2862" s="11"/>
      <c r="F2862" s="11"/>
      <c r="G2862" s="13">
        <f t="shared" si="1"/>
        <v>1281</v>
      </c>
      <c r="H2862" s="13"/>
    </row>
    <row r="2863" ht="22.5" customHeight="1">
      <c r="B2863" s="17"/>
      <c r="C2863" s="17"/>
      <c r="D2863" s="13"/>
      <c r="E2863" s="11"/>
      <c r="F2863" s="11"/>
      <c r="G2863" s="13">
        <f t="shared" si="1"/>
        <v>1281</v>
      </c>
      <c r="H2863" s="13"/>
    </row>
    <row r="2864" ht="22.5" customHeight="1">
      <c r="B2864" s="17"/>
      <c r="C2864" s="17"/>
      <c r="D2864" s="13"/>
      <c r="E2864" s="11"/>
      <c r="F2864" s="11"/>
      <c r="G2864" s="13">
        <f t="shared" si="1"/>
        <v>1281</v>
      </c>
      <c r="H2864" s="13"/>
    </row>
    <row r="2865" ht="22.5" customHeight="1">
      <c r="B2865" s="17"/>
      <c r="C2865" s="17"/>
      <c r="D2865" s="13"/>
      <c r="E2865" s="11"/>
      <c r="F2865" s="11"/>
      <c r="G2865" s="13">
        <f t="shared" si="1"/>
        <v>1281</v>
      </c>
      <c r="H2865" s="13"/>
    </row>
    <row r="2866" ht="22.5" customHeight="1">
      <c r="B2866" s="17"/>
      <c r="C2866" s="17"/>
      <c r="D2866" s="13"/>
      <c r="E2866" s="11"/>
      <c r="F2866" s="11"/>
      <c r="G2866" s="13">
        <f t="shared" si="1"/>
        <v>1281</v>
      </c>
      <c r="H2866" s="13"/>
    </row>
    <row r="2867" ht="22.5" customHeight="1">
      <c r="B2867" s="17"/>
      <c r="C2867" s="17"/>
      <c r="D2867" s="13"/>
      <c r="E2867" s="11"/>
      <c r="F2867" s="11"/>
      <c r="G2867" s="13">
        <f t="shared" si="1"/>
        <v>1281</v>
      </c>
      <c r="H2867" s="13"/>
    </row>
    <row r="2868" ht="22.5" customHeight="1">
      <c r="B2868" s="17"/>
      <c r="C2868" s="17"/>
      <c r="D2868" s="13"/>
      <c r="E2868" s="11"/>
      <c r="F2868" s="11"/>
      <c r="G2868" s="13">
        <f t="shared" si="1"/>
        <v>1281</v>
      </c>
      <c r="H2868" s="13"/>
    </row>
    <row r="2869" ht="22.5" customHeight="1">
      <c r="B2869" s="17"/>
      <c r="C2869" s="17"/>
      <c r="D2869" s="13"/>
      <c r="E2869" s="11"/>
      <c r="F2869" s="11"/>
      <c r="G2869" s="13">
        <f t="shared" si="1"/>
        <v>1281</v>
      </c>
      <c r="H2869" s="13"/>
    </row>
    <row r="2870" ht="22.5" customHeight="1">
      <c r="B2870" s="17"/>
      <c r="C2870" s="17"/>
      <c r="D2870" s="13"/>
      <c r="E2870" s="11"/>
      <c r="F2870" s="11"/>
      <c r="G2870" s="13">
        <f t="shared" si="1"/>
        <v>1281</v>
      </c>
      <c r="H2870" s="13"/>
    </row>
    <row r="2871" ht="22.5" customHeight="1">
      <c r="B2871" s="17"/>
      <c r="C2871" s="17"/>
      <c r="D2871" s="13"/>
      <c r="E2871" s="11"/>
      <c r="F2871" s="11"/>
      <c r="G2871" s="13">
        <f t="shared" si="1"/>
        <v>1281</v>
      </c>
      <c r="H2871" s="13"/>
    </row>
    <row r="2872" ht="22.5" customHeight="1">
      <c r="B2872" s="17"/>
      <c r="C2872" s="17"/>
      <c r="D2872" s="13"/>
      <c r="E2872" s="11"/>
      <c r="F2872" s="11"/>
      <c r="G2872" s="13">
        <f t="shared" si="1"/>
        <v>1281</v>
      </c>
      <c r="H2872" s="13"/>
    </row>
    <row r="2873" ht="22.5" customHeight="1">
      <c r="B2873" s="17"/>
      <c r="C2873" s="17"/>
      <c r="D2873" s="13"/>
      <c r="E2873" s="11"/>
      <c r="F2873" s="11"/>
      <c r="G2873" s="13">
        <f t="shared" si="1"/>
        <v>1281</v>
      </c>
      <c r="H2873" s="13"/>
    </row>
    <row r="2874" ht="22.5" customHeight="1">
      <c r="B2874" s="17"/>
      <c r="C2874" s="17"/>
      <c r="D2874" s="13"/>
      <c r="E2874" s="11"/>
      <c r="F2874" s="11"/>
      <c r="G2874" s="13">
        <f t="shared" si="1"/>
        <v>1281</v>
      </c>
      <c r="H2874" s="13"/>
    </row>
    <row r="2875" ht="22.5" customHeight="1">
      <c r="B2875" s="17"/>
      <c r="C2875" s="17"/>
      <c r="D2875" s="13"/>
      <c r="E2875" s="11"/>
      <c r="F2875" s="11"/>
      <c r="G2875" s="13">
        <f t="shared" si="1"/>
        <v>1281</v>
      </c>
      <c r="H2875" s="13"/>
    </row>
    <row r="2876" ht="22.5" customHeight="1">
      <c r="B2876" s="17"/>
      <c r="C2876" s="17"/>
      <c r="D2876" s="13"/>
      <c r="E2876" s="11"/>
      <c r="F2876" s="11"/>
      <c r="G2876" s="13">
        <f t="shared" si="1"/>
        <v>1281</v>
      </c>
      <c r="H2876" s="13"/>
    </row>
    <row r="2877" ht="22.5" customHeight="1">
      <c r="B2877" s="17"/>
      <c r="C2877" s="17"/>
      <c r="D2877" s="13"/>
      <c r="E2877" s="11"/>
      <c r="F2877" s="11"/>
      <c r="G2877" s="13">
        <f t="shared" si="1"/>
        <v>1281</v>
      </c>
      <c r="H2877" s="13"/>
    </row>
    <row r="2878" ht="22.5" customHeight="1">
      <c r="B2878" s="17"/>
      <c r="C2878" s="17"/>
      <c r="D2878" s="13"/>
      <c r="E2878" s="11"/>
      <c r="F2878" s="11"/>
      <c r="G2878" s="13">
        <f t="shared" si="1"/>
        <v>1281</v>
      </c>
      <c r="H2878" s="13"/>
    </row>
    <row r="2879" ht="22.5" customHeight="1">
      <c r="B2879" s="17"/>
      <c r="C2879" s="17"/>
      <c r="D2879" s="13"/>
      <c r="E2879" s="11"/>
      <c r="F2879" s="11"/>
      <c r="G2879" s="13">
        <f t="shared" si="1"/>
        <v>1281</v>
      </c>
      <c r="H2879" s="13"/>
    </row>
    <row r="2880" ht="22.5" customHeight="1">
      <c r="B2880" s="17"/>
      <c r="C2880" s="17"/>
      <c r="D2880" s="13"/>
      <c r="E2880" s="11"/>
      <c r="F2880" s="11"/>
      <c r="G2880" s="13">
        <f t="shared" si="1"/>
        <v>1281</v>
      </c>
      <c r="H2880" s="13"/>
    </row>
    <row r="2881" ht="22.5" customHeight="1">
      <c r="B2881" s="17"/>
      <c r="C2881" s="17"/>
      <c r="D2881" s="13"/>
      <c r="E2881" s="11"/>
      <c r="F2881" s="11"/>
      <c r="G2881" s="13">
        <f t="shared" si="1"/>
        <v>1281</v>
      </c>
      <c r="H2881" s="13"/>
    </row>
    <row r="2882" ht="22.5" customHeight="1">
      <c r="B2882" s="17"/>
      <c r="C2882" s="17"/>
      <c r="D2882" s="13"/>
      <c r="E2882" s="11"/>
      <c r="F2882" s="11"/>
      <c r="G2882" s="13">
        <f t="shared" si="1"/>
        <v>1281</v>
      </c>
      <c r="H2882" s="13"/>
    </row>
    <row r="2883" ht="22.5" customHeight="1">
      <c r="B2883" s="17"/>
      <c r="C2883" s="17"/>
      <c r="D2883" s="13"/>
      <c r="E2883" s="11"/>
      <c r="F2883" s="11"/>
      <c r="G2883" s="13">
        <f t="shared" si="1"/>
        <v>1281</v>
      </c>
      <c r="H2883" s="13"/>
    </row>
    <row r="2884" ht="22.5" customHeight="1">
      <c r="B2884" s="17"/>
      <c r="C2884" s="17"/>
      <c r="D2884" s="13"/>
      <c r="E2884" s="11"/>
      <c r="F2884" s="11"/>
      <c r="G2884" s="13">
        <f t="shared" si="1"/>
        <v>1281</v>
      </c>
      <c r="H2884" s="13"/>
    </row>
    <row r="2885" ht="22.5" customHeight="1">
      <c r="B2885" s="17"/>
      <c r="C2885" s="17"/>
      <c r="D2885" s="13"/>
      <c r="E2885" s="11"/>
      <c r="F2885" s="11"/>
      <c r="G2885" s="13">
        <f t="shared" si="1"/>
        <v>1281</v>
      </c>
      <c r="H2885" s="13"/>
    </row>
    <row r="2886" ht="22.5" customHeight="1">
      <c r="B2886" s="17"/>
      <c r="C2886" s="17"/>
      <c r="D2886" s="13"/>
      <c r="E2886" s="11"/>
      <c r="F2886" s="11"/>
      <c r="G2886" s="13">
        <f t="shared" si="1"/>
        <v>1281</v>
      </c>
      <c r="H2886" s="13"/>
    </row>
    <row r="2887" ht="22.5" customHeight="1">
      <c r="B2887" s="17"/>
      <c r="C2887" s="17"/>
      <c r="D2887" s="13"/>
      <c r="E2887" s="11"/>
      <c r="F2887" s="11"/>
      <c r="G2887" s="13">
        <f t="shared" si="1"/>
        <v>1281</v>
      </c>
      <c r="H2887" s="13"/>
    </row>
    <row r="2888" ht="22.5" customHeight="1">
      <c r="B2888" s="17"/>
      <c r="C2888" s="17"/>
      <c r="D2888" s="13"/>
      <c r="E2888" s="11"/>
      <c r="F2888" s="11"/>
      <c r="G2888" s="13">
        <f t="shared" si="1"/>
        <v>1281</v>
      </c>
      <c r="H2888" s="13"/>
    </row>
    <row r="2889" ht="22.5" customHeight="1">
      <c r="B2889" s="17"/>
      <c r="C2889" s="17"/>
      <c r="D2889" s="13"/>
      <c r="E2889" s="11"/>
      <c r="F2889" s="11"/>
      <c r="G2889" s="13">
        <f t="shared" si="1"/>
        <v>1281</v>
      </c>
      <c r="H2889" s="13"/>
    </row>
    <row r="2890" ht="22.5" customHeight="1">
      <c r="B2890" s="17"/>
      <c r="C2890" s="17"/>
      <c r="D2890" s="13"/>
      <c r="E2890" s="11"/>
      <c r="F2890" s="11"/>
      <c r="G2890" s="13">
        <f t="shared" si="1"/>
        <v>1281</v>
      </c>
      <c r="H2890" s="13"/>
    </row>
    <row r="2891" ht="22.5" customHeight="1">
      <c r="B2891" s="17"/>
      <c r="C2891" s="17"/>
      <c r="D2891" s="13"/>
      <c r="E2891" s="11"/>
      <c r="F2891" s="11"/>
      <c r="G2891" s="13">
        <f t="shared" si="1"/>
        <v>1281</v>
      </c>
      <c r="H2891" s="13"/>
    </row>
    <row r="2892" ht="22.5" customHeight="1">
      <c r="B2892" s="17"/>
      <c r="C2892" s="17"/>
      <c r="D2892" s="13"/>
      <c r="E2892" s="11"/>
      <c r="F2892" s="11"/>
      <c r="G2892" s="13">
        <f t="shared" si="1"/>
        <v>1281</v>
      </c>
      <c r="H2892" s="13"/>
    </row>
    <row r="2893" ht="22.5" customHeight="1">
      <c r="B2893" s="17"/>
      <c r="C2893" s="17"/>
      <c r="D2893" s="13"/>
      <c r="E2893" s="11"/>
      <c r="F2893" s="11"/>
      <c r="G2893" s="13">
        <f t="shared" si="1"/>
        <v>1281</v>
      </c>
      <c r="H2893" s="13"/>
    </row>
    <row r="2894" ht="22.5" customHeight="1">
      <c r="B2894" s="17"/>
      <c r="C2894" s="17"/>
      <c r="D2894" s="13"/>
      <c r="E2894" s="11"/>
      <c r="F2894" s="11"/>
      <c r="G2894" s="13">
        <f t="shared" si="1"/>
        <v>1281</v>
      </c>
      <c r="H2894" s="13"/>
    </row>
    <row r="2895" ht="22.5" customHeight="1">
      <c r="B2895" s="17"/>
      <c r="C2895" s="17"/>
      <c r="D2895" s="13"/>
      <c r="E2895" s="11"/>
      <c r="F2895" s="11"/>
      <c r="G2895" s="13">
        <f t="shared" si="1"/>
        <v>1281</v>
      </c>
      <c r="H2895" s="13"/>
    </row>
    <row r="2896" ht="22.5" customHeight="1">
      <c r="B2896" s="17"/>
      <c r="C2896" s="17"/>
      <c r="D2896" s="13"/>
      <c r="E2896" s="11"/>
      <c r="F2896" s="11"/>
      <c r="G2896" s="13">
        <f t="shared" si="1"/>
        <v>1281</v>
      </c>
      <c r="H2896" s="13"/>
    </row>
    <row r="2897" ht="22.5" customHeight="1">
      <c r="B2897" s="17"/>
      <c r="C2897" s="17"/>
      <c r="D2897" s="13"/>
      <c r="E2897" s="11"/>
      <c r="F2897" s="11"/>
      <c r="G2897" s="13">
        <f t="shared" si="1"/>
        <v>1281</v>
      </c>
      <c r="H2897" s="13"/>
    </row>
    <row r="2898" ht="22.5" customHeight="1">
      <c r="B2898" s="17"/>
      <c r="C2898" s="17"/>
      <c r="D2898" s="13"/>
      <c r="E2898" s="11"/>
      <c r="F2898" s="11"/>
      <c r="G2898" s="13">
        <f t="shared" si="1"/>
        <v>1281</v>
      </c>
      <c r="H2898" s="13"/>
    </row>
    <row r="2899" ht="22.5" customHeight="1">
      <c r="B2899" s="17"/>
      <c r="C2899" s="17"/>
      <c r="D2899" s="13"/>
      <c r="E2899" s="11"/>
      <c r="F2899" s="11"/>
      <c r="G2899" s="13">
        <f t="shared" si="1"/>
        <v>1281</v>
      </c>
      <c r="H2899" s="13"/>
    </row>
    <row r="2900" ht="22.5" customHeight="1">
      <c r="B2900" s="17"/>
      <c r="C2900" s="17"/>
      <c r="D2900" s="13"/>
      <c r="E2900" s="11"/>
      <c r="F2900" s="11"/>
      <c r="G2900" s="13">
        <f t="shared" si="1"/>
        <v>1281</v>
      </c>
      <c r="H2900" s="13"/>
    </row>
    <row r="2901" ht="22.5" customHeight="1">
      <c r="B2901" s="17"/>
      <c r="C2901" s="17"/>
      <c r="D2901" s="13"/>
      <c r="E2901" s="11"/>
      <c r="F2901" s="11"/>
      <c r="G2901" s="13">
        <f t="shared" si="1"/>
        <v>1281</v>
      </c>
      <c r="H2901" s="13"/>
    </row>
    <row r="2902" ht="22.5" customHeight="1">
      <c r="B2902" s="17"/>
      <c r="C2902" s="17"/>
      <c r="D2902" s="13"/>
      <c r="E2902" s="11"/>
      <c r="F2902" s="11"/>
      <c r="G2902" s="13">
        <f t="shared" si="1"/>
        <v>1281</v>
      </c>
      <c r="H2902" s="13"/>
    </row>
    <row r="2903" ht="22.5" customHeight="1">
      <c r="B2903" s="17"/>
      <c r="C2903" s="17"/>
      <c r="D2903" s="13"/>
      <c r="E2903" s="11"/>
      <c r="F2903" s="11"/>
      <c r="G2903" s="13">
        <f t="shared" si="1"/>
        <v>1281</v>
      </c>
      <c r="H2903" s="13"/>
    </row>
    <row r="2904" ht="22.5" customHeight="1">
      <c r="B2904" s="17"/>
      <c r="C2904" s="17"/>
      <c r="D2904" s="13"/>
      <c r="E2904" s="11"/>
      <c r="F2904" s="11"/>
      <c r="G2904" s="13">
        <f t="shared" si="1"/>
        <v>1281</v>
      </c>
      <c r="H2904" s="13"/>
    </row>
    <row r="2905" ht="22.5" customHeight="1">
      <c r="B2905" s="17"/>
      <c r="C2905" s="17"/>
      <c r="D2905" s="13"/>
      <c r="E2905" s="11"/>
      <c r="F2905" s="11"/>
      <c r="G2905" s="13">
        <f t="shared" si="1"/>
        <v>1281</v>
      </c>
      <c r="H2905" s="13"/>
    </row>
    <row r="2906" ht="22.5" customHeight="1">
      <c r="B2906" s="17"/>
      <c r="C2906" s="17"/>
      <c r="D2906" s="13"/>
      <c r="E2906" s="11"/>
      <c r="F2906" s="11"/>
      <c r="G2906" s="13">
        <f t="shared" si="1"/>
        <v>1281</v>
      </c>
      <c r="H2906" s="13"/>
    </row>
    <row r="2907" ht="22.5" customHeight="1">
      <c r="B2907" s="17"/>
      <c r="C2907" s="17"/>
      <c r="D2907" s="13"/>
      <c r="E2907" s="11"/>
      <c r="F2907" s="11"/>
      <c r="G2907" s="13">
        <f t="shared" si="1"/>
        <v>1281</v>
      </c>
      <c r="H2907" s="13"/>
    </row>
    <row r="2908" ht="22.5" customHeight="1">
      <c r="B2908" s="17"/>
      <c r="C2908" s="17"/>
      <c r="D2908" s="13"/>
      <c r="E2908" s="11"/>
      <c r="F2908" s="11"/>
      <c r="G2908" s="13">
        <f t="shared" si="1"/>
        <v>1281</v>
      </c>
      <c r="H2908" s="13"/>
    </row>
    <row r="2909" ht="22.5" customHeight="1">
      <c r="B2909" s="17"/>
      <c r="C2909" s="17"/>
      <c r="D2909" s="13"/>
      <c r="E2909" s="11"/>
      <c r="F2909" s="11"/>
      <c r="G2909" s="13">
        <f t="shared" si="1"/>
        <v>1281</v>
      </c>
      <c r="H2909" s="13"/>
    </row>
    <row r="2910" ht="22.5" customHeight="1">
      <c r="B2910" s="17"/>
      <c r="C2910" s="17"/>
      <c r="D2910" s="13"/>
      <c r="E2910" s="11"/>
      <c r="F2910" s="11"/>
      <c r="G2910" s="13">
        <f t="shared" si="1"/>
        <v>1281</v>
      </c>
      <c r="H2910" s="13"/>
    </row>
    <row r="2911" ht="22.5" customHeight="1">
      <c r="B2911" s="17"/>
      <c r="C2911" s="17"/>
      <c r="D2911" s="13"/>
      <c r="E2911" s="11"/>
      <c r="F2911" s="11"/>
      <c r="G2911" s="13">
        <f t="shared" si="1"/>
        <v>1281</v>
      </c>
      <c r="H2911" s="13"/>
    </row>
    <row r="2912" ht="22.5" customHeight="1">
      <c r="B2912" s="17"/>
      <c r="C2912" s="17"/>
      <c r="D2912" s="13"/>
      <c r="E2912" s="11"/>
      <c r="F2912" s="11"/>
      <c r="G2912" s="13">
        <f t="shared" si="1"/>
        <v>1281</v>
      </c>
      <c r="H2912" s="13"/>
    </row>
    <row r="2913" ht="22.5" customHeight="1">
      <c r="B2913" s="17"/>
      <c r="C2913" s="17"/>
      <c r="D2913" s="13"/>
      <c r="E2913" s="11"/>
      <c r="F2913" s="11"/>
      <c r="G2913" s="13">
        <f t="shared" si="1"/>
        <v>1281</v>
      </c>
      <c r="H2913" s="13"/>
    </row>
    <row r="2914" ht="22.5" customHeight="1">
      <c r="B2914" s="17"/>
      <c r="C2914" s="17"/>
      <c r="D2914" s="13"/>
      <c r="E2914" s="11"/>
      <c r="F2914" s="11"/>
      <c r="G2914" s="13">
        <f t="shared" si="1"/>
        <v>1281</v>
      </c>
      <c r="H2914" s="13"/>
    </row>
    <row r="2915" ht="22.5" customHeight="1">
      <c r="B2915" s="17"/>
      <c r="C2915" s="17"/>
      <c r="D2915" s="13"/>
      <c r="E2915" s="11"/>
      <c r="F2915" s="11"/>
      <c r="G2915" s="13">
        <f t="shared" si="1"/>
        <v>1281</v>
      </c>
      <c r="H2915" s="13"/>
    </row>
    <row r="2916" ht="22.5" customHeight="1">
      <c r="B2916" s="17"/>
      <c r="C2916" s="17"/>
      <c r="D2916" s="13"/>
      <c r="E2916" s="11"/>
      <c r="F2916" s="11"/>
      <c r="G2916" s="13">
        <f t="shared" si="1"/>
        <v>1281</v>
      </c>
      <c r="H2916" s="13"/>
    </row>
    <row r="2917" ht="22.5" customHeight="1">
      <c r="B2917" s="17"/>
      <c r="C2917" s="17"/>
      <c r="D2917" s="13"/>
      <c r="E2917" s="11"/>
      <c r="F2917" s="11"/>
      <c r="G2917" s="13">
        <f t="shared" si="1"/>
        <v>1281</v>
      </c>
      <c r="H2917" s="13"/>
    </row>
    <row r="2918" ht="22.5" customHeight="1">
      <c r="B2918" s="17"/>
      <c r="C2918" s="17"/>
      <c r="D2918" s="13"/>
      <c r="E2918" s="11"/>
      <c r="F2918" s="11"/>
      <c r="G2918" s="13">
        <f t="shared" si="1"/>
        <v>1281</v>
      </c>
      <c r="H2918" s="13"/>
    </row>
    <row r="2919" ht="22.5" customHeight="1">
      <c r="B2919" s="17"/>
      <c r="C2919" s="17"/>
      <c r="D2919" s="13"/>
      <c r="E2919" s="11"/>
      <c r="F2919" s="11"/>
      <c r="G2919" s="13">
        <f t="shared" si="1"/>
        <v>1281</v>
      </c>
      <c r="H2919" s="13"/>
    </row>
    <row r="2920" ht="22.5" customHeight="1">
      <c r="B2920" s="17"/>
      <c r="C2920" s="17"/>
      <c r="D2920" s="13"/>
      <c r="E2920" s="11"/>
      <c r="F2920" s="11"/>
      <c r="G2920" s="13">
        <f t="shared" si="1"/>
        <v>1281</v>
      </c>
      <c r="H2920" s="13"/>
    </row>
    <row r="2921" ht="22.5" customHeight="1">
      <c r="B2921" s="17"/>
      <c r="C2921" s="17"/>
      <c r="D2921" s="13"/>
      <c r="E2921" s="11"/>
      <c r="F2921" s="11"/>
      <c r="G2921" s="13">
        <f t="shared" si="1"/>
        <v>1281</v>
      </c>
      <c r="H2921" s="13"/>
    </row>
    <row r="2922" ht="22.5" customHeight="1">
      <c r="B2922" s="17"/>
      <c r="C2922" s="17"/>
      <c r="D2922" s="13"/>
      <c r="E2922" s="11"/>
      <c r="F2922" s="11"/>
      <c r="G2922" s="13">
        <f t="shared" si="1"/>
        <v>1281</v>
      </c>
      <c r="H2922" s="13"/>
    </row>
    <row r="2923" ht="22.5" customHeight="1">
      <c r="B2923" s="17"/>
      <c r="C2923" s="17"/>
      <c r="D2923" s="13"/>
      <c r="E2923" s="11"/>
      <c r="F2923" s="11"/>
      <c r="G2923" s="13">
        <f t="shared" si="1"/>
        <v>1281</v>
      </c>
      <c r="H2923" s="13"/>
    </row>
    <row r="2924" ht="22.5" customHeight="1">
      <c r="B2924" s="17"/>
      <c r="C2924" s="17"/>
      <c r="D2924" s="13"/>
      <c r="E2924" s="11"/>
      <c r="F2924" s="11"/>
      <c r="G2924" s="13">
        <f t="shared" si="1"/>
        <v>1281</v>
      </c>
      <c r="H2924" s="13"/>
    </row>
    <row r="2925" ht="22.5" customHeight="1">
      <c r="B2925" s="17"/>
      <c r="C2925" s="17"/>
      <c r="D2925" s="13"/>
      <c r="E2925" s="11"/>
      <c r="F2925" s="11"/>
      <c r="G2925" s="13">
        <f t="shared" si="1"/>
        <v>1281</v>
      </c>
      <c r="H2925" s="13"/>
    </row>
    <row r="2926" ht="22.5" customHeight="1">
      <c r="B2926" s="17"/>
      <c r="C2926" s="17"/>
      <c r="D2926" s="13"/>
      <c r="E2926" s="11"/>
      <c r="F2926" s="11"/>
      <c r="G2926" s="13">
        <f t="shared" si="1"/>
        <v>1281</v>
      </c>
      <c r="H2926" s="13"/>
    </row>
    <row r="2927" ht="22.5" customHeight="1">
      <c r="B2927" s="17"/>
      <c r="C2927" s="17"/>
      <c r="D2927" s="13"/>
      <c r="E2927" s="11"/>
      <c r="F2927" s="11"/>
      <c r="G2927" s="13">
        <f t="shared" si="1"/>
        <v>1281</v>
      </c>
      <c r="H2927" s="13"/>
    </row>
    <row r="2928" ht="22.5" customHeight="1">
      <c r="B2928" s="17"/>
      <c r="C2928" s="17"/>
      <c r="D2928" s="13"/>
      <c r="E2928" s="11"/>
      <c r="F2928" s="11"/>
      <c r="G2928" s="13">
        <f t="shared" si="1"/>
        <v>1281</v>
      </c>
      <c r="H2928" s="13"/>
    </row>
    <row r="2929" ht="22.5" customHeight="1">
      <c r="B2929" s="17"/>
      <c r="C2929" s="17"/>
      <c r="D2929" s="13"/>
      <c r="E2929" s="11"/>
      <c r="F2929" s="11"/>
      <c r="G2929" s="13">
        <f t="shared" si="1"/>
        <v>1281</v>
      </c>
      <c r="H2929" s="13"/>
    </row>
    <row r="2930" ht="22.5" customHeight="1">
      <c r="B2930" s="17"/>
      <c r="C2930" s="17"/>
      <c r="D2930" s="13"/>
      <c r="E2930" s="11"/>
      <c r="F2930" s="11"/>
      <c r="G2930" s="13">
        <f t="shared" si="1"/>
        <v>1281</v>
      </c>
      <c r="H2930" s="13"/>
    </row>
    <row r="2931" ht="22.5" customHeight="1">
      <c r="B2931" s="17"/>
      <c r="C2931" s="17"/>
      <c r="D2931" s="13"/>
      <c r="E2931" s="11"/>
      <c r="F2931" s="11"/>
      <c r="G2931" s="13">
        <f t="shared" si="1"/>
        <v>1281</v>
      </c>
      <c r="H2931" s="13"/>
    </row>
    <row r="2932" ht="22.5" customHeight="1">
      <c r="B2932" s="17"/>
      <c r="C2932" s="17"/>
      <c r="D2932" s="13"/>
      <c r="E2932" s="11"/>
      <c r="F2932" s="11"/>
      <c r="G2932" s="13">
        <f t="shared" si="1"/>
        <v>1281</v>
      </c>
      <c r="H2932" s="13"/>
    </row>
    <row r="2933" ht="22.5" customHeight="1">
      <c r="B2933" s="17"/>
      <c r="C2933" s="17"/>
      <c r="D2933" s="13"/>
      <c r="E2933" s="11"/>
      <c r="F2933" s="11"/>
      <c r="G2933" s="13">
        <f t="shared" si="1"/>
        <v>1281</v>
      </c>
      <c r="H2933" s="13"/>
    </row>
    <row r="2934" ht="22.5" customHeight="1">
      <c r="B2934" s="17"/>
      <c r="C2934" s="17"/>
      <c r="D2934" s="13"/>
      <c r="E2934" s="11"/>
      <c r="F2934" s="11"/>
      <c r="G2934" s="13">
        <f t="shared" si="1"/>
        <v>1281</v>
      </c>
      <c r="H2934" s="13"/>
    </row>
    <row r="2935" ht="22.5" customHeight="1">
      <c r="B2935" s="17"/>
      <c r="C2935" s="17"/>
      <c r="D2935" s="13"/>
      <c r="E2935" s="11"/>
      <c r="F2935" s="11"/>
      <c r="G2935" s="13">
        <f t="shared" si="1"/>
        <v>1281</v>
      </c>
      <c r="H2935" s="13"/>
    </row>
    <row r="2936" ht="22.5" customHeight="1">
      <c r="B2936" s="17"/>
      <c r="C2936" s="17"/>
      <c r="D2936" s="13"/>
      <c r="E2936" s="11"/>
      <c r="F2936" s="11"/>
      <c r="G2936" s="13">
        <f t="shared" si="1"/>
        <v>1281</v>
      </c>
      <c r="H2936" s="13"/>
    </row>
    <row r="2937" ht="22.5" customHeight="1">
      <c r="B2937" s="17"/>
      <c r="C2937" s="17"/>
      <c r="D2937" s="13"/>
      <c r="E2937" s="11"/>
      <c r="F2937" s="11"/>
      <c r="G2937" s="13">
        <f t="shared" si="1"/>
        <v>1281</v>
      </c>
      <c r="H2937" s="13"/>
    </row>
    <row r="2938" ht="22.5" customHeight="1">
      <c r="B2938" s="17"/>
      <c r="C2938" s="17"/>
      <c r="D2938" s="13"/>
      <c r="E2938" s="11"/>
      <c r="F2938" s="11"/>
      <c r="G2938" s="13">
        <f t="shared" si="1"/>
        <v>1281</v>
      </c>
      <c r="H2938" s="13"/>
    </row>
    <row r="2939" ht="22.5" customHeight="1">
      <c r="B2939" s="17"/>
      <c r="C2939" s="17"/>
      <c r="D2939" s="13"/>
      <c r="E2939" s="11"/>
      <c r="F2939" s="11"/>
      <c r="G2939" s="13">
        <f t="shared" si="1"/>
        <v>1281</v>
      </c>
      <c r="H2939" s="13"/>
    </row>
    <row r="2940" ht="22.5" customHeight="1">
      <c r="B2940" s="17"/>
      <c r="C2940" s="17"/>
      <c r="D2940" s="13"/>
      <c r="E2940" s="11"/>
      <c r="F2940" s="11"/>
      <c r="G2940" s="13">
        <f t="shared" si="1"/>
        <v>1281</v>
      </c>
      <c r="H2940" s="13"/>
    </row>
    <row r="2941" ht="22.5" customHeight="1">
      <c r="B2941" s="17"/>
      <c r="C2941" s="17"/>
      <c r="D2941" s="13"/>
      <c r="E2941" s="11"/>
      <c r="F2941" s="11"/>
      <c r="G2941" s="13">
        <f t="shared" si="1"/>
        <v>1281</v>
      </c>
      <c r="H2941" s="13"/>
    </row>
    <row r="2942" ht="22.5" customHeight="1">
      <c r="B2942" s="17"/>
      <c r="C2942" s="17"/>
      <c r="D2942" s="13"/>
      <c r="E2942" s="11"/>
      <c r="F2942" s="11"/>
      <c r="G2942" s="13">
        <f t="shared" si="1"/>
        <v>1281</v>
      </c>
      <c r="H2942" s="13"/>
    </row>
    <row r="2943" ht="22.5" customHeight="1">
      <c r="B2943" s="17"/>
      <c r="C2943" s="17"/>
      <c r="D2943" s="13"/>
      <c r="E2943" s="11"/>
      <c r="F2943" s="11"/>
      <c r="G2943" s="13">
        <f t="shared" si="1"/>
        <v>1281</v>
      </c>
      <c r="H2943" s="13"/>
    </row>
    <row r="2944" ht="22.5" customHeight="1">
      <c r="B2944" s="17"/>
      <c r="C2944" s="17"/>
      <c r="D2944" s="13"/>
      <c r="E2944" s="11"/>
      <c r="F2944" s="11"/>
      <c r="G2944" s="13">
        <f t="shared" si="1"/>
        <v>1281</v>
      </c>
      <c r="H2944" s="13"/>
    </row>
    <row r="2945" ht="22.5" customHeight="1">
      <c r="B2945" s="17"/>
      <c r="C2945" s="17"/>
      <c r="D2945" s="13"/>
      <c r="E2945" s="11"/>
      <c r="F2945" s="11"/>
      <c r="G2945" s="13">
        <f t="shared" si="1"/>
        <v>1281</v>
      </c>
      <c r="H2945" s="13"/>
    </row>
    <row r="2946" ht="22.5" customHeight="1">
      <c r="B2946" s="17"/>
      <c r="C2946" s="17"/>
      <c r="D2946" s="13"/>
      <c r="E2946" s="11"/>
      <c r="F2946" s="11"/>
      <c r="G2946" s="13">
        <f t="shared" si="1"/>
        <v>1281</v>
      </c>
      <c r="H2946" s="13"/>
    </row>
    <row r="2947" ht="22.5" customHeight="1">
      <c r="B2947" s="17"/>
      <c r="C2947" s="17"/>
      <c r="D2947" s="13"/>
      <c r="E2947" s="11"/>
      <c r="F2947" s="11"/>
      <c r="G2947" s="13">
        <f t="shared" si="1"/>
        <v>1281</v>
      </c>
      <c r="H2947" s="13"/>
    </row>
    <row r="2948" ht="22.5" customHeight="1">
      <c r="B2948" s="17"/>
      <c r="C2948" s="17"/>
      <c r="D2948" s="13"/>
      <c r="E2948" s="11"/>
      <c r="F2948" s="11"/>
      <c r="G2948" s="13">
        <f t="shared" si="1"/>
        <v>1281</v>
      </c>
      <c r="H2948" s="13"/>
    </row>
    <row r="2949" ht="22.5" customHeight="1">
      <c r="B2949" s="17"/>
      <c r="C2949" s="17"/>
      <c r="D2949" s="13"/>
      <c r="E2949" s="11"/>
      <c r="F2949" s="11"/>
      <c r="G2949" s="13">
        <f t="shared" si="1"/>
        <v>1281</v>
      </c>
      <c r="H2949" s="13"/>
    </row>
    <row r="2950" ht="22.5" customHeight="1">
      <c r="B2950" s="17"/>
      <c r="C2950" s="17"/>
      <c r="D2950" s="13"/>
      <c r="E2950" s="11"/>
      <c r="F2950" s="11"/>
      <c r="G2950" s="13">
        <f t="shared" si="1"/>
        <v>1281</v>
      </c>
      <c r="H2950" s="13"/>
    </row>
    <row r="2951" ht="22.5" customHeight="1">
      <c r="B2951" s="17"/>
      <c r="C2951" s="17"/>
      <c r="D2951" s="13"/>
      <c r="E2951" s="11"/>
      <c r="F2951" s="11"/>
      <c r="G2951" s="13">
        <f t="shared" si="1"/>
        <v>1281</v>
      </c>
      <c r="H2951" s="13"/>
    </row>
    <row r="2952" ht="22.5" customHeight="1">
      <c r="B2952" s="17"/>
      <c r="C2952" s="17"/>
      <c r="D2952" s="13"/>
      <c r="E2952" s="11"/>
      <c r="F2952" s="11"/>
      <c r="G2952" s="13">
        <f t="shared" si="1"/>
        <v>1281</v>
      </c>
      <c r="H2952" s="13"/>
    </row>
    <row r="2953" ht="22.5" customHeight="1">
      <c r="B2953" s="17"/>
      <c r="C2953" s="17"/>
      <c r="D2953" s="13"/>
      <c r="E2953" s="11"/>
      <c r="F2953" s="11"/>
      <c r="G2953" s="13">
        <f t="shared" si="1"/>
        <v>1281</v>
      </c>
      <c r="H2953" s="13"/>
    </row>
    <row r="2954" ht="22.5" customHeight="1">
      <c r="B2954" s="17"/>
      <c r="C2954" s="17"/>
      <c r="D2954" s="13"/>
      <c r="E2954" s="11"/>
      <c r="F2954" s="11"/>
      <c r="G2954" s="13">
        <f t="shared" si="1"/>
        <v>1281</v>
      </c>
      <c r="H2954" s="13"/>
    </row>
    <row r="2955" ht="22.5" customHeight="1">
      <c r="B2955" s="17"/>
      <c r="C2955" s="17"/>
      <c r="D2955" s="13"/>
      <c r="E2955" s="11"/>
      <c r="F2955" s="11"/>
      <c r="G2955" s="13">
        <f t="shared" si="1"/>
        <v>1281</v>
      </c>
      <c r="H2955" s="13"/>
    </row>
    <row r="2956" ht="22.5" customHeight="1">
      <c r="B2956" s="17"/>
      <c r="C2956" s="17"/>
      <c r="D2956" s="13"/>
      <c r="E2956" s="11"/>
      <c r="F2956" s="11"/>
      <c r="G2956" s="13">
        <f t="shared" si="1"/>
        <v>1281</v>
      </c>
      <c r="H2956" s="13"/>
    </row>
    <row r="2957" ht="22.5" customHeight="1">
      <c r="B2957" s="17"/>
      <c r="C2957" s="17"/>
      <c r="D2957" s="13"/>
      <c r="E2957" s="11"/>
      <c r="F2957" s="11"/>
      <c r="G2957" s="13">
        <f t="shared" si="1"/>
        <v>1281</v>
      </c>
      <c r="H2957" s="13"/>
    </row>
    <row r="2958" ht="22.5" customHeight="1">
      <c r="B2958" s="17"/>
      <c r="C2958" s="17"/>
      <c r="D2958" s="13"/>
      <c r="E2958" s="11"/>
      <c r="F2958" s="11"/>
      <c r="G2958" s="13">
        <f t="shared" si="1"/>
        <v>1281</v>
      </c>
      <c r="H2958" s="13"/>
    </row>
    <row r="2959" ht="22.5" customHeight="1">
      <c r="B2959" s="17"/>
      <c r="C2959" s="17"/>
      <c r="D2959" s="13"/>
      <c r="E2959" s="11"/>
      <c r="F2959" s="11"/>
      <c r="G2959" s="13">
        <f t="shared" si="1"/>
        <v>1281</v>
      </c>
      <c r="H2959" s="13"/>
    </row>
    <row r="2960" ht="22.5" customHeight="1">
      <c r="B2960" s="17"/>
      <c r="C2960" s="17"/>
      <c r="D2960" s="13"/>
      <c r="E2960" s="11"/>
      <c r="F2960" s="11"/>
      <c r="G2960" s="13">
        <f t="shared" si="1"/>
        <v>1281</v>
      </c>
      <c r="H2960" s="13"/>
    </row>
    <row r="2961" ht="22.5" customHeight="1">
      <c r="B2961" s="17"/>
      <c r="C2961" s="17"/>
      <c r="D2961" s="13"/>
      <c r="E2961" s="11"/>
      <c r="F2961" s="11"/>
      <c r="G2961" s="13">
        <f t="shared" si="1"/>
        <v>1281</v>
      </c>
      <c r="H2961" s="13"/>
    </row>
    <row r="2962" ht="22.5" customHeight="1">
      <c r="B2962" s="17"/>
      <c r="C2962" s="17"/>
      <c r="D2962" s="13"/>
      <c r="E2962" s="11"/>
      <c r="F2962" s="11"/>
      <c r="G2962" s="13">
        <f t="shared" si="1"/>
        <v>1281</v>
      </c>
      <c r="H2962" s="13"/>
    </row>
    <row r="2963" ht="22.5" customHeight="1">
      <c r="B2963" s="17"/>
      <c r="C2963" s="17"/>
      <c r="D2963" s="13"/>
      <c r="E2963" s="11"/>
      <c r="F2963" s="11"/>
      <c r="G2963" s="13">
        <f t="shared" si="1"/>
        <v>1281</v>
      </c>
      <c r="H2963" s="13"/>
    </row>
    <row r="2964" ht="22.5" customHeight="1">
      <c r="B2964" s="17"/>
      <c r="C2964" s="17"/>
      <c r="D2964" s="13"/>
      <c r="E2964" s="11"/>
      <c r="F2964" s="11"/>
      <c r="G2964" s="13">
        <f t="shared" si="1"/>
        <v>1281</v>
      </c>
      <c r="H2964" s="13"/>
    </row>
    <row r="2965" ht="22.5" customHeight="1">
      <c r="B2965" s="17"/>
      <c r="C2965" s="17"/>
      <c r="D2965" s="13"/>
      <c r="E2965" s="11"/>
      <c r="F2965" s="11"/>
      <c r="G2965" s="13">
        <f t="shared" si="1"/>
        <v>1281</v>
      </c>
      <c r="H2965" s="13"/>
    </row>
    <row r="2966" ht="22.5" customHeight="1">
      <c r="B2966" s="17"/>
      <c r="C2966" s="17"/>
      <c r="D2966" s="13"/>
      <c r="E2966" s="11"/>
      <c r="F2966" s="11"/>
      <c r="G2966" s="13">
        <f t="shared" si="1"/>
        <v>1281</v>
      </c>
      <c r="H2966" s="13"/>
    </row>
    <row r="2967" ht="22.5" customHeight="1">
      <c r="B2967" s="17"/>
      <c r="C2967" s="17"/>
      <c r="D2967" s="13"/>
      <c r="E2967" s="11"/>
      <c r="F2967" s="11"/>
      <c r="G2967" s="13">
        <f t="shared" si="1"/>
        <v>1281</v>
      </c>
      <c r="H2967" s="13"/>
    </row>
    <row r="2968" ht="22.5" customHeight="1">
      <c r="B2968" s="17"/>
      <c r="C2968" s="17"/>
      <c r="D2968" s="13"/>
      <c r="E2968" s="11"/>
      <c r="F2968" s="11"/>
      <c r="G2968" s="13">
        <f t="shared" si="1"/>
        <v>1281</v>
      </c>
      <c r="H2968" s="13"/>
    </row>
    <row r="2969" ht="22.5" customHeight="1">
      <c r="B2969" s="17"/>
      <c r="C2969" s="17"/>
      <c r="D2969" s="13"/>
      <c r="E2969" s="11"/>
      <c r="F2969" s="11"/>
      <c r="G2969" s="13">
        <f t="shared" si="1"/>
        <v>1281</v>
      </c>
      <c r="H2969" s="13"/>
    </row>
    <row r="2970" ht="22.5" customHeight="1">
      <c r="B2970" s="17"/>
      <c r="C2970" s="17"/>
      <c r="D2970" s="13"/>
      <c r="E2970" s="11"/>
      <c r="F2970" s="11"/>
      <c r="G2970" s="13">
        <f t="shared" si="1"/>
        <v>1281</v>
      </c>
      <c r="H2970" s="13"/>
    </row>
    <row r="2971" ht="22.5" customHeight="1">
      <c r="B2971" s="17"/>
      <c r="C2971" s="17"/>
      <c r="D2971" s="13"/>
      <c r="E2971" s="11"/>
      <c r="F2971" s="11"/>
      <c r="G2971" s="13">
        <f t="shared" si="1"/>
        <v>1281</v>
      </c>
      <c r="H2971" s="13"/>
    </row>
    <row r="2972" ht="22.5" customHeight="1">
      <c r="B2972" s="17"/>
      <c r="C2972" s="17"/>
      <c r="D2972" s="13"/>
      <c r="E2972" s="11"/>
      <c r="F2972" s="11"/>
      <c r="G2972" s="13">
        <f t="shared" si="1"/>
        <v>1281</v>
      </c>
      <c r="H2972" s="13"/>
    </row>
    <row r="2973" ht="22.5" customHeight="1">
      <c r="B2973" s="17"/>
      <c r="C2973" s="17"/>
      <c r="D2973" s="13"/>
      <c r="E2973" s="11"/>
      <c r="F2973" s="11"/>
      <c r="G2973" s="13">
        <f t="shared" si="1"/>
        <v>1281</v>
      </c>
      <c r="H2973" s="13"/>
    </row>
    <row r="2974" ht="22.5" customHeight="1">
      <c r="B2974" s="17"/>
      <c r="C2974" s="17"/>
      <c r="D2974" s="13"/>
      <c r="E2974" s="11"/>
      <c r="F2974" s="11"/>
      <c r="G2974" s="13">
        <f t="shared" si="1"/>
        <v>1281</v>
      </c>
      <c r="H2974" s="13"/>
    </row>
    <row r="2975" ht="22.5" customHeight="1">
      <c r="B2975" s="17"/>
      <c r="C2975" s="17"/>
      <c r="D2975" s="13"/>
      <c r="E2975" s="11"/>
      <c r="F2975" s="11"/>
      <c r="G2975" s="13">
        <f t="shared" si="1"/>
        <v>1281</v>
      </c>
      <c r="H2975" s="13"/>
    </row>
    <row r="2976" ht="22.5" customHeight="1">
      <c r="B2976" s="17"/>
      <c r="C2976" s="17"/>
      <c r="D2976" s="13"/>
      <c r="E2976" s="11"/>
      <c r="F2976" s="11"/>
      <c r="G2976" s="13">
        <f t="shared" si="1"/>
        <v>1281</v>
      </c>
      <c r="H2976" s="13"/>
    </row>
    <row r="2977" ht="22.5" customHeight="1">
      <c r="B2977" s="17"/>
      <c r="C2977" s="17"/>
      <c r="D2977" s="13"/>
      <c r="E2977" s="11"/>
      <c r="F2977" s="11"/>
      <c r="G2977" s="13">
        <f t="shared" si="1"/>
        <v>1281</v>
      </c>
      <c r="H2977" s="13"/>
    </row>
    <row r="2978" ht="22.5" customHeight="1">
      <c r="B2978" s="17"/>
      <c r="C2978" s="17"/>
      <c r="D2978" s="13"/>
      <c r="E2978" s="11"/>
      <c r="F2978" s="11"/>
      <c r="G2978" s="13">
        <f t="shared" si="1"/>
        <v>1281</v>
      </c>
      <c r="H2978" s="13"/>
    </row>
    <row r="2979" ht="22.5" customHeight="1">
      <c r="B2979" s="17"/>
      <c r="C2979" s="17"/>
      <c r="D2979" s="13"/>
      <c r="E2979" s="11"/>
      <c r="F2979" s="11"/>
      <c r="G2979" s="13">
        <f t="shared" si="1"/>
        <v>1281</v>
      </c>
      <c r="H2979" s="13"/>
    </row>
    <row r="2980" ht="22.5" customHeight="1">
      <c r="B2980" s="17"/>
      <c r="C2980" s="17"/>
      <c r="D2980" s="13"/>
      <c r="E2980" s="11"/>
      <c r="F2980" s="11"/>
      <c r="G2980" s="13">
        <f t="shared" si="1"/>
        <v>1281</v>
      </c>
      <c r="H2980" s="13"/>
    </row>
    <row r="2981" ht="22.5" customHeight="1">
      <c r="B2981" s="17"/>
      <c r="C2981" s="17"/>
      <c r="D2981" s="13"/>
      <c r="E2981" s="11"/>
      <c r="F2981" s="11"/>
      <c r="G2981" s="13">
        <f t="shared" si="1"/>
        <v>1281</v>
      </c>
      <c r="H2981" s="13"/>
    </row>
    <row r="2982" ht="22.5" customHeight="1">
      <c r="B2982" s="17"/>
      <c r="C2982" s="17"/>
      <c r="D2982" s="13"/>
      <c r="E2982" s="11"/>
      <c r="F2982" s="11"/>
      <c r="G2982" s="13">
        <f t="shared" si="1"/>
        <v>1281</v>
      </c>
      <c r="H2982" s="13"/>
    </row>
    <row r="2983" ht="22.5" customHeight="1">
      <c r="B2983" s="17"/>
      <c r="C2983" s="17"/>
      <c r="D2983" s="13"/>
      <c r="E2983" s="11"/>
      <c r="F2983" s="11"/>
      <c r="G2983" s="13">
        <f t="shared" si="1"/>
        <v>1281</v>
      </c>
      <c r="H2983" s="13"/>
    </row>
    <row r="2984" ht="22.5" customHeight="1">
      <c r="B2984" s="17"/>
      <c r="C2984" s="17"/>
      <c r="D2984" s="13"/>
      <c r="E2984" s="11"/>
      <c r="F2984" s="11"/>
      <c r="G2984" s="13">
        <f t="shared" si="1"/>
        <v>1281</v>
      </c>
      <c r="H2984" s="13"/>
    </row>
    <row r="2985" ht="22.5" customHeight="1">
      <c r="B2985" s="17"/>
      <c r="C2985" s="17"/>
      <c r="D2985" s="13"/>
      <c r="E2985" s="11"/>
      <c r="F2985" s="11"/>
      <c r="G2985" s="13">
        <f t="shared" si="1"/>
        <v>1281</v>
      </c>
      <c r="H2985" s="13"/>
    </row>
    <row r="2986" ht="22.5" customHeight="1">
      <c r="B2986" s="17"/>
      <c r="C2986" s="17"/>
      <c r="D2986" s="13"/>
      <c r="E2986" s="11"/>
      <c r="F2986" s="11"/>
      <c r="G2986" s="13">
        <f t="shared" si="1"/>
        <v>1281</v>
      </c>
      <c r="H2986" s="13"/>
    </row>
    <row r="2987" ht="22.5" customHeight="1">
      <c r="B2987" s="17"/>
      <c r="C2987" s="17"/>
      <c r="D2987" s="13"/>
      <c r="E2987" s="11"/>
      <c r="F2987" s="11"/>
      <c r="G2987" s="13">
        <f t="shared" si="1"/>
        <v>1281</v>
      </c>
      <c r="H2987" s="13"/>
    </row>
    <row r="2988" ht="22.5" customHeight="1">
      <c r="B2988" s="17"/>
      <c r="C2988" s="17"/>
      <c r="D2988" s="13"/>
      <c r="E2988" s="11"/>
      <c r="F2988" s="11"/>
      <c r="G2988" s="13">
        <f t="shared" si="1"/>
        <v>1281</v>
      </c>
      <c r="H2988" s="13"/>
    </row>
    <row r="2989" ht="22.5" customHeight="1">
      <c r="B2989" s="17"/>
      <c r="C2989" s="17"/>
      <c r="D2989" s="13"/>
      <c r="E2989" s="11"/>
      <c r="F2989" s="11"/>
      <c r="G2989" s="13">
        <f t="shared" si="1"/>
        <v>1281</v>
      </c>
      <c r="H2989" s="13"/>
    </row>
    <row r="2990" ht="22.5" customHeight="1">
      <c r="B2990" s="17"/>
      <c r="C2990" s="17"/>
      <c r="D2990" s="13"/>
      <c r="E2990" s="11"/>
      <c r="F2990" s="11"/>
      <c r="G2990" s="13">
        <f t="shared" si="1"/>
        <v>1281</v>
      </c>
      <c r="H2990" s="13"/>
    </row>
    <row r="2991" ht="22.5" customHeight="1">
      <c r="B2991" s="17"/>
      <c r="C2991" s="17"/>
      <c r="D2991" s="13"/>
      <c r="E2991" s="11"/>
      <c r="F2991" s="11"/>
      <c r="G2991" s="13">
        <f t="shared" si="1"/>
        <v>1281</v>
      </c>
      <c r="H2991" s="13"/>
    </row>
    <row r="2992" ht="22.5" customHeight="1">
      <c r="B2992" s="17"/>
      <c r="C2992" s="17"/>
      <c r="D2992" s="13"/>
      <c r="E2992" s="11"/>
      <c r="F2992" s="11"/>
      <c r="G2992" s="13">
        <f t="shared" si="1"/>
        <v>1281</v>
      </c>
      <c r="H2992" s="13"/>
    </row>
    <row r="2993" ht="22.5" customHeight="1">
      <c r="B2993" s="17"/>
      <c r="C2993" s="17"/>
      <c r="D2993" s="13"/>
      <c r="E2993" s="11"/>
      <c r="F2993" s="11"/>
      <c r="G2993" s="13">
        <f t="shared" si="1"/>
        <v>1281</v>
      </c>
      <c r="H2993" s="13"/>
    </row>
    <row r="2994" ht="22.5" customHeight="1">
      <c r="B2994" s="17"/>
      <c r="C2994" s="17"/>
      <c r="D2994" s="13"/>
      <c r="E2994" s="11"/>
      <c r="F2994" s="11"/>
      <c r="G2994" s="13">
        <f t="shared" si="1"/>
        <v>1281</v>
      </c>
      <c r="H2994" s="13"/>
    </row>
    <row r="2995" ht="22.5" customHeight="1">
      <c r="B2995" s="17"/>
      <c r="C2995" s="17"/>
      <c r="D2995" s="13"/>
      <c r="E2995" s="11"/>
      <c r="F2995" s="11"/>
      <c r="G2995" s="13">
        <f t="shared" si="1"/>
        <v>1281</v>
      </c>
      <c r="H2995" s="13"/>
    </row>
    <row r="2996" ht="22.5" customHeight="1">
      <c r="B2996" s="17"/>
      <c r="C2996" s="17"/>
      <c r="D2996" s="13"/>
      <c r="E2996" s="11"/>
      <c r="F2996" s="11"/>
      <c r="G2996" s="13">
        <f t="shared" si="1"/>
        <v>1281</v>
      </c>
      <c r="H2996" s="13"/>
    </row>
    <row r="2997" ht="22.5" customHeight="1">
      <c r="B2997" s="17"/>
      <c r="C2997" s="17"/>
      <c r="D2997" s="13"/>
      <c r="E2997" s="11"/>
      <c r="F2997" s="11"/>
      <c r="G2997" s="13">
        <f t="shared" si="1"/>
        <v>1281</v>
      </c>
      <c r="H2997" s="13"/>
    </row>
    <row r="2998" ht="22.5" customHeight="1">
      <c r="B2998" s="17"/>
      <c r="C2998" s="17"/>
      <c r="D2998" s="13"/>
      <c r="E2998" s="11"/>
      <c r="F2998" s="11"/>
      <c r="G2998" s="13">
        <f t="shared" si="1"/>
        <v>1281</v>
      </c>
      <c r="H2998" s="13"/>
    </row>
    <row r="2999" ht="22.5" customHeight="1">
      <c r="B2999" s="17"/>
      <c r="C2999" s="17"/>
      <c r="D2999" s="13"/>
      <c r="E2999" s="11"/>
      <c r="F2999" s="11"/>
      <c r="G2999" s="13">
        <f t="shared" si="1"/>
        <v>1281</v>
      </c>
      <c r="H2999" s="13"/>
    </row>
    <row r="3000" ht="22.5" customHeight="1">
      <c r="B3000" s="17"/>
      <c r="C3000" s="17"/>
      <c r="D3000" s="13"/>
      <c r="E3000" s="11"/>
      <c r="F3000" s="11"/>
      <c r="G3000" s="13">
        <f t="shared" si="1"/>
        <v>1281</v>
      </c>
      <c r="H3000" s="13"/>
    </row>
    <row r="3001" ht="22.5" customHeight="1">
      <c r="B3001" s="17"/>
      <c r="C3001" s="17"/>
      <c r="D3001" s="13"/>
      <c r="E3001" s="11"/>
      <c r="F3001" s="11"/>
      <c r="G3001" s="13">
        <f t="shared" si="1"/>
        <v>1281</v>
      </c>
      <c r="H3001" s="13"/>
    </row>
    <row r="3002" ht="22.5" customHeight="1">
      <c r="B3002" s="17"/>
      <c r="C3002" s="17"/>
      <c r="D3002" s="13"/>
      <c r="E3002" s="11"/>
      <c r="F3002" s="11"/>
      <c r="G3002" s="13">
        <f t="shared" si="1"/>
        <v>1281</v>
      </c>
      <c r="H3002" s="13"/>
    </row>
    <row r="3003" ht="22.5" customHeight="1">
      <c r="B3003" s="17"/>
      <c r="C3003" s="17"/>
      <c r="D3003" s="13"/>
      <c r="E3003" s="11"/>
      <c r="F3003" s="11"/>
      <c r="G3003" s="13">
        <f t="shared" si="1"/>
        <v>1281</v>
      </c>
      <c r="H3003" s="13"/>
    </row>
    <row r="3004" ht="22.5" customHeight="1">
      <c r="B3004" s="17"/>
      <c r="C3004" s="17"/>
      <c r="D3004" s="13"/>
      <c r="E3004" s="11"/>
      <c r="F3004" s="11"/>
      <c r="G3004" s="13">
        <f t="shared" si="1"/>
        <v>1281</v>
      </c>
      <c r="H3004" s="13"/>
    </row>
    <row r="3005" ht="22.5" customHeight="1">
      <c r="B3005" s="17"/>
      <c r="C3005" s="17"/>
      <c r="D3005" s="13"/>
      <c r="E3005" s="11"/>
      <c r="F3005" s="11"/>
      <c r="G3005" s="13">
        <f t="shared" si="1"/>
        <v>1281</v>
      </c>
      <c r="H3005" s="13"/>
    </row>
    <row r="3006" ht="22.5" customHeight="1">
      <c r="B3006" s="17"/>
      <c r="C3006" s="17"/>
      <c r="D3006" s="13"/>
      <c r="E3006" s="11"/>
      <c r="F3006" s="11"/>
      <c r="G3006" s="13">
        <f t="shared" si="1"/>
        <v>1281</v>
      </c>
      <c r="H3006" s="13"/>
    </row>
    <row r="3007" ht="22.5" customHeight="1">
      <c r="B3007" s="17"/>
      <c r="C3007" s="17"/>
      <c r="D3007" s="13"/>
      <c r="E3007" s="11"/>
      <c r="F3007" s="11"/>
      <c r="G3007" s="13">
        <f t="shared" si="1"/>
        <v>1281</v>
      </c>
      <c r="H3007" s="13"/>
    </row>
    <row r="3008" ht="22.5" customHeight="1">
      <c r="B3008" s="17"/>
      <c r="C3008" s="17"/>
      <c r="D3008" s="13"/>
      <c r="E3008" s="11"/>
      <c r="F3008" s="11"/>
      <c r="G3008" s="13">
        <f t="shared" si="1"/>
        <v>1281</v>
      </c>
      <c r="H3008" s="13"/>
    </row>
    <row r="3009" ht="22.5" customHeight="1">
      <c r="B3009" s="17"/>
      <c r="C3009" s="17"/>
      <c r="D3009" s="13"/>
      <c r="E3009" s="11"/>
      <c r="F3009" s="11"/>
      <c r="G3009" s="13">
        <f t="shared" si="1"/>
        <v>1281</v>
      </c>
      <c r="H3009" s="13"/>
    </row>
    <row r="3010" ht="22.5" customHeight="1">
      <c r="B3010" s="17"/>
      <c r="C3010" s="17"/>
      <c r="D3010" s="13"/>
      <c r="E3010" s="11"/>
      <c r="F3010" s="11"/>
      <c r="G3010" s="13">
        <f t="shared" si="1"/>
        <v>1281</v>
      </c>
      <c r="H3010" s="13"/>
    </row>
    <row r="3011" ht="22.5" customHeight="1">
      <c r="B3011" s="17"/>
      <c r="C3011" s="17"/>
      <c r="D3011" s="13"/>
      <c r="E3011" s="11"/>
      <c r="F3011" s="11"/>
      <c r="G3011" s="13">
        <f t="shared" si="1"/>
        <v>1281</v>
      </c>
      <c r="H3011" s="13"/>
    </row>
    <row r="3012" ht="22.5" customHeight="1">
      <c r="B3012" s="17"/>
      <c r="C3012" s="17"/>
      <c r="D3012" s="13"/>
      <c r="E3012" s="11"/>
      <c r="F3012" s="11"/>
      <c r="G3012" s="13">
        <f t="shared" si="1"/>
        <v>1281</v>
      </c>
      <c r="H3012" s="13"/>
    </row>
    <row r="3013" ht="22.5" customHeight="1">
      <c r="B3013" s="17"/>
      <c r="C3013" s="17"/>
      <c r="D3013" s="13"/>
      <c r="E3013" s="11"/>
      <c r="F3013" s="11"/>
      <c r="G3013" s="13">
        <f t="shared" si="1"/>
        <v>1281</v>
      </c>
      <c r="H3013" s="13"/>
    </row>
    <row r="3014" ht="22.5" customHeight="1">
      <c r="B3014" s="17"/>
      <c r="C3014" s="17"/>
      <c r="D3014" s="13"/>
      <c r="E3014" s="11"/>
      <c r="F3014" s="11"/>
      <c r="G3014" s="13">
        <f t="shared" si="1"/>
        <v>1281</v>
      </c>
      <c r="H3014" s="13"/>
    </row>
    <row r="3015" ht="22.5" customHeight="1">
      <c r="B3015" s="17"/>
      <c r="C3015" s="17"/>
      <c r="D3015" s="13"/>
      <c r="E3015" s="11"/>
      <c r="F3015" s="11"/>
      <c r="G3015" s="13">
        <f t="shared" si="1"/>
        <v>1281</v>
      </c>
      <c r="H3015" s="13"/>
    </row>
    <row r="3016" ht="22.5" customHeight="1">
      <c r="B3016" s="17"/>
      <c r="C3016" s="17"/>
      <c r="D3016" s="13"/>
      <c r="E3016" s="11"/>
      <c r="F3016" s="11"/>
      <c r="G3016" s="13">
        <f t="shared" si="1"/>
        <v>1281</v>
      </c>
      <c r="H3016" s="13"/>
    </row>
    <row r="3017" ht="22.5" customHeight="1">
      <c r="B3017" s="17"/>
      <c r="C3017" s="17"/>
      <c r="D3017" s="13"/>
      <c r="E3017" s="11"/>
      <c r="F3017" s="11"/>
      <c r="G3017" s="13">
        <f t="shared" si="1"/>
        <v>1281</v>
      </c>
      <c r="H3017" s="13"/>
    </row>
    <row r="3018" ht="22.5" customHeight="1">
      <c r="B3018" s="17"/>
      <c r="C3018" s="17"/>
      <c r="D3018" s="13"/>
      <c r="E3018" s="11"/>
      <c r="F3018" s="11"/>
      <c r="G3018" s="13">
        <f t="shared" si="1"/>
        <v>1281</v>
      </c>
      <c r="H3018" s="13"/>
    </row>
    <row r="3019" ht="22.5" customHeight="1">
      <c r="B3019" s="17"/>
      <c r="C3019" s="17"/>
      <c r="D3019" s="13"/>
      <c r="E3019" s="11"/>
      <c r="F3019" s="11"/>
      <c r="G3019" s="13">
        <f t="shared" si="1"/>
        <v>1281</v>
      </c>
      <c r="H3019" s="13"/>
    </row>
    <row r="3020" ht="22.5" customHeight="1">
      <c r="B3020" s="17"/>
      <c r="C3020" s="17"/>
      <c r="D3020" s="13"/>
      <c r="E3020" s="11"/>
      <c r="F3020" s="11"/>
      <c r="G3020" s="13">
        <f t="shared" si="1"/>
        <v>1281</v>
      </c>
      <c r="H3020" s="13"/>
    </row>
    <row r="3021" ht="22.5" customHeight="1">
      <c r="B3021" s="17"/>
      <c r="C3021" s="17"/>
      <c r="D3021" s="13"/>
      <c r="E3021" s="11"/>
      <c r="F3021" s="11"/>
      <c r="G3021" s="13">
        <f t="shared" si="1"/>
        <v>1281</v>
      </c>
      <c r="H3021" s="13"/>
    </row>
    <row r="3022" ht="22.5" customHeight="1">
      <c r="B3022" s="17"/>
      <c r="C3022" s="17"/>
      <c r="D3022" s="13"/>
      <c r="E3022" s="11"/>
      <c r="F3022" s="11"/>
      <c r="G3022" s="13">
        <f t="shared" si="1"/>
        <v>1281</v>
      </c>
      <c r="H3022" s="13"/>
    </row>
    <row r="3023" ht="22.5" customHeight="1">
      <c r="B3023" s="17"/>
      <c r="C3023" s="17"/>
      <c r="D3023" s="13"/>
      <c r="E3023" s="11"/>
      <c r="F3023" s="11"/>
      <c r="G3023" s="13">
        <f t="shared" si="1"/>
        <v>1281</v>
      </c>
      <c r="H3023" s="13"/>
    </row>
    <row r="3024" ht="22.5" customHeight="1">
      <c r="B3024" s="17"/>
      <c r="C3024" s="17"/>
      <c r="D3024" s="13"/>
      <c r="E3024" s="11"/>
      <c r="F3024" s="11"/>
      <c r="G3024" s="13">
        <f t="shared" si="1"/>
        <v>1281</v>
      </c>
      <c r="H3024" s="13"/>
    </row>
    <row r="3025" ht="22.5" customHeight="1">
      <c r="B3025" s="17"/>
      <c r="C3025" s="17"/>
      <c r="D3025" s="13"/>
      <c r="E3025" s="11"/>
      <c r="F3025" s="11"/>
      <c r="G3025" s="13">
        <f t="shared" si="1"/>
        <v>1281</v>
      </c>
      <c r="H3025" s="13"/>
    </row>
    <row r="3026" ht="22.5" customHeight="1">
      <c r="B3026" s="17"/>
      <c r="C3026" s="17"/>
      <c r="D3026" s="13"/>
      <c r="E3026" s="11"/>
      <c r="F3026" s="11"/>
      <c r="G3026" s="13">
        <f t="shared" si="1"/>
        <v>1281</v>
      </c>
      <c r="H3026" s="13"/>
    </row>
    <row r="3027" ht="22.5" customHeight="1">
      <c r="B3027" s="17"/>
      <c r="C3027" s="17"/>
      <c r="D3027" s="13"/>
      <c r="E3027" s="11"/>
      <c r="F3027" s="11"/>
      <c r="G3027" s="13">
        <f t="shared" si="1"/>
        <v>1281</v>
      </c>
      <c r="H3027" s="13"/>
    </row>
    <row r="3028" ht="22.5" customHeight="1">
      <c r="B3028" s="17"/>
      <c r="C3028" s="17"/>
      <c r="D3028" s="13"/>
      <c r="E3028" s="11"/>
      <c r="F3028" s="11"/>
      <c r="G3028" s="13">
        <f t="shared" si="1"/>
        <v>1281</v>
      </c>
      <c r="H3028" s="13"/>
    </row>
    <row r="3029" ht="22.5" customHeight="1">
      <c r="B3029" s="17"/>
      <c r="C3029" s="17"/>
      <c r="D3029" s="13"/>
      <c r="E3029" s="11"/>
      <c r="F3029" s="11"/>
      <c r="G3029" s="13">
        <f t="shared" si="1"/>
        <v>1281</v>
      </c>
      <c r="H3029" s="13"/>
    </row>
    <row r="3030" ht="22.5" customHeight="1">
      <c r="B3030" s="17"/>
      <c r="C3030" s="17"/>
      <c r="D3030" s="13"/>
      <c r="E3030" s="11"/>
      <c r="F3030" s="11"/>
      <c r="G3030" s="13">
        <f t="shared" si="1"/>
        <v>1281</v>
      </c>
      <c r="H3030" s="13"/>
    </row>
    <row r="3031" ht="22.5" customHeight="1">
      <c r="B3031" s="17"/>
      <c r="C3031" s="17"/>
      <c r="D3031" s="13"/>
      <c r="E3031" s="11"/>
      <c r="F3031" s="11"/>
      <c r="G3031" s="13">
        <f t="shared" si="1"/>
        <v>1281</v>
      </c>
      <c r="H3031" s="13"/>
    </row>
    <row r="3032" ht="22.5" customHeight="1">
      <c r="B3032" s="17"/>
      <c r="C3032" s="17"/>
      <c r="D3032" s="13"/>
      <c r="E3032" s="11"/>
      <c r="F3032" s="11"/>
      <c r="G3032" s="13">
        <f t="shared" si="1"/>
        <v>1281</v>
      </c>
      <c r="H3032" s="13"/>
    </row>
    <row r="3033" ht="22.5" customHeight="1">
      <c r="B3033" s="17"/>
      <c r="C3033" s="17"/>
      <c r="D3033" s="13"/>
      <c r="E3033" s="11"/>
      <c r="F3033" s="11"/>
      <c r="G3033" s="13">
        <f t="shared" si="1"/>
        <v>1281</v>
      </c>
      <c r="H3033" s="13"/>
    </row>
    <row r="3034" ht="22.5" customHeight="1">
      <c r="B3034" s="17"/>
      <c r="C3034" s="17"/>
      <c r="D3034" s="13"/>
      <c r="E3034" s="11"/>
      <c r="F3034" s="11"/>
      <c r="G3034" s="13">
        <f t="shared" si="1"/>
        <v>1281</v>
      </c>
      <c r="H3034" s="13"/>
    </row>
    <row r="3035" ht="22.5" customHeight="1">
      <c r="B3035" s="17"/>
      <c r="C3035" s="17"/>
      <c r="D3035" s="13"/>
      <c r="E3035" s="11"/>
      <c r="F3035" s="11"/>
      <c r="G3035" s="13">
        <f t="shared" si="1"/>
        <v>1281</v>
      </c>
      <c r="H3035" s="13"/>
    </row>
    <row r="3036" ht="22.5" customHeight="1">
      <c r="B3036" s="17"/>
      <c r="C3036" s="17"/>
      <c r="D3036" s="13"/>
      <c r="E3036" s="11"/>
      <c r="F3036" s="11"/>
      <c r="G3036" s="13">
        <f t="shared" si="1"/>
        <v>1281</v>
      </c>
      <c r="H3036" s="13"/>
    </row>
    <row r="3037" ht="22.5" customHeight="1">
      <c r="B3037" s="17"/>
      <c r="C3037" s="17"/>
      <c r="D3037" s="13"/>
      <c r="E3037" s="11"/>
      <c r="F3037" s="11"/>
      <c r="G3037" s="13">
        <f t="shared" si="1"/>
        <v>1281</v>
      </c>
      <c r="H3037" s="13"/>
    </row>
    <row r="3038" ht="22.5" customHeight="1">
      <c r="B3038" s="17"/>
      <c r="C3038" s="17"/>
      <c r="D3038" s="13"/>
      <c r="E3038" s="11"/>
      <c r="F3038" s="11"/>
      <c r="G3038" s="13">
        <f t="shared" si="1"/>
        <v>1281</v>
      </c>
      <c r="H3038" s="13"/>
    </row>
    <row r="3039" ht="22.5" customHeight="1">
      <c r="B3039" s="17"/>
      <c r="C3039" s="17"/>
      <c r="D3039" s="13"/>
      <c r="E3039" s="11"/>
      <c r="F3039" s="11"/>
      <c r="G3039" s="13">
        <f t="shared" si="1"/>
        <v>1281</v>
      </c>
      <c r="H3039" s="13"/>
    </row>
    <row r="3040" ht="22.5" customHeight="1">
      <c r="B3040" s="17"/>
      <c r="C3040" s="17"/>
      <c r="D3040" s="13"/>
      <c r="E3040" s="11"/>
      <c r="F3040" s="11"/>
      <c r="G3040" s="13">
        <f t="shared" si="1"/>
        <v>1281</v>
      </c>
      <c r="H3040" s="13"/>
    </row>
    <row r="3041" ht="22.5" customHeight="1">
      <c r="B3041" s="17"/>
      <c r="C3041" s="17"/>
      <c r="D3041" s="13"/>
      <c r="E3041" s="11"/>
      <c r="F3041" s="11"/>
      <c r="G3041" s="13">
        <f t="shared" si="1"/>
        <v>1281</v>
      </c>
      <c r="H3041" s="13"/>
    </row>
    <row r="3042" ht="22.5" customHeight="1">
      <c r="B3042" s="17"/>
      <c r="C3042" s="17"/>
      <c r="D3042" s="13"/>
      <c r="E3042" s="11"/>
      <c r="F3042" s="11"/>
      <c r="G3042" s="13">
        <f t="shared" si="1"/>
        <v>1281</v>
      </c>
      <c r="H3042" s="13"/>
    </row>
    <row r="3043" ht="22.5" customHeight="1">
      <c r="B3043" s="17"/>
      <c r="C3043" s="17"/>
      <c r="D3043" s="13"/>
      <c r="E3043" s="11"/>
      <c r="F3043" s="11"/>
      <c r="G3043" s="13">
        <f t="shared" si="1"/>
        <v>1281</v>
      </c>
      <c r="H3043" s="13"/>
    </row>
    <row r="3044" ht="22.5" customHeight="1">
      <c r="B3044" s="17"/>
      <c r="C3044" s="17"/>
      <c r="D3044" s="13"/>
      <c r="E3044" s="11"/>
      <c r="F3044" s="11"/>
      <c r="G3044" s="13">
        <f t="shared" si="1"/>
        <v>1281</v>
      </c>
      <c r="H3044" s="13"/>
    </row>
    <row r="3045" ht="22.5" customHeight="1">
      <c r="B3045" s="17"/>
      <c r="C3045" s="17"/>
      <c r="D3045" s="13"/>
      <c r="E3045" s="11"/>
      <c r="F3045" s="11"/>
      <c r="G3045" s="13">
        <f t="shared" si="1"/>
        <v>1281</v>
      </c>
      <c r="H3045" s="13"/>
    </row>
    <row r="3046" ht="22.5" customHeight="1">
      <c r="B3046" s="17"/>
      <c r="C3046" s="17"/>
      <c r="D3046" s="13"/>
      <c r="E3046" s="11"/>
      <c r="F3046" s="11"/>
      <c r="G3046" s="13">
        <f t="shared" si="1"/>
        <v>1281</v>
      </c>
      <c r="H3046" s="13"/>
    </row>
    <row r="3047" ht="22.5" customHeight="1">
      <c r="B3047" s="17"/>
      <c r="C3047" s="17"/>
      <c r="D3047" s="13"/>
      <c r="E3047" s="11"/>
      <c r="F3047" s="11"/>
      <c r="G3047" s="13">
        <f t="shared" si="1"/>
        <v>1281</v>
      </c>
      <c r="H3047" s="13"/>
    </row>
    <row r="3048" ht="22.5" customHeight="1">
      <c r="B3048" s="17"/>
      <c r="C3048" s="17"/>
      <c r="D3048" s="13"/>
      <c r="E3048" s="11"/>
      <c r="F3048" s="11"/>
      <c r="G3048" s="13">
        <f t="shared" si="1"/>
        <v>1281</v>
      </c>
      <c r="H3048" s="13"/>
    </row>
    <row r="3049" ht="22.5" customHeight="1">
      <c r="B3049" s="17"/>
      <c r="C3049" s="17"/>
      <c r="D3049" s="13"/>
      <c r="E3049" s="11"/>
      <c r="F3049" s="11"/>
      <c r="G3049" s="13">
        <f t="shared" si="1"/>
        <v>1281</v>
      </c>
      <c r="H3049" s="13"/>
    </row>
    <row r="3050" ht="22.5" customHeight="1">
      <c r="B3050" s="17"/>
      <c r="C3050" s="17"/>
      <c r="D3050" s="13"/>
      <c r="E3050" s="11"/>
      <c r="F3050" s="11"/>
      <c r="G3050" s="13">
        <f t="shared" si="1"/>
        <v>1281</v>
      </c>
      <c r="H3050" s="13"/>
    </row>
    <row r="3051" ht="22.5" customHeight="1">
      <c r="B3051" s="17"/>
      <c r="C3051" s="17"/>
      <c r="D3051" s="13"/>
      <c r="E3051" s="11"/>
      <c r="F3051" s="11"/>
      <c r="G3051" s="13">
        <f t="shared" si="1"/>
        <v>1281</v>
      </c>
      <c r="H3051" s="13"/>
    </row>
    <row r="3052" ht="22.5" customHeight="1">
      <c r="B3052" s="17"/>
      <c r="C3052" s="17"/>
      <c r="D3052" s="13"/>
      <c r="E3052" s="11"/>
      <c r="F3052" s="11"/>
      <c r="G3052" s="13">
        <f t="shared" si="1"/>
        <v>1281</v>
      </c>
      <c r="H3052" s="13"/>
    </row>
    <row r="3053" ht="22.5" customHeight="1">
      <c r="B3053" s="17"/>
      <c r="C3053" s="17"/>
      <c r="D3053" s="13"/>
      <c r="E3053" s="11"/>
      <c r="F3053" s="11"/>
      <c r="G3053" s="13">
        <f t="shared" si="1"/>
        <v>1281</v>
      </c>
      <c r="H3053" s="13"/>
    </row>
    <row r="3054" ht="22.5" customHeight="1">
      <c r="B3054" s="17"/>
      <c r="C3054" s="17"/>
      <c r="D3054" s="13"/>
      <c r="E3054" s="11"/>
      <c r="F3054" s="11"/>
      <c r="G3054" s="13">
        <f t="shared" si="1"/>
        <v>1281</v>
      </c>
      <c r="H3054" s="13"/>
    </row>
    <row r="3055" ht="22.5" customHeight="1">
      <c r="B3055" s="17"/>
      <c r="C3055" s="17"/>
      <c r="D3055" s="13"/>
      <c r="E3055" s="11"/>
      <c r="F3055" s="11"/>
      <c r="G3055" s="13">
        <f t="shared" si="1"/>
        <v>1281</v>
      </c>
      <c r="H3055" s="13"/>
    </row>
    <row r="3056" ht="22.5" customHeight="1">
      <c r="B3056" s="17"/>
      <c r="C3056" s="17"/>
      <c r="D3056" s="13"/>
      <c r="E3056" s="11"/>
      <c r="F3056" s="11"/>
      <c r="G3056" s="13">
        <f t="shared" si="1"/>
        <v>1281</v>
      </c>
      <c r="H3056" s="13"/>
    </row>
    <row r="3057" ht="22.5" customHeight="1">
      <c r="B3057" s="17"/>
      <c r="C3057" s="17"/>
      <c r="D3057" s="13"/>
      <c r="E3057" s="11"/>
      <c r="F3057" s="11"/>
      <c r="G3057" s="13">
        <f t="shared" si="1"/>
        <v>1281</v>
      </c>
      <c r="H3057" s="13"/>
    </row>
    <row r="3058" ht="22.5" customHeight="1">
      <c r="B3058" s="17"/>
      <c r="C3058" s="17"/>
      <c r="D3058" s="13"/>
      <c r="E3058" s="11"/>
      <c r="F3058" s="11"/>
      <c r="G3058" s="13">
        <f t="shared" si="1"/>
        <v>1281</v>
      </c>
      <c r="H3058" s="13"/>
    </row>
    <row r="3059" ht="22.5" customHeight="1">
      <c r="B3059" s="17"/>
      <c r="C3059" s="17"/>
      <c r="D3059" s="13"/>
      <c r="E3059" s="11"/>
      <c r="F3059" s="11"/>
      <c r="G3059" s="13">
        <f t="shared" si="1"/>
        <v>1281</v>
      </c>
      <c r="H3059" s="13"/>
    </row>
    <row r="3060" ht="22.5" customHeight="1">
      <c r="B3060" s="17"/>
      <c r="C3060" s="17"/>
      <c r="D3060" s="13"/>
      <c r="E3060" s="11"/>
      <c r="F3060" s="11"/>
      <c r="G3060" s="13">
        <f t="shared" si="1"/>
        <v>1281</v>
      </c>
      <c r="H3060" s="13"/>
    </row>
    <row r="3061" ht="22.5" customHeight="1">
      <c r="B3061" s="17"/>
      <c r="C3061" s="17"/>
      <c r="D3061" s="13"/>
      <c r="E3061" s="11"/>
      <c r="F3061" s="11"/>
      <c r="G3061" s="13">
        <f t="shared" si="1"/>
        <v>1281</v>
      </c>
      <c r="H3061" s="13"/>
    </row>
    <row r="3062" ht="22.5" customHeight="1">
      <c r="B3062" s="17"/>
      <c r="C3062" s="17"/>
      <c r="D3062" s="13"/>
      <c r="E3062" s="11"/>
      <c r="F3062" s="11"/>
      <c r="G3062" s="13">
        <f t="shared" si="1"/>
        <v>1281</v>
      </c>
      <c r="H3062" s="13"/>
    </row>
    <row r="3063" ht="22.5" customHeight="1">
      <c r="B3063" s="17"/>
      <c r="C3063" s="17"/>
      <c r="D3063" s="13"/>
      <c r="E3063" s="11"/>
      <c r="F3063" s="11"/>
      <c r="G3063" s="13">
        <f t="shared" si="1"/>
        <v>1281</v>
      </c>
      <c r="H3063" s="13"/>
    </row>
    <row r="3064" ht="22.5" customHeight="1">
      <c r="B3064" s="17"/>
      <c r="C3064" s="17"/>
      <c r="D3064" s="13"/>
      <c r="E3064" s="11"/>
      <c r="F3064" s="11"/>
      <c r="G3064" s="13">
        <f t="shared" si="1"/>
        <v>1281</v>
      </c>
      <c r="H3064" s="13"/>
    </row>
    <row r="3065" ht="22.5" customHeight="1">
      <c r="B3065" s="17"/>
      <c r="C3065" s="17"/>
      <c r="D3065" s="13"/>
      <c r="E3065" s="11"/>
      <c r="F3065" s="11"/>
      <c r="G3065" s="13">
        <f t="shared" si="1"/>
        <v>1281</v>
      </c>
      <c r="H3065" s="13"/>
    </row>
    <row r="3066" ht="22.5" customHeight="1">
      <c r="B3066" s="17"/>
      <c r="C3066" s="17"/>
      <c r="D3066" s="13"/>
      <c r="E3066" s="11"/>
      <c r="F3066" s="11"/>
      <c r="G3066" s="13">
        <f t="shared" si="1"/>
        <v>1281</v>
      </c>
      <c r="H3066" s="13"/>
    </row>
    <row r="3067" ht="22.5" customHeight="1">
      <c r="B3067" s="17"/>
      <c r="C3067" s="17"/>
      <c r="D3067" s="13"/>
      <c r="E3067" s="11"/>
      <c r="F3067" s="11"/>
      <c r="G3067" s="13">
        <f t="shared" si="1"/>
        <v>1281</v>
      </c>
      <c r="H3067" s="13"/>
    </row>
    <row r="3068" ht="22.5" customHeight="1">
      <c r="B3068" s="17"/>
      <c r="C3068" s="17"/>
      <c r="D3068" s="13"/>
      <c r="E3068" s="11"/>
      <c r="F3068" s="11"/>
      <c r="G3068" s="13">
        <f t="shared" si="1"/>
        <v>1281</v>
      </c>
      <c r="H3068" s="13"/>
    </row>
    <row r="3069" ht="22.5" customHeight="1">
      <c r="B3069" s="17"/>
      <c r="C3069" s="17"/>
      <c r="D3069" s="13"/>
      <c r="E3069" s="11"/>
      <c r="F3069" s="11"/>
      <c r="G3069" s="13">
        <f t="shared" si="1"/>
        <v>1281</v>
      </c>
      <c r="H3069" s="13"/>
    </row>
    <row r="3070" ht="22.5" customHeight="1">
      <c r="B3070" s="17"/>
      <c r="C3070" s="17"/>
      <c r="D3070" s="13"/>
      <c r="E3070" s="11"/>
      <c r="F3070" s="11"/>
      <c r="G3070" s="13">
        <f t="shared" si="1"/>
        <v>1281</v>
      </c>
      <c r="H3070" s="13"/>
    </row>
    <row r="3071" ht="22.5" customHeight="1">
      <c r="B3071" s="17"/>
      <c r="C3071" s="17"/>
      <c r="D3071" s="13"/>
      <c r="E3071" s="11"/>
      <c r="F3071" s="11"/>
      <c r="G3071" s="13">
        <f t="shared" si="1"/>
        <v>1281</v>
      </c>
      <c r="H3071" s="13"/>
    </row>
    <row r="3072" ht="22.5" customHeight="1">
      <c r="B3072" s="17"/>
      <c r="C3072" s="17"/>
      <c r="D3072" s="13"/>
      <c r="E3072" s="11"/>
      <c r="F3072" s="11"/>
      <c r="G3072" s="13">
        <f t="shared" si="1"/>
        <v>1281</v>
      </c>
      <c r="H3072" s="13"/>
    </row>
    <row r="3073" ht="22.5" customHeight="1">
      <c r="B3073" s="17"/>
      <c r="C3073" s="17"/>
      <c r="D3073" s="13"/>
      <c r="E3073" s="11"/>
      <c r="F3073" s="11"/>
      <c r="G3073" s="13">
        <f t="shared" si="1"/>
        <v>1281</v>
      </c>
      <c r="H3073" s="13"/>
    </row>
    <row r="3074" ht="22.5" customHeight="1">
      <c r="B3074" s="17"/>
      <c r="C3074" s="17"/>
      <c r="D3074" s="13"/>
      <c r="E3074" s="11"/>
      <c r="F3074" s="11"/>
      <c r="G3074" s="13">
        <f t="shared" si="1"/>
        <v>1281</v>
      </c>
      <c r="H3074" s="13"/>
    </row>
    <row r="3075" ht="22.5" customHeight="1">
      <c r="B3075" s="17"/>
      <c r="C3075" s="17"/>
      <c r="D3075" s="13"/>
      <c r="E3075" s="11"/>
      <c r="F3075" s="11"/>
      <c r="G3075" s="13">
        <f t="shared" si="1"/>
        <v>1281</v>
      </c>
      <c r="H3075" s="13"/>
    </row>
    <row r="3076" ht="22.5" customHeight="1">
      <c r="B3076" s="17"/>
      <c r="C3076" s="17"/>
      <c r="D3076" s="13"/>
      <c r="E3076" s="11"/>
      <c r="F3076" s="11"/>
      <c r="G3076" s="13">
        <f t="shared" si="1"/>
        <v>1281</v>
      </c>
      <c r="H3076" s="13"/>
    </row>
    <row r="3077" ht="22.5" customHeight="1">
      <c r="B3077" s="17"/>
      <c r="C3077" s="17"/>
      <c r="D3077" s="13"/>
      <c r="E3077" s="11"/>
      <c r="F3077" s="11"/>
      <c r="G3077" s="13">
        <f t="shared" si="1"/>
        <v>1281</v>
      </c>
      <c r="H3077" s="13"/>
    </row>
    <row r="3078" ht="22.5" customHeight="1">
      <c r="B3078" s="17"/>
      <c r="C3078" s="17"/>
      <c r="D3078" s="13"/>
      <c r="E3078" s="11"/>
      <c r="F3078" s="11"/>
      <c r="G3078" s="13">
        <f t="shared" si="1"/>
        <v>1281</v>
      </c>
      <c r="H3078" s="13"/>
    </row>
    <row r="3079" ht="22.5" customHeight="1">
      <c r="B3079" s="17"/>
      <c r="C3079" s="17"/>
      <c r="D3079" s="13"/>
      <c r="E3079" s="11"/>
      <c r="F3079" s="11"/>
      <c r="G3079" s="13">
        <f t="shared" si="1"/>
        <v>1281</v>
      </c>
      <c r="H3079" s="13"/>
    </row>
    <row r="3080" ht="22.5" customHeight="1">
      <c r="B3080" s="17"/>
      <c r="C3080" s="17"/>
      <c r="D3080" s="13"/>
      <c r="E3080" s="11"/>
      <c r="F3080" s="11"/>
      <c r="G3080" s="13">
        <f t="shared" si="1"/>
        <v>1281</v>
      </c>
      <c r="H3080" s="13"/>
    </row>
    <row r="3081" ht="22.5" customHeight="1">
      <c r="B3081" s="17"/>
      <c r="C3081" s="17"/>
      <c r="D3081" s="13"/>
      <c r="E3081" s="11"/>
      <c r="F3081" s="11"/>
      <c r="G3081" s="13">
        <f t="shared" si="1"/>
        <v>1281</v>
      </c>
      <c r="H3081" s="13"/>
    </row>
    <row r="3082" ht="22.5" customHeight="1">
      <c r="B3082" s="17"/>
      <c r="C3082" s="17"/>
      <c r="D3082" s="13"/>
      <c r="E3082" s="11"/>
      <c r="F3082" s="11"/>
      <c r="G3082" s="13">
        <f t="shared" si="1"/>
        <v>1281</v>
      </c>
      <c r="H3082" s="13"/>
    </row>
    <row r="3083" ht="22.5" customHeight="1">
      <c r="B3083" s="17"/>
      <c r="C3083" s="17"/>
      <c r="D3083" s="13"/>
      <c r="E3083" s="11"/>
      <c r="F3083" s="11"/>
      <c r="G3083" s="13">
        <f t="shared" si="1"/>
        <v>1281</v>
      </c>
      <c r="H3083" s="13"/>
    </row>
    <row r="3084" ht="22.5" customHeight="1">
      <c r="B3084" s="17"/>
      <c r="C3084" s="17"/>
      <c r="D3084" s="13"/>
      <c r="E3084" s="11"/>
      <c r="F3084" s="11"/>
      <c r="G3084" s="13">
        <f t="shared" si="1"/>
        <v>1281</v>
      </c>
      <c r="H3084" s="13"/>
    </row>
    <row r="3085" ht="22.5" customHeight="1">
      <c r="B3085" s="17"/>
      <c r="C3085" s="17"/>
      <c r="D3085" s="13"/>
      <c r="E3085" s="11"/>
      <c r="F3085" s="11"/>
      <c r="G3085" s="13">
        <f t="shared" si="1"/>
        <v>1281</v>
      </c>
      <c r="H3085" s="13"/>
    </row>
    <row r="3086" ht="22.5" customHeight="1">
      <c r="B3086" s="17"/>
      <c r="C3086" s="17"/>
      <c r="D3086" s="13"/>
      <c r="E3086" s="11"/>
      <c r="F3086" s="11"/>
      <c r="G3086" s="13">
        <f t="shared" si="1"/>
        <v>1281</v>
      </c>
      <c r="H3086" s="13"/>
    </row>
    <row r="3087" ht="22.5" customHeight="1">
      <c r="B3087" s="17"/>
      <c r="C3087" s="17"/>
      <c r="D3087" s="13"/>
      <c r="E3087" s="11"/>
      <c r="F3087" s="11"/>
      <c r="G3087" s="13">
        <f t="shared" si="1"/>
        <v>1281</v>
      </c>
      <c r="H3087" s="13"/>
    </row>
    <row r="3088" ht="22.5" customHeight="1">
      <c r="B3088" s="17"/>
      <c r="C3088" s="17"/>
      <c r="D3088" s="13"/>
      <c r="E3088" s="11"/>
      <c r="F3088" s="11"/>
      <c r="G3088" s="13">
        <f t="shared" si="1"/>
        <v>1281</v>
      </c>
      <c r="H3088" s="13"/>
    </row>
    <row r="3089" ht="22.5" customHeight="1">
      <c r="B3089" s="17"/>
      <c r="C3089" s="17"/>
      <c r="D3089" s="13"/>
      <c r="E3089" s="11"/>
      <c r="F3089" s="11"/>
      <c r="G3089" s="13">
        <f t="shared" si="1"/>
        <v>1281</v>
      </c>
      <c r="H3089" s="13"/>
    </row>
    <row r="3090" ht="22.5" customHeight="1">
      <c r="B3090" s="17"/>
      <c r="C3090" s="17"/>
      <c r="D3090" s="13"/>
      <c r="E3090" s="11"/>
      <c r="F3090" s="11"/>
      <c r="G3090" s="13">
        <f t="shared" si="1"/>
        <v>1281</v>
      </c>
      <c r="H3090" s="13"/>
    </row>
    <row r="3091" ht="22.5" customHeight="1">
      <c r="B3091" s="17"/>
      <c r="C3091" s="17"/>
      <c r="D3091" s="13"/>
      <c r="E3091" s="11"/>
      <c r="F3091" s="11"/>
      <c r="G3091" s="13">
        <f t="shared" si="1"/>
        <v>1281</v>
      </c>
      <c r="H3091" s="13"/>
    </row>
    <row r="3092" ht="22.5" customHeight="1">
      <c r="B3092" s="17"/>
      <c r="C3092" s="17"/>
      <c r="D3092" s="13"/>
      <c r="E3092" s="11"/>
      <c r="F3092" s="11"/>
      <c r="G3092" s="13">
        <f t="shared" si="1"/>
        <v>1281</v>
      </c>
      <c r="H3092" s="13"/>
    </row>
    <row r="3093" ht="22.5" customHeight="1">
      <c r="B3093" s="17"/>
      <c r="C3093" s="17"/>
      <c r="D3093" s="13"/>
      <c r="E3093" s="11"/>
      <c r="F3093" s="11"/>
      <c r="G3093" s="13">
        <f t="shared" si="1"/>
        <v>1281</v>
      </c>
      <c r="H3093" s="13"/>
    </row>
    <row r="3094" ht="22.5" customHeight="1">
      <c r="B3094" s="17"/>
      <c r="C3094" s="17"/>
      <c r="D3094" s="13"/>
      <c r="E3094" s="11"/>
      <c r="F3094" s="11"/>
      <c r="G3094" s="13">
        <f t="shared" si="1"/>
        <v>1281</v>
      </c>
      <c r="H3094" s="13"/>
    </row>
    <row r="3095" ht="22.5" customHeight="1">
      <c r="B3095" s="17"/>
      <c r="C3095" s="17"/>
      <c r="D3095" s="13"/>
      <c r="E3095" s="11"/>
      <c r="F3095" s="11"/>
      <c r="G3095" s="13">
        <f t="shared" si="1"/>
        <v>1281</v>
      </c>
      <c r="H3095" s="13"/>
    </row>
    <row r="3096" ht="22.5" customHeight="1">
      <c r="B3096" s="17"/>
      <c r="C3096" s="17"/>
      <c r="D3096" s="13"/>
      <c r="E3096" s="11"/>
      <c r="F3096" s="11"/>
      <c r="G3096" s="13">
        <f t="shared" si="1"/>
        <v>1281</v>
      </c>
      <c r="H3096" s="13"/>
    </row>
    <row r="3097" ht="22.5" customHeight="1">
      <c r="B3097" s="17"/>
      <c r="C3097" s="17"/>
      <c r="D3097" s="13"/>
      <c r="E3097" s="11"/>
      <c r="F3097" s="11"/>
      <c r="G3097" s="13">
        <f t="shared" si="1"/>
        <v>1281</v>
      </c>
      <c r="H3097" s="13"/>
    </row>
    <row r="3098" ht="22.5" customHeight="1">
      <c r="B3098" s="17"/>
      <c r="C3098" s="17"/>
      <c r="D3098" s="13"/>
      <c r="E3098" s="11"/>
      <c r="F3098" s="11"/>
      <c r="G3098" s="13">
        <f t="shared" si="1"/>
        <v>1281</v>
      </c>
      <c r="H3098" s="13"/>
    </row>
    <row r="3099" ht="22.5" customHeight="1">
      <c r="B3099" s="17"/>
      <c r="C3099" s="17"/>
      <c r="D3099" s="13"/>
      <c r="E3099" s="11"/>
      <c r="F3099" s="11"/>
      <c r="G3099" s="13">
        <f t="shared" si="1"/>
        <v>1281</v>
      </c>
      <c r="H3099" s="13"/>
    </row>
    <row r="3100" ht="22.5" customHeight="1">
      <c r="B3100" s="17"/>
      <c r="C3100" s="17"/>
      <c r="D3100" s="13"/>
      <c r="E3100" s="11"/>
      <c r="F3100" s="11"/>
      <c r="G3100" s="13">
        <f t="shared" si="1"/>
        <v>1281</v>
      </c>
      <c r="H3100" s="13"/>
    </row>
    <row r="3101" ht="22.5" customHeight="1">
      <c r="B3101" s="17"/>
      <c r="C3101" s="17"/>
      <c r="D3101" s="13"/>
      <c r="E3101" s="11"/>
      <c r="F3101" s="11"/>
      <c r="G3101" s="13">
        <f t="shared" si="1"/>
        <v>1281</v>
      </c>
      <c r="H3101" s="13"/>
    </row>
    <row r="3102" ht="22.5" customHeight="1">
      <c r="B3102" s="17"/>
      <c r="C3102" s="17"/>
      <c r="D3102" s="13"/>
      <c r="E3102" s="11"/>
      <c r="F3102" s="11"/>
      <c r="G3102" s="13">
        <f t="shared" si="1"/>
        <v>1281</v>
      </c>
      <c r="H3102" s="13"/>
    </row>
    <row r="3103" ht="22.5" customHeight="1">
      <c r="B3103" s="17"/>
      <c r="C3103" s="17"/>
      <c r="D3103" s="13"/>
      <c r="E3103" s="11"/>
      <c r="F3103" s="11"/>
      <c r="G3103" s="13">
        <f t="shared" si="1"/>
        <v>1281</v>
      </c>
      <c r="H3103" s="13"/>
    </row>
    <row r="3104" ht="22.5" customHeight="1">
      <c r="B3104" s="17"/>
      <c r="C3104" s="17"/>
      <c r="D3104" s="13"/>
      <c r="E3104" s="11"/>
      <c r="F3104" s="11"/>
      <c r="G3104" s="13">
        <f t="shared" si="1"/>
        <v>1281</v>
      </c>
      <c r="H3104" s="13"/>
    </row>
    <row r="3105" ht="22.5" customHeight="1">
      <c r="B3105" s="17"/>
      <c r="C3105" s="17"/>
      <c r="D3105" s="13"/>
      <c r="E3105" s="11"/>
      <c r="F3105" s="11"/>
      <c r="G3105" s="13">
        <f t="shared" si="1"/>
        <v>1281</v>
      </c>
      <c r="H3105" s="13"/>
    </row>
    <row r="3106" ht="22.5" customHeight="1">
      <c r="B3106" s="17"/>
      <c r="C3106" s="17"/>
      <c r="D3106" s="13"/>
      <c r="E3106" s="11"/>
      <c r="F3106" s="11"/>
      <c r="G3106" s="13">
        <f t="shared" si="1"/>
        <v>1281</v>
      </c>
      <c r="H3106" s="13"/>
    </row>
    <row r="3107" ht="22.5" customHeight="1">
      <c r="B3107" s="17"/>
      <c r="C3107" s="17"/>
      <c r="D3107" s="13"/>
      <c r="E3107" s="11"/>
      <c r="F3107" s="11"/>
      <c r="G3107" s="13">
        <f t="shared" si="1"/>
        <v>1281</v>
      </c>
      <c r="H3107" s="13"/>
    </row>
    <row r="3108" ht="22.5" customHeight="1">
      <c r="B3108" s="17"/>
      <c r="C3108" s="17"/>
      <c r="D3108" s="13"/>
      <c r="E3108" s="11"/>
      <c r="F3108" s="11"/>
      <c r="G3108" s="13">
        <f t="shared" si="1"/>
        <v>1281</v>
      </c>
      <c r="H3108" s="13"/>
    </row>
    <row r="3109" ht="22.5" customHeight="1">
      <c r="B3109" s="17"/>
      <c r="C3109" s="17"/>
      <c r="D3109" s="13"/>
      <c r="E3109" s="11"/>
      <c r="F3109" s="11"/>
      <c r="G3109" s="13">
        <f t="shared" si="1"/>
        <v>1281</v>
      </c>
      <c r="H3109" s="13"/>
    </row>
    <row r="3110" ht="22.5" customHeight="1">
      <c r="B3110" s="17"/>
      <c r="C3110" s="17"/>
      <c r="D3110" s="13"/>
      <c r="E3110" s="11"/>
      <c r="F3110" s="11"/>
      <c r="G3110" s="13">
        <f t="shared" si="1"/>
        <v>1281</v>
      </c>
      <c r="H3110" s="13"/>
    </row>
    <row r="3111" ht="22.5" customHeight="1">
      <c r="B3111" s="17"/>
      <c r="C3111" s="17"/>
      <c r="D3111" s="13"/>
      <c r="E3111" s="11"/>
      <c r="F3111" s="11"/>
      <c r="G3111" s="13">
        <f t="shared" si="1"/>
        <v>1281</v>
      </c>
      <c r="H3111" s="13"/>
    </row>
    <row r="3112" ht="22.5" customHeight="1">
      <c r="B3112" s="17"/>
      <c r="C3112" s="17"/>
      <c r="D3112" s="13"/>
      <c r="E3112" s="11"/>
      <c r="F3112" s="11"/>
      <c r="G3112" s="13">
        <f t="shared" si="1"/>
        <v>1281</v>
      </c>
      <c r="H3112" s="13"/>
    </row>
    <row r="3113" ht="22.5" customHeight="1">
      <c r="B3113" s="17"/>
      <c r="C3113" s="17"/>
      <c r="D3113" s="13"/>
      <c r="E3113" s="11"/>
      <c r="F3113" s="11"/>
      <c r="G3113" s="13">
        <f t="shared" si="1"/>
        <v>1281</v>
      </c>
      <c r="H3113" s="13"/>
    </row>
    <row r="3114" ht="22.5" customHeight="1">
      <c r="B3114" s="17"/>
      <c r="C3114" s="17"/>
      <c r="D3114" s="13"/>
      <c r="E3114" s="11"/>
      <c r="F3114" s="11"/>
      <c r="G3114" s="13">
        <f t="shared" si="1"/>
        <v>1281</v>
      </c>
      <c r="H3114" s="13"/>
    </row>
    <row r="3115" ht="22.5" customHeight="1">
      <c r="B3115" s="17"/>
      <c r="C3115" s="17"/>
      <c r="D3115" s="13"/>
      <c r="E3115" s="11"/>
      <c r="F3115" s="11"/>
      <c r="G3115" s="13">
        <f t="shared" si="1"/>
        <v>1281</v>
      </c>
      <c r="H3115" s="13"/>
    </row>
    <row r="3116" ht="22.5" customHeight="1">
      <c r="B3116" s="17"/>
      <c r="C3116" s="17"/>
      <c r="D3116" s="13"/>
      <c r="E3116" s="11"/>
      <c r="F3116" s="11"/>
      <c r="G3116" s="13">
        <f t="shared" si="1"/>
        <v>1281</v>
      </c>
      <c r="H3116" s="13"/>
    </row>
    <row r="3117" ht="22.5" customHeight="1">
      <c r="B3117" s="17"/>
      <c r="C3117" s="17"/>
      <c r="D3117" s="13"/>
      <c r="E3117" s="11"/>
      <c r="F3117" s="11"/>
      <c r="G3117" s="13">
        <f t="shared" si="1"/>
        <v>1281</v>
      </c>
      <c r="H3117" s="13"/>
    </row>
    <row r="3118" ht="22.5" customHeight="1">
      <c r="B3118" s="17"/>
      <c r="C3118" s="17"/>
      <c r="D3118" s="13"/>
      <c r="E3118" s="11"/>
      <c r="F3118" s="11"/>
      <c r="G3118" s="13">
        <f t="shared" si="1"/>
        <v>1281</v>
      </c>
      <c r="H3118" s="13"/>
    </row>
    <row r="3119" ht="22.5" customHeight="1">
      <c r="B3119" s="17"/>
      <c r="C3119" s="17"/>
      <c r="D3119" s="13"/>
      <c r="E3119" s="11"/>
      <c r="F3119" s="11"/>
      <c r="G3119" s="13">
        <f t="shared" si="1"/>
        <v>1281</v>
      </c>
      <c r="H3119" s="13"/>
    </row>
    <row r="3120" ht="22.5" customHeight="1">
      <c r="B3120" s="17"/>
      <c r="C3120" s="17"/>
      <c r="D3120" s="13"/>
      <c r="E3120" s="11"/>
      <c r="F3120" s="11"/>
      <c r="G3120" s="13">
        <f t="shared" si="1"/>
        <v>1281</v>
      </c>
      <c r="H3120" s="13"/>
    </row>
    <row r="3121" ht="22.5" customHeight="1">
      <c r="B3121" s="17"/>
      <c r="C3121" s="17"/>
      <c r="D3121" s="13"/>
      <c r="E3121" s="11"/>
      <c r="F3121" s="11"/>
      <c r="G3121" s="13">
        <f t="shared" si="1"/>
        <v>1281</v>
      </c>
      <c r="H3121" s="13"/>
    </row>
    <row r="3122" ht="22.5" customHeight="1">
      <c r="B3122" s="17"/>
      <c r="C3122" s="17"/>
      <c r="D3122" s="13"/>
      <c r="E3122" s="11"/>
      <c r="F3122" s="11"/>
      <c r="G3122" s="13">
        <f t="shared" si="1"/>
        <v>1281</v>
      </c>
      <c r="H3122" s="13"/>
    </row>
    <row r="3123" ht="22.5" customHeight="1">
      <c r="B3123" s="17"/>
      <c r="C3123" s="17"/>
      <c r="D3123" s="13"/>
      <c r="E3123" s="11"/>
      <c r="F3123" s="11"/>
      <c r="G3123" s="13">
        <f t="shared" si="1"/>
        <v>1281</v>
      </c>
      <c r="H3123" s="13"/>
    </row>
    <row r="3124" ht="22.5" customHeight="1">
      <c r="B3124" s="17"/>
      <c r="C3124" s="17"/>
      <c r="D3124" s="13"/>
      <c r="E3124" s="11"/>
      <c r="F3124" s="11"/>
      <c r="G3124" s="13">
        <f t="shared" si="1"/>
        <v>1281</v>
      </c>
      <c r="H3124" s="13"/>
    </row>
    <row r="3125" ht="22.5" customHeight="1">
      <c r="B3125" s="17"/>
      <c r="C3125" s="17"/>
      <c r="D3125" s="13"/>
      <c r="E3125" s="11"/>
      <c r="F3125" s="11"/>
      <c r="G3125" s="13">
        <f t="shared" si="1"/>
        <v>1281</v>
      </c>
      <c r="H3125" s="13"/>
    </row>
    <row r="3126" ht="22.5" customHeight="1">
      <c r="B3126" s="17"/>
      <c r="C3126" s="17"/>
      <c r="D3126" s="13"/>
      <c r="E3126" s="11"/>
      <c r="F3126" s="11"/>
      <c r="G3126" s="13">
        <f t="shared" si="1"/>
        <v>1281</v>
      </c>
      <c r="H3126" s="13"/>
    </row>
    <row r="3127" ht="22.5" customHeight="1">
      <c r="B3127" s="17"/>
      <c r="C3127" s="17"/>
      <c r="D3127" s="13"/>
      <c r="E3127" s="11"/>
      <c r="F3127" s="11"/>
      <c r="G3127" s="13">
        <f t="shared" si="1"/>
        <v>1281</v>
      </c>
      <c r="H3127" s="13"/>
    </row>
    <row r="3128" ht="22.5" customHeight="1">
      <c r="B3128" s="17"/>
      <c r="C3128" s="17"/>
      <c r="D3128" s="13"/>
      <c r="E3128" s="11"/>
      <c r="F3128" s="11"/>
      <c r="G3128" s="13">
        <f t="shared" si="1"/>
        <v>1281</v>
      </c>
      <c r="H3128" s="13"/>
    </row>
    <row r="3129" ht="22.5" customHeight="1">
      <c r="B3129" s="17"/>
      <c r="C3129" s="17"/>
      <c r="D3129" s="13"/>
      <c r="E3129" s="11"/>
      <c r="F3129" s="11"/>
      <c r="G3129" s="13">
        <f t="shared" si="1"/>
        <v>1281</v>
      </c>
      <c r="H3129" s="13"/>
    </row>
    <row r="3130" ht="22.5" customHeight="1">
      <c r="B3130" s="17"/>
      <c r="C3130" s="17"/>
      <c r="D3130" s="13"/>
      <c r="E3130" s="11"/>
      <c r="F3130" s="11"/>
      <c r="G3130" s="13">
        <f t="shared" si="1"/>
        <v>1281</v>
      </c>
      <c r="H3130" s="13"/>
    </row>
    <row r="3131" ht="22.5" customHeight="1">
      <c r="B3131" s="17"/>
      <c r="C3131" s="17"/>
      <c r="D3131" s="13"/>
      <c r="E3131" s="11"/>
      <c r="F3131" s="11"/>
      <c r="G3131" s="13">
        <f t="shared" si="1"/>
        <v>1281</v>
      </c>
      <c r="H3131" s="13"/>
    </row>
    <row r="3132" ht="22.5" customHeight="1">
      <c r="B3132" s="17"/>
      <c r="C3132" s="17"/>
      <c r="D3132" s="13"/>
      <c r="E3132" s="11"/>
      <c r="F3132" s="11"/>
      <c r="G3132" s="13">
        <f t="shared" si="1"/>
        <v>1281</v>
      </c>
      <c r="H3132" s="13"/>
    </row>
    <row r="3133" ht="22.5" customHeight="1">
      <c r="B3133" s="17"/>
      <c r="C3133" s="17"/>
      <c r="D3133" s="13"/>
      <c r="E3133" s="11"/>
      <c r="F3133" s="11"/>
      <c r="G3133" s="13">
        <f t="shared" si="1"/>
        <v>1281</v>
      </c>
      <c r="H3133" s="13"/>
    </row>
    <row r="3134" ht="22.5" customHeight="1">
      <c r="B3134" s="17"/>
      <c r="C3134" s="17"/>
      <c r="D3134" s="13"/>
      <c r="E3134" s="11"/>
      <c r="F3134" s="11"/>
      <c r="G3134" s="13">
        <f t="shared" si="1"/>
        <v>1281</v>
      </c>
      <c r="H3134" s="13"/>
    </row>
    <row r="3135" ht="22.5" customHeight="1">
      <c r="B3135" s="17"/>
      <c r="C3135" s="17"/>
      <c r="D3135" s="13"/>
      <c r="E3135" s="11"/>
      <c r="F3135" s="11"/>
      <c r="G3135" s="13">
        <f t="shared" si="1"/>
        <v>1281</v>
      </c>
      <c r="H3135" s="13"/>
    </row>
    <row r="3136" ht="22.5" customHeight="1">
      <c r="B3136" s="17"/>
      <c r="C3136" s="17"/>
      <c r="D3136" s="13"/>
      <c r="E3136" s="11"/>
      <c r="F3136" s="11"/>
      <c r="G3136" s="13">
        <f t="shared" si="1"/>
        <v>1281</v>
      </c>
      <c r="H3136" s="13"/>
    </row>
    <row r="3137" ht="22.5" customHeight="1">
      <c r="B3137" s="17"/>
      <c r="C3137" s="17"/>
      <c r="D3137" s="13"/>
      <c r="E3137" s="11"/>
      <c r="F3137" s="11"/>
      <c r="G3137" s="13">
        <f t="shared" si="1"/>
        <v>1281</v>
      </c>
      <c r="H3137" s="13"/>
    </row>
    <row r="3138" ht="22.5" customHeight="1">
      <c r="B3138" s="17"/>
      <c r="C3138" s="17"/>
      <c r="D3138" s="13"/>
      <c r="E3138" s="11"/>
      <c r="F3138" s="11"/>
      <c r="G3138" s="13">
        <f t="shared" si="1"/>
        <v>1281</v>
      </c>
      <c r="H3138" s="13"/>
    </row>
    <row r="3139" ht="22.5" customHeight="1">
      <c r="B3139" s="17"/>
      <c r="C3139" s="17"/>
      <c r="D3139" s="13"/>
      <c r="E3139" s="11"/>
      <c r="F3139" s="11"/>
      <c r="G3139" s="13">
        <f t="shared" si="1"/>
        <v>1281</v>
      </c>
      <c r="H3139" s="13"/>
    </row>
    <row r="3140" ht="22.5" customHeight="1">
      <c r="B3140" s="17"/>
      <c r="C3140" s="17"/>
      <c r="D3140" s="13"/>
      <c r="E3140" s="11"/>
      <c r="F3140" s="11"/>
      <c r="G3140" s="13">
        <f t="shared" si="1"/>
        <v>1281</v>
      </c>
      <c r="H3140" s="13"/>
    </row>
    <row r="3141" ht="22.5" customHeight="1">
      <c r="B3141" s="17"/>
      <c r="C3141" s="17"/>
      <c r="D3141" s="13"/>
      <c r="E3141" s="11"/>
      <c r="F3141" s="11"/>
      <c r="G3141" s="13">
        <f t="shared" si="1"/>
        <v>1281</v>
      </c>
      <c r="H3141" s="13"/>
    </row>
    <row r="3142" ht="22.5" customHeight="1">
      <c r="B3142" s="17"/>
      <c r="C3142" s="17"/>
      <c r="D3142" s="13"/>
      <c r="E3142" s="11"/>
      <c r="F3142" s="11"/>
      <c r="G3142" s="13">
        <f t="shared" si="1"/>
        <v>1281</v>
      </c>
      <c r="H3142" s="13"/>
    </row>
    <row r="3143" ht="22.5" customHeight="1">
      <c r="B3143" s="17"/>
      <c r="C3143" s="17"/>
      <c r="D3143" s="13"/>
      <c r="E3143" s="11"/>
      <c r="F3143" s="11"/>
      <c r="G3143" s="13">
        <f t="shared" si="1"/>
        <v>1281</v>
      </c>
      <c r="H3143" s="13"/>
    </row>
    <row r="3144" ht="22.5" customHeight="1">
      <c r="B3144" s="17"/>
      <c r="C3144" s="17"/>
      <c r="D3144" s="13"/>
      <c r="E3144" s="11"/>
      <c r="F3144" s="11"/>
      <c r="G3144" s="13">
        <f t="shared" si="1"/>
        <v>1281</v>
      </c>
      <c r="H3144" s="13"/>
    </row>
    <row r="3145" ht="22.5" customHeight="1">
      <c r="B3145" s="17"/>
      <c r="C3145" s="17"/>
      <c r="D3145" s="13"/>
      <c r="E3145" s="11"/>
      <c r="F3145" s="11"/>
      <c r="G3145" s="13">
        <f t="shared" si="1"/>
        <v>1281</v>
      </c>
      <c r="H3145" s="13"/>
    </row>
    <row r="3146" ht="22.5" customHeight="1">
      <c r="B3146" s="17"/>
      <c r="C3146" s="17"/>
      <c r="D3146" s="13"/>
      <c r="E3146" s="11"/>
      <c r="F3146" s="11"/>
      <c r="G3146" s="13">
        <f t="shared" si="1"/>
        <v>1281</v>
      </c>
      <c r="H3146" s="13"/>
    </row>
    <row r="3147" ht="22.5" customHeight="1">
      <c r="B3147" s="17"/>
      <c r="C3147" s="17"/>
      <c r="D3147" s="13"/>
      <c r="E3147" s="11"/>
      <c r="F3147" s="11"/>
      <c r="G3147" s="13">
        <f t="shared" si="1"/>
        <v>1281</v>
      </c>
      <c r="H3147" s="13"/>
    </row>
    <row r="3148" ht="22.5" customHeight="1">
      <c r="B3148" s="17"/>
      <c r="C3148" s="17"/>
      <c r="D3148" s="13"/>
      <c r="E3148" s="11"/>
      <c r="F3148" s="11"/>
      <c r="G3148" s="13">
        <f t="shared" si="1"/>
        <v>1281</v>
      </c>
      <c r="H3148" s="13"/>
    </row>
    <row r="3149" ht="22.5" customHeight="1">
      <c r="B3149" s="17"/>
      <c r="C3149" s="17"/>
      <c r="D3149" s="13"/>
      <c r="E3149" s="11"/>
      <c r="F3149" s="11"/>
      <c r="G3149" s="13">
        <f t="shared" si="1"/>
        <v>1281</v>
      </c>
      <c r="H3149" s="13"/>
    </row>
    <row r="3150" ht="22.5" customHeight="1">
      <c r="B3150" s="17"/>
      <c r="C3150" s="17"/>
      <c r="D3150" s="13"/>
      <c r="E3150" s="11"/>
      <c r="F3150" s="11"/>
      <c r="G3150" s="13">
        <f t="shared" si="1"/>
        <v>1281</v>
      </c>
      <c r="H3150" s="13"/>
    </row>
    <row r="3151" ht="22.5" customHeight="1">
      <c r="B3151" s="17"/>
      <c r="C3151" s="17"/>
      <c r="D3151" s="13"/>
      <c r="E3151" s="11"/>
      <c r="F3151" s="11"/>
      <c r="G3151" s="13">
        <f t="shared" si="1"/>
        <v>1281</v>
      </c>
      <c r="H3151" s="13"/>
    </row>
    <row r="3152" ht="22.5" customHeight="1">
      <c r="B3152" s="17"/>
      <c r="C3152" s="17"/>
      <c r="D3152" s="13"/>
      <c r="E3152" s="11"/>
      <c r="F3152" s="11"/>
      <c r="G3152" s="13">
        <f t="shared" si="1"/>
        <v>1281</v>
      </c>
      <c r="H3152" s="13"/>
    </row>
    <row r="3153" ht="22.5" customHeight="1">
      <c r="B3153" s="17"/>
      <c r="C3153" s="17"/>
      <c r="D3153" s="13"/>
      <c r="E3153" s="11"/>
      <c r="F3153" s="11"/>
      <c r="G3153" s="13">
        <f t="shared" si="1"/>
        <v>1281</v>
      </c>
      <c r="H3153" s="13"/>
    </row>
    <row r="3154" ht="22.5" customHeight="1">
      <c r="B3154" s="17"/>
      <c r="C3154" s="17"/>
      <c r="D3154" s="13"/>
      <c r="E3154" s="11"/>
      <c r="F3154" s="11"/>
      <c r="G3154" s="13">
        <f t="shared" si="1"/>
        <v>1281</v>
      </c>
      <c r="H3154" s="13"/>
    </row>
    <row r="3155" ht="22.5" customHeight="1">
      <c r="B3155" s="17"/>
      <c r="C3155" s="17"/>
      <c r="D3155" s="13"/>
      <c r="E3155" s="11"/>
      <c r="F3155" s="11"/>
      <c r="G3155" s="13">
        <f t="shared" si="1"/>
        <v>1281</v>
      </c>
      <c r="H3155" s="13"/>
    </row>
    <row r="3156" ht="22.5" customHeight="1">
      <c r="B3156" s="17"/>
      <c r="C3156" s="17"/>
      <c r="D3156" s="13"/>
      <c r="E3156" s="11"/>
      <c r="F3156" s="11"/>
      <c r="G3156" s="13">
        <f t="shared" si="1"/>
        <v>1281</v>
      </c>
      <c r="H3156" s="13"/>
    </row>
    <row r="3157" ht="22.5" customHeight="1">
      <c r="B3157" s="17"/>
      <c r="C3157" s="17"/>
      <c r="D3157" s="13"/>
      <c r="E3157" s="11"/>
      <c r="F3157" s="11"/>
      <c r="G3157" s="13">
        <f t="shared" si="1"/>
        <v>1281</v>
      </c>
      <c r="H3157" s="13"/>
    </row>
    <row r="3158" ht="22.5" customHeight="1">
      <c r="B3158" s="17"/>
      <c r="C3158" s="17"/>
      <c r="D3158" s="13"/>
      <c r="E3158" s="11"/>
      <c r="F3158" s="11"/>
      <c r="G3158" s="13">
        <f t="shared" si="1"/>
        <v>1281</v>
      </c>
      <c r="H3158" s="13"/>
    </row>
    <row r="3159" ht="22.5" customHeight="1">
      <c r="B3159" s="17"/>
      <c r="C3159" s="17"/>
      <c r="D3159" s="13"/>
      <c r="E3159" s="11"/>
      <c r="F3159" s="11"/>
      <c r="G3159" s="13">
        <f t="shared" si="1"/>
        <v>1281</v>
      </c>
      <c r="H3159" s="13"/>
    </row>
    <row r="3160" ht="22.5" customHeight="1">
      <c r="B3160" s="17"/>
      <c r="C3160" s="17"/>
      <c r="D3160" s="13"/>
      <c r="E3160" s="11"/>
      <c r="F3160" s="11"/>
      <c r="G3160" s="13">
        <f t="shared" si="1"/>
        <v>1281</v>
      </c>
      <c r="H3160" s="13"/>
    </row>
    <row r="3161" ht="22.5" customHeight="1">
      <c r="B3161" s="17"/>
      <c r="C3161" s="17"/>
      <c r="D3161" s="13"/>
      <c r="E3161" s="11"/>
      <c r="F3161" s="11"/>
      <c r="G3161" s="13">
        <f t="shared" si="1"/>
        <v>1281</v>
      </c>
      <c r="H3161" s="13"/>
    </row>
    <row r="3162" ht="22.5" customHeight="1">
      <c r="B3162" s="17"/>
      <c r="C3162" s="17"/>
      <c r="D3162" s="13"/>
      <c r="E3162" s="11"/>
      <c r="F3162" s="11"/>
      <c r="G3162" s="13">
        <f t="shared" si="1"/>
        <v>1281</v>
      </c>
      <c r="H3162" s="13"/>
    </row>
    <row r="3163" ht="22.5" customHeight="1">
      <c r="B3163" s="17"/>
      <c r="C3163" s="17"/>
      <c r="D3163" s="13"/>
      <c r="E3163" s="11"/>
      <c r="F3163" s="11"/>
      <c r="G3163" s="13">
        <f t="shared" si="1"/>
        <v>1281</v>
      </c>
      <c r="H3163" s="13"/>
    </row>
    <row r="3164" ht="22.5" customHeight="1">
      <c r="B3164" s="17"/>
      <c r="C3164" s="17"/>
      <c r="D3164" s="13"/>
      <c r="E3164" s="11"/>
      <c r="F3164" s="11"/>
      <c r="G3164" s="13">
        <f t="shared" si="1"/>
        <v>1281</v>
      </c>
      <c r="H3164" s="13"/>
    </row>
    <row r="3165" ht="22.5" customHeight="1">
      <c r="B3165" s="17"/>
      <c r="C3165" s="17"/>
      <c r="D3165" s="13"/>
      <c r="E3165" s="11"/>
      <c r="F3165" s="11"/>
      <c r="G3165" s="13">
        <f t="shared" si="1"/>
        <v>1281</v>
      </c>
      <c r="H3165" s="13"/>
    </row>
    <row r="3166" ht="22.5" customHeight="1">
      <c r="B3166" s="17"/>
      <c r="C3166" s="17"/>
      <c r="D3166" s="13"/>
      <c r="E3166" s="11"/>
      <c r="F3166" s="11"/>
      <c r="G3166" s="13">
        <f t="shared" si="1"/>
        <v>1281</v>
      </c>
      <c r="H3166" s="13"/>
    </row>
    <row r="3167" ht="22.5" customHeight="1">
      <c r="B3167" s="17"/>
      <c r="C3167" s="17"/>
      <c r="D3167" s="13"/>
      <c r="E3167" s="11"/>
      <c r="F3167" s="11"/>
      <c r="G3167" s="13">
        <f t="shared" si="1"/>
        <v>1281</v>
      </c>
      <c r="H3167" s="13"/>
    </row>
    <row r="3168" ht="22.5" customHeight="1">
      <c r="B3168" s="17"/>
      <c r="C3168" s="17"/>
      <c r="D3168" s="13"/>
      <c r="E3168" s="11"/>
      <c r="F3168" s="11"/>
      <c r="G3168" s="13">
        <f t="shared" si="1"/>
        <v>1281</v>
      </c>
      <c r="H3168" s="13"/>
    </row>
    <row r="3169" ht="22.5" customHeight="1">
      <c r="B3169" s="17"/>
      <c r="C3169" s="17"/>
      <c r="D3169" s="13"/>
      <c r="E3169" s="11"/>
      <c r="F3169" s="11"/>
      <c r="G3169" s="13">
        <f t="shared" si="1"/>
        <v>1281</v>
      </c>
      <c r="H3169" s="13"/>
    </row>
    <row r="3170" ht="22.5" customHeight="1">
      <c r="B3170" s="17"/>
      <c r="C3170" s="17"/>
      <c r="D3170" s="13"/>
      <c r="E3170" s="11"/>
      <c r="F3170" s="11"/>
      <c r="G3170" s="13">
        <f t="shared" si="1"/>
        <v>1281</v>
      </c>
      <c r="H3170" s="13"/>
    </row>
    <row r="3171" ht="22.5" customHeight="1">
      <c r="B3171" s="17"/>
      <c r="C3171" s="17"/>
      <c r="D3171" s="13"/>
      <c r="E3171" s="11"/>
      <c r="F3171" s="11"/>
      <c r="G3171" s="13">
        <f t="shared" si="1"/>
        <v>1281</v>
      </c>
      <c r="H3171" s="13"/>
    </row>
    <row r="3172" ht="22.5" customHeight="1">
      <c r="B3172" s="17"/>
      <c r="C3172" s="17"/>
      <c r="D3172" s="13"/>
      <c r="E3172" s="11"/>
      <c r="F3172" s="11"/>
      <c r="G3172" s="13">
        <f t="shared" si="1"/>
        <v>1281</v>
      </c>
      <c r="H3172" s="13"/>
    </row>
    <row r="3173" ht="22.5" customHeight="1">
      <c r="B3173" s="17"/>
      <c r="C3173" s="17"/>
      <c r="D3173" s="13"/>
      <c r="E3173" s="11"/>
      <c r="F3173" s="11"/>
      <c r="G3173" s="13">
        <f t="shared" si="1"/>
        <v>1281</v>
      </c>
      <c r="H3173" s="13"/>
    </row>
    <row r="3174" ht="22.5" customHeight="1">
      <c r="B3174" s="17"/>
      <c r="C3174" s="17"/>
      <c r="D3174" s="13"/>
      <c r="E3174" s="11"/>
      <c r="F3174" s="11"/>
      <c r="G3174" s="13">
        <f t="shared" si="1"/>
        <v>1281</v>
      </c>
      <c r="H3174" s="13"/>
    </row>
    <row r="3175" ht="22.5" customHeight="1">
      <c r="B3175" s="17"/>
      <c r="C3175" s="17"/>
      <c r="D3175" s="13"/>
      <c r="E3175" s="11"/>
      <c r="F3175" s="11"/>
      <c r="G3175" s="13">
        <f t="shared" si="1"/>
        <v>1281</v>
      </c>
      <c r="H3175" s="13"/>
    </row>
    <row r="3176" ht="22.5" customHeight="1">
      <c r="B3176" s="17"/>
      <c r="C3176" s="17"/>
      <c r="D3176" s="13"/>
      <c r="E3176" s="11"/>
      <c r="F3176" s="11"/>
      <c r="G3176" s="13">
        <f t="shared" si="1"/>
        <v>1281</v>
      </c>
      <c r="H3176" s="13"/>
    </row>
    <row r="3177" ht="22.5" customHeight="1">
      <c r="B3177" s="17"/>
      <c r="C3177" s="17"/>
      <c r="D3177" s="13"/>
      <c r="E3177" s="11"/>
      <c r="F3177" s="11"/>
      <c r="G3177" s="13">
        <f t="shared" si="1"/>
        <v>1281</v>
      </c>
      <c r="H3177" s="13"/>
    </row>
    <row r="3178" ht="22.5" customHeight="1">
      <c r="B3178" s="17"/>
      <c r="C3178" s="17"/>
      <c r="D3178" s="13"/>
      <c r="E3178" s="11"/>
      <c r="F3178" s="11"/>
      <c r="G3178" s="13">
        <f t="shared" si="1"/>
        <v>1281</v>
      </c>
      <c r="H3178" s="13"/>
    </row>
    <row r="3179" ht="22.5" customHeight="1">
      <c r="B3179" s="17"/>
      <c r="C3179" s="17"/>
      <c r="D3179" s="13"/>
      <c r="E3179" s="11"/>
      <c r="F3179" s="11"/>
      <c r="G3179" s="13">
        <f t="shared" si="1"/>
        <v>1281</v>
      </c>
      <c r="H3179" s="13"/>
    </row>
    <row r="3180" ht="22.5" customHeight="1">
      <c r="B3180" s="17"/>
      <c r="C3180" s="17"/>
      <c r="D3180" s="13"/>
      <c r="E3180" s="11"/>
      <c r="F3180" s="11"/>
      <c r="G3180" s="13">
        <f t="shared" si="1"/>
        <v>1281</v>
      </c>
      <c r="H3180" s="13"/>
    </row>
    <row r="3181" ht="22.5" customHeight="1">
      <c r="B3181" s="17"/>
      <c r="C3181" s="17"/>
      <c r="D3181" s="13"/>
      <c r="E3181" s="11"/>
      <c r="F3181" s="11"/>
      <c r="G3181" s="13">
        <f t="shared" si="1"/>
        <v>1281</v>
      </c>
      <c r="H3181" s="13"/>
    </row>
    <row r="3182" ht="22.5" customHeight="1">
      <c r="B3182" s="17"/>
      <c r="C3182" s="17"/>
      <c r="D3182" s="13"/>
      <c r="E3182" s="11"/>
      <c r="F3182" s="11"/>
      <c r="G3182" s="13">
        <f t="shared" si="1"/>
        <v>1281</v>
      </c>
      <c r="H3182" s="13"/>
    </row>
    <row r="3183" ht="22.5" customHeight="1">
      <c r="B3183" s="17"/>
      <c r="C3183" s="17"/>
      <c r="D3183" s="13"/>
      <c r="E3183" s="11"/>
      <c r="F3183" s="11"/>
      <c r="G3183" s="13">
        <f t="shared" si="1"/>
        <v>1281</v>
      </c>
      <c r="H3183" s="13"/>
    </row>
    <row r="3184" ht="22.5" customHeight="1">
      <c r="B3184" s="17"/>
      <c r="C3184" s="17"/>
      <c r="D3184" s="13"/>
      <c r="E3184" s="11"/>
      <c r="F3184" s="11"/>
      <c r="G3184" s="13">
        <f t="shared" si="1"/>
        <v>1281</v>
      </c>
      <c r="H3184" s="13"/>
    </row>
    <row r="3185" ht="22.5" customHeight="1">
      <c r="B3185" s="17"/>
      <c r="C3185" s="17"/>
      <c r="D3185" s="13"/>
      <c r="E3185" s="11"/>
      <c r="F3185" s="11"/>
      <c r="G3185" s="13">
        <f t="shared" si="1"/>
        <v>1281</v>
      </c>
      <c r="H3185" s="13"/>
    </row>
    <row r="3186" ht="22.5" customHeight="1">
      <c r="B3186" s="17"/>
      <c r="C3186" s="17"/>
      <c r="D3186" s="13"/>
      <c r="E3186" s="11"/>
      <c r="F3186" s="11"/>
      <c r="G3186" s="13">
        <f t="shared" si="1"/>
        <v>1281</v>
      </c>
      <c r="H3186" s="13"/>
    </row>
    <row r="3187" ht="22.5" customHeight="1">
      <c r="B3187" s="17"/>
      <c r="C3187" s="17"/>
      <c r="D3187" s="13"/>
      <c r="E3187" s="11"/>
      <c r="F3187" s="11"/>
      <c r="G3187" s="13">
        <f t="shared" si="1"/>
        <v>1281</v>
      </c>
      <c r="H3187" s="13"/>
    </row>
    <row r="3188" ht="22.5" customHeight="1">
      <c r="B3188" s="17"/>
      <c r="C3188" s="17"/>
      <c r="D3188" s="13"/>
      <c r="E3188" s="11"/>
      <c r="F3188" s="11"/>
      <c r="G3188" s="13">
        <f t="shared" si="1"/>
        <v>1281</v>
      </c>
      <c r="H3188" s="13"/>
    </row>
    <row r="3189" ht="22.5" customHeight="1">
      <c r="B3189" s="17"/>
      <c r="C3189" s="17"/>
      <c r="D3189" s="13"/>
      <c r="E3189" s="11"/>
      <c r="F3189" s="11"/>
      <c r="G3189" s="13">
        <f t="shared" si="1"/>
        <v>1281</v>
      </c>
      <c r="H3189" s="13"/>
    </row>
    <row r="3190" ht="22.5" customHeight="1">
      <c r="B3190" s="17"/>
      <c r="C3190" s="17"/>
      <c r="D3190" s="13"/>
      <c r="E3190" s="11"/>
      <c r="F3190" s="11"/>
      <c r="G3190" s="13">
        <f t="shared" si="1"/>
        <v>1281</v>
      </c>
      <c r="H3190" s="13"/>
    </row>
    <row r="3191" ht="22.5" customHeight="1">
      <c r="B3191" s="17"/>
      <c r="C3191" s="17"/>
      <c r="D3191" s="13"/>
      <c r="E3191" s="11"/>
      <c r="F3191" s="11"/>
      <c r="G3191" s="13">
        <f t="shared" si="1"/>
        <v>1281</v>
      </c>
      <c r="H3191" s="13"/>
    </row>
    <row r="3192" ht="22.5" customHeight="1">
      <c r="B3192" s="17"/>
      <c r="C3192" s="17"/>
      <c r="D3192" s="13"/>
      <c r="E3192" s="11"/>
      <c r="F3192" s="11"/>
      <c r="G3192" s="13">
        <f t="shared" si="1"/>
        <v>1281</v>
      </c>
      <c r="H3192" s="13"/>
    </row>
    <row r="3193" ht="22.5" customHeight="1">
      <c r="B3193" s="17"/>
      <c r="C3193" s="17"/>
      <c r="D3193" s="13"/>
      <c r="E3193" s="11"/>
      <c r="F3193" s="11"/>
      <c r="G3193" s="13">
        <f t="shared" si="1"/>
        <v>1281</v>
      </c>
      <c r="H3193" s="13"/>
    </row>
    <row r="3194" ht="22.5" customHeight="1">
      <c r="B3194" s="17"/>
      <c r="C3194" s="17"/>
      <c r="D3194" s="13"/>
      <c r="E3194" s="11"/>
      <c r="F3194" s="11"/>
      <c r="G3194" s="13">
        <f t="shared" si="1"/>
        <v>1281</v>
      </c>
      <c r="H3194" s="13"/>
    </row>
    <row r="3195" ht="22.5" customHeight="1">
      <c r="B3195" s="17"/>
      <c r="C3195" s="17"/>
      <c r="D3195" s="13"/>
      <c r="E3195" s="11"/>
      <c r="F3195" s="11"/>
      <c r="G3195" s="13">
        <f t="shared" si="1"/>
        <v>1281</v>
      </c>
      <c r="H3195" s="13"/>
    </row>
    <row r="3196" ht="22.5" customHeight="1">
      <c r="B3196" s="17"/>
      <c r="C3196" s="17"/>
      <c r="D3196" s="13"/>
      <c r="E3196" s="11"/>
      <c r="F3196" s="11"/>
      <c r="G3196" s="13">
        <f t="shared" si="1"/>
        <v>1281</v>
      </c>
      <c r="H3196" s="13"/>
    </row>
    <row r="3197" ht="22.5" customHeight="1">
      <c r="B3197" s="17"/>
      <c r="C3197" s="17"/>
      <c r="D3197" s="13"/>
      <c r="E3197" s="11"/>
      <c r="F3197" s="11"/>
      <c r="G3197" s="13">
        <f t="shared" si="1"/>
        <v>1281</v>
      </c>
      <c r="H3197" s="13"/>
    </row>
    <row r="3198" ht="22.5" customHeight="1">
      <c r="B3198" s="17"/>
      <c r="C3198" s="17"/>
      <c r="D3198" s="13"/>
      <c r="E3198" s="11"/>
      <c r="F3198" s="11"/>
      <c r="G3198" s="13">
        <f t="shared" si="1"/>
        <v>1281</v>
      </c>
      <c r="H3198" s="13"/>
    </row>
    <row r="3199" ht="22.5" customHeight="1">
      <c r="B3199" s="17"/>
      <c r="C3199" s="17"/>
      <c r="D3199" s="13"/>
      <c r="E3199" s="11"/>
      <c r="F3199" s="11"/>
      <c r="G3199" s="13">
        <f t="shared" si="1"/>
        <v>1281</v>
      </c>
      <c r="H3199" s="13"/>
    </row>
    <row r="3200" ht="22.5" customHeight="1">
      <c r="B3200" s="17"/>
      <c r="C3200" s="17"/>
      <c r="D3200" s="13"/>
      <c r="E3200" s="11"/>
      <c r="F3200" s="11"/>
      <c r="G3200" s="13">
        <f t="shared" si="1"/>
        <v>1281</v>
      </c>
      <c r="H3200" s="13"/>
    </row>
    <row r="3201" ht="22.5" customHeight="1">
      <c r="B3201" s="17"/>
      <c r="C3201" s="17"/>
      <c r="D3201" s="13"/>
      <c r="E3201" s="11"/>
      <c r="F3201" s="11"/>
      <c r="G3201" s="13">
        <f t="shared" si="1"/>
        <v>1281</v>
      </c>
      <c r="H3201" s="13"/>
    </row>
    <row r="3202" ht="22.5" customHeight="1">
      <c r="B3202" s="17"/>
      <c r="C3202" s="17"/>
      <c r="D3202" s="13"/>
      <c r="E3202" s="11"/>
      <c r="F3202" s="11"/>
      <c r="G3202" s="13">
        <f t="shared" si="1"/>
        <v>1281</v>
      </c>
      <c r="H3202" s="13"/>
    </row>
    <row r="3203" ht="22.5" customHeight="1">
      <c r="B3203" s="17"/>
      <c r="C3203" s="17"/>
      <c r="D3203" s="13"/>
      <c r="E3203" s="11"/>
      <c r="F3203" s="11"/>
      <c r="G3203" s="13">
        <f t="shared" si="1"/>
        <v>1281</v>
      </c>
      <c r="H3203" s="13"/>
    </row>
    <row r="3204" ht="22.5" customHeight="1">
      <c r="B3204" s="17"/>
      <c r="C3204" s="17"/>
      <c r="D3204" s="13"/>
      <c r="E3204" s="11"/>
      <c r="F3204" s="11"/>
      <c r="G3204" s="13">
        <f t="shared" si="1"/>
        <v>1281</v>
      </c>
      <c r="H3204" s="13"/>
    </row>
    <row r="3205" ht="22.5" customHeight="1">
      <c r="B3205" s="17"/>
      <c r="C3205" s="17"/>
      <c r="D3205" s="13"/>
      <c r="E3205" s="11"/>
      <c r="F3205" s="11"/>
      <c r="G3205" s="13">
        <f t="shared" si="1"/>
        <v>1281</v>
      </c>
      <c r="H3205" s="13"/>
    </row>
    <row r="3206" ht="22.5" customHeight="1">
      <c r="B3206" s="17"/>
      <c r="C3206" s="17"/>
      <c r="D3206" s="13"/>
      <c r="E3206" s="11"/>
      <c r="F3206" s="11"/>
      <c r="G3206" s="13">
        <f t="shared" si="1"/>
        <v>1281</v>
      </c>
      <c r="H3206" s="13"/>
    </row>
    <row r="3207" ht="22.5" customHeight="1">
      <c r="B3207" s="17"/>
      <c r="C3207" s="17"/>
      <c r="D3207" s="13"/>
      <c r="E3207" s="11"/>
      <c r="F3207" s="11"/>
      <c r="G3207" s="13">
        <f t="shared" si="1"/>
        <v>1281</v>
      </c>
      <c r="H3207" s="13"/>
    </row>
    <row r="3208" ht="22.5" customHeight="1">
      <c r="B3208" s="17"/>
      <c r="C3208" s="17"/>
      <c r="D3208" s="13"/>
      <c r="E3208" s="11"/>
      <c r="F3208" s="11"/>
      <c r="G3208" s="13">
        <f t="shared" si="1"/>
        <v>1281</v>
      </c>
      <c r="H3208" s="13"/>
    </row>
    <row r="3209" ht="22.5" customHeight="1">
      <c r="B3209" s="17"/>
      <c r="C3209" s="17"/>
      <c r="D3209" s="13"/>
      <c r="E3209" s="11"/>
      <c r="F3209" s="11"/>
      <c r="G3209" s="13">
        <f t="shared" si="1"/>
        <v>1281</v>
      </c>
      <c r="H3209" s="13"/>
    </row>
    <row r="3210" ht="22.5" customHeight="1">
      <c r="B3210" s="17"/>
      <c r="C3210" s="17"/>
      <c r="D3210" s="13"/>
      <c r="E3210" s="11"/>
      <c r="F3210" s="11"/>
      <c r="G3210" s="13">
        <f t="shared" si="1"/>
        <v>1281</v>
      </c>
      <c r="H3210" s="13"/>
    </row>
    <row r="3211" ht="22.5" customHeight="1">
      <c r="B3211" s="17"/>
      <c r="C3211" s="17"/>
      <c r="D3211" s="13"/>
      <c r="E3211" s="11"/>
      <c r="F3211" s="11"/>
      <c r="G3211" s="13">
        <f t="shared" si="1"/>
        <v>1281</v>
      </c>
      <c r="H3211" s="13"/>
    </row>
    <row r="3212" ht="22.5" customHeight="1">
      <c r="B3212" s="17"/>
      <c r="C3212" s="17"/>
      <c r="D3212" s="13"/>
      <c r="E3212" s="11"/>
      <c r="F3212" s="11"/>
      <c r="G3212" s="13">
        <f t="shared" si="1"/>
        <v>1281</v>
      </c>
      <c r="H3212" s="13"/>
    </row>
    <row r="3213" ht="22.5" customHeight="1">
      <c r="B3213" s="17"/>
      <c r="C3213" s="17"/>
      <c r="D3213" s="13"/>
      <c r="E3213" s="11"/>
      <c r="F3213" s="11"/>
      <c r="G3213" s="13">
        <f t="shared" si="1"/>
        <v>1281</v>
      </c>
      <c r="H3213" s="13"/>
    </row>
    <row r="3214" ht="22.5" customHeight="1">
      <c r="B3214" s="17"/>
      <c r="C3214" s="17"/>
      <c r="D3214" s="13"/>
      <c r="E3214" s="11"/>
      <c r="F3214" s="11"/>
      <c r="G3214" s="13">
        <f t="shared" si="1"/>
        <v>1281</v>
      </c>
      <c r="H3214" s="13"/>
    </row>
    <row r="3215" ht="22.5" customHeight="1">
      <c r="B3215" s="17"/>
      <c r="C3215" s="17"/>
      <c r="D3215" s="13"/>
      <c r="E3215" s="11"/>
      <c r="F3215" s="11"/>
      <c r="G3215" s="13">
        <f t="shared" si="1"/>
        <v>1281</v>
      </c>
      <c r="H3215" s="13"/>
    </row>
    <row r="3216" ht="22.5" customHeight="1">
      <c r="B3216" s="17"/>
      <c r="C3216" s="17"/>
      <c r="D3216" s="13"/>
      <c r="E3216" s="11"/>
      <c r="F3216" s="11"/>
      <c r="G3216" s="13">
        <f t="shared" si="1"/>
        <v>1281</v>
      </c>
      <c r="H3216" s="13"/>
    </row>
    <row r="3217" ht="22.5" customHeight="1">
      <c r="B3217" s="17"/>
      <c r="C3217" s="17"/>
      <c r="D3217" s="13"/>
      <c r="E3217" s="11"/>
      <c r="F3217" s="11"/>
      <c r="G3217" s="13">
        <f t="shared" si="1"/>
        <v>1281</v>
      </c>
      <c r="H3217" s="13"/>
    </row>
    <row r="3218" ht="22.5" customHeight="1">
      <c r="B3218" s="17"/>
      <c r="C3218" s="17"/>
      <c r="D3218" s="13"/>
      <c r="E3218" s="11"/>
      <c r="F3218" s="11"/>
      <c r="G3218" s="13">
        <f t="shared" si="1"/>
        <v>1281</v>
      </c>
      <c r="H3218" s="13"/>
    </row>
    <row r="3219" ht="22.5" customHeight="1">
      <c r="B3219" s="17"/>
      <c r="C3219" s="17"/>
      <c r="D3219" s="13"/>
      <c r="E3219" s="11"/>
      <c r="F3219" s="11"/>
      <c r="G3219" s="13">
        <f t="shared" si="1"/>
        <v>1281</v>
      </c>
      <c r="H3219" s="13"/>
    </row>
    <row r="3220" ht="22.5" customHeight="1">
      <c r="B3220" s="17"/>
      <c r="C3220" s="17"/>
      <c r="D3220" s="13"/>
      <c r="E3220" s="11"/>
      <c r="F3220" s="11"/>
      <c r="G3220" s="13">
        <f t="shared" si="1"/>
        <v>1281</v>
      </c>
      <c r="H3220" s="13"/>
    </row>
    <row r="3221" ht="22.5" customHeight="1">
      <c r="B3221" s="17"/>
      <c r="C3221" s="17"/>
      <c r="D3221" s="13"/>
      <c r="E3221" s="11"/>
      <c r="F3221" s="11"/>
      <c r="G3221" s="13">
        <f t="shared" si="1"/>
        <v>1281</v>
      </c>
      <c r="H3221" s="13"/>
    </row>
    <row r="3222" ht="22.5" customHeight="1">
      <c r="B3222" s="17"/>
      <c r="C3222" s="17"/>
      <c r="D3222" s="13"/>
      <c r="E3222" s="11"/>
      <c r="F3222" s="11"/>
      <c r="G3222" s="13">
        <f t="shared" si="1"/>
        <v>1281</v>
      </c>
      <c r="H3222" s="13"/>
    </row>
    <row r="3223" ht="22.5" customHeight="1">
      <c r="B3223" s="17"/>
      <c r="C3223" s="17"/>
      <c r="D3223" s="13"/>
      <c r="E3223" s="11"/>
      <c r="F3223" s="11"/>
      <c r="G3223" s="13">
        <f t="shared" si="1"/>
        <v>1281</v>
      </c>
      <c r="H3223" s="13"/>
    </row>
    <row r="3224" ht="22.5" customHeight="1">
      <c r="B3224" s="17"/>
      <c r="C3224" s="17"/>
      <c r="D3224" s="13"/>
      <c r="E3224" s="11"/>
      <c r="F3224" s="11"/>
      <c r="G3224" s="13">
        <f t="shared" si="1"/>
        <v>1281</v>
      </c>
      <c r="H3224" s="13"/>
    </row>
    <row r="3225" ht="22.5" customHeight="1">
      <c r="B3225" s="17"/>
      <c r="C3225" s="17"/>
      <c r="D3225" s="13"/>
      <c r="E3225" s="11"/>
      <c r="F3225" s="11"/>
      <c r="G3225" s="13">
        <f t="shared" si="1"/>
        <v>1281</v>
      </c>
      <c r="H3225" s="13"/>
    </row>
    <row r="3226" ht="22.5" customHeight="1">
      <c r="B3226" s="17"/>
      <c r="C3226" s="17"/>
      <c r="D3226" s="13"/>
      <c r="E3226" s="11"/>
      <c r="F3226" s="11"/>
      <c r="G3226" s="13">
        <f t="shared" si="1"/>
        <v>1281</v>
      </c>
      <c r="H3226" s="13"/>
    </row>
    <row r="3227" ht="22.5" customHeight="1">
      <c r="B3227" s="17"/>
      <c r="C3227" s="17"/>
      <c r="D3227" s="13"/>
      <c r="E3227" s="11"/>
      <c r="F3227" s="11"/>
      <c r="G3227" s="13">
        <f t="shared" si="1"/>
        <v>1281</v>
      </c>
      <c r="H3227" s="13"/>
    </row>
    <row r="3228" ht="22.5" customHeight="1">
      <c r="B3228" s="17"/>
      <c r="C3228" s="17"/>
      <c r="D3228" s="13"/>
      <c r="E3228" s="11"/>
      <c r="F3228" s="11"/>
      <c r="G3228" s="13">
        <f t="shared" si="1"/>
        <v>1281</v>
      </c>
      <c r="H3228" s="13"/>
    </row>
    <row r="3229" ht="22.5" customHeight="1">
      <c r="B3229" s="17"/>
      <c r="C3229" s="17"/>
      <c r="D3229" s="13"/>
      <c r="E3229" s="11"/>
      <c r="F3229" s="11"/>
      <c r="G3229" s="13">
        <f t="shared" si="1"/>
        <v>1281</v>
      </c>
      <c r="H3229" s="13"/>
    </row>
    <row r="3230" ht="22.5" customHeight="1">
      <c r="B3230" s="17"/>
      <c r="C3230" s="17"/>
      <c r="D3230" s="13"/>
      <c r="E3230" s="11"/>
      <c r="F3230" s="11"/>
      <c r="G3230" s="13">
        <f t="shared" si="1"/>
        <v>1281</v>
      </c>
      <c r="H3230" s="13"/>
    </row>
    <row r="3231" ht="22.5" customHeight="1">
      <c r="B3231" s="17"/>
      <c r="C3231" s="17"/>
      <c r="D3231" s="13"/>
      <c r="E3231" s="11"/>
      <c r="F3231" s="11"/>
      <c r="G3231" s="13">
        <f t="shared" si="1"/>
        <v>1281</v>
      </c>
      <c r="H3231" s="13"/>
    </row>
    <row r="3232" ht="22.5" customHeight="1">
      <c r="B3232" s="17"/>
      <c r="C3232" s="17"/>
      <c r="D3232" s="13"/>
      <c r="E3232" s="11"/>
      <c r="F3232" s="11"/>
      <c r="G3232" s="13">
        <f t="shared" si="1"/>
        <v>1281</v>
      </c>
      <c r="H3232" s="13"/>
    </row>
    <row r="3233" ht="22.5" customHeight="1">
      <c r="B3233" s="17"/>
      <c r="C3233" s="17"/>
      <c r="D3233" s="13"/>
      <c r="E3233" s="11"/>
      <c r="F3233" s="11"/>
      <c r="G3233" s="13">
        <f t="shared" si="1"/>
        <v>1281</v>
      </c>
      <c r="H3233" s="13"/>
    </row>
    <row r="3234" ht="22.5" customHeight="1">
      <c r="B3234" s="17"/>
      <c r="C3234" s="17"/>
      <c r="D3234" s="13"/>
      <c r="E3234" s="11"/>
      <c r="F3234" s="11"/>
      <c r="G3234" s="13">
        <f t="shared" si="1"/>
        <v>1281</v>
      </c>
      <c r="H3234" s="13"/>
    </row>
    <row r="3235" ht="22.5" customHeight="1">
      <c r="B3235" s="17"/>
      <c r="C3235" s="17"/>
      <c r="D3235" s="13"/>
      <c r="E3235" s="11"/>
      <c r="F3235" s="11"/>
      <c r="G3235" s="13">
        <f t="shared" si="1"/>
        <v>1281</v>
      </c>
      <c r="H3235" s="13"/>
    </row>
    <row r="3236" ht="22.5" customHeight="1">
      <c r="B3236" s="17"/>
      <c r="C3236" s="17"/>
      <c r="D3236" s="13"/>
      <c r="E3236" s="11"/>
      <c r="F3236" s="11"/>
      <c r="G3236" s="13">
        <f t="shared" si="1"/>
        <v>1281</v>
      </c>
      <c r="H3236" s="13"/>
    </row>
    <row r="3237" ht="22.5" customHeight="1">
      <c r="B3237" s="17"/>
      <c r="C3237" s="17"/>
      <c r="D3237" s="13"/>
      <c r="E3237" s="11"/>
      <c r="F3237" s="11"/>
      <c r="G3237" s="13">
        <f t="shared" si="1"/>
        <v>1281</v>
      </c>
      <c r="H3237" s="13"/>
    </row>
    <row r="3238" ht="22.5" customHeight="1">
      <c r="B3238" s="17"/>
      <c r="C3238" s="17"/>
      <c r="D3238" s="13"/>
      <c r="E3238" s="11"/>
      <c r="F3238" s="11"/>
      <c r="G3238" s="13">
        <f t="shared" si="1"/>
        <v>1281</v>
      </c>
      <c r="H3238" s="13"/>
    </row>
    <row r="3239" ht="22.5" customHeight="1">
      <c r="B3239" s="17"/>
      <c r="C3239" s="17"/>
      <c r="D3239" s="13"/>
      <c r="E3239" s="11"/>
      <c r="F3239" s="11"/>
      <c r="G3239" s="13">
        <f t="shared" si="1"/>
        <v>1281</v>
      </c>
      <c r="H3239" s="13"/>
    </row>
    <row r="3240" ht="22.5" customHeight="1">
      <c r="B3240" s="17"/>
      <c r="C3240" s="17"/>
      <c r="D3240" s="13"/>
      <c r="E3240" s="11"/>
      <c r="F3240" s="11"/>
      <c r="G3240" s="13">
        <f t="shared" si="1"/>
        <v>1281</v>
      </c>
      <c r="H3240" s="13"/>
    </row>
    <row r="3241" ht="22.5" customHeight="1">
      <c r="B3241" s="17"/>
      <c r="C3241" s="17"/>
      <c r="D3241" s="13"/>
      <c r="E3241" s="11"/>
      <c r="F3241" s="11"/>
      <c r="G3241" s="13">
        <f t="shared" si="1"/>
        <v>1281</v>
      </c>
      <c r="H3241" s="13"/>
    </row>
    <row r="3242" ht="22.5" customHeight="1">
      <c r="B3242" s="17"/>
      <c r="C3242" s="17"/>
      <c r="D3242" s="13"/>
      <c r="E3242" s="11"/>
      <c r="F3242" s="11"/>
      <c r="G3242" s="13">
        <f t="shared" si="1"/>
        <v>1281</v>
      </c>
      <c r="H3242" s="13"/>
    </row>
    <row r="3243" ht="22.5" customHeight="1">
      <c r="B3243" s="17"/>
      <c r="C3243" s="17"/>
      <c r="D3243" s="13"/>
      <c r="E3243" s="11"/>
      <c r="F3243" s="11"/>
      <c r="G3243" s="13">
        <f t="shared" si="1"/>
        <v>1281</v>
      </c>
      <c r="H3243" s="13"/>
    </row>
    <row r="3244" ht="22.5" customHeight="1">
      <c r="B3244" s="17"/>
      <c r="C3244" s="17"/>
      <c r="D3244" s="13"/>
      <c r="E3244" s="11"/>
      <c r="F3244" s="11"/>
      <c r="G3244" s="13">
        <f t="shared" si="1"/>
        <v>1281</v>
      </c>
      <c r="H3244" s="13"/>
    </row>
    <row r="3245" ht="22.5" customHeight="1">
      <c r="B3245" s="17"/>
      <c r="C3245" s="17"/>
      <c r="D3245" s="13"/>
      <c r="E3245" s="11"/>
      <c r="F3245" s="11"/>
      <c r="G3245" s="13">
        <f t="shared" si="1"/>
        <v>1281</v>
      </c>
      <c r="H3245" s="13"/>
    </row>
    <row r="3246" ht="22.5" customHeight="1">
      <c r="B3246" s="17"/>
      <c r="C3246" s="17"/>
      <c r="D3246" s="13"/>
      <c r="E3246" s="11"/>
      <c r="F3246" s="11"/>
      <c r="G3246" s="13">
        <f t="shared" si="1"/>
        <v>1281</v>
      </c>
      <c r="H3246" s="13"/>
    </row>
    <row r="3247" ht="22.5" customHeight="1">
      <c r="B3247" s="17"/>
      <c r="C3247" s="17"/>
      <c r="D3247" s="13"/>
      <c r="E3247" s="11"/>
      <c r="F3247" s="11"/>
      <c r="G3247" s="13">
        <f t="shared" si="1"/>
        <v>1281</v>
      </c>
      <c r="H3247" s="13"/>
    </row>
    <row r="3248" ht="22.5" customHeight="1">
      <c r="B3248" s="17"/>
      <c r="C3248" s="17"/>
      <c r="D3248" s="13"/>
      <c r="E3248" s="11"/>
      <c r="F3248" s="11"/>
      <c r="G3248" s="13">
        <f t="shared" si="1"/>
        <v>1281</v>
      </c>
      <c r="H3248" s="13"/>
    </row>
    <row r="3249" ht="22.5" customHeight="1">
      <c r="B3249" s="17"/>
      <c r="C3249" s="17"/>
      <c r="D3249" s="13"/>
      <c r="E3249" s="11"/>
      <c r="F3249" s="11"/>
      <c r="G3249" s="13">
        <f t="shared" si="1"/>
        <v>1281</v>
      </c>
      <c r="H3249" s="13"/>
    </row>
    <row r="3250" ht="22.5" customHeight="1">
      <c r="B3250" s="17"/>
      <c r="C3250" s="17"/>
      <c r="D3250" s="13"/>
      <c r="E3250" s="11"/>
      <c r="F3250" s="11"/>
      <c r="G3250" s="13">
        <f t="shared" si="1"/>
        <v>1281</v>
      </c>
      <c r="H3250" s="13"/>
    </row>
    <row r="3251" ht="22.5" customHeight="1">
      <c r="B3251" s="17"/>
      <c r="C3251" s="17"/>
      <c r="D3251" s="13"/>
      <c r="E3251" s="11"/>
      <c r="F3251" s="11"/>
      <c r="G3251" s="13">
        <f t="shared" si="1"/>
        <v>1281</v>
      </c>
      <c r="H3251" s="13"/>
    </row>
    <row r="3252" ht="22.5" customHeight="1">
      <c r="B3252" s="17"/>
      <c r="C3252" s="17"/>
      <c r="D3252" s="13"/>
      <c r="E3252" s="11"/>
      <c r="F3252" s="11"/>
      <c r="G3252" s="13">
        <f t="shared" si="1"/>
        <v>1281</v>
      </c>
      <c r="H3252" s="13"/>
    </row>
    <row r="3253" ht="22.5" customHeight="1">
      <c r="B3253" s="17"/>
      <c r="C3253" s="17"/>
      <c r="D3253" s="13"/>
      <c r="E3253" s="11"/>
      <c r="F3253" s="11"/>
      <c r="G3253" s="13">
        <f t="shared" si="1"/>
        <v>1281</v>
      </c>
      <c r="H3253" s="13"/>
    </row>
    <row r="3254" ht="22.5" customHeight="1">
      <c r="B3254" s="17"/>
      <c r="C3254" s="17"/>
      <c r="D3254" s="13"/>
      <c r="E3254" s="11"/>
      <c r="F3254" s="11"/>
      <c r="G3254" s="13">
        <f t="shared" si="1"/>
        <v>1281</v>
      </c>
      <c r="H3254" s="13"/>
    </row>
    <row r="3255" ht="22.5" customHeight="1">
      <c r="B3255" s="17"/>
      <c r="C3255" s="17"/>
      <c r="D3255" s="13"/>
      <c r="E3255" s="11"/>
      <c r="F3255" s="11"/>
      <c r="G3255" s="13">
        <f t="shared" si="1"/>
        <v>1281</v>
      </c>
      <c r="H3255" s="13"/>
    </row>
    <row r="3256" ht="22.5" customHeight="1">
      <c r="B3256" s="17"/>
      <c r="C3256" s="17"/>
      <c r="D3256" s="13"/>
      <c r="E3256" s="11"/>
      <c r="F3256" s="11"/>
      <c r="G3256" s="13">
        <f t="shared" si="1"/>
        <v>1281</v>
      </c>
      <c r="H3256" s="13"/>
    </row>
    <row r="3257" ht="22.5" customHeight="1">
      <c r="B3257" s="17"/>
      <c r="C3257" s="17"/>
      <c r="D3257" s="13"/>
      <c r="E3257" s="11"/>
      <c r="F3257" s="11"/>
      <c r="G3257" s="13">
        <f t="shared" si="1"/>
        <v>1281</v>
      </c>
      <c r="H3257" s="13"/>
    </row>
    <row r="3258" ht="22.5" customHeight="1">
      <c r="B3258" s="17"/>
      <c r="C3258" s="17"/>
      <c r="D3258" s="13"/>
      <c r="E3258" s="11"/>
      <c r="F3258" s="11"/>
      <c r="G3258" s="13">
        <f t="shared" si="1"/>
        <v>1281</v>
      </c>
      <c r="H3258" s="13"/>
    </row>
    <row r="3259" ht="22.5" customHeight="1">
      <c r="B3259" s="17"/>
      <c r="C3259" s="17"/>
      <c r="D3259" s="13"/>
      <c r="E3259" s="11"/>
      <c r="F3259" s="11"/>
      <c r="G3259" s="13">
        <f t="shared" si="1"/>
        <v>1281</v>
      </c>
      <c r="H3259" s="13"/>
    </row>
    <row r="3260" ht="22.5" customHeight="1">
      <c r="B3260" s="17"/>
      <c r="C3260" s="17"/>
      <c r="D3260" s="13"/>
      <c r="E3260" s="11"/>
      <c r="F3260" s="11"/>
      <c r="G3260" s="13">
        <f t="shared" si="1"/>
        <v>1281</v>
      </c>
      <c r="H3260" s="13"/>
    </row>
    <row r="3261" ht="22.5" customHeight="1">
      <c r="B3261" s="17"/>
      <c r="C3261" s="17"/>
      <c r="D3261" s="13"/>
      <c r="E3261" s="11"/>
      <c r="F3261" s="11"/>
      <c r="G3261" s="13">
        <f t="shared" si="1"/>
        <v>1281</v>
      </c>
      <c r="H3261" s="13"/>
    </row>
    <row r="3262" ht="22.5" customHeight="1">
      <c r="B3262" s="17"/>
      <c r="C3262" s="17"/>
      <c r="D3262" s="13"/>
      <c r="E3262" s="11"/>
      <c r="F3262" s="11"/>
      <c r="G3262" s="13">
        <f t="shared" si="1"/>
        <v>1281</v>
      </c>
      <c r="H3262" s="13"/>
    </row>
    <row r="3263" ht="22.5" customHeight="1">
      <c r="B3263" s="17"/>
      <c r="C3263" s="17"/>
      <c r="D3263" s="13"/>
      <c r="E3263" s="11"/>
      <c r="F3263" s="11"/>
      <c r="G3263" s="13">
        <f t="shared" si="1"/>
        <v>1281</v>
      </c>
      <c r="H3263" s="13"/>
    </row>
    <row r="3264" ht="22.5" customHeight="1">
      <c r="B3264" s="17"/>
      <c r="C3264" s="17"/>
      <c r="D3264" s="13"/>
      <c r="E3264" s="11"/>
      <c r="F3264" s="11"/>
      <c r="G3264" s="13">
        <f t="shared" si="1"/>
        <v>1281</v>
      </c>
      <c r="H3264" s="13"/>
    </row>
    <row r="3265" ht="22.5" customHeight="1">
      <c r="B3265" s="17"/>
      <c r="C3265" s="17"/>
      <c r="D3265" s="13"/>
      <c r="E3265" s="11"/>
      <c r="F3265" s="11"/>
      <c r="G3265" s="13">
        <f t="shared" si="1"/>
        <v>1281</v>
      </c>
      <c r="H3265" s="13"/>
    </row>
    <row r="3266" ht="22.5" customHeight="1">
      <c r="B3266" s="17"/>
      <c r="C3266" s="17"/>
      <c r="D3266" s="13"/>
      <c r="E3266" s="11"/>
      <c r="F3266" s="11"/>
      <c r="G3266" s="13">
        <f t="shared" si="1"/>
        <v>1281</v>
      </c>
      <c r="H3266" s="13"/>
    </row>
    <row r="3267" ht="22.5" customHeight="1">
      <c r="B3267" s="17"/>
      <c r="C3267" s="17"/>
      <c r="D3267" s="13"/>
      <c r="E3267" s="11"/>
      <c r="F3267" s="11"/>
      <c r="G3267" s="13">
        <f t="shared" si="1"/>
        <v>1281</v>
      </c>
      <c r="H3267" s="13"/>
    </row>
    <row r="3268" ht="22.5" customHeight="1">
      <c r="B3268" s="17"/>
      <c r="C3268" s="17"/>
      <c r="D3268" s="13"/>
      <c r="E3268" s="11"/>
      <c r="F3268" s="11"/>
      <c r="G3268" s="13">
        <f t="shared" si="1"/>
        <v>1281</v>
      </c>
      <c r="H3268" s="13"/>
    </row>
    <row r="3269" ht="22.5" customHeight="1">
      <c r="B3269" s="17"/>
      <c r="C3269" s="17"/>
      <c r="D3269" s="13"/>
      <c r="E3269" s="11"/>
      <c r="F3269" s="11"/>
      <c r="G3269" s="13">
        <f t="shared" si="1"/>
        <v>1281</v>
      </c>
      <c r="H3269" s="13"/>
    </row>
    <row r="3270" ht="22.5" customHeight="1">
      <c r="B3270" s="17"/>
      <c r="C3270" s="17"/>
      <c r="D3270" s="13"/>
      <c r="E3270" s="11"/>
      <c r="F3270" s="11"/>
      <c r="G3270" s="13">
        <f t="shared" si="1"/>
        <v>1281</v>
      </c>
      <c r="H3270" s="13"/>
    </row>
    <row r="3271" ht="22.5" customHeight="1">
      <c r="B3271" s="17"/>
      <c r="C3271" s="17"/>
      <c r="D3271" s="13"/>
      <c r="E3271" s="11"/>
      <c r="F3271" s="11"/>
      <c r="G3271" s="13">
        <f t="shared" si="1"/>
        <v>1281</v>
      </c>
      <c r="H3271" s="13"/>
    </row>
    <row r="3272" ht="22.5" customHeight="1">
      <c r="B3272" s="17"/>
      <c r="C3272" s="17"/>
      <c r="D3272" s="13"/>
      <c r="E3272" s="11"/>
      <c r="F3272" s="11"/>
      <c r="G3272" s="13">
        <f t="shared" si="1"/>
        <v>1281</v>
      </c>
      <c r="H3272" s="13"/>
    </row>
    <row r="3273" ht="22.5" customHeight="1">
      <c r="B3273" s="17"/>
      <c r="C3273" s="17"/>
      <c r="D3273" s="13"/>
      <c r="E3273" s="11"/>
      <c r="F3273" s="11"/>
      <c r="G3273" s="13">
        <f t="shared" si="1"/>
        <v>1281</v>
      </c>
      <c r="H3273" s="13"/>
    </row>
    <row r="3274" ht="22.5" customHeight="1">
      <c r="B3274" s="17"/>
      <c r="C3274" s="17"/>
      <c r="D3274" s="13"/>
      <c r="E3274" s="11"/>
      <c r="F3274" s="11"/>
      <c r="G3274" s="13">
        <f t="shared" si="1"/>
        <v>1281</v>
      </c>
      <c r="H3274" s="13"/>
    </row>
    <row r="3275" ht="22.5" customHeight="1">
      <c r="B3275" s="17"/>
      <c r="C3275" s="17"/>
      <c r="D3275" s="13"/>
      <c r="E3275" s="11"/>
      <c r="F3275" s="11"/>
      <c r="G3275" s="13">
        <f t="shared" si="1"/>
        <v>1281</v>
      </c>
      <c r="H3275" s="13"/>
    </row>
    <row r="3276" ht="22.5" customHeight="1">
      <c r="B3276" s="17"/>
      <c r="C3276" s="17"/>
      <c r="D3276" s="13"/>
      <c r="E3276" s="11"/>
      <c r="F3276" s="11"/>
      <c r="G3276" s="13">
        <f t="shared" si="1"/>
        <v>1281</v>
      </c>
      <c r="H3276" s="13"/>
    </row>
    <row r="3277" ht="22.5" customHeight="1">
      <c r="B3277" s="17"/>
      <c r="C3277" s="17"/>
      <c r="D3277" s="13"/>
      <c r="E3277" s="11"/>
      <c r="F3277" s="11"/>
      <c r="G3277" s="13">
        <f t="shared" si="1"/>
        <v>1281</v>
      </c>
      <c r="H3277" s="13"/>
    </row>
    <row r="3278" ht="22.5" customHeight="1">
      <c r="B3278" s="17"/>
      <c r="C3278" s="17"/>
      <c r="D3278" s="13"/>
      <c r="E3278" s="11"/>
      <c r="F3278" s="11"/>
      <c r="G3278" s="13">
        <f t="shared" si="1"/>
        <v>1281</v>
      </c>
      <c r="H3278" s="13"/>
    </row>
    <row r="3279" ht="22.5" customHeight="1">
      <c r="B3279" s="17"/>
      <c r="C3279" s="17"/>
      <c r="D3279" s="13"/>
      <c r="E3279" s="11"/>
      <c r="F3279" s="11"/>
      <c r="G3279" s="13">
        <f t="shared" si="1"/>
        <v>1281</v>
      </c>
      <c r="H3279" s="13"/>
    </row>
    <row r="3280" ht="22.5" customHeight="1">
      <c r="B3280" s="17"/>
      <c r="C3280" s="17"/>
      <c r="D3280" s="13"/>
      <c r="E3280" s="11"/>
      <c r="F3280" s="11"/>
      <c r="G3280" s="13">
        <f t="shared" si="1"/>
        <v>1281</v>
      </c>
      <c r="H3280" s="13"/>
    </row>
    <row r="3281" ht="22.5" customHeight="1">
      <c r="B3281" s="17"/>
      <c r="C3281" s="17"/>
      <c r="D3281" s="13"/>
      <c r="E3281" s="11"/>
      <c r="F3281" s="11"/>
      <c r="G3281" s="13">
        <f t="shared" si="1"/>
        <v>1281</v>
      </c>
      <c r="H3281" s="13"/>
    </row>
    <row r="3282" ht="22.5" customHeight="1">
      <c r="B3282" s="17"/>
      <c r="C3282" s="17"/>
      <c r="D3282" s="13"/>
      <c r="E3282" s="11"/>
      <c r="F3282" s="11"/>
      <c r="G3282" s="13">
        <f t="shared" si="1"/>
        <v>1281</v>
      </c>
      <c r="H3282" s="13"/>
    </row>
    <row r="3283" ht="22.5" customHeight="1">
      <c r="B3283" s="17"/>
      <c r="C3283" s="17"/>
      <c r="D3283" s="13"/>
      <c r="E3283" s="11"/>
      <c r="F3283" s="11"/>
      <c r="G3283" s="13">
        <f t="shared" si="1"/>
        <v>1281</v>
      </c>
      <c r="H3283" s="13"/>
    </row>
    <row r="3284" ht="22.5" customHeight="1">
      <c r="B3284" s="17"/>
      <c r="C3284" s="17"/>
      <c r="D3284" s="13"/>
      <c r="E3284" s="11"/>
      <c r="F3284" s="11"/>
      <c r="G3284" s="13">
        <f t="shared" si="1"/>
        <v>1281</v>
      </c>
      <c r="H3284" s="13"/>
    </row>
    <row r="3285" ht="22.5" customHeight="1">
      <c r="B3285" s="17"/>
      <c r="C3285" s="17"/>
      <c r="D3285" s="13"/>
      <c r="E3285" s="11"/>
      <c r="F3285" s="11"/>
      <c r="G3285" s="13">
        <f t="shared" si="1"/>
        <v>1281</v>
      </c>
      <c r="H3285" s="13"/>
    </row>
    <row r="3286" ht="22.5" customHeight="1">
      <c r="B3286" s="17"/>
      <c r="C3286" s="17"/>
      <c r="D3286" s="13"/>
      <c r="E3286" s="11"/>
      <c r="F3286" s="11"/>
      <c r="G3286" s="13">
        <f t="shared" si="1"/>
        <v>1281</v>
      </c>
      <c r="H3286" s="13"/>
    </row>
    <row r="3287" ht="22.5" customHeight="1">
      <c r="B3287" s="17"/>
      <c r="C3287" s="17"/>
      <c r="D3287" s="13"/>
      <c r="E3287" s="11"/>
      <c r="F3287" s="11"/>
      <c r="G3287" s="13">
        <f t="shared" si="1"/>
        <v>1281</v>
      </c>
      <c r="H3287" s="13"/>
    </row>
    <row r="3288" ht="22.5" customHeight="1">
      <c r="B3288" s="17"/>
      <c r="C3288" s="17"/>
      <c r="D3288" s="13"/>
      <c r="E3288" s="11"/>
      <c r="F3288" s="11"/>
      <c r="G3288" s="13">
        <f t="shared" si="1"/>
        <v>1281</v>
      </c>
      <c r="H3288" s="13"/>
    </row>
    <row r="3289" ht="22.5" customHeight="1">
      <c r="B3289" s="17"/>
      <c r="C3289" s="17"/>
      <c r="D3289" s="13"/>
      <c r="E3289" s="11"/>
      <c r="F3289" s="11"/>
      <c r="G3289" s="13">
        <f t="shared" si="1"/>
        <v>1281</v>
      </c>
      <c r="H3289" s="13"/>
    </row>
    <row r="3290" ht="22.5" customHeight="1">
      <c r="B3290" s="17"/>
      <c r="C3290" s="17"/>
      <c r="D3290" s="13"/>
      <c r="E3290" s="11"/>
      <c r="F3290" s="11"/>
      <c r="G3290" s="13">
        <f t="shared" si="1"/>
        <v>1281</v>
      </c>
      <c r="H3290" s="13"/>
    </row>
    <row r="3291" ht="22.5" customHeight="1">
      <c r="B3291" s="17"/>
      <c r="C3291" s="17"/>
      <c r="D3291" s="13"/>
      <c r="E3291" s="11"/>
      <c r="F3291" s="11"/>
      <c r="G3291" s="13">
        <f t="shared" si="1"/>
        <v>1281</v>
      </c>
      <c r="H3291" s="13"/>
    </row>
    <row r="3292" ht="22.5" customHeight="1">
      <c r="B3292" s="17"/>
      <c r="C3292" s="17"/>
      <c r="D3292" s="13"/>
      <c r="E3292" s="11"/>
      <c r="F3292" s="11"/>
      <c r="G3292" s="13">
        <f t="shared" si="1"/>
        <v>1281</v>
      </c>
      <c r="H3292" s="13"/>
    </row>
    <row r="3293" ht="22.5" customHeight="1">
      <c r="B3293" s="17"/>
      <c r="C3293" s="17"/>
      <c r="D3293" s="13"/>
      <c r="E3293" s="11"/>
      <c r="F3293" s="11"/>
      <c r="G3293" s="13">
        <f t="shared" si="1"/>
        <v>1281</v>
      </c>
      <c r="H3293" s="13"/>
    </row>
    <row r="3294" ht="22.5" customHeight="1">
      <c r="B3294" s="17"/>
      <c r="C3294" s="17"/>
      <c r="D3294" s="13"/>
      <c r="E3294" s="11"/>
      <c r="F3294" s="11"/>
      <c r="G3294" s="13">
        <f t="shared" si="1"/>
        <v>1281</v>
      </c>
      <c r="H3294" s="13"/>
    </row>
    <row r="3295" ht="22.5" customHeight="1">
      <c r="B3295" s="17"/>
      <c r="C3295" s="17"/>
      <c r="D3295" s="13"/>
      <c r="E3295" s="11"/>
      <c r="F3295" s="11"/>
      <c r="G3295" s="13">
        <f t="shared" si="1"/>
        <v>1281</v>
      </c>
      <c r="H3295" s="13"/>
    </row>
    <row r="3296" ht="22.5" customHeight="1">
      <c r="B3296" s="17"/>
      <c r="C3296" s="17"/>
      <c r="D3296" s="13"/>
      <c r="E3296" s="11"/>
      <c r="F3296" s="11"/>
      <c r="G3296" s="13">
        <f t="shared" si="1"/>
        <v>1281</v>
      </c>
      <c r="H3296" s="13"/>
    </row>
    <row r="3297" ht="22.5" customHeight="1">
      <c r="B3297" s="17"/>
      <c r="C3297" s="17"/>
      <c r="D3297" s="13"/>
      <c r="E3297" s="11"/>
      <c r="F3297" s="11"/>
      <c r="G3297" s="13">
        <f t="shared" si="1"/>
        <v>1281</v>
      </c>
      <c r="H3297" s="13"/>
    </row>
    <row r="3298" ht="22.5" customHeight="1">
      <c r="B3298" s="17"/>
      <c r="C3298" s="17"/>
      <c r="D3298" s="13"/>
      <c r="E3298" s="11"/>
      <c r="F3298" s="11"/>
      <c r="G3298" s="13">
        <f t="shared" si="1"/>
        <v>1281</v>
      </c>
      <c r="H3298" s="13"/>
    </row>
    <row r="3299" ht="22.5" customHeight="1">
      <c r="B3299" s="17"/>
      <c r="C3299" s="17"/>
      <c r="D3299" s="13"/>
      <c r="E3299" s="11"/>
      <c r="F3299" s="11"/>
      <c r="G3299" s="13">
        <f t="shared" si="1"/>
        <v>1281</v>
      </c>
      <c r="H3299" s="13"/>
    </row>
    <row r="3300" ht="22.5" customHeight="1">
      <c r="B3300" s="17"/>
      <c r="C3300" s="17"/>
      <c r="D3300" s="13"/>
      <c r="E3300" s="11"/>
      <c r="F3300" s="11"/>
      <c r="G3300" s="13">
        <f t="shared" si="1"/>
        <v>1281</v>
      </c>
      <c r="H3300" s="13"/>
    </row>
    <row r="3301" ht="22.5" customHeight="1">
      <c r="B3301" s="17"/>
      <c r="C3301" s="17"/>
      <c r="D3301" s="13"/>
      <c r="E3301" s="11"/>
      <c r="F3301" s="11"/>
      <c r="G3301" s="13">
        <f t="shared" si="1"/>
        <v>1281</v>
      </c>
      <c r="H3301" s="13"/>
    </row>
    <row r="3302" ht="22.5" customHeight="1">
      <c r="B3302" s="17"/>
      <c r="C3302" s="17"/>
      <c r="D3302" s="13"/>
      <c r="E3302" s="11"/>
      <c r="F3302" s="11"/>
      <c r="G3302" s="13">
        <f t="shared" si="1"/>
        <v>1281</v>
      </c>
      <c r="H3302" s="13"/>
    </row>
    <row r="3303" ht="22.5" customHeight="1">
      <c r="B3303" s="17"/>
      <c r="C3303" s="17"/>
      <c r="D3303" s="13"/>
      <c r="E3303" s="11"/>
      <c r="F3303" s="11"/>
      <c r="G3303" s="13">
        <f t="shared" si="1"/>
        <v>1281</v>
      </c>
      <c r="H3303" s="13"/>
    </row>
    <row r="3304" ht="22.5" customHeight="1">
      <c r="B3304" s="17"/>
      <c r="C3304" s="17"/>
      <c r="D3304" s="13"/>
      <c r="E3304" s="11"/>
      <c r="F3304" s="11"/>
      <c r="G3304" s="13">
        <f t="shared" si="1"/>
        <v>1281</v>
      </c>
      <c r="H3304" s="13"/>
    </row>
    <row r="3305" ht="22.5" customHeight="1">
      <c r="B3305" s="17"/>
      <c r="C3305" s="17"/>
      <c r="D3305" s="13"/>
      <c r="E3305" s="11"/>
      <c r="F3305" s="11"/>
      <c r="G3305" s="13">
        <f t="shared" si="1"/>
        <v>1281</v>
      </c>
      <c r="H3305" s="13"/>
    </row>
    <row r="3306" ht="22.5" customHeight="1">
      <c r="B3306" s="17"/>
      <c r="C3306" s="17"/>
      <c r="D3306" s="13"/>
      <c r="E3306" s="11"/>
      <c r="F3306" s="11"/>
      <c r="G3306" s="13">
        <f t="shared" si="1"/>
        <v>1281</v>
      </c>
      <c r="H3306" s="13"/>
    </row>
    <row r="3307" ht="22.5" customHeight="1">
      <c r="B3307" s="17"/>
      <c r="C3307" s="17"/>
      <c r="D3307" s="13"/>
      <c r="E3307" s="11"/>
      <c r="F3307" s="11"/>
      <c r="G3307" s="13">
        <f t="shared" si="1"/>
        <v>1281</v>
      </c>
      <c r="H3307" s="13"/>
    </row>
    <row r="3308" ht="22.5" customHeight="1">
      <c r="B3308" s="17"/>
      <c r="C3308" s="17"/>
      <c r="D3308" s="13"/>
      <c r="E3308" s="11"/>
      <c r="F3308" s="11"/>
      <c r="G3308" s="13">
        <f t="shared" si="1"/>
        <v>1281</v>
      </c>
      <c r="H3308" s="13"/>
    </row>
    <row r="3309" ht="22.5" customHeight="1">
      <c r="B3309" s="17"/>
      <c r="C3309" s="17"/>
      <c r="D3309" s="13"/>
      <c r="E3309" s="11"/>
      <c r="F3309" s="11"/>
      <c r="G3309" s="13">
        <f t="shared" si="1"/>
        <v>1281</v>
      </c>
      <c r="H3309" s="13"/>
    </row>
    <row r="3310" ht="22.5" customHeight="1">
      <c r="B3310" s="17"/>
      <c r="C3310" s="17"/>
      <c r="D3310" s="13"/>
      <c r="E3310" s="11"/>
      <c r="F3310" s="11"/>
      <c r="G3310" s="13">
        <f t="shared" si="1"/>
        <v>1281</v>
      </c>
      <c r="H3310" s="13"/>
    </row>
    <row r="3311" ht="22.5" customHeight="1">
      <c r="B3311" s="17"/>
      <c r="C3311" s="17"/>
      <c r="D3311" s="13"/>
      <c r="E3311" s="11"/>
      <c r="F3311" s="11"/>
      <c r="G3311" s="13">
        <f t="shared" si="1"/>
        <v>1281</v>
      </c>
      <c r="H3311" s="13"/>
    </row>
    <row r="3312" ht="22.5" customHeight="1">
      <c r="B3312" s="17"/>
      <c r="C3312" s="17"/>
      <c r="D3312" s="13"/>
      <c r="E3312" s="11"/>
      <c r="F3312" s="11"/>
      <c r="G3312" s="13">
        <f t="shared" si="1"/>
        <v>1281</v>
      </c>
      <c r="H3312" s="13"/>
    </row>
    <row r="3313" ht="22.5" customHeight="1">
      <c r="B3313" s="17"/>
      <c r="C3313" s="17"/>
      <c r="D3313" s="13"/>
      <c r="E3313" s="11"/>
      <c r="F3313" s="11"/>
      <c r="G3313" s="13">
        <f t="shared" si="1"/>
        <v>1281</v>
      </c>
      <c r="H3313" s="13"/>
    </row>
    <row r="3314" ht="22.5" customHeight="1">
      <c r="B3314" s="17"/>
      <c r="C3314" s="17"/>
      <c r="D3314" s="13"/>
      <c r="E3314" s="11"/>
      <c r="F3314" s="11"/>
      <c r="G3314" s="13">
        <f t="shared" si="1"/>
        <v>1281</v>
      </c>
      <c r="H3314" s="13"/>
    </row>
    <row r="3315" ht="22.5" customHeight="1">
      <c r="B3315" s="17"/>
      <c r="C3315" s="17"/>
      <c r="D3315" s="13"/>
      <c r="E3315" s="11"/>
      <c r="F3315" s="11"/>
      <c r="G3315" s="13">
        <f t="shared" si="1"/>
        <v>1281</v>
      </c>
      <c r="H3315" s="13"/>
    </row>
    <row r="3316" ht="22.5" customHeight="1">
      <c r="B3316" s="17"/>
      <c r="C3316" s="17"/>
      <c r="D3316" s="13"/>
      <c r="E3316" s="11"/>
      <c r="F3316" s="11"/>
      <c r="G3316" s="13">
        <f t="shared" si="1"/>
        <v>1281</v>
      </c>
      <c r="H3316" s="13"/>
    </row>
    <row r="3317" ht="22.5" customHeight="1">
      <c r="B3317" s="17"/>
      <c r="C3317" s="17"/>
      <c r="D3317" s="13"/>
      <c r="E3317" s="11"/>
      <c r="F3317" s="11"/>
      <c r="G3317" s="13">
        <f t="shared" si="1"/>
        <v>1281</v>
      </c>
      <c r="H3317" s="13"/>
    </row>
    <row r="3318" ht="22.5" customHeight="1">
      <c r="B3318" s="17"/>
      <c r="C3318" s="17"/>
      <c r="D3318" s="13"/>
      <c r="E3318" s="11"/>
      <c r="F3318" s="11"/>
      <c r="G3318" s="13">
        <f t="shared" si="1"/>
        <v>1281</v>
      </c>
      <c r="H3318" s="13"/>
    </row>
    <row r="3319" ht="22.5" customHeight="1">
      <c r="B3319" s="17"/>
      <c r="C3319" s="17"/>
      <c r="D3319" s="13"/>
      <c r="E3319" s="11"/>
      <c r="F3319" s="11"/>
      <c r="G3319" s="13">
        <f t="shared" si="1"/>
        <v>1281</v>
      </c>
      <c r="H3319" s="13"/>
    </row>
    <row r="3320" ht="22.5" customHeight="1">
      <c r="B3320" s="17"/>
      <c r="C3320" s="17"/>
      <c r="D3320" s="13"/>
      <c r="E3320" s="11"/>
      <c r="F3320" s="11"/>
      <c r="G3320" s="13">
        <f t="shared" si="1"/>
        <v>1281</v>
      </c>
      <c r="H3320" s="13"/>
    </row>
    <row r="3321" ht="22.5" customHeight="1">
      <c r="B3321" s="17"/>
      <c r="C3321" s="17"/>
      <c r="D3321" s="13"/>
      <c r="E3321" s="11"/>
      <c r="F3321" s="11"/>
      <c r="G3321" s="13">
        <f t="shared" si="1"/>
        <v>1281</v>
      </c>
      <c r="H3321" s="13"/>
    </row>
    <row r="3322" ht="22.5" customHeight="1">
      <c r="B3322" s="17"/>
      <c r="C3322" s="17"/>
      <c r="D3322" s="13"/>
      <c r="E3322" s="11"/>
      <c r="F3322" s="11"/>
      <c r="G3322" s="13">
        <f t="shared" si="1"/>
        <v>1281</v>
      </c>
      <c r="H3322" s="13"/>
    </row>
    <row r="3323" ht="22.5" customHeight="1">
      <c r="B3323" s="17"/>
      <c r="C3323" s="17"/>
      <c r="D3323" s="13"/>
      <c r="E3323" s="11"/>
      <c r="F3323" s="11"/>
      <c r="G3323" s="13">
        <f t="shared" si="1"/>
        <v>1281</v>
      </c>
      <c r="H3323" s="13"/>
    </row>
    <row r="3324" ht="22.5" customHeight="1">
      <c r="B3324" s="17"/>
      <c r="C3324" s="17"/>
      <c r="D3324" s="13"/>
      <c r="E3324" s="11"/>
      <c r="F3324" s="11"/>
      <c r="G3324" s="13">
        <f t="shared" si="1"/>
        <v>1281</v>
      </c>
      <c r="H3324" s="13"/>
    </row>
    <row r="3325" ht="22.5" customHeight="1">
      <c r="B3325" s="17"/>
      <c r="C3325" s="17"/>
      <c r="D3325" s="13"/>
      <c r="E3325" s="11"/>
      <c r="F3325" s="11"/>
      <c r="G3325" s="13">
        <f t="shared" si="1"/>
        <v>1281</v>
      </c>
      <c r="H3325" s="13"/>
    </row>
    <row r="3326" ht="22.5" customHeight="1">
      <c r="B3326" s="17"/>
      <c r="C3326" s="17"/>
      <c r="D3326" s="13"/>
      <c r="E3326" s="11"/>
      <c r="F3326" s="11"/>
      <c r="G3326" s="13">
        <f t="shared" si="1"/>
        <v>1281</v>
      </c>
      <c r="H3326" s="13"/>
    </row>
    <row r="3327" ht="22.5" customHeight="1">
      <c r="B3327" s="17"/>
      <c r="C3327" s="17"/>
      <c r="D3327" s="13"/>
      <c r="E3327" s="11"/>
      <c r="F3327" s="11"/>
      <c r="G3327" s="13">
        <f t="shared" si="1"/>
        <v>1281</v>
      </c>
      <c r="H3327" s="13"/>
    </row>
    <row r="3328" ht="22.5" customHeight="1">
      <c r="B3328" s="17"/>
      <c r="C3328" s="17"/>
      <c r="D3328" s="13"/>
      <c r="E3328" s="11"/>
      <c r="F3328" s="11"/>
      <c r="G3328" s="13">
        <f t="shared" si="1"/>
        <v>1281</v>
      </c>
      <c r="H3328" s="13"/>
    </row>
    <row r="3329" ht="22.5" customHeight="1">
      <c r="B3329" s="17"/>
      <c r="C3329" s="17"/>
      <c r="D3329" s="13"/>
      <c r="E3329" s="11"/>
      <c r="F3329" s="11"/>
      <c r="G3329" s="13">
        <f t="shared" si="1"/>
        <v>1281</v>
      </c>
      <c r="H3329" s="13"/>
    </row>
    <row r="3330" ht="22.5" customHeight="1">
      <c r="B3330" s="17"/>
      <c r="C3330" s="17"/>
      <c r="D3330" s="13"/>
      <c r="E3330" s="11"/>
      <c r="F3330" s="11"/>
      <c r="G3330" s="13">
        <f t="shared" si="1"/>
        <v>1281</v>
      </c>
      <c r="H3330" s="13"/>
    </row>
    <row r="3331" ht="22.5" customHeight="1">
      <c r="B3331" s="17"/>
      <c r="C3331" s="17"/>
      <c r="D3331" s="13"/>
      <c r="E3331" s="11"/>
      <c r="F3331" s="11"/>
      <c r="G3331" s="13">
        <f t="shared" si="1"/>
        <v>1281</v>
      </c>
      <c r="H3331" s="13"/>
    </row>
    <row r="3332" ht="22.5" customHeight="1">
      <c r="B3332" s="17"/>
      <c r="C3332" s="17"/>
      <c r="D3332" s="13"/>
      <c r="E3332" s="11"/>
      <c r="F3332" s="11"/>
      <c r="G3332" s="13">
        <f t="shared" si="1"/>
        <v>1281</v>
      </c>
      <c r="H3332" s="13"/>
    </row>
    <row r="3333" ht="22.5" customHeight="1">
      <c r="B3333" s="17"/>
      <c r="C3333" s="17"/>
      <c r="D3333" s="13"/>
      <c r="E3333" s="11"/>
      <c r="F3333" s="11"/>
      <c r="G3333" s="13">
        <f t="shared" si="1"/>
        <v>1281</v>
      </c>
      <c r="H3333" s="13"/>
    </row>
    <row r="3334" ht="22.5" customHeight="1">
      <c r="B3334" s="17"/>
      <c r="C3334" s="17"/>
      <c r="D3334" s="13"/>
      <c r="E3334" s="11"/>
      <c r="F3334" s="11"/>
      <c r="G3334" s="13">
        <f t="shared" si="1"/>
        <v>1281</v>
      </c>
      <c r="H3334" s="13"/>
    </row>
    <row r="3335" ht="22.5" customHeight="1">
      <c r="B3335" s="17"/>
      <c r="C3335" s="17"/>
      <c r="D3335" s="13"/>
      <c r="E3335" s="11"/>
      <c r="F3335" s="11"/>
      <c r="G3335" s="13">
        <f t="shared" si="1"/>
        <v>1281</v>
      </c>
      <c r="H3335" s="13"/>
    </row>
    <row r="3336" ht="22.5" customHeight="1">
      <c r="B3336" s="17"/>
      <c r="C3336" s="17"/>
      <c r="D3336" s="13"/>
      <c r="E3336" s="11"/>
      <c r="F3336" s="11"/>
      <c r="G3336" s="13">
        <f t="shared" si="1"/>
        <v>1281</v>
      </c>
      <c r="H3336" s="13"/>
    </row>
    <row r="3337" ht="22.5" customHeight="1">
      <c r="B3337" s="17"/>
      <c r="C3337" s="17"/>
      <c r="D3337" s="13"/>
      <c r="E3337" s="11"/>
      <c r="F3337" s="11"/>
      <c r="G3337" s="13">
        <f t="shared" si="1"/>
        <v>1281</v>
      </c>
      <c r="H3337" s="13"/>
    </row>
    <row r="3338" ht="22.5" customHeight="1">
      <c r="B3338" s="17"/>
      <c r="C3338" s="17"/>
      <c r="D3338" s="13"/>
      <c r="E3338" s="11"/>
      <c r="F3338" s="11"/>
      <c r="G3338" s="13">
        <f t="shared" si="1"/>
        <v>1281</v>
      </c>
      <c r="H3338" s="13"/>
    </row>
    <row r="3339" ht="22.5" customHeight="1">
      <c r="B3339" s="17"/>
      <c r="C3339" s="17"/>
      <c r="D3339" s="13"/>
      <c r="E3339" s="11"/>
      <c r="F3339" s="11"/>
      <c r="G3339" s="13">
        <f t="shared" si="1"/>
        <v>1281</v>
      </c>
      <c r="H3339" s="13"/>
    </row>
    <row r="3340" ht="22.5" customHeight="1">
      <c r="B3340" s="17"/>
      <c r="C3340" s="17"/>
      <c r="D3340" s="13"/>
      <c r="E3340" s="11"/>
      <c r="F3340" s="11"/>
      <c r="G3340" s="13">
        <f t="shared" si="1"/>
        <v>1281</v>
      </c>
      <c r="H3340" s="13"/>
    </row>
    <row r="3341" ht="22.5" customHeight="1">
      <c r="B3341" s="17"/>
      <c r="C3341" s="17"/>
      <c r="D3341" s="13"/>
      <c r="E3341" s="11"/>
      <c r="F3341" s="11"/>
      <c r="G3341" s="13">
        <f t="shared" si="1"/>
        <v>1281</v>
      </c>
      <c r="H3341" s="13"/>
    </row>
    <row r="3342" ht="22.5" customHeight="1">
      <c r="B3342" s="17"/>
      <c r="C3342" s="17"/>
      <c r="D3342" s="13"/>
      <c r="E3342" s="11"/>
      <c r="F3342" s="11"/>
      <c r="G3342" s="13">
        <f t="shared" si="1"/>
        <v>1281</v>
      </c>
      <c r="H3342" s="13"/>
    </row>
    <row r="3343" ht="22.5" customHeight="1">
      <c r="B3343" s="17"/>
      <c r="C3343" s="17"/>
      <c r="D3343" s="13"/>
      <c r="E3343" s="11"/>
      <c r="F3343" s="11"/>
      <c r="G3343" s="13">
        <f t="shared" si="1"/>
        <v>1281</v>
      </c>
      <c r="H3343" s="13"/>
    </row>
    <row r="3344" ht="22.5" customHeight="1">
      <c r="B3344" s="17"/>
      <c r="C3344" s="17"/>
      <c r="D3344" s="13"/>
      <c r="E3344" s="11"/>
      <c r="F3344" s="11"/>
      <c r="G3344" s="13">
        <f t="shared" si="1"/>
        <v>1281</v>
      </c>
      <c r="H3344" s="13"/>
    </row>
    <row r="3345" ht="22.5" customHeight="1">
      <c r="B3345" s="17"/>
      <c r="C3345" s="17"/>
      <c r="D3345" s="13"/>
      <c r="E3345" s="11"/>
      <c r="F3345" s="11"/>
      <c r="G3345" s="13">
        <f t="shared" si="1"/>
        <v>1281</v>
      </c>
      <c r="H3345" s="13"/>
    </row>
    <row r="3346" ht="22.5" customHeight="1">
      <c r="B3346" s="17"/>
      <c r="C3346" s="17"/>
      <c r="D3346" s="13"/>
      <c r="E3346" s="11"/>
      <c r="F3346" s="11"/>
      <c r="G3346" s="13">
        <f t="shared" si="1"/>
        <v>1281</v>
      </c>
      <c r="H3346" s="13"/>
    </row>
    <row r="3347" ht="22.5" customHeight="1">
      <c r="B3347" s="17"/>
      <c r="C3347" s="17"/>
      <c r="D3347" s="13"/>
      <c r="E3347" s="11"/>
      <c r="F3347" s="11"/>
      <c r="G3347" s="13">
        <f t="shared" si="1"/>
        <v>1281</v>
      </c>
      <c r="H3347" s="13"/>
    </row>
    <row r="3348" ht="22.5" customHeight="1">
      <c r="B3348" s="17"/>
      <c r="C3348" s="17"/>
      <c r="D3348" s="13"/>
      <c r="E3348" s="11"/>
      <c r="F3348" s="11"/>
      <c r="G3348" s="13">
        <f t="shared" si="1"/>
        <v>1281</v>
      </c>
      <c r="H3348" s="13"/>
    </row>
    <row r="3349" ht="22.5" customHeight="1">
      <c r="B3349" s="17"/>
      <c r="C3349" s="17"/>
      <c r="D3349" s="13"/>
      <c r="E3349" s="11"/>
      <c r="F3349" s="11"/>
      <c r="G3349" s="13">
        <f t="shared" si="1"/>
        <v>1281</v>
      </c>
      <c r="H3349" s="13"/>
    </row>
    <row r="3350" ht="22.5" customHeight="1">
      <c r="B3350" s="17"/>
      <c r="C3350" s="17"/>
      <c r="D3350" s="13"/>
      <c r="E3350" s="11"/>
      <c r="F3350" s="11"/>
      <c r="G3350" s="13">
        <f t="shared" si="1"/>
        <v>1281</v>
      </c>
      <c r="H3350" s="13"/>
    </row>
    <row r="3351" ht="22.5" customHeight="1">
      <c r="B3351" s="17"/>
      <c r="C3351" s="17"/>
      <c r="D3351" s="13"/>
      <c r="E3351" s="11"/>
      <c r="F3351" s="11"/>
      <c r="G3351" s="13">
        <f t="shared" si="1"/>
        <v>1281</v>
      </c>
      <c r="H3351" s="13"/>
    </row>
    <row r="3352" ht="22.5" customHeight="1">
      <c r="B3352" s="17"/>
      <c r="C3352" s="17"/>
      <c r="D3352" s="13"/>
      <c r="E3352" s="11"/>
      <c r="F3352" s="11"/>
      <c r="G3352" s="13">
        <f t="shared" si="1"/>
        <v>1281</v>
      </c>
      <c r="H3352" s="13"/>
    </row>
    <row r="3353" ht="22.5" customHeight="1">
      <c r="B3353" s="17"/>
      <c r="C3353" s="17"/>
      <c r="D3353" s="13"/>
      <c r="E3353" s="11"/>
      <c r="F3353" s="11"/>
      <c r="G3353" s="13">
        <f t="shared" si="1"/>
        <v>1281</v>
      </c>
      <c r="H3353" s="13"/>
    </row>
    <row r="3354" ht="22.5" customHeight="1">
      <c r="B3354" s="17"/>
      <c r="C3354" s="17"/>
      <c r="D3354" s="13"/>
      <c r="E3354" s="11"/>
      <c r="F3354" s="11"/>
      <c r="G3354" s="13">
        <f t="shared" si="1"/>
        <v>1281</v>
      </c>
      <c r="H3354" s="13"/>
    </row>
    <row r="3355" ht="22.5" customHeight="1">
      <c r="B3355" s="17"/>
      <c r="C3355" s="17"/>
      <c r="D3355" s="13"/>
      <c r="E3355" s="11"/>
      <c r="F3355" s="11"/>
      <c r="G3355" s="13">
        <f t="shared" si="1"/>
        <v>1281</v>
      </c>
      <c r="H3355" s="13"/>
    </row>
    <row r="3356" ht="22.5" customHeight="1">
      <c r="B3356" s="17"/>
      <c r="C3356" s="17"/>
      <c r="D3356" s="13"/>
      <c r="E3356" s="11"/>
      <c r="F3356" s="11"/>
      <c r="G3356" s="13">
        <f t="shared" si="1"/>
        <v>1281</v>
      </c>
      <c r="H3356" s="13"/>
    </row>
    <row r="3357" ht="22.5" customHeight="1">
      <c r="B3357" s="17"/>
      <c r="C3357" s="17"/>
      <c r="D3357" s="13"/>
      <c r="E3357" s="11"/>
      <c r="F3357" s="11"/>
      <c r="G3357" s="13">
        <f t="shared" si="1"/>
        <v>1281</v>
      </c>
      <c r="H3357" s="13"/>
    </row>
    <row r="3358" ht="22.5" customHeight="1">
      <c r="B3358" s="17"/>
      <c r="C3358" s="17"/>
      <c r="D3358" s="13"/>
      <c r="E3358" s="11"/>
      <c r="F3358" s="11"/>
      <c r="G3358" s="13">
        <f t="shared" si="1"/>
        <v>1281</v>
      </c>
      <c r="H3358" s="13"/>
    </row>
    <row r="3359" ht="22.5" customHeight="1">
      <c r="B3359" s="17"/>
      <c r="C3359" s="17"/>
      <c r="D3359" s="13"/>
      <c r="E3359" s="11"/>
      <c r="F3359" s="11"/>
      <c r="G3359" s="13">
        <f t="shared" si="1"/>
        <v>1281</v>
      </c>
      <c r="H3359" s="13"/>
    </row>
    <row r="3360" ht="22.5" customHeight="1">
      <c r="B3360" s="17"/>
      <c r="C3360" s="17"/>
      <c r="D3360" s="13"/>
      <c r="E3360" s="11"/>
      <c r="F3360" s="11"/>
      <c r="G3360" s="13">
        <f t="shared" si="1"/>
        <v>1281</v>
      </c>
      <c r="H3360" s="13"/>
    </row>
    <row r="3361" ht="22.5" customHeight="1">
      <c r="B3361" s="17"/>
      <c r="C3361" s="17"/>
      <c r="D3361" s="13"/>
      <c r="E3361" s="11"/>
      <c r="F3361" s="11"/>
      <c r="G3361" s="13">
        <f t="shared" si="1"/>
        <v>1281</v>
      </c>
      <c r="H3361" s="13"/>
    </row>
    <row r="3362" ht="22.5" customHeight="1">
      <c r="B3362" s="17"/>
      <c r="C3362" s="17"/>
      <c r="D3362" s="13"/>
      <c r="E3362" s="11"/>
      <c r="F3362" s="11"/>
      <c r="G3362" s="13">
        <f t="shared" si="1"/>
        <v>1281</v>
      </c>
      <c r="H3362" s="13"/>
    </row>
    <row r="3363" ht="22.5" customHeight="1">
      <c r="B3363" s="17"/>
      <c r="C3363" s="17"/>
      <c r="D3363" s="13"/>
      <c r="E3363" s="11"/>
      <c r="F3363" s="11"/>
      <c r="G3363" s="13">
        <f t="shared" si="1"/>
        <v>1281</v>
      </c>
      <c r="H3363" s="13"/>
    </row>
    <row r="3364" ht="22.5" customHeight="1">
      <c r="B3364" s="17"/>
      <c r="C3364" s="17"/>
      <c r="D3364" s="13"/>
      <c r="E3364" s="11"/>
      <c r="F3364" s="11"/>
      <c r="G3364" s="13">
        <f t="shared" si="1"/>
        <v>1281</v>
      </c>
      <c r="H3364" s="13"/>
    </row>
    <row r="3365" ht="22.5" customHeight="1">
      <c r="B3365" s="17"/>
      <c r="C3365" s="17"/>
      <c r="D3365" s="13"/>
      <c r="E3365" s="11"/>
      <c r="F3365" s="11"/>
      <c r="G3365" s="13">
        <f t="shared" si="1"/>
        <v>1281</v>
      </c>
      <c r="H3365" s="13"/>
    </row>
    <row r="3366" ht="22.5" customHeight="1">
      <c r="B3366" s="17"/>
      <c r="C3366" s="17"/>
      <c r="D3366" s="13"/>
      <c r="E3366" s="11"/>
      <c r="F3366" s="11"/>
      <c r="G3366" s="13">
        <f t="shared" si="1"/>
        <v>1281</v>
      </c>
      <c r="H3366" s="13"/>
    </row>
    <row r="3367" ht="22.5" customHeight="1">
      <c r="B3367" s="17"/>
      <c r="C3367" s="17"/>
      <c r="D3367" s="13"/>
      <c r="E3367" s="11"/>
      <c r="F3367" s="11"/>
      <c r="G3367" s="13">
        <f t="shared" si="1"/>
        <v>1281</v>
      </c>
      <c r="H3367" s="13"/>
    </row>
    <row r="3368" ht="22.5" customHeight="1">
      <c r="B3368" s="17"/>
      <c r="C3368" s="17"/>
      <c r="D3368" s="13"/>
      <c r="E3368" s="11"/>
      <c r="F3368" s="11"/>
      <c r="G3368" s="13">
        <f t="shared" si="1"/>
        <v>1281</v>
      </c>
      <c r="H3368" s="13"/>
    </row>
    <row r="3369" ht="22.5" customHeight="1">
      <c r="B3369" s="17"/>
      <c r="C3369" s="17"/>
      <c r="D3369" s="13"/>
      <c r="E3369" s="11"/>
      <c r="F3369" s="11"/>
      <c r="G3369" s="13">
        <f t="shared" si="1"/>
        <v>1281</v>
      </c>
      <c r="H3369" s="13"/>
    </row>
    <row r="3370" ht="22.5" customHeight="1">
      <c r="B3370" s="17"/>
      <c r="C3370" s="17"/>
      <c r="D3370" s="13"/>
      <c r="E3370" s="11"/>
      <c r="F3370" s="11"/>
      <c r="G3370" s="13">
        <f t="shared" si="1"/>
        <v>1281</v>
      </c>
      <c r="H3370" s="13"/>
    </row>
    <row r="3371" ht="22.5" customHeight="1">
      <c r="B3371" s="17"/>
      <c r="C3371" s="17"/>
      <c r="D3371" s="13"/>
      <c r="E3371" s="11"/>
      <c r="F3371" s="11"/>
      <c r="G3371" s="13">
        <f t="shared" si="1"/>
        <v>1281</v>
      </c>
      <c r="H3371" s="13"/>
    </row>
    <row r="3372" ht="22.5" customHeight="1">
      <c r="B3372" s="17"/>
      <c r="C3372" s="17"/>
      <c r="D3372" s="13"/>
      <c r="E3372" s="11"/>
      <c r="F3372" s="11"/>
      <c r="G3372" s="13">
        <f t="shared" si="1"/>
        <v>1281</v>
      </c>
      <c r="H3372" s="13"/>
    </row>
    <row r="3373" ht="22.5" customHeight="1">
      <c r="B3373" s="17"/>
      <c r="C3373" s="17"/>
      <c r="D3373" s="13"/>
      <c r="E3373" s="11"/>
      <c r="F3373" s="11"/>
      <c r="G3373" s="13">
        <f t="shared" si="1"/>
        <v>1281</v>
      </c>
      <c r="H3373" s="13"/>
    </row>
    <row r="3374" ht="22.5" customHeight="1">
      <c r="B3374" s="17"/>
      <c r="C3374" s="17"/>
      <c r="D3374" s="13"/>
      <c r="E3374" s="11"/>
      <c r="F3374" s="11"/>
      <c r="G3374" s="13">
        <f t="shared" si="1"/>
        <v>1281</v>
      </c>
      <c r="H3374" s="13"/>
    </row>
    <row r="3375" ht="22.5" customHeight="1">
      <c r="B3375" s="17"/>
      <c r="C3375" s="17"/>
      <c r="D3375" s="13"/>
      <c r="E3375" s="11"/>
      <c r="F3375" s="11"/>
      <c r="G3375" s="13">
        <f t="shared" si="1"/>
        <v>1281</v>
      </c>
      <c r="H3375" s="13"/>
    </row>
    <row r="3376" ht="22.5" customHeight="1">
      <c r="B3376" s="17"/>
      <c r="C3376" s="17"/>
      <c r="D3376" s="13"/>
      <c r="E3376" s="11"/>
      <c r="F3376" s="11"/>
      <c r="G3376" s="13">
        <f t="shared" si="1"/>
        <v>1281</v>
      </c>
      <c r="H3376" s="13"/>
    </row>
    <row r="3377" ht="22.5" customHeight="1">
      <c r="B3377" s="17"/>
      <c r="C3377" s="17"/>
      <c r="D3377" s="13"/>
      <c r="E3377" s="11"/>
      <c r="F3377" s="11"/>
      <c r="G3377" s="13">
        <f t="shared" si="1"/>
        <v>1281</v>
      </c>
      <c r="H3377" s="13"/>
    </row>
    <row r="3378" ht="22.5" customHeight="1">
      <c r="B3378" s="17"/>
      <c r="C3378" s="17"/>
      <c r="D3378" s="13"/>
      <c r="E3378" s="11"/>
      <c r="F3378" s="11"/>
      <c r="G3378" s="13">
        <f t="shared" si="1"/>
        <v>1281</v>
      </c>
      <c r="H3378" s="13"/>
    </row>
    <row r="3379" ht="22.5" customHeight="1">
      <c r="B3379" s="17"/>
      <c r="C3379" s="17"/>
      <c r="D3379" s="13"/>
      <c r="E3379" s="11"/>
      <c r="F3379" s="11"/>
      <c r="G3379" s="13">
        <f t="shared" si="1"/>
        <v>1281</v>
      </c>
      <c r="H3379" s="13"/>
    </row>
    <row r="3380" ht="22.5" customHeight="1">
      <c r="B3380" s="17"/>
      <c r="C3380" s="17"/>
      <c r="D3380" s="13"/>
      <c r="E3380" s="11"/>
      <c r="F3380" s="11"/>
      <c r="G3380" s="13">
        <f t="shared" si="1"/>
        <v>1281</v>
      </c>
      <c r="H3380" s="13"/>
    </row>
    <row r="3381" ht="22.5" customHeight="1">
      <c r="B3381" s="17"/>
      <c r="C3381" s="17"/>
      <c r="D3381" s="13"/>
      <c r="E3381" s="11"/>
      <c r="F3381" s="11"/>
      <c r="G3381" s="13">
        <f t="shared" si="1"/>
        <v>1281</v>
      </c>
      <c r="H3381" s="13"/>
    </row>
    <row r="3382" ht="22.5" customHeight="1">
      <c r="B3382" s="17"/>
      <c r="C3382" s="17"/>
      <c r="D3382" s="13"/>
      <c r="E3382" s="11"/>
      <c r="F3382" s="11"/>
      <c r="G3382" s="13">
        <f t="shared" si="1"/>
        <v>1281</v>
      </c>
      <c r="H3382" s="13"/>
    </row>
    <row r="3383" ht="22.5" customHeight="1">
      <c r="B3383" s="17"/>
      <c r="C3383" s="17"/>
      <c r="D3383" s="13"/>
      <c r="E3383" s="11"/>
      <c r="F3383" s="11"/>
      <c r="G3383" s="13">
        <f t="shared" si="1"/>
        <v>1281</v>
      </c>
      <c r="H3383" s="13"/>
    </row>
    <row r="3384" ht="22.5" customHeight="1">
      <c r="B3384" s="17"/>
      <c r="C3384" s="17"/>
      <c r="D3384" s="13"/>
      <c r="E3384" s="11"/>
      <c r="F3384" s="11"/>
      <c r="G3384" s="13">
        <f t="shared" si="1"/>
        <v>1281</v>
      </c>
      <c r="H3384" s="13"/>
    </row>
    <row r="3385" ht="22.5" customHeight="1">
      <c r="B3385" s="17"/>
      <c r="C3385" s="17"/>
      <c r="D3385" s="13"/>
      <c r="E3385" s="11"/>
      <c r="F3385" s="11"/>
      <c r="G3385" s="13">
        <f t="shared" si="1"/>
        <v>1281</v>
      </c>
      <c r="H3385" s="13"/>
    </row>
    <row r="3386" ht="22.5" customHeight="1">
      <c r="B3386" s="17"/>
      <c r="C3386" s="17"/>
      <c r="D3386" s="13"/>
      <c r="E3386" s="11"/>
      <c r="F3386" s="11"/>
      <c r="G3386" s="13">
        <f t="shared" si="1"/>
        <v>1281</v>
      </c>
      <c r="H3386" s="13"/>
    </row>
    <row r="3387" ht="22.5" customHeight="1">
      <c r="B3387" s="17"/>
      <c r="C3387" s="17"/>
      <c r="D3387" s="13"/>
      <c r="E3387" s="11"/>
      <c r="F3387" s="11"/>
      <c r="G3387" s="13">
        <f t="shared" si="1"/>
        <v>1281</v>
      </c>
      <c r="H3387" s="13"/>
    </row>
    <row r="3388" ht="22.5" customHeight="1">
      <c r="B3388" s="17"/>
      <c r="C3388" s="17"/>
      <c r="D3388" s="13"/>
      <c r="E3388" s="11"/>
      <c r="F3388" s="11"/>
      <c r="G3388" s="13">
        <f t="shared" si="1"/>
        <v>1281</v>
      </c>
      <c r="H3388" s="13"/>
    </row>
    <row r="3389" ht="22.5" customHeight="1">
      <c r="B3389" s="17"/>
      <c r="C3389" s="17"/>
      <c r="D3389" s="13"/>
      <c r="E3389" s="11"/>
      <c r="F3389" s="11"/>
      <c r="G3389" s="13">
        <f t="shared" si="1"/>
        <v>1281</v>
      </c>
      <c r="H3389" s="13"/>
    </row>
    <row r="3390" ht="22.5" customHeight="1">
      <c r="B3390" s="17"/>
      <c r="C3390" s="17"/>
      <c r="D3390" s="13"/>
      <c r="E3390" s="11"/>
      <c r="F3390" s="11"/>
      <c r="G3390" s="13">
        <f t="shared" si="1"/>
        <v>1281</v>
      </c>
      <c r="H3390" s="13"/>
    </row>
    <row r="3391" ht="22.5" customHeight="1">
      <c r="B3391" s="17"/>
      <c r="C3391" s="17"/>
      <c r="D3391" s="13"/>
      <c r="E3391" s="11"/>
      <c r="F3391" s="11"/>
      <c r="G3391" s="13">
        <f t="shared" si="1"/>
        <v>1281</v>
      </c>
      <c r="H3391" s="13"/>
    </row>
    <row r="3392" ht="22.5" customHeight="1">
      <c r="B3392" s="17"/>
      <c r="C3392" s="17"/>
      <c r="D3392" s="13"/>
      <c r="E3392" s="11"/>
      <c r="F3392" s="11"/>
      <c r="G3392" s="13">
        <f t="shared" si="1"/>
        <v>1281</v>
      </c>
      <c r="H3392" s="13"/>
    </row>
    <row r="3393" ht="22.5" customHeight="1">
      <c r="B3393" s="17"/>
      <c r="C3393" s="17"/>
      <c r="D3393" s="13"/>
      <c r="E3393" s="11"/>
      <c r="F3393" s="11"/>
      <c r="G3393" s="13">
        <f t="shared" si="1"/>
        <v>1281</v>
      </c>
      <c r="H3393" s="13"/>
    </row>
    <row r="3394" ht="22.5" customHeight="1">
      <c r="B3394" s="17"/>
      <c r="C3394" s="17"/>
      <c r="D3394" s="13"/>
      <c r="E3394" s="11"/>
      <c r="F3394" s="11"/>
      <c r="G3394" s="13">
        <f t="shared" si="1"/>
        <v>1281</v>
      </c>
      <c r="H3394" s="13"/>
    </row>
    <row r="3395" ht="22.5" customHeight="1">
      <c r="B3395" s="17"/>
      <c r="C3395" s="17"/>
      <c r="D3395" s="13"/>
      <c r="E3395" s="11"/>
      <c r="F3395" s="11"/>
      <c r="G3395" s="13">
        <f t="shared" si="1"/>
        <v>1281</v>
      </c>
      <c r="H3395" s="13"/>
    </row>
    <row r="3396" ht="22.5" customHeight="1">
      <c r="B3396" s="17"/>
      <c r="C3396" s="17"/>
      <c r="D3396" s="13"/>
      <c r="E3396" s="11"/>
      <c r="F3396" s="11"/>
      <c r="G3396" s="13">
        <f t="shared" si="1"/>
        <v>1281</v>
      </c>
      <c r="H3396" s="13"/>
    </row>
    <row r="3397" ht="22.5" customHeight="1">
      <c r="B3397" s="17"/>
      <c r="C3397" s="17"/>
      <c r="D3397" s="13"/>
      <c r="E3397" s="11"/>
      <c r="F3397" s="11"/>
      <c r="G3397" s="13">
        <f t="shared" si="1"/>
        <v>1281</v>
      </c>
      <c r="H3397" s="13"/>
    </row>
    <row r="3398" ht="22.5" customHeight="1">
      <c r="B3398" s="17"/>
      <c r="C3398" s="17"/>
      <c r="D3398" s="13"/>
      <c r="E3398" s="11"/>
      <c r="F3398" s="11"/>
      <c r="G3398" s="13">
        <f t="shared" si="1"/>
        <v>1281</v>
      </c>
      <c r="H3398" s="13"/>
    </row>
    <row r="3399" ht="22.5" customHeight="1">
      <c r="B3399" s="17"/>
      <c r="C3399" s="17"/>
      <c r="D3399" s="13"/>
      <c r="E3399" s="11"/>
      <c r="F3399" s="11"/>
      <c r="G3399" s="13">
        <f t="shared" si="1"/>
        <v>1281</v>
      </c>
      <c r="H3399" s="13"/>
    </row>
    <row r="3400" ht="22.5" customHeight="1">
      <c r="B3400" s="17"/>
      <c r="C3400" s="17"/>
      <c r="D3400" s="13"/>
      <c r="E3400" s="11"/>
      <c r="F3400" s="11"/>
      <c r="G3400" s="13">
        <f t="shared" si="1"/>
        <v>1281</v>
      </c>
      <c r="H3400" s="13"/>
    </row>
    <row r="3401" ht="22.5" customHeight="1">
      <c r="B3401" s="17"/>
      <c r="C3401" s="17"/>
      <c r="D3401" s="13"/>
      <c r="E3401" s="11"/>
      <c r="F3401" s="11"/>
      <c r="G3401" s="13">
        <f t="shared" si="1"/>
        <v>1281</v>
      </c>
      <c r="H3401" s="13"/>
    </row>
    <row r="3402" ht="22.5" customHeight="1">
      <c r="B3402" s="17"/>
      <c r="C3402" s="17"/>
      <c r="D3402" s="13"/>
      <c r="E3402" s="11"/>
      <c r="F3402" s="11"/>
      <c r="G3402" s="13">
        <f t="shared" si="1"/>
        <v>1281</v>
      </c>
      <c r="H3402" s="13"/>
    </row>
    <row r="3403" ht="22.5" customHeight="1">
      <c r="B3403" s="17"/>
      <c r="C3403" s="17"/>
      <c r="D3403" s="13"/>
      <c r="E3403" s="11"/>
      <c r="F3403" s="11"/>
      <c r="G3403" s="13">
        <f t="shared" si="1"/>
        <v>1281</v>
      </c>
      <c r="H3403" s="13"/>
    </row>
    <row r="3404" ht="22.5" customHeight="1">
      <c r="B3404" s="17"/>
      <c r="C3404" s="17"/>
      <c r="D3404" s="13"/>
      <c r="E3404" s="11"/>
      <c r="F3404" s="11"/>
      <c r="G3404" s="13">
        <f t="shared" si="1"/>
        <v>1281</v>
      </c>
      <c r="H3404" s="13"/>
    </row>
    <row r="3405" ht="22.5" customHeight="1">
      <c r="B3405" s="17"/>
      <c r="C3405" s="17"/>
      <c r="D3405" s="13"/>
      <c r="E3405" s="11"/>
      <c r="F3405" s="11"/>
      <c r="G3405" s="13">
        <f t="shared" si="1"/>
        <v>1281</v>
      </c>
      <c r="H3405" s="13"/>
    </row>
    <row r="3406" ht="22.5" customHeight="1">
      <c r="B3406" s="17"/>
      <c r="C3406" s="17"/>
      <c r="D3406" s="13"/>
      <c r="E3406" s="11"/>
      <c r="F3406" s="11"/>
      <c r="G3406" s="13">
        <f t="shared" si="1"/>
        <v>1281</v>
      </c>
      <c r="H3406" s="13"/>
    </row>
    <row r="3407" ht="22.5" customHeight="1">
      <c r="B3407" s="17"/>
      <c r="C3407" s="17"/>
      <c r="D3407" s="13"/>
      <c r="E3407" s="11"/>
      <c r="F3407" s="11"/>
      <c r="G3407" s="13">
        <f t="shared" si="1"/>
        <v>1281</v>
      </c>
      <c r="H3407" s="13"/>
    </row>
    <row r="3408" ht="22.5" customHeight="1">
      <c r="B3408" s="17"/>
      <c r="C3408" s="17"/>
      <c r="D3408" s="13"/>
      <c r="E3408" s="11"/>
      <c r="F3408" s="11"/>
      <c r="G3408" s="13">
        <f t="shared" si="1"/>
        <v>1281</v>
      </c>
      <c r="H3408" s="13"/>
    </row>
    <row r="3409" ht="22.5" customHeight="1">
      <c r="B3409" s="17"/>
      <c r="C3409" s="17"/>
      <c r="D3409" s="13"/>
      <c r="E3409" s="11"/>
      <c r="F3409" s="11"/>
      <c r="G3409" s="13">
        <f t="shared" si="1"/>
        <v>1281</v>
      </c>
      <c r="H3409" s="13"/>
    </row>
    <row r="3410" ht="22.5" customHeight="1">
      <c r="B3410" s="17"/>
      <c r="C3410" s="17"/>
      <c r="D3410" s="13"/>
      <c r="E3410" s="11"/>
      <c r="F3410" s="11"/>
      <c r="G3410" s="13">
        <f t="shared" si="1"/>
        <v>1281</v>
      </c>
      <c r="H3410" s="13"/>
    </row>
    <row r="3411" ht="22.5" customHeight="1">
      <c r="B3411" s="17"/>
      <c r="C3411" s="17"/>
      <c r="D3411" s="13"/>
      <c r="E3411" s="11"/>
      <c r="F3411" s="11"/>
      <c r="G3411" s="13">
        <f t="shared" si="1"/>
        <v>1281</v>
      </c>
      <c r="H3411" s="13"/>
    </row>
    <row r="3412" ht="22.5" customHeight="1">
      <c r="B3412" s="17"/>
      <c r="C3412" s="17"/>
      <c r="D3412" s="13"/>
      <c r="E3412" s="11"/>
      <c r="F3412" s="11"/>
      <c r="G3412" s="13">
        <f t="shared" si="1"/>
        <v>1281</v>
      </c>
      <c r="H3412" s="13"/>
    </row>
    <row r="3413" ht="22.5" customHeight="1">
      <c r="B3413" s="17"/>
      <c r="C3413" s="17"/>
      <c r="D3413" s="13"/>
      <c r="E3413" s="11"/>
      <c r="F3413" s="11"/>
      <c r="G3413" s="13">
        <f t="shared" si="1"/>
        <v>1281</v>
      </c>
      <c r="H3413" s="13"/>
    </row>
    <row r="3414" ht="22.5" customHeight="1">
      <c r="B3414" s="17"/>
      <c r="C3414" s="17"/>
      <c r="D3414" s="13"/>
      <c r="E3414" s="11"/>
      <c r="F3414" s="11"/>
      <c r="G3414" s="13">
        <f t="shared" si="1"/>
        <v>1281</v>
      </c>
      <c r="H3414" s="13"/>
    </row>
    <row r="3415" ht="22.5" customHeight="1">
      <c r="B3415" s="17"/>
      <c r="C3415" s="17"/>
      <c r="D3415" s="13"/>
      <c r="E3415" s="11"/>
      <c r="F3415" s="11"/>
      <c r="G3415" s="13">
        <f t="shared" si="1"/>
        <v>1281</v>
      </c>
      <c r="H3415" s="13"/>
    </row>
    <row r="3416" ht="22.5" customHeight="1">
      <c r="B3416" s="17"/>
      <c r="C3416" s="17"/>
      <c r="D3416" s="13"/>
      <c r="E3416" s="11"/>
      <c r="F3416" s="11"/>
      <c r="G3416" s="13">
        <f t="shared" si="1"/>
        <v>1281</v>
      </c>
      <c r="H3416" s="13"/>
    </row>
    <row r="3417" ht="22.5" customHeight="1">
      <c r="B3417" s="17"/>
      <c r="C3417" s="17"/>
      <c r="D3417" s="13"/>
      <c r="E3417" s="11"/>
      <c r="F3417" s="11"/>
      <c r="G3417" s="13">
        <f t="shared" si="1"/>
        <v>1281</v>
      </c>
      <c r="H3417" s="13"/>
    </row>
    <row r="3418" ht="22.5" customHeight="1">
      <c r="B3418" s="17"/>
      <c r="C3418" s="17"/>
      <c r="D3418" s="13"/>
      <c r="E3418" s="11"/>
      <c r="F3418" s="11"/>
      <c r="G3418" s="13">
        <f t="shared" si="1"/>
        <v>1281</v>
      </c>
      <c r="H3418" s="13"/>
    </row>
    <row r="3419" ht="22.5" customHeight="1">
      <c r="B3419" s="17"/>
      <c r="C3419" s="17"/>
      <c r="D3419" s="13"/>
      <c r="E3419" s="11"/>
      <c r="F3419" s="11"/>
      <c r="G3419" s="13">
        <f t="shared" si="1"/>
        <v>1281</v>
      </c>
      <c r="H3419" s="13"/>
    </row>
    <row r="3420" ht="22.5" customHeight="1">
      <c r="B3420" s="17"/>
      <c r="C3420" s="17"/>
      <c r="D3420" s="13"/>
      <c r="E3420" s="11"/>
      <c r="F3420" s="11"/>
      <c r="G3420" s="13">
        <f t="shared" si="1"/>
        <v>1281</v>
      </c>
      <c r="H3420" s="13"/>
    </row>
    <row r="3421" ht="22.5" customHeight="1">
      <c r="B3421" s="17"/>
      <c r="C3421" s="17"/>
      <c r="D3421" s="13"/>
      <c r="E3421" s="11"/>
      <c r="F3421" s="11"/>
      <c r="G3421" s="13">
        <f t="shared" si="1"/>
        <v>1281</v>
      </c>
      <c r="H3421" s="13"/>
    </row>
    <row r="3422" ht="22.5" customHeight="1">
      <c r="B3422" s="17"/>
      <c r="C3422" s="17"/>
      <c r="D3422" s="13"/>
      <c r="E3422" s="11"/>
      <c r="F3422" s="11"/>
      <c r="G3422" s="13">
        <f t="shared" si="1"/>
        <v>1281</v>
      </c>
      <c r="H3422" s="13"/>
    </row>
    <row r="3423" ht="22.5" customHeight="1">
      <c r="B3423" s="17"/>
      <c r="C3423" s="17"/>
      <c r="D3423" s="13"/>
      <c r="E3423" s="11"/>
      <c r="F3423" s="11"/>
      <c r="G3423" s="13">
        <f t="shared" si="1"/>
        <v>1281</v>
      </c>
      <c r="H3423" s="13"/>
    </row>
    <row r="3424" ht="22.5" customHeight="1">
      <c r="B3424" s="17"/>
      <c r="C3424" s="17"/>
      <c r="D3424" s="13"/>
      <c r="E3424" s="11"/>
      <c r="F3424" s="11"/>
      <c r="G3424" s="13">
        <f t="shared" si="1"/>
        <v>1281</v>
      </c>
      <c r="H3424" s="13"/>
    </row>
    <row r="3425" ht="22.5" customHeight="1">
      <c r="B3425" s="17"/>
      <c r="C3425" s="17"/>
      <c r="D3425" s="13"/>
      <c r="E3425" s="11"/>
      <c r="F3425" s="11"/>
      <c r="G3425" s="13">
        <f t="shared" si="1"/>
        <v>1281</v>
      </c>
      <c r="H3425" s="13"/>
    </row>
    <row r="3426" ht="22.5" customHeight="1">
      <c r="B3426" s="17"/>
      <c r="C3426" s="17"/>
      <c r="D3426" s="13"/>
      <c r="E3426" s="11"/>
      <c r="F3426" s="11"/>
      <c r="G3426" s="13">
        <f t="shared" si="1"/>
        <v>1281</v>
      </c>
      <c r="H3426" s="13"/>
    </row>
    <row r="3427" ht="22.5" customHeight="1">
      <c r="B3427" s="17"/>
      <c r="C3427" s="17"/>
      <c r="D3427" s="13"/>
      <c r="E3427" s="11"/>
      <c r="F3427" s="11"/>
      <c r="G3427" s="13">
        <f t="shared" si="1"/>
        <v>1281</v>
      </c>
      <c r="H3427" s="13"/>
    </row>
    <row r="3428" ht="22.5" customHeight="1">
      <c r="B3428" s="17"/>
      <c r="C3428" s="17"/>
      <c r="D3428" s="13"/>
      <c r="E3428" s="11"/>
      <c r="F3428" s="11"/>
      <c r="G3428" s="13">
        <f t="shared" si="1"/>
        <v>1281</v>
      </c>
      <c r="H3428" s="13"/>
    </row>
    <row r="3429" ht="22.5" customHeight="1">
      <c r="B3429" s="17"/>
      <c r="C3429" s="17"/>
      <c r="D3429" s="13"/>
      <c r="E3429" s="11"/>
      <c r="F3429" s="11"/>
      <c r="G3429" s="13">
        <f t="shared" si="1"/>
        <v>1281</v>
      </c>
      <c r="H3429" s="13"/>
    </row>
    <row r="3430" ht="22.5" customHeight="1">
      <c r="B3430" s="17"/>
      <c r="C3430" s="17"/>
      <c r="D3430" s="13"/>
      <c r="E3430" s="11"/>
      <c r="F3430" s="11"/>
      <c r="G3430" s="13">
        <f t="shared" si="1"/>
        <v>1281</v>
      </c>
      <c r="H3430" s="13"/>
    </row>
    <row r="3431" ht="22.5" customHeight="1">
      <c r="B3431" s="17"/>
      <c r="C3431" s="17"/>
      <c r="D3431" s="13"/>
      <c r="E3431" s="11"/>
      <c r="F3431" s="11"/>
      <c r="G3431" s="13">
        <f t="shared" si="1"/>
        <v>1281</v>
      </c>
      <c r="H3431" s="13"/>
    </row>
    <row r="3432" ht="22.5" customHeight="1">
      <c r="B3432" s="17"/>
      <c r="C3432" s="17"/>
      <c r="D3432" s="13"/>
      <c r="E3432" s="11"/>
      <c r="F3432" s="11"/>
      <c r="G3432" s="13">
        <f t="shared" si="1"/>
        <v>1281</v>
      </c>
      <c r="H3432" s="13"/>
    </row>
    <row r="3433" ht="22.5" customHeight="1">
      <c r="B3433" s="17"/>
      <c r="C3433" s="17"/>
      <c r="D3433" s="13"/>
      <c r="E3433" s="11"/>
      <c r="F3433" s="11"/>
      <c r="G3433" s="13">
        <f t="shared" si="1"/>
        <v>1281</v>
      </c>
      <c r="H3433" s="13"/>
    </row>
    <row r="3434" ht="22.5" customHeight="1">
      <c r="B3434" s="17"/>
      <c r="C3434" s="17"/>
      <c r="D3434" s="13"/>
      <c r="E3434" s="11"/>
      <c r="F3434" s="11"/>
      <c r="G3434" s="13">
        <f t="shared" si="1"/>
        <v>1281</v>
      </c>
      <c r="H3434" s="13"/>
    </row>
    <row r="3435" ht="22.5" customHeight="1">
      <c r="B3435" s="17"/>
      <c r="C3435" s="17"/>
      <c r="D3435" s="13"/>
      <c r="E3435" s="11"/>
      <c r="F3435" s="11"/>
      <c r="G3435" s="13">
        <f t="shared" si="1"/>
        <v>1281</v>
      </c>
      <c r="H3435" s="13"/>
    </row>
    <row r="3436" ht="22.5" customHeight="1">
      <c r="B3436" s="17"/>
      <c r="C3436" s="17"/>
      <c r="D3436" s="13"/>
      <c r="E3436" s="11"/>
      <c r="F3436" s="11"/>
      <c r="G3436" s="13">
        <f t="shared" si="1"/>
        <v>1281</v>
      </c>
      <c r="H3436" s="13"/>
    </row>
    <row r="3437" ht="22.5" customHeight="1">
      <c r="B3437" s="17"/>
      <c r="C3437" s="17"/>
      <c r="D3437" s="13"/>
      <c r="E3437" s="11"/>
      <c r="F3437" s="11"/>
      <c r="G3437" s="13">
        <f t="shared" si="1"/>
        <v>1281</v>
      </c>
      <c r="H3437" s="13"/>
    </row>
    <row r="3438" ht="22.5" customHeight="1">
      <c r="B3438" s="17"/>
      <c r="C3438" s="17"/>
      <c r="D3438" s="13"/>
      <c r="E3438" s="11"/>
      <c r="F3438" s="11"/>
      <c r="G3438" s="13">
        <f t="shared" si="1"/>
        <v>1281</v>
      </c>
      <c r="H3438" s="13"/>
    </row>
    <row r="3439" ht="22.5" customHeight="1">
      <c r="B3439" s="17"/>
      <c r="C3439" s="17"/>
      <c r="D3439" s="13"/>
      <c r="E3439" s="11"/>
      <c r="F3439" s="11"/>
      <c r="G3439" s="13">
        <f t="shared" si="1"/>
        <v>1281</v>
      </c>
      <c r="H3439" s="13"/>
    </row>
    <row r="3440" ht="22.5" customHeight="1">
      <c r="B3440" s="17"/>
      <c r="C3440" s="17"/>
      <c r="D3440" s="13"/>
      <c r="E3440" s="11"/>
      <c r="F3440" s="11"/>
      <c r="G3440" s="13">
        <f t="shared" si="1"/>
        <v>1281</v>
      </c>
      <c r="H3440" s="13"/>
    </row>
    <row r="3441" ht="22.5" customHeight="1">
      <c r="B3441" s="17"/>
      <c r="C3441" s="17"/>
      <c r="D3441" s="13"/>
      <c r="E3441" s="11"/>
      <c r="F3441" s="11"/>
      <c r="G3441" s="13">
        <f t="shared" si="1"/>
        <v>1281</v>
      </c>
      <c r="H3441" s="13"/>
    </row>
    <row r="3442" ht="22.5" customHeight="1">
      <c r="B3442" s="17"/>
      <c r="C3442" s="17"/>
      <c r="D3442" s="13"/>
      <c r="E3442" s="11"/>
      <c r="F3442" s="11"/>
      <c r="G3442" s="13">
        <f t="shared" si="1"/>
        <v>1281</v>
      </c>
      <c r="H3442" s="13"/>
    </row>
    <row r="3443" ht="22.5" customHeight="1">
      <c r="B3443" s="17"/>
      <c r="C3443" s="17"/>
      <c r="D3443" s="13"/>
      <c r="E3443" s="11"/>
      <c r="F3443" s="11"/>
      <c r="G3443" s="13">
        <f t="shared" si="1"/>
        <v>1281</v>
      </c>
      <c r="H3443" s="13"/>
    </row>
    <row r="3444" ht="22.5" customHeight="1">
      <c r="B3444" s="17"/>
      <c r="C3444" s="17"/>
      <c r="D3444" s="13"/>
      <c r="E3444" s="11"/>
      <c r="F3444" s="11"/>
      <c r="G3444" s="13">
        <f t="shared" si="1"/>
        <v>1281</v>
      </c>
      <c r="H3444" s="13"/>
    </row>
    <row r="3445" ht="22.5" customHeight="1">
      <c r="B3445" s="17"/>
      <c r="C3445" s="17"/>
      <c r="D3445" s="13"/>
      <c r="E3445" s="11"/>
      <c r="F3445" s="11"/>
      <c r="G3445" s="13">
        <f t="shared" si="1"/>
        <v>1281</v>
      </c>
      <c r="H3445" s="13"/>
    </row>
    <row r="3446" ht="22.5" customHeight="1">
      <c r="B3446" s="17"/>
      <c r="C3446" s="17"/>
      <c r="D3446" s="13"/>
      <c r="E3446" s="11"/>
      <c r="F3446" s="11"/>
      <c r="G3446" s="13">
        <f t="shared" si="1"/>
        <v>1281</v>
      </c>
      <c r="H3446" s="13"/>
    </row>
    <row r="3447" ht="22.5" customHeight="1">
      <c r="B3447" s="17"/>
      <c r="C3447" s="17"/>
      <c r="D3447" s="13"/>
      <c r="E3447" s="11"/>
      <c r="F3447" s="11"/>
      <c r="G3447" s="13">
        <f t="shared" si="1"/>
        <v>1281</v>
      </c>
      <c r="H3447" s="13"/>
    </row>
    <row r="3448" ht="22.5" customHeight="1">
      <c r="B3448" s="17"/>
      <c r="C3448" s="17"/>
      <c r="D3448" s="13"/>
      <c r="E3448" s="11"/>
      <c r="F3448" s="11"/>
      <c r="G3448" s="13">
        <f t="shared" si="1"/>
        <v>1281</v>
      </c>
      <c r="H3448" s="13"/>
    </row>
    <row r="3449" ht="22.5" customHeight="1">
      <c r="B3449" s="17"/>
      <c r="C3449" s="17"/>
      <c r="D3449" s="13"/>
      <c r="E3449" s="11"/>
      <c r="F3449" s="11"/>
      <c r="G3449" s="13">
        <f t="shared" si="1"/>
        <v>1281</v>
      </c>
      <c r="H3449" s="13"/>
    </row>
    <row r="3450" ht="22.5" customHeight="1">
      <c r="B3450" s="17"/>
      <c r="C3450" s="17"/>
      <c r="D3450" s="13"/>
      <c r="E3450" s="11"/>
      <c r="F3450" s="11"/>
      <c r="G3450" s="13">
        <f t="shared" si="1"/>
        <v>1281</v>
      </c>
      <c r="H3450" s="13"/>
    </row>
    <row r="3451" ht="22.5" customHeight="1">
      <c r="B3451" s="17"/>
      <c r="C3451" s="17"/>
      <c r="D3451" s="13"/>
      <c r="E3451" s="11"/>
      <c r="F3451" s="11"/>
      <c r="G3451" s="13">
        <f t="shared" si="1"/>
        <v>1281</v>
      </c>
      <c r="H3451" s="13"/>
    </row>
    <row r="3452" ht="22.5" customHeight="1">
      <c r="B3452" s="17"/>
      <c r="C3452" s="17"/>
      <c r="D3452" s="13"/>
      <c r="E3452" s="11"/>
      <c r="F3452" s="11"/>
      <c r="G3452" s="13">
        <f t="shared" si="1"/>
        <v>1281</v>
      </c>
      <c r="H3452" s="13"/>
    </row>
    <row r="3453" ht="22.5" customHeight="1">
      <c r="B3453" s="17"/>
      <c r="C3453" s="17"/>
      <c r="D3453" s="13"/>
      <c r="E3453" s="11"/>
      <c r="F3453" s="11"/>
      <c r="G3453" s="13">
        <f t="shared" si="1"/>
        <v>1281</v>
      </c>
      <c r="H3453" s="13"/>
    </row>
    <row r="3454" ht="22.5" customHeight="1">
      <c r="B3454" s="17"/>
      <c r="C3454" s="17"/>
      <c r="D3454" s="13"/>
      <c r="E3454" s="11"/>
      <c r="F3454" s="11"/>
      <c r="G3454" s="13">
        <f t="shared" si="1"/>
        <v>1281</v>
      </c>
      <c r="H3454" s="13"/>
    </row>
    <row r="3455" ht="22.5" customHeight="1">
      <c r="B3455" s="17"/>
      <c r="C3455" s="17"/>
      <c r="D3455" s="13"/>
      <c r="E3455" s="11"/>
      <c r="F3455" s="11"/>
      <c r="G3455" s="13">
        <f t="shared" si="1"/>
        <v>1281</v>
      </c>
      <c r="H3455" s="13"/>
    </row>
    <row r="3456" ht="22.5" customHeight="1">
      <c r="B3456" s="17"/>
      <c r="C3456" s="17"/>
      <c r="D3456" s="13"/>
      <c r="E3456" s="11"/>
      <c r="F3456" s="11"/>
      <c r="G3456" s="13">
        <f t="shared" si="1"/>
        <v>1281</v>
      </c>
      <c r="H3456" s="13"/>
    </row>
    <row r="3457" ht="22.5" customHeight="1">
      <c r="B3457" s="17"/>
      <c r="C3457" s="17"/>
      <c r="D3457" s="13"/>
      <c r="E3457" s="11"/>
      <c r="F3457" s="11"/>
      <c r="G3457" s="13">
        <f t="shared" si="1"/>
        <v>1281</v>
      </c>
      <c r="H3457" s="13"/>
    </row>
    <row r="3458" ht="22.5" customHeight="1">
      <c r="B3458" s="17"/>
      <c r="C3458" s="17"/>
      <c r="D3458" s="13"/>
      <c r="E3458" s="11"/>
      <c r="F3458" s="11"/>
      <c r="G3458" s="13">
        <f t="shared" si="1"/>
        <v>1281</v>
      </c>
      <c r="H3458" s="13"/>
    </row>
    <row r="3459" ht="22.5" customHeight="1">
      <c r="B3459" s="17"/>
      <c r="C3459" s="17"/>
      <c r="D3459" s="13"/>
      <c r="E3459" s="11"/>
      <c r="F3459" s="11"/>
      <c r="G3459" s="13">
        <f t="shared" si="1"/>
        <v>1281</v>
      </c>
      <c r="H3459" s="13"/>
    </row>
    <row r="3460" ht="22.5" customHeight="1">
      <c r="B3460" s="17"/>
      <c r="C3460" s="17"/>
      <c r="D3460" s="13"/>
      <c r="E3460" s="11"/>
      <c r="F3460" s="11"/>
      <c r="G3460" s="13">
        <f t="shared" si="1"/>
        <v>1281</v>
      </c>
      <c r="H3460" s="13"/>
    </row>
    <row r="3461" ht="22.5" customHeight="1">
      <c r="B3461" s="17"/>
      <c r="C3461" s="17"/>
      <c r="D3461" s="13"/>
      <c r="E3461" s="11"/>
      <c r="F3461" s="11"/>
      <c r="G3461" s="13">
        <f t="shared" si="1"/>
        <v>1281</v>
      </c>
      <c r="H3461" s="13"/>
    </row>
    <row r="3462" ht="22.5" customHeight="1">
      <c r="B3462" s="17"/>
      <c r="C3462" s="17"/>
      <c r="D3462" s="13"/>
      <c r="E3462" s="11"/>
      <c r="F3462" s="11"/>
      <c r="G3462" s="13">
        <f t="shared" si="1"/>
        <v>1281</v>
      </c>
      <c r="H3462" s="13"/>
    </row>
    <row r="3463" ht="22.5" customHeight="1">
      <c r="B3463" s="17"/>
      <c r="C3463" s="17"/>
      <c r="D3463" s="13"/>
      <c r="E3463" s="11"/>
      <c r="F3463" s="11"/>
      <c r="G3463" s="13">
        <f t="shared" si="1"/>
        <v>1281</v>
      </c>
      <c r="H3463" s="13"/>
    </row>
    <row r="3464" ht="22.5" customHeight="1">
      <c r="B3464" s="17"/>
      <c r="C3464" s="17"/>
      <c r="D3464" s="13"/>
      <c r="E3464" s="11"/>
      <c r="F3464" s="11"/>
      <c r="G3464" s="13">
        <f t="shared" si="1"/>
        <v>1281</v>
      </c>
      <c r="H3464" s="13"/>
    </row>
    <row r="3465" ht="22.5" customHeight="1">
      <c r="B3465" s="17"/>
      <c r="C3465" s="17"/>
      <c r="D3465" s="13"/>
      <c r="E3465" s="11"/>
      <c r="F3465" s="11"/>
      <c r="G3465" s="13">
        <f t="shared" si="1"/>
        <v>1281</v>
      </c>
      <c r="H3465" s="13"/>
    </row>
    <row r="3466" ht="22.5" customHeight="1">
      <c r="B3466" s="17"/>
      <c r="C3466" s="17"/>
      <c r="D3466" s="13"/>
      <c r="E3466" s="11"/>
      <c r="F3466" s="11"/>
      <c r="G3466" s="13">
        <f t="shared" si="1"/>
        <v>1281</v>
      </c>
      <c r="H3466" s="13"/>
    </row>
    <row r="3467" ht="22.5" customHeight="1">
      <c r="B3467" s="17"/>
      <c r="C3467" s="17"/>
      <c r="D3467" s="13"/>
      <c r="E3467" s="11"/>
      <c r="F3467" s="11"/>
      <c r="G3467" s="13">
        <f t="shared" si="1"/>
        <v>1281</v>
      </c>
      <c r="H3467" s="13"/>
    </row>
    <row r="3468" ht="22.5" customHeight="1">
      <c r="B3468" s="17"/>
      <c r="C3468" s="17"/>
      <c r="D3468" s="13"/>
      <c r="E3468" s="11"/>
      <c r="F3468" s="11"/>
      <c r="G3468" s="13">
        <f t="shared" si="1"/>
        <v>1281</v>
      </c>
      <c r="H3468" s="13"/>
    </row>
    <row r="3469" ht="22.5" customHeight="1">
      <c r="B3469" s="17"/>
      <c r="C3469" s="17"/>
      <c r="D3469" s="13"/>
      <c r="E3469" s="11"/>
      <c r="F3469" s="11"/>
      <c r="G3469" s="13">
        <f t="shared" si="1"/>
        <v>1281</v>
      </c>
      <c r="H3469" s="13"/>
    </row>
    <row r="3470" ht="22.5" customHeight="1">
      <c r="B3470" s="17"/>
      <c r="C3470" s="17"/>
      <c r="D3470" s="13"/>
      <c r="E3470" s="11"/>
      <c r="F3470" s="11"/>
      <c r="G3470" s="13">
        <f t="shared" si="1"/>
        <v>1281</v>
      </c>
      <c r="H3470" s="13"/>
    </row>
    <row r="3471" ht="22.5" customHeight="1">
      <c r="B3471" s="17"/>
      <c r="C3471" s="17"/>
      <c r="D3471" s="13"/>
      <c r="E3471" s="11"/>
      <c r="F3471" s="11"/>
      <c r="G3471" s="13">
        <f t="shared" si="1"/>
        <v>1281</v>
      </c>
      <c r="H3471" s="13"/>
    </row>
    <row r="3472" ht="22.5" customHeight="1">
      <c r="B3472" s="17"/>
      <c r="C3472" s="17"/>
      <c r="D3472" s="13"/>
      <c r="E3472" s="11"/>
      <c r="F3472" s="11"/>
      <c r="G3472" s="13">
        <f t="shared" si="1"/>
        <v>1281</v>
      </c>
      <c r="H3472" s="13"/>
    </row>
    <row r="3473" ht="22.5" customHeight="1">
      <c r="B3473" s="17"/>
      <c r="C3473" s="17"/>
      <c r="D3473" s="13"/>
      <c r="E3473" s="11"/>
      <c r="F3473" s="11"/>
      <c r="G3473" s="13">
        <f t="shared" si="1"/>
        <v>1281</v>
      </c>
      <c r="H3473" s="13"/>
    </row>
    <row r="3474" ht="22.5" customHeight="1">
      <c r="B3474" s="17"/>
      <c r="C3474" s="17"/>
      <c r="D3474" s="13"/>
      <c r="E3474" s="11"/>
      <c r="F3474" s="11"/>
      <c r="G3474" s="13">
        <f t="shared" si="1"/>
        <v>1281</v>
      </c>
      <c r="H3474" s="13"/>
    </row>
    <row r="3475" ht="22.5" customHeight="1">
      <c r="B3475" s="17"/>
      <c r="C3475" s="17"/>
      <c r="D3475" s="13"/>
      <c r="E3475" s="11"/>
      <c r="F3475" s="11"/>
      <c r="G3475" s="13">
        <f t="shared" si="1"/>
        <v>1281</v>
      </c>
      <c r="H3475" s="13"/>
    </row>
    <row r="3476" ht="22.5" customHeight="1">
      <c r="B3476" s="17"/>
      <c r="C3476" s="17"/>
      <c r="D3476" s="13"/>
      <c r="E3476" s="11"/>
      <c r="F3476" s="11"/>
      <c r="G3476" s="13">
        <f t="shared" si="1"/>
        <v>1281</v>
      </c>
      <c r="H3476" s="13"/>
    </row>
    <row r="3477" ht="22.5" customHeight="1">
      <c r="B3477" s="17"/>
      <c r="C3477" s="17"/>
      <c r="D3477" s="13"/>
      <c r="E3477" s="11"/>
      <c r="F3477" s="11"/>
      <c r="G3477" s="13">
        <f t="shared" si="1"/>
        <v>1281</v>
      </c>
      <c r="H3477" s="13"/>
    </row>
    <row r="3478" ht="22.5" customHeight="1">
      <c r="B3478" s="17"/>
      <c r="C3478" s="17"/>
      <c r="D3478" s="13"/>
      <c r="E3478" s="11"/>
      <c r="F3478" s="11"/>
      <c r="G3478" s="13">
        <f t="shared" si="1"/>
        <v>1281</v>
      </c>
      <c r="H3478" s="13"/>
    </row>
    <row r="3479" ht="22.5" customHeight="1">
      <c r="B3479" s="17"/>
      <c r="C3479" s="17"/>
      <c r="D3479" s="13"/>
      <c r="E3479" s="11"/>
      <c r="F3479" s="11"/>
      <c r="G3479" s="13">
        <f t="shared" si="1"/>
        <v>1281</v>
      </c>
      <c r="H3479" s="13"/>
    </row>
    <row r="3480" ht="22.5" customHeight="1">
      <c r="B3480" s="17"/>
      <c r="C3480" s="17"/>
      <c r="D3480" s="13"/>
      <c r="E3480" s="11"/>
      <c r="F3480" s="11"/>
      <c r="G3480" s="13">
        <f t="shared" si="1"/>
        <v>1281</v>
      </c>
      <c r="H3480" s="13"/>
    </row>
    <row r="3481" ht="22.5" customHeight="1">
      <c r="B3481" s="17"/>
      <c r="C3481" s="17"/>
      <c r="D3481" s="13"/>
      <c r="E3481" s="11"/>
      <c r="F3481" s="11"/>
      <c r="G3481" s="13">
        <f t="shared" si="1"/>
        <v>1281</v>
      </c>
      <c r="H3481" s="13"/>
    </row>
    <row r="3482" ht="22.5" customHeight="1">
      <c r="B3482" s="17"/>
      <c r="C3482" s="17"/>
      <c r="D3482" s="13"/>
      <c r="E3482" s="11"/>
      <c r="F3482" s="11"/>
      <c r="G3482" s="13">
        <f t="shared" si="1"/>
        <v>1281</v>
      </c>
      <c r="H3482" s="13"/>
    </row>
    <row r="3483" ht="22.5" customHeight="1">
      <c r="B3483" s="17"/>
      <c r="C3483" s="17"/>
      <c r="D3483" s="13"/>
      <c r="E3483" s="11"/>
      <c r="F3483" s="11"/>
      <c r="G3483" s="13">
        <f t="shared" si="1"/>
        <v>1281</v>
      </c>
      <c r="H3483" s="13"/>
    </row>
    <row r="3484" ht="22.5" customHeight="1">
      <c r="B3484" s="17"/>
      <c r="C3484" s="17"/>
      <c r="D3484" s="13"/>
      <c r="E3484" s="11"/>
      <c r="F3484" s="11"/>
      <c r="G3484" s="13">
        <f t="shared" si="1"/>
        <v>1281</v>
      </c>
      <c r="H3484" s="13"/>
    </row>
    <row r="3485" ht="22.5" customHeight="1">
      <c r="B3485" s="17"/>
      <c r="C3485" s="17"/>
      <c r="D3485" s="13"/>
      <c r="E3485" s="11"/>
      <c r="F3485" s="11"/>
      <c r="G3485" s="13">
        <f t="shared" si="1"/>
        <v>1281</v>
      </c>
      <c r="H3485" s="13"/>
    </row>
    <row r="3486" ht="22.5" customHeight="1">
      <c r="B3486" s="17"/>
      <c r="C3486" s="17"/>
      <c r="D3486" s="13"/>
      <c r="E3486" s="11"/>
      <c r="F3486" s="11"/>
      <c r="G3486" s="13">
        <f t="shared" si="1"/>
        <v>1281</v>
      </c>
      <c r="H3486" s="13"/>
    </row>
    <row r="3487" ht="22.5" customHeight="1">
      <c r="B3487" s="17"/>
      <c r="C3487" s="17"/>
      <c r="D3487" s="13"/>
      <c r="E3487" s="11"/>
      <c r="F3487" s="11"/>
      <c r="G3487" s="13">
        <f t="shared" si="1"/>
        <v>1281</v>
      </c>
      <c r="H3487" s="13"/>
    </row>
    <row r="3488" ht="22.5" customHeight="1">
      <c r="B3488" s="17"/>
      <c r="C3488" s="17"/>
      <c r="D3488" s="13"/>
      <c r="E3488" s="11"/>
      <c r="F3488" s="11"/>
      <c r="G3488" s="13">
        <f t="shared" si="1"/>
        <v>1281</v>
      </c>
      <c r="H3488" s="13"/>
    </row>
    <row r="3489" ht="22.5" customHeight="1">
      <c r="B3489" s="17"/>
      <c r="C3489" s="17"/>
      <c r="D3489" s="13"/>
      <c r="E3489" s="11"/>
      <c r="F3489" s="11"/>
      <c r="G3489" s="13">
        <f t="shared" si="1"/>
        <v>1281</v>
      </c>
      <c r="H3489" s="13"/>
    </row>
    <row r="3490" ht="22.5" customHeight="1">
      <c r="B3490" s="17"/>
      <c r="C3490" s="17"/>
      <c r="D3490" s="13"/>
      <c r="E3490" s="11"/>
      <c r="F3490" s="11"/>
      <c r="G3490" s="13">
        <f t="shared" si="1"/>
        <v>1281</v>
      </c>
      <c r="H3490" s="13"/>
    </row>
    <row r="3491" ht="22.5" customHeight="1">
      <c r="B3491" s="17"/>
      <c r="C3491" s="17"/>
      <c r="D3491" s="13"/>
      <c r="E3491" s="11"/>
      <c r="F3491" s="11"/>
      <c r="G3491" s="13">
        <f t="shared" si="1"/>
        <v>1281</v>
      </c>
      <c r="H3491" s="13"/>
    </row>
    <row r="3492" ht="22.5" customHeight="1">
      <c r="B3492" s="17"/>
      <c r="C3492" s="17"/>
      <c r="D3492" s="13"/>
      <c r="E3492" s="11"/>
      <c r="F3492" s="11"/>
      <c r="G3492" s="13">
        <f t="shared" si="1"/>
        <v>1281</v>
      </c>
      <c r="H3492" s="13"/>
    </row>
    <row r="3493" ht="22.5" customHeight="1">
      <c r="B3493" s="17"/>
      <c r="C3493" s="17"/>
      <c r="D3493" s="13"/>
      <c r="E3493" s="11"/>
      <c r="F3493" s="11"/>
      <c r="G3493" s="13">
        <f t="shared" si="1"/>
        <v>1281</v>
      </c>
      <c r="H3493" s="13"/>
    </row>
    <row r="3494" ht="22.5" customHeight="1">
      <c r="B3494" s="17"/>
      <c r="C3494" s="17"/>
      <c r="D3494" s="13"/>
      <c r="E3494" s="11"/>
      <c r="F3494" s="11"/>
      <c r="G3494" s="13">
        <f t="shared" si="1"/>
        <v>1281</v>
      </c>
      <c r="H3494" s="13"/>
    </row>
    <row r="3495" ht="22.5" customHeight="1">
      <c r="B3495" s="17"/>
      <c r="C3495" s="17"/>
      <c r="D3495" s="13"/>
      <c r="E3495" s="11"/>
      <c r="F3495" s="11"/>
      <c r="G3495" s="13">
        <f t="shared" si="1"/>
        <v>1281</v>
      </c>
      <c r="H3495" s="13"/>
    </row>
    <row r="3496" ht="22.5" customHeight="1">
      <c r="B3496" s="17"/>
      <c r="C3496" s="17"/>
      <c r="D3496" s="13"/>
      <c r="E3496" s="11"/>
      <c r="F3496" s="11"/>
      <c r="G3496" s="13">
        <f t="shared" si="1"/>
        <v>1281</v>
      </c>
      <c r="H3496" s="13"/>
    </row>
    <row r="3497" ht="22.5" customHeight="1">
      <c r="B3497" s="17"/>
      <c r="C3497" s="17"/>
      <c r="D3497" s="13"/>
      <c r="E3497" s="11"/>
      <c r="F3497" s="11"/>
      <c r="G3497" s="13">
        <f t="shared" si="1"/>
        <v>1281</v>
      </c>
      <c r="H3497" s="13"/>
    </row>
    <row r="3498" ht="22.5" customHeight="1">
      <c r="B3498" s="17"/>
      <c r="C3498" s="17"/>
      <c r="D3498" s="13"/>
      <c r="E3498" s="11"/>
      <c r="F3498" s="11"/>
      <c r="G3498" s="13">
        <f t="shared" si="1"/>
        <v>1281</v>
      </c>
      <c r="H3498" s="13"/>
    </row>
    <row r="3499" ht="22.5" customHeight="1">
      <c r="B3499" s="17"/>
      <c r="C3499" s="17"/>
      <c r="D3499" s="13"/>
      <c r="E3499" s="11"/>
      <c r="F3499" s="11"/>
      <c r="G3499" s="13">
        <f t="shared" si="1"/>
        <v>1281</v>
      </c>
      <c r="H3499" s="13"/>
    </row>
    <row r="3500" ht="22.5" customHeight="1">
      <c r="B3500" s="17"/>
      <c r="C3500" s="17"/>
      <c r="D3500" s="13"/>
      <c r="E3500" s="11"/>
      <c r="F3500" s="11"/>
      <c r="G3500" s="13">
        <f t="shared" si="1"/>
        <v>1281</v>
      </c>
      <c r="H3500" s="13"/>
    </row>
    <row r="3501" ht="22.5" customHeight="1">
      <c r="B3501" s="17"/>
      <c r="C3501" s="17"/>
      <c r="D3501" s="13"/>
      <c r="E3501" s="11"/>
      <c r="F3501" s="11"/>
      <c r="G3501" s="13">
        <f t="shared" si="1"/>
        <v>1281</v>
      </c>
      <c r="H3501" s="13"/>
    </row>
    <row r="3502" ht="22.5" customHeight="1">
      <c r="B3502" s="17"/>
      <c r="C3502" s="17"/>
      <c r="D3502" s="13"/>
      <c r="E3502" s="11"/>
      <c r="F3502" s="11"/>
      <c r="G3502" s="13">
        <f t="shared" si="1"/>
        <v>1281</v>
      </c>
      <c r="H3502" s="13"/>
    </row>
    <row r="3503" ht="22.5" customHeight="1">
      <c r="B3503" s="17"/>
      <c r="C3503" s="17"/>
      <c r="D3503" s="13"/>
      <c r="E3503" s="11"/>
      <c r="F3503" s="11"/>
      <c r="G3503" s="13">
        <f t="shared" si="1"/>
        <v>1281</v>
      </c>
      <c r="H3503" s="13"/>
    </row>
    <row r="3504" ht="22.5" customHeight="1">
      <c r="B3504" s="17"/>
      <c r="C3504" s="17"/>
      <c r="D3504" s="13"/>
      <c r="E3504" s="11"/>
      <c r="F3504" s="11"/>
      <c r="G3504" s="13">
        <f t="shared" si="1"/>
        <v>1281</v>
      </c>
      <c r="H3504" s="13"/>
    </row>
    <row r="3505" ht="22.5" customHeight="1">
      <c r="B3505" s="17"/>
      <c r="C3505" s="17"/>
      <c r="D3505" s="13"/>
      <c r="E3505" s="11"/>
      <c r="F3505" s="11"/>
      <c r="G3505" s="13">
        <f t="shared" si="1"/>
        <v>1281</v>
      </c>
      <c r="H3505" s="13"/>
    </row>
    <row r="3506" ht="22.5" customHeight="1">
      <c r="B3506" s="17"/>
      <c r="C3506" s="17"/>
      <c r="D3506" s="13"/>
      <c r="E3506" s="11"/>
      <c r="F3506" s="11"/>
      <c r="G3506" s="13">
        <f t="shared" si="1"/>
        <v>1281</v>
      </c>
      <c r="H3506" s="13"/>
    </row>
    <row r="3507" ht="22.5" customHeight="1">
      <c r="B3507" s="17"/>
      <c r="C3507" s="17"/>
      <c r="D3507" s="13"/>
      <c r="E3507" s="11"/>
      <c r="F3507" s="11"/>
      <c r="G3507" s="13">
        <f t="shared" si="1"/>
        <v>1281</v>
      </c>
      <c r="H3507" s="13"/>
    </row>
    <row r="3508" ht="22.5" customHeight="1">
      <c r="B3508" s="17"/>
      <c r="C3508" s="17"/>
      <c r="D3508" s="13"/>
      <c r="E3508" s="11"/>
      <c r="F3508" s="11"/>
      <c r="G3508" s="13">
        <f t="shared" si="1"/>
        <v>1281</v>
      </c>
      <c r="H3508" s="13"/>
    </row>
    <row r="3509" ht="22.5" customHeight="1">
      <c r="B3509" s="17"/>
      <c r="C3509" s="17"/>
      <c r="D3509" s="13"/>
      <c r="E3509" s="11"/>
      <c r="F3509" s="11"/>
      <c r="G3509" s="13">
        <f t="shared" si="1"/>
        <v>1281</v>
      </c>
      <c r="H3509" s="13"/>
    </row>
    <row r="3510" ht="22.5" customHeight="1">
      <c r="B3510" s="17"/>
      <c r="C3510" s="17"/>
      <c r="D3510" s="13"/>
      <c r="E3510" s="11"/>
      <c r="F3510" s="11"/>
      <c r="G3510" s="13">
        <f t="shared" si="1"/>
        <v>1281</v>
      </c>
      <c r="H3510" s="13"/>
    </row>
    <row r="3511" ht="22.5" customHeight="1">
      <c r="B3511" s="17"/>
      <c r="C3511" s="17"/>
      <c r="D3511" s="13"/>
      <c r="E3511" s="11"/>
      <c r="F3511" s="11"/>
      <c r="G3511" s="13">
        <f t="shared" si="1"/>
        <v>1281</v>
      </c>
      <c r="H3511" s="13"/>
    </row>
    <row r="3512" ht="22.5" customHeight="1">
      <c r="B3512" s="17"/>
      <c r="C3512" s="17"/>
      <c r="D3512" s="13"/>
      <c r="E3512" s="11"/>
      <c r="F3512" s="11"/>
      <c r="G3512" s="13">
        <f t="shared" si="1"/>
        <v>1281</v>
      </c>
      <c r="H3512" s="13"/>
    </row>
    <row r="3513" ht="22.5" customHeight="1">
      <c r="B3513" s="17"/>
      <c r="C3513" s="17"/>
      <c r="D3513" s="13"/>
      <c r="E3513" s="11"/>
      <c r="F3513" s="11"/>
      <c r="G3513" s="13">
        <f t="shared" si="1"/>
        <v>1281</v>
      </c>
      <c r="H3513" s="13"/>
    </row>
    <row r="3514" ht="22.5" customHeight="1">
      <c r="B3514" s="17"/>
      <c r="C3514" s="17"/>
      <c r="D3514" s="13"/>
      <c r="E3514" s="11"/>
      <c r="F3514" s="11"/>
      <c r="G3514" s="13">
        <f t="shared" si="1"/>
        <v>1281</v>
      </c>
      <c r="H3514" s="13"/>
    </row>
    <row r="3515" ht="22.5" customHeight="1">
      <c r="B3515" s="17"/>
      <c r="C3515" s="17"/>
      <c r="D3515" s="13"/>
      <c r="E3515" s="11"/>
      <c r="F3515" s="11"/>
      <c r="G3515" s="13">
        <f t="shared" si="1"/>
        <v>1281</v>
      </c>
      <c r="H3515" s="13"/>
    </row>
    <row r="3516" ht="22.5" customHeight="1">
      <c r="B3516" s="17"/>
      <c r="C3516" s="17"/>
      <c r="D3516" s="13"/>
      <c r="E3516" s="11"/>
      <c r="F3516" s="11"/>
      <c r="G3516" s="13">
        <f t="shared" si="1"/>
        <v>1281</v>
      </c>
      <c r="H3516" s="13"/>
    </row>
    <row r="3517" ht="22.5" customHeight="1">
      <c r="B3517" s="17"/>
      <c r="C3517" s="17"/>
      <c r="D3517" s="13"/>
      <c r="E3517" s="11"/>
      <c r="F3517" s="11"/>
      <c r="G3517" s="13">
        <f t="shared" si="1"/>
        <v>1281</v>
      </c>
      <c r="H3517" s="13"/>
    </row>
    <row r="3518" ht="22.5" customHeight="1">
      <c r="B3518" s="17"/>
      <c r="C3518" s="17"/>
      <c r="D3518" s="13"/>
      <c r="E3518" s="11"/>
      <c r="F3518" s="11"/>
      <c r="G3518" s="13">
        <f t="shared" si="1"/>
        <v>1281</v>
      </c>
      <c r="H3518" s="13"/>
    </row>
    <row r="3519" ht="22.5" customHeight="1">
      <c r="B3519" s="17"/>
      <c r="C3519" s="17"/>
      <c r="D3519" s="13"/>
      <c r="E3519" s="11"/>
      <c r="F3519" s="11"/>
      <c r="G3519" s="13">
        <f t="shared" si="1"/>
        <v>1281</v>
      </c>
      <c r="H3519" s="13"/>
    </row>
    <row r="3520" ht="22.5" customHeight="1">
      <c r="B3520" s="17"/>
      <c r="C3520" s="17"/>
      <c r="D3520" s="13"/>
      <c r="E3520" s="11"/>
      <c r="F3520" s="11"/>
      <c r="G3520" s="13">
        <f t="shared" si="1"/>
        <v>1281</v>
      </c>
      <c r="H3520" s="13"/>
    </row>
    <row r="3521" ht="22.5" customHeight="1">
      <c r="B3521" s="17"/>
      <c r="C3521" s="17"/>
      <c r="D3521" s="13"/>
      <c r="E3521" s="11"/>
      <c r="F3521" s="11"/>
      <c r="G3521" s="13">
        <f t="shared" si="1"/>
        <v>1281</v>
      </c>
      <c r="H3521" s="13"/>
    </row>
    <row r="3522" ht="22.5" customHeight="1">
      <c r="B3522" s="17"/>
      <c r="C3522" s="17"/>
      <c r="D3522" s="13"/>
      <c r="E3522" s="11"/>
      <c r="F3522" s="11"/>
      <c r="G3522" s="13">
        <f t="shared" si="1"/>
        <v>1281</v>
      </c>
      <c r="H3522" s="13"/>
    </row>
    <row r="3523" ht="22.5" customHeight="1">
      <c r="B3523" s="17"/>
      <c r="C3523" s="17"/>
      <c r="D3523" s="13"/>
      <c r="E3523" s="11"/>
      <c r="F3523" s="11"/>
      <c r="G3523" s="13">
        <f t="shared" si="1"/>
        <v>1281</v>
      </c>
      <c r="H3523" s="13"/>
    </row>
    <row r="3524" ht="22.5" customHeight="1">
      <c r="B3524" s="17"/>
      <c r="C3524" s="17"/>
      <c r="D3524" s="13"/>
      <c r="E3524" s="11"/>
      <c r="F3524" s="11"/>
      <c r="G3524" s="13">
        <f t="shared" si="1"/>
        <v>1281</v>
      </c>
      <c r="H3524" s="13"/>
    </row>
    <row r="3525" ht="22.5" customHeight="1">
      <c r="B3525" s="17"/>
      <c r="C3525" s="17"/>
      <c r="D3525" s="13"/>
      <c r="E3525" s="11"/>
      <c r="F3525" s="11"/>
      <c r="G3525" s="13">
        <f t="shared" si="1"/>
        <v>1281</v>
      </c>
      <c r="H3525" s="13"/>
    </row>
    <row r="3526" ht="22.5" customHeight="1">
      <c r="B3526" s="17"/>
      <c r="C3526" s="17"/>
      <c r="D3526" s="13"/>
      <c r="E3526" s="11"/>
      <c r="F3526" s="11"/>
      <c r="G3526" s="13">
        <f t="shared" si="1"/>
        <v>1281</v>
      </c>
      <c r="H3526" s="13"/>
    </row>
    <row r="3527" ht="22.5" customHeight="1">
      <c r="B3527" s="17"/>
      <c r="C3527" s="17"/>
      <c r="D3527" s="13"/>
      <c r="E3527" s="11"/>
      <c r="F3527" s="11"/>
      <c r="G3527" s="13">
        <f t="shared" si="1"/>
        <v>1281</v>
      </c>
      <c r="H3527" s="13"/>
    </row>
    <row r="3528" ht="22.5" customHeight="1">
      <c r="B3528" s="17"/>
      <c r="C3528" s="17"/>
      <c r="D3528" s="13"/>
      <c r="E3528" s="11"/>
      <c r="F3528" s="11"/>
      <c r="G3528" s="13">
        <f t="shared" si="1"/>
        <v>1281</v>
      </c>
      <c r="H3528" s="13"/>
    </row>
    <row r="3529" ht="22.5" customHeight="1">
      <c r="B3529" s="17"/>
      <c r="C3529" s="17"/>
      <c r="D3529" s="13"/>
      <c r="E3529" s="11"/>
      <c r="F3529" s="11"/>
      <c r="G3529" s="13">
        <f t="shared" si="1"/>
        <v>1281</v>
      </c>
      <c r="H3529" s="13"/>
    </row>
    <row r="3530" ht="22.5" customHeight="1">
      <c r="B3530" s="17"/>
      <c r="C3530" s="17"/>
      <c r="D3530" s="13"/>
      <c r="E3530" s="11"/>
      <c r="F3530" s="11"/>
      <c r="G3530" s="13">
        <f t="shared" si="1"/>
        <v>1281</v>
      </c>
      <c r="H3530" s="13"/>
    </row>
    <row r="3531" ht="22.5" customHeight="1">
      <c r="B3531" s="17"/>
      <c r="C3531" s="17"/>
      <c r="D3531" s="13"/>
      <c r="E3531" s="11"/>
      <c r="F3531" s="11"/>
      <c r="G3531" s="13">
        <f t="shared" si="1"/>
        <v>1281</v>
      </c>
      <c r="H3531" s="13"/>
    </row>
    <row r="3532" ht="22.5" customHeight="1">
      <c r="B3532" s="17"/>
      <c r="C3532" s="17"/>
      <c r="D3532" s="13"/>
      <c r="E3532" s="11"/>
      <c r="F3532" s="11"/>
      <c r="G3532" s="13">
        <f t="shared" si="1"/>
        <v>1281</v>
      </c>
      <c r="H3532" s="13"/>
    </row>
    <row r="3533" ht="22.5" customHeight="1">
      <c r="B3533" s="17"/>
      <c r="C3533" s="17"/>
      <c r="D3533" s="13"/>
      <c r="E3533" s="11"/>
      <c r="F3533" s="11"/>
      <c r="G3533" s="13">
        <f t="shared" si="1"/>
        <v>1281</v>
      </c>
      <c r="H3533" s="13"/>
    </row>
    <row r="3534" ht="22.5" customHeight="1">
      <c r="B3534" s="17"/>
      <c r="C3534" s="17"/>
      <c r="D3534" s="13"/>
      <c r="E3534" s="11"/>
      <c r="F3534" s="11"/>
      <c r="G3534" s="13">
        <f t="shared" si="1"/>
        <v>1281</v>
      </c>
      <c r="H3534" s="13"/>
    </row>
    <row r="3535" ht="22.5" customHeight="1">
      <c r="B3535" s="17"/>
      <c r="C3535" s="17"/>
      <c r="D3535" s="13"/>
      <c r="E3535" s="11"/>
      <c r="F3535" s="11"/>
      <c r="G3535" s="13">
        <f t="shared" si="1"/>
        <v>1281</v>
      </c>
      <c r="H3535" s="13"/>
    </row>
    <row r="3536" ht="22.5" customHeight="1">
      <c r="B3536" s="17"/>
      <c r="C3536" s="17"/>
      <c r="D3536" s="13"/>
      <c r="E3536" s="11"/>
      <c r="F3536" s="11"/>
      <c r="G3536" s="13">
        <f t="shared" si="1"/>
        <v>1281</v>
      </c>
      <c r="H3536" s="13"/>
    </row>
    <row r="3537" ht="22.5" customHeight="1">
      <c r="B3537" s="17"/>
      <c r="C3537" s="17"/>
      <c r="D3537" s="13"/>
      <c r="E3537" s="11"/>
      <c r="F3537" s="11"/>
      <c r="G3537" s="13">
        <f t="shared" si="1"/>
        <v>1281</v>
      </c>
      <c r="H3537" s="13"/>
    </row>
    <row r="3538" ht="22.5" customHeight="1">
      <c r="B3538" s="17"/>
      <c r="C3538" s="17"/>
      <c r="D3538" s="13"/>
      <c r="E3538" s="11"/>
      <c r="F3538" s="11"/>
      <c r="G3538" s="13">
        <f t="shared" si="1"/>
        <v>1281</v>
      </c>
      <c r="H3538" s="13"/>
    </row>
    <row r="3539" ht="22.5" customHeight="1">
      <c r="B3539" s="17"/>
      <c r="C3539" s="17"/>
      <c r="D3539" s="13"/>
      <c r="E3539" s="11"/>
      <c r="F3539" s="11"/>
      <c r="G3539" s="13">
        <f t="shared" si="1"/>
        <v>1281</v>
      </c>
      <c r="H3539" s="13"/>
    </row>
    <row r="3540" ht="22.5" customHeight="1">
      <c r="B3540" s="17"/>
      <c r="C3540" s="17"/>
      <c r="D3540" s="13"/>
      <c r="E3540" s="11"/>
      <c r="F3540" s="11"/>
      <c r="G3540" s="13">
        <f t="shared" si="1"/>
        <v>1281</v>
      </c>
      <c r="H3540" s="13"/>
    </row>
    <row r="3541" ht="22.5" customHeight="1">
      <c r="B3541" s="17"/>
      <c r="C3541" s="17"/>
      <c r="D3541" s="13"/>
      <c r="E3541" s="11"/>
      <c r="F3541" s="11"/>
      <c r="G3541" s="13">
        <f t="shared" si="1"/>
        <v>1281</v>
      </c>
      <c r="H3541" s="13"/>
    </row>
    <row r="3542" ht="22.5" customHeight="1">
      <c r="B3542" s="17"/>
      <c r="C3542" s="17"/>
      <c r="D3542" s="13"/>
      <c r="E3542" s="11"/>
      <c r="F3542" s="11"/>
      <c r="G3542" s="13">
        <f t="shared" si="1"/>
        <v>1281</v>
      </c>
      <c r="H3542" s="13"/>
    </row>
    <row r="3543" ht="22.5" customHeight="1">
      <c r="B3543" s="17"/>
      <c r="C3543" s="17"/>
      <c r="D3543" s="13"/>
      <c r="E3543" s="11"/>
      <c r="F3543" s="11"/>
      <c r="G3543" s="13">
        <f t="shared" si="1"/>
        <v>1281</v>
      </c>
      <c r="H3543" s="13"/>
    </row>
    <row r="3544" ht="22.5" customHeight="1">
      <c r="B3544" s="17"/>
      <c r="C3544" s="17"/>
      <c r="D3544" s="13"/>
      <c r="E3544" s="11"/>
      <c r="F3544" s="11"/>
      <c r="G3544" s="13">
        <f t="shared" si="1"/>
        <v>1281</v>
      </c>
      <c r="H3544" s="13"/>
    </row>
    <row r="3545" ht="22.5" customHeight="1">
      <c r="B3545" s="17"/>
      <c r="C3545" s="17"/>
      <c r="D3545" s="13"/>
      <c r="E3545" s="11"/>
      <c r="F3545" s="11"/>
      <c r="G3545" s="13">
        <f t="shared" si="1"/>
        <v>1281</v>
      </c>
      <c r="H3545" s="13"/>
    </row>
    <row r="3546" ht="22.5" customHeight="1">
      <c r="B3546" s="17"/>
      <c r="C3546" s="17"/>
      <c r="D3546" s="13"/>
      <c r="E3546" s="11"/>
      <c r="F3546" s="11"/>
      <c r="G3546" s="13">
        <f t="shared" si="1"/>
        <v>1281</v>
      </c>
      <c r="H3546" s="13"/>
    </row>
    <row r="3547" ht="22.5" customHeight="1">
      <c r="B3547" s="17"/>
      <c r="C3547" s="17"/>
      <c r="D3547" s="13"/>
      <c r="E3547" s="11"/>
      <c r="F3547" s="11"/>
      <c r="G3547" s="13">
        <f t="shared" si="1"/>
        <v>1281</v>
      </c>
      <c r="H3547" s="13"/>
    </row>
    <row r="3548" ht="22.5" customHeight="1">
      <c r="B3548" s="17"/>
      <c r="C3548" s="17"/>
      <c r="D3548" s="13"/>
      <c r="E3548" s="11"/>
      <c r="F3548" s="11"/>
      <c r="G3548" s="13">
        <f t="shared" si="1"/>
        <v>1281</v>
      </c>
      <c r="H3548" s="13"/>
    </row>
    <row r="3549" ht="22.5" customHeight="1">
      <c r="B3549" s="17"/>
      <c r="C3549" s="17"/>
      <c r="D3549" s="13"/>
      <c r="E3549" s="11"/>
      <c r="F3549" s="11"/>
      <c r="G3549" s="13">
        <f t="shared" si="1"/>
        <v>1281</v>
      </c>
      <c r="H3549" s="13"/>
    </row>
    <row r="3550" ht="22.5" customHeight="1">
      <c r="B3550" s="17"/>
      <c r="C3550" s="17"/>
      <c r="D3550" s="13"/>
      <c r="E3550" s="11"/>
      <c r="F3550" s="11"/>
      <c r="G3550" s="13">
        <f t="shared" si="1"/>
        <v>1281</v>
      </c>
      <c r="H3550" s="13"/>
    </row>
    <row r="3551" ht="22.5" customHeight="1">
      <c r="B3551" s="17"/>
      <c r="C3551" s="17"/>
      <c r="D3551" s="13"/>
      <c r="E3551" s="11"/>
      <c r="F3551" s="11"/>
      <c r="G3551" s="13">
        <f t="shared" si="1"/>
        <v>1281</v>
      </c>
      <c r="H3551" s="13"/>
    </row>
    <row r="3552" ht="22.5" customHeight="1">
      <c r="B3552" s="17"/>
      <c r="C3552" s="17"/>
      <c r="D3552" s="13"/>
      <c r="E3552" s="11"/>
      <c r="F3552" s="11"/>
      <c r="G3552" s="13">
        <f t="shared" si="1"/>
        <v>1281</v>
      </c>
      <c r="H3552" s="13"/>
    </row>
    <row r="3553" ht="22.5" customHeight="1">
      <c r="B3553" s="17"/>
      <c r="C3553" s="17"/>
      <c r="D3553" s="13"/>
      <c r="E3553" s="11"/>
      <c r="F3553" s="11"/>
      <c r="G3553" s="13">
        <f t="shared" si="1"/>
        <v>1281</v>
      </c>
      <c r="H3553" s="13"/>
    </row>
    <row r="3554" ht="22.5" customHeight="1">
      <c r="B3554" s="17"/>
      <c r="C3554" s="17"/>
      <c r="D3554" s="13"/>
      <c r="E3554" s="11"/>
      <c r="F3554" s="11"/>
      <c r="G3554" s="13">
        <f t="shared" si="1"/>
        <v>1281</v>
      </c>
      <c r="H3554" s="13"/>
    </row>
    <row r="3555" ht="22.5" customHeight="1">
      <c r="B3555" s="17"/>
      <c r="C3555" s="17"/>
      <c r="D3555" s="13"/>
      <c r="E3555" s="11"/>
      <c r="F3555" s="11"/>
      <c r="G3555" s="13">
        <f t="shared" si="1"/>
        <v>1281</v>
      </c>
      <c r="H3555" s="13"/>
    </row>
    <row r="3556" ht="22.5" customHeight="1">
      <c r="B3556" s="17"/>
      <c r="C3556" s="17"/>
      <c r="D3556" s="13"/>
      <c r="E3556" s="11"/>
      <c r="F3556" s="11"/>
      <c r="G3556" s="13">
        <f t="shared" si="1"/>
        <v>1281</v>
      </c>
      <c r="H3556" s="13"/>
    </row>
    <row r="3557" ht="22.5" customHeight="1">
      <c r="B3557" s="17"/>
      <c r="C3557" s="17"/>
      <c r="D3557" s="13"/>
      <c r="E3557" s="11"/>
      <c r="F3557" s="11"/>
      <c r="G3557" s="13">
        <f t="shared" si="1"/>
        <v>1281</v>
      </c>
      <c r="H3557" s="13"/>
    </row>
    <row r="3558" ht="22.5" customHeight="1">
      <c r="B3558" s="17"/>
      <c r="C3558" s="17"/>
      <c r="D3558" s="13"/>
      <c r="E3558" s="11"/>
      <c r="F3558" s="11"/>
      <c r="G3558" s="13">
        <f t="shared" si="1"/>
        <v>1281</v>
      </c>
      <c r="H3558" s="13"/>
    </row>
    <row r="3559" ht="22.5" customHeight="1">
      <c r="B3559" s="17"/>
      <c r="C3559" s="17"/>
      <c r="D3559" s="13"/>
      <c r="E3559" s="11"/>
      <c r="F3559" s="11"/>
      <c r="G3559" s="13">
        <f t="shared" si="1"/>
        <v>1281</v>
      </c>
      <c r="H3559" s="13"/>
    </row>
    <row r="3560" ht="22.5" customHeight="1">
      <c r="B3560" s="17"/>
      <c r="C3560" s="17"/>
      <c r="D3560" s="13"/>
      <c r="E3560" s="11"/>
      <c r="F3560" s="11"/>
      <c r="G3560" s="13">
        <f t="shared" si="1"/>
        <v>1281</v>
      </c>
      <c r="H3560" s="13"/>
    </row>
    <row r="3561" ht="22.5" customHeight="1">
      <c r="B3561" s="17"/>
      <c r="C3561" s="17"/>
      <c r="D3561" s="13"/>
      <c r="E3561" s="11"/>
      <c r="F3561" s="11"/>
      <c r="G3561" s="13">
        <f t="shared" si="1"/>
        <v>1281</v>
      </c>
      <c r="H3561" s="13"/>
    </row>
    <row r="3562" ht="22.5" customHeight="1">
      <c r="B3562" s="17"/>
      <c r="C3562" s="17"/>
      <c r="D3562" s="13"/>
      <c r="E3562" s="11"/>
      <c r="F3562" s="11"/>
      <c r="G3562" s="13">
        <f t="shared" si="1"/>
        <v>1281</v>
      </c>
      <c r="H3562" s="13"/>
    </row>
    <row r="3563" ht="22.5" customHeight="1">
      <c r="B3563" s="17"/>
      <c r="C3563" s="17"/>
      <c r="D3563" s="13"/>
      <c r="E3563" s="11"/>
      <c r="F3563" s="11"/>
      <c r="G3563" s="13">
        <f t="shared" si="1"/>
        <v>1281</v>
      </c>
      <c r="H3563" s="13"/>
    </row>
    <row r="3564" ht="22.5" customHeight="1">
      <c r="B3564" s="17"/>
      <c r="C3564" s="17"/>
      <c r="D3564" s="13"/>
      <c r="E3564" s="11"/>
      <c r="F3564" s="11"/>
      <c r="G3564" s="13">
        <f t="shared" si="1"/>
        <v>1281</v>
      </c>
      <c r="H3564" s="13"/>
    </row>
    <row r="3565" ht="22.5" customHeight="1">
      <c r="B3565" s="17"/>
      <c r="C3565" s="17"/>
      <c r="D3565" s="13"/>
      <c r="E3565" s="11"/>
      <c r="F3565" s="11"/>
      <c r="G3565" s="13">
        <f t="shared" si="1"/>
        <v>1281</v>
      </c>
      <c r="H3565" s="13"/>
    </row>
    <row r="3566" ht="22.5" customHeight="1">
      <c r="B3566" s="17"/>
      <c r="C3566" s="17"/>
      <c r="D3566" s="13"/>
      <c r="E3566" s="11"/>
      <c r="F3566" s="11"/>
      <c r="G3566" s="13">
        <f t="shared" si="1"/>
        <v>1281</v>
      </c>
      <c r="H3566" s="13"/>
    </row>
    <row r="3567" ht="22.5" customHeight="1">
      <c r="B3567" s="17"/>
      <c r="C3567" s="17"/>
      <c r="D3567" s="13"/>
      <c r="E3567" s="11"/>
      <c r="F3567" s="11"/>
      <c r="G3567" s="13">
        <f t="shared" si="1"/>
        <v>1281</v>
      </c>
      <c r="H3567" s="13"/>
    </row>
    <row r="3568" ht="22.5" customHeight="1">
      <c r="B3568" s="17"/>
      <c r="C3568" s="17"/>
      <c r="D3568" s="13"/>
      <c r="E3568" s="11"/>
      <c r="F3568" s="11"/>
      <c r="G3568" s="13">
        <f t="shared" si="1"/>
        <v>1281</v>
      </c>
      <c r="H3568" s="13"/>
    </row>
    <row r="3569" ht="22.5" customHeight="1">
      <c r="B3569" s="17"/>
      <c r="C3569" s="17"/>
      <c r="D3569" s="13"/>
      <c r="E3569" s="11"/>
      <c r="F3569" s="11"/>
      <c r="G3569" s="13">
        <f t="shared" si="1"/>
        <v>1281</v>
      </c>
      <c r="H3569" s="13"/>
    </row>
    <row r="3570" ht="22.5" customHeight="1">
      <c r="B3570" s="17"/>
      <c r="C3570" s="17"/>
      <c r="D3570" s="13"/>
      <c r="E3570" s="11"/>
      <c r="F3570" s="11"/>
      <c r="G3570" s="13">
        <f t="shared" si="1"/>
        <v>1281</v>
      </c>
      <c r="H3570" s="13"/>
    </row>
    <row r="3571" ht="22.5" customHeight="1">
      <c r="B3571" s="17"/>
      <c r="C3571" s="17"/>
      <c r="D3571" s="13"/>
      <c r="E3571" s="11"/>
      <c r="F3571" s="11"/>
      <c r="G3571" s="13">
        <f t="shared" si="1"/>
        <v>1281</v>
      </c>
      <c r="H3571" s="13"/>
    </row>
    <row r="3572" ht="22.5" customHeight="1">
      <c r="B3572" s="17"/>
      <c r="C3572" s="17"/>
      <c r="D3572" s="13"/>
      <c r="E3572" s="11"/>
      <c r="F3572" s="11"/>
      <c r="G3572" s="13">
        <f t="shared" si="1"/>
        <v>1281</v>
      </c>
      <c r="H3572" s="13"/>
    </row>
    <row r="3573" ht="22.5" customHeight="1">
      <c r="B3573" s="17"/>
      <c r="C3573" s="17"/>
      <c r="D3573" s="13"/>
      <c r="E3573" s="11"/>
      <c r="F3573" s="11"/>
      <c r="G3573" s="13">
        <f t="shared" si="1"/>
        <v>1281</v>
      </c>
      <c r="H3573" s="13"/>
    </row>
    <row r="3574" ht="22.5" customHeight="1">
      <c r="B3574" s="17"/>
      <c r="C3574" s="17"/>
      <c r="D3574" s="13"/>
      <c r="E3574" s="11"/>
      <c r="F3574" s="11"/>
      <c r="G3574" s="13">
        <f t="shared" si="1"/>
        <v>1281</v>
      </c>
      <c r="H3574" s="13"/>
    </row>
    <row r="3575" ht="22.5" customHeight="1">
      <c r="B3575" s="17"/>
      <c r="C3575" s="17"/>
      <c r="D3575" s="13"/>
      <c r="E3575" s="11"/>
      <c r="F3575" s="11"/>
      <c r="G3575" s="13">
        <f t="shared" si="1"/>
        <v>1281</v>
      </c>
      <c r="H3575" s="13"/>
    </row>
    <row r="3576" ht="22.5" customHeight="1">
      <c r="B3576" s="17"/>
      <c r="C3576" s="17"/>
      <c r="D3576" s="13"/>
      <c r="E3576" s="11"/>
      <c r="F3576" s="11"/>
      <c r="G3576" s="13">
        <f t="shared" si="1"/>
        <v>1281</v>
      </c>
      <c r="H3576" s="13"/>
    </row>
    <row r="3577" ht="22.5" customHeight="1">
      <c r="B3577" s="17"/>
      <c r="C3577" s="17"/>
      <c r="D3577" s="13"/>
      <c r="E3577" s="11"/>
      <c r="F3577" s="11"/>
      <c r="G3577" s="13">
        <f t="shared" si="1"/>
        <v>1281</v>
      </c>
      <c r="H3577" s="13"/>
    </row>
    <row r="3578" ht="22.5" customHeight="1">
      <c r="B3578" s="17"/>
      <c r="C3578" s="17"/>
      <c r="D3578" s="13"/>
      <c r="E3578" s="11"/>
      <c r="F3578" s="11"/>
      <c r="G3578" s="13">
        <f t="shared" si="1"/>
        <v>1281</v>
      </c>
      <c r="H3578" s="13"/>
    </row>
    <row r="3579" ht="22.5" customHeight="1">
      <c r="B3579" s="17"/>
      <c r="C3579" s="17"/>
      <c r="D3579" s="13"/>
      <c r="E3579" s="11"/>
      <c r="F3579" s="11"/>
      <c r="G3579" s="13">
        <f t="shared" si="1"/>
        <v>1281</v>
      </c>
      <c r="H3579" s="13"/>
    </row>
    <row r="3580" ht="22.5" customHeight="1">
      <c r="B3580" s="17"/>
      <c r="C3580" s="17"/>
      <c r="D3580" s="13"/>
      <c r="E3580" s="11"/>
      <c r="F3580" s="11"/>
      <c r="G3580" s="13">
        <f t="shared" si="1"/>
        <v>1281</v>
      </c>
      <c r="H3580" s="13"/>
    </row>
    <row r="3581" ht="22.5" customHeight="1">
      <c r="B3581" s="17"/>
      <c r="C3581" s="17"/>
      <c r="D3581" s="13"/>
      <c r="E3581" s="11"/>
      <c r="F3581" s="11"/>
      <c r="G3581" s="13">
        <f t="shared" si="1"/>
        <v>1281</v>
      </c>
      <c r="H3581" s="13"/>
    </row>
    <row r="3582" ht="22.5" customHeight="1">
      <c r="B3582" s="17"/>
      <c r="C3582" s="17"/>
      <c r="D3582" s="13"/>
      <c r="E3582" s="11"/>
      <c r="F3582" s="11"/>
      <c r="G3582" s="13">
        <f t="shared" si="1"/>
        <v>1281</v>
      </c>
      <c r="H3582" s="13"/>
    </row>
    <row r="3583" ht="22.5" customHeight="1">
      <c r="B3583" s="17"/>
      <c r="C3583" s="17"/>
      <c r="D3583" s="13"/>
      <c r="E3583" s="11"/>
      <c r="F3583" s="11"/>
      <c r="G3583" s="13">
        <f t="shared" si="1"/>
        <v>1281</v>
      </c>
      <c r="H3583" s="13"/>
    </row>
    <row r="3584" ht="22.5" customHeight="1">
      <c r="B3584" s="17"/>
      <c r="C3584" s="17"/>
      <c r="D3584" s="13"/>
      <c r="E3584" s="11"/>
      <c r="F3584" s="11"/>
      <c r="G3584" s="13">
        <f t="shared" si="1"/>
        <v>1281</v>
      </c>
      <c r="H3584" s="13"/>
    </row>
    <row r="3585" ht="22.5" customHeight="1">
      <c r="B3585" s="17"/>
      <c r="C3585" s="17"/>
      <c r="D3585" s="13"/>
      <c r="E3585" s="11"/>
      <c r="F3585" s="11"/>
      <c r="G3585" s="13">
        <f t="shared" si="1"/>
        <v>1281</v>
      </c>
      <c r="H3585" s="13"/>
    </row>
    <row r="3586" ht="22.5" customHeight="1">
      <c r="B3586" s="17"/>
      <c r="C3586" s="17"/>
      <c r="D3586" s="13"/>
      <c r="E3586" s="11"/>
      <c r="F3586" s="11"/>
      <c r="G3586" s="13">
        <f t="shared" si="1"/>
        <v>1281</v>
      </c>
      <c r="H3586" s="13"/>
    </row>
    <row r="3587" ht="22.5" customHeight="1">
      <c r="B3587" s="17"/>
      <c r="C3587" s="17"/>
      <c r="D3587" s="13"/>
      <c r="E3587" s="11"/>
      <c r="F3587" s="11"/>
      <c r="G3587" s="13">
        <f t="shared" si="1"/>
        <v>1281</v>
      </c>
      <c r="H3587" s="13"/>
    </row>
    <row r="3588" ht="22.5" customHeight="1">
      <c r="B3588" s="17"/>
      <c r="C3588" s="17"/>
      <c r="D3588" s="13"/>
      <c r="E3588" s="11"/>
      <c r="F3588" s="11"/>
      <c r="G3588" s="13">
        <f t="shared" si="1"/>
        <v>1281</v>
      </c>
      <c r="H3588" s="13"/>
    </row>
    <row r="3589" ht="22.5" customHeight="1">
      <c r="B3589" s="17"/>
      <c r="C3589" s="17"/>
      <c r="D3589" s="13"/>
      <c r="E3589" s="11"/>
      <c r="F3589" s="11"/>
      <c r="G3589" s="13">
        <f t="shared" si="1"/>
        <v>1281</v>
      </c>
      <c r="H3589" s="13"/>
    </row>
    <row r="3590" ht="22.5" customHeight="1">
      <c r="B3590" s="17"/>
      <c r="C3590" s="17"/>
      <c r="D3590" s="13"/>
      <c r="E3590" s="11"/>
      <c r="F3590" s="11"/>
      <c r="G3590" s="13">
        <f t="shared" si="1"/>
        <v>1281</v>
      </c>
      <c r="H3590" s="13"/>
    </row>
    <row r="3591" ht="22.5" customHeight="1">
      <c r="B3591" s="17"/>
      <c r="C3591" s="17"/>
      <c r="D3591" s="13"/>
      <c r="E3591" s="11"/>
      <c r="F3591" s="11"/>
      <c r="G3591" s="13">
        <f t="shared" si="1"/>
        <v>1281</v>
      </c>
      <c r="H3591" s="13"/>
    </row>
    <row r="3592" ht="22.5" customHeight="1">
      <c r="B3592" s="17"/>
      <c r="C3592" s="17"/>
      <c r="D3592" s="13"/>
      <c r="E3592" s="11"/>
      <c r="F3592" s="11"/>
      <c r="G3592" s="13">
        <f t="shared" si="1"/>
        <v>1281</v>
      </c>
      <c r="H3592" s="13"/>
    </row>
    <row r="3593" ht="22.5" customHeight="1">
      <c r="B3593" s="17"/>
      <c r="C3593" s="17"/>
      <c r="D3593" s="13"/>
      <c r="E3593" s="11"/>
      <c r="F3593" s="11"/>
      <c r="G3593" s="13">
        <f t="shared" si="1"/>
        <v>1281</v>
      </c>
      <c r="H3593" s="13"/>
    </row>
    <row r="3594" ht="22.5" customHeight="1">
      <c r="B3594" s="17"/>
      <c r="C3594" s="17"/>
      <c r="D3594" s="13"/>
      <c r="E3594" s="11"/>
      <c r="F3594" s="11"/>
      <c r="G3594" s="13">
        <f t="shared" si="1"/>
        <v>1281</v>
      </c>
      <c r="H3594" s="13"/>
    </row>
    <row r="3595" ht="22.5" customHeight="1">
      <c r="B3595" s="17"/>
      <c r="C3595" s="17"/>
      <c r="D3595" s="13"/>
      <c r="E3595" s="11"/>
      <c r="F3595" s="11"/>
      <c r="G3595" s="13">
        <f t="shared" si="1"/>
        <v>1281</v>
      </c>
      <c r="H3595" s="13"/>
    </row>
    <row r="3596" ht="22.5" customHeight="1">
      <c r="B3596" s="17"/>
      <c r="C3596" s="17"/>
      <c r="D3596" s="13"/>
      <c r="E3596" s="11"/>
      <c r="F3596" s="11"/>
      <c r="G3596" s="13">
        <f t="shared" si="1"/>
        <v>1281</v>
      </c>
      <c r="H3596" s="13"/>
    </row>
    <row r="3597" ht="22.5" customHeight="1">
      <c r="B3597" s="17"/>
      <c r="C3597" s="17"/>
      <c r="D3597" s="13"/>
      <c r="E3597" s="11"/>
      <c r="F3597" s="11"/>
      <c r="G3597" s="13">
        <f t="shared" si="1"/>
        <v>1281</v>
      </c>
      <c r="H3597" s="13"/>
    </row>
    <row r="3598" ht="22.5" customHeight="1">
      <c r="B3598" s="17"/>
      <c r="C3598" s="17"/>
      <c r="D3598" s="13"/>
      <c r="E3598" s="11"/>
      <c r="F3598" s="11"/>
      <c r="G3598" s="13">
        <f t="shared" si="1"/>
        <v>1281</v>
      </c>
      <c r="H3598" s="13"/>
    </row>
    <row r="3599" ht="22.5" customHeight="1">
      <c r="B3599" s="17"/>
      <c r="C3599" s="17"/>
      <c r="D3599" s="13"/>
      <c r="E3599" s="11"/>
      <c r="F3599" s="11"/>
      <c r="G3599" s="13">
        <f t="shared" si="1"/>
        <v>1281</v>
      </c>
      <c r="H3599" s="13"/>
    </row>
    <row r="3600" ht="22.5" customHeight="1">
      <c r="B3600" s="17"/>
      <c r="C3600" s="17"/>
      <c r="D3600" s="13"/>
      <c r="E3600" s="11"/>
      <c r="F3600" s="11"/>
      <c r="G3600" s="13">
        <f t="shared" si="1"/>
        <v>1281</v>
      </c>
      <c r="H3600" s="13"/>
    </row>
    <row r="3601" ht="22.5" customHeight="1">
      <c r="B3601" s="17"/>
      <c r="C3601" s="17"/>
      <c r="D3601" s="13"/>
      <c r="E3601" s="11"/>
      <c r="F3601" s="11"/>
      <c r="G3601" s="13">
        <f t="shared" si="1"/>
        <v>1281</v>
      </c>
      <c r="H3601" s="13"/>
    </row>
    <row r="3602" ht="22.5" customHeight="1">
      <c r="B3602" s="17"/>
      <c r="C3602" s="17"/>
      <c r="D3602" s="13"/>
      <c r="E3602" s="11"/>
      <c r="F3602" s="11"/>
      <c r="G3602" s="13">
        <f t="shared" si="1"/>
        <v>1281</v>
      </c>
      <c r="H3602" s="13"/>
    </row>
    <row r="3603" ht="22.5" customHeight="1">
      <c r="B3603" s="17"/>
      <c r="C3603" s="17"/>
      <c r="D3603" s="13"/>
      <c r="E3603" s="11"/>
      <c r="F3603" s="11"/>
      <c r="G3603" s="13">
        <f t="shared" si="1"/>
        <v>1281</v>
      </c>
      <c r="H3603" s="13"/>
    </row>
    <row r="3604" ht="22.5" customHeight="1">
      <c r="B3604" s="17"/>
      <c r="C3604" s="17"/>
      <c r="D3604" s="13"/>
      <c r="E3604" s="11"/>
      <c r="F3604" s="11"/>
      <c r="G3604" s="13">
        <f t="shared" si="1"/>
        <v>1281</v>
      </c>
      <c r="H3604" s="13"/>
    </row>
    <row r="3605" ht="22.5" customHeight="1">
      <c r="B3605" s="17"/>
      <c r="C3605" s="17"/>
      <c r="D3605" s="13"/>
      <c r="E3605" s="11"/>
      <c r="F3605" s="11"/>
      <c r="G3605" s="13">
        <f t="shared" si="1"/>
        <v>1281</v>
      </c>
      <c r="H3605" s="13"/>
    </row>
    <row r="3606" ht="22.5" customHeight="1">
      <c r="B3606" s="17"/>
      <c r="C3606" s="17"/>
      <c r="D3606" s="13"/>
      <c r="E3606" s="11"/>
      <c r="F3606" s="11"/>
      <c r="G3606" s="13">
        <f t="shared" si="1"/>
        <v>1281</v>
      </c>
      <c r="H3606" s="13"/>
    </row>
    <row r="3607" ht="22.5" customHeight="1">
      <c r="B3607" s="17"/>
      <c r="C3607" s="17"/>
      <c r="D3607" s="13"/>
      <c r="E3607" s="11"/>
      <c r="F3607" s="11"/>
      <c r="G3607" s="13">
        <f t="shared" si="1"/>
        <v>1281</v>
      </c>
      <c r="H3607" s="13"/>
    </row>
    <row r="3608" ht="22.5" customHeight="1">
      <c r="B3608" s="17"/>
      <c r="C3608" s="17"/>
      <c r="D3608" s="13"/>
      <c r="E3608" s="11"/>
      <c r="F3608" s="11"/>
      <c r="G3608" s="13">
        <f t="shared" si="1"/>
        <v>1281</v>
      </c>
      <c r="H3608" s="13"/>
    </row>
    <row r="3609" ht="22.5" customHeight="1">
      <c r="B3609" s="17"/>
      <c r="C3609" s="17"/>
      <c r="D3609" s="13"/>
      <c r="E3609" s="11"/>
      <c r="F3609" s="11"/>
      <c r="G3609" s="13">
        <f t="shared" si="1"/>
        <v>1281</v>
      </c>
      <c r="H3609" s="13"/>
    </row>
    <row r="3610" ht="22.5" customHeight="1">
      <c r="B3610" s="17"/>
      <c r="C3610" s="17"/>
      <c r="D3610" s="13"/>
      <c r="E3610" s="11"/>
      <c r="F3610" s="11"/>
      <c r="G3610" s="13">
        <f t="shared" si="1"/>
        <v>1281</v>
      </c>
      <c r="H3610" s="13"/>
    </row>
    <row r="3611" ht="22.5" customHeight="1">
      <c r="B3611" s="17"/>
      <c r="C3611" s="17"/>
      <c r="D3611" s="13"/>
      <c r="E3611" s="11"/>
      <c r="F3611" s="11"/>
      <c r="G3611" s="13">
        <f t="shared" si="1"/>
        <v>1281</v>
      </c>
      <c r="H3611" s="13"/>
    </row>
    <row r="3612" ht="22.5" customHeight="1">
      <c r="B3612" s="17"/>
      <c r="C3612" s="17"/>
      <c r="D3612" s="13"/>
      <c r="E3612" s="11"/>
      <c r="F3612" s="11"/>
      <c r="G3612" s="13">
        <f t="shared" si="1"/>
        <v>1281</v>
      </c>
      <c r="H3612" s="13"/>
    </row>
    <row r="3613" ht="22.5" customHeight="1">
      <c r="B3613" s="17"/>
      <c r="C3613" s="17"/>
      <c r="D3613" s="13"/>
      <c r="E3613" s="11"/>
      <c r="F3613" s="11"/>
      <c r="G3613" s="13">
        <f t="shared" si="1"/>
        <v>1281</v>
      </c>
      <c r="H3613" s="13"/>
    </row>
    <row r="3614" ht="22.5" customHeight="1">
      <c r="B3614" s="17"/>
      <c r="C3614" s="17"/>
      <c r="D3614" s="13"/>
      <c r="E3614" s="11"/>
      <c r="F3614" s="11"/>
      <c r="G3614" s="13">
        <f t="shared" si="1"/>
        <v>1281</v>
      </c>
      <c r="H3614" s="13"/>
    </row>
    <row r="3615" ht="22.5" customHeight="1">
      <c r="B3615" s="17"/>
      <c r="C3615" s="17"/>
      <c r="D3615" s="13"/>
      <c r="E3615" s="11"/>
      <c r="F3615" s="11"/>
      <c r="G3615" s="13">
        <f t="shared" si="1"/>
        <v>1281</v>
      </c>
      <c r="H3615" s="13"/>
    </row>
    <row r="3616" ht="22.5" customHeight="1">
      <c r="B3616" s="17"/>
      <c r="C3616" s="17"/>
      <c r="D3616" s="13"/>
      <c r="E3616" s="11"/>
      <c r="F3616" s="11"/>
      <c r="G3616" s="13">
        <f t="shared" si="1"/>
        <v>1281</v>
      </c>
      <c r="H3616" s="13"/>
    </row>
    <row r="3617" ht="22.5" customHeight="1">
      <c r="B3617" s="17"/>
      <c r="C3617" s="17"/>
      <c r="D3617" s="13"/>
      <c r="E3617" s="11"/>
      <c r="F3617" s="11"/>
      <c r="G3617" s="13">
        <f t="shared" si="1"/>
        <v>1281</v>
      </c>
      <c r="H3617" s="13"/>
    </row>
    <row r="3618" ht="22.5" customHeight="1">
      <c r="B3618" s="17"/>
      <c r="C3618" s="17"/>
      <c r="D3618" s="13"/>
      <c r="E3618" s="11"/>
      <c r="F3618" s="11"/>
      <c r="G3618" s="13">
        <f t="shared" si="1"/>
        <v>1281</v>
      </c>
      <c r="H3618" s="13"/>
    </row>
    <row r="3619" ht="22.5" customHeight="1">
      <c r="B3619" s="17"/>
      <c r="C3619" s="17"/>
      <c r="D3619" s="13"/>
      <c r="E3619" s="11"/>
      <c r="F3619" s="11"/>
      <c r="G3619" s="13">
        <f t="shared" si="1"/>
        <v>1281</v>
      </c>
      <c r="H3619" s="13"/>
    </row>
    <row r="3620" ht="22.5" customHeight="1">
      <c r="B3620" s="17"/>
      <c r="C3620" s="17"/>
      <c r="D3620" s="13"/>
      <c r="E3620" s="11"/>
      <c r="F3620" s="11"/>
      <c r="G3620" s="13">
        <f t="shared" si="1"/>
        <v>1281</v>
      </c>
      <c r="H3620" s="13"/>
    </row>
    <row r="3621" ht="22.5" customHeight="1">
      <c r="B3621" s="17"/>
      <c r="C3621" s="17"/>
      <c r="D3621" s="13"/>
      <c r="E3621" s="11"/>
      <c r="F3621" s="11"/>
      <c r="G3621" s="13">
        <f t="shared" si="1"/>
        <v>1281</v>
      </c>
      <c r="H3621" s="13"/>
    </row>
    <row r="3622" ht="22.5" customHeight="1">
      <c r="B3622" s="17"/>
      <c r="C3622" s="17"/>
      <c r="D3622" s="13"/>
      <c r="E3622" s="11"/>
      <c r="F3622" s="11"/>
      <c r="G3622" s="13">
        <f t="shared" si="1"/>
        <v>1281</v>
      </c>
      <c r="H3622" s="13"/>
    </row>
    <row r="3623" ht="22.5" customHeight="1">
      <c r="B3623" s="17"/>
      <c r="C3623" s="17"/>
      <c r="D3623" s="13"/>
      <c r="E3623" s="11"/>
      <c r="F3623" s="11"/>
      <c r="G3623" s="13">
        <f t="shared" si="1"/>
        <v>1281</v>
      </c>
      <c r="H3623" s="13"/>
    </row>
    <row r="3624" ht="22.5" customHeight="1">
      <c r="B3624" s="17"/>
      <c r="C3624" s="17"/>
      <c r="D3624" s="13"/>
      <c r="E3624" s="11"/>
      <c r="F3624" s="11"/>
      <c r="G3624" s="13">
        <f t="shared" si="1"/>
        <v>1281</v>
      </c>
      <c r="H3624" s="13"/>
    </row>
    <row r="3625" ht="22.5" customHeight="1">
      <c r="B3625" s="17"/>
      <c r="C3625" s="17"/>
      <c r="D3625" s="13"/>
      <c r="E3625" s="11"/>
      <c r="F3625" s="11"/>
      <c r="G3625" s="13">
        <f t="shared" si="1"/>
        <v>1281</v>
      </c>
      <c r="H3625" s="13"/>
    </row>
    <row r="3626" ht="22.5" customHeight="1">
      <c r="B3626" s="17"/>
      <c r="C3626" s="17"/>
      <c r="D3626" s="13"/>
      <c r="E3626" s="11"/>
      <c r="F3626" s="11"/>
      <c r="G3626" s="13">
        <f t="shared" si="1"/>
        <v>1281</v>
      </c>
      <c r="H3626" s="13"/>
    </row>
    <row r="3627" ht="22.5" customHeight="1">
      <c r="B3627" s="17"/>
      <c r="C3627" s="17"/>
      <c r="D3627" s="13"/>
      <c r="E3627" s="11"/>
      <c r="F3627" s="11"/>
      <c r="G3627" s="13">
        <f t="shared" si="1"/>
        <v>1281</v>
      </c>
      <c r="H3627" s="13"/>
    </row>
    <row r="3628" ht="22.5" customHeight="1">
      <c r="B3628" s="17"/>
      <c r="C3628" s="17"/>
      <c r="D3628" s="13"/>
      <c r="E3628" s="11"/>
      <c r="F3628" s="11"/>
      <c r="G3628" s="13">
        <f t="shared" si="1"/>
        <v>1281</v>
      </c>
      <c r="H3628" s="13"/>
    </row>
    <row r="3629" ht="22.5" customHeight="1">
      <c r="B3629" s="17"/>
      <c r="C3629" s="17"/>
      <c r="D3629" s="13"/>
      <c r="E3629" s="11"/>
      <c r="F3629" s="11"/>
      <c r="G3629" s="13">
        <f t="shared" si="1"/>
        <v>1281</v>
      </c>
      <c r="H3629" s="13"/>
    </row>
    <row r="3630" ht="22.5" customHeight="1">
      <c r="B3630" s="17"/>
      <c r="C3630" s="17"/>
      <c r="D3630" s="13"/>
      <c r="E3630" s="11"/>
      <c r="F3630" s="11"/>
      <c r="G3630" s="13">
        <f t="shared" si="1"/>
        <v>1281</v>
      </c>
      <c r="H3630" s="13"/>
    </row>
    <row r="3631" ht="22.5" customHeight="1">
      <c r="B3631" s="17"/>
      <c r="C3631" s="17"/>
      <c r="D3631" s="13"/>
      <c r="E3631" s="11"/>
      <c r="F3631" s="11"/>
      <c r="G3631" s="13">
        <f t="shared" si="1"/>
        <v>1281</v>
      </c>
      <c r="H3631" s="13"/>
    </row>
    <row r="3632" ht="22.5" customHeight="1">
      <c r="B3632" s="17"/>
      <c r="C3632" s="17"/>
      <c r="D3632" s="13"/>
      <c r="E3632" s="11"/>
      <c r="F3632" s="11"/>
      <c r="G3632" s="13">
        <f t="shared" si="1"/>
        <v>1281</v>
      </c>
      <c r="H3632" s="13"/>
    </row>
    <row r="3633" ht="22.5" customHeight="1">
      <c r="B3633" s="17"/>
      <c r="C3633" s="17"/>
      <c r="D3633" s="13"/>
      <c r="E3633" s="11"/>
      <c r="F3633" s="11"/>
      <c r="G3633" s="13">
        <f t="shared" si="1"/>
        <v>1281</v>
      </c>
      <c r="H3633" s="13"/>
    </row>
    <row r="3634" ht="22.5" customHeight="1">
      <c r="B3634" s="17"/>
      <c r="C3634" s="17"/>
      <c r="D3634" s="13"/>
      <c r="E3634" s="11"/>
      <c r="F3634" s="11"/>
      <c r="G3634" s="13">
        <f t="shared" si="1"/>
        <v>1281</v>
      </c>
      <c r="H3634" s="13"/>
    </row>
    <row r="3635" ht="22.5" customHeight="1">
      <c r="B3635" s="17"/>
      <c r="C3635" s="17"/>
      <c r="D3635" s="13"/>
      <c r="E3635" s="11"/>
      <c r="F3635" s="11"/>
      <c r="G3635" s="13">
        <f t="shared" si="1"/>
        <v>1281</v>
      </c>
      <c r="H3635" s="13"/>
    </row>
    <row r="3636" ht="22.5" customHeight="1">
      <c r="B3636" s="17"/>
      <c r="C3636" s="17"/>
      <c r="D3636" s="13"/>
      <c r="E3636" s="11"/>
      <c r="F3636" s="11"/>
      <c r="G3636" s="13">
        <f t="shared" si="1"/>
        <v>1281</v>
      </c>
      <c r="H3636" s="13"/>
    </row>
    <row r="3637" ht="22.5" customHeight="1">
      <c r="B3637" s="17"/>
      <c r="C3637" s="17"/>
      <c r="D3637" s="13"/>
      <c r="E3637" s="11"/>
      <c r="F3637" s="11"/>
      <c r="G3637" s="13">
        <f t="shared" si="1"/>
        <v>1281</v>
      </c>
      <c r="H3637" s="13"/>
    </row>
    <row r="3638" ht="22.5" customHeight="1">
      <c r="B3638" s="17"/>
      <c r="C3638" s="17"/>
      <c r="D3638" s="13"/>
      <c r="E3638" s="11"/>
      <c r="F3638" s="11"/>
      <c r="G3638" s="13">
        <f t="shared" si="1"/>
        <v>1281</v>
      </c>
      <c r="H3638" s="13"/>
    </row>
    <row r="3639" ht="22.5" customHeight="1">
      <c r="B3639" s="17"/>
      <c r="C3639" s="17"/>
      <c r="D3639" s="13"/>
      <c r="E3639" s="11"/>
      <c r="F3639" s="11"/>
      <c r="G3639" s="13">
        <f t="shared" si="1"/>
        <v>1281</v>
      </c>
      <c r="H3639" s="13"/>
    </row>
    <row r="3640" ht="22.5" customHeight="1">
      <c r="B3640" s="17"/>
      <c r="C3640" s="17"/>
      <c r="D3640" s="13"/>
      <c r="E3640" s="11"/>
      <c r="F3640" s="11"/>
      <c r="G3640" s="13">
        <f t="shared" si="1"/>
        <v>1281</v>
      </c>
      <c r="H3640" s="13"/>
    </row>
    <row r="3641" ht="22.5" customHeight="1">
      <c r="B3641" s="17"/>
      <c r="C3641" s="17"/>
      <c r="D3641" s="13"/>
      <c r="E3641" s="11"/>
      <c r="F3641" s="11"/>
      <c r="G3641" s="13">
        <f t="shared" si="1"/>
        <v>1281</v>
      </c>
      <c r="H3641" s="13"/>
    </row>
    <row r="3642" ht="22.5" customHeight="1">
      <c r="B3642" s="17"/>
      <c r="C3642" s="17"/>
      <c r="D3642" s="13"/>
      <c r="E3642" s="11"/>
      <c r="F3642" s="11"/>
      <c r="G3642" s="13">
        <f t="shared" si="1"/>
        <v>1281</v>
      </c>
      <c r="H3642" s="13"/>
    </row>
    <row r="3643" ht="22.5" customHeight="1">
      <c r="B3643" s="17"/>
      <c r="C3643" s="17"/>
      <c r="D3643" s="13"/>
      <c r="E3643" s="11"/>
      <c r="F3643" s="11"/>
      <c r="G3643" s="13">
        <f t="shared" si="1"/>
        <v>1281</v>
      </c>
      <c r="H3643" s="13"/>
    </row>
    <row r="3644" ht="22.5" customHeight="1">
      <c r="B3644" s="17"/>
      <c r="C3644" s="17"/>
      <c r="D3644" s="13"/>
      <c r="E3644" s="11"/>
      <c r="F3644" s="11"/>
      <c r="G3644" s="13">
        <f t="shared" si="1"/>
        <v>1281</v>
      </c>
      <c r="H3644" s="13"/>
    </row>
    <row r="3645" ht="22.5" customHeight="1">
      <c r="B3645" s="17"/>
      <c r="C3645" s="17"/>
      <c r="D3645" s="13"/>
      <c r="E3645" s="11"/>
      <c r="F3645" s="11"/>
      <c r="G3645" s="13">
        <f t="shared" si="1"/>
        <v>1281</v>
      </c>
      <c r="H3645" s="13"/>
    </row>
    <row r="3646" ht="22.5" customHeight="1">
      <c r="B3646" s="17"/>
      <c r="C3646" s="17"/>
      <c r="D3646" s="13"/>
      <c r="E3646" s="11"/>
      <c r="F3646" s="11"/>
      <c r="G3646" s="13">
        <f t="shared" si="1"/>
        <v>1281</v>
      </c>
      <c r="H3646" s="13"/>
    </row>
    <row r="3647" ht="22.5" customHeight="1">
      <c r="B3647" s="17"/>
      <c r="C3647" s="17"/>
      <c r="D3647" s="13"/>
      <c r="E3647" s="11"/>
      <c r="F3647" s="11"/>
      <c r="G3647" s="13">
        <f t="shared" si="1"/>
        <v>1281</v>
      </c>
      <c r="H3647" s="13"/>
    </row>
    <row r="3648" ht="22.5" customHeight="1">
      <c r="B3648" s="17"/>
      <c r="C3648" s="17"/>
      <c r="D3648" s="13"/>
      <c r="E3648" s="11"/>
      <c r="F3648" s="11"/>
      <c r="G3648" s="13">
        <f t="shared" si="1"/>
        <v>1281</v>
      </c>
      <c r="H3648" s="13"/>
    </row>
    <row r="3649" ht="22.5" customHeight="1">
      <c r="B3649" s="17"/>
      <c r="C3649" s="17"/>
      <c r="D3649" s="13"/>
      <c r="E3649" s="11"/>
      <c r="F3649" s="11"/>
      <c r="G3649" s="13">
        <f t="shared" si="1"/>
        <v>1281</v>
      </c>
      <c r="H3649" s="13"/>
    </row>
    <row r="3650" ht="22.5" customHeight="1">
      <c r="B3650" s="17"/>
      <c r="C3650" s="17"/>
      <c r="D3650" s="13"/>
      <c r="E3650" s="11"/>
      <c r="F3650" s="11"/>
      <c r="G3650" s="13">
        <f t="shared" si="1"/>
        <v>1281</v>
      </c>
      <c r="H3650" s="13"/>
    </row>
    <row r="3651" ht="22.5" customHeight="1">
      <c r="B3651" s="17"/>
      <c r="C3651" s="17"/>
      <c r="D3651" s="13"/>
      <c r="E3651" s="11"/>
      <c r="F3651" s="11"/>
      <c r="G3651" s="13">
        <f t="shared" si="1"/>
        <v>1281</v>
      </c>
      <c r="H3651" s="13"/>
    </row>
    <row r="3652" ht="22.5" customHeight="1">
      <c r="B3652" s="17"/>
      <c r="C3652" s="17"/>
      <c r="D3652" s="13"/>
      <c r="E3652" s="11"/>
      <c r="F3652" s="11"/>
      <c r="G3652" s="13">
        <f t="shared" si="1"/>
        <v>1281</v>
      </c>
      <c r="H3652" s="13"/>
    </row>
    <row r="3653" ht="22.5" customHeight="1">
      <c r="B3653" s="17"/>
      <c r="C3653" s="17"/>
      <c r="D3653" s="13"/>
      <c r="E3653" s="11"/>
      <c r="F3653" s="11"/>
      <c r="G3653" s="13">
        <f t="shared" si="1"/>
        <v>1281</v>
      </c>
      <c r="H3653" s="13"/>
    </row>
    <row r="3654" ht="22.5" customHeight="1">
      <c r="B3654" s="17"/>
      <c r="C3654" s="17"/>
      <c r="D3654" s="13"/>
      <c r="E3654" s="11"/>
      <c r="F3654" s="11"/>
      <c r="G3654" s="13">
        <f t="shared" si="1"/>
        <v>1281</v>
      </c>
      <c r="H3654" s="13"/>
    </row>
    <row r="3655" ht="22.5" customHeight="1">
      <c r="B3655" s="17"/>
      <c r="C3655" s="17"/>
      <c r="D3655" s="13"/>
      <c r="E3655" s="11"/>
      <c r="F3655" s="11"/>
      <c r="G3655" s="13">
        <f t="shared" si="1"/>
        <v>1281</v>
      </c>
      <c r="H3655" s="13"/>
    </row>
    <row r="3656" ht="22.5" customHeight="1">
      <c r="B3656" s="17"/>
      <c r="C3656" s="17"/>
      <c r="D3656" s="13"/>
      <c r="E3656" s="11"/>
      <c r="F3656" s="11"/>
      <c r="G3656" s="13">
        <f t="shared" si="1"/>
        <v>1281</v>
      </c>
      <c r="H3656" s="13"/>
    </row>
    <row r="3657" ht="22.5" customHeight="1">
      <c r="B3657" s="17"/>
      <c r="C3657" s="17"/>
      <c r="D3657" s="13"/>
      <c r="E3657" s="11"/>
      <c r="F3657" s="11"/>
      <c r="G3657" s="13">
        <f t="shared" si="1"/>
        <v>1281</v>
      </c>
      <c r="H3657" s="13"/>
    </row>
    <row r="3658" ht="22.5" customHeight="1">
      <c r="B3658" s="17"/>
      <c r="C3658" s="17"/>
      <c r="D3658" s="13"/>
      <c r="E3658" s="11"/>
      <c r="F3658" s="11"/>
      <c r="G3658" s="13">
        <f t="shared" si="1"/>
        <v>1281</v>
      </c>
      <c r="H3658" s="13"/>
    </row>
    <row r="3659" ht="22.5" customHeight="1">
      <c r="B3659" s="17"/>
      <c r="C3659" s="17"/>
      <c r="D3659" s="13"/>
      <c r="E3659" s="11"/>
      <c r="F3659" s="11"/>
      <c r="G3659" s="13">
        <f t="shared" si="1"/>
        <v>1281</v>
      </c>
      <c r="H3659" s="13"/>
    </row>
    <row r="3660" ht="22.5" customHeight="1">
      <c r="B3660" s="17"/>
      <c r="C3660" s="17"/>
      <c r="D3660" s="13"/>
      <c r="E3660" s="11"/>
      <c r="F3660" s="11"/>
      <c r="G3660" s="13">
        <f t="shared" si="1"/>
        <v>1281</v>
      </c>
      <c r="H3660" s="13"/>
    </row>
    <row r="3661" ht="22.5" customHeight="1">
      <c r="B3661" s="17"/>
      <c r="C3661" s="17"/>
      <c r="D3661" s="13"/>
      <c r="E3661" s="11"/>
      <c r="F3661" s="11"/>
      <c r="G3661" s="13">
        <f t="shared" si="1"/>
        <v>1281</v>
      </c>
      <c r="H3661" s="13"/>
    </row>
    <row r="3662" ht="22.5" customHeight="1">
      <c r="B3662" s="17"/>
      <c r="C3662" s="17"/>
      <c r="D3662" s="13"/>
      <c r="E3662" s="11"/>
      <c r="F3662" s="11"/>
      <c r="G3662" s="13">
        <f t="shared" si="1"/>
        <v>1281</v>
      </c>
      <c r="H3662" s="13"/>
    </row>
    <row r="3663" ht="22.5" customHeight="1">
      <c r="B3663" s="17"/>
      <c r="C3663" s="17"/>
      <c r="D3663" s="13"/>
      <c r="E3663" s="11"/>
      <c r="F3663" s="11"/>
      <c r="G3663" s="13">
        <f t="shared" si="1"/>
        <v>1281</v>
      </c>
      <c r="H3663" s="13"/>
    </row>
    <row r="3664" ht="22.5" customHeight="1">
      <c r="B3664" s="17"/>
      <c r="C3664" s="17"/>
      <c r="D3664" s="13"/>
      <c r="E3664" s="11"/>
      <c r="F3664" s="11"/>
      <c r="G3664" s="13">
        <f t="shared" si="1"/>
        <v>1281</v>
      </c>
      <c r="H3664" s="13"/>
    </row>
    <row r="3665" ht="22.5" customHeight="1">
      <c r="B3665" s="17"/>
      <c r="C3665" s="17"/>
      <c r="D3665" s="13"/>
      <c r="E3665" s="11"/>
      <c r="F3665" s="11"/>
      <c r="G3665" s="13">
        <f t="shared" si="1"/>
        <v>1281</v>
      </c>
      <c r="H3665" s="13"/>
    </row>
    <row r="3666" ht="22.5" customHeight="1">
      <c r="B3666" s="17"/>
      <c r="C3666" s="17"/>
      <c r="D3666" s="13"/>
      <c r="E3666" s="11"/>
      <c r="F3666" s="11"/>
      <c r="G3666" s="13">
        <f t="shared" si="1"/>
        <v>1281</v>
      </c>
      <c r="H3666" s="13"/>
    </row>
    <row r="3667" ht="22.5" customHeight="1">
      <c r="B3667" s="17"/>
      <c r="C3667" s="17"/>
      <c r="D3667" s="13"/>
      <c r="E3667" s="11"/>
      <c r="F3667" s="11"/>
      <c r="G3667" s="13">
        <f t="shared" si="1"/>
        <v>1281</v>
      </c>
      <c r="H3667" s="13"/>
    </row>
    <row r="3668" ht="22.5" customHeight="1">
      <c r="B3668" s="17"/>
      <c r="C3668" s="17"/>
      <c r="D3668" s="13"/>
      <c r="E3668" s="11"/>
      <c r="F3668" s="11"/>
      <c r="G3668" s="13">
        <f t="shared" si="1"/>
        <v>1281</v>
      </c>
      <c r="H3668" s="13"/>
    </row>
    <row r="3669" ht="22.5" customHeight="1">
      <c r="B3669" s="17"/>
      <c r="C3669" s="17"/>
      <c r="D3669" s="13"/>
      <c r="E3669" s="11"/>
      <c r="F3669" s="11"/>
      <c r="G3669" s="13">
        <f t="shared" si="1"/>
        <v>1281</v>
      </c>
      <c r="H3669" s="13"/>
    </row>
    <row r="3670" ht="22.5" customHeight="1">
      <c r="B3670" s="17"/>
      <c r="C3670" s="17"/>
      <c r="D3670" s="13"/>
      <c r="E3670" s="11"/>
      <c r="F3670" s="11"/>
      <c r="G3670" s="13">
        <f t="shared" si="1"/>
        <v>1281</v>
      </c>
      <c r="H3670" s="13"/>
    </row>
    <row r="3671" ht="22.5" customHeight="1">
      <c r="B3671" s="17"/>
      <c r="C3671" s="17"/>
      <c r="D3671" s="13"/>
      <c r="E3671" s="11"/>
      <c r="F3671" s="11"/>
      <c r="G3671" s="13">
        <f t="shared" si="1"/>
        <v>1281</v>
      </c>
      <c r="H3671" s="13"/>
    </row>
    <row r="3672" ht="22.5" customHeight="1">
      <c r="B3672" s="17"/>
      <c r="C3672" s="17"/>
      <c r="D3672" s="13"/>
      <c r="E3672" s="11"/>
      <c r="F3672" s="11"/>
      <c r="G3672" s="13">
        <f t="shared" si="1"/>
        <v>1281</v>
      </c>
      <c r="H3672" s="13"/>
    </row>
    <row r="3673" ht="22.5" customHeight="1">
      <c r="B3673" s="17"/>
      <c r="C3673" s="17"/>
      <c r="D3673" s="13"/>
      <c r="E3673" s="11"/>
      <c r="F3673" s="11"/>
      <c r="G3673" s="13">
        <f t="shared" si="1"/>
        <v>1281</v>
      </c>
      <c r="H3673" s="13"/>
    </row>
    <row r="3674" ht="22.5" customHeight="1">
      <c r="B3674" s="17"/>
      <c r="C3674" s="17"/>
      <c r="D3674" s="13"/>
      <c r="E3674" s="11"/>
      <c r="F3674" s="11"/>
      <c r="G3674" s="13">
        <f t="shared" si="1"/>
        <v>1281</v>
      </c>
      <c r="H3674" s="13"/>
    </row>
    <row r="3675" ht="22.5" customHeight="1">
      <c r="B3675" s="17"/>
      <c r="C3675" s="17"/>
      <c r="D3675" s="13"/>
      <c r="E3675" s="11"/>
      <c r="F3675" s="11"/>
      <c r="G3675" s="13">
        <f t="shared" si="1"/>
        <v>1281</v>
      </c>
      <c r="H3675" s="13"/>
    </row>
    <row r="3676" ht="22.5" customHeight="1">
      <c r="B3676" s="17"/>
      <c r="C3676" s="17"/>
      <c r="D3676" s="13"/>
      <c r="E3676" s="11"/>
      <c r="F3676" s="11"/>
      <c r="G3676" s="13">
        <f t="shared" si="1"/>
        <v>1281</v>
      </c>
      <c r="H3676" s="13"/>
    </row>
    <row r="3677" ht="22.5" customHeight="1">
      <c r="B3677" s="17"/>
      <c r="C3677" s="17"/>
      <c r="D3677" s="13"/>
      <c r="E3677" s="11"/>
      <c r="F3677" s="11"/>
      <c r="G3677" s="13">
        <f t="shared" si="1"/>
        <v>1281</v>
      </c>
      <c r="H3677" s="13"/>
    </row>
    <row r="3678" ht="22.5" customHeight="1">
      <c r="B3678" s="17"/>
      <c r="C3678" s="17"/>
      <c r="D3678" s="13"/>
      <c r="E3678" s="11"/>
      <c r="F3678" s="11"/>
      <c r="G3678" s="13">
        <f t="shared" si="1"/>
        <v>1281</v>
      </c>
      <c r="H3678" s="13"/>
    </row>
    <row r="3679" ht="22.5" customHeight="1">
      <c r="B3679" s="17"/>
      <c r="C3679" s="17"/>
      <c r="D3679" s="13"/>
      <c r="E3679" s="11"/>
      <c r="F3679" s="11"/>
      <c r="G3679" s="13">
        <f t="shared" si="1"/>
        <v>1281</v>
      </c>
      <c r="H3679" s="13"/>
    </row>
    <row r="3680" ht="22.5" customHeight="1">
      <c r="B3680" s="17"/>
      <c r="C3680" s="17"/>
      <c r="D3680" s="13"/>
      <c r="E3680" s="11"/>
      <c r="F3680" s="11"/>
      <c r="G3680" s="13">
        <f t="shared" si="1"/>
        <v>1281</v>
      </c>
      <c r="H3680" s="13"/>
    </row>
    <row r="3681" ht="22.5" customHeight="1">
      <c r="B3681" s="17"/>
      <c r="C3681" s="17"/>
      <c r="D3681" s="13"/>
      <c r="E3681" s="11"/>
      <c r="F3681" s="11"/>
      <c r="G3681" s="13">
        <f t="shared" si="1"/>
        <v>1281</v>
      </c>
      <c r="H3681" s="13"/>
    </row>
    <row r="3682" ht="22.5" customHeight="1">
      <c r="B3682" s="17"/>
      <c r="C3682" s="17"/>
      <c r="D3682" s="13"/>
      <c r="E3682" s="11"/>
      <c r="F3682" s="11"/>
      <c r="G3682" s="13">
        <f t="shared" si="1"/>
        <v>1281</v>
      </c>
      <c r="H3682" s="13"/>
    </row>
    <row r="3683" ht="22.5" customHeight="1">
      <c r="B3683" s="17"/>
      <c r="C3683" s="17"/>
      <c r="D3683" s="13"/>
      <c r="E3683" s="11"/>
      <c r="F3683" s="11"/>
      <c r="G3683" s="13">
        <f t="shared" si="1"/>
        <v>1281</v>
      </c>
      <c r="H3683" s="13"/>
    </row>
    <row r="3684" ht="22.5" customHeight="1">
      <c r="B3684" s="17"/>
      <c r="C3684" s="17"/>
      <c r="D3684" s="13"/>
      <c r="E3684" s="11"/>
      <c r="F3684" s="11"/>
      <c r="G3684" s="13">
        <f t="shared" si="1"/>
        <v>1281</v>
      </c>
      <c r="H3684" s="13"/>
    </row>
    <row r="3685" ht="22.5" customHeight="1">
      <c r="B3685" s="17"/>
      <c r="C3685" s="17"/>
      <c r="D3685" s="13"/>
      <c r="E3685" s="11"/>
      <c r="F3685" s="11"/>
      <c r="G3685" s="13">
        <f t="shared" si="1"/>
        <v>1281</v>
      </c>
      <c r="H3685" s="13"/>
    </row>
    <row r="3686" ht="22.5" customHeight="1">
      <c r="B3686" s="17"/>
      <c r="C3686" s="17"/>
      <c r="D3686" s="13"/>
      <c r="E3686" s="11"/>
      <c r="F3686" s="11"/>
      <c r="G3686" s="13">
        <f t="shared" si="1"/>
        <v>1281</v>
      </c>
      <c r="H3686" s="13"/>
    </row>
    <row r="3687" ht="22.5" customHeight="1">
      <c r="B3687" s="17"/>
      <c r="C3687" s="17"/>
      <c r="D3687" s="13"/>
      <c r="E3687" s="11"/>
      <c r="F3687" s="11"/>
      <c r="G3687" s="13">
        <f t="shared" si="1"/>
        <v>1281</v>
      </c>
      <c r="H3687" s="13"/>
    </row>
    <row r="3688" ht="22.5" customHeight="1">
      <c r="B3688" s="17"/>
      <c r="C3688" s="17"/>
      <c r="D3688" s="13"/>
      <c r="E3688" s="11"/>
      <c r="F3688" s="11"/>
      <c r="G3688" s="13">
        <f t="shared" si="1"/>
        <v>1281</v>
      </c>
      <c r="H3688" s="13"/>
    </row>
    <row r="3689" ht="22.5" customHeight="1">
      <c r="B3689" s="17"/>
      <c r="C3689" s="17"/>
      <c r="D3689" s="13"/>
      <c r="E3689" s="11"/>
      <c r="F3689" s="11"/>
      <c r="G3689" s="13">
        <f t="shared" si="1"/>
        <v>1281</v>
      </c>
      <c r="H3689" s="13"/>
    </row>
    <row r="3690" ht="22.5" customHeight="1">
      <c r="B3690" s="17"/>
      <c r="C3690" s="17"/>
      <c r="D3690" s="13"/>
      <c r="E3690" s="11"/>
      <c r="F3690" s="11"/>
      <c r="G3690" s="13">
        <f t="shared" si="1"/>
        <v>1281</v>
      </c>
      <c r="H3690" s="13"/>
    </row>
    <row r="3691" ht="22.5" customHeight="1">
      <c r="B3691" s="17"/>
      <c r="C3691" s="17"/>
      <c r="D3691" s="13"/>
      <c r="E3691" s="11"/>
      <c r="F3691" s="11"/>
      <c r="G3691" s="13">
        <f t="shared" si="1"/>
        <v>1281</v>
      </c>
      <c r="H3691" s="13"/>
    </row>
    <row r="3692" ht="22.5" customHeight="1">
      <c r="B3692" s="17"/>
      <c r="C3692" s="17"/>
      <c r="D3692" s="13"/>
      <c r="E3692" s="11"/>
      <c r="F3692" s="11"/>
      <c r="G3692" s="13">
        <f t="shared" si="1"/>
        <v>1281</v>
      </c>
      <c r="H3692" s="13"/>
    </row>
    <row r="3693" ht="22.5" customHeight="1">
      <c r="B3693" s="17"/>
      <c r="C3693" s="17"/>
      <c r="D3693" s="13"/>
      <c r="E3693" s="11"/>
      <c r="F3693" s="11"/>
      <c r="G3693" s="13">
        <f t="shared" si="1"/>
        <v>1281</v>
      </c>
      <c r="H3693" s="13"/>
    </row>
    <row r="3694" ht="22.5" customHeight="1">
      <c r="B3694" s="17"/>
      <c r="C3694" s="17"/>
      <c r="D3694" s="13"/>
      <c r="E3694" s="11"/>
      <c r="F3694" s="11"/>
      <c r="G3694" s="13">
        <f t="shared" si="1"/>
        <v>1281</v>
      </c>
      <c r="H3694" s="13"/>
    </row>
    <row r="3695" ht="22.5" customHeight="1">
      <c r="B3695" s="17"/>
      <c r="C3695" s="17"/>
      <c r="D3695" s="13"/>
      <c r="E3695" s="11"/>
      <c r="F3695" s="11"/>
      <c r="G3695" s="13">
        <f t="shared" si="1"/>
        <v>1281</v>
      </c>
      <c r="H3695" s="13"/>
    </row>
    <row r="3696" ht="22.5" customHeight="1">
      <c r="B3696" s="17"/>
      <c r="C3696" s="17"/>
      <c r="D3696" s="13"/>
      <c r="E3696" s="11"/>
      <c r="F3696" s="11"/>
      <c r="G3696" s="13">
        <f t="shared" si="1"/>
        <v>1281</v>
      </c>
      <c r="H3696" s="13"/>
    </row>
    <row r="3697" ht="22.5" customHeight="1">
      <c r="B3697" s="17"/>
      <c r="C3697" s="17"/>
      <c r="D3697" s="13"/>
      <c r="E3697" s="11"/>
      <c r="F3697" s="11"/>
      <c r="G3697" s="13">
        <f t="shared" si="1"/>
        <v>1281</v>
      </c>
      <c r="H3697" s="13"/>
    </row>
    <row r="3698" ht="22.5" customHeight="1">
      <c r="B3698" s="17"/>
      <c r="C3698" s="17"/>
      <c r="D3698" s="13"/>
      <c r="E3698" s="11"/>
      <c r="F3698" s="11"/>
      <c r="G3698" s="13">
        <f t="shared" si="1"/>
        <v>1281</v>
      </c>
      <c r="H3698" s="13"/>
    </row>
    <row r="3699" ht="22.5" customHeight="1">
      <c r="B3699" s="17"/>
      <c r="C3699" s="17"/>
      <c r="D3699" s="13"/>
      <c r="E3699" s="11"/>
      <c r="F3699" s="11"/>
      <c r="G3699" s="13">
        <f t="shared" si="1"/>
        <v>1281</v>
      </c>
      <c r="H3699" s="13"/>
    </row>
    <row r="3700" ht="22.5" customHeight="1">
      <c r="B3700" s="17"/>
      <c r="C3700" s="17"/>
      <c r="D3700" s="13"/>
      <c r="E3700" s="11"/>
      <c r="F3700" s="11"/>
      <c r="G3700" s="13">
        <f t="shared" si="1"/>
        <v>1281</v>
      </c>
      <c r="H3700" s="13"/>
    </row>
    <row r="3701" ht="22.5" customHeight="1">
      <c r="B3701" s="17"/>
      <c r="C3701" s="17"/>
      <c r="D3701" s="13"/>
      <c r="E3701" s="11"/>
      <c r="F3701" s="11"/>
      <c r="G3701" s="13">
        <f t="shared" si="1"/>
        <v>1281</v>
      </c>
      <c r="H3701" s="13"/>
    </row>
    <row r="3702" ht="22.5" customHeight="1">
      <c r="B3702" s="17"/>
      <c r="C3702" s="17"/>
      <c r="D3702" s="13"/>
      <c r="E3702" s="11"/>
      <c r="F3702" s="11"/>
      <c r="G3702" s="13">
        <f t="shared" si="1"/>
        <v>1281</v>
      </c>
      <c r="H3702" s="13"/>
    </row>
    <row r="3703" ht="22.5" customHeight="1">
      <c r="B3703" s="17"/>
      <c r="C3703" s="17"/>
      <c r="D3703" s="13"/>
      <c r="E3703" s="11"/>
      <c r="F3703" s="11"/>
      <c r="G3703" s="13">
        <f t="shared" si="1"/>
        <v>1281</v>
      </c>
      <c r="H3703" s="13"/>
    </row>
    <row r="3704" ht="22.5" customHeight="1">
      <c r="B3704" s="17"/>
      <c r="C3704" s="17"/>
      <c r="D3704" s="13"/>
      <c r="E3704" s="11"/>
      <c r="F3704" s="11"/>
      <c r="G3704" s="13">
        <f t="shared" si="1"/>
        <v>1281</v>
      </c>
      <c r="H3704" s="13"/>
    </row>
    <row r="3705" ht="22.5" customHeight="1">
      <c r="B3705" s="17"/>
      <c r="C3705" s="17"/>
      <c r="D3705" s="13"/>
      <c r="E3705" s="11"/>
      <c r="F3705" s="11"/>
      <c r="G3705" s="13">
        <f t="shared" si="1"/>
        <v>1281</v>
      </c>
      <c r="H3705" s="13"/>
    </row>
    <row r="3706" ht="22.5" customHeight="1">
      <c r="B3706" s="17"/>
      <c r="C3706" s="17"/>
      <c r="D3706" s="13"/>
      <c r="E3706" s="11"/>
      <c r="F3706" s="11"/>
      <c r="G3706" s="13">
        <f t="shared" si="1"/>
        <v>1281</v>
      </c>
      <c r="H3706" s="13"/>
    </row>
    <row r="3707" ht="22.5" customHeight="1">
      <c r="B3707" s="17"/>
      <c r="C3707" s="17"/>
      <c r="D3707" s="13"/>
      <c r="E3707" s="11"/>
      <c r="F3707" s="11"/>
      <c r="G3707" s="13">
        <f t="shared" si="1"/>
        <v>1281</v>
      </c>
      <c r="H3707" s="13"/>
    </row>
    <row r="3708" ht="22.5" customHeight="1">
      <c r="B3708" s="17"/>
      <c r="C3708" s="17"/>
      <c r="D3708" s="13"/>
      <c r="E3708" s="11"/>
      <c r="F3708" s="11"/>
      <c r="G3708" s="13">
        <f t="shared" si="1"/>
        <v>1281</v>
      </c>
      <c r="H3708" s="13"/>
    </row>
    <row r="3709" ht="22.5" customHeight="1">
      <c r="B3709" s="17"/>
      <c r="C3709" s="17"/>
      <c r="D3709" s="13"/>
      <c r="E3709" s="11"/>
      <c r="F3709" s="11"/>
      <c r="G3709" s="13">
        <f t="shared" si="1"/>
        <v>1281</v>
      </c>
      <c r="H3709" s="13"/>
    </row>
    <row r="3710" ht="22.5" customHeight="1">
      <c r="B3710" s="17"/>
      <c r="C3710" s="17"/>
      <c r="D3710" s="13"/>
      <c r="E3710" s="11"/>
      <c r="F3710" s="11"/>
      <c r="G3710" s="13">
        <f t="shared" si="1"/>
        <v>1281</v>
      </c>
      <c r="H3710" s="13"/>
    </row>
    <row r="3711" ht="22.5" customHeight="1">
      <c r="B3711" s="17"/>
      <c r="C3711" s="17"/>
      <c r="D3711" s="13"/>
      <c r="E3711" s="11"/>
      <c r="F3711" s="11"/>
      <c r="G3711" s="13">
        <f t="shared" si="1"/>
        <v>1281</v>
      </c>
      <c r="H3711" s="13"/>
    </row>
    <row r="3712" ht="22.5" customHeight="1">
      <c r="B3712" s="17"/>
      <c r="C3712" s="17"/>
      <c r="D3712" s="13"/>
      <c r="E3712" s="11"/>
      <c r="F3712" s="11"/>
      <c r="G3712" s="13">
        <f t="shared" si="1"/>
        <v>1281</v>
      </c>
      <c r="H3712" s="13"/>
    </row>
    <row r="3713" ht="22.5" customHeight="1">
      <c r="B3713" s="17"/>
      <c r="C3713" s="17"/>
      <c r="D3713" s="13"/>
      <c r="E3713" s="11"/>
      <c r="F3713" s="11"/>
      <c r="G3713" s="13">
        <f t="shared" si="1"/>
        <v>1281</v>
      </c>
      <c r="H3713" s="13"/>
    </row>
    <row r="3714" ht="22.5" customHeight="1">
      <c r="B3714" s="17"/>
      <c r="C3714" s="17"/>
      <c r="D3714" s="13"/>
      <c r="E3714" s="11"/>
      <c r="F3714" s="11"/>
      <c r="G3714" s="13">
        <f t="shared" si="1"/>
        <v>1281</v>
      </c>
      <c r="H3714" s="13"/>
    </row>
    <row r="3715" ht="22.5" customHeight="1">
      <c r="B3715" s="17"/>
      <c r="C3715" s="17"/>
      <c r="D3715" s="13"/>
      <c r="E3715" s="11"/>
      <c r="F3715" s="11"/>
      <c r="G3715" s="13">
        <f t="shared" si="1"/>
        <v>1281</v>
      </c>
      <c r="H3715" s="13"/>
    </row>
    <row r="3716" ht="22.5" customHeight="1">
      <c r="B3716" s="17"/>
      <c r="C3716" s="17"/>
      <c r="D3716" s="13"/>
      <c r="E3716" s="11"/>
      <c r="F3716" s="11"/>
      <c r="G3716" s="13">
        <f t="shared" si="1"/>
        <v>1281</v>
      </c>
      <c r="H3716" s="13"/>
    </row>
    <row r="3717" ht="22.5" customHeight="1">
      <c r="B3717" s="17"/>
      <c r="C3717" s="17"/>
      <c r="D3717" s="13"/>
      <c r="E3717" s="11"/>
      <c r="F3717" s="11"/>
      <c r="G3717" s="13">
        <f t="shared" si="1"/>
        <v>1281</v>
      </c>
      <c r="H3717" s="13"/>
    </row>
    <row r="3718" ht="22.5" customHeight="1">
      <c r="B3718" s="17"/>
      <c r="C3718" s="17"/>
      <c r="D3718" s="13"/>
      <c r="E3718" s="11"/>
      <c r="F3718" s="11"/>
      <c r="G3718" s="13">
        <f t="shared" si="1"/>
        <v>1281</v>
      </c>
      <c r="H3718" s="13"/>
    </row>
    <row r="3719" ht="22.5" customHeight="1">
      <c r="B3719" s="17"/>
      <c r="C3719" s="17"/>
      <c r="D3719" s="13"/>
      <c r="E3719" s="11"/>
      <c r="F3719" s="11"/>
      <c r="G3719" s="13">
        <f t="shared" si="1"/>
        <v>1281</v>
      </c>
      <c r="H3719" s="13"/>
    </row>
    <row r="3720" ht="22.5" customHeight="1">
      <c r="B3720" s="17"/>
      <c r="C3720" s="17"/>
      <c r="D3720" s="13"/>
      <c r="E3720" s="11"/>
      <c r="F3720" s="11"/>
      <c r="G3720" s="13">
        <f t="shared" si="1"/>
        <v>1281</v>
      </c>
      <c r="H3720" s="13"/>
    </row>
    <row r="3721" ht="22.5" customHeight="1">
      <c r="B3721" s="17"/>
      <c r="C3721" s="17"/>
      <c r="D3721" s="13"/>
      <c r="E3721" s="11"/>
      <c r="F3721" s="11"/>
      <c r="G3721" s="13">
        <f t="shared" si="1"/>
        <v>1281</v>
      </c>
      <c r="H3721" s="13"/>
    </row>
    <row r="3722" ht="22.5" customHeight="1">
      <c r="B3722" s="17"/>
      <c r="C3722" s="17"/>
      <c r="D3722" s="13"/>
      <c r="E3722" s="11"/>
      <c r="F3722" s="11"/>
      <c r="G3722" s="13">
        <f t="shared" si="1"/>
        <v>1281</v>
      </c>
      <c r="H3722" s="13"/>
    </row>
    <row r="3723" ht="22.5" customHeight="1">
      <c r="B3723" s="17"/>
      <c r="C3723" s="17"/>
      <c r="D3723" s="13"/>
      <c r="E3723" s="11"/>
      <c r="F3723" s="11"/>
      <c r="G3723" s="13">
        <f t="shared" si="1"/>
        <v>1281</v>
      </c>
      <c r="H3723" s="13"/>
    </row>
    <row r="3724" ht="22.5" customHeight="1">
      <c r="B3724" s="17"/>
      <c r="C3724" s="17"/>
      <c r="D3724" s="13"/>
      <c r="E3724" s="11"/>
      <c r="F3724" s="11"/>
      <c r="G3724" s="13">
        <f t="shared" si="1"/>
        <v>1281</v>
      </c>
      <c r="H3724" s="13"/>
    </row>
    <row r="3725" ht="22.5" customHeight="1">
      <c r="B3725" s="17"/>
      <c r="C3725" s="17"/>
      <c r="D3725" s="13"/>
      <c r="E3725" s="11"/>
      <c r="F3725" s="11"/>
      <c r="G3725" s="13">
        <f t="shared" si="1"/>
        <v>1281</v>
      </c>
      <c r="H3725" s="13"/>
    </row>
    <row r="3726" ht="22.5" customHeight="1">
      <c r="B3726" s="17"/>
      <c r="C3726" s="17"/>
      <c r="D3726" s="13"/>
      <c r="E3726" s="11"/>
      <c r="F3726" s="11"/>
      <c r="G3726" s="13">
        <f t="shared" si="1"/>
        <v>1281</v>
      </c>
      <c r="H3726" s="13"/>
    </row>
    <row r="3727" ht="22.5" customHeight="1">
      <c r="B3727" s="17"/>
      <c r="C3727" s="17"/>
      <c r="D3727" s="13"/>
      <c r="E3727" s="11"/>
      <c r="F3727" s="11"/>
      <c r="G3727" s="13">
        <f t="shared" si="1"/>
        <v>1281</v>
      </c>
      <c r="H3727" s="13"/>
    </row>
    <row r="3728" ht="22.5" customHeight="1">
      <c r="B3728" s="17"/>
      <c r="C3728" s="17"/>
      <c r="D3728" s="13"/>
      <c r="E3728" s="11"/>
      <c r="F3728" s="11"/>
      <c r="G3728" s="13">
        <f t="shared" si="1"/>
        <v>1281</v>
      </c>
      <c r="H3728" s="13"/>
    </row>
    <row r="3729" ht="22.5" customHeight="1">
      <c r="B3729" s="17"/>
      <c r="C3729" s="17"/>
      <c r="D3729" s="13"/>
      <c r="E3729" s="11"/>
      <c r="F3729" s="11"/>
      <c r="G3729" s="13">
        <f t="shared" si="1"/>
        <v>1281</v>
      </c>
      <c r="H3729" s="13"/>
    </row>
    <row r="3730" ht="22.5" customHeight="1">
      <c r="B3730" s="17"/>
      <c r="C3730" s="17"/>
      <c r="D3730" s="13"/>
      <c r="E3730" s="11"/>
      <c r="F3730" s="11"/>
      <c r="G3730" s="13">
        <f t="shared" si="1"/>
        <v>1281</v>
      </c>
      <c r="H3730" s="13"/>
    </row>
    <row r="3731" ht="22.5" customHeight="1">
      <c r="B3731" s="17"/>
      <c r="C3731" s="17"/>
      <c r="D3731" s="13"/>
      <c r="E3731" s="11"/>
      <c r="F3731" s="11"/>
      <c r="G3731" s="13">
        <f t="shared" si="1"/>
        <v>1281</v>
      </c>
      <c r="H3731" s="13"/>
    </row>
    <row r="3732" ht="22.5" customHeight="1">
      <c r="B3732" s="17"/>
      <c r="C3732" s="17"/>
      <c r="D3732" s="13"/>
      <c r="E3732" s="11"/>
      <c r="F3732" s="11"/>
      <c r="G3732" s="13">
        <f t="shared" si="1"/>
        <v>1281</v>
      </c>
      <c r="H3732" s="13"/>
    </row>
    <row r="3733" ht="22.5" customHeight="1">
      <c r="B3733" s="17"/>
      <c r="C3733" s="17"/>
      <c r="D3733" s="13"/>
      <c r="E3733" s="11"/>
      <c r="F3733" s="11"/>
      <c r="G3733" s="13">
        <f t="shared" si="1"/>
        <v>1281</v>
      </c>
      <c r="H3733" s="13"/>
    </row>
    <row r="3734" ht="22.5" customHeight="1">
      <c r="B3734" s="17"/>
      <c r="C3734" s="17"/>
      <c r="D3734" s="13"/>
      <c r="E3734" s="11"/>
      <c r="F3734" s="11"/>
      <c r="G3734" s="13">
        <f t="shared" si="1"/>
        <v>1281</v>
      </c>
      <c r="H3734" s="13"/>
    </row>
    <row r="3735" ht="22.5" customHeight="1">
      <c r="B3735" s="17"/>
      <c r="C3735" s="17"/>
      <c r="D3735" s="13"/>
      <c r="E3735" s="11"/>
      <c r="F3735" s="11"/>
      <c r="G3735" s="13">
        <f t="shared" si="1"/>
        <v>1281</v>
      </c>
      <c r="H3735" s="13"/>
    </row>
    <row r="3736" ht="22.5" customHeight="1">
      <c r="B3736" s="17"/>
      <c r="C3736" s="17"/>
      <c r="D3736" s="13"/>
      <c r="E3736" s="11"/>
      <c r="F3736" s="11"/>
      <c r="G3736" s="13">
        <f t="shared" si="1"/>
        <v>1281</v>
      </c>
      <c r="H3736" s="13"/>
    </row>
    <row r="3737" ht="22.5" customHeight="1">
      <c r="B3737" s="17"/>
      <c r="C3737" s="17"/>
      <c r="D3737" s="13"/>
      <c r="E3737" s="11"/>
      <c r="F3737" s="11"/>
      <c r="G3737" s="13">
        <f t="shared" si="1"/>
        <v>1281</v>
      </c>
      <c r="H3737" s="13"/>
    </row>
    <row r="3738" ht="22.5" customHeight="1">
      <c r="B3738" s="17"/>
      <c r="C3738" s="17"/>
      <c r="D3738" s="13"/>
      <c r="E3738" s="11"/>
      <c r="F3738" s="11"/>
      <c r="G3738" s="13">
        <f t="shared" si="1"/>
        <v>1281</v>
      </c>
      <c r="H3738" s="13"/>
    </row>
    <row r="3739" ht="22.5" customHeight="1">
      <c r="B3739" s="17"/>
      <c r="C3739" s="17"/>
      <c r="D3739" s="13"/>
      <c r="E3739" s="11"/>
      <c r="F3739" s="11"/>
      <c r="G3739" s="13">
        <f t="shared" si="1"/>
        <v>1281</v>
      </c>
      <c r="H3739" s="13"/>
    </row>
    <row r="3740" ht="22.5" customHeight="1">
      <c r="B3740" s="17"/>
      <c r="C3740" s="17"/>
      <c r="D3740" s="13"/>
      <c r="E3740" s="11"/>
      <c r="F3740" s="11"/>
      <c r="G3740" s="13">
        <f t="shared" si="1"/>
        <v>1281</v>
      </c>
      <c r="H3740" s="13"/>
    </row>
    <row r="3741" ht="22.5" customHeight="1">
      <c r="B3741" s="17"/>
      <c r="C3741" s="17"/>
      <c r="D3741" s="13"/>
      <c r="E3741" s="11"/>
      <c r="F3741" s="11"/>
      <c r="G3741" s="13">
        <f t="shared" si="1"/>
        <v>1281</v>
      </c>
      <c r="H3741" s="13"/>
    </row>
    <row r="3742" ht="22.5" customHeight="1">
      <c r="B3742" s="17"/>
      <c r="C3742" s="17"/>
      <c r="D3742" s="13"/>
      <c r="E3742" s="11"/>
      <c r="F3742" s="11"/>
      <c r="G3742" s="13">
        <f t="shared" si="1"/>
        <v>1281</v>
      </c>
      <c r="H3742" s="13"/>
    </row>
    <row r="3743" ht="22.5" customHeight="1">
      <c r="B3743" s="17"/>
      <c r="C3743" s="17"/>
      <c r="D3743" s="13"/>
      <c r="E3743" s="11"/>
      <c r="F3743" s="11"/>
      <c r="G3743" s="13">
        <f t="shared" si="1"/>
        <v>1281</v>
      </c>
      <c r="H3743" s="13"/>
    </row>
    <row r="3744" ht="22.5" customHeight="1">
      <c r="B3744" s="17"/>
      <c r="C3744" s="17"/>
      <c r="D3744" s="13"/>
      <c r="E3744" s="11"/>
      <c r="F3744" s="11"/>
      <c r="G3744" s="13">
        <f t="shared" si="1"/>
        <v>1281</v>
      </c>
      <c r="H3744" s="13"/>
    </row>
    <row r="3745" ht="22.5" customHeight="1">
      <c r="B3745" s="17"/>
      <c r="C3745" s="17"/>
      <c r="D3745" s="13"/>
      <c r="E3745" s="11"/>
      <c r="F3745" s="11"/>
      <c r="G3745" s="13">
        <f t="shared" si="1"/>
        <v>1281</v>
      </c>
      <c r="H3745" s="13"/>
    </row>
    <row r="3746" ht="22.5" customHeight="1">
      <c r="B3746" s="17"/>
      <c r="C3746" s="17"/>
      <c r="D3746" s="13"/>
      <c r="E3746" s="11"/>
      <c r="F3746" s="11"/>
      <c r="G3746" s="13">
        <f t="shared" si="1"/>
        <v>1281</v>
      </c>
      <c r="H3746" s="13"/>
    </row>
    <row r="3747" ht="22.5" customHeight="1">
      <c r="B3747" s="17"/>
      <c r="C3747" s="17"/>
      <c r="D3747" s="13"/>
      <c r="E3747" s="11"/>
      <c r="F3747" s="11"/>
      <c r="G3747" s="13">
        <f t="shared" si="1"/>
        <v>1281</v>
      </c>
      <c r="H3747" s="13"/>
    </row>
    <row r="3748" ht="22.5" customHeight="1">
      <c r="B3748" s="17"/>
      <c r="C3748" s="17"/>
      <c r="D3748" s="13"/>
      <c r="E3748" s="11"/>
      <c r="F3748" s="11"/>
      <c r="G3748" s="13">
        <f t="shared" si="1"/>
        <v>1281</v>
      </c>
      <c r="H3748" s="13"/>
    </row>
    <row r="3749" ht="22.5" customHeight="1">
      <c r="B3749" s="17"/>
      <c r="C3749" s="17"/>
      <c r="D3749" s="13"/>
      <c r="E3749" s="11"/>
      <c r="F3749" s="11"/>
      <c r="G3749" s="13">
        <f t="shared" si="1"/>
        <v>1281</v>
      </c>
      <c r="H3749" s="13"/>
    </row>
    <row r="3750" ht="22.5" customHeight="1">
      <c r="B3750" s="17"/>
      <c r="C3750" s="17"/>
      <c r="D3750" s="13"/>
      <c r="E3750" s="11"/>
      <c r="F3750" s="11"/>
      <c r="G3750" s="13">
        <f t="shared" si="1"/>
        <v>1281</v>
      </c>
      <c r="H3750" s="13"/>
    </row>
    <row r="3751" ht="22.5" customHeight="1">
      <c r="B3751" s="17"/>
      <c r="C3751" s="17"/>
      <c r="D3751" s="13"/>
      <c r="E3751" s="11"/>
      <c r="F3751" s="11"/>
      <c r="G3751" s="13">
        <f t="shared" si="1"/>
        <v>1281</v>
      </c>
      <c r="H3751" s="13"/>
    </row>
    <row r="3752" ht="22.5" customHeight="1">
      <c r="B3752" s="17"/>
      <c r="C3752" s="17"/>
      <c r="D3752" s="13"/>
      <c r="E3752" s="11"/>
      <c r="F3752" s="11"/>
      <c r="G3752" s="13">
        <f t="shared" si="1"/>
        <v>1281</v>
      </c>
      <c r="H3752" s="13"/>
    </row>
    <row r="3753" ht="22.5" customHeight="1">
      <c r="B3753" s="17"/>
      <c r="C3753" s="17"/>
      <c r="D3753" s="13"/>
      <c r="E3753" s="11"/>
      <c r="F3753" s="11"/>
      <c r="G3753" s="13">
        <f t="shared" si="1"/>
        <v>1281</v>
      </c>
      <c r="H3753" s="13"/>
    </row>
    <row r="3754" ht="22.5" customHeight="1">
      <c r="B3754" s="17"/>
      <c r="C3754" s="17"/>
      <c r="D3754" s="13"/>
      <c r="E3754" s="11"/>
      <c r="F3754" s="11"/>
      <c r="G3754" s="13">
        <f t="shared" si="1"/>
        <v>1281</v>
      </c>
      <c r="H3754" s="13"/>
    </row>
    <row r="3755" ht="22.5" customHeight="1">
      <c r="B3755" s="17"/>
      <c r="C3755" s="17"/>
      <c r="D3755" s="13"/>
      <c r="E3755" s="11"/>
      <c r="F3755" s="11"/>
      <c r="G3755" s="13">
        <f t="shared" si="1"/>
        <v>1281</v>
      </c>
      <c r="H3755" s="13"/>
    </row>
    <row r="3756" ht="22.5" customHeight="1">
      <c r="B3756" s="17"/>
      <c r="C3756" s="17"/>
      <c r="D3756" s="13"/>
      <c r="E3756" s="11"/>
      <c r="F3756" s="11"/>
      <c r="G3756" s="13">
        <f t="shared" si="1"/>
        <v>1281</v>
      </c>
      <c r="H3756" s="13"/>
    </row>
    <row r="3757" ht="22.5" customHeight="1">
      <c r="B3757" s="17"/>
      <c r="C3757" s="17"/>
      <c r="D3757" s="13"/>
      <c r="E3757" s="11"/>
      <c r="F3757" s="11"/>
      <c r="G3757" s="13">
        <f t="shared" si="1"/>
        <v>1281</v>
      </c>
      <c r="H3757" s="13"/>
    </row>
    <row r="3758" ht="22.5" customHeight="1">
      <c r="B3758" s="17"/>
      <c r="C3758" s="17"/>
      <c r="D3758" s="13"/>
      <c r="E3758" s="11"/>
      <c r="F3758" s="11"/>
      <c r="G3758" s="13">
        <f t="shared" si="1"/>
        <v>1281</v>
      </c>
      <c r="H3758" s="13"/>
    </row>
    <row r="3759" ht="22.5" customHeight="1">
      <c r="B3759" s="17"/>
      <c r="C3759" s="17"/>
      <c r="D3759" s="13"/>
      <c r="E3759" s="11"/>
      <c r="F3759" s="11"/>
      <c r="G3759" s="13">
        <f t="shared" si="1"/>
        <v>1281</v>
      </c>
      <c r="H3759" s="13"/>
    </row>
    <row r="3760" ht="22.5" customHeight="1">
      <c r="B3760" s="17"/>
      <c r="C3760" s="17"/>
      <c r="D3760" s="13"/>
      <c r="E3760" s="11"/>
      <c r="F3760" s="11"/>
      <c r="G3760" s="13">
        <f t="shared" si="1"/>
        <v>1281</v>
      </c>
      <c r="H3760" s="13"/>
    </row>
    <row r="3761" ht="22.5" customHeight="1">
      <c r="B3761" s="17"/>
      <c r="C3761" s="17"/>
      <c r="D3761" s="13"/>
      <c r="E3761" s="11"/>
      <c r="F3761" s="11"/>
      <c r="G3761" s="13">
        <f t="shared" si="1"/>
        <v>1281</v>
      </c>
      <c r="H3761" s="13"/>
    </row>
    <row r="3762" ht="22.5" customHeight="1">
      <c r="B3762" s="17"/>
      <c r="C3762" s="17"/>
      <c r="D3762" s="13"/>
      <c r="E3762" s="11"/>
      <c r="F3762" s="11"/>
      <c r="G3762" s="13">
        <f t="shared" si="1"/>
        <v>1281</v>
      </c>
      <c r="H3762" s="13"/>
    </row>
    <row r="3763" ht="22.5" customHeight="1">
      <c r="B3763" s="17"/>
      <c r="C3763" s="17"/>
      <c r="D3763" s="13"/>
      <c r="E3763" s="11"/>
      <c r="F3763" s="11"/>
      <c r="G3763" s="13">
        <f t="shared" si="1"/>
        <v>1281</v>
      </c>
      <c r="H3763" s="13"/>
    </row>
    <row r="3764" ht="22.5" customHeight="1">
      <c r="B3764" s="17"/>
      <c r="C3764" s="17"/>
      <c r="D3764" s="13"/>
      <c r="E3764" s="11"/>
      <c r="F3764" s="11"/>
      <c r="G3764" s="13">
        <f t="shared" si="1"/>
        <v>1281</v>
      </c>
      <c r="H3764" s="13"/>
    </row>
    <row r="3765" ht="22.5" customHeight="1">
      <c r="B3765" s="17"/>
      <c r="C3765" s="17"/>
      <c r="D3765" s="13"/>
      <c r="E3765" s="11"/>
      <c r="F3765" s="11"/>
      <c r="G3765" s="13">
        <f t="shared" si="1"/>
        <v>1281</v>
      </c>
      <c r="H3765" s="13"/>
    </row>
    <row r="3766" ht="22.5" customHeight="1">
      <c r="B3766" s="17"/>
      <c r="C3766" s="17"/>
      <c r="D3766" s="13"/>
      <c r="E3766" s="11"/>
      <c r="F3766" s="11"/>
      <c r="G3766" s="13">
        <f t="shared" si="1"/>
        <v>1281</v>
      </c>
      <c r="H3766" s="13"/>
    </row>
    <row r="3767" ht="22.5" customHeight="1">
      <c r="B3767" s="17"/>
      <c r="C3767" s="17"/>
      <c r="D3767" s="13"/>
      <c r="E3767" s="11"/>
      <c r="F3767" s="11"/>
      <c r="G3767" s="13">
        <f t="shared" si="1"/>
        <v>1281</v>
      </c>
      <c r="H3767" s="13"/>
    </row>
    <row r="3768" ht="22.5" customHeight="1">
      <c r="B3768" s="17"/>
      <c r="C3768" s="17"/>
      <c r="D3768" s="13"/>
      <c r="E3768" s="11"/>
      <c r="F3768" s="11"/>
      <c r="G3768" s="13">
        <f t="shared" si="1"/>
        <v>1281</v>
      </c>
      <c r="H3768" s="13"/>
    </row>
    <row r="3769" ht="22.5" customHeight="1">
      <c r="B3769" s="17"/>
      <c r="C3769" s="17"/>
      <c r="D3769" s="13"/>
      <c r="E3769" s="11"/>
      <c r="F3769" s="11"/>
      <c r="G3769" s="13">
        <f t="shared" si="1"/>
        <v>1281</v>
      </c>
      <c r="H3769" s="13"/>
    </row>
    <row r="3770" ht="22.5" customHeight="1">
      <c r="B3770" s="17"/>
      <c r="C3770" s="17"/>
      <c r="D3770" s="13"/>
      <c r="E3770" s="11"/>
      <c r="F3770" s="11"/>
      <c r="G3770" s="13">
        <f t="shared" si="1"/>
        <v>1281</v>
      </c>
      <c r="H3770" s="13"/>
    </row>
    <row r="3771" ht="22.5" customHeight="1">
      <c r="B3771" s="17"/>
      <c r="C3771" s="17"/>
      <c r="D3771" s="13"/>
      <c r="E3771" s="11"/>
      <c r="F3771" s="11"/>
      <c r="G3771" s="13">
        <f t="shared" si="1"/>
        <v>1281</v>
      </c>
      <c r="H3771" s="13"/>
    </row>
    <row r="3772" ht="22.5" customHeight="1">
      <c r="B3772" s="17"/>
      <c r="C3772" s="17"/>
      <c r="D3772" s="13"/>
      <c r="E3772" s="11"/>
      <c r="F3772" s="11"/>
      <c r="G3772" s="13">
        <f t="shared" si="1"/>
        <v>1281</v>
      </c>
      <c r="H3772" s="13"/>
    </row>
    <row r="3773" ht="22.5" customHeight="1">
      <c r="B3773" s="17"/>
      <c r="C3773" s="17"/>
      <c r="D3773" s="13"/>
      <c r="E3773" s="11"/>
      <c r="F3773" s="11"/>
      <c r="G3773" s="13">
        <f t="shared" si="1"/>
        <v>1281</v>
      </c>
      <c r="H3773" s="13"/>
    </row>
    <row r="3774" ht="22.5" customHeight="1">
      <c r="B3774" s="17"/>
      <c r="C3774" s="17"/>
      <c r="D3774" s="13"/>
      <c r="E3774" s="11"/>
      <c r="F3774" s="11"/>
      <c r="G3774" s="13">
        <f t="shared" si="1"/>
        <v>1281</v>
      </c>
      <c r="H3774" s="13"/>
    </row>
    <row r="3775" ht="22.5" customHeight="1">
      <c r="B3775" s="17"/>
      <c r="C3775" s="17"/>
      <c r="D3775" s="13"/>
      <c r="E3775" s="11"/>
      <c r="F3775" s="11"/>
      <c r="G3775" s="13">
        <f t="shared" si="1"/>
        <v>1281</v>
      </c>
      <c r="H3775" s="13"/>
    </row>
    <row r="3776" ht="22.5" customHeight="1">
      <c r="B3776" s="17"/>
      <c r="C3776" s="17"/>
      <c r="D3776" s="13"/>
      <c r="E3776" s="11"/>
      <c r="F3776" s="11"/>
      <c r="G3776" s="13">
        <f t="shared" si="1"/>
        <v>1281</v>
      </c>
      <c r="H3776" s="13"/>
    </row>
    <row r="3777" ht="22.5" customHeight="1">
      <c r="B3777" s="17"/>
      <c r="C3777" s="17"/>
      <c r="D3777" s="13"/>
      <c r="E3777" s="11"/>
      <c r="F3777" s="11"/>
      <c r="G3777" s="13">
        <f t="shared" si="1"/>
        <v>1281</v>
      </c>
      <c r="H3777" s="13"/>
    </row>
    <row r="3778" ht="22.5" customHeight="1">
      <c r="B3778" s="17"/>
      <c r="C3778" s="17"/>
      <c r="D3778" s="13"/>
      <c r="E3778" s="11"/>
      <c r="F3778" s="11"/>
      <c r="G3778" s="13">
        <f t="shared" si="1"/>
        <v>1281</v>
      </c>
      <c r="H3778" s="13"/>
    </row>
    <row r="3779" ht="22.5" customHeight="1">
      <c r="B3779" s="17"/>
      <c r="C3779" s="17"/>
      <c r="D3779" s="13"/>
      <c r="E3779" s="11"/>
      <c r="F3779" s="11"/>
      <c r="G3779" s="13">
        <f t="shared" si="1"/>
        <v>1281</v>
      </c>
      <c r="H3779" s="13"/>
    </row>
    <row r="3780" ht="22.5" customHeight="1">
      <c r="B3780" s="17"/>
      <c r="C3780" s="17"/>
      <c r="D3780" s="13"/>
      <c r="E3780" s="11"/>
      <c r="F3780" s="11"/>
      <c r="G3780" s="13">
        <f t="shared" si="1"/>
        <v>1281</v>
      </c>
      <c r="H3780" s="13"/>
    </row>
    <row r="3781" ht="22.5" customHeight="1">
      <c r="B3781" s="17"/>
      <c r="C3781" s="17"/>
      <c r="D3781" s="13"/>
      <c r="E3781" s="11"/>
      <c r="F3781" s="11"/>
      <c r="G3781" s="13">
        <f t="shared" si="1"/>
        <v>1281</v>
      </c>
      <c r="H3781" s="13"/>
    </row>
    <row r="3782" ht="22.5" customHeight="1">
      <c r="B3782" s="17"/>
      <c r="C3782" s="17"/>
      <c r="D3782" s="13"/>
      <c r="E3782" s="11"/>
      <c r="F3782" s="11"/>
      <c r="G3782" s="13">
        <f t="shared" si="1"/>
        <v>1281</v>
      </c>
      <c r="H3782" s="13"/>
    </row>
    <row r="3783" ht="22.5" customHeight="1">
      <c r="B3783" s="17"/>
      <c r="C3783" s="17"/>
      <c r="D3783" s="13"/>
      <c r="E3783" s="11"/>
      <c r="F3783" s="11"/>
      <c r="G3783" s="13">
        <f t="shared" si="1"/>
        <v>1281</v>
      </c>
      <c r="H3783" s="13"/>
    </row>
    <row r="3784" ht="22.5" customHeight="1">
      <c r="B3784" s="17"/>
      <c r="C3784" s="17"/>
      <c r="D3784" s="13"/>
      <c r="E3784" s="11"/>
      <c r="F3784" s="11"/>
      <c r="G3784" s="13">
        <f t="shared" si="1"/>
        <v>1281</v>
      </c>
      <c r="H3784" s="13"/>
    </row>
    <row r="3785" ht="22.5" customHeight="1">
      <c r="B3785" s="17"/>
      <c r="C3785" s="17"/>
      <c r="D3785" s="13"/>
      <c r="E3785" s="11"/>
      <c r="F3785" s="11"/>
      <c r="G3785" s="13">
        <f t="shared" si="1"/>
        <v>1281</v>
      </c>
      <c r="H3785" s="13"/>
    </row>
    <row r="3786" ht="22.5" customHeight="1">
      <c r="B3786" s="17"/>
      <c r="C3786" s="17"/>
      <c r="D3786" s="13"/>
      <c r="E3786" s="11"/>
      <c r="F3786" s="11"/>
      <c r="G3786" s="13">
        <f t="shared" si="1"/>
        <v>1281</v>
      </c>
      <c r="H3786" s="13"/>
    </row>
    <row r="3787" ht="22.5" customHeight="1">
      <c r="B3787" s="17"/>
      <c r="C3787" s="17"/>
      <c r="D3787" s="13"/>
      <c r="E3787" s="11"/>
      <c r="F3787" s="11"/>
      <c r="G3787" s="13">
        <f t="shared" si="1"/>
        <v>1281</v>
      </c>
      <c r="H3787" s="13"/>
    </row>
    <row r="3788" ht="22.5" customHeight="1">
      <c r="B3788" s="17"/>
      <c r="C3788" s="17"/>
      <c r="D3788" s="13"/>
      <c r="E3788" s="11"/>
      <c r="F3788" s="11"/>
      <c r="G3788" s="13">
        <f t="shared" si="1"/>
        <v>1281</v>
      </c>
      <c r="H3788" s="13"/>
    </row>
    <row r="3789" ht="22.5" customHeight="1">
      <c r="B3789" s="17"/>
      <c r="C3789" s="17"/>
      <c r="D3789" s="13"/>
      <c r="E3789" s="11"/>
      <c r="F3789" s="11"/>
      <c r="G3789" s="13">
        <f t="shared" si="1"/>
        <v>1281</v>
      </c>
      <c r="H3789" s="13"/>
    </row>
    <row r="3790" ht="22.5" customHeight="1">
      <c r="B3790" s="17"/>
      <c r="C3790" s="17"/>
      <c r="D3790" s="13"/>
      <c r="E3790" s="11"/>
      <c r="F3790" s="11"/>
      <c r="G3790" s="13">
        <f t="shared" si="1"/>
        <v>1281</v>
      </c>
      <c r="H3790" s="13"/>
    </row>
    <row r="3791" ht="22.5" customHeight="1">
      <c r="B3791" s="17"/>
      <c r="C3791" s="17"/>
      <c r="D3791" s="13"/>
      <c r="E3791" s="11"/>
      <c r="F3791" s="11"/>
      <c r="G3791" s="13">
        <f t="shared" si="1"/>
        <v>1281</v>
      </c>
      <c r="H3791" s="13"/>
    </row>
    <row r="3792" ht="22.5" customHeight="1">
      <c r="B3792" s="17"/>
      <c r="C3792" s="17"/>
      <c r="D3792" s="13"/>
      <c r="E3792" s="11"/>
      <c r="F3792" s="11"/>
      <c r="G3792" s="13">
        <f t="shared" si="1"/>
        <v>1281</v>
      </c>
      <c r="H3792" s="13"/>
    </row>
    <row r="3793" ht="22.5" customHeight="1">
      <c r="B3793" s="17"/>
      <c r="C3793" s="17"/>
      <c r="D3793" s="13"/>
      <c r="E3793" s="11"/>
      <c r="F3793" s="11"/>
      <c r="G3793" s="13">
        <f t="shared" si="1"/>
        <v>1281</v>
      </c>
      <c r="H3793" s="13"/>
    </row>
    <row r="3794" ht="22.5" customHeight="1">
      <c r="B3794" s="17"/>
      <c r="C3794" s="17"/>
      <c r="D3794" s="13"/>
      <c r="E3794" s="11"/>
      <c r="F3794" s="11"/>
      <c r="G3794" s="13">
        <f t="shared" si="1"/>
        <v>1281</v>
      </c>
      <c r="H3794" s="13"/>
    </row>
    <row r="3795" ht="22.5" customHeight="1">
      <c r="B3795" s="17"/>
      <c r="C3795" s="17"/>
      <c r="D3795" s="13"/>
      <c r="E3795" s="11"/>
      <c r="F3795" s="11"/>
      <c r="G3795" s="13">
        <f t="shared" si="1"/>
        <v>1281</v>
      </c>
      <c r="H3795" s="13"/>
    </row>
    <row r="3796" ht="22.5" customHeight="1">
      <c r="B3796" s="17"/>
      <c r="C3796" s="17"/>
      <c r="D3796" s="13"/>
      <c r="E3796" s="11"/>
      <c r="F3796" s="11"/>
      <c r="G3796" s="13">
        <f t="shared" si="1"/>
        <v>1281</v>
      </c>
      <c r="H3796" s="13"/>
    </row>
    <row r="3797" ht="22.5" customHeight="1">
      <c r="B3797" s="17"/>
      <c r="C3797" s="17"/>
      <c r="D3797" s="13"/>
      <c r="E3797" s="11"/>
      <c r="F3797" s="11"/>
      <c r="G3797" s="13">
        <f t="shared" si="1"/>
        <v>1281</v>
      </c>
      <c r="H3797" s="13"/>
    </row>
    <row r="3798" ht="22.5" customHeight="1">
      <c r="B3798" s="17"/>
      <c r="C3798" s="17"/>
      <c r="D3798" s="13"/>
      <c r="E3798" s="11"/>
      <c r="F3798" s="11"/>
      <c r="G3798" s="13">
        <f t="shared" si="1"/>
        <v>1281</v>
      </c>
      <c r="H3798" s="13"/>
    </row>
    <row r="3799" ht="22.5" customHeight="1">
      <c r="B3799" s="17"/>
      <c r="C3799" s="17"/>
      <c r="D3799" s="13"/>
      <c r="E3799" s="11"/>
      <c r="F3799" s="11"/>
      <c r="G3799" s="13">
        <f t="shared" si="1"/>
        <v>1281</v>
      </c>
      <c r="H3799" s="13"/>
    </row>
    <row r="3800" ht="22.5" customHeight="1">
      <c r="B3800" s="17"/>
      <c r="C3800" s="17"/>
      <c r="D3800" s="13"/>
      <c r="E3800" s="11"/>
      <c r="F3800" s="11"/>
      <c r="G3800" s="13">
        <f t="shared" si="1"/>
        <v>1281</v>
      </c>
      <c r="H3800" s="13"/>
    </row>
    <row r="3801" ht="22.5" customHeight="1">
      <c r="B3801" s="17"/>
      <c r="C3801" s="17"/>
      <c r="D3801" s="13"/>
      <c r="E3801" s="11"/>
      <c r="F3801" s="11"/>
      <c r="G3801" s="13">
        <f t="shared" si="1"/>
        <v>1281</v>
      </c>
      <c r="H3801" s="13"/>
    </row>
    <row r="3802" ht="22.5" customHeight="1">
      <c r="B3802" s="17"/>
      <c r="C3802" s="17"/>
      <c r="D3802" s="13"/>
      <c r="E3802" s="11"/>
      <c r="F3802" s="11"/>
      <c r="G3802" s="13">
        <f t="shared" si="1"/>
        <v>1281</v>
      </c>
      <c r="H3802" s="13"/>
    </row>
    <row r="3803" ht="22.5" customHeight="1">
      <c r="B3803" s="17"/>
      <c r="C3803" s="17"/>
      <c r="D3803" s="13"/>
      <c r="E3803" s="11"/>
      <c r="F3803" s="11"/>
      <c r="G3803" s="13">
        <f t="shared" si="1"/>
        <v>1281</v>
      </c>
      <c r="H3803" s="13"/>
    </row>
    <row r="3804" ht="22.5" customHeight="1">
      <c r="B3804" s="17"/>
      <c r="C3804" s="17"/>
      <c r="D3804" s="13"/>
      <c r="E3804" s="11"/>
      <c r="F3804" s="11"/>
      <c r="G3804" s="13">
        <f t="shared" si="1"/>
        <v>1281</v>
      </c>
      <c r="H3804" s="13"/>
    </row>
    <row r="3805" ht="22.5" customHeight="1">
      <c r="B3805" s="17"/>
      <c r="C3805" s="17"/>
      <c r="D3805" s="13"/>
      <c r="E3805" s="11"/>
      <c r="F3805" s="11"/>
      <c r="G3805" s="13">
        <f t="shared" si="1"/>
        <v>1281</v>
      </c>
      <c r="H3805" s="13"/>
    </row>
    <row r="3806" ht="22.5" customHeight="1">
      <c r="B3806" s="17"/>
      <c r="C3806" s="17"/>
      <c r="D3806" s="13"/>
      <c r="E3806" s="11"/>
      <c r="F3806" s="11"/>
      <c r="G3806" s="13">
        <f t="shared" si="1"/>
        <v>1281</v>
      </c>
      <c r="H3806" s="13"/>
    </row>
    <row r="3807" ht="22.5" customHeight="1">
      <c r="B3807" s="17"/>
      <c r="C3807" s="17"/>
      <c r="D3807" s="13"/>
      <c r="E3807" s="11"/>
      <c r="F3807" s="11"/>
      <c r="G3807" s="13">
        <f t="shared" si="1"/>
        <v>1281</v>
      </c>
      <c r="H3807" s="13"/>
    </row>
    <row r="3808" ht="22.5" customHeight="1">
      <c r="B3808" s="17"/>
      <c r="C3808" s="17"/>
      <c r="D3808" s="13"/>
      <c r="E3808" s="11"/>
      <c r="F3808" s="11"/>
      <c r="G3808" s="13">
        <f t="shared" si="1"/>
        <v>1281</v>
      </c>
      <c r="H3808" s="13"/>
    </row>
    <row r="3809" ht="22.5" customHeight="1">
      <c r="B3809" s="17"/>
      <c r="C3809" s="17"/>
      <c r="D3809" s="13"/>
      <c r="E3809" s="11"/>
      <c r="F3809" s="11"/>
      <c r="G3809" s="13">
        <f t="shared" si="1"/>
        <v>1281</v>
      </c>
      <c r="H3809" s="13"/>
    </row>
    <row r="3810" ht="22.5" customHeight="1">
      <c r="B3810" s="17"/>
      <c r="C3810" s="17"/>
      <c r="D3810" s="13"/>
      <c r="E3810" s="11"/>
      <c r="F3810" s="11"/>
      <c r="G3810" s="13">
        <f t="shared" si="1"/>
        <v>1281</v>
      </c>
      <c r="H3810" s="13"/>
    </row>
    <row r="3811" ht="22.5" customHeight="1">
      <c r="B3811" s="17"/>
      <c r="C3811" s="17"/>
      <c r="D3811" s="13"/>
      <c r="E3811" s="11"/>
      <c r="F3811" s="11"/>
      <c r="G3811" s="13">
        <f t="shared" si="1"/>
        <v>1281</v>
      </c>
      <c r="H3811" s="13"/>
    </row>
    <row r="3812" ht="22.5" customHeight="1">
      <c r="B3812" s="17"/>
      <c r="C3812" s="17"/>
      <c r="D3812" s="13"/>
      <c r="E3812" s="11"/>
      <c r="F3812" s="11"/>
      <c r="G3812" s="13">
        <f t="shared" si="1"/>
        <v>1281</v>
      </c>
      <c r="H3812" s="13"/>
    </row>
    <row r="3813" ht="22.5" customHeight="1">
      <c r="B3813" s="17"/>
      <c r="C3813" s="17"/>
      <c r="D3813" s="13"/>
      <c r="E3813" s="11"/>
      <c r="F3813" s="11"/>
      <c r="G3813" s="13">
        <f t="shared" si="1"/>
        <v>1281</v>
      </c>
      <c r="H3813" s="13"/>
    </row>
    <row r="3814" ht="22.5" customHeight="1">
      <c r="B3814" s="17"/>
      <c r="C3814" s="17"/>
      <c r="D3814" s="13"/>
      <c r="E3814" s="11"/>
      <c r="F3814" s="11"/>
      <c r="G3814" s="13">
        <f t="shared" si="1"/>
        <v>1281</v>
      </c>
      <c r="H3814" s="13"/>
    </row>
    <row r="3815" ht="22.5" customHeight="1">
      <c r="B3815" s="17"/>
      <c r="C3815" s="17"/>
      <c r="D3815" s="13"/>
      <c r="E3815" s="11"/>
      <c r="F3815" s="11"/>
      <c r="G3815" s="13">
        <f t="shared" si="1"/>
        <v>1281</v>
      </c>
      <c r="H3815" s="13"/>
    </row>
    <row r="3816" ht="22.5" customHeight="1">
      <c r="B3816" s="17"/>
      <c r="C3816" s="17"/>
      <c r="D3816" s="13"/>
      <c r="E3816" s="11"/>
      <c r="F3816" s="11"/>
      <c r="G3816" s="13">
        <f t="shared" si="1"/>
        <v>1281</v>
      </c>
      <c r="H3816" s="13"/>
    </row>
    <row r="3817" ht="22.5" customHeight="1">
      <c r="B3817" s="17"/>
      <c r="C3817" s="17"/>
      <c r="D3817" s="13"/>
      <c r="E3817" s="11"/>
      <c r="F3817" s="11"/>
      <c r="G3817" s="13">
        <f t="shared" si="1"/>
        <v>1281</v>
      </c>
      <c r="H3817" s="13"/>
    </row>
    <row r="3818" ht="22.5" customHeight="1">
      <c r="B3818" s="17"/>
      <c r="C3818" s="17"/>
      <c r="D3818" s="13"/>
      <c r="E3818" s="11"/>
      <c r="F3818" s="11"/>
      <c r="G3818" s="13">
        <f t="shared" si="1"/>
        <v>1281</v>
      </c>
      <c r="H3818" s="13"/>
    </row>
    <row r="3819" ht="22.5" customHeight="1">
      <c r="B3819" s="17"/>
      <c r="C3819" s="17"/>
      <c r="D3819" s="13"/>
      <c r="E3819" s="11"/>
      <c r="F3819" s="11"/>
      <c r="G3819" s="13">
        <f t="shared" si="1"/>
        <v>1281</v>
      </c>
      <c r="H3819" s="13"/>
    </row>
    <row r="3820" ht="22.5" customHeight="1">
      <c r="B3820" s="17"/>
      <c r="C3820" s="17"/>
      <c r="D3820" s="13"/>
      <c r="E3820" s="11"/>
      <c r="F3820" s="11"/>
      <c r="G3820" s="13">
        <f t="shared" si="1"/>
        <v>1281</v>
      </c>
      <c r="H3820" s="13"/>
    </row>
    <row r="3821" ht="22.5" customHeight="1">
      <c r="B3821" s="17"/>
      <c r="C3821" s="17"/>
      <c r="D3821" s="13"/>
      <c r="E3821" s="11"/>
      <c r="F3821" s="11"/>
      <c r="G3821" s="13">
        <f t="shared" si="1"/>
        <v>1281</v>
      </c>
      <c r="H3821" s="13"/>
    </row>
    <row r="3822" ht="22.5" customHeight="1">
      <c r="B3822" s="17"/>
      <c r="C3822" s="17"/>
      <c r="D3822" s="13"/>
      <c r="E3822" s="11"/>
      <c r="F3822" s="11"/>
      <c r="G3822" s="13">
        <f t="shared" si="1"/>
        <v>1281</v>
      </c>
      <c r="H3822" s="13"/>
    </row>
    <row r="3823" ht="22.5" customHeight="1">
      <c r="B3823" s="17"/>
      <c r="C3823" s="17"/>
      <c r="D3823" s="13"/>
      <c r="E3823" s="11"/>
      <c r="F3823" s="11"/>
      <c r="G3823" s="13">
        <f t="shared" si="1"/>
        <v>1281</v>
      </c>
      <c r="H3823" s="13"/>
    </row>
    <row r="3824" ht="22.5" customHeight="1">
      <c r="B3824" s="17"/>
      <c r="C3824" s="17"/>
      <c r="D3824" s="13"/>
      <c r="E3824" s="11"/>
      <c r="F3824" s="11"/>
      <c r="G3824" s="13">
        <f t="shared" si="1"/>
        <v>1281</v>
      </c>
      <c r="H3824" s="13"/>
    </row>
    <row r="3825" ht="22.5" customHeight="1">
      <c r="B3825" s="17"/>
      <c r="C3825" s="17"/>
      <c r="D3825" s="13"/>
      <c r="E3825" s="11"/>
      <c r="F3825" s="11"/>
      <c r="G3825" s="13">
        <f t="shared" si="1"/>
        <v>1281</v>
      </c>
      <c r="H3825" s="13"/>
    </row>
    <row r="3826" ht="22.5" customHeight="1">
      <c r="B3826" s="17"/>
      <c r="C3826" s="17"/>
      <c r="D3826" s="13"/>
      <c r="E3826" s="11"/>
      <c r="F3826" s="11"/>
      <c r="G3826" s="13">
        <f t="shared" si="1"/>
        <v>1281</v>
      </c>
      <c r="H3826" s="13"/>
    </row>
    <row r="3827" ht="22.5" customHeight="1">
      <c r="B3827" s="17"/>
      <c r="C3827" s="17"/>
      <c r="D3827" s="13"/>
      <c r="E3827" s="11"/>
      <c r="F3827" s="11"/>
      <c r="G3827" s="13">
        <f t="shared" si="1"/>
        <v>1281</v>
      </c>
      <c r="H3827" s="13"/>
    </row>
    <row r="3828" ht="22.5" customHeight="1">
      <c r="B3828" s="17"/>
      <c r="C3828" s="17"/>
      <c r="D3828" s="13"/>
      <c r="E3828" s="11"/>
      <c r="F3828" s="11"/>
      <c r="G3828" s="13">
        <f t="shared" si="1"/>
        <v>1281</v>
      </c>
      <c r="H3828" s="13"/>
    </row>
    <row r="3829" ht="22.5" customHeight="1">
      <c r="B3829" s="17"/>
      <c r="C3829" s="17"/>
      <c r="D3829" s="13"/>
      <c r="E3829" s="11"/>
      <c r="F3829" s="11"/>
      <c r="G3829" s="13">
        <f t="shared" si="1"/>
        <v>1281</v>
      </c>
      <c r="H3829" s="13"/>
    </row>
    <row r="3830" ht="22.5" customHeight="1">
      <c r="B3830" s="17"/>
      <c r="C3830" s="17"/>
      <c r="D3830" s="13"/>
      <c r="E3830" s="11"/>
      <c r="F3830" s="11"/>
      <c r="G3830" s="13">
        <f t="shared" si="1"/>
        <v>1281</v>
      </c>
      <c r="H3830" s="13"/>
    </row>
    <row r="3831" ht="22.5" customHeight="1">
      <c r="B3831" s="17"/>
      <c r="C3831" s="17"/>
      <c r="D3831" s="13"/>
      <c r="E3831" s="11"/>
      <c r="F3831" s="11"/>
      <c r="G3831" s="13">
        <f t="shared" si="1"/>
        <v>1281</v>
      </c>
      <c r="H3831" s="13"/>
    </row>
    <row r="3832" ht="22.5" customHeight="1">
      <c r="B3832" s="17"/>
      <c r="C3832" s="17"/>
      <c r="D3832" s="13"/>
      <c r="E3832" s="11"/>
      <c r="F3832" s="11"/>
      <c r="G3832" s="13">
        <f t="shared" si="1"/>
        <v>1281</v>
      </c>
      <c r="H3832" s="13"/>
    </row>
    <row r="3833" ht="22.5" customHeight="1">
      <c r="B3833" s="17"/>
      <c r="C3833" s="17"/>
      <c r="D3833" s="13"/>
      <c r="E3833" s="11"/>
      <c r="F3833" s="11"/>
      <c r="G3833" s="13">
        <f t="shared" si="1"/>
        <v>1281</v>
      </c>
      <c r="H3833" s="13"/>
    </row>
    <row r="3834" ht="22.5" customHeight="1">
      <c r="B3834" s="17"/>
      <c r="C3834" s="17"/>
      <c r="D3834" s="13"/>
      <c r="E3834" s="11"/>
      <c r="F3834" s="11"/>
      <c r="G3834" s="13">
        <f t="shared" si="1"/>
        <v>1281</v>
      </c>
      <c r="H3834" s="13"/>
    </row>
    <row r="3835" ht="22.5" customHeight="1">
      <c r="B3835" s="17"/>
      <c r="C3835" s="17"/>
      <c r="D3835" s="13"/>
      <c r="E3835" s="11"/>
      <c r="F3835" s="11"/>
      <c r="G3835" s="13">
        <f t="shared" si="1"/>
        <v>1281</v>
      </c>
      <c r="H3835" s="13"/>
    </row>
    <row r="3836" ht="22.5" customHeight="1">
      <c r="B3836" s="17"/>
      <c r="C3836" s="17"/>
      <c r="D3836" s="13"/>
      <c r="E3836" s="11"/>
      <c r="F3836" s="11"/>
      <c r="G3836" s="13">
        <f t="shared" si="1"/>
        <v>1281</v>
      </c>
      <c r="H3836" s="13"/>
    </row>
    <row r="3837" ht="22.5" customHeight="1">
      <c r="B3837" s="17"/>
      <c r="C3837" s="17"/>
      <c r="D3837" s="13"/>
      <c r="E3837" s="11"/>
      <c r="F3837" s="11"/>
      <c r="G3837" s="13">
        <f t="shared" si="1"/>
        <v>1281</v>
      </c>
      <c r="H3837" s="13"/>
    </row>
    <row r="3838" ht="22.5" customHeight="1">
      <c r="B3838" s="17"/>
      <c r="C3838" s="17"/>
      <c r="D3838" s="13"/>
      <c r="E3838" s="11"/>
      <c r="F3838" s="11"/>
      <c r="G3838" s="13">
        <f t="shared" si="1"/>
        <v>1281</v>
      </c>
      <c r="H3838" s="13"/>
    </row>
    <row r="3839" ht="22.5" customHeight="1">
      <c r="B3839" s="17"/>
      <c r="C3839" s="17"/>
      <c r="D3839" s="13"/>
      <c r="E3839" s="11"/>
      <c r="F3839" s="11"/>
      <c r="G3839" s="13">
        <f t="shared" si="1"/>
        <v>1281</v>
      </c>
      <c r="H3839" s="13"/>
    </row>
    <row r="3840" ht="22.5" customHeight="1">
      <c r="B3840" s="17"/>
      <c r="C3840" s="17"/>
      <c r="D3840" s="13"/>
      <c r="E3840" s="11"/>
      <c r="F3840" s="11"/>
      <c r="G3840" s="13">
        <f t="shared" si="1"/>
        <v>1281</v>
      </c>
      <c r="H3840" s="13"/>
    </row>
    <row r="3841" ht="22.5" customHeight="1">
      <c r="B3841" s="17"/>
      <c r="C3841" s="17"/>
      <c r="D3841" s="13"/>
      <c r="E3841" s="11"/>
      <c r="F3841" s="11"/>
      <c r="G3841" s="13">
        <f t="shared" si="1"/>
        <v>1281</v>
      </c>
      <c r="H3841" s="13"/>
    </row>
    <row r="3842" ht="22.5" customHeight="1">
      <c r="B3842" s="17"/>
      <c r="C3842" s="17"/>
      <c r="D3842" s="13"/>
      <c r="E3842" s="11"/>
      <c r="F3842" s="11"/>
      <c r="G3842" s="13">
        <f t="shared" si="1"/>
        <v>1281</v>
      </c>
      <c r="H3842" s="13"/>
    </row>
    <row r="3843" ht="22.5" customHeight="1">
      <c r="B3843" s="17"/>
      <c r="C3843" s="17"/>
      <c r="D3843" s="13"/>
      <c r="E3843" s="11"/>
      <c r="F3843" s="11"/>
      <c r="G3843" s="13">
        <f t="shared" si="1"/>
        <v>1281</v>
      </c>
      <c r="H3843" s="13"/>
    </row>
    <row r="3844" ht="22.5" customHeight="1">
      <c r="B3844" s="17"/>
      <c r="C3844" s="17"/>
      <c r="D3844" s="13"/>
      <c r="E3844" s="11"/>
      <c r="F3844" s="11"/>
      <c r="G3844" s="13">
        <f t="shared" si="1"/>
        <v>1281</v>
      </c>
      <c r="H3844" s="13"/>
    </row>
    <row r="3845" ht="22.5" customHeight="1">
      <c r="B3845" s="17"/>
      <c r="C3845" s="17"/>
      <c r="D3845" s="13"/>
      <c r="E3845" s="11"/>
      <c r="F3845" s="11"/>
      <c r="G3845" s="13">
        <f t="shared" si="1"/>
        <v>1281</v>
      </c>
      <c r="H3845" s="13"/>
    </row>
    <row r="3846" ht="22.5" customHeight="1">
      <c r="B3846" s="17"/>
      <c r="C3846" s="17"/>
      <c r="D3846" s="13"/>
      <c r="E3846" s="11"/>
      <c r="F3846" s="11"/>
      <c r="G3846" s="13">
        <f t="shared" si="1"/>
        <v>1281</v>
      </c>
      <c r="H3846" s="13"/>
    </row>
    <row r="3847" ht="22.5" customHeight="1">
      <c r="B3847" s="17"/>
      <c r="C3847" s="17"/>
      <c r="D3847" s="13"/>
      <c r="E3847" s="11"/>
      <c r="F3847" s="11"/>
      <c r="G3847" s="13">
        <f t="shared" si="1"/>
        <v>1281</v>
      </c>
      <c r="H3847" s="13"/>
    </row>
    <row r="3848" ht="22.5" customHeight="1">
      <c r="B3848" s="17"/>
      <c r="C3848" s="17"/>
      <c r="D3848" s="13"/>
      <c r="E3848" s="11"/>
      <c r="F3848" s="11"/>
      <c r="G3848" s="13">
        <f t="shared" si="1"/>
        <v>1281</v>
      </c>
      <c r="H3848" s="13"/>
    </row>
    <row r="3849" ht="22.5" customHeight="1">
      <c r="B3849" s="17"/>
      <c r="C3849" s="17"/>
      <c r="D3849" s="13"/>
      <c r="E3849" s="11"/>
      <c r="F3849" s="11"/>
      <c r="G3849" s="13">
        <f t="shared" si="1"/>
        <v>1281</v>
      </c>
      <c r="H3849" s="13"/>
    </row>
    <row r="3850" ht="22.5" customHeight="1">
      <c r="B3850" s="17"/>
      <c r="C3850" s="17"/>
      <c r="D3850" s="13"/>
      <c r="E3850" s="11"/>
      <c r="F3850" s="11"/>
      <c r="G3850" s="13">
        <f t="shared" si="1"/>
        <v>1281</v>
      </c>
      <c r="H3850" s="13"/>
    </row>
    <row r="3851" ht="22.5" customHeight="1">
      <c r="B3851" s="17"/>
      <c r="C3851" s="17"/>
      <c r="D3851" s="13"/>
      <c r="E3851" s="11"/>
      <c r="F3851" s="11"/>
      <c r="G3851" s="13">
        <f t="shared" si="1"/>
        <v>1281</v>
      </c>
      <c r="H3851" s="13"/>
    </row>
    <row r="3852" ht="22.5" customHeight="1">
      <c r="B3852" s="17"/>
      <c r="C3852" s="17"/>
      <c r="D3852" s="13"/>
      <c r="E3852" s="11"/>
      <c r="F3852" s="11"/>
      <c r="G3852" s="13">
        <f t="shared" si="1"/>
        <v>1281</v>
      </c>
      <c r="H3852" s="13"/>
    </row>
    <row r="3853" ht="22.5" customHeight="1">
      <c r="B3853" s="17"/>
      <c r="C3853" s="17"/>
      <c r="D3853" s="13"/>
      <c r="E3853" s="11"/>
      <c r="F3853" s="11"/>
      <c r="G3853" s="13">
        <f t="shared" si="1"/>
        <v>1281</v>
      </c>
      <c r="H3853" s="13"/>
    </row>
    <row r="3854" ht="22.5" customHeight="1">
      <c r="B3854" s="17"/>
      <c r="C3854" s="17"/>
      <c r="D3854" s="13"/>
      <c r="E3854" s="11"/>
      <c r="F3854" s="11"/>
      <c r="G3854" s="13">
        <f t="shared" si="1"/>
        <v>1281</v>
      </c>
      <c r="H3854" s="13"/>
    </row>
    <row r="3855" ht="22.5" customHeight="1">
      <c r="B3855" s="17"/>
      <c r="C3855" s="17"/>
      <c r="D3855" s="13"/>
      <c r="E3855" s="11"/>
      <c r="F3855" s="11"/>
      <c r="G3855" s="13">
        <f t="shared" si="1"/>
        <v>1281</v>
      </c>
      <c r="H3855" s="13"/>
    </row>
    <row r="3856" ht="22.5" customHeight="1">
      <c r="B3856" s="17"/>
      <c r="C3856" s="17"/>
      <c r="D3856" s="13"/>
      <c r="E3856" s="11"/>
      <c r="F3856" s="11"/>
      <c r="G3856" s="13">
        <f t="shared" si="1"/>
        <v>1281</v>
      </c>
      <c r="H3856" s="13"/>
    </row>
    <row r="3857" ht="22.5" customHeight="1">
      <c r="B3857" s="17"/>
      <c r="C3857" s="17"/>
      <c r="D3857" s="13"/>
      <c r="E3857" s="11"/>
      <c r="F3857" s="11"/>
      <c r="G3857" s="13">
        <f t="shared" si="1"/>
        <v>1281</v>
      </c>
      <c r="H3857" s="13"/>
    </row>
    <row r="3858" ht="22.5" customHeight="1">
      <c r="B3858" s="17"/>
      <c r="C3858" s="17"/>
      <c r="D3858" s="13"/>
      <c r="E3858" s="11"/>
      <c r="F3858" s="11"/>
      <c r="G3858" s="13">
        <f t="shared" si="1"/>
        <v>1281</v>
      </c>
      <c r="H3858" s="13"/>
    </row>
    <row r="3859" ht="22.5" customHeight="1">
      <c r="B3859" s="17"/>
      <c r="C3859" s="17"/>
      <c r="D3859" s="13"/>
      <c r="E3859" s="11"/>
      <c r="F3859" s="11"/>
      <c r="G3859" s="13">
        <f t="shared" si="1"/>
        <v>1281</v>
      </c>
      <c r="H3859" s="13"/>
    </row>
    <row r="3860" ht="22.5" customHeight="1">
      <c r="B3860" s="17"/>
      <c r="C3860" s="17"/>
      <c r="D3860" s="13"/>
      <c r="E3860" s="11"/>
      <c r="F3860" s="11"/>
      <c r="G3860" s="13">
        <f t="shared" si="1"/>
        <v>1281</v>
      </c>
      <c r="H3860" s="13"/>
    </row>
    <row r="3861" ht="22.5" customHeight="1">
      <c r="B3861" s="17"/>
      <c r="C3861" s="17"/>
      <c r="D3861" s="13"/>
      <c r="E3861" s="11"/>
      <c r="F3861" s="11"/>
      <c r="G3861" s="13">
        <f t="shared" si="1"/>
        <v>1281</v>
      </c>
      <c r="H3861" s="13"/>
    </row>
    <row r="3862" ht="22.5" customHeight="1">
      <c r="B3862" s="17"/>
      <c r="C3862" s="17"/>
      <c r="D3862" s="13"/>
      <c r="E3862" s="11"/>
      <c r="F3862" s="11"/>
      <c r="G3862" s="13">
        <f t="shared" si="1"/>
        <v>1281</v>
      </c>
      <c r="H3862" s="13"/>
    </row>
    <row r="3863" ht="22.5" customHeight="1">
      <c r="B3863" s="17"/>
      <c r="C3863" s="17"/>
      <c r="D3863" s="13"/>
      <c r="E3863" s="11"/>
      <c r="F3863" s="11"/>
      <c r="G3863" s="13">
        <f t="shared" si="1"/>
        <v>1281</v>
      </c>
      <c r="H3863" s="13"/>
    </row>
    <row r="3864" ht="22.5" customHeight="1">
      <c r="B3864" s="17"/>
      <c r="C3864" s="17"/>
      <c r="D3864" s="13"/>
      <c r="E3864" s="11"/>
      <c r="F3864" s="11"/>
      <c r="G3864" s="13">
        <f t="shared" si="1"/>
        <v>1281</v>
      </c>
      <c r="H3864" s="13"/>
    </row>
    <row r="3865" ht="22.5" customHeight="1">
      <c r="B3865" s="17"/>
      <c r="C3865" s="17"/>
      <c r="D3865" s="13"/>
      <c r="E3865" s="11"/>
      <c r="F3865" s="11"/>
      <c r="G3865" s="13">
        <f t="shared" si="1"/>
        <v>1281</v>
      </c>
      <c r="H3865" s="13"/>
    </row>
    <row r="3866" ht="22.5" customHeight="1">
      <c r="B3866" s="17"/>
      <c r="C3866" s="17"/>
      <c r="D3866" s="13"/>
      <c r="E3866" s="11"/>
      <c r="F3866" s="11"/>
      <c r="G3866" s="13">
        <f t="shared" si="1"/>
        <v>1281</v>
      </c>
      <c r="H3866" s="13"/>
    </row>
    <row r="3867" ht="22.5" customHeight="1">
      <c r="B3867" s="17"/>
      <c r="C3867" s="17"/>
      <c r="D3867" s="13"/>
      <c r="E3867" s="11"/>
      <c r="F3867" s="11"/>
      <c r="G3867" s="13">
        <f t="shared" si="1"/>
        <v>1281</v>
      </c>
      <c r="H3867" s="13"/>
    </row>
    <row r="3868" ht="22.5" customHeight="1">
      <c r="B3868" s="17"/>
      <c r="C3868" s="17"/>
      <c r="D3868" s="13"/>
      <c r="E3868" s="11"/>
      <c r="F3868" s="11"/>
      <c r="G3868" s="13">
        <f t="shared" si="1"/>
        <v>1281</v>
      </c>
      <c r="H3868" s="13"/>
    </row>
    <row r="3869" ht="22.5" customHeight="1">
      <c r="B3869" s="17"/>
      <c r="C3869" s="17"/>
      <c r="D3869" s="13"/>
      <c r="E3869" s="11"/>
      <c r="F3869" s="11"/>
      <c r="G3869" s="13">
        <f t="shared" si="1"/>
        <v>1281</v>
      </c>
      <c r="H3869" s="13"/>
    </row>
    <row r="3870" ht="22.5" customHeight="1">
      <c r="B3870" s="17"/>
      <c r="C3870" s="17"/>
      <c r="D3870" s="13"/>
      <c r="E3870" s="11"/>
      <c r="F3870" s="11"/>
      <c r="G3870" s="13">
        <f t="shared" si="1"/>
        <v>1281</v>
      </c>
      <c r="H3870" s="13"/>
    </row>
    <row r="3871" ht="22.5" customHeight="1">
      <c r="B3871" s="17"/>
      <c r="C3871" s="17"/>
      <c r="D3871" s="13"/>
      <c r="E3871" s="11"/>
      <c r="F3871" s="11"/>
      <c r="G3871" s="13">
        <f t="shared" si="1"/>
        <v>1281</v>
      </c>
      <c r="H3871" s="13"/>
    </row>
    <row r="3872" ht="22.5" customHeight="1">
      <c r="B3872" s="17"/>
      <c r="C3872" s="17"/>
      <c r="D3872" s="13"/>
      <c r="E3872" s="11"/>
      <c r="F3872" s="11"/>
      <c r="G3872" s="13">
        <f t="shared" si="1"/>
        <v>1281</v>
      </c>
      <c r="H3872" s="13"/>
    </row>
    <row r="3873" ht="22.5" customHeight="1">
      <c r="B3873" s="17"/>
      <c r="C3873" s="17"/>
      <c r="D3873" s="13"/>
      <c r="E3873" s="11"/>
      <c r="F3873" s="11"/>
      <c r="G3873" s="13">
        <f t="shared" si="1"/>
        <v>1281</v>
      </c>
      <c r="H3873" s="13"/>
    </row>
    <row r="3874" ht="22.5" customHeight="1">
      <c r="B3874" s="17"/>
      <c r="C3874" s="17"/>
      <c r="D3874" s="13"/>
      <c r="E3874" s="11"/>
      <c r="F3874" s="11"/>
      <c r="G3874" s="13">
        <f t="shared" si="1"/>
        <v>1281</v>
      </c>
      <c r="H3874" s="13"/>
    </row>
    <row r="3875" ht="22.5" customHeight="1">
      <c r="B3875" s="17"/>
      <c r="C3875" s="17"/>
      <c r="D3875" s="13"/>
      <c r="E3875" s="11"/>
      <c r="F3875" s="11"/>
      <c r="G3875" s="13">
        <f t="shared" si="1"/>
        <v>1281</v>
      </c>
      <c r="H3875" s="13"/>
    </row>
    <row r="3876" ht="22.5" customHeight="1">
      <c r="B3876" s="17"/>
      <c r="C3876" s="17"/>
      <c r="D3876" s="13"/>
      <c r="E3876" s="11"/>
      <c r="F3876" s="11"/>
      <c r="G3876" s="13">
        <f t="shared" si="1"/>
        <v>1281</v>
      </c>
      <c r="H3876" s="13"/>
    </row>
    <row r="3877" ht="22.5" customHeight="1">
      <c r="B3877" s="17"/>
      <c r="C3877" s="17"/>
      <c r="D3877" s="13"/>
      <c r="E3877" s="11"/>
      <c r="F3877" s="11"/>
      <c r="G3877" s="13">
        <f t="shared" si="1"/>
        <v>1281</v>
      </c>
      <c r="H3877" s="13"/>
    </row>
    <row r="3878" ht="22.5" customHeight="1">
      <c r="B3878" s="17"/>
      <c r="C3878" s="17"/>
      <c r="D3878" s="13"/>
      <c r="E3878" s="11"/>
      <c r="F3878" s="11"/>
      <c r="G3878" s="13">
        <f t="shared" si="1"/>
        <v>1281</v>
      </c>
      <c r="H3878" s="13"/>
    </row>
    <row r="3879" ht="22.5" customHeight="1">
      <c r="B3879" s="17"/>
      <c r="C3879" s="17"/>
      <c r="D3879" s="13"/>
      <c r="E3879" s="11"/>
      <c r="F3879" s="11"/>
      <c r="G3879" s="13">
        <f t="shared" si="1"/>
        <v>1281</v>
      </c>
      <c r="H3879" s="13"/>
    </row>
    <row r="3880" ht="22.5" customHeight="1">
      <c r="B3880" s="17"/>
      <c r="C3880" s="17"/>
      <c r="D3880" s="13"/>
      <c r="E3880" s="11"/>
      <c r="F3880" s="11"/>
      <c r="G3880" s="13">
        <f t="shared" si="1"/>
        <v>1281</v>
      </c>
      <c r="H3880" s="13"/>
    </row>
    <row r="3881" ht="22.5" customHeight="1">
      <c r="B3881" s="17"/>
      <c r="C3881" s="17"/>
      <c r="D3881" s="13"/>
      <c r="E3881" s="11"/>
      <c r="F3881" s="11"/>
      <c r="G3881" s="13">
        <f t="shared" si="1"/>
        <v>1281</v>
      </c>
      <c r="H3881" s="13"/>
    </row>
    <row r="3882" ht="22.5" customHeight="1">
      <c r="B3882" s="17"/>
      <c r="C3882" s="17"/>
      <c r="D3882" s="13"/>
      <c r="E3882" s="11"/>
      <c r="F3882" s="11"/>
      <c r="G3882" s="13">
        <f t="shared" si="1"/>
        <v>1281</v>
      </c>
      <c r="H3882" s="13"/>
    </row>
    <row r="3883" ht="22.5" customHeight="1">
      <c r="B3883" s="17"/>
      <c r="C3883" s="17"/>
      <c r="D3883" s="13"/>
      <c r="E3883" s="11"/>
      <c r="F3883" s="11"/>
      <c r="G3883" s="13">
        <f t="shared" si="1"/>
        <v>1281</v>
      </c>
      <c r="H3883" s="13"/>
    </row>
    <row r="3884" ht="22.5" customHeight="1">
      <c r="B3884" s="17"/>
      <c r="C3884" s="17"/>
      <c r="D3884" s="13"/>
      <c r="E3884" s="11"/>
      <c r="F3884" s="11"/>
      <c r="G3884" s="13">
        <f t="shared" si="1"/>
        <v>1281</v>
      </c>
      <c r="H3884" s="13"/>
    </row>
    <row r="3885" ht="22.5" customHeight="1">
      <c r="B3885" s="17"/>
      <c r="C3885" s="17"/>
      <c r="D3885" s="13"/>
      <c r="E3885" s="11"/>
      <c r="F3885" s="11"/>
      <c r="G3885" s="13">
        <f t="shared" si="1"/>
        <v>1281</v>
      </c>
      <c r="H3885" s="13"/>
    </row>
    <row r="3886" ht="22.5" customHeight="1">
      <c r="B3886" s="17"/>
      <c r="C3886" s="17"/>
      <c r="D3886" s="13"/>
      <c r="E3886" s="11"/>
      <c r="F3886" s="11"/>
      <c r="G3886" s="13">
        <f t="shared" si="1"/>
        <v>1281</v>
      </c>
      <c r="H3886" s="13"/>
    </row>
    <row r="3887" ht="22.5" customHeight="1">
      <c r="B3887" s="17"/>
      <c r="C3887" s="17"/>
      <c r="D3887" s="13"/>
      <c r="E3887" s="11"/>
      <c r="F3887" s="11"/>
      <c r="G3887" s="13">
        <f t="shared" si="1"/>
        <v>1281</v>
      </c>
      <c r="H3887" s="13"/>
    </row>
    <row r="3888" ht="22.5" customHeight="1">
      <c r="B3888" s="17"/>
      <c r="C3888" s="17"/>
      <c r="D3888" s="13"/>
      <c r="E3888" s="11"/>
      <c r="F3888" s="11"/>
      <c r="G3888" s="13">
        <f t="shared" si="1"/>
        <v>1281</v>
      </c>
      <c r="H3888" s="13"/>
    </row>
    <row r="3889" ht="22.5" customHeight="1">
      <c r="B3889" s="17"/>
      <c r="C3889" s="17"/>
      <c r="D3889" s="13"/>
      <c r="E3889" s="11"/>
      <c r="F3889" s="11"/>
      <c r="G3889" s="13">
        <f t="shared" si="1"/>
        <v>1281</v>
      </c>
      <c r="H3889" s="13"/>
    </row>
    <row r="3890" ht="22.5" customHeight="1">
      <c r="B3890" s="17"/>
      <c r="C3890" s="17"/>
      <c r="D3890" s="13"/>
      <c r="E3890" s="11"/>
      <c r="F3890" s="11"/>
      <c r="G3890" s="13">
        <f t="shared" si="1"/>
        <v>1281</v>
      </c>
      <c r="H3890" s="13"/>
    </row>
    <row r="3891" ht="22.5" customHeight="1">
      <c r="B3891" s="17"/>
      <c r="C3891" s="17"/>
      <c r="D3891" s="13"/>
      <c r="E3891" s="11"/>
      <c r="F3891" s="11"/>
      <c r="G3891" s="13">
        <f t="shared" si="1"/>
        <v>1281</v>
      </c>
      <c r="H3891" s="13"/>
    </row>
    <row r="3892" ht="22.5" customHeight="1">
      <c r="B3892" s="17"/>
      <c r="C3892" s="17"/>
      <c r="D3892" s="13"/>
      <c r="E3892" s="11"/>
      <c r="F3892" s="11"/>
      <c r="G3892" s="13">
        <f t="shared" si="1"/>
        <v>1281</v>
      </c>
      <c r="H3892" s="13"/>
    </row>
    <row r="3893" ht="22.5" customHeight="1">
      <c r="B3893" s="17"/>
      <c r="C3893" s="17"/>
      <c r="D3893" s="13"/>
      <c r="E3893" s="11"/>
      <c r="F3893" s="11"/>
      <c r="G3893" s="13">
        <f t="shared" si="1"/>
        <v>1281</v>
      </c>
      <c r="H3893" s="13"/>
    </row>
    <row r="3894" ht="22.5" customHeight="1">
      <c r="B3894" s="17"/>
      <c r="C3894" s="17"/>
      <c r="D3894" s="13"/>
      <c r="E3894" s="11"/>
      <c r="F3894" s="11"/>
      <c r="G3894" s="13">
        <f t="shared" si="1"/>
        <v>1281</v>
      </c>
      <c r="H3894" s="13"/>
    </row>
    <row r="3895" ht="22.5" customHeight="1">
      <c r="B3895" s="17"/>
      <c r="C3895" s="17"/>
      <c r="D3895" s="13"/>
      <c r="E3895" s="11"/>
      <c r="F3895" s="11"/>
      <c r="G3895" s="13">
        <f t="shared" si="1"/>
        <v>1281</v>
      </c>
      <c r="H3895" s="13"/>
    </row>
    <row r="3896" ht="22.5" customHeight="1">
      <c r="B3896" s="17"/>
      <c r="C3896" s="17"/>
      <c r="D3896" s="13"/>
      <c r="E3896" s="11"/>
      <c r="F3896" s="11"/>
      <c r="G3896" s="13">
        <f t="shared" si="1"/>
        <v>1281</v>
      </c>
      <c r="H3896" s="13"/>
    </row>
    <row r="3897" ht="22.5" customHeight="1">
      <c r="B3897" s="17"/>
      <c r="C3897" s="17"/>
      <c r="D3897" s="13"/>
      <c r="E3897" s="11"/>
      <c r="F3897" s="11"/>
      <c r="G3897" s="13">
        <f t="shared" si="1"/>
        <v>1281</v>
      </c>
      <c r="H3897" s="13"/>
    </row>
    <row r="3898" ht="22.5" customHeight="1">
      <c r="B3898" s="17"/>
      <c r="C3898" s="17"/>
      <c r="D3898" s="13"/>
      <c r="E3898" s="11"/>
      <c r="F3898" s="11"/>
      <c r="G3898" s="13">
        <f t="shared" si="1"/>
        <v>1281</v>
      </c>
      <c r="H3898" s="13"/>
    </row>
    <row r="3899" ht="22.5" customHeight="1">
      <c r="B3899" s="17"/>
      <c r="C3899" s="17"/>
      <c r="D3899" s="13"/>
      <c r="E3899" s="11"/>
      <c r="F3899" s="11"/>
      <c r="G3899" s="13">
        <f t="shared" si="1"/>
        <v>1281</v>
      </c>
      <c r="H3899" s="13"/>
    </row>
    <row r="3900" ht="22.5" customHeight="1">
      <c r="B3900" s="17"/>
      <c r="C3900" s="17"/>
      <c r="D3900" s="13"/>
      <c r="E3900" s="11"/>
      <c r="F3900" s="11"/>
      <c r="G3900" s="13">
        <f t="shared" si="1"/>
        <v>1281</v>
      </c>
      <c r="H3900" s="13"/>
    </row>
    <row r="3901" ht="22.5" customHeight="1">
      <c r="B3901" s="17"/>
      <c r="C3901" s="17"/>
      <c r="D3901" s="13"/>
      <c r="E3901" s="11"/>
      <c r="F3901" s="11"/>
      <c r="G3901" s="13">
        <f t="shared" si="1"/>
        <v>1281</v>
      </c>
      <c r="H3901" s="13"/>
    </row>
    <row r="3902" ht="22.5" customHeight="1">
      <c r="B3902" s="17"/>
      <c r="C3902" s="17"/>
      <c r="D3902" s="13"/>
      <c r="E3902" s="11"/>
      <c r="F3902" s="11"/>
      <c r="G3902" s="13">
        <f t="shared" si="1"/>
        <v>1281</v>
      </c>
      <c r="H3902" s="13"/>
    </row>
    <row r="3903" ht="22.5" customHeight="1">
      <c r="B3903" s="17"/>
      <c r="C3903" s="17"/>
      <c r="D3903" s="13"/>
      <c r="E3903" s="11"/>
      <c r="F3903" s="11"/>
      <c r="G3903" s="13">
        <f t="shared" si="1"/>
        <v>1281</v>
      </c>
      <c r="H3903" s="13"/>
    </row>
    <row r="3904" ht="22.5" customHeight="1">
      <c r="B3904" s="17"/>
      <c r="C3904" s="17"/>
      <c r="D3904" s="13"/>
      <c r="E3904" s="11"/>
      <c r="F3904" s="11"/>
      <c r="G3904" s="13">
        <f t="shared" si="1"/>
        <v>1281</v>
      </c>
      <c r="H3904" s="13"/>
    </row>
    <row r="3905" ht="22.5" customHeight="1">
      <c r="B3905" s="17"/>
      <c r="C3905" s="17"/>
      <c r="D3905" s="13"/>
      <c r="E3905" s="11"/>
      <c r="F3905" s="11"/>
      <c r="G3905" s="13">
        <f t="shared" si="1"/>
        <v>1281</v>
      </c>
      <c r="H3905" s="13"/>
    </row>
    <row r="3906" ht="22.5" customHeight="1">
      <c r="B3906" s="17"/>
      <c r="C3906" s="17"/>
      <c r="D3906" s="13"/>
      <c r="E3906" s="11"/>
      <c r="F3906" s="11"/>
      <c r="G3906" s="13">
        <f t="shared" si="1"/>
        <v>1281</v>
      </c>
      <c r="H3906" s="13"/>
    </row>
    <row r="3907" ht="22.5" customHeight="1">
      <c r="B3907" s="17"/>
      <c r="C3907" s="17"/>
      <c r="D3907" s="13"/>
      <c r="E3907" s="11"/>
      <c r="F3907" s="11"/>
      <c r="G3907" s="13">
        <f t="shared" si="1"/>
        <v>1281</v>
      </c>
      <c r="H3907" s="13"/>
    </row>
    <row r="3908" ht="22.5" customHeight="1">
      <c r="B3908" s="17"/>
      <c r="C3908" s="17"/>
      <c r="D3908" s="13"/>
      <c r="E3908" s="11"/>
      <c r="F3908" s="11"/>
      <c r="G3908" s="13">
        <f t="shared" si="1"/>
        <v>1281</v>
      </c>
      <c r="H3908" s="13"/>
    </row>
    <row r="3909" ht="22.5" customHeight="1">
      <c r="B3909" s="17"/>
      <c r="C3909" s="17"/>
      <c r="D3909" s="13"/>
      <c r="E3909" s="11"/>
      <c r="F3909" s="11"/>
      <c r="G3909" s="13">
        <f t="shared" si="1"/>
        <v>1281</v>
      </c>
      <c r="H3909" s="13"/>
    </row>
    <row r="3910" ht="22.5" customHeight="1">
      <c r="B3910" s="17"/>
      <c r="C3910" s="17"/>
      <c r="D3910" s="13"/>
      <c r="E3910" s="11"/>
      <c r="F3910" s="11"/>
      <c r="G3910" s="13">
        <f t="shared" si="1"/>
        <v>1281</v>
      </c>
      <c r="H3910" s="13"/>
    </row>
    <row r="3911" ht="22.5" customHeight="1">
      <c r="B3911" s="17"/>
      <c r="C3911" s="17"/>
      <c r="D3911" s="13"/>
      <c r="E3911" s="11"/>
      <c r="F3911" s="11"/>
      <c r="G3911" s="13">
        <f t="shared" si="1"/>
        <v>1281</v>
      </c>
      <c r="H3911" s="13"/>
    </row>
    <row r="3912" ht="22.5" customHeight="1">
      <c r="B3912" s="17"/>
      <c r="C3912" s="17"/>
      <c r="D3912" s="13"/>
      <c r="E3912" s="11"/>
      <c r="F3912" s="11"/>
      <c r="G3912" s="13">
        <f t="shared" si="1"/>
        <v>1281</v>
      </c>
      <c r="H3912" s="13"/>
    </row>
    <row r="3913" ht="22.5" customHeight="1">
      <c r="B3913" s="17"/>
      <c r="C3913" s="17"/>
      <c r="D3913" s="13"/>
      <c r="E3913" s="11"/>
      <c r="F3913" s="11"/>
      <c r="G3913" s="13">
        <f t="shared" si="1"/>
        <v>1281</v>
      </c>
      <c r="H3913" s="13"/>
    </row>
    <row r="3914" ht="22.5" customHeight="1">
      <c r="B3914" s="17"/>
      <c r="C3914" s="17"/>
      <c r="D3914" s="13"/>
      <c r="E3914" s="11"/>
      <c r="F3914" s="11"/>
      <c r="G3914" s="13">
        <f t="shared" si="1"/>
        <v>1281</v>
      </c>
      <c r="H3914" s="13"/>
    </row>
    <row r="3915" ht="22.5" customHeight="1">
      <c r="B3915" s="17"/>
      <c r="C3915" s="17"/>
      <c r="D3915" s="13"/>
      <c r="E3915" s="11"/>
      <c r="F3915" s="11"/>
      <c r="G3915" s="13">
        <f t="shared" si="1"/>
        <v>1281</v>
      </c>
      <c r="H3915" s="13"/>
    </row>
    <row r="3916" ht="22.5" customHeight="1">
      <c r="B3916" s="17"/>
      <c r="C3916" s="17"/>
      <c r="D3916" s="13"/>
      <c r="E3916" s="11"/>
      <c r="F3916" s="11"/>
      <c r="G3916" s="13">
        <f t="shared" si="1"/>
        <v>1281</v>
      </c>
      <c r="H3916" s="13"/>
    </row>
    <row r="3917" ht="22.5" customHeight="1">
      <c r="B3917" s="17"/>
      <c r="C3917" s="17"/>
      <c r="D3917" s="13"/>
      <c r="E3917" s="11"/>
      <c r="F3917" s="11"/>
      <c r="G3917" s="13">
        <f t="shared" si="1"/>
        <v>1281</v>
      </c>
      <c r="H3917" s="13"/>
    </row>
    <row r="3918" ht="22.5" customHeight="1">
      <c r="B3918" s="17"/>
      <c r="C3918" s="17"/>
      <c r="D3918" s="13"/>
      <c r="E3918" s="11"/>
      <c r="F3918" s="11"/>
      <c r="G3918" s="13">
        <f t="shared" si="1"/>
        <v>1281</v>
      </c>
      <c r="H3918" s="13"/>
    </row>
    <row r="3919" ht="22.5" customHeight="1">
      <c r="B3919" s="17"/>
      <c r="C3919" s="17"/>
      <c r="D3919" s="13"/>
      <c r="E3919" s="11"/>
      <c r="F3919" s="11"/>
      <c r="G3919" s="13">
        <f t="shared" si="1"/>
        <v>1281</v>
      </c>
      <c r="H3919" s="13"/>
    </row>
    <row r="3920" ht="22.5" customHeight="1">
      <c r="B3920" s="17"/>
      <c r="C3920" s="17"/>
      <c r="D3920" s="13"/>
      <c r="E3920" s="11"/>
      <c r="F3920" s="11"/>
      <c r="G3920" s="13">
        <f t="shared" si="1"/>
        <v>1281</v>
      </c>
      <c r="H3920" s="13"/>
    </row>
    <row r="3921" ht="22.5" customHeight="1">
      <c r="B3921" s="17"/>
      <c r="C3921" s="17"/>
      <c r="D3921" s="13"/>
      <c r="E3921" s="11"/>
      <c r="F3921" s="11"/>
      <c r="G3921" s="13">
        <f t="shared" si="1"/>
        <v>1281</v>
      </c>
      <c r="H3921" s="13"/>
    </row>
    <row r="3922" ht="22.5" customHeight="1">
      <c r="B3922" s="17"/>
      <c r="C3922" s="17"/>
      <c r="D3922" s="13"/>
      <c r="E3922" s="11"/>
      <c r="F3922" s="11"/>
      <c r="G3922" s="13">
        <f t="shared" si="1"/>
        <v>1281</v>
      </c>
      <c r="H3922" s="13"/>
    </row>
    <row r="3923" ht="22.5" customHeight="1">
      <c r="B3923" s="17"/>
      <c r="C3923" s="17"/>
      <c r="D3923" s="13"/>
      <c r="E3923" s="11"/>
      <c r="F3923" s="11"/>
      <c r="G3923" s="13">
        <f t="shared" si="1"/>
        <v>1281</v>
      </c>
      <c r="H3923" s="13"/>
    </row>
    <row r="3924" ht="22.5" customHeight="1">
      <c r="B3924" s="17"/>
      <c r="C3924" s="17"/>
      <c r="D3924" s="13"/>
      <c r="E3924" s="11"/>
      <c r="F3924" s="11"/>
      <c r="G3924" s="13">
        <f t="shared" si="1"/>
        <v>1281</v>
      </c>
      <c r="H3924" s="13"/>
    </row>
    <row r="3925" ht="22.5" customHeight="1">
      <c r="B3925" s="17"/>
      <c r="C3925" s="17"/>
      <c r="D3925" s="13"/>
      <c r="E3925" s="11"/>
      <c r="F3925" s="11"/>
      <c r="G3925" s="13">
        <f t="shared" si="1"/>
        <v>1281</v>
      </c>
      <c r="H3925" s="13"/>
    </row>
    <row r="3926" ht="22.5" customHeight="1">
      <c r="B3926" s="17"/>
      <c r="C3926" s="17"/>
      <c r="D3926" s="13"/>
      <c r="E3926" s="11"/>
      <c r="F3926" s="11"/>
      <c r="G3926" s="13">
        <f t="shared" si="1"/>
        <v>1281</v>
      </c>
      <c r="H3926" s="13"/>
    </row>
    <row r="3927" ht="22.5" customHeight="1">
      <c r="B3927" s="17"/>
      <c r="C3927" s="17"/>
      <c r="D3927" s="13"/>
      <c r="E3927" s="11"/>
      <c r="F3927" s="11"/>
      <c r="G3927" s="13">
        <f t="shared" si="1"/>
        <v>1281</v>
      </c>
      <c r="H3927" s="13"/>
    </row>
    <row r="3928" ht="22.5" customHeight="1">
      <c r="B3928" s="17"/>
      <c r="C3928" s="17"/>
      <c r="D3928" s="13"/>
      <c r="E3928" s="11"/>
      <c r="F3928" s="11"/>
      <c r="G3928" s="13">
        <f t="shared" si="1"/>
        <v>1281</v>
      </c>
      <c r="H3928" s="13"/>
    </row>
    <row r="3929" ht="22.5" customHeight="1">
      <c r="B3929" s="17"/>
      <c r="C3929" s="17"/>
      <c r="D3929" s="13"/>
      <c r="E3929" s="11"/>
      <c r="F3929" s="11"/>
      <c r="G3929" s="13">
        <f t="shared" si="1"/>
        <v>1281</v>
      </c>
      <c r="H3929" s="13"/>
    </row>
    <row r="3930" ht="22.5" customHeight="1">
      <c r="B3930" s="17"/>
      <c r="C3930" s="17"/>
      <c r="D3930" s="13"/>
      <c r="E3930" s="11"/>
      <c r="F3930" s="11"/>
      <c r="G3930" s="13">
        <f t="shared" si="1"/>
        <v>1281</v>
      </c>
      <c r="H3930" s="13"/>
    </row>
    <row r="3931" ht="22.5" customHeight="1">
      <c r="B3931" s="17"/>
      <c r="C3931" s="17"/>
      <c r="D3931" s="13"/>
      <c r="E3931" s="11"/>
      <c r="F3931" s="11"/>
      <c r="G3931" s="13">
        <f t="shared" si="1"/>
        <v>1281</v>
      </c>
      <c r="H3931" s="13"/>
    </row>
    <row r="3932" ht="22.5" customHeight="1">
      <c r="B3932" s="17"/>
      <c r="C3932" s="17"/>
      <c r="D3932" s="13"/>
      <c r="E3932" s="11"/>
      <c r="F3932" s="11"/>
      <c r="G3932" s="13">
        <f t="shared" si="1"/>
        <v>1281</v>
      </c>
      <c r="H3932" s="13"/>
    </row>
    <row r="3933" ht="22.5" customHeight="1">
      <c r="B3933" s="17"/>
      <c r="C3933" s="17"/>
      <c r="D3933" s="13"/>
      <c r="E3933" s="11"/>
      <c r="F3933" s="11"/>
      <c r="G3933" s="13">
        <f t="shared" si="1"/>
        <v>1281</v>
      </c>
      <c r="H3933" s="13"/>
    </row>
    <row r="3934" ht="22.5" customHeight="1">
      <c r="B3934" s="17"/>
      <c r="C3934" s="17"/>
      <c r="D3934" s="13"/>
      <c r="E3934" s="11"/>
      <c r="F3934" s="11"/>
      <c r="G3934" s="13">
        <f t="shared" si="1"/>
        <v>1281</v>
      </c>
      <c r="H3934" s="13"/>
    </row>
    <row r="3935" ht="22.5" customHeight="1">
      <c r="B3935" s="17"/>
      <c r="C3935" s="17"/>
      <c r="D3935" s="13"/>
      <c r="E3935" s="11"/>
      <c r="F3935" s="11"/>
      <c r="G3935" s="13">
        <f t="shared" si="1"/>
        <v>1281</v>
      </c>
      <c r="H3935" s="13"/>
    </row>
    <row r="3936" ht="22.5" customHeight="1">
      <c r="B3936" s="17"/>
      <c r="C3936" s="17"/>
      <c r="D3936" s="13"/>
      <c r="E3936" s="11"/>
      <c r="F3936" s="11"/>
      <c r="G3936" s="13">
        <f t="shared" si="1"/>
        <v>1281</v>
      </c>
      <c r="H3936" s="13"/>
    </row>
    <row r="3937" ht="22.5" customHeight="1">
      <c r="B3937" s="17"/>
      <c r="C3937" s="17"/>
      <c r="D3937" s="13"/>
      <c r="E3937" s="11"/>
      <c r="F3937" s="11"/>
      <c r="G3937" s="13">
        <f t="shared" si="1"/>
        <v>1281</v>
      </c>
      <c r="H3937" s="13"/>
    </row>
    <row r="3938" ht="22.5" customHeight="1">
      <c r="B3938" s="17"/>
      <c r="C3938" s="17"/>
      <c r="D3938" s="13"/>
      <c r="E3938" s="11"/>
      <c r="F3938" s="11"/>
      <c r="G3938" s="13">
        <f t="shared" si="1"/>
        <v>1281</v>
      </c>
      <c r="H3938" s="13"/>
    </row>
    <row r="3939" ht="22.5" customHeight="1">
      <c r="B3939" s="17"/>
      <c r="C3939" s="17"/>
      <c r="D3939" s="13"/>
      <c r="E3939" s="11"/>
      <c r="F3939" s="11"/>
      <c r="G3939" s="13">
        <f t="shared" si="1"/>
        <v>1281</v>
      </c>
      <c r="H3939" s="13"/>
    </row>
    <row r="3940" ht="22.5" customHeight="1">
      <c r="B3940" s="17"/>
      <c r="C3940" s="17"/>
      <c r="D3940" s="13"/>
      <c r="E3940" s="11"/>
      <c r="F3940" s="11"/>
      <c r="G3940" s="13">
        <f t="shared" si="1"/>
        <v>1281</v>
      </c>
      <c r="H3940" s="13"/>
    </row>
    <row r="3941" ht="22.5" customHeight="1">
      <c r="B3941" s="17"/>
      <c r="C3941" s="17"/>
      <c r="D3941" s="13"/>
      <c r="E3941" s="11"/>
      <c r="F3941" s="11"/>
      <c r="G3941" s="13">
        <f t="shared" si="1"/>
        <v>1281</v>
      </c>
      <c r="H3941" s="13"/>
    </row>
    <row r="3942" ht="22.5" customHeight="1">
      <c r="B3942" s="17"/>
      <c r="C3942" s="17"/>
      <c r="D3942" s="13"/>
      <c r="E3942" s="11"/>
      <c r="F3942" s="11"/>
      <c r="G3942" s="13">
        <f t="shared" si="1"/>
        <v>1281</v>
      </c>
      <c r="H3942" s="13"/>
    </row>
    <row r="3943" ht="22.5" customHeight="1">
      <c r="B3943" s="17"/>
      <c r="C3943" s="17"/>
      <c r="D3943" s="13"/>
      <c r="E3943" s="11"/>
      <c r="F3943" s="11"/>
      <c r="G3943" s="13">
        <f t="shared" si="1"/>
        <v>1281</v>
      </c>
      <c r="H3943" s="13"/>
    </row>
    <row r="3944" ht="22.5" customHeight="1">
      <c r="B3944" s="17"/>
      <c r="C3944" s="17"/>
      <c r="D3944" s="13"/>
      <c r="E3944" s="11"/>
      <c r="F3944" s="11"/>
      <c r="G3944" s="13">
        <f t="shared" si="1"/>
        <v>1281</v>
      </c>
      <c r="H3944" s="13"/>
    </row>
    <row r="3945" ht="22.5" customHeight="1">
      <c r="B3945" s="17"/>
      <c r="C3945" s="17"/>
      <c r="D3945" s="13"/>
      <c r="E3945" s="11"/>
      <c r="F3945" s="11"/>
      <c r="G3945" s="13">
        <f t="shared" si="1"/>
        <v>1281</v>
      </c>
      <c r="H3945" s="13"/>
    </row>
    <row r="3946" ht="22.5" customHeight="1">
      <c r="B3946" s="17"/>
      <c r="C3946" s="17"/>
      <c r="D3946" s="13"/>
      <c r="E3946" s="11"/>
      <c r="F3946" s="11"/>
      <c r="G3946" s="13">
        <f t="shared" si="1"/>
        <v>1281</v>
      </c>
      <c r="H3946" s="13"/>
    </row>
    <row r="3947" ht="22.5" customHeight="1">
      <c r="B3947" s="17"/>
      <c r="C3947" s="17"/>
      <c r="D3947" s="13"/>
      <c r="E3947" s="11"/>
      <c r="F3947" s="11"/>
      <c r="G3947" s="13">
        <f t="shared" si="1"/>
        <v>1281</v>
      </c>
      <c r="H3947" s="13"/>
    </row>
    <row r="3948" ht="22.5" customHeight="1">
      <c r="B3948" s="17"/>
      <c r="C3948" s="17"/>
      <c r="D3948" s="13"/>
      <c r="E3948" s="11"/>
      <c r="F3948" s="11"/>
      <c r="G3948" s="13">
        <f t="shared" si="1"/>
        <v>1281</v>
      </c>
      <c r="H3948" s="13"/>
    </row>
    <row r="3949" ht="22.5" customHeight="1">
      <c r="B3949" s="17"/>
      <c r="C3949" s="17"/>
      <c r="D3949" s="13"/>
      <c r="E3949" s="11"/>
      <c r="F3949" s="11"/>
      <c r="G3949" s="13">
        <f t="shared" si="1"/>
        <v>1281</v>
      </c>
      <c r="H3949" s="13"/>
    </row>
    <row r="3950" ht="22.5" customHeight="1">
      <c r="B3950" s="17"/>
      <c r="C3950" s="17"/>
      <c r="D3950" s="13"/>
      <c r="E3950" s="11"/>
      <c r="F3950" s="11"/>
      <c r="G3950" s="13">
        <f t="shared" si="1"/>
        <v>1281</v>
      </c>
      <c r="H3950" s="13"/>
    </row>
    <row r="3951" ht="22.5" customHeight="1">
      <c r="B3951" s="17"/>
      <c r="C3951" s="17"/>
      <c r="D3951" s="13"/>
      <c r="E3951" s="11"/>
      <c r="F3951" s="11"/>
      <c r="G3951" s="13">
        <f t="shared" si="1"/>
        <v>1281</v>
      </c>
      <c r="H3951" s="13"/>
    </row>
    <row r="3952" ht="22.5" customHeight="1">
      <c r="B3952" s="17"/>
      <c r="C3952" s="17"/>
      <c r="D3952" s="13"/>
      <c r="E3952" s="11"/>
      <c r="F3952" s="11"/>
      <c r="G3952" s="13">
        <f t="shared" si="1"/>
        <v>1281</v>
      </c>
      <c r="H3952" s="13"/>
    </row>
    <row r="3953" ht="22.5" customHeight="1">
      <c r="B3953" s="17"/>
      <c r="C3953" s="17"/>
      <c r="D3953" s="13"/>
      <c r="E3953" s="11"/>
      <c r="F3953" s="11"/>
      <c r="G3953" s="13">
        <f t="shared" si="1"/>
        <v>1281</v>
      </c>
      <c r="H3953" s="13"/>
    </row>
    <row r="3954" ht="22.5" customHeight="1">
      <c r="B3954" s="17"/>
      <c r="C3954" s="17"/>
      <c r="D3954" s="13"/>
      <c r="E3954" s="11"/>
      <c r="F3954" s="11"/>
      <c r="G3954" s="13">
        <f t="shared" si="1"/>
        <v>1281</v>
      </c>
      <c r="H3954" s="13"/>
    </row>
    <row r="3955" ht="22.5" customHeight="1">
      <c r="B3955" s="17"/>
      <c r="C3955" s="17"/>
      <c r="D3955" s="13"/>
      <c r="E3955" s="11"/>
      <c r="F3955" s="11"/>
      <c r="G3955" s="13">
        <f t="shared" si="1"/>
        <v>1281</v>
      </c>
      <c r="H3955" s="13"/>
    </row>
    <row r="3956" ht="22.5" customHeight="1">
      <c r="B3956" s="17"/>
      <c r="C3956" s="17"/>
      <c r="D3956" s="13"/>
      <c r="E3956" s="11"/>
      <c r="F3956" s="11"/>
      <c r="G3956" s="13">
        <f t="shared" si="1"/>
        <v>1281</v>
      </c>
      <c r="H3956" s="13"/>
    </row>
    <row r="3957" ht="22.5" customHeight="1">
      <c r="B3957" s="17"/>
      <c r="C3957" s="17"/>
      <c r="D3957" s="13"/>
      <c r="E3957" s="11"/>
      <c r="F3957" s="11"/>
      <c r="G3957" s="13">
        <f t="shared" si="1"/>
        <v>1281</v>
      </c>
      <c r="H3957" s="13"/>
    </row>
    <row r="3958" ht="22.5" customHeight="1">
      <c r="B3958" s="17"/>
      <c r="C3958" s="17"/>
      <c r="D3958" s="13"/>
      <c r="E3958" s="11"/>
      <c r="F3958" s="11"/>
      <c r="G3958" s="13">
        <f t="shared" si="1"/>
        <v>1281</v>
      </c>
      <c r="H3958" s="13"/>
    </row>
    <row r="3959" ht="22.5" customHeight="1">
      <c r="B3959" s="17"/>
      <c r="C3959" s="17"/>
      <c r="D3959" s="13"/>
      <c r="E3959" s="11"/>
      <c r="F3959" s="11"/>
      <c r="G3959" s="13">
        <f t="shared" si="1"/>
        <v>1281</v>
      </c>
      <c r="H3959" s="13"/>
    </row>
    <row r="3960" ht="22.5" customHeight="1">
      <c r="B3960" s="17"/>
      <c r="C3960" s="17"/>
      <c r="D3960" s="13"/>
      <c r="E3960" s="11"/>
      <c r="F3960" s="11"/>
      <c r="G3960" s="13">
        <f t="shared" si="1"/>
        <v>1281</v>
      </c>
      <c r="H3960" s="13"/>
    </row>
    <row r="3961" ht="22.5" customHeight="1">
      <c r="B3961" s="17"/>
      <c r="C3961" s="17"/>
      <c r="D3961" s="13"/>
      <c r="E3961" s="11"/>
      <c r="F3961" s="11"/>
      <c r="G3961" s="13">
        <f t="shared" si="1"/>
        <v>1281</v>
      </c>
      <c r="H3961" s="13"/>
    </row>
    <row r="3962" ht="22.5" customHeight="1">
      <c r="B3962" s="17"/>
      <c r="C3962" s="17"/>
      <c r="D3962" s="13"/>
      <c r="E3962" s="11"/>
      <c r="F3962" s="11"/>
      <c r="G3962" s="13">
        <f t="shared" si="1"/>
        <v>1281</v>
      </c>
      <c r="H3962" s="13"/>
    </row>
    <row r="3963" ht="22.5" customHeight="1">
      <c r="B3963" s="17"/>
      <c r="C3963" s="17"/>
      <c r="D3963" s="13"/>
      <c r="E3963" s="11"/>
      <c r="F3963" s="11"/>
      <c r="G3963" s="13">
        <f t="shared" si="1"/>
        <v>1281</v>
      </c>
      <c r="H3963" s="13"/>
    </row>
    <row r="3964" ht="22.5" customHeight="1">
      <c r="B3964" s="17"/>
      <c r="C3964" s="17"/>
      <c r="D3964" s="13"/>
      <c r="E3964" s="11"/>
      <c r="F3964" s="11"/>
      <c r="G3964" s="13">
        <f t="shared" si="1"/>
        <v>1281</v>
      </c>
      <c r="H3964" s="13"/>
    </row>
    <row r="3965" ht="22.5" customHeight="1">
      <c r="B3965" s="17"/>
      <c r="C3965" s="17"/>
      <c r="D3965" s="13"/>
      <c r="E3965" s="11"/>
      <c r="F3965" s="11"/>
      <c r="G3965" s="13">
        <f t="shared" si="1"/>
        <v>1281</v>
      </c>
      <c r="H3965" s="13"/>
    </row>
    <row r="3966" ht="22.5" customHeight="1">
      <c r="B3966" s="17"/>
      <c r="C3966" s="17"/>
      <c r="D3966" s="13"/>
      <c r="E3966" s="11"/>
      <c r="F3966" s="11"/>
      <c r="G3966" s="13">
        <f t="shared" si="1"/>
        <v>1281</v>
      </c>
      <c r="H3966" s="13"/>
    </row>
    <row r="3967" ht="22.5" customHeight="1">
      <c r="B3967" s="17"/>
      <c r="C3967" s="17"/>
      <c r="D3967" s="13"/>
      <c r="E3967" s="11"/>
      <c r="F3967" s="11"/>
      <c r="G3967" s="13">
        <f t="shared" si="1"/>
        <v>1281</v>
      </c>
      <c r="H3967" s="13"/>
    </row>
    <row r="3968" ht="22.5" customHeight="1">
      <c r="B3968" s="17"/>
      <c r="C3968" s="17"/>
      <c r="D3968" s="13"/>
      <c r="E3968" s="11"/>
      <c r="F3968" s="11"/>
      <c r="G3968" s="13">
        <f t="shared" si="1"/>
        <v>1281</v>
      </c>
      <c r="H3968" s="13"/>
    </row>
    <row r="3969" ht="22.5" customHeight="1">
      <c r="B3969" s="17"/>
      <c r="C3969" s="17"/>
      <c r="D3969" s="13"/>
      <c r="E3969" s="11"/>
      <c r="F3969" s="11"/>
      <c r="G3969" s="13">
        <f t="shared" si="1"/>
        <v>1281</v>
      </c>
      <c r="H3969" s="13"/>
    </row>
    <row r="3970" ht="22.5" customHeight="1">
      <c r="B3970" s="17"/>
      <c r="C3970" s="17"/>
      <c r="D3970" s="13"/>
      <c r="E3970" s="11"/>
      <c r="F3970" s="11"/>
      <c r="G3970" s="13">
        <f t="shared" si="1"/>
        <v>1281</v>
      </c>
      <c r="H3970" s="13"/>
    </row>
    <row r="3971" ht="22.5" customHeight="1">
      <c r="B3971" s="17"/>
      <c r="C3971" s="17"/>
      <c r="D3971" s="13"/>
      <c r="E3971" s="11"/>
      <c r="F3971" s="11"/>
      <c r="G3971" s="13">
        <f t="shared" si="1"/>
        <v>1281</v>
      </c>
      <c r="H3971" s="13"/>
    </row>
    <row r="3972" ht="22.5" customHeight="1">
      <c r="B3972" s="17"/>
      <c r="C3972" s="17"/>
      <c r="D3972" s="13"/>
      <c r="E3972" s="11"/>
      <c r="F3972" s="11"/>
      <c r="G3972" s="13">
        <f t="shared" si="1"/>
        <v>1281</v>
      </c>
      <c r="H3972" s="13"/>
    </row>
    <row r="3973" ht="22.5" customHeight="1">
      <c r="B3973" s="17"/>
      <c r="C3973" s="17"/>
      <c r="D3973" s="13"/>
      <c r="E3973" s="11"/>
      <c r="F3973" s="11"/>
      <c r="G3973" s="13">
        <f t="shared" si="1"/>
        <v>1281</v>
      </c>
      <c r="H3973" s="13"/>
    </row>
    <row r="3974" ht="22.5" customHeight="1">
      <c r="B3974" s="17"/>
      <c r="C3974" s="17"/>
      <c r="D3974" s="13"/>
      <c r="E3974" s="11"/>
      <c r="F3974" s="11"/>
      <c r="G3974" s="13">
        <f t="shared" si="1"/>
        <v>1281</v>
      </c>
      <c r="H3974" s="13"/>
    </row>
    <row r="3975" ht="22.5" customHeight="1">
      <c r="B3975" s="17"/>
      <c r="C3975" s="17"/>
      <c r="D3975" s="13"/>
      <c r="E3975" s="11"/>
      <c r="F3975" s="11"/>
      <c r="G3975" s="13">
        <f t="shared" si="1"/>
        <v>1281</v>
      </c>
      <c r="H3975" s="13"/>
    </row>
    <row r="3976" ht="22.5" customHeight="1">
      <c r="B3976" s="17"/>
      <c r="C3976" s="17"/>
      <c r="D3976" s="13"/>
      <c r="E3976" s="11"/>
      <c r="F3976" s="11"/>
      <c r="G3976" s="13">
        <f t="shared" si="1"/>
        <v>1281</v>
      </c>
      <c r="H3976" s="13"/>
    </row>
    <row r="3977" ht="22.5" customHeight="1">
      <c r="B3977" s="17"/>
      <c r="C3977" s="17"/>
      <c r="D3977" s="13"/>
      <c r="E3977" s="11"/>
      <c r="F3977" s="11"/>
      <c r="G3977" s="13">
        <f t="shared" si="1"/>
        <v>1281</v>
      </c>
      <c r="H3977" s="13"/>
    </row>
    <row r="3978" ht="22.5" customHeight="1">
      <c r="B3978" s="17"/>
      <c r="C3978" s="17"/>
      <c r="D3978" s="13"/>
      <c r="E3978" s="11"/>
      <c r="F3978" s="11"/>
      <c r="G3978" s="13">
        <f t="shared" si="1"/>
        <v>1281</v>
      </c>
      <c r="H3978" s="13"/>
    </row>
    <row r="3979" ht="22.5" customHeight="1">
      <c r="B3979" s="17"/>
      <c r="C3979" s="17"/>
      <c r="D3979" s="13"/>
      <c r="E3979" s="11"/>
      <c r="F3979" s="11"/>
      <c r="G3979" s="13">
        <f t="shared" si="1"/>
        <v>1281</v>
      </c>
      <c r="H3979" s="13"/>
    </row>
    <row r="3980" ht="22.5" customHeight="1">
      <c r="B3980" s="17"/>
      <c r="C3980" s="17"/>
      <c r="D3980" s="13"/>
      <c r="E3980" s="11"/>
      <c r="F3980" s="11"/>
      <c r="G3980" s="13">
        <f t="shared" si="1"/>
        <v>1281</v>
      </c>
      <c r="H3980" s="13"/>
    </row>
    <row r="3981" ht="22.5" customHeight="1">
      <c r="B3981" s="17"/>
      <c r="C3981" s="17"/>
      <c r="D3981" s="13"/>
      <c r="E3981" s="11"/>
      <c r="F3981" s="11"/>
      <c r="G3981" s="13">
        <f t="shared" si="1"/>
        <v>1281</v>
      </c>
      <c r="H3981" s="13"/>
    </row>
    <row r="3982" ht="22.5" customHeight="1">
      <c r="B3982" s="17"/>
      <c r="C3982" s="17"/>
      <c r="D3982" s="13"/>
      <c r="E3982" s="11"/>
      <c r="F3982" s="11"/>
      <c r="G3982" s="13">
        <f t="shared" si="1"/>
        <v>1281</v>
      </c>
      <c r="H3982" s="13"/>
    </row>
    <row r="3983" ht="22.5" customHeight="1">
      <c r="B3983" s="17"/>
      <c r="C3983" s="17"/>
      <c r="D3983" s="13"/>
      <c r="E3983" s="11"/>
      <c r="F3983" s="11"/>
      <c r="G3983" s="13">
        <f t="shared" si="1"/>
        <v>1281</v>
      </c>
      <c r="H3983" s="13"/>
    </row>
    <row r="3984" ht="22.5" customHeight="1">
      <c r="B3984" s="17"/>
      <c r="C3984" s="17"/>
      <c r="D3984" s="13"/>
      <c r="E3984" s="11"/>
      <c r="F3984" s="11"/>
      <c r="G3984" s="13">
        <f t="shared" si="1"/>
        <v>1281</v>
      </c>
      <c r="H3984" s="13"/>
    </row>
    <row r="3985" ht="22.5" customHeight="1">
      <c r="B3985" s="17"/>
      <c r="C3985" s="17"/>
      <c r="D3985" s="13"/>
      <c r="E3985" s="11"/>
      <c r="F3985" s="11"/>
      <c r="G3985" s="13">
        <f t="shared" si="1"/>
        <v>1281</v>
      </c>
      <c r="H3985" s="13"/>
    </row>
    <row r="3986" ht="22.5" customHeight="1">
      <c r="B3986" s="17"/>
      <c r="C3986" s="17"/>
      <c r="D3986" s="13"/>
      <c r="E3986" s="11"/>
      <c r="F3986" s="11"/>
      <c r="G3986" s="13">
        <f t="shared" si="1"/>
        <v>1281</v>
      </c>
      <c r="H3986" s="13"/>
    </row>
    <row r="3987" ht="22.5" customHeight="1">
      <c r="B3987" s="17"/>
      <c r="C3987" s="17"/>
      <c r="D3987" s="13"/>
      <c r="E3987" s="11"/>
      <c r="F3987" s="11"/>
      <c r="G3987" s="13">
        <f t="shared" si="1"/>
        <v>1281</v>
      </c>
      <c r="H3987" s="13"/>
    </row>
    <row r="3988" ht="22.5" customHeight="1">
      <c r="B3988" s="17"/>
      <c r="C3988" s="17"/>
      <c r="D3988" s="13"/>
      <c r="E3988" s="11"/>
      <c r="F3988" s="11"/>
      <c r="G3988" s="13">
        <f t="shared" si="1"/>
        <v>1281</v>
      </c>
      <c r="H3988" s="13"/>
    </row>
    <row r="3989" ht="22.5" customHeight="1">
      <c r="B3989" s="17"/>
      <c r="C3989" s="17"/>
      <c r="D3989" s="13"/>
      <c r="E3989" s="11"/>
      <c r="F3989" s="11"/>
      <c r="G3989" s="13">
        <f t="shared" si="1"/>
        <v>1281</v>
      </c>
      <c r="H3989" s="13"/>
    </row>
    <row r="3990" ht="22.5" customHeight="1">
      <c r="B3990" s="17"/>
      <c r="C3990" s="17"/>
      <c r="D3990" s="13"/>
      <c r="E3990" s="11"/>
      <c r="F3990" s="11"/>
      <c r="G3990" s="13">
        <f t="shared" si="1"/>
        <v>1281</v>
      </c>
      <c r="H3990" s="13"/>
    </row>
    <row r="3991" ht="22.5" customHeight="1">
      <c r="B3991" s="17"/>
      <c r="C3991" s="17"/>
      <c r="D3991" s="13"/>
      <c r="E3991" s="11"/>
      <c r="F3991" s="11"/>
      <c r="G3991" s="13">
        <f t="shared" si="1"/>
        <v>1281</v>
      </c>
      <c r="H3991" s="13"/>
    </row>
    <row r="3992" ht="22.5" customHeight="1">
      <c r="B3992" s="17"/>
      <c r="C3992" s="17"/>
      <c r="D3992" s="13"/>
      <c r="E3992" s="11"/>
      <c r="F3992" s="11"/>
      <c r="G3992" s="13">
        <f t="shared" si="1"/>
        <v>1281</v>
      </c>
      <c r="H3992" s="13"/>
    </row>
    <row r="3993" ht="22.5" customHeight="1">
      <c r="B3993" s="17"/>
      <c r="C3993" s="17"/>
      <c r="D3993" s="13"/>
      <c r="E3993" s="11"/>
      <c r="F3993" s="11"/>
      <c r="G3993" s="13">
        <f t="shared" si="1"/>
        <v>1281</v>
      </c>
      <c r="H3993" s="13"/>
    </row>
    <row r="3994" ht="22.5" customHeight="1">
      <c r="B3994" s="17"/>
      <c r="C3994" s="17"/>
      <c r="D3994" s="13"/>
      <c r="E3994" s="11"/>
      <c r="F3994" s="11"/>
      <c r="G3994" s="13">
        <f t="shared" si="1"/>
        <v>1281</v>
      </c>
      <c r="H3994" s="13"/>
    </row>
    <row r="3995" ht="22.5" customHeight="1">
      <c r="B3995" s="17"/>
      <c r="C3995" s="17"/>
      <c r="D3995" s="13"/>
      <c r="E3995" s="11"/>
      <c r="F3995" s="11"/>
      <c r="G3995" s="13">
        <f t="shared" si="1"/>
        <v>1281</v>
      </c>
      <c r="H3995" s="13"/>
    </row>
    <row r="3996" ht="22.5" customHeight="1">
      <c r="B3996" s="17"/>
      <c r="C3996" s="17"/>
      <c r="D3996" s="13"/>
      <c r="E3996" s="11"/>
      <c r="F3996" s="11"/>
      <c r="G3996" s="13">
        <f t="shared" si="1"/>
        <v>1281</v>
      </c>
      <c r="H3996" s="13"/>
    </row>
    <row r="3997" ht="22.5" customHeight="1">
      <c r="B3997" s="17"/>
      <c r="C3997" s="17"/>
      <c r="D3997" s="13"/>
      <c r="E3997" s="11"/>
      <c r="F3997" s="11"/>
      <c r="G3997" s="13">
        <f t="shared" si="1"/>
        <v>1281</v>
      </c>
      <c r="H3997" s="13"/>
    </row>
    <row r="3998" ht="22.5" customHeight="1">
      <c r="B3998" s="17"/>
      <c r="C3998" s="17"/>
      <c r="D3998" s="13"/>
      <c r="E3998" s="11"/>
      <c r="F3998" s="11"/>
      <c r="G3998" s="13">
        <f t="shared" si="1"/>
        <v>1281</v>
      </c>
      <c r="H3998" s="13"/>
    </row>
    <row r="3999" ht="22.5" customHeight="1">
      <c r="B3999" s="17"/>
      <c r="C3999" s="17"/>
      <c r="D3999" s="13"/>
      <c r="E3999" s="11"/>
      <c r="F3999" s="11"/>
      <c r="G3999" s="13">
        <f t="shared" si="1"/>
        <v>1281</v>
      </c>
      <c r="H3999" s="13"/>
    </row>
    <row r="4000" ht="22.5" customHeight="1">
      <c r="B4000" s="17"/>
      <c r="C4000" s="17"/>
      <c r="D4000" s="13"/>
      <c r="E4000" s="11"/>
      <c r="F4000" s="11"/>
      <c r="G4000" s="13">
        <f t="shared" si="1"/>
        <v>1281</v>
      </c>
      <c r="H4000" s="13"/>
    </row>
    <row r="4001" ht="22.5" customHeight="1">
      <c r="B4001" s="17"/>
      <c r="C4001" s="17"/>
      <c r="D4001" s="13"/>
      <c r="E4001" s="11"/>
      <c r="F4001" s="11"/>
      <c r="G4001" s="13">
        <f t="shared" si="1"/>
        <v>1281</v>
      </c>
      <c r="H4001" s="13"/>
    </row>
    <row r="4002" ht="22.5" customHeight="1">
      <c r="B4002" s="17"/>
      <c r="C4002" s="17"/>
      <c r="D4002" s="13"/>
      <c r="E4002" s="11"/>
      <c r="F4002" s="11"/>
      <c r="G4002" s="13">
        <f t="shared" si="1"/>
        <v>1281</v>
      </c>
      <c r="H4002" s="13"/>
    </row>
    <row r="4003" ht="22.5" customHeight="1">
      <c r="B4003" s="17"/>
      <c r="C4003" s="17"/>
      <c r="D4003" s="13"/>
      <c r="E4003" s="11"/>
      <c r="F4003" s="11"/>
      <c r="G4003" s="13">
        <f t="shared" si="1"/>
        <v>1281</v>
      </c>
      <c r="H4003" s="13"/>
    </row>
    <row r="4004" ht="22.5" customHeight="1">
      <c r="B4004" s="17"/>
      <c r="C4004" s="17"/>
      <c r="D4004" s="13"/>
      <c r="E4004" s="11"/>
      <c r="F4004" s="11"/>
      <c r="G4004" s="13">
        <f t="shared" si="1"/>
        <v>1281</v>
      </c>
      <c r="H4004" s="13"/>
    </row>
    <row r="4005" ht="22.5" customHeight="1">
      <c r="B4005" s="17"/>
      <c r="C4005" s="17"/>
      <c r="D4005" s="13"/>
      <c r="E4005" s="11"/>
      <c r="F4005" s="11"/>
      <c r="G4005" s="13">
        <f t="shared" si="1"/>
        <v>1281</v>
      </c>
      <c r="H4005" s="13"/>
    </row>
    <row r="4006" ht="22.5" customHeight="1">
      <c r="B4006" s="17"/>
      <c r="C4006" s="17"/>
      <c r="D4006" s="13"/>
      <c r="E4006" s="11"/>
      <c r="F4006" s="11"/>
      <c r="G4006" s="13">
        <f t="shared" si="1"/>
        <v>1281</v>
      </c>
      <c r="H4006" s="13"/>
    </row>
    <row r="4007" ht="22.5" customHeight="1">
      <c r="B4007" s="17"/>
      <c r="C4007" s="17"/>
      <c r="D4007" s="13"/>
      <c r="E4007" s="11"/>
      <c r="F4007" s="11"/>
      <c r="G4007" s="13">
        <f t="shared" si="1"/>
        <v>1281</v>
      </c>
      <c r="H4007" s="13"/>
    </row>
    <row r="4008" ht="22.5" customHeight="1">
      <c r="B4008" s="17"/>
      <c r="C4008" s="17"/>
      <c r="D4008" s="13"/>
      <c r="E4008" s="11"/>
      <c r="F4008" s="11"/>
      <c r="G4008" s="13">
        <f t="shared" si="1"/>
        <v>1281</v>
      </c>
      <c r="H4008" s="13"/>
    </row>
    <row r="4009" ht="22.5" customHeight="1">
      <c r="B4009" s="17"/>
      <c r="C4009" s="17"/>
      <c r="D4009" s="13"/>
      <c r="E4009" s="11"/>
      <c r="F4009" s="11"/>
      <c r="G4009" s="13">
        <f t="shared" si="1"/>
        <v>1281</v>
      </c>
      <c r="H4009" s="13"/>
    </row>
    <row r="4010" ht="22.5" customHeight="1">
      <c r="B4010" s="17"/>
      <c r="C4010" s="17"/>
      <c r="D4010" s="13"/>
      <c r="E4010" s="11"/>
      <c r="F4010" s="11"/>
      <c r="G4010" s="13">
        <f t="shared" si="1"/>
        <v>1281</v>
      </c>
      <c r="H4010" s="13"/>
    </row>
    <row r="4011" ht="22.5" customHeight="1">
      <c r="B4011" s="17"/>
      <c r="C4011" s="17"/>
      <c r="D4011" s="13"/>
      <c r="E4011" s="11"/>
      <c r="F4011" s="11"/>
      <c r="G4011" s="13">
        <f t="shared" si="1"/>
        <v>1281</v>
      </c>
      <c r="H4011" s="13"/>
    </row>
    <row r="4012" ht="22.5" customHeight="1">
      <c r="B4012" s="17"/>
      <c r="C4012" s="17"/>
      <c r="D4012" s="13"/>
      <c r="E4012" s="11"/>
      <c r="F4012" s="11"/>
      <c r="G4012" s="13">
        <f t="shared" si="1"/>
        <v>1281</v>
      </c>
      <c r="H4012" s="13"/>
    </row>
    <row r="4013" ht="22.5" customHeight="1">
      <c r="B4013" s="17"/>
      <c r="C4013" s="17"/>
      <c r="D4013" s="13"/>
      <c r="E4013" s="11"/>
      <c r="F4013" s="11"/>
      <c r="G4013" s="13">
        <f t="shared" si="1"/>
        <v>1281</v>
      </c>
      <c r="H4013" s="13"/>
    </row>
    <row r="4014" ht="22.5" customHeight="1">
      <c r="B4014" s="17"/>
      <c r="C4014" s="17"/>
      <c r="D4014" s="13"/>
      <c r="E4014" s="11"/>
      <c r="F4014" s="11"/>
      <c r="G4014" s="13">
        <f t="shared" si="1"/>
        <v>1281</v>
      </c>
      <c r="H4014" s="13"/>
    </row>
    <row r="4015" ht="22.5" customHeight="1">
      <c r="B4015" s="17"/>
      <c r="C4015" s="17"/>
      <c r="D4015" s="13"/>
      <c r="E4015" s="11"/>
      <c r="F4015" s="11"/>
      <c r="G4015" s="13">
        <f t="shared" si="1"/>
        <v>1281</v>
      </c>
      <c r="H4015" s="13"/>
    </row>
    <row r="4016" ht="22.5" customHeight="1">
      <c r="B4016" s="17"/>
      <c r="C4016" s="17"/>
      <c r="D4016" s="13"/>
      <c r="E4016" s="11"/>
      <c r="F4016" s="11"/>
      <c r="G4016" s="13">
        <f t="shared" si="1"/>
        <v>1281</v>
      </c>
      <c r="H4016" s="13"/>
    </row>
    <row r="4017" ht="22.5" customHeight="1">
      <c r="B4017" s="17"/>
      <c r="C4017" s="17"/>
      <c r="D4017" s="13"/>
      <c r="E4017" s="11"/>
      <c r="F4017" s="11"/>
      <c r="G4017" s="13">
        <f t="shared" si="1"/>
        <v>1281</v>
      </c>
      <c r="H4017" s="13"/>
    </row>
    <row r="4018" ht="22.5" customHeight="1">
      <c r="B4018" s="17"/>
      <c r="C4018" s="17"/>
      <c r="D4018" s="13"/>
      <c r="E4018" s="11"/>
      <c r="F4018" s="11"/>
      <c r="G4018" s="13">
        <f t="shared" si="1"/>
        <v>1281</v>
      </c>
      <c r="H4018" s="13"/>
    </row>
    <row r="4019" ht="22.5" customHeight="1">
      <c r="B4019" s="17"/>
      <c r="C4019" s="17"/>
      <c r="D4019" s="13"/>
      <c r="E4019" s="11"/>
      <c r="F4019" s="11"/>
      <c r="G4019" s="13">
        <f t="shared" si="1"/>
        <v>1281</v>
      </c>
      <c r="H4019" s="13"/>
    </row>
    <row r="4020" ht="22.5" customHeight="1">
      <c r="B4020" s="17"/>
      <c r="C4020" s="17"/>
      <c r="D4020" s="13"/>
      <c r="E4020" s="11"/>
      <c r="F4020" s="11"/>
      <c r="G4020" s="13">
        <f t="shared" si="1"/>
        <v>1281</v>
      </c>
      <c r="H4020" s="13"/>
    </row>
    <row r="4021" ht="22.5" customHeight="1">
      <c r="B4021" s="17"/>
      <c r="C4021" s="17"/>
      <c r="D4021" s="13"/>
      <c r="E4021" s="11"/>
      <c r="F4021" s="11"/>
      <c r="G4021" s="13">
        <f t="shared" si="1"/>
        <v>1281</v>
      </c>
      <c r="H4021" s="13"/>
    </row>
    <row r="4022" ht="22.5" customHeight="1">
      <c r="B4022" s="17"/>
      <c r="C4022" s="17"/>
      <c r="D4022" s="13"/>
      <c r="E4022" s="11"/>
      <c r="F4022" s="11"/>
      <c r="G4022" s="13">
        <f t="shared" si="1"/>
        <v>1281</v>
      </c>
      <c r="H4022" s="13"/>
    </row>
    <row r="4023" ht="22.5" customHeight="1">
      <c r="B4023" s="17"/>
      <c r="C4023" s="17"/>
      <c r="D4023" s="13"/>
      <c r="E4023" s="11"/>
      <c r="F4023" s="11"/>
      <c r="G4023" s="13">
        <f t="shared" si="1"/>
        <v>1281</v>
      </c>
      <c r="H4023" s="13"/>
    </row>
    <row r="4024" ht="22.5" customHeight="1">
      <c r="B4024" s="17"/>
      <c r="C4024" s="17"/>
      <c r="D4024" s="13"/>
      <c r="E4024" s="11"/>
      <c r="F4024" s="11"/>
      <c r="G4024" s="13">
        <f t="shared" si="1"/>
        <v>1281</v>
      </c>
      <c r="H4024" s="13"/>
    </row>
    <row r="4025" ht="22.5" customHeight="1">
      <c r="B4025" s="17"/>
      <c r="C4025" s="17"/>
      <c r="D4025" s="13"/>
      <c r="E4025" s="11"/>
      <c r="F4025" s="11"/>
      <c r="G4025" s="13">
        <f t="shared" si="1"/>
        <v>1281</v>
      </c>
      <c r="H4025" s="13"/>
    </row>
    <row r="4026" ht="22.5" customHeight="1">
      <c r="B4026" s="17"/>
      <c r="C4026" s="17"/>
      <c r="D4026" s="13"/>
      <c r="E4026" s="11"/>
      <c r="F4026" s="11"/>
      <c r="G4026" s="13">
        <f t="shared" si="1"/>
        <v>1281</v>
      </c>
      <c r="H4026" s="13"/>
    </row>
    <row r="4027" ht="22.5" customHeight="1">
      <c r="B4027" s="17"/>
      <c r="C4027" s="17"/>
      <c r="D4027" s="13"/>
      <c r="E4027" s="11"/>
      <c r="F4027" s="11"/>
      <c r="G4027" s="13">
        <f t="shared" si="1"/>
        <v>1281</v>
      </c>
      <c r="H4027" s="13"/>
    </row>
    <row r="4028" ht="22.5" customHeight="1">
      <c r="B4028" s="17"/>
      <c r="C4028" s="17"/>
      <c r="D4028" s="13"/>
      <c r="E4028" s="11"/>
      <c r="F4028" s="11"/>
      <c r="G4028" s="13">
        <f t="shared" si="1"/>
        <v>1281</v>
      </c>
      <c r="H4028" s="13"/>
    </row>
    <row r="4029" ht="22.5" customHeight="1">
      <c r="B4029" s="17"/>
      <c r="C4029" s="17"/>
      <c r="D4029" s="13"/>
      <c r="E4029" s="11"/>
      <c r="F4029" s="11"/>
      <c r="G4029" s="13">
        <f t="shared" si="1"/>
        <v>1281</v>
      </c>
      <c r="H4029" s="13"/>
    </row>
    <row r="4030" ht="22.5" customHeight="1">
      <c r="B4030" s="17"/>
      <c r="C4030" s="17"/>
      <c r="D4030" s="13"/>
      <c r="E4030" s="11"/>
      <c r="F4030" s="11"/>
      <c r="G4030" s="13">
        <f t="shared" si="1"/>
        <v>1281</v>
      </c>
      <c r="H4030" s="13"/>
    </row>
    <row r="4031" ht="22.5" customHeight="1">
      <c r="B4031" s="17"/>
      <c r="C4031" s="17"/>
      <c r="D4031" s="13"/>
      <c r="E4031" s="11"/>
      <c r="F4031" s="11"/>
      <c r="G4031" s="13">
        <f t="shared" si="1"/>
        <v>1281</v>
      </c>
      <c r="H4031" s="13"/>
    </row>
    <row r="4032" ht="22.5" customHeight="1">
      <c r="B4032" s="17"/>
      <c r="C4032" s="17"/>
      <c r="D4032" s="13"/>
      <c r="E4032" s="11"/>
      <c r="F4032" s="11"/>
      <c r="G4032" s="13">
        <f t="shared" si="1"/>
        <v>1281</v>
      </c>
      <c r="H4032" s="13"/>
    </row>
    <row r="4033" ht="22.5" customHeight="1">
      <c r="B4033" s="17"/>
      <c r="C4033" s="17"/>
      <c r="D4033" s="13"/>
      <c r="E4033" s="11"/>
      <c r="F4033" s="11"/>
      <c r="G4033" s="13">
        <f t="shared" si="1"/>
        <v>1281</v>
      </c>
      <c r="H4033" s="13"/>
    </row>
    <row r="4034" ht="22.5" customHeight="1">
      <c r="B4034" s="17"/>
      <c r="C4034" s="17"/>
      <c r="D4034" s="13"/>
      <c r="E4034" s="11"/>
      <c r="F4034" s="11"/>
      <c r="G4034" s="13">
        <f t="shared" si="1"/>
        <v>1281</v>
      </c>
      <c r="H4034" s="13"/>
    </row>
    <row r="4035" ht="22.5" customHeight="1">
      <c r="B4035" s="17"/>
      <c r="C4035" s="17"/>
      <c r="D4035" s="13"/>
      <c r="E4035" s="11"/>
      <c r="F4035" s="11"/>
      <c r="G4035" s="13">
        <f t="shared" si="1"/>
        <v>1281</v>
      </c>
      <c r="H4035" s="13"/>
    </row>
    <row r="4036" ht="22.5" customHeight="1">
      <c r="B4036" s="17"/>
      <c r="C4036" s="17"/>
      <c r="D4036" s="13"/>
      <c r="E4036" s="11"/>
      <c r="F4036" s="11"/>
      <c r="G4036" s="13">
        <f t="shared" si="1"/>
        <v>1281</v>
      </c>
      <c r="H4036" s="13"/>
    </row>
    <row r="4037" ht="22.5" customHeight="1">
      <c r="B4037" s="17"/>
      <c r="C4037" s="17"/>
      <c r="D4037" s="13"/>
      <c r="E4037" s="11"/>
      <c r="F4037" s="11"/>
      <c r="G4037" s="13">
        <f t="shared" si="1"/>
        <v>1281</v>
      </c>
      <c r="H4037" s="13"/>
    </row>
    <row r="4038" ht="22.5" customHeight="1">
      <c r="B4038" s="17"/>
      <c r="C4038" s="17"/>
      <c r="D4038" s="13"/>
      <c r="E4038" s="11"/>
      <c r="F4038" s="11"/>
      <c r="G4038" s="13">
        <f t="shared" si="1"/>
        <v>1281</v>
      </c>
      <c r="H4038" s="13"/>
    </row>
    <row r="4039" ht="22.5" customHeight="1">
      <c r="B4039" s="17"/>
      <c r="C4039" s="17"/>
      <c r="D4039" s="13"/>
      <c r="E4039" s="11"/>
      <c r="F4039" s="11"/>
      <c r="G4039" s="13">
        <f t="shared" si="1"/>
        <v>1281</v>
      </c>
      <c r="H4039" s="13"/>
    </row>
    <row r="4040" ht="22.5" customHeight="1">
      <c r="B4040" s="17"/>
      <c r="C4040" s="17"/>
      <c r="D4040" s="13"/>
      <c r="E4040" s="11"/>
      <c r="F4040" s="11"/>
      <c r="G4040" s="13">
        <f t="shared" si="1"/>
        <v>1281</v>
      </c>
      <c r="H4040" s="13"/>
    </row>
    <row r="4041" ht="22.5" customHeight="1">
      <c r="B4041" s="17"/>
      <c r="C4041" s="17"/>
      <c r="D4041" s="13"/>
      <c r="E4041" s="11"/>
      <c r="F4041" s="11"/>
      <c r="G4041" s="13">
        <f t="shared" si="1"/>
        <v>1281</v>
      </c>
      <c r="H4041" s="13"/>
    </row>
    <row r="4042" ht="22.5" customHeight="1">
      <c r="B4042" s="17"/>
      <c r="C4042" s="17"/>
      <c r="D4042" s="13"/>
      <c r="E4042" s="11"/>
      <c r="F4042" s="11"/>
      <c r="G4042" s="13">
        <f t="shared" si="1"/>
        <v>1281</v>
      </c>
      <c r="H4042" s="13"/>
    </row>
    <row r="4043" ht="22.5" customHeight="1">
      <c r="B4043" s="17"/>
      <c r="C4043" s="17"/>
      <c r="D4043" s="13"/>
      <c r="E4043" s="11"/>
      <c r="F4043" s="11"/>
      <c r="G4043" s="13">
        <f t="shared" si="1"/>
        <v>1281</v>
      </c>
      <c r="H4043" s="13"/>
    </row>
    <row r="4044" ht="22.5" customHeight="1">
      <c r="B4044" s="17"/>
      <c r="C4044" s="17"/>
      <c r="D4044" s="13"/>
      <c r="E4044" s="11"/>
      <c r="F4044" s="11"/>
      <c r="G4044" s="13">
        <f t="shared" si="1"/>
        <v>1281</v>
      </c>
      <c r="H4044" s="13"/>
    </row>
    <row r="4045" ht="22.5" customHeight="1">
      <c r="B4045" s="17"/>
      <c r="C4045" s="17"/>
      <c r="D4045" s="13"/>
      <c r="E4045" s="11"/>
      <c r="F4045" s="11"/>
      <c r="G4045" s="13">
        <f t="shared" si="1"/>
        <v>1281</v>
      </c>
      <c r="H4045" s="13"/>
    </row>
    <row r="4046" ht="22.5" customHeight="1">
      <c r="B4046" s="17"/>
      <c r="C4046" s="17"/>
      <c r="D4046" s="13"/>
      <c r="E4046" s="11"/>
      <c r="F4046" s="11"/>
      <c r="G4046" s="13">
        <f t="shared" si="1"/>
        <v>1281</v>
      </c>
      <c r="H4046" s="13"/>
    </row>
    <row r="4047" ht="22.5" customHeight="1">
      <c r="B4047" s="17"/>
      <c r="C4047" s="17"/>
      <c r="D4047" s="13"/>
      <c r="E4047" s="11"/>
      <c r="F4047" s="11"/>
      <c r="G4047" s="13">
        <f t="shared" si="1"/>
        <v>1281</v>
      </c>
      <c r="H4047" s="13"/>
    </row>
    <row r="4048" ht="22.5" customHeight="1">
      <c r="B4048" s="17"/>
      <c r="C4048" s="17"/>
      <c r="D4048" s="13"/>
      <c r="E4048" s="11"/>
      <c r="F4048" s="11"/>
      <c r="G4048" s="13">
        <f t="shared" si="1"/>
        <v>1281</v>
      </c>
      <c r="H4048" s="13"/>
    </row>
    <row r="4049" ht="22.5" customHeight="1">
      <c r="B4049" s="17"/>
      <c r="C4049" s="17"/>
      <c r="D4049" s="13"/>
      <c r="E4049" s="11"/>
      <c r="F4049" s="11"/>
      <c r="G4049" s="13">
        <f t="shared" si="1"/>
        <v>1281</v>
      </c>
      <c r="H4049" s="13"/>
    </row>
    <row r="4050" ht="22.5" customHeight="1">
      <c r="B4050" s="17"/>
      <c r="C4050" s="17"/>
      <c r="D4050" s="13"/>
      <c r="E4050" s="11"/>
      <c r="F4050" s="11"/>
      <c r="G4050" s="13">
        <f t="shared" si="1"/>
        <v>1281</v>
      </c>
      <c r="H4050" s="13"/>
    </row>
    <row r="4051" ht="22.5" customHeight="1">
      <c r="B4051" s="17"/>
      <c r="C4051" s="17"/>
      <c r="D4051" s="13"/>
      <c r="E4051" s="11"/>
      <c r="F4051" s="11"/>
      <c r="G4051" s="13">
        <f t="shared" si="1"/>
        <v>1281</v>
      </c>
      <c r="H4051" s="13"/>
    </row>
    <row r="4052" ht="22.5" customHeight="1">
      <c r="B4052" s="17"/>
      <c r="C4052" s="17"/>
      <c r="D4052" s="13"/>
      <c r="E4052" s="11"/>
      <c r="F4052" s="11"/>
      <c r="G4052" s="13">
        <f t="shared" si="1"/>
        <v>1281</v>
      </c>
      <c r="H4052" s="13"/>
    </row>
    <row r="4053" ht="22.5" customHeight="1">
      <c r="B4053" s="17"/>
      <c r="C4053" s="17"/>
      <c r="D4053" s="13"/>
      <c r="E4053" s="11"/>
      <c r="F4053" s="11"/>
      <c r="G4053" s="13">
        <f t="shared" si="1"/>
        <v>1281</v>
      </c>
      <c r="H4053" s="13"/>
    </row>
    <row r="4054" ht="22.5" customHeight="1">
      <c r="B4054" s="17"/>
      <c r="C4054" s="17"/>
      <c r="D4054" s="13"/>
      <c r="E4054" s="11"/>
      <c r="F4054" s="11"/>
      <c r="G4054" s="13">
        <f t="shared" si="1"/>
        <v>1281</v>
      </c>
      <c r="H4054" s="13"/>
    </row>
    <row r="4055" ht="22.5" customHeight="1">
      <c r="B4055" s="17"/>
      <c r="C4055" s="17"/>
      <c r="D4055" s="13"/>
      <c r="E4055" s="11"/>
      <c r="F4055" s="11"/>
      <c r="G4055" s="13">
        <f t="shared" si="1"/>
        <v>1281</v>
      </c>
      <c r="H4055" s="13"/>
    </row>
    <row r="4056" ht="22.5" customHeight="1">
      <c r="B4056" s="17"/>
      <c r="C4056" s="17"/>
      <c r="D4056" s="13"/>
      <c r="E4056" s="11"/>
      <c r="F4056" s="11"/>
      <c r="G4056" s="13">
        <f t="shared" si="1"/>
        <v>1281</v>
      </c>
      <c r="H4056" s="13"/>
    </row>
    <row r="4057" ht="22.5" customHeight="1">
      <c r="B4057" s="17"/>
      <c r="C4057" s="17"/>
      <c r="D4057" s="13"/>
      <c r="E4057" s="11"/>
      <c r="F4057" s="11"/>
      <c r="G4057" s="13">
        <f t="shared" si="1"/>
        <v>1281</v>
      </c>
      <c r="H4057" s="13"/>
    </row>
    <row r="4058" ht="22.5" customHeight="1">
      <c r="B4058" s="17"/>
      <c r="C4058" s="17"/>
      <c r="D4058" s="13"/>
      <c r="E4058" s="11"/>
      <c r="F4058" s="11"/>
      <c r="G4058" s="13">
        <f t="shared" si="1"/>
        <v>1281</v>
      </c>
      <c r="H4058" s="13"/>
    </row>
    <row r="4059" ht="22.5" customHeight="1">
      <c r="B4059" s="17"/>
      <c r="C4059" s="17"/>
      <c r="D4059" s="13"/>
      <c r="E4059" s="11"/>
      <c r="F4059" s="11"/>
      <c r="G4059" s="13">
        <f t="shared" si="1"/>
        <v>1281</v>
      </c>
      <c r="H4059" s="13"/>
    </row>
    <row r="4060" ht="22.5" customHeight="1">
      <c r="B4060" s="17"/>
      <c r="C4060" s="17"/>
      <c r="D4060" s="13"/>
      <c r="E4060" s="11"/>
      <c r="F4060" s="11"/>
      <c r="G4060" s="13">
        <f t="shared" si="1"/>
        <v>1281</v>
      </c>
      <c r="H4060" s="13"/>
    </row>
    <row r="4061" ht="22.5" customHeight="1">
      <c r="B4061" s="17"/>
      <c r="C4061" s="17"/>
      <c r="D4061" s="13"/>
      <c r="E4061" s="11"/>
      <c r="F4061" s="11"/>
      <c r="G4061" s="13">
        <f t="shared" si="1"/>
        <v>1281</v>
      </c>
      <c r="H4061" s="13"/>
    </row>
    <row r="4062" ht="22.5" customHeight="1">
      <c r="B4062" s="17"/>
      <c r="C4062" s="17"/>
      <c r="D4062" s="13"/>
      <c r="E4062" s="11"/>
      <c r="F4062" s="11"/>
      <c r="G4062" s="13">
        <f t="shared" si="1"/>
        <v>1281</v>
      </c>
      <c r="H4062" s="13"/>
    </row>
    <row r="4063" ht="22.5" customHeight="1">
      <c r="B4063" s="17"/>
      <c r="C4063" s="17"/>
      <c r="D4063" s="13"/>
      <c r="E4063" s="11"/>
      <c r="F4063" s="11"/>
      <c r="G4063" s="13">
        <f t="shared" si="1"/>
        <v>1281</v>
      </c>
      <c r="H4063" s="13"/>
    </row>
    <row r="4064" ht="22.5" customHeight="1">
      <c r="B4064" s="17"/>
      <c r="C4064" s="17"/>
      <c r="D4064" s="13"/>
      <c r="E4064" s="11"/>
      <c r="F4064" s="11"/>
      <c r="G4064" s="13">
        <f t="shared" si="1"/>
        <v>1281</v>
      </c>
      <c r="H4064" s="13"/>
    </row>
    <row r="4065" ht="22.5" customHeight="1">
      <c r="B4065" s="17"/>
      <c r="C4065" s="17"/>
      <c r="D4065" s="13"/>
      <c r="E4065" s="11"/>
      <c r="F4065" s="11"/>
      <c r="G4065" s="13">
        <f t="shared" si="1"/>
        <v>1281</v>
      </c>
      <c r="H4065" s="13"/>
    </row>
    <row r="4066" ht="22.5" customHeight="1">
      <c r="B4066" s="17"/>
      <c r="C4066" s="17"/>
      <c r="D4066" s="13"/>
      <c r="E4066" s="11"/>
      <c r="F4066" s="11"/>
      <c r="G4066" s="13">
        <f t="shared" si="1"/>
        <v>1281</v>
      </c>
      <c r="H4066" s="13"/>
    </row>
    <row r="4067" ht="22.5" customHeight="1">
      <c r="B4067" s="17"/>
      <c r="C4067" s="17"/>
      <c r="D4067" s="13"/>
      <c r="E4067" s="11"/>
      <c r="F4067" s="11"/>
      <c r="G4067" s="13">
        <f t="shared" si="1"/>
        <v>1281</v>
      </c>
      <c r="H4067" s="13"/>
    </row>
    <row r="4068" ht="22.5" customHeight="1">
      <c r="B4068" s="17"/>
      <c r="C4068" s="17"/>
      <c r="D4068" s="13"/>
      <c r="E4068" s="11"/>
      <c r="F4068" s="11"/>
      <c r="G4068" s="13">
        <f t="shared" si="1"/>
        <v>1281</v>
      </c>
      <c r="H4068" s="13"/>
    </row>
    <row r="4069" ht="22.5" customHeight="1">
      <c r="B4069" s="17"/>
      <c r="C4069" s="17"/>
      <c r="D4069" s="13"/>
      <c r="E4069" s="11"/>
      <c r="F4069" s="11"/>
      <c r="G4069" s="13">
        <f t="shared" si="1"/>
        <v>1281</v>
      </c>
      <c r="H4069" s="13"/>
    </row>
    <row r="4070" ht="22.5" customHeight="1">
      <c r="B4070" s="17"/>
      <c r="C4070" s="17"/>
      <c r="D4070" s="13"/>
      <c r="E4070" s="11"/>
      <c r="F4070" s="11"/>
      <c r="G4070" s="13">
        <f t="shared" si="1"/>
        <v>1281</v>
      </c>
      <c r="H4070" s="13"/>
    </row>
    <row r="4071" ht="22.5" customHeight="1">
      <c r="B4071" s="17"/>
      <c r="C4071" s="17"/>
      <c r="D4071" s="13"/>
      <c r="E4071" s="11"/>
      <c r="F4071" s="11"/>
      <c r="G4071" s="13">
        <f t="shared" si="1"/>
        <v>1281</v>
      </c>
      <c r="H4071" s="13"/>
    </row>
    <row r="4072" ht="22.5" customHeight="1">
      <c r="B4072" s="17"/>
      <c r="C4072" s="17"/>
      <c r="D4072" s="13"/>
      <c r="E4072" s="11"/>
      <c r="F4072" s="11"/>
      <c r="G4072" s="13">
        <f t="shared" si="1"/>
        <v>1281</v>
      </c>
      <c r="H4072" s="13"/>
    </row>
    <row r="4073" ht="22.5" customHeight="1">
      <c r="B4073" s="17"/>
      <c r="C4073" s="17"/>
      <c r="D4073" s="13"/>
      <c r="E4073" s="11"/>
      <c r="F4073" s="11"/>
      <c r="G4073" s="13">
        <f t="shared" si="1"/>
        <v>1281</v>
      </c>
      <c r="H4073" s="13"/>
    </row>
    <row r="4074" ht="22.5" customHeight="1">
      <c r="B4074" s="17"/>
      <c r="C4074" s="17"/>
      <c r="D4074" s="13"/>
      <c r="E4074" s="11"/>
      <c r="F4074" s="11"/>
      <c r="G4074" s="13">
        <f t="shared" si="1"/>
        <v>1281</v>
      </c>
      <c r="H4074" s="13"/>
    </row>
    <row r="4075" ht="22.5" customHeight="1">
      <c r="B4075" s="17"/>
      <c r="C4075" s="17"/>
      <c r="D4075" s="13"/>
      <c r="E4075" s="11"/>
      <c r="F4075" s="11"/>
      <c r="G4075" s="13">
        <f t="shared" si="1"/>
        <v>1281</v>
      </c>
      <c r="H4075" s="13"/>
    </row>
    <row r="4076" ht="22.5" customHeight="1">
      <c r="B4076" s="17"/>
      <c r="C4076" s="17"/>
      <c r="D4076" s="13"/>
      <c r="E4076" s="11"/>
      <c r="F4076" s="11"/>
      <c r="G4076" s="13">
        <f t="shared" si="1"/>
        <v>1281</v>
      </c>
      <c r="H4076" s="13"/>
    </row>
    <row r="4077" ht="22.5" customHeight="1">
      <c r="B4077" s="17"/>
      <c r="C4077" s="17"/>
      <c r="D4077" s="13"/>
      <c r="E4077" s="11"/>
      <c r="F4077" s="11"/>
      <c r="G4077" s="13">
        <f t="shared" si="1"/>
        <v>1281</v>
      </c>
      <c r="H4077" s="13"/>
    </row>
    <row r="4078" ht="22.5" customHeight="1">
      <c r="B4078" s="17"/>
      <c r="C4078" s="17"/>
      <c r="D4078" s="13"/>
      <c r="E4078" s="11"/>
      <c r="F4078" s="11"/>
      <c r="G4078" s="13">
        <f t="shared" si="1"/>
        <v>1281</v>
      </c>
      <c r="H4078" s="13"/>
    </row>
    <row r="4079" ht="22.5" customHeight="1">
      <c r="B4079" s="17"/>
      <c r="C4079" s="17"/>
      <c r="D4079" s="13"/>
      <c r="E4079" s="11"/>
      <c r="F4079" s="11"/>
      <c r="G4079" s="13">
        <f t="shared" si="1"/>
        <v>1281</v>
      </c>
      <c r="H4079" s="13"/>
    </row>
    <row r="4080" ht="22.5" customHeight="1">
      <c r="B4080" s="17"/>
      <c r="C4080" s="17"/>
      <c r="D4080" s="13"/>
      <c r="E4080" s="11"/>
      <c r="F4080" s="11"/>
      <c r="G4080" s="13">
        <f t="shared" si="1"/>
        <v>1281</v>
      </c>
      <c r="H4080" s="13"/>
    </row>
    <row r="4081" ht="22.5" customHeight="1">
      <c r="B4081" s="17"/>
      <c r="C4081" s="17"/>
      <c r="D4081" s="13"/>
      <c r="E4081" s="11"/>
      <c r="F4081" s="11"/>
      <c r="G4081" s="13">
        <f t="shared" si="1"/>
        <v>1281</v>
      </c>
      <c r="H4081" s="13"/>
    </row>
    <row r="4082" ht="22.5" customHeight="1">
      <c r="B4082" s="17"/>
      <c r="C4082" s="17"/>
      <c r="D4082" s="13"/>
      <c r="E4082" s="11"/>
      <c r="F4082" s="11"/>
      <c r="G4082" s="13">
        <f t="shared" si="1"/>
        <v>1281</v>
      </c>
      <c r="H4082" s="13"/>
    </row>
    <row r="4083" ht="22.5" customHeight="1">
      <c r="B4083" s="17"/>
      <c r="C4083" s="17"/>
      <c r="D4083" s="13"/>
      <c r="E4083" s="11"/>
      <c r="F4083" s="11"/>
      <c r="G4083" s="13">
        <f t="shared" si="1"/>
        <v>1281</v>
      </c>
      <c r="H4083" s="13"/>
    </row>
    <row r="4084" ht="22.5" customHeight="1">
      <c r="B4084" s="17"/>
      <c r="C4084" s="17"/>
      <c r="D4084" s="13"/>
      <c r="E4084" s="11"/>
      <c r="F4084" s="11"/>
      <c r="G4084" s="13">
        <f t="shared" si="1"/>
        <v>1281</v>
      </c>
      <c r="H4084" s="13"/>
    </row>
    <row r="4085" ht="22.5" customHeight="1">
      <c r="B4085" s="17"/>
      <c r="C4085" s="17"/>
      <c r="D4085" s="13"/>
      <c r="E4085" s="11"/>
      <c r="F4085" s="11"/>
      <c r="G4085" s="13">
        <f t="shared" si="1"/>
        <v>1281</v>
      </c>
      <c r="H4085" s="13"/>
    </row>
    <row r="4086" ht="22.5" customHeight="1">
      <c r="B4086" s="17"/>
      <c r="C4086" s="17"/>
      <c r="D4086" s="13"/>
      <c r="E4086" s="11"/>
      <c r="F4086" s="11"/>
      <c r="G4086" s="13">
        <f t="shared" si="1"/>
        <v>1281</v>
      </c>
      <c r="H4086" s="13"/>
    </row>
    <row r="4087" ht="22.5" customHeight="1">
      <c r="B4087" s="17"/>
      <c r="C4087" s="17"/>
      <c r="D4087" s="13"/>
      <c r="E4087" s="11"/>
      <c r="F4087" s="11"/>
      <c r="G4087" s="13">
        <f t="shared" si="1"/>
        <v>1281</v>
      </c>
      <c r="H4087" s="13"/>
    </row>
    <row r="4088" ht="22.5" customHeight="1">
      <c r="B4088" s="17"/>
      <c r="C4088" s="17"/>
      <c r="D4088" s="13"/>
      <c r="E4088" s="11"/>
      <c r="F4088" s="11"/>
      <c r="G4088" s="13">
        <f t="shared" si="1"/>
        <v>1281</v>
      </c>
      <c r="H4088" s="13"/>
    </row>
    <row r="4089" ht="22.5" customHeight="1">
      <c r="B4089" s="17"/>
      <c r="C4089" s="17"/>
      <c r="D4089" s="13"/>
      <c r="E4089" s="11"/>
      <c r="F4089" s="11"/>
      <c r="G4089" s="13">
        <f t="shared" si="1"/>
        <v>1281</v>
      </c>
      <c r="H4089" s="13"/>
    </row>
    <row r="4090" ht="22.5" customHeight="1">
      <c r="B4090" s="17"/>
      <c r="C4090" s="17"/>
      <c r="D4090" s="13"/>
      <c r="E4090" s="11"/>
      <c r="F4090" s="11"/>
      <c r="G4090" s="13">
        <f t="shared" si="1"/>
        <v>1281</v>
      </c>
      <c r="H4090" s="13"/>
    </row>
    <row r="4091" ht="22.5" customHeight="1">
      <c r="B4091" s="17"/>
      <c r="C4091" s="17"/>
      <c r="D4091" s="13"/>
      <c r="E4091" s="11"/>
      <c r="F4091" s="11"/>
      <c r="G4091" s="13">
        <f t="shared" si="1"/>
        <v>1281</v>
      </c>
      <c r="H4091" s="13"/>
    </row>
    <row r="4092" ht="22.5" customHeight="1">
      <c r="B4092" s="17"/>
      <c r="C4092" s="17"/>
      <c r="D4092" s="13"/>
      <c r="E4092" s="11"/>
      <c r="F4092" s="11"/>
      <c r="G4092" s="13">
        <f t="shared" si="1"/>
        <v>1281</v>
      </c>
      <c r="H4092" s="13"/>
    </row>
    <row r="4093" ht="22.5" customHeight="1">
      <c r="B4093" s="17"/>
      <c r="C4093" s="17"/>
      <c r="D4093" s="13"/>
      <c r="E4093" s="11"/>
      <c r="F4093" s="11"/>
      <c r="G4093" s="13">
        <f t="shared" si="1"/>
        <v>1281</v>
      </c>
      <c r="H4093" s="13"/>
    </row>
    <row r="4094" ht="22.5" customHeight="1">
      <c r="B4094" s="17"/>
      <c r="C4094" s="17"/>
      <c r="D4094" s="13"/>
      <c r="E4094" s="11"/>
      <c r="F4094" s="11"/>
      <c r="G4094" s="13">
        <f t="shared" si="1"/>
        <v>1281</v>
      </c>
      <c r="H4094" s="13"/>
    </row>
    <row r="4095" ht="22.5" customHeight="1">
      <c r="B4095" s="17"/>
      <c r="C4095" s="17"/>
      <c r="D4095" s="13"/>
      <c r="E4095" s="11"/>
      <c r="F4095" s="11"/>
      <c r="G4095" s="13">
        <f t="shared" si="1"/>
        <v>1281</v>
      </c>
      <c r="H4095" s="13"/>
    </row>
    <row r="4096" ht="22.5" customHeight="1">
      <c r="B4096" s="17"/>
      <c r="C4096" s="17"/>
      <c r="D4096" s="13"/>
      <c r="E4096" s="11"/>
      <c r="F4096" s="11"/>
      <c r="G4096" s="13">
        <f t="shared" si="1"/>
        <v>1281</v>
      </c>
      <c r="H4096" s="13"/>
    </row>
    <row r="4097" ht="22.5" customHeight="1">
      <c r="B4097" s="17"/>
      <c r="C4097" s="17"/>
      <c r="D4097" s="13"/>
      <c r="E4097" s="11"/>
      <c r="F4097" s="11"/>
      <c r="G4097" s="13">
        <f t="shared" si="1"/>
        <v>1281</v>
      </c>
      <c r="H4097" s="13"/>
    </row>
    <row r="4098" ht="22.5" customHeight="1">
      <c r="B4098" s="17"/>
      <c r="C4098" s="17"/>
      <c r="D4098" s="13"/>
      <c r="E4098" s="11"/>
      <c r="F4098" s="11"/>
      <c r="G4098" s="13">
        <f t="shared" si="1"/>
        <v>1281</v>
      </c>
      <c r="H4098" s="13"/>
    </row>
    <row r="4099" ht="22.5" customHeight="1">
      <c r="B4099" s="17"/>
      <c r="C4099" s="17"/>
      <c r="D4099" s="13"/>
      <c r="E4099" s="11"/>
      <c r="F4099" s="11"/>
      <c r="G4099" s="13">
        <f t="shared" si="1"/>
        <v>1281</v>
      </c>
      <c r="H4099" s="13"/>
    </row>
    <row r="4100" ht="22.5" customHeight="1">
      <c r="B4100" s="17"/>
      <c r="C4100" s="17"/>
      <c r="D4100" s="13"/>
      <c r="E4100" s="11"/>
      <c r="F4100" s="11"/>
      <c r="G4100" s="13">
        <f t="shared" si="1"/>
        <v>1281</v>
      </c>
      <c r="H4100" s="13"/>
    </row>
    <row r="4101" ht="22.5" customHeight="1">
      <c r="B4101" s="17"/>
      <c r="C4101" s="17"/>
      <c r="D4101" s="13"/>
      <c r="E4101" s="11"/>
      <c r="F4101" s="11"/>
      <c r="G4101" s="13">
        <f t="shared" si="1"/>
        <v>1281</v>
      </c>
      <c r="H4101" s="13"/>
    </row>
    <row r="4102" ht="22.5" customHeight="1">
      <c r="B4102" s="17"/>
      <c r="C4102" s="17"/>
      <c r="D4102" s="13"/>
      <c r="E4102" s="11"/>
      <c r="F4102" s="11"/>
      <c r="G4102" s="13">
        <f t="shared" si="1"/>
        <v>1281</v>
      </c>
      <c r="H4102" s="13"/>
    </row>
    <row r="4103" ht="22.5" customHeight="1">
      <c r="B4103" s="17"/>
      <c r="C4103" s="17"/>
      <c r="D4103" s="13"/>
      <c r="E4103" s="11"/>
      <c r="F4103" s="11"/>
      <c r="G4103" s="13">
        <f t="shared" si="1"/>
        <v>1281</v>
      </c>
      <c r="H4103" s="13"/>
    </row>
    <row r="4104" ht="22.5" customHeight="1">
      <c r="B4104" s="17"/>
      <c r="C4104" s="17"/>
      <c r="D4104" s="13"/>
      <c r="E4104" s="11"/>
      <c r="F4104" s="11"/>
      <c r="G4104" s="13">
        <f t="shared" si="1"/>
        <v>1281</v>
      </c>
      <c r="H4104" s="13"/>
    </row>
    <row r="4105" ht="22.5" customHeight="1">
      <c r="B4105" s="17"/>
      <c r="C4105" s="17"/>
      <c r="D4105" s="13"/>
      <c r="E4105" s="11"/>
      <c r="F4105" s="11"/>
      <c r="G4105" s="13">
        <f t="shared" si="1"/>
        <v>1281</v>
      </c>
      <c r="H4105" s="13"/>
    </row>
    <row r="4106" ht="22.5" customHeight="1">
      <c r="B4106" s="17"/>
      <c r="C4106" s="17"/>
      <c r="D4106" s="13"/>
      <c r="E4106" s="11"/>
      <c r="F4106" s="11"/>
      <c r="G4106" s="13">
        <f t="shared" si="1"/>
        <v>1281</v>
      </c>
      <c r="H4106" s="13"/>
    </row>
    <row r="4107" ht="22.5" customHeight="1">
      <c r="B4107" s="17"/>
      <c r="C4107" s="17"/>
      <c r="D4107" s="13"/>
      <c r="E4107" s="11"/>
      <c r="F4107" s="11"/>
      <c r="G4107" s="13">
        <f t="shared" si="1"/>
        <v>1281</v>
      </c>
      <c r="H4107" s="13"/>
    </row>
    <row r="4108" ht="22.5" customHeight="1">
      <c r="B4108" s="17"/>
      <c r="C4108" s="17"/>
      <c r="D4108" s="13"/>
      <c r="E4108" s="11"/>
      <c r="F4108" s="11"/>
      <c r="G4108" s="13">
        <f t="shared" si="1"/>
        <v>1281</v>
      </c>
      <c r="H4108" s="13"/>
    </row>
    <row r="4109" ht="22.5" customHeight="1">
      <c r="B4109" s="17"/>
      <c r="C4109" s="17"/>
      <c r="D4109" s="13"/>
      <c r="E4109" s="11"/>
      <c r="F4109" s="11"/>
      <c r="G4109" s="13">
        <f t="shared" si="1"/>
        <v>1281</v>
      </c>
      <c r="H4109" s="13"/>
    </row>
    <row r="4110" ht="22.5" customHeight="1">
      <c r="B4110" s="17"/>
      <c r="C4110" s="17"/>
      <c r="D4110" s="13"/>
      <c r="E4110" s="11"/>
      <c r="F4110" s="11"/>
      <c r="G4110" s="13">
        <f t="shared" si="1"/>
        <v>1281</v>
      </c>
      <c r="H4110" s="13"/>
    </row>
    <row r="4111" ht="22.5" customHeight="1">
      <c r="B4111" s="17"/>
      <c r="C4111" s="17"/>
      <c r="D4111" s="13"/>
      <c r="E4111" s="11"/>
      <c r="F4111" s="11"/>
      <c r="G4111" s="13">
        <f t="shared" si="1"/>
        <v>1281</v>
      </c>
      <c r="H4111" s="13"/>
    </row>
    <row r="4112" ht="22.5" customHeight="1">
      <c r="B4112" s="17"/>
      <c r="C4112" s="17"/>
      <c r="D4112" s="13"/>
      <c r="E4112" s="11"/>
      <c r="F4112" s="11"/>
      <c r="G4112" s="13">
        <f t="shared" si="1"/>
        <v>1281</v>
      </c>
      <c r="H4112" s="13"/>
    </row>
    <row r="4113" ht="22.5" customHeight="1">
      <c r="B4113" s="17"/>
      <c r="C4113" s="17"/>
      <c r="D4113" s="13"/>
      <c r="E4113" s="11"/>
      <c r="F4113" s="11"/>
      <c r="G4113" s="13">
        <f t="shared" si="1"/>
        <v>1281</v>
      </c>
      <c r="H4113" s="13"/>
    </row>
    <row r="4114" ht="22.5" customHeight="1">
      <c r="B4114" s="17"/>
      <c r="C4114" s="17"/>
      <c r="D4114" s="13"/>
      <c r="E4114" s="11"/>
      <c r="F4114" s="11"/>
      <c r="G4114" s="13">
        <f t="shared" si="1"/>
        <v>1281</v>
      </c>
      <c r="H4114" s="13"/>
    </row>
    <row r="4115" ht="22.5" customHeight="1">
      <c r="B4115" s="17"/>
      <c r="C4115" s="17"/>
      <c r="D4115" s="13"/>
      <c r="E4115" s="11"/>
      <c r="F4115" s="11"/>
      <c r="G4115" s="13">
        <f t="shared" si="1"/>
        <v>1281</v>
      </c>
      <c r="H4115" s="13"/>
    </row>
    <row r="4116" ht="22.5" customHeight="1">
      <c r="B4116" s="17"/>
      <c r="C4116" s="17"/>
      <c r="D4116" s="13"/>
      <c r="E4116" s="11"/>
      <c r="F4116" s="11"/>
      <c r="G4116" s="13">
        <f t="shared" si="1"/>
        <v>1281</v>
      </c>
      <c r="H4116" s="13"/>
    </row>
    <row r="4117" ht="22.5" customHeight="1">
      <c r="B4117" s="17"/>
      <c r="C4117" s="17"/>
      <c r="D4117" s="13"/>
      <c r="E4117" s="11"/>
      <c r="F4117" s="11"/>
      <c r="G4117" s="13">
        <f t="shared" si="1"/>
        <v>1281</v>
      </c>
      <c r="H4117" s="13"/>
    </row>
    <row r="4118" ht="22.5" customHeight="1">
      <c r="B4118" s="17"/>
      <c r="C4118" s="17"/>
      <c r="D4118" s="13"/>
      <c r="E4118" s="11"/>
      <c r="F4118" s="11"/>
      <c r="G4118" s="13">
        <f t="shared" si="1"/>
        <v>1281</v>
      </c>
      <c r="H4118" s="13"/>
    </row>
    <row r="4119" ht="22.5" customHeight="1">
      <c r="B4119" s="17"/>
      <c r="C4119" s="17"/>
      <c r="D4119" s="13"/>
      <c r="E4119" s="11"/>
      <c r="F4119" s="11"/>
      <c r="G4119" s="13">
        <f t="shared" si="1"/>
        <v>1281</v>
      </c>
      <c r="H4119" s="13"/>
    </row>
    <row r="4120" ht="22.5" customHeight="1">
      <c r="B4120" s="17"/>
      <c r="C4120" s="17"/>
      <c r="D4120" s="13"/>
      <c r="E4120" s="11"/>
      <c r="F4120" s="11"/>
      <c r="G4120" s="13">
        <f t="shared" si="1"/>
        <v>1281</v>
      </c>
      <c r="H4120" s="13"/>
    </row>
    <row r="4121" ht="22.5" customHeight="1">
      <c r="B4121" s="17"/>
      <c r="C4121" s="17"/>
      <c r="D4121" s="13"/>
      <c r="E4121" s="11"/>
      <c r="F4121" s="11"/>
      <c r="G4121" s="13">
        <f t="shared" si="1"/>
        <v>1281</v>
      </c>
      <c r="H4121" s="13"/>
    </row>
    <row r="4122" ht="22.5" customHeight="1">
      <c r="B4122" s="17"/>
      <c r="C4122" s="17"/>
      <c r="D4122" s="13"/>
      <c r="E4122" s="11"/>
      <c r="F4122" s="11"/>
      <c r="G4122" s="13">
        <f t="shared" si="1"/>
        <v>1281</v>
      </c>
      <c r="H4122" s="13"/>
    </row>
    <row r="4123" ht="22.5" customHeight="1">
      <c r="B4123" s="17"/>
      <c r="C4123" s="17"/>
      <c r="D4123" s="13"/>
      <c r="E4123" s="11"/>
      <c r="F4123" s="11"/>
      <c r="G4123" s="13">
        <f t="shared" si="1"/>
        <v>1281</v>
      </c>
      <c r="H4123" s="13"/>
    </row>
    <row r="4124" ht="22.5" customHeight="1">
      <c r="B4124" s="17"/>
      <c r="C4124" s="17"/>
      <c r="D4124" s="13"/>
      <c r="E4124" s="11"/>
      <c r="F4124" s="11"/>
      <c r="G4124" s="13">
        <f t="shared" si="1"/>
        <v>1281</v>
      </c>
      <c r="H4124" s="13"/>
    </row>
    <row r="4125" ht="22.5" customHeight="1">
      <c r="B4125" s="17"/>
      <c r="C4125" s="17"/>
      <c r="D4125" s="13"/>
      <c r="E4125" s="11"/>
      <c r="F4125" s="11"/>
      <c r="G4125" s="13">
        <f t="shared" si="1"/>
        <v>1281</v>
      </c>
      <c r="H4125" s="13"/>
    </row>
    <row r="4126" ht="22.5" customHeight="1">
      <c r="B4126" s="17"/>
      <c r="C4126" s="17"/>
      <c r="D4126" s="13"/>
      <c r="E4126" s="11"/>
      <c r="F4126" s="11"/>
      <c r="G4126" s="13">
        <f t="shared" si="1"/>
        <v>1281</v>
      </c>
      <c r="H4126" s="13"/>
    </row>
    <row r="4127" ht="22.5" customHeight="1">
      <c r="B4127" s="17"/>
      <c r="C4127" s="17"/>
      <c r="D4127" s="13"/>
      <c r="E4127" s="11"/>
      <c r="F4127" s="11"/>
      <c r="G4127" s="13">
        <f t="shared" si="1"/>
        <v>1281</v>
      </c>
      <c r="H4127" s="13"/>
    </row>
    <row r="4128" ht="22.5" customHeight="1">
      <c r="B4128" s="17"/>
      <c r="C4128" s="17"/>
      <c r="D4128" s="13"/>
      <c r="E4128" s="11"/>
      <c r="F4128" s="11"/>
      <c r="G4128" s="13">
        <f t="shared" si="1"/>
        <v>1281</v>
      </c>
      <c r="H4128" s="13"/>
    </row>
    <row r="4129" ht="22.5" customHeight="1">
      <c r="B4129" s="17"/>
      <c r="C4129" s="17"/>
      <c r="D4129" s="13"/>
      <c r="E4129" s="11"/>
      <c r="F4129" s="11"/>
      <c r="G4129" s="13">
        <f t="shared" si="1"/>
        <v>1281</v>
      </c>
      <c r="H4129" s="13"/>
    </row>
    <row r="4130" ht="22.5" customHeight="1">
      <c r="B4130" s="17"/>
      <c r="C4130" s="17"/>
      <c r="D4130" s="13"/>
      <c r="E4130" s="11"/>
      <c r="F4130" s="11"/>
      <c r="G4130" s="13">
        <f t="shared" si="1"/>
        <v>1281</v>
      </c>
      <c r="H4130" s="13"/>
    </row>
    <row r="4131" ht="22.5" customHeight="1">
      <c r="B4131" s="17"/>
      <c r="C4131" s="17"/>
      <c r="D4131" s="13"/>
      <c r="E4131" s="11"/>
      <c r="F4131" s="11"/>
      <c r="G4131" s="13">
        <f t="shared" si="1"/>
        <v>1281</v>
      </c>
      <c r="H4131" s="13"/>
    </row>
    <row r="4132" ht="22.5" customHeight="1">
      <c r="B4132" s="17"/>
      <c r="C4132" s="17"/>
      <c r="D4132" s="13"/>
      <c r="E4132" s="11"/>
      <c r="F4132" s="11"/>
      <c r="G4132" s="13">
        <f t="shared" si="1"/>
        <v>1281</v>
      </c>
      <c r="H4132" s="13"/>
    </row>
    <row r="4133" ht="22.5" customHeight="1">
      <c r="B4133" s="17"/>
      <c r="C4133" s="17"/>
      <c r="D4133" s="13"/>
      <c r="E4133" s="11"/>
      <c r="F4133" s="11"/>
      <c r="G4133" s="13">
        <f t="shared" si="1"/>
        <v>1281</v>
      </c>
      <c r="H4133" s="13"/>
    </row>
    <row r="4134" ht="22.5" customHeight="1">
      <c r="B4134" s="17"/>
      <c r="C4134" s="17"/>
      <c r="D4134" s="13"/>
      <c r="E4134" s="11"/>
      <c r="F4134" s="11"/>
      <c r="G4134" s="13">
        <f t="shared" si="1"/>
        <v>1281</v>
      </c>
      <c r="H4134" s="13"/>
    </row>
    <row r="4135" ht="22.5" customHeight="1">
      <c r="B4135" s="17"/>
      <c r="C4135" s="17"/>
      <c r="D4135" s="13"/>
      <c r="E4135" s="11"/>
      <c r="F4135" s="11"/>
      <c r="G4135" s="13">
        <f t="shared" si="1"/>
        <v>1281</v>
      </c>
      <c r="H4135" s="13"/>
    </row>
    <row r="4136" ht="22.5" customHeight="1">
      <c r="B4136" s="17"/>
      <c r="C4136" s="17"/>
      <c r="D4136" s="13"/>
      <c r="E4136" s="11"/>
      <c r="F4136" s="11"/>
      <c r="G4136" s="13">
        <f t="shared" si="1"/>
        <v>1281</v>
      </c>
      <c r="H4136" s="13"/>
    </row>
    <row r="4137" ht="22.5" customHeight="1">
      <c r="B4137" s="17"/>
      <c r="C4137" s="17"/>
      <c r="D4137" s="13"/>
      <c r="E4137" s="11"/>
      <c r="F4137" s="11"/>
      <c r="G4137" s="13">
        <f t="shared" si="1"/>
        <v>1281</v>
      </c>
      <c r="H4137" s="13"/>
    </row>
    <row r="4138" ht="22.5" customHeight="1">
      <c r="B4138" s="17"/>
      <c r="C4138" s="17"/>
      <c r="D4138" s="13"/>
      <c r="E4138" s="11"/>
      <c r="F4138" s="11"/>
      <c r="G4138" s="13">
        <f t="shared" si="1"/>
        <v>1281</v>
      </c>
      <c r="H4138" s="13"/>
    </row>
    <row r="4139" ht="22.5" customHeight="1">
      <c r="B4139" s="17"/>
      <c r="C4139" s="17"/>
      <c r="D4139" s="13"/>
      <c r="E4139" s="11"/>
      <c r="F4139" s="11"/>
      <c r="G4139" s="13">
        <f t="shared" si="1"/>
        <v>1281</v>
      </c>
      <c r="H4139" s="13"/>
    </row>
    <row r="4140" ht="22.5" customHeight="1">
      <c r="B4140" s="17"/>
      <c r="C4140" s="17"/>
      <c r="D4140" s="13"/>
      <c r="E4140" s="11"/>
      <c r="F4140" s="11"/>
      <c r="G4140" s="13">
        <f t="shared" si="1"/>
        <v>1281</v>
      </c>
      <c r="H4140" s="13"/>
    </row>
    <row r="4141" ht="22.5" customHeight="1">
      <c r="B4141" s="17"/>
      <c r="C4141" s="17"/>
      <c r="D4141" s="13"/>
      <c r="E4141" s="11"/>
      <c r="F4141" s="11"/>
      <c r="G4141" s="13">
        <f t="shared" si="1"/>
        <v>1281</v>
      </c>
      <c r="H4141" s="13"/>
    </row>
    <row r="4142" ht="22.5" customHeight="1">
      <c r="B4142" s="17"/>
      <c r="C4142" s="17"/>
      <c r="D4142" s="13"/>
      <c r="E4142" s="11"/>
      <c r="F4142" s="11"/>
      <c r="G4142" s="13">
        <f t="shared" si="1"/>
        <v>1281</v>
      </c>
      <c r="H4142" s="13"/>
    </row>
    <row r="4143" ht="22.5" customHeight="1">
      <c r="B4143" s="17"/>
      <c r="C4143" s="17"/>
      <c r="D4143" s="13"/>
      <c r="E4143" s="11"/>
      <c r="F4143" s="11"/>
      <c r="G4143" s="13">
        <f t="shared" si="1"/>
        <v>1281</v>
      </c>
      <c r="H4143" s="13"/>
    </row>
    <row r="4144" ht="22.5" customHeight="1">
      <c r="B4144" s="17"/>
      <c r="C4144" s="17"/>
      <c r="D4144" s="13"/>
      <c r="E4144" s="11"/>
      <c r="F4144" s="11"/>
      <c r="G4144" s="13">
        <f t="shared" si="1"/>
        <v>1281</v>
      </c>
      <c r="H4144" s="13"/>
    </row>
    <row r="4145" ht="22.5" customHeight="1">
      <c r="B4145" s="17"/>
      <c r="C4145" s="17"/>
      <c r="D4145" s="13"/>
      <c r="E4145" s="11"/>
      <c r="F4145" s="11"/>
      <c r="G4145" s="13">
        <f t="shared" si="1"/>
        <v>1281</v>
      </c>
      <c r="H4145" s="13"/>
    </row>
    <row r="4146" ht="22.5" customHeight="1">
      <c r="B4146" s="17"/>
      <c r="C4146" s="17"/>
      <c r="D4146" s="13"/>
      <c r="E4146" s="11"/>
      <c r="F4146" s="11"/>
      <c r="G4146" s="13">
        <f t="shared" si="1"/>
        <v>1281</v>
      </c>
      <c r="H4146" s="13"/>
    </row>
    <row r="4147" ht="22.5" customHeight="1">
      <c r="B4147" s="17"/>
      <c r="C4147" s="17"/>
      <c r="D4147" s="13"/>
      <c r="E4147" s="11"/>
      <c r="F4147" s="11"/>
      <c r="G4147" s="13">
        <f t="shared" si="1"/>
        <v>1281</v>
      </c>
      <c r="H4147" s="13"/>
    </row>
    <row r="4148" ht="22.5" customHeight="1">
      <c r="B4148" s="17"/>
      <c r="C4148" s="17"/>
      <c r="D4148" s="13"/>
      <c r="E4148" s="11"/>
      <c r="F4148" s="11"/>
      <c r="G4148" s="13">
        <f t="shared" si="1"/>
        <v>1281</v>
      </c>
      <c r="H4148" s="13"/>
    </row>
    <row r="4149" ht="22.5" customHeight="1">
      <c r="B4149" s="17"/>
      <c r="C4149" s="17"/>
      <c r="D4149" s="13"/>
      <c r="E4149" s="11"/>
      <c r="F4149" s="11"/>
      <c r="G4149" s="13">
        <f t="shared" si="1"/>
        <v>1281</v>
      </c>
      <c r="H4149" s="13"/>
    </row>
    <row r="4150" ht="22.5" customHeight="1">
      <c r="B4150" s="17"/>
      <c r="C4150" s="17"/>
      <c r="D4150" s="13"/>
      <c r="E4150" s="11"/>
      <c r="F4150" s="11"/>
      <c r="G4150" s="13">
        <f t="shared" si="1"/>
        <v>1281</v>
      </c>
      <c r="H4150" s="13"/>
    </row>
    <row r="4151" ht="22.5" customHeight="1">
      <c r="B4151" s="17"/>
      <c r="C4151" s="17"/>
      <c r="D4151" s="13"/>
      <c r="E4151" s="11"/>
      <c r="F4151" s="11"/>
      <c r="G4151" s="13">
        <f t="shared" si="1"/>
        <v>1281</v>
      </c>
      <c r="H4151" s="13"/>
    </row>
    <row r="4152" ht="22.5" customHeight="1">
      <c r="B4152" s="17"/>
      <c r="C4152" s="17"/>
      <c r="D4152" s="13"/>
      <c r="E4152" s="11"/>
      <c r="F4152" s="11"/>
      <c r="G4152" s="13">
        <f t="shared" si="1"/>
        <v>1281</v>
      </c>
      <c r="H4152" s="13"/>
    </row>
    <row r="4153" ht="22.5" customHeight="1">
      <c r="B4153" s="17"/>
      <c r="C4153" s="17"/>
      <c r="D4153" s="13"/>
      <c r="E4153" s="11"/>
      <c r="F4153" s="11"/>
      <c r="G4153" s="13">
        <f t="shared" si="1"/>
        <v>1281</v>
      </c>
      <c r="H4153" s="13"/>
    </row>
    <row r="4154" ht="22.5" customHeight="1">
      <c r="B4154" s="17"/>
      <c r="C4154" s="17"/>
      <c r="D4154" s="13"/>
      <c r="E4154" s="11"/>
      <c r="F4154" s="11"/>
      <c r="G4154" s="13">
        <f t="shared" si="1"/>
        <v>1281</v>
      </c>
      <c r="H4154" s="13"/>
    </row>
    <row r="4155" ht="22.5" customHeight="1">
      <c r="B4155" s="17"/>
      <c r="C4155" s="17"/>
      <c r="D4155" s="13"/>
      <c r="E4155" s="11"/>
      <c r="F4155" s="11"/>
      <c r="G4155" s="13">
        <f t="shared" si="1"/>
        <v>1281</v>
      </c>
      <c r="H4155" s="13"/>
    </row>
    <row r="4156" ht="22.5" customHeight="1">
      <c r="B4156" s="17"/>
      <c r="C4156" s="17"/>
      <c r="D4156" s="13"/>
      <c r="E4156" s="11"/>
      <c r="F4156" s="11"/>
      <c r="G4156" s="13">
        <f t="shared" si="1"/>
        <v>1281</v>
      </c>
      <c r="H4156" s="13"/>
    </row>
    <row r="4157" ht="22.5" customHeight="1">
      <c r="B4157" s="17"/>
      <c r="C4157" s="17"/>
      <c r="D4157" s="13"/>
      <c r="E4157" s="11"/>
      <c r="F4157" s="11"/>
      <c r="G4157" s="13">
        <f t="shared" si="1"/>
        <v>1281</v>
      </c>
      <c r="H4157" s="13"/>
    </row>
    <row r="4158" ht="22.5" customHeight="1">
      <c r="B4158" s="17"/>
      <c r="C4158" s="17"/>
      <c r="D4158" s="13"/>
      <c r="E4158" s="11"/>
      <c r="F4158" s="11"/>
      <c r="G4158" s="13">
        <f t="shared" si="1"/>
        <v>1281</v>
      </c>
      <c r="H4158" s="13"/>
    </row>
    <row r="4159" ht="22.5" customHeight="1">
      <c r="B4159" s="17"/>
      <c r="C4159" s="17"/>
      <c r="D4159" s="13"/>
      <c r="E4159" s="11"/>
      <c r="F4159" s="11"/>
      <c r="G4159" s="13">
        <f t="shared" si="1"/>
        <v>1281</v>
      </c>
      <c r="H4159" s="13"/>
    </row>
    <row r="4160" ht="22.5" customHeight="1">
      <c r="B4160" s="17"/>
      <c r="C4160" s="17"/>
      <c r="D4160" s="13"/>
      <c r="E4160" s="11"/>
      <c r="F4160" s="11"/>
      <c r="G4160" s="13">
        <f t="shared" si="1"/>
        <v>1281</v>
      </c>
      <c r="H4160" s="13"/>
    </row>
    <row r="4161" ht="22.5" customHeight="1">
      <c r="B4161" s="17"/>
      <c r="C4161" s="17"/>
      <c r="D4161" s="13"/>
      <c r="E4161" s="11"/>
      <c r="F4161" s="11"/>
      <c r="G4161" s="13">
        <f t="shared" si="1"/>
        <v>1281</v>
      </c>
      <c r="H4161" s="13"/>
    </row>
    <row r="4162" ht="22.5" customHeight="1">
      <c r="B4162" s="17"/>
      <c r="C4162" s="17"/>
      <c r="D4162" s="13"/>
      <c r="E4162" s="11"/>
      <c r="F4162" s="11"/>
      <c r="G4162" s="13">
        <f t="shared" si="1"/>
        <v>1281</v>
      </c>
      <c r="H4162" s="13"/>
    </row>
    <row r="4163" ht="22.5" customHeight="1">
      <c r="B4163" s="17"/>
      <c r="C4163" s="17"/>
      <c r="D4163" s="13"/>
      <c r="E4163" s="11"/>
      <c r="F4163" s="11"/>
      <c r="G4163" s="13">
        <f t="shared" si="1"/>
        <v>1281</v>
      </c>
      <c r="H4163" s="13"/>
    </row>
    <row r="4164" ht="22.5" customHeight="1">
      <c r="B4164" s="17"/>
      <c r="C4164" s="17"/>
      <c r="D4164" s="13"/>
      <c r="E4164" s="11"/>
      <c r="F4164" s="11"/>
      <c r="G4164" s="13">
        <f t="shared" si="1"/>
        <v>1281</v>
      </c>
      <c r="H4164" s="13"/>
    </row>
    <row r="4165" ht="22.5" customHeight="1">
      <c r="B4165" s="17"/>
      <c r="C4165" s="17"/>
      <c r="D4165" s="13"/>
      <c r="E4165" s="11"/>
      <c r="F4165" s="11"/>
      <c r="G4165" s="13">
        <f t="shared" si="1"/>
        <v>1281</v>
      </c>
      <c r="H4165" s="13"/>
    </row>
    <row r="4166" ht="22.5" customHeight="1">
      <c r="B4166" s="17"/>
      <c r="C4166" s="17"/>
      <c r="D4166" s="13"/>
      <c r="E4166" s="11"/>
      <c r="F4166" s="11"/>
      <c r="G4166" s="13">
        <f t="shared" si="1"/>
        <v>1281</v>
      </c>
      <c r="H4166" s="13"/>
    </row>
    <row r="4167" ht="22.5" customHeight="1">
      <c r="B4167" s="17"/>
      <c r="C4167" s="17"/>
      <c r="D4167" s="13"/>
      <c r="E4167" s="11"/>
      <c r="F4167" s="11"/>
      <c r="G4167" s="13">
        <f t="shared" si="1"/>
        <v>1281</v>
      </c>
      <c r="H4167" s="13"/>
    </row>
    <row r="4168" ht="22.5" customHeight="1">
      <c r="B4168" s="17"/>
      <c r="C4168" s="17"/>
      <c r="D4168" s="13"/>
      <c r="E4168" s="11"/>
      <c r="F4168" s="11"/>
      <c r="G4168" s="13">
        <f t="shared" si="1"/>
        <v>1281</v>
      </c>
      <c r="H4168" s="13"/>
    </row>
    <row r="4169" ht="22.5" customHeight="1">
      <c r="B4169" s="17"/>
      <c r="C4169" s="17"/>
      <c r="D4169" s="13"/>
      <c r="E4169" s="11"/>
      <c r="F4169" s="11"/>
      <c r="G4169" s="13">
        <f t="shared" si="1"/>
        <v>1281</v>
      </c>
      <c r="H4169" s="13"/>
    </row>
    <row r="4170" ht="22.5" customHeight="1">
      <c r="B4170" s="17"/>
      <c r="C4170" s="17"/>
      <c r="D4170" s="13"/>
      <c r="E4170" s="11"/>
      <c r="F4170" s="11"/>
      <c r="G4170" s="13">
        <f t="shared" si="1"/>
        <v>1281</v>
      </c>
      <c r="H4170" s="13"/>
    </row>
    <row r="4171" ht="22.5" customHeight="1">
      <c r="B4171" s="17"/>
      <c r="C4171" s="17"/>
      <c r="D4171" s="13"/>
      <c r="E4171" s="11"/>
      <c r="F4171" s="11"/>
      <c r="G4171" s="13">
        <f t="shared" si="1"/>
        <v>1281</v>
      </c>
      <c r="H4171" s="13"/>
    </row>
    <row r="4172" ht="22.5" customHeight="1">
      <c r="B4172" s="17"/>
      <c r="C4172" s="17"/>
      <c r="D4172" s="13"/>
      <c r="E4172" s="11"/>
      <c r="F4172" s="11"/>
      <c r="G4172" s="13">
        <f t="shared" si="1"/>
        <v>1281</v>
      </c>
      <c r="H4172" s="13"/>
    </row>
    <row r="4173" ht="22.5" customHeight="1">
      <c r="B4173" s="17"/>
      <c r="C4173" s="17"/>
      <c r="D4173" s="13"/>
      <c r="E4173" s="11"/>
      <c r="F4173" s="11"/>
      <c r="G4173" s="13">
        <f t="shared" si="1"/>
        <v>1281</v>
      </c>
      <c r="H4173" s="13"/>
    </row>
    <row r="4174" ht="22.5" customHeight="1">
      <c r="B4174" s="17"/>
      <c r="C4174" s="17"/>
      <c r="D4174" s="13"/>
      <c r="E4174" s="11"/>
      <c r="F4174" s="11"/>
      <c r="G4174" s="13">
        <f t="shared" si="1"/>
        <v>1281</v>
      </c>
      <c r="H4174" s="13"/>
    </row>
    <row r="4175" ht="22.5" customHeight="1">
      <c r="B4175" s="17"/>
      <c r="C4175" s="17"/>
      <c r="D4175" s="13"/>
      <c r="E4175" s="11"/>
      <c r="F4175" s="11"/>
      <c r="G4175" s="13">
        <f t="shared" si="1"/>
        <v>1281</v>
      </c>
      <c r="H4175" s="13"/>
    </row>
    <row r="4176" ht="22.5" customHeight="1">
      <c r="B4176" s="17"/>
      <c r="C4176" s="17"/>
      <c r="D4176" s="13"/>
      <c r="E4176" s="11"/>
      <c r="F4176" s="11"/>
      <c r="G4176" s="13">
        <f t="shared" si="1"/>
        <v>1281</v>
      </c>
      <c r="H4176" s="13"/>
    </row>
    <row r="4177" ht="22.5" customHeight="1">
      <c r="B4177" s="17"/>
      <c r="C4177" s="17"/>
      <c r="D4177" s="13"/>
      <c r="E4177" s="11"/>
      <c r="F4177" s="11"/>
      <c r="G4177" s="13">
        <f t="shared" si="1"/>
        <v>1281</v>
      </c>
      <c r="H4177" s="13"/>
    </row>
    <row r="4178" ht="22.5" customHeight="1">
      <c r="B4178" s="17"/>
      <c r="C4178" s="17"/>
      <c r="D4178" s="13"/>
      <c r="E4178" s="11"/>
      <c r="F4178" s="11"/>
      <c r="G4178" s="13">
        <f t="shared" si="1"/>
        <v>1281</v>
      </c>
      <c r="H4178" s="13"/>
    </row>
    <row r="4179" ht="22.5" customHeight="1">
      <c r="B4179" s="17"/>
      <c r="C4179" s="17"/>
      <c r="D4179" s="13"/>
      <c r="E4179" s="11"/>
      <c r="F4179" s="11"/>
      <c r="G4179" s="13">
        <f t="shared" si="1"/>
        <v>1281</v>
      </c>
      <c r="H4179" s="13"/>
    </row>
    <row r="4180" ht="22.5" customHeight="1">
      <c r="B4180" s="17"/>
      <c r="C4180" s="17"/>
      <c r="D4180" s="13"/>
      <c r="E4180" s="11"/>
      <c r="F4180" s="11"/>
      <c r="G4180" s="13">
        <f t="shared" si="1"/>
        <v>1281</v>
      </c>
      <c r="H4180" s="13"/>
    </row>
    <row r="4181" ht="22.5" customHeight="1">
      <c r="B4181" s="17"/>
      <c r="C4181" s="17"/>
      <c r="D4181" s="13"/>
      <c r="E4181" s="11"/>
      <c r="F4181" s="11"/>
      <c r="G4181" s="13">
        <f t="shared" si="1"/>
        <v>1281</v>
      </c>
      <c r="H4181" s="13"/>
    </row>
    <row r="4182" ht="22.5" customHeight="1">
      <c r="B4182" s="17"/>
      <c r="C4182" s="17"/>
      <c r="D4182" s="13"/>
      <c r="E4182" s="11"/>
      <c r="F4182" s="11"/>
      <c r="G4182" s="13">
        <f t="shared" si="1"/>
        <v>1281</v>
      </c>
      <c r="H4182" s="13"/>
    </row>
    <row r="4183" ht="22.5" customHeight="1">
      <c r="B4183" s="17"/>
      <c r="C4183" s="17"/>
      <c r="D4183" s="13"/>
      <c r="E4183" s="11"/>
      <c r="F4183" s="11"/>
      <c r="G4183" s="13">
        <f t="shared" si="1"/>
        <v>1281</v>
      </c>
      <c r="H4183" s="13"/>
    </row>
    <row r="4184" ht="22.5" customHeight="1">
      <c r="B4184" s="17"/>
      <c r="C4184" s="17"/>
      <c r="D4184" s="13"/>
      <c r="E4184" s="11"/>
      <c r="F4184" s="11"/>
      <c r="G4184" s="13">
        <f t="shared" si="1"/>
        <v>1281</v>
      </c>
      <c r="H4184" s="13"/>
    </row>
    <row r="4185" ht="22.5" customHeight="1">
      <c r="B4185" s="17"/>
      <c r="C4185" s="17"/>
      <c r="D4185" s="13"/>
      <c r="E4185" s="11"/>
      <c r="F4185" s="11"/>
      <c r="G4185" s="13">
        <f t="shared" si="1"/>
        <v>1281</v>
      </c>
      <c r="H4185" s="13"/>
    </row>
    <row r="4186" ht="22.5" customHeight="1">
      <c r="B4186" s="17"/>
      <c r="C4186" s="17"/>
      <c r="D4186" s="13"/>
      <c r="E4186" s="11"/>
      <c r="F4186" s="11"/>
      <c r="G4186" s="13">
        <f t="shared" si="1"/>
        <v>1281</v>
      </c>
      <c r="H4186" s="13"/>
    </row>
    <row r="4187" ht="22.5" customHeight="1">
      <c r="B4187" s="17"/>
      <c r="C4187" s="17"/>
      <c r="D4187" s="13"/>
      <c r="E4187" s="11"/>
      <c r="F4187" s="11"/>
      <c r="G4187" s="13">
        <f t="shared" si="1"/>
        <v>1281</v>
      </c>
      <c r="H4187" s="13"/>
    </row>
    <row r="4188" ht="22.5" customHeight="1">
      <c r="B4188" s="17"/>
      <c r="C4188" s="17"/>
      <c r="D4188" s="13"/>
      <c r="E4188" s="11"/>
      <c r="F4188" s="11"/>
      <c r="G4188" s="13">
        <f t="shared" si="1"/>
        <v>1281</v>
      </c>
      <c r="H4188" s="13"/>
    </row>
    <row r="4189" ht="22.5" customHeight="1">
      <c r="B4189" s="17"/>
      <c r="C4189" s="17"/>
      <c r="D4189" s="13"/>
      <c r="E4189" s="11"/>
      <c r="F4189" s="11"/>
      <c r="G4189" s="13">
        <f t="shared" si="1"/>
        <v>1281</v>
      </c>
      <c r="H4189" s="13"/>
    </row>
    <row r="4190" ht="22.5" customHeight="1">
      <c r="B4190" s="17"/>
      <c r="C4190" s="17"/>
      <c r="D4190" s="13"/>
      <c r="E4190" s="11"/>
      <c r="F4190" s="11"/>
      <c r="G4190" s="13">
        <f t="shared" si="1"/>
        <v>1281</v>
      </c>
      <c r="H4190" s="13"/>
    </row>
    <row r="4191" ht="22.5" customHeight="1">
      <c r="B4191" s="17"/>
      <c r="C4191" s="17"/>
      <c r="D4191" s="13"/>
      <c r="E4191" s="11"/>
      <c r="F4191" s="11"/>
      <c r="G4191" s="13">
        <f t="shared" si="1"/>
        <v>1281</v>
      </c>
      <c r="H4191" s="13"/>
    </row>
    <row r="4192" ht="22.5" customHeight="1">
      <c r="B4192" s="17"/>
      <c r="C4192" s="17"/>
      <c r="D4192" s="13"/>
      <c r="E4192" s="11"/>
      <c r="F4192" s="11"/>
      <c r="G4192" s="13">
        <f t="shared" si="1"/>
        <v>1281</v>
      </c>
      <c r="H4192" s="13"/>
    </row>
    <row r="4193" ht="22.5" customHeight="1">
      <c r="B4193" s="17"/>
      <c r="C4193" s="17"/>
      <c r="D4193" s="13"/>
      <c r="E4193" s="11"/>
      <c r="F4193" s="11"/>
      <c r="G4193" s="13">
        <f t="shared" si="1"/>
        <v>1281</v>
      </c>
      <c r="H4193" s="13"/>
    </row>
    <row r="4194" ht="22.5" customHeight="1">
      <c r="B4194" s="17"/>
      <c r="C4194" s="17"/>
      <c r="D4194" s="13"/>
      <c r="E4194" s="11"/>
      <c r="F4194" s="11"/>
      <c r="G4194" s="13">
        <f t="shared" si="1"/>
        <v>1281</v>
      </c>
      <c r="H4194" s="13"/>
    </row>
    <row r="4195" ht="22.5" customHeight="1">
      <c r="B4195" s="17"/>
      <c r="C4195" s="17"/>
      <c r="D4195" s="13"/>
      <c r="E4195" s="11"/>
      <c r="F4195" s="11"/>
      <c r="G4195" s="13">
        <f t="shared" si="1"/>
        <v>1281</v>
      </c>
      <c r="H4195" s="13"/>
    </row>
    <row r="4196" ht="22.5" customHeight="1">
      <c r="B4196" s="17"/>
      <c r="C4196" s="17"/>
      <c r="D4196" s="13"/>
      <c r="E4196" s="11"/>
      <c r="F4196" s="11"/>
      <c r="G4196" s="13">
        <f t="shared" si="1"/>
        <v>1281</v>
      </c>
      <c r="H4196" s="13"/>
    </row>
    <row r="4197" ht="22.5" customHeight="1">
      <c r="B4197" s="17"/>
      <c r="C4197" s="17"/>
      <c r="D4197" s="13"/>
      <c r="E4197" s="11"/>
      <c r="F4197" s="11"/>
      <c r="G4197" s="13">
        <f t="shared" si="1"/>
        <v>1281</v>
      </c>
      <c r="H4197" s="13"/>
    </row>
    <row r="4198" ht="22.5" customHeight="1">
      <c r="B4198" s="17"/>
      <c r="C4198" s="17"/>
      <c r="D4198" s="13"/>
      <c r="E4198" s="11"/>
      <c r="F4198" s="11"/>
      <c r="G4198" s="13">
        <f t="shared" si="1"/>
        <v>1281</v>
      </c>
      <c r="H4198" s="13"/>
    </row>
    <row r="4199" ht="22.5" customHeight="1">
      <c r="B4199" s="17"/>
      <c r="C4199" s="17"/>
      <c r="D4199" s="13"/>
      <c r="E4199" s="11"/>
      <c r="F4199" s="11"/>
      <c r="G4199" s="13">
        <f t="shared" si="1"/>
        <v>1281</v>
      </c>
      <c r="H4199" s="13"/>
    </row>
    <row r="4200" ht="22.5" customHeight="1">
      <c r="B4200" s="17"/>
      <c r="C4200" s="17"/>
      <c r="D4200" s="13"/>
      <c r="E4200" s="11"/>
      <c r="F4200" s="11"/>
      <c r="G4200" s="13">
        <f t="shared" si="1"/>
        <v>1281</v>
      </c>
      <c r="H4200" s="13"/>
    </row>
    <row r="4201" ht="22.5" customHeight="1">
      <c r="B4201" s="17"/>
      <c r="C4201" s="17"/>
      <c r="D4201" s="13"/>
      <c r="E4201" s="11"/>
      <c r="F4201" s="11"/>
      <c r="G4201" s="13">
        <f t="shared" si="1"/>
        <v>1281</v>
      </c>
      <c r="H4201" s="13"/>
    </row>
    <row r="4202" ht="22.5" customHeight="1">
      <c r="B4202" s="17"/>
      <c r="C4202" s="17"/>
      <c r="D4202" s="13"/>
      <c r="E4202" s="11"/>
      <c r="F4202" s="11"/>
      <c r="G4202" s="13">
        <f t="shared" si="1"/>
        <v>1281</v>
      </c>
      <c r="H4202" s="13"/>
    </row>
    <row r="4203" ht="22.5" customHeight="1">
      <c r="B4203" s="17"/>
      <c r="C4203" s="17"/>
      <c r="D4203" s="13"/>
      <c r="E4203" s="11"/>
      <c r="F4203" s="11"/>
      <c r="G4203" s="13">
        <f t="shared" si="1"/>
        <v>1281</v>
      </c>
      <c r="H4203" s="13"/>
    </row>
    <row r="4204" ht="22.5" customHeight="1">
      <c r="B4204" s="17"/>
      <c r="C4204" s="17"/>
      <c r="D4204" s="13"/>
      <c r="E4204" s="11"/>
      <c r="F4204" s="11"/>
      <c r="G4204" s="13">
        <f t="shared" si="1"/>
        <v>1281</v>
      </c>
      <c r="H4204" s="13"/>
    </row>
    <row r="4205" ht="22.5" customHeight="1">
      <c r="B4205" s="17"/>
      <c r="C4205" s="17"/>
      <c r="D4205" s="13"/>
      <c r="E4205" s="11"/>
      <c r="F4205" s="11"/>
      <c r="G4205" s="13">
        <f t="shared" si="1"/>
        <v>1281</v>
      </c>
      <c r="H4205" s="13"/>
    </row>
    <row r="4206" ht="22.5" customHeight="1">
      <c r="B4206" s="17"/>
      <c r="C4206" s="17"/>
      <c r="D4206" s="13"/>
      <c r="E4206" s="11"/>
      <c r="F4206" s="11"/>
      <c r="G4206" s="13">
        <f t="shared" si="1"/>
        <v>1281</v>
      </c>
      <c r="H4206" s="13"/>
    </row>
    <row r="4207" ht="22.5" customHeight="1">
      <c r="B4207" s="17"/>
      <c r="C4207" s="17"/>
      <c r="D4207" s="13"/>
      <c r="E4207" s="11"/>
      <c r="F4207" s="11"/>
      <c r="G4207" s="13">
        <f t="shared" si="1"/>
        <v>1281</v>
      </c>
      <c r="H4207" s="13"/>
    </row>
    <row r="4208" ht="22.5" customHeight="1">
      <c r="B4208" s="17"/>
      <c r="C4208" s="17"/>
      <c r="D4208" s="13"/>
      <c r="E4208" s="11"/>
      <c r="F4208" s="11"/>
      <c r="G4208" s="13">
        <f t="shared" si="1"/>
        <v>1281</v>
      </c>
      <c r="H4208" s="13"/>
    </row>
    <row r="4209" ht="22.5" customHeight="1">
      <c r="B4209" s="17"/>
      <c r="C4209" s="17"/>
      <c r="D4209" s="13"/>
      <c r="E4209" s="11"/>
      <c r="F4209" s="11"/>
      <c r="G4209" s="13">
        <f t="shared" si="1"/>
        <v>1281</v>
      </c>
      <c r="H4209" s="13"/>
    </row>
    <row r="4210" ht="22.5" customHeight="1">
      <c r="B4210" s="17"/>
      <c r="C4210" s="17"/>
      <c r="D4210" s="13"/>
      <c r="E4210" s="11"/>
      <c r="F4210" s="11"/>
      <c r="G4210" s="13">
        <f t="shared" si="1"/>
        <v>1281</v>
      </c>
      <c r="H4210" s="13"/>
    </row>
    <row r="4211" ht="22.5" customHeight="1">
      <c r="B4211" s="17"/>
      <c r="C4211" s="17"/>
      <c r="D4211" s="13"/>
      <c r="E4211" s="11"/>
      <c r="F4211" s="11"/>
      <c r="G4211" s="13">
        <f t="shared" si="1"/>
        <v>1281</v>
      </c>
      <c r="H4211" s="13"/>
    </row>
    <row r="4212" ht="22.5" customHeight="1">
      <c r="B4212" s="17"/>
      <c r="C4212" s="17"/>
      <c r="D4212" s="13"/>
      <c r="E4212" s="11"/>
      <c r="F4212" s="11"/>
      <c r="G4212" s="13">
        <f t="shared" si="1"/>
        <v>1281</v>
      </c>
      <c r="H4212" s="13"/>
    </row>
    <row r="4213" ht="22.5" customHeight="1">
      <c r="B4213" s="17"/>
      <c r="C4213" s="17"/>
      <c r="D4213" s="13"/>
      <c r="E4213" s="11"/>
      <c r="F4213" s="11"/>
      <c r="G4213" s="13">
        <f t="shared" si="1"/>
        <v>1281</v>
      </c>
      <c r="H4213" s="13"/>
    </row>
    <row r="4214" ht="22.5" customHeight="1">
      <c r="B4214" s="17"/>
      <c r="C4214" s="17"/>
      <c r="D4214" s="13"/>
      <c r="E4214" s="11"/>
      <c r="F4214" s="11"/>
      <c r="G4214" s="13">
        <f t="shared" si="1"/>
        <v>1281</v>
      </c>
      <c r="H4214" s="13"/>
    </row>
    <row r="4215" ht="22.5" customHeight="1">
      <c r="B4215" s="17"/>
      <c r="C4215" s="17"/>
      <c r="D4215" s="13"/>
      <c r="E4215" s="11"/>
      <c r="F4215" s="11"/>
      <c r="G4215" s="13">
        <f t="shared" si="1"/>
        <v>1281</v>
      </c>
      <c r="H4215" s="13"/>
    </row>
    <row r="4216" ht="22.5" customHeight="1">
      <c r="B4216" s="17"/>
      <c r="C4216" s="17"/>
      <c r="D4216" s="13"/>
      <c r="E4216" s="11"/>
      <c r="F4216" s="11"/>
      <c r="G4216" s="13">
        <f t="shared" si="1"/>
        <v>1281</v>
      </c>
      <c r="H4216" s="13"/>
    </row>
    <row r="4217" ht="22.5" customHeight="1">
      <c r="B4217" s="17"/>
      <c r="C4217" s="17"/>
      <c r="D4217" s="13"/>
      <c r="E4217" s="11"/>
      <c r="F4217" s="11"/>
      <c r="G4217" s="13">
        <f t="shared" si="1"/>
        <v>1281</v>
      </c>
      <c r="H4217" s="13"/>
    </row>
    <row r="4218" ht="22.5" customHeight="1">
      <c r="B4218" s="17"/>
      <c r="C4218" s="17"/>
      <c r="D4218" s="13"/>
      <c r="E4218" s="11"/>
      <c r="F4218" s="11"/>
      <c r="G4218" s="13">
        <f t="shared" si="1"/>
        <v>1281</v>
      </c>
      <c r="H4218" s="13"/>
    </row>
    <row r="4219" ht="22.5" customHeight="1">
      <c r="B4219" s="17"/>
      <c r="C4219" s="17"/>
      <c r="D4219" s="13"/>
      <c r="E4219" s="11"/>
      <c r="F4219" s="11"/>
      <c r="G4219" s="13">
        <f t="shared" si="1"/>
        <v>1281</v>
      </c>
      <c r="H4219" s="13"/>
    </row>
    <row r="4220" ht="22.5" customHeight="1">
      <c r="B4220" s="17"/>
      <c r="C4220" s="17"/>
      <c r="D4220" s="13"/>
      <c r="E4220" s="11"/>
      <c r="F4220" s="11"/>
      <c r="G4220" s="13">
        <f t="shared" si="1"/>
        <v>1281</v>
      </c>
      <c r="H4220" s="13"/>
    </row>
    <row r="4221" ht="22.5" customHeight="1">
      <c r="B4221" s="17"/>
      <c r="C4221" s="17"/>
      <c r="D4221" s="13"/>
      <c r="E4221" s="11"/>
      <c r="F4221" s="11"/>
      <c r="G4221" s="13">
        <f t="shared" si="1"/>
        <v>1281</v>
      </c>
      <c r="H4221" s="13"/>
    </row>
    <row r="4222" ht="22.5" customHeight="1">
      <c r="B4222" s="17"/>
      <c r="C4222" s="17"/>
      <c r="D4222" s="13"/>
      <c r="E4222" s="11"/>
      <c r="F4222" s="11"/>
      <c r="G4222" s="13">
        <f t="shared" si="1"/>
        <v>1281</v>
      </c>
      <c r="H4222" s="13"/>
    </row>
    <row r="4223" ht="22.5" customHeight="1">
      <c r="B4223" s="17"/>
      <c r="C4223" s="17"/>
      <c r="D4223" s="13"/>
      <c r="E4223" s="11"/>
      <c r="F4223" s="11"/>
      <c r="G4223" s="13">
        <f t="shared" si="1"/>
        <v>1281</v>
      </c>
      <c r="H4223" s="13"/>
    </row>
    <row r="4224" ht="22.5" customHeight="1">
      <c r="B4224" s="17"/>
      <c r="C4224" s="17"/>
      <c r="D4224" s="13"/>
      <c r="E4224" s="11"/>
      <c r="F4224" s="11"/>
      <c r="G4224" s="13">
        <f t="shared" si="1"/>
        <v>1281</v>
      </c>
      <c r="H4224" s="13"/>
    </row>
    <row r="4225" ht="22.5" customHeight="1">
      <c r="B4225" s="17"/>
      <c r="C4225" s="17"/>
      <c r="D4225" s="13"/>
      <c r="E4225" s="11"/>
      <c r="F4225" s="11"/>
      <c r="G4225" s="13">
        <f t="shared" si="1"/>
        <v>1281</v>
      </c>
      <c r="H4225" s="13"/>
    </row>
    <row r="4226" ht="22.5" customHeight="1">
      <c r="B4226" s="17"/>
      <c r="C4226" s="17"/>
      <c r="D4226" s="13"/>
      <c r="E4226" s="11"/>
      <c r="F4226" s="11"/>
      <c r="G4226" s="13">
        <f t="shared" si="1"/>
        <v>1281</v>
      </c>
      <c r="H4226" s="13"/>
    </row>
    <row r="4227" ht="22.5" customHeight="1">
      <c r="B4227" s="17"/>
      <c r="C4227" s="17"/>
      <c r="D4227" s="13"/>
      <c r="E4227" s="11"/>
      <c r="F4227" s="11"/>
      <c r="G4227" s="13">
        <f t="shared" si="1"/>
        <v>1281</v>
      </c>
      <c r="H4227" s="13"/>
    </row>
    <row r="4228" ht="22.5" customHeight="1">
      <c r="B4228" s="17"/>
      <c r="C4228" s="17"/>
      <c r="D4228" s="13"/>
      <c r="E4228" s="11"/>
      <c r="F4228" s="11"/>
      <c r="G4228" s="13">
        <f t="shared" si="1"/>
        <v>1281</v>
      </c>
      <c r="H4228" s="13"/>
    </row>
    <row r="4229" ht="22.5" customHeight="1">
      <c r="B4229" s="17"/>
      <c r="C4229" s="17"/>
      <c r="D4229" s="13"/>
      <c r="E4229" s="11"/>
      <c r="F4229" s="11"/>
      <c r="G4229" s="13">
        <f t="shared" si="1"/>
        <v>1281</v>
      </c>
      <c r="H4229" s="13"/>
    </row>
    <row r="4230" ht="22.5" customHeight="1">
      <c r="B4230" s="17"/>
      <c r="C4230" s="17"/>
      <c r="D4230" s="13"/>
      <c r="E4230" s="11"/>
      <c r="F4230" s="11"/>
      <c r="G4230" s="13">
        <f t="shared" si="1"/>
        <v>1281</v>
      </c>
      <c r="H4230" s="13"/>
    </row>
    <row r="4231" ht="22.5" customHeight="1">
      <c r="B4231" s="17"/>
      <c r="C4231" s="17"/>
      <c r="D4231" s="13"/>
      <c r="E4231" s="11"/>
      <c r="F4231" s="11"/>
      <c r="G4231" s="13">
        <f t="shared" si="1"/>
        <v>1281</v>
      </c>
      <c r="H4231" s="13"/>
    </row>
    <row r="4232" ht="22.5" customHeight="1">
      <c r="B4232" s="17"/>
      <c r="C4232" s="17"/>
      <c r="D4232" s="13"/>
      <c r="E4232" s="11"/>
      <c r="F4232" s="11"/>
      <c r="G4232" s="13">
        <f t="shared" si="1"/>
        <v>1281</v>
      </c>
      <c r="H4232" s="13"/>
    </row>
    <row r="4233" ht="22.5" customHeight="1">
      <c r="B4233" s="17"/>
      <c r="C4233" s="17"/>
      <c r="D4233" s="13"/>
      <c r="E4233" s="11"/>
      <c r="F4233" s="11"/>
      <c r="G4233" s="13">
        <f t="shared" si="1"/>
        <v>1281</v>
      </c>
      <c r="H4233" s="13"/>
    </row>
    <row r="4234" ht="22.5" customHeight="1">
      <c r="B4234" s="17"/>
      <c r="C4234" s="17"/>
      <c r="D4234" s="13"/>
      <c r="E4234" s="11"/>
      <c r="F4234" s="11"/>
      <c r="G4234" s="13">
        <f t="shared" si="1"/>
        <v>1281</v>
      </c>
      <c r="H4234" s="13"/>
    </row>
    <row r="4235" ht="22.5" customHeight="1">
      <c r="B4235" s="17"/>
      <c r="C4235" s="17"/>
      <c r="D4235" s="13"/>
      <c r="E4235" s="11"/>
      <c r="F4235" s="11"/>
      <c r="G4235" s="13">
        <f t="shared" si="1"/>
        <v>1281</v>
      </c>
      <c r="H4235" s="13"/>
    </row>
    <row r="4236" ht="22.5" customHeight="1">
      <c r="B4236" s="17"/>
      <c r="C4236" s="17"/>
      <c r="D4236" s="13"/>
      <c r="E4236" s="11"/>
      <c r="F4236" s="11"/>
      <c r="G4236" s="13">
        <f t="shared" si="1"/>
        <v>1281</v>
      </c>
      <c r="H4236" s="13"/>
    </row>
    <row r="4237" ht="22.5" customHeight="1">
      <c r="B4237" s="17"/>
      <c r="C4237" s="17"/>
      <c r="D4237" s="13"/>
      <c r="E4237" s="11"/>
      <c r="F4237" s="11"/>
      <c r="G4237" s="13">
        <f t="shared" si="1"/>
        <v>1281</v>
      </c>
      <c r="H4237" s="13"/>
    </row>
    <row r="4238" ht="22.5" customHeight="1">
      <c r="B4238" s="17"/>
      <c r="C4238" s="17"/>
      <c r="D4238" s="13"/>
      <c r="E4238" s="11"/>
      <c r="F4238" s="11"/>
      <c r="G4238" s="13">
        <f t="shared" si="1"/>
        <v>1281</v>
      </c>
      <c r="H4238" s="13"/>
    </row>
    <row r="4239" ht="22.5" customHeight="1">
      <c r="B4239" s="17"/>
      <c r="C4239" s="17"/>
      <c r="D4239" s="13"/>
      <c r="E4239" s="11"/>
      <c r="F4239" s="11"/>
      <c r="G4239" s="13">
        <f t="shared" si="1"/>
        <v>1281</v>
      </c>
      <c r="H4239" s="13"/>
    </row>
    <row r="4240" ht="22.5" customHeight="1">
      <c r="B4240" s="17"/>
      <c r="C4240" s="17"/>
      <c r="D4240" s="13"/>
      <c r="E4240" s="11"/>
      <c r="F4240" s="11"/>
      <c r="G4240" s="13">
        <f t="shared" si="1"/>
        <v>1281</v>
      </c>
      <c r="H4240" s="13"/>
    </row>
    <row r="4241" ht="22.5" customHeight="1">
      <c r="B4241" s="17"/>
      <c r="C4241" s="17"/>
      <c r="D4241" s="13"/>
      <c r="E4241" s="11"/>
      <c r="F4241" s="11"/>
      <c r="G4241" s="13">
        <f t="shared" si="1"/>
        <v>1281</v>
      </c>
      <c r="H4241" s="13"/>
    </row>
    <row r="4242" ht="22.5" customHeight="1">
      <c r="B4242" s="17"/>
      <c r="C4242" s="17"/>
      <c r="D4242" s="13"/>
      <c r="E4242" s="11"/>
      <c r="F4242" s="11"/>
      <c r="G4242" s="13">
        <f t="shared" si="1"/>
        <v>1281</v>
      </c>
      <c r="H4242" s="13"/>
    </row>
    <row r="4243" ht="22.5" customHeight="1">
      <c r="B4243" s="17"/>
      <c r="C4243" s="17"/>
      <c r="D4243" s="13"/>
      <c r="E4243" s="11"/>
      <c r="F4243" s="11"/>
      <c r="G4243" s="13">
        <f t="shared" si="1"/>
        <v>1281</v>
      </c>
      <c r="H4243" s="13"/>
    </row>
    <row r="4244" ht="22.5" customHeight="1">
      <c r="B4244" s="17"/>
      <c r="C4244" s="17"/>
      <c r="D4244" s="13"/>
      <c r="E4244" s="11"/>
      <c r="F4244" s="11"/>
      <c r="G4244" s="13">
        <f t="shared" si="1"/>
        <v>1281</v>
      </c>
      <c r="H4244" s="13"/>
    </row>
    <row r="4245" ht="22.5" customHeight="1">
      <c r="B4245" s="17"/>
      <c r="C4245" s="17"/>
      <c r="D4245" s="13"/>
      <c r="E4245" s="11"/>
      <c r="F4245" s="11"/>
      <c r="G4245" s="13">
        <f t="shared" si="1"/>
        <v>1281</v>
      </c>
      <c r="H4245" s="13"/>
    </row>
    <row r="4246" ht="22.5" customHeight="1">
      <c r="B4246" s="17"/>
      <c r="C4246" s="17"/>
      <c r="D4246" s="13"/>
      <c r="E4246" s="11"/>
      <c r="F4246" s="11"/>
      <c r="G4246" s="13">
        <f t="shared" si="1"/>
        <v>1281</v>
      </c>
      <c r="H4246" s="13"/>
    </row>
    <row r="4247" ht="22.5" customHeight="1">
      <c r="B4247" s="17"/>
      <c r="C4247" s="17"/>
      <c r="D4247" s="13"/>
      <c r="E4247" s="11"/>
      <c r="F4247" s="11"/>
      <c r="G4247" s="13">
        <f t="shared" si="1"/>
        <v>1281</v>
      </c>
      <c r="H4247" s="13"/>
    </row>
    <row r="4248" ht="22.5" customHeight="1">
      <c r="B4248" s="17"/>
      <c r="C4248" s="17"/>
      <c r="D4248" s="13"/>
      <c r="E4248" s="11"/>
      <c r="F4248" s="11"/>
      <c r="G4248" s="13">
        <f t="shared" si="1"/>
        <v>1281</v>
      </c>
      <c r="H4248" s="13"/>
    </row>
    <row r="4249" ht="22.5" customHeight="1">
      <c r="B4249" s="17"/>
      <c r="C4249" s="17"/>
      <c r="D4249" s="13"/>
      <c r="E4249" s="11"/>
      <c r="F4249" s="11"/>
      <c r="G4249" s="13">
        <f t="shared" si="1"/>
        <v>1281</v>
      </c>
      <c r="H4249" s="13"/>
    </row>
    <row r="4250" ht="22.5" customHeight="1">
      <c r="B4250" s="17"/>
      <c r="C4250" s="17"/>
      <c r="D4250" s="13"/>
      <c r="E4250" s="11"/>
      <c r="F4250" s="11"/>
      <c r="G4250" s="13">
        <f t="shared" si="1"/>
        <v>1281</v>
      </c>
      <c r="H4250" s="13"/>
    </row>
    <row r="4251" ht="22.5" customHeight="1">
      <c r="B4251" s="17"/>
      <c r="C4251" s="17"/>
      <c r="D4251" s="13"/>
      <c r="E4251" s="11"/>
      <c r="F4251" s="11"/>
      <c r="G4251" s="13">
        <f t="shared" si="1"/>
        <v>1281</v>
      </c>
      <c r="H4251" s="13"/>
    </row>
    <row r="4252" ht="22.5" customHeight="1">
      <c r="B4252" s="17"/>
      <c r="C4252" s="17"/>
      <c r="D4252" s="13"/>
      <c r="E4252" s="11"/>
      <c r="F4252" s="11"/>
      <c r="G4252" s="13">
        <f t="shared" si="1"/>
        <v>1281</v>
      </c>
      <c r="H4252" s="13"/>
    </row>
    <row r="4253" ht="22.5" customHeight="1">
      <c r="B4253" s="17"/>
      <c r="C4253" s="17"/>
      <c r="D4253" s="13"/>
      <c r="E4253" s="11"/>
      <c r="F4253" s="11"/>
      <c r="G4253" s="13">
        <f t="shared" si="1"/>
        <v>1281</v>
      </c>
      <c r="H4253" s="13"/>
    </row>
    <row r="4254" ht="22.5" customHeight="1">
      <c r="B4254" s="17"/>
      <c r="C4254" s="17"/>
      <c r="D4254" s="13"/>
      <c r="E4254" s="11"/>
      <c r="F4254" s="11"/>
      <c r="G4254" s="13">
        <f t="shared" si="1"/>
        <v>1281</v>
      </c>
      <c r="H4254" s="13"/>
    </row>
    <row r="4255" ht="22.5" customHeight="1">
      <c r="B4255" s="17"/>
      <c r="C4255" s="17"/>
      <c r="D4255" s="13"/>
      <c r="E4255" s="11"/>
      <c r="F4255" s="11"/>
      <c r="G4255" s="13">
        <f t="shared" si="1"/>
        <v>1281</v>
      </c>
      <c r="H4255" s="13"/>
    </row>
    <row r="4256" ht="22.5" customHeight="1">
      <c r="B4256" s="17"/>
      <c r="C4256" s="17"/>
      <c r="D4256" s="13"/>
      <c r="E4256" s="11"/>
      <c r="F4256" s="11"/>
      <c r="G4256" s="13">
        <f t="shared" si="1"/>
        <v>1281</v>
      </c>
      <c r="H4256" s="13"/>
    </row>
    <row r="4257" ht="22.5" customHeight="1">
      <c r="B4257" s="17"/>
      <c r="C4257" s="17"/>
      <c r="D4257" s="13"/>
      <c r="E4257" s="11"/>
      <c r="F4257" s="11"/>
      <c r="G4257" s="13">
        <f t="shared" si="1"/>
        <v>1281</v>
      </c>
      <c r="H4257" s="13"/>
    </row>
    <row r="4258" ht="22.5" customHeight="1">
      <c r="B4258" s="17"/>
      <c r="C4258" s="17"/>
      <c r="D4258" s="13"/>
      <c r="E4258" s="11"/>
      <c r="F4258" s="11"/>
      <c r="G4258" s="13">
        <f t="shared" si="1"/>
        <v>1281</v>
      </c>
      <c r="H4258" s="13"/>
    </row>
    <row r="4259" ht="22.5" customHeight="1">
      <c r="B4259" s="17"/>
      <c r="C4259" s="17"/>
      <c r="D4259" s="13"/>
      <c r="E4259" s="11"/>
      <c r="F4259" s="11"/>
      <c r="G4259" s="13">
        <f t="shared" si="1"/>
        <v>1281</v>
      </c>
      <c r="H4259" s="13"/>
    </row>
    <row r="4260" ht="22.5" customHeight="1">
      <c r="B4260" s="17"/>
      <c r="C4260" s="17"/>
      <c r="D4260" s="13"/>
      <c r="E4260" s="11"/>
      <c r="F4260" s="11"/>
      <c r="G4260" s="13">
        <f t="shared" si="1"/>
        <v>1281</v>
      </c>
      <c r="H4260" s="13"/>
    </row>
    <row r="4261" ht="22.5" customHeight="1">
      <c r="B4261" s="17"/>
      <c r="C4261" s="17"/>
      <c r="D4261" s="13"/>
      <c r="E4261" s="11"/>
      <c r="F4261" s="11"/>
      <c r="G4261" s="13">
        <f t="shared" si="1"/>
        <v>1281</v>
      </c>
      <c r="H4261" s="13"/>
    </row>
    <row r="4262" ht="22.5" customHeight="1">
      <c r="B4262" s="17"/>
      <c r="C4262" s="17"/>
      <c r="D4262" s="13"/>
      <c r="E4262" s="11"/>
      <c r="F4262" s="11"/>
      <c r="G4262" s="13">
        <f t="shared" si="1"/>
        <v>1281</v>
      </c>
      <c r="H4262" s="13"/>
    </row>
    <row r="4263" ht="22.5" customHeight="1">
      <c r="B4263" s="17"/>
      <c r="C4263" s="17"/>
      <c r="D4263" s="13"/>
      <c r="E4263" s="11"/>
      <c r="F4263" s="11"/>
      <c r="G4263" s="13">
        <f t="shared" si="1"/>
        <v>1281</v>
      </c>
      <c r="H4263" s="13"/>
    </row>
    <row r="4264" ht="22.5" customHeight="1">
      <c r="B4264" s="17"/>
      <c r="C4264" s="17"/>
      <c r="D4264" s="13"/>
      <c r="E4264" s="11"/>
      <c r="F4264" s="11"/>
      <c r="G4264" s="13">
        <f t="shared" si="1"/>
        <v>1281</v>
      </c>
      <c r="H4264" s="13"/>
    </row>
    <row r="4265" ht="22.5" customHeight="1">
      <c r="B4265" s="17"/>
      <c r="C4265" s="17"/>
      <c r="D4265" s="13"/>
      <c r="E4265" s="11"/>
      <c r="F4265" s="11"/>
      <c r="G4265" s="13">
        <f t="shared" si="1"/>
        <v>1281</v>
      </c>
      <c r="H4265" s="13"/>
    </row>
    <row r="4266" ht="22.5" customHeight="1">
      <c r="B4266" s="17"/>
      <c r="C4266" s="17"/>
      <c r="D4266" s="13"/>
      <c r="E4266" s="11"/>
      <c r="F4266" s="11"/>
      <c r="G4266" s="13">
        <f t="shared" si="1"/>
        <v>1281</v>
      </c>
      <c r="H4266" s="13"/>
    </row>
    <row r="4267" ht="22.5" customHeight="1">
      <c r="B4267" s="17"/>
      <c r="C4267" s="17"/>
      <c r="D4267" s="13"/>
      <c r="E4267" s="11"/>
      <c r="F4267" s="11"/>
      <c r="G4267" s="13">
        <f t="shared" si="1"/>
        <v>1281</v>
      </c>
      <c r="H4267" s="13"/>
    </row>
    <row r="4268" ht="22.5" customHeight="1">
      <c r="B4268" s="17"/>
      <c r="C4268" s="17"/>
      <c r="D4268" s="13"/>
      <c r="E4268" s="11"/>
      <c r="F4268" s="11"/>
      <c r="G4268" s="13">
        <f t="shared" si="1"/>
        <v>1281</v>
      </c>
      <c r="H4268" s="13"/>
    </row>
    <row r="4269" ht="22.5" customHeight="1">
      <c r="B4269" s="17"/>
      <c r="C4269" s="17"/>
      <c r="D4269" s="13"/>
      <c r="E4269" s="11"/>
      <c r="F4269" s="11"/>
      <c r="G4269" s="13">
        <f t="shared" si="1"/>
        <v>1281</v>
      </c>
      <c r="H4269" s="13"/>
    </row>
    <row r="4270" ht="22.5" customHeight="1">
      <c r="B4270" s="17"/>
      <c r="C4270" s="17"/>
      <c r="D4270" s="13"/>
      <c r="E4270" s="11"/>
      <c r="F4270" s="11"/>
      <c r="G4270" s="13">
        <f t="shared" si="1"/>
        <v>1281</v>
      </c>
      <c r="H4270" s="13"/>
    </row>
    <row r="4271" ht="22.5" customHeight="1">
      <c r="B4271" s="17"/>
      <c r="C4271" s="17"/>
      <c r="D4271" s="13"/>
      <c r="E4271" s="11"/>
      <c r="F4271" s="11"/>
      <c r="G4271" s="13">
        <f t="shared" si="1"/>
        <v>1281</v>
      </c>
      <c r="H4271" s="13"/>
    </row>
    <row r="4272" ht="22.5" customHeight="1">
      <c r="B4272" s="17"/>
      <c r="C4272" s="17"/>
      <c r="D4272" s="13"/>
      <c r="E4272" s="11"/>
      <c r="F4272" s="11"/>
      <c r="G4272" s="13">
        <f t="shared" si="1"/>
        <v>1281</v>
      </c>
      <c r="H4272" s="13"/>
    </row>
    <row r="4273" ht="22.5" customHeight="1">
      <c r="B4273" s="17"/>
      <c r="C4273" s="17"/>
      <c r="D4273" s="13"/>
      <c r="E4273" s="11"/>
      <c r="F4273" s="11"/>
      <c r="G4273" s="13">
        <f t="shared" si="1"/>
        <v>1281</v>
      </c>
      <c r="H4273" s="13"/>
    </row>
    <row r="4274" ht="22.5" customHeight="1">
      <c r="B4274" s="17"/>
      <c r="C4274" s="17"/>
      <c r="D4274" s="13"/>
      <c r="E4274" s="11"/>
      <c r="F4274" s="11"/>
      <c r="G4274" s="13">
        <f t="shared" si="1"/>
        <v>1281</v>
      </c>
      <c r="H4274" s="13"/>
    </row>
    <row r="4275" ht="22.5" customHeight="1">
      <c r="B4275" s="17"/>
      <c r="C4275" s="17"/>
      <c r="D4275" s="13"/>
      <c r="E4275" s="11"/>
      <c r="F4275" s="11"/>
      <c r="G4275" s="13">
        <f t="shared" si="1"/>
        <v>1281</v>
      </c>
      <c r="H4275" s="13"/>
    </row>
    <row r="4276" ht="22.5" customHeight="1">
      <c r="B4276" s="17"/>
      <c r="C4276" s="17"/>
      <c r="D4276" s="13"/>
      <c r="E4276" s="11"/>
      <c r="F4276" s="11"/>
      <c r="G4276" s="13">
        <f t="shared" si="1"/>
        <v>1281</v>
      </c>
      <c r="H4276" s="13"/>
    </row>
    <row r="4277" ht="22.5" customHeight="1">
      <c r="B4277" s="17"/>
      <c r="C4277" s="17"/>
      <c r="D4277" s="13"/>
      <c r="E4277" s="11"/>
      <c r="F4277" s="11"/>
      <c r="G4277" s="13">
        <f t="shared" si="1"/>
        <v>1281</v>
      </c>
      <c r="H4277" s="13"/>
    </row>
    <row r="4278" ht="22.5" customHeight="1">
      <c r="B4278" s="17"/>
      <c r="C4278" s="17"/>
      <c r="D4278" s="13"/>
      <c r="E4278" s="11"/>
      <c r="F4278" s="11"/>
      <c r="G4278" s="13">
        <f t="shared" si="1"/>
        <v>1281</v>
      </c>
      <c r="H4278" s="13"/>
    </row>
    <row r="4279" ht="22.5" customHeight="1">
      <c r="B4279" s="17"/>
      <c r="C4279" s="17"/>
      <c r="D4279" s="13"/>
      <c r="E4279" s="11"/>
      <c r="F4279" s="11"/>
      <c r="G4279" s="13">
        <f t="shared" si="1"/>
        <v>1281</v>
      </c>
      <c r="H4279" s="13"/>
    </row>
    <row r="4280" ht="22.5" customHeight="1">
      <c r="B4280" s="17"/>
      <c r="C4280" s="17"/>
      <c r="D4280" s="13"/>
      <c r="E4280" s="11"/>
      <c r="F4280" s="11"/>
      <c r="G4280" s="13">
        <f t="shared" si="1"/>
        <v>1281</v>
      </c>
      <c r="H4280" s="13"/>
    </row>
    <row r="4281" ht="22.5" customHeight="1">
      <c r="B4281" s="17"/>
      <c r="C4281" s="17"/>
      <c r="D4281" s="13"/>
      <c r="E4281" s="11"/>
      <c r="F4281" s="11"/>
      <c r="G4281" s="13">
        <f t="shared" si="1"/>
        <v>1281</v>
      </c>
      <c r="H4281" s="13"/>
    </row>
    <row r="4282" ht="22.5" customHeight="1">
      <c r="B4282" s="17"/>
      <c r="C4282" s="17"/>
      <c r="D4282" s="13"/>
      <c r="E4282" s="11"/>
      <c r="F4282" s="11"/>
      <c r="G4282" s="13">
        <f t="shared" si="1"/>
        <v>1281</v>
      </c>
      <c r="H4282" s="13"/>
    </row>
    <row r="4283" ht="22.5" customHeight="1">
      <c r="B4283" s="17"/>
      <c r="C4283" s="17"/>
      <c r="D4283" s="13"/>
      <c r="E4283" s="11"/>
      <c r="F4283" s="11"/>
      <c r="G4283" s="13">
        <f t="shared" si="1"/>
        <v>1281</v>
      </c>
      <c r="H4283" s="13"/>
    </row>
    <row r="4284" ht="22.5" customHeight="1">
      <c r="B4284" s="17"/>
      <c r="C4284" s="17"/>
      <c r="D4284" s="13"/>
      <c r="E4284" s="11"/>
      <c r="F4284" s="11"/>
      <c r="G4284" s="13">
        <f t="shared" si="1"/>
        <v>1281</v>
      </c>
      <c r="H4284" s="13"/>
    </row>
    <row r="4285" ht="22.5" customHeight="1">
      <c r="B4285" s="17"/>
      <c r="C4285" s="17"/>
      <c r="D4285" s="13"/>
      <c r="E4285" s="11"/>
      <c r="F4285" s="11"/>
      <c r="G4285" s="13">
        <f t="shared" si="1"/>
        <v>1281</v>
      </c>
      <c r="H4285" s="13"/>
    </row>
    <row r="4286" ht="22.5" customHeight="1">
      <c r="B4286" s="17"/>
      <c r="C4286" s="17"/>
      <c r="D4286" s="13"/>
      <c r="E4286" s="11"/>
      <c r="F4286" s="11"/>
      <c r="G4286" s="13">
        <f t="shared" si="1"/>
        <v>1281</v>
      </c>
      <c r="H4286" s="13"/>
    </row>
    <row r="4287" ht="22.5" customHeight="1">
      <c r="B4287" s="17"/>
      <c r="C4287" s="17"/>
      <c r="D4287" s="13"/>
      <c r="E4287" s="11"/>
      <c r="F4287" s="11"/>
      <c r="G4287" s="13">
        <f t="shared" si="1"/>
        <v>1281</v>
      </c>
      <c r="H4287" s="13"/>
    </row>
    <row r="4288" ht="22.5" customHeight="1">
      <c r="B4288" s="17"/>
      <c r="C4288" s="17"/>
      <c r="D4288" s="13"/>
      <c r="E4288" s="11"/>
      <c r="F4288" s="11"/>
      <c r="G4288" s="13">
        <f t="shared" si="1"/>
        <v>1281</v>
      </c>
      <c r="H4288" s="13"/>
    </row>
    <row r="4289" ht="22.5" customHeight="1">
      <c r="B4289" s="17"/>
      <c r="C4289" s="17"/>
      <c r="D4289" s="13"/>
      <c r="E4289" s="11"/>
      <c r="F4289" s="11"/>
      <c r="G4289" s="13">
        <f t="shared" si="1"/>
        <v>1281</v>
      </c>
      <c r="H4289" s="13"/>
    </row>
    <row r="4290" ht="22.5" customHeight="1">
      <c r="B4290" s="17"/>
      <c r="C4290" s="17"/>
      <c r="D4290" s="13"/>
      <c r="E4290" s="11"/>
      <c r="F4290" s="11"/>
      <c r="G4290" s="13">
        <f t="shared" si="1"/>
        <v>1281</v>
      </c>
      <c r="H4290" s="13"/>
    </row>
    <row r="4291" ht="22.5" customHeight="1">
      <c r="B4291" s="17"/>
      <c r="C4291" s="17"/>
      <c r="D4291" s="13"/>
      <c r="E4291" s="11"/>
      <c r="F4291" s="11"/>
      <c r="G4291" s="13">
        <f t="shared" si="1"/>
        <v>1281</v>
      </c>
      <c r="H4291" s="13"/>
    </row>
    <row r="4292" ht="22.5" customHeight="1">
      <c r="B4292" s="17"/>
      <c r="C4292" s="17"/>
      <c r="D4292" s="13"/>
      <c r="E4292" s="11"/>
      <c r="F4292" s="11"/>
      <c r="G4292" s="13">
        <f t="shared" si="1"/>
        <v>1281</v>
      </c>
      <c r="H4292" s="13"/>
    </row>
    <row r="4293" ht="22.5" customHeight="1">
      <c r="B4293" s="17"/>
      <c r="C4293" s="17"/>
      <c r="D4293" s="13"/>
      <c r="E4293" s="11"/>
      <c r="F4293" s="11"/>
      <c r="G4293" s="13">
        <f t="shared" si="1"/>
        <v>1281</v>
      </c>
      <c r="H4293" s="13"/>
    </row>
    <row r="4294" ht="22.5" customHeight="1">
      <c r="B4294" s="17"/>
      <c r="C4294" s="17"/>
      <c r="D4294" s="13"/>
      <c r="E4294" s="11"/>
      <c r="F4294" s="11"/>
      <c r="G4294" s="13">
        <f t="shared" si="1"/>
        <v>1281</v>
      </c>
      <c r="H4294" s="13"/>
    </row>
    <row r="4295" ht="22.5" customHeight="1">
      <c r="B4295" s="17"/>
      <c r="C4295" s="17"/>
      <c r="D4295" s="13"/>
      <c r="E4295" s="11"/>
      <c r="F4295" s="11"/>
      <c r="G4295" s="13">
        <f t="shared" si="1"/>
        <v>1281</v>
      </c>
      <c r="H4295" s="13"/>
    </row>
    <row r="4296" ht="22.5" customHeight="1">
      <c r="B4296" s="17"/>
      <c r="C4296" s="17"/>
      <c r="D4296" s="13"/>
      <c r="E4296" s="11"/>
      <c r="F4296" s="11"/>
      <c r="G4296" s="13">
        <f t="shared" si="1"/>
        <v>1281</v>
      </c>
      <c r="H4296" s="13"/>
    </row>
    <row r="4297" ht="22.5" customHeight="1">
      <c r="B4297" s="17"/>
      <c r="C4297" s="17"/>
      <c r="D4297" s="13"/>
      <c r="E4297" s="11"/>
      <c r="F4297" s="11"/>
      <c r="G4297" s="13">
        <f t="shared" si="1"/>
        <v>1281</v>
      </c>
      <c r="H4297" s="13"/>
    </row>
    <row r="4298" ht="22.5" customHeight="1">
      <c r="B4298" s="17"/>
      <c r="C4298" s="17"/>
      <c r="D4298" s="13"/>
      <c r="E4298" s="11"/>
      <c r="F4298" s="11"/>
      <c r="G4298" s="13">
        <f t="shared" si="1"/>
        <v>1281</v>
      </c>
      <c r="H4298" s="13"/>
    </row>
    <row r="4299" ht="22.5" customHeight="1">
      <c r="B4299" s="17"/>
      <c r="C4299" s="17"/>
      <c r="D4299" s="13"/>
      <c r="E4299" s="11"/>
      <c r="F4299" s="11"/>
      <c r="G4299" s="13">
        <f t="shared" si="1"/>
        <v>1281</v>
      </c>
      <c r="H4299" s="13"/>
    </row>
    <row r="4300" ht="22.5" customHeight="1">
      <c r="B4300" s="17"/>
      <c r="C4300" s="17"/>
      <c r="D4300" s="13"/>
      <c r="E4300" s="11"/>
      <c r="F4300" s="11"/>
      <c r="G4300" s="13">
        <f t="shared" si="1"/>
        <v>1281</v>
      </c>
      <c r="H4300" s="13"/>
    </row>
    <row r="4301" ht="22.5" customHeight="1">
      <c r="B4301" s="17"/>
      <c r="C4301" s="17"/>
      <c r="D4301" s="13"/>
      <c r="E4301" s="11"/>
      <c r="F4301" s="11"/>
      <c r="G4301" s="13">
        <f t="shared" si="1"/>
        <v>1281</v>
      </c>
      <c r="H4301" s="13"/>
    </row>
    <row r="4302" ht="22.5" customHeight="1">
      <c r="B4302" s="17"/>
      <c r="C4302" s="17"/>
      <c r="D4302" s="13"/>
      <c r="E4302" s="11"/>
      <c r="F4302" s="11"/>
      <c r="G4302" s="13">
        <f t="shared" si="1"/>
        <v>1281</v>
      </c>
      <c r="H4302" s="13"/>
    </row>
    <row r="4303" ht="22.5" customHeight="1">
      <c r="B4303" s="17"/>
      <c r="C4303" s="17"/>
      <c r="D4303" s="13"/>
      <c r="E4303" s="11"/>
      <c r="F4303" s="11"/>
      <c r="G4303" s="13">
        <f t="shared" si="1"/>
        <v>1281</v>
      </c>
      <c r="H4303" s="13"/>
    </row>
    <row r="4304" ht="22.5" customHeight="1">
      <c r="B4304" s="17"/>
      <c r="C4304" s="17"/>
      <c r="D4304" s="13"/>
      <c r="E4304" s="11"/>
      <c r="F4304" s="11"/>
      <c r="G4304" s="13">
        <f t="shared" si="1"/>
        <v>1281</v>
      </c>
      <c r="H4304" s="13"/>
    </row>
    <row r="4305" ht="22.5" customHeight="1">
      <c r="B4305" s="17"/>
      <c r="C4305" s="17"/>
      <c r="D4305" s="13"/>
      <c r="E4305" s="11"/>
      <c r="F4305" s="11"/>
      <c r="G4305" s="13">
        <f t="shared" si="1"/>
        <v>1281</v>
      </c>
      <c r="H4305" s="13"/>
    </row>
    <row r="4306" ht="22.5" customHeight="1">
      <c r="B4306" s="17"/>
      <c r="C4306" s="17"/>
      <c r="D4306" s="13"/>
      <c r="E4306" s="11"/>
      <c r="F4306" s="11"/>
      <c r="G4306" s="13">
        <f t="shared" si="1"/>
        <v>1281</v>
      </c>
      <c r="H4306" s="13"/>
    </row>
    <row r="4307" ht="22.5" customHeight="1">
      <c r="B4307" s="17"/>
      <c r="C4307" s="17"/>
      <c r="D4307" s="13"/>
      <c r="E4307" s="11"/>
      <c r="F4307" s="11"/>
      <c r="G4307" s="13">
        <f t="shared" si="1"/>
        <v>1281</v>
      </c>
      <c r="H4307" s="13"/>
    </row>
    <row r="4308" ht="22.5" customHeight="1">
      <c r="B4308" s="17"/>
      <c r="C4308" s="17"/>
      <c r="D4308" s="13"/>
      <c r="E4308" s="11"/>
      <c r="F4308" s="11"/>
      <c r="G4308" s="13">
        <f t="shared" si="1"/>
        <v>1281</v>
      </c>
      <c r="H4308" s="13"/>
    </row>
    <row r="4309" ht="22.5" customHeight="1">
      <c r="B4309" s="17"/>
      <c r="C4309" s="17"/>
      <c r="D4309" s="13"/>
      <c r="E4309" s="11"/>
      <c r="F4309" s="11"/>
      <c r="G4309" s="13">
        <f t="shared" si="1"/>
        <v>1281</v>
      </c>
      <c r="H4309" s="13"/>
    </row>
    <row r="4310" ht="22.5" customHeight="1">
      <c r="B4310" s="17"/>
      <c r="C4310" s="17"/>
      <c r="D4310" s="13"/>
      <c r="E4310" s="11"/>
      <c r="F4310" s="11"/>
      <c r="G4310" s="13">
        <f t="shared" si="1"/>
        <v>1281</v>
      </c>
      <c r="H4310" s="13"/>
    </row>
    <row r="4311" ht="22.5" customHeight="1">
      <c r="B4311" s="17"/>
      <c r="C4311" s="17"/>
      <c r="D4311" s="13"/>
      <c r="E4311" s="11"/>
      <c r="F4311" s="11"/>
      <c r="G4311" s="13">
        <f t="shared" si="1"/>
        <v>1281</v>
      </c>
      <c r="H4311" s="13"/>
    </row>
    <row r="4312" ht="22.5" customHeight="1">
      <c r="B4312" s="17"/>
      <c r="C4312" s="17"/>
      <c r="D4312" s="13"/>
      <c r="E4312" s="11"/>
      <c r="F4312" s="11"/>
      <c r="G4312" s="13">
        <f t="shared" si="1"/>
        <v>1281</v>
      </c>
      <c r="H4312" s="13"/>
    </row>
    <row r="4313" ht="22.5" customHeight="1">
      <c r="B4313" s="17"/>
      <c r="C4313" s="17"/>
      <c r="D4313" s="13"/>
      <c r="E4313" s="11"/>
      <c r="F4313" s="11"/>
      <c r="G4313" s="13">
        <f t="shared" si="1"/>
        <v>1281</v>
      </c>
      <c r="H4313" s="13"/>
    </row>
    <row r="4314" ht="22.5" customHeight="1">
      <c r="B4314" s="17"/>
      <c r="C4314" s="17"/>
      <c r="D4314" s="13"/>
      <c r="E4314" s="11"/>
      <c r="F4314" s="11"/>
      <c r="G4314" s="13">
        <f t="shared" si="1"/>
        <v>1281</v>
      </c>
      <c r="H4314" s="13"/>
    </row>
    <row r="4315" ht="22.5" customHeight="1">
      <c r="B4315" s="17"/>
      <c r="C4315" s="17"/>
      <c r="D4315" s="13"/>
      <c r="E4315" s="11"/>
      <c r="F4315" s="11"/>
      <c r="G4315" s="13">
        <f t="shared" si="1"/>
        <v>1281</v>
      </c>
      <c r="H4315" s="13"/>
    </row>
    <row r="4316" ht="22.5" customHeight="1">
      <c r="B4316" s="17"/>
      <c r="C4316" s="17"/>
      <c r="D4316" s="13"/>
      <c r="E4316" s="11"/>
      <c r="F4316" s="11"/>
      <c r="G4316" s="13">
        <f t="shared" si="1"/>
        <v>1281</v>
      </c>
      <c r="H4316" s="13"/>
    </row>
    <row r="4317" ht="22.5" customHeight="1">
      <c r="B4317" s="17"/>
      <c r="C4317" s="17"/>
      <c r="D4317" s="13"/>
      <c r="E4317" s="11"/>
      <c r="F4317" s="11"/>
      <c r="G4317" s="13">
        <f t="shared" si="1"/>
        <v>1281</v>
      </c>
      <c r="H4317" s="13"/>
    </row>
    <row r="4318" ht="22.5" customHeight="1">
      <c r="B4318" s="17"/>
      <c r="C4318" s="17"/>
      <c r="D4318" s="13"/>
      <c r="E4318" s="11"/>
      <c r="F4318" s="11"/>
      <c r="G4318" s="13">
        <f t="shared" si="1"/>
        <v>1281</v>
      </c>
      <c r="H4318" s="13"/>
    </row>
    <row r="4319" ht="22.5" customHeight="1">
      <c r="B4319" s="17"/>
      <c r="C4319" s="17"/>
      <c r="D4319" s="13"/>
      <c r="E4319" s="11"/>
      <c r="F4319" s="11"/>
      <c r="G4319" s="13">
        <f t="shared" si="1"/>
        <v>1281</v>
      </c>
      <c r="H4319" s="13"/>
    </row>
    <row r="4320" ht="22.5" customHeight="1">
      <c r="B4320" s="17"/>
      <c r="C4320" s="17"/>
      <c r="D4320" s="13"/>
      <c r="E4320" s="11"/>
      <c r="F4320" s="11"/>
      <c r="G4320" s="13">
        <f t="shared" si="1"/>
        <v>1281</v>
      </c>
      <c r="H4320" s="13"/>
    </row>
    <row r="4321" ht="22.5" customHeight="1">
      <c r="B4321" s="17"/>
      <c r="C4321" s="17"/>
      <c r="D4321" s="13"/>
      <c r="E4321" s="11"/>
      <c r="F4321" s="11"/>
      <c r="G4321" s="13">
        <f t="shared" si="1"/>
        <v>1281</v>
      </c>
      <c r="H4321" s="13"/>
    </row>
    <row r="4322" ht="22.5" customHeight="1">
      <c r="B4322" s="17"/>
      <c r="C4322" s="17"/>
      <c r="D4322" s="13"/>
      <c r="E4322" s="11"/>
      <c r="F4322" s="11"/>
      <c r="G4322" s="13">
        <f t="shared" si="1"/>
        <v>1281</v>
      </c>
      <c r="H4322" s="13"/>
    </row>
    <row r="4323" ht="22.5" customHeight="1">
      <c r="B4323" s="17"/>
      <c r="C4323" s="17"/>
      <c r="D4323" s="13"/>
      <c r="E4323" s="11"/>
      <c r="F4323" s="11"/>
      <c r="G4323" s="13">
        <f t="shared" si="1"/>
        <v>1281</v>
      </c>
      <c r="H4323" s="13"/>
    </row>
    <row r="4324" ht="22.5" customHeight="1">
      <c r="B4324" s="17"/>
      <c r="C4324" s="17"/>
      <c r="D4324" s="13"/>
      <c r="E4324" s="11"/>
      <c r="F4324" s="11"/>
      <c r="G4324" s="13">
        <f t="shared" si="1"/>
        <v>1281</v>
      </c>
      <c r="H4324" s="13"/>
    </row>
    <row r="4325" ht="22.5" customHeight="1">
      <c r="B4325" s="17"/>
      <c r="C4325" s="17"/>
      <c r="D4325" s="13"/>
      <c r="E4325" s="11"/>
      <c r="F4325" s="11"/>
      <c r="G4325" s="13">
        <f t="shared" si="1"/>
        <v>1281</v>
      </c>
      <c r="H4325" s="13"/>
    </row>
    <row r="4326" ht="22.5" customHeight="1">
      <c r="B4326" s="17"/>
      <c r="C4326" s="17"/>
      <c r="D4326" s="13"/>
      <c r="E4326" s="11"/>
      <c r="F4326" s="11"/>
      <c r="G4326" s="13">
        <f t="shared" si="1"/>
        <v>1281</v>
      </c>
      <c r="H4326" s="13"/>
    </row>
    <row r="4327" ht="22.5" customHeight="1">
      <c r="B4327" s="17"/>
      <c r="C4327" s="17"/>
      <c r="D4327" s="13"/>
      <c r="E4327" s="11"/>
      <c r="F4327" s="11"/>
      <c r="G4327" s="13">
        <f t="shared" si="1"/>
        <v>1281</v>
      </c>
      <c r="H4327" s="13"/>
    </row>
    <row r="4328" ht="22.5" customHeight="1">
      <c r="B4328" s="17"/>
      <c r="C4328" s="17"/>
      <c r="D4328" s="13"/>
      <c r="E4328" s="11"/>
      <c r="F4328" s="11"/>
      <c r="G4328" s="13">
        <f t="shared" si="1"/>
        <v>1281</v>
      </c>
      <c r="H4328" s="13"/>
    </row>
    <row r="4329" ht="22.5" customHeight="1">
      <c r="B4329" s="17"/>
      <c r="C4329" s="17"/>
      <c r="D4329" s="13"/>
      <c r="E4329" s="11"/>
      <c r="F4329" s="11"/>
      <c r="G4329" s="13">
        <f t="shared" si="1"/>
        <v>1281</v>
      </c>
      <c r="H4329" s="13"/>
    </row>
    <row r="4330" ht="22.5" customHeight="1">
      <c r="B4330" s="17"/>
      <c r="C4330" s="17"/>
      <c r="D4330" s="13"/>
      <c r="E4330" s="11"/>
      <c r="F4330" s="11"/>
      <c r="G4330" s="13">
        <f t="shared" si="1"/>
        <v>1281</v>
      </c>
      <c r="H4330" s="13"/>
    </row>
    <row r="4331" ht="22.5" customHeight="1">
      <c r="B4331" s="17"/>
      <c r="C4331" s="17"/>
      <c r="D4331" s="13"/>
      <c r="E4331" s="11"/>
      <c r="F4331" s="11"/>
      <c r="G4331" s="13">
        <f t="shared" si="1"/>
        <v>1281</v>
      </c>
      <c r="H4331" s="13"/>
    </row>
    <row r="4332" ht="22.5" customHeight="1">
      <c r="B4332" s="17"/>
      <c r="C4332" s="17"/>
      <c r="D4332" s="13"/>
      <c r="E4332" s="11"/>
      <c r="F4332" s="11"/>
      <c r="G4332" s="13">
        <f t="shared" si="1"/>
        <v>1281</v>
      </c>
      <c r="H4332" s="13"/>
    </row>
    <row r="4333" ht="22.5" customHeight="1">
      <c r="B4333" s="17"/>
      <c r="C4333" s="17"/>
      <c r="D4333" s="13"/>
      <c r="E4333" s="11"/>
      <c r="F4333" s="11"/>
      <c r="G4333" s="13">
        <f t="shared" si="1"/>
        <v>1281</v>
      </c>
      <c r="H4333" s="13"/>
    </row>
    <row r="4334" ht="22.5" customHeight="1">
      <c r="B4334" s="17"/>
      <c r="C4334" s="17"/>
      <c r="D4334" s="13"/>
      <c r="E4334" s="11"/>
      <c r="F4334" s="11"/>
      <c r="G4334" s="13">
        <f t="shared" si="1"/>
        <v>1281</v>
      </c>
      <c r="H4334" s="13"/>
    </row>
    <row r="4335" ht="22.5" customHeight="1">
      <c r="B4335" s="17"/>
      <c r="C4335" s="17"/>
      <c r="D4335" s="13"/>
      <c r="E4335" s="11"/>
      <c r="F4335" s="11"/>
      <c r="G4335" s="13">
        <f t="shared" si="1"/>
        <v>1281</v>
      </c>
      <c r="H4335" s="13"/>
    </row>
    <row r="4336" ht="22.5" customHeight="1">
      <c r="B4336" s="17"/>
      <c r="C4336" s="17"/>
      <c r="D4336" s="13"/>
      <c r="E4336" s="11"/>
      <c r="F4336" s="11"/>
      <c r="G4336" s="13">
        <f t="shared" si="1"/>
        <v>1281</v>
      </c>
      <c r="H4336" s="13"/>
    </row>
    <row r="4337" ht="22.5" customHeight="1">
      <c r="B4337" s="17"/>
      <c r="C4337" s="17"/>
      <c r="D4337" s="13"/>
      <c r="E4337" s="11"/>
      <c r="F4337" s="11"/>
      <c r="G4337" s="13">
        <f t="shared" si="1"/>
        <v>1281</v>
      </c>
      <c r="H4337" s="13"/>
    </row>
    <row r="4338" ht="22.5" customHeight="1">
      <c r="B4338" s="17"/>
      <c r="C4338" s="17"/>
      <c r="D4338" s="13"/>
      <c r="E4338" s="11"/>
      <c r="F4338" s="11"/>
      <c r="G4338" s="13">
        <f t="shared" si="1"/>
        <v>1281</v>
      </c>
      <c r="H4338" s="13"/>
    </row>
    <row r="4339" ht="22.5" customHeight="1">
      <c r="B4339" s="17"/>
      <c r="C4339" s="17"/>
      <c r="D4339" s="13"/>
      <c r="E4339" s="11"/>
      <c r="F4339" s="11"/>
      <c r="G4339" s="13">
        <f t="shared" si="1"/>
        <v>1281</v>
      </c>
      <c r="H4339" s="13"/>
    </row>
    <row r="4340" ht="22.5" customHeight="1">
      <c r="B4340" s="17"/>
      <c r="C4340" s="17"/>
      <c r="D4340" s="13"/>
      <c r="E4340" s="11"/>
      <c r="F4340" s="11"/>
      <c r="G4340" s="13">
        <f t="shared" si="1"/>
        <v>1281</v>
      </c>
      <c r="H4340" s="13"/>
    </row>
    <row r="4341" ht="22.5" customHeight="1">
      <c r="B4341" s="17"/>
      <c r="C4341" s="17"/>
      <c r="D4341" s="13"/>
      <c r="E4341" s="11"/>
      <c r="F4341" s="11"/>
      <c r="G4341" s="13">
        <f t="shared" si="1"/>
        <v>1281</v>
      </c>
      <c r="H4341" s="13"/>
    </row>
    <row r="4342" ht="22.5" customHeight="1">
      <c r="B4342" s="17"/>
      <c r="C4342" s="17"/>
      <c r="D4342" s="13"/>
      <c r="E4342" s="11"/>
      <c r="F4342" s="11"/>
      <c r="G4342" s="13">
        <f t="shared" si="1"/>
        <v>1281</v>
      </c>
      <c r="H4342" s="13"/>
    </row>
    <row r="4343" ht="22.5" customHeight="1">
      <c r="B4343" s="17"/>
      <c r="C4343" s="17"/>
      <c r="D4343" s="13"/>
      <c r="E4343" s="11"/>
      <c r="F4343" s="11"/>
      <c r="G4343" s="13">
        <f t="shared" si="1"/>
        <v>1281</v>
      </c>
      <c r="H4343" s="13"/>
    </row>
    <row r="4344" ht="22.5" customHeight="1">
      <c r="B4344" s="17"/>
      <c r="C4344" s="17"/>
      <c r="D4344" s="13"/>
      <c r="E4344" s="11"/>
      <c r="F4344" s="11"/>
      <c r="G4344" s="13">
        <f t="shared" si="1"/>
        <v>1281</v>
      </c>
      <c r="H4344" s="13"/>
    </row>
    <row r="4345" ht="22.5" customHeight="1">
      <c r="B4345" s="17"/>
      <c r="C4345" s="17"/>
      <c r="D4345" s="13"/>
      <c r="E4345" s="11"/>
      <c r="F4345" s="11"/>
      <c r="G4345" s="13">
        <f t="shared" si="1"/>
        <v>1281</v>
      </c>
      <c r="H4345" s="13"/>
    </row>
    <row r="4346" ht="22.5" customHeight="1">
      <c r="B4346" s="17"/>
      <c r="C4346" s="17"/>
      <c r="D4346" s="13"/>
      <c r="E4346" s="11"/>
      <c r="F4346" s="11"/>
      <c r="G4346" s="13">
        <f t="shared" si="1"/>
        <v>1281</v>
      </c>
      <c r="H4346" s="13"/>
    </row>
    <row r="4347" ht="22.5" customHeight="1">
      <c r="B4347" s="17"/>
      <c r="C4347" s="17"/>
      <c r="D4347" s="13"/>
      <c r="E4347" s="11"/>
      <c r="F4347" s="11"/>
      <c r="G4347" s="13">
        <f t="shared" si="1"/>
        <v>1281</v>
      </c>
      <c r="H4347" s="13"/>
    </row>
    <row r="4348" ht="22.5" customHeight="1">
      <c r="B4348" s="17"/>
      <c r="C4348" s="17"/>
      <c r="D4348" s="13"/>
      <c r="E4348" s="11"/>
      <c r="F4348" s="11"/>
      <c r="G4348" s="13">
        <f t="shared" si="1"/>
        <v>1281</v>
      </c>
      <c r="H4348" s="13"/>
    </row>
    <row r="4349" ht="22.5" customHeight="1">
      <c r="B4349" s="17"/>
      <c r="C4349" s="17"/>
      <c r="D4349" s="13"/>
      <c r="E4349" s="11"/>
      <c r="F4349" s="11"/>
      <c r="G4349" s="13">
        <f t="shared" si="1"/>
        <v>1281</v>
      </c>
      <c r="H4349" s="13"/>
    </row>
    <row r="4350" ht="22.5" customHeight="1">
      <c r="B4350" s="17"/>
      <c r="C4350" s="17"/>
      <c r="D4350" s="13"/>
      <c r="E4350" s="11"/>
      <c r="F4350" s="11"/>
      <c r="G4350" s="13">
        <f t="shared" si="1"/>
        <v>1281</v>
      </c>
      <c r="H4350" s="13"/>
    </row>
    <row r="4351" ht="22.5" customHeight="1">
      <c r="B4351" s="17"/>
      <c r="C4351" s="17"/>
      <c r="D4351" s="13"/>
      <c r="E4351" s="11"/>
      <c r="F4351" s="11"/>
      <c r="G4351" s="13">
        <f t="shared" si="1"/>
        <v>1281</v>
      </c>
      <c r="H4351" s="13"/>
    </row>
    <row r="4352" ht="22.5" customHeight="1">
      <c r="B4352" s="17"/>
      <c r="C4352" s="17"/>
      <c r="D4352" s="13"/>
      <c r="E4352" s="11"/>
      <c r="F4352" s="11"/>
      <c r="G4352" s="13">
        <f t="shared" si="1"/>
        <v>1281</v>
      </c>
      <c r="H4352" s="13"/>
    </row>
    <row r="4353" ht="22.5" customHeight="1">
      <c r="B4353" s="17"/>
      <c r="C4353" s="17"/>
      <c r="D4353" s="13"/>
      <c r="E4353" s="11"/>
      <c r="F4353" s="11"/>
      <c r="G4353" s="13">
        <f t="shared" si="1"/>
        <v>1281</v>
      </c>
      <c r="H4353" s="13"/>
    </row>
    <row r="4354" ht="22.5" customHeight="1">
      <c r="B4354" s="17"/>
      <c r="C4354" s="17"/>
      <c r="D4354" s="13"/>
      <c r="E4354" s="11"/>
      <c r="F4354" s="11"/>
      <c r="G4354" s="13">
        <f t="shared" si="1"/>
        <v>1281</v>
      </c>
      <c r="H4354" s="13"/>
    </row>
    <row r="4355" ht="22.5" customHeight="1">
      <c r="B4355" s="17"/>
      <c r="C4355" s="17"/>
      <c r="D4355" s="13"/>
      <c r="E4355" s="11"/>
      <c r="F4355" s="11"/>
      <c r="G4355" s="13">
        <f t="shared" si="1"/>
        <v>1281</v>
      </c>
      <c r="H4355" s="13"/>
    </row>
    <row r="4356" ht="22.5" customHeight="1">
      <c r="B4356" s="17"/>
      <c r="C4356" s="17"/>
      <c r="D4356" s="13"/>
      <c r="E4356" s="11"/>
      <c r="F4356" s="11"/>
      <c r="G4356" s="13">
        <f t="shared" si="1"/>
        <v>1281</v>
      </c>
      <c r="H4356" s="13"/>
    </row>
    <row r="4357" ht="22.5" customHeight="1">
      <c r="B4357" s="17"/>
      <c r="C4357" s="17"/>
      <c r="D4357" s="13"/>
      <c r="E4357" s="11"/>
      <c r="F4357" s="11"/>
      <c r="G4357" s="13">
        <f t="shared" si="1"/>
        <v>1281</v>
      </c>
      <c r="H4357" s="13"/>
    </row>
    <row r="4358" ht="22.5" customHeight="1">
      <c r="B4358" s="17"/>
      <c r="C4358" s="17"/>
      <c r="D4358" s="13"/>
      <c r="E4358" s="11"/>
      <c r="F4358" s="11"/>
      <c r="G4358" s="13">
        <f t="shared" si="1"/>
        <v>1281</v>
      </c>
      <c r="H4358" s="13"/>
    </row>
    <row r="4359" ht="22.5" customHeight="1">
      <c r="B4359" s="17"/>
      <c r="C4359" s="17"/>
      <c r="D4359" s="13"/>
      <c r="E4359" s="11"/>
      <c r="F4359" s="11"/>
      <c r="G4359" s="13">
        <f t="shared" si="1"/>
        <v>1281</v>
      </c>
      <c r="H4359" s="13"/>
    </row>
    <row r="4360" ht="22.5" customHeight="1">
      <c r="B4360" s="17"/>
      <c r="C4360" s="17"/>
      <c r="D4360" s="13"/>
      <c r="E4360" s="11"/>
      <c r="F4360" s="11"/>
      <c r="G4360" s="13">
        <f t="shared" si="1"/>
        <v>1281</v>
      </c>
      <c r="H4360" s="13"/>
    </row>
    <row r="4361" ht="22.5" customHeight="1">
      <c r="B4361" s="17"/>
      <c r="C4361" s="17"/>
      <c r="D4361" s="13"/>
      <c r="E4361" s="11"/>
      <c r="F4361" s="11"/>
      <c r="G4361" s="13">
        <f t="shared" si="1"/>
        <v>1281</v>
      </c>
      <c r="H4361" s="13"/>
    </row>
    <row r="4362" ht="22.5" customHeight="1">
      <c r="B4362" s="17"/>
      <c r="C4362" s="17"/>
      <c r="D4362" s="13"/>
      <c r="E4362" s="11"/>
      <c r="F4362" s="11"/>
      <c r="G4362" s="13">
        <f t="shared" si="1"/>
        <v>1281</v>
      </c>
      <c r="H4362" s="13"/>
    </row>
    <row r="4363" ht="22.5" customHeight="1">
      <c r="B4363" s="17"/>
      <c r="C4363" s="17"/>
      <c r="D4363" s="13"/>
      <c r="E4363" s="11"/>
      <c r="F4363" s="11"/>
      <c r="G4363" s="13">
        <f t="shared" si="1"/>
        <v>1281</v>
      </c>
      <c r="H4363" s="13"/>
    </row>
    <row r="4364" ht="22.5" customHeight="1">
      <c r="B4364" s="17"/>
      <c r="C4364" s="17"/>
      <c r="D4364" s="13"/>
      <c r="E4364" s="11"/>
      <c r="F4364" s="11"/>
      <c r="G4364" s="13">
        <f t="shared" si="1"/>
        <v>1281</v>
      </c>
      <c r="H4364" s="13"/>
    </row>
    <row r="4365" ht="22.5" customHeight="1">
      <c r="B4365" s="17"/>
      <c r="C4365" s="17"/>
      <c r="D4365" s="13"/>
      <c r="E4365" s="11"/>
      <c r="F4365" s="11"/>
      <c r="G4365" s="13">
        <f t="shared" si="1"/>
        <v>1281</v>
      </c>
      <c r="H4365" s="13"/>
    </row>
    <row r="4366" ht="22.5" customHeight="1">
      <c r="B4366" s="17"/>
      <c r="C4366" s="17"/>
      <c r="D4366" s="13"/>
      <c r="E4366" s="11"/>
      <c r="F4366" s="11"/>
      <c r="G4366" s="13">
        <f t="shared" si="1"/>
        <v>1281</v>
      </c>
      <c r="H4366" s="13"/>
    </row>
    <row r="4367" ht="22.5" customHeight="1">
      <c r="B4367" s="17"/>
      <c r="C4367" s="17"/>
      <c r="D4367" s="13"/>
      <c r="E4367" s="11"/>
      <c r="F4367" s="11"/>
      <c r="G4367" s="13">
        <f t="shared" si="1"/>
        <v>1281</v>
      </c>
      <c r="H4367" s="13"/>
    </row>
    <row r="4368" ht="22.5" customHeight="1">
      <c r="B4368" s="17"/>
      <c r="C4368" s="17"/>
      <c r="D4368" s="13"/>
      <c r="E4368" s="11"/>
      <c r="F4368" s="11"/>
      <c r="G4368" s="13">
        <f t="shared" si="1"/>
        <v>1281</v>
      </c>
      <c r="H4368" s="13"/>
    </row>
    <row r="4369" ht="22.5" customHeight="1">
      <c r="B4369" s="17"/>
      <c r="C4369" s="17"/>
      <c r="D4369" s="13"/>
      <c r="E4369" s="11"/>
      <c r="F4369" s="11"/>
      <c r="G4369" s="13">
        <f t="shared" si="1"/>
        <v>1281</v>
      </c>
      <c r="H4369" s="13"/>
    </row>
    <row r="4370" ht="22.5" customHeight="1">
      <c r="B4370" s="17"/>
      <c r="C4370" s="17"/>
      <c r="D4370" s="13"/>
      <c r="E4370" s="11"/>
      <c r="F4370" s="11"/>
      <c r="G4370" s="13">
        <f t="shared" si="1"/>
        <v>1281</v>
      </c>
      <c r="H4370" s="13"/>
    </row>
    <row r="4371" ht="22.5" customHeight="1">
      <c r="B4371" s="17"/>
      <c r="C4371" s="17"/>
      <c r="D4371" s="13"/>
      <c r="E4371" s="11"/>
      <c r="F4371" s="11"/>
      <c r="G4371" s="13">
        <f t="shared" si="1"/>
        <v>1281</v>
      </c>
      <c r="H4371" s="13"/>
    </row>
    <row r="4372" ht="22.5" customHeight="1">
      <c r="B4372" s="17"/>
      <c r="C4372" s="17"/>
      <c r="D4372" s="13"/>
      <c r="E4372" s="11"/>
      <c r="F4372" s="11"/>
      <c r="G4372" s="13">
        <f t="shared" si="1"/>
        <v>1281</v>
      </c>
      <c r="H4372" s="13"/>
    </row>
    <row r="4373" ht="22.5" customHeight="1">
      <c r="B4373" s="17"/>
      <c r="C4373" s="17"/>
      <c r="D4373" s="13"/>
      <c r="E4373" s="11"/>
      <c r="F4373" s="11"/>
      <c r="G4373" s="13">
        <f t="shared" si="1"/>
        <v>1281</v>
      </c>
      <c r="H4373" s="13"/>
    </row>
    <row r="4374" ht="22.5" customHeight="1">
      <c r="B4374" s="17"/>
      <c r="C4374" s="17"/>
      <c r="D4374" s="13"/>
      <c r="E4374" s="11"/>
      <c r="F4374" s="11"/>
      <c r="G4374" s="13">
        <f t="shared" si="1"/>
        <v>1281</v>
      </c>
      <c r="H4374" s="13"/>
    </row>
    <row r="4375" ht="22.5" customHeight="1">
      <c r="B4375" s="17"/>
      <c r="C4375" s="17"/>
      <c r="D4375" s="13"/>
      <c r="E4375" s="11"/>
      <c r="F4375" s="11"/>
      <c r="G4375" s="13">
        <f t="shared" si="1"/>
        <v>1281</v>
      </c>
      <c r="H4375" s="13"/>
    </row>
    <row r="4376" ht="22.5" customHeight="1">
      <c r="B4376" s="17"/>
      <c r="C4376" s="17"/>
      <c r="D4376" s="13"/>
      <c r="E4376" s="11"/>
      <c r="F4376" s="11"/>
      <c r="G4376" s="13">
        <f t="shared" si="1"/>
        <v>1281</v>
      </c>
      <c r="H4376" s="13"/>
    </row>
    <row r="4377" ht="22.5" customHeight="1">
      <c r="B4377" s="17"/>
      <c r="C4377" s="17"/>
      <c r="D4377" s="13"/>
      <c r="E4377" s="11"/>
      <c r="F4377" s="11"/>
      <c r="G4377" s="13">
        <f t="shared" si="1"/>
        <v>1281</v>
      </c>
      <c r="H4377" s="13"/>
    </row>
    <row r="4378" ht="22.5" customHeight="1">
      <c r="B4378" s="17"/>
      <c r="C4378" s="17"/>
      <c r="D4378" s="13"/>
      <c r="E4378" s="11"/>
      <c r="F4378" s="11"/>
      <c r="G4378" s="13">
        <f t="shared" si="1"/>
        <v>1281</v>
      </c>
      <c r="H4378" s="13"/>
    </row>
    <row r="4379" ht="22.5" customHeight="1">
      <c r="B4379" s="17"/>
      <c r="C4379" s="17"/>
      <c r="D4379" s="13"/>
      <c r="E4379" s="11"/>
      <c r="F4379" s="11"/>
      <c r="G4379" s="13">
        <f t="shared" si="1"/>
        <v>1281</v>
      </c>
      <c r="H4379" s="13"/>
    </row>
    <row r="4380" ht="22.5" customHeight="1">
      <c r="B4380" s="17"/>
      <c r="C4380" s="17"/>
      <c r="D4380" s="13"/>
      <c r="E4380" s="11"/>
      <c r="F4380" s="11"/>
      <c r="G4380" s="13">
        <f t="shared" si="1"/>
        <v>1281</v>
      </c>
      <c r="H4380" s="13"/>
    </row>
    <row r="4381" ht="22.5" customHeight="1">
      <c r="B4381" s="17"/>
      <c r="C4381" s="17"/>
      <c r="D4381" s="13"/>
      <c r="E4381" s="11"/>
      <c r="F4381" s="11"/>
      <c r="G4381" s="13">
        <f t="shared" si="1"/>
        <v>1281</v>
      </c>
      <c r="H4381" s="13"/>
    </row>
    <row r="4382" ht="22.5" customHeight="1">
      <c r="B4382" s="17"/>
      <c r="C4382" s="17"/>
      <c r="D4382" s="13"/>
      <c r="E4382" s="11"/>
      <c r="F4382" s="11"/>
      <c r="G4382" s="13">
        <f t="shared" si="1"/>
        <v>1281</v>
      </c>
      <c r="H4382" s="13"/>
    </row>
    <row r="4383" ht="22.5" customHeight="1">
      <c r="B4383" s="17"/>
      <c r="C4383" s="17"/>
      <c r="D4383" s="13"/>
      <c r="E4383" s="11"/>
      <c r="F4383" s="11"/>
      <c r="G4383" s="13">
        <f t="shared" si="1"/>
        <v>1281</v>
      </c>
      <c r="H4383" s="13"/>
    </row>
    <row r="4384" ht="22.5" customHeight="1">
      <c r="B4384" s="17"/>
      <c r="C4384" s="17"/>
      <c r="D4384" s="13"/>
      <c r="E4384" s="11"/>
      <c r="F4384" s="11"/>
      <c r="G4384" s="13">
        <f t="shared" si="1"/>
        <v>1281</v>
      </c>
      <c r="H4384" s="13"/>
    </row>
    <row r="4385" ht="22.5" customHeight="1">
      <c r="B4385" s="17"/>
      <c r="C4385" s="17"/>
      <c r="D4385" s="13"/>
      <c r="E4385" s="11"/>
      <c r="F4385" s="11"/>
      <c r="G4385" s="13">
        <f t="shared" si="1"/>
        <v>1281</v>
      </c>
      <c r="H4385" s="13"/>
    </row>
    <row r="4386" ht="22.5" customHeight="1">
      <c r="B4386" s="17"/>
      <c r="C4386" s="17"/>
      <c r="D4386" s="13"/>
      <c r="E4386" s="11"/>
      <c r="F4386" s="11"/>
      <c r="G4386" s="13">
        <f t="shared" si="1"/>
        <v>1281</v>
      </c>
      <c r="H4386" s="13"/>
    </row>
    <row r="4387" ht="22.5" customHeight="1">
      <c r="B4387" s="17"/>
      <c r="C4387" s="17"/>
      <c r="D4387" s="13"/>
      <c r="E4387" s="11"/>
      <c r="F4387" s="11"/>
      <c r="G4387" s="13">
        <f t="shared" si="1"/>
        <v>1281</v>
      </c>
      <c r="H4387" s="13"/>
    </row>
    <row r="4388" ht="22.5" customHeight="1">
      <c r="B4388" s="17"/>
      <c r="C4388" s="17"/>
      <c r="D4388" s="13"/>
      <c r="E4388" s="11"/>
      <c r="F4388" s="11"/>
      <c r="G4388" s="13">
        <f t="shared" si="1"/>
        <v>1281</v>
      </c>
      <c r="H4388" s="13"/>
    </row>
    <row r="4389" ht="22.5" customHeight="1">
      <c r="B4389" s="17"/>
      <c r="C4389" s="17"/>
      <c r="D4389" s="13"/>
      <c r="E4389" s="11"/>
      <c r="F4389" s="11"/>
      <c r="G4389" s="13">
        <f t="shared" si="1"/>
        <v>1281</v>
      </c>
      <c r="H4389" s="13"/>
    </row>
    <row r="4390" ht="22.5" customHeight="1">
      <c r="B4390" s="17"/>
      <c r="C4390" s="17"/>
      <c r="D4390" s="13"/>
      <c r="E4390" s="11"/>
      <c r="F4390" s="11"/>
      <c r="G4390" s="13">
        <f t="shared" si="1"/>
        <v>1281</v>
      </c>
      <c r="H4390" s="13"/>
    </row>
    <row r="4391" ht="22.5" customHeight="1">
      <c r="B4391" s="17"/>
      <c r="C4391" s="17"/>
      <c r="D4391" s="13"/>
      <c r="E4391" s="11"/>
      <c r="F4391" s="11"/>
      <c r="G4391" s="13">
        <f t="shared" si="1"/>
        <v>1281</v>
      </c>
      <c r="H4391" s="13"/>
    </row>
    <row r="4392" ht="22.5" customHeight="1">
      <c r="B4392" s="17"/>
      <c r="C4392" s="17"/>
      <c r="D4392" s="13"/>
      <c r="E4392" s="11"/>
      <c r="F4392" s="11"/>
      <c r="G4392" s="13">
        <f t="shared" si="1"/>
        <v>1281</v>
      </c>
      <c r="H4392" s="13"/>
    </row>
    <row r="4393" ht="22.5" customHeight="1">
      <c r="B4393" s="17"/>
      <c r="C4393" s="17"/>
      <c r="D4393" s="13"/>
      <c r="E4393" s="11"/>
      <c r="F4393" s="11"/>
      <c r="G4393" s="13">
        <f t="shared" si="1"/>
        <v>1281</v>
      </c>
      <c r="H4393" s="13"/>
    </row>
    <row r="4394" ht="22.5" customHeight="1">
      <c r="B4394" s="17"/>
      <c r="C4394" s="17"/>
      <c r="D4394" s="13"/>
      <c r="E4394" s="11"/>
      <c r="F4394" s="11"/>
      <c r="G4394" s="13">
        <f t="shared" si="1"/>
        <v>1281</v>
      </c>
      <c r="H4394" s="13"/>
    </row>
    <row r="4395" ht="22.5" customHeight="1">
      <c r="B4395" s="17"/>
      <c r="C4395" s="17"/>
      <c r="D4395" s="13"/>
      <c r="E4395" s="11"/>
      <c r="F4395" s="11"/>
      <c r="G4395" s="13">
        <f t="shared" si="1"/>
        <v>1281</v>
      </c>
      <c r="H4395" s="13"/>
    </row>
    <row r="4396" ht="22.5" customHeight="1">
      <c r="B4396" s="17"/>
      <c r="C4396" s="17"/>
      <c r="D4396" s="13"/>
      <c r="E4396" s="11"/>
      <c r="F4396" s="11"/>
      <c r="G4396" s="13">
        <f t="shared" si="1"/>
        <v>1281</v>
      </c>
      <c r="H4396" s="13"/>
    </row>
    <row r="4397" ht="22.5" customHeight="1">
      <c r="B4397" s="17"/>
      <c r="C4397" s="17"/>
      <c r="D4397" s="13"/>
      <c r="E4397" s="11"/>
      <c r="F4397" s="11"/>
      <c r="G4397" s="13">
        <f t="shared" si="1"/>
        <v>1281</v>
      </c>
      <c r="H4397" s="13"/>
    </row>
    <row r="4398" ht="22.5" customHeight="1">
      <c r="B4398" s="17"/>
      <c r="C4398" s="17"/>
      <c r="D4398" s="13"/>
      <c r="E4398" s="11"/>
      <c r="F4398" s="11"/>
      <c r="G4398" s="13">
        <f t="shared" si="1"/>
        <v>1281</v>
      </c>
      <c r="H4398" s="13"/>
    </row>
    <row r="4399" ht="22.5" customHeight="1">
      <c r="B4399" s="17"/>
      <c r="C4399" s="17"/>
      <c r="D4399" s="13"/>
      <c r="E4399" s="11"/>
      <c r="F4399" s="11"/>
      <c r="G4399" s="13">
        <f t="shared" si="1"/>
        <v>1281</v>
      </c>
      <c r="H4399" s="13"/>
    </row>
    <row r="4400" ht="22.5" customHeight="1">
      <c r="B4400" s="17"/>
      <c r="C4400" s="17"/>
      <c r="D4400" s="13"/>
      <c r="E4400" s="11"/>
      <c r="F4400" s="11"/>
      <c r="G4400" s="13">
        <f t="shared" si="1"/>
        <v>1281</v>
      </c>
      <c r="H4400" s="13"/>
    </row>
    <row r="4401" ht="22.5" customHeight="1">
      <c r="B4401" s="17"/>
      <c r="C4401" s="17"/>
      <c r="D4401" s="13"/>
      <c r="E4401" s="11"/>
      <c r="F4401" s="11"/>
      <c r="G4401" s="13">
        <f t="shared" si="1"/>
        <v>1281</v>
      </c>
      <c r="H4401" s="13"/>
    </row>
    <row r="4402" ht="22.5" customHeight="1">
      <c r="B4402" s="17"/>
      <c r="C4402" s="17"/>
      <c r="D4402" s="13"/>
      <c r="E4402" s="11"/>
      <c r="F4402" s="11"/>
      <c r="G4402" s="13">
        <f t="shared" si="1"/>
        <v>1281</v>
      </c>
      <c r="H4402" s="13"/>
    </row>
    <row r="4403" ht="22.5" customHeight="1">
      <c r="B4403" s="17"/>
      <c r="C4403" s="17"/>
      <c r="D4403" s="13"/>
      <c r="E4403" s="11"/>
      <c r="F4403" s="11"/>
      <c r="G4403" s="13">
        <f t="shared" si="1"/>
        <v>1281</v>
      </c>
      <c r="H4403" s="13"/>
    </row>
    <row r="4404" ht="22.5" customHeight="1">
      <c r="B4404" s="17"/>
      <c r="C4404" s="17"/>
      <c r="D4404" s="13"/>
      <c r="E4404" s="11"/>
      <c r="F4404" s="11"/>
      <c r="G4404" s="13">
        <f t="shared" si="1"/>
        <v>1281</v>
      </c>
      <c r="H4404" s="13"/>
    </row>
    <row r="4405" ht="22.5" customHeight="1">
      <c r="B4405" s="17"/>
      <c r="C4405" s="17"/>
      <c r="D4405" s="13"/>
      <c r="E4405" s="11"/>
      <c r="F4405" s="11"/>
      <c r="G4405" s="13">
        <f t="shared" si="1"/>
        <v>1281</v>
      </c>
      <c r="H4405" s="13"/>
    </row>
    <row r="4406" ht="22.5" customHeight="1">
      <c r="B4406" s="17"/>
      <c r="C4406" s="17"/>
      <c r="D4406" s="13"/>
      <c r="E4406" s="11"/>
      <c r="F4406" s="11"/>
      <c r="G4406" s="13">
        <f t="shared" si="1"/>
        <v>1281</v>
      </c>
      <c r="H4406" s="13"/>
    </row>
    <row r="4407" ht="22.5" customHeight="1">
      <c r="B4407" s="17"/>
      <c r="C4407" s="17"/>
      <c r="D4407" s="13"/>
      <c r="E4407" s="11"/>
      <c r="F4407" s="11"/>
      <c r="G4407" s="13">
        <f t="shared" si="1"/>
        <v>1281</v>
      </c>
      <c r="H4407" s="13"/>
    </row>
    <row r="4408" ht="22.5" customHeight="1">
      <c r="B4408" s="17"/>
      <c r="C4408" s="17"/>
      <c r="D4408" s="13"/>
      <c r="E4408" s="11"/>
      <c r="F4408" s="11"/>
      <c r="G4408" s="13">
        <f t="shared" si="1"/>
        <v>1281</v>
      </c>
      <c r="H4408" s="13"/>
    </row>
    <row r="4409" ht="22.5" customHeight="1">
      <c r="B4409" s="17"/>
      <c r="C4409" s="17"/>
      <c r="D4409" s="13"/>
      <c r="E4409" s="11"/>
      <c r="F4409" s="11"/>
      <c r="G4409" s="13">
        <f t="shared" si="1"/>
        <v>1281</v>
      </c>
      <c r="H4409" s="13"/>
    </row>
    <row r="4410" ht="22.5" customHeight="1">
      <c r="B4410" s="17"/>
      <c r="C4410" s="17"/>
      <c r="D4410" s="13"/>
      <c r="E4410" s="11"/>
      <c r="F4410" s="11"/>
      <c r="G4410" s="13">
        <f t="shared" si="1"/>
        <v>1281</v>
      </c>
      <c r="H4410" s="13"/>
    </row>
    <row r="4411" ht="22.5" customHeight="1">
      <c r="B4411" s="17"/>
      <c r="C4411" s="17"/>
      <c r="D4411" s="13"/>
      <c r="E4411" s="11"/>
      <c r="F4411" s="11"/>
      <c r="G4411" s="13">
        <f t="shared" si="1"/>
        <v>1281</v>
      </c>
      <c r="H4411" s="13"/>
    </row>
    <row r="4412" ht="22.5" customHeight="1">
      <c r="B4412" s="17"/>
      <c r="C4412" s="17"/>
      <c r="D4412" s="13"/>
      <c r="E4412" s="11"/>
      <c r="F4412" s="11"/>
      <c r="G4412" s="13">
        <f t="shared" si="1"/>
        <v>1281</v>
      </c>
      <c r="H4412" s="13"/>
    </row>
    <row r="4413" ht="22.5" customHeight="1">
      <c r="B4413" s="17"/>
      <c r="C4413" s="17"/>
      <c r="D4413" s="13"/>
      <c r="E4413" s="11"/>
      <c r="F4413" s="11"/>
      <c r="G4413" s="13">
        <f t="shared" si="1"/>
        <v>1281</v>
      </c>
      <c r="H4413" s="13"/>
    </row>
    <row r="4414" ht="22.5" customHeight="1">
      <c r="B4414" s="17"/>
      <c r="C4414" s="17"/>
      <c r="D4414" s="13"/>
      <c r="E4414" s="11"/>
      <c r="F4414" s="11"/>
      <c r="G4414" s="13">
        <f t="shared" si="1"/>
        <v>1281</v>
      </c>
      <c r="H4414" s="13"/>
    </row>
    <row r="4415" ht="22.5" customHeight="1">
      <c r="B4415" s="17"/>
      <c r="C4415" s="17"/>
      <c r="D4415" s="13"/>
      <c r="E4415" s="11"/>
      <c r="F4415" s="11"/>
      <c r="G4415" s="13">
        <f t="shared" si="1"/>
        <v>1281</v>
      </c>
      <c r="H4415" s="13"/>
    </row>
    <row r="4416" ht="22.5" customHeight="1">
      <c r="B4416" s="17"/>
      <c r="C4416" s="17"/>
      <c r="D4416" s="13"/>
      <c r="E4416" s="11"/>
      <c r="F4416" s="11"/>
      <c r="G4416" s="13">
        <f t="shared" si="1"/>
        <v>1281</v>
      </c>
      <c r="H4416" s="13"/>
    </row>
    <row r="4417" ht="22.5" customHeight="1">
      <c r="B4417" s="17"/>
      <c r="C4417" s="17"/>
      <c r="D4417" s="13"/>
      <c r="E4417" s="11"/>
      <c r="F4417" s="11"/>
      <c r="G4417" s="13">
        <f t="shared" si="1"/>
        <v>1281</v>
      </c>
      <c r="H4417" s="13"/>
    </row>
    <row r="4418" ht="22.5" customHeight="1">
      <c r="B4418" s="17"/>
      <c r="C4418" s="17"/>
      <c r="D4418" s="13"/>
      <c r="E4418" s="11"/>
      <c r="F4418" s="11"/>
      <c r="G4418" s="13">
        <f t="shared" si="1"/>
        <v>1281</v>
      </c>
      <c r="H4418" s="13"/>
    </row>
    <row r="4419" ht="22.5" customHeight="1">
      <c r="B4419" s="17"/>
      <c r="C4419" s="17"/>
      <c r="D4419" s="13"/>
      <c r="E4419" s="11"/>
      <c r="F4419" s="11"/>
      <c r="G4419" s="13">
        <f t="shared" si="1"/>
        <v>1281</v>
      </c>
      <c r="H4419" s="13"/>
    </row>
    <row r="4420" ht="22.5" customHeight="1">
      <c r="B4420" s="17"/>
      <c r="C4420" s="17"/>
      <c r="D4420" s="13"/>
      <c r="E4420" s="11"/>
      <c r="F4420" s="11"/>
      <c r="G4420" s="13">
        <f t="shared" si="1"/>
        <v>1281</v>
      </c>
      <c r="H4420" s="13"/>
    </row>
    <row r="4421" ht="22.5" customHeight="1">
      <c r="B4421" s="17"/>
      <c r="C4421" s="17"/>
      <c r="D4421" s="13"/>
      <c r="E4421" s="11"/>
      <c r="F4421" s="11"/>
      <c r="G4421" s="13">
        <f t="shared" si="1"/>
        <v>1281</v>
      </c>
      <c r="H4421" s="13"/>
    </row>
    <row r="4422" ht="22.5" customHeight="1">
      <c r="B4422" s="17"/>
      <c r="C4422" s="17"/>
      <c r="D4422" s="13"/>
      <c r="E4422" s="11"/>
      <c r="F4422" s="11"/>
      <c r="G4422" s="13">
        <f t="shared" si="1"/>
        <v>1281</v>
      </c>
      <c r="H4422" s="13"/>
    </row>
    <row r="4423" ht="22.5" customHeight="1">
      <c r="B4423" s="17"/>
      <c r="C4423" s="17"/>
      <c r="D4423" s="13"/>
      <c r="E4423" s="11"/>
      <c r="F4423" s="11"/>
      <c r="G4423" s="13">
        <f t="shared" si="1"/>
        <v>1281</v>
      </c>
      <c r="H4423" s="13"/>
    </row>
    <row r="4424" ht="22.5" customHeight="1">
      <c r="B4424" s="17"/>
      <c r="C4424" s="17"/>
      <c r="D4424" s="13"/>
      <c r="E4424" s="11"/>
      <c r="F4424" s="11"/>
      <c r="G4424" s="13">
        <f t="shared" si="1"/>
        <v>1281</v>
      </c>
      <c r="H4424" s="13"/>
    </row>
    <row r="4425" ht="22.5" customHeight="1">
      <c r="B4425" s="17"/>
      <c r="C4425" s="17"/>
      <c r="D4425" s="13"/>
      <c r="E4425" s="11"/>
      <c r="F4425" s="11"/>
      <c r="G4425" s="13">
        <f t="shared" si="1"/>
        <v>1281</v>
      </c>
      <c r="H4425" s="13"/>
    </row>
    <row r="4426" ht="22.5" customHeight="1">
      <c r="B4426" s="17"/>
      <c r="C4426" s="17"/>
      <c r="D4426" s="13"/>
      <c r="E4426" s="11"/>
      <c r="F4426" s="11"/>
      <c r="G4426" s="13">
        <f t="shared" si="1"/>
        <v>1281</v>
      </c>
      <c r="H4426" s="13"/>
    </row>
    <row r="4427" ht="22.5" customHeight="1">
      <c r="B4427" s="17"/>
      <c r="C4427" s="17"/>
      <c r="D4427" s="13"/>
      <c r="E4427" s="11"/>
      <c r="F4427" s="11"/>
      <c r="G4427" s="13">
        <f t="shared" si="1"/>
        <v>1281</v>
      </c>
      <c r="H4427" s="13"/>
    </row>
    <row r="4428" ht="22.5" customHeight="1">
      <c r="B4428" s="17"/>
      <c r="C4428" s="17"/>
      <c r="D4428" s="13"/>
      <c r="E4428" s="11"/>
      <c r="F4428" s="11"/>
      <c r="G4428" s="13">
        <f t="shared" si="1"/>
        <v>1281</v>
      </c>
      <c r="H4428" s="13"/>
    </row>
    <row r="4429" ht="22.5" customHeight="1">
      <c r="B4429" s="17"/>
      <c r="C4429" s="17"/>
      <c r="D4429" s="13"/>
      <c r="E4429" s="11"/>
      <c r="F4429" s="11"/>
      <c r="G4429" s="13">
        <f t="shared" si="1"/>
        <v>1281</v>
      </c>
      <c r="H4429" s="13"/>
    </row>
    <row r="4430" ht="22.5" customHeight="1">
      <c r="B4430" s="17"/>
      <c r="C4430" s="17"/>
      <c r="D4430" s="13"/>
      <c r="E4430" s="11"/>
      <c r="F4430" s="11"/>
      <c r="G4430" s="13">
        <f t="shared" si="1"/>
        <v>1281</v>
      </c>
      <c r="H4430" s="13"/>
    </row>
    <row r="4431" ht="22.5" customHeight="1">
      <c r="B4431" s="17"/>
      <c r="C4431" s="17"/>
      <c r="D4431" s="13"/>
      <c r="E4431" s="11"/>
      <c r="F4431" s="11"/>
      <c r="G4431" s="13">
        <f t="shared" si="1"/>
        <v>1281</v>
      </c>
      <c r="H4431" s="13"/>
    </row>
    <row r="4432" ht="22.5" customHeight="1">
      <c r="B4432" s="17"/>
      <c r="C4432" s="17"/>
      <c r="D4432" s="13"/>
      <c r="E4432" s="11"/>
      <c r="F4432" s="11"/>
      <c r="G4432" s="13">
        <f t="shared" si="1"/>
        <v>1281</v>
      </c>
      <c r="H4432" s="13"/>
    </row>
    <row r="4433" ht="22.5" customHeight="1">
      <c r="B4433" s="17"/>
      <c r="C4433" s="17"/>
      <c r="D4433" s="13"/>
      <c r="E4433" s="11"/>
      <c r="F4433" s="11"/>
      <c r="G4433" s="13">
        <f t="shared" si="1"/>
        <v>1281</v>
      </c>
      <c r="H4433" s="13"/>
    </row>
    <row r="4434" ht="22.5" customHeight="1">
      <c r="B4434" s="17"/>
      <c r="C4434" s="17"/>
      <c r="D4434" s="13"/>
      <c r="E4434" s="11"/>
      <c r="F4434" s="11"/>
      <c r="G4434" s="13">
        <f t="shared" si="1"/>
        <v>1281</v>
      </c>
      <c r="H4434" s="13"/>
    </row>
    <row r="4435" ht="22.5" customHeight="1">
      <c r="B4435" s="17"/>
      <c r="C4435" s="17"/>
      <c r="D4435" s="13"/>
      <c r="E4435" s="11"/>
      <c r="F4435" s="11"/>
      <c r="G4435" s="13">
        <f t="shared" si="1"/>
        <v>1281</v>
      </c>
      <c r="H4435" s="13"/>
    </row>
    <row r="4436" ht="22.5" customHeight="1">
      <c r="B4436" s="17"/>
      <c r="C4436" s="17"/>
      <c r="D4436" s="13"/>
      <c r="E4436" s="11"/>
      <c r="F4436" s="11"/>
      <c r="G4436" s="13">
        <f t="shared" si="1"/>
        <v>1281</v>
      </c>
      <c r="H4436" s="13"/>
    </row>
    <row r="4437" ht="22.5" customHeight="1">
      <c r="B4437" s="17"/>
      <c r="C4437" s="17"/>
      <c r="D4437" s="13"/>
      <c r="E4437" s="11"/>
      <c r="F4437" s="11"/>
      <c r="G4437" s="13">
        <f t="shared" si="1"/>
        <v>1281</v>
      </c>
      <c r="H4437" s="13"/>
    </row>
    <row r="4438" ht="22.5" customHeight="1">
      <c r="B4438" s="17"/>
      <c r="C4438" s="17"/>
      <c r="D4438" s="13"/>
      <c r="E4438" s="11"/>
      <c r="F4438" s="11"/>
      <c r="G4438" s="13">
        <f t="shared" si="1"/>
        <v>1281</v>
      </c>
      <c r="H4438" s="13"/>
    </row>
    <row r="4439" ht="22.5" customHeight="1">
      <c r="B4439" s="17"/>
      <c r="C4439" s="17"/>
      <c r="D4439" s="13"/>
      <c r="E4439" s="11"/>
      <c r="F4439" s="11"/>
      <c r="G4439" s="13">
        <f t="shared" si="1"/>
        <v>1281</v>
      </c>
      <c r="H4439" s="13"/>
    </row>
    <row r="4440" ht="22.5" customHeight="1">
      <c r="B4440" s="17"/>
      <c r="C4440" s="17"/>
      <c r="D4440" s="13"/>
      <c r="E4440" s="11"/>
      <c r="F4440" s="11"/>
      <c r="G4440" s="13">
        <f t="shared" si="1"/>
        <v>1281</v>
      </c>
      <c r="H4440" s="13"/>
    </row>
    <row r="4441" ht="22.5" customHeight="1">
      <c r="B4441" s="17"/>
      <c r="C4441" s="17"/>
      <c r="D4441" s="13"/>
      <c r="E4441" s="11"/>
      <c r="F4441" s="11"/>
      <c r="G4441" s="13">
        <f t="shared" si="1"/>
        <v>1281</v>
      </c>
      <c r="H4441" s="13"/>
    </row>
    <row r="4442" ht="22.5" customHeight="1">
      <c r="B4442" s="17"/>
      <c r="C4442" s="17"/>
      <c r="D4442" s="13"/>
      <c r="E4442" s="11"/>
      <c r="F4442" s="11"/>
      <c r="G4442" s="13">
        <f t="shared" si="1"/>
        <v>1281</v>
      </c>
      <c r="H4442" s="13"/>
    </row>
    <row r="4443" ht="22.5" customHeight="1">
      <c r="B4443" s="17"/>
      <c r="C4443" s="17"/>
      <c r="D4443" s="13"/>
      <c r="E4443" s="11"/>
      <c r="F4443" s="11"/>
      <c r="G4443" s="13">
        <f t="shared" si="1"/>
        <v>1281</v>
      </c>
      <c r="H4443" s="13"/>
    </row>
    <row r="4444" ht="22.5" customHeight="1">
      <c r="B4444" s="17"/>
      <c r="C4444" s="17"/>
      <c r="D4444" s="13"/>
      <c r="E4444" s="11"/>
      <c r="F4444" s="11"/>
      <c r="G4444" s="13">
        <f t="shared" si="1"/>
        <v>1281</v>
      </c>
      <c r="H4444" s="13"/>
    </row>
    <row r="4445" ht="22.5" customHeight="1">
      <c r="B4445" s="17"/>
      <c r="C4445" s="17"/>
      <c r="D4445" s="13"/>
      <c r="E4445" s="11"/>
      <c r="F4445" s="11"/>
      <c r="G4445" s="13">
        <f t="shared" si="1"/>
        <v>1281</v>
      </c>
      <c r="H4445" s="13"/>
    </row>
    <row r="4446" ht="22.5" customHeight="1">
      <c r="B4446" s="17"/>
      <c r="C4446" s="17"/>
      <c r="D4446" s="13"/>
      <c r="E4446" s="11"/>
      <c r="F4446" s="11"/>
      <c r="G4446" s="13">
        <f t="shared" si="1"/>
        <v>1281</v>
      </c>
      <c r="H4446" s="13"/>
    </row>
    <row r="4447" ht="22.5" customHeight="1">
      <c r="B4447" s="17"/>
      <c r="C4447" s="17"/>
      <c r="D4447" s="13"/>
      <c r="E4447" s="11"/>
      <c r="F4447" s="11"/>
      <c r="G4447" s="13">
        <f t="shared" si="1"/>
        <v>1281</v>
      </c>
      <c r="H4447" s="13"/>
    </row>
    <row r="4448" ht="22.5" customHeight="1">
      <c r="B4448" s="17"/>
      <c r="C4448" s="17"/>
      <c r="D4448" s="13"/>
      <c r="E4448" s="11"/>
      <c r="F4448" s="11"/>
      <c r="G4448" s="13">
        <f t="shared" si="1"/>
        <v>1281</v>
      </c>
      <c r="H4448" s="13"/>
    </row>
    <row r="4449" ht="22.5" customHeight="1">
      <c r="B4449" s="17"/>
      <c r="C4449" s="17"/>
      <c r="D4449" s="13"/>
      <c r="E4449" s="11"/>
      <c r="F4449" s="11"/>
      <c r="G4449" s="13">
        <f t="shared" si="1"/>
        <v>1281</v>
      </c>
      <c r="H4449" s="13"/>
    </row>
    <row r="4450" ht="22.5" customHeight="1">
      <c r="B4450" s="17"/>
      <c r="C4450" s="17"/>
      <c r="D4450" s="13"/>
      <c r="E4450" s="11"/>
      <c r="F4450" s="11"/>
      <c r="G4450" s="13">
        <f t="shared" si="1"/>
        <v>1281</v>
      </c>
      <c r="H4450" s="13"/>
    </row>
    <row r="4451" ht="22.5" customHeight="1">
      <c r="B4451" s="17"/>
      <c r="C4451" s="17"/>
      <c r="D4451" s="13"/>
      <c r="E4451" s="11"/>
      <c r="F4451" s="11"/>
      <c r="G4451" s="13">
        <f t="shared" si="1"/>
        <v>1281</v>
      </c>
      <c r="H4451" s="13"/>
    </row>
    <row r="4452" ht="22.5" customHeight="1">
      <c r="B4452" s="17"/>
      <c r="C4452" s="17"/>
      <c r="D4452" s="13"/>
      <c r="E4452" s="11"/>
      <c r="F4452" s="11"/>
      <c r="G4452" s="13">
        <f t="shared" si="1"/>
        <v>1281</v>
      </c>
      <c r="H4452" s="13"/>
    </row>
    <row r="4453" ht="22.5" customHeight="1">
      <c r="B4453" s="17"/>
      <c r="C4453" s="17"/>
      <c r="D4453" s="13"/>
      <c r="E4453" s="11"/>
      <c r="F4453" s="11"/>
      <c r="G4453" s="13">
        <f t="shared" si="1"/>
        <v>1281</v>
      </c>
      <c r="H4453" s="13"/>
    </row>
    <row r="4454" ht="22.5" customHeight="1">
      <c r="B4454" s="17"/>
      <c r="C4454" s="17"/>
      <c r="D4454" s="13"/>
      <c r="E4454" s="11"/>
      <c r="F4454" s="11"/>
      <c r="G4454" s="13">
        <f t="shared" si="1"/>
        <v>1281</v>
      </c>
      <c r="H4454" s="13"/>
    </row>
    <row r="4455" ht="22.5" customHeight="1">
      <c r="B4455" s="17"/>
      <c r="C4455" s="17"/>
      <c r="D4455" s="13"/>
      <c r="E4455" s="11"/>
      <c r="F4455" s="11"/>
      <c r="G4455" s="13">
        <f t="shared" si="1"/>
        <v>1281</v>
      </c>
      <c r="H4455" s="13"/>
    </row>
    <row r="4456" ht="22.5" customHeight="1">
      <c r="B4456" s="17"/>
      <c r="C4456" s="17"/>
      <c r="D4456" s="13"/>
      <c r="E4456" s="11"/>
      <c r="F4456" s="11"/>
      <c r="G4456" s="13">
        <f t="shared" si="1"/>
        <v>1281</v>
      </c>
      <c r="H4456" s="13"/>
    </row>
    <row r="4457" ht="22.5" customHeight="1">
      <c r="B4457" s="17"/>
      <c r="C4457" s="17"/>
      <c r="D4457" s="13"/>
      <c r="E4457" s="11"/>
      <c r="F4457" s="11"/>
      <c r="G4457" s="13">
        <f t="shared" si="1"/>
        <v>1281</v>
      </c>
      <c r="H4457" s="13"/>
    </row>
    <row r="4458" ht="22.5" customHeight="1">
      <c r="B4458" s="17"/>
      <c r="C4458" s="17"/>
      <c r="D4458" s="13"/>
      <c r="E4458" s="11"/>
      <c r="F4458" s="11"/>
      <c r="G4458" s="13">
        <f t="shared" si="1"/>
        <v>1281</v>
      </c>
      <c r="H4458" s="13"/>
    </row>
    <row r="4459" ht="22.5" customHeight="1">
      <c r="B4459" s="17"/>
      <c r="C4459" s="17"/>
      <c r="D4459" s="13"/>
      <c r="E4459" s="11"/>
      <c r="F4459" s="11"/>
      <c r="G4459" s="13">
        <f t="shared" si="1"/>
        <v>1281</v>
      </c>
      <c r="H4459" s="13"/>
    </row>
    <row r="4460" ht="22.5" customHeight="1">
      <c r="B4460" s="17"/>
      <c r="C4460" s="17"/>
      <c r="D4460" s="13"/>
      <c r="E4460" s="11"/>
      <c r="F4460" s="11"/>
      <c r="G4460" s="13">
        <f t="shared" si="1"/>
        <v>1281</v>
      </c>
      <c r="H4460" s="13"/>
    </row>
    <row r="4461" ht="22.5" customHeight="1">
      <c r="B4461" s="17"/>
      <c r="C4461" s="17"/>
      <c r="D4461" s="13"/>
      <c r="E4461" s="11"/>
      <c r="F4461" s="11"/>
      <c r="G4461" s="13">
        <f t="shared" si="1"/>
        <v>1281</v>
      </c>
      <c r="H4461" s="13"/>
    </row>
    <row r="4462" ht="22.5" customHeight="1">
      <c r="B4462" s="17"/>
      <c r="C4462" s="17"/>
      <c r="D4462" s="13"/>
      <c r="E4462" s="11"/>
      <c r="F4462" s="11"/>
      <c r="G4462" s="13">
        <f t="shared" si="1"/>
        <v>1281</v>
      </c>
      <c r="H4462" s="13"/>
    </row>
    <row r="4463" ht="22.5" customHeight="1">
      <c r="B4463" s="17"/>
      <c r="C4463" s="17"/>
      <c r="D4463" s="13"/>
      <c r="E4463" s="11"/>
      <c r="F4463" s="11"/>
      <c r="G4463" s="13">
        <f t="shared" si="1"/>
        <v>1281</v>
      </c>
      <c r="H4463" s="13"/>
    </row>
    <row r="4464" ht="22.5" customHeight="1">
      <c r="B4464" s="17"/>
      <c r="C4464" s="17"/>
      <c r="D4464" s="13"/>
      <c r="E4464" s="11"/>
      <c r="F4464" s="11"/>
      <c r="G4464" s="13">
        <f t="shared" si="1"/>
        <v>1281</v>
      </c>
      <c r="H4464" s="13"/>
    </row>
    <row r="4465" ht="22.5" customHeight="1">
      <c r="B4465" s="17"/>
      <c r="C4465" s="17"/>
      <c r="D4465" s="13"/>
      <c r="E4465" s="11"/>
      <c r="F4465" s="11"/>
      <c r="G4465" s="13">
        <f t="shared" si="1"/>
        <v>1281</v>
      </c>
      <c r="H4465" s="13"/>
    </row>
    <row r="4466" ht="22.5" customHeight="1">
      <c r="B4466" s="17"/>
      <c r="C4466" s="17"/>
      <c r="D4466" s="13"/>
      <c r="E4466" s="11"/>
      <c r="F4466" s="11"/>
      <c r="G4466" s="13">
        <f t="shared" si="1"/>
        <v>1281</v>
      </c>
      <c r="H4466" s="13"/>
    </row>
    <row r="4467" ht="22.5" customHeight="1">
      <c r="B4467" s="17"/>
      <c r="C4467" s="17"/>
      <c r="D4467" s="13"/>
      <c r="E4467" s="11"/>
      <c r="F4467" s="11"/>
      <c r="G4467" s="13">
        <f t="shared" si="1"/>
        <v>1281</v>
      </c>
      <c r="H4467" s="13"/>
    </row>
    <row r="4468" ht="22.5" customHeight="1">
      <c r="B4468" s="17"/>
      <c r="C4468" s="17"/>
      <c r="D4468" s="13"/>
      <c r="E4468" s="11"/>
      <c r="F4468" s="11"/>
      <c r="G4468" s="13">
        <f t="shared" si="1"/>
        <v>1281</v>
      </c>
      <c r="H4468" s="13"/>
    </row>
    <row r="4469" ht="22.5" customHeight="1">
      <c r="B4469" s="17"/>
      <c r="C4469" s="17"/>
      <c r="D4469" s="13"/>
      <c r="E4469" s="11"/>
      <c r="F4469" s="11"/>
      <c r="G4469" s="13">
        <f t="shared" si="1"/>
        <v>1281</v>
      </c>
      <c r="H4469" s="13"/>
    </row>
    <row r="4470" ht="22.5" customHeight="1">
      <c r="B4470" s="17"/>
      <c r="C4470" s="17"/>
      <c r="D4470" s="13"/>
      <c r="E4470" s="11"/>
      <c r="F4470" s="11"/>
      <c r="G4470" s="13">
        <f t="shared" si="1"/>
        <v>1281</v>
      </c>
      <c r="H4470" s="13"/>
    </row>
    <row r="4471" ht="22.5" customHeight="1">
      <c r="B4471" s="17"/>
      <c r="C4471" s="17"/>
      <c r="D4471" s="13"/>
      <c r="E4471" s="11"/>
      <c r="F4471" s="11"/>
      <c r="G4471" s="13">
        <f t="shared" si="1"/>
        <v>1281</v>
      </c>
      <c r="H4471" s="13"/>
    </row>
    <row r="4472" ht="22.5" customHeight="1">
      <c r="B4472" s="17"/>
      <c r="C4472" s="17"/>
      <c r="D4472" s="13"/>
      <c r="E4472" s="11"/>
      <c r="F4472" s="11"/>
      <c r="G4472" s="13">
        <f t="shared" si="1"/>
        <v>1281</v>
      </c>
      <c r="H4472" s="13"/>
    </row>
    <row r="4473" ht="22.5" customHeight="1">
      <c r="B4473" s="17"/>
      <c r="C4473" s="17"/>
      <c r="D4473" s="13"/>
      <c r="E4473" s="11"/>
      <c r="F4473" s="11"/>
      <c r="G4473" s="13">
        <f t="shared" si="1"/>
        <v>1281</v>
      </c>
      <c r="H4473" s="13"/>
    </row>
    <row r="4474" ht="22.5" customHeight="1">
      <c r="B4474" s="17"/>
      <c r="C4474" s="17"/>
      <c r="D4474" s="13"/>
      <c r="E4474" s="11"/>
      <c r="F4474" s="11"/>
      <c r="G4474" s="13">
        <f t="shared" si="1"/>
        <v>1281</v>
      </c>
      <c r="H4474" s="13"/>
    </row>
    <row r="4475" ht="22.5" customHeight="1">
      <c r="B4475" s="17"/>
      <c r="C4475" s="17"/>
      <c r="D4475" s="13"/>
      <c r="E4475" s="11"/>
      <c r="F4475" s="11"/>
      <c r="G4475" s="13">
        <f t="shared" si="1"/>
        <v>1281</v>
      </c>
      <c r="H4475" s="13"/>
    </row>
    <row r="4476" ht="22.5" customHeight="1">
      <c r="B4476" s="17"/>
      <c r="C4476" s="17"/>
      <c r="D4476" s="13"/>
      <c r="E4476" s="11"/>
      <c r="F4476" s="11"/>
      <c r="G4476" s="13">
        <f t="shared" si="1"/>
        <v>1281</v>
      </c>
      <c r="H4476" s="13"/>
    </row>
    <row r="4477" ht="22.5" customHeight="1">
      <c r="B4477" s="17"/>
      <c r="C4477" s="17"/>
      <c r="D4477" s="13"/>
      <c r="E4477" s="11"/>
      <c r="F4477" s="11"/>
      <c r="G4477" s="13">
        <f t="shared" si="1"/>
        <v>1281</v>
      </c>
      <c r="H4477" s="13"/>
    </row>
    <row r="4478" ht="22.5" customHeight="1">
      <c r="B4478" s="17"/>
      <c r="C4478" s="17"/>
      <c r="D4478" s="13"/>
      <c r="E4478" s="11"/>
      <c r="F4478" s="11"/>
      <c r="G4478" s="13">
        <f t="shared" si="1"/>
        <v>1281</v>
      </c>
      <c r="H4478" s="13"/>
    </row>
    <row r="4479" ht="22.5" customHeight="1">
      <c r="B4479" s="17"/>
      <c r="C4479" s="17"/>
      <c r="D4479" s="13"/>
      <c r="E4479" s="11"/>
      <c r="F4479" s="11"/>
      <c r="G4479" s="13">
        <f t="shared" si="1"/>
        <v>1281</v>
      </c>
      <c r="H4479" s="13"/>
    </row>
    <row r="4480" ht="22.5" customHeight="1">
      <c r="B4480" s="17"/>
      <c r="C4480" s="17"/>
      <c r="D4480" s="13"/>
      <c r="E4480" s="11"/>
      <c r="F4480" s="11"/>
      <c r="G4480" s="13">
        <f t="shared" si="1"/>
        <v>1281</v>
      </c>
      <c r="H4480" s="13"/>
    </row>
    <row r="4481" ht="22.5" customHeight="1">
      <c r="B4481" s="17"/>
      <c r="C4481" s="17"/>
      <c r="D4481" s="13"/>
      <c r="E4481" s="11"/>
      <c r="F4481" s="11"/>
      <c r="G4481" s="13">
        <f t="shared" si="1"/>
        <v>1281</v>
      </c>
      <c r="H4481" s="13"/>
    </row>
    <row r="4482" ht="22.5" customHeight="1">
      <c r="B4482" s="17"/>
      <c r="C4482" s="17"/>
      <c r="D4482" s="13"/>
      <c r="E4482" s="11"/>
      <c r="F4482" s="11"/>
      <c r="G4482" s="13">
        <f t="shared" si="1"/>
        <v>1281</v>
      </c>
      <c r="H4482" s="13"/>
    </row>
    <row r="4483" ht="22.5" customHeight="1">
      <c r="B4483" s="17"/>
      <c r="C4483" s="17"/>
      <c r="D4483" s="13"/>
      <c r="E4483" s="11"/>
      <c r="F4483" s="11"/>
      <c r="G4483" s="13">
        <f t="shared" si="1"/>
        <v>1281</v>
      </c>
      <c r="H4483" s="13"/>
    </row>
    <row r="4484" ht="22.5" customHeight="1">
      <c r="B4484" s="17"/>
      <c r="C4484" s="17"/>
      <c r="D4484" s="13"/>
      <c r="E4484" s="11"/>
      <c r="F4484" s="11"/>
      <c r="G4484" s="13">
        <f t="shared" si="1"/>
        <v>1281</v>
      </c>
      <c r="H4484" s="13"/>
    </row>
    <row r="4485" ht="22.5" customHeight="1">
      <c r="B4485" s="17"/>
      <c r="C4485" s="17"/>
      <c r="D4485" s="13"/>
      <c r="E4485" s="11"/>
      <c r="F4485" s="11"/>
      <c r="G4485" s="13">
        <f t="shared" si="1"/>
        <v>1281</v>
      </c>
      <c r="H4485" s="13"/>
    </row>
    <row r="4486" ht="22.5" customHeight="1">
      <c r="B4486" s="17"/>
      <c r="C4486" s="17"/>
      <c r="D4486" s="13"/>
      <c r="E4486" s="11"/>
      <c r="F4486" s="11"/>
      <c r="G4486" s="13">
        <f t="shared" si="1"/>
        <v>1281</v>
      </c>
      <c r="H4486" s="13"/>
    </row>
    <row r="4487" ht="22.5" customHeight="1">
      <c r="B4487" s="17"/>
      <c r="C4487" s="17"/>
      <c r="D4487" s="13"/>
      <c r="E4487" s="11"/>
      <c r="F4487" s="11"/>
      <c r="G4487" s="13">
        <f t="shared" si="1"/>
        <v>1281</v>
      </c>
      <c r="H4487" s="13"/>
    </row>
    <row r="4488" ht="22.5" customHeight="1">
      <c r="B4488" s="17"/>
      <c r="C4488" s="17"/>
      <c r="D4488" s="13"/>
      <c r="E4488" s="11"/>
      <c r="F4488" s="11"/>
      <c r="G4488" s="13">
        <f t="shared" si="1"/>
        <v>1281</v>
      </c>
      <c r="H4488" s="13"/>
    </row>
    <row r="4489" ht="22.5" customHeight="1">
      <c r="B4489" s="17"/>
      <c r="C4489" s="17"/>
      <c r="D4489" s="13"/>
      <c r="E4489" s="11"/>
      <c r="F4489" s="11"/>
      <c r="G4489" s="13">
        <f t="shared" si="1"/>
        <v>1281</v>
      </c>
      <c r="H4489" s="13"/>
    </row>
    <row r="4490" ht="22.5" customHeight="1">
      <c r="B4490" s="17"/>
      <c r="C4490" s="17"/>
      <c r="D4490" s="13"/>
      <c r="E4490" s="11"/>
      <c r="F4490" s="11"/>
      <c r="G4490" s="13">
        <f t="shared" si="1"/>
        <v>1281</v>
      </c>
      <c r="H4490" s="13"/>
    </row>
    <row r="4491" ht="22.5" customHeight="1">
      <c r="B4491" s="17"/>
      <c r="C4491" s="17"/>
      <c r="D4491" s="13"/>
      <c r="E4491" s="11"/>
      <c r="F4491" s="11"/>
      <c r="G4491" s="13">
        <f t="shared" si="1"/>
        <v>1281</v>
      </c>
      <c r="H4491" s="13"/>
    </row>
    <row r="4492" ht="22.5" customHeight="1">
      <c r="B4492" s="17"/>
      <c r="C4492" s="17"/>
      <c r="D4492" s="13"/>
      <c r="E4492" s="11"/>
      <c r="F4492" s="11"/>
      <c r="G4492" s="13">
        <f t="shared" si="1"/>
        <v>1281</v>
      </c>
      <c r="H4492" s="13"/>
    </row>
    <row r="4493" ht="22.5" customHeight="1">
      <c r="B4493" s="17"/>
      <c r="C4493" s="17"/>
      <c r="D4493" s="13"/>
      <c r="E4493" s="11"/>
      <c r="F4493" s="11"/>
      <c r="G4493" s="13">
        <f t="shared" si="1"/>
        <v>1281</v>
      </c>
      <c r="H4493" s="13"/>
    </row>
    <row r="4494" ht="22.5" customHeight="1">
      <c r="B4494" s="17"/>
      <c r="C4494" s="17"/>
      <c r="D4494" s="13"/>
      <c r="E4494" s="11"/>
      <c r="F4494" s="11"/>
      <c r="G4494" s="13">
        <f t="shared" si="1"/>
        <v>1281</v>
      </c>
      <c r="H4494" s="13"/>
    </row>
    <row r="4495" ht="22.5" customHeight="1">
      <c r="B4495" s="17"/>
      <c r="C4495" s="17"/>
      <c r="D4495" s="13"/>
      <c r="E4495" s="11"/>
      <c r="F4495" s="11"/>
      <c r="G4495" s="13">
        <f t="shared" si="1"/>
        <v>1281</v>
      </c>
      <c r="H4495" s="13"/>
    </row>
    <row r="4496" ht="22.5" customHeight="1">
      <c r="B4496" s="17"/>
      <c r="C4496" s="17"/>
      <c r="D4496" s="13"/>
      <c r="E4496" s="11"/>
      <c r="F4496" s="11"/>
      <c r="G4496" s="13">
        <f t="shared" si="1"/>
        <v>1281</v>
      </c>
      <c r="H4496" s="13"/>
    </row>
    <row r="4497" ht="22.5" customHeight="1">
      <c r="B4497" s="17"/>
      <c r="C4497" s="17"/>
      <c r="D4497" s="13"/>
      <c r="E4497" s="11"/>
      <c r="F4497" s="11"/>
      <c r="G4497" s="13">
        <f t="shared" si="1"/>
        <v>1281</v>
      </c>
      <c r="H4497" s="13"/>
    </row>
    <row r="4498" ht="22.5" customHeight="1">
      <c r="B4498" s="17"/>
      <c r="C4498" s="17"/>
      <c r="D4498" s="13"/>
      <c r="E4498" s="11"/>
      <c r="F4498" s="11"/>
      <c r="G4498" s="13">
        <f t="shared" si="1"/>
        <v>1281</v>
      </c>
      <c r="H4498" s="13"/>
    </row>
    <row r="4499" ht="22.5" customHeight="1">
      <c r="B4499" s="17"/>
      <c r="C4499" s="17"/>
      <c r="D4499" s="13"/>
      <c r="E4499" s="11"/>
      <c r="F4499" s="11"/>
      <c r="G4499" s="13">
        <f t="shared" si="1"/>
        <v>1281</v>
      </c>
      <c r="H4499" s="13"/>
    </row>
    <row r="4500" ht="22.5" customHeight="1">
      <c r="B4500" s="17"/>
      <c r="C4500" s="17"/>
      <c r="D4500" s="13"/>
      <c r="E4500" s="11"/>
      <c r="F4500" s="11"/>
      <c r="G4500" s="13">
        <f t="shared" si="1"/>
        <v>1281</v>
      </c>
      <c r="H4500" s="13"/>
    </row>
    <row r="4501" ht="22.5" customHeight="1">
      <c r="B4501" s="17"/>
      <c r="C4501" s="17"/>
      <c r="D4501" s="13"/>
      <c r="E4501" s="11"/>
      <c r="F4501" s="11"/>
      <c r="G4501" s="13">
        <f t="shared" si="1"/>
        <v>1281</v>
      </c>
      <c r="H4501" s="13"/>
    </row>
    <row r="4502" ht="22.5" customHeight="1">
      <c r="B4502" s="17"/>
      <c r="C4502" s="17"/>
      <c r="D4502" s="13"/>
      <c r="E4502" s="11"/>
      <c r="F4502" s="11"/>
      <c r="G4502" s="13">
        <f t="shared" si="1"/>
        <v>1281</v>
      </c>
      <c r="H4502" s="13"/>
    </row>
    <row r="4503" ht="22.5" customHeight="1">
      <c r="B4503" s="17"/>
      <c r="C4503" s="17"/>
      <c r="D4503" s="13"/>
      <c r="E4503" s="11"/>
      <c r="F4503" s="11"/>
      <c r="G4503" s="13">
        <f t="shared" si="1"/>
        <v>1281</v>
      </c>
      <c r="H4503" s="13"/>
    </row>
    <row r="4504" ht="22.5" customHeight="1">
      <c r="B4504" s="17"/>
      <c r="C4504" s="17"/>
      <c r="D4504" s="13"/>
      <c r="E4504" s="11"/>
      <c r="F4504" s="11"/>
      <c r="G4504" s="13">
        <f t="shared" si="1"/>
        <v>1281</v>
      </c>
      <c r="H4504" s="13"/>
    </row>
    <row r="4505" ht="22.5" customHeight="1">
      <c r="B4505" s="17"/>
      <c r="C4505" s="17"/>
      <c r="D4505" s="13"/>
      <c r="E4505" s="11"/>
      <c r="F4505" s="11"/>
      <c r="G4505" s="13">
        <f t="shared" si="1"/>
        <v>1281</v>
      </c>
      <c r="H4505" s="13"/>
    </row>
    <row r="4506" ht="22.5" customHeight="1">
      <c r="B4506" s="17"/>
      <c r="C4506" s="17"/>
      <c r="D4506" s="13"/>
      <c r="E4506" s="11"/>
      <c r="F4506" s="11"/>
      <c r="G4506" s="13">
        <f t="shared" si="1"/>
        <v>1281</v>
      </c>
      <c r="H4506" s="13"/>
    </row>
    <row r="4507" ht="22.5" customHeight="1">
      <c r="B4507" s="17"/>
      <c r="C4507" s="17"/>
      <c r="D4507" s="13"/>
      <c r="E4507" s="11"/>
      <c r="F4507" s="11"/>
      <c r="G4507" s="13">
        <f t="shared" si="1"/>
        <v>1281</v>
      </c>
      <c r="H4507" s="13"/>
    </row>
    <row r="4508" ht="22.5" customHeight="1">
      <c r="B4508" s="17"/>
      <c r="C4508" s="17"/>
      <c r="D4508" s="13"/>
      <c r="E4508" s="11"/>
      <c r="F4508" s="11"/>
      <c r="G4508" s="13">
        <f t="shared" si="1"/>
        <v>1281</v>
      </c>
      <c r="H4508" s="13"/>
    </row>
    <row r="4509" ht="22.5" customHeight="1">
      <c r="B4509" s="17"/>
      <c r="C4509" s="17"/>
      <c r="D4509" s="13"/>
      <c r="E4509" s="11"/>
      <c r="F4509" s="11"/>
      <c r="G4509" s="13">
        <f t="shared" si="1"/>
        <v>1281</v>
      </c>
      <c r="H4509" s="13"/>
    </row>
    <row r="4510" ht="22.5" customHeight="1">
      <c r="B4510" s="17"/>
      <c r="C4510" s="17"/>
      <c r="D4510" s="13"/>
      <c r="E4510" s="11"/>
      <c r="F4510" s="11"/>
      <c r="G4510" s="13">
        <f t="shared" si="1"/>
        <v>1281</v>
      </c>
      <c r="H4510" s="13"/>
    </row>
    <row r="4511" ht="22.5" customHeight="1">
      <c r="B4511" s="17"/>
      <c r="C4511" s="17"/>
      <c r="D4511" s="13"/>
      <c r="E4511" s="11"/>
      <c r="F4511" s="11"/>
      <c r="G4511" s="13">
        <f t="shared" si="1"/>
        <v>1281</v>
      </c>
      <c r="H4511" s="13"/>
    </row>
    <row r="4512" ht="22.5" customHeight="1">
      <c r="B4512" s="17"/>
      <c r="C4512" s="17"/>
      <c r="D4512" s="13"/>
      <c r="E4512" s="11"/>
      <c r="F4512" s="11"/>
      <c r="G4512" s="13">
        <f t="shared" si="1"/>
        <v>1281</v>
      </c>
      <c r="H4512" s="13"/>
    </row>
    <row r="4513" ht="22.5" customHeight="1">
      <c r="B4513" s="17"/>
      <c r="C4513" s="17"/>
      <c r="D4513" s="13"/>
      <c r="E4513" s="11"/>
      <c r="F4513" s="11"/>
      <c r="G4513" s="13">
        <f t="shared" si="1"/>
        <v>1281</v>
      </c>
      <c r="H4513" s="13"/>
    </row>
    <row r="4514" ht="22.5" customHeight="1">
      <c r="B4514" s="17"/>
      <c r="C4514" s="17"/>
      <c r="D4514" s="13"/>
      <c r="E4514" s="11"/>
      <c r="F4514" s="11"/>
      <c r="G4514" s="13">
        <f t="shared" si="1"/>
        <v>1281</v>
      </c>
      <c r="H4514" s="13"/>
    </row>
    <row r="4515" ht="22.5" customHeight="1">
      <c r="B4515" s="17"/>
      <c r="C4515" s="17"/>
      <c r="D4515" s="13"/>
      <c r="E4515" s="11"/>
      <c r="F4515" s="11"/>
      <c r="G4515" s="13">
        <f t="shared" si="1"/>
        <v>1281</v>
      </c>
      <c r="H4515" s="13"/>
    </row>
    <row r="4516" ht="22.5" customHeight="1">
      <c r="B4516" s="17"/>
      <c r="C4516" s="17"/>
      <c r="D4516" s="13"/>
      <c r="E4516" s="11"/>
      <c r="F4516" s="11"/>
      <c r="G4516" s="13">
        <f t="shared" si="1"/>
        <v>1281</v>
      </c>
      <c r="H4516" s="13"/>
    </row>
    <row r="4517" ht="22.5" customHeight="1">
      <c r="B4517" s="17"/>
      <c r="C4517" s="17"/>
      <c r="D4517" s="13"/>
      <c r="E4517" s="11"/>
      <c r="F4517" s="11"/>
      <c r="G4517" s="13">
        <f t="shared" si="1"/>
        <v>1281</v>
      </c>
      <c r="H4517" s="13"/>
    </row>
    <row r="4518" ht="22.5" customHeight="1">
      <c r="B4518" s="17"/>
      <c r="C4518" s="17"/>
      <c r="D4518" s="13"/>
      <c r="E4518" s="11"/>
      <c r="F4518" s="11"/>
      <c r="G4518" s="13">
        <f t="shared" si="1"/>
        <v>1281</v>
      </c>
      <c r="H4518" s="13"/>
    </row>
    <row r="4519" ht="22.5" customHeight="1">
      <c r="B4519" s="17"/>
      <c r="C4519" s="17"/>
      <c r="D4519" s="13"/>
      <c r="E4519" s="11"/>
      <c r="F4519" s="11"/>
      <c r="G4519" s="13">
        <f t="shared" si="1"/>
        <v>1281</v>
      </c>
      <c r="H4519" s="13"/>
    </row>
    <row r="4520" ht="22.5" customHeight="1">
      <c r="B4520" s="17"/>
      <c r="C4520" s="17"/>
      <c r="D4520" s="13"/>
      <c r="E4520" s="11"/>
      <c r="F4520" s="11"/>
      <c r="G4520" s="13">
        <f t="shared" si="1"/>
        <v>1281</v>
      </c>
      <c r="H4520" s="13"/>
    </row>
    <row r="4521" ht="22.5" customHeight="1">
      <c r="B4521" s="17"/>
      <c r="C4521" s="17"/>
      <c r="D4521" s="13"/>
      <c r="E4521" s="11"/>
      <c r="F4521" s="11"/>
      <c r="G4521" s="13">
        <f t="shared" si="1"/>
        <v>1281</v>
      </c>
      <c r="H4521" s="13"/>
    </row>
    <row r="4522" ht="22.5" customHeight="1">
      <c r="B4522" s="17"/>
      <c r="C4522" s="17"/>
      <c r="D4522" s="13"/>
      <c r="E4522" s="11"/>
      <c r="F4522" s="11"/>
      <c r="G4522" s="13">
        <f t="shared" si="1"/>
        <v>1281</v>
      </c>
      <c r="H4522" s="13"/>
    </row>
    <row r="4523" ht="22.5" customHeight="1">
      <c r="B4523" s="17"/>
      <c r="C4523" s="17"/>
      <c r="D4523" s="13"/>
      <c r="E4523" s="11"/>
      <c r="F4523" s="11"/>
      <c r="G4523" s="13">
        <f t="shared" si="1"/>
        <v>1281</v>
      </c>
      <c r="H4523" s="13"/>
    </row>
    <row r="4524" ht="22.5" customHeight="1">
      <c r="B4524" s="17"/>
      <c r="C4524" s="17"/>
      <c r="D4524" s="13"/>
      <c r="E4524" s="11"/>
      <c r="F4524" s="11"/>
      <c r="G4524" s="13">
        <f t="shared" si="1"/>
        <v>1281</v>
      </c>
      <c r="H4524" s="13"/>
    </row>
    <row r="4525" ht="22.5" customHeight="1">
      <c r="B4525" s="17"/>
      <c r="C4525" s="17"/>
      <c r="D4525" s="13"/>
      <c r="E4525" s="11"/>
      <c r="F4525" s="11"/>
      <c r="G4525" s="13">
        <f t="shared" si="1"/>
        <v>1281</v>
      </c>
      <c r="H4525" s="13"/>
    </row>
    <row r="4526" ht="22.5" customHeight="1">
      <c r="B4526" s="17"/>
      <c r="C4526" s="17"/>
      <c r="D4526" s="13"/>
      <c r="E4526" s="11"/>
      <c r="F4526" s="11"/>
      <c r="G4526" s="13">
        <f t="shared" si="1"/>
        <v>1281</v>
      </c>
      <c r="H4526" s="13"/>
    </row>
    <row r="4527" ht="22.5" customHeight="1">
      <c r="B4527" s="17"/>
      <c r="C4527" s="17"/>
      <c r="D4527" s="13"/>
      <c r="E4527" s="11"/>
      <c r="F4527" s="11"/>
      <c r="G4527" s="13">
        <f t="shared" si="1"/>
        <v>1281</v>
      </c>
      <c r="H4527" s="13"/>
    </row>
    <row r="4528" ht="22.5" customHeight="1">
      <c r="B4528" s="17"/>
      <c r="C4528" s="17"/>
      <c r="D4528" s="13"/>
      <c r="E4528" s="11"/>
      <c r="F4528" s="11"/>
      <c r="G4528" s="13">
        <f t="shared" si="1"/>
        <v>1281</v>
      </c>
      <c r="H4528" s="13"/>
    </row>
    <row r="4529" ht="22.5" customHeight="1">
      <c r="B4529" s="17"/>
      <c r="C4529" s="17"/>
      <c r="D4529" s="13"/>
      <c r="E4529" s="11"/>
      <c r="F4529" s="11"/>
      <c r="G4529" s="13">
        <f t="shared" si="1"/>
        <v>1281</v>
      </c>
      <c r="H4529" s="13"/>
    </row>
    <row r="4530" ht="22.5" customHeight="1">
      <c r="B4530" s="17"/>
      <c r="C4530" s="17"/>
      <c r="D4530" s="13"/>
      <c r="E4530" s="11"/>
      <c r="F4530" s="11"/>
      <c r="G4530" s="13">
        <f t="shared" si="1"/>
        <v>1281</v>
      </c>
      <c r="H4530" s="13"/>
    </row>
    <row r="4531" ht="22.5" customHeight="1">
      <c r="B4531" s="17"/>
      <c r="C4531" s="17"/>
      <c r="D4531" s="13"/>
      <c r="E4531" s="11"/>
      <c r="F4531" s="11"/>
      <c r="G4531" s="13">
        <f t="shared" si="1"/>
        <v>1281</v>
      </c>
      <c r="H4531" s="13"/>
    </row>
    <row r="4532" ht="22.5" customHeight="1">
      <c r="B4532" s="17"/>
      <c r="C4532" s="17"/>
      <c r="D4532" s="13"/>
      <c r="E4532" s="11"/>
      <c r="F4532" s="11"/>
      <c r="G4532" s="13">
        <f t="shared" si="1"/>
        <v>1281</v>
      </c>
      <c r="H4532" s="13"/>
    </row>
    <row r="4533" ht="22.5" customHeight="1">
      <c r="B4533" s="17"/>
      <c r="C4533" s="17"/>
      <c r="D4533" s="13"/>
      <c r="E4533" s="11"/>
      <c r="F4533" s="11"/>
      <c r="G4533" s="13">
        <f t="shared" si="1"/>
        <v>1281</v>
      </c>
      <c r="H4533" s="13"/>
    </row>
    <row r="4534" ht="22.5" customHeight="1">
      <c r="B4534" s="17"/>
      <c r="C4534" s="17"/>
      <c r="D4534" s="13"/>
      <c r="E4534" s="11"/>
      <c r="F4534" s="11"/>
      <c r="G4534" s="13">
        <f t="shared" si="1"/>
        <v>1281</v>
      </c>
      <c r="H4534" s="13"/>
    </row>
    <row r="4535" ht="22.5" customHeight="1">
      <c r="B4535" s="17"/>
      <c r="C4535" s="17"/>
      <c r="D4535" s="13"/>
      <c r="E4535" s="11"/>
      <c r="F4535" s="11"/>
      <c r="G4535" s="13">
        <f t="shared" si="1"/>
        <v>1281</v>
      </c>
      <c r="H4535" s="13"/>
    </row>
    <row r="4536" ht="22.5" customHeight="1">
      <c r="B4536" s="17"/>
      <c r="C4536" s="17"/>
      <c r="D4536" s="13"/>
      <c r="E4536" s="11"/>
      <c r="F4536" s="11"/>
      <c r="G4536" s="13">
        <f t="shared" si="1"/>
        <v>1281</v>
      </c>
      <c r="H4536" s="13"/>
    </row>
    <row r="4537" ht="22.5" customHeight="1">
      <c r="B4537" s="17"/>
      <c r="C4537" s="17"/>
      <c r="D4537" s="13"/>
      <c r="E4537" s="11"/>
      <c r="F4537" s="11"/>
      <c r="G4537" s="13">
        <f t="shared" si="1"/>
        <v>1281</v>
      </c>
      <c r="H4537" s="13"/>
    </row>
    <row r="4538" ht="22.5" customHeight="1">
      <c r="B4538" s="17"/>
      <c r="C4538" s="17"/>
      <c r="D4538" s="13"/>
      <c r="E4538" s="11"/>
      <c r="F4538" s="11"/>
      <c r="G4538" s="13">
        <f t="shared" si="1"/>
        <v>1281</v>
      </c>
      <c r="H4538" s="13"/>
    </row>
    <row r="4539" ht="22.5" customHeight="1">
      <c r="B4539" s="17"/>
      <c r="C4539" s="17"/>
      <c r="D4539" s="13"/>
      <c r="E4539" s="11"/>
      <c r="F4539" s="11"/>
      <c r="G4539" s="13">
        <f t="shared" si="1"/>
        <v>1281</v>
      </c>
      <c r="H4539" s="13"/>
    </row>
    <row r="4540" ht="22.5" customHeight="1">
      <c r="B4540" s="17"/>
      <c r="C4540" s="17"/>
      <c r="D4540" s="13"/>
      <c r="E4540" s="11"/>
      <c r="F4540" s="11"/>
      <c r="G4540" s="13">
        <f t="shared" si="1"/>
        <v>1281</v>
      </c>
      <c r="H4540" s="13"/>
    </row>
    <row r="4541" ht="22.5" customHeight="1">
      <c r="B4541" s="17"/>
      <c r="C4541" s="17"/>
      <c r="D4541" s="13"/>
      <c r="E4541" s="11"/>
      <c r="F4541" s="11"/>
      <c r="G4541" s="13">
        <f t="shared" si="1"/>
        <v>1281</v>
      </c>
      <c r="H4541" s="13"/>
    </row>
    <row r="4542" ht="22.5" customHeight="1">
      <c r="B4542" s="17"/>
      <c r="C4542" s="17"/>
      <c r="D4542" s="13"/>
      <c r="E4542" s="11"/>
      <c r="F4542" s="11"/>
      <c r="G4542" s="13">
        <f t="shared" si="1"/>
        <v>1281</v>
      </c>
      <c r="H4542" s="13"/>
    </row>
    <row r="4543" ht="22.5" customHeight="1">
      <c r="B4543" s="17"/>
      <c r="C4543" s="17"/>
      <c r="D4543" s="13"/>
      <c r="E4543" s="11"/>
      <c r="F4543" s="11"/>
      <c r="G4543" s="13">
        <f t="shared" si="1"/>
        <v>1281</v>
      </c>
      <c r="H4543" s="13"/>
    </row>
    <row r="4544" ht="22.5" customHeight="1">
      <c r="B4544" s="17"/>
      <c r="C4544" s="17"/>
      <c r="D4544" s="13"/>
      <c r="E4544" s="11"/>
      <c r="F4544" s="11"/>
      <c r="G4544" s="13">
        <f t="shared" si="1"/>
        <v>1281</v>
      </c>
      <c r="H4544" s="13"/>
    </row>
    <row r="4545" ht="22.5" customHeight="1">
      <c r="B4545" s="17"/>
      <c r="C4545" s="17"/>
      <c r="D4545" s="13"/>
      <c r="E4545" s="11"/>
      <c r="F4545" s="11"/>
      <c r="G4545" s="13">
        <f t="shared" si="1"/>
        <v>1281</v>
      </c>
      <c r="H4545" s="13"/>
    </row>
    <row r="4546" ht="22.5" customHeight="1">
      <c r="B4546" s="17"/>
      <c r="C4546" s="17"/>
      <c r="D4546" s="13"/>
      <c r="E4546" s="11"/>
      <c r="F4546" s="11"/>
      <c r="G4546" s="13">
        <f t="shared" si="1"/>
        <v>1281</v>
      </c>
      <c r="H4546" s="13"/>
    </row>
    <row r="4547" ht="22.5" customHeight="1">
      <c r="B4547" s="17"/>
      <c r="C4547" s="17"/>
      <c r="D4547" s="13"/>
      <c r="E4547" s="11"/>
      <c r="F4547" s="11"/>
      <c r="G4547" s="13">
        <f t="shared" si="1"/>
        <v>1281</v>
      </c>
      <c r="H4547" s="13"/>
    </row>
    <row r="4548" ht="22.5" customHeight="1">
      <c r="B4548" s="17"/>
      <c r="C4548" s="17"/>
      <c r="D4548" s="13"/>
      <c r="E4548" s="11"/>
      <c r="F4548" s="11"/>
      <c r="G4548" s="13">
        <f t="shared" si="1"/>
        <v>1281</v>
      </c>
      <c r="H4548" s="13"/>
    </row>
    <row r="4549" ht="22.5" customHeight="1">
      <c r="B4549" s="17"/>
      <c r="C4549" s="17"/>
      <c r="D4549" s="13"/>
      <c r="E4549" s="11"/>
      <c r="F4549" s="11"/>
      <c r="G4549" s="13">
        <f t="shared" si="1"/>
        <v>1281</v>
      </c>
      <c r="H4549" s="13"/>
    </row>
    <row r="4550" ht="22.5" customHeight="1">
      <c r="B4550" s="17"/>
      <c r="C4550" s="17"/>
      <c r="D4550" s="13"/>
      <c r="E4550" s="11"/>
      <c r="F4550" s="11"/>
      <c r="G4550" s="13">
        <f t="shared" si="1"/>
        <v>1281</v>
      </c>
      <c r="H4550" s="13"/>
    </row>
    <row r="4551" ht="22.5" customHeight="1">
      <c r="B4551" s="17"/>
      <c r="C4551" s="17"/>
      <c r="D4551" s="13"/>
      <c r="E4551" s="11"/>
      <c r="F4551" s="11"/>
      <c r="G4551" s="13">
        <f t="shared" si="1"/>
        <v>1281</v>
      </c>
      <c r="H4551" s="13"/>
    </row>
    <row r="4552" ht="22.5" customHeight="1">
      <c r="B4552" s="17"/>
      <c r="C4552" s="17"/>
      <c r="D4552" s="13"/>
      <c r="E4552" s="11"/>
      <c r="F4552" s="11"/>
      <c r="G4552" s="13">
        <f t="shared" si="1"/>
        <v>1281</v>
      </c>
      <c r="H4552" s="13"/>
    </row>
    <row r="4553" ht="22.5" customHeight="1">
      <c r="B4553" s="17"/>
      <c r="C4553" s="17"/>
      <c r="D4553" s="13"/>
      <c r="E4553" s="11"/>
      <c r="F4553" s="11"/>
      <c r="G4553" s="13">
        <f t="shared" si="1"/>
        <v>1281</v>
      </c>
      <c r="H4553" s="13"/>
    </row>
    <row r="4554" ht="22.5" customHeight="1">
      <c r="B4554" s="17"/>
      <c r="C4554" s="17"/>
      <c r="D4554" s="13"/>
      <c r="E4554" s="11"/>
      <c r="F4554" s="11"/>
      <c r="G4554" s="13">
        <f t="shared" si="1"/>
        <v>1281</v>
      </c>
      <c r="H4554" s="13"/>
    </row>
    <row r="4555" ht="22.5" customHeight="1">
      <c r="B4555" s="17"/>
      <c r="C4555" s="17"/>
      <c r="D4555" s="13"/>
      <c r="E4555" s="11"/>
      <c r="F4555" s="11"/>
      <c r="G4555" s="13">
        <f t="shared" si="1"/>
        <v>1281</v>
      </c>
      <c r="H4555" s="13"/>
    </row>
    <row r="4556" ht="22.5" customHeight="1">
      <c r="B4556" s="17"/>
      <c r="C4556" s="17"/>
      <c r="D4556" s="13"/>
      <c r="E4556" s="11"/>
      <c r="F4556" s="11"/>
      <c r="G4556" s="13">
        <f t="shared" si="1"/>
        <v>1281</v>
      </c>
      <c r="H4556" s="13"/>
    </row>
    <row r="4557" ht="22.5" customHeight="1">
      <c r="B4557" s="17"/>
      <c r="C4557" s="17"/>
      <c r="D4557" s="13"/>
      <c r="E4557" s="11"/>
      <c r="F4557" s="11"/>
      <c r="G4557" s="13">
        <f t="shared" si="1"/>
        <v>1281</v>
      </c>
      <c r="H4557" s="13"/>
    </row>
    <row r="4558" ht="22.5" customHeight="1">
      <c r="B4558" s="17"/>
      <c r="C4558" s="17"/>
      <c r="D4558" s="13"/>
      <c r="E4558" s="11"/>
      <c r="F4558" s="11"/>
      <c r="G4558" s="13">
        <f t="shared" si="1"/>
        <v>1281</v>
      </c>
      <c r="H4558" s="13"/>
    </row>
    <row r="4559" ht="22.5" customHeight="1">
      <c r="B4559" s="17"/>
      <c r="C4559" s="17"/>
      <c r="D4559" s="13"/>
      <c r="E4559" s="11"/>
      <c r="F4559" s="11"/>
      <c r="G4559" s="13">
        <f t="shared" si="1"/>
        <v>1281</v>
      </c>
      <c r="H4559" s="13"/>
    </row>
    <row r="4560" ht="22.5" customHeight="1">
      <c r="B4560" s="17"/>
      <c r="C4560" s="17"/>
      <c r="D4560" s="13"/>
      <c r="E4560" s="11"/>
      <c r="F4560" s="11"/>
      <c r="G4560" s="13">
        <f t="shared" si="1"/>
        <v>1281</v>
      </c>
      <c r="H4560" s="13"/>
    </row>
    <row r="4561" ht="22.5" customHeight="1">
      <c r="B4561" s="17"/>
      <c r="C4561" s="17"/>
      <c r="D4561" s="13"/>
      <c r="E4561" s="11"/>
      <c r="F4561" s="11"/>
      <c r="G4561" s="13">
        <f t="shared" si="1"/>
        <v>1281</v>
      </c>
      <c r="H4561" s="13"/>
    </row>
    <row r="4562" ht="22.5" customHeight="1">
      <c r="B4562" s="17"/>
      <c r="C4562" s="17"/>
      <c r="D4562" s="13"/>
      <c r="E4562" s="11"/>
      <c r="F4562" s="11"/>
      <c r="G4562" s="13">
        <f t="shared" si="1"/>
        <v>1281</v>
      </c>
      <c r="H4562" s="13"/>
    </row>
    <row r="4563" ht="22.5" customHeight="1">
      <c r="B4563" s="17"/>
      <c r="C4563" s="17"/>
      <c r="D4563" s="13"/>
      <c r="E4563" s="11"/>
      <c r="F4563" s="11"/>
      <c r="G4563" s="13">
        <f t="shared" si="1"/>
        <v>1281</v>
      </c>
      <c r="H4563" s="13"/>
    </row>
    <row r="4564" ht="22.5" customHeight="1">
      <c r="B4564" s="17"/>
      <c r="C4564" s="17"/>
      <c r="D4564" s="13"/>
      <c r="E4564" s="11"/>
      <c r="F4564" s="11"/>
      <c r="G4564" s="13">
        <f t="shared" si="1"/>
        <v>1281</v>
      </c>
      <c r="H4564" s="13"/>
    </row>
    <row r="4565" ht="22.5" customHeight="1">
      <c r="B4565" s="17"/>
      <c r="C4565" s="17"/>
      <c r="D4565" s="13"/>
      <c r="E4565" s="11"/>
      <c r="F4565" s="11"/>
      <c r="G4565" s="13">
        <f t="shared" si="1"/>
        <v>1281</v>
      </c>
      <c r="H4565" s="13"/>
    </row>
    <row r="4566" ht="22.5" customHeight="1">
      <c r="B4566" s="17"/>
      <c r="C4566" s="17"/>
      <c r="D4566" s="13"/>
      <c r="E4566" s="11"/>
      <c r="F4566" s="11"/>
      <c r="G4566" s="13">
        <f t="shared" si="1"/>
        <v>1281</v>
      </c>
      <c r="H4566" s="13"/>
    </row>
    <row r="4567" ht="22.5" customHeight="1">
      <c r="B4567" s="17"/>
      <c r="C4567" s="17"/>
      <c r="D4567" s="13"/>
      <c r="E4567" s="11"/>
      <c r="F4567" s="11"/>
      <c r="G4567" s="13">
        <f t="shared" si="1"/>
        <v>1281</v>
      </c>
      <c r="H4567" s="13"/>
    </row>
    <row r="4568" ht="22.5" customHeight="1">
      <c r="B4568" s="17"/>
      <c r="C4568" s="17"/>
      <c r="D4568" s="13"/>
      <c r="E4568" s="11"/>
      <c r="F4568" s="11"/>
      <c r="G4568" s="13">
        <f t="shared" si="1"/>
        <v>1281</v>
      </c>
      <c r="H4568" s="13"/>
    </row>
    <row r="4569" ht="22.5" customHeight="1">
      <c r="B4569" s="17"/>
      <c r="C4569" s="17"/>
      <c r="D4569" s="13"/>
      <c r="E4569" s="11"/>
      <c r="F4569" s="11"/>
      <c r="G4569" s="13">
        <f t="shared" si="1"/>
        <v>1281</v>
      </c>
      <c r="H4569" s="13"/>
    </row>
    <row r="4570" ht="22.5" customHeight="1">
      <c r="B4570" s="17"/>
      <c r="C4570" s="17"/>
      <c r="D4570" s="13"/>
      <c r="E4570" s="11"/>
      <c r="F4570" s="11"/>
      <c r="G4570" s="13">
        <f t="shared" si="1"/>
        <v>1281</v>
      </c>
      <c r="H4570" s="13"/>
    </row>
    <row r="4571" ht="22.5" customHeight="1">
      <c r="B4571" s="17"/>
      <c r="C4571" s="17"/>
      <c r="D4571" s="13"/>
      <c r="E4571" s="11"/>
      <c r="F4571" s="11"/>
      <c r="G4571" s="13">
        <f t="shared" si="1"/>
        <v>1281</v>
      </c>
      <c r="H4571" s="13"/>
    </row>
    <row r="4572" ht="22.5" customHeight="1">
      <c r="B4572" s="17"/>
      <c r="C4572" s="17"/>
      <c r="D4572" s="13"/>
      <c r="E4572" s="11"/>
      <c r="F4572" s="11"/>
      <c r="G4572" s="13">
        <f t="shared" si="1"/>
        <v>1281</v>
      </c>
      <c r="H4572" s="13"/>
    </row>
    <row r="4573" ht="22.5" customHeight="1">
      <c r="B4573" s="17"/>
      <c r="C4573" s="17"/>
      <c r="D4573" s="13"/>
      <c r="E4573" s="11"/>
      <c r="F4573" s="11"/>
      <c r="G4573" s="13">
        <f t="shared" si="1"/>
        <v>1281</v>
      </c>
      <c r="H4573" s="13"/>
    </row>
    <row r="4574" ht="22.5" customHeight="1">
      <c r="B4574" s="17"/>
      <c r="C4574" s="17"/>
      <c r="D4574" s="13"/>
      <c r="E4574" s="11"/>
      <c r="F4574" s="11"/>
      <c r="G4574" s="13">
        <f t="shared" si="1"/>
        <v>1281</v>
      </c>
      <c r="H4574" s="13"/>
    </row>
    <row r="4575" ht="22.5" customHeight="1">
      <c r="B4575" s="17"/>
      <c r="C4575" s="17"/>
      <c r="D4575" s="13"/>
      <c r="E4575" s="11"/>
      <c r="F4575" s="11"/>
      <c r="G4575" s="13">
        <f t="shared" si="1"/>
        <v>1281</v>
      </c>
      <c r="H4575" s="13"/>
    </row>
    <row r="4576" ht="22.5" customHeight="1">
      <c r="B4576" s="17"/>
      <c r="C4576" s="17"/>
      <c r="D4576" s="13"/>
      <c r="E4576" s="11"/>
      <c r="F4576" s="11"/>
      <c r="G4576" s="13">
        <f t="shared" si="1"/>
        <v>1281</v>
      </c>
      <c r="H4576" s="13"/>
    </row>
    <row r="4577" ht="22.5" customHeight="1">
      <c r="B4577" s="17"/>
      <c r="C4577" s="17"/>
      <c r="D4577" s="13"/>
      <c r="E4577" s="11"/>
      <c r="F4577" s="11"/>
      <c r="G4577" s="13">
        <f t="shared" si="1"/>
        <v>1281</v>
      </c>
      <c r="H4577" s="13"/>
    </row>
    <row r="4578" ht="22.5" customHeight="1">
      <c r="B4578" s="17"/>
      <c r="C4578" s="17"/>
      <c r="D4578" s="13"/>
      <c r="E4578" s="11"/>
      <c r="F4578" s="11"/>
      <c r="G4578" s="13">
        <f t="shared" si="1"/>
        <v>1281</v>
      </c>
      <c r="H4578" s="13"/>
    </row>
    <row r="4579" ht="22.5" customHeight="1">
      <c r="B4579" s="17"/>
      <c r="C4579" s="17"/>
      <c r="D4579" s="13"/>
      <c r="E4579" s="11"/>
      <c r="F4579" s="11"/>
      <c r="G4579" s="13">
        <f t="shared" si="1"/>
        <v>1281</v>
      </c>
      <c r="H4579" s="13"/>
    </row>
    <row r="4580" ht="22.5" customHeight="1">
      <c r="B4580" s="17"/>
      <c r="C4580" s="17"/>
      <c r="D4580" s="13"/>
      <c r="E4580" s="11"/>
      <c r="F4580" s="11"/>
      <c r="G4580" s="13">
        <f t="shared" si="1"/>
        <v>1281</v>
      </c>
      <c r="H4580" s="13"/>
    </row>
    <row r="4581" ht="22.5" customHeight="1">
      <c r="B4581" s="17"/>
      <c r="C4581" s="17"/>
      <c r="D4581" s="13"/>
      <c r="E4581" s="11"/>
      <c r="F4581" s="11"/>
      <c r="G4581" s="13">
        <f t="shared" si="1"/>
        <v>1281</v>
      </c>
      <c r="H4581" s="13"/>
    </row>
    <row r="4582" ht="22.5" customHeight="1">
      <c r="B4582" s="17"/>
      <c r="C4582" s="17"/>
      <c r="D4582" s="13"/>
      <c r="E4582" s="11"/>
      <c r="F4582" s="11"/>
      <c r="G4582" s="13">
        <f t="shared" si="1"/>
        <v>1281</v>
      </c>
      <c r="H4582" s="13"/>
    </row>
    <row r="4583" ht="22.5" customHeight="1">
      <c r="B4583" s="17"/>
      <c r="C4583" s="17"/>
      <c r="D4583" s="13"/>
      <c r="E4583" s="11"/>
      <c r="F4583" s="11"/>
      <c r="G4583" s="13">
        <f t="shared" si="1"/>
        <v>1281</v>
      </c>
      <c r="H4583" s="13"/>
    </row>
    <row r="4584" ht="22.5" customHeight="1">
      <c r="B4584" s="17"/>
      <c r="C4584" s="17"/>
      <c r="D4584" s="13"/>
      <c r="E4584" s="11"/>
      <c r="F4584" s="11"/>
      <c r="G4584" s="13">
        <f t="shared" si="1"/>
        <v>1281</v>
      </c>
      <c r="H4584" s="13"/>
    </row>
    <row r="4585" ht="22.5" customHeight="1">
      <c r="B4585" s="17"/>
      <c r="C4585" s="17"/>
      <c r="D4585" s="13"/>
      <c r="E4585" s="11"/>
      <c r="F4585" s="11"/>
      <c r="G4585" s="13">
        <f t="shared" si="1"/>
        <v>1281</v>
      </c>
      <c r="H4585" s="13"/>
    </row>
    <row r="4586" ht="22.5" customHeight="1">
      <c r="B4586" s="17"/>
      <c r="C4586" s="17"/>
      <c r="D4586" s="13"/>
      <c r="E4586" s="11"/>
      <c r="F4586" s="11"/>
      <c r="G4586" s="13">
        <f t="shared" si="1"/>
        <v>1281</v>
      </c>
      <c r="H4586" s="13"/>
    </row>
    <row r="4587" ht="22.5" customHeight="1">
      <c r="B4587" s="17"/>
      <c r="C4587" s="17"/>
      <c r="D4587" s="13"/>
      <c r="E4587" s="11"/>
      <c r="F4587" s="11"/>
      <c r="G4587" s="13">
        <f t="shared" si="1"/>
        <v>1281</v>
      </c>
      <c r="H4587" s="13"/>
    </row>
    <row r="4588" ht="22.5" customHeight="1">
      <c r="B4588" s="17"/>
      <c r="C4588" s="17"/>
      <c r="D4588" s="13"/>
      <c r="E4588" s="11"/>
      <c r="F4588" s="11"/>
      <c r="G4588" s="13">
        <f t="shared" si="1"/>
        <v>1281</v>
      </c>
      <c r="H4588" s="13"/>
    </row>
    <row r="4589" ht="22.5" customHeight="1">
      <c r="B4589" s="17"/>
      <c r="C4589" s="17"/>
      <c r="D4589" s="13"/>
      <c r="E4589" s="11"/>
      <c r="F4589" s="11"/>
      <c r="G4589" s="13">
        <f t="shared" si="1"/>
        <v>1281</v>
      </c>
      <c r="H4589" s="13"/>
    </row>
    <row r="4590" ht="22.5" customHeight="1">
      <c r="B4590" s="17"/>
      <c r="C4590" s="17"/>
      <c r="D4590" s="13"/>
      <c r="E4590" s="11"/>
      <c r="F4590" s="11"/>
      <c r="G4590" s="13">
        <f t="shared" si="1"/>
        <v>1281</v>
      </c>
      <c r="H4590" s="13"/>
    </row>
    <row r="4591" ht="22.5" customHeight="1">
      <c r="B4591" s="17"/>
      <c r="C4591" s="17"/>
      <c r="D4591" s="13"/>
      <c r="E4591" s="11"/>
      <c r="F4591" s="11"/>
      <c r="G4591" s="13">
        <f t="shared" si="1"/>
        <v>1281</v>
      </c>
      <c r="H4591" s="13"/>
    </row>
    <row r="4592" ht="22.5" customHeight="1">
      <c r="B4592" s="17"/>
      <c r="C4592" s="17"/>
      <c r="D4592" s="13"/>
      <c r="E4592" s="11"/>
      <c r="F4592" s="11"/>
      <c r="G4592" s="13">
        <f t="shared" si="1"/>
        <v>1281</v>
      </c>
      <c r="H4592" s="13"/>
    </row>
    <row r="4593" ht="22.5" customHeight="1">
      <c r="B4593" s="17"/>
      <c r="C4593" s="17"/>
      <c r="D4593" s="13"/>
      <c r="E4593" s="11"/>
      <c r="F4593" s="11"/>
      <c r="G4593" s="13">
        <f t="shared" si="1"/>
        <v>1281</v>
      </c>
      <c r="H4593" s="13"/>
    </row>
    <row r="4594" ht="22.5" customHeight="1">
      <c r="B4594" s="17"/>
      <c r="C4594" s="17"/>
      <c r="D4594" s="13"/>
      <c r="E4594" s="11"/>
      <c r="F4594" s="11"/>
      <c r="G4594" s="13">
        <f t="shared" si="1"/>
        <v>1281</v>
      </c>
      <c r="H4594" s="13"/>
    </row>
    <row r="4595" ht="22.5" customHeight="1">
      <c r="B4595" s="17"/>
      <c r="C4595" s="17"/>
      <c r="D4595" s="13"/>
      <c r="E4595" s="11"/>
      <c r="F4595" s="11"/>
      <c r="G4595" s="13">
        <f t="shared" si="1"/>
        <v>1281</v>
      </c>
      <c r="H4595" s="13"/>
    </row>
    <row r="4596" ht="22.5" customHeight="1">
      <c r="B4596" s="17"/>
      <c r="C4596" s="17"/>
      <c r="D4596" s="13"/>
      <c r="E4596" s="11"/>
      <c r="F4596" s="11"/>
      <c r="G4596" s="13">
        <f t="shared" si="1"/>
        <v>1281</v>
      </c>
      <c r="H4596" s="13"/>
    </row>
    <row r="4597" ht="22.5" customHeight="1">
      <c r="B4597" s="17"/>
      <c r="C4597" s="17"/>
      <c r="D4597" s="13"/>
      <c r="E4597" s="11"/>
      <c r="F4597" s="11"/>
      <c r="G4597" s="13">
        <f t="shared" si="1"/>
        <v>1281</v>
      </c>
      <c r="H4597" s="13"/>
    </row>
    <row r="4598" ht="22.5" customHeight="1">
      <c r="B4598" s="17"/>
      <c r="C4598" s="17"/>
      <c r="D4598" s="13"/>
      <c r="E4598" s="11"/>
      <c r="F4598" s="11"/>
      <c r="G4598" s="13">
        <f t="shared" si="1"/>
        <v>1281</v>
      </c>
      <c r="H4598" s="13"/>
    </row>
    <row r="4599" ht="22.5" customHeight="1">
      <c r="B4599" s="17"/>
      <c r="C4599" s="17"/>
      <c r="D4599" s="13"/>
      <c r="E4599" s="11"/>
      <c r="F4599" s="11"/>
      <c r="G4599" s="13">
        <f t="shared" si="1"/>
        <v>1281</v>
      </c>
      <c r="H4599" s="13"/>
    </row>
    <row r="4600" ht="22.5" customHeight="1">
      <c r="B4600" s="17"/>
      <c r="C4600" s="17"/>
      <c r="D4600" s="13"/>
      <c r="E4600" s="11"/>
      <c r="F4600" s="11"/>
      <c r="G4600" s="13">
        <f t="shared" si="1"/>
        <v>1281</v>
      </c>
      <c r="H4600" s="13"/>
    </row>
    <row r="4601" ht="22.5" customHeight="1">
      <c r="B4601" s="17"/>
      <c r="C4601" s="17"/>
      <c r="D4601" s="13"/>
      <c r="E4601" s="11"/>
      <c r="F4601" s="11"/>
      <c r="G4601" s="13">
        <f t="shared" si="1"/>
        <v>1281</v>
      </c>
      <c r="H4601" s="13"/>
    </row>
    <row r="4602" ht="22.5" customHeight="1">
      <c r="B4602" s="17"/>
      <c r="C4602" s="17"/>
      <c r="D4602" s="13"/>
      <c r="E4602" s="11"/>
      <c r="F4602" s="11"/>
      <c r="G4602" s="13">
        <f t="shared" si="1"/>
        <v>1281</v>
      </c>
      <c r="H4602" s="13"/>
    </row>
    <row r="4603" ht="22.5" customHeight="1">
      <c r="B4603" s="17"/>
      <c r="C4603" s="17"/>
      <c r="D4603" s="13"/>
      <c r="E4603" s="11"/>
      <c r="F4603" s="11"/>
      <c r="G4603" s="13">
        <f t="shared" si="1"/>
        <v>1281</v>
      </c>
      <c r="H4603" s="13"/>
    </row>
    <row r="4604" ht="22.5" customHeight="1">
      <c r="B4604" s="17"/>
      <c r="C4604" s="17"/>
      <c r="D4604" s="13"/>
      <c r="E4604" s="11"/>
      <c r="F4604" s="11"/>
      <c r="G4604" s="13">
        <f t="shared" si="1"/>
        <v>1281</v>
      </c>
      <c r="H4604" s="13"/>
    </row>
    <row r="4605" ht="22.5" customHeight="1">
      <c r="B4605" s="17"/>
      <c r="C4605" s="17"/>
      <c r="D4605" s="13"/>
      <c r="E4605" s="11"/>
      <c r="F4605" s="11"/>
      <c r="G4605" s="13">
        <f t="shared" si="1"/>
        <v>1281</v>
      </c>
      <c r="H4605" s="13"/>
    </row>
    <row r="4606" ht="22.5" customHeight="1">
      <c r="B4606" s="17"/>
      <c r="C4606" s="17"/>
      <c r="D4606" s="13"/>
      <c r="E4606" s="11"/>
      <c r="F4606" s="11"/>
      <c r="G4606" s="13">
        <f t="shared" si="1"/>
        <v>1281</v>
      </c>
      <c r="H4606" s="13"/>
    </row>
    <row r="4607" ht="22.5" customHeight="1">
      <c r="B4607" s="17"/>
      <c r="C4607" s="17"/>
      <c r="D4607" s="13"/>
      <c r="E4607" s="11"/>
      <c r="F4607" s="11"/>
      <c r="G4607" s="13">
        <f t="shared" si="1"/>
        <v>1281</v>
      </c>
      <c r="H4607" s="13"/>
    </row>
    <row r="4608" ht="22.5" customHeight="1">
      <c r="B4608" s="17"/>
      <c r="C4608" s="17"/>
      <c r="D4608" s="13"/>
      <c r="E4608" s="11"/>
      <c r="F4608" s="11"/>
      <c r="G4608" s="13">
        <f t="shared" si="1"/>
        <v>1281</v>
      </c>
      <c r="H4608" s="13"/>
    </row>
    <row r="4609" ht="22.5" customHeight="1">
      <c r="B4609" s="17"/>
      <c r="C4609" s="17"/>
      <c r="D4609" s="13"/>
      <c r="E4609" s="11"/>
      <c r="F4609" s="11"/>
      <c r="G4609" s="13">
        <f t="shared" si="1"/>
        <v>1281</v>
      </c>
      <c r="H4609" s="13"/>
    </row>
    <row r="4610" ht="22.5" customHeight="1">
      <c r="B4610" s="17"/>
      <c r="C4610" s="17"/>
      <c r="D4610" s="13"/>
      <c r="E4610" s="11"/>
      <c r="F4610" s="11"/>
      <c r="G4610" s="13">
        <f t="shared" si="1"/>
        <v>1281</v>
      </c>
      <c r="H4610" s="13"/>
    </row>
    <row r="4611" ht="22.5" customHeight="1">
      <c r="B4611" s="17"/>
      <c r="C4611" s="17"/>
      <c r="D4611" s="13"/>
      <c r="E4611" s="11"/>
      <c r="F4611" s="11"/>
      <c r="G4611" s="13">
        <f t="shared" si="1"/>
        <v>1281</v>
      </c>
      <c r="H4611" s="13"/>
    </row>
    <row r="4612" ht="22.5" customHeight="1">
      <c r="B4612" s="17"/>
      <c r="C4612" s="17"/>
      <c r="D4612" s="13"/>
      <c r="E4612" s="11"/>
      <c r="F4612" s="11"/>
      <c r="G4612" s="13">
        <f t="shared" si="1"/>
        <v>1281</v>
      </c>
      <c r="H4612" s="13"/>
    </row>
    <row r="4613" ht="22.5" customHeight="1">
      <c r="B4613" s="17"/>
      <c r="C4613" s="17"/>
      <c r="D4613" s="13"/>
      <c r="E4613" s="11"/>
      <c r="F4613" s="11"/>
      <c r="G4613" s="13">
        <f t="shared" si="1"/>
        <v>1281</v>
      </c>
      <c r="H4613" s="13"/>
    </row>
    <row r="4614" ht="22.5" customHeight="1">
      <c r="B4614" s="17"/>
      <c r="C4614" s="17"/>
      <c r="D4614" s="13"/>
      <c r="E4614" s="11"/>
      <c r="F4614" s="11"/>
      <c r="G4614" s="13">
        <f t="shared" si="1"/>
        <v>1281</v>
      </c>
      <c r="H4614" s="13"/>
    </row>
    <row r="4615" ht="22.5" customHeight="1">
      <c r="B4615" s="17"/>
      <c r="C4615" s="17"/>
      <c r="D4615" s="13"/>
      <c r="E4615" s="11"/>
      <c r="F4615" s="11"/>
      <c r="G4615" s="13">
        <f t="shared" si="1"/>
        <v>1281</v>
      </c>
      <c r="H4615" s="13"/>
    </row>
    <row r="4616" ht="22.5" customHeight="1">
      <c r="B4616" s="17"/>
      <c r="C4616" s="17"/>
      <c r="D4616" s="13"/>
      <c r="E4616" s="11"/>
      <c r="F4616" s="11"/>
      <c r="G4616" s="13">
        <f t="shared" si="1"/>
        <v>1281</v>
      </c>
      <c r="H4616" s="13"/>
    </row>
    <row r="4617" ht="22.5" customHeight="1">
      <c r="B4617" s="17"/>
      <c r="C4617" s="17"/>
      <c r="D4617" s="13"/>
      <c r="E4617" s="11"/>
      <c r="F4617" s="11"/>
      <c r="G4617" s="13">
        <f t="shared" si="1"/>
        <v>1281</v>
      </c>
      <c r="H4617" s="13"/>
    </row>
    <row r="4618" ht="22.5" customHeight="1">
      <c r="B4618" s="17"/>
      <c r="C4618" s="17"/>
      <c r="D4618" s="13"/>
      <c r="E4618" s="11"/>
      <c r="F4618" s="11"/>
      <c r="G4618" s="13">
        <f t="shared" si="1"/>
        <v>1281</v>
      </c>
      <c r="H4618" s="13"/>
    </row>
    <row r="4619" ht="22.5" customHeight="1">
      <c r="B4619" s="17"/>
      <c r="C4619" s="17"/>
      <c r="D4619" s="13"/>
      <c r="E4619" s="11"/>
      <c r="F4619" s="11"/>
      <c r="G4619" s="13">
        <f t="shared" si="1"/>
        <v>1281</v>
      </c>
      <c r="H4619" s="13"/>
    </row>
    <row r="4620" ht="22.5" customHeight="1">
      <c r="B4620" s="17"/>
      <c r="C4620" s="17"/>
      <c r="D4620" s="13"/>
      <c r="E4620" s="11"/>
      <c r="F4620" s="11"/>
      <c r="G4620" s="13">
        <f t="shared" si="1"/>
        <v>1281</v>
      </c>
      <c r="H4620" s="13"/>
    </row>
    <row r="4621" ht="22.5" customHeight="1">
      <c r="B4621" s="17"/>
      <c r="C4621" s="17"/>
      <c r="D4621" s="13"/>
      <c r="E4621" s="11"/>
      <c r="F4621" s="11"/>
      <c r="G4621" s="13">
        <f t="shared" si="1"/>
        <v>1281</v>
      </c>
      <c r="H4621" s="13"/>
    </row>
    <row r="4622" ht="22.5" customHeight="1">
      <c r="B4622" s="17"/>
      <c r="C4622" s="17"/>
      <c r="D4622" s="13"/>
      <c r="E4622" s="11"/>
      <c r="F4622" s="11"/>
      <c r="G4622" s="13">
        <f t="shared" si="1"/>
        <v>1281</v>
      </c>
      <c r="H4622" s="13"/>
    </row>
    <row r="4623" ht="22.5" customHeight="1">
      <c r="B4623" s="17"/>
      <c r="C4623" s="17"/>
      <c r="D4623" s="13"/>
      <c r="E4623" s="11"/>
      <c r="F4623" s="11"/>
      <c r="G4623" s="13">
        <f t="shared" si="1"/>
        <v>1281</v>
      </c>
      <c r="H4623" s="13"/>
    </row>
    <row r="4624" ht="22.5" customHeight="1">
      <c r="B4624" s="17"/>
      <c r="C4624" s="17"/>
      <c r="D4624" s="13"/>
      <c r="E4624" s="11"/>
      <c r="F4624" s="11"/>
      <c r="G4624" s="13">
        <f t="shared" si="1"/>
        <v>1281</v>
      </c>
      <c r="H4624" s="13"/>
    </row>
    <row r="4625" ht="22.5" customHeight="1">
      <c r="B4625" s="17"/>
      <c r="C4625" s="17"/>
      <c r="D4625" s="13"/>
      <c r="E4625" s="11"/>
      <c r="F4625" s="11"/>
      <c r="G4625" s="13">
        <f t="shared" si="1"/>
        <v>1281</v>
      </c>
      <c r="H4625" s="13"/>
    </row>
    <row r="4626" ht="22.5" customHeight="1">
      <c r="B4626" s="17"/>
      <c r="C4626" s="17"/>
      <c r="D4626" s="13"/>
      <c r="E4626" s="11"/>
      <c r="F4626" s="11"/>
      <c r="G4626" s="13">
        <f t="shared" si="1"/>
        <v>1281</v>
      </c>
      <c r="H4626" s="13"/>
    </row>
    <row r="4627" ht="22.5" customHeight="1">
      <c r="B4627" s="17"/>
      <c r="C4627" s="17"/>
      <c r="D4627" s="13"/>
      <c r="E4627" s="11"/>
      <c r="F4627" s="11"/>
      <c r="G4627" s="13">
        <f t="shared" si="1"/>
        <v>1281</v>
      </c>
      <c r="H4627" s="13"/>
    </row>
    <row r="4628" ht="22.5" customHeight="1">
      <c r="B4628" s="17"/>
      <c r="C4628" s="17"/>
      <c r="D4628" s="13"/>
      <c r="E4628" s="11"/>
      <c r="F4628" s="11"/>
      <c r="G4628" s="13">
        <f t="shared" si="1"/>
        <v>1281</v>
      </c>
      <c r="H4628" s="13"/>
    </row>
    <row r="4629" ht="22.5" customHeight="1">
      <c r="B4629" s="17"/>
      <c r="C4629" s="17"/>
      <c r="D4629" s="13"/>
      <c r="E4629" s="11"/>
      <c r="F4629" s="11"/>
      <c r="G4629" s="13">
        <f t="shared" si="1"/>
        <v>1281</v>
      </c>
      <c r="H4629" s="13"/>
    </row>
    <row r="4630" ht="22.5" customHeight="1">
      <c r="B4630" s="17"/>
      <c r="C4630" s="17"/>
      <c r="D4630" s="13"/>
      <c r="E4630" s="11"/>
      <c r="F4630" s="11"/>
      <c r="G4630" s="13">
        <f t="shared" si="1"/>
        <v>1281</v>
      </c>
      <c r="H4630" s="13"/>
    </row>
    <row r="4631" ht="22.5" customHeight="1">
      <c r="B4631" s="17"/>
      <c r="C4631" s="17"/>
      <c r="D4631" s="13"/>
      <c r="E4631" s="11"/>
      <c r="F4631" s="11"/>
      <c r="G4631" s="13">
        <f t="shared" si="1"/>
        <v>1281</v>
      </c>
      <c r="H4631" s="13"/>
    </row>
    <row r="4632" ht="22.5" customHeight="1">
      <c r="B4632" s="17"/>
      <c r="C4632" s="17"/>
      <c r="D4632" s="13"/>
      <c r="E4632" s="11"/>
      <c r="F4632" s="11"/>
      <c r="G4632" s="13">
        <f t="shared" si="1"/>
        <v>1281</v>
      </c>
      <c r="H4632" s="13"/>
    </row>
    <row r="4633" ht="22.5" customHeight="1">
      <c r="B4633" s="17"/>
      <c r="C4633" s="17"/>
      <c r="D4633" s="13"/>
      <c r="E4633" s="11"/>
      <c r="F4633" s="11"/>
      <c r="G4633" s="13">
        <f t="shared" si="1"/>
        <v>1281</v>
      </c>
      <c r="H4633" s="13"/>
    </row>
    <row r="4634" ht="22.5" customHeight="1">
      <c r="B4634" s="17"/>
      <c r="C4634" s="17"/>
      <c r="D4634" s="13"/>
      <c r="E4634" s="11"/>
      <c r="F4634" s="11"/>
      <c r="G4634" s="13">
        <f t="shared" si="1"/>
        <v>1281</v>
      </c>
      <c r="H4634" s="13"/>
    </row>
    <row r="4635" ht="22.5" customHeight="1">
      <c r="B4635" s="17"/>
      <c r="C4635" s="17"/>
      <c r="D4635" s="13"/>
      <c r="E4635" s="11"/>
      <c r="F4635" s="11"/>
      <c r="G4635" s="13">
        <f t="shared" si="1"/>
        <v>1281</v>
      </c>
      <c r="H4635" s="13"/>
    </row>
    <row r="4636" ht="22.5" customHeight="1">
      <c r="B4636" s="17"/>
      <c r="C4636" s="17"/>
      <c r="D4636" s="13"/>
      <c r="E4636" s="11"/>
      <c r="F4636" s="11"/>
      <c r="G4636" s="13">
        <f t="shared" si="1"/>
        <v>1281</v>
      </c>
      <c r="H4636" s="13"/>
    </row>
    <row r="4637" ht="22.5" customHeight="1">
      <c r="B4637" s="17"/>
      <c r="C4637" s="17"/>
      <c r="D4637" s="13"/>
      <c r="E4637" s="11"/>
      <c r="F4637" s="11"/>
      <c r="G4637" s="13">
        <f t="shared" si="1"/>
        <v>1281</v>
      </c>
      <c r="H4637" s="13"/>
    </row>
    <row r="4638" ht="22.5" customHeight="1">
      <c r="B4638" s="17"/>
      <c r="C4638" s="17"/>
      <c r="D4638" s="13"/>
      <c r="E4638" s="11"/>
      <c r="F4638" s="11"/>
      <c r="G4638" s="13">
        <f t="shared" si="1"/>
        <v>1281</v>
      </c>
      <c r="H4638" s="13"/>
    </row>
    <row r="4639" ht="22.5" customHeight="1">
      <c r="B4639" s="17"/>
      <c r="C4639" s="17"/>
      <c r="D4639" s="13"/>
      <c r="E4639" s="11"/>
      <c r="F4639" s="11"/>
      <c r="G4639" s="13">
        <f t="shared" si="1"/>
        <v>1281</v>
      </c>
      <c r="H4639" s="13"/>
    </row>
    <row r="4640" ht="22.5" customHeight="1">
      <c r="B4640" s="17"/>
      <c r="C4640" s="17"/>
      <c r="D4640" s="13"/>
      <c r="E4640" s="11"/>
      <c r="F4640" s="11"/>
      <c r="G4640" s="13">
        <f t="shared" si="1"/>
        <v>1281</v>
      </c>
      <c r="H4640" s="13"/>
    </row>
    <row r="4641" ht="22.5" customHeight="1">
      <c r="B4641" s="17"/>
      <c r="C4641" s="17"/>
      <c r="D4641" s="13"/>
      <c r="E4641" s="11"/>
      <c r="F4641" s="11"/>
      <c r="G4641" s="13">
        <f t="shared" si="1"/>
        <v>1281</v>
      </c>
      <c r="H4641" s="13"/>
    </row>
    <row r="4642" ht="22.5" customHeight="1">
      <c r="B4642" s="17"/>
      <c r="C4642" s="17"/>
      <c r="D4642" s="13"/>
      <c r="E4642" s="11"/>
      <c r="F4642" s="11"/>
      <c r="G4642" s="13">
        <f t="shared" si="1"/>
        <v>1281</v>
      </c>
      <c r="H4642" s="13"/>
    </row>
    <row r="4643" ht="22.5" customHeight="1">
      <c r="B4643" s="17"/>
      <c r="C4643" s="17"/>
      <c r="D4643" s="13"/>
      <c r="E4643" s="11"/>
      <c r="F4643" s="11"/>
      <c r="G4643" s="13">
        <f t="shared" si="1"/>
        <v>1281</v>
      </c>
      <c r="H4643" s="13"/>
    </row>
    <row r="4644" ht="22.5" customHeight="1">
      <c r="B4644" s="17"/>
      <c r="C4644" s="17"/>
      <c r="D4644" s="13"/>
      <c r="E4644" s="11"/>
      <c r="F4644" s="11"/>
      <c r="G4644" s="13">
        <f t="shared" si="1"/>
        <v>1281</v>
      </c>
      <c r="H4644" s="13"/>
    </row>
    <row r="4645" ht="22.5" customHeight="1">
      <c r="B4645" s="17"/>
      <c r="C4645" s="17"/>
      <c r="D4645" s="13"/>
      <c r="E4645" s="11"/>
      <c r="F4645" s="11"/>
      <c r="G4645" s="13">
        <f t="shared" si="1"/>
        <v>1281</v>
      </c>
      <c r="H4645" s="13"/>
    </row>
    <row r="4646" ht="22.5" customHeight="1">
      <c r="B4646" s="17"/>
      <c r="C4646" s="17"/>
      <c r="D4646" s="13"/>
      <c r="E4646" s="11"/>
      <c r="F4646" s="11"/>
      <c r="G4646" s="13">
        <f t="shared" si="1"/>
        <v>1281</v>
      </c>
      <c r="H4646" s="13"/>
    </row>
    <row r="4647" ht="22.5" customHeight="1">
      <c r="B4647" s="17"/>
      <c r="C4647" s="17"/>
      <c r="D4647" s="13"/>
      <c r="E4647" s="11"/>
      <c r="F4647" s="11"/>
      <c r="G4647" s="13">
        <f t="shared" si="1"/>
        <v>1281</v>
      </c>
      <c r="H4647" s="13"/>
    </row>
    <row r="4648" ht="22.5" customHeight="1">
      <c r="B4648" s="17"/>
      <c r="C4648" s="17"/>
      <c r="D4648" s="13"/>
      <c r="E4648" s="11"/>
      <c r="F4648" s="11"/>
      <c r="G4648" s="13">
        <f t="shared" si="1"/>
        <v>1281</v>
      </c>
      <c r="H4648" s="13"/>
    </row>
    <row r="4649" ht="22.5" customHeight="1">
      <c r="B4649" s="17"/>
      <c r="C4649" s="17"/>
      <c r="D4649" s="13"/>
      <c r="E4649" s="11"/>
      <c r="F4649" s="11"/>
      <c r="G4649" s="13">
        <f t="shared" si="1"/>
        <v>1281</v>
      </c>
      <c r="H4649" s="13"/>
    </row>
    <row r="4650" ht="22.5" customHeight="1">
      <c r="B4650" s="17"/>
      <c r="C4650" s="17"/>
      <c r="D4650" s="13"/>
      <c r="E4650" s="11"/>
      <c r="F4650" s="11"/>
      <c r="G4650" s="13">
        <f t="shared" si="1"/>
        <v>1281</v>
      </c>
      <c r="H4650" s="13"/>
    </row>
    <row r="4651" ht="22.5" customHeight="1">
      <c r="B4651" s="17"/>
      <c r="C4651" s="17"/>
      <c r="D4651" s="13"/>
      <c r="E4651" s="11"/>
      <c r="F4651" s="11"/>
      <c r="G4651" s="13">
        <f t="shared" si="1"/>
        <v>1281</v>
      </c>
      <c r="H4651" s="13"/>
    </row>
    <row r="4652" ht="22.5" customHeight="1">
      <c r="B4652" s="17"/>
      <c r="C4652" s="17"/>
      <c r="D4652" s="13"/>
      <c r="E4652" s="11"/>
      <c r="F4652" s="11"/>
      <c r="G4652" s="13">
        <f t="shared" si="1"/>
        <v>1281</v>
      </c>
      <c r="H4652" s="13"/>
    </row>
    <row r="4653" ht="22.5" customHeight="1">
      <c r="B4653" s="17"/>
      <c r="C4653" s="17"/>
      <c r="D4653" s="13"/>
      <c r="E4653" s="11"/>
      <c r="F4653" s="11"/>
      <c r="G4653" s="13">
        <f t="shared" si="1"/>
        <v>1281</v>
      </c>
      <c r="H4653" s="13"/>
    </row>
    <row r="4654" ht="22.5" customHeight="1">
      <c r="B4654" s="17"/>
      <c r="C4654" s="17"/>
      <c r="D4654" s="13"/>
      <c r="E4654" s="11"/>
      <c r="F4654" s="11"/>
      <c r="G4654" s="13">
        <f t="shared" si="1"/>
        <v>1281</v>
      </c>
      <c r="H4654" s="13"/>
    </row>
    <row r="4655" ht="22.5" customHeight="1">
      <c r="B4655" s="17"/>
      <c r="C4655" s="17"/>
      <c r="D4655" s="13"/>
      <c r="E4655" s="11"/>
      <c r="F4655" s="11"/>
      <c r="G4655" s="13">
        <f t="shared" si="1"/>
        <v>1281</v>
      </c>
      <c r="H4655" s="13"/>
    </row>
    <row r="4656" ht="22.5" customHeight="1">
      <c r="B4656" s="17"/>
      <c r="C4656" s="17"/>
      <c r="D4656" s="13"/>
      <c r="E4656" s="11"/>
      <c r="F4656" s="11"/>
      <c r="G4656" s="13">
        <f t="shared" si="1"/>
        <v>1281</v>
      </c>
      <c r="H4656" s="13"/>
    </row>
    <row r="4657" ht="22.5" customHeight="1">
      <c r="B4657" s="17"/>
      <c r="C4657" s="17"/>
      <c r="D4657" s="13"/>
      <c r="E4657" s="11"/>
      <c r="F4657" s="11"/>
      <c r="G4657" s="13">
        <f t="shared" si="1"/>
        <v>1281</v>
      </c>
      <c r="H4657" s="13"/>
    </row>
    <row r="4658" ht="22.5" customHeight="1">
      <c r="B4658" s="17"/>
      <c r="C4658" s="17"/>
      <c r="D4658" s="13"/>
      <c r="E4658" s="11"/>
      <c r="F4658" s="11"/>
      <c r="G4658" s="13">
        <f t="shared" si="1"/>
        <v>1281</v>
      </c>
      <c r="H4658" s="13"/>
    </row>
    <row r="4659" ht="22.5" customHeight="1">
      <c r="B4659" s="17"/>
      <c r="C4659" s="17"/>
      <c r="D4659" s="13"/>
      <c r="E4659" s="11"/>
      <c r="F4659" s="11"/>
      <c r="G4659" s="13">
        <f t="shared" si="1"/>
        <v>1281</v>
      </c>
      <c r="H4659" s="13"/>
    </row>
    <row r="4660" ht="22.5" customHeight="1">
      <c r="B4660" s="17"/>
      <c r="C4660" s="17"/>
      <c r="D4660" s="13"/>
      <c r="E4660" s="11"/>
      <c r="F4660" s="11"/>
      <c r="G4660" s="13">
        <f t="shared" si="1"/>
        <v>1281</v>
      </c>
      <c r="H4660" s="13"/>
    </row>
    <row r="4661" ht="22.5" customHeight="1">
      <c r="B4661" s="17"/>
      <c r="C4661" s="17"/>
      <c r="D4661" s="13"/>
      <c r="E4661" s="11"/>
      <c r="F4661" s="11"/>
      <c r="G4661" s="13">
        <f t="shared" si="1"/>
        <v>1281</v>
      </c>
      <c r="H4661" s="13"/>
    </row>
    <row r="4662" ht="22.5" customHeight="1">
      <c r="B4662" s="17"/>
      <c r="C4662" s="17"/>
      <c r="D4662" s="13"/>
      <c r="E4662" s="11"/>
      <c r="F4662" s="11"/>
      <c r="G4662" s="13">
        <f t="shared" si="1"/>
        <v>1281</v>
      </c>
      <c r="H4662" s="13"/>
    </row>
    <row r="4663" ht="22.5" customHeight="1">
      <c r="B4663" s="17"/>
      <c r="C4663" s="17"/>
      <c r="D4663" s="13"/>
      <c r="E4663" s="11"/>
      <c r="F4663" s="11"/>
      <c r="G4663" s="13">
        <f t="shared" si="1"/>
        <v>1281</v>
      </c>
      <c r="H4663" s="13"/>
    </row>
    <row r="4664" ht="22.5" customHeight="1">
      <c r="B4664" s="17"/>
      <c r="C4664" s="17"/>
      <c r="D4664" s="13"/>
      <c r="E4664" s="11"/>
      <c r="F4664" s="11"/>
      <c r="G4664" s="13">
        <f t="shared" si="1"/>
        <v>1281</v>
      </c>
      <c r="H4664" s="13"/>
    </row>
    <row r="4665" ht="22.5" customHeight="1">
      <c r="B4665" s="17"/>
      <c r="C4665" s="17"/>
      <c r="D4665" s="13"/>
      <c r="E4665" s="11"/>
      <c r="F4665" s="11"/>
      <c r="G4665" s="13">
        <f t="shared" si="1"/>
        <v>1281</v>
      </c>
      <c r="H4665" s="13"/>
    </row>
    <row r="4666" ht="22.5" customHeight="1">
      <c r="B4666" s="17"/>
      <c r="C4666" s="17"/>
      <c r="D4666" s="13"/>
      <c r="E4666" s="11"/>
      <c r="F4666" s="11"/>
      <c r="G4666" s="13">
        <f t="shared" si="1"/>
        <v>1281</v>
      </c>
      <c r="H4666" s="13"/>
    </row>
    <row r="4667" ht="22.5" customHeight="1">
      <c r="B4667" s="17"/>
      <c r="C4667" s="17"/>
      <c r="D4667" s="13"/>
      <c r="E4667" s="11"/>
      <c r="F4667" s="11"/>
      <c r="G4667" s="13">
        <f t="shared" si="1"/>
        <v>1281</v>
      </c>
      <c r="H4667" s="13"/>
    </row>
    <row r="4668" ht="22.5" customHeight="1">
      <c r="B4668" s="17"/>
      <c r="C4668" s="17"/>
      <c r="D4668" s="13"/>
      <c r="E4668" s="11"/>
      <c r="F4668" s="11"/>
      <c r="G4668" s="13">
        <f t="shared" si="1"/>
        <v>1281</v>
      </c>
      <c r="H4668" s="13"/>
    </row>
    <row r="4669" ht="22.5" customHeight="1">
      <c r="B4669" s="17"/>
      <c r="C4669" s="17"/>
      <c r="D4669" s="13"/>
      <c r="E4669" s="11"/>
      <c r="F4669" s="11"/>
      <c r="G4669" s="13">
        <f t="shared" si="1"/>
        <v>1281</v>
      </c>
      <c r="H4669" s="13"/>
    </row>
    <row r="4670" ht="22.5" customHeight="1">
      <c r="B4670" s="17"/>
      <c r="C4670" s="17"/>
      <c r="D4670" s="13"/>
      <c r="E4670" s="11"/>
      <c r="F4670" s="11"/>
      <c r="G4670" s="13">
        <f t="shared" si="1"/>
        <v>1281</v>
      </c>
      <c r="H4670" s="13"/>
    </row>
    <row r="4671" ht="22.5" customHeight="1">
      <c r="B4671" s="17"/>
      <c r="C4671" s="17"/>
      <c r="D4671" s="13"/>
      <c r="E4671" s="11"/>
      <c r="F4671" s="11"/>
      <c r="G4671" s="13">
        <f t="shared" si="1"/>
        <v>1281</v>
      </c>
      <c r="H4671" s="13"/>
    </row>
    <row r="4672" ht="22.5" customHeight="1">
      <c r="B4672" s="17"/>
      <c r="C4672" s="17"/>
      <c r="D4672" s="13"/>
      <c r="E4672" s="11"/>
      <c r="F4672" s="11"/>
      <c r="G4672" s="13">
        <f t="shared" si="1"/>
        <v>1281</v>
      </c>
      <c r="H4672" s="13"/>
    </row>
    <row r="4673" ht="22.5" customHeight="1">
      <c r="B4673" s="17"/>
      <c r="C4673" s="17"/>
      <c r="D4673" s="13"/>
      <c r="E4673" s="11"/>
      <c r="F4673" s="11"/>
      <c r="G4673" s="13">
        <f t="shared" si="1"/>
        <v>1281</v>
      </c>
      <c r="H4673" s="13"/>
    </row>
    <row r="4674" ht="22.5" customHeight="1">
      <c r="B4674" s="17"/>
      <c r="C4674" s="17"/>
      <c r="D4674" s="13"/>
      <c r="E4674" s="11"/>
      <c r="F4674" s="11"/>
      <c r="G4674" s="13">
        <f t="shared" si="1"/>
        <v>1281</v>
      </c>
      <c r="H4674" s="13"/>
    </row>
    <row r="4675" ht="22.5" customHeight="1">
      <c r="B4675" s="17"/>
      <c r="C4675" s="17"/>
      <c r="D4675" s="13"/>
      <c r="E4675" s="11"/>
      <c r="F4675" s="11"/>
      <c r="G4675" s="13">
        <f t="shared" si="1"/>
        <v>1281</v>
      </c>
      <c r="H4675" s="13"/>
    </row>
    <row r="4676" ht="22.5" customHeight="1">
      <c r="B4676" s="17"/>
      <c r="C4676" s="17"/>
      <c r="D4676" s="13"/>
      <c r="E4676" s="11"/>
      <c r="F4676" s="11"/>
      <c r="G4676" s="13">
        <f t="shared" si="1"/>
        <v>1281</v>
      </c>
      <c r="H4676" s="13"/>
    </row>
    <row r="4677" ht="22.5" customHeight="1">
      <c r="B4677" s="17"/>
      <c r="C4677" s="17"/>
      <c r="D4677" s="13"/>
      <c r="E4677" s="11"/>
      <c r="F4677" s="11"/>
      <c r="G4677" s="13">
        <f t="shared" si="1"/>
        <v>1281</v>
      </c>
      <c r="H4677" s="13"/>
    </row>
    <row r="4678" ht="22.5" customHeight="1">
      <c r="B4678" s="17"/>
      <c r="C4678" s="17"/>
      <c r="D4678" s="13"/>
      <c r="E4678" s="11"/>
      <c r="F4678" s="11"/>
      <c r="G4678" s="13">
        <f t="shared" si="1"/>
        <v>1281</v>
      </c>
      <c r="H4678" s="13"/>
    </row>
    <row r="4679" ht="22.5" customHeight="1">
      <c r="B4679" s="17"/>
      <c r="C4679" s="17"/>
      <c r="D4679" s="13"/>
      <c r="E4679" s="11"/>
      <c r="F4679" s="11"/>
      <c r="G4679" s="13">
        <f t="shared" si="1"/>
        <v>1281</v>
      </c>
      <c r="H4679" s="13"/>
    </row>
    <row r="4680" ht="22.5" customHeight="1">
      <c r="B4680" s="17"/>
      <c r="C4680" s="17"/>
      <c r="D4680" s="13"/>
      <c r="E4680" s="11"/>
      <c r="F4680" s="11"/>
      <c r="G4680" s="13">
        <f t="shared" si="1"/>
        <v>1281</v>
      </c>
      <c r="H4680" s="13"/>
    </row>
    <row r="4681" ht="22.5" customHeight="1">
      <c r="B4681" s="17"/>
      <c r="C4681" s="17"/>
      <c r="D4681" s="13"/>
      <c r="E4681" s="11"/>
      <c r="F4681" s="11"/>
      <c r="G4681" s="13">
        <f t="shared" si="1"/>
        <v>1281</v>
      </c>
      <c r="H4681" s="13"/>
    </row>
    <row r="4682" ht="22.5" customHeight="1">
      <c r="B4682" s="17"/>
      <c r="C4682" s="17"/>
      <c r="D4682" s="13"/>
      <c r="E4682" s="11"/>
      <c r="F4682" s="11"/>
      <c r="G4682" s="13">
        <f t="shared" si="1"/>
        <v>1281</v>
      </c>
      <c r="H4682" s="13"/>
    </row>
    <row r="4683" ht="22.5" customHeight="1">
      <c r="B4683" s="17"/>
      <c r="C4683" s="17"/>
      <c r="D4683" s="13"/>
      <c r="E4683" s="11"/>
      <c r="F4683" s="11"/>
      <c r="G4683" s="13">
        <f t="shared" si="1"/>
        <v>1281</v>
      </c>
      <c r="H4683" s="13"/>
    </row>
    <row r="4684" ht="22.5" customHeight="1">
      <c r="B4684" s="17"/>
      <c r="C4684" s="17"/>
      <c r="D4684" s="13"/>
      <c r="E4684" s="11"/>
      <c r="F4684" s="11"/>
      <c r="G4684" s="13">
        <f t="shared" si="1"/>
        <v>1281</v>
      </c>
      <c r="H4684" s="13"/>
    </row>
    <row r="4685" ht="22.5" customHeight="1">
      <c r="B4685" s="17"/>
      <c r="C4685" s="17"/>
      <c r="D4685" s="13"/>
      <c r="E4685" s="11"/>
      <c r="F4685" s="11"/>
      <c r="G4685" s="13">
        <f t="shared" si="1"/>
        <v>1281</v>
      </c>
      <c r="H4685" s="13"/>
    </row>
    <row r="4686" ht="22.5" customHeight="1">
      <c r="B4686" s="17"/>
      <c r="C4686" s="17"/>
      <c r="D4686" s="13"/>
      <c r="E4686" s="11"/>
      <c r="F4686" s="11"/>
      <c r="G4686" s="13">
        <f t="shared" si="1"/>
        <v>1281</v>
      </c>
      <c r="H4686" s="13"/>
    </row>
    <row r="4687" ht="22.5" customHeight="1">
      <c r="B4687" s="17"/>
      <c r="C4687" s="17"/>
      <c r="D4687" s="13"/>
      <c r="E4687" s="11"/>
      <c r="F4687" s="11"/>
      <c r="G4687" s="13">
        <f t="shared" si="1"/>
        <v>1281</v>
      </c>
      <c r="H4687" s="13"/>
    </row>
    <row r="4688" ht="22.5" customHeight="1">
      <c r="B4688" s="17"/>
      <c r="C4688" s="17"/>
      <c r="D4688" s="13"/>
      <c r="E4688" s="11"/>
      <c r="F4688" s="11"/>
      <c r="G4688" s="13">
        <f t="shared" si="1"/>
        <v>1281</v>
      </c>
      <c r="H4688" s="13"/>
    </row>
    <row r="4689" ht="22.5" customHeight="1">
      <c r="B4689" s="17"/>
      <c r="C4689" s="17"/>
      <c r="D4689" s="13"/>
      <c r="E4689" s="11"/>
      <c r="F4689" s="11"/>
      <c r="G4689" s="13">
        <f t="shared" si="1"/>
        <v>1281</v>
      </c>
      <c r="H4689" s="13"/>
    </row>
    <row r="4690" ht="22.5" customHeight="1">
      <c r="B4690" s="17"/>
      <c r="C4690" s="17"/>
      <c r="D4690" s="13"/>
      <c r="E4690" s="11"/>
      <c r="F4690" s="11"/>
      <c r="G4690" s="13">
        <f t="shared" si="1"/>
        <v>1281</v>
      </c>
      <c r="H4690" s="13"/>
    </row>
    <row r="4691" ht="22.5" customHeight="1">
      <c r="B4691" s="17"/>
      <c r="C4691" s="17"/>
      <c r="D4691" s="13"/>
      <c r="E4691" s="11"/>
      <c r="F4691" s="11"/>
      <c r="G4691" s="13">
        <f t="shared" si="1"/>
        <v>1281</v>
      </c>
      <c r="H4691" s="13"/>
    </row>
    <row r="4692" ht="22.5" customHeight="1">
      <c r="B4692" s="17"/>
      <c r="C4692" s="17"/>
      <c r="D4692" s="13"/>
      <c r="E4692" s="11"/>
      <c r="F4692" s="11"/>
      <c r="G4692" s="13">
        <f t="shared" si="1"/>
        <v>1281</v>
      </c>
      <c r="H4692" s="13"/>
    </row>
    <row r="4693" ht="22.5" customHeight="1">
      <c r="B4693" s="17"/>
      <c r="C4693" s="17"/>
      <c r="D4693" s="13"/>
      <c r="E4693" s="11"/>
      <c r="F4693" s="11"/>
      <c r="G4693" s="13">
        <f t="shared" si="1"/>
        <v>1281</v>
      </c>
      <c r="H4693" s="13"/>
    </row>
    <row r="4694" ht="22.5" customHeight="1">
      <c r="B4694" s="17"/>
      <c r="C4694" s="17"/>
      <c r="D4694" s="13"/>
      <c r="E4694" s="11"/>
      <c r="F4694" s="11"/>
      <c r="G4694" s="13">
        <f t="shared" si="1"/>
        <v>1281</v>
      </c>
      <c r="H4694" s="13"/>
    </row>
    <row r="4695" ht="22.5" customHeight="1">
      <c r="B4695" s="17"/>
      <c r="C4695" s="17"/>
      <c r="D4695" s="13"/>
      <c r="E4695" s="11"/>
      <c r="F4695" s="11"/>
      <c r="G4695" s="13">
        <f t="shared" si="1"/>
        <v>1281</v>
      </c>
      <c r="H4695" s="13"/>
    </row>
    <row r="4696" ht="22.5" customHeight="1">
      <c r="B4696" s="17"/>
      <c r="C4696" s="17"/>
      <c r="D4696" s="13"/>
      <c r="E4696" s="11"/>
      <c r="F4696" s="11"/>
      <c r="G4696" s="13">
        <f t="shared" si="1"/>
        <v>1281</v>
      </c>
      <c r="H4696" s="13"/>
    </row>
    <row r="4697" ht="22.5" customHeight="1">
      <c r="B4697" s="17"/>
      <c r="C4697" s="17"/>
      <c r="D4697" s="13"/>
      <c r="E4697" s="11"/>
      <c r="F4697" s="11"/>
      <c r="G4697" s="13">
        <f t="shared" si="1"/>
        <v>1281</v>
      </c>
      <c r="H4697" s="13"/>
    </row>
    <row r="4698" ht="22.5" customHeight="1">
      <c r="B4698" s="17"/>
      <c r="C4698" s="17"/>
      <c r="D4698" s="13"/>
      <c r="E4698" s="11"/>
      <c r="F4698" s="11"/>
      <c r="G4698" s="13">
        <f t="shared" si="1"/>
        <v>1281</v>
      </c>
      <c r="H4698" s="13"/>
    </row>
    <row r="4699" ht="22.5" customHeight="1">
      <c r="B4699" s="17"/>
      <c r="C4699" s="17"/>
      <c r="D4699" s="13"/>
      <c r="E4699" s="11"/>
      <c r="F4699" s="11"/>
      <c r="G4699" s="13">
        <f t="shared" si="1"/>
        <v>1281</v>
      </c>
      <c r="H4699" s="13"/>
    </row>
    <row r="4700" ht="22.5" customHeight="1">
      <c r="B4700" s="17"/>
      <c r="C4700" s="17"/>
      <c r="D4700" s="13"/>
      <c r="E4700" s="11"/>
      <c r="F4700" s="11"/>
      <c r="G4700" s="13">
        <f t="shared" si="1"/>
        <v>1281</v>
      </c>
      <c r="H4700" s="13"/>
    </row>
    <row r="4701" ht="22.5" customHeight="1">
      <c r="B4701" s="17"/>
      <c r="C4701" s="17"/>
      <c r="D4701" s="13"/>
      <c r="E4701" s="11"/>
      <c r="F4701" s="11"/>
      <c r="G4701" s="13">
        <f t="shared" si="1"/>
        <v>1281</v>
      </c>
      <c r="H4701" s="13"/>
    </row>
    <row r="4702" ht="22.5" customHeight="1">
      <c r="B4702" s="17"/>
      <c r="C4702" s="17"/>
      <c r="D4702" s="13"/>
      <c r="E4702" s="11"/>
      <c r="F4702" s="11"/>
      <c r="G4702" s="13">
        <f t="shared" si="1"/>
        <v>1281</v>
      </c>
      <c r="H4702" s="13"/>
    </row>
    <row r="4703" ht="22.5" customHeight="1">
      <c r="B4703" s="17"/>
      <c r="C4703" s="17"/>
      <c r="D4703" s="13"/>
      <c r="E4703" s="11"/>
      <c r="F4703" s="11"/>
      <c r="G4703" s="13">
        <f t="shared" si="1"/>
        <v>1281</v>
      </c>
      <c r="H4703" s="13"/>
    </row>
    <row r="4704" ht="22.5" customHeight="1">
      <c r="B4704" s="17"/>
      <c r="C4704" s="17"/>
      <c r="D4704" s="13"/>
      <c r="E4704" s="11"/>
      <c r="F4704" s="11"/>
      <c r="G4704" s="13">
        <f t="shared" si="1"/>
        <v>1281</v>
      </c>
      <c r="H4704" s="13"/>
    </row>
    <row r="4705" ht="22.5" customHeight="1">
      <c r="B4705" s="17"/>
      <c r="C4705" s="17"/>
      <c r="D4705" s="13"/>
      <c r="E4705" s="11"/>
      <c r="F4705" s="11"/>
      <c r="G4705" s="13">
        <f t="shared" si="1"/>
        <v>1281</v>
      </c>
      <c r="H4705" s="13"/>
    </row>
    <row r="4706" ht="22.5" customHeight="1">
      <c r="B4706" s="17"/>
      <c r="C4706" s="17"/>
      <c r="D4706" s="13"/>
      <c r="E4706" s="11"/>
      <c r="F4706" s="11"/>
      <c r="G4706" s="13">
        <f t="shared" si="1"/>
        <v>1281</v>
      </c>
      <c r="H4706" s="13"/>
    </row>
    <row r="4707" ht="22.5" customHeight="1">
      <c r="B4707" s="17"/>
      <c r="C4707" s="17"/>
      <c r="D4707" s="13"/>
      <c r="E4707" s="11"/>
      <c r="F4707" s="11"/>
      <c r="G4707" s="13">
        <f t="shared" si="1"/>
        <v>1281</v>
      </c>
      <c r="H4707" s="13"/>
    </row>
    <row r="4708" ht="22.5" customHeight="1">
      <c r="B4708" s="17"/>
      <c r="C4708" s="17"/>
      <c r="D4708" s="13"/>
      <c r="E4708" s="11"/>
      <c r="F4708" s="11"/>
      <c r="G4708" s="13">
        <f t="shared" si="1"/>
        <v>1281</v>
      </c>
      <c r="H4708" s="13"/>
    </row>
    <row r="4709" ht="22.5" customHeight="1">
      <c r="B4709" s="17"/>
      <c r="C4709" s="17"/>
      <c r="D4709" s="13"/>
      <c r="E4709" s="11"/>
      <c r="F4709" s="11"/>
      <c r="G4709" s="13">
        <f t="shared" si="1"/>
        <v>1281</v>
      </c>
      <c r="H4709" s="13"/>
    </row>
    <row r="4710" ht="22.5" customHeight="1">
      <c r="B4710" s="17"/>
      <c r="C4710" s="17"/>
      <c r="D4710" s="13"/>
      <c r="E4710" s="11"/>
      <c r="F4710" s="11"/>
      <c r="G4710" s="13">
        <f t="shared" si="1"/>
        <v>1281</v>
      </c>
      <c r="H4710" s="13"/>
    </row>
    <row r="4711" ht="22.5" customHeight="1">
      <c r="B4711" s="17"/>
      <c r="C4711" s="17"/>
      <c r="D4711" s="13"/>
      <c r="E4711" s="11"/>
      <c r="F4711" s="11"/>
      <c r="G4711" s="13">
        <f t="shared" si="1"/>
        <v>1281</v>
      </c>
      <c r="H4711" s="13"/>
    </row>
    <row r="4712" ht="22.5" customHeight="1">
      <c r="B4712" s="17"/>
      <c r="C4712" s="17"/>
      <c r="D4712" s="13"/>
      <c r="E4712" s="11"/>
      <c r="F4712" s="11"/>
      <c r="G4712" s="13">
        <f t="shared" si="1"/>
        <v>1281</v>
      </c>
      <c r="H4712" s="13"/>
    </row>
    <row r="4713" ht="22.5" customHeight="1">
      <c r="B4713" s="17"/>
      <c r="C4713" s="17"/>
      <c r="D4713" s="13"/>
      <c r="E4713" s="11"/>
      <c r="F4713" s="11"/>
      <c r="G4713" s="13">
        <f t="shared" si="1"/>
        <v>1281</v>
      </c>
      <c r="H4713" s="13"/>
    </row>
    <row r="4714" ht="22.5" customHeight="1">
      <c r="B4714" s="17"/>
      <c r="C4714" s="17"/>
      <c r="D4714" s="13"/>
      <c r="E4714" s="11"/>
      <c r="F4714" s="11"/>
      <c r="G4714" s="13">
        <f t="shared" si="1"/>
        <v>1281</v>
      </c>
      <c r="H4714" s="13"/>
    </row>
    <row r="4715" ht="22.5" customHeight="1">
      <c r="B4715" s="17"/>
      <c r="C4715" s="17"/>
      <c r="D4715" s="13"/>
      <c r="E4715" s="11"/>
      <c r="F4715" s="11"/>
      <c r="G4715" s="13">
        <f t="shared" si="1"/>
        <v>1281</v>
      </c>
      <c r="H4715" s="13"/>
    </row>
    <row r="4716" ht="22.5" customHeight="1">
      <c r="B4716" s="17"/>
      <c r="C4716" s="17"/>
      <c r="D4716" s="13"/>
      <c r="E4716" s="11"/>
      <c r="F4716" s="11"/>
      <c r="G4716" s="13">
        <f t="shared" si="1"/>
        <v>1281</v>
      </c>
      <c r="H4716" s="13"/>
    </row>
    <row r="4717" ht="22.5" customHeight="1">
      <c r="B4717" s="17"/>
      <c r="C4717" s="17"/>
      <c r="D4717" s="13"/>
      <c r="E4717" s="11"/>
      <c r="F4717" s="11"/>
      <c r="G4717" s="13">
        <f t="shared" si="1"/>
        <v>1281</v>
      </c>
      <c r="H4717" s="13"/>
    </row>
    <row r="4718" ht="22.5" customHeight="1">
      <c r="B4718" s="17"/>
      <c r="C4718" s="17"/>
      <c r="D4718" s="13"/>
      <c r="E4718" s="11"/>
      <c r="F4718" s="11"/>
      <c r="G4718" s="13">
        <f t="shared" si="1"/>
        <v>1281</v>
      </c>
      <c r="H4718" s="13"/>
    </row>
    <row r="4719" ht="22.5" customHeight="1">
      <c r="B4719" s="17"/>
      <c r="C4719" s="17"/>
      <c r="D4719" s="13"/>
      <c r="E4719" s="11"/>
      <c r="F4719" s="11"/>
      <c r="G4719" s="13">
        <f t="shared" si="1"/>
        <v>1281</v>
      </c>
      <c r="H4719" s="13"/>
    </row>
    <row r="4720" ht="22.5" customHeight="1">
      <c r="B4720" s="17"/>
      <c r="C4720" s="17"/>
      <c r="D4720" s="13"/>
      <c r="E4720" s="11"/>
      <c r="F4720" s="11"/>
      <c r="G4720" s="13">
        <f t="shared" si="1"/>
        <v>1281</v>
      </c>
      <c r="H4720" s="13"/>
    </row>
    <row r="4721" ht="22.5" customHeight="1">
      <c r="B4721" s="17"/>
      <c r="C4721" s="17"/>
      <c r="D4721" s="13"/>
      <c r="E4721" s="11"/>
      <c r="F4721" s="11"/>
      <c r="G4721" s="13">
        <f t="shared" si="1"/>
        <v>1281</v>
      </c>
      <c r="H4721" s="13"/>
    </row>
    <row r="4722" ht="22.5" customHeight="1">
      <c r="B4722" s="17"/>
      <c r="C4722" s="17"/>
      <c r="D4722" s="13"/>
      <c r="E4722" s="11"/>
      <c r="F4722" s="11"/>
      <c r="G4722" s="13">
        <f t="shared" si="1"/>
        <v>1281</v>
      </c>
      <c r="H4722" s="13"/>
    </row>
    <row r="4723" ht="22.5" customHeight="1">
      <c r="B4723" s="17"/>
      <c r="C4723" s="17"/>
      <c r="D4723" s="13"/>
      <c r="E4723" s="11"/>
      <c r="F4723" s="11"/>
      <c r="G4723" s="13">
        <f t="shared" si="1"/>
        <v>1281</v>
      </c>
      <c r="H4723" s="13"/>
    </row>
    <row r="4724" ht="22.5" customHeight="1">
      <c r="B4724" s="17"/>
      <c r="C4724" s="17"/>
      <c r="D4724" s="13"/>
      <c r="E4724" s="11"/>
      <c r="F4724" s="11"/>
      <c r="G4724" s="13">
        <f t="shared" si="1"/>
        <v>1281</v>
      </c>
      <c r="H4724" s="13"/>
    </row>
    <row r="4725" ht="22.5" customHeight="1">
      <c r="B4725" s="17"/>
      <c r="C4725" s="17"/>
      <c r="D4725" s="13"/>
      <c r="E4725" s="11"/>
      <c r="F4725" s="11"/>
      <c r="G4725" s="13">
        <f t="shared" si="1"/>
        <v>1281</v>
      </c>
      <c r="H4725" s="13"/>
    </row>
    <row r="4726" ht="22.5" customHeight="1">
      <c r="B4726" s="17"/>
      <c r="C4726" s="17"/>
      <c r="D4726" s="13"/>
      <c r="E4726" s="11"/>
      <c r="F4726" s="11"/>
      <c r="G4726" s="13">
        <f t="shared" si="1"/>
        <v>1281</v>
      </c>
      <c r="H4726" s="13"/>
    </row>
    <row r="4727" ht="22.5" customHeight="1">
      <c r="B4727" s="17"/>
      <c r="C4727" s="17"/>
      <c r="D4727" s="13"/>
      <c r="E4727" s="11"/>
      <c r="F4727" s="11"/>
      <c r="G4727" s="13">
        <f t="shared" si="1"/>
        <v>1281</v>
      </c>
      <c r="H4727" s="13"/>
    </row>
    <row r="4728" ht="22.5" customHeight="1">
      <c r="B4728" s="17"/>
      <c r="C4728" s="17"/>
      <c r="D4728" s="13"/>
      <c r="E4728" s="11"/>
      <c r="F4728" s="11"/>
      <c r="G4728" s="13">
        <f t="shared" si="1"/>
        <v>1281</v>
      </c>
      <c r="H4728" s="13"/>
    </row>
    <row r="4729" ht="22.5" customHeight="1">
      <c r="B4729" s="17"/>
      <c r="C4729" s="17"/>
      <c r="D4729" s="13"/>
      <c r="E4729" s="11"/>
      <c r="F4729" s="11"/>
      <c r="G4729" s="13">
        <f t="shared" si="1"/>
        <v>1281</v>
      </c>
      <c r="H4729" s="13"/>
    </row>
    <row r="4730" ht="22.5" customHeight="1">
      <c r="B4730" s="17"/>
      <c r="C4730" s="17"/>
      <c r="D4730" s="13"/>
      <c r="E4730" s="11"/>
      <c r="F4730" s="11"/>
      <c r="G4730" s="13">
        <f t="shared" si="1"/>
        <v>1281</v>
      </c>
      <c r="H4730" s="13"/>
    </row>
    <row r="4731" ht="22.5" customHeight="1">
      <c r="B4731" s="17"/>
      <c r="C4731" s="17"/>
      <c r="D4731" s="13"/>
      <c r="E4731" s="11"/>
      <c r="F4731" s="11"/>
      <c r="G4731" s="13">
        <f t="shared" si="1"/>
        <v>1281</v>
      </c>
      <c r="H4731" s="13"/>
    </row>
    <row r="4732" ht="22.5" customHeight="1">
      <c r="B4732" s="17"/>
      <c r="C4732" s="17"/>
      <c r="D4732" s="13"/>
      <c r="E4732" s="11"/>
      <c r="F4732" s="11"/>
      <c r="G4732" s="13">
        <f t="shared" si="1"/>
        <v>1281</v>
      </c>
      <c r="H4732" s="13"/>
    </row>
    <row r="4733" ht="22.5" customHeight="1">
      <c r="B4733" s="17"/>
      <c r="C4733" s="17"/>
      <c r="D4733" s="13"/>
      <c r="E4733" s="11"/>
      <c r="F4733" s="11"/>
      <c r="G4733" s="13">
        <f t="shared" si="1"/>
        <v>1281</v>
      </c>
      <c r="H4733" s="13"/>
    </row>
    <row r="4734" ht="22.5" customHeight="1">
      <c r="B4734" s="17"/>
      <c r="C4734" s="17"/>
      <c r="D4734" s="13"/>
      <c r="E4734" s="11"/>
      <c r="F4734" s="11"/>
      <c r="G4734" s="13">
        <f t="shared" si="1"/>
        <v>1281</v>
      </c>
      <c r="H4734" s="13"/>
    </row>
    <row r="4735" ht="22.5" customHeight="1">
      <c r="B4735" s="17"/>
      <c r="C4735" s="17"/>
      <c r="D4735" s="13"/>
      <c r="E4735" s="11"/>
      <c r="F4735" s="11"/>
      <c r="G4735" s="13">
        <f t="shared" si="1"/>
        <v>1281</v>
      </c>
      <c r="H4735" s="13"/>
    </row>
    <row r="4736" ht="22.5" customHeight="1">
      <c r="B4736" s="17"/>
      <c r="C4736" s="17"/>
      <c r="D4736" s="13"/>
      <c r="E4736" s="11"/>
      <c r="F4736" s="11"/>
      <c r="G4736" s="13">
        <f t="shared" si="1"/>
        <v>1281</v>
      </c>
      <c r="H4736" s="13"/>
    </row>
    <row r="4737" ht="22.5" customHeight="1">
      <c r="B4737" s="17"/>
      <c r="C4737" s="17"/>
      <c r="D4737" s="13"/>
      <c r="E4737" s="11"/>
      <c r="F4737" s="11"/>
      <c r="G4737" s="13">
        <f t="shared" si="1"/>
        <v>1281</v>
      </c>
      <c r="H4737" s="13"/>
    </row>
    <row r="4738" ht="22.5" customHeight="1">
      <c r="B4738" s="17"/>
      <c r="C4738" s="17"/>
      <c r="D4738" s="13"/>
      <c r="E4738" s="11"/>
      <c r="F4738" s="11"/>
      <c r="G4738" s="13">
        <f t="shared" si="1"/>
        <v>1281</v>
      </c>
      <c r="H4738" s="13"/>
    </row>
    <row r="4739" ht="22.5" customHeight="1">
      <c r="B4739" s="17"/>
      <c r="C4739" s="17"/>
      <c r="D4739" s="13"/>
      <c r="E4739" s="11"/>
      <c r="F4739" s="11"/>
      <c r="G4739" s="13">
        <f t="shared" si="1"/>
        <v>1281</v>
      </c>
      <c r="H4739" s="13"/>
    </row>
    <row r="4740" ht="22.5" customHeight="1">
      <c r="B4740" s="17"/>
      <c r="C4740" s="17"/>
      <c r="D4740" s="13"/>
      <c r="E4740" s="11"/>
      <c r="F4740" s="11"/>
      <c r="G4740" s="13">
        <f t="shared" si="1"/>
        <v>1281</v>
      </c>
      <c r="H4740" s="13"/>
    </row>
    <row r="4741" ht="22.5" customHeight="1">
      <c r="B4741" s="17"/>
      <c r="C4741" s="17"/>
      <c r="D4741" s="13"/>
      <c r="E4741" s="11"/>
      <c r="F4741" s="11"/>
      <c r="G4741" s="13">
        <f t="shared" si="1"/>
        <v>1281</v>
      </c>
      <c r="H4741" s="13"/>
    </row>
    <row r="4742" ht="22.5" customHeight="1">
      <c r="B4742" s="17"/>
      <c r="C4742" s="17"/>
      <c r="D4742" s="13"/>
      <c r="E4742" s="11"/>
      <c r="F4742" s="11"/>
      <c r="G4742" s="13">
        <f t="shared" si="1"/>
        <v>1281</v>
      </c>
      <c r="H4742" s="13"/>
    </row>
    <row r="4743" ht="22.5" customHeight="1">
      <c r="B4743" s="17"/>
      <c r="C4743" s="17"/>
      <c r="D4743" s="13"/>
      <c r="E4743" s="11"/>
      <c r="F4743" s="11"/>
      <c r="G4743" s="13">
        <f t="shared" si="1"/>
        <v>1281</v>
      </c>
      <c r="H4743" s="13"/>
    </row>
    <row r="4744" ht="22.5" customHeight="1">
      <c r="B4744" s="17"/>
      <c r="C4744" s="17"/>
      <c r="D4744" s="13"/>
      <c r="E4744" s="11"/>
      <c r="F4744" s="11"/>
      <c r="G4744" s="13">
        <f t="shared" si="1"/>
        <v>1281</v>
      </c>
      <c r="H4744" s="13"/>
    </row>
    <row r="4745" ht="22.5" customHeight="1">
      <c r="B4745" s="17"/>
      <c r="C4745" s="17"/>
      <c r="D4745" s="13"/>
      <c r="E4745" s="11"/>
      <c r="F4745" s="11"/>
      <c r="G4745" s="13">
        <f t="shared" si="1"/>
        <v>1281</v>
      </c>
      <c r="H4745" s="13"/>
    </row>
    <row r="4746" ht="22.5" customHeight="1">
      <c r="B4746" s="17"/>
      <c r="C4746" s="17"/>
      <c r="D4746" s="13"/>
      <c r="E4746" s="11"/>
      <c r="F4746" s="11"/>
      <c r="G4746" s="13">
        <f t="shared" si="1"/>
        <v>1281</v>
      </c>
      <c r="H4746" s="13"/>
    </row>
    <row r="4747" ht="22.5" customHeight="1">
      <c r="B4747" s="17"/>
      <c r="C4747" s="17"/>
      <c r="D4747" s="13"/>
      <c r="E4747" s="11"/>
      <c r="F4747" s="11"/>
      <c r="G4747" s="13">
        <f t="shared" si="1"/>
        <v>1281</v>
      </c>
      <c r="H4747" s="13"/>
    </row>
    <row r="4748" ht="22.5" customHeight="1">
      <c r="B4748" s="17"/>
      <c r="C4748" s="17"/>
      <c r="D4748" s="13"/>
      <c r="E4748" s="11"/>
      <c r="F4748" s="11"/>
      <c r="G4748" s="13">
        <f t="shared" si="1"/>
        <v>1281</v>
      </c>
      <c r="H4748" s="13"/>
    </row>
    <row r="4749" ht="22.5" customHeight="1">
      <c r="B4749" s="17"/>
      <c r="C4749" s="17"/>
      <c r="D4749" s="13"/>
      <c r="E4749" s="11"/>
      <c r="F4749" s="11"/>
      <c r="G4749" s="13">
        <f t="shared" si="1"/>
        <v>1281</v>
      </c>
      <c r="H4749" s="13"/>
    </row>
    <row r="4750" ht="22.5" customHeight="1">
      <c r="B4750" s="17"/>
      <c r="C4750" s="17"/>
      <c r="D4750" s="13"/>
      <c r="E4750" s="11"/>
      <c r="F4750" s="11"/>
      <c r="G4750" s="13">
        <f t="shared" si="1"/>
        <v>1281</v>
      </c>
      <c r="H4750" s="13"/>
    </row>
    <row r="4751" ht="22.5" customHeight="1">
      <c r="B4751" s="17"/>
      <c r="C4751" s="17"/>
      <c r="D4751" s="13"/>
      <c r="E4751" s="11"/>
      <c r="F4751" s="11"/>
      <c r="G4751" s="13">
        <f t="shared" si="1"/>
        <v>1281</v>
      </c>
      <c r="H4751" s="13"/>
    </row>
    <row r="4752" ht="22.5" customHeight="1">
      <c r="B4752" s="17"/>
      <c r="C4752" s="17"/>
      <c r="D4752" s="13"/>
      <c r="E4752" s="11"/>
      <c r="F4752" s="11"/>
      <c r="G4752" s="13">
        <f t="shared" si="1"/>
        <v>1281</v>
      </c>
      <c r="H4752" s="13"/>
    </row>
    <row r="4753" ht="22.5" customHeight="1">
      <c r="B4753" s="17"/>
      <c r="C4753" s="17"/>
      <c r="D4753" s="13"/>
      <c r="E4753" s="11"/>
      <c r="F4753" s="11"/>
      <c r="G4753" s="13">
        <f t="shared" si="1"/>
        <v>1281</v>
      </c>
      <c r="H4753" s="13"/>
    </row>
    <row r="4754" ht="22.5" customHeight="1">
      <c r="B4754" s="17"/>
      <c r="C4754" s="17"/>
      <c r="D4754" s="13"/>
      <c r="E4754" s="11"/>
      <c r="F4754" s="11"/>
      <c r="G4754" s="13">
        <f t="shared" si="1"/>
        <v>1281</v>
      </c>
      <c r="H4754" s="13"/>
    </row>
    <row r="4755" ht="22.5" customHeight="1">
      <c r="B4755" s="17"/>
      <c r="C4755" s="17"/>
      <c r="D4755" s="13"/>
      <c r="E4755" s="11"/>
      <c r="F4755" s="11"/>
      <c r="G4755" s="13">
        <f t="shared" si="1"/>
        <v>1281</v>
      </c>
      <c r="H4755" s="13"/>
    </row>
    <row r="4756" ht="22.5" customHeight="1">
      <c r="B4756" s="17"/>
      <c r="C4756" s="17"/>
      <c r="D4756" s="13"/>
      <c r="E4756" s="11"/>
      <c r="F4756" s="11"/>
      <c r="G4756" s="13">
        <f t="shared" si="1"/>
        <v>1281</v>
      </c>
      <c r="H4756" s="13"/>
    </row>
    <row r="4757" ht="22.5" customHeight="1">
      <c r="B4757" s="17"/>
      <c r="C4757" s="17"/>
      <c r="D4757" s="13"/>
      <c r="E4757" s="11"/>
      <c r="F4757" s="11"/>
      <c r="G4757" s="13">
        <f t="shared" si="1"/>
        <v>1281</v>
      </c>
      <c r="H4757" s="13"/>
    </row>
    <row r="4758" ht="22.5" customHeight="1">
      <c r="B4758" s="17"/>
      <c r="C4758" s="17"/>
      <c r="D4758" s="13"/>
      <c r="E4758" s="11"/>
      <c r="F4758" s="11"/>
      <c r="G4758" s="13">
        <f t="shared" si="1"/>
        <v>1281</v>
      </c>
      <c r="H4758" s="13"/>
    </row>
    <row r="4759" ht="22.5" customHeight="1">
      <c r="B4759" s="17"/>
      <c r="C4759" s="17"/>
      <c r="D4759" s="13"/>
      <c r="E4759" s="11"/>
      <c r="F4759" s="11"/>
      <c r="G4759" s="13">
        <f t="shared" si="1"/>
        <v>1281</v>
      </c>
      <c r="H4759" s="13"/>
    </row>
    <row r="4760" ht="22.5" customHeight="1">
      <c r="B4760" s="17"/>
      <c r="C4760" s="17"/>
      <c r="D4760" s="13"/>
      <c r="E4760" s="11"/>
      <c r="F4760" s="11"/>
      <c r="G4760" s="13">
        <f t="shared" si="1"/>
        <v>1281</v>
      </c>
      <c r="H4760" s="13"/>
    </row>
    <row r="4761" ht="22.5" customHeight="1">
      <c r="B4761" s="17"/>
      <c r="C4761" s="17"/>
      <c r="D4761" s="13"/>
      <c r="E4761" s="11"/>
      <c r="F4761" s="11"/>
      <c r="G4761" s="13">
        <f t="shared" si="1"/>
        <v>1281</v>
      </c>
      <c r="H4761" s="13"/>
    </row>
    <row r="4762" ht="22.5" customHeight="1">
      <c r="B4762" s="17"/>
      <c r="C4762" s="17"/>
      <c r="D4762" s="13"/>
      <c r="E4762" s="11"/>
      <c r="F4762" s="11"/>
      <c r="G4762" s="13">
        <f t="shared" si="1"/>
        <v>1281</v>
      </c>
      <c r="H4762" s="13"/>
    </row>
    <row r="4763" ht="22.5" customHeight="1">
      <c r="B4763" s="17"/>
      <c r="C4763" s="17"/>
      <c r="D4763" s="13"/>
      <c r="E4763" s="11"/>
      <c r="F4763" s="11"/>
      <c r="G4763" s="13">
        <f t="shared" si="1"/>
        <v>1281</v>
      </c>
      <c r="H4763" s="13"/>
    </row>
    <row r="4764" ht="22.5" customHeight="1">
      <c r="B4764" s="17"/>
      <c r="C4764" s="17"/>
      <c r="D4764" s="13"/>
      <c r="E4764" s="11"/>
      <c r="F4764" s="11"/>
      <c r="G4764" s="13">
        <f t="shared" si="1"/>
        <v>1281</v>
      </c>
      <c r="H4764" s="13"/>
    </row>
    <row r="4765" ht="22.5" customHeight="1">
      <c r="B4765" s="17"/>
      <c r="C4765" s="17"/>
      <c r="D4765" s="13"/>
      <c r="E4765" s="11"/>
      <c r="F4765" s="11"/>
      <c r="G4765" s="13">
        <f t="shared" si="1"/>
        <v>1281</v>
      </c>
      <c r="H4765" s="13"/>
    </row>
    <row r="4766" ht="22.5" customHeight="1">
      <c r="B4766" s="17"/>
      <c r="C4766" s="17"/>
      <c r="D4766" s="13"/>
      <c r="E4766" s="11"/>
      <c r="F4766" s="11"/>
      <c r="G4766" s="13">
        <f t="shared" si="1"/>
        <v>1281</v>
      </c>
      <c r="H4766" s="13"/>
    </row>
    <row r="4767" ht="22.5" customHeight="1">
      <c r="B4767" s="17"/>
      <c r="C4767" s="17"/>
      <c r="D4767" s="13"/>
      <c r="E4767" s="11"/>
      <c r="F4767" s="11"/>
      <c r="G4767" s="13">
        <f t="shared" si="1"/>
        <v>1281</v>
      </c>
      <c r="H4767" s="13"/>
    </row>
    <row r="4768" ht="22.5" customHeight="1">
      <c r="B4768" s="17"/>
      <c r="C4768" s="17"/>
      <c r="D4768" s="13"/>
      <c r="E4768" s="11"/>
      <c r="F4768" s="11"/>
      <c r="G4768" s="13">
        <f t="shared" si="1"/>
        <v>1281</v>
      </c>
      <c r="H4768" s="13"/>
    </row>
    <row r="4769" ht="22.5" customHeight="1">
      <c r="B4769" s="17"/>
      <c r="C4769" s="17"/>
      <c r="D4769" s="13"/>
      <c r="E4769" s="11"/>
      <c r="F4769" s="11"/>
      <c r="G4769" s="13">
        <f t="shared" si="1"/>
        <v>1281</v>
      </c>
      <c r="H4769" s="13"/>
    </row>
    <row r="4770" ht="22.5" customHeight="1">
      <c r="B4770" s="17"/>
      <c r="C4770" s="17"/>
      <c r="D4770" s="13"/>
      <c r="E4770" s="11"/>
      <c r="F4770" s="11"/>
      <c r="G4770" s="13">
        <f t="shared" si="1"/>
        <v>1281</v>
      </c>
      <c r="H4770" s="13"/>
    </row>
    <row r="4771" ht="22.5" customHeight="1">
      <c r="B4771" s="17"/>
      <c r="C4771" s="17"/>
      <c r="D4771" s="13"/>
      <c r="E4771" s="11"/>
      <c r="F4771" s="11"/>
      <c r="G4771" s="13">
        <f t="shared" si="1"/>
        <v>1281</v>
      </c>
      <c r="H4771" s="13"/>
    </row>
    <row r="4772" ht="22.5" customHeight="1">
      <c r="B4772" s="17"/>
      <c r="C4772" s="17"/>
      <c r="D4772" s="13"/>
      <c r="E4772" s="11"/>
      <c r="F4772" s="11"/>
      <c r="G4772" s="13">
        <f t="shared" si="1"/>
        <v>1281</v>
      </c>
      <c r="H4772" s="13"/>
    </row>
    <row r="4773" ht="22.5" customHeight="1">
      <c r="B4773" s="17"/>
      <c r="C4773" s="17"/>
      <c r="D4773" s="13"/>
      <c r="E4773" s="11"/>
      <c r="F4773" s="11"/>
      <c r="G4773" s="13">
        <f t="shared" si="1"/>
        <v>1281</v>
      </c>
      <c r="H4773" s="13"/>
    </row>
    <row r="4774" ht="22.5" customHeight="1">
      <c r="B4774" s="17"/>
      <c r="C4774" s="17"/>
      <c r="D4774" s="13"/>
      <c r="E4774" s="11"/>
      <c r="F4774" s="11"/>
      <c r="G4774" s="13">
        <f t="shared" si="1"/>
        <v>1281</v>
      </c>
      <c r="H4774" s="13"/>
    </row>
    <row r="4775" ht="22.5" customHeight="1">
      <c r="B4775" s="17"/>
      <c r="C4775" s="17"/>
      <c r="D4775" s="13"/>
      <c r="E4775" s="11"/>
      <c r="F4775" s="11"/>
      <c r="G4775" s="13">
        <f t="shared" si="1"/>
        <v>1281</v>
      </c>
      <c r="H4775" s="13"/>
    </row>
    <row r="4776" ht="22.5" customHeight="1">
      <c r="B4776" s="17"/>
      <c r="C4776" s="17"/>
      <c r="D4776" s="13"/>
      <c r="E4776" s="11"/>
      <c r="F4776" s="11"/>
      <c r="G4776" s="13">
        <f t="shared" si="1"/>
        <v>1281</v>
      </c>
      <c r="H4776" s="13"/>
    </row>
    <row r="4777" ht="22.5" customHeight="1">
      <c r="B4777" s="17"/>
      <c r="C4777" s="17"/>
      <c r="D4777" s="13"/>
      <c r="E4777" s="11"/>
      <c r="F4777" s="11"/>
      <c r="G4777" s="13">
        <f t="shared" si="1"/>
        <v>1281</v>
      </c>
      <c r="H4777" s="13"/>
    </row>
    <row r="4778" ht="22.5" customHeight="1">
      <c r="B4778" s="17"/>
      <c r="C4778" s="17"/>
      <c r="D4778" s="13"/>
      <c r="E4778" s="11"/>
      <c r="F4778" s="11"/>
      <c r="G4778" s="13">
        <f t="shared" si="1"/>
        <v>1281</v>
      </c>
      <c r="H4778" s="13"/>
    </row>
    <row r="4779" ht="22.5" customHeight="1">
      <c r="B4779" s="17"/>
      <c r="C4779" s="17"/>
      <c r="D4779" s="13"/>
      <c r="E4779" s="11"/>
      <c r="F4779" s="11"/>
      <c r="G4779" s="13">
        <f t="shared" si="1"/>
        <v>1281</v>
      </c>
      <c r="H4779" s="13"/>
    </row>
    <row r="4780" ht="22.5" customHeight="1">
      <c r="B4780" s="17"/>
      <c r="C4780" s="17"/>
      <c r="D4780" s="13"/>
      <c r="E4780" s="11"/>
      <c r="F4780" s="11"/>
      <c r="G4780" s="13">
        <f t="shared" si="1"/>
        <v>1281</v>
      </c>
      <c r="H4780" s="13"/>
    </row>
    <row r="4781" ht="22.5" customHeight="1">
      <c r="B4781" s="17"/>
      <c r="C4781" s="17"/>
      <c r="D4781" s="13"/>
      <c r="E4781" s="11"/>
      <c r="F4781" s="11"/>
      <c r="G4781" s="13">
        <f t="shared" si="1"/>
        <v>1281</v>
      </c>
      <c r="H4781" s="13"/>
    </row>
    <row r="4782" ht="22.5" customHeight="1">
      <c r="B4782" s="17"/>
      <c r="C4782" s="17"/>
      <c r="D4782" s="13"/>
      <c r="E4782" s="11"/>
      <c r="F4782" s="11"/>
      <c r="G4782" s="13">
        <f t="shared" si="1"/>
        <v>1281</v>
      </c>
      <c r="H4782" s="13"/>
    </row>
    <row r="4783" ht="22.5" customHeight="1">
      <c r="B4783" s="17"/>
      <c r="C4783" s="17"/>
      <c r="D4783" s="13"/>
      <c r="E4783" s="11"/>
      <c r="F4783" s="11"/>
      <c r="G4783" s="13">
        <f t="shared" si="1"/>
        <v>1281</v>
      </c>
      <c r="H4783" s="13"/>
    </row>
    <row r="4784" ht="22.5" customHeight="1">
      <c r="B4784" s="17"/>
      <c r="C4784" s="17"/>
      <c r="D4784" s="13"/>
      <c r="E4784" s="11"/>
      <c r="F4784" s="11"/>
      <c r="G4784" s="13">
        <f t="shared" si="1"/>
        <v>1281</v>
      </c>
      <c r="H4784" s="13"/>
    </row>
    <row r="4785" ht="22.5" customHeight="1">
      <c r="B4785" s="17"/>
      <c r="C4785" s="17"/>
      <c r="D4785" s="13"/>
      <c r="E4785" s="11"/>
      <c r="F4785" s="11"/>
      <c r="G4785" s="13">
        <f t="shared" si="1"/>
        <v>1281</v>
      </c>
      <c r="H4785" s="13"/>
    </row>
    <row r="4786" ht="22.5" customHeight="1">
      <c r="B4786" s="17"/>
      <c r="C4786" s="17"/>
      <c r="D4786" s="13"/>
      <c r="E4786" s="11"/>
      <c r="F4786" s="11"/>
      <c r="G4786" s="13">
        <f t="shared" si="1"/>
        <v>1281</v>
      </c>
      <c r="H4786" s="13"/>
    </row>
    <row r="4787" ht="22.5" customHeight="1">
      <c r="B4787" s="17"/>
      <c r="C4787" s="17"/>
      <c r="D4787" s="13"/>
      <c r="E4787" s="11"/>
      <c r="F4787" s="11"/>
      <c r="G4787" s="13">
        <f t="shared" si="1"/>
        <v>1281</v>
      </c>
      <c r="H4787" s="13"/>
    </row>
    <row r="4788" ht="22.5" customHeight="1">
      <c r="B4788" s="17"/>
      <c r="C4788" s="17"/>
      <c r="D4788" s="13"/>
      <c r="E4788" s="11"/>
      <c r="F4788" s="11"/>
      <c r="G4788" s="13">
        <f t="shared" si="1"/>
        <v>1281</v>
      </c>
      <c r="H4788" s="13"/>
    </row>
    <row r="4789" ht="22.5" customHeight="1">
      <c r="B4789" s="17"/>
      <c r="C4789" s="17"/>
      <c r="D4789" s="13"/>
      <c r="E4789" s="11"/>
      <c r="F4789" s="11"/>
      <c r="G4789" s="13">
        <f t="shared" si="1"/>
        <v>1281</v>
      </c>
      <c r="H4789" s="13"/>
    </row>
    <row r="4790" ht="22.5" customHeight="1">
      <c r="B4790" s="17"/>
      <c r="C4790" s="17"/>
      <c r="D4790" s="13"/>
      <c r="E4790" s="11"/>
      <c r="F4790" s="11"/>
      <c r="G4790" s="13">
        <f t="shared" si="1"/>
        <v>1281</v>
      </c>
      <c r="H4790" s="13"/>
    </row>
    <row r="4791" ht="22.5" customHeight="1">
      <c r="B4791" s="17"/>
      <c r="C4791" s="17"/>
      <c r="D4791" s="13"/>
      <c r="E4791" s="11"/>
      <c r="F4791" s="11"/>
      <c r="G4791" s="13">
        <f t="shared" si="1"/>
        <v>1281</v>
      </c>
      <c r="H4791" s="13"/>
    </row>
    <row r="4792" ht="22.5" customHeight="1">
      <c r="B4792" s="17"/>
      <c r="C4792" s="17"/>
      <c r="D4792" s="13"/>
      <c r="E4792" s="11"/>
      <c r="F4792" s="11"/>
      <c r="G4792" s="13">
        <f t="shared" si="1"/>
        <v>1281</v>
      </c>
      <c r="H4792" s="13"/>
    </row>
    <row r="4793" ht="22.5" customHeight="1">
      <c r="B4793" s="17"/>
      <c r="C4793" s="17"/>
      <c r="D4793" s="13"/>
      <c r="E4793" s="11"/>
      <c r="F4793" s="11"/>
      <c r="G4793" s="13">
        <f t="shared" si="1"/>
        <v>1281</v>
      </c>
      <c r="H4793" s="13"/>
    </row>
    <row r="4794" ht="22.5" customHeight="1">
      <c r="B4794" s="17"/>
      <c r="C4794" s="17"/>
      <c r="D4794" s="13"/>
      <c r="E4794" s="11"/>
      <c r="F4794" s="11"/>
      <c r="G4794" s="13">
        <f t="shared" si="1"/>
        <v>1281</v>
      </c>
      <c r="H4794" s="13"/>
    </row>
    <row r="4795" ht="22.5" customHeight="1">
      <c r="B4795" s="17"/>
      <c r="C4795" s="17"/>
      <c r="D4795" s="13"/>
      <c r="E4795" s="11"/>
      <c r="F4795" s="11"/>
      <c r="G4795" s="13">
        <f t="shared" si="1"/>
        <v>1281</v>
      </c>
      <c r="H4795" s="13"/>
    </row>
    <row r="4796" ht="22.5" customHeight="1">
      <c r="B4796" s="17"/>
      <c r="C4796" s="17"/>
      <c r="D4796" s="13"/>
      <c r="E4796" s="11"/>
      <c r="F4796" s="11"/>
      <c r="G4796" s="13">
        <f t="shared" si="1"/>
        <v>1281</v>
      </c>
      <c r="H4796" s="13"/>
    </row>
    <row r="4797" ht="22.5" customHeight="1">
      <c r="B4797" s="17"/>
      <c r="C4797" s="17"/>
      <c r="D4797" s="13"/>
      <c r="E4797" s="11"/>
      <c r="F4797" s="11"/>
      <c r="G4797" s="13">
        <f t="shared" si="1"/>
        <v>1281</v>
      </c>
      <c r="H4797" s="13"/>
    </row>
    <row r="4798" ht="22.5" customHeight="1">
      <c r="B4798" s="17"/>
      <c r="C4798" s="17"/>
      <c r="D4798" s="13"/>
      <c r="E4798" s="11"/>
      <c r="F4798" s="11"/>
      <c r="G4798" s="13">
        <f t="shared" si="1"/>
        <v>1281</v>
      </c>
      <c r="H4798" s="13"/>
    </row>
    <row r="4799" ht="22.5" customHeight="1">
      <c r="B4799" s="17"/>
      <c r="C4799" s="17"/>
      <c r="D4799" s="13"/>
      <c r="E4799" s="11"/>
      <c r="F4799" s="11"/>
      <c r="G4799" s="13">
        <f t="shared" si="1"/>
        <v>1281</v>
      </c>
      <c r="H4799" s="13"/>
    </row>
    <row r="4800" ht="22.5" customHeight="1">
      <c r="B4800" s="17"/>
      <c r="C4800" s="17"/>
      <c r="D4800" s="13"/>
      <c r="E4800" s="11"/>
      <c r="F4800" s="11"/>
      <c r="G4800" s="13">
        <f t="shared" si="1"/>
        <v>1281</v>
      </c>
      <c r="H4800" s="13"/>
    </row>
    <row r="4801" ht="22.5" customHeight="1">
      <c r="B4801" s="17"/>
      <c r="C4801" s="17"/>
      <c r="D4801" s="13"/>
      <c r="E4801" s="11"/>
      <c r="F4801" s="11"/>
      <c r="G4801" s="13">
        <f t="shared" si="1"/>
        <v>1281</v>
      </c>
      <c r="H4801" s="13"/>
    </row>
    <row r="4802" ht="22.5" customHeight="1">
      <c r="B4802" s="17"/>
      <c r="C4802" s="17"/>
      <c r="D4802" s="13"/>
      <c r="E4802" s="11"/>
      <c r="F4802" s="11"/>
      <c r="G4802" s="13">
        <f t="shared" si="1"/>
        <v>1281</v>
      </c>
      <c r="H4802" s="13"/>
    </row>
    <row r="4803" ht="22.5" customHeight="1">
      <c r="B4803" s="17"/>
      <c r="C4803" s="17"/>
      <c r="D4803" s="13"/>
      <c r="E4803" s="11"/>
      <c r="F4803" s="11"/>
      <c r="G4803" s="13">
        <f t="shared" si="1"/>
        <v>1281</v>
      </c>
      <c r="H4803" s="13"/>
    </row>
    <row r="4804" ht="22.5" customHeight="1">
      <c r="B4804" s="17"/>
      <c r="C4804" s="17"/>
      <c r="D4804" s="13"/>
      <c r="E4804" s="11"/>
      <c r="F4804" s="11"/>
      <c r="G4804" s="13">
        <f t="shared" si="1"/>
        <v>1281</v>
      </c>
      <c r="H4804" s="13"/>
    </row>
    <row r="4805" ht="22.5" customHeight="1">
      <c r="B4805" s="17"/>
      <c r="C4805" s="17"/>
      <c r="D4805" s="13"/>
      <c r="E4805" s="11"/>
      <c r="F4805" s="11"/>
      <c r="G4805" s="13">
        <f t="shared" si="1"/>
        <v>1281</v>
      </c>
      <c r="H4805" s="13"/>
    </row>
    <row r="4806" ht="22.5" customHeight="1">
      <c r="B4806" s="17"/>
      <c r="C4806" s="17"/>
      <c r="D4806" s="13"/>
      <c r="E4806" s="11"/>
      <c r="F4806" s="11"/>
      <c r="G4806" s="13">
        <f t="shared" si="1"/>
        <v>1281</v>
      </c>
      <c r="H4806" s="13"/>
    </row>
    <row r="4807" ht="22.5" customHeight="1">
      <c r="B4807" s="17"/>
      <c r="C4807" s="17"/>
      <c r="D4807" s="13"/>
      <c r="E4807" s="11"/>
      <c r="F4807" s="11"/>
      <c r="G4807" s="13">
        <f t="shared" si="1"/>
        <v>1281</v>
      </c>
      <c r="H4807" s="13"/>
    </row>
    <row r="4808" ht="22.5" customHeight="1">
      <c r="B4808" s="17"/>
      <c r="C4808" s="17"/>
      <c r="D4808" s="13"/>
      <c r="E4808" s="11"/>
      <c r="F4808" s="11"/>
      <c r="G4808" s="13">
        <f t="shared" si="1"/>
        <v>1281</v>
      </c>
      <c r="H4808" s="13"/>
    </row>
    <row r="4809" ht="22.5" customHeight="1">
      <c r="B4809" s="17"/>
      <c r="C4809" s="17"/>
      <c r="D4809" s="13"/>
      <c r="E4809" s="11"/>
      <c r="F4809" s="11"/>
      <c r="G4809" s="13">
        <f t="shared" si="1"/>
        <v>1281</v>
      </c>
      <c r="H4809" s="13"/>
    </row>
    <row r="4810" ht="22.5" customHeight="1">
      <c r="B4810" s="17"/>
      <c r="C4810" s="17"/>
      <c r="D4810" s="13"/>
      <c r="E4810" s="11"/>
      <c r="F4810" s="11"/>
      <c r="G4810" s="13">
        <f t="shared" si="1"/>
        <v>1281</v>
      </c>
      <c r="H4810" s="13"/>
    </row>
    <row r="4811" ht="22.5" customHeight="1">
      <c r="B4811" s="17"/>
      <c r="C4811" s="17"/>
      <c r="D4811" s="13"/>
      <c r="E4811" s="11"/>
      <c r="F4811" s="11"/>
      <c r="G4811" s="13">
        <f t="shared" si="1"/>
        <v>1281</v>
      </c>
      <c r="H4811" s="13"/>
    </row>
    <row r="4812" ht="22.5" customHeight="1">
      <c r="B4812" s="17"/>
      <c r="C4812" s="17"/>
      <c r="D4812" s="13"/>
      <c r="E4812" s="11"/>
      <c r="F4812" s="11"/>
      <c r="G4812" s="13">
        <f t="shared" si="1"/>
        <v>1281</v>
      </c>
      <c r="H4812" s="13"/>
    </row>
    <row r="4813" ht="22.5" customHeight="1">
      <c r="B4813" s="17"/>
      <c r="C4813" s="17"/>
      <c r="D4813" s="13"/>
      <c r="E4813" s="11"/>
      <c r="F4813" s="11"/>
      <c r="G4813" s="13">
        <f t="shared" si="1"/>
        <v>1281</v>
      </c>
      <c r="H4813" s="13"/>
    </row>
    <row r="4814" ht="22.5" customHeight="1">
      <c r="B4814" s="17"/>
      <c r="C4814" s="17"/>
      <c r="D4814" s="13"/>
      <c r="E4814" s="11"/>
      <c r="F4814" s="11"/>
      <c r="G4814" s="13">
        <f t="shared" si="1"/>
        <v>1281</v>
      </c>
      <c r="H4814" s="13"/>
    </row>
    <row r="4815" ht="22.5" customHeight="1">
      <c r="B4815" s="17"/>
      <c r="C4815" s="17"/>
      <c r="D4815" s="13"/>
      <c r="E4815" s="11"/>
      <c r="F4815" s="11"/>
      <c r="G4815" s="13">
        <f t="shared" si="1"/>
        <v>1281</v>
      </c>
      <c r="H4815" s="13"/>
    </row>
    <row r="4816" ht="22.5" customHeight="1">
      <c r="B4816" s="17"/>
      <c r="C4816" s="17"/>
      <c r="D4816" s="13"/>
      <c r="E4816" s="11"/>
      <c r="F4816" s="11"/>
      <c r="G4816" s="13">
        <f t="shared" si="1"/>
        <v>1281</v>
      </c>
      <c r="H4816" s="13"/>
    </row>
    <row r="4817" ht="22.5" customHeight="1">
      <c r="B4817" s="17"/>
      <c r="C4817" s="17"/>
      <c r="D4817" s="13"/>
      <c r="E4817" s="11"/>
      <c r="F4817" s="11"/>
      <c r="G4817" s="13">
        <f t="shared" si="1"/>
        <v>1281</v>
      </c>
      <c r="H4817" s="13"/>
    </row>
    <row r="4818" ht="22.5" customHeight="1">
      <c r="B4818" s="17"/>
      <c r="C4818" s="17"/>
      <c r="D4818" s="13"/>
      <c r="E4818" s="11"/>
      <c r="F4818" s="11"/>
      <c r="G4818" s="13">
        <f t="shared" si="1"/>
        <v>1281</v>
      </c>
      <c r="H4818" s="13"/>
    </row>
    <row r="4819" ht="22.5" customHeight="1">
      <c r="B4819" s="17"/>
      <c r="C4819" s="17"/>
      <c r="D4819" s="13"/>
      <c r="E4819" s="11"/>
      <c r="F4819" s="11"/>
      <c r="G4819" s="13">
        <f t="shared" si="1"/>
        <v>1281</v>
      </c>
      <c r="H4819" s="13"/>
    </row>
    <row r="4820" ht="22.5" customHeight="1">
      <c r="B4820" s="17"/>
      <c r="C4820" s="17"/>
      <c r="D4820" s="13"/>
      <c r="E4820" s="11"/>
      <c r="F4820" s="11"/>
      <c r="G4820" s="13">
        <f t="shared" si="1"/>
        <v>1281</v>
      </c>
      <c r="H4820" s="13"/>
    </row>
    <row r="4821" ht="22.5" customHeight="1">
      <c r="B4821" s="17"/>
      <c r="C4821" s="17"/>
      <c r="D4821" s="13"/>
      <c r="E4821" s="11"/>
      <c r="F4821" s="11"/>
      <c r="G4821" s="13">
        <f t="shared" si="1"/>
        <v>1281</v>
      </c>
      <c r="H4821" s="13"/>
    </row>
    <row r="4822" ht="22.5" customHeight="1">
      <c r="B4822" s="17"/>
      <c r="C4822" s="17"/>
      <c r="D4822" s="13"/>
      <c r="E4822" s="11"/>
      <c r="F4822" s="11"/>
      <c r="G4822" s="13">
        <f t="shared" si="1"/>
        <v>1281</v>
      </c>
      <c r="H4822" s="13"/>
    </row>
    <row r="4823" ht="22.5" customHeight="1">
      <c r="B4823" s="17"/>
      <c r="C4823" s="17"/>
      <c r="D4823" s="13"/>
      <c r="E4823" s="11"/>
      <c r="F4823" s="11"/>
      <c r="G4823" s="13">
        <f t="shared" si="1"/>
        <v>1281</v>
      </c>
      <c r="H4823" s="13"/>
    </row>
    <row r="4824" ht="22.5" customHeight="1">
      <c r="B4824" s="17"/>
      <c r="C4824" s="17"/>
      <c r="D4824" s="13"/>
      <c r="E4824" s="11"/>
      <c r="F4824" s="11"/>
      <c r="G4824" s="13">
        <f t="shared" si="1"/>
        <v>1281</v>
      </c>
      <c r="H4824" s="13"/>
    </row>
    <row r="4825" ht="22.5" customHeight="1">
      <c r="B4825" s="17"/>
      <c r="C4825" s="17"/>
      <c r="D4825" s="13"/>
      <c r="E4825" s="11"/>
      <c r="F4825" s="11"/>
      <c r="G4825" s="13">
        <f t="shared" si="1"/>
        <v>1281</v>
      </c>
      <c r="H4825" s="13"/>
    </row>
    <row r="4826" ht="22.5" customHeight="1">
      <c r="B4826" s="17"/>
      <c r="C4826" s="17"/>
      <c r="D4826" s="13"/>
      <c r="E4826" s="11"/>
      <c r="F4826" s="11"/>
      <c r="G4826" s="13">
        <f t="shared" si="1"/>
        <v>1281</v>
      </c>
      <c r="H4826" s="13"/>
    </row>
    <row r="4827" ht="22.5" customHeight="1">
      <c r="B4827" s="17"/>
      <c r="C4827" s="17"/>
      <c r="D4827" s="13"/>
      <c r="E4827" s="11"/>
      <c r="F4827" s="11"/>
      <c r="G4827" s="13">
        <f t="shared" si="1"/>
        <v>1281</v>
      </c>
      <c r="H4827" s="13"/>
    </row>
    <row r="4828" ht="22.5" customHeight="1">
      <c r="B4828" s="17"/>
      <c r="C4828" s="17"/>
      <c r="D4828" s="13"/>
      <c r="E4828" s="11"/>
      <c r="F4828" s="11"/>
      <c r="G4828" s="13">
        <f t="shared" si="1"/>
        <v>1281</v>
      </c>
      <c r="H4828" s="13"/>
    </row>
    <row r="4829" ht="22.5" customHeight="1">
      <c r="B4829" s="17"/>
      <c r="C4829" s="17"/>
      <c r="D4829" s="13"/>
      <c r="E4829" s="11"/>
      <c r="F4829" s="11"/>
      <c r="G4829" s="13">
        <f t="shared" si="1"/>
        <v>1281</v>
      </c>
      <c r="H4829" s="13"/>
    </row>
    <row r="4830" ht="22.5" customHeight="1">
      <c r="B4830" s="17"/>
      <c r="C4830" s="17"/>
      <c r="D4830" s="13"/>
      <c r="E4830" s="11"/>
      <c r="F4830" s="11"/>
      <c r="G4830" s="13">
        <f t="shared" si="1"/>
        <v>1281</v>
      </c>
      <c r="H4830" s="13"/>
    </row>
    <row r="4831" ht="22.5" customHeight="1">
      <c r="B4831" s="17"/>
      <c r="C4831" s="17"/>
      <c r="D4831" s="13"/>
      <c r="E4831" s="11"/>
      <c r="F4831" s="11"/>
      <c r="G4831" s="13">
        <f t="shared" si="1"/>
        <v>1281</v>
      </c>
      <c r="H4831" s="13"/>
    </row>
    <row r="4832" ht="22.5" customHeight="1">
      <c r="B4832" s="17"/>
      <c r="C4832" s="17"/>
      <c r="D4832" s="13"/>
      <c r="E4832" s="11"/>
      <c r="F4832" s="11"/>
      <c r="G4832" s="13">
        <f t="shared" si="1"/>
        <v>1281</v>
      </c>
      <c r="H4832" s="13"/>
    </row>
    <row r="4833" ht="22.5" customHeight="1">
      <c r="B4833" s="17"/>
      <c r="C4833" s="17"/>
      <c r="D4833" s="13"/>
      <c r="E4833" s="11"/>
      <c r="F4833" s="11"/>
      <c r="G4833" s="13">
        <f t="shared" si="1"/>
        <v>1281</v>
      </c>
      <c r="H4833" s="13"/>
    </row>
    <row r="4834" ht="22.5" customHeight="1">
      <c r="B4834" s="17"/>
      <c r="C4834" s="17"/>
      <c r="D4834" s="13"/>
      <c r="E4834" s="11"/>
      <c r="F4834" s="11"/>
      <c r="G4834" s="13">
        <f t="shared" si="1"/>
        <v>1281</v>
      </c>
      <c r="H4834" s="13"/>
    </row>
    <row r="4835" ht="22.5" customHeight="1">
      <c r="B4835" s="17"/>
      <c r="C4835" s="17"/>
      <c r="D4835" s="13"/>
      <c r="E4835" s="11"/>
      <c r="F4835" s="11"/>
      <c r="G4835" s="13">
        <f t="shared" si="1"/>
        <v>1281</v>
      </c>
      <c r="H4835" s="13"/>
    </row>
    <row r="4836" ht="22.5" customHeight="1">
      <c r="B4836" s="17"/>
      <c r="C4836" s="17"/>
      <c r="D4836" s="13"/>
      <c r="E4836" s="11"/>
      <c r="F4836" s="11"/>
      <c r="G4836" s="13">
        <f t="shared" si="1"/>
        <v>1281</v>
      </c>
      <c r="H4836" s="13"/>
    </row>
    <row r="4837" ht="22.5" customHeight="1">
      <c r="B4837" s="17"/>
      <c r="C4837" s="17"/>
      <c r="D4837" s="13"/>
      <c r="E4837" s="11"/>
      <c r="F4837" s="11"/>
      <c r="G4837" s="13">
        <f t="shared" si="1"/>
        <v>1281</v>
      </c>
      <c r="H4837" s="13"/>
    </row>
    <row r="4838" ht="22.5" customHeight="1">
      <c r="B4838" s="17"/>
      <c r="C4838" s="17"/>
      <c r="D4838" s="13"/>
      <c r="E4838" s="11"/>
      <c r="F4838" s="11"/>
      <c r="G4838" s="13">
        <f t="shared" si="1"/>
        <v>1281</v>
      </c>
      <c r="H4838" s="13"/>
    </row>
    <row r="4839" ht="22.5" customHeight="1">
      <c r="B4839" s="17"/>
      <c r="C4839" s="17"/>
      <c r="D4839" s="13"/>
      <c r="E4839" s="11"/>
      <c r="F4839" s="11"/>
      <c r="G4839" s="13">
        <f t="shared" si="1"/>
        <v>1281</v>
      </c>
      <c r="H4839" s="13"/>
    </row>
    <row r="4840" ht="22.5" customHeight="1">
      <c r="B4840" s="17"/>
      <c r="C4840" s="17"/>
      <c r="D4840" s="13"/>
      <c r="E4840" s="11"/>
      <c r="F4840" s="11"/>
      <c r="G4840" s="13">
        <f t="shared" si="1"/>
        <v>1281</v>
      </c>
      <c r="H4840" s="13"/>
    </row>
    <row r="4841" ht="22.5" customHeight="1">
      <c r="B4841" s="17"/>
      <c r="C4841" s="17"/>
      <c r="D4841" s="13"/>
      <c r="E4841" s="11"/>
      <c r="F4841" s="11"/>
      <c r="G4841" s="13">
        <f t="shared" si="1"/>
        <v>1281</v>
      </c>
      <c r="H4841" s="13"/>
    </row>
    <row r="4842" ht="22.5" customHeight="1">
      <c r="B4842" s="17"/>
      <c r="C4842" s="17"/>
      <c r="D4842" s="13"/>
      <c r="E4842" s="11"/>
      <c r="F4842" s="11"/>
      <c r="G4842" s="13">
        <f t="shared" si="1"/>
        <v>1281</v>
      </c>
      <c r="H4842" s="13"/>
    </row>
    <row r="4843" ht="22.5" customHeight="1">
      <c r="B4843" s="17"/>
      <c r="C4843" s="17"/>
      <c r="D4843" s="13"/>
      <c r="E4843" s="11"/>
      <c r="F4843" s="11"/>
      <c r="G4843" s="13">
        <f t="shared" si="1"/>
        <v>1281</v>
      </c>
      <c r="H4843" s="13"/>
    </row>
    <row r="4844" ht="22.5" customHeight="1">
      <c r="B4844" s="17"/>
      <c r="C4844" s="17"/>
      <c r="D4844" s="13"/>
      <c r="E4844" s="11"/>
      <c r="F4844" s="11"/>
      <c r="G4844" s="13">
        <f t="shared" si="1"/>
        <v>1281</v>
      </c>
      <c r="H4844" s="13"/>
    </row>
    <row r="4845" ht="22.5" customHeight="1">
      <c r="B4845" s="17"/>
      <c r="C4845" s="17"/>
      <c r="D4845" s="13"/>
      <c r="E4845" s="11"/>
      <c r="F4845" s="11"/>
      <c r="G4845" s="13">
        <f t="shared" si="1"/>
        <v>1281</v>
      </c>
      <c r="H4845" s="13"/>
    </row>
    <row r="4846" ht="22.5" customHeight="1">
      <c r="B4846" s="17"/>
      <c r="C4846" s="17"/>
      <c r="D4846" s="13"/>
      <c r="E4846" s="11"/>
      <c r="F4846" s="11"/>
      <c r="G4846" s="13">
        <f t="shared" si="1"/>
        <v>1281</v>
      </c>
      <c r="H4846" s="13"/>
    </row>
    <row r="4847" ht="22.5" customHeight="1">
      <c r="B4847" s="17"/>
      <c r="C4847" s="17"/>
      <c r="D4847" s="13"/>
      <c r="E4847" s="11"/>
      <c r="F4847" s="11"/>
      <c r="G4847" s="13">
        <f t="shared" si="1"/>
        <v>1281</v>
      </c>
      <c r="H4847" s="13"/>
    </row>
    <row r="4848" ht="22.5" customHeight="1">
      <c r="B4848" s="17"/>
      <c r="C4848" s="17"/>
      <c r="D4848" s="13"/>
      <c r="E4848" s="11"/>
      <c r="F4848" s="11"/>
      <c r="G4848" s="13">
        <f t="shared" si="1"/>
        <v>1281</v>
      </c>
      <c r="H4848" s="13"/>
    </row>
    <row r="4849" ht="22.5" customHeight="1">
      <c r="B4849" s="17"/>
      <c r="C4849" s="17"/>
      <c r="D4849" s="13"/>
      <c r="E4849" s="11"/>
      <c r="F4849" s="11"/>
      <c r="G4849" s="13">
        <f t="shared" si="1"/>
        <v>1281</v>
      </c>
      <c r="H4849" s="13"/>
    </row>
    <row r="4850" ht="22.5" customHeight="1">
      <c r="B4850" s="17"/>
      <c r="C4850" s="17"/>
      <c r="D4850" s="13"/>
      <c r="E4850" s="11"/>
      <c r="F4850" s="11"/>
      <c r="G4850" s="13">
        <f t="shared" si="1"/>
        <v>1281</v>
      </c>
      <c r="H4850" s="13"/>
    </row>
    <row r="4851" ht="22.5" customHeight="1">
      <c r="B4851" s="17"/>
      <c r="C4851" s="17"/>
      <c r="D4851" s="13"/>
      <c r="E4851" s="11"/>
      <c r="F4851" s="11"/>
      <c r="G4851" s="13">
        <f t="shared" si="1"/>
        <v>1281</v>
      </c>
      <c r="H4851" s="13"/>
    </row>
    <row r="4852" ht="22.5" customHeight="1">
      <c r="B4852" s="17"/>
      <c r="C4852" s="17"/>
      <c r="D4852" s="13"/>
      <c r="E4852" s="11"/>
      <c r="F4852" s="11"/>
      <c r="G4852" s="13">
        <f t="shared" si="1"/>
        <v>1281</v>
      </c>
      <c r="H4852" s="13"/>
    </row>
    <row r="4853" ht="22.5" customHeight="1">
      <c r="B4853" s="17"/>
      <c r="C4853" s="17"/>
      <c r="D4853" s="13"/>
      <c r="E4853" s="11"/>
      <c r="F4853" s="11"/>
      <c r="G4853" s="13">
        <f t="shared" si="1"/>
        <v>1281</v>
      </c>
      <c r="H4853" s="13"/>
    </row>
    <row r="4854" ht="22.5" customHeight="1">
      <c r="B4854" s="17"/>
      <c r="C4854" s="17"/>
      <c r="D4854" s="13"/>
      <c r="E4854" s="11"/>
      <c r="F4854" s="11"/>
      <c r="G4854" s="13">
        <f t="shared" si="1"/>
        <v>1281</v>
      </c>
      <c r="H4854" s="13"/>
    </row>
    <row r="4855" ht="22.5" customHeight="1">
      <c r="B4855" s="17"/>
      <c r="C4855" s="17"/>
      <c r="D4855" s="13"/>
      <c r="E4855" s="11"/>
      <c r="F4855" s="11"/>
      <c r="G4855" s="13">
        <f t="shared" si="1"/>
        <v>1281</v>
      </c>
      <c r="H4855" s="13"/>
    </row>
    <row r="4856" ht="22.5" customHeight="1">
      <c r="B4856" s="17"/>
      <c r="C4856" s="17"/>
      <c r="D4856" s="13"/>
      <c r="E4856" s="11"/>
      <c r="F4856" s="11"/>
      <c r="G4856" s="13">
        <f t="shared" si="1"/>
        <v>1281</v>
      </c>
      <c r="H4856" s="13"/>
    </row>
    <row r="4857" ht="22.5" customHeight="1">
      <c r="B4857" s="17"/>
      <c r="C4857" s="17"/>
      <c r="D4857" s="13"/>
      <c r="E4857" s="11"/>
      <c r="F4857" s="11"/>
      <c r="G4857" s="13">
        <f t="shared" si="1"/>
        <v>1281</v>
      </c>
      <c r="H4857" s="13"/>
    </row>
    <row r="4858" ht="22.5" customHeight="1">
      <c r="B4858" s="17"/>
      <c r="C4858" s="17"/>
      <c r="D4858" s="13"/>
      <c r="E4858" s="11"/>
      <c r="F4858" s="11"/>
      <c r="G4858" s="13">
        <f t="shared" si="1"/>
        <v>1281</v>
      </c>
      <c r="H4858" s="13"/>
    </row>
    <row r="4859" ht="22.5" customHeight="1">
      <c r="B4859" s="17"/>
      <c r="C4859" s="17"/>
      <c r="D4859" s="13"/>
      <c r="E4859" s="11"/>
      <c r="F4859" s="11"/>
      <c r="G4859" s="13">
        <f t="shared" si="1"/>
        <v>1281</v>
      </c>
      <c r="H4859" s="13"/>
    </row>
    <row r="4860" ht="22.5" customHeight="1">
      <c r="B4860" s="17"/>
      <c r="C4860" s="17"/>
      <c r="D4860" s="13"/>
      <c r="E4860" s="11"/>
      <c r="F4860" s="11"/>
      <c r="G4860" s="13">
        <f t="shared" si="1"/>
        <v>1281</v>
      </c>
      <c r="H4860" s="13"/>
    </row>
    <row r="4861" ht="22.5" customHeight="1">
      <c r="B4861" s="17"/>
      <c r="C4861" s="17"/>
      <c r="D4861" s="13"/>
      <c r="E4861" s="11"/>
      <c r="F4861" s="11"/>
      <c r="G4861" s="13">
        <f t="shared" si="1"/>
        <v>1281</v>
      </c>
      <c r="H4861" s="13"/>
    </row>
    <row r="4862" ht="22.5" customHeight="1">
      <c r="B4862" s="17"/>
      <c r="C4862" s="17"/>
      <c r="D4862" s="13"/>
      <c r="E4862" s="11"/>
      <c r="F4862" s="11"/>
      <c r="G4862" s="13">
        <f t="shared" si="1"/>
        <v>1281</v>
      </c>
      <c r="H4862" s="13"/>
    </row>
    <row r="4863" ht="22.5" customHeight="1">
      <c r="B4863" s="17"/>
      <c r="C4863" s="17"/>
      <c r="D4863" s="13"/>
      <c r="E4863" s="11"/>
      <c r="F4863" s="11"/>
      <c r="G4863" s="13">
        <f t="shared" si="1"/>
        <v>1281</v>
      </c>
      <c r="H4863" s="13"/>
    </row>
    <row r="4864" ht="22.5" customHeight="1">
      <c r="B4864" s="17"/>
      <c r="C4864" s="17"/>
      <c r="D4864" s="13"/>
      <c r="E4864" s="11"/>
      <c r="F4864" s="11"/>
      <c r="G4864" s="13">
        <f t="shared" si="1"/>
        <v>1281</v>
      </c>
      <c r="H4864" s="13"/>
    </row>
    <row r="4865" ht="22.5" customHeight="1">
      <c r="B4865" s="17"/>
      <c r="C4865" s="17"/>
      <c r="D4865" s="13"/>
      <c r="E4865" s="11"/>
      <c r="F4865" s="11"/>
      <c r="G4865" s="13">
        <f t="shared" si="1"/>
        <v>1281</v>
      </c>
      <c r="H4865" s="13"/>
    </row>
    <row r="4866" ht="22.5" customHeight="1">
      <c r="B4866" s="17"/>
      <c r="C4866" s="17"/>
      <c r="D4866" s="13"/>
      <c r="E4866" s="11"/>
      <c r="F4866" s="11"/>
      <c r="G4866" s="13">
        <f t="shared" si="1"/>
        <v>1281</v>
      </c>
      <c r="H4866" s="13"/>
    </row>
    <row r="4867" ht="22.5" customHeight="1">
      <c r="B4867" s="17"/>
      <c r="C4867" s="17"/>
      <c r="D4867" s="13"/>
      <c r="E4867" s="11"/>
      <c r="F4867" s="11"/>
      <c r="G4867" s="13">
        <f t="shared" si="1"/>
        <v>1281</v>
      </c>
      <c r="H4867" s="13"/>
    </row>
    <row r="4868" ht="22.5" customHeight="1">
      <c r="B4868" s="17"/>
      <c r="C4868" s="17"/>
      <c r="D4868" s="13"/>
      <c r="E4868" s="11"/>
      <c r="F4868" s="11"/>
      <c r="G4868" s="13">
        <f t="shared" si="1"/>
        <v>1281</v>
      </c>
      <c r="H4868" s="13"/>
    </row>
    <row r="4869" ht="22.5" customHeight="1">
      <c r="B4869" s="17"/>
      <c r="C4869" s="17"/>
      <c r="D4869" s="13"/>
      <c r="E4869" s="11"/>
      <c r="F4869" s="11"/>
      <c r="G4869" s="13">
        <f t="shared" si="1"/>
        <v>1281</v>
      </c>
      <c r="H4869" s="13"/>
    </row>
    <row r="4870" ht="22.5" customHeight="1">
      <c r="B4870" s="17"/>
      <c r="C4870" s="17"/>
      <c r="D4870" s="13"/>
      <c r="E4870" s="11"/>
      <c r="F4870" s="11"/>
      <c r="G4870" s="13">
        <f t="shared" si="1"/>
        <v>1281</v>
      </c>
      <c r="H4870" s="13"/>
    </row>
    <row r="4871" ht="22.5" customHeight="1">
      <c r="B4871" s="17"/>
      <c r="C4871" s="17"/>
      <c r="D4871" s="13"/>
      <c r="E4871" s="11"/>
      <c r="F4871" s="11"/>
      <c r="G4871" s="13">
        <f t="shared" si="1"/>
        <v>1281</v>
      </c>
      <c r="H4871" s="13"/>
    </row>
    <row r="4872" ht="22.5" customHeight="1">
      <c r="B4872" s="17"/>
      <c r="C4872" s="17"/>
      <c r="D4872" s="13"/>
      <c r="E4872" s="11"/>
      <c r="F4872" s="11"/>
      <c r="G4872" s="13">
        <f t="shared" si="1"/>
        <v>1281</v>
      </c>
      <c r="H4872" s="13"/>
    </row>
    <row r="4873" ht="22.5" customHeight="1">
      <c r="B4873" s="17"/>
      <c r="C4873" s="17"/>
      <c r="D4873" s="13"/>
      <c r="E4873" s="11"/>
      <c r="F4873" s="11"/>
      <c r="G4873" s="13">
        <f t="shared" si="1"/>
        <v>1281</v>
      </c>
      <c r="H4873" s="13"/>
    </row>
    <row r="4874" ht="22.5" customHeight="1">
      <c r="B4874" s="17"/>
      <c r="C4874" s="17"/>
      <c r="D4874" s="13"/>
      <c r="E4874" s="11"/>
      <c r="F4874" s="11"/>
      <c r="G4874" s="13">
        <f t="shared" si="1"/>
        <v>1281</v>
      </c>
      <c r="H4874" s="13"/>
    </row>
    <row r="4875" ht="22.5" customHeight="1">
      <c r="B4875" s="17"/>
      <c r="C4875" s="17"/>
      <c r="D4875" s="13"/>
      <c r="E4875" s="11"/>
      <c r="F4875" s="11"/>
      <c r="G4875" s="13">
        <f t="shared" si="1"/>
        <v>1281</v>
      </c>
      <c r="H4875" s="13"/>
    </row>
    <row r="4876" ht="22.5" customHeight="1">
      <c r="B4876" s="17"/>
      <c r="C4876" s="17"/>
      <c r="D4876" s="13"/>
      <c r="E4876" s="11"/>
      <c r="F4876" s="11"/>
      <c r="G4876" s="13">
        <f t="shared" si="1"/>
        <v>1281</v>
      </c>
      <c r="H4876" s="13"/>
    </row>
    <row r="4877" ht="22.5" customHeight="1">
      <c r="B4877" s="17"/>
      <c r="C4877" s="17"/>
      <c r="D4877" s="13"/>
      <c r="E4877" s="11"/>
      <c r="F4877" s="11"/>
      <c r="G4877" s="13">
        <f t="shared" si="1"/>
        <v>1281</v>
      </c>
      <c r="H4877" s="13"/>
    </row>
    <row r="4878" ht="22.5" customHeight="1">
      <c r="B4878" s="17"/>
      <c r="C4878" s="17"/>
      <c r="D4878" s="13"/>
      <c r="E4878" s="11"/>
      <c r="F4878" s="11"/>
      <c r="G4878" s="13">
        <f t="shared" si="1"/>
        <v>1281</v>
      </c>
      <c r="H4878" s="13"/>
    </row>
    <row r="4879" ht="22.5" customHeight="1">
      <c r="B4879" s="17"/>
      <c r="C4879" s="17"/>
      <c r="D4879" s="13"/>
      <c r="E4879" s="11"/>
      <c r="F4879" s="11"/>
      <c r="G4879" s="13">
        <f t="shared" si="1"/>
        <v>1281</v>
      </c>
      <c r="H4879" s="13"/>
    </row>
    <row r="4880" ht="22.5" customHeight="1">
      <c r="B4880" s="17"/>
      <c r="C4880" s="17"/>
      <c r="D4880" s="13"/>
      <c r="E4880" s="11"/>
      <c r="F4880" s="11"/>
      <c r="G4880" s="13">
        <f t="shared" si="1"/>
        <v>1281</v>
      </c>
      <c r="H4880" s="13"/>
    </row>
    <row r="4881" ht="22.5" customHeight="1">
      <c r="B4881" s="17"/>
      <c r="C4881" s="17"/>
      <c r="D4881" s="13"/>
      <c r="E4881" s="11"/>
      <c r="F4881" s="11"/>
      <c r="G4881" s="13">
        <f t="shared" si="1"/>
        <v>1281</v>
      </c>
      <c r="H4881" s="13"/>
    </row>
    <row r="4882" ht="22.5" customHeight="1">
      <c r="B4882" s="17"/>
      <c r="C4882" s="17"/>
      <c r="D4882" s="13"/>
      <c r="E4882" s="11"/>
      <c r="F4882" s="11"/>
      <c r="G4882" s="13">
        <f t="shared" si="1"/>
        <v>1281</v>
      </c>
      <c r="H4882" s="13"/>
    </row>
    <row r="4883" ht="22.5" customHeight="1">
      <c r="B4883" s="17"/>
      <c r="C4883" s="17"/>
      <c r="D4883" s="13"/>
      <c r="E4883" s="11"/>
      <c r="F4883" s="11"/>
      <c r="G4883" s="13">
        <f t="shared" si="1"/>
        <v>1281</v>
      </c>
      <c r="H4883" s="13"/>
    </row>
    <row r="4884" ht="22.5" customHeight="1">
      <c r="B4884" s="17"/>
      <c r="C4884" s="17"/>
      <c r="D4884" s="13"/>
      <c r="E4884" s="11"/>
      <c r="F4884" s="11"/>
      <c r="G4884" s="13">
        <f t="shared" si="1"/>
        <v>1281</v>
      </c>
      <c r="H4884" s="13"/>
    </row>
    <row r="4885" ht="22.5" customHeight="1">
      <c r="B4885" s="17"/>
      <c r="C4885" s="17"/>
      <c r="D4885" s="13"/>
      <c r="E4885" s="11"/>
      <c r="F4885" s="11"/>
      <c r="G4885" s="13">
        <f t="shared" si="1"/>
        <v>1281</v>
      </c>
      <c r="H4885" s="13"/>
    </row>
    <row r="4886" ht="22.5" customHeight="1">
      <c r="B4886" s="17"/>
      <c r="C4886" s="17"/>
      <c r="D4886" s="13"/>
      <c r="E4886" s="11"/>
      <c r="F4886" s="11"/>
      <c r="G4886" s="13">
        <f t="shared" si="1"/>
        <v>1281</v>
      </c>
      <c r="H4886" s="13"/>
    </row>
    <row r="4887" ht="22.5" customHeight="1">
      <c r="B4887" s="17"/>
      <c r="C4887" s="17"/>
      <c r="D4887" s="13"/>
      <c r="E4887" s="11"/>
      <c r="F4887" s="11"/>
      <c r="G4887" s="13">
        <f t="shared" si="1"/>
        <v>1281</v>
      </c>
      <c r="H4887" s="13"/>
    </row>
    <row r="4888" ht="22.5" customHeight="1">
      <c r="B4888" s="17"/>
      <c r="C4888" s="17"/>
      <c r="D4888" s="13"/>
      <c r="E4888" s="11"/>
      <c r="F4888" s="11"/>
      <c r="G4888" s="13">
        <f t="shared" si="1"/>
        <v>1281</v>
      </c>
      <c r="H4888" s="13"/>
    </row>
    <row r="4889" ht="22.5" customHeight="1">
      <c r="B4889" s="17"/>
      <c r="C4889" s="17"/>
      <c r="D4889" s="13"/>
      <c r="E4889" s="11"/>
      <c r="F4889" s="11"/>
      <c r="G4889" s="13">
        <f t="shared" si="1"/>
        <v>1281</v>
      </c>
      <c r="H4889" s="13"/>
    </row>
    <row r="4890" ht="22.5" customHeight="1">
      <c r="B4890" s="17"/>
      <c r="C4890" s="17"/>
      <c r="D4890" s="13"/>
      <c r="E4890" s="11"/>
      <c r="F4890" s="11"/>
      <c r="G4890" s="13">
        <f t="shared" si="1"/>
        <v>1281</v>
      </c>
      <c r="H4890" s="13"/>
    </row>
    <row r="4891" ht="22.5" customHeight="1">
      <c r="B4891" s="17"/>
      <c r="C4891" s="17"/>
      <c r="D4891" s="13"/>
      <c r="E4891" s="11"/>
      <c r="F4891" s="11"/>
      <c r="G4891" s="13">
        <f t="shared" si="1"/>
        <v>1281</v>
      </c>
      <c r="H4891" s="13"/>
    </row>
    <row r="4892" ht="22.5" customHeight="1">
      <c r="B4892" s="17"/>
      <c r="C4892" s="17"/>
      <c r="D4892" s="13"/>
      <c r="E4892" s="11"/>
      <c r="F4892" s="11"/>
      <c r="G4892" s="13">
        <f t="shared" si="1"/>
        <v>1281</v>
      </c>
      <c r="H4892" s="13"/>
    </row>
    <row r="4893" ht="22.5" customHeight="1">
      <c r="B4893" s="17"/>
      <c r="C4893" s="17"/>
      <c r="D4893" s="13"/>
      <c r="E4893" s="11"/>
      <c r="F4893" s="11"/>
      <c r="G4893" s="13">
        <f t="shared" si="1"/>
        <v>1281</v>
      </c>
      <c r="H4893" s="13"/>
    </row>
    <row r="4894" ht="22.5" customHeight="1">
      <c r="B4894" s="17"/>
      <c r="C4894" s="17"/>
      <c r="D4894" s="13"/>
      <c r="E4894" s="11"/>
      <c r="F4894" s="11"/>
      <c r="G4894" s="13">
        <f t="shared" si="1"/>
        <v>1281</v>
      </c>
      <c r="H4894" s="13"/>
    </row>
    <row r="4895" ht="22.5" customHeight="1">
      <c r="B4895" s="17"/>
      <c r="C4895" s="17"/>
      <c r="D4895" s="13"/>
      <c r="E4895" s="11"/>
      <c r="F4895" s="11"/>
      <c r="G4895" s="13">
        <f t="shared" si="1"/>
        <v>1281</v>
      </c>
      <c r="H4895" s="13"/>
    </row>
    <row r="4896" ht="22.5" customHeight="1">
      <c r="B4896" s="17"/>
      <c r="C4896" s="17"/>
      <c r="D4896" s="13"/>
      <c r="E4896" s="11"/>
      <c r="F4896" s="11"/>
      <c r="G4896" s="13">
        <f t="shared" si="1"/>
        <v>1281</v>
      </c>
      <c r="H4896" s="13"/>
    </row>
    <row r="4897" ht="22.5" customHeight="1">
      <c r="B4897" s="17"/>
      <c r="C4897" s="17"/>
      <c r="D4897" s="13"/>
      <c r="E4897" s="11"/>
      <c r="F4897" s="11"/>
      <c r="G4897" s="13">
        <f t="shared" si="1"/>
        <v>1281</v>
      </c>
      <c r="H4897" s="13"/>
    </row>
    <row r="4898" ht="22.5" customHeight="1">
      <c r="B4898" s="17"/>
      <c r="C4898" s="17"/>
      <c r="D4898" s="13"/>
      <c r="E4898" s="11"/>
      <c r="F4898" s="11"/>
      <c r="G4898" s="13">
        <f t="shared" si="1"/>
        <v>1281</v>
      </c>
      <c r="H4898" s="13"/>
    </row>
    <row r="4899" ht="22.5" customHeight="1">
      <c r="B4899" s="17"/>
      <c r="C4899" s="17"/>
      <c r="D4899" s="13"/>
      <c r="E4899" s="11"/>
      <c r="F4899" s="11"/>
      <c r="G4899" s="13">
        <f t="shared" si="1"/>
        <v>1281</v>
      </c>
      <c r="H4899" s="13"/>
    </row>
    <row r="4900" ht="22.5" customHeight="1">
      <c r="B4900" s="17"/>
      <c r="C4900" s="17"/>
      <c r="D4900" s="13"/>
      <c r="E4900" s="11"/>
      <c r="F4900" s="11"/>
      <c r="G4900" s="13">
        <f t="shared" si="1"/>
        <v>1281</v>
      </c>
      <c r="H4900" s="13"/>
    </row>
    <row r="4901" ht="22.5" customHeight="1">
      <c r="B4901" s="17"/>
      <c r="C4901" s="17"/>
      <c r="D4901" s="13"/>
      <c r="E4901" s="11"/>
      <c r="F4901" s="11"/>
      <c r="G4901" s="13">
        <f t="shared" si="1"/>
        <v>1281</v>
      </c>
      <c r="H4901" s="13"/>
    </row>
    <row r="4902" ht="22.5" customHeight="1">
      <c r="B4902" s="17"/>
      <c r="C4902" s="17"/>
      <c r="D4902" s="13"/>
      <c r="E4902" s="11"/>
      <c r="F4902" s="11"/>
      <c r="G4902" s="13">
        <f t="shared" si="1"/>
        <v>1281</v>
      </c>
      <c r="H4902" s="13"/>
    </row>
    <row r="4903" ht="22.5" customHeight="1">
      <c r="B4903" s="17"/>
      <c r="C4903" s="17"/>
      <c r="D4903" s="13"/>
      <c r="E4903" s="11"/>
      <c r="F4903" s="11"/>
      <c r="G4903" s="13">
        <f t="shared" si="1"/>
        <v>1281</v>
      </c>
      <c r="H4903" s="13"/>
    </row>
    <row r="4904" ht="22.5" customHeight="1">
      <c r="B4904" s="17"/>
      <c r="C4904" s="17"/>
      <c r="D4904" s="13"/>
      <c r="E4904" s="11"/>
      <c r="F4904" s="11"/>
      <c r="G4904" s="13">
        <f t="shared" si="1"/>
        <v>1281</v>
      </c>
      <c r="H4904" s="13"/>
    </row>
    <row r="4905" ht="22.5" customHeight="1">
      <c r="B4905" s="17"/>
      <c r="C4905" s="17"/>
      <c r="D4905" s="13"/>
      <c r="E4905" s="11"/>
      <c r="F4905" s="11"/>
      <c r="G4905" s="13">
        <f t="shared" si="1"/>
        <v>1281</v>
      </c>
      <c r="H4905" s="13"/>
    </row>
    <row r="4906" ht="22.5" customHeight="1">
      <c r="B4906" s="17"/>
      <c r="C4906" s="17"/>
      <c r="D4906" s="13"/>
      <c r="E4906" s="11"/>
      <c r="F4906" s="11"/>
      <c r="G4906" s="13">
        <f t="shared" si="1"/>
        <v>1281</v>
      </c>
      <c r="H4906" s="13"/>
    </row>
    <row r="4907" ht="22.5" customHeight="1">
      <c r="B4907" s="17"/>
      <c r="C4907" s="17"/>
      <c r="D4907" s="13"/>
      <c r="E4907" s="11"/>
      <c r="F4907" s="11"/>
      <c r="G4907" s="13">
        <f t="shared" si="1"/>
        <v>1281</v>
      </c>
      <c r="H4907" s="13"/>
    </row>
    <row r="4908" ht="22.5" customHeight="1">
      <c r="B4908" s="17"/>
      <c r="C4908" s="17"/>
      <c r="D4908" s="13"/>
      <c r="E4908" s="11"/>
      <c r="F4908" s="11"/>
      <c r="G4908" s="13">
        <f t="shared" si="1"/>
        <v>1281</v>
      </c>
      <c r="H4908" s="13"/>
    </row>
    <row r="4909" ht="22.5" customHeight="1">
      <c r="B4909" s="17"/>
      <c r="C4909" s="17"/>
      <c r="D4909" s="13"/>
      <c r="E4909" s="11"/>
      <c r="F4909" s="11"/>
      <c r="G4909" s="13">
        <f t="shared" si="1"/>
        <v>1281</v>
      </c>
      <c r="H4909" s="13"/>
    </row>
    <row r="4910" ht="22.5" customHeight="1">
      <c r="B4910" s="17"/>
      <c r="C4910" s="17"/>
      <c r="D4910" s="13"/>
      <c r="E4910" s="11"/>
      <c r="F4910" s="11"/>
      <c r="G4910" s="13">
        <f t="shared" si="1"/>
        <v>1281</v>
      </c>
      <c r="H4910" s="13"/>
    </row>
    <row r="4911" ht="22.5" customHeight="1">
      <c r="B4911" s="17"/>
      <c r="C4911" s="17"/>
      <c r="D4911" s="13"/>
      <c r="E4911" s="11"/>
      <c r="F4911" s="11"/>
      <c r="G4911" s="13">
        <f t="shared" si="1"/>
        <v>1281</v>
      </c>
      <c r="H4911" s="13"/>
    </row>
    <row r="4912" ht="22.5" customHeight="1">
      <c r="B4912" s="17"/>
      <c r="C4912" s="17"/>
      <c r="D4912" s="13"/>
      <c r="E4912" s="11"/>
      <c r="F4912" s="11"/>
      <c r="G4912" s="13">
        <f t="shared" si="1"/>
        <v>1281</v>
      </c>
      <c r="H4912" s="13"/>
    </row>
    <row r="4913" ht="22.5" customHeight="1">
      <c r="B4913" s="17"/>
      <c r="C4913" s="17"/>
      <c r="D4913" s="13"/>
      <c r="E4913" s="11"/>
      <c r="F4913" s="11"/>
      <c r="G4913" s="13">
        <f t="shared" si="1"/>
        <v>1281</v>
      </c>
      <c r="H4913" s="13"/>
    </row>
    <row r="4914" ht="22.5" customHeight="1">
      <c r="B4914" s="17"/>
      <c r="C4914" s="17"/>
      <c r="D4914" s="13"/>
      <c r="E4914" s="11"/>
      <c r="F4914" s="11"/>
      <c r="G4914" s="13">
        <f t="shared" si="1"/>
        <v>1281</v>
      </c>
      <c r="H4914" s="13"/>
    </row>
    <row r="4915" ht="22.5" customHeight="1">
      <c r="B4915" s="17"/>
      <c r="C4915" s="17"/>
      <c r="D4915" s="13"/>
      <c r="E4915" s="11"/>
      <c r="F4915" s="11"/>
      <c r="G4915" s="13">
        <f t="shared" si="1"/>
        <v>1281</v>
      </c>
      <c r="H4915" s="13"/>
    </row>
    <row r="4916" ht="22.5" customHeight="1">
      <c r="B4916" s="17"/>
      <c r="C4916" s="17"/>
      <c r="D4916" s="13"/>
      <c r="E4916" s="11"/>
      <c r="F4916" s="11"/>
      <c r="G4916" s="13">
        <f t="shared" si="1"/>
        <v>1281</v>
      </c>
      <c r="H4916" s="13"/>
    </row>
    <row r="4917" ht="22.5" customHeight="1">
      <c r="B4917" s="17"/>
      <c r="C4917" s="17"/>
      <c r="D4917" s="13"/>
      <c r="E4917" s="11"/>
      <c r="F4917" s="11"/>
      <c r="G4917" s="13">
        <f t="shared" si="1"/>
        <v>1281</v>
      </c>
      <c r="H4917" s="13"/>
    </row>
    <row r="4918" ht="22.5" customHeight="1">
      <c r="B4918" s="17"/>
      <c r="C4918" s="17"/>
      <c r="D4918" s="13"/>
      <c r="E4918" s="11"/>
      <c r="F4918" s="11"/>
      <c r="G4918" s="13">
        <f t="shared" si="1"/>
        <v>1281</v>
      </c>
      <c r="H4918" s="13"/>
    </row>
    <row r="4919" ht="22.5" customHeight="1">
      <c r="B4919" s="17"/>
      <c r="C4919" s="17"/>
      <c r="D4919" s="13"/>
      <c r="E4919" s="11"/>
      <c r="F4919" s="11"/>
      <c r="G4919" s="13">
        <f t="shared" si="1"/>
        <v>1281</v>
      </c>
      <c r="H4919" s="13"/>
    </row>
    <row r="4920" ht="22.5" customHeight="1">
      <c r="B4920" s="17"/>
      <c r="C4920" s="17"/>
      <c r="D4920" s="13"/>
      <c r="E4920" s="11"/>
      <c r="F4920" s="11"/>
      <c r="G4920" s="13">
        <f t="shared" si="1"/>
        <v>1281</v>
      </c>
      <c r="H4920" s="13"/>
    </row>
    <row r="4921" ht="22.5" customHeight="1">
      <c r="B4921" s="17"/>
      <c r="C4921" s="17"/>
      <c r="D4921" s="13"/>
      <c r="E4921" s="11"/>
      <c r="F4921" s="11"/>
      <c r="G4921" s="13">
        <f t="shared" si="1"/>
        <v>1281</v>
      </c>
      <c r="H4921" s="13"/>
    </row>
    <row r="4922" ht="22.5" customHeight="1">
      <c r="B4922" s="17"/>
      <c r="C4922" s="17"/>
      <c r="D4922" s="13"/>
      <c r="E4922" s="11"/>
      <c r="F4922" s="11"/>
      <c r="G4922" s="13">
        <f t="shared" si="1"/>
        <v>1281</v>
      </c>
      <c r="H4922" s="13"/>
    </row>
    <row r="4923" ht="22.5" customHeight="1">
      <c r="B4923" s="17"/>
      <c r="C4923" s="17"/>
      <c r="D4923" s="13"/>
      <c r="E4923" s="11"/>
      <c r="F4923" s="11"/>
      <c r="G4923" s="13">
        <f t="shared" si="1"/>
        <v>1281</v>
      </c>
      <c r="H4923" s="13"/>
    </row>
    <row r="4924" ht="22.5" customHeight="1">
      <c r="B4924" s="17"/>
      <c r="C4924" s="17"/>
      <c r="D4924" s="13"/>
      <c r="E4924" s="11"/>
      <c r="F4924" s="11"/>
      <c r="G4924" s="13">
        <f t="shared" si="1"/>
        <v>1281</v>
      </c>
      <c r="H4924" s="13"/>
    </row>
    <row r="4925" ht="22.5" customHeight="1">
      <c r="B4925" s="17"/>
      <c r="C4925" s="17"/>
      <c r="D4925" s="13"/>
      <c r="E4925" s="11"/>
      <c r="F4925" s="11"/>
      <c r="G4925" s="13">
        <f t="shared" si="1"/>
        <v>1281</v>
      </c>
      <c r="H4925" s="13"/>
    </row>
    <row r="4926" ht="22.5" customHeight="1">
      <c r="B4926" s="17"/>
      <c r="C4926" s="17"/>
      <c r="D4926" s="13"/>
      <c r="E4926" s="11"/>
      <c r="F4926" s="11"/>
      <c r="G4926" s="13">
        <f t="shared" si="1"/>
        <v>1281</v>
      </c>
      <c r="H4926" s="13"/>
    </row>
    <row r="4927" ht="22.5" customHeight="1">
      <c r="B4927" s="17"/>
      <c r="C4927" s="17"/>
      <c r="D4927" s="13"/>
      <c r="E4927" s="11"/>
      <c r="F4927" s="11"/>
      <c r="G4927" s="13">
        <f t="shared" si="1"/>
        <v>1281</v>
      </c>
      <c r="H4927" s="13"/>
    </row>
    <row r="4928" ht="22.5" customHeight="1">
      <c r="B4928" s="17"/>
      <c r="C4928" s="17"/>
      <c r="D4928" s="13"/>
      <c r="E4928" s="11"/>
      <c r="F4928" s="11"/>
      <c r="G4928" s="13">
        <f t="shared" si="1"/>
        <v>1281</v>
      </c>
      <c r="H4928" s="13"/>
    </row>
    <row r="4929" ht="22.5" customHeight="1">
      <c r="B4929" s="17"/>
      <c r="C4929" s="17"/>
      <c r="D4929" s="13"/>
      <c r="E4929" s="11"/>
      <c r="F4929" s="11"/>
      <c r="G4929" s="13">
        <f t="shared" si="1"/>
        <v>1281</v>
      </c>
      <c r="H4929" s="13"/>
    </row>
    <row r="4930" ht="22.5" customHeight="1">
      <c r="B4930" s="17"/>
      <c r="C4930" s="17"/>
      <c r="D4930" s="13"/>
      <c r="E4930" s="11"/>
      <c r="F4930" s="11"/>
      <c r="G4930" s="13">
        <f t="shared" si="1"/>
        <v>1281</v>
      </c>
      <c r="H4930" s="13"/>
    </row>
    <row r="4931" ht="22.5" customHeight="1">
      <c r="B4931" s="17"/>
      <c r="C4931" s="17"/>
      <c r="D4931" s="13"/>
      <c r="E4931" s="11"/>
      <c r="F4931" s="11"/>
      <c r="G4931" s="13">
        <f t="shared" si="1"/>
        <v>1281</v>
      </c>
      <c r="H4931" s="13"/>
    </row>
    <row r="4932" ht="22.5" customHeight="1">
      <c r="B4932" s="17"/>
      <c r="C4932" s="17"/>
      <c r="D4932" s="13"/>
      <c r="E4932" s="11"/>
      <c r="F4932" s="11"/>
      <c r="G4932" s="13">
        <f t="shared" si="1"/>
        <v>1281</v>
      </c>
      <c r="H4932" s="13"/>
    </row>
    <row r="4933" ht="22.5" customHeight="1">
      <c r="B4933" s="17"/>
      <c r="C4933" s="17"/>
      <c r="D4933" s="13"/>
      <c r="E4933" s="11"/>
      <c r="F4933" s="11"/>
      <c r="G4933" s="13">
        <f t="shared" si="1"/>
        <v>1281</v>
      </c>
      <c r="H4933" s="13"/>
    </row>
    <row r="4934" ht="22.5" customHeight="1">
      <c r="B4934" s="17"/>
      <c r="C4934" s="17"/>
      <c r="D4934" s="13"/>
      <c r="E4934" s="11"/>
      <c r="F4934" s="11"/>
      <c r="G4934" s="13">
        <f t="shared" si="1"/>
        <v>1281</v>
      </c>
      <c r="H4934" s="13"/>
    </row>
    <row r="4935" ht="22.5" customHeight="1">
      <c r="B4935" s="17"/>
      <c r="C4935" s="17"/>
      <c r="D4935" s="13"/>
      <c r="E4935" s="11"/>
      <c r="F4935" s="11"/>
      <c r="G4935" s="13">
        <f t="shared" si="1"/>
        <v>1281</v>
      </c>
      <c r="H4935" s="13"/>
    </row>
    <row r="4936" ht="22.5" customHeight="1">
      <c r="B4936" s="17"/>
      <c r="C4936" s="17"/>
      <c r="D4936" s="13"/>
      <c r="E4936" s="11"/>
      <c r="F4936" s="11"/>
      <c r="G4936" s="13">
        <f t="shared" si="1"/>
        <v>1281</v>
      </c>
      <c r="H4936" s="13"/>
    </row>
    <row r="4937" ht="22.5" customHeight="1">
      <c r="B4937" s="17"/>
      <c r="C4937" s="17"/>
      <c r="D4937" s="13"/>
      <c r="E4937" s="11"/>
      <c r="F4937" s="11"/>
      <c r="G4937" s="13">
        <f t="shared" si="1"/>
        <v>1281</v>
      </c>
      <c r="H4937" s="13"/>
    </row>
    <row r="4938" ht="22.5" customHeight="1">
      <c r="B4938" s="17"/>
      <c r="C4938" s="17"/>
      <c r="D4938" s="13"/>
      <c r="E4938" s="11"/>
      <c r="F4938" s="11"/>
      <c r="G4938" s="13">
        <f t="shared" si="1"/>
        <v>1281</v>
      </c>
      <c r="H4938" s="13"/>
    </row>
    <row r="4939" ht="22.5" customHeight="1">
      <c r="B4939" s="17"/>
      <c r="C4939" s="17"/>
      <c r="D4939" s="13"/>
      <c r="E4939" s="11"/>
      <c r="F4939" s="11"/>
      <c r="G4939" s="13">
        <f t="shared" si="1"/>
        <v>1281</v>
      </c>
      <c r="H4939" s="13"/>
    </row>
    <row r="4940" ht="22.5" customHeight="1">
      <c r="B4940" s="17"/>
      <c r="C4940" s="17"/>
      <c r="D4940" s="13"/>
      <c r="E4940" s="11"/>
      <c r="F4940" s="11"/>
      <c r="G4940" s="13">
        <f t="shared" si="1"/>
        <v>1281</v>
      </c>
      <c r="H4940" s="13"/>
    </row>
    <row r="4941" ht="22.5" customHeight="1">
      <c r="B4941" s="17"/>
      <c r="C4941" s="17"/>
      <c r="D4941" s="13"/>
      <c r="E4941" s="11"/>
      <c r="F4941" s="11"/>
      <c r="G4941" s="13">
        <f t="shared" si="1"/>
        <v>1281</v>
      </c>
      <c r="H4941" s="13"/>
    </row>
    <row r="4942" ht="22.5" customHeight="1">
      <c r="B4942" s="17"/>
      <c r="C4942" s="17"/>
      <c r="D4942" s="13"/>
      <c r="E4942" s="11"/>
      <c r="F4942" s="11"/>
      <c r="G4942" s="13">
        <f t="shared" si="1"/>
        <v>1281</v>
      </c>
      <c r="H4942" s="13"/>
    </row>
    <row r="4943" ht="22.5" customHeight="1">
      <c r="B4943" s="17"/>
      <c r="C4943" s="17"/>
      <c r="D4943" s="13"/>
      <c r="E4943" s="11"/>
      <c r="F4943" s="11"/>
      <c r="G4943" s="13">
        <f t="shared" si="1"/>
        <v>1281</v>
      </c>
      <c r="H4943" s="13"/>
    </row>
    <row r="4944" ht="22.5" customHeight="1">
      <c r="B4944" s="17"/>
      <c r="C4944" s="17"/>
      <c r="D4944" s="13"/>
      <c r="E4944" s="11"/>
      <c r="F4944" s="11"/>
      <c r="G4944" s="13">
        <f t="shared" si="1"/>
        <v>1281</v>
      </c>
      <c r="H4944" s="13"/>
    </row>
    <row r="4945" ht="22.5" customHeight="1">
      <c r="B4945" s="17"/>
      <c r="C4945" s="17"/>
      <c r="D4945" s="13"/>
      <c r="E4945" s="11"/>
      <c r="F4945" s="11"/>
      <c r="G4945" s="13">
        <f t="shared" si="1"/>
        <v>1281</v>
      </c>
      <c r="H4945" s="13"/>
    </row>
    <row r="4946" ht="22.5" customHeight="1">
      <c r="B4946" s="17"/>
      <c r="C4946" s="17"/>
      <c r="D4946" s="13"/>
      <c r="E4946" s="11"/>
      <c r="F4946" s="11"/>
      <c r="G4946" s="13">
        <f t="shared" si="1"/>
        <v>1281</v>
      </c>
      <c r="H4946" s="13"/>
    </row>
    <row r="4947" ht="22.5" customHeight="1">
      <c r="B4947" s="17"/>
      <c r="C4947" s="17"/>
      <c r="D4947" s="13"/>
      <c r="E4947" s="11"/>
      <c r="F4947" s="11"/>
      <c r="G4947" s="13">
        <f t="shared" si="1"/>
        <v>1281</v>
      </c>
      <c r="H4947" s="13"/>
    </row>
    <row r="4948" ht="22.5" customHeight="1">
      <c r="B4948" s="17"/>
      <c r="C4948" s="17"/>
      <c r="D4948" s="13"/>
      <c r="E4948" s="11"/>
      <c r="F4948" s="11"/>
      <c r="G4948" s="13">
        <f t="shared" si="1"/>
        <v>1281</v>
      </c>
      <c r="H4948" s="13"/>
    </row>
    <row r="4949" ht="22.5" customHeight="1">
      <c r="B4949" s="17"/>
      <c r="C4949" s="17"/>
      <c r="D4949" s="13"/>
      <c r="E4949" s="11"/>
      <c r="F4949" s="11"/>
      <c r="G4949" s="13">
        <f t="shared" si="1"/>
        <v>1281</v>
      </c>
      <c r="H4949" s="13"/>
    </row>
    <row r="4950" ht="22.5" customHeight="1">
      <c r="B4950" s="17"/>
      <c r="C4950" s="17"/>
      <c r="D4950" s="13"/>
      <c r="E4950" s="11"/>
      <c r="F4950" s="11"/>
      <c r="G4950" s="13">
        <f t="shared" si="1"/>
        <v>1281</v>
      </c>
      <c r="H4950" s="13"/>
    </row>
    <row r="4951" ht="22.5" customHeight="1">
      <c r="B4951" s="17"/>
      <c r="C4951" s="17"/>
      <c r="D4951" s="13"/>
      <c r="E4951" s="11"/>
      <c r="F4951" s="11"/>
      <c r="G4951" s="13">
        <f t="shared" si="1"/>
        <v>1281</v>
      </c>
      <c r="H4951" s="13"/>
    </row>
    <row r="4952" ht="22.5" customHeight="1">
      <c r="B4952" s="17"/>
      <c r="C4952" s="17"/>
      <c r="D4952" s="13"/>
      <c r="E4952" s="11"/>
      <c r="F4952" s="11"/>
      <c r="G4952" s="13">
        <f t="shared" si="1"/>
        <v>1281</v>
      </c>
      <c r="H4952" s="13"/>
    </row>
    <row r="4953" ht="22.5" customHeight="1">
      <c r="B4953" s="17"/>
      <c r="C4953" s="17"/>
      <c r="D4953" s="13"/>
      <c r="E4953" s="11"/>
      <c r="F4953" s="11"/>
      <c r="G4953" s="13">
        <f t="shared" si="1"/>
        <v>1281</v>
      </c>
      <c r="H4953" s="13"/>
    </row>
    <row r="4954" ht="22.5" customHeight="1">
      <c r="B4954" s="17"/>
      <c r="C4954" s="17"/>
      <c r="D4954" s="13"/>
      <c r="E4954" s="11"/>
      <c r="F4954" s="11"/>
      <c r="G4954" s="13">
        <f t="shared" si="1"/>
        <v>1281</v>
      </c>
      <c r="H4954" s="13"/>
    </row>
    <row r="4955" ht="22.5" customHeight="1">
      <c r="B4955" s="17"/>
      <c r="C4955" s="17"/>
      <c r="D4955" s="13"/>
      <c r="E4955" s="11"/>
      <c r="F4955" s="11"/>
      <c r="G4955" s="13">
        <f t="shared" si="1"/>
        <v>1281</v>
      </c>
      <c r="H4955" s="13"/>
    </row>
    <row r="4956" ht="22.5" customHeight="1">
      <c r="B4956" s="17"/>
      <c r="C4956" s="17"/>
      <c r="D4956" s="13"/>
      <c r="E4956" s="11"/>
      <c r="F4956" s="11"/>
      <c r="G4956" s="13">
        <f t="shared" si="1"/>
        <v>1281</v>
      </c>
      <c r="H4956" s="13"/>
    </row>
    <row r="4957" ht="22.5" customHeight="1">
      <c r="B4957" s="17"/>
      <c r="C4957" s="17"/>
      <c r="D4957" s="13"/>
      <c r="E4957" s="11"/>
      <c r="F4957" s="11"/>
      <c r="G4957" s="13">
        <f t="shared" si="1"/>
        <v>1281</v>
      </c>
      <c r="H4957" s="13"/>
    </row>
    <row r="4958" ht="22.5" customHeight="1">
      <c r="B4958" s="17"/>
      <c r="C4958" s="17"/>
      <c r="D4958" s="13"/>
      <c r="E4958" s="11"/>
      <c r="F4958" s="11"/>
      <c r="G4958" s="13">
        <f t="shared" si="1"/>
        <v>1281</v>
      </c>
      <c r="H4958" s="13"/>
    </row>
    <row r="4959" ht="22.5" customHeight="1">
      <c r="B4959" s="17"/>
      <c r="C4959" s="17"/>
      <c r="D4959" s="13"/>
      <c r="E4959" s="11"/>
      <c r="F4959" s="11"/>
      <c r="G4959" s="13">
        <f t="shared" si="1"/>
        <v>1281</v>
      </c>
      <c r="H4959" s="13"/>
    </row>
    <row r="4960" ht="22.5" customHeight="1">
      <c r="B4960" s="17"/>
      <c r="C4960" s="17"/>
      <c r="D4960" s="13"/>
      <c r="E4960" s="11"/>
      <c r="F4960" s="11"/>
      <c r="G4960" s="13">
        <f t="shared" si="1"/>
        <v>1281</v>
      </c>
      <c r="H4960" s="13"/>
    </row>
    <row r="4961" ht="22.5" customHeight="1">
      <c r="B4961" s="17"/>
      <c r="C4961" s="17"/>
      <c r="D4961" s="13"/>
      <c r="E4961" s="11"/>
      <c r="F4961" s="11"/>
      <c r="G4961" s="13">
        <f t="shared" si="1"/>
        <v>1281</v>
      </c>
      <c r="H4961" s="13"/>
    </row>
    <row r="4962" ht="22.5" customHeight="1">
      <c r="B4962" s="17"/>
      <c r="C4962" s="17"/>
      <c r="D4962" s="13"/>
      <c r="E4962" s="11"/>
      <c r="F4962" s="11"/>
      <c r="G4962" s="13">
        <f t="shared" si="1"/>
        <v>1281</v>
      </c>
      <c r="H4962" s="13"/>
    </row>
    <row r="4963" ht="22.5" customHeight="1">
      <c r="B4963" s="17"/>
      <c r="C4963" s="17"/>
      <c r="D4963" s="13"/>
      <c r="E4963" s="11"/>
      <c r="F4963" s="11"/>
      <c r="G4963" s="13">
        <f t="shared" si="1"/>
        <v>1281</v>
      </c>
      <c r="H4963" s="13"/>
    </row>
    <row r="4964" ht="22.5" customHeight="1">
      <c r="B4964" s="17"/>
      <c r="C4964" s="17"/>
      <c r="D4964" s="13"/>
      <c r="E4964" s="11"/>
      <c r="F4964" s="11"/>
      <c r="G4964" s="13">
        <f t="shared" si="1"/>
        <v>1281</v>
      </c>
      <c r="H4964" s="13"/>
    </row>
    <row r="4965" ht="22.5" customHeight="1">
      <c r="B4965" s="17"/>
      <c r="C4965" s="17"/>
      <c r="D4965" s="13"/>
      <c r="E4965" s="11"/>
      <c r="F4965" s="11"/>
      <c r="G4965" s="13">
        <f t="shared" si="1"/>
        <v>1281</v>
      </c>
      <c r="H4965" s="13"/>
    </row>
    <row r="4966" ht="22.5" customHeight="1">
      <c r="B4966" s="17"/>
      <c r="C4966" s="17"/>
      <c r="D4966" s="13"/>
      <c r="E4966" s="11"/>
      <c r="F4966" s="11"/>
      <c r="G4966" s="13">
        <f t="shared" si="1"/>
        <v>1281</v>
      </c>
      <c r="H4966" s="13"/>
    </row>
    <row r="4967" ht="22.5" customHeight="1">
      <c r="B4967" s="17"/>
      <c r="C4967" s="17"/>
      <c r="D4967" s="13"/>
      <c r="E4967" s="11"/>
      <c r="F4967" s="11"/>
      <c r="G4967" s="13">
        <f t="shared" si="1"/>
        <v>1281</v>
      </c>
      <c r="H4967" s="13"/>
    </row>
    <row r="4968" ht="22.5" customHeight="1">
      <c r="B4968" s="17"/>
      <c r="C4968" s="17"/>
      <c r="D4968" s="13"/>
      <c r="E4968" s="11"/>
      <c r="F4968" s="11"/>
      <c r="G4968" s="13">
        <f t="shared" si="1"/>
        <v>1281</v>
      </c>
      <c r="H4968" s="13"/>
    </row>
    <row r="4969" ht="22.5" customHeight="1">
      <c r="B4969" s="17"/>
      <c r="C4969" s="17"/>
      <c r="D4969" s="13"/>
      <c r="E4969" s="11"/>
      <c r="F4969" s="11"/>
      <c r="G4969" s="13">
        <f t="shared" si="1"/>
        <v>1281</v>
      </c>
      <c r="H4969" s="13"/>
    </row>
    <row r="4970" ht="22.5" customHeight="1">
      <c r="B4970" s="17"/>
      <c r="C4970" s="17"/>
      <c r="D4970" s="13"/>
      <c r="E4970" s="11"/>
      <c r="F4970" s="11"/>
      <c r="G4970" s="13">
        <f t="shared" si="1"/>
        <v>1281</v>
      </c>
      <c r="H4970" s="13"/>
    </row>
    <row r="4971" ht="22.5" customHeight="1">
      <c r="B4971" s="17"/>
      <c r="C4971" s="17"/>
      <c r="D4971" s="13"/>
      <c r="E4971" s="11"/>
      <c r="F4971" s="11"/>
      <c r="G4971" s="13">
        <f t="shared" si="1"/>
        <v>1281</v>
      </c>
      <c r="H4971" s="13"/>
    </row>
    <row r="4972" ht="22.5" customHeight="1">
      <c r="B4972" s="17"/>
      <c r="C4972" s="17"/>
      <c r="D4972" s="13"/>
      <c r="E4972" s="11"/>
      <c r="F4972" s="11"/>
      <c r="G4972" s="13">
        <f t="shared" si="1"/>
        <v>1281</v>
      </c>
      <c r="H4972" s="13"/>
    </row>
    <row r="4973" ht="22.5" customHeight="1">
      <c r="B4973" s="17"/>
      <c r="C4973" s="17"/>
      <c r="D4973" s="13"/>
      <c r="E4973" s="11"/>
      <c r="F4973" s="11"/>
      <c r="G4973" s="13">
        <f t="shared" si="1"/>
        <v>1281</v>
      </c>
      <c r="H4973" s="13"/>
    </row>
    <row r="4974" ht="22.5" customHeight="1">
      <c r="B4974" s="17"/>
      <c r="C4974" s="17"/>
      <c r="D4974" s="13"/>
      <c r="E4974" s="11"/>
      <c r="F4974" s="11"/>
      <c r="G4974" s="13">
        <f t="shared" si="1"/>
        <v>1281</v>
      </c>
      <c r="H4974" s="13"/>
    </row>
    <row r="4975" ht="22.5" customHeight="1">
      <c r="B4975" s="17"/>
      <c r="C4975" s="17"/>
      <c r="D4975" s="13"/>
      <c r="E4975" s="11"/>
      <c r="F4975" s="11"/>
      <c r="G4975" s="13">
        <f t="shared" si="1"/>
        <v>1281</v>
      </c>
      <c r="H4975" s="13"/>
    </row>
    <row r="4976" ht="22.5" customHeight="1">
      <c r="B4976" s="17"/>
      <c r="C4976" s="17"/>
      <c r="D4976" s="13"/>
      <c r="E4976" s="11"/>
      <c r="F4976" s="11"/>
      <c r="G4976" s="13">
        <f t="shared" si="1"/>
        <v>1281</v>
      </c>
      <c r="H4976" s="13"/>
    </row>
    <row r="4977" ht="22.5" customHeight="1">
      <c r="B4977" s="17"/>
      <c r="C4977" s="17"/>
      <c r="D4977" s="13"/>
      <c r="E4977" s="11"/>
      <c r="F4977" s="11"/>
      <c r="G4977" s="13">
        <f t="shared" si="1"/>
        <v>1281</v>
      </c>
      <c r="H4977" s="13"/>
    </row>
    <row r="4978" ht="22.5" customHeight="1">
      <c r="B4978" s="17"/>
      <c r="C4978" s="17"/>
      <c r="D4978" s="13"/>
      <c r="E4978" s="11"/>
      <c r="F4978" s="11"/>
      <c r="G4978" s="13">
        <f t="shared" si="1"/>
        <v>1281</v>
      </c>
      <c r="H4978" s="13"/>
    </row>
    <row r="4979" ht="22.5" customHeight="1">
      <c r="B4979" s="17"/>
      <c r="C4979" s="17"/>
      <c r="D4979" s="13"/>
      <c r="E4979" s="11"/>
      <c r="F4979" s="11"/>
      <c r="G4979" s="13">
        <f t="shared" si="1"/>
        <v>1281</v>
      </c>
      <c r="H4979" s="13"/>
    </row>
    <row r="4980" ht="22.5" customHeight="1">
      <c r="B4980" s="17"/>
      <c r="C4980" s="17"/>
      <c r="D4980" s="13"/>
      <c r="E4980" s="11"/>
      <c r="F4980" s="11"/>
      <c r="G4980" s="13">
        <f t="shared" si="1"/>
        <v>1281</v>
      </c>
      <c r="H4980" s="13"/>
    </row>
    <row r="4981" ht="22.5" customHeight="1">
      <c r="B4981" s="17"/>
      <c r="C4981" s="17"/>
      <c r="D4981" s="13"/>
      <c r="E4981" s="11"/>
      <c r="F4981" s="11"/>
      <c r="G4981" s="13">
        <f t="shared" si="1"/>
        <v>1281</v>
      </c>
      <c r="H4981" s="13"/>
    </row>
    <row r="4982" ht="22.5" customHeight="1">
      <c r="B4982" s="17"/>
      <c r="C4982" s="17"/>
      <c r="D4982" s="13"/>
      <c r="E4982" s="11"/>
      <c r="F4982" s="11"/>
      <c r="G4982" s="13">
        <f t="shared" si="1"/>
        <v>1281</v>
      </c>
      <c r="H4982" s="13"/>
    </row>
    <row r="4983" ht="22.5" customHeight="1">
      <c r="B4983" s="17"/>
      <c r="C4983" s="17"/>
      <c r="D4983" s="13"/>
      <c r="E4983" s="11"/>
      <c r="F4983" s="11"/>
      <c r="G4983" s="13">
        <f t="shared" si="1"/>
        <v>1281</v>
      </c>
      <c r="H4983" s="13"/>
    </row>
    <row r="4984" ht="22.5" customHeight="1">
      <c r="B4984" s="17"/>
      <c r="C4984" s="17"/>
      <c r="D4984" s="13"/>
      <c r="E4984" s="11"/>
      <c r="F4984" s="11"/>
      <c r="G4984" s="13">
        <f t="shared" si="1"/>
        <v>1281</v>
      </c>
      <c r="H4984" s="13"/>
    </row>
    <row r="4985" ht="22.5" customHeight="1">
      <c r="B4985" s="17"/>
      <c r="C4985" s="17"/>
      <c r="D4985" s="13"/>
      <c r="E4985" s="11"/>
      <c r="F4985" s="11"/>
      <c r="G4985" s="13">
        <f t="shared" si="1"/>
        <v>1281</v>
      </c>
      <c r="H4985" s="13"/>
    </row>
    <row r="4986" ht="22.5" customHeight="1">
      <c r="B4986" s="17"/>
      <c r="C4986" s="17"/>
      <c r="D4986" s="13"/>
      <c r="E4986" s="11"/>
      <c r="F4986" s="11"/>
      <c r="G4986" s="13">
        <f t="shared" si="1"/>
        <v>1281</v>
      </c>
      <c r="H4986" s="13"/>
    </row>
    <row r="4987" ht="22.5" customHeight="1">
      <c r="B4987" s="17"/>
      <c r="C4987" s="17"/>
      <c r="D4987" s="13"/>
      <c r="E4987" s="11"/>
      <c r="F4987" s="11"/>
      <c r="G4987" s="13">
        <f t="shared" si="1"/>
        <v>1281</v>
      </c>
      <c r="H4987" s="13"/>
    </row>
    <row r="4988" ht="22.5" customHeight="1">
      <c r="B4988" s="17"/>
      <c r="C4988" s="17"/>
      <c r="D4988" s="13"/>
      <c r="E4988" s="11"/>
      <c r="F4988" s="11"/>
      <c r="G4988" s="13">
        <f t="shared" si="1"/>
        <v>1281</v>
      </c>
      <c r="H4988" s="13"/>
    </row>
    <row r="4989" ht="22.5" customHeight="1">
      <c r="B4989" s="17"/>
      <c r="C4989" s="17"/>
      <c r="D4989" s="13"/>
      <c r="E4989" s="11"/>
      <c r="F4989" s="11"/>
      <c r="G4989" s="13">
        <f t="shared" si="1"/>
        <v>1281</v>
      </c>
      <c r="H4989" s="13"/>
    </row>
    <row r="4990" ht="22.5" customHeight="1">
      <c r="B4990" s="17"/>
      <c r="C4990" s="17"/>
      <c r="D4990" s="13"/>
      <c r="E4990" s="11"/>
      <c r="F4990" s="11"/>
      <c r="G4990" s="13">
        <f t="shared" si="1"/>
        <v>1281</v>
      </c>
      <c r="H4990" s="13"/>
    </row>
    <row r="4991" ht="22.5" customHeight="1">
      <c r="B4991" s="17"/>
      <c r="C4991" s="17"/>
      <c r="D4991" s="13"/>
      <c r="E4991" s="11"/>
      <c r="F4991" s="11"/>
      <c r="G4991" s="13">
        <f t="shared" si="1"/>
        <v>1281</v>
      </c>
      <c r="H4991" s="13"/>
    </row>
    <row r="4992" ht="22.5" customHeight="1">
      <c r="B4992" s="17"/>
      <c r="C4992" s="17"/>
      <c r="D4992" s="13"/>
      <c r="E4992" s="11"/>
      <c r="F4992" s="11"/>
      <c r="G4992" s="13">
        <f t="shared" si="1"/>
        <v>1281</v>
      </c>
      <c r="H4992" s="13"/>
    </row>
    <row r="4993" ht="22.5" customHeight="1">
      <c r="B4993" s="17"/>
      <c r="C4993" s="17"/>
      <c r="D4993" s="13"/>
      <c r="E4993" s="11"/>
      <c r="F4993" s="11"/>
      <c r="G4993" s="13">
        <f t="shared" si="1"/>
        <v>1281</v>
      </c>
      <c r="H4993" s="13"/>
    </row>
    <row r="4994" ht="22.5" customHeight="1">
      <c r="B4994" s="17"/>
      <c r="C4994" s="17"/>
      <c r="D4994" s="13"/>
      <c r="E4994" s="11"/>
      <c r="F4994" s="11"/>
      <c r="G4994" s="13">
        <f t="shared" si="1"/>
        <v>1281</v>
      </c>
      <c r="H4994" s="13"/>
    </row>
    <row r="4995" ht="22.5" customHeight="1">
      <c r="B4995" s="17"/>
      <c r="C4995" s="17"/>
      <c r="D4995" s="13"/>
      <c r="E4995" s="11"/>
      <c r="F4995" s="11"/>
      <c r="G4995" s="13">
        <f t="shared" si="1"/>
        <v>1281</v>
      </c>
      <c r="H4995" s="13"/>
    </row>
    <row r="4996" ht="22.5" customHeight="1">
      <c r="B4996" s="17"/>
      <c r="C4996" s="17"/>
      <c r="D4996" s="13"/>
      <c r="E4996" s="11"/>
      <c r="F4996" s="11"/>
      <c r="G4996" s="13">
        <f t="shared" si="1"/>
        <v>1281</v>
      </c>
      <c r="H4996" s="13"/>
    </row>
    <row r="4997" ht="22.5" customHeight="1">
      <c r="B4997" s="17"/>
      <c r="C4997" s="17"/>
      <c r="D4997" s="13"/>
      <c r="E4997" s="11"/>
      <c r="F4997" s="11"/>
      <c r="G4997" s="13">
        <f t="shared" si="1"/>
        <v>1281</v>
      </c>
      <c r="H4997" s="13"/>
    </row>
    <row r="4998" ht="22.5" customHeight="1">
      <c r="B4998" s="17"/>
      <c r="C4998" s="17"/>
      <c r="D4998" s="13"/>
      <c r="E4998" s="11"/>
      <c r="F4998" s="11"/>
      <c r="G4998" s="13">
        <f t="shared" si="1"/>
        <v>1281</v>
      </c>
      <c r="H4998" s="13"/>
    </row>
    <row r="4999" ht="22.5" customHeight="1">
      <c r="B4999" s="17"/>
      <c r="C4999" s="17"/>
      <c r="D4999" s="13"/>
      <c r="E4999" s="11"/>
      <c r="F4999" s="11"/>
      <c r="G4999" s="13">
        <f t="shared" si="1"/>
        <v>1281</v>
      </c>
      <c r="H4999" s="13"/>
    </row>
    <row r="5000" ht="22.5" customHeight="1">
      <c r="B5000" s="17"/>
      <c r="C5000" s="17"/>
      <c r="D5000" s="13"/>
      <c r="E5000" s="11"/>
      <c r="F5000" s="11"/>
      <c r="G5000" s="13">
        <f t="shared" si="1"/>
        <v>1281</v>
      </c>
      <c r="H5000" s="13"/>
    </row>
    <row r="5001" ht="22.5" customHeight="1">
      <c r="B5001" s="17"/>
      <c r="C5001" s="17"/>
      <c r="D5001" s="13"/>
      <c r="E5001" s="11"/>
      <c r="F5001" s="11"/>
      <c r="G5001" s="13">
        <f t="shared" si="1"/>
        <v>1281</v>
      </c>
      <c r="H5001" s="13"/>
    </row>
    <row r="5002" ht="22.5" customHeight="1">
      <c r="B5002" s="17"/>
      <c r="C5002" s="17"/>
      <c r="D5002" s="13"/>
      <c r="E5002" s="11"/>
      <c r="F5002" s="11"/>
      <c r="G5002" s="13">
        <f t="shared" si="1"/>
        <v>1281</v>
      </c>
      <c r="H5002" s="13"/>
    </row>
    <row r="5003" ht="22.5" customHeight="1">
      <c r="B5003" s="17"/>
      <c r="C5003" s="17"/>
      <c r="D5003" s="13"/>
      <c r="E5003" s="11"/>
      <c r="F5003" s="11"/>
      <c r="G5003" s="13">
        <f t="shared" si="1"/>
        <v>1281</v>
      </c>
      <c r="H5003" s="13"/>
    </row>
    <row r="5004" ht="22.5" customHeight="1">
      <c r="B5004" s="17"/>
      <c r="C5004" s="17"/>
      <c r="D5004" s="13"/>
      <c r="E5004" s="11"/>
      <c r="F5004" s="11"/>
      <c r="G5004" s="13">
        <f t="shared" si="1"/>
        <v>1281</v>
      </c>
      <c r="H5004" s="13"/>
    </row>
    <row r="5005" ht="22.5" customHeight="1">
      <c r="B5005" s="17"/>
      <c r="C5005" s="17"/>
      <c r="D5005" s="13"/>
      <c r="E5005" s="11"/>
      <c r="F5005" s="11"/>
      <c r="G5005" s="13">
        <f t="shared" si="1"/>
        <v>1281</v>
      </c>
      <c r="H5005" s="13"/>
    </row>
    <row r="5006" ht="22.5" customHeight="1">
      <c r="B5006" s="17"/>
      <c r="C5006" s="17"/>
      <c r="D5006" s="13"/>
      <c r="E5006" s="11"/>
      <c r="F5006" s="11"/>
      <c r="G5006" s="13">
        <f t="shared" si="1"/>
        <v>1281</v>
      </c>
      <c r="H5006" s="13"/>
    </row>
    <row r="5007" ht="22.5" customHeight="1">
      <c r="B5007" s="17"/>
      <c r="C5007" s="17"/>
      <c r="D5007" s="13"/>
      <c r="E5007" s="11"/>
      <c r="F5007" s="11"/>
      <c r="G5007" s="13">
        <f t="shared" si="1"/>
        <v>1281</v>
      </c>
      <c r="H5007" s="13"/>
    </row>
    <row r="5008" ht="22.5" customHeight="1">
      <c r="B5008" s="17"/>
      <c r="C5008" s="17"/>
      <c r="D5008" s="13"/>
      <c r="E5008" s="11"/>
      <c r="F5008" s="11"/>
      <c r="G5008" s="13">
        <f t="shared" si="1"/>
        <v>1281</v>
      </c>
      <c r="H5008" s="13"/>
    </row>
    <row r="5009" ht="22.5" customHeight="1">
      <c r="B5009" s="17"/>
      <c r="C5009" s="17"/>
      <c r="D5009" s="13"/>
      <c r="E5009" s="11"/>
      <c r="F5009" s="11"/>
      <c r="G5009" s="13">
        <f t="shared" si="1"/>
        <v>1281</v>
      </c>
      <c r="H5009" s="13"/>
    </row>
    <row r="5010" ht="22.5" customHeight="1">
      <c r="B5010" s="17"/>
      <c r="C5010" s="17"/>
      <c r="D5010" s="13"/>
      <c r="E5010" s="11"/>
      <c r="F5010" s="11"/>
      <c r="G5010" s="13">
        <f t="shared" si="1"/>
        <v>1281</v>
      </c>
      <c r="H5010" s="13"/>
    </row>
    <row r="5011" ht="22.5" customHeight="1">
      <c r="B5011" s="17"/>
      <c r="C5011" s="17"/>
      <c r="D5011" s="13"/>
      <c r="E5011" s="11"/>
      <c r="F5011" s="11"/>
      <c r="G5011" s="13">
        <f t="shared" si="1"/>
        <v>1281</v>
      </c>
      <c r="H5011" s="13"/>
    </row>
    <row r="5012" ht="22.5" customHeight="1">
      <c r="B5012" s="17"/>
      <c r="C5012" s="17"/>
      <c r="D5012" s="13"/>
      <c r="E5012" s="11"/>
      <c r="F5012" s="11"/>
      <c r="G5012" s="13">
        <f t="shared" si="1"/>
        <v>1281</v>
      </c>
      <c r="H5012" s="13"/>
    </row>
    <row r="5013" ht="22.5" customHeight="1">
      <c r="B5013" s="17"/>
      <c r="C5013" s="17"/>
      <c r="D5013" s="13"/>
      <c r="E5013" s="11"/>
      <c r="F5013" s="11"/>
      <c r="G5013" s="13">
        <f t="shared" si="1"/>
        <v>1281</v>
      </c>
      <c r="H5013" s="13"/>
    </row>
    <row r="5014" ht="22.5" customHeight="1">
      <c r="B5014" s="17"/>
      <c r="C5014" s="17"/>
      <c r="D5014" s="13"/>
      <c r="E5014" s="11"/>
      <c r="F5014" s="11"/>
      <c r="G5014" s="13">
        <f t="shared" si="1"/>
        <v>1281</v>
      </c>
      <c r="H5014" s="13"/>
    </row>
    <row r="5015" ht="22.5" customHeight="1">
      <c r="B5015" s="17"/>
      <c r="C5015" s="17"/>
      <c r="D5015" s="13"/>
      <c r="E5015" s="11"/>
      <c r="F5015" s="11"/>
      <c r="G5015" s="13">
        <f t="shared" si="1"/>
        <v>1281</v>
      </c>
      <c r="H5015" s="13"/>
    </row>
    <row r="5016" ht="22.5" customHeight="1">
      <c r="B5016" s="17"/>
      <c r="C5016" s="17"/>
      <c r="D5016" s="13"/>
      <c r="E5016" s="11"/>
      <c r="F5016" s="11"/>
      <c r="G5016" s="13">
        <f t="shared" si="1"/>
        <v>1281</v>
      </c>
      <c r="H5016" s="13"/>
    </row>
    <row r="5017" ht="22.5" customHeight="1">
      <c r="B5017" s="17"/>
      <c r="C5017" s="17"/>
      <c r="D5017" s="13"/>
      <c r="E5017" s="11"/>
      <c r="F5017" s="11"/>
      <c r="G5017" s="13">
        <f t="shared" si="1"/>
        <v>1281</v>
      </c>
      <c r="H5017" s="13"/>
    </row>
    <row r="5018" ht="22.5" customHeight="1">
      <c r="B5018" s="17"/>
      <c r="C5018" s="17"/>
      <c r="D5018" s="13"/>
      <c r="E5018" s="11"/>
      <c r="F5018" s="11"/>
      <c r="G5018" s="13">
        <f t="shared" si="1"/>
        <v>1281</v>
      </c>
      <c r="H5018" s="13"/>
    </row>
    <row r="5019" ht="22.5" customHeight="1">
      <c r="B5019" s="17"/>
      <c r="C5019" s="17"/>
      <c r="D5019" s="13"/>
      <c r="E5019" s="11"/>
      <c r="F5019" s="11"/>
      <c r="G5019" s="13">
        <f t="shared" si="1"/>
        <v>1281</v>
      </c>
      <c r="H5019" s="13"/>
    </row>
    <row r="5020" ht="22.5" customHeight="1">
      <c r="B5020" s="17"/>
      <c r="C5020" s="17"/>
      <c r="D5020" s="13"/>
      <c r="E5020" s="11"/>
      <c r="F5020" s="11"/>
      <c r="G5020" s="13">
        <f t="shared" si="1"/>
        <v>1281</v>
      </c>
      <c r="H5020" s="13"/>
    </row>
    <row r="5021" ht="22.5" customHeight="1">
      <c r="B5021" s="17"/>
      <c r="C5021" s="17"/>
      <c r="D5021" s="13"/>
      <c r="E5021" s="11"/>
      <c r="F5021" s="11"/>
      <c r="G5021" s="13">
        <f t="shared" si="1"/>
        <v>1281</v>
      </c>
      <c r="H5021" s="13"/>
    </row>
    <row r="5022" ht="22.5" customHeight="1">
      <c r="B5022" s="17"/>
      <c r="C5022" s="17"/>
      <c r="D5022" s="13"/>
      <c r="E5022" s="11"/>
      <c r="F5022" s="11"/>
      <c r="G5022" s="13">
        <f t="shared" si="1"/>
        <v>1281</v>
      </c>
      <c r="H5022" s="13"/>
    </row>
    <row r="5023" ht="22.5" customHeight="1">
      <c r="B5023" s="17"/>
      <c r="C5023" s="17"/>
      <c r="D5023" s="13"/>
      <c r="E5023" s="11"/>
      <c r="F5023" s="11"/>
      <c r="G5023" s="13">
        <f t="shared" si="1"/>
        <v>1281</v>
      </c>
      <c r="H5023" s="13"/>
    </row>
    <row r="5024" ht="22.5" customHeight="1">
      <c r="B5024" s="17"/>
      <c r="C5024" s="17"/>
      <c r="D5024" s="13"/>
      <c r="E5024" s="11"/>
      <c r="F5024" s="11"/>
      <c r="G5024" s="13">
        <f t="shared" si="1"/>
        <v>1281</v>
      </c>
      <c r="H5024" s="13"/>
    </row>
    <row r="5025" ht="22.5" customHeight="1">
      <c r="B5025" s="17"/>
      <c r="C5025" s="17"/>
      <c r="D5025" s="13"/>
      <c r="E5025" s="11"/>
      <c r="F5025" s="11"/>
      <c r="G5025" s="13">
        <f t="shared" si="1"/>
        <v>1281</v>
      </c>
      <c r="H5025" s="13"/>
    </row>
    <row r="5026" ht="22.5" customHeight="1">
      <c r="B5026" s="17"/>
      <c r="C5026" s="17"/>
      <c r="D5026" s="13"/>
      <c r="E5026" s="11"/>
      <c r="F5026" s="11"/>
      <c r="G5026" s="13">
        <f t="shared" si="1"/>
        <v>1281</v>
      </c>
      <c r="H5026" s="13"/>
    </row>
    <row r="5027" ht="22.5" customHeight="1">
      <c r="B5027" s="17"/>
      <c r="C5027" s="17"/>
      <c r="D5027" s="13"/>
      <c r="E5027" s="11"/>
      <c r="F5027" s="11"/>
      <c r="G5027" s="13">
        <f t="shared" si="1"/>
        <v>1281</v>
      </c>
      <c r="H5027" s="13"/>
    </row>
    <row r="5028" ht="22.5" customHeight="1">
      <c r="B5028" s="17"/>
      <c r="C5028" s="17"/>
      <c r="D5028" s="13"/>
      <c r="E5028" s="11"/>
      <c r="F5028" s="11"/>
      <c r="G5028" s="13">
        <f t="shared" si="1"/>
        <v>1281</v>
      </c>
      <c r="H5028" s="13"/>
    </row>
    <row r="5029" ht="22.5" customHeight="1">
      <c r="B5029" s="17"/>
      <c r="C5029" s="17"/>
      <c r="D5029" s="13"/>
      <c r="E5029" s="11"/>
      <c r="F5029" s="11"/>
      <c r="G5029" s="13">
        <f t="shared" si="1"/>
        <v>1281</v>
      </c>
      <c r="H5029" s="13"/>
    </row>
    <row r="5030" ht="22.5" customHeight="1">
      <c r="B5030" s="17"/>
      <c r="C5030" s="17"/>
      <c r="D5030" s="13"/>
      <c r="E5030" s="11"/>
      <c r="F5030" s="11"/>
      <c r="G5030" s="13">
        <f t="shared" si="1"/>
        <v>1281</v>
      </c>
      <c r="H5030" s="13"/>
    </row>
    <row r="5031" ht="22.5" customHeight="1">
      <c r="B5031" s="17"/>
      <c r="C5031" s="17"/>
      <c r="D5031" s="13"/>
      <c r="E5031" s="11"/>
      <c r="F5031" s="11"/>
      <c r="G5031" s="13">
        <f t="shared" si="1"/>
        <v>1281</v>
      </c>
      <c r="H5031" s="13"/>
    </row>
    <row r="5032" ht="22.5" customHeight="1">
      <c r="B5032" s="17"/>
      <c r="C5032" s="17"/>
      <c r="D5032" s="13"/>
      <c r="E5032" s="11"/>
      <c r="F5032" s="11"/>
      <c r="G5032" s="13">
        <f t="shared" si="1"/>
        <v>1281</v>
      </c>
      <c r="H5032" s="13"/>
    </row>
    <row r="5033" ht="22.5" customHeight="1">
      <c r="B5033" s="17"/>
      <c r="C5033" s="17"/>
      <c r="D5033" s="13"/>
      <c r="E5033" s="11"/>
      <c r="F5033" s="11"/>
      <c r="G5033" s="13">
        <f t="shared" si="1"/>
        <v>1281</v>
      </c>
      <c r="H5033" s="13"/>
    </row>
    <row r="5034" ht="22.5" customHeight="1">
      <c r="B5034" s="17"/>
      <c r="C5034" s="17"/>
      <c r="D5034" s="13"/>
      <c r="E5034" s="11"/>
      <c r="F5034" s="11"/>
      <c r="G5034" s="13">
        <f t="shared" si="1"/>
        <v>1281</v>
      </c>
      <c r="H5034" s="13"/>
    </row>
    <row r="5035" ht="22.5" customHeight="1">
      <c r="B5035" s="17"/>
      <c r="C5035" s="17"/>
      <c r="D5035" s="13"/>
      <c r="E5035" s="11"/>
      <c r="F5035" s="11"/>
      <c r="G5035" s="13">
        <f t="shared" si="1"/>
        <v>1281</v>
      </c>
      <c r="H5035" s="13"/>
    </row>
    <row r="5036" ht="22.5" customHeight="1">
      <c r="B5036" s="17"/>
      <c r="C5036" s="17"/>
      <c r="D5036" s="13"/>
      <c r="E5036" s="11"/>
      <c r="F5036" s="11"/>
      <c r="G5036" s="13">
        <f t="shared" si="1"/>
        <v>1281</v>
      </c>
      <c r="H5036" s="13"/>
    </row>
    <row r="5037" ht="22.5" customHeight="1">
      <c r="B5037" s="17"/>
      <c r="C5037" s="17"/>
      <c r="D5037" s="13"/>
      <c r="E5037" s="11"/>
      <c r="F5037" s="11"/>
      <c r="G5037" s="13">
        <f t="shared" si="1"/>
        <v>1281</v>
      </c>
      <c r="H5037" s="13"/>
    </row>
    <row r="5038" ht="22.5" customHeight="1">
      <c r="B5038" s="17"/>
      <c r="C5038" s="17"/>
      <c r="D5038" s="13"/>
      <c r="E5038" s="11"/>
      <c r="F5038" s="11"/>
      <c r="G5038" s="13">
        <f t="shared" si="1"/>
        <v>1281</v>
      </c>
      <c r="H5038" s="13"/>
    </row>
    <row r="5039" ht="22.5" customHeight="1">
      <c r="B5039" s="17"/>
      <c r="C5039" s="17"/>
      <c r="D5039" s="13"/>
      <c r="E5039" s="11"/>
      <c r="F5039" s="11"/>
      <c r="G5039" s="13">
        <f t="shared" si="1"/>
        <v>1281</v>
      </c>
      <c r="H5039" s="13"/>
    </row>
    <row r="5040" ht="22.5" customHeight="1">
      <c r="B5040" s="17"/>
      <c r="C5040" s="17"/>
      <c r="D5040" s="13"/>
      <c r="E5040" s="11"/>
      <c r="F5040" s="11"/>
      <c r="G5040" s="13">
        <f t="shared" si="1"/>
        <v>1281</v>
      </c>
      <c r="H5040" s="13"/>
    </row>
    <row r="5041" ht="22.5" customHeight="1">
      <c r="B5041" s="17"/>
      <c r="C5041" s="17"/>
      <c r="D5041" s="13"/>
      <c r="E5041" s="11"/>
      <c r="F5041" s="11"/>
      <c r="G5041" s="13">
        <f t="shared" si="1"/>
        <v>1281</v>
      </c>
      <c r="H5041" s="13"/>
    </row>
    <row r="5042" ht="22.5" customHeight="1">
      <c r="B5042" s="17"/>
      <c r="C5042" s="17"/>
      <c r="D5042" s="13"/>
      <c r="E5042" s="11"/>
      <c r="F5042" s="11"/>
      <c r="G5042" s="13">
        <f t="shared" si="1"/>
        <v>1281</v>
      </c>
      <c r="H5042" s="13"/>
    </row>
    <row r="5043" ht="22.5" customHeight="1">
      <c r="B5043" s="17"/>
      <c r="C5043" s="17"/>
      <c r="D5043" s="13"/>
      <c r="E5043" s="11"/>
      <c r="F5043" s="11"/>
      <c r="G5043" s="13">
        <f t="shared" si="1"/>
        <v>1281</v>
      </c>
      <c r="H5043" s="13"/>
    </row>
    <row r="5044" ht="22.5" customHeight="1">
      <c r="B5044" s="17"/>
      <c r="C5044" s="17"/>
      <c r="D5044" s="13"/>
      <c r="E5044" s="11"/>
      <c r="F5044" s="11"/>
      <c r="G5044" s="13">
        <f t="shared" si="1"/>
        <v>1281</v>
      </c>
      <c r="H5044" s="13"/>
    </row>
    <row r="5045" ht="22.5" customHeight="1">
      <c r="B5045" s="17"/>
      <c r="C5045" s="17"/>
      <c r="D5045" s="13"/>
      <c r="E5045" s="11"/>
      <c r="F5045" s="11"/>
      <c r="G5045" s="13">
        <f t="shared" si="1"/>
        <v>1281</v>
      </c>
      <c r="H5045" s="13"/>
    </row>
    <row r="5046" ht="22.5" customHeight="1">
      <c r="B5046" s="17"/>
      <c r="C5046" s="17"/>
      <c r="D5046" s="13"/>
      <c r="E5046" s="11"/>
      <c r="F5046" s="11"/>
      <c r="G5046" s="13">
        <f t="shared" si="1"/>
        <v>1281</v>
      </c>
      <c r="H5046" s="13"/>
    </row>
    <row r="5047" ht="22.5" customHeight="1">
      <c r="B5047" s="17"/>
      <c r="C5047" s="17"/>
      <c r="D5047" s="13"/>
      <c r="E5047" s="11"/>
      <c r="F5047" s="11"/>
      <c r="G5047" s="13">
        <f t="shared" si="1"/>
        <v>1281</v>
      </c>
      <c r="H5047" s="13"/>
    </row>
    <row r="5048" ht="22.5" customHeight="1">
      <c r="B5048" s="17"/>
      <c r="C5048" s="17"/>
      <c r="D5048" s="13"/>
      <c r="E5048" s="11"/>
      <c r="F5048" s="11"/>
      <c r="G5048" s="13">
        <f t="shared" si="1"/>
        <v>1281</v>
      </c>
      <c r="H5048" s="13"/>
    </row>
    <row r="5049" ht="22.5" customHeight="1">
      <c r="B5049" s="17"/>
      <c r="C5049" s="17"/>
      <c r="D5049" s="13"/>
      <c r="E5049" s="11"/>
      <c r="F5049" s="11"/>
      <c r="G5049" s="13">
        <f t="shared" si="1"/>
        <v>1281</v>
      </c>
      <c r="H5049" s="13"/>
    </row>
    <row r="5050" ht="22.5" customHeight="1">
      <c r="B5050" s="17"/>
      <c r="C5050" s="17"/>
      <c r="D5050" s="13"/>
      <c r="E5050" s="11"/>
      <c r="F5050" s="11"/>
      <c r="G5050" s="13">
        <f t="shared" si="1"/>
        <v>1281</v>
      </c>
      <c r="H5050" s="13"/>
    </row>
    <row r="5051" ht="22.5" customHeight="1">
      <c r="B5051" s="17"/>
      <c r="C5051" s="17"/>
      <c r="D5051" s="13"/>
      <c r="E5051" s="11"/>
      <c r="F5051" s="11"/>
      <c r="G5051" s="13">
        <f t="shared" si="1"/>
        <v>1281</v>
      </c>
      <c r="H5051" s="13"/>
    </row>
    <row r="5052" ht="22.5" customHeight="1">
      <c r="B5052" s="17"/>
      <c r="C5052" s="17"/>
      <c r="D5052" s="13"/>
      <c r="E5052" s="11"/>
      <c r="F5052" s="11"/>
      <c r="G5052" s="13">
        <f t="shared" si="1"/>
        <v>1281</v>
      </c>
      <c r="H5052" s="13"/>
    </row>
    <row r="5053" ht="22.5" customHeight="1">
      <c r="B5053" s="17"/>
      <c r="C5053" s="17"/>
      <c r="D5053" s="13"/>
      <c r="E5053" s="11"/>
      <c r="F5053" s="11"/>
      <c r="G5053" s="13">
        <f t="shared" si="1"/>
        <v>1281</v>
      </c>
      <c r="H5053" s="13"/>
    </row>
    <row r="5054" ht="22.5" customHeight="1">
      <c r="B5054" s="17"/>
      <c r="C5054" s="17"/>
      <c r="D5054" s="13"/>
      <c r="E5054" s="11"/>
      <c r="F5054" s="11"/>
      <c r="G5054" s="13">
        <f t="shared" si="1"/>
        <v>1281</v>
      </c>
      <c r="H5054" s="13"/>
    </row>
    <row r="5055" ht="22.5" customHeight="1">
      <c r="B5055" s="17"/>
      <c r="C5055" s="17"/>
      <c r="D5055" s="13"/>
      <c r="E5055" s="11"/>
      <c r="F5055" s="11"/>
      <c r="G5055" s="13">
        <f t="shared" si="1"/>
        <v>1281</v>
      </c>
      <c r="H5055" s="13"/>
    </row>
    <row r="5056" ht="22.5" customHeight="1">
      <c r="B5056" s="17"/>
      <c r="C5056" s="17"/>
      <c r="D5056" s="13"/>
      <c r="E5056" s="11"/>
      <c r="F5056" s="11"/>
      <c r="G5056" s="13">
        <f t="shared" si="1"/>
        <v>1281</v>
      </c>
      <c r="H5056" s="13"/>
    </row>
    <row r="5057" ht="22.5" customHeight="1">
      <c r="B5057" s="17"/>
      <c r="C5057" s="17"/>
      <c r="D5057" s="13"/>
      <c r="E5057" s="11"/>
      <c r="F5057" s="11"/>
      <c r="G5057" s="13">
        <f t="shared" si="1"/>
        <v>1281</v>
      </c>
      <c r="H5057" s="13"/>
    </row>
    <row r="5058" ht="22.5" customHeight="1">
      <c r="B5058" s="17"/>
      <c r="C5058" s="17"/>
      <c r="D5058" s="13"/>
      <c r="E5058" s="11"/>
      <c r="F5058" s="11"/>
      <c r="G5058" s="13">
        <f t="shared" si="1"/>
        <v>1281</v>
      </c>
      <c r="H5058" s="13"/>
    </row>
    <row r="5059" ht="22.5" customHeight="1">
      <c r="B5059" s="17"/>
      <c r="C5059" s="17"/>
      <c r="D5059" s="13"/>
      <c r="E5059" s="11"/>
      <c r="F5059" s="11"/>
      <c r="G5059" s="13">
        <f t="shared" si="1"/>
        <v>1281</v>
      </c>
      <c r="H5059" s="13"/>
    </row>
    <row r="5060" ht="22.5" customHeight="1">
      <c r="B5060" s="17"/>
      <c r="C5060" s="17"/>
      <c r="D5060" s="13"/>
      <c r="E5060" s="11"/>
      <c r="F5060" s="11"/>
      <c r="G5060" s="13">
        <f t="shared" si="1"/>
        <v>1281</v>
      </c>
      <c r="H5060" s="13"/>
    </row>
    <row r="5061" ht="22.5" customHeight="1">
      <c r="B5061" s="17"/>
      <c r="C5061" s="17"/>
      <c r="D5061" s="13"/>
      <c r="E5061" s="11"/>
      <c r="F5061" s="11"/>
      <c r="G5061" s="13">
        <f t="shared" si="1"/>
        <v>1281</v>
      </c>
      <c r="H5061" s="13"/>
    </row>
    <row r="5062" ht="22.5" customHeight="1">
      <c r="B5062" s="17"/>
      <c r="C5062" s="17"/>
      <c r="D5062" s="13"/>
      <c r="E5062" s="11"/>
      <c r="F5062" s="11"/>
      <c r="G5062" s="13">
        <f t="shared" si="1"/>
        <v>1281</v>
      </c>
      <c r="H5062" s="13"/>
    </row>
    <row r="5063" ht="22.5" customHeight="1">
      <c r="B5063" s="17"/>
      <c r="C5063" s="17"/>
      <c r="D5063" s="13"/>
      <c r="E5063" s="11"/>
      <c r="F5063" s="11"/>
      <c r="G5063" s="13">
        <f t="shared" si="1"/>
        <v>1281</v>
      </c>
      <c r="H5063" s="13"/>
    </row>
    <row r="5064" ht="22.5" customHeight="1">
      <c r="B5064" s="17"/>
      <c r="C5064" s="17"/>
      <c r="D5064" s="13"/>
      <c r="E5064" s="11"/>
      <c r="F5064" s="11"/>
      <c r="G5064" s="13">
        <f t="shared" si="1"/>
        <v>1281</v>
      </c>
      <c r="H5064" s="13"/>
    </row>
    <row r="5065" ht="22.5" customHeight="1">
      <c r="B5065" s="17"/>
      <c r="C5065" s="17"/>
      <c r="D5065" s="13"/>
      <c r="E5065" s="11"/>
      <c r="F5065" s="11"/>
      <c r="G5065" s="13">
        <f t="shared" si="1"/>
        <v>1281</v>
      </c>
      <c r="H5065" s="13"/>
    </row>
    <row r="5066" ht="22.5" customHeight="1">
      <c r="B5066" s="17"/>
      <c r="C5066" s="17"/>
      <c r="D5066" s="13"/>
      <c r="E5066" s="11"/>
      <c r="F5066" s="11"/>
      <c r="G5066" s="13">
        <f t="shared" si="1"/>
        <v>1281</v>
      </c>
      <c r="H5066" s="13"/>
    </row>
    <row r="5067" ht="22.5" customHeight="1">
      <c r="B5067" s="17"/>
      <c r="C5067" s="17"/>
      <c r="D5067" s="13"/>
      <c r="E5067" s="11"/>
      <c r="F5067" s="11"/>
      <c r="G5067" s="13">
        <f t="shared" si="1"/>
        <v>1281</v>
      </c>
      <c r="H5067" s="13"/>
    </row>
    <row r="5068" ht="22.5" customHeight="1">
      <c r="B5068" s="17"/>
      <c r="C5068" s="17"/>
      <c r="D5068" s="13"/>
      <c r="E5068" s="11"/>
      <c r="F5068" s="11"/>
      <c r="G5068" s="13">
        <f t="shared" si="1"/>
        <v>1281</v>
      </c>
      <c r="H5068" s="13"/>
    </row>
    <row r="5069" ht="22.5" customHeight="1">
      <c r="B5069" s="17"/>
      <c r="C5069" s="17"/>
      <c r="D5069" s="13"/>
      <c r="E5069" s="11"/>
      <c r="F5069" s="11"/>
      <c r="G5069" s="13">
        <f t="shared" si="1"/>
        <v>1281</v>
      </c>
      <c r="H5069" s="13"/>
    </row>
    <row r="5070" ht="22.5" customHeight="1">
      <c r="B5070" s="17"/>
      <c r="C5070" s="17"/>
      <c r="D5070" s="13"/>
      <c r="E5070" s="11"/>
      <c r="F5070" s="11"/>
      <c r="G5070" s="13">
        <f t="shared" si="1"/>
        <v>1281</v>
      </c>
      <c r="H5070" s="13"/>
    </row>
    <row r="5071" ht="22.5" customHeight="1">
      <c r="B5071" s="17"/>
      <c r="C5071" s="17"/>
      <c r="D5071" s="13"/>
      <c r="E5071" s="11"/>
      <c r="F5071" s="11"/>
      <c r="G5071" s="13">
        <f t="shared" si="1"/>
        <v>1281</v>
      </c>
      <c r="H5071" s="13"/>
    </row>
    <row r="5072" ht="22.5" customHeight="1">
      <c r="B5072" s="17"/>
      <c r="C5072" s="17"/>
      <c r="D5072" s="13"/>
      <c r="E5072" s="11"/>
      <c r="F5072" s="11"/>
      <c r="G5072" s="13">
        <f t="shared" si="1"/>
        <v>1281</v>
      </c>
      <c r="H5072" s="13"/>
    </row>
    <row r="5073" ht="22.5" customHeight="1">
      <c r="B5073" s="17"/>
      <c r="C5073" s="17"/>
      <c r="D5073" s="13"/>
      <c r="E5073" s="11"/>
      <c r="F5073" s="11"/>
      <c r="G5073" s="13">
        <f t="shared" si="1"/>
        <v>1281</v>
      </c>
      <c r="H5073" s="13"/>
    </row>
    <row r="5074" ht="22.5" customHeight="1">
      <c r="B5074" s="17"/>
      <c r="C5074" s="17"/>
      <c r="D5074" s="13"/>
      <c r="E5074" s="11"/>
      <c r="F5074" s="11"/>
      <c r="G5074" s="13">
        <f t="shared" si="1"/>
        <v>1281</v>
      </c>
      <c r="H5074" s="13"/>
    </row>
    <row r="5075" ht="22.5" customHeight="1">
      <c r="B5075" s="17"/>
      <c r="C5075" s="17"/>
      <c r="D5075" s="13"/>
      <c r="E5075" s="11"/>
      <c r="F5075" s="11"/>
      <c r="G5075" s="13">
        <f t="shared" si="1"/>
        <v>1281</v>
      </c>
      <c r="H5075" s="13"/>
    </row>
    <row r="5076" ht="22.5" customHeight="1">
      <c r="B5076" s="17"/>
      <c r="C5076" s="17"/>
      <c r="D5076" s="13"/>
      <c r="E5076" s="11"/>
      <c r="F5076" s="11"/>
      <c r="G5076" s="13">
        <f t="shared" si="1"/>
        <v>1281</v>
      </c>
      <c r="H5076" s="13"/>
    </row>
    <row r="5077" ht="22.5" customHeight="1">
      <c r="B5077" s="17"/>
      <c r="C5077" s="17"/>
      <c r="D5077" s="13"/>
      <c r="E5077" s="11"/>
      <c r="F5077" s="11"/>
      <c r="G5077" s="13">
        <f t="shared" si="1"/>
        <v>1281</v>
      </c>
      <c r="H5077" s="13"/>
    </row>
    <row r="5078" ht="22.5" customHeight="1">
      <c r="B5078" s="17"/>
      <c r="C5078" s="17"/>
      <c r="D5078" s="13"/>
      <c r="E5078" s="11"/>
      <c r="F5078" s="11"/>
      <c r="G5078" s="13">
        <f t="shared" si="1"/>
        <v>1281</v>
      </c>
      <c r="H5078" s="13"/>
    </row>
    <row r="5079" ht="22.5" customHeight="1">
      <c r="B5079" s="17"/>
      <c r="C5079" s="17"/>
      <c r="D5079" s="13"/>
      <c r="E5079" s="11"/>
      <c r="F5079" s="11"/>
      <c r="G5079" s="13">
        <f t="shared" si="1"/>
        <v>1281</v>
      </c>
      <c r="H5079" s="13"/>
    </row>
    <row r="5080" ht="22.5" customHeight="1">
      <c r="B5080" s="17"/>
      <c r="C5080" s="17"/>
      <c r="D5080" s="13"/>
      <c r="E5080" s="11"/>
      <c r="F5080" s="11"/>
      <c r="G5080" s="13">
        <f t="shared" si="1"/>
        <v>1281</v>
      </c>
      <c r="H5080" s="13"/>
    </row>
    <row r="5081" ht="22.5" customHeight="1">
      <c r="B5081" s="17"/>
      <c r="C5081" s="17"/>
      <c r="D5081" s="13"/>
      <c r="E5081" s="11"/>
      <c r="F5081" s="11"/>
      <c r="G5081" s="13">
        <f t="shared" si="1"/>
        <v>1281</v>
      </c>
      <c r="H5081" s="13"/>
    </row>
    <row r="5082" ht="22.5" customHeight="1">
      <c r="B5082" s="17"/>
      <c r="C5082" s="17"/>
      <c r="D5082" s="13"/>
      <c r="E5082" s="11"/>
      <c r="F5082" s="11"/>
      <c r="G5082" s="13">
        <f t="shared" si="1"/>
        <v>1281</v>
      </c>
      <c r="H5082" s="13"/>
    </row>
    <row r="5083" ht="22.5" customHeight="1">
      <c r="B5083" s="17"/>
      <c r="C5083" s="17"/>
      <c r="D5083" s="13"/>
      <c r="E5083" s="11"/>
      <c r="F5083" s="11"/>
      <c r="G5083" s="13">
        <f t="shared" si="1"/>
        <v>1281</v>
      </c>
      <c r="H5083" s="13"/>
    </row>
    <row r="5084" ht="22.5" customHeight="1">
      <c r="B5084" s="17"/>
      <c r="C5084" s="17"/>
      <c r="D5084" s="13"/>
      <c r="E5084" s="11"/>
      <c r="F5084" s="11"/>
      <c r="G5084" s="13">
        <f t="shared" si="1"/>
        <v>1281</v>
      </c>
      <c r="H5084" s="13"/>
    </row>
    <row r="5085" ht="22.5" customHeight="1">
      <c r="B5085" s="17"/>
      <c r="C5085" s="17"/>
      <c r="D5085" s="13"/>
      <c r="E5085" s="11"/>
      <c r="F5085" s="11"/>
      <c r="G5085" s="13">
        <f t="shared" si="1"/>
        <v>1281</v>
      </c>
      <c r="H5085" s="13"/>
    </row>
    <row r="5086" ht="22.5" customHeight="1">
      <c r="B5086" s="17"/>
      <c r="C5086" s="17"/>
      <c r="D5086" s="13"/>
      <c r="E5086" s="11"/>
      <c r="F5086" s="11"/>
      <c r="G5086" s="13">
        <f t="shared" si="1"/>
        <v>1281</v>
      </c>
      <c r="H5086" s="13"/>
    </row>
    <row r="5087" ht="22.5" customHeight="1">
      <c r="B5087" s="17"/>
      <c r="C5087" s="17"/>
      <c r="D5087" s="13"/>
      <c r="E5087" s="11"/>
      <c r="F5087" s="11"/>
      <c r="G5087" s="13">
        <f t="shared" si="1"/>
        <v>1281</v>
      </c>
      <c r="H5087" s="13"/>
    </row>
    <row r="5088" ht="22.5" customHeight="1">
      <c r="B5088" s="17"/>
      <c r="C5088" s="17"/>
      <c r="D5088" s="13"/>
      <c r="E5088" s="11"/>
      <c r="F5088" s="11"/>
      <c r="G5088" s="13">
        <f t="shared" si="1"/>
        <v>1281</v>
      </c>
      <c r="H5088" s="13"/>
    </row>
    <row r="5089" ht="22.5" customHeight="1">
      <c r="B5089" s="17"/>
      <c r="C5089" s="17"/>
      <c r="D5089" s="13"/>
      <c r="E5089" s="11"/>
      <c r="F5089" s="11"/>
      <c r="G5089" s="13">
        <f t="shared" si="1"/>
        <v>1281</v>
      </c>
      <c r="H5089" s="13"/>
    </row>
    <row r="5090" ht="22.5" customHeight="1">
      <c r="B5090" s="17"/>
      <c r="C5090" s="17"/>
      <c r="D5090" s="13"/>
      <c r="E5090" s="11"/>
      <c r="F5090" s="11"/>
      <c r="G5090" s="13">
        <f t="shared" si="1"/>
        <v>1281</v>
      </c>
      <c r="H5090" s="13"/>
    </row>
    <row r="5091" ht="22.5" customHeight="1">
      <c r="B5091" s="17"/>
      <c r="C5091" s="17"/>
      <c r="D5091" s="13"/>
      <c r="E5091" s="11"/>
      <c r="F5091" s="11"/>
      <c r="G5091" s="13">
        <f t="shared" si="1"/>
        <v>1281</v>
      </c>
      <c r="H5091" s="13"/>
    </row>
    <row r="5092" ht="22.5" customHeight="1">
      <c r="B5092" s="17"/>
      <c r="C5092" s="17"/>
      <c r="D5092" s="13"/>
      <c r="E5092" s="11"/>
      <c r="F5092" s="11"/>
      <c r="G5092" s="13">
        <f t="shared" si="1"/>
        <v>1281</v>
      </c>
      <c r="H5092" s="13"/>
    </row>
    <row r="5093" ht="22.5" customHeight="1">
      <c r="B5093" s="17"/>
      <c r="C5093" s="17"/>
      <c r="D5093" s="13"/>
      <c r="E5093" s="11"/>
      <c r="F5093" s="11"/>
      <c r="G5093" s="13">
        <f t="shared" si="1"/>
        <v>1281</v>
      </c>
      <c r="H5093" s="13"/>
    </row>
    <row r="5094" ht="22.5" customHeight="1">
      <c r="B5094" s="17"/>
      <c r="C5094" s="17"/>
      <c r="D5094" s="13"/>
      <c r="E5094" s="11"/>
      <c r="F5094" s="11"/>
      <c r="G5094" s="13">
        <f t="shared" si="1"/>
        <v>1281</v>
      </c>
      <c r="H5094" s="13"/>
    </row>
    <row r="5095" ht="22.5" customHeight="1">
      <c r="B5095" s="17"/>
      <c r="C5095" s="17"/>
      <c r="D5095" s="13"/>
      <c r="E5095" s="11"/>
      <c r="F5095" s="11"/>
      <c r="G5095" s="13">
        <f t="shared" si="1"/>
        <v>1281</v>
      </c>
      <c r="H5095" s="13"/>
    </row>
    <row r="5096" ht="22.5" customHeight="1">
      <c r="B5096" s="17"/>
      <c r="C5096" s="17"/>
      <c r="D5096" s="13"/>
      <c r="E5096" s="11"/>
      <c r="F5096" s="11"/>
      <c r="G5096" s="13">
        <f t="shared" si="1"/>
        <v>1281</v>
      </c>
      <c r="H5096" s="13"/>
    </row>
    <row r="5097" ht="22.5" customHeight="1">
      <c r="B5097" s="17"/>
      <c r="C5097" s="17"/>
      <c r="D5097" s="13"/>
      <c r="E5097" s="11"/>
      <c r="F5097" s="11"/>
      <c r="G5097" s="13">
        <f t="shared" si="1"/>
        <v>1281</v>
      </c>
      <c r="H5097" s="13"/>
    </row>
    <row r="5098" ht="22.5" customHeight="1">
      <c r="B5098" s="17"/>
      <c r="C5098" s="17"/>
      <c r="D5098" s="13"/>
      <c r="E5098" s="11"/>
      <c r="F5098" s="11"/>
      <c r="G5098" s="13">
        <f t="shared" si="1"/>
        <v>1281</v>
      </c>
      <c r="H5098" s="13"/>
    </row>
    <row r="5099" ht="22.5" customHeight="1">
      <c r="B5099" s="17"/>
      <c r="C5099" s="17"/>
      <c r="D5099" s="13"/>
      <c r="E5099" s="11"/>
      <c r="F5099" s="11"/>
      <c r="G5099" s="13">
        <f t="shared" si="1"/>
        <v>1281</v>
      </c>
      <c r="H5099" s="13"/>
    </row>
    <row r="5100" ht="22.5" customHeight="1">
      <c r="B5100" s="17"/>
      <c r="C5100" s="17"/>
      <c r="D5100" s="13"/>
      <c r="E5100" s="11"/>
      <c r="F5100" s="11"/>
      <c r="G5100" s="13">
        <f t="shared" si="1"/>
        <v>1281</v>
      </c>
      <c r="H5100" s="13"/>
    </row>
    <row r="5101" ht="22.5" customHeight="1">
      <c r="B5101" s="17"/>
      <c r="C5101" s="17"/>
      <c r="D5101" s="13"/>
      <c r="E5101" s="11"/>
      <c r="F5101" s="11"/>
      <c r="G5101" s="13">
        <f t="shared" si="1"/>
        <v>1281</v>
      </c>
      <c r="H5101" s="13"/>
    </row>
    <row r="5102" ht="22.5" customHeight="1">
      <c r="B5102" s="17"/>
      <c r="C5102" s="17"/>
      <c r="D5102" s="13"/>
      <c r="E5102" s="11"/>
      <c r="F5102" s="11"/>
      <c r="G5102" s="13">
        <f t="shared" si="1"/>
        <v>1281</v>
      </c>
      <c r="H5102" s="13"/>
    </row>
    <row r="5103" ht="22.5" customHeight="1">
      <c r="B5103" s="17"/>
      <c r="C5103" s="17"/>
      <c r="D5103" s="13"/>
      <c r="E5103" s="11"/>
      <c r="F5103" s="11"/>
      <c r="G5103" s="13">
        <f t="shared" si="1"/>
        <v>1281</v>
      </c>
      <c r="H5103" s="13"/>
    </row>
    <row r="5104" ht="22.5" customHeight="1">
      <c r="B5104" s="17"/>
      <c r="C5104" s="17"/>
      <c r="D5104" s="13"/>
      <c r="E5104" s="11"/>
      <c r="F5104" s="11"/>
      <c r="G5104" s="13">
        <f t="shared" si="1"/>
        <v>1281</v>
      </c>
      <c r="H5104" s="13"/>
    </row>
    <row r="5105" ht="22.5" customHeight="1">
      <c r="B5105" s="17"/>
      <c r="C5105" s="17"/>
      <c r="D5105" s="13"/>
      <c r="E5105" s="11"/>
      <c r="F5105" s="11"/>
      <c r="G5105" s="13">
        <f t="shared" si="1"/>
        <v>1281</v>
      </c>
      <c r="H5105" s="13"/>
    </row>
    <row r="5106" ht="22.5" customHeight="1">
      <c r="B5106" s="17"/>
      <c r="C5106" s="17"/>
      <c r="D5106" s="13"/>
      <c r="E5106" s="11"/>
      <c r="F5106" s="11"/>
      <c r="G5106" s="13">
        <f t="shared" si="1"/>
        <v>1281</v>
      </c>
      <c r="H5106" s="13"/>
    </row>
    <row r="5107" ht="22.5" customHeight="1">
      <c r="B5107" s="17"/>
      <c r="C5107" s="17"/>
      <c r="D5107" s="13"/>
      <c r="E5107" s="11"/>
      <c r="F5107" s="11"/>
      <c r="G5107" s="13">
        <f t="shared" si="1"/>
        <v>1281</v>
      </c>
      <c r="H5107" s="13"/>
    </row>
    <row r="5108" ht="22.5" customHeight="1">
      <c r="B5108" s="17"/>
      <c r="C5108" s="17"/>
      <c r="D5108" s="13"/>
      <c r="E5108" s="11"/>
      <c r="F5108" s="11"/>
      <c r="G5108" s="13">
        <f t="shared" si="1"/>
        <v>1281</v>
      </c>
      <c r="H5108" s="13"/>
    </row>
    <row r="5109" ht="22.5" customHeight="1">
      <c r="B5109" s="17"/>
      <c r="C5109" s="17"/>
      <c r="D5109" s="13"/>
      <c r="E5109" s="11"/>
      <c r="F5109" s="11"/>
      <c r="G5109" s="13">
        <f t="shared" si="1"/>
        <v>1281</v>
      </c>
      <c r="H5109" s="13"/>
    </row>
    <row r="5110" ht="22.5" customHeight="1">
      <c r="B5110" s="17"/>
      <c r="C5110" s="17"/>
      <c r="D5110" s="13"/>
      <c r="E5110" s="11"/>
      <c r="F5110" s="11"/>
      <c r="G5110" s="13">
        <f t="shared" si="1"/>
        <v>1281</v>
      </c>
      <c r="H5110" s="13"/>
    </row>
    <row r="5111" ht="22.5" customHeight="1">
      <c r="B5111" s="17"/>
      <c r="C5111" s="17"/>
      <c r="D5111" s="13"/>
      <c r="E5111" s="11"/>
      <c r="F5111" s="11"/>
      <c r="G5111" s="13">
        <f t="shared" si="1"/>
        <v>1281</v>
      </c>
      <c r="H5111" s="13"/>
    </row>
    <row r="5112" ht="22.5" customHeight="1">
      <c r="B5112" s="17"/>
      <c r="C5112" s="17"/>
      <c r="D5112" s="13"/>
      <c r="E5112" s="11"/>
      <c r="F5112" s="11"/>
      <c r="G5112" s="13">
        <f t="shared" si="1"/>
        <v>1281</v>
      </c>
      <c r="H5112" s="13"/>
    </row>
    <row r="5113" ht="22.5" customHeight="1">
      <c r="B5113" s="17"/>
      <c r="C5113" s="17"/>
      <c r="D5113" s="13"/>
      <c r="E5113" s="11"/>
      <c r="F5113" s="11"/>
      <c r="G5113" s="13">
        <f t="shared" si="1"/>
        <v>1281</v>
      </c>
      <c r="H5113" s="13"/>
    </row>
    <row r="5114" ht="22.5" customHeight="1">
      <c r="B5114" s="17"/>
      <c r="C5114" s="17"/>
      <c r="D5114" s="13"/>
      <c r="E5114" s="11"/>
      <c r="F5114" s="11"/>
      <c r="G5114" s="13">
        <f t="shared" si="1"/>
        <v>1281</v>
      </c>
      <c r="H5114" s="13"/>
    </row>
    <row r="5115" ht="22.5" customHeight="1">
      <c r="B5115" s="17"/>
      <c r="C5115" s="17"/>
      <c r="D5115" s="13"/>
      <c r="E5115" s="11"/>
      <c r="F5115" s="11"/>
      <c r="G5115" s="13">
        <f t="shared" si="1"/>
        <v>1281</v>
      </c>
      <c r="H5115" s="13"/>
    </row>
    <row r="5116" ht="22.5" customHeight="1">
      <c r="B5116" s="17"/>
      <c r="C5116" s="17"/>
      <c r="D5116" s="13"/>
      <c r="E5116" s="11"/>
      <c r="F5116" s="11"/>
      <c r="G5116" s="13">
        <f t="shared" si="1"/>
        <v>1281</v>
      </c>
      <c r="H5116" s="13"/>
    </row>
    <row r="5117" ht="22.5" customHeight="1">
      <c r="B5117" s="17"/>
      <c r="C5117" s="17"/>
      <c r="D5117" s="13"/>
      <c r="E5117" s="11"/>
      <c r="F5117" s="11"/>
      <c r="G5117" s="13">
        <f t="shared" si="1"/>
        <v>1281</v>
      </c>
      <c r="H5117" s="13"/>
    </row>
    <row r="5118" ht="22.5" customHeight="1">
      <c r="B5118" s="17"/>
      <c r="C5118" s="17"/>
      <c r="D5118" s="13"/>
      <c r="E5118" s="11"/>
      <c r="F5118" s="11"/>
      <c r="G5118" s="13">
        <f t="shared" si="1"/>
        <v>1281</v>
      </c>
      <c r="H5118" s="13"/>
    </row>
    <row r="5119" ht="22.5" customHeight="1">
      <c r="B5119" s="17"/>
      <c r="C5119" s="17"/>
      <c r="D5119" s="13"/>
      <c r="E5119" s="11"/>
      <c r="F5119" s="11"/>
      <c r="G5119" s="13">
        <f t="shared" si="1"/>
        <v>1281</v>
      </c>
      <c r="H5119" s="13"/>
    </row>
    <row r="5120" ht="22.5" customHeight="1">
      <c r="B5120" s="17"/>
      <c r="C5120" s="17"/>
      <c r="D5120" s="13"/>
      <c r="E5120" s="11"/>
      <c r="F5120" s="11"/>
      <c r="G5120" s="13">
        <f t="shared" si="1"/>
        <v>1281</v>
      </c>
      <c r="H5120" s="13"/>
    </row>
    <row r="5121" ht="22.5" customHeight="1">
      <c r="B5121" s="17"/>
      <c r="C5121" s="17"/>
      <c r="D5121" s="13"/>
      <c r="E5121" s="11"/>
      <c r="F5121" s="11"/>
      <c r="G5121" s="13">
        <f t="shared" si="1"/>
        <v>1281</v>
      </c>
      <c r="H5121" s="13"/>
    </row>
    <row r="5122" ht="22.5" customHeight="1">
      <c r="B5122" s="17"/>
      <c r="C5122" s="17"/>
      <c r="D5122" s="13"/>
      <c r="E5122" s="11"/>
      <c r="F5122" s="11"/>
      <c r="G5122" s="13">
        <f t="shared" si="1"/>
        <v>1281</v>
      </c>
      <c r="H5122" s="13"/>
    </row>
    <row r="5123" ht="22.5" customHeight="1">
      <c r="B5123" s="17"/>
      <c r="C5123" s="17"/>
      <c r="D5123" s="13"/>
      <c r="E5123" s="11"/>
      <c r="F5123" s="11"/>
      <c r="G5123" s="13">
        <f t="shared" si="1"/>
        <v>1281</v>
      </c>
      <c r="H5123" s="13"/>
    </row>
    <row r="5124" ht="22.5" customHeight="1">
      <c r="B5124" s="17"/>
      <c r="C5124" s="17"/>
      <c r="D5124" s="13"/>
      <c r="E5124" s="11"/>
      <c r="F5124" s="11"/>
      <c r="G5124" s="13">
        <f t="shared" si="1"/>
        <v>1281</v>
      </c>
      <c r="H5124" s="13"/>
    </row>
    <row r="5125" ht="22.5" customHeight="1">
      <c r="B5125" s="17"/>
      <c r="C5125" s="17"/>
      <c r="D5125" s="13"/>
      <c r="E5125" s="11"/>
      <c r="F5125" s="11"/>
      <c r="G5125" s="13">
        <f t="shared" si="1"/>
        <v>1281</v>
      </c>
      <c r="H5125" s="13"/>
    </row>
    <row r="5126" ht="22.5" customHeight="1">
      <c r="B5126" s="17"/>
      <c r="C5126" s="17"/>
      <c r="D5126" s="13"/>
      <c r="E5126" s="11"/>
      <c r="F5126" s="11"/>
      <c r="G5126" s="13">
        <f t="shared" si="1"/>
        <v>1281</v>
      </c>
      <c r="H5126" s="13"/>
    </row>
    <row r="5127" ht="22.5" customHeight="1">
      <c r="B5127" s="17"/>
      <c r="C5127" s="17"/>
      <c r="D5127" s="13"/>
      <c r="E5127" s="11"/>
      <c r="F5127" s="11"/>
      <c r="G5127" s="13">
        <f t="shared" si="1"/>
        <v>1281</v>
      </c>
      <c r="H5127" s="13"/>
    </row>
    <row r="5128" ht="22.5" customHeight="1">
      <c r="B5128" s="17"/>
      <c r="C5128" s="17"/>
      <c r="D5128" s="13"/>
      <c r="E5128" s="11"/>
      <c r="F5128" s="11"/>
      <c r="G5128" s="13">
        <f t="shared" si="1"/>
        <v>1281</v>
      </c>
      <c r="H5128" s="13"/>
    </row>
    <row r="5129" ht="22.5" customHeight="1">
      <c r="B5129" s="17"/>
      <c r="C5129" s="17"/>
      <c r="D5129" s="13"/>
      <c r="E5129" s="11"/>
      <c r="F5129" s="11"/>
      <c r="G5129" s="13">
        <f t="shared" si="1"/>
        <v>1281</v>
      </c>
      <c r="H5129" s="13"/>
    </row>
    <row r="5130" ht="22.5" customHeight="1">
      <c r="B5130" s="17"/>
      <c r="C5130" s="17"/>
      <c r="D5130" s="13"/>
      <c r="E5130" s="11"/>
      <c r="F5130" s="11"/>
      <c r="G5130" s="13">
        <f t="shared" si="1"/>
        <v>1281</v>
      </c>
      <c r="H5130" s="13"/>
    </row>
    <row r="5131" ht="22.5" customHeight="1">
      <c r="B5131" s="17"/>
      <c r="C5131" s="17"/>
      <c r="D5131" s="13"/>
      <c r="E5131" s="11"/>
      <c r="F5131" s="11"/>
      <c r="G5131" s="13">
        <f t="shared" si="1"/>
        <v>1281</v>
      </c>
      <c r="H5131" s="13"/>
    </row>
    <row r="5132" ht="22.5" customHeight="1">
      <c r="B5132" s="17"/>
      <c r="C5132" s="17"/>
      <c r="D5132" s="13"/>
      <c r="E5132" s="11"/>
      <c r="F5132" s="11"/>
      <c r="G5132" s="13">
        <f t="shared" si="1"/>
        <v>1281</v>
      </c>
      <c r="H5132" s="13"/>
    </row>
    <row r="5133" ht="22.5" customHeight="1">
      <c r="B5133" s="17"/>
      <c r="C5133" s="17"/>
      <c r="D5133" s="13"/>
      <c r="E5133" s="11"/>
      <c r="F5133" s="11"/>
      <c r="G5133" s="13">
        <f t="shared" si="1"/>
        <v>1281</v>
      </c>
      <c r="H5133" s="13"/>
    </row>
    <row r="5134" ht="22.5" customHeight="1">
      <c r="B5134" s="17"/>
      <c r="C5134" s="17"/>
      <c r="D5134" s="13"/>
      <c r="E5134" s="11"/>
      <c r="F5134" s="11"/>
      <c r="G5134" s="13">
        <f t="shared" si="1"/>
        <v>1281</v>
      </c>
      <c r="H5134" s="13"/>
    </row>
    <row r="5135" ht="22.5" customHeight="1">
      <c r="B5135" s="17"/>
      <c r="C5135" s="17"/>
      <c r="D5135" s="13"/>
      <c r="E5135" s="11"/>
      <c r="F5135" s="11"/>
      <c r="G5135" s="13">
        <f t="shared" si="1"/>
        <v>1281</v>
      </c>
      <c r="H5135" s="13"/>
    </row>
    <row r="5136" ht="22.5" customHeight="1">
      <c r="B5136" s="17"/>
      <c r="C5136" s="17"/>
      <c r="D5136" s="13"/>
      <c r="E5136" s="11"/>
      <c r="F5136" s="11"/>
      <c r="G5136" s="13">
        <f t="shared" si="1"/>
        <v>1281</v>
      </c>
      <c r="H5136" s="13"/>
    </row>
    <row r="5137" ht="22.5" customHeight="1">
      <c r="B5137" s="17"/>
      <c r="C5137" s="17"/>
      <c r="D5137" s="13"/>
      <c r="E5137" s="11"/>
      <c r="F5137" s="11"/>
      <c r="G5137" s="13">
        <f t="shared" si="1"/>
        <v>1281</v>
      </c>
      <c r="H5137" s="13"/>
    </row>
    <row r="5138" ht="22.5" customHeight="1">
      <c r="B5138" s="17"/>
      <c r="C5138" s="17"/>
      <c r="D5138" s="13"/>
      <c r="E5138" s="11"/>
      <c r="F5138" s="11"/>
      <c r="G5138" s="13">
        <f t="shared" si="1"/>
        <v>1281</v>
      </c>
      <c r="H5138" s="13"/>
    </row>
    <row r="5139" ht="22.5" customHeight="1">
      <c r="B5139" s="17"/>
      <c r="C5139" s="17"/>
      <c r="D5139" s="13"/>
      <c r="E5139" s="11"/>
      <c r="F5139" s="11"/>
      <c r="G5139" s="13">
        <f t="shared" si="1"/>
        <v>1281</v>
      </c>
      <c r="H5139" s="13"/>
    </row>
    <row r="5140" ht="22.5" customHeight="1">
      <c r="B5140" s="17"/>
      <c r="C5140" s="17"/>
      <c r="D5140" s="13"/>
      <c r="E5140" s="11"/>
      <c r="F5140" s="11"/>
      <c r="G5140" s="13">
        <f t="shared" si="1"/>
        <v>1281</v>
      </c>
      <c r="H5140" s="13"/>
    </row>
    <row r="5141" ht="22.5" customHeight="1">
      <c r="B5141" s="17"/>
      <c r="C5141" s="17"/>
      <c r="D5141" s="13"/>
      <c r="E5141" s="11"/>
      <c r="F5141" s="11"/>
      <c r="G5141" s="13">
        <f t="shared" si="1"/>
        <v>1281</v>
      </c>
      <c r="H5141" s="13"/>
    </row>
    <row r="5142" ht="22.5" customHeight="1">
      <c r="B5142" s="17"/>
      <c r="C5142" s="17"/>
      <c r="D5142" s="13"/>
      <c r="E5142" s="11"/>
      <c r="F5142" s="11"/>
      <c r="G5142" s="13">
        <f t="shared" si="1"/>
        <v>1281</v>
      </c>
      <c r="H5142" s="13"/>
    </row>
    <row r="5143" ht="22.5" customHeight="1">
      <c r="B5143" s="17"/>
      <c r="C5143" s="17"/>
      <c r="D5143" s="13"/>
      <c r="E5143" s="11"/>
      <c r="F5143" s="11"/>
      <c r="G5143" s="13">
        <f t="shared" si="1"/>
        <v>1281</v>
      </c>
      <c r="H5143" s="13"/>
    </row>
    <row r="5144" ht="22.5" customHeight="1">
      <c r="B5144" s="17"/>
      <c r="C5144" s="17"/>
      <c r="D5144" s="13"/>
      <c r="E5144" s="11"/>
      <c r="F5144" s="11"/>
      <c r="G5144" s="13">
        <f t="shared" si="1"/>
        <v>1281</v>
      </c>
      <c r="H5144" s="13"/>
    </row>
    <row r="5145" ht="22.5" customHeight="1">
      <c r="B5145" s="17"/>
      <c r="C5145" s="17"/>
      <c r="D5145" s="13"/>
      <c r="E5145" s="11"/>
      <c r="F5145" s="11"/>
      <c r="G5145" s="13">
        <f t="shared" si="1"/>
        <v>1281</v>
      </c>
      <c r="H5145" s="13"/>
    </row>
    <row r="5146" ht="22.5" customHeight="1">
      <c r="B5146" s="17"/>
      <c r="C5146" s="17"/>
      <c r="D5146" s="13"/>
      <c r="E5146" s="11"/>
      <c r="F5146" s="11"/>
      <c r="G5146" s="13">
        <f t="shared" si="1"/>
        <v>1281</v>
      </c>
      <c r="H5146" s="13"/>
    </row>
    <row r="5147" ht="22.5" customHeight="1">
      <c r="B5147" s="17"/>
      <c r="C5147" s="17"/>
      <c r="D5147" s="13"/>
      <c r="E5147" s="11"/>
      <c r="F5147" s="11"/>
      <c r="G5147" s="13">
        <f t="shared" si="1"/>
        <v>1281</v>
      </c>
      <c r="H5147" s="13"/>
    </row>
    <row r="5148" ht="22.5" customHeight="1">
      <c r="B5148" s="17"/>
      <c r="C5148" s="17"/>
      <c r="D5148" s="13"/>
      <c r="E5148" s="11"/>
      <c r="F5148" s="11"/>
      <c r="G5148" s="13">
        <f t="shared" si="1"/>
        <v>1281</v>
      </c>
      <c r="H5148" s="13"/>
    </row>
    <row r="5149" ht="22.5" customHeight="1">
      <c r="B5149" s="17"/>
      <c r="C5149" s="17"/>
      <c r="D5149" s="13"/>
      <c r="E5149" s="11"/>
      <c r="F5149" s="11"/>
      <c r="G5149" s="13">
        <f t="shared" si="1"/>
        <v>1281</v>
      </c>
      <c r="H5149" s="13"/>
    </row>
    <row r="5150" ht="22.5" customHeight="1">
      <c r="B5150" s="17"/>
      <c r="C5150" s="17"/>
      <c r="D5150" s="13"/>
      <c r="E5150" s="11"/>
      <c r="F5150" s="11"/>
      <c r="G5150" s="13">
        <f t="shared" si="1"/>
        <v>1281</v>
      </c>
      <c r="H5150" s="13"/>
    </row>
    <row r="5151" ht="22.5" customHeight="1">
      <c r="B5151" s="17"/>
      <c r="C5151" s="17"/>
      <c r="D5151" s="13"/>
      <c r="E5151" s="11"/>
      <c r="F5151" s="11"/>
      <c r="G5151" s="13">
        <f t="shared" si="1"/>
        <v>1281</v>
      </c>
      <c r="H5151" s="13"/>
    </row>
    <row r="5152" ht="22.5" customHeight="1">
      <c r="B5152" s="17"/>
      <c r="C5152" s="17"/>
      <c r="D5152" s="13"/>
      <c r="E5152" s="11"/>
      <c r="F5152" s="11"/>
      <c r="G5152" s="13">
        <f t="shared" si="1"/>
        <v>1281</v>
      </c>
      <c r="H5152" s="13"/>
    </row>
    <row r="5153" ht="22.5" customHeight="1">
      <c r="B5153" s="17"/>
      <c r="C5153" s="17"/>
      <c r="D5153" s="13"/>
      <c r="E5153" s="11"/>
      <c r="F5153" s="11"/>
      <c r="G5153" s="13">
        <f t="shared" si="1"/>
        <v>1281</v>
      </c>
      <c r="H5153" s="13"/>
    </row>
    <row r="5154" ht="22.5" customHeight="1">
      <c r="B5154" s="17"/>
      <c r="C5154" s="17"/>
      <c r="D5154" s="13"/>
      <c r="E5154" s="11"/>
      <c r="F5154" s="11"/>
      <c r="G5154" s="13">
        <f t="shared" si="1"/>
        <v>1281</v>
      </c>
      <c r="H5154" s="13"/>
    </row>
    <row r="5155" ht="22.5" customHeight="1">
      <c r="B5155" s="17"/>
      <c r="C5155" s="17"/>
      <c r="D5155" s="13"/>
      <c r="E5155" s="11"/>
      <c r="F5155" s="11"/>
      <c r="G5155" s="13">
        <f t="shared" si="1"/>
        <v>1281</v>
      </c>
      <c r="H5155" s="13"/>
    </row>
    <row r="5156" ht="22.5" customHeight="1">
      <c r="B5156" s="17"/>
      <c r="C5156" s="17"/>
      <c r="D5156" s="13"/>
      <c r="E5156" s="11"/>
      <c r="F5156" s="11"/>
      <c r="G5156" s="13">
        <f t="shared" si="1"/>
        <v>1281</v>
      </c>
      <c r="H5156" s="13"/>
    </row>
    <row r="5157" ht="22.5" customHeight="1">
      <c r="B5157" s="17"/>
      <c r="C5157" s="17"/>
      <c r="D5157" s="13"/>
      <c r="E5157" s="11"/>
      <c r="F5157" s="11"/>
      <c r="G5157" s="13">
        <f t="shared" si="1"/>
        <v>1281</v>
      </c>
      <c r="H5157" s="13"/>
    </row>
    <row r="5158" ht="22.5" customHeight="1">
      <c r="B5158" s="17"/>
      <c r="C5158" s="17"/>
      <c r="D5158" s="13"/>
      <c r="E5158" s="11"/>
      <c r="F5158" s="11"/>
      <c r="G5158" s="13">
        <f t="shared" si="1"/>
        <v>1281</v>
      </c>
      <c r="H5158" s="13"/>
    </row>
    <row r="5159" ht="22.5" customHeight="1">
      <c r="B5159" s="17"/>
      <c r="C5159" s="17"/>
      <c r="D5159" s="13"/>
      <c r="E5159" s="11"/>
      <c r="F5159" s="11"/>
      <c r="G5159" s="13">
        <f t="shared" si="1"/>
        <v>1281</v>
      </c>
      <c r="H5159" s="13"/>
    </row>
    <row r="5160" ht="22.5" customHeight="1">
      <c r="B5160" s="17"/>
      <c r="C5160" s="17"/>
      <c r="D5160" s="13"/>
      <c r="E5160" s="11"/>
      <c r="F5160" s="11"/>
      <c r="G5160" s="13">
        <f t="shared" si="1"/>
        <v>1281</v>
      </c>
      <c r="H5160" s="13"/>
    </row>
    <row r="5161" ht="22.5" customHeight="1">
      <c r="B5161" s="17"/>
      <c r="C5161" s="17"/>
      <c r="D5161" s="13"/>
      <c r="E5161" s="11"/>
      <c r="F5161" s="11"/>
      <c r="G5161" s="13">
        <f t="shared" si="1"/>
        <v>1281</v>
      </c>
      <c r="H5161" s="13"/>
    </row>
    <row r="5162" ht="22.5" customHeight="1">
      <c r="B5162" s="17"/>
      <c r="C5162" s="17"/>
      <c r="D5162" s="13"/>
      <c r="E5162" s="11"/>
      <c r="F5162" s="11"/>
      <c r="G5162" s="13">
        <f t="shared" si="1"/>
        <v>1281</v>
      </c>
      <c r="H5162" s="13"/>
    </row>
    <row r="5163" ht="22.5" customHeight="1">
      <c r="B5163" s="17"/>
      <c r="C5163" s="17"/>
      <c r="D5163" s="13"/>
      <c r="E5163" s="11"/>
      <c r="F5163" s="11"/>
      <c r="G5163" s="13">
        <f t="shared" si="1"/>
        <v>1281</v>
      </c>
      <c r="H5163" s="13"/>
    </row>
    <row r="5164" ht="22.5" customHeight="1">
      <c r="B5164" s="17"/>
      <c r="C5164" s="17"/>
      <c r="D5164" s="13"/>
      <c r="E5164" s="11"/>
      <c r="F5164" s="11"/>
      <c r="G5164" s="13">
        <f t="shared" si="1"/>
        <v>1281</v>
      </c>
      <c r="H5164" s="13"/>
    </row>
    <row r="5165" ht="22.5" customHeight="1">
      <c r="B5165" s="17"/>
      <c r="C5165" s="17"/>
      <c r="D5165" s="13"/>
      <c r="E5165" s="11"/>
      <c r="F5165" s="11"/>
      <c r="G5165" s="13">
        <f t="shared" si="1"/>
        <v>1281</v>
      </c>
      <c r="H5165" s="13"/>
    </row>
    <row r="5166" ht="22.5" customHeight="1">
      <c r="B5166" s="17"/>
      <c r="C5166" s="17"/>
      <c r="D5166" s="13"/>
      <c r="E5166" s="11"/>
      <c r="F5166" s="11"/>
      <c r="G5166" s="13">
        <f t="shared" si="1"/>
        <v>1281</v>
      </c>
      <c r="H5166" s="13"/>
    </row>
    <row r="5167" ht="22.5" customHeight="1">
      <c r="B5167" s="17"/>
      <c r="C5167" s="17"/>
      <c r="D5167" s="13"/>
      <c r="E5167" s="11"/>
      <c r="F5167" s="11"/>
      <c r="G5167" s="13">
        <f t="shared" si="1"/>
        <v>1281</v>
      </c>
      <c r="H5167" s="13"/>
    </row>
    <row r="5168" ht="22.5" customHeight="1">
      <c r="B5168" s="17"/>
      <c r="C5168" s="17"/>
      <c r="D5168" s="13"/>
      <c r="E5168" s="11"/>
      <c r="F5168" s="11"/>
      <c r="G5168" s="13">
        <f t="shared" si="1"/>
        <v>1281</v>
      </c>
      <c r="H5168" s="13"/>
    </row>
    <row r="5169" ht="22.5" customHeight="1">
      <c r="B5169" s="17"/>
      <c r="C5169" s="17"/>
      <c r="D5169" s="13"/>
      <c r="E5169" s="11"/>
      <c r="F5169" s="11"/>
      <c r="G5169" s="13">
        <f t="shared" si="1"/>
        <v>1281</v>
      </c>
      <c r="H5169" s="13"/>
    </row>
    <row r="5170" ht="22.5" customHeight="1">
      <c r="B5170" s="17"/>
      <c r="C5170" s="17"/>
      <c r="D5170" s="13"/>
      <c r="E5170" s="11"/>
      <c r="F5170" s="11"/>
      <c r="G5170" s="13">
        <f t="shared" si="1"/>
        <v>1281</v>
      </c>
      <c r="H5170" s="13"/>
    </row>
    <row r="5171" ht="22.5" customHeight="1">
      <c r="B5171" s="17"/>
      <c r="C5171" s="17"/>
      <c r="D5171" s="13"/>
      <c r="E5171" s="11"/>
      <c r="F5171" s="11"/>
      <c r="G5171" s="13">
        <f t="shared" si="1"/>
        <v>1281</v>
      </c>
      <c r="H5171" s="13"/>
    </row>
    <row r="5172" ht="22.5" customHeight="1">
      <c r="B5172" s="17"/>
      <c r="C5172" s="17"/>
      <c r="D5172" s="13"/>
      <c r="E5172" s="11"/>
      <c r="F5172" s="11"/>
      <c r="G5172" s="13">
        <f t="shared" si="1"/>
        <v>1281</v>
      </c>
      <c r="H5172" s="13"/>
    </row>
    <row r="5173" ht="22.5" customHeight="1">
      <c r="B5173" s="17"/>
      <c r="C5173" s="17"/>
      <c r="D5173" s="13"/>
      <c r="E5173" s="11"/>
      <c r="F5173" s="11"/>
      <c r="G5173" s="13">
        <f t="shared" si="1"/>
        <v>1281</v>
      </c>
      <c r="H5173" s="13"/>
    </row>
    <row r="5174" ht="22.5" customHeight="1">
      <c r="B5174" s="17"/>
      <c r="C5174" s="17"/>
      <c r="D5174" s="13"/>
      <c r="E5174" s="11"/>
      <c r="F5174" s="11"/>
      <c r="G5174" s="13">
        <f t="shared" si="1"/>
        <v>1281</v>
      </c>
      <c r="H5174" s="13"/>
    </row>
    <row r="5175" ht="22.5" customHeight="1">
      <c r="B5175" s="17"/>
      <c r="C5175" s="17"/>
      <c r="D5175" s="13"/>
      <c r="E5175" s="11"/>
      <c r="F5175" s="11"/>
      <c r="G5175" s="13">
        <f t="shared" si="1"/>
        <v>1281</v>
      </c>
      <c r="H5175" s="13"/>
    </row>
    <row r="5176" ht="22.5" customHeight="1">
      <c r="B5176" s="17"/>
      <c r="C5176" s="17"/>
      <c r="D5176" s="13"/>
      <c r="E5176" s="11"/>
      <c r="F5176" s="11"/>
      <c r="G5176" s="13">
        <f t="shared" si="1"/>
        <v>1281</v>
      </c>
      <c r="H5176" s="13"/>
    </row>
    <row r="5177" ht="22.5" customHeight="1">
      <c r="B5177" s="17"/>
      <c r="C5177" s="17"/>
      <c r="D5177" s="13"/>
      <c r="E5177" s="11"/>
      <c r="F5177" s="11"/>
      <c r="G5177" s="13">
        <f t="shared" si="1"/>
        <v>1281</v>
      </c>
      <c r="H5177" s="13"/>
    </row>
    <row r="5178" ht="22.5" customHeight="1">
      <c r="B5178" s="17"/>
      <c r="C5178" s="17"/>
      <c r="D5178" s="13"/>
      <c r="E5178" s="11"/>
      <c r="F5178" s="11"/>
      <c r="G5178" s="13">
        <f t="shared" si="1"/>
        <v>1281</v>
      </c>
      <c r="H5178" s="13"/>
    </row>
    <row r="5179" ht="22.5" customHeight="1">
      <c r="B5179" s="17"/>
      <c r="C5179" s="17"/>
      <c r="D5179" s="13"/>
      <c r="E5179" s="11"/>
      <c r="F5179" s="11"/>
      <c r="G5179" s="13">
        <f t="shared" si="1"/>
        <v>1281</v>
      </c>
      <c r="H5179" s="13"/>
    </row>
    <row r="5180" ht="22.5" customHeight="1">
      <c r="B5180" s="17"/>
      <c r="C5180" s="17"/>
      <c r="D5180" s="13"/>
      <c r="E5180" s="11"/>
      <c r="F5180" s="11"/>
      <c r="G5180" s="13">
        <f t="shared" si="1"/>
        <v>1281</v>
      </c>
      <c r="H5180" s="13"/>
    </row>
    <row r="5181" ht="22.5" customHeight="1">
      <c r="B5181" s="17"/>
      <c r="C5181" s="17"/>
      <c r="D5181" s="13"/>
      <c r="E5181" s="11"/>
      <c r="F5181" s="11"/>
      <c r="G5181" s="13">
        <f t="shared" si="1"/>
        <v>1281</v>
      </c>
      <c r="H5181" s="13"/>
    </row>
    <row r="5182" ht="22.5" customHeight="1">
      <c r="B5182" s="17"/>
      <c r="C5182" s="17"/>
      <c r="D5182" s="13"/>
      <c r="E5182" s="11"/>
      <c r="F5182" s="11"/>
      <c r="G5182" s="13">
        <f t="shared" si="1"/>
        <v>1281</v>
      </c>
      <c r="H5182" s="13"/>
    </row>
    <row r="5183" ht="22.5" customHeight="1">
      <c r="B5183" s="17"/>
      <c r="C5183" s="17"/>
      <c r="D5183" s="13"/>
      <c r="E5183" s="11"/>
      <c r="F5183" s="11"/>
      <c r="G5183" s="13">
        <f t="shared" si="1"/>
        <v>1281</v>
      </c>
      <c r="H5183" s="13"/>
    </row>
    <row r="5184" ht="22.5" customHeight="1">
      <c r="B5184" s="17"/>
      <c r="C5184" s="17"/>
      <c r="D5184" s="13"/>
      <c r="E5184" s="11"/>
      <c r="F5184" s="11"/>
      <c r="G5184" s="13">
        <f t="shared" si="1"/>
        <v>1281</v>
      </c>
      <c r="H5184" s="13"/>
    </row>
    <row r="5185" ht="22.5" customHeight="1">
      <c r="B5185" s="17"/>
      <c r="C5185" s="17"/>
      <c r="D5185" s="13"/>
      <c r="E5185" s="11"/>
      <c r="F5185" s="11"/>
      <c r="G5185" s="13">
        <f t="shared" si="1"/>
        <v>1281</v>
      </c>
      <c r="H5185" s="13"/>
    </row>
    <row r="5186" ht="22.5" customHeight="1">
      <c r="B5186" s="17"/>
      <c r="C5186" s="17"/>
      <c r="D5186" s="13"/>
      <c r="E5186" s="11"/>
      <c r="F5186" s="11"/>
      <c r="G5186" s="13">
        <f t="shared" si="1"/>
        <v>1281</v>
      </c>
      <c r="H5186" s="13"/>
    </row>
    <row r="5187" ht="22.5" customHeight="1">
      <c r="B5187" s="17"/>
      <c r="C5187" s="17"/>
      <c r="D5187" s="13"/>
      <c r="E5187" s="11"/>
      <c r="F5187" s="11"/>
      <c r="G5187" s="13">
        <f t="shared" si="1"/>
        <v>1281</v>
      </c>
      <c r="H5187" s="13"/>
    </row>
    <row r="5188" ht="22.5" customHeight="1">
      <c r="B5188" s="17"/>
      <c r="C5188" s="17"/>
      <c r="D5188" s="13"/>
      <c r="E5188" s="11"/>
      <c r="F5188" s="11"/>
      <c r="G5188" s="13">
        <f t="shared" si="1"/>
        <v>1281</v>
      </c>
      <c r="H5188" s="13"/>
    </row>
    <row r="5189" ht="22.5" customHeight="1">
      <c r="B5189" s="17"/>
      <c r="C5189" s="17"/>
      <c r="D5189" s="13"/>
      <c r="E5189" s="11"/>
      <c r="F5189" s="11"/>
      <c r="G5189" s="13">
        <f t="shared" si="1"/>
        <v>1281</v>
      </c>
      <c r="H5189" s="13"/>
    </row>
    <row r="5190" ht="22.5" customHeight="1">
      <c r="B5190" s="17"/>
      <c r="C5190" s="17"/>
      <c r="D5190" s="13"/>
      <c r="E5190" s="11"/>
      <c r="F5190" s="11"/>
      <c r="G5190" s="13">
        <f t="shared" si="1"/>
        <v>1281</v>
      </c>
      <c r="H5190" s="13"/>
    </row>
    <row r="5191" ht="22.5" customHeight="1">
      <c r="B5191" s="17"/>
      <c r="C5191" s="17"/>
      <c r="D5191" s="13"/>
      <c r="E5191" s="11"/>
      <c r="F5191" s="11"/>
      <c r="G5191" s="13">
        <f t="shared" si="1"/>
        <v>1281</v>
      </c>
      <c r="H5191" s="13"/>
    </row>
    <row r="5192" ht="22.5" customHeight="1">
      <c r="B5192" s="17"/>
      <c r="C5192" s="17"/>
      <c r="D5192" s="13"/>
      <c r="E5192" s="11"/>
      <c r="F5192" s="11"/>
      <c r="G5192" s="13">
        <f t="shared" si="1"/>
        <v>1281</v>
      </c>
      <c r="H5192" s="13"/>
    </row>
    <row r="5193" ht="22.5" customHeight="1">
      <c r="B5193" s="17"/>
      <c r="C5193" s="17"/>
      <c r="D5193" s="13"/>
      <c r="E5193" s="11"/>
      <c r="F5193" s="11"/>
      <c r="G5193" s="13">
        <f t="shared" si="1"/>
        <v>1281</v>
      </c>
      <c r="H5193" s="13"/>
    </row>
    <row r="5194" ht="22.5" customHeight="1">
      <c r="B5194" s="17"/>
      <c r="C5194" s="17"/>
      <c r="D5194" s="13"/>
      <c r="E5194" s="11"/>
      <c r="F5194" s="11"/>
      <c r="G5194" s="13">
        <f t="shared" si="1"/>
        <v>1281</v>
      </c>
      <c r="H5194" s="13"/>
    </row>
    <row r="5195" ht="22.5" customHeight="1">
      <c r="B5195" s="17"/>
      <c r="C5195" s="17"/>
      <c r="D5195" s="13"/>
      <c r="E5195" s="11"/>
      <c r="F5195" s="11"/>
      <c r="G5195" s="13">
        <f t="shared" si="1"/>
        <v>1281</v>
      </c>
      <c r="H5195" s="13"/>
    </row>
    <row r="5196" ht="22.5" customHeight="1">
      <c r="B5196" s="17"/>
      <c r="C5196" s="17"/>
      <c r="D5196" s="13"/>
      <c r="E5196" s="11"/>
      <c r="F5196" s="11"/>
      <c r="G5196" s="13">
        <f t="shared" si="1"/>
        <v>1281</v>
      </c>
      <c r="H5196" s="13"/>
    </row>
    <row r="5197" ht="22.5" customHeight="1">
      <c r="B5197" s="17"/>
      <c r="C5197" s="17"/>
      <c r="D5197" s="13"/>
      <c r="E5197" s="11"/>
      <c r="F5197" s="11"/>
      <c r="G5197" s="13">
        <f t="shared" si="1"/>
        <v>1281</v>
      </c>
      <c r="H5197" s="13"/>
    </row>
    <row r="5198" ht="22.5" customHeight="1">
      <c r="B5198" s="17"/>
      <c r="C5198" s="17"/>
      <c r="D5198" s="13"/>
      <c r="E5198" s="11"/>
      <c r="F5198" s="11"/>
      <c r="G5198" s="13">
        <f t="shared" si="1"/>
        <v>1281</v>
      </c>
      <c r="H5198" s="13"/>
    </row>
    <row r="5199" ht="22.5" customHeight="1">
      <c r="B5199" s="17"/>
      <c r="C5199" s="17"/>
      <c r="D5199" s="13"/>
      <c r="E5199" s="11"/>
      <c r="F5199" s="11"/>
      <c r="G5199" s="13">
        <f t="shared" si="1"/>
        <v>1281</v>
      </c>
      <c r="H5199" s="13"/>
    </row>
    <row r="5200" ht="22.5" customHeight="1">
      <c r="B5200" s="17"/>
      <c r="C5200" s="17"/>
      <c r="D5200" s="13"/>
      <c r="E5200" s="11"/>
      <c r="F5200" s="11"/>
      <c r="G5200" s="13">
        <f t="shared" si="1"/>
        <v>1281</v>
      </c>
      <c r="H5200" s="13"/>
    </row>
    <row r="5201" ht="22.5" customHeight="1">
      <c r="B5201" s="17"/>
      <c r="C5201" s="17"/>
      <c r="D5201" s="13"/>
      <c r="E5201" s="11"/>
      <c r="F5201" s="11"/>
      <c r="G5201" s="13">
        <f t="shared" si="1"/>
        <v>1281</v>
      </c>
      <c r="H5201" s="13"/>
    </row>
    <row r="5202" ht="22.5" customHeight="1">
      <c r="B5202" s="17"/>
      <c r="C5202" s="17"/>
      <c r="D5202" s="13"/>
      <c r="E5202" s="11"/>
      <c r="F5202" s="11"/>
      <c r="G5202" s="13">
        <f t="shared" si="1"/>
        <v>1281</v>
      </c>
      <c r="H5202" s="13"/>
    </row>
    <row r="5203" ht="22.5" customHeight="1">
      <c r="B5203" s="17"/>
      <c r="C5203" s="17"/>
      <c r="D5203" s="13"/>
      <c r="E5203" s="11"/>
      <c r="F5203" s="11"/>
      <c r="G5203" s="13">
        <f t="shared" si="1"/>
        <v>1281</v>
      </c>
      <c r="H5203" s="13"/>
    </row>
    <row r="5204" ht="22.5" customHeight="1">
      <c r="B5204" s="17"/>
      <c r="C5204" s="17"/>
      <c r="D5204" s="13"/>
      <c r="E5204" s="11"/>
      <c r="F5204" s="11"/>
      <c r="G5204" s="13">
        <f t="shared" si="1"/>
        <v>1281</v>
      </c>
      <c r="H5204" s="13"/>
    </row>
    <row r="5205" ht="22.5" customHeight="1">
      <c r="B5205" s="17"/>
      <c r="C5205" s="17"/>
      <c r="D5205" s="13"/>
      <c r="E5205" s="11"/>
      <c r="F5205" s="11"/>
      <c r="G5205" s="13">
        <f t="shared" si="1"/>
        <v>1281</v>
      </c>
      <c r="H5205" s="13"/>
    </row>
    <row r="5206" ht="22.5" customHeight="1">
      <c r="B5206" s="17"/>
      <c r="C5206" s="17"/>
      <c r="D5206" s="13"/>
      <c r="E5206" s="11"/>
      <c r="F5206" s="11"/>
      <c r="G5206" s="13">
        <f t="shared" si="1"/>
        <v>1281</v>
      </c>
      <c r="H5206" s="13"/>
    </row>
    <row r="5207" ht="22.5" customHeight="1">
      <c r="B5207" s="17"/>
      <c r="C5207" s="17"/>
      <c r="D5207" s="13"/>
      <c r="E5207" s="11"/>
      <c r="F5207" s="11"/>
      <c r="G5207" s="13">
        <f t="shared" si="1"/>
        <v>1281</v>
      </c>
      <c r="H5207" s="13"/>
    </row>
    <row r="5208" ht="22.5" customHeight="1">
      <c r="B5208" s="17"/>
      <c r="C5208" s="17"/>
      <c r="D5208" s="13"/>
      <c r="E5208" s="11"/>
      <c r="F5208" s="11"/>
      <c r="G5208" s="13">
        <f t="shared" si="1"/>
        <v>1281</v>
      </c>
      <c r="H5208" s="13"/>
    </row>
    <row r="5209" ht="22.5" customHeight="1">
      <c r="B5209" s="17"/>
      <c r="C5209" s="17"/>
      <c r="D5209" s="13"/>
      <c r="E5209" s="11"/>
      <c r="F5209" s="11"/>
      <c r="G5209" s="13">
        <f t="shared" si="1"/>
        <v>1281</v>
      </c>
      <c r="H5209" s="13"/>
    </row>
    <row r="5210" ht="22.5" customHeight="1">
      <c r="B5210" s="17"/>
      <c r="C5210" s="17"/>
      <c r="D5210" s="13"/>
      <c r="E5210" s="11"/>
      <c r="F5210" s="11"/>
      <c r="G5210" s="13">
        <f t="shared" si="1"/>
        <v>1281</v>
      </c>
      <c r="H5210" s="13"/>
    </row>
    <row r="5211" ht="22.5" customHeight="1">
      <c r="B5211" s="17"/>
      <c r="C5211" s="17"/>
      <c r="D5211" s="13"/>
      <c r="E5211" s="11"/>
      <c r="F5211" s="11"/>
      <c r="G5211" s="13">
        <f t="shared" si="1"/>
        <v>1281</v>
      </c>
      <c r="H5211" s="13"/>
    </row>
    <row r="5212" ht="22.5" customHeight="1">
      <c r="B5212" s="17"/>
      <c r="C5212" s="17"/>
      <c r="D5212" s="13"/>
      <c r="E5212" s="11"/>
      <c r="F5212" s="11"/>
      <c r="G5212" s="13">
        <f t="shared" si="1"/>
        <v>1281</v>
      </c>
      <c r="H5212" s="13"/>
    </row>
    <row r="5213" ht="22.5" customHeight="1">
      <c r="B5213" s="17"/>
      <c r="C5213" s="17"/>
      <c r="D5213" s="13"/>
      <c r="E5213" s="11"/>
      <c r="F5213" s="11"/>
      <c r="G5213" s="13">
        <f t="shared" si="1"/>
        <v>1281</v>
      </c>
      <c r="H5213" s="13"/>
    </row>
    <row r="5214" ht="22.5" customHeight="1">
      <c r="B5214" s="17"/>
      <c r="C5214" s="17"/>
      <c r="D5214" s="13"/>
      <c r="E5214" s="11"/>
      <c r="F5214" s="11"/>
      <c r="G5214" s="13">
        <f t="shared" si="1"/>
        <v>1281</v>
      </c>
      <c r="H5214" s="13"/>
    </row>
    <row r="5215" ht="22.5" customHeight="1">
      <c r="B5215" s="17"/>
      <c r="C5215" s="17"/>
      <c r="D5215" s="13"/>
      <c r="E5215" s="11"/>
      <c r="F5215" s="11"/>
      <c r="G5215" s="13">
        <f t="shared" si="1"/>
        <v>1281</v>
      </c>
      <c r="H5215" s="13"/>
    </row>
    <row r="5216" ht="22.5" customHeight="1">
      <c r="B5216" s="17"/>
      <c r="C5216" s="17"/>
      <c r="D5216" s="13"/>
      <c r="E5216" s="11"/>
      <c r="F5216" s="11"/>
      <c r="G5216" s="13">
        <f t="shared" si="1"/>
        <v>1281</v>
      </c>
      <c r="H5216" s="13"/>
    </row>
    <row r="5217" ht="22.5" customHeight="1">
      <c r="B5217" s="17"/>
      <c r="C5217" s="17"/>
      <c r="D5217" s="13"/>
      <c r="E5217" s="11"/>
      <c r="F5217" s="11"/>
      <c r="G5217" s="13">
        <f t="shared" si="1"/>
        <v>1281</v>
      </c>
      <c r="H5217" s="13"/>
    </row>
    <row r="5218" ht="22.5" customHeight="1">
      <c r="B5218" s="17"/>
      <c r="C5218" s="17"/>
      <c r="D5218" s="13"/>
      <c r="E5218" s="11"/>
      <c r="F5218" s="11"/>
      <c r="G5218" s="13">
        <f t="shared" si="1"/>
        <v>1281</v>
      </c>
      <c r="H5218" s="13"/>
    </row>
    <row r="5219" ht="22.5" customHeight="1">
      <c r="B5219" s="17"/>
      <c r="C5219" s="17"/>
      <c r="D5219" s="13"/>
      <c r="E5219" s="11"/>
      <c r="F5219" s="11"/>
      <c r="G5219" s="13">
        <f t="shared" si="1"/>
        <v>1281</v>
      </c>
      <c r="H5219" s="13"/>
    </row>
    <row r="5220" ht="22.5" customHeight="1">
      <c r="B5220" s="17"/>
      <c r="C5220" s="17"/>
      <c r="D5220" s="13"/>
      <c r="E5220" s="11"/>
      <c r="F5220" s="11"/>
      <c r="G5220" s="13">
        <f t="shared" si="1"/>
        <v>1281</v>
      </c>
      <c r="H5220" s="13"/>
    </row>
    <row r="5221" ht="22.5" customHeight="1">
      <c r="B5221" s="17"/>
      <c r="C5221" s="17"/>
      <c r="D5221" s="13"/>
      <c r="E5221" s="11"/>
      <c r="F5221" s="11"/>
      <c r="G5221" s="13">
        <f t="shared" si="1"/>
        <v>1281</v>
      </c>
      <c r="H5221" s="13"/>
    </row>
    <row r="5222" ht="22.5" customHeight="1">
      <c r="B5222" s="17"/>
      <c r="C5222" s="17"/>
      <c r="D5222" s="13"/>
      <c r="E5222" s="11"/>
      <c r="F5222" s="11"/>
      <c r="G5222" s="13">
        <f t="shared" si="1"/>
        <v>1281</v>
      </c>
      <c r="H5222" s="13"/>
    </row>
    <row r="5223" ht="22.5" customHeight="1">
      <c r="B5223" s="17"/>
      <c r="C5223" s="17"/>
      <c r="D5223" s="13"/>
      <c r="E5223" s="11"/>
      <c r="F5223" s="11"/>
      <c r="G5223" s="13">
        <f t="shared" si="1"/>
        <v>1281</v>
      </c>
      <c r="H5223" s="13"/>
    </row>
    <row r="5224" ht="22.5" customHeight="1">
      <c r="B5224" s="17"/>
      <c r="C5224" s="17"/>
      <c r="D5224" s="13"/>
      <c r="E5224" s="11"/>
      <c r="F5224" s="11"/>
      <c r="G5224" s="13">
        <f t="shared" si="1"/>
        <v>1281</v>
      </c>
      <c r="H5224" s="13"/>
    </row>
    <row r="5225" ht="22.5" customHeight="1">
      <c r="B5225" s="17"/>
      <c r="C5225" s="17"/>
      <c r="D5225" s="13"/>
      <c r="E5225" s="11"/>
      <c r="F5225" s="11"/>
      <c r="G5225" s="13">
        <f t="shared" si="1"/>
        <v>1281</v>
      </c>
      <c r="H5225" s="13"/>
    </row>
    <row r="5226" ht="22.5" customHeight="1">
      <c r="B5226" s="17"/>
      <c r="C5226" s="17"/>
      <c r="D5226" s="13"/>
      <c r="E5226" s="11"/>
      <c r="F5226" s="11"/>
      <c r="G5226" s="13">
        <f t="shared" si="1"/>
        <v>1281</v>
      </c>
      <c r="H5226" s="13"/>
    </row>
    <row r="5227" ht="22.5" customHeight="1">
      <c r="B5227" s="17"/>
      <c r="C5227" s="17"/>
      <c r="D5227" s="13"/>
      <c r="E5227" s="11"/>
      <c r="F5227" s="11"/>
      <c r="G5227" s="13">
        <f t="shared" si="1"/>
        <v>1281</v>
      </c>
      <c r="H5227" s="13"/>
    </row>
    <row r="5228" ht="22.5" customHeight="1">
      <c r="B5228" s="17"/>
      <c r="C5228" s="17"/>
      <c r="D5228" s="13"/>
      <c r="E5228" s="11"/>
      <c r="F5228" s="11"/>
      <c r="G5228" s="13">
        <f t="shared" si="1"/>
        <v>1281</v>
      </c>
      <c r="H5228" s="13"/>
    </row>
    <row r="5229" ht="22.5" customHeight="1">
      <c r="B5229" s="17"/>
      <c r="C5229" s="17"/>
      <c r="D5229" s="13"/>
      <c r="E5229" s="11"/>
      <c r="F5229" s="11"/>
      <c r="G5229" s="13">
        <f t="shared" si="1"/>
        <v>1281</v>
      </c>
      <c r="H5229" s="13"/>
    </row>
    <row r="5230" ht="22.5" customHeight="1">
      <c r="B5230" s="17"/>
      <c r="C5230" s="17"/>
      <c r="D5230" s="13"/>
      <c r="E5230" s="11"/>
      <c r="F5230" s="11"/>
      <c r="G5230" s="13">
        <f t="shared" si="1"/>
        <v>1281</v>
      </c>
      <c r="H5230" s="13"/>
    </row>
    <row r="5231" ht="22.5" customHeight="1">
      <c r="B5231" s="17"/>
      <c r="C5231" s="17"/>
      <c r="D5231" s="13"/>
      <c r="E5231" s="11"/>
      <c r="F5231" s="11"/>
      <c r="G5231" s="13">
        <f t="shared" si="1"/>
        <v>1281</v>
      </c>
      <c r="H5231" s="13"/>
    </row>
    <row r="5232" ht="22.5" customHeight="1">
      <c r="B5232" s="17"/>
      <c r="C5232" s="17"/>
      <c r="D5232" s="13"/>
      <c r="E5232" s="11"/>
      <c r="F5232" s="11"/>
      <c r="G5232" s="13">
        <f t="shared" si="1"/>
        <v>1281</v>
      </c>
      <c r="H5232" s="13"/>
    </row>
    <row r="5233" ht="22.5" customHeight="1">
      <c r="B5233" s="17"/>
      <c r="C5233" s="17"/>
      <c r="D5233" s="13"/>
      <c r="E5233" s="11"/>
      <c r="F5233" s="11"/>
      <c r="G5233" s="13">
        <f t="shared" si="1"/>
        <v>1281</v>
      </c>
      <c r="H5233" s="13"/>
    </row>
    <row r="5234" ht="22.5" customHeight="1">
      <c r="B5234" s="17"/>
      <c r="C5234" s="17"/>
      <c r="D5234" s="13"/>
      <c r="E5234" s="11"/>
      <c r="F5234" s="11"/>
      <c r="G5234" s="13">
        <f t="shared" si="1"/>
        <v>1281</v>
      </c>
      <c r="H5234" s="13"/>
    </row>
    <row r="5235" ht="22.5" customHeight="1">
      <c r="B5235" s="17"/>
      <c r="C5235" s="17"/>
      <c r="D5235" s="13"/>
      <c r="E5235" s="11"/>
      <c r="F5235" s="11"/>
      <c r="G5235" s="13">
        <f t="shared" si="1"/>
        <v>1281</v>
      </c>
      <c r="H5235" s="13"/>
    </row>
    <row r="5236" ht="22.5" customHeight="1">
      <c r="B5236" s="17"/>
      <c r="C5236" s="17"/>
      <c r="D5236" s="13"/>
      <c r="E5236" s="11"/>
      <c r="F5236" s="11"/>
      <c r="G5236" s="13">
        <f t="shared" si="1"/>
        <v>1281</v>
      </c>
      <c r="H5236" s="13"/>
    </row>
    <row r="5237" ht="22.5" customHeight="1">
      <c r="B5237" s="17"/>
      <c r="C5237" s="17"/>
      <c r="D5237" s="13"/>
      <c r="E5237" s="11"/>
      <c r="F5237" s="11"/>
      <c r="G5237" s="13">
        <f t="shared" si="1"/>
        <v>1281</v>
      </c>
      <c r="H5237" s="13"/>
    </row>
    <row r="5238" ht="22.5" customHeight="1">
      <c r="B5238" s="17"/>
      <c r="C5238" s="17"/>
      <c r="D5238" s="13"/>
      <c r="E5238" s="11"/>
      <c r="F5238" s="11"/>
      <c r="G5238" s="13">
        <f t="shared" si="1"/>
        <v>1281</v>
      </c>
      <c r="H5238" s="13"/>
    </row>
    <row r="5239" ht="22.5" customHeight="1">
      <c r="B5239" s="17"/>
      <c r="C5239" s="17"/>
      <c r="D5239" s="13"/>
      <c r="E5239" s="11"/>
      <c r="F5239" s="11"/>
      <c r="G5239" s="13">
        <f t="shared" si="1"/>
        <v>1281</v>
      </c>
      <c r="H5239" s="13"/>
    </row>
    <row r="5240" ht="22.5" customHeight="1">
      <c r="B5240" s="17"/>
      <c r="C5240" s="17"/>
      <c r="D5240" s="13"/>
      <c r="E5240" s="11"/>
      <c r="F5240" s="11"/>
      <c r="G5240" s="13">
        <f t="shared" si="1"/>
        <v>1281</v>
      </c>
      <c r="H5240" s="13"/>
    </row>
    <row r="5241" ht="22.5" customHeight="1">
      <c r="B5241" s="17"/>
      <c r="C5241" s="17"/>
      <c r="D5241" s="13"/>
      <c r="E5241" s="11"/>
      <c r="F5241" s="11"/>
      <c r="G5241" s="13">
        <f t="shared" si="1"/>
        <v>1281</v>
      </c>
      <c r="H5241" s="13"/>
    </row>
    <row r="5242" ht="22.5" customHeight="1">
      <c r="B5242" s="17"/>
      <c r="C5242" s="17"/>
      <c r="D5242" s="13"/>
      <c r="E5242" s="11"/>
      <c r="F5242" s="11"/>
      <c r="G5242" s="13">
        <f t="shared" si="1"/>
        <v>1281</v>
      </c>
      <c r="H5242" s="13"/>
    </row>
    <row r="5243" ht="22.5" customHeight="1">
      <c r="B5243" s="17"/>
      <c r="C5243" s="17"/>
      <c r="D5243" s="13"/>
      <c r="E5243" s="11"/>
      <c r="F5243" s="11"/>
      <c r="G5243" s="13">
        <f t="shared" si="1"/>
        <v>1281</v>
      </c>
      <c r="H5243" s="13"/>
    </row>
    <row r="5244" ht="22.5" customHeight="1">
      <c r="B5244" s="17"/>
      <c r="C5244" s="17"/>
      <c r="D5244" s="13"/>
      <c r="E5244" s="11"/>
      <c r="F5244" s="11"/>
      <c r="G5244" s="13">
        <f t="shared" si="1"/>
        <v>1281</v>
      </c>
      <c r="H5244" s="13"/>
    </row>
    <row r="5245" ht="22.5" customHeight="1">
      <c r="B5245" s="17"/>
      <c r="C5245" s="17"/>
      <c r="D5245" s="13"/>
      <c r="E5245" s="11"/>
      <c r="F5245" s="11"/>
      <c r="G5245" s="13">
        <f t="shared" si="1"/>
        <v>1281</v>
      </c>
      <c r="H5245" s="13"/>
    </row>
    <row r="5246" ht="22.5" customHeight="1">
      <c r="B5246" s="17"/>
      <c r="C5246" s="17"/>
      <c r="D5246" s="13"/>
      <c r="E5246" s="11"/>
      <c r="F5246" s="11"/>
      <c r="G5246" s="13">
        <f t="shared" si="1"/>
        <v>1281</v>
      </c>
      <c r="H5246" s="13"/>
    </row>
    <row r="5247" ht="22.5" customHeight="1">
      <c r="B5247" s="17"/>
      <c r="C5247" s="17"/>
      <c r="D5247" s="13"/>
      <c r="E5247" s="11"/>
      <c r="F5247" s="11"/>
      <c r="G5247" s="13">
        <f t="shared" si="1"/>
        <v>1281</v>
      </c>
      <c r="H5247" s="13"/>
    </row>
    <row r="5248" ht="22.5" customHeight="1">
      <c r="B5248" s="17"/>
      <c r="C5248" s="17"/>
      <c r="D5248" s="13"/>
      <c r="E5248" s="11"/>
      <c r="F5248" s="11"/>
      <c r="G5248" s="13">
        <f t="shared" si="1"/>
        <v>1281</v>
      </c>
      <c r="H5248" s="13"/>
    </row>
    <row r="5249" ht="22.5" customHeight="1">
      <c r="B5249" s="17"/>
      <c r="C5249" s="17"/>
      <c r="D5249" s="13"/>
      <c r="E5249" s="11"/>
      <c r="F5249" s="11"/>
      <c r="G5249" s="13">
        <f t="shared" si="1"/>
        <v>1281</v>
      </c>
      <c r="H5249" s="13"/>
    </row>
    <row r="5250" ht="22.5" customHeight="1">
      <c r="B5250" s="17"/>
      <c r="C5250" s="17"/>
      <c r="D5250" s="13"/>
      <c r="E5250" s="11"/>
      <c r="F5250" s="11"/>
      <c r="G5250" s="13">
        <f t="shared" si="1"/>
        <v>1281</v>
      </c>
      <c r="H5250" s="13"/>
    </row>
    <row r="5251" ht="22.5" customHeight="1">
      <c r="B5251" s="17"/>
      <c r="C5251" s="17"/>
      <c r="D5251" s="13"/>
      <c r="E5251" s="11"/>
      <c r="F5251" s="11"/>
      <c r="G5251" s="13">
        <f t="shared" si="1"/>
        <v>1281</v>
      </c>
      <c r="H5251" s="13"/>
    </row>
    <row r="5252" ht="22.5" customHeight="1">
      <c r="B5252" s="17"/>
      <c r="C5252" s="17"/>
      <c r="D5252" s="13"/>
      <c r="E5252" s="11"/>
      <c r="F5252" s="11"/>
      <c r="G5252" s="13">
        <f t="shared" si="1"/>
        <v>1281</v>
      </c>
      <c r="H5252" s="13"/>
    </row>
    <row r="5253" ht="22.5" customHeight="1">
      <c r="B5253" s="17"/>
      <c r="C5253" s="17"/>
      <c r="D5253" s="13"/>
      <c r="E5253" s="11"/>
      <c r="F5253" s="11"/>
      <c r="G5253" s="13">
        <f t="shared" si="1"/>
        <v>1281</v>
      </c>
      <c r="H5253" s="13"/>
    </row>
    <row r="5254" ht="22.5" customHeight="1">
      <c r="B5254" s="17"/>
      <c r="C5254" s="17"/>
      <c r="D5254" s="13"/>
      <c r="E5254" s="11"/>
      <c r="F5254" s="11"/>
      <c r="G5254" s="13">
        <f t="shared" si="1"/>
        <v>1281</v>
      </c>
      <c r="H5254" s="13"/>
    </row>
    <row r="5255" ht="22.5" customHeight="1">
      <c r="B5255" s="17"/>
      <c r="C5255" s="17"/>
      <c r="D5255" s="13"/>
      <c r="E5255" s="11"/>
      <c r="F5255" s="11"/>
      <c r="G5255" s="13">
        <f t="shared" si="1"/>
        <v>1281</v>
      </c>
      <c r="H5255" s="13"/>
    </row>
    <row r="5256" ht="22.5" customHeight="1">
      <c r="B5256" s="17"/>
      <c r="C5256" s="17"/>
      <c r="D5256" s="13"/>
      <c r="E5256" s="11"/>
      <c r="F5256" s="11"/>
      <c r="G5256" s="13">
        <f t="shared" si="1"/>
        <v>1281</v>
      </c>
      <c r="H5256" s="13"/>
    </row>
    <row r="5257" ht="22.5" customHeight="1">
      <c r="B5257" s="17"/>
      <c r="C5257" s="17"/>
      <c r="D5257" s="13"/>
      <c r="E5257" s="11"/>
      <c r="F5257" s="11"/>
      <c r="G5257" s="13">
        <f t="shared" si="1"/>
        <v>1281</v>
      </c>
      <c r="H5257" s="13"/>
    </row>
    <row r="5258" ht="22.5" customHeight="1">
      <c r="B5258" s="17"/>
      <c r="C5258" s="17"/>
      <c r="D5258" s="13"/>
      <c r="E5258" s="11"/>
      <c r="F5258" s="11"/>
      <c r="G5258" s="13">
        <f t="shared" si="1"/>
        <v>1281</v>
      </c>
      <c r="H5258" s="13"/>
    </row>
    <row r="5259" ht="22.5" customHeight="1">
      <c r="B5259" s="17"/>
      <c r="C5259" s="17"/>
      <c r="D5259" s="13"/>
      <c r="E5259" s="11"/>
      <c r="F5259" s="11"/>
      <c r="G5259" s="13">
        <f t="shared" si="1"/>
        <v>1281</v>
      </c>
      <c r="H5259" s="13"/>
    </row>
    <row r="5260" ht="22.5" customHeight="1">
      <c r="B5260" s="17"/>
      <c r="C5260" s="17"/>
      <c r="D5260" s="13"/>
      <c r="E5260" s="11"/>
      <c r="F5260" s="11"/>
      <c r="G5260" s="13">
        <f t="shared" si="1"/>
        <v>1281</v>
      </c>
      <c r="H5260" s="13"/>
    </row>
    <row r="5261" ht="22.5" customHeight="1">
      <c r="B5261" s="17"/>
      <c r="C5261" s="17"/>
      <c r="D5261" s="13"/>
      <c r="E5261" s="11"/>
      <c r="F5261" s="11"/>
      <c r="G5261" s="13">
        <f t="shared" si="1"/>
        <v>1281</v>
      </c>
      <c r="H5261" s="13"/>
    </row>
    <row r="5262" ht="22.5" customHeight="1">
      <c r="B5262" s="17"/>
      <c r="C5262" s="17"/>
      <c r="D5262" s="13"/>
      <c r="E5262" s="11"/>
      <c r="F5262" s="11"/>
      <c r="G5262" s="13">
        <f t="shared" si="1"/>
        <v>1281</v>
      </c>
      <c r="H5262" s="13"/>
    </row>
    <row r="5263" ht="22.5" customHeight="1">
      <c r="B5263" s="17"/>
      <c r="C5263" s="17"/>
      <c r="D5263" s="13"/>
      <c r="E5263" s="11"/>
      <c r="F5263" s="11"/>
      <c r="G5263" s="13">
        <f t="shared" si="1"/>
        <v>1281</v>
      </c>
      <c r="H5263" s="13"/>
    </row>
    <row r="5264" ht="22.5" customHeight="1">
      <c r="B5264" s="17"/>
      <c r="C5264" s="17"/>
      <c r="D5264" s="13"/>
      <c r="E5264" s="11"/>
      <c r="F5264" s="11"/>
      <c r="G5264" s="13">
        <f t="shared" si="1"/>
        <v>1281</v>
      </c>
      <c r="H5264" s="13"/>
    </row>
    <row r="5265" ht="22.5" customHeight="1">
      <c r="B5265" s="17"/>
      <c r="C5265" s="17"/>
      <c r="D5265" s="13"/>
      <c r="E5265" s="11"/>
      <c r="F5265" s="11"/>
      <c r="G5265" s="13">
        <f t="shared" si="1"/>
        <v>1281</v>
      </c>
      <c r="H5265" s="13"/>
    </row>
    <row r="5266" ht="22.5" customHeight="1">
      <c r="B5266" s="17"/>
      <c r="C5266" s="17"/>
      <c r="D5266" s="13"/>
      <c r="E5266" s="11"/>
      <c r="F5266" s="11"/>
      <c r="G5266" s="13">
        <f t="shared" si="1"/>
        <v>1281</v>
      </c>
      <c r="H5266" s="13"/>
    </row>
    <row r="5267" ht="22.5" customHeight="1">
      <c r="B5267" s="17"/>
      <c r="C5267" s="17"/>
      <c r="D5267" s="13"/>
      <c r="E5267" s="11"/>
      <c r="F5267" s="11"/>
      <c r="G5267" s="13">
        <f t="shared" si="1"/>
        <v>1281</v>
      </c>
      <c r="H5267" s="13"/>
    </row>
    <row r="5268" ht="22.5" customHeight="1">
      <c r="B5268" s="17"/>
      <c r="C5268" s="17"/>
      <c r="D5268" s="13"/>
      <c r="E5268" s="11"/>
      <c r="F5268" s="11"/>
      <c r="G5268" s="13">
        <f t="shared" si="1"/>
        <v>1281</v>
      </c>
      <c r="H5268" s="13"/>
    </row>
    <row r="5269" ht="22.5" customHeight="1">
      <c r="B5269" s="17"/>
      <c r="C5269" s="17"/>
      <c r="D5269" s="13"/>
      <c r="E5269" s="11"/>
      <c r="F5269" s="11"/>
      <c r="G5269" s="13">
        <f t="shared" si="1"/>
        <v>1281</v>
      </c>
      <c r="H5269" s="13"/>
    </row>
    <row r="5270" ht="22.5" customHeight="1">
      <c r="B5270" s="17"/>
      <c r="C5270" s="17"/>
      <c r="D5270" s="13"/>
      <c r="E5270" s="11"/>
      <c r="F5270" s="11"/>
      <c r="G5270" s="13">
        <f t="shared" si="1"/>
        <v>1281</v>
      </c>
      <c r="H5270" s="13"/>
    </row>
    <row r="5271" ht="22.5" customHeight="1">
      <c r="B5271" s="17"/>
      <c r="C5271" s="17"/>
      <c r="D5271" s="13"/>
      <c r="E5271" s="11"/>
      <c r="F5271" s="11"/>
      <c r="G5271" s="13">
        <f t="shared" si="1"/>
        <v>1281</v>
      </c>
      <c r="H5271" s="13"/>
    </row>
    <row r="5272" ht="22.5" customHeight="1">
      <c r="B5272" s="17"/>
      <c r="C5272" s="17"/>
      <c r="D5272" s="13"/>
      <c r="E5272" s="11"/>
      <c r="F5272" s="11"/>
      <c r="G5272" s="13">
        <f t="shared" si="1"/>
        <v>1281</v>
      </c>
      <c r="H5272" s="13"/>
    </row>
    <row r="5273" ht="22.5" customHeight="1">
      <c r="B5273" s="17"/>
      <c r="C5273" s="17"/>
      <c r="D5273" s="13"/>
      <c r="E5273" s="11"/>
      <c r="F5273" s="11"/>
      <c r="G5273" s="13">
        <f t="shared" si="1"/>
        <v>1281</v>
      </c>
      <c r="H5273" s="13"/>
    </row>
    <row r="5274" ht="22.5" customHeight="1">
      <c r="B5274" s="17"/>
      <c r="C5274" s="17"/>
      <c r="D5274" s="13"/>
      <c r="E5274" s="11"/>
      <c r="F5274" s="11"/>
      <c r="G5274" s="13">
        <f t="shared" si="1"/>
        <v>1281</v>
      </c>
      <c r="H5274" s="13"/>
    </row>
    <row r="5275" ht="22.5" customHeight="1">
      <c r="B5275" s="17"/>
      <c r="C5275" s="17"/>
      <c r="D5275" s="13"/>
      <c r="E5275" s="11"/>
      <c r="F5275" s="11"/>
      <c r="G5275" s="13">
        <f t="shared" si="1"/>
        <v>1281</v>
      </c>
      <c r="H5275" s="13"/>
    </row>
    <row r="5276" ht="22.5" customHeight="1">
      <c r="B5276" s="17"/>
      <c r="C5276" s="17"/>
      <c r="D5276" s="13"/>
      <c r="E5276" s="11"/>
      <c r="F5276" s="11"/>
      <c r="G5276" s="13">
        <f t="shared" si="1"/>
        <v>1281</v>
      </c>
      <c r="H5276" s="13"/>
    </row>
    <row r="5277" ht="22.5" customHeight="1">
      <c r="B5277" s="17"/>
      <c r="C5277" s="17"/>
      <c r="D5277" s="13"/>
      <c r="E5277" s="11"/>
      <c r="F5277" s="11"/>
      <c r="G5277" s="13">
        <f t="shared" si="1"/>
        <v>1281</v>
      </c>
      <c r="H5277" s="13"/>
    </row>
    <row r="5278" ht="22.5" customHeight="1">
      <c r="B5278" s="17"/>
      <c r="C5278" s="17"/>
      <c r="D5278" s="13"/>
      <c r="E5278" s="11"/>
      <c r="F5278" s="11"/>
      <c r="G5278" s="13">
        <f t="shared" si="1"/>
        <v>1281</v>
      </c>
      <c r="H5278" s="13"/>
    </row>
    <row r="5279" ht="22.5" customHeight="1">
      <c r="B5279" s="17"/>
      <c r="C5279" s="17"/>
      <c r="D5279" s="13"/>
      <c r="E5279" s="11"/>
      <c r="F5279" s="11"/>
      <c r="G5279" s="13">
        <f t="shared" si="1"/>
        <v>1281</v>
      </c>
      <c r="H5279" s="13"/>
    </row>
    <row r="5280" ht="22.5" customHeight="1">
      <c r="B5280" s="17"/>
      <c r="C5280" s="17"/>
      <c r="D5280" s="13"/>
      <c r="E5280" s="11"/>
      <c r="F5280" s="11"/>
      <c r="G5280" s="13">
        <f t="shared" si="1"/>
        <v>1281</v>
      </c>
      <c r="H5280" s="13"/>
    </row>
    <row r="5281" ht="22.5" customHeight="1">
      <c r="B5281" s="17"/>
      <c r="C5281" s="17"/>
      <c r="D5281" s="13"/>
      <c r="E5281" s="11"/>
      <c r="F5281" s="11"/>
      <c r="G5281" s="13">
        <f t="shared" si="1"/>
        <v>1281</v>
      </c>
      <c r="H5281" s="13"/>
    </row>
    <row r="5282" ht="22.5" customHeight="1">
      <c r="B5282" s="17"/>
      <c r="C5282" s="17"/>
      <c r="D5282" s="13"/>
      <c r="E5282" s="11"/>
      <c r="F5282" s="11"/>
      <c r="G5282" s="13">
        <f t="shared" si="1"/>
        <v>1281</v>
      </c>
      <c r="H5282" s="13"/>
    </row>
    <row r="5283" ht="22.5" customHeight="1">
      <c r="B5283" s="17"/>
      <c r="C5283" s="17"/>
      <c r="D5283" s="13"/>
      <c r="E5283" s="11"/>
      <c r="F5283" s="11"/>
      <c r="G5283" s="13">
        <f t="shared" si="1"/>
        <v>1281</v>
      </c>
      <c r="H5283" s="13"/>
    </row>
    <row r="5284" ht="22.5" customHeight="1">
      <c r="B5284" s="17"/>
      <c r="C5284" s="17"/>
      <c r="D5284" s="13"/>
      <c r="E5284" s="11"/>
      <c r="F5284" s="11"/>
      <c r="G5284" s="13">
        <f t="shared" si="1"/>
        <v>1281</v>
      </c>
      <c r="H5284" s="13"/>
    </row>
    <row r="5285" ht="22.5" customHeight="1">
      <c r="B5285" s="17"/>
      <c r="C5285" s="17"/>
      <c r="D5285" s="13"/>
      <c r="E5285" s="11"/>
      <c r="F5285" s="11"/>
      <c r="G5285" s="13">
        <f t="shared" si="1"/>
        <v>1281</v>
      </c>
      <c r="H5285" s="13"/>
    </row>
    <row r="5286" ht="22.5" customHeight="1">
      <c r="B5286" s="17"/>
      <c r="C5286" s="17"/>
      <c r="D5286" s="13"/>
      <c r="E5286" s="11"/>
      <c r="F5286" s="11"/>
      <c r="G5286" s="13">
        <f t="shared" si="1"/>
        <v>1281</v>
      </c>
      <c r="H5286" s="13"/>
    </row>
    <row r="5287" ht="22.5" customHeight="1">
      <c r="B5287" s="17"/>
      <c r="C5287" s="17"/>
      <c r="D5287" s="13"/>
      <c r="E5287" s="11"/>
      <c r="F5287" s="11"/>
      <c r="G5287" s="13">
        <f t="shared" si="1"/>
        <v>1281</v>
      </c>
      <c r="H5287" s="13"/>
    </row>
    <row r="5288" ht="22.5" customHeight="1">
      <c r="B5288" s="17"/>
      <c r="C5288" s="17"/>
      <c r="D5288" s="13"/>
      <c r="E5288" s="11"/>
      <c r="F5288" s="11"/>
      <c r="G5288" s="13">
        <f t="shared" si="1"/>
        <v>1281</v>
      </c>
      <c r="H5288" s="13"/>
    </row>
    <row r="5289" ht="22.5" customHeight="1">
      <c r="B5289" s="17"/>
      <c r="C5289" s="17"/>
      <c r="D5289" s="13"/>
      <c r="E5289" s="11"/>
      <c r="F5289" s="11"/>
      <c r="G5289" s="13">
        <f t="shared" si="1"/>
        <v>1281</v>
      </c>
      <c r="H5289" s="13"/>
    </row>
    <row r="5290" ht="22.5" customHeight="1">
      <c r="B5290" s="17"/>
      <c r="C5290" s="17"/>
      <c r="D5290" s="13"/>
      <c r="E5290" s="11"/>
      <c r="F5290" s="11"/>
      <c r="G5290" s="13">
        <f t="shared" si="1"/>
        <v>1281</v>
      </c>
      <c r="H5290" s="13"/>
    </row>
    <row r="5291" ht="22.5" customHeight="1">
      <c r="B5291" s="17"/>
      <c r="C5291" s="17"/>
      <c r="D5291" s="13"/>
      <c r="E5291" s="11"/>
      <c r="F5291" s="11"/>
      <c r="G5291" s="13">
        <f t="shared" si="1"/>
        <v>1281</v>
      </c>
      <c r="H5291" s="13"/>
    </row>
    <row r="5292" ht="22.5" customHeight="1">
      <c r="B5292" s="17"/>
      <c r="C5292" s="17"/>
      <c r="D5292" s="13"/>
      <c r="E5292" s="11"/>
      <c r="F5292" s="11"/>
      <c r="G5292" s="13">
        <f t="shared" si="1"/>
        <v>1281</v>
      </c>
      <c r="H5292" s="13"/>
    </row>
    <row r="5293" ht="22.5" customHeight="1">
      <c r="B5293" s="17"/>
      <c r="C5293" s="17"/>
      <c r="D5293" s="13"/>
      <c r="E5293" s="11"/>
      <c r="F5293" s="11"/>
      <c r="G5293" s="13">
        <f t="shared" si="1"/>
        <v>1281</v>
      </c>
      <c r="H5293" s="13"/>
    </row>
    <row r="5294" ht="22.5" customHeight="1">
      <c r="B5294" s="17"/>
      <c r="C5294" s="17"/>
      <c r="D5294" s="13"/>
      <c r="E5294" s="11"/>
      <c r="F5294" s="11"/>
      <c r="G5294" s="13">
        <f t="shared" si="1"/>
        <v>1281</v>
      </c>
      <c r="H5294" s="13"/>
    </row>
    <row r="5295" ht="22.5" customHeight="1">
      <c r="B5295" s="17"/>
      <c r="C5295" s="17"/>
      <c r="D5295" s="13"/>
      <c r="E5295" s="11"/>
      <c r="F5295" s="11"/>
      <c r="G5295" s="13">
        <f t="shared" si="1"/>
        <v>1281</v>
      </c>
      <c r="H5295" s="13"/>
    </row>
    <row r="5296" ht="22.5" customHeight="1">
      <c r="B5296" s="17"/>
      <c r="C5296" s="17"/>
      <c r="D5296" s="13"/>
      <c r="E5296" s="11"/>
      <c r="F5296" s="11"/>
      <c r="G5296" s="13">
        <f t="shared" si="1"/>
        <v>1281</v>
      </c>
      <c r="H5296" s="13"/>
    </row>
    <row r="5297" ht="22.5" customHeight="1">
      <c r="B5297" s="17"/>
      <c r="C5297" s="17"/>
      <c r="D5297" s="13"/>
      <c r="E5297" s="11"/>
      <c r="F5297" s="11"/>
      <c r="G5297" s="13">
        <f t="shared" si="1"/>
        <v>1281</v>
      </c>
      <c r="H5297" s="13"/>
    </row>
    <row r="5298" ht="22.5" customHeight="1">
      <c r="B5298" s="17"/>
      <c r="C5298" s="17"/>
      <c r="D5298" s="13"/>
      <c r="E5298" s="11"/>
      <c r="F5298" s="11"/>
      <c r="G5298" s="13">
        <f t="shared" si="1"/>
        <v>1281</v>
      </c>
      <c r="H5298" s="13"/>
    </row>
    <row r="5299" ht="22.5" customHeight="1">
      <c r="B5299" s="17"/>
      <c r="C5299" s="17"/>
      <c r="D5299" s="13"/>
      <c r="E5299" s="11"/>
      <c r="F5299" s="11"/>
      <c r="G5299" s="13">
        <f t="shared" si="1"/>
        <v>1281</v>
      </c>
      <c r="H5299" s="13"/>
    </row>
    <row r="5300" ht="22.5" customHeight="1">
      <c r="B5300" s="17"/>
      <c r="C5300" s="17"/>
      <c r="D5300" s="13"/>
      <c r="E5300" s="11"/>
      <c r="F5300" s="11"/>
      <c r="G5300" s="13">
        <f t="shared" si="1"/>
        <v>1281</v>
      </c>
      <c r="H5300" s="13"/>
    </row>
    <row r="5301" ht="22.5" customHeight="1">
      <c r="B5301" s="17"/>
      <c r="C5301" s="17"/>
      <c r="D5301" s="13"/>
      <c r="E5301" s="11"/>
      <c r="F5301" s="11"/>
      <c r="G5301" s="13">
        <f t="shared" si="1"/>
        <v>1281</v>
      </c>
      <c r="H5301" s="13"/>
    </row>
    <row r="5302" ht="22.5" customHeight="1">
      <c r="B5302" s="17"/>
      <c r="C5302" s="17"/>
      <c r="D5302" s="13"/>
      <c r="E5302" s="11"/>
      <c r="F5302" s="11"/>
      <c r="G5302" s="13">
        <f t="shared" si="1"/>
        <v>1281</v>
      </c>
      <c r="H5302" s="13"/>
    </row>
    <row r="5303" ht="22.5" customHeight="1">
      <c r="B5303" s="17"/>
      <c r="C5303" s="17"/>
      <c r="D5303" s="13"/>
      <c r="E5303" s="11"/>
      <c r="F5303" s="11"/>
      <c r="G5303" s="13">
        <f t="shared" si="1"/>
        <v>1281</v>
      </c>
      <c r="H5303" s="13"/>
    </row>
    <row r="5304" ht="22.5" customHeight="1">
      <c r="B5304" s="17"/>
      <c r="C5304" s="17"/>
      <c r="D5304" s="13"/>
      <c r="E5304" s="11"/>
      <c r="F5304" s="11"/>
      <c r="G5304" s="13">
        <f t="shared" si="1"/>
        <v>1281</v>
      </c>
      <c r="H5304" s="13"/>
    </row>
    <row r="5305" ht="22.5" customHeight="1">
      <c r="B5305" s="17"/>
      <c r="C5305" s="17"/>
      <c r="D5305" s="13"/>
      <c r="E5305" s="11"/>
      <c r="F5305" s="11"/>
      <c r="G5305" s="13">
        <f t="shared" si="1"/>
        <v>1281</v>
      </c>
      <c r="H5305" s="13"/>
    </row>
    <row r="5306" ht="22.5" customHeight="1">
      <c r="B5306" s="17"/>
      <c r="C5306" s="17"/>
      <c r="D5306" s="13"/>
      <c r="E5306" s="11"/>
      <c r="F5306" s="11"/>
      <c r="G5306" s="13">
        <f t="shared" si="1"/>
        <v>1281</v>
      </c>
      <c r="H5306" s="13"/>
    </row>
    <row r="5307" ht="22.5" customHeight="1">
      <c r="B5307" s="17"/>
      <c r="C5307" s="17"/>
      <c r="D5307" s="13"/>
      <c r="E5307" s="11"/>
      <c r="F5307" s="11"/>
      <c r="G5307" s="13">
        <f t="shared" si="1"/>
        <v>1281</v>
      </c>
      <c r="H5307" s="13"/>
    </row>
    <row r="5308" ht="22.5" customHeight="1">
      <c r="B5308" s="17"/>
      <c r="C5308" s="17"/>
      <c r="D5308" s="13"/>
      <c r="E5308" s="11"/>
      <c r="F5308" s="11"/>
      <c r="G5308" s="13">
        <f t="shared" si="1"/>
        <v>1281</v>
      </c>
      <c r="H5308" s="13"/>
    </row>
    <row r="5309" ht="22.5" customHeight="1">
      <c r="B5309" s="17"/>
      <c r="C5309" s="17"/>
      <c r="D5309" s="13"/>
      <c r="E5309" s="11"/>
      <c r="F5309" s="11"/>
      <c r="G5309" s="13">
        <f t="shared" si="1"/>
        <v>1281</v>
      </c>
      <c r="H5309" s="13"/>
    </row>
    <row r="5310" ht="22.5" customHeight="1">
      <c r="B5310" s="17"/>
      <c r="C5310" s="17"/>
      <c r="D5310" s="13"/>
      <c r="E5310" s="11"/>
      <c r="F5310" s="11"/>
      <c r="G5310" s="13">
        <f t="shared" si="1"/>
        <v>1281</v>
      </c>
      <c r="H5310" s="13"/>
    </row>
    <row r="5311" ht="22.5" customHeight="1">
      <c r="B5311" s="17"/>
      <c r="C5311" s="17"/>
      <c r="D5311" s="13"/>
      <c r="E5311" s="11"/>
      <c r="F5311" s="11"/>
      <c r="G5311" s="13">
        <f t="shared" si="1"/>
        <v>1281</v>
      </c>
      <c r="H5311" s="13"/>
    </row>
    <row r="5312" ht="22.5" customHeight="1">
      <c r="B5312" s="17"/>
      <c r="C5312" s="17"/>
      <c r="D5312" s="13"/>
      <c r="E5312" s="11"/>
      <c r="F5312" s="11"/>
      <c r="G5312" s="13">
        <f t="shared" si="1"/>
        <v>1281</v>
      </c>
      <c r="H5312" s="13"/>
    </row>
    <row r="5313" ht="22.5" customHeight="1">
      <c r="B5313" s="17"/>
      <c r="C5313" s="17"/>
      <c r="D5313" s="13"/>
      <c r="E5313" s="11"/>
      <c r="F5313" s="11"/>
      <c r="G5313" s="13">
        <f t="shared" si="1"/>
        <v>1281</v>
      </c>
      <c r="H5313" s="13"/>
    </row>
    <row r="5314" ht="22.5" customHeight="1">
      <c r="B5314" s="17"/>
      <c r="C5314" s="17"/>
      <c r="D5314" s="13"/>
      <c r="E5314" s="11"/>
      <c r="F5314" s="11"/>
      <c r="G5314" s="13">
        <f t="shared" si="1"/>
        <v>1281</v>
      </c>
      <c r="H5314" s="13"/>
    </row>
    <row r="5315" ht="22.5" customHeight="1">
      <c r="B5315" s="17"/>
      <c r="C5315" s="17"/>
      <c r="D5315" s="13"/>
      <c r="E5315" s="11"/>
      <c r="F5315" s="11"/>
      <c r="G5315" s="13">
        <f t="shared" si="1"/>
        <v>1281</v>
      </c>
      <c r="H5315" s="13"/>
    </row>
    <row r="5316" ht="22.5" customHeight="1">
      <c r="B5316" s="17"/>
      <c r="C5316" s="17"/>
      <c r="D5316" s="13"/>
      <c r="E5316" s="11"/>
      <c r="F5316" s="11"/>
      <c r="G5316" s="13">
        <f t="shared" si="1"/>
        <v>1281</v>
      </c>
      <c r="H5316" s="13"/>
    </row>
    <row r="5317" ht="22.5" customHeight="1">
      <c r="B5317" s="17"/>
      <c r="C5317" s="17"/>
      <c r="D5317" s="13"/>
      <c r="E5317" s="11"/>
      <c r="F5317" s="11"/>
      <c r="G5317" s="13">
        <f t="shared" si="1"/>
        <v>1281</v>
      </c>
      <c r="H5317" s="13"/>
    </row>
    <row r="5318" ht="22.5" customHeight="1">
      <c r="B5318" s="17"/>
      <c r="C5318" s="17"/>
      <c r="D5318" s="13"/>
      <c r="E5318" s="11"/>
      <c r="F5318" s="11"/>
      <c r="G5318" s="13">
        <f t="shared" si="1"/>
        <v>1281</v>
      </c>
      <c r="H5318" s="13"/>
    </row>
    <row r="5319" ht="22.5" customHeight="1">
      <c r="B5319" s="17"/>
      <c r="C5319" s="17"/>
      <c r="D5319" s="13"/>
      <c r="E5319" s="11"/>
      <c r="F5319" s="11"/>
      <c r="G5319" s="13">
        <f t="shared" si="1"/>
        <v>1281</v>
      </c>
      <c r="H5319" s="13"/>
    </row>
    <row r="5320" ht="22.5" customHeight="1">
      <c r="B5320" s="17"/>
      <c r="C5320" s="17"/>
      <c r="D5320" s="13"/>
      <c r="E5320" s="11"/>
      <c r="F5320" s="11"/>
      <c r="G5320" s="13">
        <f t="shared" si="1"/>
        <v>1281</v>
      </c>
      <c r="H5320" s="13"/>
    </row>
    <row r="5321" ht="22.5" customHeight="1">
      <c r="B5321" s="17"/>
      <c r="C5321" s="17"/>
      <c r="D5321" s="13"/>
      <c r="E5321" s="11"/>
      <c r="F5321" s="11"/>
      <c r="G5321" s="13">
        <f t="shared" si="1"/>
        <v>1281</v>
      </c>
      <c r="H5321" s="13"/>
    </row>
    <row r="5322" ht="22.5" customHeight="1">
      <c r="B5322" s="17"/>
      <c r="C5322" s="17"/>
      <c r="D5322" s="13"/>
      <c r="E5322" s="11"/>
      <c r="F5322" s="11"/>
      <c r="G5322" s="13">
        <f t="shared" si="1"/>
        <v>1281</v>
      </c>
      <c r="H5322" s="13"/>
    </row>
    <row r="5323" ht="22.5" customHeight="1">
      <c r="B5323" s="17"/>
      <c r="C5323" s="17"/>
      <c r="D5323" s="13"/>
      <c r="E5323" s="11"/>
      <c r="F5323" s="11"/>
      <c r="G5323" s="13">
        <f t="shared" si="1"/>
        <v>1281</v>
      </c>
      <c r="H5323" s="13"/>
    </row>
    <row r="5324" ht="22.5" customHeight="1">
      <c r="B5324" s="17"/>
      <c r="C5324" s="17"/>
      <c r="D5324" s="13"/>
      <c r="E5324" s="11"/>
      <c r="F5324" s="11"/>
      <c r="G5324" s="13">
        <f t="shared" si="1"/>
        <v>1281</v>
      </c>
      <c r="H5324" s="13"/>
    </row>
    <row r="5325" ht="22.5" customHeight="1">
      <c r="B5325" s="17"/>
      <c r="C5325" s="17"/>
      <c r="D5325" s="13"/>
      <c r="E5325" s="11"/>
      <c r="F5325" s="11"/>
      <c r="G5325" s="13">
        <f t="shared" si="1"/>
        <v>1281</v>
      </c>
      <c r="H5325" s="13"/>
    </row>
    <row r="5326" ht="22.5" customHeight="1">
      <c r="B5326" s="17"/>
      <c r="C5326" s="17"/>
      <c r="D5326" s="13"/>
      <c r="E5326" s="11"/>
      <c r="F5326" s="11"/>
      <c r="G5326" s="13">
        <f t="shared" si="1"/>
        <v>1281</v>
      </c>
      <c r="H5326" s="13"/>
    </row>
    <row r="5327" ht="22.5" customHeight="1">
      <c r="B5327" s="17"/>
      <c r="C5327" s="17"/>
      <c r="D5327" s="13"/>
      <c r="E5327" s="11"/>
      <c r="F5327" s="11"/>
      <c r="G5327" s="13">
        <f t="shared" si="1"/>
        <v>1281</v>
      </c>
      <c r="H5327" s="13"/>
    </row>
    <row r="5328" ht="22.5" customHeight="1">
      <c r="B5328" s="17"/>
      <c r="C5328" s="17"/>
      <c r="D5328" s="13"/>
      <c r="E5328" s="11"/>
      <c r="F5328" s="11"/>
      <c r="G5328" s="13">
        <f t="shared" si="1"/>
        <v>1281</v>
      </c>
      <c r="H5328" s="13"/>
    </row>
    <row r="5329" ht="22.5" customHeight="1">
      <c r="B5329" s="17"/>
      <c r="C5329" s="17"/>
      <c r="D5329" s="13"/>
      <c r="E5329" s="11"/>
      <c r="F5329" s="11"/>
      <c r="G5329" s="13">
        <f t="shared" si="1"/>
        <v>1281</v>
      </c>
      <c r="H5329" s="13"/>
    </row>
    <row r="5330" ht="22.5" customHeight="1">
      <c r="B5330" s="17"/>
      <c r="C5330" s="17"/>
      <c r="D5330" s="13"/>
      <c r="E5330" s="11"/>
      <c r="F5330" s="11"/>
      <c r="G5330" s="13">
        <f t="shared" si="1"/>
        <v>1281</v>
      </c>
      <c r="H5330" s="13"/>
    </row>
    <row r="5331" ht="22.5" customHeight="1">
      <c r="B5331" s="17"/>
      <c r="C5331" s="17"/>
      <c r="D5331" s="13"/>
      <c r="E5331" s="11"/>
      <c r="F5331" s="11"/>
      <c r="G5331" s="13">
        <f t="shared" si="1"/>
        <v>1281</v>
      </c>
      <c r="H5331" s="13"/>
    </row>
    <row r="5332" ht="22.5" customHeight="1">
      <c r="B5332" s="17"/>
      <c r="C5332" s="17"/>
      <c r="D5332" s="13"/>
      <c r="E5332" s="11"/>
      <c r="F5332" s="11"/>
      <c r="G5332" s="13">
        <f t="shared" si="1"/>
        <v>1281</v>
      </c>
      <c r="H5332" s="13"/>
    </row>
    <row r="5333" ht="22.5" customHeight="1">
      <c r="B5333" s="17"/>
      <c r="C5333" s="17"/>
      <c r="D5333" s="13"/>
      <c r="E5333" s="11"/>
      <c r="F5333" s="11"/>
      <c r="G5333" s="13">
        <f t="shared" si="1"/>
        <v>1281</v>
      </c>
      <c r="H5333" s="13"/>
    </row>
    <row r="5334" ht="22.5" customHeight="1">
      <c r="B5334" s="17"/>
      <c r="C5334" s="17"/>
      <c r="D5334" s="13"/>
      <c r="E5334" s="11"/>
      <c r="F5334" s="11"/>
      <c r="G5334" s="13">
        <f t="shared" si="1"/>
        <v>1281</v>
      </c>
      <c r="H5334" s="13"/>
    </row>
    <row r="5335" ht="22.5" customHeight="1">
      <c r="B5335" s="17"/>
      <c r="C5335" s="17"/>
      <c r="D5335" s="13"/>
      <c r="E5335" s="11"/>
      <c r="F5335" s="11"/>
      <c r="G5335" s="13">
        <f t="shared" si="1"/>
        <v>1281</v>
      </c>
      <c r="H5335" s="13"/>
    </row>
    <row r="5336" ht="22.5" customHeight="1">
      <c r="B5336" s="17"/>
      <c r="C5336" s="17"/>
      <c r="D5336" s="13"/>
      <c r="E5336" s="11"/>
      <c r="F5336" s="11"/>
      <c r="G5336" s="13">
        <f t="shared" si="1"/>
        <v>1281</v>
      </c>
      <c r="H5336" s="13"/>
    </row>
    <row r="5337" ht="22.5" customHeight="1">
      <c r="B5337" s="17"/>
      <c r="C5337" s="17"/>
      <c r="D5337" s="13"/>
      <c r="E5337" s="11"/>
      <c r="F5337" s="11"/>
      <c r="G5337" s="13">
        <f t="shared" si="1"/>
        <v>1281</v>
      </c>
      <c r="H5337" s="13"/>
    </row>
    <row r="5338" ht="22.5" customHeight="1">
      <c r="B5338" s="17"/>
      <c r="C5338" s="17"/>
      <c r="D5338" s="13"/>
      <c r="E5338" s="11"/>
      <c r="F5338" s="11"/>
      <c r="G5338" s="13">
        <f t="shared" si="1"/>
        <v>1281</v>
      </c>
      <c r="H5338" s="13"/>
    </row>
    <row r="5339" ht="22.5" customHeight="1">
      <c r="B5339" s="17"/>
      <c r="C5339" s="17"/>
      <c r="D5339" s="13"/>
      <c r="E5339" s="11"/>
      <c r="F5339" s="11"/>
      <c r="G5339" s="13">
        <f t="shared" si="1"/>
        <v>1281</v>
      </c>
      <c r="H5339" s="13"/>
    </row>
    <row r="5340" ht="22.5" customHeight="1">
      <c r="B5340" s="17"/>
      <c r="C5340" s="17"/>
      <c r="D5340" s="13"/>
      <c r="E5340" s="11"/>
      <c r="F5340" s="11"/>
      <c r="G5340" s="13">
        <f t="shared" si="1"/>
        <v>1281</v>
      </c>
      <c r="H5340" s="13"/>
    </row>
    <row r="5341" ht="22.5" customHeight="1">
      <c r="B5341" s="17"/>
      <c r="C5341" s="17"/>
      <c r="D5341" s="13"/>
      <c r="E5341" s="11"/>
      <c r="F5341" s="11"/>
      <c r="G5341" s="13">
        <f t="shared" si="1"/>
        <v>1281</v>
      </c>
      <c r="H5341" s="13"/>
    </row>
    <row r="5342" ht="22.5" customHeight="1">
      <c r="B5342" s="17"/>
      <c r="C5342" s="17"/>
      <c r="D5342" s="13"/>
      <c r="E5342" s="11"/>
      <c r="F5342" s="11"/>
      <c r="G5342" s="13">
        <f t="shared" si="1"/>
        <v>1281</v>
      </c>
      <c r="H5342" s="13"/>
    </row>
    <row r="5343" ht="22.5" customHeight="1">
      <c r="B5343" s="17"/>
      <c r="C5343" s="17"/>
      <c r="D5343" s="13"/>
      <c r="E5343" s="11"/>
      <c r="F5343" s="11"/>
      <c r="G5343" s="13">
        <f t="shared" si="1"/>
        <v>1281</v>
      </c>
      <c r="H5343" s="13"/>
    </row>
    <row r="5344" ht="22.5" customHeight="1">
      <c r="B5344" s="17"/>
      <c r="C5344" s="17"/>
      <c r="D5344" s="13"/>
      <c r="E5344" s="11"/>
      <c r="F5344" s="11"/>
      <c r="G5344" s="13">
        <f t="shared" si="1"/>
        <v>1281</v>
      </c>
      <c r="H5344" s="13"/>
    </row>
    <row r="5345" ht="22.5" customHeight="1">
      <c r="B5345" s="17"/>
      <c r="C5345" s="17"/>
      <c r="D5345" s="13"/>
      <c r="E5345" s="11"/>
      <c r="F5345" s="11"/>
      <c r="G5345" s="13">
        <f t="shared" si="1"/>
        <v>1281</v>
      </c>
      <c r="H5345" s="13"/>
    </row>
    <row r="5346" ht="22.5" customHeight="1">
      <c r="B5346" s="17"/>
      <c r="C5346" s="17"/>
      <c r="D5346" s="13"/>
      <c r="E5346" s="11"/>
      <c r="F5346" s="11"/>
      <c r="G5346" s="13">
        <f t="shared" si="1"/>
        <v>1281</v>
      </c>
      <c r="H5346" s="13"/>
    </row>
    <row r="5347" ht="22.5" customHeight="1">
      <c r="B5347" s="17"/>
      <c r="C5347" s="17"/>
      <c r="D5347" s="13"/>
      <c r="E5347" s="11"/>
      <c r="F5347" s="11"/>
      <c r="G5347" s="13">
        <f t="shared" si="1"/>
        <v>1281</v>
      </c>
      <c r="H5347" s="13"/>
    </row>
    <row r="5348" ht="22.5" customHeight="1">
      <c r="B5348" s="17"/>
      <c r="C5348" s="17"/>
      <c r="D5348" s="13"/>
      <c r="E5348" s="11"/>
      <c r="F5348" s="11"/>
      <c r="G5348" s="13">
        <f t="shared" si="1"/>
        <v>1281</v>
      </c>
      <c r="H5348" s="13"/>
    </row>
    <row r="5349" ht="22.5" customHeight="1">
      <c r="B5349" s="17"/>
      <c r="C5349" s="17"/>
      <c r="D5349" s="13"/>
      <c r="E5349" s="11"/>
      <c r="F5349" s="11"/>
      <c r="G5349" s="13">
        <f t="shared" si="1"/>
        <v>1281</v>
      </c>
      <c r="H5349" s="13"/>
    </row>
    <row r="5350" ht="22.5" customHeight="1">
      <c r="B5350" s="17"/>
      <c r="C5350" s="17"/>
      <c r="D5350" s="13"/>
      <c r="E5350" s="11"/>
      <c r="F5350" s="11"/>
      <c r="G5350" s="13">
        <f t="shared" si="1"/>
        <v>1281</v>
      </c>
      <c r="H5350" s="13"/>
    </row>
    <row r="5351" ht="22.5" customHeight="1">
      <c r="B5351" s="17"/>
      <c r="C5351" s="17"/>
      <c r="D5351" s="13"/>
      <c r="E5351" s="11"/>
      <c r="F5351" s="11"/>
      <c r="G5351" s="13">
        <f t="shared" si="1"/>
        <v>1281</v>
      </c>
      <c r="H5351" s="13"/>
    </row>
    <row r="5352" ht="22.5" customHeight="1">
      <c r="B5352" s="17"/>
      <c r="C5352" s="17"/>
      <c r="D5352" s="13"/>
      <c r="E5352" s="11"/>
      <c r="F5352" s="11"/>
      <c r="G5352" s="13">
        <f t="shared" si="1"/>
        <v>1281</v>
      </c>
      <c r="H5352" s="13"/>
    </row>
    <row r="5353" ht="22.5" customHeight="1">
      <c r="B5353" s="17"/>
      <c r="C5353" s="17"/>
      <c r="D5353" s="13"/>
      <c r="E5353" s="11"/>
      <c r="F5353" s="11"/>
      <c r="G5353" s="13">
        <f t="shared" si="1"/>
        <v>1281</v>
      </c>
      <c r="H5353" s="13"/>
    </row>
    <row r="5354" ht="22.5" customHeight="1">
      <c r="B5354" s="17"/>
      <c r="C5354" s="17"/>
      <c r="D5354" s="13"/>
      <c r="E5354" s="11"/>
      <c r="F5354" s="11"/>
      <c r="G5354" s="13">
        <f t="shared" si="1"/>
        <v>1281</v>
      </c>
      <c r="H5354" s="13"/>
    </row>
    <row r="5355" ht="22.5" customHeight="1">
      <c r="B5355" s="17"/>
      <c r="C5355" s="17"/>
      <c r="D5355" s="13"/>
      <c r="E5355" s="11"/>
      <c r="F5355" s="11"/>
      <c r="G5355" s="13">
        <f t="shared" si="1"/>
        <v>1281</v>
      </c>
      <c r="H5355" s="13"/>
    </row>
    <row r="5356" ht="22.5" customHeight="1">
      <c r="B5356" s="17"/>
      <c r="C5356" s="17"/>
      <c r="D5356" s="13"/>
      <c r="E5356" s="11"/>
      <c r="F5356" s="11"/>
      <c r="G5356" s="13">
        <f t="shared" si="1"/>
        <v>1281</v>
      </c>
      <c r="H5356" s="13"/>
    </row>
    <row r="5357" ht="22.5" customHeight="1">
      <c r="B5357" s="17"/>
      <c r="C5357" s="17"/>
      <c r="D5357" s="13"/>
      <c r="E5357" s="11"/>
      <c r="F5357" s="11"/>
      <c r="G5357" s="13">
        <f t="shared" si="1"/>
        <v>1281</v>
      </c>
      <c r="H5357" s="13"/>
    </row>
    <row r="5358" ht="22.5" customHeight="1">
      <c r="B5358" s="17"/>
      <c r="C5358" s="17"/>
      <c r="D5358" s="13"/>
      <c r="E5358" s="11"/>
      <c r="F5358" s="11"/>
      <c r="G5358" s="13">
        <f t="shared" si="1"/>
        <v>1281</v>
      </c>
      <c r="H5358" s="13"/>
    </row>
    <row r="5359" ht="22.5" customHeight="1">
      <c r="B5359" s="17"/>
      <c r="C5359" s="17"/>
      <c r="D5359" s="13"/>
      <c r="E5359" s="11"/>
      <c r="F5359" s="11"/>
      <c r="G5359" s="13">
        <f t="shared" si="1"/>
        <v>1281</v>
      </c>
      <c r="H5359" s="13"/>
    </row>
    <row r="5360" ht="22.5" customHeight="1">
      <c r="B5360" s="17"/>
      <c r="C5360" s="17"/>
      <c r="D5360" s="13"/>
      <c r="E5360" s="11"/>
      <c r="F5360" s="11"/>
      <c r="G5360" s="13">
        <f t="shared" si="1"/>
        <v>1281</v>
      </c>
      <c r="H5360" s="13"/>
    </row>
    <row r="5361" ht="22.5" customHeight="1">
      <c r="B5361" s="17"/>
      <c r="C5361" s="17"/>
      <c r="D5361" s="13"/>
      <c r="E5361" s="11"/>
      <c r="F5361" s="11"/>
      <c r="G5361" s="13">
        <f t="shared" si="1"/>
        <v>1281</v>
      </c>
      <c r="H5361" s="13"/>
    </row>
    <row r="5362" ht="22.5" customHeight="1">
      <c r="B5362" s="17"/>
      <c r="C5362" s="17"/>
      <c r="D5362" s="13"/>
      <c r="E5362" s="11"/>
      <c r="F5362" s="11"/>
      <c r="G5362" s="13">
        <f t="shared" si="1"/>
        <v>1281</v>
      </c>
      <c r="H5362" s="13"/>
    </row>
    <row r="5363" ht="22.5" customHeight="1">
      <c r="B5363" s="17"/>
      <c r="C5363" s="17"/>
      <c r="D5363" s="13"/>
      <c r="E5363" s="11"/>
      <c r="F5363" s="11"/>
      <c r="G5363" s="13">
        <f t="shared" si="1"/>
        <v>1281</v>
      </c>
      <c r="H5363" s="13"/>
    </row>
    <row r="5364" ht="22.5" customHeight="1">
      <c r="B5364" s="17"/>
      <c r="C5364" s="17"/>
      <c r="D5364" s="13"/>
      <c r="E5364" s="11"/>
      <c r="F5364" s="11"/>
      <c r="G5364" s="13">
        <f t="shared" si="1"/>
        <v>1281</v>
      </c>
      <c r="H5364" s="13"/>
    </row>
    <row r="5365" ht="22.5" customHeight="1">
      <c r="B5365" s="17"/>
      <c r="C5365" s="17"/>
      <c r="D5365" s="13"/>
      <c r="E5365" s="11"/>
      <c r="F5365" s="11"/>
      <c r="G5365" s="13">
        <f t="shared" si="1"/>
        <v>1281</v>
      </c>
      <c r="H5365" s="13"/>
    </row>
    <row r="5366" ht="22.5" customHeight="1">
      <c r="B5366" s="17"/>
      <c r="C5366" s="17"/>
      <c r="D5366" s="13"/>
      <c r="E5366" s="11"/>
      <c r="F5366" s="11"/>
      <c r="G5366" s="13">
        <f t="shared" si="1"/>
        <v>1281</v>
      </c>
      <c r="H5366" s="13"/>
    </row>
    <row r="5367" ht="22.5" customHeight="1">
      <c r="B5367" s="17"/>
      <c r="C5367" s="17"/>
      <c r="D5367" s="13"/>
      <c r="E5367" s="11"/>
      <c r="F5367" s="11"/>
      <c r="G5367" s="13">
        <f t="shared" si="1"/>
        <v>1281</v>
      </c>
      <c r="H5367" s="13"/>
    </row>
    <row r="5368" ht="22.5" customHeight="1">
      <c r="B5368" s="17"/>
      <c r="C5368" s="17"/>
      <c r="D5368" s="13"/>
      <c r="E5368" s="11"/>
      <c r="F5368" s="11"/>
      <c r="G5368" s="13">
        <f t="shared" si="1"/>
        <v>1281</v>
      </c>
      <c r="H5368" s="13"/>
    </row>
    <row r="5369" ht="22.5" customHeight="1">
      <c r="B5369" s="17"/>
      <c r="C5369" s="17"/>
      <c r="D5369" s="13"/>
      <c r="E5369" s="11"/>
      <c r="F5369" s="11"/>
      <c r="G5369" s="13">
        <f t="shared" si="1"/>
        <v>1281</v>
      </c>
      <c r="H5369" s="13"/>
    </row>
    <row r="5370" ht="22.5" customHeight="1">
      <c r="B5370" s="17"/>
      <c r="C5370" s="17"/>
      <c r="D5370" s="13"/>
      <c r="E5370" s="11"/>
      <c r="F5370" s="11"/>
      <c r="G5370" s="13">
        <f t="shared" si="1"/>
        <v>1281</v>
      </c>
      <c r="H5370" s="13"/>
    </row>
    <row r="5371" ht="22.5" customHeight="1">
      <c r="B5371" s="17"/>
      <c r="C5371" s="17"/>
      <c r="D5371" s="13"/>
      <c r="E5371" s="11"/>
      <c r="F5371" s="11"/>
      <c r="G5371" s="13">
        <f t="shared" si="1"/>
        <v>1281</v>
      </c>
      <c r="H5371" s="13"/>
    </row>
    <row r="5372" ht="22.5" customHeight="1">
      <c r="B5372" s="17"/>
      <c r="C5372" s="17"/>
      <c r="D5372" s="13"/>
      <c r="E5372" s="11"/>
      <c r="F5372" s="11"/>
      <c r="G5372" s="13">
        <f t="shared" si="1"/>
        <v>1281</v>
      </c>
      <c r="H5372" s="13"/>
    </row>
    <row r="5373" ht="22.5" customHeight="1">
      <c r="B5373" s="17"/>
      <c r="C5373" s="17"/>
      <c r="D5373" s="13"/>
      <c r="E5373" s="11"/>
      <c r="F5373" s="11"/>
      <c r="G5373" s="13">
        <f t="shared" si="1"/>
        <v>1281</v>
      </c>
      <c r="H5373" s="13"/>
    </row>
    <row r="5374" ht="22.5" customHeight="1">
      <c r="B5374" s="17"/>
      <c r="C5374" s="17"/>
      <c r="D5374" s="13"/>
      <c r="E5374" s="11"/>
      <c r="F5374" s="11"/>
      <c r="G5374" s="13">
        <f t="shared" si="1"/>
        <v>1281</v>
      </c>
      <c r="H5374" s="13"/>
    </row>
    <row r="5375" ht="22.5" customHeight="1">
      <c r="B5375" s="17"/>
      <c r="C5375" s="17"/>
      <c r="D5375" s="13"/>
      <c r="E5375" s="11"/>
      <c r="F5375" s="11"/>
      <c r="G5375" s="13">
        <f t="shared" si="1"/>
        <v>1281</v>
      </c>
      <c r="H5375" s="13"/>
    </row>
    <row r="5376" ht="22.5" customHeight="1">
      <c r="B5376" s="17"/>
      <c r="C5376" s="17"/>
      <c r="D5376" s="13"/>
      <c r="E5376" s="11"/>
      <c r="F5376" s="11"/>
      <c r="G5376" s="13">
        <f t="shared" si="1"/>
        <v>1281</v>
      </c>
      <c r="H5376" s="13"/>
    </row>
    <row r="5377" ht="22.5" customHeight="1">
      <c r="B5377" s="17"/>
      <c r="C5377" s="17"/>
      <c r="D5377" s="13"/>
      <c r="E5377" s="11"/>
      <c r="F5377" s="11"/>
      <c r="G5377" s="13">
        <f t="shared" si="1"/>
        <v>1281</v>
      </c>
      <c r="H5377" s="13"/>
    </row>
    <row r="5378" ht="22.5" customHeight="1">
      <c r="B5378" s="17"/>
      <c r="C5378" s="17"/>
      <c r="D5378" s="13"/>
      <c r="E5378" s="11"/>
      <c r="F5378" s="11"/>
      <c r="G5378" s="13">
        <f t="shared" si="1"/>
        <v>1281</v>
      </c>
      <c r="H5378" s="13"/>
    </row>
    <row r="5379" ht="22.5" customHeight="1">
      <c r="B5379" s="17"/>
      <c r="C5379" s="17"/>
      <c r="D5379" s="13"/>
      <c r="E5379" s="11"/>
      <c r="F5379" s="11"/>
      <c r="G5379" s="13">
        <f t="shared" si="1"/>
        <v>1281</v>
      </c>
      <c r="H5379" s="13"/>
    </row>
    <row r="5380" ht="22.5" customHeight="1">
      <c r="B5380" s="17"/>
      <c r="C5380" s="17"/>
      <c r="D5380" s="13"/>
      <c r="E5380" s="11"/>
      <c r="F5380" s="11"/>
      <c r="G5380" s="13">
        <f t="shared" si="1"/>
        <v>1281</v>
      </c>
      <c r="H5380" s="13"/>
    </row>
    <row r="5381" ht="22.5" customHeight="1">
      <c r="B5381" s="17"/>
      <c r="C5381" s="17"/>
      <c r="D5381" s="13"/>
      <c r="E5381" s="11"/>
      <c r="F5381" s="11"/>
      <c r="G5381" s="13">
        <f t="shared" si="1"/>
        <v>1281</v>
      </c>
      <c r="H5381" s="13"/>
    </row>
    <row r="5382" ht="22.5" customHeight="1">
      <c r="B5382" s="17"/>
      <c r="C5382" s="17"/>
      <c r="D5382" s="13"/>
      <c r="E5382" s="11"/>
      <c r="F5382" s="11"/>
      <c r="G5382" s="13">
        <f t="shared" si="1"/>
        <v>1281</v>
      </c>
      <c r="H5382" s="13"/>
    </row>
    <row r="5383" ht="22.5" customHeight="1">
      <c r="B5383" s="17"/>
      <c r="C5383" s="17"/>
      <c r="D5383" s="13"/>
      <c r="E5383" s="11"/>
      <c r="F5383" s="11"/>
      <c r="G5383" s="13">
        <f t="shared" si="1"/>
        <v>1281</v>
      </c>
      <c r="H5383" s="13"/>
    </row>
    <row r="5384" ht="22.5" customHeight="1">
      <c r="B5384" s="17"/>
      <c r="C5384" s="17"/>
      <c r="D5384" s="13"/>
      <c r="E5384" s="11"/>
      <c r="F5384" s="11"/>
      <c r="G5384" s="13">
        <f t="shared" si="1"/>
        <v>1281</v>
      </c>
      <c r="H5384" s="13"/>
    </row>
    <row r="5385" ht="22.5" customHeight="1">
      <c r="B5385" s="17"/>
      <c r="C5385" s="17"/>
      <c r="D5385" s="13"/>
      <c r="E5385" s="11"/>
      <c r="F5385" s="11"/>
      <c r="G5385" s="13">
        <f t="shared" si="1"/>
        <v>1281</v>
      </c>
      <c r="H5385" s="13"/>
    </row>
    <row r="5386" ht="22.5" customHeight="1">
      <c r="B5386" s="17"/>
      <c r="C5386" s="17"/>
      <c r="D5386" s="13"/>
      <c r="E5386" s="11"/>
      <c r="F5386" s="11"/>
      <c r="G5386" s="13">
        <f t="shared" si="1"/>
        <v>1281</v>
      </c>
      <c r="H5386" s="13"/>
    </row>
    <row r="5387" ht="22.5" customHeight="1">
      <c r="B5387" s="17"/>
      <c r="C5387" s="17"/>
      <c r="D5387" s="13"/>
      <c r="E5387" s="11"/>
      <c r="F5387" s="11"/>
      <c r="G5387" s="13">
        <f t="shared" si="1"/>
        <v>1281</v>
      </c>
      <c r="H5387" s="13"/>
    </row>
    <row r="5388" ht="22.5" customHeight="1">
      <c r="B5388" s="17"/>
      <c r="C5388" s="17"/>
      <c r="D5388" s="13"/>
      <c r="E5388" s="11"/>
      <c r="F5388" s="11"/>
      <c r="G5388" s="13">
        <f t="shared" si="1"/>
        <v>1281</v>
      </c>
      <c r="H5388" s="13"/>
    </row>
    <row r="5389" ht="22.5" customHeight="1">
      <c r="B5389" s="17"/>
      <c r="C5389" s="17"/>
      <c r="D5389" s="13"/>
      <c r="E5389" s="11"/>
      <c r="F5389" s="11"/>
      <c r="G5389" s="13">
        <f t="shared" si="1"/>
        <v>1281</v>
      </c>
      <c r="H5389" s="13"/>
    </row>
    <row r="5390" ht="22.5" customHeight="1">
      <c r="B5390" s="17"/>
      <c r="C5390" s="17"/>
      <c r="D5390" s="13"/>
      <c r="E5390" s="11"/>
      <c r="F5390" s="11"/>
      <c r="G5390" s="13">
        <f t="shared" si="1"/>
        <v>1281</v>
      </c>
      <c r="H5390" s="13"/>
    </row>
    <row r="5391" ht="22.5" customHeight="1">
      <c r="B5391" s="17"/>
      <c r="C5391" s="17"/>
      <c r="D5391" s="13"/>
      <c r="E5391" s="11"/>
      <c r="F5391" s="11"/>
      <c r="G5391" s="13">
        <f t="shared" si="1"/>
        <v>1281</v>
      </c>
      <c r="H5391" s="13"/>
    </row>
    <row r="5392" ht="22.5" customHeight="1">
      <c r="B5392" s="17"/>
      <c r="C5392" s="17"/>
      <c r="D5392" s="13"/>
      <c r="E5392" s="11"/>
      <c r="F5392" s="11"/>
      <c r="G5392" s="13">
        <f t="shared" si="1"/>
        <v>1281</v>
      </c>
      <c r="H5392" s="13"/>
    </row>
    <row r="5393" ht="22.5" customHeight="1">
      <c r="B5393" s="17"/>
      <c r="C5393" s="17"/>
      <c r="D5393" s="13"/>
      <c r="E5393" s="11"/>
      <c r="F5393" s="11"/>
      <c r="G5393" s="13">
        <f t="shared" si="1"/>
        <v>1281</v>
      </c>
      <c r="H5393" s="13"/>
    </row>
    <row r="5394" ht="22.5" customHeight="1">
      <c r="B5394" s="17"/>
      <c r="C5394" s="17"/>
      <c r="D5394" s="13"/>
      <c r="E5394" s="11"/>
      <c r="F5394" s="11"/>
      <c r="G5394" s="13">
        <f t="shared" si="1"/>
        <v>1281</v>
      </c>
      <c r="H5394" s="13"/>
    </row>
    <row r="5395" ht="22.5" customHeight="1">
      <c r="B5395" s="17"/>
      <c r="C5395" s="17"/>
      <c r="D5395" s="13"/>
      <c r="E5395" s="11"/>
      <c r="F5395" s="11"/>
      <c r="G5395" s="13">
        <f t="shared" si="1"/>
        <v>1281</v>
      </c>
      <c r="H5395" s="13"/>
    </row>
    <row r="5396" ht="22.5" customHeight="1">
      <c r="B5396" s="17"/>
      <c r="C5396" s="17"/>
      <c r="D5396" s="13"/>
      <c r="E5396" s="11"/>
      <c r="F5396" s="11"/>
      <c r="G5396" s="13">
        <f t="shared" si="1"/>
        <v>1281</v>
      </c>
      <c r="H5396" s="13"/>
    </row>
    <row r="5397" ht="22.5" customHeight="1">
      <c r="B5397" s="17"/>
      <c r="C5397" s="17"/>
      <c r="D5397" s="13"/>
      <c r="E5397" s="11"/>
      <c r="F5397" s="11"/>
      <c r="G5397" s="13">
        <f t="shared" si="1"/>
        <v>1281</v>
      </c>
      <c r="H5397" s="13"/>
    </row>
    <row r="5398" ht="22.5" customHeight="1">
      <c r="B5398" s="17"/>
      <c r="C5398" s="17"/>
      <c r="D5398" s="13"/>
      <c r="E5398" s="11"/>
      <c r="F5398" s="11"/>
      <c r="G5398" s="13">
        <f t="shared" si="1"/>
        <v>1281</v>
      </c>
      <c r="H5398" s="13"/>
    </row>
    <row r="5399" ht="22.5" customHeight="1">
      <c r="B5399" s="17"/>
      <c r="C5399" s="17"/>
      <c r="D5399" s="13"/>
      <c r="E5399" s="11"/>
      <c r="F5399" s="11"/>
      <c r="G5399" s="13">
        <f t="shared" si="1"/>
        <v>1281</v>
      </c>
      <c r="H5399" s="13"/>
    </row>
    <row r="5400" ht="22.5" customHeight="1">
      <c r="B5400" s="17"/>
      <c r="C5400" s="17"/>
      <c r="D5400" s="13"/>
      <c r="E5400" s="11"/>
      <c r="F5400" s="11"/>
      <c r="G5400" s="13">
        <f t="shared" si="1"/>
        <v>1281</v>
      </c>
      <c r="H5400" s="13"/>
    </row>
    <row r="5401" ht="22.5" customHeight="1">
      <c r="B5401" s="17"/>
      <c r="C5401" s="17"/>
      <c r="D5401" s="13"/>
      <c r="E5401" s="11"/>
      <c r="F5401" s="11"/>
      <c r="G5401" s="13">
        <f t="shared" si="1"/>
        <v>1281</v>
      </c>
      <c r="H5401" s="13"/>
    </row>
    <row r="5402" ht="22.5" customHeight="1">
      <c r="B5402" s="17"/>
      <c r="C5402" s="17"/>
      <c r="D5402" s="13"/>
      <c r="E5402" s="11"/>
      <c r="F5402" s="11"/>
      <c r="G5402" s="13">
        <f t="shared" si="1"/>
        <v>1281</v>
      </c>
      <c r="H5402" s="13"/>
    </row>
    <row r="5403" ht="22.5" customHeight="1">
      <c r="B5403" s="17"/>
      <c r="C5403" s="17"/>
      <c r="D5403" s="13"/>
      <c r="E5403" s="11"/>
      <c r="F5403" s="11"/>
      <c r="G5403" s="13">
        <f t="shared" si="1"/>
        <v>1281</v>
      </c>
      <c r="H5403" s="13"/>
    </row>
    <row r="5404" ht="22.5" customHeight="1">
      <c r="B5404" s="17"/>
      <c r="C5404" s="17"/>
      <c r="D5404" s="13"/>
      <c r="E5404" s="11"/>
      <c r="F5404" s="11"/>
      <c r="G5404" s="13">
        <f t="shared" si="1"/>
        <v>1281</v>
      </c>
      <c r="H5404" s="13"/>
    </row>
    <row r="5405" ht="22.5" customHeight="1">
      <c r="B5405" s="17"/>
      <c r="C5405" s="17"/>
      <c r="D5405" s="13"/>
      <c r="E5405" s="11"/>
      <c r="F5405" s="11"/>
      <c r="G5405" s="13">
        <f t="shared" si="1"/>
        <v>1281</v>
      </c>
      <c r="H5405" s="13"/>
    </row>
    <row r="5406" ht="22.5" customHeight="1">
      <c r="B5406" s="17"/>
      <c r="C5406" s="17"/>
      <c r="D5406" s="13"/>
      <c r="E5406" s="11"/>
      <c r="F5406" s="11"/>
      <c r="G5406" s="13">
        <f t="shared" si="1"/>
        <v>1281</v>
      </c>
      <c r="H5406" s="13"/>
    </row>
    <row r="5407" ht="22.5" customHeight="1">
      <c r="B5407" s="17"/>
      <c r="C5407" s="17"/>
      <c r="D5407" s="13"/>
      <c r="E5407" s="11"/>
      <c r="F5407" s="11"/>
      <c r="G5407" s="13">
        <f t="shared" si="1"/>
        <v>1281</v>
      </c>
      <c r="H5407" s="13"/>
    </row>
    <row r="5408" ht="22.5" customHeight="1">
      <c r="B5408" s="17"/>
      <c r="C5408" s="17"/>
      <c r="D5408" s="13"/>
      <c r="E5408" s="11"/>
      <c r="F5408" s="11"/>
      <c r="G5408" s="13">
        <f t="shared" si="1"/>
        <v>1281</v>
      </c>
      <c r="H5408" s="13"/>
    </row>
    <row r="5409" ht="22.5" customHeight="1">
      <c r="B5409" s="17"/>
      <c r="C5409" s="17"/>
      <c r="D5409" s="13"/>
      <c r="E5409" s="11"/>
      <c r="F5409" s="11"/>
      <c r="G5409" s="13">
        <f t="shared" si="1"/>
        <v>1281</v>
      </c>
      <c r="H5409" s="13"/>
    </row>
    <row r="5410" ht="22.5" customHeight="1">
      <c r="B5410" s="17"/>
      <c r="C5410" s="17"/>
      <c r="D5410" s="13"/>
      <c r="E5410" s="11"/>
      <c r="F5410" s="11"/>
      <c r="G5410" s="13">
        <f t="shared" si="1"/>
        <v>1281</v>
      </c>
      <c r="H5410" s="13"/>
    </row>
    <row r="5411" ht="22.5" customHeight="1">
      <c r="B5411" s="17"/>
      <c r="C5411" s="17"/>
      <c r="D5411" s="13"/>
      <c r="E5411" s="11"/>
      <c r="F5411" s="11"/>
      <c r="G5411" s="13">
        <f t="shared" si="1"/>
        <v>1281</v>
      </c>
      <c r="H5411" s="13"/>
    </row>
    <row r="5412" ht="22.5" customHeight="1">
      <c r="B5412" s="17"/>
      <c r="C5412" s="17"/>
      <c r="D5412" s="13"/>
      <c r="E5412" s="11"/>
      <c r="F5412" s="11"/>
      <c r="G5412" s="13">
        <f t="shared" si="1"/>
        <v>1281</v>
      </c>
      <c r="H5412" s="13"/>
    </row>
    <row r="5413" ht="22.5" customHeight="1">
      <c r="B5413" s="17"/>
      <c r="C5413" s="17"/>
      <c r="D5413" s="13"/>
      <c r="E5413" s="11"/>
      <c r="F5413" s="11"/>
      <c r="G5413" s="13">
        <f t="shared" si="1"/>
        <v>1281</v>
      </c>
      <c r="H5413" s="13"/>
    </row>
    <row r="5414" ht="22.5" customHeight="1">
      <c r="B5414" s="17"/>
      <c r="C5414" s="17"/>
      <c r="D5414" s="13"/>
      <c r="E5414" s="11"/>
      <c r="F5414" s="11"/>
      <c r="G5414" s="13">
        <f t="shared" si="1"/>
        <v>1281</v>
      </c>
      <c r="H5414" s="13"/>
    </row>
    <row r="5415" ht="22.5" customHeight="1">
      <c r="B5415" s="17"/>
      <c r="C5415" s="17"/>
      <c r="D5415" s="13"/>
      <c r="E5415" s="11"/>
      <c r="F5415" s="11"/>
      <c r="G5415" s="13">
        <f t="shared" si="1"/>
        <v>1281</v>
      </c>
      <c r="H5415" s="13"/>
    </row>
    <row r="5416" ht="22.5" customHeight="1">
      <c r="B5416" s="17"/>
      <c r="C5416" s="17"/>
      <c r="D5416" s="13"/>
      <c r="E5416" s="11"/>
      <c r="F5416" s="11"/>
      <c r="G5416" s="13">
        <f t="shared" si="1"/>
        <v>1281</v>
      </c>
      <c r="H5416" s="13"/>
    </row>
    <row r="5417" ht="22.5" customHeight="1">
      <c r="B5417" s="17"/>
      <c r="C5417" s="17"/>
      <c r="D5417" s="13"/>
      <c r="E5417" s="11"/>
      <c r="F5417" s="11"/>
      <c r="G5417" s="13">
        <f t="shared" si="1"/>
        <v>1281</v>
      </c>
      <c r="H5417" s="13"/>
    </row>
    <row r="5418" ht="22.5" customHeight="1">
      <c r="B5418" s="17"/>
      <c r="C5418" s="17"/>
      <c r="D5418" s="13"/>
      <c r="E5418" s="11"/>
      <c r="F5418" s="11"/>
      <c r="G5418" s="13">
        <f t="shared" si="1"/>
        <v>1281</v>
      </c>
      <c r="H5418" s="13"/>
    </row>
    <row r="5419" ht="22.5" customHeight="1">
      <c r="B5419" s="17"/>
      <c r="C5419" s="17"/>
      <c r="D5419" s="13"/>
      <c r="E5419" s="11"/>
      <c r="F5419" s="11"/>
      <c r="G5419" s="13">
        <f t="shared" si="1"/>
        <v>1281</v>
      </c>
      <c r="H5419" s="13"/>
    </row>
    <row r="5420" ht="22.5" customHeight="1">
      <c r="B5420" s="17"/>
      <c r="C5420" s="17"/>
      <c r="D5420" s="13"/>
      <c r="E5420" s="11"/>
      <c r="F5420" s="11"/>
      <c r="G5420" s="13">
        <f t="shared" si="1"/>
        <v>1281</v>
      </c>
      <c r="H5420" s="13"/>
    </row>
    <row r="5421" ht="22.5" customHeight="1">
      <c r="B5421" s="17"/>
      <c r="C5421" s="17"/>
      <c r="D5421" s="13"/>
      <c r="E5421" s="11"/>
      <c r="F5421" s="11"/>
      <c r="G5421" s="13">
        <f t="shared" si="1"/>
        <v>1281</v>
      </c>
      <c r="H5421" s="13"/>
    </row>
    <row r="5422" ht="22.5" customHeight="1">
      <c r="B5422" s="17"/>
      <c r="C5422" s="17"/>
      <c r="D5422" s="13"/>
      <c r="E5422" s="11"/>
      <c r="F5422" s="11"/>
      <c r="G5422" s="13">
        <f t="shared" si="1"/>
        <v>1281</v>
      </c>
      <c r="H5422" s="13"/>
    </row>
    <row r="5423" ht="22.5" customHeight="1">
      <c r="B5423" s="17"/>
      <c r="C5423" s="17"/>
      <c r="D5423" s="13"/>
      <c r="E5423" s="11"/>
      <c r="F5423" s="11"/>
      <c r="G5423" s="13">
        <f t="shared" si="1"/>
        <v>1281</v>
      </c>
      <c r="H5423" s="13"/>
    </row>
    <row r="5424" ht="22.5" customHeight="1">
      <c r="B5424" s="17"/>
      <c r="C5424" s="17"/>
      <c r="D5424" s="13"/>
      <c r="E5424" s="11"/>
      <c r="F5424" s="11"/>
      <c r="G5424" s="13">
        <f t="shared" si="1"/>
        <v>1281</v>
      </c>
      <c r="H5424" s="13"/>
    </row>
    <row r="5425" ht="22.5" customHeight="1">
      <c r="B5425" s="17"/>
      <c r="C5425" s="17"/>
      <c r="D5425" s="13"/>
      <c r="E5425" s="11"/>
      <c r="F5425" s="11"/>
      <c r="G5425" s="13">
        <f t="shared" si="1"/>
        <v>1281</v>
      </c>
      <c r="H5425" s="13"/>
    </row>
    <row r="5426" ht="22.5" customHeight="1">
      <c r="B5426" s="17"/>
      <c r="C5426" s="17"/>
      <c r="D5426" s="13"/>
      <c r="E5426" s="11"/>
      <c r="F5426" s="11"/>
      <c r="G5426" s="13">
        <f t="shared" si="1"/>
        <v>1281</v>
      </c>
      <c r="H5426" s="13"/>
    </row>
    <row r="5427" ht="22.5" customHeight="1">
      <c r="B5427" s="17"/>
      <c r="C5427" s="17"/>
      <c r="D5427" s="13"/>
      <c r="E5427" s="11"/>
      <c r="F5427" s="11"/>
      <c r="G5427" s="13">
        <f t="shared" si="1"/>
        <v>1281</v>
      </c>
      <c r="H5427" s="13"/>
    </row>
    <row r="5428" ht="22.5" customHeight="1">
      <c r="B5428" s="17"/>
      <c r="C5428" s="17"/>
      <c r="D5428" s="13"/>
      <c r="E5428" s="11"/>
      <c r="F5428" s="11"/>
      <c r="G5428" s="13">
        <f t="shared" si="1"/>
        <v>1281</v>
      </c>
      <c r="H5428" s="13"/>
    </row>
    <row r="5429" ht="22.5" customHeight="1">
      <c r="B5429" s="17"/>
      <c r="C5429" s="17"/>
      <c r="D5429" s="13"/>
      <c r="E5429" s="11"/>
      <c r="F5429" s="11"/>
      <c r="G5429" s="13">
        <f t="shared" si="1"/>
        <v>1281</v>
      </c>
      <c r="H5429" s="13"/>
    </row>
    <row r="5430" ht="22.5" customHeight="1">
      <c r="B5430" s="17"/>
      <c r="C5430" s="17"/>
      <c r="D5430" s="13"/>
      <c r="E5430" s="11"/>
      <c r="F5430" s="11"/>
      <c r="G5430" s="13">
        <f t="shared" si="1"/>
        <v>1281</v>
      </c>
      <c r="H5430" s="13"/>
    </row>
    <row r="5431" ht="22.5" customHeight="1">
      <c r="B5431" s="17"/>
      <c r="C5431" s="17"/>
      <c r="D5431" s="13"/>
      <c r="E5431" s="11"/>
      <c r="F5431" s="11"/>
      <c r="G5431" s="13">
        <f t="shared" si="1"/>
        <v>1281</v>
      </c>
      <c r="H5431" s="13"/>
    </row>
    <row r="5432" ht="22.5" customHeight="1">
      <c r="B5432" s="17"/>
      <c r="C5432" s="17"/>
      <c r="D5432" s="13"/>
      <c r="E5432" s="11"/>
      <c r="F5432" s="11"/>
      <c r="G5432" s="13">
        <f t="shared" si="1"/>
        <v>1281</v>
      </c>
      <c r="H5432" s="13"/>
    </row>
    <row r="5433" ht="22.5" customHeight="1">
      <c r="B5433" s="17"/>
      <c r="C5433" s="17"/>
      <c r="D5433" s="13"/>
      <c r="E5433" s="11"/>
      <c r="F5433" s="11"/>
      <c r="G5433" s="13">
        <f t="shared" si="1"/>
        <v>1281</v>
      </c>
      <c r="H5433" s="13"/>
    </row>
    <row r="5434" ht="22.5" customHeight="1">
      <c r="B5434" s="17"/>
      <c r="C5434" s="17"/>
      <c r="D5434" s="13"/>
      <c r="E5434" s="11"/>
      <c r="F5434" s="11"/>
      <c r="G5434" s="13">
        <f t="shared" si="1"/>
        <v>1281</v>
      </c>
      <c r="H5434" s="13"/>
    </row>
    <row r="5435" ht="22.5" customHeight="1">
      <c r="B5435" s="17"/>
      <c r="C5435" s="17"/>
      <c r="D5435" s="13"/>
      <c r="E5435" s="11"/>
      <c r="F5435" s="11"/>
      <c r="G5435" s="13">
        <f t="shared" si="1"/>
        <v>1281</v>
      </c>
      <c r="H5435" s="13"/>
    </row>
    <row r="5436" ht="22.5" customHeight="1">
      <c r="B5436" s="17"/>
      <c r="C5436" s="17"/>
      <c r="D5436" s="13"/>
      <c r="E5436" s="11"/>
      <c r="F5436" s="11"/>
      <c r="G5436" s="13">
        <f t="shared" si="1"/>
        <v>1281</v>
      </c>
      <c r="H5436" s="13"/>
    </row>
    <row r="5437" ht="22.5" customHeight="1">
      <c r="B5437" s="17"/>
      <c r="C5437" s="17"/>
      <c r="D5437" s="13"/>
      <c r="E5437" s="11"/>
      <c r="F5437" s="11"/>
      <c r="G5437" s="13">
        <f t="shared" si="1"/>
        <v>1281</v>
      </c>
      <c r="H5437" s="13"/>
    </row>
    <row r="5438" ht="22.5" customHeight="1">
      <c r="B5438" s="17"/>
      <c r="C5438" s="17"/>
      <c r="D5438" s="13"/>
      <c r="E5438" s="11"/>
      <c r="F5438" s="11"/>
      <c r="G5438" s="13">
        <f t="shared" si="1"/>
        <v>1281</v>
      </c>
      <c r="H5438" s="13"/>
    </row>
    <row r="5439" ht="22.5" customHeight="1">
      <c r="B5439" s="17"/>
      <c r="C5439" s="17"/>
      <c r="D5439" s="13"/>
      <c r="E5439" s="11"/>
      <c r="F5439" s="11"/>
      <c r="G5439" s="13">
        <f t="shared" si="1"/>
        <v>1281</v>
      </c>
      <c r="H5439" s="13"/>
    </row>
    <row r="5440" ht="22.5" customHeight="1">
      <c r="B5440" s="17"/>
      <c r="C5440" s="17"/>
      <c r="D5440" s="13"/>
      <c r="E5440" s="11"/>
      <c r="F5440" s="11"/>
      <c r="G5440" s="13">
        <f t="shared" si="1"/>
        <v>1281</v>
      </c>
      <c r="H5440" s="13"/>
    </row>
    <row r="5441" ht="22.5" customHeight="1">
      <c r="B5441" s="17"/>
      <c r="C5441" s="17"/>
      <c r="D5441" s="13"/>
      <c r="E5441" s="11"/>
      <c r="F5441" s="11"/>
      <c r="G5441" s="13">
        <f t="shared" si="1"/>
        <v>1281</v>
      </c>
      <c r="H5441" s="13"/>
    </row>
    <row r="5442" ht="22.5" customHeight="1">
      <c r="B5442" s="17"/>
      <c r="C5442" s="17"/>
      <c r="D5442" s="13"/>
      <c r="E5442" s="11"/>
      <c r="F5442" s="11"/>
      <c r="G5442" s="13">
        <f t="shared" si="1"/>
        <v>1281</v>
      </c>
      <c r="H5442" s="13"/>
    </row>
    <row r="5443" ht="22.5" customHeight="1">
      <c r="B5443" s="17"/>
      <c r="C5443" s="17"/>
      <c r="D5443" s="13"/>
      <c r="E5443" s="11"/>
      <c r="F5443" s="11"/>
      <c r="G5443" s="13">
        <f t="shared" si="1"/>
        <v>1281</v>
      </c>
      <c r="H5443" s="13"/>
    </row>
    <row r="5444" ht="22.5" customHeight="1">
      <c r="B5444" s="17"/>
      <c r="C5444" s="17"/>
      <c r="D5444" s="13"/>
      <c r="E5444" s="11"/>
      <c r="F5444" s="11"/>
      <c r="G5444" s="13">
        <f t="shared" si="1"/>
        <v>1281</v>
      </c>
      <c r="H5444" s="13"/>
    </row>
    <row r="5445" ht="22.5" customHeight="1">
      <c r="B5445" s="17"/>
      <c r="C5445" s="17"/>
      <c r="D5445" s="13"/>
      <c r="E5445" s="11"/>
      <c r="F5445" s="11"/>
      <c r="G5445" s="13">
        <f t="shared" si="1"/>
        <v>1281</v>
      </c>
      <c r="H5445" s="13"/>
    </row>
    <row r="5446" ht="22.5" customHeight="1">
      <c r="B5446" s="17"/>
      <c r="C5446" s="17"/>
      <c r="D5446" s="13"/>
      <c r="E5446" s="11"/>
      <c r="F5446" s="11"/>
      <c r="G5446" s="13">
        <f t="shared" si="1"/>
        <v>1281</v>
      </c>
      <c r="H5446" s="13"/>
    </row>
    <row r="5447" ht="22.5" customHeight="1">
      <c r="B5447" s="17"/>
      <c r="C5447" s="17"/>
      <c r="D5447" s="13"/>
      <c r="E5447" s="11"/>
      <c r="F5447" s="11"/>
      <c r="G5447" s="13">
        <f t="shared" si="1"/>
        <v>1281</v>
      </c>
      <c r="H5447" s="13"/>
    </row>
    <row r="5448" ht="22.5" customHeight="1">
      <c r="B5448" s="17"/>
      <c r="C5448" s="17"/>
      <c r="D5448" s="13"/>
      <c r="E5448" s="11"/>
      <c r="F5448" s="11"/>
      <c r="G5448" s="13">
        <f t="shared" si="1"/>
        <v>1281</v>
      </c>
      <c r="H5448" s="13"/>
    </row>
    <row r="5449" ht="22.5" customHeight="1">
      <c r="B5449" s="17"/>
      <c r="C5449" s="17"/>
      <c r="D5449" s="13"/>
      <c r="E5449" s="11"/>
      <c r="F5449" s="11"/>
      <c r="G5449" s="13">
        <f t="shared" si="1"/>
        <v>1281</v>
      </c>
      <c r="H5449" s="13"/>
    </row>
    <row r="5450" ht="22.5" customHeight="1">
      <c r="B5450" s="17"/>
      <c r="C5450" s="17"/>
      <c r="D5450" s="13"/>
      <c r="E5450" s="11"/>
      <c r="F5450" s="11"/>
      <c r="G5450" s="13">
        <f t="shared" si="1"/>
        <v>1281</v>
      </c>
      <c r="H5450" s="13"/>
    </row>
    <row r="5451" ht="22.5" customHeight="1">
      <c r="B5451" s="17"/>
      <c r="C5451" s="17"/>
      <c r="D5451" s="13"/>
      <c r="E5451" s="11"/>
      <c r="F5451" s="11"/>
      <c r="G5451" s="13">
        <f t="shared" si="1"/>
        <v>1281</v>
      </c>
      <c r="H5451" s="13"/>
    </row>
    <row r="5452" ht="22.5" customHeight="1">
      <c r="B5452" s="17"/>
      <c r="C5452" s="17"/>
      <c r="D5452" s="13"/>
      <c r="E5452" s="11"/>
      <c r="F5452" s="11"/>
      <c r="G5452" s="13">
        <f t="shared" si="1"/>
        <v>1281</v>
      </c>
      <c r="H5452" s="13"/>
    </row>
    <row r="5453" ht="22.5" customHeight="1">
      <c r="B5453" s="17"/>
      <c r="C5453" s="17"/>
      <c r="D5453" s="13"/>
      <c r="E5453" s="11"/>
      <c r="F5453" s="11"/>
      <c r="G5453" s="13">
        <f t="shared" si="1"/>
        <v>1281</v>
      </c>
      <c r="H5453" s="13"/>
    </row>
    <row r="5454" ht="22.5" customHeight="1">
      <c r="B5454" s="17"/>
      <c r="C5454" s="17"/>
      <c r="D5454" s="13"/>
      <c r="E5454" s="11"/>
      <c r="F5454" s="11"/>
      <c r="G5454" s="13">
        <f t="shared" si="1"/>
        <v>1281</v>
      </c>
      <c r="H5454" s="13"/>
    </row>
    <row r="5455" ht="22.5" customHeight="1">
      <c r="B5455" s="17"/>
      <c r="C5455" s="17"/>
      <c r="D5455" s="13"/>
      <c r="E5455" s="11"/>
      <c r="F5455" s="11"/>
      <c r="G5455" s="13">
        <f t="shared" si="1"/>
        <v>1281</v>
      </c>
      <c r="H5455" s="13"/>
    </row>
    <row r="5456" ht="22.5" customHeight="1">
      <c r="B5456" s="17"/>
      <c r="C5456" s="17"/>
      <c r="D5456" s="13"/>
      <c r="E5456" s="11"/>
      <c r="F5456" s="11"/>
      <c r="G5456" s="13">
        <f t="shared" si="1"/>
        <v>1281</v>
      </c>
      <c r="H5456" s="13"/>
    </row>
    <row r="5457" ht="22.5" customHeight="1">
      <c r="B5457" s="17"/>
      <c r="C5457" s="17"/>
      <c r="D5457" s="13"/>
      <c r="E5457" s="11"/>
      <c r="F5457" s="11"/>
      <c r="G5457" s="13">
        <f t="shared" si="1"/>
        <v>1281</v>
      </c>
      <c r="H5457" s="13"/>
    </row>
    <row r="5458" ht="22.5" customHeight="1">
      <c r="B5458" s="17"/>
      <c r="C5458" s="17"/>
      <c r="D5458" s="13"/>
      <c r="E5458" s="11"/>
      <c r="F5458" s="11"/>
      <c r="G5458" s="13">
        <f t="shared" si="1"/>
        <v>1281</v>
      </c>
      <c r="H5458" s="13"/>
    </row>
    <row r="5459" ht="22.5" customHeight="1">
      <c r="B5459" s="17"/>
      <c r="C5459" s="17"/>
      <c r="D5459" s="13"/>
      <c r="E5459" s="11"/>
      <c r="F5459" s="11"/>
      <c r="G5459" s="13">
        <f t="shared" si="1"/>
        <v>1281</v>
      </c>
      <c r="H5459" s="13"/>
    </row>
    <row r="5460" ht="22.5" customHeight="1">
      <c r="B5460" s="17"/>
      <c r="C5460" s="17"/>
      <c r="D5460" s="13"/>
      <c r="E5460" s="11"/>
      <c r="F5460" s="11"/>
      <c r="G5460" s="13">
        <f t="shared" si="1"/>
        <v>1281</v>
      </c>
      <c r="H5460" s="13"/>
    </row>
    <row r="5461" ht="22.5" customHeight="1">
      <c r="B5461" s="17"/>
      <c r="C5461" s="17"/>
      <c r="D5461" s="13"/>
      <c r="E5461" s="11"/>
      <c r="F5461" s="11"/>
      <c r="G5461" s="13">
        <f t="shared" si="1"/>
        <v>1281</v>
      </c>
      <c r="H5461" s="13"/>
    </row>
    <row r="5462" ht="22.5" customHeight="1">
      <c r="B5462" s="17"/>
      <c r="C5462" s="17"/>
      <c r="D5462" s="13"/>
      <c r="E5462" s="11"/>
      <c r="F5462" s="11"/>
      <c r="G5462" s="13">
        <f t="shared" si="1"/>
        <v>1281</v>
      </c>
      <c r="H5462" s="13"/>
    </row>
    <row r="5463" ht="22.5" customHeight="1">
      <c r="B5463" s="17"/>
      <c r="C5463" s="17"/>
      <c r="D5463" s="13"/>
      <c r="E5463" s="11"/>
      <c r="F5463" s="11"/>
      <c r="G5463" s="13">
        <f t="shared" si="1"/>
        <v>1281</v>
      </c>
      <c r="H5463" s="13"/>
    </row>
    <row r="5464" ht="22.5" customHeight="1">
      <c r="B5464" s="17"/>
      <c r="C5464" s="17"/>
      <c r="D5464" s="13"/>
      <c r="E5464" s="11"/>
      <c r="F5464" s="11"/>
      <c r="G5464" s="13">
        <f t="shared" si="1"/>
        <v>1281</v>
      </c>
      <c r="H5464" s="13"/>
    </row>
    <row r="5465" ht="22.5" customHeight="1">
      <c r="B5465" s="17"/>
      <c r="C5465" s="17"/>
      <c r="D5465" s="13"/>
      <c r="E5465" s="11"/>
      <c r="F5465" s="11"/>
      <c r="G5465" s="13">
        <f t="shared" si="1"/>
        <v>1281</v>
      </c>
      <c r="H5465" s="13"/>
    </row>
    <row r="5466" ht="22.5" customHeight="1">
      <c r="B5466" s="17"/>
      <c r="C5466" s="17"/>
      <c r="D5466" s="13"/>
      <c r="E5466" s="11"/>
      <c r="F5466" s="11"/>
      <c r="G5466" s="13">
        <f t="shared" si="1"/>
        <v>1281</v>
      </c>
      <c r="H5466" s="13"/>
    </row>
    <row r="5467" ht="22.5" customHeight="1">
      <c r="B5467" s="17"/>
      <c r="C5467" s="17"/>
      <c r="D5467" s="13"/>
      <c r="E5467" s="11"/>
      <c r="F5467" s="11"/>
      <c r="G5467" s="13">
        <f t="shared" si="1"/>
        <v>1281</v>
      </c>
      <c r="H5467" s="13"/>
    </row>
    <row r="5468" ht="22.5" customHeight="1">
      <c r="B5468" s="17"/>
      <c r="C5468" s="17"/>
      <c r="D5468" s="13"/>
      <c r="E5468" s="11"/>
      <c r="F5468" s="11"/>
      <c r="G5468" s="13">
        <f t="shared" si="1"/>
        <v>1281</v>
      </c>
      <c r="H5468" s="13"/>
    </row>
    <row r="5469" ht="22.5" customHeight="1">
      <c r="B5469" s="17"/>
      <c r="C5469" s="17"/>
      <c r="D5469" s="13"/>
      <c r="E5469" s="11"/>
      <c r="F5469" s="11"/>
      <c r="G5469" s="13">
        <f t="shared" si="1"/>
        <v>1281</v>
      </c>
      <c r="H5469" s="13"/>
    </row>
    <row r="5470" ht="22.5" customHeight="1">
      <c r="B5470" s="17"/>
      <c r="C5470" s="17"/>
      <c r="D5470" s="13"/>
      <c r="E5470" s="11"/>
      <c r="F5470" s="11"/>
      <c r="G5470" s="13">
        <f t="shared" si="1"/>
        <v>1281</v>
      </c>
      <c r="H5470" s="13"/>
    </row>
    <row r="5471" ht="22.5" customHeight="1">
      <c r="B5471" s="17"/>
      <c r="C5471" s="17"/>
      <c r="D5471" s="13"/>
      <c r="E5471" s="11"/>
      <c r="F5471" s="11"/>
      <c r="G5471" s="13">
        <f t="shared" si="1"/>
        <v>1281</v>
      </c>
      <c r="H5471" s="13"/>
    </row>
    <row r="5472" ht="22.5" customHeight="1">
      <c r="B5472" s="17"/>
      <c r="C5472" s="17"/>
      <c r="D5472" s="13"/>
      <c r="E5472" s="11"/>
      <c r="F5472" s="11"/>
      <c r="G5472" s="13">
        <f t="shared" si="1"/>
        <v>1281</v>
      </c>
      <c r="H5472" s="13"/>
    </row>
    <row r="5473" ht="22.5" customHeight="1">
      <c r="B5473" s="17"/>
      <c r="C5473" s="17"/>
      <c r="D5473" s="13"/>
      <c r="E5473" s="11"/>
      <c r="F5473" s="11"/>
      <c r="G5473" s="13">
        <f t="shared" si="1"/>
        <v>1281</v>
      </c>
      <c r="H5473" s="13"/>
    </row>
    <row r="5474" ht="22.5" customHeight="1">
      <c r="B5474" s="17"/>
      <c r="C5474" s="17"/>
      <c r="D5474" s="13"/>
      <c r="E5474" s="11"/>
      <c r="F5474" s="11"/>
      <c r="G5474" s="13">
        <f t="shared" si="1"/>
        <v>1281</v>
      </c>
      <c r="H5474" s="13"/>
    </row>
    <row r="5475" ht="22.5" customHeight="1">
      <c r="B5475" s="17"/>
      <c r="C5475" s="17"/>
      <c r="D5475" s="13"/>
      <c r="E5475" s="11"/>
      <c r="F5475" s="11"/>
      <c r="G5475" s="13">
        <f t="shared" si="1"/>
        <v>1281</v>
      </c>
      <c r="H5475" s="13"/>
    </row>
    <row r="5476" ht="22.5" customHeight="1">
      <c r="B5476" s="17"/>
      <c r="C5476" s="17"/>
      <c r="D5476" s="13"/>
      <c r="E5476" s="11"/>
      <c r="F5476" s="11"/>
      <c r="G5476" s="13">
        <f t="shared" si="1"/>
        <v>1281</v>
      </c>
      <c r="H5476" s="13"/>
    </row>
    <row r="5477" ht="22.5" customHeight="1">
      <c r="B5477" s="17"/>
      <c r="C5477" s="17"/>
      <c r="D5477" s="13"/>
      <c r="E5477" s="11"/>
      <c r="F5477" s="11"/>
      <c r="G5477" s="13">
        <f t="shared" si="1"/>
        <v>1281</v>
      </c>
      <c r="H5477" s="13"/>
    </row>
    <row r="5478" ht="22.5" customHeight="1">
      <c r="B5478" s="17"/>
      <c r="C5478" s="17"/>
      <c r="D5478" s="13"/>
      <c r="E5478" s="11"/>
      <c r="F5478" s="11"/>
      <c r="G5478" s="13">
        <f t="shared" si="1"/>
        <v>1281</v>
      </c>
      <c r="H5478" s="13"/>
    </row>
    <row r="5479" ht="22.5" customHeight="1">
      <c r="B5479" s="17"/>
      <c r="C5479" s="17"/>
      <c r="D5479" s="13"/>
      <c r="E5479" s="11"/>
      <c r="F5479" s="11"/>
      <c r="G5479" s="13">
        <f t="shared" si="1"/>
        <v>1281</v>
      </c>
      <c r="H5479" s="13"/>
    </row>
    <row r="5480" ht="22.5" customHeight="1">
      <c r="B5480" s="17"/>
      <c r="C5480" s="17"/>
      <c r="D5480" s="13"/>
      <c r="E5480" s="11"/>
      <c r="F5480" s="11"/>
      <c r="G5480" s="13">
        <f t="shared" si="1"/>
        <v>1281</v>
      </c>
      <c r="H5480" s="13"/>
    </row>
    <row r="5481" ht="22.5" customHeight="1">
      <c r="B5481" s="17"/>
      <c r="C5481" s="17"/>
      <c r="D5481" s="13"/>
      <c r="E5481" s="11"/>
      <c r="F5481" s="11"/>
      <c r="G5481" s="13">
        <f t="shared" si="1"/>
        <v>1281</v>
      </c>
      <c r="H5481" s="13"/>
    </row>
    <row r="5482" ht="22.5" customHeight="1">
      <c r="B5482" s="17"/>
      <c r="C5482" s="17"/>
      <c r="D5482" s="13"/>
      <c r="E5482" s="11"/>
      <c r="F5482" s="11"/>
      <c r="G5482" s="13">
        <f t="shared" si="1"/>
        <v>1281</v>
      </c>
      <c r="H5482" s="13"/>
    </row>
    <row r="5483" ht="22.5" customHeight="1">
      <c r="B5483" s="17"/>
      <c r="C5483" s="17"/>
      <c r="D5483" s="13"/>
      <c r="E5483" s="11"/>
      <c r="F5483" s="11"/>
      <c r="G5483" s="13">
        <f t="shared" si="1"/>
        <v>1281</v>
      </c>
      <c r="H5483" s="13"/>
    </row>
    <row r="5484" ht="22.5" customHeight="1">
      <c r="B5484" s="17"/>
      <c r="C5484" s="17"/>
      <c r="D5484" s="13"/>
      <c r="E5484" s="11"/>
      <c r="F5484" s="11"/>
      <c r="G5484" s="13">
        <f t="shared" si="1"/>
        <v>1281</v>
      </c>
      <c r="H5484" s="13"/>
    </row>
    <row r="5485" ht="22.5" customHeight="1">
      <c r="B5485" s="17"/>
      <c r="C5485" s="17"/>
      <c r="D5485" s="13"/>
      <c r="E5485" s="11"/>
      <c r="F5485" s="11"/>
      <c r="G5485" s="13">
        <f t="shared" si="1"/>
        <v>1281</v>
      </c>
      <c r="H5485" s="13"/>
    </row>
    <row r="5486" ht="22.5" customHeight="1">
      <c r="B5486" s="17"/>
      <c r="C5486" s="17"/>
      <c r="D5486" s="13"/>
      <c r="E5486" s="11"/>
      <c r="F5486" s="11"/>
      <c r="G5486" s="13">
        <f t="shared" si="1"/>
        <v>1281</v>
      </c>
      <c r="H5486" s="13"/>
    </row>
    <row r="5487" ht="22.5" customHeight="1">
      <c r="B5487" s="17"/>
      <c r="C5487" s="17"/>
      <c r="D5487" s="13"/>
      <c r="E5487" s="11"/>
      <c r="F5487" s="11"/>
      <c r="G5487" s="13">
        <f t="shared" si="1"/>
        <v>1281</v>
      </c>
      <c r="H5487" s="13"/>
    </row>
    <row r="5488" ht="22.5" customHeight="1">
      <c r="B5488" s="17"/>
      <c r="C5488" s="17"/>
      <c r="D5488" s="13"/>
      <c r="E5488" s="11"/>
      <c r="F5488" s="11"/>
      <c r="G5488" s="13">
        <f t="shared" si="1"/>
        <v>1281</v>
      </c>
      <c r="H5488" s="13"/>
    </row>
    <row r="5489" ht="22.5" customHeight="1">
      <c r="B5489" s="17"/>
      <c r="C5489" s="17"/>
      <c r="D5489" s="13"/>
      <c r="E5489" s="11"/>
      <c r="F5489" s="11"/>
      <c r="G5489" s="13">
        <f t="shared" si="1"/>
        <v>1281</v>
      </c>
      <c r="H5489" s="13"/>
    </row>
    <row r="5490" ht="22.5" customHeight="1">
      <c r="B5490" s="17"/>
      <c r="C5490" s="17"/>
      <c r="D5490" s="13"/>
      <c r="E5490" s="11"/>
      <c r="F5490" s="11"/>
      <c r="G5490" s="13">
        <f t="shared" si="1"/>
        <v>1281</v>
      </c>
      <c r="H5490" s="13"/>
    </row>
    <row r="5491" ht="22.5" customHeight="1">
      <c r="B5491" s="17"/>
      <c r="C5491" s="17"/>
      <c r="D5491" s="13"/>
      <c r="E5491" s="11"/>
      <c r="F5491" s="11"/>
      <c r="G5491" s="13">
        <f t="shared" si="1"/>
        <v>1281</v>
      </c>
      <c r="H5491" s="13"/>
    </row>
    <row r="5492" ht="22.5" customHeight="1">
      <c r="B5492" s="17"/>
      <c r="C5492" s="17"/>
      <c r="D5492" s="13"/>
      <c r="E5492" s="11"/>
      <c r="F5492" s="11"/>
      <c r="G5492" s="13">
        <f t="shared" si="1"/>
        <v>1281</v>
      </c>
      <c r="H5492" s="13"/>
    </row>
    <row r="5493" ht="22.5" customHeight="1">
      <c r="B5493" s="17"/>
      <c r="C5493" s="17"/>
      <c r="D5493" s="13"/>
      <c r="E5493" s="11"/>
      <c r="F5493" s="11"/>
      <c r="G5493" s="13">
        <f t="shared" si="1"/>
        <v>1281</v>
      </c>
      <c r="H5493" s="13"/>
    </row>
    <row r="5494" ht="22.5" customHeight="1">
      <c r="B5494" s="17"/>
      <c r="C5494" s="17"/>
      <c r="D5494" s="13"/>
      <c r="E5494" s="11"/>
      <c r="F5494" s="11"/>
      <c r="G5494" s="13">
        <f t="shared" si="1"/>
        <v>1281</v>
      </c>
      <c r="H5494" s="13"/>
    </row>
    <row r="5495" ht="22.5" customHeight="1">
      <c r="B5495" s="17"/>
      <c r="C5495" s="17"/>
      <c r="D5495" s="13"/>
      <c r="E5495" s="11"/>
      <c r="F5495" s="11"/>
      <c r="G5495" s="13">
        <f t="shared" si="1"/>
        <v>1281</v>
      </c>
      <c r="H5495" s="13"/>
    </row>
    <row r="5496" ht="22.5" customHeight="1">
      <c r="B5496" s="17"/>
      <c r="C5496" s="17"/>
      <c r="D5496" s="13"/>
      <c r="E5496" s="11"/>
      <c r="F5496" s="11"/>
      <c r="G5496" s="13">
        <f t="shared" si="1"/>
        <v>1281</v>
      </c>
      <c r="H5496" s="13"/>
    </row>
    <row r="5497" ht="22.5" customHeight="1">
      <c r="B5497" s="17"/>
      <c r="C5497" s="17"/>
      <c r="D5497" s="13"/>
      <c r="E5497" s="11"/>
      <c r="F5497" s="11"/>
      <c r="G5497" s="13">
        <f t="shared" si="1"/>
        <v>1281</v>
      </c>
      <c r="H5497" s="13"/>
    </row>
    <row r="5498" ht="22.5" customHeight="1">
      <c r="B5498" s="17"/>
      <c r="C5498" s="17"/>
      <c r="D5498" s="13"/>
      <c r="E5498" s="11"/>
      <c r="F5498" s="11"/>
      <c r="G5498" s="13">
        <f t="shared" si="1"/>
        <v>1281</v>
      </c>
      <c r="H5498" s="13"/>
    </row>
    <row r="5499" ht="22.5" customHeight="1">
      <c r="B5499" s="17"/>
      <c r="C5499" s="17"/>
      <c r="D5499" s="13"/>
      <c r="E5499" s="11"/>
      <c r="F5499" s="11"/>
      <c r="G5499" s="13">
        <f t="shared" si="1"/>
        <v>1281</v>
      </c>
      <c r="H5499" s="13"/>
    </row>
    <row r="5500" ht="22.5" customHeight="1">
      <c r="B5500" s="17"/>
      <c r="C5500" s="17"/>
      <c r="D5500" s="13"/>
      <c r="E5500" s="11"/>
      <c r="F5500" s="11"/>
      <c r="G5500" s="13">
        <f t="shared" si="1"/>
        <v>1281</v>
      </c>
      <c r="H5500" s="13"/>
    </row>
    <row r="5501" ht="22.5" customHeight="1">
      <c r="B5501" s="17"/>
      <c r="C5501" s="17"/>
      <c r="D5501" s="13"/>
      <c r="E5501" s="11"/>
      <c r="F5501" s="11"/>
      <c r="G5501" s="13">
        <f t="shared" si="1"/>
        <v>1281</v>
      </c>
      <c r="H5501" s="13"/>
    </row>
    <row r="5502" ht="22.5" customHeight="1">
      <c r="B5502" s="17"/>
      <c r="C5502" s="17"/>
      <c r="D5502" s="13"/>
      <c r="E5502" s="11"/>
      <c r="F5502" s="11"/>
      <c r="G5502" s="13">
        <f t="shared" si="1"/>
        <v>1281</v>
      </c>
      <c r="H5502" s="13"/>
    </row>
    <row r="5503" ht="22.5" customHeight="1">
      <c r="B5503" s="17"/>
      <c r="C5503" s="17"/>
      <c r="D5503" s="13"/>
      <c r="E5503" s="11"/>
      <c r="F5503" s="11"/>
      <c r="G5503" s="13">
        <f t="shared" si="1"/>
        <v>1281</v>
      </c>
      <c r="H5503" s="13"/>
    </row>
    <row r="5504" ht="22.5" customHeight="1">
      <c r="B5504" s="17"/>
      <c r="C5504" s="17"/>
      <c r="D5504" s="13"/>
      <c r="E5504" s="11"/>
      <c r="F5504" s="11"/>
      <c r="G5504" s="13">
        <f t="shared" si="1"/>
        <v>1281</v>
      </c>
      <c r="H5504" s="13"/>
    </row>
    <row r="5505" ht="22.5" customHeight="1">
      <c r="B5505" s="17"/>
      <c r="C5505" s="17"/>
      <c r="D5505" s="13"/>
      <c r="E5505" s="11"/>
      <c r="F5505" s="11"/>
      <c r="G5505" s="13">
        <f t="shared" si="1"/>
        <v>1281</v>
      </c>
      <c r="H5505" s="13"/>
    </row>
    <row r="5506" ht="22.5" customHeight="1">
      <c r="B5506" s="17"/>
      <c r="C5506" s="17"/>
      <c r="D5506" s="13"/>
      <c r="E5506" s="11"/>
      <c r="F5506" s="11"/>
      <c r="G5506" s="13">
        <f t="shared" si="1"/>
        <v>1281</v>
      </c>
      <c r="H5506" s="13"/>
    </row>
    <row r="5507" ht="22.5" customHeight="1">
      <c r="B5507" s="17"/>
      <c r="C5507" s="17"/>
      <c r="D5507" s="13"/>
      <c r="E5507" s="11"/>
      <c r="F5507" s="11"/>
      <c r="G5507" s="13">
        <f t="shared" si="1"/>
        <v>1281</v>
      </c>
      <c r="H5507" s="13"/>
    </row>
    <row r="5508" ht="22.5" customHeight="1">
      <c r="B5508" s="17"/>
      <c r="C5508" s="17"/>
      <c r="D5508" s="13"/>
      <c r="E5508" s="11"/>
      <c r="F5508" s="11"/>
      <c r="G5508" s="13">
        <f t="shared" si="1"/>
        <v>1281</v>
      </c>
      <c r="H5508" s="13"/>
    </row>
    <row r="5509" ht="22.5" customHeight="1">
      <c r="B5509" s="17"/>
      <c r="C5509" s="17"/>
      <c r="D5509" s="13"/>
      <c r="E5509" s="11"/>
      <c r="F5509" s="11"/>
      <c r="G5509" s="13">
        <f t="shared" si="1"/>
        <v>1281</v>
      </c>
      <c r="H5509" s="13"/>
    </row>
    <row r="5510" ht="22.5" customHeight="1">
      <c r="B5510" s="17"/>
      <c r="C5510" s="17"/>
      <c r="D5510" s="13"/>
      <c r="E5510" s="11"/>
      <c r="F5510" s="11"/>
      <c r="G5510" s="13">
        <f t="shared" si="1"/>
        <v>1281</v>
      </c>
      <c r="H5510" s="13"/>
    </row>
    <row r="5511" ht="22.5" customHeight="1">
      <c r="B5511" s="17"/>
      <c r="C5511" s="17"/>
      <c r="D5511" s="13"/>
      <c r="E5511" s="11"/>
      <c r="F5511" s="11"/>
      <c r="G5511" s="13">
        <f t="shared" si="1"/>
        <v>1281</v>
      </c>
      <c r="H5511" s="13"/>
    </row>
    <row r="5512" ht="22.5" customHeight="1">
      <c r="B5512" s="17"/>
      <c r="C5512" s="17"/>
      <c r="D5512" s="13"/>
      <c r="E5512" s="11"/>
      <c r="F5512" s="11"/>
      <c r="G5512" s="13">
        <f t="shared" si="1"/>
        <v>1281</v>
      </c>
      <c r="H5512" s="13"/>
    </row>
    <row r="5513" ht="22.5" customHeight="1">
      <c r="B5513" s="17"/>
      <c r="C5513" s="17"/>
      <c r="D5513" s="13"/>
      <c r="E5513" s="11"/>
      <c r="F5513" s="11"/>
      <c r="G5513" s="13">
        <f t="shared" si="1"/>
        <v>1281</v>
      </c>
      <c r="H5513" s="13"/>
    </row>
    <row r="5514" ht="22.5" customHeight="1">
      <c r="B5514" s="17"/>
      <c r="C5514" s="17"/>
      <c r="D5514" s="13"/>
      <c r="E5514" s="11"/>
      <c r="F5514" s="11"/>
      <c r="G5514" s="13">
        <f t="shared" si="1"/>
        <v>1281</v>
      </c>
      <c r="H5514" s="13"/>
    </row>
    <row r="5515" ht="22.5" customHeight="1">
      <c r="B5515" s="17"/>
      <c r="C5515" s="17"/>
      <c r="D5515" s="13"/>
      <c r="E5515" s="11"/>
      <c r="F5515" s="11"/>
      <c r="G5515" s="13">
        <f t="shared" si="1"/>
        <v>1281</v>
      </c>
      <c r="H5515" s="13"/>
    </row>
    <row r="5516" ht="22.5" customHeight="1">
      <c r="B5516" s="17"/>
      <c r="C5516" s="17"/>
      <c r="D5516" s="13"/>
      <c r="E5516" s="11"/>
      <c r="F5516" s="11"/>
      <c r="G5516" s="13">
        <f t="shared" si="1"/>
        <v>1281</v>
      </c>
      <c r="H5516" s="13"/>
    </row>
    <row r="5517" ht="22.5" customHeight="1">
      <c r="B5517" s="17"/>
      <c r="C5517" s="17"/>
      <c r="D5517" s="13"/>
      <c r="E5517" s="11"/>
      <c r="F5517" s="11"/>
      <c r="G5517" s="13">
        <f t="shared" si="1"/>
        <v>1281</v>
      </c>
      <c r="H5517" s="13"/>
    </row>
    <row r="5518" ht="22.5" customHeight="1">
      <c r="B5518" s="17"/>
      <c r="C5518" s="17"/>
      <c r="D5518" s="13"/>
      <c r="E5518" s="11"/>
      <c r="F5518" s="11"/>
      <c r="G5518" s="13">
        <f t="shared" si="1"/>
        <v>1281</v>
      </c>
      <c r="H5518" s="13"/>
    </row>
    <row r="5519" ht="22.5" customHeight="1">
      <c r="B5519" s="17"/>
      <c r="C5519" s="17"/>
      <c r="D5519" s="13"/>
      <c r="E5519" s="11"/>
      <c r="F5519" s="11"/>
      <c r="G5519" s="13">
        <f t="shared" si="1"/>
        <v>1281</v>
      </c>
      <c r="H5519" s="13"/>
    </row>
    <row r="5520" ht="22.5" customHeight="1">
      <c r="B5520" s="17"/>
      <c r="C5520" s="17"/>
      <c r="D5520" s="13"/>
      <c r="E5520" s="11"/>
      <c r="F5520" s="11"/>
      <c r="G5520" s="13">
        <f t="shared" si="1"/>
        <v>1281</v>
      </c>
      <c r="H5520" s="13"/>
    </row>
    <row r="5521" ht="22.5" customHeight="1">
      <c r="B5521" s="17"/>
      <c r="C5521" s="17"/>
      <c r="D5521" s="13"/>
      <c r="E5521" s="11"/>
      <c r="F5521" s="11"/>
      <c r="G5521" s="13">
        <f t="shared" si="1"/>
        <v>1281</v>
      </c>
      <c r="H5521" s="13"/>
    </row>
    <row r="5522" ht="22.5" customHeight="1">
      <c r="B5522" s="17"/>
      <c r="C5522" s="17"/>
      <c r="D5522" s="13"/>
      <c r="E5522" s="11"/>
      <c r="F5522" s="11"/>
      <c r="G5522" s="13">
        <f t="shared" si="1"/>
        <v>1281</v>
      </c>
      <c r="H5522" s="13"/>
    </row>
    <row r="5523" ht="22.5" customHeight="1">
      <c r="B5523" s="17"/>
      <c r="C5523" s="17"/>
      <c r="D5523" s="13"/>
      <c r="E5523" s="11"/>
      <c r="F5523" s="11"/>
      <c r="G5523" s="13">
        <f t="shared" si="1"/>
        <v>1281</v>
      </c>
      <c r="H5523" s="13"/>
    </row>
    <row r="5524" ht="22.5" customHeight="1">
      <c r="B5524" s="17"/>
      <c r="C5524" s="17"/>
      <c r="D5524" s="13"/>
      <c r="E5524" s="11"/>
      <c r="F5524" s="11"/>
      <c r="G5524" s="13">
        <f t="shared" si="1"/>
        <v>1281</v>
      </c>
      <c r="H5524" s="13"/>
    </row>
    <row r="5525" ht="22.5" customHeight="1">
      <c r="B5525" s="17"/>
      <c r="C5525" s="17"/>
      <c r="D5525" s="13"/>
      <c r="E5525" s="11"/>
      <c r="F5525" s="11"/>
      <c r="G5525" s="13">
        <f t="shared" si="1"/>
        <v>1281</v>
      </c>
      <c r="H5525" s="13"/>
    </row>
    <row r="5526" ht="22.5" customHeight="1">
      <c r="B5526" s="17"/>
      <c r="C5526" s="17"/>
      <c r="D5526" s="13"/>
      <c r="E5526" s="11"/>
      <c r="F5526" s="11"/>
      <c r="G5526" s="13">
        <f t="shared" si="1"/>
        <v>1281</v>
      </c>
      <c r="H5526" s="13"/>
    </row>
    <row r="5527" ht="22.5" customHeight="1">
      <c r="B5527" s="17"/>
      <c r="C5527" s="17"/>
      <c r="D5527" s="13"/>
      <c r="E5527" s="11"/>
      <c r="F5527" s="11"/>
      <c r="G5527" s="13">
        <f t="shared" si="1"/>
        <v>1281</v>
      </c>
      <c r="H5527" s="13"/>
    </row>
    <row r="5528" ht="22.5" customHeight="1">
      <c r="B5528" s="17"/>
      <c r="C5528" s="17"/>
      <c r="D5528" s="13"/>
      <c r="E5528" s="11"/>
      <c r="F5528" s="11"/>
      <c r="G5528" s="13">
        <f t="shared" si="1"/>
        <v>1281</v>
      </c>
      <c r="H5528" s="13"/>
    </row>
    <row r="5529" ht="22.5" customHeight="1">
      <c r="B5529" s="17"/>
      <c r="C5529" s="17"/>
      <c r="D5529" s="13"/>
      <c r="E5529" s="11"/>
      <c r="F5529" s="11"/>
      <c r="G5529" s="13">
        <f t="shared" si="1"/>
        <v>1281</v>
      </c>
      <c r="H5529" s="13"/>
    </row>
    <row r="5530" ht="22.5" customHeight="1">
      <c r="B5530" s="17"/>
      <c r="C5530" s="17"/>
      <c r="D5530" s="13"/>
      <c r="E5530" s="11"/>
      <c r="F5530" s="11"/>
      <c r="G5530" s="13">
        <f t="shared" si="1"/>
        <v>1281</v>
      </c>
      <c r="H5530" s="13"/>
    </row>
    <row r="5531" ht="22.5" customHeight="1">
      <c r="B5531" s="17"/>
      <c r="C5531" s="17"/>
      <c r="D5531" s="13"/>
      <c r="E5531" s="11"/>
      <c r="F5531" s="11"/>
      <c r="G5531" s="13">
        <f t="shared" si="1"/>
        <v>1281</v>
      </c>
      <c r="H5531" s="13"/>
    </row>
    <row r="5532" ht="22.5" customHeight="1">
      <c r="B5532" s="17"/>
      <c r="C5532" s="17"/>
      <c r="D5532" s="13"/>
      <c r="E5532" s="11"/>
      <c r="F5532" s="11"/>
      <c r="G5532" s="13">
        <f t="shared" si="1"/>
        <v>1281</v>
      </c>
      <c r="H5532" s="13"/>
    </row>
    <row r="5533" ht="22.5" customHeight="1">
      <c r="B5533" s="17"/>
      <c r="C5533" s="17"/>
      <c r="D5533" s="13"/>
      <c r="E5533" s="11"/>
      <c r="F5533" s="11"/>
      <c r="G5533" s="13">
        <f t="shared" si="1"/>
        <v>1281</v>
      </c>
      <c r="H5533" s="13"/>
    </row>
    <row r="5534" ht="22.5" customHeight="1">
      <c r="B5534" s="17"/>
      <c r="C5534" s="17"/>
      <c r="D5534" s="13"/>
      <c r="E5534" s="11"/>
      <c r="F5534" s="11"/>
      <c r="G5534" s="13">
        <f t="shared" si="1"/>
        <v>1281</v>
      </c>
      <c r="H5534" s="13"/>
    </row>
    <row r="5535" ht="22.5" customHeight="1">
      <c r="B5535" s="17"/>
      <c r="C5535" s="17"/>
      <c r="D5535" s="13"/>
      <c r="E5535" s="11"/>
      <c r="F5535" s="11"/>
      <c r="G5535" s="13">
        <f t="shared" si="1"/>
        <v>1281</v>
      </c>
      <c r="H5535" s="13"/>
    </row>
    <row r="5536" ht="22.5" customHeight="1">
      <c r="B5536" s="17"/>
      <c r="C5536" s="17"/>
      <c r="D5536" s="13"/>
      <c r="E5536" s="11"/>
      <c r="F5536" s="11"/>
      <c r="G5536" s="13">
        <f t="shared" si="1"/>
        <v>1281</v>
      </c>
      <c r="H5536" s="13"/>
    </row>
    <row r="5537" ht="22.5" customHeight="1">
      <c r="B5537" s="17"/>
      <c r="C5537" s="17"/>
      <c r="D5537" s="13"/>
      <c r="E5537" s="11"/>
      <c r="F5537" s="11"/>
      <c r="G5537" s="13">
        <f t="shared" si="1"/>
        <v>1281</v>
      </c>
      <c r="H5537" s="13"/>
    </row>
    <row r="5538" ht="22.5" customHeight="1">
      <c r="B5538" s="17"/>
      <c r="C5538" s="17"/>
      <c r="D5538" s="13"/>
      <c r="E5538" s="11"/>
      <c r="F5538" s="11"/>
      <c r="G5538" s="13">
        <f t="shared" si="1"/>
        <v>1281</v>
      </c>
      <c r="H5538" s="13"/>
    </row>
    <row r="5539" ht="22.5" customHeight="1">
      <c r="B5539" s="17"/>
      <c r="C5539" s="17"/>
      <c r="D5539" s="13"/>
      <c r="E5539" s="11"/>
      <c r="F5539" s="11"/>
      <c r="G5539" s="13">
        <f t="shared" si="1"/>
        <v>1281</v>
      </c>
      <c r="H5539" s="13"/>
    </row>
    <row r="5540" ht="22.5" customHeight="1">
      <c r="B5540" s="17"/>
      <c r="C5540" s="17"/>
      <c r="D5540" s="13"/>
      <c r="E5540" s="11"/>
      <c r="F5540" s="11"/>
      <c r="G5540" s="13">
        <f t="shared" si="1"/>
        <v>1281</v>
      </c>
      <c r="H5540" s="13"/>
    </row>
    <row r="5541" ht="22.5" customHeight="1">
      <c r="B5541" s="17"/>
      <c r="C5541" s="17"/>
      <c r="D5541" s="13"/>
      <c r="E5541" s="11"/>
      <c r="F5541" s="11"/>
      <c r="G5541" s="13">
        <f t="shared" si="1"/>
        <v>1281</v>
      </c>
      <c r="H5541" s="13"/>
    </row>
    <row r="5542" ht="22.5" customHeight="1">
      <c r="B5542" s="17"/>
      <c r="C5542" s="17"/>
      <c r="D5542" s="13"/>
      <c r="E5542" s="11"/>
      <c r="F5542" s="11"/>
      <c r="G5542" s="13">
        <f t="shared" si="1"/>
        <v>1281</v>
      </c>
      <c r="H5542" s="13"/>
    </row>
    <row r="5543" ht="22.5" customHeight="1">
      <c r="B5543" s="17"/>
      <c r="C5543" s="17"/>
      <c r="D5543" s="13"/>
      <c r="E5543" s="11"/>
      <c r="F5543" s="11"/>
      <c r="G5543" s="13">
        <f t="shared" si="1"/>
        <v>1281</v>
      </c>
      <c r="H5543" s="13"/>
    </row>
    <row r="5544" ht="22.5" customHeight="1">
      <c r="B5544" s="17"/>
      <c r="C5544" s="17"/>
      <c r="D5544" s="13"/>
      <c r="E5544" s="11"/>
      <c r="F5544" s="11"/>
      <c r="G5544" s="13">
        <f t="shared" si="1"/>
        <v>1281</v>
      </c>
      <c r="H5544" s="13"/>
    </row>
    <row r="5545" ht="22.5" customHeight="1">
      <c r="B5545" s="17"/>
      <c r="C5545" s="17"/>
      <c r="D5545" s="13"/>
      <c r="E5545" s="11"/>
      <c r="F5545" s="11"/>
      <c r="G5545" s="13">
        <f t="shared" si="1"/>
        <v>1281</v>
      </c>
      <c r="H5545" s="13"/>
    </row>
    <row r="5546" ht="22.5" customHeight="1">
      <c r="B5546" s="17"/>
      <c r="C5546" s="17"/>
      <c r="D5546" s="13"/>
      <c r="E5546" s="11"/>
      <c r="F5546" s="11"/>
      <c r="G5546" s="13">
        <f t="shared" si="1"/>
        <v>1281</v>
      </c>
      <c r="H5546" s="13"/>
    </row>
    <row r="5547" ht="22.5" customHeight="1">
      <c r="B5547" s="17"/>
      <c r="C5547" s="17"/>
      <c r="D5547" s="13"/>
      <c r="E5547" s="11"/>
      <c r="F5547" s="11"/>
      <c r="G5547" s="13">
        <f t="shared" si="1"/>
        <v>1281</v>
      </c>
      <c r="H5547" s="13"/>
    </row>
    <row r="5548" ht="22.5" customHeight="1">
      <c r="B5548" s="17"/>
      <c r="C5548" s="17"/>
      <c r="D5548" s="13"/>
      <c r="E5548" s="11"/>
      <c r="F5548" s="11"/>
      <c r="G5548" s="13">
        <f t="shared" si="1"/>
        <v>1281</v>
      </c>
      <c r="H5548" s="13"/>
    </row>
    <row r="5549" ht="22.5" customHeight="1">
      <c r="B5549" s="17"/>
      <c r="C5549" s="17"/>
      <c r="D5549" s="13"/>
      <c r="E5549" s="11"/>
      <c r="F5549" s="11"/>
      <c r="G5549" s="13">
        <f t="shared" si="1"/>
        <v>1281</v>
      </c>
      <c r="H5549" s="13"/>
    </row>
    <row r="5550" ht="22.5" customHeight="1">
      <c r="B5550" s="17"/>
      <c r="C5550" s="17"/>
      <c r="D5550" s="13"/>
      <c r="E5550" s="11"/>
      <c r="F5550" s="11"/>
      <c r="G5550" s="13">
        <f t="shared" si="1"/>
        <v>1281</v>
      </c>
      <c r="H5550" s="13"/>
    </row>
    <row r="5551" ht="22.5" customHeight="1">
      <c r="B5551" s="17"/>
      <c r="C5551" s="17"/>
      <c r="D5551" s="13"/>
      <c r="E5551" s="11"/>
      <c r="F5551" s="11"/>
      <c r="G5551" s="13">
        <f t="shared" si="1"/>
        <v>1281</v>
      </c>
      <c r="H5551" s="13"/>
    </row>
    <row r="5552" ht="22.5" customHeight="1">
      <c r="B5552" s="17"/>
      <c r="C5552" s="17"/>
      <c r="D5552" s="13"/>
      <c r="E5552" s="11"/>
      <c r="F5552" s="11"/>
      <c r="G5552" s="13">
        <f t="shared" si="1"/>
        <v>1281</v>
      </c>
      <c r="H5552" s="13"/>
    </row>
    <row r="5553" ht="22.5" customHeight="1">
      <c r="B5553" s="17"/>
      <c r="C5553" s="17"/>
      <c r="D5553" s="13"/>
      <c r="E5553" s="11"/>
      <c r="F5553" s="11"/>
      <c r="G5553" s="13">
        <f t="shared" si="1"/>
        <v>1281</v>
      </c>
      <c r="H5553" s="13"/>
    </row>
    <row r="5554" ht="22.5" customHeight="1">
      <c r="B5554" s="17"/>
      <c r="C5554" s="17"/>
      <c r="D5554" s="13"/>
      <c r="E5554" s="11"/>
      <c r="F5554" s="11"/>
      <c r="G5554" s="13">
        <f t="shared" si="1"/>
        <v>1281</v>
      </c>
      <c r="H5554" s="13"/>
    </row>
    <row r="5555" ht="22.5" customHeight="1">
      <c r="B5555" s="17"/>
      <c r="C5555" s="17"/>
      <c r="D5555" s="13"/>
      <c r="E5555" s="11"/>
      <c r="F5555" s="11"/>
      <c r="G5555" s="13">
        <f t="shared" si="1"/>
        <v>1281</v>
      </c>
      <c r="H5555" s="13"/>
    </row>
    <row r="5556" ht="22.5" customHeight="1">
      <c r="B5556" s="17"/>
      <c r="C5556" s="17"/>
      <c r="D5556" s="13"/>
      <c r="E5556" s="11"/>
      <c r="F5556" s="11"/>
      <c r="G5556" s="13">
        <f t="shared" si="1"/>
        <v>1281</v>
      </c>
      <c r="H5556" s="13"/>
    </row>
    <row r="5557" ht="22.5" customHeight="1">
      <c r="B5557" s="17"/>
      <c r="C5557" s="17"/>
      <c r="D5557" s="13"/>
      <c r="E5557" s="11"/>
      <c r="F5557" s="11"/>
      <c r="G5557" s="13">
        <f t="shared" si="1"/>
        <v>1281</v>
      </c>
      <c r="H5557" s="13"/>
    </row>
    <row r="5558" ht="22.5" customHeight="1">
      <c r="B5558" s="17"/>
      <c r="C5558" s="17"/>
      <c r="D5558" s="13"/>
      <c r="E5558" s="11"/>
      <c r="F5558" s="11"/>
      <c r="G5558" s="13">
        <f t="shared" si="1"/>
        <v>1281</v>
      </c>
      <c r="H5558" s="13"/>
    </row>
    <row r="5559" ht="22.5" customHeight="1">
      <c r="B5559" s="17"/>
      <c r="C5559" s="17"/>
      <c r="D5559" s="13"/>
      <c r="E5559" s="11"/>
      <c r="F5559" s="11"/>
      <c r="G5559" s="13">
        <f t="shared" si="1"/>
        <v>1281</v>
      </c>
      <c r="H5559" s="13"/>
    </row>
    <row r="5560" ht="22.5" customHeight="1">
      <c r="B5560" s="17"/>
      <c r="C5560" s="17"/>
      <c r="D5560" s="13"/>
      <c r="E5560" s="11"/>
      <c r="F5560" s="11"/>
      <c r="G5560" s="13">
        <f t="shared" si="1"/>
        <v>1281</v>
      </c>
      <c r="H5560" s="13"/>
    </row>
    <row r="5561" ht="22.5" customHeight="1">
      <c r="B5561" s="17"/>
      <c r="C5561" s="17"/>
      <c r="D5561" s="13"/>
      <c r="E5561" s="11"/>
      <c r="F5561" s="11"/>
      <c r="G5561" s="13">
        <f t="shared" si="1"/>
        <v>1281</v>
      </c>
      <c r="H5561" s="13"/>
    </row>
    <row r="5562" ht="22.5" customHeight="1">
      <c r="B5562" s="17"/>
      <c r="C5562" s="17"/>
      <c r="D5562" s="13"/>
      <c r="E5562" s="11"/>
      <c r="F5562" s="11"/>
      <c r="G5562" s="13">
        <f t="shared" si="1"/>
        <v>1281</v>
      </c>
      <c r="H5562" s="13"/>
    </row>
    <row r="5563" ht="22.5" customHeight="1">
      <c r="B5563" s="17"/>
      <c r="C5563" s="17"/>
      <c r="D5563" s="13"/>
      <c r="E5563" s="11"/>
      <c r="F5563" s="11"/>
      <c r="G5563" s="13">
        <f t="shared" si="1"/>
        <v>1281</v>
      </c>
      <c r="H5563" s="13"/>
    </row>
    <row r="5564" ht="22.5" customHeight="1">
      <c r="B5564" s="17"/>
      <c r="C5564" s="17"/>
      <c r="D5564" s="13"/>
      <c r="E5564" s="11"/>
      <c r="F5564" s="11"/>
      <c r="G5564" s="13">
        <f t="shared" si="1"/>
        <v>1281</v>
      </c>
      <c r="H5564" s="13"/>
    </row>
    <row r="5565" ht="22.5" customHeight="1">
      <c r="B5565" s="17"/>
      <c r="C5565" s="17"/>
      <c r="D5565" s="13"/>
      <c r="E5565" s="11"/>
      <c r="F5565" s="11"/>
      <c r="G5565" s="13">
        <f t="shared" si="1"/>
        <v>1281</v>
      </c>
      <c r="H5565" s="13"/>
    </row>
    <row r="5566" ht="22.5" customHeight="1">
      <c r="B5566" s="17"/>
      <c r="C5566" s="17"/>
      <c r="D5566" s="13"/>
      <c r="E5566" s="11"/>
      <c r="F5566" s="11"/>
      <c r="G5566" s="13">
        <f t="shared" si="1"/>
        <v>1281</v>
      </c>
      <c r="H5566" s="13"/>
    </row>
    <row r="5567" ht="22.5" customHeight="1">
      <c r="B5567" s="17"/>
      <c r="C5567" s="17"/>
      <c r="D5567" s="13"/>
      <c r="E5567" s="11"/>
      <c r="F5567" s="11"/>
      <c r="G5567" s="13">
        <f t="shared" si="1"/>
        <v>1281</v>
      </c>
      <c r="H5567" s="13"/>
    </row>
    <row r="5568" ht="22.5" customHeight="1">
      <c r="B5568" s="17"/>
      <c r="C5568" s="17"/>
      <c r="D5568" s="13"/>
      <c r="E5568" s="11"/>
      <c r="F5568" s="11"/>
      <c r="G5568" s="13">
        <f t="shared" si="1"/>
        <v>1281</v>
      </c>
      <c r="H5568" s="13"/>
    </row>
    <row r="5569" ht="22.5" customHeight="1">
      <c r="B5569" s="17"/>
      <c r="C5569" s="17"/>
      <c r="D5569" s="13"/>
      <c r="E5569" s="11"/>
      <c r="F5569" s="11"/>
      <c r="G5569" s="13">
        <f t="shared" si="1"/>
        <v>1281</v>
      </c>
      <c r="H5569" s="13"/>
    </row>
    <row r="5570" ht="22.5" customHeight="1">
      <c r="B5570" s="17"/>
      <c r="C5570" s="17"/>
      <c r="D5570" s="13"/>
      <c r="E5570" s="11"/>
      <c r="F5570" s="11"/>
      <c r="G5570" s="13">
        <f t="shared" si="1"/>
        <v>1281</v>
      </c>
      <c r="H5570" s="13"/>
    </row>
    <row r="5571" ht="22.5" customHeight="1">
      <c r="B5571" s="17"/>
      <c r="C5571" s="17"/>
      <c r="D5571" s="13"/>
      <c r="E5571" s="11"/>
      <c r="F5571" s="11"/>
      <c r="G5571" s="13">
        <f t="shared" si="1"/>
        <v>1281</v>
      </c>
      <c r="H5571" s="13"/>
    </row>
    <row r="5572" ht="22.5" customHeight="1">
      <c r="B5572" s="17"/>
      <c r="C5572" s="17"/>
      <c r="D5572" s="13"/>
      <c r="E5572" s="11"/>
      <c r="F5572" s="11"/>
      <c r="G5572" s="13">
        <f t="shared" si="1"/>
        <v>1281</v>
      </c>
      <c r="H5572" s="13"/>
    </row>
    <row r="5573" ht="22.5" customHeight="1">
      <c r="B5573" s="17"/>
      <c r="C5573" s="17"/>
      <c r="D5573" s="13"/>
      <c r="E5573" s="11"/>
      <c r="F5573" s="11"/>
      <c r="G5573" s="13">
        <f t="shared" si="1"/>
        <v>1281</v>
      </c>
      <c r="H5573" s="13"/>
    </row>
    <row r="5574" ht="22.5" customHeight="1">
      <c r="B5574" s="17"/>
      <c r="C5574" s="17"/>
      <c r="D5574" s="13"/>
      <c r="E5574" s="11"/>
      <c r="F5574" s="11"/>
      <c r="G5574" s="13">
        <f t="shared" si="1"/>
        <v>1281</v>
      </c>
      <c r="H5574" s="13"/>
    </row>
    <row r="5575" ht="22.5" customHeight="1">
      <c r="B5575" s="17"/>
      <c r="C5575" s="17"/>
      <c r="D5575" s="13"/>
      <c r="E5575" s="11"/>
      <c r="F5575" s="11"/>
      <c r="G5575" s="13">
        <f t="shared" si="1"/>
        <v>1281</v>
      </c>
      <c r="H5575" s="13"/>
    </row>
    <row r="5576" ht="22.5" customHeight="1">
      <c r="B5576" s="17"/>
      <c r="C5576" s="17"/>
      <c r="D5576" s="13"/>
      <c r="E5576" s="11"/>
      <c r="F5576" s="11"/>
      <c r="G5576" s="13">
        <f t="shared" si="1"/>
        <v>1281</v>
      </c>
      <c r="H5576" s="13"/>
    </row>
    <row r="5577" ht="22.5" customHeight="1">
      <c r="B5577" s="17"/>
      <c r="C5577" s="17"/>
      <c r="D5577" s="13"/>
      <c r="E5577" s="11"/>
      <c r="F5577" s="11"/>
      <c r="G5577" s="13">
        <f t="shared" si="1"/>
        <v>1281</v>
      </c>
      <c r="H5577" s="13"/>
    </row>
    <row r="5578" ht="22.5" customHeight="1">
      <c r="B5578" s="17"/>
      <c r="C5578" s="17"/>
      <c r="D5578" s="13"/>
      <c r="E5578" s="11"/>
      <c r="F5578" s="11"/>
      <c r="G5578" s="13">
        <f t="shared" si="1"/>
        <v>1281</v>
      </c>
      <c r="H5578" s="13"/>
    </row>
    <row r="5579" ht="22.5" customHeight="1">
      <c r="B5579" s="17"/>
      <c r="C5579" s="17"/>
      <c r="D5579" s="13"/>
      <c r="E5579" s="11"/>
      <c r="F5579" s="11"/>
      <c r="G5579" s="13">
        <f t="shared" si="1"/>
        <v>1281</v>
      </c>
      <c r="H5579" s="13"/>
    </row>
    <row r="5580" ht="22.5" customHeight="1">
      <c r="B5580" s="17"/>
      <c r="C5580" s="17"/>
      <c r="D5580" s="13"/>
      <c r="E5580" s="11"/>
      <c r="F5580" s="11"/>
      <c r="G5580" s="13">
        <f t="shared" si="1"/>
        <v>1281</v>
      </c>
      <c r="H5580" s="13"/>
    </row>
    <row r="5581" ht="22.5" customHeight="1">
      <c r="B5581" s="17"/>
      <c r="C5581" s="17"/>
      <c r="D5581" s="13"/>
      <c r="E5581" s="11"/>
      <c r="F5581" s="11"/>
      <c r="G5581" s="13">
        <f t="shared" si="1"/>
        <v>1281</v>
      </c>
      <c r="H5581" s="13"/>
    </row>
    <row r="5582" ht="22.5" customHeight="1">
      <c r="B5582" s="17"/>
      <c r="C5582" s="17"/>
      <c r="D5582" s="13"/>
      <c r="E5582" s="11"/>
      <c r="F5582" s="11"/>
      <c r="G5582" s="13">
        <f t="shared" si="1"/>
        <v>1281</v>
      </c>
      <c r="H5582" s="13"/>
    </row>
    <row r="5583" ht="22.5" customHeight="1">
      <c r="B5583" s="17"/>
      <c r="C5583" s="17"/>
      <c r="D5583" s="13"/>
      <c r="E5583" s="11"/>
      <c r="F5583" s="11"/>
      <c r="G5583" s="13">
        <f t="shared" si="1"/>
        <v>1281</v>
      </c>
      <c r="H5583" s="13"/>
    </row>
    <row r="5584" ht="22.5" customHeight="1">
      <c r="B5584" s="17"/>
      <c r="C5584" s="17"/>
      <c r="D5584" s="13"/>
      <c r="E5584" s="11"/>
      <c r="F5584" s="11"/>
      <c r="G5584" s="13">
        <f t="shared" si="1"/>
        <v>1281</v>
      </c>
      <c r="H5584" s="13"/>
    </row>
    <row r="5585" ht="22.5" customHeight="1">
      <c r="B5585" s="17"/>
      <c r="C5585" s="17"/>
      <c r="D5585" s="13"/>
      <c r="E5585" s="11"/>
      <c r="F5585" s="11"/>
      <c r="G5585" s="13">
        <f t="shared" si="1"/>
        <v>1281</v>
      </c>
      <c r="H5585" s="13"/>
    </row>
    <row r="5586" ht="22.5" customHeight="1">
      <c r="B5586" s="17"/>
      <c r="C5586" s="17"/>
      <c r="D5586" s="13"/>
      <c r="E5586" s="11"/>
      <c r="F5586" s="11"/>
      <c r="G5586" s="13">
        <f t="shared" si="1"/>
        <v>1281</v>
      </c>
      <c r="H5586" s="13"/>
    </row>
    <row r="5587" ht="22.5" customHeight="1">
      <c r="B5587" s="17"/>
      <c r="C5587" s="17"/>
      <c r="D5587" s="13"/>
      <c r="E5587" s="11"/>
      <c r="F5587" s="11"/>
      <c r="G5587" s="13">
        <f t="shared" si="1"/>
        <v>1281</v>
      </c>
      <c r="H5587" s="13"/>
    </row>
    <row r="5588" ht="22.5" customHeight="1">
      <c r="B5588" s="17"/>
      <c r="C5588" s="17"/>
      <c r="D5588" s="13"/>
      <c r="E5588" s="11"/>
      <c r="F5588" s="11"/>
      <c r="G5588" s="13">
        <f t="shared" si="1"/>
        <v>1281</v>
      </c>
      <c r="H5588" s="13"/>
    </row>
    <row r="5589" ht="22.5" customHeight="1">
      <c r="B5589" s="17"/>
      <c r="C5589" s="17"/>
      <c r="D5589" s="13"/>
      <c r="E5589" s="11"/>
      <c r="F5589" s="11"/>
      <c r="G5589" s="13">
        <f t="shared" si="1"/>
        <v>1281</v>
      </c>
      <c r="H5589" s="13"/>
    </row>
    <row r="5590" ht="22.5" customHeight="1">
      <c r="B5590" s="17"/>
      <c r="C5590" s="17"/>
      <c r="D5590" s="13"/>
      <c r="E5590" s="11"/>
      <c r="F5590" s="11"/>
      <c r="G5590" s="13">
        <f t="shared" si="1"/>
        <v>1281</v>
      </c>
      <c r="H5590" s="13"/>
    </row>
    <row r="5591" ht="22.5" customHeight="1">
      <c r="B5591" s="17"/>
      <c r="C5591" s="17"/>
      <c r="D5591" s="13"/>
      <c r="E5591" s="11"/>
      <c r="F5591" s="11"/>
      <c r="G5591" s="13">
        <f t="shared" si="1"/>
        <v>1281</v>
      </c>
      <c r="H5591" s="13"/>
    </row>
    <row r="5592" ht="22.5" customHeight="1">
      <c r="B5592" s="17"/>
      <c r="C5592" s="17"/>
      <c r="D5592" s="13"/>
      <c r="E5592" s="11"/>
      <c r="F5592" s="11"/>
      <c r="G5592" s="13">
        <f t="shared" si="1"/>
        <v>1281</v>
      </c>
      <c r="H5592" s="13"/>
    </row>
    <row r="5593" ht="22.5" customHeight="1">
      <c r="B5593" s="17"/>
      <c r="C5593" s="17"/>
      <c r="D5593" s="13"/>
      <c r="E5593" s="11"/>
      <c r="F5593" s="11"/>
      <c r="G5593" s="13">
        <f t="shared" si="1"/>
        <v>1281</v>
      </c>
      <c r="H5593" s="13"/>
    </row>
    <row r="5594" ht="22.5" customHeight="1">
      <c r="B5594" s="17"/>
      <c r="C5594" s="17"/>
      <c r="D5594" s="13"/>
      <c r="E5594" s="11"/>
      <c r="F5594" s="11"/>
      <c r="G5594" s="13">
        <f t="shared" si="1"/>
        <v>1281</v>
      </c>
      <c r="H5594" s="13"/>
    </row>
    <row r="5595" ht="22.5" customHeight="1">
      <c r="B5595" s="17"/>
      <c r="C5595" s="17"/>
      <c r="D5595" s="13"/>
      <c r="E5595" s="11"/>
      <c r="F5595" s="11"/>
      <c r="G5595" s="13">
        <f t="shared" si="1"/>
        <v>1281</v>
      </c>
      <c r="H5595" s="13"/>
    </row>
    <row r="5596" ht="22.5" customHeight="1">
      <c r="B5596" s="17"/>
      <c r="C5596" s="17"/>
      <c r="D5596" s="13"/>
      <c r="E5596" s="11"/>
      <c r="F5596" s="11"/>
      <c r="G5596" s="13">
        <f t="shared" si="1"/>
        <v>1281</v>
      </c>
      <c r="H5596" s="13"/>
    </row>
    <row r="5597" ht="22.5" customHeight="1">
      <c r="B5597" s="17"/>
      <c r="C5597" s="17"/>
      <c r="D5597" s="13"/>
      <c r="E5597" s="11"/>
      <c r="F5597" s="11"/>
      <c r="G5597" s="13">
        <f t="shared" si="1"/>
        <v>1281</v>
      </c>
      <c r="H5597" s="13"/>
    </row>
    <row r="5598" ht="22.5" customHeight="1">
      <c r="B5598" s="17"/>
      <c r="C5598" s="17"/>
      <c r="D5598" s="13"/>
      <c r="E5598" s="11"/>
      <c r="F5598" s="11"/>
      <c r="G5598" s="13">
        <f t="shared" si="1"/>
        <v>1281</v>
      </c>
      <c r="H5598" s="13"/>
    </row>
    <row r="5599" ht="22.5" customHeight="1">
      <c r="B5599" s="17"/>
      <c r="C5599" s="17"/>
      <c r="D5599" s="13"/>
      <c r="E5599" s="11"/>
      <c r="F5599" s="11"/>
      <c r="G5599" s="13">
        <f t="shared" si="1"/>
        <v>1281</v>
      </c>
      <c r="H5599" s="13"/>
    </row>
    <row r="5600" ht="22.5" customHeight="1">
      <c r="B5600" s="17"/>
      <c r="C5600" s="17"/>
      <c r="D5600" s="13"/>
      <c r="E5600" s="11"/>
      <c r="F5600" s="11"/>
      <c r="G5600" s="13">
        <f t="shared" si="1"/>
        <v>1281</v>
      </c>
      <c r="H5600" s="13"/>
    </row>
    <row r="5601" ht="22.5" customHeight="1">
      <c r="B5601" s="17"/>
      <c r="C5601" s="17"/>
      <c r="D5601" s="13"/>
      <c r="E5601" s="11"/>
      <c r="F5601" s="11"/>
      <c r="G5601" s="13">
        <f t="shared" si="1"/>
        <v>1281</v>
      </c>
      <c r="H5601" s="13"/>
    </row>
    <row r="5602" ht="22.5" customHeight="1">
      <c r="B5602" s="17"/>
      <c r="C5602" s="17"/>
      <c r="D5602" s="13"/>
      <c r="E5602" s="11"/>
      <c r="F5602" s="11"/>
      <c r="G5602" s="13">
        <f t="shared" si="1"/>
        <v>1281</v>
      </c>
      <c r="H5602" s="13"/>
    </row>
    <row r="5603" ht="22.5" customHeight="1">
      <c r="B5603" s="17"/>
      <c r="C5603" s="17"/>
      <c r="D5603" s="13"/>
      <c r="E5603" s="11"/>
      <c r="F5603" s="11"/>
      <c r="G5603" s="13">
        <f t="shared" si="1"/>
        <v>1281</v>
      </c>
      <c r="H5603" s="13"/>
    </row>
    <row r="5604" ht="22.5" customHeight="1">
      <c r="B5604" s="17"/>
      <c r="C5604" s="17"/>
      <c r="D5604" s="13"/>
      <c r="E5604" s="11"/>
      <c r="F5604" s="11"/>
      <c r="G5604" s="13">
        <f t="shared" si="1"/>
        <v>1281</v>
      </c>
      <c r="H5604" s="13"/>
    </row>
    <row r="5605" ht="22.5" customHeight="1">
      <c r="B5605" s="17"/>
      <c r="C5605" s="17"/>
      <c r="D5605" s="13"/>
      <c r="E5605" s="11"/>
      <c r="F5605" s="11"/>
      <c r="G5605" s="13">
        <f t="shared" si="1"/>
        <v>1281</v>
      </c>
      <c r="H5605" s="13"/>
    </row>
    <row r="5606" ht="22.5" customHeight="1">
      <c r="B5606" s="17"/>
      <c r="C5606" s="17"/>
      <c r="D5606" s="13"/>
      <c r="E5606" s="11"/>
      <c r="F5606" s="11"/>
      <c r="G5606" s="13">
        <f t="shared" si="1"/>
        <v>1281</v>
      </c>
      <c r="H5606" s="13"/>
    </row>
    <row r="5607" ht="22.5" customHeight="1">
      <c r="B5607" s="17"/>
      <c r="C5607" s="17"/>
      <c r="D5607" s="13"/>
      <c r="E5607" s="11"/>
      <c r="F5607" s="11"/>
      <c r="G5607" s="13">
        <f t="shared" si="1"/>
        <v>1281</v>
      </c>
      <c r="H5607" s="13"/>
    </row>
    <row r="5608" ht="22.5" customHeight="1">
      <c r="B5608" s="17"/>
      <c r="C5608" s="17"/>
      <c r="D5608" s="13"/>
      <c r="E5608" s="11"/>
      <c r="F5608" s="11"/>
      <c r="G5608" s="13">
        <f t="shared" si="1"/>
        <v>1281</v>
      </c>
      <c r="H5608" s="13"/>
    </row>
    <row r="5609" ht="22.5" customHeight="1">
      <c r="B5609" s="17"/>
      <c r="C5609" s="17"/>
      <c r="D5609" s="13"/>
      <c r="E5609" s="11"/>
      <c r="F5609" s="11"/>
      <c r="G5609" s="13">
        <f t="shared" si="1"/>
        <v>1281</v>
      </c>
      <c r="H5609" s="13"/>
    </row>
    <row r="5610" ht="22.5" customHeight="1">
      <c r="B5610" s="17"/>
      <c r="C5610" s="17"/>
      <c r="D5610" s="13"/>
      <c r="E5610" s="11"/>
      <c r="F5610" s="11"/>
      <c r="G5610" s="13">
        <f t="shared" si="1"/>
        <v>1281</v>
      </c>
      <c r="H5610" s="13"/>
    </row>
    <row r="5611" ht="22.5" customHeight="1">
      <c r="B5611" s="17"/>
      <c r="C5611" s="17"/>
      <c r="D5611" s="13"/>
      <c r="E5611" s="11"/>
      <c r="F5611" s="11"/>
      <c r="G5611" s="13">
        <f t="shared" si="1"/>
        <v>1281</v>
      </c>
      <c r="H5611" s="13"/>
    </row>
    <row r="5612" ht="22.5" customHeight="1">
      <c r="B5612" s="17"/>
      <c r="C5612" s="17"/>
      <c r="D5612" s="13"/>
      <c r="E5612" s="11"/>
      <c r="F5612" s="11"/>
      <c r="G5612" s="13">
        <f t="shared" si="1"/>
        <v>1281</v>
      </c>
      <c r="H5612" s="13"/>
    </row>
    <row r="5613" ht="22.5" customHeight="1">
      <c r="B5613" s="17"/>
      <c r="C5613" s="17"/>
      <c r="D5613" s="13"/>
      <c r="E5613" s="11"/>
      <c r="F5613" s="11"/>
      <c r="G5613" s="13">
        <f t="shared" si="1"/>
        <v>1281</v>
      </c>
      <c r="H5613" s="13"/>
    </row>
    <row r="5614" ht="22.5" customHeight="1">
      <c r="B5614" s="17"/>
      <c r="C5614" s="17"/>
      <c r="D5614" s="13"/>
      <c r="E5614" s="11"/>
      <c r="F5614" s="11"/>
      <c r="G5614" s="13">
        <f t="shared" si="1"/>
        <v>1281</v>
      </c>
      <c r="H5614" s="13"/>
    </row>
    <row r="5615" ht="22.5" customHeight="1">
      <c r="B5615" s="17"/>
      <c r="C5615" s="17"/>
      <c r="D5615" s="13"/>
      <c r="E5615" s="11"/>
      <c r="F5615" s="11"/>
      <c r="G5615" s="13">
        <f t="shared" si="1"/>
        <v>1281</v>
      </c>
      <c r="H5615" s="13"/>
    </row>
    <row r="5616" ht="22.5" customHeight="1">
      <c r="B5616" s="17"/>
      <c r="C5616" s="17"/>
      <c r="D5616" s="13"/>
      <c r="E5616" s="11"/>
      <c r="F5616" s="11"/>
      <c r="G5616" s="13">
        <f t="shared" si="1"/>
        <v>1281</v>
      </c>
      <c r="H5616" s="13"/>
    </row>
    <row r="5617" ht="22.5" customHeight="1">
      <c r="B5617" s="17"/>
      <c r="C5617" s="17"/>
      <c r="D5617" s="13"/>
      <c r="E5617" s="11"/>
      <c r="F5617" s="11"/>
      <c r="G5617" s="13">
        <f t="shared" si="1"/>
        <v>1281</v>
      </c>
      <c r="H5617" s="13"/>
    </row>
    <row r="5618" ht="22.5" customHeight="1">
      <c r="B5618" s="17"/>
      <c r="C5618" s="17"/>
      <c r="D5618" s="13"/>
      <c r="E5618" s="11"/>
      <c r="F5618" s="11"/>
      <c r="G5618" s="13">
        <f t="shared" si="1"/>
        <v>1281</v>
      </c>
      <c r="H5618" s="13"/>
    </row>
    <row r="5619" ht="22.5" customHeight="1">
      <c r="B5619" s="17"/>
      <c r="C5619" s="17"/>
      <c r="D5619" s="13"/>
      <c r="E5619" s="11"/>
      <c r="F5619" s="11"/>
      <c r="G5619" s="13">
        <f t="shared" si="1"/>
        <v>1281</v>
      </c>
      <c r="H5619" s="13"/>
    </row>
    <row r="5620" ht="22.5" customHeight="1">
      <c r="B5620" s="17"/>
      <c r="C5620" s="17"/>
      <c r="D5620" s="13"/>
      <c r="E5620" s="11"/>
      <c r="F5620" s="11"/>
      <c r="G5620" s="13">
        <f t="shared" si="1"/>
        <v>1281</v>
      </c>
      <c r="H5620" s="13"/>
    </row>
    <row r="5621" ht="22.5" customHeight="1">
      <c r="B5621" s="17"/>
      <c r="C5621" s="17"/>
      <c r="D5621" s="13"/>
      <c r="E5621" s="11"/>
      <c r="F5621" s="11"/>
      <c r="G5621" s="13">
        <f t="shared" si="1"/>
        <v>1281</v>
      </c>
      <c r="H5621" s="13"/>
    </row>
    <row r="5622" ht="22.5" customHeight="1">
      <c r="B5622" s="17"/>
      <c r="C5622" s="17"/>
      <c r="D5622" s="13"/>
      <c r="E5622" s="11"/>
      <c r="F5622" s="11"/>
      <c r="G5622" s="13">
        <f t="shared" si="1"/>
        <v>1281</v>
      </c>
      <c r="H5622" s="13"/>
    </row>
    <row r="5623" ht="22.5" customHeight="1">
      <c r="B5623" s="17"/>
      <c r="C5623" s="17"/>
      <c r="D5623" s="13"/>
      <c r="E5623" s="11"/>
      <c r="F5623" s="11"/>
      <c r="G5623" s="13">
        <f t="shared" si="1"/>
        <v>1281</v>
      </c>
      <c r="H5623" s="13"/>
    </row>
    <row r="5624" ht="22.5" customHeight="1">
      <c r="B5624" s="17"/>
      <c r="C5624" s="17"/>
      <c r="D5624" s="13"/>
      <c r="E5624" s="11"/>
      <c r="F5624" s="11"/>
      <c r="G5624" s="13">
        <f t="shared" si="1"/>
        <v>1281</v>
      </c>
      <c r="H5624" s="13"/>
    </row>
    <row r="5625" ht="22.5" customHeight="1">
      <c r="B5625" s="17"/>
      <c r="C5625" s="17"/>
      <c r="D5625" s="13"/>
      <c r="E5625" s="11"/>
      <c r="F5625" s="11"/>
      <c r="G5625" s="13">
        <f t="shared" si="1"/>
        <v>1281</v>
      </c>
      <c r="H5625" s="13"/>
    </row>
    <row r="5626" ht="22.5" customHeight="1">
      <c r="B5626" s="17"/>
      <c r="C5626" s="17"/>
      <c r="D5626" s="13"/>
      <c r="E5626" s="11"/>
      <c r="F5626" s="11"/>
      <c r="G5626" s="13">
        <f t="shared" si="1"/>
        <v>1281</v>
      </c>
      <c r="H5626" s="13"/>
    </row>
    <row r="5627" ht="22.5" customHeight="1">
      <c r="B5627" s="17"/>
      <c r="C5627" s="17"/>
      <c r="D5627" s="13"/>
      <c r="E5627" s="11"/>
      <c r="F5627" s="11"/>
      <c r="G5627" s="13">
        <f t="shared" si="1"/>
        <v>1281</v>
      </c>
      <c r="H5627" s="13"/>
    </row>
    <row r="5628" ht="22.5" customHeight="1">
      <c r="B5628" s="17"/>
      <c r="C5628" s="17"/>
      <c r="D5628" s="13"/>
      <c r="E5628" s="11"/>
      <c r="F5628" s="11"/>
      <c r="G5628" s="13">
        <f t="shared" si="1"/>
        <v>1281</v>
      </c>
      <c r="H5628" s="13"/>
    </row>
    <row r="5629" ht="22.5" customHeight="1">
      <c r="B5629" s="17"/>
      <c r="C5629" s="17"/>
      <c r="D5629" s="13"/>
      <c r="E5629" s="11"/>
      <c r="F5629" s="11"/>
      <c r="G5629" s="13">
        <f t="shared" si="1"/>
        <v>1281</v>
      </c>
      <c r="H5629" s="13"/>
    </row>
    <row r="5630" ht="22.5" customHeight="1">
      <c r="B5630" s="17"/>
      <c r="C5630" s="17"/>
      <c r="D5630" s="13"/>
      <c r="E5630" s="11"/>
      <c r="F5630" s="11"/>
      <c r="G5630" s="13">
        <f t="shared" si="1"/>
        <v>1281</v>
      </c>
      <c r="H5630" s="13"/>
    </row>
    <row r="5631" ht="22.5" customHeight="1">
      <c r="B5631" s="17"/>
      <c r="C5631" s="17"/>
      <c r="D5631" s="13"/>
      <c r="E5631" s="11"/>
      <c r="F5631" s="11"/>
      <c r="G5631" s="13">
        <f t="shared" si="1"/>
        <v>1281</v>
      </c>
      <c r="H5631" s="13"/>
    </row>
    <row r="5632" ht="22.5" customHeight="1">
      <c r="B5632" s="17"/>
      <c r="C5632" s="17"/>
      <c r="D5632" s="13"/>
      <c r="E5632" s="11"/>
      <c r="F5632" s="11"/>
      <c r="G5632" s="13">
        <f t="shared" si="1"/>
        <v>1281</v>
      </c>
      <c r="H5632" s="13"/>
    </row>
    <row r="5633" ht="22.5" customHeight="1">
      <c r="B5633" s="17"/>
      <c r="C5633" s="17"/>
      <c r="D5633" s="13"/>
      <c r="E5633" s="11"/>
      <c r="F5633" s="11"/>
      <c r="G5633" s="13">
        <f t="shared" si="1"/>
        <v>1281</v>
      </c>
      <c r="H5633" s="13"/>
    </row>
    <row r="5634" ht="22.5" customHeight="1">
      <c r="B5634" s="17"/>
      <c r="C5634" s="17"/>
      <c r="D5634" s="13"/>
      <c r="E5634" s="11"/>
      <c r="F5634" s="11"/>
      <c r="G5634" s="13">
        <f t="shared" si="1"/>
        <v>1281</v>
      </c>
      <c r="H5634" s="13"/>
    </row>
    <row r="5635" ht="22.5" customHeight="1">
      <c r="B5635" s="17"/>
      <c r="C5635" s="17"/>
      <c r="D5635" s="13"/>
      <c r="E5635" s="11"/>
      <c r="F5635" s="11"/>
      <c r="G5635" s="13">
        <f t="shared" si="1"/>
        <v>1281</v>
      </c>
      <c r="H5635" s="13"/>
    </row>
    <row r="5636" ht="22.5" customHeight="1">
      <c r="B5636" s="17"/>
      <c r="C5636" s="17"/>
      <c r="D5636" s="13"/>
      <c r="E5636" s="11"/>
      <c r="F5636" s="11"/>
      <c r="G5636" s="13">
        <f t="shared" si="1"/>
        <v>1281</v>
      </c>
      <c r="H5636" s="13"/>
    </row>
    <row r="5637" ht="22.5" customHeight="1">
      <c r="B5637" s="17"/>
      <c r="C5637" s="17"/>
      <c r="D5637" s="13"/>
      <c r="E5637" s="11"/>
      <c r="F5637" s="11"/>
      <c r="G5637" s="13">
        <f t="shared" si="1"/>
        <v>1281</v>
      </c>
      <c r="H5637" s="13"/>
    </row>
    <row r="5638" ht="22.5" customHeight="1">
      <c r="B5638" s="17"/>
      <c r="C5638" s="17"/>
      <c r="D5638" s="13"/>
      <c r="E5638" s="11"/>
      <c r="F5638" s="11"/>
      <c r="G5638" s="13">
        <f t="shared" si="1"/>
        <v>1281</v>
      </c>
      <c r="H5638" s="13"/>
    </row>
    <row r="5639" ht="22.5" customHeight="1">
      <c r="B5639" s="17"/>
      <c r="C5639" s="17"/>
      <c r="D5639" s="13"/>
      <c r="E5639" s="11"/>
      <c r="F5639" s="11"/>
      <c r="G5639" s="13">
        <f t="shared" si="1"/>
        <v>1281</v>
      </c>
      <c r="H5639" s="13"/>
    </row>
    <row r="5640" ht="22.5" customHeight="1">
      <c r="B5640" s="17"/>
      <c r="C5640" s="17"/>
      <c r="D5640" s="13"/>
      <c r="E5640" s="11"/>
      <c r="F5640" s="11"/>
      <c r="G5640" s="13">
        <f t="shared" si="1"/>
        <v>1281</v>
      </c>
      <c r="H5640" s="13"/>
    </row>
    <row r="5641" ht="22.5" customHeight="1">
      <c r="B5641" s="17"/>
      <c r="C5641" s="17"/>
      <c r="D5641" s="13"/>
      <c r="E5641" s="11"/>
      <c r="F5641" s="11"/>
      <c r="G5641" s="13">
        <f t="shared" si="1"/>
        <v>1281</v>
      </c>
      <c r="H5641" s="13"/>
    </row>
    <row r="5642" ht="22.5" customHeight="1">
      <c r="B5642" s="17"/>
      <c r="C5642" s="17"/>
      <c r="D5642" s="13"/>
      <c r="E5642" s="11"/>
      <c r="F5642" s="11"/>
      <c r="G5642" s="13">
        <f t="shared" si="1"/>
        <v>1281</v>
      </c>
      <c r="H5642" s="13"/>
    </row>
    <row r="5643" ht="22.5" customHeight="1">
      <c r="B5643" s="17"/>
      <c r="C5643" s="17"/>
      <c r="D5643" s="13"/>
      <c r="E5643" s="11"/>
      <c r="F5643" s="11"/>
      <c r="G5643" s="13">
        <f t="shared" si="1"/>
        <v>1281</v>
      </c>
      <c r="H5643" s="13"/>
    </row>
    <row r="5644" ht="22.5" customHeight="1">
      <c r="B5644" s="17"/>
      <c r="C5644" s="17"/>
      <c r="D5644" s="13"/>
      <c r="E5644" s="11"/>
      <c r="F5644" s="11"/>
      <c r="G5644" s="13">
        <f t="shared" si="1"/>
        <v>1281</v>
      </c>
      <c r="H5644" s="13"/>
    </row>
    <row r="5645" ht="22.5" customHeight="1">
      <c r="B5645" s="17"/>
      <c r="C5645" s="17"/>
      <c r="D5645" s="13"/>
      <c r="E5645" s="11"/>
      <c r="F5645" s="11"/>
      <c r="G5645" s="13">
        <f t="shared" si="1"/>
        <v>1281</v>
      </c>
      <c r="H5645" s="13"/>
    </row>
    <row r="5646" ht="22.5" customHeight="1">
      <c r="B5646" s="17"/>
      <c r="C5646" s="17"/>
      <c r="D5646" s="13"/>
      <c r="E5646" s="11"/>
      <c r="F5646" s="11"/>
      <c r="G5646" s="13">
        <f t="shared" si="1"/>
        <v>1281</v>
      </c>
      <c r="H5646" s="13"/>
    </row>
    <row r="5647" ht="22.5" customHeight="1">
      <c r="B5647" s="17"/>
      <c r="C5647" s="17"/>
      <c r="D5647" s="13"/>
      <c r="E5647" s="11"/>
      <c r="F5647" s="11"/>
      <c r="G5647" s="13">
        <f t="shared" si="1"/>
        <v>1281</v>
      </c>
      <c r="H5647" s="13"/>
    </row>
    <row r="5648" ht="22.5" customHeight="1">
      <c r="B5648" s="17"/>
      <c r="C5648" s="17"/>
      <c r="D5648" s="13"/>
      <c r="E5648" s="11"/>
      <c r="F5648" s="11"/>
      <c r="G5648" s="13">
        <f t="shared" si="1"/>
        <v>1281</v>
      </c>
      <c r="H5648" s="13"/>
    </row>
    <row r="5649" ht="22.5" customHeight="1">
      <c r="B5649" s="17"/>
      <c r="C5649" s="17"/>
      <c r="D5649" s="13"/>
      <c r="E5649" s="11"/>
      <c r="F5649" s="11"/>
      <c r="G5649" s="13">
        <f t="shared" si="1"/>
        <v>1281</v>
      </c>
      <c r="H5649" s="13"/>
    </row>
    <row r="5650" ht="22.5" customHeight="1">
      <c r="B5650" s="17"/>
      <c r="C5650" s="17"/>
      <c r="D5650" s="13"/>
      <c r="E5650" s="11"/>
      <c r="F5650" s="11"/>
      <c r="G5650" s="13">
        <f t="shared" si="1"/>
        <v>1281</v>
      </c>
      <c r="H5650" s="13"/>
    </row>
    <row r="5651" ht="22.5" customHeight="1">
      <c r="B5651" s="17"/>
      <c r="C5651" s="17"/>
      <c r="D5651" s="13"/>
      <c r="E5651" s="11"/>
      <c r="F5651" s="11"/>
      <c r="G5651" s="13">
        <f t="shared" si="1"/>
        <v>1281</v>
      </c>
      <c r="H5651" s="13"/>
    </row>
    <row r="5652" ht="22.5" customHeight="1">
      <c r="B5652" s="17"/>
      <c r="C5652" s="17"/>
      <c r="D5652" s="13"/>
      <c r="E5652" s="11"/>
      <c r="F5652" s="11"/>
      <c r="G5652" s="13">
        <f t="shared" si="1"/>
        <v>1281</v>
      </c>
      <c r="H5652" s="13"/>
    </row>
    <row r="5653" ht="22.5" customHeight="1">
      <c r="B5653" s="17"/>
      <c r="C5653" s="17"/>
      <c r="D5653" s="13"/>
      <c r="E5653" s="11"/>
      <c r="F5653" s="11"/>
      <c r="G5653" s="13">
        <f t="shared" si="1"/>
        <v>1281</v>
      </c>
      <c r="H5653" s="13"/>
    </row>
    <row r="5654" ht="22.5" customHeight="1">
      <c r="B5654" s="17"/>
      <c r="C5654" s="17"/>
      <c r="D5654" s="13"/>
      <c r="E5654" s="11"/>
      <c r="F5654" s="11"/>
      <c r="G5654" s="13">
        <f t="shared" si="1"/>
        <v>1281</v>
      </c>
      <c r="H5654" s="13"/>
    </row>
    <row r="5655" ht="22.5" customHeight="1">
      <c r="B5655" s="17"/>
      <c r="C5655" s="17"/>
      <c r="D5655" s="13"/>
      <c r="E5655" s="11"/>
      <c r="F5655" s="11"/>
      <c r="G5655" s="13">
        <f t="shared" si="1"/>
        <v>1281</v>
      </c>
      <c r="H5655" s="13"/>
    </row>
    <row r="5656" ht="22.5" customHeight="1">
      <c r="B5656" s="17"/>
      <c r="C5656" s="17"/>
      <c r="D5656" s="13"/>
      <c r="E5656" s="11"/>
      <c r="F5656" s="11"/>
      <c r="G5656" s="13">
        <f t="shared" si="1"/>
        <v>1281</v>
      </c>
      <c r="H5656" s="13"/>
    </row>
    <row r="5657" ht="22.5" customHeight="1">
      <c r="B5657" s="17"/>
      <c r="C5657" s="17"/>
      <c r="D5657" s="13"/>
      <c r="E5657" s="11"/>
      <c r="F5657" s="11"/>
      <c r="G5657" s="13">
        <f t="shared" si="1"/>
        <v>1281</v>
      </c>
      <c r="H5657" s="13"/>
    </row>
    <row r="5658" ht="22.5" customHeight="1">
      <c r="B5658" s="17"/>
      <c r="C5658" s="17"/>
      <c r="D5658" s="13"/>
      <c r="E5658" s="11"/>
      <c r="F5658" s="11"/>
      <c r="G5658" s="13">
        <f t="shared" si="1"/>
        <v>1281</v>
      </c>
      <c r="H5658" s="13"/>
    </row>
    <row r="5659" ht="22.5" customHeight="1">
      <c r="B5659" s="17"/>
      <c r="C5659" s="17"/>
      <c r="D5659" s="13"/>
      <c r="E5659" s="11"/>
      <c r="F5659" s="11"/>
      <c r="G5659" s="13">
        <f t="shared" si="1"/>
        <v>1281</v>
      </c>
      <c r="H5659" s="13"/>
    </row>
    <row r="5660" ht="22.5" customHeight="1">
      <c r="B5660" s="17"/>
      <c r="C5660" s="17"/>
      <c r="D5660" s="13"/>
      <c r="E5660" s="11"/>
      <c r="F5660" s="11"/>
      <c r="G5660" s="13">
        <f t="shared" si="1"/>
        <v>1281</v>
      </c>
      <c r="H5660" s="13"/>
    </row>
    <row r="5661" ht="22.5" customHeight="1">
      <c r="B5661" s="17"/>
      <c r="C5661" s="17"/>
      <c r="D5661" s="13"/>
      <c r="E5661" s="11"/>
      <c r="F5661" s="11"/>
      <c r="G5661" s="13">
        <f t="shared" si="1"/>
        <v>1281</v>
      </c>
      <c r="H5661" s="13"/>
    </row>
    <row r="5662" ht="22.5" customHeight="1">
      <c r="B5662" s="17"/>
      <c r="C5662" s="17"/>
      <c r="D5662" s="13"/>
      <c r="E5662" s="11"/>
      <c r="F5662" s="11"/>
      <c r="G5662" s="13">
        <f t="shared" si="1"/>
        <v>1281</v>
      </c>
      <c r="H5662" s="13"/>
    </row>
    <row r="5663" ht="22.5" customHeight="1">
      <c r="B5663" s="17"/>
      <c r="C5663" s="17"/>
      <c r="D5663" s="13"/>
      <c r="E5663" s="11"/>
      <c r="F5663" s="11"/>
      <c r="G5663" s="13">
        <f t="shared" si="1"/>
        <v>1281</v>
      </c>
      <c r="H5663" s="13"/>
    </row>
    <row r="5664" ht="22.5" customHeight="1">
      <c r="B5664" s="17"/>
      <c r="C5664" s="17"/>
      <c r="D5664" s="13"/>
      <c r="E5664" s="11"/>
      <c r="F5664" s="11"/>
      <c r="G5664" s="13">
        <f t="shared" si="1"/>
        <v>1281</v>
      </c>
      <c r="H5664" s="13"/>
    </row>
    <row r="5665" ht="22.5" customHeight="1">
      <c r="B5665" s="17"/>
      <c r="C5665" s="17"/>
      <c r="D5665" s="13"/>
      <c r="E5665" s="11"/>
      <c r="F5665" s="11"/>
      <c r="G5665" s="13">
        <f t="shared" si="1"/>
        <v>1281</v>
      </c>
      <c r="H5665" s="13"/>
    </row>
    <row r="5666" ht="22.5" customHeight="1">
      <c r="B5666" s="17"/>
      <c r="C5666" s="17"/>
      <c r="D5666" s="13"/>
      <c r="E5666" s="11"/>
      <c r="F5666" s="11"/>
      <c r="G5666" s="13">
        <f t="shared" si="1"/>
        <v>1281</v>
      </c>
      <c r="H5666" s="13"/>
    </row>
    <row r="5667" ht="22.5" customHeight="1">
      <c r="B5667" s="17"/>
      <c r="C5667" s="17"/>
      <c r="D5667" s="13"/>
      <c r="E5667" s="11"/>
      <c r="F5667" s="11"/>
      <c r="G5667" s="13">
        <f t="shared" si="1"/>
        <v>1281</v>
      </c>
      <c r="H5667" s="13"/>
    </row>
    <row r="5668" ht="22.5" customHeight="1">
      <c r="B5668" s="17"/>
      <c r="C5668" s="17"/>
      <c r="D5668" s="13"/>
      <c r="E5668" s="11"/>
      <c r="F5668" s="11"/>
      <c r="G5668" s="13">
        <f t="shared" si="1"/>
        <v>1281</v>
      </c>
      <c r="H5668" s="13"/>
    </row>
    <row r="5669" ht="22.5" customHeight="1">
      <c r="B5669" s="17"/>
      <c r="C5669" s="17"/>
      <c r="D5669" s="13"/>
      <c r="E5669" s="11"/>
      <c r="F5669" s="11"/>
      <c r="G5669" s="13">
        <f t="shared" si="1"/>
        <v>1281</v>
      </c>
      <c r="H5669" s="13"/>
    </row>
    <row r="5670" ht="22.5" customHeight="1">
      <c r="B5670" s="17"/>
      <c r="C5670" s="17"/>
      <c r="D5670" s="13"/>
      <c r="E5670" s="11"/>
      <c r="F5670" s="11"/>
      <c r="G5670" s="13">
        <f t="shared" si="1"/>
        <v>1281</v>
      </c>
      <c r="H5670" s="13"/>
    </row>
    <row r="5671" ht="22.5" customHeight="1">
      <c r="B5671" s="17"/>
      <c r="C5671" s="17"/>
      <c r="D5671" s="13"/>
      <c r="E5671" s="11"/>
      <c r="F5671" s="11"/>
      <c r="G5671" s="13">
        <f t="shared" si="1"/>
        <v>1281</v>
      </c>
      <c r="H5671" s="13"/>
    </row>
    <row r="5672" ht="22.5" customHeight="1">
      <c r="B5672" s="17"/>
      <c r="C5672" s="17"/>
      <c r="D5672" s="13"/>
      <c r="E5672" s="11"/>
      <c r="F5672" s="11"/>
      <c r="G5672" s="13">
        <f t="shared" si="1"/>
        <v>1281</v>
      </c>
      <c r="H5672" s="13"/>
    </row>
    <row r="5673" ht="22.5" customHeight="1">
      <c r="B5673" s="17"/>
      <c r="C5673" s="17"/>
      <c r="D5673" s="13"/>
      <c r="E5673" s="11"/>
      <c r="F5673" s="11"/>
      <c r="G5673" s="13">
        <f t="shared" si="1"/>
        <v>1281</v>
      </c>
      <c r="H5673" s="13"/>
    </row>
    <row r="5674" ht="22.5" customHeight="1">
      <c r="B5674" s="17"/>
      <c r="C5674" s="17"/>
      <c r="D5674" s="13"/>
      <c r="E5674" s="11"/>
      <c r="F5674" s="11"/>
      <c r="G5674" s="13">
        <f t="shared" si="1"/>
        <v>1281</v>
      </c>
      <c r="H5674" s="13"/>
    </row>
    <row r="5675" ht="22.5" customHeight="1">
      <c r="B5675" s="17"/>
      <c r="C5675" s="17"/>
      <c r="D5675" s="13"/>
      <c r="E5675" s="11"/>
      <c r="F5675" s="11"/>
      <c r="G5675" s="13">
        <f t="shared" si="1"/>
        <v>1281</v>
      </c>
      <c r="H5675" s="13"/>
    </row>
    <row r="5676" ht="22.5" customHeight="1">
      <c r="B5676" s="17"/>
      <c r="C5676" s="17"/>
      <c r="D5676" s="13"/>
      <c r="E5676" s="11"/>
      <c r="F5676" s="11"/>
      <c r="G5676" s="13">
        <f t="shared" si="1"/>
        <v>1281</v>
      </c>
      <c r="H5676" s="13"/>
    </row>
    <row r="5677" ht="22.5" customHeight="1">
      <c r="B5677" s="17"/>
      <c r="C5677" s="17"/>
      <c r="D5677" s="13"/>
      <c r="E5677" s="11"/>
      <c r="F5677" s="11"/>
      <c r="G5677" s="13">
        <f t="shared" si="1"/>
        <v>1281</v>
      </c>
      <c r="H5677" s="13"/>
    </row>
    <row r="5678" ht="22.5" customHeight="1">
      <c r="B5678" s="17"/>
      <c r="C5678" s="17"/>
      <c r="D5678" s="13"/>
      <c r="E5678" s="11"/>
      <c r="F5678" s="11"/>
      <c r="G5678" s="13">
        <f t="shared" si="1"/>
        <v>1281</v>
      </c>
      <c r="H5678" s="13"/>
    </row>
    <row r="5679" ht="22.5" customHeight="1">
      <c r="B5679" s="17"/>
      <c r="C5679" s="17"/>
      <c r="D5679" s="13"/>
      <c r="E5679" s="11"/>
      <c r="F5679" s="11"/>
      <c r="G5679" s="13">
        <f t="shared" si="1"/>
        <v>1281</v>
      </c>
      <c r="H5679" s="13"/>
    </row>
    <row r="5680" ht="22.5" customHeight="1">
      <c r="B5680" s="17"/>
      <c r="C5680" s="17"/>
      <c r="D5680" s="13"/>
      <c r="E5680" s="11"/>
      <c r="F5680" s="11"/>
      <c r="G5680" s="13">
        <f t="shared" si="1"/>
        <v>1281</v>
      </c>
      <c r="H5680" s="13"/>
    </row>
    <row r="5681" ht="22.5" customHeight="1">
      <c r="B5681" s="17"/>
      <c r="C5681" s="17"/>
      <c r="D5681" s="13"/>
      <c r="E5681" s="11"/>
      <c r="F5681" s="11"/>
      <c r="G5681" s="13">
        <f t="shared" si="1"/>
        <v>1281</v>
      </c>
      <c r="H5681" s="13"/>
    </row>
    <row r="5682" ht="22.5" customHeight="1">
      <c r="B5682" s="17"/>
      <c r="C5682" s="17"/>
      <c r="D5682" s="13"/>
      <c r="E5682" s="11"/>
      <c r="F5682" s="11"/>
      <c r="G5682" s="13">
        <f t="shared" si="1"/>
        <v>1281</v>
      </c>
      <c r="H5682" s="13"/>
    </row>
    <row r="5683" ht="22.5" customHeight="1">
      <c r="B5683" s="17"/>
      <c r="C5683" s="17"/>
      <c r="D5683" s="13"/>
      <c r="E5683" s="11"/>
      <c r="F5683" s="11"/>
      <c r="G5683" s="13">
        <f t="shared" si="1"/>
        <v>1281</v>
      </c>
      <c r="H5683" s="13"/>
    </row>
    <row r="5684" ht="22.5" customHeight="1">
      <c r="B5684" s="17"/>
      <c r="C5684" s="17"/>
      <c r="D5684" s="13"/>
      <c r="E5684" s="11"/>
      <c r="F5684" s="11"/>
      <c r="G5684" s="13">
        <f t="shared" si="1"/>
        <v>1281</v>
      </c>
      <c r="H5684" s="13"/>
    </row>
    <row r="5685" ht="22.5" customHeight="1">
      <c r="B5685" s="17"/>
      <c r="C5685" s="17"/>
      <c r="D5685" s="13"/>
      <c r="E5685" s="11"/>
      <c r="F5685" s="11"/>
      <c r="G5685" s="13">
        <f t="shared" si="1"/>
        <v>1281</v>
      </c>
      <c r="H5685" s="13"/>
    </row>
    <row r="5686" ht="22.5" customHeight="1">
      <c r="B5686" s="17"/>
      <c r="C5686" s="17"/>
      <c r="D5686" s="13"/>
      <c r="E5686" s="11"/>
      <c r="F5686" s="11"/>
      <c r="G5686" s="13">
        <f t="shared" si="1"/>
        <v>1281</v>
      </c>
      <c r="H5686" s="13"/>
    </row>
    <row r="5687" ht="22.5" customHeight="1">
      <c r="B5687" s="17"/>
      <c r="C5687" s="17"/>
      <c r="D5687" s="13"/>
      <c r="E5687" s="11"/>
      <c r="F5687" s="11"/>
      <c r="G5687" s="13">
        <f t="shared" si="1"/>
        <v>1281</v>
      </c>
      <c r="H5687" s="13"/>
    </row>
    <row r="5688" ht="22.5" customHeight="1">
      <c r="B5688" s="17"/>
      <c r="C5688" s="17"/>
      <c r="D5688" s="13"/>
      <c r="E5688" s="11"/>
      <c r="F5688" s="11"/>
      <c r="G5688" s="13">
        <f t="shared" si="1"/>
        <v>1281</v>
      </c>
      <c r="H5688" s="13"/>
    </row>
    <row r="5689" ht="22.5" customHeight="1">
      <c r="B5689" s="17"/>
      <c r="C5689" s="17"/>
      <c r="D5689" s="13"/>
      <c r="E5689" s="11"/>
      <c r="F5689" s="11"/>
      <c r="G5689" s="13">
        <f t="shared" si="1"/>
        <v>1281</v>
      </c>
      <c r="H5689" s="13"/>
    </row>
    <row r="5690" ht="22.5" customHeight="1">
      <c r="B5690" s="17"/>
      <c r="C5690" s="17"/>
      <c r="D5690" s="13"/>
      <c r="E5690" s="11"/>
      <c r="F5690" s="11"/>
      <c r="G5690" s="13">
        <f t="shared" si="1"/>
        <v>1281</v>
      </c>
      <c r="H5690" s="13"/>
    </row>
    <row r="5691" ht="22.5" customHeight="1">
      <c r="B5691" s="17"/>
      <c r="C5691" s="17"/>
      <c r="D5691" s="13"/>
      <c r="E5691" s="11"/>
      <c r="F5691" s="11"/>
      <c r="G5691" s="13">
        <f t="shared" si="1"/>
        <v>1281</v>
      </c>
      <c r="H5691" s="13"/>
    </row>
    <row r="5692" ht="22.5" customHeight="1">
      <c r="B5692" s="17"/>
      <c r="C5692" s="17"/>
      <c r="D5692" s="13"/>
      <c r="E5692" s="11"/>
      <c r="F5692" s="11"/>
      <c r="G5692" s="13">
        <f t="shared" si="1"/>
        <v>1281</v>
      </c>
      <c r="H5692" s="13"/>
    </row>
    <row r="5693" ht="22.5" customHeight="1">
      <c r="B5693" s="17"/>
      <c r="C5693" s="17"/>
      <c r="D5693" s="13"/>
      <c r="E5693" s="11"/>
      <c r="F5693" s="11"/>
      <c r="G5693" s="13">
        <f t="shared" si="1"/>
        <v>1281</v>
      </c>
      <c r="H5693" s="13"/>
    </row>
    <row r="5694" ht="22.5" customHeight="1">
      <c r="B5694" s="17"/>
      <c r="C5694" s="17"/>
      <c r="D5694" s="13"/>
      <c r="E5694" s="11"/>
      <c r="F5694" s="11"/>
      <c r="G5694" s="13">
        <f t="shared" si="1"/>
        <v>1281</v>
      </c>
      <c r="H5694" s="13"/>
    </row>
    <row r="5695" ht="22.5" customHeight="1">
      <c r="B5695" s="17"/>
      <c r="C5695" s="17"/>
      <c r="D5695" s="13"/>
      <c r="E5695" s="11"/>
      <c r="F5695" s="11"/>
      <c r="G5695" s="13">
        <f t="shared" si="1"/>
        <v>1281</v>
      </c>
      <c r="H5695" s="13"/>
    </row>
    <row r="5696" ht="22.5" customHeight="1">
      <c r="B5696" s="17"/>
      <c r="C5696" s="17"/>
      <c r="D5696" s="13"/>
      <c r="E5696" s="11"/>
      <c r="F5696" s="11"/>
      <c r="G5696" s="13">
        <f t="shared" si="1"/>
        <v>1281</v>
      </c>
      <c r="H5696" s="13"/>
    </row>
    <row r="5697" ht="22.5" customHeight="1">
      <c r="B5697" s="17"/>
      <c r="C5697" s="17"/>
      <c r="D5697" s="13"/>
      <c r="E5697" s="11"/>
      <c r="F5697" s="11"/>
      <c r="G5697" s="13">
        <f t="shared" si="1"/>
        <v>1281</v>
      </c>
      <c r="H5697" s="13"/>
    </row>
    <row r="5698" ht="22.5" customHeight="1">
      <c r="B5698" s="17"/>
      <c r="C5698" s="17"/>
      <c r="D5698" s="13"/>
      <c r="E5698" s="11"/>
      <c r="F5698" s="11"/>
      <c r="G5698" s="13">
        <f t="shared" si="1"/>
        <v>1281</v>
      </c>
      <c r="H5698" s="13"/>
    </row>
    <row r="5699" ht="22.5" customHeight="1">
      <c r="B5699" s="17"/>
      <c r="C5699" s="17"/>
      <c r="D5699" s="13"/>
      <c r="E5699" s="11"/>
      <c r="F5699" s="11"/>
      <c r="G5699" s="13">
        <f t="shared" si="1"/>
        <v>1281</v>
      </c>
      <c r="H5699" s="13"/>
    </row>
    <row r="5700" ht="22.5" customHeight="1">
      <c r="B5700" s="17"/>
      <c r="C5700" s="17"/>
      <c r="D5700" s="13"/>
      <c r="E5700" s="11"/>
      <c r="F5700" s="11"/>
      <c r="G5700" s="13">
        <f t="shared" si="1"/>
        <v>1281</v>
      </c>
      <c r="H5700" s="13"/>
    </row>
    <row r="5701" ht="22.5" customHeight="1">
      <c r="B5701" s="17"/>
      <c r="C5701" s="17"/>
      <c r="D5701" s="13"/>
      <c r="E5701" s="11"/>
      <c r="F5701" s="11"/>
      <c r="G5701" s="13">
        <f t="shared" si="1"/>
        <v>1281</v>
      </c>
      <c r="H5701" s="13"/>
    </row>
    <row r="5702" ht="22.5" customHeight="1">
      <c r="B5702" s="17"/>
      <c r="C5702" s="17"/>
      <c r="D5702" s="13"/>
      <c r="E5702" s="11"/>
      <c r="F5702" s="11"/>
      <c r="G5702" s="13">
        <f t="shared" si="1"/>
        <v>1281</v>
      </c>
      <c r="H5702" s="13"/>
    </row>
    <row r="5703" ht="22.5" customHeight="1">
      <c r="B5703" s="17"/>
      <c r="C5703" s="17"/>
      <c r="D5703" s="13"/>
      <c r="E5703" s="11"/>
      <c r="F5703" s="11"/>
      <c r="G5703" s="13">
        <f t="shared" si="1"/>
        <v>1281</v>
      </c>
      <c r="H5703" s="13"/>
    </row>
    <row r="5704" ht="22.5" customHeight="1">
      <c r="B5704" s="17"/>
      <c r="C5704" s="17"/>
      <c r="D5704" s="13"/>
      <c r="E5704" s="11"/>
      <c r="F5704" s="11"/>
      <c r="G5704" s="13">
        <f t="shared" si="1"/>
        <v>1281</v>
      </c>
      <c r="H5704" s="13"/>
    </row>
    <row r="5705" ht="22.5" customHeight="1">
      <c r="B5705" s="17"/>
      <c r="C5705" s="17"/>
      <c r="D5705" s="13"/>
      <c r="E5705" s="11"/>
      <c r="F5705" s="11"/>
      <c r="G5705" s="13">
        <f t="shared" si="1"/>
        <v>1281</v>
      </c>
      <c r="H5705" s="13"/>
    </row>
    <row r="5706" ht="22.5" customHeight="1">
      <c r="B5706" s="17"/>
      <c r="C5706" s="17"/>
      <c r="D5706" s="13"/>
      <c r="E5706" s="11"/>
      <c r="F5706" s="11"/>
      <c r="G5706" s="13">
        <f t="shared" si="1"/>
        <v>1281</v>
      </c>
      <c r="H5706" s="13"/>
    </row>
    <row r="5707" ht="22.5" customHeight="1">
      <c r="B5707" s="17"/>
      <c r="C5707" s="17"/>
      <c r="D5707" s="13"/>
      <c r="E5707" s="11"/>
      <c r="F5707" s="11"/>
      <c r="G5707" s="13">
        <f t="shared" si="1"/>
        <v>1281</v>
      </c>
      <c r="H5707" s="13"/>
    </row>
    <row r="5708" ht="22.5" customHeight="1">
      <c r="B5708" s="17"/>
      <c r="C5708" s="17"/>
      <c r="D5708" s="13"/>
      <c r="E5708" s="11"/>
      <c r="F5708" s="11"/>
      <c r="G5708" s="13">
        <f t="shared" si="1"/>
        <v>1281</v>
      </c>
      <c r="H5708" s="13"/>
    </row>
    <row r="5709" ht="22.5" customHeight="1">
      <c r="B5709" s="17"/>
      <c r="C5709" s="17"/>
      <c r="D5709" s="13"/>
      <c r="E5709" s="11"/>
      <c r="F5709" s="11"/>
      <c r="G5709" s="13">
        <f t="shared" si="1"/>
        <v>1281</v>
      </c>
      <c r="H5709" s="13"/>
    </row>
    <row r="5710" ht="22.5" customHeight="1">
      <c r="B5710" s="17"/>
      <c r="C5710" s="17"/>
      <c r="D5710" s="13"/>
      <c r="E5710" s="11"/>
      <c r="F5710" s="11"/>
      <c r="G5710" s="13">
        <f t="shared" si="1"/>
        <v>1281</v>
      </c>
      <c r="H5710" s="13"/>
    </row>
    <row r="5711" ht="22.5" customHeight="1">
      <c r="B5711" s="17"/>
      <c r="C5711" s="17"/>
      <c r="D5711" s="13"/>
      <c r="E5711" s="11"/>
      <c r="F5711" s="11"/>
      <c r="G5711" s="13">
        <f t="shared" si="1"/>
        <v>1281</v>
      </c>
      <c r="H5711" s="13"/>
    </row>
    <row r="5712" ht="22.5" customHeight="1">
      <c r="B5712" s="17"/>
      <c r="C5712" s="17"/>
      <c r="D5712" s="13"/>
      <c r="E5712" s="11"/>
      <c r="F5712" s="11"/>
      <c r="G5712" s="13">
        <f t="shared" si="1"/>
        <v>1281</v>
      </c>
      <c r="H5712" s="13"/>
    </row>
    <row r="5713" ht="22.5" customHeight="1">
      <c r="B5713" s="17"/>
      <c r="C5713" s="17"/>
      <c r="D5713" s="13"/>
      <c r="E5713" s="11"/>
      <c r="F5713" s="11"/>
      <c r="G5713" s="13">
        <f t="shared" si="1"/>
        <v>1281</v>
      </c>
      <c r="H5713" s="13"/>
    </row>
    <row r="5714" ht="22.5" customHeight="1">
      <c r="B5714" s="17"/>
      <c r="C5714" s="17"/>
      <c r="D5714" s="13"/>
      <c r="E5714" s="11"/>
      <c r="F5714" s="11"/>
      <c r="G5714" s="13">
        <f t="shared" si="1"/>
        <v>1281</v>
      </c>
      <c r="H5714" s="13"/>
    </row>
    <row r="5715" ht="22.5" customHeight="1">
      <c r="B5715" s="17"/>
      <c r="C5715" s="17"/>
      <c r="D5715" s="13"/>
      <c r="E5715" s="11"/>
      <c r="F5715" s="11"/>
      <c r="G5715" s="13">
        <f t="shared" si="1"/>
        <v>1281</v>
      </c>
      <c r="H5715" s="13"/>
    </row>
    <row r="5716" ht="22.5" customHeight="1">
      <c r="B5716" s="17"/>
      <c r="C5716" s="17"/>
      <c r="D5716" s="13"/>
      <c r="E5716" s="11"/>
      <c r="F5716" s="11"/>
      <c r="G5716" s="13">
        <f t="shared" si="1"/>
        <v>1281</v>
      </c>
      <c r="H5716" s="13"/>
    </row>
    <row r="5717" ht="22.5" customHeight="1">
      <c r="B5717" s="17"/>
      <c r="C5717" s="17"/>
      <c r="D5717" s="13"/>
      <c r="E5717" s="11"/>
      <c r="F5717" s="11"/>
      <c r="G5717" s="13">
        <f t="shared" si="1"/>
        <v>1281</v>
      </c>
      <c r="H5717" s="13"/>
    </row>
    <row r="5718" ht="22.5" customHeight="1">
      <c r="B5718" s="17"/>
      <c r="C5718" s="17"/>
      <c r="D5718" s="13"/>
      <c r="E5718" s="11"/>
      <c r="F5718" s="11"/>
      <c r="G5718" s="13">
        <f t="shared" si="1"/>
        <v>1281</v>
      </c>
      <c r="H5718" s="13"/>
    </row>
    <row r="5719" ht="22.5" customHeight="1">
      <c r="B5719" s="17"/>
      <c r="C5719" s="17"/>
      <c r="D5719" s="13"/>
      <c r="E5719" s="11"/>
      <c r="F5719" s="11"/>
      <c r="G5719" s="13">
        <f t="shared" si="1"/>
        <v>1281</v>
      </c>
      <c r="H5719" s="13"/>
    </row>
    <row r="5720" ht="22.5" customHeight="1">
      <c r="B5720" s="17"/>
      <c r="C5720" s="17"/>
      <c r="D5720" s="13"/>
      <c r="E5720" s="11"/>
      <c r="F5720" s="11"/>
      <c r="G5720" s="13">
        <f t="shared" si="1"/>
        <v>1281</v>
      </c>
      <c r="H5720" s="13"/>
    </row>
    <row r="5721" ht="22.5" customHeight="1">
      <c r="B5721" s="17"/>
      <c r="C5721" s="17"/>
      <c r="D5721" s="13"/>
      <c r="E5721" s="11"/>
      <c r="F5721" s="11"/>
      <c r="G5721" s="13">
        <f t="shared" si="1"/>
        <v>1281</v>
      </c>
      <c r="H5721" s="13"/>
    </row>
    <row r="5722" ht="22.5" customHeight="1">
      <c r="B5722" s="17"/>
      <c r="C5722" s="17"/>
      <c r="D5722" s="13"/>
      <c r="E5722" s="11"/>
      <c r="F5722" s="11"/>
      <c r="G5722" s="13">
        <f t="shared" si="1"/>
        <v>1281</v>
      </c>
      <c r="H5722" s="13"/>
    </row>
    <row r="5723" ht="22.5" customHeight="1">
      <c r="B5723" s="17"/>
      <c r="C5723" s="17"/>
      <c r="D5723" s="13"/>
      <c r="E5723" s="11"/>
      <c r="F5723" s="11"/>
      <c r="G5723" s="13">
        <f t="shared" si="1"/>
        <v>1281</v>
      </c>
      <c r="H5723" s="13"/>
    </row>
    <row r="5724" ht="22.5" customHeight="1">
      <c r="B5724" s="17"/>
      <c r="C5724" s="17"/>
      <c r="D5724" s="13"/>
      <c r="E5724" s="11"/>
      <c r="F5724" s="11"/>
      <c r="G5724" s="13">
        <f t="shared" si="1"/>
        <v>1281</v>
      </c>
      <c r="H5724" s="13"/>
    </row>
    <row r="5725" ht="22.5" customHeight="1">
      <c r="B5725" s="17"/>
      <c r="C5725" s="17"/>
      <c r="D5725" s="13"/>
      <c r="E5725" s="11"/>
      <c r="F5725" s="11"/>
      <c r="G5725" s="13">
        <f t="shared" si="1"/>
        <v>1281</v>
      </c>
      <c r="H5725" s="13"/>
    </row>
    <row r="5726" ht="22.5" customHeight="1">
      <c r="B5726" s="17"/>
      <c r="C5726" s="17"/>
      <c r="D5726" s="13"/>
      <c r="E5726" s="11"/>
      <c r="F5726" s="11"/>
      <c r="G5726" s="13">
        <f t="shared" si="1"/>
        <v>1281</v>
      </c>
      <c r="H5726" s="13"/>
    </row>
    <row r="5727" ht="22.5" customHeight="1">
      <c r="B5727" s="17"/>
      <c r="C5727" s="17"/>
      <c r="D5727" s="13"/>
      <c r="E5727" s="11"/>
      <c r="F5727" s="11"/>
      <c r="G5727" s="13">
        <f t="shared" si="1"/>
        <v>1281</v>
      </c>
      <c r="H5727" s="13"/>
    </row>
    <row r="5728" ht="22.5" customHeight="1">
      <c r="B5728" s="17"/>
      <c r="C5728" s="17"/>
      <c r="D5728" s="13"/>
      <c r="E5728" s="11"/>
      <c r="F5728" s="11"/>
      <c r="G5728" s="13">
        <f t="shared" si="1"/>
        <v>1281</v>
      </c>
      <c r="H5728" s="13"/>
    </row>
    <row r="5729" ht="22.5" customHeight="1">
      <c r="B5729" s="17"/>
      <c r="C5729" s="17"/>
      <c r="D5729" s="13"/>
      <c r="E5729" s="11"/>
      <c r="F5729" s="11"/>
      <c r="G5729" s="13">
        <f t="shared" si="1"/>
        <v>1281</v>
      </c>
      <c r="H5729" s="13"/>
    </row>
    <row r="5730" ht="22.5" customHeight="1">
      <c r="B5730" s="17"/>
      <c r="C5730" s="17"/>
      <c r="D5730" s="13"/>
      <c r="E5730" s="11"/>
      <c r="F5730" s="11"/>
      <c r="G5730" s="13">
        <f t="shared" si="1"/>
        <v>1281</v>
      </c>
      <c r="H5730" s="13"/>
    </row>
    <row r="5731" ht="22.5" customHeight="1">
      <c r="B5731" s="17"/>
      <c r="C5731" s="17"/>
      <c r="D5731" s="13"/>
      <c r="E5731" s="11"/>
      <c r="F5731" s="11"/>
      <c r="G5731" s="13">
        <f t="shared" si="1"/>
        <v>1281</v>
      </c>
      <c r="H5731" s="13"/>
    </row>
    <row r="5732" ht="22.5" customHeight="1">
      <c r="B5732" s="17"/>
      <c r="C5732" s="17"/>
      <c r="D5732" s="13"/>
      <c r="E5732" s="11"/>
      <c r="F5732" s="11"/>
      <c r="G5732" s="13">
        <f t="shared" si="1"/>
        <v>1281</v>
      </c>
      <c r="H5732" s="13"/>
    </row>
    <row r="5733" ht="22.5" customHeight="1">
      <c r="B5733" s="17"/>
      <c r="C5733" s="17"/>
      <c r="D5733" s="13"/>
      <c r="E5733" s="11"/>
      <c r="F5733" s="11"/>
      <c r="G5733" s="13">
        <f t="shared" si="1"/>
        <v>1281</v>
      </c>
      <c r="H5733" s="13"/>
    </row>
    <row r="5734" ht="22.5" customHeight="1">
      <c r="B5734" s="17"/>
      <c r="C5734" s="17"/>
      <c r="D5734" s="13"/>
      <c r="E5734" s="11"/>
      <c r="F5734" s="11"/>
      <c r="G5734" s="13">
        <f t="shared" si="1"/>
        <v>1281</v>
      </c>
      <c r="H5734" s="13"/>
    </row>
    <row r="5735" ht="22.5" customHeight="1">
      <c r="B5735" s="17"/>
      <c r="C5735" s="17"/>
      <c r="D5735" s="13"/>
      <c r="E5735" s="11"/>
      <c r="F5735" s="11"/>
      <c r="G5735" s="13">
        <f t="shared" si="1"/>
        <v>1281</v>
      </c>
      <c r="H5735" s="13"/>
    </row>
    <row r="5736" ht="22.5" customHeight="1">
      <c r="B5736" s="17"/>
      <c r="C5736" s="17"/>
      <c r="D5736" s="13"/>
      <c r="E5736" s="11"/>
      <c r="F5736" s="11"/>
      <c r="G5736" s="13">
        <f t="shared" si="1"/>
        <v>1281</v>
      </c>
      <c r="H5736" s="13"/>
    </row>
    <row r="5737" ht="22.5" customHeight="1">
      <c r="B5737" s="17"/>
      <c r="C5737" s="17"/>
      <c r="D5737" s="13"/>
      <c r="E5737" s="11"/>
      <c r="F5737" s="11"/>
      <c r="G5737" s="13">
        <f t="shared" si="1"/>
        <v>1281</v>
      </c>
      <c r="H5737" s="13"/>
    </row>
    <row r="5738" ht="22.5" customHeight="1">
      <c r="B5738" s="17"/>
      <c r="C5738" s="17"/>
      <c r="D5738" s="13"/>
      <c r="E5738" s="11"/>
      <c r="F5738" s="11"/>
      <c r="G5738" s="13">
        <f t="shared" si="1"/>
        <v>1281</v>
      </c>
      <c r="H5738" s="13"/>
    </row>
    <row r="5739" ht="22.5" customHeight="1">
      <c r="B5739" s="17"/>
      <c r="C5739" s="17"/>
      <c r="D5739" s="13"/>
      <c r="E5739" s="11"/>
      <c r="F5739" s="11"/>
      <c r="G5739" s="13">
        <f t="shared" si="1"/>
        <v>1281</v>
      </c>
      <c r="H5739" s="13"/>
    </row>
    <row r="5740" ht="22.5" customHeight="1">
      <c r="B5740" s="17"/>
      <c r="C5740" s="17"/>
      <c r="D5740" s="13"/>
      <c r="E5740" s="11"/>
      <c r="F5740" s="11"/>
      <c r="G5740" s="13">
        <f t="shared" si="1"/>
        <v>1281</v>
      </c>
      <c r="H5740" s="13"/>
    </row>
    <row r="5741" ht="22.5" customHeight="1">
      <c r="B5741" s="17"/>
      <c r="C5741" s="17"/>
      <c r="D5741" s="13"/>
      <c r="E5741" s="11"/>
      <c r="F5741" s="11"/>
      <c r="G5741" s="13">
        <f t="shared" si="1"/>
        <v>1281</v>
      </c>
      <c r="H5741" s="13"/>
    </row>
    <row r="5742" ht="22.5" customHeight="1">
      <c r="B5742" s="17"/>
      <c r="C5742" s="17"/>
      <c r="D5742" s="13"/>
      <c r="E5742" s="11"/>
      <c r="F5742" s="11"/>
      <c r="G5742" s="13">
        <f t="shared" si="1"/>
        <v>1281</v>
      </c>
      <c r="H5742" s="13"/>
    </row>
    <row r="5743" ht="22.5" customHeight="1">
      <c r="B5743" s="17"/>
      <c r="C5743" s="17"/>
      <c r="D5743" s="13"/>
      <c r="E5743" s="11"/>
      <c r="F5743" s="11"/>
      <c r="G5743" s="13">
        <f t="shared" si="1"/>
        <v>1281</v>
      </c>
      <c r="H5743" s="13"/>
    </row>
    <row r="5744" ht="22.5" customHeight="1">
      <c r="B5744" s="17"/>
      <c r="C5744" s="17"/>
      <c r="D5744" s="13"/>
      <c r="E5744" s="11"/>
      <c r="F5744" s="11"/>
      <c r="G5744" s="13">
        <f t="shared" si="1"/>
        <v>1281</v>
      </c>
      <c r="H5744" s="13"/>
    </row>
    <row r="5745" ht="22.5" customHeight="1">
      <c r="B5745" s="17"/>
      <c r="C5745" s="17"/>
      <c r="D5745" s="13"/>
      <c r="E5745" s="11"/>
      <c r="F5745" s="11"/>
      <c r="G5745" s="13">
        <f t="shared" si="1"/>
        <v>1281</v>
      </c>
      <c r="H5745" s="13"/>
    </row>
    <row r="5746" ht="22.5" customHeight="1">
      <c r="B5746" s="17"/>
      <c r="C5746" s="17"/>
      <c r="D5746" s="13"/>
      <c r="E5746" s="11"/>
      <c r="F5746" s="11"/>
      <c r="G5746" s="13">
        <f t="shared" si="1"/>
        <v>1281</v>
      </c>
      <c r="H5746" s="13"/>
    </row>
    <row r="5747" ht="22.5" customHeight="1">
      <c r="B5747" s="17"/>
      <c r="C5747" s="17"/>
      <c r="D5747" s="13"/>
      <c r="E5747" s="11"/>
      <c r="F5747" s="11"/>
      <c r="G5747" s="13">
        <f t="shared" si="1"/>
        <v>1281</v>
      </c>
      <c r="H5747" s="13"/>
    </row>
    <row r="5748" ht="22.5" customHeight="1">
      <c r="B5748" s="17"/>
      <c r="C5748" s="17"/>
      <c r="D5748" s="13"/>
      <c r="E5748" s="11"/>
      <c r="F5748" s="11"/>
      <c r="G5748" s="13">
        <f t="shared" si="1"/>
        <v>1281</v>
      </c>
      <c r="H5748" s="13"/>
    </row>
    <row r="5749" ht="22.5" customHeight="1">
      <c r="B5749" s="17"/>
      <c r="C5749" s="17"/>
      <c r="D5749" s="13"/>
      <c r="E5749" s="11"/>
      <c r="F5749" s="11"/>
      <c r="G5749" s="13">
        <f t="shared" si="1"/>
        <v>1281</v>
      </c>
      <c r="H5749" s="13"/>
    </row>
    <row r="5750" ht="22.5" customHeight="1">
      <c r="B5750" s="17"/>
      <c r="C5750" s="17"/>
      <c r="D5750" s="13"/>
      <c r="E5750" s="11"/>
      <c r="F5750" s="11"/>
      <c r="G5750" s="13">
        <f t="shared" si="1"/>
        <v>1281</v>
      </c>
      <c r="H5750" s="13"/>
    </row>
    <row r="5751" ht="22.5" customHeight="1">
      <c r="B5751" s="17"/>
      <c r="C5751" s="17"/>
      <c r="D5751" s="13"/>
      <c r="E5751" s="11"/>
      <c r="F5751" s="11"/>
      <c r="G5751" s="13">
        <f t="shared" si="1"/>
        <v>1281</v>
      </c>
      <c r="H5751" s="13"/>
    </row>
    <row r="5752" ht="22.5" customHeight="1">
      <c r="B5752" s="17"/>
      <c r="C5752" s="17"/>
      <c r="D5752" s="13"/>
      <c r="E5752" s="11"/>
      <c r="F5752" s="11"/>
      <c r="G5752" s="13">
        <f t="shared" si="1"/>
        <v>1281</v>
      </c>
      <c r="H5752" s="13"/>
    </row>
    <row r="5753" ht="22.5" customHeight="1">
      <c r="B5753" s="17"/>
      <c r="C5753" s="17"/>
      <c r="D5753" s="13"/>
      <c r="E5753" s="11"/>
      <c r="F5753" s="11"/>
      <c r="G5753" s="13">
        <f t="shared" si="1"/>
        <v>1281</v>
      </c>
      <c r="H5753" s="13"/>
    </row>
    <row r="5754" ht="22.5" customHeight="1">
      <c r="B5754" s="17"/>
      <c r="C5754" s="17"/>
      <c r="D5754" s="13"/>
      <c r="E5754" s="11"/>
      <c r="F5754" s="11"/>
      <c r="G5754" s="13">
        <f t="shared" si="1"/>
        <v>1281</v>
      </c>
      <c r="H5754" s="13"/>
    </row>
    <row r="5755" ht="22.5" customHeight="1">
      <c r="B5755" s="17"/>
      <c r="C5755" s="17"/>
      <c r="D5755" s="13"/>
      <c r="E5755" s="11"/>
      <c r="F5755" s="11"/>
      <c r="G5755" s="13">
        <f t="shared" si="1"/>
        <v>1281</v>
      </c>
      <c r="H5755" s="13"/>
    </row>
    <row r="5756" ht="22.5" customHeight="1">
      <c r="B5756" s="17"/>
      <c r="C5756" s="17"/>
      <c r="D5756" s="13"/>
      <c r="E5756" s="11"/>
      <c r="F5756" s="11"/>
      <c r="G5756" s="13">
        <f t="shared" si="1"/>
        <v>1281</v>
      </c>
      <c r="H5756" s="13"/>
    </row>
    <row r="5757" ht="22.5" customHeight="1">
      <c r="B5757" s="17"/>
      <c r="C5757" s="17"/>
      <c r="D5757" s="13"/>
      <c r="E5757" s="11"/>
      <c r="F5757" s="11"/>
      <c r="G5757" s="13">
        <f t="shared" si="1"/>
        <v>1281</v>
      </c>
      <c r="H5757" s="13"/>
    </row>
    <row r="5758" ht="22.5" customHeight="1">
      <c r="B5758" s="17"/>
      <c r="C5758" s="17"/>
      <c r="D5758" s="13"/>
      <c r="E5758" s="11"/>
      <c r="F5758" s="11"/>
      <c r="G5758" s="13">
        <f t="shared" si="1"/>
        <v>1281</v>
      </c>
      <c r="H5758" s="13"/>
    </row>
    <row r="5759" ht="22.5" customHeight="1">
      <c r="B5759" s="17"/>
      <c r="C5759" s="17"/>
      <c r="D5759" s="13"/>
      <c r="E5759" s="11"/>
      <c r="F5759" s="11"/>
      <c r="G5759" s="13">
        <f t="shared" si="1"/>
        <v>1281</v>
      </c>
      <c r="H5759" s="13"/>
    </row>
    <row r="5760" ht="22.5" customHeight="1">
      <c r="B5760" s="17"/>
      <c r="C5760" s="17"/>
      <c r="D5760" s="13"/>
      <c r="E5760" s="11"/>
      <c r="F5760" s="11"/>
      <c r="G5760" s="13">
        <f t="shared" si="1"/>
        <v>1281</v>
      </c>
      <c r="H5760" s="13"/>
    </row>
    <row r="5761" ht="22.5" customHeight="1">
      <c r="B5761" s="17"/>
      <c r="C5761" s="17"/>
      <c r="D5761" s="13"/>
      <c r="E5761" s="11"/>
      <c r="F5761" s="11"/>
      <c r="G5761" s="13">
        <f t="shared" si="1"/>
        <v>1281</v>
      </c>
      <c r="H5761" s="13"/>
    </row>
    <row r="5762" ht="22.5" customHeight="1">
      <c r="B5762" s="17"/>
      <c r="C5762" s="17"/>
      <c r="D5762" s="13"/>
      <c r="E5762" s="11"/>
      <c r="F5762" s="11"/>
      <c r="G5762" s="13">
        <f t="shared" si="1"/>
        <v>1281</v>
      </c>
      <c r="H5762" s="13"/>
    </row>
    <row r="5763" ht="22.5" customHeight="1">
      <c r="B5763" s="17"/>
      <c r="C5763" s="17"/>
      <c r="D5763" s="13"/>
      <c r="E5763" s="11"/>
      <c r="F5763" s="11"/>
      <c r="G5763" s="13">
        <f t="shared" si="1"/>
        <v>1281</v>
      </c>
      <c r="H5763" s="13"/>
    </row>
    <row r="5764" ht="22.5" customHeight="1">
      <c r="B5764" s="17"/>
      <c r="C5764" s="17"/>
      <c r="D5764" s="13"/>
      <c r="E5764" s="11"/>
      <c r="F5764" s="11"/>
      <c r="G5764" s="13">
        <f t="shared" si="1"/>
        <v>1281</v>
      </c>
      <c r="H5764" s="13"/>
    </row>
    <row r="5765" ht="22.5" customHeight="1">
      <c r="B5765" s="17"/>
      <c r="C5765" s="17"/>
      <c r="D5765" s="13"/>
      <c r="E5765" s="11"/>
      <c r="F5765" s="11"/>
      <c r="G5765" s="13">
        <f t="shared" si="1"/>
        <v>1281</v>
      </c>
      <c r="H5765" s="13"/>
    </row>
    <row r="5766" ht="22.5" customHeight="1">
      <c r="B5766" s="17"/>
      <c r="C5766" s="17"/>
      <c r="D5766" s="13"/>
      <c r="E5766" s="11"/>
      <c r="F5766" s="11"/>
      <c r="G5766" s="13">
        <f t="shared" si="1"/>
        <v>1281</v>
      </c>
      <c r="H5766" s="13"/>
    </row>
    <row r="5767" ht="22.5" customHeight="1">
      <c r="B5767" s="17"/>
      <c r="C5767" s="17"/>
      <c r="D5767" s="13"/>
      <c r="E5767" s="11"/>
      <c r="F5767" s="11"/>
      <c r="G5767" s="13">
        <f t="shared" si="1"/>
        <v>1281</v>
      </c>
      <c r="H5767" s="13"/>
    </row>
    <row r="5768" ht="22.5" customHeight="1">
      <c r="B5768" s="17"/>
      <c r="C5768" s="17"/>
      <c r="D5768" s="13"/>
      <c r="E5768" s="11"/>
      <c r="F5768" s="11"/>
      <c r="G5768" s="13">
        <f t="shared" si="1"/>
        <v>1281</v>
      </c>
      <c r="H5768" s="13"/>
    </row>
    <row r="5769" ht="22.5" customHeight="1">
      <c r="B5769" s="17"/>
      <c r="C5769" s="17"/>
      <c r="D5769" s="13"/>
      <c r="E5769" s="11"/>
      <c r="F5769" s="11"/>
      <c r="G5769" s="13">
        <f t="shared" si="1"/>
        <v>1281</v>
      </c>
      <c r="H5769" s="13"/>
    </row>
    <row r="5770" ht="22.5" customHeight="1">
      <c r="B5770" s="17"/>
      <c r="C5770" s="17"/>
      <c r="D5770" s="13"/>
      <c r="E5770" s="11"/>
      <c r="F5770" s="11"/>
      <c r="G5770" s="13">
        <f t="shared" si="1"/>
        <v>1281</v>
      </c>
      <c r="H5770" s="13"/>
    </row>
    <row r="5771" ht="22.5" customHeight="1">
      <c r="B5771" s="17"/>
      <c r="C5771" s="17"/>
      <c r="D5771" s="13"/>
      <c r="E5771" s="11"/>
      <c r="F5771" s="11"/>
      <c r="G5771" s="13">
        <f t="shared" si="1"/>
        <v>1281</v>
      </c>
      <c r="H5771" s="13"/>
    </row>
    <row r="5772" ht="22.5" customHeight="1">
      <c r="B5772" s="17"/>
      <c r="C5772" s="17"/>
      <c r="D5772" s="13"/>
      <c r="E5772" s="11"/>
      <c r="F5772" s="11"/>
      <c r="G5772" s="13">
        <f t="shared" si="1"/>
        <v>1281</v>
      </c>
      <c r="H5772" s="13"/>
    </row>
    <row r="5773" ht="22.5" customHeight="1">
      <c r="B5773" s="17"/>
      <c r="C5773" s="17"/>
      <c r="D5773" s="13"/>
      <c r="E5773" s="11"/>
      <c r="F5773" s="11"/>
      <c r="G5773" s="13">
        <f t="shared" si="1"/>
        <v>1281</v>
      </c>
      <c r="H5773" s="13"/>
    </row>
    <row r="5774" ht="22.5" customHeight="1">
      <c r="B5774" s="17"/>
      <c r="C5774" s="17"/>
      <c r="D5774" s="13"/>
      <c r="E5774" s="11"/>
      <c r="F5774" s="11"/>
      <c r="G5774" s="13">
        <f t="shared" si="1"/>
        <v>1281</v>
      </c>
      <c r="H5774" s="13"/>
    </row>
    <row r="5775" ht="22.5" customHeight="1">
      <c r="B5775" s="17"/>
      <c r="C5775" s="17"/>
      <c r="D5775" s="13"/>
      <c r="E5775" s="11"/>
      <c r="F5775" s="11"/>
      <c r="G5775" s="13">
        <f t="shared" si="1"/>
        <v>1281</v>
      </c>
      <c r="H5775" s="13"/>
    </row>
    <row r="5776" ht="22.5" customHeight="1">
      <c r="B5776" s="17"/>
      <c r="C5776" s="17"/>
      <c r="D5776" s="13"/>
      <c r="E5776" s="11"/>
      <c r="F5776" s="11"/>
      <c r="G5776" s="13">
        <f t="shared" si="1"/>
        <v>1281</v>
      </c>
      <c r="H5776" s="13"/>
    </row>
    <row r="5777" ht="22.5" customHeight="1">
      <c r="B5777" s="17"/>
      <c r="C5777" s="17"/>
      <c r="D5777" s="13"/>
      <c r="E5777" s="11"/>
      <c r="F5777" s="11"/>
      <c r="G5777" s="13">
        <f t="shared" si="1"/>
        <v>1281</v>
      </c>
      <c r="H5777" s="13"/>
    </row>
    <row r="5778" ht="22.5" customHeight="1">
      <c r="B5778" s="17"/>
      <c r="C5778" s="17"/>
      <c r="D5778" s="13"/>
      <c r="E5778" s="11"/>
      <c r="F5778" s="11"/>
      <c r="G5778" s="13">
        <f t="shared" si="1"/>
        <v>1281</v>
      </c>
      <c r="H5778" s="13"/>
    </row>
    <row r="5779" ht="22.5" customHeight="1">
      <c r="B5779" s="17"/>
      <c r="C5779" s="17"/>
      <c r="D5779" s="13"/>
      <c r="E5779" s="11"/>
      <c r="F5779" s="11"/>
      <c r="G5779" s="13">
        <f t="shared" si="1"/>
        <v>1281</v>
      </c>
      <c r="H5779" s="13"/>
    </row>
    <row r="5780" ht="22.5" customHeight="1">
      <c r="B5780" s="17"/>
      <c r="C5780" s="17"/>
      <c r="D5780" s="13"/>
      <c r="E5780" s="11"/>
      <c r="F5780" s="11"/>
      <c r="G5780" s="13">
        <f t="shared" si="1"/>
        <v>1281</v>
      </c>
      <c r="H5780" s="13"/>
    </row>
    <row r="5781" ht="22.5" customHeight="1">
      <c r="B5781" s="17"/>
      <c r="C5781" s="17"/>
      <c r="D5781" s="13"/>
      <c r="E5781" s="11"/>
      <c r="F5781" s="11"/>
      <c r="G5781" s="13">
        <f t="shared" si="1"/>
        <v>1281</v>
      </c>
      <c r="H5781" s="13"/>
    </row>
    <row r="5782" ht="22.5" customHeight="1">
      <c r="B5782" s="17"/>
      <c r="C5782" s="17"/>
      <c r="D5782" s="13"/>
      <c r="E5782" s="11"/>
      <c r="F5782" s="11"/>
      <c r="G5782" s="13">
        <f t="shared" si="1"/>
        <v>1281</v>
      </c>
      <c r="H5782" s="13"/>
    </row>
    <row r="5783" ht="22.5" customHeight="1">
      <c r="B5783" s="17"/>
      <c r="C5783" s="17"/>
      <c r="D5783" s="13"/>
      <c r="E5783" s="11"/>
      <c r="F5783" s="11"/>
      <c r="G5783" s="13">
        <f t="shared" si="1"/>
        <v>1281</v>
      </c>
      <c r="H5783" s="13"/>
    </row>
    <row r="5784" ht="22.5" customHeight="1">
      <c r="B5784" s="17"/>
      <c r="C5784" s="17"/>
      <c r="D5784" s="13"/>
      <c r="E5784" s="11"/>
      <c r="F5784" s="11"/>
      <c r="G5784" s="13">
        <f t="shared" si="1"/>
        <v>1281</v>
      </c>
      <c r="H5784" s="13"/>
    </row>
    <row r="5785" ht="22.5" customHeight="1">
      <c r="B5785" s="17"/>
      <c r="C5785" s="17"/>
      <c r="D5785" s="13"/>
      <c r="E5785" s="11"/>
      <c r="F5785" s="11"/>
      <c r="G5785" s="13">
        <f t="shared" si="1"/>
        <v>1281</v>
      </c>
      <c r="H5785" s="13"/>
    </row>
    <row r="5786" ht="22.5" customHeight="1">
      <c r="B5786" s="17"/>
      <c r="C5786" s="17"/>
      <c r="D5786" s="13"/>
      <c r="E5786" s="11"/>
      <c r="F5786" s="11"/>
      <c r="G5786" s="13">
        <f t="shared" si="1"/>
        <v>1281</v>
      </c>
      <c r="H5786" s="13"/>
    </row>
    <row r="5787" ht="22.5" customHeight="1">
      <c r="B5787" s="17"/>
      <c r="C5787" s="17"/>
      <c r="D5787" s="13"/>
      <c r="E5787" s="11"/>
      <c r="F5787" s="11"/>
      <c r="G5787" s="13">
        <f t="shared" si="1"/>
        <v>1281</v>
      </c>
      <c r="H5787" s="13"/>
    </row>
    <row r="5788" ht="22.5" customHeight="1">
      <c r="B5788" s="17"/>
      <c r="C5788" s="17"/>
      <c r="D5788" s="13"/>
      <c r="E5788" s="11"/>
      <c r="F5788" s="11"/>
      <c r="G5788" s="13">
        <f t="shared" si="1"/>
        <v>1281</v>
      </c>
      <c r="H5788" s="13"/>
    </row>
    <row r="5789" ht="22.5" customHeight="1">
      <c r="B5789" s="17"/>
      <c r="C5789" s="17"/>
      <c r="D5789" s="13"/>
      <c r="E5789" s="11"/>
      <c r="F5789" s="11"/>
      <c r="G5789" s="13">
        <f t="shared" si="1"/>
        <v>1281</v>
      </c>
      <c r="H5789" s="13"/>
    </row>
    <row r="5790" ht="22.5" customHeight="1">
      <c r="B5790" s="17"/>
      <c r="C5790" s="17"/>
      <c r="D5790" s="13"/>
      <c r="E5790" s="11"/>
      <c r="F5790" s="11"/>
      <c r="G5790" s="13">
        <f t="shared" si="1"/>
        <v>1281</v>
      </c>
      <c r="H5790" s="13"/>
    </row>
    <row r="5791" ht="22.5" customHeight="1">
      <c r="B5791" s="17"/>
      <c r="C5791" s="17"/>
      <c r="D5791" s="13"/>
      <c r="E5791" s="11"/>
      <c r="F5791" s="11"/>
      <c r="G5791" s="13">
        <f t="shared" si="1"/>
        <v>1281</v>
      </c>
      <c r="H5791" s="13"/>
    </row>
    <row r="5792" ht="22.5" customHeight="1">
      <c r="B5792" s="17"/>
      <c r="C5792" s="17"/>
      <c r="D5792" s="13"/>
      <c r="E5792" s="11"/>
      <c r="F5792" s="11"/>
      <c r="G5792" s="13">
        <f t="shared" si="1"/>
        <v>1281</v>
      </c>
      <c r="H5792" s="13"/>
    </row>
    <row r="5793" ht="22.5" customHeight="1">
      <c r="B5793" s="17"/>
      <c r="C5793" s="17"/>
      <c r="D5793" s="13"/>
      <c r="E5793" s="11"/>
      <c r="F5793" s="11"/>
      <c r="G5793" s="13">
        <f t="shared" si="1"/>
        <v>1281</v>
      </c>
      <c r="H5793" s="13"/>
    </row>
    <row r="5794" ht="22.5" customHeight="1">
      <c r="B5794" s="17"/>
      <c r="C5794" s="17"/>
      <c r="D5794" s="13"/>
      <c r="E5794" s="11"/>
      <c r="F5794" s="11"/>
      <c r="G5794" s="13">
        <f t="shared" si="1"/>
        <v>1281</v>
      </c>
      <c r="H5794" s="13"/>
    </row>
    <row r="5795" ht="22.5" customHeight="1">
      <c r="B5795" s="17"/>
      <c r="C5795" s="17"/>
      <c r="D5795" s="13"/>
      <c r="E5795" s="11"/>
      <c r="F5795" s="11"/>
      <c r="G5795" s="13">
        <f t="shared" si="1"/>
        <v>1281</v>
      </c>
      <c r="H5795" s="13"/>
    </row>
    <row r="5796" ht="22.5" customHeight="1">
      <c r="B5796" s="17"/>
      <c r="C5796" s="17"/>
      <c r="D5796" s="13"/>
      <c r="E5796" s="11"/>
      <c r="F5796" s="11"/>
      <c r="G5796" s="13">
        <f t="shared" si="1"/>
        <v>1281</v>
      </c>
      <c r="H5796" s="13"/>
    </row>
    <row r="5797" ht="22.5" customHeight="1">
      <c r="B5797" s="17"/>
      <c r="C5797" s="17"/>
      <c r="D5797" s="13"/>
      <c r="E5797" s="11"/>
      <c r="F5797" s="11"/>
      <c r="G5797" s="13">
        <f t="shared" si="1"/>
        <v>1281</v>
      </c>
      <c r="H5797" s="13"/>
    </row>
    <row r="5798" ht="22.5" customHeight="1">
      <c r="B5798" s="17"/>
      <c r="C5798" s="17"/>
      <c r="D5798" s="13"/>
      <c r="E5798" s="11"/>
      <c r="F5798" s="11"/>
      <c r="G5798" s="13">
        <f t="shared" si="1"/>
        <v>1281</v>
      </c>
      <c r="H5798" s="13"/>
    </row>
    <row r="5799" ht="22.5" customHeight="1">
      <c r="B5799" s="17"/>
      <c r="C5799" s="17"/>
      <c r="D5799" s="13"/>
      <c r="E5799" s="11"/>
      <c r="F5799" s="11"/>
      <c r="G5799" s="13">
        <f t="shared" si="1"/>
        <v>1281</v>
      </c>
      <c r="H5799" s="13"/>
    </row>
    <row r="5800" ht="22.5" customHeight="1">
      <c r="B5800" s="17"/>
      <c r="C5800" s="17"/>
      <c r="D5800" s="13"/>
      <c r="E5800" s="11"/>
      <c r="F5800" s="11"/>
      <c r="G5800" s="13">
        <f t="shared" si="1"/>
        <v>1281</v>
      </c>
      <c r="H5800" s="13"/>
    </row>
    <row r="5801" ht="22.5" customHeight="1">
      <c r="B5801" s="17"/>
      <c r="C5801" s="17"/>
      <c r="D5801" s="13"/>
      <c r="E5801" s="11"/>
      <c r="F5801" s="11"/>
      <c r="G5801" s="13">
        <f t="shared" si="1"/>
        <v>1281</v>
      </c>
      <c r="H5801" s="13"/>
    </row>
    <row r="5802" ht="22.5" customHeight="1">
      <c r="B5802" s="17"/>
      <c r="C5802" s="17"/>
      <c r="D5802" s="13"/>
      <c r="E5802" s="11"/>
      <c r="F5802" s="11"/>
      <c r="G5802" s="13">
        <f t="shared" si="1"/>
        <v>1281</v>
      </c>
      <c r="H5802" s="13"/>
    </row>
    <row r="5803" ht="22.5" customHeight="1">
      <c r="B5803" s="17"/>
      <c r="C5803" s="17"/>
      <c r="D5803" s="13"/>
      <c r="E5803" s="11"/>
      <c r="F5803" s="11"/>
      <c r="G5803" s="13">
        <f t="shared" si="1"/>
        <v>1281</v>
      </c>
      <c r="H5803" s="13"/>
    </row>
    <row r="5804" ht="22.5" customHeight="1">
      <c r="B5804" s="17"/>
      <c r="C5804" s="17"/>
      <c r="D5804" s="13"/>
      <c r="E5804" s="11"/>
      <c r="F5804" s="11"/>
      <c r="G5804" s="13">
        <f t="shared" si="1"/>
        <v>1281</v>
      </c>
      <c r="H5804" s="13"/>
    </row>
    <row r="5805" ht="22.5" customHeight="1">
      <c r="B5805" s="17"/>
      <c r="C5805" s="17"/>
      <c r="D5805" s="13"/>
      <c r="E5805" s="11"/>
      <c r="F5805" s="11"/>
      <c r="G5805" s="13">
        <f t="shared" si="1"/>
        <v>1281</v>
      </c>
      <c r="H5805" s="13"/>
    </row>
    <row r="5806" ht="22.5" customHeight="1">
      <c r="B5806" s="17"/>
      <c r="C5806" s="17"/>
      <c r="D5806" s="13"/>
      <c r="E5806" s="11"/>
      <c r="F5806" s="11"/>
      <c r="G5806" s="13">
        <f t="shared" si="1"/>
        <v>1281</v>
      </c>
      <c r="H5806" s="13"/>
    </row>
    <row r="5807" ht="22.5" customHeight="1">
      <c r="B5807" s="17"/>
      <c r="C5807" s="17"/>
      <c r="D5807" s="13"/>
      <c r="E5807" s="11"/>
      <c r="F5807" s="11"/>
      <c r="G5807" s="13">
        <f t="shared" si="1"/>
        <v>1281</v>
      </c>
      <c r="H5807" s="13"/>
    </row>
    <row r="5808" ht="22.5" customHeight="1">
      <c r="B5808" s="17"/>
      <c r="C5808" s="17"/>
      <c r="D5808" s="13"/>
      <c r="E5808" s="11"/>
      <c r="F5808" s="11"/>
      <c r="G5808" s="13">
        <f t="shared" si="1"/>
        <v>1281</v>
      </c>
      <c r="H5808" s="13"/>
    </row>
    <row r="5809" ht="22.5" customHeight="1">
      <c r="B5809" s="17"/>
      <c r="C5809" s="17"/>
      <c r="D5809" s="13"/>
      <c r="E5809" s="11"/>
      <c r="F5809" s="11"/>
      <c r="G5809" s="13">
        <f t="shared" si="1"/>
        <v>1281</v>
      </c>
      <c r="H5809" s="13"/>
    </row>
    <row r="5810" ht="22.5" customHeight="1">
      <c r="B5810" s="17"/>
      <c r="C5810" s="17"/>
      <c r="D5810" s="13"/>
      <c r="E5810" s="11"/>
      <c r="F5810" s="11"/>
      <c r="G5810" s="13">
        <f t="shared" si="1"/>
        <v>1281</v>
      </c>
      <c r="H5810" s="13"/>
    </row>
    <row r="5811" ht="22.5" customHeight="1">
      <c r="B5811" s="17"/>
      <c r="C5811" s="17"/>
      <c r="D5811" s="13"/>
      <c r="E5811" s="11"/>
      <c r="F5811" s="11"/>
      <c r="G5811" s="13">
        <f t="shared" si="1"/>
        <v>1281</v>
      </c>
      <c r="H5811" s="13"/>
    </row>
    <row r="5812" ht="22.5" customHeight="1">
      <c r="B5812" s="17"/>
      <c r="C5812" s="17"/>
      <c r="D5812" s="13"/>
      <c r="E5812" s="11"/>
      <c r="F5812" s="11"/>
      <c r="G5812" s="13">
        <f t="shared" si="1"/>
        <v>1281</v>
      </c>
      <c r="H5812" s="13"/>
    </row>
    <row r="5813" ht="22.5" customHeight="1">
      <c r="B5813" s="17"/>
      <c r="C5813" s="17"/>
      <c r="D5813" s="13"/>
      <c r="E5813" s="11"/>
      <c r="F5813" s="11"/>
      <c r="G5813" s="13">
        <f t="shared" si="1"/>
        <v>1281</v>
      </c>
      <c r="H5813" s="13"/>
    </row>
    <row r="5814" ht="22.5" customHeight="1">
      <c r="B5814" s="17"/>
      <c r="C5814" s="17"/>
      <c r="D5814" s="13"/>
      <c r="E5814" s="11"/>
      <c r="F5814" s="11"/>
      <c r="G5814" s="13">
        <f t="shared" si="1"/>
        <v>1281</v>
      </c>
      <c r="H5814" s="13"/>
    </row>
    <row r="5815" ht="22.5" customHeight="1">
      <c r="B5815" s="17"/>
      <c r="C5815" s="17"/>
      <c r="D5815" s="13"/>
      <c r="E5815" s="11"/>
      <c r="F5815" s="11"/>
      <c r="G5815" s="13">
        <f t="shared" si="1"/>
        <v>1281</v>
      </c>
      <c r="H5815" s="13"/>
    </row>
    <row r="5816" ht="22.5" customHeight="1">
      <c r="B5816" s="17"/>
      <c r="C5816" s="17"/>
      <c r="D5816" s="13"/>
      <c r="E5816" s="11"/>
      <c r="F5816" s="11"/>
      <c r="G5816" s="13">
        <f t="shared" si="1"/>
        <v>1281</v>
      </c>
      <c r="H5816" s="13"/>
    </row>
    <row r="5817" ht="22.5" customHeight="1">
      <c r="B5817" s="17"/>
      <c r="C5817" s="17"/>
      <c r="D5817" s="13"/>
      <c r="E5817" s="11"/>
      <c r="F5817" s="11"/>
      <c r="G5817" s="13">
        <f t="shared" si="1"/>
        <v>1281</v>
      </c>
      <c r="H5817" s="13"/>
    </row>
    <row r="5818" ht="22.5" customHeight="1">
      <c r="B5818" s="17"/>
      <c r="C5818" s="17"/>
      <c r="D5818" s="13"/>
      <c r="E5818" s="11"/>
      <c r="F5818" s="11"/>
      <c r="G5818" s="13">
        <f t="shared" si="1"/>
        <v>1281</v>
      </c>
      <c r="H5818" s="13"/>
    </row>
    <row r="5819" ht="22.5" customHeight="1">
      <c r="B5819" s="17"/>
      <c r="C5819" s="17"/>
      <c r="D5819" s="13"/>
      <c r="E5819" s="11"/>
      <c r="F5819" s="11"/>
      <c r="G5819" s="13">
        <f t="shared" si="1"/>
        <v>1281</v>
      </c>
      <c r="H5819" s="13"/>
    </row>
    <row r="5820" ht="22.5" customHeight="1">
      <c r="B5820" s="17"/>
      <c r="C5820" s="17"/>
      <c r="D5820" s="13"/>
      <c r="E5820" s="11"/>
      <c r="F5820" s="11"/>
      <c r="G5820" s="13">
        <f t="shared" si="1"/>
        <v>1281</v>
      </c>
      <c r="H5820" s="13"/>
    </row>
    <row r="5821" ht="22.5" customHeight="1">
      <c r="B5821" s="17"/>
      <c r="C5821" s="17"/>
      <c r="D5821" s="13"/>
      <c r="E5821" s="11"/>
      <c r="F5821" s="11"/>
      <c r="G5821" s="13">
        <f t="shared" si="1"/>
        <v>1281</v>
      </c>
      <c r="H5821" s="13"/>
    </row>
    <row r="5822" ht="22.5" customHeight="1">
      <c r="B5822" s="17"/>
      <c r="C5822" s="17"/>
      <c r="D5822" s="13"/>
      <c r="E5822" s="11"/>
      <c r="F5822" s="11"/>
      <c r="G5822" s="13">
        <f t="shared" si="1"/>
        <v>1281</v>
      </c>
      <c r="H5822" s="13"/>
    </row>
    <row r="5823" ht="22.5" customHeight="1">
      <c r="B5823" s="17"/>
      <c r="C5823" s="17"/>
      <c r="D5823" s="13"/>
      <c r="E5823" s="11"/>
      <c r="F5823" s="11"/>
      <c r="G5823" s="13">
        <f t="shared" si="1"/>
        <v>1281</v>
      </c>
      <c r="H5823" s="13"/>
    </row>
    <row r="5824" ht="22.5" customHeight="1">
      <c r="B5824" s="17"/>
      <c r="C5824" s="17"/>
      <c r="D5824" s="13"/>
      <c r="E5824" s="11"/>
      <c r="F5824" s="11"/>
      <c r="G5824" s="13">
        <f t="shared" si="1"/>
        <v>1281</v>
      </c>
      <c r="H5824" s="13"/>
    </row>
    <row r="5825" ht="22.5" customHeight="1">
      <c r="B5825" s="17"/>
      <c r="C5825" s="17"/>
      <c r="D5825" s="13"/>
      <c r="E5825" s="11"/>
      <c r="F5825" s="11"/>
      <c r="G5825" s="13">
        <f t="shared" si="1"/>
        <v>1281</v>
      </c>
      <c r="H5825" s="13"/>
    </row>
    <row r="5826" ht="22.5" customHeight="1">
      <c r="B5826" s="17"/>
      <c r="C5826" s="17"/>
      <c r="D5826" s="13"/>
      <c r="E5826" s="11"/>
      <c r="F5826" s="11"/>
      <c r="G5826" s="13">
        <f t="shared" si="1"/>
        <v>1281</v>
      </c>
      <c r="H5826" s="13"/>
    </row>
    <row r="5827" ht="22.5" customHeight="1">
      <c r="B5827" s="17"/>
      <c r="C5827" s="17"/>
      <c r="D5827" s="13"/>
      <c r="E5827" s="11"/>
      <c r="F5827" s="11"/>
      <c r="G5827" s="13">
        <f t="shared" si="1"/>
        <v>1281</v>
      </c>
      <c r="H5827" s="13"/>
    </row>
    <row r="5828" ht="22.5" customHeight="1">
      <c r="B5828" s="17"/>
      <c r="C5828" s="17"/>
      <c r="D5828" s="13"/>
      <c r="E5828" s="11"/>
      <c r="F5828" s="11"/>
      <c r="G5828" s="13">
        <f t="shared" si="1"/>
        <v>1281</v>
      </c>
      <c r="H5828" s="13"/>
    </row>
    <row r="5829" ht="22.5" customHeight="1">
      <c r="B5829" s="17"/>
      <c r="C5829" s="17"/>
      <c r="D5829" s="13"/>
      <c r="E5829" s="11"/>
      <c r="F5829" s="11"/>
      <c r="G5829" s="13">
        <f t="shared" si="1"/>
        <v>1281</v>
      </c>
      <c r="H5829" s="13"/>
    </row>
    <row r="5830" ht="22.5" customHeight="1">
      <c r="B5830" s="17"/>
      <c r="C5830" s="17"/>
      <c r="D5830" s="13"/>
      <c r="E5830" s="11"/>
      <c r="F5830" s="11"/>
      <c r="G5830" s="13">
        <f t="shared" si="1"/>
        <v>1281</v>
      </c>
      <c r="H5830" s="13"/>
    </row>
    <row r="5831" ht="22.5" customHeight="1">
      <c r="B5831" s="17"/>
      <c r="C5831" s="17"/>
      <c r="D5831" s="13"/>
      <c r="E5831" s="11"/>
      <c r="F5831" s="11"/>
      <c r="G5831" s="13">
        <f t="shared" si="1"/>
        <v>1281</v>
      </c>
      <c r="H5831" s="13"/>
    </row>
    <row r="5832" ht="22.5" customHeight="1">
      <c r="B5832" s="17"/>
      <c r="C5832" s="17"/>
      <c r="D5832" s="13"/>
      <c r="E5832" s="11"/>
      <c r="F5832" s="11"/>
      <c r="G5832" s="13">
        <f t="shared" si="1"/>
        <v>1281</v>
      </c>
      <c r="H5832" s="13"/>
    </row>
    <row r="5833" ht="22.5" customHeight="1">
      <c r="B5833" s="17"/>
      <c r="C5833" s="17"/>
      <c r="D5833" s="13"/>
      <c r="E5833" s="11"/>
      <c r="F5833" s="11"/>
      <c r="G5833" s="13">
        <f t="shared" si="1"/>
        <v>1281</v>
      </c>
      <c r="H5833" s="13"/>
    </row>
    <row r="5834" ht="22.5" customHeight="1">
      <c r="B5834" s="17"/>
      <c r="C5834" s="17"/>
      <c r="D5834" s="13"/>
      <c r="E5834" s="11"/>
      <c r="F5834" s="11"/>
      <c r="G5834" s="13">
        <f t="shared" si="1"/>
        <v>1281</v>
      </c>
      <c r="H5834" s="13"/>
    </row>
    <row r="5835" ht="22.5" customHeight="1">
      <c r="B5835" s="17"/>
      <c r="C5835" s="17"/>
      <c r="D5835" s="13"/>
      <c r="E5835" s="11"/>
      <c r="F5835" s="11"/>
      <c r="G5835" s="13">
        <f t="shared" si="1"/>
        <v>1281</v>
      </c>
      <c r="H5835" s="13"/>
    </row>
    <row r="5836" ht="22.5" customHeight="1">
      <c r="B5836" s="17"/>
      <c r="C5836" s="17"/>
      <c r="D5836" s="13"/>
      <c r="E5836" s="11"/>
      <c r="F5836" s="11"/>
      <c r="G5836" s="13">
        <f t="shared" si="1"/>
        <v>1281</v>
      </c>
      <c r="H5836" s="13"/>
    </row>
    <row r="5837" ht="22.5" customHeight="1">
      <c r="B5837" s="17"/>
      <c r="C5837" s="17"/>
      <c r="D5837" s="13"/>
      <c r="E5837" s="11"/>
      <c r="F5837" s="11"/>
      <c r="G5837" s="13">
        <f t="shared" si="1"/>
        <v>1281</v>
      </c>
      <c r="H5837" s="13"/>
    </row>
    <row r="5838" ht="22.5" customHeight="1">
      <c r="B5838" s="17"/>
      <c r="C5838" s="17"/>
      <c r="D5838" s="13"/>
      <c r="E5838" s="11"/>
      <c r="F5838" s="11"/>
      <c r="G5838" s="13">
        <f t="shared" si="1"/>
        <v>1281</v>
      </c>
      <c r="H5838" s="13"/>
    </row>
    <row r="5839" ht="22.5" customHeight="1">
      <c r="B5839" s="17"/>
      <c r="C5839" s="17"/>
      <c r="D5839" s="13"/>
      <c r="E5839" s="11"/>
      <c r="F5839" s="11"/>
      <c r="G5839" s="13">
        <f t="shared" si="1"/>
        <v>1281</v>
      </c>
      <c r="H5839" s="13"/>
    </row>
    <row r="5840" ht="22.5" customHeight="1">
      <c r="B5840" s="17"/>
      <c r="C5840" s="17"/>
      <c r="D5840" s="13"/>
      <c r="E5840" s="11"/>
      <c r="F5840" s="11"/>
      <c r="G5840" s="13">
        <f t="shared" si="1"/>
        <v>1281</v>
      </c>
      <c r="H5840" s="13"/>
    </row>
    <row r="5841" ht="22.5" customHeight="1">
      <c r="B5841" s="17"/>
      <c r="C5841" s="17"/>
      <c r="D5841" s="13"/>
      <c r="E5841" s="11"/>
      <c r="F5841" s="11"/>
      <c r="G5841" s="13">
        <f t="shared" si="1"/>
        <v>1281</v>
      </c>
      <c r="H5841" s="13"/>
    </row>
    <row r="5842" ht="22.5" customHeight="1">
      <c r="B5842" s="17"/>
      <c r="C5842" s="17"/>
      <c r="D5842" s="13"/>
      <c r="E5842" s="11"/>
      <c r="F5842" s="11"/>
      <c r="G5842" s="13">
        <f t="shared" si="1"/>
        <v>1281</v>
      </c>
      <c r="H5842" s="13"/>
    </row>
    <row r="5843" ht="22.5" customHeight="1">
      <c r="B5843" s="17"/>
      <c r="C5843" s="17"/>
      <c r="D5843" s="13"/>
      <c r="E5843" s="11"/>
      <c r="F5843" s="11"/>
      <c r="G5843" s="13">
        <f t="shared" si="1"/>
        <v>1281</v>
      </c>
      <c r="H5843" s="13"/>
    </row>
    <row r="5844" ht="22.5" customHeight="1">
      <c r="B5844" s="17"/>
      <c r="C5844" s="17"/>
      <c r="D5844" s="13"/>
      <c r="E5844" s="11"/>
      <c r="F5844" s="11"/>
      <c r="G5844" s="13">
        <f t="shared" si="1"/>
        <v>1281</v>
      </c>
      <c r="H5844" s="13"/>
    </row>
    <row r="5845" ht="22.5" customHeight="1">
      <c r="B5845" s="17"/>
      <c r="C5845" s="17"/>
      <c r="D5845" s="13"/>
      <c r="E5845" s="11"/>
      <c r="F5845" s="11"/>
      <c r="G5845" s="13">
        <f t="shared" si="1"/>
        <v>1281</v>
      </c>
      <c r="H5845" s="13"/>
    </row>
    <row r="5846" ht="22.5" customHeight="1">
      <c r="B5846" s="17"/>
      <c r="C5846" s="17"/>
      <c r="D5846" s="13"/>
      <c r="E5846" s="11"/>
      <c r="F5846" s="11"/>
      <c r="G5846" s="13">
        <f t="shared" si="1"/>
        <v>1281</v>
      </c>
      <c r="H5846" s="13"/>
    </row>
    <row r="5847" ht="22.5" customHeight="1">
      <c r="B5847" s="17"/>
      <c r="C5847" s="17"/>
      <c r="D5847" s="13"/>
      <c r="E5847" s="11"/>
      <c r="F5847" s="11"/>
      <c r="G5847" s="13">
        <f t="shared" si="1"/>
        <v>1281</v>
      </c>
      <c r="H5847" s="13"/>
    </row>
    <row r="5848" ht="22.5" customHeight="1">
      <c r="B5848" s="17"/>
      <c r="C5848" s="17"/>
      <c r="D5848" s="13"/>
      <c r="E5848" s="11"/>
      <c r="F5848" s="11"/>
      <c r="G5848" s="13">
        <f t="shared" si="1"/>
        <v>1281</v>
      </c>
      <c r="H5848" s="13"/>
    </row>
    <row r="5849" ht="22.5" customHeight="1">
      <c r="B5849" s="17"/>
      <c r="C5849" s="17"/>
      <c r="D5849" s="13"/>
      <c r="E5849" s="11"/>
      <c r="F5849" s="11"/>
      <c r="G5849" s="13">
        <f t="shared" si="1"/>
        <v>1281</v>
      </c>
      <c r="H5849" s="13"/>
    </row>
    <row r="5850" ht="22.5" customHeight="1">
      <c r="B5850" s="17"/>
      <c r="C5850" s="17"/>
      <c r="D5850" s="13"/>
      <c r="E5850" s="11"/>
      <c r="F5850" s="11"/>
      <c r="G5850" s="13">
        <f t="shared" si="1"/>
        <v>1281</v>
      </c>
      <c r="H5850" s="13"/>
    </row>
    <row r="5851" ht="22.5" customHeight="1">
      <c r="B5851" s="17"/>
      <c r="C5851" s="17"/>
      <c r="D5851" s="13"/>
      <c r="E5851" s="11"/>
      <c r="F5851" s="11"/>
      <c r="G5851" s="13">
        <f t="shared" si="1"/>
        <v>1281</v>
      </c>
      <c r="H5851" s="13"/>
    </row>
    <row r="5852" ht="22.5" customHeight="1">
      <c r="B5852" s="17"/>
      <c r="C5852" s="17"/>
      <c r="D5852" s="13"/>
      <c r="E5852" s="11"/>
      <c r="F5852" s="11"/>
      <c r="G5852" s="13">
        <f t="shared" si="1"/>
        <v>1281</v>
      </c>
      <c r="H5852" s="13"/>
    </row>
    <row r="5853" ht="22.5" customHeight="1">
      <c r="B5853" s="17"/>
      <c r="C5853" s="17"/>
      <c r="D5853" s="13"/>
      <c r="E5853" s="11"/>
      <c r="F5853" s="11"/>
      <c r="G5853" s="13">
        <f t="shared" si="1"/>
        <v>1281</v>
      </c>
      <c r="H5853" s="13"/>
    </row>
    <row r="5854" ht="22.5" customHeight="1">
      <c r="B5854" s="17"/>
      <c r="C5854" s="17"/>
      <c r="D5854" s="13"/>
      <c r="E5854" s="11"/>
      <c r="F5854" s="11"/>
      <c r="G5854" s="13">
        <f t="shared" si="1"/>
        <v>1281</v>
      </c>
      <c r="H5854" s="13"/>
    </row>
    <row r="5855" ht="22.5" customHeight="1">
      <c r="B5855" s="17"/>
      <c r="C5855" s="17"/>
      <c r="D5855" s="13"/>
      <c r="E5855" s="11"/>
      <c r="F5855" s="11"/>
      <c r="G5855" s="13">
        <f t="shared" si="1"/>
        <v>1281</v>
      </c>
      <c r="H5855" s="13"/>
    </row>
    <row r="5856" ht="22.5" customHeight="1">
      <c r="B5856" s="17"/>
      <c r="C5856" s="17"/>
      <c r="D5856" s="13"/>
      <c r="E5856" s="11"/>
      <c r="F5856" s="11"/>
      <c r="G5856" s="13">
        <f t="shared" si="1"/>
        <v>1281</v>
      </c>
      <c r="H5856" s="13"/>
    </row>
    <row r="5857" ht="22.5" customHeight="1">
      <c r="B5857" s="17"/>
      <c r="C5857" s="17"/>
      <c r="D5857" s="13"/>
      <c r="E5857" s="11"/>
      <c r="F5857" s="11"/>
      <c r="G5857" s="13">
        <f t="shared" si="1"/>
        <v>1281</v>
      </c>
      <c r="H5857" s="13"/>
    </row>
    <row r="5858" ht="22.5" customHeight="1">
      <c r="B5858" s="17"/>
      <c r="C5858" s="17"/>
      <c r="D5858" s="13"/>
      <c r="E5858" s="11"/>
      <c r="F5858" s="11"/>
      <c r="G5858" s="13">
        <f t="shared" si="1"/>
        <v>1281</v>
      </c>
      <c r="H5858" s="13"/>
    </row>
    <row r="5859" ht="22.5" customHeight="1">
      <c r="B5859" s="17"/>
      <c r="C5859" s="17"/>
      <c r="D5859" s="13"/>
      <c r="E5859" s="11"/>
      <c r="F5859" s="11"/>
      <c r="G5859" s="13">
        <f t="shared" si="1"/>
        <v>1281</v>
      </c>
      <c r="H5859" s="13"/>
    </row>
    <row r="5860" ht="22.5" customHeight="1">
      <c r="B5860" s="17"/>
      <c r="C5860" s="17"/>
      <c r="D5860" s="13"/>
      <c r="E5860" s="11"/>
      <c r="F5860" s="11"/>
      <c r="G5860" s="13">
        <f t="shared" si="1"/>
        <v>1281</v>
      </c>
      <c r="H5860" s="13"/>
    </row>
    <row r="5861" ht="22.5" customHeight="1">
      <c r="B5861" s="17"/>
      <c r="C5861" s="17"/>
      <c r="D5861" s="13"/>
      <c r="E5861" s="11"/>
      <c r="F5861" s="11"/>
      <c r="G5861" s="13">
        <f t="shared" si="1"/>
        <v>1281</v>
      </c>
      <c r="H5861" s="13"/>
    </row>
    <row r="5862" ht="22.5" customHeight="1">
      <c r="B5862" s="17"/>
      <c r="C5862" s="17"/>
      <c r="D5862" s="13"/>
      <c r="E5862" s="11"/>
      <c r="F5862" s="11"/>
      <c r="G5862" s="13">
        <f t="shared" si="1"/>
        <v>1281</v>
      </c>
      <c r="H5862" s="13"/>
    </row>
    <row r="5863" ht="22.5" customHeight="1">
      <c r="B5863" s="17"/>
      <c r="C5863" s="17"/>
      <c r="D5863" s="13"/>
      <c r="E5863" s="11"/>
      <c r="F5863" s="11"/>
      <c r="G5863" s="13">
        <f t="shared" si="1"/>
        <v>1281</v>
      </c>
      <c r="H5863" s="13"/>
    </row>
    <row r="5864" ht="22.5" customHeight="1">
      <c r="B5864" s="17"/>
      <c r="C5864" s="17"/>
      <c r="D5864" s="13"/>
      <c r="E5864" s="11"/>
      <c r="F5864" s="11"/>
      <c r="G5864" s="13">
        <f t="shared" si="1"/>
        <v>1281</v>
      </c>
      <c r="H5864" s="13"/>
    </row>
    <row r="5865" ht="22.5" customHeight="1">
      <c r="B5865" s="17"/>
      <c r="C5865" s="17"/>
      <c r="D5865" s="13"/>
      <c r="E5865" s="11"/>
      <c r="F5865" s="11"/>
      <c r="G5865" s="13">
        <f t="shared" si="1"/>
        <v>1281</v>
      </c>
      <c r="H5865" s="13"/>
    </row>
    <row r="5866" ht="22.5" customHeight="1">
      <c r="B5866" s="17"/>
      <c r="C5866" s="17"/>
      <c r="D5866" s="13"/>
      <c r="E5866" s="11"/>
      <c r="F5866" s="11"/>
      <c r="G5866" s="13">
        <f t="shared" si="1"/>
        <v>1281</v>
      </c>
      <c r="H5866" s="13"/>
    </row>
    <row r="5867" ht="22.5" customHeight="1">
      <c r="B5867" s="17"/>
      <c r="C5867" s="17"/>
      <c r="D5867" s="13"/>
      <c r="E5867" s="11"/>
      <c r="F5867" s="11"/>
      <c r="G5867" s="13">
        <f t="shared" si="1"/>
        <v>1281</v>
      </c>
      <c r="H5867" s="13"/>
    </row>
    <row r="5868" ht="22.5" customHeight="1">
      <c r="B5868" s="17"/>
      <c r="C5868" s="17"/>
      <c r="D5868" s="13"/>
      <c r="E5868" s="11"/>
      <c r="F5868" s="11"/>
      <c r="G5868" s="13">
        <f t="shared" si="1"/>
        <v>1281</v>
      </c>
      <c r="H5868" s="13"/>
    </row>
    <row r="5869" ht="22.5" customHeight="1">
      <c r="B5869" s="17"/>
      <c r="C5869" s="17"/>
      <c r="D5869" s="13"/>
      <c r="E5869" s="11"/>
      <c r="F5869" s="11"/>
      <c r="G5869" s="13">
        <f t="shared" si="1"/>
        <v>1281</v>
      </c>
      <c r="H5869" s="13"/>
    </row>
    <row r="5870" ht="22.5" customHeight="1">
      <c r="B5870" s="17"/>
      <c r="C5870" s="17"/>
      <c r="D5870" s="13"/>
      <c r="E5870" s="11"/>
      <c r="F5870" s="11"/>
      <c r="G5870" s="13">
        <f t="shared" si="1"/>
        <v>1281</v>
      </c>
      <c r="H5870" s="13"/>
    </row>
    <row r="5871" ht="22.5" customHeight="1">
      <c r="B5871" s="17"/>
      <c r="C5871" s="17"/>
      <c r="D5871" s="13"/>
      <c r="E5871" s="11"/>
      <c r="F5871" s="11"/>
      <c r="G5871" s="13">
        <f t="shared" si="1"/>
        <v>1281</v>
      </c>
      <c r="H5871" s="13"/>
    </row>
    <row r="5872" ht="22.5" customHeight="1">
      <c r="B5872" s="17"/>
      <c r="C5872" s="17"/>
      <c r="D5872" s="13"/>
      <c r="E5872" s="11"/>
      <c r="F5872" s="11"/>
      <c r="G5872" s="13">
        <f t="shared" si="1"/>
        <v>1281</v>
      </c>
      <c r="H5872" s="13"/>
    </row>
    <row r="5873" ht="22.5" customHeight="1">
      <c r="B5873" s="17"/>
      <c r="C5873" s="17"/>
      <c r="D5873" s="13"/>
      <c r="E5873" s="11"/>
      <c r="F5873" s="11"/>
      <c r="G5873" s="13">
        <f t="shared" si="1"/>
        <v>1281</v>
      </c>
      <c r="H5873" s="13"/>
    </row>
    <row r="5874" ht="22.5" customHeight="1">
      <c r="B5874" s="17"/>
      <c r="C5874" s="17"/>
      <c r="D5874" s="13"/>
      <c r="E5874" s="11"/>
      <c r="F5874" s="11"/>
      <c r="G5874" s="13">
        <f t="shared" si="1"/>
        <v>1281</v>
      </c>
      <c r="H5874" s="13"/>
    </row>
    <row r="5875" ht="22.5" customHeight="1">
      <c r="B5875" s="17"/>
      <c r="C5875" s="17"/>
      <c r="D5875" s="13"/>
      <c r="E5875" s="11"/>
      <c r="F5875" s="11"/>
      <c r="G5875" s="13">
        <f t="shared" si="1"/>
        <v>1281</v>
      </c>
      <c r="H5875" s="13"/>
    </row>
    <row r="5876" ht="22.5" customHeight="1">
      <c r="B5876" s="17"/>
      <c r="C5876" s="17"/>
      <c r="D5876" s="13"/>
      <c r="E5876" s="11"/>
      <c r="F5876" s="11"/>
      <c r="G5876" s="13">
        <f t="shared" si="1"/>
        <v>1281</v>
      </c>
      <c r="H5876" s="13"/>
    </row>
    <row r="5877" ht="22.5" customHeight="1">
      <c r="B5877" s="17"/>
      <c r="C5877" s="17"/>
      <c r="D5877" s="13"/>
      <c r="E5877" s="11"/>
      <c r="F5877" s="11"/>
      <c r="G5877" s="13">
        <f t="shared" si="1"/>
        <v>1281</v>
      </c>
      <c r="H5877" s="13"/>
    </row>
    <row r="5878" ht="22.5" customHeight="1">
      <c r="B5878" s="17"/>
      <c r="C5878" s="17"/>
      <c r="D5878" s="13"/>
      <c r="E5878" s="11"/>
      <c r="F5878" s="11"/>
      <c r="G5878" s="13">
        <f t="shared" si="1"/>
        <v>1281</v>
      </c>
      <c r="H5878" s="13"/>
    </row>
    <row r="5879" ht="22.5" customHeight="1">
      <c r="B5879" s="17"/>
      <c r="C5879" s="17"/>
      <c r="D5879" s="13"/>
      <c r="E5879" s="11"/>
      <c r="F5879" s="11"/>
      <c r="G5879" s="13">
        <f t="shared" si="1"/>
        <v>1281</v>
      </c>
      <c r="H5879" s="13"/>
    </row>
    <row r="5880" ht="22.5" customHeight="1">
      <c r="B5880" s="17"/>
      <c r="C5880" s="17"/>
      <c r="D5880" s="13"/>
      <c r="E5880" s="11"/>
      <c r="F5880" s="11"/>
      <c r="G5880" s="13">
        <f t="shared" si="1"/>
        <v>1281</v>
      </c>
      <c r="H5880" s="13"/>
    </row>
    <row r="5881" ht="22.5" customHeight="1">
      <c r="B5881" s="17"/>
      <c r="C5881" s="17"/>
      <c r="D5881" s="13"/>
      <c r="E5881" s="11"/>
      <c r="F5881" s="11"/>
      <c r="G5881" s="13">
        <f t="shared" si="1"/>
        <v>1281</v>
      </c>
      <c r="H5881" s="13"/>
    </row>
    <row r="5882" ht="22.5" customHeight="1">
      <c r="B5882" s="17"/>
      <c r="C5882" s="17"/>
      <c r="D5882" s="13"/>
      <c r="E5882" s="11"/>
      <c r="F5882" s="11"/>
      <c r="G5882" s="13">
        <f t="shared" si="1"/>
        <v>1281</v>
      </c>
      <c r="H5882" s="13"/>
    </row>
    <row r="5883" ht="22.5" customHeight="1">
      <c r="B5883" s="17"/>
      <c r="C5883" s="17"/>
      <c r="D5883" s="13"/>
      <c r="E5883" s="11"/>
      <c r="F5883" s="11"/>
      <c r="G5883" s="13">
        <f t="shared" si="1"/>
        <v>1281</v>
      </c>
      <c r="H5883" s="13"/>
    </row>
    <row r="5884" ht="22.5" customHeight="1">
      <c r="B5884" s="17"/>
      <c r="C5884" s="17"/>
      <c r="D5884" s="13"/>
      <c r="E5884" s="11"/>
      <c r="F5884" s="11"/>
      <c r="G5884" s="13">
        <f t="shared" si="1"/>
        <v>1281</v>
      </c>
      <c r="H5884" s="13"/>
    </row>
    <row r="5885" ht="22.5" customHeight="1">
      <c r="B5885" s="17"/>
      <c r="C5885" s="17"/>
      <c r="D5885" s="13"/>
      <c r="E5885" s="11"/>
      <c r="F5885" s="11"/>
      <c r="G5885" s="13">
        <f t="shared" si="1"/>
        <v>1281</v>
      </c>
      <c r="H5885" s="13"/>
    </row>
    <row r="5886" ht="22.5" customHeight="1">
      <c r="B5886" s="17"/>
      <c r="C5886" s="17"/>
      <c r="D5886" s="13"/>
      <c r="E5886" s="11"/>
      <c r="F5886" s="11"/>
      <c r="G5886" s="13">
        <f t="shared" si="1"/>
        <v>1281</v>
      </c>
      <c r="H5886" s="13"/>
    </row>
    <row r="5887" ht="22.5" customHeight="1">
      <c r="B5887" s="17"/>
      <c r="C5887" s="17"/>
      <c r="D5887" s="13"/>
      <c r="E5887" s="11"/>
      <c r="F5887" s="11"/>
      <c r="G5887" s="13">
        <f t="shared" si="1"/>
        <v>1281</v>
      </c>
      <c r="H5887" s="13"/>
    </row>
    <row r="5888" ht="22.5" customHeight="1">
      <c r="B5888" s="17"/>
      <c r="C5888" s="17"/>
      <c r="D5888" s="13"/>
      <c r="E5888" s="11"/>
      <c r="F5888" s="11"/>
      <c r="G5888" s="13">
        <f t="shared" si="1"/>
        <v>1281</v>
      </c>
      <c r="H5888" s="13"/>
    </row>
    <row r="5889" ht="22.5" customHeight="1">
      <c r="B5889" s="17"/>
      <c r="C5889" s="17"/>
      <c r="D5889" s="13"/>
      <c r="E5889" s="11"/>
      <c r="F5889" s="11"/>
      <c r="G5889" s="13">
        <f t="shared" si="1"/>
        <v>1281</v>
      </c>
      <c r="H5889" s="13"/>
    </row>
    <row r="5890" ht="22.5" customHeight="1">
      <c r="B5890" s="17"/>
      <c r="C5890" s="17"/>
      <c r="D5890" s="13"/>
      <c r="E5890" s="11"/>
      <c r="F5890" s="11"/>
      <c r="G5890" s="13">
        <f t="shared" si="1"/>
        <v>1281</v>
      </c>
      <c r="H5890" s="13"/>
    </row>
    <row r="5891" ht="22.5" customHeight="1">
      <c r="B5891" s="17"/>
      <c r="C5891" s="17"/>
      <c r="D5891" s="13"/>
      <c r="E5891" s="11"/>
      <c r="F5891" s="11"/>
      <c r="G5891" s="13">
        <f t="shared" si="1"/>
        <v>1281</v>
      </c>
      <c r="H5891" s="13"/>
    </row>
    <row r="5892" ht="22.5" customHeight="1">
      <c r="B5892" s="17"/>
      <c r="C5892" s="17"/>
      <c r="D5892" s="13"/>
      <c r="E5892" s="11"/>
      <c r="F5892" s="11"/>
      <c r="G5892" s="13">
        <f t="shared" si="1"/>
        <v>1281</v>
      </c>
      <c r="H5892" s="13"/>
    </row>
    <row r="5893" ht="22.5" customHeight="1">
      <c r="B5893" s="17"/>
      <c r="C5893" s="17"/>
      <c r="D5893" s="13"/>
      <c r="E5893" s="11"/>
      <c r="F5893" s="11"/>
      <c r="G5893" s="13">
        <f t="shared" si="1"/>
        <v>1281</v>
      </c>
      <c r="H5893" s="13"/>
    </row>
    <row r="5894" ht="22.5" customHeight="1">
      <c r="B5894" s="17"/>
      <c r="C5894" s="17"/>
      <c r="D5894" s="13"/>
      <c r="E5894" s="11"/>
      <c r="F5894" s="11"/>
      <c r="G5894" s="13">
        <f t="shared" si="1"/>
        <v>1281</v>
      </c>
      <c r="H5894" s="13"/>
    </row>
    <row r="5895" ht="22.5" customHeight="1">
      <c r="B5895" s="17"/>
      <c r="C5895" s="17"/>
      <c r="D5895" s="13"/>
      <c r="E5895" s="11"/>
      <c r="F5895" s="11"/>
      <c r="G5895" s="13">
        <f t="shared" si="1"/>
        <v>1281</v>
      </c>
      <c r="H5895" s="13"/>
    </row>
    <row r="5896" ht="22.5" customHeight="1">
      <c r="B5896" s="17"/>
      <c r="C5896" s="17"/>
      <c r="D5896" s="13"/>
      <c r="E5896" s="11"/>
      <c r="F5896" s="11"/>
      <c r="G5896" s="13">
        <f t="shared" si="1"/>
        <v>1281</v>
      </c>
      <c r="H5896" s="13"/>
    </row>
    <row r="5897" ht="22.5" customHeight="1">
      <c r="B5897" s="17"/>
      <c r="C5897" s="17"/>
      <c r="D5897" s="13"/>
      <c r="E5897" s="11"/>
      <c r="F5897" s="11"/>
      <c r="G5897" s="13">
        <f t="shared" si="1"/>
        <v>1281</v>
      </c>
      <c r="H5897" s="13"/>
    </row>
    <row r="5898" ht="22.5" customHeight="1">
      <c r="B5898" s="17"/>
      <c r="C5898" s="17"/>
      <c r="D5898" s="13"/>
      <c r="E5898" s="11"/>
      <c r="F5898" s="11"/>
      <c r="G5898" s="13">
        <f t="shared" si="1"/>
        <v>1281</v>
      </c>
      <c r="H5898" s="13"/>
    </row>
    <row r="5899" ht="22.5" customHeight="1">
      <c r="B5899" s="17"/>
      <c r="C5899" s="17"/>
      <c r="D5899" s="13"/>
      <c r="E5899" s="11"/>
      <c r="F5899" s="11"/>
      <c r="G5899" s="13">
        <f t="shared" si="1"/>
        <v>1281</v>
      </c>
      <c r="H5899" s="13"/>
    </row>
    <row r="5900" ht="22.5" customHeight="1">
      <c r="B5900" s="17"/>
      <c r="C5900" s="17"/>
      <c r="D5900" s="13"/>
      <c r="E5900" s="11"/>
      <c r="F5900" s="11"/>
      <c r="G5900" s="13">
        <f t="shared" si="1"/>
        <v>1281</v>
      </c>
      <c r="H5900" s="13"/>
    </row>
    <row r="5901" ht="22.5" customHeight="1">
      <c r="B5901" s="17"/>
      <c r="C5901" s="17"/>
      <c r="D5901" s="13"/>
      <c r="E5901" s="11"/>
      <c r="F5901" s="11"/>
      <c r="G5901" s="13">
        <f t="shared" si="1"/>
        <v>1281</v>
      </c>
      <c r="H5901" s="13"/>
    </row>
    <row r="5902" ht="22.5" customHeight="1">
      <c r="B5902" s="17"/>
      <c r="C5902" s="17"/>
      <c r="D5902" s="13"/>
      <c r="E5902" s="11"/>
      <c r="F5902" s="11"/>
      <c r="G5902" s="13">
        <f t="shared" si="1"/>
        <v>1281</v>
      </c>
      <c r="H5902" s="13"/>
    </row>
    <row r="5903" ht="22.5" customHeight="1">
      <c r="B5903" s="17"/>
      <c r="C5903" s="17"/>
      <c r="D5903" s="13"/>
      <c r="E5903" s="11"/>
      <c r="F5903" s="11"/>
      <c r="G5903" s="13">
        <f t="shared" si="1"/>
        <v>1281</v>
      </c>
      <c r="H5903" s="13"/>
    </row>
    <row r="5904" ht="22.5" customHeight="1">
      <c r="B5904" s="17"/>
      <c r="C5904" s="17"/>
      <c r="D5904" s="13"/>
      <c r="E5904" s="11"/>
      <c r="F5904" s="11"/>
      <c r="G5904" s="13">
        <f t="shared" si="1"/>
        <v>1281</v>
      </c>
      <c r="H5904" s="13"/>
    </row>
    <row r="5905" ht="22.5" customHeight="1">
      <c r="B5905" s="17"/>
      <c r="C5905" s="17"/>
      <c r="D5905" s="13"/>
      <c r="E5905" s="11"/>
      <c r="F5905" s="11"/>
      <c r="G5905" s="13">
        <f t="shared" si="1"/>
        <v>1281</v>
      </c>
      <c r="H5905" s="13"/>
    </row>
    <row r="5906" ht="22.5" customHeight="1">
      <c r="B5906" s="17"/>
      <c r="C5906" s="17"/>
      <c r="D5906" s="13"/>
      <c r="E5906" s="11"/>
      <c r="F5906" s="11"/>
      <c r="G5906" s="13">
        <f t="shared" si="1"/>
        <v>1281</v>
      </c>
      <c r="H5906" s="13"/>
    </row>
    <row r="5907" ht="22.5" customHeight="1">
      <c r="B5907" s="17"/>
      <c r="C5907" s="17"/>
      <c r="D5907" s="13"/>
      <c r="E5907" s="11"/>
      <c r="F5907" s="11"/>
      <c r="G5907" s="13">
        <f t="shared" si="1"/>
        <v>1281</v>
      </c>
      <c r="H5907" s="13"/>
    </row>
    <row r="5908" ht="22.5" customHeight="1">
      <c r="B5908" s="17"/>
      <c r="C5908" s="17"/>
      <c r="D5908" s="13"/>
      <c r="E5908" s="11"/>
      <c r="F5908" s="11"/>
      <c r="G5908" s="13">
        <f t="shared" si="1"/>
        <v>1281</v>
      </c>
      <c r="H5908" s="13"/>
    </row>
    <row r="5909" ht="22.5" customHeight="1">
      <c r="B5909" s="17"/>
      <c r="C5909" s="17"/>
      <c r="D5909" s="13"/>
      <c r="E5909" s="11"/>
      <c r="F5909" s="11"/>
      <c r="G5909" s="13">
        <f t="shared" si="1"/>
        <v>1281</v>
      </c>
      <c r="H5909" s="13"/>
    </row>
    <row r="5910" ht="22.5" customHeight="1">
      <c r="B5910" s="17"/>
      <c r="C5910" s="17"/>
      <c r="D5910" s="13"/>
      <c r="E5910" s="11"/>
      <c r="F5910" s="11"/>
      <c r="G5910" s="13">
        <f t="shared" si="1"/>
        <v>1281</v>
      </c>
      <c r="H5910" s="13"/>
    </row>
    <row r="5911" ht="22.5" customHeight="1">
      <c r="B5911" s="17"/>
      <c r="C5911" s="17"/>
      <c r="D5911" s="13"/>
      <c r="E5911" s="11"/>
      <c r="F5911" s="11"/>
      <c r="G5911" s="13">
        <f t="shared" si="1"/>
        <v>1281</v>
      </c>
      <c r="H5911" s="13"/>
    </row>
    <row r="5912" ht="22.5" customHeight="1">
      <c r="B5912" s="17"/>
      <c r="C5912" s="17"/>
      <c r="D5912" s="13"/>
      <c r="E5912" s="11"/>
      <c r="F5912" s="11"/>
      <c r="G5912" s="13">
        <f t="shared" si="1"/>
        <v>1281</v>
      </c>
      <c r="H5912" s="13"/>
    </row>
    <row r="5913" ht="22.5" customHeight="1">
      <c r="B5913" s="17"/>
      <c r="C5913" s="17"/>
      <c r="D5913" s="13"/>
      <c r="E5913" s="11"/>
      <c r="F5913" s="11"/>
      <c r="G5913" s="13">
        <f t="shared" si="1"/>
        <v>1281</v>
      </c>
      <c r="H5913" s="13"/>
    </row>
    <row r="5914" ht="22.5" customHeight="1">
      <c r="B5914" s="17"/>
      <c r="C5914" s="17"/>
      <c r="D5914" s="13"/>
      <c r="E5914" s="11"/>
      <c r="F5914" s="11"/>
      <c r="G5914" s="13">
        <f t="shared" si="1"/>
        <v>1281</v>
      </c>
      <c r="H5914" s="13"/>
    </row>
    <row r="5915" ht="22.5" customHeight="1">
      <c r="B5915" s="17"/>
      <c r="C5915" s="17"/>
      <c r="D5915" s="13"/>
      <c r="E5915" s="11"/>
      <c r="F5915" s="11"/>
      <c r="G5915" s="13">
        <f t="shared" si="1"/>
        <v>1281</v>
      </c>
      <c r="H5915" s="13"/>
    </row>
    <row r="5916" ht="22.5" customHeight="1">
      <c r="B5916" s="17"/>
      <c r="C5916" s="17"/>
      <c r="D5916" s="13"/>
      <c r="E5916" s="11"/>
      <c r="F5916" s="11"/>
      <c r="G5916" s="13">
        <f t="shared" si="1"/>
        <v>1281</v>
      </c>
      <c r="H5916" s="13"/>
    </row>
    <row r="5917" ht="22.5" customHeight="1">
      <c r="B5917" s="17"/>
      <c r="C5917" s="17"/>
      <c r="D5917" s="13"/>
      <c r="E5917" s="11"/>
      <c r="F5917" s="11"/>
      <c r="G5917" s="13">
        <f t="shared" si="1"/>
        <v>1281</v>
      </c>
      <c r="H5917" s="13"/>
    </row>
    <row r="5918" ht="22.5" customHeight="1">
      <c r="B5918" s="17"/>
      <c r="C5918" s="17"/>
      <c r="D5918" s="13"/>
      <c r="E5918" s="11"/>
      <c r="F5918" s="11"/>
      <c r="G5918" s="13">
        <f t="shared" si="1"/>
        <v>1281</v>
      </c>
      <c r="H5918" s="13"/>
    </row>
    <row r="5919" ht="22.5" customHeight="1">
      <c r="B5919" s="17"/>
      <c r="C5919" s="17"/>
      <c r="D5919" s="13"/>
      <c r="E5919" s="11"/>
      <c r="F5919" s="11"/>
      <c r="G5919" s="13">
        <f t="shared" si="1"/>
        <v>1281</v>
      </c>
      <c r="H5919" s="13"/>
    </row>
    <row r="5920" ht="22.5" customHeight="1">
      <c r="B5920" s="17"/>
      <c r="C5920" s="17"/>
      <c r="D5920" s="13"/>
      <c r="E5920" s="11"/>
      <c r="F5920" s="11"/>
      <c r="G5920" s="13">
        <f t="shared" si="1"/>
        <v>1281</v>
      </c>
      <c r="H5920" s="13"/>
    </row>
    <row r="5921" ht="22.5" customHeight="1">
      <c r="B5921" s="17"/>
      <c r="C5921" s="17"/>
      <c r="D5921" s="13"/>
      <c r="E5921" s="11"/>
      <c r="F5921" s="11"/>
      <c r="G5921" s="13">
        <f t="shared" si="1"/>
        <v>1281</v>
      </c>
      <c r="H5921" s="13"/>
    </row>
    <row r="5922" ht="22.5" customHeight="1">
      <c r="B5922" s="17"/>
      <c r="C5922" s="17"/>
      <c r="D5922" s="13"/>
      <c r="E5922" s="11"/>
      <c r="F5922" s="11"/>
      <c r="G5922" s="13">
        <f t="shared" si="1"/>
        <v>1281</v>
      </c>
      <c r="H5922" s="13"/>
    </row>
    <row r="5923" ht="22.5" customHeight="1">
      <c r="B5923" s="17"/>
      <c r="C5923" s="17"/>
      <c r="D5923" s="13"/>
      <c r="E5923" s="11"/>
      <c r="F5923" s="11"/>
      <c r="G5923" s="13">
        <f t="shared" si="1"/>
        <v>1281</v>
      </c>
      <c r="H5923" s="13"/>
    </row>
    <row r="5924" ht="22.5" customHeight="1">
      <c r="B5924" s="17"/>
      <c r="C5924" s="17"/>
      <c r="D5924" s="13"/>
      <c r="E5924" s="11"/>
      <c r="F5924" s="11"/>
      <c r="G5924" s="13">
        <f t="shared" si="1"/>
        <v>1281</v>
      </c>
      <c r="H5924" s="13"/>
    </row>
    <row r="5925" ht="22.5" customHeight="1">
      <c r="B5925" s="17"/>
      <c r="C5925" s="17"/>
      <c r="D5925" s="13"/>
      <c r="E5925" s="11"/>
      <c r="F5925" s="11"/>
      <c r="G5925" s="13">
        <f t="shared" si="1"/>
        <v>1281</v>
      </c>
      <c r="H5925" s="13"/>
    </row>
    <row r="5926" ht="22.5" customHeight="1">
      <c r="B5926" s="17"/>
      <c r="C5926" s="17"/>
      <c r="D5926" s="13"/>
      <c r="E5926" s="11"/>
      <c r="F5926" s="11"/>
      <c r="G5926" s="13">
        <f t="shared" si="1"/>
        <v>1281</v>
      </c>
      <c r="H5926" s="13"/>
    </row>
    <row r="5927" ht="22.5" customHeight="1">
      <c r="B5927" s="17"/>
      <c r="C5927" s="17"/>
      <c r="D5927" s="13"/>
      <c r="E5927" s="11"/>
      <c r="F5927" s="11"/>
      <c r="G5927" s="13">
        <f t="shared" si="1"/>
        <v>1281</v>
      </c>
      <c r="H5927" s="13"/>
    </row>
    <row r="5928" ht="22.5" customHeight="1">
      <c r="B5928" s="17"/>
      <c r="C5928" s="17"/>
      <c r="D5928" s="13"/>
      <c r="E5928" s="11"/>
      <c r="F5928" s="11"/>
      <c r="G5928" s="13">
        <f t="shared" si="1"/>
        <v>1281</v>
      </c>
      <c r="H5928" s="13"/>
    </row>
    <row r="5929" ht="22.5" customHeight="1">
      <c r="B5929" s="17"/>
      <c r="C5929" s="17"/>
      <c r="D5929" s="13"/>
      <c r="E5929" s="11"/>
      <c r="F5929" s="11"/>
      <c r="G5929" s="13">
        <f t="shared" si="1"/>
        <v>1281</v>
      </c>
      <c r="H5929" s="13"/>
    </row>
    <row r="5930" ht="22.5" customHeight="1">
      <c r="B5930" s="17"/>
      <c r="C5930" s="17"/>
      <c r="D5930" s="13"/>
      <c r="E5930" s="11"/>
      <c r="F5930" s="11"/>
      <c r="G5930" s="13">
        <f t="shared" si="1"/>
        <v>1281</v>
      </c>
      <c r="H5930" s="13"/>
    </row>
    <row r="5931" ht="22.5" customHeight="1">
      <c r="B5931" s="17"/>
      <c r="C5931" s="17"/>
      <c r="D5931" s="13"/>
      <c r="E5931" s="11"/>
      <c r="F5931" s="11"/>
      <c r="G5931" s="13">
        <f t="shared" si="1"/>
        <v>1281</v>
      </c>
      <c r="H5931" s="13"/>
    </row>
    <row r="5932" ht="22.5" customHeight="1">
      <c r="B5932" s="17"/>
      <c r="C5932" s="17"/>
      <c r="D5932" s="13"/>
      <c r="E5932" s="11"/>
      <c r="F5932" s="11"/>
      <c r="G5932" s="13">
        <f t="shared" si="1"/>
        <v>1281</v>
      </c>
      <c r="H5932" s="13"/>
    </row>
    <row r="5933" ht="22.5" customHeight="1">
      <c r="B5933" s="17"/>
      <c r="C5933" s="17"/>
      <c r="D5933" s="13"/>
      <c r="E5933" s="11"/>
      <c r="F5933" s="11"/>
      <c r="G5933" s="13">
        <f t="shared" si="1"/>
        <v>1281</v>
      </c>
      <c r="H5933" s="13"/>
    </row>
    <row r="5934" ht="22.5" customHeight="1">
      <c r="B5934" s="17"/>
      <c r="C5934" s="17"/>
      <c r="D5934" s="13"/>
      <c r="E5934" s="11"/>
      <c r="F5934" s="11"/>
      <c r="G5934" s="13">
        <f t="shared" si="1"/>
        <v>1281</v>
      </c>
      <c r="H5934" s="13"/>
    </row>
    <row r="5935" ht="22.5" customHeight="1">
      <c r="B5935" s="17"/>
      <c r="C5935" s="17"/>
      <c r="D5935" s="13"/>
      <c r="E5935" s="11"/>
      <c r="F5935" s="11"/>
      <c r="G5935" s="13">
        <f t="shared" si="1"/>
        <v>1281</v>
      </c>
      <c r="H5935" s="13"/>
    </row>
    <row r="5936" ht="22.5" customHeight="1">
      <c r="B5936" s="17"/>
      <c r="C5936" s="17"/>
      <c r="D5936" s="13"/>
      <c r="E5936" s="11"/>
      <c r="F5936" s="11"/>
      <c r="G5936" s="13">
        <f t="shared" si="1"/>
        <v>1281</v>
      </c>
      <c r="H5936" s="13"/>
    </row>
    <row r="5937" ht="22.5" customHeight="1">
      <c r="B5937" s="17"/>
      <c r="C5937" s="17"/>
      <c r="D5937" s="13"/>
      <c r="E5937" s="11"/>
      <c r="F5937" s="11"/>
      <c r="G5937" s="13">
        <f t="shared" si="1"/>
        <v>1281</v>
      </c>
      <c r="H5937" s="13"/>
    </row>
    <row r="5938" ht="22.5" customHeight="1">
      <c r="B5938" s="17"/>
      <c r="C5938" s="17"/>
      <c r="D5938" s="13"/>
      <c r="E5938" s="11"/>
      <c r="F5938" s="11"/>
      <c r="G5938" s="13">
        <f t="shared" si="1"/>
        <v>1281</v>
      </c>
      <c r="H5938" s="13"/>
    </row>
    <row r="5939" ht="22.5" customHeight="1">
      <c r="B5939" s="17"/>
      <c r="C5939" s="17"/>
      <c r="D5939" s="13"/>
      <c r="E5939" s="11"/>
      <c r="F5939" s="11"/>
      <c r="G5939" s="13">
        <f t="shared" si="1"/>
        <v>1281</v>
      </c>
      <c r="H5939" s="13"/>
    </row>
    <row r="5940" ht="22.5" customHeight="1">
      <c r="B5940" s="17"/>
      <c r="C5940" s="17"/>
      <c r="D5940" s="13"/>
      <c r="E5940" s="11"/>
      <c r="F5940" s="11"/>
      <c r="G5940" s="13">
        <f t="shared" si="1"/>
        <v>1281</v>
      </c>
      <c r="H5940" s="13"/>
    </row>
    <row r="5941" ht="22.5" customHeight="1">
      <c r="B5941" s="17"/>
      <c r="C5941" s="17"/>
      <c r="D5941" s="13"/>
      <c r="E5941" s="11"/>
      <c r="F5941" s="11"/>
      <c r="G5941" s="13">
        <f t="shared" si="1"/>
        <v>1281</v>
      </c>
      <c r="H5941" s="13"/>
    </row>
    <row r="5942" ht="22.5" customHeight="1">
      <c r="B5942" s="17"/>
      <c r="C5942" s="17"/>
      <c r="D5942" s="13"/>
      <c r="E5942" s="11"/>
      <c r="F5942" s="11"/>
      <c r="G5942" s="13">
        <f t="shared" si="1"/>
        <v>1281</v>
      </c>
      <c r="H5942" s="13"/>
    </row>
    <row r="5943" ht="22.5" customHeight="1">
      <c r="B5943" s="17"/>
      <c r="C5943" s="17"/>
      <c r="D5943" s="13"/>
      <c r="E5943" s="11"/>
      <c r="F5943" s="11"/>
      <c r="G5943" s="13">
        <f t="shared" si="1"/>
        <v>1281</v>
      </c>
      <c r="H5943" s="13"/>
    </row>
    <row r="5944" ht="22.5" customHeight="1">
      <c r="B5944" s="17"/>
      <c r="C5944" s="17"/>
      <c r="D5944" s="13"/>
      <c r="E5944" s="11"/>
      <c r="F5944" s="11"/>
      <c r="G5944" s="13">
        <f t="shared" si="1"/>
        <v>1281</v>
      </c>
      <c r="H5944" s="13"/>
    </row>
    <row r="5945" ht="22.5" customHeight="1">
      <c r="B5945" s="17"/>
      <c r="C5945" s="17"/>
      <c r="D5945" s="13"/>
      <c r="E5945" s="11"/>
      <c r="F5945" s="11"/>
      <c r="G5945" s="13">
        <f t="shared" si="1"/>
        <v>1281</v>
      </c>
      <c r="H5945" s="13"/>
    </row>
    <row r="5946" ht="22.5" customHeight="1">
      <c r="B5946" s="17"/>
      <c r="C5946" s="17"/>
      <c r="D5946" s="13"/>
      <c r="E5946" s="11"/>
      <c r="F5946" s="11"/>
      <c r="G5946" s="13">
        <f t="shared" si="1"/>
        <v>1281</v>
      </c>
      <c r="H5946" s="13"/>
    </row>
    <row r="5947" ht="22.5" customHeight="1">
      <c r="B5947" s="17"/>
      <c r="C5947" s="17"/>
      <c r="D5947" s="13"/>
      <c r="E5947" s="11"/>
      <c r="F5947" s="11"/>
      <c r="G5947" s="13">
        <f t="shared" si="1"/>
        <v>1281</v>
      </c>
      <c r="H5947" s="13"/>
    </row>
    <row r="5948" ht="22.5" customHeight="1">
      <c r="B5948" s="17"/>
      <c r="C5948" s="17"/>
      <c r="D5948" s="13"/>
      <c r="E5948" s="11"/>
      <c r="F5948" s="11"/>
      <c r="G5948" s="13">
        <f t="shared" si="1"/>
        <v>1281</v>
      </c>
      <c r="H5948" s="13"/>
    </row>
    <row r="5949" ht="22.5" customHeight="1">
      <c r="B5949" s="17"/>
      <c r="C5949" s="17"/>
      <c r="D5949" s="13"/>
      <c r="E5949" s="11"/>
      <c r="F5949" s="11"/>
      <c r="G5949" s="13">
        <f t="shared" si="1"/>
        <v>1281</v>
      </c>
      <c r="H5949" s="13"/>
    </row>
    <row r="5950" ht="22.5" customHeight="1">
      <c r="B5950" s="17"/>
      <c r="C5950" s="17"/>
      <c r="D5950" s="13"/>
      <c r="E5950" s="11"/>
      <c r="F5950" s="11"/>
      <c r="G5950" s="13">
        <f t="shared" si="1"/>
        <v>1281</v>
      </c>
      <c r="H5950" s="13"/>
    </row>
    <row r="5951" ht="22.5" customHeight="1">
      <c r="B5951" s="17"/>
      <c r="C5951" s="17"/>
      <c r="D5951" s="13"/>
      <c r="E5951" s="11"/>
      <c r="F5951" s="11"/>
      <c r="G5951" s="13">
        <f t="shared" si="1"/>
        <v>1281</v>
      </c>
      <c r="H5951" s="13"/>
    </row>
    <row r="5952" ht="22.5" customHeight="1">
      <c r="B5952" s="17"/>
      <c r="C5952" s="17"/>
      <c r="D5952" s="13"/>
      <c r="E5952" s="11"/>
      <c r="F5952" s="11"/>
      <c r="G5952" s="13">
        <f t="shared" si="1"/>
        <v>1281</v>
      </c>
      <c r="H5952" s="13"/>
    </row>
    <row r="5953" ht="22.5" customHeight="1">
      <c r="B5953" s="17"/>
      <c r="C5953" s="17"/>
      <c r="D5953" s="13"/>
      <c r="E5953" s="11"/>
      <c r="F5953" s="11"/>
      <c r="G5953" s="13">
        <f t="shared" si="1"/>
        <v>1281</v>
      </c>
      <c r="H5953" s="13"/>
    </row>
    <row r="5954" ht="22.5" customHeight="1">
      <c r="B5954" s="17"/>
      <c r="C5954" s="17"/>
      <c r="D5954" s="13"/>
      <c r="E5954" s="11"/>
      <c r="F5954" s="11"/>
      <c r="G5954" s="13">
        <f t="shared" si="1"/>
        <v>1281</v>
      </c>
      <c r="H5954" s="13"/>
    </row>
    <row r="5955" ht="22.5" customHeight="1">
      <c r="B5955" s="17"/>
      <c r="C5955" s="17"/>
      <c r="D5955" s="13"/>
      <c r="E5955" s="11"/>
      <c r="F5955" s="11"/>
      <c r="G5955" s="13">
        <f t="shared" si="1"/>
        <v>1281</v>
      </c>
      <c r="H5955" s="13"/>
    </row>
    <row r="5956" ht="22.5" customHeight="1">
      <c r="B5956" s="17"/>
      <c r="C5956" s="17"/>
      <c r="D5956" s="13"/>
      <c r="E5956" s="11"/>
      <c r="F5956" s="11"/>
      <c r="G5956" s="13">
        <f t="shared" si="1"/>
        <v>1281</v>
      </c>
      <c r="H5956" s="13"/>
    </row>
    <row r="5957" ht="22.5" customHeight="1">
      <c r="B5957" s="17"/>
      <c r="C5957" s="17"/>
      <c r="D5957" s="13"/>
      <c r="E5957" s="11"/>
      <c r="F5957" s="11"/>
      <c r="G5957" s="13">
        <f t="shared" si="1"/>
        <v>1281</v>
      </c>
      <c r="H5957" s="13"/>
    </row>
    <row r="5958" ht="22.5" customHeight="1">
      <c r="B5958" s="17"/>
      <c r="C5958" s="17"/>
      <c r="D5958" s="13"/>
      <c r="E5958" s="11"/>
      <c r="F5958" s="11"/>
      <c r="G5958" s="13">
        <f t="shared" si="1"/>
        <v>1281</v>
      </c>
      <c r="H5958" s="13"/>
    </row>
    <row r="5959" ht="22.5" customHeight="1">
      <c r="B5959" s="17"/>
      <c r="C5959" s="17"/>
      <c r="D5959" s="13"/>
      <c r="E5959" s="11"/>
      <c r="F5959" s="11"/>
      <c r="G5959" s="13">
        <f t="shared" si="1"/>
        <v>1281</v>
      </c>
      <c r="H5959" s="13"/>
    </row>
    <row r="5960" ht="22.5" customHeight="1">
      <c r="B5960" s="17"/>
      <c r="C5960" s="17"/>
      <c r="D5960" s="13"/>
      <c r="E5960" s="11"/>
      <c r="F5960" s="11"/>
      <c r="G5960" s="13">
        <f t="shared" si="1"/>
        <v>1281</v>
      </c>
      <c r="H5960" s="13"/>
    </row>
    <row r="5961" ht="22.5" customHeight="1">
      <c r="B5961" s="17"/>
      <c r="C5961" s="17"/>
      <c r="D5961" s="13"/>
      <c r="E5961" s="11"/>
      <c r="F5961" s="11"/>
      <c r="G5961" s="13">
        <f t="shared" si="1"/>
        <v>1281</v>
      </c>
      <c r="H5961" s="13"/>
    </row>
    <row r="5962" ht="22.5" customHeight="1">
      <c r="B5962" s="17"/>
      <c r="C5962" s="17"/>
      <c r="D5962" s="13"/>
      <c r="E5962" s="11"/>
      <c r="F5962" s="11"/>
      <c r="G5962" s="13">
        <f t="shared" si="1"/>
        <v>1281</v>
      </c>
      <c r="H5962" s="13"/>
    </row>
    <row r="5963" ht="22.5" customHeight="1">
      <c r="B5963" s="17"/>
      <c r="C5963" s="17"/>
      <c r="D5963" s="13"/>
      <c r="E5963" s="11"/>
      <c r="F5963" s="11"/>
      <c r="G5963" s="13">
        <f t="shared" si="1"/>
        <v>1281</v>
      </c>
      <c r="H5963" s="13"/>
    </row>
    <row r="5964" ht="22.5" customHeight="1">
      <c r="B5964" s="17"/>
      <c r="C5964" s="17"/>
      <c r="D5964" s="13"/>
      <c r="E5964" s="11"/>
      <c r="F5964" s="11"/>
      <c r="G5964" s="13">
        <f t="shared" si="1"/>
        <v>1281</v>
      </c>
      <c r="H5964" s="13"/>
    </row>
    <row r="5965" ht="22.5" customHeight="1">
      <c r="B5965" s="17"/>
      <c r="C5965" s="17"/>
      <c r="D5965" s="13"/>
      <c r="E5965" s="11"/>
      <c r="F5965" s="11"/>
      <c r="G5965" s="13">
        <f t="shared" si="1"/>
        <v>1281</v>
      </c>
      <c r="H5965" s="13"/>
    </row>
    <row r="5966" ht="22.5" customHeight="1">
      <c r="B5966" s="17"/>
      <c r="C5966" s="17"/>
      <c r="D5966" s="13"/>
      <c r="E5966" s="11"/>
      <c r="F5966" s="11"/>
      <c r="G5966" s="13">
        <f t="shared" si="1"/>
        <v>1281</v>
      </c>
      <c r="H5966" s="13"/>
    </row>
    <row r="5967" ht="22.5" customHeight="1">
      <c r="B5967" s="17"/>
      <c r="C5967" s="17"/>
      <c r="D5967" s="13"/>
      <c r="E5967" s="11"/>
      <c r="F5967" s="11"/>
      <c r="G5967" s="13">
        <f t="shared" si="1"/>
        <v>1281</v>
      </c>
      <c r="H5967" s="13"/>
    </row>
    <row r="5968" ht="22.5" customHeight="1">
      <c r="B5968" s="17"/>
      <c r="C5968" s="17"/>
      <c r="D5968" s="13"/>
      <c r="E5968" s="11"/>
      <c r="F5968" s="11"/>
      <c r="G5968" s="13">
        <f t="shared" si="1"/>
        <v>1281</v>
      </c>
      <c r="H5968" s="13"/>
    </row>
    <row r="5969" ht="22.5" customHeight="1">
      <c r="B5969" s="17"/>
      <c r="C5969" s="17"/>
      <c r="D5969" s="13"/>
      <c r="E5969" s="11"/>
      <c r="F5969" s="11"/>
      <c r="G5969" s="13">
        <f t="shared" si="1"/>
        <v>1281</v>
      </c>
      <c r="H5969" s="13"/>
    </row>
    <row r="5970" ht="22.5" customHeight="1">
      <c r="B5970" s="17"/>
      <c r="C5970" s="17"/>
      <c r="D5970" s="13"/>
      <c r="E5970" s="11"/>
      <c r="F5970" s="11"/>
      <c r="G5970" s="13">
        <f t="shared" si="1"/>
        <v>1281</v>
      </c>
      <c r="H5970" s="13"/>
    </row>
    <row r="5971" ht="22.5" customHeight="1">
      <c r="B5971" s="17"/>
      <c r="C5971" s="17"/>
      <c r="D5971" s="13"/>
      <c r="E5971" s="11"/>
      <c r="F5971" s="11"/>
      <c r="G5971" s="13">
        <f t="shared" si="1"/>
        <v>1281</v>
      </c>
      <c r="H5971" s="13"/>
    </row>
    <row r="5972" ht="22.5" customHeight="1">
      <c r="B5972" s="17"/>
      <c r="C5972" s="17"/>
      <c r="D5972" s="13"/>
      <c r="E5972" s="11"/>
      <c r="F5972" s="11"/>
      <c r="G5972" s="13">
        <f t="shared" si="1"/>
        <v>1281</v>
      </c>
      <c r="H5972" s="13"/>
    </row>
    <row r="5973" ht="22.5" customHeight="1">
      <c r="B5973" s="17"/>
      <c r="C5973" s="17"/>
      <c r="D5973" s="13"/>
      <c r="E5973" s="11"/>
      <c r="F5973" s="11"/>
      <c r="G5973" s="13">
        <f t="shared" si="1"/>
        <v>1281</v>
      </c>
      <c r="H5973" s="13"/>
    </row>
    <row r="5974" ht="22.5" customHeight="1">
      <c r="B5974" s="17"/>
      <c r="C5974" s="17"/>
      <c r="D5974" s="13"/>
      <c r="E5974" s="11"/>
      <c r="F5974" s="11"/>
      <c r="G5974" s="13">
        <f t="shared" si="1"/>
        <v>1281</v>
      </c>
      <c r="H5974" s="13"/>
    </row>
    <row r="5975" ht="22.5" customHeight="1">
      <c r="B5975" s="17"/>
      <c r="C5975" s="17"/>
      <c r="D5975" s="13"/>
      <c r="E5975" s="11"/>
      <c r="F5975" s="11"/>
      <c r="G5975" s="13">
        <f t="shared" si="1"/>
        <v>1281</v>
      </c>
      <c r="H5975" s="13"/>
    </row>
    <row r="5976" ht="22.5" customHeight="1">
      <c r="B5976" s="17"/>
      <c r="C5976" s="17"/>
      <c r="D5976" s="13"/>
      <c r="E5976" s="11"/>
      <c r="F5976" s="11"/>
      <c r="G5976" s="13">
        <f t="shared" si="1"/>
        <v>1281</v>
      </c>
      <c r="H5976" s="13"/>
    </row>
    <row r="5977" ht="22.5" customHeight="1">
      <c r="B5977" s="17"/>
      <c r="C5977" s="17"/>
      <c r="D5977" s="13"/>
      <c r="E5977" s="11"/>
      <c r="F5977" s="11"/>
      <c r="G5977" s="13">
        <f t="shared" si="1"/>
        <v>1281</v>
      </c>
      <c r="H5977" s="13"/>
    </row>
    <row r="5978" ht="22.5" customHeight="1">
      <c r="B5978" s="17"/>
      <c r="C5978" s="17"/>
      <c r="D5978" s="13"/>
      <c r="E5978" s="11"/>
      <c r="F5978" s="11"/>
      <c r="G5978" s="13">
        <f t="shared" si="1"/>
        <v>1281</v>
      </c>
      <c r="H5978" s="13"/>
    </row>
    <row r="5979" ht="22.5" customHeight="1">
      <c r="B5979" s="17"/>
      <c r="C5979" s="17"/>
      <c r="D5979" s="13"/>
      <c r="E5979" s="11"/>
      <c r="F5979" s="11"/>
      <c r="G5979" s="13">
        <f t="shared" si="1"/>
        <v>1281</v>
      </c>
      <c r="H5979" s="13"/>
    </row>
    <row r="5980" ht="22.5" customHeight="1">
      <c r="B5980" s="17"/>
      <c r="C5980" s="17"/>
      <c r="D5980" s="13"/>
      <c r="E5980" s="11"/>
      <c r="F5980" s="11"/>
      <c r="G5980" s="13">
        <f t="shared" si="1"/>
        <v>1281</v>
      </c>
      <c r="H5980" s="13"/>
    </row>
    <row r="5981" ht="22.5" customHeight="1">
      <c r="B5981" s="17"/>
      <c r="C5981" s="17"/>
      <c r="D5981" s="13"/>
      <c r="E5981" s="11"/>
      <c r="F5981" s="11"/>
      <c r="G5981" s="13">
        <f t="shared" si="1"/>
        <v>1281</v>
      </c>
      <c r="H5981" s="13"/>
    </row>
    <row r="5982" ht="22.5" customHeight="1">
      <c r="B5982" s="17"/>
      <c r="C5982" s="17"/>
      <c r="D5982" s="13"/>
      <c r="E5982" s="11"/>
      <c r="F5982" s="11"/>
      <c r="G5982" s="13">
        <f t="shared" si="1"/>
        <v>1281</v>
      </c>
      <c r="H5982" s="13"/>
    </row>
    <row r="5983" ht="22.5" customHeight="1">
      <c r="B5983" s="17"/>
      <c r="C5983" s="17"/>
      <c r="D5983" s="13"/>
      <c r="E5983" s="11"/>
      <c r="F5983" s="11"/>
      <c r="G5983" s="13">
        <f t="shared" si="1"/>
        <v>1281</v>
      </c>
      <c r="H5983" s="13"/>
    </row>
    <row r="5984" ht="22.5" customHeight="1">
      <c r="B5984" s="17"/>
      <c r="C5984" s="17"/>
      <c r="D5984" s="13"/>
      <c r="E5984" s="11"/>
      <c r="F5984" s="11"/>
      <c r="G5984" s="13">
        <f t="shared" si="1"/>
        <v>1281</v>
      </c>
      <c r="H5984" s="13"/>
    </row>
    <row r="5985" ht="22.5" customHeight="1">
      <c r="B5985" s="17"/>
      <c r="C5985" s="17"/>
      <c r="D5985" s="13"/>
      <c r="E5985" s="11"/>
      <c r="F5985" s="11"/>
      <c r="G5985" s="13">
        <f t="shared" si="1"/>
        <v>1281</v>
      </c>
      <c r="H5985" s="13"/>
    </row>
    <row r="5986" ht="22.5" customHeight="1">
      <c r="B5986" s="17"/>
      <c r="C5986" s="17"/>
      <c r="D5986" s="13"/>
      <c r="E5986" s="11"/>
      <c r="F5986" s="11"/>
      <c r="G5986" s="13">
        <f t="shared" si="1"/>
        <v>1281</v>
      </c>
      <c r="H5986" s="13"/>
    </row>
    <row r="5987" ht="22.5" customHeight="1">
      <c r="B5987" s="17"/>
      <c r="C5987" s="17"/>
      <c r="D5987" s="13"/>
      <c r="E5987" s="11"/>
      <c r="F5987" s="11"/>
      <c r="G5987" s="13">
        <f t="shared" si="1"/>
        <v>1281</v>
      </c>
      <c r="H5987" s="13"/>
    </row>
    <row r="5988" ht="22.5" customHeight="1">
      <c r="B5988" s="17"/>
      <c r="C5988" s="17"/>
      <c r="D5988" s="13"/>
      <c r="E5988" s="11"/>
      <c r="F5988" s="11"/>
      <c r="G5988" s="13">
        <f t="shared" si="1"/>
        <v>1281</v>
      </c>
      <c r="H5988" s="13"/>
    </row>
    <row r="5989" ht="22.5" customHeight="1">
      <c r="B5989" s="17"/>
      <c r="C5989" s="17"/>
      <c r="D5989" s="13"/>
      <c r="E5989" s="11"/>
      <c r="F5989" s="11"/>
      <c r="G5989" s="13">
        <f t="shared" si="1"/>
        <v>1281</v>
      </c>
      <c r="H5989" s="13"/>
    </row>
    <row r="5990" ht="22.5" customHeight="1">
      <c r="B5990" s="17"/>
      <c r="C5990" s="17"/>
      <c r="D5990" s="13"/>
      <c r="E5990" s="11"/>
      <c r="F5990" s="11"/>
      <c r="G5990" s="13">
        <f t="shared" si="1"/>
        <v>1281</v>
      </c>
      <c r="H5990" s="13"/>
    </row>
    <row r="5991" ht="22.5" customHeight="1">
      <c r="B5991" s="17"/>
      <c r="C5991" s="17"/>
      <c r="D5991" s="13"/>
      <c r="E5991" s="11"/>
      <c r="F5991" s="11"/>
      <c r="G5991" s="13">
        <f t="shared" si="1"/>
        <v>1281</v>
      </c>
      <c r="H5991" s="13"/>
    </row>
    <row r="5992" ht="22.5" customHeight="1">
      <c r="B5992" s="17"/>
      <c r="C5992" s="17"/>
      <c r="D5992" s="13"/>
      <c r="E5992" s="11"/>
      <c r="F5992" s="11"/>
      <c r="G5992" s="13">
        <f t="shared" si="1"/>
        <v>1281</v>
      </c>
      <c r="H5992" s="13"/>
    </row>
    <row r="5993" ht="22.5" customHeight="1">
      <c r="B5993" s="17"/>
      <c r="C5993" s="17"/>
      <c r="D5993" s="13"/>
      <c r="E5993" s="11"/>
      <c r="F5993" s="11"/>
      <c r="G5993" s="13">
        <f t="shared" si="1"/>
        <v>1281</v>
      </c>
      <c r="H5993" s="13"/>
    </row>
    <row r="5994" ht="22.5" customHeight="1">
      <c r="B5994" s="17"/>
      <c r="C5994" s="17"/>
      <c r="D5994" s="13"/>
      <c r="E5994" s="11"/>
      <c r="F5994" s="11"/>
      <c r="G5994" s="13">
        <f t="shared" si="1"/>
        <v>1281</v>
      </c>
      <c r="H5994" s="13"/>
    </row>
    <row r="5995" ht="22.5" customHeight="1">
      <c r="B5995" s="17"/>
      <c r="C5995" s="17"/>
      <c r="D5995" s="13"/>
      <c r="E5995" s="11"/>
      <c r="F5995" s="11"/>
      <c r="G5995" s="13">
        <f t="shared" si="1"/>
        <v>1281</v>
      </c>
      <c r="H5995" s="13"/>
    </row>
    <row r="5996" ht="22.5" customHeight="1">
      <c r="B5996" s="17"/>
      <c r="C5996" s="17"/>
      <c r="D5996" s="13"/>
      <c r="E5996" s="11"/>
      <c r="F5996" s="11"/>
      <c r="G5996" s="13">
        <f t="shared" si="1"/>
        <v>1281</v>
      </c>
      <c r="H5996" s="13"/>
    </row>
    <row r="5997" ht="22.5" customHeight="1">
      <c r="B5997" s="17"/>
      <c r="C5997" s="17"/>
      <c r="D5997" s="13"/>
      <c r="E5997" s="11"/>
      <c r="F5997" s="11"/>
      <c r="G5997" s="13">
        <f t="shared" si="1"/>
        <v>1281</v>
      </c>
      <c r="H5997" s="13"/>
    </row>
    <row r="5998" ht="22.5" customHeight="1">
      <c r="B5998" s="17"/>
      <c r="C5998" s="17"/>
      <c r="D5998" s="13"/>
      <c r="E5998" s="11"/>
      <c r="F5998" s="11"/>
      <c r="G5998" s="13">
        <f t="shared" si="1"/>
        <v>1281</v>
      </c>
      <c r="H5998" s="13"/>
    </row>
    <row r="5999" ht="22.5" customHeight="1">
      <c r="B5999" s="17"/>
      <c r="C5999" s="17"/>
      <c r="D5999" s="13"/>
      <c r="E5999" s="11"/>
      <c r="F5999" s="11"/>
      <c r="G5999" s="13">
        <f t="shared" si="1"/>
        <v>1281</v>
      </c>
      <c r="H5999" s="13"/>
    </row>
    <row r="6000" ht="22.5" customHeight="1">
      <c r="B6000" s="17"/>
      <c r="C6000" s="17"/>
      <c r="D6000" s="13"/>
      <c r="E6000" s="11"/>
      <c r="F6000" s="11"/>
      <c r="G6000" s="13">
        <f t="shared" si="1"/>
        <v>1281</v>
      </c>
      <c r="H6000" s="13"/>
    </row>
    <row r="6001" ht="22.5" customHeight="1">
      <c r="B6001" s="17"/>
      <c r="C6001" s="17"/>
      <c r="D6001" s="13"/>
      <c r="E6001" s="11"/>
      <c r="F6001" s="11"/>
      <c r="G6001" s="13">
        <f t="shared" si="1"/>
        <v>1281</v>
      </c>
      <c r="H6001" s="13"/>
    </row>
    <row r="6002" ht="22.5" customHeight="1">
      <c r="B6002" s="17"/>
      <c r="C6002" s="17"/>
      <c r="D6002" s="13"/>
      <c r="E6002" s="11"/>
      <c r="F6002" s="11"/>
      <c r="G6002" s="13">
        <f t="shared" si="1"/>
        <v>1281</v>
      </c>
      <c r="H6002" s="13"/>
    </row>
    <row r="6003" ht="22.5" customHeight="1">
      <c r="B6003" s="17"/>
      <c r="C6003" s="17"/>
      <c r="D6003" s="13"/>
      <c r="E6003" s="11"/>
      <c r="F6003" s="11"/>
      <c r="G6003" s="13">
        <f t="shared" si="1"/>
        <v>1281</v>
      </c>
      <c r="H6003" s="13"/>
    </row>
    <row r="6004" ht="22.5" customHeight="1">
      <c r="B6004" s="17"/>
      <c r="C6004" s="17"/>
      <c r="D6004" s="13"/>
      <c r="E6004" s="11"/>
      <c r="F6004" s="11"/>
      <c r="G6004" s="13">
        <f t="shared" si="1"/>
        <v>1281</v>
      </c>
      <c r="H6004" s="13"/>
    </row>
    <row r="6005" ht="22.5" customHeight="1">
      <c r="B6005" s="17"/>
      <c r="C6005" s="17"/>
      <c r="D6005" s="13"/>
      <c r="E6005" s="11"/>
      <c r="F6005" s="11"/>
      <c r="G6005" s="13">
        <f t="shared" si="1"/>
        <v>1281</v>
      </c>
      <c r="H6005" s="13"/>
    </row>
    <row r="6006" ht="22.5" customHeight="1">
      <c r="B6006" s="17"/>
      <c r="C6006" s="17"/>
      <c r="D6006" s="13"/>
      <c r="E6006" s="11"/>
      <c r="F6006" s="11"/>
      <c r="G6006" s="13">
        <f t="shared" si="1"/>
        <v>1281</v>
      </c>
      <c r="H6006" s="13"/>
    </row>
    <row r="6007" ht="22.5" customHeight="1">
      <c r="B6007" s="17"/>
      <c r="C6007" s="17"/>
      <c r="D6007" s="13"/>
      <c r="E6007" s="11"/>
      <c r="F6007" s="11"/>
      <c r="G6007" s="13">
        <f t="shared" si="1"/>
        <v>1281</v>
      </c>
      <c r="H6007" s="13"/>
    </row>
    <row r="6008" ht="22.5" customHeight="1">
      <c r="B6008" s="17"/>
      <c r="C6008" s="17"/>
      <c r="D6008" s="13"/>
      <c r="E6008" s="11"/>
      <c r="F6008" s="11"/>
      <c r="G6008" s="13">
        <f t="shared" si="1"/>
        <v>1281</v>
      </c>
      <c r="H6008" s="13"/>
    </row>
    <row r="6009" ht="22.5" customHeight="1">
      <c r="B6009" s="17"/>
      <c r="C6009" s="17"/>
      <c r="D6009" s="13"/>
      <c r="E6009" s="11"/>
      <c r="F6009" s="11"/>
      <c r="G6009" s="13">
        <f t="shared" si="1"/>
        <v>1281</v>
      </c>
      <c r="H6009" s="13"/>
    </row>
    <row r="6010" ht="22.5" customHeight="1">
      <c r="B6010" s="17"/>
      <c r="C6010" s="17"/>
      <c r="D6010" s="13"/>
      <c r="E6010" s="11"/>
      <c r="F6010" s="11"/>
      <c r="G6010" s="13">
        <f t="shared" si="1"/>
        <v>1281</v>
      </c>
      <c r="H6010" s="13"/>
    </row>
    <row r="6011" ht="22.5" customHeight="1">
      <c r="B6011" s="17"/>
      <c r="C6011" s="17"/>
      <c r="D6011" s="13"/>
      <c r="E6011" s="11"/>
      <c r="F6011" s="11"/>
      <c r="G6011" s="13">
        <f t="shared" si="1"/>
        <v>1281</v>
      </c>
      <c r="H6011" s="13"/>
    </row>
    <row r="6012" ht="22.5" customHeight="1">
      <c r="B6012" s="17"/>
      <c r="C6012" s="17"/>
      <c r="D6012" s="13"/>
      <c r="E6012" s="11"/>
      <c r="F6012" s="11"/>
      <c r="G6012" s="13">
        <f t="shared" si="1"/>
        <v>1281</v>
      </c>
      <c r="H6012" s="13"/>
    </row>
    <row r="6013" ht="22.5" customHeight="1">
      <c r="B6013" s="17"/>
      <c r="C6013" s="17"/>
      <c r="D6013" s="13"/>
      <c r="E6013" s="11"/>
      <c r="F6013" s="11"/>
      <c r="G6013" s="13">
        <f t="shared" si="1"/>
        <v>1281</v>
      </c>
      <c r="H6013" s="13"/>
    </row>
    <row r="6014" ht="22.5" customHeight="1">
      <c r="B6014" s="17"/>
      <c r="C6014" s="17"/>
      <c r="D6014" s="13"/>
      <c r="E6014" s="11"/>
      <c r="F6014" s="11"/>
      <c r="G6014" s="13">
        <f t="shared" si="1"/>
        <v>1281</v>
      </c>
      <c r="H6014" s="13"/>
    </row>
    <row r="6015" ht="22.5" customHeight="1">
      <c r="B6015" s="17"/>
      <c r="C6015" s="17"/>
      <c r="D6015" s="13"/>
      <c r="E6015" s="11"/>
      <c r="F6015" s="11"/>
      <c r="G6015" s="13">
        <f t="shared" si="1"/>
        <v>1281</v>
      </c>
      <c r="H6015" s="13"/>
    </row>
    <row r="6016" ht="22.5" customHeight="1">
      <c r="B6016" s="17"/>
      <c r="C6016" s="17"/>
      <c r="D6016" s="13"/>
      <c r="E6016" s="11"/>
      <c r="F6016" s="11"/>
      <c r="G6016" s="13">
        <f t="shared" si="1"/>
        <v>1281</v>
      </c>
      <c r="H6016" s="13"/>
    </row>
    <row r="6017" ht="22.5" customHeight="1">
      <c r="B6017" s="17"/>
      <c r="C6017" s="17"/>
      <c r="D6017" s="13"/>
      <c r="E6017" s="11"/>
      <c r="F6017" s="11"/>
      <c r="G6017" s="13">
        <f t="shared" si="1"/>
        <v>1281</v>
      </c>
      <c r="H6017" s="13"/>
    </row>
    <row r="6018" ht="22.5" customHeight="1">
      <c r="B6018" s="17"/>
      <c r="C6018" s="17"/>
      <c r="D6018" s="13"/>
      <c r="E6018" s="11"/>
      <c r="F6018" s="11"/>
      <c r="G6018" s="13">
        <f t="shared" si="1"/>
        <v>1281</v>
      </c>
      <c r="H6018" s="13"/>
    </row>
    <row r="6019" ht="22.5" customHeight="1">
      <c r="B6019" s="17"/>
      <c r="C6019" s="17"/>
      <c r="D6019" s="13"/>
      <c r="E6019" s="11"/>
      <c r="F6019" s="11"/>
      <c r="G6019" s="13">
        <f t="shared" si="1"/>
        <v>1281</v>
      </c>
      <c r="H6019" s="13"/>
    </row>
    <row r="6020" ht="22.5" customHeight="1">
      <c r="B6020" s="17"/>
      <c r="C6020" s="17"/>
      <c r="D6020" s="13"/>
      <c r="E6020" s="11"/>
      <c r="F6020" s="11"/>
      <c r="G6020" s="13">
        <f t="shared" si="1"/>
        <v>1281</v>
      </c>
      <c r="H6020" s="13"/>
    </row>
    <row r="6021" ht="22.5" customHeight="1">
      <c r="B6021" s="17"/>
      <c r="C6021" s="17"/>
      <c r="D6021" s="13"/>
      <c r="E6021" s="11"/>
      <c r="F6021" s="11"/>
      <c r="G6021" s="13">
        <f t="shared" si="1"/>
        <v>1281</v>
      </c>
      <c r="H6021" s="13"/>
    </row>
    <row r="6022" ht="22.5" customHeight="1">
      <c r="B6022" s="17"/>
      <c r="C6022" s="17"/>
      <c r="D6022" s="13"/>
      <c r="E6022" s="11"/>
      <c r="F6022" s="11"/>
      <c r="G6022" s="13">
        <f t="shared" si="1"/>
        <v>1281</v>
      </c>
      <c r="H6022" s="13"/>
    </row>
    <row r="6023" ht="22.5" customHeight="1">
      <c r="B6023" s="17"/>
      <c r="C6023" s="17"/>
      <c r="D6023" s="13"/>
      <c r="E6023" s="11"/>
      <c r="F6023" s="11"/>
      <c r="G6023" s="13">
        <f t="shared" si="1"/>
        <v>1281</v>
      </c>
      <c r="H6023" s="13"/>
    </row>
    <row r="6024" ht="22.5" customHeight="1">
      <c r="B6024" s="17"/>
      <c r="C6024" s="17"/>
      <c r="D6024" s="13"/>
      <c r="E6024" s="11"/>
      <c r="F6024" s="11"/>
      <c r="G6024" s="13">
        <f t="shared" si="1"/>
        <v>1281</v>
      </c>
      <c r="H6024" s="13"/>
    </row>
    <row r="6025" ht="22.5" customHeight="1">
      <c r="B6025" s="17"/>
      <c r="C6025" s="17"/>
      <c r="D6025" s="13"/>
      <c r="E6025" s="11"/>
      <c r="F6025" s="11"/>
      <c r="G6025" s="13">
        <f t="shared" si="1"/>
        <v>1281</v>
      </c>
      <c r="H6025" s="13"/>
    </row>
    <row r="6026" ht="22.5" customHeight="1">
      <c r="B6026" s="17"/>
      <c r="C6026" s="17"/>
      <c r="D6026" s="13"/>
      <c r="E6026" s="11"/>
      <c r="F6026" s="11"/>
      <c r="G6026" s="13">
        <f t="shared" si="1"/>
        <v>1281</v>
      </c>
      <c r="H6026" s="13"/>
    </row>
    <row r="6027" ht="22.5" customHeight="1">
      <c r="B6027" s="17"/>
      <c r="C6027" s="17"/>
      <c r="D6027" s="13"/>
      <c r="E6027" s="11"/>
      <c r="F6027" s="11"/>
      <c r="G6027" s="13">
        <f t="shared" si="1"/>
        <v>1281</v>
      </c>
      <c r="H6027" s="13"/>
    </row>
    <row r="6028" ht="22.5" customHeight="1">
      <c r="B6028" s="17"/>
      <c r="C6028" s="17"/>
      <c r="D6028" s="13"/>
      <c r="E6028" s="11"/>
      <c r="F6028" s="11"/>
      <c r="G6028" s="13">
        <f t="shared" si="1"/>
        <v>1281</v>
      </c>
      <c r="H6028" s="13"/>
    </row>
    <row r="6029" ht="22.5" customHeight="1">
      <c r="B6029" s="17"/>
      <c r="C6029" s="17"/>
      <c r="D6029" s="13"/>
      <c r="E6029" s="11"/>
      <c r="F6029" s="11"/>
      <c r="G6029" s="13">
        <f t="shared" si="1"/>
        <v>1281</v>
      </c>
      <c r="H6029" s="13"/>
    </row>
    <row r="6030" ht="22.5" customHeight="1">
      <c r="B6030" s="17"/>
      <c r="C6030" s="17"/>
      <c r="D6030" s="13"/>
      <c r="E6030" s="11"/>
      <c r="F6030" s="11"/>
      <c r="G6030" s="13">
        <f t="shared" si="1"/>
        <v>1281</v>
      </c>
      <c r="H6030" s="13"/>
    </row>
    <row r="6031" ht="22.5" customHeight="1">
      <c r="B6031" s="17"/>
      <c r="C6031" s="17"/>
      <c r="D6031" s="13"/>
      <c r="E6031" s="11"/>
      <c r="F6031" s="11"/>
      <c r="G6031" s="13">
        <f t="shared" si="1"/>
        <v>1281</v>
      </c>
      <c r="H6031" s="13"/>
    </row>
    <row r="6032" ht="22.5" customHeight="1">
      <c r="B6032" s="17"/>
      <c r="C6032" s="17"/>
      <c r="D6032" s="13"/>
      <c r="E6032" s="11"/>
      <c r="F6032" s="11"/>
      <c r="G6032" s="13">
        <f t="shared" si="1"/>
        <v>1281</v>
      </c>
      <c r="H6032" s="13"/>
    </row>
    <row r="6033" ht="22.5" customHeight="1">
      <c r="B6033" s="17"/>
      <c r="C6033" s="17"/>
      <c r="D6033" s="13"/>
      <c r="E6033" s="11"/>
      <c r="F6033" s="11"/>
      <c r="G6033" s="13">
        <f t="shared" si="1"/>
        <v>1281</v>
      </c>
      <c r="H6033" s="13"/>
    </row>
    <row r="6034" ht="22.5" customHeight="1">
      <c r="B6034" s="17"/>
      <c r="C6034" s="17"/>
      <c r="D6034" s="13"/>
      <c r="E6034" s="11"/>
      <c r="F6034" s="11"/>
      <c r="G6034" s="13">
        <f t="shared" si="1"/>
        <v>1281</v>
      </c>
      <c r="H6034" s="13"/>
    </row>
    <row r="6035" ht="22.5" customHeight="1">
      <c r="B6035" s="17"/>
      <c r="C6035" s="17"/>
      <c r="D6035" s="13"/>
      <c r="E6035" s="11"/>
      <c r="F6035" s="11"/>
      <c r="G6035" s="13">
        <f t="shared" si="1"/>
        <v>1281</v>
      </c>
      <c r="H6035" s="13"/>
    </row>
    <row r="6036" ht="22.5" customHeight="1">
      <c r="B6036" s="17"/>
      <c r="C6036" s="17"/>
      <c r="D6036" s="13"/>
      <c r="E6036" s="11"/>
      <c r="F6036" s="11"/>
      <c r="G6036" s="13">
        <f t="shared" si="1"/>
        <v>1281</v>
      </c>
      <c r="H6036" s="13"/>
    </row>
    <row r="6037" ht="22.5" customHeight="1">
      <c r="B6037" s="17"/>
      <c r="C6037" s="17"/>
      <c r="D6037" s="13"/>
      <c r="E6037" s="11"/>
      <c r="F6037" s="11"/>
      <c r="G6037" s="13">
        <f t="shared" si="1"/>
        <v>1281</v>
      </c>
      <c r="H6037" s="13"/>
    </row>
    <row r="6038" ht="22.5" customHeight="1">
      <c r="B6038" s="17"/>
      <c r="C6038" s="17"/>
      <c r="D6038" s="13"/>
      <c r="E6038" s="11"/>
      <c r="F6038" s="11"/>
      <c r="G6038" s="13">
        <f t="shared" si="1"/>
        <v>1281</v>
      </c>
      <c r="H6038" s="13"/>
    </row>
    <row r="6039" ht="22.5" customHeight="1">
      <c r="B6039" s="17"/>
      <c r="C6039" s="17"/>
      <c r="D6039" s="13"/>
      <c r="E6039" s="11"/>
      <c r="F6039" s="11"/>
      <c r="G6039" s="13">
        <f t="shared" si="1"/>
        <v>1281</v>
      </c>
      <c r="H6039" s="13"/>
    </row>
    <row r="6040" ht="22.5" customHeight="1">
      <c r="B6040" s="17"/>
      <c r="C6040" s="17"/>
      <c r="D6040" s="13"/>
      <c r="E6040" s="11"/>
      <c r="F6040" s="11"/>
      <c r="G6040" s="13">
        <f t="shared" si="1"/>
        <v>1281</v>
      </c>
      <c r="H6040" s="13"/>
    </row>
    <row r="6041" ht="22.5" customHeight="1">
      <c r="B6041" s="17"/>
      <c r="C6041" s="17"/>
      <c r="D6041" s="13"/>
      <c r="E6041" s="11"/>
      <c r="F6041" s="11"/>
      <c r="G6041" s="13">
        <f t="shared" si="1"/>
        <v>1281</v>
      </c>
      <c r="H6041" s="13"/>
    </row>
    <row r="6042" ht="22.5" customHeight="1">
      <c r="B6042" s="17"/>
      <c r="C6042" s="17"/>
      <c r="D6042" s="13"/>
      <c r="E6042" s="11"/>
      <c r="F6042" s="11"/>
      <c r="G6042" s="13">
        <f t="shared" si="1"/>
        <v>1281</v>
      </c>
      <c r="H6042" s="13"/>
    </row>
    <row r="6043" ht="22.5" customHeight="1">
      <c r="B6043" s="17"/>
      <c r="C6043" s="17"/>
      <c r="D6043" s="13"/>
      <c r="E6043" s="11"/>
      <c r="F6043" s="11"/>
      <c r="G6043" s="13">
        <f t="shared" si="1"/>
        <v>1281</v>
      </c>
      <c r="H6043" s="13"/>
    </row>
    <row r="6044" ht="22.5" customHeight="1">
      <c r="B6044" s="17"/>
      <c r="C6044" s="17"/>
      <c r="D6044" s="13"/>
      <c r="E6044" s="11"/>
      <c r="F6044" s="11"/>
      <c r="G6044" s="13">
        <f t="shared" si="1"/>
        <v>1281</v>
      </c>
      <c r="H6044" s="13"/>
    </row>
    <row r="6045" ht="22.5" customHeight="1">
      <c r="B6045" s="17"/>
      <c r="C6045" s="17"/>
      <c r="D6045" s="13"/>
      <c r="E6045" s="11"/>
      <c r="F6045" s="11"/>
      <c r="G6045" s="13">
        <f t="shared" si="1"/>
        <v>1281</v>
      </c>
      <c r="H6045" s="13"/>
    </row>
    <row r="6046" ht="22.5" customHeight="1">
      <c r="B6046" s="17"/>
      <c r="C6046" s="17"/>
      <c r="D6046" s="13"/>
      <c r="E6046" s="11"/>
      <c r="F6046" s="11"/>
      <c r="G6046" s="13">
        <f t="shared" si="1"/>
        <v>1281</v>
      </c>
      <c r="H6046" s="13"/>
    </row>
    <row r="6047" ht="22.5" customHeight="1">
      <c r="B6047" s="17"/>
      <c r="C6047" s="17"/>
      <c r="D6047" s="13"/>
      <c r="E6047" s="11"/>
      <c r="F6047" s="11"/>
      <c r="G6047" s="13">
        <f t="shared" si="1"/>
        <v>1281</v>
      </c>
      <c r="H6047" s="13"/>
    </row>
    <row r="6048" ht="22.5" customHeight="1">
      <c r="B6048" s="17"/>
      <c r="C6048" s="17"/>
      <c r="D6048" s="13"/>
      <c r="E6048" s="11"/>
      <c r="F6048" s="11"/>
      <c r="G6048" s="13">
        <f t="shared" si="1"/>
        <v>1281</v>
      </c>
      <c r="H6048" s="13"/>
    </row>
    <row r="6049" ht="22.5" customHeight="1">
      <c r="B6049" s="17"/>
      <c r="C6049" s="17"/>
      <c r="D6049" s="13"/>
      <c r="E6049" s="11"/>
      <c r="F6049" s="11"/>
      <c r="G6049" s="13">
        <f t="shared" si="1"/>
        <v>1281</v>
      </c>
      <c r="H6049" s="13"/>
    </row>
    <row r="6050" ht="22.5" customHeight="1">
      <c r="B6050" s="17"/>
      <c r="C6050" s="17"/>
      <c r="D6050" s="13"/>
      <c r="E6050" s="11"/>
      <c r="F6050" s="11"/>
      <c r="G6050" s="13">
        <f t="shared" si="1"/>
        <v>1281</v>
      </c>
      <c r="H6050" s="13"/>
    </row>
    <row r="6051" ht="22.5" customHeight="1">
      <c r="B6051" s="17"/>
      <c r="C6051" s="17"/>
      <c r="D6051" s="13"/>
      <c r="E6051" s="11"/>
      <c r="F6051" s="11"/>
      <c r="G6051" s="13">
        <f t="shared" si="1"/>
        <v>1281</v>
      </c>
      <c r="H6051" s="13"/>
    </row>
    <row r="6052" ht="22.5" customHeight="1">
      <c r="B6052" s="17"/>
      <c r="C6052" s="17"/>
      <c r="D6052" s="13"/>
      <c r="E6052" s="11"/>
      <c r="F6052" s="11"/>
      <c r="G6052" s="13">
        <f t="shared" si="1"/>
        <v>1281</v>
      </c>
      <c r="H6052" s="13"/>
    </row>
    <row r="6053" ht="22.5" customHeight="1">
      <c r="B6053" s="17"/>
      <c r="C6053" s="17"/>
      <c r="D6053" s="13"/>
      <c r="E6053" s="11"/>
      <c r="F6053" s="11"/>
      <c r="G6053" s="13">
        <f t="shared" si="1"/>
        <v>1281</v>
      </c>
      <c r="H6053" s="13"/>
    </row>
    <row r="6054" ht="22.5" customHeight="1">
      <c r="B6054" s="17"/>
      <c r="C6054" s="17"/>
      <c r="D6054" s="13"/>
      <c r="E6054" s="11"/>
      <c r="F6054" s="11"/>
      <c r="G6054" s="13">
        <f t="shared" si="1"/>
        <v>1281</v>
      </c>
      <c r="H6054" s="13"/>
    </row>
    <row r="6055" ht="22.5" customHeight="1">
      <c r="B6055" s="17"/>
      <c r="C6055" s="17"/>
      <c r="D6055" s="13"/>
      <c r="E6055" s="11"/>
      <c r="F6055" s="11"/>
      <c r="G6055" s="13">
        <f t="shared" si="1"/>
        <v>1281</v>
      </c>
      <c r="H6055" s="13"/>
    </row>
    <row r="6056" ht="22.5" customHeight="1">
      <c r="B6056" s="17"/>
      <c r="C6056" s="17"/>
      <c r="D6056" s="13"/>
      <c r="E6056" s="11"/>
      <c r="F6056" s="11"/>
      <c r="G6056" s="13">
        <f t="shared" si="1"/>
        <v>1281</v>
      </c>
      <c r="H6056" s="13"/>
    </row>
    <row r="6057" ht="22.5" customHeight="1">
      <c r="B6057" s="17"/>
      <c r="C6057" s="17"/>
      <c r="D6057" s="13"/>
      <c r="E6057" s="11"/>
      <c r="F6057" s="11"/>
      <c r="G6057" s="13">
        <f t="shared" si="1"/>
        <v>1281</v>
      </c>
      <c r="H6057" s="13"/>
    </row>
    <row r="6058" ht="22.5" customHeight="1">
      <c r="B6058" s="17"/>
      <c r="C6058" s="17"/>
      <c r="D6058" s="13"/>
      <c r="E6058" s="11"/>
      <c r="F6058" s="11"/>
      <c r="G6058" s="13">
        <f t="shared" si="1"/>
        <v>1281</v>
      </c>
      <c r="H6058" s="13"/>
    </row>
    <row r="6059" ht="22.5" customHeight="1">
      <c r="B6059" s="17"/>
      <c r="C6059" s="17"/>
      <c r="D6059" s="13"/>
      <c r="E6059" s="11"/>
      <c r="F6059" s="11"/>
      <c r="G6059" s="13">
        <f t="shared" si="1"/>
        <v>1281</v>
      </c>
      <c r="H6059" s="13"/>
    </row>
    <row r="6060" ht="22.5" customHeight="1">
      <c r="B6060" s="17"/>
      <c r="C6060" s="17"/>
      <c r="D6060" s="13"/>
      <c r="E6060" s="11"/>
      <c r="F6060" s="11"/>
      <c r="G6060" s="13">
        <f t="shared" si="1"/>
        <v>1281</v>
      </c>
      <c r="H6060" s="13"/>
    </row>
    <row r="6061" ht="22.5" customHeight="1">
      <c r="B6061" s="17"/>
      <c r="C6061" s="17"/>
      <c r="D6061" s="13"/>
      <c r="E6061" s="11"/>
      <c r="F6061" s="11"/>
      <c r="G6061" s="13">
        <f t="shared" si="1"/>
        <v>1281</v>
      </c>
      <c r="H6061" s="13"/>
    </row>
    <row r="6062" ht="22.5" customHeight="1">
      <c r="B6062" s="17"/>
      <c r="C6062" s="17"/>
      <c r="D6062" s="13"/>
      <c r="E6062" s="11"/>
      <c r="F6062" s="11"/>
      <c r="G6062" s="13">
        <f t="shared" si="1"/>
        <v>1281</v>
      </c>
      <c r="H6062" s="13"/>
    </row>
    <row r="6063" ht="22.5" customHeight="1">
      <c r="B6063" s="17"/>
      <c r="C6063" s="17"/>
      <c r="D6063" s="13"/>
      <c r="E6063" s="11"/>
      <c r="F6063" s="11"/>
      <c r="G6063" s="13">
        <f t="shared" si="1"/>
        <v>1281</v>
      </c>
      <c r="H6063" s="13"/>
    </row>
    <row r="6064" ht="22.5" customHeight="1">
      <c r="B6064" s="17"/>
      <c r="C6064" s="17"/>
      <c r="D6064" s="13"/>
      <c r="E6064" s="11"/>
      <c r="F6064" s="11"/>
      <c r="G6064" s="13">
        <f t="shared" si="1"/>
        <v>1281</v>
      </c>
      <c r="H6064" s="13"/>
    </row>
    <row r="6065" ht="22.5" customHeight="1">
      <c r="B6065" s="17"/>
      <c r="C6065" s="17"/>
      <c r="D6065" s="13"/>
      <c r="E6065" s="11"/>
      <c r="F6065" s="11"/>
      <c r="G6065" s="13">
        <f t="shared" si="1"/>
        <v>1281</v>
      </c>
      <c r="H6065" s="13"/>
    </row>
    <row r="6066" ht="22.5" customHeight="1">
      <c r="B6066" s="17"/>
      <c r="C6066" s="17"/>
      <c r="D6066" s="13"/>
      <c r="E6066" s="11"/>
      <c r="F6066" s="11"/>
      <c r="G6066" s="13">
        <f t="shared" si="1"/>
        <v>1281</v>
      </c>
      <c r="H6066" s="13"/>
    </row>
    <row r="6067" ht="22.5" customHeight="1">
      <c r="B6067" s="17"/>
      <c r="C6067" s="17"/>
      <c r="D6067" s="13"/>
      <c r="E6067" s="11"/>
      <c r="F6067" s="11"/>
      <c r="G6067" s="13">
        <f t="shared" si="1"/>
        <v>1281</v>
      </c>
      <c r="H6067" s="13"/>
    </row>
    <row r="6068" ht="22.5" customHeight="1">
      <c r="B6068" s="17"/>
      <c r="C6068" s="17"/>
      <c r="D6068" s="13"/>
      <c r="E6068" s="11"/>
      <c r="F6068" s="11"/>
      <c r="G6068" s="13">
        <f t="shared" si="1"/>
        <v>1281</v>
      </c>
      <c r="H6068" s="13"/>
    </row>
    <row r="6069" ht="22.5" customHeight="1">
      <c r="B6069" s="17"/>
      <c r="C6069" s="17"/>
      <c r="D6069" s="13"/>
      <c r="E6069" s="11"/>
      <c r="F6069" s="11"/>
      <c r="G6069" s="13">
        <f t="shared" si="1"/>
        <v>1281</v>
      </c>
      <c r="H6069" s="13"/>
    </row>
    <row r="6070" ht="22.5" customHeight="1">
      <c r="B6070" s="17"/>
      <c r="C6070" s="17"/>
      <c r="D6070" s="13"/>
      <c r="E6070" s="11"/>
      <c r="F6070" s="11"/>
      <c r="G6070" s="13">
        <f t="shared" si="1"/>
        <v>1281</v>
      </c>
      <c r="H6070" s="13"/>
    </row>
    <row r="6071" ht="22.5" customHeight="1">
      <c r="B6071" s="17"/>
      <c r="C6071" s="17"/>
      <c r="D6071" s="13"/>
      <c r="E6071" s="11"/>
      <c r="F6071" s="11"/>
      <c r="G6071" s="13">
        <f t="shared" si="1"/>
        <v>1281</v>
      </c>
      <c r="H6071" s="13"/>
    </row>
    <row r="6072" ht="22.5" customHeight="1">
      <c r="B6072" s="17"/>
      <c r="C6072" s="17"/>
      <c r="D6072" s="13"/>
      <c r="E6072" s="11"/>
      <c r="F6072" s="11"/>
      <c r="G6072" s="13">
        <f t="shared" si="1"/>
        <v>1281</v>
      </c>
      <c r="H6072" s="13"/>
    </row>
    <row r="6073" ht="22.5" customHeight="1">
      <c r="B6073" s="17"/>
      <c r="C6073" s="17"/>
      <c r="D6073" s="13"/>
      <c r="E6073" s="11"/>
      <c r="F6073" s="11"/>
      <c r="G6073" s="13">
        <f t="shared" si="1"/>
        <v>1281</v>
      </c>
      <c r="H6073" s="13"/>
    </row>
    <row r="6074" ht="22.5" customHeight="1">
      <c r="B6074" s="17"/>
      <c r="C6074" s="17"/>
      <c r="D6074" s="13"/>
      <c r="E6074" s="11"/>
      <c r="F6074" s="11"/>
      <c r="G6074" s="13">
        <f t="shared" si="1"/>
        <v>1281</v>
      </c>
      <c r="H6074" s="13"/>
    </row>
    <row r="6075" ht="22.5" customHeight="1">
      <c r="B6075" s="17"/>
      <c r="C6075" s="17"/>
      <c r="D6075" s="13"/>
      <c r="E6075" s="11"/>
      <c r="F6075" s="11"/>
      <c r="G6075" s="13">
        <f t="shared" si="1"/>
        <v>1281</v>
      </c>
      <c r="H6075" s="13"/>
    </row>
    <row r="6076" ht="22.5" customHeight="1">
      <c r="B6076" s="17"/>
      <c r="C6076" s="17"/>
      <c r="D6076" s="13"/>
      <c r="E6076" s="11"/>
      <c r="F6076" s="11"/>
      <c r="G6076" s="13">
        <f t="shared" si="1"/>
        <v>1281</v>
      </c>
      <c r="H6076" s="13"/>
    </row>
    <row r="6077" ht="22.5" customHeight="1">
      <c r="B6077" s="17"/>
      <c r="C6077" s="17"/>
      <c r="D6077" s="13"/>
      <c r="E6077" s="11"/>
      <c r="F6077" s="11"/>
      <c r="G6077" s="13">
        <f t="shared" si="1"/>
        <v>1281</v>
      </c>
      <c r="H6077" s="13"/>
    </row>
    <row r="6078" ht="22.5" customHeight="1">
      <c r="B6078" s="17"/>
      <c r="C6078" s="17"/>
      <c r="D6078" s="13"/>
      <c r="E6078" s="11"/>
      <c r="F6078" s="11"/>
      <c r="G6078" s="13">
        <f t="shared" si="1"/>
        <v>1281</v>
      </c>
      <c r="H6078" s="13"/>
    </row>
    <row r="6079" ht="22.5" customHeight="1">
      <c r="B6079" s="17"/>
      <c r="C6079" s="17"/>
      <c r="D6079" s="13"/>
      <c r="E6079" s="11"/>
      <c r="F6079" s="11"/>
      <c r="G6079" s="13">
        <f t="shared" si="1"/>
        <v>1281</v>
      </c>
      <c r="H6079" s="13"/>
    </row>
    <row r="6080" ht="22.5" customHeight="1">
      <c r="B6080" s="17"/>
      <c r="C6080" s="17"/>
      <c r="D6080" s="13"/>
      <c r="E6080" s="11"/>
      <c r="F6080" s="11"/>
      <c r="G6080" s="13">
        <f t="shared" si="1"/>
        <v>1281</v>
      </c>
      <c r="H6080" s="13"/>
    </row>
    <row r="6081" ht="22.5" customHeight="1">
      <c r="B6081" s="17"/>
      <c r="C6081" s="17"/>
      <c r="D6081" s="13"/>
      <c r="E6081" s="11"/>
      <c r="F6081" s="11"/>
      <c r="G6081" s="13">
        <f t="shared" si="1"/>
        <v>1281</v>
      </c>
      <c r="H6081" s="13"/>
    </row>
    <row r="6082" ht="22.5" customHeight="1">
      <c r="B6082" s="17"/>
      <c r="C6082" s="17"/>
      <c r="D6082" s="13"/>
      <c r="E6082" s="11"/>
      <c r="F6082" s="11"/>
      <c r="G6082" s="13">
        <f t="shared" si="1"/>
        <v>1281</v>
      </c>
      <c r="H6082" s="13"/>
    </row>
    <row r="6083" ht="22.5" customHeight="1">
      <c r="B6083" s="17"/>
      <c r="C6083" s="17"/>
      <c r="D6083" s="13"/>
      <c r="E6083" s="11"/>
      <c r="F6083" s="11"/>
      <c r="G6083" s="13">
        <f t="shared" si="1"/>
        <v>1281</v>
      </c>
      <c r="H6083" s="13"/>
    </row>
    <row r="6084" ht="22.5" customHeight="1">
      <c r="B6084" s="17"/>
      <c r="C6084" s="17"/>
      <c r="D6084" s="13"/>
      <c r="E6084" s="11"/>
      <c r="F6084" s="11"/>
      <c r="G6084" s="13">
        <f t="shared" si="1"/>
        <v>1281</v>
      </c>
      <c r="H6084" s="13"/>
    </row>
    <row r="6085" ht="22.5" customHeight="1">
      <c r="B6085" s="17"/>
      <c r="C6085" s="17"/>
      <c r="D6085" s="13"/>
      <c r="E6085" s="11"/>
      <c r="F6085" s="11"/>
      <c r="G6085" s="13">
        <f t="shared" si="1"/>
        <v>1281</v>
      </c>
      <c r="H6085" s="13"/>
    </row>
    <row r="6086" ht="22.5" customHeight="1">
      <c r="B6086" s="17"/>
      <c r="C6086" s="17"/>
      <c r="D6086" s="13"/>
      <c r="E6086" s="11"/>
      <c r="F6086" s="11"/>
      <c r="G6086" s="13">
        <f t="shared" si="1"/>
        <v>1281</v>
      </c>
      <c r="H6086" s="13"/>
    </row>
    <row r="6087" ht="22.5" customHeight="1">
      <c r="B6087" s="17"/>
      <c r="C6087" s="17"/>
      <c r="D6087" s="13"/>
      <c r="E6087" s="11"/>
      <c r="F6087" s="11"/>
      <c r="G6087" s="13">
        <f t="shared" si="1"/>
        <v>1281</v>
      </c>
      <c r="H6087" s="13"/>
    </row>
    <row r="6088" ht="22.5" customHeight="1">
      <c r="B6088" s="17"/>
      <c r="C6088" s="17"/>
      <c r="D6088" s="13"/>
      <c r="E6088" s="11"/>
      <c r="F6088" s="11"/>
      <c r="G6088" s="13">
        <f t="shared" si="1"/>
        <v>1281</v>
      </c>
      <c r="H6088" s="13"/>
    </row>
    <row r="6089" ht="22.5" customHeight="1">
      <c r="B6089" s="17"/>
      <c r="C6089" s="17"/>
      <c r="D6089" s="13"/>
      <c r="E6089" s="11"/>
      <c r="F6089" s="11"/>
      <c r="G6089" s="13">
        <f t="shared" si="1"/>
        <v>1281</v>
      </c>
      <c r="H6089" s="13"/>
    </row>
    <row r="6090" ht="22.5" customHeight="1">
      <c r="B6090" s="17"/>
      <c r="C6090" s="17"/>
      <c r="D6090" s="13"/>
      <c r="E6090" s="11"/>
      <c r="F6090" s="11"/>
      <c r="G6090" s="13">
        <f t="shared" si="1"/>
        <v>1281</v>
      </c>
      <c r="H6090" s="13"/>
    </row>
    <row r="6091" ht="22.5" customHeight="1">
      <c r="B6091" s="17"/>
      <c r="C6091" s="17"/>
      <c r="D6091" s="13"/>
      <c r="E6091" s="11"/>
      <c r="F6091" s="11"/>
      <c r="G6091" s="13">
        <f t="shared" si="1"/>
        <v>1281</v>
      </c>
      <c r="H6091" s="13"/>
    </row>
    <row r="6092" ht="22.5" customHeight="1">
      <c r="B6092" s="17"/>
      <c r="C6092" s="17"/>
      <c r="D6092" s="13"/>
      <c r="E6092" s="11"/>
      <c r="F6092" s="11"/>
      <c r="G6092" s="13">
        <f t="shared" si="1"/>
        <v>1281</v>
      </c>
      <c r="H6092" s="13"/>
    </row>
    <row r="6093" ht="22.5" customHeight="1">
      <c r="B6093" s="17"/>
      <c r="C6093" s="17"/>
      <c r="D6093" s="13"/>
      <c r="E6093" s="11"/>
      <c r="F6093" s="11"/>
      <c r="G6093" s="13">
        <f t="shared" si="1"/>
        <v>1281</v>
      </c>
      <c r="H6093" s="13"/>
    </row>
    <row r="6094" ht="22.5" customHeight="1">
      <c r="B6094" s="17"/>
      <c r="C6094" s="17"/>
      <c r="D6094" s="13"/>
      <c r="E6094" s="11"/>
      <c r="F6094" s="11"/>
      <c r="G6094" s="13">
        <f t="shared" si="1"/>
        <v>1281</v>
      </c>
      <c r="H6094" s="13"/>
    </row>
    <row r="6095" ht="22.5" customHeight="1">
      <c r="B6095" s="17"/>
      <c r="C6095" s="17"/>
      <c r="D6095" s="13"/>
      <c r="E6095" s="11"/>
      <c r="F6095" s="11"/>
      <c r="G6095" s="13">
        <f t="shared" si="1"/>
        <v>1281</v>
      </c>
      <c r="H6095" s="13"/>
    </row>
    <row r="6096" ht="22.5" customHeight="1">
      <c r="B6096" s="17"/>
      <c r="C6096" s="17"/>
      <c r="D6096" s="13"/>
      <c r="E6096" s="11"/>
      <c r="F6096" s="11"/>
      <c r="G6096" s="13">
        <f t="shared" si="1"/>
        <v>1281</v>
      </c>
      <c r="H6096" s="13"/>
    </row>
    <row r="6097" ht="22.5" customHeight="1">
      <c r="B6097" s="17"/>
      <c r="C6097" s="17"/>
      <c r="D6097" s="13"/>
      <c r="E6097" s="11"/>
      <c r="F6097" s="11"/>
      <c r="G6097" s="13">
        <f t="shared" si="1"/>
        <v>1281</v>
      </c>
      <c r="H6097" s="13"/>
    </row>
    <row r="6098" ht="22.5" customHeight="1">
      <c r="B6098" s="17"/>
      <c r="C6098" s="17"/>
      <c r="D6098" s="13"/>
      <c r="E6098" s="11"/>
      <c r="F6098" s="11"/>
      <c r="G6098" s="13">
        <f t="shared" si="1"/>
        <v>1281</v>
      </c>
      <c r="H6098" s="13"/>
    </row>
    <row r="6099" ht="22.5" customHeight="1">
      <c r="B6099" s="17"/>
      <c r="C6099" s="17"/>
      <c r="D6099" s="13"/>
      <c r="E6099" s="11"/>
      <c r="F6099" s="11"/>
      <c r="G6099" s="13">
        <f t="shared" si="1"/>
        <v>1281</v>
      </c>
      <c r="H6099" s="13"/>
    </row>
    <row r="6100" ht="22.5" customHeight="1">
      <c r="B6100" s="17"/>
      <c r="C6100" s="17"/>
      <c r="D6100" s="13"/>
      <c r="E6100" s="11"/>
      <c r="F6100" s="11"/>
      <c r="G6100" s="13">
        <f t="shared" si="1"/>
        <v>1281</v>
      </c>
      <c r="H6100" s="13"/>
    </row>
    <row r="6101" ht="22.5" customHeight="1">
      <c r="B6101" s="17"/>
      <c r="C6101" s="17"/>
      <c r="D6101" s="13"/>
      <c r="E6101" s="11"/>
      <c r="F6101" s="11"/>
      <c r="G6101" s="13">
        <f t="shared" si="1"/>
        <v>1281</v>
      </c>
      <c r="H6101" s="13"/>
    </row>
    <row r="6102" ht="22.5" customHeight="1">
      <c r="B6102" s="17"/>
      <c r="C6102" s="17"/>
      <c r="D6102" s="13"/>
      <c r="E6102" s="11"/>
      <c r="F6102" s="11"/>
      <c r="G6102" s="13">
        <f t="shared" si="1"/>
        <v>1281</v>
      </c>
      <c r="H6102" s="13"/>
    </row>
    <row r="6103" ht="22.5" customHeight="1">
      <c r="B6103" s="17"/>
      <c r="C6103" s="17"/>
      <c r="D6103" s="13"/>
      <c r="E6103" s="11"/>
      <c r="F6103" s="11"/>
      <c r="G6103" s="13">
        <f t="shared" si="1"/>
        <v>1281</v>
      </c>
      <c r="H6103" s="13"/>
    </row>
    <row r="6104" ht="22.5" customHeight="1">
      <c r="B6104" s="17"/>
      <c r="C6104" s="17"/>
      <c r="D6104" s="13"/>
      <c r="E6104" s="11"/>
      <c r="F6104" s="11"/>
      <c r="G6104" s="13">
        <f t="shared" si="1"/>
        <v>1281</v>
      </c>
      <c r="H6104" s="13"/>
    </row>
    <row r="6105" ht="22.5" customHeight="1">
      <c r="B6105" s="17"/>
      <c r="C6105" s="17"/>
      <c r="D6105" s="13"/>
      <c r="E6105" s="11"/>
      <c r="F6105" s="11"/>
      <c r="G6105" s="13">
        <f t="shared" si="1"/>
        <v>1281</v>
      </c>
      <c r="H6105" s="13"/>
    </row>
    <row r="6106" ht="22.5" customHeight="1">
      <c r="B6106" s="17"/>
      <c r="C6106" s="17"/>
      <c r="D6106" s="13"/>
      <c r="E6106" s="11"/>
      <c r="F6106" s="11"/>
      <c r="G6106" s="13">
        <f t="shared" si="1"/>
        <v>1281</v>
      </c>
      <c r="H6106" s="13"/>
    </row>
    <row r="6107" ht="22.5" customHeight="1">
      <c r="B6107" s="17"/>
      <c r="C6107" s="17"/>
      <c r="D6107" s="13"/>
      <c r="E6107" s="11"/>
      <c r="F6107" s="11"/>
      <c r="G6107" s="13">
        <f t="shared" si="1"/>
        <v>1281</v>
      </c>
      <c r="H6107" s="13"/>
    </row>
    <row r="6108" ht="22.5" customHeight="1">
      <c r="B6108" s="17"/>
      <c r="C6108" s="17"/>
      <c r="D6108" s="13"/>
      <c r="E6108" s="11"/>
      <c r="F6108" s="11"/>
      <c r="G6108" s="13">
        <f t="shared" si="1"/>
        <v>1281</v>
      </c>
      <c r="H6108" s="13"/>
    </row>
    <row r="6109" ht="22.5" customHeight="1">
      <c r="B6109" s="17"/>
      <c r="C6109" s="17"/>
      <c r="D6109" s="13"/>
      <c r="E6109" s="11"/>
      <c r="F6109" s="11"/>
      <c r="G6109" s="13">
        <f t="shared" si="1"/>
        <v>1281</v>
      </c>
      <c r="H6109" s="13"/>
    </row>
    <row r="6110" ht="22.5" customHeight="1">
      <c r="B6110" s="17"/>
      <c r="C6110" s="17"/>
      <c r="D6110" s="13"/>
      <c r="E6110" s="11"/>
      <c r="F6110" s="11"/>
      <c r="G6110" s="13">
        <f t="shared" si="1"/>
        <v>1281</v>
      </c>
      <c r="H6110" s="13"/>
    </row>
    <row r="6111" ht="22.5" customHeight="1">
      <c r="B6111" s="17"/>
      <c r="C6111" s="17"/>
      <c r="D6111" s="13"/>
      <c r="E6111" s="11"/>
      <c r="F6111" s="11"/>
      <c r="G6111" s="13">
        <f t="shared" si="1"/>
        <v>1281</v>
      </c>
      <c r="H6111" s="13"/>
    </row>
    <row r="6112" ht="22.5" customHeight="1">
      <c r="B6112" s="17"/>
      <c r="C6112" s="17"/>
      <c r="D6112" s="13"/>
      <c r="E6112" s="11"/>
      <c r="F6112" s="11"/>
      <c r="G6112" s="13">
        <f t="shared" si="1"/>
        <v>1281</v>
      </c>
      <c r="H6112" s="13"/>
    </row>
    <row r="6113" ht="22.5" customHeight="1">
      <c r="B6113" s="17"/>
      <c r="C6113" s="17"/>
      <c r="D6113" s="13"/>
      <c r="E6113" s="11"/>
      <c r="F6113" s="11"/>
      <c r="G6113" s="13">
        <f t="shared" si="1"/>
        <v>1281</v>
      </c>
      <c r="H6113" s="13"/>
    </row>
    <row r="6114" ht="22.5" customHeight="1">
      <c r="B6114" s="17"/>
      <c r="C6114" s="17"/>
      <c r="D6114" s="13"/>
      <c r="E6114" s="11"/>
      <c r="F6114" s="11"/>
      <c r="G6114" s="13">
        <f t="shared" si="1"/>
        <v>1281</v>
      </c>
      <c r="H6114" s="13"/>
    </row>
    <row r="6115" ht="22.5" customHeight="1">
      <c r="B6115" s="17"/>
      <c r="C6115" s="17"/>
      <c r="D6115" s="13"/>
      <c r="E6115" s="11"/>
      <c r="F6115" s="11"/>
      <c r="G6115" s="13">
        <f t="shared" si="1"/>
        <v>1281</v>
      </c>
      <c r="H6115" s="13"/>
    </row>
    <row r="6116" ht="22.5" customHeight="1">
      <c r="B6116" s="17"/>
      <c r="C6116" s="17"/>
      <c r="D6116" s="13"/>
      <c r="E6116" s="11"/>
      <c r="F6116" s="11"/>
      <c r="G6116" s="13">
        <f t="shared" si="1"/>
        <v>1281</v>
      </c>
      <c r="H6116" s="13"/>
    </row>
    <row r="6117" ht="22.5" customHeight="1">
      <c r="B6117" s="17"/>
      <c r="C6117" s="17"/>
      <c r="D6117" s="13"/>
      <c r="E6117" s="11"/>
      <c r="F6117" s="11"/>
      <c r="G6117" s="13">
        <f t="shared" si="1"/>
        <v>1281</v>
      </c>
      <c r="H6117" s="13"/>
    </row>
    <row r="6118" ht="22.5" customHeight="1">
      <c r="B6118" s="17"/>
      <c r="C6118" s="17"/>
      <c r="D6118" s="13"/>
      <c r="E6118" s="11"/>
      <c r="F6118" s="11"/>
      <c r="G6118" s="13">
        <f t="shared" si="1"/>
        <v>1281</v>
      </c>
      <c r="H6118" s="13"/>
    </row>
    <row r="6119" ht="22.5" customHeight="1">
      <c r="B6119" s="17"/>
      <c r="C6119" s="17"/>
      <c r="D6119" s="13"/>
      <c r="E6119" s="11"/>
      <c r="F6119" s="11"/>
      <c r="G6119" s="13">
        <f t="shared" si="1"/>
        <v>1281</v>
      </c>
      <c r="H6119" s="13"/>
    </row>
    <row r="6120" ht="22.5" customHeight="1">
      <c r="B6120" s="17"/>
      <c r="C6120" s="17"/>
      <c r="D6120" s="13"/>
      <c r="E6120" s="11"/>
      <c r="F6120" s="11"/>
      <c r="G6120" s="13">
        <f t="shared" si="1"/>
        <v>1281</v>
      </c>
      <c r="H6120" s="13"/>
    </row>
    <row r="6121" ht="22.5" customHeight="1">
      <c r="B6121" s="17"/>
      <c r="C6121" s="17"/>
      <c r="D6121" s="13"/>
      <c r="E6121" s="11"/>
      <c r="F6121" s="11"/>
      <c r="G6121" s="13">
        <f t="shared" si="1"/>
        <v>1281</v>
      </c>
      <c r="H6121" s="13"/>
    </row>
    <row r="6122" ht="22.5" customHeight="1">
      <c r="B6122" s="17"/>
      <c r="C6122" s="17"/>
      <c r="D6122" s="13"/>
      <c r="E6122" s="11"/>
      <c r="F6122" s="11"/>
      <c r="G6122" s="13">
        <f t="shared" si="1"/>
        <v>1281</v>
      </c>
      <c r="H6122" s="13"/>
    </row>
    <row r="6123" ht="22.5" customHeight="1">
      <c r="B6123" s="17"/>
      <c r="C6123" s="17"/>
      <c r="D6123" s="13"/>
      <c r="E6123" s="11"/>
      <c r="F6123" s="11"/>
      <c r="G6123" s="13">
        <f t="shared" si="1"/>
        <v>1281</v>
      </c>
      <c r="H6123" s="13"/>
    </row>
    <row r="6124" ht="22.5" customHeight="1">
      <c r="B6124" s="17"/>
      <c r="C6124" s="17"/>
      <c r="D6124" s="13"/>
      <c r="E6124" s="11"/>
      <c r="F6124" s="11"/>
      <c r="G6124" s="13">
        <f t="shared" si="1"/>
        <v>1281</v>
      </c>
      <c r="H6124" s="13"/>
    </row>
    <row r="6125" ht="22.5" customHeight="1">
      <c r="B6125" s="17"/>
      <c r="C6125" s="17"/>
      <c r="D6125" s="13"/>
      <c r="E6125" s="11"/>
      <c r="F6125" s="11"/>
      <c r="G6125" s="13">
        <f t="shared" si="1"/>
        <v>1281</v>
      </c>
      <c r="H6125" s="13"/>
    </row>
    <row r="6126" ht="22.5" customHeight="1">
      <c r="B6126" s="17"/>
      <c r="C6126" s="17"/>
      <c r="D6126" s="13"/>
      <c r="E6126" s="11"/>
      <c r="F6126" s="11"/>
      <c r="G6126" s="13">
        <f t="shared" si="1"/>
        <v>1281</v>
      </c>
      <c r="H6126" s="13"/>
    </row>
    <row r="6127" ht="22.5" customHeight="1">
      <c r="B6127" s="17"/>
      <c r="C6127" s="17"/>
      <c r="D6127" s="13"/>
      <c r="E6127" s="11"/>
      <c r="F6127" s="11"/>
      <c r="G6127" s="13">
        <f t="shared" si="1"/>
        <v>1281</v>
      </c>
      <c r="H6127" s="13"/>
    </row>
    <row r="6128" ht="22.5" customHeight="1">
      <c r="B6128" s="17"/>
      <c r="C6128" s="17"/>
      <c r="D6128" s="13"/>
      <c r="E6128" s="11"/>
      <c r="F6128" s="11"/>
      <c r="G6128" s="13">
        <f t="shared" si="1"/>
        <v>1281</v>
      </c>
      <c r="H6128" s="13"/>
    </row>
    <row r="6129" ht="22.5" customHeight="1">
      <c r="B6129" s="17"/>
      <c r="C6129" s="17"/>
      <c r="D6129" s="13"/>
      <c r="E6129" s="11"/>
      <c r="F6129" s="11"/>
      <c r="G6129" s="13">
        <f t="shared" si="1"/>
        <v>1281</v>
      </c>
      <c r="H6129" s="13"/>
    </row>
    <row r="6130" ht="22.5" customHeight="1">
      <c r="B6130" s="17"/>
      <c r="C6130" s="17"/>
      <c r="D6130" s="13"/>
      <c r="E6130" s="11"/>
      <c r="F6130" s="11"/>
      <c r="G6130" s="13">
        <f t="shared" si="1"/>
        <v>1281</v>
      </c>
      <c r="H6130" s="13"/>
    </row>
    <row r="6131" ht="22.5" customHeight="1">
      <c r="B6131" s="17"/>
      <c r="C6131" s="17"/>
      <c r="D6131" s="13"/>
      <c r="E6131" s="11"/>
      <c r="F6131" s="11"/>
      <c r="G6131" s="13">
        <f t="shared" si="1"/>
        <v>1281</v>
      </c>
      <c r="H6131" s="13"/>
    </row>
    <row r="6132" ht="22.5" customHeight="1">
      <c r="B6132" s="17"/>
      <c r="C6132" s="17"/>
      <c r="D6132" s="13"/>
      <c r="E6132" s="11"/>
      <c r="F6132" s="11"/>
      <c r="G6132" s="13">
        <f t="shared" si="1"/>
        <v>1281</v>
      </c>
      <c r="H6132" s="13"/>
    </row>
    <row r="6133" ht="22.5" customHeight="1">
      <c r="B6133" s="17"/>
      <c r="C6133" s="17"/>
      <c r="D6133" s="13"/>
      <c r="E6133" s="11"/>
      <c r="F6133" s="11"/>
      <c r="G6133" s="13">
        <f t="shared" si="1"/>
        <v>1281</v>
      </c>
      <c r="H6133" s="13"/>
    </row>
    <row r="6134" ht="22.5" customHeight="1">
      <c r="B6134" s="17"/>
      <c r="C6134" s="17"/>
      <c r="D6134" s="13"/>
      <c r="E6134" s="11"/>
      <c r="F6134" s="11"/>
      <c r="G6134" s="13">
        <f t="shared" si="1"/>
        <v>1281</v>
      </c>
      <c r="H6134" s="13"/>
    </row>
    <row r="6135" ht="22.5" customHeight="1">
      <c r="B6135" s="17"/>
      <c r="C6135" s="17"/>
      <c r="D6135" s="13"/>
      <c r="E6135" s="11"/>
      <c r="F6135" s="11"/>
      <c r="G6135" s="13">
        <f t="shared" si="1"/>
        <v>1281</v>
      </c>
      <c r="H6135" s="13"/>
    </row>
    <row r="6136" ht="22.5" customHeight="1">
      <c r="B6136" s="17"/>
      <c r="C6136" s="17"/>
      <c r="D6136" s="13"/>
      <c r="E6136" s="11"/>
      <c r="F6136" s="11"/>
      <c r="G6136" s="13">
        <f t="shared" si="1"/>
        <v>1281</v>
      </c>
      <c r="H6136" s="13"/>
    </row>
    <row r="6137" ht="22.5" customHeight="1">
      <c r="B6137" s="17"/>
      <c r="C6137" s="17"/>
      <c r="D6137" s="13"/>
      <c r="E6137" s="11"/>
      <c r="F6137" s="11"/>
      <c r="G6137" s="13">
        <f t="shared" si="1"/>
        <v>1281</v>
      </c>
      <c r="H6137" s="13"/>
    </row>
    <row r="6138" ht="22.5" customHeight="1">
      <c r="B6138" s="17"/>
      <c r="C6138" s="17"/>
      <c r="D6138" s="13"/>
      <c r="E6138" s="11"/>
      <c r="F6138" s="11"/>
      <c r="G6138" s="13">
        <f t="shared" si="1"/>
        <v>1281</v>
      </c>
      <c r="H6138" s="13"/>
    </row>
    <row r="6139" ht="22.5" customHeight="1">
      <c r="B6139" s="17"/>
      <c r="C6139" s="17"/>
      <c r="D6139" s="13"/>
      <c r="E6139" s="11"/>
      <c r="F6139" s="11"/>
      <c r="G6139" s="13">
        <f t="shared" si="1"/>
        <v>1281</v>
      </c>
      <c r="H6139" s="13"/>
    </row>
    <row r="6140" ht="22.5" customHeight="1">
      <c r="B6140" s="17"/>
      <c r="C6140" s="17"/>
      <c r="D6140" s="13"/>
      <c r="E6140" s="11"/>
      <c r="F6140" s="11"/>
      <c r="G6140" s="13">
        <f t="shared" si="1"/>
        <v>1281</v>
      </c>
      <c r="H6140" s="13"/>
    </row>
    <row r="6141" ht="22.5" customHeight="1">
      <c r="B6141" s="17"/>
      <c r="C6141" s="17"/>
      <c r="D6141" s="13"/>
      <c r="E6141" s="11"/>
      <c r="F6141" s="11"/>
      <c r="G6141" s="13">
        <f t="shared" si="1"/>
        <v>1281</v>
      </c>
      <c r="H6141" s="13"/>
    </row>
    <row r="6142" ht="22.5" customHeight="1">
      <c r="B6142" s="17"/>
      <c r="C6142" s="17"/>
      <c r="D6142" s="13"/>
      <c r="E6142" s="11"/>
      <c r="F6142" s="11"/>
      <c r="G6142" s="13">
        <f t="shared" si="1"/>
        <v>1281</v>
      </c>
      <c r="H6142" s="13"/>
    </row>
    <row r="6143" ht="22.5" customHeight="1">
      <c r="B6143" s="17"/>
      <c r="C6143" s="17"/>
      <c r="D6143" s="13"/>
      <c r="E6143" s="11"/>
      <c r="F6143" s="11"/>
      <c r="G6143" s="13">
        <f t="shared" si="1"/>
        <v>1281</v>
      </c>
      <c r="H6143" s="13"/>
    </row>
    <row r="6144" ht="22.5" customHeight="1">
      <c r="B6144" s="17"/>
      <c r="C6144" s="17"/>
      <c r="D6144" s="13"/>
      <c r="E6144" s="11"/>
      <c r="F6144" s="11"/>
      <c r="G6144" s="13">
        <f t="shared" si="1"/>
        <v>1281</v>
      </c>
      <c r="H6144" s="13"/>
    </row>
    <row r="6145" ht="22.5" customHeight="1">
      <c r="B6145" s="17"/>
      <c r="C6145" s="17"/>
      <c r="D6145" s="13"/>
      <c r="E6145" s="11"/>
      <c r="F6145" s="11"/>
      <c r="G6145" s="13">
        <f t="shared" si="1"/>
        <v>1281</v>
      </c>
      <c r="H6145" s="13"/>
    </row>
    <row r="6146" ht="22.5" customHeight="1">
      <c r="B6146" s="17"/>
      <c r="C6146" s="17"/>
      <c r="D6146" s="13"/>
      <c r="E6146" s="11"/>
      <c r="F6146" s="11"/>
      <c r="G6146" s="13">
        <f t="shared" si="1"/>
        <v>1281</v>
      </c>
      <c r="H6146" s="13"/>
    </row>
    <row r="6147" ht="22.5" customHeight="1">
      <c r="B6147" s="17"/>
      <c r="C6147" s="17"/>
      <c r="D6147" s="13"/>
      <c r="E6147" s="11"/>
      <c r="F6147" s="11"/>
      <c r="G6147" s="13">
        <f t="shared" si="1"/>
        <v>1281</v>
      </c>
      <c r="H6147" s="13"/>
    </row>
    <row r="6148" ht="22.5" customHeight="1">
      <c r="B6148" s="17"/>
      <c r="C6148" s="17"/>
      <c r="D6148" s="13"/>
      <c r="E6148" s="11"/>
      <c r="F6148" s="11"/>
      <c r="G6148" s="13">
        <f t="shared" si="1"/>
        <v>1281</v>
      </c>
      <c r="H6148" s="13"/>
    </row>
    <row r="6149" ht="22.5" customHeight="1">
      <c r="B6149" s="17"/>
      <c r="C6149" s="17"/>
      <c r="D6149" s="13"/>
      <c r="E6149" s="11"/>
      <c r="F6149" s="11"/>
      <c r="G6149" s="13">
        <f t="shared" si="1"/>
        <v>1281</v>
      </c>
      <c r="H6149" s="13"/>
    </row>
    <row r="6150" ht="22.5" customHeight="1">
      <c r="B6150" s="17"/>
      <c r="C6150" s="17"/>
      <c r="D6150" s="13"/>
      <c r="E6150" s="11"/>
      <c r="F6150" s="11"/>
      <c r="G6150" s="13">
        <f t="shared" si="1"/>
        <v>1281</v>
      </c>
      <c r="H6150" s="13"/>
    </row>
    <row r="6151" ht="22.5" customHeight="1">
      <c r="B6151" s="17"/>
      <c r="C6151" s="17"/>
      <c r="D6151" s="13"/>
      <c r="E6151" s="11"/>
      <c r="F6151" s="11"/>
      <c r="G6151" s="13">
        <f t="shared" si="1"/>
        <v>1281</v>
      </c>
      <c r="H6151" s="13"/>
    </row>
    <row r="6152" ht="22.5" customHeight="1">
      <c r="B6152" s="17"/>
      <c r="C6152" s="17"/>
      <c r="D6152" s="13"/>
      <c r="E6152" s="11"/>
      <c r="F6152" s="11"/>
      <c r="G6152" s="13">
        <f t="shared" si="1"/>
        <v>1281</v>
      </c>
      <c r="H6152" s="13"/>
    </row>
    <row r="6153" ht="22.5" customHeight="1">
      <c r="B6153" s="17"/>
      <c r="C6153" s="17"/>
      <c r="D6153" s="13"/>
      <c r="E6153" s="11"/>
      <c r="F6153" s="11"/>
      <c r="G6153" s="13">
        <f t="shared" si="1"/>
        <v>1281</v>
      </c>
      <c r="H6153" s="13"/>
    </row>
    <row r="6154" ht="22.5" customHeight="1">
      <c r="B6154" s="17"/>
      <c r="C6154" s="17"/>
      <c r="D6154" s="13"/>
      <c r="E6154" s="11"/>
      <c r="F6154" s="11"/>
      <c r="G6154" s="13">
        <f t="shared" si="1"/>
        <v>1281</v>
      </c>
      <c r="H6154" s="13"/>
    </row>
    <row r="6155" ht="22.5" customHeight="1">
      <c r="B6155" s="17"/>
      <c r="C6155" s="17"/>
      <c r="D6155" s="13"/>
      <c r="E6155" s="11"/>
      <c r="F6155" s="11"/>
      <c r="G6155" s="13">
        <f t="shared" si="1"/>
        <v>1281</v>
      </c>
      <c r="H6155" s="13"/>
    </row>
    <row r="6156" ht="22.5" customHeight="1">
      <c r="B6156" s="17"/>
      <c r="C6156" s="17"/>
      <c r="D6156" s="13"/>
      <c r="E6156" s="11"/>
      <c r="F6156" s="11"/>
      <c r="G6156" s="13">
        <f t="shared" si="1"/>
        <v>1281</v>
      </c>
      <c r="H6156" s="13"/>
    </row>
    <row r="6157" ht="22.5" customHeight="1">
      <c r="B6157" s="17"/>
      <c r="C6157" s="17"/>
      <c r="D6157" s="13"/>
      <c r="E6157" s="11"/>
      <c r="F6157" s="11"/>
      <c r="G6157" s="13">
        <f t="shared" si="1"/>
        <v>1281</v>
      </c>
      <c r="H6157" s="13"/>
    </row>
    <row r="6158" ht="22.5" customHeight="1">
      <c r="B6158" s="17"/>
      <c r="C6158" s="17"/>
      <c r="D6158" s="13"/>
      <c r="E6158" s="11"/>
      <c r="F6158" s="11"/>
      <c r="G6158" s="13">
        <f t="shared" si="1"/>
        <v>1281</v>
      </c>
      <c r="H6158" s="13"/>
    </row>
    <row r="6159" ht="22.5" customHeight="1">
      <c r="B6159" s="17"/>
      <c r="C6159" s="17"/>
      <c r="D6159" s="13"/>
      <c r="E6159" s="11"/>
      <c r="F6159" s="11"/>
      <c r="G6159" s="13">
        <f t="shared" si="1"/>
        <v>1281</v>
      </c>
      <c r="H6159" s="13"/>
    </row>
    <row r="6160" ht="22.5" customHeight="1">
      <c r="B6160" s="17"/>
      <c r="C6160" s="17"/>
      <c r="D6160" s="13"/>
      <c r="E6160" s="11"/>
      <c r="F6160" s="11"/>
      <c r="G6160" s="13">
        <f t="shared" si="1"/>
        <v>1281</v>
      </c>
      <c r="H6160" s="13"/>
    </row>
    <row r="6161" ht="22.5" customHeight="1">
      <c r="B6161" s="17"/>
      <c r="C6161" s="17"/>
      <c r="D6161" s="13"/>
      <c r="E6161" s="11"/>
      <c r="F6161" s="11"/>
      <c r="G6161" s="13">
        <f t="shared" si="1"/>
        <v>1281</v>
      </c>
      <c r="H6161" s="13"/>
    </row>
    <row r="6162" ht="22.5" customHeight="1">
      <c r="B6162" s="17"/>
      <c r="C6162" s="17"/>
      <c r="D6162" s="13"/>
      <c r="E6162" s="11"/>
      <c r="F6162" s="11"/>
      <c r="G6162" s="13">
        <f t="shared" si="1"/>
        <v>1281</v>
      </c>
      <c r="H6162" s="13"/>
    </row>
    <row r="6163" ht="22.5" customHeight="1">
      <c r="B6163" s="17"/>
      <c r="C6163" s="17"/>
      <c r="D6163" s="13"/>
      <c r="E6163" s="11"/>
      <c r="F6163" s="11"/>
      <c r="G6163" s="13">
        <f t="shared" si="1"/>
        <v>1281</v>
      </c>
      <c r="H6163" s="13"/>
    </row>
    <row r="6164" ht="22.5" customHeight="1">
      <c r="B6164" s="17"/>
      <c r="C6164" s="17"/>
      <c r="D6164" s="13"/>
      <c r="E6164" s="11"/>
      <c r="F6164" s="11"/>
      <c r="G6164" s="13">
        <f t="shared" si="1"/>
        <v>1281</v>
      </c>
      <c r="H6164" s="13"/>
    </row>
    <row r="6165" ht="22.5" customHeight="1">
      <c r="B6165" s="17"/>
      <c r="C6165" s="17"/>
      <c r="D6165" s="13"/>
      <c r="E6165" s="11"/>
      <c r="F6165" s="11"/>
      <c r="G6165" s="13">
        <f t="shared" si="1"/>
        <v>1281</v>
      </c>
      <c r="H6165" s="13"/>
    </row>
    <row r="6166" ht="22.5" customHeight="1">
      <c r="B6166" s="17"/>
      <c r="C6166" s="17"/>
      <c r="D6166" s="13"/>
      <c r="E6166" s="11"/>
      <c r="F6166" s="11"/>
      <c r="G6166" s="13">
        <f t="shared" si="1"/>
        <v>1281</v>
      </c>
      <c r="H6166" s="13"/>
    </row>
    <row r="6167" ht="22.5" customHeight="1">
      <c r="B6167" s="17"/>
      <c r="C6167" s="17"/>
      <c r="D6167" s="13"/>
      <c r="E6167" s="11"/>
      <c r="F6167" s="11"/>
      <c r="G6167" s="13">
        <f t="shared" si="1"/>
        <v>1281</v>
      </c>
      <c r="H6167" s="13"/>
    </row>
    <row r="6168" ht="22.5" customHeight="1">
      <c r="B6168" s="17"/>
      <c r="C6168" s="17"/>
      <c r="D6168" s="13"/>
      <c r="E6168" s="11"/>
      <c r="F6168" s="11"/>
      <c r="G6168" s="13">
        <f t="shared" si="1"/>
        <v>1281</v>
      </c>
      <c r="H6168" s="13"/>
    </row>
    <row r="6169" ht="22.5" customHeight="1">
      <c r="B6169" s="17"/>
      <c r="C6169" s="17"/>
      <c r="D6169" s="13"/>
      <c r="E6169" s="11"/>
      <c r="F6169" s="11"/>
      <c r="G6169" s="13">
        <f t="shared" si="1"/>
        <v>1281</v>
      </c>
      <c r="H6169" s="13"/>
    </row>
    <row r="6170" ht="22.5" customHeight="1">
      <c r="B6170" s="17"/>
      <c r="C6170" s="17"/>
      <c r="D6170" s="13"/>
      <c r="E6170" s="11"/>
      <c r="F6170" s="11"/>
      <c r="G6170" s="13">
        <f t="shared" si="1"/>
        <v>1281</v>
      </c>
      <c r="H6170" s="13"/>
    </row>
    <row r="6171" ht="22.5" customHeight="1">
      <c r="B6171" s="17"/>
      <c r="C6171" s="17"/>
      <c r="D6171" s="13"/>
      <c r="E6171" s="11"/>
      <c r="F6171" s="11"/>
      <c r="G6171" s="13">
        <f t="shared" si="1"/>
        <v>1281</v>
      </c>
      <c r="H6171" s="13"/>
    </row>
    <row r="6172" ht="22.5" customHeight="1">
      <c r="B6172" s="17"/>
      <c r="C6172" s="17"/>
      <c r="D6172" s="13"/>
      <c r="E6172" s="11"/>
      <c r="F6172" s="11"/>
      <c r="G6172" s="13">
        <f t="shared" si="1"/>
        <v>1281</v>
      </c>
      <c r="H6172" s="13"/>
    </row>
    <row r="6173" ht="22.5" customHeight="1">
      <c r="B6173" s="17"/>
      <c r="C6173" s="17"/>
      <c r="D6173" s="13"/>
      <c r="E6173" s="11"/>
      <c r="F6173" s="11"/>
      <c r="G6173" s="13">
        <f t="shared" si="1"/>
        <v>1281</v>
      </c>
      <c r="H6173" s="13"/>
    </row>
    <row r="6174" ht="22.5" customHeight="1">
      <c r="B6174" s="17"/>
      <c r="C6174" s="17"/>
      <c r="D6174" s="13"/>
      <c r="E6174" s="11"/>
      <c r="F6174" s="11"/>
      <c r="G6174" s="13">
        <f t="shared" si="1"/>
        <v>1281</v>
      </c>
      <c r="H6174" s="13"/>
    </row>
    <row r="6175" ht="22.5" customHeight="1">
      <c r="B6175" s="17"/>
      <c r="C6175" s="17"/>
      <c r="D6175" s="13"/>
      <c r="E6175" s="11"/>
      <c r="F6175" s="11"/>
      <c r="G6175" s="13">
        <f t="shared" si="1"/>
        <v>1281</v>
      </c>
      <c r="H6175" s="13"/>
    </row>
    <row r="6176" ht="22.5" customHeight="1">
      <c r="B6176" s="17"/>
      <c r="C6176" s="17"/>
      <c r="D6176" s="13"/>
      <c r="E6176" s="11"/>
      <c r="F6176" s="11"/>
      <c r="G6176" s="13">
        <f t="shared" si="1"/>
        <v>1281</v>
      </c>
      <c r="H6176" s="13"/>
    </row>
    <row r="6177" ht="22.5" customHeight="1">
      <c r="B6177" s="17"/>
      <c r="C6177" s="17"/>
      <c r="D6177" s="13"/>
      <c r="E6177" s="11"/>
      <c r="F6177" s="11"/>
      <c r="G6177" s="13">
        <f t="shared" si="1"/>
        <v>1281</v>
      </c>
      <c r="H6177" s="13"/>
    </row>
    <row r="6178" ht="22.5" customHeight="1">
      <c r="B6178" s="17"/>
      <c r="C6178" s="17"/>
      <c r="D6178" s="13"/>
      <c r="E6178" s="11"/>
      <c r="F6178" s="11"/>
      <c r="G6178" s="13">
        <f t="shared" si="1"/>
        <v>1281</v>
      </c>
      <c r="H6178" s="13"/>
    </row>
    <row r="6179" ht="22.5" customHeight="1">
      <c r="B6179" s="17"/>
      <c r="C6179" s="17"/>
      <c r="D6179" s="13"/>
      <c r="E6179" s="11"/>
      <c r="F6179" s="11"/>
      <c r="G6179" s="13">
        <f t="shared" si="1"/>
        <v>1281</v>
      </c>
      <c r="H6179" s="13"/>
    </row>
    <row r="6180" ht="22.5" customHeight="1">
      <c r="B6180" s="17"/>
      <c r="C6180" s="17"/>
      <c r="D6180" s="13"/>
      <c r="E6180" s="11"/>
      <c r="F6180" s="11"/>
      <c r="G6180" s="13">
        <f t="shared" si="1"/>
        <v>1281</v>
      </c>
      <c r="H6180" s="13"/>
    </row>
    <row r="6181" ht="22.5" customHeight="1">
      <c r="B6181" s="17"/>
      <c r="C6181" s="17"/>
      <c r="D6181" s="13"/>
      <c r="E6181" s="11"/>
      <c r="F6181" s="11"/>
      <c r="G6181" s="13">
        <f t="shared" si="1"/>
        <v>1281</v>
      </c>
      <c r="H6181" s="13"/>
    </row>
    <row r="6182" ht="22.5" customHeight="1">
      <c r="B6182" s="17"/>
      <c r="C6182" s="17"/>
      <c r="D6182" s="13"/>
      <c r="E6182" s="11"/>
      <c r="F6182" s="11"/>
      <c r="G6182" s="13">
        <f t="shared" si="1"/>
        <v>1281</v>
      </c>
      <c r="H6182" s="13"/>
    </row>
    <row r="6183" ht="22.5" customHeight="1">
      <c r="B6183" s="17"/>
      <c r="C6183" s="17"/>
      <c r="D6183" s="13"/>
      <c r="E6183" s="11"/>
      <c r="F6183" s="11"/>
      <c r="G6183" s="13">
        <f t="shared" si="1"/>
        <v>1281</v>
      </c>
      <c r="H6183" s="13"/>
    </row>
    <row r="6184" ht="22.5" customHeight="1">
      <c r="B6184" s="17"/>
      <c r="C6184" s="17"/>
      <c r="D6184" s="13"/>
      <c r="E6184" s="11"/>
      <c r="F6184" s="11"/>
      <c r="G6184" s="13">
        <f t="shared" si="1"/>
        <v>1281</v>
      </c>
      <c r="H6184" s="13"/>
    </row>
    <row r="6185" ht="22.5" customHeight="1">
      <c r="B6185" s="17"/>
      <c r="C6185" s="17"/>
      <c r="D6185" s="13"/>
      <c r="E6185" s="11"/>
      <c r="F6185" s="11"/>
      <c r="G6185" s="13">
        <f t="shared" si="1"/>
        <v>1281</v>
      </c>
      <c r="H6185" s="13"/>
    </row>
    <row r="6186" ht="22.5" customHeight="1">
      <c r="B6186" s="17"/>
      <c r="C6186" s="17"/>
      <c r="D6186" s="13"/>
      <c r="E6186" s="11"/>
      <c r="F6186" s="11"/>
      <c r="G6186" s="13">
        <f t="shared" si="1"/>
        <v>1281</v>
      </c>
      <c r="H6186" s="13"/>
    </row>
    <row r="6187" ht="22.5" customHeight="1">
      <c r="B6187" s="17"/>
      <c r="C6187" s="17"/>
      <c r="D6187" s="13"/>
      <c r="E6187" s="11"/>
      <c r="F6187" s="11"/>
      <c r="G6187" s="13">
        <f t="shared" si="1"/>
        <v>1281</v>
      </c>
      <c r="H6187" s="13"/>
    </row>
    <row r="6188" ht="22.5" customHeight="1">
      <c r="B6188" s="17"/>
      <c r="C6188" s="17"/>
      <c r="D6188" s="13"/>
      <c r="E6188" s="11"/>
      <c r="F6188" s="11"/>
      <c r="G6188" s="13">
        <f t="shared" si="1"/>
        <v>1281</v>
      </c>
      <c r="H6188" s="13"/>
    </row>
    <row r="6189" ht="22.5" customHeight="1">
      <c r="B6189" s="17"/>
      <c r="C6189" s="17"/>
      <c r="D6189" s="13"/>
      <c r="E6189" s="11"/>
      <c r="F6189" s="11"/>
      <c r="G6189" s="13">
        <f t="shared" si="1"/>
        <v>1281</v>
      </c>
      <c r="H6189" s="13"/>
    </row>
    <row r="6190" ht="22.5" customHeight="1">
      <c r="B6190" s="17"/>
      <c r="C6190" s="17"/>
      <c r="D6190" s="13"/>
      <c r="E6190" s="11"/>
      <c r="F6190" s="11"/>
      <c r="G6190" s="13">
        <f t="shared" si="1"/>
        <v>1281</v>
      </c>
      <c r="H6190" s="13"/>
    </row>
    <row r="6191" ht="22.5" customHeight="1">
      <c r="B6191" s="17"/>
      <c r="C6191" s="17"/>
      <c r="D6191" s="13"/>
      <c r="E6191" s="11"/>
      <c r="F6191" s="11"/>
      <c r="G6191" s="13">
        <f t="shared" si="1"/>
        <v>1281</v>
      </c>
      <c r="H6191" s="13"/>
    </row>
    <row r="6192" ht="22.5" customHeight="1">
      <c r="B6192" s="17"/>
      <c r="C6192" s="17"/>
      <c r="D6192" s="13"/>
      <c r="E6192" s="11"/>
      <c r="F6192" s="11"/>
      <c r="G6192" s="13">
        <f t="shared" si="1"/>
        <v>1281</v>
      </c>
      <c r="H6192" s="13"/>
    </row>
    <row r="6193" ht="22.5" customHeight="1">
      <c r="B6193" s="17"/>
      <c r="C6193" s="17"/>
      <c r="D6193" s="13"/>
      <c r="E6193" s="11"/>
      <c r="F6193" s="11"/>
      <c r="G6193" s="13">
        <f t="shared" si="1"/>
        <v>1281</v>
      </c>
      <c r="H6193" s="13"/>
    </row>
    <row r="6194" ht="22.5" customHeight="1">
      <c r="B6194" s="17"/>
      <c r="C6194" s="17"/>
      <c r="D6194" s="13"/>
      <c r="E6194" s="11"/>
      <c r="F6194" s="11"/>
      <c r="G6194" s="13">
        <f t="shared" si="1"/>
        <v>1281</v>
      </c>
      <c r="H6194" s="13"/>
    </row>
    <row r="6195" ht="22.5" customHeight="1">
      <c r="B6195" s="17"/>
      <c r="C6195" s="17"/>
      <c r="D6195" s="13"/>
      <c r="E6195" s="11"/>
      <c r="F6195" s="11"/>
      <c r="G6195" s="13">
        <f t="shared" si="1"/>
        <v>1281</v>
      </c>
      <c r="H6195" s="13"/>
    </row>
    <row r="6196" ht="22.5" customHeight="1">
      <c r="B6196" s="17"/>
      <c r="C6196" s="17"/>
      <c r="D6196" s="13"/>
      <c r="E6196" s="11"/>
      <c r="F6196" s="11"/>
      <c r="G6196" s="13">
        <f t="shared" si="1"/>
        <v>1281</v>
      </c>
      <c r="H6196" s="13"/>
    </row>
    <row r="6197" ht="22.5" customHeight="1">
      <c r="B6197" s="17"/>
      <c r="C6197" s="17"/>
      <c r="D6197" s="13"/>
      <c r="E6197" s="11"/>
      <c r="F6197" s="11"/>
      <c r="G6197" s="13">
        <f t="shared" si="1"/>
        <v>1281</v>
      </c>
      <c r="H6197" s="13"/>
    </row>
    <row r="6198" ht="22.5" customHeight="1">
      <c r="B6198" s="17"/>
      <c r="C6198" s="17"/>
      <c r="D6198" s="13"/>
      <c r="E6198" s="11"/>
      <c r="F6198" s="11"/>
      <c r="G6198" s="13">
        <f t="shared" si="1"/>
        <v>1281</v>
      </c>
      <c r="H6198" s="13"/>
    </row>
    <row r="6199" ht="22.5" customHeight="1">
      <c r="B6199" s="17"/>
      <c r="C6199" s="17"/>
      <c r="D6199" s="13"/>
      <c r="E6199" s="11"/>
      <c r="F6199" s="11"/>
      <c r="G6199" s="13">
        <f t="shared" si="1"/>
        <v>1281</v>
      </c>
      <c r="H6199" s="13"/>
    </row>
    <row r="6200" ht="22.5" customHeight="1">
      <c r="B6200" s="17"/>
      <c r="C6200" s="17"/>
      <c r="D6200" s="13"/>
      <c r="E6200" s="11"/>
      <c r="F6200" s="11"/>
      <c r="G6200" s="13">
        <f t="shared" si="1"/>
        <v>1281</v>
      </c>
      <c r="H6200" s="13"/>
    </row>
    <row r="6201" ht="22.5" customHeight="1">
      <c r="B6201" s="17"/>
      <c r="C6201" s="17"/>
      <c r="D6201" s="13"/>
      <c r="E6201" s="11"/>
      <c r="F6201" s="11"/>
      <c r="G6201" s="13">
        <f t="shared" si="1"/>
        <v>1281</v>
      </c>
      <c r="H6201" s="13"/>
    </row>
    <row r="6202" ht="22.5" customHeight="1">
      <c r="B6202" s="17"/>
      <c r="C6202" s="17"/>
      <c r="D6202" s="13"/>
      <c r="E6202" s="11"/>
      <c r="F6202" s="11"/>
      <c r="G6202" s="13">
        <f t="shared" si="1"/>
        <v>1281</v>
      </c>
      <c r="H6202" s="13"/>
    </row>
    <row r="6203" ht="22.5" customHeight="1">
      <c r="B6203" s="17"/>
      <c r="C6203" s="17"/>
      <c r="D6203" s="13"/>
      <c r="E6203" s="11"/>
      <c r="F6203" s="11"/>
      <c r="G6203" s="13">
        <f t="shared" si="1"/>
        <v>1281</v>
      </c>
      <c r="H6203" s="13"/>
    </row>
    <row r="6204" ht="22.5" customHeight="1">
      <c r="B6204" s="17"/>
      <c r="C6204" s="17"/>
      <c r="D6204" s="13"/>
      <c r="E6204" s="11"/>
      <c r="F6204" s="11"/>
      <c r="G6204" s="13">
        <f t="shared" si="1"/>
        <v>1281</v>
      </c>
      <c r="H6204" s="13"/>
    </row>
    <row r="6205" ht="22.5" customHeight="1">
      <c r="B6205" s="17"/>
      <c r="C6205" s="17"/>
      <c r="D6205" s="13"/>
      <c r="E6205" s="11"/>
      <c r="F6205" s="11"/>
      <c r="G6205" s="13">
        <f t="shared" si="1"/>
        <v>1281</v>
      </c>
      <c r="H6205" s="13"/>
    </row>
    <row r="6206" ht="22.5" customHeight="1">
      <c r="B6206" s="17"/>
      <c r="C6206" s="17"/>
      <c r="D6206" s="13"/>
      <c r="E6206" s="11"/>
      <c r="F6206" s="11"/>
      <c r="G6206" s="13">
        <f t="shared" si="1"/>
        <v>1281</v>
      </c>
      <c r="H6206" s="13"/>
    </row>
    <row r="6207" ht="22.5" customHeight="1">
      <c r="B6207" s="17"/>
      <c r="C6207" s="17"/>
      <c r="D6207" s="13"/>
      <c r="E6207" s="11"/>
      <c r="F6207" s="11"/>
      <c r="G6207" s="13">
        <f t="shared" si="1"/>
        <v>1281</v>
      </c>
      <c r="H6207" s="13"/>
    </row>
    <row r="6208" ht="22.5" customHeight="1">
      <c r="B6208" s="17"/>
      <c r="C6208" s="17"/>
      <c r="D6208" s="13"/>
      <c r="E6208" s="11"/>
      <c r="F6208" s="11"/>
      <c r="G6208" s="13">
        <f t="shared" si="1"/>
        <v>1281</v>
      </c>
      <c r="H6208" s="13"/>
    </row>
    <row r="6209" ht="22.5" customHeight="1">
      <c r="B6209" s="17"/>
      <c r="C6209" s="17"/>
      <c r="D6209" s="13"/>
      <c r="E6209" s="11"/>
      <c r="F6209" s="11"/>
      <c r="G6209" s="13">
        <f t="shared" si="1"/>
        <v>1281</v>
      </c>
      <c r="H6209" s="13"/>
    </row>
    <row r="6210" ht="22.5" customHeight="1">
      <c r="B6210" s="17"/>
      <c r="C6210" s="17"/>
      <c r="D6210" s="13"/>
      <c r="E6210" s="11"/>
      <c r="F6210" s="11"/>
      <c r="G6210" s="13">
        <f t="shared" si="1"/>
        <v>1281</v>
      </c>
      <c r="H6210" s="13"/>
    </row>
    <row r="6211" ht="22.5" customHeight="1">
      <c r="B6211" s="17"/>
      <c r="C6211" s="17"/>
      <c r="D6211" s="13"/>
      <c r="E6211" s="11"/>
      <c r="F6211" s="11"/>
      <c r="G6211" s="13">
        <f t="shared" si="1"/>
        <v>1281</v>
      </c>
      <c r="H6211" s="13"/>
    </row>
    <row r="6212" ht="22.5" customHeight="1">
      <c r="B6212" s="17"/>
      <c r="C6212" s="17"/>
      <c r="D6212" s="13"/>
      <c r="E6212" s="11"/>
      <c r="F6212" s="11"/>
      <c r="G6212" s="13">
        <f t="shared" si="1"/>
        <v>1281</v>
      </c>
      <c r="H6212" s="13"/>
    </row>
    <row r="6213" ht="22.5" customHeight="1">
      <c r="B6213" s="17"/>
      <c r="C6213" s="17"/>
      <c r="D6213" s="13"/>
      <c r="E6213" s="11"/>
      <c r="F6213" s="11"/>
      <c r="G6213" s="13">
        <f t="shared" si="1"/>
        <v>1281</v>
      </c>
      <c r="H6213" s="13"/>
    </row>
    <row r="6214" ht="22.5" customHeight="1">
      <c r="B6214" s="17"/>
      <c r="C6214" s="17"/>
      <c r="D6214" s="13"/>
      <c r="E6214" s="11"/>
      <c r="F6214" s="11"/>
      <c r="G6214" s="13">
        <f t="shared" si="1"/>
        <v>1281</v>
      </c>
      <c r="H6214" s="13"/>
    </row>
    <row r="6215" ht="22.5" customHeight="1">
      <c r="B6215" s="17"/>
      <c r="C6215" s="17"/>
      <c r="D6215" s="13"/>
      <c r="E6215" s="11"/>
      <c r="F6215" s="11"/>
      <c r="G6215" s="13">
        <f t="shared" si="1"/>
        <v>1281</v>
      </c>
      <c r="H6215" s="13"/>
    </row>
    <row r="6216" ht="22.5" customHeight="1">
      <c r="B6216" s="17"/>
      <c r="C6216" s="17"/>
      <c r="D6216" s="13"/>
      <c r="E6216" s="11"/>
      <c r="F6216" s="11"/>
      <c r="G6216" s="13">
        <f t="shared" si="1"/>
        <v>1281</v>
      </c>
      <c r="H6216" s="13"/>
    </row>
    <row r="6217" ht="22.5" customHeight="1">
      <c r="B6217" s="17"/>
      <c r="C6217" s="17"/>
      <c r="D6217" s="13"/>
      <c r="E6217" s="11"/>
      <c r="F6217" s="11"/>
      <c r="G6217" s="13">
        <f t="shared" si="1"/>
        <v>1281</v>
      </c>
      <c r="H6217" s="13"/>
    </row>
    <row r="6218" ht="22.5" customHeight="1">
      <c r="B6218" s="17"/>
      <c r="C6218" s="17"/>
      <c r="D6218" s="13"/>
      <c r="E6218" s="11"/>
      <c r="F6218" s="11"/>
      <c r="G6218" s="13">
        <f t="shared" si="1"/>
        <v>1281</v>
      </c>
      <c r="H6218" s="13"/>
    </row>
    <row r="6219" ht="22.5" customHeight="1">
      <c r="B6219" s="17"/>
      <c r="C6219" s="17"/>
      <c r="D6219" s="13"/>
      <c r="E6219" s="11"/>
      <c r="F6219" s="11"/>
      <c r="G6219" s="13">
        <f t="shared" si="1"/>
        <v>1281</v>
      </c>
      <c r="H6219" s="13"/>
    </row>
    <row r="6220" ht="22.5" customHeight="1">
      <c r="B6220" s="17"/>
      <c r="C6220" s="17"/>
      <c r="D6220" s="13"/>
      <c r="E6220" s="11"/>
      <c r="F6220" s="11"/>
      <c r="G6220" s="13">
        <f t="shared" si="1"/>
        <v>1281</v>
      </c>
      <c r="H6220" s="13"/>
    </row>
    <row r="6221" ht="22.5" customHeight="1">
      <c r="B6221" s="17"/>
      <c r="C6221" s="17"/>
      <c r="D6221" s="13"/>
      <c r="E6221" s="11"/>
      <c r="F6221" s="11"/>
      <c r="G6221" s="13">
        <f t="shared" si="1"/>
        <v>1281</v>
      </c>
      <c r="H6221" s="13"/>
    </row>
    <row r="6222" ht="22.5" customHeight="1">
      <c r="B6222" s="17"/>
      <c r="C6222" s="17"/>
      <c r="D6222" s="13"/>
      <c r="E6222" s="11"/>
      <c r="F6222" s="11"/>
      <c r="G6222" s="13">
        <f t="shared" si="1"/>
        <v>1281</v>
      </c>
      <c r="H6222" s="13"/>
    </row>
    <row r="6223" ht="22.5" customHeight="1">
      <c r="B6223" s="17"/>
      <c r="C6223" s="17"/>
      <c r="D6223" s="13"/>
      <c r="E6223" s="11"/>
      <c r="F6223" s="11"/>
      <c r="G6223" s="13">
        <f t="shared" si="1"/>
        <v>1281</v>
      </c>
      <c r="H6223" s="13"/>
    </row>
    <row r="6224" ht="22.5" customHeight="1">
      <c r="B6224" s="17"/>
      <c r="C6224" s="17"/>
      <c r="D6224" s="13"/>
      <c r="E6224" s="11"/>
      <c r="F6224" s="11"/>
      <c r="G6224" s="13">
        <f t="shared" si="1"/>
        <v>1281</v>
      </c>
      <c r="H6224" s="13"/>
    </row>
    <row r="6225" ht="22.5" customHeight="1">
      <c r="B6225" s="17"/>
      <c r="C6225" s="17"/>
      <c r="D6225" s="13"/>
      <c r="E6225" s="11"/>
      <c r="F6225" s="11"/>
      <c r="G6225" s="13">
        <f t="shared" si="1"/>
        <v>1281</v>
      </c>
      <c r="H6225" s="13"/>
    </row>
    <row r="6226" ht="22.5" customHeight="1">
      <c r="B6226" s="17"/>
      <c r="C6226" s="17"/>
      <c r="D6226" s="13"/>
      <c r="E6226" s="11"/>
      <c r="F6226" s="11"/>
      <c r="G6226" s="13">
        <f t="shared" si="1"/>
        <v>1281</v>
      </c>
      <c r="H6226" s="13"/>
    </row>
    <row r="6227" ht="22.5" customHeight="1">
      <c r="B6227" s="17"/>
      <c r="C6227" s="17"/>
      <c r="D6227" s="13"/>
      <c r="E6227" s="11"/>
      <c r="F6227" s="11"/>
      <c r="G6227" s="13">
        <f t="shared" si="1"/>
        <v>1281</v>
      </c>
      <c r="H6227" s="13"/>
    </row>
    <row r="6228" ht="22.5" customHeight="1">
      <c r="B6228" s="17"/>
      <c r="C6228" s="17"/>
      <c r="D6228" s="13"/>
      <c r="E6228" s="11"/>
      <c r="F6228" s="11"/>
      <c r="G6228" s="13">
        <f t="shared" si="1"/>
        <v>1281</v>
      </c>
      <c r="H6228" s="13"/>
    </row>
    <row r="6229" ht="22.5" customHeight="1">
      <c r="B6229" s="17"/>
      <c r="C6229" s="17"/>
      <c r="D6229" s="13"/>
      <c r="E6229" s="11"/>
      <c r="F6229" s="11"/>
      <c r="G6229" s="13">
        <f t="shared" si="1"/>
        <v>1281</v>
      </c>
      <c r="H6229" s="13"/>
    </row>
    <row r="6230" ht="22.5" customHeight="1">
      <c r="B6230" s="17"/>
      <c r="C6230" s="17"/>
      <c r="D6230" s="13"/>
      <c r="E6230" s="11"/>
      <c r="F6230" s="11"/>
      <c r="G6230" s="13">
        <f t="shared" si="1"/>
        <v>1281</v>
      </c>
      <c r="H6230" s="13"/>
    </row>
    <row r="6231" ht="22.5" customHeight="1">
      <c r="B6231" s="17"/>
      <c r="C6231" s="17"/>
      <c r="D6231" s="13"/>
      <c r="E6231" s="11"/>
      <c r="F6231" s="11"/>
      <c r="G6231" s="13">
        <f t="shared" si="1"/>
        <v>1281</v>
      </c>
      <c r="H6231" s="13"/>
    </row>
    <row r="6232" ht="22.5" customHeight="1">
      <c r="B6232" s="17"/>
      <c r="C6232" s="17"/>
      <c r="D6232" s="13"/>
      <c r="E6232" s="11"/>
      <c r="F6232" s="11"/>
      <c r="G6232" s="13">
        <f t="shared" si="1"/>
        <v>1281</v>
      </c>
      <c r="H6232" s="13"/>
    </row>
    <row r="6233" ht="22.5" customHeight="1">
      <c r="B6233" s="17"/>
      <c r="C6233" s="17"/>
      <c r="D6233" s="13"/>
      <c r="E6233" s="11"/>
      <c r="F6233" s="11"/>
      <c r="G6233" s="13">
        <f t="shared" si="1"/>
        <v>1281</v>
      </c>
      <c r="H6233" s="13"/>
    </row>
    <row r="6234" ht="22.5" customHeight="1">
      <c r="B6234" s="17"/>
      <c r="C6234" s="17"/>
      <c r="D6234" s="13"/>
      <c r="E6234" s="11"/>
      <c r="F6234" s="11"/>
      <c r="G6234" s="13">
        <f t="shared" si="1"/>
        <v>1281</v>
      </c>
      <c r="H6234" s="13"/>
    </row>
    <row r="6235" ht="22.5" customHeight="1">
      <c r="B6235" s="17"/>
      <c r="C6235" s="17"/>
      <c r="D6235" s="13"/>
      <c r="E6235" s="11"/>
      <c r="F6235" s="11"/>
      <c r="G6235" s="13">
        <f t="shared" si="1"/>
        <v>1281</v>
      </c>
      <c r="H6235" s="13"/>
    </row>
    <row r="6236" ht="22.5" customHeight="1">
      <c r="B6236" s="17"/>
      <c r="C6236" s="17"/>
      <c r="D6236" s="13"/>
      <c r="E6236" s="11"/>
      <c r="F6236" s="11"/>
      <c r="G6236" s="13">
        <f t="shared" si="1"/>
        <v>1281</v>
      </c>
      <c r="H6236" s="13"/>
    </row>
    <row r="6237" ht="22.5" customHeight="1">
      <c r="B6237" s="17"/>
      <c r="C6237" s="17"/>
      <c r="D6237" s="13"/>
      <c r="E6237" s="11"/>
      <c r="F6237" s="11"/>
      <c r="G6237" s="13">
        <f t="shared" si="1"/>
        <v>1281</v>
      </c>
      <c r="H6237" s="13"/>
    </row>
    <row r="6238" ht="22.5" customHeight="1">
      <c r="B6238" s="17"/>
      <c r="C6238" s="17"/>
      <c r="D6238" s="13"/>
      <c r="E6238" s="11"/>
      <c r="F6238" s="11"/>
      <c r="G6238" s="13">
        <f t="shared" si="1"/>
        <v>1281</v>
      </c>
      <c r="H6238" s="13"/>
    </row>
    <row r="6239" ht="22.5" customHeight="1">
      <c r="B6239" s="17"/>
      <c r="C6239" s="17"/>
      <c r="D6239" s="13"/>
      <c r="E6239" s="11"/>
      <c r="F6239" s="11"/>
      <c r="G6239" s="13">
        <f t="shared" si="1"/>
        <v>1281</v>
      </c>
      <c r="H6239" s="13"/>
    </row>
    <row r="6240" ht="22.5" customHeight="1">
      <c r="B6240" s="17"/>
      <c r="C6240" s="17"/>
      <c r="D6240" s="13"/>
      <c r="E6240" s="11"/>
      <c r="F6240" s="11"/>
      <c r="G6240" s="13">
        <f t="shared" si="1"/>
        <v>1281</v>
      </c>
      <c r="H6240" s="13"/>
    </row>
    <row r="6241" ht="22.5" customHeight="1">
      <c r="B6241" s="17"/>
      <c r="C6241" s="17"/>
      <c r="D6241" s="13"/>
      <c r="E6241" s="11"/>
      <c r="F6241" s="11"/>
      <c r="G6241" s="13">
        <f t="shared" si="1"/>
        <v>1281</v>
      </c>
      <c r="H6241" s="13"/>
    </row>
    <row r="6242" ht="22.5" customHeight="1">
      <c r="B6242" s="17"/>
      <c r="C6242" s="17"/>
      <c r="D6242" s="13"/>
      <c r="E6242" s="11"/>
      <c r="F6242" s="11"/>
      <c r="G6242" s="13">
        <f t="shared" si="1"/>
        <v>1281</v>
      </c>
      <c r="H6242" s="13"/>
    </row>
    <row r="6243" ht="22.5" customHeight="1">
      <c r="B6243" s="17"/>
      <c r="C6243" s="17"/>
      <c r="D6243" s="13"/>
      <c r="E6243" s="11"/>
      <c r="F6243" s="11"/>
      <c r="G6243" s="13">
        <f t="shared" si="1"/>
        <v>1281</v>
      </c>
      <c r="H6243" s="13"/>
    </row>
    <row r="6244" ht="22.5" customHeight="1">
      <c r="B6244" s="17"/>
      <c r="C6244" s="17"/>
      <c r="D6244" s="13"/>
      <c r="E6244" s="11"/>
      <c r="F6244" s="11"/>
      <c r="G6244" s="13">
        <f t="shared" si="1"/>
        <v>1281</v>
      </c>
      <c r="H6244" s="13"/>
    </row>
    <row r="6245" ht="22.5" customHeight="1">
      <c r="B6245" s="17"/>
      <c r="C6245" s="17"/>
      <c r="D6245" s="13"/>
      <c r="E6245" s="11"/>
      <c r="F6245" s="11"/>
      <c r="G6245" s="13">
        <f t="shared" si="1"/>
        <v>1281</v>
      </c>
      <c r="H6245" s="13"/>
    </row>
    <row r="6246" ht="22.5" customHeight="1">
      <c r="B6246" s="17"/>
      <c r="C6246" s="17"/>
      <c r="D6246" s="13"/>
      <c r="E6246" s="11"/>
      <c r="F6246" s="11"/>
      <c r="G6246" s="13">
        <f t="shared" si="1"/>
        <v>1281</v>
      </c>
      <c r="H6246" s="13"/>
    </row>
    <row r="6247" ht="22.5" customHeight="1">
      <c r="B6247" s="17"/>
      <c r="C6247" s="17"/>
      <c r="D6247" s="13"/>
      <c r="E6247" s="11"/>
      <c r="F6247" s="11"/>
      <c r="G6247" s="13">
        <f t="shared" si="1"/>
        <v>1281</v>
      </c>
      <c r="H6247" s="13"/>
    </row>
    <row r="6248" ht="22.5" customHeight="1">
      <c r="B6248" s="17"/>
      <c r="C6248" s="17"/>
      <c r="D6248" s="13"/>
      <c r="E6248" s="11"/>
      <c r="F6248" s="11"/>
      <c r="G6248" s="13">
        <f t="shared" si="1"/>
        <v>1281</v>
      </c>
      <c r="H6248" s="13"/>
    </row>
    <row r="6249" ht="22.5" customHeight="1">
      <c r="B6249" s="17"/>
      <c r="C6249" s="17"/>
      <c r="D6249" s="13"/>
      <c r="E6249" s="11"/>
      <c r="F6249" s="11"/>
      <c r="G6249" s="13">
        <f t="shared" si="1"/>
        <v>1281</v>
      </c>
      <c r="H6249" s="13"/>
    </row>
    <row r="6250" ht="22.5" customHeight="1">
      <c r="B6250" s="17"/>
      <c r="C6250" s="17"/>
      <c r="D6250" s="13"/>
      <c r="E6250" s="11"/>
      <c r="F6250" s="11"/>
      <c r="G6250" s="13">
        <f t="shared" si="1"/>
        <v>1281</v>
      </c>
      <c r="H6250" s="13"/>
    </row>
    <row r="6251" ht="22.5" customHeight="1">
      <c r="B6251" s="17"/>
      <c r="C6251" s="17"/>
      <c r="D6251" s="13"/>
      <c r="E6251" s="11"/>
      <c r="F6251" s="11"/>
      <c r="G6251" s="13">
        <f t="shared" si="1"/>
        <v>1281</v>
      </c>
      <c r="H6251" s="13"/>
    </row>
    <row r="6252" ht="22.5" customHeight="1">
      <c r="B6252" s="17"/>
      <c r="C6252" s="17"/>
      <c r="D6252" s="13"/>
      <c r="E6252" s="11"/>
      <c r="F6252" s="11"/>
      <c r="G6252" s="13">
        <f t="shared" si="1"/>
        <v>1281</v>
      </c>
      <c r="H6252" s="13"/>
    </row>
    <row r="6253" ht="22.5" customHeight="1">
      <c r="B6253" s="17"/>
      <c r="C6253" s="17"/>
      <c r="D6253" s="13"/>
      <c r="E6253" s="11"/>
      <c r="F6253" s="11"/>
      <c r="G6253" s="13">
        <f t="shared" si="1"/>
        <v>1281</v>
      </c>
      <c r="H6253" s="13"/>
    </row>
    <row r="6254" ht="22.5" customHeight="1">
      <c r="B6254" s="17"/>
      <c r="C6254" s="17"/>
      <c r="D6254" s="13"/>
      <c r="E6254" s="11"/>
      <c r="F6254" s="11"/>
      <c r="G6254" s="13">
        <f t="shared" si="1"/>
        <v>1281</v>
      </c>
      <c r="H6254" s="13"/>
    </row>
    <row r="6255" ht="22.5" customHeight="1">
      <c r="B6255" s="17"/>
      <c r="C6255" s="17"/>
      <c r="D6255" s="13"/>
      <c r="E6255" s="11"/>
      <c r="F6255" s="11"/>
      <c r="G6255" s="13">
        <f t="shared" si="1"/>
        <v>1281</v>
      </c>
      <c r="H6255" s="13"/>
    </row>
    <row r="6256" ht="22.5" customHeight="1">
      <c r="B6256" s="17"/>
      <c r="C6256" s="17"/>
      <c r="D6256" s="13"/>
      <c r="E6256" s="11"/>
      <c r="F6256" s="11"/>
      <c r="G6256" s="13">
        <f t="shared" si="1"/>
        <v>1281</v>
      </c>
      <c r="H6256" s="13"/>
    </row>
    <row r="6257" ht="22.5" customHeight="1">
      <c r="B6257" s="17"/>
      <c r="C6257" s="17"/>
      <c r="D6257" s="13"/>
      <c r="E6257" s="11"/>
      <c r="F6257" s="11"/>
      <c r="G6257" s="13">
        <f t="shared" si="1"/>
        <v>1281</v>
      </c>
      <c r="H6257" s="13"/>
    </row>
    <row r="6258" ht="22.5" customHeight="1">
      <c r="B6258" s="17"/>
      <c r="C6258" s="17"/>
      <c r="D6258" s="13"/>
      <c r="E6258" s="11"/>
      <c r="F6258" s="11"/>
      <c r="G6258" s="13">
        <f t="shared" si="1"/>
        <v>1281</v>
      </c>
      <c r="H6258" s="13"/>
    </row>
    <row r="6259" ht="22.5" customHeight="1">
      <c r="B6259" s="17"/>
      <c r="C6259" s="17"/>
      <c r="D6259" s="13"/>
      <c r="E6259" s="11"/>
      <c r="F6259" s="11"/>
      <c r="G6259" s="13">
        <f t="shared" si="1"/>
        <v>1281</v>
      </c>
      <c r="H6259" s="13"/>
    </row>
    <row r="6260" ht="22.5" customHeight="1">
      <c r="B6260" s="17"/>
      <c r="C6260" s="17"/>
      <c r="D6260" s="13"/>
      <c r="E6260" s="11"/>
      <c r="F6260" s="11"/>
      <c r="G6260" s="13">
        <f t="shared" si="1"/>
        <v>1281</v>
      </c>
      <c r="H6260" s="13"/>
    </row>
    <row r="6261" ht="22.5" customHeight="1">
      <c r="B6261" s="17"/>
      <c r="C6261" s="17"/>
      <c r="D6261" s="13"/>
      <c r="E6261" s="11"/>
      <c r="F6261" s="11"/>
      <c r="G6261" s="13">
        <f t="shared" si="1"/>
        <v>1281</v>
      </c>
      <c r="H6261" s="13"/>
    </row>
    <row r="6262" ht="22.5" customHeight="1">
      <c r="B6262" s="17"/>
      <c r="C6262" s="17"/>
      <c r="D6262" s="13"/>
      <c r="E6262" s="11"/>
      <c r="F6262" s="11"/>
      <c r="G6262" s="13">
        <f t="shared" si="1"/>
        <v>1281</v>
      </c>
      <c r="H6262" s="13"/>
    </row>
    <row r="6263" ht="22.5" customHeight="1">
      <c r="B6263" s="17"/>
      <c r="C6263" s="17"/>
      <c r="D6263" s="13"/>
      <c r="E6263" s="11"/>
      <c r="F6263" s="11"/>
      <c r="G6263" s="13">
        <f t="shared" si="1"/>
        <v>1281</v>
      </c>
      <c r="H6263" s="13"/>
    </row>
    <row r="6264" ht="22.5" customHeight="1">
      <c r="B6264" s="17"/>
      <c r="C6264" s="17"/>
      <c r="D6264" s="13"/>
      <c r="E6264" s="11"/>
      <c r="F6264" s="11"/>
      <c r="G6264" s="13">
        <f t="shared" si="1"/>
        <v>1281</v>
      </c>
      <c r="H6264" s="13"/>
    </row>
    <row r="6265" ht="22.5" customHeight="1">
      <c r="B6265" s="17"/>
      <c r="C6265" s="17"/>
      <c r="D6265" s="13"/>
      <c r="E6265" s="11"/>
      <c r="F6265" s="11"/>
      <c r="G6265" s="13">
        <f t="shared" si="1"/>
        <v>1281</v>
      </c>
      <c r="H6265" s="13"/>
    </row>
    <row r="6266" ht="22.5" customHeight="1">
      <c r="B6266" s="17"/>
      <c r="C6266" s="17"/>
      <c r="D6266" s="13"/>
      <c r="E6266" s="11"/>
      <c r="F6266" s="11"/>
      <c r="G6266" s="13">
        <f t="shared" si="1"/>
        <v>1281</v>
      </c>
      <c r="H6266" s="13"/>
    </row>
    <row r="6267" ht="22.5" customHeight="1">
      <c r="B6267" s="17"/>
      <c r="C6267" s="17"/>
      <c r="D6267" s="13"/>
      <c r="E6267" s="11"/>
      <c r="F6267" s="11"/>
      <c r="G6267" s="13">
        <f t="shared" si="1"/>
        <v>1281</v>
      </c>
      <c r="H6267" s="13"/>
    </row>
    <row r="6268" ht="22.5" customHeight="1">
      <c r="B6268" s="17"/>
      <c r="C6268" s="17"/>
      <c r="D6268" s="13"/>
      <c r="E6268" s="11"/>
      <c r="F6268" s="11"/>
      <c r="G6268" s="13">
        <f t="shared" si="1"/>
        <v>1281</v>
      </c>
      <c r="H6268" s="13"/>
    </row>
    <row r="6269" ht="22.5" customHeight="1">
      <c r="B6269" s="17"/>
      <c r="C6269" s="17"/>
      <c r="D6269" s="13"/>
      <c r="E6269" s="11"/>
      <c r="F6269" s="11"/>
      <c r="G6269" s="13">
        <f t="shared" si="1"/>
        <v>1281</v>
      </c>
      <c r="H6269" s="13"/>
    </row>
    <row r="6270" ht="22.5" customHeight="1">
      <c r="B6270" s="17"/>
      <c r="C6270" s="17"/>
      <c r="D6270" s="13"/>
      <c r="E6270" s="11"/>
      <c r="F6270" s="11"/>
      <c r="G6270" s="13">
        <f t="shared" si="1"/>
        <v>1281</v>
      </c>
      <c r="H6270" s="13"/>
    </row>
    <row r="6271" ht="22.5" customHeight="1">
      <c r="B6271" s="17"/>
      <c r="C6271" s="17"/>
      <c r="D6271" s="13"/>
      <c r="E6271" s="11"/>
      <c r="F6271" s="11"/>
      <c r="G6271" s="13">
        <f t="shared" si="1"/>
        <v>1281</v>
      </c>
      <c r="H6271" s="13"/>
    </row>
    <row r="6272" ht="22.5" customHeight="1">
      <c r="B6272" s="17"/>
      <c r="C6272" s="17"/>
      <c r="D6272" s="13"/>
      <c r="E6272" s="11"/>
      <c r="F6272" s="11"/>
      <c r="G6272" s="13">
        <f t="shared" si="1"/>
        <v>1281</v>
      </c>
      <c r="H6272" s="13"/>
    </row>
    <row r="6273" ht="22.5" customHeight="1">
      <c r="B6273" s="17"/>
      <c r="C6273" s="17"/>
      <c r="D6273" s="13"/>
      <c r="E6273" s="11"/>
      <c r="F6273" s="11"/>
      <c r="G6273" s="13">
        <f t="shared" si="1"/>
        <v>1281</v>
      </c>
      <c r="H6273" s="13"/>
    </row>
    <row r="6274" ht="22.5" customHeight="1">
      <c r="B6274" s="17"/>
      <c r="C6274" s="17"/>
      <c r="D6274" s="13"/>
      <c r="E6274" s="11"/>
      <c r="F6274" s="11"/>
      <c r="G6274" s="13">
        <f t="shared" si="1"/>
        <v>1281</v>
      </c>
      <c r="H6274" s="13"/>
    </row>
    <row r="6275" ht="22.5" customHeight="1">
      <c r="B6275" s="17"/>
      <c r="C6275" s="17"/>
      <c r="D6275" s="13"/>
      <c r="E6275" s="11"/>
      <c r="F6275" s="11"/>
      <c r="G6275" s="13">
        <f t="shared" si="1"/>
        <v>1281</v>
      </c>
      <c r="H6275" s="13"/>
    </row>
    <row r="6276" ht="22.5" customHeight="1">
      <c r="B6276" s="17"/>
      <c r="C6276" s="17"/>
      <c r="D6276" s="13"/>
      <c r="E6276" s="11"/>
      <c r="F6276" s="11"/>
      <c r="G6276" s="13">
        <f t="shared" si="1"/>
        <v>1281</v>
      </c>
      <c r="H6276" s="13"/>
    </row>
    <row r="6277" ht="22.5" customHeight="1">
      <c r="B6277" s="17"/>
      <c r="C6277" s="17"/>
      <c r="D6277" s="13"/>
      <c r="E6277" s="11"/>
      <c r="F6277" s="11"/>
      <c r="G6277" s="13">
        <f t="shared" si="1"/>
        <v>1281</v>
      </c>
      <c r="H6277" s="13"/>
    </row>
    <row r="6278" ht="22.5" customHeight="1">
      <c r="B6278" s="17"/>
      <c r="C6278" s="17"/>
      <c r="D6278" s="13"/>
      <c r="E6278" s="11"/>
      <c r="F6278" s="11"/>
      <c r="G6278" s="13">
        <f t="shared" si="1"/>
        <v>1281</v>
      </c>
      <c r="H6278" s="13"/>
    </row>
    <row r="6279" ht="22.5" customHeight="1">
      <c r="B6279" s="17"/>
      <c r="C6279" s="17"/>
      <c r="D6279" s="13"/>
      <c r="E6279" s="11"/>
      <c r="F6279" s="11"/>
      <c r="G6279" s="13">
        <f t="shared" si="1"/>
        <v>1281</v>
      </c>
      <c r="H6279" s="13"/>
    </row>
    <row r="6280" ht="22.5" customHeight="1">
      <c r="B6280" s="17"/>
      <c r="C6280" s="17"/>
      <c r="D6280" s="13"/>
      <c r="E6280" s="11"/>
      <c r="F6280" s="11"/>
      <c r="G6280" s="13">
        <f t="shared" si="1"/>
        <v>1281</v>
      </c>
      <c r="H6280" s="13"/>
    </row>
    <row r="6281" ht="22.5" customHeight="1">
      <c r="B6281" s="17"/>
      <c r="C6281" s="17"/>
      <c r="D6281" s="13"/>
      <c r="E6281" s="11"/>
      <c r="F6281" s="11"/>
      <c r="G6281" s="13">
        <f t="shared" si="1"/>
        <v>1281</v>
      </c>
      <c r="H6281" s="13"/>
    </row>
    <row r="6282" ht="22.5" customHeight="1">
      <c r="B6282" s="17"/>
      <c r="C6282" s="17"/>
      <c r="D6282" s="13"/>
      <c r="E6282" s="11"/>
      <c r="F6282" s="11"/>
      <c r="G6282" s="13">
        <f t="shared" si="1"/>
        <v>1281</v>
      </c>
      <c r="H6282" s="13"/>
    </row>
    <row r="6283" ht="22.5" customHeight="1">
      <c r="B6283" s="17"/>
      <c r="C6283" s="17"/>
      <c r="D6283" s="13"/>
      <c r="E6283" s="11"/>
      <c r="F6283" s="11"/>
      <c r="G6283" s="13">
        <f t="shared" si="1"/>
        <v>1281</v>
      </c>
      <c r="H6283" s="13"/>
    </row>
    <row r="6284" ht="22.5" customHeight="1">
      <c r="B6284" s="17"/>
      <c r="C6284" s="17"/>
      <c r="D6284" s="13"/>
      <c r="E6284" s="11"/>
      <c r="F6284" s="11"/>
      <c r="G6284" s="13">
        <f t="shared" si="1"/>
        <v>1281</v>
      </c>
      <c r="H6284" s="13"/>
    </row>
    <row r="6285" ht="22.5" customHeight="1">
      <c r="B6285" s="17"/>
      <c r="C6285" s="17"/>
      <c r="D6285" s="13"/>
      <c r="E6285" s="11"/>
      <c r="F6285" s="11"/>
      <c r="G6285" s="13">
        <f t="shared" si="1"/>
        <v>1281</v>
      </c>
      <c r="H6285" s="13"/>
    </row>
    <row r="6286" ht="22.5" customHeight="1">
      <c r="B6286" s="17"/>
      <c r="C6286" s="17"/>
      <c r="D6286" s="13"/>
      <c r="E6286" s="11"/>
      <c r="F6286" s="11"/>
      <c r="G6286" s="13">
        <f t="shared" si="1"/>
        <v>1281</v>
      </c>
      <c r="H6286" s="13"/>
    </row>
    <row r="6287" ht="22.5" customHeight="1">
      <c r="B6287" s="17"/>
      <c r="C6287" s="17"/>
      <c r="D6287" s="13"/>
      <c r="E6287" s="11"/>
      <c r="F6287" s="11"/>
      <c r="G6287" s="13">
        <f t="shared" si="1"/>
        <v>1281</v>
      </c>
      <c r="H6287" s="13"/>
    </row>
    <row r="6288" ht="22.5" customHeight="1">
      <c r="B6288" s="17"/>
      <c r="C6288" s="17"/>
      <c r="D6288" s="13"/>
      <c r="E6288" s="11"/>
      <c r="F6288" s="11"/>
      <c r="G6288" s="13">
        <f t="shared" si="1"/>
        <v>1281</v>
      </c>
      <c r="H6288" s="13"/>
    </row>
    <row r="6289" ht="22.5" customHeight="1">
      <c r="B6289" s="17"/>
      <c r="C6289" s="17"/>
      <c r="D6289" s="13"/>
      <c r="E6289" s="11"/>
      <c r="F6289" s="11"/>
      <c r="G6289" s="13">
        <f t="shared" si="1"/>
        <v>1281</v>
      </c>
      <c r="H6289" s="13"/>
    </row>
    <row r="6290" ht="22.5" customHeight="1">
      <c r="B6290" s="17"/>
      <c r="C6290" s="17"/>
      <c r="D6290" s="13"/>
      <c r="E6290" s="11"/>
      <c r="F6290" s="11"/>
      <c r="G6290" s="13">
        <f t="shared" si="1"/>
        <v>1281</v>
      </c>
      <c r="H6290" s="13"/>
    </row>
    <row r="6291" ht="22.5" customHeight="1">
      <c r="B6291" s="17"/>
      <c r="C6291" s="17"/>
      <c r="D6291" s="13"/>
      <c r="E6291" s="11"/>
      <c r="F6291" s="11"/>
      <c r="G6291" s="13">
        <f t="shared" si="1"/>
        <v>1281</v>
      </c>
      <c r="H6291" s="13"/>
    </row>
    <row r="6292" ht="22.5" customHeight="1">
      <c r="B6292" s="17"/>
      <c r="C6292" s="17"/>
      <c r="D6292" s="13"/>
      <c r="E6292" s="11"/>
      <c r="F6292" s="11"/>
      <c r="G6292" s="13">
        <f t="shared" si="1"/>
        <v>1281</v>
      </c>
      <c r="H6292" s="13"/>
    </row>
    <row r="6293" ht="22.5" customHeight="1">
      <c r="B6293" s="17"/>
      <c r="C6293" s="17"/>
      <c r="D6293" s="13"/>
      <c r="E6293" s="11"/>
      <c r="F6293" s="11"/>
      <c r="G6293" s="13">
        <f t="shared" si="1"/>
        <v>1281</v>
      </c>
      <c r="H6293" s="13"/>
    </row>
    <row r="6294" ht="22.5" customHeight="1">
      <c r="B6294" s="17"/>
      <c r="C6294" s="17"/>
      <c r="D6294" s="13"/>
      <c r="E6294" s="11"/>
      <c r="F6294" s="11"/>
      <c r="G6294" s="13">
        <f t="shared" si="1"/>
        <v>1281</v>
      </c>
      <c r="H6294" s="13"/>
    </row>
    <row r="6295" ht="22.5" customHeight="1">
      <c r="B6295" s="17"/>
      <c r="C6295" s="17"/>
      <c r="D6295" s="13"/>
      <c r="E6295" s="11"/>
      <c r="F6295" s="11"/>
      <c r="G6295" s="13">
        <f t="shared" si="1"/>
        <v>1281</v>
      </c>
      <c r="H6295" s="13"/>
    </row>
    <row r="6296" ht="22.5" customHeight="1">
      <c r="B6296" s="17"/>
      <c r="C6296" s="17"/>
      <c r="D6296" s="13"/>
      <c r="E6296" s="11"/>
      <c r="F6296" s="11"/>
      <c r="G6296" s="13">
        <f t="shared" si="1"/>
        <v>1281</v>
      </c>
      <c r="H6296" s="13"/>
    </row>
    <row r="6297" ht="22.5" customHeight="1">
      <c r="B6297" s="17"/>
      <c r="C6297" s="17"/>
      <c r="D6297" s="13"/>
      <c r="E6297" s="11"/>
      <c r="F6297" s="11"/>
      <c r="G6297" s="13">
        <f t="shared" si="1"/>
        <v>1281</v>
      </c>
      <c r="H6297" s="13"/>
    </row>
    <row r="6298" ht="22.5" customHeight="1">
      <c r="B6298" s="17"/>
      <c r="C6298" s="17"/>
      <c r="D6298" s="13"/>
      <c r="E6298" s="11"/>
      <c r="F6298" s="11"/>
      <c r="G6298" s="13">
        <f t="shared" si="1"/>
        <v>1281</v>
      </c>
      <c r="H6298" s="13"/>
    </row>
    <row r="6299" ht="22.5" customHeight="1">
      <c r="B6299" s="17"/>
      <c r="C6299" s="17"/>
      <c r="D6299" s="13"/>
      <c r="E6299" s="11"/>
      <c r="F6299" s="11"/>
      <c r="G6299" s="13">
        <f t="shared" si="1"/>
        <v>1281</v>
      </c>
      <c r="H6299" s="13"/>
    </row>
    <row r="6300" ht="22.5" customHeight="1">
      <c r="B6300" s="17"/>
      <c r="C6300" s="17"/>
      <c r="D6300" s="13"/>
      <c r="E6300" s="11"/>
      <c r="F6300" s="11"/>
      <c r="G6300" s="13">
        <f t="shared" si="1"/>
        <v>1281</v>
      </c>
      <c r="H6300" s="13"/>
    </row>
    <row r="6301" ht="22.5" customHeight="1">
      <c r="B6301" s="17"/>
      <c r="C6301" s="17"/>
      <c r="D6301" s="13"/>
      <c r="E6301" s="11"/>
      <c r="F6301" s="11"/>
      <c r="G6301" s="13">
        <f t="shared" si="1"/>
        <v>1281</v>
      </c>
      <c r="H6301" s="13"/>
    </row>
    <row r="6302" ht="22.5" customHeight="1">
      <c r="B6302" s="17"/>
      <c r="C6302" s="17"/>
      <c r="D6302" s="13"/>
      <c r="E6302" s="11"/>
      <c r="F6302" s="11"/>
      <c r="G6302" s="13">
        <f t="shared" si="1"/>
        <v>1281</v>
      </c>
      <c r="H6302" s="13"/>
    </row>
    <row r="6303" ht="22.5" customHeight="1">
      <c r="B6303" s="17"/>
      <c r="C6303" s="17"/>
      <c r="D6303" s="13"/>
      <c r="E6303" s="11"/>
      <c r="F6303" s="11"/>
      <c r="G6303" s="13">
        <f t="shared" si="1"/>
        <v>1281</v>
      </c>
      <c r="H6303" s="13"/>
    </row>
    <row r="6304" ht="22.5" customHeight="1">
      <c r="B6304" s="17"/>
      <c r="C6304" s="17"/>
      <c r="D6304" s="13"/>
      <c r="E6304" s="11"/>
      <c r="F6304" s="11"/>
      <c r="G6304" s="13">
        <f t="shared" si="1"/>
        <v>1281</v>
      </c>
      <c r="H6304" s="13"/>
    </row>
    <row r="6305" ht="22.5" customHeight="1">
      <c r="B6305" s="17"/>
      <c r="C6305" s="17"/>
      <c r="D6305" s="13"/>
      <c r="E6305" s="11"/>
      <c r="F6305" s="11"/>
      <c r="G6305" s="13">
        <f t="shared" si="1"/>
        <v>1281</v>
      </c>
      <c r="H6305" s="13"/>
    </row>
    <row r="6306" ht="22.5" customHeight="1">
      <c r="B6306" s="17"/>
      <c r="C6306" s="17"/>
      <c r="D6306" s="13"/>
      <c r="E6306" s="11"/>
      <c r="F6306" s="11"/>
      <c r="G6306" s="13">
        <f t="shared" si="1"/>
        <v>1281</v>
      </c>
      <c r="H6306" s="13"/>
    </row>
    <row r="6307" ht="22.5" customHeight="1">
      <c r="B6307" s="17"/>
      <c r="C6307" s="17"/>
      <c r="D6307" s="13"/>
      <c r="E6307" s="11"/>
      <c r="F6307" s="11"/>
      <c r="G6307" s="13">
        <f t="shared" si="1"/>
        <v>1281</v>
      </c>
      <c r="H6307" s="13"/>
    </row>
    <row r="6308" ht="22.5" customHeight="1">
      <c r="B6308" s="17"/>
      <c r="C6308" s="17"/>
      <c r="D6308" s="13"/>
      <c r="E6308" s="11"/>
      <c r="F6308" s="11"/>
      <c r="G6308" s="13">
        <f t="shared" si="1"/>
        <v>1281</v>
      </c>
      <c r="H6308" s="13"/>
    </row>
    <row r="6309" ht="22.5" customHeight="1">
      <c r="B6309" s="17"/>
      <c r="C6309" s="17"/>
      <c r="D6309" s="13"/>
      <c r="E6309" s="11"/>
      <c r="F6309" s="11"/>
      <c r="G6309" s="13">
        <f t="shared" si="1"/>
        <v>1281</v>
      </c>
      <c r="H6309" s="13"/>
    </row>
    <row r="6310" ht="22.5" customHeight="1">
      <c r="B6310" s="17"/>
      <c r="C6310" s="17"/>
      <c r="D6310" s="13"/>
      <c r="E6310" s="11"/>
      <c r="F6310" s="11"/>
      <c r="G6310" s="13">
        <f t="shared" si="1"/>
        <v>1281</v>
      </c>
      <c r="H6310" s="13"/>
    </row>
    <row r="6311" ht="22.5" customHeight="1">
      <c r="B6311" s="17"/>
      <c r="C6311" s="17"/>
      <c r="D6311" s="13"/>
      <c r="E6311" s="11"/>
      <c r="F6311" s="11"/>
      <c r="G6311" s="13">
        <f t="shared" si="1"/>
        <v>1281</v>
      </c>
      <c r="H6311" s="13"/>
    </row>
    <row r="6312" ht="22.5" customHeight="1">
      <c r="B6312" s="17"/>
      <c r="C6312" s="17"/>
      <c r="D6312" s="13"/>
      <c r="E6312" s="11"/>
      <c r="F6312" s="11"/>
      <c r="G6312" s="13">
        <f t="shared" si="1"/>
        <v>1281</v>
      </c>
      <c r="H6312" s="13"/>
    </row>
    <row r="6313" ht="22.5" customHeight="1">
      <c r="B6313" s="17"/>
      <c r="C6313" s="17"/>
      <c r="D6313" s="13"/>
      <c r="E6313" s="11"/>
      <c r="F6313" s="11"/>
      <c r="G6313" s="13">
        <f t="shared" si="1"/>
        <v>1281</v>
      </c>
      <c r="H6313" s="13"/>
    </row>
    <row r="6314" ht="22.5" customHeight="1">
      <c r="B6314" s="17"/>
      <c r="C6314" s="17"/>
      <c r="D6314" s="13"/>
      <c r="E6314" s="11"/>
      <c r="F6314" s="11"/>
      <c r="G6314" s="13">
        <f t="shared" si="1"/>
        <v>1281</v>
      </c>
      <c r="H6314" s="13"/>
    </row>
    <row r="6315" ht="22.5" customHeight="1">
      <c r="B6315" s="17"/>
      <c r="C6315" s="17"/>
      <c r="D6315" s="13"/>
      <c r="E6315" s="11"/>
      <c r="F6315" s="11"/>
      <c r="G6315" s="13">
        <f t="shared" si="1"/>
        <v>1281</v>
      </c>
      <c r="H6315" s="13"/>
    </row>
    <row r="6316" ht="22.5" customHeight="1">
      <c r="B6316" s="17"/>
      <c r="C6316" s="17"/>
      <c r="D6316" s="13"/>
      <c r="E6316" s="11"/>
      <c r="F6316" s="11"/>
      <c r="G6316" s="13">
        <f t="shared" si="1"/>
        <v>1281</v>
      </c>
      <c r="H6316" s="13"/>
    </row>
    <row r="6317" ht="22.5" customHeight="1">
      <c r="B6317" s="17"/>
      <c r="C6317" s="17"/>
      <c r="D6317" s="13"/>
      <c r="E6317" s="11"/>
      <c r="F6317" s="11"/>
      <c r="G6317" s="13">
        <f t="shared" si="1"/>
        <v>1281</v>
      </c>
      <c r="H6317" s="13"/>
    </row>
    <row r="6318" ht="22.5" customHeight="1">
      <c r="B6318" s="17"/>
      <c r="C6318" s="17"/>
      <c r="D6318" s="13"/>
      <c r="E6318" s="11"/>
      <c r="F6318" s="11"/>
      <c r="G6318" s="13">
        <f t="shared" si="1"/>
        <v>1281</v>
      </c>
      <c r="H6318" s="13"/>
    </row>
    <row r="6319" ht="22.5" customHeight="1">
      <c r="B6319" s="17"/>
      <c r="C6319" s="17"/>
      <c r="D6319" s="13"/>
      <c r="E6319" s="11"/>
      <c r="F6319" s="11"/>
      <c r="G6319" s="13">
        <f t="shared" si="1"/>
        <v>1281</v>
      </c>
      <c r="H6319" s="13"/>
    </row>
    <row r="6320" ht="22.5" customHeight="1">
      <c r="B6320" s="17"/>
      <c r="C6320" s="17"/>
      <c r="D6320" s="13"/>
      <c r="E6320" s="11"/>
      <c r="F6320" s="11"/>
      <c r="G6320" s="13">
        <f t="shared" si="1"/>
        <v>1281</v>
      </c>
      <c r="H6320" s="13"/>
    </row>
    <row r="6321" ht="22.5" customHeight="1">
      <c r="B6321" s="17"/>
      <c r="C6321" s="17"/>
      <c r="D6321" s="13"/>
      <c r="E6321" s="11"/>
      <c r="F6321" s="11"/>
      <c r="G6321" s="13">
        <f t="shared" si="1"/>
        <v>1281</v>
      </c>
      <c r="H6321" s="13"/>
    </row>
    <row r="6322" ht="22.5" customHeight="1">
      <c r="B6322" s="17"/>
      <c r="C6322" s="17"/>
      <c r="D6322" s="13"/>
      <c r="E6322" s="11"/>
      <c r="F6322" s="11"/>
      <c r="G6322" s="13">
        <f t="shared" si="1"/>
        <v>1281</v>
      </c>
      <c r="H6322" s="13"/>
    </row>
    <row r="6323" ht="22.5" customHeight="1">
      <c r="B6323" s="17"/>
      <c r="C6323" s="17"/>
      <c r="D6323" s="13"/>
      <c r="E6323" s="11"/>
      <c r="F6323" s="11"/>
      <c r="G6323" s="13">
        <f t="shared" si="1"/>
        <v>1281</v>
      </c>
      <c r="H6323" s="13"/>
    </row>
    <row r="6324" ht="22.5" customHeight="1">
      <c r="B6324" s="17"/>
      <c r="C6324" s="17"/>
      <c r="D6324" s="13"/>
      <c r="E6324" s="11"/>
      <c r="F6324" s="11"/>
      <c r="G6324" s="13">
        <f t="shared" si="1"/>
        <v>1281</v>
      </c>
      <c r="H6324" s="13"/>
    </row>
    <row r="6325" ht="22.5" customHeight="1">
      <c r="B6325" s="17"/>
      <c r="C6325" s="17"/>
      <c r="D6325" s="13"/>
      <c r="E6325" s="11"/>
      <c r="F6325" s="11"/>
      <c r="G6325" s="13">
        <f t="shared" si="1"/>
        <v>1281</v>
      </c>
      <c r="H6325" s="13"/>
    </row>
    <row r="6326" ht="22.5" customHeight="1">
      <c r="B6326" s="17"/>
      <c r="C6326" s="17"/>
      <c r="D6326" s="13"/>
      <c r="E6326" s="11"/>
      <c r="F6326" s="11"/>
      <c r="G6326" s="13">
        <f t="shared" si="1"/>
        <v>1281</v>
      </c>
      <c r="H6326" s="13"/>
    </row>
    <row r="6327" ht="22.5" customHeight="1">
      <c r="B6327" s="17"/>
      <c r="C6327" s="17"/>
      <c r="D6327" s="13"/>
      <c r="E6327" s="11"/>
      <c r="F6327" s="11"/>
      <c r="G6327" s="13">
        <f t="shared" si="1"/>
        <v>1281</v>
      </c>
      <c r="H6327" s="13"/>
    </row>
    <row r="6328" ht="22.5" customHeight="1">
      <c r="B6328" s="17"/>
      <c r="C6328" s="17"/>
      <c r="D6328" s="13"/>
      <c r="E6328" s="11"/>
      <c r="F6328" s="11"/>
      <c r="G6328" s="13">
        <f t="shared" si="1"/>
        <v>1281</v>
      </c>
      <c r="H6328" s="13"/>
    </row>
    <row r="6329" ht="22.5" customHeight="1">
      <c r="B6329" s="17"/>
      <c r="C6329" s="17"/>
      <c r="D6329" s="13"/>
      <c r="E6329" s="11"/>
      <c r="F6329" s="11"/>
      <c r="G6329" s="13">
        <f t="shared" si="1"/>
        <v>1281</v>
      </c>
      <c r="H6329" s="13"/>
    </row>
    <row r="6330" ht="22.5" customHeight="1">
      <c r="B6330" s="17"/>
      <c r="C6330" s="17"/>
      <c r="D6330" s="13"/>
      <c r="E6330" s="11"/>
      <c r="F6330" s="11"/>
      <c r="G6330" s="13">
        <f t="shared" si="1"/>
        <v>1281</v>
      </c>
      <c r="H6330" s="13"/>
    </row>
    <row r="6331" ht="22.5" customHeight="1">
      <c r="B6331" s="17"/>
      <c r="C6331" s="17"/>
      <c r="D6331" s="13"/>
      <c r="E6331" s="11"/>
      <c r="F6331" s="11"/>
      <c r="G6331" s="13">
        <f t="shared" si="1"/>
        <v>1281</v>
      </c>
      <c r="H6331" s="13"/>
    </row>
    <row r="6332" ht="22.5" customHeight="1">
      <c r="B6332" s="17"/>
      <c r="C6332" s="17"/>
      <c r="D6332" s="13"/>
      <c r="E6332" s="11"/>
      <c r="F6332" s="11"/>
      <c r="G6332" s="13">
        <f t="shared" si="1"/>
        <v>1281</v>
      </c>
      <c r="H6332" s="13"/>
    </row>
    <row r="6333" ht="22.5" customHeight="1">
      <c r="B6333" s="17"/>
      <c r="C6333" s="17"/>
      <c r="D6333" s="13"/>
      <c r="E6333" s="11"/>
      <c r="F6333" s="11"/>
      <c r="G6333" s="13">
        <f t="shared" si="1"/>
        <v>1281</v>
      </c>
      <c r="H6333" s="13"/>
    </row>
    <row r="6334" ht="22.5" customHeight="1">
      <c r="B6334" s="17"/>
      <c r="C6334" s="17"/>
      <c r="D6334" s="13"/>
      <c r="E6334" s="11"/>
      <c r="F6334" s="11"/>
      <c r="G6334" s="13">
        <f t="shared" si="1"/>
        <v>1281</v>
      </c>
      <c r="H6334" s="13"/>
    </row>
    <row r="6335" ht="22.5" customHeight="1">
      <c r="B6335" s="17"/>
      <c r="C6335" s="17"/>
      <c r="D6335" s="13"/>
      <c r="E6335" s="11"/>
      <c r="F6335" s="11"/>
      <c r="G6335" s="13">
        <f t="shared" si="1"/>
        <v>1281</v>
      </c>
      <c r="H6335" s="13"/>
    </row>
    <row r="6336" ht="22.5" customHeight="1">
      <c r="B6336" s="17"/>
      <c r="C6336" s="17"/>
      <c r="D6336" s="13"/>
      <c r="E6336" s="11"/>
      <c r="F6336" s="11"/>
      <c r="G6336" s="13">
        <f t="shared" si="1"/>
        <v>1281</v>
      </c>
      <c r="H6336" s="13"/>
    </row>
    <row r="6337" ht="22.5" customHeight="1">
      <c r="B6337" s="17"/>
      <c r="C6337" s="17"/>
      <c r="D6337" s="13"/>
      <c r="E6337" s="11"/>
      <c r="F6337" s="11"/>
      <c r="G6337" s="13">
        <f t="shared" si="1"/>
        <v>1281</v>
      </c>
      <c r="H6337" s="13"/>
    </row>
    <row r="6338" ht="22.5" customHeight="1">
      <c r="B6338" s="17"/>
      <c r="C6338" s="17"/>
      <c r="D6338" s="13"/>
      <c r="E6338" s="11"/>
      <c r="F6338" s="11"/>
      <c r="G6338" s="13">
        <f t="shared" si="1"/>
        <v>1281</v>
      </c>
      <c r="H6338" s="13"/>
    </row>
    <row r="6339" ht="22.5" customHeight="1">
      <c r="B6339" s="17"/>
      <c r="C6339" s="17"/>
      <c r="D6339" s="13"/>
      <c r="E6339" s="11"/>
      <c r="F6339" s="11"/>
      <c r="G6339" s="13">
        <f t="shared" si="1"/>
        <v>1281</v>
      </c>
      <c r="H6339" s="13"/>
    </row>
    <row r="6340" ht="22.5" customHeight="1">
      <c r="B6340" s="17"/>
      <c r="C6340" s="17"/>
      <c r="D6340" s="13"/>
      <c r="E6340" s="11"/>
      <c r="F6340" s="11"/>
      <c r="G6340" s="13">
        <f t="shared" si="1"/>
        <v>1281</v>
      </c>
      <c r="H6340" s="13"/>
    </row>
    <row r="6341" ht="22.5" customHeight="1">
      <c r="B6341" s="17"/>
      <c r="C6341" s="17"/>
      <c r="D6341" s="13"/>
      <c r="E6341" s="11"/>
      <c r="F6341" s="11"/>
      <c r="G6341" s="13">
        <f t="shared" si="1"/>
        <v>1281</v>
      </c>
      <c r="H6341" s="13"/>
    </row>
    <row r="6342" ht="22.5" customHeight="1">
      <c r="B6342" s="17"/>
      <c r="C6342" s="17"/>
      <c r="D6342" s="13"/>
      <c r="E6342" s="11"/>
      <c r="F6342" s="11"/>
      <c r="G6342" s="13">
        <f t="shared" si="1"/>
        <v>1281</v>
      </c>
      <c r="H6342" s="13"/>
    </row>
    <row r="6343" ht="22.5" customHeight="1">
      <c r="B6343" s="17"/>
      <c r="C6343" s="17"/>
      <c r="D6343" s="13"/>
      <c r="E6343" s="11"/>
      <c r="F6343" s="11"/>
      <c r="G6343" s="13">
        <f t="shared" si="1"/>
        <v>1281</v>
      </c>
      <c r="H6343" s="13"/>
    </row>
    <row r="6344" ht="22.5" customHeight="1">
      <c r="B6344" s="17"/>
      <c r="C6344" s="17"/>
      <c r="D6344" s="13"/>
      <c r="E6344" s="11"/>
      <c r="F6344" s="11"/>
      <c r="G6344" s="13">
        <f t="shared" si="1"/>
        <v>1281</v>
      </c>
      <c r="H6344" s="13"/>
    </row>
    <row r="6345" ht="22.5" customHeight="1">
      <c r="B6345" s="17"/>
      <c r="C6345" s="17"/>
      <c r="D6345" s="13"/>
      <c r="E6345" s="11"/>
      <c r="F6345" s="11"/>
      <c r="G6345" s="13">
        <f t="shared" si="1"/>
        <v>1281</v>
      </c>
      <c r="H6345" s="13"/>
    </row>
    <row r="6346" ht="22.5" customHeight="1">
      <c r="B6346" s="17"/>
      <c r="C6346" s="17"/>
      <c r="D6346" s="13"/>
      <c r="E6346" s="11"/>
      <c r="F6346" s="11"/>
      <c r="G6346" s="13">
        <f t="shared" si="1"/>
        <v>1281</v>
      </c>
      <c r="H6346" s="13"/>
    </row>
    <row r="6347" ht="22.5" customHeight="1">
      <c r="B6347" s="17"/>
      <c r="C6347" s="17"/>
      <c r="D6347" s="13"/>
      <c r="E6347" s="11"/>
      <c r="F6347" s="11"/>
      <c r="G6347" s="13">
        <f t="shared" si="1"/>
        <v>1281</v>
      </c>
      <c r="H6347" s="13"/>
    </row>
    <row r="6348" ht="22.5" customHeight="1">
      <c r="B6348" s="17"/>
      <c r="C6348" s="17"/>
      <c r="D6348" s="13"/>
      <c r="E6348" s="11"/>
      <c r="F6348" s="11"/>
      <c r="G6348" s="13">
        <f t="shared" si="1"/>
        <v>1281</v>
      </c>
      <c r="H6348" s="13"/>
    </row>
    <row r="6349" ht="22.5" customHeight="1">
      <c r="B6349" s="17"/>
      <c r="C6349" s="17"/>
      <c r="D6349" s="13"/>
      <c r="E6349" s="11"/>
      <c r="F6349" s="11"/>
      <c r="G6349" s="13">
        <f t="shared" si="1"/>
        <v>1281</v>
      </c>
      <c r="H6349" s="13"/>
    </row>
    <row r="6350" ht="22.5" customHeight="1">
      <c r="B6350" s="17"/>
      <c r="C6350" s="17"/>
      <c r="D6350" s="13"/>
      <c r="E6350" s="11"/>
      <c r="F6350" s="11"/>
      <c r="G6350" s="13">
        <f t="shared" si="1"/>
        <v>1281</v>
      </c>
      <c r="H6350" s="13"/>
    </row>
    <row r="6351" ht="22.5" customHeight="1">
      <c r="B6351" s="17"/>
      <c r="C6351" s="17"/>
      <c r="D6351" s="13"/>
      <c r="E6351" s="11"/>
      <c r="F6351" s="11"/>
      <c r="G6351" s="13">
        <f t="shared" si="1"/>
        <v>1281</v>
      </c>
      <c r="H6351" s="13"/>
    </row>
    <row r="6352" ht="22.5" customHeight="1">
      <c r="B6352" s="17"/>
      <c r="C6352" s="17"/>
      <c r="D6352" s="13"/>
      <c r="E6352" s="11"/>
      <c r="F6352" s="11"/>
      <c r="G6352" s="13">
        <f t="shared" si="1"/>
        <v>1281</v>
      </c>
      <c r="H6352" s="13"/>
    </row>
    <row r="6353" ht="22.5" customHeight="1">
      <c r="B6353" s="17"/>
      <c r="C6353" s="17"/>
      <c r="D6353" s="13"/>
      <c r="E6353" s="11"/>
      <c r="F6353" s="11"/>
      <c r="G6353" s="13">
        <f t="shared" si="1"/>
        <v>1281</v>
      </c>
      <c r="H6353" s="13"/>
    </row>
    <row r="6354" ht="22.5" customHeight="1">
      <c r="B6354" s="17"/>
      <c r="C6354" s="17"/>
      <c r="D6354" s="13"/>
      <c r="E6354" s="11"/>
      <c r="F6354" s="11"/>
      <c r="G6354" s="13">
        <f t="shared" si="1"/>
        <v>1281</v>
      </c>
      <c r="H6354" s="13"/>
    </row>
    <row r="6355" ht="22.5" customHeight="1">
      <c r="B6355" s="17"/>
      <c r="C6355" s="17"/>
      <c r="D6355" s="13"/>
      <c r="E6355" s="11"/>
      <c r="F6355" s="11"/>
      <c r="G6355" s="13">
        <f t="shared" si="1"/>
        <v>1281</v>
      </c>
      <c r="H6355" s="13"/>
    </row>
    <row r="6356" ht="22.5" customHeight="1">
      <c r="B6356" s="17"/>
      <c r="C6356" s="17"/>
      <c r="D6356" s="13"/>
      <c r="E6356" s="11"/>
      <c r="F6356" s="11"/>
      <c r="G6356" s="13">
        <f t="shared" si="1"/>
        <v>1281</v>
      </c>
      <c r="H6356" s="13"/>
    </row>
    <row r="6357" ht="22.5" customHeight="1">
      <c r="B6357" s="17"/>
      <c r="C6357" s="17"/>
      <c r="D6357" s="13"/>
      <c r="E6357" s="11"/>
      <c r="F6357" s="11"/>
      <c r="G6357" s="13">
        <f t="shared" si="1"/>
        <v>1281</v>
      </c>
      <c r="H6357" s="13"/>
    </row>
    <row r="6358" ht="22.5" customHeight="1">
      <c r="B6358" s="17"/>
      <c r="C6358" s="17"/>
      <c r="D6358" s="13"/>
      <c r="E6358" s="11"/>
      <c r="F6358" s="11"/>
      <c r="G6358" s="13">
        <f t="shared" si="1"/>
        <v>1281</v>
      </c>
      <c r="H6358" s="13"/>
    </row>
    <row r="6359" ht="22.5" customHeight="1">
      <c r="B6359" s="17"/>
      <c r="C6359" s="17"/>
      <c r="D6359" s="13"/>
      <c r="E6359" s="11"/>
      <c r="F6359" s="11"/>
      <c r="G6359" s="13">
        <f t="shared" si="1"/>
        <v>1281</v>
      </c>
      <c r="H6359" s="13"/>
    </row>
    <row r="6360" ht="22.5" customHeight="1">
      <c r="B6360" s="17"/>
      <c r="C6360" s="17"/>
      <c r="D6360" s="13"/>
      <c r="E6360" s="11"/>
      <c r="F6360" s="11"/>
      <c r="G6360" s="13">
        <f t="shared" si="1"/>
        <v>1281</v>
      </c>
      <c r="H6360" s="13"/>
    </row>
    <row r="6361" ht="22.5" customHeight="1">
      <c r="B6361" s="17"/>
      <c r="C6361" s="17"/>
      <c r="D6361" s="13"/>
      <c r="E6361" s="11"/>
      <c r="F6361" s="11"/>
      <c r="G6361" s="13">
        <f t="shared" si="1"/>
        <v>1281</v>
      </c>
      <c r="H6361" s="13"/>
    </row>
    <row r="6362" ht="22.5" customHeight="1">
      <c r="B6362" s="17"/>
      <c r="C6362" s="17"/>
      <c r="D6362" s="13"/>
      <c r="E6362" s="11"/>
      <c r="F6362" s="11"/>
      <c r="G6362" s="13">
        <f t="shared" si="1"/>
        <v>1281</v>
      </c>
      <c r="H6362" s="13"/>
    </row>
    <row r="6363" ht="22.5" customHeight="1">
      <c r="B6363" s="17"/>
      <c r="C6363" s="17"/>
      <c r="D6363" s="13"/>
      <c r="E6363" s="11"/>
      <c r="F6363" s="11"/>
      <c r="G6363" s="13">
        <f t="shared" si="1"/>
        <v>1281</v>
      </c>
      <c r="H6363" s="13"/>
    </row>
    <row r="6364" ht="22.5" customHeight="1">
      <c r="B6364" s="17"/>
      <c r="C6364" s="17"/>
      <c r="D6364" s="13"/>
      <c r="E6364" s="11"/>
      <c r="F6364" s="11"/>
      <c r="G6364" s="13">
        <f t="shared" si="1"/>
        <v>1281</v>
      </c>
      <c r="H6364" s="13"/>
    </row>
    <row r="6365" ht="22.5" customHeight="1">
      <c r="B6365" s="17"/>
      <c r="C6365" s="17"/>
      <c r="D6365" s="13"/>
      <c r="E6365" s="11"/>
      <c r="F6365" s="11"/>
      <c r="G6365" s="13">
        <f t="shared" si="1"/>
        <v>1281</v>
      </c>
      <c r="H6365" s="13"/>
    </row>
    <row r="6366" ht="22.5" customHeight="1">
      <c r="B6366" s="17"/>
      <c r="C6366" s="17"/>
      <c r="D6366" s="13"/>
      <c r="E6366" s="11"/>
      <c r="F6366" s="11"/>
      <c r="G6366" s="13">
        <f t="shared" si="1"/>
        <v>1281</v>
      </c>
      <c r="H6366" s="13"/>
    </row>
    <row r="6367" ht="22.5" customHeight="1">
      <c r="B6367" s="17"/>
      <c r="C6367" s="17"/>
      <c r="D6367" s="13"/>
      <c r="E6367" s="11"/>
      <c r="F6367" s="11"/>
      <c r="G6367" s="13">
        <f t="shared" si="1"/>
        <v>1281</v>
      </c>
      <c r="H6367" s="13"/>
    </row>
    <row r="6368" ht="22.5" customHeight="1">
      <c r="B6368" s="17"/>
      <c r="C6368" s="17"/>
      <c r="D6368" s="13"/>
      <c r="E6368" s="11"/>
      <c r="F6368" s="11"/>
      <c r="G6368" s="13">
        <f t="shared" si="1"/>
        <v>1281</v>
      </c>
      <c r="H6368" s="13"/>
    </row>
    <row r="6369" ht="22.5" customHeight="1">
      <c r="B6369" s="17"/>
      <c r="C6369" s="17"/>
      <c r="D6369" s="13"/>
      <c r="E6369" s="11"/>
      <c r="F6369" s="11"/>
      <c r="G6369" s="13">
        <f t="shared" si="1"/>
        <v>1281</v>
      </c>
      <c r="H6369" s="13"/>
    </row>
    <row r="6370" ht="22.5" customHeight="1">
      <c r="B6370" s="17"/>
      <c r="C6370" s="17"/>
      <c r="D6370" s="13"/>
      <c r="E6370" s="11"/>
      <c r="F6370" s="11"/>
      <c r="G6370" s="13">
        <f t="shared" si="1"/>
        <v>1281</v>
      </c>
      <c r="H6370" s="13"/>
    </row>
    <row r="6371" ht="22.5" customHeight="1">
      <c r="B6371" s="17"/>
      <c r="C6371" s="17"/>
      <c r="D6371" s="13"/>
      <c r="E6371" s="11"/>
      <c r="F6371" s="11"/>
      <c r="G6371" s="13">
        <f t="shared" si="1"/>
        <v>1281</v>
      </c>
      <c r="H6371" s="13"/>
    </row>
    <row r="6372" ht="22.5" customHeight="1">
      <c r="B6372" s="17"/>
      <c r="C6372" s="17"/>
      <c r="D6372" s="13"/>
      <c r="E6372" s="11"/>
      <c r="F6372" s="11"/>
      <c r="G6372" s="13">
        <f t="shared" si="1"/>
        <v>1281</v>
      </c>
      <c r="H6372" s="13"/>
    </row>
    <row r="6373" ht="22.5" customHeight="1">
      <c r="B6373" s="17"/>
      <c r="C6373" s="17"/>
      <c r="D6373" s="13"/>
      <c r="E6373" s="11"/>
      <c r="F6373" s="11"/>
      <c r="G6373" s="13">
        <f t="shared" si="1"/>
        <v>1281</v>
      </c>
      <c r="H6373" s="13"/>
    </row>
    <row r="6374" ht="22.5" customHeight="1">
      <c r="B6374" s="17"/>
      <c r="C6374" s="17"/>
      <c r="D6374" s="13"/>
      <c r="E6374" s="11"/>
      <c r="F6374" s="11"/>
      <c r="G6374" s="13">
        <f t="shared" si="1"/>
        <v>1281</v>
      </c>
      <c r="H6374" s="13"/>
    </row>
    <row r="6375" ht="22.5" customHeight="1">
      <c r="B6375" s="17"/>
      <c r="C6375" s="17"/>
      <c r="D6375" s="13"/>
      <c r="E6375" s="11"/>
      <c r="F6375" s="11"/>
      <c r="G6375" s="13">
        <f t="shared" si="1"/>
        <v>1281</v>
      </c>
      <c r="H6375" s="13"/>
    </row>
    <row r="6376" ht="22.5" customHeight="1">
      <c r="B6376" s="17"/>
      <c r="C6376" s="17"/>
      <c r="D6376" s="13"/>
      <c r="E6376" s="11"/>
      <c r="F6376" s="11"/>
      <c r="G6376" s="13">
        <f t="shared" si="1"/>
        <v>1281</v>
      </c>
      <c r="H6376" s="13"/>
    </row>
    <row r="6377" ht="22.5" customHeight="1">
      <c r="B6377" s="17"/>
      <c r="C6377" s="17"/>
      <c r="D6377" s="13"/>
      <c r="E6377" s="11"/>
      <c r="F6377" s="11"/>
      <c r="G6377" s="13">
        <f t="shared" si="1"/>
        <v>1281</v>
      </c>
      <c r="H6377" s="13"/>
    </row>
    <row r="6378" ht="22.5" customHeight="1">
      <c r="B6378" s="17"/>
      <c r="C6378" s="17"/>
      <c r="D6378" s="13"/>
      <c r="E6378" s="11"/>
      <c r="F6378" s="11"/>
      <c r="G6378" s="13">
        <f t="shared" si="1"/>
        <v>1281</v>
      </c>
      <c r="H6378" s="13"/>
    </row>
    <row r="6379" ht="22.5" customHeight="1">
      <c r="B6379" s="17"/>
      <c r="C6379" s="17"/>
      <c r="D6379" s="13"/>
      <c r="E6379" s="11"/>
      <c r="F6379" s="11"/>
      <c r="G6379" s="13">
        <f t="shared" si="1"/>
        <v>1281</v>
      </c>
      <c r="H6379" s="13"/>
    </row>
    <row r="6380" ht="22.5" customHeight="1">
      <c r="B6380" s="17"/>
      <c r="C6380" s="17"/>
      <c r="D6380" s="13"/>
      <c r="E6380" s="11"/>
      <c r="F6380" s="11"/>
      <c r="G6380" s="13">
        <f t="shared" si="1"/>
        <v>1281</v>
      </c>
      <c r="H6380" s="13"/>
    </row>
    <row r="6381" ht="22.5" customHeight="1">
      <c r="B6381" s="17"/>
      <c r="C6381" s="17"/>
      <c r="D6381" s="13"/>
      <c r="E6381" s="11"/>
      <c r="F6381" s="11"/>
      <c r="G6381" s="13">
        <f t="shared" si="1"/>
        <v>1281</v>
      </c>
      <c r="H6381" s="13"/>
    </row>
    <row r="6382" ht="22.5" customHeight="1">
      <c r="B6382" s="17"/>
      <c r="C6382" s="17"/>
      <c r="D6382" s="13"/>
      <c r="E6382" s="11"/>
      <c r="F6382" s="11"/>
      <c r="G6382" s="13">
        <f t="shared" si="1"/>
        <v>1281</v>
      </c>
      <c r="H6382" s="13"/>
    </row>
    <row r="6383" ht="22.5" customHeight="1">
      <c r="B6383" s="17"/>
      <c r="C6383" s="17"/>
      <c r="D6383" s="13"/>
      <c r="E6383" s="11"/>
      <c r="F6383" s="11"/>
      <c r="G6383" s="13">
        <f t="shared" si="1"/>
        <v>1281</v>
      </c>
      <c r="H6383" s="13"/>
    </row>
    <row r="6384" ht="22.5" customHeight="1">
      <c r="B6384" s="17"/>
      <c r="C6384" s="17"/>
      <c r="D6384" s="13"/>
      <c r="E6384" s="11"/>
      <c r="F6384" s="11"/>
      <c r="G6384" s="13">
        <f t="shared" si="1"/>
        <v>1281</v>
      </c>
      <c r="H6384" s="13"/>
    </row>
    <row r="6385" ht="22.5" customHeight="1">
      <c r="B6385" s="17"/>
      <c r="C6385" s="17"/>
      <c r="D6385" s="13"/>
      <c r="E6385" s="11"/>
      <c r="F6385" s="11"/>
      <c r="G6385" s="13">
        <f t="shared" si="1"/>
        <v>1281</v>
      </c>
      <c r="H6385" s="13"/>
    </row>
    <row r="6386" ht="22.5" customHeight="1">
      <c r="B6386" s="17"/>
      <c r="C6386" s="17"/>
      <c r="D6386" s="13"/>
      <c r="E6386" s="11"/>
      <c r="F6386" s="11"/>
      <c r="G6386" s="13">
        <f t="shared" si="1"/>
        <v>1281</v>
      </c>
      <c r="H6386" s="13"/>
    </row>
    <row r="6387" ht="22.5" customHeight="1">
      <c r="B6387" s="17"/>
      <c r="C6387" s="17"/>
      <c r="D6387" s="13"/>
      <c r="E6387" s="11"/>
      <c r="F6387" s="11"/>
      <c r="G6387" s="13">
        <f t="shared" si="1"/>
        <v>1281</v>
      </c>
      <c r="H6387" s="13"/>
    </row>
    <row r="6388" ht="22.5" customHeight="1">
      <c r="B6388" s="17"/>
      <c r="C6388" s="17"/>
      <c r="D6388" s="13"/>
      <c r="E6388" s="11"/>
      <c r="F6388" s="11"/>
      <c r="G6388" s="13">
        <f t="shared" si="1"/>
        <v>1281</v>
      </c>
      <c r="H6388" s="13"/>
    </row>
    <row r="6389" ht="22.5" customHeight="1">
      <c r="B6389" s="17"/>
      <c r="C6389" s="17"/>
      <c r="D6389" s="13"/>
      <c r="E6389" s="11"/>
      <c r="F6389" s="11"/>
      <c r="G6389" s="13">
        <f t="shared" si="1"/>
        <v>1281</v>
      </c>
      <c r="H6389" s="13"/>
    </row>
    <row r="6390" ht="22.5" customHeight="1">
      <c r="B6390" s="17"/>
      <c r="C6390" s="17"/>
      <c r="D6390" s="13"/>
      <c r="E6390" s="11"/>
      <c r="F6390" s="11"/>
      <c r="G6390" s="13">
        <f t="shared" si="1"/>
        <v>1281</v>
      </c>
      <c r="H6390" s="13"/>
    </row>
    <row r="6391" ht="22.5" customHeight="1">
      <c r="B6391" s="17"/>
      <c r="C6391" s="17"/>
      <c r="D6391" s="13"/>
      <c r="E6391" s="11"/>
      <c r="F6391" s="11"/>
      <c r="G6391" s="13">
        <f t="shared" si="1"/>
        <v>1281</v>
      </c>
      <c r="H6391" s="13"/>
    </row>
    <row r="6392" ht="22.5" customHeight="1">
      <c r="B6392" s="17"/>
      <c r="C6392" s="17"/>
      <c r="D6392" s="13"/>
      <c r="E6392" s="11"/>
      <c r="F6392" s="11"/>
      <c r="G6392" s="13">
        <f t="shared" si="1"/>
        <v>1281</v>
      </c>
      <c r="H6392" s="13"/>
    </row>
    <row r="6393" ht="22.5" customHeight="1">
      <c r="B6393" s="17"/>
      <c r="C6393" s="17"/>
      <c r="D6393" s="13"/>
      <c r="E6393" s="11"/>
      <c r="F6393" s="11"/>
      <c r="G6393" s="13">
        <f t="shared" si="1"/>
        <v>1281</v>
      </c>
      <c r="H6393" s="13"/>
    </row>
    <row r="6394" ht="22.5" customHeight="1">
      <c r="B6394" s="17"/>
      <c r="C6394" s="17"/>
      <c r="D6394" s="13"/>
      <c r="E6394" s="11"/>
      <c r="F6394" s="11"/>
      <c r="G6394" s="13">
        <f t="shared" si="1"/>
        <v>1281</v>
      </c>
      <c r="H6394" s="13"/>
    </row>
    <row r="6395" ht="22.5" customHeight="1">
      <c r="B6395" s="17"/>
      <c r="C6395" s="17"/>
      <c r="D6395" s="13"/>
      <c r="E6395" s="11"/>
      <c r="F6395" s="11"/>
      <c r="G6395" s="13">
        <f t="shared" si="1"/>
        <v>1281</v>
      </c>
      <c r="H6395" s="13"/>
    </row>
    <row r="6396" ht="22.5" customHeight="1">
      <c r="B6396" s="17"/>
      <c r="C6396" s="17"/>
      <c r="D6396" s="13"/>
      <c r="E6396" s="11"/>
      <c r="F6396" s="11"/>
      <c r="G6396" s="13">
        <f t="shared" si="1"/>
        <v>1281</v>
      </c>
      <c r="H6396" s="13"/>
    </row>
    <row r="6397" ht="22.5" customHeight="1">
      <c r="B6397" s="17"/>
      <c r="C6397" s="17"/>
      <c r="D6397" s="13"/>
      <c r="E6397" s="11"/>
      <c r="F6397" s="11"/>
      <c r="G6397" s="13">
        <f t="shared" si="1"/>
        <v>1281</v>
      </c>
      <c r="H6397" s="13"/>
    </row>
    <row r="6398" ht="22.5" customHeight="1">
      <c r="B6398" s="17"/>
      <c r="C6398" s="17"/>
      <c r="D6398" s="13"/>
      <c r="E6398" s="11"/>
      <c r="F6398" s="11"/>
      <c r="G6398" s="13">
        <f t="shared" si="1"/>
        <v>1281</v>
      </c>
      <c r="H6398" s="13"/>
    </row>
    <row r="6399" ht="22.5" customHeight="1">
      <c r="B6399" s="17"/>
      <c r="C6399" s="17"/>
      <c r="D6399" s="13"/>
      <c r="E6399" s="11"/>
      <c r="F6399" s="11"/>
      <c r="G6399" s="13">
        <f t="shared" si="1"/>
        <v>1281</v>
      </c>
      <c r="H6399" s="13"/>
    </row>
    <row r="6400" ht="22.5" customHeight="1">
      <c r="B6400" s="17"/>
      <c r="C6400" s="17"/>
      <c r="D6400" s="13"/>
      <c r="E6400" s="11"/>
      <c r="F6400" s="11"/>
      <c r="G6400" s="13">
        <f t="shared" si="1"/>
        <v>1281</v>
      </c>
      <c r="H6400" s="13"/>
    </row>
    <row r="6401" ht="22.5" customHeight="1">
      <c r="B6401" s="17"/>
      <c r="C6401" s="17"/>
      <c r="D6401" s="13"/>
      <c r="E6401" s="11"/>
      <c r="F6401" s="11"/>
      <c r="G6401" s="13">
        <f t="shared" si="1"/>
        <v>1281</v>
      </c>
      <c r="H6401" s="13"/>
    </row>
    <row r="6402" ht="22.5" customHeight="1">
      <c r="B6402" s="17"/>
      <c r="C6402" s="17"/>
      <c r="D6402" s="13"/>
      <c r="E6402" s="11"/>
      <c r="F6402" s="11"/>
      <c r="G6402" s="13">
        <f t="shared" si="1"/>
        <v>1281</v>
      </c>
      <c r="H6402" s="13"/>
    </row>
    <row r="6403" ht="22.5" customHeight="1">
      <c r="B6403" s="17"/>
      <c r="C6403" s="17"/>
      <c r="D6403" s="13"/>
      <c r="E6403" s="11"/>
      <c r="F6403" s="11"/>
      <c r="G6403" s="13">
        <f t="shared" si="1"/>
        <v>1281</v>
      </c>
      <c r="H6403" s="13"/>
    </row>
    <row r="6404" ht="22.5" customHeight="1">
      <c r="B6404" s="17"/>
      <c r="C6404" s="17"/>
      <c r="D6404" s="13"/>
      <c r="E6404" s="11"/>
      <c r="F6404" s="11"/>
      <c r="G6404" s="13">
        <f t="shared" si="1"/>
        <v>1281</v>
      </c>
      <c r="H6404" s="13"/>
    </row>
    <row r="6405" ht="22.5" customHeight="1">
      <c r="B6405" s="17"/>
      <c r="C6405" s="17"/>
      <c r="D6405" s="13"/>
      <c r="E6405" s="11"/>
      <c r="F6405" s="11"/>
      <c r="G6405" s="13">
        <f t="shared" si="1"/>
        <v>1281</v>
      </c>
      <c r="H6405" s="13"/>
    </row>
    <row r="6406" ht="22.5" customHeight="1">
      <c r="B6406" s="17"/>
      <c r="C6406" s="17"/>
      <c r="D6406" s="13"/>
      <c r="E6406" s="11"/>
      <c r="F6406" s="11"/>
      <c r="G6406" s="13">
        <f t="shared" si="1"/>
        <v>1281</v>
      </c>
      <c r="H6406" s="13"/>
    </row>
    <row r="6407" ht="22.5" customHeight="1">
      <c r="B6407" s="17"/>
      <c r="C6407" s="17"/>
      <c r="D6407" s="13"/>
      <c r="E6407" s="11"/>
      <c r="F6407" s="11"/>
      <c r="G6407" s="13">
        <f t="shared" si="1"/>
        <v>1281</v>
      </c>
      <c r="H6407" s="13"/>
    </row>
    <row r="6408" ht="22.5" customHeight="1">
      <c r="B6408" s="17"/>
      <c r="C6408" s="17"/>
      <c r="D6408" s="13"/>
      <c r="E6408" s="11"/>
      <c r="F6408" s="11"/>
      <c r="G6408" s="13">
        <f t="shared" si="1"/>
        <v>1281</v>
      </c>
      <c r="H6408" s="13"/>
    </row>
    <row r="6409" ht="22.5" customHeight="1">
      <c r="B6409" s="17"/>
      <c r="C6409" s="17"/>
      <c r="D6409" s="13"/>
      <c r="E6409" s="11"/>
      <c r="F6409" s="11"/>
      <c r="G6409" s="13">
        <f t="shared" si="1"/>
        <v>1281</v>
      </c>
      <c r="H6409" s="13"/>
    </row>
    <row r="6410" ht="22.5" customHeight="1">
      <c r="B6410" s="17"/>
      <c r="C6410" s="17"/>
      <c r="D6410" s="13"/>
      <c r="E6410" s="11"/>
      <c r="F6410" s="11"/>
      <c r="G6410" s="13">
        <f t="shared" si="1"/>
        <v>1281</v>
      </c>
      <c r="H6410" s="13"/>
    </row>
    <row r="6411" ht="22.5" customHeight="1">
      <c r="B6411" s="17"/>
      <c r="C6411" s="17"/>
      <c r="D6411" s="13"/>
      <c r="E6411" s="11"/>
      <c r="F6411" s="11"/>
      <c r="G6411" s="13">
        <f t="shared" si="1"/>
        <v>1281</v>
      </c>
      <c r="H6411" s="13"/>
    </row>
    <row r="6412" ht="22.5" customHeight="1">
      <c r="B6412" s="17"/>
      <c r="C6412" s="17"/>
      <c r="D6412" s="13"/>
      <c r="E6412" s="11"/>
      <c r="F6412" s="11"/>
      <c r="G6412" s="13">
        <f t="shared" si="1"/>
        <v>1281</v>
      </c>
      <c r="H6412" s="13"/>
    </row>
    <row r="6413" ht="22.5" customHeight="1">
      <c r="B6413" s="17"/>
      <c r="C6413" s="17"/>
      <c r="D6413" s="13"/>
      <c r="E6413" s="11"/>
      <c r="F6413" s="11"/>
      <c r="G6413" s="13">
        <f t="shared" si="1"/>
        <v>1281</v>
      </c>
      <c r="H6413" s="13"/>
    </row>
    <row r="6414" ht="22.5" customHeight="1">
      <c r="B6414" s="17"/>
      <c r="C6414" s="17"/>
      <c r="D6414" s="13"/>
      <c r="E6414" s="11"/>
      <c r="F6414" s="11"/>
      <c r="G6414" s="13">
        <f t="shared" si="1"/>
        <v>1281</v>
      </c>
      <c r="H6414" s="13"/>
    </row>
    <row r="6415" ht="22.5" customHeight="1">
      <c r="B6415" s="17"/>
      <c r="C6415" s="17"/>
      <c r="D6415" s="13"/>
      <c r="E6415" s="11"/>
      <c r="F6415" s="11"/>
      <c r="G6415" s="13">
        <f t="shared" si="1"/>
        <v>1281</v>
      </c>
      <c r="H6415" s="13"/>
    </row>
    <row r="6416" ht="22.5" customHeight="1">
      <c r="B6416" s="17"/>
      <c r="C6416" s="17"/>
      <c r="D6416" s="13"/>
      <c r="E6416" s="11"/>
      <c r="F6416" s="11"/>
      <c r="G6416" s="13">
        <f t="shared" si="1"/>
        <v>1281</v>
      </c>
      <c r="H6416" s="13"/>
    </row>
    <row r="6417" ht="22.5" customHeight="1">
      <c r="B6417" s="17"/>
      <c r="C6417" s="17"/>
      <c r="D6417" s="13"/>
      <c r="E6417" s="11"/>
      <c r="F6417" s="11"/>
      <c r="G6417" s="13">
        <f t="shared" si="1"/>
        <v>1281</v>
      </c>
      <c r="H6417" s="13"/>
    </row>
    <row r="6418" ht="22.5" customHeight="1">
      <c r="B6418" s="17"/>
      <c r="C6418" s="17"/>
      <c r="D6418" s="13"/>
      <c r="E6418" s="11"/>
      <c r="F6418" s="11"/>
      <c r="G6418" s="13">
        <f t="shared" si="1"/>
        <v>1281</v>
      </c>
      <c r="H6418" s="13"/>
    </row>
    <row r="6419" ht="22.5" customHeight="1">
      <c r="B6419" s="17"/>
      <c r="C6419" s="17"/>
      <c r="D6419" s="13"/>
      <c r="E6419" s="11"/>
      <c r="F6419" s="11"/>
      <c r="G6419" s="13">
        <f t="shared" si="1"/>
        <v>1281</v>
      </c>
      <c r="H6419" s="13"/>
    </row>
    <row r="6420" ht="22.5" customHeight="1">
      <c r="B6420" s="17"/>
      <c r="C6420" s="17"/>
      <c r="D6420" s="13"/>
      <c r="E6420" s="11"/>
      <c r="F6420" s="11"/>
      <c r="G6420" s="13">
        <f t="shared" si="1"/>
        <v>1281</v>
      </c>
      <c r="H6420" s="13"/>
    </row>
    <row r="6421" ht="22.5" customHeight="1">
      <c r="B6421" s="17"/>
      <c r="C6421" s="17"/>
      <c r="D6421" s="13"/>
      <c r="E6421" s="11"/>
      <c r="F6421" s="11"/>
      <c r="G6421" s="13">
        <f t="shared" si="1"/>
        <v>1281</v>
      </c>
      <c r="H6421" s="13"/>
    </row>
    <row r="6422" ht="22.5" customHeight="1">
      <c r="B6422" s="17"/>
      <c r="C6422" s="17"/>
      <c r="D6422" s="13"/>
      <c r="E6422" s="11"/>
      <c r="F6422" s="11"/>
      <c r="G6422" s="13">
        <f t="shared" si="1"/>
        <v>1281</v>
      </c>
      <c r="H6422" s="13"/>
    </row>
    <row r="6423" ht="22.5" customHeight="1">
      <c r="B6423" s="17"/>
      <c r="C6423" s="17"/>
      <c r="D6423" s="13"/>
      <c r="E6423" s="11"/>
      <c r="F6423" s="11"/>
      <c r="G6423" s="13">
        <f t="shared" si="1"/>
        <v>1281</v>
      </c>
      <c r="H6423" s="13"/>
    </row>
    <row r="6424" ht="22.5" customHeight="1">
      <c r="B6424" s="17"/>
      <c r="C6424" s="17"/>
      <c r="D6424" s="13"/>
      <c r="E6424" s="11"/>
      <c r="F6424" s="11"/>
      <c r="G6424" s="13">
        <f t="shared" si="1"/>
        <v>1281</v>
      </c>
      <c r="H6424" s="13"/>
    </row>
    <row r="6425" ht="22.5" customHeight="1">
      <c r="B6425" s="17"/>
      <c r="C6425" s="17"/>
      <c r="D6425" s="13"/>
      <c r="E6425" s="11"/>
      <c r="F6425" s="11"/>
      <c r="G6425" s="13">
        <f t="shared" si="1"/>
        <v>1281</v>
      </c>
      <c r="H6425" s="13"/>
    </row>
    <row r="6426" ht="22.5" customHeight="1">
      <c r="B6426" s="17"/>
      <c r="C6426" s="17"/>
      <c r="D6426" s="13"/>
      <c r="E6426" s="11"/>
      <c r="F6426" s="11"/>
      <c r="G6426" s="13">
        <f t="shared" si="1"/>
        <v>1281</v>
      </c>
      <c r="H6426" s="13"/>
    </row>
    <row r="6427" ht="22.5" customHeight="1">
      <c r="B6427" s="17"/>
      <c r="C6427" s="17"/>
      <c r="D6427" s="13"/>
      <c r="E6427" s="11"/>
      <c r="F6427" s="11"/>
      <c r="G6427" s="13">
        <f t="shared" si="1"/>
        <v>1281</v>
      </c>
      <c r="H6427" s="13"/>
    </row>
    <row r="6428" ht="22.5" customHeight="1">
      <c r="B6428" s="17"/>
      <c r="C6428" s="17"/>
      <c r="D6428" s="13"/>
      <c r="E6428" s="11"/>
      <c r="F6428" s="11"/>
      <c r="G6428" s="13">
        <f t="shared" si="1"/>
        <v>1281</v>
      </c>
      <c r="H6428" s="13"/>
    </row>
    <row r="6429" ht="22.5" customHeight="1">
      <c r="B6429" s="17"/>
      <c r="C6429" s="17"/>
      <c r="D6429" s="13"/>
      <c r="E6429" s="11"/>
      <c r="F6429" s="11"/>
      <c r="G6429" s="13">
        <f t="shared" si="1"/>
        <v>1281</v>
      </c>
      <c r="H6429" s="13"/>
    </row>
    <row r="6430" ht="22.5" customHeight="1">
      <c r="B6430" s="17"/>
      <c r="C6430" s="17"/>
      <c r="D6430" s="13"/>
      <c r="E6430" s="11"/>
      <c r="F6430" s="11"/>
      <c r="G6430" s="13">
        <f t="shared" si="1"/>
        <v>1281</v>
      </c>
      <c r="H6430" s="13"/>
    </row>
    <row r="6431" ht="22.5" customHeight="1">
      <c r="B6431" s="17"/>
      <c r="C6431" s="17"/>
      <c r="D6431" s="13"/>
      <c r="E6431" s="11"/>
      <c r="F6431" s="11"/>
      <c r="G6431" s="13">
        <f t="shared" si="1"/>
        <v>1281</v>
      </c>
      <c r="H6431" s="13"/>
    </row>
    <row r="6432" ht="22.5" customHeight="1">
      <c r="B6432" s="17"/>
      <c r="C6432" s="17"/>
      <c r="D6432" s="13"/>
      <c r="E6432" s="11"/>
      <c r="F6432" s="11"/>
      <c r="G6432" s="13">
        <f t="shared" si="1"/>
        <v>1281</v>
      </c>
      <c r="H6432" s="13"/>
    </row>
    <row r="6433" ht="22.5" customHeight="1">
      <c r="B6433" s="17"/>
      <c r="C6433" s="17"/>
      <c r="D6433" s="13"/>
      <c r="E6433" s="11"/>
      <c r="F6433" s="11"/>
      <c r="G6433" s="13">
        <f t="shared" si="1"/>
        <v>1281</v>
      </c>
      <c r="H6433" s="13"/>
    </row>
    <row r="6434" ht="22.5" customHeight="1">
      <c r="B6434" s="17"/>
      <c r="C6434" s="17"/>
      <c r="D6434" s="13"/>
      <c r="E6434" s="11"/>
      <c r="F6434" s="11"/>
      <c r="G6434" s="13">
        <f t="shared" si="1"/>
        <v>1281</v>
      </c>
      <c r="H6434" s="13"/>
    </row>
    <row r="6435" ht="22.5" customHeight="1">
      <c r="B6435" s="17"/>
      <c r="C6435" s="17"/>
      <c r="D6435" s="13"/>
      <c r="E6435" s="11"/>
      <c r="F6435" s="11"/>
      <c r="G6435" s="13">
        <f t="shared" si="1"/>
        <v>1281</v>
      </c>
      <c r="H6435" s="13"/>
    </row>
    <row r="6436" ht="22.5" customHeight="1">
      <c r="B6436" s="17"/>
      <c r="C6436" s="17"/>
      <c r="D6436" s="13"/>
      <c r="E6436" s="11"/>
      <c r="F6436" s="11"/>
      <c r="G6436" s="13">
        <f t="shared" si="1"/>
        <v>1281</v>
      </c>
      <c r="H6436" s="13"/>
    </row>
    <row r="6437" ht="22.5" customHeight="1">
      <c r="B6437" s="17"/>
      <c r="C6437" s="17"/>
      <c r="D6437" s="13"/>
      <c r="E6437" s="11"/>
      <c r="F6437" s="11"/>
      <c r="G6437" s="13">
        <f t="shared" si="1"/>
        <v>1281</v>
      </c>
      <c r="H6437" s="13"/>
    </row>
    <row r="6438" ht="22.5" customHeight="1">
      <c r="B6438" s="17"/>
      <c r="C6438" s="17"/>
      <c r="D6438" s="13"/>
      <c r="E6438" s="11"/>
      <c r="F6438" s="11"/>
      <c r="G6438" s="13">
        <f t="shared" si="1"/>
        <v>1281</v>
      </c>
      <c r="H6438" s="13"/>
    </row>
    <row r="6439" ht="22.5" customHeight="1">
      <c r="B6439" s="17"/>
      <c r="C6439" s="17"/>
      <c r="D6439" s="13"/>
      <c r="E6439" s="11"/>
      <c r="F6439" s="11"/>
      <c r="G6439" s="13">
        <f t="shared" si="1"/>
        <v>1281</v>
      </c>
      <c r="H6439" s="13"/>
    </row>
    <row r="6440" ht="22.5" customHeight="1">
      <c r="B6440" s="17"/>
      <c r="C6440" s="17"/>
      <c r="D6440" s="13"/>
      <c r="E6440" s="11"/>
      <c r="F6440" s="11"/>
      <c r="G6440" s="13">
        <f t="shared" si="1"/>
        <v>1281</v>
      </c>
      <c r="H6440" s="13"/>
    </row>
    <row r="6441" ht="22.5" customHeight="1">
      <c r="B6441" s="17"/>
      <c r="C6441" s="17"/>
      <c r="D6441" s="13"/>
      <c r="E6441" s="11"/>
      <c r="F6441" s="11"/>
      <c r="G6441" s="13">
        <f t="shared" si="1"/>
        <v>1281</v>
      </c>
      <c r="H6441" s="13"/>
    </row>
    <row r="6442" ht="22.5" customHeight="1">
      <c r="B6442" s="17"/>
      <c r="C6442" s="17"/>
      <c r="D6442" s="13"/>
      <c r="E6442" s="11"/>
      <c r="F6442" s="11"/>
      <c r="G6442" s="13">
        <f t="shared" si="1"/>
        <v>1281</v>
      </c>
      <c r="H6442" s="13"/>
    </row>
    <row r="6443" ht="22.5" customHeight="1">
      <c r="B6443" s="17"/>
      <c r="C6443" s="17"/>
      <c r="D6443" s="13"/>
      <c r="E6443" s="11"/>
      <c r="F6443" s="11"/>
      <c r="G6443" s="13">
        <f t="shared" si="1"/>
        <v>1281</v>
      </c>
      <c r="H6443" s="13"/>
    </row>
    <row r="6444" ht="22.5" customHeight="1">
      <c r="B6444" s="17"/>
      <c r="C6444" s="17"/>
      <c r="D6444" s="13"/>
      <c r="E6444" s="11"/>
      <c r="F6444" s="11"/>
      <c r="G6444" s="13">
        <f t="shared" si="1"/>
        <v>1281</v>
      </c>
      <c r="H6444" s="13"/>
    </row>
    <row r="6445" ht="22.5" customHeight="1">
      <c r="B6445" s="17"/>
      <c r="C6445" s="17"/>
      <c r="D6445" s="13"/>
      <c r="E6445" s="11"/>
      <c r="F6445" s="11"/>
      <c r="G6445" s="13">
        <f t="shared" si="1"/>
        <v>1281</v>
      </c>
      <c r="H6445" s="13"/>
    </row>
    <row r="6446" ht="22.5" customHeight="1">
      <c r="B6446" s="17"/>
      <c r="C6446" s="17"/>
      <c r="D6446" s="13"/>
      <c r="E6446" s="11"/>
      <c r="F6446" s="11"/>
      <c r="G6446" s="13">
        <f t="shared" si="1"/>
        <v>1281</v>
      </c>
      <c r="H6446" s="13"/>
    </row>
    <row r="6447" ht="22.5" customHeight="1">
      <c r="B6447" s="17"/>
      <c r="C6447" s="17"/>
      <c r="D6447" s="13"/>
      <c r="E6447" s="11"/>
      <c r="F6447" s="11"/>
      <c r="G6447" s="13">
        <f t="shared" si="1"/>
        <v>1281</v>
      </c>
      <c r="H6447" s="13"/>
    </row>
    <row r="6448" ht="22.5" customHeight="1">
      <c r="B6448" s="17"/>
      <c r="C6448" s="17"/>
      <c r="D6448" s="13"/>
      <c r="E6448" s="11"/>
      <c r="F6448" s="11"/>
      <c r="G6448" s="13">
        <f t="shared" si="1"/>
        <v>1281</v>
      </c>
      <c r="H6448" s="13"/>
    </row>
    <row r="6449" ht="22.5" customHeight="1">
      <c r="B6449" s="17"/>
      <c r="C6449" s="17"/>
      <c r="D6449" s="13"/>
      <c r="E6449" s="11"/>
      <c r="F6449" s="11"/>
      <c r="G6449" s="13">
        <f t="shared" si="1"/>
        <v>1281</v>
      </c>
      <c r="H6449" s="13"/>
    </row>
    <row r="6450" ht="22.5" customHeight="1">
      <c r="B6450" s="17"/>
      <c r="C6450" s="17"/>
      <c r="D6450" s="13"/>
      <c r="E6450" s="11"/>
      <c r="F6450" s="11"/>
      <c r="G6450" s="13">
        <f t="shared" si="1"/>
        <v>1281</v>
      </c>
      <c r="H6450" s="13"/>
    </row>
    <row r="6451" ht="22.5" customHeight="1">
      <c r="B6451" s="17"/>
      <c r="C6451" s="17"/>
      <c r="D6451" s="13"/>
      <c r="E6451" s="11"/>
      <c r="F6451" s="11"/>
      <c r="G6451" s="13">
        <f t="shared" si="1"/>
        <v>1281</v>
      </c>
      <c r="H6451" s="13"/>
    </row>
    <row r="6452" ht="22.5" customHeight="1">
      <c r="B6452" s="17"/>
      <c r="C6452" s="17"/>
      <c r="D6452" s="13"/>
      <c r="E6452" s="11"/>
      <c r="F6452" s="11"/>
      <c r="G6452" s="13">
        <f t="shared" si="1"/>
        <v>1281</v>
      </c>
      <c r="H6452" s="13"/>
    </row>
    <row r="6453" ht="22.5" customHeight="1">
      <c r="B6453" s="17"/>
      <c r="C6453" s="17"/>
      <c r="D6453" s="13"/>
      <c r="E6453" s="11"/>
      <c r="F6453" s="11"/>
      <c r="G6453" s="13">
        <f t="shared" si="1"/>
        <v>1281</v>
      </c>
      <c r="H6453" s="13"/>
    </row>
    <row r="6454" ht="22.5" customHeight="1">
      <c r="B6454" s="17"/>
      <c r="C6454" s="17"/>
      <c r="D6454" s="13"/>
      <c r="E6454" s="11"/>
      <c r="F6454" s="11"/>
      <c r="G6454" s="13">
        <f t="shared" si="1"/>
        <v>1281</v>
      </c>
      <c r="H6454" s="13"/>
    </row>
    <row r="6455" ht="22.5" customHeight="1">
      <c r="B6455" s="17"/>
      <c r="C6455" s="17"/>
      <c r="D6455" s="13"/>
      <c r="E6455" s="11"/>
      <c r="F6455" s="11"/>
      <c r="G6455" s="13">
        <f t="shared" si="1"/>
        <v>1281</v>
      </c>
      <c r="H6455" s="13"/>
    </row>
    <row r="6456" ht="22.5" customHeight="1">
      <c r="B6456" s="17"/>
      <c r="C6456" s="17"/>
      <c r="D6456" s="13"/>
      <c r="E6456" s="11"/>
      <c r="F6456" s="11"/>
      <c r="G6456" s="13">
        <f t="shared" si="1"/>
        <v>1281</v>
      </c>
      <c r="H6456" s="13"/>
    </row>
    <row r="6457" ht="22.5" customHeight="1">
      <c r="B6457" s="17"/>
      <c r="C6457" s="17"/>
      <c r="D6457" s="13"/>
      <c r="E6457" s="11"/>
      <c r="F6457" s="11"/>
      <c r="G6457" s="13">
        <f t="shared" si="1"/>
        <v>1281</v>
      </c>
      <c r="H6457" s="13"/>
    </row>
    <row r="6458" ht="22.5" customHeight="1">
      <c r="B6458" s="17"/>
      <c r="C6458" s="17"/>
      <c r="D6458" s="13"/>
      <c r="E6458" s="11"/>
      <c r="F6458" s="11"/>
      <c r="G6458" s="13">
        <f t="shared" si="1"/>
        <v>1281</v>
      </c>
      <c r="H6458" s="13"/>
    </row>
    <row r="6459" ht="22.5" customHeight="1">
      <c r="B6459" s="17"/>
      <c r="C6459" s="17"/>
      <c r="D6459" s="13"/>
      <c r="E6459" s="11"/>
      <c r="F6459" s="11"/>
      <c r="G6459" s="13">
        <f t="shared" si="1"/>
        <v>1281</v>
      </c>
      <c r="H6459" s="13"/>
    </row>
    <row r="6460" ht="22.5" customHeight="1">
      <c r="B6460" s="17"/>
      <c r="C6460" s="17"/>
      <c r="D6460" s="13"/>
      <c r="E6460" s="11"/>
      <c r="F6460" s="11"/>
      <c r="G6460" s="13">
        <f t="shared" si="1"/>
        <v>1281</v>
      </c>
      <c r="H6460" s="13"/>
    </row>
    <row r="6461" ht="22.5" customHeight="1">
      <c r="B6461" s="17"/>
      <c r="C6461" s="17"/>
      <c r="D6461" s="13"/>
      <c r="E6461" s="11"/>
      <c r="F6461" s="11"/>
      <c r="G6461" s="13">
        <f t="shared" si="1"/>
        <v>1281</v>
      </c>
      <c r="H6461" s="13"/>
    </row>
    <row r="6462" ht="22.5" customHeight="1">
      <c r="B6462" s="17"/>
      <c r="C6462" s="17"/>
      <c r="D6462" s="13"/>
      <c r="E6462" s="11"/>
      <c r="F6462" s="11"/>
      <c r="G6462" s="13">
        <f t="shared" si="1"/>
        <v>1281</v>
      </c>
      <c r="H6462" s="13"/>
    </row>
    <row r="6463" ht="22.5" customHeight="1">
      <c r="B6463" s="17"/>
      <c r="C6463" s="17"/>
      <c r="D6463" s="13"/>
      <c r="E6463" s="11"/>
      <c r="F6463" s="11"/>
      <c r="G6463" s="13">
        <f t="shared" si="1"/>
        <v>1281</v>
      </c>
      <c r="H6463" s="13"/>
    </row>
    <row r="6464" ht="22.5" customHeight="1">
      <c r="B6464" s="17"/>
      <c r="C6464" s="17"/>
      <c r="D6464" s="13"/>
      <c r="E6464" s="11"/>
      <c r="F6464" s="11"/>
      <c r="G6464" s="13">
        <f t="shared" si="1"/>
        <v>1281</v>
      </c>
      <c r="H6464" s="13"/>
    </row>
    <row r="6465" ht="22.5" customHeight="1">
      <c r="B6465" s="17"/>
      <c r="C6465" s="17"/>
      <c r="D6465" s="13"/>
      <c r="E6465" s="11"/>
      <c r="F6465" s="11"/>
      <c r="G6465" s="13">
        <f t="shared" si="1"/>
        <v>1281</v>
      </c>
      <c r="H6465" s="13"/>
    </row>
    <row r="6466" ht="22.5" customHeight="1">
      <c r="B6466" s="17"/>
      <c r="C6466" s="17"/>
      <c r="D6466" s="13"/>
      <c r="E6466" s="11"/>
      <c r="F6466" s="11"/>
      <c r="G6466" s="13">
        <f t="shared" si="1"/>
        <v>1281</v>
      </c>
      <c r="H6466" s="13"/>
    </row>
    <row r="6467" ht="22.5" customHeight="1">
      <c r="B6467" s="17"/>
      <c r="C6467" s="17"/>
      <c r="D6467" s="13"/>
      <c r="E6467" s="11"/>
      <c r="F6467" s="11"/>
      <c r="G6467" s="13">
        <f t="shared" si="1"/>
        <v>1281</v>
      </c>
      <c r="H6467" s="13"/>
    </row>
    <row r="6468" ht="22.5" customHeight="1">
      <c r="B6468" s="17"/>
      <c r="C6468" s="17"/>
      <c r="D6468" s="13"/>
      <c r="E6468" s="11"/>
      <c r="F6468" s="11"/>
      <c r="G6468" s="13">
        <f t="shared" si="1"/>
        <v>1281</v>
      </c>
      <c r="H6468" s="13"/>
    </row>
    <row r="6469" ht="22.5" customHeight="1">
      <c r="B6469" s="17"/>
      <c r="C6469" s="17"/>
      <c r="D6469" s="13"/>
      <c r="E6469" s="11"/>
      <c r="F6469" s="11"/>
      <c r="G6469" s="13">
        <f t="shared" si="1"/>
        <v>1281</v>
      </c>
      <c r="H6469" s="13"/>
    </row>
    <row r="6470" ht="22.5" customHeight="1">
      <c r="B6470" s="17"/>
      <c r="C6470" s="17"/>
      <c r="D6470" s="13"/>
      <c r="E6470" s="11"/>
      <c r="F6470" s="11"/>
      <c r="G6470" s="13">
        <f t="shared" si="1"/>
        <v>1281</v>
      </c>
      <c r="H6470" s="13"/>
    </row>
    <row r="6471" ht="22.5" customHeight="1">
      <c r="B6471" s="17"/>
      <c r="C6471" s="17"/>
      <c r="D6471" s="13"/>
      <c r="E6471" s="11"/>
      <c r="F6471" s="11"/>
      <c r="G6471" s="13">
        <f t="shared" si="1"/>
        <v>1281</v>
      </c>
      <c r="H6471" s="13"/>
    </row>
    <row r="6472" ht="22.5" customHeight="1">
      <c r="B6472" s="17"/>
      <c r="C6472" s="17"/>
      <c r="D6472" s="13"/>
      <c r="E6472" s="11"/>
      <c r="F6472" s="11"/>
      <c r="G6472" s="13">
        <f t="shared" si="1"/>
        <v>1281</v>
      </c>
      <c r="H6472" s="13"/>
    </row>
    <row r="6473" ht="22.5" customHeight="1">
      <c r="B6473" s="17"/>
      <c r="C6473" s="17"/>
      <c r="D6473" s="13"/>
      <c r="E6473" s="11"/>
      <c r="F6473" s="11"/>
      <c r="G6473" s="13">
        <f t="shared" si="1"/>
        <v>1281</v>
      </c>
      <c r="H6473" s="13"/>
    </row>
    <row r="6474" ht="22.5" customHeight="1">
      <c r="B6474" s="17"/>
      <c r="C6474" s="17"/>
      <c r="D6474" s="13"/>
      <c r="E6474" s="11"/>
      <c r="F6474" s="11"/>
      <c r="G6474" s="13">
        <f t="shared" si="1"/>
        <v>1281</v>
      </c>
      <c r="H6474" s="13"/>
    </row>
    <row r="6475" ht="22.5" customHeight="1">
      <c r="B6475" s="17"/>
      <c r="C6475" s="17"/>
      <c r="D6475" s="13"/>
      <c r="E6475" s="11"/>
      <c r="F6475" s="11"/>
      <c r="G6475" s="13">
        <f t="shared" si="1"/>
        <v>1281</v>
      </c>
      <c r="H6475" s="13"/>
    </row>
    <row r="6476" ht="22.5" customHeight="1">
      <c r="B6476" s="17"/>
      <c r="C6476" s="17"/>
      <c r="D6476" s="13"/>
      <c r="E6476" s="11"/>
      <c r="F6476" s="11"/>
      <c r="G6476" s="13">
        <f t="shared" si="1"/>
        <v>1281</v>
      </c>
      <c r="H6476" s="13"/>
    </row>
    <row r="6477" ht="22.5" customHeight="1">
      <c r="B6477" s="17"/>
      <c r="C6477" s="17"/>
      <c r="D6477" s="13"/>
      <c r="E6477" s="11"/>
      <c r="F6477" s="11"/>
      <c r="G6477" s="13">
        <f t="shared" si="1"/>
        <v>1281</v>
      </c>
      <c r="H6477" s="13"/>
    </row>
    <row r="6478" ht="22.5" customHeight="1">
      <c r="B6478" s="17"/>
      <c r="C6478" s="17"/>
      <c r="D6478" s="13"/>
      <c r="E6478" s="11"/>
      <c r="F6478" s="11"/>
      <c r="G6478" s="13">
        <f t="shared" si="1"/>
        <v>1281</v>
      </c>
      <c r="H6478" s="13"/>
    </row>
    <row r="6479" ht="22.5" customHeight="1">
      <c r="B6479" s="17"/>
      <c r="C6479" s="17"/>
      <c r="D6479" s="13"/>
      <c r="E6479" s="11"/>
      <c r="F6479" s="11"/>
      <c r="G6479" s="13">
        <f t="shared" si="1"/>
        <v>1281</v>
      </c>
      <c r="H6479" s="13"/>
    </row>
    <row r="6480" ht="22.5" customHeight="1">
      <c r="B6480" s="17"/>
      <c r="C6480" s="17"/>
      <c r="D6480" s="13"/>
      <c r="E6480" s="11"/>
      <c r="F6480" s="11"/>
      <c r="G6480" s="13">
        <f t="shared" si="1"/>
        <v>1281</v>
      </c>
      <c r="H6480" s="13"/>
    </row>
    <row r="6481" ht="22.5" customHeight="1">
      <c r="B6481" s="17"/>
      <c r="C6481" s="17"/>
      <c r="D6481" s="13"/>
      <c r="E6481" s="11"/>
      <c r="F6481" s="11"/>
      <c r="G6481" s="13">
        <f t="shared" si="1"/>
        <v>1281</v>
      </c>
      <c r="H6481" s="13"/>
    </row>
    <row r="6482" ht="22.5" customHeight="1">
      <c r="B6482" s="17"/>
      <c r="C6482" s="17"/>
      <c r="D6482" s="13"/>
      <c r="E6482" s="11"/>
      <c r="F6482" s="11"/>
      <c r="G6482" s="13">
        <f t="shared" si="1"/>
        <v>1281</v>
      </c>
      <c r="H6482" s="13"/>
    </row>
    <row r="6483" ht="22.5" customHeight="1">
      <c r="B6483" s="17"/>
      <c r="C6483" s="17"/>
      <c r="D6483" s="13"/>
      <c r="E6483" s="11"/>
      <c r="F6483" s="11"/>
      <c r="G6483" s="13">
        <f t="shared" si="1"/>
        <v>1281</v>
      </c>
      <c r="H6483" s="13"/>
    </row>
    <row r="6484" ht="22.5" customHeight="1">
      <c r="B6484" s="17"/>
      <c r="C6484" s="17"/>
      <c r="D6484" s="13"/>
      <c r="E6484" s="11"/>
      <c r="F6484" s="11"/>
      <c r="G6484" s="13">
        <f t="shared" si="1"/>
        <v>1281</v>
      </c>
      <c r="H6484" s="13"/>
    </row>
    <row r="6485" ht="22.5" customHeight="1">
      <c r="B6485" s="17"/>
      <c r="C6485" s="17"/>
      <c r="D6485" s="13"/>
      <c r="E6485" s="11"/>
      <c r="F6485" s="11"/>
      <c r="G6485" s="13">
        <f t="shared" si="1"/>
        <v>1281</v>
      </c>
      <c r="H6485" s="13"/>
    </row>
    <row r="6486" ht="22.5" customHeight="1">
      <c r="B6486" s="17"/>
      <c r="C6486" s="17"/>
      <c r="D6486" s="13"/>
      <c r="E6486" s="11"/>
      <c r="F6486" s="11"/>
      <c r="G6486" s="13">
        <f t="shared" si="1"/>
        <v>1281</v>
      </c>
      <c r="H6486" s="13"/>
    </row>
    <row r="6487" ht="22.5" customHeight="1">
      <c r="B6487" s="17"/>
      <c r="C6487" s="17"/>
      <c r="D6487" s="13"/>
      <c r="E6487" s="11"/>
      <c r="F6487" s="11"/>
      <c r="G6487" s="13">
        <f t="shared" si="1"/>
        <v>1281</v>
      </c>
      <c r="H6487" s="13"/>
    </row>
    <row r="6488" ht="22.5" customHeight="1">
      <c r="B6488" s="17"/>
      <c r="C6488" s="17"/>
      <c r="D6488" s="13"/>
      <c r="E6488" s="11"/>
      <c r="F6488" s="11"/>
      <c r="G6488" s="13">
        <f t="shared" si="1"/>
        <v>1281</v>
      </c>
      <c r="H6488" s="13"/>
    </row>
    <row r="6489" ht="22.5" customHeight="1">
      <c r="B6489" s="17"/>
      <c r="C6489" s="17"/>
      <c r="D6489" s="13"/>
      <c r="E6489" s="11"/>
      <c r="F6489" s="11"/>
      <c r="G6489" s="13">
        <f t="shared" si="1"/>
        <v>1281</v>
      </c>
      <c r="H6489" s="13"/>
    </row>
    <row r="6490" ht="22.5" customHeight="1">
      <c r="B6490" s="17"/>
      <c r="C6490" s="17"/>
      <c r="D6490" s="13"/>
      <c r="E6490" s="11"/>
      <c r="F6490" s="11"/>
      <c r="G6490" s="13">
        <f t="shared" si="1"/>
        <v>1281</v>
      </c>
      <c r="H6490" s="13"/>
    </row>
    <row r="6491" ht="22.5" customHeight="1">
      <c r="B6491" s="17"/>
      <c r="C6491" s="17"/>
      <c r="D6491" s="13"/>
      <c r="E6491" s="11"/>
      <c r="F6491" s="11"/>
      <c r="G6491" s="13">
        <f t="shared" si="1"/>
        <v>1281</v>
      </c>
      <c r="H6491" s="13"/>
    </row>
    <row r="6492" ht="22.5" customHeight="1">
      <c r="B6492" s="17"/>
      <c r="C6492" s="17"/>
      <c r="D6492" s="13"/>
      <c r="E6492" s="11"/>
      <c r="F6492" s="11"/>
      <c r="G6492" s="13">
        <f t="shared" si="1"/>
        <v>1281</v>
      </c>
      <c r="H6492" s="13"/>
    </row>
    <row r="6493" ht="22.5" customHeight="1">
      <c r="B6493" s="17"/>
      <c r="C6493" s="17"/>
      <c r="D6493" s="13"/>
      <c r="E6493" s="11"/>
      <c r="F6493" s="11"/>
      <c r="G6493" s="13">
        <f t="shared" si="1"/>
        <v>1281</v>
      </c>
      <c r="H6493" s="13"/>
    </row>
    <row r="6494" ht="22.5" customHeight="1">
      <c r="B6494" s="17"/>
      <c r="C6494" s="17"/>
      <c r="D6494" s="13"/>
      <c r="E6494" s="11"/>
      <c r="F6494" s="11"/>
      <c r="G6494" s="13">
        <f t="shared" si="1"/>
        <v>1281</v>
      </c>
      <c r="H6494" s="13"/>
    </row>
    <row r="6495" ht="22.5" customHeight="1">
      <c r="B6495" s="17"/>
      <c r="C6495" s="17"/>
      <c r="D6495" s="13"/>
      <c r="E6495" s="11"/>
      <c r="F6495" s="11"/>
      <c r="G6495" s="13">
        <f t="shared" si="1"/>
        <v>1281</v>
      </c>
      <c r="H6495" s="13"/>
    </row>
    <row r="6496" ht="22.5" customHeight="1">
      <c r="B6496" s="17"/>
      <c r="C6496" s="17"/>
      <c r="D6496" s="13"/>
      <c r="E6496" s="11"/>
      <c r="F6496" s="11"/>
      <c r="G6496" s="13">
        <f t="shared" si="1"/>
        <v>1281</v>
      </c>
      <c r="H6496" s="13"/>
    </row>
    <row r="6497" ht="22.5" customHeight="1">
      <c r="B6497" s="17"/>
      <c r="C6497" s="17"/>
      <c r="D6497" s="13"/>
      <c r="E6497" s="11"/>
      <c r="F6497" s="11"/>
      <c r="G6497" s="13">
        <f t="shared" si="1"/>
        <v>1281</v>
      </c>
      <c r="H6497" s="13"/>
    </row>
    <row r="6498" ht="22.5" customHeight="1">
      <c r="B6498" s="17"/>
      <c r="C6498" s="17"/>
      <c r="D6498" s="13"/>
      <c r="E6498" s="11"/>
      <c r="F6498" s="11"/>
      <c r="G6498" s="13">
        <f t="shared" si="1"/>
        <v>1281</v>
      </c>
      <c r="H6498" s="13"/>
    </row>
    <row r="6499" ht="22.5" customHeight="1">
      <c r="B6499" s="17"/>
      <c r="C6499" s="17"/>
      <c r="D6499" s="13"/>
      <c r="E6499" s="11"/>
      <c r="F6499" s="11"/>
      <c r="G6499" s="13">
        <f t="shared" si="1"/>
        <v>1281</v>
      </c>
      <c r="H6499" s="13"/>
    </row>
    <row r="6500" ht="22.5" customHeight="1">
      <c r="B6500" s="17"/>
      <c r="C6500" s="17"/>
      <c r="D6500" s="13"/>
      <c r="E6500" s="11"/>
      <c r="F6500" s="11"/>
      <c r="G6500" s="13">
        <f t="shared" si="1"/>
        <v>1281</v>
      </c>
      <c r="H6500" s="13"/>
    </row>
    <row r="6501" ht="22.5" customHeight="1">
      <c r="B6501" s="17"/>
      <c r="C6501" s="17"/>
      <c r="D6501" s="13"/>
      <c r="E6501" s="11"/>
      <c r="F6501" s="11"/>
      <c r="G6501" s="13">
        <f t="shared" si="1"/>
        <v>1281</v>
      </c>
      <c r="H6501" s="13"/>
    </row>
    <row r="6502" ht="22.5" customHeight="1">
      <c r="B6502" s="17"/>
      <c r="C6502" s="17"/>
      <c r="D6502" s="13"/>
      <c r="E6502" s="11"/>
      <c r="F6502" s="11"/>
      <c r="G6502" s="13">
        <f t="shared" si="1"/>
        <v>1281</v>
      </c>
      <c r="H6502" s="13"/>
    </row>
    <row r="6503" ht="22.5" customHeight="1">
      <c r="B6503" s="17"/>
      <c r="C6503" s="17"/>
      <c r="D6503" s="13"/>
      <c r="E6503" s="11"/>
      <c r="F6503" s="11"/>
      <c r="G6503" s="13">
        <f t="shared" si="1"/>
        <v>1281</v>
      </c>
      <c r="H6503" s="13"/>
    </row>
    <row r="6504" ht="22.5" customHeight="1">
      <c r="B6504" s="17"/>
      <c r="C6504" s="17"/>
      <c r="D6504" s="13"/>
      <c r="E6504" s="11"/>
      <c r="F6504" s="11"/>
      <c r="G6504" s="13">
        <f t="shared" si="1"/>
        <v>1281</v>
      </c>
      <c r="H6504" s="13"/>
    </row>
    <row r="6505" ht="22.5" customHeight="1">
      <c r="B6505" s="17"/>
      <c r="C6505" s="17"/>
      <c r="D6505" s="13"/>
      <c r="E6505" s="11"/>
      <c r="F6505" s="11"/>
      <c r="G6505" s="13">
        <f t="shared" si="1"/>
        <v>1281</v>
      </c>
      <c r="H6505" s="13"/>
    </row>
    <row r="6506" ht="22.5" customHeight="1">
      <c r="B6506" s="17"/>
      <c r="C6506" s="17"/>
      <c r="D6506" s="13"/>
      <c r="E6506" s="11"/>
      <c r="F6506" s="11"/>
      <c r="G6506" s="13">
        <f t="shared" si="1"/>
        <v>1281</v>
      </c>
      <c r="H6506" s="13"/>
    </row>
    <row r="6507" ht="22.5" customHeight="1">
      <c r="B6507" s="17"/>
      <c r="C6507" s="17"/>
      <c r="D6507" s="13"/>
      <c r="E6507" s="11"/>
      <c r="F6507" s="11"/>
      <c r="G6507" s="13">
        <f t="shared" si="1"/>
        <v>1281</v>
      </c>
      <c r="H6507" s="13"/>
    </row>
    <row r="6508" ht="22.5" customHeight="1">
      <c r="B6508" s="17"/>
      <c r="C6508" s="17"/>
      <c r="D6508" s="13"/>
      <c r="E6508" s="11"/>
      <c r="F6508" s="11"/>
      <c r="G6508" s="13">
        <f t="shared" si="1"/>
        <v>1281</v>
      </c>
      <c r="H6508" s="13"/>
    </row>
    <row r="6509" ht="22.5" customHeight="1">
      <c r="B6509" s="17"/>
      <c r="C6509" s="17"/>
      <c r="D6509" s="13"/>
      <c r="E6509" s="11"/>
      <c r="F6509" s="11"/>
      <c r="G6509" s="13">
        <f t="shared" si="1"/>
        <v>1281</v>
      </c>
      <c r="H6509" s="13"/>
    </row>
    <row r="6510" ht="22.5" customHeight="1">
      <c r="B6510" s="17"/>
      <c r="C6510" s="17"/>
      <c r="D6510" s="13"/>
      <c r="E6510" s="11"/>
      <c r="F6510" s="11"/>
      <c r="G6510" s="13">
        <f t="shared" si="1"/>
        <v>1281</v>
      </c>
      <c r="H6510" s="13"/>
    </row>
    <row r="6511" ht="22.5" customHeight="1">
      <c r="B6511" s="17"/>
      <c r="C6511" s="17"/>
      <c r="D6511" s="13"/>
      <c r="E6511" s="11"/>
      <c r="F6511" s="11"/>
      <c r="G6511" s="13">
        <f t="shared" si="1"/>
        <v>1281</v>
      </c>
      <c r="H6511" s="13"/>
    </row>
    <row r="6512" ht="22.5" customHeight="1">
      <c r="B6512" s="17"/>
      <c r="C6512" s="17"/>
      <c r="D6512" s="13"/>
      <c r="E6512" s="11"/>
      <c r="F6512" s="11"/>
      <c r="G6512" s="13">
        <f t="shared" si="1"/>
        <v>1281</v>
      </c>
      <c r="H6512" s="13"/>
    </row>
    <row r="6513" ht="22.5" customHeight="1">
      <c r="B6513" s="17"/>
      <c r="C6513" s="17"/>
      <c r="D6513" s="13"/>
      <c r="E6513" s="11"/>
      <c r="F6513" s="11"/>
      <c r="G6513" s="13">
        <f t="shared" si="1"/>
        <v>1281</v>
      </c>
      <c r="H6513" s="13"/>
    </row>
    <row r="6514" ht="22.5" customHeight="1">
      <c r="B6514" s="17"/>
      <c r="C6514" s="17"/>
      <c r="D6514" s="13"/>
      <c r="E6514" s="11"/>
      <c r="F6514" s="11"/>
      <c r="G6514" s="13">
        <f t="shared" si="1"/>
        <v>1281</v>
      </c>
      <c r="H6514" s="13"/>
    </row>
    <row r="6515" ht="22.5" customHeight="1">
      <c r="B6515" s="17"/>
      <c r="C6515" s="17"/>
      <c r="D6515" s="13"/>
      <c r="E6515" s="11"/>
      <c r="F6515" s="11"/>
      <c r="G6515" s="13">
        <f t="shared" si="1"/>
        <v>1281</v>
      </c>
      <c r="H6515" s="13"/>
    </row>
    <row r="6516" ht="22.5" customHeight="1">
      <c r="B6516" s="17"/>
      <c r="C6516" s="17"/>
      <c r="D6516" s="13"/>
      <c r="E6516" s="11"/>
      <c r="F6516" s="11"/>
      <c r="G6516" s="13">
        <f t="shared" si="1"/>
        <v>1281</v>
      </c>
      <c r="H6516" s="13"/>
    </row>
    <row r="6517" ht="22.5" customHeight="1">
      <c r="B6517" s="17"/>
      <c r="C6517" s="17"/>
      <c r="D6517" s="13"/>
      <c r="E6517" s="11"/>
      <c r="F6517" s="11"/>
      <c r="G6517" s="13">
        <f t="shared" si="1"/>
        <v>1281</v>
      </c>
      <c r="H6517" s="13"/>
    </row>
    <row r="6518" ht="22.5" customHeight="1">
      <c r="B6518" s="17"/>
      <c r="C6518" s="17"/>
      <c r="D6518" s="13"/>
      <c r="E6518" s="11"/>
      <c r="F6518" s="11"/>
      <c r="G6518" s="13">
        <f t="shared" si="1"/>
        <v>1281</v>
      </c>
      <c r="H6518" s="13"/>
    </row>
    <row r="6519" ht="22.5" customHeight="1">
      <c r="B6519" s="17"/>
      <c r="C6519" s="17"/>
      <c r="D6519" s="13"/>
      <c r="E6519" s="11"/>
      <c r="F6519" s="11"/>
      <c r="G6519" s="13">
        <f t="shared" si="1"/>
        <v>1281</v>
      </c>
      <c r="H6519" s="13"/>
    </row>
    <row r="6520" ht="22.5" customHeight="1">
      <c r="B6520" s="17"/>
      <c r="C6520" s="17"/>
      <c r="D6520" s="13"/>
      <c r="E6520" s="11"/>
      <c r="F6520" s="11"/>
      <c r="G6520" s="13">
        <f t="shared" si="1"/>
        <v>1281</v>
      </c>
      <c r="H6520" s="13"/>
    </row>
    <row r="6521" ht="22.5" customHeight="1">
      <c r="B6521" s="17"/>
      <c r="C6521" s="17"/>
      <c r="D6521" s="13"/>
      <c r="E6521" s="11"/>
      <c r="F6521" s="11"/>
      <c r="G6521" s="13">
        <f t="shared" si="1"/>
        <v>1281</v>
      </c>
      <c r="H6521" s="13"/>
    </row>
    <row r="6522" ht="22.5" customHeight="1">
      <c r="B6522" s="17"/>
      <c r="C6522" s="17"/>
      <c r="D6522" s="13"/>
      <c r="E6522" s="11"/>
      <c r="F6522" s="11"/>
      <c r="G6522" s="13">
        <f t="shared" si="1"/>
        <v>1281</v>
      </c>
      <c r="H6522" s="13"/>
    </row>
    <row r="6523" ht="22.5" customHeight="1">
      <c r="B6523" s="17"/>
      <c r="C6523" s="17"/>
      <c r="D6523" s="13"/>
      <c r="E6523" s="11"/>
      <c r="F6523" s="11"/>
      <c r="G6523" s="13">
        <f t="shared" si="1"/>
        <v>1281</v>
      </c>
      <c r="H6523" s="13"/>
    </row>
    <row r="6524" ht="22.5" customHeight="1">
      <c r="B6524" s="17"/>
      <c r="C6524" s="17"/>
      <c r="D6524" s="13"/>
      <c r="E6524" s="11"/>
      <c r="F6524" s="11"/>
      <c r="G6524" s="13">
        <f t="shared" si="1"/>
        <v>1281</v>
      </c>
      <c r="H6524" s="13"/>
    </row>
    <row r="6525" ht="22.5" customHeight="1">
      <c r="B6525" s="17"/>
      <c r="C6525" s="17"/>
      <c r="D6525" s="13"/>
      <c r="E6525" s="11"/>
      <c r="F6525" s="11"/>
      <c r="G6525" s="13">
        <f t="shared" si="1"/>
        <v>1281</v>
      </c>
      <c r="H6525" s="13"/>
    </row>
    <row r="6526" ht="22.5" customHeight="1">
      <c r="B6526" s="17"/>
      <c r="C6526" s="17"/>
      <c r="D6526" s="13"/>
      <c r="E6526" s="11"/>
      <c r="F6526" s="11"/>
      <c r="G6526" s="13">
        <f t="shared" si="1"/>
        <v>1281</v>
      </c>
      <c r="H6526" s="13"/>
    </row>
    <row r="6527" ht="22.5" customHeight="1">
      <c r="B6527" s="17"/>
      <c r="C6527" s="17"/>
      <c r="D6527" s="13"/>
      <c r="E6527" s="11"/>
      <c r="F6527" s="11"/>
      <c r="G6527" s="13">
        <f t="shared" si="1"/>
        <v>1281</v>
      </c>
      <c r="H6527" s="13"/>
    </row>
    <row r="6528" ht="22.5" customHeight="1">
      <c r="B6528" s="17"/>
      <c r="C6528" s="17"/>
      <c r="D6528" s="13"/>
      <c r="E6528" s="11"/>
      <c r="F6528" s="11"/>
      <c r="G6528" s="13">
        <f t="shared" si="1"/>
        <v>1281</v>
      </c>
      <c r="H6528" s="13"/>
    </row>
    <row r="6529" ht="22.5" customHeight="1">
      <c r="B6529" s="17"/>
      <c r="C6529" s="17"/>
      <c r="D6529" s="13"/>
      <c r="E6529" s="11"/>
      <c r="F6529" s="11"/>
      <c r="G6529" s="13">
        <f t="shared" si="1"/>
        <v>1281</v>
      </c>
      <c r="H6529" s="13"/>
    </row>
    <row r="6530" ht="22.5" customHeight="1">
      <c r="B6530" s="17"/>
      <c r="C6530" s="17"/>
      <c r="D6530" s="13"/>
      <c r="E6530" s="11"/>
      <c r="F6530" s="11"/>
      <c r="G6530" s="13">
        <f t="shared" si="1"/>
        <v>1281</v>
      </c>
      <c r="H6530" s="13"/>
    </row>
    <row r="6531" ht="22.5" customHeight="1">
      <c r="B6531" s="17"/>
      <c r="C6531" s="17"/>
      <c r="D6531" s="13"/>
      <c r="E6531" s="11"/>
      <c r="F6531" s="11"/>
      <c r="G6531" s="13">
        <f t="shared" si="1"/>
        <v>1281</v>
      </c>
      <c r="H6531" s="13"/>
    </row>
    <row r="6532" ht="22.5" customHeight="1">
      <c r="B6532" s="17"/>
      <c r="C6532" s="17"/>
      <c r="D6532" s="13"/>
      <c r="E6532" s="11"/>
      <c r="F6532" s="11"/>
      <c r="G6532" s="13">
        <f t="shared" si="1"/>
        <v>1281</v>
      </c>
      <c r="H6532" s="13"/>
    </row>
    <row r="6533" ht="22.5" customHeight="1">
      <c r="B6533" s="17"/>
      <c r="C6533" s="17"/>
      <c r="D6533" s="13"/>
      <c r="E6533" s="11"/>
      <c r="F6533" s="11"/>
      <c r="G6533" s="13">
        <f t="shared" si="1"/>
        <v>1281</v>
      </c>
      <c r="H6533" s="13"/>
    </row>
    <row r="6534" ht="22.5" customHeight="1">
      <c r="B6534" s="17"/>
      <c r="C6534" s="17"/>
      <c r="D6534" s="13"/>
      <c r="E6534" s="11"/>
      <c r="F6534" s="11"/>
      <c r="G6534" s="13">
        <f t="shared" si="1"/>
        <v>1281</v>
      </c>
      <c r="H6534" s="13"/>
    </row>
    <row r="6535" ht="22.5" customHeight="1">
      <c r="B6535" s="17"/>
      <c r="C6535" s="17"/>
      <c r="D6535" s="13"/>
      <c r="E6535" s="11"/>
      <c r="F6535" s="11"/>
      <c r="G6535" s="13">
        <f t="shared" si="1"/>
        <v>1281</v>
      </c>
      <c r="H6535" s="13"/>
    </row>
    <row r="6536" ht="22.5" customHeight="1">
      <c r="B6536" s="17"/>
      <c r="C6536" s="17"/>
      <c r="D6536" s="13"/>
      <c r="E6536" s="11"/>
      <c r="F6536" s="11"/>
      <c r="G6536" s="13">
        <f t="shared" si="1"/>
        <v>1281</v>
      </c>
      <c r="H6536" s="13"/>
    </row>
    <row r="6537" ht="22.5" customHeight="1">
      <c r="B6537" s="17"/>
      <c r="C6537" s="17"/>
      <c r="D6537" s="13"/>
      <c r="E6537" s="11"/>
      <c r="F6537" s="11"/>
      <c r="G6537" s="13">
        <f t="shared" si="1"/>
        <v>1281</v>
      </c>
      <c r="H6537" s="13"/>
    </row>
    <row r="6538" ht="22.5" customHeight="1">
      <c r="B6538" s="17"/>
      <c r="C6538" s="17"/>
      <c r="D6538" s="13"/>
      <c r="E6538" s="11"/>
      <c r="F6538" s="11"/>
      <c r="G6538" s="13">
        <f t="shared" si="1"/>
        <v>1281</v>
      </c>
      <c r="H6538" s="13"/>
    </row>
    <row r="6539" ht="22.5" customHeight="1">
      <c r="B6539" s="17"/>
      <c r="C6539" s="17"/>
      <c r="D6539" s="13"/>
      <c r="E6539" s="11"/>
      <c r="F6539" s="11"/>
      <c r="G6539" s="13">
        <f t="shared" si="1"/>
        <v>1281</v>
      </c>
      <c r="H6539" s="13"/>
    </row>
    <row r="6540" ht="22.5" customHeight="1">
      <c r="B6540" s="17"/>
      <c r="C6540" s="17"/>
      <c r="D6540" s="13"/>
      <c r="E6540" s="11"/>
      <c r="F6540" s="11"/>
      <c r="G6540" s="13">
        <f t="shared" si="1"/>
        <v>1281</v>
      </c>
      <c r="H6540" s="13"/>
    </row>
    <row r="6541" ht="22.5" customHeight="1">
      <c r="B6541" s="17"/>
      <c r="C6541" s="17"/>
      <c r="D6541" s="13"/>
      <c r="E6541" s="11"/>
      <c r="F6541" s="11"/>
      <c r="G6541" s="13">
        <f t="shared" si="1"/>
        <v>1281</v>
      </c>
      <c r="H6541" s="13"/>
    </row>
    <row r="6542" ht="22.5" customHeight="1">
      <c r="B6542" s="17"/>
      <c r="C6542" s="17"/>
      <c r="D6542" s="13"/>
      <c r="E6542" s="11"/>
      <c r="F6542" s="11"/>
      <c r="G6542" s="13">
        <f t="shared" si="1"/>
        <v>1281</v>
      </c>
      <c r="H6542" s="13"/>
    </row>
    <row r="6543" ht="22.5" customHeight="1">
      <c r="B6543" s="17"/>
      <c r="C6543" s="17"/>
      <c r="D6543" s="13"/>
      <c r="E6543" s="11"/>
      <c r="F6543" s="11"/>
      <c r="G6543" s="13">
        <f t="shared" si="1"/>
        <v>1281</v>
      </c>
      <c r="H6543" s="13"/>
    </row>
    <row r="6544" ht="22.5" customHeight="1">
      <c r="B6544" s="17"/>
      <c r="C6544" s="17"/>
      <c r="D6544" s="13"/>
      <c r="E6544" s="11"/>
      <c r="F6544" s="11"/>
      <c r="G6544" s="13">
        <f t="shared" si="1"/>
        <v>1281</v>
      </c>
      <c r="H6544" s="13"/>
    </row>
    <row r="6545" ht="22.5" customHeight="1">
      <c r="B6545" s="17"/>
      <c r="C6545" s="17"/>
      <c r="D6545" s="13"/>
      <c r="E6545" s="11"/>
      <c r="F6545" s="11"/>
      <c r="G6545" s="13">
        <f t="shared" si="1"/>
        <v>1281</v>
      </c>
      <c r="H6545" s="13"/>
    </row>
    <row r="6546" ht="22.5" customHeight="1">
      <c r="B6546" s="17"/>
      <c r="C6546" s="17"/>
      <c r="D6546" s="13"/>
      <c r="E6546" s="11"/>
      <c r="F6546" s="11"/>
      <c r="G6546" s="13">
        <f t="shared" si="1"/>
        <v>1281</v>
      </c>
      <c r="H6546" s="13"/>
    </row>
    <row r="6547" ht="22.5" customHeight="1">
      <c r="B6547" s="17"/>
      <c r="C6547" s="17"/>
      <c r="D6547" s="13"/>
      <c r="E6547" s="11"/>
      <c r="F6547" s="11"/>
      <c r="G6547" s="13">
        <f t="shared" si="1"/>
        <v>1281</v>
      </c>
      <c r="H6547" s="13"/>
    </row>
    <row r="6548" ht="22.5" customHeight="1">
      <c r="B6548" s="17"/>
      <c r="C6548" s="17"/>
      <c r="D6548" s="13"/>
      <c r="E6548" s="11"/>
      <c r="F6548" s="11"/>
      <c r="G6548" s="13">
        <f t="shared" si="1"/>
        <v>1281</v>
      </c>
      <c r="H6548" s="13"/>
    </row>
    <row r="6549" ht="22.5" customHeight="1">
      <c r="B6549" s="17"/>
      <c r="C6549" s="17"/>
      <c r="D6549" s="13"/>
      <c r="E6549" s="11"/>
      <c r="F6549" s="11"/>
      <c r="G6549" s="13">
        <f t="shared" si="1"/>
        <v>1281</v>
      </c>
      <c r="H6549" s="13"/>
    </row>
    <row r="6550" ht="22.5" customHeight="1">
      <c r="B6550" s="17"/>
      <c r="C6550" s="17"/>
      <c r="D6550" s="13"/>
      <c r="E6550" s="11"/>
      <c r="F6550" s="11"/>
      <c r="G6550" s="13">
        <f t="shared" si="1"/>
        <v>1281</v>
      </c>
      <c r="H6550" s="13"/>
    </row>
    <row r="6551" ht="22.5" customHeight="1">
      <c r="B6551" s="17"/>
      <c r="C6551" s="17"/>
      <c r="D6551" s="13"/>
      <c r="E6551" s="11"/>
      <c r="F6551" s="11"/>
      <c r="G6551" s="13">
        <f t="shared" si="1"/>
        <v>1281</v>
      </c>
      <c r="H6551" s="13"/>
    </row>
    <row r="6552" ht="22.5" customHeight="1">
      <c r="B6552" s="17"/>
      <c r="C6552" s="17"/>
      <c r="D6552" s="13"/>
      <c r="E6552" s="11"/>
      <c r="F6552" s="11"/>
      <c r="G6552" s="13">
        <f t="shared" si="1"/>
        <v>1281</v>
      </c>
      <c r="H6552" s="13"/>
    </row>
    <row r="6553" ht="22.5" customHeight="1">
      <c r="B6553" s="17"/>
      <c r="C6553" s="17"/>
      <c r="D6553" s="13"/>
      <c r="E6553" s="11"/>
      <c r="F6553" s="11"/>
      <c r="G6553" s="13">
        <f t="shared" si="1"/>
        <v>1281</v>
      </c>
      <c r="H6553" s="13"/>
    </row>
    <row r="6554" ht="22.5" customHeight="1">
      <c r="B6554" s="17"/>
      <c r="C6554" s="17"/>
      <c r="D6554" s="13"/>
      <c r="E6554" s="11"/>
      <c r="F6554" s="11"/>
      <c r="G6554" s="13">
        <f t="shared" si="1"/>
        <v>1281</v>
      </c>
      <c r="H6554" s="13"/>
    </row>
    <row r="6555" ht="22.5" customHeight="1">
      <c r="B6555" s="17"/>
      <c r="C6555" s="17"/>
      <c r="D6555" s="13"/>
      <c r="E6555" s="11"/>
      <c r="F6555" s="11"/>
      <c r="G6555" s="13">
        <f t="shared" si="1"/>
        <v>1281</v>
      </c>
      <c r="H6555" s="13"/>
    </row>
    <row r="6556" ht="22.5" customHeight="1">
      <c r="B6556" s="17"/>
      <c r="C6556" s="17"/>
      <c r="D6556" s="13"/>
      <c r="E6556" s="11"/>
      <c r="F6556" s="11"/>
      <c r="G6556" s="13">
        <f t="shared" si="1"/>
        <v>1281</v>
      </c>
      <c r="H6556" s="13"/>
    </row>
    <row r="6557" ht="22.5" customHeight="1">
      <c r="B6557" s="17"/>
      <c r="C6557" s="17"/>
      <c r="D6557" s="13"/>
      <c r="E6557" s="11"/>
      <c r="F6557" s="11"/>
      <c r="G6557" s="13">
        <f t="shared" si="1"/>
        <v>1281</v>
      </c>
      <c r="H6557" s="13"/>
    </row>
    <row r="6558" ht="22.5" customHeight="1">
      <c r="B6558" s="17"/>
      <c r="C6558" s="17"/>
      <c r="D6558" s="13"/>
      <c r="E6558" s="11"/>
      <c r="F6558" s="11"/>
      <c r="G6558" s="13">
        <f t="shared" si="1"/>
        <v>1281</v>
      </c>
      <c r="H6558" s="13"/>
    </row>
    <row r="6559" ht="22.5" customHeight="1">
      <c r="B6559" s="17"/>
      <c r="C6559" s="17"/>
      <c r="D6559" s="13"/>
      <c r="E6559" s="11"/>
      <c r="F6559" s="11"/>
      <c r="G6559" s="13">
        <f t="shared" si="1"/>
        <v>1281</v>
      </c>
      <c r="H6559" s="13"/>
    </row>
    <row r="6560" ht="22.5" customHeight="1">
      <c r="B6560" s="17"/>
      <c r="C6560" s="17"/>
      <c r="D6560" s="13"/>
      <c r="E6560" s="11"/>
      <c r="F6560" s="11"/>
      <c r="G6560" s="13">
        <f t="shared" si="1"/>
        <v>1281</v>
      </c>
      <c r="H6560" s="13"/>
    </row>
    <row r="6561" ht="22.5" customHeight="1">
      <c r="B6561" s="17"/>
      <c r="C6561" s="17"/>
      <c r="D6561" s="13"/>
      <c r="E6561" s="11"/>
      <c r="F6561" s="11"/>
      <c r="G6561" s="13">
        <f t="shared" si="1"/>
        <v>1281</v>
      </c>
      <c r="H6561" s="13"/>
    </row>
    <row r="6562" ht="22.5" customHeight="1">
      <c r="B6562" s="17"/>
      <c r="C6562" s="17"/>
      <c r="D6562" s="13"/>
      <c r="E6562" s="11"/>
      <c r="F6562" s="11"/>
      <c r="G6562" s="13">
        <f t="shared" si="1"/>
        <v>1281</v>
      </c>
      <c r="H6562" s="13"/>
    </row>
    <row r="6563" ht="22.5" customHeight="1">
      <c r="B6563" s="17"/>
      <c r="C6563" s="17"/>
      <c r="D6563" s="13"/>
      <c r="E6563" s="11"/>
      <c r="F6563" s="11"/>
      <c r="G6563" s="13">
        <f t="shared" si="1"/>
        <v>1281</v>
      </c>
      <c r="H6563" s="13"/>
    </row>
    <row r="6564" ht="22.5" customHeight="1">
      <c r="B6564" s="17"/>
      <c r="C6564" s="17"/>
      <c r="D6564" s="13"/>
      <c r="E6564" s="11"/>
      <c r="F6564" s="11"/>
      <c r="G6564" s="13">
        <f t="shared" si="1"/>
        <v>1281</v>
      </c>
      <c r="H6564" s="13"/>
    </row>
    <row r="6565" ht="22.5" customHeight="1">
      <c r="B6565" s="17"/>
      <c r="C6565" s="17"/>
      <c r="D6565" s="13"/>
      <c r="E6565" s="11"/>
      <c r="F6565" s="11"/>
      <c r="G6565" s="13">
        <f t="shared" si="1"/>
        <v>1281</v>
      </c>
      <c r="H6565" s="13"/>
    </row>
    <row r="6566" ht="22.5" customHeight="1">
      <c r="B6566" s="17"/>
      <c r="C6566" s="17"/>
      <c r="D6566" s="13"/>
      <c r="E6566" s="11"/>
      <c r="F6566" s="11"/>
      <c r="G6566" s="13">
        <f t="shared" si="1"/>
        <v>1281</v>
      </c>
      <c r="H6566" s="13"/>
    </row>
    <row r="6567" ht="22.5" customHeight="1">
      <c r="B6567" s="17"/>
      <c r="C6567" s="17"/>
      <c r="D6567" s="13"/>
      <c r="E6567" s="11"/>
      <c r="F6567" s="11"/>
      <c r="G6567" s="13">
        <f t="shared" si="1"/>
        <v>1281</v>
      </c>
      <c r="H6567" s="13"/>
    </row>
    <row r="6568" ht="22.5" customHeight="1">
      <c r="B6568" s="17"/>
      <c r="C6568" s="17"/>
      <c r="D6568" s="13"/>
      <c r="E6568" s="11"/>
      <c r="F6568" s="11"/>
      <c r="G6568" s="13">
        <f t="shared" si="1"/>
        <v>1281</v>
      </c>
      <c r="H6568" s="13"/>
    </row>
    <row r="6569" ht="22.5" customHeight="1">
      <c r="B6569" s="17"/>
      <c r="C6569" s="17"/>
      <c r="D6569" s="13"/>
      <c r="E6569" s="11"/>
      <c r="F6569" s="11"/>
      <c r="G6569" s="13">
        <f t="shared" si="1"/>
        <v>1281</v>
      </c>
      <c r="H6569" s="13"/>
    </row>
    <row r="6570" ht="22.5" customHeight="1">
      <c r="B6570" s="17"/>
      <c r="C6570" s="17"/>
      <c r="D6570" s="13"/>
      <c r="E6570" s="11"/>
      <c r="F6570" s="11"/>
      <c r="G6570" s="13">
        <f t="shared" si="1"/>
        <v>1281</v>
      </c>
      <c r="H6570" s="13"/>
    </row>
    <row r="6571" ht="22.5" customHeight="1">
      <c r="B6571" s="17"/>
      <c r="C6571" s="17"/>
      <c r="D6571" s="13"/>
      <c r="E6571" s="11"/>
      <c r="F6571" s="11"/>
      <c r="G6571" s="13">
        <f t="shared" si="1"/>
        <v>1281</v>
      </c>
      <c r="H6571" s="13"/>
    </row>
    <row r="6572" ht="22.5" customHeight="1">
      <c r="B6572" s="17"/>
      <c r="C6572" s="17"/>
      <c r="D6572" s="13"/>
      <c r="E6572" s="11"/>
      <c r="F6572" s="11"/>
      <c r="G6572" s="13">
        <f t="shared" si="1"/>
        <v>1281</v>
      </c>
      <c r="H6572" s="13"/>
    </row>
    <row r="6573" ht="22.5" customHeight="1">
      <c r="B6573" s="17"/>
      <c r="C6573" s="17"/>
      <c r="D6573" s="13"/>
      <c r="E6573" s="11"/>
      <c r="F6573" s="11"/>
      <c r="G6573" s="13">
        <f t="shared" si="1"/>
        <v>1281</v>
      </c>
      <c r="H6573" s="13"/>
    </row>
    <row r="6574" ht="22.5" customHeight="1">
      <c r="B6574" s="17"/>
      <c r="C6574" s="17"/>
      <c r="D6574" s="13"/>
      <c r="E6574" s="11"/>
      <c r="F6574" s="11"/>
      <c r="G6574" s="13">
        <f t="shared" si="1"/>
        <v>1281</v>
      </c>
      <c r="H6574" s="13"/>
    </row>
    <row r="6575" ht="22.5" customHeight="1">
      <c r="B6575" s="17"/>
      <c r="C6575" s="17"/>
      <c r="D6575" s="13"/>
      <c r="E6575" s="11"/>
      <c r="F6575" s="11"/>
      <c r="G6575" s="13">
        <f t="shared" si="1"/>
        <v>1281</v>
      </c>
      <c r="H6575" s="13"/>
    </row>
    <row r="6576" ht="22.5" customHeight="1">
      <c r="B6576" s="17"/>
      <c r="C6576" s="17"/>
      <c r="D6576" s="13"/>
      <c r="E6576" s="11"/>
      <c r="F6576" s="11"/>
      <c r="G6576" s="13">
        <f t="shared" si="1"/>
        <v>1281</v>
      </c>
      <c r="H6576" s="13"/>
    </row>
    <row r="6577" ht="22.5" customHeight="1">
      <c r="B6577" s="17"/>
      <c r="C6577" s="17"/>
      <c r="D6577" s="13"/>
      <c r="E6577" s="11"/>
      <c r="F6577" s="11"/>
      <c r="G6577" s="13">
        <f t="shared" si="1"/>
        <v>1281</v>
      </c>
      <c r="H6577" s="13"/>
    </row>
    <row r="6578" ht="22.5" customHeight="1">
      <c r="B6578" s="17"/>
      <c r="C6578" s="17"/>
      <c r="D6578" s="13"/>
      <c r="E6578" s="11"/>
      <c r="F6578" s="11"/>
      <c r="G6578" s="13">
        <f t="shared" si="1"/>
        <v>1281</v>
      </c>
      <c r="H6578" s="13"/>
    </row>
    <row r="6579" ht="22.5" customHeight="1">
      <c r="B6579" s="17"/>
      <c r="C6579" s="17"/>
      <c r="D6579" s="13"/>
      <c r="E6579" s="11"/>
      <c r="F6579" s="11"/>
      <c r="G6579" s="13">
        <f t="shared" si="1"/>
        <v>1281</v>
      </c>
      <c r="H6579" s="13"/>
    </row>
    <row r="6580" ht="22.5" customHeight="1">
      <c r="B6580" s="17"/>
      <c r="C6580" s="17"/>
      <c r="D6580" s="13"/>
      <c r="E6580" s="11"/>
      <c r="F6580" s="11"/>
      <c r="G6580" s="13">
        <f t="shared" si="1"/>
        <v>1281</v>
      </c>
      <c r="H6580" s="13"/>
    </row>
    <row r="6581" ht="22.5" customHeight="1">
      <c r="B6581" s="17"/>
      <c r="C6581" s="17"/>
      <c r="D6581" s="13"/>
      <c r="E6581" s="11"/>
      <c r="F6581" s="11"/>
      <c r="G6581" s="13">
        <f t="shared" si="1"/>
        <v>1281</v>
      </c>
      <c r="H6581" s="13"/>
    </row>
    <row r="6582" ht="22.5" customHeight="1">
      <c r="B6582" s="17"/>
      <c r="C6582" s="17"/>
      <c r="D6582" s="13"/>
      <c r="E6582" s="11"/>
      <c r="F6582" s="11"/>
      <c r="G6582" s="13">
        <f t="shared" si="1"/>
        <v>1281</v>
      </c>
      <c r="H6582" s="13"/>
    </row>
    <row r="6583" ht="22.5" customHeight="1">
      <c r="B6583" s="17"/>
      <c r="C6583" s="17"/>
      <c r="D6583" s="13"/>
      <c r="E6583" s="11"/>
      <c r="F6583" s="11"/>
      <c r="G6583" s="13">
        <f t="shared" si="1"/>
        <v>1281</v>
      </c>
      <c r="H6583" s="13"/>
    </row>
    <row r="6584" ht="22.5" customHeight="1">
      <c r="B6584" s="17"/>
      <c r="C6584" s="17"/>
      <c r="D6584" s="13"/>
      <c r="E6584" s="11"/>
      <c r="F6584" s="11"/>
      <c r="G6584" s="13">
        <f t="shared" si="1"/>
        <v>1281</v>
      </c>
      <c r="H6584" s="13"/>
    </row>
    <row r="6585" ht="22.5" customHeight="1">
      <c r="B6585" s="17"/>
      <c r="C6585" s="17"/>
      <c r="D6585" s="13"/>
      <c r="E6585" s="11"/>
      <c r="F6585" s="11"/>
      <c r="G6585" s="13">
        <f t="shared" si="1"/>
        <v>1281</v>
      </c>
      <c r="H6585" s="13"/>
    </row>
    <row r="6586" ht="22.5" customHeight="1">
      <c r="B6586" s="17"/>
      <c r="C6586" s="17"/>
      <c r="D6586" s="13"/>
      <c r="E6586" s="11"/>
      <c r="F6586" s="11"/>
      <c r="G6586" s="13">
        <f t="shared" si="1"/>
        <v>1281</v>
      </c>
      <c r="H6586" s="13"/>
    </row>
    <row r="6587" ht="22.5" customHeight="1">
      <c r="B6587" s="17"/>
      <c r="C6587" s="17"/>
      <c r="D6587" s="13"/>
      <c r="E6587" s="11"/>
      <c r="F6587" s="11"/>
      <c r="G6587" s="13">
        <f t="shared" si="1"/>
        <v>1281</v>
      </c>
      <c r="H6587" s="13"/>
    </row>
    <row r="6588" ht="22.5" customHeight="1">
      <c r="B6588" s="17"/>
      <c r="C6588" s="17"/>
      <c r="D6588" s="13"/>
      <c r="E6588" s="11"/>
      <c r="F6588" s="11"/>
      <c r="G6588" s="13">
        <f t="shared" si="1"/>
        <v>1281</v>
      </c>
      <c r="H6588" s="13"/>
    </row>
    <row r="6589" ht="22.5" customHeight="1">
      <c r="B6589" s="17"/>
      <c r="C6589" s="17"/>
      <c r="D6589" s="13"/>
      <c r="E6589" s="11"/>
      <c r="F6589" s="11"/>
      <c r="G6589" s="13">
        <f t="shared" si="1"/>
        <v>1281</v>
      </c>
      <c r="H6589" s="13"/>
    </row>
    <row r="6590" ht="22.5" customHeight="1">
      <c r="B6590" s="17"/>
      <c r="C6590" s="17"/>
      <c r="D6590" s="13"/>
      <c r="E6590" s="11"/>
      <c r="F6590" s="11"/>
      <c r="G6590" s="13">
        <f t="shared" si="1"/>
        <v>1281</v>
      </c>
      <c r="H6590" s="13"/>
    </row>
    <row r="6591" ht="22.5" customHeight="1">
      <c r="B6591" s="17"/>
      <c r="C6591" s="17"/>
      <c r="D6591" s="13"/>
      <c r="E6591" s="11"/>
      <c r="F6591" s="11"/>
      <c r="G6591" s="13">
        <f t="shared" si="1"/>
        <v>1281</v>
      </c>
      <c r="H6591" s="13"/>
    </row>
    <row r="6592" ht="22.5" customHeight="1">
      <c r="B6592" s="17"/>
      <c r="C6592" s="17"/>
      <c r="D6592" s="13"/>
      <c r="E6592" s="11"/>
      <c r="F6592" s="11"/>
      <c r="G6592" s="13">
        <f t="shared" si="1"/>
        <v>1281</v>
      </c>
      <c r="H6592" s="13"/>
    </row>
    <row r="6593" ht="22.5" customHeight="1">
      <c r="B6593" s="17"/>
      <c r="C6593" s="17"/>
      <c r="D6593" s="13"/>
      <c r="E6593" s="11"/>
      <c r="F6593" s="11"/>
      <c r="G6593" s="13">
        <f t="shared" si="1"/>
        <v>1281</v>
      </c>
      <c r="H6593" s="13"/>
    </row>
    <row r="6594" ht="22.5" customHeight="1">
      <c r="B6594" s="17"/>
      <c r="C6594" s="17"/>
      <c r="D6594" s="13"/>
      <c r="E6594" s="11"/>
      <c r="F6594" s="11"/>
      <c r="G6594" s="13">
        <f t="shared" si="1"/>
        <v>1281</v>
      </c>
      <c r="H6594" s="13"/>
    </row>
    <row r="6595" ht="22.5" customHeight="1">
      <c r="B6595" s="17"/>
      <c r="C6595" s="17"/>
      <c r="D6595" s="13"/>
      <c r="E6595" s="11"/>
      <c r="F6595" s="11"/>
      <c r="G6595" s="13">
        <f t="shared" si="1"/>
        <v>1281</v>
      </c>
      <c r="H6595" s="13"/>
    </row>
    <row r="6596" ht="22.5" customHeight="1">
      <c r="B6596" s="17"/>
      <c r="C6596" s="17"/>
      <c r="D6596" s="13"/>
      <c r="E6596" s="11"/>
      <c r="F6596" s="11"/>
      <c r="G6596" s="13">
        <f t="shared" si="1"/>
        <v>1281</v>
      </c>
      <c r="H6596" s="13"/>
    </row>
    <row r="6597" ht="22.5" customHeight="1">
      <c r="B6597" s="17"/>
      <c r="C6597" s="17"/>
      <c r="D6597" s="13"/>
      <c r="E6597" s="11"/>
      <c r="F6597" s="11"/>
      <c r="G6597" s="13">
        <f t="shared" si="1"/>
        <v>1281</v>
      </c>
      <c r="H6597" s="13"/>
    </row>
    <row r="6598" ht="22.5" customHeight="1">
      <c r="B6598" s="17"/>
      <c r="C6598" s="17"/>
      <c r="D6598" s="13"/>
      <c r="E6598" s="11"/>
      <c r="F6598" s="11"/>
      <c r="G6598" s="13">
        <f t="shared" si="1"/>
        <v>1281</v>
      </c>
      <c r="H6598" s="13"/>
    </row>
    <row r="6599" ht="22.5" customHeight="1">
      <c r="B6599" s="17"/>
      <c r="C6599" s="17"/>
      <c r="D6599" s="13"/>
      <c r="E6599" s="11"/>
      <c r="F6599" s="11"/>
      <c r="G6599" s="13">
        <f t="shared" si="1"/>
        <v>1281</v>
      </c>
      <c r="H6599" s="13"/>
    </row>
    <row r="6600" ht="22.5" customHeight="1">
      <c r="B6600" s="17"/>
      <c r="C6600" s="17"/>
      <c r="D6600" s="13"/>
      <c r="E6600" s="11"/>
      <c r="F6600" s="11"/>
      <c r="G6600" s="13">
        <f t="shared" si="1"/>
        <v>1281</v>
      </c>
      <c r="H6600" s="13"/>
    </row>
    <row r="6601" ht="22.5" customHeight="1">
      <c r="B6601" s="17"/>
      <c r="C6601" s="17"/>
      <c r="D6601" s="13"/>
      <c r="E6601" s="11"/>
      <c r="F6601" s="11"/>
      <c r="G6601" s="13">
        <f t="shared" si="1"/>
        <v>1281</v>
      </c>
      <c r="H6601" s="13"/>
    </row>
    <row r="6602" ht="22.5" customHeight="1">
      <c r="B6602" s="17"/>
      <c r="C6602" s="17"/>
      <c r="D6602" s="13"/>
      <c r="E6602" s="11"/>
      <c r="F6602" s="11"/>
      <c r="G6602" s="13">
        <f t="shared" si="1"/>
        <v>1281</v>
      </c>
      <c r="H6602" s="13"/>
    </row>
    <row r="6603" ht="22.5" customHeight="1">
      <c r="B6603" s="17"/>
      <c r="C6603" s="17"/>
      <c r="D6603" s="13"/>
      <c r="E6603" s="11"/>
      <c r="F6603" s="11"/>
      <c r="G6603" s="13">
        <f t="shared" si="1"/>
        <v>1281</v>
      </c>
      <c r="H6603" s="13"/>
    </row>
    <row r="6604" ht="22.5" customHeight="1">
      <c r="B6604" s="17"/>
      <c r="C6604" s="17"/>
      <c r="D6604" s="13"/>
      <c r="E6604" s="11"/>
      <c r="F6604" s="11"/>
      <c r="G6604" s="13">
        <f t="shared" si="1"/>
        <v>1281</v>
      </c>
      <c r="H6604" s="13"/>
    </row>
    <row r="6605" ht="22.5" customHeight="1">
      <c r="B6605" s="17"/>
      <c r="C6605" s="17"/>
      <c r="D6605" s="13"/>
      <c r="E6605" s="11"/>
      <c r="F6605" s="11"/>
      <c r="G6605" s="13">
        <f t="shared" si="1"/>
        <v>1281</v>
      </c>
      <c r="H6605" s="13"/>
    </row>
    <row r="6606" ht="22.5" customHeight="1">
      <c r="B6606" s="17"/>
      <c r="C6606" s="17"/>
      <c r="D6606" s="13"/>
      <c r="E6606" s="11"/>
      <c r="F6606" s="11"/>
      <c r="G6606" s="13">
        <f t="shared" si="1"/>
        <v>1281</v>
      </c>
      <c r="H6606" s="13"/>
    </row>
    <row r="6607" ht="22.5" customHeight="1">
      <c r="B6607" s="17"/>
      <c r="C6607" s="17"/>
      <c r="D6607" s="13"/>
      <c r="E6607" s="11"/>
      <c r="F6607" s="11"/>
      <c r="G6607" s="13">
        <f t="shared" si="1"/>
        <v>1281</v>
      </c>
      <c r="H6607" s="13"/>
    </row>
    <row r="6608" ht="22.5" customHeight="1">
      <c r="B6608" s="17"/>
      <c r="C6608" s="17"/>
      <c r="D6608" s="13"/>
      <c r="E6608" s="11"/>
      <c r="F6608" s="11"/>
      <c r="G6608" s="13">
        <f t="shared" si="1"/>
        <v>1281</v>
      </c>
      <c r="H6608" s="13"/>
    </row>
    <row r="6609" ht="22.5" customHeight="1">
      <c r="B6609" s="17"/>
      <c r="C6609" s="17"/>
      <c r="D6609" s="13"/>
      <c r="E6609" s="11"/>
      <c r="F6609" s="11"/>
      <c r="G6609" s="13">
        <f t="shared" si="1"/>
        <v>1281</v>
      </c>
      <c r="H6609" s="13"/>
    </row>
    <row r="6610" ht="22.5" customHeight="1">
      <c r="B6610" s="17"/>
      <c r="C6610" s="17"/>
      <c r="D6610" s="13"/>
      <c r="E6610" s="11"/>
      <c r="F6610" s="11"/>
      <c r="G6610" s="13">
        <f t="shared" si="1"/>
        <v>1281</v>
      </c>
      <c r="H6610" s="13"/>
    </row>
    <row r="6611" ht="22.5" customHeight="1">
      <c r="B6611" s="17"/>
      <c r="C6611" s="17"/>
      <c r="D6611" s="13"/>
      <c r="E6611" s="11"/>
      <c r="F6611" s="11"/>
      <c r="G6611" s="13">
        <f t="shared" si="1"/>
        <v>1281</v>
      </c>
      <c r="H6611" s="13"/>
    </row>
    <row r="6612" ht="22.5" customHeight="1">
      <c r="B6612" s="17"/>
      <c r="C6612" s="17"/>
      <c r="D6612" s="13"/>
      <c r="E6612" s="11"/>
      <c r="F6612" s="11"/>
      <c r="G6612" s="13">
        <f t="shared" si="1"/>
        <v>1281</v>
      </c>
      <c r="H6612" s="13"/>
    </row>
    <row r="6613" ht="22.5" customHeight="1">
      <c r="B6613" s="17"/>
      <c r="C6613" s="17"/>
      <c r="D6613" s="13"/>
      <c r="E6613" s="11"/>
      <c r="F6613" s="11"/>
      <c r="G6613" s="13">
        <f t="shared" si="1"/>
        <v>1281</v>
      </c>
      <c r="H6613" s="13"/>
    </row>
    <row r="6614" ht="22.5" customHeight="1">
      <c r="B6614" s="17"/>
      <c r="C6614" s="17"/>
      <c r="D6614" s="13"/>
      <c r="E6614" s="11"/>
      <c r="F6614" s="11"/>
      <c r="G6614" s="13">
        <f t="shared" si="1"/>
        <v>1281</v>
      </c>
      <c r="H6614" s="13"/>
    </row>
    <row r="6615" ht="22.5" customHeight="1">
      <c r="B6615" s="17"/>
      <c r="C6615" s="17"/>
      <c r="D6615" s="13"/>
      <c r="E6615" s="11"/>
      <c r="F6615" s="11"/>
      <c r="G6615" s="13">
        <f t="shared" si="1"/>
        <v>1281</v>
      </c>
      <c r="H6615" s="13"/>
    </row>
    <row r="6616" ht="22.5" customHeight="1">
      <c r="B6616" s="17"/>
      <c r="C6616" s="17"/>
      <c r="D6616" s="13"/>
      <c r="E6616" s="11"/>
      <c r="F6616" s="11"/>
      <c r="G6616" s="13">
        <f t="shared" si="1"/>
        <v>1281</v>
      </c>
      <c r="H6616" s="13"/>
    </row>
    <row r="6617" ht="22.5" customHeight="1">
      <c r="B6617" s="17"/>
      <c r="C6617" s="17"/>
      <c r="D6617" s="13"/>
      <c r="E6617" s="11"/>
      <c r="F6617" s="11"/>
      <c r="G6617" s="13">
        <f t="shared" si="1"/>
        <v>1281</v>
      </c>
      <c r="H6617" s="13"/>
    </row>
    <row r="6618" ht="22.5" customHeight="1">
      <c r="B6618" s="17"/>
      <c r="C6618" s="17"/>
      <c r="D6618" s="13"/>
      <c r="E6618" s="11"/>
      <c r="F6618" s="11"/>
      <c r="G6618" s="13">
        <f t="shared" si="1"/>
        <v>1281</v>
      </c>
      <c r="H6618" s="13"/>
    </row>
    <row r="6619" ht="22.5" customHeight="1">
      <c r="B6619" s="17"/>
      <c r="C6619" s="17"/>
      <c r="D6619" s="13"/>
      <c r="E6619" s="11"/>
      <c r="F6619" s="11"/>
      <c r="G6619" s="13">
        <f t="shared" si="1"/>
        <v>1281</v>
      </c>
      <c r="H6619" s="13"/>
    </row>
    <row r="6620" ht="22.5" customHeight="1">
      <c r="B6620" s="17"/>
      <c r="C6620" s="17"/>
      <c r="D6620" s="13"/>
      <c r="E6620" s="11"/>
      <c r="F6620" s="11"/>
      <c r="G6620" s="13">
        <f t="shared" si="1"/>
        <v>1281</v>
      </c>
      <c r="H6620" s="13"/>
    </row>
    <row r="6621" ht="22.5" customHeight="1">
      <c r="B6621" s="17"/>
      <c r="C6621" s="17"/>
      <c r="D6621" s="13"/>
      <c r="E6621" s="11"/>
      <c r="F6621" s="11"/>
      <c r="G6621" s="13">
        <f t="shared" si="1"/>
        <v>1281</v>
      </c>
      <c r="H6621" s="13"/>
    </row>
    <row r="6622" ht="22.5" customHeight="1">
      <c r="B6622" s="17"/>
      <c r="C6622" s="17"/>
      <c r="D6622" s="13"/>
      <c r="E6622" s="11"/>
      <c r="F6622" s="11"/>
      <c r="G6622" s="13">
        <f t="shared" si="1"/>
        <v>1281</v>
      </c>
      <c r="H6622" s="13"/>
    </row>
    <row r="6623" ht="22.5" customHeight="1">
      <c r="B6623" s="17"/>
      <c r="C6623" s="17"/>
      <c r="D6623" s="13"/>
      <c r="E6623" s="11"/>
      <c r="F6623" s="11"/>
      <c r="G6623" s="13">
        <f t="shared" si="1"/>
        <v>1281</v>
      </c>
      <c r="H6623" s="13"/>
    </row>
    <row r="6624" ht="22.5" customHeight="1">
      <c r="B6624" s="17"/>
      <c r="C6624" s="17"/>
      <c r="D6624" s="13"/>
      <c r="E6624" s="11"/>
      <c r="F6624" s="11"/>
      <c r="G6624" s="13">
        <f t="shared" si="1"/>
        <v>1281</v>
      </c>
      <c r="H6624" s="13"/>
    </row>
    <row r="6625" ht="22.5" customHeight="1">
      <c r="B6625" s="17"/>
      <c r="C6625" s="17"/>
      <c r="D6625" s="13"/>
      <c r="E6625" s="11"/>
      <c r="F6625" s="11"/>
      <c r="G6625" s="13">
        <f t="shared" si="1"/>
        <v>1281</v>
      </c>
      <c r="H6625" s="13"/>
    </row>
    <row r="6626" ht="22.5" customHeight="1">
      <c r="B6626" s="17"/>
      <c r="C6626" s="17"/>
      <c r="D6626" s="13"/>
      <c r="E6626" s="11"/>
      <c r="F6626" s="11"/>
      <c r="G6626" s="13">
        <f t="shared" si="1"/>
        <v>1281</v>
      </c>
      <c r="H6626" s="13"/>
    </row>
    <row r="6627" ht="22.5" customHeight="1">
      <c r="B6627" s="17"/>
      <c r="C6627" s="17"/>
      <c r="D6627" s="13"/>
      <c r="E6627" s="11"/>
      <c r="F6627" s="11"/>
      <c r="G6627" s="13">
        <f t="shared" si="1"/>
        <v>1281</v>
      </c>
      <c r="H6627" s="13"/>
    </row>
    <row r="6628" ht="22.5" customHeight="1">
      <c r="B6628" s="17"/>
      <c r="C6628" s="17"/>
      <c r="D6628" s="13"/>
      <c r="E6628" s="11"/>
      <c r="F6628" s="11"/>
      <c r="G6628" s="13">
        <f t="shared" si="1"/>
        <v>1281</v>
      </c>
      <c r="H6628" s="13"/>
    </row>
    <row r="6629" ht="22.5" customHeight="1">
      <c r="B6629" s="17"/>
      <c r="C6629" s="17"/>
      <c r="D6629" s="13"/>
      <c r="E6629" s="11"/>
      <c r="F6629" s="11"/>
      <c r="G6629" s="13">
        <f t="shared" si="1"/>
        <v>1281</v>
      </c>
      <c r="H6629" s="13"/>
    </row>
    <row r="6630" ht="22.5" customHeight="1">
      <c r="B6630" s="17"/>
      <c r="C6630" s="17"/>
      <c r="D6630" s="13"/>
      <c r="E6630" s="11"/>
      <c r="F6630" s="11"/>
      <c r="G6630" s="13">
        <f t="shared" si="1"/>
        <v>1281</v>
      </c>
      <c r="H6630" s="13"/>
    </row>
    <row r="6631" ht="22.5" customHeight="1">
      <c r="B6631" s="17"/>
      <c r="C6631" s="17"/>
      <c r="D6631" s="13"/>
      <c r="E6631" s="11"/>
      <c r="F6631" s="11"/>
      <c r="G6631" s="13">
        <f t="shared" si="1"/>
        <v>1281</v>
      </c>
      <c r="H6631" s="13"/>
    </row>
    <row r="6632" ht="22.5" customHeight="1">
      <c r="B6632" s="17"/>
      <c r="C6632" s="17"/>
      <c r="D6632" s="13"/>
      <c r="E6632" s="11"/>
      <c r="F6632" s="11"/>
      <c r="G6632" s="13">
        <f t="shared" si="1"/>
        <v>1281</v>
      </c>
      <c r="H6632" s="13"/>
    </row>
    <row r="6633" ht="22.5" customHeight="1">
      <c r="B6633" s="17"/>
      <c r="C6633" s="17"/>
      <c r="D6633" s="13"/>
      <c r="E6633" s="11"/>
      <c r="F6633" s="11"/>
      <c r="G6633" s="13">
        <f t="shared" si="1"/>
        <v>1281</v>
      </c>
      <c r="H6633" s="13"/>
    </row>
    <row r="6634" ht="22.5" customHeight="1">
      <c r="B6634" s="17"/>
      <c r="C6634" s="17"/>
      <c r="D6634" s="13"/>
      <c r="E6634" s="11"/>
      <c r="F6634" s="11"/>
      <c r="G6634" s="13">
        <f t="shared" si="1"/>
        <v>1281</v>
      </c>
      <c r="H6634" s="13"/>
    </row>
    <row r="6635" ht="22.5" customHeight="1">
      <c r="B6635" s="17"/>
      <c r="C6635" s="17"/>
      <c r="D6635" s="13"/>
      <c r="E6635" s="11"/>
      <c r="F6635" s="11"/>
      <c r="G6635" s="13">
        <f t="shared" si="1"/>
        <v>1281</v>
      </c>
      <c r="H6635" s="13"/>
    </row>
    <row r="6636" ht="22.5" customHeight="1">
      <c r="B6636" s="17"/>
      <c r="C6636" s="17"/>
      <c r="D6636" s="13"/>
      <c r="E6636" s="11"/>
      <c r="F6636" s="11"/>
      <c r="G6636" s="13">
        <f t="shared" si="1"/>
        <v>1281</v>
      </c>
      <c r="H6636" s="13"/>
    </row>
    <row r="6637" ht="22.5" customHeight="1">
      <c r="B6637" s="17"/>
      <c r="C6637" s="17"/>
      <c r="D6637" s="13"/>
      <c r="E6637" s="11"/>
      <c r="F6637" s="11"/>
      <c r="G6637" s="13">
        <f t="shared" si="1"/>
        <v>1281</v>
      </c>
      <c r="H6637" s="13"/>
    </row>
    <row r="6638" ht="22.5" customHeight="1">
      <c r="B6638" s="17"/>
      <c r="C6638" s="17"/>
      <c r="D6638" s="13"/>
      <c r="E6638" s="11"/>
      <c r="F6638" s="11"/>
      <c r="G6638" s="13">
        <f t="shared" si="1"/>
        <v>1281</v>
      </c>
      <c r="H6638" s="13"/>
    </row>
    <row r="6639" ht="22.5" customHeight="1">
      <c r="B6639" s="17"/>
      <c r="C6639" s="17"/>
      <c r="D6639" s="13"/>
      <c r="E6639" s="11"/>
      <c r="F6639" s="11"/>
      <c r="G6639" s="13">
        <f t="shared" si="1"/>
        <v>1281</v>
      </c>
      <c r="H6639" s="13"/>
    </row>
    <row r="6640" ht="22.5" customHeight="1">
      <c r="B6640" s="17"/>
      <c r="C6640" s="17"/>
      <c r="D6640" s="13"/>
      <c r="E6640" s="11"/>
      <c r="F6640" s="11"/>
      <c r="G6640" s="13">
        <f t="shared" si="1"/>
        <v>1281</v>
      </c>
      <c r="H6640" s="13"/>
    </row>
    <row r="6641" ht="22.5" customHeight="1">
      <c r="B6641" s="17"/>
      <c r="C6641" s="17"/>
      <c r="D6641" s="13"/>
      <c r="E6641" s="11"/>
      <c r="F6641" s="11"/>
      <c r="G6641" s="13">
        <f t="shared" si="1"/>
        <v>1281</v>
      </c>
      <c r="H6641" s="13"/>
    </row>
    <row r="6642" ht="22.5" customHeight="1">
      <c r="B6642" s="17"/>
      <c r="C6642" s="17"/>
      <c r="D6642" s="13"/>
      <c r="E6642" s="11"/>
      <c r="F6642" s="11"/>
      <c r="G6642" s="13">
        <f t="shared" si="1"/>
        <v>1281</v>
      </c>
      <c r="H6642" s="13"/>
    </row>
    <row r="6643" ht="22.5" customHeight="1">
      <c r="B6643" s="17"/>
      <c r="C6643" s="17"/>
      <c r="D6643" s="13"/>
      <c r="E6643" s="11"/>
      <c r="F6643" s="11"/>
      <c r="G6643" s="13">
        <f t="shared" si="1"/>
        <v>1281</v>
      </c>
      <c r="H6643" s="13"/>
    </row>
    <row r="6644" ht="22.5" customHeight="1">
      <c r="B6644" s="17"/>
      <c r="C6644" s="17"/>
      <c r="D6644" s="13"/>
      <c r="E6644" s="11"/>
      <c r="F6644" s="11"/>
      <c r="G6644" s="13">
        <f t="shared" si="1"/>
        <v>1281</v>
      </c>
      <c r="H6644" s="13"/>
    </row>
    <row r="6645" ht="22.5" customHeight="1">
      <c r="B6645" s="17"/>
      <c r="C6645" s="17"/>
      <c r="D6645" s="13"/>
      <c r="E6645" s="11"/>
      <c r="F6645" s="11"/>
      <c r="G6645" s="13">
        <f t="shared" si="1"/>
        <v>1281</v>
      </c>
      <c r="H6645" s="13"/>
    </row>
    <row r="6646" ht="22.5" customHeight="1">
      <c r="B6646" s="17"/>
      <c r="C6646" s="17"/>
      <c r="D6646" s="13"/>
      <c r="E6646" s="11"/>
      <c r="F6646" s="11"/>
      <c r="G6646" s="13">
        <f t="shared" si="1"/>
        <v>1281</v>
      </c>
      <c r="H6646" s="13"/>
    </row>
    <row r="6647" ht="22.5" customHeight="1">
      <c r="B6647" s="17"/>
      <c r="C6647" s="17"/>
      <c r="D6647" s="13"/>
      <c r="E6647" s="11"/>
      <c r="F6647" s="11"/>
      <c r="G6647" s="13">
        <f t="shared" si="1"/>
        <v>1281</v>
      </c>
      <c r="H6647" s="13"/>
    </row>
    <row r="6648" ht="22.5" customHeight="1">
      <c r="B6648" s="17"/>
      <c r="C6648" s="17"/>
      <c r="D6648" s="13"/>
      <c r="E6648" s="11"/>
      <c r="F6648" s="11"/>
      <c r="G6648" s="13">
        <f t="shared" si="1"/>
        <v>1281</v>
      </c>
      <c r="H6648" s="13"/>
    </row>
    <row r="6649" ht="22.5" customHeight="1">
      <c r="B6649" s="17"/>
      <c r="C6649" s="17"/>
      <c r="D6649" s="13"/>
      <c r="E6649" s="11"/>
      <c r="F6649" s="11"/>
      <c r="G6649" s="13">
        <f t="shared" si="1"/>
        <v>1281</v>
      </c>
      <c r="H6649" s="13"/>
    </row>
    <row r="6650" ht="22.5" customHeight="1">
      <c r="B6650" s="17"/>
      <c r="C6650" s="17"/>
      <c r="D6650" s="13"/>
      <c r="E6650" s="11"/>
      <c r="F6650" s="11"/>
      <c r="G6650" s="13">
        <f t="shared" si="1"/>
        <v>1281</v>
      </c>
      <c r="H6650" s="13"/>
    </row>
    <row r="6651" ht="22.5" customHeight="1">
      <c r="B6651" s="17"/>
      <c r="C6651" s="17"/>
      <c r="D6651" s="13"/>
      <c r="E6651" s="11"/>
      <c r="F6651" s="11"/>
      <c r="G6651" s="13">
        <f t="shared" si="1"/>
        <v>1281</v>
      </c>
      <c r="H6651" s="13"/>
    </row>
    <row r="6652" ht="22.5" customHeight="1">
      <c r="B6652" s="17"/>
      <c r="C6652" s="17"/>
      <c r="D6652" s="13"/>
      <c r="E6652" s="11"/>
      <c r="F6652" s="11"/>
      <c r="G6652" s="13">
        <f t="shared" si="1"/>
        <v>1281</v>
      </c>
      <c r="H6652" s="13"/>
    </row>
    <row r="6653" ht="22.5" customHeight="1">
      <c r="B6653" s="17"/>
      <c r="C6653" s="17"/>
      <c r="D6653" s="13"/>
      <c r="E6653" s="11"/>
      <c r="F6653" s="11"/>
      <c r="G6653" s="13">
        <f t="shared" si="1"/>
        <v>1281</v>
      </c>
      <c r="H6653" s="13"/>
    </row>
    <row r="6654" ht="22.5" customHeight="1">
      <c r="B6654" s="17"/>
      <c r="C6654" s="17"/>
      <c r="D6654" s="13"/>
      <c r="E6654" s="11"/>
      <c r="F6654" s="11"/>
      <c r="G6654" s="13">
        <f t="shared" si="1"/>
        <v>1281</v>
      </c>
      <c r="H6654" s="13"/>
    </row>
    <row r="6655" ht="22.5" customHeight="1">
      <c r="B6655" s="17"/>
      <c r="C6655" s="17"/>
      <c r="D6655" s="13"/>
      <c r="E6655" s="11"/>
      <c r="F6655" s="11"/>
      <c r="G6655" s="13">
        <f t="shared" si="1"/>
        <v>1281</v>
      </c>
      <c r="H6655" s="13"/>
    </row>
    <row r="6656" ht="22.5" customHeight="1">
      <c r="B6656" s="17"/>
      <c r="C6656" s="17"/>
      <c r="D6656" s="13"/>
      <c r="E6656" s="11"/>
      <c r="F6656" s="11"/>
      <c r="G6656" s="13">
        <f t="shared" si="1"/>
        <v>1281</v>
      </c>
      <c r="H6656" s="13"/>
    </row>
    <row r="6657" ht="22.5" customHeight="1">
      <c r="B6657" s="17"/>
      <c r="C6657" s="17"/>
      <c r="D6657" s="13"/>
      <c r="E6657" s="11"/>
      <c r="F6657" s="11"/>
      <c r="G6657" s="13">
        <f t="shared" si="1"/>
        <v>1281</v>
      </c>
      <c r="H6657" s="13"/>
    </row>
    <row r="6658" ht="22.5" customHeight="1">
      <c r="B6658" s="17"/>
      <c r="C6658" s="17"/>
      <c r="D6658" s="13"/>
      <c r="E6658" s="11"/>
      <c r="F6658" s="11"/>
      <c r="G6658" s="13">
        <f t="shared" si="1"/>
        <v>1281</v>
      </c>
      <c r="H6658" s="13"/>
    </row>
    <row r="6659" ht="22.5" customHeight="1">
      <c r="B6659" s="17"/>
      <c r="C6659" s="17"/>
      <c r="D6659" s="13"/>
      <c r="E6659" s="11"/>
      <c r="F6659" s="11"/>
      <c r="G6659" s="13">
        <f t="shared" si="1"/>
        <v>1281</v>
      </c>
      <c r="H6659" s="13"/>
    </row>
    <row r="6660" ht="22.5" customHeight="1">
      <c r="B6660" s="17"/>
      <c r="C6660" s="17"/>
      <c r="D6660" s="13"/>
      <c r="E6660" s="11"/>
      <c r="F6660" s="11"/>
      <c r="G6660" s="13">
        <f t="shared" si="1"/>
        <v>1281</v>
      </c>
      <c r="H6660" s="13"/>
    </row>
    <row r="6661" ht="22.5" customHeight="1">
      <c r="B6661" s="17"/>
      <c r="C6661" s="17"/>
      <c r="D6661" s="13"/>
      <c r="E6661" s="11"/>
      <c r="F6661" s="11"/>
      <c r="G6661" s="13">
        <f t="shared" si="1"/>
        <v>1281</v>
      </c>
      <c r="H6661" s="13"/>
    </row>
    <row r="6662" ht="22.5" customHeight="1">
      <c r="B6662" s="17"/>
      <c r="C6662" s="17"/>
      <c r="D6662" s="13"/>
      <c r="E6662" s="11"/>
      <c r="F6662" s="11"/>
      <c r="G6662" s="13">
        <f t="shared" si="1"/>
        <v>1281</v>
      </c>
      <c r="H6662" s="13"/>
    </row>
    <row r="6663" ht="22.5" customHeight="1">
      <c r="B6663" s="17"/>
      <c r="C6663" s="17"/>
      <c r="D6663" s="13"/>
      <c r="E6663" s="11"/>
      <c r="F6663" s="11"/>
      <c r="G6663" s="13">
        <f t="shared" si="1"/>
        <v>1281</v>
      </c>
      <c r="H6663" s="13"/>
    </row>
    <row r="6664" ht="22.5" customHeight="1">
      <c r="B6664" s="17"/>
      <c r="C6664" s="17"/>
      <c r="D6664" s="13"/>
      <c r="E6664" s="11"/>
      <c r="F6664" s="11"/>
      <c r="G6664" s="13">
        <f t="shared" si="1"/>
        <v>1281</v>
      </c>
      <c r="H6664" s="13"/>
    </row>
    <row r="6665" ht="22.5" customHeight="1">
      <c r="B6665" s="17"/>
      <c r="C6665" s="17"/>
      <c r="D6665" s="13"/>
      <c r="E6665" s="11"/>
      <c r="F6665" s="11"/>
      <c r="G6665" s="13">
        <f t="shared" si="1"/>
        <v>1281</v>
      </c>
      <c r="H6665" s="13"/>
    </row>
    <row r="6666" ht="22.5" customHeight="1">
      <c r="B6666" s="17"/>
      <c r="C6666" s="17"/>
      <c r="D6666" s="13"/>
      <c r="E6666" s="11"/>
      <c r="F6666" s="11"/>
      <c r="G6666" s="13">
        <f t="shared" si="1"/>
        <v>1281</v>
      </c>
      <c r="H6666" s="13"/>
    </row>
    <row r="6667" ht="22.5" customHeight="1">
      <c r="B6667" s="17"/>
      <c r="C6667" s="17"/>
      <c r="D6667" s="13"/>
      <c r="E6667" s="11"/>
      <c r="F6667" s="11"/>
      <c r="G6667" s="13">
        <f t="shared" si="1"/>
        <v>1281</v>
      </c>
      <c r="H6667" s="13"/>
    </row>
    <row r="6668" ht="22.5" customHeight="1">
      <c r="B6668" s="17"/>
      <c r="C6668" s="17"/>
      <c r="D6668" s="13"/>
      <c r="E6668" s="11"/>
      <c r="F6668" s="11"/>
      <c r="G6668" s="13">
        <f t="shared" si="1"/>
        <v>1281</v>
      </c>
      <c r="H6668" s="13"/>
    </row>
    <row r="6669" ht="22.5" customHeight="1">
      <c r="B6669" s="17"/>
      <c r="C6669" s="17"/>
      <c r="D6669" s="13"/>
      <c r="E6669" s="11"/>
      <c r="F6669" s="11"/>
      <c r="G6669" s="13">
        <f t="shared" si="1"/>
        <v>1281</v>
      </c>
      <c r="H6669" s="13"/>
    </row>
    <row r="6670" ht="22.5" customHeight="1">
      <c r="B6670" s="17"/>
      <c r="C6670" s="17"/>
      <c r="D6670" s="13"/>
      <c r="E6670" s="11"/>
      <c r="F6670" s="11"/>
      <c r="G6670" s="13">
        <f t="shared" si="1"/>
        <v>1281</v>
      </c>
      <c r="H6670" s="13"/>
    </row>
    <row r="6671" ht="22.5" customHeight="1">
      <c r="B6671" s="17"/>
      <c r="C6671" s="17"/>
      <c r="D6671" s="13"/>
      <c r="E6671" s="11"/>
      <c r="F6671" s="11"/>
      <c r="G6671" s="13">
        <f t="shared" si="1"/>
        <v>1281</v>
      </c>
      <c r="H6671" s="13"/>
    </row>
    <row r="6672" ht="22.5" customHeight="1">
      <c r="B6672" s="17"/>
      <c r="C6672" s="17"/>
      <c r="D6672" s="13"/>
      <c r="E6672" s="11"/>
      <c r="F6672" s="11"/>
      <c r="G6672" s="13">
        <f t="shared" si="1"/>
        <v>1281</v>
      </c>
      <c r="H6672" s="13"/>
    </row>
    <row r="6673" ht="22.5" customHeight="1">
      <c r="B6673" s="17"/>
      <c r="C6673" s="17"/>
      <c r="D6673" s="13"/>
      <c r="E6673" s="11"/>
      <c r="F6673" s="11"/>
      <c r="G6673" s="13">
        <f t="shared" si="1"/>
        <v>1281</v>
      </c>
      <c r="H6673" s="13"/>
    </row>
    <row r="6674" ht="22.5" customHeight="1">
      <c r="B6674" s="17"/>
      <c r="C6674" s="17"/>
      <c r="D6674" s="13"/>
      <c r="E6674" s="11"/>
      <c r="F6674" s="11"/>
      <c r="G6674" s="13">
        <f t="shared" si="1"/>
        <v>1281</v>
      </c>
      <c r="H6674" s="13"/>
    </row>
    <row r="6675" ht="22.5" customHeight="1">
      <c r="B6675" s="17"/>
      <c r="C6675" s="17"/>
      <c r="D6675" s="13"/>
      <c r="E6675" s="11"/>
      <c r="F6675" s="11"/>
      <c r="G6675" s="13">
        <f t="shared" si="1"/>
        <v>1281</v>
      </c>
      <c r="H6675" s="13"/>
    </row>
    <row r="6676" ht="22.5" customHeight="1">
      <c r="B6676" s="17"/>
      <c r="C6676" s="17"/>
      <c r="D6676" s="13"/>
      <c r="E6676" s="11"/>
      <c r="F6676" s="11"/>
      <c r="G6676" s="13">
        <f t="shared" si="1"/>
        <v>1281</v>
      </c>
      <c r="H6676" s="13"/>
    </row>
    <row r="6677" ht="22.5" customHeight="1">
      <c r="B6677" s="17"/>
      <c r="C6677" s="17"/>
      <c r="D6677" s="13"/>
      <c r="E6677" s="11"/>
      <c r="F6677" s="11"/>
      <c r="G6677" s="13">
        <f t="shared" si="1"/>
        <v>1281</v>
      </c>
      <c r="H6677" s="13"/>
    </row>
    <row r="6678" ht="22.5" customHeight="1">
      <c r="B6678" s="17"/>
      <c r="C6678" s="17"/>
      <c r="D6678" s="13"/>
      <c r="E6678" s="11"/>
      <c r="F6678" s="11"/>
      <c r="G6678" s="13">
        <f t="shared" si="1"/>
        <v>1281</v>
      </c>
      <c r="H6678" s="13"/>
    </row>
    <row r="6679" ht="22.5" customHeight="1">
      <c r="B6679" s="17"/>
      <c r="C6679" s="17"/>
      <c r="D6679" s="13"/>
      <c r="E6679" s="11"/>
      <c r="F6679" s="11"/>
      <c r="G6679" s="13">
        <f t="shared" si="1"/>
        <v>1281</v>
      </c>
      <c r="H6679" s="13"/>
    </row>
    <row r="6680" ht="22.5" customHeight="1">
      <c r="B6680" s="17"/>
      <c r="C6680" s="17"/>
      <c r="D6680" s="13"/>
      <c r="E6680" s="11"/>
      <c r="F6680" s="11"/>
      <c r="G6680" s="13">
        <f t="shared" si="1"/>
        <v>1281</v>
      </c>
      <c r="H6680" s="13"/>
    </row>
    <row r="6681" ht="22.5" customHeight="1">
      <c r="B6681" s="17"/>
      <c r="C6681" s="17"/>
      <c r="D6681" s="13"/>
      <c r="E6681" s="11"/>
      <c r="F6681" s="11"/>
      <c r="G6681" s="13">
        <f t="shared" si="1"/>
        <v>1281</v>
      </c>
      <c r="H6681" s="13"/>
    </row>
    <row r="6682" ht="22.5" customHeight="1">
      <c r="B6682" s="17"/>
      <c r="C6682" s="17"/>
      <c r="D6682" s="13"/>
      <c r="E6682" s="11"/>
      <c r="F6682" s="11"/>
      <c r="G6682" s="13">
        <f t="shared" si="1"/>
        <v>1281</v>
      </c>
      <c r="H6682" s="13"/>
    </row>
    <row r="6683" ht="22.5" customHeight="1">
      <c r="B6683" s="17"/>
      <c r="C6683" s="17"/>
      <c r="D6683" s="13"/>
      <c r="E6683" s="11"/>
      <c r="F6683" s="11"/>
      <c r="G6683" s="13">
        <f t="shared" si="1"/>
        <v>1281</v>
      </c>
      <c r="H6683" s="13"/>
    </row>
    <row r="6684" ht="22.5" customHeight="1">
      <c r="B6684" s="17"/>
      <c r="C6684" s="17"/>
      <c r="D6684" s="13"/>
      <c r="E6684" s="11"/>
      <c r="F6684" s="11"/>
      <c r="G6684" s="13">
        <f t="shared" si="1"/>
        <v>1281</v>
      </c>
      <c r="H6684" s="13"/>
    </row>
    <row r="6685" ht="22.5" customHeight="1">
      <c r="B6685" s="17"/>
      <c r="C6685" s="17"/>
      <c r="D6685" s="13"/>
      <c r="E6685" s="11"/>
      <c r="F6685" s="11"/>
      <c r="G6685" s="13">
        <f t="shared" si="1"/>
        <v>1281</v>
      </c>
      <c r="H6685" s="13"/>
    </row>
    <row r="6686" ht="22.5" customHeight="1">
      <c r="B6686" s="17"/>
      <c r="C6686" s="17"/>
      <c r="D6686" s="13"/>
      <c r="E6686" s="11"/>
      <c r="F6686" s="11"/>
      <c r="G6686" s="13">
        <f t="shared" si="1"/>
        <v>1281</v>
      </c>
      <c r="H6686" s="13"/>
    </row>
    <row r="6687" ht="22.5" customHeight="1">
      <c r="B6687" s="17"/>
      <c r="C6687" s="17"/>
      <c r="D6687" s="13"/>
      <c r="E6687" s="11"/>
      <c r="F6687" s="11"/>
      <c r="G6687" s="13">
        <f t="shared" si="1"/>
        <v>1281</v>
      </c>
      <c r="H6687" s="13"/>
    </row>
    <row r="6688" ht="22.5" customHeight="1">
      <c r="B6688" s="17"/>
      <c r="C6688" s="17"/>
      <c r="D6688" s="13"/>
      <c r="E6688" s="11"/>
      <c r="F6688" s="11"/>
      <c r="G6688" s="13">
        <f t="shared" si="1"/>
        <v>1281</v>
      </c>
      <c r="H6688" s="13"/>
    </row>
    <row r="6689" ht="22.5" customHeight="1">
      <c r="B6689" s="17"/>
      <c r="C6689" s="17"/>
      <c r="D6689" s="13"/>
      <c r="E6689" s="11"/>
      <c r="F6689" s="11"/>
      <c r="G6689" s="13">
        <f t="shared" si="1"/>
        <v>1281</v>
      </c>
      <c r="H6689" s="13"/>
    </row>
    <row r="6690" ht="22.5" customHeight="1">
      <c r="B6690" s="17"/>
      <c r="C6690" s="17"/>
      <c r="D6690" s="13"/>
      <c r="E6690" s="11"/>
      <c r="F6690" s="11"/>
      <c r="G6690" s="13">
        <f t="shared" si="1"/>
        <v>1281</v>
      </c>
      <c r="H6690" s="13"/>
    </row>
    <row r="6691" ht="22.5" customHeight="1">
      <c r="B6691" s="17"/>
      <c r="C6691" s="17"/>
      <c r="D6691" s="13"/>
      <c r="E6691" s="11"/>
      <c r="F6691" s="11"/>
      <c r="G6691" s="13">
        <f t="shared" si="1"/>
        <v>1281</v>
      </c>
      <c r="H6691" s="13"/>
    </row>
    <row r="6692" ht="22.5" customHeight="1">
      <c r="B6692" s="17"/>
      <c r="C6692" s="17"/>
      <c r="D6692" s="13"/>
      <c r="E6692" s="11"/>
      <c r="F6692" s="11"/>
      <c r="G6692" s="13">
        <f t="shared" si="1"/>
        <v>1281</v>
      </c>
      <c r="H6692" s="13"/>
    </row>
    <row r="6693" ht="22.5" customHeight="1">
      <c r="B6693" s="17"/>
      <c r="C6693" s="17"/>
      <c r="D6693" s="13"/>
      <c r="E6693" s="11"/>
      <c r="F6693" s="11"/>
      <c r="G6693" s="13">
        <f t="shared" si="1"/>
        <v>1281</v>
      </c>
      <c r="H6693" s="13"/>
    </row>
    <row r="6694" ht="22.5" customHeight="1">
      <c r="B6694" s="17"/>
      <c r="C6694" s="17"/>
      <c r="D6694" s="13"/>
      <c r="E6694" s="11"/>
      <c r="F6694" s="11"/>
      <c r="G6694" s="13">
        <f t="shared" si="1"/>
        <v>1281</v>
      </c>
      <c r="H6694" s="13"/>
    </row>
    <row r="6695" ht="22.5" customHeight="1">
      <c r="B6695" s="17"/>
      <c r="C6695" s="17"/>
      <c r="D6695" s="13"/>
      <c r="E6695" s="11"/>
      <c r="F6695" s="11"/>
      <c r="G6695" s="13">
        <f t="shared" si="1"/>
        <v>1281</v>
      </c>
      <c r="H6695" s="13"/>
    </row>
    <row r="6696" ht="22.5" customHeight="1">
      <c r="B6696" s="17"/>
      <c r="C6696" s="17"/>
      <c r="D6696" s="13"/>
      <c r="E6696" s="11"/>
      <c r="F6696" s="11"/>
      <c r="G6696" s="13">
        <f t="shared" si="1"/>
        <v>1281</v>
      </c>
      <c r="H6696" s="13"/>
    </row>
    <row r="6697" ht="22.5" customHeight="1">
      <c r="B6697" s="17"/>
      <c r="C6697" s="17"/>
      <c r="D6697" s="13"/>
      <c r="E6697" s="11"/>
      <c r="F6697" s="11"/>
      <c r="G6697" s="13">
        <f t="shared" si="1"/>
        <v>1281</v>
      </c>
      <c r="H6697" s="13"/>
    </row>
    <row r="6698" ht="22.5" customHeight="1">
      <c r="B6698" s="17"/>
      <c r="C6698" s="17"/>
      <c r="D6698" s="13"/>
      <c r="E6698" s="11"/>
      <c r="F6698" s="11"/>
      <c r="G6698" s="13">
        <f t="shared" si="1"/>
        <v>1281</v>
      </c>
      <c r="H6698" s="13"/>
    </row>
    <row r="6699" ht="22.5" customHeight="1">
      <c r="B6699" s="17"/>
      <c r="C6699" s="17"/>
      <c r="D6699" s="13"/>
      <c r="E6699" s="11"/>
      <c r="F6699" s="11"/>
      <c r="G6699" s="13">
        <f t="shared" si="1"/>
        <v>1281</v>
      </c>
      <c r="H6699" s="13"/>
    </row>
    <row r="6700" ht="22.5" customHeight="1">
      <c r="B6700" s="17"/>
      <c r="C6700" s="17"/>
      <c r="D6700" s="13"/>
      <c r="E6700" s="11"/>
      <c r="F6700" s="11"/>
      <c r="G6700" s="13">
        <f t="shared" si="1"/>
        <v>1281</v>
      </c>
      <c r="H6700" s="13"/>
    </row>
    <row r="6701" ht="22.5" customHeight="1">
      <c r="B6701" s="17"/>
      <c r="C6701" s="17"/>
      <c r="D6701" s="13"/>
      <c r="E6701" s="11"/>
      <c r="F6701" s="11"/>
      <c r="G6701" s="13">
        <f t="shared" si="1"/>
        <v>1281</v>
      </c>
      <c r="H6701" s="13"/>
    </row>
    <row r="6702" ht="22.5" customHeight="1">
      <c r="B6702" s="17"/>
      <c r="C6702" s="17"/>
      <c r="D6702" s="13"/>
      <c r="E6702" s="11"/>
      <c r="F6702" s="11"/>
      <c r="G6702" s="13">
        <f t="shared" si="1"/>
        <v>1281</v>
      </c>
      <c r="H6702" s="13"/>
    </row>
    <row r="6703" ht="22.5" customHeight="1">
      <c r="B6703" s="17"/>
      <c r="C6703" s="17"/>
      <c r="D6703" s="13"/>
      <c r="E6703" s="11"/>
      <c r="F6703" s="11"/>
      <c r="G6703" s="13">
        <f t="shared" si="1"/>
        <v>1281</v>
      </c>
      <c r="H6703" s="13"/>
    </row>
    <row r="6704" ht="22.5" customHeight="1">
      <c r="B6704" s="17"/>
      <c r="C6704" s="17"/>
      <c r="D6704" s="13"/>
      <c r="E6704" s="11"/>
      <c r="F6704" s="11"/>
      <c r="G6704" s="13">
        <f t="shared" si="1"/>
        <v>1281</v>
      </c>
      <c r="H6704" s="13"/>
    </row>
    <row r="6705" ht="22.5" customHeight="1">
      <c r="B6705" s="17"/>
      <c r="C6705" s="17"/>
      <c r="D6705" s="13"/>
      <c r="E6705" s="11"/>
      <c r="F6705" s="11"/>
      <c r="G6705" s="13">
        <f t="shared" si="1"/>
        <v>1281</v>
      </c>
      <c r="H6705" s="13"/>
    </row>
    <row r="6706" ht="22.5" customHeight="1">
      <c r="B6706" s="17"/>
      <c r="C6706" s="17"/>
      <c r="D6706" s="13"/>
      <c r="E6706" s="11"/>
      <c r="F6706" s="11"/>
      <c r="G6706" s="13">
        <f t="shared" si="1"/>
        <v>1281</v>
      </c>
      <c r="H6706" s="13"/>
    </row>
    <row r="6707" ht="22.5" customHeight="1">
      <c r="B6707" s="17"/>
      <c r="C6707" s="17"/>
      <c r="D6707" s="13"/>
      <c r="E6707" s="11"/>
      <c r="F6707" s="11"/>
      <c r="G6707" s="13">
        <f t="shared" si="1"/>
        <v>1281</v>
      </c>
      <c r="H6707" s="13"/>
    </row>
    <row r="6708" ht="22.5" customHeight="1">
      <c r="B6708" s="17"/>
      <c r="C6708" s="17"/>
      <c r="D6708" s="13"/>
      <c r="E6708" s="11"/>
      <c r="F6708" s="11"/>
      <c r="G6708" s="13">
        <f t="shared" si="1"/>
        <v>1281</v>
      </c>
      <c r="H6708" s="13"/>
    </row>
    <row r="6709" ht="22.5" customHeight="1">
      <c r="B6709" s="17"/>
      <c r="C6709" s="17"/>
      <c r="D6709" s="13"/>
      <c r="E6709" s="11"/>
      <c r="F6709" s="11"/>
      <c r="G6709" s="13">
        <f t="shared" si="1"/>
        <v>1281</v>
      </c>
      <c r="H6709" s="13"/>
    </row>
    <row r="6710" ht="22.5" customHeight="1">
      <c r="B6710" s="17"/>
      <c r="C6710" s="17"/>
      <c r="D6710" s="13"/>
      <c r="E6710" s="11"/>
      <c r="F6710" s="11"/>
      <c r="G6710" s="13">
        <f t="shared" si="1"/>
        <v>1281</v>
      </c>
      <c r="H6710" s="13"/>
    </row>
    <row r="6711" ht="22.5" customHeight="1">
      <c r="B6711" s="17"/>
      <c r="C6711" s="17"/>
      <c r="D6711" s="13"/>
      <c r="E6711" s="11"/>
      <c r="F6711" s="11"/>
      <c r="G6711" s="13">
        <f t="shared" si="1"/>
        <v>1281</v>
      </c>
      <c r="H6711" s="13"/>
    </row>
    <row r="6712" ht="22.5" customHeight="1">
      <c r="B6712" s="17"/>
      <c r="C6712" s="17"/>
      <c r="D6712" s="13"/>
      <c r="E6712" s="11"/>
      <c r="F6712" s="11"/>
      <c r="G6712" s="13">
        <f t="shared" si="1"/>
        <v>1281</v>
      </c>
      <c r="H6712" s="13"/>
    </row>
    <row r="6713" ht="22.5" customHeight="1">
      <c r="B6713" s="17"/>
      <c r="C6713" s="17"/>
      <c r="D6713" s="13"/>
      <c r="E6713" s="11"/>
      <c r="F6713" s="11"/>
      <c r="G6713" s="13">
        <f t="shared" si="1"/>
        <v>1281</v>
      </c>
      <c r="H6713" s="13"/>
    </row>
    <row r="6714" ht="22.5" customHeight="1">
      <c r="B6714" s="17"/>
      <c r="C6714" s="17"/>
      <c r="D6714" s="13"/>
      <c r="E6714" s="11"/>
      <c r="F6714" s="11"/>
      <c r="G6714" s="13">
        <f t="shared" si="1"/>
        <v>1281</v>
      </c>
      <c r="H6714" s="13"/>
    </row>
    <row r="6715" ht="22.5" customHeight="1">
      <c r="B6715" s="17"/>
      <c r="C6715" s="17"/>
      <c r="D6715" s="13"/>
      <c r="E6715" s="11"/>
      <c r="F6715" s="11"/>
      <c r="G6715" s="13">
        <f t="shared" si="1"/>
        <v>1281</v>
      </c>
      <c r="H6715" s="13"/>
    </row>
    <row r="6716" ht="22.5" customHeight="1">
      <c r="B6716" s="17"/>
      <c r="C6716" s="17"/>
      <c r="D6716" s="13"/>
      <c r="E6716" s="11"/>
      <c r="F6716" s="11"/>
      <c r="G6716" s="13">
        <f t="shared" si="1"/>
        <v>1281</v>
      </c>
      <c r="H6716" s="13"/>
    </row>
    <row r="6717" ht="22.5" customHeight="1">
      <c r="B6717" s="17"/>
      <c r="C6717" s="17"/>
      <c r="D6717" s="13"/>
      <c r="E6717" s="11"/>
      <c r="F6717" s="11"/>
      <c r="G6717" s="13">
        <f t="shared" si="1"/>
        <v>1281</v>
      </c>
      <c r="H6717" s="13"/>
    </row>
    <row r="6718" ht="22.5" customHeight="1">
      <c r="B6718" s="17"/>
      <c r="C6718" s="17"/>
      <c r="D6718" s="13"/>
      <c r="E6718" s="11"/>
      <c r="F6718" s="11"/>
      <c r="G6718" s="13">
        <f t="shared" si="1"/>
        <v>1281</v>
      </c>
      <c r="H6718" s="13"/>
    </row>
    <row r="6719" ht="22.5" customHeight="1">
      <c r="B6719" s="17"/>
      <c r="C6719" s="17"/>
      <c r="D6719" s="13"/>
      <c r="E6719" s="11"/>
      <c r="F6719" s="11"/>
      <c r="G6719" s="13">
        <f t="shared" si="1"/>
        <v>1281</v>
      </c>
      <c r="H6719" s="13"/>
    </row>
    <row r="6720" ht="22.5" customHeight="1">
      <c r="B6720" s="17"/>
      <c r="C6720" s="17"/>
      <c r="D6720" s="13"/>
      <c r="E6720" s="11"/>
      <c r="F6720" s="11"/>
      <c r="G6720" s="13">
        <f t="shared" si="1"/>
        <v>1281</v>
      </c>
      <c r="H6720" s="13"/>
    </row>
    <row r="6721" ht="22.5" customHeight="1">
      <c r="B6721" s="17"/>
      <c r="C6721" s="17"/>
      <c r="D6721" s="13"/>
      <c r="E6721" s="11"/>
      <c r="F6721" s="11"/>
      <c r="G6721" s="13">
        <f t="shared" si="1"/>
        <v>1281</v>
      </c>
      <c r="H6721" s="13"/>
    </row>
    <row r="6722" ht="22.5" customHeight="1">
      <c r="B6722" s="17"/>
      <c r="C6722" s="17"/>
      <c r="D6722" s="13"/>
      <c r="E6722" s="11"/>
      <c r="F6722" s="11"/>
      <c r="G6722" s="13">
        <f t="shared" si="1"/>
        <v>1281</v>
      </c>
      <c r="H6722" s="13"/>
    </row>
    <row r="6723" ht="22.5" customHeight="1">
      <c r="B6723" s="17"/>
      <c r="C6723" s="17"/>
      <c r="D6723" s="13"/>
      <c r="E6723" s="11"/>
      <c r="F6723" s="11"/>
      <c r="G6723" s="13">
        <f t="shared" si="1"/>
        <v>1281</v>
      </c>
      <c r="H6723" s="13"/>
    </row>
    <row r="6724" ht="22.5" customHeight="1">
      <c r="B6724" s="17"/>
      <c r="C6724" s="17"/>
      <c r="D6724" s="13"/>
      <c r="E6724" s="11"/>
      <c r="F6724" s="11"/>
      <c r="G6724" s="13">
        <f t="shared" si="1"/>
        <v>1281</v>
      </c>
      <c r="H6724" s="13"/>
    </row>
    <row r="6725" ht="22.5" customHeight="1">
      <c r="B6725" s="17"/>
      <c r="C6725" s="17"/>
      <c r="D6725" s="13"/>
      <c r="E6725" s="11"/>
      <c r="F6725" s="11"/>
      <c r="G6725" s="13">
        <f t="shared" si="1"/>
        <v>1281</v>
      </c>
      <c r="H6725" s="13"/>
    </row>
    <row r="6726" ht="22.5" customHeight="1">
      <c r="B6726" s="17"/>
      <c r="C6726" s="17"/>
      <c r="D6726" s="13"/>
      <c r="E6726" s="11"/>
      <c r="F6726" s="11"/>
      <c r="G6726" s="13">
        <f t="shared" si="1"/>
        <v>1281</v>
      </c>
      <c r="H6726" s="13"/>
    </row>
    <row r="6727" ht="22.5" customHeight="1">
      <c r="B6727" s="17"/>
      <c r="C6727" s="17"/>
      <c r="D6727" s="13"/>
      <c r="E6727" s="11"/>
      <c r="F6727" s="11"/>
      <c r="G6727" s="13">
        <f t="shared" si="1"/>
        <v>1281</v>
      </c>
      <c r="H6727" s="13"/>
    </row>
    <row r="6728" ht="22.5" customHeight="1">
      <c r="B6728" s="17"/>
      <c r="C6728" s="17"/>
      <c r="D6728" s="13"/>
      <c r="E6728" s="11"/>
      <c r="F6728" s="11"/>
      <c r="G6728" s="13">
        <f t="shared" si="1"/>
        <v>1281</v>
      </c>
      <c r="H6728" s="13"/>
    </row>
    <row r="6729" ht="22.5" customHeight="1">
      <c r="B6729" s="17"/>
      <c r="C6729" s="17"/>
      <c r="D6729" s="13"/>
      <c r="E6729" s="11"/>
      <c r="F6729" s="11"/>
      <c r="G6729" s="13">
        <f t="shared" si="1"/>
        <v>1281</v>
      </c>
      <c r="H6729" s="13"/>
    </row>
    <row r="6730" ht="22.5" customHeight="1">
      <c r="B6730" s="17"/>
      <c r="C6730" s="17"/>
      <c r="D6730" s="13"/>
      <c r="E6730" s="11"/>
      <c r="F6730" s="11"/>
      <c r="G6730" s="13">
        <f t="shared" si="1"/>
        <v>1281</v>
      </c>
      <c r="H6730" s="13"/>
    </row>
    <row r="6731" ht="22.5" customHeight="1">
      <c r="B6731" s="17"/>
      <c r="C6731" s="17"/>
      <c r="D6731" s="13"/>
      <c r="E6731" s="11"/>
      <c r="F6731" s="11"/>
      <c r="G6731" s="13">
        <f t="shared" si="1"/>
        <v>1281</v>
      </c>
      <c r="H6731" s="13"/>
    </row>
    <row r="6732" ht="22.5" customHeight="1">
      <c r="B6732" s="17"/>
      <c r="C6732" s="17"/>
      <c r="D6732" s="13"/>
      <c r="E6732" s="11"/>
      <c r="F6732" s="11"/>
      <c r="G6732" s="13">
        <f t="shared" si="1"/>
        <v>1281</v>
      </c>
      <c r="H6732" s="13"/>
    </row>
    <row r="6733" ht="22.5" customHeight="1">
      <c r="B6733" s="17"/>
      <c r="C6733" s="17"/>
      <c r="D6733" s="13"/>
      <c r="E6733" s="11"/>
      <c r="F6733" s="11"/>
      <c r="G6733" s="13">
        <f t="shared" si="1"/>
        <v>1281</v>
      </c>
      <c r="H6733" s="13"/>
    </row>
    <row r="6734" ht="22.5" customHeight="1">
      <c r="B6734" s="17"/>
      <c r="C6734" s="17"/>
      <c r="D6734" s="13"/>
      <c r="E6734" s="11"/>
      <c r="F6734" s="11"/>
      <c r="G6734" s="13">
        <f t="shared" si="1"/>
        <v>1281</v>
      </c>
      <c r="H6734" s="13"/>
    </row>
    <row r="6735" ht="22.5" customHeight="1">
      <c r="B6735" s="17"/>
      <c r="C6735" s="17"/>
      <c r="D6735" s="13"/>
      <c r="E6735" s="11"/>
      <c r="F6735" s="11"/>
      <c r="G6735" s="13">
        <f t="shared" si="1"/>
        <v>1281</v>
      </c>
      <c r="H6735" s="13"/>
    </row>
    <row r="6736" ht="22.5" customHeight="1">
      <c r="B6736" s="17"/>
      <c r="C6736" s="17"/>
      <c r="D6736" s="13"/>
      <c r="E6736" s="11"/>
      <c r="F6736" s="11"/>
      <c r="G6736" s="13">
        <f t="shared" si="1"/>
        <v>1281</v>
      </c>
      <c r="H6736" s="13"/>
    </row>
    <row r="6737" ht="22.5" customHeight="1">
      <c r="B6737" s="17"/>
      <c r="C6737" s="17"/>
      <c r="D6737" s="13"/>
      <c r="E6737" s="11"/>
      <c r="F6737" s="11"/>
      <c r="G6737" s="13">
        <f t="shared" si="1"/>
        <v>1281</v>
      </c>
      <c r="H6737" s="13"/>
    </row>
    <row r="6738" ht="22.5" customHeight="1">
      <c r="B6738" s="17"/>
      <c r="C6738" s="17"/>
      <c r="D6738" s="13"/>
      <c r="E6738" s="11"/>
      <c r="F6738" s="11"/>
      <c r="G6738" s="13">
        <f t="shared" si="1"/>
        <v>1281</v>
      </c>
      <c r="H6738" s="13"/>
    </row>
    <row r="6739" ht="22.5" customHeight="1">
      <c r="B6739" s="17"/>
      <c r="C6739" s="17"/>
      <c r="D6739" s="13"/>
      <c r="E6739" s="11"/>
      <c r="F6739" s="11"/>
      <c r="G6739" s="13">
        <f t="shared" si="1"/>
        <v>1281</v>
      </c>
      <c r="H6739" s="13"/>
    </row>
    <row r="6740" ht="22.5" customHeight="1">
      <c r="B6740" s="17"/>
      <c r="C6740" s="17"/>
      <c r="D6740" s="13"/>
      <c r="E6740" s="11"/>
      <c r="F6740" s="11"/>
      <c r="G6740" s="13">
        <f t="shared" si="1"/>
        <v>1281</v>
      </c>
      <c r="H6740" s="13"/>
    </row>
    <row r="6741" ht="22.5" customHeight="1">
      <c r="B6741" s="17"/>
      <c r="C6741" s="17"/>
      <c r="D6741" s="13"/>
      <c r="E6741" s="11"/>
      <c r="F6741" s="11"/>
      <c r="G6741" s="13">
        <f t="shared" si="1"/>
        <v>1281</v>
      </c>
      <c r="H6741" s="13"/>
    </row>
    <row r="6742" ht="22.5" customHeight="1">
      <c r="B6742" s="17"/>
      <c r="C6742" s="17"/>
      <c r="D6742" s="13"/>
      <c r="E6742" s="11"/>
      <c r="F6742" s="11"/>
      <c r="G6742" s="13">
        <f t="shared" si="1"/>
        <v>1281</v>
      </c>
      <c r="H6742" s="13"/>
    </row>
    <row r="6743" ht="22.5" customHeight="1">
      <c r="B6743" s="17"/>
      <c r="C6743" s="17"/>
      <c r="D6743" s="13"/>
      <c r="E6743" s="11"/>
      <c r="F6743" s="11"/>
      <c r="G6743" s="13">
        <f t="shared" si="1"/>
        <v>1281</v>
      </c>
      <c r="H6743" s="13"/>
    </row>
    <row r="6744" ht="22.5" customHeight="1">
      <c r="B6744" s="17"/>
      <c r="C6744" s="17"/>
      <c r="D6744" s="13"/>
      <c r="E6744" s="11"/>
      <c r="F6744" s="11"/>
      <c r="G6744" s="13">
        <f t="shared" si="1"/>
        <v>1281</v>
      </c>
      <c r="H6744" s="13"/>
    </row>
    <row r="6745" ht="22.5" customHeight="1">
      <c r="B6745" s="17"/>
      <c r="C6745" s="17"/>
      <c r="D6745" s="13"/>
      <c r="E6745" s="11"/>
      <c r="F6745" s="11"/>
      <c r="G6745" s="13">
        <f t="shared" si="1"/>
        <v>1281</v>
      </c>
      <c r="H6745" s="13"/>
    </row>
    <row r="6746" ht="22.5" customHeight="1">
      <c r="B6746" s="17"/>
      <c r="C6746" s="17"/>
      <c r="D6746" s="13"/>
      <c r="E6746" s="11"/>
      <c r="F6746" s="11"/>
      <c r="G6746" s="13">
        <f t="shared" si="1"/>
        <v>1281</v>
      </c>
      <c r="H6746" s="13"/>
    </row>
    <row r="6747" ht="22.5" customHeight="1">
      <c r="B6747" s="17"/>
      <c r="C6747" s="17"/>
      <c r="D6747" s="13"/>
      <c r="E6747" s="11"/>
      <c r="F6747" s="11"/>
      <c r="G6747" s="13">
        <f t="shared" si="1"/>
        <v>1281</v>
      </c>
      <c r="H6747" s="13"/>
    </row>
    <row r="6748" ht="22.5" customHeight="1">
      <c r="B6748" s="17"/>
      <c r="C6748" s="17"/>
      <c r="D6748" s="13"/>
      <c r="E6748" s="11"/>
      <c r="F6748" s="11"/>
      <c r="G6748" s="13">
        <f t="shared" si="1"/>
        <v>1281</v>
      </c>
      <c r="H6748" s="13"/>
    </row>
    <row r="6749" ht="22.5" customHeight="1">
      <c r="B6749" s="17"/>
      <c r="C6749" s="17"/>
      <c r="D6749" s="13"/>
      <c r="E6749" s="11"/>
      <c r="F6749" s="11"/>
      <c r="G6749" s="13">
        <f t="shared" si="1"/>
        <v>1281</v>
      </c>
      <c r="H6749" s="13"/>
    </row>
    <row r="6750" ht="22.5" customHeight="1">
      <c r="B6750" s="17"/>
      <c r="C6750" s="17"/>
      <c r="D6750" s="13"/>
      <c r="E6750" s="11"/>
      <c r="F6750" s="11"/>
      <c r="G6750" s="13">
        <f t="shared" si="1"/>
        <v>1281</v>
      </c>
      <c r="H6750" s="13"/>
    </row>
    <row r="6751" ht="22.5" customHeight="1">
      <c r="B6751" s="17"/>
      <c r="C6751" s="17"/>
      <c r="D6751" s="13"/>
      <c r="E6751" s="11"/>
      <c r="F6751" s="11"/>
      <c r="G6751" s="13">
        <f t="shared" si="1"/>
        <v>1281</v>
      </c>
      <c r="H6751" s="13"/>
    </row>
    <row r="6752" ht="22.5" customHeight="1">
      <c r="B6752" s="17"/>
      <c r="C6752" s="17"/>
      <c r="D6752" s="13"/>
      <c r="E6752" s="11"/>
      <c r="F6752" s="11"/>
      <c r="G6752" s="13">
        <f t="shared" si="1"/>
        <v>1281</v>
      </c>
      <c r="H6752" s="13"/>
    </row>
    <row r="6753" ht="22.5" customHeight="1">
      <c r="B6753" s="17"/>
      <c r="C6753" s="17"/>
      <c r="D6753" s="13"/>
      <c r="E6753" s="11"/>
      <c r="F6753" s="11"/>
      <c r="G6753" s="13">
        <f t="shared" si="1"/>
        <v>1281</v>
      </c>
      <c r="H6753" s="13"/>
    </row>
    <row r="6754" ht="22.5" customHeight="1">
      <c r="B6754" s="17"/>
      <c r="C6754" s="17"/>
      <c r="D6754" s="13"/>
      <c r="E6754" s="11"/>
      <c r="F6754" s="11"/>
      <c r="G6754" s="13">
        <f t="shared" si="1"/>
        <v>1281</v>
      </c>
      <c r="H6754" s="13"/>
    </row>
    <row r="6755" ht="22.5" customHeight="1">
      <c r="B6755" s="17"/>
      <c r="C6755" s="17"/>
      <c r="D6755" s="13"/>
      <c r="E6755" s="11"/>
      <c r="F6755" s="11"/>
      <c r="G6755" s="13">
        <f t="shared" si="1"/>
        <v>1281</v>
      </c>
      <c r="H6755" s="13"/>
    </row>
    <row r="6756" ht="22.5" customHeight="1">
      <c r="B6756" s="17"/>
      <c r="C6756" s="17"/>
      <c r="D6756" s="13"/>
      <c r="E6756" s="11"/>
      <c r="F6756" s="11"/>
      <c r="G6756" s="13">
        <f t="shared" si="1"/>
        <v>1281</v>
      </c>
      <c r="H6756" s="13"/>
    </row>
    <row r="6757" ht="22.5" customHeight="1">
      <c r="B6757" s="17"/>
      <c r="C6757" s="17"/>
      <c r="D6757" s="13"/>
      <c r="E6757" s="11"/>
      <c r="F6757" s="11"/>
      <c r="G6757" s="13">
        <f t="shared" si="1"/>
        <v>1281</v>
      </c>
      <c r="H6757" s="13"/>
    </row>
    <row r="6758" ht="22.5" customHeight="1">
      <c r="B6758" s="17"/>
      <c r="C6758" s="17"/>
      <c r="D6758" s="13"/>
      <c r="E6758" s="11"/>
      <c r="F6758" s="11"/>
      <c r="G6758" s="13">
        <f t="shared" si="1"/>
        <v>1281</v>
      </c>
      <c r="H6758" s="13"/>
    </row>
    <row r="6759" ht="22.5" customHeight="1">
      <c r="B6759" s="17"/>
      <c r="C6759" s="17"/>
      <c r="D6759" s="13"/>
      <c r="E6759" s="11"/>
      <c r="F6759" s="11"/>
      <c r="G6759" s="13">
        <f t="shared" si="1"/>
        <v>1281</v>
      </c>
      <c r="H6759" s="13"/>
    </row>
    <row r="6760" ht="22.5" customHeight="1">
      <c r="B6760" s="17"/>
      <c r="C6760" s="17"/>
      <c r="D6760" s="13"/>
      <c r="E6760" s="11"/>
      <c r="F6760" s="11"/>
      <c r="G6760" s="13">
        <f t="shared" si="1"/>
        <v>1281</v>
      </c>
      <c r="H6760" s="13"/>
    </row>
    <row r="6761" ht="22.5" customHeight="1">
      <c r="B6761" s="17"/>
      <c r="C6761" s="17"/>
      <c r="D6761" s="13"/>
      <c r="E6761" s="11"/>
      <c r="F6761" s="11"/>
      <c r="G6761" s="13">
        <f t="shared" si="1"/>
        <v>1281</v>
      </c>
      <c r="H6761" s="13"/>
    </row>
    <row r="6762" ht="22.5" customHeight="1">
      <c r="B6762" s="17"/>
      <c r="C6762" s="17"/>
      <c r="D6762" s="13"/>
      <c r="E6762" s="11"/>
      <c r="F6762" s="11"/>
      <c r="G6762" s="13">
        <f t="shared" si="1"/>
        <v>1281</v>
      </c>
      <c r="H6762" s="13"/>
    </row>
    <row r="6763" ht="22.5" customHeight="1">
      <c r="B6763" s="17"/>
      <c r="C6763" s="17"/>
      <c r="D6763" s="13"/>
      <c r="E6763" s="11"/>
      <c r="F6763" s="11"/>
      <c r="G6763" s="13">
        <f t="shared" si="1"/>
        <v>1281</v>
      </c>
      <c r="H6763" s="13"/>
    </row>
    <row r="6764" ht="22.5" customHeight="1">
      <c r="B6764" s="17"/>
      <c r="C6764" s="17"/>
      <c r="D6764" s="13"/>
      <c r="E6764" s="11"/>
      <c r="F6764" s="11"/>
      <c r="G6764" s="13">
        <f t="shared" si="1"/>
        <v>1281</v>
      </c>
      <c r="H6764" s="13"/>
    </row>
    <row r="6765" ht="22.5" customHeight="1">
      <c r="B6765" s="17"/>
      <c r="C6765" s="17"/>
      <c r="D6765" s="13"/>
      <c r="E6765" s="11"/>
      <c r="F6765" s="11"/>
      <c r="G6765" s="13">
        <f t="shared" si="1"/>
        <v>1281</v>
      </c>
      <c r="H6765" s="13"/>
    </row>
    <row r="6766" ht="22.5" customHeight="1">
      <c r="B6766" s="17"/>
      <c r="C6766" s="17"/>
      <c r="D6766" s="13"/>
      <c r="E6766" s="11"/>
      <c r="F6766" s="11"/>
      <c r="G6766" s="13">
        <f t="shared" si="1"/>
        <v>1281</v>
      </c>
      <c r="H6766" s="13"/>
    </row>
    <row r="6767" ht="22.5" customHeight="1">
      <c r="B6767" s="17"/>
      <c r="C6767" s="17"/>
      <c r="D6767" s="13"/>
      <c r="E6767" s="11"/>
      <c r="F6767" s="11"/>
      <c r="G6767" s="13">
        <f t="shared" si="1"/>
        <v>1281</v>
      </c>
      <c r="H6767" s="13"/>
    </row>
    <row r="6768" ht="22.5" customHeight="1">
      <c r="B6768" s="17"/>
      <c r="C6768" s="17"/>
      <c r="D6768" s="13"/>
      <c r="E6768" s="11"/>
      <c r="F6768" s="11"/>
      <c r="G6768" s="13">
        <f t="shared" si="1"/>
        <v>1281</v>
      </c>
      <c r="H6768" s="13"/>
    </row>
    <row r="6769" ht="22.5" customHeight="1">
      <c r="B6769" s="17"/>
      <c r="C6769" s="17"/>
      <c r="D6769" s="13"/>
      <c r="E6769" s="11"/>
      <c r="F6769" s="11"/>
      <c r="G6769" s="13">
        <f t="shared" si="1"/>
        <v>1281</v>
      </c>
      <c r="H6769" s="13"/>
    </row>
    <row r="6770" ht="22.5" customHeight="1">
      <c r="B6770" s="17"/>
      <c r="C6770" s="17"/>
      <c r="D6770" s="13"/>
      <c r="E6770" s="11"/>
      <c r="F6770" s="11"/>
      <c r="G6770" s="13">
        <f t="shared" si="1"/>
        <v>1281</v>
      </c>
      <c r="H6770" s="13"/>
    </row>
    <row r="6771" ht="22.5" customHeight="1">
      <c r="B6771" s="17"/>
      <c r="C6771" s="17"/>
      <c r="D6771" s="13"/>
      <c r="E6771" s="11"/>
      <c r="F6771" s="11"/>
      <c r="G6771" s="13">
        <f t="shared" si="1"/>
        <v>1281</v>
      </c>
      <c r="H6771" s="13"/>
    </row>
    <row r="6772" ht="22.5" customHeight="1">
      <c r="B6772" s="17"/>
      <c r="C6772" s="17"/>
      <c r="D6772" s="13"/>
      <c r="E6772" s="11"/>
      <c r="F6772" s="11"/>
      <c r="G6772" s="13">
        <f t="shared" si="1"/>
        <v>1281</v>
      </c>
      <c r="H6772" s="13"/>
    </row>
    <row r="6773" ht="22.5" customHeight="1">
      <c r="B6773" s="17"/>
      <c r="C6773" s="17"/>
      <c r="D6773" s="13"/>
      <c r="E6773" s="11"/>
      <c r="F6773" s="11"/>
      <c r="G6773" s="13">
        <f t="shared" si="1"/>
        <v>1281</v>
      </c>
      <c r="H6773" s="13"/>
    </row>
    <row r="6774" ht="22.5" customHeight="1">
      <c r="B6774" s="17"/>
      <c r="C6774" s="17"/>
      <c r="D6774" s="13"/>
      <c r="E6774" s="11"/>
      <c r="F6774" s="11"/>
      <c r="G6774" s="13">
        <f t="shared" si="1"/>
        <v>1281</v>
      </c>
      <c r="H6774" s="13"/>
    </row>
    <row r="6775" ht="22.5" customHeight="1">
      <c r="B6775" s="17"/>
      <c r="C6775" s="17"/>
      <c r="D6775" s="13"/>
      <c r="E6775" s="11"/>
      <c r="F6775" s="11"/>
      <c r="G6775" s="13">
        <f t="shared" si="1"/>
        <v>1281</v>
      </c>
      <c r="H6775" s="13"/>
    </row>
    <row r="6776" ht="22.5" customHeight="1">
      <c r="B6776" s="17"/>
      <c r="C6776" s="17"/>
      <c r="D6776" s="13"/>
      <c r="E6776" s="11"/>
      <c r="F6776" s="11"/>
      <c r="G6776" s="13">
        <f t="shared" si="1"/>
        <v>1281</v>
      </c>
      <c r="H6776" s="13"/>
    </row>
    <row r="6777" ht="22.5" customHeight="1">
      <c r="B6777" s="17"/>
      <c r="C6777" s="17"/>
      <c r="D6777" s="13"/>
      <c r="E6777" s="11"/>
      <c r="F6777" s="11"/>
      <c r="G6777" s="13">
        <f t="shared" si="1"/>
        <v>1281</v>
      </c>
      <c r="H6777" s="13"/>
    </row>
    <row r="6778" ht="22.5" customHeight="1">
      <c r="B6778" s="17"/>
      <c r="C6778" s="17"/>
      <c r="D6778" s="13"/>
      <c r="E6778" s="11"/>
      <c r="F6778" s="11"/>
      <c r="G6778" s="13">
        <f t="shared" si="1"/>
        <v>1281</v>
      </c>
      <c r="H6778" s="13"/>
    </row>
    <row r="6779" ht="22.5" customHeight="1">
      <c r="B6779" s="17"/>
      <c r="C6779" s="17"/>
      <c r="D6779" s="13"/>
      <c r="E6779" s="11"/>
      <c r="F6779" s="11"/>
      <c r="G6779" s="13">
        <f t="shared" si="1"/>
        <v>1281</v>
      </c>
      <c r="H6779" s="13"/>
    </row>
    <row r="6780" ht="22.5" customHeight="1">
      <c r="B6780" s="17"/>
      <c r="C6780" s="17"/>
      <c r="D6780" s="13"/>
      <c r="E6780" s="11"/>
      <c r="F6780" s="11"/>
      <c r="G6780" s="13">
        <f t="shared" si="1"/>
        <v>1281</v>
      </c>
      <c r="H6780" s="13"/>
    </row>
    <row r="6781" ht="22.5" customHeight="1">
      <c r="B6781" s="17"/>
      <c r="C6781" s="17"/>
      <c r="D6781" s="13"/>
      <c r="E6781" s="11"/>
      <c r="F6781" s="11"/>
      <c r="G6781" s="13">
        <f t="shared" si="1"/>
        <v>1281</v>
      </c>
      <c r="H6781" s="13"/>
    </row>
    <row r="6782" ht="22.5" customHeight="1">
      <c r="B6782" s="17"/>
      <c r="C6782" s="17"/>
      <c r="D6782" s="13"/>
      <c r="E6782" s="11"/>
      <c r="F6782" s="11"/>
      <c r="G6782" s="13">
        <f t="shared" si="1"/>
        <v>1281</v>
      </c>
      <c r="H6782" s="13"/>
    </row>
    <row r="6783" ht="22.5" customHeight="1">
      <c r="B6783" s="17"/>
      <c r="C6783" s="17"/>
      <c r="D6783" s="13"/>
      <c r="E6783" s="11"/>
      <c r="F6783" s="11"/>
      <c r="G6783" s="13">
        <f t="shared" si="1"/>
        <v>1281</v>
      </c>
      <c r="H6783" s="13"/>
    </row>
    <row r="6784" ht="22.5" customHeight="1">
      <c r="B6784" s="17"/>
      <c r="C6784" s="17"/>
      <c r="D6784" s="13"/>
      <c r="E6784" s="11"/>
      <c r="F6784" s="11"/>
      <c r="G6784" s="13">
        <f t="shared" si="1"/>
        <v>1281</v>
      </c>
      <c r="H6784" s="13"/>
    </row>
    <row r="6785" ht="22.5" customHeight="1">
      <c r="B6785" s="17"/>
      <c r="C6785" s="17"/>
      <c r="D6785" s="13"/>
      <c r="E6785" s="11"/>
      <c r="F6785" s="11"/>
      <c r="G6785" s="13">
        <f t="shared" si="1"/>
        <v>1281</v>
      </c>
      <c r="H6785" s="13"/>
    </row>
    <row r="6786" ht="22.5" customHeight="1">
      <c r="B6786" s="17"/>
      <c r="C6786" s="17"/>
      <c r="D6786" s="13"/>
      <c r="E6786" s="11"/>
      <c r="F6786" s="11"/>
      <c r="G6786" s="13">
        <f t="shared" si="1"/>
        <v>1281</v>
      </c>
      <c r="H6786" s="13"/>
    </row>
    <row r="6787" ht="22.5" customHeight="1">
      <c r="B6787" s="17"/>
      <c r="C6787" s="17"/>
      <c r="D6787" s="13"/>
      <c r="E6787" s="11"/>
      <c r="F6787" s="11"/>
      <c r="G6787" s="13">
        <f t="shared" si="1"/>
        <v>1281</v>
      </c>
      <c r="H6787" s="13"/>
    </row>
    <row r="6788" ht="22.5" customHeight="1">
      <c r="B6788" s="17"/>
      <c r="C6788" s="17"/>
      <c r="D6788" s="13"/>
      <c r="E6788" s="11"/>
      <c r="F6788" s="11"/>
      <c r="G6788" s="13">
        <f t="shared" si="1"/>
        <v>1281</v>
      </c>
      <c r="H6788" s="13"/>
    </row>
    <row r="6789" ht="22.5" customHeight="1">
      <c r="B6789" s="17"/>
      <c r="C6789" s="17"/>
      <c r="D6789" s="13"/>
      <c r="E6789" s="11"/>
      <c r="F6789" s="11"/>
      <c r="G6789" s="13">
        <f t="shared" si="1"/>
        <v>1281</v>
      </c>
      <c r="H6789" s="13"/>
    </row>
    <row r="6790" ht="22.5" customHeight="1">
      <c r="B6790" s="17"/>
      <c r="C6790" s="17"/>
      <c r="D6790" s="13"/>
      <c r="E6790" s="11"/>
      <c r="F6790" s="11"/>
      <c r="G6790" s="13">
        <f t="shared" si="1"/>
        <v>1281</v>
      </c>
      <c r="H6790" s="13"/>
    </row>
    <row r="6791" ht="22.5" customHeight="1">
      <c r="B6791" s="17"/>
      <c r="C6791" s="17"/>
      <c r="D6791" s="13"/>
      <c r="E6791" s="11"/>
      <c r="F6791" s="11"/>
      <c r="G6791" s="13">
        <f t="shared" si="1"/>
        <v>1281</v>
      </c>
      <c r="H6791" s="13"/>
    </row>
    <row r="6792" ht="22.5" customHeight="1">
      <c r="B6792" s="17"/>
      <c r="C6792" s="17"/>
      <c r="D6792" s="13"/>
      <c r="E6792" s="11"/>
      <c r="F6792" s="11"/>
      <c r="G6792" s="13">
        <f t="shared" si="1"/>
        <v>1281</v>
      </c>
      <c r="H6792" s="13"/>
    </row>
    <row r="6793" ht="22.5" customHeight="1">
      <c r="B6793" s="17"/>
      <c r="C6793" s="17"/>
      <c r="D6793" s="13"/>
      <c r="E6793" s="11"/>
      <c r="F6793" s="11"/>
      <c r="G6793" s="13">
        <f t="shared" si="1"/>
        <v>1281</v>
      </c>
      <c r="H6793" s="13"/>
    </row>
    <row r="6794" ht="22.5" customHeight="1">
      <c r="B6794" s="17"/>
      <c r="C6794" s="17"/>
      <c r="D6794" s="13"/>
      <c r="E6794" s="11"/>
      <c r="F6794" s="11"/>
      <c r="G6794" s="13">
        <f t="shared" si="1"/>
        <v>1281</v>
      </c>
      <c r="H6794" s="13"/>
    </row>
    <row r="6795" ht="22.5" customHeight="1">
      <c r="B6795" s="17"/>
      <c r="C6795" s="17"/>
      <c r="D6795" s="13"/>
      <c r="E6795" s="11"/>
      <c r="F6795" s="11"/>
      <c r="G6795" s="13">
        <f t="shared" si="1"/>
        <v>1281</v>
      </c>
      <c r="H6795" s="13"/>
    </row>
    <row r="6796" ht="22.5" customHeight="1">
      <c r="B6796" s="17"/>
      <c r="C6796" s="17"/>
      <c r="D6796" s="13"/>
      <c r="E6796" s="11"/>
      <c r="F6796" s="11"/>
      <c r="G6796" s="13">
        <f t="shared" si="1"/>
        <v>1281</v>
      </c>
      <c r="H6796" s="13"/>
    </row>
    <row r="6797" ht="22.5" customHeight="1">
      <c r="B6797" s="17"/>
      <c r="C6797" s="17"/>
      <c r="D6797" s="13"/>
      <c r="E6797" s="11"/>
      <c r="F6797" s="11"/>
      <c r="G6797" s="13">
        <f t="shared" si="1"/>
        <v>1281</v>
      </c>
      <c r="H6797" s="13"/>
    </row>
    <row r="6798" ht="22.5" customHeight="1">
      <c r="B6798" s="17"/>
      <c r="C6798" s="17"/>
      <c r="D6798" s="13"/>
      <c r="E6798" s="11"/>
      <c r="F6798" s="11"/>
      <c r="G6798" s="13">
        <f t="shared" si="1"/>
        <v>1281</v>
      </c>
      <c r="H6798" s="13"/>
    </row>
    <row r="6799" ht="22.5" customHeight="1">
      <c r="B6799" s="17"/>
      <c r="C6799" s="17"/>
      <c r="D6799" s="13"/>
      <c r="E6799" s="11"/>
      <c r="F6799" s="11"/>
      <c r="G6799" s="13">
        <f t="shared" si="1"/>
        <v>1281</v>
      </c>
      <c r="H6799" s="13"/>
    </row>
    <row r="6800" ht="22.5" customHeight="1">
      <c r="B6800" s="17"/>
      <c r="C6800" s="17"/>
      <c r="D6800" s="13"/>
      <c r="E6800" s="11"/>
      <c r="F6800" s="11"/>
      <c r="G6800" s="13">
        <f t="shared" si="1"/>
        <v>1281</v>
      </c>
      <c r="H6800" s="13"/>
    </row>
    <row r="6801" ht="22.5" customHeight="1">
      <c r="B6801" s="17"/>
      <c r="C6801" s="17"/>
      <c r="D6801" s="13"/>
      <c r="E6801" s="11"/>
      <c r="F6801" s="11"/>
      <c r="G6801" s="13">
        <f t="shared" si="1"/>
        <v>1281</v>
      </c>
      <c r="H6801" s="13"/>
    </row>
    <row r="6802" ht="22.5" customHeight="1">
      <c r="B6802" s="17"/>
      <c r="C6802" s="17"/>
      <c r="D6802" s="13"/>
      <c r="E6802" s="11"/>
      <c r="F6802" s="11"/>
      <c r="G6802" s="13">
        <f t="shared" si="1"/>
        <v>1281</v>
      </c>
      <c r="H6802" s="13"/>
    </row>
    <row r="6803" ht="22.5" customHeight="1">
      <c r="B6803" s="17"/>
      <c r="C6803" s="17"/>
      <c r="D6803" s="13"/>
      <c r="E6803" s="11"/>
      <c r="F6803" s="11"/>
      <c r="G6803" s="13">
        <f t="shared" si="1"/>
        <v>1281</v>
      </c>
      <c r="H6803" s="13"/>
    </row>
    <row r="6804" ht="22.5" customHeight="1">
      <c r="B6804" s="17"/>
      <c r="C6804" s="17"/>
      <c r="D6804" s="13"/>
      <c r="E6804" s="11"/>
      <c r="F6804" s="11"/>
      <c r="G6804" s="13">
        <f t="shared" si="1"/>
        <v>1281</v>
      </c>
      <c r="H6804" s="13"/>
    </row>
    <row r="6805" ht="22.5" customHeight="1">
      <c r="B6805" s="17"/>
      <c r="C6805" s="17"/>
      <c r="D6805" s="13"/>
      <c r="E6805" s="11"/>
      <c r="F6805" s="11"/>
      <c r="G6805" s="13">
        <f t="shared" si="1"/>
        <v>1281</v>
      </c>
      <c r="H6805" s="13"/>
    </row>
    <row r="6806" ht="22.5" customHeight="1">
      <c r="B6806" s="17"/>
      <c r="C6806" s="17"/>
      <c r="D6806" s="13"/>
      <c r="E6806" s="11"/>
      <c r="F6806" s="11"/>
      <c r="G6806" s="13">
        <f t="shared" si="1"/>
        <v>1281</v>
      </c>
      <c r="H6806" s="13"/>
    </row>
    <row r="6807" ht="22.5" customHeight="1">
      <c r="B6807" s="17"/>
      <c r="C6807" s="17"/>
      <c r="D6807" s="13"/>
      <c r="E6807" s="11"/>
      <c r="F6807" s="11"/>
      <c r="G6807" s="13">
        <f t="shared" si="1"/>
        <v>1281</v>
      </c>
      <c r="H6807" s="13"/>
    </row>
    <row r="6808" ht="22.5" customHeight="1">
      <c r="B6808" s="17"/>
      <c r="C6808" s="17"/>
      <c r="D6808" s="13"/>
      <c r="E6808" s="11"/>
      <c r="F6808" s="11"/>
      <c r="G6808" s="13">
        <f t="shared" si="1"/>
        <v>1281</v>
      </c>
      <c r="H6808" s="13"/>
    </row>
    <row r="6809" ht="22.5" customHeight="1">
      <c r="B6809" s="17"/>
      <c r="C6809" s="17"/>
      <c r="D6809" s="13"/>
      <c r="E6809" s="11"/>
      <c r="F6809" s="11"/>
      <c r="G6809" s="13">
        <f t="shared" si="1"/>
        <v>1281</v>
      </c>
      <c r="H6809" s="13"/>
    </row>
    <row r="6810" ht="22.5" customHeight="1">
      <c r="B6810" s="17"/>
      <c r="C6810" s="17"/>
      <c r="D6810" s="13"/>
      <c r="E6810" s="11"/>
      <c r="F6810" s="11"/>
      <c r="G6810" s="13">
        <f t="shared" si="1"/>
        <v>1281</v>
      </c>
      <c r="H6810" s="13"/>
    </row>
    <row r="6811" ht="22.5" customHeight="1">
      <c r="B6811" s="17"/>
      <c r="C6811" s="17"/>
      <c r="D6811" s="13"/>
      <c r="E6811" s="11"/>
      <c r="F6811" s="11"/>
      <c r="G6811" s="13">
        <f t="shared" si="1"/>
        <v>1281</v>
      </c>
      <c r="H6811" s="13"/>
    </row>
    <row r="6812" ht="22.5" customHeight="1">
      <c r="B6812" s="17"/>
      <c r="C6812" s="17"/>
      <c r="D6812" s="13"/>
      <c r="E6812" s="11"/>
      <c r="F6812" s="11"/>
      <c r="G6812" s="13">
        <f t="shared" si="1"/>
        <v>1281</v>
      </c>
      <c r="H6812" s="13"/>
    </row>
    <row r="6813" ht="22.5" customHeight="1">
      <c r="B6813" s="17"/>
      <c r="C6813" s="17"/>
      <c r="D6813" s="13"/>
      <c r="E6813" s="11"/>
      <c r="F6813" s="11"/>
      <c r="G6813" s="13">
        <f t="shared" si="1"/>
        <v>1281</v>
      </c>
      <c r="H6813" s="13"/>
    </row>
    <row r="6814" ht="22.5" customHeight="1">
      <c r="B6814" s="17"/>
      <c r="C6814" s="17"/>
      <c r="D6814" s="13"/>
      <c r="E6814" s="11"/>
      <c r="F6814" s="11"/>
      <c r="G6814" s="13">
        <f t="shared" si="1"/>
        <v>1281</v>
      </c>
      <c r="H6814" s="13"/>
    </row>
    <row r="6815" ht="22.5" customHeight="1">
      <c r="B6815" s="17"/>
      <c r="C6815" s="17"/>
      <c r="D6815" s="13"/>
      <c r="E6815" s="11"/>
      <c r="F6815" s="11"/>
      <c r="G6815" s="13">
        <f t="shared" si="1"/>
        <v>1281</v>
      </c>
      <c r="H6815" s="13"/>
    </row>
    <row r="6816" ht="22.5" customHeight="1">
      <c r="B6816" s="17"/>
      <c r="C6816" s="17"/>
      <c r="D6816" s="13"/>
      <c r="E6816" s="11"/>
      <c r="F6816" s="11"/>
      <c r="G6816" s="13">
        <f t="shared" si="1"/>
        <v>1281</v>
      </c>
      <c r="H6816" s="13"/>
    </row>
    <row r="6817" ht="22.5" customHeight="1">
      <c r="B6817" s="17"/>
      <c r="C6817" s="17"/>
      <c r="D6817" s="13"/>
      <c r="E6817" s="11"/>
      <c r="F6817" s="11"/>
      <c r="G6817" s="13">
        <f t="shared" si="1"/>
        <v>1281</v>
      </c>
      <c r="H6817" s="13"/>
    </row>
    <row r="6818" ht="22.5" customHeight="1">
      <c r="B6818" s="17"/>
      <c r="C6818" s="17"/>
      <c r="D6818" s="13"/>
      <c r="E6818" s="11"/>
      <c r="F6818" s="11"/>
      <c r="G6818" s="13">
        <f t="shared" si="1"/>
        <v>1281</v>
      </c>
      <c r="H6818" s="13"/>
    </row>
    <row r="6819" ht="22.5" customHeight="1">
      <c r="B6819" s="17"/>
      <c r="C6819" s="17"/>
      <c r="D6819" s="13"/>
      <c r="E6819" s="11"/>
      <c r="F6819" s="11"/>
      <c r="G6819" s="13">
        <f t="shared" si="1"/>
        <v>1281</v>
      </c>
      <c r="H6819" s="13"/>
    </row>
    <row r="6820" ht="22.5" customHeight="1">
      <c r="B6820" s="17"/>
      <c r="C6820" s="17"/>
      <c r="D6820" s="13"/>
      <c r="E6820" s="11"/>
      <c r="F6820" s="11"/>
      <c r="G6820" s="13">
        <f t="shared" si="1"/>
        <v>1281</v>
      </c>
      <c r="H6820" s="13"/>
    </row>
    <row r="6821" ht="22.5" customHeight="1">
      <c r="B6821" s="17"/>
      <c r="C6821" s="17"/>
      <c r="D6821" s="13"/>
      <c r="E6821" s="11"/>
      <c r="F6821" s="11"/>
      <c r="G6821" s="13">
        <f t="shared" si="1"/>
        <v>1281</v>
      </c>
      <c r="H6821" s="13"/>
    </row>
    <row r="6822" ht="22.5" customHeight="1">
      <c r="B6822" s="17"/>
      <c r="C6822" s="17"/>
      <c r="D6822" s="13"/>
      <c r="E6822" s="11"/>
      <c r="F6822" s="11"/>
      <c r="G6822" s="13">
        <f t="shared" si="1"/>
        <v>1281</v>
      </c>
      <c r="H6822" s="13"/>
    </row>
    <row r="6823" ht="22.5" customHeight="1">
      <c r="B6823" s="17"/>
      <c r="C6823" s="17"/>
      <c r="D6823" s="13"/>
      <c r="E6823" s="11"/>
      <c r="F6823" s="11"/>
      <c r="G6823" s="13">
        <f t="shared" si="1"/>
        <v>1281</v>
      </c>
      <c r="H6823" s="13"/>
    </row>
    <row r="6824" ht="22.5" customHeight="1">
      <c r="B6824" s="17"/>
      <c r="C6824" s="17"/>
      <c r="D6824" s="13"/>
      <c r="E6824" s="11"/>
      <c r="F6824" s="11"/>
      <c r="G6824" s="13">
        <f t="shared" si="1"/>
        <v>1281</v>
      </c>
      <c r="H6824" s="13"/>
    </row>
    <row r="6825" ht="22.5" customHeight="1">
      <c r="B6825" s="17"/>
      <c r="C6825" s="17"/>
      <c r="D6825" s="13"/>
      <c r="E6825" s="11"/>
      <c r="F6825" s="11"/>
      <c r="G6825" s="13">
        <f t="shared" si="1"/>
        <v>1281</v>
      </c>
      <c r="H6825" s="13"/>
    </row>
    <row r="6826" ht="22.5" customHeight="1">
      <c r="B6826" s="17"/>
      <c r="C6826" s="17"/>
      <c r="D6826" s="13"/>
      <c r="E6826" s="11"/>
      <c r="F6826" s="11"/>
      <c r="G6826" s="13">
        <f t="shared" si="1"/>
        <v>1281</v>
      </c>
      <c r="H6826" s="13"/>
    </row>
    <row r="6827" ht="22.5" customHeight="1">
      <c r="B6827" s="17"/>
      <c r="C6827" s="17"/>
      <c r="D6827" s="13"/>
      <c r="E6827" s="11"/>
      <c r="F6827" s="11"/>
      <c r="G6827" s="13">
        <f t="shared" si="1"/>
        <v>1281</v>
      </c>
      <c r="H6827" s="13"/>
    </row>
    <row r="6828" ht="22.5" customHeight="1">
      <c r="B6828" s="17"/>
      <c r="C6828" s="17"/>
      <c r="D6828" s="13"/>
      <c r="E6828" s="11"/>
      <c r="F6828" s="11"/>
      <c r="G6828" s="13">
        <f t="shared" si="1"/>
        <v>1281</v>
      </c>
      <c r="H6828" s="13"/>
    </row>
    <row r="6829" ht="22.5" customHeight="1">
      <c r="B6829" s="17"/>
      <c r="C6829" s="17"/>
      <c r="D6829" s="13"/>
      <c r="E6829" s="11"/>
      <c r="F6829" s="11"/>
      <c r="G6829" s="13">
        <f t="shared" si="1"/>
        <v>1281</v>
      </c>
      <c r="H6829" s="13"/>
    </row>
    <row r="6830" ht="22.5" customHeight="1">
      <c r="B6830" s="17"/>
      <c r="C6830" s="17"/>
      <c r="D6830" s="13"/>
      <c r="E6830" s="11"/>
      <c r="F6830" s="11"/>
      <c r="G6830" s="13">
        <f t="shared" si="1"/>
        <v>1281</v>
      </c>
      <c r="H6830" s="13"/>
    </row>
    <row r="6831" ht="22.5" customHeight="1">
      <c r="B6831" s="17"/>
      <c r="C6831" s="17"/>
      <c r="D6831" s="13"/>
      <c r="E6831" s="11"/>
      <c r="F6831" s="11"/>
      <c r="G6831" s="13">
        <f t="shared" si="1"/>
        <v>1281</v>
      </c>
      <c r="H6831" s="13"/>
    </row>
    <row r="6832" ht="22.5" customHeight="1">
      <c r="B6832" s="17"/>
      <c r="C6832" s="17"/>
      <c r="D6832" s="13"/>
      <c r="E6832" s="11"/>
      <c r="F6832" s="11"/>
      <c r="G6832" s="13">
        <f t="shared" si="1"/>
        <v>1281</v>
      </c>
      <c r="H6832" s="13"/>
    </row>
    <row r="6833" ht="22.5" customHeight="1">
      <c r="B6833" s="17"/>
      <c r="C6833" s="17"/>
      <c r="D6833" s="13"/>
      <c r="E6833" s="11"/>
      <c r="F6833" s="11"/>
      <c r="G6833" s="13">
        <f t="shared" si="1"/>
        <v>1281</v>
      </c>
      <c r="H6833" s="13"/>
    </row>
    <row r="6834" ht="22.5" customHeight="1">
      <c r="B6834" s="17"/>
      <c r="C6834" s="17"/>
      <c r="D6834" s="13"/>
      <c r="E6834" s="11"/>
      <c r="F6834" s="11"/>
      <c r="G6834" s="13">
        <f t="shared" si="1"/>
        <v>1281</v>
      </c>
      <c r="H6834" s="13"/>
    </row>
    <row r="6835" ht="22.5" customHeight="1">
      <c r="B6835" s="17"/>
      <c r="C6835" s="17"/>
      <c r="D6835" s="13"/>
      <c r="E6835" s="11"/>
      <c r="F6835" s="11"/>
      <c r="G6835" s="13">
        <f t="shared" si="1"/>
        <v>1281</v>
      </c>
      <c r="H6835" s="13"/>
    </row>
    <row r="6836" ht="22.5" customHeight="1">
      <c r="B6836" s="17"/>
      <c r="C6836" s="17"/>
      <c r="D6836" s="13"/>
      <c r="E6836" s="11"/>
      <c r="F6836" s="11"/>
      <c r="G6836" s="13">
        <f t="shared" si="1"/>
        <v>1281</v>
      </c>
      <c r="H6836" s="13"/>
    </row>
    <row r="6837" ht="22.5" customHeight="1">
      <c r="B6837" s="17"/>
      <c r="C6837" s="17"/>
      <c r="D6837" s="13"/>
      <c r="E6837" s="11"/>
      <c r="F6837" s="11"/>
      <c r="G6837" s="13">
        <f t="shared" si="1"/>
        <v>1281</v>
      </c>
      <c r="H6837" s="13"/>
    </row>
    <row r="6838" ht="22.5" customHeight="1">
      <c r="B6838" s="17"/>
      <c r="C6838" s="17"/>
      <c r="D6838" s="13"/>
      <c r="E6838" s="11"/>
      <c r="F6838" s="11"/>
      <c r="G6838" s="13">
        <f t="shared" si="1"/>
        <v>1281</v>
      </c>
      <c r="H6838" s="13"/>
    </row>
    <row r="6839" ht="22.5" customHeight="1">
      <c r="B6839" s="17"/>
      <c r="C6839" s="17"/>
      <c r="D6839" s="13"/>
      <c r="E6839" s="11"/>
      <c r="F6839" s="11"/>
      <c r="G6839" s="13">
        <f t="shared" si="1"/>
        <v>1281</v>
      </c>
      <c r="H6839" s="13"/>
    </row>
    <row r="6840" ht="22.5" customHeight="1">
      <c r="B6840" s="17"/>
      <c r="C6840" s="17"/>
      <c r="D6840" s="13"/>
      <c r="E6840" s="11"/>
      <c r="F6840" s="11"/>
      <c r="G6840" s="13">
        <f t="shared" si="1"/>
        <v>1281</v>
      </c>
      <c r="H6840" s="13"/>
    </row>
    <row r="6841" ht="22.5" customHeight="1">
      <c r="B6841" s="17"/>
      <c r="C6841" s="17"/>
      <c r="D6841" s="13"/>
      <c r="E6841" s="11"/>
      <c r="F6841" s="11"/>
      <c r="G6841" s="13">
        <f t="shared" si="1"/>
        <v>1281</v>
      </c>
      <c r="H6841" s="13"/>
    </row>
    <row r="6842" ht="22.5" customHeight="1">
      <c r="B6842" s="17"/>
      <c r="C6842" s="17"/>
      <c r="D6842" s="13"/>
      <c r="E6842" s="11"/>
      <c r="F6842" s="11"/>
      <c r="G6842" s="13">
        <f t="shared" si="1"/>
        <v>1281</v>
      </c>
      <c r="H6842" s="13"/>
    </row>
    <row r="6843" ht="22.5" customHeight="1">
      <c r="B6843" s="17"/>
      <c r="C6843" s="17"/>
      <c r="D6843" s="13"/>
      <c r="E6843" s="11"/>
      <c r="F6843" s="11"/>
      <c r="G6843" s="13">
        <f t="shared" si="1"/>
        <v>1281</v>
      </c>
      <c r="H6843" s="13"/>
    </row>
    <row r="6844" ht="22.5" customHeight="1">
      <c r="B6844" s="17"/>
      <c r="C6844" s="17"/>
      <c r="D6844" s="13"/>
      <c r="E6844" s="11"/>
      <c r="F6844" s="11"/>
      <c r="G6844" s="13">
        <f t="shared" si="1"/>
        <v>1281</v>
      </c>
      <c r="H6844" s="13"/>
    </row>
    <row r="6845" ht="22.5" customHeight="1">
      <c r="B6845" s="17"/>
      <c r="C6845" s="17"/>
      <c r="D6845" s="13"/>
      <c r="E6845" s="11"/>
      <c r="F6845" s="11"/>
      <c r="G6845" s="13">
        <f t="shared" si="1"/>
        <v>1281</v>
      </c>
      <c r="H6845" s="13"/>
    </row>
    <row r="6846" ht="22.5" customHeight="1">
      <c r="B6846" s="17"/>
      <c r="C6846" s="17"/>
      <c r="D6846" s="13"/>
      <c r="E6846" s="11"/>
      <c r="F6846" s="11"/>
      <c r="G6846" s="13">
        <f t="shared" si="1"/>
        <v>1281</v>
      </c>
      <c r="H6846" s="13"/>
    </row>
    <row r="6847" ht="22.5" customHeight="1">
      <c r="B6847" s="17"/>
      <c r="C6847" s="17"/>
      <c r="D6847" s="13"/>
      <c r="E6847" s="11"/>
      <c r="F6847" s="11"/>
      <c r="G6847" s="13">
        <f t="shared" si="1"/>
        <v>1281</v>
      </c>
      <c r="H6847" s="13"/>
    </row>
    <row r="6848" ht="22.5" customHeight="1">
      <c r="B6848" s="17"/>
      <c r="C6848" s="17"/>
      <c r="D6848" s="13"/>
      <c r="E6848" s="11"/>
      <c r="F6848" s="11"/>
      <c r="G6848" s="13">
        <f t="shared" si="1"/>
        <v>1281</v>
      </c>
      <c r="H6848" s="13"/>
    </row>
    <row r="6849" ht="22.5" customHeight="1">
      <c r="B6849" s="17"/>
      <c r="C6849" s="17"/>
      <c r="D6849" s="13"/>
      <c r="E6849" s="11"/>
      <c r="F6849" s="11"/>
      <c r="G6849" s="13">
        <f t="shared" si="1"/>
        <v>1281</v>
      </c>
      <c r="H6849" s="13"/>
    </row>
    <row r="6850" ht="22.5" customHeight="1">
      <c r="B6850" s="17"/>
      <c r="C6850" s="17"/>
      <c r="D6850" s="13"/>
      <c r="E6850" s="11"/>
      <c r="F6850" s="11"/>
      <c r="G6850" s="13">
        <f t="shared" si="1"/>
        <v>1281</v>
      </c>
      <c r="H6850" s="13"/>
    </row>
    <row r="6851" ht="22.5" customHeight="1">
      <c r="B6851" s="17"/>
      <c r="C6851" s="17"/>
      <c r="D6851" s="13"/>
      <c r="E6851" s="11"/>
      <c r="F6851" s="11"/>
      <c r="G6851" s="13">
        <f t="shared" si="1"/>
        <v>1281</v>
      </c>
      <c r="H6851" s="13"/>
    </row>
    <row r="6852" ht="22.5" customHeight="1">
      <c r="B6852" s="17"/>
      <c r="C6852" s="17"/>
      <c r="D6852" s="13"/>
      <c r="E6852" s="11"/>
      <c r="F6852" s="11"/>
      <c r="G6852" s="13">
        <f t="shared" si="1"/>
        <v>1281</v>
      </c>
      <c r="H6852" s="13"/>
    </row>
    <row r="6853" ht="22.5" customHeight="1">
      <c r="B6853" s="17"/>
      <c r="C6853" s="17"/>
      <c r="D6853" s="13"/>
      <c r="E6853" s="11"/>
      <c r="F6853" s="11"/>
      <c r="G6853" s="13">
        <f t="shared" si="1"/>
        <v>1281</v>
      </c>
      <c r="H6853" s="13"/>
    </row>
    <row r="6854" ht="22.5" customHeight="1">
      <c r="B6854" s="17"/>
      <c r="C6854" s="17"/>
      <c r="D6854" s="13"/>
      <c r="E6854" s="11"/>
      <c r="F6854" s="11"/>
      <c r="G6854" s="13">
        <f t="shared" si="1"/>
        <v>1281</v>
      </c>
      <c r="H6854" s="13"/>
    </row>
    <row r="6855" ht="22.5" customHeight="1">
      <c r="B6855" s="17"/>
      <c r="C6855" s="17"/>
      <c r="D6855" s="13"/>
      <c r="E6855" s="11"/>
      <c r="F6855" s="11"/>
      <c r="G6855" s="13">
        <f t="shared" si="1"/>
        <v>1281</v>
      </c>
      <c r="H6855" s="13"/>
    </row>
    <row r="6856" ht="22.5" customHeight="1">
      <c r="B6856" s="17"/>
      <c r="C6856" s="17"/>
      <c r="D6856" s="13"/>
      <c r="E6856" s="11"/>
      <c r="F6856" s="11"/>
      <c r="G6856" s="13">
        <f t="shared" si="1"/>
        <v>1281</v>
      </c>
      <c r="H6856" s="13"/>
    </row>
    <row r="6857" ht="22.5" customHeight="1">
      <c r="B6857" s="17"/>
      <c r="C6857" s="17"/>
      <c r="D6857" s="13"/>
      <c r="E6857" s="11"/>
      <c r="F6857" s="11"/>
      <c r="G6857" s="13">
        <f t="shared" si="1"/>
        <v>1281</v>
      </c>
      <c r="H6857" s="13"/>
    </row>
    <row r="6858" ht="22.5" customHeight="1">
      <c r="B6858" s="17"/>
      <c r="C6858" s="17"/>
      <c r="D6858" s="13"/>
      <c r="E6858" s="11"/>
      <c r="F6858" s="11"/>
      <c r="G6858" s="13">
        <f t="shared" si="1"/>
        <v>1281</v>
      </c>
      <c r="H6858" s="13"/>
    </row>
    <row r="6859" ht="22.5" customHeight="1">
      <c r="B6859" s="17"/>
      <c r="C6859" s="17"/>
      <c r="D6859" s="13"/>
      <c r="E6859" s="11"/>
      <c r="F6859" s="11"/>
      <c r="G6859" s="13">
        <f t="shared" si="1"/>
        <v>1281</v>
      </c>
      <c r="H6859" s="13"/>
    </row>
    <row r="6860" ht="22.5" customHeight="1">
      <c r="B6860" s="17"/>
      <c r="C6860" s="17"/>
      <c r="D6860" s="13"/>
      <c r="E6860" s="11"/>
      <c r="F6860" s="11"/>
      <c r="G6860" s="13">
        <f t="shared" si="1"/>
        <v>1281</v>
      </c>
      <c r="H6860" s="13"/>
    </row>
    <row r="6861" ht="22.5" customHeight="1">
      <c r="B6861" s="17"/>
      <c r="C6861" s="17"/>
      <c r="D6861" s="13"/>
      <c r="E6861" s="11"/>
      <c r="F6861" s="11"/>
      <c r="G6861" s="13">
        <f t="shared" si="1"/>
        <v>1281</v>
      </c>
      <c r="H6861" s="13"/>
    </row>
    <row r="6862" ht="22.5" customHeight="1">
      <c r="B6862" s="17"/>
      <c r="C6862" s="17"/>
      <c r="D6862" s="13"/>
      <c r="E6862" s="11"/>
      <c r="F6862" s="11"/>
      <c r="G6862" s="13">
        <f t="shared" si="1"/>
        <v>1281</v>
      </c>
      <c r="H6862" s="13"/>
    </row>
    <row r="6863" ht="22.5" customHeight="1">
      <c r="B6863" s="17"/>
      <c r="C6863" s="17"/>
      <c r="D6863" s="13"/>
      <c r="E6863" s="11"/>
      <c r="F6863" s="11"/>
      <c r="G6863" s="13">
        <f t="shared" si="1"/>
        <v>1281</v>
      </c>
      <c r="H6863" s="13"/>
    </row>
    <row r="6864" ht="22.5" customHeight="1">
      <c r="B6864" s="17"/>
      <c r="C6864" s="17"/>
      <c r="D6864" s="13"/>
      <c r="E6864" s="11"/>
      <c r="F6864" s="11"/>
      <c r="G6864" s="13">
        <f t="shared" si="1"/>
        <v>1281</v>
      </c>
      <c r="H6864" s="13"/>
    </row>
    <row r="6865" ht="22.5" customHeight="1">
      <c r="B6865" s="17"/>
      <c r="C6865" s="17"/>
      <c r="D6865" s="13"/>
      <c r="E6865" s="11"/>
      <c r="F6865" s="11"/>
      <c r="G6865" s="13">
        <f t="shared" si="1"/>
        <v>1281</v>
      </c>
      <c r="H6865" s="13"/>
    </row>
    <row r="6866" ht="22.5" customHeight="1">
      <c r="B6866" s="17"/>
      <c r="C6866" s="17"/>
      <c r="D6866" s="13"/>
      <c r="E6866" s="11"/>
      <c r="F6866" s="11"/>
      <c r="G6866" s="13">
        <f t="shared" si="1"/>
        <v>1281</v>
      </c>
      <c r="H6866" s="13"/>
    </row>
    <row r="6867" ht="22.5" customHeight="1">
      <c r="B6867" s="17"/>
      <c r="C6867" s="17"/>
      <c r="D6867" s="13"/>
      <c r="E6867" s="11"/>
      <c r="F6867" s="11"/>
      <c r="G6867" s="13">
        <f t="shared" si="1"/>
        <v>1281</v>
      </c>
      <c r="H6867" s="13"/>
    </row>
    <row r="6868" ht="22.5" customHeight="1">
      <c r="B6868" s="17"/>
      <c r="C6868" s="17"/>
      <c r="D6868" s="13"/>
      <c r="E6868" s="11"/>
      <c r="F6868" s="11"/>
      <c r="G6868" s="13">
        <f t="shared" si="1"/>
        <v>1281</v>
      </c>
      <c r="H6868" s="13"/>
    </row>
    <row r="6869" ht="22.5" customHeight="1">
      <c r="B6869" s="17"/>
      <c r="C6869" s="17"/>
      <c r="D6869" s="13"/>
      <c r="E6869" s="11"/>
      <c r="F6869" s="11"/>
      <c r="G6869" s="13">
        <f t="shared" si="1"/>
        <v>1281</v>
      </c>
      <c r="H6869" s="13"/>
    </row>
    <row r="6870" ht="22.5" customHeight="1">
      <c r="B6870" s="17"/>
      <c r="C6870" s="17"/>
      <c r="D6870" s="13"/>
      <c r="E6870" s="11"/>
      <c r="F6870" s="11"/>
      <c r="G6870" s="13">
        <f t="shared" si="1"/>
        <v>1281</v>
      </c>
      <c r="H6870" s="13"/>
    </row>
    <row r="6871" ht="22.5" customHeight="1">
      <c r="B6871" s="17"/>
      <c r="C6871" s="17"/>
      <c r="D6871" s="13"/>
      <c r="E6871" s="11"/>
      <c r="F6871" s="11"/>
      <c r="G6871" s="13">
        <f t="shared" si="1"/>
        <v>1281</v>
      </c>
      <c r="H6871" s="13"/>
    </row>
    <row r="6872" ht="22.5" customHeight="1">
      <c r="B6872" s="17"/>
      <c r="C6872" s="17"/>
      <c r="D6872" s="13"/>
      <c r="E6872" s="11"/>
      <c r="F6872" s="11"/>
      <c r="G6872" s="13">
        <f t="shared" si="1"/>
        <v>1281</v>
      </c>
      <c r="H6872" s="13"/>
    </row>
    <row r="6873" ht="22.5" customHeight="1">
      <c r="B6873" s="17"/>
      <c r="C6873" s="17"/>
      <c r="D6873" s="13"/>
      <c r="E6873" s="11"/>
      <c r="F6873" s="11"/>
      <c r="G6873" s="13">
        <f t="shared" si="1"/>
        <v>1281</v>
      </c>
      <c r="H6873" s="13"/>
    </row>
    <row r="6874" ht="22.5" customHeight="1">
      <c r="B6874" s="17"/>
      <c r="C6874" s="17"/>
      <c r="D6874" s="13"/>
      <c r="E6874" s="11"/>
      <c r="F6874" s="11"/>
      <c r="G6874" s="13">
        <f t="shared" si="1"/>
        <v>1281</v>
      </c>
      <c r="H6874" s="13"/>
    </row>
    <row r="6875" ht="22.5" customHeight="1">
      <c r="B6875" s="17"/>
      <c r="C6875" s="17"/>
      <c r="D6875" s="13"/>
      <c r="E6875" s="11"/>
      <c r="F6875" s="11"/>
      <c r="G6875" s="13">
        <f t="shared" si="1"/>
        <v>1281</v>
      </c>
      <c r="H6875" s="13"/>
    </row>
    <row r="6876" ht="22.5" customHeight="1">
      <c r="B6876" s="17"/>
      <c r="C6876" s="17"/>
      <c r="D6876" s="13"/>
      <c r="E6876" s="11"/>
      <c r="F6876" s="11"/>
      <c r="G6876" s="13">
        <f t="shared" si="1"/>
        <v>1281</v>
      </c>
      <c r="H6876" s="13"/>
    </row>
    <row r="6877" ht="22.5" customHeight="1">
      <c r="B6877" s="17"/>
      <c r="C6877" s="17"/>
      <c r="D6877" s="13"/>
      <c r="E6877" s="11"/>
      <c r="F6877" s="11"/>
      <c r="G6877" s="13">
        <f t="shared" si="1"/>
        <v>1281</v>
      </c>
      <c r="H6877" s="13"/>
    </row>
    <row r="6878" ht="22.5" customHeight="1">
      <c r="B6878" s="17"/>
      <c r="C6878" s="17"/>
      <c r="D6878" s="13"/>
      <c r="E6878" s="11"/>
      <c r="F6878" s="11"/>
      <c r="G6878" s="13">
        <f t="shared" si="1"/>
        <v>1281</v>
      </c>
      <c r="H6878" s="13"/>
    </row>
    <row r="6879" ht="22.5" customHeight="1">
      <c r="B6879" s="17"/>
      <c r="C6879" s="17"/>
      <c r="D6879" s="13"/>
      <c r="E6879" s="11"/>
      <c r="F6879" s="11"/>
      <c r="G6879" s="13">
        <f t="shared" si="1"/>
        <v>1281</v>
      </c>
      <c r="H6879" s="13"/>
    </row>
    <row r="6880" ht="22.5" customHeight="1">
      <c r="B6880" s="17"/>
      <c r="C6880" s="17"/>
      <c r="D6880" s="13"/>
      <c r="E6880" s="11"/>
      <c r="F6880" s="11"/>
      <c r="G6880" s="13">
        <f t="shared" si="1"/>
        <v>1281</v>
      </c>
      <c r="H6880" s="13"/>
    </row>
    <row r="6881" ht="22.5" customHeight="1">
      <c r="B6881" s="17"/>
      <c r="C6881" s="17"/>
      <c r="D6881" s="13"/>
      <c r="E6881" s="11"/>
      <c r="F6881" s="11"/>
      <c r="G6881" s="13">
        <f t="shared" si="1"/>
        <v>1281</v>
      </c>
      <c r="H6881" s="13"/>
    </row>
    <row r="6882" ht="22.5" customHeight="1">
      <c r="B6882" s="17"/>
      <c r="C6882" s="17"/>
      <c r="D6882" s="13"/>
      <c r="E6882" s="11"/>
      <c r="F6882" s="11"/>
      <c r="G6882" s="13">
        <f t="shared" si="1"/>
        <v>1281</v>
      </c>
      <c r="H6882" s="13"/>
    </row>
    <row r="6883" ht="22.5" customHeight="1">
      <c r="B6883" s="17"/>
      <c r="C6883" s="17"/>
      <c r="D6883" s="13"/>
      <c r="E6883" s="11"/>
      <c r="F6883" s="11"/>
      <c r="G6883" s="13">
        <f t="shared" si="1"/>
        <v>1281</v>
      </c>
      <c r="H6883" s="13"/>
    </row>
    <row r="6884" ht="22.5" customHeight="1">
      <c r="B6884" s="17"/>
      <c r="C6884" s="17"/>
      <c r="D6884" s="13"/>
      <c r="E6884" s="11"/>
      <c r="F6884" s="11"/>
      <c r="G6884" s="13">
        <f t="shared" si="1"/>
        <v>1281</v>
      </c>
      <c r="H6884" s="13"/>
    </row>
    <row r="6885" ht="22.5" customHeight="1">
      <c r="B6885" s="17"/>
      <c r="C6885" s="17"/>
      <c r="D6885" s="13"/>
      <c r="E6885" s="11"/>
      <c r="F6885" s="11"/>
      <c r="G6885" s="13">
        <f t="shared" si="1"/>
        <v>1281</v>
      </c>
      <c r="H6885" s="13"/>
    </row>
    <row r="6886" ht="22.5" customHeight="1">
      <c r="B6886" s="17"/>
      <c r="C6886" s="17"/>
      <c r="D6886" s="13"/>
      <c r="E6886" s="11"/>
      <c r="F6886" s="11"/>
      <c r="G6886" s="13">
        <f t="shared" si="1"/>
        <v>1281</v>
      </c>
      <c r="H6886" s="13"/>
    </row>
    <row r="6887" ht="22.5" customHeight="1">
      <c r="B6887" s="17"/>
      <c r="C6887" s="17"/>
      <c r="D6887" s="13"/>
      <c r="E6887" s="11"/>
      <c r="F6887" s="11"/>
      <c r="G6887" s="13">
        <f t="shared" si="1"/>
        <v>1281</v>
      </c>
      <c r="H6887" s="13"/>
    </row>
    <row r="6888" ht="22.5" customHeight="1">
      <c r="B6888" s="17"/>
      <c r="C6888" s="17"/>
      <c r="D6888" s="13"/>
      <c r="E6888" s="11"/>
      <c r="F6888" s="11"/>
      <c r="G6888" s="13">
        <f t="shared" si="1"/>
        <v>1281</v>
      </c>
      <c r="H6888" s="13"/>
    </row>
    <row r="6889" ht="22.5" customHeight="1">
      <c r="B6889" s="17"/>
      <c r="C6889" s="17"/>
      <c r="D6889" s="13"/>
      <c r="E6889" s="11"/>
      <c r="F6889" s="11"/>
      <c r="G6889" s="13">
        <f t="shared" si="1"/>
        <v>1281</v>
      </c>
      <c r="H6889" s="13"/>
    </row>
    <row r="6890" ht="22.5" customHeight="1">
      <c r="B6890" s="17"/>
      <c r="C6890" s="17"/>
      <c r="D6890" s="13"/>
      <c r="E6890" s="11"/>
      <c r="F6890" s="11"/>
      <c r="G6890" s="13">
        <f t="shared" si="1"/>
        <v>1281</v>
      </c>
      <c r="H6890" s="13"/>
    </row>
    <row r="6891" ht="22.5" customHeight="1">
      <c r="B6891" s="17"/>
      <c r="C6891" s="17"/>
      <c r="D6891" s="13"/>
      <c r="E6891" s="11"/>
      <c r="F6891" s="11"/>
      <c r="G6891" s="13">
        <f t="shared" si="1"/>
        <v>1281</v>
      </c>
      <c r="H6891" s="13"/>
    </row>
    <row r="6892" ht="22.5" customHeight="1">
      <c r="B6892" s="17"/>
      <c r="C6892" s="17"/>
      <c r="D6892" s="13"/>
      <c r="E6892" s="11"/>
      <c r="F6892" s="11"/>
      <c r="G6892" s="13">
        <f t="shared" si="1"/>
        <v>1281</v>
      </c>
      <c r="H6892" s="13"/>
    </row>
    <row r="6893" ht="22.5" customHeight="1">
      <c r="B6893" s="17"/>
      <c r="C6893" s="17"/>
      <c r="D6893" s="13"/>
      <c r="E6893" s="11"/>
      <c r="F6893" s="11"/>
      <c r="G6893" s="13">
        <f t="shared" si="1"/>
        <v>1281</v>
      </c>
      <c r="H6893" s="13"/>
    </row>
    <row r="6894" ht="22.5" customHeight="1">
      <c r="B6894" s="17"/>
      <c r="C6894" s="17"/>
      <c r="D6894" s="13"/>
      <c r="E6894" s="11"/>
      <c r="F6894" s="11"/>
      <c r="G6894" s="13">
        <f t="shared" si="1"/>
        <v>1281</v>
      </c>
      <c r="H6894" s="13"/>
    </row>
    <row r="6895" ht="22.5" customHeight="1">
      <c r="B6895" s="17"/>
      <c r="C6895" s="17"/>
      <c r="D6895" s="13"/>
      <c r="E6895" s="11"/>
      <c r="F6895" s="11"/>
      <c r="G6895" s="13">
        <f t="shared" si="1"/>
        <v>1281</v>
      </c>
      <c r="H6895" s="13"/>
    </row>
    <row r="6896" ht="22.5" customHeight="1">
      <c r="B6896" s="17"/>
      <c r="C6896" s="17"/>
      <c r="D6896" s="13"/>
      <c r="E6896" s="11"/>
      <c r="F6896" s="11"/>
      <c r="G6896" s="13">
        <f t="shared" si="1"/>
        <v>1281</v>
      </c>
      <c r="H6896" s="13"/>
    </row>
    <row r="6897" ht="22.5" customHeight="1">
      <c r="B6897" s="17"/>
      <c r="C6897" s="17"/>
      <c r="D6897" s="13"/>
      <c r="E6897" s="11"/>
      <c r="F6897" s="11"/>
      <c r="G6897" s="13">
        <f t="shared" si="1"/>
        <v>1281</v>
      </c>
      <c r="H6897" s="13"/>
    </row>
    <row r="6898" ht="22.5" customHeight="1">
      <c r="B6898" s="17"/>
      <c r="C6898" s="17"/>
      <c r="D6898" s="13"/>
      <c r="E6898" s="11"/>
      <c r="F6898" s="11"/>
      <c r="G6898" s="13">
        <f t="shared" si="1"/>
        <v>1281</v>
      </c>
      <c r="H6898" s="13"/>
    </row>
    <row r="6899" ht="22.5" customHeight="1">
      <c r="B6899" s="17"/>
      <c r="C6899" s="17"/>
      <c r="D6899" s="13"/>
      <c r="E6899" s="11"/>
      <c r="F6899" s="11"/>
      <c r="G6899" s="13">
        <f t="shared" si="1"/>
        <v>1281</v>
      </c>
      <c r="H6899" s="13"/>
    </row>
    <row r="6900" ht="22.5" customHeight="1">
      <c r="B6900" s="17"/>
      <c r="C6900" s="17"/>
      <c r="D6900" s="13"/>
      <c r="E6900" s="11"/>
      <c r="F6900" s="11"/>
      <c r="G6900" s="13">
        <f t="shared" si="1"/>
        <v>1281</v>
      </c>
      <c r="H6900" s="13"/>
    </row>
    <row r="6901" ht="22.5" customHeight="1">
      <c r="B6901" s="17"/>
      <c r="C6901" s="17"/>
      <c r="D6901" s="13"/>
      <c r="E6901" s="11"/>
      <c r="F6901" s="11"/>
      <c r="G6901" s="13">
        <f t="shared" si="1"/>
        <v>1281</v>
      </c>
      <c r="H6901" s="13"/>
    </row>
    <row r="6902" ht="22.5" customHeight="1">
      <c r="B6902" s="17"/>
      <c r="C6902" s="17"/>
      <c r="D6902" s="13"/>
      <c r="E6902" s="11"/>
      <c r="F6902" s="11"/>
      <c r="G6902" s="13">
        <f t="shared" si="1"/>
        <v>1281</v>
      </c>
      <c r="H6902" s="13"/>
    </row>
    <row r="6903" ht="22.5" customHeight="1">
      <c r="B6903" s="17"/>
      <c r="C6903" s="17"/>
      <c r="D6903" s="13"/>
      <c r="E6903" s="11"/>
      <c r="F6903" s="11"/>
      <c r="G6903" s="13">
        <f t="shared" si="1"/>
        <v>1281</v>
      </c>
      <c r="H6903" s="13"/>
    </row>
    <row r="6904" ht="22.5" customHeight="1">
      <c r="B6904" s="17"/>
      <c r="C6904" s="17"/>
      <c r="D6904" s="13"/>
      <c r="E6904" s="11"/>
      <c r="F6904" s="11"/>
      <c r="G6904" s="13">
        <f t="shared" si="1"/>
        <v>1281</v>
      </c>
      <c r="H6904" s="13"/>
    </row>
    <row r="6905" ht="22.5" customHeight="1">
      <c r="B6905" s="17"/>
      <c r="C6905" s="17"/>
      <c r="D6905" s="13"/>
      <c r="E6905" s="11"/>
      <c r="F6905" s="11"/>
      <c r="G6905" s="13">
        <f t="shared" si="1"/>
        <v>1281</v>
      </c>
      <c r="H6905" s="13"/>
    </row>
    <row r="6906" ht="22.5" customHeight="1">
      <c r="B6906" s="17"/>
      <c r="C6906" s="17"/>
      <c r="D6906" s="13"/>
      <c r="E6906" s="11"/>
      <c r="F6906" s="11"/>
      <c r="G6906" s="13">
        <f t="shared" si="1"/>
        <v>1281</v>
      </c>
      <c r="H6906" s="13"/>
    </row>
    <row r="6907" ht="22.5" customHeight="1">
      <c r="B6907" s="17"/>
      <c r="C6907" s="17"/>
      <c r="D6907" s="13"/>
      <c r="E6907" s="11"/>
      <c r="F6907" s="11"/>
      <c r="G6907" s="13">
        <f t="shared" si="1"/>
        <v>1281</v>
      </c>
      <c r="H6907" s="13"/>
    </row>
    <row r="6908" ht="22.5" customHeight="1">
      <c r="B6908" s="17"/>
      <c r="C6908" s="17"/>
      <c r="D6908" s="13"/>
      <c r="E6908" s="11"/>
      <c r="F6908" s="11"/>
      <c r="G6908" s="13">
        <f t="shared" si="1"/>
        <v>1281</v>
      </c>
      <c r="H6908" s="13"/>
    </row>
    <row r="6909" ht="22.5" customHeight="1">
      <c r="B6909" s="17"/>
      <c r="C6909" s="17"/>
      <c r="D6909" s="13"/>
      <c r="E6909" s="11"/>
      <c r="F6909" s="11"/>
      <c r="G6909" s="13">
        <f t="shared" si="1"/>
        <v>1281</v>
      </c>
      <c r="H6909" s="13"/>
    </row>
    <row r="6910" ht="22.5" customHeight="1">
      <c r="B6910" s="17"/>
      <c r="C6910" s="17"/>
      <c r="D6910" s="13"/>
      <c r="E6910" s="11"/>
      <c r="F6910" s="11"/>
      <c r="G6910" s="13">
        <f t="shared" si="1"/>
        <v>1281</v>
      </c>
      <c r="H6910" s="13"/>
    </row>
    <row r="6911" ht="22.5" customHeight="1">
      <c r="B6911" s="17"/>
      <c r="C6911" s="17"/>
      <c r="D6911" s="13"/>
      <c r="E6911" s="11"/>
      <c r="F6911" s="11"/>
      <c r="G6911" s="13">
        <f t="shared" si="1"/>
        <v>1281</v>
      </c>
      <c r="H6911" s="13"/>
    </row>
    <row r="6912" ht="22.5" customHeight="1">
      <c r="B6912" s="17"/>
      <c r="C6912" s="17"/>
      <c r="D6912" s="13"/>
      <c r="E6912" s="11"/>
      <c r="F6912" s="11"/>
      <c r="G6912" s="13">
        <f t="shared" si="1"/>
        <v>1281</v>
      </c>
      <c r="H6912" s="13"/>
    </row>
    <row r="6913" ht="22.5" customHeight="1">
      <c r="B6913" s="17"/>
      <c r="C6913" s="17"/>
      <c r="D6913" s="13"/>
      <c r="E6913" s="11"/>
      <c r="F6913" s="11"/>
      <c r="G6913" s="13">
        <f t="shared" si="1"/>
        <v>1281</v>
      </c>
      <c r="H6913" s="13"/>
    </row>
    <row r="6914" ht="22.5" customHeight="1">
      <c r="B6914" s="17"/>
      <c r="C6914" s="17"/>
      <c r="D6914" s="13"/>
      <c r="E6914" s="11"/>
      <c r="F6914" s="11"/>
      <c r="G6914" s="13">
        <f t="shared" si="1"/>
        <v>1281</v>
      </c>
      <c r="H6914" s="13"/>
    </row>
    <row r="6915" ht="22.5" customHeight="1">
      <c r="B6915" s="17"/>
      <c r="C6915" s="17"/>
      <c r="D6915" s="13"/>
      <c r="E6915" s="11"/>
      <c r="F6915" s="11"/>
      <c r="G6915" s="13">
        <f t="shared" si="1"/>
        <v>1281</v>
      </c>
      <c r="H6915" s="13"/>
    </row>
    <row r="6916" ht="22.5" customHeight="1">
      <c r="B6916" s="17"/>
      <c r="C6916" s="17"/>
      <c r="D6916" s="13"/>
      <c r="E6916" s="11"/>
      <c r="F6916" s="11"/>
      <c r="G6916" s="13">
        <f t="shared" si="1"/>
        <v>1281</v>
      </c>
      <c r="H6916" s="13"/>
    </row>
    <row r="6917" ht="22.5" customHeight="1">
      <c r="B6917" s="17"/>
      <c r="C6917" s="17"/>
      <c r="D6917" s="13"/>
      <c r="E6917" s="11"/>
      <c r="F6917" s="11"/>
      <c r="G6917" s="13">
        <f t="shared" si="1"/>
        <v>1281</v>
      </c>
      <c r="H6917" s="13"/>
    </row>
    <row r="6918" ht="22.5" customHeight="1">
      <c r="B6918" s="17"/>
      <c r="C6918" s="17"/>
      <c r="D6918" s="13"/>
      <c r="E6918" s="11"/>
      <c r="F6918" s="11"/>
      <c r="G6918" s="13">
        <f t="shared" si="1"/>
        <v>1281</v>
      </c>
      <c r="H6918" s="13"/>
    </row>
    <row r="6919" ht="22.5" customHeight="1">
      <c r="B6919" s="17"/>
      <c r="C6919" s="17"/>
      <c r="D6919" s="13"/>
      <c r="E6919" s="11"/>
      <c r="F6919" s="11"/>
      <c r="G6919" s="13">
        <f t="shared" si="1"/>
        <v>1281</v>
      </c>
      <c r="H6919" s="13"/>
    </row>
    <row r="6920" ht="22.5" customHeight="1">
      <c r="B6920" s="17"/>
      <c r="C6920" s="17"/>
      <c r="D6920" s="13"/>
      <c r="E6920" s="11"/>
      <c r="F6920" s="11"/>
      <c r="G6920" s="13">
        <f t="shared" si="1"/>
        <v>1281</v>
      </c>
      <c r="H6920" s="13"/>
    </row>
    <row r="6921" ht="22.5" customHeight="1">
      <c r="B6921" s="17"/>
      <c r="C6921" s="17"/>
      <c r="D6921" s="13"/>
      <c r="E6921" s="11"/>
      <c r="F6921" s="11"/>
      <c r="G6921" s="13">
        <f t="shared" si="1"/>
        <v>1281</v>
      </c>
      <c r="H6921" s="13"/>
    </row>
    <row r="6922" ht="22.5" customHeight="1">
      <c r="B6922" s="17"/>
      <c r="C6922" s="17"/>
      <c r="D6922" s="13"/>
      <c r="E6922" s="11"/>
      <c r="F6922" s="11"/>
      <c r="G6922" s="13">
        <f t="shared" si="1"/>
        <v>1281</v>
      </c>
      <c r="H6922" s="13"/>
    </row>
    <row r="6923" ht="22.5" customHeight="1">
      <c r="B6923" s="17"/>
      <c r="C6923" s="17"/>
      <c r="D6923" s="13"/>
      <c r="E6923" s="11"/>
      <c r="F6923" s="11"/>
      <c r="G6923" s="13">
        <f t="shared" si="1"/>
        <v>1281</v>
      </c>
      <c r="H6923" s="13"/>
    </row>
    <row r="6924" ht="22.5" customHeight="1">
      <c r="B6924" s="17"/>
      <c r="C6924" s="17"/>
      <c r="D6924" s="13"/>
      <c r="E6924" s="11"/>
      <c r="F6924" s="11"/>
      <c r="G6924" s="13">
        <f t="shared" si="1"/>
        <v>1281</v>
      </c>
      <c r="H6924" s="13"/>
    </row>
    <row r="6925" ht="22.5" customHeight="1">
      <c r="B6925" s="17"/>
      <c r="C6925" s="17"/>
      <c r="D6925" s="13"/>
      <c r="E6925" s="11"/>
      <c r="F6925" s="11"/>
      <c r="G6925" s="13">
        <f t="shared" si="1"/>
        <v>1281</v>
      </c>
      <c r="H6925" s="13"/>
    </row>
    <row r="6926" ht="22.5" customHeight="1">
      <c r="B6926" s="17"/>
      <c r="C6926" s="17"/>
      <c r="D6926" s="13"/>
      <c r="E6926" s="11"/>
      <c r="F6926" s="11"/>
      <c r="G6926" s="13">
        <f t="shared" si="1"/>
        <v>1281</v>
      </c>
      <c r="H6926" s="13"/>
    </row>
    <row r="6927" ht="22.5" customHeight="1">
      <c r="B6927" s="17"/>
      <c r="C6927" s="17"/>
      <c r="D6927" s="13"/>
      <c r="E6927" s="11"/>
      <c r="F6927" s="11"/>
      <c r="G6927" s="13">
        <f t="shared" si="1"/>
        <v>1281</v>
      </c>
      <c r="H6927" s="13"/>
    </row>
    <row r="6928" ht="22.5" customHeight="1">
      <c r="B6928" s="17"/>
      <c r="C6928" s="17"/>
      <c r="D6928" s="13"/>
      <c r="E6928" s="11"/>
      <c r="F6928" s="11"/>
      <c r="G6928" s="13">
        <f t="shared" si="1"/>
        <v>1281</v>
      </c>
      <c r="H6928" s="13"/>
    </row>
    <row r="6929" ht="22.5" customHeight="1">
      <c r="B6929" s="17"/>
      <c r="C6929" s="17"/>
      <c r="D6929" s="13"/>
      <c r="E6929" s="11"/>
      <c r="F6929" s="11"/>
      <c r="G6929" s="13">
        <f t="shared" si="1"/>
        <v>1281</v>
      </c>
      <c r="H6929" s="13"/>
    </row>
    <row r="6930" ht="22.5" customHeight="1">
      <c r="B6930" s="17"/>
      <c r="C6930" s="17"/>
      <c r="D6930" s="13"/>
      <c r="E6930" s="11"/>
      <c r="F6930" s="11"/>
      <c r="G6930" s="13">
        <f t="shared" si="1"/>
        <v>1281</v>
      </c>
      <c r="H6930" s="13"/>
    </row>
    <row r="6931" ht="22.5" customHeight="1">
      <c r="B6931" s="17"/>
      <c r="C6931" s="17"/>
      <c r="D6931" s="13"/>
      <c r="E6931" s="11"/>
      <c r="F6931" s="11"/>
      <c r="G6931" s="13">
        <f t="shared" si="1"/>
        <v>1281</v>
      </c>
      <c r="H6931" s="13"/>
    </row>
    <row r="6932" ht="22.5" customHeight="1">
      <c r="B6932" s="17"/>
      <c r="C6932" s="17"/>
      <c r="D6932" s="13"/>
      <c r="E6932" s="11"/>
      <c r="F6932" s="11"/>
      <c r="G6932" s="13">
        <f t="shared" si="1"/>
        <v>1281</v>
      </c>
      <c r="H6932" s="13"/>
    </row>
    <row r="6933" ht="22.5" customHeight="1">
      <c r="B6933" s="17"/>
      <c r="C6933" s="17"/>
      <c r="D6933" s="13"/>
      <c r="E6933" s="11"/>
      <c r="F6933" s="11"/>
      <c r="G6933" s="13">
        <f t="shared" si="1"/>
        <v>1281</v>
      </c>
      <c r="H6933" s="13"/>
    </row>
    <row r="6934" ht="22.5" customHeight="1">
      <c r="B6934" s="17"/>
      <c r="C6934" s="17"/>
      <c r="D6934" s="13"/>
      <c r="E6934" s="11"/>
      <c r="F6934" s="11"/>
      <c r="G6934" s="13">
        <f t="shared" si="1"/>
        <v>1281</v>
      </c>
      <c r="H6934" s="13"/>
    </row>
    <row r="6935" ht="22.5" customHeight="1">
      <c r="B6935" s="17"/>
      <c r="C6935" s="17"/>
      <c r="D6935" s="13"/>
      <c r="E6935" s="11"/>
      <c r="F6935" s="11"/>
      <c r="G6935" s="13">
        <f t="shared" si="1"/>
        <v>1281</v>
      </c>
      <c r="H6935" s="13"/>
    </row>
    <row r="6936" ht="22.5" customHeight="1">
      <c r="B6936" s="17"/>
      <c r="C6936" s="17"/>
      <c r="D6936" s="13"/>
      <c r="E6936" s="11"/>
      <c r="F6936" s="11"/>
      <c r="G6936" s="13">
        <f t="shared" si="1"/>
        <v>1281</v>
      </c>
      <c r="H6936" s="13"/>
    </row>
    <row r="6937" ht="22.5" customHeight="1">
      <c r="B6937" s="17"/>
      <c r="C6937" s="17"/>
      <c r="D6937" s="13"/>
      <c r="E6937" s="11"/>
      <c r="F6937" s="11"/>
      <c r="G6937" s="13">
        <f t="shared" si="1"/>
        <v>1281</v>
      </c>
      <c r="H6937" s="13"/>
    </row>
    <row r="6938" ht="22.5" customHeight="1">
      <c r="B6938" s="17"/>
      <c r="C6938" s="17"/>
      <c r="D6938" s="13"/>
      <c r="E6938" s="11"/>
      <c r="F6938" s="11"/>
      <c r="G6938" s="13">
        <f t="shared" si="1"/>
        <v>1281</v>
      </c>
      <c r="H6938" s="13"/>
    </row>
    <row r="6939" ht="22.5" customHeight="1">
      <c r="B6939" s="17"/>
      <c r="C6939" s="17"/>
      <c r="D6939" s="13"/>
      <c r="E6939" s="11"/>
      <c r="F6939" s="11"/>
      <c r="G6939" s="13">
        <f t="shared" si="1"/>
        <v>1281</v>
      </c>
      <c r="H6939" s="13"/>
    </row>
    <row r="6940" ht="22.5" customHeight="1">
      <c r="B6940" s="17"/>
      <c r="C6940" s="17"/>
      <c r="D6940" s="13"/>
      <c r="E6940" s="11"/>
      <c r="F6940" s="11"/>
      <c r="G6940" s="13">
        <f t="shared" si="1"/>
        <v>1281</v>
      </c>
      <c r="H6940" s="13"/>
    </row>
    <row r="6941" ht="22.5" customHeight="1">
      <c r="B6941" s="17"/>
      <c r="C6941" s="17"/>
      <c r="D6941" s="13"/>
      <c r="E6941" s="11"/>
      <c r="F6941" s="11"/>
      <c r="G6941" s="13">
        <f t="shared" si="1"/>
        <v>1281</v>
      </c>
      <c r="H6941" s="13"/>
    </row>
    <row r="6942" ht="22.5" customHeight="1">
      <c r="B6942" s="17"/>
      <c r="C6942" s="17"/>
      <c r="D6942" s="13"/>
      <c r="E6942" s="11"/>
      <c r="F6942" s="11"/>
      <c r="G6942" s="13">
        <f t="shared" si="1"/>
        <v>1281</v>
      </c>
      <c r="H6942" s="13"/>
    </row>
    <row r="6943" ht="22.5" customHeight="1">
      <c r="B6943" s="17"/>
      <c r="C6943" s="17"/>
      <c r="D6943" s="13"/>
      <c r="E6943" s="11"/>
      <c r="F6943" s="11"/>
      <c r="G6943" s="13">
        <f t="shared" si="1"/>
        <v>1281</v>
      </c>
      <c r="H6943" s="13"/>
    </row>
    <row r="6944" ht="22.5" customHeight="1">
      <c r="B6944" s="17"/>
      <c r="C6944" s="17"/>
      <c r="D6944" s="13"/>
      <c r="E6944" s="11"/>
      <c r="F6944" s="11"/>
      <c r="G6944" s="13">
        <f t="shared" si="1"/>
        <v>1281</v>
      </c>
      <c r="H6944" s="13"/>
    </row>
    <row r="6945" ht="22.5" customHeight="1">
      <c r="B6945" s="17"/>
      <c r="C6945" s="17"/>
      <c r="D6945" s="13"/>
      <c r="E6945" s="11"/>
      <c r="F6945" s="11"/>
      <c r="G6945" s="13">
        <f t="shared" si="1"/>
        <v>1281</v>
      </c>
      <c r="H6945" s="13"/>
    </row>
    <row r="6946" ht="22.5" customHeight="1">
      <c r="B6946" s="17"/>
      <c r="C6946" s="17"/>
      <c r="D6946" s="13"/>
      <c r="E6946" s="11"/>
      <c r="F6946" s="11"/>
      <c r="G6946" s="13">
        <f t="shared" si="1"/>
        <v>1281</v>
      </c>
      <c r="H6946" s="13"/>
    </row>
    <row r="6947" ht="22.5" customHeight="1">
      <c r="B6947" s="17"/>
      <c r="C6947" s="17"/>
      <c r="D6947" s="13"/>
      <c r="E6947" s="11"/>
      <c r="F6947" s="11"/>
      <c r="G6947" s="13">
        <f t="shared" si="1"/>
        <v>1281</v>
      </c>
      <c r="H6947" s="13"/>
    </row>
    <row r="6948" ht="22.5" customHeight="1">
      <c r="B6948" s="17"/>
      <c r="C6948" s="17"/>
      <c r="D6948" s="13"/>
      <c r="E6948" s="11"/>
      <c r="F6948" s="11"/>
      <c r="G6948" s="13">
        <f t="shared" si="1"/>
        <v>1281</v>
      </c>
      <c r="H6948" s="13"/>
    </row>
    <row r="6949" ht="22.5" customHeight="1">
      <c r="B6949" s="17"/>
      <c r="C6949" s="17"/>
      <c r="D6949" s="13"/>
      <c r="E6949" s="11"/>
      <c r="F6949" s="11"/>
      <c r="G6949" s="13">
        <f t="shared" si="1"/>
        <v>1281</v>
      </c>
      <c r="H6949" s="13"/>
    </row>
    <row r="6950" ht="22.5" customHeight="1">
      <c r="B6950" s="17"/>
      <c r="C6950" s="17"/>
      <c r="D6950" s="13"/>
      <c r="E6950" s="11"/>
      <c r="F6950" s="11"/>
      <c r="G6950" s="13">
        <f t="shared" si="1"/>
        <v>1281</v>
      </c>
      <c r="H6950" s="13"/>
    </row>
    <row r="6951" ht="22.5" customHeight="1">
      <c r="B6951" s="17"/>
      <c r="C6951" s="17"/>
      <c r="D6951" s="13"/>
      <c r="E6951" s="11"/>
      <c r="F6951" s="11"/>
      <c r="G6951" s="13">
        <f t="shared" si="1"/>
        <v>1281</v>
      </c>
      <c r="H6951" s="13"/>
    </row>
    <row r="6952" ht="22.5" customHeight="1">
      <c r="B6952" s="17"/>
      <c r="C6952" s="17"/>
      <c r="D6952" s="13"/>
      <c r="E6952" s="11"/>
      <c r="F6952" s="11"/>
      <c r="G6952" s="13">
        <f t="shared" si="1"/>
        <v>1281</v>
      </c>
      <c r="H6952" s="13"/>
    </row>
    <row r="6953" ht="22.5" customHeight="1">
      <c r="B6953" s="17"/>
      <c r="C6953" s="17"/>
      <c r="D6953" s="13"/>
      <c r="E6953" s="11"/>
      <c r="F6953" s="11"/>
      <c r="G6953" s="13">
        <f t="shared" si="1"/>
        <v>1281</v>
      </c>
      <c r="H6953" s="13"/>
    </row>
    <row r="6954" ht="22.5" customHeight="1">
      <c r="B6954" s="17"/>
      <c r="C6954" s="17"/>
      <c r="D6954" s="13"/>
      <c r="E6954" s="11"/>
      <c r="F6954" s="11"/>
      <c r="G6954" s="13">
        <f t="shared" si="1"/>
        <v>1281</v>
      </c>
      <c r="H6954" s="13"/>
    </row>
    <row r="6955" ht="22.5" customHeight="1">
      <c r="B6955" s="17"/>
      <c r="C6955" s="17"/>
      <c r="D6955" s="13"/>
      <c r="E6955" s="11"/>
      <c r="F6955" s="11"/>
      <c r="G6955" s="13">
        <f t="shared" si="1"/>
        <v>1281</v>
      </c>
      <c r="H6955" s="13"/>
    </row>
    <row r="6956" ht="22.5" customHeight="1">
      <c r="B6956" s="17"/>
      <c r="C6956" s="17"/>
      <c r="D6956" s="13"/>
      <c r="E6956" s="11"/>
      <c r="F6956" s="11"/>
      <c r="G6956" s="13">
        <f t="shared" si="1"/>
        <v>1281</v>
      </c>
      <c r="H6956" s="13"/>
    </row>
    <row r="6957" ht="22.5" customHeight="1">
      <c r="B6957" s="17"/>
      <c r="C6957" s="17"/>
      <c r="D6957" s="13"/>
      <c r="E6957" s="11"/>
      <c r="F6957" s="11"/>
      <c r="G6957" s="13">
        <f t="shared" si="1"/>
        <v>1281</v>
      </c>
      <c r="H6957" s="13"/>
    </row>
    <row r="6958" ht="22.5" customHeight="1">
      <c r="B6958" s="17"/>
      <c r="C6958" s="17"/>
      <c r="D6958" s="13"/>
      <c r="E6958" s="11"/>
      <c r="F6958" s="11"/>
      <c r="G6958" s="13">
        <f t="shared" si="1"/>
        <v>1281</v>
      </c>
      <c r="H6958" s="13"/>
    </row>
    <row r="6959" ht="22.5" customHeight="1">
      <c r="B6959" s="17"/>
      <c r="C6959" s="17"/>
      <c r="D6959" s="13"/>
      <c r="E6959" s="11"/>
      <c r="F6959" s="11"/>
      <c r="G6959" s="13">
        <f t="shared" si="1"/>
        <v>1281</v>
      </c>
      <c r="H6959" s="13"/>
    </row>
    <row r="6960" ht="22.5" customHeight="1">
      <c r="B6960" s="17"/>
      <c r="C6960" s="17"/>
      <c r="D6960" s="13"/>
      <c r="E6960" s="11"/>
      <c r="F6960" s="11"/>
      <c r="G6960" s="13">
        <f t="shared" si="1"/>
        <v>1281</v>
      </c>
      <c r="H6960" s="13"/>
    </row>
    <row r="6961" ht="22.5" customHeight="1">
      <c r="B6961" s="17"/>
      <c r="C6961" s="17"/>
      <c r="D6961" s="13"/>
      <c r="E6961" s="11"/>
      <c r="F6961" s="11"/>
      <c r="G6961" s="13">
        <f t="shared" si="1"/>
        <v>1281</v>
      </c>
      <c r="H6961" s="13"/>
    </row>
    <row r="6962" ht="22.5" customHeight="1">
      <c r="B6962" s="17"/>
      <c r="C6962" s="17"/>
      <c r="D6962" s="13"/>
      <c r="E6962" s="11"/>
      <c r="F6962" s="11"/>
      <c r="G6962" s="13">
        <f t="shared" si="1"/>
        <v>1281</v>
      </c>
      <c r="H6962" s="13"/>
    </row>
    <row r="6963" ht="22.5" customHeight="1">
      <c r="B6963" s="17"/>
      <c r="C6963" s="17"/>
      <c r="D6963" s="13"/>
      <c r="E6963" s="11"/>
      <c r="F6963" s="11"/>
      <c r="G6963" s="13">
        <f t="shared" si="1"/>
        <v>1281</v>
      </c>
      <c r="H6963" s="13"/>
    </row>
    <row r="6964" ht="22.5" customHeight="1">
      <c r="B6964" s="17"/>
      <c r="C6964" s="17"/>
      <c r="D6964" s="13"/>
      <c r="E6964" s="11"/>
      <c r="F6964" s="11"/>
      <c r="G6964" s="13">
        <f t="shared" si="1"/>
        <v>1281</v>
      </c>
      <c r="H6964" s="13"/>
    </row>
    <row r="6965" ht="22.5" customHeight="1">
      <c r="B6965" s="17"/>
      <c r="C6965" s="17"/>
      <c r="D6965" s="13"/>
      <c r="E6965" s="11"/>
      <c r="F6965" s="11"/>
      <c r="G6965" s="13">
        <f t="shared" si="1"/>
        <v>1281</v>
      </c>
      <c r="H6965" s="13"/>
    </row>
    <row r="6966" ht="22.5" customHeight="1">
      <c r="B6966" s="17"/>
      <c r="C6966" s="17"/>
      <c r="D6966" s="13"/>
      <c r="E6966" s="11"/>
      <c r="F6966" s="11"/>
      <c r="G6966" s="13">
        <f t="shared" si="1"/>
        <v>1281</v>
      </c>
      <c r="H6966" s="13"/>
    </row>
    <row r="6967" ht="22.5" customHeight="1">
      <c r="B6967" s="17"/>
      <c r="C6967" s="17"/>
      <c r="D6967" s="13"/>
      <c r="E6967" s="11"/>
      <c r="F6967" s="11"/>
      <c r="G6967" s="13">
        <f t="shared" si="1"/>
        <v>1281</v>
      </c>
      <c r="H6967" s="13"/>
    </row>
    <row r="6968" ht="22.5" customHeight="1">
      <c r="B6968" s="17"/>
      <c r="C6968" s="17"/>
      <c r="D6968" s="13"/>
      <c r="E6968" s="11"/>
      <c r="F6968" s="11"/>
      <c r="G6968" s="13">
        <f t="shared" si="1"/>
        <v>1281</v>
      </c>
      <c r="H6968" s="13"/>
    </row>
    <row r="6969" ht="22.5" customHeight="1">
      <c r="B6969" s="17"/>
      <c r="C6969" s="17"/>
      <c r="D6969" s="13"/>
      <c r="E6969" s="11"/>
      <c r="F6969" s="11"/>
      <c r="G6969" s="13">
        <f t="shared" si="1"/>
        <v>1281</v>
      </c>
      <c r="H6969" s="13"/>
    </row>
    <row r="6970" ht="22.5" customHeight="1">
      <c r="B6970" s="17"/>
      <c r="C6970" s="17"/>
      <c r="D6970" s="13"/>
      <c r="E6970" s="11"/>
      <c r="F6970" s="11"/>
      <c r="G6970" s="13">
        <f t="shared" si="1"/>
        <v>1281</v>
      </c>
      <c r="H6970" s="13"/>
    </row>
    <row r="6971" ht="22.5" customHeight="1">
      <c r="B6971" s="17"/>
      <c r="C6971" s="17"/>
      <c r="D6971" s="13"/>
      <c r="E6971" s="11"/>
      <c r="F6971" s="11"/>
      <c r="G6971" s="13">
        <f t="shared" si="1"/>
        <v>1281</v>
      </c>
      <c r="H6971" s="13"/>
    </row>
    <row r="6972" ht="22.5" customHeight="1">
      <c r="B6972" s="17"/>
      <c r="C6972" s="17"/>
      <c r="D6972" s="13"/>
      <c r="E6972" s="11"/>
      <c r="F6972" s="11"/>
      <c r="G6972" s="13">
        <f t="shared" si="1"/>
        <v>1281</v>
      </c>
      <c r="H6972" s="13"/>
    </row>
    <row r="6973" ht="22.5" customHeight="1">
      <c r="B6973" s="17"/>
      <c r="C6973" s="17"/>
      <c r="D6973" s="13"/>
      <c r="E6973" s="11"/>
      <c r="F6973" s="11"/>
      <c r="G6973" s="13">
        <f t="shared" si="1"/>
        <v>1281</v>
      </c>
      <c r="H6973" s="13"/>
    </row>
    <row r="6974" ht="22.5" customHeight="1">
      <c r="B6974" s="17"/>
      <c r="C6974" s="17"/>
      <c r="D6974" s="13"/>
      <c r="E6974" s="11"/>
      <c r="F6974" s="11"/>
      <c r="G6974" s="13">
        <f t="shared" si="1"/>
        <v>1281</v>
      </c>
      <c r="H6974" s="13"/>
    </row>
    <row r="6975" ht="22.5" customHeight="1">
      <c r="B6975" s="17"/>
      <c r="C6975" s="17"/>
      <c r="D6975" s="13"/>
      <c r="E6975" s="11"/>
      <c r="F6975" s="11"/>
      <c r="G6975" s="13">
        <f t="shared" si="1"/>
        <v>1281</v>
      </c>
      <c r="H6975" s="13"/>
    </row>
    <row r="6976" ht="22.5" customHeight="1">
      <c r="B6976" s="17"/>
      <c r="C6976" s="17"/>
      <c r="D6976" s="13"/>
      <c r="E6976" s="11"/>
      <c r="F6976" s="11"/>
      <c r="G6976" s="13">
        <f t="shared" si="1"/>
        <v>1281</v>
      </c>
      <c r="H6976" s="13"/>
    </row>
    <row r="6977" ht="22.5" customHeight="1">
      <c r="B6977" s="17"/>
      <c r="C6977" s="17"/>
      <c r="D6977" s="13"/>
      <c r="E6977" s="11"/>
      <c r="F6977" s="11"/>
      <c r="G6977" s="13">
        <f t="shared" si="1"/>
        <v>1281</v>
      </c>
      <c r="H6977" s="13"/>
    </row>
    <row r="6978" ht="22.5" customHeight="1">
      <c r="B6978" s="17"/>
      <c r="C6978" s="17"/>
      <c r="D6978" s="13"/>
      <c r="E6978" s="11"/>
      <c r="F6978" s="11"/>
      <c r="G6978" s="13">
        <f t="shared" si="1"/>
        <v>1281</v>
      </c>
      <c r="H6978" s="13"/>
    </row>
    <row r="6979" ht="22.5" customHeight="1">
      <c r="B6979" s="17"/>
      <c r="C6979" s="17"/>
      <c r="D6979" s="13"/>
      <c r="E6979" s="11"/>
      <c r="F6979" s="11"/>
      <c r="G6979" s="13">
        <f t="shared" si="1"/>
        <v>1281</v>
      </c>
      <c r="H6979" s="13"/>
    </row>
    <row r="6980" ht="22.5" customHeight="1">
      <c r="B6980" s="17"/>
      <c r="C6980" s="17"/>
      <c r="D6980" s="13"/>
      <c r="E6980" s="11"/>
      <c r="F6980" s="11"/>
      <c r="G6980" s="13">
        <f t="shared" si="1"/>
        <v>1281</v>
      </c>
      <c r="H6980" s="13"/>
    </row>
    <row r="6981" ht="22.5" customHeight="1">
      <c r="B6981" s="17"/>
      <c r="C6981" s="17"/>
      <c r="D6981" s="13"/>
      <c r="E6981" s="11"/>
      <c r="F6981" s="11"/>
      <c r="G6981" s="13">
        <f t="shared" si="1"/>
        <v>1281</v>
      </c>
      <c r="H6981" s="13"/>
    </row>
    <row r="6982" ht="22.5" customHeight="1">
      <c r="B6982" s="17"/>
      <c r="C6982" s="17"/>
      <c r="D6982" s="13"/>
      <c r="E6982" s="11"/>
      <c r="F6982" s="11"/>
      <c r="G6982" s="13">
        <f t="shared" si="1"/>
        <v>1281</v>
      </c>
      <c r="H6982" s="13"/>
    </row>
    <row r="6983" ht="22.5" customHeight="1">
      <c r="B6983" s="17"/>
      <c r="C6983" s="17"/>
      <c r="D6983" s="13"/>
      <c r="E6983" s="11"/>
      <c r="F6983" s="11"/>
      <c r="G6983" s="13">
        <f t="shared" si="1"/>
        <v>1281</v>
      </c>
      <c r="H6983" s="13"/>
    </row>
    <row r="6984" ht="22.5" customHeight="1">
      <c r="B6984" s="17"/>
      <c r="C6984" s="17"/>
      <c r="D6984" s="13"/>
      <c r="E6984" s="11"/>
      <c r="F6984" s="11"/>
      <c r="G6984" s="13">
        <f t="shared" si="1"/>
        <v>1281</v>
      </c>
      <c r="H6984" s="13"/>
    </row>
    <row r="6985" ht="22.5" customHeight="1">
      <c r="B6985" s="17"/>
      <c r="C6985" s="17"/>
      <c r="D6985" s="13"/>
      <c r="E6985" s="11"/>
      <c r="F6985" s="11"/>
      <c r="G6985" s="13">
        <f t="shared" si="1"/>
        <v>1281</v>
      </c>
      <c r="H6985" s="13"/>
    </row>
    <row r="6986" ht="22.5" customHeight="1">
      <c r="B6986" s="17"/>
      <c r="C6986" s="17"/>
      <c r="D6986" s="13"/>
      <c r="E6986" s="11"/>
      <c r="F6986" s="11"/>
      <c r="G6986" s="13">
        <f t="shared" si="1"/>
        <v>1281</v>
      </c>
      <c r="H6986" s="13"/>
    </row>
    <row r="6987" ht="22.5" customHeight="1">
      <c r="B6987" s="17"/>
      <c r="C6987" s="17"/>
      <c r="D6987" s="13"/>
      <c r="E6987" s="11"/>
      <c r="F6987" s="11"/>
      <c r="G6987" s="13">
        <f t="shared" si="1"/>
        <v>1281</v>
      </c>
      <c r="H6987" s="13"/>
    </row>
    <row r="6988" ht="22.5" customHeight="1">
      <c r="B6988" s="17"/>
      <c r="C6988" s="17"/>
      <c r="D6988" s="13"/>
      <c r="E6988" s="11"/>
      <c r="F6988" s="11"/>
      <c r="G6988" s="13">
        <f t="shared" si="1"/>
        <v>1281</v>
      </c>
      <c r="H6988" s="13"/>
    </row>
    <row r="6989" ht="22.5" customHeight="1">
      <c r="B6989" s="17"/>
      <c r="C6989" s="17"/>
      <c r="D6989" s="13"/>
      <c r="E6989" s="11"/>
      <c r="F6989" s="11"/>
      <c r="G6989" s="13">
        <f t="shared" si="1"/>
        <v>1281</v>
      </c>
      <c r="H6989" s="13"/>
    </row>
    <row r="6990" ht="22.5" customHeight="1">
      <c r="B6990" s="17"/>
      <c r="C6990" s="17"/>
      <c r="D6990" s="13"/>
      <c r="E6990" s="11"/>
      <c r="F6990" s="11"/>
      <c r="G6990" s="13">
        <f t="shared" si="1"/>
        <v>1281</v>
      </c>
      <c r="H6990" s="13"/>
    </row>
    <row r="6991" ht="22.5" customHeight="1">
      <c r="B6991" s="17"/>
      <c r="C6991" s="17"/>
      <c r="D6991" s="13"/>
      <c r="E6991" s="11"/>
      <c r="F6991" s="11"/>
      <c r="G6991" s="13">
        <f t="shared" si="1"/>
        <v>1281</v>
      </c>
      <c r="H6991" s="13"/>
    </row>
    <row r="6992" ht="22.5" customHeight="1">
      <c r="B6992" s="17"/>
      <c r="C6992" s="17"/>
      <c r="D6992" s="13"/>
      <c r="E6992" s="11"/>
      <c r="F6992" s="11"/>
      <c r="G6992" s="13">
        <f t="shared" si="1"/>
        <v>1281</v>
      </c>
      <c r="H6992" s="13"/>
    </row>
    <row r="6993" ht="22.5" customHeight="1">
      <c r="B6993" s="17"/>
      <c r="C6993" s="17"/>
      <c r="D6993" s="13"/>
      <c r="E6993" s="11"/>
      <c r="F6993" s="11"/>
      <c r="G6993" s="13">
        <f t="shared" si="1"/>
        <v>1281</v>
      </c>
      <c r="H6993" s="13"/>
    </row>
    <row r="6994" ht="22.5" customHeight="1">
      <c r="B6994" s="17"/>
      <c r="C6994" s="17"/>
      <c r="D6994" s="13"/>
      <c r="E6994" s="11"/>
      <c r="F6994" s="11"/>
      <c r="G6994" s="13">
        <f t="shared" si="1"/>
        <v>1281</v>
      </c>
      <c r="H6994" s="13"/>
    </row>
    <row r="6995" ht="22.5" customHeight="1">
      <c r="B6995" s="17"/>
      <c r="C6995" s="17"/>
      <c r="D6995" s="13"/>
      <c r="E6995" s="11"/>
      <c r="F6995" s="11"/>
      <c r="G6995" s="13">
        <f t="shared" si="1"/>
        <v>1281</v>
      </c>
      <c r="H6995" s="13"/>
    </row>
    <row r="6996" ht="22.5" customHeight="1">
      <c r="B6996" s="17"/>
      <c r="C6996" s="17"/>
      <c r="D6996" s="13"/>
      <c r="E6996" s="11"/>
      <c r="F6996" s="11"/>
      <c r="G6996" s="13">
        <f t="shared" si="1"/>
        <v>1281</v>
      </c>
      <c r="H6996" s="13"/>
    </row>
    <row r="6997" ht="22.5" customHeight="1">
      <c r="B6997" s="17"/>
      <c r="C6997" s="17"/>
      <c r="D6997" s="13"/>
      <c r="E6997" s="11"/>
      <c r="F6997" s="11"/>
      <c r="G6997" s="13">
        <f t="shared" si="1"/>
        <v>1281</v>
      </c>
      <c r="H6997" s="13"/>
    </row>
    <row r="6998" ht="22.5" customHeight="1">
      <c r="B6998" s="17"/>
      <c r="C6998" s="17"/>
      <c r="D6998" s="13"/>
      <c r="E6998" s="11"/>
      <c r="F6998" s="11"/>
      <c r="G6998" s="13">
        <f t="shared" si="1"/>
        <v>1281</v>
      </c>
      <c r="H6998" s="13"/>
    </row>
    <row r="6999" ht="22.5" customHeight="1">
      <c r="B6999" s="17"/>
      <c r="C6999" s="17"/>
      <c r="D6999" s="13"/>
      <c r="E6999" s="11"/>
      <c r="F6999" s="11"/>
      <c r="G6999" s="13">
        <f t="shared" si="1"/>
        <v>1281</v>
      </c>
      <c r="H6999" s="13"/>
    </row>
    <row r="7000" ht="22.5" customHeight="1">
      <c r="B7000" s="17"/>
      <c r="C7000" s="17"/>
      <c r="D7000" s="13"/>
      <c r="E7000" s="11"/>
      <c r="F7000" s="11"/>
      <c r="G7000" s="13">
        <f t="shared" si="1"/>
        <v>1281</v>
      </c>
      <c r="H7000" s="13"/>
    </row>
    <row r="7001" ht="22.5" customHeight="1">
      <c r="B7001" s="17"/>
      <c r="C7001" s="17"/>
      <c r="D7001" s="13"/>
      <c r="E7001" s="11"/>
      <c r="F7001" s="11"/>
      <c r="G7001" s="13">
        <f t="shared" si="1"/>
        <v>1281</v>
      </c>
      <c r="H7001" s="13"/>
    </row>
    <row r="7002" ht="22.5" customHeight="1">
      <c r="B7002" s="17"/>
      <c r="C7002" s="17"/>
      <c r="D7002" s="13"/>
      <c r="E7002" s="11"/>
      <c r="F7002" s="11"/>
      <c r="G7002" s="13">
        <f t="shared" si="1"/>
        <v>1281</v>
      </c>
      <c r="H7002" s="13"/>
    </row>
    <row r="7003" ht="22.5" customHeight="1">
      <c r="B7003" s="17"/>
      <c r="C7003" s="17"/>
      <c r="D7003" s="13"/>
      <c r="E7003" s="11"/>
      <c r="F7003" s="11"/>
      <c r="G7003" s="13">
        <f t="shared" si="1"/>
        <v>1281</v>
      </c>
      <c r="H7003" s="13"/>
    </row>
    <row r="7004" ht="22.5" customHeight="1">
      <c r="B7004" s="17"/>
      <c r="C7004" s="17"/>
      <c r="D7004" s="13"/>
      <c r="E7004" s="11"/>
      <c r="F7004" s="11"/>
      <c r="G7004" s="13">
        <f t="shared" si="1"/>
        <v>1281</v>
      </c>
      <c r="H7004" s="13"/>
    </row>
    <row r="7005" ht="22.5" customHeight="1">
      <c r="B7005" s="17"/>
      <c r="C7005" s="17"/>
      <c r="D7005" s="13"/>
      <c r="E7005" s="11"/>
      <c r="F7005" s="11"/>
      <c r="G7005" s="13">
        <f t="shared" si="1"/>
        <v>1281</v>
      </c>
      <c r="H7005" s="13"/>
    </row>
    <row r="7006" ht="22.5" customHeight="1">
      <c r="B7006" s="17"/>
      <c r="C7006" s="17"/>
      <c r="D7006" s="13"/>
      <c r="E7006" s="11"/>
      <c r="F7006" s="11"/>
      <c r="G7006" s="13">
        <f t="shared" si="1"/>
        <v>1281</v>
      </c>
      <c r="H7006" s="13"/>
    </row>
    <row r="7007" ht="22.5" customHeight="1">
      <c r="B7007" s="17"/>
      <c r="C7007" s="17"/>
      <c r="D7007" s="13"/>
      <c r="E7007" s="11"/>
      <c r="F7007" s="11"/>
      <c r="G7007" s="13">
        <f t="shared" si="1"/>
        <v>1281</v>
      </c>
      <c r="H7007" s="13"/>
    </row>
    <row r="7008" ht="22.5" customHeight="1">
      <c r="B7008" s="17"/>
      <c r="C7008" s="17"/>
      <c r="D7008" s="13"/>
      <c r="E7008" s="11"/>
      <c r="F7008" s="11"/>
      <c r="G7008" s="13">
        <f t="shared" si="1"/>
        <v>1281</v>
      </c>
      <c r="H7008" s="13"/>
    </row>
    <row r="7009" ht="22.5" customHeight="1">
      <c r="B7009" s="17"/>
      <c r="C7009" s="17"/>
      <c r="D7009" s="13"/>
      <c r="E7009" s="11"/>
      <c r="F7009" s="11"/>
      <c r="G7009" s="13">
        <f t="shared" si="1"/>
        <v>1281</v>
      </c>
      <c r="H7009" s="13"/>
    </row>
    <row r="7010" ht="22.5" customHeight="1">
      <c r="B7010" s="17"/>
      <c r="C7010" s="17"/>
      <c r="D7010" s="13"/>
      <c r="E7010" s="11"/>
      <c r="F7010" s="11"/>
      <c r="G7010" s="13">
        <f t="shared" si="1"/>
        <v>1281</v>
      </c>
      <c r="H7010" s="13"/>
    </row>
    <row r="7011" ht="22.5" customHeight="1">
      <c r="B7011" s="17"/>
      <c r="C7011" s="17"/>
      <c r="D7011" s="13"/>
      <c r="E7011" s="11"/>
      <c r="F7011" s="11"/>
      <c r="G7011" s="13">
        <f t="shared" si="1"/>
        <v>1281</v>
      </c>
      <c r="H7011" s="13"/>
    </row>
    <row r="7012" ht="22.5" customHeight="1">
      <c r="B7012" s="17"/>
      <c r="C7012" s="17"/>
      <c r="D7012" s="13"/>
      <c r="E7012" s="11"/>
      <c r="F7012" s="11"/>
      <c r="G7012" s="13">
        <f t="shared" si="1"/>
        <v>1281</v>
      </c>
      <c r="H7012" s="13"/>
    </row>
    <row r="7013" ht="22.5" customHeight="1">
      <c r="B7013" s="17"/>
      <c r="C7013" s="17"/>
      <c r="D7013" s="13"/>
      <c r="E7013" s="11"/>
      <c r="F7013" s="11"/>
      <c r="G7013" s="13">
        <f t="shared" si="1"/>
        <v>1281</v>
      </c>
      <c r="H7013" s="13"/>
    </row>
    <row r="7014" ht="22.5" customHeight="1">
      <c r="B7014" s="17"/>
      <c r="C7014" s="17"/>
      <c r="D7014" s="13"/>
      <c r="E7014" s="11"/>
      <c r="F7014" s="11"/>
      <c r="G7014" s="13">
        <f t="shared" si="1"/>
        <v>1281</v>
      </c>
      <c r="H7014" s="13"/>
    </row>
    <row r="7015" ht="22.5" customHeight="1">
      <c r="B7015" s="17"/>
      <c r="C7015" s="17"/>
      <c r="D7015" s="13"/>
      <c r="E7015" s="11"/>
      <c r="F7015" s="11"/>
      <c r="G7015" s="13">
        <f t="shared" si="1"/>
        <v>1281</v>
      </c>
      <c r="H7015" s="13"/>
    </row>
    <row r="7016" ht="22.5" customHeight="1">
      <c r="B7016" s="17"/>
      <c r="C7016" s="17"/>
      <c r="D7016" s="13"/>
      <c r="E7016" s="11"/>
      <c r="F7016" s="11"/>
      <c r="G7016" s="13">
        <f t="shared" si="1"/>
        <v>1281</v>
      </c>
      <c r="H7016" s="13"/>
    </row>
    <row r="7017" ht="22.5" customHeight="1">
      <c r="B7017" s="17"/>
      <c r="C7017" s="17"/>
      <c r="D7017" s="13"/>
      <c r="E7017" s="11"/>
      <c r="F7017" s="11"/>
      <c r="G7017" s="13">
        <f t="shared" si="1"/>
        <v>1281</v>
      </c>
      <c r="H7017" s="13"/>
    </row>
    <row r="7018" ht="22.5" customHeight="1">
      <c r="B7018" s="17"/>
      <c r="C7018" s="17"/>
      <c r="D7018" s="13"/>
      <c r="E7018" s="11"/>
      <c r="F7018" s="11"/>
      <c r="G7018" s="13">
        <f t="shared" si="1"/>
        <v>1281</v>
      </c>
      <c r="H7018" s="13"/>
    </row>
    <row r="7019" ht="22.5" customHeight="1">
      <c r="B7019" s="17"/>
      <c r="C7019" s="17"/>
      <c r="D7019" s="13"/>
      <c r="E7019" s="11"/>
      <c r="F7019" s="11"/>
      <c r="G7019" s="13">
        <f t="shared" si="1"/>
        <v>1281</v>
      </c>
      <c r="H7019" s="13"/>
    </row>
    <row r="7020" ht="22.5" customHeight="1">
      <c r="B7020" s="17"/>
      <c r="C7020" s="17"/>
      <c r="D7020" s="13"/>
      <c r="E7020" s="11"/>
      <c r="F7020" s="11"/>
      <c r="G7020" s="13">
        <f t="shared" si="1"/>
        <v>1281</v>
      </c>
      <c r="H7020" s="13"/>
    </row>
    <row r="7021" ht="22.5" customHeight="1">
      <c r="B7021" s="17"/>
      <c r="C7021" s="17"/>
      <c r="D7021" s="13"/>
      <c r="E7021" s="11"/>
      <c r="F7021" s="11"/>
      <c r="G7021" s="13">
        <f t="shared" si="1"/>
        <v>1281</v>
      </c>
      <c r="H7021" s="13"/>
    </row>
    <row r="7022" ht="22.5" customHeight="1">
      <c r="B7022" s="17"/>
      <c r="C7022" s="17"/>
      <c r="D7022" s="13"/>
      <c r="E7022" s="11"/>
      <c r="F7022" s="11"/>
      <c r="G7022" s="13">
        <f t="shared" si="1"/>
        <v>1281</v>
      </c>
      <c r="H7022" s="13"/>
    </row>
    <row r="7023" ht="22.5" customHeight="1">
      <c r="B7023" s="17"/>
      <c r="C7023" s="17"/>
      <c r="D7023" s="13"/>
      <c r="E7023" s="11"/>
      <c r="F7023" s="11"/>
      <c r="G7023" s="13">
        <f t="shared" si="1"/>
        <v>1281</v>
      </c>
      <c r="H7023" s="13"/>
    </row>
    <row r="7024" ht="22.5" customHeight="1">
      <c r="B7024" s="17"/>
      <c r="C7024" s="17"/>
      <c r="D7024" s="13"/>
      <c r="E7024" s="11"/>
      <c r="F7024" s="11"/>
      <c r="G7024" s="13">
        <f t="shared" si="1"/>
        <v>1281</v>
      </c>
      <c r="H7024" s="13"/>
    </row>
    <row r="7025" ht="22.5" customHeight="1">
      <c r="B7025" s="17"/>
      <c r="C7025" s="17"/>
      <c r="D7025" s="13"/>
      <c r="E7025" s="11"/>
      <c r="F7025" s="11"/>
      <c r="G7025" s="13">
        <f t="shared" si="1"/>
        <v>1281</v>
      </c>
      <c r="H7025" s="13"/>
    </row>
    <row r="7026" ht="22.5" customHeight="1">
      <c r="B7026" s="17"/>
      <c r="C7026" s="17"/>
      <c r="D7026" s="13"/>
      <c r="E7026" s="11"/>
      <c r="F7026" s="11"/>
      <c r="G7026" s="13">
        <f t="shared" si="1"/>
        <v>1281</v>
      </c>
      <c r="H7026" s="13"/>
    </row>
    <row r="7027" ht="22.5" customHeight="1">
      <c r="B7027" s="17"/>
      <c r="C7027" s="17"/>
      <c r="D7027" s="13"/>
      <c r="E7027" s="11"/>
      <c r="F7027" s="11"/>
      <c r="G7027" s="13">
        <f t="shared" si="1"/>
        <v>1281</v>
      </c>
      <c r="H7027" s="13"/>
    </row>
    <row r="7028" ht="22.5" customHeight="1">
      <c r="B7028" s="17"/>
      <c r="C7028" s="17"/>
      <c r="D7028" s="13"/>
      <c r="E7028" s="11"/>
      <c r="F7028" s="11"/>
      <c r="G7028" s="13">
        <f t="shared" si="1"/>
        <v>1281</v>
      </c>
      <c r="H7028" s="13"/>
    </row>
    <row r="7029" ht="22.5" customHeight="1">
      <c r="B7029" s="17"/>
      <c r="C7029" s="17"/>
      <c r="D7029" s="13"/>
      <c r="E7029" s="11"/>
      <c r="F7029" s="11"/>
      <c r="G7029" s="13">
        <f t="shared" si="1"/>
        <v>1281</v>
      </c>
      <c r="H7029" s="13"/>
    </row>
    <row r="7030" ht="22.5" customHeight="1">
      <c r="B7030" s="17"/>
      <c r="C7030" s="17"/>
      <c r="D7030" s="13"/>
      <c r="E7030" s="11"/>
      <c r="F7030" s="11"/>
      <c r="G7030" s="13">
        <f t="shared" si="1"/>
        <v>1281</v>
      </c>
      <c r="H7030" s="13"/>
    </row>
    <row r="7031" ht="22.5" customHeight="1">
      <c r="B7031" s="17"/>
      <c r="C7031" s="17"/>
      <c r="D7031" s="13"/>
      <c r="E7031" s="11"/>
      <c r="F7031" s="11"/>
      <c r="G7031" s="13">
        <f t="shared" si="1"/>
        <v>1281</v>
      </c>
      <c r="H7031" s="13"/>
    </row>
    <row r="7032" ht="22.5" customHeight="1">
      <c r="B7032" s="17"/>
      <c r="C7032" s="17"/>
      <c r="D7032" s="13"/>
      <c r="E7032" s="11"/>
      <c r="F7032" s="11"/>
      <c r="G7032" s="13">
        <f t="shared" si="1"/>
        <v>1281</v>
      </c>
      <c r="H7032" s="13"/>
    </row>
    <row r="7033" ht="22.5" customHeight="1">
      <c r="B7033" s="17"/>
      <c r="C7033" s="17"/>
      <c r="D7033" s="13"/>
      <c r="E7033" s="11"/>
      <c r="F7033" s="11"/>
      <c r="G7033" s="13">
        <f t="shared" si="1"/>
        <v>1281</v>
      </c>
      <c r="H7033" s="13"/>
    </row>
    <row r="7034" ht="22.5" customHeight="1">
      <c r="B7034" s="17"/>
      <c r="C7034" s="17"/>
      <c r="D7034" s="13"/>
      <c r="E7034" s="11"/>
      <c r="F7034" s="11"/>
      <c r="G7034" s="13">
        <f t="shared" si="1"/>
        <v>1281</v>
      </c>
      <c r="H7034" s="13"/>
    </row>
    <row r="7035" ht="22.5" customHeight="1">
      <c r="B7035" s="17"/>
      <c r="C7035" s="17"/>
      <c r="D7035" s="13"/>
      <c r="E7035" s="11"/>
      <c r="F7035" s="11"/>
      <c r="G7035" s="13">
        <f t="shared" si="1"/>
        <v>1281</v>
      </c>
      <c r="H7035" s="13"/>
    </row>
    <row r="7036" ht="22.5" customHeight="1">
      <c r="B7036" s="17"/>
      <c r="C7036" s="17"/>
      <c r="D7036" s="13"/>
      <c r="E7036" s="11"/>
      <c r="F7036" s="11"/>
      <c r="G7036" s="13">
        <f t="shared" si="1"/>
        <v>1281</v>
      </c>
      <c r="H7036" s="13"/>
    </row>
    <row r="7037" ht="22.5" customHeight="1">
      <c r="B7037" s="17"/>
      <c r="C7037" s="17"/>
      <c r="D7037" s="13"/>
      <c r="E7037" s="11"/>
      <c r="F7037" s="11"/>
      <c r="G7037" s="13">
        <f t="shared" si="1"/>
        <v>1281</v>
      </c>
      <c r="H7037" s="13"/>
    </row>
    <row r="7038" ht="22.5" customHeight="1">
      <c r="B7038" s="17"/>
      <c r="C7038" s="17"/>
      <c r="D7038" s="13"/>
      <c r="E7038" s="11"/>
      <c r="F7038" s="11"/>
      <c r="G7038" s="13">
        <f t="shared" si="1"/>
        <v>1281</v>
      </c>
      <c r="H7038" s="13"/>
    </row>
    <row r="7039" ht="22.5" customHeight="1">
      <c r="B7039" s="17"/>
      <c r="C7039" s="17"/>
      <c r="D7039" s="13"/>
      <c r="E7039" s="11"/>
      <c r="F7039" s="11"/>
      <c r="G7039" s="13">
        <f t="shared" si="1"/>
        <v>1281</v>
      </c>
      <c r="H7039" s="13"/>
    </row>
    <row r="7040" ht="22.5" customHeight="1">
      <c r="B7040" s="17"/>
      <c r="C7040" s="17"/>
      <c r="D7040" s="13"/>
      <c r="E7040" s="11"/>
      <c r="F7040" s="11"/>
      <c r="G7040" s="13">
        <f t="shared" si="1"/>
        <v>1281</v>
      </c>
      <c r="H7040" s="13"/>
    </row>
    <row r="7041" ht="22.5" customHeight="1">
      <c r="B7041" s="17"/>
      <c r="C7041" s="17"/>
      <c r="D7041" s="13"/>
      <c r="E7041" s="11"/>
      <c r="F7041" s="11"/>
      <c r="G7041" s="13">
        <f t="shared" si="1"/>
        <v>1281</v>
      </c>
      <c r="H7041" s="13"/>
    </row>
    <row r="7042" ht="22.5" customHeight="1">
      <c r="B7042" s="17"/>
      <c r="C7042" s="17"/>
      <c r="D7042" s="13"/>
      <c r="E7042" s="11"/>
      <c r="F7042" s="11"/>
      <c r="G7042" s="13">
        <f t="shared" si="1"/>
        <v>1281</v>
      </c>
      <c r="H7042" s="13"/>
    </row>
    <row r="7043" ht="22.5" customHeight="1">
      <c r="B7043" s="17"/>
      <c r="C7043" s="17"/>
      <c r="D7043" s="13"/>
      <c r="E7043" s="11"/>
      <c r="F7043" s="11"/>
      <c r="G7043" s="13">
        <f t="shared" si="1"/>
        <v>1281</v>
      </c>
      <c r="H7043" s="13"/>
    </row>
    <row r="7044" ht="22.5" customHeight="1">
      <c r="B7044" s="17"/>
      <c r="C7044" s="17"/>
      <c r="D7044" s="13"/>
      <c r="E7044" s="11"/>
      <c r="F7044" s="11"/>
      <c r="G7044" s="13">
        <f t="shared" si="1"/>
        <v>1281</v>
      </c>
      <c r="H7044" s="13"/>
    </row>
    <row r="7045" ht="22.5" customHeight="1">
      <c r="B7045" s="17"/>
      <c r="C7045" s="17"/>
      <c r="D7045" s="13"/>
      <c r="E7045" s="11"/>
      <c r="F7045" s="11"/>
      <c r="G7045" s="13">
        <f t="shared" si="1"/>
        <v>1281</v>
      </c>
      <c r="H7045" s="13"/>
    </row>
    <row r="7046" ht="22.5" customHeight="1">
      <c r="B7046" s="17"/>
      <c r="C7046" s="17"/>
      <c r="D7046" s="13"/>
      <c r="E7046" s="11"/>
      <c r="F7046" s="11"/>
      <c r="G7046" s="13">
        <f t="shared" si="1"/>
        <v>1281</v>
      </c>
      <c r="H7046" s="13"/>
    </row>
    <row r="7047" ht="22.5" customHeight="1">
      <c r="B7047" s="17"/>
      <c r="C7047" s="17"/>
      <c r="D7047" s="13"/>
      <c r="E7047" s="11"/>
      <c r="F7047" s="11"/>
      <c r="G7047" s="13">
        <f t="shared" si="1"/>
        <v>1281</v>
      </c>
      <c r="H7047" s="13"/>
    </row>
    <row r="7048" ht="22.5" customHeight="1">
      <c r="B7048" s="17"/>
      <c r="C7048" s="17"/>
      <c r="D7048" s="13"/>
      <c r="E7048" s="11"/>
      <c r="F7048" s="11"/>
      <c r="G7048" s="13">
        <f t="shared" si="1"/>
        <v>1281</v>
      </c>
      <c r="H7048" s="13"/>
    </row>
    <row r="7049" ht="22.5" customHeight="1">
      <c r="B7049" s="17"/>
      <c r="C7049" s="17"/>
      <c r="D7049" s="13"/>
      <c r="E7049" s="11"/>
      <c r="F7049" s="11"/>
      <c r="G7049" s="13">
        <f t="shared" si="1"/>
        <v>1281</v>
      </c>
      <c r="H7049" s="13"/>
    </row>
    <row r="7050" ht="22.5" customHeight="1">
      <c r="B7050" s="17"/>
      <c r="C7050" s="17"/>
      <c r="D7050" s="13"/>
      <c r="E7050" s="11"/>
      <c r="F7050" s="11"/>
      <c r="G7050" s="13">
        <f t="shared" si="1"/>
        <v>1281</v>
      </c>
      <c r="H7050" s="13"/>
    </row>
    <row r="7051" ht="22.5" customHeight="1">
      <c r="B7051" s="17"/>
      <c r="C7051" s="17"/>
      <c r="D7051" s="13"/>
      <c r="E7051" s="11"/>
      <c r="F7051" s="11"/>
      <c r="G7051" s="13">
        <f t="shared" si="1"/>
        <v>1281</v>
      </c>
      <c r="H7051" s="13"/>
    </row>
    <row r="7052" ht="22.5" customHeight="1">
      <c r="B7052" s="17"/>
      <c r="C7052" s="17"/>
      <c r="D7052" s="13"/>
      <c r="E7052" s="11"/>
      <c r="F7052" s="11"/>
      <c r="G7052" s="13">
        <f t="shared" si="1"/>
        <v>1281</v>
      </c>
      <c r="H7052" s="13"/>
    </row>
    <row r="7053" ht="22.5" customHeight="1">
      <c r="B7053" s="17"/>
      <c r="C7053" s="17"/>
      <c r="D7053" s="13"/>
      <c r="E7053" s="11"/>
      <c r="F7053" s="11"/>
      <c r="G7053" s="13">
        <f t="shared" si="1"/>
        <v>1281</v>
      </c>
      <c r="H7053" s="13"/>
    </row>
    <row r="7054" ht="22.5" customHeight="1">
      <c r="B7054" s="17"/>
      <c r="C7054" s="17"/>
      <c r="D7054" s="13"/>
      <c r="E7054" s="11"/>
      <c r="F7054" s="11"/>
      <c r="G7054" s="13">
        <f t="shared" si="1"/>
        <v>1281</v>
      </c>
      <c r="H7054" s="13"/>
    </row>
    <row r="7055" ht="22.5" customHeight="1">
      <c r="B7055" s="17"/>
      <c r="C7055" s="17"/>
      <c r="D7055" s="13"/>
      <c r="E7055" s="11"/>
      <c r="F7055" s="11"/>
      <c r="G7055" s="13">
        <f t="shared" si="1"/>
        <v>1281</v>
      </c>
      <c r="H7055" s="13"/>
    </row>
    <row r="7056" ht="22.5" customHeight="1">
      <c r="B7056" s="17"/>
      <c r="C7056" s="17"/>
      <c r="D7056" s="13"/>
      <c r="E7056" s="11"/>
      <c r="F7056" s="11"/>
      <c r="G7056" s="13">
        <f t="shared" si="1"/>
        <v>1281</v>
      </c>
      <c r="H7056" s="13"/>
    </row>
    <row r="7057" ht="22.5" customHeight="1">
      <c r="B7057" s="17"/>
      <c r="C7057" s="17"/>
      <c r="D7057" s="13"/>
      <c r="E7057" s="11"/>
      <c r="F7057" s="11"/>
      <c r="G7057" s="13">
        <f t="shared" si="1"/>
        <v>1281</v>
      </c>
      <c r="H7057" s="13"/>
    </row>
    <row r="7058" ht="22.5" customHeight="1">
      <c r="B7058" s="17"/>
      <c r="C7058" s="17"/>
      <c r="D7058" s="13"/>
      <c r="E7058" s="11"/>
      <c r="F7058" s="11"/>
      <c r="G7058" s="13">
        <f t="shared" si="1"/>
        <v>1281</v>
      </c>
      <c r="H7058" s="13"/>
    </row>
    <row r="7059" ht="22.5" customHeight="1">
      <c r="B7059" s="17"/>
      <c r="C7059" s="17"/>
      <c r="D7059" s="13"/>
      <c r="E7059" s="11"/>
      <c r="F7059" s="11"/>
      <c r="G7059" s="13">
        <f t="shared" si="1"/>
        <v>1281</v>
      </c>
      <c r="H7059" s="13"/>
    </row>
    <row r="7060" ht="22.5" customHeight="1">
      <c r="B7060" s="17"/>
      <c r="C7060" s="17"/>
      <c r="D7060" s="13"/>
      <c r="E7060" s="11"/>
      <c r="F7060" s="11"/>
      <c r="G7060" s="13">
        <f t="shared" si="1"/>
        <v>1281</v>
      </c>
      <c r="H7060" s="13"/>
    </row>
    <row r="7061" ht="22.5" customHeight="1">
      <c r="B7061" s="17"/>
      <c r="C7061" s="17"/>
      <c r="D7061" s="13"/>
      <c r="E7061" s="11"/>
      <c r="F7061" s="11"/>
      <c r="G7061" s="13">
        <f t="shared" si="1"/>
        <v>1281</v>
      </c>
      <c r="H7061" s="13"/>
    </row>
    <row r="7062" ht="22.5" customHeight="1">
      <c r="B7062" s="17"/>
      <c r="C7062" s="17"/>
      <c r="D7062" s="13"/>
      <c r="E7062" s="11"/>
      <c r="F7062" s="11"/>
      <c r="G7062" s="13">
        <f t="shared" si="1"/>
        <v>1281</v>
      </c>
      <c r="H7062" s="13"/>
    </row>
    <row r="7063" ht="22.5" customHeight="1">
      <c r="B7063" s="17"/>
      <c r="C7063" s="17"/>
      <c r="D7063" s="13"/>
      <c r="E7063" s="11"/>
      <c r="F7063" s="11"/>
      <c r="G7063" s="13">
        <f t="shared" si="1"/>
        <v>1281</v>
      </c>
      <c r="H7063" s="13"/>
    </row>
    <row r="7064" ht="22.5" customHeight="1">
      <c r="B7064" s="17"/>
      <c r="C7064" s="17"/>
      <c r="D7064" s="13"/>
      <c r="E7064" s="11"/>
      <c r="F7064" s="11"/>
      <c r="G7064" s="13">
        <f t="shared" si="1"/>
        <v>1281</v>
      </c>
      <c r="H7064" s="13"/>
    </row>
    <row r="7065" ht="22.5" customHeight="1">
      <c r="B7065" s="17"/>
      <c r="C7065" s="17"/>
      <c r="D7065" s="13"/>
      <c r="E7065" s="11"/>
      <c r="F7065" s="11"/>
      <c r="G7065" s="13">
        <f t="shared" si="1"/>
        <v>1281</v>
      </c>
      <c r="H7065" s="13"/>
    </row>
    <row r="7066" ht="22.5" customHeight="1">
      <c r="B7066" s="17"/>
      <c r="C7066" s="17"/>
      <c r="D7066" s="13"/>
      <c r="E7066" s="11"/>
      <c r="F7066" s="11"/>
      <c r="G7066" s="13">
        <f t="shared" si="1"/>
        <v>1281</v>
      </c>
      <c r="H7066" s="13"/>
    </row>
    <row r="7067" ht="22.5" customHeight="1">
      <c r="B7067" s="17"/>
      <c r="C7067" s="17"/>
      <c r="D7067" s="13"/>
      <c r="E7067" s="11"/>
      <c r="F7067" s="11"/>
      <c r="G7067" s="13">
        <f t="shared" si="1"/>
        <v>1281</v>
      </c>
      <c r="H7067" s="13"/>
    </row>
    <row r="7068" ht="22.5" customHeight="1">
      <c r="B7068" s="17"/>
      <c r="C7068" s="17"/>
      <c r="D7068" s="13"/>
      <c r="E7068" s="11"/>
      <c r="F7068" s="11"/>
      <c r="G7068" s="13">
        <f t="shared" si="1"/>
        <v>1281</v>
      </c>
      <c r="H7068" s="13"/>
    </row>
    <row r="7069" ht="22.5" customHeight="1">
      <c r="B7069" s="17"/>
      <c r="C7069" s="17"/>
      <c r="D7069" s="13"/>
      <c r="E7069" s="11"/>
      <c r="F7069" s="11"/>
      <c r="G7069" s="13">
        <f t="shared" si="1"/>
        <v>1281</v>
      </c>
      <c r="H7069" s="13"/>
    </row>
    <row r="7070" ht="22.5" customHeight="1">
      <c r="B7070" s="17"/>
      <c r="C7070" s="17"/>
      <c r="D7070" s="13"/>
      <c r="E7070" s="11"/>
      <c r="F7070" s="11"/>
      <c r="G7070" s="13">
        <f t="shared" si="1"/>
        <v>1281</v>
      </c>
      <c r="H7070" s="13"/>
    </row>
    <row r="7071" ht="22.5" customHeight="1">
      <c r="B7071" s="17"/>
      <c r="C7071" s="17"/>
      <c r="D7071" s="13"/>
      <c r="E7071" s="11"/>
      <c r="F7071" s="11"/>
      <c r="G7071" s="13">
        <f t="shared" si="1"/>
        <v>1281</v>
      </c>
      <c r="H7071" s="13"/>
    </row>
    <row r="7072" ht="22.5" customHeight="1">
      <c r="B7072" s="17"/>
      <c r="C7072" s="17"/>
      <c r="D7072" s="13"/>
      <c r="E7072" s="11"/>
      <c r="F7072" s="11"/>
      <c r="G7072" s="13">
        <f t="shared" si="1"/>
        <v>1281</v>
      </c>
      <c r="H7072" s="13"/>
    </row>
    <row r="7073" ht="22.5" customHeight="1">
      <c r="B7073" s="17"/>
      <c r="C7073" s="17"/>
      <c r="D7073" s="13"/>
      <c r="E7073" s="11"/>
      <c r="F7073" s="11"/>
      <c r="G7073" s="13">
        <f t="shared" si="1"/>
        <v>1281</v>
      </c>
      <c r="H7073" s="13"/>
    </row>
    <row r="7074" ht="22.5" customHeight="1">
      <c r="B7074" s="17"/>
      <c r="C7074" s="17"/>
      <c r="D7074" s="13"/>
      <c r="E7074" s="11"/>
      <c r="F7074" s="11"/>
      <c r="G7074" s="13">
        <f t="shared" si="1"/>
        <v>1281</v>
      </c>
      <c r="H7074" s="13"/>
    </row>
    <row r="7075" ht="22.5" customHeight="1">
      <c r="B7075" s="17"/>
      <c r="C7075" s="17"/>
      <c r="D7075" s="13"/>
      <c r="E7075" s="11"/>
      <c r="F7075" s="11"/>
      <c r="G7075" s="13">
        <f t="shared" si="1"/>
        <v>1281</v>
      </c>
      <c r="H7075" s="13"/>
    </row>
    <row r="7076" ht="22.5" customHeight="1">
      <c r="B7076" s="17"/>
      <c r="C7076" s="17"/>
      <c r="D7076" s="13"/>
      <c r="E7076" s="11"/>
      <c r="F7076" s="11"/>
      <c r="G7076" s="13">
        <f t="shared" si="1"/>
        <v>1281</v>
      </c>
      <c r="H7076" s="13"/>
    </row>
    <row r="7077" ht="22.5" customHeight="1">
      <c r="B7077" s="17"/>
      <c r="C7077" s="17"/>
      <c r="D7077" s="13"/>
      <c r="E7077" s="11"/>
      <c r="F7077" s="11"/>
      <c r="G7077" s="13">
        <f t="shared" si="1"/>
        <v>1281</v>
      </c>
      <c r="H7077" s="13"/>
    </row>
    <row r="7078" ht="22.5" customHeight="1">
      <c r="B7078" s="17"/>
      <c r="C7078" s="17"/>
      <c r="D7078" s="13"/>
      <c r="E7078" s="11"/>
      <c r="F7078" s="11"/>
      <c r="G7078" s="13">
        <f t="shared" si="1"/>
        <v>1281</v>
      </c>
      <c r="H7078" s="13"/>
    </row>
    <row r="7079" ht="22.5" customHeight="1">
      <c r="B7079" s="17"/>
      <c r="C7079" s="17"/>
      <c r="D7079" s="13"/>
      <c r="E7079" s="11"/>
      <c r="F7079" s="11"/>
      <c r="G7079" s="13">
        <f t="shared" si="1"/>
        <v>1281</v>
      </c>
      <c r="H7079" s="13"/>
    </row>
    <row r="7080" ht="22.5" customHeight="1">
      <c r="B7080" s="17"/>
      <c r="C7080" s="17"/>
      <c r="D7080" s="13"/>
      <c r="E7080" s="11"/>
      <c r="F7080" s="11"/>
      <c r="G7080" s="13">
        <f t="shared" si="1"/>
        <v>1281</v>
      </c>
      <c r="H7080" s="13"/>
    </row>
    <row r="7081" ht="22.5" customHeight="1">
      <c r="B7081" s="17"/>
      <c r="C7081" s="17"/>
      <c r="D7081" s="13"/>
      <c r="E7081" s="11"/>
      <c r="F7081" s="11"/>
      <c r="G7081" s="13">
        <f t="shared" si="1"/>
        <v>1281</v>
      </c>
      <c r="H7081" s="13"/>
    </row>
    <row r="7082" ht="22.5" customHeight="1">
      <c r="B7082" s="17"/>
      <c r="C7082" s="17"/>
      <c r="D7082" s="13"/>
      <c r="E7082" s="11"/>
      <c r="F7082" s="11"/>
      <c r="G7082" s="13">
        <f t="shared" si="1"/>
        <v>1281</v>
      </c>
      <c r="H7082" s="13"/>
    </row>
    <row r="7083" ht="22.5" customHeight="1">
      <c r="B7083" s="17"/>
      <c r="C7083" s="17"/>
      <c r="D7083" s="13"/>
      <c r="E7083" s="11"/>
      <c r="F7083" s="11"/>
      <c r="G7083" s="13">
        <f t="shared" si="1"/>
        <v>1281</v>
      </c>
      <c r="H7083" s="13"/>
    </row>
    <row r="7084" ht="22.5" customHeight="1">
      <c r="B7084" s="17"/>
      <c r="C7084" s="17"/>
      <c r="D7084" s="13"/>
      <c r="E7084" s="11"/>
      <c r="F7084" s="11"/>
      <c r="G7084" s="13">
        <f t="shared" si="1"/>
        <v>1281</v>
      </c>
      <c r="H7084" s="13"/>
    </row>
    <row r="7085" ht="22.5" customHeight="1">
      <c r="B7085" s="17"/>
      <c r="C7085" s="17"/>
      <c r="D7085" s="13"/>
      <c r="E7085" s="11"/>
      <c r="F7085" s="11"/>
      <c r="G7085" s="13">
        <f t="shared" si="1"/>
        <v>1281</v>
      </c>
      <c r="H7085" s="13"/>
    </row>
    <row r="7086" ht="22.5" customHeight="1">
      <c r="B7086" s="17"/>
      <c r="C7086" s="17"/>
      <c r="D7086" s="13"/>
      <c r="E7086" s="11"/>
      <c r="F7086" s="11"/>
      <c r="G7086" s="13">
        <f t="shared" si="1"/>
        <v>1281</v>
      </c>
      <c r="H7086" s="13"/>
    </row>
    <row r="7087" ht="22.5" customHeight="1">
      <c r="B7087" s="17"/>
      <c r="C7087" s="17"/>
      <c r="D7087" s="13"/>
      <c r="E7087" s="11"/>
      <c r="F7087" s="11"/>
      <c r="G7087" s="13">
        <f t="shared" si="1"/>
        <v>1281</v>
      </c>
      <c r="H7087" s="13"/>
    </row>
    <row r="7088" ht="22.5" customHeight="1">
      <c r="B7088" s="17"/>
      <c r="C7088" s="17"/>
      <c r="D7088" s="13"/>
      <c r="E7088" s="11"/>
      <c r="F7088" s="11"/>
      <c r="G7088" s="13">
        <f t="shared" si="1"/>
        <v>1281</v>
      </c>
      <c r="H7088" s="13"/>
    </row>
    <row r="7089" ht="22.5" customHeight="1">
      <c r="B7089" s="17"/>
      <c r="C7089" s="17"/>
      <c r="D7089" s="13"/>
      <c r="E7089" s="11"/>
      <c r="F7089" s="11"/>
      <c r="G7089" s="13">
        <f t="shared" si="1"/>
        <v>1281</v>
      </c>
      <c r="H7089" s="13"/>
    </row>
    <row r="7090" ht="22.5" customHeight="1">
      <c r="B7090" s="17"/>
      <c r="C7090" s="17"/>
      <c r="D7090" s="13"/>
      <c r="E7090" s="11"/>
      <c r="F7090" s="11"/>
      <c r="G7090" s="13">
        <f t="shared" si="1"/>
        <v>1281</v>
      </c>
      <c r="H7090" s="13"/>
    </row>
    <row r="7091" ht="22.5" customHeight="1">
      <c r="B7091" s="17"/>
      <c r="C7091" s="17"/>
      <c r="D7091" s="13"/>
      <c r="E7091" s="11"/>
      <c r="F7091" s="11"/>
      <c r="G7091" s="13">
        <f t="shared" si="1"/>
        <v>1281</v>
      </c>
      <c r="H7091" s="13"/>
    </row>
    <row r="7092" ht="22.5" customHeight="1">
      <c r="B7092" s="17"/>
      <c r="C7092" s="17"/>
      <c r="D7092" s="13"/>
      <c r="E7092" s="11"/>
      <c r="F7092" s="11"/>
      <c r="G7092" s="13">
        <f t="shared" si="1"/>
        <v>1281</v>
      </c>
      <c r="H7092" s="13"/>
    </row>
    <row r="7093" ht="22.5" customHeight="1">
      <c r="B7093" s="17"/>
      <c r="C7093" s="17"/>
      <c r="D7093" s="13"/>
      <c r="E7093" s="11"/>
      <c r="F7093" s="11"/>
      <c r="G7093" s="13">
        <f t="shared" si="1"/>
        <v>1281</v>
      </c>
      <c r="H7093" s="13"/>
    </row>
    <row r="7094" ht="22.5" customHeight="1">
      <c r="B7094" s="17"/>
      <c r="C7094" s="17"/>
      <c r="D7094" s="13"/>
      <c r="E7094" s="11"/>
      <c r="F7094" s="11"/>
      <c r="G7094" s="13">
        <f t="shared" si="1"/>
        <v>1281</v>
      </c>
      <c r="H7094" s="13"/>
    </row>
    <row r="7095" ht="22.5" customHeight="1">
      <c r="B7095" s="17"/>
      <c r="C7095" s="17"/>
      <c r="D7095" s="13"/>
      <c r="E7095" s="11"/>
      <c r="F7095" s="11"/>
      <c r="G7095" s="13">
        <f t="shared" si="1"/>
        <v>1281</v>
      </c>
      <c r="H7095" s="13"/>
    </row>
    <row r="7096" ht="22.5" customHeight="1">
      <c r="B7096" s="17"/>
      <c r="C7096" s="17"/>
      <c r="D7096" s="13"/>
      <c r="E7096" s="11"/>
      <c r="F7096" s="11"/>
      <c r="G7096" s="13">
        <f t="shared" si="1"/>
        <v>1281</v>
      </c>
      <c r="H7096" s="13"/>
    </row>
    <row r="7097" ht="22.5" customHeight="1">
      <c r="B7097" s="17"/>
      <c r="C7097" s="17"/>
      <c r="D7097" s="13"/>
      <c r="E7097" s="11"/>
      <c r="F7097" s="11"/>
      <c r="G7097" s="13">
        <f t="shared" si="1"/>
        <v>1281</v>
      </c>
      <c r="H7097" s="13"/>
    </row>
    <row r="7098" ht="22.5" customHeight="1">
      <c r="B7098" s="17"/>
      <c r="C7098" s="17"/>
      <c r="D7098" s="13"/>
      <c r="E7098" s="11"/>
      <c r="F7098" s="11"/>
      <c r="G7098" s="13">
        <f t="shared" si="1"/>
        <v>1281</v>
      </c>
      <c r="H7098" s="13"/>
    </row>
    <row r="7099" ht="22.5" customHeight="1">
      <c r="B7099" s="17"/>
      <c r="C7099" s="17"/>
      <c r="D7099" s="13"/>
      <c r="E7099" s="11"/>
      <c r="F7099" s="11"/>
      <c r="G7099" s="13">
        <f t="shared" si="1"/>
        <v>1281</v>
      </c>
      <c r="H7099" s="13"/>
    </row>
    <row r="7100" ht="22.5" customHeight="1">
      <c r="B7100" s="17"/>
      <c r="C7100" s="17"/>
      <c r="D7100" s="13"/>
      <c r="E7100" s="11"/>
      <c r="F7100" s="11"/>
      <c r="G7100" s="13">
        <f t="shared" si="1"/>
        <v>1281</v>
      </c>
      <c r="H7100" s="13"/>
    </row>
    <row r="7101" ht="22.5" customHeight="1">
      <c r="B7101" s="17"/>
      <c r="C7101" s="17"/>
      <c r="D7101" s="13"/>
      <c r="E7101" s="11"/>
      <c r="F7101" s="11"/>
      <c r="G7101" s="13">
        <f t="shared" si="1"/>
        <v>1281</v>
      </c>
      <c r="H7101" s="13"/>
    </row>
    <row r="7102" ht="22.5" customHeight="1">
      <c r="B7102" s="17"/>
      <c r="C7102" s="17"/>
      <c r="D7102" s="13"/>
      <c r="E7102" s="11"/>
      <c r="F7102" s="11"/>
      <c r="G7102" s="13">
        <f t="shared" si="1"/>
        <v>1281</v>
      </c>
      <c r="H7102" s="13"/>
    </row>
    <row r="7103" ht="22.5" customHeight="1">
      <c r="B7103" s="17"/>
      <c r="C7103" s="17"/>
      <c r="D7103" s="13"/>
      <c r="E7103" s="11"/>
      <c r="F7103" s="11"/>
      <c r="G7103" s="13">
        <f t="shared" si="1"/>
        <v>1281</v>
      </c>
      <c r="H7103" s="13"/>
    </row>
    <row r="7104" ht="22.5" customHeight="1">
      <c r="B7104" s="17"/>
      <c r="C7104" s="17"/>
      <c r="D7104" s="13"/>
      <c r="E7104" s="11"/>
      <c r="F7104" s="11"/>
      <c r="G7104" s="13">
        <f t="shared" si="1"/>
        <v>1281</v>
      </c>
      <c r="H7104" s="13"/>
    </row>
    <row r="7105" ht="22.5" customHeight="1">
      <c r="B7105" s="17"/>
      <c r="C7105" s="17"/>
      <c r="D7105" s="13"/>
      <c r="E7105" s="11"/>
      <c r="F7105" s="11"/>
      <c r="G7105" s="13">
        <f t="shared" si="1"/>
        <v>1281</v>
      </c>
      <c r="H7105" s="13"/>
    </row>
    <row r="7106" ht="22.5" customHeight="1">
      <c r="B7106" s="17"/>
      <c r="C7106" s="17"/>
      <c r="D7106" s="13"/>
      <c r="E7106" s="11"/>
      <c r="F7106" s="11"/>
      <c r="G7106" s="13">
        <f t="shared" si="1"/>
        <v>1281</v>
      </c>
      <c r="H7106" s="13"/>
    </row>
    <row r="7107" ht="22.5" customHeight="1">
      <c r="B7107" s="17"/>
      <c r="C7107" s="17"/>
      <c r="D7107" s="13"/>
      <c r="E7107" s="11"/>
      <c r="F7107" s="11"/>
      <c r="G7107" s="13">
        <f t="shared" si="1"/>
        <v>1281</v>
      </c>
      <c r="H7107" s="13"/>
    </row>
    <row r="7108" ht="22.5" customHeight="1">
      <c r="B7108" s="17"/>
      <c r="C7108" s="17"/>
      <c r="D7108" s="13"/>
      <c r="E7108" s="11"/>
      <c r="F7108" s="11"/>
      <c r="G7108" s="13">
        <f t="shared" si="1"/>
        <v>1281</v>
      </c>
      <c r="H7108" s="13"/>
    </row>
    <row r="7109" ht="22.5" customHeight="1">
      <c r="B7109" s="17"/>
      <c r="C7109" s="17"/>
      <c r="D7109" s="13"/>
      <c r="E7109" s="11"/>
      <c r="F7109" s="11"/>
      <c r="G7109" s="13">
        <f t="shared" si="1"/>
        <v>1281</v>
      </c>
      <c r="H7109" s="13"/>
    </row>
    <row r="7110" ht="22.5" customHeight="1">
      <c r="B7110" s="17"/>
      <c r="C7110" s="17"/>
      <c r="D7110" s="13"/>
      <c r="E7110" s="11"/>
      <c r="F7110" s="11"/>
      <c r="G7110" s="13">
        <f t="shared" si="1"/>
        <v>1281</v>
      </c>
      <c r="H7110" s="13"/>
    </row>
    <row r="7111" ht="22.5" customHeight="1">
      <c r="B7111" s="17"/>
      <c r="C7111" s="17"/>
      <c r="D7111" s="13"/>
      <c r="E7111" s="11"/>
      <c r="F7111" s="11"/>
      <c r="G7111" s="13">
        <f t="shared" si="1"/>
        <v>1281</v>
      </c>
      <c r="H7111" s="13"/>
    </row>
    <row r="7112" ht="22.5" customHeight="1">
      <c r="B7112" s="17"/>
      <c r="C7112" s="17"/>
      <c r="D7112" s="13"/>
      <c r="E7112" s="11"/>
      <c r="F7112" s="11"/>
      <c r="G7112" s="13">
        <f t="shared" si="1"/>
        <v>1281</v>
      </c>
      <c r="H7112" s="13"/>
    </row>
    <row r="7113" ht="22.5" customHeight="1">
      <c r="B7113" s="17"/>
      <c r="C7113" s="17"/>
      <c r="D7113" s="13"/>
      <c r="E7113" s="11"/>
      <c r="F7113" s="11"/>
      <c r="G7113" s="13">
        <f t="shared" si="1"/>
        <v>1281</v>
      </c>
      <c r="H7113" s="13"/>
    </row>
    <row r="7114" ht="22.5" customHeight="1">
      <c r="B7114" s="17"/>
      <c r="C7114" s="17"/>
      <c r="D7114" s="13"/>
      <c r="E7114" s="11"/>
      <c r="F7114" s="11"/>
      <c r="G7114" s="13">
        <f t="shared" si="1"/>
        <v>1281</v>
      </c>
      <c r="H7114" s="13"/>
    </row>
    <row r="7115" ht="22.5" customHeight="1">
      <c r="B7115" s="17"/>
      <c r="C7115" s="17"/>
      <c r="D7115" s="13"/>
      <c r="E7115" s="11"/>
      <c r="F7115" s="11"/>
      <c r="G7115" s="13">
        <f t="shared" si="1"/>
        <v>1281</v>
      </c>
      <c r="H7115" s="13"/>
    </row>
    <row r="7116" ht="22.5" customHeight="1">
      <c r="B7116" s="17"/>
      <c r="C7116" s="17"/>
      <c r="D7116" s="13"/>
      <c r="E7116" s="11"/>
      <c r="F7116" s="11"/>
      <c r="G7116" s="13">
        <f t="shared" si="1"/>
        <v>1281</v>
      </c>
      <c r="H7116" s="13"/>
    </row>
    <row r="7117" ht="22.5" customHeight="1">
      <c r="B7117" s="17"/>
      <c r="C7117" s="17"/>
      <c r="D7117" s="13"/>
      <c r="E7117" s="11"/>
      <c r="F7117" s="11"/>
      <c r="G7117" s="13">
        <f t="shared" si="1"/>
        <v>1281</v>
      </c>
      <c r="H7117" s="13"/>
    </row>
    <row r="7118" ht="22.5" customHeight="1">
      <c r="B7118" s="17"/>
      <c r="C7118" s="17"/>
      <c r="D7118" s="13"/>
      <c r="E7118" s="11"/>
      <c r="F7118" s="11"/>
      <c r="G7118" s="13">
        <f t="shared" si="1"/>
        <v>1281</v>
      </c>
      <c r="H7118" s="13"/>
    </row>
    <row r="7119" ht="22.5" customHeight="1">
      <c r="B7119" s="17"/>
      <c r="C7119" s="17"/>
      <c r="D7119" s="13"/>
      <c r="E7119" s="11"/>
      <c r="F7119" s="11"/>
      <c r="G7119" s="13">
        <f t="shared" si="1"/>
        <v>1281</v>
      </c>
      <c r="H7119" s="13"/>
    </row>
    <row r="7120" ht="22.5" customHeight="1">
      <c r="B7120" s="17"/>
      <c r="C7120" s="17"/>
      <c r="D7120" s="13"/>
      <c r="E7120" s="11"/>
      <c r="F7120" s="11"/>
      <c r="G7120" s="13">
        <f t="shared" si="1"/>
        <v>1281</v>
      </c>
      <c r="H7120" s="13"/>
    </row>
    <row r="7121" ht="22.5" customHeight="1">
      <c r="B7121" s="17"/>
      <c r="C7121" s="17"/>
      <c r="D7121" s="13"/>
      <c r="E7121" s="11"/>
      <c r="F7121" s="11"/>
      <c r="G7121" s="13">
        <f t="shared" si="1"/>
        <v>1281</v>
      </c>
      <c r="H7121" s="13"/>
    </row>
    <row r="7122" ht="22.5" customHeight="1">
      <c r="B7122" s="17"/>
      <c r="C7122" s="17"/>
      <c r="D7122" s="13"/>
      <c r="E7122" s="11"/>
      <c r="F7122" s="11"/>
      <c r="G7122" s="13">
        <f t="shared" si="1"/>
        <v>1281</v>
      </c>
      <c r="H7122" s="13"/>
    </row>
    <row r="7123" ht="22.5" customHeight="1">
      <c r="B7123" s="17"/>
      <c r="C7123" s="17"/>
      <c r="D7123" s="13"/>
      <c r="E7123" s="11"/>
      <c r="F7123" s="11"/>
      <c r="G7123" s="13">
        <f t="shared" si="1"/>
        <v>1281</v>
      </c>
      <c r="H7123" s="13"/>
    </row>
    <row r="7124" ht="22.5" customHeight="1">
      <c r="B7124" s="17"/>
      <c r="C7124" s="17"/>
      <c r="D7124" s="13"/>
      <c r="E7124" s="11"/>
      <c r="F7124" s="11"/>
      <c r="G7124" s="13">
        <f t="shared" si="1"/>
        <v>1281</v>
      </c>
      <c r="H7124" s="13"/>
    </row>
    <row r="7125" ht="22.5" customHeight="1">
      <c r="B7125" s="17"/>
      <c r="C7125" s="17"/>
      <c r="D7125" s="13"/>
      <c r="E7125" s="11"/>
      <c r="F7125" s="11"/>
      <c r="G7125" s="13">
        <f t="shared" si="1"/>
        <v>1281</v>
      </c>
      <c r="H7125" s="13"/>
    </row>
    <row r="7126" ht="22.5" customHeight="1">
      <c r="B7126" s="17"/>
      <c r="C7126" s="17"/>
      <c r="D7126" s="13"/>
      <c r="E7126" s="11"/>
      <c r="F7126" s="11"/>
      <c r="G7126" s="13">
        <f t="shared" si="1"/>
        <v>1281</v>
      </c>
      <c r="H7126" s="13"/>
    </row>
    <row r="7127" ht="22.5" customHeight="1">
      <c r="B7127" s="17"/>
      <c r="C7127" s="17"/>
      <c r="D7127" s="13"/>
      <c r="E7127" s="11"/>
      <c r="F7127" s="11"/>
      <c r="G7127" s="13">
        <f t="shared" si="1"/>
        <v>1281</v>
      </c>
      <c r="H7127" s="13"/>
    </row>
    <row r="7128" ht="22.5" customHeight="1">
      <c r="B7128" s="17"/>
      <c r="C7128" s="17"/>
      <c r="D7128" s="13"/>
      <c r="E7128" s="11"/>
      <c r="F7128" s="11"/>
      <c r="G7128" s="13">
        <f t="shared" si="1"/>
        <v>1281</v>
      </c>
      <c r="H7128" s="13"/>
    </row>
    <row r="7129" ht="22.5" customHeight="1">
      <c r="B7129" s="17"/>
      <c r="C7129" s="17"/>
      <c r="D7129" s="13"/>
      <c r="E7129" s="11"/>
      <c r="F7129" s="11"/>
      <c r="G7129" s="13">
        <f t="shared" si="1"/>
        <v>1281</v>
      </c>
      <c r="H7129" s="13"/>
    </row>
    <row r="7130" ht="22.5" customHeight="1">
      <c r="B7130" s="17"/>
      <c r="C7130" s="17"/>
      <c r="D7130" s="13"/>
      <c r="E7130" s="11"/>
      <c r="F7130" s="11"/>
      <c r="G7130" s="13">
        <f t="shared" si="1"/>
        <v>1281</v>
      </c>
      <c r="H7130" s="13"/>
    </row>
    <row r="7131" ht="22.5" customHeight="1">
      <c r="B7131" s="17"/>
      <c r="C7131" s="17"/>
      <c r="D7131" s="13"/>
      <c r="E7131" s="11"/>
      <c r="F7131" s="11"/>
      <c r="G7131" s="13">
        <f t="shared" si="1"/>
        <v>1281</v>
      </c>
      <c r="H7131" s="13"/>
    </row>
    <row r="7132" ht="22.5" customHeight="1">
      <c r="B7132" s="17"/>
      <c r="C7132" s="17"/>
      <c r="D7132" s="13"/>
      <c r="E7132" s="11"/>
      <c r="F7132" s="11"/>
      <c r="G7132" s="13">
        <f t="shared" si="1"/>
        <v>1281</v>
      </c>
      <c r="H7132" s="13"/>
    </row>
    <row r="7133" ht="22.5" customHeight="1">
      <c r="B7133" s="17"/>
      <c r="C7133" s="17"/>
      <c r="D7133" s="13"/>
      <c r="E7133" s="11"/>
      <c r="F7133" s="11"/>
      <c r="G7133" s="13">
        <f t="shared" si="1"/>
        <v>1281</v>
      </c>
      <c r="H7133" s="13"/>
    </row>
    <row r="7134" ht="22.5" customHeight="1">
      <c r="B7134" s="17"/>
      <c r="C7134" s="17"/>
      <c r="D7134" s="13"/>
      <c r="E7134" s="11"/>
      <c r="F7134" s="11"/>
      <c r="G7134" s="13">
        <f t="shared" si="1"/>
        <v>1281</v>
      </c>
      <c r="H7134" s="13"/>
    </row>
    <row r="7135" ht="22.5" customHeight="1">
      <c r="B7135" s="17"/>
      <c r="C7135" s="17"/>
      <c r="D7135" s="13"/>
      <c r="E7135" s="11"/>
      <c r="F7135" s="11"/>
      <c r="G7135" s="13">
        <f t="shared" si="1"/>
        <v>1281</v>
      </c>
      <c r="H7135" s="13"/>
    </row>
    <row r="7136" ht="22.5" customHeight="1">
      <c r="B7136" s="17"/>
      <c r="C7136" s="17"/>
      <c r="D7136" s="13"/>
      <c r="E7136" s="11"/>
      <c r="F7136" s="11"/>
      <c r="G7136" s="13">
        <f t="shared" si="1"/>
        <v>1281</v>
      </c>
      <c r="H7136" s="13"/>
    </row>
    <row r="7137" ht="22.5" customHeight="1">
      <c r="B7137" s="17"/>
      <c r="C7137" s="17"/>
      <c r="D7137" s="13"/>
      <c r="E7137" s="11"/>
      <c r="F7137" s="11"/>
      <c r="G7137" s="13">
        <f t="shared" si="1"/>
        <v>1281</v>
      </c>
      <c r="H7137" s="13"/>
    </row>
    <row r="7138" ht="22.5" customHeight="1">
      <c r="B7138" s="17"/>
      <c r="C7138" s="17"/>
      <c r="D7138" s="13"/>
      <c r="E7138" s="11"/>
      <c r="F7138" s="11"/>
      <c r="G7138" s="13">
        <f t="shared" si="1"/>
        <v>1281</v>
      </c>
      <c r="H7138" s="13"/>
    </row>
    <row r="7139" ht="22.5" customHeight="1">
      <c r="B7139" s="17"/>
      <c r="C7139" s="17"/>
      <c r="D7139" s="13"/>
      <c r="E7139" s="11"/>
      <c r="F7139" s="11"/>
      <c r="G7139" s="13">
        <f t="shared" si="1"/>
        <v>1281</v>
      </c>
      <c r="H7139" s="13"/>
    </row>
    <row r="7140" ht="22.5" customHeight="1">
      <c r="B7140" s="17"/>
      <c r="C7140" s="17"/>
      <c r="D7140" s="13"/>
      <c r="E7140" s="11"/>
      <c r="F7140" s="11"/>
      <c r="G7140" s="13">
        <f t="shared" si="1"/>
        <v>1281</v>
      </c>
      <c r="H7140" s="13"/>
    </row>
    <row r="7141" ht="22.5" customHeight="1">
      <c r="B7141" s="17"/>
      <c r="C7141" s="17"/>
      <c r="D7141" s="13"/>
      <c r="E7141" s="11"/>
      <c r="F7141" s="11"/>
      <c r="G7141" s="13">
        <f t="shared" si="1"/>
        <v>1281</v>
      </c>
      <c r="H7141" s="13"/>
    </row>
    <row r="7142" ht="22.5" customHeight="1">
      <c r="B7142" s="17"/>
      <c r="C7142" s="17"/>
      <c r="D7142" s="13"/>
      <c r="E7142" s="11"/>
      <c r="F7142" s="11"/>
      <c r="G7142" s="13">
        <f t="shared" si="1"/>
        <v>1281</v>
      </c>
      <c r="H7142" s="13"/>
    </row>
    <row r="7143" ht="22.5" customHeight="1">
      <c r="B7143" s="17"/>
      <c r="C7143" s="17"/>
      <c r="D7143" s="13"/>
      <c r="E7143" s="11"/>
      <c r="F7143" s="11"/>
      <c r="G7143" s="13">
        <f t="shared" si="1"/>
        <v>1281</v>
      </c>
      <c r="H7143" s="13"/>
    </row>
    <row r="7144" ht="22.5" customHeight="1">
      <c r="B7144" s="17"/>
      <c r="C7144" s="17"/>
      <c r="D7144" s="13"/>
      <c r="E7144" s="11"/>
      <c r="F7144" s="11"/>
      <c r="G7144" s="13">
        <f t="shared" si="1"/>
        <v>1281</v>
      </c>
      <c r="H7144" s="13"/>
    </row>
    <row r="7145" ht="22.5" customHeight="1">
      <c r="B7145" s="17"/>
      <c r="C7145" s="17"/>
      <c r="D7145" s="13"/>
      <c r="E7145" s="11"/>
      <c r="F7145" s="11"/>
      <c r="G7145" s="13">
        <f t="shared" si="1"/>
        <v>1281</v>
      </c>
      <c r="H7145" s="13"/>
    </row>
    <row r="7146" ht="22.5" customHeight="1">
      <c r="B7146" s="17"/>
      <c r="C7146" s="17"/>
      <c r="D7146" s="13"/>
      <c r="E7146" s="11"/>
      <c r="F7146" s="11"/>
      <c r="G7146" s="13">
        <f t="shared" si="1"/>
        <v>1281</v>
      </c>
      <c r="H7146" s="13"/>
    </row>
    <row r="7147" ht="22.5" customHeight="1">
      <c r="B7147" s="17"/>
      <c r="C7147" s="17"/>
      <c r="D7147" s="13"/>
      <c r="E7147" s="11"/>
      <c r="F7147" s="11"/>
      <c r="G7147" s="13">
        <f t="shared" si="1"/>
        <v>1281</v>
      </c>
      <c r="H7147" s="13"/>
    </row>
    <row r="7148" ht="22.5" customHeight="1">
      <c r="B7148" s="17"/>
      <c r="C7148" s="17"/>
      <c r="D7148" s="13"/>
      <c r="E7148" s="11"/>
      <c r="F7148" s="11"/>
      <c r="G7148" s="13">
        <f t="shared" si="1"/>
        <v>1281</v>
      </c>
      <c r="H7148" s="13"/>
    </row>
    <row r="7149" ht="22.5" customHeight="1">
      <c r="B7149" s="17"/>
      <c r="C7149" s="17"/>
      <c r="D7149" s="13"/>
      <c r="E7149" s="11"/>
      <c r="F7149" s="11"/>
      <c r="G7149" s="13">
        <f t="shared" si="1"/>
        <v>1281</v>
      </c>
      <c r="H7149" s="13"/>
    </row>
    <row r="7150" ht="22.5" customHeight="1">
      <c r="B7150" s="17"/>
      <c r="C7150" s="17"/>
      <c r="D7150" s="13"/>
      <c r="E7150" s="11"/>
      <c r="F7150" s="11"/>
      <c r="G7150" s="13">
        <f t="shared" si="1"/>
        <v>1281</v>
      </c>
      <c r="H7150" s="13"/>
    </row>
    <row r="7151" ht="22.5" customHeight="1">
      <c r="B7151" s="17"/>
      <c r="C7151" s="17"/>
      <c r="D7151" s="13"/>
      <c r="E7151" s="11"/>
      <c r="F7151" s="11"/>
      <c r="G7151" s="13">
        <f t="shared" si="1"/>
        <v>1281</v>
      </c>
      <c r="H7151" s="13"/>
    </row>
    <row r="7152" ht="22.5" customHeight="1">
      <c r="B7152" s="17"/>
      <c r="C7152" s="17"/>
      <c r="D7152" s="13"/>
      <c r="E7152" s="11"/>
      <c r="F7152" s="11"/>
      <c r="G7152" s="13">
        <f t="shared" si="1"/>
        <v>1281</v>
      </c>
      <c r="H7152" s="13"/>
    </row>
    <row r="7153" ht="22.5" customHeight="1">
      <c r="B7153" s="17"/>
      <c r="C7153" s="17"/>
      <c r="D7153" s="13"/>
      <c r="E7153" s="11"/>
      <c r="F7153" s="11"/>
      <c r="G7153" s="13">
        <f t="shared" si="1"/>
        <v>1281</v>
      </c>
      <c r="H7153" s="13"/>
    </row>
    <row r="7154" ht="22.5" customHeight="1">
      <c r="B7154" s="17"/>
      <c r="C7154" s="17"/>
      <c r="D7154" s="13"/>
      <c r="E7154" s="11"/>
      <c r="F7154" s="11"/>
      <c r="G7154" s="13">
        <f t="shared" si="1"/>
        <v>1281</v>
      </c>
      <c r="H7154" s="13"/>
    </row>
    <row r="7155" ht="22.5" customHeight="1">
      <c r="B7155" s="17"/>
      <c r="C7155" s="17"/>
      <c r="D7155" s="13"/>
      <c r="E7155" s="11"/>
      <c r="F7155" s="11"/>
      <c r="G7155" s="13">
        <f t="shared" si="1"/>
        <v>1281</v>
      </c>
      <c r="H7155" s="13"/>
    </row>
    <row r="7156" ht="22.5" customHeight="1">
      <c r="B7156" s="17"/>
      <c r="C7156" s="17"/>
      <c r="D7156" s="13"/>
      <c r="E7156" s="11"/>
      <c r="F7156" s="11"/>
      <c r="G7156" s="13">
        <f t="shared" si="1"/>
        <v>1281</v>
      </c>
      <c r="H7156" s="13"/>
    </row>
    <row r="7157" ht="22.5" customHeight="1">
      <c r="B7157" s="17"/>
      <c r="C7157" s="17"/>
      <c r="D7157" s="13"/>
      <c r="E7157" s="11"/>
      <c r="F7157" s="11"/>
      <c r="G7157" s="13">
        <f t="shared" si="1"/>
        <v>1281</v>
      </c>
      <c r="H7157" s="13"/>
    </row>
    <row r="7158" ht="22.5" customHeight="1">
      <c r="B7158" s="17"/>
      <c r="C7158" s="17"/>
      <c r="D7158" s="13"/>
      <c r="E7158" s="11"/>
      <c r="F7158" s="11"/>
      <c r="G7158" s="13">
        <f t="shared" si="1"/>
        <v>1281</v>
      </c>
      <c r="H7158" s="13"/>
    </row>
    <row r="7159" ht="22.5" customHeight="1">
      <c r="B7159" s="17"/>
      <c r="C7159" s="17"/>
      <c r="D7159" s="13"/>
      <c r="E7159" s="11"/>
      <c r="F7159" s="11"/>
      <c r="G7159" s="13">
        <f t="shared" si="1"/>
        <v>1281</v>
      </c>
      <c r="H7159" s="13"/>
    </row>
    <row r="7160" ht="22.5" customHeight="1">
      <c r="B7160" s="17"/>
      <c r="C7160" s="17"/>
      <c r="D7160" s="13"/>
      <c r="E7160" s="11"/>
      <c r="F7160" s="11"/>
      <c r="G7160" s="13">
        <f t="shared" si="1"/>
        <v>1281</v>
      </c>
      <c r="H7160" s="13"/>
    </row>
    <row r="7161" ht="22.5" customHeight="1">
      <c r="B7161" s="17"/>
      <c r="C7161" s="17"/>
      <c r="D7161" s="13"/>
      <c r="E7161" s="11"/>
      <c r="F7161" s="11"/>
      <c r="G7161" s="13">
        <f t="shared" si="1"/>
        <v>1281</v>
      </c>
      <c r="H7161" s="13"/>
    </row>
    <row r="7162" ht="22.5" customHeight="1">
      <c r="B7162" s="17"/>
      <c r="C7162" s="17"/>
      <c r="D7162" s="13"/>
      <c r="E7162" s="11"/>
      <c r="F7162" s="11"/>
      <c r="G7162" s="13">
        <f t="shared" si="1"/>
        <v>1281</v>
      </c>
      <c r="H7162" s="13"/>
    </row>
    <row r="7163" ht="22.5" customHeight="1">
      <c r="B7163" s="17"/>
      <c r="C7163" s="17"/>
      <c r="D7163" s="13"/>
      <c r="E7163" s="11"/>
      <c r="F7163" s="11"/>
      <c r="G7163" s="13">
        <f t="shared" si="1"/>
        <v>1281</v>
      </c>
      <c r="H7163" s="13"/>
    </row>
    <row r="7164" ht="22.5" customHeight="1">
      <c r="B7164" s="17"/>
      <c r="C7164" s="17"/>
      <c r="D7164" s="13"/>
      <c r="E7164" s="11"/>
      <c r="F7164" s="11"/>
      <c r="G7164" s="13">
        <f t="shared" si="1"/>
        <v>1281</v>
      </c>
      <c r="H7164" s="13"/>
    </row>
    <row r="7165" ht="22.5" customHeight="1">
      <c r="B7165" s="17"/>
      <c r="C7165" s="17"/>
      <c r="D7165" s="13"/>
      <c r="E7165" s="11"/>
      <c r="F7165" s="11"/>
      <c r="G7165" s="13">
        <f t="shared" si="1"/>
        <v>1281</v>
      </c>
      <c r="H7165" s="13"/>
    </row>
    <row r="7166" ht="22.5" customHeight="1">
      <c r="B7166" s="17"/>
      <c r="C7166" s="17"/>
      <c r="D7166" s="13"/>
      <c r="E7166" s="11"/>
      <c r="F7166" s="11"/>
      <c r="G7166" s="13">
        <f t="shared" si="1"/>
        <v>1281</v>
      </c>
      <c r="H7166" s="13"/>
    </row>
    <row r="7167" ht="22.5" customHeight="1">
      <c r="B7167" s="17"/>
      <c r="C7167" s="17"/>
      <c r="D7167" s="13"/>
      <c r="E7167" s="11"/>
      <c r="F7167" s="11"/>
      <c r="G7167" s="13">
        <f t="shared" si="1"/>
        <v>1281</v>
      </c>
      <c r="H7167" s="13"/>
    </row>
    <row r="7168" ht="22.5" customHeight="1">
      <c r="B7168" s="17"/>
      <c r="C7168" s="17"/>
      <c r="D7168" s="13"/>
      <c r="E7168" s="11"/>
      <c r="F7168" s="11"/>
      <c r="G7168" s="13">
        <f t="shared" si="1"/>
        <v>1281</v>
      </c>
      <c r="H7168" s="13"/>
    </row>
    <row r="7169" ht="22.5" customHeight="1">
      <c r="B7169" s="17"/>
      <c r="C7169" s="17"/>
      <c r="D7169" s="13"/>
      <c r="E7169" s="11"/>
      <c r="F7169" s="11"/>
      <c r="G7169" s="13">
        <f t="shared" si="1"/>
        <v>1281</v>
      </c>
      <c r="H7169" s="13"/>
    </row>
    <row r="7170" ht="22.5" customHeight="1">
      <c r="B7170" s="17"/>
      <c r="C7170" s="17"/>
      <c r="D7170" s="13"/>
      <c r="E7170" s="11"/>
      <c r="F7170" s="11"/>
      <c r="G7170" s="13">
        <f t="shared" si="1"/>
        <v>1281</v>
      </c>
      <c r="H7170" s="13"/>
    </row>
    <row r="7171" ht="22.5" customHeight="1">
      <c r="B7171" s="17"/>
      <c r="C7171" s="17"/>
      <c r="D7171" s="13"/>
      <c r="E7171" s="11"/>
      <c r="F7171" s="11"/>
      <c r="G7171" s="13">
        <f t="shared" si="1"/>
        <v>1281</v>
      </c>
      <c r="H7171" s="13"/>
    </row>
    <row r="7172" ht="22.5" customHeight="1">
      <c r="B7172" s="17"/>
      <c r="C7172" s="17"/>
      <c r="D7172" s="13"/>
      <c r="E7172" s="11"/>
      <c r="F7172" s="11"/>
      <c r="G7172" s="13">
        <f t="shared" si="1"/>
        <v>1281</v>
      </c>
      <c r="H7172" s="13"/>
    </row>
    <row r="7173" ht="22.5" customHeight="1">
      <c r="B7173" s="17"/>
      <c r="C7173" s="17"/>
      <c r="D7173" s="13"/>
      <c r="E7173" s="11"/>
      <c r="F7173" s="11"/>
      <c r="G7173" s="13">
        <f t="shared" si="1"/>
        <v>1281</v>
      </c>
      <c r="H7173" s="13"/>
    </row>
    <row r="7174" ht="22.5" customHeight="1">
      <c r="B7174" s="17"/>
      <c r="C7174" s="17"/>
      <c r="D7174" s="13"/>
      <c r="E7174" s="11"/>
      <c r="F7174" s="11"/>
      <c r="G7174" s="13">
        <f t="shared" si="1"/>
        <v>1281</v>
      </c>
      <c r="H7174" s="13"/>
    </row>
    <row r="7175" ht="22.5" customHeight="1">
      <c r="B7175" s="17"/>
      <c r="C7175" s="17"/>
      <c r="D7175" s="13"/>
      <c r="E7175" s="11"/>
      <c r="F7175" s="11"/>
      <c r="G7175" s="13">
        <f t="shared" si="1"/>
        <v>1281</v>
      </c>
      <c r="H7175" s="13"/>
    </row>
    <row r="7176" ht="22.5" customHeight="1">
      <c r="B7176" s="17"/>
      <c r="C7176" s="17"/>
      <c r="D7176" s="13"/>
      <c r="E7176" s="11"/>
      <c r="F7176" s="11"/>
      <c r="G7176" s="13">
        <f t="shared" si="1"/>
        <v>1281</v>
      </c>
      <c r="H7176" s="13"/>
    </row>
    <row r="7177" ht="22.5" customHeight="1">
      <c r="B7177" s="17"/>
      <c r="C7177" s="17"/>
      <c r="D7177" s="13"/>
      <c r="E7177" s="11"/>
      <c r="F7177" s="11"/>
      <c r="G7177" s="13">
        <f t="shared" si="1"/>
        <v>1281</v>
      </c>
      <c r="H7177" s="13"/>
    </row>
    <row r="7178" ht="22.5" customHeight="1">
      <c r="B7178" s="17"/>
      <c r="C7178" s="17"/>
      <c r="D7178" s="13"/>
      <c r="E7178" s="11"/>
      <c r="F7178" s="11"/>
      <c r="G7178" s="13">
        <f t="shared" si="1"/>
        <v>1281</v>
      </c>
      <c r="H7178" s="13"/>
    </row>
    <row r="7179" ht="22.5" customHeight="1">
      <c r="B7179" s="17"/>
      <c r="C7179" s="17"/>
      <c r="D7179" s="13"/>
      <c r="E7179" s="11"/>
      <c r="F7179" s="11"/>
      <c r="G7179" s="13">
        <f t="shared" si="1"/>
        <v>1281</v>
      </c>
      <c r="H7179" s="13"/>
    </row>
    <row r="7180" ht="22.5" customHeight="1">
      <c r="B7180" s="17"/>
      <c r="C7180" s="17"/>
      <c r="D7180" s="13"/>
      <c r="E7180" s="11"/>
      <c r="F7180" s="11"/>
      <c r="G7180" s="13">
        <f t="shared" si="1"/>
        <v>1281</v>
      </c>
      <c r="H7180" s="13"/>
    </row>
    <row r="7181" ht="22.5" customHeight="1">
      <c r="B7181" s="17"/>
      <c r="C7181" s="17"/>
      <c r="D7181" s="13"/>
      <c r="E7181" s="11"/>
      <c r="F7181" s="11"/>
      <c r="G7181" s="13">
        <f t="shared" si="1"/>
        <v>1281</v>
      </c>
      <c r="H7181" s="13"/>
    </row>
    <row r="7182" ht="22.5" customHeight="1">
      <c r="B7182" s="17"/>
      <c r="C7182" s="17"/>
      <c r="D7182" s="13"/>
      <c r="E7182" s="11"/>
      <c r="F7182" s="11"/>
      <c r="G7182" s="13">
        <f t="shared" si="1"/>
        <v>1281</v>
      </c>
      <c r="H7182" s="13"/>
    </row>
    <row r="7183" ht="22.5" customHeight="1">
      <c r="B7183" s="17"/>
      <c r="C7183" s="17"/>
      <c r="D7183" s="13"/>
      <c r="E7183" s="11"/>
      <c r="F7183" s="11"/>
      <c r="G7183" s="13">
        <f t="shared" si="1"/>
        <v>1281</v>
      </c>
      <c r="H7183" s="13"/>
    </row>
    <row r="7184" ht="22.5" customHeight="1">
      <c r="B7184" s="17"/>
      <c r="C7184" s="17"/>
      <c r="D7184" s="13"/>
      <c r="E7184" s="11"/>
      <c r="F7184" s="11"/>
      <c r="G7184" s="13">
        <f t="shared" si="1"/>
        <v>1281</v>
      </c>
      <c r="H7184" s="13"/>
    </row>
    <row r="7185" ht="22.5" customHeight="1">
      <c r="B7185" s="17"/>
      <c r="C7185" s="17"/>
      <c r="D7185" s="13"/>
      <c r="E7185" s="11"/>
      <c r="F7185" s="11"/>
      <c r="G7185" s="13">
        <f t="shared" si="1"/>
        <v>1281</v>
      </c>
      <c r="H7185" s="13"/>
    </row>
    <row r="7186" ht="22.5" customHeight="1">
      <c r="B7186" s="17"/>
      <c r="C7186" s="17"/>
      <c r="D7186" s="13"/>
      <c r="E7186" s="11"/>
      <c r="F7186" s="11"/>
      <c r="G7186" s="13">
        <f t="shared" si="1"/>
        <v>1281</v>
      </c>
      <c r="H7186" s="13"/>
    </row>
    <row r="7187" ht="22.5" customHeight="1">
      <c r="B7187" s="17"/>
      <c r="C7187" s="17"/>
      <c r="D7187" s="13"/>
      <c r="E7187" s="11"/>
      <c r="F7187" s="11"/>
      <c r="G7187" s="13">
        <f t="shared" si="1"/>
        <v>1281</v>
      </c>
      <c r="H7187" s="13"/>
    </row>
    <row r="7188" ht="22.5" customHeight="1">
      <c r="B7188" s="17"/>
      <c r="C7188" s="17"/>
      <c r="D7188" s="13"/>
      <c r="E7188" s="11"/>
      <c r="F7188" s="11"/>
      <c r="G7188" s="13">
        <f t="shared" si="1"/>
        <v>1281</v>
      </c>
      <c r="H7188" s="13"/>
    </row>
    <row r="7189" ht="22.5" customHeight="1">
      <c r="B7189" s="17"/>
      <c r="C7189" s="17"/>
      <c r="D7189" s="13"/>
      <c r="E7189" s="11"/>
      <c r="F7189" s="11"/>
      <c r="G7189" s="13">
        <f t="shared" si="1"/>
        <v>1281</v>
      </c>
      <c r="H7189" s="13"/>
    </row>
    <row r="7190" ht="22.5" customHeight="1">
      <c r="B7190" s="17"/>
      <c r="C7190" s="17"/>
      <c r="D7190" s="13"/>
      <c r="E7190" s="11"/>
      <c r="F7190" s="11"/>
      <c r="G7190" s="13">
        <f t="shared" si="1"/>
        <v>1281</v>
      </c>
      <c r="H7190" s="13"/>
    </row>
    <row r="7191" ht="22.5" customHeight="1">
      <c r="B7191" s="17"/>
      <c r="C7191" s="17"/>
      <c r="D7191" s="13"/>
      <c r="E7191" s="11"/>
      <c r="F7191" s="11"/>
      <c r="G7191" s="13">
        <f t="shared" si="1"/>
        <v>1281</v>
      </c>
      <c r="H7191" s="13"/>
    </row>
    <row r="7192" ht="22.5" customHeight="1">
      <c r="B7192" s="17"/>
      <c r="C7192" s="17"/>
      <c r="D7192" s="13"/>
      <c r="E7192" s="11"/>
      <c r="F7192" s="11"/>
      <c r="G7192" s="13">
        <f t="shared" si="1"/>
        <v>1281</v>
      </c>
      <c r="H7192" s="13"/>
    </row>
    <row r="7193" ht="22.5" customHeight="1">
      <c r="B7193" s="17"/>
      <c r="C7193" s="17"/>
      <c r="D7193" s="13"/>
      <c r="E7193" s="11"/>
      <c r="F7193" s="11"/>
      <c r="G7193" s="13">
        <f t="shared" si="1"/>
        <v>1281</v>
      </c>
      <c r="H7193" s="13"/>
    </row>
    <row r="7194" ht="22.5" customHeight="1">
      <c r="B7194" s="17"/>
      <c r="C7194" s="17"/>
      <c r="D7194" s="13"/>
      <c r="E7194" s="11"/>
      <c r="F7194" s="11"/>
      <c r="G7194" s="13">
        <f t="shared" si="1"/>
        <v>1281</v>
      </c>
      <c r="H7194" s="13"/>
    </row>
    <row r="7195" ht="22.5" customHeight="1">
      <c r="B7195" s="17"/>
      <c r="C7195" s="17"/>
      <c r="D7195" s="13"/>
      <c r="E7195" s="11"/>
      <c r="F7195" s="11"/>
      <c r="G7195" s="13">
        <f t="shared" si="1"/>
        <v>1281</v>
      </c>
      <c r="H7195" s="13"/>
    </row>
    <row r="7196" ht="22.5" customHeight="1">
      <c r="B7196" s="17"/>
      <c r="C7196" s="17"/>
      <c r="D7196" s="13"/>
      <c r="E7196" s="11"/>
      <c r="F7196" s="11"/>
      <c r="G7196" s="13">
        <f t="shared" si="1"/>
        <v>1281</v>
      </c>
      <c r="H7196" s="13"/>
    </row>
    <row r="7197" ht="22.5" customHeight="1">
      <c r="B7197" s="17"/>
      <c r="C7197" s="17"/>
      <c r="D7197" s="13"/>
      <c r="E7197" s="11"/>
      <c r="F7197" s="11"/>
      <c r="G7197" s="13">
        <f t="shared" si="1"/>
        <v>1281</v>
      </c>
      <c r="H7197" s="13"/>
    </row>
    <row r="7198" ht="22.5" customHeight="1">
      <c r="B7198" s="17"/>
      <c r="C7198" s="17"/>
      <c r="D7198" s="13"/>
      <c r="E7198" s="11"/>
      <c r="F7198" s="11"/>
      <c r="G7198" s="13">
        <f t="shared" si="1"/>
        <v>1281</v>
      </c>
      <c r="H7198" s="13"/>
    </row>
    <row r="7199" ht="22.5" customHeight="1">
      <c r="B7199" s="17"/>
      <c r="C7199" s="17"/>
      <c r="D7199" s="13"/>
      <c r="E7199" s="11"/>
      <c r="F7199" s="11"/>
      <c r="G7199" s="13">
        <f t="shared" si="1"/>
        <v>1281</v>
      </c>
      <c r="H7199" s="13"/>
    </row>
    <row r="7200" ht="22.5" customHeight="1">
      <c r="B7200" s="17"/>
      <c r="C7200" s="17"/>
      <c r="D7200" s="13"/>
      <c r="E7200" s="11"/>
      <c r="F7200" s="11"/>
      <c r="G7200" s="13">
        <f t="shared" si="1"/>
        <v>1281</v>
      </c>
      <c r="H7200" s="13"/>
    </row>
    <row r="7201" ht="22.5" customHeight="1">
      <c r="B7201" s="17"/>
      <c r="C7201" s="17"/>
      <c r="D7201" s="13"/>
      <c r="E7201" s="11"/>
      <c r="F7201" s="11"/>
      <c r="G7201" s="13">
        <f t="shared" si="1"/>
        <v>1281</v>
      </c>
      <c r="H7201" s="13"/>
    </row>
    <row r="7202" ht="22.5" customHeight="1">
      <c r="B7202" s="17"/>
      <c r="C7202" s="17"/>
      <c r="D7202" s="13"/>
      <c r="E7202" s="11"/>
      <c r="F7202" s="11"/>
      <c r="G7202" s="13">
        <f t="shared" si="1"/>
        <v>1281</v>
      </c>
      <c r="H7202" s="13"/>
    </row>
    <row r="7203" ht="22.5" customHeight="1">
      <c r="B7203" s="17"/>
      <c r="C7203" s="17"/>
      <c r="D7203" s="13"/>
      <c r="E7203" s="11"/>
      <c r="F7203" s="11"/>
      <c r="G7203" s="13">
        <f t="shared" si="1"/>
        <v>1281</v>
      </c>
      <c r="H7203" s="13"/>
    </row>
    <row r="7204" ht="22.5" customHeight="1">
      <c r="B7204" s="17"/>
      <c r="C7204" s="17"/>
      <c r="D7204" s="13"/>
      <c r="E7204" s="11"/>
      <c r="F7204" s="11"/>
      <c r="G7204" s="13">
        <f t="shared" si="1"/>
        <v>1281</v>
      </c>
      <c r="H7204" s="13"/>
    </row>
    <row r="7205" ht="22.5" customHeight="1">
      <c r="B7205" s="17"/>
      <c r="C7205" s="17"/>
      <c r="D7205" s="13"/>
      <c r="E7205" s="11"/>
      <c r="F7205" s="11"/>
      <c r="G7205" s="13">
        <f t="shared" si="1"/>
        <v>1281</v>
      </c>
      <c r="H7205" s="13"/>
    </row>
    <row r="7206" ht="22.5" customHeight="1">
      <c r="B7206" s="17"/>
      <c r="C7206" s="17"/>
      <c r="D7206" s="13"/>
      <c r="E7206" s="11"/>
      <c r="F7206" s="11"/>
      <c r="G7206" s="13">
        <f t="shared" si="1"/>
        <v>1281</v>
      </c>
      <c r="H7206" s="13"/>
    </row>
    <row r="7207" ht="22.5" customHeight="1">
      <c r="B7207" s="17"/>
      <c r="C7207" s="17"/>
      <c r="D7207" s="13"/>
      <c r="E7207" s="11"/>
      <c r="F7207" s="11"/>
      <c r="G7207" s="13">
        <f t="shared" si="1"/>
        <v>1281</v>
      </c>
      <c r="H7207" s="13"/>
    </row>
    <row r="7208" ht="22.5" customHeight="1">
      <c r="B7208" s="17"/>
      <c r="C7208" s="17"/>
      <c r="D7208" s="13"/>
      <c r="E7208" s="11"/>
      <c r="F7208" s="11"/>
      <c r="G7208" s="13">
        <f t="shared" si="1"/>
        <v>1281</v>
      </c>
      <c r="H7208" s="13"/>
    </row>
    <row r="7209" ht="22.5" customHeight="1">
      <c r="B7209" s="17"/>
      <c r="C7209" s="17"/>
      <c r="D7209" s="13"/>
      <c r="E7209" s="11"/>
      <c r="F7209" s="11"/>
      <c r="G7209" s="13">
        <f t="shared" si="1"/>
        <v>1281</v>
      </c>
      <c r="H7209" s="13"/>
    </row>
    <row r="7210" ht="22.5" customHeight="1">
      <c r="B7210" s="17"/>
      <c r="C7210" s="17"/>
      <c r="D7210" s="13"/>
      <c r="E7210" s="11"/>
      <c r="F7210" s="11"/>
      <c r="G7210" s="13">
        <f t="shared" si="1"/>
        <v>1281</v>
      </c>
      <c r="H7210" s="13"/>
    </row>
    <row r="7211" ht="22.5" customHeight="1">
      <c r="B7211" s="17"/>
      <c r="C7211" s="17"/>
      <c r="D7211" s="13"/>
      <c r="E7211" s="11"/>
      <c r="F7211" s="11"/>
      <c r="G7211" s="13">
        <f t="shared" si="1"/>
        <v>1281</v>
      </c>
      <c r="H7211" s="13"/>
    </row>
    <row r="7212" ht="22.5" customHeight="1">
      <c r="B7212" s="17"/>
      <c r="C7212" s="17"/>
      <c r="D7212" s="13"/>
      <c r="E7212" s="11"/>
      <c r="F7212" s="11"/>
      <c r="G7212" s="13">
        <f t="shared" si="1"/>
        <v>1281</v>
      </c>
      <c r="H7212" s="13"/>
    </row>
    <row r="7213" ht="22.5" customHeight="1">
      <c r="B7213" s="17"/>
      <c r="C7213" s="17"/>
      <c r="D7213" s="13"/>
      <c r="E7213" s="11"/>
      <c r="F7213" s="11"/>
      <c r="G7213" s="13">
        <f t="shared" si="1"/>
        <v>1281</v>
      </c>
      <c r="H7213" s="13"/>
    </row>
    <row r="7214" ht="22.5" customHeight="1">
      <c r="B7214" s="17"/>
      <c r="C7214" s="17"/>
      <c r="D7214" s="13"/>
      <c r="E7214" s="11"/>
      <c r="F7214" s="11"/>
      <c r="G7214" s="13">
        <f t="shared" si="1"/>
        <v>1281</v>
      </c>
      <c r="H7214" s="13"/>
    </row>
    <row r="7215" ht="22.5" customHeight="1">
      <c r="B7215" s="17"/>
      <c r="C7215" s="17"/>
      <c r="D7215" s="13"/>
      <c r="E7215" s="11"/>
      <c r="F7215" s="11"/>
      <c r="G7215" s="13">
        <f t="shared" si="1"/>
        <v>1281</v>
      </c>
      <c r="H7215" s="13"/>
    </row>
    <row r="7216" ht="22.5" customHeight="1">
      <c r="B7216" s="17"/>
      <c r="C7216" s="17"/>
      <c r="D7216" s="13"/>
      <c r="E7216" s="11"/>
      <c r="F7216" s="11"/>
      <c r="G7216" s="13">
        <f t="shared" si="1"/>
        <v>1281</v>
      </c>
      <c r="H7216" s="13"/>
    </row>
    <row r="7217" ht="22.5" customHeight="1">
      <c r="B7217" s="17"/>
      <c r="C7217" s="17"/>
      <c r="D7217" s="13"/>
      <c r="E7217" s="11"/>
      <c r="F7217" s="11"/>
      <c r="G7217" s="13">
        <f t="shared" si="1"/>
        <v>1281</v>
      </c>
      <c r="H7217" s="13"/>
    </row>
    <row r="7218" ht="22.5" customHeight="1">
      <c r="B7218" s="17"/>
      <c r="C7218" s="17"/>
      <c r="D7218" s="13"/>
      <c r="E7218" s="11"/>
      <c r="F7218" s="11"/>
      <c r="G7218" s="13">
        <f t="shared" si="1"/>
        <v>1281</v>
      </c>
      <c r="H7218" s="13"/>
    </row>
    <row r="7219" ht="22.5" customHeight="1">
      <c r="B7219" s="17"/>
      <c r="C7219" s="17"/>
      <c r="D7219" s="13"/>
      <c r="E7219" s="11"/>
      <c r="F7219" s="11"/>
      <c r="G7219" s="13">
        <f t="shared" si="1"/>
        <v>1281</v>
      </c>
      <c r="H7219" s="13"/>
    </row>
    <row r="7220" ht="22.5" customHeight="1">
      <c r="B7220" s="17"/>
      <c r="C7220" s="17"/>
      <c r="D7220" s="13"/>
      <c r="E7220" s="11"/>
      <c r="F7220" s="11"/>
      <c r="G7220" s="13">
        <f t="shared" si="1"/>
        <v>1281</v>
      </c>
      <c r="H7220" s="13"/>
    </row>
    <row r="7221" ht="22.5" customHeight="1">
      <c r="B7221" s="17"/>
      <c r="C7221" s="17"/>
      <c r="D7221" s="13"/>
      <c r="E7221" s="11"/>
      <c r="F7221" s="11"/>
      <c r="G7221" s="13">
        <f t="shared" si="1"/>
        <v>1281</v>
      </c>
      <c r="H7221" s="13"/>
    </row>
    <row r="7222" ht="22.5" customHeight="1">
      <c r="B7222" s="17"/>
      <c r="C7222" s="17"/>
      <c r="D7222" s="13"/>
      <c r="E7222" s="11"/>
      <c r="F7222" s="11"/>
      <c r="G7222" s="13">
        <f t="shared" si="1"/>
        <v>1281</v>
      </c>
      <c r="H7222" s="13"/>
    </row>
    <row r="7223" ht="22.5" customHeight="1">
      <c r="B7223" s="17"/>
      <c r="C7223" s="17"/>
      <c r="D7223" s="13"/>
      <c r="E7223" s="11"/>
      <c r="F7223" s="11"/>
      <c r="G7223" s="13">
        <f t="shared" si="1"/>
        <v>1281</v>
      </c>
      <c r="H7223" s="13"/>
    </row>
    <row r="7224" ht="22.5" customHeight="1">
      <c r="B7224" s="17"/>
      <c r="C7224" s="17"/>
      <c r="D7224" s="13"/>
      <c r="E7224" s="11"/>
      <c r="F7224" s="11"/>
      <c r="G7224" s="13">
        <f t="shared" si="1"/>
        <v>1281</v>
      </c>
      <c r="H7224" s="13"/>
    </row>
    <row r="7225" ht="22.5" customHeight="1">
      <c r="B7225" s="17"/>
      <c r="C7225" s="17"/>
      <c r="D7225" s="13"/>
      <c r="E7225" s="11"/>
      <c r="F7225" s="11"/>
      <c r="G7225" s="13">
        <f t="shared" si="1"/>
        <v>1281</v>
      </c>
      <c r="H7225" s="13"/>
    </row>
    <row r="7226" ht="22.5" customHeight="1">
      <c r="B7226" s="17"/>
      <c r="C7226" s="17"/>
      <c r="D7226" s="13"/>
      <c r="E7226" s="11"/>
      <c r="F7226" s="11"/>
      <c r="G7226" s="13">
        <f t="shared" si="1"/>
        <v>1281</v>
      </c>
      <c r="H7226" s="13"/>
    </row>
    <row r="7227" ht="22.5" customHeight="1">
      <c r="B7227" s="17"/>
      <c r="C7227" s="17"/>
      <c r="D7227" s="13"/>
      <c r="E7227" s="11"/>
      <c r="F7227" s="11"/>
      <c r="G7227" s="13">
        <f t="shared" si="1"/>
        <v>1281</v>
      </c>
      <c r="H7227" s="13"/>
    </row>
    <row r="7228" ht="22.5" customHeight="1">
      <c r="B7228" s="17"/>
      <c r="C7228" s="17"/>
      <c r="D7228" s="13"/>
      <c r="E7228" s="11"/>
      <c r="F7228" s="11"/>
      <c r="G7228" s="13">
        <f t="shared" si="1"/>
        <v>1281</v>
      </c>
      <c r="H7228" s="13"/>
    </row>
    <row r="7229" ht="22.5" customHeight="1">
      <c r="B7229" s="17"/>
      <c r="C7229" s="17"/>
      <c r="D7229" s="13"/>
      <c r="E7229" s="11"/>
      <c r="F7229" s="11"/>
      <c r="G7229" s="13">
        <f t="shared" si="1"/>
        <v>1281</v>
      </c>
      <c r="H7229" s="13"/>
    </row>
    <row r="7230" ht="22.5" customHeight="1">
      <c r="B7230" s="17"/>
      <c r="C7230" s="17"/>
      <c r="D7230" s="13"/>
      <c r="E7230" s="11"/>
      <c r="F7230" s="11"/>
      <c r="G7230" s="13">
        <f t="shared" si="1"/>
        <v>1281</v>
      </c>
      <c r="H7230" s="13"/>
    </row>
    <row r="7231" ht="22.5" customHeight="1">
      <c r="B7231" s="17"/>
      <c r="C7231" s="17"/>
      <c r="D7231" s="13"/>
      <c r="E7231" s="11"/>
      <c r="F7231" s="11"/>
      <c r="G7231" s="13">
        <f t="shared" si="1"/>
        <v>1281</v>
      </c>
      <c r="H7231" s="13"/>
    </row>
    <row r="7232" ht="22.5" customHeight="1">
      <c r="B7232" s="17"/>
      <c r="C7232" s="17"/>
      <c r="D7232" s="13"/>
      <c r="E7232" s="11"/>
      <c r="F7232" s="11"/>
      <c r="G7232" s="13">
        <f t="shared" si="1"/>
        <v>1281</v>
      </c>
      <c r="H7232" s="13"/>
    </row>
    <row r="7233" ht="22.5" customHeight="1">
      <c r="B7233" s="17"/>
      <c r="C7233" s="17"/>
      <c r="D7233" s="13"/>
      <c r="E7233" s="11"/>
      <c r="F7233" s="11"/>
      <c r="G7233" s="13">
        <f t="shared" si="1"/>
        <v>1281</v>
      </c>
      <c r="H7233" s="13"/>
    </row>
    <row r="7234" ht="22.5" customHeight="1">
      <c r="B7234" s="17"/>
      <c r="C7234" s="17"/>
      <c r="D7234" s="13"/>
      <c r="E7234" s="11"/>
      <c r="F7234" s="11"/>
      <c r="G7234" s="13">
        <f t="shared" si="1"/>
        <v>1281</v>
      </c>
      <c r="H7234" s="13"/>
    </row>
    <row r="7235" ht="22.5" customHeight="1">
      <c r="B7235" s="17"/>
      <c r="C7235" s="17"/>
      <c r="D7235" s="13"/>
      <c r="E7235" s="11"/>
      <c r="F7235" s="11"/>
      <c r="G7235" s="13">
        <f t="shared" si="1"/>
        <v>1281</v>
      </c>
      <c r="H7235" s="13"/>
    </row>
    <row r="7236" ht="22.5" customHeight="1">
      <c r="B7236" s="17"/>
      <c r="C7236" s="17"/>
      <c r="D7236" s="13"/>
      <c r="E7236" s="11"/>
      <c r="F7236" s="11"/>
      <c r="G7236" s="13">
        <f t="shared" si="1"/>
        <v>1281</v>
      </c>
      <c r="H7236" s="13"/>
    </row>
    <row r="7237" ht="22.5" customHeight="1">
      <c r="B7237" s="17"/>
      <c r="C7237" s="17"/>
      <c r="D7237" s="13"/>
      <c r="E7237" s="11"/>
      <c r="F7237" s="11"/>
      <c r="G7237" s="13">
        <f t="shared" si="1"/>
        <v>1281</v>
      </c>
      <c r="H7237" s="13"/>
    </row>
    <row r="7238" ht="22.5" customHeight="1">
      <c r="B7238" s="17"/>
      <c r="C7238" s="17"/>
      <c r="D7238" s="13"/>
      <c r="E7238" s="11"/>
      <c r="F7238" s="11"/>
      <c r="G7238" s="13">
        <f t="shared" si="1"/>
        <v>1281</v>
      </c>
      <c r="H7238" s="13"/>
    </row>
    <row r="7239" ht="22.5" customHeight="1">
      <c r="B7239" s="17"/>
      <c r="C7239" s="17"/>
      <c r="D7239" s="13"/>
      <c r="E7239" s="11"/>
      <c r="F7239" s="11"/>
      <c r="G7239" s="13">
        <f t="shared" si="1"/>
        <v>1281</v>
      </c>
      <c r="H7239" s="13"/>
    </row>
    <row r="7240" ht="22.5" customHeight="1">
      <c r="B7240" s="17"/>
      <c r="C7240" s="17"/>
      <c r="D7240" s="13"/>
      <c r="E7240" s="11"/>
      <c r="F7240" s="11"/>
      <c r="G7240" s="13">
        <f t="shared" si="1"/>
        <v>1281</v>
      </c>
      <c r="H7240" s="13"/>
    </row>
    <row r="7241" ht="22.5" customHeight="1">
      <c r="B7241" s="17"/>
      <c r="C7241" s="17"/>
      <c r="D7241" s="13"/>
      <c r="E7241" s="11"/>
      <c r="F7241" s="11"/>
      <c r="G7241" s="13">
        <f t="shared" si="1"/>
        <v>1281</v>
      </c>
      <c r="H7241" s="13"/>
    </row>
    <row r="7242" ht="22.5" customHeight="1">
      <c r="B7242" s="17"/>
      <c r="C7242" s="17"/>
      <c r="D7242" s="13"/>
      <c r="E7242" s="11"/>
      <c r="F7242" s="11"/>
      <c r="G7242" s="13">
        <f t="shared" si="1"/>
        <v>1281</v>
      </c>
      <c r="H7242" s="13"/>
    </row>
    <row r="7243" ht="22.5" customHeight="1">
      <c r="B7243" s="17"/>
      <c r="C7243" s="17"/>
      <c r="D7243" s="13"/>
      <c r="E7243" s="11"/>
      <c r="F7243" s="11"/>
      <c r="G7243" s="13">
        <f t="shared" si="1"/>
        <v>1281</v>
      </c>
      <c r="H7243" s="13"/>
    </row>
    <row r="7244" ht="22.5" customHeight="1">
      <c r="B7244" s="17"/>
      <c r="C7244" s="17"/>
      <c r="D7244" s="13"/>
      <c r="E7244" s="11"/>
      <c r="F7244" s="11"/>
      <c r="G7244" s="13">
        <f t="shared" si="1"/>
        <v>1281</v>
      </c>
      <c r="H7244" s="13"/>
    </row>
    <row r="7245" ht="22.5" customHeight="1">
      <c r="B7245" s="17"/>
      <c r="C7245" s="17"/>
      <c r="D7245" s="13"/>
      <c r="E7245" s="11"/>
      <c r="F7245" s="11"/>
      <c r="G7245" s="13">
        <f t="shared" si="1"/>
        <v>1281</v>
      </c>
      <c r="H7245" s="13"/>
    </row>
    <row r="7246" ht="22.5" customHeight="1">
      <c r="B7246" s="17"/>
      <c r="C7246" s="17"/>
      <c r="D7246" s="13"/>
      <c r="E7246" s="11"/>
      <c r="F7246" s="11"/>
      <c r="G7246" s="13">
        <f t="shared" si="1"/>
        <v>1281</v>
      </c>
      <c r="H7246" s="13"/>
    </row>
    <row r="7247" ht="22.5" customHeight="1">
      <c r="B7247" s="17"/>
      <c r="C7247" s="17"/>
      <c r="D7247" s="13"/>
      <c r="E7247" s="11"/>
      <c r="F7247" s="11"/>
      <c r="G7247" s="13">
        <f t="shared" si="1"/>
        <v>1281</v>
      </c>
      <c r="H7247" s="13"/>
    </row>
    <row r="7248" ht="22.5" customHeight="1">
      <c r="B7248" s="17"/>
      <c r="C7248" s="17"/>
      <c r="D7248" s="13"/>
      <c r="E7248" s="11"/>
      <c r="F7248" s="11"/>
      <c r="G7248" s="13">
        <f t="shared" si="1"/>
        <v>1281</v>
      </c>
      <c r="H7248" s="13"/>
    </row>
    <row r="7249" ht="22.5" customHeight="1">
      <c r="B7249" s="17"/>
      <c r="C7249" s="17"/>
      <c r="D7249" s="13"/>
      <c r="E7249" s="11"/>
      <c r="F7249" s="11"/>
      <c r="G7249" s="13">
        <f t="shared" si="1"/>
        <v>1281</v>
      </c>
      <c r="H7249" s="13"/>
    </row>
    <row r="7250" ht="22.5" customHeight="1">
      <c r="B7250" s="17"/>
      <c r="C7250" s="17"/>
      <c r="D7250" s="13"/>
      <c r="E7250" s="11"/>
      <c r="F7250" s="11"/>
      <c r="G7250" s="13">
        <f t="shared" si="1"/>
        <v>1281</v>
      </c>
      <c r="H7250" s="13"/>
    </row>
    <row r="7251" ht="22.5" customHeight="1">
      <c r="B7251" s="17"/>
      <c r="C7251" s="17"/>
      <c r="D7251" s="13"/>
      <c r="E7251" s="11"/>
      <c r="F7251" s="11"/>
      <c r="G7251" s="13">
        <f t="shared" si="1"/>
        <v>1281</v>
      </c>
      <c r="H7251" s="13"/>
    </row>
    <row r="7252" ht="22.5" customHeight="1">
      <c r="B7252" s="17"/>
      <c r="C7252" s="17"/>
      <c r="D7252" s="13"/>
      <c r="E7252" s="11"/>
      <c r="F7252" s="11"/>
      <c r="G7252" s="13">
        <f t="shared" si="1"/>
        <v>1281</v>
      </c>
      <c r="H7252" s="13"/>
    </row>
    <row r="7253" ht="22.5" customHeight="1">
      <c r="B7253" s="17"/>
      <c r="C7253" s="17"/>
      <c r="D7253" s="13"/>
      <c r="E7253" s="11"/>
      <c r="F7253" s="11"/>
      <c r="G7253" s="13">
        <f t="shared" si="1"/>
        <v>1281</v>
      </c>
      <c r="H7253" s="13"/>
    </row>
    <row r="7254" ht="22.5" customHeight="1">
      <c r="B7254" s="17"/>
      <c r="C7254" s="17"/>
      <c r="D7254" s="13"/>
      <c r="E7254" s="11"/>
      <c r="F7254" s="11"/>
      <c r="G7254" s="13">
        <f t="shared" si="1"/>
        <v>1281</v>
      </c>
      <c r="H7254" s="13"/>
    </row>
    <row r="7255" ht="22.5" customHeight="1">
      <c r="B7255" s="17"/>
      <c r="C7255" s="17"/>
      <c r="D7255" s="13"/>
      <c r="E7255" s="11"/>
      <c r="F7255" s="11"/>
      <c r="G7255" s="13">
        <f t="shared" si="1"/>
        <v>1281</v>
      </c>
      <c r="H7255" s="13"/>
    </row>
    <row r="7256" ht="22.5" customHeight="1">
      <c r="B7256" s="17"/>
      <c r="C7256" s="17"/>
      <c r="D7256" s="13"/>
      <c r="E7256" s="11"/>
      <c r="F7256" s="11"/>
      <c r="G7256" s="13">
        <f t="shared" si="1"/>
        <v>1281</v>
      </c>
      <c r="H7256" s="13"/>
    </row>
    <row r="7257" ht="22.5" customHeight="1">
      <c r="B7257" s="17"/>
      <c r="C7257" s="17"/>
      <c r="D7257" s="13"/>
      <c r="E7257" s="11"/>
      <c r="F7257" s="11"/>
      <c r="G7257" s="13">
        <f t="shared" si="1"/>
        <v>1281</v>
      </c>
      <c r="H7257" s="13"/>
    </row>
    <row r="7258" ht="22.5" customHeight="1">
      <c r="B7258" s="17"/>
      <c r="C7258" s="17"/>
      <c r="D7258" s="13"/>
      <c r="E7258" s="11"/>
      <c r="F7258" s="11"/>
      <c r="G7258" s="13">
        <f t="shared" si="1"/>
        <v>1281</v>
      </c>
      <c r="H7258" s="13"/>
    </row>
    <row r="7259" ht="22.5" customHeight="1">
      <c r="B7259" s="17"/>
      <c r="C7259" s="17"/>
      <c r="D7259" s="13"/>
      <c r="E7259" s="11"/>
      <c r="F7259" s="11"/>
      <c r="G7259" s="13">
        <f t="shared" si="1"/>
        <v>1281</v>
      </c>
      <c r="H7259" s="13"/>
    </row>
    <row r="7260" ht="22.5" customHeight="1">
      <c r="B7260" s="17"/>
      <c r="C7260" s="17"/>
      <c r="D7260" s="13"/>
      <c r="E7260" s="11"/>
      <c r="F7260" s="11"/>
      <c r="G7260" s="13">
        <f t="shared" si="1"/>
        <v>1281</v>
      </c>
      <c r="H7260" s="13"/>
    </row>
    <row r="7261" ht="22.5" customHeight="1">
      <c r="B7261" s="17"/>
      <c r="C7261" s="17"/>
      <c r="D7261" s="13"/>
      <c r="E7261" s="11"/>
      <c r="F7261" s="11"/>
      <c r="G7261" s="13">
        <f t="shared" si="1"/>
        <v>1281</v>
      </c>
      <c r="H7261" s="13"/>
    </row>
    <row r="7262" ht="22.5" customHeight="1">
      <c r="B7262" s="17"/>
      <c r="C7262" s="17"/>
      <c r="D7262" s="13"/>
      <c r="E7262" s="11"/>
      <c r="F7262" s="11"/>
      <c r="G7262" s="13">
        <f t="shared" si="1"/>
        <v>1281</v>
      </c>
      <c r="H7262" s="13"/>
    </row>
    <row r="7263" ht="22.5" customHeight="1">
      <c r="B7263" s="17"/>
      <c r="C7263" s="17"/>
      <c r="D7263" s="13"/>
      <c r="E7263" s="11"/>
      <c r="F7263" s="11"/>
      <c r="G7263" s="13">
        <f t="shared" si="1"/>
        <v>1281</v>
      </c>
      <c r="H7263" s="13"/>
    </row>
    <row r="7264" ht="22.5" customHeight="1">
      <c r="B7264" s="17"/>
      <c r="C7264" s="17"/>
      <c r="D7264" s="13"/>
      <c r="E7264" s="11"/>
      <c r="F7264" s="11"/>
      <c r="G7264" s="13">
        <f t="shared" si="1"/>
        <v>1281</v>
      </c>
      <c r="H7264" s="13"/>
    </row>
    <row r="7265" ht="22.5" customHeight="1">
      <c r="B7265" s="17"/>
      <c r="C7265" s="17"/>
      <c r="D7265" s="13"/>
      <c r="E7265" s="11"/>
      <c r="F7265" s="11"/>
      <c r="G7265" s="13">
        <f t="shared" si="1"/>
        <v>1281</v>
      </c>
      <c r="H7265" s="13"/>
    </row>
    <row r="7266" ht="22.5" customHeight="1">
      <c r="B7266" s="17"/>
      <c r="C7266" s="17"/>
      <c r="D7266" s="13"/>
      <c r="E7266" s="11"/>
      <c r="F7266" s="11"/>
      <c r="G7266" s="13">
        <f t="shared" si="1"/>
        <v>1281</v>
      </c>
      <c r="H7266" s="13"/>
    </row>
    <row r="7267" ht="22.5" customHeight="1">
      <c r="B7267" s="17"/>
      <c r="C7267" s="17"/>
      <c r="D7267" s="13"/>
      <c r="E7267" s="11"/>
      <c r="F7267" s="11"/>
      <c r="G7267" s="13">
        <f t="shared" si="1"/>
        <v>1281</v>
      </c>
      <c r="H7267" s="13"/>
    </row>
    <row r="7268" ht="22.5" customHeight="1">
      <c r="B7268" s="17"/>
      <c r="C7268" s="17"/>
      <c r="D7268" s="13"/>
      <c r="E7268" s="11"/>
      <c r="F7268" s="11"/>
      <c r="G7268" s="13">
        <f t="shared" si="1"/>
        <v>1281</v>
      </c>
      <c r="H7268" s="13"/>
    </row>
    <row r="7269" ht="22.5" customHeight="1">
      <c r="B7269" s="17"/>
      <c r="C7269" s="17"/>
      <c r="D7269" s="13"/>
      <c r="E7269" s="11"/>
      <c r="F7269" s="11"/>
      <c r="G7269" s="13">
        <f t="shared" si="1"/>
        <v>1281</v>
      </c>
      <c r="H7269" s="13"/>
    </row>
    <row r="7270" ht="22.5" customHeight="1">
      <c r="B7270" s="17"/>
      <c r="C7270" s="17"/>
      <c r="D7270" s="13"/>
      <c r="E7270" s="11"/>
      <c r="F7270" s="11"/>
      <c r="G7270" s="13">
        <f t="shared" si="1"/>
        <v>1281</v>
      </c>
      <c r="H7270" s="13"/>
    </row>
    <row r="7271" ht="22.5" customHeight="1">
      <c r="B7271" s="17"/>
      <c r="C7271" s="17"/>
      <c r="D7271" s="13"/>
      <c r="E7271" s="11"/>
      <c r="F7271" s="11"/>
      <c r="G7271" s="13">
        <f t="shared" si="1"/>
        <v>1281</v>
      </c>
      <c r="H7271" s="13"/>
    </row>
    <row r="7272" ht="22.5" customHeight="1">
      <c r="B7272" s="17"/>
      <c r="C7272" s="17"/>
      <c r="D7272" s="13"/>
      <c r="E7272" s="11"/>
      <c r="F7272" s="11"/>
      <c r="G7272" s="13">
        <f t="shared" si="1"/>
        <v>1281</v>
      </c>
      <c r="H7272" s="13"/>
    </row>
    <row r="7273" ht="22.5" customHeight="1">
      <c r="B7273" s="17"/>
      <c r="C7273" s="17"/>
      <c r="D7273" s="13"/>
      <c r="E7273" s="11"/>
      <c r="F7273" s="11"/>
      <c r="G7273" s="13">
        <f t="shared" si="1"/>
        <v>1281</v>
      </c>
      <c r="H7273" s="13"/>
    </row>
    <row r="7274" ht="22.5" customHeight="1">
      <c r="B7274" s="17"/>
      <c r="C7274" s="17"/>
      <c r="D7274" s="13"/>
      <c r="E7274" s="11"/>
      <c r="F7274" s="11"/>
      <c r="G7274" s="13">
        <f t="shared" si="1"/>
        <v>1281</v>
      </c>
      <c r="H7274" s="13"/>
    </row>
    <row r="7275" ht="22.5" customHeight="1">
      <c r="B7275" s="17"/>
      <c r="C7275" s="17"/>
      <c r="D7275" s="13"/>
      <c r="E7275" s="11"/>
      <c r="F7275" s="11"/>
      <c r="G7275" s="13">
        <f t="shared" si="1"/>
        <v>1281</v>
      </c>
      <c r="H7275" s="13"/>
    </row>
    <row r="7276" ht="22.5" customHeight="1">
      <c r="B7276" s="17"/>
      <c r="C7276" s="17"/>
      <c r="D7276" s="13"/>
      <c r="E7276" s="11"/>
      <c r="F7276" s="11"/>
      <c r="G7276" s="13">
        <f t="shared" si="1"/>
        <v>1281</v>
      </c>
      <c r="H7276" s="13"/>
    </row>
    <row r="7277" ht="22.5" customHeight="1">
      <c r="B7277" s="17"/>
      <c r="C7277" s="17"/>
      <c r="D7277" s="13"/>
      <c r="E7277" s="11"/>
      <c r="F7277" s="11"/>
      <c r="G7277" s="13">
        <f t="shared" si="1"/>
        <v>1281</v>
      </c>
      <c r="H7277" s="13"/>
    </row>
    <row r="7278" ht="22.5" customHeight="1">
      <c r="B7278" s="17"/>
      <c r="C7278" s="17"/>
      <c r="D7278" s="13"/>
      <c r="E7278" s="11"/>
      <c r="F7278" s="11"/>
      <c r="G7278" s="13">
        <f t="shared" si="1"/>
        <v>1281</v>
      </c>
      <c r="H7278" s="13"/>
    </row>
    <row r="7279" ht="22.5" customHeight="1">
      <c r="B7279" s="17"/>
      <c r="C7279" s="17"/>
      <c r="D7279" s="13"/>
      <c r="E7279" s="11"/>
      <c r="F7279" s="11"/>
      <c r="G7279" s="13">
        <f t="shared" si="1"/>
        <v>1281</v>
      </c>
      <c r="H7279" s="13"/>
    </row>
    <row r="7280" ht="22.5" customHeight="1">
      <c r="B7280" s="17"/>
      <c r="C7280" s="17"/>
      <c r="D7280" s="13"/>
      <c r="E7280" s="11"/>
      <c r="F7280" s="11"/>
      <c r="G7280" s="13">
        <f t="shared" si="1"/>
        <v>1281</v>
      </c>
      <c r="H7280" s="13"/>
    </row>
    <row r="7281" ht="22.5" customHeight="1">
      <c r="B7281" s="17"/>
      <c r="C7281" s="17"/>
      <c r="D7281" s="13"/>
      <c r="E7281" s="11"/>
      <c r="F7281" s="11"/>
      <c r="G7281" s="13">
        <f t="shared" si="1"/>
        <v>1281</v>
      </c>
      <c r="H7281" s="13"/>
    </row>
    <row r="7282" ht="22.5" customHeight="1">
      <c r="B7282" s="17"/>
      <c r="C7282" s="17"/>
      <c r="D7282" s="13"/>
      <c r="E7282" s="11"/>
      <c r="F7282" s="11"/>
      <c r="G7282" s="13">
        <f t="shared" si="1"/>
        <v>1281</v>
      </c>
      <c r="H7282" s="13"/>
    </row>
    <row r="7283" ht="22.5" customHeight="1">
      <c r="B7283" s="17"/>
      <c r="C7283" s="17"/>
      <c r="D7283" s="13"/>
      <c r="E7283" s="11"/>
      <c r="F7283" s="11"/>
      <c r="G7283" s="13">
        <f t="shared" si="1"/>
        <v>1281</v>
      </c>
      <c r="H7283" s="13"/>
    </row>
    <row r="7284" ht="22.5" customHeight="1">
      <c r="B7284" s="17"/>
      <c r="C7284" s="17"/>
      <c r="D7284" s="13"/>
      <c r="E7284" s="11"/>
      <c r="F7284" s="11"/>
      <c r="G7284" s="13">
        <f t="shared" si="1"/>
        <v>1281</v>
      </c>
      <c r="H7284" s="13"/>
    </row>
    <row r="7285" ht="22.5" customHeight="1">
      <c r="B7285" s="17"/>
      <c r="C7285" s="17"/>
      <c r="D7285" s="13"/>
      <c r="E7285" s="11"/>
      <c r="F7285" s="11"/>
      <c r="G7285" s="13">
        <f t="shared" si="1"/>
        <v>1281</v>
      </c>
      <c r="H7285" s="13"/>
    </row>
    <row r="7286" ht="22.5" customHeight="1">
      <c r="B7286" s="17"/>
      <c r="C7286" s="17"/>
      <c r="D7286" s="13"/>
      <c r="E7286" s="11"/>
      <c r="F7286" s="11"/>
      <c r="G7286" s="13">
        <f t="shared" si="1"/>
        <v>1281</v>
      </c>
      <c r="H7286" s="13"/>
    </row>
    <row r="7287" ht="22.5" customHeight="1">
      <c r="B7287" s="17"/>
      <c r="C7287" s="17"/>
      <c r="D7287" s="13"/>
      <c r="E7287" s="11"/>
      <c r="F7287" s="11"/>
      <c r="G7287" s="13">
        <f t="shared" si="1"/>
        <v>1281</v>
      </c>
      <c r="H7287" s="13"/>
    </row>
    <row r="7288" ht="22.5" customHeight="1">
      <c r="B7288" s="17"/>
      <c r="C7288" s="17"/>
      <c r="D7288" s="13"/>
      <c r="E7288" s="11"/>
      <c r="F7288" s="11"/>
      <c r="G7288" s="13">
        <f t="shared" si="1"/>
        <v>1281</v>
      </c>
      <c r="H7288" s="13"/>
    </row>
    <row r="7289" ht="22.5" customHeight="1">
      <c r="B7289" s="17"/>
      <c r="C7289" s="17"/>
      <c r="D7289" s="13"/>
      <c r="E7289" s="11"/>
      <c r="F7289" s="11"/>
      <c r="G7289" s="13">
        <f t="shared" si="1"/>
        <v>1281</v>
      </c>
      <c r="H7289" s="13"/>
    </row>
    <row r="7290" ht="22.5" customHeight="1">
      <c r="B7290" s="17"/>
      <c r="C7290" s="17"/>
      <c r="D7290" s="13"/>
      <c r="E7290" s="11"/>
      <c r="F7290" s="11"/>
      <c r="G7290" s="13">
        <f t="shared" si="1"/>
        <v>1281</v>
      </c>
      <c r="H7290" s="13"/>
    </row>
    <row r="7291" ht="22.5" customHeight="1">
      <c r="B7291" s="17"/>
      <c r="C7291" s="17"/>
      <c r="D7291" s="13"/>
      <c r="E7291" s="11"/>
      <c r="F7291" s="11"/>
      <c r="G7291" s="13">
        <f t="shared" si="1"/>
        <v>1281</v>
      </c>
      <c r="H7291" s="13"/>
    </row>
    <row r="7292" ht="22.5" customHeight="1">
      <c r="B7292" s="17"/>
      <c r="C7292" s="17"/>
      <c r="D7292" s="13"/>
      <c r="E7292" s="11"/>
      <c r="F7292" s="11"/>
      <c r="G7292" s="13">
        <f t="shared" si="1"/>
        <v>1281</v>
      </c>
      <c r="H7292" s="13"/>
    </row>
    <row r="7293" ht="22.5" customHeight="1">
      <c r="B7293" s="17"/>
      <c r="C7293" s="17"/>
      <c r="D7293" s="13"/>
      <c r="E7293" s="11"/>
      <c r="F7293" s="11"/>
      <c r="G7293" s="13">
        <f t="shared" si="1"/>
        <v>1281</v>
      </c>
      <c r="H7293" s="13"/>
    </row>
    <row r="7294" ht="22.5" customHeight="1">
      <c r="B7294" s="17"/>
      <c r="C7294" s="17"/>
      <c r="D7294" s="13"/>
      <c r="E7294" s="11"/>
      <c r="F7294" s="11"/>
      <c r="G7294" s="13">
        <f t="shared" si="1"/>
        <v>1281</v>
      </c>
      <c r="H7294" s="13"/>
    </row>
    <row r="7295" ht="22.5" customHeight="1">
      <c r="B7295" s="17"/>
      <c r="C7295" s="17"/>
      <c r="D7295" s="13"/>
      <c r="E7295" s="11"/>
      <c r="F7295" s="11"/>
      <c r="G7295" s="13">
        <f t="shared" si="1"/>
        <v>1281</v>
      </c>
      <c r="H7295" s="13"/>
    </row>
    <row r="7296" ht="22.5" customHeight="1">
      <c r="B7296" s="17"/>
      <c r="C7296" s="17"/>
      <c r="D7296" s="13"/>
      <c r="E7296" s="11"/>
      <c r="F7296" s="11"/>
      <c r="G7296" s="13">
        <f t="shared" si="1"/>
        <v>1281</v>
      </c>
      <c r="H7296" s="13"/>
    </row>
    <row r="7297" ht="22.5" customHeight="1">
      <c r="B7297" s="17"/>
      <c r="C7297" s="17"/>
      <c r="D7297" s="13"/>
      <c r="E7297" s="11"/>
      <c r="F7297" s="11"/>
      <c r="G7297" s="13">
        <f t="shared" si="1"/>
        <v>1281</v>
      </c>
      <c r="H7297" s="13"/>
    </row>
    <row r="7298" ht="22.5" customHeight="1">
      <c r="B7298" s="17"/>
      <c r="C7298" s="17"/>
      <c r="D7298" s="13"/>
      <c r="E7298" s="11"/>
      <c r="F7298" s="11"/>
      <c r="G7298" s="13">
        <f t="shared" si="1"/>
        <v>1281</v>
      </c>
      <c r="H7298" s="13"/>
    </row>
    <row r="7299" ht="22.5" customHeight="1">
      <c r="B7299" s="17"/>
      <c r="C7299" s="17"/>
      <c r="D7299" s="13"/>
      <c r="E7299" s="11"/>
      <c r="F7299" s="11"/>
      <c r="G7299" s="13">
        <f t="shared" si="1"/>
        <v>1281</v>
      </c>
      <c r="H7299" s="13"/>
    </row>
    <row r="7300" ht="22.5" customHeight="1">
      <c r="B7300" s="17"/>
      <c r="C7300" s="17"/>
      <c r="D7300" s="13"/>
      <c r="E7300" s="11"/>
      <c r="F7300" s="11"/>
      <c r="G7300" s="13">
        <f t="shared" si="1"/>
        <v>1281</v>
      </c>
      <c r="H7300" s="13"/>
    </row>
    <row r="7301" ht="22.5" customHeight="1">
      <c r="B7301" s="17"/>
      <c r="C7301" s="17"/>
      <c r="D7301" s="13"/>
      <c r="E7301" s="11"/>
      <c r="F7301" s="11"/>
      <c r="G7301" s="13">
        <f t="shared" si="1"/>
        <v>1281</v>
      </c>
      <c r="H7301" s="13"/>
    </row>
    <row r="7302" ht="22.5" customHeight="1">
      <c r="B7302" s="17"/>
      <c r="C7302" s="17"/>
      <c r="D7302" s="13"/>
      <c r="E7302" s="11"/>
      <c r="F7302" s="11"/>
      <c r="G7302" s="13">
        <f t="shared" si="1"/>
        <v>1281</v>
      </c>
      <c r="H7302" s="13"/>
    </row>
    <row r="7303" ht="22.5" customHeight="1">
      <c r="B7303" s="17"/>
      <c r="C7303" s="17"/>
      <c r="D7303" s="13"/>
      <c r="E7303" s="11"/>
      <c r="F7303" s="11"/>
      <c r="G7303" s="13">
        <f t="shared" si="1"/>
        <v>1281</v>
      </c>
      <c r="H7303" s="13"/>
    </row>
    <row r="7304" ht="22.5" customHeight="1">
      <c r="B7304" s="17"/>
      <c r="C7304" s="17"/>
      <c r="D7304" s="13"/>
      <c r="E7304" s="11"/>
      <c r="F7304" s="11"/>
      <c r="G7304" s="13">
        <f t="shared" si="1"/>
        <v>1281</v>
      </c>
      <c r="H7304" s="13"/>
    </row>
    <row r="7305" ht="22.5" customHeight="1">
      <c r="B7305" s="17"/>
      <c r="C7305" s="17"/>
      <c r="D7305" s="13"/>
      <c r="E7305" s="11"/>
      <c r="F7305" s="11"/>
      <c r="G7305" s="13">
        <f t="shared" si="1"/>
        <v>1281</v>
      </c>
      <c r="H7305" s="13"/>
    </row>
    <row r="7306" ht="22.5" customHeight="1">
      <c r="B7306" s="17"/>
      <c r="C7306" s="17"/>
      <c r="D7306" s="13"/>
      <c r="E7306" s="11"/>
      <c r="F7306" s="11"/>
      <c r="G7306" s="13">
        <f t="shared" si="1"/>
        <v>1281</v>
      </c>
      <c r="H7306" s="13"/>
    </row>
    <row r="7307" ht="22.5" customHeight="1">
      <c r="B7307" s="17"/>
      <c r="C7307" s="17"/>
      <c r="D7307" s="13"/>
      <c r="E7307" s="11"/>
      <c r="F7307" s="11"/>
      <c r="G7307" s="13">
        <f t="shared" si="1"/>
        <v>1281</v>
      </c>
      <c r="H7307" s="13"/>
    </row>
    <row r="7308" ht="22.5" customHeight="1">
      <c r="B7308" s="17"/>
      <c r="C7308" s="17"/>
      <c r="D7308" s="13"/>
      <c r="E7308" s="11"/>
      <c r="F7308" s="11"/>
      <c r="G7308" s="13">
        <f t="shared" si="1"/>
        <v>1281</v>
      </c>
      <c r="H7308" s="13"/>
    </row>
    <row r="7309" ht="22.5" customHeight="1">
      <c r="B7309" s="17"/>
      <c r="C7309" s="17"/>
      <c r="D7309" s="13"/>
      <c r="E7309" s="11"/>
      <c r="F7309" s="11"/>
      <c r="G7309" s="13">
        <f t="shared" si="1"/>
        <v>1281</v>
      </c>
      <c r="H7309" s="13"/>
    </row>
    <row r="7310" ht="22.5" customHeight="1">
      <c r="B7310" s="17"/>
      <c r="C7310" s="17"/>
      <c r="D7310" s="13"/>
      <c r="E7310" s="11"/>
      <c r="F7310" s="11"/>
      <c r="G7310" s="13">
        <f t="shared" si="1"/>
        <v>1281</v>
      </c>
      <c r="H7310" s="13"/>
    </row>
    <row r="7311" ht="22.5" customHeight="1">
      <c r="B7311" s="17"/>
      <c r="C7311" s="17"/>
      <c r="D7311" s="13"/>
      <c r="E7311" s="11"/>
      <c r="F7311" s="11"/>
      <c r="G7311" s="13">
        <f t="shared" si="1"/>
        <v>1281</v>
      </c>
      <c r="H7311" s="13"/>
    </row>
    <row r="7312" ht="22.5" customHeight="1">
      <c r="B7312" s="17"/>
      <c r="C7312" s="17"/>
      <c r="D7312" s="13"/>
      <c r="E7312" s="11"/>
      <c r="F7312" s="11"/>
      <c r="G7312" s="13">
        <f t="shared" si="1"/>
        <v>1281</v>
      </c>
      <c r="H7312" s="13"/>
    </row>
    <row r="7313" ht="22.5" customHeight="1">
      <c r="B7313" s="17"/>
      <c r="C7313" s="17"/>
      <c r="D7313" s="13"/>
      <c r="E7313" s="11"/>
      <c r="F7313" s="11"/>
      <c r="G7313" s="13">
        <f t="shared" si="1"/>
        <v>1281</v>
      </c>
      <c r="H7313" s="13"/>
    </row>
    <row r="7314" ht="22.5" customHeight="1">
      <c r="B7314" s="17"/>
      <c r="C7314" s="17"/>
      <c r="D7314" s="13"/>
      <c r="E7314" s="11"/>
      <c r="F7314" s="11"/>
      <c r="G7314" s="13">
        <f t="shared" si="1"/>
        <v>1281</v>
      </c>
      <c r="H7314" s="13"/>
    </row>
    <row r="7315" ht="22.5" customHeight="1">
      <c r="B7315" s="17"/>
      <c r="C7315" s="17"/>
      <c r="D7315" s="13"/>
      <c r="E7315" s="11"/>
      <c r="F7315" s="11"/>
      <c r="G7315" s="13">
        <f t="shared" si="1"/>
        <v>1281</v>
      </c>
      <c r="H7315" s="13"/>
    </row>
    <row r="7316" ht="22.5" customHeight="1">
      <c r="B7316" s="17"/>
      <c r="C7316" s="17"/>
      <c r="D7316" s="13"/>
      <c r="E7316" s="11"/>
      <c r="F7316" s="11"/>
      <c r="G7316" s="13">
        <f t="shared" si="1"/>
        <v>1281</v>
      </c>
      <c r="H7316" s="13"/>
    </row>
    <row r="7317" ht="22.5" customHeight="1">
      <c r="B7317" s="17"/>
      <c r="C7317" s="17"/>
      <c r="D7317" s="13"/>
      <c r="E7317" s="11"/>
      <c r="F7317" s="11"/>
      <c r="G7317" s="13">
        <f t="shared" si="1"/>
        <v>1281</v>
      </c>
      <c r="H7317" s="13"/>
    </row>
    <row r="7318" ht="22.5" customHeight="1">
      <c r="B7318" s="17"/>
      <c r="C7318" s="17"/>
      <c r="D7318" s="13"/>
      <c r="E7318" s="11"/>
      <c r="F7318" s="11"/>
      <c r="G7318" s="13">
        <f t="shared" si="1"/>
        <v>1281</v>
      </c>
      <c r="H7318" s="13"/>
    </row>
    <row r="7319" ht="22.5" customHeight="1">
      <c r="B7319" s="17"/>
      <c r="C7319" s="17"/>
      <c r="D7319" s="13"/>
      <c r="E7319" s="11"/>
      <c r="F7319" s="11"/>
      <c r="G7319" s="13">
        <f t="shared" si="1"/>
        <v>1281</v>
      </c>
      <c r="H7319" s="13"/>
    </row>
    <row r="7320" ht="22.5" customHeight="1">
      <c r="B7320" s="17"/>
      <c r="C7320" s="17"/>
      <c r="D7320" s="13"/>
      <c r="E7320" s="11"/>
      <c r="F7320" s="11"/>
      <c r="G7320" s="13">
        <f t="shared" si="1"/>
        <v>1281</v>
      </c>
      <c r="H7320" s="13"/>
    </row>
    <row r="7321" ht="22.5" customHeight="1">
      <c r="B7321" s="17"/>
      <c r="C7321" s="17"/>
      <c r="D7321" s="13"/>
      <c r="E7321" s="11"/>
      <c r="F7321" s="11"/>
      <c r="G7321" s="13">
        <f t="shared" si="1"/>
        <v>1281</v>
      </c>
      <c r="H7321" s="13"/>
    </row>
    <row r="7322" ht="22.5" customHeight="1">
      <c r="B7322" s="17"/>
      <c r="C7322" s="17"/>
      <c r="D7322" s="13"/>
      <c r="E7322" s="11"/>
      <c r="F7322" s="11"/>
      <c r="G7322" s="13">
        <f t="shared" si="1"/>
        <v>1281</v>
      </c>
      <c r="H7322" s="13"/>
    </row>
    <row r="7323" ht="22.5" customHeight="1">
      <c r="B7323" s="17"/>
      <c r="C7323" s="17"/>
      <c r="D7323" s="13"/>
      <c r="E7323" s="11"/>
      <c r="F7323" s="11"/>
      <c r="G7323" s="13">
        <f t="shared" si="1"/>
        <v>1281</v>
      </c>
      <c r="H7323" s="13"/>
    </row>
    <row r="7324" ht="22.5" customHeight="1">
      <c r="B7324" s="17"/>
      <c r="C7324" s="17"/>
      <c r="D7324" s="13"/>
      <c r="E7324" s="11"/>
      <c r="F7324" s="11"/>
      <c r="G7324" s="13">
        <f t="shared" si="1"/>
        <v>1281</v>
      </c>
      <c r="H7324" s="13"/>
    </row>
    <row r="7325" ht="22.5" customHeight="1">
      <c r="B7325" s="17"/>
      <c r="C7325" s="17"/>
      <c r="D7325" s="13"/>
      <c r="E7325" s="11"/>
      <c r="F7325" s="11"/>
      <c r="G7325" s="13">
        <f t="shared" si="1"/>
        <v>1281</v>
      </c>
      <c r="H7325" s="13"/>
    </row>
    <row r="7326" ht="22.5" customHeight="1">
      <c r="B7326" s="17"/>
      <c r="C7326" s="17"/>
      <c r="D7326" s="13"/>
      <c r="E7326" s="11"/>
      <c r="F7326" s="11"/>
      <c r="G7326" s="13">
        <f t="shared" si="1"/>
        <v>1281</v>
      </c>
      <c r="H7326" s="13"/>
    </row>
    <row r="7327" ht="22.5" customHeight="1">
      <c r="B7327" s="17"/>
      <c r="C7327" s="17"/>
      <c r="D7327" s="13"/>
      <c r="E7327" s="11"/>
      <c r="F7327" s="11"/>
      <c r="G7327" s="13">
        <f t="shared" si="1"/>
        <v>1281</v>
      </c>
      <c r="H7327" s="13"/>
    </row>
    <row r="7328" ht="22.5" customHeight="1">
      <c r="B7328" s="17"/>
      <c r="C7328" s="17"/>
      <c r="D7328" s="13"/>
      <c r="E7328" s="11"/>
      <c r="F7328" s="11"/>
      <c r="G7328" s="13">
        <f t="shared" si="1"/>
        <v>1281</v>
      </c>
      <c r="H7328" s="13"/>
    </row>
    <row r="7329" ht="22.5" customHeight="1">
      <c r="B7329" s="17"/>
      <c r="C7329" s="17"/>
      <c r="D7329" s="13"/>
      <c r="E7329" s="11"/>
      <c r="F7329" s="11"/>
      <c r="G7329" s="13">
        <f t="shared" si="1"/>
        <v>1281</v>
      </c>
      <c r="H7329" s="13"/>
    </row>
    <row r="7330" ht="22.5" customHeight="1">
      <c r="B7330" s="17"/>
      <c r="C7330" s="17"/>
      <c r="D7330" s="13"/>
      <c r="E7330" s="11"/>
      <c r="F7330" s="11"/>
      <c r="G7330" s="13">
        <f t="shared" si="1"/>
        <v>1281</v>
      </c>
      <c r="H7330" s="13"/>
    </row>
    <row r="7331" ht="22.5" customHeight="1">
      <c r="B7331" s="17"/>
      <c r="C7331" s="17"/>
      <c r="D7331" s="13"/>
      <c r="E7331" s="11"/>
      <c r="F7331" s="11"/>
      <c r="G7331" s="13">
        <f t="shared" si="1"/>
        <v>1281</v>
      </c>
      <c r="H7331" s="13"/>
    </row>
    <row r="7332" ht="22.5" customHeight="1">
      <c r="B7332" s="17"/>
      <c r="C7332" s="17"/>
      <c r="D7332" s="13"/>
      <c r="E7332" s="11"/>
      <c r="F7332" s="11"/>
      <c r="G7332" s="13">
        <f t="shared" si="1"/>
        <v>1281</v>
      </c>
      <c r="H7332" s="13"/>
    </row>
    <row r="7333" ht="22.5" customHeight="1">
      <c r="B7333" s="17"/>
      <c r="C7333" s="17"/>
      <c r="D7333" s="13"/>
      <c r="E7333" s="11"/>
      <c r="F7333" s="11"/>
      <c r="G7333" s="13">
        <f t="shared" si="1"/>
        <v>1281</v>
      </c>
      <c r="H7333" s="13"/>
    </row>
    <row r="7334" ht="22.5" customHeight="1">
      <c r="B7334" s="17"/>
      <c r="C7334" s="17"/>
      <c r="D7334" s="13"/>
      <c r="E7334" s="11"/>
      <c r="F7334" s="11"/>
      <c r="G7334" s="13">
        <f t="shared" si="1"/>
        <v>1281</v>
      </c>
      <c r="H7334" s="13"/>
    </row>
    <row r="7335" ht="22.5" customHeight="1">
      <c r="B7335" s="17"/>
      <c r="C7335" s="17"/>
      <c r="D7335" s="13"/>
      <c r="E7335" s="11"/>
      <c r="F7335" s="11"/>
      <c r="G7335" s="13">
        <f t="shared" si="1"/>
        <v>1281</v>
      </c>
      <c r="H7335" s="13"/>
    </row>
    <row r="7336" ht="22.5" customHeight="1">
      <c r="B7336" s="17"/>
      <c r="C7336" s="17"/>
      <c r="D7336" s="13"/>
      <c r="E7336" s="11"/>
      <c r="F7336" s="11"/>
      <c r="G7336" s="13">
        <f t="shared" si="1"/>
        <v>1281</v>
      </c>
      <c r="H7336" s="13"/>
    </row>
    <row r="7337" ht="22.5" customHeight="1">
      <c r="B7337" s="17"/>
      <c r="C7337" s="17"/>
      <c r="D7337" s="13"/>
      <c r="E7337" s="11"/>
      <c r="F7337" s="11"/>
      <c r="G7337" s="13">
        <f t="shared" si="1"/>
        <v>1281</v>
      </c>
      <c r="H7337" s="13"/>
    </row>
    <row r="7338" ht="22.5" customHeight="1">
      <c r="B7338" s="17"/>
      <c r="C7338" s="17"/>
      <c r="D7338" s="13"/>
      <c r="E7338" s="11"/>
      <c r="F7338" s="11"/>
      <c r="G7338" s="13">
        <f t="shared" si="1"/>
        <v>1281</v>
      </c>
      <c r="H7338" s="13"/>
    </row>
    <row r="7339" ht="22.5" customHeight="1">
      <c r="B7339" s="17"/>
      <c r="C7339" s="17"/>
      <c r="D7339" s="13"/>
      <c r="E7339" s="11"/>
      <c r="F7339" s="11"/>
      <c r="G7339" s="13">
        <f t="shared" si="1"/>
        <v>1281</v>
      </c>
      <c r="H7339" s="13"/>
    </row>
    <row r="7340" ht="22.5" customHeight="1">
      <c r="B7340" s="17"/>
      <c r="C7340" s="17"/>
      <c r="D7340" s="13"/>
      <c r="E7340" s="11"/>
      <c r="F7340" s="11"/>
      <c r="G7340" s="13">
        <f t="shared" si="1"/>
        <v>1281</v>
      </c>
      <c r="H7340" s="13"/>
    </row>
    <row r="7341" ht="22.5" customHeight="1">
      <c r="B7341" s="17"/>
      <c r="C7341" s="17"/>
      <c r="D7341" s="13"/>
      <c r="E7341" s="11"/>
      <c r="F7341" s="11"/>
      <c r="G7341" s="13">
        <f t="shared" si="1"/>
        <v>1281</v>
      </c>
      <c r="H7341" s="13"/>
    </row>
    <row r="7342" ht="22.5" customHeight="1">
      <c r="B7342" s="17"/>
      <c r="C7342" s="17"/>
      <c r="D7342" s="13"/>
      <c r="E7342" s="11"/>
      <c r="F7342" s="11"/>
      <c r="G7342" s="13">
        <f t="shared" si="1"/>
        <v>1281</v>
      </c>
      <c r="H7342" s="13"/>
    </row>
    <row r="7343" ht="22.5" customHeight="1">
      <c r="B7343" s="17"/>
      <c r="C7343" s="17"/>
      <c r="D7343" s="13"/>
      <c r="E7343" s="11"/>
      <c r="F7343" s="11"/>
      <c r="G7343" s="13">
        <f t="shared" si="1"/>
        <v>1281</v>
      </c>
      <c r="H7343" s="13"/>
    </row>
    <row r="7344" ht="22.5" customHeight="1">
      <c r="B7344" s="17"/>
      <c r="C7344" s="17"/>
      <c r="D7344" s="13"/>
      <c r="E7344" s="11"/>
      <c r="F7344" s="11"/>
      <c r="G7344" s="13">
        <f t="shared" si="1"/>
        <v>1281</v>
      </c>
      <c r="H7344" s="13"/>
    </row>
    <row r="7345" ht="22.5" customHeight="1">
      <c r="B7345" s="17"/>
      <c r="C7345" s="17"/>
      <c r="D7345" s="13"/>
      <c r="E7345" s="11"/>
      <c r="F7345" s="11"/>
      <c r="G7345" s="13">
        <f t="shared" si="1"/>
        <v>1281</v>
      </c>
      <c r="H7345" s="13"/>
    </row>
    <row r="7346" ht="22.5" customHeight="1">
      <c r="B7346" s="17"/>
      <c r="C7346" s="17"/>
      <c r="D7346" s="13"/>
      <c r="E7346" s="11"/>
      <c r="F7346" s="11"/>
      <c r="G7346" s="13">
        <f t="shared" si="1"/>
        <v>1281</v>
      </c>
      <c r="H7346" s="13"/>
    </row>
    <row r="7347" ht="22.5" customHeight="1">
      <c r="B7347" s="17"/>
      <c r="C7347" s="17"/>
      <c r="D7347" s="13"/>
      <c r="E7347" s="11"/>
      <c r="F7347" s="11"/>
      <c r="G7347" s="13">
        <f t="shared" si="1"/>
        <v>1281</v>
      </c>
      <c r="H7347" s="13"/>
    </row>
    <row r="7348" ht="22.5" customHeight="1">
      <c r="B7348" s="17"/>
      <c r="C7348" s="17"/>
      <c r="D7348" s="13"/>
      <c r="E7348" s="11"/>
      <c r="F7348" s="11"/>
      <c r="G7348" s="13">
        <f t="shared" si="1"/>
        <v>1281</v>
      </c>
      <c r="H7348" s="13"/>
    </row>
    <row r="7349" ht="22.5" customHeight="1">
      <c r="B7349" s="17"/>
      <c r="C7349" s="17"/>
      <c r="D7349" s="13"/>
      <c r="E7349" s="11"/>
      <c r="F7349" s="11"/>
      <c r="G7349" s="13">
        <f t="shared" si="1"/>
        <v>1281</v>
      </c>
      <c r="H7349" s="13"/>
    </row>
    <row r="7350" ht="22.5" customHeight="1">
      <c r="B7350" s="17"/>
      <c r="C7350" s="17"/>
      <c r="D7350" s="13"/>
      <c r="E7350" s="11"/>
      <c r="F7350" s="11"/>
      <c r="G7350" s="13">
        <f t="shared" si="1"/>
        <v>1281</v>
      </c>
      <c r="H7350" s="13"/>
    </row>
    <row r="7351" ht="22.5" customHeight="1">
      <c r="B7351" s="17"/>
      <c r="C7351" s="17"/>
      <c r="D7351" s="13"/>
      <c r="E7351" s="11"/>
      <c r="F7351" s="11"/>
      <c r="G7351" s="13">
        <f t="shared" si="1"/>
        <v>1281</v>
      </c>
      <c r="H7351" s="13"/>
    </row>
    <row r="7352" ht="22.5" customHeight="1">
      <c r="B7352" s="17"/>
      <c r="C7352" s="17"/>
      <c r="D7352" s="13"/>
      <c r="E7352" s="11"/>
      <c r="F7352" s="11"/>
      <c r="G7352" s="13">
        <f t="shared" si="1"/>
        <v>1281</v>
      </c>
      <c r="H7352" s="13"/>
    </row>
    <row r="7353" ht="22.5" customHeight="1">
      <c r="B7353" s="17"/>
      <c r="C7353" s="17"/>
      <c r="D7353" s="13"/>
      <c r="E7353" s="11"/>
      <c r="F7353" s="11"/>
      <c r="G7353" s="13">
        <f t="shared" si="1"/>
        <v>1281</v>
      </c>
      <c r="H7353" s="13"/>
    </row>
    <row r="7354" ht="22.5" customHeight="1">
      <c r="B7354" s="17"/>
      <c r="C7354" s="17"/>
      <c r="D7354" s="13"/>
      <c r="E7354" s="11"/>
      <c r="F7354" s="11"/>
      <c r="G7354" s="13">
        <f t="shared" si="1"/>
        <v>1281</v>
      </c>
      <c r="H7354" s="13"/>
    </row>
    <row r="7355" ht="22.5" customHeight="1">
      <c r="B7355" s="17"/>
      <c r="C7355" s="17"/>
      <c r="D7355" s="13"/>
      <c r="E7355" s="11"/>
      <c r="F7355" s="11"/>
      <c r="G7355" s="13">
        <f t="shared" si="1"/>
        <v>1281</v>
      </c>
      <c r="H7355" s="13"/>
    </row>
    <row r="7356" ht="22.5" customHeight="1">
      <c r="B7356" s="17"/>
      <c r="C7356" s="17"/>
      <c r="D7356" s="13"/>
      <c r="E7356" s="11"/>
      <c r="F7356" s="11"/>
      <c r="G7356" s="13">
        <f t="shared" si="1"/>
        <v>1281</v>
      </c>
      <c r="H7356" s="13"/>
    </row>
    <row r="7357" ht="22.5" customHeight="1">
      <c r="B7357" s="17"/>
      <c r="C7357" s="17"/>
      <c r="D7357" s="13"/>
      <c r="E7357" s="11"/>
      <c r="F7357" s="11"/>
      <c r="G7357" s="13">
        <f t="shared" si="1"/>
        <v>1281</v>
      </c>
      <c r="H7357" s="13"/>
    </row>
    <row r="7358" ht="22.5" customHeight="1">
      <c r="B7358" s="17"/>
      <c r="C7358" s="17"/>
      <c r="D7358" s="13"/>
      <c r="E7358" s="11"/>
      <c r="F7358" s="11"/>
      <c r="G7358" s="13">
        <f t="shared" si="1"/>
        <v>1281</v>
      </c>
      <c r="H7358" s="13"/>
    </row>
    <row r="7359" ht="22.5" customHeight="1">
      <c r="B7359" s="17"/>
      <c r="C7359" s="17"/>
      <c r="D7359" s="13"/>
      <c r="E7359" s="11"/>
      <c r="F7359" s="11"/>
      <c r="G7359" s="13">
        <f t="shared" si="1"/>
        <v>1281</v>
      </c>
      <c r="H7359" s="13"/>
    </row>
    <row r="7360" ht="22.5" customHeight="1">
      <c r="B7360" s="17"/>
      <c r="C7360" s="17"/>
      <c r="D7360" s="13"/>
      <c r="E7360" s="11"/>
      <c r="F7360" s="11"/>
      <c r="G7360" s="13">
        <f t="shared" si="1"/>
        <v>1281</v>
      </c>
      <c r="H7360" s="13"/>
    </row>
    <row r="7361" ht="22.5" customHeight="1">
      <c r="B7361" s="17"/>
      <c r="C7361" s="17"/>
      <c r="D7361" s="13"/>
      <c r="E7361" s="11"/>
      <c r="F7361" s="11"/>
      <c r="G7361" s="13">
        <f t="shared" si="1"/>
        <v>1281</v>
      </c>
      <c r="H7361" s="13"/>
    </row>
    <row r="7362" ht="22.5" customHeight="1">
      <c r="B7362" s="17"/>
      <c r="C7362" s="17"/>
      <c r="D7362" s="13"/>
      <c r="E7362" s="11"/>
      <c r="F7362" s="11"/>
      <c r="G7362" s="13">
        <f t="shared" si="1"/>
        <v>1281</v>
      </c>
      <c r="H7362" s="13"/>
    </row>
    <row r="7363" ht="22.5" customHeight="1">
      <c r="B7363" s="17"/>
      <c r="C7363" s="17"/>
      <c r="D7363" s="13"/>
      <c r="E7363" s="11"/>
      <c r="F7363" s="11"/>
      <c r="G7363" s="13">
        <f t="shared" si="1"/>
        <v>1281</v>
      </c>
      <c r="H7363" s="13"/>
    </row>
    <row r="7364" ht="22.5" customHeight="1">
      <c r="B7364" s="17"/>
      <c r="C7364" s="17"/>
      <c r="D7364" s="13"/>
      <c r="E7364" s="11"/>
      <c r="F7364" s="11"/>
      <c r="G7364" s="13">
        <f t="shared" si="1"/>
        <v>1281</v>
      </c>
      <c r="H7364" s="13"/>
    </row>
    <row r="7365" ht="22.5" customHeight="1">
      <c r="B7365" s="17"/>
      <c r="C7365" s="17"/>
      <c r="D7365" s="13"/>
      <c r="E7365" s="11"/>
      <c r="F7365" s="11"/>
      <c r="G7365" s="13">
        <f t="shared" si="1"/>
        <v>1281</v>
      </c>
      <c r="H7365" s="13"/>
    </row>
    <row r="7366" ht="22.5" customHeight="1">
      <c r="B7366" s="17"/>
      <c r="C7366" s="17"/>
      <c r="D7366" s="13"/>
      <c r="E7366" s="11"/>
      <c r="F7366" s="11"/>
      <c r="G7366" s="13">
        <f t="shared" si="1"/>
        <v>1281</v>
      </c>
      <c r="H7366" s="13"/>
    </row>
    <row r="7367" ht="22.5" customHeight="1">
      <c r="B7367" s="17"/>
      <c r="C7367" s="17"/>
      <c r="D7367" s="13"/>
      <c r="E7367" s="11"/>
      <c r="F7367" s="11"/>
      <c r="G7367" s="13">
        <f t="shared" si="1"/>
        <v>1281</v>
      </c>
      <c r="H7367" s="13"/>
    </row>
    <row r="7368" ht="22.5" customHeight="1">
      <c r="B7368" s="17"/>
      <c r="C7368" s="17"/>
      <c r="D7368" s="13"/>
      <c r="E7368" s="11"/>
      <c r="F7368" s="11"/>
      <c r="G7368" s="13">
        <f t="shared" si="1"/>
        <v>1281</v>
      </c>
      <c r="H7368" s="13"/>
    </row>
    <row r="7369" ht="22.5" customHeight="1">
      <c r="B7369" s="17"/>
      <c r="C7369" s="17"/>
      <c r="D7369" s="13"/>
      <c r="E7369" s="11"/>
      <c r="F7369" s="11"/>
      <c r="G7369" s="13">
        <f t="shared" si="1"/>
        <v>1281</v>
      </c>
      <c r="H7369" s="13"/>
    </row>
    <row r="7370" ht="22.5" customHeight="1">
      <c r="B7370" s="17"/>
      <c r="C7370" s="17"/>
      <c r="D7370" s="13"/>
      <c r="E7370" s="11"/>
      <c r="F7370" s="11"/>
      <c r="G7370" s="13">
        <f t="shared" si="1"/>
        <v>1281</v>
      </c>
      <c r="H7370" s="13"/>
    </row>
    <row r="7371" ht="22.5" customHeight="1">
      <c r="B7371" s="17"/>
      <c r="C7371" s="17"/>
      <c r="D7371" s="13"/>
      <c r="E7371" s="11"/>
      <c r="F7371" s="11"/>
      <c r="G7371" s="13">
        <f t="shared" si="1"/>
        <v>1281</v>
      </c>
      <c r="H7371" s="13"/>
    </row>
    <row r="7372" ht="22.5" customHeight="1">
      <c r="B7372" s="17"/>
      <c r="C7372" s="17"/>
      <c r="D7372" s="13"/>
      <c r="E7372" s="11"/>
      <c r="F7372" s="11"/>
      <c r="G7372" s="13">
        <f t="shared" si="1"/>
        <v>1281</v>
      </c>
      <c r="H7372" s="13"/>
    </row>
    <row r="7373" ht="22.5" customHeight="1">
      <c r="B7373" s="17"/>
      <c r="C7373" s="17"/>
      <c r="D7373" s="13"/>
      <c r="E7373" s="11"/>
      <c r="F7373" s="11"/>
      <c r="G7373" s="13">
        <f t="shared" si="1"/>
        <v>1281</v>
      </c>
      <c r="H7373" s="13"/>
    </row>
    <row r="7374" ht="22.5" customHeight="1">
      <c r="B7374" s="17"/>
      <c r="C7374" s="17"/>
      <c r="D7374" s="13"/>
      <c r="E7374" s="11"/>
      <c r="F7374" s="11"/>
      <c r="G7374" s="13">
        <f t="shared" si="1"/>
        <v>1281</v>
      </c>
      <c r="H7374" s="13"/>
    </row>
    <row r="7375" ht="22.5" customHeight="1">
      <c r="B7375" s="17"/>
      <c r="C7375" s="17"/>
      <c r="D7375" s="13"/>
      <c r="E7375" s="11"/>
      <c r="F7375" s="11"/>
      <c r="G7375" s="13">
        <f t="shared" si="1"/>
        <v>1281</v>
      </c>
      <c r="H7375" s="13"/>
    </row>
    <row r="7376" ht="22.5" customHeight="1">
      <c r="B7376" s="17"/>
      <c r="C7376" s="17"/>
      <c r="D7376" s="13"/>
      <c r="E7376" s="11"/>
      <c r="F7376" s="11"/>
      <c r="G7376" s="13">
        <f t="shared" si="1"/>
        <v>1281</v>
      </c>
      <c r="H7376" s="13"/>
    </row>
    <row r="7377" ht="22.5" customHeight="1">
      <c r="B7377" s="17"/>
      <c r="C7377" s="17"/>
      <c r="D7377" s="13"/>
      <c r="E7377" s="11"/>
      <c r="F7377" s="11"/>
      <c r="G7377" s="13">
        <f t="shared" si="1"/>
        <v>1281</v>
      </c>
      <c r="H7377" s="13"/>
    </row>
    <row r="7378" ht="22.5" customHeight="1">
      <c r="B7378" s="17"/>
      <c r="C7378" s="17"/>
      <c r="D7378" s="13"/>
      <c r="E7378" s="11"/>
      <c r="F7378" s="11"/>
      <c r="G7378" s="13">
        <f t="shared" si="1"/>
        <v>1281</v>
      </c>
      <c r="H7378" s="13"/>
    </row>
    <row r="7379" ht="22.5" customHeight="1">
      <c r="B7379" s="17"/>
      <c r="C7379" s="17"/>
      <c r="D7379" s="13"/>
      <c r="E7379" s="11"/>
      <c r="F7379" s="11"/>
      <c r="G7379" s="13">
        <f t="shared" si="1"/>
        <v>1281</v>
      </c>
      <c r="H7379" s="13"/>
    </row>
    <row r="7380" ht="22.5" customHeight="1">
      <c r="B7380" s="17"/>
      <c r="C7380" s="17"/>
      <c r="D7380" s="13"/>
      <c r="E7380" s="11"/>
      <c r="F7380" s="11"/>
      <c r="G7380" s="13">
        <f t="shared" si="1"/>
        <v>1281</v>
      </c>
      <c r="H7380" s="13"/>
    </row>
    <row r="7381" ht="22.5" customHeight="1">
      <c r="B7381" s="17"/>
      <c r="C7381" s="17"/>
      <c r="D7381" s="13"/>
      <c r="E7381" s="11"/>
      <c r="F7381" s="11"/>
      <c r="G7381" s="13">
        <f t="shared" si="1"/>
        <v>1281</v>
      </c>
      <c r="H7381" s="13"/>
    </row>
    <row r="7382" ht="22.5" customHeight="1">
      <c r="B7382" s="17"/>
      <c r="C7382" s="17"/>
      <c r="D7382" s="13"/>
      <c r="E7382" s="11"/>
      <c r="F7382" s="11"/>
      <c r="G7382" s="13">
        <f t="shared" si="1"/>
        <v>1281</v>
      </c>
      <c r="H7382" s="13"/>
    </row>
    <row r="7383" ht="22.5" customHeight="1">
      <c r="B7383" s="17"/>
      <c r="C7383" s="17"/>
      <c r="D7383" s="13"/>
      <c r="E7383" s="11"/>
      <c r="F7383" s="11"/>
      <c r="G7383" s="13">
        <f t="shared" si="1"/>
        <v>1281</v>
      </c>
      <c r="H7383" s="13"/>
    </row>
    <row r="7384" ht="22.5" customHeight="1">
      <c r="B7384" s="17"/>
      <c r="C7384" s="17"/>
      <c r="D7384" s="13"/>
      <c r="E7384" s="11"/>
      <c r="F7384" s="11"/>
      <c r="G7384" s="13">
        <f t="shared" si="1"/>
        <v>1281</v>
      </c>
      <c r="H7384" s="13"/>
    </row>
    <row r="7385" ht="22.5" customHeight="1">
      <c r="B7385" s="17"/>
      <c r="C7385" s="17"/>
      <c r="D7385" s="13"/>
      <c r="E7385" s="11"/>
      <c r="F7385" s="11"/>
      <c r="G7385" s="13">
        <f t="shared" si="1"/>
        <v>1281</v>
      </c>
      <c r="H7385" s="13"/>
    </row>
    <row r="7386" ht="22.5" customHeight="1">
      <c r="B7386" s="17"/>
      <c r="C7386" s="17"/>
      <c r="D7386" s="13"/>
      <c r="E7386" s="11"/>
      <c r="F7386" s="11"/>
      <c r="G7386" s="13">
        <f t="shared" si="1"/>
        <v>1281</v>
      </c>
      <c r="H7386" s="13"/>
    </row>
    <row r="7387" ht="22.5" customHeight="1">
      <c r="B7387" s="17"/>
      <c r="C7387" s="17"/>
      <c r="D7387" s="13"/>
      <c r="E7387" s="11"/>
      <c r="F7387" s="11"/>
      <c r="G7387" s="13">
        <f t="shared" si="1"/>
        <v>1281</v>
      </c>
      <c r="H7387" s="13"/>
    </row>
    <row r="7388" ht="22.5" customHeight="1">
      <c r="B7388" s="17"/>
      <c r="C7388" s="17"/>
      <c r="D7388" s="13"/>
      <c r="E7388" s="11"/>
      <c r="F7388" s="11"/>
      <c r="G7388" s="13">
        <f t="shared" si="1"/>
        <v>1281</v>
      </c>
      <c r="H7388" s="13"/>
    </row>
    <row r="7389" ht="22.5" customHeight="1">
      <c r="B7389" s="17"/>
      <c r="C7389" s="17"/>
      <c r="D7389" s="13"/>
      <c r="E7389" s="11"/>
      <c r="F7389" s="11"/>
      <c r="G7389" s="13">
        <f t="shared" si="1"/>
        <v>1281</v>
      </c>
      <c r="H7389" s="13"/>
    </row>
    <row r="7390" ht="22.5" customHeight="1">
      <c r="B7390" s="17"/>
      <c r="C7390" s="17"/>
      <c r="D7390" s="13"/>
      <c r="E7390" s="11"/>
      <c r="F7390" s="11"/>
      <c r="G7390" s="13">
        <f t="shared" si="1"/>
        <v>1281</v>
      </c>
      <c r="H7390" s="13"/>
    </row>
    <row r="7391" ht="22.5" customHeight="1">
      <c r="B7391" s="17"/>
      <c r="C7391" s="17"/>
      <c r="D7391" s="13"/>
      <c r="E7391" s="11"/>
      <c r="F7391" s="11"/>
      <c r="G7391" s="13">
        <f t="shared" si="1"/>
        <v>1281</v>
      </c>
      <c r="H7391" s="13"/>
    </row>
    <row r="7392" ht="22.5" customHeight="1">
      <c r="B7392" s="17"/>
      <c r="C7392" s="17"/>
      <c r="D7392" s="13"/>
      <c r="E7392" s="11"/>
      <c r="F7392" s="11"/>
      <c r="G7392" s="13">
        <f t="shared" si="1"/>
        <v>1281</v>
      </c>
      <c r="H7392" s="13"/>
    </row>
    <row r="7393" ht="22.5" customHeight="1">
      <c r="B7393" s="17"/>
      <c r="C7393" s="17"/>
      <c r="D7393" s="13"/>
      <c r="E7393" s="11"/>
      <c r="F7393" s="11"/>
      <c r="G7393" s="13">
        <f t="shared" si="1"/>
        <v>1281</v>
      </c>
      <c r="H7393" s="13"/>
    </row>
    <row r="7394" ht="22.5" customHeight="1">
      <c r="B7394" s="17"/>
      <c r="C7394" s="17"/>
      <c r="D7394" s="13"/>
      <c r="E7394" s="11"/>
      <c r="F7394" s="11"/>
      <c r="G7394" s="13">
        <f t="shared" si="1"/>
        <v>1281</v>
      </c>
      <c r="H7394" s="13"/>
    </row>
    <row r="7395" ht="22.5" customHeight="1">
      <c r="B7395" s="17"/>
      <c r="C7395" s="17"/>
      <c r="D7395" s="13"/>
      <c r="E7395" s="11"/>
      <c r="F7395" s="11"/>
      <c r="G7395" s="13">
        <f t="shared" si="1"/>
        <v>1281</v>
      </c>
      <c r="H7395" s="13"/>
    </row>
    <row r="7396" ht="22.5" customHeight="1">
      <c r="B7396" s="17"/>
      <c r="C7396" s="17"/>
      <c r="D7396" s="13"/>
      <c r="E7396" s="11"/>
      <c r="F7396" s="11"/>
      <c r="G7396" s="13">
        <f t="shared" si="1"/>
        <v>1281</v>
      </c>
      <c r="H7396" s="13"/>
    </row>
    <row r="7397" ht="22.5" customHeight="1">
      <c r="B7397" s="17"/>
      <c r="C7397" s="17"/>
      <c r="D7397" s="13"/>
      <c r="E7397" s="11"/>
      <c r="F7397" s="11"/>
      <c r="G7397" s="13">
        <f t="shared" si="1"/>
        <v>1281</v>
      </c>
      <c r="H7397" s="13"/>
    </row>
    <row r="7398" ht="22.5" customHeight="1">
      <c r="B7398" s="17"/>
      <c r="C7398" s="17"/>
      <c r="D7398" s="13"/>
      <c r="E7398" s="11"/>
      <c r="F7398" s="11"/>
      <c r="G7398" s="13">
        <f t="shared" si="1"/>
        <v>1281</v>
      </c>
      <c r="H7398" s="13"/>
    </row>
    <row r="7399" ht="22.5" customHeight="1">
      <c r="B7399" s="17"/>
      <c r="C7399" s="17"/>
      <c r="D7399" s="13"/>
      <c r="E7399" s="11"/>
      <c r="F7399" s="11"/>
      <c r="G7399" s="13">
        <f t="shared" si="1"/>
        <v>1281</v>
      </c>
      <c r="H7399" s="13"/>
    </row>
    <row r="7400" ht="22.5" customHeight="1">
      <c r="B7400" s="17"/>
      <c r="C7400" s="17"/>
      <c r="D7400" s="13"/>
      <c r="E7400" s="11"/>
      <c r="F7400" s="11"/>
      <c r="G7400" s="13">
        <f t="shared" si="1"/>
        <v>1281</v>
      </c>
      <c r="H7400" s="13"/>
    </row>
    <row r="7401" ht="22.5" customHeight="1">
      <c r="B7401" s="17"/>
      <c r="C7401" s="17"/>
      <c r="D7401" s="13"/>
      <c r="E7401" s="11"/>
      <c r="F7401" s="11"/>
      <c r="G7401" s="13">
        <f t="shared" si="1"/>
        <v>1281</v>
      </c>
      <c r="H7401" s="13"/>
    </row>
    <row r="7402" ht="22.5" customHeight="1">
      <c r="B7402" s="17"/>
      <c r="C7402" s="17"/>
      <c r="D7402" s="13"/>
      <c r="E7402" s="11"/>
      <c r="F7402" s="11"/>
      <c r="G7402" s="13">
        <f t="shared" si="1"/>
        <v>1281</v>
      </c>
      <c r="H7402" s="13"/>
    </row>
    <row r="7403" ht="22.5" customHeight="1">
      <c r="B7403" s="17"/>
      <c r="C7403" s="17"/>
      <c r="D7403" s="13"/>
      <c r="E7403" s="11"/>
      <c r="F7403" s="11"/>
      <c r="G7403" s="13">
        <f t="shared" si="1"/>
        <v>1281</v>
      </c>
      <c r="H7403" s="13"/>
    </row>
    <row r="7404" ht="22.5" customHeight="1">
      <c r="B7404" s="17"/>
      <c r="C7404" s="17"/>
      <c r="D7404" s="13"/>
      <c r="E7404" s="11"/>
      <c r="F7404" s="11"/>
      <c r="G7404" s="13">
        <f t="shared" si="1"/>
        <v>1281</v>
      </c>
      <c r="H7404" s="13"/>
    </row>
    <row r="7405" ht="22.5" customHeight="1">
      <c r="B7405" s="17"/>
      <c r="C7405" s="17"/>
      <c r="D7405" s="13"/>
      <c r="E7405" s="11"/>
      <c r="F7405" s="11"/>
      <c r="G7405" s="13">
        <f t="shared" si="1"/>
        <v>1281</v>
      </c>
      <c r="H7405" s="13"/>
    </row>
    <row r="7406" ht="22.5" customHeight="1">
      <c r="B7406" s="17"/>
      <c r="C7406" s="17"/>
      <c r="D7406" s="13"/>
      <c r="E7406" s="11"/>
      <c r="F7406" s="11"/>
      <c r="G7406" s="13">
        <f t="shared" si="1"/>
        <v>1281</v>
      </c>
      <c r="H7406" s="13"/>
    </row>
    <row r="7407" ht="22.5" customHeight="1">
      <c r="B7407" s="17"/>
      <c r="C7407" s="17"/>
      <c r="D7407" s="13"/>
      <c r="E7407" s="11"/>
      <c r="F7407" s="11"/>
      <c r="G7407" s="13">
        <f t="shared" si="1"/>
        <v>1281</v>
      </c>
      <c r="H7407" s="13"/>
    </row>
    <row r="7408" ht="22.5" customHeight="1">
      <c r="B7408" s="17"/>
      <c r="C7408" s="17"/>
      <c r="D7408" s="13"/>
      <c r="E7408" s="11"/>
      <c r="F7408" s="11"/>
      <c r="G7408" s="13">
        <f t="shared" si="1"/>
        <v>1281</v>
      </c>
      <c r="H7408" s="13"/>
    </row>
    <row r="7409" ht="22.5" customHeight="1">
      <c r="B7409" s="17"/>
      <c r="C7409" s="17"/>
      <c r="D7409" s="13"/>
      <c r="E7409" s="11"/>
      <c r="F7409" s="11"/>
      <c r="G7409" s="13">
        <f t="shared" si="1"/>
        <v>1281</v>
      </c>
      <c r="H7409" s="13"/>
    </row>
    <row r="7410" ht="22.5" customHeight="1">
      <c r="B7410" s="17"/>
      <c r="C7410" s="17"/>
      <c r="D7410" s="13"/>
      <c r="E7410" s="11"/>
      <c r="F7410" s="11"/>
      <c r="G7410" s="13">
        <f t="shared" si="1"/>
        <v>1281</v>
      </c>
      <c r="H7410" s="13"/>
    </row>
    <row r="7411" ht="22.5" customHeight="1">
      <c r="B7411" s="17"/>
      <c r="C7411" s="17"/>
      <c r="D7411" s="13"/>
      <c r="E7411" s="11"/>
      <c r="F7411" s="11"/>
      <c r="G7411" s="13">
        <f t="shared" si="1"/>
        <v>1281</v>
      </c>
      <c r="H7411" s="13"/>
    </row>
    <row r="7412" ht="22.5" customHeight="1">
      <c r="B7412" s="17"/>
      <c r="C7412" s="17"/>
      <c r="D7412" s="13"/>
      <c r="E7412" s="11"/>
      <c r="F7412" s="11"/>
      <c r="G7412" s="13">
        <f t="shared" si="1"/>
        <v>1281</v>
      </c>
      <c r="H7412" s="13"/>
    </row>
    <row r="7413" ht="22.5" customHeight="1">
      <c r="B7413" s="17"/>
      <c r="C7413" s="17"/>
      <c r="D7413" s="13"/>
      <c r="E7413" s="11"/>
      <c r="F7413" s="11"/>
      <c r="G7413" s="13">
        <f t="shared" si="1"/>
        <v>1281</v>
      </c>
      <c r="H7413" s="13"/>
    </row>
    <row r="7414" ht="22.5" customHeight="1">
      <c r="B7414" s="17"/>
      <c r="C7414" s="17"/>
      <c r="D7414" s="13"/>
      <c r="E7414" s="11"/>
      <c r="F7414" s="11"/>
      <c r="G7414" s="13">
        <f t="shared" si="1"/>
        <v>1281</v>
      </c>
      <c r="H7414" s="13"/>
    </row>
    <row r="7415" ht="22.5" customHeight="1">
      <c r="B7415" s="17"/>
      <c r="C7415" s="17"/>
      <c r="D7415" s="13"/>
      <c r="E7415" s="11"/>
      <c r="F7415" s="11"/>
      <c r="G7415" s="13">
        <f t="shared" si="1"/>
        <v>1281</v>
      </c>
      <c r="H7415" s="13"/>
    </row>
    <row r="7416" ht="22.5" customHeight="1">
      <c r="B7416" s="17"/>
      <c r="C7416" s="17"/>
      <c r="D7416" s="13"/>
      <c r="E7416" s="11"/>
      <c r="F7416" s="11"/>
      <c r="G7416" s="13">
        <f t="shared" si="1"/>
        <v>1281</v>
      </c>
      <c r="H7416" s="13"/>
    </row>
    <row r="7417" ht="22.5" customHeight="1">
      <c r="B7417" s="17"/>
      <c r="C7417" s="17"/>
      <c r="D7417" s="13"/>
      <c r="E7417" s="11"/>
      <c r="F7417" s="11"/>
      <c r="G7417" s="13">
        <f t="shared" si="1"/>
        <v>1281</v>
      </c>
      <c r="H7417" s="13"/>
    </row>
    <row r="7418" ht="22.5" customHeight="1">
      <c r="B7418" s="17"/>
      <c r="C7418" s="17"/>
      <c r="D7418" s="13"/>
      <c r="E7418" s="11"/>
      <c r="F7418" s="11"/>
      <c r="G7418" s="13">
        <f t="shared" si="1"/>
        <v>1281</v>
      </c>
      <c r="H7418" s="13"/>
    </row>
    <row r="7419" ht="22.5" customHeight="1">
      <c r="B7419" s="17"/>
      <c r="C7419" s="17"/>
      <c r="D7419" s="13"/>
      <c r="E7419" s="11"/>
      <c r="F7419" s="11"/>
      <c r="G7419" s="13">
        <f t="shared" si="1"/>
        <v>1281</v>
      </c>
      <c r="H7419" s="13"/>
    </row>
    <row r="7420" ht="22.5" customHeight="1">
      <c r="B7420" s="17"/>
      <c r="C7420" s="17"/>
      <c r="D7420" s="13"/>
      <c r="E7420" s="11"/>
      <c r="F7420" s="11"/>
      <c r="G7420" s="13">
        <f t="shared" si="1"/>
        <v>1281</v>
      </c>
      <c r="H7420" s="13"/>
    </row>
    <row r="7421" ht="22.5" customHeight="1">
      <c r="B7421" s="17"/>
      <c r="C7421" s="17"/>
      <c r="D7421" s="13"/>
      <c r="E7421" s="11"/>
      <c r="F7421" s="11"/>
      <c r="G7421" s="13">
        <f t="shared" si="1"/>
        <v>1281</v>
      </c>
      <c r="H7421" s="13"/>
    </row>
    <row r="7422" ht="22.5" customHeight="1">
      <c r="B7422" s="17"/>
      <c r="C7422" s="17"/>
      <c r="D7422" s="13"/>
      <c r="E7422" s="11"/>
      <c r="F7422" s="11"/>
      <c r="G7422" s="13">
        <f t="shared" si="1"/>
        <v>1281</v>
      </c>
      <c r="H7422" s="13"/>
    </row>
    <row r="7423" ht="22.5" customHeight="1">
      <c r="B7423" s="17"/>
      <c r="C7423" s="17"/>
      <c r="D7423" s="13"/>
      <c r="E7423" s="11"/>
      <c r="F7423" s="11"/>
      <c r="G7423" s="13">
        <f t="shared" si="1"/>
        <v>1281</v>
      </c>
      <c r="H7423" s="13"/>
    </row>
    <row r="7424" ht="22.5" customHeight="1">
      <c r="B7424" s="17"/>
      <c r="C7424" s="17"/>
      <c r="D7424" s="13"/>
      <c r="E7424" s="11"/>
      <c r="F7424" s="11"/>
      <c r="G7424" s="13">
        <f t="shared" si="1"/>
        <v>1281</v>
      </c>
      <c r="H7424" s="13"/>
    </row>
    <row r="7425" ht="22.5" customHeight="1">
      <c r="B7425" s="17"/>
      <c r="C7425" s="17"/>
      <c r="D7425" s="13"/>
      <c r="E7425" s="11"/>
      <c r="F7425" s="11"/>
      <c r="G7425" s="13">
        <f t="shared" si="1"/>
        <v>1281</v>
      </c>
      <c r="H7425" s="13"/>
    </row>
    <row r="7426" ht="22.5" customHeight="1">
      <c r="B7426" s="17"/>
      <c r="C7426" s="17"/>
      <c r="D7426" s="13"/>
      <c r="E7426" s="11"/>
      <c r="F7426" s="11"/>
      <c r="G7426" s="13">
        <f t="shared" si="1"/>
        <v>1281</v>
      </c>
      <c r="H7426" s="13"/>
    </row>
    <row r="7427" ht="22.5" customHeight="1">
      <c r="B7427" s="17"/>
      <c r="C7427" s="17"/>
      <c r="D7427" s="13"/>
      <c r="E7427" s="11"/>
      <c r="F7427" s="11"/>
      <c r="G7427" s="13">
        <f t="shared" si="1"/>
        <v>1281</v>
      </c>
      <c r="H7427" s="13"/>
    </row>
    <row r="7428" ht="22.5" customHeight="1">
      <c r="B7428" s="17"/>
      <c r="C7428" s="17"/>
      <c r="D7428" s="13"/>
      <c r="E7428" s="11"/>
      <c r="F7428" s="11"/>
      <c r="G7428" s="13">
        <f t="shared" si="1"/>
        <v>1281</v>
      </c>
      <c r="H7428" s="13"/>
    </row>
    <row r="7429" ht="22.5" customHeight="1">
      <c r="B7429" s="17"/>
      <c r="C7429" s="17"/>
      <c r="D7429" s="13"/>
      <c r="E7429" s="11"/>
      <c r="F7429" s="11"/>
      <c r="G7429" s="13">
        <f t="shared" si="1"/>
        <v>1281</v>
      </c>
      <c r="H7429" s="13"/>
    </row>
    <row r="7430" ht="22.5" customHeight="1">
      <c r="B7430" s="17"/>
      <c r="C7430" s="17"/>
      <c r="D7430" s="13"/>
      <c r="E7430" s="11"/>
      <c r="F7430" s="11"/>
      <c r="G7430" s="13">
        <f t="shared" si="1"/>
        <v>1281</v>
      </c>
      <c r="H7430" s="13"/>
    </row>
    <row r="7431" ht="22.5" customHeight="1">
      <c r="B7431" s="17"/>
      <c r="C7431" s="17"/>
      <c r="D7431" s="13"/>
      <c r="E7431" s="11"/>
      <c r="F7431" s="11"/>
      <c r="G7431" s="13">
        <f t="shared" si="1"/>
        <v>1281</v>
      </c>
      <c r="H7431" s="13"/>
    </row>
    <row r="7432" ht="22.5" customHeight="1">
      <c r="B7432" s="17"/>
      <c r="C7432" s="17"/>
      <c r="D7432" s="13"/>
      <c r="E7432" s="11"/>
      <c r="F7432" s="11"/>
      <c r="G7432" s="13">
        <f t="shared" si="1"/>
        <v>1281</v>
      </c>
      <c r="H7432" s="13"/>
    </row>
    <row r="7433" ht="22.5" customHeight="1">
      <c r="B7433" s="17"/>
      <c r="C7433" s="17"/>
      <c r="D7433" s="13"/>
      <c r="E7433" s="11"/>
      <c r="F7433" s="11"/>
      <c r="G7433" s="13">
        <f t="shared" si="1"/>
        <v>1281</v>
      </c>
      <c r="H7433" s="13"/>
    </row>
    <row r="7434" ht="22.5" customHeight="1">
      <c r="B7434" s="17"/>
      <c r="C7434" s="17"/>
      <c r="D7434" s="13"/>
      <c r="E7434" s="11"/>
      <c r="F7434" s="11"/>
      <c r="G7434" s="13">
        <f t="shared" si="1"/>
        <v>1281</v>
      </c>
      <c r="H7434" s="13"/>
    </row>
    <row r="7435" ht="22.5" customHeight="1">
      <c r="B7435" s="17"/>
      <c r="C7435" s="17"/>
      <c r="D7435" s="13"/>
      <c r="E7435" s="11"/>
      <c r="F7435" s="11"/>
      <c r="G7435" s="13">
        <f t="shared" si="1"/>
        <v>1281</v>
      </c>
      <c r="H7435" s="13"/>
    </row>
    <row r="7436" ht="22.5" customHeight="1">
      <c r="B7436" s="17"/>
      <c r="C7436" s="17"/>
      <c r="D7436" s="13"/>
      <c r="E7436" s="11"/>
      <c r="F7436" s="11"/>
      <c r="G7436" s="13">
        <f t="shared" si="1"/>
        <v>1281</v>
      </c>
      <c r="H7436" s="13"/>
    </row>
    <row r="7437" ht="22.5" customHeight="1">
      <c r="B7437" s="17"/>
      <c r="C7437" s="17"/>
      <c r="D7437" s="13"/>
      <c r="E7437" s="11"/>
      <c r="F7437" s="11"/>
      <c r="G7437" s="13">
        <f t="shared" si="1"/>
        <v>1281</v>
      </c>
      <c r="H7437" s="13"/>
    </row>
    <row r="7438" ht="22.5" customHeight="1">
      <c r="B7438" s="17"/>
      <c r="C7438" s="17"/>
      <c r="D7438" s="13"/>
      <c r="E7438" s="11"/>
      <c r="F7438" s="11"/>
      <c r="G7438" s="13">
        <f t="shared" si="1"/>
        <v>1281</v>
      </c>
      <c r="H7438" s="13"/>
    </row>
    <row r="7439" ht="22.5" customHeight="1">
      <c r="B7439" s="17"/>
      <c r="C7439" s="17"/>
      <c r="D7439" s="13"/>
      <c r="E7439" s="11"/>
      <c r="F7439" s="11"/>
      <c r="G7439" s="13">
        <f t="shared" si="1"/>
        <v>1281</v>
      </c>
      <c r="H7439" s="13"/>
    </row>
    <row r="7440" ht="22.5" customHeight="1">
      <c r="B7440" s="17"/>
      <c r="C7440" s="17"/>
      <c r="D7440" s="13"/>
      <c r="E7440" s="11"/>
      <c r="F7440" s="11"/>
      <c r="G7440" s="13">
        <f t="shared" si="1"/>
        <v>1281</v>
      </c>
      <c r="H7440" s="13"/>
    </row>
    <row r="7441" ht="22.5" customHeight="1">
      <c r="B7441" s="17"/>
      <c r="C7441" s="17"/>
      <c r="D7441" s="13"/>
      <c r="E7441" s="11"/>
      <c r="F7441" s="11"/>
      <c r="G7441" s="13">
        <f t="shared" si="1"/>
        <v>1281</v>
      </c>
      <c r="H7441" s="13"/>
    </row>
    <row r="7442" ht="22.5" customHeight="1">
      <c r="B7442" s="17"/>
      <c r="C7442" s="17"/>
      <c r="D7442" s="13"/>
      <c r="E7442" s="11"/>
      <c r="F7442" s="11"/>
      <c r="G7442" s="13">
        <f t="shared" si="1"/>
        <v>1281</v>
      </c>
      <c r="H7442" s="13"/>
    </row>
    <row r="7443" ht="22.5" customHeight="1">
      <c r="B7443" s="17"/>
      <c r="C7443" s="17"/>
      <c r="D7443" s="13"/>
      <c r="E7443" s="11"/>
      <c r="F7443" s="11"/>
      <c r="G7443" s="13">
        <f t="shared" si="1"/>
        <v>1281</v>
      </c>
      <c r="H7443" s="13"/>
    </row>
    <row r="7444" ht="22.5" customHeight="1">
      <c r="B7444" s="17"/>
      <c r="C7444" s="17"/>
      <c r="D7444" s="13"/>
      <c r="E7444" s="11"/>
      <c r="F7444" s="11"/>
      <c r="G7444" s="13">
        <f t="shared" si="1"/>
        <v>1281</v>
      </c>
      <c r="H7444" s="13"/>
    </row>
    <row r="7445" ht="22.5" customHeight="1">
      <c r="B7445" s="17"/>
      <c r="C7445" s="17"/>
      <c r="D7445" s="13"/>
      <c r="E7445" s="11"/>
      <c r="F7445" s="11"/>
      <c r="G7445" s="13">
        <f t="shared" si="1"/>
        <v>1281</v>
      </c>
      <c r="H7445" s="13"/>
    </row>
    <row r="7446" ht="22.5" customHeight="1">
      <c r="B7446" s="17"/>
      <c r="C7446" s="17"/>
      <c r="D7446" s="13"/>
      <c r="E7446" s="11"/>
      <c r="F7446" s="11"/>
      <c r="G7446" s="13">
        <f t="shared" si="1"/>
        <v>1281</v>
      </c>
      <c r="H7446" s="13"/>
    </row>
    <row r="7447" ht="22.5" customHeight="1">
      <c r="B7447" s="17"/>
      <c r="C7447" s="17"/>
      <c r="D7447" s="13"/>
      <c r="E7447" s="11"/>
      <c r="F7447" s="11"/>
      <c r="G7447" s="13">
        <f t="shared" si="1"/>
        <v>1281</v>
      </c>
      <c r="H7447" s="13"/>
    </row>
    <row r="7448" ht="22.5" customHeight="1">
      <c r="B7448" s="17"/>
      <c r="C7448" s="17"/>
      <c r="D7448" s="13"/>
      <c r="E7448" s="11"/>
      <c r="F7448" s="11"/>
      <c r="G7448" s="13">
        <f t="shared" si="1"/>
        <v>1281</v>
      </c>
      <c r="H7448" s="13"/>
    </row>
    <row r="7449" ht="22.5" customHeight="1">
      <c r="B7449" s="17"/>
      <c r="C7449" s="17"/>
      <c r="D7449" s="13"/>
      <c r="E7449" s="11"/>
      <c r="F7449" s="11"/>
      <c r="G7449" s="13">
        <f t="shared" si="1"/>
        <v>1281</v>
      </c>
      <c r="H7449" s="13"/>
    </row>
    <row r="7450" ht="22.5" customHeight="1">
      <c r="B7450" s="17"/>
      <c r="C7450" s="17"/>
      <c r="D7450" s="13"/>
      <c r="E7450" s="11"/>
      <c r="F7450" s="11"/>
      <c r="G7450" s="13">
        <f t="shared" si="1"/>
        <v>1281</v>
      </c>
      <c r="H7450" s="13"/>
    </row>
    <row r="7451" ht="22.5" customHeight="1">
      <c r="B7451" s="17"/>
      <c r="C7451" s="17"/>
      <c r="D7451" s="13"/>
      <c r="E7451" s="11"/>
      <c r="F7451" s="11"/>
      <c r="G7451" s="13">
        <f t="shared" si="1"/>
        <v>1281</v>
      </c>
      <c r="H7451" s="13"/>
    </row>
    <row r="7452" ht="22.5" customHeight="1">
      <c r="B7452" s="17"/>
      <c r="C7452" s="17"/>
      <c r="D7452" s="13"/>
      <c r="E7452" s="11"/>
      <c r="F7452" s="11"/>
      <c r="G7452" s="13">
        <f t="shared" si="1"/>
        <v>1281</v>
      </c>
      <c r="H7452" s="13"/>
    </row>
    <row r="7453" ht="22.5" customHeight="1">
      <c r="B7453" s="17"/>
      <c r="C7453" s="17"/>
      <c r="D7453" s="13"/>
      <c r="E7453" s="11"/>
      <c r="F7453" s="11"/>
      <c r="G7453" s="13">
        <f t="shared" si="1"/>
        <v>1281</v>
      </c>
      <c r="H7453" s="13"/>
    </row>
    <row r="7454" ht="22.5" customHeight="1">
      <c r="B7454" s="17"/>
      <c r="C7454" s="17"/>
      <c r="D7454" s="13"/>
      <c r="E7454" s="11"/>
      <c r="F7454" s="11"/>
      <c r="G7454" s="13">
        <f t="shared" si="1"/>
        <v>1281</v>
      </c>
      <c r="H7454" s="13"/>
    </row>
    <row r="7455" ht="22.5" customHeight="1">
      <c r="B7455" s="17"/>
      <c r="C7455" s="17"/>
      <c r="D7455" s="13"/>
      <c r="E7455" s="11"/>
      <c r="F7455" s="11"/>
      <c r="G7455" s="13">
        <f t="shared" si="1"/>
        <v>1281</v>
      </c>
      <c r="H7455" s="13"/>
    </row>
    <row r="7456" ht="22.5" customHeight="1">
      <c r="B7456" s="17"/>
      <c r="C7456" s="17"/>
      <c r="D7456" s="13"/>
      <c r="E7456" s="11"/>
      <c r="F7456" s="11"/>
      <c r="G7456" s="13">
        <f t="shared" si="1"/>
        <v>1281</v>
      </c>
      <c r="H7456" s="13"/>
    </row>
    <row r="7457" ht="22.5" customHeight="1">
      <c r="B7457" s="17"/>
      <c r="C7457" s="17"/>
      <c r="D7457" s="13"/>
      <c r="E7457" s="11"/>
      <c r="F7457" s="11"/>
      <c r="G7457" s="13">
        <f t="shared" si="1"/>
        <v>1281</v>
      </c>
      <c r="H7457" s="13"/>
    </row>
    <row r="7458" ht="22.5" customHeight="1">
      <c r="B7458" s="17"/>
      <c r="C7458" s="17"/>
      <c r="D7458" s="13"/>
      <c r="E7458" s="11"/>
      <c r="F7458" s="11"/>
      <c r="G7458" s="13">
        <f t="shared" si="1"/>
        <v>1281</v>
      </c>
      <c r="H7458" s="13"/>
    </row>
    <row r="7459" ht="22.5" customHeight="1">
      <c r="B7459" s="17"/>
      <c r="C7459" s="17"/>
      <c r="D7459" s="13"/>
      <c r="E7459" s="11"/>
      <c r="F7459" s="11"/>
      <c r="G7459" s="13">
        <f t="shared" si="1"/>
        <v>1281</v>
      </c>
      <c r="H7459" s="13"/>
    </row>
    <row r="7460" ht="22.5" customHeight="1">
      <c r="B7460" s="17"/>
      <c r="C7460" s="17"/>
      <c r="D7460" s="13"/>
      <c r="E7460" s="11"/>
      <c r="F7460" s="11"/>
      <c r="G7460" s="13">
        <f t="shared" si="1"/>
        <v>1281</v>
      </c>
      <c r="H7460" s="13"/>
    </row>
    <row r="7461" ht="22.5" customHeight="1">
      <c r="B7461" s="17"/>
      <c r="C7461" s="17"/>
      <c r="D7461" s="13"/>
      <c r="E7461" s="11"/>
      <c r="F7461" s="11"/>
      <c r="G7461" s="13">
        <f t="shared" si="1"/>
        <v>1281</v>
      </c>
      <c r="H7461" s="13"/>
    </row>
    <row r="7462" ht="22.5" customHeight="1">
      <c r="B7462" s="17"/>
      <c r="C7462" s="17"/>
      <c r="D7462" s="13"/>
      <c r="E7462" s="11"/>
      <c r="F7462" s="11"/>
      <c r="G7462" s="13">
        <f t="shared" si="1"/>
        <v>1281</v>
      </c>
      <c r="H7462" s="13"/>
    </row>
    <row r="7463" ht="22.5" customHeight="1">
      <c r="B7463" s="17"/>
      <c r="C7463" s="17"/>
      <c r="D7463" s="13"/>
      <c r="E7463" s="11"/>
      <c r="F7463" s="11"/>
      <c r="G7463" s="13">
        <f t="shared" si="1"/>
        <v>1281</v>
      </c>
      <c r="H7463" s="13"/>
    </row>
    <row r="7464" ht="22.5" customHeight="1">
      <c r="B7464" s="17"/>
      <c r="C7464" s="17"/>
      <c r="D7464" s="13"/>
      <c r="E7464" s="11"/>
      <c r="F7464" s="11"/>
      <c r="G7464" s="13">
        <f t="shared" si="1"/>
        <v>1281</v>
      </c>
      <c r="H7464" s="13"/>
    </row>
    <row r="7465" ht="22.5" customHeight="1">
      <c r="B7465" s="17"/>
      <c r="C7465" s="17"/>
      <c r="D7465" s="13"/>
      <c r="E7465" s="11"/>
      <c r="F7465" s="11"/>
      <c r="G7465" s="13">
        <f t="shared" si="1"/>
        <v>1281</v>
      </c>
      <c r="H7465" s="13"/>
    </row>
    <row r="7466" ht="22.5" customHeight="1">
      <c r="B7466" s="17"/>
      <c r="C7466" s="17"/>
      <c r="D7466" s="13"/>
      <c r="E7466" s="11"/>
      <c r="F7466" s="11"/>
      <c r="G7466" s="13">
        <f t="shared" si="1"/>
        <v>1281</v>
      </c>
      <c r="H7466" s="13"/>
    </row>
    <row r="7467" ht="22.5" customHeight="1">
      <c r="B7467" s="17"/>
      <c r="C7467" s="17"/>
      <c r="D7467" s="13"/>
      <c r="E7467" s="11"/>
      <c r="F7467" s="11"/>
      <c r="G7467" s="13">
        <f t="shared" si="1"/>
        <v>1281</v>
      </c>
      <c r="H7467" s="13"/>
    </row>
    <row r="7468" ht="22.5" customHeight="1">
      <c r="B7468" s="17"/>
      <c r="C7468" s="17"/>
      <c r="D7468" s="13"/>
      <c r="E7468" s="11"/>
      <c r="F7468" s="11"/>
      <c r="G7468" s="13">
        <f t="shared" si="1"/>
        <v>1281</v>
      </c>
      <c r="H7468" s="13"/>
    </row>
    <row r="7469" ht="22.5" customHeight="1">
      <c r="B7469" s="17"/>
      <c r="C7469" s="17"/>
      <c r="D7469" s="13"/>
      <c r="E7469" s="11"/>
      <c r="F7469" s="11"/>
      <c r="G7469" s="13">
        <f t="shared" si="1"/>
        <v>1281</v>
      </c>
      <c r="H7469" s="13"/>
    </row>
    <row r="7470" ht="22.5" customHeight="1">
      <c r="B7470" s="17"/>
      <c r="C7470" s="17"/>
      <c r="D7470" s="13"/>
      <c r="E7470" s="11"/>
      <c r="F7470" s="11"/>
      <c r="G7470" s="13">
        <f t="shared" si="1"/>
        <v>1281</v>
      </c>
      <c r="H7470" s="13"/>
    </row>
    <row r="7471" ht="22.5" customHeight="1">
      <c r="B7471" s="17"/>
      <c r="C7471" s="17"/>
      <c r="D7471" s="13"/>
      <c r="E7471" s="11"/>
      <c r="F7471" s="11"/>
      <c r="G7471" s="13">
        <f t="shared" si="1"/>
        <v>1281</v>
      </c>
      <c r="H7471" s="13"/>
    </row>
    <row r="7472" ht="22.5" customHeight="1">
      <c r="B7472" s="17"/>
      <c r="C7472" s="17"/>
      <c r="D7472" s="13"/>
      <c r="E7472" s="11"/>
      <c r="F7472" s="11"/>
      <c r="G7472" s="13">
        <f t="shared" si="1"/>
        <v>1281</v>
      </c>
      <c r="H7472" s="13"/>
    </row>
    <row r="7473" ht="22.5" customHeight="1">
      <c r="B7473" s="17"/>
      <c r="C7473" s="17"/>
      <c r="D7473" s="13"/>
      <c r="E7473" s="11"/>
      <c r="F7473" s="11"/>
      <c r="G7473" s="13">
        <f t="shared" si="1"/>
        <v>1281</v>
      </c>
      <c r="H7473" s="13"/>
    </row>
    <row r="7474" ht="22.5" customHeight="1">
      <c r="B7474" s="17"/>
      <c r="C7474" s="17"/>
      <c r="D7474" s="13"/>
      <c r="E7474" s="11"/>
      <c r="F7474" s="11"/>
      <c r="G7474" s="13">
        <f t="shared" si="1"/>
        <v>1281</v>
      </c>
      <c r="H7474" s="13"/>
    </row>
    <row r="7475" ht="22.5" customHeight="1">
      <c r="B7475" s="17"/>
      <c r="C7475" s="17"/>
      <c r="D7475" s="13"/>
      <c r="E7475" s="11"/>
      <c r="F7475" s="11"/>
      <c r="G7475" s="13">
        <f t="shared" si="1"/>
        <v>1281</v>
      </c>
      <c r="H7475" s="13"/>
    </row>
    <row r="7476" ht="22.5" customHeight="1">
      <c r="B7476" s="17"/>
      <c r="C7476" s="17"/>
      <c r="D7476" s="13"/>
      <c r="E7476" s="11"/>
      <c r="F7476" s="11"/>
      <c r="G7476" s="13">
        <f t="shared" si="1"/>
        <v>1281</v>
      </c>
      <c r="H7476" s="13"/>
    </row>
    <row r="7477" ht="22.5" customHeight="1">
      <c r="B7477" s="17"/>
      <c r="C7477" s="17"/>
      <c r="D7477" s="13"/>
      <c r="E7477" s="11"/>
      <c r="F7477" s="11"/>
      <c r="G7477" s="13">
        <f t="shared" si="1"/>
        <v>1281</v>
      </c>
      <c r="H7477" s="13"/>
    </row>
    <row r="7478" ht="22.5" customHeight="1">
      <c r="B7478" s="17"/>
      <c r="C7478" s="17"/>
      <c r="D7478" s="13"/>
      <c r="E7478" s="11"/>
      <c r="F7478" s="11"/>
      <c r="G7478" s="13">
        <f t="shared" si="1"/>
        <v>1281</v>
      </c>
      <c r="H7478" s="13"/>
    </row>
    <row r="7479" ht="22.5" customHeight="1">
      <c r="B7479" s="17"/>
      <c r="C7479" s="17"/>
      <c r="D7479" s="13"/>
      <c r="E7479" s="11"/>
      <c r="F7479" s="11"/>
      <c r="G7479" s="13">
        <f t="shared" si="1"/>
        <v>1281</v>
      </c>
      <c r="H7479" s="13"/>
    </row>
    <row r="7480" ht="22.5" customHeight="1">
      <c r="B7480" s="17"/>
      <c r="C7480" s="17"/>
      <c r="D7480" s="13"/>
      <c r="E7480" s="11"/>
      <c r="F7480" s="11"/>
      <c r="G7480" s="13">
        <f t="shared" si="1"/>
        <v>1281</v>
      </c>
      <c r="H7480" s="13"/>
    </row>
    <row r="7481" ht="22.5" customHeight="1">
      <c r="B7481" s="17"/>
      <c r="C7481" s="17"/>
      <c r="D7481" s="13"/>
      <c r="E7481" s="11"/>
      <c r="F7481" s="11"/>
      <c r="G7481" s="13">
        <f t="shared" si="1"/>
        <v>1281</v>
      </c>
      <c r="H7481" s="13"/>
    </row>
    <row r="7482" ht="22.5" customHeight="1">
      <c r="B7482" s="17"/>
      <c r="C7482" s="17"/>
      <c r="D7482" s="13"/>
      <c r="E7482" s="11"/>
      <c r="F7482" s="11"/>
      <c r="G7482" s="13">
        <f t="shared" si="1"/>
        <v>1281</v>
      </c>
      <c r="H7482" s="13"/>
    </row>
    <row r="7483" ht="22.5" customHeight="1">
      <c r="B7483" s="17"/>
      <c r="C7483" s="17"/>
      <c r="D7483" s="13"/>
      <c r="E7483" s="11"/>
      <c r="F7483" s="11"/>
      <c r="G7483" s="13">
        <f t="shared" si="1"/>
        <v>1281</v>
      </c>
      <c r="H7483" s="13"/>
    </row>
    <row r="7484" ht="22.5" customHeight="1">
      <c r="B7484" s="17"/>
      <c r="C7484" s="17"/>
      <c r="D7484" s="13"/>
      <c r="E7484" s="11"/>
      <c r="F7484" s="11"/>
      <c r="G7484" s="13">
        <f t="shared" si="1"/>
        <v>1281</v>
      </c>
      <c r="H7484" s="13"/>
    </row>
    <row r="7485" ht="22.5" customHeight="1">
      <c r="B7485" s="17"/>
      <c r="C7485" s="17"/>
      <c r="D7485" s="13"/>
      <c r="E7485" s="11"/>
      <c r="F7485" s="11"/>
      <c r="G7485" s="13">
        <f t="shared" si="1"/>
        <v>1281</v>
      </c>
      <c r="H7485" s="13"/>
    </row>
    <row r="7486" ht="22.5" customHeight="1">
      <c r="B7486" s="17"/>
      <c r="C7486" s="17"/>
      <c r="D7486" s="13"/>
      <c r="E7486" s="11"/>
      <c r="F7486" s="11"/>
      <c r="G7486" s="13">
        <f t="shared" si="1"/>
        <v>1281</v>
      </c>
      <c r="H7486" s="13"/>
    </row>
    <row r="7487" ht="22.5" customHeight="1">
      <c r="B7487" s="17"/>
      <c r="C7487" s="17"/>
      <c r="D7487" s="13"/>
      <c r="E7487" s="11"/>
      <c r="F7487" s="11"/>
      <c r="G7487" s="13">
        <f t="shared" si="1"/>
        <v>1281</v>
      </c>
      <c r="H7487" s="13"/>
    </row>
    <row r="7488" ht="22.5" customHeight="1">
      <c r="B7488" s="17"/>
      <c r="C7488" s="17"/>
      <c r="D7488" s="13"/>
      <c r="E7488" s="11"/>
      <c r="F7488" s="11"/>
      <c r="G7488" s="13">
        <f t="shared" si="1"/>
        <v>1281</v>
      </c>
      <c r="H7488" s="13"/>
    </row>
    <row r="7489" ht="22.5" customHeight="1">
      <c r="B7489" s="17"/>
      <c r="C7489" s="17"/>
      <c r="D7489" s="13"/>
      <c r="E7489" s="11"/>
      <c r="F7489" s="11"/>
      <c r="G7489" s="13">
        <f t="shared" si="1"/>
        <v>1281</v>
      </c>
      <c r="H7489" s="13"/>
    </row>
    <row r="7490" ht="22.5" customHeight="1">
      <c r="B7490" s="17"/>
      <c r="C7490" s="17"/>
      <c r="D7490" s="13"/>
      <c r="E7490" s="11"/>
      <c r="F7490" s="11"/>
      <c r="G7490" s="13">
        <f t="shared" si="1"/>
        <v>1281</v>
      </c>
      <c r="H7490" s="13"/>
    </row>
    <row r="7491" ht="22.5" customHeight="1">
      <c r="B7491" s="17"/>
      <c r="C7491" s="17"/>
      <c r="D7491" s="13"/>
      <c r="E7491" s="11"/>
      <c r="F7491" s="11"/>
      <c r="G7491" s="13">
        <f t="shared" si="1"/>
        <v>1281</v>
      </c>
      <c r="H7491" s="13"/>
    </row>
    <row r="7492" ht="22.5" customHeight="1">
      <c r="B7492" s="17"/>
      <c r="C7492" s="17"/>
      <c r="D7492" s="13"/>
      <c r="E7492" s="11"/>
      <c r="F7492" s="11"/>
      <c r="G7492" s="13">
        <f t="shared" si="1"/>
        <v>1281</v>
      </c>
      <c r="H7492" s="13"/>
    </row>
    <row r="7493" ht="22.5" customHeight="1">
      <c r="B7493" s="17"/>
      <c r="C7493" s="17"/>
      <c r="D7493" s="13"/>
      <c r="E7493" s="11"/>
      <c r="F7493" s="11"/>
      <c r="G7493" s="13">
        <f t="shared" si="1"/>
        <v>1281</v>
      </c>
      <c r="H7493" s="13"/>
    </row>
    <row r="7494" ht="22.5" customHeight="1">
      <c r="B7494" s="17"/>
      <c r="C7494" s="17"/>
      <c r="D7494" s="13"/>
      <c r="E7494" s="11"/>
      <c r="F7494" s="11"/>
      <c r="G7494" s="13">
        <f t="shared" si="1"/>
        <v>1281</v>
      </c>
      <c r="H7494" s="13"/>
    </row>
    <row r="7495" ht="22.5" customHeight="1">
      <c r="B7495" s="17"/>
      <c r="C7495" s="17"/>
      <c r="D7495" s="13"/>
      <c r="E7495" s="11"/>
      <c r="F7495" s="11"/>
      <c r="G7495" s="13">
        <f t="shared" si="1"/>
        <v>1281</v>
      </c>
      <c r="H7495" s="13"/>
    </row>
    <row r="7496" ht="22.5" customHeight="1">
      <c r="B7496" s="17"/>
      <c r="C7496" s="17"/>
      <c r="D7496" s="13"/>
      <c r="E7496" s="11"/>
      <c r="F7496" s="11"/>
      <c r="G7496" s="13">
        <f t="shared" si="1"/>
        <v>1281</v>
      </c>
      <c r="H7496" s="13"/>
    </row>
    <row r="7497" ht="22.5" customHeight="1">
      <c r="B7497" s="17"/>
      <c r="C7497" s="17"/>
      <c r="D7497" s="13"/>
      <c r="E7497" s="11"/>
      <c r="F7497" s="11"/>
      <c r="G7497" s="13">
        <f t="shared" si="1"/>
        <v>1281</v>
      </c>
      <c r="H7497" s="13"/>
    </row>
    <row r="7498" ht="22.5" customHeight="1">
      <c r="B7498" s="17"/>
      <c r="C7498" s="17"/>
      <c r="D7498" s="13"/>
      <c r="E7498" s="11"/>
      <c r="F7498" s="11"/>
      <c r="G7498" s="13">
        <f t="shared" si="1"/>
        <v>1281</v>
      </c>
      <c r="H7498" s="13"/>
    </row>
    <row r="7499" ht="22.5" customHeight="1">
      <c r="B7499" s="17"/>
      <c r="C7499" s="17"/>
      <c r="D7499" s="13"/>
      <c r="E7499" s="11"/>
      <c r="F7499" s="11"/>
      <c r="G7499" s="13">
        <f t="shared" si="1"/>
        <v>1281</v>
      </c>
      <c r="H7499" s="13"/>
    </row>
    <row r="7500" ht="22.5" customHeight="1">
      <c r="B7500" s="17"/>
      <c r="C7500" s="17"/>
      <c r="D7500" s="13"/>
      <c r="E7500" s="11"/>
      <c r="F7500" s="11"/>
      <c r="G7500" s="13">
        <f t="shared" si="1"/>
        <v>1281</v>
      </c>
      <c r="H7500" s="13"/>
    </row>
    <row r="7501" ht="22.5" customHeight="1">
      <c r="B7501" s="17"/>
      <c r="C7501" s="17"/>
      <c r="D7501" s="13"/>
      <c r="E7501" s="11"/>
      <c r="F7501" s="11"/>
      <c r="G7501" s="13">
        <f t="shared" si="1"/>
        <v>1281</v>
      </c>
      <c r="H7501" s="13"/>
    </row>
    <row r="7502" ht="22.5" customHeight="1">
      <c r="B7502" s="17"/>
      <c r="C7502" s="17"/>
      <c r="D7502" s="13"/>
      <c r="E7502" s="11"/>
      <c r="F7502" s="11"/>
      <c r="G7502" s="13">
        <f t="shared" si="1"/>
        <v>1281</v>
      </c>
      <c r="H7502" s="13"/>
    </row>
    <row r="7503" ht="22.5" customHeight="1">
      <c r="B7503" s="17"/>
      <c r="C7503" s="17"/>
      <c r="D7503" s="13"/>
      <c r="E7503" s="11"/>
      <c r="F7503" s="11"/>
      <c r="G7503" s="13">
        <f t="shared" si="1"/>
        <v>1281</v>
      </c>
      <c r="H7503" s="13"/>
    </row>
    <row r="7504" ht="22.5" customHeight="1">
      <c r="B7504" s="17"/>
      <c r="C7504" s="17"/>
      <c r="D7504" s="13"/>
      <c r="E7504" s="11"/>
      <c r="F7504" s="11"/>
      <c r="G7504" s="13">
        <f t="shared" si="1"/>
        <v>1281</v>
      </c>
      <c r="H7504" s="13"/>
    </row>
    <row r="7505" ht="22.5" customHeight="1">
      <c r="B7505" s="17"/>
      <c r="C7505" s="17"/>
      <c r="D7505" s="13"/>
      <c r="E7505" s="11"/>
      <c r="F7505" s="11"/>
      <c r="G7505" s="13">
        <f t="shared" si="1"/>
        <v>1281</v>
      </c>
      <c r="H7505" s="13"/>
    </row>
    <row r="7506" ht="22.5" customHeight="1">
      <c r="B7506" s="17"/>
      <c r="C7506" s="17"/>
      <c r="D7506" s="13"/>
      <c r="E7506" s="11"/>
      <c r="F7506" s="11"/>
      <c r="G7506" s="13">
        <f t="shared" si="1"/>
        <v>1281</v>
      </c>
      <c r="H7506" s="13"/>
    </row>
    <row r="7507" ht="22.5" customHeight="1">
      <c r="B7507" s="17"/>
      <c r="C7507" s="17"/>
      <c r="D7507" s="13"/>
      <c r="E7507" s="11"/>
      <c r="F7507" s="11"/>
      <c r="G7507" s="13">
        <f t="shared" si="1"/>
        <v>1281</v>
      </c>
      <c r="H7507" s="13"/>
    </row>
    <row r="7508" ht="22.5" customHeight="1">
      <c r="B7508" s="17"/>
      <c r="C7508" s="17"/>
      <c r="D7508" s="13"/>
      <c r="E7508" s="11"/>
      <c r="F7508" s="11"/>
      <c r="G7508" s="13">
        <f t="shared" si="1"/>
        <v>1281</v>
      </c>
      <c r="H7508" s="13"/>
    </row>
    <row r="7509" ht="22.5" customHeight="1">
      <c r="B7509" s="17"/>
      <c r="C7509" s="17"/>
      <c r="D7509" s="13"/>
      <c r="E7509" s="11"/>
      <c r="F7509" s="11"/>
      <c r="G7509" s="13">
        <f t="shared" si="1"/>
        <v>1281</v>
      </c>
      <c r="H7509" s="13"/>
    </row>
    <row r="7510" ht="22.5" customHeight="1">
      <c r="B7510" s="17"/>
      <c r="C7510" s="17"/>
      <c r="D7510" s="13"/>
      <c r="E7510" s="11"/>
      <c r="F7510" s="11"/>
      <c r="G7510" s="13">
        <f t="shared" si="1"/>
        <v>1281</v>
      </c>
      <c r="H7510" s="13"/>
    </row>
    <row r="7511" ht="22.5" customHeight="1">
      <c r="B7511" s="17"/>
      <c r="C7511" s="17"/>
      <c r="D7511" s="13"/>
      <c r="E7511" s="11"/>
      <c r="F7511" s="11"/>
      <c r="G7511" s="13">
        <f t="shared" si="1"/>
        <v>1281</v>
      </c>
      <c r="H7511" s="13"/>
    </row>
    <row r="7512" ht="22.5" customHeight="1">
      <c r="B7512" s="17"/>
      <c r="C7512" s="17"/>
      <c r="D7512" s="13"/>
      <c r="E7512" s="11"/>
      <c r="F7512" s="11"/>
      <c r="G7512" s="13">
        <f t="shared" si="1"/>
        <v>1281</v>
      </c>
      <c r="H7512" s="13"/>
    </row>
    <row r="7513" ht="22.5" customHeight="1">
      <c r="B7513" s="17"/>
      <c r="C7513" s="17"/>
      <c r="D7513" s="13"/>
      <c r="E7513" s="11"/>
      <c r="F7513" s="11"/>
      <c r="G7513" s="13">
        <f t="shared" si="1"/>
        <v>1281</v>
      </c>
      <c r="H7513" s="13"/>
    </row>
    <row r="7514" ht="22.5" customHeight="1">
      <c r="B7514" s="17"/>
      <c r="C7514" s="17"/>
      <c r="D7514" s="13"/>
      <c r="E7514" s="11"/>
      <c r="F7514" s="11"/>
      <c r="G7514" s="13">
        <f t="shared" si="1"/>
        <v>1281</v>
      </c>
      <c r="H7514" s="13"/>
    </row>
    <row r="7515" ht="22.5" customHeight="1">
      <c r="B7515" s="17"/>
      <c r="C7515" s="17"/>
      <c r="D7515" s="13"/>
      <c r="E7515" s="11"/>
      <c r="F7515" s="11"/>
      <c r="G7515" s="13">
        <f t="shared" si="1"/>
        <v>1281</v>
      </c>
      <c r="H7515" s="13"/>
    </row>
    <row r="7516" ht="22.5" customHeight="1">
      <c r="B7516" s="17"/>
      <c r="C7516" s="17"/>
      <c r="D7516" s="13"/>
      <c r="E7516" s="11"/>
      <c r="F7516" s="11"/>
      <c r="G7516" s="13">
        <f t="shared" si="1"/>
        <v>1281</v>
      </c>
      <c r="H7516" s="13"/>
    </row>
    <row r="7517" ht="22.5" customHeight="1">
      <c r="B7517" s="17"/>
      <c r="C7517" s="17"/>
      <c r="D7517" s="13"/>
      <c r="E7517" s="11"/>
      <c r="F7517" s="11"/>
      <c r="G7517" s="13">
        <f t="shared" si="1"/>
        <v>1281</v>
      </c>
      <c r="H7517" s="13"/>
    </row>
    <row r="7518" ht="22.5" customHeight="1">
      <c r="B7518" s="17"/>
      <c r="C7518" s="17"/>
      <c r="D7518" s="13"/>
      <c r="E7518" s="11"/>
      <c r="F7518" s="11"/>
      <c r="G7518" s="13">
        <f t="shared" si="1"/>
        <v>1281</v>
      </c>
      <c r="H7518" s="13"/>
    </row>
    <row r="7519" ht="22.5" customHeight="1">
      <c r="B7519" s="17"/>
      <c r="C7519" s="17"/>
      <c r="D7519" s="13"/>
      <c r="E7519" s="11"/>
      <c r="F7519" s="11"/>
      <c r="G7519" s="13">
        <f t="shared" si="1"/>
        <v>1281</v>
      </c>
      <c r="H7519" s="13"/>
    </row>
    <row r="7520" ht="22.5" customHeight="1">
      <c r="B7520" s="17"/>
      <c r="C7520" s="17"/>
      <c r="D7520" s="13"/>
      <c r="E7520" s="11"/>
      <c r="F7520" s="11"/>
      <c r="G7520" s="13">
        <f t="shared" si="1"/>
        <v>1281</v>
      </c>
      <c r="H7520" s="13"/>
    </row>
    <row r="7521" ht="22.5" customHeight="1">
      <c r="B7521" s="17"/>
      <c r="C7521" s="17"/>
      <c r="D7521" s="13"/>
      <c r="E7521" s="11"/>
      <c r="F7521" s="11"/>
      <c r="G7521" s="13">
        <f t="shared" si="1"/>
        <v>1281</v>
      </c>
      <c r="H7521" s="13"/>
    </row>
    <row r="7522" ht="22.5" customHeight="1">
      <c r="B7522" s="17"/>
      <c r="C7522" s="17"/>
      <c r="D7522" s="13"/>
      <c r="E7522" s="11"/>
      <c r="F7522" s="11"/>
      <c r="G7522" s="13">
        <f t="shared" si="1"/>
        <v>1281</v>
      </c>
      <c r="H7522" s="13"/>
    </row>
    <row r="7523" ht="22.5" customHeight="1">
      <c r="B7523" s="17"/>
      <c r="C7523" s="17"/>
      <c r="D7523" s="13"/>
      <c r="E7523" s="11"/>
      <c r="F7523" s="11"/>
      <c r="G7523" s="13">
        <f t="shared" si="1"/>
        <v>1281</v>
      </c>
      <c r="H7523" s="13"/>
    </row>
    <row r="7524" ht="22.5" customHeight="1">
      <c r="B7524" s="17"/>
      <c r="C7524" s="17"/>
      <c r="D7524" s="13"/>
      <c r="E7524" s="11"/>
      <c r="F7524" s="11"/>
      <c r="G7524" s="13">
        <f t="shared" si="1"/>
        <v>1281</v>
      </c>
      <c r="H7524" s="13"/>
    </row>
    <row r="7525" ht="22.5" customHeight="1">
      <c r="B7525" s="17"/>
      <c r="C7525" s="17"/>
      <c r="D7525" s="13"/>
      <c r="E7525" s="11"/>
      <c r="F7525" s="11"/>
      <c r="G7525" s="13">
        <f t="shared" si="1"/>
        <v>1281</v>
      </c>
      <c r="H7525" s="13"/>
    </row>
    <row r="7526" ht="22.5" customHeight="1">
      <c r="B7526" s="17"/>
      <c r="C7526" s="17"/>
      <c r="D7526" s="13"/>
      <c r="E7526" s="11"/>
      <c r="F7526" s="11"/>
      <c r="G7526" s="13">
        <f t="shared" si="1"/>
        <v>1281</v>
      </c>
      <c r="H7526" s="13"/>
    </row>
    <row r="7527" ht="22.5" customHeight="1">
      <c r="B7527" s="17"/>
      <c r="C7527" s="17"/>
      <c r="D7527" s="13"/>
      <c r="E7527" s="11"/>
      <c r="F7527" s="11"/>
      <c r="G7527" s="13">
        <f t="shared" si="1"/>
        <v>1281</v>
      </c>
      <c r="H7527" s="13"/>
    </row>
    <row r="7528" ht="22.5" customHeight="1">
      <c r="B7528" s="17"/>
      <c r="C7528" s="17"/>
      <c r="D7528" s="13"/>
      <c r="E7528" s="11"/>
      <c r="F7528" s="11"/>
      <c r="G7528" s="13">
        <f t="shared" si="1"/>
        <v>1281</v>
      </c>
      <c r="H7528" s="13"/>
    </row>
    <row r="7529" ht="22.5" customHeight="1">
      <c r="B7529" s="17"/>
      <c r="C7529" s="17"/>
      <c r="D7529" s="13"/>
      <c r="E7529" s="11"/>
      <c r="F7529" s="11"/>
      <c r="G7529" s="13">
        <f t="shared" si="1"/>
        <v>1281</v>
      </c>
      <c r="H7529" s="13"/>
    </row>
    <row r="7530" ht="22.5" customHeight="1">
      <c r="B7530" s="17"/>
      <c r="C7530" s="17"/>
      <c r="D7530" s="13"/>
      <c r="E7530" s="11"/>
      <c r="F7530" s="11"/>
      <c r="G7530" s="13">
        <f t="shared" si="1"/>
        <v>1281</v>
      </c>
      <c r="H7530" s="13"/>
    </row>
    <row r="7531" ht="22.5" customHeight="1">
      <c r="B7531" s="17"/>
      <c r="C7531" s="17"/>
      <c r="D7531" s="13"/>
      <c r="E7531" s="11"/>
      <c r="F7531" s="11"/>
      <c r="G7531" s="13">
        <f t="shared" si="1"/>
        <v>1281</v>
      </c>
      <c r="H7531" s="13"/>
    </row>
    <row r="7532" ht="22.5" customHeight="1">
      <c r="B7532" s="17"/>
      <c r="C7532" s="17"/>
      <c r="D7532" s="13"/>
      <c r="E7532" s="11"/>
      <c r="F7532" s="11"/>
      <c r="G7532" s="13">
        <f t="shared" si="1"/>
        <v>1281</v>
      </c>
      <c r="H7532" s="13"/>
    </row>
    <row r="7533" ht="22.5" customHeight="1">
      <c r="B7533" s="17"/>
      <c r="C7533" s="17"/>
      <c r="D7533" s="13"/>
      <c r="E7533" s="11"/>
      <c r="F7533" s="11"/>
      <c r="G7533" s="13">
        <f t="shared" si="1"/>
        <v>1281</v>
      </c>
      <c r="H7533" s="13"/>
    </row>
    <row r="7534" ht="22.5" customHeight="1">
      <c r="B7534" s="17"/>
      <c r="C7534" s="17"/>
      <c r="D7534" s="13"/>
      <c r="E7534" s="11"/>
      <c r="F7534" s="11"/>
      <c r="G7534" s="13">
        <f t="shared" si="1"/>
        <v>1281</v>
      </c>
      <c r="H7534" s="13"/>
    </row>
    <row r="7535" ht="22.5" customHeight="1">
      <c r="B7535" s="17"/>
      <c r="C7535" s="17"/>
      <c r="D7535" s="13"/>
      <c r="E7535" s="11"/>
      <c r="F7535" s="11"/>
      <c r="G7535" s="13">
        <f t="shared" si="1"/>
        <v>1281</v>
      </c>
      <c r="H7535" s="13"/>
    </row>
    <row r="7536" ht="22.5" customHeight="1">
      <c r="B7536" s="17"/>
      <c r="C7536" s="17"/>
      <c r="D7536" s="13"/>
      <c r="E7536" s="11"/>
      <c r="F7536" s="11"/>
      <c r="G7536" s="13">
        <f t="shared" si="1"/>
        <v>1281</v>
      </c>
      <c r="H7536" s="13"/>
    </row>
    <row r="7537" ht="22.5" customHeight="1">
      <c r="B7537" s="17"/>
      <c r="C7537" s="17"/>
      <c r="D7537" s="13"/>
      <c r="E7537" s="11"/>
      <c r="F7537" s="11"/>
      <c r="G7537" s="13">
        <f t="shared" si="1"/>
        <v>1281</v>
      </c>
      <c r="H7537" s="13"/>
    </row>
    <row r="7538" ht="22.5" customHeight="1">
      <c r="B7538" s="17"/>
      <c r="C7538" s="17"/>
      <c r="D7538" s="13"/>
      <c r="E7538" s="11"/>
      <c r="F7538" s="11"/>
      <c r="G7538" s="13">
        <f t="shared" si="1"/>
        <v>1281</v>
      </c>
      <c r="H7538" s="13"/>
    </row>
    <row r="7539" ht="22.5" customHeight="1">
      <c r="B7539" s="17"/>
      <c r="C7539" s="17"/>
      <c r="D7539" s="13"/>
      <c r="E7539" s="11"/>
      <c r="F7539" s="11"/>
      <c r="G7539" s="13">
        <f t="shared" si="1"/>
        <v>1281</v>
      </c>
      <c r="H7539" s="13"/>
    </row>
    <row r="7540" ht="22.5" customHeight="1">
      <c r="B7540" s="17"/>
      <c r="C7540" s="17"/>
      <c r="D7540" s="13"/>
      <c r="E7540" s="11"/>
      <c r="F7540" s="11"/>
      <c r="G7540" s="13">
        <f t="shared" si="1"/>
        <v>1281</v>
      </c>
      <c r="H7540" s="13"/>
    </row>
    <row r="7541" ht="22.5" customHeight="1">
      <c r="B7541" s="17"/>
      <c r="C7541" s="17"/>
      <c r="D7541" s="13"/>
      <c r="E7541" s="11"/>
      <c r="F7541" s="11"/>
      <c r="G7541" s="13">
        <f t="shared" si="1"/>
        <v>1281</v>
      </c>
      <c r="H7541" s="13"/>
    </row>
    <row r="7542" ht="22.5" customHeight="1">
      <c r="B7542" s="17"/>
      <c r="C7542" s="17"/>
      <c r="D7542" s="13"/>
      <c r="E7542" s="11"/>
      <c r="F7542" s="11"/>
      <c r="G7542" s="13">
        <f t="shared" si="1"/>
        <v>1281</v>
      </c>
      <c r="H7542" s="13"/>
    </row>
    <row r="7543" ht="22.5" customHeight="1">
      <c r="B7543" s="17"/>
      <c r="C7543" s="17"/>
      <c r="D7543" s="13"/>
      <c r="E7543" s="11"/>
      <c r="F7543" s="11"/>
      <c r="G7543" s="13">
        <f t="shared" si="1"/>
        <v>1281</v>
      </c>
      <c r="H7543" s="13"/>
    </row>
    <row r="7544" ht="22.5" customHeight="1">
      <c r="B7544" s="17"/>
      <c r="C7544" s="17"/>
      <c r="D7544" s="13"/>
      <c r="E7544" s="11"/>
      <c r="F7544" s="11"/>
      <c r="G7544" s="13">
        <f t="shared" si="1"/>
        <v>1281</v>
      </c>
      <c r="H7544" s="13"/>
    </row>
    <row r="7545" ht="22.5" customHeight="1">
      <c r="B7545" s="17"/>
      <c r="C7545" s="17"/>
      <c r="D7545" s="13"/>
      <c r="E7545" s="11"/>
      <c r="F7545" s="11"/>
      <c r="G7545" s="13">
        <f t="shared" si="1"/>
        <v>1281</v>
      </c>
      <c r="H7545" s="13"/>
    </row>
    <row r="7546" ht="22.5" customHeight="1">
      <c r="B7546" s="17"/>
      <c r="C7546" s="17"/>
      <c r="D7546" s="13"/>
      <c r="E7546" s="11"/>
      <c r="F7546" s="11"/>
      <c r="G7546" s="13">
        <f t="shared" si="1"/>
        <v>1281</v>
      </c>
      <c r="H7546" s="13"/>
    </row>
    <row r="7547" ht="22.5" customHeight="1">
      <c r="B7547" s="17"/>
      <c r="C7547" s="17"/>
      <c r="D7547" s="13"/>
      <c r="E7547" s="11"/>
      <c r="F7547" s="11"/>
      <c r="G7547" s="13">
        <f t="shared" si="1"/>
        <v>1281</v>
      </c>
      <c r="H7547" s="13"/>
    </row>
    <row r="7548" ht="22.5" customHeight="1">
      <c r="B7548" s="17"/>
      <c r="C7548" s="17"/>
      <c r="D7548" s="13"/>
      <c r="E7548" s="11"/>
      <c r="F7548" s="11"/>
      <c r="G7548" s="13">
        <f t="shared" si="1"/>
        <v>1281</v>
      </c>
      <c r="H7548" s="13"/>
    </row>
    <row r="7549" ht="22.5" customHeight="1">
      <c r="B7549" s="17"/>
      <c r="C7549" s="17"/>
      <c r="D7549" s="13"/>
      <c r="E7549" s="11"/>
      <c r="F7549" s="11"/>
      <c r="G7549" s="13">
        <f t="shared" si="1"/>
        <v>1281</v>
      </c>
      <c r="H7549" s="13"/>
    </row>
    <row r="7550" ht="22.5" customHeight="1">
      <c r="B7550" s="17"/>
      <c r="C7550" s="17"/>
      <c r="D7550" s="13"/>
      <c r="E7550" s="11"/>
      <c r="F7550" s="11"/>
      <c r="G7550" s="13">
        <f t="shared" si="1"/>
        <v>1281</v>
      </c>
      <c r="H7550" s="13"/>
    </row>
    <row r="7551" ht="22.5" customHeight="1">
      <c r="B7551" s="17"/>
      <c r="C7551" s="17"/>
      <c r="D7551" s="13"/>
      <c r="E7551" s="11"/>
      <c r="F7551" s="11"/>
      <c r="G7551" s="13">
        <f t="shared" si="1"/>
        <v>1281</v>
      </c>
      <c r="H7551" s="13"/>
    </row>
    <row r="7552" ht="22.5" customHeight="1">
      <c r="B7552" s="17"/>
      <c r="C7552" s="17"/>
      <c r="D7552" s="13"/>
      <c r="E7552" s="11"/>
      <c r="F7552" s="11"/>
      <c r="G7552" s="13">
        <f t="shared" si="1"/>
        <v>1281</v>
      </c>
      <c r="H7552" s="13"/>
    </row>
    <row r="7553" ht="22.5" customHeight="1">
      <c r="B7553" s="17"/>
      <c r="C7553" s="17"/>
      <c r="D7553" s="13"/>
      <c r="E7553" s="11"/>
      <c r="F7553" s="11"/>
      <c r="G7553" s="13">
        <f t="shared" si="1"/>
        <v>1281</v>
      </c>
      <c r="H7553" s="13"/>
    </row>
    <row r="7554" ht="22.5" customHeight="1">
      <c r="B7554" s="17"/>
      <c r="C7554" s="17"/>
      <c r="D7554" s="13"/>
      <c r="E7554" s="11"/>
      <c r="F7554" s="11"/>
      <c r="G7554" s="13">
        <f t="shared" si="1"/>
        <v>1281</v>
      </c>
      <c r="H7554" s="13"/>
    </row>
    <row r="7555" ht="22.5" customHeight="1">
      <c r="B7555" s="17"/>
      <c r="C7555" s="17"/>
      <c r="D7555" s="13"/>
      <c r="E7555" s="11"/>
      <c r="F7555" s="11"/>
      <c r="G7555" s="13">
        <f t="shared" si="1"/>
        <v>1281</v>
      </c>
      <c r="H7555" s="13"/>
    </row>
    <row r="7556" ht="22.5" customHeight="1">
      <c r="B7556" s="17"/>
      <c r="C7556" s="17"/>
      <c r="D7556" s="13"/>
      <c r="E7556" s="11"/>
      <c r="F7556" s="11"/>
      <c r="G7556" s="13">
        <f t="shared" si="1"/>
        <v>1281</v>
      </c>
      <c r="H7556" s="13"/>
    </row>
    <row r="7557" ht="22.5" customHeight="1">
      <c r="B7557" s="17"/>
      <c r="C7557" s="17"/>
      <c r="D7557" s="13"/>
      <c r="E7557" s="11"/>
      <c r="F7557" s="11"/>
      <c r="G7557" s="13">
        <f t="shared" si="1"/>
        <v>1281</v>
      </c>
      <c r="H7557" s="13"/>
    </row>
    <row r="7558" ht="22.5" customHeight="1">
      <c r="B7558" s="17"/>
      <c r="C7558" s="17"/>
      <c r="D7558" s="13"/>
      <c r="E7558" s="11"/>
      <c r="F7558" s="11"/>
      <c r="G7558" s="13">
        <f t="shared" si="1"/>
        <v>1281</v>
      </c>
      <c r="H7558" s="13"/>
    </row>
    <row r="7559" ht="22.5" customHeight="1">
      <c r="B7559" s="17"/>
      <c r="C7559" s="17"/>
      <c r="D7559" s="13"/>
      <c r="E7559" s="11"/>
      <c r="F7559" s="11"/>
      <c r="G7559" s="13">
        <f t="shared" si="1"/>
        <v>1281</v>
      </c>
      <c r="H7559" s="13"/>
    </row>
    <row r="7560" ht="22.5" customHeight="1">
      <c r="B7560" s="17"/>
      <c r="C7560" s="17"/>
      <c r="D7560" s="13"/>
      <c r="E7560" s="11"/>
      <c r="F7560" s="11"/>
      <c r="G7560" s="13">
        <f t="shared" si="1"/>
        <v>1281</v>
      </c>
      <c r="H7560" s="13"/>
    </row>
    <row r="7561" ht="22.5" customHeight="1">
      <c r="B7561" s="17"/>
      <c r="C7561" s="17"/>
      <c r="D7561" s="13"/>
      <c r="E7561" s="11"/>
      <c r="F7561" s="11"/>
      <c r="G7561" s="13">
        <f t="shared" si="1"/>
        <v>1281</v>
      </c>
      <c r="H7561" s="13"/>
    </row>
    <row r="7562" ht="22.5" customHeight="1">
      <c r="B7562" s="17"/>
      <c r="C7562" s="17"/>
      <c r="D7562" s="13"/>
      <c r="E7562" s="11"/>
      <c r="F7562" s="11"/>
      <c r="G7562" s="13">
        <f t="shared" si="1"/>
        <v>1281</v>
      </c>
      <c r="H7562" s="13"/>
    </row>
    <row r="7563" ht="22.5" customHeight="1">
      <c r="B7563" s="17"/>
      <c r="C7563" s="17"/>
      <c r="D7563" s="13"/>
      <c r="E7563" s="11"/>
      <c r="F7563" s="11"/>
      <c r="G7563" s="13">
        <f t="shared" si="1"/>
        <v>1281</v>
      </c>
      <c r="H7563" s="13"/>
    </row>
    <row r="7564" ht="22.5" customHeight="1">
      <c r="B7564" s="17"/>
      <c r="C7564" s="17"/>
      <c r="D7564" s="13"/>
      <c r="E7564" s="11"/>
      <c r="F7564" s="11"/>
      <c r="G7564" s="13">
        <f t="shared" si="1"/>
        <v>1281</v>
      </c>
      <c r="H7564" s="13"/>
    </row>
    <row r="7565" ht="22.5" customHeight="1">
      <c r="B7565" s="17"/>
      <c r="C7565" s="17"/>
      <c r="D7565" s="13"/>
      <c r="E7565" s="11"/>
      <c r="F7565" s="11"/>
      <c r="G7565" s="13">
        <f t="shared" si="1"/>
        <v>1281</v>
      </c>
      <c r="H7565" s="13"/>
    </row>
    <row r="7566" ht="22.5" customHeight="1">
      <c r="B7566" s="17"/>
      <c r="C7566" s="17"/>
      <c r="D7566" s="13"/>
      <c r="E7566" s="11"/>
      <c r="F7566" s="11"/>
      <c r="G7566" s="13">
        <f t="shared" si="1"/>
        <v>1281</v>
      </c>
      <c r="H7566" s="13"/>
    </row>
    <row r="7567" ht="22.5" customHeight="1">
      <c r="B7567" s="17"/>
      <c r="C7567" s="17"/>
      <c r="D7567" s="13"/>
      <c r="E7567" s="11"/>
      <c r="F7567" s="11"/>
      <c r="G7567" s="13">
        <f t="shared" si="1"/>
        <v>1281</v>
      </c>
      <c r="H7567" s="13"/>
    </row>
    <row r="7568" ht="22.5" customHeight="1">
      <c r="B7568" s="17"/>
      <c r="C7568" s="17"/>
      <c r="D7568" s="13"/>
      <c r="E7568" s="11"/>
      <c r="F7568" s="11"/>
      <c r="G7568" s="13">
        <f t="shared" si="1"/>
        <v>1281</v>
      </c>
      <c r="H7568" s="13"/>
    </row>
    <row r="7569" ht="22.5" customHeight="1">
      <c r="B7569" s="17"/>
      <c r="C7569" s="17"/>
      <c r="D7569" s="13"/>
      <c r="E7569" s="11"/>
      <c r="F7569" s="11"/>
      <c r="G7569" s="13">
        <f t="shared" si="1"/>
        <v>1281</v>
      </c>
      <c r="H7569" s="13"/>
    </row>
    <row r="7570" ht="22.5" customHeight="1">
      <c r="B7570" s="17"/>
      <c r="C7570" s="17"/>
      <c r="D7570" s="13"/>
      <c r="E7570" s="11"/>
      <c r="F7570" s="11"/>
      <c r="G7570" s="13">
        <f t="shared" si="1"/>
        <v>1281</v>
      </c>
      <c r="H7570" s="13"/>
    </row>
    <row r="7571" ht="22.5" customHeight="1">
      <c r="B7571" s="17"/>
      <c r="C7571" s="17"/>
      <c r="D7571" s="13"/>
      <c r="E7571" s="11"/>
      <c r="F7571" s="11"/>
      <c r="G7571" s="13">
        <f t="shared" si="1"/>
        <v>1281</v>
      </c>
      <c r="H7571" s="13"/>
    </row>
    <row r="7572" ht="22.5" customHeight="1">
      <c r="B7572" s="17"/>
      <c r="C7572" s="17"/>
      <c r="D7572" s="13"/>
      <c r="E7572" s="11"/>
      <c r="F7572" s="11"/>
      <c r="G7572" s="13">
        <f t="shared" si="1"/>
        <v>1281</v>
      </c>
      <c r="H7572" s="13"/>
    </row>
    <row r="7573" ht="22.5" customHeight="1">
      <c r="B7573" s="17"/>
      <c r="C7573" s="17"/>
      <c r="D7573" s="13"/>
      <c r="E7573" s="11"/>
      <c r="F7573" s="11"/>
      <c r="G7573" s="13">
        <f t="shared" si="1"/>
        <v>1281</v>
      </c>
      <c r="H7573" s="13"/>
    </row>
    <row r="7574" ht="22.5" customHeight="1">
      <c r="B7574" s="17"/>
      <c r="C7574" s="17"/>
      <c r="D7574" s="13"/>
      <c r="E7574" s="11"/>
      <c r="F7574" s="11"/>
      <c r="G7574" s="13">
        <f t="shared" si="1"/>
        <v>1281</v>
      </c>
      <c r="H7574" s="13"/>
    </row>
    <row r="7575" ht="22.5" customHeight="1">
      <c r="B7575" s="17"/>
      <c r="C7575" s="17"/>
      <c r="D7575" s="13"/>
      <c r="E7575" s="11"/>
      <c r="F7575" s="11"/>
      <c r="G7575" s="13">
        <f t="shared" si="1"/>
        <v>1281</v>
      </c>
      <c r="H7575" s="13"/>
    </row>
    <row r="7576" ht="22.5" customHeight="1">
      <c r="B7576" s="17"/>
      <c r="C7576" s="17"/>
      <c r="D7576" s="13"/>
      <c r="E7576" s="11"/>
      <c r="F7576" s="11"/>
      <c r="G7576" s="13">
        <f t="shared" si="1"/>
        <v>1281</v>
      </c>
      <c r="H7576" s="13"/>
    </row>
    <row r="7577" ht="22.5" customHeight="1">
      <c r="B7577" s="17"/>
      <c r="C7577" s="17"/>
      <c r="D7577" s="13"/>
      <c r="E7577" s="11"/>
      <c r="F7577" s="11"/>
      <c r="G7577" s="13">
        <f t="shared" si="1"/>
        <v>1281</v>
      </c>
      <c r="H7577" s="13"/>
    </row>
    <row r="7578" ht="22.5" customHeight="1">
      <c r="B7578" s="17"/>
      <c r="C7578" s="17"/>
      <c r="D7578" s="13"/>
      <c r="E7578" s="11"/>
      <c r="F7578" s="11"/>
      <c r="G7578" s="13">
        <f t="shared" si="1"/>
        <v>1281</v>
      </c>
      <c r="H7578" s="13"/>
    </row>
    <row r="7579" ht="22.5" customHeight="1">
      <c r="B7579" s="17"/>
      <c r="C7579" s="17"/>
      <c r="D7579" s="13"/>
      <c r="E7579" s="11"/>
      <c r="F7579" s="11"/>
      <c r="G7579" s="13">
        <f t="shared" si="1"/>
        <v>1281</v>
      </c>
      <c r="H7579" s="13"/>
    </row>
    <row r="7580" ht="22.5" customHeight="1">
      <c r="B7580" s="17"/>
      <c r="C7580" s="17"/>
      <c r="D7580" s="13"/>
      <c r="E7580" s="11"/>
      <c r="F7580" s="11"/>
      <c r="G7580" s="13">
        <f t="shared" si="1"/>
        <v>1281</v>
      </c>
      <c r="H7580" s="13"/>
    </row>
    <row r="7581" ht="22.5" customHeight="1">
      <c r="B7581" s="17"/>
      <c r="C7581" s="17"/>
      <c r="D7581" s="13"/>
      <c r="E7581" s="11"/>
      <c r="F7581" s="11"/>
      <c r="G7581" s="13">
        <f t="shared" si="1"/>
        <v>1281</v>
      </c>
      <c r="H7581" s="13"/>
    </row>
    <row r="7582" ht="22.5" customHeight="1">
      <c r="B7582" s="17"/>
      <c r="C7582" s="17"/>
      <c r="D7582" s="13"/>
      <c r="E7582" s="11"/>
      <c r="F7582" s="11"/>
      <c r="G7582" s="13">
        <f t="shared" si="1"/>
        <v>1281</v>
      </c>
      <c r="H7582" s="13"/>
    </row>
    <row r="7583" ht="22.5" customHeight="1">
      <c r="B7583" s="17"/>
      <c r="C7583" s="17"/>
      <c r="D7583" s="13"/>
      <c r="E7583" s="11"/>
      <c r="F7583" s="11"/>
      <c r="G7583" s="13">
        <f t="shared" si="1"/>
        <v>1281</v>
      </c>
      <c r="H7583" s="13"/>
    </row>
    <row r="7584" ht="22.5" customHeight="1">
      <c r="B7584" s="17"/>
      <c r="C7584" s="17"/>
      <c r="D7584" s="13"/>
      <c r="E7584" s="11"/>
      <c r="F7584" s="11"/>
      <c r="G7584" s="13">
        <f t="shared" si="1"/>
        <v>1281</v>
      </c>
      <c r="H7584" s="13"/>
    </row>
    <row r="7585" ht="22.5" customHeight="1">
      <c r="B7585" s="17"/>
      <c r="C7585" s="17"/>
      <c r="D7585" s="13"/>
      <c r="E7585" s="11"/>
      <c r="F7585" s="11"/>
      <c r="G7585" s="13">
        <f t="shared" si="1"/>
        <v>1281</v>
      </c>
      <c r="H7585" s="13"/>
    </row>
    <row r="7586" ht="22.5" customHeight="1">
      <c r="B7586" s="17"/>
      <c r="C7586" s="17"/>
      <c r="D7586" s="13"/>
      <c r="E7586" s="11"/>
      <c r="F7586" s="11"/>
      <c r="G7586" s="13">
        <f t="shared" si="1"/>
        <v>1281</v>
      </c>
      <c r="H7586" s="13"/>
    </row>
    <row r="7587" ht="22.5" customHeight="1">
      <c r="B7587" s="17"/>
      <c r="C7587" s="17"/>
      <c r="D7587" s="13"/>
      <c r="E7587" s="11"/>
      <c r="F7587" s="11"/>
      <c r="G7587" s="13">
        <f t="shared" si="1"/>
        <v>1281</v>
      </c>
      <c r="H7587" s="13"/>
    </row>
    <row r="7588" ht="22.5" customHeight="1">
      <c r="B7588" s="17"/>
      <c r="C7588" s="17"/>
      <c r="D7588" s="13"/>
      <c r="E7588" s="11"/>
      <c r="F7588" s="11"/>
      <c r="G7588" s="13">
        <f t="shared" si="1"/>
        <v>1281</v>
      </c>
      <c r="H7588" s="13"/>
    </row>
    <row r="7589" ht="22.5" customHeight="1">
      <c r="B7589" s="17"/>
      <c r="C7589" s="17"/>
      <c r="D7589" s="13"/>
      <c r="E7589" s="11"/>
      <c r="F7589" s="11"/>
      <c r="G7589" s="13">
        <f t="shared" si="1"/>
        <v>1281</v>
      </c>
      <c r="H7589" s="13"/>
    </row>
    <row r="7590" ht="22.5" customHeight="1">
      <c r="B7590" s="17"/>
      <c r="C7590" s="17"/>
      <c r="D7590" s="13"/>
      <c r="E7590" s="11"/>
      <c r="F7590" s="11"/>
      <c r="G7590" s="13">
        <f t="shared" si="1"/>
        <v>1281</v>
      </c>
      <c r="H7590" s="13"/>
    </row>
    <row r="7591" ht="22.5" customHeight="1">
      <c r="B7591" s="17"/>
      <c r="C7591" s="17"/>
      <c r="D7591" s="13"/>
      <c r="E7591" s="11"/>
      <c r="F7591" s="11"/>
      <c r="G7591" s="13">
        <f t="shared" si="1"/>
        <v>1281</v>
      </c>
      <c r="H7591" s="13"/>
    </row>
    <row r="7592" ht="22.5" customHeight="1">
      <c r="B7592" s="17"/>
      <c r="C7592" s="17"/>
      <c r="D7592" s="13"/>
      <c r="E7592" s="11"/>
      <c r="F7592" s="11"/>
      <c r="G7592" s="13">
        <f t="shared" si="1"/>
        <v>1281</v>
      </c>
      <c r="H7592" s="13"/>
    </row>
    <row r="7593" ht="22.5" customHeight="1">
      <c r="B7593" s="17"/>
      <c r="C7593" s="17"/>
      <c r="D7593" s="13"/>
      <c r="E7593" s="11"/>
      <c r="F7593" s="11"/>
      <c r="G7593" s="13">
        <f t="shared" si="1"/>
        <v>1281</v>
      </c>
      <c r="H7593" s="13"/>
    </row>
    <row r="7594" ht="22.5" customHeight="1">
      <c r="B7594" s="17"/>
      <c r="C7594" s="17"/>
      <c r="D7594" s="13"/>
      <c r="E7594" s="11"/>
      <c r="F7594" s="11"/>
      <c r="G7594" s="13">
        <f t="shared" si="1"/>
        <v>1281</v>
      </c>
      <c r="H7594" s="13"/>
    </row>
    <row r="7595" ht="22.5" customHeight="1">
      <c r="B7595" s="17"/>
      <c r="C7595" s="17"/>
      <c r="D7595" s="13"/>
      <c r="E7595" s="11"/>
      <c r="F7595" s="11"/>
      <c r="G7595" s="13">
        <f t="shared" si="1"/>
        <v>1281</v>
      </c>
      <c r="H7595" s="13"/>
    </row>
    <row r="7596" ht="22.5" customHeight="1">
      <c r="B7596" s="17"/>
      <c r="C7596" s="17"/>
      <c r="D7596" s="13"/>
      <c r="E7596" s="11"/>
      <c r="F7596" s="11"/>
      <c r="G7596" s="13">
        <f t="shared" si="1"/>
        <v>1281</v>
      </c>
      <c r="H7596" s="13"/>
    </row>
    <row r="7597" ht="22.5" customHeight="1">
      <c r="B7597" s="17"/>
      <c r="C7597" s="17"/>
      <c r="D7597" s="13"/>
      <c r="E7597" s="11"/>
      <c r="F7597" s="11"/>
      <c r="G7597" s="13">
        <f t="shared" si="1"/>
        <v>1281</v>
      </c>
      <c r="H7597" s="13"/>
    </row>
    <row r="7598" ht="22.5" customHeight="1">
      <c r="B7598" s="17"/>
      <c r="C7598" s="17"/>
      <c r="D7598" s="13"/>
      <c r="E7598" s="11"/>
      <c r="F7598" s="11"/>
      <c r="G7598" s="13">
        <f t="shared" si="1"/>
        <v>1281</v>
      </c>
      <c r="H7598" s="13"/>
    </row>
    <row r="7599" ht="22.5" customHeight="1">
      <c r="B7599" s="17"/>
      <c r="C7599" s="17"/>
      <c r="D7599" s="13"/>
      <c r="E7599" s="11"/>
      <c r="F7599" s="11"/>
      <c r="G7599" s="13">
        <f t="shared" si="1"/>
        <v>1281</v>
      </c>
      <c r="H7599" s="13"/>
    </row>
    <row r="7600" ht="22.5" customHeight="1">
      <c r="B7600" s="17"/>
      <c r="C7600" s="17"/>
      <c r="D7600" s="13"/>
      <c r="E7600" s="11"/>
      <c r="F7600" s="11"/>
      <c r="G7600" s="13">
        <f t="shared" si="1"/>
        <v>1281</v>
      </c>
      <c r="H7600" s="13"/>
    </row>
    <row r="7601" ht="22.5" customHeight="1">
      <c r="B7601" s="17"/>
      <c r="C7601" s="17"/>
      <c r="D7601" s="13"/>
      <c r="E7601" s="11"/>
      <c r="F7601" s="11"/>
      <c r="G7601" s="13">
        <f t="shared" si="1"/>
        <v>1281</v>
      </c>
      <c r="H7601" s="13"/>
    </row>
    <row r="7602" ht="22.5" customHeight="1">
      <c r="B7602" s="17"/>
      <c r="C7602" s="17"/>
      <c r="D7602" s="13"/>
      <c r="E7602" s="11"/>
      <c r="F7602" s="11"/>
      <c r="G7602" s="13">
        <f t="shared" si="1"/>
        <v>1281</v>
      </c>
      <c r="H7602" s="13"/>
    </row>
    <row r="7603" ht="22.5" customHeight="1">
      <c r="B7603" s="17"/>
      <c r="C7603" s="17"/>
      <c r="D7603" s="13"/>
      <c r="E7603" s="11"/>
      <c r="F7603" s="11"/>
      <c r="G7603" s="13">
        <f t="shared" si="1"/>
        <v>1281</v>
      </c>
      <c r="H7603" s="13"/>
    </row>
    <row r="7604" ht="22.5" customHeight="1">
      <c r="B7604" s="17"/>
      <c r="C7604" s="17"/>
      <c r="D7604" s="13"/>
      <c r="E7604" s="11"/>
      <c r="F7604" s="11"/>
      <c r="G7604" s="13">
        <f t="shared" si="1"/>
        <v>1281</v>
      </c>
      <c r="H7604" s="13"/>
    </row>
    <row r="7605" ht="22.5" customHeight="1">
      <c r="B7605" s="17"/>
      <c r="C7605" s="17"/>
      <c r="D7605" s="13"/>
      <c r="E7605" s="11"/>
      <c r="F7605" s="11"/>
      <c r="G7605" s="13">
        <f t="shared" si="1"/>
        <v>1281</v>
      </c>
      <c r="H7605" s="13"/>
    </row>
    <row r="7606" ht="22.5" customHeight="1">
      <c r="B7606" s="17"/>
      <c r="C7606" s="17"/>
      <c r="D7606" s="13"/>
      <c r="E7606" s="11"/>
      <c r="F7606" s="11"/>
      <c r="G7606" s="13">
        <f t="shared" si="1"/>
        <v>1281</v>
      </c>
      <c r="H7606" s="13"/>
    </row>
    <row r="7607" ht="22.5" customHeight="1">
      <c r="B7607" s="17"/>
      <c r="C7607" s="17"/>
      <c r="D7607" s="13"/>
      <c r="E7607" s="11"/>
      <c r="F7607" s="11"/>
      <c r="G7607" s="13">
        <f t="shared" si="1"/>
        <v>1281</v>
      </c>
      <c r="H7607" s="13"/>
    </row>
    <row r="7608" ht="22.5" customHeight="1">
      <c r="B7608" s="17"/>
      <c r="C7608" s="17"/>
      <c r="D7608" s="13"/>
      <c r="E7608" s="11"/>
      <c r="F7608" s="11"/>
      <c r="G7608" s="13">
        <f t="shared" si="1"/>
        <v>1281</v>
      </c>
      <c r="H7608" s="13"/>
    </row>
    <row r="7609" ht="22.5" customHeight="1">
      <c r="B7609" s="17"/>
      <c r="C7609" s="17"/>
      <c r="D7609" s="13"/>
      <c r="E7609" s="11"/>
      <c r="F7609" s="11"/>
      <c r="G7609" s="13">
        <f t="shared" si="1"/>
        <v>1281</v>
      </c>
      <c r="H7609" s="13"/>
    </row>
    <row r="7610" ht="22.5" customHeight="1">
      <c r="B7610" s="17"/>
      <c r="C7610" s="17"/>
      <c r="D7610" s="13"/>
      <c r="E7610" s="11"/>
      <c r="F7610" s="11"/>
      <c r="G7610" s="13">
        <f t="shared" si="1"/>
        <v>1281</v>
      </c>
      <c r="H7610" s="13"/>
    </row>
    <row r="7611" ht="22.5" customHeight="1">
      <c r="B7611" s="17"/>
      <c r="C7611" s="17"/>
      <c r="D7611" s="13"/>
      <c r="E7611" s="11"/>
      <c r="F7611" s="11"/>
      <c r="G7611" s="13">
        <f t="shared" si="1"/>
        <v>1281</v>
      </c>
      <c r="H7611" s="13"/>
    </row>
    <row r="7612" ht="22.5" customHeight="1">
      <c r="B7612" s="17"/>
      <c r="C7612" s="17"/>
      <c r="D7612" s="13"/>
      <c r="E7612" s="11"/>
      <c r="F7612" s="11"/>
      <c r="G7612" s="13">
        <f t="shared" si="1"/>
        <v>1281</v>
      </c>
      <c r="H7612" s="13"/>
    </row>
    <row r="7613" ht="22.5" customHeight="1">
      <c r="B7613" s="17"/>
      <c r="C7613" s="17"/>
      <c r="D7613" s="13"/>
      <c r="E7613" s="11"/>
      <c r="F7613" s="11"/>
      <c r="G7613" s="13">
        <f t="shared" si="1"/>
        <v>1281</v>
      </c>
      <c r="H7613" s="13"/>
    </row>
    <row r="7614" ht="22.5" customHeight="1">
      <c r="B7614" s="17"/>
      <c r="C7614" s="17"/>
      <c r="D7614" s="13"/>
      <c r="E7614" s="11"/>
      <c r="F7614" s="11"/>
      <c r="G7614" s="13">
        <f t="shared" si="1"/>
        <v>1281</v>
      </c>
      <c r="H7614" s="13"/>
    </row>
    <row r="7615" ht="22.5" customHeight="1">
      <c r="B7615" s="17"/>
      <c r="C7615" s="17"/>
      <c r="D7615" s="13"/>
      <c r="E7615" s="11"/>
      <c r="F7615" s="11"/>
      <c r="G7615" s="13">
        <f t="shared" si="1"/>
        <v>1281</v>
      </c>
      <c r="H7615" s="13"/>
    </row>
    <row r="7616" ht="22.5" customHeight="1">
      <c r="B7616" s="17"/>
      <c r="C7616" s="17"/>
      <c r="D7616" s="13"/>
      <c r="E7616" s="11"/>
      <c r="F7616" s="11"/>
      <c r="G7616" s="13">
        <f t="shared" si="1"/>
        <v>1281</v>
      </c>
      <c r="H7616" s="13"/>
    </row>
    <row r="7617" ht="22.5" customHeight="1">
      <c r="B7617" s="17"/>
      <c r="C7617" s="17"/>
      <c r="D7617" s="13"/>
      <c r="E7617" s="11"/>
      <c r="F7617" s="11"/>
      <c r="G7617" s="13">
        <f t="shared" si="1"/>
        <v>1281</v>
      </c>
      <c r="H7617" s="13"/>
    </row>
    <row r="7618" ht="22.5" customHeight="1">
      <c r="B7618" s="17"/>
      <c r="C7618" s="17"/>
      <c r="D7618" s="13"/>
      <c r="E7618" s="11"/>
      <c r="F7618" s="11"/>
      <c r="G7618" s="13">
        <f t="shared" si="1"/>
        <v>1281</v>
      </c>
      <c r="H7618" s="13"/>
    </row>
    <row r="7619" ht="22.5" customHeight="1">
      <c r="B7619" s="17"/>
      <c r="C7619" s="17"/>
      <c r="D7619" s="13"/>
      <c r="E7619" s="11"/>
      <c r="F7619" s="11"/>
      <c r="G7619" s="13">
        <f t="shared" si="1"/>
        <v>1281</v>
      </c>
      <c r="H7619" s="13"/>
    </row>
    <row r="7620" ht="22.5" customHeight="1">
      <c r="B7620" s="17"/>
      <c r="C7620" s="17"/>
      <c r="D7620" s="13"/>
      <c r="E7620" s="11"/>
      <c r="F7620" s="11"/>
      <c r="G7620" s="13">
        <f t="shared" si="1"/>
        <v>1281</v>
      </c>
      <c r="H7620" s="13"/>
    </row>
    <row r="7621" ht="22.5" customHeight="1">
      <c r="B7621" s="17"/>
      <c r="C7621" s="17"/>
      <c r="D7621" s="13"/>
      <c r="E7621" s="11"/>
      <c r="F7621" s="11"/>
      <c r="G7621" s="13">
        <f t="shared" si="1"/>
        <v>1281</v>
      </c>
      <c r="H7621" s="13"/>
    </row>
    <row r="7622" ht="22.5" customHeight="1">
      <c r="B7622" s="17"/>
      <c r="C7622" s="17"/>
      <c r="D7622" s="13"/>
      <c r="E7622" s="11"/>
      <c r="F7622" s="11"/>
      <c r="G7622" s="13">
        <f t="shared" si="1"/>
        <v>1281</v>
      </c>
      <c r="H7622" s="13"/>
    </row>
    <row r="7623" ht="22.5" customHeight="1">
      <c r="B7623" s="17"/>
      <c r="C7623" s="17"/>
      <c r="D7623" s="13"/>
      <c r="E7623" s="11"/>
      <c r="F7623" s="11"/>
      <c r="G7623" s="13">
        <f t="shared" si="1"/>
        <v>1281</v>
      </c>
      <c r="H7623" s="13"/>
    </row>
    <row r="7624" ht="22.5" customHeight="1">
      <c r="B7624" s="17"/>
      <c r="C7624" s="17"/>
      <c r="D7624" s="13"/>
      <c r="E7624" s="11"/>
      <c r="F7624" s="11"/>
      <c r="G7624" s="13">
        <f t="shared" si="1"/>
        <v>1281</v>
      </c>
      <c r="H7624" s="13"/>
    </row>
    <row r="7625" ht="22.5" customHeight="1">
      <c r="B7625" s="17"/>
      <c r="C7625" s="17"/>
      <c r="D7625" s="13"/>
      <c r="E7625" s="11"/>
      <c r="F7625" s="11"/>
      <c r="G7625" s="13">
        <f t="shared" si="1"/>
        <v>1281</v>
      </c>
      <c r="H7625" s="13"/>
    </row>
    <row r="7626" ht="22.5" customHeight="1">
      <c r="B7626" s="17"/>
      <c r="C7626" s="17"/>
      <c r="D7626" s="13"/>
      <c r="E7626" s="11"/>
      <c r="F7626" s="11"/>
      <c r="G7626" s="13">
        <f t="shared" si="1"/>
        <v>1281</v>
      </c>
      <c r="H7626" s="13"/>
    </row>
    <row r="7627" ht="22.5" customHeight="1">
      <c r="B7627" s="17"/>
      <c r="C7627" s="17"/>
      <c r="D7627" s="13"/>
      <c r="E7627" s="11"/>
      <c r="F7627" s="11"/>
      <c r="G7627" s="13">
        <f t="shared" si="1"/>
        <v>1281</v>
      </c>
      <c r="H7627" s="13"/>
    </row>
    <row r="7628" ht="22.5" customHeight="1">
      <c r="B7628" s="17"/>
      <c r="C7628" s="17"/>
      <c r="D7628" s="13"/>
      <c r="E7628" s="11"/>
      <c r="F7628" s="11"/>
      <c r="G7628" s="13">
        <f t="shared" si="1"/>
        <v>1281</v>
      </c>
      <c r="H7628" s="13"/>
    </row>
    <row r="7629" ht="22.5" customHeight="1">
      <c r="B7629" s="17"/>
      <c r="C7629" s="17"/>
      <c r="D7629" s="13"/>
      <c r="E7629" s="11"/>
      <c r="F7629" s="11"/>
      <c r="G7629" s="13">
        <f t="shared" si="1"/>
        <v>1281</v>
      </c>
      <c r="H7629" s="13"/>
    </row>
    <row r="7630" ht="22.5" customHeight="1">
      <c r="B7630" s="17"/>
      <c r="C7630" s="17"/>
      <c r="D7630" s="13"/>
      <c r="E7630" s="11"/>
      <c r="F7630" s="11"/>
      <c r="G7630" s="13">
        <f t="shared" si="1"/>
        <v>1281</v>
      </c>
      <c r="H7630" s="13"/>
    </row>
    <row r="7631" ht="22.5" customHeight="1">
      <c r="B7631" s="17"/>
      <c r="C7631" s="17"/>
      <c r="D7631" s="13"/>
      <c r="E7631" s="11"/>
      <c r="F7631" s="11"/>
      <c r="G7631" s="13">
        <f t="shared" si="1"/>
        <v>1281</v>
      </c>
      <c r="H7631" s="13"/>
    </row>
    <row r="7632" ht="22.5" customHeight="1">
      <c r="B7632" s="17"/>
      <c r="C7632" s="17"/>
      <c r="D7632" s="13"/>
      <c r="E7632" s="11"/>
      <c r="F7632" s="11"/>
      <c r="G7632" s="13">
        <f t="shared" si="1"/>
        <v>1281</v>
      </c>
      <c r="H7632" s="13"/>
    </row>
    <row r="7633" ht="22.5" customHeight="1">
      <c r="B7633" s="17"/>
      <c r="C7633" s="17"/>
      <c r="D7633" s="13"/>
      <c r="E7633" s="11"/>
      <c r="F7633" s="11"/>
      <c r="G7633" s="13">
        <f t="shared" si="1"/>
        <v>1281</v>
      </c>
      <c r="H7633" s="13"/>
    </row>
    <row r="7634" ht="22.5" customHeight="1">
      <c r="B7634" s="17"/>
      <c r="C7634" s="17"/>
      <c r="D7634" s="13"/>
      <c r="E7634" s="11"/>
      <c r="F7634" s="11"/>
      <c r="G7634" s="13">
        <f t="shared" si="1"/>
        <v>1281</v>
      </c>
      <c r="H7634" s="13"/>
    </row>
    <row r="7635" ht="22.5" customHeight="1">
      <c r="B7635" s="17"/>
      <c r="C7635" s="17"/>
      <c r="D7635" s="13"/>
      <c r="E7635" s="11"/>
      <c r="F7635" s="11"/>
      <c r="G7635" s="13">
        <f t="shared" si="1"/>
        <v>1281</v>
      </c>
      <c r="H7635" s="13"/>
    </row>
    <row r="7636" ht="22.5" customHeight="1">
      <c r="B7636" s="17"/>
      <c r="C7636" s="17"/>
      <c r="D7636" s="13"/>
      <c r="E7636" s="11"/>
      <c r="F7636" s="11"/>
      <c r="G7636" s="13">
        <f t="shared" si="1"/>
        <v>1281</v>
      </c>
      <c r="H7636" s="13"/>
    </row>
    <row r="7637" ht="22.5" customHeight="1">
      <c r="B7637" s="17"/>
      <c r="C7637" s="17"/>
      <c r="D7637" s="13"/>
      <c r="E7637" s="11"/>
      <c r="F7637" s="11"/>
      <c r="G7637" s="13">
        <f t="shared" si="1"/>
        <v>1281</v>
      </c>
      <c r="H7637" s="13"/>
    </row>
    <row r="7638" ht="22.5" customHeight="1">
      <c r="B7638" s="17"/>
      <c r="C7638" s="17"/>
      <c r="D7638" s="13"/>
      <c r="E7638" s="11"/>
      <c r="F7638" s="11"/>
      <c r="G7638" s="13">
        <f t="shared" si="1"/>
        <v>1281</v>
      </c>
      <c r="H7638" s="13"/>
    </row>
    <row r="7639" ht="22.5" customHeight="1">
      <c r="B7639" s="17"/>
      <c r="C7639" s="17"/>
      <c r="D7639" s="13"/>
      <c r="E7639" s="11"/>
      <c r="F7639" s="11"/>
      <c r="G7639" s="13">
        <f t="shared" si="1"/>
        <v>1281</v>
      </c>
      <c r="H7639" s="13"/>
    </row>
    <row r="7640" ht="22.5" customHeight="1">
      <c r="B7640" s="17"/>
      <c r="C7640" s="17"/>
      <c r="D7640" s="13"/>
      <c r="E7640" s="11"/>
      <c r="F7640" s="11"/>
      <c r="G7640" s="13">
        <f t="shared" si="1"/>
        <v>1281</v>
      </c>
      <c r="H7640" s="13"/>
    </row>
    <row r="7641" ht="22.5" customHeight="1">
      <c r="B7641" s="17"/>
      <c r="C7641" s="17"/>
      <c r="D7641" s="13"/>
      <c r="E7641" s="11"/>
      <c r="F7641" s="11"/>
      <c r="G7641" s="13">
        <f t="shared" si="1"/>
        <v>1281</v>
      </c>
      <c r="H7641" s="13"/>
    </row>
    <row r="7642" ht="22.5" customHeight="1">
      <c r="B7642" s="17"/>
      <c r="C7642" s="17"/>
      <c r="D7642" s="13"/>
      <c r="E7642" s="11"/>
      <c r="F7642" s="11"/>
      <c r="G7642" s="13">
        <f t="shared" si="1"/>
        <v>1281</v>
      </c>
      <c r="H7642" s="13"/>
    </row>
    <row r="7643" ht="22.5" customHeight="1">
      <c r="B7643" s="17"/>
      <c r="C7643" s="17"/>
      <c r="D7643" s="13"/>
      <c r="E7643" s="11"/>
      <c r="F7643" s="11"/>
      <c r="G7643" s="13">
        <f t="shared" si="1"/>
        <v>1281</v>
      </c>
      <c r="H7643" s="13"/>
    </row>
    <row r="7644" ht="22.5" customHeight="1">
      <c r="B7644" s="17"/>
      <c r="C7644" s="17"/>
      <c r="D7644" s="13"/>
      <c r="E7644" s="11"/>
      <c r="F7644" s="11"/>
      <c r="G7644" s="13">
        <f t="shared" si="1"/>
        <v>1281</v>
      </c>
      <c r="H7644" s="13"/>
    </row>
    <row r="7645" ht="22.5" customHeight="1">
      <c r="B7645" s="17"/>
      <c r="C7645" s="17"/>
      <c r="D7645" s="13"/>
      <c r="E7645" s="11"/>
      <c r="F7645" s="11"/>
      <c r="G7645" s="13">
        <f t="shared" si="1"/>
        <v>1281</v>
      </c>
      <c r="H7645" s="13"/>
    </row>
    <row r="7646" ht="22.5" customHeight="1">
      <c r="B7646" s="17"/>
      <c r="C7646" s="17"/>
      <c r="D7646" s="13"/>
      <c r="E7646" s="11"/>
      <c r="F7646" s="11"/>
      <c r="G7646" s="13">
        <f t="shared" si="1"/>
        <v>1281</v>
      </c>
      <c r="H7646" s="13"/>
    </row>
    <row r="7647" ht="22.5" customHeight="1">
      <c r="B7647" s="17"/>
      <c r="C7647" s="17"/>
      <c r="D7647" s="13"/>
      <c r="E7647" s="11"/>
      <c r="F7647" s="11"/>
      <c r="G7647" s="13">
        <f t="shared" si="1"/>
        <v>1281</v>
      </c>
      <c r="H7647" s="13"/>
    </row>
    <row r="7648" ht="22.5" customHeight="1">
      <c r="B7648" s="17"/>
      <c r="C7648" s="17"/>
      <c r="D7648" s="13"/>
      <c r="E7648" s="11"/>
      <c r="F7648" s="11"/>
      <c r="G7648" s="13">
        <f t="shared" si="1"/>
        <v>1281</v>
      </c>
      <c r="H7648" s="13"/>
    </row>
    <row r="7649" ht="22.5" customHeight="1">
      <c r="B7649" s="17"/>
      <c r="C7649" s="17"/>
      <c r="D7649" s="13"/>
      <c r="E7649" s="11"/>
      <c r="F7649" s="11"/>
      <c r="G7649" s="13">
        <f t="shared" si="1"/>
        <v>1281</v>
      </c>
      <c r="H7649" s="13"/>
    </row>
    <row r="7650" ht="22.5" customHeight="1">
      <c r="B7650" s="17"/>
      <c r="C7650" s="17"/>
      <c r="D7650" s="13"/>
      <c r="E7650" s="11"/>
      <c r="F7650" s="11"/>
      <c r="G7650" s="13">
        <f t="shared" si="1"/>
        <v>1281</v>
      </c>
      <c r="H7650" s="13"/>
    </row>
    <row r="7651" ht="22.5" customHeight="1">
      <c r="B7651" s="17"/>
      <c r="C7651" s="17"/>
      <c r="D7651" s="13"/>
      <c r="E7651" s="11"/>
      <c r="F7651" s="11"/>
      <c r="G7651" s="13">
        <f t="shared" si="1"/>
        <v>1281</v>
      </c>
      <c r="H7651" s="13"/>
    </row>
    <row r="7652" ht="22.5" customHeight="1">
      <c r="B7652" s="17"/>
      <c r="C7652" s="17"/>
      <c r="D7652" s="13"/>
      <c r="E7652" s="11"/>
      <c r="F7652" s="11"/>
      <c r="G7652" s="13">
        <f t="shared" si="1"/>
        <v>1281</v>
      </c>
      <c r="H7652" s="13"/>
    </row>
    <row r="7653" ht="22.5" customHeight="1">
      <c r="B7653" s="17"/>
      <c r="C7653" s="17"/>
      <c r="D7653" s="13"/>
      <c r="E7653" s="11"/>
      <c r="F7653" s="11"/>
      <c r="G7653" s="13">
        <f t="shared" si="1"/>
        <v>1281</v>
      </c>
      <c r="H7653" s="13"/>
    </row>
    <row r="7654" ht="22.5" customHeight="1">
      <c r="B7654" s="17"/>
      <c r="C7654" s="17"/>
      <c r="D7654" s="13"/>
      <c r="E7654" s="11"/>
      <c r="F7654" s="11"/>
      <c r="G7654" s="13">
        <f t="shared" si="1"/>
        <v>1281</v>
      </c>
      <c r="H7654" s="13"/>
    </row>
    <row r="7655" ht="22.5" customHeight="1">
      <c r="B7655" s="17"/>
      <c r="C7655" s="17"/>
      <c r="D7655" s="13"/>
      <c r="E7655" s="11"/>
      <c r="F7655" s="11"/>
      <c r="G7655" s="13">
        <f t="shared" si="1"/>
        <v>1281</v>
      </c>
      <c r="H7655" s="13"/>
    </row>
    <row r="7656" ht="22.5" customHeight="1">
      <c r="B7656" s="17"/>
      <c r="C7656" s="17"/>
      <c r="D7656" s="13"/>
      <c r="E7656" s="11"/>
      <c r="F7656" s="11"/>
      <c r="G7656" s="13">
        <f t="shared" si="1"/>
        <v>1281</v>
      </c>
      <c r="H7656" s="13"/>
    </row>
    <row r="7657" ht="22.5" customHeight="1">
      <c r="B7657" s="17"/>
      <c r="C7657" s="17"/>
      <c r="D7657" s="13"/>
      <c r="E7657" s="11"/>
      <c r="F7657" s="11"/>
      <c r="G7657" s="13">
        <f t="shared" si="1"/>
        <v>1281</v>
      </c>
      <c r="H7657" s="13"/>
    </row>
    <row r="7658" ht="22.5" customHeight="1">
      <c r="B7658" s="17"/>
      <c r="C7658" s="17"/>
      <c r="D7658" s="13"/>
      <c r="E7658" s="11"/>
      <c r="F7658" s="11"/>
      <c r="G7658" s="13">
        <f t="shared" si="1"/>
        <v>1281</v>
      </c>
      <c r="H7658" s="13"/>
    </row>
    <row r="7659" ht="22.5" customHeight="1">
      <c r="B7659" s="17"/>
      <c r="C7659" s="17"/>
      <c r="D7659" s="13"/>
      <c r="E7659" s="11"/>
      <c r="F7659" s="11"/>
      <c r="G7659" s="13">
        <f t="shared" si="1"/>
        <v>1281</v>
      </c>
      <c r="H7659" s="13"/>
    </row>
    <row r="7660" ht="22.5" customHeight="1">
      <c r="B7660" s="17"/>
      <c r="C7660" s="17"/>
      <c r="D7660" s="13"/>
      <c r="E7660" s="11"/>
      <c r="F7660" s="11"/>
      <c r="G7660" s="13">
        <f t="shared" si="1"/>
        <v>1281</v>
      </c>
      <c r="H7660" s="13"/>
    </row>
    <row r="7661" ht="22.5" customHeight="1">
      <c r="B7661" s="17"/>
      <c r="C7661" s="17"/>
      <c r="D7661" s="13"/>
      <c r="E7661" s="11"/>
      <c r="F7661" s="11"/>
      <c r="G7661" s="13">
        <f t="shared" si="1"/>
        <v>1281</v>
      </c>
      <c r="H7661" s="13"/>
    </row>
    <row r="7662" ht="22.5" customHeight="1">
      <c r="B7662" s="17"/>
      <c r="C7662" s="17"/>
      <c r="D7662" s="13"/>
      <c r="E7662" s="11"/>
      <c r="F7662" s="11"/>
      <c r="G7662" s="13">
        <f t="shared" si="1"/>
        <v>1281</v>
      </c>
      <c r="H7662" s="13"/>
    </row>
    <row r="7663" ht="22.5" customHeight="1">
      <c r="B7663" s="17"/>
      <c r="C7663" s="17"/>
      <c r="D7663" s="13"/>
      <c r="E7663" s="11"/>
      <c r="F7663" s="11"/>
      <c r="G7663" s="13">
        <f t="shared" si="1"/>
        <v>1281</v>
      </c>
      <c r="H7663" s="13"/>
    </row>
    <row r="7664" ht="22.5" customHeight="1">
      <c r="B7664" s="17"/>
      <c r="C7664" s="17"/>
      <c r="D7664" s="13"/>
      <c r="E7664" s="11"/>
      <c r="F7664" s="11"/>
      <c r="G7664" s="13">
        <f t="shared" si="1"/>
        <v>1281</v>
      </c>
      <c r="H7664" s="13"/>
    </row>
    <row r="7665" ht="22.5" customHeight="1">
      <c r="B7665" s="17"/>
      <c r="C7665" s="17"/>
      <c r="D7665" s="13"/>
      <c r="E7665" s="11"/>
      <c r="F7665" s="11"/>
      <c r="G7665" s="13">
        <f t="shared" si="1"/>
        <v>1281</v>
      </c>
      <c r="H7665" s="13"/>
    </row>
    <row r="7666" ht="22.5" customHeight="1">
      <c r="B7666" s="17"/>
      <c r="C7666" s="17"/>
      <c r="D7666" s="13"/>
      <c r="E7666" s="11"/>
      <c r="F7666" s="11"/>
      <c r="G7666" s="13">
        <f t="shared" si="1"/>
        <v>1281</v>
      </c>
      <c r="H7666" s="13"/>
    </row>
    <row r="7667" ht="22.5" customHeight="1">
      <c r="B7667" s="17"/>
      <c r="C7667" s="17"/>
      <c r="D7667" s="13"/>
      <c r="E7667" s="11"/>
      <c r="F7667" s="11"/>
      <c r="G7667" s="13">
        <f t="shared" si="1"/>
        <v>1281</v>
      </c>
      <c r="H7667" s="13"/>
    </row>
    <row r="7668" ht="22.5" customHeight="1">
      <c r="B7668" s="17"/>
      <c r="C7668" s="17"/>
      <c r="D7668" s="13"/>
      <c r="E7668" s="11"/>
      <c r="F7668" s="11"/>
      <c r="G7668" s="13">
        <f t="shared" si="1"/>
        <v>1281</v>
      </c>
      <c r="H7668" s="13"/>
    </row>
    <row r="7669" ht="22.5" customHeight="1">
      <c r="B7669" s="17"/>
      <c r="C7669" s="17"/>
      <c r="D7669" s="13"/>
      <c r="E7669" s="11"/>
      <c r="F7669" s="11"/>
      <c r="G7669" s="13">
        <f t="shared" si="1"/>
        <v>1281</v>
      </c>
      <c r="H7669" s="13"/>
    </row>
    <row r="7670" ht="22.5" customHeight="1">
      <c r="B7670" s="17"/>
      <c r="C7670" s="17"/>
      <c r="D7670" s="13"/>
      <c r="E7670" s="11"/>
      <c r="F7670" s="11"/>
      <c r="G7670" s="13">
        <f t="shared" si="1"/>
        <v>1281</v>
      </c>
      <c r="H7670" s="13"/>
    </row>
    <row r="7671" ht="22.5" customHeight="1">
      <c r="B7671" s="17"/>
      <c r="C7671" s="17"/>
      <c r="D7671" s="13"/>
      <c r="E7671" s="11"/>
      <c r="F7671" s="11"/>
      <c r="G7671" s="13">
        <f t="shared" si="1"/>
        <v>1281</v>
      </c>
      <c r="H7671" s="13"/>
    </row>
    <row r="7672" ht="22.5" customHeight="1">
      <c r="B7672" s="17"/>
      <c r="C7672" s="17"/>
      <c r="D7672" s="13"/>
      <c r="E7672" s="11"/>
      <c r="F7672" s="11"/>
      <c r="G7672" s="13">
        <f t="shared" si="1"/>
        <v>1281</v>
      </c>
      <c r="H7672" s="13"/>
    </row>
    <row r="7673" ht="22.5" customHeight="1">
      <c r="B7673" s="17"/>
      <c r="C7673" s="17"/>
      <c r="D7673" s="13"/>
      <c r="E7673" s="11"/>
      <c r="F7673" s="11"/>
      <c r="G7673" s="13">
        <f t="shared" si="1"/>
        <v>1281</v>
      </c>
      <c r="H7673" s="13"/>
    </row>
    <row r="7674" ht="22.5" customHeight="1">
      <c r="B7674" s="17"/>
      <c r="C7674" s="17"/>
      <c r="D7674" s="13"/>
      <c r="E7674" s="11"/>
      <c r="F7674" s="11"/>
      <c r="G7674" s="13">
        <f t="shared" si="1"/>
        <v>1281</v>
      </c>
      <c r="H7674" s="13"/>
    </row>
    <row r="7675" ht="22.5" customHeight="1">
      <c r="B7675" s="17"/>
      <c r="C7675" s="17"/>
      <c r="D7675" s="13"/>
      <c r="E7675" s="11"/>
      <c r="F7675" s="11"/>
      <c r="G7675" s="13">
        <f t="shared" si="1"/>
        <v>1281</v>
      </c>
      <c r="H7675" s="13"/>
    </row>
    <row r="7676" ht="22.5" customHeight="1">
      <c r="B7676" s="17"/>
      <c r="C7676" s="17"/>
      <c r="D7676" s="13"/>
      <c r="E7676" s="11"/>
      <c r="F7676" s="11"/>
      <c r="G7676" s="13">
        <f t="shared" si="1"/>
        <v>1281</v>
      </c>
      <c r="H7676" s="13"/>
    </row>
    <row r="7677" ht="22.5" customHeight="1">
      <c r="B7677" s="17"/>
      <c r="C7677" s="17"/>
      <c r="D7677" s="13"/>
      <c r="E7677" s="11"/>
      <c r="F7677" s="11"/>
      <c r="G7677" s="13">
        <f t="shared" si="1"/>
        <v>1281</v>
      </c>
      <c r="H7677" s="13"/>
    </row>
    <row r="7678" ht="22.5" customHeight="1">
      <c r="B7678" s="17"/>
      <c r="C7678" s="17"/>
      <c r="D7678" s="13"/>
      <c r="E7678" s="11"/>
      <c r="F7678" s="11"/>
      <c r="G7678" s="13">
        <f t="shared" si="1"/>
        <v>1281</v>
      </c>
      <c r="H7678" s="13"/>
    </row>
    <row r="7679" ht="22.5" customHeight="1">
      <c r="B7679" s="17"/>
      <c r="C7679" s="17"/>
      <c r="D7679" s="13"/>
      <c r="E7679" s="11"/>
      <c r="F7679" s="11"/>
      <c r="G7679" s="13">
        <f t="shared" si="1"/>
        <v>1281</v>
      </c>
      <c r="H7679" s="13"/>
    </row>
    <row r="7680" ht="22.5" customHeight="1">
      <c r="B7680" s="17"/>
      <c r="C7680" s="17"/>
      <c r="D7680" s="13"/>
      <c r="E7680" s="11"/>
      <c r="F7680" s="11"/>
      <c r="G7680" s="13">
        <f t="shared" si="1"/>
        <v>1281</v>
      </c>
      <c r="H7680" s="13"/>
    </row>
    <row r="7681" ht="22.5" customHeight="1">
      <c r="B7681" s="17"/>
      <c r="C7681" s="17"/>
      <c r="D7681" s="13"/>
      <c r="E7681" s="11"/>
      <c r="F7681" s="11"/>
      <c r="G7681" s="13">
        <f t="shared" si="1"/>
        <v>1281</v>
      </c>
      <c r="H7681" s="13"/>
    </row>
    <row r="7682" ht="22.5" customHeight="1">
      <c r="B7682" s="17"/>
      <c r="C7682" s="17"/>
      <c r="D7682" s="13"/>
      <c r="E7682" s="11"/>
      <c r="F7682" s="11"/>
      <c r="G7682" s="13">
        <f t="shared" si="1"/>
        <v>1281</v>
      </c>
      <c r="H7682" s="13"/>
    </row>
    <row r="7683" ht="22.5" customHeight="1">
      <c r="B7683" s="17"/>
      <c r="C7683" s="17"/>
      <c r="D7683" s="13"/>
      <c r="E7683" s="11"/>
      <c r="F7683" s="11"/>
      <c r="G7683" s="13">
        <f t="shared" si="1"/>
        <v>1281</v>
      </c>
      <c r="H7683" s="13"/>
    </row>
    <row r="7684" ht="22.5" customHeight="1">
      <c r="B7684" s="17"/>
      <c r="C7684" s="17"/>
      <c r="D7684" s="13"/>
      <c r="E7684" s="11"/>
      <c r="F7684" s="11"/>
      <c r="G7684" s="13">
        <f t="shared" si="1"/>
        <v>1281</v>
      </c>
      <c r="H7684" s="13"/>
    </row>
    <row r="7685" ht="22.5" customHeight="1">
      <c r="B7685" s="17"/>
      <c r="C7685" s="17"/>
      <c r="D7685" s="13"/>
      <c r="E7685" s="11"/>
      <c r="F7685" s="11"/>
      <c r="G7685" s="13">
        <f t="shared" si="1"/>
        <v>1281</v>
      </c>
      <c r="H7685" s="13"/>
    </row>
    <row r="7686" ht="22.5" customHeight="1">
      <c r="B7686" s="17"/>
      <c r="C7686" s="17"/>
      <c r="D7686" s="13"/>
      <c r="E7686" s="11"/>
      <c r="F7686" s="11"/>
      <c r="G7686" s="13">
        <f t="shared" si="1"/>
        <v>1281</v>
      </c>
      <c r="H7686" s="13"/>
    </row>
    <row r="7687" ht="22.5" customHeight="1">
      <c r="B7687" s="17"/>
      <c r="C7687" s="17"/>
      <c r="D7687" s="13"/>
      <c r="E7687" s="11"/>
      <c r="F7687" s="11"/>
      <c r="G7687" s="13">
        <f t="shared" si="1"/>
        <v>1281</v>
      </c>
      <c r="H7687" s="13"/>
    </row>
    <row r="7688" ht="22.5" customHeight="1">
      <c r="B7688" s="17"/>
      <c r="C7688" s="17"/>
      <c r="D7688" s="13"/>
      <c r="E7688" s="11"/>
      <c r="F7688" s="11"/>
      <c r="G7688" s="13">
        <f t="shared" si="1"/>
        <v>1281</v>
      </c>
      <c r="H7688" s="13"/>
    </row>
    <row r="7689" ht="22.5" customHeight="1">
      <c r="B7689" s="17"/>
      <c r="C7689" s="17"/>
      <c r="D7689" s="13"/>
      <c r="E7689" s="11"/>
      <c r="F7689" s="11"/>
      <c r="G7689" s="13">
        <f t="shared" si="1"/>
        <v>1281</v>
      </c>
      <c r="H7689" s="13"/>
    </row>
    <row r="7690" ht="22.5" customHeight="1">
      <c r="B7690" s="17"/>
      <c r="C7690" s="17"/>
      <c r="D7690" s="13"/>
      <c r="E7690" s="11"/>
      <c r="F7690" s="11"/>
      <c r="G7690" s="13">
        <f t="shared" si="1"/>
        <v>1281</v>
      </c>
      <c r="H7690" s="13"/>
    </row>
    <row r="7691" ht="22.5" customHeight="1">
      <c r="B7691" s="17"/>
      <c r="C7691" s="17"/>
      <c r="D7691" s="13"/>
      <c r="E7691" s="11"/>
      <c r="F7691" s="11"/>
      <c r="G7691" s="13">
        <f t="shared" si="1"/>
        <v>1281</v>
      </c>
      <c r="H7691" s="13"/>
    </row>
    <row r="7692" ht="22.5" customHeight="1">
      <c r="B7692" s="17"/>
      <c r="C7692" s="17"/>
      <c r="D7692" s="13"/>
      <c r="E7692" s="11"/>
      <c r="F7692" s="11"/>
      <c r="G7692" s="13">
        <f t="shared" si="1"/>
        <v>1281</v>
      </c>
      <c r="H7692" s="13"/>
    </row>
    <row r="7693" ht="22.5" customHeight="1">
      <c r="B7693" s="17"/>
      <c r="C7693" s="17"/>
      <c r="D7693" s="13"/>
      <c r="E7693" s="11"/>
      <c r="F7693" s="11"/>
      <c r="G7693" s="13">
        <f t="shared" si="1"/>
        <v>1281</v>
      </c>
      <c r="H7693" s="13"/>
    </row>
    <row r="7694" ht="22.5" customHeight="1">
      <c r="B7694" s="17"/>
      <c r="C7694" s="17"/>
      <c r="D7694" s="13"/>
      <c r="E7694" s="11"/>
      <c r="F7694" s="11"/>
      <c r="G7694" s="13">
        <f t="shared" si="1"/>
        <v>1281</v>
      </c>
      <c r="H7694" s="13"/>
    </row>
    <row r="7695" ht="22.5" customHeight="1">
      <c r="B7695" s="17"/>
      <c r="C7695" s="17"/>
      <c r="D7695" s="13"/>
      <c r="E7695" s="11"/>
      <c r="F7695" s="11"/>
      <c r="G7695" s="13">
        <f t="shared" si="1"/>
        <v>1281</v>
      </c>
      <c r="H7695" s="13"/>
    </row>
    <row r="7696" ht="22.5" customHeight="1">
      <c r="B7696" s="17"/>
      <c r="C7696" s="17"/>
      <c r="D7696" s="13"/>
      <c r="E7696" s="11"/>
      <c r="F7696" s="11"/>
      <c r="G7696" s="13">
        <f t="shared" si="1"/>
        <v>1281</v>
      </c>
      <c r="H7696" s="13"/>
    </row>
    <row r="7697" ht="22.5" customHeight="1">
      <c r="B7697" s="17"/>
      <c r="C7697" s="17"/>
      <c r="D7697" s="13"/>
      <c r="E7697" s="11"/>
      <c r="F7697" s="11"/>
      <c r="G7697" s="13">
        <f t="shared" si="1"/>
        <v>1281</v>
      </c>
      <c r="H7697" s="13"/>
    </row>
    <row r="7698" ht="22.5" customHeight="1">
      <c r="B7698" s="17"/>
      <c r="C7698" s="17"/>
      <c r="D7698" s="13"/>
      <c r="E7698" s="11"/>
      <c r="F7698" s="11"/>
      <c r="G7698" s="13">
        <f t="shared" si="1"/>
        <v>1281</v>
      </c>
      <c r="H7698" s="13"/>
    </row>
    <row r="7699" ht="22.5" customHeight="1">
      <c r="B7699" s="17"/>
      <c r="C7699" s="17"/>
      <c r="D7699" s="13"/>
      <c r="E7699" s="11"/>
      <c r="F7699" s="11"/>
      <c r="G7699" s="13">
        <f t="shared" si="1"/>
        <v>1281</v>
      </c>
      <c r="H7699" s="13"/>
    </row>
    <row r="7700" ht="22.5" customHeight="1">
      <c r="B7700" s="17"/>
      <c r="C7700" s="17"/>
      <c r="D7700" s="13"/>
      <c r="E7700" s="11"/>
      <c r="F7700" s="11"/>
      <c r="G7700" s="13">
        <f t="shared" si="1"/>
        <v>1281</v>
      </c>
      <c r="H7700" s="13"/>
    </row>
    <row r="7701" ht="22.5" customHeight="1">
      <c r="B7701" s="17"/>
      <c r="C7701" s="17"/>
      <c r="D7701" s="13"/>
      <c r="E7701" s="11"/>
      <c r="F7701" s="11"/>
      <c r="G7701" s="13">
        <f t="shared" si="1"/>
        <v>1281</v>
      </c>
      <c r="H7701" s="13"/>
    </row>
    <row r="7702" ht="22.5" customHeight="1">
      <c r="B7702" s="17"/>
      <c r="C7702" s="17"/>
      <c r="D7702" s="13"/>
      <c r="E7702" s="11"/>
      <c r="F7702" s="11"/>
      <c r="G7702" s="13">
        <f t="shared" si="1"/>
        <v>1281</v>
      </c>
      <c r="H7702" s="13"/>
    </row>
    <row r="7703" ht="22.5" customHeight="1">
      <c r="B7703" s="17"/>
      <c r="C7703" s="17"/>
      <c r="D7703" s="13"/>
      <c r="E7703" s="11"/>
      <c r="F7703" s="11"/>
      <c r="G7703" s="13">
        <f t="shared" si="1"/>
        <v>1281</v>
      </c>
      <c r="H7703" s="13"/>
    </row>
    <row r="7704" ht="22.5" customHeight="1">
      <c r="B7704" s="17"/>
      <c r="C7704" s="17"/>
      <c r="D7704" s="13"/>
      <c r="E7704" s="11"/>
      <c r="F7704" s="11"/>
      <c r="G7704" s="13">
        <f t="shared" si="1"/>
        <v>1281</v>
      </c>
      <c r="H7704" s="13"/>
    </row>
    <row r="7705" ht="22.5" customHeight="1">
      <c r="B7705" s="17"/>
      <c r="C7705" s="17"/>
      <c r="D7705" s="13"/>
      <c r="E7705" s="11"/>
      <c r="F7705" s="11"/>
      <c r="G7705" s="13">
        <f t="shared" si="1"/>
        <v>1281</v>
      </c>
      <c r="H7705" s="13"/>
    </row>
    <row r="7706" ht="22.5" customHeight="1">
      <c r="B7706" s="17"/>
      <c r="C7706" s="17"/>
      <c r="D7706" s="13"/>
      <c r="E7706" s="11"/>
      <c r="F7706" s="11"/>
      <c r="G7706" s="13">
        <f t="shared" si="1"/>
        <v>1281</v>
      </c>
      <c r="H7706" s="13"/>
    </row>
    <row r="7707" ht="22.5" customHeight="1">
      <c r="B7707" s="17"/>
      <c r="C7707" s="17"/>
      <c r="D7707" s="13"/>
      <c r="E7707" s="11"/>
      <c r="F7707" s="11"/>
      <c r="G7707" s="13">
        <f t="shared" si="1"/>
        <v>1281</v>
      </c>
      <c r="H7707" s="13"/>
    </row>
    <row r="7708" ht="22.5" customHeight="1">
      <c r="B7708" s="17"/>
      <c r="C7708" s="17"/>
      <c r="D7708" s="13"/>
      <c r="E7708" s="11"/>
      <c r="F7708" s="11"/>
      <c r="G7708" s="13">
        <f t="shared" si="1"/>
        <v>1281</v>
      </c>
      <c r="H7708" s="13"/>
    </row>
    <row r="7709" ht="22.5" customHeight="1">
      <c r="B7709" s="17"/>
      <c r="C7709" s="17"/>
      <c r="D7709" s="13"/>
      <c r="E7709" s="11"/>
      <c r="F7709" s="11"/>
      <c r="G7709" s="13">
        <f t="shared" si="1"/>
        <v>1281</v>
      </c>
      <c r="H7709" s="13"/>
    </row>
    <row r="7710" ht="22.5" customHeight="1">
      <c r="B7710" s="17"/>
      <c r="C7710" s="17"/>
      <c r="D7710" s="13"/>
      <c r="E7710" s="11"/>
      <c r="F7710" s="11"/>
      <c r="G7710" s="13">
        <f t="shared" si="1"/>
        <v>1281</v>
      </c>
      <c r="H7710" s="13"/>
    </row>
    <row r="7711" ht="22.5" customHeight="1">
      <c r="B7711" s="17"/>
      <c r="C7711" s="17"/>
      <c r="D7711" s="13"/>
      <c r="E7711" s="11"/>
      <c r="F7711" s="11"/>
      <c r="G7711" s="13">
        <f t="shared" si="1"/>
        <v>1281</v>
      </c>
      <c r="H7711" s="13"/>
    </row>
    <row r="7712" ht="22.5" customHeight="1">
      <c r="B7712" s="17"/>
      <c r="C7712" s="17"/>
      <c r="D7712" s="13"/>
      <c r="E7712" s="11"/>
      <c r="F7712" s="11"/>
      <c r="G7712" s="13">
        <f t="shared" si="1"/>
        <v>1281</v>
      </c>
      <c r="H7712" s="13"/>
    </row>
    <row r="7713" ht="22.5" customHeight="1">
      <c r="B7713" s="17"/>
      <c r="C7713" s="17"/>
      <c r="D7713" s="13"/>
      <c r="E7713" s="11"/>
      <c r="F7713" s="11"/>
      <c r="G7713" s="13">
        <f t="shared" si="1"/>
        <v>1281</v>
      </c>
      <c r="H7713" s="13"/>
    </row>
    <row r="7714" ht="22.5" customHeight="1">
      <c r="B7714" s="17"/>
      <c r="C7714" s="17"/>
      <c r="D7714" s="13"/>
      <c r="E7714" s="11"/>
      <c r="F7714" s="11"/>
      <c r="G7714" s="13">
        <f t="shared" si="1"/>
        <v>1281</v>
      </c>
      <c r="H7714" s="13"/>
    </row>
    <row r="7715" ht="22.5" customHeight="1">
      <c r="B7715" s="17"/>
      <c r="C7715" s="17"/>
      <c r="D7715" s="13"/>
      <c r="E7715" s="11"/>
      <c r="F7715" s="11"/>
      <c r="G7715" s="13">
        <f t="shared" si="1"/>
        <v>1281</v>
      </c>
      <c r="H7715" s="13"/>
    </row>
    <row r="7716" ht="22.5" customHeight="1">
      <c r="B7716" s="17"/>
      <c r="C7716" s="17"/>
      <c r="D7716" s="13"/>
      <c r="E7716" s="11"/>
      <c r="F7716" s="11"/>
      <c r="G7716" s="13">
        <f t="shared" si="1"/>
        <v>1281</v>
      </c>
      <c r="H7716" s="13"/>
    </row>
    <row r="7717" ht="22.5" customHeight="1">
      <c r="B7717" s="17"/>
      <c r="C7717" s="17"/>
      <c r="D7717" s="13"/>
      <c r="E7717" s="11"/>
      <c r="F7717" s="11"/>
      <c r="G7717" s="13">
        <f t="shared" si="1"/>
        <v>1281</v>
      </c>
      <c r="H7717" s="13"/>
    </row>
    <row r="7718" ht="22.5" customHeight="1">
      <c r="B7718" s="17"/>
      <c r="C7718" s="17"/>
      <c r="D7718" s="13"/>
      <c r="E7718" s="11"/>
      <c r="F7718" s="11"/>
      <c r="G7718" s="13">
        <f t="shared" si="1"/>
        <v>1281</v>
      </c>
      <c r="H7718" s="13"/>
    </row>
    <row r="7719" ht="22.5" customHeight="1">
      <c r="B7719" s="17"/>
      <c r="C7719" s="17"/>
      <c r="D7719" s="13"/>
      <c r="E7719" s="11"/>
      <c r="F7719" s="11"/>
      <c r="G7719" s="13">
        <f t="shared" si="1"/>
        <v>1281</v>
      </c>
      <c r="H7719" s="13"/>
    </row>
    <row r="7720" ht="22.5" customHeight="1">
      <c r="B7720" s="17"/>
      <c r="C7720" s="17"/>
      <c r="D7720" s="13"/>
      <c r="E7720" s="11"/>
      <c r="F7720" s="11"/>
      <c r="G7720" s="13">
        <f t="shared" si="1"/>
        <v>1281</v>
      </c>
      <c r="H7720" s="13"/>
    </row>
    <row r="7721" ht="22.5" customHeight="1">
      <c r="B7721" s="17"/>
      <c r="C7721" s="17"/>
      <c r="D7721" s="13"/>
      <c r="E7721" s="11"/>
      <c r="F7721" s="11"/>
      <c r="G7721" s="13">
        <f t="shared" si="1"/>
        <v>1281</v>
      </c>
      <c r="H7721" s="13"/>
    </row>
    <row r="7722" ht="22.5" customHeight="1">
      <c r="B7722" s="17"/>
      <c r="C7722" s="17"/>
      <c r="D7722" s="13"/>
      <c r="E7722" s="11"/>
      <c r="F7722" s="11"/>
      <c r="G7722" s="13">
        <f t="shared" si="1"/>
        <v>1281</v>
      </c>
      <c r="H7722" s="13"/>
    </row>
    <row r="7723" ht="22.5" customHeight="1">
      <c r="B7723" s="17"/>
      <c r="C7723" s="17"/>
      <c r="D7723" s="13"/>
      <c r="E7723" s="11"/>
      <c r="F7723" s="11"/>
      <c r="G7723" s="13">
        <f t="shared" si="1"/>
        <v>1281</v>
      </c>
      <c r="H7723" s="13"/>
    </row>
    <row r="7724" ht="22.5" customHeight="1">
      <c r="B7724" s="17"/>
      <c r="C7724" s="17"/>
      <c r="D7724" s="13"/>
      <c r="E7724" s="11"/>
      <c r="F7724" s="11"/>
      <c r="G7724" s="13">
        <f t="shared" si="1"/>
        <v>1281</v>
      </c>
      <c r="H7724" s="13"/>
    </row>
    <row r="7725" ht="22.5" customHeight="1">
      <c r="B7725" s="17"/>
      <c r="C7725" s="17"/>
      <c r="D7725" s="13"/>
      <c r="E7725" s="11"/>
      <c r="F7725" s="11"/>
      <c r="G7725" s="13">
        <f t="shared" si="1"/>
        <v>1281</v>
      </c>
      <c r="H7725" s="13"/>
    </row>
    <row r="7726" ht="22.5" customHeight="1">
      <c r="B7726" s="17"/>
      <c r="C7726" s="17"/>
      <c r="D7726" s="13"/>
      <c r="E7726" s="11"/>
      <c r="F7726" s="11"/>
      <c r="G7726" s="13">
        <f t="shared" si="1"/>
        <v>1281</v>
      </c>
      <c r="H7726" s="13"/>
    </row>
    <row r="7727" ht="22.5" customHeight="1">
      <c r="B7727" s="17"/>
      <c r="C7727" s="17"/>
      <c r="D7727" s="13"/>
      <c r="E7727" s="11"/>
      <c r="F7727" s="11"/>
      <c r="G7727" s="13">
        <f t="shared" si="1"/>
        <v>1281</v>
      </c>
      <c r="H7727" s="13"/>
    </row>
    <row r="7728" ht="22.5" customHeight="1">
      <c r="B7728" s="17"/>
      <c r="C7728" s="17"/>
      <c r="D7728" s="13"/>
      <c r="E7728" s="11"/>
      <c r="F7728" s="11"/>
      <c r="G7728" s="13">
        <f t="shared" si="1"/>
        <v>1281</v>
      </c>
      <c r="H7728" s="13"/>
    </row>
    <row r="7729" ht="22.5" customHeight="1">
      <c r="B7729" s="17"/>
      <c r="C7729" s="17"/>
      <c r="D7729" s="13"/>
      <c r="E7729" s="11"/>
      <c r="F7729" s="11"/>
      <c r="G7729" s="13">
        <f t="shared" si="1"/>
        <v>1281</v>
      </c>
      <c r="H7729" s="13"/>
    </row>
    <row r="7730" ht="22.5" customHeight="1">
      <c r="B7730" s="17"/>
      <c r="C7730" s="17"/>
      <c r="D7730" s="13"/>
      <c r="E7730" s="11"/>
      <c r="F7730" s="11"/>
      <c r="G7730" s="13">
        <f t="shared" si="1"/>
        <v>1281</v>
      </c>
      <c r="H7730" s="13"/>
    </row>
    <row r="7731" ht="22.5" customHeight="1">
      <c r="B7731" s="17"/>
      <c r="C7731" s="17"/>
      <c r="D7731" s="13"/>
      <c r="E7731" s="11"/>
      <c r="F7731" s="11"/>
      <c r="G7731" s="13">
        <f t="shared" si="1"/>
        <v>1281</v>
      </c>
      <c r="H7731" s="13"/>
    </row>
    <row r="7732" ht="22.5" customHeight="1">
      <c r="B7732" s="17"/>
      <c r="C7732" s="17"/>
      <c r="D7732" s="13"/>
      <c r="E7732" s="11"/>
      <c r="F7732" s="11"/>
      <c r="G7732" s="13">
        <f t="shared" si="1"/>
        <v>1281</v>
      </c>
      <c r="H7732" s="13"/>
    </row>
    <row r="7733" ht="22.5" customHeight="1">
      <c r="B7733" s="17"/>
      <c r="C7733" s="17"/>
      <c r="D7733" s="13"/>
      <c r="E7733" s="11"/>
      <c r="F7733" s="11"/>
      <c r="G7733" s="13">
        <f t="shared" si="1"/>
        <v>1281</v>
      </c>
      <c r="H7733" s="13"/>
    </row>
    <row r="7734" ht="22.5" customHeight="1">
      <c r="B7734" s="17"/>
      <c r="C7734" s="17"/>
      <c r="D7734" s="13"/>
      <c r="E7734" s="11"/>
      <c r="F7734" s="11"/>
      <c r="G7734" s="13">
        <f t="shared" si="1"/>
        <v>1281</v>
      </c>
      <c r="H7734" s="13"/>
    </row>
    <row r="7735" ht="22.5" customHeight="1">
      <c r="B7735" s="17"/>
      <c r="C7735" s="17"/>
      <c r="D7735" s="13"/>
      <c r="E7735" s="11"/>
      <c r="F7735" s="11"/>
      <c r="G7735" s="13">
        <f t="shared" si="1"/>
        <v>1281</v>
      </c>
      <c r="H7735" s="13"/>
    </row>
    <row r="7736" ht="22.5" customHeight="1">
      <c r="B7736" s="17"/>
      <c r="C7736" s="17"/>
      <c r="D7736" s="13"/>
      <c r="E7736" s="11"/>
      <c r="F7736" s="11"/>
      <c r="G7736" s="13">
        <f t="shared" si="1"/>
        <v>1281</v>
      </c>
      <c r="H7736" s="13"/>
    </row>
    <row r="7737" ht="22.5" customHeight="1">
      <c r="B7737" s="17"/>
      <c r="C7737" s="17"/>
      <c r="D7737" s="13"/>
      <c r="E7737" s="11"/>
      <c r="F7737" s="11"/>
      <c r="G7737" s="13">
        <f t="shared" si="1"/>
        <v>1281</v>
      </c>
      <c r="H7737" s="13"/>
    </row>
    <row r="7738" ht="22.5" customHeight="1">
      <c r="B7738" s="17"/>
      <c r="C7738" s="17"/>
      <c r="D7738" s="13"/>
      <c r="E7738" s="11"/>
      <c r="F7738" s="11"/>
      <c r="G7738" s="13">
        <f t="shared" si="1"/>
        <v>1281</v>
      </c>
      <c r="H7738" s="13"/>
    </row>
    <row r="7739" ht="22.5" customHeight="1">
      <c r="B7739" s="17"/>
      <c r="C7739" s="17"/>
      <c r="D7739" s="13"/>
      <c r="E7739" s="11"/>
      <c r="F7739" s="11"/>
      <c r="G7739" s="13">
        <f t="shared" si="1"/>
        <v>1281</v>
      </c>
      <c r="H7739" s="13"/>
    </row>
    <row r="7740" ht="22.5" customHeight="1">
      <c r="B7740" s="17"/>
      <c r="C7740" s="17"/>
      <c r="D7740" s="13"/>
      <c r="E7740" s="11"/>
      <c r="F7740" s="11"/>
      <c r="G7740" s="13">
        <f t="shared" si="1"/>
        <v>1281</v>
      </c>
      <c r="H7740" s="13"/>
    </row>
    <row r="7741" ht="22.5" customHeight="1">
      <c r="B7741" s="17"/>
      <c r="C7741" s="17"/>
      <c r="D7741" s="13"/>
      <c r="E7741" s="11"/>
      <c r="F7741" s="11"/>
      <c r="G7741" s="13">
        <f t="shared" si="1"/>
        <v>1281</v>
      </c>
      <c r="H7741" s="13"/>
    </row>
    <row r="7742" ht="22.5" customHeight="1">
      <c r="B7742" s="17"/>
      <c r="C7742" s="17"/>
      <c r="D7742" s="13"/>
      <c r="E7742" s="11"/>
      <c r="F7742" s="11"/>
      <c r="G7742" s="13">
        <f t="shared" si="1"/>
        <v>1281</v>
      </c>
      <c r="H7742" s="13"/>
    </row>
    <row r="7743" ht="22.5" customHeight="1">
      <c r="B7743" s="17"/>
      <c r="C7743" s="17"/>
      <c r="D7743" s="13"/>
      <c r="E7743" s="11"/>
      <c r="F7743" s="11"/>
      <c r="G7743" s="13">
        <f t="shared" si="1"/>
        <v>1281</v>
      </c>
      <c r="H7743" s="13"/>
    </row>
    <row r="7744" ht="22.5" customHeight="1">
      <c r="B7744" s="17"/>
      <c r="C7744" s="17"/>
      <c r="D7744" s="13"/>
      <c r="E7744" s="11"/>
      <c r="F7744" s="11"/>
      <c r="G7744" s="13">
        <f t="shared" si="1"/>
        <v>1281</v>
      </c>
      <c r="H7744" s="13"/>
    </row>
    <row r="7745" ht="22.5" customHeight="1">
      <c r="B7745" s="17"/>
      <c r="C7745" s="17"/>
      <c r="D7745" s="13"/>
      <c r="E7745" s="11"/>
      <c r="F7745" s="11"/>
      <c r="G7745" s="13">
        <f t="shared" si="1"/>
        <v>1281</v>
      </c>
      <c r="H7745" s="13"/>
    </row>
    <row r="7746" ht="22.5" customHeight="1">
      <c r="B7746" s="17"/>
      <c r="C7746" s="17"/>
      <c r="D7746" s="13"/>
      <c r="E7746" s="11"/>
      <c r="F7746" s="11"/>
      <c r="G7746" s="13">
        <f t="shared" si="1"/>
        <v>1281</v>
      </c>
      <c r="H7746" s="13"/>
    </row>
    <row r="7747" ht="22.5" customHeight="1">
      <c r="B7747" s="17"/>
      <c r="C7747" s="17"/>
      <c r="D7747" s="13"/>
      <c r="E7747" s="11"/>
      <c r="F7747" s="11"/>
      <c r="G7747" s="13">
        <f t="shared" si="1"/>
        <v>1281</v>
      </c>
      <c r="H7747" s="13"/>
    </row>
    <row r="7748" ht="22.5" customHeight="1">
      <c r="B7748" s="17"/>
      <c r="C7748" s="17"/>
      <c r="D7748" s="13"/>
      <c r="E7748" s="11"/>
      <c r="F7748" s="11"/>
      <c r="G7748" s="13">
        <f t="shared" si="1"/>
        <v>1281</v>
      </c>
      <c r="H7748" s="13"/>
    </row>
    <row r="7749" ht="22.5" customHeight="1">
      <c r="B7749" s="17"/>
      <c r="C7749" s="17"/>
      <c r="D7749" s="13"/>
      <c r="E7749" s="11"/>
      <c r="F7749" s="11"/>
      <c r="G7749" s="13">
        <f t="shared" si="1"/>
        <v>1281</v>
      </c>
      <c r="H7749" s="13"/>
    </row>
    <row r="7750" ht="22.5" customHeight="1">
      <c r="B7750" s="17"/>
      <c r="C7750" s="17"/>
      <c r="D7750" s="13"/>
      <c r="E7750" s="11"/>
      <c r="F7750" s="11"/>
      <c r="G7750" s="13">
        <f t="shared" si="1"/>
        <v>1281</v>
      </c>
      <c r="H7750" s="13"/>
    </row>
    <row r="7751" ht="22.5" customHeight="1">
      <c r="B7751" s="17"/>
      <c r="C7751" s="17"/>
      <c r="D7751" s="13"/>
      <c r="E7751" s="11"/>
      <c r="F7751" s="11"/>
      <c r="G7751" s="13">
        <f t="shared" si="1"/>
        <v>1281</v>
      </c>
      <c r="H7751" s="13"/>
    </row>
    <row r="7752" ht="22.5" customHeight="1">
      <c r="B7752" s="17"/>
      <c r="C7752" s="17"/>
      <c r="D7752" s="13"/>
      <c r="E7752" s="11"/>
      <c r="F7752" s="11"/>
      <c r="G7752" s="13">
        <f t="shared" si="1"/>
        <v>1281</v>
      </c>
      <c r="H7752" s="13"/>
    </row>
    <row r="7753" ht="22.5" customHeight="1">
      <c r="B7753" s="17"/>
      <c r="C7753" s="17"/>
      <c r="D7753" s="13"/>
      <c r="E7753" s="11"/>
      <c r="F7753" s="11"/>
      <c r="G7753" s="13">
        <f t="shared" si="1"/>
        <v>1281</v>
      </c>
      <c r="H7753" s="13"/>
    </row>
    <row r="7754" ht="22.5" customHeight="1">
      <c r="B7754" s="17"/>
      <c r="C7754" s="17"/>
      <c r="D7754" s="13"/>
      <c r="E7754" s="11"/>
      <c r="F7754" s="11"/>
      <c r="G7754" s="13">
        <f t="shared" si="1"/>
        <v>1281</v>
      </c>
      <c r="H7754" s="13"/>
    </row>
    <row r="7755" ht="22.5" customHeight="1">
      <c r="B7755" s="17"/>
      <c r="C7755" s="17"/>
      <c r="D7755" s="13"/>
      <c r="E7755" s="11"/>
      <c r="F7755" s="11"/>
      <c r="G7755" s="13">
        <f t="shared" si="1"/>
        <v>1281</v>
      </c>
      <c r="H7755" s="13"/>
    </row>
    <row r="7756" ht="22.5" customHeight="1">
      <c r="B7756" s="17"/>
      <c r="C7756" s="17"/>
      <c r="D7756" s="13"/>
      <c r="E7756" s="11"/>
      <c r="F7756" s="11"/>
      <c r="G7756" s="13">
        <f t="shared" si="1"/>
        <v>1281</v>
      </c>
      <c r="H7756" s="13"/>
    </row>
    <row r="7757" ht="22.5" customHeight="1">
      <c r="B7757" s="17"/>
      <c r="C7757" s="17"/>
      <c r="D7757" s="13"/>
      <c r="E7757" s="11"/>
      <c r="F7757" s="11"/>
      <c r="G7757" s="13">
        <f t="shared" si="1"/>
        <v>1281</v>
      </c>
      <c r="H7757" s="13"/>
    </row>
    <row r="7758" ht="22.5" customHeight="1">
      <c r="B7758" s="17"/>
      <c r="C7758" s="17"/>
      <c r="D7758" s="13"/>
      <c r="E7758" s="11"/>
      <c r="F7758" s="11"/>
      <c r="G7758" s="13">
        <f t="shared" si="1"/>
        <v>1281</v>
      </c>
      <c r="H7758" s="13"/>
    </row>
    <row r="7759" ht="22.5" customHeight="1">
      <c r="B7759" s="17"/>
      <c r="C7759" s="17"/>
      <c r="D7759" s="13"/>
      <c r="E7759" s="11"/>
      <c r="F7759" s="11"/>
      <c r="G7759" s="13">
        <f t="shared" si="1"/>
        <v>1281</v>
      </c>
      <c r="H7759" s="13"/>
    </row>
    <row r="7760" ht="22.5" customHeight="1">
      <c r="B7760" s="17"/>
      <c r="C7760" s="17"/>
      <c r="D7760" s="13"/>
      <c r="E7760" s="11"/>
      <c r="F7760" s="11"/>
      <c r="G7760" s="13">
        <f t="shared" si="1"/>
        <v>1281</v>
      </c>
      <c r="H7760" s="13"/>
    </row>
    <row r="7761" ht="22.5" customHeight="1">
      <c r="B7761" s="17"/>
      <c r="C7761" s="17"/>
      <c r="D7761" s="13"/>
      <c r="E7761" s="11"/>
      <c r="F7761" s="11"/>
      <c r="G7761" s="13">
        <f t="shared" si="1"/>
        <v>1281</v>
      </c>
      <c r="H7761" s="13"/>
    </row>
    <row r="7762" ht="22.5" customHeight="1">
      <c r="B7762" s="17"/>
      <c r="C7762" s="17"/>
      <c r="D7762" s="13"/>
      <c r="E7762" s="11"/>
      <c r="F7762" s="11"/>
      <c r="G7762" s="13">
        <f t="shared" si="1"/>
        <v>1281</v>
      </c>
      <c r="H7762" s="13"/>
    </row>
    <row r="7763" ht="22.5" customHeight="1">
      <c r="B7763" s="17"/>
      <c r="C7763" s="17"/>
      <c r="D7763" s="13"/>
      <c r="E7763" s="11"/>
      <c r="F7763" s="11"/>
      <c r="G7763" s="13">
        <f t="shared" si="1"/>
        <v>1281</v>
      </c>
      <c r="H7763" s="13"/>
    </row>
    <row r="7764" ht="22.5" customHeight="1">
      <c r="B7764" s="17"/>
      <c r="C7764" s="17"/>
      <c r="D7764" s="13"/>
      <c r="E7764" s="11"/>
      <c r="F7764" s="11"/>
      <c r="G7764" s="13">
        <f t="shared" si="1"/>
        <v>1281</v>
      </c>
      <c r="H7764" s="13"/>
    </row>
    <row r="7765" ht="22.5" customHeight="1">
      <c r="B7765" s="17"/>
      <c r="C7765" s="17"/>
      <c r="D7765" s="13"/>
      <c r="E7765" s="11"/>
      <c r="F7765" s="11"/>
      <c r="G7765" s="13">
        <f t="shared" si="1"/>
        <v>1281</v>
      </c>
      <c r="H7765" s="13"/>
    </row>
    <row r="7766" ht="22.5" customHeight="1">
      <c r="B7766" s="17"/>
      <c r="C7766" s="17"/>
      <c r="D7766" s="13"/>
      <c r="E7766" s="11"/>
      <c r="F7766" s="11"/>
      <c r="G7766" s="13">
        <f t="shared" si="1"/>
        <v>1281</v>
      </c>
      <c r="H7766" s="13"/>
    </row>
    <row r="7767" ht="22.5" customHeight="1">
      <c r="B7767" s="17"/>
      <c r="C7767" s="17"/>
      <c r="D7767" s="13"/>
      <c r="E7767" s="11"/>
      <c r="F7767" s="11"/>
      <c r="G7767" s="13">
        <f t="shared" si="1"/>
        <v>1281</v>
      </c>
      <c r="H7767" s="13"/>
    </row>
    <row r="7768" ht="22.5" customHeight="1">
      <c r="B7768" s="17"/>
      <c r="C7768" s="17"/>
      <c r="D7768" s="13"/>
      <c r="E7768" s="11"/>
      <c r="F7768" s="11"/>
      <c r="G7768" s="13">
        <f t="shared" si="1"/>
        <v>1281</v>
      </c>
      <c r="H7768" s="13"/>
    </row>
    <row r="7769" ht="22.5" customHeight="1">
      <c r="B7769" s="17"/>
      <c r="C7769" s="17"/>
      <c r="D7769" s="13"/>
      <c r="E7769" s="11"/>
      <c r="F7769" s="11"/>
      <c r="G7769" s="13">
        <f t="shared" si="1"/>
        <v>1281</v>
      </c>
      <c r="H7769" s="13"/>
    </row>
    <row r="7770" ht="22.5" customHeight="1">
      <c r="B7770" s="17"/>
      <c r="C7770" s="17"/>
      <c r="D7770" s="13"/>
      <c r="E7770" s="11"/>
      <c r="F7770" s="11"/>
      <c r="G7770" s="13">
        <f t="shared" si="1"/>
        <v>1281</v>
      </c>
      <c r="H7770" s="13"/>
    </row>
    <row r="7771" ht="22.5" customHeight="1">
      <c r="B7771" s="17"/>
      <c r="C7771" s="17"/>
      <c r="D7771" s="13"/>
      <c r="E7771" s="11"/>
      <c r="F7771" s="11"/>
      <c r="G7771" s="13">
        <f t="shared" si="1"/>
        <v>1281</v>
      </c>
      <c r="H7771" s="13"/>
    </row>
    <row r="7772" ht="22.5" customHeight="1">
      <c r="B7772" s="17"/>
      <c r="C7772" s="17"/>
      <c r="D7772" s="13"/>
      <c r="E7772" s="11"/>
      <c r="F7772" s="11"/>
      <c r="G7772" s="13">
        <f t="shared" si="1"/>
        <v>1281</v>
      </c>
      <c r="H7772" s="13"/>
    </row>
    <row r="7773" ht="22.5" customHeight="1">
      <c r="B7773" s="17"/>
      <c r="C7773" s="17"/>
      <c r="D7773" s="13"/>
      <c r="E7773" s="11"/>
      <c r="F7773" s="11"/>
      <c r="G7773" s="13">
        <f t="shared" si="1"/>
        <v>1281</v>
      </c>
      <c r="H7773" s="13"/>
    </row>
    <row r="7774" ht="22.5" customHeight="1">
      <c r="B7774" s="17"/>
      <c r="C7774" s="17"/>
      <c r="D7774" s="13"/>
      <c r="E7774" s="11"/>
      <c r="F7774" s="11"/>
      <c r="G7774" s="13">
        <f t="shared" si="1"/>
        <v>1281</v>
      </c>
      <c r="H7774" s="13"/>
    </row>
    <row r="7775" ht="22.5" customHeight="1">
      <c r="B7775" s="17"/>
      <c r="C7775" s="17"/>
      <c r="D7775" s="13"/>
      <c r="E7775" s="11"/>
      <c r="F7775" s="11"/>
      <c r="G7775" s="13">
        <f t="shared" si="1"/>
        <v>1281</v>
      </c>
      <c r="H7775" s="13"/>
    </row>
    <row r="7776" ht="22.5" customHeight="1">
      <c r="B7776" s="17"/>
      <c r="C7776" s="17"/>
      <c r="D7776" s="13"/>
      <c r="E7776" s="11"/>
      <c r="F7776" s="11"/>
      <c r="G7776" s="13">
        <f t="shared" si="1"/>
        <v>1281</v>
      </c>
      <c r="H7776" s="13"/>
    </row>
    <row r="7777" ht="22.5" customHeight="1">
      <c r="B7777" s="17"/>
      <c r="C7777" s="17"/>
      <c r="D7777" s="13"/>
      <c r="E7777" s="11"/>
      <c r="F7777" s="11"/>
      <c r="G7777" s="13">
        <f t="shared" si="1"/>
        <v>1281</v>
      </c>
      <c r="H7777" s="13"/>
    </row>
    <row r="7778" ht="22.5" customHeight="1">
      <c r="B7778" s="17"/>
      <c r="C7778" s="17"/>
      <c r="D7778" s="13"/>
      <c r="E7778" s="11"/>
      <c r="F7778" s="11"/>
      <c r="G7778" s="13">
        <f t="shared" si="1"/>
        <v>1281</v>
      </c>
      <c r="H7778" s="13"/>
    </row>
    <row r="7779" ht="22.5" customHeight="1">
      <c r="B7779" s="17"/>
      <c r="C7779" s="17"/>
      <c r="D7779" s="13"/>
      <c r="E7779" s="11"/>
      <c r="F7779" s="11"/>
      <c r="G7779" s="13">
        <f t="shared" si="1"/>
        <v>1281</v>
      </c>
      <c r="H7779" s="13"/>
    </row>
    <row r="7780" ht="22.5" customHeight="1">
      <c r="B7780" s="17"/>
      <c r="C7780" s="17"/>
      <c r="D7780" s="13"/>
      <c r="E7780" s="11"/>
      <c r="F7780" s="11"/>
      <c r="G7780" s="13">
        <f t="shared" si="1"/>
        <v>1281</v>
      </c>
      <c r="H7780" s="13"/>
    </row>
    <row r="7781" ht="22.5" customHeight="1">
      <c r="B7781" s="17"/>
      <c r="C7781" s="17"/>
      <c r="D7781" s="13"/>
      <c r="E7781" s="11"/>
      <c r="F7781" s="11"/>
      <c r="G7781" s="13">
        <f t="shared" si="1"/>
        <v>1281</v>
      </c>
      <c r="H7781" s="13"/>
    </row>
    <row r="7782" ht="22.5" customHeight="1">
      <c r="B7782" s="17"/>
      <c r="C7782" s="17"/>
      <c r="D7782" s="13"/>
      <c r="E7782" s="11"/>
      <c r="F7782" s="11"/>
      <c r="G7782" s="13">
        <f t="shared" si="1"/>
        <v>1281</v>
      </c>
      <c r="H7782" s="13"/>
    </row>
    <row r="7783" ht="22.5" customHeight="1">
      <c r="B7783" s="17"/>
      <c r="C7783" s="17"/>
      <c r="D7783" s="13"/>
      <c r="E7783" s="11"/>
      <c r="F7783" s="11"/>
      <c r="G7783" s="13">
        <f t="shared" si="1"/>
        <v>1281</v>
      </c>
      <c r="H7783" s="13"/>
    </row>
    <row r="7784" ht="22.5" customHeight="1">
      <c r="B7784" s="17"/>
      <c r="C7784" s="17"/>
      <c r="D7784" s="13"/>
      <c r="E7784" s="11"/>
      <c r="F7784" s="11"/>
      <c r="G7784" s="13">
        <f t="shared" si="1"/>
        <v>1281</v>
      </c>
      <c r="H7784" s="13"/>
    </row>
    <row r="7785" ht="22.5" customHeight="1">
      <c r="B7785" s="17"/>
      <c r="C7785" s="17"/>
      <c r="D7785" s="13"/>
      <c r="E7785" s="11"/>
      <c r="F7785" s="11"/>
      <c r="G7785" s="13">
        <f t="shared" si="1"/>
        <v>1281</v>
      </c>
      <c r="H7785" s="13"/>
    </row>
    <row r="7786" ht="22.5" customHeight="1">
      <c r="B7786" s="17"/>
      <c r="C7786" s="17"/>
      <c r="D7786" s="13"/>
      <c r="E7786" s="11"/>
      <c r="F7786" s="11"/>
      <c r="G7786" s="13">
        <f t="shared" si="1"/>
        <v>1281</v>
      </c>
      <c r="H7786" s="13"/>
    </row>
    <row r="7787" ht="22.5" customHeight="1">
      <c r="B7787" s="17"/>
      <c r="C7787" s="17"/>
      <c r="D7787" s="13"/>
      <c r="E7787" s="11"/>
      <c r="F7787" s="11"/>
      <c r="G7787" s="13">
        <f t="shared" si="1"/>
        <v>1281</v>
      </c>
      <c r="H7787" s="13"/>
    </row>
    <row r="7788" ht="22.5" customHeight="1">
      <c r="B7788" s="17"/>
      <c r="C7788" s="17"/>
      <c r="D7788" s="13"/>
      <c r="E7788" s="11"/>
      <c r="F7788" s="11"/>
      <c r="G7788" s="13">
        <f t="shared" si="1"/>
        <v>1281</v>
      </c>
      <c r="H7788" s="13"/>
    </row>
    <row r="7789" ht="22.5" customHeight="1">
      <c r="B7789" s="17"/>
      <c r="C7789" s="17"/>
      <c r="D7789" s="13"/>
      <c r="E7789" s="11"/>
      <c r="F7789" s="11"/>
      <c r="G7789" s="13">
        <f t="shared" si="1"/>
        <v>1281</v>
      </c>
      <c r="H7789" s="13"/>
    </row>
    <row r="7790" ht="22.5" customHeight="1">
      <c r="B7790" s="17"/>
      <c r="C7790" s="17"/>
      <c r="D7790" s="13"/>
      <c r="E7790" s="11"/>
      <c r="F7790" s="11"/>
      <c r="G7790" s="13">
        <f t="shared" si="1"/>
        <v>1281</v>
      </c>
      <c r="H7790" s="13"/>
    </row>
    <row r="7791" ht="22.5" customHeight="1">
      <c r="B7791" s="17"/>
      <c r="C7791" s="17"/>
      <c r="D7791" s="13"/>
      <c r="E7791" s="11"/>
      <c r="F7791" s="11"/>
      <c r="G7791" s="13">
        <f t="shared" si="1"/>
        <v>1281</v>
      </c>
      <c r="H7791" s="13"/>
    </row>
    <row r="7792" ht="22.5" customHeight="1">
      <c r="B7792" s="17"/>
      <c r="C7792" s="17"/>
      <c r="D7792" s="13"/>
      <c r="E7792" s="11"/>
      <c r="F7792" s="11"/>
      <c r="G7792" s="13">
        <f t="shared" si="1"/>
        <v>1281</v>
      </c>
      <c r="H7792" s="13"/>
    </row>
    <row r="7793" ht="22.5" customHeight="1">
      <c r="B7793" s="17"/>
      <c r="C7793" s="17"/>
      <c r="D7793" s="13"/>
      <c r="E7793" s="11"/>
      <c r="F7793" s="11"/>
      <c r="G7793" s="13">
        <f t="shared" si="1"/>
        <v>1281</v>
      </c>
      <c r="H7793" s="13"/>
    </row>
    <row r="7794" ht="22.5" customHeight="1">
      <c r="B7794" s="17"/>
      <c r="C7794" s="17"/>
      <c r="D7794" s="13"/>
      <c r="E7794" s="11"/>
      <c r="F7794" s="11"/>
      <c r="G7794" s="13">
        <f t="shared" si="1"/>
        <v>1281</v>
      </c>
      <c r="H7794" s="13"/>
    </row>
    <row r="7795" ht="22.5" customHeight="1">
      <c r="B7795" s="17"/>
      <c r="C7795" s="17"/>
      <c r="D7795" s="13"/>
      <c r="E7795" s="11"/>
      <c r="F7795" s="11"/>
      <c r="G7795" s="13">
        <f t="shared" si="1"/>
        <v>1281</v>
      </c>
      <c r="H7795" s="13"/>
    </row>
    <row r="7796" ht="22.5" customHeight="1">
      <c r="B7796" s="17"/>
      <c r="C7796" s="17"/>
      <c r="D7796" s="13"/>
      <c r="E7796" s="11"/>
      <c r="F7796" s="11"/>
      <c r="G7796" s="13">
        <f t="shared" si="1"/>
        <v>1281</v>
      </c>
      <c r="H7796" s="13"/>
    </row>
    <row r="7797" ht="22.5" customHeight="1">
      <c r="B7797" s="17"/>
      <c r="C7797" s="17"/>
      <c r="D7797" s="13"/>
      <c r="E7797" s="11"/>
      <c r="F7797" s="11"/>
      <c r="G7797" s="13">
        <f t="shared" si="1"/>
        <v>1281</v>
      </c>
      <c r="H7797" s="13"/>
    </row>
    <row r="7798" ht="22.5" customHeight="1">
      <c r="B7798" s="17"/>
      <c r="C7798" s="17"/>
      <c r="D7798" s="13"/>
      <c r="E7798" s="11"/>
      <c r="F7798" s="11"/>
      <c r="G7798" s="13">
        <f t="shared" si="1"/>
        <v>1281</v>
      </c>
      <c r="H7798" s="13"/>
    </row>
    <row r="7799" ht="22.5" customHeight="1">
      <c r="B7799" s="17"/>
      <c r="C7799" s="17"/>
      <c r="D7799" s="13"/>
      <c r="E7799" s="11"/>
      <c r="F7799" s="11"/>
      <c r="G7799" s="13">
        <f t="shared" si="1"/>
        <v>1281</v>
      </c>
      <c r="H7799" s="13"/>
    </row>
    <row r="7800" ht="22.5" customHeight="1">
      <c r="B7800" s="17"/>
      <c r="C7800" s="17"/>
      <c r="D7800" s="13"/>
      <c r="E7800" s="11"/>
      <c r="F7800" s="11"/>
      <c r="G7800" s="13">
        <f t="shared" si="1"/>
        <v>1281</v>
      </c>
      <c r="H7800" s="13"/>
    </row>
    <row r="7801" ht="22.5" customHeight="1">
      <c r="B7801" s="17"/>
      <c r="C7801" s="17"/>
      <c r="D7801" s="13"/>
      <c r="E7801" s="11"/>
      <c r="F7801" s="11"/>
      <c r="G7801" s="13">
        <f t="shared" si="1"/>
        <v>1281</v>
      </c>
      <c r="H7801" s="13"/>
    </row>
    <row r="7802" ht="22.5" customHeight="1">
      <c r="B7802" s="17"/>
      <c r="C7802" s="17"/>
      <c r="D7802" s="13"/>
      <c r="E7802" s="11"/>
      <c r="F7802" s="11"/>
      <c r="G7802" s="13">
        <f t="shared" si="1"/>
        <v>1281</v>
      </c>
      <c r="H7802" s="13"/>
    </row>
    <row r="7803" ht="22.5" customHeight="1">
      <c r="B7803" s="17"/>
      <c r="C7803" s="17"/>
      <c r="D7803" s="13"/>
      <c r="E7803" s="11"/>
      <c r="F7803" s="11"/>
      <c r="G7803" s="13">
        <f t="shared" si="1"/>
        <v>1281</v>
      </c>
      <c r="H7803" s="13"/>
    </row>
    <row r="7804" ht="22.5" customHeight="1">
      <c r="B7804" s="17"/>
      <c r="C7804" s="17"/>
      <c r="D7804" s="13"/>
      <c r="E7804" s="11"/>
      <c r="F7804" s="11"/>
      <c r="G7804" s="13">
        <f t="shared" si="1"/>
        <v>1281</v>
      </c>
      <c r="H7804" s="13"/>
    </row>
    <row r="7805" ht="22.5" customHeight="1">
      <c r="B7805" s="17"/>
      <c r="C7805" s="17"/>
      <c r="D7805" s="13"/>
      <c r="E7805" s="11"/>
      <c r="F7805" s="11"/>
      <c r="G7805" s="13">
        <f t="shared" si="1"/>
        <v>1281</v>
      </c>
      <c r="H7805" s="13"/>
    </row>
    <row r="7806" ht="22.5" customHeight="1">
      <c r="B7806" s="17"/>
      <c r="C7806" s="17"/>
      <c r="D7806" s="13"/>
      <c r="E7806" s="11"/>
      <c r="F7806" s="11"/>
      <c r="G7806" s="13">
        <f t="shared" si="1"/>
        <v>1281</v>
      </c>
      <c r="H7806" s="13"/>
    </row>
    <row r="7807" ht="22.5" customHeight="1">
      <c r="B7807" s="17"/>
      <c r="C7807" s="17"/>
      <c r="D7807" s="13"/>
      <c r="E7807" s="11"/>
      <c r="F7807" s="11"/>
      <c r="G7807" s="13">
        <f t="shared" si="1"/>
        <v>1281</v>
      </c>
      <c r="H7807" s="13"/>
    </row>
    <row r="7808" ht="22.5" customHeight="1">
      <c r="B7808" s="17"/>
      <c r="C7808" s="17"/>
      <c r="D7808" s="13"/>
      <c r="E7808" s="11"/>
      <c r="F7808" s="11"/>
      <c r="G7808" s="13">
        <f t="shared" si="1"/>
        <v>1281</v>
      </c>
      <c r="H7808" s="13"/>
    </row>
    <row r="7809" ht="22.5" customHeight="1">
      <c r="B7809" s="17"/>
      <c r="C7809" s="17"/>
      <c r="D7809" s="13"/>
      <c r="E7809" s="11"/>
      <c r="F7809" s="11"/>
      <c r="G7809" s="13">
        <f t="shared" si="1"/>
        <v>1281</v>
      </c>
      <c r="H7809" s="13"/>
    </row>
    <row r="7810" ht="22.5" customHeight="1">
      <c r="B7810" s="17"/>
      <c r="C7810" s="17"/>
      <c r="D7810" s="13"/>
      <c r="E7810" s="11"/>
      <c r="F7810" s="11"/>
      <c r="G7810" s="13">
        <f t="shared" si="1"/>
        <v>1281</v>
      </c>
      <c r="H7810" s="13"/>
    </row>
    <row r="7811" ht="22.5" customHeight="1">
      <c r="B7811" s="17"/>
      <c r="C7811" s="17"/>
      <c r="D7811" s="13"/>
      <c r="E7811" s="11"/>
      <c r="F7811" s="11"/>
      <c r="G7811" s="13">
        <f t="shared" si="1"/>
        <v>1281</v>
      </c>
      <c r="H7811" s="13"/>
    </row>
    <row r="7812" ht="22.5" customHeight="1">
      <c r="B7812" s="17"/>
      <c r="C7812" s="17"/>
      <c r="D7812" s="13"/>
      <c r="E7812" s="11"/>
      <c r="F7812" s="11"/>
      <c r="G7812" s="13">
        <f t="shared" si="1"/>
        <v>1281</v>
      </c>
      <c r="H7812" s="13"/>
    </row>
    <row r="7813" ht="22.5" customHeight="1">
      <c r="B7813" s="17"/>
      <c r="C7813" s="17"/>
      <c r="D7813" s="13"/>
      <c r="E7813" s="11"/>
      <c r="F7813" s="11"/>
      <c r="G7813" s="13">
        <f t="shared" si="1"/>
        <v>1281</v>
      </c>
      <c r="H7813" s="13"/>
    </row>
    <row r="7814" ht="22.5" customHeight="1">
      <c r="B7814" s="17"/>
      <c r="C7814" s="17"/>
      <c r="D7814" s="13"/>
      <c r="E7814" s="11"/>
      <c r="F7814" s="11"/>
      <c r="G7814" s="13">
        <f t="shared" si="1"/>
        <v>1281</v>
      </c>
      <c r="H7814" s="13"/>
    </row>
    <row r="7815" ht="22.5" customHeight="1">
      <c r="B7815" s="17"/>
      <c r="C7815" s="17"/>
      <c r="D7815" s="13"/>
      <c r="E7815" s="11"/>
      <c r="F7815" s="11"/>
      <c r="G7815" s="13">
        <f t="shared" si="1"/>
        <v>1281</v>
      </c>
      <c r="H7815" s="13"/>
    </row>
    <row r="7816" ht="22.5" customHeight="1">
      <c r="B7816" s="17"/>
      <c r="C7816" s="17"/>
      <c r="D7816" s="13"/>
      <c r="E7816" s="11"/>
      <c r="F7816" s="11"/>
      <c r="G7816" s="13">
        <f t="shared" si="1"/>
        <v>1281</v>
      </c>
      <c r="H7816" s="13"/>
    </row>
    <row r="7817" ht="22.5" customHeight="1">
      <c r="B7817" s="17"/>
      <c r="C7817" s="17"/>
      <c r="D7817" s="13"/>
      <c r="E7817" s="11"/>
      <c r="F7817" s="11"/>
      <c r="G7817" s="13">
        <f t="shared" si="1"/>
        <v>1281</v>
      </c>
      <c r="H7817" s="13"/>
    </row>
    <row r="7818" ht="22.5" customHeight="1">
      <c r="B7818" s="17"/>
      <c r="C7818" s="17"/>
      <c r="D7818" s="13"/>
      <c r="E7818" s="11"/>
      <c r="F7818" s="11"/>
      <c r="G7818" s="13">
        <f t="shared" si="1"/>
        <v>1281</v>
      </c>
      <c r="H7818" s="13"/>
    </row>
    <row r="7819" ht="22.5" customHeight="1">
      <c r="B7819" s="17"/>
      <c r="C7819" s="17"/>
      <c r="D7819" s="13"/>
      <c r="E7819" s="11"/>
      <c r="F7819" s="11"/>
      <c r="G7819" s="13">
        <f t="shared" si="1"/>
        <v>1281</v>
      </c>
      <c r="H7819" s="13"/>
    </row>
    <row r="7820" ht="22.5" customHeight="1">
      <c r="B7820" s="17"/>
      <c r="C7820" s="17"/>
      <c r="D7820" s="13"/>
      <c r="E7820" s="11"/>
      <c r="F7820" s="11"/>
      <c r="G7820" s="13">
        <f t="shared" si="1"/>
        <v>1281</v>
      </c>
      <c r="H7820" s="13"/>
    </row>
    <row r="7821" ht="22.5" customHeight="1">
      <c r="B7821" s="17"/>
      <c r="C7821" s="17"/>
      <c r="D7821" s="13"/>
      <c r="E7821" s="11"/>
      <c r="F7821" s="11"/>
      <c r="G7821" s="13">
        <f t="shared" si="1"/>
        <v>1281</v>
      </c>
      <c r="H7821" s="13"/>
    </row>
    <row r="7822" ht="22.5" customHeight="1">
      <c r="B7822" s="17"/>
      <c r="C7822" s="17"/>
      <c r="D7822" s="13"/>
      <c r="E7822" s="11"/>
      <c r="F7822" s="11"/>
      <c r="G7822" s="13">
        <f t="shared" si="1"/>
        <v>1281</v>
      </c>
      <c r="H7822" s="13"/>
    </row>
    <row r="7823" ht="22.5" customHeight="1">
      <c r="B7823" s="17"/>
      <c r="C7823" s="17"/>
      <c r="D7823" s="13"/>
      <c r="E7823" s="11"/>
      <c r="F7823" s="11"/>
      <c r="G7823" s="13">
        <f t="shared" si="1"/>
        <v>1281</v>
      </c>
      <c r="H7823" s="13"/>
    </row>
    <row r="7824" ht="22.5" customHeight="1">
      <c r="B7824" s="17"/>
      <c r="C7824" s="17"/>
      <c r="D7824" s="13"/>
      <c r="E7824" s="11"/>
      <c r="F7824" s="11"/>
      <c r="G7824" s="13">
        <f t="shared" si="1"/>
        <v>1281</v>
      </c>
      <c r="H7824" s="13"/>
    </row>
    <row r="7825" ht="22.5" customHeight="1">
      <c r="B7825" s="17"/>
      <c r="C7825" s="17"/>
      <c r="D7825" s="13"/>
      <c r="E7825" s="11"/>
      <c r="F7825" s="11"/>
      <c r="G7825" s="13">
        <f t="shared" si="1"/>
        <v>1281</v>
      </c>
      <c r="H7825" s="13"/>
    </row>
    <row r="7826" ht="22.5" customHeight="1">
      <c r="B7826" s="17"/>
      <c r="C7826" s="17"/>
      <c r="D7826" s="13"/>
      <c r="E7826" s="11"/>
      <c r="F7826" s="11"/>
      <c r="G7826" s="13">
        <f t="shared" si="1"/>
        <v>1281</v>
      </c>
      <c r="H7826" s="13"/>
    </row>
    <row r="7827" ht="22.5" customHeight="1">
      <c r="B7827" s="17"/>
      <c r="C7827" s="17"/>
      <c r="D7827" s="13"/>
      <c r="E7827" s="11"/>
      <c r="F7827" s="11"/>
      <c r="G7827" s="13">
        <f t="shared" si="1"/>
        <v>1281</v>
      </c>
      <c r="H7827" s="13"/>
    </row>
    <row r="7828" ht="22.5" customHeight="1">
      <c r="B7828" s="17"/>
      <c r="C7828" s="17"/>
      <c r="D7828" s="13"/>
      <c r="E7828" s="11"/>
      <c r="F7828" s="11"/>
      <c r="G7828" s="13">
        <f t="shared" si="1"/>
        <v>1281</v>
      </c>
      <c r="H7828" s="13"/>
    </row>
    <row r="7829" ht="22.5" customHeight="1">
      <c r="B7829" s="17"/>
      <c r="C7829" s="17"/>
      <c r="D7829" s="13"/>
      <c r="E7829" s="11"/>
      <c r="F7829" s="11"/>
      <c r="G7829" s="13">
        <f t="shared" si="1"/>
        <v>1281</v>
      </c>
      <c r="H7829" s="13"/>
    </row>
    <row r="7830" ht="22.5" customHeight="1">
      <c r="B7830" s="17"/>
      <c r="C7830" s="17"/>
      <c r="D7830" s="13"/>
      <c r="E7830" s="11"/>
      <c r="F7830" s="11"/>
      <c r="G7830" s="13">
        <f t="shared" si="1"/>
        <v>1281</v>
      </c>
      <c r="H7830" s="13"/>
    </row>
    <row r="7831" ht="22.5" customHeight="1">
      <c r="B7831" s="17"/>
      <c r="C7831" s="17"/>
      <c r="D7831" s="13"/>
      <c r="E7831" s="11"/>
      <c r="F7831" s="11"/>
      <c r="G7831" s="13">
        <f t="shared" si="1"/>
        <v>1281</v>
      </c>
      <c r="H7831" s="13"/>
    </row>
    <row r="7832" ht="22.5" customHeight="1">
      <c r="B7832" s="17"/>
      <c r="C7832" s="17"/>
      <c r="D7832" s="13"/>
      <c r="E7832" s="11"/>
      <c r="F7832" s="11"/>
      <c r="G7832" s="13">
        <f t="shared" si="1"/>
        <v>1281</v>
      </c>
      <c r="H7832" s="13"/>
    </row>
    <row r="7833" ht="22.5" customHeight="1">
      <c r="B7833" s="17"/>
      <c r="C7833" s="17"/>
      <c r="D7833" s="13"/>
      <c r="E7833" s="11"/>
      <c r="F7833" s="11"/>
      <c r="G7833" s="13">
        <f t="shared" si="1"/>
        <v>1281</v>
      </c>
      <c r="H7833" s="13"/>
    </row>
    <row r="7834" ht="22.5" customHeight="1">
      <c r="B7834" s="17"/>
      <c r="C7834" s="17"/>
      <c r="D7834" s="13"/>
      <c r="E7834" s="11"/>
      <c r="F7834" s="11"/>
      <c r="G7834" s="13">
        <f t="shared" si="1"/>
        <v>1281</v>
      </c>
      <c r="H7834" s="13"/>
    </row>
    <row r="7835" ht="22.5" customHeight="1">
      <c r="B7835" s="17"/>
      <c r="C7835" s="17"/>
      <c r="D7835" s="13"/>
      <c r="E7835" s="11"/>
      <c r="F7835" s="11"/>
      <c r="G7835" s="13">
        <f t="shared" si="1"/>
        <v>1281</v>
      </c>
      <c r="H7835" s="13"/>
    </row>
    <row r="7836" ht="22.5" customHeight="1">
      <c r="B7836" s="17"/>
      <c r="C7836" s="17"/>
      <c r="D7836" s="13"/>
      <c r="E7836" s="11"/>
      <c r="F7836" s="11"/>
      <c r="G7836" s="13">
        <f t="shared" si="1"/>
        <v>1281</v>
      </c>
      <c r="H7836" s="13"/>
    </row>
    <row r="7837" ht="22.5" customHeight="1">
      <c r="B7837" s="17"/>
      <c r="C7837" s="17"/>
      <c r="D7837" s="13"/>
      <c r="E7837" s="11"/>
      <c r="F7837" s="11"/>
      <c r="G7837" s="13">
        <f t="shared" si="1"/>
        <v>1281</v>
      </c>
      <c r="H7837" s="13"/>
    </row>
    <row r="7838" ht="22.5" customHeight="1">
      <c r="B7838" s="17"/>
      <c r="C7838" s="17"/>
      <c r="D7838" s="13"/>
      <c r="E7838" s="11"/>
      <c r="F7838" s="11"/>
      <c r="G7838" s="13">
        <f t="shared" si="1"/>
        <v>1281</v>
      </c>
      <c r="H7838" s="13"/>
    </row>
    <row r="7839" ht="22.5" customHeight="1">
      <c r="B7839" s="17"/>
      <c r="C7839" s="17"/>
      <c r="D7839" s="13"/>
      <c r="E7839" s="11"/>
      <c r="F7839" s="11"/>
      <c r="G7839" s="13">
        <f t="shared" si="1"/>
        <v>1281</v>
      </c>
      <c r="H7839" s="13"/>
    </row>
    <row r="7840" ht="22.5" customHeight="1">
      <c r="B7840" s="17"/>
      <c r="C7840" s="17"/>
      <c r="D7840" s="13"/>
      <c r="E7840" s="11"/>
      <c r="F7840" s="11"/>
      <c r="G7840" s="13">
        <f t="shared" si="1"/>
        <v>1281</v>
      </c>
      <c r="H7840" s="13"/>
    </row>
    <row r="7841" ht="22.5" customHeight="1">
      <c r="B7841" s="17"/>
      <c r="C7841" s="17"/>
      <c r="D7841" s="13"/>
      <c r="E7841" s="11"/>
      <c r="F7841" s="11"/>
      <c r="G7841" s="13">
        <f t="shared" si="1"/>
        <v>1281</v>
      </c>
      <c r="H7841" s="13"/>
    </row>
    <row r="7842" ht="22.5" customHeight="1">
      <c r="B7842" s="17"/>
      <c r="C7842" s="17"/>
      <c r="D7842" s="13"/>
      <c r="E7842" s="11"/>
      <c r="F7842" s="11"/>
      <c r="G7842" s="13">
        <f t="shared" si="1"/>
        <v>1281</v>
      </c>
      <c r="H7842" s="13"/>
    </row>
    <row r="7843" ht="22.5" customHeight="1">
      <c r="B7843" s="17"/>
      <c r="C7843" s="17"/>
      <c r="D7843" s="13"/>
      <c r="E7843" s="11"/>
      <c r="F7843" s="11"/>
      <c r="G7843" s="13">
        <f t="shared" si="1"/>
        <v>1281</v>
      </c>
      <c r="H7843" s="13"/>
    </row>
    <row r="7844" ht="22.5" customHeight="1">
      <c r="B7844" s="17"/>
      <c r="C7844" s="17"/>
      <c r="D7844" s="13"/>
      <c r="E7844" s="11"/>
      <c r="F7844" s="11"/>
      <c r="G7844" s="13">
        <f t="shared" si="1"/>
        <v>1281</v>
      </c>
      <c r="H7844" s="13"/>
    </row>
    <row r="7845" ht="22.5" customHeight="1">
      <c r="B7845" s="17"/>
      <c r="C7845" s="17"/>
      <c r="D7845" s="13"/>
      <c r="E7845" s="11"/>
      <c r="F7845" s="11"/>
      <c r="G7845" s="13">
        <f t="shared" si="1"/>
        <v>1281</v>
      </c>
      <c r="H7845" s="13"/>
    </row>
    <row r="7846" ht="22.5" customHeight="1">
      <c r="B7846" s="17"/>
      <c r="C7846" s="17"/>
      <c r="D7846" s="13"/>
      <c r="E7846" s="11"/>
      <c r="F7846" s="11"/>
      <c r="G7846" s="13">
        <f t="shared" si="1"/>
        <v>1281</v>
      </c>
      <c r="H7846" s="13"/>
    </row>
    <row r="7847" ht="22.5" customHeight="1">
      <c r="B7847" s="17"/>
      <c r="C7847" s="17"/>
      <c r="D7847" s="13"/>
      <c r="E7847" s="11"/>
      <c r="F7847" s="11"/>
      <c r="G7847" s="13">
        <f t="shared" si="1"/>
        <v>1281</v>
      </c>
      <c r="H7847" s="13"/>
    </row>
    <row r="7848" ht="22.5" customHeight="1">
      <c r="B7848" s="17"/>
      <c r="C7848" s="17"/>
      <c r="D7848" s="13"/>
      <c r="E7848" s="11"/>
      <c r="F7848" s="11"/>
      <c r="G7848" s="13">
        <f t="shared" si="1"/>
        <v>1281</v>
      </c>
      <c r="H7848" s="13"/>
    </row>
    <row r="7849" ht="22.5" customHeight="1">
      <c r="B7849" s="17"/>
      <c r="C7849" s="17"/>
      <c r="D7849" s="13"/>
      <c r="E7849" s="11"/>
      <c r="F7849" s="11"/>
      <c r="G7849" s="13">
        <f t="shared" si="1"/>
        <v>1281</v>
      </c>
      <c r="H7849" s="13"/>
    </row>
    <row r="7850" ht="22.5" customHeight="1">
      <c r="B7850" s="17"/>
      <c r="C7850" s="17"/>
      <c r="D7850" s="13"/>
      <c r="E7850" s="11"/>
      <c r="F7850" s="11"/>
      <c r="G7850" s="13">
        <f t="shared" si="1"/>
        <v>1281</v>
      </c>
      <c r="H7850" s="13"/>
    </row>
    <row r="7851" ht="22.5" customHeight="1">
      <c r="B7851" s="17"/>
      <c r="C7851" s="17"/>
      <c r="D7851" s="13"/>
      <c r="E7851" s="11"/>
      <c r="F7851" s="11"/>
      <c r="G7851" s="13">
        <f t="shared" si="1"/>
        <v>1281</v>
      </c>
      <c r="H7851" s="13"/>
    </row>
    <row r="7852" ht="22.5" customHeight="1">
      <c r="B7852" s="17"/>
      <c r="C7852" s="17"/>
      <c r="D7852" s="13"/>
      <c r="E7852" s="11"/>
      <c r="F7852" s="11"/>
      <c r="G7852" s="13">
        <f t="shared" si="1"/>
        <v>1281</v>
      </c>
      <c r="H7852" s="13"/>
    </row>
    <row r="7853" ht="22.5" customHeight="1">
      <c r="B7853" s="17"/>
      <c r="C7853" s="17"/>
      <c r="D7853" s="13"/>
      <c r="E7853" s="11"/>
      <c r="F7853" s="11"/>
      <c r="G7853" s="13">
        <f t="shared" si="1"/>
        <v>1281</v>
      </c>
      <c r="H7853" s="13"/>
    </row>
    <row r="7854" ht="22.5" customHeight="1">
      <c r="B7854" s="17"/>
      <c r="C7854" s="17"/>
      <c r="D7854" s="13"/>
      <c r="E7854" s="11"/>
      <c r="F7854" s="11"/>
      <c r="G7854" s="13">
        <f t="shared" si="1"/>
        <v>1281</v>
      </c>
      <c r="H7854" s="13"/>
    </row>
    <row r="7855" ht="22.5" customHeight="1">
      <c r="B7855" s="17"/>
      <c r="C7855" s="17"/>
      <c r="D7855" s="13"/>
      <c r="E7855" s="11"/>
      <c r="F7855" s="11"/>
      <c r="G7855" s="13">
        <f t="shared" si="1"/>
        <v>1281</v>
      </c>
      <c r="H7855" s="13"/>
    </row>
    <row r="7856" ht="22.5" customHeight="1">
      <c r="B7856" s="17"/>
      <c r="C7856" s="17"/>
      <c r="D7856" s="13"/>
      <c r="E7856" s="11"/>
      <c r="F7856" s="11"/>
      <c r="G7856" s="13">
        <f t="shared" si="1"/>
        <v>1281</v>
      </c>
      <c r="H7856" s="13"/>
    </row>
    <row r="7857" ht="22.5" customHeight="1">
      <c r="B7857" s="17"/>
      <c r="C7857" s="17"/>
      <c r="D7857" s="13"/>
      <c r="E7857" s="11"/>
      <c r="F7857" s="11"/>
      <c r="G7857" s="13">
        <f t="shared" si="1"/>
        <v>1281</v>
      </c>
      <c r="H7857" s="13"/>
    </row>
    <row r="7858" ht="22.5" customHeight="1">
      <c r="B7858" s="17"/>
      <c r="C7858" s="17"/>
      <c r="D7858" s="13"/>
      <c r="E7858" s="11"/>
      <c r="F7858" s="11"/>
      <c r="G7858" s="13">
        <f t="shared" si="1"/>
        <v>1281</v>
      </c>
      <c r="H7858" s="13"/>
    </row>
    <row r="7859" ht="22.5" customHeight="1">
      <c r="B7859" s="17"/>
      <c r="C7859" s="17"/>
      <c r="D7859" s="13"/>
      <c r="E7859" s="11"/>
      <c r="F7859" s="11"/>
      <c r="G7859" s="13">
        <f t="shared" si="1"/>
        <v>1281</v>
      </c>
      <c r="H7859" s="13"/>
    </row>
    <row r="7860" ht="22.5" customHeight="1">
      <c r="B7860" s="17"/>
      <c r="C7860" s="17"/>
      <c r="D7860" s="13"/>
      <c r="E7860" s="11"/>
      <c r="F7860" s="11"/>
      <c r="G7860" s="13">
        <f t="shared" si="1"/>
        <v>1281</v>
      </c>
      <c r="H7860" s="13"/>
    </row>
    <row r="7861" ht="22.5" customHeight="1">
      <c r="B7861" s="17"/>
      <c r="C7861" s="17"/>
      <c r="D7861" s="13"/>
      <c r="E7861" s="11"/>
      <c r="F7861" s="11"/>
      <c r="G7861" s="13">
        <f t="shared" si="1"/>
        <v>1281</v>
      </c>
      <c r="H7861" s="13"/>
    </row>
    <row r="7862" ht="22.5" customHeight="1">
      <c r="B7862" s="17"/>
      <c r="C7862" s="17"/>
      <c r="D7862" s="13"/>
      <c r="E7862" s="11"/>
      <c r="F7862" s="11"/>
      <c r="G7862" s="13">
        <f t="shared" si="1"/>
        <v>1281</v>
      </c>
      <c r="H7862" s="13"/>
    </row>
    <row r="7863" ht="22.5" customHeight="1">
      <c r="B7863" s="17"/>
      <c r="C7863" s="17"/>
      <c r="D7863" s="13"/>
      <c r="E7863" s="11"/>
      <c r="F7863" s="11"/>
      <c r="G7863" s="13">
        <f t="shared" si="1"/>
        <v>1281</v>
      </c>
      <c r="H7863" s="13"/>
    </row>
    <row r="7864" ht="22.5" customHeight="1">
      <c r="B7864" s="17"/>
      <c r="C7864" s="17"/>
      <c r="D7864" s="13"/>
      <c r="E7864" s="11"/>
      <c r="F7864" s="11"/>
      <c r="G7864" s="13">
        <f t="shared" si="1"/>
        <v>1281</v>
      </c>
      <c r="H7864" s="13"/>
    </row>
    <row r="7865" ht="22.5" customHeight="1">
      <c r="B7865" s="17"/>
      <c r="C7865" s="17"/>
      <c r="D7865" s="13"/>
      <c r="E7865" s="11"/>
      <c r="F7865" s="11"/>
      <c r="G7865" s="13">
        <f t="shared" si="1"/>
        <v>1281</v>
      </c>
      <c r="H7865" s="13"/>
    </row>
    <row r="7866" ht="22.5" customHeight="1">
      <c r="B7866" s="17"/>
      <c r="C7866" s="17"/>
      <c r="D7866" s="13"/>
      <c r="E7866" s="11"/>
      <c r="F7866" s="11"/>
      <c r="G7866" s="13">
        <f t="shared" si="1"/>
        <v>1281</v>
      </c>
      <c r="H7866" s="13"/>
    </row>
    <row r="7867" ht="22.5" customHeight="1">
      <c r="B7867" s="17"/>
      <c r="C7867" s="17"/>
      <c r="D7867" s="13"/>
      <c r="E7867" s="11"/>
      <c r="F7867" s="11"/>
      <c r="G7867" s="13">
        <f t="shared" si="1"/>
        <v>1281</v>
      </c>
      <c r="H7867" s="13"/>
    </row>
    <row r="7868" ht="22.5" customHeight="1">
      <c r="B7868" s="17"/>
      <c r="C7868" s="17"/>
      <c r="D7868" s="13"/>
      <c r="E7868" s="11"/>
      <c r="F7868" s="11"/>
      <c r="G7868" s="13">
        <f t="shared" si="1"/>
        <v>1281</v>
      </c>
      <c r="H7868" s="13"/>
    </row>
    <row r="7869" ht="22.5" customHeight="1">
      <c r="B7869" s="17"/>
      <c r="C7869" s="17"/>
      <c r="D7869" s="13"/>
      <c r="E7869" s="11"/>
      <c r="F7869" s="11"/>
      <c r="G7869" s="13">
        <f t="shared" si="1"/>
        <v>1281</v>
      </c>
      <c r="H7869" s="13"/>
    </row>
    <row r="7870" ht="22.5" customHeight="1">
      <c r="B7870" s="17"/>
      <c r="C7870" s="17"/>
      <c r="D7870" s="13"/>
      <c r="E7870" s="11"/>
      <c r="F7870" s="11"/>
      <c r="G7870" s="13">
        <f t="shared" si="1"/>
        <v>1281</v>
      </c>
      <c r="H7870" s="13"/>
    </row>
    <row r="7871" ht="22.5" customHeight="1">
      <c r="B7871" s="17"/>
      <c r="C7871" s="17"/>
      <c r="D7871" s="13"/>
      <c r="E7871" s="11"/>
      <c r="F7871" s="11"/>
      <c r="G7871" s="13">
        <f t="shared" si="1"/>
        <v>1281</v>
      </c>
      <c r="H7871" s="13"/>
    </row>
    <row r="7872" ht="22.5" customHeight="1">
      <c r="B7872" s="17"/>
      <c r="C7872" s="17"/>
      <c r="D7872" s="13"/>
      <c r="E7872" s="11"/>
      <c r="F7872" s="11"/>
      <c r="G7872" s="13">
        <f t="shared" si="1"/>
        <v>1281</v>
      </c>
      <c r="H7872" s="13"/>
    </row>
    <row r="7873" ht="22.5" customHeight="1">
      <c r="B7873" s="17"/>
      <c r="C7873" s="17"/>
      <c r="D7873" s="13"/>
      <c r="E7873" s="11"/>
      <c r="F7873" s="11"/>
      <c r="G7873" s="13">
        <f t="shared" si="1"/>
        <v>1281</v>
      </c>
      <c r="H7873" s="13"/>
    </row>
    <row r="7874" ht="22.5" customHeight="1">
      <c r="B7874" s="17"/>
      <c r="C7874" s="17"/>
      <c r="D7874" s="13"/>
      <c r="E7874" s="11"/>
      <c r="F7874" s="11"/>
      <c r="G7874" s="13">
        <f t="shared" si="1"/>
        <v>1281</v>
      </c>
      <c r="H7874" s="13"/>
    </row>
    <row r="7875" ht="22.5" customHeight="1">
      <c r="B7875" s="17"/>
      <c r="C7875" s="17"/>
      <c r="D7875" s="13"/>
      <c r="E7875" s="11"/>
      <c r="F7875" s="11"/>
      <c r="G7875" s="13">
        <f t="shared" si="1"/>
        <v>1281</v>
      </c>
      <c r="H7875" s="13"/>
    </row>
    <row r="7876" ht="22.5" customHeight="1">
      <c r="B7876" s="17"/>
      <c r="C7876" s="17"/>
      <c r="D7876" s="13"/>
      <c r="E7876" s="11"/>
      <c r="F7876" s="11"/>
      <c r="G7876" s="13">
        <f t="shared" si="1"/>
        <v>1281</v>
      </c>
      <c r="H7876" s="13"/>
    </row>
    <row r="7877" ht="22.5" customHeight="1">
      <c r="B7877" s="17"/>
      <c r="C7877" s="17"/>
      <c r="D7877" s="13"/>
      <c r="E7877" s="11"/>
      <c r="F7877" s="11"/>
      <c r="G7877" s="13">
        <f t="shared" si="1"/>
        <v>1281</v>
      </c>
      <c r="H7877" s="13"/>
    </row>
    <row r="7878" ht="22.5" customHeight="1">
      <c r="B7878" s="17"/>
      <c r="C7878" s="17"/>
      <c r="D7878" s="13"/>
      <c r="E7878" s="11"/>
      <c r="F7878" s="11"/>
      <c r="G7878" s="13">
        <f t="shared" si="1"/>
        <v>1281</v>
      </c>
      <c r="H7878" s="13"/>
    </row>
    <row r="7879" ht="22.5" customHeight="1">
      <c r="B7879" s="17"/>
      <c r="C7879" s="17"/>
      <c r="D7879" s="13"/>
      <c r="E7879" s="11"/>
      <c r="F7879" s="11"/>
      <c r="G7879" s="13">
        <f t="shared" si="1"/>
        <v>1281</v>
      </c>
      <c r="H7879" s="13"/>
    </row>
    <row r="7880" ht="22.5" customHeight="1">
      <c r="B7880" s="17"/>
      <c r="C7880" s="17"/>
      <c r="D7880" s="13"/>
      <c r="E7880" s="11"/>
      <c r="F7880" s="11"/>
      <c r="G7880" s="13">
        <f t="shared" si="1"/>
        <v>1281</v>
      </c>
      <c r="H7880" s="13"/>
    </row>
    <row r="7881" ht="22.5" customHeight="1">
      <c r="B7881" s="17"/>
      <c r="C7881" s="17"/>
      <c r="D7881" s="13"/>
      <c r="E7881" s="11"/>
      <c r="F7881" s="11"/>
      <c r="G7881" s="13">
        <f t="shared" si="1"/>
        <v>1281</v>
      </c>
      <c r="H7881" s="13"/>
    </row>
    <row r="7882" ht="22.5" customHeight="1">
      <c r="B7882" s="17"/>
      <c r="C7882" s="17"/>
      <c r="D7882" s="13"/>
      <c r="E7882" s="11"/>
      <c r="F7882" s="11"/>
      <c r="G7882" s="13">
        <f t="shared" si="1"/>
        <v>1281</v>
      </c>
      <c r="H7882" s="13"/>
    </row>
    <row r="7883" ht="22.5" customHeight="1">
      <c r="B7883" s="17"/>
      <c r="C7883" s="17"/>
      <c r="D7883" s="13"/>
      <c r="E7883" s="11"/>
      <c r="F7883" s="11"/>
      <c r="G7883" s="13">
        <f t="shared" si="1"/>
        <v>1281</v>
      </c>
      <c r="H7883" s="13"/>
    </row>
    <row r="7884" ht="22.5" customHeight="1">
      <c r="B7884" s="17"/>
      <c r="C7884" s="17"/>
      <c r="D7884" s="13"/>
      <c r="E7884" s="11"/>
      <c r="F7884" s="11"/>
      <c r="G7884" s="13">
        <f t="shared" si="1"/>
        <v>1281</v>
      </c>
      <c r="H7884" s="13"/>
    </row>
    <row r="7885" ht="22.5" customHeight="1">
      <c r="B7885" s="17"/>
      <c r="C7885" s="17"/>
      <c r="D7885" s="13"/>
      <c r="E7885" s="11"/>
      <c r="F7885" s="11"/>
      <c r="G7885" s="13">
        <f t="shared" si="1"/>
        <v>1281</v>
      </c>
      <c r="H7885" s="13"/>
    </row>
    <row r="7886" ht="22.5" customHeight="1">
      <c r="B7886" s="17"/>
      <c r="C7886" s="17"/>
      <c r="D7886" s="13"/>
      <c r="E7886" s="11"/>
      <c r="F7886" s="11"/>
      <c r="G7886" s="13">
        <f t="shared" si="1"/>
        <v>1281</v>
      </c>
      <c r="H7886" s="13"/>
    </row>
    <row r="7887" ht="22.5" customHeight="1">
      <c r="B7887" s="17"/>
      <c r="C7887" s="17"/>
      <c r="D7887" s="13"/>
      <c r="E7887" s="11"/>
      <c r="F7887" s="11"/>
      <c r="G7887" s="13">
        <f t="shared" si="1"/>
        <v>1281</v>
      </c>
      <c r="H7887" s="13"/>
    </row>
    <row r="7888" ht="22.5" customHeight="1">
      <c r="B7888" s="17"/>
      <c r="C7888" s="17"/>
      <c r="D7888" s="13"/>
      <c r="E7888" s="11"/>
      <c r="F7888" s="11"/>
      <c r="G7888" s="13">
        <f t="shared" si="1"/>
        <v>1281</v>
      </c>
      <c r="H7888" s="13"/>
    </row>
    <row r="7889" ht="22.5" customHeight="1">
      <c r="B7889" s="17"/>
      <c r="C7889" s="17"/>
      <c r="D7889" s="13"/>
      <c r="E7889" s="11"/>
      <c r="F7889" s="11"/>
      <c r="G7889" s="13">
        <f t="shared" si="1"/>
        <v>1281</v>
      </c>
      <c r="H7889" s="13"/>
    </row>
    <row r="7890" ht="22.5" customHeight="1">
      <c r="B7890" s="17"/>
      <c r="C7890" s="17"/>
      <c r="D7890" s="13"/>
      <c r="E7890" s="11"/>
      <c r="F7890" s="11"/>
      <c r="G7890" s="13">
        <f t="shared" si="1"/>
        <v>1281</v>
      </c>
      <c r="H7890" s="13"/>
    </row>
    <row r="7891" ht="22.5" customHeight="1">
      <c r="B7891" s="17"/>
      <c r="C7891" s="17"/>
      <c r="D7891" s="13"/>
      <c r="E7891" s="11"/>
      <c r="F7891" s="11"/>
      <c r="G7891" s="13">
        <f t="shared" si="1"/>
        <v>1281</v>
      </c>
      <c r="H7891" s="13"/>
    </row>
    <row r="7892" ht="22.5" customHeight="1">
      <c r="B7892" s="17"/>
      <c r="C7892" s="17"/>
      <c r="D7892" s="13"/>
      <c r="E7892" s="11"/>
      <c r="F7892" s="11"/>
      <c r="G7892" s="13">
        <f t="shared" si="1"/>
        <v>1281</v>
      </c>
      <c r="H7892" s="13"/>
    </row>
    <row r="7893" ht="22.5" customHeight="1">
      <c r="B7893" s="17"/>
      <c r="C7893" s="17"/>
      <c r="D7893" s="13"/>
      <c r="E7893" s="11"/>
      <c r="F7893" s="11"/>
      <c r="G7893" s="13">
        <f t="shared" si="1"/>
        <v>1281</v>
      </c>
      <c r="H7893" s="13"/>
    </row>
    <row r="7894" ht="22.5" customHeight="1">
      <c r="B7894" s="17"/>
      <c r="C7894" s="17"/>
      <c r="D7894" s="13"/>
      <c r="E7894" s="11"/>
      <c r="F7894" s="11"/>
      <c r="G7894" s="13">
        <f t="shared" si="1"/>
        <v>1281</v>
      </c>
      <c r="H7894" s="13"/>
    </row>
    <row r="7895" ht="22.5" customHeight="1">
      <c r="B7895" s="17"/>
      <c r="C7895" s="17"/>
      <c r="D7895" s="13"/>
      <c r="E7895" s="11"/>
      <c r="F7895" s="11"/>
      <c r="G7895" s="13">
        <f t="shared" si="1"/>
        <v>1281</v>
      </c>
      <c r="H7895" s="13"/>
    </row>
    <row r="7896" ht="22.5" customHeight="1">
      <c r="B7896" s="17"/>
      <c r="C7896" s="17"/>
      <c r="D7896" s="13"/>
      <c r="E7896" s="11"/>
      <c r="F7896" s="11"/>
      <c r="G7896" s="13">
        <f t="shared" si="1"/>
        <v>1281</v>
      </c>
      <c r="H7896" s="13"/>
    </row>
    <row r="7897" ht="22.5" customHeight="1">
      <c r="B7897" s="17"/>
      <c r="C7897" s="17"/>
      <c r="D7897" s="13"/>
      <c r="E7897" s="11"/>
      <c r="F7897" s="11"/>
      <c r="G7897" s="13">
        <f t="shared" si="1"/>
        <v>1281</v>
      </c>
      <c r="H7897" s="13"/>
    </row>
    <row r="7898" ht="22.5" customHeight="1">
      <c r="B7898" s="17"/>
      <c r="C7898" s="17"/>
      <c r="D7898" s="13"/>
      <c r="E7898" s="11"/>
      <c r="F7898" s="11"/>
      <c r="G7898" s="13">
        <f t="shared" si="1"/>
        <v>1281</v>
      </c>
      <c r="H7898" s="13"/>
    </row>
    <row r="7899" ht="22.5" customHeight="1">
      <c r="B7899" s="17"/>
      <c r="C7899" s="17"/>
      <c r="D7899" s="13"/>
      <c r="E7899" s="11"/>
      <c r="F7899" s="11"/>
      <c r="G7899" s="13">
        <f t="shared" si="1"/>
        <v>1281</v>
      </c>
      <c r="H7899" s="13"/>
    </row>
    <row r="7900" ht="22.5" customHeight="1">
      <c r="B7900" s="17"/>
      <c r="C7900" s="17"/>
      <c r="D7900" s="13"/>
      <c r="E7900" s="11"/>
      <c r="F7900" s="11"/>
      <c r="G7900" s="13">
        <f t="shared" si="1"/>
        <v>1281</v>
      </c>
      <c r="H7900" s="13"/>
    </row>
    <row r="7901" ht="22.5" customHeight="1">
      <c r="B7901" s="17"/>
      <c r="C7901" s="17"/>
      <c r="D7901" s="13"/>
      <c r="E7901" s="11"/>
      <c r="F7901" s="11"/>
      <c r="G7901" s="13">
        <f t="shared" si="1"/>
        <v>1281</v>
      </c>
      <c r="H7901" s="13"/>
    </row>
    <row r="7902" ht="22.5" customHeight="1">
      <c r="B7902" s="17"/>
      <c r="C7902" s="17"/>
      <c r="D7902" s="13"/>
      <c r="E7902" s="11"/>
      <c r="F7902" s="11"/>
      <c r="G7902" s="13">
        <f t="shared" si="1"/>
        <v>1281</v>
      </c>
      <c r="H7902" s="13"/>
    </row>
    <row r="7903" ht="22.5" customHeight="1">
      <c r="B7903" s="17"/>
      <c r="C7903" s="17"/>
      <c r="D7903" s="13"/>
      <c r="E7903" s="11"/>
      <c r="F7903" s="11"/>
      <c r="G7903" s="13">
        <f t="shared" si="1"/>
        <v>1281</v>
      </c>
      <c r="H7903" s="13"/>
    </row>
    <row r="7904" ht="22.5" customHeight="1">
      <c r="B7904" s="17"/>
      <c r="C7904" s="17"/>
      <c r="D7904" s="13"/>
      <c r="E7904" s="11"/>
      <c r="F7904" s="11"/>
      <c r="G7904" s="13">
        <f t="shared" si="1"/>
        <v>1281</v>
      </c>
      <c r="H7904" s="13"/>
    </row>
    <row r="7905" ht="22.5" customHeight="1">
      <c r="B7905" s="17"/>
      <c r="C7905" s="17"/>
      <c r="D7905" s="13"/>
      <c r="E7905" s="11"/>
      <c r="F7905" s="11"/>
      <c r="G7905" s="13">
        <f t="shared" si="1"/>
        <v>1281</v>
      </c>
      <c r="H7905" s="13"/>
    </row>
    <row r="7906" ht="22.5" customHeight="1">
      <c r="B7906" s="17"/>
      <c r="C7906" s="17"/>
      <c r="D7906" s="13"/>
      <c r="E7906" s="11"/>
      <c r="F7906" s="11"/>
      <c r="G7906" s="13">
        <f t="shared" si="1"/>
        <v>1281</v>
      </c>
      <c r="H7906" s="13"/>
    </row>
    <row r="7907" ht="22.5" customHeight="1">
      <c r="B7907" s="17"/>
      <c r="C7907" s="17"/>
      <c r="D7907" s="13"/>
      <c r="E7907" s="11"/>
      <c r="F7907" s="11"/>
      <c r="G7907" s="13">
        <f t="shared" si="1"/>
        <v>1281</v>
      </c>
      <c r="H7907" s="13"/>
    </row>
    <row r="7908" ht="22.5" customHeight="1">
      <c r="B7908" s="17"/>
      <c r="C7908" s="17"/>
      <c r="D7908" s="13"/>
      <c r="E7908" s="11"/>
      <c r="F7908" s="11"/>
      <c r="G7908" s="13">
        <f t="shared" si="1"/>
        <v>1281</v>
      </c>
      <c r="H7908" s="13"/>
    </row>
    <row r="7909" ht="22.5" customHeight="1">
      <c r="B7909" s="17"/>
      <c r="C7909" s="17"/>
      <c r="D7909" s="13"/>
      <c r="E7909" s="11"/>
      <c r="F7909" s="11"/>
      <c r="G7909" s="13">
        <f t="shared" si="1"/>
        <v>1281</v>
      </c>
      <c r="H7909" s="13"/>
    </row>
    <row r="7910" ht="22.5" customHeight="1">
      <c r="B7910" s="17"/>
      <c r="C7910" s="17"/>
      <c r="D7910" s="13"/>
      <c r="E7910" s="11"/>
      <c r="F7910" s="11"/>
      <c r="G7910" s="13">
        <f t="shared" si="1"/>
        <v>1281</v>
      </c>
      <c r="H7910" s="13"/>
    </row>
    <row r="7911" ht="22.5" customHeight="1">
      <c r="B7911" s="17"/>
      <c r="C7911" s="17"/>
      <c r="D7911" s="13"/>
      <c r="E7911" s="11"/>
      <c r="F7911" s="11"/>
      <c r="G7911" s="13">
        <f t="shared" si="1"/>
        <v>1281</v>
      </c>
      <c r="H7911" s="13"/>
    </row>
    <row r="7912" ht="22.5" customHeight="1">
      <c r="B7912" s="17"/>
      <c r="C7912" s="17"/>
      <c r="D7912" s="13"/>
      <c r="E7912" s="11"/>
      <c r="F7912" s="11"/>
      <c r="G7912" s="13">
        <f t="shared" si="1"/>
        <v>1281</v>
      </c>
      <c r="H7912" s="13"/>
    </row>
    <row r="7913" ht="22.5" customHeight="1">
      <c r="B7913" s="17"/>
      <c r="C7913" s="17"/>
      <c r="D7913" s="13"/>
      <c r="E7913" s="11"/>
      <c r="F7913" s="11"/>
      <c r="G7913" s="13">
        <f t="shared" si="1"/>
        <v>1281</v>
      </c>
      <c r="H7913" s="13"/>
    </row>
    <row r="7914" ht="22.5" customHeight="1">
      <c r="B7914" s="17"/>
      <c r="C7914" s="17"/>
      <c r="D7914" s="13"/>
      <c r="E7914" s="11"/>
      <c r="F7914" s="11"/>
      <c r="G7914" s="13">
        <f t="shared" si="1"/>
        <v>1281</v>
      </c>
      <c r="H7914" s="13"/>
    </row>
    <row r="7915" ht="22.5" customHeight="1">
      <c r="B7915" s="17"/>
      <c r="C7915" s="17"/>
      <c r="D7915" s="13"/>
      <c r="E7915" s="11"/>
      <c r="F7915" s="11"/>
      <c r="G7915" s="13">
        <f t="shared" si="1"/>
        <v>1281</v>
      </c>
      <c r="H7915" s="13"/>
    </row>
    <row r="7916" ht="22.5" customHeight="1">
      <c r="B7916" s="17"/>
      <c r="C7916" s="17"/>
      <c r="D7916" s="13"/>
      <c r="E7916" s="11"/>
      <c r="F7916" s="11"/>
      <c r="G7916" s="13">
        <f t="shared" si="1"/>
        <v>1281</v>
      </c>
      <c r="H7916" s="13"/>
    </row>
    <row r="7917" ht="22.5" customHeight="1">
      <c r="B7917" s="17"/>
      <c r="C7917" s="17"/>
      <c r="D7917" s="13"/>
      <c r="E7917" s="11"/>
      <c r="F7917" s="11"/>
      <c r="G7917" s="13">
        <f t="shared" si="1"/>
        <v>1281</v>
      </c>
      <c r="H7917" s="13"/>
    </row>
    <row r="7918" ht="22.5" customHeight="1">
      <c r="B7918" s="17"/>
      <c r="C7918" s="17"/>
      <c r="D7918" s="13"/>
      <c r="E7918" s="11"/>
      <c r="F7918" s="11"/>
      <c r="G7918" s="13">
        <f t="shared" si="1"/>
        <v>1281</v>
      </c>
      <c r="H7918" s="13"/>
    </row>
    <row r="7919" ht="22.5" customHeight="1">
      <c r="B7919" s="17"/>
      <c r="C7919" s="17"/>
      <c r="D7919" s="13"/>
      <c r="E7919" s="11"/>
      <c r="F7919" s="11"/>
      <c r="G7919" s="13">
        <f t="shared" si="1"/>
        <v>1281</v>
      </c>
      <c r="H7919" s="13"/>
    </row>
    <row r="7920" ht="22.5" customHeight="1">
      <c r="B7920" s="17"/>
      <c r="C7920" s="17"/>
      <c r="D7920" s="13"/>
      <c r="E7920" s="11"/>
      <c r="F7920" s="11"/>
      <c r="G7920" s="13">
        <f t="shared" si="1"/>
        <v>1281</v>
      </c>
      <c r="H7920" s="13"/>
    </row>
    <row r="7921" ht="22.5" customHeight="1">
      <c r="B7921" s="17"/>
      <c r="C7921" s="17"/>
      <c r="D7921" s="13"/>
      <c r="E7921" s="11"/>
      <c r="F7921" s="11"/>
      <c r="G7921" s="13">
        <f t="shared" si="1"/>
        <v>1281</v>
      </c>
      <c r="H7921" s="13"/>
    </row>
    <row r="7922" ht="22.5" customHeight="1">
      <c r="B7922" s="17"/>
      <c r="C7922" s="17"/>
      <c r="D7922" s="13"/>
      <c r="E7922" s="11"/>
      <c r="F7922" s="11"/>
      <c r="G7922" s="13">
        <f t="shared" si="1"/>
        <v>1281</v>
      </c>
      <c r="H7922" s="13"/>
    </row>
    <row r="7923" ht="22.5" customHeight="1">
      <c r="B7923" s="17"/>
      <c r="C7923" s="17"/>
      <c r="D7923" s="13"/>
      <c r="E7923" s="11"/>
      <c r="F7923" s="11"/>
      <c r="G7923" s="13">
        <f t="shared" si="1"/>
        <v>1281</v>
      </c>
      <c r="H7923" s="13"/>
    </row>
    <row r="7924" ht="22.5" customHeight="1">
      <c r="B7924" s="17"/>
      <c r="C7924" s="17"/>
      <c r="D7924" s="13"/>
      <c r="E7924" s="11"/>
      <c r="F7924" s="11"/>
      <c r="G7924" s="13">
        <f t="shared" si="1"/>
        <v>1281</v>
      </c>
      <c r="H7924" s="13"/>
    </row>
    <row r="7925" ht="22.5" customHeight="1">
      <c r="B7925" s="17"/>
      <c r="C7925" s="17"/>
      <c r="D7925" s="13"/>
      <c r="E7925" s="11"/>
      <c r="F7925" s="11"/>
      <c r="G7925" s="13">
        <f t="shared" si="1"/>
        <v>1281</v>
      </c>
      <c r="H7925" s="13"/>
    </row>
    <row r="7926" ht="22.5" customHeight="1">
      <c r="B7926" s="17"/>
      <c r="C7926" s="17"/>
      <c r="D7926" s="13"/>
      <c r="E7926" s="11"/>
      <c r="F7926" s="11"/>
      <c r="G7926" s="13">
        <f t="shared" si="1"/>
        <v>1281</v>
      </c>
      <c r="H7926" s="13"/>
    </row>
    <row r="7927" ht="22.5" customHeight="1">
      <c r="B7927" s="17"/>
      <c r="C7927" s="17"/>
      <c r="D7927" s="13"/>
      <c r="E7927" s="11"/>
      <c r="F7927" s="11"/>
      <c r="G7927" s="13">
        <f t="shared" si="1"/>
        <v>1281</v>
      </c>
      <c r="H7927" s="13"/>
    </row>
    <row r="7928" ht="22.5" customHeight="1">
      <c r="B7928" s="17"/>
      <c r="C7928" s="17"/>
      <c r="D7928" s="13"/>
      <c r="E7928" s="11"/>
      <c r="F7928" s="11"/>
      <c r="G7928" s="13">
        <f t="shared" si="1"/>
        <v>1281</v>
      </c>
      <c r="H7928" s="13"/>
    </row>
    <row r="7929" ht="22.5" customHeight="1">
      <c r="B7929" s="17"/>
      <c r="C7929" s="17"/>
      <c r="D7929" s="13"/>
      <c r="E7929" s="11"/>
      <c r="F7929" s="11"/>
      <c r="G7929" s="13">
        <f t="shared" si="1"/>
        <v>1281</v>
      </c>
      <c r="H7929" s="13"/>
    </row>
    <row r="7930" ht="22.5" customHeight="1">
      <c r="B7930" s="17"/>
      <c r="C7930" s="17"/>
      <c r="D7930" s="13"/>
      <c r="E7930" s="11"/>
      <c r="F7930" s="11"/>
      <c r="G7930" s="13">
        <f t="shared" si="1"/>
        <v>1281</v>
      </c>
      <c r="H7930" s="13"/>
    </row>
    <row r="7931" ht="22.5" customHeight="1">
      <c r="B7931" s="17"/>
      <c r="C7931" s="17"/>
      <c r="D7931" s="13"/>
      <c r="E7931" s="11"/>
      <c r="F7931" s="11"/>
      <c r="G7931" s="13">
        <f t="shared" si="1"/>
        <v>1281</v>
      </c>
      <c r="H7931" s="13"/>
    </row>
    <row r="7932" ht="22.5" customHeight="1">
      <c r="B7932" s="17"/>
      <c r="C7932" s="17"/>
      <c r="D7932" s="13"/>
      <c r="E7932" s="11"/>
      <c r="F7932" s="11"/>
      <c r="G7932" s="13">
        <f t="shared" si="1"/>
        <v>1281</v>
      </c>
      <c r="H7932" s="13"/>
    </row>
    <row r="7933" ht="22.5" customHeight="1">
      <c r="B7933" s="17"/>
      <c r="C7933" s="17"/>
      <c r="D7933" s="13"/>
      <c r="E7933" s="11"/>
      <c r="F7933" s="11"/>
      <c r="G7933" s="13">
        <f t="shared" si="1"/>
        <v>1281</v>
      </c>
      <c r="H7933" s="13"/>
    </row>
    <row r="7934" ht="22.5" customHeight="1">
      <c r="B7934" s="17"/>
      <c r="C7934" s="17"/>
      <c r="D7934" s="13"/>
      <c r="E7934" s="11"/>
      <c r="F7934" s="11"/>
      <c r="G7934" s="13">
        <f t="shared" si="1"/>
        <v>1281</v>
      </c>
      <c r="H7934" s="13"/>
    </row>
    <row r="7935" ht="22.5" customHeight="1">
      <c r="B7935" s="17"/>
      <c r="C7935" s="17"/>
      <c r="D7935" s="13"/>
      <c r="E7935" s="11"/>
      <c r="F7935" s="11"/>
      <c r="G7935" s="13">
        <f t="shared" si="1"/>
        <v>1281</v>
      </c>
      <c r="H7935" s="13"/>
    </row>
    <row r="7936" ht="22.5" customHeight="1">
      <c r="B7936" s="17"/>
      <c r="C7936" s="17"/>
      <c r="D7936" s="13"/>
      <c r="E7936" s="11"/>
      <c r="F7936" s="11"/>
      <c r="G7936" s="13">
        <f t="shared" si="1"/>
        <v>1281</v>
      </c>
      <c r="H7936" s="13"/>
    </row>
    <row r="7937" ht="22.5" customHeight="1">
      <c r="B7937" s="17"/>
      <c r="C7937" s="17"/>
      <c r="D7937" s="13"/>
      <c r="E7937" s="11"/>
      <c r="F7937" s="11"/>
      <c r="G7937" s="13">
        <f t="shared" si="1"/>
        <v>1281</v>
      </c>
      <c r="H7937" s="13"/>
    </row>
    <row r="7938" ht="22.5" customHeight="1">
      <c r="B7938" s="17"/>
      <c r="C7938" s="17"/>
      <c r="D7938" s="13"/>
      <c r="E7938" s="11"/>
      <c r="F7938" s="11"/>
      <c r="G7938" s="13">
        <f t="shared" si="1"/>
        <v>1281</v>
      </c>
      <c r="H7938" s="13"/>
    </row>
    <row r="7939" ht="22.5" customHeight="1">
      <c r="B7939" s="17"/>
      <c r="C7939" s="17"/>
      <c r="D7939" s="13"/>
      <c r="E7939" s="11"/>
      <c r="F7939" s="11"/>
      <c r="G7939" s="13">
        <f t="shared" si="1"/>
        <v>1281</v>
      </c>
      <c r="H7939" s="13"/>
    </row>
    <row r="7940" ht="22.5" customHeight="1">
      <c r="B7940" s="17"/>
      <c r="C7940" s="17"/>
      <c r="D7940" s="13"/>
      <c r="E7940" s="11"/>
      <c r="F7940" s="11"/>
      <c r="G7940" s="13">
        <f t="shared" si="1"/>
        <v>1281</v>
      </c>
      <c r="H7940" s="13"/>
    </row>
    <row r="7941" ht="22.5" customHeight="1">
      <c r="B7941" s="17"/>
      <c r="C7941" s="17"/>
      <c r="D7941" s="13"/>
      <c r="E7941" s="11"/>
      <c r="F7941" s="11"/>
      <c r="G7941" s="13">
        <f t="shared" si="1"/>
        <v>1281</v>
      </c>
      <c r="H7941" s="13"/>
    </row>
    <row r="7942" ht="22.5" customHeight="1">
      <c r="B7942" s="17"/>
      <c r="C7942" s="17"/>
      <c r="D7942" s="13"/>
      <c r="E7942" s="11"/>
      <c r="F7942" s="11"/>
      <c r="G7942" s="13">
        <f t="shared" si="1"/>
        <v>1281</v>
      </c>
      <c r="H7942" s="13"/>
    </row>
    <row r="7943" ht="22.5" customHeight="1">
      <c r="B7943" s="17"/>
      <c r="C7943" s="17"/>
      <c r="D7943" s="13"/>
      <c r="E7943" s="11"/>
      <c r="F7943" s="11"/>
      <c r="G7943" s="13">
        <f t="shared" si="1"/>
        <v>1281</v>
      </c>
      <c r="H7943" s="13"/>
    </row>
    <row r="7944" ht="22.5" customHeight="1">
      <c r="B7944" s="17"/>
      <c r="C7944" s="17"/>
      <c r="D7944" s="13"/>
      <c r="E7944" s="11"/>
      <c r="F7944" s="11"/>
      <c r="G7944" s="13">
        <f t="shared" si="1"/>
        <v>1281</v>
      </c>
      <c r="H7944" s="13"/>
    </row>
    <row r="7945" ht="22.5" customHeight="1">
      <c r="B7945" s="17"/>
      <c r="C7945" s="17"/>
      <c r="D7945" s="13"/>
      <c r="E7945" s="11"/>
      <c r="F7945" s="11"/>
      <c r="G7945" s="13">
        <f t="shared" si="1"/>
        <v>1281</v>
      </c>
      <c r="H7945" s="13"/>
    </row>
    <row r="7946" ht="22.5" customHeight="1">
      <c r="B7946" s="17"/>
      <c r="C7946" s="17"/>
      <c r="D7946" s="13"/>
      <c r="E7946" s="11"/>
      <c r="F7946" s="11"/>
      <c r="G7946" s="13">
        <f t="shared" si="1"/>
        <v>1281</v>
      </c>
      <c r="H7946" s="13"/>
    </row>
    <row r="7947" ht="22.5" customHeight="1">
      <c r="B7947" s="17"/>
      <c r="C7947" s="17"/>
      <c r="D7947" s="13"/>
      <c r="E7947" s="11"/>
      <c r="F7947" s="11"/>
      <c r="G7947" s="13">
        <f t="shared" si="1"/>
        <v>1281</v>
      </c>
      <c r="H7947" s="13"/>
    </row>
    <row r="7948" ht="22.5" customHeight="1">
      <c r="B7948" s="17"/>
      <c r="C7948" s="17"/>
      <c r="D7948" s="13"/>
      <c r="E7948" s="11"/>
      <c r="F7948" s="11"/>
      <c r="G7948" s="13">
        <f t="shared" si="1"/>
        <v>1281</v>
      </c>
      <c r="H7948" s="13"/>
    </row>
    <row r="7949" ht="22.5" customHeight="1">
      <c r="B7949" s="17"/>
      <c r="C7949" s="17"/>
      <c r="D7949" s="13"/>
      <c r="E7949" s="11"/>
      <c r="F7949" s="11"/>
      <c r="G7949" s="13">
        <f t="shared" si="1"/>
        <v>1281</v>
      </c>
      <c r="H7949" s="13"/>
    </row>
    <row r="7950" ht="22.5" customHeight="1">
      <c r="B7950" s="17"/>
      <c r="C7950" s="17"/>
      <c r="D7950" s="13"/>
      <c r="E7950" s="11"/>
      <c r="F7950" s="11"/>
      <c r="G7950" s="13">
        <f t="shared" si="1"/>
        <v>1281</v>
      </c>
      <c r="H7950" s="13"/>
    </row>
    <row r="7951" ht="22.5" customHeight="1">
      <c r="B7951" s="17"/>
      <c r="C7951" s="17"/>
      <c r="D7951" s="13"/>
      <c r="E7951" s="11"/>
      <c r="F7951" s="11"/>
      <c r="G7951" s="13">
        <f t="shared" si="1"/>
        <v>1281</v>
      </c>
      <c r="H7951" s="13"/>
    </row>
    <row r="7952" ht="22.5" customHeight="1">
      <c r="B7952" s="17"/>
      <c r="C7952" s="17"/>
      <c r="D7952" s="13"/>
      <c r="E7952" s="11"/>
      <c r="F7952" s="11"/>
      <c r="G7952" s="13">
        <f t="shared" si="1"/>
        <v>1281</v>
      </c>
      <c r="H7952" s="13"/>
    </row>
    <row r="7953" ht="22.5" customHeight="1">
      <c r="B7953" s="17"/>
      <c r="C7953" s="17"/>
      <c r="D7953" s="13"/>
      <c r="E7953" s="11"/>
      <c r="F7953" s="11"/>
      <c r="G7953" s="13">
        <f t="shared" si="1"/>
        <v>1281</v>
      </c>
      <c r="H7953" s="13"/>
    </row>
    <row r="7954" ht="22.5" customHeight="1">
      <c r="B7954" s="17"/>
      <c r="C7954" s="17"/>
      <c r="D7954" s="13"/>
      <c r="E7954" s="11"/>
      <c r="F7954" s="11"/>
      <c r="G7954" s="13">
        <f t="shared" si="1"/>
        <v>1281</v>
      </c>
      <c r="H7954" s="13"/>
    </row>
    <row r="7955" ht="22.5" customHeight="1">
      <c r="B7955" s="17"/>
      <c r="C7955" s="17"/>
      <c r="D7955" s="13"/>
      <c r="E7955" s="11"/>
      <c r="F7955" s="11"/>
      <c r="G7955" s="13">
        <f t="shared" si="1"/>
        <v>1281</v>
      </c>
      <c r="H7955" s="13"/>
    </row>
    <row r="7956" ht="22.5" customHeight="1">
      <c r="B7956" s="17"/>
      <c r="C7956" s="17"/>
      <c r="D7956" s="13"/>
      <c r="E7956" s="11"/>
      <c r="F7956" s="11"/>
      <c r="G7956" s="13">
        <f t="shared" si="1"/>
        <v>1281</v>
      </c>
      <c r="H7956" s="13"/>
    </row>
    <row r="7957" ht="22.5" customHeight="1">
      <c r="B7957" s="17"/>
      <c r="C7957" s="17"/>
      <c r="D7957" s="13"/>
      <c r="E7957" s="11"/>
      <c r="F7957" s="11"/>
      <c r="G7957" s="13">
        <f t="shared" si="1"/>
        <v>1281</v>
      </c>
      <c r="H7957" s="13"/>
    </row>
    <row r="7958" ht="22.5" customHeight="1">
      <c r="B7958" s="17"/>
      <c r="C7958" s="17"/>
      <c r="D7958" s="13"/>
      <c r="E7958" s="11"/>
      <c r="F7958" s="11"/>
      <c r="G7958" s="13">
        <f t="shared" si="1"/>
        <v>1281</v>
      </c>
      <c r="H7958" s="13"/>
    </row>
    <row r="7959" ht="22.5" customHeight="1">
      <c r="B7959" s="17"/>
      <c r="C7959" s="17"/>
      <c r="D7959" s="13"/>
      <c r="E7959" s="11"/>
      <c r="F7959" s="11"/>
      <c r="G7959" s="13">
        <f t="shared" si="1"/>
        <v>1281</v>
      </c>
      <c r="H7959" s="13"/>
    </row>
    <row r="7960" ht="22.5" customHeight="1">
      <c r="B7960" s="17"/>
      <c r="C7960" s="17"/>
      <c r="D7960" s="13"/>
      <c r="E7960" s="11"/>
      <c r="F7960" s="11"/>
      <c r="G7960" s="13">
        <f t="shared" si="1"/>
        <v>1281</v>
      </c>
      <c r="H7960" s="13"/>
    </row>
    <row r="7961" ht="22.5" customHeight="1">
      <c r="B7961" s="17"/>
      <c r="C7961" s="17"/>
      <c r="D7961" s="13"/>
      <c r="E7961" s="11"/>
      <c r="F7961" s="11"/>
      <c r="G7961" s="13">
        <f t="shared" si="1"/>
        <v>1281</v>
      </c>
      <c r="H7961" s="13"/>
    </row>
    <row r="7962" ht="22.5" customHeight="1">
      <c r="B7962" s="17"/>
      <c r="C7962" s="17"/>
      <c r="D7962" s="13"/>
      <c r="E7962" s="11"/>
      <c r="F7962" s="11"/>
      <c r="G7962" s="13">
        <f t="shared" si="1"/>
        <v>1281</v>
      </c>
      <c r="H7962" s="13"/>
    </row>
    <row r="7963" ht="22.5" customHeight="1">
      <c r="B7963" s="17"/>
      <c r="C7963" s="17"/>
      <c r="D7963" s="13"/>
      <c r="E7963" s="11"/>
      <c r="F7963" s="11"/>
      <c r="G7963" s="13">
        <f t="shared" si="1"/>
        <v>1281</v>
      </c>
      <c r="H7963" s="13"/>
    </row>
    <row r="7964" ht="22.5" customHeight="1">
      <c r="B7964" s="17"/>
      <c r="C7964" s="17"/>
      <c r="D7964" s="13"/>
      <c r="E7964" s="11"/>
      <c r="F7964" s="11"/>
      <c r="G7964" s="13">
        <f t="shared" si="1"/>
        <v>1281</v>
      </c>
      <c r="H7964" s="13"/>
    </row>
    <row r="7965" ht="22.5" customHeight="1">
      <c r="B7965" s="17"/>
      <c r="C7965" s="17"/>
      <c r="D7965" s="13"/>
      <c r="E7965" s="11"/>
      <c r="F7965" s="11"/>
      <c r="G7965" s="13">
        <f t="shared" si="1"/>
        <v>1281</v>
      </c>
      <c r="H7965" s="13"/>
    </row>
    <row r="7966" ht="22.5" customHeight="1">
      <c r="B7966" s="17"/>
      <c r="C7966" s="17"/>
      <c r="D7966" s="13"/>
      <c r="E7966" s="11"/>
      <c r="F7966" s="11"/>
      <c r="G7966" s="13">
        <f t="shared" si="1"/>
        <v>1281</v>
      </c>
      <c r="H7966" s="13"/>
    </row>
    <row r="7967" ht="22.5" customHeight="1">
      <c r="B7967" s="17"/>
      <c r="C7967" s="17"/>
      <c r="D7967" s="13"/>
      <c r="E7967" s="11"/>
      <c r="F7967" s="11"/>
      <c r="G7967" s="13">
        <f t="shared" si="1"/>
        <v>1281</v>
      </c>
      <c r="H7967" s="13"/>
    </row>
    <row r="7968" ht="22.5" customHeight="1">
      <c r="B7968" s="17"/>
      <c r="C7968" s="17"/>
      <c r="D7968" s="13"/>
      <c r="E7968" s="11"/>
      <c r="F7968" s="11"/>
      <c r="G7968" s="13">
        <f t="shared" si="1"/>
        <v>1281</v>
      </c>
      <c r="H7968" s="13"/>
    </row>
    <row r="7969" ht="22.5" customHeight="1">
      <c r="B7969" s="17"/>
      <c r="C7969" s="17"/>
      <c r="D7969" s="13"/>
      <c r="E7969" s="11"/>
      <c r="F7969" s="11"/>
      <c r="G7969" s="13">
        <f t="shared" si="1"/>
        <v>1281</v>
      </c>
      <c r="H7969" s="13"/>
    </row>
    <row r="7970" ht="22.5" customHeight="1">
      <c r="B7970" s="17"/>
      <c r="C7970" s="17"/>
      <c r="D7970" s="13"/>
      <c r="E7970" s="11"/>
      <c r="F7970" s="11"/>
      <c r="G7970" s="13">
        <f t="shared" si="1"/>
        <v>1281</v>
      </c>
      <c r="H7970" s="13"/>
    </row>
    <row r="7971" ht="22.5" customHeight="1">
      <c r="B7971" s="17"/>
      <c r="C7971" s="17"/>
      <c r="D7971" s="13"/>
      <c r="E7971" s="11"/>
      <c r="F7971" s="11"/>
      <c r="G7971" s="13">
        <f t="shared" si="1"/>
        <v>1281</v>
      </c>
      <c r="H7971" s="13"/>
    </row>
    <row r="7972" ht="22.5" customHeight="1">
      <c r="B7972" s="17"/>
      <c r="C7972" s="17"/>
      <c r="D7972" s="13"/>
      <c r="E7972" s="11"/>
      <c r="F7972" s="11"/>
      <c r="G7972" s="13">
        <f t="shared" si="1"/>
        <v>1281</v>
      </c>
      <c r="H7972" s="13"/>
    </row>
    <row r="7973" ht="22.5" customHeight="1">
      <c r="B7973" s="17"/>
      <c r="C7973" s="17"/>
      <c r="D7973" s="13"/>
      <c r="E7973" s="11"/>
      <c r="F7973" s="11"/>
      <c r="G7973" s="13">
        <f t="shared" si="1"/>
        <v>1281</v>
      </c>
      <c r="H7973" s="13"/>
    </row>
    <row r="7974" ht="22.5" customHeight="1">
      <c r="B7974" s="17"/>
      <c r="C7974" s="17"/>
      <c r="D7974" s="13"/>
      <c r="E7974" s="11"/>
      <c r="F7974" s="11"/>
      <c r="G7974" s="13">
        <f t="shared" si="1"/>
        <v>1281</v>
      </c>
      <c r="H7974" s="13"/>
    </row>
    <row r="7975" ht="22.5" customHeight="1">
      <c r="B7975" s="17"/>
      <c r="C7975" s="17"/>
      <c r="D7975" s="13"/>
      <c r="E7975" s="11"/>
      <c r="F7975" s="11"/>
      <c r="G7975" s="13">
        <f t="shared" si="1"/>
        <v>1281</v>
      </c>
      <c r="H7975" s="13"/>
    </row>
    <row r="7976" ht="22.5" customHeight="1">
      <c r="B7976" s="17"/>
      <c r="C7976" s="17"/>
      <c r="D7976" s="13"/>
      <c r="E7976" s="11"/>
      <c r="F7976" s="11"/>
      <c r="G7976" s="13">
        <f t="shared" si="1"/>
        <v>1281</v>
      </c>
      <c r="H7976" s="13"/>
    </row>
    <row r="7977" ht="22.5" customHeight="1">
      <c r="B7977" s="17"/>
      <c r="C7977" s="17"/>
      <c r="D7977" s="13"/>
      <c r="E7977" s="11"/>
      <c r="F7977" s="11"/>
      <c r="G7977" s="13">
        <f t="shared" si="1"/>
        <v>1281</v>
      </c>
      <c r="H7977" s="13"/>
    </row>
    <row r="7978" ht="22.5" customHeight="1">
      <c r="B7978" s="17"/>
      <c r="C7978" s="17"/>
      <c r="D7978" s="13"/>
      <c r="E7978" s="11"/>
      <c r="F7978" s="11"/>
      <c r="G7978" s="13">
        <f t="shared" si="1"/>
        <v>1281</v>
      </c>
      <c r="H7978" s="13"/>
    </row>
    <row r="7979" ht="22.5" customHeight="1">
      <c r="B7979" s="17"/>
      <c r="C7979" s="17"/>
      <c r="D7979" s="13"/>
      <c r="E7979" s="11"/>
      <c r="F7979" s="11"/>
      <c r="G7979" s="13">
        <f t="shared" si="1"/>
        <v>1281</v>
      </c>
      <c r="H7979" s="13"/>
    </row>
    <row r="7980" ht="22.5" customHeight="1">
      <c r="B7980" s="17"/>
      <c r="C7980" s="17"/>
      <c r="D7980" s="13"/>
      <c r="E7980" s="11"/>
      <c r="F7980" s="11"/>
      <c r="G7980" s="13">
        <f t="shared" si="1"/>
        <v>1281</v>
      </c>
      <c r="H7980" s="13"/>
    </row>
    <row r="7981" ht="22.5" customHeight="1">
      <c r="B7981" s="17"/>
      <c r="C7981" s="17"/>
      <c r="D7981" s="13"/>
      <c r="E7981" s="11"/>
      <c r="F7981" s="11"/>
      <c r="G7981" s="13">
        <f t="shared" si="1"/>
        <v>1281</v>
      </c>
      <c r="H7981" s="13"/>
    </row>
    <row r="7982" ht="22.5" customHeight="1">
      <c r="B7982" s="17"/>
      <c r="C7982" s="17"/>
      <c r="D7982" s="13"/>
      <c r="E7982" s="11"/>
      <c r="F7982" s="11"/>
      <c r="G7982" s="13">
        <f t="shared" si="1"/>
        <v>1281</v>
      </c>
      <c r="H7982" s="13"/>
    </row>
    <row r="7983" ht="22.5" customHeight="1">
      <c r="B7983" s="17"/>
      <c r="C7983" s="17"/>
      <c r="D7983" s="13"/>
      <c r="E7983" s="11"/>
      <c r="F7983" s="11"/>
      <c r="G7983" s="13">
        <f t="shared" si="1"/>
        <v>1281</v>
      </c>
      <c r="H7983" s="13"/>
    </row>
    <row r="7984" ht="22.5" customHeight="1">
      <c r="B7984" s="17"/>
      <c r="C7984" s="17"/>
      <c r="D7984" s="13"/>
      <c r="E7984" s="11"/>
      <c r="F7984" s="11"/>
      <c r="G7984" s="13">
        <f t="shared" si="1"/>
        <v>1281</v>
      </c>
      <c r="H7984" s="13"/>
    </row>
    <row r="7985" ht="22.5" customHeight="1">
      <c r="B7985" s="17"/>
      <c r="C7985" s="17"/>
      <c r="D7985" s="13"/>
      <c r="E7985" s="11"/>
      <c r="F7985" s="11"/>
      <c r="G7985" s="13">
        <f t="shared" si="1"/>
        <v>1281</v>
      </c>
      <c r="H7985" s="13"/>
    </row>
    <row r="7986" ht="22.5" customHeight="1">
      <c r="B7986" s="17"/>
      <c r="C7986" s="17"/>
      <c r="D7986" s="13"/>
      <c r="E7986" s="11"/>
      <c r="F7986" s="11"/>
      <c r="G7986" s="13">
        <f t="shared" si="1"/>
        <v>1281</v>
      </c>
      <c r="H7986" s="13"/>
    </row>
    <row r="7987" ht="22.5" customHeight="1">
      <c r="B7987" s="17"/>
      <c r="C7987" s="17"/>
      <c r="D7987" s="13"/>
      <c r="E7987" s="11"/>
      <c r="F7987" s="11"/>
      <c r="G7987" s="13">
        <f t="shared" si="1"/>
        <v>1281</v>
      </c>
      <c r="H7987" s="13"/>
    </row>
    <row r="7988" ht="22.5" customHeight="1">
      <c r="B7988" s="17"/>
      <c r="C7988" s="17"/>
      <c r="D7988" s="13"/>
      <c r="E7988" s="11"/>
      <c r="F7988" s="11"/>
      <c r="G7988" s="13">
        <f t="shared" si="1"/>
        <v>1281</v>
      </c>
      <c r="H7988" s="13"/>
    </row>
    <row r="7989" ht="22.5" customHeight="1">
      <c r="B7989" s="17"/>
      <c r="C7989" s="17"/>
      <c r="D7989" s="13"/>
      <c r="E7989" s="11"/>
      <c r="F7989" s="11"/>
      <c r="G7989" s="13">
        <f t="shared" si="1"/>
        <v>1281</v>
      </c>
      <c r="H7989" s="13"/>
    </row>
    <row r="7990" ht="22.5" customHeight="1">
      <c r="B7990" s="17"/>
      <c r="C7990" s="17"/>
      <c r="D7990" s="13"/>
      <c r="E7990" s="11"/>
      <c r="F7990" s="11"/>
      <c r="G7990" s="13">
        <f t="shared" si="1"/>
        <v>1281</v>
      </c>
      <c r="H7990" s="13"/>
    </row>
    <row r="7991" ht="22.5" customHeight="1">
      <c r="B7991" s="17"/>
      <c r="C7991" s="17"/>
      <c r="D7991" s="13"/>
      <c r="E7991" s="11"/>
      <c r="F7991" s="11"/>
      <c r="G7991" s="13">
        <f t="shared" si="1"/>
        <v>1281</v>
      </c>
      <c r="H7991" s="13"/>
    </row>
    <row r="7992" ht="22.5" customHeight="1">
      <c r="B7992" s="17"/>
      <c r="C7992" s="17"/>
      <c r="D7992" s="13"/>
      <c r="E7992" s="11"/>
      <c r="F7992" s="11"/>
      <c r="G7992" s="13">
        <f t="shared" si="1"/>
        <v>1281</v>
      </c>
      <c r="H7992" s="13"/>
    </row>
    <row r="7993" ht="22.5" customHeight="1">
      <c r="B7993" s="17"/>
      <c r="C7993" s="17"/>
      <c r="D7993" s="13"/>
      <c r="E7993" s="11"/>
      <c r="F7993" s="11"/>
      <c r="G7993" s="13">
        <f t="shared" si="1"/>
        <v>1281</v>
      </c>
      <c r="H7993" s="13"/>
    </row>
    <row r="7994" ht="22.5" customHeight="1">
      <c r="B7994" s="17"/>
      <c r="C7994" s="17"/>
      <c r="D7994" s="13"/>
      <c r="E7994" s="11"/>
      <c r="F7994" s="11"/>
      <c r="G7994" s="13">
        <f t="shared" si="1"/>
        <v>1281</v>
      </c>
      <c r="H7994" s="13"/>
    </row>
    <row r="7995" ht="22.5" customHeight="1">
      <c r="B7995" s="17"/>
      <c r="C7995" s="17"/>
      <c r="D7995" s="13"/>
      <c r="E7995" s="11"/>
      <c r="F7995" s="11"/>
      <c r="G7995" s="13">
        <f t="shared" si="1"/>
        <v>1281</v>
      </c>
      <c r="H7995" s="13"/>
    </row>
    <row r="7996" ht="22.5" customHeight="1">
      <c r="B7996" s="17"/>
      <c r="C7996" s="17"/>
      <c r="D7996" s="13"/>
      <c r="E7996" s="11"/>
      <c r="F7996" s="11"/>
      <c r="G7996" s="13">
        <f t="shared" si="1"/>
        <v>1281</v>
      </c>
      <c r="H7996" s="13"/>
    </row>
    <row r="7997" ht="22.5" customHeight="1">
      <c r="B7997" s="17"/>
      <c r="C7997" s="17"/>
      <c r="D7997" s="13"/>
      <c r="E7997" s="11"/>
      <c r="F7997" s="11"/>
      <c r="G7997" s="13">
        <f t="shared" si="1"/>
        <v>1281</v>
      </c>
      <c r="H7997" s="13"/>
    </row>
    <row r="7998" ht="22.5" customHeight="1">
      <c r="B7998" s="17"/>
      <c r="C7998" s="17"/>
      <c r="D7998" s="13"/>
      <c r="E7998" s="11"/>
      <c r="F7998" s="11"/>
      <c r="G7998" s="13">
        <f t="shared" si="1"/>
        <v>1281</v>
      </c>
      <c r="H7998" s="13"/>
    </row>
    <row r="7999" ht="22.5" customHeight="1">
      <c r="B7999" s="17"/>
      <c r="C7999" s="17"/>
      <c r="D7999" s="13"/>
      <c r="E7999" s="11"/>
      <c r="F7999" s="11"/>
      <c r="G7999" s="13">
        <f t="shared" si="1"/>
        <v>1281</v>
      </c>
      <c r="H7999" s="13"/>
    </row>
    <row r="8000" ht="22.5" customHeight="1">
      <c r="B8000" s="17"/>
      <c r="C8000" s="17"/>
      <c r="D8000" s="13"/>
      <c r="E8000" s="11"/>
      <c r="F8000" s="11"/>
      <c r="G8000" s="13">
        <f t="shared" si="1"/>
        <v>1281</v>
      </c>
      <c r="H8000" s="13"/>
    </row>
    <row r="8001" ht="22.5" customHeight="1">
      <c r="B8001" s="17"/>
      <c r="C8001" s="17"/>
      <c r="D8001" s="13"/>
      <c r="E8001" s="11"/>
      <c r="F8001" s="11"/>
      <c r="G8001" s="13">
        <f t="shared" si="1"/>
        <v>1281</v>
      </c>
      <c r="H8001" s="13"/>
    </row>
    <row r="8002" ht="22.5" customHeight="1">
      <c r="B8002" s="17"/>
      <c r="C8002" s="17"/>
      <c r="D8002" s="13"/>
      <c r="E8002" s="11"/>
      <c r="F8002" s="11"/>
      <c r="G8002" s="13">
        <f t="shared" si="1"/>
        <v>1281</v>
      </c>
      <c r="H8002" s="13"/>
    </row>
    <row r="8003" ht="22.5" customHeight="1">
      <c r="B8003" s="17"/>
      <c r="C8003" s="17"/>
      <c r="D8003" s="13"/>
      <c r="E8003" s="11"/>
      <c r="F8003" s="11"/>
      <c r="G8003" s="13">
        <f t="shared" si="1"/>
        <v>1281</v>
      </c>
      <c r="H8003" s="13"/>
    </row>
    <row r="8004" ht="22.5" customHeight="1">
      <c r="B8004" s="17"/>
      <c r="C8004" s="17"/>
      <c r="D8004" s="13"/>
      <c r="E8004" s="11"/>
      <c r="F8004" s="11"/>
      <c r="G8004" s="13">
        <f t="shared" si="1"/>
        <v>1281</v>
      </c>
      <c r="H8004" s="13"/>
    </row>
    <row r="8005" ht="22.5" customHeight="1">
      <c r="B8005" s="17"/>
      <c r="C8005" s="17"/>
      <c r="D8005" s="13"/>
      <c r="E8005" s="11"/>
      <c r="F8005" s="11"/>
      <c r="G8005" s="13">
        <f t="shared" si="1"/>
        <v>1281</v>
      </c>
      <c r="H8005" s="13"/>
    </row>
    <row r="8006" ht="22.5" customHeight="1">
      <c r="B8006" s="17"/>
      <c r="C8006" s="17"/>
      <c r="D8006" s="13"/>
      <c r="E8006" s="11"/>
      <c r="F8006" s="11"/>
      <c r="G8006" s="13">
        <f t="shared" si="1"/>
        <v>1281</v>
      </c>
      <c r="H8006" s="13"/>
    </row>
    <row r="8007" ht="22.5" customHeight="1">
      <c r="B8007" s="17"/>
      <c r="C8007" s="17"/>
      <c r="D8007" s="13"/>
      <c r="E8007" s="11"/>
      <c r="F8007" s="11"/>
      <c r="G8007" s="13">
        <f t="shared" si="1"/>
        <v>1281</v>
      </c>
      <c r="H8007" s="13"/>
    </row>
    <row r="8008" ht="22.5" customHeight="1">
      <c r="B8008" s="17"/>
      <c r="C8008" s="17"/>
      <c r="D8008" s="13"/>
      <c r="E8008" s="11"/>
      <c r="F8008" s="11"/>
      <c r="G8008" s="13">
        <f t="shared" si="1"/>
        <v>1281</v>
      </c>
      <c r="H8008" s="13"/>
    </row>
    <row r="8009" ht="22.5" customHeight="1">
      <c r="B8009" s="17"/>
      <c r="C8009" s="17"/>
      <c r="D8009" s="13"/>
      <c r="E8009" s="11"/>
      <c r="F8009" s="11"/>
      <c r="G8009" s="13">
        <f t="shared" si="1"/>
        <v>1281</v>
      </c>
      <c r="H8009" s="13"/>
    </row>
    <row r="8010" ht="22.5" customHeight="1">
      <c r="B8010" s="17"/>
      <c r="C8010" s="17"/>
      <c r="D8010" s="13"/>
      <c r="E8010" s="11"/>
      <c r="F8010" s="11"/>
      <c r="G8010" s="13">
        <f t="shared" si="1"/>
        <v>1281</v>
      </c>
      <c r="H8010" s="13"/>
    </row>
    <row r="8011" ht="22.5" customHeight="1">
      <c r="B8011" s="17"/>
      <c r="C8011" s="17"/>
      <c r="D8011" s="13"/>
      <c r="E8011" s="11"/>
      <c r="F8011" s="11"/>
      <c r="G8011" s="13">
        <f t="shared" si="1"/>
        <v>1281</v>
      </c>
      <c r="H8011" s="13"/>
    </row>
    <row r="8012" ht="22.5" customHeight="1">
      <c r="B8012" s="17"/>
      <c r="C8012" s="17"/>
      <c r="D8012" s="13"/>
      <c r="E8012" s="11"/>
      <c r="F8012" s="11"/>
      <c r="G8012" s="13">
        <f t="shared" si="1"/>
        <v>1281</v>
      </c>
      <c r="H8012" s="13"/>
    </row>
    <row r="8013" ht="22.5" customHeight="1">
      <c r="B8013" s="17"/>
      <c r="C8013" s="17"/>
      <c r="D8013" s="13"/>
      <c r="E8013" s="11"/>
      <c r="F8013" s="11"/>
      <c r="G8013" s="13">
        <f t="shared" si="1"/>
        <v>1281</v>
      </c>
      <c r="H8013" s="13"/>
    </row>
    <row r="8014" ht="22.5" customHeight="1">
      <c r="B8014" s="17"/>
      <c r="C8014" s="17"/>
      <c r="D8014" s="13"/>
      <c r="E8014" s="11"/>
      <c r="F8014" s="11"/>
      <c r="G8014" s="13">
        <f t="shared" si="1"/>
        <v>1281</v>
      </c>
      <c r="H8014" s="13"/>
    </row>
    <row r="8015" ht="22.5" customHeight="1">
      <c r="B8015" s="17"/>
      <c r="C8015" s="17"/>
      <c r="D8015" s="13"/>
      <c r="E8015" s="11"/>
      <c r="F8015" s="11"/>
      <c r="G8015" s="13">
        <f t="shared" si="1"/>
        <v>1281</v>
      </c>
      <c r="H8015" s="13"/>
    </row>
    <row r="8016" ht="22.5" customHeight="1">
      <c r="B8016" s="17"/>
      <c r="C8016" s="17"/>
      <c r="D8016" s="13"/>
      <c r="E8016" s="11"/>
      <c r="F8016" s="11"/>
      <c r="G8016" s="13">
        <f t="shared" si="1"/>
        <v>1281</v>
      </c>
      <c r="H8016" s="13"/>
    </row>
    <row r="8017" ht="22.5" customHeight="1">
      <c r="B8017" s="17"/>
      <c r="C8017" s="17"/>
      <c r="D8017" s="13"/>
      <c r="E8017" s="11"/>
      <c r="F8017" s="11"/>
      <c r="G8017" s="13">
        <f t="shared" si="1"/>
        <v>1281</v>
      </c>
      <c r="H8017" s="13"/>
    </row>
    <row r="8018" ht="22.5" customHeight="1">
      <c r="B8018" s="17"/>
      <c r="C8018" s="17"/>
      <c r="D8018" s="13"/>
      <c r="E8018" s="11"/>
      <c r="F8018" s="11"/>
      <c r="G8018" s="13">
        <f t="shared" si="1"/>
        <v>1281</v>
      </c>
      <c r="H8018" s="13"/>
    </row>
    <row r="8019" ht="22.5" customHeight="1">
      <c r="B8019" s="17"/>
      <c r="C8019" s="17"/>
      <c r="D8019" s="13"/>
      <c r="E8019" s="11"/>
      <c r="F8019" s="11"/>
      <c r="G8019" s="13">
        <f t="shared" si="1"/>
        <v>1281</v>
      </c>
      <c r="H8019" s="13"/>
    </row>
    <row r="8020" ht="22.5" customHeight="1">
      <c r="B8020" s="17"/>
      <c r="C8020" s="17"/>
      <c r="D8020" s="13"/>
      <c r="E8020" s="11"/>
      <c r="F8020" s="11"/>
      <c r="G8020" s="13">
        <f t="shared" si="1"/>
        <v>1281</v>
      </c>
      <c r="H8020" s="13"/>
    </row>
    <row r="8021" ht="22.5" customHeight="1">
      <c r="B8021" s="17"/>
      <c r="C8021" s="17"/>
      <c r="D8021" s="13"/>
      <c r="E8021" s="11"/>
      <c r="F8021" s="11"/>
      <c r="G8021" s="13">
        <f t="shared" si="1"/>
        <v>1281</v>
      </c>
      <c r="H8021" s="13"/>
    </row>
    <row r="8022" ht="22.5" customHeight="1">
      <c r="B8022" s="17"/>
      <c r="C8022" s="17"/>
      <c r="D8022" s="13"/>
      <c r="E8022" s="11"/>
      <c r="F8022" s="11"/>
      <c r="G8022" s="13">
        <f t="shared" si="1"/>
        <v>1281</v>
      </c>
      <c r="H8022" s="13"/>
    </row>
    <row r="8023" ht="22.5" customHeight="1">
      <c r="B8023" s="17"/>
      <c r="C8023" s="17"/>
      <c r="D8023" s="13"/>
      <c r="E8023" s="11"/>
      <c r="F8023" s="11"/>
      <c r="G8023" s="13">
        <f t="shared" si="1"/>
        <v>1281</v>
      </c>
      <c r="H8023" s="13"/>
    </row>
    <row r="8024" ht="22.5" customHeight="1">
      <c r="B8024" s="17"/>
      <c r="C8024" s="17"/>
      <c r="D8024" s="13"/>
      <c r="E8024" s="11"/>
      <c r="F8024" s="11"/>
      <c r="G8024" s="13">
        <f t="shared" si="1"/>
        <v>1281</v>
      </c>
      <c r="H8024" s="13"/>
    </row>
    <row r="8025" ht="22.5" customHeight="1">
      <c r="B8025" s="17"/>
      <c r="C8025" s="17"/>
      <c r="D8025" s="13"/>
      <c r="E8025" s="11"/>
      <c r="F8025" s="11"/>
      <c r="G8025" s="13">
        <f t="shared" si="1"/>
        <v>1281</v>
      </c>
      <c r="H8025" s="13"/>
    </row>
    <row r="8026" ht="22.5" customHeight="1">
      <c r="B8026" s="17"/>
      <c r="C8026" s="17"/>
      <c r="D8026" s="13"/>
      <c r="E8026" s="11"/>
      <c r="F8026" s="11"/>
      <c r="G8026" s="13">
        <f t="shared" si="1"/>
        <v>1281</v>
      </c>
      <c r="H8026" s="13"/>
    </row>
    <row r="8027" ht="22.5" customHeight="1">
      <c r="B8027" s="17"/>
      <c r="C8027" s="17"/>
      <c r="D8027" s="13"/>
      <c r="E8027" s="11"/>
      <c r="F8027" s="11"/>
      <c r="G8027" s="13">
        <f t="shared" si="1"/>
        <v>1281</v>
      </c>
      <c r="H8027" s="13"/>
    </row>
    <row r="8028" ht="22.5" customHeight="1">
      <c r="B8028" s="17"/>
      <c r="C8028" s="17"/>
      <c r="D8028" s="13"/>
      <c r="E8028" s="11"/>
      <c r="F8028" s="11"/>
      <c r="G8028" s="13">
        <f t="shared" si="1"/>
        <v>1281</v>
      </c>
      <c r="H8028" s="13"/>
    </row>
    <row r="8029" ht="22.5" customHeight="1">
      <c r="B8029" s="17"/>
      <c r="C8029" s="17"/>
      <c r="D8029" s="13"/>
      <c r="E8029" s="11"/>
      <c r="F8029" s="11"/>
      <c r="G8029" s="13">
        <f t="shared" si="1"/>
        <v>1281</v>
      </c>
      <c r="H8029" s="13"/>
    </row>
    <row r="8030" ht="22.5" customHeight="1">
      <c r="B8030" s="17"/>
      <c r="C8030" s="17"/>
      <c r="D8030" s="13"/>
      <c r="E8030" s="11"/>
      <c r="F8030" s="11"/>
      <c r="G8030" s="13">
        <f t="shared" si="1"/>
        <v>1281</v>
      </c>
      <c r="H8030" s="13"/>
    </row>
    <row r="8031" ht="22.5" customHeight="1">
      <c r="B8031" s="17"/>
      <c r="C8031" s="17"/>
      <c r="D8031" s="13"/>
      <c r="E8031" s="11"/>
      <c r="F8031" s="11"/>
      <c r="G8031" s="13">
        <f t="shared" si="1"/>
        <v>1281</v>
      </c>
      <c r="H8031" s="13"/>
    </row>
    <row r="8032" ht="22.5" customHeight="1">
      <c r="B8032" s="17"/>
      <c r="C8032" s="17"/>
      <c r="D8032" s="13"/>
      <c r="E8032" s="11"/>
      <c r="F8032" s="11"/>
      <c r="G8032" s="13">
        <f t="shared" si="1"/>
        <v>1281</v>
      </c>
      <c r="H8032" s="13"/>
    </row>
    <row r="8033" ht="22.5" customHeight="1">
      <c r="B8033" s="17"/>
      <c r="C8033" s="17"/>
      <c r="D8033" s="13"/>
      <c r="E8033" s="11"/>
      <c r="F8033" s="11"/>
      <c r="G8033" s="13">
        <f t="shared" si="1"/>
        <v>1281</v>
      </c>
      <c r="H8033" s="13"/>
    </row>
    <row r="8034" ht="22.5" customHeight="1">
      <c r="B8034" s="17"/>
      <c r="C8034" s="17"/>
      <c r="D8034" s="13"/>
      <c r="E8034" s="11"/>
      <c r="F8034" s="11"/>
      <c r="G8034" s="13">
        <f t="shared" si="1"/>
        <v>1281</v>
      </c>
      <c r="H8034" s="13"/>
    </row>
    <row r="8035" ht="22.5" customHeight="1">
      <c r="B8035" s="17"/>
      <c r="C8035" s="17"/>
      <c r="D8035" s="13"/>
      <c r="E8035" s="11"/>
      <c r="F8035" s="11"/>
      <c r="G8035" s="13">
        <f t="shared" si="1"/>
        <v>1281</v>
      </c>
      <c r="H8035" s="13"/>
    </row>
    <row r="8036" ht="22.5" customHeight="1">
      <c r="B8036" s="17"/>
      <c r="C8036" s="17"/>
      <c r="D8036" s="13"/>
      <c r="E8036" s="11"/>
      <c r="F8036" s="11"/>
      <c r="G8036" s="13">
        <f t="shared" si="1"/>
        <v>1281</v>
      </c>
      <c r="H8036" s="13"/>
    </row>
    <row r="8037" ht="22.5" customHeight="1">
      <c r="B8037" s="17"/>
      <c r="C8037" s="17"/>
      <c r="D8037" s="13"/>
      <c r="E8037" s="11"/>
      <c r="F8037" s="11"/>
      <c r="G8037" s="13">
        <f t="shared" si="1"/>
        <v>1281</v>
      </c>
      <c r="H8037" s="13"/>
    </row>
    <row r="8038" ht="22.5" customHeight="1">
      <c r="B8038" s="17"/>
      <c r="C8038" s="17"/>
      <c r="D8038" s="13"/>
      <c r="E8038" s="11"/>
      <c r="F8038" s="11"/>
      <c r="G8038" s="13">
        <f t="shared" si="1"/>
        <v>1281</v>
      </c>
      <c r="H8038" s="13"/>
    </row>
    <row r="8039" ht="22.5" customHeight="1">
      <c r="B8039" s="17"/>
      <c r="C8039" s="17"/>
      <c r="D8039" s="13"/>
      <c r="E8039" s="11"/>
      <c r="F8039" s="11"/>
      <c r="G8039" s="13">
        <f t="shared" si="1"/>
        <v>1281</v>
      </c>
      <c r="H8039" s="13"/>
    </row>
    <row r="8040" ht="22.5" customHeight="1">
      <c r="B8040" s="17"/>
      <c r="C8040" s="17"/>
      <c r="D8040" s="13"/>
      <c r="E8040" s="11"/>
      <c r="F8040" s="11"/>
      <c r="G8040" s="13">
        <f t="shared" si="1"/>
        <v>1281</v>
      </c>
      <c r="H8040" s="13"/>
    </row>
    <row r="8041" ht="22.5" customHeight="1">
      <c r="B8041" s="17"/>
      <c r="C8041" s="17"/>
      <c r="D8041" s="13"/>
      <c r="E8041" s="11"/>
      <c r="F8041" s="11"/>
      <c r="G8041" s="13">
        <f t="shared" si="1"/>
        <v>1281</v>
      </c>
      <c r="H8041" s="13"/>
    </row>
    <row r="8042" ht="22.5" customHeight="1">
      <c r="B8042" s="17"/>
      <c r="C8042" s="17"/>
      <c r="D8042" s="13"/>
      <c r="E8042" s="11"/>
      <c r="F8042" s="11"/>
      <c r="G8042" s="13">
        <f t="shared" si="1"/>
        <v>1281</v>
      </c>
      <c r="H8042" s="13"/>
    </row>
    <row r="8043" ht="22.5" customHeight="1">
      <c r="B8043" s="17"/>
      <c r="C8043" s="17"/>
      <c r="D8043" s="13"/>
      <c r="E8043" s="11"/>
      <c r="F8043" s="11"/>
      <c r="G8043" s="13">
        <f t="shared" si="1"/>
        <v>1281</v>
      </c>
      <c r="H8043" s="13"/>
    </row>
    <row r="8044" ht="22.5" customHeight="1">
      <c r="B8044" s="17"/>
      <c r="C8044" s="17"/>
      <c r="D8044" s="13"/>
      <c r="E8044" s="11"/>
      <c r="F8044" s="11"/>
      <c r="G8044" s="13">
        <f t="shared" si="1"/>
        <v>1281</v>
      </c>
      <c r="H8044" s="13"/>
    </row>
    <row r="8045" ht="22.5" customHeight="1">
      <c r="B8045" s="17"/>
      <c r="C8045" s="17"/>
      <c r="D8045" s="13"/>
      <c r="E8045" s="11"/>
      <c r="F8045" s="11"/>
      <c r="G8045" s="13">
        <f t="shared" si="1"/>
        <v>1281</v>
      </c>
      <c r="H8045" s="13"/>
    </row>
    <row r="8046" ht="22.5" customHeight="1">
      <c r="B8046" s="17"/>
      <c r="C8046" s="17"/>
      <c r="D8046" s="13"/>
      <c r="E8046" s="11"/>
      <c r="F8046" s="11"/>
      <c r="G8046" s="13">
        <f t="shared" si="1"/>
        <v>1281</v>
      </c>
      <c r="H8046" s="13"/>
    </row>
    <row r="8047" ht="22.5" customHeight="1">
      <c r="B8047" s="17"/>
      <c r="C8047" s="17"/>
      <c r="D8047" s="13"/>
      <c r="E8047" s="11"/>
      <c r="F8047" s="11"/>
      <c r="G8047" s="13">
        <f t="shared" si="1"/>
        <v>1281</v>
      </c>
      <c r="H8047" s="13"/>
    </row>
    <row r="8048" ht="22.5" customHeight="1">
      <c r="B8048" s="17"/>
      <c r="C8048" s="17"/>
      <c r="D8048" s="13"/>
      <c r="E8048" s="11"/>
      <c r="F8048" s="11"/>
      <c r="G8048" s="13">
        <f t="shared" si="1"/>
        <v>1281</v>
      </c>
      <c r="H8048" s="13"/>
    </row>
    <row r="8049" ht="22.5" customHeight="1">
      <c r="B8049" s="17"/>
      <c r="C8049" s="17"/>
      <c r="D8049" s="13"/>
      <c r="E8049" s="11"/>
      <c r="F8049" s="11"/>
      <c r="G8049" s="13">
        <f t="shared" si="1"/>
        <v>1281</v>
      </c>
      <c r="H8049" s="13"/>
    </row>
    <row r="8050" ht="22.5" customHeight="1">
      <c r="B8050" s="17"/>
      <c r="C8050" s="17"/>
      <c r="D8050" s="13"/>
      <c r="E8050" s="11"/>
      <c r="F8050" s="11"/>
      <c r="G8050" s="13">
        <f t="shared" si="1"/>
        <v>1281</v>
      </c>
      <c r="H8050" s="13"/>
    </row>
    <row r="8051" ht="22.5" customHeight="1">
      <c r="B8051" s="17"/>
      <c r="C8051" s="17"/>
      <c r="D8051" s="13"/>
      <c r="E8051" s="11"/>
      <c r="F8051" s="11"/>
      <c r="G8051" s="13">
        <f t="shared" si="1"/>
        <v>1281</v>
      </c>
      <c r="H8051" s="13"/>
    </row>
    <row r="8052" ht="22.5" customHeight="1">
      <c r="B8052" s="17"/>
      <c r="C8052" s="17"/>
      <c r="D8052" s="13"/>
      <c r="E8052" s="11"/>
      <c r="F8052" s="11"/>
      <c r="G8052" s="13">
        <f t="shared" si="1"/>
        <v>1281</v>
      </c>
      <c r="H8052" s="13"/>
    </row>
    <row r="8053" ht="22.5" customHeight="1">
      <c r="B8053" s="17"/>
      <c r="C8053" s="17"/>
      <c r="D8053" s="13"/>
      <c r="E8053" s="11"/>
      <c r="F8053" s="11"/>
      <c r="G8053" s="13">
        <f t="shared" si="1"/>
        <v>1281</v>
      </c>
      <c r="H8053" s="13"/>
    </row>
    <row r="8054" ht="22.5" customHeight="1">
      <c r="B8054" s="17"/>
      <c r="C8054" s="17"/>
      <c r="D8054" s="13"/>
      <c r="E8054" s="11"/>
      <c r="F8054" s="11"/>
      <c r="G8054" s="13">
        <f t="shared" si="1"/>
        <v>1281</v>
      </c>
      <c r="H8054" s="13"/>
    </row>
    <row r="8055" ht="22.5" customHeight="1">
      <c r="B8055" s="17"/>
      <c r="C8055" s="17"/>
      <c r="D8055" s="13"/>
      <c r="E8055" s="11"/>
      <c r="F8055" s="11"/>
      <c r="G8055" s="13">
        <f t="shared" si="1"/>
        <v>1281</v>
      </c>
      <c r="H8055" s="13"/>
    </row>
    <row r="8056" ht="22.5" customHeight="1">
      <c r="B8056" s="17"/>
      <c r="C8056" s="17"/>
      <c r="D8056" s="13"/>
      <c r="E8056" s="11"/>
      <c r="F8056" s="11"/>
      <c r="G8056" s="13">
        <f t="shared" si="1"/>
        <v>1281</v>
      </c>
      <c r="H8056" s="13"/>
    </row>
    <row r="8057" ht="22.5" customHeight="1">
      <c r="B8057" s="17"/>
      <c r="C8057" s="17"/>
      <c r="D8057" s="13"/>
      <c r="E8057" s="11"/>
      <c r="F8057" s="11"/>
      <c r="G8057" s="13">
        <f t="shared" si="1"/>
        <v>1281</v>
      </c>
      <c r="H8057" s="13"/>
    </row>
    <row r="8058" ht="22.5" customHeight="1">
      <c r="B8058" s="17"/>
      <c r="C8058" s="17"/>
      <c r="D8058" s="13"/>
      <c r="E8058" s="11"/>
      <c r="F8058" s="11"/>
      <c r="G8058" s="13">
        <f t="shared" si="1"/>
        <v>1281</v>
      </c>
      <c r="H8058" s="13"/>
    </row>
    <row r="8059" ht="22.5" customHeight="1">
      <c r="B8059" s="17"/>
      <c r="C8059" s="17"/>
      <c r="D8059" s="13"/>
      <c r="E8059" s="11"/>
      <c r="F8059" s="11"/>
      <c r="G8059" s="13">
        <f t="shared" si="1"/>
        <v>1281</v>
      </c>
      <c r="H8059" s="13"/>
    </row>
    <row r="8060" ht="22.5" customHeight="1">
      <c r="B8060" s="17"/>
      <c r="C8060" s="17"/>
      <c r="D8060" s="13"/>
      <c r="E8060" s="11"/>
      <c r="F8060" s="11"/>
      <c r="G8060" s="13">
        <f t="shared" si="1"/>
        <v>1281</v>
      </c>
      <c r="H8060" s="13"/>
    </row>
    <row r="8061" ht="22.5" customHeight="1">
      <c r="B8061" s="17"/>
      <c r="C8061" s="17"/>
      <c r="D8061" s="13"/>
      <c r="E8061" s="11"/>
      <c r="F8061" s="11"/>
      <c r="G8061" s="13">
        <f t="shared" si="1"/>
        <v>1281</v>
      </c>
      <c r="H8061" s="13"/>
    </row>
    <row r="8062" ht="22.5" customHeight="1">
      <c r="B8062" s="17"/>
      <c r="C8062" s="17"/>
      <c r="D8062" s="13"/>
      <c r="E8062" s="11"/>
      <c r="F8062" s="11"/>
      <c r="G8062" s="13">
        <f t="shared" si="1"/>
        <v>1281</v>
      </c>
      <c r="H8062" s="13"/>
    </row>
    <row r="8063" ht="22.5" customHeight="1">
      <c r="B8063" s="17"/>
      <c r="C8063" s="17"/>
      <c r="D8063" s="13"/>
      <c r="E8063" s="11"/>
      <c r="F8063" s="11"/>
      <c r="G8063" s="13">
        <f t="shared" si="1"/>
        <v>1281</v>
      </c>
      <c r="H8063" s="13"/>
    </row>
    <row r="8064" ht="22.5" customHeight="1">
      <c r="B8064" s="17"/>
      <c r="C8064" s="17"/>
      <c r="D8064" s="13"/>
      <c r="E8064" s="11"/>
      <c r="F8064" s="11"/>
      <c r="G8064" s="13">
        <f t="shared" si="1"/>
        <v>1281</v>
      </c>
      <c r="H8064" s="13"/>
    </row>
    <row r="8065" ht="22.5" customHeight="1">
      <c r="B8065" s="17"/>
      <c r="C8065" s="17"/>
      <c r="D8065" s="13"/>
      <c r="E8065" s="11"/>
      <c r="F8065" s="11"/>
      <c r="G8065" s="13">
        <f t="shared" si="1"/>
        <v>1281</v>
      </c>
      <c r="H8065" s="13"/>
    </row>
    <row r="8066" ht="22.5" customHeight="1">
      <c r="B8066" s="17"/>
      <c r="C8066" s="17"/>
      <c r="D8066" s="13"/>
      <c r="E8066" s="11"/>
      <c r="F8066" s="11"/>
      <c r="G8066" s="13">
        <f t="shared" si="1"/>
        <v>1281</v>
      </c>
      <c r="H8066" s="13"/>
    </row>
    <row r="8067" ht="22.5" customHeight="1">
      <c r="B8067" s="17"/>
      <c r="C8067" s="17"/>
      <c r="D8067" s="13"/>
      <c r="E8067" s="11"/>
      <c r="F8067" s="11"/>
      <c r="G8067" s="13">
        <f t="shared" si="1"/>
        <v>1281</v>
      </c>
      <c r="H8067" s="13"/>
    </row>
    <row r="8068" ht="22.5" customHeight="1">
      <c r="B8068" s="17"/>
      <c r="C8068" s="17"/>
      <c r="D8068" s="13"/>
      <c r="E8068" s="11"/>
      <c r="F8068" s="11"/>
      <c r="G8068" s="13">
        <f t="shared" si="1"/>
        <v>1281</v>
      </c>
      <c r="H8068" s="13"/>
    </row>
    <row r="8069" ht="22.5" customHeight="1">
      <c r="B8069" s="17"/>
      <c r="C8069" s="17"/>
      <c r="D8069" s="13"/>
      <c r="E8069" s="11"/>
      <c r="F8069" s="11"/>
      <c r="G8069" s="13">
        <f t="shared" si="1"/>
        <v>1281</v>
      </c>
      <c r="H8069" s="13"/>
    </row>
    <row r="8070" ht="22.5" customHeight="1">
      <c r="B8070" s="17"/>
      <c r="C8070" s="17"/>
      <c r="D8070" s="13"/>
      <c r="E8070" s="11"/>
      <c r="F8070" s="11"/>
      <c r="G8070" s="13">
        <f t="shared" si="1"/>
        <v>1281</v>
      </c>
      <c r="H8070" s="13"/>
    </row>
    <row r="8071" ht="22.5" customHeight="1">
      <c r="B8071" s="17"/>
      <c r="C8071" s="17"/>
      <c r="D8071" s="13"/>
      <c r="E8071" s="11"/>
      <c r="F8071" s="11"/>
      <c r="G8071" s="13">
        <f t="shared" si="1"/>
        <v>1281</v>
      </c>
      <c r="H8071" s="13"/>
    </row>
    <row r="8072" ht="22.5" customHeight="1">
      <c r="B8072" s="17"/>
      <c r="C8072" s="17"/>
      <c r="D8072" s="13"/>
      <c r="E8072" s="11"/>
      <c r="F8072" s="11"/>
      <c r="G8072" s="13">
        <f t="shared" si="1"/>
        <v>1281</v>
      </c>
      <c r="H8072" s="13"/>
    </row>
    <row r="8073" ht="22.5" customHeight="1">
      <c r="B8073" s="17"/>
      <c r="C8073" s="17"/>
      <c r="D8073" s="13"/>
      <c r="E8073" s="11"/>
      <c r="F8073" s="11"/>
      <c r="G8073" s="13">
        <f t="shared" si="1"/>
        <v>1281</v>
      </c>
      <c r="H8073" s="13"/>
    </row>
    <row r="8074" ht="22.5" customHeight="1">
      <c r="B8074" s="17"/>
      <c r="C8074" s="17"/>
      <c r="D8074" s="13"/>
      <c r="E8074" s="11"/>
      <c r="F8074" s="11"/>
      <c r="G8074" s="13">
        <f t="shared" si="1"/>
        <v>1281</v>
      </c>
      <c r="H8074" s="13"/>
    </row>
    <row r="8075" ht="22.5" customHeight="1">
      <c r="B8075" s="17"/>
      <c r="C8075" s="17"/>
      <c r="D8075" s="13"/>
      <c r="E8075" s="11"/>
      <c r="F8075" s="11"/>
      <c r="G8075" s="13">
        <f t="shared" si="1"/>
        <v>1281</v>
      </c>
      <c r="H8075" s="13"/>
    </row>
    <row r="8076" ht="22.5" customHeight="1">
      <c r="B8076" s="17"/>
      <c r="C8076" s="17"/>
      <c r="D8076" s="13"/>
      <c r="E8076" s="11"/>
      <c r="F8076" s="11"/>
      <c r="G8076" s="13">
        <f t="shared" si="1"/>
        <v>1281</v>
      </c>
      <c r="H8076" s="13"/>
    </row>
    <row r="8077" ht="22.5" customHeight="1">
      <c r="B8077" s="17"/>
      <c r="C8077" s="17"/>
      <c r="D8077" s="13"/>
      <c r="E8077" s="11"/>
      <c r="F8077" s="11"/>
      <c r="G8077" s="13">
        <f t="shared" si="1"/>
        <v>1281</v>
      </c>
      <c r="H8077" s="13"/>
    </row>
    <row r="8078" ht="22.5" customHeight="1">
      <c r="B8078" s="17"/>
      <c r="C8078" s="17"/>
      <c r="D8078" s="13"/>
      <c r="E8078" s="11"/>
      <c r="F8078" s="11"/>
      <c r="G8078" s="13">
        <f t="shared" si="1"/>
        <v>1281</v>
      </c>
      <c r="H8078" s="13"/>
    </row>
    <row r="8079" ht="22.5" customHeight="1">
      <c r="B8079" s="17"/>
      <c r="C8079" s="17"/>
      <c r="D8079" s="13"/>
      <c r="E8079" s="11"/>
      <c r="F8079" s="11"/>
      <c r="G8079" s="13">
        <f t="shared" si="1"/>
        <v>1281</v>
      </c>
      <c r="H8079" s="13"/>
    </row>
    <row r="8080" ht="22.5" customHeight="1">
      <c r="B8080" s="17"/>
      <c r="C8080" s="17"/>
      <c r="D8080" s="13"/>
      <c r="E8080" s="11"/>
      <c r="F8080" s="11"/>
      <c r="G8080" s="13">
        <f t="shared" si="1"/>
        <v>1281</v>
      </c>
      <c r="H8080" s="13"/>
    </row>
    <row r="8081" ht="22.5" customHeight="1">
      <c r="B8081" s="17"/>
      <c r="C8081" s="17"/>
      <c r="D8081" s="13"/>
      <c r="E8081" s="11"/>
      <c r="F8081" s="11"/>
      <c r="G8081" s="13">
        <f t="shared" si="1"/>
        <v>1281</v>
      </c>
      <c r="H8081" s="13"/>
    </row>
    <row r="8082" ht="22.5" customHeight="1">
      <c r="B8082" s="17"/>
      <c r="C8082" s="17"/>
      <c r="D8082" s="13"/>
      <c r="E8082" s="11"/>
      <c r="F8082" s="11"/>
      <c r="G8082" s="13">
        <f t="shared" si="1"/>
        <v>1281</v>
      </c>
      <c r="H8082" s="13"/>
    </row>
    <row r="8083" ht="22.5" customHeight="1">
      <c r="B8083" s="17"/>
      <c r="C8083" s="17"/>
      <c r="D8083" s="13"/>
      <c r="E8083" s="11"/>
      <c r="F8083" s="11"/>
      <c r="G8083" s="13">
        <f t="shared" si="1"/>
        <v>1281</v>
      </c>
      <c r="H8083" s="13"/>
    </row>
    <row r="8084" ht="22.5" customHeight="1">
      <c r="B8084" s="17"/>
      <c r="C8084" s="17"/>
      <c r="D8084" s="13"/>
      <c r="E8084" s="11"/>
      <c r="F8084" s="11"/>
      <c r="G8084" s="13">
        <f t="shared" si="1"/>
        <v>1281</v>
      </c>
      <c r="H8084" s="13"/>
    </row>
    <row r="8085" ht="22.5" customHeight="1">
      <c r="B8085" s="17"/>
      <c r="C8085" s="17"/>
      <c r="D8085" s="13"/>
      <c r="E8085" s="11"/>
      <c r="F8085" s="11"/>
      <c r="G8085" s="13">
        <f t="shared" si="1"/>
        <v>1281</v>
      </c>
      <c r="H8085" s="13"/>
    </row>
    <row r="8086" ht="22.5" customHeight="1">
      <c r="B8086" s="17"/>
      <c r="C8086" s="17"/>
      <c r="D8086" s="13"/>
      <c r="E8086" s="11"/>
      <c r="F8086" s="11"/>
      <c r="G8086" s="13">
        <f t="shared" si="1"/>
        <v>1281</v>
      </c>
      <c r="H8086" s="13"/>
    </row>
    <row r="8087" ht="22.5" customHeight="1">
      <c r="B8087" s="17"/>
      <c r="C8087" s="17"/>
      <c r="D8087" s="13"/>
      <c r="E8087" s="11"/>
      <c r="F8087" s="11"/>
      <c r="G8087" s="13">
        <f t="shared" si="1"/>
        <v>1281</v>
      </c>
      <c r="H8087" s="13"/>
    </row>
    <row r="8088" ht="22.5" customHeight="1">
      <c r="B8088" s="17"/>
      <c r="C8088" s="17"/>
      <c r="D8088" s="13"/>
      <c r="E8088" s="11"/>
      <c r="F8088" s="11"/>
      <c r="G8088" s="13">
        <f t="shared" si="1"/>
        <v>1281</v>
      </c>
      <c r="H8088" s="13"/>
    </row>
    <row r="8089" ht="22.5" customHeight="1">
      <c r="B8089" s="17"/>
      <c r="C8089" s="17"/>
      <c r="D8089" s="13"/>
      <c r="E8089" s="11"/>
      <c r="F8089" s="11"/>
      <c r="G8089" s="13">
        <f t="shared" si="1"/>
        <v>1281</v>
      </c>
      <c r="H8089" s="13"/>
    </row>
    <row r="8090" ht="22.5" customHeight="1">
      <c r="B8090" s="17"/>
      <c r="C8090" s="17"/>
      <c r="D8090" s="13"/>
      <c r="E8090" s="11"/>
      <c r="F8090" s="11"/>
      <c r="G8090" s="13">
        <f t="shared" si="1"/>
        <v>1281</v>
      </c>
      <c r="H8090" s="13"/>
    </row>
    <row r="8091" ht="22.5" customHeight="1">
      <c r="B8091" s="17"/>
      <c r="C8091" s="17"/>
      <c r="D8091" s="13"/>
      <c r="E8091" s="11"/>
      <c r="F8091" s="11"/>
      <c r="G8091" s="13">
        <f t="shared" si="1"/>
        <v>1281</v>
      </c>
      <c r="H8091" s="13"/>
    </row>
    <row r="8092" ht="22.5" customHeight="1">
      <c r="B8092" s="17"/>
      <c r="C8092" s="17"/>
      <c r="D8092" s="13"/>
      <c r="E8092" s="11"/>
      <c r="F8092" s="11"/>
      <c r="G8092" s="13">
        <f t="shared" si="1"/>
        <v>1281</v>
      </c>
      <c r="H8092" s="13"/>
    </row>
    <row r="8093" ht="22.5" customHeight="1">
      <c r="B8093" s="17"/>
      <c r="C8093" s="17"/>
      <c r="D8093" s="13"/>
      <c r="E8093" s="11"/>
      <c r="F8093" s="11"/>
      <c r="G8093" s="13">
        <f t="shared" si="1"/>
        <v>1281</v>
      </c>
      <c r="H8093" s="13"/>
    </row>
    <row r="8094" ht="22.5" customHeight="1">
      <c r="B8094" s="17"/>
      <c r="C8094" s="17"/>
      <c r="D8094" s="13"/>
      <c r="E8094" s="11"/>
      <c r="F8094" s="11"/>
      <c r="G8094" s="13">
        <f t="shared" si="1"/>
        <v>1281</v>
      </c>
      <c r="H8094" s="13"/>
    </row>
    <row r="8095" ht="22.5" customHeight="1">
      <c r="B8095" s="17"/>
      <c r="C8095" s="17"/>
      <c r="D8095" s="13"/>
      <c r="E8095" s="11"/>
      <c r="F8095" s="11"/>
      <c r="G8095" s="13">
        <f t="shared" si="1"/>
        <v>1281</v>
      </c>
      <c r="H8095" s="13"/>
    </row>
    <row r="8096" ht="22.5" customHeight="1">
      <c r="B8096" s="17"/>
      <c r="C8096" s="17"/>
      <c r="D8096" s="13"/>
      <c r="E8096" s="11"/>
      <c r="F8096" s="11"/>
      <c r="G8096" s="13">
        <f t="shared" si="1"/>
        <v>1281</v>
      </c>
      <c r="H8096" s="13"/>
    </row>
    <row r="8097" ht="22.5" customHeight="1">
      <c r="B8097" s="17"/>
      <c r="C8097" s="17"/>
      <c r="D8097" s="13"/>
      <c r="E8097" s="11"/>
      <c r="F8097" s="11"/>
      <c r="G8097" s="13">
        <f t="shared" si="1"/>
        <v>1281</v>
      </c>
      <c r="H8097" s="13"/>
    </row>
    <row r="8098" ht="22.5" customHeight="1">
      <c r="B8098" s="17"/>
      <c r="C8098" s="17"/>
      <c r="D8098" s="13"/>
      <c r="E8098" s="11"/>
      <c r="F8098" s="11"/>
      <c r="G8098" s="13">
        <f t="shared" si="1"/>
        <v>1281</v>
      </c>
      <c r="H8098" s="13"/>
    </row>
    <row r="8099" ht="22.5" customHeight="1">
      <c r="B8099" s="17"/>
      <c r="C8099" s="17"/>
      <c r="D8099" s="13"/>
      <c r="E8099" s="11"/>
      <c r="F8099" s="11"/>
      <c r="G8099" s="13">
        <f t="shared" si="1"/>
        <v>1281</v>
      </c>
      <c r="H8099" s="13"/>
    </row>
    <row r="8100" ht="22.5" customHeight="1">
      <c r="B8100" s="17"/>
      <c r="C8100" s="17"/>
      <c r="D8100" s="13"/>
      <c r="E8100" s="11"/>
      <c r="F8100" s="11"/>
      <c r="G8100" s="13">
        <f t="shared" si="1"/>
        <v>1281</v>
      </c>
      <c r="H8100" s="13"/>
    </row>
    <row r="8101" ht="22.5" customHeight="1">
      <c r="B8101" s="17"/>
      <c r="C8101" s="17"/>
      <c r="D8101" s="13"/>
      <c r="E8101" s="11"/>
      <c r="F8101" s="11"/>
      <c r="G8101" s="13">
        <f t="shared" si="1"/>
        <v>1281</v>
      </c>
      <c r="H8101" s="13"/>
    </row>
    <row r="8102" ht="22.5" customHeight="1">
      <c r="B8102" s="17"/>
      <c r="C8102" s="17"/>
      <c r="D8102" s="13"/>
      <c r="E8102" s="11"/>
      <c r="F8102" s="11"/>
      <c r="G8102" s="13">
        <f t="shared" si="1"/>
        <v>1281</v>
      </c>
      <c r="H8102" s="13"/>
    </row>
    <row r="8103" ht="22.5" customHeight="1">
      <c r="B8103" s="17"/>
      <c r="C8103" s="17"/>
      <c r="D8103" s="13"/>
      <c r="E8103" s="11"/>
      <c r="F8103" s="11"/>
      <c r="G8103" s="13">
        <f t="shared" si="1"/>
        <v>1281</v>
      </c>
      <c r="H8103" s="13"/>
    </row>
    <row r="8104" ht="22.5" customHeight="1">
      <c r="B8104" s="17"/>
      <c r="C8104" s="17"/>
      <c r="D8104" s="13"/>
      <c r="E8104" s="11"/>
      <c r="F8104" s="11"/>
      <c r="G8104" s="13">
        <f t="shared" si="1"/>
        <v>1281</v>
      </c>
      <c r="H8104" s="13"/>
    </row>
    <row r="8105" ht="22.5" customHeight="1">
      <c r="B8105" s="17"/>
      <c r="C8105" s="17"/>
      <c r="D8105" s="13"/>
      <c r="E8105" s="11"/>
      <c r="F8105" s="11"/>
      <c r="G8105" s="13">
        <f t="shared" si="1"/>
        <v>1281</v>
      </c>
      <c r="H8105" s="13"/>
    </row>
    <row r="8106" ht="22.5" customHeight="1">
      <c r="B8106" s="17"/>
      <c r="C8106" s="17"/>
      <c r="D8106" s="13"/>
      <c r="E8106" s="11"/>
      <c r="F8106" s="11"/>
      <c r="G8106" s="13">
        <f t="shared" si="1"/>
        <v>1281</v>
      </c>
      <c r="H8106" s="13"/>
    </row>
    <row r="8107" ht="22.5" customHeight="1">
      <c r="B8107" s="17"/>
      <c r="C8107" s="17"/>
      <c r="D8107" s="13"/>
      <c r="E8107" s="11"/>
      <c r="F8107" s="11"/>
      <c r="G8107" s="13">
        <f t="shared" si="1"/>
        <v>1281</v>
      </c>
      <c r="H8107" s="13"/>
    </row>
    <row r="8108" ht="22.5" customHeight="1">
      <c r="B8108" s="17"/>
      <c r="C8108" s="17"/>
      <c r="D8108" s="13"/>
      <c r="E8108" s="11"/>
      <c r="F8108" s="11"/>
      <c r="G8108" s="13">
        <f t="shared" si="1"/>
        <v>1281</v>
      </c>
      <c r="H8108" s="13"/>
    </row>
    <row r="8109" ht="22.5" customHeight="1">
      <c r="B8109" s="17"/>
      <c r="C8109" s="17"/>
      <c r="D8109" s="13"/>
      <c r="E8109" s="11"/>
      <c r="F8109" s="11"/>
      <c r="G8109" s="13">
        <f t="shared" si="1"/>
        <v>1281</v>
      </c>
      <c r="H8109" s="13"/>
    </row>
    <row r="8110" ht="22.5" customHeight="1">
      <c r="B8110" s="17"/>
      <c r="C8110" s="17"/>
      <c r="D8110" s="13"/>
      <c r="E8110" s="11"/>
      <c r="F8110" s="11"/>
      <c r="G8110" s="13">
        <f t="shared" si="1"/>
        <v>1281</v>
      </c>
      <c r="H8110" s="13"/>
    </row>
    <row r="8111" ht="22.5" customHeight="1">
      <c r="B8111" s="17"/>
      <c r="C8111" s="17"/>
      <c r="D8111" s="13"/>
      <c r="E8111" s="11"/>
      <c r="F8111" s="11"/>
      <c r="G8111" s="13">
        <f t="shared" si="1"/>
        <v>1281</v>
      </c>
      <c r="H8111" s="13"/>
    </row>
    <row r="8112" ht="22.5" customHeight="1">
      <c r="B8112" s="17"/>
      <c r="C8112" s="17"/>
      <c r="D8112" s="13"/>
      <c r="E8112" s="11"/>
      <c r="F8112" s="11"/>
      <c r="G8112" s="13">
        <f t="shared" si="1"/>
        <v>1281</v>
      </c>
      <c r="H8112" s="13"/>
    </row>
    <row r="8113" ht="22.5" customHeight="1">
      <c r="B8113" s="17"/>
      <c r="C8113" s="17"/>
      <c r="D8113" s="13"/>
      <c r="E8113" s="11"/>
      <c r="F8113" s="11"/>
      <c r="G8113" s="13">
        <f t="shared" si="1"/>
        <v>1281</v>
      </c>
      <c r="H8113" s="13"/>
    </row>
    <row r="8114" ht="22.5" customHeight="1">
      <c r="B8114" s="17"/>
      <c r="C8114" s="17"/>
      <c r="D8114" s="13"/>
      <c r="E8114" s="11"/>
      <c r="F8114" s="11"/>
      <c r="G8114" s="13">
        <f t="shared" si="1"/>
        <v>1281</v>
      </c>
      <c r="H8114" s="13"/>
    </row>
    <row r="8115" ht="22.5" customHeight="1">
      <c r="B8115" s="17"/>
      <c r="C8115" s="17"/>
      <c r="D8115" s="13"/>
      <c r="E8115" s="11"/>
      <c r="F8115" s="11"/>
      <c r="G8115" s="13">
        <f t="shared" si="1"/>
        <v>1281</v>
      </c>
      <c r="H8115" s="13"/>
    </row>
    <row r="8116" ht="22.5" customHeight="1">
      <c r="B8116" s="17"/>
      <c r="C8116" s="17"/>
      <c r="D8116" s="13"/>
      <c r="E8116" s="11"/>
      <c r="F8116" s="11"/>
      <c r="G8116" s="13">
        <f t="shared" si="1"/>
        <v>1281</v>
      </c>
      <c r="H8116" s="13"/>
    </row>
    <row r="8117" ht="22.5" customHeight="1">
      <c r="B8117" s="17"/>
      <c r="C8117" s="17"/>
      <c r="D8117" s="13"/>
      <c r="E8117" s="11"/>
      <c r="F8117" s="11"/>
      <c r="G8117" s="13">
        <f t="shared" si="1"/>
        <v>1281</v>
      </c>
      <c r="H8117" s="13"/>
    </row>
    <row r="8118" ht="22.5" customHeight="1">
      <c r="B8118" s="17"/>
      <c r="C8118" s="17"/>
      <c r="D8118" s="13"/>
      <c r="E8118" s="11"/>
      <c r="F8118" s="11"/>
      <c r="G8118" s="13">
        <f t="shared" si="1"/>
        <v>1281</v>
      </c>
      <c r="H8118" s="13"/>
    </row>
    <row r="8119" ht="22.5" customHeight="1">
      <c r="B8119" s="17"/>
      <c r="C8119" s="17"/>
      <c r="D8119" s="13"/>
      <c r="E8119" s="11"/>
      <c r="F8119" s="11"/>
      <c r="G8119" s="13">
        <f t="shared" si="1"/>
        <v>1281</v>
      </c>
      <c r="H8119" s="13"/>
    </row>
    <row r="8120" ht="22.5" customHeight="1">
      <c r="B8120" s="17"/>
      <c r="C8120" s="17"/>
      <c r="D8120" s="13"/>
      <c r="E8120" s="11"/>
      <c r="F8120" s="11"/>
      <c r="G8120" s="13">
        <f t="shared" si="1"/>
        <v>1281</v>
      </c>
      <c r="H8120" s="13"/>
    </row>
    <row r="8121" ht="22.5" customHeight="1">
      <c r="B8121" s="17"/>
      <c r="C8121" s="17"/>
      <c r="D8121" s="13"/>
      <c r="E8121" s="11"/>
      <c r="F8121" s="11"/>
      <c r="G8121" s="13">
        <f t="shared" si="1"/>
        <v>1281</v>
      </c>
      <c r="H8121" s="13"/>
    </row>
    <row r="8122" ht="22.5" customHeight="1">
      <c r="B8122" s="17"/>
      <c r="C8122" s="17"/>
      <c r="D8122" s="13"/>
      <c r="E8122" s="11"/>
      <c r="F8122" s="11"/>
      <c r="G8122" s="13">
        <f t="shared" si="1"/>
        <v>1281</v>
      </c>
      <c r="H8122" s="13"/>
    </row>
    <row r="8123" ht="22.5" customHeight="1">
      <c r="B8123" s="17"/>
      <c r="C8123" s="17"/>
      <c r="D8123" s="13"/>
      <c r="E8123" s="11"/>
      <c r="F8123" s="11"/>
      <c r="G8123" s="13">
        <f t="shared" si="1"/>
        <v>1281</v>
      </c>
      <c r="H8123" s="13"/>
    </row>
    <row r="8124" ht="22.5" customHeight="1">
      <c r="B8124" s="17"/>
      <c r="C8124" s="17"/>
      <c r="D8124" s="13"/>
      <c r="E8124" s="11"/>
      <c r="F8124" s="11"/>
      <c r="G8124" s="13">
        <f t="shared" si="1"/>
        <v>1281</v>
      </c>
      <c r="H8124" s="13"/>
    </row>
    <row r="8125" ht="22.5" customHeight="1">
      <c r="B8125" s="17"/>
      <c r="C8125" s="17"/>
      <c r="D8125" s="13"/>
      <c r="E8125" s="11"/>
      <c r="F8125" s="11"/>
      <c r="G8125" s="13">
        <f t="shared" si="1"/>
        <v>1281</v>
      </c>
      <c r="H8125" s="13"/>
    </row>
    <row r="8126" ht="22.5" customHeight="1">
      <c r="B8126" s="17"/>
      <c r="C8126" s="17"/>
      <c r="D8126" s="13"/>
      <c r="E8126" s="11"/>
      <c r="F8126" s="11"/>
      <c r="G8126" s="13">
        <f t="shared" si="1"/>
        <v>1281</v>
      </c>
      <c r="H8126" s="13"/>
    </row>
    <row r="8127" ht="22.5" customHeight="1">
      <c r="B8127" s="17"/>
      <c r="C8127" s="17"/>
      <c r="D8127" s="13"/>
      <c r="E8127" s="11"/>
      <c r="F8127" s="11"/>
      <c r="G8127" s="13">
        <f t="shared" si="1"/>
        <v>1281</v>
      </c>
      <c r="H8127" s="13"/>
    </row>
    <row r="8128" ht="22.5" customHeight="1">
      <c r="B8128" s="17"/>
      <c r="C8128" s="17"/>
      <c r="D8128" s="13"/>
      <c r="E8128" s="11"/>
      <c r="F8128" s="11"/>
      <c r="G8128" s="13">
        <f t="shared" si="1"/>
        <v>1281</v>
      </c>
      <c r="H8128" s="13"/>
    </row>
    <row r="8129" ht="22.5" customHeight="1">
      <c r="B8129" s="17"/>
      <c r="C8129" s="17"/>
      <c r="D8129" s="13"/>
      <c r="E8129" s="11"/>
      <c r="F8129" s="11"/>
      <c r="G8129" s="13">
        <f t="shared" si="1"/>
        <v>1281</v>
      </c>
      <c r="H8129" s="13"/>
    </row>
    <row r="8130" ht="22.5" customHeight="1">
      <c r="B8130" s="17"/>
      <c r="C8130" s="17"/>
      <c r="D8130" s="13"/>
      <c r="E8130" s="11"/>
      <c r="F8130" s="11"/>
      <c r="G8130" s="13">
        <f t="shared" si="1"/>
        <v>1281</v>
      </c>
      <c r="H8130" s="13"/>
    </row>
    <row r="8131" ht="22.5" customHeight="1">
      <c r="B8131" s="17"/>
      <c r="C8131" s="17"/>
      <c r="D8131" s="13"/>
      <c r="E8131" s="11"/>
      <c r="F8131" s="11"/>
      <c r="G8131" s="13">
        <f t="shared" si="1"/>
        <v>1281</v>
      </c>
      <c r="H8131" s="13"/>
    </row>
    <row r="8132" ht="22.5" customHeight="1">
      <c r="B8132" s="17"/>
      <c r="C8132" s="17"/>
      <c r="D8132" s="13"/>
      <c r="E8132" s="11"/>
      <c r="F8132" s="11"/>
      <c r="G8132" s="13">
        <f t="shared" si="1"/>
        <v>1281</v>
      </c>
      <c r="H8132" s="13"/>
    </row>
    <row r="8133" ht="22.5" customHeight="1">
      <c r="B8133" s="17"/>
      <c r="C8133" s="17"/>
      <c r="D8133" s="13"/>
      <c r="E8133" s="11"/>
      <c r="F8133" s="11"/>
      <c r="G8133" s="13">
        <f t="shared" si="1"/>
        <v>1281</v>
      </c>
      <c r="H8133" s="13"/>
    </row>
    <row r="8134" ht="22.5" customHeight="1">
      <c r="B8134" s="17"/>
      <c r="C8134" s="17"/>
      <c r="D8134" s="13"/>
      <c r="E8134" s="11"/>
      <c r="F8134" s="11"/>
      <c r="G8134" s="13">
        <f t="shared" si="1"/>
        <v>1281</v>
      </c>
      <c r="H8134" s="13"/>
    </row>
    <row r="8135" ht="22.5" customHeight="1">
      <c r="B8135" s="17"/>
      <c r="C8135" s="17"/>
      <c r="D8135" s="13"/>
      <c r="E8135" s="11"/>
      <c r="F8135" s="11"/>
      <c r="G8135" s="13">
        <f t="shared" si="1"/>
        <v>1281</v>
      </c>
      <c r="H8135" s="13"/>
    </row>
    <row r="8136" ht="22.5" customHeight="1">
      <c r="B8136" s="17"/>
      <c r="C8136" s="17"/>
      <c r="D8136" s="13"/>
      <c r="E8136" s="11"/>
      <c r="F8136" s="11"/>
      <c r="G8136" s="13">
        <f t="shared" si="1"/>
        <v>1281</v>
      </c>
      <c r="H8136" s="13"/>
    </row>
    <row r="8137" ht="22.5" customHeight="1">
      <c r="B8137" s="17"/>
      <c r="C8137" s="17"/>
      <c r="D8137" s="13"/>
      <c r="E8137" s="11"/>
      <c r="F8137" s="11"/>
      <c r="G8137" s="13">
        <f t="shared" si="1"/>
        <v>1281</v>
      </c>
      <c r="H8137" s="13"/>
    </row>
    <row r="8138" ht="22.5" customHeight="1">
      <c r="B8138" s="17"/>
      <c r="C8138" s="17"/>
      <c r="D8138" s="13"/>
      <c r="E8138" s="11"/>
      <c r="F8138" s="11"/>
      <c r="G8138" s="13">
        <f t="shared" si="1"/>
        <v>1281</v>
      </c>
      <c r="H8138" s="13"/>
    </row>
    <row r="8139" ht="22.5" customHeight="1">
      <c r="B8139" s="17"/>
      <c r="C8139" s="17"/>
      <c r="D8139" s="13"/>
      <c r="E8139" s="11"/>
      <c r="F8139" s="11"/>
      <c r="G8139" s="13">
        <f t="shared" si="1"/>
        <v>1281</v>
      </c>
      <c r="H8139" s="13"/>
    </row>
    <row r="8140" ht="22.5" customHeight="1">
      <c r="B8140" s="17"/>
      <c r="C8140" s="17"/>
      <c r="D8140" s="13"/>
      <c r="E8140" s="11"/>
      <c r="F8140" s="11"/>
      <c r="G8140" s="13">
        <f t="shared" si="1"/>
        <v>1281</v>
      </c>
      <c r="H8140" s="13"/>
    </row>
    <row r="8141" ht="22.5" customHeight="1">
      <c r="B8141" s="17"/>
      <c r="C8141" s="17"/>
      <c r="D8141" s="13"/>
      <c r="E8141" s="11"/>
      <c r="F8141" s="11"/>
      <c r="G8141" s="13">
        <f t="shared" si="1"/>
        <v>1281</v>
      </c>
      <c r="H8141" s="13"/>
    </row>
    <row r="8142" ht="22.5" customHeight="1">
      <c r="B8142" s="17"/>
      <c r="C8142" s="17"/>
      <c r="D8142" s="13"/>
      <c r="E8142" s="11"/>
      <c r="F8142" s="11"/>
      <c r="G8142" s="13">
        <f t="shared" si="1"/>
        <v>1281</v>
      </c>
      <c r="H8142" s="13"/>
    </row>
    <row r="8143" ht="22.5" customHeight="1">
      <c r="B8143" s="17"/>
      <c r="C8143" s="17"/>
      <c r="D8143" s="13"/>
      <c r="E8143" s="11"/>
      <c r="F8143" s="11"/>
      <c r="G8143" s="13">
        <f t="shared" si="1"/>
        <v>1281</v>
      </c>
      <c r="H8143" s="13"/>
    </row>
    <row r="8144" ht="22.5" customHeight="1">
      <c r="B8144" s="17"/>
      <c r="C8144" s="17"/>
      <c r="D8144" s="13"/>
      <c r="E8144" s="11"/>
      <c r="F8144" s="11"/>
      <c r="G8144" s="13">
        <f t="shared" si="1"/>
        <v>1281</v>
      </c>
      <c r="H8144" s="13"/>
    </row>
    <row r="8145" ht="22.5" customHeight="1">
      <c r="B8145" s="17"/>
      <c r="C8145" s="17"/>
      <c r="D8145" s="13"/>
      <c r="E8145" s="11"/>
      <c r="F8145" s="11"/>
      <c r="G8145" s="13">
        <f t="shared" si="1"/>
        <v>1281</v>
      </c>
      <c r="H8145" s="13"/>
    </row>
    <row r="8146" ht="22.5" customHeight="1">
      <c r="B8146" s="17"/>
      <c r="C8146" s="17"/>
      <c r="D8146" s="13"/>
      <c r="E8146" s="11"/>
      <c r="F8146" s="11"/>
      <c r="G8146" s="13">
        <f t="shared" si="1"/>
        <v>1281</v>
      </c>
      <c r="H8146" s="13"/>
    </row>
    <row r="8147" ht="22.5" customHeight="1">
      <c r="B8147" s="17"/>
      <c r="C8147" s="17"/>
      <c r="D8147" s="13"/>
      <c r="E8147" s="11"/>
      <c r="F8147" s="11"/>
      <c r="G8147" s="13">
        <f t="shared" si="1"/>
        <v>1281</v>
      </c>
      <c r="H8147" s="13"/>
    </row>
    <row r="8148" ht="22.5" customHeight="1">
      <c r="B8148" s="17"/>
      <c r="C8148" s="17"/>
      <c r="D8148" s="13"/>
      <c r="E8148" s="11"/>
      <c r="F8148" s="11"/>
      <c r="G8148" s="13">
        <f t="shared" si="1"/>
        <v>1281</v>
      </c>
      <c r="H8148" s="13"/>
    </row>
    <row r="8149" ht="22.5" customHeight="1">
      <c r="B8149" s="17"/>
      <c r="C8149" s="17"/>
      <c r="D8149" s="13"/>
      <c r="E8149" s="11"/>
      <c r="F8149" s="11"/>
      <c r="G8149" s="13">
        <f t="shared" si="1"/>
        <v>1281</v>
      </c>
      <c r="H8149" s="13"/>
    </row>
    <row r="8150" ht="22.5" customHeight="1">
      <c r="B8150" s="17"/>
      <c r="C8150" s="17"/>
      <c r="D8150" s="13"/>
      <c r="E8150" s="11"/>
      <c r="F8150" s="11"/>
      <c r="G8150" s="13">
        <f t="shared" si="1"/>
        <v>1281</v>
      </c>
      <c r="H8150" s="13"/>
    </row>
    <row r="8151" ht="22.5" customHeight="1">
      <c r="B8151" s="17"/>
      <c r="C8151" s="17"/>
      <c r="D8151" s="13"/>
      <c r="E8151" s="11"/>
      <c r="F8151" s="11"/>
      <c r="G8151" s="13">
        <f t="shared" si="1"/>
        <v>1281</v>
      </c>
      <c r="H8151" s="13"/>
    </row>
    <row r="8152" ht="22.5" customHeight="1">
      <c r="B8152" s="17"/>
      <c r="C8152" s="17"/>
      <c r="D8152" s="13"/>
      <c r="E8152" s="11"/>
      <c r="F8152" s="11"/>
      <c r="G8152" s="13">
        <f t="shared" si="1"/>
        <v>1281</v>
      </c>
      <c r="H8152" s="13"/>
    </row>
    <row r="8153" ht="22.5" customHeight="1">
      <c r="B8153" s="17"/>
      <c r="C8153" s="17"/>
      <c r="D8153" s="13"/>
      <c r="E8153" s="11"/>
      <c r="F8153" s="11"/>
      <c r="G8153" s="13">
        <f t="shared" si="1"/>
        <v>1281</v>
      </c>
      <c r="H8153" s="13"/>
    </row>
    <row r="8154" ht="22.5" customHeight="1">
      <c r="B8154" s="17"/>
      <c r="C8154" s="17"/>
      <c r="D8154" s="13"/>
      <c r="E8154" s="11"/>
      <c r="F8154" s="11"/>
      <c r="G8154" s="13">
        <f t="shared" si="1"/>
        <v>1281</v>
      </c>
      <c r="H8154" s="13"/>
    </row>
    <row r="8155" ht="22.5" customHeight="1">
      <c r="B8155" s="17"/>
      <c r="C8155" s="17"/>
      <c r="D8155" s="13"/>
      <c r="E8155" s="11"/>
      <c r="F8155" s="11"/>
      <c r="G8155" s="13">
        <f t="shared" si="1"/>
        <v>1281</v>
      </c>
      <c r="H8155" s="13"/>
    </row>
    <row r="8156" ht="22.5" customHeight="1">
      <c r="B8156" s="17"/>
      <c r="C8156" s="17"/>
      <c r="D8156" s="13"/>
      <c r="E8156" s="11"/>
      <c r="F8156" s="11"/>
      <c r="G8156" s="13">
        <f t="shared" si="1"/>
        <v>1281</v>
      </c>
      <c r="H8156" s="13"/>
    </row>
    <row r="8157" ht="22.5" customHeight="1">
      <c r="B8157" s="17"/>
      <c r="C8157" s="17"/>
      <c r="D8157" s="13"/>
      <c r="E8157" s="11"/>
      <c r="F8157" s="11"/>
      <c r="G8157" s="13">
        <f t="shared" si="1"/>
        <v>1281</v>
      </c>
      <c r="H8157" s="13"/>
    </row>
    <row r="8158" ht="22.5" customHeight="1">
      <c r="B8158" s="17"/>
      <c r="C8158" s="17"/>
      <c r="D8158" s="13"/>
      <c r="E8158" s="11"/>
      <c r="F8158" s="11"/>
      <c r="G8158" s="13">
        <f t="shared" si="1"/>
        <v>1281</v>
      </c>
      <c r="H8158" s="13"/>
    </row>
    <row r="8159" ht="22.5" customHeight="1">
      <c r="B8159" s="17"/>
      <c r="C8159" s="17"/>
      <c r="D8159" s="13"/>
      <c r="E8159" s="11"/>
      <c r="F8159" s="11"/>
      <c r="G8159" s="13">
        <f t="shared" si="1"/>
        <v>1281</v>
      </c>
      <c r="H8159" s="13"/>
    </row>
    <row r="8160" ht="22.5" customHeight="1">
      <c r="B8160" s="17"/>
      <c r="C8160" s="17"/>
      <c r="D8160" s="13"/>
      <c r="E8160" s="11"/>
      <c r="F8160" s="11"/>
      <c r="G8160" s="13">
        <f t="shared" si="1"/>
        <v>1281</v>
      </c>
      <c r="H8160" s="13"/>
    </row>
    <row r="8161" ht="22.5" customHeight="1">
      <c r="B8161" s="17"/>
      <c r="C8161" s="17"/>
      <c r="D8161" s="13"/>
      <c r="E8161" s="11"/>
      <c r="F8161" s="11"/>
      <c r="G8161" s="13">
        <f t="shared" si="1"/>
        <v>1281</v>
      </c>
      <c r="H8161" s="13"/>
    </row>
    <row r="8162" ht="22.5" customHeight="1">
      <c r="B8162" s="17"/>
      <c r="C8162" s="17"/>
      <c r="D8162" s="13"/>
      <c r="E8162" s="11"/>
      <c r="F8162" s="11"/>
      <c r="G8162" s="13">
        <f t="shared" si="1"/>
        <v>1281</v>
      </c>
      <c r="H8162" s="13"/>
    </row>
    <row r="8163" ht="22.5" customHeight="1">
      <c r="B8163" s="17"/>
      <c r="C8163" s="17"/>
      <c r="D8163" s="13"/>
      <c r="E8163" s="11"/>
      <c r="F8163" s="11"/>
      <c r="G8163" s="13">
        <f t="shared" si="1"/>
        <v>1281</v>
      </c>
      <c r="H8163" s="13"/>
    </row>
    <row r="8164" ht="22.5" customHeight="1">
      <c r="B8164" s="17"/>
      <c r="C8164" s="17"/>
      <c r="D8164" s="13"/>
      <c r="E8164" s="11"/>
      <c r="F8164" s="11"/>
      <c r="G8164" s="13">
        <f t="shared" si="1"/>
        <v>1281</v>
      </c>
      <c r="H8164" s="13"/>
    </row>
    <row r="8165" ht="22.5" customHeight="1">
      <c r="B8165" s="17"/>
      <c r="C8165" s="17"/>
      <c r="D8165" s="13"/>
      <c r="E8165" s="11"/>
      <c r="F8165" s="11"/>
      <c r="G8165" s="13">
        <f t="shared" si="1"/>
        <v>1281</v>
      </c>
      <c r="H8165" s="13"/>
    </row>
    <row r="8166" ht="22.5" customHeight="1">
      <c r="B8166" s="17"/>
      <c r="C8166" s="17"/>
      <c r="D8166" s="13"/>
      <c r="E8166" s="11"/>
      <c r="F8166" s="11"/>
      <c r="G8166" s="13">
        <f t="shared" si="1"/>
        <v>1281</v>
      </c>
      <c r="H8166" s="13"/>
    </row>
    <row r="8167" ht="22.5" customHeight="1">
      <c r="B8167" s="17"/>
      <c r="C8167" s="17"/>
      <c r="D8167" s="13"/>
      <c r="E8167" s="11"/>
      <c r="F8167" s="11"/>
      <c r="G8167" s="13">
        <f t="shared" si="1"/>
        <v>1281</v>
      </c>
      <c r="H8167" s="13"/>
    </row>
    <row r="8168" ht="22.5" customHeight="1">
      <c r="B8168" s="17"/>
      <c r="C8168" s="17"/>
      <c r="D8168" s="13"/>
      <c r="E8168" s="11"/>
      <c r="F8168" s="11"/>
      <c r="G8168" s="13">
        <f t="shared" si="1"/>
        <v>1281</v>
      </c>
      <c r="H8168" s="13"/>
    </row>
    <row r="8169" ht="22.5" customHeight="1">
      <c r="B8169" s="17"/>
      <c r="C8169" s="17"/>
      <c r="D8169" s="13"/>
      <c r="E8169" s="11"/>
      <c r="F8169" s="11"/>
      <c r="G8169" s="13">
        <f t="shared" si="1"/>
        <v>1281</v>
      </c>
      <c r="H8169" s="13"/>
    </row>
    <row r="8170" ht="22.5" customHeight="1">
      <c r="B8170" s="17"/>
      <c r="C8170" s="17"/>
      <c r="D8170" s="13"/>
      <c r="E8170" s="11"/>
      <c r="F8170" s="11"/>
      <c r="G8170" s="13">
        <f t="shared" si="1"/>
        <v>1281</v>
      </c>
      <c r="H8170" s="13"/>
    </row>
    <row r="8171" ht="22.5" customHeight="1">
      <c r="B8171" s="17"/>
      <c r="C8171" s="17"/>
      <c r="D8171" s="13"/>
      <c r="E8171" s="11"/>
      <c r="F8171" s="11"/>
      <c r="G8171" s="13">
        <f t="shared" si="1"/>
        <v>1281</v>
      </c>
      <c r="H8171" s="13"/>
    </row>
    <row r="8172" ht="22.5" customHeight="1">
      <c r="B8172" s="17"/>
      <c r="C8172" s="17"/>
      <c r="D8172" s="13"/>
      <c r="E8172" s="11"/>
      <c r="F8172" s="11"/>
      <c r="G8172" s="13">
        <f t="shared" si="1"/>
        <v>1281</v>
      </c>
      <c r="H8172" s="13"/>
    </row>
    <row r="8173" ht="22.5" customHeight="1">
      <c r="B8173" s="17"/>
      <c r="C8173" s="17"/>
      <c r="D8173" s="13"/>
      <c r="E8173" s="11"/>
      <c r="F8173" s="11"/>
      <c r="G8173" s="13">
        <f t="shared" si="1"/>
        <v>1281</v>
      </c>
      <c r="H8173" s="13"/>
    </row>
    <row r="8174" ht="22.5" customHeight="1">
      <c r="B8174" s="17"/>
      <c r="C8174" s="17"/>
      <c r="D8174" s="13"/>
      <c r="E8174" s="11"/>
      <c r="F8174" s="11"/>
      <c r="G8174" s="13">
        <f t="shared" si="1"/>
        <v>1281</v>
      </c>
      <c r="H8174" s="13"/>
    </row>
    <row r="8175" ht="22.5" customHeight="1">
      <c r="B8175" s="17"/>
      <c r="C8175" s="17"/>
      <c r="D8175" s="13"/>
      <c r="E8175" s="11"/>
      <c r="F8175" s="11"/>
      <c r="G8175" s="13">
        <f t="shared" si="1"/>
        <v>1281</v>
      </c>
      <c r="H8175" s="13"/>
    </row>
    <row r="8176" ht="22.5" customHeight="1">
      <c r="B8176" s="17"/>
      <c r="C8176" s="17"/>
      <c r="D8176" s="13"/>
      <c r="E8176" s="11"/>
      <c r="F8176" s="11"/>
      <c r="G8176" s="13">
        <f t="shared" si="1"/>
        <v>1281</v>
      </c>
      <c r="H8176" s="13"/>
    </row>
    <row r="8177" ht="22.5" customHeight="1">
      <c r="B8177" s="17"/>
      <c r="C8177" s="17"/>
      <c r="D8177" s="13"/>
      <c r="E8177" s="11"/>
      <c r="F8177" s="11"/>
      <c r="G8177" s="13">
        <f t="shared" si="1"/>
        <v>1281</v>
      </c>
      <c r="H8177" s="13"/>
    </row>
    <row r="8178" ht="22.5" customHeight="1">
      <c r="B8178" s="17"/>
      <c r="C8178" s="17"/>
      <c r="D8178" s="13"/>
      <c r="E8178" s="11"/>
      <c r="F8178" s="11"/>
      <c r="G8178" s="13">
        <f t="shared" si="1"/>
        <v>1281</v>
      </c>
      <c r="H8178" s="13"/>
    </row>
    <row r="8179" ht="22.5" customHeight="1">
      <c r="B8179" s="17"/>
      <c r="C8179" s="17"/>
      <c r="D8179" s="13"/>
      <c r="E8179" s="11"/>
      <c r="F8179" s="11"/>
      <c r="G8179" s="13">
        <f t="shared" si="1"/>
        <v>1281</v>
      </c>
      <c r="H8179" s="13"/>
    </row>
    <row r="8180" ht="22.5" customHeight="1">
      <c r="B8180" s="17"/>
      <c r="C8180" s="17"/>
      <c r="D8180" s="13"/>
      <c r="E8180" s="11"/>
      <c r="F8180" s="11"/>
      <c r="G8180" s="13">
        <f t="shared" si="1"/>
        <v>1281</v>
      </c>
      <c r="H8180" s="13"/>
    </row>
    <row r="8181" ht="22.5" customHeight="1">
      <c r="B8181" s="17"/>
      <c r="C8181" s="17"/>
      <c r="D8181" s="13"/>
      <c r="E8181" s="11"/>
      <c r="F8181" s="11"/>
      <c r="G8181" s="13">
        <f t="shared" si="1"/>
        <v>1281</v>
      </c>
      <c r="H8181" s="13"/>
    </row>
    <row r="8182" ht="22.5" customHeight="1">
      <c r="B8182" s="17"/>
      <c r="C8182" s="17"/>
      <c r="D8182" s="13"/>
      <c r="E8182" s="11"/>
      <c r="F8182" s="11"/>
      <c r="G8182" s="13">
        <f t="shared" si="1"/>
        <v>1281</v>
      </c>
      <c r="H8182" s="13"/>
    </row>
    <row r="8183" ht="22.5" customHeight="1">
      <c r="B8183" s="17"/>
      <c r="C8183" s="17"/>
      <c r="D8183" s="13"/>
      <c r="E8183" s="11"/>
      <c r="F8183" s="11"/>
      <c r="G8183" s="13">
        <f t="shared" si="1"/>
        <v>1281</v>
      </c>
      <c r="H8183" s="13"/>
    </row>
    <row r="8184" ht="22.5" customHeight="1">
      <c r="B8184" s="17"/>
      <c r="C8184" s="17"/>
      <c r="D8184" s="13"/>
      <c r="E8184" s="11"/>
      <c r="F8184" s="11"/>
      <c r="G8184" s="13">
        <f t="shared" si="1"/>
        <v>1281</v>
      </c>
      <c r="H8184" s="13"/>
    </row>
    <row r="8185" ht="22.5" customHeight="1">
      <c r="B8185" s="17"/>
      <c r="C8185" s="17"/>
      <c r="D8185" s="13"/>
      <c r="E8185" s="11"/>
      <c r="F8185" s="11"/>
      <c r="G8185" s="13">
        <f t="shared" si="1"/>
        <v>1281</v>
      </c>
      <c r="H8185" s="13"/>
    </row>
    <row r="8186" ht="22.5" customHeight="1">
      <c r="B8186" s="17"/>
      <c r="C8186" s="17"/>
      <c r="D8186" s="13"/>
      <c r="E8186" s="11"/>
      <c r="F8186" s="11"/>
      <c r="G8186" s="13">
        <f t="shared" si="1"/>
        <v>1281</v>
      </c>
      <c r="H8186" s="13"/>
    </row>
    <row r="8187" ht="22.5" customHeight="1">
      <c r="B8187" s="17"/>
      <c r="C8187" s="17"/>
      <c r="D8187" s="13"/>
      <c r="E8187" s="11"/>
      <c r="F8187" s="11"/>
      <c r="G8187" s="13">
        <f t="shared" si="1"/>
        <v>1281</v>
      </c>
      <c r="H8187" s="13"/>
    </row>
    <row r="8188" ht="22.5" customHeight="1">
      <c r="B8188" s="17"/>
      <c r="C8188" s="17"/>
      <c r="D8188" s="13"/>
      <c r="E8188" s="11"/>
      <c r="F8188" s="11"/>
      <c r="G8188" s="13">
        <f t="shared" si="1"/>
        <v>1281</v>
      </c>
      <c r="H8188" s="13"/>
    </row>
    <row r="8189" ht="22.5" customHeight="1">
      <c r="B8189" s="17"/>
      <c r="C8189" s="17"/>
      <c r="D8189" s="13"/>
      <c r="E8189" s="11"/>
      <c r="F8189" s="11"/>
      <c r="G8189" s="13">
        <f t="shared" si="1"/>
        <v>1281</v>
      </c>
      <c r="H8189" s="13"/>
    </row>
    <row r="8190" ht="22.5" customHeight="1">
      <c r="B8190" s="17"/>
      <c r="C8190" s="17"/>
      <c r="D8190" s="13"/>
      <c r="E8190" s="11"/>
      <c r="F8190" s="11"/>
      <c r="G8190" s="13">
        <f t="shared" si="1"/>
        <v>1281</v>
      </c>
      <c r="H8190" s="13"/>
    </row>
    <row r="8191" ht="22.5" customHeight="1">
      <c r="B8191" s="17"/>
      <c r="C8191" s="17"/>
      <c r="D8191" s="13"/>
      <c r="E8191" s="11"/>
      <c r="F8191" s="11"/>
      <c r="G8191" s="13">
        <f t="shared" si="1"/>
        <v>1281</v>
      </c>
      <c r="H8191" s="13"/>
    </row>
    <row r="8192" ht="22.5" customHeight="1">
      <c r="B8192" s="17"/>
      <c r="C8192" s="17"/>
      <c r="D8192" s="13"/>
      <c r="E8192" s="11"/>
      <c r="F8192" s="11"/>
      <c r="G8192" s="13">
        <f t="shared" si="1"/>
        <v>1281</v>
      </c>
      <c r="H8192" s="13"/>
    </row>
    <row r="8193" ht="22.5" customHeight="1">
      <c r="B8193" s="17"/>
      <c r="C8193" s="17"/>
      <c r="D8193" s="13"/>
      <c r="E8193" s="11"/>
      <c r="F8193" s="11"/>
      <c r="G8193" s="13">
        <f t="shared" si="1"/>
        <v>1281</v>
      </c>
      <c r="H8193" s="13"/>
    </row>
    <row r="8194" ht="22.5" customHeight="1">
      <c r="B8194" s="17"/>
      <c r="C8194" s="17"/>
      <c r="D8194" s="13"/>
      <c r="E8194" s="11"/>
      <c r="F8194" s="11"/>
      <c r="G8194" s="13">
        <f t="shared" si="1"/>
        <v>1281</v>
      </c>
      <c r="H8194" s="13"/>
    </row>
    <row r="8195" ht="22.5" customHeight="1">
      <c r="B8195" s="17"/>
      <c r="C8195" s="17"/>
      <c r="D8195" s="13"/>
      <c r="E8195" s="11"/>
      <c r="F8195" s="11"/>
      <c r="G8195" s="13">
        <f t="shared" si="1"/>
        <v>1281</v>
      </c>
      <c r="H8195" s="13"/>
    </row>
    <row r="8196" ht="22.5" customHeight="1">
      <c r="B8196" s="17"/>
      <c r="C8196" s="17"/>
      <c r="D8196" s="13"/>
      <c r="E8196" s="11"/>
      <c r="F8196" s="11"/>
      <c r="G8196" s="13">
        <f t="shared" si="1"/>
        <v>1281</v>
      </c>
      <c r="H8196" s="13"/>
    </row>
    <row r="8197" ht="22.5" customHeight="1">
      <c r="B8197" s="17"/>
      <c r="C8197" s="17"/>
      <c r="D8197" s="13"/>
      <c r="E8197" s="11"/>
      <c r="F8197" s="11"/>
      <c r="G8197" s="13">
        <f t="shared" si="1"/>
        <v>1281</v>
      </c>
      <c r="H8197" s="13"/>
    </row>
    <row r="8198" ht="22.5" customHeight="1">
      <c r="B8198" s="17"/>
      <c r="C8198" s="17"/>
      <c r="D8198" s="13"/>
      <c r="E8198" s="11"/>
      <c r="F8198" s="11"/>
      <c r="G8198" s="13">
        <f t="shared" si="1"/>
        <v>1281</v>
      </c>
      <c r="H8198" s="13"/>
    </row>
    <row r="8199" ht="22.5" customHeight="1">
      <c r="B8199" s="17"/>
      <c r="C8199" s="17"/>
      <c r="D8199" s="13"/>
      <c r="E8199" s="11"/>
      <c r="F8199" s="11"/>
      <c r="G8199" s="13">
        <f t="shared" si="1"/>
        <v>1281</v>
      </c>
      <c r="H8199" s="13"/>
    </row>
    <row r="8200" ht="22.5" customHeight="1">
      <c r="B8200" s="17"/>
      <c r="C8200" s="17"/>
      <c r="D8200" s="13"/>
      <c r="E8200" s="11"/>
      <c r="F8200" s="11"/>
      <c r="G8200" s="13">
        <f t="shared" si="1"/>
        <v>1281</v>
      </c>
      <c r="H8200" s="13"/>
    </row>
    <row r="8201" ht="22.5" customHeight="1">
      <c r="B8201" s="17"/>
      <c r="C8201" s="17"/>
      <c r="D8201" s="13"/>
      <c r="E8201" s="11"/>
      <c r="F8201" s="11"/>
      <c r="G8201" s="13">
        <f t="shared" si="1"/>
        <v>1281</v>
      </c>
      <c r="H8201" s="13"/>
    </row>
    <row r="8202" ht="22.5" customHeight="1">
      <c r="B8202" s="17"/>
      <c r="C8202" s="17"/>
      <c r="D8202" s="13"/>
      <c r="E8202" s="11"/>
      <c r="F8202" s="11"/>
      <c r="G8202" s="13">
        <f t="shared" si="1"/>
        <v>1281</v>
      </c>
      <c r="H8202" s="13"/>
    </row>
    <row r="8203" ht="22.5" customHeight="1">
      <c r="B8203" s="17"/>
      <c r="C8203" s="17"/>
      <c r="D8203" s="13"/>
      <c r="E8203" s="11"/>
      <c r="F8203" s="11"/>
      <c r="G8203" s="13">
        <f t="shared" si="1"/>
        <v>1281</v>
      </c>
      <c r="H8203" s="13"/>
    </row>
    <row r="8204" ht="22.5" customHeight="1">
      <c r="B8204" s="17"/>
      <c r="C8204" s="17"/>
      <c r="D8204" s="13"/>
      <c r="E8204" s="11"/>
      <c r="F8204" s="11"/>
      <c r="G8204" s="13">
        <f t="shared" si="1"/>
        <v>1281</v>
      </c>
      <c r="H8204" s="13"/>
    </row>
    <row r="8205" ht="22.5" customHeight="1">
      <c r="B8205" s="17"/>
      <c r="C8205" s="17"/>
      <c r="D8205" s="13"/>
      <c r="E8205" s="11"/>
      <c r="F8205" s="11"/>
      <c r="G8205" s="13">
        <f t="shared" si="1"/>
        <v>1281</v>
      </c>
      <c r="H8205" s="13"/>
    </row>
    <row r="8206" ht="22.5" customHeight="1">
      <c r="B8206" s="17"/>
      <c r="C8206" s="17"/>
      <c r="D8206" s="13"/>
      <c r="E8206" s="11"/>
      <c r="F8206" s="11"/>
      <c r="G8206" s="13">
        <f t="shared" si="1"/>
        <v>1281</v>
      </c>
      <c r="H8206" s="13"/>
    </row>
    <row r="8207" ht="22.5" customHeight="1">
      <c r="B8207" s="17"/>
      <c r="C8207" s="17"/>
      <c r="D8207" s="13"/>
      <c r="E8207" s="11"/>
      <c r="F8207" s="11"/>
      <c r="G8207" s="13">
        <f t="shared" si="1"/>
        <v>1281</v>
      </c>
      <c r="H8207" s="13"/>
    </row>
    <row r="8208" ht="22.5" customHeight="1">
      <c r="B8208" s="17"/>
      <c r="C8208" s="17"/>
      <c r="D8208" s="13"/>
      <c r="E8208" s="11"/>
      <c r="F8208" s="11"/>
      <c r="G8208" s="13">
        <f t="shared" si="1"/>
        <v>1281</v>
      </c>
      <c r="H8208" s="13"/>
    </row>
    <row r="8209" ht="22.5" customHeight="1">
      <c r="B8209" s="17"/>
      <c r="C8209" s="17"/>
      <c r="D8209" s="13"/>
      <c r="E8209" s="11"/>
      <c r="F8209" s="11"/>
      <c r="G8209" s="13">
        <f t="shared" si="1"/>
        <v>1281</v>
      </c>
      <c r="H8209" s="13"/>
    </row>
    <row r="8210" ht="22.5" customHeight="1">
      <c r="B8210" s="17"/>
      <c r="C8210" s="17"/>
      <c r="D8210" s="13"/>
      <c r="E8210" s="11"/>
      <c r="F8210" s="11"/>
      <c r="G8210" s="13">
        <f t="shared" si="1"/>
        <v>1281</v>
      </c>
      <c r="H8210" s="13"/>
    </row>
    <row r="8211" ht="22.5" customHeight="1">
      <c r="B8211" s="17"/>
      <c r="C8211" s="17"/>
      <c r="D8211" s="13"/>
      <c r="E8211" s="11"/>
      <c r="F8211" s="11"/>
      <c r="G8211" s="13">
        <f t="shared" si="1"/>
        <v>1281</v>
      </c>
      <c r="H8211" s="13"/>
    </row>
    <row r="8212" ht="22.5" customHeight="1">
      <c r="B8212" s="17"/>
      <c r="C8212" s="17"/>
      <c r="D8212" s="13"/>
      <c r="E8212" s="11"/>
      <c r="F8212" s="11"/>
      <c r="G8212" s="13">
        <f t="shared" si="1"/>
        <v>1281</v>
      </c>
      <c r="H8212" s="13"/>
    </row>
    <row r="8213" ht="22.5" customHeight="1">
      <c r="B8213" s="17"/>
      <c r="C8213" s="17"/>
      <c r="D8213" s="13"/>
      <c r="E8213" s="11"/>
      <c r="F8213" s="11"/>
      <c r="G8213" s="13">
        <f t="shared" si="1"/>
        <v>1281</v>
      </c>
      <c r="H8213" s="13"/>
    </row>
    <row r="8214" ht="22.5" customHeight="1">
      <c r="B8214" s="17"/>
      <c r="C8214" s="17"/>
      <c r="D8214" s="13"/>
      <c r="E8214" s="11"/>
      <c r="F8214" s="11"/>
      <c r="G8214" s="13">
        <f t="shared" si="1"/>
        <v>1281</v>
      </c>
      <c r="H8214" s="13"/>
    </row>
    <row r="8215" ht="22.5" customHeight="1">
      <c r="B8215" s="17"/>
      <c r="C8215" s="17"/>
      <c r="D8215" s="13"/>
      <c r="E8215" s="11"/>
      <c r="F8215" s="11"/>
      <c r="G8215" s="13">
        <f t="shared" si="1"/>
        <v>1281</v>
      </c>
      <c r="H8215" s="13"/>
    </row>
    <row r="8216" ht="22.5" customHeight="1">
      <c r="B8216" s="17"/>
      <c r="C8216" s="17"/>
      <c r="D8216" s="13"/>
      <c r="E8216" s="11"/>
      <c r="F8216" s="11"/>
      <c r="G8216" s="13">
        <f t="shared" si="1"/>
        <v>1281</v>
      </c>
      <c r="H8216" s="13"/>
    </row>
    <row r="8217" ht="22.5" customHeight="1">
      <c r="B8217" s="17"/>
      <c r="C8217" s="17"/>
      <c r="D8217" s="13"/>
      <c r="E8217" s="11"/>
      <c r="F8217" s="11"/>
      <c r="G8217" s="13">
        <f t="shared" si="1"/>
        <v>1281</v>
      </c>
      <c r="H8217" s="13"/>
    </row>
    <row r="8218" ht="22.5" customHeight="1">
      <c r="B8218" s="17"/>
      <c r="C8218" s="17"/>
      <c r="D8218" s="13"/>
      <c r="E8218" s="11"/>
      <c r="F8218" s="11"/>
      <c r="G8218" s="13">
        <f t="shared" si="1"/>
        <v>1281</v>
      </c>
      <c r="H8218" s="13"/>
    </row>
    <row r="8219" ht="22.5" customHeight="1">
      <c r="B8219" s="17"/>
      <c r="C8219" s="17"/>
      <c r="D8219" s="13"/>
      <c r="E8219" s="11"/>
      <c r="F8219" s="11"/>
      <c r="G8219" s="13">
        <f t="shared" si="1"/>
        <v>1281</v>
      </c>
      <c r="H8219" s="13"/>
    </row>
    <row r="8220" ht="22.5" customHeight="1">
      <c r="B8220" s="17"/>
      <c r="C8220" s="17"/>
      <c r="D8220" s="13"/>
      <c r="E8220" s="11"/>
      <c r="F8220" s="11"/>
      <c r="G8220" s="13">
        <f t="shared" si="1"/>
        <v>1281</v>
      </c>
      <c r="H8220" s="13"/>
    </row>
    <row r="8221" ht="22.5" customHeight="1">
      <c r="B8221" s="17"/>
      <c r="C8221" s="17"/>
      <c r="D8221" s="13"/>
      <c r="E8221" s="11"/>
      <c r="F8221" s="11"/>
      <c r="G8221" s="13">
        <f t="shared" si="1"/>
        <v>1281</v>
      </c>
      <c r="H8221" s="13"/>
    </row>
    <row r="8222" ht="22.5" customHeight="1">
      <c r="B8222" s="17"/>
      <c r="C8222" s="17"/>
      <c r="D8222" s="13"/>
      <c r="E8222" s="11"/>
      <c r="F8222" s="11"/>
      <c r="G8222" s="13">
        <f t="shared" si="1"/>
        <v>1281</v>
      </c>
      <c r="H8222" s="13"/>
    </row>
    <row r="8223" ht="22.5" customHeight="1">
      <c r="B8223" s="17"/>
      <c r="C8223" s="17"/>
      <c r="D8223" s="13"/>
      <c r="E8223" s="11"/>
      <c r="F8223" s="11"/>
      <c r="G8223" s="13">
        <f t="shared" si="1"/>
        <v>1281</v>
      </c>
      <c r="H8223" s="13"/>
    </row>
    <row r="8224" ht="22.5" customHeight="1">
      <c r="B8224" s="17"/>
      <c r="C8224" s="17"/>
      <c r="D8224" s="13"/>
      <c r="E8224" s="11"/>
      <c r="F8224" s="11"/>
      <c r="G8224" s="13">
        <f t="shared" si="1"/>
        <v>1281</v>
      </c>
      <c r="H8224" s="13"/>
    </row>
    <row r="8225" ht="22.5" customHeight="1">
      <c r="B8225" s="17"/>
      <c r="C8225" s="17"/>
      <c r="D8225" s="13"/>
      <c r="E8225" s="11"/>
      <c r="F8225" s="11"/>
      <c r="G8225" s="13">
        <f t="shared" si="1"/>
        <v>1281</v>
      </c>
      <c r="H8225" s="13"/>
    </row>
    <row r="8226" ht="22.5" customHeight="1">
      <c r="B8226" s="17"/>
      <c r="C8226" s="17"/>
      <c r="D8226" s="13"/>
      <c r="E8226" s="11"/>
      <c r="F8226" s="11"/>
      <c r="G8226" s="13">
        <f t="shared" si="1"/>
        <v>1281</v>
      </c>
      <c r="H8226" s="13"/>
    </row>
    <row r="8227" ht="22.5" customHeight="1">
      <c r="B8227" s="17"/>
      <c r="C8227" s="17"/>
      <c r="D8227" s="13"/>
      <c r="E8227" s="11"/>
      <c r="F8227" s="11"/>
      <c r="G8227" s="13">
        <f t="shared" si="1"/>
        <v>1281</v>
      </c>
      <c r="H8227" s="13"/>
    </row>
    <row r="8228" ht="22.5" customHeight="1">
      <c r="B8228" s="17"/>
      <c r="C8228" s="17"/>
      <c r="D8228" s="13"/>
      <c r="E8228" s="11"/>
      <c r="F8228" s="11"/>
      <c r="G8228" s="13">
        <f t="shared" si="1"/>
        <v>1281</v>
      </c>
      <c r="H8228" s="13"/>
    </row>
    <row r="8229" ht="22.5" customHeight="1">
      <c r="B8229" s="17"/>
      <c r="C8229" s="17"/>
      <c r="D8229" s="13"/>
      <c r="E8229" s="11"/>
      <c r="F8229" s="11"/>
      <c r="G8229" s="13">
        <f t="shared" si="1"/>
        <v>1281</v>
      </c>
      <c r="H8229" s="13"/>
    </row>
    <row r="8230" ht="22.5" customHeight="1">
      <c r="B8230" s="17"/>
      <c r="C8230" s="17"/>
      <c r="D8230" s="13"/>
      <c r="E8230" s="11"/>
      <c r="F8230" s="11"/>
      <c r="G8230" s="13">
        <f t="shared" si="1"/>
        <v>1281</v>
      </c>
      <c r="H8230" s="13"/>
    </row>
    <row r="8231" ht="22.5" customHeight="1">
      <c r="B8231" s="17"/>
      <c r="C8231" s="17"/>
      <c r="D8231" s="13"/>
      <c r="E8231" s="11"/>
      <c r="F8231" s="11"/>
      <c r="G8231" s="13">
        <f t="shared" si="1"/>
        <v>1281</v>
      </c>
      <c r="H8231" s="13"/>
    </row>
    <row r="8232" ht="22.5" customHeight="1">
      <c r="B8232" s="17"/>
      <c r="C8232" s="17"/>
      <c r="D8232" s="13"/>
      <c r="E8232" s="11"/>
      <c r="F8232" s="11"/>
      <c r="G8232" s="13">
        <f t="shared" si="1"/>
        <v>1281</v>
      </c>
      <c r="H8232" s="13"/>
    </row>
    <row r="8233" ht="22.5" customHeight="1">
      <c r="B8233" s="17"/>
      <c r="C8233" s="17"/>
      <c r="D8233" s="13"/>
      <c r="E8233" s="11"/>
      <c r="F8233" s="11"/>
      <c r="G8233" s="13">
        <f t="shared" si="1"/>
        <v>1281</v>
      </c>
      <c r="H8233" s="13"/>
    </row>
    <row r="8234" ht="22.5" customHeight="1">
      <c r="B8234" s="17"/>
      <c r="C8234" s="17"/>
      <c r="D8234" s="13"/>
      <c r="E8234" s="11"/>
      <c r="F8234" s="11"/>
      <c r="G8234" s="13">
        <f t="shared" si="1"/>
        <v>1281</v>
      </c>
      <c r="H8234" s="13"/>
    </row>
    <row r="8235" ht="22.5" customHeight="1">
      <c r="B8235" s="17"/>
      <c r="C8235" s="17"/>
      <c r="D8235" s="13"/>
      <c r="E8235" s="11"/>
      <c r="F8235" s="11"/>
      <c r="G8235" s="13">
        <f t="shared" si="1"/>
        <v>1281</v>
      </c>
      <c r="H8235" s="13"/>
    </row>
    <row r="8236" ht="22.5" customHeight="1">
      <c r="B8236" s="17"/>
      <c r="C8236" s="17"/>
      <c r="D8236" s="13"/>
      <c r="E8236" s="11"/>
      <c r="F8236" s="11"/>
      <c r="G8236" s="13">
        <f t="shared" si="1"/>
        <v>1281</v>
      </c>
      <c r="H8236" s="13"/>
    </row>
    <row r="8237" ht="22.5" customHeight="1">
      <c r="B8237" s="17"/>
      <c r="C8237" s="17"/>
      <c r="D8237" s="13"/>
      <c r="E8237" s="11"/>
      <c r="F8237" s="11"/>
      <c r="G8237" s="13">
        <f t="shared" si="1"/>
        <v>1281</v>
      </c>
      <c r="H8237" s="13"/>
    </row>
    <row r="8238" ht="22.5" customHeight="1">
      <c r="B8238" s="17"/>
      <c r="C8238" s="17"/>
      <c r="D8238" s="13"/>
      <c r="E8238" s="11"/>
      <c r="F8238" s="11"/>
      <c r="G8238" s="13">
        <f t="shared" si="1"/>
        <v>1281</v>
      </c>
      <c r="H8238" s="13"/>
    </row>
    <row r="8239" ht="22.5" customHeight="1">
      <c r="B8239" s="17"/>
      <c r="C8239" s="17"/>
      <c r="D8239" s="13"/>
      <c r="E8239" s="11"/>
      <c r="F8239" s="11"/>
      <c r="G8239" s="13">
        <f t="shared" si="1"/>
        <v>1281</v>
      </c>
      <c r="H8239" s="13"/>
    </row>
    <row r="8240" ht="22.5" customHeight="1">
      <c r="B8240" s="17"/>
      <c r="C8240" s="17"/>
      <c r="D8240" s="13"/>
      <c r="E8240" s="11"/>
      <c r="F8240" s="11"/>
      <c r="G8240" s="13">
        <f t="shared" si="1"/>
        <v>1281</v>
      </c>
      <c r="H8240" s="13"/>
    </row>
    <row r="8241" ht="22.5" customHeight="1">
      <c r="B8241" s="17"/>
      <c r="C8241" s="17"/>
      <c r="D8241" s="13"/>
      <c r="E8241" s="11"/>
      <c r="F8241" s="11"/>
      <c r="G8241" s="13">
        <f t="shared" si="1"/>
        <v>1281</v>
      </c>
      <c r="H8241" s="13"/>
    </row>
    <row r="8242" ht="22.5" customHeight="1">
      <c r="B8242" s="17"/>
      <c r="C8242" s="17"/>
      <c r="D8242" s="13"/>
      <c r="E8242" s="11"/>
      <c r="F8242" s="11"/>
      <c r="G8242" s="13">
        <f t="shared" si="1"/>
        <v>1281</v>
      </c>
      <c r="H8242" s="13"/>
    </row>
    <row r="8243" ht="22.5" customHeight="1">
      <c r="B8243" s="17"/>
      <c r="C8243" s="17"/>
      <c r="D8243" s="13"/>
      <c r="E8243" s="11"/>
      <c r="F8243" s="11"/>
      <c r="G8243" s="13">
        <f t="shared" si="1"/>
        <v>1281</v>
      </c>
      <c r="H8243" s="13"/>
    </row>
    <row r="8244" ht="22.5" customHeight="1">
      <c r="B8244" s="17"/>
      <c r="C8244" s="17"/>
      <c r="D8244" s="13"/>
      <c r="E8244" s="11"/>
      <c r="F8244" s="11"/>
      <c r="G8244" s="13">
        <f t="shared" si="1"/>
        <v>1281</v>
      </c>
      <c r="H8244" s="13"/>
    </row>
    <row r="8245" ht="22.5" customHeight="1">
      <c r="B8245" s="17"/>
      <c r="C8245" s="17"/>
      <c r="D8245" s="13"/>
      <c r="E8245" s="11"/>
      <c r="F8245" s="11"/>
      <c r="G8245" s="13">
        <f t="shared" si="1"/>
        <v>1281</v>
      </c>
      <c r="H8245" s="13"/>
    </row>
    <row r="8246" ht="22.5" customHeight="1">
      <c r="B8246" s="17"/>
      <c r="C8246" s="17"/>
      <c r="D8246" s="13"/>
      <c r="E8246" s="11"/>
      <c r="F8246" s="11"/>
      <c r="G8246" s="13">
        <f t="shared" si="1"/>
        <v>1281</v>
      </c>
      <c r="H8246" s="13"/>
    </row>
    <row r="8247" ht="22.5" customHeight="1">
      <c r="B8247" s="17"/>
      <c r="C8247" s="17"/>
      <c r="D8247" s="13"/>
      <c r="E8247" s="11"/>
      <c r="F8247" s="11"/>
      <c r="G8247" s="13">
        <f t="shared" si="1"/>
        <v>1281</v>
      </c>
      <c r="H8247" s="13"/>
    </row>
    <row r="8248" ht="22.5" customHeight="1">
      <c r="B8248" s="17"/>
      <c r="C8248" s="17"/>
      <c r="D8248" s="13"/>
      <c r="E8248" s="11"/>
      <c r="F8248" s="11"/>
      <c r="G8248" s="13">
        <f t="shared" si="1"/>
        <v>1281</v>
      </c>
      <c r="H8248" s="13"/>
    </row>
    <row r="8249" ht="22.5" customHeight="1">
      <c r="B8249" s="17"/>
      <c r="C8249" s="17"/>
      <c r="D8249" s="13"/>
      <c r="E8249" s="11"/>
      <c r="F8249" s="11"/>
      <c r="G8249" s="13">
        <f t="shared" si="1"/>
        <v>1281</v>
      </c>
      <c r="H8249" s="13"/>
    </row>
    <row r="8250" ht="22.5" customHeight="1">
      <c r="B8250" s="17"/>
      <c r="C8250" s="17"/>
      <c r="D8250" s="13"/>
      <c r="E8250" s="11"/>
      <c r="F8250" s="11"/>
      <c r="G8250" s="13">
        <f t="shared" si="1"/>
        <v>1281</v>
      </c>
      <c r="H8250" s="13"/>
    </row>
    <row r="8251" ht="22.5" customHeight="1">
      <c r="B8251" s="17"/>
      <c r="C8251" s="17"/>
      <c r="D8251" s="13"/>
      <c r="E8251" s="11"/>
      <c r="F8251" s="11"/>
      <c r="G8251" s="13">
        <f t="shared" si="1"/>
        <v>1281</v>
      </c>
      <c r="H8251" s="13"/>
    </row>
    <row r="8252" ht="22.5" customHeight="1">
      <c r="B8252" s="17"/>
      <c r="C8252" s="17"/>
      <c r="D8252" s="13"/>
      <c r="E8252" s="11"/>
      <c r="F8252" s="11"/>
      <c r="G8252" s="13">
        <f t="shared" si="1"/>
        <v>1281</v>
      </c>
      <c r="H8252" s="13"/>
    </row>
    <row r="8253" ht="22.5" customHeight="1">
      <c r="B8253" s="17"/>
      <c r="C8253" s="17"/>
      <c r="D8253" s="13"/>
      <c r="E8253" s="11"/>
      <c r="F8253" s="11"/>
      <c r="G8253" s="13">
        <f t="shared" si="1"/>
        <v>1281</v>
      </c>
      <c r="H8253" s="13"/>
    </row>
    <row r="8254" ht="22.5" customHeight="1">
      <c r="B8254" s="17"/>
      <c r="C8254" s="17"/>
      <c r="D8254" s="13"/>
      <c r="E8254" s="11"/>
      <c r="F8254" s="11"/>
      <c r="G8254" s="13">
        <f t="shared" si="1"/>
        <v>1281</v>
      </c>
      <c r="H8254" s="13"/>
    </row>
    <row r="8255" ht="22.5" customHeight="1">
      <c r="B8255" s="17"/>
      <c r="C8255" s="17"/>
      <c r="D8255" s="13"/>
      <c r="E8255" s="11"/>
      <c r="F8255" s="11"/>
      <c r="G8255" s="13">
        <f t="shared" si="1"/>
        <v>1281</v>
      </c>
      <c r="H8255" s="13"/>
    </row>
    <row r="8256" ht="22.5" customHeight="1">
      <c r="B8256" s="17"/>
      <c r="C8256" s="17"/>
      <c r="D8256" s="13"/>
      <c r="E8256" s="11"/>
      <c r="F8256" s="11"/>
      <c r="G8256" s="13">
        <f t="shared" si="1"/>
        <v>1281</v>
      </c>
      <c r="H8256" s="13"/>
    </row>
    <row r="8257" ht="22.5" customHeight="1">
      <c r="B8257" s="17"/>
      <c r="C8257" s="17"/>
      <c r="D8257" s="13"/>
      <c r="E8257" s="11"/>
      <c r="F8257" s="11"/>
      <c r="G8257" s="13">
        <f t="shared" si="1"/>
        <v>1281</v>
      </c>
      <c r="H8257" s="13"/>
    </row>
    <row r="8258" ht="22.5" customHeight="1">
      <c r="B8258" s="17"/>
      <c r="C8258" s="17"/>
      <c r="D8258" s="13"/>
      <c r="E8258" s="11"/>
      <c r="F8258" s="11"/>
      <c r="G8258" s="13">
        <f t="shared" si="1"/>
        <v>1281</v>
      </c>
      <c r="H8258" s="13"/>
    </row>
    <row r="8259" ht="22.5" customHeight="1">
      <c r="B8259" s="17"/>
      <c r="C8259" s="17"/>
      <c r="D8259" s="13"/>
      <c r="E8259" s="11"/>
      <c r="F8259" s="11"/>
      <c r="G8259" s="13">
        <f t="shared" si="1"/>
        <v>1281</v>
      </c>
      <c r="H8259" s="13"/>
    </row>
    <row r="8260" ht="22.5" customHeight="1">
      <c r="B8260" s="17"/>
      <c r="C8260" s="17"/>
      <c r="D8260" s="13"/>
      <c r="E8260" s="11"/>
      <c r="F8260" s="11"/>
      <c r="G8260" s="13">
        <f t="shared" si="1"/>
        <v>1281</v>
      </c>
      <c r="H8260" s="13"/>
    </row>
    <row r="8261" ht="22.5" customHeight="1">
      <c r="B8261" s="17"/>
      <c r="C8261" s="17"/>
      <c r="D8261" s="13"/>
      <c r="E8261" s="11"/>
      <c r="F8261" s="11"/>
      <c r="G8261" s="13">
        <f t="shared" si="1"/>
        <v>1281</v>
      </c>
      <c r="H8261" s="13"/>
    </row>
    <row r="8262" ht="22.5" customHeight="1">
      <c r="B8262" s="17"/>
      <c r="C8262" s="17"/>
      <c r="D8262" s="13"/>
      <c r="E8262" s="11"/>
      <c r="F8262" s="11"/>
      <c r="G8262" s="13">
        <f t="shared" si="1"/>
        <v>1281</v>
      </c>
      <c r="H8262" s="13"/>
    </row>
    <row r="8263" ht="22.5" customHeight="1">
      <c r="B8263" s="17"/>
      <c r="C8263" s="17"/>
      <c r="D8263" s="13"/>
      <c r="E8263" s="11"/>
      <c r="F8263" s="11"/>
      <c r="G8263" s="13">
        <f t="shared" si="1"/>
        <v>1281</v>
      </c>
      <c r="H8263" s="13"/>
    </row>
    <row r="8264" ht="22.5" customHeight="1">
      <c r="B8264" s="17"/>
      <c r="C8264" s="17"/>
      <c r="D8264" s="13"/>
      <c r="E8264" s="11"/>
      <c r="F8264" s="11"/>
      <c r="G8264" s="13">
        <f t="shared" si="1"/>
        <v>1281</v>
      </c>
      <c r="H8264" s="13"/>
    </row>
    <row r="8265" ht="22.5" customHeight="1">
      <c r="B8265" s="17"/>
      <c r="C8265" s="17"/>
      <c r="D8265" s="13"/>
      <c r="E8265" s="11"/>
      <c r="F8265" s="11"/>
      <c r="G8265" s="13">
        <f t="shared" si="1"/>
        <v>1281</v>
      </c>
      <c r="H8265" s="13"/>
    </row>
    <row r="8266" ht="22.5" customHeight="1">
      <c r="B8266" s="17"/>
      <c r="C8266" s="17"/>
      <c r="D8266" s="13"/>
      <c r="E8266" s="11"/>
      <c r="F8266" s="11"/>
      <c r="G8266" s="13">
        <f t="shared" si="1"/>
        <v>1281</v>
      </c>
      <c r="H8266" s="13"/>
    </row>
    <row r="8267" ht="22.5" customHeight="1">
      <c r="B8267" s="17"/>
      <c r="C8267" s="17"/>
      <c r="D8267" s="13"/>
      <c r="E8267" s="11"/>
      <c r="F8267" s="11"/>
      <c r="G8267" s="13">
        <f t="shared" si="1"/>
        <v>1281</v>
      </c>
      <c r="H8267" s="13"/>
    </row>
    <row r="8268" ht="22.5" customHeight="1">
      <c r="B8268" s="17"/>
      <c r="C8268" s="17"/>
      <c r="D8268" s="13"/>
      <c r="E8268" s="11"/>
      <c r="F8268" s="11"/>
      <c r="G8268" s="13">
        <f t="shared" si="1"/>
        <v>1281</v>
      </c>
      <c r="H8268" s="13"/>
    </row>
    <row r="8269" ht="22.5" customHeight="1">
      <c r="B8269" s="17"/>
      <c r="C8269" s="17"/>
      <c r="D8269" s="13"/>
      <c r="E8269" s="11"/>
      <c r="F8269" s="11"/>
      <c r="G8269" s="13">
        <f t="shared" si="1"/>
        <v>1281</v>
      </c>
      <c r="H8269" s="13"/>
    </row>
    <row r="8270" ht="22.5" customHeight="1">
      <c r="B8270" s="17"/>
      <c r="C8270" s="17"/>
      <c r="D8270" s="13"/>
      <c r="E8270" s="11"/>
      <c r="F8270" s="11"/>
      <c r="G8270" s="13">
        <f t="shared" si="1"/>
        <v>1281</v>
      </c>
      <c r="H8270" s="13"/>
    </row>
    <row r="8271" ht="22.5" customHeight="1">
      <c r="B8271" s="17"/>
      <c r="C8271" s="17"/>
      <c r="D8271" s="13"/>
      <c r="E8271" s="11"/>
      <c r="F8271" s="11"/>
      <c r="G8271" s="13">
        <f t="shared" si="1"/>
        <v>1281</v>
      </c>
      <c r="H8271" s="13"/>
    </row>
    <row r="8272" ht="22.5" customHeight="1">
      <c r="B8272" s="17"/>
      <c r="C8272" s="17"/>
      <c r="D8272" s="13"/>
      <c r="E8272" s="11"/>
      <c r="F8272" s="11"/>
      <c r="G8272" s="13">
        <f t="shared" si="1"/>
        <v>1281</v>
      </c>
      <c r="H8272" s="13"/>
    </row>
    <row r="8273" ht="22.5" customHeight="1">
      <c r="B8273" s="17"/>
      <c r="C8273" s="17"/>
      <c r="D8273" s="13"/>
      <c r="E8273" s="11"/>
      <c r="F8273" s="11"/>
      <c r="G8273" s="13">
        <f t="shared" si="1"/>
        <v>1281</v>
      </c>
      <c r="H8273" s="13"/>
    </row>
    <row r="8274" ht="22.5" customHeight="1">
      <c r="B8274" s="17"/>
      <c r="C8274" s="17"/>
      <c r="D8274" s="13"/>
      <c r="E8274" s="11"/>
      <c r="F8274" s="11"/>
      <c r="G8274" s="13">
        <f t="shared" si="1"/>
        <v>1281</v>
      </c>
      <c r="H8274" s="13"/>
    </row>
    <row r="8275" ht="22.5" customHeight="1">
      <c r="B8275" s="17"/>
      <c r="C8275" s="17"/>
      <c r="D8275" s="13"/>
      <c r="E8275" s="11"/>
      <c r="F8275" s="11"/>
      <c r="G8275" s="13">
        <f t="shared" si="1"/>
        <v>1281</v>
      </c>
      <c r="H8275" s="13"/>
    </row>
    <row r="8276" ht="22.5" customHeight="1">
      <c r="B8276" s="17"/>
      <c r="C8276" s="17"/>
      <c r="D8276" s="13"/>
      <c r="E8276" s="11"/>
      <c r="F8276" s="11"/>
      <c r="G8276" s="13">
        <f t="shared" si="1"/>
        <v>1281</v>
      </c>
      <c r="H8276" s="13"/>
    </row>
    <row r="8277" ht="22.5" customHeight="1">
      <c r="B8277" s="17"/>
      <c r="C8277" s="17"/>
      <c r="D8277" s="13"/>
      <c r="E8277" s="11"/>
      <c r="F8277" s="11"/>
      <c r="G8277" s="13">
        <f t="shared" si="1"/>
        <v>1281</v>
      </c>
      <c r="H8277" s="13"/>
    </row>
    <row r="8278" ht="22.5" customHeight="1">
      <c r="B8278" s="17"/>
      <c r="C8278" s="17"/>
      <c r="D8278" s="13"/>
      <c r="E8278" s="11"/>
      <c r="F8278" s="11"/>
      <c r="G8278" s="13">
        <f t="shared" si="1"/>
        <v>1281</v>
      </c>
      <c r="H8278" s="13"/>
    </row>
    <row r="8279" ht="22.5" customHeight="1">
      <c r="B8279" s="17"/>
      <c r="C8279" s="17"/>
      <c r="D8279" s="13"/>
      <c r="E8279" s="11"/>
      <c r="F8279" s="11"/>
      <c r="G8279" s="13">
        <f t="shared" si="1"/>
        <v>1281</v>
      </c>
      <c r="H8279" s="13"/>
    </row>
    <row r="8280" ht="22.5" customHeight="1">
      <c r="B8280" s="17"/>
      <c r="C8280" s="17"/>
      <c r="D8280" s="13"/>
      <c r="E8280" s="11"/>
      <c r="F8280" s="11"/>
      <c r="G8280" s="13">
        <f t="shared" si="1"/>
        <v>1281</v>
      </c>
      <c r="H8280" s="13"/>
    </row>
    <row r="8281" ht="22.5" customHeight="1">
      <c r="B8281" s="17"/>
      <c r="C8281" s="17"/>
      <c r="D8281" s="13"/>
      <c r="E8281" s="11"/>
      <c r="F8281" s="11"/>
      <c r="G8281" s="13">
        <f t="shared" si="1"/>
        <v>1281</v>
      </c>
      <c r="H8281" s="13"/>
    </row>
    <row r="8282" ht="22.5" customHeight="1">
      <c r="B8282" s="17"/>
      <c r="C8282" s="17"/>
      <c r="D8282" s="13"/>
      <c r="E8282" s="11"/>
      <c r="F8282" s="11"/>
      <c r="G8282" s="13">
        <f t="shared" si="1"/>
        <v>1281</v>
      </c>
      <c r="H8282" s="13"/>
    </row>
    <row r="8283" ht="22.5" customHeight="1">
      <c r="B8283" s="17"/>
      <c r="C8283" s="17"/>
      <c r="D8283" s="13"/>
      <c r="E8283" s="11"/>
      <c r="F8283" s="11"/>
      <c r="G8283" s="13">
        <f t="shared" si="1"/>
        <v>1281</v>
      </c>
      <c r="H8283" s="13"/>
    </row>
    <row r="8284" ht="22.5" customHeight="1">
      <c r="B8284" s="17"/>
      <c r="C8284" s="17"/>
      <c r="D8284" s="13"/>
      <c r="E8284" s="11"/>
      <c r="F8284" s="11"/>
      <c r="G8284" s="13">
        <f t="shared" si="1"/>
        <v>1281</v>
      </c>
      <c r="H8284" s="13"/>
    </row>
    <row r="8285" ht="22.5" customHeight="1">
      <c r="B8285" s="17"/>
      <c r="C8285" s="17"/>
      <c r="D8285" s="13"/>
      <c r="E8285" s="11"/>
      <c r="F8285" s="11"/>
      <c r="G8285" s="13">
        <f t="shared" si="1"/>
        <v>1281</v>
      </c>
      <c r="H8285" s="13"/>
    </row>
    <row r="8286" ht="22.5" customHeight="1">
      <c r="B8286" s="17"/>
      <c r="C8286" s="17"/>
      <c r="D8286" s="13"/>
      <c r="E8286" s="11"/>
      <c r="F8286" s="11"/>
      <c r="G8286" s="13">
        <f t="shared" si="1"/>
        <v>1281</v>
      </c>
      <c r="H8286" s="13"/>
    </row>
    <row r="8287" ht="22.5" customHeight="1">
      <c r="B8287" s="17"/>
      <c r="C8287" s="17"/>
      <c r="D8287" s="13"/>
      <c r="E8287" s="11"/>
      <c r="F8287" s="11"/>
      <c r="G8287" s="13">
        <f t="shared" si="1"/>
        <v>1281</v>
      </c>
      <c r="H8287" s="13"/>
    </row>
    <row r="8288" ht="22.5" customHeight="1">
      <c r="B8288" s="17"/>
      <c r="C8288" s="17"/>
      <c r="D8288" s="13"/>
      <c r="E8288" s="11"/>
      <c r="F8288" s="11"/>
      <c r="G8288" s="13">
        <f t="shared" si="1"/>
        <v>1281</v>
      </c>
      <c r="H8288" s="13"/>
    </row>
    <row r="8289" ht="22.5" customHeight="1">
      <c r="B8289" s="17"/>
      <c r="C8289" s="17"/>
      <c r="D8289" s="13"/>
      <c r="E8289" s="11"/>
      <c r="F8289" s="11"/>
      <c r="G8289" s="13">
        <f t="shared" si="1"/>
        <v>1281</v>
      </c>
      <c r="H8289" s="13"/>
    </row>
    <row r="8290" ht="22.5" customHeight="1">
      <c r="B8290" s="17"/>
      <c r="C8290" s="17"/>
      <c r="D8290" s="13"/>
      <c r="E8290" s="11"/>
      <c r="F8290" s="11"/>
      <c r="G8290" s="13">
        <f t="shared" si="1"/>
        <v>1281</v>
      </c>
      <c r="H8290" s="13"/>
    </row>
    <row r="8291" ht="22.5" customHeight="1">
      <c r="B8291" s="17"/>
      <c r="C8291" s="17"/>
      <c r="D8291" s="13"/>
      <c r="E8291" s="11"/>
      <c r="F8291" s="11"/>
      <c r="G8291" s="13">
        <f t="shared" si="1"/>
        <v>1281</v>
      </c>
      <c r="H8291" s="13"/>
    </row>
    <row r="8292" ht="22.5" customHeight="1">
      <c r="B8292" s="17"/>
      <c r="C8292" s="17"/>
      <c r="D8292" s="13"/>
      <c r="E8292" s="11"/>
      <c r="F8292" s="11"/>
      <c r="G8292" s="13">
        <f t="shared" si="1"/>
        <v>1281</v>
      </c>
      <c r="H8292" s="13"/>
    </row>
    <row r="8293" ht="22.5" customHeight="1">
      <c r="B8293" s="17"/>
      <c r="C8293" s="17"/>
      <c r="D8293" s="13"/>
      <c r="E8293" s="11"/>
      <c r="F8293" s="11"/>
      <c r="G8293" s="13">
        <f t="shared" si="1"/>
        <v>1281</v>
      </c>
      <c r="H8293" s="13"/>
    </row>
    <row r="8294" ht="22.5" customHeight="1">
      <c r="B8294" s="17"/>
      <c r="C8294" s="17"/>
      <c r="D8294" s="13"/>
      <c r="E8294" s="11"/>
      <c r="F8294" s="11"/>
      <c r="G8294" s="13">
        <f t="shared" si="1"/>
        <v>1281</v>
      </c>
      <c r="H8294" s="13"/>
    </row>
    <row r="8295" ht="22.5" customHeight="1">
      <c r="B8295" s="17"/>
      <c r="C8295" s="17"/>
      <c r="D8295" s="13"/>
      <c r="E8295" s="11"/>
      <c r="F8295" s="11"/>
      <c r="G8295" s="13">
        <f t="shared" si="1"/>
        <v>1281</v>
      </c>
      <c r="H8295" s="13"/>
    </row>
    <row r="8296" ht="22.5" customHeight="1">
      <c r="B8296" s="17"/>
      <c r="C8296" s="17"/>
      <c r="D8296" s="13"/>
      <c r="E8296" s="11"/>
      <c r="F8296" s="11"/>
      <c r="G8296" s="13">
        <f t="shared" si="1"/>
        <v>1281</v>
      </c>
      <c r="H8296" s="13"/>
    </row>
    <row r="8297" ht="22.5" customHeight="1">
      <c r="B8297" s="17"/>
      <c r="C8297" s="17"/>
      <c r="D8297" s="13"/>
      <c r="E8297" s="11"/>
      <c r="F8297" s="11"/>
      <c r="G8297" s="13">
        <f t="shared" si="1"/>
        <v>1281</v>
      </c>
      <c r="H8297" s="13"/>
    </row>
    <row r="8298" ht="22.5" customHeight="1">
      <c r="B8298" s="17"/>
      <c r="C8298" s="17"/>
      <c r="D8298" s="13"/>
      <c r="E8298" s="11"/>
      <c r="F8298" s="11"/>
      <c r="G8298" s="13">
        <f t="shared" si="1"/>
        <v>1281</v>
      </c>
      <c r="H8298" s="13"/>
    </row>
    <row r="8299" ht="22.5" customHeight="1">
      <c r="B8299" s="17"/>
      <c r="C8299" s="17"/>
      <c r="D8299" s="13"/>
      <c r="E8299" s="11"/>
      <c r="F8299" s="11"/>
      <c r="G8299" s="13">
        <f t="shared" si="1"/>
        <v>1281</v>
      </c>
      <c r="H8299" s="13"/>
    </row>
    <row r="8300" ht="22.5" customHeight="1">
      <c r="B8300" s="17"/>
      <c r="C8300" s="17"/>
      <c r="D8300" s="13"/>
      <c r="E8300" s="11"/>
      <c r="F8300" s="11"/>
      <c r="G8300" s="13">
        <f t="shared" si="1"/>
        <v>1281</v>
      </c>
      <c r="H8300" s="13"/>
    </row>
    <row r="8301" ht="22.5" customHeight="1">
      <c r="B8301" s="17"/>
      <c r="C8301" s="17"/>
      <c r="D8301" s="13"/>
      <c r="E8301" s="11"/>
      <c r="F8301" s="11"/>
      <c r="G8301" s="13">
        <f t="shared" si="1"/>
        <v>1281</v>
      </c>
      <c r="H8301" s="13"/>
    </row>
    <row r="8302" ht="22.5" customHeight="1">
      <c r="B8302" s="17"/>
      <c r="C8302" s="17"/>
      <c r="D8302" s="13"/>
      <c r="E8302" s="11"/>
      <c r="F8302" s="11"/>
      <c r="G8302" s="13">
        <f t="shared" si="1"/>
        <v>1281</v>
      </c>
      <c r="H8302" s="13"/>
    </row>
    <row r="8303" ht="22.5" customHeight="1">
      <c r="B8303" s="17"/>
      <c r="C8303" s="17"/>
      <c r="D8303" s="13"/>
      <c r="E8303" s="11"/>
      <c r="F8303" s="11"/>
      <c r="G8303" s="13">
        <f t="shared" si="1"/>
        <v>1281</v>
      </c>
      <c r="H8303" s="13"/>
    </row>
    <row r="8304" ht="22.5" customHeight="1">
      <c r="B8304" s="17"/>
      <c r="C8304" s="17"/>
      <c r="D8304" s="13"/>
      <c r="E8304" s="11"/>
      <c r="F8304" s="11"/>
      <c r="G8304" s="13">
        <f t="shared" si="1"/>
        <v>1281</v>
      </c>
      <c r="H8304" s="13"/>
    </row>
    <row r="8305" ht="22.5" customHeight="1">
      <c r="B8305" s="17"/>
      <c r="C8305" s="17"/>
      <c r="D8305" s="13"/>
      <c r="E8305" s="11"/>
      <c r="F8305" s="11"/>
      <c r="G8305" s="13">
        <f t="shared" si="1"/>
        <v>1281</v>
      </c>
      <c r="H8305" s="13"/>
    </row>
    <row r="8306" ht="22.5" customHeight="1">
      <c r="B8306" s="17"/>
      <c r="C8306" s="17"/>
      <c r="D8306" s="13"/>
      <c r="E8306" s="11"/>
      <c r="F8306" s="11"/>
      <c r="G8306" s="13">
        <f t="shared" si="1"/>
        <v>1281</v>
      </c>
      <c r="H8306" s="13"/>
    </row>
    <row r="8307" ht="22.5" customHeight="1">
      <c r="B8307" s="17"/>
      <c r="C8307" s="17"/>
      <c r="D8307" s="13"/>
      <c r="E8307" s="11"/>
      <c r="F8307" s="11"/>
      <c r="G8307" s="13">
        <f t="shared" si="1"/>
        <v>1281</v>
      </c>
      <c r="H8307" s="13"/>
    </row>
    <row r="8308" ht="22.5" customHeight="1">
      <c r="B8308" s="17"/>
      <c r="C8308" s="17"/>
      <c r="D8308" s="13"/>
      <c r="E8308" s="11"/>
      <c r="F8308" s="11"/>
      <c r="G8308" s="13">
        <f t="shared" si="1"/>
        <v>1281</v>
      </c>
      <c r="H8308" s="13"/>
    </row>
    <row r="8309" ht="22.5" customHeight="1">
      <c r="B8309" s="17"/>
      <c r="C8309" s="17"/>
      <c r="D8309" s="13"/>
      <c r="E8309" s="11"/>
      <c r="F8309" s="11"/>
      <c r="G8309" s="13">
        <f t="shared" si="1"/>
        <v>1281</v>
      </c>
      <c r="H8309" s="13"/>
    </row>
    <row r="8310" ht="22.5" customHeight="1">
      <c r="B8310" s="17"/>
      <c r="C8310" s="17"/>
      <c r="D8310" s="13"/>
      <c r="E8310" s="11"/>
      <c r="F8310" s="11"/>
      <c r="G8310" s="13">
        <f t="shared" si="1"/>
        <v>1281</v>
      </c>
      <c r="H8310" s="13"/>
    </row>
    <row r="8311" ht="22.5" customHeight="1">
      <c r="B8311" s="17"/>
      <c r="C8311" s="17"/>
      <c r="D8311" s="13"/>
      <c r="E8311" s="11"/>
      <c r="F8311" s="11"/>
      <c r="G8311" s="13">
        <f t="shared" si="1"/>
        <v>1281</v>
      </c>
      <c r="H8311" s="13"/>
    </row>
    <row r="8312" ht="22.5" customHeight="1">
      <c r="B8312" s="17"/>
      <c r="C8312" s="17"/>
      <c r="D8312" s="13"/>
      <c r="E8312" s="11"/>
      <c r="F8312" s="11"/>
      <c r="G8312" s="13">
        <f t="shared" si="1"/>
        <v>1281</v>
      </c>
      <c r="H8312" s="13"/>
    </row>
    <row r="8313" ht="22.5" customHeight="1">
      <c r="B8313" s="17"/>
      <c r="C8313" s="17"/>
      <c r="D8313" s="13"/>
      <c r="E8313" s="11"/>
      <c r="F8313" s="11"/>
      <c r="G8313" s="13">
        <f t="shared" si="1"/>
        <v>1281</v>
      </c>
      <c r="H8313" s="13"/>
    </row>
    <row r="8314" ht="22.5" customHeight="1">
      <c r="B8314" s="17"/>
      <c r="C8314" s="17"/>
      <c r="D8314" s="13"/>
      <c r="E8314" s="11"/>
      <c r="F8314" s="11"/>
      <c r="G8314" s="13">
        <f t="shared" si="1"/>
        <v>1281</v>
      </c>
      <c r="H8314" s="13"/>
    </row>
    <row r="8315" ht="22.5" customHeight="1">
      <c r="B8315" s="17"/>
      <c r="C8315" s="17"/>
      <c r="D8315" s="13"/>
      <c r="E8315" s="11"/>
      <c r="F8315" s="11"/>
      <c r="G8315" s="13">
        <f t="shared" si="1"/>
        <v>1281</v>
      </c>
      <c r="H8315" s="13"/>
    </row>
    <row r="8316" ht="22.5" customHeight="1">
      <c r="B8316" s="17"/>
      <c r="C8316" s="17"/>
      <c r="D8316" s="13"/>
      <c r="E8316" s="11"/>
      <c r="F8316" s="11"/>
      <c r="G8316" s="13">
        <f t="shared" si="1"/>
        <v>1281</v>
      </c>
      <c r="H8316" s="13"/>
    </row>
    <row r="8317" ht="22.5" customHeight="1">
      <c r="B8317" s="17"/>
      <c r="C8317" s="17"/>
      <c r="D8317" s="13"/>
      <c r="E8317" s="11"/>
      <c r="F8317" s="11"/>
      <c r="G8317" s="13">
        <f t="shared" si="1"/>
        <v>1281</v>
      </c>
      <c r="H8317" s="13"/>
    </row>
    <row r="8318" ht="22.5" customHeight="1">
      <c r="B8318" s="17"/>
      <c r="C8318" s="17"/>
      <c r="D8318" s="13"/>
      <c r="E8318" s="11"/>
      <c r="F8318" s="11"/>
      <c r="G8318" s="13">
        <f t="shared" si="1"/>
        <v>1281</v>
      </c>
      <c r="H8318" s="13"/>
    </row>
    <row r="8319" ht="22.5" customHeight="1">
      <c r="B8319" s="17"/>
      <c r="C8319" s="17"/>
      <c r="D8319" s="13"/>
      <c r="E8319" s="11"/>
      <c r="F8319" s="11"/>
      <c r="G8319" s="13">
        <f t="shared" si="1"/>
        <v>1281</v>
      </c>
      <c r="H8319" s="13"/>
    </row>
    <row r="8320" ht="22.5" customHeight="1">
      <c r="B8320" s="17"/>
      <c r="C8320" s="17"/>
      <c r="D8320" s="13"/>
      <c r="E8320" s="11"/>
      <c r="F8320" s="11"/>
      <c r="G8320" s="13">
        <f t="shared" si="1"/>
        <v>1281</v>
      </c>
      <c r="H8320" s="13"/>
    </row>
    <row r="8321" ht="22.5" customHeight="1">
      <c r="B8321" s="17"/>
      <c r="C8321" s="17"/>
      <c r="D8321" s="13"/>
      <c r="E8321" s="11"/>
      <c r="F8321" s="11"/>
      <c r="G8321" s="13">
        <f t="shared" si="1"/>
        <v>1281</v>
      </c>
      <c r="H8321" s="13"/>
    </row>
    <row r="8322" ht="22.5" customHeight="1">
      <c r="B8322" s="17"/>
      <c r="C8322" s="17"/>
      <c r="D8322" s="13"/>
      <c r="E8322" s="11"/>
      <c r="F8322" s="11"/>
      <c r="G8322" s="13">
        <f t="shared" si="1"/>
        <v>1281</v>
      </c>
      <c r="H8322" s="13"/>
    </row>
    <row r="8323" ht="22.5" customHeight="1">
      <c r="B8323" s="17"/>
      <c r="C8323" s="17"/>
      <c r="D8323" s="13"/>
      <c r="E8323" s="11"/>
      <c r="F8323" s="11"/>
      <c r="G8323" s="13">
        <f t="shared" si="1"/>
        <v>1281</v>
      </c>
      <c r="H8323" s="13"/>
    </row>
    <row r="8324" ht="22.5" customHeight="1">
      <c r="B8324" s="17"/>
      <c r="C8324" s="17"/>
      <c r="D8324" s="13"/>
      <c r="E8324" s="11"/>
      <c r="F8324" s="11"/>
      <c r="G8324" s="13">
        <f t="shared" si="1"/>
        <v>1281</v>
      </c>
      <c r="H8324" s="13"/>
    </row>
    <row r="8325" ht="22.5" customHeight="1">
      <c r="B8325" s="17"/>
      <c r="C8325" s="17"/>
      <c r="D8325" s="13"/>
      <c r="E8325" s="11"/>
      <c r="F8325" s="11"/>
      <c r="G8325" s="13">
        <f t="shared" si="1"/>
        <v>1281</v>
      </c>
      <c r="H8325" s="13"/>
    </row>
    <row r="8326" ht="22.5" customHeight="1">
      <c r="B8326" s="17"/>
      <c r="C8326" s="17"/>
      <c r="D8326" s="13"/>
      <c r="E8326" s="11"/>
      <c r="F8326" s="11"/>
      <c r="G8326" s="13">
        <f t="shared" si="1"/>
        <v>1281</v>
      </c>
      <c r="H8326" s="13"/>
    </row>
    <row r="8327" ht="22.5" customHeight="1">
      <c r="B8327" s="17"/>
      <c r="C8327" s="17"/>
      <c r="D8327" s="13"/>
      <c r="E8327" s="11"/>
      <c r="F8327" s="11"/>
      <c r="G8327" s="13">
        <f t="shared" si="1"/>
        <v>1281</v>
      </c>
      <c r="H8327" s="13"/>
    </row>
    <row r="8328" ht="22.5" customHeight="1">
      <c r="B8328" s="17"/>
      <c r="C8328" s="17"/>
      <c r="D8328" s="13"/>
      <c r="E8328" s="11"/>
      <c r="F8328" s="11"/>
      <c r="G8328" s="13">
        <f t="shared" si="1"/>
        <v>1281</v>
      </c>
      <c r="H8328" s="13"/>
    </row>
    <row r="8329" ht="22.5" customHeight="1">
      <c r="B8329" s="17"/>
      <c r="C8329" s="17"/>
      <c r="D8329" s="13"/>
      <c r="E8329" s="11"/>
      <c r="F8329" s="11"/>
      <c r="G8329" s="13">
        <f t="shared" si="1"/>
        <v>1281</v>
      </c>
      <c r="H8329" s="13"/>
    </row>
    <row r="8330" ht="22.5" customHeight="1">
      <c r="B8330" s="17"/>
      <c r="C8330" s="17"/>
      <c r="D8330" s="13"/>
      <c r="E8330" s="11"/>
      <c r="F8330" s="11"/>
      <c r="G8330" s="13">
        <f t="shared" si="1"/>
        <v>1281</v>
      </c>
      <c r="H8330" s="13"/>
    </row>
    <row r="8331" ht="22.5" customHeight="1">
      <c r="B8331" s="17"/>
      <c r="C8331" s="17"/>
      <c r="D8331" s="13"/>
      <c r="E8331" s="11"/>
      <c r="F8331" s="11"/>
      <c r="G8331" s="13">
        <f t="shared" si="1"/>
        <v>1281</v>
      </c>
      <c r="H8331" s="13"/>
    </row>
    <row r="8332" ht="22.5" customHeight="1">
      <c r="B8332" s="17"/>
      <c r="C8332" s="17"/>
      <c r="D8332" s="13"/>
      <c r="E8332" s="11"/>
      <c r="F8332" s="11"/>
      <c r="G8332" s="13">
        <f t="shared" si="1"/>
        <v>1281</v>
      </c>
      <c r="H8332" s="13"/>
    </row>
    <row r="8333" ht="22.5" customHeight="1">
      <c r="B8333" s="17"/>
      <c r="C8333" s="17"/>
      <c r="D8333" s="13"/>
      <c r="E8333" s="11"/>
      <c r="F8333" s="11"/>
      <c r="G8333" s="13">
        <f t="shared" si="1"/>
        <v>1281</v>
      </c>
      <c r="H8333" s="13"/>
    </row>
    <row r="8334" ht="22.5" customHeight="1">
      <c r="B8334" s="17"/>
      <c r="C8334" s="17"/>
      <c r="D8334" s="13"/>
      <c r="E8334" s="11"/>
      <c r="F8334" s="11"/>
      <c r="G8334" s="13">
        <f t="shared" si="1"/>
        <v>1281</v>
      </c>
      <c r="H8334" s="13"/>
    </row>
    <row r="8335" ht="22.5" customHeight="1">
      <c r="B8335" s="17"/>
      <c r="C8335" s="17"/>
      <c r="D8335" s="13"/>
      <c r="E8335" s="11"/>
      <c r="F8335" s="11"/>
      <c r="G8335" s="13">
        <f t="shared" si="1"/>
        <v>1281</v>
      </c>
      <c r="H8335" s="13"/>
    </row>
    <row r="8336" ht="22.5" customHeight="1">
      <c r="B8336" s="17"/>
      <c r="C8336" s="17"/>
      <c r="D8336" s="13"/>
      <c r="E8336" s="11"/>
      <c r="F8336" s="11"/>
      <c r="G8336" s="13">
        <f t="shared" si="1"/>
        <v>1281</v>
      </c>
      <c r="H8336" s="13"/>
    </row>
    <row r="8337" ht="22.5" customHeight="1">
      <c r="B8337" s="17"/>
      <c r="C8337" s="17"/>
      <c r="D8337" s="13"/>
      <c r="E8337" s="11"/>
      <c r="F8337" s="11"/>
      <c r="G8337" s="13">
        <f t="shared" si="1"/>
        <v>1281</v>
      </c>
      <c r="H8337" s="13"/>
    </row>
    <row r="8338" ht="22.5" customHeight="1">
      <c r="B8338" s="17"/>
      <c r="C8338" s="17"/>
      <c r="D8338" s="13"/>
      <c r="E8338" s="11"/>
      <c r="F8338" s="11"/>
      <c r="G8338" s="13">
        <f t="shared" si="1"/>
        <v>1281</v>
      </c>
      <c r="H8338" s="13"/>
    </row>
    <row r="8339" ht="22.5" customHeight="1">
      <c r="B8339" s="17"/>
      <c r="C8339" s="17"/>
      <c r="D8339" s="13"/>
      <c r="E8339" s="11"/>
      <c r="F8339" s="11"/>
      <c r="G8339" s="13">
        <f t="shared" si="1"/>
        <v>1281</v>
      </c>
      <c r="H8339" s="13"/>
    </row>
    <row r="8340" ht="22.5" customHeight="1">
      <c r="B8340" s="17"/>
      <c r="C8340" s="17"/>
      <c r="D8340" s="13"/>
      <c r="E8340" s="11"/>
      <c r="F8340" s="11"/>
      <c r="G8340" s="13">
        <f t="shared" si="1"/>
        <v>1281</v>
      </c>
      <c r="H8340" s="13"/>
    </row>
    <row r="8341" ht="22.5" customHeight="1">
      <c r="B8341" s="17"/>
      <c r="C8341" s="17"/>
      <c r="D8341" s="13"/>
      <c r="E8341" s="11"/>
      <c r="F8341" s="11"/>
      <c r="G8341" s="13">
        <f t="shared" si="1"/>
        <v>1281</v>
      </c>
      <c r="H8341" s="13"/>
    </row>
    <row r="8342" ht="22.5" customHeight="1">
      <c r="B8342" s="17"/>
      <c r="C8342" s="17"/>
      <c r="D8342" s="13"/>
      <c r="E8342" s="11"/>
      <c r="F8342" s="11"/>
      <c r="G8342" s="13">
        <f t="shared" si="1"/>
        <v>1281</v>
      </c>
      <c r="H8342" s="13"/>
    </row>
    <row r="8343" ht="22.5" customHeight="1">
      <c r="B8343" s="17"/>
      <c r="C8343" s="17"/>
      <c r="D8343" s="13"/>
      <c r="E8343" s="11"/>
      <c r="F8343" s="11"/>
      <c r="G8343" s="13">
        <f t="shared" si="1"/>
        <v>1281</v>
      </c>
      <c r="H8343" s="13"/>
    </row>
    <row r="8344" ht="22.5" customHeight="1">
      <c r="B8344" s="17"/>
      <c r="C8344" s="17"/>
      <c r="D8344" s="13"/>
      <c r="E8344" s="11"/>
      <c r="F8344" s="11"/>
      <c r="G8344" s="13">
        <f t="shared" si="1"/>
        <v>1281</v>
      </c>
      <c r="H8344" s="13"/>
    </row>
    <row r="8345" ht="22.5" customHeight="1">
      <c r="B8345" s="17"/>
      <c r="C8345" s="17"/>
      <c r="D8345" s="13"/>
      <c r="E8345" s="11"/>
      <c r="F8345" s="11"/>
      <c r="G8345" s="13">
        <f t="shared" si="1"/>
        <v>1281</v>
      </c>
      <c r="H8345" s="13"/>
    </row>
    <row r="8346" ht="22.5" customHeight="1">
      <c r="B8346" s="17"/>
      <c r="C8346" s="17"/>
      <c r="D8346" s="13"/>
      <c r="E8346" s="11"/>
      <c r="F8346" s="11"/>
      <c r="G8346" s="13">
        <f t="shared" si="1"/>
        <v>1281</v>
      </c>
      <c r="H8346" s="13"/>
    </row>
    <row r="8347" ht="22.5" customHeight="1">
      <c r="B8347" s="17"/>
      <c r="C8347" s="17"/>
      <c r="D8347" s="13"/>
      <c r="E8347" s="11"/>
      <c r="F8347" s="11"/>
      <c r="G8347" s="13">
        <f t="shared" si="1"/>
        <v>1281</v>
      </c>
      <c r="H8347" s="13"/>
    </row>
    <row r="8348" ht="22.5" customHeight="1">
      <c r="B8348" s="17"/>
      <c r="C8348" s="17"/>
      <c r="D8348" s="13"/>
      <c r="E8348" s="11"/>
      <c r="F8348" s="11"/>
      <c r="G8348" s="13">
        <f t="shared" si="1"/>
        <v>1281</v>
      </c>
      <c r="H8348" s="13"/>
    </row>
    <row r="8349" ht="22.5" customHeight="1">
      <c r="B8349" s="17"/>
      <c r="C8349" s="17"/>
      <c r="D8349" s="13"/>
      <c r="E8349" s="11"/>
      <c r="F8349" s="11"/>
      <c r="G8349" s="13">
        <f t="shared" si="1"/>
        <v>1281</v>
      </c>
      <c r="H8349" s="13"/>
    </row>
    <row r="8350" ht="22.5" customHeight="1">
      <c r="B8350" s="17"/>
      <c r="C8350" s="17"/>
      <c r="D8350" s="13"/>
      <c r="E8350" s="11"/>
      <c r="F8350" s="11"/>
      <c r="G8350" s="13">
        <f t="shared" si="1"/>
        <v>1281</v>
      </c>
      <c r="H8350" s="13"/>
    </row>
    <row r="8351" ht="22.5" customHeight="1">
      <c r="B8351" s="17"/>
      <c r="C8351" s="17"/>
      <c r="D8351" s="13"/>
      <c r="E8351" s="11"/>
      <c r="F8351" s="11"/>
      <c r="G8351" s="13">
        <f t="shared" si="1"/>
        <v>1281</v>
      </c>
      <c r="H8351" s="13"/>
    </row>
    <row r="8352" ht="22.5" customHeight="1">
      <c r="B8352" s="17"/>
      <c r="C8352" s="17"/>
      <c r="D8352" s="13"/>
      <c r="E8352" s="11"/>
      <c r="F8352" s="11"/>
      <c r="G8352" s="13">
        <f t="shared" si="1"/>
        <v>1281</v>
      </c>
      <c r="H8352" s="13"/>
    </row>
    <row r="8353" ht="22.5" customHeight="1">
      <c r="B8353" s="17"/>
      <c r="C8353" s="17"/>
      <c r="D8353" s="13"/>
      <c r="E8353" s="11"/>
      <c r="F8353" s="11"/>
      <c r="G8353" s="13">
        <f t="shared" si="1"/>
        <v>1281</v>
      </c>
      <c r="H8353" s="13"/>
    </row>
    <row r="8354" ht="22.5" customHeight="1">
      <c r="B8354" s="17"/>
      <c r="C8354" s="17"/>
      <c r="D8354" s="13"/>
      <c r="E8354" s="11"/>
      <c r="F8354" s="11"/>
      <c r="G8354" s="13">
        <f t="shared" si="1"/>
        <v>1281</v>
      </c>
      <c r="H8354" s="13"/>
    </row>
    <row r="8355" ht="22.5" customHeight="1">
      <c r="B8355" s="17"/>
      <c r="C8355" s="17"/>
      <c r="D8355" s="13"/>
      <c r="E8355" s="11"/>
      <c r="F8355" s="11"/>
      <c r="G8355" s="13">
        <f t="shared" si="1"/>
        <v>1281</v>
      </c>
      <c r="H8355" s="13"/>
    </row>
    <row r="8356" ht="22.5" customHeight="1">
      <c r="B8356" s="17"/>
      <c r="C8356" s="17"/>
      <c r="D8356" s="13"/>
      <c r="E8356" s="11"/>
      <c r="F8356" s="11"/>
      <c r="G8356" s="13">
        <f t="shared" si="1"/>
        <v>1281</v>
      </c>
      <c r="H8356" s="13"/>
    </row>
    <row r="8357" ht="22.5" customHeight="1">
      <c r="B8357" s="17"/>
      <c r="C8357" s="17"/>
      <c r="D8357" s="13"/>
      <c r="E8357" s="11"/>
      <c r="F8357" s="11"/>
      <c r="G8357" s="13">
        <f t="shared" si="1"/>
        <v>1281</v>
      </c>
      <c r="H8357" s="13"/>
    </row>
    <row r="8358" ht="22.5" customHeight="1">
      <c r="B8358" s="17"/>
      <c r="C8358" s="17"/>
      <c r="D8358" s="13"/>
      <c r="E8358" s="11"/>
      <c r="F8358" s="11"/>
      <c r="G8358" s="13">
        <f t="shared" si="1"/>
        <v>1281</v>
      </c>
      <c r="H8358" s="13"/>
    </row>
    <row r="8359" ht="22.5" customHeight="1">
      <c r="B8359" s="17"/>
      <c r="C8359" s="17"/>
      <c r="D8359" s="13"/>
      <c r="E8359" s="11"/>
      <c r="F8359" s="11"/>
      <c r="G8359" s="13">
        <f t="shared" si="1"/>
        <v>1281</v>
      </c>
      <c r="H8359" s="13"/>
    </row>
    <row r="8360" ht="22.5" customHeight="1">
      <c r="B8360" s="17"/>
      <c r="C8360" s="17"/>
      <c r="D8360" s="13"/>
      <c r="E8360" s="11"/>
      <c r="F8360" s="11"/>
      <c r="G8360" s="13">
        <f t="shared" si="1"/>
        <v>1281</v>
      </c>
      <c r="H8360" s="13"/>
    </row>
    <row r="8361" ht="22.5" customHeight="1">
      <c r="B8361" s="17"/>
      <c r="C8361" s="17"/>
      <c r="D8361" s="13"/>
      <c r="E8361" s="11"/>
      <c r="F8361" s="11"/>
      <c r="G8361" s="13">
        <f t="shared" si="1"/>
        <v>1281</v>
      </c>
      <c r="H8361" s="13"/>
    </row>
    <row r="8362" ht="22.5" customHeight="1">
      <c r="B8362" s="17"/>
      <c r="C8362" s="17"/>
      <c r="D8362" s="13"/>
      <c r="E8362" s="11"/>
      <c r="F8362" s="11"/>
      <c r="G8362" s="13">
        <f t="shared" si="1"/>
        <v>1281</v>
      </c>
      <c r="H8362" s="13"/>
    </row>
    <row r="8363" ht="22.5" customHeight="1">
      <c r="B8363" s="17"/>
      <c r="C8363" s="17"/>
      <c r="D8363" s="13"/>
      <c r="E8363" s="11"/>
      <c r="F8363" s="11"/>
      <c r="G8363" s="13">
        <f t="shared" si="1"/>
        <v>1281</v>
      </c>
      <c r="H8363" s="13"/>
    </row>
    <row r="8364" ht="22.5" customHeight="1">
      <c r="B8364" s="17"/>
      <c r="C8364" s="17"/>
      <c r="D8364" s="13"/>
      <c r="E8364" s="11"/>
      <c r="F8364" s="11"/>
      <c r="G8364" s="13">
        <f t="shared" si="1"/>
        <v>1281</v>
      </c>
      <c r="H8364" s="13"/>
    </row>
    <row r="8365" ht="22.5" customHeight="1">
      <c r="B8365" s="17"/>
      <c r="C8365" s="17"/>
      <c r="D8365" s="13"/>
      <c r="E8365" s="11"/>
      <c r="F8365" s="11"/>
      <c r="G8365" s="13">
        <f t="shared" si="1"/>
        <v>1281</v>
      </c>
      <c r="H8365" s="13"/>
    </row>
    <row r="8366" ht="22.5" customHeight="1">
      <c r="B8366" s="17"/>
      <c r="C8366" s="17"/>
      <c r="D8366" s="13"/>
      <c r="E8366" s="11"/>
      <c r="F8366" s="11"/>
      <c r="G8366" s="13">
        <f t="shared" si="1"/>
        <v>1281</v>
      </c>
      <c r="H8366" s="13"/>
    </row>
    <row r="8367" ht="22.5" customHeight="1">
      <c r="B8367" s="17"/>
      <c r="C8367" s="17"/>
      <c r="D8367" s="13"/>
      <c r="E8367" s="11"/>
      <c r="F8367" s="11"/>
      <c r="G8367" s="13">
        <f t="shared" si="1"/>
        <v>1281</v>
      </c>
      <c r="H8367" s="13"/>
    </row>
    <row r="8368" ht="22.5" customHeight="1">
      <c r="B8368" s="17"/>
      <c r="C8368" s="17"/>
      <c r="D8368" s="13"/>
      <c r="E8368" s="11"/>
      <c r="F8368" s="11"/>
      <c r="G8368" s="13">
        <f t="shared" si="1"/>
        <v>1281</v>
      </c>
      <c r="H8368" s="13"/>
    </row>
    <row r="8369" ht="22.5" customHeight="1">
      <c r="B8369" s="17"/>
      <c r="C8369" s="17"/>
      <c r="D8369" s="13"/>
      <c r="E8369" s="11"/>
      <c r="F8369" s="11"/>
      <c r="G8369" s="13">
        <f t="shared" si="1"/>
        <v>1281</v>
      </c>
      <c r="H8369" s="13"/>
    </row>
    <row r="8370" ht="22.5" customHeight="1">
      <c r="B8370" s="17"/>
      <c r="C8370" s="17"/>
      <c r="D8370" s="13"/>
      <c r="E8370" s="11"/>
      <c r="F8370" s="11"/>
      <c r="G8370" s="13">
        <f t="shared" si="1"/>
        <v>1281</v>
      </c>
      <c r="H8370" s="13"/>
    </row>
    <row r="8371" ht="22.5" customHeight="1">
      <c r="B8371" s="17"/>
      <c r="C8371" s="17"/>
      <c r="D8371" s="13"/>
      <c r="E8371" s="11"/>
      <c r="F8371" s="11"/>
      <c r="G8371" s="13">
        <f t="shared" si="1"/>
        <v>1281</v>
      </c>
      <c r="H8371" s="13"/>
    </row>
    <row r="8372" ht="22.5" customHeight="1">
      <c r="B8372" s="17"/>
      <c r="C8372" s="17"/>
      <c r="D8372" s="13"/>
      <c r="E8372" s="11"/>
      <c r="F8372" s="11"/>
      <c r="G8372" s="13">
        <f t="shared" si="1"/>
        <v>1281</v>
      </c>
      <c r="H8372" s="13"/>
    </row>
    <row r="8373" ht="22.5" customHeight="1">
      <c r="B8373" s="17"/>
      <c r="C8373" s="17"/>
      <c r="D8373" s="13"/>
      <c r="E8373" s="11"/>
      <c r="F8373" s="11"/>
      <c r="G8373" s="13">
        <f t="shared" si="1"/>
        <v>1281</v>
      </c>
      <c r="H8373" s="13"/>
    </row>
    <row r="8374" ht="22.5" customHeight="1">
      <c r="B8374" s="17"/>
      <c r="C8374" s="17"/>
      <c r="D8374" s="13"/>
      <c r="E8374" s="11"/>
      <c r="F8374" s="11"/>
      <c r="G8374" s="13">
        <f t="shared" si="1"/>
        <v>1281</v>
      </c>
      <c r="H8374" s="13"/>
    </row>
    <row r="8375" ht="22.5" customHeight="1">
      <c r="B8375" s="17"/>
      <c r="C8375" s="17"/>
      <c r="D8375" s="13"/>
      <c r="E8375" s="11"/>
      <c r="F8375" s="11"/>
      <c r="G8375" s="13">
        <f t="shared" si="1"/>
        <v>1281</v>
      </c>
      <c r="H8375" s="13"/>
    </row>
    <row r="8376" ht="22.5" customHeight="1">
      <c r="B8376" s="17"/>
      <c r="C8376" s="17"/>
      <c r="D8376" s="13"/>
      <c r="E8376" s="11"/>
      <c r="F8376" s="11"/>
      <c r="G8376" s="13">
        <f t="shared" si="1"/>
        <v>1281</v>
      </c>
      <c r="H8376" s="13"/>
    </row>
    <row r="8377" ht="22.5" customHeight="1">
      <c r="B8377" s="17"/>
      <c r="C8377" s="17"/>
      <c r="D8377" s="13"/>
      <c r="E8377" s="11"/>
      <c r="F8377" s="11"/>
      <c r="G8377" s="13">
        <f t="shared" si="1"/>
        <v>1281</v>
      </c>
      <c r="H8377" s="13"/>
    </row>
    <row r="8378" ht="22.5" customHeight="1">
      <c r="B8378" s="17"/>
      <c r="C8378" s="17"/>
      <c r="D8378" s="13"/>
      <c r="E8378" s="11"/>
      <c r="F8378" s="11"/>
      <c r="G8378" s="13">
        <f t="shared" si="1"/>
        <v>1281</v>
      </c>
      <c r="H8378" s="13"/>
    </row>
    <row r="8379" ht="22.5" customHeight="1">
      <c r="B8379" s="17"/>
      <c r="C8379" s="17"/>
      <c r="D8379" s="13"/>
      <c r="E8379" s="11"/>
      <c r="F8379" s="11"/>
      <c r="G8379" s="13">
        <f t="shared" si="1"/>
        <v>1281</v>
      </c>
      <c r="H8379" s="13"/>
    </row>
    <row r="8380" ht="22.5" customHeight="1">
      <c r="B8380" s="17"/>
      <c r="C8380" s="17"/>
      <c r="D8380" s="13"/>
      <c r="E8380" s="11"/>
      <c r="F8380" s="11"/>
      <c r="G8380" s="13">
        <f t="shared" si="1"/>
        <v>1281</v>
      </c>
      <c r="H8380" s="13"/>
    </row>
    <row r="8381" ht="22.5" customHeight="1">
      <c r="B8381" s="17"/>
      <c r="C8381" s="17"/>
      <c r="D8381" s="13"/>
      <c r="E8381" s="11"/>
      <c r="F8381" s="11"/>
      <c r="G8381" s="13">
        <f t="shared" si="1"/>
        <v>1281</v>
      </c>
      <c r="H8381" s="13"/>
    </row>
    <row r="8382" ht="22.5" customHeight="1">
      <c r="B8382" s="17"/>
      <c r="C8382" s="17"/>
      <c r="D8382" s="13"/>
      <c r="E8382" s="11"/>
      <c r="F8382" s="11"/>
      <c r="G8382" s="13">
        <f t="shared" si="1"/>
        <v>1281</v>
      </c>
      <c r="H8382" s="13"/>
    </row>
    <row r="8383" ht="22.5" customHeight="1">
      <c r="B8383" s="17"/>
      <c r="C8383" s="17"/>
      <c r="D8383" s="13"/>
      <c r="E8383" s="11"/>
      <c r="F8383" s="11"/>
      <c r="G8383" s="13">
        <f t="shared" si="1"/>
        <v>1281</v>
      </c>
      <c r="H8383" s="13"/>
    </row>
    <row r="8384" ht="22.5" customHeight="1">
      <c r="B8384" s="17"/>
      <c r="C8384" s="17"/>
      <c r="D8384" s="13"/>
      <c r="E8384" s="11"/>
      <c r="F8384" s="11"/>
      <c r="G8384" s="13">
        <f t="shared" si="1"/>
        <v>1281</v>
      </c>
      <c r="H8384" s="13"/>
    </row>
    <row r="8385" ht="22.5" customHeight="1">
      <c r="B8385" s="17"/>
      <c r="C8385" s="17"/>
      <c r="D8385" s="13"/>
      <c r="E8385" s="11"/>
      <c r="F8385" s="11"/>
      <c r="G8385" s="13">
        <f t="shared" si="1"/>
        <v>1281</v>
      </c>
      <c r="H8385" s="13"/>
    </row>
    <row r="8386" ht="22.5" customHeight="1">
      <c r="B8386" s="17"/>
      <c r="C8386" s="17"/>
      <c r="D8386" s="13"/>
      <c r="E8386" s="11"/>
      <c r="F8386" s="11"/>
      <c r="G8386" s="13">
        <f t="shared" si="1"/>
        <v>1281</v>
      </c>
      <c r="H8386" s="13"/>
    </row>
    <row r="8387" ht="22.5" customHeight="1">
      <c r="B8387" s="17"/>
      <c r="C8387" s="17"/>
      <c r="D8387" s="13"/>
      <c r="E8387" s="11"/>
      <c r="F8387" s="11"/>
      <c r="G8387" s="13">
        <f t="shared" si="1"/>
        <v>1281</v>
      </c>
      <c r="H8387" s="13"/>
    </row>
    <row r="8388" ht="22.5" customHeight="1">
      <c r="B8388" s="17"/>
      <c r="C8388" s="17"/>
      <c r="D8388" s="13"/>
      <c r="E8388" s="11"/>
      <c r="F8388" s="11"/>
      <c r="G8388" s="13">
        <f t="shared" si="1"/>
        <v>1281</v>
      </c>
      <c r="H8388" s="13"/>
    </row>
    <row r="8389" ht="22.5" customHeight="1">
      <c r="B8389" s="17"/>
      <c r="C8389" s="17"/>
      <c r="D8389" s="13"/>
      <c r="E8389" s="11"/>
      <c r="F8389" s="11"/>
      <c r="G8389" s="13">
        <f t="shared" si="1"/>
        <v>1281</v>
      </c>
      <c r="H8389" s="13"/>
    </row>
    <row r="8390" ht="22.5" customHeight="1">
      <c r="B8390" s="17"/>
      <c r="C8390" s="17"/>
      <c r="D8390" s="13"/>
      <c r="E8390" s="11"/>
      <c r="F8390" s="11"/>
      <c r="G8390" s="13">
        <f t="shared" si="1"/>
        <v>1281</v>
      </c>
      <c r="H8390" s="13"/>
    </row>
    <row r="8391" ht="22.5" customHeight="1">
      <c r="B8391" s="17"/>
      <c r="C8391" s="17"/>
      <c r="D8391" s="13"/>
      <c r="E8391" s="11"/>
      <c r="F8391" s="11"/>
      <c r="G8391" s="13">
        <f t="shared" si="1"/>
        <v>1281</v>
      </c>
      <c r="H8391" s="13"/>
    </row>
    <row r="8392" ht="22.5" customHeight="1">
      <c r="B8392" s="17"/>
      <c r="C8392" s="17"/>
      <c r="D8392" s="13"/>
      <c r="E8392" s="11"/>
      <c r="F8392" s="11"/>
      <c r="G8392" s="13">
        <f t="shared" si="1"/>
        <v>1281</v>
      </c>
      <c r="H8392" s="13"/>
    </row>
    <row r="8393" ht="22.5" customHeight="1">
      <c r="B8393" s="17"/>
      <c r="C8393" s="17"/>
      <c r="D8393" s="13"/>
      <c r="E8393" s="11"/>
      <c r="F8393" s="11"/>
      <c r="G8393" s="13">
        <f t="shared" si="1"/>
        <v>1281</v>
      </c>
      <c r="H8393" s="13"/>
    </row>
    <row r="8394" ht="22.5" customHeight="1">
      <c r="B8394" s="17"/>
      <c r="C8394" s="17"/>
      <c r="D8394" s="13"/>
      <c r="E8394" s="11"/>
      <c r="F8394" s="11"/>
      <c r="G8394" s="13">
        <f t="shared" si="1"/>
        <v>1281</v>
      </c>
      <c r="H8394" s="13"/>
    </row>
    <row r="8395" ht="22.5" customHeight="1">
      <c r="B8395" s="17"/>
      <c r="C8395" s="17"/>
      <c r="D8395" s="13"/>
      <c r="E8395" s="11"/>
      <c r="F8395" s="11"/>
      <c r="G8395" s="13">
        <f t="shared" si="1"/>
        <v>1281</v>
      </c>
      <c r="H8395" s="13"/>
    </row>
    <row r="8396" ht="22.5" customHeight="1">
      <c r="B8396" s="17"/>
      <c r="C8396" s="17"/>
      <c r="D8396" s="13"/>
      <c r="E8396" s="11"/>
      <c r="F8396" s="11"/>
      <c r="G8396" s="13">
        <f t="shared" si="1"/>
        <v>1281</v>
      </c>
      <c r="H8396" s="13"/>
    </row>
    <row r="8397" ht="22.5" customHeight="1">
      <c r="B8397" s="17"/>
      <c r="C8397" s="17"/>
      <c r="D8397" s="13"/>
      <c r="E8397" s="11"/>
      <c r="F8397" s="11"/>
      <c r="G8397" s="13">
        <f t="shared" si="1"/>
        <v>1281</v>
      </c>
      <c r="H8397" s="13"/>
    </row>
    <row r="8398" ht="22.5" customHeight="1">
      <c r="B8398" s="17"/>
      <c r="C8398" s="17"/>
      <c r="D8398" s="13"/>
      <c r="E8398" s="11"/>
      <c r="F8398" s="11"/>
      <c r="G8398" s="13">
        <f t="shared" si="1"/>
        <v>1281</v>
      </c>
      <c r="H8398" s="13"/>
    </row>
    <row r="8399" ht="22.5" customHeight="1">
      <c r="B8399" s="17"/>
      <c r="C8399" s="17"/>
      <c r="D8399" s="13"/>
      <c r="E8399" s="11"/>
      <c r="F8399" s="11"/>
      <c r="G8399" s="13">
        <f t="shared" si="1"/>
        <v>1281</v>
      </c>
      <c r="H8399" s="13"/>
    </row>
    <row r="8400" ht="22.5" customHeight="1">
      <c r="B8400" s="17"/>
      <c r="C8400" s="17"/>
      <c r="D8400" s="13"/>
      <c r="E8400" s="11"/>
      <c r="F8400" s="11"/>
      <c r="G8400" s="13">
        <f t="shared" si="1"/>
        <v>1281</v>
      </c>
      <c r="H8400" s="13"/>
    </row>
    <row r="8401" ht="22.5" customHeight="1">
      <c r="B8401" s="17"/>
      <c r="C8401" s="17"/>
      <c r="D8401" s="13"/>
      <c r="E8401" s="11"/>
      <c r="F8401" s="11"/>
      <c r="G8401" s="13">
        <f t="shared" si="1"/>
        <v>1281</v>
      </c>
      <c r="H8401" s="13"/>
    </row>
    <row r="8402" ht="22.5" customHeight="1">
      <c r="B8402" s="17"/>
      <c r="C8402" s="17"/>
      <c r="D8402" s="13"/>
      <c r="E8402" s="11"/>
      <c r="F8402" s="11"/>
      <c r="G8402" s="13">
        <f t="shared" si="1"/>
        <v>1281</v>
      </c>
      <c r="H8402" s="13"/>
    </row>
    <row r="8403" ht="22.5" customHeight="1">
      <c r="B8403" s="17"/>
      <c r="C8403" s="17"/>
      <c r="D8403" s="13"/>
      <c r="E8403" s="11"/>
      <c r="F8403" s="11"/>
      <c r="G8403" s="13">
        <f t="shared" si="1"/>
        <v>1281</v>
      </c>
      <c r="H8403" s="13"/>
    </row>
    <row r="8404" ht="22.5" customHeight="1">
      <c r="B8404" s="17"/>
      <c r="C8404" s="17"/>
      <c r="D8404" s="13"/>
      <c r="E8404" s="11"/>
      <c r="F8404" s="11"/>
      <c r="G8404" s="13">
        <f t="shared" si="1"/>
        <v>1281</v>
      </c>
      <c r="H8404" s="13"/>
    </row>
    <row r="8405" ht="22.5" customHeight="1">
      <c r="B8405" s="17"/>
      <c r="C8405" s="17"/>
      <c r="D8405" s="13"/>
      <c r="E8405" s="11"/>
      <c r="F8405" s="11"/>
      <c r="G8405" s="13">
        <f t="shared" si="1"/>
        <v>1281</v>
      </c>
      <c r="H8405" s="13"/>
    </row>
    <row r="8406" ht="22.5" customHeight="1">
      <c r="B8406" s="17"/>
      <c r="C8406" s="17"/>
      <c r="D8406" s="13"/>
      <c r="E8406" s="11"/>
      <c r="F8406" s="11"/>
      <c r="G8406" s="13">
        <f t="shared" si="1"/>
        <v>1281</v>
      </c>
      <c r="H8406" s="13"/>
    </row>
    <row r="8407" ht="22.5" customHeight="1">
      <c r="B8407" s="17"/>
      <c r="C8407" s="17"/>
      <c r="D8407" s="13"/>
      <c r="E8407" s="11"/>
      <c r="F8407" s="11"/>
      <c r="G8407" s="13">
        <f t="shared" si="1"/>
        <v>1281</v>
      </c>
      <c r="H8407" s="13"/>
    </row>
    <row r="8408" ht="22.5" customHeight="1">
      <c r="B8408" s="17"/>
      <c r="C8408" s="17"/>
      <c r="D8408" s="13"/>
      <c r="E8408" s="11"/>
      <c r="F8408" s="11"/>
      <c r="G8408" s="13">
        <f t="shared" si="1"/>
        <v>1281</v>
      </c>
      <c r="H8408" s="13"/>
    </row>
    <row r="8409" ht="22.5" customHeight="1">
      <c r="B8409" s="17"/>
      <c r="C8409" s="17"/>
      <c r="D8409" s="13"/>
      <c r="E8409" s="11"/>
      <c r="F8409" s="11"/>
      <c r="G8409" s="13">
        <f t="shared" si="1"/>
        <v>1281</v>
      </c>
      <c r="H8409" s="13"/>
    </row>
    <row r="8410" ht="22.5" customHeight="1">
      <c r="B8410" s="17"/>
      <c r="C8410" s="17"/>
      <c r="D8410" s="13"/>
      <c r="E8410" s="11"/>
      <c r="F8410" s="11"/>
      <c r="G8410" s="13">
        <f t="shared" si="1"/>
        <v>1281</v>
      </c>
      <c r="H8410" s="13"/>
    </row>
    <row r="8411" ht="22.5" customHeight="1">
      <c r="B8411" s="17"/>
      <c r="C8411" s="17"/>
      <c r="D8411" s="13"/>
      <c r="E8411" s="11"/>
      <c r="F8411" s="11"/>
      <c r="G8411" s="13">
        <f t="shared" si="1"/>
        <v>1281</v>
      </c>
      <c r="H8411" s="13"/>
    </row>
    <row r="8412" ht="22.5" customHeight="1">
      <c r="B8412" s="17"/>
      <c r="C8412" s="17"/>
      <c r="D8412" s="13"/>
      <c r="E8412" s="11"/>
      <c r="F8412" s="11"/>
      <c r="G8412" s="13">
        <f t="shared" si="1"/>
        <v>1281</v>
      </c>
      <c r="H8412" s="13"/>
    </row>
    <row r="8413" ht="22.5" customHeight="1">
      <c r="B8413" s="17"/>
      <c r="C8413" s="17"/>
      <c r="D8413" s="13"/>
      <c r="E8413" s="11"/>
      <c r="F8413" s="11"/>
      <c r="G8413" s="13">
        <f t="shared" si="1"/>
        <v>1281</v>
      </c>
      <c r="H8413" s="13"/>
    </row>
    <row r="8414" ht="22.5" customHeight="1">
      <c r="B8414" s="17"/>
      <c r="C8414" s="17"/>
      <c r="D8414" s="13"/>
      <c r="E8414" s="11"/>
      <c r="F8414" s="11"/>
      <c r="G8414" s="13">
        <f t="shared" si="1"/>
        <v>1281</v>
      </c>
      <c r="H8414" s="13"/>
    </row>
    <row r="8415" ht="22.5" customHeight="1">
      <c r="B8415" s="17"/>
      <c r="C8415" s="17"/>
      <c r="D8415" s="13"/>
      <c r="E8415" s="11"/>
      <c r="F8415" s="11"/>
      <c r="G8415" s="13">
        <f t="shared" si="1"/>
        <v>1281</v>
      </c>
      <c r="H8415" s="13"/>
    </row>
    <row r="8416" ht="22.5" customHeight="1">
      <c r="B8416" s="17"/>
      <c r="C8416" s="17"/>
      <c r="D8416" s="13"/>
      <c r="E8416" s="11"/>
      <c r="F8416" s="11"/>
      <c r="G8416" s="13">
        <f t="shared" si="1"/>
        <v>1281</v>
      </c>
      <c r="H8416" s="13"/>
    </row>
    <row r="8417" ht="22.5" customHeight="1">
      <c r="B8417" s="17"/>
      <c r="C8417" s="17"/>
      <c r="D8417" s="13"/>
      <c r="E8417" s="11"/>
      <c r="F8417" s="11"/>
      <c r="G8417" s="13">
        <f t="shared" si="1"/>
        <v>1281</v>
      </c>
      <c r="H8417" s="13"/>
    </row>
    <row r="8418" ht="22.5" customHeight="1">
      <c r="B8418" s="17"/>
      <c r="C8418" s="17"/>
      <c r="D8418" s="13"/>
      <c r="E8418" s="11"/>
      <c r="F8418" s="11"/>
      <c r="G8418" s="13">
        <f t="shared" si="1"/>
        <v>1281</v>
      </c>
      <c r="H8418" s="13"/>
    </row>
    <row r="8419" ht="22.5" customHeight="1">
      <c r="B8419" s="17"/>
      <c r="C8419" s="17"/>
      <c r="D8419" s="13"/>
      <c r="E8419" s="11"/>
      <c r="F8419" s="11"/>
      <c r="G8419" s="13">
        <f t="shared" si="1"/>
        <v>1281</v>
      </c>
      <c r="H8419" s="13"/>
    </row>
    <row r="8420" ht="22.5" customHeight="1">
      <c r="B8420" s="17"/>
      <c r="C8420" s="17"/>
      <c r="D8420" s="13"/>
      <c r="E8420" s="11"/>
      <c r="F8420" s="11"/>
      <c r="G8420" s="13">
        <f t="shared" si="1"/>
        <v>1281</v>
      </c>
      <c r="H8420" s="13"/>
    </row>
    <row r="8421" ht="22.5" customHeight="1">
      <c r="B8421" s="17"/>
      <c r="C8421" s="17"/>
      <c r="D8421" s="13"/>
      <c r="E8421" s="11"/>
      <c r="F8421" s="11"/>
      <c r="G8421" s="13">
        <f t="shared" si="1"/>
        <v>1281</v>
      </c>
      <c r="H8421" s="13"/>
    </row>
    <row r="8422" ht="22.5" customHeight="1">
      <c r="B8422" s="17"/>
      <c r="C8422" s="17"/>
      <c r="D8422" s="13"/>
      <c r="E8422" s="11"/>
      <c r="F8422" s="11"/>
      <c r="G8422" s="13">
        <f t="shared" si="1"/>
        <v>1281</v>
      </c>
      <c r="H8422" s="13"/>
    </row>
    <row r="8423" ht="22.5" customHeight="1">
      <c r="B8423" s="17"/>
      <c r="C8423" s="17"/>
      <c r="D8423" s="13"/>
      <c r="E8423" s="11"/>
      <c r="F8423" s="11"/>
      <c r="G8423" s="13">
        <f t="shared" si="1"/>
        <v>1281</v>
      </c>
      <c r="H8423" s="13"/>
    </row>
    <row r="8424" ht="22.5" customHeight="1">
      <c r="B8424" s="17"/>
      <c r="C8424" s="17"/>
      <c r="D8424" s="13"/>
      <c r="E8424" s="11"/>
      <c r="F8424" s="11"/>
      <c r="G8424" s="13">
        <f t="shared" si="1"/>
        <v>1281</v>
      </c>
      <c r="H8424" s="13"/>
    </row>
    <row r="8425" ht="22.5" customHeight="1">
      <c r="B8425" s="17"/>
      <c r="C8425" s="17"/>
      <c r="D8425" s="13"/>
      <c r="E8425" s="11"/>
      <c r="F8425" s="11"/>
      <c r="G8425" s="13">
        <f t="shared" si="1"/>
        <v>1281</v>
      </c>
      <c r="H8425" s="13"/>
    </row>
    <row r="8426" ht="22.5" customHeight="1">
      <c r="B8426" s="17"/>
      <c r="C8426" s="17"/>
      <c r="D8426" s="13"/>
      <c r="E8426" s="11"/>
      <c r="F8426" s="11"/>
      <c r="G8426" s="13">
        <f t="shared" si="1"/>
        <v>1281</v>
      </c>
      <c r="H8426" s="13"/>
    </row>
    <row r="8427" ht="22.5" customHeight="1">
      <c r="B8427" s="17"/>
      <c r="C8427" s="17"/>
      <c r="D8427" s="13"/>
      <c r="E8427" s="11"/>
      <c r="F8427" s="11"/>
      <c r="G8427" s="13">
        <f t="shared" si="1"/>
        <v>1281</v>
      </c>
      <c r="H8427" s="13"/>
    </row>
    <row r="8428" ht="22.5" customHeight="1">
      <c r="B8428" s="17"/>
      <c r="C8428" s="17"/>
      <c r="D8428" s="13"/>
      <c r="E8428" s="11"/>
      <c r="F8428" s="11"/>
      <c r="G8428" s="13">
        <f t="shared" si="1"/>
        <v>1281</v>
      </c>
      <c r="H8428" s="13"/>
    </row>
    <row r="8429" ht="22.5" customHeight="1">
      <c r="B8429" s="17"/>
      <c r="C8429" s="17"/>
      <c r="D8429" s="13"/>
      <c r="E8429" s="11"/>
      <c r="F8429" s="11"/>
      <c r="G8429" s="13">
        <f t="shared" si="1"/>
        <v>1281</v>
      </c>
      <c r="H8429" s="13"/>
    </row>
    <row r="8430" ht="22.5" customHeight="1">
      <c r="B8430" s="17"/>
      <c r="C8430" s="17"/>
      <c r="D8430" s="13"/>
      <c r="E8430" s="11"/>
      <c r="F8430" s="11"/>
      <c r="G8430" s="13">
        <f t="shared" si="1"/>
        <v>1281</v>
      </c>
      <c r="H8430" s="13"/>
    </row>
    <row r="8431" ht="22.5" customHeight="1">
      <c r="B8431" s="17"/>
      <c r="C8431" s="17"/>
      <c r="D8431" s="13"/>
      <c r="E8431" s="11"/>
      <c r="F8431" s="11"/>
      <c r="G8431" s="13">
        <f t="shared" si="1"/>
        <v>1281</v>
      </c>
      <c r="H8431" s="13"/>
    </row>
    <row r="8432" ht="22.5" customHeight="1">
      <c r="B8432" s="17"/>
      <c r="C8432" s="17"/>
      <c r="D8432" s="13"/>
      <c r="E8432" s="11"/>
      <c r="F8432" s="11"/>
      <c r="G8432" s="13">
        <f t="shared" si="1"/>
        <v>1281</v>
      </c>
      <c r="H8432" s="13"/>
    </row>
    <row r="8433" ht="22.5" customHeight="1">
      <c r="B8433" s="17"/>
      <c r="C8433" s="17"/>
      <c r="D8433" s="13"/>
      <c r="E8433" s="11"/>
      <c r="F8433" s="11"/>
      <c r="G8433" s="13">
        <f t="shared" si="1"/>
        <v>1281</v>
      </c>
      <c r="H8433" s="13"/>
    </row>
    <row r="8434" ht="22.5" customHeight="1">
      <c r="B8434" s="17"/>
      <c r="C8434" s="17"/>
      <c r="D8434" s="13"/>
      <c r="E8434" s="11"/>
      <c r="F8434" s="11"/>
      <c r="G8434" s="13">
        <f t="shared" si="1"/>
        <v>1281</v>
      </c>
      <c r="H8434" s="13"/>
    </row>
    <row r="8435" ht="22.5" customHeight="1">
      <c r="B8435" s="17"/>
      <c r="C8435" s="17"/>
      <c r="D8435" s="13"/>
      <c r="E8435" s="11"/>
      <c r="F8435" s="11"/>
      <c r="G8435" s="13">
        <f t="shared" si="1"/>
        <v>1281</v>
      </c>
      <c r="H8435" s="13"/>
    </row>
    <row r="8436" ht="22.5" customHeight="1">
      <c r="B8436" s="17"/>
      <c r="C8436" s="17"/>
      <c r="D8436" s="13"/>
      <c r="E8436" s="11"/>
      <c r="F8436" s="11"/>
      <c r="G8436" s="13">
        <f t="shared" si="1"/>
        <v>1281</v>
      </c>
      <c r="H8436" s="13"/>
    </row>
    <row r="8437" ht="22.5" customHeight="1">
      <c r="B8437" s="17"/>
      <c r="C8437" s="17"/>
      <c r="D8437" s="13"/>
      <c r="E8437" s="11"/>
      <c r="F8437" s="11"/>
      <c r="G8437" s="13">
        <f t="shared" si="1"/>
        <v>1281</v>
      </c>
      <c r="H8437" s="13"/>
    </row>
    <row r="8438" ht="22.5" customHeight="1">
      <c r="B8438" s="17"/>
      <c r="C8438" s="17"/>
      <c r="D8438" s="13"/>
      <c r="E8438" s="11"/>
      <c r="F8438" s="11"/>
      <c r="G8438" s="13">
        <f t="shared" si="1"/>
        <v>1281</v>
      </c>
      <c r="H8438" s="13"/>
    </row>
    <row r="8439" ht="22.5" customHeight="1">
      <c r="B8439" s="17"/>
      <c r="C8439" s="17"/>
      <c r="D8439" s="13"/>
      <c r="E8439" s="11"/>
      <c r="F8439" s="11"/>
      <c r="G8439" s="13">
        <f t="shared" si="1"/>
        <v>1281</v>
      </c>
      <c r="H8439" s="13"/>
    </row>
    <row r="8440" ht="22.5" customHeight="1">
      <c r="B8440" s="17"/>
      <c r="C8440" s="17"/>
      <c r="D8440" s="13"/>
      <c r="E8440" s="11"/>
      <c r="F8440" s="11"/>
      <c r="G8440" s="13">
        <f t="shared" si="1"/>
        <v>1281</v>
      </c>
      <c r="H8440" s="13"/>
    </row>
    <row r="8441" ht="22.5" customHeight="1">
      <c r="B8441" s="17"/>
      <c r="C8441" s="17"/>
      <c r="D8441" s="13"/>
      <c r="E8441" s="11"/>
      <c r="F8441" s="11"/>
      <c r="G8441" s="13">
        <f t="shared" si="1"/>
        <v>1281</v>
      </c>
      <c r="H8441" s="13"/>
    </row>
    <row r="8442" ht="22.5" customHeight="1">
      <c r="B8442" s="17"/>
      <c r="C8442" s="17"/>
      <c r="D8442" s="13"/>
      <c r="E8442" s="11"/>
      <c r="F8442" s="11"/>
      <c r="G8442" s="13">
        <f t="shared" si="1"/>
        <v>1281</v>
      </c>
      <c r="H8442" s="13"/>
    </row>
    <row r="8443" ht="22.5" customHeight="1">
      <c r="B8443" s="17"/>
      <c r="C8443" s="17"/>
      <c r="D8443" s="13"/>
      <c r="E8443" s="11"/>
      <c r="F8443" s="11"/>
      <c r="G8443" s="13">
        <f t="shared" si="1"/>
        <v>1281</v>
      </c>
      <c r="H8443" s="13"/>
    </row>
    <row r="8444" ht="22.5" customHeight="1">
      <c r="B8444" s="17"/>
      <c r="C8444" s="17"/>
      <c r="D8444" s="13"/>
      <c r="E8444" s="11"/>
      <c r="F8444" s="11"/>
      <c r="G8444" s="13">
        <f t="shared" si="1"/>
        <v>1281</v>
      </c>
      <c r="H8444" s="13"/>
    </row>
    <row r="8445" ht="22.5" customHeight="1">
      <c r="B8445" s="17"/>
      <c r="C8445" s="17"/>
      <c r="D8445" s="13"/>
      <c r="E8445" s="11"/>
      <c r="F8445" s="11"/>
      <c r="G8445" s="13">
        <f t="shared" si="1"/>
        <v>1281</v>
      </c>
      <c r="H8445" s="13"/>
    </row>
    <row r="8446" ht="22.5" customHeight="1">
      <c r="B8446" s="17"/>
      <c r="C8446" s="17"/>
      <c r="D8446" s="13"/>
      <c r="E8446" s="11"/>
      <c r="F8446" s="11"/>
      <c r="G8446" s="13">
        <f t="shared" si="1"/>
        <v>1281</v>
      </c>
      <c r="H8446" s="13"/>
    </row>
    <row r="8447" ht="22.5" customHeight="1">
      <c r="B8447" s="17"/>
      <c r="C8447" s="17"/>
      <c r="D8447" s="13"/>
      <c r="E8447" s="11"/>
      <c r="F8447" s="11"/>
      <c r="G8447" s="13">
        <f t="shared" si="1"/>
        <v>1281</v>
      </c>
      <c r="H8447" s="13"/>
    </row>
    <row r="8448" ht="22.5" customHeight="1">
      <c r="B8448" s="17"/>
      <c r="C8448" s="17"/>
      <c r="D8448" s="13"/>
      <c r="E8448" s="11"/>
      <c r="F8448" s="11"/>
      <c r="G8448" s="13">
        <f t="shared" si="1"/>
        <v>1281</v>
      </c>
      <c r="H8448" s="13"/>
    </row>
    <row r="8449" ht="22.5" customHeight="1">
      <c r="B8449" s="17"/>
      <c r="C8449" s="17"/>
      <c r="D8449" s="13"/>
      <c r="E8449" s="11"/>
      <c r="F8449" s="11"/>
      <c r="G8449" s="13">
        <f t="shared" si="1"/>
        <v>1281</v>
      </c>
      <c r="H8449" s="13"/>
    </row>
    <row r="8450" ht="22.5" customHeight="1">
      <c r="B8450" s="17"/>
      <c r="C8450" s="17"/>
      <c r="D8450" s="13"/>
      <c r="E8450" s="11"/>
      <c r="F8450" s="11"/>
      <c r="G8450" s="13">
        <f t="shared" si="1"/>
        <v>1281</v>
      </c>
      <c r="H8450" s="13"/>
    </row>
    <row r="8451" ht="22.5" customHeight="1">
      <c r="B8451" s="17"/>
      <c r="C8451" s="17"/>
      <c r="D8451" s="13"/>
      <c r="E8451" s="11"/>
      <c r="F8451" s="11"/>
      <c r="G8451" s="13">
        <f t="shared" si="1"/>
        <v>1281</v>
      </c>
      <c r="H8451" s="13"/>
    </row>
    <row r="8452" ht="22.5" customHeight="1">
      <c r="B8452" s="17"/>
      <c r="C8452" s="17"/>
      <c r="D8452" s="13"/>
      <c r="E8452" s="11"/>
      <c r="F8452" s="11"/>
      <c r="G8452" s="13">
        <f t="shared" si="1"/>
        <v>1281</v>
      </c>
      <c r="H8452" s="13"/>
    </row>
    <row r="8453" ht="22.5" customHeight="1">
      <c r="B8453" s="17"/>
      <c r="C8453" s="17"/>
      <c r="D8453" s="13"/>
      <c r="E8453" s="11"/>
      <c r="F8453" s="11"/>
      <c r="G8453" s="13">
        <f t="shared" si="1"/>
        <v>1281</v>
      </c>
      <c r="H8453" s="13"/>
    </row>
    <row r="8454" ht="22.5" customHeight="1">
      <c r="B8454" s="17"/>
      <c r="C8454" s="17"/>
      <c r="D8454" s="13"/>
      <c r="E8454" s="11"/>
      <c r="F8454" s="11"/>
      <c r="G8454" s="13">
        <f t="shared" si="1"/>
        <v>1281</v>
      </c>
      <c r="H8454" s="13"/>
    </row>
    <row r="8455" ht="22.5" customHeight="1">
      <c r="B8455" s="17"/>
      <c r="C8455" s="17"/>
      <c r="D8455" s="13"/>
      <c r="E8455" s="11"/>
      <c r="F8455" s="11"/>
      <c r="G8455" s="13">
        <f t="shared" si="1"/>
        <v>1281</v>
      </c>
      <c r="H8455" s="13"/>
    </row>
    <row r="8456" ht="22.5" customHeight="1">
      <c r="B8456" s="17"/>
      <c r="C8456" s="17"/>
      <c r="D8456" s="13"/>
      <c r="E8456" s="11"/>
      <c r="F8456" s="11"/>
      <c r="G8456" s="13">
        <f t="shared" si="1"/>
        <v>1281</v>
      </c>
      <c r="H8456" s="13"/>
    </row>
    <row r="8457" ht="22.5" customHeight="1">
      <c r="B8457" s="17"/>
      <c r="C8457" s="17"/>
      <c r="D8457" s="13"/>
      <c r="E8457" s="11"/>
      <c r="F8457" s="11"/>
      <c r="G8457" s="13">
        <f t="shared" si="1"/>
        <v>1281</v>
      </c>
      <c r="H8457" s="13"/>
    </row>
    <row r="8458" ht="22.5" customHeight="1">
      <c r="B8458" s="17"/>
      <c r="C8458" s="17"/>
      <c r="D8458" s="13"/>
      <c r="E8458" s="11"/>
      <c r="F8458" s="11"/>
      <c r="G8458" s="13">
        <f t="shared" si="1"/>
        <v>1281</v>
      </c>
      <c r="H8458" s="13"/>
    </row>
    <row r="8459" ht="22.5" customHeight="1">
      <c r="B8459" s="17"/>
      <c r="C8459" s="17"/>
      <c r="D8459" s="13"/>
      <c r="E8459" s="11"/>
      <c r="F8459" s="11"/>
      <c r="G8459" s="13">
        <f t="shared" si="1"/>
        <v>1281</v>
      </c>
      <c r="H8459" s="13"/>
    </row>
    <row r="8460" ht="22.5" customHeight="1">
      <c r="B8460" s="17"/>
      <c r="C8460" s="17"/>
      <c r="D8460" s="13"/>
      <c r="E8460" s="11"/>
      <c r="F8460" s="11"/>
      <c r="G8460" s="13">
        <f t="shared" si="1"/>
        <v>1281</v>
      </c>
      <c r="H8460" s="13"/>
    </row>
    <row r="8461" ht="22.5" customHeight="1">
      <c r="B8461" s="17"/>
      <c r="C8461" s="17"/>
      <c r="D8461" s="13"/>
      <c r="E8461" s="11"/>
      <c r="F8461" s="11"/>
      <c r="G8461" s="13">
        <f t="shared" si="1"/>
        <v>1281</v>
      </c>
      <c r="H8461" s="13"/>
    </row>
    <row r="8462" ht="22.5" customHeight="1">
      <c r="B8462" s="17"/>
      <c r="C8462" s="17"/>
      <c r="D8462" s="13"/>
      <c r="E8462" s="11"/>
      <c r="F8462" s="11"/>
      <c r="G8462" s="13">
        <f t="shared" si="1"/>
        <v>1281</v>
      </c>
      <c r="H8462" s="13"/>
    </row>
    <row r="8463" ht="22.5" customHeight="1">
      <c r="B8463" s="17"/>
      <c r="C8463" s="17"/>
      <c r="D8463" s="13"/>
      <c r="E8463" s="11"/>
      <c r="F8463" s="11"/>
      <c r="G8463" s="13">
        <f t="shared" si="1"/>
        <v>1281</v>
      </c>
      <c r="H8463" s="13"/>
    </row>
    <row r="8464" ht="22.5" customHeight="1">
      <c r="B8464" s="17"/>
      <c r="C8464" s="17"/>
      <c r="D8464" s="13"/>
      <c r="E8464" s="11"/>
      <c r="F8464" s="11"/>
      <c r="G8464" s="13">
        <f t="shared" si="1"/>
        <v>1281</v>
      </c>
      <c r="H8464" s="13"/>
    </row>
    <row r="8465" ht="22.5" customHeight="1">
      <c r="B8465" s="17"/>
      <c r="C8465" s="17"/>
      <c r="D8465" s="13"/>
      <c r="E8465" s="11"/>
      <c r="F8465" s="11"/>
      <c r="G8465" s="13">
        <f t="shared" si="1"/>
        <v>1281</v>
      </c>
      <c r="H8465" s="13"/>
    </row>
    <row r="8466" ht="22.5" customHeight="1">
      <c r="B8466" s="17"/>
      <c r="C8466" s="17"/>
      <c r="D8466" s="13"/>
      <c r="E8466" s="11"/>
      <c r="F8466" s="11"/>
      <c r="G8466" s="13">
        <f t="shared" si="1"/>
        <v>1281</v>
      </c>
      <c r="H8466" s="13"/>
    </row>
    <row r="8467" ht="22.5" customHeight="1">
      <c r="B8467" s="17"/>
      <c r="C8467" s="17"/>
      <c r="D8467" s="13"/>
      <c r="E8467" s="11"/>
      <c r="F8467" s="11"/>
      <c r="G8467" s="13">
        <f t="shared" si="1"/>
        <v>1281</v>
      </c>
      <c r="H8467" s="13"/>
    </row>
    <row r="8468" ht="22.5" customHeight="1">
      <c r="B8468" s="17"/>
      <c r="C8468" s="17"/>
      <c r="D8468" s="13"/>
      <c r="E8468" s="11"/>
      <c r="F8468" s="11"/>
      <c r="G8468" s="13">
        <f t="shared" si="1"/>
        <v>1281</v>
      </c>
      <c r="H8468" s="13"/>
    </row>
    <row r="8469" ht="22.5" customHeight="1">
      <c r="B8469" s="17"/>
      <c r="C8469" s="17"/>
      <c r="D8469" s="13"/>
      <c r="E8469" s="11"/>
      <c r="F8469" s="11"/>
      <c r="G8469" s="13">
        <f t="shared" si="1"/>
        <v>1281</v>
      </c>
      <c r="H8469" s="13"/>
    </row>
    <row r="8470" ht="22.5" customHeight="1">
      <c r="B8470" s="17"/>
      <c r="C8470" s="17"/>
      <c r="D8470" s="13"/>
      <c r="E8470" s="11"/>
      <c r="F8470" s="11"/>
      <c r="G8470" s="13">
        <f t="shared" si="1"/>
        <v>1281</v>
      </c>
      <c r="H8470" s="13"/>
    </row>
    <row r="8471" ht="22.5" customHeight="1">
      <c r="B8471" s="17"/>
      <c r="C8471" s="17"/>
      <c r="D8471" s="13"/>
      <c r="E8471" s="11"/>
      <c r="F8471" s="11"/>
      <c r="G8471" s="13">
        <f t="shared" si="1"/>
        <v>1281</v>
      </c>
      <c r="H8471" s="13"/>
    </row>
    <row r="8472" ht="22.5" customHeight="1">
      <c r="B8472" s="17"/>
      <c r="C8472" s="17"/>
      <c r="D8472" s="13"/>
      <c r="E8472" s="11"/>
      <c r="F8472" s="11"/>
      <c r="G8472" s="13">
        <f t="shared" si="1"/>
        <v>1281</v>
      </c>
      <c r="H8472" s="13"/>
    </row>
    <row r="8473" ht="22.5" customHeight="1">
      <c r="B8473" s="17"/>
      <c r="C8473" s="17"/>
      <c r="D8473" s="13"/>
      <c r="E8473" s="11"/>
      <c r="F8473" s="11"/>
      <c r="G8473" s="13">
        <f t="shared" si="1"/>
        <v>1281</v>
      </c>
      <c r="H8473" s="13"/>
    </row>
    <row r="8474" ht="22.5" customHeight="1">
      <c r="B8474" s="17"/>
      <c r="C8474" s="17"/>
      <c r="D8474" s="13"/>
      <c r="E8474" s="11"/>
      <c r="F8474" s="11"/>
      <c r="G8474" s="13">
        <f t="shared" si="1"/>
        <v>1281</v>
      </c>
      <c r="H8474" s="13"/>
    </row>
    <row r="8475" ht="22.5" customHeight="1">
      <c r="B8475" s="17"/>
      <c r="C8475" s="17"/>
      <c r="D8475" s="13"/>
      <c r="E8475" s="11"/>
      <c r="F8475" s="11"/>
      <c r="G8475" s="13">
        <f t="shared" si="1"/>
        <v>1281</v>
      </c>
      <c r="H8475" s="13"/>
    </row>
    <row r="8476" ht="22.5" customHeight="1">
      <c r="B8476" s="17"/>
      <c r="C8476" s="17"/>
      <c r="D8476" s="13"/>
      <c r="E8476" s="11"/>
      <c r="F8476" s="11"/>
      <c r="G8476" s="13">
        <f t="shared" si="1"/>
        <v>1281</v>
      </c>
      <c r="H8476" s="13"/>
    </row>
    <row r="8477" ht="22.5" customHeight="1">
      <c r="B8477" s="17"/>
      <c r="C8477" s="17"/>
      <c r="D8477" s="13"/>
      <c r="E8477" s="11"/>
      <c r="F8477" s="11"/>
      <c r="G8477" s="13">
        <f t="shared" si="1"/>
        <v>1281</v>
      </c>
      <c r="H8477" s="13"/>
    </row>
    <row r="8478" ht="22.5" customHeight="1">
      <c r="B8478" s="17"/>
      <c r="C8478" s="17"/>
      <c r="D8478" s="13"/>
      <c r="E8478" s="11"/>
      <c r="F8478" s="11"/>
      <c r="G8478" s="13">
        <f t="shared" si="1"/>
        <v>1281</v>
      </c>
      <c r="H8478" s="13"/>
    </row>
    <row r="8479" ht="22.5" customHeight="1">
      <c r="B8479" s="17"/>
      <c r="C8479" s="17"/>
      <c r="D8479" s="13"/>
      <c r="E8479" s="11"/>
      <c r="F8479" s="11"/>
      <c r="G8479" s="13">
        <f t="shared" si="1"/>
        <v>1281</v>
      </c>
      <c r="H8479" s="13"/>
    </row>
    <row r="8480" ht="22.5" customHeight="1">
      <c r="B8480" s="17"/>
      <c r="C8480" s="17"/>
      <c r="D8480" s="13"/>
      <c r="E8480" s="11"/>
      <c r="F8480" s="11"/>
      <c r="G8480" s="13">
        <f t="shared" si="1"/>
        <v>1281</v>
      </c>
      <c r="H8480" s="13"/>
    </row>
    <row r="8481" ht="22.5" customHeight="1">
      <c r="B8481" s="17"/>
      <c r="C8481" s="17"/>
      <c r="D8481" s="13"/>
      <c r="E8481" s="11"/>
      <c r="F8481" s="11"/>
      <c r="G8481" s="13">
        <f t="shared" si="1"/>
        <v>1281</v>
      </c>
      <c r="H8481" s="13"/>
    </row>
    <row r="8482" ht="22.5" customHeight="1">
      <c r="B8482" s="17"/>
      <c r="C8482" s="17"/>
      <c r="D8482" s="13"/>
      <c r="E8482" s="11"/>
      <c r="F8482" s="11"/>
      <c r="G8482" s="13">
        <f t="shared" si="1"/>
        <v>1281</v>
      </c>
      <c r="H8482" s="13"/>
    </row>
    <row r="8483" ht="22.5" customHeight="1">
      <c r="B8483" s="17"/>
      <c r="C8483" s="17"/>
      <c r="D8483" s="13"/>
      <c r="E8483" s="11"/>
      <c r="F8483" s="11"/>
      <c r="G8483" s="13">
        <f t="shared" si="1"/>
        <v>1281</v>
      </c>
      <c r="H8483" s="13"/>
    </row>
    <row r="8484" ht="22.5" customHeight="1">
      <c r="B8484" s="17"/>
      <c r="C8484" s="17"/>
      <c r="D8484" s="13"/>
      <c r="E8484" s="11"/>
      <c r="F8484" s="11"/>
      <c r="G8484" s="13">
        <f t="shared" si="1"/>
        <v>1281</v>
      </c>
      <c r="H8484" s="13"/>
    </row>
    <row r="8485" ht="22.5" customHeight="1">
      <c r="B8485" s="17"/>
      <c r="C8485" s="17"/>
      <c r="D8485" s="13"/>
      <c r="E8485" s="11"/>
      <c r="F8485" s="11"/>
      <c r="G8485" s="13">
        <f t="shared" si="1"/>
        <v>1281</v>
      </c>
      <c r="H8485" s="13"/>
    </row>
    <row r="8486" ht="22.5" customHeight="1">
      <c r="B8486" s="17"/>
      <c r="C8486" s="17"/>
      <c r="D8486" s="13"/>
      <c r="E8486" s="11"/>
      <c r="F8486" s="11"/>
      <c r="G8486" s="13">
        <f t="shared" si="1"/>
        <v>1281</v>
      </c>
      <c r="H8486" s="13"/>
    </row>
    <row r="8487" ht="22.5" customHeight="1">
      <c r="B8487" s="17"/>
      <c r="C8487" s="17"/>
      <c r="D8487" s="13"/>
      <c r="E8487" s="11"/>
      <c r="F8487" s="11"/>
      <c r="G8487" s="13">
        <f t="shared" si="1"/>
        <v>1281</v>
      </c>
      <c r="H8487" s="13"/>
    </row>
    <row r="8488" ht="22.5" customHeight="1">
      <c r="B8488" s="17"/>
      <c r="C8488" s="17"/>
      <c r="D8488" s="13"/>
      <c r="E8488" s="11"/>
      <c r="F8488" s="11"/>
      <c r="G8488" s="13">
        <f t="shared" si="1"/>
        <v>1281</v>
      </c>
      <c r="H8488" s="13"/>
    </row>
    <row r="8489" ht="22.5" customHeight="1">
      <c r="B8489" s="17"/>
      <c r="C8489" s="17"/>
      <c r="D8489" s="13"/>
      <c r="E8489" s="11"/>
      <c r="F8489" s="11"/>
      <c r="G8489" s="13">
        <f t="shared" si="1"/>
        <v>1281</v>
      </c>
      <c r="H8489" s="13"/>
    </row>
    <row r="8490" ht="22.5" customHeight="1">
      <c r="B8490" s="17"/>
      <c r="C8490" s="17"/>
      <c r="D8490" s="13"/>
      <c r="E8490" s="11"/>
      <c r="F8490" s="11"/>
      <c r="G8490" s="13">
        <f t="shared" si="1"/>
        <v>1281</v>
      </c>
      <c r="H8490" s="13"/>
    </row>
    <row r="8491" ht="22.5" customHeight="1">
      <c r="B8491" s="17"/>
      <c r="C8491" s="17"/>
      <c r="D8491" s="13"/>
      <c r="E8491" s="11"/>
      <c r="F8491" s="11"/>
      <c r="G8491" s="13">
        <f t="shared" si="1"/>
        <v>1281</v>
      </c>
      <c r="H8491" s="13"/>
    </row>
    <row r="8492" ht="22.5" customHeight="1">
      <c r="B8492" s="17"/>
      <c r="C8492" s="17"/>
      <c r="D8492" s="13"/>
      <c r="E8492" s="11"/>
      <c r="F8492" s="11"/>
      <c r="G8492" s="13">
        <f t="shared" si="1"/>
        <v>1281</v>
      </c>
      <c r="H8492" s="13"/>
    </row>
    <row r="8493" ht="22.5" customHeight="1">
      <c r="B8493" s="17"/>
      <c r="C8493" s="17"/>
      <c r="D8493" s="13"/>
      <c r="E8493" s="11"/>
      <c r="F8493" s="11"/>
      <c r="G8493" s="13">
        <f t="shared" si="1"/>
        <v>1281</v>
      </c>
      <c r="H8493" s="13"/>
    </row>
    <row r="8494" ht="22.5" customHeight="1">
      <c r="B8494" s="17"/>
      <c r="C8494" s="17"/>
      <c r="D8494" s="13"/>
      <c r="E8494" s="11"/>
      <c r="F8494" s="11"/>
      <c r="G8494" s="13">
        <f t="shared" si="1"/>
        <v>1281</v>
      </c>
      <c r="H8494" s="13"/>
    </row>
    <row r="8495" ht="22.5" customHeight="1">
      <c r="B8495" s="17"/>
      <c r="C8495" s="17"/>
      <c r="D8495" s="13"/>
      <c r="E8495" s="11"/>
      <c r="F8495" s="11"/>
      <c r="G8495" s="13">
        <f t="shared" si="1"/>
        <v>1281</v>
      </c>
      <c r="H8495" s="13"/>
    </row>
    <row r="8496" ht="22.5" customHeight="1">
      <c r="B8496" s="17"/>
      <c r="C8496" s="17"/>
      <c r="D8496" s="13"/>
      <c r="E8496" s="11"/>
      <c r="F8496" s="11"/>
      <c r="G8496" s="13">
        <f t="shared" si="1"/>
        <v>1281</v>
      </c>
      <c r="H8496" s="13"/>
    </row>
    <row r="8497" ht="22.5" customHeight="1">
      <c r="B8497" s="17"/>
      <c r="C8497" s="17"/>
      <c r="D8497" s="13"/>
      <c r="E8497" s="11"/>
      <c r="F8497" s="11"/>
      <c r="G8497" s="13">
        <f t="shared" si="1"/>
        <v>1281</v>
      </c>
      <c r="H8497" s="13"/>
    </row>
    <row r="8498" ht="22.5" customHeight="1">
      <c r="B8498" s="17"/>
      <c r="C8498" s="17"/>
      <c r="D8498" s="13"/>
      <c r="E8498" s="11"/>
      <c r="F8498" s="11"/>
      <c r="G8498" s="13">
        <f t="shared" si="1"/>
        <v>1281</v>
      </c>
      <c r="H8498" s="13"/>
    </row>
    <row r="8499" ht="22.5" customHeight="1">
      <c r="B8499" s="17"/>
      <c r="C8499" s="17"/>
      <c r="D8499" s="13"/>
      <c r="E8499" s="11"/>
      <c r="F8499" s="11"/>
      <c r="G8499" s="13">
        <f t="shared" si="1"/>
        <v>1281</v>
      </c>
      <c r="H8499" s="13"/>
    </row>
    <row r="8500" ht="22.5" customHeight="1">
      <c r="B8500" s="17"/>
      <c r="C8500" s="17"/>
      <c r="D8500" s="13"/>
      <c r="E8500" s="11"/>
      <c r="F8500" s="11"/>
      <c r="G8500" s="13">
        <f t="shared" si="1"/>
        <v>1281</v>
      </c>
      <c r="H8500" s="13"/>
    </row>
    <row r="8501" ht="22.5" customHeight="1">
      <c r="B8501" s="17"/>
      <c r="C8501" s="17"/>
      <c r="D8501" s="13"/>
      <c r="E8501" s="11"/>
      <c r="F8501" s="11"/>
      <c r="G8501" s="13">
        <f t="shared" si="1"/>
        <v>1281</v>
      </c>
      <c r="H8501" s="13"/>
    </row>
    <row r="8502" ht="22.5" customHeight="1">
      <c r="B8502" s="17"/>
      <c r="C8502" s="17"/>
      <c r="D8502" s="13"/>
      <c r="E8502" s="11"/>
      <c r="F8502" s="11"/>
      <c r="G8502" s="13">
        <f t="shared" si="1"/>
        <v>1281</v>
      </c>
      <c r="H8502" s="13"/>
    </row>
    <row r="8503" ht="22.5" customHeight="1">
      <c r="B8503" s="17"/>
      <c r="C8503" s="17"/>
      <c r="D8503" s="13"/>
      <c r="E8503" s="11"/>
      <c r="F8503" s="11"/>
      <c r="G8503" s="13">
        <f t="shared" si="1"/>
        <v>1281</v>
      </c>
      <c r="H8503" s="13"/>
    </row>
    <row r="8504" ht="22.5" customHeight="1">
      <c r="B8504" s="17"/>
      <c r="C8504" s="17"/>
      <c r="D8504" s="13"/>
      <c r="E8504" s="11"/>
      <c r="F8504" s="11"/>
      <c r="G8504" s="13">
        <f t="shared" si="1"/>
        <v>1281</v>
      </c>
      <c r="H8504" s="13"/>
    </row>
    <row r="8505" ht="22.5" customHeight="1">
      <c r="B8505" s="17"/>
      <c r="C8505" s="17"/>
      <c r="D8505" s="13"/>
      <c r="E8505" s="11"/>
      <c r="F8505" s="11"/>
      <c r="G8505" s="13">
        <f t="shared" si="1"/>
        <v>1281</v>
      </c>
      <c r="H8505" s="13"/>
    </row>
    <row r="8506" ht="22.5" customHeight="1">
      <c r="B8506" s="17"/>
      <c r="C8506" s="17"/>
      <c r="D8506" s="13"/>
      <c r="E8506" s="11"/>
      <c r="F8506" s="11"/>
      <c r="G8506" s="13">
        <f t="shared" si="1"/>
        <v>1281</v>
      </c>
      <c r="H8506" s="13"/>
    </row>
    <row r="8507" ht="22.5" customHeight="1">
      <c r="B8507" s="17"/>
      <c r="C8507" s="17"/>
      <c r="D8507" s="13"/>
      <c r="E8507" s="11"/>
      <c r="F8507" s="11"/>
      <c r="G8507" s="13">
        <f t="shared" si="1"/>
        <v>1281</v>
      </c>
      <c r="H8507" s="13"/>
    </row>
    <row r="8508" ht="22.5" customHeight="1">
      <c r="B8508" s="17"/>
      <c r="C8508" s="17"/>
      <c r="D8508" s="13"/>
      <c r="E8508" s="11"/>
      <c r="F8508" s="11"/>
      <c r="G8508" s="13">
        <f t="shared" si="1"/>
        <v>1281</v>
      </c>
      <c r="H8508" s="13"/>
    </row>
    <row r="8509" ht="22.5" customHeight="1">
      <c r="B8509" s="17"/>
      <c r="C8509" s="17"/>
      <c r="D8509" s="13"/>
      <c r="E8509" s="11"/>
      <c r="F8509" s="11"/>
      <c r="G8509" s="13">
        <f t="shared" si="1"/>
        <v>1281</v>
      </c>
      <c r="H8509" s="13"/>
    </row>
    <row r="8510" ht="22.5" customHeight="1">
      <c r="B8510" s="17"/>
      <c r="C8510" s="17"/>
      <c r="D8510" s="13"/>
      <c r="E8510" s="11"/>
      <c r="F8510" s="11"/>
      <c r="G8510" s="13">
        <f t="shared" si="1"/>
        <v>1281</v>
      </c>
      <c r="H8510" s="13"/>
    </row>
    <row r="8511" ht="22.5" customHeight="1">
      <c r="B8511" s="17"/>
      <c r="C8511" s="17"/>
      <c r="D8511" s="13"/>
      <c r="E8511" s="11"/>
      <c r="F8511" s="11"/>
      <c r="G8511" s="13">
        <f t="shared" si="1"/>
        <v>1281</v>
      </c>
      <c r="H8511" s="13"/>
    </row>
    <row r="8512" ht="22.5" customHeight="1">
      <c r="B8512" s="17"/>
      <c r="C8512" s="17"/>
      <c r="D8512" s="13"/>
      <c r="E8512" s="11"/>
      <c r="F8512" s="11"/>
      <c r="G8512" s="13">
        <f t="shared" si="1"/>
        <v>1281</v>
      </c>
      <c r="H8512" s="13"/>
    </row>
    <row r="8513" ht="22.5" customHeight="1">
      <c r="B8513" s="17"/>
      <c r="C8513" s="17"/>
      <c r="D8513" s="13"/>
      <c r="E8513" s="11"/>
      <c r="F8513" s="11"/>
      <c r="G8513" s="13">
        <f t="shared" si="1"/>
        <v>1281</v>
      </c>
      <c r="H8513" s="13"/>
    </row>
    <row r="8514" ht="22.5" customHeight="1">
      <c r="B8514" s="17"/>
      <c r="C8514" s="17"/>
      <c r="D8514" s="13"/>
      <c r="E8514" s="11"/>
      <c r="F8514" s="11"/>
      <c r="G8514" s="13">
        <f t="shared" si="1"/>
        <v>1281</v>
      </c>
      <c r="H8514" s="13"/>
    </row>
    <row r="8515" ht="22.5" customHeight="1">
      <c r="B8515" s="17"/>
      <c r="C8515" s="17"/>
      <c r="D8515" s="13"/>
      <c r="E8515" s="11"/>
      <c r="F8515" s="11"/>
      <c r="G8515" s="13">
        <f t="shared" si="1"/>
        <v>1281</v>
      </c>
      <c r="H8515" s="13"/>
    </row>
    <row r="8516" ht="22.5" customHeight="1">
      <c r="B8516" s="17"/>
      <c r="C8516" s="17"/>
      <c r="D8516" s="13"/>
      <c r="E8516" s="11"/>
      <c r="F8516" s="11"/>
      <c r="G8516" s="13">
        <f t="shared" si="1"/>
        <v>1281</v>
      </c>
      <c r="H8516" s="13"/>
    </row>
    <row r="8517" ht="22.5" customHeight="1">
      <c r="B8517" s="17"/>
      <c r="C8517" s="17"/>
      <c r="D8517" s="13"/>
      <c r="E8517" s="11"/>
      <c r="F8517" s="11"/>
      <c r="G8517" s="13">
        <f t="shared" si="1"/>
        <v>1281</v>
      </c>
      <c r="H8517" s="13"/>
    </row>
    <row r="8518" ht="22.5" customHeight="1">
      <c r="B8518" s="17"/>
      <c r="C8518" s="17"/>
      <c r="D8518" s="13"/>
      <c r="E8518" s="11"/>
      <c r="F8518" s="11"/>
      <c r="G8518" s="13">
        <f t="shared" si="1"/>
        <v>1281</v>
      </c>
      <c r="H8518" s="13"/>
    </row>
    <row r="8519" ht="22.5" customHeight="1">
      <c r="B8519" s="17"/>
      <c r="C8519" s="17"/>
      <c r="D8519" s="13"/>
      <c r="E8519" s="11"/>
      <c r="F8519" s="11"/>
      <c r="G8519" s="13">
        <f t="shared" si="1"/>
        <v>1281</v>
      </c>
      <c r="H8519" s="13"/>
    </row>
    <row r="8520" ht="22.5" customHeight="1">
      <c r="B8520" s="17"/>
      <c r="C8520" s="17"/>
      <c r="D8520" s="13"/>
      <c r="E8520" s="11"/>
      <c r="F8520" s="11"/>
      <c r="G8520" s="13">
        <f t="shared" si="1"/>
        <v>1281</v>
      </c>
      <c r="H8520" s="13"/>
    </row>
    <row r="8521" ht="22.5" customHeight="1">
      <c r="B8521" s="17"/>
      <c r="C8521" s="17"/>
      <c r="D8521" s="13"/>
      <c r="E8521" s="11"/>
      <c r="F8521" s="11"/>
      <c r="G8521" s="13">
        <f t="shared" si="1"/>
        <v>1281</v>
      </c>
      <c r="H8521" s="13"/>
    </row>
    <row r="8522" ht="22.5" customHeight="1">
      <c r="B8522" s="17"/>
      <c r="C8522" s="17"/>
      <c r="D8522" s="13"/>
      <c r="E8522" s="11"/>
      <c r="F8522" s="11"/>
      <c r="G8522" s="13">
        <f t="shared" si="1"/>
        <v>1281</v>
      </c>
      <c r="H8522" s="13"/>
    </row>
    <row r="8523" ht="22.5" customHeight="1">
      <c r="B8523" s="17"/>
      <c r="C8523" s="17"/>
      <c r="D8523" s="13"/>
      <c r="E8523" s="11"/>
      <c r="F8523" s="11"/>
      <c r="G8523" s="13">
        <f t="shared" si="1"/>
        <v>1281</v>
      </c>
      <c r="H8523" s="13"/>
    </row>
    <row r="8524" ht="22.5" customHeight="1">
      <c r="B8524" s="17"/>
      <c r="C8524" s="17"/>
      <c r="D8524" s="13"/>
      <c r="E8524" s="11"/>
      <c r="F8524" s="11"/>
      <c r="G8524" s="13">
        <f t="shared" si="1"/>
        <v>1281</v>
      </c>
      <c r="H8524" s="13"/>
    </row>
    <row r="8525" ht="22.5" customHeight="1">
      <c r="B8525" s="17"/>
      <c r="C8525" s="17"/>
      <c r="D8525" s="13"/>
      <c r="E8525" s="11"/>
      <c r="F8525" s="11"/>
      <c r="G8525" s="13">
        <f t="shared" si="1"/>
        <v>1281</v>
      </c>
      <c r="H8525" s="13"/>
    </row>
    <row r="8526" ht="22.5" customHeight="1">
      <c r="B8526" s="17"/>
      <c r="C8526" s="17"/>
      <c r="D8526" s="13"/>
      <c r="E8526" s="11"/>
      <c r="F8526" s="11"/>
      <c r="G8526" s="13">
        <f t="shared" si="1"/>
        <v>1281</v>
      </c>
      <c r="H8526" s="13"/>
    </row>
    <row r="8527" ht="22.5" customHeight="1">
      <c r="B8527" s="17"/>
      <c r="C8527" s="17"/>
      <c r="D8527" s="13"/>
      <c r="E8527" s="11"/>
      <c r="F8527" s="11"/>
      <c r="G8527" s="13">
        <f t="shared" si="1"/>
        <v>1281</v>
      </c>
      <c r="H8527" s="13"/>
    </row>
    <row r="8528" ht="22.5" customHeight="1">
      <c r="B8528" s="17"/>
      <c r="C8528" s="17"/>
      <c r="D8528" s="13"/>
      <c r="E8528" s="11"/>
      <c r="F8528" s="11"/>
      <c r="G8528" s="13">
        <f t="shared" si="1"/>
        <v>1281</v>
      </c>
      <c r="H8528" s="13"/>
    </row>
    <row r="8529" ht="22.5" customHeight="1">
      <c r="B8529" s="17"/>
      <c r="C8529" s="17"/>
      <c r="D8529" s="13"/>
      <c r="E8529" s="11"/>
      <c r="F8529" s="11"/>
      <c r="G8529" s="13">
        <f t="shared" si="1"/>
        <v>1281</v>
      </c>
      <c r="H8529" s="13"/>
    </row>
    <row r="8530" ht="22.5" customHeight="1">
      <c r="B8530" s="17"/>
      <c r="C8530" s="17"/>
      <c r="D8530" s="13"/>
      <c r="E8530" s="11"/>
      <c r="F8530" s="11"/>
      <c r="G8530" s="13">
        <f t="shared" si="1"/>
        <v>1281</v>
      </c>
      <c r="H8530" s="13"/>
    </row>
    <row r="8531" ht="22.5" customHeight="1">
      <c r="B8531" s="17"/>
      <c r="C8531" s="17"/>
      <c r="D8531" s="13"/>
      <c r="E8531" s="11"/>
      <c r="F8531" s="11"/>
      <c r="G8531" s="13">
        <f t="shared" si="1"/>
        <v>1281</v>
      </c>
      <c r="H8531" s="13"/>
    </row>
    <row r="8532" ht="22.5" customHeight="1">
      <c r="B8532" s="17"/>
      <c r="C8532" s="17"/>
      <c r="D8532" s="13"/>
      <c r="E8532" s="11"/>
      <c r="F8532" s="11"/>
      <c r="G8532" s="13">
        <f t="shared" si="1"/>
        <v>1281</v>
      </c>
      <c r="H8532" s="13"/>
    </row>
    <row r="8533" ht="22.5" customHeight="1">
      <c r="B8533" s="17"/>
      <c r="C8533" s="17"/>
      <c r="D8533" s="13"/>
      <c r="E8533" s="11"/>
      <c r="F8533" s="11"/>
      <c r="G8533" s="13">
        <f t="shared" si="1"/>
        <v>1281</v>
      </c>
      <c r="H8533" s="13"/>
    </row>
    <row r="8534" ht="22.5" customHeight="1">
      <c r="B8534" s="17"/>
      <c r="C8534" s="17"/>
      <c r="D8534" s="13"/>
      <c r="E8534" s="11"/>
      <c r="F8534" s="11"/>
      <c r="G8534" s="13">
        <f t="shared" si="1"/>
        <v>1281</v>
      </c>
      <c r="H8534" s="13"/>
    </row>
    <row r="8535" ht="22.5" customHeight="1">
      <c r="B8535" s="17"/>
      <c r="C8535" s="17"/>
      <c r="D8535" s="13"/>
      <c r="E8535" s="11"/>
      <c r="F8535" s="11"/>
      <c r="G8535" s="13">
        <f t="shared" si="1"/>
        <v>1281</v>
      </c>
      <c r="H8535" s="13"/>
    </row>
    <row r="8536" ht="22.5" customHeight="1">
      <c r="B8536" s="17"/>
      <c r="C8536" s="17"/>
      <c r="D8536" s="13"/>
      <c r="E8536" s="11"/>
      <c r="F8536" s="11"/>
      <c r="G8536" s="13">
        <f t="shared" si="1"/>
        <v>1281</v>
      </c>
      <c r="H8536" s="13"/>
    </row>
    <row r="8537" ht="22.5" customHeight="1">
      <c r="B8537" s="17"/>
      <c r="C8537" s="17"/>
      <c r="D8537" s="13"/>
      <c r="E8537" s="11"/>
      <c r="F8537" s="11"/>
      <c r="G8537" s="13">
        <f t="shared" si="1"/>
        <v>1281</v>
      </c>
      <c r="H8537" s="13"/>
    </row>
    <row r="8538" ht="22.5" customHeight="1">
      <c r="B8538" s="17"/>
      <c r="C8538" s="17"/>
      <c r="D8538" s="13"/>
      <c r="E8538" s="11"/>
      <c r="F8538" s="11"/>
      <c r="G8538" s="13">
        <f t="shared" si="1"/>
        <v>1281</v>
      </c>
      <c r="H8538" s="13"/>
    </row>
    <row r="8539" ht="22.5" customHeight="1">
      <c r="B8539" s="17"/>
      <c r="C8539" s="17"/>
      <c r="D8539" s="13"/>
      <c r="E8539" s="11"/>
      <c r="F8539" s="11"/>
      <c r="G8539" s="13">
        <f t="shared" si="1"/>
        <v>1281</v>
      </c>
      <c r="H8539" s="13"/>
    </row>
    <row r="8540" ht="22.5" customHeight="1">
      <c r="B8540" s="17"/>
      <c r="C8540" s="17"/>
      <c r="D8540" s="13"/>
      <c r="E8540" s="11"/>
      <c r="F8540" s="11"/>
      <c r="G8540" s="13">
        <f t="shared" si="1"/>
        <v>1281</v>
      </c>
      <c r="H8540" s="13"/>
    </row>
    <row r="8541" ht="22.5" customHeight="1">
      <c r="B8541" s="17"/>
      <c r="C8541" s="17"/>
      <c r="D8541" s="13"/>
      <c r="E8541" s="11"/>
      <c r="F8541" s="11"/>
      <c r="G8541" s="13">
        <f t="shared" si="1"/>
        <v>1281</v>
      </c>
      <c r="H8541" s="13"/>
    </row>
    <row r="8542" ht="22.5" customHeight="1">
      <c r="B8542" s="17"/>
      <c r="C8542" s="17"/>
      <c r="D8542" s="13"/>
      <c r="E8542" s="11"/>
      <c r="F8542" s="11"/>
      <c r="G8542" s="13">
        <f t="shared" si="1"/>
        <v>1281</v>
      </c>
      <c r="H8542" s="13"/>
    </row>
    <row r="8543" ht="22.5" customHeight="1">
      <c r="B8543" s="17"/>
      <c r="C8543" s="17"/>
      <c r="D8543" s="13"/>
      <c r="E8543" s="11"/>
      <c r="F8543" s="11"/>
      <c r="G8543" s="13">
        <f t="shared" si="1"/>
        <v>1281</v>
      </c>
      <c r="H8543" s="13"/>
    </row>
    <row r="8544" ht="22.5" customHeight="1">
      <c r="B8544" s="17"/>
      <c r="C8544" s="17"/>
      <c r="D8544" s="13"/>
      <c r="E8544" s="11"/>
      <c r="F8544" s="11"/>
      <c r="G8544" s="13">
        <f t="shared" si="1"/>
        <v>1281</v>
      </c>
      <c r="H8544" s="13"/>
    </row>
    <row r="8545" ht="22.5" customHeight="1">
      <c r="B8545" s="17"/>
      <c r="C8545" s="17"/>
      <c r="D8545" s="13"/>
      <c r="E8545" s="11"/>
      <c r="F8545" s="11"/>
      <c r="G8545" s="13">
        <f t="shared" si="1"/>
        <v>1281</v>
      </c>
      <c r="H8545" s="13"/>
    </row>
    <row r="8546" ht="22.5" customHeight="1">
      <c r="B8546" s="17"/>
      <c r="C8546" s="17"/>
      <c r="D8546" s="13"/>
      <c r="E8546" s="11"/>
      <c r="F8546" s="11"/>
      <c r="G8546" s="13">
        <f t="shared" si="1"/>
        <v>1281</v>
      </c>
      <c r="H8546" s="13"/>
    </row>
    <row r="8547" ht="22.5" customHeight="1">
      <c r="B8547" s="17"/>
      <c r="C8547" s="17"/>
      <c r="D8547" s="13"/>
      <c r="E8547" s="11"/>
      <c r="F8547" s="11"/>
      <c r="G8547" s="13">
        <f t="shared" si="1"/>
        <v>1281</v>
      </c>
      <c r="H8547" s="13"/>
    </row>
    <row r="8548" ht="22.5" customHeight="1">
      <c r="B8548" s="17"/>
      <c r="C8548" s="17"/>
      <c r="D8548" s="13"/>
      <c r="E8548" s="11"/>
      <c r="F8548" s="11"/>
      <c r="G8548" s="13">
        <f t="shared" si="1"/>
        <v>1281</v>
      </c>
      <c r="H8548" s="13"/>
    </row>
    <row r="8549" ht="22.5" customHeight="1">
      <c r="B8549" s="17"/>
      <c r="C8549" s="17"/>
      <c r="D8549" s="13"/>
      <c r="E8549" s="11"/>
      <c r="F8549" s="11"/>
      <c r="G8549" s="13">
        <f t="shared" si="1"/>
        <v>1281</v>
      </c>
      <c r="H8549" s="13"/>
    </row>
    <row r="8550" ht="22.5" customHeight="1">
      <c r="B8550" s="17"/>
      <c r="C8550" s="17"/>
      <c r="D8550" s="13"/>
      <c r="E8550" s="11"/>
      <c r="F8550" s="11"/>
      <c r="G8550" s="13">
        <f t="shared" si="1"/>
        <v>1281</v>
      </c>
      <c r="H8550" s="13"/>
    </row>
    <row r="8551" ht="22.5" customHeight="1">
      <c r="B8551" s="17"/>
      <c r="C8551" s="17"/>
      <c r="D8551" s="13"/>
      <c r="E8551" s="11"/>
      <c r="F8551" s="11"/>
      <c r="G8551" s="13">
        <f t="shared" si="1"/>
        <v>1281</v>
      </c>
      <c r="H8551" s="13"/>
    </row>
    <row r="8552" ht="22.5" customHeight="1">
      <c r="B8552" s="17"/>
      <c r="C8552" s="17"/>
      <c r="D8552" s="13"/>
      <c r="E8552" s="11"/>
      <c r="F8552" s="11"/>
      <c r="G8552" s="13">
        <f t="shared" si="1"/>
        <v>1281</v>
      </c>
      <c r="H8552" s="13"/>
    </row>
    <row r="8553" ht="22.5" customHeight="1">
      <c r="B8553" s="17"/>
      <c r="C8553" s="17"/>
      <c r="D8553" s="13"/>
      <c r="E8553" s="11"/>
      <c r="F8553" s="11"/>
      <c r="G8553" s="13">
        <f t="shared" si="1"/>
        <v>1281</v>
      </c>
      <c r="H8553" s="13"/>
    </row>
    <row r="8554" ht="22.5" customHeight="1">
      <c r="B8554" s="17"/>
      <c r="C8554" s="17"/>
      <c r="D8554" s="13"/>
      <c r="E8554" s="11"/>
      <c r="F8554" s="11"/>
      <c r="G8554" s="13">
        <f t="shared" si="1"/>
        <v>1281</v>
      </c>
      <c r="H8554" s="13"/>
    </row>
    <row r="8555" ht="22.5" customHeight="1">
      <c r="B8555" s="17"/>
      <c r="C8555" s="17"/>
      <c r="D8555" s="13"/>
      <c r="E8555" s="11"/>
      <c r="F8555" s="11"/>
      <c r="G8555" s="13">
        <f t="shared" si="1"/>
        <v>1281</v>
      </c>
      <c r="H8555" s="13"/>
    </row>
    <row r="8556" ht="22.5" customHeight="1">
      <c r="B8556" s="17"/>
      <c r="C8556" s="17"/>
      <c r="D8556" s="13"/>
      <c r="E8556" s="11"/>
      <c r="F8556" s="11"/>
      <c r="G8556" s="13">
        <f t="shared" si="1"/>
        <v>1281</v>
      </c>
      <c r="H8556" s="13"/>
    </row>
    <row r="8557" ht="22.5" customHeight="1">
      <c r="B8557" s="17"/>
      <c r="C8557" s="17"/>
      <c r="D8557" s="13"/>
      <c r="E8557" s="11"/>
      <c r="F8557" s="11"/>
      <c r="G8557" s="13">
        <f t="shared" si="1"/>
        <v>1281</v>
      </c>
      <c r="H8557" s="13"/>
    </row>
    <row r="8558" ht="22.5" customHeight="1">
      <c r="B8558" s="17"/>
      <c r="C8558" s="17"/>
      <c r="D8558" s="13"/>
      <c r="E8558" s="11"/>
      <c r="F8558" s="11"/>
      <c r="G8558" s="13">
        <f t="shared" si="1"/>
        <v>1281</v>
      </c>
      <c r="H8558" s="13"/>
    </row>
    <row r="8559" ht="22.5" customHeight="1">
      <c r="B8559" s="17"/>
      <c r="C8559" s="17"/>
      <c r="D8559" s="13"/>
      <c r="E8559" s="11"/>
      <c r="F8559" s="11"/>
      <c r="G8559" s="13">
        <f t="shared" si="1"/>
        <v>1281</v>
      </c>
      <c r="H8559" s="13"/>
    </row>
    <row r="8560" ht="22.5" customHeight="1">
      <c r="B8560" s="17"/>
      <c r="C8560" s="17"/>
      <c r="D8560" s="13"/>
      <c r="E8560" s="11"/>
      <c r="F8560" s="11"/>
      <c r="G8560" s="13">
        <f t="shared" si="1"/>
        <v>1281</v>
      </c>
      <c r="H8560" s="13"/>
    </row>
    <row r="8561" ht="22.5" customHeight="1">
      <c r="B8561" s="17"/>
      <c r="C8561" s="17"/>
      <c r="D8561" s="13"/>
      <c r="E8561" s="11"/>
      <c r="F8561" s="11"/>
      <c r="G8561" s="13">
        <f t="shared" si="1"/>
        <v>1281</v>
      </c>
      <c r="H8561" s="13"/>
    </row>
    <row r="8562" ht="22.5" customHeight="1">
      <c r="B8562" s="17"/>
      <c r="C8562" s="17"/>
      <c r="D8562" s="13"/>
      <c r="E8562" s="11"/>
      <c r="F8562" s="11"/>
      <c r="G8562" s="13">
        <f t="shared" si="1"/>
        <v>1281</v>
      </c>
      <c r="H8562" s="13"/>
    </row>
    <row r="8563" ht="22.5" customHeight="1">
      <c r="B8563" s="17"/>
      <c r="C8563" s="17"/>
      <c r="D8563" s="13"/>
      <c r="E8563" s="11"/>
      <c r="F8563" s="11"/>
      <c r="G8563" s="13">
        <f t="shared" si="1"/>
        <v>1281</v>
      </c>
      <c r="H8563" s="13"/>
    </row>
    <row r="8564" ht="22.5" customHeight="1">
      <c r="B8564" s="17"/>
      <c r="C8564" s="17"/>
      <c r="D8564" s="13"/>
      <c r="E8564" s="11"/>
      <c r="F8564" s="11"/>
      <c r="G8564" s="13">
        <f t="shared" si="1"/>
        <v>1281</v>
      </c>
      <c r="H8564" s="13"/>
    </row>
    <row r="8565" ht="22.5" customHeight="1">
      <c r="B8565" s="17"/>
      <c r="C8565" s="17"/>
      <c r="D8565" s="13"/>
      <c r="E8565" s="11"/>
      <c r="F8565" s="11"/>
      <c r="G8565" s="13">
        <f t="shared" si="1"/>
        <v>1281</v>
      </c>
      <c r="H8565" s="13"/>
    </row>
    <row r="8566" ht="22.5" customHeight="1">
      <c r="B8566" s="17"/>
      <c r="C8566" s="17"/>
      <c r="D8566" s="13"/>
      <c r="E8566" s="11"/>
      <c r="F8566" s="11"/>
      <c r="G8566" s="13">
        <f t="shared" si="1"/>
        <v>1281</v>
      </c>
      <c r="H8566" s="13"/>
    </row>
    <row r="8567" ht="22.5" customHeight="1">
      <c r="B8567" s="17"/>
      <c r="C8567" s="17"/>
      <c r="D8567" s="13"/>
      <c r="E8567" s="11"/>
      <c r="F8567" s="11"/>
      <c r="G8567" s="13">
        <f t="shared" si="1"/>
        <v>1281</v>
      </c>
      <c r="H8567" s="13"/>
    </row>
    <row r="8568" ht="22.5" customHeight="1">
      <c r="B8568" s="17"/>
      <c r="C8568" s="17"/>
      <c r="D8568" s="13"/>
      <c r="E8568" s="11"/>
      <c r="F8568" s="11"/>
      <c r="G8568" s="13">
        <f t="shared" si="1"/>
        <v>1281</v>
      </c>
      <c r="H8568" s="13"/>
    </row>
    <row r="8569" ht="22.5" customHeight="1">
      <c r="B8569" s="17"/>
      <c r="C8569" s="17"/>
      <c r="D8569" s="13"/>
      <c r="E8569" s="11"/>
      <c r="F8569" s="11"/>
      <c r="G8569" s="13">
        <f t="shared" si="1"/>
        <v>1281</v>
      </c>
      <c r="H8569" s="13"/>
    </row>
    <row r="8570" ht="22.5" customHeight="1">
      <c r="B8570" s="17"/>
      <c r="C8570" s="17"/>
      <c r="D8570" s="13"/>
      <c r="E8570" s="11"/>
      <c r="F8570" s="11"/>
      <c r="G8570" s="13">
        <f t="shared" si="1"/>
        <v>1281</v>
      </c>
      <c r="H8570" s="13"/>
    </row>
    <row r="8571" ht="22.5" customHeight="1">
      <c r="B8571" s="17"/>
      <c r="C8571" s="17"/>
      <c r="D8571" s="13"/>
      <c r="E8571" s="11"/>
      <c r="F8571" s="11"/>
      <c r="G8571" s="13">
        <f t="shared" si="1"/>
        <v>1281</v>
      </c>
      <c r="H8571" s="13"/>
    </row>
    <row r="8572" ht="22.5" customHeight="1">
      <c r="B8572" s="17"/>
      <c r="C8572" s="17"/>
      <c r="D8572" s="13"/>
      <c r="E8572" s="11"/>
      <c r="F8572" s="11"/>
      <c r="G8572" s="13">
        <f t="shared" si="1"/>
        <v>1281</v>
      </c>
      <c r="H8572" s="13"/>
    </row>
    <row r="8573" ht="22.5" customHeight="1">
      <c r="B8573" s="17"/>
      <c r="C8573" s="17"/>
      <c r="D8573" s="13"/>
      <c r="E8573" s="11"/>
      <c r="F8573" s="11"/>
      <c r="G8573" s="13">
        <f t="shared" si="1"/>
        <v>1281</v>
      </c>
      <c r="H8573" s="13"/>
    </row>
    <row r="8574" ht="22.5" customHeight="1">
      <c r="B8574" s="17"/>
      <c r="C8574" s="17"/>
      <c r="D8574" s="13"/>
      <c r="E8574" s="11"/>
      <c r="F8574" s="11"/>
      <c r="G8574" s="13">
        <f t="shared" si="1"/>
        <v>1281</v>
      </c>
      <c r="H8574" s="13"/>
    </row>
    <row r="8575" ht="22.5" customHeight="1">
      <c r="B8575" s="17"/>
      <c r="C8575" s="17"/>
      <c r="D8575" s="13"/>
      <c r="E8575" s="11"/>
      <c r="F8575" s="11"/>
      <c r="G8575" s="13">
        <f t="shared" si="1"/>
        <v>1281</v>
      </c>
      <c r="H8575" s="13"/>
    </row>
    <row r="8576" ht="22.5" customHeight="1">
      <c r="B8576" s="17"/>
      <c r="C8576" s="17"/>
      <c r="D8576" s="13"/>
      <c r="E8576" s="11"/>
      <c r="F8576" s="11"/>
      <c r="G8576" s="13">
        <f t="shared" si="1"/>
        <v>1281</v>
      </c>
      <c r="H8576" s="13"/>
    </row>
    <row r="8577" ht="22.5" customHeight="1">
      <c r="B8577" s="17"/>
      <c r="C8577" s="17"/>
      <c r="D8577" s="13"/>
      <c r="E8577" s="11"/>
      <c r="F8577" s="11"/>
      <c r="G8577" s="13">
        <f t="shared" si="1"/>
        <v>1281</v>
      </c>
      <c r="H8577" s="13"/>
    </row>
    <row r="8578" ht="22.5" customHeight="1">
      <c r="B8578" s="17"/>
      <c r="C8578" s="17"/>
      <c r="D8578" s="13"/>
      <c r="E8578" s="11"/>
      <c r="F8578" s="11"/>
      <c r="G8578" s="13">
        <f t="shared" si="1"/>
        <v>1281</v>
      </c>
      <c r="H8578" s="13"/>
    </row>
    <row r="8579" ht="22.5" customHeight="1">
      <c r="B8579" s="17"/>
      <c r="C8579" s="17"/>
      <c r="D8579" s="13"/>
      <c r="E8579" s="11"/>
      <c r="F8579" s="11"/>
      <c r="G8579" s="13">
        <f t="shared" si="1"/>
        <v>1281</v>
      </c>
      <c r="H8579" s="13"/>
    </row>
    <row r="8580" ht="22.5" customHeight="1">
      <c r="B8580" s="17"/>
      <c r="C8580" s="17"/>
      <c r="D8580" s="13"/>
      <c r="E8580" s="11"/>
      <c r="F8580" s="11"/>
      <c r="G8580" s="13">
        <f t="shared" si="1"/>
        <v>1281</v>
      </c>
      <c r="H8580" s="13"/>
    </row>
    <row r="8581" ht="22.5" customHeight="1">
      <c r="B8581" s="17"/>
      <c r="C8581" s="17"/>
      <c r="D8581" s="13"/>
      <c r="E8581" s="11"/>
      <c r="F8581" s="11"/>
      <c r="G8581" s="13">
        <f t="shared" si="1"/>
        <v>1281</v>
      </c>
      <c r="H8581" s="13"/>
    </row>
    <row r="8582" ht="22.5" customHeight="1">
      <c r="B8582" s="17"/>
      <c r="C8582" s="17"/>
      <c r="D8582" s="13"/>
      <c r="E8582" s="11"/>
      <c r="F8582" s="11"/>
      <c r="G8582" s="13">
        <f t="shared" si="1"/>
        <v>1281</v>
      </c>
      <c r="H8582" s="13"/>
    </row>
    <row r="8583" ht="22.5" customHeight="1">
      <c r="B8583" s="17"/>
      <c r="C8583" s="17"/>
      <c r="D8583" s="13"/>
      <c r="E8583" s="11"/>
      <c r="F8583" s="11"/>
      <c r="G8583" s="13">
        <f t="shared" si="1"/>
        <v>1281</v>
      </c>
      <c r="H8583" s="13"/>
    </row>
    <row r="8584" ht="22.5" customHeight="1">
      <c r="B8584" s="17"/>
      <c r="C8584" s="17"/>
      <c r="D8584" s="13"/>
      <c r="E8584" s="11"/>
      <c r="F8584" s="11"/>
      <c r="G8584" s="13">
        <f t="shared" si="1"/>
        <v>1281</v>
      </c>
      <c r="H8584" s="13"/>
    </row>
    <row r="8585" ht="22.5" customHeight="1">
      <c r="B8585" s="17"/>
      <c r="C8585" s="17"/>
      <c r="D8585" s="13"/>
      <c r="E8585" s="11"/>
      <c r="F8585" s="11"/>
      <c r="G8585" s="13">
        <f t="shared" si="1"/>
        <v>1281</v>
      </c>
      <c r="H8585" s="13"/>
    </row>
    <row r="8586" ht="22.5" customHeight="1">
      <c r="B8586" s="17"/>
      <c r="C8586" s="17"/>
      <c r="D8586" s="13"/>
      <c r="E8586" s="11"/>
      <c r="F8586" s="11"/>
      <c r="G8586" s="13">
        <f t="shared" si="1"/>
        <v>1281</v>
      </c>
      <c r="H8586" s="13"/>
    </row>
    <row r="8587" ht="22.5" customHeight="1">
      <c r="B8587" s="17"/>
      <c r="C8587" s="17"/>
      <c r="D8587" s="13"/>
      <c r="E8587" s="11"/>
      <c r="F8587" s="11"/>
      <c r="G8587" s="13">
        <f t="shared" si="1"/>
        <v>1281</v>
      </c>
      <c r="H8587" s="13"/>
    </row>
    <row r="8588" ht="22.5" customHeight="1">
      <c r="B8588" s="17"/>
      <c r="C8588" s="17"/>
      <c r="D8588" s="13"/>
      <c r="E8588" s="11"/>
      <c r="F8588" s="11"/>
      <c r="G8588" s="13">
        <f t="shared" si="1"/>
        <v>1281</v>
      </c>
      <c r="H8588" s="13"/>
    </row>
    <row r="8589" ht="22.5" customHeight="1">
      <c r="B8589" s="17"/>
      <c r="C8589" s="17"/>
      <c r="D8589" s="13"/>
      <c r="E8589" s="11"/>
      <c r="F8589" s="11"/>
      <c r="G8589" s="13">
        <f t="shared" si="1"/>
        <v>1281</v>
      </c>
      <c r="H8589" s="13"/>
    </row>
    <row r="8590" ht="22.5" customHeight="1">
      <c r="B8590" s="17"/>
      <c r="C8590" s="17"/>
      <c r="D8590" s="13"/>
      <c r="E8590" s="11"/>
      <c r="F8590" s="11"/>
      <c r="G8590" s="13">
        <f t="shared" si="1"/>
        <v>1281</v>
      </c>
      <c r="H8590" s="13"/>
    </row>
    <row r="8591" ht="22.5" customHeight="1">
      <c r="B8591" s="17"/>
      <c r="C8591" s="17"/>
      <c r="D8591" s="13"/>
      <c r="E8591" s="11"/>
      <c r="F8591" s="11"/>
      <c r="G8591" s="13">
        <f t="shared" si="1"/>
        <v>1281</v>
      </c>
      <c r="H8591" s="13"/>
    </row>
    <row r="8592" ht="22.5" customHeight="1">
      <c r="B8592" s="17"/>
      <c r="C8592" s="17"/>
      <c r="D8592" s="13"/>
      <c r="E8592" s="11"/>
      <c r="F8592" s="11"/>
      <c r="G8592" s="13">
        <f t="shared" si="1"/>
        <v>1281</v>
      </c>
      <c r="H8592" s="13"/>
    </row>
    <row r="8593" ht="22.5" customHeight="1">
      <c r="B8593" s="17"/>
      <c r="C8593" s="17"/>
      <c r="D8593" s="13"/>
      <c r="E8593" s="11"/>
      <c r="F8593" s="11"/>
      <c r="G8593" s="13">
        <f t="shared" si="1"/>
        <v>1281</v>
      </c>
      <c r="H8593" s="13"/>
    </row>
    <row r="8594" ht="22.5" customHeight="1">
      <c r="B8594" s="17"/>
      <c r="C8594" s="17"/>
      <c r="D8594" s="13"/>
      <c r="E8594" s="11"/>
      <c r="F8594" s="11"/>
      <c r="G8594" s="13">
        <f t="shared" si="1"/>
        <v>1281</v>
      </c>
      <c r="H8594" s="13"/>
    </row>
    <row r="8595" ht="22.5" customHeight="1">
      <c r="B8595" s="17"/>
      <c r="C8595" s="17"/>
      <c r="D8595" s="13"/>
      <c r="E8595" s="11"/>
      <c r="F8595" s="11"/>
      <c r="G8595" s="13">
        <f t="shared" si="1"/>
        <v>1281</v>
      </c>
      <c r="H8595" s="13"/>
    </row>
    <row r="8596" ht="22.5" customHeight="1">
      <c r="B8596" s="17"/>
      <c r="C8596" s="17"/>
      <c r="D8596" s="13"/>
      <c r="E8596" s="11"/>
      <c r="F8596" s="11"/>
      <c r="G8596" s="13">
        <f t="shared" si="1"/>
        <v>1281</v>
      </c>
      <c r="H8596" s="13"/>
    </row>
    <row r="8597" ht="22.5" customHeight="1">
      <c r="B8597" s="17"/>
      <c r="C8597" s="17"/>
      <c r="D8597" s="13"/>
      <c r="E8597" s="11"/>
      <c r="F8597" s="11"/>
      <c r="G8597" s="13">
        <f t="shared" si="1"/>
        <v>1281</v>
      </c>
      <c r="H8597" s="13"/>
    </row>
    <row r="8598" ht="22.5" customHeight="1">
      <c r="B8598" s="17"/>
      <c r="C8598" s="17"/>
      <c r="D8598" s="13"/>
      <c r="E8598" s="11"/>
      <c r="F8598" s="11"/>
      <c r="G8598" s="13">
        <f t="shared" si="1"/>
        <v>1281</v>
      </c>
      <c r="H8598" s="13"/>
    </row>
    <row r="8599" ht="22.5" customHeight="1">
      <c r="B8599" s="17"/>
      <c r="C8599" s="17"/>
      <c r="D8599" s="13"/>
      <c r="E8599" s="11"/>
      <c r="F8599" s="11"/>
      <c r="G8599" s="13">
        <f t="shared" si="1"/>
        <v>1281</v>
      </c>
      <c r="H8599" s="13"/>
    </row>
    <row r="8600" ht="22.5" customHeight="1">
      <c r="B8600" s="17"/>
      <c r="C8600" s="17"/>
      <c r="D8600" s="13"/>
      <c r="E8600" s="11"/>
      <c r="F8600" s="11"/>
      <c r="G8600" s="13">
        <f t="shared" si="1"/>
        <v>1281</v>
      </c>
      <c r="H8600" s="13"/>
    </row>
    <row r="8601" ht="22.5" customHeight="1">
      <c r="B8601" s="17"/>
      <c r="C8601" s="17"/>
      <c r="D8601" s="13"/>
      <c r="E8601" s="11"/>
      <c r="F8601" s="11"/>
      <c r="G8601" s="13">
        <f t="shared" si="1"/>
        <v>1281</v>
      </c>
      <c r="H8601" s="13"/>
    </row>
    <row r="8602" ht="22.5" customHeight="1">
      <c r="B8602" s="17"/>
      <c r="C8602" s="17"/>
      <c r="D8602" s="13"/>
      <c r="E8602" s="11"/>
      <c r="F8602" s="11"/>
      <c r="G8602" s="13">
        <f t="shared" si="1"/>
        <v>1281</v>
      </c>
      <c r="H8602" s="13"/>
    </row>
    <row r="8603" ht="22.5" customHeight="1">
      <c r="B8603" s="17"/>
      <c r="C8603" s="17"/>
      <c r="D8603" s="13"/>
      <c r="E8603" s="11"/>
      <c r="F8603" s="11"/>
      <c r="G8603" s="13">
        <f t="shared" si="1"/>
        <v>1281</v>
      </c>
      <c r="H8603" s="13"/>
    </row>
    <row r="8604" ht="22.5" customHeight="1">
      <c r="B8604" s="17"/>
      <c r="C8604" s="17"/>
      <c r="D8604" s="13"/>
      <c r="E8604" s="11"/>
      <c r="F8604" s="11"/>
      <c r="G8604" s="13">
        <f t="shared" si="1"/>
        <v>1281</v>
      </c>
      <c r="H8604" s="13"/>
    </row>
    <row r="8605" ht="22.5" customHeight="1">
      <c r="B8605" s="17"/>
      <c r="C8605" s="17"/>
      <c r="D8605" s="13"/>
      <c r="E8605" s="11"/>
      <c r="F8605" s="11"/>
      <c r="G8605" s="13">
        <f t="shared" si="1"/>
        <v>1281</v>
      </c>
      <c r="H8605" s="13"/>
    </row>
    <row r="8606" ht="22.5" customHeight="1">
      <c r="B8606" s="17"/>
      <c r="C8606" s="17"/>
      <c r="D8606" s="13"/>
      <c r="E8606" s="11"/>
      <c r="F8606" s="11"/>
      <c r="G8606" s="13">
        <f t="shared" si="1"/>
        <v>1281</v>
      </c>
      <c r="H8606" s="13"/>
    </row>
    <row r="8607" ht="22.5" customHeight="1">
      <c r="B8607" s="17"/>
      <c r="C8607" s="17"/>
      <c r="D8607" s="13"/>
      <c r="E8607" s="11"/>
      <c r="F8607" s="11"/>
      <c r="G8607" s="13">
        <f t="shared" si="1"/>
        <v>1281</v>
      </c>
      <c r="H8607" s="13"/>
    </row>
    <row r="8608" ht="22.5" customHeight="1">
      <c r="B8608" s="17"/>
      <c r="C8608" s="17"/>
      <c r="D8608" s="13"/>
      <c r="E8608" s="11"/>
      <c r="F8608" s="11"/>
      <c r="G8608" s="13">
        <f t="shared" si="1"/>
        <v>1281</v>
      </c>
      <c r="H8608" s="13"/>
    </row>
    <row r="8609" ht="22.5" customHeight="1">
      <c r="B8609" s="17"/>
      <c r="C8609" s="17"/>
      <c r="D8609" s="13"/>
      <c r="E8609" s="11"/>
      <c r="F8609" s="11"/>
      <c r="G8609" s="13">
        <f t="shared" si="1"/>
        <v>1281</v>
      </c>
      <c r="H8609" s="13"/>
    </row>
    <row r="8610" ht="22.5" customHeight="1">
      <c r="B8610" s="17"/>
      <c r="C8610" s="17"/>
      <c r="D8610" s="13"/>
      <c r="E8610" s="11"/>
      <c r="F8610" s="11"/>
      <c r="G8610" s="13">
        <f t="shared" si="1"/>
        <v>1281</v>
      </c>
      <c r="H8610" s="13"/>
    </row>
    <row r="8611" ht="22.5" customHeight="1">
      <c r="B8611" s="17"/>
      <c r="C8611" s="17"/>
      <c r="D8611" s="13"/>
      <c r="E8611" s="11"/>
      <c r="F8611" s="11"/>
      <c r="G8611" s="13">
        <f t="shared" si="1"/>
        <v>1281</v>
      </c>
      <c r="H8611" s="13"/>
    </row>
    <row r="8612" ht="22.5" customHeight="1">
      <c r="B8612" s="17"/>
      <c r="C8612" s="17"/>
      <c r="D8612" s="13"/>
      <c r="E8612" s="11"/>
      <c r="F8612" s="11"/>
      <c r="G8612" s="13">
        <f t="shared" si="1"/>
        <v>1281</v>
      </c>
      <c r="H8612" s="13"/>
    </row>
    <row r="8613" ht="22.5" customHeight="1">
      <c r="B8613" s="17"/>
      <c r="C8613" s="17"/>
      <c r="D8613" s="13"/>
      <c r="E8613" s="11"/>
      <c r="F8613" s="11"/>
      <c r="G8613" s="13">
        <f t="shared" si="1"/>
        <v>1281</v>
      </c>
      <c r="H8613" s="13"/>
    </row>
    <row r="8614" ht="22.5" customHeight="1">
      <c r="B8614" s="17"/>
      <c r="C8614" s="17"/>
      <c r="D8614" s="13"/>
      <c r="E8614" s="11"/>
      <c r="F8614" s="11"/>
      <c r="G8614" s="13">
        <f t="shared" si="1"/>
        <v>1281</v>
      </c>
      <c r="H8614" s="13"/>
    </row>
    <row r="8615" ht="22.5" customHeight="1">
      <c r="B8615" s="17"/>
      <c r="C8615" s="17"/>
      <c r="D8615" s="13"/>
      <c r="E8615" s="11"/>
      <c r="F8615" s="11"/>
      <c r="G8615" s="13">
        <f t="shared" si="1"/>
        <v>1281</v>
      </c>
      <c r="H8615" s="13"/>
    </row>
    <row r="8616" ht="22.5" customHeight="1">
      <c r="B8616" s="17"/>
      <c r="C8616" s="17"/>
      <c r="D8616" s="13"/>
      <c r="E8616" s="11"/>
      <c r="F8616" s="11"/>
      <c r="G8616" s="13">
        <f t="shared" si="1"/>
        <v>1281</v>
      </c>
      <c r="H8616" s="13"/>
    </row>
    <row r="8617" ht="22.5" customHeight="1">
      <c r="B8617" s="17"/>
      <c r="C8617" s="17"/>
      <c r="D8617" s="13"/>
      <c r="E8617" s="11"/>
      <c r="F8617" s="11"/>
      <c r="G8617" s="13">
        <f t="shared" si="1"/>
        <v>1281</v>
      </c>
      <c r="H8617" s="13"/>
    </row>
    <row r="8618" ht="22.5" customHeight="1">
      <c r="B8618" s="17"/>
      <c r="C8618" s="17"/>
      <c r="D8618" s="13"/>
      <c r="E8618" s="11"/>
      <c r="F8618" s="11"/>
      <c r="G8618" s="13">
        <f t="shared" si="1"/>
        <v>1281</v>
      </c>
      <c r="H8618" s="13"/>
    </row>
    <row r="8619" ht="22.5" customHeight="1">
      <c r="B8619" s="17"/>
      <c r="C8619" s="17"/>
      <c r="D8619" s="13"/>
      <c r="E8619" s="11"/>
      <c r="F8619" s="11"/>
      <c r="G8619" s="13">
        <f t="shared" si="1"/>
        <v>1281</v>
      </c>
      <c r="H8619" s="13"/>
    </row>
    <row r="8620" ht="22.5" customHeight="1">
      <c r="B8620" s="17"/>
      <c r="C8620" s="17"/>
      <c r="D8620" s="13"/>
      <c r="E8620" s="11"/>
      <c r="F8620" s="11"/>
      <c r="G8620" s="13">
        <f t="shared" si="1"/>
        <v>1281</v>
      </c>
      <c r="H8620" s="13"/>
    </row>
    <row r="8621" ht="22.5" customHeight="1">
      <c r="B8621" s="17"/>
      <c r="C8621" s="17"/>
      <c r="D8621" s="13"/>
      <c r="E8621" s="11"/>
      <c r="F8621" s="11"/>
      <c r="G8621" s="13">
        <f t="shared" si="1"/>
        <v>1281</v>
      </c>
      <c r="H8621" s="13"/>
    </row>
    <row r="8622" ht="22.5" customHeight="1">
      <c r="B8622" s="17"/>
      <c r="C8622" s="17"/>
      <c r="D8622" s="13"/>
      <c r="E8622" s="11"/>
      <c r="F8622" s="11"/>
      <c r="G8622" s="13">
        <f t="shared" si="1"/>
        <v>1281</v>
      </c>
      <c r="H8622" s="13"/>
    </row>
    <row r="8623" ht="22.5" customHeight="1">
      <c r="B8623" s="17"/>
      <c r="C8623" s="17"/>
      <c r="D8623" s="13"/>
      <c r="E8623" s="11"/>
      <c r="F8623" s="11"/>
      <c r="G8623" s="13">
        <f t="shared" si="1"/>
        <v>1281</v>
      </c>
      <c r="H8623" s="13"/>
    </row>
    <row r="8624" ht="22.5" customHeight="1">
      <c r="B8624" s="17"/>
      <c r="C8624" s="17"/>
      <c r="D8624" s="13"/>
      <c r="E8624" s="11"/>
      <c r="F8624" s="11"/>
      <c r="G8624" s="13">
        <f t="shared" si="1"/>
        <v>1281</v>
      </c>
      <c r="H8624" s="13"/>
    </row>
    <row r="8625" ht="22.5" customHeight="1">
      <c r="B8625" s="17"/>
      <c r="C8625" s="17"/>
      <c r="D8625" s="13"/>
      <c r="E8625" s="11"/>
      <c r="F8625" s="11"/>
      <c r="G8625" s="13">
        <f t="shared" si="1"/>
        <v>1281</v>
      </c>
      <c r="H8625" s="13"/>
    </row>
    <row r="8626" ht="22.5" customHeight="1">
      <c r="B8626" s="17"/>
      <c r="C8626" s="17"/>
      <c r="D8626" s="13"/>
      <c r="E8626" s="11"/>
      <c r="F8626" s="11"/>
      <c r="G8626" s="13">
        <f t="shared" si="1"/>
        <v>1281</v>
      </c>
      <c r="H8626" s="13"/>
    </row>
    <row r="8627" ht="22.5" customHeight="1">
      <c r="B8627" s="17"/>
      <c r="C8627" s="17"/>
      <c r="D8627" s="13"/>
      <c r="E8627" s="11"/>
      <c r="F8627" s="11"/>
      <c r="G8627" s="13">
        <f t="shared" si="1"/>
        <v>1281</v>
      </c>
      <c r="H8627" s="13"/>
    </row>
    <row r="8628" ht="22.5" customHeight="1">
      <c r="B8628" s="17"/>
      <c r="C8628" s="17"/>
      <c r="D8628" s="13"/>
      <c r="E8628" s="11"/>
      <c r="F8628" s="11"/>
      <c r="G8628" s="13">
        <f t="shared" si="1"/>
        <v>1281</v>
      </c>
      <c r="H8628" s="13"/>
    </row>
    <row r="8629" ht="22.5" customHeight="1">
      <c r="B8629" s="17"/>
      <c r="C8629" s="17"/>
      <c r="D8629" s="13"/>
      <c r="E8629" s="11"/>
      <c r="F8629" s="11"/>
      <c r="G8629" s="13">
        <f t="shared" si="1"/>
        <v>1281</v>
      </c>
      <c r="H8629" s="13"/>
    </row>
    <row r="8630" ht="22.5" customHeight="1">
      <c r="B8630" s="17"/>
      <c r="C8630" s="17"/>
      <c r="D8630" s="13"/>
      <c r="E8630" s="11"/>
      <c r="F8630" s="11"/>
      <c r="G8630" s="13">
        <f t="shared" si="1"/>
        <v>1281</v>
      </c>
      <c r="H8630" s="13"/>
    </row>
    <row r="8631" ht="22.5" customHeight="1">
      <c r="B8631" s="17"/>
      <c r="C8631" s="17"/>
      <c r="D8631" s="13"/>
      <c r="E8631" s="11"/>
      <c r="F8631" s="11"/>
      <c r="G8631" s="13">
        <f t="shared" si="1"/>
        <v>1281</v>
      </c>
      <c r="H8631" s="13"/>
    </row>
    <row r="8632" ht="22.5" customHeight="1">
      <c r="B8632" s="17"/>
      <c r="C8632" s="17"/>
      <c r="D8632" s="13"/>
      <c r="E8632" s="11"/>
      <c r="F8632" s="11"/>
      <c r="G8632" s="13">
        <f t="shared" si="1"/>
        <v>1281</v>
      </c>
      <c r="H8632" s="13"/>
    </row>
    <row r="8633" ht="22.5" customHeight="1">
      <c r="B8633" s="17"/>
      <c r="C8633" s="17"/>
      <c r="D8633" s="13"/>
      <c r="E8633" s="11"/>
      <c r="F8633" s="11"/>
      <c r="G8633" s="13">
        <f t="shared" si="1"/>
        <v>1281</v>
      </c>
      <c r="H8633" s="13"/>
    </row>
    <row r="8634" ht="22.5" customHeight="1">
      <c r="B8634" s="17"/>
      <c r="C8634" s="17"/>
      <c r="D8634" s="13"/>
      <c r="E8634" s="11"/>
      <c r="F8634" s="11"/>
      <c r="G8634" s="13">
        <f t="shared" si="1"/>
        <v>1281</v>
      </c>
      <c r="H8634" s="13"/>
    </row>
    <row r="8635" ht="22.5" customHeight="1">
      <c r="B8635" s="17"/>
      <c r="C8635" s="17"/>
      <c r="D8635" s="13"/>
      <c r="E8635" s="11"/>
      <c r="F8635" s="11"/>
      <c r="G8635" s="13">
        <f t="shared" si="1"/>
        <v>1281</v>
      </c>
      <c r="H8635" s="13"/>
    </row>
    <row r="8636" ht="22.5" customHeight="1">
      <c r="B8636" s="17"/>
      <c r="C8636" s="17"/>
      <c r="D8636" s="13"/>
      <c r="E8636" s="11"/>
      <c r="F8636" s="11"/>
      <c r="G8636" s="13">
        <f t="shared" si="1"/>
        <v>1281</v>
      </c>
      <c r="H8636" s="13"/>
    </row>
    <row r="8637" ht="22.5" customHeight="1">
      <c r="B8637" s="17"/>
      <c r="C8637" s="17"/>
      <c r="D8637" s="13"/>
      <c r="E8637" s="11"/>
      <c r="F8637" s="11"/>
      <c r="G8637" s="13">
        <f t="shared" si="1"/>
        <v>1281</v>
      </c>
      <c r="H8637" s="13"/>
    </row>
    <row r="8638" ht="22.5" customHeight="1">
      <c r="B8638" s="17"/>
      <c r="C8638" s="17"/>
      <c r="D8638" s="13"/>
      <c r="E8638" s="11"/>
      <c r="F8638" s="11"/>
      <c r="G8638" s="13">
        <f t="shared" si="1"/>
        <v>1281</v>
      </c>
      <c r="H8638" s="13"/>
    </row>
    <row r="8639" ht="22.5" customHeight="1">
      <c r="B8639" s="17"/>
      <c r="C8639" s="17"/>
      <c r="D8639" s="13"/>
      <c r="E8639" s="11"/>
      <c r="F8639" s="11"/>
      <c r="G8639" s="13">
        <f t="shared" si="1"/>
        <v>1281</v>
      </c>
      <c r="H8639" s="13"/>
    </row>
    <row r="8640" ht="22.5" customHeight="1">
      <c r="B8640" s="17"/>
      <c r="C8640" s="17"/>
      <c r="D8640" s="13"/>
      <c r="E8640" s="11"/>
      <c r="F8640" s="11"/>
      <c r="G8640" s="13">
        <f t="shared" si="1"/>
        <v>1281</v>
      </c>
      <c r="H8640" s="13"/>
    </row>
    <row r="8641" ht="22.5" customHeight="1">
      <c r="B8641" s="17"/>
      <c r="C8641" s="17"/>
      <c r="D8641" s="13"/>
      <c r="E8641" s="11"/>
      <c r="F8641" s="11"/>
      <c r="G8641" s="13">
        <f t="shared" si="1"/>
        <v>1281</v>
      </c>
      <c r="H8641" s="13"/>
    </row>
    <row r="8642" ht="22.5" customHeight="1">
      <c r="B8642" s="17"/>
      <c r="C8642" s="17"/>
      <c r="D8642" s="13"/>
      <c r="E8642" s="11"/>
      <c r="F8642" s="11"/>
      <c r="G8642" s="13">
        <f t="shared" si="1"/>
        <v>1281</v>
      </c>
      <c r="H8642" s="13"/>
    </row>
    <row r="8643" ht="22.5" customHeight="1">
      <c r="B8643" s="17"/>
      <c r="C8643" s="17"/>
      <c r="D8643" s="13"/>
      <c r="E8643" s="11"/>
      <c r="F8643" s="11"/>
      <c r="G8643" s="13">
        <f t="shared" si="1"/>
        <v>1281</v>
      </c>
      <c r="H8643" s="13"/>
    </row>
    <row r="8644" ht="22.5" customHeight="1">
      <c r="B8644" s="17"/>
      <c r="C8644" s="17"/>
      <c r="D8644" s="13"/>
      <c r="E8644" s="11"/>
      <c r="F8644" s="11"/>
      <c r="G8644" s="13">
        <f t="shared" si="1"/>
        <v>1281</v>
      </c>
      <c r="H8644" s="13"/>
    </row>
    <row r="8645" ht="22.5" customHeight="1">
      <c r="B8645" s="17"/>
      <c r="C8645" s="17"/>
      <c r="D8645" s="13"/>
      <c r="E8645" s="11"/>
      <c r="F8645" s="11"/>
      <c r="G8645" s="13">
        <f t="shared" si="1"/>
        <v>1281</v>
      </c>
      <c r="H8645" s="13"/>
    </row>
    <row r="8646" ht="22.5" customHeight="1">
      <c r="B8646" s="17"/>
      <c r="C8646" s="17"/>
      <c r="D8646" s="13"/>
      <c r="E8646" s="11"/>
      <c r="F8646" s="11"/>
      <c r="G8646" s="13">
        <f t="shared" si="1"/>
        <v>1281</v>
      </c>
      <c r="H8646" s="13"/>
    </row>
    <row r="8647" ht="22.5" customHeight="1">
      <c r="B8647" s="17"/>
      <c r="C8647" s="17"/>
      <c r="D8647" s="13"/>
      <c r="E8647" s="11"/>
      <c r="F8647" s="11"/>
      <c r="G8647" s="13">
        <f t="shared" si="1"/>
        <v>1281</v>
      </c>
      <c r="H8647" s="13"/>
    </row>
    <row r="8648" ht="22.5" customHeight="1">
      <c r="B8648" s="17"/>
      <c r="C8648" s="17"/>
      <c r="D8648" s="13"/>
      <c r="E8648" s="11"/>
      <c r="F8648" s="11"/>
      <c r="G8648" s="13">
        <f t="shared" si="1"/>
        <v>1281</v>
      </c>
      <c r="H8648" s="13"/>
    </row>
    <row r="8649" ht="22.5" customHeight="1">
      <c r="B8649" s="17"/>
      <c r="C8649" s="17"/>
      <c r="D8649" s="13"/>
      <c r="E8649" s="11"/>
      <c r="F8649" s="11"/>
      <c r="G8649" s="13">
        <f t="shared" si="1"/>
        <v>1281</v>
      </c>
      <c r="H8649" s="13"/>
    </row>
    <row r="8650" ht="22.5" customHeight="1">
      <c r="B8650" s="17"/>
      <c r="C8650" s="17"/>
      <c r="D8650" s="13"/>
      <c r="E8650" s="11"/>
      <c r="F8650" s="11"/>
      <c r="G8650" s="13">
        <f t="shared" si="1"/>
        <v>1281</v>
      </c>
      <c r="H8650" s="13"/>
    </row>
    <row r="8651" ht="22.5" customHeight="1">
      <c r="B8651" s="17"/>
      <c r="C8651" s="17"/>
      <c r="D8651" s="13"/>
      <c r="E8651" s="11"/>
      <c r="F8651" s="11"/>
      <c r="G8651" s="13">
        <f t="shared" si="1"/>
        <v>1281</v>
      </c>
      <c r="H8651" s="13"/>
    </row>
    <row r="8652" ht="22.5" customHeight="1">
      <c r="B8652" s="17"/>
      <c r="C8652" s="17"/>
      <c r="D8652" s="13"/>
      <c r="E8652" s="11"/>
      <c r="F8652" s="11"/>
      <c r="G8652" s="13">
        <f t="shared" si="1"/>
        <v>1281</v>
      </c>
      <c r="H8652" s="13"/>
    </row>
    <row r="8653" ht="22.5" customHeight="1">
      <c r="B8653" s="17"/>
      <c r="C8653" s="17"/>
      <c r="D8653" s="13"/>
      <c r="E8653" s="11"/>
      <c r="F8653" s="11"/>
      <c r="G8653" s="13">
        <f t="shared" si="1"/>
        <v>1281</v>
      </c>
      <c r="H8653" s="13"/>
    </row>
    <row r="8654" ht="22.5" customHeight="1">
      <c r="B8654" s="17"/>
      <c r="C8654" s="17"/>
      <c r="D8654" s="13"/>
      <c r="E8654" s="11"/>
      <c r="F8654" s="11"/>
      <c r="G8654" s="13">
        <f t="shared" si="1"/>
        <v>1281</v>
      </c>
      <c r="H8654" s="13"/>
    </row>
    <row r="8655" ht="22.5" customHeight="1">
      <c r="B8655" s="17"/>
      <c r="C8655" s="17"/>
      <c r="D8655" s="13"/>
      <c r="E8655" s="11"/>
      <c r="F8655" s="11"/>
      <c r="G8655" s="13">
        <f t="shared" si="1"/>
        <v>1281</v>
      </c>
      <c r="H8655" s="13"/>
    </row>
    <row r="8656" ht="22.5" customHeight="1">
      <c r="B8656" s="17"/>
      <c r="C8656" s="17"/>
      <c r="D8656" s="13"/>
      <c r="E8656" s="11"/>
      <c r="F8656" s="11"/>
      <c r="G8656" s="13">
        <f t="shared" si="1"/>
        <v>1281</v>
      </c>
      <c r="H8656" s="13"/>
    </row>
    <row r="8657" ht="22.5" customHeight="1">
      <c r="B8657" s="17"/>
      <c r="C8657" s="17"/>
      <c r="D8657" s="13"/>
      <c r="E8657" s="11"/>
      <c r="F8657" s="11"/>
      <c r="G8657" s="13">
        <f t="shared" si="1"/>
        <v>1281</v>
      </c>
      <c r="H8657" s="13"/>
    </row>
    <row r="8658" ht="22.5" customHeight="1">
      <c r="B8658" s="17"/>
      <c r="C8658" s="17"/>
      <c r="D8658" s="13"/>
      <c r="E8658" s="11"/>
      <c r="F8658" s="11"/>
      <c r="G8658" s="13">
        <f t="shared" si="1"/>
        <v>1281</v>
      </c>
      <c r="H8658" s="13"/>
    </row>
    <row r="8659" ht="22.5" customHeight="1">
      <c r="B8659" s="17"/>
      <c r="C8659" s="17"/>
      <c r="D8659" s="13"/>
      <c r="E8659" s="11"/>
      <c r="F8659" s="11"/>
      <c r="G8659" s="13">
        <f t="shared" si="1"/>
        <v>1281</v>
      </c>
      <c r="H8659" s="13"/>
    </row>
    <row r="8660" ht="22.5" customHeight="1">
      <c r="B8660" s="17"/>
      <c r="C8660" s="17"/>
      <c r="D8660" s="13"/>
      <c r="E8660" s="11"/>
      <c r="F8660" s="11"/>
      <c r="G8660" s="13">
        <f t="shared" si="1"/>
        <v>1281</v>
      </c>
      <c r="H8660" s="13"/>
    </row>
    <row r="8661" ht="22.5" customHeight="1">
      <c r="B8661" s="17"/>
      <c r="C8661" s="17"/>
      <c r="D8661" s="13"/>
      <c r="E8661" s="11"/>
      <c r="F8661" s="11"/>
      <c r="G8661" s="13">
        <f t="shared" si="1"/>
        <v>1281</v>
      </c>
      <c r="H8661" s="13"/>
    </row>
    <row r="8662" ht="22.5" customHeight="1">
      <c r="B8662" s="17"/>
      <c r="C8662" s="17"/>
      <c r="D8662" s="13"/>
      <c r="E8662" s="11"/>
      <c r="F8662" s="11"/>
      <c r="G8662" s="13">
        <f t="shared" si="1"/>
        <v>1281</v>
      </c>
      <c r="H8662" s="13"/>
    </row>
    <row r="8663" ht="22.5" customHeight="1">
      <c r="B8663" s="17"/>
      <c r="C8663" s="17"/>
      <c r="D8663" s="13"/>
      <c r="E8663" s="11"/>
      <c r="F8663" s="11"/>
      <c r="G8663" s="13">
        <f t="shared" si="1"/>
        <v>1281</v>
      </c>
      <c r="H8663" s="13"/>
    </row>
    <row r="8664" ht="22.5" customHeight="1">
      <c r="B8664" s="17"/>
      <c r="C8664" s="17"/>
      <c r="D8664" s="13"/>
      <c r="E8664" s="11"/>
      <c r="F8664" s="11"/>
      <c r="G8664" s="13">
        <f t="shared" si="1"/>
        <v>1281</v>
      </c>
      <c r="H8664" s="13"/>
    </row>
    <row r="8665" ht="22.5" customHeight="1">
      <c r="B8665" s="17"/>
      <c r="C8665" s="17"/>
      <c r="D8665" s="13"/>
      <c r="E8665" s="11"/>
      <c r="F8665" s="11"/>
      <c r="G8665" s="13">
        <f t="shared" si="1"/>
        <v>1281</v>
      </c>
      <c r="H8665" s="13"/>
    </row>
    <row r="8666" ht="22.5" customHeight="1">
      <c r="B8666" s="17"/>
      <c r="C8666" s="17"/>
      <c r="D8666" s="13"/>
      <c r="E8666" s="11"/>
      <c r="F8666" s="11"/>
      <c r="G8666" s="13">
        <f t="shared" si="1"/>
        <v>1281</v>
      </c>
      <c r="H8666" s="13"/>
    </row>
    <row r="8667" ht="22.5" customHeight="1">
      <c r="B8667" s="17"/>
      <c r="C8667" s="17"/>
      <c r="D8667" s="13"/>
      <c r="E8667" s="11"/>
      <c r="F8667" s="11"/>
      <c r="G8667" s="13">
        <f t="shared" si="1"/>
        <v>1281</v>
      </c>
      <c r="H8667" s="13"/>
    </row>
    <row r="8668" ht="22.5" customHeight="1">
      <c r="B8668" s="17"/>
      <c r="C8668" s="17"/>
      <c r="D8668" s="13"/>
      <c r="E8668" s="11"/>
      <c r="F8668" s="11"/>
      <c r="G8668" s="13">
        <f t="shared" si="1"/>
        <v>1281</v>
      </c>
      <c r="H8668" s="13"/>
    </row>
    <row r="8669" ht="22.5" customHeight="1">
      <c r="B8669" s="17"/>
      <c r="C8669" s="17"/>
      <c r="D8669" s="13"/>
      <c r="E8669" s="11"/>
      <c r="F8669" s="11"/>
      <c r="G8669" s="13">
        <f t="shared" si="1"/>
        <v>1281</v>
      </c>
      <c r="H8669" s="13"/>
    </row>
    <row r="8670" ht="22.5" customHeight="1">
      <c r="B8670" s="17"/>
      <c r="C8670" s="17"/>
      <c r="D8670" s="13"/>
      <c r="E8670" s="11"/>
      <c r="F8670" s="11"/>
      <c r="G8670" s="13">
        <f t="shared" si="1"/>
        <v>1281</v>
      </c>
      <c r="H8670" s="13"/>
    </row>
    <row r="8671" ht="22.5" customHeight="1">
      <c r="B8671" s="17"/>
      <c r="C8671" s="17"/>
      <c r="D8671" s="13"/>
      <c r="E8671" s="11"/>
      <c r="F8671" s="11"/>
      <c r="G8671" s="13">
        <f t="shared" si="1"/>
        <v>1281</v>
      </c>
      <c r="H8671" s="13"/>
    </row>
    <row r="8672" ht="22.5" customHeight="1">
      <c r="B8672" s="17"/>
      <c r="C8672" s="17"/>
      <c r="D8672" s="13"/>
      <c r="E8672" s="11"/>
      <c r="F8672" s="11"/>
      <c r="G8672" s="13">
        <f t="shared" si="1"/>
        <v>1281</v>
      </c>
      <c r="H8672" s="13"/>
    </row>
    <row r="8673" ht="22.5" customHeight="1">
      <c r="B8673" s="17"/>
      <c r="C8673" s="17"/>
      <c r="D8673" s="13"/>
      <c r="E8673" s="11"/>
      <c r="F8673" s="11"/>
      <c r="G8673" s="13">
        <f t="shared" si="1"/>
        <v>1281</v>
      </c>
      <c r="H8673" s="13"/>
    </row>
    <row r="8674" ht="22.5" customHeight="1">
      <c r="B8674" s="17"/>
      <c r="C8674" s="17"/>
      <c r="D8674" s="13"/>
      <c r="E8674" s="11"/>
      <c r="F8674" s="11"/>
      <c r="G8674" s="13">
        <f t="shared" si="1"/>
        <v>1281</v>
      </c>
      <c r="H8674" s="13"/>
    </row>
    <row r="8675" ht="22.5" customHeight="1">
      <c r="B8675" s="17"/>
      <c r="C8675" s="17"/>
      <c r="D8675" s="13"/>
      <c r="E8675" s="11"/>
      <c r="F8675" s="11"/>
      <c r="G8675" s="13">
        <f t="shared" si="1"/>
        <v>1281</v>
      </c>
      <c r="H8675" s="13"/>
    </row>
    <row r="8676" ht="22.5" customHeight="1">
      <c r="B8676" s="17"/>
      <c r="C8676" s="17"/>
      <c r="D8676" s="13"/>
      <c r="E8676" s="11"/>
      <c r="F8676" s="11"/>
      <c r="G8676" s="13">
        <f t="shared" si="1"/>
        <v>1281</v>
      </c>
      <c r="H8676" s="13"/>
    </row>
    <row r="8677" ht="22.5" customHeight="1">
      <c r="B8677" s="17"/>
      <c r="C8677" s="17"/>
      <c r="D8677" s="13"/>
      <c r="E8677" s="11"/>
      <c r="F8677" s="11"/>
      <c r="G8677" s="13">
        <f t="shared" si="1"/>
        <v>1281</v>
      </c>
      <c r="H8677" s="13"/>
    </row>
    <row r="8678" ht="22.5" customHeight="1">
      <c r="B8678" s="17"/>
      <c r="C8678" s="17"/>
      <c r="D8678" s="13"/>
      <c r="E8678" s="11"/>
      <c r="F8678" s="11"/>
      <c r="G8678" s="13">
        <f t="shared" si="1"/>
        <v>1281</v>
      </c>
      <c r="H8678" s="13"/>
    </row>
    <row r="8679" ht="22.5" customHeight="1">
      <c r="B8679" s="17"/>
      <c r="C8679" s="17"/>
      <c r="D8679" s="13"/>
      <c r="E8679" s="11"/>
      <c r="F8679" s="11"/>
      <c r="G8679" s="13">
        <f t="shared" si="1"/>
        <v>1281</v>
      </c>
      <c r="H8679" s="13"/>
    </row>
    <row r="8680" ht="22.5" customHeight="1">
      <c r="B8680" s="17"/>
      <c r="C8680" s="17"/>
      <c r="D8680" s="13"/>
      <c r="E8680" s="11"/>
      <c r="F8680" s="11"/>
      <c r="G8680" s="13">
        <f t="shared" si="1"/>
        <v>1281</v>
      </c>
      <c r="H8680" s="13"/>
    </row>
    <row r="8681" ht="22.5" customHeight="1">
      <c r="B8681" s="17"/>
      <c r="C8681" s="17"/>
      <c r="D8681" s="13"/>
      <c r="E8681" s="11"/>
      <c r="F8681" s="11"/>
      <c r="G8681" s="13">
        <f t="shared" si="1"/>
        <v>1281</v>
      </c>
      <c r="H8681" s="13"/>
    </row>
    <row r="8682" ht="22.5" customHeight="1">
      <c r="B8682" s="17"/>
      <c r="C8682" s="17"/>
      <c r="D8682" s="13"/>
      <c r="E8682" s="11"/>
      <c r="F8682" s="11"/>
      <c r="G8682" s="13">
        <f t="shared" si="1"/>
        <v>1281</v>
      </c>
      <c r="H8682" s="13"/>
    </row>
    <row r="8683" ht="22.5" customHeight="1">
      <c r="B8683" s="17"/>
      <c r="C8683" s="17"/>
      <c r="D8683" s="13"/>
      <c r="E8683" s="11"/>
      <c r="F8683" s="11"/>
      <c r="G8683" s="13">
        <f t="shared" si="1"/>
        <v>1281</v>
      </c>
      <c r="H8683" s="13"/>
    </row>
    <row r="8684" ht="22.5" customHeight="1">
      <c r="B8684" s="17"/>
      <c r="C8684" s="17"/>
      <c r="D8684" s="13"/>
      <c r="E8684" s="11"/>
      <c r="F8684" s="11"/>
      <c r="G8684" s="13">
        <f t="shared" si="1"/>
        <v>1281</v>
      </c>
      <c r="H8684" s="13"/>
    </row>
    <row r="8685" ht="22.5" customHeight="1">
      <c r="B8685" s="17"/>
      <c r="C8685" s="17"/>
      <c r="D8685" s="13"/>
      <c r="E8685" s="11"/>
      <c r="F8685" s="11"/>
      <c r="G8685" s="13">
        <f t="shared" si="1"/>
        <v>1281</v>
      </c>
      <c r="H8685" s="13"/>
    </row>
    <row r="8686" ht="22.5" customHeight="1">
      <c r="B8686" s="17"/>
      <c r="C8686" s="17"/>
      <c r="D8686" s="13"/>
      <c r="E8686" s="11"/>
      <c r="F8686" s="11"/>
      <c r="G8686" s="13">
        <f t="shared" si="1"/>
        <v>1281</v>
      </c>
      <c r="H8686" s="13"/>
    </row>
    <row r="8687" ht="22.5" customHeight="1">
      <c r="B8687" s="17"/>
      <c r="C8687" s="17"/>
      <c r="D8687" s="13"/>
      <c r="E8687" s="11"/>
      <c r="F8687" s="11"/>
      <c r="G8687" s="13">
        <f t="shared" si="1"/>
        <v>1281</v>
      </c>
      <c r="H8687" s="13"/>
    </row>
    <row r="8688" ht="22.5" customHeight="1">
      <c r="B8688" s="17"/>
      <c r="C8688" s="17"/>
      <c r="D8688" s="13"/>
      <c r="E8688" s="11"/>
      <c r="F8688" s="11"/>
      <c r="G8688" s="13">
        <f t="shared" si="1"/>
        <v>1281</v>
      </c>
      <c r="H8688" s="13"/>
    </row>
    <row r="8689" ht="22.5" customHeight="1">
      <c r="B8689" s="17"/>
      <c r="C8689" s="17"/>
      <c r="D8689" s="13"/>
      <c r="E8689" s="11"/>
      <c r="F8689" s="11"/>
      <c r="G8689" s="13">
        <f t="shared" si="1"/>
        <v>1281</v>
      </c>
      <c r="H8689" s="13"/>
    </row>
    <row r="8690" ht="22.5" customHeight="1">
      <c r="B8690" s="17"/>
      <c r="C8690" s="17"/>
      <c r="D8690" s="13"/>
      <c r="E8690" s="11"/>
      <c r="F8690" s="11"/>
      <c r="G8690" s="13">
        <f t="shared" si="1"/>
        <v>1281</v>
      </c>
      <c r="H8690" s="13"/>
    </row>
    <row r="8691" ht="22.5" customHeight="1">
      <c r="B8691" s="17"/>
      <c r="C8691" s="17"/>
      <c r="D8691" s="13"/>
      <c r="E8691" s="11"/>
      <c r="F8691" s="11"/>
      <c r="G8691" s="13">
        <f t="shared" si="1"/>
        <v>1281</v>
      </c>
      <c r="H8691" s="13"/>
    </row>
    <row r="8692" ht="22.5" customHeight="1">
      <c r="B8692" s="17"/>
      <c r="C8692" s="17"/>
      <c r="D8692" s="13"/>
      <c r="E8692" s="11"/>
      <c r="F8692" s="11"/>
      <c r="G8692" s="13">
        <f t="shared" si="1"/>
        <v>1281</v>
      </c>
      <c r="H8692" s="13"/>
    </row>
    <row r="8693" ht="22.5" customHeight="1">
      <c r="B8693" s="17"/>
      <c r="C8693" s="17"/>
      <c r="D8693" s="13"/>
      <c r="E8693" s="11"/>
      <c r="F8693" s="11"/>
      <c r="G8693" s="13">
        <f t="shared" si="1"/>
        <v>1281</v>
      </c>
      <c r="H8693" s="13"/>
    </row>
    <row r="8694" ht="22.5" customHeight="1">
      <c r="B8694" s="17"/>
      <c r="C8694" s="17"/>
      <c r="D8694" s="13"/>
      <c r="E8694" s="11"/>
      <c r="F8694" s="11"/>
      <c r="G8694" s="13">
        <f t="shared" si="1"/>
        <v>1281</v>
      </c>
      <c r="H8694" s="13"/>
    </row>
    <row r="8695" ht="22.5" customHeight="1">
      <c r="B8695" s="17"/>
      <c r="C8695" s="17"/>
      <c r="D8695" s="13"/>
      <c r="E8695" s="11"/>
      <c r="F8695" s="11"/>
      <c r="G8695" s="13">
        <f t="shared" si="1"/>
        <v>1281</v>
      </c>
      <c r="H8695" s="13"/>
    </row>
    <row r="8696" ht="22.5" customHeight="1">
      <c r="B8696" s="17"/>
      <c r="C8696" s="17"/>
      <c r="D8696" s="13"/>
      <c r="E8696" s="11"/>
      <c r="F8696" s="11"/>
      <c r="G8696" s="13">
        <f t="shared" si="1"/>
        <v>1281</v>
      </c>
      <c r="H8696" s="13"/>
    </row>
    <row r="8697" ht="22.5" customHeight="1">
      <c r="B8697" s="17"/>
      <c r="C8697" s="17"/>
      <c r="D8697" s="13"/>
      <c r="E8697" s="11"/>
      <c r="F8697" s="11"/>
      <c r="G8697" s="13">
        <f t="shared" si="1"/>
        <v>1281</v>
      </c>
      <c r="H8697" s="13"/>
    </row>
    <row r="8698" ht="22.5" customHeight="1">
      <c r="B8698" s="17"/>
      <c r="C8698" s="17"/>
      <c r="D8698" s="13"/>
      <c r="E8698" s="11"/>
      <c r="F8698" s="11"/>
      <c r="G8698" s="13">
        <f t="shared" si="1"/>
        <v>1281</v>
      </c>
      <c r="H8698" s="13"/>
    </row>
    <row r="8699" ht="22.5" customHeight="1">
      <c r="B8699" s="17"/>
      <c r="C8699" s="17"/>
      <c r="D8699" s="13"/>
      <c r="E8699" s="11"/>
      <c r="F8699" s="11"/>
      <c r="G8699" s="13">
        <f t="shared" si="1"/>
        <v>1281</v>
      </c>
      <c r="H8699" s="13"/>
    </row>
    <row r="8700" ht="22.5" customHeight="1">
      <c r="B8700" s="17"/>
      <c r="C8700" s="17"/>
      <c r="D8700" s="13"/>
      <c r="E8700" s="11"/>
      <c r="F8700" s="11"/>
      <c r="G8700" s="13">
        <f t="shared" si="1"/>
        <v>1281</v>
      </c>
      <c r="H8700" s="13"/>
    </row>
    <row r="8701" ht="22.5" customHeight="1">
      <c r="B8701" s="17"/>
      <c r="C8701" s="17"/>
      <c r="D8701" s="13"/>
      <c r="E8701" s="11"/>
      <c r="F8701" s="11"/>
      <c r="G8701" s="13">
        <f t="shared" si="1"/>
        <v>1281</v>
      </c>
      <c r="H8701" s="13"/>
    </row>
    <row r="8702" ht="22.5" customHeight="1">
      <c r="B8702" s="17"/>
      <c r="C8702" s="17"/>
      <c r="D8702" s="13"/>
      <c r="E8702" s="11"/>
      <c r="F8702" s="11"/>
      <c r="G8702" s="13">
        <f t="shared" si="1"/>
        <v>1281</v>
      </c>
      <c r="H8702" s="13"/>
    </row>
    <row r="8703" ht="22.5" customHeight="1">
      <c r="B8703" s="17"/>
      <c r="C8703" s="17"/>
      <c r="D8703" s="13"/>
      <c r="E8703" s="11"/>
      <c r="F8703" s="11"/>
      <c r="G8703" s="13">
        <f t="shared" si="1"/>
        <v>1281</v>
      </c>
      <c r="H8703" s="13"/>
    </row>
    <row r="8704" ht="22.5" customHeight="1">
      <c r="B8704" s="17"/>
      <c r="C8704" s="17"/>
      <c r="D8704" s="13"/>
      <c r="E8704" s="11"/>
      <c r="F8704" s="11"/>
      <c r="G8704" s="13">
        <f t="shared" si="1"/>
        <v>1281</v>
      </c>
      <c r="H8704" s="13"/>
    </row>
    <row r="8705" ht="22.5" customHeight="1">
      <c r="B8705" s="17"/>
      <c r="C8705" s="17"/>
      <c r="D8705" s="13"/>
      <c r="E8705" s="11"/>
      <c r="F8705" s="11"/>
      <c r="G8705" s="13">
        <f t="shared" si="1"/>
        <v>1281</v>
      </c>
      <c r="H8705" s="13"/>
    </row>
    <row r="8706" ht="22.5" customHeight="1">
      <c r="B8706" s="17"/>
      <c r="C8706" s="17"/>
      <c r="D8706" s="13"/>
      <c r="E8706" s="11"/>
      <c r="F8706" s="11"/>
      <c r="G8706" s="13">
        <f t="shared" si="1"/>
        <v>1281</v>
      </c>
      <c r="H8706" s="13"/>
    </row>
    <row r="8707" ht="22.5" customHeight="1">
      <c r="B8707" s="17"/>
      <c r="C8707" s="17"/>
      <c r="D8707" s="13"/>
      <c r="E8707" s="11"/>
      <c r="F8707" s="11"/>
      <c r="G8707" s="13">
        <f t="shared" si="1"/>
        <v>1281</v>
      </c>
      <c r="H8707" s="13"/>
    </row>
    <row r="8708" ht="22.5" customHeight="1">
      <c r="B8708" s="17"/>
      <c r="C8708" s="17"/>
      <c r="D8708" s="13"/>
      <c r="E8708" s="11"/>
      <c r="F8708" s="11"/>
      <c r="G8708" s="13">
        <f t="shared" si="1"/>
        <v>1281</v>
      </c>
      <c r="H8708" s="13"/>
    </row>
    <row r="8709" ht="22.5" customHeight="1">
      <c r="B8709" s="17"/>
      <c r="C8709" s="17"/>
      <c r="D8709" s="13"/>
      <c r="E8709" s="11"/>
      <c r="F8709" s="11"/>
      <c r="G8709" s="13">
        <f t="shared" si="1"/>
        <v>1281</v>
      </c>
      <c r="H8709" s="13"/>
    </row>
    <row r="8710" ht="22.5" customHeight="1">
      <c r="B8710" s="17"/>
      <c r="C8710" s="17"/>
      <c r="D8710" s="13"/>
      <c r="E8710" s="11"/>
      <c r="F8710" s="11"/>
      <c r="G8710" s="13">
        <f t="shared" si="1"/>
        <v>1281</v>
      </c>
      <c r="H8710" s="13"/>
    </row>
    <row r="8711" ht="22.5" customHeight="1">
      <c r="B8711" s="17"/>
      <c r="C8711" s="17"/>
      <c r="D8711" s="13"/>
      <c r="E8711" s="11"/>
      <c r="F8711" s="11"/>
      <c r="G8711" s="13">
        <f t="shared" si="1"/>
        <v>1281</v>
      </c>
      <c r="H8711" s="13"/>
    </row>
    <row r="8712" ht="22.5" customHeight="1">
      <c r="B8712" s="17"/>
      <c r="C8712" s="17"/>
      <c r="D8712" s="13"/>
      <c r="E8712" s="11"/>
      <c r="F8712" s="11"/>
      <c r="G8712" s="13">
        <f t="shared" si="1"/>
        <v>1281</v>
      </c>
      <c r="H8712" s="13"/>
    </row>
    <row r="8713" ht="22.5" customHeight="1">
      <c r="B8713" s="17"/>
      <c r="C8713" s="17"/>
      <c r="D8713" s="13"/>
      <c r="E8713" s="11"/>
      <c r="F8713" s="11"/>
      <c r="G8713" s="13">
        <f t="shared" si="1"/>
        <v>1281</v>
      </c>
      <c r="H8713" s="13"/>
    </row>
    <row r="8714" ht="22.5" customHeight="1">
      <c r="B8714" s="17"/>
      <c r="C8714" s="17"/>
      <c r="D8714" s="13"/>
      <c r="E8714" s="11"/>
      <c r="F8714" s="11"/>
      <c r="G8714" s="13">
        <f t="shared" si="1"/>
        <v>1281</v>
      </c>
      <c r="H8714" s="13"/>
    </row>
    <row r="8715" ht="22.5" customHeight="1">
      <c r="B8715" s="17"/>
      <c r="C8715" s="17"/>
      <c r="D8715" s="13"/>
      <c r="E8715" s="11"/>
      <c r="F8715" s="11"/>
      <c r="G8715" s="13">
        <f t="shared" si="1"/>
        <v>1281</v>
      </c>
      <c r="H8715" s="13"/>
    </row>
    <row r="8716" ht="22.5" customHeight="1">
      <c r="B8716" s="17"/>
      <c r="C8716" s="17"/>
      <c r="D8716" s="13"/>
      <c r="E8716" s="11"/>
      <c r="F8716" s="11"/>
      <c r="G8716" s="13">
        <f t="shared" si="1"/>
        <v>1281</v>
      </c>
      <c r="H8716" s="13"/>
    </row>
    <row r="8717" ht="22.5" customHeight="1">
      <c r="B8717" s="17"/>
      <c r="C8717" s="17"/>
      <c r="D8717" s="13"/>
      <c r="E8717" s="11"/>
      <c r="F8717" s="11"/>
      <c r="G8717" s="13">
        <f t="shared" si="1"/>
        <v>1281</v>
      </c>
      <c r="H8717" s="13"/>
    </row>
    <row r="8718" ht="22.5" customHeight="1">
      <c r="B8718" s="17"/>
      <c r="C8718" s="17"/>
      <c r="D8718" s="13"/>
      <c r="E8718" s="11"/>
      <c r="F8718" s="11"/>
      <c r="G8718" s="13">
        <f t="shared" si="1"/>
        <v>1281</v>
      </c>
      <c r="H8718" s="13"/>
    </row>
    <row r="8719" ht="22.5" customHeight="1">
      <c r="B8719" s="17"/>
      <c r="C8719" s="17"/>
      <c r="D8719" s="13"/>
      <c r="E8719" s="11"/>
      <c r="F8719" s="11"/>
      <c r="G8719" s="13">
        <f t="shared" si="1"/>
        <v>1281</v>
      </c>
      <c r="H8719" s="13"/>
    </row>
    <row r="8720" ht="22.5" customHeight="1">
      <c r="B8720" s="17"/>
      <c r="C8720" s="17"/>
      <c r="D8720" s="13"/>
      <c r="E8720" s="11"/>
      <c r="F8720" s="11"/>
      <c r="G8720" s="13">
        <f t="shared" si="1"/>
        <v>1281</v>
      </c>
      <c r="H8720" s="13"/>
    </row>
    <row r="8721" ht="22.5" customHeight="1">
      <c r="B8721" s="17"/>
      <c r="C8721" s="17"/>
      <c r="D8721" s="13"/>
      <c r="E8721" s="11"/>
      <c r="F8721" s="11"/>
      <c r="G8721" s="13">
        <f t="shared" si="1"/>
        <v>1281</v>
      </c>
      <c r="H8721" s="13"/>
    </row>
    <row r="8722" ht="22.5" customHeight="1">
      <c r="B8722" s="17"/>
      <c r="C8722" s="17"/>
      <c r="D8722" s="13"/>
      <c r="E8722" s="11"/>
      <c r="F8722" s="11"/>
      <c r="G8722" s="13">
        <f t="shared" si="1"/>
        <v>1281</v>
      </c>
      <c r="H8722" s="13"/>
    </row>
    <row r="8723" ht="22.5" customHeight="1">
      <c r="B8723" s="17"/>
      <c r="C8723" s="17"/>
      <c r="D8723" s="13"/>
      <c r="E8723" s="11"/>
      <c r="F8723" s="11"/>
      <c r="G8723" s="13">
        <f t="shared" si="1"/>
        <v>1281</v>
      </c>
      <c r="H8723" s="13"/>
    </row>
    <row r="8724" ht="22.5" customHeight="1">
      <c r="B8724" s="17"/>
      <c r="C8724" s="17"/>
      <c r="D8724" s="13"/>
      <c r="E8724" s="11"/>
      <c r="F8724" s="11"/>
      <c r="G8724" s="13">
        <f t="shared" si="1"/>
        <v>1281</v>
      </c>
      <c r="H8724" s="13"/>
    </row>
    <row r="8725" ht="22.5" customHeight="1">
      <c r="B8725" s="17"/>
      <c r="C8725" s="17"/>
      <c r="D8725" s="13"/>
      <c r="E8725" s="11"/>
      <c r="F8725" s="11"/>
      <c r="G8725" s="13">
        <f t="shared" si="1"/>
        <v>1281</v>
      </c>
      <c r="H8725" s="13"/>
    </row>
    <row r="8726" ht="22.5" customHeight="1">
      <c r="B8726" s="17"/>
      <c r="C8726" s="17"/>
      <c r="D8726" s="13"/>
      <c r="E8726" s="11"/>
      <c r="F8726" s="11"/>
      <c r="G8726" s="13">
        <f t="shared" si="1"/>
        <v>1281</v>
      </c>
      <c r="H8726" s="13"/>
    </row>
    <row r="8727" ht="22.5" customHeight="1">
      <c r="B8727" s="17"/>
      <c r="C8727" s="17"/>
      <c r="D8727" s="13"/>
      <c r="E8727" s="11"/>
      <c r="F8727" s="11"/>
      <c r="G8727" s="13">
        <f t="shared" si="1"/>
        <v>1281</v>
      </c>
      <c r="H8727" s="13"/>
    </row>
    <row r="8728" ht="22.5" customHeight="1">
      <c r="B8728" s="17"/>
      <c r="C8728" s="17"/>
      <c r="D8728" s="13"/>
      <c r="E8728" s="11"/>
      <c r="F8728" s="11"/>
      <c r="G8728" s="13">
        <f t="shared" si="1"/>
        <v>1281</v>
      </c>
      <c r="H8728" s="13"/>
    </row>
    <row r="8729" ht="22.5" customHeight="1">
      <c r="B8729" s="17"/>
      <c r="C8729" s="17"/>
      <c r="D8729" s="13"/>
      <c r="E8729" s="11"/>
      <c r="F8729" s="11"/>
      <c r="G8729" s="13">
        <f t="shared" si="1"/>
        <v>1281</v>
      </c>
      <c r="H8729" s="13"/>
    </row>
    <row r="8730" ht="22.5" customHeight="1">
      <c r="B8730" s="17"/>
      <c r="C8730" s="17"/>
      <c r="D8730" s="13"/>
      <c r="E8730" s="11"/>
      <c r="F8730" s="11"/>
      <c r="G8730" s="13">
        <f t="shared" si="1"/>
        <v>1281</v>
      </c>
      <c r="H8730" s="13"/>
    </row>
    <row r="8731" ht="22.5" customHeight="1">
      <c r="B8731" s="17"/>
      <c r="C8731" s="17"/>
      <c r="D8731" s="13"/>
      <c r="E8731" s="11"/>
      <c r="F8731" s="11"/>
      <c r="G8731" s="13">
        <f t="shared" si="1"/>
        <v>1281</v>
      </c>
      <c r="H8731" s="13"/>
    </row>
    <row r="8732" ht="22.5" customHeight="1">
      <c r="B8732" s="17"/>
      <c r="C8732" s="17"/>
      <c r="D8732" s="13"/>
      <c r="E8732" s="11"/>
      <c r="F8732" s="11"/>
      <c r="G8732" s="13">
        <f t="shared" si="1"/>
        <v>1281</v>
      </c>
      <c r="H8732" s="13"/>
    </row>
    <row r="8733" ht="22.5" customHeight="1">
      <c r="B8733" s="17"/>
      <c r="C8733" s="17"/>
      <c r="D8733" s="13"/>
      <c r="E8733" s="11"/>
      <c r="F8733" s="11"/>
      <c r="G8733" s="13">
        <f t="shared" si="1"/>
        <v>1281</v>
      </c>
      <c r="H8733" s="13"/>
    </row>
    <row r="8734" ht="22.5" customHeight="1">
      <c r="B8734" s="17"/>
      <c r="C8734" s="17"/>
      <c r="D8734" s="13"/>
      <c r="E8734" s="11"/>
      <c r="F8734" s="11"/>
      <c r="G8734" s="13">
        <f t="shared" si="1"/>
        <v>1281</v>
      </c>
      <c r="H8734" s="13"/>
    </row>
    <row r="8735" ht="22.5" customHeight="1">
      <c r="B8735" s="17"/>
      <c r="C8735" s="17"/>
      <c r="D8735" s="13"/>
      <c r="E8735" s="11"/>
      <c r="F8735" s="11"/>
      <c r="G8735" s="13">
        <f t="shared" si="1"/>
        <v>1281</v>
      </c>
      <c r="H8735" s="13"/>
    </row>
    <row r="8736" ht="22.5" customHeight="1">
      <c r="B8736" s="17"/>
      <c r="C8736" s="17"/>
      <c r="D8736" s="13"/>
      <c r="E8736" s="11"/>
      <c r="F8736" s="11"/>
      <c r="G8736" s="13">
        <f t="shared" si="1"/>
        <v>1281</v>
      </c>
      <c r="H8736" s="13"/>
    </row>
    <row r="8737" ht="22.5" customHeight="1">
      <c r="B8737" s="17"/>
      <c r="C8737" s="17"/>
      <c r="D8737" s="13"/>
      <c r="E8737" s="11"/>
      <c r="F8737" s="11"/>
      <c r="G8737" s="13">
        <f t="shared" si="1"/>
        <v>1281</v>
      </c>
      <c r="H8737" s="13"/>
    </row>
    <row r="8738" ht="22.5" customHeight="1">
      <c r="B8738" s="17"/>
      <c r="C8738" s="17"/>
      <c r="D8738" s="13"/>
      <c r="E8738" s="11"/>
      <c r="F8738" s="11"/>
      <c r="G8738" s="13">
        <f t="shared" si="1"/>
        <v>1281</v>
      </c>
      <c r="H8738" s="13"/>
    </row>
    <row r="8739" ht="22.5" customHeight="1">
      <c r="B8739" s="17"/>
      <c r="C8739" s="17"/>
      <c r="D8739" s="13"/>
      <c r="E8739" s="11"/>
      <c r="F8739" s="11"/>
      <c r="G8739" s="13">
        <f t="shared" si="1"/>
        <v>1281</v>
      </c>
      <c r="H8739" s="13"/>
    </row>
    <row r="8740" ht="22.5" customHeight="1">
      <c r="B8740" s="17"/>
      <c r="C8740" s="17"/>
      <c r="D8740" s="13"/>
      <c r="E8740" s="11"/>
      <c r="F8740" s="11"/>
      <c r="G8740" s="13">
        <f t="shared" si="1"/>
        <v>1281</v>
      </c>
      <c r="H8740" s="13"/>
    </row>
    <row r="8741" ht="22.5" customHeight="1">
      <c r="B8741" s="17"/>
      <c r="C8741" s="17"/>
      <c r="D8741" s="13"/>
      <c r="E8741" s="11"/>
      <c r="F8741" s="11"/>
      <c r="G8741" s="13">
        <f t="shared" si="1"/>
        <v>1281</v>
      </c>
      <c r="H8741" s="13"/>
    </row>
    <row r="8742" ht="22.5" customHeight="1">
      <c r="B8742" s="17"/>
      <c r="C8742" s="17"/>
      <c r="D8742" s="13"/>
      <c r="E8742" s="11"/>
      <c r="F8742" s="11"/>
      <c r="G8742" s="13">
        <f t="shared" si="1"/>
        <v>1281</v>
      </c>
      <c r="H8742" s="13"/>
    </row>
    <row r="8743" ht="22.5" customHeight="1">
      <c r="B8743" s="17"/>
      <c r="C8743" s="17"/>
      <c r="D8743" s="13"/>
      <c r="E8743" s="11"/>
      <c r="F8743" s="11"/>
      <c r="G8743" s="13">
        <f t="shared" si="1"/>
        <v>1281</v>
      </c>
      <c r="H8743" s="13"/>
    </row>
    <row r="8744" ht="22.5" customHeight="1">
      <c r="B8744" s="17"/>
      <c r="C8744" s="17"/>
      <c r="D8744" s="13"/>
      <c r="E8744" s="11"/>
      <c r="F8744" s="11"/>
      <c r="G8744" s="13">
        <f t="shared" si="1"/>
        <v>1281</v>
      </c>
      <c r="H8744" s="13"/>
    </row>
    <row r="8745" ht="22.5" customHeight="1">
      <c r="B8745" s="17"/>
      <c r="C8745" s="17"/>
      <c r="D8745" s="13"/>
      <c r="E8745" s="11"/>
      <c r="F8745" s="11"/>
      <c r="G8745" s="13">
        <f t="shared" si="1"/>
        <v>1281</v>
      </c>
      <c r="H8745" s="13"/>
    </row>
    <row r="8746" ht="22.5" customHeight="1">
      <c r="B8746" s="17"/>
      <c r="C8746" s="17"/>
      <c r="D8746" s="13"/>
      <c r="E8746" s="11"/>
      <c r="F8746" s="11"/>
      <c r="G8746" s="13">
        <f t="shared" si="1"/>
        <v>1281</v>
      </c>
      <c r="H8746" s="13"/>
    </row>
    <row r="8747" ht="22.5" customHeight="1">
      <c r="B8747" s="17"/>
      <c r="C8747" s="17"/>
      <c r="D8747" s="13"/>
      <c r="E8747" s="11"/>
      <c r="F8747" s="11"/>
      <c r="G8747" s="13">
        <f t="shared" si="1"/>
        <v>1281</v>
      </c>
      <c r="H8747" s="13"/>
    </row>
    <row r="8748" ht="22.5" customHeight="1">
      <c r="B8748" s="17"/>
      <c r="C8748" s="17"/>
      <c r="D8748" s="13"/>
      <c r="E8748" s="11"/>
      <c r="F8748" s="11"/>
      <c r="G8748" s="13">
        <f t="shared" si="1"/>
        <v>1281</v>
      </c>
      <c r="H8748" s="13"/>
    </row>
    <row r="8749" ht="22.5" customHeight="1">
      <c r="B8749" s="17"/>
      <c r="C8749" s="17"/>
      <c r="D8749" s="13"/>
      <c r="E8749" s="11"/>
      <c r="F8749" s="11"/>
      <c r="G8749" s="13">
        <f t="shared" si="1"/>
        <v>1281</v>
      </c>
      <c r="H8749" s="13"/>
    </row>
    <row r="8750" ht="22.5" customHeight="1">
      <c r="B8750" s="17"/>
      <c r="C8750" s="17"/>
      <c r="D8750" s="13"/>
      <c r="E8750" s="11"/>
      <c r="F8750" s="11"/>
      <c r="G8750" s="13">
        <f t="shared" si="1"/>
        <v>1281</v>
      </c>
      <c r="H8750" s="13"/>
    </row>
    <row r="8751" ht="22.5" customHeight="1">
      <c r="B8751" s="17"/>
      <c r="C8751" s="17"/>
      <c r="D8751" s="13"/>
      <c r="E8751" s="11"/>
      <c r="F8751" s="11"/>
      <c r="G8751" s="13">
        <f t="shared" si="1"/>
        <v>1281</v>
      </c>
      <c r="H8751" s="13"/>
    </row>
    <row r="8752" ht="22.5" customHeight="1">
      <c r="B8752" s="17"/>
      <c r="C8752" s="17"/>
      <c r="D8752" s="13"/>
      <c r="E8752" s="11"/>
      <c r="F8752" s="11"/>
      <c r="G8752" s="13">
        <f t="shared" si="1"/>
        <v>1281</v>
      </c>
      <c r="H8752" s="13"/>
    </row>
    <row r="8753" ht="22.5" customHeight="1">
      <c r="B8753" s="17"/>
      <c r="C8753" s="17"/>
      <c r="D8753" s="13"/>
      <c r="E8753" s="11"/>
      <c r="F8753" s="11"/>
      <c r="G8753" s="13">
        <f t="shared" si="1"/>
        <v>1281</v>
      </c>
      <c r="H8753" s="13"/>
    </row>
    <row r="8754" ht="22.5" customHeight="1">
      <c r="B8754" s="17"/>
      <c r="C8754" s="17"/>
      <c r="D8754" s="13"/>
      <c r="E8754" s="11"/>
      <c r="F8754" s="11"/>
      <c r="G8754" s="13">
        <f t="shared" si="1"/>
        <v>1281</v>
      </c>
      <c r="H8754" s="13"/>
    </row>
    <row r="8755" ht="22.5" customHeight="1">
      <c r="B8755" s="17"/>
      <c r="C8755" s="17"/>
      <c r="D8755" s="13"/>
      <c r="E8755" s="11"/>
      <c r="F8755" s="11"/>
      <c r="G8755" s="13">
        <f t="shared" si="1"/>
        <v>1281</v>
      </c>
      <c r="H8755" s="13"/>
    </row>
    <row r="8756" ht="22.5" customHeight="1">
      <c r="B8756" s="17"/>
      <c r="C8756" s="17"/>
      <c r="D8756" s="13"/>
      <c r="E8756" s="11"/>
      <c r="F8756" s="11"/>
      <c r="G8756" s="13">
        <f t="shared" si="1"/>
        <v>1281</v>
      </c>
      <c r="H8756" s="13"/>
    </row>
    <row r="8757" ht="22.5" customHeight="1">
      <c r="B8757" s="17"/>
      <c r="C8757" s="17"/>
      <c r="D8757" s="13"/>
      <c r="E8757" s="11"/>
      <c r="F8757" s="11"/>
      <c r="G8757" s="13">
        <f t="shared" si="1"/>
        <v>1281</v>
      </c>
      <c r="H8757" s="13"/>
    </row>
    <row r="8758" ht="22.5" customHeight="1">
      <c r="B8758" s="17"/>
      <c r="C8758" s="17"/>
      <c r="D8758" s="13"/>
      <c r="E8758" s="11"/>
      <c r="F8758" s="11"/>
      <c r="G8758" s="13">
        <f t="shared" si="1"/>
        <v>1281</v>
      </c>
      <c r="H8758" s="13"/>
    </row>
    <row r="8759" ht="22.5" customHeight="1">
      <c r="B8759" s="17"/>
      <c r="C8759" s="17"/>
      <c r="D8759" s="13"/>
      <c r="E8759" s="11"/>
      <c r="F8759" s="11"/>
      <c r="G8759" s="13">
        <f t="shared" si="1"/>
        <v>1281</v>
      </c>
      <c r="H8759" s="13"/>
    </row>
    <row r="8760" ht="22.5" customHeight="1">
      <c r="B8760" s="17"/>
      <c r="C8760" s="17"/>
      <c r="D8760" s="13"/>
      <c r="E8760" s="11"/>
      <c r="F8760" s="11"/>
      <c r="G8760" s="13">
        <f t="shared" si="1"/>
        <v>1281</v>
      </c>
      <c r="H8760" s="13"/>
    </row>
    <row r="8761" ht="22.5" customHeight="1">
      <c r="B8761" s="17"/>
      <c r="C8761" s="17"/>
      <c r="D8761" s="13"/>
      <c r="E8761" s="11"/>
      <c r="F8761" s="11"/>
      <c r="G8761" s="13">
        <f t="shared" si="1"/>
        <v>1281</v>
      </c>
      <c r="H8761" s="13"/>
    </row>
    <row r="8762" ht="22.5" customHeight="1">
      <c r="B8762" s="17"/>
      <c r="C8762" s="17"/>
      <c r="D8762" s="13"/>
      <c r="E8762" s="11"/>
      <c r="F8762" s="11"/>
      <c r="G8762" s="13">
        <f t="shared" si="1"/>
        <v>1281</v>
      </c>
      <c r="H8762" s="13"/>
    </row>
    <row r="8763" ht="22.5" customHeight="1">
      <c r="B8763" s="17"/>
      <c r="C8763" s="17"/>
      <c r="D8763" s="13"/>
      <c r="E8763" s="11"/>
      <c r="F8763" s="11"/>
      <c r="G8763" s="13">
        <f t="shared" si="1"/>
        <v>1281</v>
      </c>
      <c r="H8763" s="13"/>
    </row>
    <row r="8764" ht="22.5" customHeight="1">
      <c r="B8764" s="17"/>
      <c r="C8764" s="17"/>
      <c r="D8764" s="13"/>
      <c r="E8764" s="11"/>
      <c r="F8764" s="11"/>
      <c r="G8764" s="13">
        <f t="shared" si="1"/>
        <v>1281</v>
      </c>
      <c r="H8764" s="13"/>
    </row>
    <row r="8765" ht="22.5" customHeight="1">
      <c r="B8765" s="17"/>
      <c r="C8765" s="17"/>
      <c r="D8765" s="13"/>
      <c r="E8765" s="11"/>
      <c r="F8765" s="11"/>
      <c r="G8765" s="13">
        <f t="shared" si="1"/>
        <v>1281</v>
      </c>
      <c r="H8765" s="13"/>
    </row>
    <row r="8766" ht="22.5" customHeight="1">
      <c r="B8766" s="17"/>
      <c r="C8766" s="17"/>
      <c r="D8766" s="13"/>
      <c r="E8766" s="11"/>
      <c r="F8766" s="11"/>
      <c r="G8766" s="13">
        <f t="shared" si="1"/>
        <v>1281</v>
      </c>
      <c r="H8766" s="13"/>
    </row>
    <row r="8767" ht="22.5" customHeight="1">
      <c r="B8767" s="17"/>
      <c r="C8767" s="17"/>
      <c r="D8767" s="13"/>
      <c r="E8767" s="11"/>
      <c r="F8767" s="11"/>
      <c r="G8767" s="13">
        <f t="shared" si="1"/>
        <v>1281</v>
      </c>
      <c r="H8767" s="13"/>
    </row>
    <row r="8768" ht="22.5" customHeight="1">
      <c r="B8768" s="17"/>
      <c r="C8768" s="17"/>
      <c r="D8768" s="13"/>
      <c r="E8768" s="11"/>
      <c r="F8768" s="11"/>
      <c r="G8768" s="13">
        <f t="shared" si="1"/>
        <v>1281</v>
      </c>
      <c r="H8768" s="13"/>
    </row>
    <row r="8769" ht="22.5" customHeight="1">
      <c r="B8769" s="17"/>
      <c r="C8769" s="17"/>
      <c r="D8769" s="13"/>
      <c r="E8769" s="11"/>
      <c r="F8769" s="11"/>
      <c r="G8769" s="13">
        <f t="shared" si="1"/>
        <v>1281</v>
      </c>
      <c r="H8769" s="13"/>
    </row>
    <row r="8770" ht="22.5" customHeight="1">
      <c r="B8770" s="17"/>
      <c r="C8770" s="17"/>
      <c r="D8770" s="13"/>
      <c r="E8770" s="11"/>
      <c r="F8770" s="11"/>
      <c r="G8770" s="13">
        <f t="shared" si="1"/>
        <v>1281</v>
      </c>
      <c r="H8770" s="13"/>
    </row>
    <row r="8771" ht="22.5" customHeight="1">
      <c r="B8771" s="17"/>
      <c r="C8771" s="17"/>
      <c r="D8771" s="13"/>
      <c r="E8771" s="11"/>
      <c r="F8771" s="11"/>
      <c r="G8771" s="13">
        <f t="shared" si="1"/>
        <v>1281</v>
      </c>
      <c r="H8771" s="13"/>
    </row>
    <row r="8772" ht="22.5" customHeight="1">
      <c r="B8772" s="17"/>
      <c r="C8772" s="17"/>
      <c r="D8772" s="13"/>
      <c r="E8772" s="11"/>
      <c r="F8772" s="11"/>
      <c r="G8772" s="13">
        <f t="shared" si="1"/>
        <v>1281</v>
      </c>
      <c r="H8772" s="13"/>
    </row>
    <row r="8773" ht="22.5" customHeight="1">
      <c r="B8773" s="17"/>
      <c r="C8773" s="17"/>
      <c r="D8773" s="13"/>
      <c r="E8773" s="11"/>
      <c r="F8773" s="11"/>
      <c r="G8773" s="13">
        <f t="shared" si="1"/>
        <v>1281</v>
      </c>
      <c r="H8773" s="13"/>
    </row>
    <row r="8774" ht="22.5" customHeight="1">
      <c r="B8774" s="17"/>
      <c r="C8774" s="17"/>
      <c r="D8774" s="13"/>
      <c r="E8774" s="11"/>
      <c r="F8774" s="11"/>
      <c r="G8774" s="13">
        <f t="shared" si="1"/>
        <v>1281</v>
      </c>
      <c r="H8774" s="13"/>
    </row>
    <row r="8775" ht="22.5" customHeight="1">
      <c r="B8775" s="17"/>
      <c r="C8775" s="17"/>
      <c r="D8775" s="13"/>
      <c r="E8775" s="11"/>
      <c r="F8775" s="11"/>
      <c r="G8775" s="13">
        <f t="shared" si="1"/>
        <v>1281</v>
      </c>
      <c r="H8775" s="13"/>
    </row>
    <row r="8776" ht="22.5" customHeight="1">
      <c r="B8776" s="17"/>
      <c r="C8776" s="17"/>
      <c r="D8776" s="13"/>
      <c r="E8776" s="11"/>
      <c r="F8776" s="11"/>
      <c r="G8776" s="13">
        <f t="shared" si="1"/>
        <v>1281</v>
      </c>
      <c r="H8776" s="13"/>
    </row>
    <row r="8777" ht="22.5" customHeight="1">
      <c r="B8777" s="17"/>
      <c r="C8777" s="17"/>
      <c r="D8777" s="13"/>
      <c r="E8777" s="11"/>
      <c r="F8777" s="11"/>
      <c r="G8777" s="13">
        <f t="shared" si="1"/>
        <v>1281</v>
      </c>
      <c r="H8777" s="13"/>
    </row>
    <row r="8778" ht="22.5" customHeight="1">
      <c r="B8778" s="17"/>
      <c r="C8778" s="17"/>
      <c r="D8778" s="13"/>
      <c r="E8778" s="11"/>
      <c r="F8778" s="11"/>
      <c r="G8778" s="13">
        <f t="shared" si="1"/>
        <v>1281</v>
      </c>
      <c r="H8778" s="13"/>
    </row>
    <row r="8779" ht="22.5" customHeight="1">
      <c r="B8779" s="17"/>
      <c r="C8779" s="17"/>
      <c r="D8779" s="13"/>
      <c r="E8779" s="11"/>
      <c r="F8779" s="11"/>
      <c r="G8779" s="13">
        <f t="shared" si="1"/>
        <v>1281</v>
      </c>
      <c r="H8779" s="13"/>
    </row>
    <row r="8780" ht="22.5" customHeight="1">
      <c r="B8780" s="17"/>
      <c r="C8780" s="17"/>
      <c r="D8780" s="13"/>
      <c r="E8780" s="11"/>
      <c r="F8780" s="11"/>
      <c r="G8780" s="13">
        <f t="shared" si="1"/>
        <v>1281</v>
      </c>
      <c r="H8780" s="13"/>
    </row>
    <row r="8781" ht="22.5" customHeight="1">
      <c r="B8781" s="17"/>
      <c r="C8781" s="17"/>
      <c r="D8781" s="13"/>
      <c r="E8781" s="11"/>
      <c r="F8781" s="11"/>
      <c r="G8781" s="13">
        <f t="shared" si="1"/>
        <v>1281</v>
      </c>
      <c r="H8781" s="13"/>
    </row>
    <row r="8782" ht="22.5" customHeight="1">
      <c r="B8782" s="17"/>
      <c r="C8782" s="17"/>
      <c r="D8782" s="13"/>
      <c r="E8782" s="11"/>
      <c r="F8782" s="11"/>
      <c r="G8782" s="13">
        <f t="shared" si="1"/>
        <v>1281</v>
      </c>
      <c r="H8782" s="13"/>
    </row>
    <row r="8783" ht="22.5" customHeight="1">
      <c r="B8783" s="17"/>
      <c r="C8783" s="17"/>
      <c r="D8783" s="13"/>
      <c r="E8783" s="11"/>
      <c r="F8783" s="11"/>
      <c r="G8783" s="13">
        <f t="shared" si="1"/>
        <v>1281</v>
      </c>
      <c r="H8783" s="13"/>
    </row>
    <row r="8784" ht="22.5" customHeight="1">
      <c r="B8784" s="17"/>
      <c r="C8784" s="17"/>
      <c r="D8784" s="13"/>
      <c r="E8784" s="11"/>
      <c r="F8784" s="11"/>
      <c r="G8784" s="13">
        <f t="shared" si="1"/>
        <v>1281</v>
      </c>
      <c r="H8784" s="13"/>
    </row>
    <row r="8785" ht="22.5" customHeight="1">
      <c r="B8785" s="17"/>
      <c r="C8785" s="17"/>
      <c r="D8785" s="13"/>
      <c r="E8785" s="11"/>
      <c r="F8785" s="11"/>
      <c r="G8785" s="13">
        <f t="shared" si="1"/>
        <v>1281</v>
      </c>
      <c r="H8785" s="13"/>
    </row>
    <row r="8786" ht="22.5" customHeight="1">
      <c r="B8786" s="17"/>
      <c r="C8786" s="17"/>
      <c r="D8786" s="13"/>
      <c r="E8786" s="11"/>
      <c r="F8786" s="11"/>
      <c r="G8786" s="13">
        <f t="shared" si="1"/>
        <v>1281</v>
      </c>
      <c r="H8786" s="13"/>
    </row>
    <row r="8787" ht="22.5" customHeight="1">
      <c r="B8787" s="17"/>
      <c r="C8787" s="17"/>
      <c r="D8787" s="13"/>
      <c r="E8787" s="11"/>
      <c r="F8787" s="11"/>
      <c r="G8787" s="13">
        <f t="shared" si="1"/>
        <v>1281</v>
      </c>
      <c r="H8787" s="13"/>
    </row>
    <row r="8788" ht="22.5" customHeight="1">
      <c r="B8788" s="17"/>
      <c r="C8788" s="17"/>
      <c r="D8788" s="13"/>
      <c r="E8788" s="11"/>
      <c r="F8788" s="11"/>
      <c r="G8788" s="13">
        <f t="shared" si="1"/>
        <v>1281</v>
      </c>
      <c r="H8788" s="13"/>
    </row>
    <row r="8789" ht="22.5" customHeight="1">
      <c r="B8789" s="17"/>
      <c r="C8789" s="17"/>
      <c r="D8789" s="13"/>
      <c r="E8789" s="11"/>
      <c r="F8789" s="11"/>
      <c r="G8789" s="13">
        <f t="shared" si="1"/>
        <v>1281</v>
      </c>
      <c r="H8789" s="13"/>
    </row>
    <row r="8790" ht="22.5" customHeight="1">
      <c r="B8790" s="17"/>
      <c r="C8790" s="17"/>
      <c r="D8790" s="13"/>
      <c r="E8790" s="11"/>
      <c r="F8790" s="11"/>
      <c r="G8790" s="13">
        <f t="shared" si="1"/>
        <v>1281</v>
      </c>
      <c r="H8790" s="13"/>
    </row>
    <row r="8791" ht="22.5" customHeight="1">
      <c r="B8791" s="17"/>
      <c r="C8791" s="17"/>
      <c r="D8791" s="13"/>
      <c r="E8791" s="11"/>
      <c r="F8791" s="11"/>
      <c r="G8791" s="13">
        <f t="shared" si="1"/>
        <v>1281</v>
      </c>
      <c r="H8791" s="13"/>
    </row>
    <row r="8792" ht="22.5" customHeight="1">
      <c r="B8792" s="17"/>
      <c r="C8792" s="17"/>
      <c r="D8792" s="13"/>
      <c r="E8792" s="11"/>
      <c r="F8792" s="11"/>
      <c r="G8792" s="13">
        <f t="shared" si="1"/>
        <v>1281</v>
      </c>
      <c r="H8792" s="13"/>
    </row>
    <row r="8793" ht="22.5" customHeight="1">
      <c r="B8793" s="17"/>
      <c r="C8793" s="17"/>
      <c r="D8793" s="13"/>
      <c r="E8793" s="11"/>
      <c r="F8793" s="11"/>
      <c r="G8793" s="13">
        <f t="shared" si="1"/>
        <v>1281</v>
      </c>
      <c r="H8793" s="13"/>
    </row>
    <row r="8794" ht="22.5" customHeight="1">
      <c r="B8794" s="17"/>
      <c r="C8794" s="17"/>
      <c r="D8794" s="13"/>
      <c r="E8794" s="11"/>
      <c r="F8794" s="11"/>
      <c r="G8794" s="13">
        <f t="shared" si="1"/>
        <v>1281</v>
      </c>
      <c r="H8794" s="13"/>
    </row>
    <row r="8795" ht="22.5" customHeight="1">
      <c r="B8795" s="17"/>
      <c r="C8795" s="17"/>
      <c r="D8795" s="13"/>
      <c r="E8795" s="11"/>
      <c r="F8795" s="11"/>
      <c r="G8795" s="13">
        <f t="shared" si="1"/>
        <v>1281</v>
      </c>
      <c r="H8795" s="13"/>
    </row>
    <row r="8796" ht="22.5" customHeight="1">
      <c r="B8796" s="17"/>
      <c r="C8796" s="17"/>
      <c r="D8796" s="13"/>
      <c r="E8796" s="11"/>
      <c r="F8796" s="11"/>
      <c r="G8796" s="13">
        <f t="shared" si="1"/>
        <v>1281</v>
      </c>
      <c r="H8796" s="13"/>
    </row>
    <row r="8797" ht="22.5" customHeight="1">
      <c r="B8797" s="17"/>
      <c r="C8797" s="17"/>
      <c r="D8797" s="13"/>
      <c r="E8797" s="11"/>
      <c r="F8797" s="11"/>
      <c r="G8797" s="13">
        <f t="shared" si="1"/>
        <v>1281</v>
      </c>
      <c r="H8797" s="13"/>
    </row>
    <row r="8798" ht="22.5" customHeight="1">
      <c r="B8798" s="17"/>
      <c r="C8798" s="17"/>
      <c r="D8798" s="13"/>
      <c r="E8798" s="11"/>
      <c r="F8798" s="11"/>
      <c r="G8798" s="13">
        <f t="shared" si="1"/>
        <v>1281</v>
      </c>
      <c r="H8798" s="13"/>
    </row>
    <row r="8799" ht="22.5" customHeight="1">
      <c r="B8799" s="17"/>
      <c r="C8799" s="17"/>
      <c r="D8799" s="13"/>
      <c r="E8799" s="11"/>
      <c r="F8799" s="11"/>
      <c r="G8799" s="13">
        <f t="shared" si="1"/>
        <v>1281</v>
      </c>
      <c r="H8799" s="13"/>
    </row>
    <row r="8800" ht="22.5" customHeight="1">
      <c r="B8800" s="17"/>
      <c r="C8800" s="17"/>
      <c r="D8800" s="13"/>
      <c r="E8800" s="11"/>
      <c r="F8800" s="11"/>
      <c r="G8800" s="13">
        <f t="shared" si="1"/>
        <v>1281</v>
      </c>
      <c r="H8800" s="13"/>
    </row>
    <row r="8801" ht="22.5" customHeight="1">
      <c r="B8801" s="17"/>
      <c r="C8801" s="17"/>
      <c r="D8801" s="13"/>
      <c r="E8801" s="11"/>
      <c r="F8801" s="11"/>
      <c r="G8801" s="13">
        <f t="shared" si="1"/>
        <v>1281</v>
      </c>
      <c r="H8801" s="13"/>
    </row>
    <row r="8802" ht="22.5" customHeight="1">
      <c r="B8802" s="17"/>
      <c r="C8802" s="17"/>
      <c r="D8802" s="13"/>
      <c r="E8802" s="11"/>
      <c r="F8802" s="11"/>
      <c r="G8802" s="13">
        <f t="shared" si="1"/>
        <v>1281</v>
      </c>
      <c r="H8802" s="13"/>
    </row>
    <row r="8803" ht="22.5" customHeight="1">
      <c r="B8803" s="17"/>
      <c r="C8803" s="17"/>
      <c r="D8803" s="13"/>
      <c r="E8803" s="11"/>
      <c r="F8803" s="11"/>
      <c r="G8803" s="13">
        <f t="shared" si="1"/>
        <v>1281</v>
      </c>
      <c r="H8803" s="13"/>
    </row>
    <row r="8804" ht="22.5" customHeight="1">
      <c r="B8804" s="17"/>
      <c r="C8804" s="17"/>
      <c r="D8804" s="13"/>
      <c r="E8804" s="11"/>
      <c r="F8804" s="11"/>
      <c r="G8804" s="13">
        <f t="shared" si="1"/>
        <v>1281</v>
      </c>
      <c r="H8804" s="13"/>
    </row>
    <row r="8805" ht="22.5" customHeight="1">
      <c r="B8805" s="17"/>
      <c r="C8805" s="17"/>
      <c r="D8805" s="13"/>
      <c r="E8805" s="11"/>
      <c r="F8805" s="11"/>
      <c r="G8805" s="13">
        <f t="shared" si="1"/>
        <v>1281</v>
      </c>
      <c r="H8805" s="13"/>
    </row>
    <row r="8806" ht="22.5" customHeight="1">
      <c r="B8806" s="17"/>
      <c r="C8806" s="17"/>
      <c r="D8806" s="13"/>
      <c r="E8806" s="11"/>
      <c r="F8806" s="11"/>
      <c r="G8806" s="13">
        <f t="shared" si="1"/>
        <v>1281</v>
      </c>
      <c r="H8806" s="13"/>
    </row>
    <row r="8807" ht="22.5" customHeight="1">
      <c r="B8807" s="17"/>
      <c r="C8807" s="17"/>
      <c r="D8807" s="13"/>
      <c r="E8807" s="11"/>
      <c r="F8807" s="11"/>
      <c r="G8807" s="13">
        <f t="shared" si="1"/>
        <v>1281</v>
      </c>
      <c r="H8807" s="13"/>
    </row>
    <row r="8808" ht="22.5" customHeight="1">
      <c r="B8808" s="17"/>
      <c r="C8808" s="17"/>
      <c r="D8808" s="13"/>
      <c r="E8808" s="11"/>
      <c r="F8808" s="11"/>
      <c r="G8808" s="13">
        <f t="shared" si="1"/>
        <v>1281</v>
      </c>
      <c r="H8808" s="13"/>
    </row>
    <row r="8809" ht="22.5" customHeight="1">
      <c r="B8809" s="17"/>
      <c r="C8809" s="17"/>
      <c r="D8809" s="13"/>
      <c r="E8809" s="11"/>
      <c r="F8809" s="11"/>
      <c r="G8809" s="13">
        <f t="shared" si="1"/>
        <v>1281</v>
      </c>
      <c r="H8809" s="13"/>
    </row>
    <row r="8810" ht="22.5" customHeight="1">
      <c r="B8810" s="17"/>
      <c r="C8810" s="17"/>
      <c r="D8810" s="13"/>
      <c r="E8810" s="11"/>
      <c r="F8810" s="11"/>
      <c r="G8810" s="13">
        <f t="shared" si="1"/>
        <v>1281</v>
      </c>
      <c r="H8810" s="13"/>
    </row>
    <row r="8811" ht="22.5" customHeight="1">
      <c r="B8811" s="17"/>
      <c r="C8811" s="17"/>
      <c r="D8811" s="13"/>
      <c r="E8811" s="11"/>
      <c r="F8811" s="11"/>
      <c r="G8811" s="13">
        <f t="shared" si="1"/>
        <v>1281</v>
      </c>
      <c r="H8811" s="13"/>
    </row>
    <row r="8812" ht="22.5" customHeight="1">
      <c r="B8812" s="17"/>
      <c r="C8812" s="17"/>
      <c r="D8812" s="13"/>
      <c r="E8812" s="11"/>
      <c r="F8812" s="11"/>
      <c r="G8812" s="13">
        <f t="shared" si="1"/>
        <v>1281</v>
      </c>
      <c r="H8812" s="13"/>
    </row>
    <row r="8813" ht="22.5" customHeight="1">
      <c r="B8813" s="17"/>
      <c r="C8813" s="17"/>
      <c r="D8813" s="13"/>
      <c r="E8813" s="11"/>
      <c r="F8813" s="11"/>
      <c r="G8813" s="13">
        <f t="shared" si="1"/>
        <v>1281</v>
      </c>
      <c r="H8813" s="13"/>
    </row>
    <row r="8814" ht="22.5" customHeight="1">
      <c r="B8814" s="17"/>
      <c r="C8814" s="17"/>
      <c r="D8814" s="13"/>
      <c r="E8814" s="11"/>
      <c r="F8814" s="11"/>
      <c r="G8814" s="13">
        <f t="shared" si="1"/>
        <v>1281</v>
      </c>
      <c r="H8814" s="13"/>
    </row>
    <row r="8815" ht="22.5" customHeight="1">
      <c r="B8815" s="17"/>
      <c r="C8815" s="17"/>
      <c r="D8815" s="13"/>
      <c r="E8815" s="11"/>
      <c r="F8815" s="11"/>
      <c r="G8815" s="13">
        <f t="shared" si="1"/>
        <v>1281</v>
      </c>
      <c r="H8815" s="13"/>
    </row>
    <row r="8816" ht="22.5" customHeight="1">
      <c r="B8816" s="17"/>
      <c r="C8816" s="17"/>
      <c r="D8816" s="13"/>
      <c r="E8816" s="11"/>
      <c r="F8816" s="11"/>
      <c r="G8816" s="13">
        <f t="shared" si="1"/>
        <v>1281</v>
      </c>
      <c r="H8816" s="13"/>
    </row>
    <row r="8817" ht="22.5" customHeight="1">
      <c r="B8817" s="17"/>
      <c r="C8817" s="17"/>
      <c r="D8817" s="13"/>
      <c r="E8817" s="11"/>
      <c r="F8817" s="11"/>
      <c r="G8817" s="13">
        <f t="shared" si="1"/>
        <v>1281</v>
      </c>
      <c r="H8817" s="13"/>
    </row>
    <row r="8818" ht="22.5" customHeight="1">
      <c r="B8818" s="17"/>
      <c r="C8818" s="17"/>
      <c r="D8818" s="13"/>
      <c r="E8818" s="11"/>
      <c r="F8818" s="11"/>
      <c r="G8818" s="13">
        <f t="shared" si="1"/>
        <v>1281</v>
      </c>
      <c r="H8818" s="13"/>
    </row>
    <row r="8819" ht="22.5" customHeight="1">
      <c r="B8819" s="17"/>
      <c r="C8819" s="17"/>
      <c r="D8819" s="13"/>
      <c r="E8819" s="11"/>
      <c r="F8819" s="11"/>
      <c r="G8819" s="13">
        <f t="shared" si="1"/>
        <v>1281</v>
      </c>
      <c r="H8819" s="13"/>
    </row>
    <row r="8820" ht="22.5" customHeight="1">
      <c r="B8820" s="17"/>
      <c r="C8820" s="17"/>
      <c r="D8820" s="13"/>
      <c r="E8820" s="11"/>
      <c r="F8820" s="11"/>
      <c r="G8820" s="13">
        <f t="shared" si="1"/>
        <v>1281</v>
      </c>
      <c r="H8820" s="13"/>
    </row>
    <row r="8821" ht="22.5" customHeight="1">
      <c r="B8821" s="17"/>
      <c r="C8821" s="17"/>
      <c r="D8821" s="13"/>
      <c r="E8821" s="11"/>
      <c r="F8821" s="11"/>
      <c r="G8821" s="13">
        <f t="shared" si="1"/>
        <v>1281</v>
      </c>
      <c r="H8821" s="13"/>
    </row>
    <row r="8822" ht="22.5" customHeight="1">
      <c r="B8822" s="17"/>
      <c r="C8822" s="17"/>
      <c r="D8822" s="13"/>
      <c r="E8822" s="11"/>
      <c r="F8822" s="11"/>
      <c r="G8822" s="13">
        <f t="shared" si="1"/>
        <v>1281</v>
      </c>
      <c r="H8822" s="13"/>
    </row>
    <row r="8823" ht="22.5" customHeight="1">
      <c r="B8823" s="17"/>
      <c r="C8823" s="17"/>
      <c r="D8823" s="13"/>
      <c r="E8823" s="11"/>
      <c r="F8823" s="11"/>
      <c r="G8823" s="13">
        <f t="shared" si="1"/>
        <v>1281</v>
      </c>
      <c r="H8823" s="13"/>
    </row>
    <row r="8824" ht="22.5" customHeight="1">
      <c r="B8824" s="17"/>
      <c r="C8824" s="17"/>
      <c r="D8824" s="13"/>
      <c r="E8824" s="11"/>
      <c r="F8824" s="11"/>
      <c r="G8824" s="13">
        <f t="shared" si="1"/>
        <v>1281</v>
      </c>
      <c r="H8824" s="13"/>
    </row>
    <row r="8825" ht="22.5" customHeight="1">
      <c r="B8825" s="17"/>
      <c r="C8825" s="17"/>
      <c r="D8825" s="13"/>
      <c r="E8825" s="11"/>
      <c r="F8825" s="11"/>
      <c r="G8825" s="13">
        <f t="shared" si="1"/>
        <v>1281</v>
      </c>
      <c r="H8825" s="13"/>
    </row>
    <row r="8826" ht="22.5" customHeight="1">
      <c r="B8826" s="17"/>
      <c r="C8826" s="17"/>
      <c r="D8826" s="13"/>
      <c r="E8826" s="11"/>
      <c r="F8826" s="11"/>
      <c r="G8826" s="13">
        <f t="shared" si="1"/>
        <v>1281</v>
      </c>
      <c r="H8826" s="13"/>
    </row>
    <row r="8827" ht="22.5" customHeight="1">
      <c r="B8827" s="17"/>
      <c r="C8827" s="17"/>
      <c r="D8827" s="13"/>
      <c r="E8827" s="11"/>
      <c r="F8827" s="11"/>
      <c r="G8827" s="13">
        <f t="shared" si="1"/>
        <v>1281</v>
      </c>
      <c r="H8827" s="13"/>
    </row>
    <row r="8828" ht="22.5" customHeight="1">
      <c r="B8828" s="17"/>
      <c r="C8828" s="17"/>
      <c r="D8828" s="13"/>
      <c r="E8828" s="11"/>
      <c r="F8828" s="11"/>
      <c r="G8828" s="13">
        <f t="shared" si="1"/>
        <v>1281</v>
      </c>
      <c r="H8828" s="13"/>
    </row>
    <row r="8829" ht="22.5" customHeight="1">
      <c r="B8829" s="17"/>
      <c r="C8829" s="17"/>
      <c r="D8829" s="13"/>
      <c r="E8829" s="11"/>
      <c r="F8829" s="11"/>
      <c r="G8829" s="13">
        <f t="shared" si="1"/>
        <v>1281</v>
      </c>
      <c r="H8829" s="13"/>
    </row>
    <row r="8830" ht="22.5" customHeight="1">
      <c r="B8830" s="17"/>
      <c r="C8830" s="17"/>
      <c r="D8830" s="13"/>
      <c r="E8830" s="11"/>
      <c r="F8830" s="11"/>
      <c r="G8830" s="13">
        <f t="shared" si="1"/>
        <v>1281</v>
      </c>
      <c r="H8830" s="13"/>
    </row>
    <row r="8831" ht="22.5" customHeight="1">
      <c r="B8831" s="17"/>
      <c r="C8831" s="17"/>
      <c r="D8831" s="13"/>
      <c r="E8831" s="11"/>
      <c r="F8831" s="11"/>
      <c r="G8831" s="13">
        <f t="shared" si="1"/>
        <v>1281</v>
      </c>
      <c r="H8831" s="13"/>
    </row>
    <row r="8832" ht="22.5" customHeight="1">
      <c r="B8832" s="17"/>
      <c r="C8832" s="17"/>
      <c r="D8832" s="13"/>
      <c r="E8832" s="11"/>
      <c r="F8832" s="11"/>
      <c r="G8832" s="13">
        <f t="shared" si="1"/>
        <v>1281</v>
      </c>
      <c r="H8832" s="13"/>
    </row>
    <row r="8833" ht="22.5" customHeight="1">
      <c r="B8833" s="17"/>
      <c r="C8833" s="17"/>
      <c r="D8833" s="13"/>
      <c r="E8833" s="11"/>
      <c r="F8833" s="11"/>
      <c r="G8833" s="13">
        <f t="shared" si="1"/>
        <v>1281</v>
      </c>
      <c r="H8833" s="13"/>
    </row>
    <row r="8834" ht="22.5" customHeight="1">
      <c r="B8834" s="17"/>
      <c r="C8834" s="17"/>
      <c r="D8834" s="13"/>
      <c r="E8834" s="11"/>
      <c r="F8834" s="11"/>
      <c r="G8834" s="13">
        <f t="shared" si="1"/>
        <v>1281</v>
      </c>
      <c r="H8834" s="13"/>
    </row>
    <row r="8835" ht="22.5" customHeight="1">
      <c r="B8835" s="17"/>
      <c r="C8835" s="17"/>
      <c r="D8835" s="13"/>
      <c r="E8835" s="11"/>
      <c r="F8835" s="11"/>
      <c r="G8835" s="13">
        <f t="shared" si="1"/>
        <v>1281</v>
      </c>
      <c r="H8835" s="13"/>
    </row>
    <row r="8836" ht="22.5" customHeight="1">
      <c r="B8836" s="17"/>
      <c r="C8836" s="17"/>
      <c r="D8836" s="13"/>
      <c r="E8836" s="11"/>
      <c r="F8836" s="11"/>
      <c r="G8836" s="13">
        <f t="shared" si="1"/>
        <v>1281</v>
      </c>
      <c r="H8836" s="13"/>
    </row>
    <row r="8837" ht="22.5" customHeight="1">
      <c r="B8837" s="17"/>
      <c r="C8837" s="17"/>
      <c r="D8837" s="13"/>
      <c r="E8837" s="11"/>
      <c r="F8837" s="11"/>
      <c r="G8837" s="13">
        <f t="shared" si="1"/>
        <v>1281</v>
      </c>
      <c r="H8837" s="13"/>
    </row>
    <row r="8838" ht="22.5" customHeight="1">
      <c r="B8838" s="17"/>
      <c r="C8838" s="17"/>
      <c r="D8838" s="13"/>
      <c r="E8838" s="11"/>
      <c r="F8838" s="11"/>
      <c r="G8838" s="13">
        <f t="shared" si="1"/>
        <v>1281</v>
      </c>
      <c r="H8838" s="13"/>
    </row>
    <row r="8839" ht="22.5" customHeight="1">
      <c r="B8839" s="17"/>
      <c r="C8839" s="17"/>
      <c r="D8839" s="13"/>
      <c r="E8839" s="11"/>
      <c r="F8839" s="11"/>
      <c r="G8839" s="13">
        <f t="shared" si="1"/>
        <v>1281</v>
      </c>
      <c r="H8839" s="13"/>
    </row>
    <row r="8840" ht="22.5" customHeight="1">
      <c r="B8840" s="17"/>
      <c r="C8840" s="17"/>
      <c r="D8840" s="13"/>
      <c r="E8840" s="11"/>
      <c r="F8840" s="11"/>
      <c r="G8840" s="13">
        <f t="shared" si="1"/>
        <v>1281</v>
      </c>
      <c r="H8840" s="13"/>
    </row>
    <row r="8841" ht="22.5" customHeight="1">
      <c r="B8841" s="17"/>
      <c r="C8841" s="17"/>
      <c r="D8841" s="13"/>
      <c r="E8841" s="11"/>
      <c r="F8841" s="11"/>
      <c r="G8841" s="13">
        <f t="shared" si="1"/>
        <v>1281</v>
      </c>
      <c r="H8841" s="13"/>
    </row>
    <row r="8842" ht="22.5" customHeight="1">
      <c r="B8842" s="17"/>
      <c r="C8842" s="17"/>
      <c r="D8842" s="13"/>
      <c r="E8842" s="11"/>
      <c r="F8842" s="11"/>
      <c r="G8842" s="13">
        <f t="shared" si="1"/>
        <v>1281</v>
      </c>
      <c r="H8842" s="13"/>
    </row>
    <row r="8843" ht="22.5" customHeight="1">
      <c r="B8843" s="17"/>
      <c r="C8843" s="17"/>
      <c r="D8843" s="13"/>
      <c r="E8843" s="11"/>
      <c r="F8843" s="11"/>
      <c r="G8843" s="13">
        <f t="shared" si="1"/>
        <v>1281</v>
      </c>
      <c r="H8843" s="13"/>
    </row>
    <row r="8844" ht="22.5" customHeight="1">
      <c r="B8844" s="17"/>
      <c r="C8844" s="17"/>
      <c r="D8844" s="13"/>
      <c r="E8844" s="11"/>
      <c r="F8844" s="11"/>
      <c r="G8844" s="13">
        <f t="shared" si="1"/>
        <v>1281</v>
      </c>
      <c r="H8844" s="13"/>
    </row>
    <row r="8845" ht="22.5" customHeight="1">
      <c r="B8845" s="17"/>
      <c r="C8845" s="17"/>
      <c r="D8845" s="13"/>
      <c r="E8845" s="11"/>
      <c r="F8845" s="11"/>
      <c r="G8845" s="13">
        <f t="shared" si="1"/>
        <v>1281</v>
      </c>
      <c r="H8845" s="13"/>
    </row>
    <row r="8846" ht="22.5" customHeight="1">
      <c r="B8846" s="17"/>
      <c r="C8846" s="17"/>
      <c r="D8846" s="13"/>
      <c r="E8846" s="11"/>
      <c r="F8846" s="11"/>
      <c r="G8846" s="13">
        <f t="shared" si="1"/>
        <v>1281</v>
      </c>
      <c r="H8846" s="13"/>
    </row>
    <row r="8847" ht="22.5" customHeight="1">
      <c r="B8847" s="17"/>
      <c r="C8847" s="17"/>
      <c r="D8847" s="13"/>
      <c r="E8847" s="11"/>
      <c r="F8847" s="11"/>
      <c r="G8847" s="13">
        <f t="shared" si="1"/>
        <v>1281</v>
      </c>
      <c r="H8847" s="13"/>
    </row>
    <row r="8848" ht="22.5" customHeight="1">
      <c r="B8848" s="17"/>
      <c r="C8848" s="17"/>
      <c r="D8848" s="13"/>
      <c r="E8848" s="11"/>
      <c r="F8848" s="11"/>
      <c r="G8848" s="13">
        <f t="shared" si="1"/>
        <v>1281</v>
      </c>
      <c r="H8848" s="13"/>
    </row>
    <row r="8849" ht="22.5" customHeight="1">
      <c r="B8849" s="17"/>
      <c r="C8849" s="17"/>
      <c r="D8849" s="13"/>
      <c r="E8849" s="11"/>
      <c r="F8849" s="11"/>
      <c r="G8849" s="13">
        <f t="shared" si="1"/>
        <v>1281</v>
      </c>
      <c r="H8849" s="13"/>
    </row>
    <row r="8850" ht="22.5" customHeight="1">
      <c r="B8850" s="17"/>
      <c r="C8850" s="17"/>
      <c r="D8850" s="13"/>
      <c r="E8850" s="11"/>
      <c r="F8850" s="11"/>
      <c r="G8850" s="13">
        <f t="shared" si="1"/>
        <v>1281</v>
      </c>
      <c r="H8850" s="13"/>
    </row>
    <row r="8851" ht="22.5" customHeight="1">
      <c r="B8851" s="17"/>
      <c r="C8851" s="17"/>
      <c r="D8851" s="13"/>
      <c r="E8851" s="11"/>
      <c r="F8851" s="11"/>
      <c r="G8851" s="13">
        <f t="shared" si="1"/>
        <v>1281</v>
      </c>
      <c r="H8851" s="13"/>
    </row>
    <row r="8852" ht="22.5" customHeight="1">
      <c r="B8852" s="17"/>
      <c r="C8852" s="17"/>
      <c r="D8852" s="13"/>
      <c r="E8852" s="11"/>
      <c r="F8852" s="11"/>
      <c r="G8852" s="13">
        <f t="shared" si="1"/>
        <v>1281</v>
      </c>
      <c r="H8852" s="13"/>
    </row>
    <row r="8853" ht="22.5" customHeight="1">
      <c r="B8853" s="17"/>
      <c r="C8853" s="17"/>
      <c r="D8853" s="13"/>
      <c r="E8853" s="11"/>
      <c r="F8853" s="11"/>
      <c r="G8853" s="13">
        <f t="shared" si="1"/>
        <v>1281</v>
      </c>
      <c r="H8853" s="13"/>
    </row>
    <row r="8854" ht="22.5" customHeight="1">
      <c r="B8854" s="17"/>
      <c r="C8854" s="17"/>
      <c r="D8854" s="13"/>
      <c r="E8854" s="11"/>
      <c r="F8854" s="11"/>
      <c r="G8854" s="13">
        <f t="shared" si="1"/>
        <v>1281</v>
      </c>
      <c r="H8854" s="13"/>
    </row>
    <row r="8855" ht="22.5" customHeight="1">
      <c r="B8855" s="17"/>
      <c r="C8855" s="17"/>
      <c r="D8855" s="13"/>
      <c r="E8855" s="11"/>
      <c r="F8855" s="11"/>
      <c r="G8855" s="13">
        <f t="shared" si="1"/>
        <v>1281</v>
      </c>
      <c r="H8855" s="13"/>
    </row>
    <row r="8856" ht="22.5" customHeight="1">
      <c r="B8856" s="17"/>
      <c r="C8856" s="17"/>
      <c r="D8856" s="13"/>
      <c r="E8856" s="11"/>
      <c r="F8856" s="11"/>
      <c r="G8856" s="13">
        <f t="shared" si="1"/>
        <v>1281</v>
      </c>
      <c r="H8856" s="13"/>
    </row>
    <row r="8857" ht="22.5" customHeight="1">
      <c r="B8857" s="17"/>
      <c r="C8857" s="17"/>
      <c r="D8857" s="13"/>
      <c r="E8857" s="11"/>
      <c r="F8857" s="11"/>
      <c r="G8857" s="13">
        <f t="shared" si="1"/>
        <v>1281</v>
      </c>
      <c r="H8857" s="13"/>
    </row>
    <row r="8858" ht="22.5" customHeight="1">
      <c r="B8858" s="17"/>
      <c r="C8858" s="17"/>
      <c r="D8858" s="13"/>
      <c r="E8858" s="11"/>
      <c r="F8858" s="11"/>
      <c r="G8858" s="13">
        <f t="shared" si="1"/>
        <v>1281</v>
      </c>
      <c r="H8858" s="13"/>
    </row>
    <row r="8859" ht="22.5" customHeight="1">
      <c r="B8859" s="17"/>
      <c r="C8859" s="17"/>
      <c r="D8859" s="13"/>
      <c r="E8859" s="11"/>
      <c r="F8859" s="11"/>
      <c r="G8859" s="13">
        <f t="shared" si="1"/>
        <v>1281</v>
      </c>
      <c r="H8859" s="13"/>
    </row>
    <row r="8860" ht="22.5" customHeight="1">
      <c r="B8860" s="17"/>
      <c r="C8860" s="17"/>
      <c r="D8860" s="13"/>
      <c r="E8860" s="11"/>
      <c r="F8860" s="11"/>
      <c r="G8860" s="13">
        <f t="shared" si="1"/>
        <v>1281</v>
      </c>
      <c r="H8860" s="13"/>
    </row>
    <row r="8861" ht="22.5" customHeight="1">
      <c r="B8861" s="17"/>
      <c r="C8861" s="17"/>
      <c r="D8861" s="13"/>
      <c r="E8861" s="11"/>
      <c r="F8861" s="11"/>
      <c r="G8861" s="13">
        <f t="shared" si="1"/>
        <v>1281</v>
      </c>
      <c r="H8861" s="13"/>
    </row>
    <row r="8862" ht="22.5" customHeight="1">
      <c r="B8862" s="17"/>
      <c r="C8862" s="17"/>
      <c r="D8862" s="13"/>
      <c r="E8862" s="11"/>
      <c r="F8862" s="11"/>
      <c r="G8862" s="13">
        <f t="shared" si="1"/>
        <v>1281</v>
      </c>
      <c r="H8862" s="13"/>
    </row>
    <row r="8863" ht="22.5" customHeight="1">
      <c r="B8863" s="17"/>
      <c r="C8863" s="17"/>
      <c r="D8863" s="13"/>
      <c r="E8863" s="11"/>
      <c r="F8863" s="11"/>
      <c r="G8863" s="13">
        <f t="shared" si="1"/>
        <v>1281</v>
      </c>
      <c r="H8863" s="13"/>
    </row>
    <row r="8864" ht="22.5" customHeight="1">
      <c r="B8864" s="17"/>
      <c r="C8864" s="17"/>
      <c r="D8864" s="13"/>
      <c r="E8864" s="11"/>
      <c r="F8864" s="11"/>
      <c r="G8864" s="13">
        <f t="shared" si="1"/>
        <v>1281</v>
      </c>
      <c r="H8864" s="13"/>
    </row>
    <row r="8865" ht="22.5" customHeight="1">
      <c r="B8865" s="17"/>
      <c r="C8865" s="17"/>
      <c r="D8865" s="13"/>
      <c r="E8865" s="11"/>
      <c r="F8865" s="11"/>
      <c r="G8865" s="13">
        <f t="shared" si="1"/>
        <v>1281</v>
      </c>
      <c r="H8865" s="13"/>
    </row>
    <row r="8866" ht="22.5" customHeight="1">
      <c r="B8866" s="17"/>
      <c r="C8866" s="17"/>
      <c r="D8866" s="13"/>
      <c r="E8866" s="11"/>
      <c r="F8866" s="11"/>
      <c r="G8866" s="13">
        <f t="shared" si="1"/>
        <v>1281</v>
      </c>
      <c r="H8866" s="13"/>
    </row>
    <row r="8867" ht="22.5" customHeight="1">
      <c r="B8867" s="17"/>
      <c r="C8867" s="17"/>
      <c r="D8867" s="13"/>
      <c r="E8867" s="11"/>
      <c r="F8867" s="11"/>
      <c r="G8867" s="13">
        <f t="shared" si="1"/>
        <v>1281</v>
      </c>
      <c r="H8867" s="13"/>
    </row>
    <row r="8868" ht="22.5" customHeight="1">
      <c r="B8868" s="17"/>
      <c r="C8868" s="17"/>
      <c r="D8868" s="13"/>
      <c r="E8868" s="11"/>
      <c r="F8868" s="11"/>
      <c r="G8868" s="13">
        <f t="shared" si="1"/>
        <v>1281</v>
      </c>
      <c r="H8868" s="13"/>
    </row>
    <row r="8869" ht="22.5" customHeight="1">
      <c r="B8869" s="17"/>
      <c r="C8869" s="17"/>
      <c r="D8869" s="13"/>
      <c r="E8869" s="11"/>
      <c r="F8869" s="11"/>
      <c r="G8869" s="13">
        <f t="shared" si="1"/>
        <v>1281</v>
      </c>
      <c r="H8869" s="13"/>
    </row>
    <row r="8870" ht="22.5" customHeight="1">
      <c r="B8870" s="17"/>
      <c r="C8870" s="17"/>
      <c r="D8870" s="13"/>
      <c r="E8870" s="11"/>
      <c r="F8870" s="11"/>
      <c r="G8870" s="13">
        <f t="shared" si="1"/>
        <v>1281</v>
      </c>
      <c r="H8870" s="13"/>
    </row>
    <row r="8871" ht="22.5" customHeight="1">
      <c r="B8871" s="17"/>
      <c r="C8871" s="17"/>
      <c r="D8871" s="13"/>
      <c r="E8871" s="11"/>
      <c r="F8871" s="11"/>
      <c r="G8871" s="13">
        <f t="shared" si="1"/>
        <v>1281</v>
      </c>
      <c r="H8871" s="13"/>
    </row>
    <row r="8872" ht="22.5" customHeight="1">
      <c r="B8872" s="17"/>
      <c r="C8872" s="17"/>
      <c r="D8872" s="13"/>
      <c r="E8872" s="11"/>
      <c r="F8872" s="11"/>
      <c r="G8872" s="13">
        <f t="shared" si="1"/>
        <v>1281</v>
      </c>
      <c r="H8872" s="13"/>
    </row>
    <row r="8873" ht="22.5" customHeight="1">
      <c r="B8873" s="17"/>
      <c r="C8873" s="17"/>
      <c r="D8873" s="13"/>
      <c r="E8873" s="11"/>
      <c r="F8873" s="11"/>
      <c r="G8873" s="13">
        <f t="shared" si="1"/>
        <v>1281</v>
      </c>
      <c r="H8873" s="13"/>
    </row>
    <row r="8874" ht="22.5" customHeight="1">
      <c r="B8874" s="17"/>
      <c r="C8874" s="17"/>
      <c r="D8874" s="13"/>
      <c r="E8874" s="11"/>
      <c r="F8874" s="11"/>
      <c r="G8874" s="13">
        <f t="shared" si="1"/>
        <v>1281</v>
      </c>
      <c r="H8874" s="13"/>
    </row>
    <row r="8875" ht="22.5" customHeight="1">
      <c r="B8875" s="17"/>
      <c r="C8875" s="17"/>
      <c r="D8875" s="13"/>
      <c r="E8875" s="11"/>
      <c r="F8875" s="11"/>
      <c r="G8875" s="13">
        <f t="shared" si="1"/>
        <v>1281</v>
      </c>
      <c r="H8875" s="13"/>
    </row>
    <row r="8876" ht="22.5" customHeight="1">
      <c r="B8876" s="17"/>
      <c r="C8876" s="17"/>
      <c r="D8876" s="13"/>
      <c r="E8876" s="11"/>
      <c r="F8876" s="11"/>
      <c r="G8876" s="13">
        <f t="shared" si="1"/>
        <v>1281</v>
      </c>
      <c r="H8876" s="13"/>
    </row>
    <row r="8877" ht="22.5" customHeight="1">
      <c r="B8877" s="17"/>
      <c r="C8877" s="17"/>
      <c r="D8877" s="13"/>
      <c r="E8877" s="11"/>
      <c r="F8877" s="11"/>
      <c r="G8877" s="13">
        <f t="shared" si="1"/>
        <v>1281</v>
      </c>
      <c r="H8877" s="13"/>
    </row>
    <row r="8878" ht="22.5" customHeight="1">
      <c r="B8878" s="17"/>
      <c r="C8878" s="17"/>
      <c r="D8878" s="13"/>
      <c r="E8878" s="11"/>
      <c r="F8878" s="11"/>
      <c r="G8878" s="13">
        <f t="shared" si="1"/>
        <v>1281</v>
      </c>
      <c r="H8878" s="13"/>
    </row>
    <row r="8879" ht="22.5" customHeight="1">
      <c r="B8879" s="17"/>
      <c r="C8879" s="17"/>
      <c r="D8879" s="13"/>
      <c r="E8879" s="11"/>
      <c r="F8879" s="11"/>
      <c r="G8879" s="13">
        <f t="shared" si="1"/>
        <v>1281</v>
      </c>
      <c r="H8879" s="13"/>
    </row>
    <row r="8880" ht="22.5" customHeight="1">
      <c r="B8880" s="17"/>
      <c r="C8880" s="17"/>
      <c r="D8880" s="13"/>
      <c r="E8880" s="11"/>
      <c r="F8880" s="11"/>
      <c r="G8880" s="13">
        <f t="shared" si="1"/>
        <v>1281</v>
      </c>
      <c r="H8880" s="13"/>
    </row>
    <row r="8881" ht="22.5" customHeight="1">
      <c r="B8881" s="17"/>
      <c r="C8881" s="17"/>
      <c r="D8881" s="13"/>
      <c r="E8881" s="11"/>
      <c r="F8881" s="11"/>
      <c r="G8881" s="13">
        <f t="shared" si="1"/>
        <v>1281</v>
      </c>
      <c r="H8881" s="13"/>
    </row>
    <row r="8882" ht="22.5" customHeight="1">
      <c r="B8882" s="17"/>
      <c r="C8882" s="17"/>
      <c r="D8882" s="13"/>
      <c r="E8882" s="11"/>
      <c r="F8882" s="11"/>
      <c r="G8882" s="13">
        <f t="shared" si="1"/>
        <v>1281</v>
      </c>
      <c r="H8882" s="13"/>
    </row>
    <row r="8883" ht="22.5" customHeight="1">
      <c r="B8883" s="17"/>
      <c r="C8883" s="17"/>
      <c r="D8883" s="13"/>
      <c r="E8883" s="11"/>
      <c r="F8883" s="11"/>
      <c r="G8883" s="13">
        <f t="shared" si="1"/>
        <v>1281</v>
      </c>
      <c r="H8883" s="13"/>
    </row>
    <row r="8884" ht="22.5" customHeight="1">
      <c r="B8884" s="17"/>
      <c r="C8884" s="17"/>
      <c r="D8884" s="13"/>
      <c r="E8884" s="11"/>
      <c r="F8884" s="11"/>
      <c r="G8884" s="13">
        <f t="shared" si="1"/>
        <v>1281</v>
      </c>
      <c r="H8884" s="13"/>
    </row>
    <row r="8885" ht="22.5" customHeight="1">
      <c r="B8885" s="17"/>
      <c r="C8885" s="17"/>
      <c r="D8885" s="13"/>
      <c r="E8885" s="11"/>
      <c r="F8885" s="11"/>
      <c r="G8885" s="13">
        <f t="shared" si="1"/>
        <v>1281</v>
      </c>
      <c r="H8885" s="13"/>
    </row>
    <row r="8886" ht="22.5" customHeight="1">
      <c r="B8886" s="17"/>
      <c r="C8886" s="17"/>
      <c r="D8886" s="13"/>
      <c r="E8886" s="11"/>
      <c r="F8886" s="11"/>
      <c r="G8886" s="13">
        <f t="shared" si="1"/>
        <v>1281</v>
      </c>
      <c r="H8886" s="13"/>
    </row>
    <row r="8887" ht="22.5" customHeight="1">
      <c r="B8887" s="17"/>
      <c r="C8887" s="17"/>
      <c r="D8887" s="13"/>
      <c r="E8887" s="11"/>
      <c r="F8887" s="11"/>
      <c r="G8887" s="13">
        <f t="shared" si="1"/>
        <v>1281</v>
      </c>
      <c r="H8887" s="13"/>
    </row>
    <row r="8888" ht="22.5" customHeight="1">
      <c r="B8888" s="17"/>
      <c r="C8888" s="17"/>
      <c r="D8888" s="13"/>
      <c r="E8888" s="11"/>
      <c r="F8888" s="11"/>
      <c r="G8888" s="13">
        <f t="shared" si="1"/>
        <v>1281</v>
      </c>
      <c r="H8888" s="13"/>
    </row>
    <row r="8889" ht="22.5" customHeight="1">
      <c r="B8889" s="17"/>
      <c r="C8889" s="17"/>
      <c r="D8889" s="13"/>
      <c r="E8889" s="11"/>
      <c r="F8889" s="11"/>
      <c r="G8889" s="13">
        <f t="shared" si="1"/>
        <v>1281</v>
      </c>
      <c r="H8889" s="13"/>
    </row>
    <row r="8890" ht="22.5" customHeight="1">
      <c r="B8890" s="17"/>
      <c r="C8890" s="17"/>
      <c r="D8890" s="13"/>
      <c r="E8890" s="11"/>
      <c r="F8890" s="11"/>
      <c r="G8890" s="13">
        <f t="shared" si="1"/>
        <v>1281</v>
      </c>
      <c r="H8890" s="13"/>
    </row>
    <row r="8891" ht="22.5" customHeight="1">
      <c r="B8891" s="17"/>
      <c r="C8891" s="17"/>
      <c r="D8891" s="13"/>
      <c r="E8891" s="11"/>
      <c r="F8891" s="11"/>
      <c r="G8891" s="13">
        <f t="shared" si="1"/>
        <v>1281</v>
      </c>
      <c r="H8891" s="13"/>
    </row>
    <row r="8892" ht="22.5" customHeight="1">
      <c r="B8892" s="17"/>
      <c r="C8892" s="17"/>
      <c r="D8892" s="13"/>
      <c r="E8892" s="11"/>
      <c r="F8892" s="11"/>
      <c r="G8892" s="13">
        <f t="shared" si="1"/>
        <v>1281</v>
      </c>
      <c r="H8892" s="13"/>
    </row>
    <row r="8893" ht="22.5" customHeight="1">
      <c r="B8893" s="17"/>
      <c r="C8893" s="17"/>
      <c r="D8893" s="13"/>
      <c r="E8893" s="11"/>
      <c r="F8893" s="11"/>
      <c r="G8893" s="13">
        <f t="shared" si="1"/>
        <v>1281</v>
      </c>
      <c r="H8893" s="13"/>
    </row>
    <row r="8894" ht="22.5" customHeight="1">
      <c r="B8894" s="17"/>
      <c r="C8894" s="17"/>
      <c r="D8894" s="13"/>
      <c r="E8894" s="11"/>
      <c r="F8894" s="11"/>
      <c r="G8894" s="13">
        <f t="shared" si="1"/>
        <v>1281</v>
      </c>
      <c r="H8894" s="13"/>
    </row>
    <row r="8895" ht="22.5" customHeight="1">
      <c r="B8895" s="17"/>
      <c r="C8895" s="17"/>
      <c r="D8895" s="13"/>
      <c r="E8895" s="11"/>
      <c r="F8895" s="11"/>
      <c r="G8895" s="13">
        <f t="shared" si="1"/>
        <v>1281</v>
      </c>
      <c r="H8895" s="13"/>
    </row>
    <row r="8896" ht="22.5" customHeight="1">
      <c r="B8896" s="17"/>
      <c r="C8896" s="17"/>
      <c r="D8896" s="13"/>
      <c r="E8896" s="11"/>
      <c r="F8896" s="11"/>
      <c r="G8896" s="13">
        <f t="shared" si="1"/>
        <v>1281</v>
      </c>
      <c r="H8896" s="13"/>
    </row>
    <row r="8897" ht="22.5" customHeight="1">
      <c r="B8897" s="17"/>
      <c r="C8897" s="17"/>
      <c r="D8897" s="13"/>
      <c r="E8897" s="11"/>
      <c r="F8897" s="11"/>
      <c r="G8897" s="13">
        <f t="shared" si="1"/>
        <v>1281</v>
      </c>
      <c r="H8897" s="13"/>
    </row>
    <row r="8898" ht="22.5" customHeight="1">
      <c r="B8898" s="17"/>
      <c r="C8898" s="17"/>
      <c r="D8898" s="13"/>
      <c r="E8898" s="11"/>
      <c r="F8898" s="11"/>
      <c r="G8898" s="13">
        <f t="shared" si="1"/>
        <v>1281</v>
      </c>
      <c r="H8898" s="13"/>
    </row>
    <row r="8899" ht="22.5" customHeight="1">
      <c r="B8899" s="17"/>
      <c r="C8899" s="17"/>
      <c r="D8899" s="13"/>
      <c r="E8899" s="11"/>
      <c r="F8899" s="11"/>
      <c r="G8899" s="13">
        <f t="shared" si="1"/>
        <v>1281</v>
      </c>
      <c r="H8899" s="13"/>
    </row>
    <row r="8900" ht="22.5" customHeight="1">
      <c r="B8900" s="17"/>
      <c r="C8900" s="17"/>
      <c r="D8900" s="13"/>
      <c r="E8900" s="11"/>
      <c r="F8900" s="11"/>
      <c r="G8900" s="13">
        <f t="shared" si="1"/>
        <v>1281</v>
      </c>
      <c r="H8900" s="13"/>
    </row>
    <row r="8901" ht="22.5" customHeight="1">
      <c r="B8901" s="17"/>
      <c r="C8901" s="17"/>
      <c r="D8901" s="13"/>
      <c r="E8901" s="11"/>
      <c r="F8901" s="11"/>
      <c r="G8901" s="13">
        <f t="shared" si="1"/>
        <v>1281</v>
      </c>
      <c r="H8901" s="13"/>
    </row>
    <row r="8902" ht="22.5" customHeight="1">
      <c r="B8902" s="17"/>
      <c r="C8902" s="17"/>
      <c r="D8902" s="13"/>
      <c r="E8902" s="11"/>
      <c r="F8902" s="11"/>
      <c r="G8902" s="13">
        <f t="shared" si="1"/>
        <v>1281</v>
      </c>
      <c r="H8902" s="13"/>
    </row>
    <row r="8903" ht="22.5" customHeight="1">
      <c r="B8903" s="17"/>
      <c r="C8903" s="17"/>
      <c r="D8903" s="13"/>
      <c r="E8903" s="11"/>
      <c r="F8903" s="11"/>
      <c r="G8903" s="13">
        <f t="shared" si="1"/>
        <v>1281</v>
      </c>
      <c r="H8903" s="13"/>
    </row>
    <row r="8904" ht="22.5" customHeight="1">
      <c r="B8904" s="17"/>
      <c r="C8904" s="17"/>
      <c r="D8904" s="13"/>
      <c r="E8904" s="11"/>
      <c r="F8904" s="11"/>
      <c r="G8904" s="13">
        <f t="shared" si="1"/>
        <v>1281</v>
      </c>
      <c r="H8904" s="13"/>
    </row>
    <row r="8905" ht="22.5" customHeight="1">
      <c r="B8905" s="17"/>
      <c r="C8905" s="17"/>
      <c r="D8905" s="13"/>
      <c r="E8905" s="11"/>
      <c r="F8905" s="11"/>
      <c r="G8905" s="13">
        <f t="shared" si="1"/>
        <v>1281</v>
      </c>
      <c r="H8905" s="13"/>
    </row>
    <row r="8906" ht="22.5" customHeight="1">
      <c r="B8906" s="17"/>
      <c r="C8906" s="17"/>
      <c r="D8906" s="13"/>
      <c r="E8906" s="11"/>
      <c r="F8906" s="11"/>
      <c r="G8906" s="13">
        <f t="shared" si="1"/>
        <v>1281</v>
      </c>
      <c r="H8906" s="13"/>
    </row>
    <row r="8907" ht="22.5" customHeight="1">
      <c r="B8907" s="17"/>
      <c r="C8907" s="17"/>
      <c r="D8907" s="13"/>
      <c r="E8907" s="11"/>
      <c r="F8907" s="11"/>
      <c r="G8907" s="13">
        <f t="shared" si="1"/>
        <v>1281</v>
      </c>
      <c r="H8907" s="13"/>
    </row>
    <row r="8908" ht="22.5" customHeight="1">
      <c r="B8908" s="17"/>
      <c r="C8908" s="17"/>
      <c r="D8908" s="13"/>
      <c r="E8908" s="11"/>
      <c r="F8908" s="11"/>
      <c r="G8908" s="13">
        <f t="shared" si="1"/>
        <v>1281</v>
      </c>
      <c r="H8908" s="13"/>
    </row>
    <row r="8909" ht="22.5" customHeight="1">
      <c r="B8909" s="17"/>
      <c r="C8909" s="17"/>
      <c r="D8909" s="13"/>
      <c r="E8909" s="11"/>
      <c r="F8909" s="11"/>
      <c r="G8909" s="13">
        <f t="shared" si="1"/>
        <v>1281</v>
      </c>
      <c r="H8909" s="13"/>
    </row>
    <row r="8910" ht="22.5" customHeight="1">
      <c r="B8910" s="17"/>
      <c r="C8910" s="17"/>
      <c r="D8910" s="13"/>
      <c r="E8910" s="11"/>
      <c r="F8910" s="11"/>
      <c r="G8910" s="13">
        <f t="shared" si="1"/>
        <v>1281</v>
      </c>
      <c r="H8910" s="13"/>
    </row>
    <row r="8911" ht="22.5" customHeight="1">
      <c r="B8911" s="17"/>
      <c r="C8911" s="17"/>
      <c r="D8911" s="13"/>
      <c r="E8911" s="11"/>
      <c r="F8911" s="11"/>
      <c r="G8911" s="13">
        <f t="shared" si="1"/>
        <v>1281</v>
      </c>
      <c r="H8911" s="13"/>
    </row>
    <row r="8912" ht="22.5" customHeight="1">
      <c r="B8912" s="17"/>
      <c r="C8912" s="17"/>
      <c r="D8912" s="13"/>
      <c r="E8912" s="11"/>
      <c r="F8912" s="11"/>
      <c r="G8912" s="13">
        <f t="shared" si="1"/>
        <v>1281</v>
      </c>
      <c r="H8912" s="13"/>
    </row>
    <row r="8913" ht="22.5" customHeight="1">
      <c r="B8913" s="17"/>
      <c r="C8913" s="17"/>
      <c r="D8913" s="13"/>
      <c r="E8913" s="11"/>
      <c r="F8913" s="11"/>
      <c r="G8913" s="13">
        <f t="shared" si="1"/>
        <v>1281</v>
      </c>
      <c r="H8913" s="13"/>
    </row>
    <row r="8914" ht="22.5" customHeight="1">
      <c r="B8914" s="17"/>
      <c r="C8914" s="17"/>
      <c r="D8914" s="13"/>
      <c r="E8914" s="11"/>
      <c r="F8914" s="11"/>
      <c r="G8914" s="13">
        <f t="shared" si="1"/>
        <v>1281</v>
      </c>
      <c r="H8914" s="13"/>
    </row>
    <row r="8915" ht="22.5" customHeight="1">
      <c r="B8915" s="17"/>
      <c r="C8915" s="17"/>
      <c r="D8915" s="13"/>
      <c r="E8915" s="11"/>
      <c r="F8915" s="11"/>
      <c r="G8915" s="13">
        <f t="shared" si="1"/>
        <v>1281</v>
      </c>
      <c r="H8915" s="13"/>
    </row>
    <row r="8916" ht="22.5" customHeight="1">
      <c r="B8916" s="17"/>
      <c r="C8916" s="17"/>
      <c r="D8916" s="13"/>
      <c r="E8916" s="11"/>
      <c r="F8916" s="11"/>
      <c r="G8916" s="13">
        <f t="shared" si="1"/>
        <v>1281</v>
      </c>
      <c r="H8916" s="13"/>
    </row>
    <row r="8917" ht="22.5" customHeight="1">
      <c r="B8917" s="17"/>
      <c r="C8917" s="17"/>
      <c r="D8917" s="13"/>
      <c r="E8917" s="11"/>
      <c r="F8917" s="11"/>
      <c r="G8917" s="13">
        <f t="shared" si="1"/>
        <v>1281</v>
      </c>
      <c r="H8917" s="13"/>
    </row>
    <row r="8918" ht="22.5" customHeight="1">
      <c r="B8918" s="17"/>
      <c r="C8918" s="17"/>
      <c r="D8918" s="13"/>
      <c r="E8918" s="11"/>
      <c r="F8918" s="11"/>
      <c r="G8918" s="13">
        <f t="shared" si="1"/>
        <v>1281</v>
      </c>
      <c r="H8918" s="13"/>
    </row>
    <row r="8919" ht="22.5" customHeight="1">
      <c r="B8919" s="17"/>
      <c r="C8919" s="17"/>
      <c r="D8919" s="13"/>
      <c r="E8919" s="11"/>
      <c r="F8919" s="11"/>
      <c r="G8919" s="13">
        <f t="shared" si="1"/>
        <v>1281</v>
      </c>
      <c r="H8919" s="13"/>
    </row>
    <row r="8920" ht="22.5" customHeight="1">
      <c r="B8920" s="17"/>
      <c r="C8920" s="17"/>
      <c r="D8920" s="13"/>
      <c r="E8920" s="11"/>
      <c r="F8920" s="11"/>
      <c r="G8920" s="13">
        <f t="shared" si="1"/>
        <v>1281</v>
      </c>
      <c r="H8920" s="13"/>
    </row>
    <row r="8921" ht="22.5" customHeight="1">
      <c r="B8921" s="17"/>
      <c r="C8921" s="17"/>
      <c r="D8921" s="13"/>
      <c r="E8921" s="11"/>
      <c r="F8921" s="11"/>
      <c r="G8921" s="13">
        <f t="shared" si="1"/>
        <v>1281</v>
      </c>
      <c r="H8921" s="13"/>
    </row>
    <row r="8922" ht="22.5" customHeight="1">
      <c r="B8922" s="17"/>
      <c r="C8922" s="17"/>
      <c r="D8922" s="13"/>
      <c r="E8922" s="11"/>
      <c r="F8922" s="11"/>
      <c r="G8922" s="13">
        <f t="shared" si="1"/>
        <v>1281</v>
      </c>
      <c r="H8922" s="13"/>
    </row>
    <row r="8923" ht="22.5" customHeight="1">
      <c r="B8923" s="17"/>
      <c r="C8923" s="17"/>
      <c r="D8923" s="13"/>
      <c r="E8923" s="11"/>
      <c r="F8923" s="11"/>
      <c r="G8923" s="13">
        <f t="shared" si="1"/>
        <v>1281</v>
      </c>
      <c r="H8923" s="13"/>
    </row>
    <row r="8924" ht="22.5" customHeight="1">
      <c r="B8924" s="17"/>
      <c r="C8924" s="17"/>
      <c r="D8924" s="13"/>
      <c r="E8924" s="11"/>
      <c r="F8924" s="11"/>
      <c r="G8924" s="13">
        <f t="shared" si="1"/>
        <v>1281</v>
      </c>
      <c r="H8924" s="13"/>
    </row>
    <row r="8925" ht="22.5" customHeight="1">
      <c r="B8925" s="17"/>
      <c r="C8925" s="17"/>
      <c r="D8925" s="13"/>
      <c r="E8925" s="11"/>
      <c r="F8925" s="11"/>
      <c r="G8925" s="13">
        <f t="shared" si="1"/>
        <v>1281</v>
      </c>
      <c r="H8925" s="13"/>
    </row>
    <row r="8926" ht="22.5" customHeight="1">
      <c r="B8926" s="17"/>
      <c r="C8926" s="17"/>
      <c r="D8926" s="13"/>
      <c r="E8926" s="11"/>
      <c r="F8926" s="11"/>
      <c r="G8926" s="13">
        <f t="shared" si="1"/>
        <v>1281</v>
      </c>
      <c r="H8926" s="13"/>
    </row>
    <row r="8927" ht="22.5" customHeight="1">
      <c r="B8927" s="17"/>
      <c r="C8927" s="17"/>
      <c r="D8927" s="13"/>
      <c r="E8927" s="11"/>
      <c r="F8927" s="11"/>
      <c r="G8927" s="13">
        <f t="shared" si="1"/>
        <v>1281</v>
      </c>
      <c r="H8927" s="13"/>
    </row>
    <row r="8928" ht="22.5" customHeight="1">
      <c r="B8928" s="17"/>
      <c r="C8928" s="17"/>
      <c r="D8928" s="13"/>
      <c r="E8928" s="11"/>
      <c r="F8928" s="11"/>
      <c r="G8928" s="13">
        <f t="shared" si="1"/>
        <v>1281</v>
      </c>
      <c r="H8928" s="13"/>
    </row>
    <row r="8929" ht="22.5" customHeight="1">
      <c r="B8929" s="17"/>
      <c r="C8929" s="17"/>
      <c r="D8929" s="13"/>
      <c r="E8929" s="11"/>
      <c r="F8929" s="11"/>
      <c r="G8929" s="13">
        <f t="shared" si="1"/>
        <v>1281</v>
      </c>
      <c r="H8929" s="13"/>
    </row>
    <row r="8930" ht="22.5" customHeight="1">
      <c r="B8930" s="17"/>
      <c r="C8930" s="17"/>
      <c r="D8930" s="13"/>
      <c r="E8930" s="11"/>
      <c r="F8930" s="11"/>
      <c r="G8930" s="13">
        <f t="shared" si="1"/>
        <v>1281</v>
      </c>
      <c r="H8930" s="13"/>
    </row>
    <row r="8931" ht="22.5" customHeight="1">
      <c r="B8931" s="17"/>
      <c r="C8931" s="17"/>
      <c r="D8931" s="13"/>
      <c r="E8931" s="11"/>
      <c r="F8931" s="11"/>
      <c r="G8931" s="13">
        <f t="shared" si="1"/>
        <v>1281</v>
      </c>
      <c r="H8931" s="13"/>
    </row>
    <row r="8932" ht="22.5" customHeight="1">
      <c r="B8932" s="17"/>
      <c r="C8932" s="17"/>
      <c r="D8932" s="13"/>
      <c r="E8932" s="11"/>
      <c r="F8932" s="11"/>
      <c r="G8932" s="13">
        <f t="shared" si="1"/>
        <v>1281</v>
      </c>
      <c r="H8932" s="13"/>
    </row>
    <row r="8933" ht="22.5" customHeight="1">
      <c r="B8933" s="17"/>
      <c r="C8933" s="17"/>
      <c r="D8933" s="13"/>
      <c r="E8933" s="11"/>
      <c r="F8933" s="11"/>
      <c r="G8933" s="13">
        <f t="shared" si="1"/>
        <v>1281</v>
      </c>
      <c r="H8933" s="13"/>
    </row>
    <row r="8934" ht="22.5" customHeight="1">
      <c r="B8934" s="17"/>
      <c r="C8934" s="17"/>
      <c r="D8934" s="13"/>
      <c r="E8934" s="11"/>
      <c r="F8934" s="11"/>
      <c r="G8934" s="13">
        <f t="shared" si="1"/>
        <v>1281</v>
      </c>
      <c r="H8934" s="13"/>
    </row>
    <row r="8935" ht="22.5" customHeight="1">
      <c r="B8935" s="17"/>
      <c r="C8935" s="17"/>
      <c r="D8935" s="13"/>
      <c r="E8935" s="11"/>
      <c r="F8935" s="11"/>
      <c r="G8935" s="13">
        <f t="shared" si="1"/>
        <v>1281</v>
      </c>
      <c r="H8935" s="13"/>
    </row>
    <row r="8936" ht="22.5" customHeight="1">
      <c r="B8936" s="17"/>
      <c r="C8936" s="17"/>
      <c r="D8936" s="13"/>
      <c r="E8936" s="11"/>
      <c r="F8936" s="11"/>
      <c r="G8936" s="13">
        <f t="shared" si="1"/>
        <v>1281</v>
      </c>
      <c r="H8936" s="13"/>
    </row>
    <row r="8937" ht="22.5" customHeight="1">
      <c r="B8937" s="17"/>
      <c r="C8937" s="17"/>
      <c r="D8937" s="13"/>
      <c r="E8937" s="11"/>
      <c r="F8937" s="11"/>
      <c r="G8937" s="13">
        <f t="shared" si="1"/>
        <v>1281</v>
      </c>
      <c r="H8937" s="13"/>
    </row>
    <row r="8938" ht="22.5" customHeight="1">
      <c r="B8938" s="17"/>
      <c r="C8938" s="17"/>
      <c r="D8938" s="13"/>
      <c r="E8938" s="11"/>
      <c r="F8938" s="11"/>
      <c r="G8938" s="13">
        <f t="shared" si="1"/>
        <v>1281</v>
      </c>
      <c r="H8938" s="13"/>
    </row>
    <row r="8939" ht="22.5" customHeight="1">
      <c r="B8939" s="17"/>
      <c r="C8939" s="17"/>
      <c r="D8939" s="13"/>
      <c r="E8939" s="11"/>
      <c r="F8939" s="11"/>
      <c r="G8939" s="13">
        <f t="shared" si="1"/>
        <v>1281</v>
      </c>
      <c r="H8939" s="13"/>
    </row>
    <row r="8940" ht="22.5" customHeight="1">
      <c r="B8940" s="17"/>
      <c r="C8940" s="17"/>
      <c r="D8940" s="13"/>
      <c r="E8940" s="11"/>
      <c r="F8940" s="11"/>
      <c r="G8940" s="13">
        <f t="shared" si="1"/>
        <v>1281</v>
      </c>
      <c r="H8940" s="13"/>
    </row>
    <row r="8941" ht="22.5" customHeight="1">
      <c r="B8941" s="17"/>
      <c r="C8941" s="17"/>
      <c r="D8941" s="13"/>
      <c r="E8941" s="11"/>
      <c r="F8941" s="11"/>
      <c r="G8941" s="13">
        <f t="shared" si="1"/>
        <v>1281</v>
      </c>
      <c r="H8941" s="13"/>
    </row>
    <row r="8942" ht="22.5" customHeight="1">
      <c r="B8942" s="17"/>
      <c r="C8942" s="17"/>
      <c r="D8942" s="13"/>
      <c r="E8942" s="11"/>
      <c r="F8942" s="11"/>
      <c r="G8942" s="13">
        <f t="shared" si="1"/>
        <v>1281</v>
      </c>
      <c r="H8942" s="13"/>
    </row>
    <row r="8943" ht="22.5" customHeight="1">
      <c r="B8943" s="17"/>
      <c r="C8943" s="17"/>
      <c r="D8943" s="13"/>
      <c r="E8943" s="11"/>
      <c r="F8943" s="11"/>
      <c r="G8943" s="13">
        <f t="shared" si="1"/>
        <v>1281</v>
      </c>
      <c r="H8943" s="13"/>
    </row>
    <row r="8944" ht="22.5" customHeight="1">
      <c r="B8944" s="17"/>
      <c r="C8944" s="17"/>
      <c r="D8944" s="13"/>
      <c r="E8944" s="11"/>
      <c r="F8944" s="11"/>
      <c r="G8944" s="13">
        <f t="shared" si="1"/>
        <v>1281</v>
      </c>
      <c r="H8944" s="13"/>
    </row>
    <row r="8945" ht="22.5" customHeight="1">
      <c r="B8945" s="17"/>
      <c r="C8945" s="17"/>
      <c r="D8945" s="13"/>
      <c r="E8945" s="11"/>
      <c r="F8945" s="11"/>
      <c r="G8945" s="13">
        <f t="shared" si="1"/>
        <v>1281</v>
      </c>
      <c r="H8945" s="13"/>
    </row>
    <row r="8946" ht="22.5" customHeight="1">
      <c r="B8946" s="17"/>
      <c r="C8946" s="17"/>
      <c r="D8946" s="13"/>
      <c r="E8946" s="11"/>
      <c r="F8946" s="11"/>
      <c r="G8946" s="13">
        <f t="shared" si="1"/>
        <v>1281</v>
      </c>
      <c r="H8946" s="13"/>
    </row>
    <row r="8947" ht="22.5" customHeight="1">
      <c r="B8947" s="17"/>
      <c r="C8947" s="17"/>
      <c r="D8947" s="13"/>
      <c r="E8947" s="11"/>
      <c r="F8947" s="11"/>
      <c r="G8947" s="13">
        <f t="shared" si="1"/>
        <v>1281</v>
      </c>
      <c r="H8947" s="13"/>
    </row>
    <row r="8948" ht="22.5" customHeight="1">
      <c r="B8948" s="17"/>
      <c r="C8948" s="17"/>
      <c r="D8948" s="13"/>
      <c r="E8948" s="11"/>
      <c r="F8948" s="11"/>
      <c r="G8948" s="13">
        <f t="shared" si="1"/>
        <v>1281</v>
      </c>
      <c r="H8948" s="13"/>
    </row>
    <row r="8949" ht="22.5" customHeight="1">
      <c r="B8949" s="17"/>
      <c r="C8949" s="17"/>
      <c r="D8949" s="13"/>
      <c r="E8949" s="11"/>
      <c r="F8949" s="11"/>
      <c r="G8949" s="13">
        <f t="shared" si="1"/>
        <v>1281</v>
      </c>
      <c r="H8949" s="13"/>
    </row>
    <row r="8950" ht="22.5" customHeight="1">
      <c r="B8950" s="17"/>
      <c r="C8950" s="17"/>
      <c r="D8950" s="13"/>
      <c r="E8950" s="11"/>
      <c r="F8950" s="11"/>
      <c r="G8950" s="13">
        <f t="shared" si="1"/>
        <v>1281</v>
      </c>
      <c r="H8950" s="13"/>
    </row>
    <row r="8951" ht="22.5" customHeight="1">
      <c r="B8951" s="17"/>
      <c r="C8951" s="17"/>
      <c r="D8951" s="13"/>
      <c r="E8951" s="11"/>
      <c r="F8951" s="11"/>
      <c r="G8951" s="13">
        <f t="shared" si="1"/>
        <v>1281</v>
      </c>
      <c r="H8951" s="13"/>
    </row>
    <row r="8952" ht="22.5" customHeight="1">
      <c r="B8952" s="17"/>
      <c r="C8952" s="17"/>
      <c r="D8952" s="13"/>
      <c r="E8952" s="11"/>
      <c r="F8952" s="11"/>
      <c r="G8952" s="13">
        <f t="shared" si="1"/>
        <v>1281</v>
      </c>
      <c r="H8952" s="13"/>
    </row>
    <row r="8953" ht="22.5" customHeight="1">
      <c r="B8953" s="17"/>
      <c r="C8953" s="17"/>
      <c r="D8953" s="13"/>
      <c r="E8953" s="11"/>
      <c r="F8953" s="11"/>
      <c r="G8953" s="13">
        <f t="shared" si="1"/>
        <v>1281</v>
      </c>
      <c r="H8953" s="13"/>
    </row>
    <row r="8954" ht="22.5" customHeight="1">
      <c r="B8954" s="17"/>
      <c r="C8954" s="17"/>
      <c r="D8954" s="13"/>
      <c r="E8954" s="11"/>
      <c r="F8954" s="11"/>
      <c r="G8954" s="13">
        <f t="shared" si="1"/>
        <v>1281</v>
      </c>
      <c r="H8954" s="13"/>
    </row>
    <row r="8955" ht="22.5" customHeight="1">
      <c r="B8955" s="17"/>
      <c r="C8955" s="17"/>
      <c r="D8955" s="13"/>
      <c r="E8955" s="11"/>
      <c r="F8955" s="11"/>
      <c r="G8955" s="13">
        <f t="shared" si="1"/>
        <v>1281</v>
      </c>
      <c r="H8955" s="13"/>
    </row>
    <row r="8956" ht="22.5" customHeight="1">
      <c r="B8956" s="17"/>
      <c r="C8956" s="17"/>
      <c r="D8956" s="13"/>
      <c r="E8956" s="11"/>
      <c r="F8956" s="11"/>
      <c r="G8956" s="13">
        <f t="shared" si="1"/>
        <v>1281</v>
      </c>
      <c r="H8956" s="13"/>
    </row>
    <row r="8957" ht="22.5" customHeight="1">
      <c r="B8957" s="17"/>
      <c r="C8957" s="17"/>
      <c r="D8957" s="13"/>
      <c r="E8957" s="11"/>
      <c r="F8957" s="11"/>
      <c r="G8957" s="13">
        <f t="shared" si="1"/>
        <v>1281</v>
      </c>
      <c r="H8957" s="13"/>
    </row>
    <row r="8958" ht="22.5" customHeight="1">
      <c r="B8958" s="17"/>
      <c r="C8958" s="17"/>
      <c r="D8958" s="13"/>
      <c r="E8958" s="11"/>
      <c r="F8958" s="11"/>
      <c r="G8958" s="13">
        <f t="shared" si="1"/>
        <v>1281</v>
      </c>
      <c r="H8958" s="13"/>
    </row>
    <row r="8959" ht="22.5" customHeight="1">
      <c r="B8959" s="17"/>
      <c r="C8959" s="17"/>
      <c r="D8959" s="13"/>
      <c r="E8959" s="11"/>
      <c r="F8959" s="11"/>
      <c r="G8959" s="13">
        <f t="shared" si="1"/>
        <v>1281</v>
      </c>
      <c r="H8959" s="13"/>
    </row>
    <row r="8960" ht="22.5" customHeight="1">
      <c r="B8960" s="17"/>
      <c r="C8960" s="17"/>
      <c r="D8960" s="13"/>
      <c r="E8960" s="11"/>
      <c r="F8960" s="11"/>
      <c r="G8960" s="13">
        <f t="shared" si="1"/>
        <v>1281</v>
      </c>
      <c r="H8960" s="13"/>
    </row>
    <row r="8961" ht="22.5" customHeight="1">
      <c r="B8961" s="17"/>
      <c r="C8961" s="17"/>
      <c r="D8961" s="13"/>
      <c r="E8961" s="11"/>
      <c r="F8961" s="11"/>
      <c r="G8961" s="13">
        <f t="shared" si="1"/>
        <v>1281</v>
      </c>
      <c r="H8961" s="13"/>
    </row>
    <row r="8962" ht="22.5" customHeight="1">
      <c r="B8962" s="17"/>
      <c r="C8962" s="17"/>
      <c r="D8962" s="13"/>
      <c r="E8962" s="11"/>
      <c r="F8962" s="11"/>
      <c r="G8962" s="13">
        <f t="shared" si="1"/>
        <v>1281</v>
      </c>
      <c r="H8962" s="13"/>
    </row>
    <row r="8963" ht="22.5" customHeight="1">
      <c r="B8963" s="17"/>
      <c r="C8963" s="17"/>
      <c r="D8963" s="13"/>
      <c r="E8963" s="11"/>
      <c r="F8963" s="11"/>
      <c r="G8963" s="13">
        <f t="shared" si="1"/>
        <v>1281</v>
      </c>
      <c r="H8963" s="13"/>
    </row>
    <row r="8964" ht="22.5" customHeight="1">
      <c r="B8964" s="17"/>
      <c r="C8964" s="17"/>
      <c r="D8964" s="13"/>
      <c r="E8964" s="11"/>
      <c r="F8964" s="11"/>
      <c r="G8964" s="13">
        <f t="shared" si="1"/>
        <v>1281</v>
      </c>
      <c r="H8964" s="13"/>
    </row>
    <row r="8965" ht="22.5" customHeight="1">
      <c r="B8965" s="17"/>
      <c r="C8965" s="17"/>
      <c r="D8965" s="13"/>
      <c r="E8965" s="11"/>
      <c r="F8965" s="11"/>
      <c r="G8965" s="13">
        <f t="shared" si="1"/>
        <v>1281</v>
      </c>
      <c r="H8965" s="13"/>
    </row>
    <row r="8966" ht="22.5" customHeight="1">
      <c r="B8966" s="17"/>
      <c r="C8966" s="17"/>
      <c r="D8966" s="13"/>
      <c r="E8966" s="11"/>
      <c r="F8966" s="11"/>
      <c r="G8966" s="13">
        <f t="shared" si="1"/>
        <v>1281</v>
      </c>
      <c r="H8966" s="13"/>
    </row>
    <row r="8967" ht="22.5" customHeight="1">
      <c r="B8967" s="17"/>
      <c r="C8967" s="17"/>
      <c r="D8967" s="13"/>
      <c r="E8967" s="11"/>
      <c r="F8967" s="11"/>
      <c r="G8967" s="13">
        <f t="shared" si="1"/>
        <v>1281</v>
      </c>
      <c r="H8967" s="13"/>
    </row>
    <row r="8968" ht="22.5" customHeight="1">
      <c r="B8968" s="17"/>
      <c r="C8968" s="17"/>
      <c r="D8968" s="13"/>
      <c r="E8968" s="11"/>
      <c r="F8968" s="11"/>
      <c r="G8968" s="13">
        <f t="shared" si="1"/>
        <v>1281</v>
      </c>
      <c r="H8968" s="13"/>
    </row>
    <row r="8969" ht="22.5" customHeight="1">
      <c r="B8969" s="17"/>
      <c r="C8969" s="17"/>
      <c r="D8969" s="13"/>
      <c r="E8969" s="11"/>
      <c r="F8969" s="11"/>
      <c r="G8969" s="13">
        <f t="shared" si="1"/>
        <v>1281</v>
      </c>
      <c r="H8969" s="13"/>
    </row>
    <row r="8970" ht="22.5" customHeight="1">
      <c r="B8970" s="17"/>
      <c r="C8970" s="17"/>
      <c r="D8970" s="13"/>
      <c r="E8970" s="11"/>
      <c r="F8970" s="11"/>
      <c r="G8970" s="13">
        <f t="shared" si="1"/>
        <v>1281</v>
      </c>
      <c r="H8970" s="13"/>
    </row>
    <row r="8971" ht="22.5" customHeight="1">
      <c r="B8971" s="17"/>
      <c r="C8971" s="17"/>
      <c r="D8971" s="13"/>
      <c r="E8971" s="11"/>
      <c r="F8971" s="11"/>
      <c r="G8971" s="13">
        <f t="shared" si="1"/>
        <v>1281</v>
      </c>
      <c r="H8971" s="13"/>
    </row>
    <row r="8972" ht="22.5" customHeight="1">
      <c r="B8972" s="17"/>
      <c r="C8972" s="17"/>
      <c r="D8972" s="13"/>
      <c r="E8972" s="11"/>
      <c r="F8972" s="11"/>
      <c r="G8972" s="13">
        <f t="shared" si="1"/>
        <v>1281</v>
      </c>
      <c r="H8972" s="13"/>
    </row>
    <row r="8973" ht="22.5" customHeight="1">
      <c r="B8973" s="17"/>
      <c r="C8973" s="17"/>
      <c r="D8973" s="13"/>
      <c r="E8973" s="11"/>
      <c r="F8973" s="11"/>
      <c r="G8973" s="13">
        <f t="shared" si="1"/>
        <v>1281</v>
      </c>
      <c r="H8973" s="13"/>
    </row>
    <row r="8974" ht="22.5" customHeight="1">
      <c r="B8974" s="17"/>
      <c r="C8974" s="17"/>
      <c r="D8974" s="13"/>
      <c r="E8974" s="11"/>
      <c r="F8974" s="11"/>
      <c r="G8974" s="13">
        <f t="shared" si="1"/>
        <v>1281</v>
      </c>
      <c r="H8974" s="13"/>
    </row>
    <row r="8975" ht="22.5" customHeight="1">
      <c r="B8975" s="17"/>
      <c r="C8975" s="17"/>
      <c r="D8975" s="13"/>
      <c r="E8975" s="11"/>
      <c r="F8975" s="11"/>
      <c r="G8975" s="13">
        <f t="shared" si="1"/>
        <v>1281</v>
      </c>
      <c r="H8975" s="13"/>
    </row>
    <row r="8976" ht="22.5" customHeight="1">
      <c r="B8976" s="17"/>
      <c r="C8976" s="17"/>
      <c r="D8976" s="13"/>
      <c r="E8976" s="11"/>
      <c r="F8976" s="11"/>
      <c r="G8976" s="13">
        <f t="shared" si="1"/>
        <v>1281</v>
      </c>
      <c r="H8976" s="13"/>
    </row>
    <row r="8977" ht="22.5" customHeight="1">
      <c r="B8977" s="17"/>
      <c r="C8977" s="17"/>
      <c r="D8977" s="13"/>
      <c r="E8977" s="11"/>
      <c r="F8977" s="11"/>
      <c r="G8977" s="13">
        <f t="shared" si="1"/>
        <v>1281</v>
      </c>
      <c r="H8977" s="13"/>
    </row>
    <row r="8978" ht="22.5" customHeight="1">
      <c r="B8978" s="17"/>
      <c r="C8978" s="17"/>
      <c r="D8978" s="13"/>
      <c r="E8978" s="11"/>
      <c r="F8978" s="11"/>
      <c r="G8978" s="13">
        <f t="shared" si="1"/>
        <v>1281</v>
      </c>
      <c r="H8978" s="13"/>
    </row>
    <row r="8979" ht="22.5" customHeight="1">
      <c r="B8979" s="17"/>
      <c r="C8979" s="17"/>
      <c r="D8979" s="13"/>
      <c r="E8979" s="11"/>
      <c r="F8979" s="11"/>
      <c r="G8979" s="13">
        <f t="shared" si="1"/>
        <v>1281</v>
      </c>
      <c r="H8979" s="13"/>
    </row>
    <row r="8980" ht="22.5" customHeight="1">
      <c r="B8980" s="17"/>
      <c r="C8980" s="17"/>
      <c r="D8980" s="13"/>
      <c r="E8980" s="11"/>
      <c r="F8980" s="11"/>
      <c r="G8980" s="13">
        <f t="shared" si="1"/>
        <v>1281</v>
      </c>
      <c r="H8980" s="13"/>
    </row>
    <row r="8981" ht="22.5" customHeight="1">
      <c r="B8981" s="17"/>
      <c r="C8981" s="17"/>
      <c r="D8981" s="13"/>
      <c r="E8981" s="11"/>
      <c r="F8981" s="11"/>
      <c r="G8981" s="13">
        <f t="shared" si="1"/>
        <v>1281</v>
      </c>
      <c r="H8981" s="13"/>
    </row>
    <row r="8982" ht="22.5" customHeight="1">
      <c r="B8982" s="17"/>
      <c r="C8982" s="17"/>
      <c r="D8982" s="13"/>
      <c r="E8982" s="11"/>
      <c r="F8982" s="11"/>
      <c r="G8982" s="13">
        <f t="shared" si="1"/>
        <v>1281</v>
      </c>
      <c r="H8982" s="13"/>
    </row>
    <row r="8983" ht="22.5" customHeight="1">
      <c r="B8983" s="17"/>
      <c r="C8983" s="17"/>
      <c r="D8983" s="13"/>
      <c r="E8983" s="11"/>
      <c r="F8983" s="11"/>
      <c r="G8983" s="13">
        <f t="shared" si="1"/>
        <v>1281</v>
      </c>
      <c r="H8983" s="13"/>
    </row>
    <row r="8984" ht="22.5" customHeight="1">
      <c r="B8984" s="17"/>
      <c r="C8984" s="17"/>
      <c r="D8984" s="13"/>
      <c r="E8984" s="11"/>
      <c r="F8984" s="11"/>
      <c r="G8984" s="13">
        <f t="shared" si="1"/>
        <v>1281</v>
      </c>
      <c r="H8984" s="13"/>
    </row>
    <row r="8985" ht="22.5" customHeight="1">
      <c r="B8985" s="17"/>
      <c r="C8985" s="17"/>
      <c r="D8985" s="13"/>
      <c r="E8985" s="11"/>
      <c r="F8985" s="11"/>
      <c r="G8985" s="13">
        <f t="shared" si="1"/>
        <v>1281</v>
      </c>
      <c r="H8985" s="13"/>
    </row>
    <row r="8986" ht="22.5" customHeight="1">
      <c r="B8986" s="17"/>
      <c r="C8986" s="17"/>
      <c r="D8986" s="13"/>
      <c r="E8986" s="11"/>
      <c r="F8986" s="11"/>
      <c r="G8986" s="13">
        <f t="shared" si="1"/>
        <v>1281</v>
      </c>
      <c r="H8986" s="13"/>
    </row>
    <row r="8987" ht="22.5" customHeight="1">
      <c r="B8987" s="17"/>
      <c r="C8987" s="17"/>
      <c r="D8987" s="13"/>
      <c r="E8987" s="11"/>
      <c r="F8987" s="11"/>
      <c r="G8987" s="13">
        <f t="shared" si="1"/>
        <v>1281</v>
      </c>
      <c r="H8987" s="13"/>
    </row>
    <row r="8988" ht="22.5" customHeight="1">
      <c r="B8988" s="17"/>
      <c r="C8988" s="17"/>
      <c r="D8988" s="13"/>
      <c r="E8988" s="11"/>
      <c r="F8988" s="11"/>
      <c r="G8988" s="13">
        <f t="shared" si="1"/>
        <v>1281</v>
      </c>
      <c r="H8988" s="13"/>
    </row>
    <row r="8989" ht="22.5" customHeight="1">
      <c r="B8989" s="17"/>
      <c r="C8989" s="17"/>
      <c r="D8989" s="13"/>
      <c r="E8989" s="11"/>
      <c r="F8989" s="11"/>
      <c r="G8989" s="13">
        <f t="shared" si="1"/>
        <v>1281</v>
      </c>
      <c r="H8989" s="13"/>
    </row>
    <row r="8990" ht="22.5" customHeight="1">
      <c r="B8990" s="17"/>
      <c r="C8990" s="17"/>
      <c r="D8990" s="13"/>
      <c r="E8990" s="11"/>
      <c r="F8990" s="11"/>
      <c r="G8990" s="13">
        <f t="shared" si="1"/>
        <v>1281</v>
      </c>
      <c r="H8990" s="13"/>
    </row>
    <row r="8991" ht="22.5" customHeight="1">
      <c r="B8991" s="17"/>
      <c r="C8991" s="17"/>
      <c r="D8991" s="13"/>
      <c r="E8991" s="11"/>
      <c r="F8991" s="11"/>
      <c r="G8991" s="13">
        <f t="shared" si="1"/>
        <v>1281</v>
      </c>
      <c r="H8991" s="13"/>
    </row>
    <row r="8992" ht="22.5" customHeight="1">
      <c r="B8992" s="17"/>
      <c r="C8992" s="17"/>
      <c r="D8992" s="13"/>
      <c r="E8992" s="11"/>
      <c r="F8992" s="11"/>
      <c r="G8992" s="13">
        <f t="shared" si="1"/>
        <v>1281</v>
      </c>
      <c r="H8992" s="13"/>
    </row>
    <row r="8993" ht="22.5" customHeight="1">
      <c r="B8993" s="17"/>
      <c r="C8993" s="17"/>
      <c r="D8993" s="13"/>
      <c r="E8993" s="11"/>
      <c r="F8993" s="11"/>
      <c r="G8993" s="13">
        <f t="shared" si="1"/>
        <v>1281</v>
      </c>
      <c r="H8993" s="13"/>
    </row>
    <row r="8994" ht="22.5" customHeight="1">
      <c r="B8994" s="17"/>
      <c r="C8994" s="17"/>
      <c r="D8994" s="13"/>
      <c r="E8994" s="11"/>
      <c r="F8994" s="11"/>
      <c r="G8994" s="13">
        <f t="shared" si="1"/>
        <v>1281</v>
      </c>
      <c r="H8994" s="13"/>
    </row>
    <row r="8995" ht="22.5" customHeight="1">
      <c r="B8995" s="17"/>
      <c r="C8995" s="17"/>
      <c r="D8995" s="13"/>
      <c r="E8995" s="11"/>
      <c r="F8995" s="11"/>
      <c r="G8995" s="13">
        <f t="shared" si="1"/>
        <v>1281</v>
      </c>
      <c r="H8995" s="13"/>
    </row>
    <row r="8996" ht="22.5" customHeight="1">
      <c r="B8996" s="17"/>
      <c r="C8996" s="17"/>
      <c r="D8996" s="13"/>
      <c r="E8996" s="11"/>
      <c r="F8996" s="11"/>
      <c r="G8996" s="13">
        <f t="shared" si="1"/>
        <v>1281</v>
      </c>
      <c r="H8996" s="13"/>
    </row>
    <row r="8997" ht="22.5" customHeight="1">
      <c r="B8997" s="17"/>
      <c r="C8997" s="17"/>
      <c r="D8997" s="13"/>
      <c r="E8997" s="11"/>
      <c r="F8997" s="11"/>
      <c r="G8997" s="13">
        <f t="shared" si="1"/>
        <v>1281</v>
      </c>
      <c r="H8997" s="13"/>
    </row>
    <row r="8998" ht="22.5" customHeight="1">
      <c r="B8998" s="17"/>
      <c r="C8998" s="17"/>
      <c r="D8998" s="13"/>
      <c r="E8998" s="11"/>
      <c r="F8998" s="11"/>
      <c r="G8998" s="13">
        <f t="shared" si="1"/>
        <v>1281</v>
      </c>
      <c r="H8998" s="13"/>
    </row>
    <row r="8999" ht="22.5" customHeight="1">
      <c r="B8999" s="17"/>
      <c r="C8999" s="17"/>
      <c r="D8999" s="13"/>
      <c r="E8999" s="11"/>
      <c r="F8999" s="11"/>
      <c r="G8999" s="13">
        <f t="shared" si="1"/>
        <v>1281</v>
      </c>
      <c r="H8999" s="13"/>
    </row>
    <row r="9000" ht="22.5" customHeight="1">
      <c r="B9000" s="17"/>
      <c r="C9000" s="17"/>
      <c r="D9000" s="13"/>
      <c r="E9000" s="11"/>
      <c r="F9000" s="11"/>
      <c r="G9000" s="13">
        <f t="shared" si="1"/>
        <v>1281</v>
      </c>
      <c r="H9000" s="13"/>
    </row>
    <row r="9001" ht="22.5" customHeight="1">
      <c r="B9001" s="17"/>
      <c r="C9001" s="17"/>
      <c r="D9001" s="13"/>
      <c r="E9001" s="11"/>
      <c r="F9001" s="11"/>
      <c r="G9001" s="13">
        <f t="shared" si="1"/>
        <v>1281</v>
      </c>
      <c r="H9001" s="13"/>
    </row>
    <row r="9002" ht="22.5" customHeight="1">
      <c r="B9002" s="17"/>
      <c r="C9002" s="17"/>
      <c r="D9002" s="13"/>
      <c r="E9002" s="11"/>
      <c r="F9002" s="11"/>
      <c r="G9002" s="13">
        <f t="shared" si="1"/>
        <v>1281</v>
      </c>
      <c r="H9002" s="13"/>
    </row>
    <row r="9003" ht="22.5" customHeight="1">
      <c r="B9003" s="17"/>
      <c r="C9003" s="17"/>
      <c r="D9003" s="13"/>
      <c r="E9003" s="11"/>
      <c r="F9003" s="11"/>
      <c r="G9003" s="13">
        <f t="shared" si="1"/>
        <v>1281</v>
      </c>
      <c r="H9003" s="13"/>
    </row>
    <row r="9004" ht="22.5" customHeight="1">
      <c r="B9004" s="17"/>
      <c r="C9004" s="17"/>
      <c r="D9004" s="13"/>
      <c r="E9004" s="11"/>
      <c r="F9004" s="11"/>
      <c r="G9004" s="13">
        <f t="shared" si="1"/>
        <v>1281</v>
      </c>
      <c r="H9004" s="13"/>
    </row>
    <row r="9005" ht="22.5" customHeight="1">
      <c r="B9005" s="17"/>
      <c r="C9005" s="17"/>
      <c r="D9005" s="13"/>
      <c r="E9005" s="11"/>
      <c r="F9005" s="11"/>
      <c r="G9005" s="13">
        <f t="shared" si="1"/>
        <v>1281</v>
      </c>
      <c r="H9005" s="13"/>
    </row>
    <row r="9006" ht="22.5" customHeight="1">
      <c r="B9006" s="17"/>
      <c r="C9006" s="17"/>
      <c r="D9006" s="13"/>
      <c r="E9006" s="11"/>
      <c r="F9006" s="11"/>
      <c r="G9006" s="13">
        <f t="shared" si="1"/>
        <v>1281</v>
      </c>
      <c r="H9006" s="13"/>
    </row>
    <row r="9007" ht="22.5" customHeight="1">
      <c r="B9007" s="17"/>
      <c r="C9007" s="17"/>
      <c r="D9007" s="13"/>
      <c r="E9007" s="11"/>
      <c r="F9007" s="11"/>
      <c r="G9007" s="13">
        <f t="shared" si="1"/>
        <v>1281</v>
      </c>
      <c r="H9007" s="13"/>
    </row>
    <row r="9008" ht="22.5" customHeight="1">
      <c r="B9008" s="17"/>
      <c r="C9008" s="17"/>
      <c r="D9008" s="13"/>
      <c r="E9008" s="11"/>
      <c r="F9008" s="11"/>
      <c r="G9008" s="13">
        <f t="shared" si="1"/>
        <v>1281</v>
      </c>
      <c r="H9008" s="13"/>
    </row>
    <row r="9009" ht="22.5" customHeight="1">
      <c r="B9009" s="17"/>
      <c r="C9009" s="17"/>
      <c r="D9009" s="13"/>
      <c r="E9009" s="11"/>
      <c r="F9009" s="11"/>
      <c r="G9009" s="13">
        <f t="shared" si="1"/>
        <v>1281</v>
      </c>
      <c r="H9009" s="13"/>
    </row>
    <row r="9010" ht="22.5" customHeight="1">
      <c r="B9010" s="17"/>
      <c r="C9010" s="17"/>
      <c r="D9010" s="13"/>
      <c r="E9010" s="11"/>
      <c r="F9010" s="11"/>
      <c r="G9010" s="13">
        <f t="shared" si="1"/>
        <v>1281</v>
      </c>
      <c r="H9010" s="13"/>
    </row>
    <row r="9011" ht="22.5" customHeight="1">
      <c r="B9011" s="17"/>
      <c r="C9011" s="17"/>
      <c r="D9011" s="13"/>
      <c r="E9011" s="11"/>
      <c r="F9011" s="11"/>
      <c r="G9011" s="13">
        <f t="shared" si="1"/>
        <v>1281</v>
      </c>
      <c r="H9011" s="13"/>
    </row>
    <row r="9012" ht="22.5" customHeight="1">
      <c r="B9012" s="17"/>
      <c r="C9012" s="17"/>
      <c r="D9012" s="13"/>
      <c r="E9012" s="11"/>
      <c r="F9012" s="11"/>
      <c r="G9012" s="13">
        <f t="shared" si="1"/>
        <v>1281</v>
      </c>
      <c r="H9012" s="13"/>
    </row>
    <row r="9013" ht="22.5" customHeight="1">
      <c r="B9013" s="17"/>
      <c r="C9013" s="17"/>
      <c r="D9013" s="13"/>
      <c r="E9013" s="11"/>
      <c r="F9013" s="11"/>
      <c r="G9013" s="13">
        <f t="shared" si="1"/>
        <v>1281</v>
      </c>
      <c r="H9013" s="13"/>
    </row>
    <row r="9014" ht="22.5" customHeight="1">
      <c r="B9014" s="17"/>
      <c r="C9014" s="17"/>
      <c r="D9014" s="13"/>
      <c r="E9014" s="11"/>
      <c r="F9014" s="11"/>
      <c r="G9014" s="13">
        <f t="shared" si="1"/>
        <v>1281</v>
      </c>
      <c r="H9014" s="13"/>
    </row>
    <row r="9015" ht="22.5" customHeight="1">
      <c r="B9015" s="17"/>
      <c r="C9015" s="17"/>
      <c r="D9015" s="13"/>
      <c r="E9015" s="11"/>
      <c r="F9015" s="11"/>
      <c r="G9015" s="13">
        <f t="shared" si="1"/>
        <v>1281</v>
      </c>
      <c r="H9015" s="13"/>
    </row>
    <row r="9016" ht="22.5" customHeight="1">
      <c r="B9016" s="17"/>
      <c r="C9016" s="17"/>
      <c r="D9016" s="13"/>
      <c r="E9016" s="11"/>
      <c r="F9016" s="11"/>
      <c r="G9016" s="13">
        <f t="shared" si="1"/>
        <v>1281</v>
      </c>
      <c r="H9016" s="13"/>
    </row>
    <row r="9017" ht="22.5" customHeight="1">
      <c r="B9017" s="17"/>
      <c r="C9017" s="17"/>
      <c r="D9017" s="13"/>
      <c r="E9017" s="11"/>
      <c r="F9017" s="11"/>
      <c r="G9017" s="13">
        <f t="shared" si="1"/>
        <v>1281</v>
      </c>
      <c r="H9017" s="13"/>
    </row>
    <row r="9018" ht="22.5" customHeight="1">
      <c r="B9018" s="17"/>
      <c r="C9018" s="17"/>
      <c r="D9018" s="13"/>
      <c r="E9018" s="11"/>
      <c r="F9018" s="11"/>
      <c r="G9018" s="13">
        <f t="shared" si="1"/>
        <v>1281</v>
      </c>
      <c r="H9018" s="13"/>
    </row>
    <row r="9019" ht="22.5" customHeight="1">
      <c r="B9019" s="17"/>
      <c r="C9019" s="17"/>
      <c r="D9019" s="13"/>
      <c r="E9019" s="11"/>
      <c r="F9019" s="11"/>
      <c r="G9019" s="13">
        <f t="shared" si="1"/>
        <v>1281</v>
      </c>
      <c r="H9019" s="13"/>
    </row>
    <row r="9020" ht="22.5" customHeight="1">
      <c r="B9020" s="17"/>
      <c r="C9020" s="17"/>
      <c r="D9020" s="13"/>
      <c r="E9020" s="11"/>
      <c r="F9020" s="11"/>
      <c r="G9020" s="13">
        <f t="shared" si="1"/>
        <v>1281</v>
      </c>
      <c r="H9020" s="13"/>
    </row>
    <row r="9021" ht="22.5" customHeight="1">
      <c r="B9021" s="17"/>
      <c r="C9021" s="17"/>
      <c r="D9021" s="13"/>
      <c r="E9021" s="11"/>
      <c r="F9021" s="11"/>
      <c r="G9021" s="13">
        <f t="shared" si="1"/>
        <v>1281</v>
      </c>
      <c r="H9021" s="13"/>
    </row>
    <row r="9022" ht="22.5" customHeight="1">
      <c r="B9022" s="17"/>
      <c r="C9022" s="17"/>
      <c r="D9022" s="13"/>
      <c r="E9022" s="11"/>
      <c r="F9022" s="11"/>
      <c r="G9022" s="13">
        <f t="shared" si="1"/>
        <v>1281</v>
      </c>
      <c r="H9022" s="13"/>
    </row>
    <row r="9023" ht="22.5" customHeight="1">
      <c r="B9023" s="17"/>
      <c r="C9023" s="17"/>
      <c r="D9023" s="13"/>
      <c r="E9023" s="11"/>
      <c r="F9023" s="11"/>
      <c r="G9023" s="13">
        <f t="shared" si="1"/>
        <v>1281</v>
      </c>
      <c r="H9023" s="13"/>
    </row>
    <row r="9024" ht="22.5" customHeight="1">
      <c r="B9024" s="17"/>
      <c r="C9024" s="17"/>
      <c r="D9024" s="13"/>
      <c r="E9024" s="11"/>
      <c r="F9024" s="11"/>
      <c r="G9024" s="13">
        <f t="shared" si="1"/>
        <v>1281</v>
      </c>
      <c r="H9024" s="13"/>
    </row>
    <row r="9025" ht="22.5" customHeight="1">
      <c r="B9025" s="17"/>
      <c r="C9025" s="17"/>
      <c r="D9025" s="13"/>
      <c r="E9025" s="11"/>
      <c r="F9025" s="11"/>
      <c r="G9025" s="13">
        <f t="shared" si="1"/>
        <v>1281</v>
      </c>
      <c r="H9025" s="13"/>
    </row>
    <row r="9026" ht="22.5" customHeight="1">
      <c r="B9026" s="17"/>
      <c r="C9026" s="17"/>
      <c r="D9026" s="13"/>
      <c r="E9026" s="11"/>
      <c r="F9026" s="11"/>
      <c r="G9026" s="13">
        <f t="shared" si="1"/>
        <v>1281</v>
      </c>
      <c r="H9026" s="13"/>
    </row>
    <row r="9027" ht="22.5" customHeight="1">
      <c r="B9027" s="17"/>
      <c r="C9027" s="17"/>
      <c r="D9027" s="13"/>
      <c r="E9027" s="11"/>
      <c r="F9027" s="11"/>
      <c r="G9027" s="13">
        <f t="shared" si="1"/>
        <v>1281</v>
      </c>
      <c r="H9027" s="13"/>
    </row>
    <row r="9028" ht="22.5" customHeight="1">
      <c r="B9028" s="17"/>
      <c r="C9028" s="17"/>
      <c r="D9028" s="13"/>
      <c r="E9028" s="11"/>
      <c r="F9028" s="11"/>
      <c r="G9028" s="13">
        <f t="shared" si="1"/>
        <v>1281</v>
      </c>
      <c r="H9028" s="13"/>
    </row>
    <row r="9029" ht="22.5" customHeight="1">
      <c r="B9029" s="17"/>
      <c r="C9029" s="17"/>
      <c r="D9029" s="13"/>
      <c r="E9029" s="11"/>
      <c r="F9029" s="11"/>
      <c r="G9029" s="13">
        <f t="shared" si="1"/>
        <v>1281</v>
      </c>
      <c r="H9029" s="13"/>
    </row>
    <row r="9030" ht="22.5" customHeight="1">
      <c r="B9030" s="17"/>
      <c r="C9030" s="17"/>
      <c r="D9030" s="13"/>
      <c r="E9030" s="11"/>
      <c r="F9030" s="11"/>
      <c r="G9030" s="13">
        <f t="shared" si="1"/>
        <v>1281</v>
      </c>
      <c r="H9030" s="13"/>
    </row>
    <row r="9031" ht="22.5" customHeight="1">
      <c r="B9031" s="17"/>
      <c r="C9031" s="17"/>
      <c r="D9031" s="13"/>
      <c r="E9031" s="11"/>
      <c r="F9031" s="11"/>
      <c r="G9031" s="13">
        <f t="shared" si="1"/>
        <v>1281</v>
      </c>
      <c r="H9031" s="13"/>
    </row>
    <row r="9032" ht="22.5" customHeight="1">
      <c r="B9032" s="17"/>
      <c r="C9032" s="17"/>
      <c r="D9032" s="13"/>
      <c r="E9032" s="11"/>
      <c r="F9032" s="11"/>
      <c r="G9032" s="13">
        <f t="shared" si="1"/>
        <v>1281</v>
      </c>
      <c r="H9032" s="13"/>
    </row>
    <row r="9033" ht="22.5" customHeight="1">
      <c r="B9033" s="17"/>
      <c r="C9033" s="17"/>
      <c r="D9033" s="13"/>
      <c r="E9033" s="11"/>
      <c r="F9033" s="11"/>
      <c r="G9033" s="13">
        <f t="shared" si="1"/>
        <v>1281</v>
      </c>
      <c r="H9033" s="13"/>
    </row>
    <row r="9034" ht="22.5" customHeight="1">
      <c r="B9034" s="17"/>
      <c r="C9034" s="17"/>
      <c r="D9034" s="13"/>
      <c r="E9034" s="11"/>
      <c r="F9034" s="11"/>
      <c r="G9034" s="13">
        <f t="shared" si="1"/>
        <v>1281</v>
      </c>
      <c r="H9034" s="13"/>
    </row>
    <row r="9035" ht="22.5" customHeight="1">
      <c r="B9035" s="17"/>
      <c r="C9035" s="17"/>
      <c r="D9035" s="13"/>
      <c r="E9035" s="11"/>
      <c r="F9035" s="11"/>
      <c r="G9035" s="13">
        <f t="shared" si="1"/>
        <v>1281</v>
      </c>
      <c r="H9035" s="13"/>
    </row>
    <row r="9036" ht="22.5" customHeight="1">
      <c r="B9036" s="17"/>
      <c r="C9036" s="17"/>
      <c r="D9036" s="13"/>
      <c r="E9036" s="11"/>
      <c r="F9036" s="11"/>
      <c r="G9036" s="13">
        <f t="shared" si="1"/>
        <v>1281</v>
      </c>
      <c r="H9036" s="13"/>
    </row>
    <row r="9037" ht="22.5" customHeight="1">
      <c r="B9037" s="17"/>
      <c r="C9037" s="17"/>
      <c r="D9037" s="13"/>
      <c r="E9037" s="11"/>
      <c r="F9037" s="11"/>
      <c r="G9037" s="13">
        <f t="shared" si="1"/>
        <v>1281</v>
      </c>
      <c r="H9037" s="13"/>
    </row>
    <row r="9038" ht="22.5" customHeight="1">
      <c r="B9038" s="17"/>
      <c r="C9038" s="17"/>
      <c r="D9038" s="13"/>
      <c r="E9038" s="11"/>
      <c r="F9038" s="11"/>
      <c r="G9038" s="13">
        <f t="shared" si="1"/>
        <v>1281</v>
      </c>
      <c r="H9038" s="13"/>
    </row>
    <row r="9039" ht="22.5" customHeight="1">
      <c r="B9039" s="17"/>
      <c r="C9039" s="17"/>
      <c r="D9039" s="13"/>
      <c r="E9039" s="11"/>
      <c r="F9039" s="11"/>
      <c r="G9039" s="13">
        <f t="shared" si="1"/>
        <v>1281</v>
      </c>
      <c r="H9039" s="13"/>
    </row>
    <row r="9040" ht="22.5" customHeight="1">
      <c r="B9040" s="17"/>
      <c r="C9040" s="17"/>
      <c r="D9040" s="13"/>
      <c r="E9040" s="11"/>
      <c r="F9040" s="11"/>
      <c r="G9040" s="13">
        <f t="shared" si="1"/>
        <v>1281</v>
      </c>
      <c r="H9040" s="13"/>
    </row>
    <row r="9041" ht="22.5" customHeight="1">
      <c r="B9041" s="17"/>
      <c r="C9041" s="17"/>
      <c r="D9041" s="13"/>
      <c r="E9041" s="11"/>
      <c r="F9041" s="11"/>
      <c r="G9041" s="13">
        <f t="shared" si="1"/>
        <v>1281</v>
      </c>
      <c r="H9041" s="13"/>
    </row>
    <row r="9042" ht="22.5" customHeight="1">
      <c r="B9042" s="17"/>
      <c r="C9042" s="17"/>
      <c r="D9042" s="13"/>
      <c r="E9042" s="11"/>
      <c r="F9042" s="11"/>
      <c r="G9042" s="13">
        <f t="shared" si="1"/>
        <v>1281</v>
      </c>
      <c r="H9042" s="13"/>
    </row>
    <row r="9043" ht="22.5" customHeight="1">
      <c r="B9043" s="17"/>
      <c r="C9043" s="17"/>
      <c r="D9043" s="13"/>
      <c r="E9043" s="11"/>
      <c r="F9043" s="11"/>
      <c r="G9043" s="13">
        <f t="shared" si="1"/>
        <v>1281</v>
      </c>
      <c r="H9043" s="13"/>
    </row>
    <row r="9044" ht="22.5" customHeight="1">
      <c r="B9044" s="17"/>
      <c r="C9044" s="17"/>
      <c r="D9044" s="13"/>
      <c r="E9044" s="11"/>
      <c r="F9044" s="11"/>
      <c r="G9044" s="13">
        <f t="shared" si="1"/>
        <v>1281</v>
      </c>
      <c r="H9044" s="13"/>
    </row>
    <row r="9045" ht="22.5" customHeight="1">
      <c r="B9045" s="17"/>
      <c r="C9045" s="17"/>
      <c r="D9045" s="13"/>
      <c r="E9045" s="11"/>
      <c r="F9045" s="11"/>
      <c r="G9045" s="13">
        <f t="shared" si="1"/>
        <v>1281</v>
      </c>
      <c r="H9045" s="13"/>
    </row>
    <row r="9046" ht="22.5" customHeight="1">
      <c r="B9046" s="17"/>
      <c r="C9046" s="17"/>
      <c r="D9046" s="13"/>
      <c r="E9046" s="11"/>
      <c r="F9046" s="11"/>
      <c r="G9046" s="13">
        <f t="shared" si="1"/>
        <v>1281</v>
      </c>
      <c r="H9046" s="13"/>
    </row>
    <row r="9047" ht="22.5" customHeight="1">
      <c r="B9047" s="17"/>
      <c r="C9047" s="17"/>
      <c r="D9047" s="13"/>
      <c r="E9047" s="11"/>
      <c r="F9047" s="11"/>
      <c r="G9047" s="13">
        <f t="shared" si="1"/>
        <v>1281</v>
      </c>
      <c r="H9047" s="13"/>
    </row>
    <row r="9048" ht="22.5" customHeight="1">
      <c r="B9048" s="17"/>
      <c r="C9048" s="17"/>
      <c r="D9048" s="13"/>
      <c r="E9048" s="11"/>
      <c r="F9048" s="11"/>
      <c r="G9048" s="13">
        <f t="shared" si="1"/>
        <v>1281</v>
      </c>
      <c r="H9048" s="13"/>
    </row>
    <row r="9049" ht="22.5" customHeight="1">
      <c r="B9049" s="17"/>
      <c r="C9049" s="17"/>
      <c r="D9049" s="13"/>
      <c r="E9049" s="11"/>
      <c r="F9049" s="11"/>
      <c r="G9049" s="13">
        <f t="shared" si="1"/>
        <v>1281</v>
      </c>
      <c r="H9049" s="13"/>
    </row>
    <row r="9050" ht="22.5" customHeight="1">
      <c r="B9050" s="17"/>
      <c r="C9050" s="17"/>
      <c r="D9050" s="13"/>
      <c r="E9050" s="11"/>
      <c r="F9050" s="11"/>
      <c r="G9050" s="13">
        <f t="shared" si="1"/>
        <v>1281</v>
      </c>
      <c r="H9050" s="13"/>
    </row>
    <row r="9051" ht="22.5" customHeight="1">
      <c r="B9051" s="17"/>
      <c r="C9051" s="17"/>
      <c r="D9051" s="13"/>
      <c r="E9051" s="11"/>
      <c r="F9051" s="11"/>
      <c r="G9051" s="13">
        <f t="shared" si="1"/>
        <v>1281</v>
      </c>
      <c r="H9051" s="13"/>
    </row>
    <row r="9052" ht="22.5" customHeight="1">
      <c r="B9052" s="17"/>
      <c r="C9052" s="17"/>
      <c r="D9052" s="13"/>
      <c r="E9052" s="11"/>
      <c r="F9052" s="11"/>
      <c r="G9052" s="13">
        <f t="shared" si="1"/>
        <v>1281</v>
      </c>
      <c r="H9052" s="13"/>
    </row>
    <row r="9053" ht="22.5" customHeight="1">
      <c r="B9053" s="17"/>
      <c r="C9053" s="17"/>
      <c r="D9053" s="13"/>
      <c r="E9053" s="11"/>
      <c r="F9053" s="11"/>
      <c r="G9053" s="13">
        <f t="shared" si="1"/>
        <v>1281</v>
      </c>
      <c r="H9053" s="13"/>
    </row>
    <row r="9054" ht="22.5" customHeight="1">
      <c r="B9054" s="17"/>
      <c r="C9054" s="17"/>
      <c r="D9054" s="13"/>
      <c r="E9054" s="11"/>
      <c r="F9054" s="11"/>
      <c r="G9054" s="13">
        <f t="shared" si="1"/>
        <v>1281</v>
      </c>
      <c r="H9054" s="13"/>
    </row>
    <row r="9055" ht="22.5" customHeight="1">
      <c r="B9055" s="17"/>
      <c r="C9055" s="17"/>
      <c r="D9055" s="13"/>
      <c r="E9055" s="11"/>
      <c r="F9055" s="11"/>
      <c r="G9055" s="13">
        <f t="shared" si="1"/>
        <v>1281</v>
      </c>
      <c r="H9055" s="13"/>
    </row>
    <row r="9056" ht="22.5" customHeight="1">
      <c r="B9056" s="17"/>
      <c r="C9056" s="17"/>
      <c r="D9056" s="13"/>
      <c r="E9056" s="11"/>
      <c r="F9056" s="11"/>
      <c r="G9056" s="13">
        <f t="shared" si="1"/>
        <v>1281</v>
      </c>
      <c r="H9056" s="13"/>
    </row>
    <row r="9057" ht="22.5" customHeight="1">
      <c r="B9057" s="17"/>
      <c r="C9057" s="17"/>
      <c r="D9057" s="13"/>
      <c r="E9057" s="11"/>
      <c r="F9057" s="11"/>
      <c r="G9057" s="13">
        <f t="shared" si="1"/>
        <v>1281</v>
      </c>
      <c r="H9057" s="13"/>
    </row>
    <row r="9058" ht="22.5" customHeight="1">
      <c r="B9058" s="17"/>
      <c r="C9058" s="17"/>
      <c r="D9058" s="13"/>
      <c r="E9058" s="11"/>
      <c r="F9058" s="11"/>
      <c r="G9058" s="13">
        <f t="shared" si="1"/>
        <v>1281</v>
      </c>
      <c r="H9058" s="13"/>
    </row>
    <row r="9059" ht="22.5" customHeight="1">
      <c r="B9059" s="17"/>
      <c r="C9059" s="17"/>
      <c r="D9059" s="13"/>
      <c r="E9059" s="11"/>
      <c r="F9059" s="11"/>
      <c r="G9059" s="13">
        <f t="shared" si="1"/>
        <v>1281</v>
      </c>
      <c r="H9059" s="13"/>
    </row>
    <row r="9060" ht="22.5" customHeight="1">
      <c r="B9060" s="17"/>
      <c r="C9060" s="17"/>
      <c r="D9060" s="13"/>
      <c r="E9060" s="11"/>
      <c r="F9060" s="11"/>
      <c r="G9060" s="13">
        <f t="shared" si="1"/>
        <v>1281</v>
      </c>
      <c r="H9060" s="13"/>
    </row>
    <row r="9061" ht="22.5" customHeight="1">
      <c r="B9061" s="17"/>
      <c r="C9061" s="17"/>
      <c r="D9061" s="13"/>
      <c r="E9061" s="11"/>
      <c r="F9061" s="11"/>
      <c r="G9061" s="13">
        <f t="shared" si="1"/>
        <v>1281</v>
      </c>
      <c r="H9061" s="13"/>
    </row>
    <row r="9062" ht="22.5" customHeight="1">
      <c r="B9062" s="17"/>
      <c r="C9062" s="17"/>
      <c r="D9062" s="13"/>
      <c r="E9062" s="11"/>
      <c r="F9062" s="11"/>
      <c r="G9062" s="13">
        <f t="shared" si="1"/>
        <v>1281</v>
      </c>
      <c r="H9062" s="13"/>
    </row>
    <row r="9063" ht="22.5" customHeight="1">
      <c r="B9063" s="17"/>
      <c r="C9063" s="17"/>
      <c r="D9063" s="13"/>
      <c r="E9063" s="11"/>
      <c r="F9063" s="11"/>
      <c r="G9063" s="13">
        <f t="shared" si="1"/>
        <v>1281</v>
      </c>
      <c r="H9063" s="13"/>
    </row>
    <row r="9064" ht="22.5" customHeight="1">
      <c r="B9064" s="17"/>
      <c r="C9064" s="17"/>
      <c r="D9064" s="13"/>
      <c r="E9064" s="11"/>
      <c r="F9064" s="11"/>
      <c r="G9064" s="13">
        <f t="shared" si="1"/>
        <v>1281</v>
      </c>
      <c r="H9064" s="13"/>
    </row>
    <row r="9065" ht="22.5" customHeight="1">
      <c r="B9065" s="17"/>
      <c r="C9065" s="17"/>
      <c r="D9065" s="13"/>
      <c r="E9065" s="11"/>
      <c r="F9065" s="11"/>
      <c r="G9065" s="13">
        <f t="shared" si="1"/>
        <v>1281</v>
      </c>
      <c r="H9065" s="13"/>
    </row>
    <row r="9066" ht="22.5" customHeight="1">
      <c r="B9066" s="17"/>
      <c r="C9066" s="17"/>
      <c r="D9066" s="13"/>
      <c r="E9066" s="11"/>
      <c r="F9066" s="11"/>
      <c r="G9066" s="13">
        <f t="shared" si="1"/>
        <v>1281</v>
      </c>
      <c r="H9066" s="13"/>
    </row>
    <row r="9067" ht="22.5" customHeight="1">
      <c r="B9067" s="17"/>
      <c r="C9067" s="17"/>
      <c r="D9067" s="13"/>
      <c r="E9067" s="11"/>
      <c r="F9067" s="11"/>
      <c r="G9067" s="13">
        <f t="shared" si="1"/>
        <v>1281</v>
      </c>
      <c r="H9067" s="13"/>
    </row>
    <row r="9068" ht="22.5" customHeight="1">
      <c r="B9068" s="17"/>
      <c r="C9068" s="17"/>
      <c r="D9068" s="13"/>
      <c r="E9068" s="11"/>
      <c r="F9068" s="11"/>
      <c r="G9068" s="13">
        <f t="shared" si="1"/>
        <v>1281</v>
      </c>
      <c r="H9068" s="13"/>
    </row>
    <row r="9069" ht="22.5" customHeight="1">
      <c r="B9069" s="17"/>
      <c r="C9069" s="17"/>
      <c r="D9069" s="13"/>
      <c r="E9069" s="11"/>
      <c r="F9069" s="11"/>
      <c r="G9069" s="13">
        <f t="shared" si="1"/>
        <v>1281</v>
      </c>
      <c r="H9069" s="13"/>
    </row>
    <row r="9070" ht="22.5" customHeight="1">
      <c r="B9070" s="17"/>
      <c r="C9070" s="17"/>
      <c r="D9070" s="13"/>
      <c r="E9070" s="11"/>
      <c r="F9070" s="11"/>
      <c r="G9070" s="13">
        <f t="shared" si="1"/>
        <v>1281</v>
      </c>
      <c r="H9070" s="13"/>
    </row>
    <row r="9071" ht="22.5" customHeight="1">
      <c r="B9071" s="17"/>
      <c r="C9071" s="17"/>
      <c r="D9071" s="13"/>
      <c r="E9071" s="11"/>
      <c r="F9071" s="11"/>
      <c r="G9071" s="13">
        <f t="shared" si="1"/>
        <v>1281</v>
      </c>
      <c r="H9071" s="13"/>
    </row>
    <row r="9072" ht="22.5" customHeight="1">
      <c r="B9072" s="17"/>
      <c r="C9072" s="17"/>
      <c r="D9072" s="13"/>
      <c r="E9072" s="11"/>
      <c r="F9072" s="11"/>
      <c r="G9072" s="13">
        <f t="shared" si="1"/>
        <v>1281</v>
      </c>
      <c r="H9072" s="13"/>
    </row>
    <row r="9073" ht="22.5" customHeight="1">
      <c r="B9073" s="17"/>
      <c r="C9073" s="17"/>
      <c r="D9073" s="13"/>
      <c r="E9073" s="11"/>
      <c r="F9073" s="11"/>
      <c r="G9073" s="13">
        <f t="shared" si="1"/>
        <v>1281</v>
      </c>
      <c r="H9073" s="13"/>
    </row>
    <row r="9074" ht="22.5" customHeight="1">
      <c r="B9074" s="17"/>
      <c r="C9074" s="17"/>
      <c r="D9074" s="13"/>
      <c r="E9074" s="11"/>
      <c r="F9074" s="11"/>
      <c r="G9074" s="13">
        <f t="shared" si="1"/>
        <v>1281</v>
      </c>
      <c r="H9074" s="13"/>
    </row>
    <row r="9075" ht="22.5" customHeight="1">
      <c r="B9075" s="17"/>
      <c r="C9075" s="17"/>
      <c r="D9075" s="13"/>
      <c r="E9075" s="11"/>
      <c r="F9075" s="11"/>
      <c r="G9075" s="13">
        <f t="shared" si="1"/>
        <v>1281</v>
      </c>
      <c r="H9075" s="13"/>
    </row>
    <row r="9076" ht="22.5" customHeight="1">
      <c r="B9076" s="17"/>
      <c r="C9076" s="17"/>
      <c r="D9076" s="13"/>
      <c r="E9076" s="11"/>
      <c r="F9076" s="11"/>
      <c r="G9076" s="13">
        <f t="shared" si="1"/>
        <v>1281</v>
      </c>
      <c r="H9076" s="13"/>
    </row>
    <row r="9077" ht="22.5" customHeight="1">
      <c r="B9077" s="17"/>
      <c r="C9077" s="17"/>
      <c r="D9077" s="13"/>
      <c r="E9077" s="11"/>
      <c r="F9077" s="11"/>
      <c r="G9077" s="13">
        <f t="shared" si="1"/>
        <v>1281</v>
      </c>
      <c r="H9077" s="13"/>
    </row>
    <row r="9078" ht="22.5" customHeight="1">
      <c r="B9078" s="17"/>
      <c r="C9078" s="17"/>
      <c r="D9078" s="13"/>
      <c r="E9078" s="11"/>
      <c r="F9078" s="11"/>
      <c r="G9078" s="13">
        <f t="shared" si="1"/>
        <v>1281</v>
      </c>
      <c r="H9078" s="13"/>
    </row>
    <row r="9079" ht="22.5" customHeight="1">
      <c r="B9079" s="17"/>
      <c r="C9079" s="17"/>
      <c r="D9079" s="13"/>
      <c r="E9079" s="11"/>
      <c r="F9079" s="11"/>
      <c r="G9079" s="13">
        <f t="shared" si="1"/>
        <v>1281</v>
      </c>
      <c r="H9079" s="13"/>
    </row>
    <row r="9080" ht="22.5" customHeight="1">
      <c r="B9080" s="17"/>
      <c r="C9080" s="17"/>
      <c r="D9080" s="13"/>
      <c r="E9080" s="11"/>
      <c r="F9080" s="11"/>
      <c r="G9080" s="13">
        <f t="shared" si="1"/>
        <v>1281</v>
      </c>
      <c r="H9080" s="13"/>
    </row>
    <row r="9081" ht="22.5" customHeight="1">
      <c r="B9081" s="17"/>
      <c r="C9081" s="17"/>
      <c r="D9081" s="13"/>
      <c r="E9081" s="11"/>
      <c r="F9081" s="11"/>
      <c r="G9081" s="13">
        <f t="shared" si="1"/>
        <v>1281</v>
      </c>
      <c r="H9081" s="13"/>
    </row>
    <row r="9082" ht="22.5" customHeight="1">
      <c r="B9082" s="17"/>
      <c r="C9082" s="17"/>
      <c r="D9082" s="13"/>
      <c r="E9082" s="11"/>
      <c r="F9082" s="11"/>
      <c r="G9082" s="13">
        <f t="shared" si="1"/>
        <v>1281</v>
      </c>
      <c r="H9082" s="13"/>
    </row>
    <row r="9083" ht="22.5" customHeight="1">
      <c r="B9083" s="17"/>
      <c r="C9083" s="17"/>
      <c r="D9083" s="13"/>
      <c r="E9083" s="11"/>
      <c r="F9083" s="11"/>
      <c r="G9083" s="13">
        <f t="shared" si="1"/>
        <v>1281</v>
      </c>
      <c r="H9083" s="13"/>
    </row>
    <row r="9084" ht="22.5" customHeight="1">
      <c r="B9084" s="17"/>
      <c r="C9084" s="17"/>
      <c r="D9084" s="13"/>
      <c r="E9084" s="11"/>
      <c r="F9084" s="11"/>
      <c r="G9084" s="13">
        <f t="shared" si="1"/>
        <v>1281</v>
      </c>
      <c r="H9084" s="13"/>
    </row>
    <row r="9085" ht="22.5" customHeight="1">
      <c r="B9085" s="17"/>
      <c r="C9085" s="17"/>
      <c r="D9085" s="13"/>
      <c r="E9085" s="11"/>
      <c r="F9085" s="11"/>
      <c r="G9085" s="13">
        <f t="shared" si="1"/>
        <v>1281</v>
      </c>
      <c r="H9085" s="13"/>
    </row>
    <row r="9086" ht="22.5" customHeight="1">
      <c r="B9086" s="17"/>
      <c r="C9086" s="17"/>
      <c r="D9086" s="13"/>
      <c r="E9086" s="11"/>
      <c r="F9086" s="11"/>
      <c r="G9086" s="13">
        <f t="shared" si="1"/>
        <v>1281</v>
      </c>
      <c r="H9086" s="13"/>
    </row>
    <row r="9087" ht="22.5" customHeight="1">
      <c r="B9087" s="17"/>
      <c r="C9087" s="17"/>
      <c r="D9087" s="13"/>
      <c r="E9087" s="11"/>
      <c r="F9087" s="11"/>
      <c r="G9087" s="13">
        <f t="shared" si="1"/>
        <v>1281</v>
      </c>
      <c r="H9087" s="13"/>
    </row>
    <row r="9088" ht="22.5" customHeight="1">
      <c r="B9088" s="17"/>
      <c r="C9088" s="17"/>
      <c r="D9088" s="13"/>
      <c r="E9088" s="11"/>
      <c r="F9088" s="11"/>
      <c r="G9088" s="13">
        <f t="shared" si="1"/>
        <v>1281</v>
      </c>
      <c r="H9088" s="13"/>
    </row>
    <row r="9089" ht="22.5" customHeight="1">
      <c r="B9089" s="17"/>
      <c r="C9089" s="17"/>
      <c r="D9089" s="13"/>
      <c r="E9089" s="11"/>
      <c r="F9089" s="11"/>
      <c r="G9089" s="13">
        <f t="shared" si="1"/>
        <v>1281</v>
      </c>
      <c r="H9089" s="13"/>
    </row>
    <row r="9090" ht="22.5" customHeight="1">
      <c r="B9090" s="17"/>
      <c r="C9090" s="17"/>
      <c r="D9090" s="13"/>
      <c r="E9090" s="11"/>
      <c r="F9090" s="11"/>
      <c r="G9090" s="13">
        <f t="shared" si="1"/>
        <v>1281</v>
      </c>
      <c r="H9090" s="13"/>
    </row>
    <row r="9091" ht="22.5" customHeight="1">
      <c r="B9091" s="17"/>
      <c r="C9091" s="17"/>
      <c r="D9091" s="13"/>
      <c r="E9091" s="11"/>
      <c r="F9091" s="11"/>
      <c r="G9091" s="13">
        <f t="shared" si="1"/>
        <v>1281</v>
      </c>
      <c r="H9091" s="13"/>
    </row>
    <row r="9092" ht="22.5" customHeight="1">
      <c r="B9092" s="17"/>
      <c r="C9092" s="17"/>
      <c r="D9092" s="13"/>
      <c r="E9092" s="11"/>
      <c r="F9092" s="11"/>
      <c r="G9092" s="13">
        <f t="shared" si="1"/>
        <v>1281</v>
      </c>
      <c r="H9092" s="13"/>
    </row>
    <row r="9093" ht="22.5" customHeight="1">
      <c r="B9093" s="17"/>
      <c r="C9093" s="17"/>
      <c r="D9093" s="13"/>
      <c r="E9093" s="11"/>
      <c r="F9093" s="11"/>
      <c r="G9093" s="13">
        <f t="shared" si="1"/>
        <v>1281</v>
      </c>
      <c r="H9093" s="13"/>
    </row>
    <row r="9094" ht="22.5" customHeight="1">
      <c r="B9094" s="17"/>
      <c r="C9094" s="17"/>
      <c r="D9094" s="13"/>
      <c r="E9094" s="11"/>
      <c r="F9094" s="11"/>
      <c r="G9094" s="13">
        <f t="shared" si="1"/>
        <v>1281</v>
      </c>
      <c r="H9094" s="13"/>
    </row>
    <row r="9095" ht="22.5" customHeight="1">
      <c r="B9095" s="17"/>
      <c r="C9095" s="17"/>
      <c r="D9095" s="13"/>
      <c r="E9095" s="11"/>
      <c r="F9095" s="11"/>
      <c r="G9095" s="13">
        <f t="shared" si="1"/>
        <v>1281</v>
      </c>
      <c r="H9095" s="13"/>
    </row>
    <row r="9096" ht="22.5" customHeight="1">
      <c r="B9096" s="17"/>
      <c r="C9096" s="17"/>
      <c r="D9096" s="13"/>
      <c r="E9096" s="11"/>
      <c r="F9096" s="11"/>
      <c r="G9096" s="13">
        <f t="shared" si="1"/>
        <v>1281</v>
      </c>
      <c r="H9096" s="13"/>
    </row>
    <row r="9097" ht="22.5" customHeight="1">
      <c r="B9097" s="17"/>
      <c r="C9097" s="17"/>
      <c r="D9097" s="13"/>
      <c r="E9097" s="11"/>
      <c r="F9097" s="11"/>
      <c r="G9097" s="13">
        <f t="shared" si="1"/>
        <v>1281</v>
      </c>
      <c r="H9097" s="13"/>
    </row>
    <row r="9098" ht="22.5" customHeight="1">
      <c r="B9098" s="17"/>
      <c r="C9098" s="17"/>
      <c r="D9098" s="13"/>
      <c r="E9098" s="11"/>
      <c r="F9098" s="11"/>
      <c r="G9098" s="13">
        <f t="shared" si="1"/>
        <v>1281</v>
      </c>
      <c r="H9098" s="13"/>
    </row>
    <row r="9099" ht="22.5" customHeight="1">
      <c r="B9099" s="17"/>
      <c r="C9099" s="17"/>
      <c r="D9099" s="13"/>
      <c r="E9099" s="11"/>
      <c r="F9099" s="11"/>
      <c r="G9099" s="13">
        <f t="shared" si="1"/>
        <v>1281</v>
      </c>
      <c r="H9099" s="13"/>
    </row>
    <row r="9100" ht="22.5" customHeight="1">
      <c r="B9100" s="17"/>
      <c r="C9100" s="17"/>
      <c r="D9100" s="13"/>
      <c r="E9100" s="11"/>
      <c r="F9100" s="11"/>
      <c r="G9100" s="13">
        <f t="shared" si="1"/>
        <v>1281</v>
      </c>
      <c r="H9100" s="13"/>
    </row>
    <row r="9101" ht="22.5" customHeight="1">
      <c r="B9101" s="17"/>
      <c r="C9101" s="17"/>
      <c r="D9101" s="13"/>
      <c r="E9101" s="11"/>
      <c r="F9101" s="11"/>
      <c r="G9101" s="13">
        <f t="shared" si="1"/>
        <v>1281</v>
      </c>
      <c r="H9101" s="13"/>
    </row>
    <row r="9102" ht="22.5" customHeight="1">
      <c r="B9102" s="17"/>
      <c r="C9102" s="17"/>
      <c r="D9102" s="13"/>
      <c r="E9102" s="11"/>
      <c r="F9102" s="11"/>
      <c r="G9102" s="13">
        <f t="shared" si="1"/>
        <v>1281</v>
      </c>
      <c r="H9102" s="13"/>
    </row>
    <row r="9103" ht="22.5" customHeight="1">
      <c r="B9103" s="17"/>
      <c r="C9103" s="17"/>
      <c r="D9103" s="13"/>
      <c r="E9103" s="11"/>
      <c r="F9103" s="11"/>
      <c r="G9103" s="13">
        <f t="shared" si="1"/>
        <v>1281</v>
      </c>
      <c r="H9103" s="13"/>
    </row>
    <row r="9104" ht="22.5" customHeight="1">
      <c r="B9104" s="17"/>
      <c r="C9104" s="17"/>
      <c r="D9104" s="13"/>
      <c r="E9104" s="11"/>
      <c r="F9104" s="11"/>
      <c r="G9104" s="13">
        <f t="shared" si="1"/>
        <v>1281</v>
      </c>
      <c r="H9104" s="13"/>
    </row>
    <row r="9105" ht="22.5" customHeight="1">
      <c r="B9105" s="17"/>
      <c r="C9105" s="17"/>
      <c r="D9105" s="13"/>
      <c r="E9105" s="11"/>
      <c r="F9105" s="11"/>
      <c r="G9105" s="13">
        <f t="shared" si="1"/>
        <v>1281</v>
      </c>
      <c r="H9105" s="13"/>
    </row>
    <row r="9106" ht="22.5" customHeight="1">
      <c r="B9106" s="17"/>
      <c r="C9106" s="17"/>
      <c r="D9106" s="13"/>
      <c r="E9106" s="11"/>
      <c r="F9106" s="11"/>
      <c r="G9106" s="13">
        <f t="shared" si="1"/>
        <v>1281</v>
      </c>
      <c r="H9106" s="13"/>
    </row>
    <row r="9107" ht="22.5" customHeight="1">
      <c r="B9107" s="17"/>
      <c r="C9107" s="17"/>
      <c r="D9107" s="13"/>
      <c r="E9107" s="11"/>
      <c r="F9107" s="11"/>
      <c r="G9107" s="13">
        <f t="shared" si="1"/>
        <v>1281</v>
      </c>
      <c r="H9107" s="13"/>
    </row>
    <row r="9108" ht="22.5" customHeight="1">
      <c r="B9108" s="17"/>
      <c r="C9108" s="17"/>
      <c r="D9108" s="13"/>
      <c r="E9108" s="11"/>
      <c r="F9108" s="11"/>
      <c r="G9108" s="13">
        <f t="shared" si="1"/>
        <v>1281</v>
      </c>
      <c r="H9108" s="13"/>
    </row>
    <row r="9109" ht="22.5" customHeight="1">
      <c r="B9109" s="17"/>
      <c r="C9109" s="17"/>
      <c r="D9109" s="13"/>
      <c r="E9109" s="11"/>
      <c r="F9109" s="11"/>
      <c r="G9109" s="13">
        <f t="shared" si="1"/>
        <v>1281</v>
      </c>
      <c r="H9109" s="13"/>
    </row>
    <row r="9110" ht="22.5" customHeight="1">
      <c r="B9110" s="17"/>
      <c r="C9110" s="17"/>
      <c r="D9110" s="13"/>
      <c r="E9110" s="11"/>
      <c r="F9110" s="11"/>
      <c r="G9110" s="13">
        <f t="shared" si="1"/>
        <v>1281</v>
      </c>
      <c r="H9110" s="13"/>
    </row>
    <row r="9111" ht="22.5" customHeight="1">
      <c r="B9111" s="17"/>
      <c r="C9111" s="17"/>
      <c r="D9111" s="13"/>
      <c r="E9111" s="11"/>
      <c r="F9111" s="11"/>
      <c r="G9111" s="13">
        <f t="shared" si="1"/>
        <v>1281</v>
      </c>
      <c r="H9111" s="13"/>
    </row>
    <row r="9112" ht="22.5" customHeight="1">
      <c r="B9112" s="17"/>
      <c r="C9112" s="17"/>
      <c r="D9112" s="13"/>
      <c r="E9112" s="11"/>
      <c r="F9112" s="11"/>
      <c r="G9112" s="13">
        <f t="shared" si="1"/>
        <v>1281</v>
      </c>
      <c r="H9112" s="13"/>
    </row>
    <row r="9113" ht="22.5" customHeight="1">
      <c r="B9113" s="17"/>
      <c r="C9113" s="17"/>
      <c r="D9113" s="13"/>
      <c r="E9113" s="11"/>
      <c r="F9113" s="11"/>
      <c r="G9113" s="13">
        <f t="shared" si="1"/>
        <v>1281</v>
      </c>
      <c r="H9113" s="13"/>
    </row>
    <row r="9114" ht="22.5" customHeight="1">
      <c r="B9114" s="17"/>
      <c r="C9114" s="17"/>
      <c r="D9114" s="13"/>
      <c r="E9114" s="11"/>
      <c r="F9114" s="11"/>
      <c r="G9114" s="13">
        <f t="shared" si="1"/>
        <v>1281</v>
      </c>
      <c r="H9114" s="13"/>
    </row>
    <row r="9115" ht="22.5" customHeight="1">
      <c r="B9115" s="17"/>
      <c r="C9115" s="17"/>
      <c r="D9115" s="13"/>
      <c r="E9115" s="11"/>
      <c r="F9115" s="11"/>
      <c r="G9115" s="13">
        <f t="shared" si="1"/>
        <v>1281</v>
      </c>
      <c r="H9115" s="13"/>
    </row>
    <row r="9116" ht="22.5" customHeight="1">
      <c r="B9116" s="17"/>
      <c r="C9116" s="17"/>
      <c r="D9116" s="13"/>
      <c r="E9116" s="11"/>
      <c r="F9116" s="11"/>
      <c r="G9116" s="13">
        <f t="shared" si="1"/>
        <v>1281</v>
      </c>
      <c r="H9116" s="13"/>
    </row>
    <row r="9117" ht="22.5" customHeight="1">
      <c r="B9117" s="17"/>
      <c r="C9117" s="17"/>
      <c r="D9117" s="13"/>
      <c r="E9117" s="11"/>
      <c r="F9117" s="11"/>
      <c r="G9117" s="13">
        <f t="shared" si="1"/>
        <v>1281</v>
      </c>
      <c r="H9117" s="13"/>
    </row>
    <row r="9118" ht="22.5" customHeight="1">
      <c r="B9118" s="17"/>
      <c r="C9118" s="17"/>
      <c r="D9118" s="13"/>
      <c r="E9118" s="11"/>
      <c r="F9118" s="11"/>
      <c r="G9118" s="13">
        <f t="shared" si="1"/>
        <v>1281</v>
      </c>
      <c r="H9118" s="13"/>
    </row>
    <row r="9119" ht="22.5" customHeight="1">
      <c r="B9119" s="17"/>
      <c r="C9119" s="17"/>
      <c r="D9119" s="13"/>
      <c r="E9119" s="11"/>
      <c r="F9119" s="11"/>
      <c r="G9119" s="13">
        <f t="shared" si="1"/>
        <v>1281</v>
      </c>
      <c r="H9119" s="13"/>
    </row>
    <row r="9120" ht="22.5" customHeight="1">
      <c r="B9120" s="17"/>
      <c r="C9120" s="17"/>
      <c r="D9120" s="13"/>
      <c r="E9120" s="11"/>
      <c r="F9120" s="11"/>
      <c r="G9120" s="13">
        <f t="shared" si="1"/>
        <v>1281</v>
      </c>
      <c r="H9120" s="13"/>
    </row>
    <row r="9121" ht="22.5" customHeight="1">
      <c r="B9121" s="17"/>
      <c r="C9121" s="17"/>
      <c r="D9121" s="13"/>
      <c r="E9121" s="11"/>
      <c r="F9121" s="11"/>
      <c r="G9121" s="13">
        <f t="shared" si="1"/>
        <v>1281</v>
      </c>
      <c r="H9121" s="13"/>
    </row>
    <row r="9122" ht="22.5" customHeight="1">
      <c r="B9122" s="17"/>
      <c r="C9122" s="17"/>
      <c r="D9122" s="13"/>
      <c r="E9122" s="11"/>
      <c r="F9122" s="11"/>
      <c r="G9122" s="13">
        <f t="shared" si="1"/>
        <v>1281</v>
      </c>
      <c r="H9122" s="13"/>
    </row>
    <row r="9123" ht="22.5" customHeight="1">
      <c r="B9123" s="17"/>
      <c r="C9123" s="17"/>
      <c r="D9123" s="13"/>
      <c r="E9123" s="11"/>
      <c r="F9123" s="11"/>
      <c r="G9123" s="13">
        <f t="shared" si="1"/>
        <v>1281</v>
      </c>
      <c r="H9123" s="13"/>
    </row>
    <row r="9124" ht="22.5" customHeight="1">
      <c r="B9124" s="17"/>
      <c r="C9124" s="17"/>
      <c r="D9124" s="13"/>
      <c r="E9124" s="11"/>
      <c r="F9124" s="11"/>
      <c r="G9124" s="13">
        <f t="shared" si="1"/>
        <v>1281</v>
      </c>
      <c r="H9124" s="13"/>
    </row>
    <row r="9125" ht="22.5" customHeight="1">
      <c r="B9125" s="17"/>
      <c r="C9125" s="17"/>
      <c r="D9125" s="13"/>
      <c r="E9125" s="11"/>
      <c r="F9125" s="11"/>
      <c r="G9125" s="13">
        <f t="shared" si="1"/>
        <v>1281</v>
      </c>
      <c r="H9125" s="13"/>
    </row>
    <row r="9126" ht="22.5" customHeight="1">
      <c r="B9126" s="17"/>
      <c r="C9126" s="17"/>
      <c r="D9126" s="13"/>
      <c r="E9126" s="11"/>
      <c r="F9126" s="11"/>
      <c r="G9126" s="13">
        <f t="shared" si="1"/>
        <v>1281</v>
      </c>
      <c r="H9126" s="13"/>
    </row>
    <row r="9127" ht="22.5" customHeight="1">
      <c r="B9127" s="17"/>
      <c r="C9127" s="17"/>
      <c r="D9127" s="13"/>
      <c r="E9127" s="11"/>
      <c r="F9127" s="11"/>
      <c r="G9127" s="13">
        <f t="shared" si="1"/>
        <v>1281</v>
      </c>
      <c r="H9127" s="13"/>
    </row>
    <row r="9128" ht="22.5" customHeight="1">
      <c r="B9128" s="17"/>
      <c r="C9128" s="17"/>
      <c r="D9128" s="13"/>
      <c r="E9128" s="11"/>
      <c r="F9128" s="11"/>
      <c r="G9128" s="13">
        <f t="shared" si="1"/>
        <v>1281</v>
      </c>
      <c r="H9128" s="13"/>
    </row>
    <row r="9129" ht="22.5" customHeight="1">
      <c r="B9129" s="17"/>
      <c r="C9129" s="17"/>
      <c r="D9129" s="13"/>
      <c r="E9129" s="11"/>
      <c r="F9129" s="11"/>
      <c r="G9129" s="13">
        <f t="shared" si="1"/>
        <v>1281</v>
      </c>
      <c r="H9129" s="13"/>
    </row>
    <row r="9130" ht="22.5" customHeight="1">
      <c r="B9130" s="17"/>
      <c r="C9130" s="17"/>
      <c r="D9130" s="13"/>
      <c r="E9130" s="11"/>
      <c r="F9130" s="11"/>
      <c r="G9130" s="13">
        <f t="shared" si="1"/>
        <v>1281</v>
      </c>
      <c r="H9130" s="13"/>
    </row>
    <row r="9131" ht="22.5" customHeight="1">
      <c r="B9131" s="17"/>
      <c r="C9131" s="17"/>
      <c r="D9131" s="13"/>
      <c r="E9131" s="11"/>
      <c r="F9131" s="11"/>
      <c r="G9131" s="13">
        <f t="shared" si="1"/>
        <v>1281</v>
      </c>
      <c r="H9131" s="13"/>
    </row>
    <row r="9132" ht="22.5" customHeight="1">
      <c r="B9132" s="17"/>
      <c r="C9132" s="17"/>
      <c r="D9132" s="13"/>
      <c r="E9132" s="11"/>
      <c r="F9132" s="11"/>
      <c r="G9132" s="13">
        <f t="shared" si="1"/>
        <v>1281</v>
      </c>
      <c r="H9132" s="13"/>
    </row>
    <row r="9133" ht="22.5" customHeight="1">
      <c r="B9133" s="17"/>
      <c r="C9133" s="17"/>
      <c r="D9133" s="13"/>
      <c r="E9133" s="11"/>
      <c r="F9133" s="11"/>
      <c r="G9133" s="13">
        <f t="shared" si="1"/>
        <v>1281</v>
      </c>
      <c r="H9133" s="13"/>
    </row>
    <row r="9134" ht="22.5" customHeight="1">
      <c r="B9134" s="17"/>
      <c r="C9134" s="17"/>
      <c r="D9134" s="13"/>
      <c r="E9134" s="11"/>
      <c r="F9134" s="11"/>
      <c r="G9134" s="13">
        <f t="shared" si="1"/>
        <v>1281</v>
      </c>
      <c r="H9134" s="13"/>
    </row>
    <row r="9135" ht="22.5" customHeight="1">
      <c r="B9135" s="17"/>
      <c r="C9135" s="17"/>
      <c r="D9135" s="13"/>
      <c r="E9135" s="11"/>
      <c r="F9135" s="11"/>
      <c r="G9135" s="13">
        <f t="shared" si="1"/>
        <v>1281</v>
      </c>
      <c r="H9135" s="13"/>
    </row>
    <row r="9136" ht="22.5" customHeight="1">
      <c r="B9136" s="17"/>
      <c r="C9136" s="17"/>
      <c r="D9136" s="13"/>
      <c r="E9136" s="11"/>
      <c r="F9136" s="11"/>
      <c r="G9136" s="13">
        <f t="shared" si="1"/>
        <v>1281</v>
      </c>
      <c r="H9136" s="13"/>
    </row>
    <row r="9137" ht="22.5" customHeight="1">
      <c r="B9137" s="17"/>
      <c r="C9137" s="17"/>
      <c r="D9137" s="13"/>
      <c r="E9137" s="11"/>
      <c r="F9137" s="11"/>
      <c r="G9137" s="13">
        <f t="shared" si="1"/>
        <v>1281</v>
      </c>
      <c r="H9137" s="13"/>
    </row>
    <row r="9138" ht="22.5" customHeight="1">
      <c r="B9138" s="17"/>
      <c r="C9138" s="17"/>
      <c r="D9138" s="13"/>
      <c r="E9138" s="11"/>
      <c r="F9138" s="11"/>
      <c r="G9138" s="13">
        <f t="shared" si="1"/>
        <v>1281</v>
      </c>
      <c r="H9138" s="13"/>
    </row>
    <row r="9139" ht="22.5" customHeight="1">
      <c r="B9139" s="17"/>
      <c r="C9139" s="17"/>
      <c r="D9139" s="13"/>
      <c r="E9139" s="11"/>
      <c r="F9139" s="11"/>
      <c r="G9139" s="13">
        <f t="shared" si="1"/>
        <v>1281</v>
      </c>
      <c r="H9139" s="13"/>
    </row>
    <row r="9140" ht="22.5" customHeight="1">
      <c r="B9140" s="17"/>
      <c r="C9140" s="17"/>
      <c r="D9140" s="13"/>
      <c r="E9140" s="11"/>
      <c r="F9140" s="11"/>
      <c r="G9140" s="13">
        <f t="shared" si="1"/>
        <v>1281</v>
      </c>
      <c r="H9140" s="13"/>
    </row>
    <row r="9141" ht="22.5" customHeight="1">
      <c r="B9141" s="17"/>
      <c r="C9141" s="17"/>
      <c r="D9141" s="13"/>
      <c r="E9141" s="11"/>
      <c r="F9141" s="11"/>
      <c r="G9141" s="13">
        <f t="shared" si="1"/>
        <v>1281</v>
      </c>
      <c r="H9141" s="13"/>
    </row>
    <row r="9142" ht="22.5" customHeight="1">
      <c r="B9142" s="17"/>
      <c r="C9142" s="17"/>
      <c r="D9142" s="13"/>
      <c r="E9142" s="11"/>
      <c r="F9142" s="11"/>
      <c r="G9142" s="13">
        <f t="shared" si="1"/>
        <v>1281</v>
      </c>
      <c r="H9142" s="13"/>
    </row>
    <row r="9143" ht="22.5" customHeight="1">
      <c r="B9143" s="17"/>
      <c r="C9143" s="17"/>
      <c r="D9143" s="13"/>
      <c r="E9143" s="11"/>
      <c r="F9143" s="11"/>
      <c r="G9143" s="13">
        <f t="shared" si="1"/>
        <v>1281</v>
      </c>
      <c r="H9143" s="13"/>
    </row>
    <row r="9144" ht="22.5" customHeight="1">
      <c r="B9144" s="17"/>
      <c r="C9144" s="17"/>
      <c r="D9144" s="13"/>
      <c r="E9144" s="11"/>
      <c r="F9144" s="11"/>
      <c r="G9144" s="13">
        <f t="shared" si="1"/>
        <v>1281</v>
      </c>
      <c r="H9144" s="13"/>
    </row>
    <row r="9145" ht="22.5" customHeight="1">
      <c r="B9145" s="17"/>
      <c r="C9145" s="17"/>
      <c r="D9145" s="13"/>
      <c r="E9145" s="11"/>
      <c r="F9145" s="11"/>
      <c r="G9145" s="13">
        <f t="shared" si="1"/>
        <v>1281</v>
      </c>
      <c r="H9145" s="13"/>
    </row>
    <row r="9146" ht="22.5" customHeight="1">
      <c r="B9146" s="17"/>
      <c r="C9146" s="17"/>
      <c r="D9146" s="13"/>
      <c r="E9146" s="11"/>
      <c r="F9146" s="11"/>
      <c r="G9146" s="13">
        <f t="shared" si="1"/>
        <v>1281</v>
      </c>
      <c r="H9146" s="13"/>
    </row>
    <row r="9147" ht="22.5" customHeight="1">
      <c r="B9147" s="17"/>
      <c r="C9147" s="17"/>
      <c r="D9147" s="13"/>
      <c r="E9147" s="11"/>
      <c r="F9147" s="11"/>
      <c r="G9147" s="13">
        <f t="shared" si="1"/>
        <v>1281</v>
      </c>
      <c r="H9147" s="13"/>
    </row>
    <row r="9148" ht="22.5" customHeight="1">
      <c r="B9148" s="17"/>
      <c r="C9148" s="17"/>
      <c r="D9148" s="13"/>
      <c r="E9148" s="11"/>
      <c r="F9148" s="11"/>
      <c r="G9148" s="13">
        <f t="shared" si="1"/>
        <v>1281</v>
      </c>
      <c r="H9148" s="13"/>
    </row>
    <row r="9149" ht="22.5" customHeight="1">
      <c r="B9149" s="17"/>
      <c r="C9149" s="17"/>
      <c r="D9149" s="13"/>
      <c r="E9149" s="11"/>
      <c r="F9149" s="11"/>
      <c r="G9149" s="13">
        <f t="shared" si="1"/>
        <v>1281</v>
      </c>
      <c r="H9149" s="13"/>
    </row>
    <row r="9150" ht="22.5" customHeight="1">
      <c r="B9150" s="17"/>
      <c r="C9150" s="17"/>
      <c r="D9150" s="13"/>
      <c r="E9150" s="11"/>
      <c r="F9150" s="11"/>
      <c r="G9150" s="13">
        <f t="shared" si="1"/>
        <v>1281</v>
      </c>
      <c r="H9150" s="13"/>
    </row>
    <row r="9151" ht="22.5" customHeight="1">
      <c r="B9151" s="17"/>
      <c r="C9151" s="17"/>
      <c r="D9151" s="13"/>
      <c r="E9151" s="11"/>
      <c r="F9151" s="11"/>
      <c r="G9151" s="13">
        <f t="shared" si="1"/>
        <v>1281</v>
      </c>
      <c r="H9151" s="13"/>
    </row>
    <row r="9152" ht="22.5" customHeight="1">
      <c r="B9152" s="17"/>
      <c r="C9152" s="17"/>
      <c r="D9152" s="13"/>
      <c r="E9152" s="11"/>
      <c r="F9152" s="11"/>
      <c r="G9152" s="13">
        <f t="shared" si="1"/>
        <v>1281</v>
      </c>
      <c r="H9152" s="13"/>
    </row>
    <row r="9153" ht="22.5" customHeight="1">
      <c r="B9153" s="17"/>
      <c r="C9153" s="17"/>
      <c r="D9153" s="13"/>
      <c r="E9153" s="11"/>
      <c r="F9153" s="11"/>
      <c r="G9153" s="13">
        <f t="shared" si="1"/>
        <v>1281</v>
      </c>
      <c r="H9153" s="13"/>
    </row>
    <row r="9154" ht="22.5" customHeight="1">
      <c r="B9154" s="17"/>
      <c r="C9154" s="17"/>
      <c r="D9154" s="13"/>
      <c r="E9154" s="11"/>
      <c r="F9154" s="11"/>
      <c r="G9154" s="13">
        <f t="shared" si="1"/>
        <v>1281</v>
      </c>
      <c r="H9154" s="13"/>
    </row>
    <row r="9155" ht="22.5" customHeight="1">
      <c r="B9155" s="17"/>
      <c r="C9155" s="17"/>
      <c r="D9155" s="13"/>
      <c r="E9155" s="11"/>
      <c r="F9155" s="11"/>
      <c r="G9155" s="13">
        <f t="shared" si="1"/>
        <v>1281</v>
      </c>
      <c r="H9155" s="13"/>
    </row>
    <row r="9156" ht="22.5" customHeight="1">
      <c r="B9156" s="17"/>
      <c r="C9156" s="17"/>
      <c r="D9156" s="13"/>
      <c r="E9156" s="11"/>
      <c r="F9156" s="11"/>
      <c r="G9156" s="13">
        <f t="shared" si="1"/>
        <v>1281</v>
      </c>
      <c r="H9156" s="13"/>
    </row>
    <row r="9157" ht="22.5" customHeight="1">
      <c r="B9157" s="17"/>
      <c r="C9157" s="17"/>
      <c r="D9157" s="13"/>
      <c r="E9157" s="11"/>
      <c r="F9157" s="11"/>
      <c r="G9157" s="13">
        <f t="shared" si="1"/>
        <v>1281</v>
      </c>
      <c r="H9157" s="13"/>
    </row>
    <row r="9158" ht="22.5" customHeight="1">
      <c r="B9158" s="17"/>
      <c r="C9158" s="17"/>
      <c r="D9158" s="13"/>
      <c r="E9158" s="11"/>
      <c r="F9158" s="11"/>
      <c r="G9158" s="13">
        <f t="shared" si="1"/>
        <v>1281</v>
      </c>
      <c r="H9158" s="13"/>
    </row>
    <row r="9159" ht="22.5" customHeight="1">
      <c r="B9159" s="17"/>
      <c r="C9159" s="17"/>
      <c r="D9159" s="13"/>
      <c r="E9159" s="11"/>
      <c r="F9159" s="11"/>
      <c r="G9159" s="13">
        <f t="shared" si="1"/>
        <v>1281</v>
      </c>
      <c r="H9159" s="13"/>
    </row>
    <row r="9160" ht="22.5" customHeight="1">
      <c r="B9160" s="17"/>
      <c r="C9160" s="17"/>
      <c r="D9160" s="13"/>
      <c r="E9160" s="11"/>
      <c r="F9160" s="11"/>
      <c r="G9160" s="13">
        <f t="shared" si="1"/>
        <v>1281</v>
      </c>
      <c r="H9160" s="13"/>
    </row>
    <row r="9161" ht="22.5" customHeight="1">
      <c r="B9161" s="17"/>
      <c r="C9161" s="17"/>
      <c r="D9161" s="13"/>
      <c r="E9161" s="11"/>
      <c r="F9161" s="11"/>
      <c r="G9161" s="13">
        <f t="shared" si="1"/>
        <v>1281</v>
      </c>
      <c r="H9161" s="13"/>
    </row>
    <row r="9162" ht="22.5" customHeight="1">
      <c r="B9162" s="17"/>
      <c r="C9162" s="17"/>
      <c r="D9162" s="13"/>
      <c r="E9162" s="11"/>
      <c r="F9162" s="11"/>
      <c r="G9162" s="13">
        <f t="shared" si="1"/>
        <v>1281</v>
      </c>
      <c r="H9162" s="13"/>
    </row>
    <row r="9163" ht="22.5" customHeight="1">
      <c r="B9163" s="17"/>
      <c r="C9163" s="17"/>
      <c r="D9163" s="13"/>
      <c r="E9163" s="11"/>
      <c r="F9163" s="11"/>
      <c r="G9163" s="13">
        <f t="shared" si="1"/>
        <v>1281</v>
      </c>
      <c r="H9163" s="13"/>
    </row>
    <row r="9164" ht="22.5" customHeight="1">
      <c r="B9164" s="17"/>
      <c r="C9164" s="17"/>
      <c r="D9164" s="13"/>
      <c r="E9164" s="11"/>
      <c r="F9164" s="11"/>
      <c r="G9164" s="13">
        <f t="shared" si="1"/>
        <v>1281</v>
      </c>
      <c r="H9164" s="13"/>
    </row>
    <row r="9165" ht="22.5" customHeight="1">
      <c r="B9165" s="17"/>
      <c r="C9165" s="17"/>
      <c r="D9165" s="13"/>
      <c r="E9165" s="11"/>
      <c r="F9165" s="11"/>
      <c r="G9165" s="13">
        <f t="shared" si="1"/>
        <v>1281</v>
      </c>
      <c r="H9165" s="13"/>
    </row>
    <row r="9166" ht="22.5" customHeight="1">
      <c r="B9166" s="17"/>
      <c r="C9166" s="17"/>
      <c r="D9166" s="13"/>
      <c r="E9166" s="11"/>
      <c r="F9166" s="11"/>
      <c r="G9166" s="13">
        <f t="shared" si="1"/>
        <v>1281</v>
      </c>
      <c r="H9166" s="13"/>
    </row>
    <row r="9167" ht="22.5" customHeight="1">
      <c r="B9167" s="17"/>
      <c r="C9167" s="17"/>
      <c r="D9167" s="13"/>
      <c r="E9167" s="11"/>
      <c r="F9167" s="11"/>
      <c r="G9167" s="13">
        <f t="shared" si="1"/>
        <v>1281</v>
      </c>
      <c r="H9167" s="13"/>
    </row>
    <row r="9168" ht="22.5" customHeight="1">
      <c r="B9168" s="17"/>
      <c r="C9168" s="17"/>
      <c r="D9168" s="13"/>
      <c r="E9168" s="11"/>
      <c r="F9168" s="11"/>
      <c r="G9168" s="13">
        <f t="shared" si="1"/>
        <v>1281</v>
      </c>
      <c r="H9168" s="13"/>
    </row>
    <row r="9169" ht="22.5" customHeight="1">
      <c r="B9169" s="17"/>
      <c r="C9169" s="17"/>
      <c r="D9169" s="13"/>
      <c r="E9169" s="11"/>
      <c r="F9169" s="11"/>
      <c r="G9169" s="13">
        <f t="shared" si="1"/>
        <v>1281</v>
      </c>
      <c r="H9169" s="13"/>
    </row>
    <row r="9170" ht="22.5" customHeight="1">
      <c r="B9170" s="17"/>
      <c r="C9170" s="17"/>
      <c r="D9170" s="13"/>
      <c r="E9170" s="11"/>
      <c r="F9170" s="11"/>
      <c r="G9170" s="13">
        <f t="shared" si="1"/>
        <v>1281</v>
      </c>
      <c r="H9170" s="13"/>
    </row>
    <row r="9171" ht="22.5" customHeight="1">
      <c r="B9171" s="17"/>
      <c r="C9171" s="17"/>
      <c r="D9171" s="13"/>
      <c r="E9171" s="11"/>
      <c r="F9171" s="11"/>
      <c r="G9171" s="13">
        <f t="shared" si="1"/>
        <v>1281</v>
      </c>
      <c r="H9171" s="13"/>
    </row>
    <row r="9172" ht="22.5" customHeight="1">
      <c r="B9172" s="17"/>
      <c r="C9172" s="17"/>
      <c r="D9172" s="13"/>
      <c r="E9172" s="11"/>
      <c r="F9172" s="11"/>
      <c r="G9172" s="13">
        <f t="shared" si="1"/>
        <v>1281</v>
      </c>
      <c r="H9172" s="13"/>
    </row>
    <row r="9173" ht="22.5" customHeight="1">
      <c r="B9173" s="17"/>
      <c r="C9173" s="17"/>
      <c r="D9173" s="13"/>
      <c r="E9173" s="11"/>
      <c r="F9173" s="11"/>
      <c r="G9173" s="13">
        <f t="shared" si="1"/>
        <v>1281</v>
      </c>
      <c r="H9173" s="13"/>
    </row>
    <row r="9174" ht="22.5" customHeight="1">
      <c r="B9174" s="17"/>
      <c r="C9174" s="17"/>
      <c r="D9174" s="13"/>
      <c r="E9174" s="11"/>
      <c r="F9174" s="11"/>
      <c r="G9174" s="13">
        <f t="shared" si="1"/>
        <v>1281</v>
      </c>
      <c r="H9174" s="13"/>
    </row>
    <row r="9175" ht="22.5" customHeight="1">
      <c r="B9175" s="17"/>
      <c r="C9175" s="17"/>
      <c r="D9175" s="13"/>
      <c r="E9175" s="11"/>
      <c r="F9175" s="11"/>
      <c r="G9175" s="13">
        <f t="shared" si="1"/>
        <v>1281</v>
      </c>
      <c r="H9175" s="13"/>
    </row>
    <row r="9176" ht="22.5" customHeight="1">
      <c r="B9176" s="17"/>
      <c r="C9176" s="17"/>
      <c r="D9176" s="13"/>
      <c r="E9176" s="11"/>
      <c r="F9176" s="11"/>
      <c r="G9176" s="13">
        <f t="shared" si="1"/>
        <v>1281</v>
      </c>
      <c r="H9176" s="13"/>
    </row>
    <row r="9177" ht="22.5" customHeight="1">
      <c r="B9177" s="17"/>
      <c r="C9177" s="17"/>
      <c r="D9177" s="13"/>
      <c r="E9177" s="11"/>
      <c r="F9177" s="11"/>
      <c r="G9177" s="13">
        <f t="shared" si="1"/>
        <v>1281</v>
      </c>
      <c r="H9177" s="13"/>
    </row>
    <row r="9178" ht="22.5" customHeight="1">
      <c r="B9178" s="17"/>
      <c r="C9178" s="17"/>
      <c r="D9178" s="13"/>
      <c r="E9178" s="11"/>
      <c r="F9178" s="11"/>
      <c r="G9178" s="13">
        <f t="shared" si="1"/>
        <v>1281</v>
      </c>
      <c r="H9178" s="13"/>
    </row>
    <row r="9179" ht="22.5" customHeight="1">
      <c r="B9179" s="17"/>
      <c r="C9179" s="17"/>
      <c r="D9179" s="13"/>
      <c r="E9179" s="11"/>
      <c r="F9179" s="11"/>
      <c r="G9179" s="13">
        <f t="shared" si="1"/>
        <v>1281</v>
      </c>
      <c r="H9179" s="13"/>
    </row>
    <row r="9180" ht="22.5" customHeight="1">
      <c r="B9180" s="17"/>
      <c r="C9180" s="17"/>
      <c r="D9180" s="13"/>
      <c r="E9180" s="11"/>
      <c r="F9180" s="11"/>
      <c r="G9180" s="13">
        <f t="shared" si="1"/>
        <v>1281</v>
      </c>
      <c r="H9180" s="13"/>
    </row>
    <row r="9181" ht="22.5" customHeight="1">
      <c r="B9181" s="17"/>
      <c r="C9181" s="17"/>
      <c r="D9181" s="13"/>
      <c r="E9181" s="11"/>
      <c r="F9181" s="11"/>
      <c r="G9181" s="13">
        <f t="shared" si="1"/>
        <v>1281</v>
      </c>
      <c r="H9181" s="13"/>
    </row>
    <row r="9182" ht="22.5" customHeight="1">
      <c r="B9182" s="17"/>
      <c r="C9182" s="17"/>
      <c r="D9182" s="13"/>
      <c r="E9182" s="11"/>
      <c r="F9182" s="11"/>
      <c r="G9182" s="13">
        <f t="shared" si="1"/>
        <v>1281</v>
      </c>
      <c r="H9182" s="13"/>
    </row>
    <row r="9183" ht="22.5" customHeight="1">
      <c r="B9183" s="17"/>
      <c r="C9183" s="17"/>
      <c r="D9183" s="13"/>
      <c r="E9183" s="11"/>
      <c r="F9183" s="11"/>
      <c r="G9183" s="13">
        <f t="shared" si="1"/>
        <v>1281</v>
      </c>
      <c r="H9183" s="13"/>
    </row>
    <row r="9184" ht="22.5" customHeight="1">
      <c r="B9184" s="17"/>
      <c r="C9184" s="17"/>
      <c r="D9184" s="13"/>
      <c r="E9184" s="11"/>
      <c r="F9184" s="11"/>
      <c r="G9184" s="13">
        <f t="shared" si="1"/>
        <v>1281</v>
      </c>
      <c r="H9184" s="13"/>
    </row>
    <row r="9185" ht="22.5" customHeight="1">
      <c r="B9185" s="17"/>
      <c r="C9185" s="17"/>
      <c r="D9185" s="13"/>
      <c r="E9185" s="11"/>
      <c r="F9185" s="11"/>
      <c r="G9185" s="13">
        <f t="shared" si="1"/>
        <v>1281</v>
      </c>
      <c r="H9185" s="13"/>
    </row>
    <row r="9186" ht="22.5" customHeight="1">
      <c r="B9186" s="17"/>
      <c r="C9186" s="17"/>
      <c r="D9186" s="13"/>
      <c r="E9186" s="11"/>
      <c r="F9186" s="11"/>
      <c r="G9186" s="13">
        <f t="shared" si="1"/>
        <v>1281</v>
      </c>
      <c r="H9186" s="13"/>
    </row>
    <row r="9187" ht="22.5" customHeight="1">
      <c r="B9187" s="17"/>
      <c r="C9187" s="17"/>
      <c r="D9187" s="13"/>
      <c r="E9187" s="11"/>
      <c r="F9187" s="11"/>
      <c r="G9187" s="13">
        <f t="shared" si="1"/>
        <v>1281</v>
      </c>
      <c r="H9187" s="13"/>
    </row>
    <row r="9188" ht="22.5" customHeight="1">
      <c r="B9188" s="17"/>
      <c r="C9188" s="17"/>
      <c r="D9188" s="13"/>
      <c r="E9188" s="11"/>
      <c r="F9188" s="11"/>
      <c r="G9188" s="13">
        <f t="shared" si="1"/>
        <v>1281</v>
      </c>
      <c r="H9188" s="13"/>
    </row>
    <row r="9189" ht="22.5" customHeight="1">
      <c r="B9189" s="17"/>
      <c r="C9189" s="17"/>
      <c r="D9189" s="13"/>
      <c r="E9189" s="11"/>
      <c r="F9189" s="11"/>
      <c r="G9189" s="13">
        <f t="shared" si="1"/>
        <v>1281</v>
      </c>
      <c r="H9189" s="13"/>
    </row>
    <row r="9190" ht="22.5" customHeight="1">
      <c r="B9190" s="17"/>
      <c r="C9190" s="17"/>
      <c r="D9190" s="13"/>
      <c r="E9190" s="11"/>
      <c r="F9190" s="11"/>
      <c r="G9190" s="13">
        <f t="shared" si="1"/>
        <v>1281</v>
      </c>
      <c r="H9190" s="13"/>
    </row>
    <row r="9191" ht="22.5" customHeight="1">
      <c r="B9191" s="17"/>
      <c r="C9191" s="17"/>
      <c r="D9191" s="13"/>
      <c r="E9191" s="11"/>
      <c r="F9191" s="11"/>
      <c r="G9191" s="13">
        <f t="shared" si="1"/>
        <v>1281</v>
      </c>
      <c r="H9191" s="13"/>
    </row>
    <row r="9192" ht="22.5" customHeight="1">
      <c r="B9192" s="17"/>
      <c r="C9192" s="17"/>
      <c r="D9192" s="13"/>
      <c r="E9192" s="11"/>
      <c r="F9192" s="11"/>
      <c r="G9192" s="13">
        <f t="shared" si="1"/>
        <v>1281</v>
      </c>
      <c r="H9192" s="13"/>
    </row>
    <row r="9193" ht="22.5" customHeight="1">
      <c r="B9193" s="17"/>
      <c r="C9193" s="17"/>
      <c r="D9193" s="13"/>
      <c r="E9193" s="11"/>
      <c r="F9193" s="11"/>
      <c r="G9193" s="13">
        <f t="shared" si="1"/>
        <v>1281</v>
      </c>
      <c r="H9193" s="13"/>
    </row>
    <row r="9194" ht="22.5" customHeight="1">
      <c r="B9194" s="17"/>
      <c r="C9194" s="17"/>
      <c r="D9194" s="13"/>
      <c r="E9194" s="11"/>
      <c r="F9194" s="11"/>
      <c r="G9194" s="13">
        <f t="shared" si="1"/>
        <v>1281</v>
      </c>
      <c r="H9194" s="13"/>
    </row>
    <row r="9195" ht="22.5" customHeight="1">
      <c r="B9195" s="17"/>
      <c r="C9195" s="17"/>
      <c r="D9195" s="13"/>
      <c r="E9195" s="11"/>
      <c r="F9195" s="11"/>
      <c r="G9195" s="13">
        <f t="shared" si="1"/>
        <v>1281</v>
      </c>
      <c r="H9195" s="13"/>
    </row>
    <row r="9196" ht="22.5" customHeight="1">
      <c r="B9196" s="17"/>
      <c r="C9196" s="17"/>
      <c r="D9196" s="13"/>
      <c r="E9196" s="11"/>
      <c r="F9196" s="11"/>
      <c r="G9196" s="13">
        <f t="shared" si="1"/>
        <v>1281</v>
      </c>
      <c r="H9196" s="13"/>
    </row>
    <row r="9197" ht="22.5" customHeight="1">
      <c r="B9197" s="17"/>
      <c r="C9197" s="17"/>
      <c r="D9197" s="13"/>
      <c r="E9197" s="11"/>
      <c r="F9197" s="11"/>
      <c r="G9197" s="13">
        <f t="shared" si="1"/>
        <v>1281</v>
      </c>
      <c r="H9197" s="13"/>
    </row>
    <row r="9198" ht="22.5" customHeight="1">
      <c r="B9198" s="17"/>
      <c r="C9198" s="17"/>
      <c r="D9198" s="13"/>
      <c r="E9198" s="11"/>
      <c r="F9198" s="11"/>
      <c r="G9198" s="13">
        <f t="shared" si="1"/>
        <v>1281</v>
      </c>
      <c r="H9198" s="13"/>
    </row>
    <row r="9199" ht="22.5" customHeight="1">
      <c r="B9199" s="17"/>
      <c r="C9199" s="17"/>
      <c r="D9199" s="13"/>
      <c r="E9199" s="11"/>
      <c r="F9199" s="11"/>
      <c r="G9199" s="13">
        <f t="shared" si="1"/>
        <v>1281</v>
      </c>
      <c r="H9199" s="13"/>
    </row>
    <row r="9200" ht="22.5" customHeight="1">
      <c r="B9200" s="17"/>
      <c r="C9200" s="17"/>
      <c r="D9200" s="13"/>
      <c r="E9200" s="11"/>
      <c r="F9200" s="11"/>
      <c r="G9200" s="13">
        <f t="shared" si="1"/>
        <v>1281</v>
      </c>
      <c r="H9200" s="13"/>
    </row>
    <row r="9201" ht="22.5" customHeight="1">
      <c r="B9201" s="17"/>
      <c r="C9201" s="17"/>
      <c r="D9201" s="13"/>
      <c r="E9201" s="11"/>
      <c r="F9201" s="11"/>
      <c r="G9201" s="13">
        <f t="shared" si="1"/>
        <v>1281</v>
      </c>
      <c r="H9201" s="13"/>
    </row>
    <row r="9202" ht="22.5" customHeight="1">
      <c r="B9202" s="17"/>
      <c r="C9202" s="17"/>
      <c r="D9202" s="13"/>
      <c r="E9202" s="11"/>
      <c r="F9202" s="11"/>
      <c r="G9202" s="13">
        <f t="shared" si="1"/>
        <v>1281</v>
      </c>
      <c r="H9202" s="13"/>
    </row>
    <row r="9203" ht="22.5" customHeight="1">
      <c r="B9203" s="17"/>
      <c r="C9203" s="17"/>
      <c r="D9203" s="13"/>
      <c r="E9203" s="11"/>
      <c r="F9203" s="11"/>
      <c r="G9203" s="13">
        <f t="shared" si="1"/>
        <v>1281</v>
      </c>
      <c r="H9203" s="13"/>
    </row>
    <row r="9204" ht="22.5" customHeight="1">
      <c r="B9204" s="17"/>
      <c r="C9204" s="17"/>
      <c r="D9204" s="13"/>
      <c r="E9204" s="11"/>
      <c r="F9204" s="11"/>
      <c r="G9204" s="13">
        <f t="shared" si="1"/>
        <v>1281</v>
      </c>
      <c r="H9204" s="13"/>
    </row>
    <row r="9205" ht="22.5" customHeight="1">
      <c r="B9205" s="17"/>
      <c r="C9205" s="17"/>
      <c r="D9205" s="13"/>
      <c r="E9205" s="11"/>
      <c r="F9205" s="11"/>
      <c r="G9205" s="13">
        <f t="shared" si="1"/>
        <v>1281</v>
      </c>
      <c r="H9205" s="13"/>
    </row>
    <row r="9206" ht="22.5" customHeight="1">
      <c r="B9206" s="17"/>
      <c r="C9206" s="17"/>
      <c r="D9206" s="13"/>
      <c r="E9206" s="11"/>
      <c r="F9206" s="11"/>
      <c r="G9206" s="13">
        <f t="shared" si="1"/>
        <v>1281</v>
      </c>
      <c r="H9206" s="13"/>
    </row>
    <row r="9207" ht="22.5" customHeight="1">
      <c r="B9207" s="17"/>
      <c r="C9207" s="17"/>
      <c r="D9207" s="13"/>
      <c r="E9207" s="11"/>
      <c r="F9207" s="11"/>
      <c r="G9207" s="13">
        <f t="shared" si="1"/>
        <v>1281</v>
      </c>
      <c r="H9207" s="13"/>
    </row>
    <row r="9208" ht="22.5" customHeight="1">
      <c r="B9208" s="17"/>
      <c r="C9208" s="17"/>
      <c r="D9208" s="13"/>
      <c r="E9208" s="11"/>
      <c r="F9208" s="11"/>
      <c r="G9208" s="13">
        <f t="shared" si="1"/>
        <v>1281</v>
      </c>
      <c r="H9208" s="13"/>
    </row>
    <row r="9209" ht="22.5" customHeight="1">
      <c r="B9209" s="17"/>
      <c r="C9209" s="17"/>
      <c r="D9209" s="13"/>
      <c r="E9209" s="11"/>
      <c r="F9209" s="11"/>
      <c r="G9209" s="13">
        <f t="shared" si="1"/>
        <v>1281</v>
      </c>
      <c r="H9209" s="13"/>
    </row>
    <row r="9210" ht="22.5" customHeight="1">
      <c r="B9210" s="17"/>
      <c r="C9210" s="17"/>
      <c r="D9210" s="13"/>
      <c r="E9210" s="11"/>
      <c r="F9210" s="11"/>
      <c r="G9210" s="13">
        <f t="shared" si="1"/>
        <v>1281</v>
      </c>
      <c r="H9210" s="13"/>
    </row>
    <row r="9211" ht="22.5" customHeight="1">
      <c r="B9211" s="17"/>
      <c r="C9211" s="17"/>
      <c r="D9211" s="13"/>
      <c r="E9211" s="11"/>
      <c r="F9211" s="11"/>
      <c r="G9211" s="13">
        <f t="shared" si="1"/>
        <v>1281</v>
      </c>
      <c r="H9211" s="13"/>
    </row>
    <row r="9212" ht="22.5" customHeight="1">
      <c r="B9212" s="17"/>
      <c r="C9212" s="17"/>
      <c r="D9212" s="13"/>
      <c r="E9212" s="11"/>
      <c r="F9212" s="11"/>
      <c r="G9212" s="13">
        <f t="shared" si="1"/>
        <v>1281</v>
      </c>
      <c r="H9212" s="13"/>
    </row>
    <row r="9213" ht="22.5" customHeight="1">
      <c r="B9213" s="17"/>
      <c r="C9213" s="17"/>
      <c r="D9213" s="13"/>
      <c r="E9213" s="11"/>
      <c r="F9213" s="11"/>
      <c r="G9213" s="13">
        <f t="shared" si="1"/>
        <v>1281</v>
      </c>
      <c r="H9213" s="13"/>
    </row>
    <row r="9214" ht="22.5" customHeight="1">
      <c r="B9214" s="17"/>
      <c r="C9214" s="17"/>
      <c r="D9214" s="13"/>
      <c r="E9214" s="11"/>
      <c r="F9214" s="11"/>
      <c r="G9214" s="13">
        <f t="shared" si="1"/>
        <v>1281</v>
      </c>
      <c r="H9214" s="13"/>
    </row>
    <row r="9215" ht="22.5" customHeight="1">
      <c r="B9215" s="17"/>
      <c r="C9215" s="17"/>
      <c r="D9215" s="13"/>
      <c r="E9215" s="11"/>
      <c r="F9215" s="11"/>
      <c r="G9215" s="13">
        <f t="shared" si="1"/>
        <v>1281</v>
      </c>
      <c r="H9215" s="13"/>
    </row>
    <row r="9216" ht="22.5" customHeight="1">
      <c r="B9216" s="17"/>
      <c r="C9216" s="17"/>
      <c r="D9216" s="13"/>
      <c r="E9216" s="11"/>
      <c r="F9216" s="11"/>
      <c r="G9216" s="13">
        <f t="shared" si="1"/>
        <v>1281</v>
      </c>
      <c r="H9216" s="13"/>
    </row>
    <row r="9217" ht="22.5" customHeight="1">
      <c r="B9217" s="17"/>
      <c r="C9217" s="17"/>
      <c r="D9217" s="13"/>
      <c r="E9217" s="11"/>
      <c r="F9217" s="11"/>
      <c r="G9217" s="13">
        <f t="shared" si="1"/>
        <v>1281</v>
      </c>
      <c r="H9217" s="13"/>
    </row>
    <row r="9218" ht="22.5" customHeight="1">
      <c r="B9218" s="17"/>
      <c r="C9218" s="17"/>
      <c r="D9218" s="13"/>
      <c r="E9218" s="11"/>
      <c r="F9218" s="11"/>
      <c r="G9218" s="13">
        <f t="shared" si="1"/>
        <v>1281</v>
      </c>
      <c r="H9218" s="13"/>
    </row>
    <row r="9219" ht="22.5" customHeight="1">
      <c r="B9219" s="17"/>
      <c r="C9219" s="17"/>
      <c r="D9219" s="13"/>
      <c r="E9219" s="11"/>
      <c r="F9219" s="11"/>
      <c r="G9219" s="13">
        <f t="shared" si="1"/>
        <v>1281</v>
      </c>
      <c r="H9219" s="13"/>
    </row>
    <row r="9220" ht="22.5" customHeight="1">
      <c r="B9220" s="17"/>
      <c r="C9220" s="17"/>
      <c r="D9220" s="13"/>
      <c r="E9220" s="11"/>
      <c r="F9220" s="11"/>
      <c r="G9220" s="13">
        <f t="shared" si="1"/>
        <v>1281</v>
      </c>
      <c r="H9220" s="13"/>
    </row>
    <row r="9221" ht="22.5" customHeight="1">
      <c r="B9221" s="17"/>
      <c r="C9221" s="17"/>
      <c r="D9221" s="13"/>
      <c r="E9221" s="11"/>
      <c r="F9221" s="11"/>
      <c r="G9221" s="13">
        <f t="shared" si="1"/>
        <v>1281</v>
      </c>
      <c r="H9221" s="13"/>
    </row>
    <row r="9222" ht="22.5" customHeight="1">
      <c r="B9222" s="17"/>
      <c r="C9222" s="17"/>
      <c r="D9222" s="13"/>
      <c r="E9222" s="11"/>
      <c r="F9222" s="11"/>
      <c r="G9222" s="13">
        <f t="shared" si="1"/>
        <v>1281</v>
      </c>
      <c r="H9222" s="13"/>
    </row>
    <row r="9223" ht="22.5" customHeight="1">
      <c r="B9223" s="17"/>
      <c r="C9223" s="17"/>
      <c r="D9223" s="13"/>
      <c r="E9223" s="11"/>
      <c r="F9223" s="11"/>
      <c r="G9223" s="13">
        <f t="shared" si="1"/>
        <v>1281</v>
      </c>
      <c r="H9223" s="13"/>
    </row>
    <row r="9224" ht="22.5" customHeight="1">
      <c r="B9224" s="17"/>
      <c r="C9224" s="17"/>
      <c r="D9224" s="13"/>
      <c r="E9224" s="11"/>
      <c r="F9224" s="11"/>
      <c r="G9224" s="13">
        <f t="shared" si="1"/>
        <v>1281</v>
      </c>
      <c r="H9224" s="13"/>
    </row>
    <row r="9225" ht="22.5" customHeight="1">
      <c r="B9225" s="17"/>
      <c r="C9225" s="17"/>
      <c r="D9225" s="13"/>
      <c r="E9225" s="11"/>
      <c r="F9225" s="11"/>
      <c r="G9225" s="13">
        <f t="shared" si="1"/>
        <v>1281</v>
      </c>
      <c r="H9225" s="13"/>
    </row>
    <row r="9226" ht="22.5" customHeight="1">
      <c r="B9226" s="17"/>
      <c r="C9226" s="17"/>
      <c r="D9226" s="13"/>
      <c r="E9226" s="11"/>
      <c r="F9226" s="11"/>
      <c r="G9226" s="13">
        <f t="shared" si="1"/>
        <v>1281</v>
      </c>
      <c r="H9226" s="13"/>
    </row>
    <row r="9227" ht="22.5" customHeight="1">
      <c r="B9227" s="17"/>
      <c r="C9227" s="17"/>
      <c r="D9227" s="13"/>
      <c r="E9227" s="11"/>
      <c r="F9227" s="11"/>
      <c r="G9227" s="13">
        <f t="shared" si="1"/>
        <v>1281</v>
      </c>
      <c r="H9227" s="13"/>
    </row>
    <row r="9228" ht="22.5" customHeight="1">
      <c r="B9228" s="17"/>
      <c r="C9228" s="17"/>
      <c r="D9228" s="13"/>
      <c r="E9228" s="11"/>
      <c r="F9228" s="11"/>
      <c r="G9228" s="13">
        <f t="shared" si="1"/>
        <v>1281</v>
      </c>
      <c r="H9228" s="13"/>
    </row>
    <row r="9229" ht="22.5" customHeight="1">
      <c r="B9229" s="17"/>
      <c r="C9229" s="17"/>
      <c r="D9229" s="13"/>
      <c r="E9229" s="11"/>
      <c r="F9229" s="11"/>
      <c r="G9229" s="13">
        <f t="shared" si="1"/>
        <v>1281</v>
      </c>
      <c r="H9229" s="13"/>
    </row>
    <row r="9230" ht="22.5" customHeight="1">
      <c r="B9230" s="17"/>
      <c r="C9230" s="17"/>
      <c r="D9230" s="13"/>
      <c r="E9230" s="11"/>
      <c r="F9230" s="11"/>
      <c r="G9230" s="13">
        <f t="shared" si="1"/>
        <v>1281</v>
      </c>
      <c r="H9230" s="13"/>
    </row>
    <row r="9231" ht="22.5" customHeight="1">
      <c r="B9231" s="17"/>
      <c r="C9231" s="17"/>
      <c r="D9231" s="13"/>
      <c r="E9231" s="11"/>
      <c r="F9231" s="11"/>
      <c r="G9231" s="13">
        <f t="shared" si="1"/>
        <v>1281</v>
      </c>
      <c r="H9231" s="13"/>
    </row>
    <row r="9232" ht="22.5" customHeight="1">
      <c r="B9232" s="17"/>
      <c r="C9232" s="17"/>
      <c r="D9232" s="13"/>
      <c r="E9232" s="11"/>
      <c r="F9232" s="11"/>
      <c r="G9232" s="13">
        <f t="shared" si="1"/>
        <v>1281</v>
      </c>
      <c r="H9232" s="13"/>
    </row>
    <row r="9233" ht="22.5" customHeight="1">
      <c r="B9233" s="17"/>
      <c r="C9233" s="17"/>
      <c r="D9233" s="13"/>
      <c r="E9233" s="11"/>
      <c r="F9233" s="11"/>
      <c r="G9233" s="13">
        <f t="shared" si="1"/>
        <v>1281</v>
      </c>
      <c r="H9233" s="13"/>
    </row>
    <row r="9234" ht="22.5" customHeight="1">
      <c r="B9234" s="17"/>
      <c r="C9234" s="17"/>
      <c r="D9234" s="13"/>
      <c r="E9234" s="11"/>
      <c r="F9234" s="11"/>
      <c r="G9234" s="13">
        <f t="shared" si="1"/>
        <v>1281</v>
      </c>
      <c r="H9234" s="13"/>
    </row>
    <row r="9235" ht="22.5" customHeight="1">
      <c r="B9235" s="17"/>
      <c r="C9235" s="17"/>
      <c r="D9235" s="13"/>
      <c r="E9235" s="11"/>
      <c r="F9235" s="11"/>
      <c r="G9235" s="13">
        <f t="shared" si="1"/>
        <v>1281</v>
      </c>
      <c r="H9235" s="13"/>
    </row>
    <row r="9236" ht="22.5" customHeight="1">
      <c r="B9236" s="17"/>
      <c r="C9236" s="17"/>
      <c r="D9236" s="13"/>
      <c r="E9236" s="11"/>
      <c r="F9236" s="11"/>
      <c r="G9236" s="13">
        <f t="shared" si="1"/>
        <v>1281</v>
      </c>
      <c r="H9236" s="13"/>
    </row>
    <row r="9237" ht="22.5" customHeight="1">
      <c r="B9237" s="17"/>
      <c r="C9237" s="17"/>
      <c r="D9237" s="13"/>
      <c r="E9237" s="11"/>
      <c r="F9237" s="11"/>
      <c r="G9237" s="13">
        <f t="shared" si="1"/>
        <v>1281</v>
      </c>
      <c r="H9237" s="13"/>
    </row>
    <row r="9238" ht="22.5" customHeight="1">
      <c r="B9238" s="17"/>
      <c r="C9238" s="17"/>
      <c r="D9238" s="13"/>
      <c r="E9238" s="11"/>
      <c r="F9238" s="11"/>
      <c r="G9238" s="13">
        <f t="shared" si="1"/>
        <v>1281</v>
      </c>
      <c r="H9238" s="13"/>
    </row>
    <row r="9239" ht="22.5" customHeight="1">
      <c r="B9239" s="17"/>
      <c r="C9239" s="17"/>
      <c r="D9239" s="13"/>
      <c r="E9239" s="11"/>
      <c r="F9239" s="11"/>
      <c r="G9239" s="13">
        <f t="shared" si="1"/>
        <v>1281</v>
      </c>
      <c r="H9239" s="13"/>
    </row>
    <row r="9240" ht="22.5" customHeight="1">
      <c r="B9240" s="17"/>
      <c r="C9240" s="17"/>
      <c r="D9240" s="13"/>
      <c r="E9240" s="11"/>
      <c r="F9240" s="11"/>
      <c r="G9240" s="13">
        <f t="shared" si="1"/>
        <v>1281</v>
      </c>
      <c r="H9240" s="13"/>
    </row>
    <row r="9241" ht="22.5" customHeight="1">
      <c r="B9241" s="17"/>
      <c r="C9241" s="17"/>
      <c r="D9241" s="13"/>
      <c r="E9241" s="11"/>
      <c r="F9241" s="11"/>
      <c r="G9241" s="13">
        <f t="shared" si="1"/>
        <v>1281</v>
      </c>
      <c r="H9241" s="13"/>
    </row>
    <row r="9242" ht="22.5" customHeight="1">
      <c r="B9242" s="17"/>
      <c r="C9242" s="17"/>
      <c r="D9242" s="13"/>
      <c r="E9242" s="11"/>
      <c r="F9242" s="11"/>
      <c r="G9242" s="13">
        <f t="shared" si="1"/>
        <v>1281</v>
      </c>
      <c r="H9242" s="13"/>
    </row>
    <row r="9243" ht="22.5" customHeight="1">
      <c r="B9243" s="17"/>
      <c r="C9243" s="17"/>
      <c r="D9243" s="13"/>
      <c r="E9243" s="11"/>
      <c r="F9243" s="11"/>
      <c r="G9243" s="13">
        <f t="shared" si="1"/>
        <v>1281</v>
      </c>
      <c r="H9243" s="13"/>
    </row>
    <row r="9244" ht="22.5" customHeight="1">
      <c r="B9244" s="17"/>
      <c r="C9244" s="17"/>
      <c r="D9244" s="13"/>
      <c r="E9244" s="11"/>
      <c r="F9244" s="11"/>
      <c r="G9244" s="13">
        <f t="shared" si="1"/>
        <v>1281</v>
      </c>
      <c r="H9244" s="13"/>
    </row>
    <row r="9245" ht="22.5" customHeight="1">
      <c r="B9245" s="17"/>
      <c r="C9245" s="17"/>
      <c r="D9245" s="13"/>
      <c r="E9245" s="11"/>
      <c r="F9245" s="11"/>
      <c r="G9245" s="13">
        <f t="shared" si="1"/>
        <v>1281</v>
      </c>
      <c r="H9245" s="13"/>
    </row>
    <row r="9246" ht="22.5" customHeight="1">
      <c r="B9246" s="17"/>
      <c r="C9246" s="17"/>
      <c r="D9246" s="13"/>
      <c r="E9246" s="11"/>
      <c r="F9246" s="11"/>
      <c r="G9246" s="13">
        <f t="shared" si="1"/>
        <v>1281</v>
      </c>
      <c r="H9246" s="13"/>
    </row>
    <row r="9247" ht="22.5" customHeight="1">
      <c r="B9247" s="17"/>
      <c r="C9247" s="17"/>
      <c r="D9247" s="13"/>
      <c r="E9247" s="11"/>
      <c r="F9247" s="11"/>
      <c r="G9247" s="13">
        <f t="shared" si="1"/>
        <v>1281</v>
      </c>
      <c r="H9247" s="13"/>
    </row>
    <row r="9248" ht="22.5" customHeight="1">
      <c r="B9248" s="17"/>
      <c r="C9248" s="17"/>
      <c r="D9248" s="13"/>
      <c r="E9248" s="11"/>
      <c r="F9248" s="11"/>
      <c r="G9248" s="13">
        <f t="shared" si="1"/>
        <v>1281</v>
      </c>
      <c r="H9248" s="13"/>
    </row>
    <row r="9249" ht="22.5" customHeight="1">
      <c r="B9249" s="17"/>
      <c r="C9249" s="17"/>
      <c r="D9249" s="13"/>
      <c r="E9249" s="11"/>
      <c r="F9249" s="11"/>
      <c r="G9249" s="13">
        <f t="shared" si="1"/>
        <v>1281</v>
      </c>
      <c r="H9249" s="13"/>
    </row>
    <row r="9250" ht="22.5" customHeight="1">
      <c r="B9250" s="17"/>
      <c r="C9250" s="17"/>
      <c r="D9250" s="13"/>
      <c r="E9250" s="11"/>
      <c r="F9250" s="11"/>
      <c r="G9250" s="13">
        <f t="shared" si="1"/>
        <v>1281</v>
      </c>
      <c r="H9250" s="13"/>
    </row>
    <row r="9251" ht="22.5" customHeight="1">
      <c r="B9251" s="17"/>
      <c r="C9251" s="17"/>
      <c r="D9251" s="13"/>
      <c r="E9251" s="11"/>
      <c r="F9251" s="11"/>
      <c r="G9251" s="13">
        <f t="shared" si="1"/>
        <v>1281</v>
      </c>
      <c r="H9251" s="13"/>
    </row>
    <row r="9252" ht="22.5" customHeight="1">
      <c r="B9252" s="17"/>
      <c r="C9252" s="17"/>
      <c r="D9252" s="13"/>
      <c r="E9252" s="11"/>
      <c r="F9252" s="11"/>
      <c r="G9252" s="13">
        <f t="shared" si="1"/>
        <v>1281</v>
      </c>
      <c r="H9252" s="13"/>
    </row>
    <row r="9253" ht="22.5" customHeight="1">
      <c r="B9253" s="17"/>
      <c r="C9253" s="17"/>
      <c r="D9253" s="13"/>
      <c r="E9253" s="11"/>
      <c r="F9253" s="11"/>
      <c r="G9253" s="13">
        <f t="shared" si="1"/>
        <v>1281</v>
      </c>
      <c r="H9253" s="13"/>
    </row>
    <row r="9254" ht="22.5" customHeight="1">
      <c r="B9254" s="17"/>
      <c r="C9254" s="17"/>
      <c r="D9254" s="13"/>
      <c r="E9254" s="11"/>
      <c r="F9254" s="11"/>
      <c r="G9254" s="13">
        <f t="shared" si="1"/>
        <v>1281</v>
      </c>
      <c r="H9254" s="13"/>
    </row>
    <row r="9255" ht="22.5" customHeight="1">
      <c r="B9255" s="17"/>
      <c r="C9255" s="17"/>
      <c r="D9255" s="13"/>
      <c r="E9255" s="11"/>
      <c r="F9255" s="11"/>
      <c r="G9255" s="13">
        <f t="shared" si="1"/>
        <v>1281</v>
      </c>
      <c r="H9255" s="13"/>
    </row>
    <row r="9256" ht="22.5" customHeight="1">
      <c r="B9256" s="17"/>
      <c r="C9256" s="17"/>
      <c r="D9256" s="13"/>
      <c r="E9256" s="11"/>
      <c r="F9256" s="11"/>
      <c r="G9256" s="13">
        <f t="shared" si="1"/>
        <v>1281</v>
      </c>
      <c r="H9256" s="13"/>
    </row>
    <row r="9257" ht="22.5" customHeight="1">
      <c r="B9257" s="17"/>
      <c r="C9257" s="17"/>
      <c r="D9257" s="13"/>
      <c r="E9257" s="11"/>
      <c r="F9257" s="11"/>
      <c r="G9257" s="13">
        <f t="shared" si="1"/>
        <v>1281</v>
      </c>
      <c r="H9257" s="13"/>
    </row>
    <row r="9258" ht="22.5" customHeight="1">
      <c r="B9258" s="17"/>
      <c r="C9258" s="17"/>
      <c r="D9258" s="13"/>
      <c r="E9258" s="11"/>
      <c r="F9258" s="11"/>
      <c r="G9258" s="13">
        <f t="shared" si="1"/>
        <v>1281</v>
      </c>
      <c r="H9258" s="13"/>
    </row>
    <row r="9259" ht="22.5" customHeight="1">
      <c r="B9259" s="17"/>
      <c r="C9259" s="17"/>
      <c r="D9259" s="13"/>
      <c r="E9259" s="11"/>
      <c r="F9259" s="11"/>
      <c r="G9259" s="13">
        <f t="shared" si="1"/>
        <v>1281</v>
      </c>
      <c r="H9259" s="13"/>
    </row>
    <row r="9260" ht="22.5" customHeight="1">
      <c r="B9260" s="17"/>
      <c r="C9260" s="17"/>
      <c r="D9260" s="13"/>
      <c r="E9260" s="11"/>
      <c r="F9260" s="11"/>
      <c r="G9260" s="13">
        <f t="shared" si="1"/>
        <v>1281</v>
      </c>
      <c r="H9260" s="13"/>
    </row>
    <row r="9261" ht="22.5" customHeight="1">
      <c r="B9261" s="17"/>
      <c r="C9261" s="17"/>
      <c r="D9261" s="13"/>
      <c r="E9261" s="11"/>
      <c r="F9261" s="11"/>
      <c r="G9261" s="13">
        <f t="shared" si="1"/>
        <v>1281</v>
      </c>
      <c r="H9261" s="13"/>
    </row>
    <row r="9262" ht="22.5" customHeight="1">
      <c r="B9262" s="17"/>
      <c r="C9262" s="17"/>
      <c r="D9262" s="13"/>
      <c r="E9262" s="11"/>
      <c r="F9262" s="11"/>
      <c r="G9262" s="13">
        <f t="shared" si="1"/>
        <v>1281</v>
      </c>
      <c r="H9262" s="13"/>
    </row>
    <row r="9263" ht="22.5" customHeight="1">
      <c r="B9263" s="17"/>
      <c r="C9263" s="17"/>
      <c r="D9263" s="13"/>
      <c r="E9263" s="11"/>
      <c r="F9263" s="11"/>
      <c r="G9263" s="13">
        <f t="shared" si="1"/>
        <v>1281</v>
      </c>
      <c r="H9263" s="13"/>
    </row>
    <row r="9264" ht="22.5" customHeight="1">
      <c r="B9264" s="17"/>
      <c r="C9264" s="17"/>
      <c r="D9264" s="13"/>
      <c r="E9264" s="11"/>
      <c r="F9264" s="11"/>
      <c r="G9264" s="13">
        <f t="shared" si="1"/>
        <v>1281</v>
      </c>
      <c r="H9264" s="13"/>
    </row>
    <row r="9265" ht="22.5" customHeight="1">
      <c r="B9265" s="17"/>
      <c r="C9265" s="17"/>
      <c r="D9265" s="13"/>
      <c r="E9265" s="11"/>
      <c r="F9265" s="11"/>
      <c r="G9265" s="13">
        <f t="shared" si="1"/>
        <v>1281</v>
      </c>
      <c r="H9265" s="13"/>
    </row>
    <row r="9266" ht="22.5" customHeight="1">
      <c r="B9266" s="17"/>
      <c r="C9266" s="17"/>
      <c r="D9266" s="13"/>
      <c r="E9266" s="11"/>
      <c r="F9266" s="11"/>
      <c r="G9266" s="13">
        <f t="shared" si="1"/>
        <v>1281</v>
      </c>
      <c r="H9266" s="13"/>
    </row>
    <row r="9267" ht="22.5" customHeight="1">
      <c r="B9267" s="17"/>
      <c r="C9267" s="17"/>
      <c r="D9267" s="13"/>
      <c r="E9267" s="11"/>
      <c r="F9267" s="11"/>
      <c r="G9267" s="13">
        <f t="shared" si="1"/>
        <v>1281</v>
      </c>
      <c r="H9267" s="13"/>
    </row>
    <row r="9268" ht="22.5" customHeight="1">
      <c r="B9268" s="17"/>
      <c r="C9268" s="17"/>
      <c r="D9268" s="13"/>
      <c r="E9268" s="11"/>
      <c r="F9268" s="11"/>
      <c r="G9268" s="13">
        <f t="shared" si="1"/>
        <v>1281</v>
      </c>
      <c r="H9268" s="13"/>
    </row>
    <row r="9269" ht="22.5" customHeight="1">
      <c r="B9269" s="17"/>
      <c r="C9269" s="17"/>
      <c r="D9269" s="13"/>
      <c r="E9269" s="11"/>
      <c r="F9269" s="11"/>
      <c r="G9269" s="13">
        <f t="shared" si="1"/>
        <v>1281</v>
      </c>
      <c r="H9269" s="13"/>
    </row>
    <row r="9270" ht="22.5" customHeight="1">
      <c r="B9270" s="17"/>
      <c r="C9270" s="17"/>
      <c r="D9270" s="13"/>
      <c r="E9270" s="11"/>
      <c r="F9270" s="11"/>
      <c r="G9270" s="13">
        <f t="shared" si="1"/>
        <v>1281</v>
      </c>
      <c r="H9270" s="13"/>
    </row>
    <row r="9271" ht="22.5" customHeight="1">
      <c r="B9271" s="17"/>
      <c r="C9271" s="17"/>
      <c r="D9271" s="13"/>
      <c r="E9271" s="11"/>
      <c r="F9271" s="11"/>
      <c r="G9271" s="13">
        <f t="shared" si="1"/>
        <v>1281</v>
      </c>
      <c r="H9271" s="13"/>
    </row>
    <row r="9272" ht="22.5" customHeight="1">
      <c r="B9272" s="17"/>
      <c r="C9272" s="17"/>
      <c r="D9272" s="13"/>
      <c r="E9272" s="11"/>
      <c r="F9272" s="11"/>
      <c r="G9272" s="13">
        <f t="shared" si="1"/>
        <v>1281</v>
      </c>
      <c r="H9272" s="13"/>
    </row>
    <row r="9273" ht="22.5" customHeight="1">
      <c r="B9273" s="17"/>
      <c r="C9273" s="17"/>
      <c r="D9273" s="13"/>
      <c r="E9273" s="11"/>
      <c r="F9273" s="11"/>
      <c r="G9273" s="13">
        <f t="shared" si="1"/>
        <v>1281</v>
      </c>
      <c r="H9273" s="13"/>
    </row>
    <row r="9274" ht="22.5" customHeight="1">
      <c r="B9274" s="17"/>
      <c r="C9274" s="17"/>
      <c r="D9274" s="13"/>
      <c r="E9274" s="11"/>
      <c r="F9274" s="11"/>
      <c r="G9274" s="13">
        <f t="shared" si="1"/>
        <v>1281</v>
      </c>
      <c r="H9274" s="13"/>
    </row>
    <row r="9275" ht="22.5" customHeight="1">
      <c r="B9275" s="17"/>
      <c r="C9275" s="17"/>
      <c r="D9275" s="13"/>
      <c r="E9275" s="11"/>
      <c r="F9275" s="11"/>
      <c r="G9275" s="13">
        <f t="shared" si="1"/>
        <v>1281</v>
      </c>
      <c r="H9275" s="13"/>
    </row>
    <row r="9276" ht="22.5" customHeight="1">
      <c r="B9276" s="17"/>
      <c r="C9276" s="17"/>
      <c r="D9276" s="13"/>
      <c r="E9276" s="11"/>
      <c r="F9276" s="11"/>
      <c r="G9276" s="13">
        <f t="shared" si="1"/>
        <v>1281</v>
      </c>
      <c r="H9276" s="13"/>
    </row>
    <row r="9277" ht="22.5" customHeight="1">
      <c r="B9277" s="17"/>
      <c r="C9277" s="17"/>
      <c r="D9277" s="13"/>
      <c r="E9277" s="11"/>
      <c r="F9277" s="11"/>
      <c r="G9277" s="13">
        <f t="shared" si="1"/>
        <v>1281</v>
      </c>
      <c r="H9277" s="13"/>
    </row>
    <row r="9278" ht="22.5" customHeight="1">
      <c r="B9278" s="17"/>
      <c r="C9278" s="17"/>
      <c r="D9278" s="13"/>
      <c r="E9278" s="11"/>
      <c r="F9278" s="11"/>
      <c r="G9278" s="13">
        <f t="shared" si="1"/>
        <v>1281</v>
      </c>
      <c r="H9278" s="13"/>
    </row>
    <row r="9279" ht="22.5" customHeight="1">
      <c r="B9279" s="17"/>
      <c r="C9279" s="17"/>
      <c r="D9279" s="13"/>
      <c r="E9279" s="11"/>
      <c r="F9279" s="11"/>
      <c r="G9279" s="13">
        <f t="shared" si="1"/>
        <v>1281</v>
      </c>
      <c r="H9279" s="13"/>
    </row>
    <row r="9280" ht="22.5" customHeight="1">
      <c r="B9280" s="17"/>
      <c r="C9280" s="17"/>
      <c r="D9280" s="13"/>
      <c r="E9280" s="11"/>
      <c r="F9280" s="11"/>
      <c r="G9280" s="13">
        <f t="shared" si="1"/>
        <v>1281</v>
      </c>
      <c r="H9280" s="13"/>
    </row>
    <row r="9281" ht="22.5" customHeight="1">
      <c r="B9281" s="17"/>
      <c r="C9281" s="17"/>
      <c r="D9281" s="13"/>
      <c r="E9281" s="11"/>
      <c r="F9281" s="11"/>
      <c r="G9281" s="13">
        <f t="shared" si="1"/>
        <v>1281</v>
      </c>
      <c r="H9281" s="13"/>
    </row>
    <row r="9282" ht="22.5" customHeight="1">
      <c r="B9282" s="17"/>
      <c r="C9282" s="17"/>
      <c r="D9282" s="13"/>
      <c r="E9282" s="11"/>
      <c r="F9282" s="11"/>
      <c r="G9282" s="13">
        <f t="shared" si="1"/>
        <v>1281</v>
      </c>
      <c r="H9282" s="13"/>
    </row>
    <row r="9283" ht="22.5" customHeight="1">
      <c r="B9283" s="17"/>
      <c r="C9283" s="17"/>
      <c r="D9283" s="13"/>
      <c r="E9283" s="11"/>
      <c r="F9283" s="11"/>
      <c r="G9283" s="13">
        <f t="shared" si="1"/>
        <v>1281</v>
      </c>
      <c r="H9283" s="13"/>
    </row>
    <row r="9284" ht="22.5" customHeight="1">
      <c r="B9284" s="17"/>
      <c r="C9284" s="17"/>
      <c r="D9284" s="13"/>
      <c r="E9284" s="11"/>
      <c r="F9284" s="11"/>
      <c r="G9284" s="13">
        <f t="shared" si="1"/>
        <v>1281</v>
      </c>
      <c r="H9284" s="13"/>
    </row>
    <row r="9285" ht="22.5" customHeight="1">
      <c r="B9285" s="17"/>
      <c r="C9285" s="17"/>
      <c r="D9285" s="13"/>
      <c r="E9285" s="11"/>
      <c r="F9285" s="11"/>
      <c r="G9285" s="13">
        <f t="shared" si="1"/>
        <v>1281</v>
      </c>
      <c r="H9285" s="13"/>
    </row>
    <row r="9286" ht="22.5" customHeight="1">
      <c r="B9286" s="17"/>
      <c r="C9286" s="17"/>
      <c r="D9286" s="13"/>
      <c r="E9286" s="11"/>
      <c r="F9286" s="11"/>
      <c r="G9286" s="13">
        <f t="shared" si="1"/>
        <v>1281</v>
      </c>
      <c r="H9286" s="13"/>
    </row>
    <row r="9287" ht="22.5" customHeight="1">
      <c r="B9287" s="17"/>
      <c r="C9287" s="17"/>
      <c r="D9287" s="13"/>
      <c r="E9287" s="11"/>
      <c r="F9287" s="11"/>
      <c r="G9287" s="13">
        <f t="shared" si="1"/>
        <v>1281</v>
      </c>
      <c r="H9287" s="13"/>
    </row>
    <row r="9288" ht="22.5" customHeight="1">
      <c r="B9288" s="17"/>
      <c r="C9288" s="17"/>
      <c r="D9288" s="13"/>
      <c r="E9288" s="11"/>
      <c r="F9288" s="11"/>
      <c r="G9288" s="13">
        <f t="shared" si="1"/>
        <v>1281</v>
      </c>
      <c r="H9288" s="13"/>
    </row>
    <row r="9289" ht="22.5" customHeight="1">
      <c r="B9289" s="17"/>
      <c r="C9289" s="17"/>
      <c r="D9289" s="13"/>
      <c r="E9289" s="11"/>
      <c r="F9289" s="11"/>
      <c r="G9289" s="13">
        <f t="shared" si="1"/>
        <v>1281</v>
      </c>
      <c r="H9289" s="13"/>
    </row>
    <row r="9290" ht="22.5" customHeight="1">
      <c r="B9290" s="17"/>
      <c r="C9290" s="17"/>
      <c r="D9290" s="13"/>
      <c r="E9290" s="11"/>
      <c r="F9290" s="11"/>
      <c r="G9290" s="13">
        <f t="shared" si="1"/>
        <v>1281</v>
      </c>
      <c r="H9290" s="13"/>
    </row>
    <row r="9291" ht="22.5" customHeight="1">
      <c r="B9291" s="17"/>
      <c r="C9291" s="17"/>
      <c r="D9291" s="13"/>
      <c r="E9291" s="11"/>
      <c r="F9291" s="11"/>
      <c r="G9291" s="13">
        <f t="shared" si="1"/>
        <v>1281</v>
      </c>
      <c r="H9291" s="13"/>
    </row>
    <row r="9292" ht="22.5" customHeight="1">
      <c r="B9292" s="17"/>
      <c r="C9292" s="17"/>
      <c r="D9292" s="13"/>
      <c r="E9292" s="11"/>
      <c r="F9292" s="11"/>
      <c r="G9292" s="13">
        <f t="shared" si="1"/>
        <v>1281</v>
      </c>
      <c r="H9292" s="13"/>
    </row>
    <row r="9293" ht="22.5" customHeight="1">
      <c r="B9293" s="17"/>
      <c r="C9293" s="17"/>
      <c r="D9293" s="13"/>
      <c r="E9293" s="11"/>
      <c r="F9293" s="11"/>
      <c r="G9293" s="13">
        <f t="shared" si="1"/>
        <v>1281</v>
      </c>
      <c r="H9293" s="13"/>
    </row>
    <row r="9294" ht="22.5" customHeight="1">
      <c r="B9294" s="17"/>
      <c r="C9294" s="17"/>
      <c r="D9294" s="13"/>
      <c r="E9294" s="11"/>
      <c r="F9294" s="11"/>
      <c r="G9294" s="13">
        <f t="shared" si="1"/>
        <v>1281</v>
      </c>
      <c r="H9294" s="13"/>
    </row>
    <row r="9295" ht="22.5" customHeight="1">
      <c r="B9295" s="17"/>
      <c r="C9295" s="17"/>
      <c r="D9295" s="13"/>
      <c r="E9295" s="11"/>
      <c r="F9295" s="11"/>
      <c r="G9295" s="13">
        <f t="shared" si="1"/>
        <v>1281</v>
      </c>
      <c r="H9295" s="13"/>
    </row>
    <row r="9296" ht="22.5" customHeight="1">
      <c r="B9296" s="17"/>
      <c r="C9296" s="17"/>
      <c r="D9296" s="13"/>
      <c r="E9296" s="11"/>
      <c r="F9296" s="11"/>
      <c r="G9296" s="13">
        <f t="shared" si="1"/>
        <v>1281</v>
      </c>
      <c r="H9296" s="13"/>
    </row>
    <row r="9297" ht="22.5" customHeight="1">
      <c r="B9297" s="17"/>
      <c r="C9297" s="17"/>
      <c r="D9297" s="13"/>
      <c r="E9297" s="11"/>
      <c r="F9297" s="11"/>
      <c r="G9297" s="13">
        <f t="shared" si="1"/>
        <v>1281</v>
      </c>
      <c r="H9297" s="13"/>
    </row>
    <row r="9298" ht="22.5" customHeight="1">
      <c r="B9298" s="17"/>
      <c r="C9298" s="17"/>
      <c r="D9298" s="13"/>
      <c r="E9298" s="11"/>
      <c r="F9298" s="11"/>
      <c r="G9298" s="13">
        <f t="shared" si="1"/>
        <v>1281</v>
      </c>
      <c r="H9298" s="13"/>
    </row>
    <row r="9299" ht="22.5" customHeight="1">
      <c r="B9299" s="17"/>
      <c r="C9299" s="17"/>
      <c r="D9299" s="13"/>
      <c r="E9299" s="11"/>
      <c r="F9299" s="11"/>
      <c r="G9299" s="13">
        <f t="shared" si="1"/>
        <v>1281</v>
      </c>
      <c r="H9299" s="13"/>
    </row>
    <row r="9300" ht="22.5" customHeight="1">
      <c r="B9300" s="17"/>
      <c r="C9300" s="17"/>
      <c r="D9300" s="13"/>
      <c r="E9300" s="11"/>
      <c r="F9300" s="11"/>
      <c r="G9300" s="13">
        <f t="shared" si="1"/>
        <v>1281</v>
      </c>
      <c r="H9300" s="13"/>
    </row>
    <row r="9301" ht="22.5" customHeight="1">
      <c r="B9301" s="17"/>
      <c r="C9301" s="17"/>
      <c r="D9301" s="13"/>
      <c r="E9301" s="11"/>
      <c r="F9301" s="11"/>
      <c r="G9301" s="13">
        <f t="shared" si="1"/>
        <v>1281</v>
      </c>
      <c r="H9301" s="13"/>
    </row>
    <row r="9302" ht="22.5" customHeight="1">
      <c r="B9302" s="17"/>
      <c r="C9302" s="17"/>
      <c r="D9302" s="13"/>
      <c r="E9302" s="11"/>
      <c r="F9302" s="11"/>
      <c r="G9302" s="13">
        <f t="shared" si="1"/>
        <v>1281</v>
      </c>
      <c r="H9302" s="13"/>
    </row>
    <row r="9303" ht="22.5" customHeight="1">
      <c r="B9303" s="17"/>
      <c r="C9303" s="17"/>
      <c r="D9303" s="13"/>
      <c r="E9303" s="11"/>
      <c r="F9303" s="11"/>
      <c r="G9303" s="13">
        <f t="shared" si="1"/>
        <v>1281</v>
      </c>
      <c r="H9303" s="13"/>
    </row>
    <row r="9304" ht="22.5" customHeight="1">
      <c r="B9304" s="17"/>
      <c r="C9304" s="17"/>
      <c r="D9304" s="13"/>
      <c r="E9304" s="11"/>
      <c r="F9304" s="11"/>
      <c r="G9304" s="13">
        <f t="shared" si="1"/>
        <v>1281</v>
      </c>
      <c r="H9304" s="13"/>
    </row>
    <row r="9305" ht="22.5" customHeight="1">
      <c r="B9305" s="17"/>
      <c r="C9305" s="17"/>
      <c r="D9305" s="13"/>
      <c r="E9305" s="11"/>
      <c r="F9305" s="11"/>
      <c r="G9305" s="13">
        <f t="shared" si="1"/>
        <v>1281</v>
      </c>
      <c r="H9305" s="13"/>
    </row>
    <row r="9306" ht="22.5" customHeight="1">
      <c r="B9306" s="17"/>
      <c r="C9306" s="17"/>
      <c r="D9306" s="13"/>
      <c r="E9306" s="11"/>
      <c r="F9306" s="11"/>
      <c r="G9306" s="13">
        <f t="shared" si="1"/>
        <v>1281</v>
      </c>
      <c r="H9306" s="13"/>
    </row>
    <row r="9307" ht="22.5" customHeight="1">
      <c r="B9307" s="17"/>
      <c r="C9307" s="17"/>
      <c r="D9307" s="13"/>
      <c r="E9307" s="11"/>
      <c r="F9307" s="11"/>
      <c r="G9307" s="13">
        <f t="shared" si="1"/>
        <v>1281</v>
      </c>
      <c r="H9307" s="13"/>
    </row>
    <row r="9308" ht="22.5" customHeight="1">
      <c r="B9308" s="17"/>
      <c r="C9308" s="17"/>
      <c r="D9308" s="13"/>
      <c r="E9308" s="11"/>
      <c r="F9308" s="11"/>
      <c r="G9308" s="13">
        <f t="shared" si="1"/>
        <v>1281</v>
      </c>
      <c r="H9308" s="13"/>
    </row>
    <row r="9309" ht="22.5" customHeight="1">
      <c r="B9309" s="17"/>
      <c r="C9309" s="17"/>
      <c r="D9309" s="13"/>
      <c r="E9309" s="11"/>
      <c r="F9309" s="11"/>
      <c r="G9309" s="13">
        <f t="shared" si="1"/>
        <v>1281</v>
      </c>
      <c r="H9309" s="13"/>
    </row>
    <row r="9310" ht="22.5" customHeight="1">
      <c r="B9310" s="17"/>
      <c r="C9310" s="17"/>
      <c r="D9310" s="13"/>
      <c r="E9310" s="11"/>
      <c r="F9310" s="11"/>
      <c r="G9310" s="13">
        <f t="shared" si="1"/>
        <v>1281</v>
      </c>
      <c r="H9310" s="13"/>
    </row>
    <row r="9311" ht="22.5" customHeight="1">
      <c r="B9311" s="17"/>
      <c r="C9311" s="17"/>
      <c r="D9311" s="13"/>
      <c r="E9311" s="11"/>
      <c r="F9311" s="11"/>
      <c r="G9311" s="13">
        <f t="shared" si="1"/>
        <v>1281</v>
      </c>
      <c r="H9311" s="13"/>
    </row>
    <row r="9312" ht="22.5" customHeight="1">
      <c r="B9312" s="17"/>
      <c r="C9312" s="17"/>
      <c r="D9312" s="13"/>
      <c r="E9312" s="11"/>
      <c r="F9312" s="11"/>
      <c r="G9312" s="13">
        <f t="shared" si="1"/>
        <v>1281</v>
      </c>
      <c r="H9312" s="13"/>
    </row>
    <row r="9313" ht="22.5" customHeight="1">
      <c r="B9313" s="17"/>
      <c r="C9313" s="17"/>
      <c r="D9313" s="13"/>
      <c r="E9313" s="11"/>
      <c r="F9313" s="11"/>
      <c r="G9313" s="13">
        <f t="shared" si="1"/>
        <v>1281</v>
      </c>
      <c r="H9313" s="13"/>
    </row>
    <row r="9314" ht="22.5" customHeight="1">
      <c r="B9314" s="17"/>
      <c r="C9314" s="17"/>
      <c r="D9314" s="13"/>
      <c r="E9314" s="11"/>
      <c r="F9314" s="11"/>
      <c r="G9314" s="13">
        <f t="shared" si="1"/>
        <v>1281</v>
      </c>
      <c r="H9314" s="13"/>
    </row>
    <row r="9315" ht="22.5" customHeight="1">
      <c r="B9315" s="17"/>
      <c r="C9315" s="17"/>
      <c r="D9315" s="13"/>
      <c r="E9315" s="11"/>
      <c r="F9315" s="11"/>
      <c r="G9315" s="13">
        <f t="shared" si="1"/>
        <v>1281</v>
      </c>
      <c r="H9315" s="13"/>
    </row>
    <row r="9316" ht="22.5" customHeight="1">
      <c r="B9316" s="17"/>
      <c r="C9316" s="17"/>
      <c r="D9316" s="13"/>
      <c r="E9316" s="11"/>
      <c r="F9316" s="11"/>
      <c r="G9316" s="13">
        <f t="shared" si="1"/>
        <v>1281</v>
      </c>
      <c r="H9316" s="13"/>
    </row>
    <row r="9317" ht="22.5" customHeight="1">
      <c r="B9317" s="17"/>
      <c r="C9317" s="17"/>
      <c r="D9317" s="13"/>
      <c r="E9317" s="11"/>
      <c r="F9317" s="11"/>
      <c r="G9317" s="13">
        <f t="shared" si="1"/>
        <v>1281</v>
      </c>
      <c r="H9317" s="13"/>
    </row>
    <row r="9318" ht="22.5" customHeight="1">
      <c r="B9318" s="17"/>
      <c r="C9318" s="17"/>
      <c r="D9318" s="13"/>
      <c r="E9318" s="11"/>
      <c r="F9318" s="11"/>
      <c r="G9318" s="13">
        <f t="shared" si="1"/>
        <v>1281</v>
      </c>
      <c r="H9318" s="13"/>
    </row>
    <row r="9319" ht="22.5" customHeight="1">
      <c r="B9319" s="17"/>
      <c r="C9319" s="17"/>
      <c r="D9319" s="13"/>
      <c r="E9319" s="11"/>
      <c r="F9319" s="11"/>
      <c r="G9319" s="13">
        <f t="shared" si="1"/>
        <v>1281</v>
      </c>
      <c r="H9319" s="13"/>
    </row>
    <row r="9320" ht="22.5" customHeight="1">
      <c r="B9320" s="17"/>
      <c r="C9320" s="17"/>
      <c r="D9320" s="13"/>
      <c r="E9320" s="11"/>
      <c r="F9320" s="11"/>
      <c r="G9320" s="13">
        <f t="shared" si="1"/>
        <v>1281</v>
      </c>
      <c r="H9320" s="13"/>
    </row>
    <row r="9321" ht="22.5" customHeight="1">
      <c r="B9321" s="17"/>
      <c r="C9321" s="17"/>
      <c r="D9321" s="13"/>
      <c r="E9321" s="11"/>
      <c r="F9321" s="11"/>
      <c r="G9321" s="13">
        <f t="shared" si="1"/>
        <v>1281</v>
      </c>
      <c r="H9321" s="13"/>
    </row>
    <row r="9322" ht="22.5" customHeight="1">
      <c r="B9322" s="17"/>
      <c r="C9322" s="17"/>
      <c r="D9322" s="13"/>
      <c r="E9322" s="11"/>
      <c r="F9322" s="11"/>
      <c r="G9322" s="13">
        <f t="shared" si="1"/>
        <v>1281</v>
      </c>
      <c r="H9322" s="13"/>
    </row>
    <row r="9323" ht="22.5" customHeight="1">
      <c r="B9323" s="17"/>
      <c r="C9323" s="17"/>
      <c r="D9323" s="13"/>
      <c r="E9323" s="11"/>
      <c r="F9323" s="11"/>
      <c r="G9323" s="13">
        <f t="shared" si="1"/>
        <v>1281</v>
      </c>
      <c r="H9323" s="13"/>
    </row>
    <row r="9324" ht="22.5" customHeight="1">
      <c r="B9324" s="17"/>
      <c r="C9324" s="17"/>
      <c r="D9324" s="13"/>
      <c r="E9324" s="11"/>
      <c r="F9324" s="11"/>
      <c r="G9324" s="13">
        <f t="shared" si="1"/>
        <v>1281</v>
      </c>
      <c r="H9324" s="13"/>
    </row>
    <row r="9325" ht="22.5" customHeight="1">
      <c r="B9325" s="17"/>
      <c r="C9325" s="17"/>
      <c r="D9325" s="13"/>
      <c r="E9325" s="11"/>
      <c r="F9325" s="11"/>
      <c r="G9325" s="13">
        <f t="shared" si="1"/>
        <v>1281</v>
      </c>
      <c r="H9325" s="13"/>
    </row>
    <row r="9326" ht="22.5" customHeight="1">
      <c r="B9326" s="17"/>
      <c r="C9326" s="17"/>
      <c r="D9326" s="13"/>
      <c r="E9326" s="11"/>
      <c r="F9326" s="11"/>
      <c r="G9326" s="13">
        <f t="shared" si="1"/>
        <v>1281</v>
      </c>
      <c r="H9326" s="13"/>
    </row>
    <row r="9327" ht="22.5" customHeight="1">
      <c r="B9327" s="17"/>
      <c r="C9327" s="17"/>
      <c r="D9327" s="13"/>
      <c r="E9327" s="11"/>
      <c r="F9327" s="11"/>
      <c r="G9327" s="13">
        <f t="shared" si="1"/>
        <v>1281</v>
      </c>
      <c r="H9327" s="13"/>
    </row>
    <row r="9328" ht="22.5" customHeight="1">
      <c r="B9328" s="17"/>
      <c r="C9328" s="17"/>
      <c r="D9328" s="13"/>
      <c r="E9328" s="11"/>
      <c r="F9328" s="11"/>
      <c r="G9328" s="13">
        <f t="shared" si="1"/>
        <v>1281</v>
      </c>
      <c r="H9328" s="13"/>
    </row>
    <row r="9329" ht="22.5" customHeight="1">
      <c r="B9329" s="17"/>
      <c r="C9329" s="17"/>
      <c r="D9329" s="13"/>
      <c r="E9329" s="11"/>
      <c r="F9329" s="11"/>
      <c r="G9329" s="13">
        <f t="shared" si="1"/>
        <v>1281</v>
      </c>
      <c r="H9329" s="13"/>
    </row>
    <row r="9330" ht="22.5" customHeight="1">
      <c r="B9330" s="17"/>
      <c r="C9330" s="17"/>
      <c r="D9330" s="13"/>
      <c r="E9330" s="11"/>
      <c r="F9330" s="11"/>
      <c r="G9330" s="13">
        <f t="shared" si="1"/>
        <v>1281</v>
      </c>
      <c r="H9330" s="13"/>
    </row>
    <row r="9331" ht="22.5" customHeight="1">
      <c r="B9331" s="17"/>
      <c r="C9331" s="17"/>
      <c r="D9331" s="13"/>
      <c r="E9331" s="11"/>
      <c r="F9331" s="11"/>
      <c r="G9331" s="13">
        <f t="shared" si="1"/>
        <v>1281</v>
      </c>
      <c r="H9331" s="13"/>
    </row>
    <row r="9332" ht="22.5" customHeight="1">
      <c r="B9332" s="17"/>
      <c r="C9332" s="17"/>
      <c r="D9332" s="13"/>
      <c r="E9332" s="11"/>
      <c r="F9332" s="11"/>
      <c r="G9332" s="13">
        <f t="shared" si="1"/>
        <v>1281</v>
      </c>
      <c r="H9332" s="13"/>
    </row>
    <row r="9333" ht="22.5" customHeight="1">
      <c r="B9333" s="17"/>
      <c r="C9333" s="17"/>
      <c r="D9333" s="13"/>
      <c r="E9333" s="11"/>
      <c r="F9333" s="11"/>
      <c r="G9333" s="13">
        <f t="shared" si="1"/>
        <v>1281</v>
      </c>
      <c r="H9333" s="13"/>
    </row>
    <row r="9334" ht="22.5" customHeight="1">
      <c r="B9334" s="17"/>
      <c r="C9334" s="17"/>
      <c r="D9334" s="13"/>
      <c r="E9334" s="11"/>
      <c r="F9334" s="11"/>
      <c r="G9334" s="13">
        <f t="shared" si="1"/>
        <v>1281</v>
      </c>
      <c r="H9334" s="13"/>
    </row>
    <row r="9335" ht="22.5" customHeight="1">
      <c r="B9335" s="17"/>
      <c r="C9335" s="17"/>
      <c r="D9335" s="13"/>
      <c r="E9335" s="11"/>
      <c r="F9335" s="11"/>
      <c r="G9335" s="13">
        <f t="shared" si="1"/>
        <v>1281</v>
      </c>
      <c r="H9335" s="13"/>
    </row>
    <row r="9336" ht="22.5" customHeight="1">
      <c r="B9336" s="17"/>
      <c r="C9336" s="17"/>
      <c r="D9336" s="13"/>
      <c r="E9336" s="11"/>
      <c r="F9336" s="11"/>
      <c r="G9336" s="13">
        <f t="shared" si="1"/>
        <v>1281</v>
      </c>
      <c r="H9336" s="13"/>
    </row>
    <row r="9337" ht="22.5" customHeight="1">
      <c r="B9337" s="17"/>
      <c r="C9337" s="17"/>
      <c r="D9337" s="13"/>
      <c r="E9337" s="11"/>
      <c r="F9337" s="11"/>
      <c r="G9337" s="13">
        <f t="shared" si="1"/>
        <v>1281</v>
      </c>
      <c r="H9337" s="13"/>
    </row>
    <row r="9338" ht="22.5" customHeight="1">
      <c r="B9338" s="17"/>
      <c r="C9338" s="17"/>
      <c r="D9338" s="13"/>
      <c r="E9338" s="11"/>
      <c r="F9338" s="11"/>
      <c r="G9338" s="13">
        <f t="shared" si="1"/>
        <v>1281</v>
      </c>
      <c r="H9338" s="13"/>
    </row>
    <row r="9339" ht="22.5" customHeight="1">
      <c r="B9339" s="17"/>
      <c r="C9339" s="17"/>
      <c r="D9339" s="13"/>
      <c r="E9339" s="11"/>
      <c r="F9339" s="11"/>
      <c r="G9339" s="13">
        <f t="shared" si="1"/>
        <v>1281</v>
      </c>
      <c r="H9339" s="13"/>
    </row>
    <row r="9340" ht="22.5" customHeight="1">
      <c r="B9340" s="17"/>
      <c r="C9340" s="17"/>
      <c r="D9340" s="13"/>
      <c r="E9340" s="11"/>
      <c r="F9340" s="11"/>
      <c r="G9340" s="13">
        <f t="shared" si="1"/>
        <v>1281</v>
      </c>
      <c r="H9340" s="13"/>
    </row>
    <row r="9341" ht="22.5" customHeight="1">
      <c r="B9341" s="17"/>
      <c r="C9341" s="17"/>
      <c r="D9341" s="13"/>
      <c r="E9341" s="11"/>
      <c r="F9341" s="11"/>
      <c r="G9341" s="13">
        <f t="shared" si="1"/>
        <v>1281</v>
      </c>
      <c r="H9341" s="13"/>
    </row>
    <row r="9342" ht="22.5" customHeight="1">
      <c r="B9342" s="17"/>
      <c r="C9342" s="17"/>
      <c r="D9342" s="13"/>
      <c r="E9342" s="11"/>
      <c r="F9342" s="11"/>
      <c r="G9342" s="13">
        <f t="shared" si="1"/>
        <v>1281</v>
      </c>
      <c r="H9342" s="13"/>
    </row>
    <row r="9343" ht="22.5" customHeight="1">
      <c r="B9343" s="17"/>
      <c r="C9343" s="17"/>
      <c r="D9343" s="13"/>
      <c r="E9343" s="11"/>
      <c r="F9343" s="11"/>
      <c r="G9343" s="13">
        <f t="shared" si="1"/>
        <v>1281</v>
      </c>
      <c r="H9343" s="13"/>
    </row>
    <row r="9344" ht="22.5" customHeight="1">
      <c r="B9344" s="17"/>
      <c r="C9344" s="17"/>
      <c r="D9344" s="13"/>
      <c r="E9344" s="11"/>
      <c r="F9344" s="11"/>
      <c r="G9344" s="13">
        <f t="shared" si="1"/>
        <v>1281</v>
      </c>
      <c r="H9344" s="13"/>
    </row>
    <row r="9345" ht="22.5" customHeight="1">
      <c r="B9345" s="17"/>
      <c r="C9345" s="17"/>
      <c r="D9345" s="13"/>
      <c r="E9345" s="11"/>
      <c r="F9345" s="11"/>
      <c r="G9345" s="13">
        <f t="shared" si="1"/>
        <v>1281</v>
      </c>
      <c r="H9345" s="13"/>
    </row>
    <row r="9346" ht="22.5" customHeight="1">
      <c r="B9346" s="17"/>
      <c r="C9346" s="17"/>
      <c r="D9346" s="13"/>
      <c r="E9346" s="11"/>
      <c r="F9346" s="11"/>
      <c r="G9346" s="13">
        <f t="shared" si="1"/>
        <v>1281</v>
      </c>
      <c r="H9346" s="13"/>
    </row>
    <row r="9347" ht="22.5" customHeight="1">
      <c r="B9347" s="17"/>
      <c r="C9347" s="17"/>
      <c r="D9347" s="13"/>
      <c r="E9347" s="11"/>
      <c r="F9347" s="11"/>
      <c r="G9347" s="13">
        <f t="shared" si="1"/>
        <v>1281</v>
      </c>
      <c r="H9347" s="13"/>
    </row>
    <row r="9348" ht="22.5" customHeight="1">
      <c r="B9348" s="17"/>
      <c r="C9348" s="17"/>
      <c r="D9348" s="13"/>
      <c r="E9348" s="11"/>
      <c r="F9348" s="11"/>
      <c r="G9348" s="13">
        <f t="shared" si="1"/>
        <v>1281</v>
      </c>
      <c r="H9348" s="13"/>
    </row>
    <row r="9349" ht="22.5" customHeight="1">
      <c r="B9349" s="17"/>
      <c r="C9349" s="17"/>
      <c r="D9349" s="13"/>
      <c r="E9349" s="11"/>
      <c r="F9349" s="11"/>
      <c r="G9349" s="13">
        <f t="shared" si="1"/>
        <v>1281</v>
      </c>
      <c r="H9349" s="13"/>
    </row>
    <row r="9350" ht="22.5" customHeight="1">
      <c r="B9350" s="17"/>
      <c r="C9350" s="17"/>
      <c r="D9350" s="13"/>
      <c r="E9350" s="11"/>
      <c r="F9350" s="11"/>
      <c r="G9350" s="13">
        <f t="shared" si="1"/>
        <v>1281</v>
      </c>
      <c r="H9350" s="13"/>
    </row>
    <row r="9351" ht="22.5" customHeight="1">
      <c r="B9351" s="17"/>
      <c r="C9351" s="17"/>
      <c r="D9351" s="13"/>
      <c r="E9351" s="11"/>
      <c r="F9351" s="11"/>
      <c r="G9351" s="13">
        <f t="shared" si="1"/>
        <v>1281</v>
      </c>
      <c r="H9351" s="13"/>
    </row>
    <row r="9352" ht="22.5" customHeight="1">
      <c r="B9352" s="17"/>
      <c r="C9352" s="17"/>
      <c r="D9352" s="13"/>
      <c r="E9352" s="11"/>
      <c r="F9352" s="11"/>
      <c r="G9352" s="13">
        <f t="shared" si="1"/>
        <v>1281</v>
      </c>
      <c r="H9352" s="13"/>
    </row>
    <row r="9353" ht="22.5" customHeight="1">
      <c r="B9353" s="17"/>
      <c r="C9353" s="17"/>
      <c r="D9353" s="13"/>
      <c r="E9353" s="11"/>
      <c r="F9353" s="11"/>
      <c r="G9353" s="13">
        <f t="shared" si="1"/>
        <v>1281</v>
      </c>
      <c r="H9353" s="13"/>
    </row>
    <row r="9354" ht="22.5" customHeight="1">
      <c r="B9354" s="17"/>
      <c r="C9354" s="17"/>
      <c r="D9354" s="13"/>
      <c r="E9354" s="11"/>
      <c r="F9354" s="11"/>
      <c r="G9354" s="13">
        <f t="shared" si="1"/>
        <v>1281</v>
      </c>
      <c r="H9354" s="13"/>
    </row>
    <row r="9355" ht="22.5" customHeight="1">
      <c r="B9355" s="17"/>
      <c r="C9355" s="17"/>
      <c r="D9355" s="13"/>
      <c r="E9355" s="11"/>
      <c r="F9355" s="11"/>
      <c r="G9355" s="13">
        <f t="shared" si="1"/>
        <v>1281</v>
      </c>
      <c r="H9355" s="13"/>
    </row>
    <row r="9356" ht="22.5" customHeight="1">
      <c r="B9356" s="17"/>
      <c r="C9356" s="17"/>
      <c r="D9356" s="13"/>
      <c r="E9356" s="11"/>
      <c r="F9356" s="11"/>
      <c r="G9356" s="13">
        <f t="shared" si="1"/>
        <v>1281</v>
      </c>
      <c r="H9356" s="13"/>
    </row>
    <row r="9357" ht="22.5" customHeight="1">
      <c r="B9357" s="17"/>
      <c r="C9357" s="17"/>
      <c r="D9357" s="13"/>
      <c r="E9357" s="11"/>
      <c r="F9357" s="11"/>
      <c r="G9357" s="13">
        <f t="shared" si="1"/>
        <v>1281</v>
      </c>
      <c r="H9357" s="13"/>
    </row>
    <row r="9358" ht="22.5" customHeight="1">
      <c r="B9358" s="17"/>
      <c r="C9358" s="17"/>
      <c r="D9358" s="13"/>
      <c r="E9358" s="11"/>
      <c r="F9358" s="11"/>
      <c r="G9358" s="13">
        <f t="shared" si="1"/>
        <v>1281</v>
      </c>
      <c r="H9358" s="13"/>
    </row>
    <row r="9359" ht="22.5" customHeight="1">
      <c r="B9359" s="17"/>
      <c r="C9359" s="17"/>
      <c r="D9359" s="13"/>
      <c r="E9359" s="11"/>
      <c r="F9359" s="11"/>
      <c r="G9359" s="13">
        <f t="shared" si="1"/>
        <v>1281</v>
      </c>
      <c r="H9359" s="13"/>
    </row>
    <row r="9360" ht="22.5" customHeight="1">
      <c r="B9360" s="17"/>
      <c r="C9360" s="17"/>
      <c r="D9360" s="13"/>
      <c r="E9360" s="11"/>
      <c r="F9360" s="11"/>
      <c r="G9360" s="13">
        <f t="shared" si="1"/>
        <v>1281</v>
      </c>
      <c r="H9360" s="13"/>
    </row>
    <row r="9361" ht="22.5" customHeight="1">
      <c r="B9361" s="17"/>
      <c r="C9361" s="17"/>
      <c r="D9361" s="13"/>
      <c r="E9361" s="11"/>
      <c r="F9361" s="11"/>
      <c r="G9361" s="13">
        <f t="shared" si="1"/>
        <v>1281</v>
      </c>
      <c r="H9361" s="13"/>
    </row>
    <row r="9362" ht="22.5" customHeight="1">
      <c r="B9362" s="17"/>
      <c r="C9362" s="17"/>
      <c r="D9362" s="13"/>
      <c r="E9362" s="11"/>
      <c r="F9362" s="11"/>
      <c r="G9362" s="13">
        <f t="shared" si="1"/>
        <v>1281</v>
      </c>
      <c r="H9362" s="13"/>
    </row>
    <row r="9363" ht="22.5" customHeight="1">
      <c r="B9363" s="17"/>
      <c r="C9363" s="17"/>
      <c r="D9363" s="13"/>
      <c r="E9363" s="11"/>
      <c r="F9363" s="11"/>
      <c r="G9363" s="13">
        <f t="shared" si="1"/>
        <v>1281</v>
      </c>
      <c r="H9363" s="13"/>
    </row>
    <row r="9364" ht="22.5" customHeight="1">
      <c r="B9364" s="17"/>
      <c r="C9364" s="17"/>
      <c r="D9364" s="13"/>
      <c r="E9364" s="11"/>
      <c r="F9364" s="11"/>
      <c r="G9364" s="13">
        <f t="shared" si="1"/>
        <v>1281</v>
      </c>
      <c r="H9364" s="13"/>
    </row>
    <row r="9365" ht="22.5" customHeight="1">
      <c r="B9365" s="17"/>
      <c r="C9365" s="17"/>
      <c r="D9365" s="13"/>
      <c r="E9365" s="11"/>
      <c r="F9365" s="11"/>
      <c r="G9365" s="13">
        <f t="shared" si="1"/>
        <v>1281</v>
      </c>
      <c r="H9365" s="13"/>
    </row>
    <row r="9366" ht="22.5" customHeight="1">
      <c r="B9366" s="17"/>
      <c r="C9366" s="17"/>
      <c r="D9366" s="13"/>
      <c r="E9366" s="11"/>
      <c r="F9366" s="11"/>
      <c r="G9366" s="13">
        <f t="shared" si="1"/>
        <v>1281</v>
      </c>
      <c r="H9366" s="13"/>
    </row>
    <row r="9367" ht="22.5" customHeight="1">
      <c r="B9367" s="17"/>
      <c r="C9367" s="17"/>
      <c r="D9367" s="13"/>
      <c r="E9367" s="11"/>
      <c r="F9367" s="11"/>
      <c r="G9367" s="13">
        <f t="shared" si="1"/>
        <v>1281</v>
      </c>
      <c r="H9367" s="13"/>
    </row>
    <row r="9368" ht="22.5" customHeight="1">
      <c r="B9368" s="17"/>
      <c r="C9368" s="17"/>
      <c r="D9368" s="13"/>
      <c r="E9368" s="11"/>
      <c r="F9368" s="11"/>
      <c r="G9368" s="13">
        <f t="shared" si="1"/>
        <v>1281</v>
      </c>
      <c r="H9368" s="13"/>
    </row>
    <row r="9369" ht="22.5" customHeight="1">
      <c r="B9369" s="17"/>
      <c r="C9369" s="17"/>
      <c r="D9369" s="13"/>
      <c r="E9369" s="11"/>
      <c r="F9369" s="11"/>
      <c r="G9369" s="13">
        <f t="shared" si="1"/>
        <v>1281</v>
      </c>
      <c r="H9369" s="13"/>
    </row>
    <row r="9370" ht="22.5" customHeight="1">
      <c r="B9370" s="17"/>
      <c r="C9370" s="17"/>
      <c r="D9370" s="13"/>
      <c r="E9370" s="11"/>
      <c r="F9370" s="11"/>
      <c r="G9370" s="13">
        <f t="shared" si="1"/>
        <v>1281</v>
      </c>
      <c r="H9370" s="13"/>
    </row>
    <row r="9371" ht="22.5" customHeight="1">
      <c r="B9371" s="17"/>
      <c r="C9371" s="17"/>
      <c r="D9371" s="13"/>
      <c r="E9371" s="11"/>
      <c r="F9371" s="11"/>
      <c r="G9371" s="13">
        <f t="shared" si="1"/>
        <v>1281</v>
      </c>
      <c r="H9371" s="13"/>
    </row>
    <row r="9372" ht="22.5" customHeight="1">
      <c r="B9372" s="17"/>
      <c r="C9372" s="17"/>
      <c r="D9372" s="13"/>
      <c r="E9372" s="11"/>
      <c r="F9372" s="11"/>
      <c r="G9372" s="13">
        <f t="shared" si="1"/>
        <v>1281</v>
      </c>
      <c r="H9372" s="13"/>
    </row>
    <row r="9373" ht="22.5" customHeight="1">
      <c r="B9373" s="17"/>
      <c r="C9373" s="17"/>
      <c r="D9373" s="13"/>
      <c r="E9373" s="11"/>
      <c r="F9373" s="11"/>
      <c r="G9373" s="13">
        <f t="shared" si="1"/>
        <v>1281</v>
      </c>
      <c r="H9373" s="13"/>
    </row>
    <row r="9374" ht="22.5" customHeight="1">
      <c r="B9374" s="17"/>
      <c r="C9374" s="17"/>
      <c r="D9374" s="13"/>
      <c r="E9374" s="11"/>
      <c r="F9374" s="11"/>
      <c r="G9374" s="13">
        <f t="shared" si="1"/>
        <v>1281</v>
      </c>
      <c r="H9374" s="13"/>
    </row>
    <row r="9375" ht="22.5" customHeight="1">
      <c r="B9375" s="17"/>
      <c r="C9375" s="17"/>
      <c r="D9375" s="13"/>
      <c r="E9375" s="11"/>
      <c r="F9375" s="11"/>
      <c r="G9375" s="13">
        <f t="shared" si="1"/>
        <v>1281</v>
      </c>
      <c r="H9375" s="13"/>
    </row>
    <row r="9376" ht="22.5" customHeight="1">
      <c r="B9376" s="17"/>
      <c r="C9376" s="17"/>
      <c r="D9376" s="13"/>
      <c r="E9376" s="11"/>
      <c r="F9376" s="11"/>
      <c r="G9376" s="13">
        <f t="shared" si="1"/>
        <v>1281</v>
      </c>
      <c r="H9376" s="13"/>
    </row>
    <row r="9377" ht="22.5" customHeight="1">
      <c r="B9377" s="17"/>
      <c r="C9377" s="17"/>
      <c r="D9377" s="13"/>
      <c r="E9377" s="11"/>
      <c r="F9377" s="11"/>
      <c r="G9377" s="13">
        <f t="shared" si="1"/>
        <v>1281</v>
      </c>
      <c r="H9377" s="13"/>
    </row>
    <row r="9378" ht="22.5" customHeight="1">
      <c r="B9378" s="17"/>
      <c r="C9378" s="17"/>
      <c r="D9378" s="13"/>
      <c r="E9378" s="11"/>
      <c r="F9378" s="11"/>
      <c r="G9378" s="13">
        <f t="shared" si="1"/>
        <v>1281</v>
      </c>
      <c r="H9378" s="13"/>
    </row>
    <row r="9379" ht="22.5" customHeight="1">
      <c r="B9379" s="17"/>
      <c r="C9379" s="17"/>
      <c r="D9379" s="13"/>
      <c r="E9379" s="11"/>
      <c r="F9379" s="11"/>
      <c r="G9379" s="13">
        <f t="shared" si="1"/>
        <v>1281</v>
      </c>
      <c r="H9379" s="13"/>
    </row>
    <row r="9380" ht="22.5" customHeight="1">
      <c r="B9380" s="17"/>
      <c r="C9380" s="17"/>
      <c r="D9380" s="13"/>
      <c r="E9380" s="11"/>
      <c r="F9380" s="11"/>
      <c r="G9380" s="13">
        <f t="shared" si="1"/>
        <v>1281</v>
      </c>
      <c r="H9380" s="13"/>
    </row>
    <row r="9381" ht="22.5" customHeight="1">
      <c r="B9381" s="17"/>
      <c r="C9381" s="17"/>
      <c r="D9381" s="13"/>
      <c r="E9381" s="11"/>
      <c r="F9381" s="11"/>
      <c r="G9381" s="13">
        <f t="shared" si="1"/>
        <v>1281</v>
      </c>
      <c r="H9381" s="13"/>
    </row>
    <row r="9382" ht="22.5" customHeight="1">
      <c r="B9382" s="17"/>
      <c r="C9382" s="17"/>
      <c r="D9382" s="13"/>
      <c r="E9382" s="11"/>
      <c r="F9382" s="11"/>
      <c r="G9382" s="13">
        <f t="shared" si="1"/>
        <v>1281</v>
      </c>
      <c r="H9382" s="13"/>
    </row>
    <row r="9383" ht="22.5" customHeight="1">
      <c r="B9383" s="17"/>
      <c r="C9383" s="17"/>
      <c r="D9383" s="13"/>
      <c r="E9383" s="11"/>
      <c r="F9383" s="11"/>
      <c r="G9383" s="13">
        <f t="shared" si="1"/>
        <v>1281</v>
      </c>
      <c r="H9383" s="13"/>
    </row>
    <row r="9384" ht="22.5" customHeight="1">
      <c r="B9384" s="17"/>
      <c r="C9384" s="17"/>
      <c r="D9384" s="13"/>
      <c r="E9384" s="11"/>
      <c r="F9384" s="11"/>
      <c r="G9384" s="13">
        <f t="shared" si="1"/>
        <v>1281</v>
      </c>
      <c r="H9384" s="13"/>
    </row>
    <row r="9385" ht="22.5" customHeight="1">
      <c r="B9385" s="17"/>
      <c r="C9385" s="17"/>
      <c r="D9385" s="13"/>
      <c r="E9385" s="11"/>
      <c r="F9385" s="11"/>
      <c r="G9385" s="13">
        <f t="shared" si="1"/>
        <v>1281</v>
      </c>
      <c r="H9385" s="13"/>
    </row>
    <row r="9386" ht="22.5" customHeight="1">
      <c r="B9386" s="17"/>
      <c r="C9386" s="17"/>
      <c r="D9386" s="13"/>
      <c r="E9386" s="11"/>
      <c r="F9386" s="11"/>
      <c r="G9386" s="13">
        <f t="shared" si="1"/>
        <v>1281</v>
      </c>
      <c r="H9386" s="13"/>
    </row>
    <row r="9387" ht="22.5" customHeight="1">
      <c r="B9387" s="17"/>
      <c r="C9387" s="17"/>
      <c r="D9387" s="13"/>
      <c r="E9387" s="11"/>
      <c r="F9387" s="11"/>
      <c r="G9387" s="13">
        <f t="shared" si="1"/>
        <v>1281</v>
      </c>
      <c r="H9387" s="13"/>
    </row>
    <row r="9388" ht="22.5" customHeight="1">
      <c r="B9388" s="17"/>
      <c r="C9388" s="17"/>
      <c r="D9388" s="13"/>
      <c r="E9388" s="11"/>
      <c r="F9388" s="11"/>
      <c r="G9388" s="13">
        <f t="shared" si="1"/>
        <v>1281</v>
      </c>
      <c r="H9388" s="13"/>
    </row>
    <row r="9389" ht="22.5" customHeight="1">
      <c r="B9389" s="17"/>
      <c r="C9389" s="17"/>
      <c r="D9389" s="13"/>
      <c r="E9389" s="11"/>
      <c r="F9389" s="11"/>
      <c r="G9389" s="13">
        <f t="shared" si="1"/>
        <v>1281</v>
      </c>
      <c r="H9389" s="13"/>
    </row>
    <row r="9390" ht="22.5" customHeight="1">
      <c r="B9390" s="17"/>
      <c r="C9390" s="17"/>
      <c r="D9390" s="13"/>
      <c r="E9390" s="11"/>
      <c r="F9390" s="11"/>
      <c r="G9390" s="13">
        <f t="shared" si="1"/>
        <v>1281</v>
      </c>
      <c r="H9390" s="13"/>
    </row>
    <row r="9391" ht="22.5" customHeight="1">
      <c r="B9391" s="17"/>
      <c r="C9391" s="17"/>
      <c r="D9391" s="13"/>
      <c r="E9391" s="11"/>
      <c r="F9391" s="11"/>
      <c r="G9391" s="13">
        <f t="shared" si="1"/>
        <v>1281</v>
      </c>
      <c r="H9391" s="13"/>
    </row>
    <row r="9392" ht="22.5" customHeight="1">
      <c r="B9392" s="17"/>
      <c r="C9392" s="17"/>
      <c r="D9392" s="13"/>
      <c r="E9392" s="11"/>
      <c r="F9392" s="11"/>
      <c r="G9392" s="13">
        <f t="shared" si="1"/>
        <v>1281</v>
      </c>
      <c r="H9392" s="13"/>
    </row>
    <row r="9393" ht="22.5" customHeight="1">
      <c r="B9393" s="17"/>
      <c r="C9393" s="17"/>
      <c r="D9393" s="13"/>
      <c r="E9393" s="11"/>
      <c r="F9393" s="11"/>
      <c r="G9393" s="13">
        <f t="shared" si="1"/>
        <v>1281</v>
      </c>
      <c r="H9393" s="13"/>
    </row>
    <row r="9394" ht="22.5" customHeight="1">
      <c r="B9394" s="17"/>
      <c r="C9394" s="17"/>
      <c r="D9394" s="13"/>
      <c r="E9394" s="11"/>
      <c r="F9394" s="11"/>
      <c r="G9394" s="13">
        <f t="shared" si="1"/>
        <v>1281</v>
      </c>
      <c r="H9394" s="13"/>
    </row>
    <row r="9395" ht="22.5" customHeight="1">
      <c r="B9395" s="17"/>
      <c r="C9395" s="17"/>
      <c r="D9395" s="13"/>
      <c r="E9395" s="11"/>
      <c r="F9395" s="11"/>
      <c r="G9395" s="13">
        <f t="shared" si="1"/>
        <v>1281</v>
      </c>
      <c r="H9395" s="13"/>
    </row>
    <row r="9396" ht="22.5" customHeight="1">
      <c r="B9396" s="17"/>
      <c r="C9396" s="17"/>
      <c r="D9396" s="13"/>
      <c r="E9396" s="11"/>
      <c r="F9396" s="11"/>
      <c r="G9396" s="13">
        <f t="shared" si="1"/>
        <v>1281</v>
      </c>
      <c r="H9396" s="13"/>
    </row>
    <row r="9397" ht="22.5" customHeight="1">
      <c r="B9397" s="17"/>
      <c r="C9397" s="17"/>
      <c r="D9397" s="13"/>
      <c r="E9397" s="11"/>
      <c r="F9397" s="11"/>
      <c r="G9397" s="13">
        <f t="shared" si="1"/>
        <v>1281</v>
      </c>
      <c r="H9397" s="13"/>
    </row>
    <row r="9398" ht="22.5" customHeight="1">
      <c r="B9398" s="17"/>
      <c r="C9398" s="17"/>
      <c r="D9398" s="13"/>
      <c r="E9398" s="11"/>
      <c r="F9398" s="11"/>
      <c r="G9398" s="13">
        <f t="shared" si="1"/>
        <v>1281</v>
      </c>
      <c r="H9398" s="13"/>
    </row>
    <row r="9399" ht="22.5" customHeight="1">
      <c r="B9399" s="17"/>
      <c r="C9399" s="17"/>
      <c r="D9399" s="13"/>
      <c r="E9399" s="11"/>
      <c r="F9399" s="11"/>
      <c r="G9399" s="13">
        <f t="shared" si="1"/>
        <v>1281</v>
      </c>
      <c r="H9399" s="13"/>
    </row>
    <row r="9400" ht="22.5" customHeight="1">
      <c r="B9400" s="17"/>
      <c r="C9400" s="17"/>
      <c r="D9400" s="13"/>
      <c r="E9400" s="11"/>
      <c r="F9400" s="11"/>
      <c r="G9400" s="13">
        <f t="shared" si="1"/>
        <v>1281</v>
      </c>
      <c r="H9400" s="13"/>
    </row>
    <row r="9401" ht="22.5" customHeight="1">
      <c r="B9401" s="17"/>
      <c r="C9401" s="17"/>
      <c r="D9401" s="13"/>
      <c r="E9401" s="11"/>
      <c r="F9401" s="11"/>
      <c r="G9401" s="13">
        <f t="shared" si="1"/>
        <v>1281</v>
      </c>
      <c r="H9401" s="13"/>
    </row>
    <row r="9402" ht="22.5" customHeight="1">
      <c r="B9402" s="17"/>
      <c r="C9402" s="17"/>
      <c r="D9402" s="13"/>
      <c r="E9402" s="11"/>
      <c r="F9402" s="11"/>
      <c r="G9402" s="13">
        <f t="shared" si="1"/>
        <v>1281</v>
      </c>
      <c r="H9402" s="13"/>
    </row>
    <row r="9403" ht="22.5" customHeight="1">
      <c r="B9403" s="17"/>
      <c r="C9403" s="17"/>
      <c r="D9403" s="13"/>
      <c r="E9403" s="11"/>
      <c r="F9403" s="11"/>
      <c r="G9403" s="13">
        <f t="shared" si="1"/>
        <v>1281</v>
      </c>
      <c r="H9403" s="13"/>
    </row>
    <row r="9404" ht="22.5" customHeight="1">
      <c r="B9404" s="17"/>
      <c r="C9404" s="17"/>
      <c r="D9404" s="13"/>
      <c r="E9404" s="11"/>
      <c r="F9404" s="11"/>
      <c r="G9404" s="13">
        <f t="shared" si="1"/>
        <v>1281</v>
      </c>
      <c r="H9404" s="13"/>
    </row>
    <row r="9405" ht="22.5" customHeight="1">
      <c r="B9405" s="17"/>
      <c r="C9405" s="17"/>
      <c r="D9405" s="13"/>
      <c r="E9405" s="11"/>
      <c r="F9405" s="11"/>
      <c r="G9405" s="13">
        <f t="shared" si="1"/>
        <v>1281</v>
      </c>
      <c r="H9405" s="13"/>
    </row>
    <row r="9406" ht="22.5" customHeight="1">
      <c r="B9406" s="17"/>
      <c r="C9406" s="17"/>
      <c r="D9406" s="13"/>
      <c r="E9406" s="11"/>
      <c r="F9406" s="11"/>
      <c r="G9406" s="13">
        <f t="shared" si="1"/>
        <v>1281</v>
      </c>
      <c r="H9406" s="13"/>
    </row>
    <row r="9407" ht="22.5" customHeight="1">
      <c r="B9407" s="17"/>
      <c r="C9407" s="17"/>
      <c r="D9407" s="13"/>
      <c r="E9407" s="11"/>
      <c r="F9407" s="11"/>
      <c r="G9407" s="13">
        <f t="shared" si="1"/>
        <v>1281</v>
      </c>
      <c r="H9407" s="13"/>
    </row>
    <row r="9408" ht="22.5" customHeight="1">
      <c r="B9408" s="17"/>
      <c r="C9408" s="17"/>
      <c r="D9408" s="13"/>
      <c r="E9408" s="11"/>
      <c r="F9408" s="11"/>
      <c r="G9408" s="13">
        <f t="shared" si="1"/>
        <v>1281</v>
      </c>
      <c r="H9408" s="13"/>
    </row>
    <row r="9409" ht="22.5" customHeight="1">
      <c r="B9409" s="17"/>
      <c r="C9409" s="17"/>
      <c r="D9409" s="13"/>
      <c r="E9409" s="11"/>
      <c r="F9409" s="11"/>
      <c r="G9409" s="13">
        <f t="shared" si="1"/>
        <v>1281</v>
      </c>
      <c r="H9409" s="13"/>
    </row>
    <row r="9410" ht="22.5" customHeight="1">
      <c r="B9410" s="17"/>
      <c r="C9410" s="17"/>
      <c r="D9410" s="13"/>
      <c r="E9410" s="11"/>
      <c r="F9410" s="11"/>
      <c r="G9410" s="13">
        <f t="shared" si="1"/>
        <v>1281</v>
      </c>
      <c r="H9410" s="13"/>
    </row>
    <row r="9411" ht="22.5" customHeight="1">
      <c r="B9411" s="17"/>
      <c r="C9411" s="17"/>
      <c r="D9411" s="13"/>
      <c r="E9411" s="11"/>
      <c r="F9411" s="11"/>
      <c r="G9411" s="13">
        <f t="shared" si="1"/>
        <v>1281</v>
      </c>
      <c r="H9411" s="13"/>
    </row>
    <row r="9412" ht="22.5" customHeight="1">
      <c r="B9412" s="17"/>
      <c r="C9412" s="17"/>
      <c r="D9412" s="13"/>
      <c r="E9412" s="11"/>
      <c r="F9412" s="11"/>
      <c r="G9412" s="13">
        <f t="shared" si="1"/>
        <v>1281</v>
      </c>
      <c r="H9412" s="13"/>
    </row>
    <row r="9413" ht="22.5" customHeight="1">
      <c r="B9413" s="17"/>
      <c r="C9413" s="17"/>
      <c r="D9413" s="13"/>
      <c r="E9413" s="11"/>
      <c r="F9413" s="11"/>
      <c r="G9413" s="13">
        <f t="shared" si="1"/>
        <v>1281</v>
      </c>
      <c r="H9413" s="13"/>
    </row>
    <row r="9414" ht="22.5" customHeight="1">
      <c r="B9414" s="17"/>
      <c r="C9414" s="17"/>
      <c r="D9414" s="13"/>
      <c r="E9414" s="11"/>
      <c r="F9414" s="11"/>
      <c r="G9414" s="13">
        <f t="shared" si="1"/>
        <v>1281</v>
      </c>
      <c r="H9414" s="13"/>
    </row>
    <row r="9415" ht="22.5" customHeight="1">
      <c r="B9415" s="17"/>
      <c r="C9415" s="17"/>
      <c r="D9415" s="13"/>
      <c r="E9415" s="11"/>
      <c r="F9415" s="11"/>
      <c r="G9415" s="13">
        <f t="shared" si="1"/>
        <v>1281</v>
      </c>
      <c r="H9415" s="13"/>
    </row>
    <row r="9416" ht="22.5" customHeight="1">
      <c r="B9416" s="17"/>
      <c r="C9416" s="17"/>
      <c r="D9416" s="13"/>
      <c r="E9416" s="11"/>
      <c r="F9416" s="11"/>
      <c r="G9416" s="13">
        <f t="shared" si="1"/>
        <v>1281</v>
      </c>
      <c r="H9416" s="13"/>
    </row>
    <row r="9417" ht="22.5" customHeight="1">
      <c r="B9417" s="17"/>
      <c r="C9417" s="17"/>
      <c r="D9417" s="13"/>
      <c r="E9417" s="11"/>
      <c r="F9417" s="11"/>
      <c r="G9417" s="13">
        <f t="shared" si="1"/>
        <v>1281</v>
      </c>
      <c r="H9417" s="13"/>
    </row>
    <row r="9418" ht="22.5" customHeight="1">
      <c r="B9418" s="17"/>
      <c r="C9418" s="17"/>
      <c r="D9418" s="13"/>
      <c r="E9418" s="11"/>
      <c r="F9418" s="11"/>
      <c r="G9418" s="13">
        <f t="shared" si="1"/>
        <v>1281</v>
      </c>
      <c r="H9418" s="13"/>
    </row>
    <row r="9419" ht="22.5" customHeight="1">
      <c r="B9419" s="17"/>
      <c r="C9419" s="17"/>
      <c r="D9419" s="13"/>
      <c r="E9419" s="11"/>
      <c r="F9419" s="11"/>
      <c r="G9419" s="13">
        <f t="shared" si="1"/>
        <v>1281</v>
      </c>
      <c r="H9419" s="13"/>
    </row>
    <row r="9420" ht="22.5" customHeight="1">
      <c r="B9420" s="17"/>
      <c r="C9420" s="17"/>
      <c r="D9420" s="13"/>
      <c r="E9420" s="11"/>
      <c r="F9420" s="11"/>
      <c r="G9420" s="13">
        <f t="shared" si="1"/>
        <v>1281</v>
      </c>
      <c r="H9420" s="13"/>
    </row>
    <row r="9421" ht="22.5" customHeight="1">
      <c r="B9421" s="17"/>
      <c r="C9421" s="17"/>
      <c r="D9421" s="13"/>
      <c r="E9421" s="11"/>
      <c r="F9421" s="11"/>
      <c r="G9421" s="13">
        <f t="shared" si="1"/>
        <v>1281</v>
      </c>
      <c r="H9421" s="13"/>
    </row>
    <row r="9422" ht="22.5" customHeight="1">
      <c r="B9422" s="17"/>
      <c r="C9422" s="17"/>
      <c r="D9422" s="13"/>
      <c r="E9422" s="11"/>
      <c r="F9422" s="11"/>
      <c r="G9422" s="13">
        <f t="shared" si="1"/>
        <v>1281</v>
      </c>
      <c r="H9422" s="13"/>
    </row>
    <row r="9423" ht="22.5" customHeight="1">
      <c r="B9423" s="17"/>
      <c r="C9423" s="17"/>
      <c r="D9423" s="13"/>
      <c r="E9423" s="11"/>
      <c r="F9423" s="11"/>
      <c r="G9423" s="13">
        <f t="shared" si="1"/>
        <v>1281</v>
      </c>
      <c r="H9423" s="13"/>
    </row>
    <row r="9424" ht="22.5" customHeight="1">
      <c r="B9424" s="17"/>
      <c r="C9424" s="17"/>
      <c r="D9424" s="13"/>
      <c r="E9424" s="11"/>
      <c r="F9424" s="11"/>
      <c r="G9424" s="13">
        <f t="shared" si="1"/>
        <v>1281</v>
      </c>
      <c r="H9424" s="13"/>
    </row>
    <row r="9425" ht="22.5" customHeight="1">
      <c r="B9425" s="17"/>
      <c r="C9425" s="17"/>
      <c r="D9425" s="13"/>
      <c r="E9425" s="11"/>
      <c r="F9425" s="11"/>
      <c r="G9425" s="13">
        <f t="shared" si="1"/>
        <v>1281</v>
      </c>
      <c r="H9425" s="13"/>
    </row>
    <row r="9426" ht="22.5" customHeight="1">
      <c r="B9426" s="17"/>
      <c r="C9426" s="17"/>
      <c r="D9426" s="13"/>
      <c r="E9426" s="11"/>
      <c r="F9426" s="11"/>
      <c r="G9426" s="13">
        <f t="shared" si="1"/>
        <v>1281</v>
      </c>
      <c r="H9426" s="13"/>
    </row>
    <row r="9427" ht="22.5" customHeight="1">
      <c r="B9427" s="17"/>
      <c r="C9427" s="17"/>
      <c r="D9427" s="13"/>
      <c r="E9427" s="11"/>
      <c r="F9427" s="11"/>
      <c r="G9427" s="13">
        <f t="shared" si="1"/>
        <v>1281</v>
      </c>
      <c r="H9427" s="13"/>
    </row>
    <row r="9428" ht="22.5" customHeight="1">
      <c r="B9428" s="17"/>
      <c r="C9428" s="17"/>
      <c r="D9428" s="13"/>
      <c r="E9428" s="11"/>
      <c r="F9428" s="11"/>
      <c r="G9428" s="13">
        <f t="shared" si="1"/>
        <v>1281</v>
      </c>
      <c r="H9428" s="13"/>
    </row>
    <row r="9429" ht="22.5" customHeight="1">
      <c r="B9429" s="17"/>
      <c r="C9429" s="17"/>
      <c r="D9429" s="13"/>
      <c r="E9429" s="11"/>
      <c r="F9429" s="11"/>
      <c r="G9429" s="13">
        <f t="shared" si="1"/>
        <v>1281</v>
      </c>
      <c r="H9429" s="13"/>
    </row>
    <row r="9430" ht="22.5" customHeight="1">
      <c r="B9430" s="17"/>
      <c r="C9430" s="17"/>
      <c r="D9430" s="13"/>
      <c r="E9430" s="11"/>
      <c r="F9430" s="11"/>
      <c r="G9430" s="13">
        <f t="shared" si="1"/>
        <v>1281</v>
      </c>
      <c r="H9430" s="13"/>
    </row>
    <row r="9431" ht="22.5" customHeight="1">
      <c r="B9431" s="17"/>
      <c r="C9431" s="17"/>
      <c r="D9431" s="13"/>
      <c r="E9431" s="11"/>
      <c r="F9431" s="11"/>
      <c r="G9431" s="13">
        <f t="shared" si="1"/>
        <v>1281</v>
      </c>
      <c r="H9431" s="13"/>
    </row>
    <row r="9432" ht="22.5" customHeight="1">
      <c r="B9432" s="17"/>
      <c r="C9432" s="17"/>
      <c r="D9432" s="13"/>
      <c r="E9432" s="11"/>
      <c r="F9432" s="11"/>
      <c r="G9432" s="13">
        <f t="shared" si="1"/>
        <v>1281</v>
      </c>
      <c r="H9432" s="13"/>
    </row>
    <row r="9433" ht="22.5" customHeight="1">
      <c r="B9433" s="17"/>
      <c r="C9433" s="17"/>
      <c r="D9433" s="13"/>
      <c r="E9433" s="11"/>
      <c r="F9433" s="11"/>
      <c r="G9433" s="13">
        <f t="shared" si="1"/>
        <v>1281</v>
      </c>
      <c r="H9433" s="13"/>
    </row>
    <row r="9434" ht="22.5" customHeight="1">
      <c r="B9434" s="17"/>
      <c r="C9434" s="17"/>
      <c r="D9434" s="13"/>
      <c r="E9434" s="11"/>
      <c r="F9434" s="11"/>
      <c r="G9434" s="13">
        <f t="shared" si="1"/>
        <v>1281</v>
      </c>
      <c r="H9434" s="13"/>
    </row>
    <row r="9435" ht="22.5" customHeight="1">
      <c r="B9435" s="17"/>
      <c r="C9435" s="17"/>
      <c r="D9435" s="13"/>
      <c r="E9435" s="11"/>
      <c r="F9435" s="11"/>
      <c r="G9435" s="13">
        <f t="shared" si="1"/>
        <v>1281</v>
      </c>
      <c r="H9435" s="13"/>
    </row>
    <row r="9436" ht="22.5" customHeight="1">
      <c r="B9436" s="17"/>
      <c r="C9436" s="17"/>
      <c r="D9436" s="13"/>
      <c r="E9436" s="11"/>
      <c r="F9436" s="11"/>
      <c r="G9436" s="13">
        <f t="shared" si="1"/>
        <v>1281</v>
      </c>
      <c r="H9436" s="13"/>
    </row>
    <row r="9437" ht="22.5" customHeight="1">
      <c r="B9437" s="17"/>
      <c r="C9437" s="17"/>
      <c r="D9437" s="13"/>
      <c r="E9437" s="11"/>
      <c r="F9437" s="11"/>
      <c r="G9437" s="13">
        <f t="shared" si="1"/>
        <v>1281</v>
      </c>
      <c r="H9437" s="13"/>
    </row>
    <row r="9438" ht="22.5" customHeight="1">
      <c r="B9438" s="17"/>
      <c r="C9438" s="17"/>
      <c r="D9438" s="13"/>
      <c r="E9438" s="11"/>
      <c r="F9438" s="11"/>
      <c r="G9438" s="13">
        <f t="shared" si="1"/>
        <v>1281</v>
      </c>
      <c r="H9438" s="13"/>
    </row>
    <row r="9439" ht="22.5" customHeight="1">
      <c r="B9439" s="17"/>
      <c r="C9439" s="17"/>
      <c r="D9439" s="13"/>
      <c r="E9439" s="11"/>
      <c r="F9439" s="11"/>
      <c r="G9439" s="13">
        <f t="shared" si="1"/>
        <v>1281</v>
      </c>
      <c r="H9439" s="13"/>
    </row>
    <row r="9440" ht="22.5" customHeight="1">
      <c r="B9440" s="17"/>
      <c r="C9440" s="17"/>
      <c r="D9440" s="13"/>
      <c r="E9440" s="11"/>
      <c r="F9440" s="11"/>
      <c r="G9440" s="13">
        <f t="shared" si="1"/>
        <v>1281</v>
      </c>
      <c r="H9440" s="13"/>
    </row>
    <row r="9441" ht="22.5" customHeight="1">
      <c r="B9441" s="17"/>
      <c r="C9441" s="17"/>
      <c r="D9441" s="13"/>
      <c r="E9441" s="11"/>
      <c r="F9441" s="11"/>
      <c r="G9441" s="13">
        <f t="shared" si="1"/>
        <v>1281</v>
      </c>
      <c r="H9441" s="13"/>
    </row>
    <row r="9442" ht="22.5" customHeight="1">
      <c r="B9442" s="17"/>
      <c r="C9442" s="17"/>
      <c r="D9442" s="13"/>
      <c r="E9442" s="11"/>
      <c r="F9442" s="11"/>
      <c r="G9442" s="13">
        <f t="shared" si="1"/>
        <v>1281</v>
      </c>
      <c r="H9442" s="13"/>
    </row>
    <row r="9443" ht="22.5" customHeight="1">
      <c r="B9443" s="17"/>
      <c r="C9443" s="17"/>
      <c r="D9443" s="13"/>
      <c r="E9443" s="11"/>
      <c r="F9443" s="11"/>
      <c r="G9443" s="13">
        <f t="shared" si="1"/>
        <v>1281</v>
      </c>
      <c r="H9443" s="13"/>
    </row>
    <row r="9444" ht="22.5" customHeight="1">
      <c r="B9444" s="17"/>
      <c r="C9444" s="17"/>
      <c r="D9444" s="13"/>
      <c r="E9444" s="11"/>
      <c r="F9444" s="11"/>
      <c r="G9444" s="13">
        <f t="shared" si="1"/>
        <v>1281</v>
      </c>
      <c r="H9444" s="13"/>
    </row>
    <row r="9445" ht="22.5" customHeight="1">
      <c r="B9445" s="17"/>
      <c r="C9445" s="17"/>
      <c r="D9445" s="13"/>
      <c r="E9445" s="11"/>
      <c r="F9445" s="11"/>
      <c r="G9445" s="13">
        <f t="shared" si="1"/>
        <v>1281</v>
      </c>
      <c r="H9445" s="13"/>
    </row>
    <row r="9446" ht="22.5" customHeight="1">
      <c r="B9446" s="17"/>
      <c r="C9446" s="17"/>
      <c r="D9446" s="13"/>
      <c r="E9446" s="11"/>
      <c r="F9446" s="11"/>
      <c r="G9446" s="13">
        <f t="shared" si="1"/>
        <v>1281</v>
      </c>
      <c r="H9446" s="13"/>
    </row>
    <row r="9447" ht="22.5" customHeight="1">
      <c r="B9447" s="17"/>
      <c r="C9447" s="17"/>
      <c r="D9447" s="13"/>
      <c r="E9447" s="11"/>
      <c r="F9447" s="11"/>
      <c r="G9447" s="13">
        <f t="shared" si="1"/>
        <v>1281</v>
      </c>
      <c r="H9447" s="13"/>
    </row>
    <row r="9448" ht="22.5" customHeight="1">
      <c r="B9448" s="17"/>
      <c r="C9448" s="17"/>
      <c r="D9448" s="13"/>
      <c r="E9448" s="11"/>
      <c r="F9448" s="11"/>
      <c r="G9448" s="13">
        <f t="shared" si="1"/>
        <v>1281</v>
      </c>
      <c r="H9448" s="13"/>
    </row>
    <row r="9449" ht="22.5" customHeight="1">
      <c r="B9449" s="17"/>
      <c r="C9449" s="17"/>
      <c r="D9449" s="13"/>
      <c r="E9449" s="11"/>
      <c r="F9449" s="11"/>
      <c r="G9449" s="13">
        <f t="shared" si="1"/>
        <v>1281</v>
      </c>
      <c r="H9449" s="13"/>
    </row>
    <row r="9450" ht="22.5" customHeight="1">
      <c r="B9450" s="17"/>
      <c r="C9450" s="17"/>
      <c r="D9450" s="13"/>
      <c r="E9450" s="11"/>
      <c r="F9450" s="11"/>
      <c r="G9450" s="13">
        <f t="shared" si="1"/>
        <v>1281</v>
      </c>
      <c r="H9450" s="13"/>
    </row>
    <row r="9451" ht="22.5" customHeight="1">
      <c r="B9451" s="17"/>
      <c r="C9451" s="17"/>
      <c r="D9451" s="13"/>
      <c r="E9451" s="11"/>
      <c r="F9451" s="11"/>
      <c r="G9451" s="13">
        <f t="shared" si="1"/>
        <v>1281</v>
      </c>
      <c r="H9451" s="13"/>
    </row>
    <row r="9452" ht="22.5" customHeight="1">
      <c r="B9452" s="17"/>
      <c r="C9452" s="17"/>
      <c r="D9452" s="13"/>
      <c r="E9452" s="11"/>
      <c r="F9452" s="11"/>
      <c r="G9452" s="13">
        <f t="shared" si="1"/>
        <v>1281</v>
      </c>
      <c r="H9452" s="13"/>
    </row>
    <row r="9453" ht="22.5" customHeight="1">
      <c r="B9453" s="17"/>
      <c r="C9453" s="17"/>
      <c r="D9453" s="13"/>
      <c r="E9453" s="11"/>
      <c r="F9453" s="11"/>
      <c r="G9453" s="13">
        <f t="shared" si="1"/>
        <v>1281</v>
      </c>
      <c r="H9453" s="13"/>
    </row>
    <row r="9454" ht="22.5" customHeight="1">
      <c r="B9454" s="17"/>
      <c r="C9454" s="17"/>
      <c r="D9454" s="13"/>
      <c r="E9454" s="11"/>
      <c r="F9454" s="11"/>
      <c r="G9454" s="13">
        <f t="shared" si="1"/>
        <v>1281</v>
      </c>
      <c r="H9454" s="13"/>
    </row>
    <row r="9455" ht="22.5" customHeight="1">
      <c r="B9455" s="17"/>
      <c r="C9455" s="17"/>
      <c r="D9455" s="13"/>
      <c r="E9455" s="11"/>
      <c r="F9455" s="11"/>
      <c r="G9455" s="13">
        <f t="shared" si="1"/>
        <v>1281</v>
      </c>
      <c r="H9455" s="13"/>
    </row>
    <row r="9456" ht="22.5" customHeight="1">
      <c r="B9456" s="17"/>
      <c r="C9456" s="17"/>
      <c r="D9456" s="13"/>
      <c r="E9456" s="11"/>
      <c r="F9456" s="11"/>
      <c r="G9456" s="13">
        <f t="shared" si="1"/>
        <v>1281</v>
      </c>
      <c r="H9456" s="13"/>
    </row>
    <row r="9457" ht="22.5" customHeight="1">
      <c r="B9457" s="17"/>
      <c r="C9457" s="17"/>
      <c r="D9457" s="13"/>
      <c r="E9457" s="11"/>
      <c r="F9457" s="11"/>
      <c r="G9457" s="13">
        <f t="shared" si="1"/>
        <v>1281</v>
      </c>
      <c r="H9457" s="13"/>
    </row>
    <row r="9458" ht="22.5" customHeight="1">
      <c r="B9458" s="17"/>
      <c r="C9458" s="17"/>
      <c r="D9458" s="13"/>
      <c r="E9458" s="11"/>
      <c r="F9458" s="11"/>
      <c r="G9458" s="13">
        <f t="shared" si="1"/>
        <v>1281</v>
      </c>
      <c r="H9458" s="13"/>
    </row>
    <row r="9459" ht="22.5" customHeight="1">
      <c r="B9459" s="17"/>
      <c r="C9459" s="17"/>
      <c r="D9459" s="13"/>
      <c r="E9459" s="11"/>
      <c r="F9459" s="11"/>
      <c r="G9459" s="13">
        <f t="shared" si="1"/>
        <v>1281</v>
      </c>
      <c r="H9459" s="13"/>
    </row>
    <row r="9460" ht="22.5" customHeight="1">
      <c r="B9460" s="17"/>
      <c r="C9460" s="17"/>
      <c r="D9460" s="13"/>
      <c r="E9460" s="11"/>
      <c r="F9460" s="11"/>
      <c r="G9460" s="13">
        <f t="shared" si="1"/>
        <v>1281</v>
      </c>
      <c r="H9460" s="13"/>
    </row>
    <row r="9461" ht="22.5" customHeight="1">
      <c r="B9461" s="17"/>
      <c r="C9461" s="17"/>
      <c r="D9461" s="13"/>
      <c r="E9461" s="11"/>
      <c r="F9461" s="11"/>
      <c r="G9461" s="13">
        <f t="shared" si="1"/>
        <v>1281</v>
      </c>
      <c r="H9461" s="13"/>
    </row>
    <row r="9462" ht="22.5" customHeight="1">
      <c r="B9462" s="17"/>
      <c r="C9462" s="17"/>
      <c r="D9462" s="13"/>
      <c r="E9462" s="11"/>
      <c r="F9462" s="11"/>
      <c r="G9462" s="13">
        <f t="shared" si="1"/>
        <v>1281</v>
      </c>
      <c r="H9462" s="13"/>
    </row>
    <row r="9463" ht="22.5" customHeight="1">
      <c r="B9463" s="17"/>
      <c r="C9463" s="17"/>
      <c r="D9463" s="13"/>
      <c r="E9463" s="11"/>
      <c r="F9463" s="11"/>
      <c r="G9463" s="13">
        <f t="shared" si="1"/>
        <v>1281</v>
      </c>
      <c r="H9463" s="13"/>
    </row>
    <row r="9464" ht="22.5" customHeight="1">
      <c r="B9464" s="17"/>
      <c r="C9464" s="17"/>
      <c r="D9464" s="13"/>
      <c r="E9464" s="11"/>
      <c r="F9464" s="11"/>
      <c r="G9464" s="13">
        <f t="shared" si="1"/>
        <v>1281</v>
      </c>
      <c r="H9464" s="13"/>
    </row>
    <row r="9465" ht="22.5" customHeight="1">
      <c r="B9465" s="17"/>
      <c r="C9465" s="17"/>
      <c r="D9465" s="13"/>
      <c r="E9465" s="11"/>
      <c r="F9465" s="11"/>
      <c r="G9465" s="13">
        <f t="shared" si="1"/>
        <v>1281</v>
      </c>
      <c r="H9465" s="13"/>
    </row>
    <row r="9466" ht="22.5" customHeight="1">
      <c r="B9466" s="17"/>
      <c r="C9466" s="17"/>
      <c r="D9466" s="13"/>
      <c r="E9466" s="11"/>
      <c r="F9466" s="11"/>
      <c r="G9466" s="13">
        <f t="shared" si="1"/>
        <v>1281</v>
      </c>
      <c r="H9466" s="13"/>
    </row>
    <row r="9467" ht="22.5" customHeight="1">
      <c r="B9467" s="17"/>
      <c r="C9467" s="17"/>
      <c r="D9467" s="13"/>
      <c r="E9467" s="11"/>
      <c r="F9467" s="11"/>
      <c r="G9467" s="13">
        <f t="shared" si="1"/>
        <v>1281</v>
      </c>
      <c r="H9467" s="13"/>
    </row>
    <row r="9468" ht="22.5" customHeight="1">
      <c r="B9468" s="17"/>
      <c r="C9468" s="17"/>
      <c r="D9468" s="13"/>
      <c r="E9468" s="11"/>
      <c r="F9468" s="11"/>
      <c r="G9468" s="13">
        <f t="shared" si="1"/>
        <v>1281</v>
      </c>
      <c r="H9468" s="13"/>
    </row>
    <row r="9469" ht="22.5" customHeight="1">
      <c r="B9469" s="17"/>
      <c r="C9469" s="17"/>
      <c r="D9469" s="13"/>
      <c r="E9469" s="11"/>
      <c r="F9469" s="11"/>
      <c r="G9469" s="13">
        <f t="shared" si="1"/>
        <v>1281</v>
      </c>
      <c r="H9469" s="13"/>
    </row>
    <row r="9470" ht="22.5" customHeight="1">
      <c r="B9470" s="17"/>
      <c r="C9470" s="17"/>
      <c r="D9470" s="13"/>
      <c r="E9470" s="11"/>
      <c r="F9470" s="11"/>
      <c r="G9470" s="13">
        <f t="shared" si="1"/>
        <v>1281</v>
      </c>
      <c r="H9470" s="13"/>
    </row>
    <row r="9471" ht="22.5" customHeight="1">
      <c r="B9471" s="17"/>
      <c r="C9471" s="17"/>
      <c r="D9471" s="13"/>
      <c r="E9471" s="11"/>
      <c r="F9471" s="11"/>
      <c r="G9471" s="13">
        <f t="shared" si="1"/>
        <v>1281</v>
      </c>
      <c r="H9471" s="13"/>
    </row>
    <row r="9472" ht="22.5" customHeight="1">
      <c r="B9472" s="17"/>
      <c r="C9472" s="17"/>
      <c r="D9472" s="13"/>
      <c r="E9472" s="11"/>
      <c r="F9472" s="11"/>
      <c r="G9472" s="13">
        <f t="shared" si="1"/>
        <v>1281</v>
      </c>
      <c r="H9472" s="13"/>
    </row>
    <row r="9473" ht="22.5" customHeight="1">
      <c r="B9473" s="17"/>
      <c r="C9473" s="17"/>
      <c r="D9473" s="13"/>
      <c r="E9473" s="11"/>
      <c r="F9473" s="11"/>
      <c r="G9473" s="13">
        <f t="shared" si="1"/>
        <v>1281</v>
      </c>
      <c r="H9473" s="13"/>
    </row>
    <row r="9474" ht="22.5" customHeight="1">
      <c r="B9474" s="17"/>
      <c r="C9474" s="17"/>
      <c r="D9474" s="13"/>
      <c r="E9474" s="11"/>
      <c r="F9474" s="11"/>
      <c r="G9474" s="13">
        <f t="shared" si="1"/>
        <v>1281</v>
      </c>
      <c r="H9474" s="13"/>
    </row>
    <row r="9475" ht="22.5" customHeight="1">
      <c r="B9475" s="17"/>
      <c r="C9475" s="17"/>
      <c r="D9475" s="13"/>
      <c r="E9475" s="11"/>
      <c r="F9475" s="11"/>
      <c r="G9475" s="13">
        <f t="shared" si="1"/>
        <v>1281</v>
      </c>
      <c r="H9475" s="13"/>
    </row>
    <row r="9476" ht="22.5" customHeight="1">
      <c r="B9476" s="17"/>
      <c r="C9476" s="17"/>
      <c r="D9476" s="13"/>
      <c r="E9476" s="11"/>
      <c r="F9476" s="11"/>
      <c r="G9476" s="13">
        <f t="shared" si="1"/>
        <v>1281</v>
      </c>
      <c r="H9476" s="13"/>
    </row>
    <row r="9477" ht="22.5" customHeight="1">
      <c r="B9477" s="17"/>
      <c r="C9477" s="17"/>
      <c r="D9477" s="13"/>
      <c r="E9477" s="11"/>
      <c r="F9477" s="11"/>
      <c r="G9477" s="13">
        <f t="shared" si="1"/>
        <v>1281</v>
      </c>
      <c r="H9477" s="13"/>
    </row>
    <row r="9478" ht="22.5" customHeight="1">
      <c r="B9478" s="17"/>
      <c r="C9478" s="17"/>
      <c r="D9478" s="13"/>
      <c r="E9478" s="11"/>
      <c r="F9478" s="11"/>
      <c r="G9478" s="13">
        <f t="shared" si="1"/>
        <v>1281</v>
      </c>
      <c r="H9478" s="13"/>
    </row>
    <row r="9479" ht="22.5" customHeight="1">
      <c r="B9479" s="17"/>
      <c r="C9479" s="17"/>
      <c r="D9479" s="13"/>
      <c r="E9479" s="11"/>
      <c r="F9479" s="11"/>
      <c r="G9479" s="13">
        <f t="shared" si="1"/>
        <v>1281</v>
      </c>
      <c r="H9479" s="13"/>
    </row>
    <row r="9480" ht="22.5" customHeight="1">
      <c r="B9480" s="17"/>
      <c r="C9480" s="17"/>
      <c r="D9480" s="13"/>
      <c r="E9480" s="11"/>
      <c r="F9480" s="11"/>
      <c r="G9480" s="13">
        <f t="shared" si="1"/>
        <v>1281</v>
      </c>
      <c r="H9480" s="13"/>
    </row>
    <row r="9481" ht="22.5" customHeight="1">
      <c r="B9481" s="17"/>
      <c r="C9481" s="17"/>
      <c r="D9481" s="13"/>
      <c r="E9481" s="11"/>
      <c r="F9481" s="11"/>
      <c r="G9481" s="13">
        <f t="shared" si="1"/>
        <v>1281</v>
      </c>
      <c r="H9481" s="13"/>
    </row>
    <row r="9482" ht="22.5" customHeight="1">
      <c r="B9482" s="17"/>
      <c r="C9482" s="17"/>
      <c r="D9482" s="13"/>
      <c r="E9482" s="11"/>
      <c r="F9482" s="11"/>
      <c r="G9482" s="13">
        <f t="shared" si="1"/>
        <v>1281</v>
      </c>
      <c r="H9482" s="13"/>
    </row>
    <row r="9483" ht="22.5" customHeight="1">
      <c r="B9483" s="17"/>
      <c r="C9483" s="17"/>
      <c r="D9483" s="13"/>
      <c r="E9483" s="11"/>
      <c r="F9483" s="11"/>
      <c r="G9483" s="13">
        <f t="shared" si="1"/>
        <v>1281</v>
      </c>
      <c r="H9483" s="13"/>
    </row>
    <row r="9484" ht="22.5" customHeight="1">
      <c r="B9484" s="17"/>
      <c r="C9484" s="17"/>
      <c r="D9484" s="13"/>
      <c r="E9484" s="11"/>
      <c r="F9484" s="11"/>
      <c r="G9484" s="13">
        <f t="shared" si="1"/>
        <v>1281</v>
      </c>
      <c r="H9484" s="13"/>
    </row>
    <row r="9485" ht="22.5" customHeight="1">
      <c r="B9485" s="17"/>
      <c r="C9485" s="17"/>
      <c r="D9485" s="13"/>
      <c r="E9485" s="11"/>
      <c r="F9485" s="11"/>
      <c r="G9485" s="13">
        <f t="shared" si="1"/>
        <v>1281</v>
      </c>
      <c r="H9485" s="13"/>
    </row>
    <row r="9486" ht="22.5" customHeight="1">
      <c r="B9486" s="17"/>
      <c r="C9486" s="17"/>
      <c r="D9486" s="13"/>
      <c r="E9486" s="11"/>
      <c r="F9486" s="11"/>
      <c r="G9486" s="13">
        <f t="shared" si="1"/>
        <v>1281</v>
      </c>
      <c r="H9486" s="13"/>
    </row>
    <row r="9487" ht="22.5" customHeight="1">
      <c r="B9487" s="17"/>
      <c r="C9487" s="17"/>
      <c r="D9487" s="13"/>
      <c r="E9487" s="11"/>
      <c r="F9487" s="11"/>
      <c r="G9487" s="13">
        <f t="shared" si="1"/>
        <v>1281</v>
      </c>
      <c r="H9487" s="13"/>
    </row>
    <row r="9488" ht="22.5" customHeight="1">
      <c r="B9488" s="17"/>
      <c r="C9488" s="17"/>
      <c r="D9488" s="13"/>
      <c r="E9488" s="11"/>
      <c r="F9488" s="11"/>
      <c r="G9488" s="13">
        <f t="shared" si="1"/>
        <v>1281</v>
      </c>
      <c r="H9488" s="13"/>
    </row>
    <row r="9489" ht="22.5" customHeight="1">
      <c r="B9489" s="17"/>
      <c r="C9489" s="17"/>
      <c r="D9489" s="13"/>
      <c r="E9489" s="11"/>
      <c r="F9489" s="11"/>
      <c r="G9489" s="13">
        <f t="shared" si="1"/>
        <v>1281</v>
      </c>
      <c r="H9489" s="13"/>
    </row>
    <row r="9490" ht="22.5" customHeight="1">
      <c r="B9490" s="17"/>
      <c r="C9490" s="17"/>
      <c r="D9490" s="13"/>
      <c r="E9490" s="11"/>
      <c r="F9490" s="11"/>
      <c r="G9490" s="13">
        <f t="shared" si="1"/>
        <v>1281</v>
      </c>
      <c r="H9490" s="13"/>
    </row>
    <row r="9491" ht="22.5" customHeight="1">
      <c r="B9491" s="17"/>
      <c r="C9491" s="17"/>
      <c r="D9491" s="13"/>
      <c r="E9491" s="11"/>
      <c r="F9491" s="11"/>
      <c r="G9491" s="13">
        <f t="shared" si="1"/>
        <v>1281</v>
      </c>
      <c r="H9491" s="13"/>
    </row>
    <row r="9492" ht="22.5" customHeight="1">
      <c r="B9492" s="17"/>
      <c r="C9492" s="17"/>
      <c r="D9492" s="13"/>
      <c r="E9492" s="11"/>
      <c r="F9492" s="11"/>
      <c r="G9492" s="13">
        <f t="shared" si="1"/>
        <v>1281</v>
      </c>
      <c r="H9492" s="13"/>
    </row>
    <row r="9493" ht="22.5" customHeight="1">
      <c r="B9493" s="17"/>
      <c r="C9493" s="17"/>
      <c r="D9493" s="13"/>
      <c r="E9493" s="11"/>
      <c r="F9493" s="11"/>
      <c r="G9493" s="13">
        <f t="shared" si="1"/>
        <v>1281</v>
      </c>
      <c r="H9493" s="13"/>
    </row>
    <row r="9494" ht="22.5" customHeight="1">
      <c r="B9494" s="17"/>
      <c r="C9494" s="17"/>
      <c r="D9494" s="13"/>
      <c r="E9494" s="11"/>
      <c r="F9494" s="11"/>
      <c r="G9494" s="13">
        <f t="shared" si="1"/>
        <v>1281</v>
      </c>
      <c r="H9494" s="13"/>
    </row>
    <row r="9495" ht="22.5" customHeight="1">
      <c r="B9495" s="17"/>
      <c r="C9495" s="17"/>
      <c r="D9495" s="13"/>
      <c r="E9495" s="11"/>
      <c r="F9495" s="11"/>
      <c r="G9495" s="13">
        <f t="shared" si="1"/>
        <v>1281</v>
      </c>
      <c r="H9495" s="13"/>
    </row>
    <row r="9496" ht="22.5" customHeight="1">
      <c r="B9496" s="17"/>
      <c r="C9496" s="17"/>
      <c r="D9496" s="13"/>
      <c r="E9496" s="11"/>
      <c r="F9496" s="11"/>
      <c r="G9496" s="13">
        <f t="shared" si="1"/>
        <v>1281</v>
      </c>
      <c r="H9496" s="13"/>
    </row>
    <row r="9497" ht="22.5" customHeight="1">
      <c r="B9497" s="17"/>
      <c r="C9497" s="17"/>
      <c r="D9497" s="13"/>
      <c r="E9497" s="11"/>
      <c r="F9497" s="11"/>
      <c r="G9497" s="13">
        <f t="shared" si="1"/>
        <v>1281</v>
      </c>
      <c r="H9497" s="13"/>
    </row>
    <row r="9498" ht="22.5" customHeight="1">
      <c r="B9498" s="17"/>
      <c r="C9498" s="17"/>
      <c r="D9498" s="13"/>
      <c r="E9498" s="11"/>
      <c r="F9498" s="11"/>
      <c r="G9498" s="13">
        <f t="shared" si="1"/>
        <v>1281</v>
      </c>
      <c r="H9498" s="13"/>
    </row>
    <row r="9499" ht="22.5" customHeight="1">
      <c r="B9499" s="17"/>
      <c r="C9499" s="17"/>
      <c r="D9499" s="13"/>
      <c r="E9499" s="11"/>
      <c r="F9499" s="11"/>
      <c r="G9499" s="13">
        <f t="shared" si="1"/>
        <v>1281</v>
      </c>
      <c r="H9499" s="13"/>
    </row>
    <row r="9500" ht="22.5" customHeight="1">
      <c r="B9500" s="17"/>
      <c r="C9500" s="17"/>
      <c r="D9500" s="13"/>
      <c r="E9500" s="11"/>
      <c r="F9500" s="11"/>
      <c r="G9500" s="13">
        <f t="shared" si="1"/>
        <v>1281</v>
      </c>
      <c r="H9500" s="13"/>
    </row>
    <row r="9501" ht="22.5" customHeight="1">
      <c r="B9501" s="17"/>
      <c r="C9501" s="17"/>
      <c r="D9501" s="13"/>
      <c r="E9501" s="11"/>
      <c r="F9501" s="11"/>
      <c r="G9501" s="13">
        <f t="shared" si="1"/>
        <v>1281</v>
      </c>
      <c r="H9501" s="13"/>
    </row>
    <row r="9502" ht="22.5" customHeight="1">
      <c r="B9502" s="17"/>
      <c r="C9502" s="17"/>
      <c r="D9502" s="13"/>
      <c r="E9502" s="11"/>
      <c r="F9502" s="11"/>
      <c r="G9502" s="13">
        <f t="shared" si="1"/>
        <v>1281</v>
      </c>
      <c r="H9502" s="13"/>
    </row>
    <row r="9503" ht="22.5" customHeight="1">
      <c r="B9503" s="17"/>
      <c r="C9503" s="17"/>
      <c r="D9503" s="13"/>
      <c r="E9503" s="11"/>
      <c r="F9503" s="11"/>
      <c r="G9503" s="13">
        <f t="shared" si="1"/>
        <v>1281</v>
      </c>
      <c r="H9503" s="13"/>
    </row>
    <row r="9504" ht="22.5" customHeight="1">
      <c r="B9504" s="17"/>
      <c r="C9504" s="17"/>
      <c r="D9504" s="13"/>
      <c r="E9504" s="11"/>
      <c r="F9504" s="11"/>
      <c r="G9504" s="13">
        <f t="shared" si="1"/>
        <v>1281</v>
      </c>
      <c r="H9504" s="13"/>
    </row>
    <row r="9505" ht="22.5" customHeight="1">
      <c r="B9505" s="17"/>
      <c r="C9505" s="17"/>
      <c r="D9505" s="13"/>
      <c r="E9505" s="11"/>
      <c r="F9505" s="11"/>
      <c r="G9505" s="13">
        <f t="shared" si="1"/>
        <v>1281</v>
      </c>
      <c r="H9505" s="13"/>
    </row>
    <row r="9506" ht="22.5" customHeight="1">
      <c r="B9506" s="17"/>
      <c r="C9506" s="17"/>
      <c r="D9506" s="13"/>
      <c r="E9506" s="11"/>
      <c r="F9506" s="11"/>
      <c r="G9506" s="13">
        <f t="shared" si="1"/>
        <v>1281</v>
      </c>
      <c r="H9506" s="13"/>
    </row>
    <row r="9507" ht="22.5" customHeight="1">
      <c r="B9507" s="17"/>
      <c r="C9507" s="17"/>
      <c r="D9507" s="13"/>
      <c r="E9507" s="11"/>
      <c r="F9507" s="11"/>
      <c r="G9507" s="13">
        <f t="shared" si="1"/>
        <v>1281</v>
      </c>
      <c r="H9507" s="13"/>
    </row>
    <row r="9508" ht="22.5" customHeight="1">
      <c r="B9508" s="17"/>
      <c r="C9508" s="17"/>
      <c r="D9508" s="13"/>
      <c r="E9508" s="11"/>
      <c r="F9508" s="11"/>
      <c r="G9508" s="13">
        <f t="shared" si="1"/>
        <v>1281</v>
      </c>
      <c r="H9508" s="13"/>
    </row>
    <row r="9509" ht="22.5" customHeight="1">
      <c r="B9509" s="17"/>
      <c r="C9509" s="17"/>
      <c r="D9509" s="13"/>
      <c r="E9509" s="11"/>
      <c r="F9509" s="11"/>
      <c r="G9509" s="13">
        <f t="shared" si="1"/>
        <v>1281</v>
      </c>
      <c r="H9509" s="13"/>
    </row>
    <row r="9510" ht="22.5" customHeight="1">
      <c r="B9510" s="17"/>
      <c r="C9510" s="17"/>
      <c r="D9510" s="13"/>
      <c r="E9510" s="11"/>
      <c r="F9510" s="11"/>
      <c r="G9510" s="13">
        <f t="shared" si="1"/>
        <v>1281</v>
      </c>
      <c r="H9510" s="13"/>
    </row>
    <row r="9511" ht="22.5" customHeight="1">
      <c r="B9511" s="17"/>
      <c r="C9511" s="17"/>
      <c r="D9511" s="13"/>
      <c r="E9511" s="11"/>
      <c r="F9511" s="11"/>
      <c r="G9511" s="13">
        <f t="shared" si="1"/>
        <v>1281</v>
      </c>
      <c r="H9511" s="13"/>
    </row>
    <row r="9512" ht="22.5" customHeight="1">
      <c r="B9512" s="17"/>
      <c r="C9512" s="17"/>
      <c r="D9512" s="13"/>
      <c r="E9512" s="11"/>
      <c r="F9512" s="11"/>
      <c r="G9512" s="13">
        <f t="shared" si="1"/>
        <v>1281</v>
      </c>
      <c r="H9512" s="13"/>
    </row>
    <row r="9513" ht="22.5" customHeight="1">
      <c r="B9513" s="17"/>
      <c r="C9513" s="17"/>
      <c r="D9513" s="13"/>
      <c r="E9513" s="11"/>
      <c r="F9513" s="11"/>
      <c r="G9513" s="13">
        <f t="shared" si="1"/>
        <v>1281</v>
      </c>
      <c r="H9513" s="13"/>
    </row>
    <row r="9514" ht="22.5" customHeight="1">
      <c r="B9514" s="17"/>
      <c r="C9514" s="17"/>
      <c r="D9514" s="13"/>
      <c r="E9514" s="11"/>
      <c r="F9514" s="11"/>
      <c r="G9514" s="13">
        <f t="shared" si="1"/>
        <v>1281</v>
      </c>
      <c r="H9514" s="13"/>
    </row>
    <row r="9515" ht="22.5" customHeight="1">
      <c r="B9515" s="17"/>
      <c r="C9515" s="17"/>
      <c r="D9515" s="13"/>
      <c r="E9515" s="11"/>
      <c r="F9515" s="11"/>
      <c r="G9515" s="13">
        <f t="shared" si="1"/>
        <v>1281</v>
      </c>
      <c r="H9515" s="13"/>
    </row>
    <row r="9516" ht="22.5" customHeight="1">
      <c r="B9516" s="17"/>
      <c r="C9516" s="17"/>
      <c r="D9516" s="13"/>
      <c r="E9516" s="11"/>
      <c r="F9516" s="11"/>
      <c r="G9516" s="13">
        <f t="shared" si="1"/>
        <v>1281</v>
      </c>
      <c r="H9516" s="13"/>
    </row>
    <row r="9517" ht="22.5" customHeight="1">
      <c r="B9517" s="17"/>
      <c r="C9517" s="17"/>
      <c r="D9517" s="13"/>
      <c r="E9517" s="11"/>
      <c r="F9517" s="11"/>
      <c r="G9517" s="13">
        <f t="shared" si="1"/>
        <v>1281</v>
      </c>
      <c r="H9517" s="13"/>
    </row>
    <row r="9518" ht="22.5" customHeight="1">
      <c r="B9518" s="17"/>
      <c r="C9518" s="17"/>
      <c r="D9518" s="13"/>
      <c r="E9518" s="11"/>
      <c r="F9518" s="11"/>
      <c r="G9518" s="13">
        <f t="shared" si="1"/>
        <v>1281</v>
      </c>
      <c r="H9518" s="13"/>
    </row>
    <row r="9519" ht="22.5" customHeight="1">
      <c r="B9519" s="17"/>
      <c r="C9519" s="17"/>
      <c r="D9519" s="13"/>
      <c r="E9519" s="11"/>
      <c r="F9519" s="11"/>
      <c r="G9519" s="13">
        <f t="shared" si="1"/>
        <v>1281</v>
      </c>
      <c r="H9519" s="13"/>
    </row>
    <row r="9520" ht="22.5" customHeight="1">
      <c r="B9520" s="17"/>
      <c r="C9520" s="17"/>
      <c r="D9520" s="13"/>
      <c r="E9520" s="11"/>
      <c r="F9520" s="11"/>
      <c r="G9520" s="13">
        <f t="shared" si="1"/>
        <v>1281</v>
      </c>
      <c r="H9520" s="13"/>
    </row>
    <row r="9521" ht="22.5" customHeight="1">
      <c r="B9521" s="17"/>
      <c r="C9521" s="17"/>
      <c r="D9521" s="13"/>
      <c r="E9521" s="11"/>
      <c r="F9521" s="11"/>
      <c r="G9521" s="13">
        <f t="shared" si="1"/>
        <v>1281</v>
      </c>
      <c r="H9521" s="13"/>
    </row>
    <row r="9522" ht="22.5" customHeight="1">
      <c r="B9522" s="17"/>
      <c r="C9522" s="17"/>
      <c r="D9522" s="13"/>
      <c r="E9522" s="11"/>
      <c r="F9522" s="11"/>
      <c r="G9522" s="13">
        <f t="shared" si="1"/>
        <v>1281</v>
      </c>
      <c r="H9522" s="13"/>
    </row>
    <row r="9523" ht="22.5" customHeight="1">
      <c r="B9523" s="17"/>
      <c r="C9523" s="17"/>
      <c r="D9523" s="13"/>
      <c r="E9523" s="11"/>
      <c r="F9523" s="11"/>
      <c r="G9523" s="13">
        <f t="shared" si="1"/>
        <v>1281</v>
      </c>
      <c r="H9523" s="13"/>
    </row>
    <row r="9524" ht="22.5" customHeight="1">
      <c r="B9524" s="17"/>
      <c r="C9524" s="17"/>
      <c r="D9524" s="13"/>
      <c r="E9524" s="11"/>
      <c r="F9524" s="11"/>
      <c r="G9524" s="13">
        <f t="shared" si="1"/>
        <v>1281</v>
      </c>
      <c r="H9524" s="13"/>
    </row>
    <row r="9525" ht="22.5" customHeight="1">
      <c r="B9525" s="17"/>
      <c r="C9525" s="17"/>
      <c r="D9525" s="13"/>
      <c r="E9525" s="11"/>
      <c r="F9525" s="11"/>
      <c r="G9525" s="13">
        <f t="shared" si="1"/>
        <v>1281</v>
      </c>
      <c r="H9525" s="13"/>
    </row>
    <row r="9526" ht="22.5" customHeight="1">
      <c r="B9526" s="17"/>
      <c r="C9526" s="17"/>
      <c r="D9526" s="13"/>
      <c r="E9526" s="11"/>
      <c r="F9526" s="11"/>
      <c r="G9526" s="13">
        <f t="shared" si="1"/>
        <v>1281</v>
      </c>
      <c r="H9526" s="13"/>
    </row>
    <row r="9527" ht="22.5" customHeight="1">
      <c r="B9527" s="17"/>
      <c r="C9527" s="17"/>
      <c r="D9527" s="13"/>
      <c r="E9527" s="11"/>
      <c r="F9527" s="11"/>
      <c r="G9527" s="13">
        <f t="shared" si="1"/>
        <v>1281</v>
      </c>
      <c r="H9527" s="13"/>
    </row>
    <row r="9528" ht="22.5" customHeight="1">
      <c r="B9528" s="17"/>
      <c r="C9528" s="17"/>
      <c r="D9528" s="13"/>
      <c r="E9528" s="11"/>
      <c r="F9528" s="11"/>
      <c r="G9528" s="13">
        <f t="shared" si="1"/>
        <v>1281</v>
      </c>
      <c r="H9528" s="13"/>
    </row>
    <row r="9529" ht="22.5" customHeight="1">
      <c r="B9529" s="17"/>
      <c r="C9529" s="17"/>
      <c r="D9529" s="13"/>
      <c r="E9529" s="11"/>
      <c r="F9529" s="11"/>
      <c r="G9529" s="13">
        <f t="shared" si="1"/>
        <v>1281</v>
      </c>
      <c r="H9529" s="13"/>
    </row>
    <row r="9530" ht="22.5" customHeight="1">
      <c r="B9530" s="17"/>
      <c r="C9530" s="17"/>
      <c r="D9530" s="13"/>
      <c r="E9530" s="11"/>
      <c r="F9530" s="11"/>
      <c r="G9530" s="13">
        <f t="shared" si="1"/>
        <v>1281</v>
      </c>
      <c r="H9530" s="13"/>
    </row>
    <row r="9531" ht="22.5" customHeight="1">
      <c r="B9531" s="17"/>
      <c r="C9531" s="17"/>
      <c r="D9531" s="13"/>
      <c r="E9531" s="11"/>
      <c r="F9531" s="11"/>
      <c r="G9531" s="13">
        <f t="shared" si="1"/>
        <v>1281</v>
      </c>
      <c r="H9531" s="13"/>
    </row>
    <row r="9532" ht="22.5" customHeight="1">
      <c r="B9532" s="17"/>
      <c r="C9532" s="17"/>
      <c r="D9532" s="13"/>
      <c r="E9532" s="11"/>
      <c r="F9532" s="11"/>
      <c r="G9532" s="13">
        <f t="shared" si="1"/>
        <v>1281</v>
      </c>
      <c r="H9532" s="13"/>
    </row>
    <row r="9533" ht="22.5" customHeight="1">
      <c r="B9533" s="17"/>
      <c r="C9533" s="17"/>
      <c r="D9533" s="13"/>
      <c r="E9533" s="11"/>
      <c r="F9533" s="11"/>
      <c r="G9533" s="13">
        <f t="shared" si="1"/>
        <v>1281</v>
      </c>
      <c r="H9533" s="13"/>
    </row>
    <row r="9534" ht="22.5" customHeight="1">
      <c r="B9534" s="17"/>
      <c r="C9534" s="17"/>
      <c r="D9534" s="13"/>
      <c r="E9534" s="11"/>
      <c r="F9534" s="11"/>
      <c r="G9534" s="13">
        <f t="shared" si="1"/>
        <v>1281</v>
      </c>
      <c r="H9534" s="13"/>
    </row>
    <row r="9535" ht="22.5" customHeight="1">
      <c r="B9535" s="17"/>
      <c r="C9535" s="17"/>
      <c r="D9535" s="13"/>
      <c r="E9535" s="11"/>
      <c r="F9535" s="11"/>
      <c r="G9535" s="13">
        <f t="shared" si="1"/>
        <v>1281</v>
      </c>
      <c r="H9535" s="13"/>
    </row>
    <row r="9536" ht="22.5" customHeight="1">
      <c r="B9536" s="17"/>
      <c r="C9536" s="17"/>
      <c r="D9536" s="13"/>
      <c r="E9536" s="11"/>
      <c r="F9536" s="11"/>
      <c r="G9536" s="13">
        <f t="shared" si="1"/>
        <v>1281</v>
      </c>
      <c r="H9536" s="13"/>
    </row>
    <row r="9537" ht="22.5" customHeight="1">
      <c r="B9537" s="17"/>
      <c r="C9537" s="17"/>
      <c r="D9537" s="13"/>
      <c r="E9537" s="11"/>
      <c r="F9537" s="11"/>
      <c r="G9537" s="13">
        <f t="shared" si="1"/>
        <v>1281</v>
      </c>
      <c r="H9537" s="13"/>
    </row>
    <row r="9538" ht="22.5" customHeight="1">
      <c r="B9538" s="17"/>
      <c r="C9538" s="17"/>
      <c r="D9538" s="13"/>
      <c r="E9538" s="11"/>
      <c r="F9538" s="11"/>
      <c r="G9538" s="13">
        <f t="shared" si="1"/>
        <v>1281</v>
      </c>
      <c r="H9538" s="13"/>
    </row>
    <row r="9539" ht="22.5" customHeight="1">
      <c r="B9539" s="17"/>
      <c r="C9539" s="17"/>
      <c r="D9539" s="13"/>
      <c r="E9539" s="11"/>
      <c r="F9539" s="11"/>
      <c r="G9539" s="13">
        <f t="shared" si="1"/>
        <v>1281</v>
      </c>
      <c r="H9539" s="13"/>
    </row>
    <row r="9540" ht="22.5" customHeight="1">
      <c r="B9540" s="17"/>
      <c r="C9540" s="17"/>
      <c r="D9540" s="13"/>
      <c r="E9540" s="11"/>
      <c r="F9540" s="11"/>
      <c r="G9540" s="13">
        <f t="shared" si="1"/>
        <v>1281</v>
      </c>
      <c r="H9540" s="13"/>
    </row>
    <row r="9541" ht="22.5" customHeight="1">
      <c r="B9541" s="17"/>
      <c r="C9541" s="17"/>
      <c r="D9541" s="13"/>
      <c r="E9541" s="11"/>
      <c r="F9541" s="11"/>
      <c r="G9541" s="13">
        <f t="shared" si="1"/>
        <v>1281</v>
      </c>
      <c r="H9541" s="13"/>
    </row>
    <row r="9542" ht="22.5" customHeight="1">
      <c r="B9542" s="17"/>
      <c r="C9542" s="17"/>
      <c r="D9542" s="13"/>
      <c r="E9542" s="11"/>
      <c r="F9542" s="11"/>
      <c r="G9542" s="13">
        <f t="shared" si="1"/>
        <v>1281</v>
      </c>
      <c r="H9542" s="13"/>
    </row>
    <row r="9543" ht="22.5" customHeight="1">
      <c r="B9543" s="17"/>
      <c r="C9543" s="17"/>
      <c r="D9543" s="13"/>
      <c r="E9543" s="11"/>
      <c r="F9543" s="11"/>
      <c r="G9543" s="13">
        <f t="shared" si="1"/>
        <v>1281</v>
      </c>
      <c r="H9543" s="13"/>
    </row>
    <row r="9544" ht="22.5" customHeight="1">
      <c r="B9544" s="17"/>
      <c r="C9544" s="17"/>
      <c r="D9544" s="13"/>
      <c r="E9544" s="11"/>
      <c r="F9544" s="11"/>
      <c r="G9544" s="13">
        <f t="shared" si="1"/>
        <v>1281</v>
      </c>
      <c r="H9544" s="13"/>
    </row>
    <row r="9545" ht="22.5" customHeight="1">
      <c r="B9545" s="17"/>
      <c r="C9545" s="17"/>
      <c r="D9545" s="13"/>
      <c r="E9545" s="11"/>
      <c r="F9545" s="11"/>
      <c r="G9545" s="13">
        <f t="shared" si="1"/>
        <v>1281</v>
      </c>
      <c r="H9545" s="13"/>
    </row>
    <row r="9546" ht="22.5" customHeight="1">
      <c r="B9546" s="17"/>
      <c r="C9546" s="17"/>
      <c r="D9546" s="13"/>
      <c r="E9546" s="11"/>
      <c r="F9546" s="11"/>
      <c r="G9546" s="13">
        <f t="shared" si="1"/>
        <v>1281</v>
      </c>
      <c r="H9546" s="13"/>
    </row>
    <row r="9547" ht="22.5" customHeight="1">
      <c r="B9547" s="17"/>
      <c r="C9547" s="17"/>
      <c r="D9547" s="13"/>
      <c r="E9547" s="11"/>
      <c r="F9547" s="11"/>
      <c r="G9547" s="13">
        <f t="shared" si="1"/>
        <v>1281</v>
      </c>
      <c r="H9547" s="13"/>
    </row>
    <row r="9548" ht="22.5" customHeight="1">
      <c r="B9548" s="17"/>
      <c r="C9548" s="17"/>
      <c r="D9548" s="13"/>
      <c r="E9548" s="11"/>
      <c r="F9548" s="11"/>
      <c r="G9548" s="13">
        <f t="shared" si="1"/>
        <v>1281</v>
      </c>
      <c r="H9548" s="13"/>
    </row>
    <row r="9549" ht="22.5" customHeight="1">
      <c r="B9549" s="17"/>
      <c r="C9549" s="17"/>
      <c r="D9549" s="13"/>
      <c r="E9549" s="11"/>
      <c r="F9549" s="11"/>
      <c r="G9549" s="13">
        <f t="shared" si="1"/>
        <v>1281</v>
      </c>
      <c r="H9549" s="13"/>
    </row>
    <row r="9550" ht="22.5" customHeight="1">
      <c r="B9550" s="17"/>
      <c r="C9550" s="17"/>
      <c r="D9550" s="13"/>
      <c r="E9550" s="11"/>
      <c r="F9550" s="11"/>
      <c r="G9550" s="13">
        <f t="shared" si="1"/>
        <v>1281</v>
      </c>
      <c r="H9550" s="13"/>
    </row>
    <row r="9551" ht="22.5" customHeight="1">
      <c r="B9551" s="17"/>
      <c r="C9551" s="17"/>
      <c r="D9551" s="13"/>
      <c r="E9551" s="11"/>
      <c r="F9551" s="11"/>
      <c r="G9551" s="13">
        <f t="shared" si="1"/>
        <v>1281</v>
      </c>
      <c r="H9551" s="13"/>
    </row>
    <row r="9552" ht="22.5" customHeight="1">
      <c r="B9552" s="17"/>
      <c r="C9552" s="17"/>
      <c r="D9552" s="13"/>
      <c r="E9552" s="11"/>
      <c r="F9552" s="11"/>
      <c r="G9552" s="13">
        <f t="shared" si="1"/>
        <v>1281</v>
      </c>
      <c r="H9552" s="13"/>
    </row>
    <row r="9553" ht="22.5" customHeight="1">
      <c r="B9553" s="17"/>
      <c r="C9553" s="17"/>
      <c r="D9553" s="13"/>
      <c r="E9553" s="11"/>
      <c r="F9553" s="11"/>
      <c r="G9553" s="13">
        <f t="shared" si="1"/>
        <v>1281</v>
      </c>
      <c r="H9553" s="13"/>
    </row>
    <row r="9554" ht="22.5" customHeight="1">
      <c r="B9554" s="17"/>
      <c r="C9554" s="17"/>
      <c r="D9554" s="13"/>
      <c r="E9554" s="11"/>
      <c r="F9554" s="11"/>
      <c r="G9554" s="13">
        <f t="shared" si="1"/>
        <v>1281</v>
      </c>
      <c r="H9554" s="13"/>
    </row>
    <row r="9555" ht="22.5" customHeight="1">
      <c r="B9555" s="17"/>
      <c r="C9555" s="17"/>
      <c r="D9555" s="13"/>
      <c r="E9555" s="11"/>
      <c r="F9555" s="11"/>
      <c r="G9555" s="13">
        <f t="shared" si="1"/>
        <v>1281</v>
      </c>
      <c r="H9555" s="13"/>
    </row>
    <row r="9556" ht="22.5" customHeight="1">
      <c r="B9556" s="17"/>
      <c r="C9556" s="17"/>
      <c r="D9556" s="13"/>
      <c r="E9556" s="11"/>
      <c r="F9556" s="11"/>
      <c r="G9556" s="13">
        <f t="shared" si="1"/>
        <v>1281</v>
      </c>
      <c r="H9556" s="13"/>
    </row>
    <row r="9557" ht="22.5" customHeight="1">
      <c r="B9557" s="17"/>
      <c r="C9557" s="17"/>
      <c r="D9557" s="13"/>
      <c r="E9557" s="11"/>
      <c r="F9557" s="11"/>
      <c r="G9557" s="13">
        <f t="shared" si="1"/>
        <v>1281</v>
      </c>
      <c r="H9557" s="13"/>
    </row>
    <row r="9558" ht="22.5" customHeight="1">
      <c r="B9558" s="17"/>
      <c r="C9558" s="17"/>
      <c r="D9558" s="13"/>
      <c r="E9558" s="11"/>
      <c r="F9558" s="11"/>
      <c r="G9558" s="13">
        <f t="shared" si="1"/>
        <v>1281</v>
      </c>
      <c r="H9558" s="13"/>
    </row>
    <row r="9559" ht="22.5" customHeight="1">
      <c r="B9559" s="17"/>
      <c r="C9559" s="17"/>
      <c r="D9559" s="13"/>
      <c r="E9559" s="11"/>
      <c r="F9559" s="11"/>
      <c r="G9559" s="13">
        <f t="shared" si="1"/>
        <v>1281</v>
      </c>
      <c r="H9559" s="13"/>
    </row>
    <row r="9560" ht="22.5" customHeight="1">
      <c r="B9560" s="17"/>
      <c r="C9560" s="17"/>
      <c r="D9560" s="13"/>
      <c r="E9560" s="11"/>
      <c r="F9560" s="11"/>
      <c r="G9560" s="13">
        <f t="shared" si="1"/>
        <v>1281</v>
      </c>
      <c r="H9560" s="13"/>
    </row>
    <row r="9561" ht="22.5" customHeight="1">
      <c r="B9561" s="17"/>
      <c r="C9561" s="17"/>
      <c r="D9561" s="13"/>
      <c r="E9561" s="11"/>
      <c r="F9561" s="11"/>
      <c r="G9561" s="13">
        <f t="shared" si="1"/>
        <v>1281</v>
      </c>
      <c r="H9561" s="13"/>
    </row>
    <row r="9562" ht="22.5" customHeight="1">
      <c r="B9562" s="17"/>
      <c r="C9562" s="17"/>
      <c r="D9562" s="13"/>
      <c r="E9562" s="11"/>
      <c r="F9562" s="11"/>
      <c r="G9562" s="13">
        <f t="shared" si="1"/>
        <v>1281</v>
      </c>
      <c r="H9562" s="13"/>
    </row>
    <row r="9563" ht="22.5" customHeight="1">
      <c r="B9563" s="17"/>
      <c r="C9563" s="17"/>
      <c r="D9563" s="13"/>
      <c r="E9563" s="11"/>
      <c r="F9563" s="11"/>
      <c r="G9563" s="13">
        <f t="shared" si="1"/>
        <v>1281</v>
      </c>
      <c r="H9563" s="13"/>
    </row>
    <row r="9564" ht="22.5" customHeight="1">
      <c r="B9564" s="17"/>
      <c r="C9564" s="17"/>
      <c r="D9564" s="13"/>
      <c r="E9564" s="11"/>
      <c r="F9564" s="11"/>
      <c r="G9564" s="13">
        <f t="shared" si="1"/>
        <v>1281</v>
      </c>
      <c r="H9564" s="13"/>
    </row>
    <row r="9565" ht="22.5" customHeight="1">
      <c r="B9565" s="17"/>
      <c r="C9565" s="17"/>
      <c r="D9565" s="13"/>
      <c r="E9565" s="11"/>
      <c r="F9565" s="11"/>
      <c r="G9565" s="13">
        <f t="shared" si="1"/>
        <v>1281</v>
      </c>
      <c r="H9565" s="13"/>
    </row>
    <row r="9566" ht="22.5" customHeight="1">
      <c r="B9566" s="17"/>
      <c r="C9566" s="17"/>
      <c r="D9566" s="13"/>
      <c r="E9566" s="11"/>
      <c r="F9566" s="11"/>
      <c r="G9566" s="13">
        <f t="shared" si="1"/>
        <v>1281</v>
      </c>
      <c r="H9566" s="13"/>
    </row>
    <row r="9567" ht="22.5" customHeight="1">
      <c r="B9567" s="17"/>
      <c r="C9567" s="17"/>
      <c r="D9567" s="13"/>
      <c r="E9567" s="11"/>
      <c r="F9567" s="11"/>
      <c r="G9567" s="13">
        <f t="shared" si="1"/>
        <v>1281</v>
      </c>
      <c r="H9567" s="13"/>
    </row>
    <row r="9568" ht="22.5" customHeight="1">
      <c r="B9568" s="17"/>
      <c r="C9568" s="17"/>
      <c r="D9568" s="13"/>
      <c r="E9568" s="11"/>
      <c r="F9568" s="11"/>
      <c r="G9568" s="13">
        <f t="shared" si="1"/>
        <v>1281</v>
      </c>
      <c r="H9568" s="13"/>
    </row>
    <row r="9569" ht="22.5" customHeight="1">
      <c r="B9569" s="17"/>
      <c r="C9569" s="17"/>
      <c r="D9569" s="13"/>
      <c r="E9569" s="11"/>
      <c r="F9569" s="11"/>
      <c r="G9569" s="13">
        <f t="shared" si="1"/>
        <v>1281</v>
      </c>
      <c r="H9569" s="13"/>
    </row>
    <row r="9570" ht="22.5" customHeight="1">
      <c r="B9570" s="17"/>
      <c r="C9570" s="17"/>
      <c r="D9570" s="13"/>
      <c r="E9570" s="11"/>
      <c r="F9570" s="11"/>
      <c r="G9570" s="13">
        <f t="shared" si="1"/>
        <v>1281</v>
      </c>
      <c r="H9570" s="13"/>
    </row>
    <row r="9571" ht="22.5" customHeight="1">
      <c r="B9571" s="17"/>
      <c r="C9571" s="17"/>
      <c r="D9571" s="13"/>
      <c r="E9571" s="11"/>
      <c r="F9571" s="11"/>
      <c r="G9571" s="13">
        <f t="shared" si="1"/>
        <v>1281</v>
      </c>
      <c r="H9571" s="13"/>
    </row>
    <row r="9572" ht="22.5" customHeight="1">
      <c r="B9572" s="17"/>
      <c r="C9572" s="17"/>
      <c r="D9572" s="13"/>
      <c r="E9572" s="11"/>
      <c r="F9572" s="11"/>
      <c r="G9572" s="13">
        <f t="shared" si="1"/>
        <v>1281</v>
      </c>
      <c r="H9572" s="13"/>
    </row>
    <row r="9573" ht="22.5" customHeight="1">
      <c r="B9573" s="17"/>
      <c r="C9573" s="17"/>
      <c r="D9573" s="13"/>
      <c r="E9573" s="11"/>
      <c r="F9573" s="11"/>
      <c r="G9573" s="13">
        <f t="shared" si="1"/>
        <v>1281</v>
      </c>
      <c r="H9573" s="13"/>
    </row>
    <row r="9574" ht="22.5" customHeight="1">
      <c r="B9574" s="17"/>
      <c r="C9574" s="17"/>
      <c r="D9574" s="13"/>
      <c r="E9574" s="11"/>
      <c r="F9574" s="11"/>
      <c r="G9574" s="13">
        <f t="shared" si="1"/>
        <v>1281</v>
      </c>
      <c r="H9574" s="13"/>
    </row>
    <row r="9575" ht="22.5" customHeight="1">
      <c r="B9575" s="17"/>
      <c r="C9575" s="17"/>
      <c r="D9575" s="13"/>
      <c r="E9575" s="11"/>
      <c r="F9575" s="11"/>
      <c r="G9575" s="13">
        <f t="shared" si="1"/>
        <v>1281</v>
      </c>
      <c r="H9575" s="13"/>
    </row>
    <row r="9576" ht="22.5" customHeight="1">
      <c r="B9576" s="17"/>
      <c r="C9576" s="17"/>
      <c r="D9576" s="13"/>
      <c r="E9576" s="11"/>
      <c r="F9576" s="11"/>
      <c r="G9576" s="13">
        <f t="shared" si="1"/>
        <v>1281</v>
      </c>
      <c r="H9576" s="13"/>
    </row>
    <row r="9577" ht="22.5" customHeight="1">
      <c r="B9577" s="17"/>
      <c r="C9577" s="17"/>
      <c r="D9577" s="13"/>
      <c r="E9577" s="11"/>
      <c r="F9577" s="11"/>
      <c r="G9577" s="13">
        <f t="shared" si="1"/>
        <v>1281</v>
      </c>
      <c r="H9577" s="13"/>
    </row>
    <row r="9578" ht="22.5" customHeight="1">
      <c r="B9578" s="17"/>
      <c r="C9578" s="17"/>
      <c r="D9578" s="13"/>
      <c r="E9578" s="11"/>
      <c r="F9578" s="11"/>
      <c r="G9578" s="13">
        <f t="shared" si="1"/>
        <v>1281</v>
      </c>
      <c r="H9578" s="13"/>
    </row>
    <row r="9579" ht="22.5" customHeight="1">
      <c r="B9579" s="17"/>
      <c r="C9579" s="17"/>
      <c r="D9579" s="13"/>
      <c r="E9579" s="11"/>
      <c r="F9579" s="11"/>
      <c r="G9579" s="13">
        <f t="shared" si="1"/>
        <v>1281</v>
      </c>
      <c r="H9579" s="13"/>
    </row>
    <row r="9580" ht="22.5" customHeight="1">
      <c r="B9580" s="17"/>
      <c r="C9580" s="17"/>
      <c r="D9580" s="13"/>
      <c r="E9580" s="11"/>
      <c r="F9580" s="11"/>
      <c r="G9580" s="13">
        <f t="shared" si="1"/>
        <v>1281</v>
      </c>
      <c r="H9580" s="13"/>
    </row>
    <row r="9581" ht="22.5" customHeight="1">
      <c r="B9581" s="17"/>
      <c r="C9581" s="17"/>
      <c r="D9581" s="13"/>
      <c r="E9581" s="11"/>
      <c r="F9581" s="11"/>
      <c r="G9581" s="13">
        <f t="shared" si="1"/>
        <v>1281</v>
      </c>
      <c r="H9581" s="13"/>
    </row>
    <row r="9582" ht="22.5" customHeight="1">
      <c r="B9582" s="17"/>
      <c r="C9582" s="17"/>
      <c r="D9582" s="13"/>
      <c r="E9582" s="11"/>
      <c r="F9582" s="11"/>
      <c r="G9582" s="13">
        <f t="shared" si="1"/>
        <v>1281</v>
      </c>
      <c r="H9582" s="13"/>
    </row>
    <row r="9583" ht="22.5" customHeight="1">
      <c r="B9583" s="17"/>
      <c r="C9583" s="17"/>
      <c r="D9583" s="13"/>
      <c r="E9583" s="11"/>
      <c r="F9583" s="11"/>
      <c r="G9583" s="13">
        <f t="shared" si="1"/>
        <v>1281</v>
      </c>
      <c r="H9583" s="13"/>
    </row>
    <row r="9584" ht="22.5" customHeight="1">
      <c r="B9584" s="17"/>
      <c r="C9584" s="17"/>
      <c r="D9584" s="13"/>
      <c r="E9584" s="11"/>
      <c r="F9584" s="11"/>
      <c r="G9584" s="13">
        <f t="shared" si="1"/>
        <v>1281</v>
      </c>
      <c r="H9584" s="13"/>
    </row>
    <row r="9585" ht="22.5" customHeight="1">
      <c r="B9585" s="17"/>
      <c r="C9585" s="17"/>
      <c r="D9585" s="13"/>
      <c r="E9585" s="11"/>
      <c r="F9585" s="11"/>
      <c r="G9585" s="13">
        <f t="shared" si="1"/>
        <v>1281</v>
      </c>
      <c r="H9585" s="13"/>
    </row>
    <row r="9586" ht="22.5" customHeight="1">
      <c r="B9586" s="17"/>
      <c r="C9586" s="17"/>
      <c r="D9586" s="13"/>
      <c r="E9586" s="11"/>
      <c r="F9586" s="11"/>
      <c r="G9586" s="13">
        <f t="shared" si="1"/>
        <v>1281</v>
      </c>
      <c r="H9586" s="13"/>
    </row>
    <row r="9587" ht="22.5" customHeight="1">
      <c r="B9587" s="17"/>
      <c r="C9587" s="17"/>
      <c r="D9587" s="13"/>
      <c r="E9587" s="11"/>
      <c r="F9587" s="11"/>
      <c r="G9587" s="13">
        <f t="shared" si="1"/>
        <v>1281</v>
      </c>
      <c r="H9587" s="13"/>
    </row>
    <row r="9588" ht="22.5" customHeight="1">
      <c r="B9588" s="17"/>
      <c r="C9588" s="17"/>
      <c r="D9588" s="13"/>
      <c r="E9588" s="11"/>
      <c r="F9588" s="11"/>
      <c r="G9588" s="13">
        <f t="shared" si="1"/>
        <v>1281</v>
      </c>
      <c r="H9588" s="13"/>
    </row>
    <row r="9589" ht="22.5" customHeight="1">
      <c r="B9589" s="17"/>
      <c r="C9589" s="17"/>
      <c r="D9589" s="13"/>
      <c r="E9589" s="11"/>
      <c r="F9589" s="11"/>
      <c r="G9589" s="13">
        <f t="shared" si="1"/>
        <v>1281</v>
      </c>
      <c r="H9589" s="13"/>
    </row>
    <row r="9590" ht="22.5" customHeight="1">
      <c r="B9590" s="17"/>
      <c r="C9590" s="17"/>
      <c r="D9590" s="13"/>
      <c r="E9590" s="11"/>
      <c r="F9590" s="11"/>
      <c r="G9590" s="13">
        <f t="shared" si="1"/>
        <v>1281</v>
      </c>
      <c r="H9590" s="13"/>
    </row>
    <row r="9591" ht="22.5" customHeight="1">
      <c r="B9591" s="17"/>
      <c r="C9591" s="17"/>
      <c r="D9591" s="13"/>
      <c r="E9591" s="11"/>
      <c r="F9591" s="11"/>
      <c r="G9591" s="13">
        <f t="shared" si="1"/>
        <v>1281</v>
      </c>
      <c r="H9591" s="13"/>
    </row>
    <row r="9592" ht="22.5" customHeight="1">
      <c r="B9592" s="17"/>
      <c r="C9592" s="17"/>
      <c r="D9592" s="13"/>
      <c r="E9592" s="11"/>
      <c r="F9592" s="11"/>
      <c r="G9592" s="13">
        <f t="shared" si="1"/>
        <v>1281</v>
      </c>
      <c r="H9592" s="13"/>
    </row>
    <row r="9593" ht="22.5" customHeight="1">
      <c r="B9593" s="17"/>
      <c r="C9593" s="17"/>
      <c r="D9593" s="13"/>
      <c r="E9593" s="11"/>
      <c r="F9593" s="11"/>
      <c r="G9593" s="13">
        <f t="shared" si="1"/>
        <v>1281</v>
      </c>
      <c r="H9593" s="13"/>
    </row>
    <row r="9594" ht="22.5" customHeight="1">
      <c r="B9594" s="17"/>
      <c r="C9594" s="17"/>
      <c r="D9594" s="13"/>
      <c r="E9594" s="11"/>
      <c r="F9594" s="11"/>
      <c r="G9594" s="13">
        <f t="shared" si="1"/>
        <v>1281</v>
      </c>
      <c r="H9594" s="13"/>
    </row>
    <row r="9595" ht="22.5" customHeight="1">
      <c r="B9595" s="17"/>
      <c r="C9595" s="17"/>
      <c r="D9595" s="13"/>
      <c r="E9595" s="11"/>
      <c r="F9595" s="11"/>
      <c r="G9595" s="13">
        <f t="shared" si="1"/>
        <v>1281</v>
      </c>
      <c r="H9595" s="13"/>
    </row>
    <row r="9596" ht="22.5" customHeight="1">
      <c r="B9596" s="17"/>
      <c r="C9596" s="17"/>
      <c r="D9596" s="13"/>
      <c r="E9596" s="11"/>
      <c r="F9596" s="11"/>
      <c r="G9596" s="13">
        <f t="shared" si="1"/>
        <v>1281</v>
      </c>
      <c r="H9596" s="13"/>
    </row>
    <row r="9597" ht="22.5" customHeight="1">
      <c r="B9597" s="17"/>
      <c r="C9597" s="17"/>
      <c r="D9597" s="13"/>
      <c r="E9597" s="11"/>
      <c r="F9597" s="11"/>
      <c r="G9597" s="13">
        <f t="shared" si="1"/>
        <v>1281</v>
      </c>
      <c r="H9597" s="13"/>
    </row>
    <row r="9598" ht="22.5" customHeight="1">
      <c r="B9598" s="17"/>
      <c r="C9598" s="17"/>
      <c r="D9598" s="13"/>
      <c r="E9598" s="11"/>
      <c r="F9598" s="11"/>
      <c r="G9598" s="13">
        <f t="shared" si="1"/>
        <v>1281</v>
      </c>
      <c r="H9598" s="13"/>
    </row>
    <row r="9599" ht="22.5" customHeight="1">
      <c r="B9599" s="17"/>
      <c r="C9599" s="17"/>
      <c r="D9599" s="13"/>
      <c r="E9599" s="11"/>
      <c r="F9599" s="11"/>
      <c r="G9599" s="13">
        <f t="shared" si="1"/>
        <v>1281</v>
      </c>
      <c r="H9599" s="13"/>
    </row>
    <row r="9600" ht="22.5" customHeight="1">
      <c r="B9600" s="17"/>
      <c r="C9600" s="17"/>
      <c r="D9600" s="13"/>
      <c r="E9600" s="11"/>
      <c r="F9600" s="11"/>
      <c r="G9600" s="13">
        <f t="shared" si="1"/>
        <v>1281</v>
      </c>
      <c r="H9600" s="13"/>
    </row>
    <row r="9601" ht="22.5" customHeight="1">
      <c r="B9601" s="17"/>
      <c r="C9601" s="17"/>
      <c r="D9601" s="13"/>
      <c r="E9601" s="11"/>
      <c r="F9601" s="11"/>
      <c r="G9601" s="13">
        <f t="shared" si="1"/>
        <v>1281</v>
      </c>
      <c r="H9601" s="13"/>
    </row>
    <row r="9602" ht="22.5" customHeight="1">
      <c r="B9602" s="17"/>
      <c r="C9602" s="17"/>
      <c r="D9602" s="13"/>
      <c r="E9602" s="11"/>
      <c r="F9602" s="11"/>
      <c r="G9602" s="13">
        <f t="shared" si="1"/>
        <v>1281</v>
      </c>
      <c r="H9602" s="13"/>
    </row>
    <row r="9603" ht="22.5" customHeight="1">
      <c r="B9603" s="17"/>
      <c r="C9603" s="17"/>
      <c r="D9603" s="13"/>
      <c r="E9603" s="11"/>
      <c r="F9603" s="11"/>
      <c r="G9603" s="13">
        <f t="shared" si="1"/>
        <v>1281</v>
      </c>
      <c r="H9603" s="13"/>
    </row>
    <row r="9604" ht="22.5" customHeight="1">
      <c r="B9604" s="17"/>
      <c r="C9604" s="17"/>
      <c r="D9604" s="13"/>
      <c r="E9604" s="11"/>
      <c r="F9604" s="11"/>
      <c r="G9604" s="13">
        <f t="shared" si="1"/>
        <v>1281</v>
      </c>
      <c r="H9604" s="13"/>
    </row>
    <row r="9605" ht="22.5" customHeight="1">
      <c r="B9605" s="17"/>
      <c r="C9605" s="17"/>
      <c r="D9605" s="13"/>
      <c r="E9605" s="11"/>
      <c r="F9605" s="11"/>
      <c r="G9605" s="13">
        <f t="shared" si="1"/>
        <v>1281</v>
      </c>
      <c r="H9605" s="13"/>
    </row>
    <row r="9606" ht="22.5" customHeight="1">
      <c r="B9606" s="17"/>
      <c r="C9606" s="17"/>
      <c r="D9606" s="13"/>
      <c r="E9606" s="11"/>
      <c r="F9606" s="11"/>
      <c r="G9606" s="13">
        <f t="shared" si="1"/>
        <v>1281</v>
      </c>
      <c r="H9606" s="13"/>
    </row>
    <row r="9607" ht="22.5" customHeight="1">
      <c r="B9607" s="17"/>
      <c r="C9607" s="17"/>
      <c r="D9607" s="13"/>
      <c r="E9607" s="11"/>
      <c r="F9607" s="11"/>
      <c r="G9607" s="13">
        <f t="shared" si="1"/>
        <v>1281</v>
      </c>
      <c r="H9607" s="13"/>
    </row>
    <row r="9608" ht="22.5" customHeight="1">
      <c r="B9608" s="17"/>
      <c r="C9608" s="17"/>
      <c r="D9608" s="13"/>
      <c r="E9608" s="11"/>
      <c r="F9608" s="11"/>
      <c r="G9608" s="13">
        <f t="shared" si="1"/>
        <v>1281</v>
      </c>
      <c r="H9608" s="13"/>
    </row>
    <row r="9609" ht="22.5" customHeight="1">
      <c r="B9609" s="17"/>
      <c r="C9609" s="17"/>
      <c r="D9609" s="13"/>
      <c r="E9609" s="11"/>
      <c r="F9609" s="11"/>
      <c r="G9609" s="13">
        <f t="shared" si="1"/>
        <v>1281</v>
      </c>
      <c r="H9609" s="13"/>
    </row>
    <row r="9610" ht="22.5" customHeight="1">
      <c r="B9610" s="17"/>
      <c r="C9610" s="17"/>
      <c r="D9610" s="13"/>
      <c r="E9610" s="11"/>
      <c r="F9610" s="11"/>
      <c r="G9610" s="13">
        <f t="shared" si="1"/>
        <v>1281</v>
      </c>
      <c r="H9610" s="13"/>
    </row>
    <row r="9611" ht="22.5" customHeight="1">
      <c r="B9611" s="17"/>
      <c r="C9611" s="17"/>
      <c r="D9611" s="13"/>
      <c r="E9611" s="11"/>
      <c r="F9611" s="11"/>
      <c r="G9611" s="13">
        <f t="shared" si="1"/>
        <v>1281</v>
      </c>
      <c r="H9611" s="13"/>
    </row>
    <row r="9612" ht="22.5" customHeight="1">
      <c r="B9612" s="17"/>
      <c r="C9612" s="17"/>
      <c r="D9612" s="13"/>
      <c r="E9612" s="11"/>
      <c r="F9612" s="11"/>
      <c r="G9612" s="13">
        <f t="shared" si="1"/>
        <v>1281</v>
      </c>
      <c r="H9612" s="13"/>
    </row>
    <row r="9613" ht="22.5" customHeight="1">
      <c r="B9613" s="17"/>
      <c r="C9613" s="17"/>
      <c r="D9613" s="13"/>
      <c r="E9613" s="11"/>
      <c r="F9613" s="11"/>
      <c r="G9613" s="13">
        <f t="shared" si="1"/>
        <v>1281</v>
      </c>
      <c r="H9613" s="13"/>
    </row>
    <row r="9614" ht="22.5" customHeight="1">
      <c r="B9614" s="17"/>
      <c r="C9614" s="17"/>
      <c r="D9614" s="13"/>
      <c r="E9614" s="11"/>
      <c r="F9614" s="11"/>
      <c r="G9614" s="13">
        <f t="shared" si="1"/>
        <v>1281</v>
      </c>
      <c r="H9614" s="13"/>
    </row>
    <row r="9615" ht="22.5" customHeight="1">
      <c r="B9615" s="17"/>
      <c r="C9615" s="17"/>
      <c r="D9615" s="13"/>
      <c r="E9615" s="11"/>
      <c r="F9615" s="11"/>
      <c r="G9615" s="13">
        <f t="shared" si="1"/>
        <v>1281</v>
      </c>
      <c r="H9615" s="13"/>
    </row>
    <row r="9616" ht="22.5" customHeight="1">
      <c r="B9616" s="17"/>
      <c r="C9616" s="17"/>
      <c r="D9616" s="13"/>
      <c r="E9616" s="11"/>
      <c r="F9616" s="11"/>
      <c r="G9616" s="13">
        <f t="shared" si="1"/>
        <v>1281</v>
      </c>
      <c r="H9616" s="13"/>
    </row>
    <row r="9617" ht="22.5" customHeight="1">
      <c r="B9617" s="17"/>
      <c r="C9617" s="17"/>
      <c r="D9617" s="13"/>
      <c r="E9617" s="11"/>
      <c r="F9617" s="11"/>
      <c r="G9617" s="13">
        <f t="shared" si="1"/>
        <v>1281</v>
      </c>
      <c r="H9617" s="13"/>
    </row>
    <row r="9618" ht="22.5" customHeight="1">
      <c r="B9618" s="17"/>
      <c r="C9618" s="17"/>
      <c r="D9618" s="13"/>
      <c r="E9618" s="11"/>
      <c r="F9618" s="11"/>
      <c r="G9618" s="13">
        <f t="shared" si="1"/>
        <v>1281</v>
      </c>
      <c r="H9618" s="13"/>
    </row>
    <row r="9619" ht="22.5" customHeight="1">
      <c r="B9619" s="17"/>
      <c r="C9619" s="17"/>
      <c r="D9619" s="13"/>
      <c r="E9619" s="11"/>
      <c r="F9619" s="11"/>
      <c r="G9619" s="13">
        <f t="shared" si="1"/>
        <v>1281</v>
      </c>
      <c r="H9619" s="13"/>
    </row>
    <row r="9620" ht="22.5" customHeight="1">
      <c r="B9620" s="17"/>
      <c r="C9620" s="17"/>
      <c r="D9620" s="13"/>
      <c r="E9620" s="11"/>
      <c r="F9620" s="11"/>
      <c r="G9620" s="13">
        <f t="shared" si="1"/>
        <v>1281</v>
      </c>
      <c r="H9620" s="13"/>
    </row>
    <row r="9621" ht="22.5" customHeight="1">
      <c r="B9621" s="17"/>
      <c r="C9621" s="17"/>
      <c r="D9621" s="13"/>
      <c r="E9621" s="11"/>
      <c r="F9621" s="11"/>
      <c r="G9621" s="13">
        <f t="shared" si="1"/>
        <v>1281</v>
      </c>
      <c r="H9621" s="13"/>
    </row>
    <row r="9622" ht="22.5" customHeight="1">
      <c r="B9622" s="17"/>
      <c r="C9622" s="17"/>
      <c r="D9622" s="13"/>
      <c r="E9622" s="11"/>
      <c r="F9622" s="11"/>
      <c r="G9622" s="13">
        <f t="shared" si="1"/>
        <v>1281</v>
      </c>
      <c r="H9622" s="13"/>
    </row>
    <row r="9623" ht="22.5" customHeight="1">
      <c r="B9623" s="17"/>
      <c r="C9623" s="17"/>
      <c r="D9623" s="13"/>
      <c r="E9623" s="11"/>
      <c r="F9623" s="11"/>
      <c r="G9623" s="13">
        <f t="shared" si="1"/>
        <v>1281</v>
      </c>
      <c r="H9623" s="13"/>
    </row>
    <row r="9624" ht="22.5" customHeight="1">
      <c r="B9624" s="17"/>
      <c r="C9624" s="17"/>
      <c r="D9624" s="13"/>
      <c r="E9624" s="11"/>
      <c r="F9624" s="11"/>
      <c r="G9624" s="13">
        <f t="shared" si="1"/>
        <v>1281</v>
      </c>
      <c r="H9624" s="13"/>
    </row>
    <row r="9625" ht="22.5" customHeight="1">
      <c r="B9625" s="17"/>
      <c r="C9625" s="17"/>
      <c r="D9625" s="13"/>
      <c r="E9625" s="11"/>
      <c r="F9625" s="11"/>
      <c r="G9625" s="13">
        <f t="shared" si="1"/>
        <v>1281</v>
      </c>
      <c r="H9625" s="13"/>
    </row>
    <row r="9626" ht="22.5" customHeight="1">
      <c r="B9626" s="17"/>
      <c r="C9626" s="17"/>
      <c r="D9626" s="13"/>
      <c r="E9626" s="11"/>
      <c r="F9626" s="11"/>
      <c r="G9626" s="13">
        <f t="shared" si="1"/>
        <v>1281</v>
      </c>
      <c r="H9626" s="13"/>
    </row>
    <row r="9627" ht="22.5" customHeight="1">
      <c r="B9627" s="17"/>
      <c r="C9627" s="17"/>
      <c r="D9627" s="13"/>
      <c r="E9627" s="11"/>
      <c r="F9627" s="11"/>
      <c r="G9627" s="13">
        <f t="shared" si="1"/>
        <v>1281</v>
      </c>
      <c r="H9627" s="13"/>
    </row>
    <row r="9628" ht="22.5" customHeight="1">
      <c r="B9628" s="17"/>
      <c r="C9628" s="17"/>
      <c r="D9628" s="13"/>
      <c r="E9628" s="11"/>
      <c r="F9628" s="11"/>
      <c r="G9628" s="13">
        <f t="shared" si="1"/>
        <v>1281</v>
      </c>
      <c r="H9628" s="13"/>
    </row>
    <row r="9629" ht="22.5" customHeight="1">
      <c r="B9629" s="17"/>
      <c r="C9629" s="17"/>
      <c r="D9629" s="13"/>
      <c r="E9629" s="11"/>
      <c r="F9629" s="11"/>
      <c r="G9629" s="13">
        <f t="shared" si="1"/>
        <v>1281</v>
      </c>
      <c r="H9629" s="13"/>
    </row>
    <row r="9630" ht="22.5" customHeight="1">
      <c r="B9630" s="17"/>
      <c r="C9630" s="17"/>
      <c r="D9630" s="13"/>
      <c r="E9630" s="11"/>
      <c r="F9630" s="11"/>
      <c r="G9630" s="13">
        <f t="shared" si="1"/>
        <v>1281</v>
      </c>
      <c r="H9630" s="13"/>
    </row>
    <row r="9631" ht="22.5" customHeight="1">
      <c r="B9631" s="17"/>
      <c r="C9631" s="17"/>
      <c r="D9631" s="13"/>
      <c r="E9631" s="11"/>
      <c r="F9631" s="11"/>
      <c r="G9631" s="13">
        <f t="shared" si="1"/>
        <v>1281</v>
      </c>
      <c r="H9631" s="13"/>
    </row>
    <row r="9632" ht="22.5" customHeight="1">
      <c r="B9632" s="17"/>
      <c r="C9632" s="17"/>
      <c r="D9632" s="13"/>
      <c r="E9632" s="11"/>
      <c r="F9632" s="11"/>
      <c r="G9632" s="13">
        <f t="shared" si="1"/>
        <v>1281</v>
      </c>
      <c r="H9632" s="13"/>
    </row>
    <row r="9633" ht="22.5" customHeight="1">
      <c r="B9633" s="17"/>
      <c r="C9633" s="17"/>
      <c r="D9633" s="13"/>
      <c r="E9633" s="11"/>
      <c r="F9633" s="11"/>
      <c r="G9633" s="13">
        <f t="shared" si="1"/>
        <v>1281</v>
      </c>
      <c r="H9633" s="13"/>
    </row>
    <row r="9634" ht="22.5" customHeight="1">
      <c r="B9634" s="17"/>
      <c r="C9634" s="17"/>
      <c r="D9634" s="13"/>
      <c r="E9634" s="11"/>
      <c r="F9634" s="11"/>
      <c r="G9634" s="13">
        <f t="shared" si="1"/>
        <v>1281</v>
      </c>
      <c r="H9634" s="13"/>
    </row>
    <row r="9635" ht="22.5" customHeight="1">
      <c r="B9635" s="17"/>
      <c r="C9635" s="17"/>
      <c r="D9635" s="13"/>
      <c r="E9635" s="11"/>
      <c r="F9635" s="11"/>
      <c r="G9635" s="13">
        <f t="shared" si="1"/>
        <v>1281</v>
      </c>
      <c r="H9635" s="13"/>
    </row>
    <row r="9636" ht="22.5" customHeight="1">
      <c r="B9636" s="17"/>
      <c r="C9636" s="17"/>
      <c r="D9636" s="13"/>
      <c r="E9636" s="11"/>
      <c r="F9636" s="11"/>
      <c r="G9636" s="13">
        <f t="shared" si="1"/>
        <v>1281</v>
      </c>
      <c r="H9636" s="13"/>
    </row>
    <row r="9637" ht="22.5" customHeight="1">
      <c r="B9637" s="17"/>
      <c r="C9637" s="17"/>
      <c r="D9637" s="13"/>
      <c r="E9637" s="11"/>
      <c r="F9637" s="11"/>
      <c r="G9637" s="13">
        <f t="shared" si="1"/>
        <v>1281</v>
      </c>
      <c r="H9637" s="13"/>
    </row>
    <row r="9638" ht="22.5" customHeight="1">
      <c r="B9638" s="17"/>
      <c r="C9638" s="17"/>
      <c r="D9638" s="13"/>
      <c r="E9638" s="11"/>
      <c r="F9638" s="11"/>
      <c r="G9638" s="13">
        <f t="shared" si="1"/>
        <v>1281</v>
      </c>
      <c r="H9638" s="13"/>
    </row>
    <row r="9639" ht="22.5" customHeight="1">
      <c r="B9639" s="17"/>
      <c r="C9639" s="17"/>
      <c r="D9639" s="13"/>
      <c r="E9639" s="11"/>
      <c r="F9639" s="11"/>
      <c r="G9639" s="13">
        <f t="shared" si="1"/>
        <v>1281</v>
      </c>
      <c r="H9639" s="13"/>
    </row>
    <row r="9640" ht="22.5" customHeight="1">
      <c r="B9640" s="17"/>
      <c r="C9640" s="17"/>
      <c r="D9640" s="13"/>
      <c r="E9640" s="11"/>
      <c r="F9640" s="11"/>
      <c r="G9640" s="13">
        <f t="shared" si="1"/>
        <v>1281</v>
      </c>
      <c r="H9640" s="13"/>
    </row>
    <row r="9641" ht="22.5" customHeight="1">
      <c r="B9641" s="17"/>
      <c r="C9641" s="17"/>
      <c r="D9641" s="13"/>
      <c r="E9641" s="11"/>
      <c r="F9641" s="11"/>
      <c r="G9641" s="13">
        <f t="shared" si="1"/>
        <v>1281</v>
      </c>
      <c r="H9641" s="13"/>
    </row>
    <row r="9642" ht="22.5" customHeight="1">
      <c r="B9642" s="17"/>
      <c r="C9642" s="17"/>
      <c r="D9642" s="13"/>
      <c r="E9642" s="11"/>
      <c r="F9642" s="11"/>
      <c r="G9642" s="13">
        <f t="shared" si="1"/>
        <v>1281</v>
      </c>
      <c r="H9642" s="13"/>
    </row>
    <row r="9643" ht="22.5" customHeight="1">
      <c r="B9643" s="17"/>
      <c r="C9643" s="17"/>
      <c r="D9643" s="13"/>
      <c r="E9643" s="11"/>
      <c r="F9643" s="11"/>
      <c r="G9643" s="13">
        <f t="shared" si="1"/>
        <v>1281</v>
      </c>
      <c r="H9643" s="13"/>
    </row>
    <row r="9644" ht="22.5" customHeight="1">
      <c r="B9644" s="17"/>
      <c r="C9644" s="17"/>
      <c r="D9644" s="13"/>
      <c r="E9644" s="11"/>
      <c r="F9644" s="11"/>
      <c r="G9644" s="13">
        <f t="shared" si="1"/>
        <v>1281</v>
      </c>
      <c r="H9644" s="13"/>
    </row>
    <row r="9645" ht="22.5" customHeight="1">
      <c r="B9645" s="17"/>
      <c r="C9645" s="17"/>
      <c r="D9645" s="13"/>
      <c r="E9645" s="11"/>
      <c r="F9645" s="11"/>
      <c r="G9645" s="13">
        <f t="shared" si="1"/>
        <v>1281</v>
      </c>
      <c r="H9645" s="13"/>
    </row>
    <row r="9646" ht="22.5" customHeight="1">
      <c r="B9646" s="17"/>
      <c r="C9646" s="17"/>
      <c r="D9646" s="13"/>
      <c r="E9646" s="11"/>
      <c r="F9646" s="11"/>
      <c r="G9646" s="13">
        <f t="shared" si="1"/>
        <v>1281</v>
      </c>
      <c r="H9646" s="13"/>
    </row>
    <row r="9647" ht="22.5" customHeight="1">
      <c r="B9647" s="17"/>
      <c r="C9647" s="17"/>
      <c r="D9647" s="13"/>
      <c r="E9647" s="11"/>
      <c r="F9647" s="11"/>
      <c r="G9647" s="13">
        <f t="shared" si="1"/>
        <v>1281</v>
      </c>
      <c r="H9647" s="13"/>
    </row>
    <row r="9648" ht="22.5" customHeight="1">
      <c r="B9648" s="17"/>
      <c r="C9648" s="17"/>
      <c r="D9648" s="13"/>
      <c r="E9648" s="11"/>
      <c r="F9648" s="11"/>
      <c r="G9648" s="13">
        <f t="shared" si="1"/>
        <v>1281</v>
      </c>
      <c r="H9648" s="13"/>
    </row>
    <row r="9649" ht="22.5" customHeight="1">
      <c r="B9649" s="17"/>
      <c r="C9649" s="17"/>
      <c r="D9649" s="13"/>
      <c r="E9649" s="11"/>
      <c r="F9649" s="11"/>
      <c r="G9649" s="13">
        <f t="shared" si="1"/>
        <v>1281</v>
      </c>
      <c r="H9649" s="13"/>
    </row>
    <row r="9650" ht="22.5" customHeight="1">
      <c r="B9650" s="17"/>
      <c r="C9650" s="17"/>
      <c r="D9650" s="13"/>
      <c r="E9650" s="11"/>
      <c r="F9650" s="11"/>
      <c r="G9650" s="13">
        <f t="shared" si="1"/>
        <v>1281</v>
      </c>
      <c r="H9650" s="13"/>
    </row>
    <row r="9651" ht="22.5" customHeight="1">
      <c r="B9651" s="17"/>
      <c r="C9651" s="17"/>
      <c r="D9651" s="13"/>
      <c r="E9651" s="11"/>
      <c r="F9651" s="11"/>
      <c r="G9651" s="13">
        <f t="shared" si="1"/>
        <v>1281</v>
      </c>
      <c r="H9651" s="13"/>
    </row>
    <row r="9652" ht="22.5" customHeight="1">
      <c r="B9652" s="17"/>
      <c r="C9652" s="17"/>
      <c r="D9652" s="13"/>
      <c r="E9652" s="11"/>
      <c r="F9652" s="11"/>
      <c r="G9652" s="13">
        <f t="shared" si="1"/>
        <v>1281</v>
      </c>
      <c r="H9652" s="13"/>
    </row>
    <row r="9653" ht="22.5" customHeight="1">
      <c r="B9653" s="17"/>
      <c r="C9653" s="17"/>
      <c r="D9653" s="13"/>
      <c r="E9653" s="11"/>
      <c r="F9653" s="11"/>
      <c r="G9653" s="13">
        <f t="shared" si="1"/>
        <v>1281</v>
      </c>
      <c r="H9653" s="13"/>
    </row>
    <row r="9654" ht="22.5" customHeight="1">
      <c r="B9654" s="17"/>
      <c r="C9654" s="17"/>
      <c r="D9654" s="13"/>
      <c r="E9654" s="11"/>
      <c r="F9654" s="11"/>
      <c r="G9654" s="13">
        <f t="shared" si="1"/>
        <v>1281</v>
      </c>
      <c r="H9654" s="13"/>
    </row>
    <row r="9655" ht="22.5" customHeight="1">
      <c r="B9655" s="17"/>
      <c r="C9655" s="17"/>
      <c r="D9655" s="13"/>
      <c r="E9655" s="11"/>
      <c r="F9655" s="11"/>
      <c r="G9655" s="13">
        <f t="shared" si="1"/>
        <v>1281</v>
      </c>
      <c r="H9655" s="13"/>
    </row>
    <row r="9656" ht="22.5" customHeight="1">
      <c r="B9656" s="17"/>
      <c r="C9656" s="17"/>
      <c r="D9656" s="13"/>
      <c r="E9656" s="11"/>
      <c r="F9656" s="11"/>
      <c r="G9656" s="13">
        <f t="shared" si="1"/>
        <v>1281</v>
      </c>
      <c r="H9656" s="13"/>
    </row>
    <row r="9657" ht="22.5" customHeight="1">
      <c r="B9657" s="17"/>
      <c r="C9657" s="17"/>
      <c r="D9657" s="13"/>
      <c r="E9657" s="11"/>
      <c r="F9657" s="11"/>
      <c r="G9657" s="13">
        <f t="shared" si="1"/>
        <v>1281</v>
      </c>
      <c r="H9657" s="13"/>
    </row>
    <row r="9658" ht="22.5" customHeight="1">
      <c r="B9658" s="17"/>
      <c r="C9658" s="17"/>
      <c r="D9658" s="13"/>
      <c r="E9658" s="11"/>
      <c r="F9658" s="11"/>
      <c r="G9658" s="13">
        <f t="shared" si="1"/>
        <v>1281</v>
      </c>
      <c r="H9658" s="13"/>
    </row>
    <row r="9659" ht="22.5" customHeight="1">
      <c r="B9659" s="17"/>
      <c r="C9659" s="17"/>
      <c r="D9659" s="13"/>
      <c r="E9659" s="11"/>
      <c r="F9659" s="11"/>
      <c r="G9659" s="13">
        <f t="shared" si="1"/>
        <v>1281</v>
      </c>
      <c r="H9659" s="13"/>
    </row>
    <row r="9660" ht="22.5" customHeight="1">
      <c r="B9660" s="17"/>
      <c r="C9660" s="17"/>
      <c r="D9660" s="13"/>
      <c r="E9660" s="11"/>
      <c r="F9660" s="11"/>
      <c r="G9660" s="13">
        <f t="shared" si="1"/>
        <v>1281</v>
      </c>
      <c r="H9660" s="13"/>
    </row>
    <row r="9661" ht="22.5" customHeight="1">
      <c r="B9661" s="17"/>
      <c r="C9661" s="17"/>
      <c r="D9661" s="13"/>
      <c r="E9661" s="11"/>
      <c r="F9661" s="11"/>
      <c r="G9661" s="13">
        <f t="shared" si="1"/>
        <v>1281</v>
      </c>
      <c r="H9661" s="13"/>
    </row>
    <row r="9662" ht="22.5" customHeight="1">
      <c r="B9662" s="17"/>
      <c r="C9662" s="17"/>
      <c r="D9662" s="13"/>
      <c r="E9662" s="11"/>
      <c r="F9662" s="11"/>
      <c r="G9662" s="13">
        <f t="shared" si="1"/>
        <v>1281</v>
      </c>
      <c r="H9662" s="13"/>
    </row>
    <row r="9663" ht="22.5" customHeight="1">
      <c r="B9663" s="17"/>
      <c r="C9663" s="17"/>
      <c r="D9663" s="13"/>
      <c r="E9663" s="11"/>
      <c r="F9663" s="11"/>
      <c r="G9663" s="13">
        <f t="shared" si="1"/>
        <v>1281</v>
      </c>
      <c r="H9663" s="13"/>
    </row>
    <row r="9664" ht="22.5" customHeight="1">
      <c r="B9664" s="17"/>
      <c r="C9664" s="17"/>
      <c r="D9664" s="13"/>
      <c r="E9664" s="11"/>
      <c r="F9664" s="11"/>
      <c r="G9664" s="13">
        <f t="shared" si="1"/>
        <v>1281</v>
      </c>
      <c r="H9664" s="13"/>
    </row>
    <row r="9665" ht="22.5" customHeight="1">
      <c r="B9665" s="17"/>
      <c r="C9665" s="17"/>
      <c r="D9665" s="13"/>
      <c r="E9665" s="11"/>
      <c r="F9665" s="11"/>
      <c r="G9665" s="13">
        <f t="shared" si="1"/>
        <v>1281</v>
      </c>
      <c r="H9665" s="13"/>
    </row>
    <row r="9666" ht="22.5" customHeight="1">
      <c r="B9666" s="17"/>
      <c r="C9666" s="17"/>
      <c r="D9666" s="13"/>
      <c r="E9666" s="11"/>
      <c r="F9666" s="11"/>
      <c r="G9666" s="13">
        <f t="shared" si="1"/>
        <v>1281</v>
      </c>
      <c r="H9666" s="13"/>
    </row>
    <row r="9667" ht="22.5" customHeight="1">
      <c r="B9667" s="17"/>
      <c r="C9667" s="17"/>
      <c r="D9667" s="13"/>
      <c r="E9667" s="11"/>
      <c r="F9667" s="11"/>
      <c r="G9667" s="13">
        <f t="shared" si="1"/>
        <v>1281</v>
      </c>
      <c r="H9667" s="13"/>
    </row>
    <row r="9668" ht="22.5" customHeight="1">
      <c r="B9668" s="17"/>
      <c r="C9668" s="17"/>
      <c r="D9668" s="13"/>
      <c r="E9668" s="11"/>
      <c r="F9668" s="11"/>
      <c r="G9668" s="13">
        <f t="shared" si="1"/>
        <v>1281</v>
      </c>
      <c r="H9668" s="13"/>
    </row>
    <row r="9669" ht="22.5" customHeight="1">
      <c r="B9669" s="17"/>
      <c r="C9669" s="17"/>
      <c r="D9669" s="13"/>
      <c r="E9669" s="11"/>
      <c r="F9669" s="11"/>
      <c r="G9669" s="13">
        <f t="shared" si="1"/>
        <v>1281</v>
      </c>
      <c r="H9669" s="13"/>
    </row>
    <row r="9670" ht="22.5" customHeight="1">
      <c r="B9670" s="17"/>
      <c r="C9670" s="17"/>
      <c r="D9670" s="13"/>
      <c r="E9670" s="11"/>
      <c r="F9670" s="11"/>
      <c r="G9670" s="13">
        <f t="shared" si="1"/>
        <v>1281</v>
      </c>
      <c r="H9670" s="13"/>
    </row>
    <row r="9671" ht="22.5" customHeight="1">
      <c r="B9671" s="17"/>
      <c r="C9671" s="17"/>
      <c r="D9671" s="13"/>
      <c r="E9671" s="11"/>
      <c r="F9671" s="11"/>
      <c r="G9671" s="13">
        <f t="shared" si="1"/>
        <v>1281</v>
      </c>
      <c r="H9671" s="13"/>
    </row>
    <row r="9672" ht="22.5" customHeight="1">
      <c r="B9672" s="17"/>
      <c r="C9672" s="17"/>
      <c r="D9672" s="13"/>
      <c r="E9672" s="11"/>
      <c r="F9672" s="11"/>
      <c r="G9672" s="13">
        <f t="shared" si="1"/>
        <v>1281</v>
      </c>
      <c r="H9672" s="13"/>
    </row>
    <row r="9673" ht="22.5" customHeight="1">
      <c r="B9673" s="17"/>
      <c r="C9673" s="17"/>
      <c r="D9673" s="13"/>
      <c r="E9673" s="11"/>
      <c r="F9673" s="11"/>
      <c r="G9673" s="13">
        <f t="shared" si="1"/>
        <v>1281</v>
      </c>
      <c r="H9673" s="13"/>
    </row>
    <row r="9674" ht="22.5" customHeight="1">
      <c r="B9674" s="17"/>
      <c r="C9674" s="17"/>
      <c r="D9674" s="13"/>
      <c r="E9674" s="11"/>
      <c r="F9674" s="11"/>
      <c r="G9674" s="13">
        <f t="shared" si="1"/>
        <v>1281</v>
      </c>
      <c r="H9674" s="13"/>
    </row>
    <row r="9675" ht="22.5" customHeight="1">
      <c r="B9675" s="17"/>
      <c r="C9675" s="17"/>
      <c r="D9675" s="13"/>
      <c r="E9675" s="11"/>
      <c r="F9675" s="11"/>
      <c r="G9675" s="13">
        <f t="shared" si="1"/>
        <v>1281</v>
      </c>
      <c r="H9675" s="13"/>
    </row>
    <row r="9676" ht="22.5" customHeight="1">
      <c r="B9676" s="17"/>
      <c r="C9676" s="17"/>
      <c r="D9676" s="13"/>
      <c r="E9676" s="11"/>
      <c r="F9676" s="11"/>
      <c r="G9676" s="13">
        <f t="shared" si="1"/>
        <v>1281</v>
      </c>
      <c r="H9676" s="13"/>
    </row>
    <row r="9677" ht="22.5" customHeight="1">
      <c r="B9677" s="17"/>
      <c r="C9677" s="17"/>
      <c r="D9677" s="13"/>
      <c r="E9677" s="11"/>
      <c r="F9677" s="11"/>
      <c r="G9677" s="13">
        <f t="shared" si="1"/>
        <v>1281</v>
      </c>
      <c r="H9677" s="13"/>
    </row>
    <row r="9678" ht="22.5" customHeight="1">
      <c r="B9678" s="17"/>
      <c r="C9678" s="17"/>
      <c r="D9678" s="13"/>
      <c r="E9678" s="11"/>
      <c r="F9678" s="11"/>
      <c r="G9678" s="13">
        <f t="shared" si="1"/>
        <v>1281</v>
      </c>
      <c r="H9678" s="13"/>
    </row>
    <row r="9679" ht="22.5" customHeight="1">
      <c r="B9679" s="17"/>
      <c r="C9679" s="17"/>
      <c r="D9679" s="13"/>
      <c r="E9679" s="11"/>
      <c r="F9679" s="11"/>
      <c r="G9679" s="13">
        <f t="shared" si="1"/>
        <v>1281</v>
      </c>
      <c r="H9679" s="13"/>
    </row>
    <row r="9680" ht="22.5" customHeight="1">
      <c r="B9680" s="17"/>
      <c r="C9680" s="17"/>
      <c r="D9680" s="13"/>
      <c r="E9680" s="11"/>
      <c r="F9680" s="11"/>
      <c r="G9680" s="13">
        <f t="shared" si="1"/>
        <v>1281</v>
      </c>
      <c r="H9680" s="13"/>
    </row>
    <row r="9681" ht="22.5" customHeight="1">
      <c r="B9681" s="17"/>
      <c r="C9681" s="17"/>
      <c r="D9681" s="13"/>
      <c r="E9681" s="11"/>
      <c r="F9681" s="11"/>
      <c r="G9681" s="13">
        <f t="shared" si="1"/>
        <v>1281</v>
      </c>
      <c r="H9681" s="13"/>
    </row>
    <row r="9682" ht="22.5" customHeight="1">
      <c r="B9682" s="17"/>
      <c r="C9682" s="17"/>
      <c r="D9682" s="13"/>
      <c r="E9682" s="11"/>
      <c r="F9682" s="11"/>
      <c r="G9682" s="13">
        <f t="shared" si="1"/>
        <v>1281</v>
      </c>
      <c r="H9682" s="13"/>
    </row>
    <row r="9683" ht="22.5" customHeight="1">
      <c r="B9683" s="17"/>
      <c r="C9683" s="17"/>
      <c r="D9683" s="13"/>
      <c r="E9683" s="11"/>
      <c r="F9683" s="11"/>
      <c r="G9683" s="13">
        <f t="shared" si="1"/>
        <v>1281</v>
      </c>
      <c r="H9683" s="13"/>
    </row>
    <row r="9684" ht="22.5" customHeight="1">
      <c r="B9684" s="17"/>
      <c r="C9684" s="17"/>
      <c r="D9684" s="13"/>
      <c r="E9684" s="11"/>
      <c r="F9684" s="11"/>
      <c r="G9684" s="13">
        <f t="shared" si="1"/>
        <v>1281</v>
      </c>
      <c r="H9684" s="13"/>
    </row>
    <row r="9685" ht="22.5" customHeight="1">
      <c r="B9685" s="17"/>
      <c r="C9685" s="17"/>
      <c r="D9685" s="13"/>
      <c r="E9685" s="11"/>
      <c r="F9685" s="11"/>
      <c r="G9685" s="13">
        <f t="shared" si="1"/>
        <v>1281</v>
      </c>
      <c r="H9685" s="13"/>
    </row>
    <row r="9686" ht="22.5" customHeight="1">
      <c r="B9686" s="17"/>
      <c r="C9686" s="17"/>
      <c r="D9686" s="13"/>
      <c r="E9686" s="11"/>
      <c r="F9686" s="11"/>
      <c r="G9686" s="13">
        <f t="shared" si="1"/>
        <v>1281</v>
      </c>
      <c r="H9686" s="13"/>
    </row>
    <row r="9687" ht="22.5" customHeight="1">
      <c r="B9687" s="17"/>
      <c r="C9687" s="17"/>
      <c r="D9687" s="13"/>
      <c r="E9687" s="11"/>
      <c r="F9687" s="11"/>
      <c r="G9687" s="13">
        <f t="shared" si="1"/>
        <v>1281</v>
      </c>
      <c r="H9687" s="13"/>
    </row>
    <row r="9688" ht="22.5" customHeight="1">
      <c r="B9688" s="17"/>
      <c r="C9688" s="17"/>
      <c r="D9688" s="13"/>
      <c r="E9688" s="11"/>
      <c r="F9688" s="11"/>
      <c r="G9688" s="13">
        <f t="shared" si="1"/>
        <v>1281</v>
      </c>
      <c r="H9688" s="13"/>
    </row>
    <row r="9689" ht="22.5" customHeight="1">
      <c r="B9689" s="17"/>
      <c r="C9689" s="17"/>
      <c r="D9689" s="13"/>
      <c r="E9689" s="11"/>
      <c r="F9689" s="11"/>
      <c r="G9689" s="13">
        <f t="shared" si="1"/>
        <v>1281</v>
      </c>
      <c r="H9689" s="13"/>
    </row>
    <row r="9690" ht="22.5" customHeight="1">
      <c r="B9690" s="17"/>
      <c r="C9690" s="17"/>
      <c r="D9690" s="13"/>
      <c r="E9690" s="11"/>
      <c r="F9690" s="11"/>
      <c r="G9690" s="13">
        <f t="shared" si="1"/>
        <v>1281</v>
      </c>
      <c r="H9690" s="13"/>
    </row>
    <row r="9691" ht="22.5" customHeight="1">
      <c r="B9691" s="17"/>
      <c r="C9691" s="17"/>
      <c r="D9691" s="13"/>
      <c r="E9691" s="11"/>
      <c r="F9691" s="11"/>
      <c r="G9691" s="13">
        <f t="shared" si="1"/>
        <v>1281</v>
      </c>
      <c r="H9691" s="13"/>
    </row>
    <row r="9692" ht="22.5" customHeight="1">
      <c r="B9692" s="17"/>
      <c r="C9692" s="17"/>
      <c r="D9692" s="13"/>
      <c r="E9692" s="11"/>
      <c r="F9692" s="11"/>
      <c r="G9692" s="13">
        <f t="shared" si="1"/>
        <v>1281</v>
      </c>
      <c r="H9692" s="13"/>
    </row>
    <row r="9693" ht="22.5" customHeight="1">
      <c r="B9693" s="17"/>
      <c r="C9693" s="17"/>
      <c r="D9693" s="13"/>
      <c r="E9693" s="11"/>
      <c r="F9693" s="11"/>
      <c r="G9693" s="13">
        <f t="shared" si="1"/>
        <v>1281</v>
      </c>
      <c r="H9693" s="13"/>
    </row>
    <row r="9694" ht="22.5" customHeight="1">
      <c r="B9694" s="17"/>
      <c r="C9694" s="17"/>
      <c r="D9694" s="13"/>
      <c r="E9694" s="11"/>
      <c r="F9694" s="11"/>
      <c r="G9694" s="13">
        <f t="shared" si="1"/>
        <v>1281</v>
      </c>
      <c r="H9694" s="13"/>
    </row>
    <row r="9695" ht="22.5" customHeight="1">
      <c r="B9695" s="17"/>
      <c r="C9695" s="17"/>
      <c r="D9695" s="13"/>
      <c r="E9695" s="11"/>
      <c r="F9695" s="11"/>
      <c r="G9695" s="13">
        <f t="shared" si="1"/>
        <v>1281</v>
      </c>
      <c r="H9695" s="13"/>
    </row>
    <row r="9696" ht="22.5" customHeight="1">
      <c r="B9696" s="17"/>
      <c r="C9696" s="17"/>
      <c r="D9696" s="13"/>
      <c r="E9696" s="11"/>
      <c r="F9696" s="11"/>
      <c r="G9696" s="13">
        <f t="shared" si="1"/>
        <v>1281</v>
      </c>
      <c r="H9696" s="13"/>
    </row>
    <row r="9697" ht="22.5" customHeight="1">
      <c r="B9697" s="17"/>
      <c r="C9697" s="17"/>
      <c r="D9697" s="13"/>
      <c r="E9697" s="11"/>
      <c r="F9697" s="11"/>
      <c r="G9697" s="13">
        <f t="shared" si="1"/>
        <v>1281</v>
      </c>
      <c r="H9697" s="13"/>
    </row>
    <row r="9698" ht="22.5" customHeight="1">
      <c r="B9698" s="17"/>
      <c r="C9698" s="17"/>
      <c r="D9698" s="13"/>
      <c r="E9698" s="11"/>
      <c r="F9698" s="11"/>
      <c r="G9698" s="13">
        <f t="shared" si="1"/>
        <v>1281</v>
      </c>
      <c r="H9698" s="13"/>
    </row>
    <row r="9699" ht="22.5" customHeight="1">
      <c r="B9699" s="17"/>
      <c r="C9699" s="17"/>
      <c r="D9699" s="13"/>
      <c r="E9699" s="11"/>
      <c r="F9699" s="11"/>
      <c r="G9699" s="13">
        <f t="shared" si="1"/>
        <v>1281</v>
      </c>
      <c r="H9699" s="13"/>
    </row>
    <row r="9700" ht="22.5" customHeight="1">
      <c r="B9700" s="17"/>
      <c r="C9700" s="17"/>
      <c r="D9700" s="13"/>
      <c r="E9700" s="11"/>
      <c r="F9700" s="11"/>
      <c r="G9700" s="13">
        <f t="shared" si="1"/>
        <v>1281</v>
      </c>
      <c r="H9700" s="13"/>
    </row>
    <row r="9701" ht="22.5" customHeight="1">
      <c r="B9701" s="17"/>
      <c r="C9701" s="17"/>
      <c r="D9701" s="13"/>
      <c r="E9701" s="11"/>
      <c r="F9701" s="11"/>
      <c r="G9701" s="13">
        <f t="shared" si="1"/>
        <v>1281</v>
      </c>
      <c r="H9701" s="13"/>
    </row>
    <row r="9702" ht="22.5" customHeight="1">
      <c r="B9702" s="17"/>
      <c r="C9702" s="17"/>
      <c r="D9702" s="13"/>
      <c r="E9702" s="11"/>
      <c r="F9702" s="11"/>
      <c r="G9702" s="13">
        <f t="shared" si="1"/>
        <v>1281</v>
      </c>
      <c r="H9702" s="13"/>
    </row>
    <row r="9703" ht="22.5" customHeight="1">
      <c r="B9703" s="17"/>
      <c r="C9703" s="17"/>
      <c r="D9703" s="13"/>
      <c r="E9703" s="11"/>
      <c r="F9703" s="11"/>
      <c r="G9703" s="13">
        <f t="shared" si="1"/>
        <v>1281</v>
      </c>
      <c r="H9703" s="13"/>
    </row>
    <row r="9704" ht="22.5" customHeight="1">
      <c r="B9704" s="17"/>
      <c r="C9704" s="17"/>
      <c r="D9704" s="13"/>
      <c r="E9704" s="11"/>
      <c r="F9704" s="11"/>
      <c r="G9704" s="13">
        <f t="shared" si="1"/>
        <v>1281</v>
      </c>
      <c r="H9704" s="13"/>
    </row>
    <row r="9705" ht="22.5" customHeight="1">
      <c r="B9705" s="17"/>
      <c r="C9705" s="17"/>
      <c r="D9705" s="13"/>
      <c r="E9705" s="11"/>
      <c r="F9705" s="11"/>
      <c r="G9705" s="13">
        <f t="shared" si="1"/>
        <v>1281</v>
      </c>
      <c r="H9705" s="13"/>
    </row>
    <row r="9706" ht="22.5" customHeight="1">
      <c r="B9706" s="17"/>
      <c r="C9706" s="17"/>
      <c r="D9706" s="13"/>
      <c r="E9706" s="11"/>
      <c r="F9706" s="11"/>
      <c r="G9706" s="13">
        <f t="shared" si="1"/>
        <v>1281</v>
      </c>
      <c r="H9706" s="13"/>
    </row>
    <row r="9707" ht="22.5" customHeight="1">
      <c r="B9707" s="17"/>
      <c r="C9707" s="17"/>
      <c r="D9707" s="13"/>
      <c r="E9707" s="11"/>
      <c r="F9707" s="11"/>
      <c r="G9707" s="13">
        <f t="shared" si="1"/>
        <v>1281</v>
      </c>
      <c r="H9707" s="13"/>
    </row>
    <row r="9708" ht="22.5" customHeight="1">
      <c r="B9708" s="17"/>
      <c r="C9708" s="17"/>
      <c r="D9708" s="13"/>
      <c r="E9708" s="11"/>
      <c r="F9708" s="11"/>
      <c r="G9708" s="13">
        <f t="shared" si="1"/>
        <v>1281</v>
      </c>
      <c r="H9708" s="13"/>
    </row>
    <row r="9709" ht="22.5" customHeight="1">
      <c r="B9709" s="17"/>
      <c r="C9709" s="17"/>
      <c r="D9709" s="13"/>
      <c r="E9709" s="11"/>
      <c r="F9709" s="11"/>
      <c r="G9709" s="13">
        <f t="shared" si="1"/>
        <v>1281</v>
      </c>
      <c r="H9709" s="13"/>
    </row>
    <row r="9710" ht="22.5" customHeight="1">
      <c r="B9710" s="17"/>
      <c r="C9710" s="17"/>
      <c r="D9710" s="13"/>
      <c r="E9710" s="11"/>
      <c r="F9710" s="11"/>
      <c r="G9710" s="13">
        <f t="shared" si="1"/>
        <v>1281</v>
      </c>
      <c r="H9710" s="13"/>
    </row>
    <row r="9711" ht="22.5" customHeight="1">
      <c r="B9711" s="17"/>
      <c r="C9711" s="17"/>
      <c r="D9711" s="13"/>
      <c r="E9711" s="11"/>
      <c r="F9711" s="11"/>
      <c r="G9711" s="13">
        <f t="shared" si="1"/>
        <v>1281</v>
      </c>
      <c r="H9711" s="13"/>
    </row>
    <row r="9712" ht="22.5" customHeight="1">
      <c r="B9712" s="17"/>
      <c r="C9712" s="17"/>
      <c r="D9712" s="13"/>
      <c r="E9712" s="11"/>
      <c r="F9712" s="11"/>
      <c r="G9712" s="13">
        <f t="shared" si="1"/>
        <v>1281</v>
      </c>
      <c r="H9712" s="13"/>
    </row>
    <row r="9713" ht="22.5" customHeight="1">
      <c r="B9713" s="17"/>
      <c r="C9713" s="17"/>
      <c r="D9713" s="13"/>
      <c r="E9713" s="11"/>
      <c r="F9713" s="11"/>
      <c r="G9713" s="13">
        <f t="shared" si="1"/>
        <v>1281</v>
      </c>
      <c r="H9713" s="13"/>
    </row>
    <row r="9714" ht="22.5" customHeight="1">
      <c r="B9714" s="17"/>
      <c r="C9714" s="17"/>
      <c r="D9714" s="13"/>
      <c r="E9714" s="11"/>
      <c r="F9714" s="11"/>
      <c r="G9714" s="13">
        <f t="shared" si="1"/>
        <v>1281</v>
      </c>
      <c r="H9714" s="13"/>
    </row>
    <row r="9715" ht="22.5" customHeight="1">
      <c r="B9715" s="17"/>
      <c r="C9715" s="17"/>
      <c r="D9715" s="13"/>
      <c r="E9715" s="11"/>
      <c r="F9715" s="11"/>
      <c r="G9715" s="13">
        <f t="shared" si="1"/>
        <v>1281</v>
      </c>
      <c r="H9715" s="13"/>
    </row>
    <row r="9716" ht="22.5" customHeight="1">
      <c r="B9716" s="17"/>
      <c r="C9716" s="17"/>
      <c r="D9716" s="13"/>
      <c r="E9716" s="11"/>
      <c r="F9716" s="11"/>
      <c r="G9716" s="13">
        <f t="shared" si="1"/>
        <v>1281</v>
      </c>
      <c r="H9716" s="13"/>
    </row>
    <row r="9717" ht="22.5" customHeight="1">
      <c r="B9717" s="17"/>
      <c r="C9717" s="17"/>
      <c r="D9717" s="13"/>
      <c r="E9717" s="11"/>
      <c r="F9717" s="11"/>
      <c r="G9717" s="13">
        <f t="shared" si="1"/>
        <v>1281</v>
      </c>
      <c r="H9717" s="13"/>
    </row>
    <row r="9718" ht="22.5" customHeight="1">
      <c r="B9718" s="17"/>
      <c r="C9718" s="17"/>
      <c r="D9718" s="13"/>
      <c r="E9718" s="11"/>
      <c r="F9718" s="11"/>
      <c r="G9718" s="13">
        <f t="shared" si="1"/>
        <v>1281</v>
      </c>
      <c r="H9718" s="13"/>
    </row>
    <row r="9719" ht="22.5" customHeight="1">
      <c r="B9719" s="17"/>
      <c r="C9719" s="17"/>
      <c r="D9719" s="13"/>
      <c r="E9719" s="11"/>
      <c r="F9719" s="11"/>
      <c r="G9719" s="13">
        <f t="shared" si="1"/>
        <v>1281</v>
      </c>
      <c r="H9719" s="13"/>
    </row>
    <row r="9720" ht="22.5" customHeight="1">
      <c r="B9720" s="17"/>
      <c r="C9720" s="17"/>
      <c r="D9720" s="13"/>
      <c r="E9720" s="11"/>
      <c r="F9720" s="11"/>
      <c r="G9720" s="13">
        <f t="shared" si="1"/>
        <v>1281</v>
      </c>
      <c r="H9720" s="13"/>
    </row>
    <row r="9721" ht="22.5" customHeight="1">
      <c r="B9721" s="17"/>
      <c r="C9721" s="17"/>
      <c r="D9721" s="13"/>
      <c r="E9721" s="11"/>
      <c r="F9721" s="11"/>
      <c r="G9721" s="13">
        <f t="shared" si="1"/>
        <v>1281</v>
      </c>
      <c r="H9721" s="13"/>
    </row>
    <row r="9722" ht="22.5" customHeight="1">
      <c r="B9722" s="17"/>
      <c r="C9722" s="17"/>
      <c r="D9722" s="13"/>
      <c r="E9722" s="11"/>
      <c r="F9722" s="11"/>
      <c r="G9722" s="13">
        <f t="shared" si="1"/>
        <v>1281</v>
      </c>
      <c r="H9722" s="13"/>
    </row>
    <row r="9723" ht="22.5" customHeight="1">
      <c r="B9723" s="17"/>
      <c r="C9723" s="17"/>
      <c r="D9723" s="13"/>
      <c r="E9723" s="11"/>
      <c r="F9723" s="11"/>
      <c r="G9723" s="13">
        <f t="shared" si="1"/>
        <v>1281</v>
      </c>
      <c r="H9723" s="13"/>
    </row>
    <row r="9724" ht="22.5" customHeight="1">
      <c r="B9724" s="17"/>
      <c r="C9724" s="17"/>
      <c r="D9724" s="13"/>
      <c r="E9724" s="11"/>
      <c r="F9724" s="11"/>
      <c r="G9724" s="13">
        <f t="shared" si="1"/>
        <v>1281</v>
      </c>
      <c r="H9724" s="13"/>
    </row>
    <row r="9725" ht="22.5" customHeight="1">
      <c r="B9725" s="17"/>
      <c r="C9725" s="17"/>
      <c r="D9725" s="13"/>
      <c r="E9725" s="11"/>
      <c r="F9725" s="11"/>
      <c r="G9725" s="13">
        <f t="shared" si="1"/>
        <v>1281</v>
      </c>
      <c r="H9725" s="13"/>
    </row>
    <row r="9726" ht="22.5" customHeight="1">
      <c r="B9726" s="17"/>
      <c r="C9726" s="17"/>
      <c r="D9726" s="13"/>
      <c r="E9726" s="11"/>
      <c r="F9726" s="11"/>
      <c r="G9726" s="13">
        <f t="shared" si="1"/>
        <v>1281</v>
      </c>
      <c r="H9726" s="13"/>
    </row>
    <row r="9727" ht="22.5" customHeight="1">
      <c r="B9727" s="17"/>
      <c r="C9727" s="17"/>
      <c r="D9727" s="13"/>
      <c r="E9727" s="11"/>
      <c r="F9727" s="11"/>
      <c r="G9727" s="13">
        <f t="shared" si="1"/>
        <v>1281</v>
      </c>
      <c r="H9727" s="13"/>
    </row>
    <row r="9728" ht="22.5" customHeight="1">
      <c r="B9728" s="17"/>
      <c r="C9728" s="17"/>
      <c r="D9728" s="13"/>
      <c r="E9728" s="11"/>
      <c r="F9728" s="11"/>
      <c r="G9728" s="13">
        <f t="shared" si="1"/>
        <v>1281</v>
      </c>
      <c r="H9728" s="13"/>
    </row>
    <row r="9729" ht="22.5" customHeight="1">
      <c r="B9729" s="17"/>
      <c r="C9729" s="17"/>
      <c r="D9729" s="13"/>
      <c r="E9729" s="11"/>
      <c r="F9729" s="11"/>
      <c r="G9729" s="13">
        <f t="shared" si="1"/>
        <v>1281</v>
      </c>
      <c r="H9729" s="13"/>
    </row>
    <row r="9730" ht="22.5" customHeight="1">
      <c r="B9730" s="17"/>
      <c r="C9730" s="17"/>
      <c r="D9730" s="13"/>
      <c r="E9730" s="11"/>
      <c r="F9730" s="11"/>
      <c r="G9730" s="13">
        <f t="shared" si="1"/>
        <v>1281</v>
      </c>
      <c r="H9730" s="13"/>
    </row>
    <row r="9731" ht="22.5" customHeight="1">
      <c r="B9731" s="17"/>
      <c r="C9731" s="17"/>
      <c r="D9731" s="13"/>
      <c r="E9731" s="11"/>
      <c r="F9731" s="11"/>
      <c r="G9731" s="13">
        <f t="shared" si="1"/>
        <v>1281</v>
      </c>
      <c r="H9731" s="13"/>
    </row>
    <row r="9732" ht="22.5" customHeight="1">
      <c r="B9732" s="17"/>
      <c r="C9732" s="17"/>
      <c r="D9732" s="13"/>
      <c r="E9732" s="11"/>
      <c r="F9732" s="11"/>
      <c r="G9732" s="13">
        <f t="shared" si="1"/>
        <v>1281</v>
      </c>
      <c r="H9732" s="13"/>
    </row>
    <row r="9733" ht="22.5" customHeight="1">
      <c r="B9733" s="17"/>
      <c r="C9733" s="17"/>
      <c r="D9733" s="13"/>
      <c r="E9733" s="11"/>
      <c r="F9733" s="11"/>
      <c r="G9733" s="13">
        <f t="shared" si="1"/>
        <v>1281</v>
      </c>
      <c r="H9733" s="13"/>
    </row>
    <row r="9734" ht="22.5" customHeight="1">
      <c r="B9734" s="17"/>
      <c r="C9734" s="17"/>
      <c r="D9734" s="13"/>
      <c r="E9734" s="11"/>
      <c r="F9734" s="11"/>
      <c r="G9734" s="13">
        <f t="shared" si="1"/>
        <v>1281</v>
      </c>
      <c r="H9734" s="13"/>
    </row>
    <row r="9735" ht="22.5" customHeight="1">
      <c r="B9735" s="17"/>
      <c r="C9735" s="17"/>
      <c r="D9735" s="13"/>
      <c r="E9735" s="11"/>
      <c r="F9735" s="11"/>
      <c r="G9735" s="13">
        <f t="shared" si="1"/>
        <v>1281</v>
      </c>
      <c r="H9735" s="13"/>
    </row>
    <row r="9736" ht="22.5" customHeight="1">
      <c r="B9736" s="17"/>
      <c r="C9736" s="17"/>
      <c r="D9736" s="13"/>
      <c r="E9736" s="11"/>
      <c r="F9736" s="11"/>
      <c r="G9736" s="13">
        <f t="shared" si="1"/>
        <v>1281</v>
      </c>
      <c r="H9736" s="13"/>
    </row>
    <row r="9737" ht="22.5" customHeight="1">
      <c r="B9737" s="17"/>
      <c r="C9737" s="17"/>
      <c r="D9737" s="13"/>
      <c r="E9737" s="11"/>
      <c r="F9737" s="11"/>
      <c r="G9737" s="13">
        <f t="shared" si="1"/>
        <v>1281</v>
      </c>
      <c r="H9737" s="13"/>
    </row>
    <row r="9738" ht="22.5" customHeight="1">
      <c r="B9738" s="17"/>
      <c r="C9738" s="17"/>
      <c r="D9738" s="13"/>
      <c r="E9738" s="11"/>
      <c r="F9738" s="11"/>
      <c r="G9738" s="13">
        <f t="shared" si="1"/>
        <v>1281</v>
      </c>
      <c r="H9738" s="13"/>
    </row>
    <row r="9739" ht="22.5" customHeight="1">
      <c r="B9739" s="17"/>
      <c r="C9739" s="17"/>
      <c r="D9739" s="13"/>
      <c r="E9739" s="11"/>
      <c r="F9739" s="11"/>
      <c r="G9739" s="13">
        <f t="shared" si="1"/>
        <v>1281</v>
      </c>
      <c r="H9739" s="13"/>
    </row>
    <row r="9740" ht="22.5" customHeight="1">
      <c r="B9740" s="17"/>
      <c r="C9740" s="17"/>
      <c r="D9740" s="13"/>
      <c r="E9740" s="11"/>
      <c r="F9740" s="11"/>
      <c r="G9740" s="13">
        <f t="shared" si="1"/>
        <v>1281</v>
      </c>
      <c r="H9740" s="13"/>
    </row>
    <row r="9741" ht="22.5" customHeight="1">
      <c r="B9741" s="17"/>
      <c r="C9741" s="17"/>
      <c r="D9741" s="13"/>
      <c r="E9741" s="11"/>
      <c r="F9741" s="11"/>
      <c r="G9741" s="13">
        <f t="shared" si="1"/>
        <v>1281</v>
      </c>
      <c r="H9741" s="13"/>
    </row>
    <row r="9742" ht="22.5" customHeight="1">
      <c r="B9742" s="17"/>
      <c r="C9742" s="17"/>
      <c r="D9742" s="13"/>
      <c r="E9742" s="11"/>
      <c r="F9742" s="11"/>
      <c r="G9742" s="13">
        <f t="shared" si="1"/>
        <v>1281</v>
      </c>
      <c r="H9742" s="13"/>
    </row>
    <row r="9743" ht="22.5" customHeight="1">
      <c r="B9743" s="17"/>
      <c r="C9743" s="17"/>
      <c r="D9743" s="13"/>
      <c r="E9743" s="11"/>
      <c r="F9743" s="11"/>
      <c r="G9743" s="13">
        <f t="shared" si="1"/>
        <v>1281</v>
      </c>
      <c r="H9743" s="13"/>
    </row>
    <row r="9744" ht="22.5" customHeight="1">
      <c r="B9744" s="17"/>
      <c r="C9744" s="17"/>
      <c r="D9744" s="13"/>
      <c r="E9744" s="11"/>
      <c r="F9744" s="11"/>
      <c r="G9744" s="13">
        <f t="shared" si="1"/>
        <v>1281</v>
      </c>
      <c r="H9744" s="13"/>
    </row>
    <row r="9745" ht="22.5" customHeight="1">
      <c r="B9745" s="17"/>
      <c r="C9745" s="17"/>
      <c r="D9745" s="13"/>
      <c r="E9745" s="11"/>
      <c r="F9745" s="11"/>
      <c r="G9745" s="13">
        <f t="shared" si="1"/>
        <v>1281</v>
      </c>
      <c r="H9745" s="13"/>
    </row>
    <row r="9746" ht="22.5" customHeight="1">
      <c r="B9746" s="17"/>
      <c r="C9746" s="17"/>
      <c r="D9746" s="13"/>
      <c r="E9746" s="11"/>
      <c r="F9746" s="11"/>
      <c r="G9746" s="13">
        <f t="shared" si="1"/>
        <v>1281</v>
      </c>
      <c r="H9746" s="13"/>
    </row>
    <row r="9747" ht="22.5" customHeight="1">
      <c r="B9747" s="17"/>
      <c r="C9747" s="17"/>
      <c r="D9747" s="13"/>
      <c r="E9747" s="11"/>
      <c r="F9747" s="11"/>
      <c r="G9747" s="13">
        <f t="shared" si="1"/>
        <v>1281</v>
      </c>
      <c r="H9747" s="13"/>
    </row>
    <row r="9748" ht="22.5" customHeight="1">
      <c r="B9748" s="17"/>
      <c r="C9748" s="17"/>
      <c r="D9748" s="13"/>
      <c r="E9748" s="11"/>
      <c r="F9748" s="11"/>
      <c r="G9748" s="13">
        <f t="shared" si="1"/>
        <v>1281</v>
      </c>
      <c r="H9748" s="13"/>
    </row>
    <row r="9749" ht="22.5" customHeight="1">
      <c r="B9749" s="17"/>
      <c r="C9749" s="17"/>
      <c r="D9749" s="13"/>
      <c r="E9749" s="11"/>
      <c r="F9749" s="11"/>
      <c r="G9749" s="13">
        <f t="shared" si="1"/>
        <v>1281</v>
      </c>
      <c r="H9749" s="13"/>
    </row>
    <row r="9750" ht="22.5" customHeight="1">
      <c r="B9750" s="17"/>
      <c r="C9750" s="17"/>
      <c r="D9750" s="13"/>
      <c r="E9750" s="11"/>
      <c r="F9750" s="11"/>
      <c r="G9750" s="13">
        <f t="shared" si="1"/>
        <v>1281</v>
      </c>
      <c r="H9750" s="13"/>
    </row>
    <row r="9751" ht="22.5" customHeight="1">
      <c r="B9751" s="17"/>
      <c r="C9751" s="17"/>
      <c r="D9751" s="13"/>
      <c r="E9751" s="11"/>
      <c r="F9751" s="11"/>
      <c r="G9751" s="13">
        <f t="shared" si="1"/>
        <v>1281</v>
      </c>
      <c r="H9751" s="13"/>
    </row>
    <row r="9752" ht="22.5" customHeight="1">
      <c r="B9752" s="17"/>
      <c r="C9752" s="17"/>
      <c r="D9752" s="13"/>
      <c r="E9752" s="11"/>
      <c r="F9752" s="11"/>
      <c r="G9752" s="13">
        <f t="shared" si="1"/>
        <v>1281</v>
      </c>
      <c r="H9752" s="13"/>
    </row>
    <row r="9753" ht="22.5" customHeight="1">
      <c r="B9753" s="17"/>
      <c r="C9753" s="17"/>
      <c r="D9753" s="13"/>
      <c r="E9753" s="11"/>
      <c r="F9753" s="11"/>
      <c r="G9753" s="13">
        <f t="shared" si="1"/>
        <v>1281</v>
      </c>
      <c r="H9753" s="13"/>
    </row>
    <row r="9754" ht="22.5" customHeight="1">
      <c r="B9754" s="17"/>
      <c r="C9754" s="17"/>
      <c r="D9754" s="13"/>
      <c r="E9754" s="11"/>
      <c r="F9754" s="11"/>
      <c r="G9754" s="13">
        <f t="shared" si="1"/>
        <v>1281</v>
      </c>
      <c r="H9754" s="13"/>
    </row>
    <row r="9755" ht="22.5" customHeight="1">
      <c r="B9755" s="17"/>
      <c r="C9755" s="17"/>
      <c r="D9755" s="13"/>
      <c r="E9755" s="11"/>
      <c r="F9755" s="11"/>
      <c r="G9755" s="13">
        <f t="shared" si="1"/>
        <v>1281</v>
      </c>
      <c r="H9755" s="13"/>
    </row>
    <row r="9756" ht="22.5" customHeight="1">
      <c r="B9756" s="17"/>
      <c r="C9756" s="17"/>
      <c r="D9756" s="13"/>
      <c r="E9756" s="11"/>
      <c r="F9756" s="11"/>
      <c r="G9756" s="13">
        <f t="shared" si="1"/>
        <v>1281</v>
      </c>
      <c r="H9756" s="13"/>
    </row>
    <row r="9757" ht="22.5" customHeight="1">
      <c r="B9757" s="17"/>
      <c r="C9757" s="17"/>
      <c r="D9757" s="13"/>
      <c r="E9757" s="11"/>
      <c r="F9757" s="11"/>
      <c r="G9757" s="13">
        <f t="shared" si="1"/>
        <v>1281</v>
      </c>
      <c r="H9757" s="13"/>
    </row>
    <row r="9758" ht="22.5" customHeight="1">
      <c r="B9758" s="17"/>
      <c r="C9758" s="17"/>
      <c r="D9758" s="13"/>
      <c r="E9758" s="11"/>
      <c r="F9758" s="11"/>
      <c r="G9758" s="13">
        <f t="shared" si="1"/>
        <v>1281</v>
      </c>
      <c r="H9758" s="13"/>
    </row>
    <row r="9759" ht="22.5" customHeight="1">
      <c r="B9759" s="17"/>
      <c r="C9759" s="17"/>
      <c r="D9759" s="13"/>
      <c r="E9759" s="11"/>
      <c r="F9759" s="11"/>
      <c r="G9759" s="13">
        <f t="shared" si="1"/>
        <v>1281</v>
      </c>
      <c r="H9759" s="13"/>
    </row>
    <row r="9760" ht="22.5" customHeight="1">
      <c r="B9760" s="17"/>
      <c r="C9760" s="17"/>
      <c r="D9760" s="13"/>
      <c r="E9760" s="11"/>
      <c r="F9760" s="11"/>
      <c r="G9760" s="13">
        <f t="shared" si="1"/>
        <v>1281</v>
      </c>
      <c r="H9760" s="13"/>
    </row>
    <row r="9761" ht="22.5" customHeight="1">
      <c r="B9761" s="17"/>
      <c r="C9761" s="17"/>
      <c r="D9761" s="13"/>
      <c r="E9761" s="11"/>
      <c r="F9761" s="11"/>
      <c r="G9761" s="13">
        <f t="shared" si="1"/>
        <v>1281</v>
      </c>
      <c r="H9761" s="13"/>
    </row>
    <row r="9762" ht="22.5" customHeight="1">
      <c r="B9762" s="17"/>
      <c r="C9762" s="17"/>
      <c r="D9762" s="13"/>
      <c r="E9762" s="11"/>
      <c r="F9762" s="11"/>
      <c r="G9762" s="13">
        <f t="shared" si="1"/>
        <v>1281</v>
      </c>
      <c r="H9762" s="13"/>
    </row>
    <row r="9763" ht="22.5" customHeight="1">
      <c r="B9763" s="17"/>
      <c r="C9763" s="17"/>
      <c r="D9763" s="13"/>
      <c r="E9763" s="11"/>
      <c r="F9763" s="11"/>
      <c r="G9763" s="13">
        <f t="shared" si="1"/>
        <v>1281</v>
      </c>
      <c r="H9763" s="13"/>
    </row>
    <row r="9764" ht="22.5" customHeight="1">
      <c r="B9764" s="17"/>
      <c r="C9764" s="17"/>
      <c r="D9764" s="13"/>
      <c r="E9764" s="11"/>
      <c r="F9764" s="11"/>
      <c r="G9764" s="13">
        <f t="shared" si="1"/>
        <v>1281</v>
      </c>
      <c r="H9764" s="13"/>
    </row>
    <row r="9765" ht="22.5" customHeight="1">
      <c r="B9765" s="17"/>
      <c r="C9765" s="17"/>
      <c r="D9765" s="13"/>
      <c r="E9765" s="11"/>
      <c r="F9765" s="11"/>
      <c r="G9765" s="13">
        <f t="shared" si="1"/>
        <v>1281</v>
      </c>
      <c r="H9765" s="13"/>
    </row>
    <row r="9766" ht="22.5" customHeight="1">
      <c r="B9766" s="17"/>
      <c r="C9766" s="17"/>
      <c r="D9766" s="13"/>
      <c r="E9766" s="11"/>
      <c r="F9766" s="11"/>
      <c r="G9766" s="13">
        <f t="shared" si="1"/>
        <v>1281</v>
      </c>
      <c r="H9766" s="13"/>
    </row>
    <row r="9767" ht="22.5" customHeight="1">
      <c r="B9767" s="17"/>
      <c r="C9767" s="17"/>
      <c r="D9767" s="13"/>
      <c r="E9767" s="11"/>
      <c r="F9767" s="11"/>
      <c r="G9767" s="13">
        <f t="shared" si="1"/>
        <v>1281</v>
      </c>
      <c r="H9767" s="13"/>
    </row>
    <row r="9768" ht="22.5" customHeight="1">
      <c r="B9768" s="17"/>
      <c r="C9768" s="17"/>
      <c r="D9768" s="13"/>
      <c r="E9768" s="11"/>
      <c r="F9768" s="11"/>
      <c r="G9768" s="13">
        <f t="shared" si="1"/>
        <v>1281</v>
      </c>
      <c r="H9768" s="13"/>
    </row>
    <row r="9769" ht="22.5" customHeight="1">
      <c r="B9769" s="17"/>
      <c r="C9769" s="17"/>
      <c r="D9769" s="13"/>
      <c r="E9769" s="11"/>
      <c r="F9769" s="11"/>
      <c r="G9769" s="13">
        <f t="shared" si="1"/>
        <v>1281</v>
      </c>
      <c r="H9769" s="13"/>
    </row>
    <row r="9770" ht="22.5" customHeight="1">
      <c r="B9770" s="17"/>
      <c r="C9770" s="17"/>
      <c r="D9770" s="13"/>
      <c r="E9770" s="11"/>
      <c r="F9770" s="11"/>
      <c r="G9770" s="13">
        <f t="shared" si="1"/>
        <v>1281</v>
      </c>
      <c r="H9770" s="13"/>
    </row>
    <row r="9771" ht="22.5" customHeight="1">
      <c r="B9771" s="17"/>
      <c r="C9771" s="17"/>
      <c r="D9771" s="13"/>
      <c r="E9771" s="11"/>
      <c r="F9771" s="11"/>
      <c r="G9771" s="13">
        <f t="shared" si="1"/>
        <v>1281</v>
      </c>
      <c r="H9771" s="13"/>
    </row>
    <row r="9772" ht="22.5" customHeight="1">
      <c r="B9772" s="17"/>
      <c r="C9772" s="17"/>
      <c r="D9772" s="13"/>
      <c r="E9772" s="11"/>
      <c r="F9772" s="11"/>
      <c r="G9772" s="13">
        <f t="shared" si="1"/>
        <v>1281</v>
      </c>
      <c r="H9772" s="13"/>
    </row>
    <row r="9773" ht="22.5" customHeight="1">
      <c r="B9773" s="17"/>
      <c r="C9773" s="17"/>
      <c r="D9773" s="13"/>
      <c r="E9773" s="11"/>
      <c r="F9773" s="11"/>
      <c r="G9773" s="13">
        <f t="shared" si="1"/>
        <v>1281</v>
      </c>
      <c r="H9773" s="13"/>
    </row>
    <row r="9774" ht="22.5" customHeight="1">
      <c r="B9774" s="17"/>
      <c r="C9774" s="17"/>
      <c r="D9774" s="13"/>
      <c r="E9774" s="11"/>
      <c r="F9774" s="11"/>
      <c r="G9774" s="13">
        <f t="shared" si="1"/>
        <v>1281</v>
      </c>
      <c r="H9774" s="13"/>
    </row>
    <row r="9775" ht="22.5" customHeight="1">
      <c r="B9775" s="17"/>
      <c r="C9775" s="17"/>
      <c r="D9775" s="13"/>
      <c r="E9775" s="11"/>
      <c r="F9775" s="11"/>
      <c r="G9775" s="13">
        <f t="shared" si="1"/>
        <v>1281</v>
      </c>
      <c r="H9775" s="13"/>
    </row>
    <row r="9776" ht="22.5" customHeight="1">
      <c r="B9776" s="17"/>
      <c r="C9776" s="17"/>
      <c r="D9776" s="13"/>
      <c r="E9776" s="11"/>
      <c r="F9776" s="11"/>
      <c r="G9776" s="13">
        <f t="shared" si="1"/>
        <v>1281</v>
      </c>
      <c r="H9776" s="13"/>
    </row>
    <row r="9777" ht="22.5" customHeight="1">
      <c r="B9777" s="17"/>
      <c r="C9777" s="17"/>
      <c r="D9777" s="13"/>
      <c r="E9777" s="11"/>
      <c r="F9777" s="11"/>
      <c r="G9777" s="13">
        <f t="shared" si="1"/>
        <v>1281</v>
      </c>
      <c r="H9777" s="13"/>
    </row>
    <row r="9778" ht="22.5" customHeight="1">
      <c r="B9778" s="17"/>
      <c r="C9778" s="17"/>
      <c r="D9778" s="13"/>
      <c r="E9778" s="11"/>
      <c r="F9778" s="11"/>
      <c r="G9778" s="13">
        <f t="shared" si="1"/>
        <v>1281</v>
      </c>
      <c r="H9778" s="13"/>
    </row>
    <row r="9779" ht="22.5" customHeight="1">
      <c r="B9779" s="17"/>
      <c r="C9779" s="17"/>
      <c r="D9779" s="13"/>
      <c r="E9779" s="11"/>
      <c r="F9779" s="11"/>
      <c r="G9779" s="13">
        <f t="shared" si="1"/>
        <v>1281</v>
      </c>
      <c r="H9779" s="13"/>
    </row>
    <row r="9780" ht="22.5" customHeight="1">
      <c r="B9780" s="17"/>
      <c r="C9780" s="17"/>
      <c r="D9780" s="13"/>
      <c r="E9780" s="11"/>
      <c r="F9780" s="11"/>
      <c r="G9780" s="13">
        <f t="shared" si="1"/>
        <v>1281</v>
      </c>
      <c r="H9780" s="13"/>
    </row>
    <row r="9781" ht="22.5" customHeight="1">
      <c r="B9781" s="17"/>
      <c r="C9781" s="17"/>
      <c r="D9781" s="13"/>
      <c r="E9781" s="11"/>
      <c r="F9781" s="11"/>
      <c r="G9781" s="13">
        <f t="shared" si="1"/>
        <v>1281</v>
      </c>
      <c r="H9781" s="13"/>
    </row>
    <row r="9782" ht="22.5" customHeight="1">
      <c r="B9782" s="17"/>
      <c r="C9782" s="17"/>
      <c r="D9782" s="13"/>
      <c r="E9782" s="11"/>
      <c r="F9782" s="11"/>
      <c r="G9782" s="13">
        <f t="shared" si="1"/>
        <v>1281</v>
      </c>
      <c r="H9782" s="13"/>
    </row>
    <row r="9783" ht="22.5" customHeight="1">
      <c r="B9783" s="17"/>
      <c r="C9783" s="17"/>
      <c r="D9783" s="13"/>
      <c r="E9783" s="11"/>
      <c r="F9783" s="11"/>
      <c r="G9783" s="13">
        <f t="shared" si="1"/>
        <v>1281</v>
      </c>
      <c r="H9783" s="13"/>
    </row>
    <row r="9784" ht="22.5" customHeight="1">
      <c r="B9784" s="17"/>
      <c r="C9784" s="17"/>
      <c r="D9784" s="13"/>
      <c r="E9784" s="11"/>
      <c r="F9784" s="11"/>
      <c r="G9784" s="13">
        <f t="shared" si="1"/>
        <v>1281</v>
      </c>
      <c r="H9784" s="13"/>
    </row>
    <row r="9785" ht="22.5" customHeight="1">
      <c r="B9785" s="17"/>
      <c r="C9785" s="17"/>
      <c r="D9785" s="13"/>
      <c r="E9785" s="11"/>
      <c r="F9785" s="11"/>
      <c r="G9785" s="13">
        <f t="shared" si="1"/>
        <v>1281</v>
      </c>
      <c r="H9785" s="13"/>
    </row>
    <row r="9786" ht="22.5" customHeight="1">
      <c r="B9786" s="17"/>
      <c r="C9786" s="17"/>
      <c r="D9786" s="13"/>
      <c r="E9786" s="11"/>
      <c r="F9786" s="11"/>
      <c r="G9786" s="13">
        <f t="shared" si="1"/>
        <v>1281</v>
      </c>
      <c r="H9786" s="13"/>
    </row>
    <row r="9787" ht="22.5" customHeight="1">
      <c r="B9787" s="17"/>
      <c r="C9787" s="17"/>
      <c r="D9787" s="13"/>
      <c r="E9787" s="11"/>
      <c r="F9787" s="11"/>
      <c r="G9787" s="13">
        <f t="shared" si="1"/>
        <v>1281</v>
      </c>
      <c r="H9787" s="13"/>
    </row>
    <row r="9788" ht="22.5" customHeight="1">
      <c r="B9788" s="17"/>
      <c r="C9788" s="17"/>
      <c r="D9788" s="13"/>
      <c r="E9788" s="11"/>
      <c r="F9788" s="11"/>
      <c r="G9788" s="13">
        <f t="shared" si="1"/>
        <v>1281</v>
      </c>
      <c r="H9788" s="13"/>
    </row>
    <row r="9789" ht="22.5" customHeight="1">
      <c r="B9789" s="17"/>
      <c r="C9789" s="17"/>
      <c r="D9789" s="13"/>
      <c r="E9789" s="11"/>
      <c r="F9789" s="11"/>
      <c r="G9789" s="13">
        <f t="shared" si="1"/>
        <v>1281</v>
      </c>
      <c r="H9789" s="13"/>
    </row>
    <row r="9790" ht="22.5" customHeight="1">
      <c r="B9790" s="17"/>
      <c r="C9790" s="17"/>
      <c r="D9790" s="13"/>
      <c r="E9790" s="11"/>
      <c r="F9790" s="11"/>
      <c r="G9790" s="13">
        <f t="shared" si="1"/>
        <v>1281</v>
      </c>
      <c r="H9790" s="13"/>
    </row>
    <row r="9791" ht="22.5" customHeight="1">
      <c r="B9791" s="17"/>
      <c r="C9791" s="17"/>
      <c r="D9791" s="13"/>
      <c r="E9791" s="11"/>
      <c r="F9791" s="11"/>
      <c r="G9791" s="13">
        <f t="shared" si="1"/>
        <v>1281</v>
      </c>
      <c r="H9791" s="13"/>
    </row>
    <row r="9792" ht="22.5" customHeight="1">
      <c r="B9792" s="17"/>
      <c r="C9792" s="17"/>
      <c r="D9792" s="13"/>
      <c r="E9792" s="11"/>
      <c r="F9792" s="11"/>
      <c r="G9792" s="13">
        <f t="shared" si="1"/>
        <v>1281</v>
      </c>
      <c r="H9792" s="13"/>
    </row>
    <row r="9793" ht="22.5" customHeight="1">
      <c r="B9793" s="17"/>
      <c r="C9793" s="17"/>
      <c r="D9793" s="13"/>
      <c r="E9793" s="11"/>
      <c r="F9793" s="11"/>
      <c r="G9793" s="13">
        <f t="shared" si="1"/>
        <v>1281</v>
      </c>
      <c r="H9793" s="13"/>
    </row>
    <row r="9794" ht="22.5" customHeight="1">
      <c r="B9794" s="17"/>
      <c r="C9794" s="17"/>
      <c r="D9794" s="13"/>
      <c r="E9794" s="11"/>
      <c r="F9794" s="11"/>
      <c r="G9794" s="13">
        <f t="shared" si="1"/>
        <v>1281</v>
      </c>
      <c r="H9794" s="13"/>
    </row>
    <row r="9795" ht="22.5" customHeight="1">
      <c r="B9795" s="17"/>
      <c r="C9795" s="17"/>
      <c r="D9795" s="13"/>
      <c r="E9795" s="11"/>
      <c r="F9795" s="11"/>
      <c r="G9795" s="13">
        <f t="shared" si="1"/>
        <v>1281</v>
      </c>
      <c r="H9795" s="13"/>
    </row>
    <row r="9796" ht="22.5" customHeight="1">
      <c r="B9796" s="17"/>
      <c r="C9796" s="17"/>
      <c r="D9796" s="13"/>
      <c r="E9796" s="11"/>
      <c r="F9796" s="11"/>
      <c r="G9796" s="13">
        <f t="shared" si="1"/>
        <v>1281</v>
      </c>
      <c r="H9796" s="13"/>
    </row>
    <row r="9797" ht="22.5" customHeight="1">
      <c r="B9797" s="17"/>
      <c r="C9797" s="17"/>
      <c r="D9797" s="13"/>
      <c r="E9797" s="11"/>
      <c r="F9797" s="11"/>
      <c r="G9797" s="13">
        <f t="shared" si="1"/>
        <v>1281</v>
      </c>
      <c r="H9797" s="13"/>
    </row>
    <row r="9798" ht="22.5" customHeight="1">
      <c r="B9798" s="17"/>
      <c r="C9798" s="17"/>
      <c r="D9798" s="13"/>
      <c r="E9798" s="11"/>
      <c r="F9798" s="11"/>
      <c r="G9798" s="13">
        <f t="shared" si="1"/>
        <v>1281</v>
      </c>
      <c r="H9798" s="13"/>
    </row>
    <row r="9799" ht="22.5" customHeight="1">
      <c r="B9799" s="17"/>
      <c r="C9799" s="17"/>
      <c r="D9799" s="13"/>
      <c r="E9799" s="11"/>
      <c r="F9799" s="11"/>
      <c r="G9799" s="13">
        <f t="shared" si="1"/>
        <v>1281</v>
      </c>
      <c r="H9799" s="13"/>
    </row>
    <row r="9800" ht="22.5" customHeight="1">
      <c r="B9800" s="17"/>
      <c r="C9800" s="17"/>
      <c r="D9800" s="13"/>
      <c r="E9800" s="11"/>
      <c r="F9800" s="11"/>
      <c r="G9800" s="13">
        <f t="shared" si="1"/>
        <v>1281</v>
      </c>
      <c r="H9800" s="13"/>
    </row>
    <row r="9801" ht="22.5" customHeight="1">
      <c r="B9801" s="17"/>
      <c r="C9801" s="17"/>
      <c r="D9801" s="13"/>
      <c r="E9801" s="11"/>
      <c r="F9801" s="11"/>
      <c r="G9801" s="13">
        <f t="shared" si="1"/>
        <v>1281</v>
      </c>
      <c r="H9801" s="13"/>
    </row>
    <row r="9802" ht="22.5" customHeight="1">
      <c r="B9802" s="17"/>
      <c r="C9802" s="17"/>
      <c r="D9802" s="13"/>
      <c r="E9802" s="11"/>
      <c r="F9802" s="11"/>
      <c r="G9802" s="13">
        <f t="shared" si="1"/>
        <v>1281</v>
      </c>
      <c r="H9802" s="13"/>
    </row>
    <row r="9803" ht="22.5" customHeight="1">
      <c r="B9803" s="17"/>
      <c r="C9803" s="17"/>
      <c r="D9803" s="13"/>
      <c r="E9803" s="11"/>
      <c r="F9803" s="11"/>
      <c r="G9803" s="13">
        <f t="shared" si="1"/>
        <v>1281</v>
      </c>
      <c r="H9803" s="13"/>
    </row>
    <row r="9804" ht="22.5" customHeight="1">
      <c r="B9804" s="17"/>
      <c r="C9804" s="17"/>
      <c r="D9804" s="13"/>
      <c r="E9804" s="11"/>
      <c r="F9804" s="11"/>
      <c r="G9804" s="13">
        <f t="shared" si="1"/>
        <v>1281</v>
      </c>
      <c r="H9804" s="13"/>
    </row>
    <row r="9805" ht="22.5" customHeight="1">
      <c r="B9805" s="17"/>
      <c r="C9805" s="17"/>
      <c r="D9805" s="13"/>
      <c r="E9805" s="11"/>
      <c r="F9805" s="11"/>
      <c r="G9805" s="13">
        <f t="shared" si="1"/>
        <v>1281</v>
      </c>
      <c r="H9805" s="13"/>
    </row>
    <row r="9806" ht="22.5" customHeight="1">
      <c r="B9806" s="17"/>
      <c r="C9806" s="17"/>
      <c r="D9806" s="13"/>
      <c r="E9806" s="11"/>
      <c r="F9806" s="11"/>
      <c r="G9806" s="13">
        <f t="shared" si="1"/>
        <v>1281</v>
      </c>
      <c r="H9806" s="13"/>
    </row>
    <row r="9807" ht="22.5" customHeight="1">
      <c r="B9807" s="17"/>
      <c r="C9807" s="17"/>
      <c r="D9807" s="13"/>
      <c r="E9807" s="11"/>
      <c r="F9807" s="11"/>
      <c r="G9807" s="13">
        <f t="shared" si="1"/>
        <v>1281</v>
      </c>
      <c r="H9807" s="13"/>
    </row>
    <row r="9808" ht="22.5" customHeight="1">
      <c r="B9808" s="17"/>
      <c r="C9808" s="17"/>
      <c r="D9808" s="13"/>
      <c r="E9808" s="11"/>
      <c r="F9808" s="11"/>
      <c r="G9808" s="13">
        <f t="shared" si="1"/>
        <v>1281</v>
      </c>
      <c r="H9808" s="13"/>
    </row>
    <row r="9809" ht="22.5" customHeight="1">
      <c r="B9809" s="17"/>
      <c r="C9809" s="17"/>
      <c r="D9809" s="13"/>
      <c r="E9809" s="11"/>
      <c r="F9809" s="11"/>
      <c r="G9809" s="13">
        <f t="shared" si="1"/>
        <v>1281</v>
      </c>
      <c r="H9809" s="13"/>
    </row>
    <row r="9810" ht="22.5" customHeight="1">
      <c r="B9810" s="17"/>
      <c r="C9810" s="17"/>
      <c r="D9810" s="13"/>
      <c r="E9810" s="11"/>
      <c r="F9810" s="11"/>
      <c r="G9810" s="13">
        <f t="shared" si="1"/>
        <v>1281</v>
      </c>
      <c r="H9810" s="13"/>
    </row>
    <row r="9811" ht="22.5" customHeight="1">
      <c r="B9811" s="17"/>
      <c r="C9811" s="17"/>
      <c r="D9811" s="13"/>
      <c r="E9811" s="11"/>
      <c r="F9811" s="11"/>
      <c r="G9811" s="13">
        <f t="shared" si="1"/>
        <v>1281</v>
      </c>
      <c r="H9811" s="13"/>
    </row>
    <row r="9812" ht="22.5" customHeight="1">
      <c r="B9812" s="17"/>
      <c r="C9812" s="17"/>
      <c r="D9812" s="13"/>
      <c r="E9812" s="11"/>
      <c r="F9812" s="11"/>
      <c r="G9812" s="13">
        <f t="shared" si="1"/>
        <v>1281</v>
      </c>
      <c r="H9812" s="13"/>
    </row>
    <row r="9813" ht="22.5" customHeight="1">
      <c r="B9813" s="17"/>
      <c r="C9813" s="17"/>
      <c r="D9813" s="13"/>
      <c r="E9813" s="11"/>
      <c r="F9813" s="11"/>
      <c r="G9813" s="13">
        <f t="shared" si="1"/>
        <v>1281</v>
      </c>
      <c r="H9813" s="13"/>
    </row>
    <row r="9814" ht="22.5" customHeight="1">
      <c r="B9814" s="17"/>
      <c r="C9814" s="17"/>
      <c r="D9814" s="13"/>
      <c r="E9814" s="11"/>
      <c r="F9814" s="11"/>
      <c r="G9814" s="13">
        <f t="shared" si="1"/>
        <v>1281</v>
      </c>
      <c r="H9814" s="13"/>
    </row>
    <row r="9815" ht="22.5" customHeight="1">
      <c r="B9815" s="17"/>
      <c r="C9815" s="17"/>
      <c r="D9815" s="13"/>
      <c r="E9815" s="11"/>
      <c r="F9815" s="11"/>
      <c r="G9815" s="13">
        <f t="shared" si="1"/>
        <v>1281</v>
      </c>
      <c r="H9815" s="13"/>
    </row>
    <row r="9816" ht="22.5" customHeight="1">
      <c r="B9816" s="17"/>
      <c r="C9816" s="17"/>
      <c r="D9816" s="13"/>
      <c r="E9816" s="11"/>
      <c r="F9816" s="11"/>
      <c r="G9816" s="13">
        <f t="shared" si="1"/>
        <v>1281</v>
      </c>
      <c r="H9816" s="13"/>
    </row>
    <row r="9817" ht="22.5" customHeight="1">
      <c r="B9817" s="17"/>
      <c r="C9817" s="17"/>
      <c r="D9817" s="13"/>
      <c r="E9817" s="11"/>
      <c r="F9817" s="11"/>
      <c r="G9817" s="13">
        <f t="shared" si="1"/>
        <v>1281</v>
      </c>
      <c r="H9817" s="13"/>
    </row>
    <row r="9818" ht="22.5" customHeight="1">
      <c r="B9818" s="17"/>
      <c r="C9818" s="17"/>
      <c r="D9818" s="13"/>
      <c r="E9818" s="11"/>
      <c r="F9818" s="11"/>
      <c r="G9818" s="13">
        <f t="shared" si="1"/>
        <v>1281</v>
      </c>
      <c r="H9818" s="13"/>
    </row>
    <row r="9819" ht="22.5" customHeight="1">
      <c r="B9819" s="17"/>
      <c r="C9819" s="17"/>
      <c r="D9819" s="13"/>
      <c r="E9819" s="11"/>
      <c r="F9819" s="11"/>
      <c r="G9819" s="13">
        <f t="shared" si="1"/>
        <v>1281</v>
      </c>
      <c r="H9819" s="13"/>
    </row>
    <row r="9820" ht="22.5" customHeight="1">
      <c r="B9820" s="17"/>
      <c r="C9820" s="17"/>
      <c r="D9820" s="13"/>
      <c r="E9820" s="11"/>
      <c r="F9820" s="11"/>
      <c r="G9820" s="13">
        <f t="shared" si="1"/>
        <v>1281</v>
      </c>
      <c r="H9820" s="13"/>
    </row>
    <row r="9821" ht="22.5" customHeight="1">
      <c r="B9821" s="17"/>
      <c r="C9821" s="17"/>
      <c r="D9821" s="13"/>
      <c r="E9821" s="11"/>
      <c r="F9821" s="11"/>
      <c r="G9821" s="13">
        <f t="shared" si="1"/>
        <v>1281</v>
      </c>
      <c r="H9821" s="13"/>
    </row>
    <row r="9822" ht="22.5" customHeight="1">
      <c r="B9822" s="17"/>
      <c r="C9822" s="17"/>
      <c r="D9822" s="13"/>
      <c r="E9822" s="11"/>
      <c r="F9822" s="11"/>
      <c r="G9822" s="13">
        <f t="shared" si="1"/>
        <v>1281</v>
      </c>
      <c r="H9822" s="13"/>
    </row>
    <row r="9823" ht="22.5" customHeight="1">
      <c r="B9823" s="17"/>
      <c r="C9823" s="17"/>
      <c r="D9823" s="13"/>
      <c r="E9823" s="11"/>
      <c r="F9823" s="11"/>
      <c r="G9823" s="13">
        <f t="shared" si="1"/>
        <v>1281</v>
      </c>
      <c r="H9823" s="13"/>
    </row>
    <row r="9824" ht="22.5" customHeight="1">
      <c r="B9824" s="17"/>
      <c r="C9824" s="17"/>
      <c r="D9824" s="13"/>
      <c r="E9824" s="11"/>
      <c r="F9824" s="11"/>
      <c r="G9824" s="13">
        <f t="shared" si="1"/>
        <v>1281</v>
      </c>
      <c r="H9824" s="13"/>
    </row>
    <row r="9825" ht="22.5" customHeight="1">
      <c r="B9825" s="17"/>
      <c r="C9825" s="17"/>
      <c r="D9825" s="13"/>
      <c r="E9825" s="11"/>
      <c r="F9825" s="11"/>
      <c r="G9825" s="13">
        <f t="shared" si="1"/>
        <v>1281</v>
      </c>
      <c r="H9825" s="13"/>
    </row>
    <row r="9826" ht="22.5" customHeight="1">
      <c r="B9826" s="17"/>
      <c r="C9826" s="17"/>
      <c r="D9826" s="13"/>
      <c r="E9826" s="11"/>
      <c r="F9826" s="11"/>
      <c r="G9826" s="13">
        <f t="shared" si="1"/>
        <v>1281</v>
      </c>
      <c r="H9826" s="13"/>
    </row>
    <row r="9827" ht="22.5" customHeight="1">
      <c r="B9827" s="17"/>
      <c r="C9827" s="17"/>
      <c r="D9827" s="13"/>
      <c r="E9827" s="11"/>
      <c r="F9827" s="11"/>
      <c r="G9827" s="13">
        <f t="shared" si="1"/>
        <v>1281</v>
      </c>
      <c r="H9827" s="13"/>
    </row>
    <row r="9828" ht="22.5" customHeight="1">
      <c r="B9828" s="17"/>
      <c r="C9828" s="17"/>
      <c r="D9828" s="13"/>
      <c r="E9828" s="11"/>
      <c r="F9828" s="11"/>
      <c r="G9828" s="13">
        <f t="shared" si="1"/>
        <v>1281</v>
      </c>
      <c r="H9828" s="13"/>
    </row>
    <row r="9829" ht="22.5" customHeight="1">
      <c r="B9829" s="17"/>
      <c r="C9829" s="17"/>
      <c r="D9829" s="13"/>
      <c r="E9829" s="11"/>
      <c r="F9829" s="11"/>
      <c r="G9829" s="13">
        <f t="shared" si="1"/>
        <v>1281</v>
      </c>
      <c r="H9829" s="13"/>
    </row>
    <row r="9830" ht="22.5" customHeight="1">
      <c r="B9830" s="17"/>
      <c r="C9830" s="17"/>
      <c r="D9830" s="13"/>
      <c r="E9830" s="11"/>
      <c r="F9830" s="11"/>
      <c r="G9830" s="13">
        <f t="shared" si="1"/>
        <v>1281</v>
      </c>
      <c r="H9830" s="13"/>
    </row>
    <row r="9831" ht="22.5" customHeight="1">
      <c r="B9831" s="17"/>
      <c r="C9831" s="17"/>
      <c r="D9831" s="13"/>
      <c r="E9831" s="11"/>
      <c r="F9831" s="11"/>
      <c r="G9831" s="13">
        <f t="shared" si="1"/>
        <v>1281</v>
      </c>
      <c r="H9831" s="13"/>
    </row>
    <row r="9832" ht="22.5" customHeight="1">
      <c r="B9832" s="17"/>
      <c r="C9832" s="17"/>
      <c r="D9832" s="13"/>
      <c r="E9832" s="11"/>
      <c r="F9832" s="11"/>
      <c r="G9832" s="13">
        <f t="shared" si="1"/>
        <v>1281</v>
      </c>
      <c r="H9832" s="13"/>
    </row>
    <row r="9833" ht="22.5" customHeight="1">
      <c r="B9833" s="17"/>
      <c r="C9833" s="17"/>
      <c r="D9833" s="13"/>
      <c r="E9833" s="11"/>
      <c r="F9833" s="11"/>
      <c r="G9833" s="13">
        <f t="shared" si="1"/>
        <v>1281</v>
      </c>
      <c r="H9833" s="13"/>
    </row>
    <row r="9834" ht="22.5" customHeight="1">
      <c r="B9834" s="17"/>
      <c r="C9834" s="17"/>
      <c r="D9834" s="13"/>
      <c r="E9834" s="11"/>
      <c r="F9834" s="11"/>
      <c r="G9834" s="13">
        <f t="shared" si="1"/>
        <v>1281</v>
      </c>
      <c r="H9834" s="13"/>
    </row>
    <row r="9835" ht="22.5" customHeight="1">
      <c r="B9835" s="17"/>
      <c r="C9835" s="17"/>
      <c r="D9835" s="13"/>
      <c r="E9835" s="11"/>
      <c r="F9835" s="11"/>
      <c r="G9835" s="13">
        <f t="shared" si="1"/>
        <v>1281</v>
      </c>
      <c r="H9835" s="13"/>
    </row>
    <row r="9836" ht="22.5" customHeight="1">
      <c r="B9836" s="17"/>
      <c r="C9836" s="17"/>
      <c r="D9836" s="13"/>
      <c r="E9836" s="11"/>
      <c r="F9836" s="11"/>
      <c r="G9836" s="13">
        <f t="shared" si="1"/>
        <v>1281</v>
      </c>
      <c r="H9836" s="13"/>
    </row>
    <row r="9837" ht="22.5" customHeight="1">
      <c r="B9837" s="17"/>
      <c r="C9837" s="17"/>
      <c r="D9837" s="13"/>
      <c r="E9837" s="11"/>
      <c r="F9837" s="11"/>
      <c r="G9837" s="13">
        <f t="shared" si="1"/>
        <v>1281</v>
      </c>
      <c r="H9837" s="13"/>
    </row>
    <row r="9838" ht="22.5" customHeight="1">
      <c r="B9838" s="17"/>
      <c r="C9838" s="17"/>
      <c r="D9838" s="13"/>
      <c r="E9838" s="11"/>
      <c r="F9838" s="11"/>
      <c r="G9838" s="13">
        <f t="shared" si="1"/>
        <v>1281</v>
      </c>
      <c r="H9838" s="13"/>
    </row>
    <row r="9839" ht="22.5" customHeight="1">
      <c r="B9839" s="17"/>
      <c r="C9839" s="17"/>
      <c r="D9839" s="13"/>
      <c r="E9839" s="11"/>
      <c r="F9839" s="11"/>
      <c r="G9839" s="13">
        <f t="shared" si="1"/>
        <v>1281</v>
      </c>
      <c r="H9839" s="13"/>
    </row>
    <row r="9840" ht="22.5" customHeight="1">
      <c r="B9840" s="17"/>
      <c r="C9840" s="17"/>
      <c r="D9840" s="13"/>
      <c r="E9840" s="11"/>
      <c r="F9840" s="11"/>
      <c r="G9840" s="13">
        <f t="shared" si="1"/>
        <v>1281</v>
      </c>
      <c r="H9840" s="13"/>
    </row>
    <row r="9841" ht="22.5" customHeight="1">
      <c r="B9841" s="17"/>
      <c r="C9841" s="17"/>
      <c r="D9841" s="13"/>
      <c r="E9841" s="11"/>
      <c r="F9841" s="11"/>
      <c r="G9841" s="13">
        <f t="shared" si="1"/>
        <v>1281</v>
      </c>
      <c r="H9841" s="13"/>
    </row>
    <row r="9842" ht="22.5" customHeight="1">
      <c r="B9842" s="17"/>
      <c r="C9842" s="17"/>
      <c r="D9842" s="13"/>
      <c r="E9842" s="11"/>
      <c r="F9842" s="11"/>
      <c r="G9842" s="13">
        <f t="shared" si="1"/>
        <v>1281</v>
      </c>
      <c r="H9842" s="13"/>
    </row>
    <row r="9843" ht="22.5" customHeight="1">
      <c r="B9843" s="17"/>
      <c r="C9843" s="17"/>
      <c r="D9843" s="13"/>
      <c r="E9843" s="11"/>
      <c r="F9843" s="11"/>
      <c r="G9843" s="13">
        <f t="shared" si="1"/>
        <v>1281</v>
      </c>
      <c r="H9843" s="13"/>
    </row>
    <row r="9844" ht="22.5" customHeight="1">
      <c r="B9844" s="17"/>
      <c r="C9844" s="17"/>
      <c r="D9844" s="13"/>
      <c r="E9844" s="11"/>
      <c r="F9844" s="11"/>
      <c r="G9844" s="13">
        <f t="shared" si="1"/>
        <v>1281</v>
      </c>
      <c r="H9844" s="13"/>
    </row>
    <row r="9845" ht="22.5" customHeight="1">
      <c r="B9845" s="17"/>
      <c r="C9845" s="17"/>
      <c r="D9845" s="13"/>
      <c r="E9845" s="11"/>
      <c r="F9845" s="11"/>
      <c r="G9845" s="13">
        <f t="shared" si="1"/>
        <v>1281</v>
      </c>
      <c r="H9845" s="13"/>
    </row>
    <row r="9846" ht="22.5" customHeight="1">
      <c r="B9846" s="17"/>
      <c r="C9846" s="17"/>
      <c r="D9846" s="13"/>
      <c r="E9846" s="11"/>
      <c r="F9846" s="11"/>
      <c r="G9846" s="13">
        <f t="shared" si="1"/>
        <v>1281</v>
      </c>
      <c r="H9846" s="13"/>
    </row>
    <row r="9847" ht="22.5" customHeight="1">
      <c r="B9847" s="17"/>
      <c r="C9847" s="17"/>
      <c r="D9847" s="13"/>
      <c r="E9847" s="11"/>
      <c r="F9847" s="11"/>
      <c r="G9847" s="13">
        <f t="shared" si="1"/>
        <v>1281</v>
      </c>
      <c r="H9847" s="13"/>
    </row>
    <row r="9848" ht="22.5" customHeight="1">
      <c r="B9848" s="17"/>
      <c r="C9848" s="17"/>
      <c r="D9848" s="13"/>
      <c r="E9848" s="11"/>
      <c r="F9848" s="11"/>
      <c r="G9848" s="13">
        <f t="shared" si="1"/>
        <v>1281</v>
      </c>
      <c r="H9848" s="13"/>
    </row>
    <row r="9849" ht="22.5" customHeight="1">
      <c r="B9849" s="17"/>
      <c r="C9849" s="17"/>
      <c r="D9849" s="13"/>
      <c r="E9849" s="11"/>
      <c r="F9849" s="11"/>
      <c r="G9849" s="13">
        <f t="shared" si="1"/>
        <v>1281</v>
      </c>
      <c r="H9849" s="13"/>
    </row>
    <row r="9850" ht="22.5" customHeight="1">
      <c r="B9850" s="17"/>
      <c r="C9850" s="17"/>
      <c r="D9850" s="13"/>
      <c r="E9850" s="11"/>
      <c r="F9850" s="11"/>
      <c r="G9850" s="13">
        <f t="shared" si="1"/>
        <v>1281</v>
      </c>
      <c r="H9850" s="13"/>
    </row>
    <row r="9851" ht="22.5" customHeight="1">
      <c r="B9851" s="17"/>
      <c r="C9851" s="17"/>
      <c r="D9851" s="13"/>
      <c r="E9851" s="11"/>
      <c r="F9851" s="11"/>
      <c r="G9851" s="13">
        <f t="shared" si="1"/>
        <v>1281</v>
      </c>
      <c r="H9851" s="13"/>
    </row>
    <row r="9852" ht="22.5" customHeight="1">
      <c r="B9852" s="17"/>
      <c r="C9852" s="17"/>
      <c r="D9852" s="13"/>
      <c r="E9852" s="11"/>
      <c r="F9852" s="11"/>
      <c r="G9852" s="13">
        <f t="shared" si="1"/>
        <v>1281</v>
      </c>
      <c r="H9852" s="13"/>
    </row>
    <row r="9853" ht="22.5" customHeight="1">
      <c r="B9853" s="17"/>
      <c r="C9853" s="17"/>
      <c r="D9853" s="13"/>
      <c r="E9853" s="11"/>
      <c r="F9853" s="11"/>
      <c r="G9853" s="13">
        <f t="shared" si="1"/>
        <v>1281</v>
      </c>
      <c r="H9853" s="13"/>
    </row>
    <row r="9854" ht="22.5" customHeight="1">
      <c r="B9854" s="17"/>
      <c r="C9854" s="17"/>
      <c r="D9854" s="13"/>
      <c r="E9854" s="11"/>
      <c r="F9854" s="11"/>
      <c r="G9854" s="13">
        <f t="shared" si="1"/>
        <v>1281</v>
      </c>
      <c r="H9854" s="13"/>
    </row>
    <row r="9855" ht="22.5" customHeight="1">
      <c r="B9855" s="17"/>
      <c r="C9855" s="17"/>
      <c r="D9855" s="13"/>
      <c r="E9855" s="11"/>
      <c r="F9855" s="11"/>
      <c r="G9855" s="13">
        <f t="shared" si="1"/>
        <v>1281</v>
      </c>
      <c r="H9855" s="13"/>
    </row>
    <row r="9856" ht="22.5" customHeight="1">
      <c r="B9856" s="17"/>
      <c r="C9856" s="17"/>
      <c r="D9856" s="13"/>
      <c r="E9856" s="11"/>
      <c r="F9856" s="11"/>
      <c r="G9856" s="13">
        <f t="shared" si="1"/>
        <v>1281</v>
      </c>
      <c r="H9856" s="13"/>
    </row>
    <row r="9857" ht="22.5" customHeight="1">
      <c r="B9857" s="17"/>
      <c r="C9857" s="17"/>
      <c r="D9857" s="13"/>
      <c r="E9857" s="11"/>
      <c r="F9857" s="11"/>
      <c r="G9857" s="13">
        <f t="shared" si="1"/>
        <v>1281</v>
      </c>
      <c r="H9857" s="13"/>
    </row>
    <row r="9858" ht="22.5" customHeight="1">
      <c r="B9858" s="17"/>
      <c r="C9858" s="17"/>
      <c r="D9858" s="13"/>
      <c r="E9858" s="11"/>
      <c r="F9858" s="11"/>
      <c r="G9858" s="13">
        <f t="shared" si="1"/>
        <v>1281</v>
      </c>
      <c r="H9858" s="13"/>
    </row>
    <row r="9859" ht="22.5" customHeight="1">
      <c r="B9859" s="17"/>
      <c r="C9859" s="17"/>
      <c r="D9859" s="13"/>
      <c r="E9859" s="11"/>
      <c r="F9859" s="11"/>
      <c r="G9859" s="13">
        <f t="shared" si="1"/>
        <v>1281</v>
      </c>
      <c r="H9859" s="13"/>
    </row>
    <row r="9860" ht="22.5" customHeight="1">
      <c r="B9860" s="17"/>
      <c r="C9860" s="17"/>
      <c r="D9860" s="13"/>
      <c r="E9860" s="11"/>
      <c r="F9860" s="11"/>
      <c r="G9860" s="13">
        <f t="shared" si="1"/>
        <v>1281</v>
      </c>
      <c r="H9860" s="13"/>
    </row>
    <row r="9861" ht="22.5" customHeight="1">
      <c r="B9861" s="17"/>
      <c r="C9861" s="17"/>
      <c r="D9861" s="13"/>
      <c r="E9861" s="11"/>
      <c r="F9861" s="11"/>
      <c r="G9861" s="13">
        <f t="shared" si="1"/>
        <v>1281</v>
      </c>
      <c r="H9861" s="13"/>
    </row>
    <row r="9862" ht="22.5" customHeight="1">
      <c r="B9862" s="17"/>
      <c r="C9862" s="17"/>
      <c r="D9862" s="13"/>
      <c r="E9862" s="11"/>
      <c r="F9862" s="11"/>
      <c r="G9862" s="13">
        <f t="shared" si="1"/>
        <v>1281</v>
      </c>
      <c r="H9862" s="13"/>
    </row>
    <row r="9863" ht="22.5" customHeight="1">
      <c r="B9863" s="17"/>
      <c r="C9863" s="17"/>
      <c r="D9863" s="13"/>
      <c r="E9863" s="11"/>
      <c r="F9863" s="11"/>
      <c r="G9863" s="13">
        <f t="shared" si="1"/>
        <v>1281</v>
      </c>
      <c r="H9863" s="13"/>
    </row>
    <row r="9864" ht="22.5" customHeight="1">
      <c r="B9864" s="17"/>
      <c r="C9864" s="17"/>
      <c r="D9864" s="13"/>
      <c r="E9864" s="11"/>
      <c r="F9864" s="11"/>
      <c r="G9864" s="13">
        <f t="shared" si="1"/>
        <v>1281</v>
      </c>
      <c r="H9864" s="13"/>
    </row>
    <row r="9865" ht="22.5" customHeight="1">
      <c r="B9865" s="17"/>
      <c r="C9865" s="17"/>
      <c r="D9865" s="13"/>
      <c r="E9865" s="11"/>
      <c r="F9865" s="11"/>
      <c r="G9865" s="13">
        <f t="shared" si="1"/>
        <v>1281</v>
      </c>
      <c r="H9865" s="13"/>
    </row>
    <row r="9866" ht="22.5" customHeight="1">
      <c r="B9866" s="17"/>
      <c r="C9866" s="17"/>
      <c r="D9866" s="13"/>
      <c r="E9866" s="11"/>
      <c r="F9866" s="11"/>
      <c r="G9866" s="13">
        <f t="shared" si="1"/>
        <v>1281</v>
      </c>
      <c r="H9866" s="13"/>
    </row>
    <row r="9867" ht="22.5" customHeight="1">
      <c r="B9867" s="17"/>
      <c r="C9867" s="17"/>
      <c r="D9867" s="13"/>
      <c r="E9867" s="11"/>
      <c r="F9867" s="11"/>
      <c r="G9867" s="13">
        <f t="shared" si="1"/>
        <v>1281</v>
      </c>
      <c r="H9867" s="13"/>
    </row>
    <row r="9868" ht="22.5" customHeight="1">
      <c r="B9868" s="17"/>
      <c r="C9868" s="17"/>
      <c r="D9868" s="13"/>
      <c r="E9868" s="11"/>
      <c r="F9868" s="11"/>
      <c r="G9868" s="13">
        <f t="shared" si="1"/>
        <v>1281</v>
      </c>
      <c r="H9868" s="13"/>
    </row>
    <row r="9869" ht="22.5" customHeight="1">
      <c r="B9869" s="17"/>
      <c r="C9869" s="17"/>
      <c r="D9869" s="13"/>
      <c r="E9869" s="11"/>
      <c r="F9869" s="11"/>
      <c r="G9869" s="13">
        <f t="shared" si="1"/>
        <v>1281</v>
      </c>
      <c r="H9869" s="13"/>
    </row>
    <row r="9870" ht="22.5" customHeight="1">
      <c r="B9870" s="17"/>
      <c r="C9870" s="17"/>
      <c r="D9870" s="13"/>
      <c r="E9870" s="11"/>
      <c r="F9870" s="11"/>
      <c r="G9870" s="13">
        <f t="shared" si="1"/>
        <v>1281</v>
      </c>
      <c r="H9870" s="13"/>
    </row>
    <row r="9871" ht="22.5" customHeight="1">
      <c r="B9871" s="17"/>
      <c r="C9871" s="17"/>
      <c r="D9871" s="13"/>
      <c r="E9871" s="11"/>
      <c r="F9871" s="11"/>
      <c r="G9871" s="13">
        <f t="shared" si="1"/>
        <v>1281</v>
      </c>
      <c r="H9871" s="13"/>
    </row>
    <row r="9872" ht="22.5" customHeight="1">
      <c r="B9872" s="17"/>
      <c r="C9872" s="17"/>
      <c r="D9872" s="13"/>
      <c r="E9872" s="11"/>
      <c r="F9872" s="11"/>
      <c r="G9872" s="13">
        <f t="shared" si="1"/>
        <v>1281</v>
      </c>
      <c r="H9872" s="13"/>
    </row>
    <row r="9873" ht="22.5" customHeight="1">
      <c r="B9873" s="17"/>
      <c r="C9873" s="17"/>
      <c r="D9873" s="13"/>
      <c r="E9873" s="11"/>
      <c r="F9873" s="11"/>
      <c r="G9873" s="13">
        <f t="shared" si="1"/>
        <v>1281</v>
      </c>
      <c r="H9873" s="13"/>
    </row>
    <row r="9874" ht="22.5" customHeight="1">
      <c r="B9874" s="17"/>
      <c r="C9874" s="17"/>
      <c r="D9874" s="13"/>
      <c r="E9874" s="11"/>
      <c r="F9874" s="11"/>
      <c r="G9874" s="13">
        <f t="shared" si="1"/>
        <v>1281</v>
      </c>
      <c r="H9874" s="13"/>
    </row>
    <row r="9875" ht="22.5" customHeight="1">
      <c r="B9875" s="17"/>
      <c r="C9875" s="17"/>
      <c r="D9875" s="13"/>
      <c r="E9875" s="11"/>
      <c r="F9875" s="11"/>
      <c r="G9875" s="13">
        <f t="shared" si="1"/>
        <v>1281</v>
      </c>
      <c r="H9875" s="13"/>
    </row>
    <row r="9876" ht="22.5" customHeight="1">
      <c r="B9876" s="17"/>
      <c r="C9876" s="17"/>
      <c r="D9876" s="13"/>
      <c r="E9876" s="11"/>
      <c r="F9876" s="11"/>
      <c r="G9876" s="13">
        <f t="shared" si="1"/>
        <v>1281</v>
      </c>
      <c r="H9876" s="13"/>
    </row>
    <row r="9877" ht="22.5" customHeight="1">
      <c r="B9877" s="17"/>
      <c r="C9877" s="17"/>
      <c r="D9877" s="13"/>
      <c r="E9877" s="11"/>
      <c r="F9877" s="11"/>
      <c r="G9877" s="13">
        <f t="shared" si="1"/>
        <v>1281</v>
      </c>
      <c r="H9877" s="13"/>
    </row>
    <row r="9878" ht="22.5" customHeight="1">
      <c r="B9878" s="17"/>
      <c r="C9878" s="17"/>
      <c r="D9878" s="13"/>
      <c r="E9878" s="11"/>
      <c r="F9878" s="11"/>
      <c r="G9878" s="13">
        <f t="shared" si="1"/>
        <v>1281</v>
      </c>
      <c r="H9878" s="13"/>
    </row>
    <row r="9879" ht="22.5" customHeight="1">
      <c r="B9879" s="17"/>
      <c r="C9879" s="17"/>
      <c r="D9879" s="13"/>
      <c r="E9879" s="11"/>
      <c r="F9879" s="11"/>
      <c r="G9879" s="13">
        <f t="shared" si="1"/>
        <v>1281</v>
      </c>
      <c r="H9879" s="13"/>
    </row>
    <row r="9880" ht="22.5" customHeight="1">
      <c r="B9880" s="17"/>
      <c r="C9880" s="17"/>
      <c r="D9880" s="13"/>
      <c r="E9880" s="11"/>
      <c r="F9880" s="11"/>
      <c r="G9880" s="13">
        <f t="shared" si="1"/>
        <v>1281</v>
      </c>
      <c r="H9880" s="13"/>
    </row>
    <row r="9881" ht="22.5" customHeight="1">
      <c r="B9881" s="17"/>
      <c r="C9881" s="17"/>
      <c r="D9881" s="13"/>
      <c r="E9881" s="11"/>
      <c r="F9881" s="11"/>
      <c r="G9881" s="13">
        <f t="shared" si="1"/>
        <v>1281</v>
      </c>
      <c r="H9881" s="13"/>
    </row>
    <row r="9882" ht="22.5" customHeight="1">
      <c r="B9882" s="17"/>
      <c r="C9882" s="17"/>
      <c r="D9882" s="13"/>
      <c r="E9882" s="11"/>
      <c r="F9882" s="11"/>
      <c r="G9882" s="13">
        <f t="shared" si="1"/>
        <v>1281</v>
      </c>
      <c r="H9882" s="13"/>
    </row>
    <row r="9883" ht="22.5" customHeight="1">
      <c r="B9883" s="17"/>
      <c r="C9883" s="17"/>
      <c r="D9883" s="13"/>
      <c r="E9883" s="11"/>
      <c r="F9883" s="11"/>
      <c r="G9883" s="13">
        <f t="shared" si="1"/>
        <v>1281</v>
      </c>
      <c r="H9883" s="13"/>
    </row>
    <row r="9884" ht="22.5" customHeight="1">
      <c r="B9884" s="17"/>
      <c r="C9884" s="17"/>
      <c r="D9884" s="13"/>
      <c r="E9884" s="11"/>
      <c r="F9884" s="11"/>
      <c r="G9884" s="13">
        <f t="shared" si="1"/>
        <v>1281</v>
      </c>
      <c r="H9884" s="13"/>
    </row>
    <row r="9885" ht="22.5" customHeight="1">
      <c r="B9885" s="17"/>
      <c r="C9885" s="17"/>
      <c r="D9885" s="13"/>
      <c r="E9885" s="11"/>
      <c r="F9885" s="11"/>
      <c r="G9885" s="13">
        <f t="shared" si="1"/>
        <v>1281</v>
      </c>
      <c r="H9885" s="13"/>
    </row>
    <row r="9886" ht="22.5" customHeight="1">
      <c r="B9886" s="17"/>
      <c r="C9886" s="17"/>
      <c r="D9886" s="13"/>
      <c r="E9886" s="11"/>
      <c r="F9886" s="11"/>
      <c r="G9886" s="13">
        <f t="shared" si="1"/>
        <v>1281</v>
      </c>
      <c r="H9886" s="13"/>
    </row>
    <row r="9887" ht="22.5" customHeight="1">
      <c r="B9887" s="17"/>
      <c r="C9887" s="17"/>
      <c r="D9887" s="13"/>
      <c r="E9887" s="11"/>
      <c r="F9887" s="11"/>
      <c r="G9887" s="13">
        <f t="shared" si="1"/>
        <v>1281</v>
      </c>
      <c r="H9887" s="13"/>
    </row>
    <row r="9888" ht="22.5" customHeight="1">
      <c r="B9888" s="17"/>
      <c r="C9888" s="17"/>
      <c r="D9888" s="13"/>
      <c r="E9888" s="11"/>
      <c r="F9888" s="11"/>
      <c r="G9888" s="13">
        <f t="shared" si="1"/>
        <v>1281</v>
      </c>
      <c r="H9888" s="13"/>
    </row>
    <row r="9889" ht="22.5" customHeight="1">
      <c r="B9889" s="17"/>
      <c r="C9889" s="17"/>
      <c r="D9889" s="13"/>
      <c r="E9889" s="11"/>
      <c r="F9889" s="11"/>
      <c r="G9889" s="13">
        <f t="shared" si="1"/>
        <v>1281</v>
      </c>
      <c r="H9889" s="13"/>
    </row>
    <row r="9890" ht="22.5" customHeight="1">
      <c r="B9890" s="17"/>
      <c r="C9890" s="17"/>
      <c r="D9890" s="13"/>
      <c r="E9890" s="11"/>
      <c r="F9890" s="11"/>
      <c r="G9890" s="13">
        <f t="shared" si="1"/>
        <v>1281</v>
      </c>
      <c r="H9890" s="13"/>
    </row>
    <row r="9891" ht="22.5" customHeight="1">
      <c r="B9891" s="17"/>
      <c r="C9891" s="17"/>
      <c r="D9891" s="13"/>
      <c r="E9891" s="11"/>
      <c r="F9891" s="11"/>
      <c r="G9891" s="13">
        <f t="shared" si="1"/>
        <v>1281</v>
      </c>
      <c r="H9891" s="13"/>
    </row>
    <row r="9892" ht="22.5" customHeight="1">
      <c r="B9892" s="17"/>
      <c r="C9892" s="17"/>
      <c r="D9892" s="13"/>
      <c r="E9892" s="11"/>
      <c r="F9892" s="11"/>
      <c r="G9892" s="13">
        <f t="shared" si="1"/>
        <v>1281</v>
      </c>
      <c r="H9892" s="13"/>
    </row>
    <row r="9893" ht="22.5" customHeight="1">
      <c r="B9893" s="17"/>
      <c r="C9893" s="17"/>
      <c r="D9893" s="13"/>
      <c r="E9893" s="11"/>
      <c r="F9893" s="11"/>
      <c r="G9893" s="13">
        <f t="shared" si="1"/>
        <v>1281</v>
      </c>
      <c r="H9893" s="13"/>
    </row>
    <row r="9894" ht="22.5" customHeight="1">
      <c r="B9894" s="17"/>
      <c r="C9894" s="17"/>
      <c r="D9894" s="13"/>
      <c r="E9894" s="11"/>
      <c r="F9894" s="11"/>
      <c r="G9894" s="13">
        <f t="shared" si="1"/>
        <v>1281</v>
      </c>
      <c r="H9894" s="13"/>
    </row>
    <row r="9895" ht="22.5" customHeight="1">
      <c r="B9895" s="17"/>
      <c r="C9895" s="17"/>
      <c r="D9895" s="13"/>
      <c r="E9895" s="11"/>
      <c r="F9895" s="11"/>
      <c r="G9895" s="13">
        <f t="shared" si="1"/>
        <v>1281</v>
      </c>
      <c r="H9895" s="13"/>
    </row>
    <row r="9896" ht="22.5" customHeight="1">
      <c r="B9896" s="17"/>
      <c r="C9896" s="17"/>
      <c r="D9896" s="13"/>
      <c r="E9896" s="11"/>
      <c r="F9896" s="11"/>
      <c r="G9896" s="13">
        <f t="shared" si="1"/>
        <v>1281</v>
      </c>
      <c r="H9896" s="13"/>
    </row>
    <row r="9897" ht="22.5" customHeight="1">
      <c r="B9897" s="17"/>
      <c r="C9897" s="17"/>
      <c r="D9897" s="13"/>
      <c r="E9897" s="11"/>
      <c r="F9897" s="11"/>
      <c r="G9897" s="13">
        <f t="shared" si="1"/>
        <v>1281</v>
      </c>
      <c r="H9897" s="13"/>
    </row>
    <row r="9898" ht="22.5" customHeight="1">
      <c r="B9898" s="17"/>
      <c r="C9898" s="17"/>
      <c r="D9898" s="13"/>
      <c r="E9898" s="11"/>
      <c r="F9898" s="11"/>
      <c r="G9898" s="13">
        <f t="shared" si="1"/>
        <v>1281</v>
      </c>
      <c r="H9898" s="13"/>
    </row>
    <row r="9899" ht="22.5" customHeight="1">
      <c r="B9899" s="17"/>
      <c r="C9899" s="17"/>
      <c r="D9899" s="13"/>
      <c r="E9899" s="11"/>
      <c r="F9899" s="11"/>
      <c r="G9899" s="13">
        <f t="shared" si="1"/>
        <v>1281</v>
      </c>
      <c r="H9899" s="13"/>
    </row>
    <row r="9900" ht="22.5" customHeight="1">
      <c r="B9900" s="17"/>
      <c r="C9900" s="17"/>
      <c r="D9900" s="13"/>
      <c r="E9900" s="11"/>
      <c r="F9900" s="11"/>
      <c r="G9900" s="13">
        <f t="shared" si="1"/>
        <v>1281</v>
      </c>
      <c r="H9900" s="13"/>
    </row>
    <row r="9901" ht="22.5" customHeight="1">
      <c r="B9901" s="17"/>
      <c r="C9901" s="17"/>
      <c r="D9901" s="13"/>
      <c r="E9901" s="11"/>
      <c r="F9901" s="11"/>
      <c r="G9901" s="13">
        <f t="shared" si="1"/>
        <v>1281</v>
      </c>
      <c r="H9901" s="13"/>
    </row>
    <row r="9902" ht="22.5" customHeight="1">
      <c r="B9902" s="17"/>
      <c r="C9902" s="17"/>
      <c r="D9902" s="13"/>
      <c r="E9902" s="11"/>
      <c r="F9902" s="11"/>
      <c r="G9902" s="13">
        <f t="shared" si="1"/>
        <v>1281</v>
      </c>
      <c r="H9902" s="13"/>
    </row>
    <row r="9903" ht="22.5" customHeight="1">
      <c r="B9903" s="17"/>
      <c r="C9903" s="17"/>
      <c r="D9903" s="13"/>
      <c r="E9903" s="11"/>
      <c r="F9903" s="11"/>
      <c r="G9903" s="13">
        <f t="shared" si="1"/>
        <v>1281</v>
      </c>
      <c r="H9903" s="13"/>
    </row>
    <row r="9904" ht="22.5" customHeight="1">
      <c r="B9904" s="17"/>
      <c r="C9904" s="17"/>
      <c r="D9904" s="13"/>
      <c r="E9904" s="11"/>
      <c r="F9904" s="11"/>
      <c r="G9904" s="13">
        <f t="shared" si="1"/>
        <v>1281</v>
      </c>
      <c r="H9904" s="13"/>
    </row>
    <row r="9905" ht="22.5" customHeight="1">
      <c r="B9905" s="17"/>
      <c r="C9905" s="17"/>
      <c r="D9905" s="13"/>
      <c r="E9905" s="11"/>
      <c r="F9905" s="11"/>
      <c r="G9905" s="13">
        <f t="shared" si="1"/>
        <v>1281</v>
      </c>
      <c r="H9905" s="13"/>
    </row>
    <row r="9906" ht="22.5" customHeight="1">
      <c r="B9906" s="17"/>
      <c r="C9906" s="17"/>
      <c r="D9906" s="13"/>
      <c r="E9906" s="11"/>
      <c r="F9906" s="11"/>
      <c r="G9906" s="13">
        <f t="shared" si="1"/>
        <v>1281</v>
      </c>
      <c r="H9906" s="13"/>
    </row>
    <row r="9907" ht="22.5" customHeight="1">
      <c r="B9907" s="17"/>
      <c r="C9907" s="17"/>
      <c r="D9907" s="13"/>
      <c r="E9907" s="11"/>
      <c r="F9907" s="11"/>
      <c r="G9907" s="13">
        <f t="shared" si="1"/>
        <v>1281</v>
      </c>
      <c r="H9907" s="13"/>
    </row>
    <row r="9908" ht="22.5" customHeight="1">
      <c r="B9908" s="17"/>
      <c r="C9908" s="17"/>
      <c r="D9908" s="13"/>
      <c r="E9908" s="11"/>
      <c r="F9908" s="11"/>
      <c r="G9908" s="13">
        <f t="shared" si="1"/>
        <v>1281</v>
      </c>
      <c r="H9908" s="13"/>
    </row>
    <row r="9909" ht="22.5" customHeight="1">
      <c r="B9909" s="17"/>
      <c r="C9909" s="17"/>
      <c r="D9909" s="13"/>
      <c r="E9909" s="11"/>
      <c r="F9909" s="11"/>
      <c r="G9909" s="13">
        <f t="shared" si="1"/>
        <v>1281</v>
      </c>
      <c r="H9909" s="13"/>
    </row>
    <row r="9910" ht="22.5" customHeight="1">
      <c r="B9910" s="17"/>
      <c r="C9910" s="17"/>
      <c r="D9910" s="13"/>
      <c r="E9910" s="11"/>
      <c r="F9910" s="11"/>
      <c r="G9910" s="13">
        <f t="shared" si="1"/>
        <v>1281</v>
      </c>
      <c r="H9910" s="13"/>
    </row>
    <row r="9911" ht="22.5" customHeight="1">
      <c r="B9911" s="17"/>
      <c r="C9911" s="17"/>
      <c r="D9911" s="13"/>
      <c r="E9911" s="11"/>
      <c r="F9911" s="11"/>
      <c r="G9911" s="13">
        <f t="shared" si="1"/>
        <v>1281</v>
      </c>
      <c r="H9911" s="13"/>
    </row>
    <row r="9912" ht="22.5" customHeight="1">
      <c r="B9912" s="17"/>
      <c r="C9912" s="17"/>
      <c r="D9912" s="13"/>
      <c r="E9912" s="11"/>
      <c r="F9912" s="11"/>
      <c r="G9912" s="13">
        <f t="shared" si="1"/>
        <v>1281</v>
      </c>
      <c r="H9912" s="13"/>
    </row>
    <row r="9913" ht="22.5" customHeight="1">
      <c r="B9913" s="17"/>
      <c r="C9913" s="17"/>
      <c r="D9913" s="13"/>
      <c r="E9913" s="11"/>
      <c r="F9913" s="11"/>
      <c r="G9913" s="13">
        <f t="shared" si="1"/>
        <v>1281</v>
      </c>
      <c r="H9913" s="13"/>
    </row>
    <row r="9914" ht="22.5" customHeight="1">
      <c r="B9914" s="17"/>
      <c r="C9914" s="17"/>
      <c r="D9914" s="13"/>
      <c r="E9914" s="11"/>
      <c r="F9914" s="11"/>
      <c r="G9914" s="13">
        <f t="shared" si="1"/>
        <v>1281</v>
      </c>
      <c r="H9914" s="13"/>
    </row>
    <row r="9915" ht="22.5" customHeight="1">
      <c r="B9915" s="17"/>
      <c r="C9915" s="17"/>
      <c r="D9915" s="13"/>
      <c r="E9915" s="11"/>
      <c r="F9915" s="11"/>
      <c r="G9915" s="13">
        <f t="shared" si="1"/>
        <v>1281</v>
      </c>
      <c r="H9915" s="13"/>
    </row>
    <row r="9916" ht="22.5" customHeight="1">
      <c r="B9916" s="17"/>
      <c r="C9916" s="17"/>
      <c r="D9916" s="13"/>
      <c r="E9916" s="11"/>
      <c r="F9916" s="11"/>
      <c r="G9916" s="13">
        <f t="shared" si="1"/>
        <v>1281</v>
      </c>
      <c r="H9916" s="13"/>
    </row>
    <row r="9917" ht="22.5" customHeight="1">
      <c r="B9917" s="17"/>
      <c r="C9917" s="17"/>
      <c r="D9917" s="13"/>
      <c r="E9917" s="11"/>
      <c r="F9917" s="11"/>
      <c r="G9917" s="13">
        <f t="shared" si="1"/>
        <v>1281</v>
      </c>
      <c r="H9917" s="13"/>
    </row>
    <row r="9918" ht="22.5" customHeight="1">
      <c r="B9918" s="17"/>
      <c r="C9918" s="17"/>
      <c r="D9918" s="13"/>
      <c r="E9918" s="11"/>
      <c r="F9918" s="11"/>
      <c r="G9918" s="13">
        <f t="shared" si="1"/>
        <v>1281</v>
      </c>
      <c r="H9918" s="13"/>
    </row>
    <row r="9919" ht="22.5" customHeight="1">
      <c r="B9919" s="17"/>
      <c r="C9919" s="17"/>
      <c r="D9919" s="13"/>
      <c r="E9919" s="11"/>
      <c r="F9919" s="11"/>
      <c r="G9919" s="13">
        <f t="shared" si="1"/>
        <v>1281</v>
      </c>
      <c r="H9919" s="13"/>
    </row>
    <row r="9920" ht="22.5" customHeight="1">
      <c r="B9920" s="17"/>
      <c r="C9920" s="17"/>
      <c r="D9920" s="13"/>
      <c r="E9920" s="11"/>
      <c r="F9920" s="11"/>
      <c r="G9920" s="13">
        <f t="shared" si="1"/>
        <v>1281</v>
      </c>
      <c r="H9920" s="13"/>
    </row>
    <row r="9921" ht="22.5" customHeight="1">
      <c r="B9921" s="17"/>
      <c r="C9921" s="17"/>
      <c r="D9921" s="13"/>
      <c r="E9921" s="11"/>
      <c r="F9921" s="11"/>
      <c r="G9921" s="13">
        <f t="shared" si="1"/>
        <v>1281</v>
      </c>
      <c r="H9921" s="13"/>
    </row>
    <row r="9922" ht="22.5" customHeight="1">
      <c r="B9922" s="17"/>
      <c r="C9922" s="17"/>
      <c r="D9922" s="13"/>
      <c r="E9922" s="11"/>
      <c r="F9922" s="11"/>
      <c r="G9922" s="13">
        <f t="shared" si="1"/>
        <v>1281</v>
      </c>
      <c r="H9922" s="13"/>
    </row>
    <row r="9923" ht="22.5" customHeight="1">
      <c r="B9923" s="17"/>
      <c r="C9923" s="17"/>
      <c r="D9923" s="13"/>
      <c r="E9923" s="11"/>
      <c r="F9923" s="11"/>
      <c r="G9923" s="13">
        <f t="shared" si="1"/>
        <v>1281</v>
      </c>
      <c r="H9923" s="13"/>
    </row>
    <row r="9924" ht="22.5" customHeight="1">
      <c r="B9924" s="17"/>
      <c r="C9924" s="17"/>
      <c r="D9924" s="13"/>
      <c r="E9924" s="11"/>
      <c r="F9924" s="11"/>
      <c r="G9924" s="13">
        <f t="shared" si="1"/>
        <v>1281</v>
      </c>
      <c r="H9924" s="13"/>
    </row>
    <row r="9925" ht="22.5" customHeight="1">
      <c r="B9925" s="17"/>
      <c r="C9925" s="17"/>
      <c r="D9925" s="13"/>
      <c r="E9925" s="11"/>
      <c r="F9925" s="11"/>
      <c r="G9925" s="13">
        <f t="shared" si="1"/>
        <v>1281</v>
      </c>
      <c r="H9925" s="13"/>
    </row>
    <row r="9926" ht="22.5" customHeight="1">
      <c r="B9926" s="17"/>
      <c r="C9926" s="17"/>
      <c r="D9926" s="13"/>
      <c r="E9926" s="11"/>
      <c r="F9926" s="11"/>
      <c r="G9926" s="13">
        <f t="shared" si="1"/>
        <v>1281</v>
      </c>
      <c r="H9926" s="13"/>
    </row>
    <row r="9927" ht="22.5" customHeight="1">
      <c r="B9927" s="17"/>
      <c r="C9927" s="17"/>
      <c r="D9927" s="13"/>
      <c r="E9927" s="11"/>
      <c r="F9927" s="11"/>
      <c r="G9927" s="13">
        <f t="shared" si="1"/>
        <v>1281</v>
      </c>
      <c r="H9927" s="13"/>
    </row>
    <row r="9928" ht="22.5" customHeight="1">
      <c r="B9928" s="17"/>
      <c r="C9928" s="17"/>
      <c r="D9928" s="13"/>
      <c r="E9928" s="11"/>
      <c r="F9928" s="11"/>
      <c r="G9928" s="13">
        <f t="shared" si="1"/>
        <v>1281</v>
      </c>
      <c r="H9928" s="13"/>
    </row>
    <row r="9929" ht="22.5" customHeight="1">
      <c r="B9929" s="17"/>
      <c r="C9929" s="17"/>
      <c r="D9929" s="13"/>
      <c r="E9929" s="11"/>
      <c r="F9929" s="11"/>
      <c r="G9929" s="13">
        <f t="shared" si="1"/>
        <v>1281</v>
      </c>
      <c r="H9929" s="13"/>
    </row>
    <row r="9930" ht="22.5" customHeight="1">
      <c r="B9930" s="17"/>
      <c r="C9930" s="17"/>
      <c r="D9930" s="13"/>
      <c r="E9930" s="11"/>
      <c r="F9930" s="11"/>
      <c r="G9930" s="13">
        <f t="shared" si="1"/>
        <v>1281</v>
      </c>
      <c r="H9930" s="13"/>
    </row>
    <row r="9931" ht="22.5" customHeight="1">
      <c r="B9931" s="17"/>
      <c r="C9931" s="17"/>
      <c r="D9931" s="13"/>
      <c r="E9931" s="11"/>
      <c r="F9931" s="11"/>
      <c r="G9931" s="13">
        <f t="shared" si="1"/>
        <v>1281</v>
      </c>
      <c r="H9931" s="13"/>
    </row>
    <row r="9932" ht="22.5" customHeight="1">
      <c r="B9932" s="17"/>
      <c r="C9932" s="17"/>
      <c r="D9932" s="13"/>
      <c r="E9932" s="11"/>
      <c r="F9932" s="11"/>
      <c r="G9932" s="13">
        <f t="shared" si="1"/>
        <v>1281</v>
      </c>
      <c r="H9932" s="13"/>
    </row>
    <row r="9933" ht="22.5" customHeight="1">
      <c r="B9933" s="17"/>
      <c r="C9933" s="17"/>
      <c r="D9933" s="13"/>
      <c r="E9933" s="11"/>
      <c r="F9933" s="11"/>
      <c r="G9933" s="13">
        <f t="shared" si="1"/>
        <v>1281</v>
      </c>
      <c r="H9933" s="13"/>
    </row>
    <row r="9934" ht="22.5" customHeight="1">
      <c r="B9934" s="17"/>
      <c r="C9934" s="17"/>
      <c r="D9934" s="13"/>
      <c r="E9934" s="11"/>
      <c r="F9934" s="11"/>
      <c r="G9934" s="13">
        <f t="shared" si="1"/>
        <v>1281</v>
      </c>
      <c r="H9934" s="13"/>
    </row>
    <row r="9935" ht="22.5" customHeight="1">
      <c r="B9935" s="17"/>
      <c r="C9935" s="17"/>
      <c r="D9935" s="13"/>
      <c r="E9935" s="11"/>
      <c r="F9935" s="11"/>
      <c r="G9935" s="13">
        <f t="shared" si="1"/>
        <v>1281</v>
      </c>
      <c r="H9935" s="13"/>
    </row>
    <row r="9936" ht="22.5" customHeight="1">
      <c r="B9936" s="17"/>
      <c r="C9936" s="17"/>
      <c r="D9936" s="13"/>
      <c r="E9936" s="11"/>
      <c r="F9936" s="11"/>
      <c r="G9936" s="13">
        <f t="shared" si="1"/>
        <v>1281</v>
      </c>
      <c r="H9936" s="13"/>
    </row>
    <row r="9937" ht="22.5" customHeight="1">
      <c r="B9937" s="17"/>
      <c r="C9937" s="17"/>
      <c r="D9937" s="13"/>
      <c r="E9937" s="11"/>
      <c r="F9937" s="11"/>
      <c r="G9937" s="13">
        <f t="shared" si="1"/>
        <v>1281</v>
      </c>
      <c r="H9937" s="13"/>
    </row>
    <row r="9938" ht="22.5" customHeight="1">
      <c r="B9938" s="17"/>
      <c r="C9938" s="17"/>
      <c r="D9938" s="13"/>
      <c r="E9938" s="11"/>
      <c r="F9938" s="11"/>
      <c r="G9938" s="13">
        <f t="shared" si="1"/>
        <v>1281</v>
      </c>
      <c r="H9938" s="13"/>
    </row>
    <row r="9939" ht="22.5" customHeight="1">
      <c r="B9939" s="17"/>
      <c r="C9939" s="17"/>
      <c r="D9939" s="13"/>
      <c r="E9939" s="11"/>
      <c r="F9939" s="11"/>
      <c r="G9939" s="13">
        <f t="shared" si="1"/>
        <v>1281</v>
      </c>
      <c r="H9939" s="13"/>
    </row>
    <row r="9940" ht="22.5" customHeight="1">
      <c r="B9940" s="17"/>
      <c r="C9940" s="17"/>
      <c r="D9940" s="13"/>
      <c r="E9940" s="11"/>
      <c r="F9940" s="11"/>
      <c r="G9940" s="13">
        <f t="shared" si="1"/>
        <v>1281</v>
      </c>
      <c r="H9940" s="13"/>
    </row>
    <row r="9941" ht="22.5" customHeight="1">
      <c r="B9941" s="17"/>
      <c r="C9941" s="17"/>
      <c r="D9941" s="13"/>
      <c r="E9941" s="11"/>
      <c r="F9941" s="11"/>
      <c r="G9941" s="13">
        <f t="shared" si="1"/>
        <v>1281</v>
      </c>
      <c r="H9941" s="13"/>
    </row>
    <row r="9942" ht="22.5" customHeight="1">
      <c r="B9942" s="17"/>
      <c r="C9942" s="17"/>
      <c r="D9942" s="13"/>
      <c r="E9942" s="11"/>
      <c r="F9942" s="11"/>
      <c r="G9942" s="13">
        <f t="shared" si="1"/>
        <v>1281</v>
      </c>
      <c r="H9942" s="13"/>
    </row>
    <row r="9943" ht="22.5" customHeight="1">
      <c r="B9943" s="17"/>
      <c r="C9943" s="17"/>
      <c r="D9943" s="13"/>
      <c r="E9943" s="11"/>
      <c r="F9943" s="11"/>
      <c r="G9943" s="13">
        <f t="shared" si="1"/>
        <v>1281</v>
      </c>
      <c r="H9943" s="13"/>
    </row>
    <row r="9944" ht="22.5" customHeight="1">
      <c r="B9944" s="17"/>
      <c r="C9944" s="17"/>
      <c r="D9944" s="13"/>
      <c r="E9944" s="11"/>
      <c r="F9944" s="11"/>
      <c r="G9944" s="13">
        <f t="shared" si="1"/>
        <v>1281</v>
      </c>
      <c r="H9944" s="13"/>
    </row>
    <row r="9945" ht="22.5" customHeight="1">
      <c r="B9945" s="17"/>
      <c r="C9945" s="17"/>
      <c r="D9945" s="13"/>
      <c r="E9945" s="11"/>
      <c r="F9945" s="11"/>
      <c r="G9945" s="13">
        <f t="shared" si="1"/>
        <v>1281</v>
      </c>
      <c r="H9945" s="13"/>
    </row>
    <row r="9946" ht="22.5" customHeight="1">
      <c r="B9946" s="17"/>
      <c r="C9946" s="17"/>
      <c r="D9946" s="13"/>
      <c r="E9946" s="11"/>
      <c r="F9946" s="11"/>
      <c r="G9946" s="13">
        <f t="shared" si="1"/>
        <v>1281</v>
      </c>
      <c r="H9946" s="13"/>
    </row>
    <row r="9947" ht="22.5" customHeight="1">
      <c r="B9947" s="17"/>
      <c r="C9947" s="17"/>
      <c r="D9947" s="13"/>
      <c r="E9947" s="11"/>
      <c r="F9947" s="11"/>
      <c r="G9947" s="13">
        <f t="shared" si="1"/>
        <v>1281</v>
      </c>
      <c r="H9947" s="13"/>
    </row>
    <row r="9948" ht="22.5" customHeight="1">
      <c r="B9948" s="17"/>
      <c r="C9948" s="17"/>
      <c r="D9948" s="13"/>
      <c r="E9948" s="11"/>
      <c r="F9948" s="11"/>
      <c r="G9948" s="13">
        <f t="shared" si="1"/>
        <v>1281</v>
      </c>
      <c r="H9948" s="13"/>
    </row>
    <row r="9949" ht="22.5" customHeight="1">
      <c r="B9949" s="17"/>
      <c r="C9949" s="17"/>
      <c r="D9949" s="13"/>
      <c r="E9949" s="11"/>
      <c r="F9949" s="11"/>
      <c r="G9949" s="13">
        <f t="shared" si="1"/>
        <v>1281</v>
      </c>
      <c r="H9949" s="13"/>
    </row>
    <row r="9950" ht="22.5" customHeight="1">
      <c r="B9950" s="17"/>
      <c r="C9950" s="17"/>
      <c r="D9950" s="13"/>
      <c r="E9950" s="11"/>
      <c r="F9950" s="11"/>
      <c r="G9950" s="13">
        <f t="shared" si="1"/>
        <v>1281</v>
      </c>
      <c r="H9950" s="13"/>
    </row>
    <row r="9951" ht="22.5" customHeight="1">
      <c r="B9951" s="17"/>
      <c r="C9951" s="17"/>
      <c r="D9951" s="13"/>
      <c r="E9951" s="11"/>
      <c r="F9951" s="11"/>
      <c r="G9951" s="13">
        <f t="shared" si="1"/>
        <v>1281</v>
      </c>
      <c r="H9951" s="13"/>
    </row>
    <row r="9952" ht="22.5" customHeight="1">
      <c r="B9952" s="17"/>
      <c r="C9952" s="17"/>
      <c r="D9952" s="13"/>
      <c r="E9952" s="11"/>
      <c r="F9952" s="11"/>
      <c r="G9952" s="13">
        <f t="shared" si="1"/>
        <v>1281</v>
      </c>
      <c r="H9952" s="13"/>
    </row>
    <row r="9953" ht="22.5" customHeight="1">
      <c r="B9953" s="17"/>
      <c r="C9953" s="17"/>
      <c r="D9953" s="13"/>
      <c r="E9953" s="11"/>
      <c r="F9953" s="11"/>
      <c r="G9953" s="13">
        <f t="shared" si="1"/>
        <v>1281</v>
      </c>
      <c r="H9953" s="13"/>
    </row>
    <row r="9954" ht="22.5" customHeight="1">
      <c r="B9954" s="17"/>
      <c r="C9954" s="17"/>
      <c r="D9954" s="13"/>
      <c r="E9954" s="11"/>
      <c r="F9954" s="11"/>
      <c r="G9954" s="13">
        <f t="shared" si="1"/>
        <v>1281</v>
      </c>
      <c r="H9954" s="13"/>
    </row>
    <row r="9955" ht="22.5" customHeight="1">
      <c r="B9955" s="17"/>
      <c r="C9955" s="17"/>
      <c r="D9955" s="13"/>
      <c r="E9955" s="11"/>
      <c r="F9955" s="11"/>
      <c r="G9955" s="13">
        <f t="shared" si="1"/>
        <v>1281</v>
      </c>
      <c r="H9955" s="13"/>
    </row>
    <row r="9956" ht="22.5" customHeight="1">
      <c r="B9956" s="17"/>
      <c r="C9956" s="17"/>
      <c r="D9956" s="13"/>
      <c r="E9956" s="11"/>
      <c r="F9956" s="11"/>
      <c r="G9956" s="13">
        <f t="shared" si="1"/>
        <v>1281</v>
      </c>
      <c r="H9956" s="13"/>
    </row>
    <row r="9957" ht="22.5" customHeight="1">
      <c r="B9957" s="17"/>
      <c r="C9957" s="17"/>
      <c r="D9957" s="13"/>
      <c r="E9957" s="11"/>
      <c r="F9957" s="11"/>
      <c r="G9957" s="13">
        <f t="shared" si="1"/>
        <v>1281</v>
      </c>
      <c r="H9957" s="13"/>
    </row>
    <row r="9958" ht="22.5" customHeight="1">
      <c r="B9958" s="17"/>
      <c r="C9958" s="17"/>
      <c r="D9958" s="13"/>
      <c r="E9958" s="11"/>
      <c r="F9958" s="11"/>
      <c r="G9958" s="13">
        <f t="shared" si="1"/>
        <v>1281</v>
      </c>
      <c r="H9958" s="13"/>
    </row>
    <row r="9959" ht="22.5" customHeight="1">
      <c r="B9959" s="17"/>
      <c r="C9959" s="17"/>
      <c r="D9959" s="13"/>
      <c r="E9959" s="11"/>
      <c r="F9959" s="11"/>
      <c r="G9959" s="13">
        <f t="shared" si="1"/>
        <v>1281</v>
      </c>
      <c r="H9959" s="13"/>
    </row>
    <row r="9960" ht="22.5" customHeight="1">
      <c r="B9960" s="17"/>
      <c r="C9960" s="17"/>
      <c r="D9960" s="13"/>
      <c r="E9960" s="11"/>
      <c r="F9960" s="11"/>
      <c r="G9960" s="13">
        <f t="shared" si="1"/>
        <v>1281</v>
      </c>
      <c r="H9960" s="13"/>
    </row>
    <row r="9961" ht="22.5" customHeight="1">
      <c r="B9961" s="17"/>
      <c r="C9961" s="17"/>
      <c r="D9961" s="13"/>
      <c r="E9961" s="11"/>
      <c r="F9961" s="11"/>
      <c r="G9961" s="13">
        <f t="shared" si="1"/>
        <v>1281</v>
      </c>
      <c r="H9961" s="13"/>
    </row>
    <row r="9962" ht="22.5" customHeight="1">
      <c r="B9962" s="17"/>
      <c r="C9962" s="17"/>
      <c r="D9962" s="13"/>
      <c r="E9962" s="11"/>
      <c r="F9962" s="11"/>
      <c r="G9962" s="13">
        <f t="shared" si="1"/>
        <v>1281</v>
      </c>
      <c r="H9962" s="13"/>
    </row>
    <row r="9963" ht="22.5" customHeight="1">
      <c r="B9963" s="17"/>
      <c r="C9963" s="17"/>
      <c r="D9963" s="13"/>
      <c r="E9963" s="11"/>
      <c r="F9963" s="11"/>
      <c r="G9963" s="13">
        <f t="shared" si="1"/>
        <v>1281</v>
      </c>
      <c r="H9963" s="13"/>
    </row>
    <row r="9964" ht="22.5" customHeight="1">
      <c r="B9964" s="17"/>
      <c r="C9964" s="17"/>
      <c r="D9964" s="13"/>
      <c r="E9964" s="11"/>
      <c r="F9964" s="11"/>
      <c r="G9964" s="13">
        <f t="shared" si="1"/>
        <v>1281</v>
      </c>
      <c r="H9964" s="13"/>
    </row>
    <row r="9965" ht="22.5" customHeight="1">
      <c r="B9965" s="17"/>
      <c r="C9965" s="17"/>
      <c r="D9965" s="13"/>
      <c r="E9965" s="11"/>
      <c r="F9965" s="11"/>
      <c r="G9965" s="13">
        <f t="shared" si="1"/>
        <v>1281</v>
      </c>
      <c r="H9965" s="13"/>
    </row>
    <row r="9966" ht="22.5" customHeight="1">
      <c r="B9966" s="17"/>
      <c r="C9966" s="17"/>
      <c r="D9966" s="13"/>
      <c r="E9966" s="11"/>
      <c r="F9966" s="11"/>
      <c r="G9966" s="13">
        <f t="shared" si="1"/>
        <v>1281</v>
      </c>
      <c r="H9966" s="13"/>
    </row>
    <row r="9967" ht="22.5" customHeight="1">
      <c r="B9967" s="17"/>
      <c r="C9967" s="17"/>
      <c r="D9967" s="13"/>
      <c r="E9967" s="11"/>
      <c r="F9967" s="11"/>
      <c r="G9967" s="13">
        <f t="shared" si="1"/>
        <v>1281</v>
      </c>
      <c r="H9967" s="13"/>
    </row>
    <row r="9968" ht="22.5" customHeight="1">
      <c r="B9968" s="17"/>
      <c r="C9968" s="17"/>
      <c r="D9968" s="13"/>
      <c r="E9968" s="11"/>
      <c r="F9968" s="11"/>
      <c r="G9968" s="13">
        <f t="shared" si="1"/>
        <v>1281</v>
      </c>
      <c r="H9968" s="13"/>
    </row>
    <row r="9969" ht="22.5" customHeight="1">
      <c r="B9969" s="17"/>
      <c r="C9969" s="17"/>
      <c r="D9969" s="13"/>
      <c r="E9969" s="11"/>
      <c r="F9969" s="11"/>
      <c r="G9969" s="13">
        <f t="shared" si="1"/>
        <v>1281</v>
      </c>
      <c r="H9969" s="13"/>
    </row>
    <row r="9970" ht="22.5" customHeight="1">
      <c r="B9970" s="17"/>
      <c r="C9970" s="17"/>
      <c r="D9970" s="13"/>
      <c r="E9970" s="11"/>
      <c r="F9970" s="11"/>
      <c r="G9970" s="13">
        <f t="shared" si="1"/>
        <v>1281</v>
      </c>
      <c r="H9970" s="13"/>
    </row>
    <row r="9971" ht="22.5" customHeight="1">
      <c r="B9971" s="17"/>
      <c r="C9971" s="17"/>
      <c r="D9971" s="13"/>
      <c r="E9971" s="11"/>
      <c r="F9971" s="11"/>
      <c r="G9971" s="13">
        <f t="shared" si="1"/>
        <v>1281</v>
      </c>
      <c r="H9971" s="13"/>
    </row>
    <row r="9972" ht="22.5" customHeight="1">
      <c r="B9972" s="17"/>
      <c r="C9972" s="17"/>
      <c r="D9972" s="13"/>
      <c r="E9972" s="11"/>
      <c r="F9972" s="11"/>
      <c r="G9972" s="13">
        <f t="shared" si="1"/>
        <v>1281</v>
      </c>
      <c r="H9972" s="13"/>
    </row>
    <row r="9973" ht="22.5" customHeight="1">
      <c r="B9973" s="17"/>
      <c r="C9973" s="17"/>
      <c r="D9973" s="13"/>
      <c r="E9973" s="11"/>
      <c r="F9973" s="11"/>
      <c r="G9973" s="13">
        <f t="shared" si="1"/>
        <v>1281</v>
      </c>
      <c r="H9973" s="13"/>
    </row>
    <row r="9974" ht="22.5" customHeight="1">
      <c r="B9974" s="17"/>
      <c r="C9974" s="17"/>
      <c r="D9974" s="13"/>
      <c r="E9974" s="11"/>
      <c r="F9974" s="11"/>
      <c r="G9974" s="13">
        <f t="shared" si="1"/>
        <v>1281</v>
      </c>
      <c r="H9974" s="13"/>
    </row>
    <row r="9975" ht="22.5" customHeight="1">
      <c r="B9975" s="17"/>
      <c r="C9975" s="17"/>
      <c r="D9975" s="13"/>
      <c r="E9975" s="11"/>
      <c r="F9975" s="11"/>
      <c r="G9975" s="13">
        <f t="shared" si="1"/>
        <v>1281</v>
      </c>
      <c r="H9975" s="13"/>
    </row>
    <row r="9976" ht="22.5" customHeight="1">
      <c r="B9976" s="17"/>
      <c r="C9976" s="17"/>
      <c r="D9976" s="13"/>
      <c r="E9976" s="11"/>
      <c r="F9976" s="11"/>
      <c r="G9976" s="13">
        <f t="shared" si="1"/>
        <v>1281</v>
      </c>
      <c r="H9976" s="13"/>
    </row>
    <row r="9977" ht="22.5" customHeight="1">
      <c r="B9977" s="17"/>
      <c r="C9977" s="17"/>
      <c r="D9977" s="13"/>
      <c r="E9977" s="11"/>
      <c r="F9977" s="11"/>
      <c r="G9977" s="13">
        <f t="shared" si="1"/>
        <v>1281</v>
      </c>
      <c r="H9977" s="13"/>
    </row>
    <row r="9978" ht="22.5" customHeight="1">
      <c r="B9978" s="17"/>
      <c r="C9978" s="17"/>
      <c r="D9978" s="13"/>
      <c r="E9978" s="11"/>
      <c r="F9978" s="11"/>
      <c r="G9978" s="13">
        <f t="shared" si="1"/>
        <v>1281</v>
      </c>
      <c r="H9978" s="13"/>
    </row>
    <row r="9979" ht="22.5" customHeight="1">
      <c r="B9979" s="17"/>
      <c r="C9979" s="17"/>
      <c r="D9979" s="13"/>
      <c r="E9979" s="11"/>
      <c r="F9979" s="11"/>
      <c r="G9979" s="13">
        <f t="shared" si="1"/>
        <v>1281</v>
      </c>
      <c r="H9979" s="13"/>
    </row>
    <row r="9980" ht="22.5" customHeight="1">
      <c r="B9980" s="17"/>
      <c r="C9980" s="17"/>
      <c r="D9980" s="13"/>
      <c r="E9980" s="11"/>
      <c r="F9980" s="11"/>
      <c r="G9980" s="13">
        <f t="shared" si="1"/>
        <v>1281</v>
      </c>
      <c r="H9980" s="13"/>
    </row>
    <row r="9981" ht="22.5" customHeight="1">
      <c r="B9981" s="17"/>
      <c r="C9981" s="17"/>
      <c r="D9981" s="13"/>
      <c r="E9981" s="11"/>
      <c r="F9981" s="11"/>
      <c r="G9981" s="13">
        <f t="shared" si="1"/>
        <v>1281</v>
      </c>
      <c r="H9981" s="13"/>
    </row>
    <row r="9982" ht="22.5" customHeight="1">
      <c r="B9982" s="17"/>
      <c r="C9982" s="17"/>
      <c r="D9982" s="13"/>
      <c r="E9982" s="11"/>
      <c r="F9982" s="11"/>
      <c r="G9982" s="13">
        <f t="shared" si="1"/>
        <v>1281</v>
      </c>
      <c r="H9982" s="13"/>
    </row>
    <row r="9983" ht="22.5" customHeight="1">
      <c r="B9983" s="17"/>
      <c r="C9983" s="17"/>
      <c r="D9983" s="13"/>
      <c r="E9983" s="11"/>
      <c r="F9983" s="11"/>
      <c r="G9983" s="13">
        <f t="shared" si="1"/>
        <v>1281</v>
      </c>
      <c r="H9983" s="13"/>
    </row>
    <row r="9984" ht="22.5" customHeight="1">
      <c r="B9984" s="17"/>
      <c r="C9984" s="17"/>
      <c r="D9984" s="13"/>
      <c r="E9984" s="11"/>
      <c r="F9984" s="11"/>
      <c r="G9984" s="13">
        <f t="shared" si="1"/>
        <v>1281</v>
      </c>
      <c r="H9984" s="13"/>
    </row>
    <row r="9985" ht="22.5" customHeight="1">
      <c r="B9985" s="17"/>
      <c r="C9985" s="17"/>
      <c r="D9985" s="13"/>
      <c r="E9985" s="11"/>
      <c r="F9985" s="11"/>
      <c r="G9985" s="13">
        <f t="shared" si="1"/>
        <v>1281</v>
      </c>
      <c r="H9985" s="13"/>
    </row>
    <row r="9986" ht="22.5" customHeight="1">
      <c r="B9986" s="17"/>
      <c r="C9986" s="17"/>
      <c r="D9986" s="13"/>
      <c r="E9986" s="11"/>
      <c r="F9986" s="11"/>
      <c r="G9986" s="13">
        <f t="shared" si="1"/>
        <v>1281</v>
      </c>
      <c r="H9986" s="13"/>
    </row>
    <row r="9987" ht="22.5" customHeight="1">
      <c r="B9987" s="17"/>
      <c r="C9987" s="17"/>
      <c r="D9987" s="13"/>
      <c r="E9987" s="11"/>
      <c r="F9987" s="11"/>
      <c r="G9987" s="13">
        <f t="shared" si="1"/>
        <v>1281</v>
      </c>
      <c r="H9987" s="13"/>
    </row>
    <row r="9988" ht="22.5" customHeight="1">
      <c r="B9988" s="17"/>
      <c r="C9988" s="17"/>
      <c r="D9988" s="13"/>
      <c r="E9988" s="11"/>
      <c r="F9988" s="11"/>
      <c r="G9988" s="13">
        <f t="shared" si="1"/>
        <v>1281</v>
      </c>
      <c r="H9988" s="13"/>
    </row>
    <row r="9989" ht="22.5" customHeight="1">
      <c r="B9989" s="17"/>
      <c r="C9989" s="17"/>
      <c r="D9989" s="13"/>
      <c r="E9989" s="11"/>
      <c r="F9989" s="11"/>
      <c r="G9989" s="13">
        <f t="shared" si="1"/>
        <v>1281</v>
      </c>
      <c r="H9989" s="13"/>
    </row>
    <row r="9990" ht="22.5" customHeight="1">
      <c r="B9990" s="17"/>
      <c r="C9990" s="17"/>
      <c r="D9990" s="13"/>
      <c r="E9990" s="11"/>
      <c r="F9990" s="11"/>
      <c r="G9990" s="13">
        <f t="shared" si="1"/>
        <v>1281</v>
      </c>
      <c r="H9990" s="13"/>
    </row>
    <row r="9991" ht="22.5" customHeight="1">
      <c r="B9991" s="17"/>
      <c r="C9991" s="17"/>
      <c r="D9991" s="13"/>
      <c r="E9991" s="11"/>
      <c r="F9991" s="11"/>
      <c r="G9991" s="13">
        <f t="shared" si="1"/>
        <v>1281</v>
      </c>
      <c r="H9991" s="13"/>
    </row>
    <row r="9992" ht="22.5" customHeight="1">
      <c r="B9992" s="17"/>
      <c r="C9992" s="17"/>
      <c r="D9992" s="13"/>
      <c r="E9992" s="11"/>
      <c r="F9992" s="11"/>
      <c r="G9992" s="13">
        <f t="shared" si="1"/>
        <v>1281</v>
      </c>
      <c r="H9992" s="13"/>
    </row>
    <row r="9993" ht="22.5" customHeight="1">
      <c r="B9993" s="17"/>
      <c r="C9993" s="17"/>
      <c r="D9993" s="13"/>
      <c r="E9993" s="11"/>
      <c r="F9993" s="11"/>
      <c r="G9993" s="13">
        <f t="shared" si="1"/>
        <v>1281</v>
      </c>
      <c r="H9993" s="13"/>
    </row>
    <row r="9994" ht="22.5" customHeight="1">
      <c r="B9994" s="17"/>
      <c r="C9994" s="17"/>
      <c r="D9994" s="13"/>
      <c r="E9994" s="11"/>
      <c r="F9994" s="11"/>
      <c r="G9994" s="13">
        <f t="shared" si="1"/>
        <v>1281</v>
      </c>
      <c r="H9994" s="13"/>
    </row>
    <row r="9995" ht="22.5" customHeight="1">
      <c r="B9995" s="17"/>
      <c r="C9995" s="17"/>
      <c r="D9995" s="13"/>
      <c r="E9995" s="11"/>
      <c r="F9995" s="11"/>
      <c r="G9995" s="13">
        <f t="shared" si="1"/>
        <v>1281</v>
      </c>
      <c r="H9995" s="13"/>
    </row>
    <row r="9996" ht="22.5" customHeight="1">
      <c r="B9996" s="17"/>
      <c r="C9996" s="17"/>
      <c r="D9996" s="13"/>
      <c r="E9996" s="11"/>
      <c r="F9996" s="11"/>
      <c r="G9996" s="13">
        <f t="shared" si="1"/>
        <v>1281</v>
      </c>
      <c r="H9996" s="13"/>
    </row>
    <row r="9997" ht="22.5" customHeight="1">
      <c r="B9997" s="17"/>
      <c r="C9997" s="17"/>
      <c r="D9997" s="13"/>
      <c r="E9997" s="11"/>
      <c r="F9997" s="11"/>
      <c r="G9997" s="13">
        <f t="shared" si="1"/>
        <v>1281</v>
      </c>
      <c r="H9997" s="13"/>
    </row>
    <row r="9998" ht="22.5" customHeight="1">
      <c r="B9998" s="17"/>
      <c r="C9998" s="17"/>
      <c r="D9998" s="13"/>
      <c r="E9998" s="11"/>
      <c r="F9998" s="11"/>
      <c r="G9998" s="13">
        <f t="shared" si="1"/>
        <v>1281</v>
      </c>
      <c r="H9998" s="13"/>
    </row>
    <row r="9999" ht="22.5" customHeight="1">
      <c r="B9999" s="17"/>
      <c r="C9999" s="17"/>
      <c r="D9999" s="13"/>
      <c r="E9999" s="11"/>
      <c r="F9999" s="11"/>
      <c r="G9999" s="13">
        <f t="shared" si="1"/>
        <v>1281</v>
      </c>
      <c r="H9999" s="13"/>
    </row>
    <row r="10000" ht="22.5" customHeight="1">
      <c r="B10000" s="17"/>
      <c r="C10000" s="17"/>
      <c r="D10000" s="13"/>
      <c r="E10000" s="11"/>
      <c r="F10000" s="11"/>
      <c r="G10000" s="13">
        <f t="shared" si="1"/>
        <v>1281</v>
      </c>
      <c r="H10000" s="13"/>
    </row>
    <row r="10001">
      <c r="B10001" s="36"/>
      <c r="C10001" s="36"/>
      <c r="E10001" s="1"/>
      <c r="F10001" s="1"/>
      <c r="G10001" s="1"/>
    </row>
    <row r="10002">
      <c r="B10002" s="36"/>
      <c r="C10002" s="36"/>
      <c r="E10002" s="1"/>
      <c r="F10002" s="1"/>
      <c r="G10002" s="1"/>
    </row>
    <row r="10003">
      <c r="B10003" s="36"/>
      <c r="C10003" s="36"/>
      <c r="E10003" s="1"/>
      <c r="F10003" s="1"/>
      <c r="G10003" s="1"/>
    </row>
    <row r="10004">
      <c r="B10004" s="36"/>
      <c r="C10004" s="36"/>
      <c r="E10004" s="1"/>
      <c r="F10004" s="1"/>
      <c r="G10004" s="1"/>
    </row>
    <row r="10005">
      <c r="B10005" s="36"/>
      <c r="C10005" s="36"/>
      <c r="E10005" s="1"/>
      <c r="F10005" s="1"/>
      <c r="G10005" s="1"/>
    </row>
    <row r="10006">
      <c r="B10006" s="36"/>
      <c r="C10006" s="36"/>
      <c r="E10006" s="1"/>
      <c r="F10006" s="1"/>
      <c r="G10006" s="1"/>
    </row>
    <row r="10007">
      <c r="B10007" s="36"/>
      <c r="C10007" s="36"/>
      <c r="E10007" s="1"/>
      <c r="F10007" s="1"/>
      <c r="G10007" s="1"/>
    </row>
    <row r="10008">
      <c r="B10008" s="36"/>
      <c r="C10008" s="36"/>
      <c r="E10008" s="1"/>
      <c r="F10008" s="1"/>
      <c r="G10008" s="1"/>
    </row>
    <row r="10009">
      <c r="B10009" s="36"/>
      <c r="C10009" s="36"/>
      <c r="E10009" s="1"/>
      <c r="F10009" s="1"/>
      <c r="G10009" s="1"/>
    </row>
    <row r="10010">
      <c r="B10010" s="36"/>
      <c r="C10010" s="36"/>
      <c r="E10010" s="1"/>
      <c r="F10010" s="1"/>
      <c r="G10010" s="1"/>
    </row>
    <row r="10011">
      <c r="B10011" s="36"/>
      <c r="C10011" s="36"/>
      <c r="E10011" s="1"/>
      <c r="F10011" s="1"/>
      <c r="G10011" s="1"/>
    </row>
    <row r="10012">
      <c r="B10012" s="36"/>
      <c r="C10012" s="36"/>
      <c r="E10012" s="1"/>
      <c r="F10012" s="1"/>
      <c r="G10012" s="1"/>
    </row>
    <row r="10013">
      <c r="B10013" s="36"/>
      <c r="C10013" s="36"/>
      <c r="E10013" s="1"/>
      <c r="F10013" s="1"/>
      <c r="G10013" s="1"/>
    </row>
    <row r="10014">
      <c r="B10014" s="36"/>
      <c r="C10014" s="36"/>
      <c r="E10014" s="1"/>
      <c r="F10014" s="1"/>
      <c r="G10014" s="1"/>
    </row>
    <row r="10015">
      <c r="B10015" s="36"/>
      <c r="C10015" s="36"/>
      <c r="E10015" s="1"/>
      <c r="F10015" s="1"/>
      <c r="G10015" s="1"/>
    </row>
    <row r="10016">
      <c r="B10016" s="36"/>
      <c r="C10016" s="36"/>
      <c r="E10016" s="1"/>
      <c r="F10016" s="1"/>
      <c r="G10016" s="1"/>
    </row>
    <row r="10017">
      <c r="B10017" s="36"/>
      <c r="C10017" s="36"/>
      <c r="E10017" s="1"/>
      <c r="F10017" s="1"/>
      <c r="G10017" s="1"/>
    </row>
    <row r="10018">
      <c r="B10018" s="36"/>
      <c r="C10018" s="36"/>
      <c r="E10018" s="1"/>
      <c r="F10018" s="1"/>
      <c r="G10018" s="1"/>
    </row>
    <row r="10019">
      <c r="B10019" s="36"/>
      <c r="C10019" s="36"/>
      <c r="E10019" s="1"/>
      <c r="F10019" s="1"/>
      <c r="G10019" s="1"/>
    </row>
    <row r="10020">
      <c r="B10020" s="36"/>
      <c r="C10020" s="36"/>
      <c r="E10020" s="1"/>
      <c r="F10020" s="1"/>
      <c r="G10020" s="1"/>
    </row>
    <row r="10021">
      <c r="B10021" s="36"/>
      <c r="C10021" s="36"/>
      <c r="E10021" s="1"/>
      <c r="F10021" s="1"/>
      <c r="G10021" s="1"/>
    </row>
    <row r="10022">
      <c r="B10022" s="36"/>
      <c r="C10022" s="36"/>
      <c r="E10022" s="1"/>
      <c r="F10022" s="1"/>
      <c r="G10022" s="1"/>
    </row>
    <row r="10023">
      <c r="B10023" s="36"/>
      <c r="C10023" s="36"/>
      <c r="E10023" s="1"/>
      <c r="F10023" s="1"/>
      <c r="G10023" s="1"/>
    </row>
    <row r="10024">
      <c r="B10024" s="36"/>
      <c r="C10024" s="36"/>
      <c r="E10024" s="1"/>
      <c r="F10024" s="1"/>
      <c r="G10024" s="1"/>
    </row>
    <row r="10025">
      <c r="B10025" s="36"/>
      <c r="C10025" s="36"/>
      <c r="E10025" s="1"/>
      <c r="F10025" s="1"/>
      <c r="G10025" s="1"/>
    </row>
    <row r="10026">
      <c r="B10026" s="36"/>
      <c r="C10026" s="36"/>
      <c r="E10026" s="1"/>
      <c r="F10026" s="1"/>
      <c r="G10026" s="1"/>
    </row>
    <row r="10027">
      <c r="B10027" s="36"/>
      <c r="C10027" s="36"/>
      <c r="E10027" s="1"/>
      <c r="F10027" s="1"/>
      <c r="G10027" s="1"/>
    </row>
    <row r="10028">
      <c r="B10028" s="36"/>
      <c r="C10028" s="36"/>
      <c r="E10028" s="1"/>
      <c r="F10028" s="1"/>
      <c r="G10028" s="1"/>
    </row>
    <row r="10029">
      <c r="B10029" s="36"/>
      <c r="C10029" s="36"/>
      <c r="E10029" s="1"/>
      <c r="F10029" s="1"/>
      <c r="G10029" s="1"/>
    </row>
    <row r="10030">
      <c r="B10030" s="36"/>
      <c r="C10030" s="36"/>
      <c r="E10030" s="1"/>
      <c r="F10030" s="1"/>
      <c r="G10030" s="1"/>
    </row>
    <row r="10031">
      <c r="B10031" s="36"/>
      <c r="C10031" s="36"/>
      <c r="E10031" s="1"/>
      <c r="F10031" s="1"/>
      <c r="G10031" s="1"/>
    </row>
    <row r="10032">
      <c r="B10032" s="36"/>
      <c r="C10032" s="36"/>
      <c r="E10032" s="1"/>
      <c r="F10032" s="1"/>
      <c r="G10032" s="1"/>
    </row>
    <row r="10033">
      <c r="B10033" s="36"/>
      <c r="C10033" s="36"/>
      <c r="E10033" s="1"/>
      <c r="F10033" s="1"/>
      <c r="G10033" s="1"/>
    </row>
    <row r="10034">
      <c r="B10034" s="36"/>
      <c r="C10034" s="36"/>
      <c r="E10034" s="1"/>
      <c r="F10034" s="1"/>
      <c r="G10034" s="1"/>
    </row>
    <row r="10035">
      <c r="B10035" s="36"/>
      <c r="C10035" s="36"/>
      <c r="E10035" s="1"/>
      <c r="F10035" s="1"/>
      <c r="G10035" s="1"/>
    </row>
    <row r="10036">
      <c r="B10036" s="36"/>
      <c r="C10036" s="36"/>
      <c r="E10036" s="1"/>
      <c r="F10036" s="1"/>
      <c r="G10036" s="1"/>
    </row>
    <row r="10037">
      <c r="B10037" s="36"/>
      <c r="C10037" s="36"/>
      <c r="E10037" s="1"/>
      <c r="F10037" s="1"/>
      <c r="G10037" s="1"/>
    </row>
    <row r="10038">
      <c r="B10038" s="36"/>
      <c r="C10038" s="36"/>
      <c r="E10038" s="1"/>
      <c r="F10038" s="1"/>
      <c r="G10038" s="1"/>
    </row>
    <row r="10039">
      <c r="B10039" s="36"/>
      <c r="C10039" s="36"/>
      <c r="E10039" s="1"/>
      <c r="F10039" s="1"/>
      <c r="G10039" s="1"/>
    </row>
    <row r="10040">
      <c r="B10040" s="36"/>
      <c r="C10040" s="36"/>
      <c r="E10040" s="1"/>
      <c r="F10040" s="1"/>
      <c r="G10040" s="1"/>
    </row>
    <row r="10041">
      <c r="B10041" s="36"/>
      <c r="C10041" s="36"/>
      <c r="E10041" s="1"/>
      <c r="F10041" s="1"/>
      <c r="G10041" s="1"/>
    </row>
    <row r="10042">
      <c r="B10042" s="36"/>
      <c r="C10042" s="36"/>
      <c r="E10042" s="1"/>
      <c r="F10042" s="1"/>
      <c r="G10042" s="1"/>
    </row>
    <row r="10043">
      <c r="B10043" s="36"/>
      <c r="C10043" s="36"/>
      <c r="E10043" s="1"/>
      <c r="F10043" s="1"/>
      <c r="G10043" s="1"/>
    </row>
    <row r="10044">
      <c r="B10044" s="36"/>
      <c r="C10044" s="36"/>
      <c r="E10044" s="1"/>
      <c r="F10044" s="1"/>
      <c r="G10044" s="1"/>
    </row>
    <row r="10045">
      <c r="B10045" s="36"/>
      <c r="C10045" s="36"/>
      <c r="E10045" s="1"/>
      <c r="F10045" s="1"/>
      <c r="G10045" s="1"/>
    </row>
    <row r="10046">
      <c r="B10046" s="36"/>
      <c r="C10046" s="36"/>
      <c r="E10046" s="1"/>
      <c r="F10046" s="1"/>
      <c r="G10046" s="1"/>
    </row>
    <row r="10047">
      <c r="B10047" s="36"/>
      <c r="C10047" s="36"/>
      <c r="E10047" s="1"/>
      <c r="F10047" s="1"/>
      <c r="G10047" s="1"/>
    </row>
    <row r="10048">
      <c r="B10048" s="36"/>
      <c r="C10048" s="36"/>
      <c r="E10048" s="1"/>
      <c r="F10048" s="1"/>
      <c r="G10048" s="1"/>
    </row>
    <row r="10049">
      <c r="B10049" s="36"/>
      <c r="C10049" s="36"/>
      <c r="E10049" s="1"/>
      <c r="F10049" s="1"/>
      <c r="G10049" s="1"/>
    </row>
    <row r="10050">
      <c r="B10050" s="36"/>
      <c r="C10050" s="36"/>
      <c r="E10050" s="1"/>
      <c r="F10050" s="1"/>
      <c r="G10050" s="1"/>
    </row>
    <row r="10051">
      <c r="B10051" s="36"/>
      <c r="C10051" s="36"/>
      <c r="E10051" s="1"/>
      <c r="F10051" s="1"/>
      <c r="G10051" s="1"/>
    </row>
    <row r="10052">
      <c r="B10052" s="36"/>
      <c r="C10052" s="36"/>
      <c r="E10052" s="1"/>
      <c r="F10052" s="1"/>
      <c r="G10052" s="1"/>
    </row>
    <row r="10053">
      <c r="B10053" s="36"/>
      <c r="C10053" s="36"/>
      <c r="E10053" s="1"/>
      <c r="F10053" s="1"/>
      <c r="G10053" s="1"/>
    </row>
    <row r="10054">
      <c r="B10054" s="36"/>
      <c r="C10054" s="36"/>
      <c r="E10054" s="1"/>
      <c r="F10054" s="1"/>
      <c r="G10054" s="1"/>
    </row>
    <row r="10055">
      <c r="B10055" s="36"/>
      <c r="C10055" s="36"/>
      <c r="E10055" s="1"/>
      <c r="F10055" s="1"/>
      <c r="G10055" s="1"/>
    </row>
    <row r="10056">
      <c r="B10056" s="36"/>
      <c r="C10056" s="36"/>
      <c r="E10056" s="1"/>
      <c r="F10056" s="1"/>
      <c r="G10056" s="1"/>
    </row>
    <row r="10057">
      <c r="B10057" s="36"/>
      <c r="C10057" s="36"/>
      <c r="E10057" s="1"/>
      <c r="F10057" s="1"/>
      <c r="G10057" s="1"/>
    </row>
    <row r="10058">
      <c r="B10058" s="36"/>
      <c r="C10058" s="36"/>
      <c r="E10058" s="1"/>
      <c r="F10058" s="1"/>
      <c r="G10058" s="1"/>
    </row>
    <row r="10059">
      <c r="B10059" s="36"/>
      <c r="C10059" s="36"/>
      <c r="E10059" s="1"/>
      <c r="F10059" s="1"/>
      <c r="G10059" s="1"/>
    </row>
    <row r="10060">
      <c r="B10060" s="36"/>
      <c r="C10060" s="36"/>
      <c r="E10060" s="1"/>
      <c r="F10060" s="1"/>
      <c r="G10060" s="1"/>
    </row>
    <row r="10061">
      <c r="B10061" s="36"/>
      <c r="C10061" s="36"/>
      <c r="E10061" s="1"/>
      <c r="F10061" s="1"/>
      <c r="G10061" s="1"/>
    </row>
    <row r="10062">
      <c r="B10062" s="36"/>
      <c r="C10062" s="36"/>
      <c r="E10062" s="1"/>
      <c r="F10062" s="1"/>
      <c r="G10062" s="1"/>
    </row>
    <row r="10063">
      <c r="B10063" s="36"/>
      <c r="C10063" s="36"/>
      <c r="E10063" s="1"/>
      <c r="F10063" s="1"/>
      <c r="G10063" s="1"/>
    </row>
    <row r="10064">
      <c r="B10064" s="36"/>
      <c r="C10064" s="36"/>
      <c r="E10064" s="1"/>
      <c r="F10064" s="1"/>
      <c r="G10064" s="1"/>
    </row>
    <row r="10065">
      <c r="B10065" s="36"/>
      <c r="C10065" s="36"/>
      <c r="E10065" s="1"/>
      <c r="F10065" s="1"/>
      <c r="G10065" s="1"/>
    </row>
    <row r="10066">
      <c r="B10066" s="36"/>
      <c r="C10066" s="36"/>
      <c r="E10066" s="1"/>
      <c r="F10066" s="1"/>
      <c r="G10066" s="1"/>
    </row>
    <row r="10067">
      <c r="B10067" s="36"/>
      <c r="C10067" s="36"/>
      <c r="E10067" s="1"/>
      <c r="F10067" s="1"/>
      <c r="G10067" s="1"/>
    </row>
    <row r="10068">
      <c r="B10068" s="36"/>
      <c r="C10068" s="36"/>
      <c r="E10068" s="1"/>
      <c r="F10068" s="1"/>
      <c r="G10068" s="1"/>
    </row>
    <row r="10069">
      <c r="B10069" s="36"/>
      <c r="C10069" s="36"/>
      <c r="E10069" s="1"/>
      <c r="F10069" s="1"/>
      <c r="G10069" s="1"/>
    </row>
    <row r="10070">
      <c r="B10070" s="36"/>
      <c r="C10070" s="36"/>
      <c r="E10070" s="1"/>
      <c r="F10070" s="1"/>
      <c r="G10070" s="1"/>
    </row>
    <row r="10071">
      <c r="B10071" s="36"/>
      <c r="C10071" s="36"/>
      <c r="E10071" s="1"/>
      <c r="F10071" s="1"/>
      <c r="G10071" s="1"/>
    </row>
    <row r="10072">
      <c r="B10072" s="36"/>
      <c r="C10072" s="36"/>
      <c r="E10072" s="1"/>
      <c r="F10072" s="1"/>
      <c r="G10072" s="1"/>
    </row>
    <row r="10073">
      <c r="B10073" s="36"/>
      <c r="C10073" s="36"/>
      <c r="E10073" s="1"/>
      <c r="F10073" s="1"/>
      <c r="G10073" s="1"/>
    </row>
    <row r="10074">
      <c r="B10074" s="36"/>
      <c r="C10074" s="36"/>
      <c r="E10074" s="1"/>
      <c r="F10074" s="1"/>
      <c r="G10074" s="1"/>
    </row>
    <row r="10075">
      <c r="B10075" s="36"/>
      <c r="C10075" s="36"/>
      <c r="E10075" s="1"/>
      <c r="F10075" s="1"/>
      <c r="G10075" s="1"/>
    </row>
    <row r="10076">
      <c r="B10076" s="36"/>
      <c r="C10076" s="36"/>
      <c r="E10076" s="1"/>
      <c r="F10076" s="1"/>
      <c r="G10076" s="1"/>
    </row>
    <row r="10077">
      <c r="B10077" s="36"/>
      <c r="C10077" s="36"/>
      <c r="E10077" s="1"/>
      <c r="F10077" s="1"/>
      <c r="G10077" s="1"/>
    </row>
    <row r="10078">
      <c r="B10078" s="36"/>
      <c r="C10078" s="36"/>
      <c r="E10078" s="1"/>
      <c r="F10078" s="1"/>
      <c r="G10078" s="1"/>
    </row>
    <row r="10079">
      <c r="B10079" s="36"/>
      <c r="C10079" s="36"/>
      <c r="E10079" s="1"/>
      <c r="F10079" s="1"/>
      <c r="G10079" s="1"/>
    </row>
    <row r="10080">
      <c r="B10080" s="36"/>
      <c r="C10080" s="36"/>
      <c r="E10080" s="1"/>
      <c r="F10080" s="1"/>
      <c r="G10080" s="1"/>
    </row>
    <row r="10081">
      <c r="B10081" s="36"/>
      <c r="C10081" s="36"/>
      <c r="E10081" s="1"/>
      <c r="F10081" s="1"/>
      <c r="G10081" s="1"/>
    </row>
    <row r="10082">
      <c r="B10082" s="36"/>
      <c r="C10082" s="36"/>
      <c r="E10082" s="1"/>
      <c r="F10082" s="1"/>
      <c r="G10082" s="1"/>
    </row>
    <row r="10083">
      <c r="B10083" s="36"/>
      <c r="C10083" s="36"/>
      <c r="E10083" s="1"/>
      <c r="F10083" s="1"/>
      <c r="G10083" s="1"/>
    </row>
    <row r="10084">
      <c r="B10084" s="36"/>
      <c r="C10084" s="36"/>
      <c r="E10084" s="1"/>
      <c r="F10084" s="1"/>
      <c r="G10084" s="1"/>
    </row>
    <row r="10085">
      <c r="B10085" s="36"/>
      <c r="C10085" s="36"/>
      <c r="E10085" s="1"/>
      <c r="F10085" s="1"/>
      <c r="G10085" s="1"/>
    </row>
    <row r="10086">
      <c r="B10086" s="36"/>
      <c r="C10086" s="36"/>
      <c r="E10086" s="1"/>
      <c r="F10086" s="1"/>
      <c r="G10086" s="1"/>
    </row>
    <row r="10087">
      <c r="B10087" s="36"/>
      <c r="C10087" s="36"/>
      <c r="E10087" s="1"/>
      <c r="F10087" s="1"/>
      <c r="G10087" s="1"/>
    </row>
    <row r="10088">
      <c r="B10088" s="36"/>
      <c r="C10088" s="36"/>
      <c r="E10088" s="1"/>
      <c r="F10088" s="1"/>
      <c r="G10088" s="1"/>
    </row>
    <row r="10089">
      <c r="B10089" s="36"/>
      <c r="C10089" s="36"/>
      <c r="E10089" s="1"/>
      <c r="F10089" s="1"/>
      <c r="G10089" s="1"/>
    </row>
    <row r="10090">
      <c r="B10090" s="36"/>
      <c r="C10090" s="36"/>
      <c r="E10090" s="1"/>
      <c r="F10090" s="1"/>
      <c r="G10090" s="1"/>
    </row>
    <row r="10091">
      <c r="B10091" s="36"/>
      <c r="C10091" s="36"/>
      <c r="E10091" s="1"/>
      <c r="F10091" s="1"/>
      <c r="G10091" s="1"/>
    </row>
    <row r="10092">
      <c r="B10092" s="36"/>
      <c r="C10092" s="36"/>
      <c r="E10092" s="1"/>
      <c r="F10092" s="1"/>
      <c r="G10092" s="1"/>
    </row>
    <row r="10093">
      <c r="B10093" s="36"/>
      <c r="C10093" s="36"/>
      <c r="E10093" s="1"/>
      <c r="F10093" s="1"/>
      <c r="G10093" s="1"/>
    </row>
    <row r="10094">
      <c r="B10094" s="36"/>
      <c r="C10094" s="36"/>
      <c r="E10094" s="1"/>
      <c r="F10094" s="1"/>
      <c r="G10094" s="1"/>
    </row>
    <row r="10095">
      <c r="B10095" s="36"/>
      <c r="C10095" s="36"/>
      <c r="E10095" s="1"/>
      <c r="F10095" s="1"/>
      <c r="G10095" s="1"/>
    </row>
    <row r="10096">
      <c r="B10096" s="36"/>
      <c r="C10096" s="36"/>
      <c r="E10096" s="1"/>
      <c r="F10096" s="1"/>
      <c r="G10096" s="1"/>
    </row>
    <row r="10097">
      <c r="B10097" s="36"/>
      <c r="C10097" s="36"/>
      <c r="E10097" s="1"/>
      <c r="F10097" s="1"/>
      <c r="G10097" s="1"/>
    </row>
    <row r="10098">
      <c r="B10098" s="36"/>
      <c r="C10098" s="36"/>
      <c r="E10098" s="1"/>
      <c r="F10098" s="1"/>
      <c r="G10098" s="1"/>
    </row>
    <row r="10099">
      <c r="B10099" s="36"/>
      <c r="C10099" s="36"/>
      <c r="E10099" s="1"/>
      <c r="F10099" s="1"/>
      <c r="G10099" s="1"/>
    </row>
    <row r="10100">
      <c r="B10100" s="36"/>
      <c r="C10100" s="36"/>
      <c r="E10100" s="1"/>
      <c r="F10100" s="1"/>
      <c r="G10100" s="1"/>
    </row>
    <row r="10101">
      <c r="B10101" s="36"/>
      <c r="C10101" s="36"/>
      <c r="E10101" s="1"/>
      <c r="F10101" s="1"/>
      <c r="G10101" s="1"/>
    </row>
    <row r="10102">
      <c r="B10102" s="36"/>
      <c r="C10102" s="36"/>
      <c r="E10102" s="1"/>
      <c r="F10102" s="1"/>
      <c r="G10102" s="1"/>
    </row>
    <row r="10103">
      <c r="B10103" s="36"/>
      <c r="C10103" s="36"/>
      <c r="E10103" s="1"/>
      <c r="F10103" s="1"/>
      <c r="G10103" s="1"/>
    </row>
    <row r="10104">
      <c r="B10104" s="36"/>
      <c r="C10104" s="36"/>
      <c r="E10104" s="1"/>
      <c r="F10104" s="1"/>
      <c r="G10104" s="1"/>
    </row>
    <row r="10105">
      <c r="B10105" s="36"/>
      <c r="C10105" s="36"/>
      <c r="E10105" s="1"/>
      <c r="F10105" s="1"/>
      <c r="G10105" s="1"/>
    </row>
    <row r="10106">
      <c r="B10106" s="36"/>
      <c r="C10106" s="36"/>
      <c r="E10106" s="1"/>
      <c r="F10106" s="1"/>
      <c r="G10106" s="1"/>
    </row>
    <row r="10107">
      <c r="B10107" s="36"/>
      <c r="C10107" s="36"/>
      <c r="E10107" s="1"/>
      <c r="F10107" s="1"/>
      <c r="G10107" s="1"/>
    </row>
    <row r="10108">
      <c r="B10108" s="36"/>
      <c r="C10108" s="36"/>
      <c r="E10108" s="1"/>
      <c r="F10108" s="1"/>
      <c r="G10108" s="1"/>
    </row>
    <row r="10109">
      <c r="B10109" s="36"/>
      <c r="C10109" s="36"/>
      <c r="E10109" s="1"/>
      <c r="F10109" s="1"/>
      <c r="G10109" s="1"/>
    </row>
    <row r="10110">
      <c r="B10110" s="36"/>
      <c r="C10110" s="36"/>
      <c r="E10110" s="1"/>
      <c r="F10110" s="1"/>
      <c r="G10110" s="1"/>
    </row>
    <row r="10111">
      <c r="B10111" s="36"/>
      <c r="C10111" s="36"/>
      <c r="E10111" s="1"/>
      <c r="F10111" s="1"/>
      <c r="G10111" s="1"/>
    </row>
    <row r="10112">
      <c r="B10112" s="36"/>
      <c r="C10112" s="36"/>
      <c r="E10112" s="1"/>
      <c r="F10112" s="1"/>
      <c r="G10112" s="1"/>
    </row>
    <row r="10113">
      <c r="B10113" s="36"/>
      <c r="C10113" s="36"/>
      <c r="E10113" s="1"/>
      <c r="F10113" s="1"/>
      <c r="G10113" s="1"/>
    </row>
    <row r="10114">
      <c r="B10114" s="36"/>
      <c r="C10114" s="36"/>
      <c r="E10114" s="1"/>
      <c r="F10114" s="1"/>
      <c r="G10114" s="1"/>
    </row>
    <row r="10115">
      <c r="B10115" s="36"/>
      <c r="C10115" s="36"/>
      <c r="E10115" s="1"/>
      <c r="F10115" s="1"/>
      <c r="G10115" s="1"/>
    </row>
    <row r="10116">
      <c r="B10116" s="36"/>
      <c r="C10116" s="36"/>
      <c r="E10116" s="1"/>
      <c r="F10116" s="1"/>
      <c r="G10116" s="1"/>
    </row>
    <row r="10117">
      <c r="B10117" s="36"/>
      <c r="C10117" s="36"/>
      <c r="E10117" s="1"/>
      <c r="F10117" s="1"/>
      <c r="G10117" s="1"/>
    </row>
    <row r="10118">
      <c r="B10118" s="36"/>
      <c r="C10118" s="36"/>
      <c r="E10118" s="1"/>
      <c r="F10118" s="1"/>
      <c r="G10118" s="1"/>
    </row>
    <row r="10119">
      <c r="B10119" s="36"/>
      <c r="C10119" s="36"/>
      <c r="E10119" s="1"/>
      <c r="F10119" s="1"/>
      <c r="G10119" s="1"/>
    </row>
    <row r="10120">
      <c r="B10120" s="36"/>
      <c r="C10120" s="36"/>
      <c r="E10120" s="1"/>
      <c r="F10120" s="1"/>
      <c r="G10120" s="1"/>
    </row>
    <row r="10121">
      <c r="B10121" s="36"/>
      <c r="C10121" s="36"/>
      <c r="E10121" s="1"/>
      <c r="F10121" s="1"/>
      <c r="G10121" s="1"/>
    </row>
    <row r="10122">
      <c r="B10122" s="36"/>
      <c r="C10122" s="36"/>
      <c r="E10122" s="1"/>
      <c r="F10122" s="1"/>
      <c r="G10122" s="1"/>
    </row>
    <row r="10123">
      <c r="B10123" s="36"/>
      <c r="C10123" s="36"/>
      <c r="E10123" s="1"/>
      <c r="F10123" s="1"/>
      <c r="G10123" s="1"/>
    </row>
    <row r="10124">
      <c r="B10124" s="36"/>
      <c r="C10124" s="36"/>
      <c r="E10124" s="1"/>
      <c r="F10124" s="1"/>
      <c r="G10124" s="1"/>
    </row>
    <row r="10125">
      <c r="B10125" s="36"/>
      <c r="C10125" s="36"/>
      <c r="E10125" s="1"/>
      <c r="F10125" s="1"/>
      <c r="G10125" s="1"/>
    </row>
    <row r="10126">
      <c r="B10126" s="36"/>
      <c r="C10126" s="36"/>
      <c r="E10126" s="1"/>
      <c r="F10126" s="1"/>
      <c r="G10126" s="1"/>
    </row>
    <row r="10127">
      <c r="B10127" s="36"/>
      <c r="C10127" s="36"/>
      <c r="E10127" s="1"/>
      <c r="F10127" s="1"/>
      <c r="G10127" s="1"/>
    </row>
    <row r="10128">
      <c r="B10128" s="36"/>
      <c r="C10128" s="36"/>
      <c r="E10128" s="1"/>
      <c r="F10128" s="1"/>
      <c r="G10128" s="1"/>
    </row>
    <row r="10129">
      <c r="B10129" s="36"/>
      <c r="C10129" s="36"/>
      <c r="E10129" s="1"/>
      <c r="F10129" s="1"/>
      <c r="G10129" s="1"/>
    </row>
    <row r="10130">
      <c r="B10130" s="36"/>
      <c r="C10130" s="36"/>
      <c r="E10130" s="1"/>
      <c r="F10130" s="1"/>
      <c r="G10130" s="1"/>
    </row>
    <row r="10131">
      <c r="B10131" s="36"/>
      <c r="C10131" s="36"/>
      <c r="E10131" s="1"/>
      <c r="F10131" s="1"/>
      <c r="G10131" s="1"/>
    </row>
    <row r="10132">
      <c r="B10132" s="36"/>
      <c r="C10132" s="36"/>
      <c r="E10132" s="1"/>
      <c r="F10132" s="1"/>
      <c r="G10132" s="1"/>
    </row>
    <row r="10133">
      <c r="B10133" s="36"/>
      <c r="C10133" s="36"/>
      <c r="E10133" s="1"/>
      <c r="F10133" s="1"/>
      <c r="G10133" s="1"/>
    </row>
    <row r="10134">
      <c r="B10134" s="36"/>
      <c r="C10134" s="36"/>
      <c r="E10134" s="1"/>
      <c r="F10134" s="1"/>
      <c r="G10134" s="1"/>
    </row>
    <row r="10135">
      <c r="B10135" s="36"/>
      <c r="C10135" s="36"/>
      <c r="E10135" s="1"/>
      <c r="F10135" s="1"/>
      <c r="G10135" s="1"/>
    </row>
    <row r="10136">
      <c r="B10136" s="36"/>
      <c r="C10136" s="36"/>
      <c r="E10136" s="1"/>
      <c r="F10136" s="1"/>
      <c r="G10136" s="1"/>
    </row>
    <row r="10137">
      <c r="B10137" s="36"/>
      <c r="C10137" s="36"/>
      <c r="E10137" s="1"/>
      <c r="F10137" s="1"/>
      <c r="G10137" s="1"/>
    </row>
    <row r="10138">
      <c r="B10138" s="36"/>
      <c r="C10138" s="36"/>
      <c r="E10138" s="1"/>
      <c r="F10138" s="1"/>
      <c r="G10138" s="1"/>
    </row>
    <row r="10139">
      <c r="B10139" s="36"/>
      <c r="C10139" s="36"/>
      <c r="E10139" s="1"/>
      <c r="F10139" s="1"/>
      <c r="G10139" s="1"/>
    </row>
    <row r="10140">
      <c r="B10140" s="36"/>
      <c r="C10140" s="36"/>
      <c r="E10140" s="1"/>
      <c r="F10140" s="1"/>
      <c r="G10140" s="1"/>
    </row>
    <row r="10141">
      <c r="B10141" s="36"/>
      <c r="C10141" s="36"/>
      <c r="E10141" s="1"/>
      <c r="F10141" s="1"/>
      <c r="G10141" s="1"/>
    </row>
    <row r="10142">
      <c r="B10142" s="36"/>
      <c r="C10142" s="36"/>
      <c r="E10142" s="1"/>
      <c r="F10142" s="1"/>
      <c r="G10142" s="1"/>
    </row>
    <row r="10143">
      <c r="B10143" s="36"/>
      <c r="C10143" s="36"/>
      <c r="E10143" s="1"/>
      <c r="F10143" s="1"/>
      <c r="G10143" s="1"/>
    </row>
    <row r="10144">
      <c r="B10144" s="36"/>
      <c r="C10144" s="36"/>
      <c r="E10144" s="1"/>
      <c r="F10144" s="1"/>
      <c r="G10144" s="1"/>
    </row>
    <row r="10145">
      <c r="B10145" s="36"/>
      <c r="C10145" s="36"/>
      <c r="E10145" s="1"/>
      <c r="F10145" s="1"/>
      <c r="G10145" s="1"/>
    </row>
    <row r="10146">
      <c r="B10146" s="36"/>
      <c r="C10146" s="36"/>
      <c r="E10146" s="1"/>
      <c r="F10146" s="1"/>
      <c r="G10146" s="1"/>
    </row>
    <row r="10147">
      <c r="B10147" s="36"/>
      <c r="C10147" s="36"/>
      <c r="E10147" s="1"/>
      <c r="F10147" s="1"/>
      <c r="G10147" s="1"/>
    </row>
    <row r="10148">
      <c r="B10148" s="36"/>
      <c r="C10148" s="36"/>
      <c r="E10148" s="1"/>
      <c r="F10148" s="1"/>
      <c r="G10148" s="1"/>
    </row>
    <row r="10149">
      <c r="B10149" s="36"/>
      <c r="C10149" s="36"/>
      <c r="E10149" s="1"/>
      <c r="F10149" s="1"/>
      <c r="G10149" s="1"/>
    </row>
    <row r="10150">
      <c r="B10150" s="36"/>
      <c r="C10150" s="36"/>
      <c r="E10150" s="1"/>
      <c r="F10150" s="1"/>
      <c r="G10150" s="1"/>
    </row>
    <row r="10151">
      <c r="B10151" s="36"/>
      <c r="C10151" s="36"/>
      <c r="E10151" s="1"/>
      <c r="F10151" s="1"/>
      <c r="G10151" s="1"/>
    </row>
    <row r="10152">
      <c r="B10152" s="36"/>
      <c r="C10152" s="36"/>
      <c r="E10152" s="1"/>
      <c r="F10152" s="1"/>
      <c r="G10152" s="1"/>
    </row>
    <row r="10153">
      <c r="B10153" s="36"/>
      <c r="C10153" s="36"/>
      <c r="E10153" s="1"/>
      <c r="F10153" s="1"/>
      <c r="G10153" s="1"/>
    </row>
    <row r="10154">
      <c r="B10154" s="36"/>
      <c r="C10154" s="36"/>
      <c r="E10154" s="1"/>
      <c r="F10154" s="1"/>
      <c r="G10154" s="1"/>
    </row>
    <row r="10155">
      <c r="B10155" s="36"/>
      <c r="C10155" s="36"/>
      <c r="E10155" s="1"/>
      <c r="F10155" s="1"/>
      <c r="G10155" s="1"/>
    </row>
    <row r="10156">
      <c r="B10156" s="36"/>
      <c r="C10156" s="36"/>
      <c r="E10156" s="1"/>
      <c r="F10156" s="1"/>
      <c r="G10156" s="1"/>
    </row>
    <row r="10157">
      <c r="B10157" s="36"/>
      <c r="C10157" s="36"/>
      <c r="E10157" s="1"/>
      <c r="F10157" s="1"/>
      <c r="G10157" s="1"/>
    </row>
    <row r="10158">
      <c r="B10158" s="36"/>
      <c r="C10158" s="36"/>
      <c r="E10158" s="1"/>
      <c r="F10158" s="1"/>
      <c r="G10158" s="1"/>
    </row>
    <row r="10159">
      <c r="B10159" s="36"/>
      <c r="C10159" s="36"/>
      <c r="E10159" s="1"/>
      <c r="F10159" s="1"/>
      <c r="G10159" s="1"/>
    </row>
    <row r="10160">
      <c r="B10160" s="36"/>
      <c r="C10160" s="36"/>
      <c r="E10160" s="1"/>
      <c r="F10160" s="1"/>
      <c r="G10160" s="1"/>
    </row>
    <row r="10161">
      <c r="B10161" s="36"/>
      <c r="C10161" s="36"/>
      <c r="E10161" s="1"/>
      <c r="F10161" s="1"/>
      <c r="G10161" s="1"/>
    </row>
    <row r="10162">
      <c r="B10162" s="36"/>
      <c r="C10162" s="36"/>
      <c r="E10162" s="1"/>
      <c r="F10162" s="1"/>
      <c r="G10162" s="1"/>
    </row>
    <row r="10163">
      <c r="B10163" s="36"/>
      <c r="C10163" s="36"/>
      <c r="E10163" s="1"/>
      <c r="F10163" s="1"/>
      <c r="G10163" s="1"/>
    </row>
    <row r="10164">
      <c r="B10164" s="36"/>
      <c r="C10164" s="36"/>
      <c r="E10164" s="1"/>
      <c r="F10164" s="1"/>
      <c r="G10164" s="1"/>
    </row>
    <row r="10165">
      <c r="B10165" s="36"/>
      <c r="C10165" s="36"/>
      <c r="E10165" s="1"/>
      <c r="F10165" s="1"/>
      <c r="G10165" s="1"/>
    </row>
    <row r="10166">
      <c r="B10166" s="36"/>
      <c r="C10166" s="36"/>
      <c r="E10166" s="1"/>
      <c r="F10166" s="1"/>
      <c r="G10166" s="1"/>
    </row>
    <row r="10167">
      <c r="B10167" s="36"/>
      <c r="C10167" s="36"/>
      <c r="E10167" s="1"/>
      <c r="F10167" s="1"/>
      <c r="G10167" s="1"/>
    </row>
    <row r="10168">
      <c r="B10168" s="36"/>
      <c r="C10168" s="36"/>
      <c r="E10168" s="1"/>
      <c r="F10168" s="1"/>
      <c r="G10168" s="1"/>
    </row>
    <row r="10169">
      <c r="B10169" s="36"/>
      <c r="C10169" s="36"/>
      <c r="E10169" s="1"/>
      <c r="F10169" s="1"/>
      <c r="G10169" s="1"/>
    </row>
    <row r="10170">
      <c r="B10170" s="36"/>
      <c r="C10170" s="36"/>
      <c r="E10170" s="1"/>
      <c r="F10170" s="1"/>
      <c r="G10170" s="1"/>
    </row>
    <row r="10171">
      <c r="B10171" s="36"/>
      <c r="C10171" s="36"/>
      <c r="E10171" s="1"/>
      <c r="F10171" s="1"/>
      <c r="G10171" s="1"/>
    </row>
    <row r="10172">
      <c r="B10172" s="36"/>
      <c r="C10172" s="36"/>
      <c r="E10172" s="1"/>
      <c r="F10172" s="1"/>
      <c r="G10172" s="1"/>
    </row>
    <row r="10173">
      <c r="B10173" s="36"/>
      <c r="C10173" s="36"/>
      <c r="E10173" s="1"/>
      <c r="F10173" s="1"/>
      <c r="G10173" s="1"/>
    </row>
    <row r="10174">
      <c r="B10174" s="36"/>
      <c r="C10174" s="36"/>
      <c r="E10174" s="1"/>
      <c r="F10174" s="1"/>
      <c r="G10174" s="1"/>
    </row>
    <row r="10175">
      <c r="B10175" s="36"/>
      <c r="C10175" s="36"/>
      <c r="E10175" s="1"/>
      <c r="F10175" s="1"/>
      <c r="G10175" s="1"/>
    </row>
    <row r="10176">
      <c r="B10176" s="36"/>
      <c r="C10176" s="36"/>
      <c r="E10176" s="1"/>
      <c r="F10176" s="1"/>
      <c r="G10176" s="1"/>
    </row>
    <row r="10177">
      <c r="B10177" s="36"/>
      <c r="C10177" s="36"/>
      <c r="E10177" s="1"/>
      <c r="F10177" s="1"/>
      <c r="G10177" s="1"/>
    </row>
    <row r="10178">
      <c r="B10178" s="36"/>
      <c r="C10178" s="36"/>
      <c r="E10178" s="1"/>
      <c r="F10178" s="1"/>
      <c r="G10178" s="1"/>
    </row>
    <row r="10179">
      <c r="B10179" s="36"/>
      <c r="C10179" s="36"/>
      <c r="E10179" s="1"/>
      <c r="F10179" s="1"/>
      <c r="G10179" s="1"/>
    </row>
    <row r="10180">
      <c r="B10180" s="36"/>
      <c r="C10180" s="36"/>
      <c r="E10180" s="1"/>
      <c r="F10180" s="1"/>
      <c r="G10180" s="1"/>
    </row>
    <row r="10181">
      <c r="B10181" s="36"/>
      <c r="C10181" s="36"/>
      <c r="E10181" s="1"/>
      <c r="F10181" s="1"/>
      <c r="G10181" s="1"/>
    </row>
    <row r="10182">
      <c r="B10182" s="36"/>
      <c r="C10182" s="36"/>
      <c r="E10182" s="1"/>
      <c r="F10182" s="1"/>
      <c r="G10182" s="1"/>
    </row>
    <row r="10183">
      <c r="B10183" s="36"/>
      <c r="C10183" s="36"/>
      <c r="E10183" s="1"/>
      <c r="F10183" s="1"/>
      <c r="G10183" s="1"/>
    </row>
    <row r="10184">
      <c r="B10184" s="36"/>
      <c r="C10184" s="36"/>
      <c r="E10184" s="1"/>
      <c r="F10184" s="1"/>
      <c r="G10184" s="1"/>
    </row>
    <row r="10185">
      <c r="B10185" s="36"/>
      <c r="C10185" s="36"/>
      <c r="E10185" s="1"/>
      <c r="F10185" s="1"/>
      <c r="G10185" s="1"/>
    </row>
    <row r="10186">
      <c r="B10186" s="36"/>
      <c r="C10186" s="36"/>
      <c r="E10186" s="1"/>
      <c r="F10186" s="1"/>
      <c r="G10186" s="1"/>
    </row>
    <row r="10187">
      <c r="B10187" s="36"/>
      <c r="C10187" s="36"/>
      <c r="E10187" s="1"/>
      <c r="F10187" s="1"/>
      <c r="G10187" s="1"/>
    </row>
    <row r="10188">
      <c r="B10188" s="36"/>
      <c r="C10188" s="36"/>
      <c r="E10188" s="1"/>
      <c r="F10188" s="1"/>
      <c r="G10188" s="1"/>
    </row>
    <row r="10189">
      <c r="B10189" s="36"/>
      <c r="C10189" s="36"/>
      <c r="E10189" s="1"/>
      <c r="F10189" s="1"/>
      <c r="G10189" s="1"/>
    </row>
    <row r="10190">
      <c r="B10190" s="36"/>
      <c r="C10190" s="36"/>
      <c r="E10190" s="1"/>
      <c r="F10190" s="1"/>
      <c r="G10190" s="1"/>
    </row>
    <row r="10191">
      <c r="B10191" s="36"/>
      <c r="C10191" s="36"/>
      <c r="E10191" s="1"/>
      <c r="F10191" s="1"/>
      <c r="G10191" s="1"/>
    </row>
    <row r="10192">
      <c r="B10192" s="36"/>
      <c r="C10192" s="36"/>
      <c r="E10192" s="1"/>
      <c r="F10192" s="1"/>
      <c r="G10192" s="1"/>
    </row>
    <row r="10193">
      <c r="B10193" s="36"/>
      <c r="C10193" s="36"/>
      <c r="E10193" s="1"/>
      <c r="F10193" s="1"/>
      <c r="G10193" s="1"/>
    </row>
    <row r="10194">
      <c r="B10194" s="36"/>
      <c r="C10194" s="36"/>
      <c r="E10194" s="1"/>
      <c r="F10194" s="1"/>
      <c r="G10194" s="1"/>
    </row>
    <row r="10195">
      <c r="B10195" s="36"/>
      <c r="C10195" s="36"/>
      <c r="E10195" s="1"/>
      <c r="F10195" s="1"/>
      <c r="G10195" s="1"/>
    </row>
    <row r="10196">
      <c r="B10196" s="36"/>
      <c r="C10196" s="36"/>
      <c r="E10196" s="1"/>
      <c r="F10196" s="1"/>
      <c r="G10196" s="1"/>
    </row>
    <row r="10197">
      <c r="B10197" s="36"/>
      <c r="C10197" s="36"/>
      <c r="E10197" s="1"/>
      <c r="F10197" s="1"/>
      <c r="G10197" s="1"/>
    </row>
    <row r="10198">
      <c r="B10198" s="36"/>
      <c r="C10198" s="36"/>
      <c r="E10198" s="1"/>
      <c r="F10198" s="1"/>
      <c r="G10198" s="1"/>
    </row>
    <row r="10199">
      <c r="B10199" s="36"/>
      <c r="C10199" s="36"/>
      <c r="E10199" s="1"/>
      <c r="F10199" s="1"/>
      <c r="G10199" s="1"/>
    </row>
    <row r="10200">
      <c r="B10200" s="36"/>
      <c r="C10200" s="36"/>
      <c r="E10200" s="1"/>
      <c r="F10200" s="1"/>
      <c r="G10200" s="1"/>
    </row>
    <row r="10201">
      <c r="B10201" s="36"/>
      <c r="C10201" s="36"/>
      <c r="E10201" s="1"/>
      <c r="F10201" s="1"/>
      <c r="G10201" s="1"/>
    </row>
    <row r="10202">
      <c r="B10202" s="36"/>
      <c r="C10202" s="36"/>
      <c r="E10202" s="1"/>
      <c r="F10202" s="1"/>
      <c r="G10202" s="1"/>
    </row>
    <row r="10203">
      <c r="B10203" s="36"/>
      <c r="C10203" s="36"/>
      <c r="E10203" s="1"/>
      <c r="F10203" s="1"/>
      <c r="G10203" s="1"/>
    </row>
    <row r="10204">
      <c r="B10204" s="36"/>
      <c r="C10204" s="36"/>
      <c r="E10204" s="1"/>
      <c r="F10204" s="1"/>
      <c r="G10204" s="1"/>
    </row>
    <row r="10205">
      <c r="B10205" s="36"/>
      <c r="C10205" s="36"/>
      <c r="E10205" s="1"/>
      <c r="F10205" s="1"/>
      <c r="G10205" s="1"/>
    </row>
    <row r="10206">
      <c r="B10206" s="36"/>
      <c r="C10206" s="36"/>
      <c r="E10206" s="1"/>
      <c r="F10206" s="1"/>
      <c r="G10206" s="1"/>
    </row>
    <row r="10207">
      <c r="B10207" s="36"/>
      <c r="C10207" s="36"/>
      <c r="E10207" s="1"/>
      <c r="F10207" s="1"/>
      <c r="G10207" s="1"/>
    </row>
    <row r="10208">
      <c r="B10208" s="36"/>
      <c r="C10208" s="36"/>
      <c r="E10208" s="1"/>
      <c r="F10208" s="1"/>
      <c r="G10208" s="1"/>
    </row>
    <row r="10209">
      <c r="B10209" s="36"/>
      <c r="C10209" s="36"/>
      <c r="E10209" s="1"/>
      <c r="F10209" s="1"/>
      <c r="G10209" s="1"/>
    </row>
    <row r="10210">
      <c r="B10210" s="36"/>
      <c r="C10210" s="36"/>
      <c r="E10210" s="1"/>
      <c r="F10210" s="1"/>
      <c r="G10210" s="1"/>
    </row>
    <row r="10211">
      <c r="B10211" s="36"/>
      <c r="C10211" s="36"/>
      <c r="E10211" s="1"/>
      <c r="F10211" s="1"/>
      <c r="G10211" s="1"/>
    </row>
    <row r="10212">
      <c r="B10212" s="36"/>
      <c r="C10212" s="36"/>
      <c r="E10212" s="1"/>
      <c r="F10212" s="1"/>
      <c r="G10212" s="1"/>
    </row>
    <row r="10213">
      <c r="B10213" s="36"/>
      <c r="C10213" s="36"/>
      <c r="E10213" s="1"/>
      <c r="F10213" s="1"/>
      <c r="G10213" s="1"/>
    </row>
    <row r="10214">
      <c r="B10214" s="36"/>
      <c r="C10214" s="36"/>
      <c r="E10214" s="1"/>
      <c r="F10214" s="1"/>
      <c r="G10214" s="1"/>
    </row>
    <row r="10215">
      <c r="B10215" s="36"/>
      <c r="C10215" s="36"/>
      <c r="E10215" s="1"/>
      <c r="F10215" s="1"/>
      <c r="G10215" s="1"/>
    </row>
    <row r="10216">
      <c r="B10216" s="36"/>
      <c r="C10216" s="36"/>
      <c r="E10216" s="1"/>
      <c r="F10216" s="1"/>
      <c r="G10216" s="1"/>
    </row>
    <row r="10217">
      <c r="B10217" s="36"/>
      <c r="C10217" s="36"/>
      <c r="E10217" s="1"/>
      <c r="F10217" s="1"/>
      <c r="G10217" s="1"/>
    </row>
    <row r="10218">
      <c r="B10218" s="36"/>
      <c r="C10218" s="36"/>
      <c r="E10218" s="1"/>
      <c r="F10218" s="1"/>
      <c r="G10218" s="1"/>
    </row>
    <row r="10219">
      <c r="B10219" s="36"/>
      <c r="C10219" s="36"/>
      <c r="E10219" s="1"/>
      <c r="F10219" s="1"/>
      <c r="G10219" s="1"/>
    </row>
    <row r="10220">
      <c r="B10220" s="36"/>
      <c r="C10220" s="36"/>
      <c r="E10220" s="1"/>
      <c r="F10220" s="1"/>
      <c r="G10220" s="1"/>
    </row>
    <row r="10221">
      <c r="B10221" s="36"/>
      <c r="C10221" s="36"/>
      <c r="E10221" s="1"/>
      <c r="F10221" s="1"/>
      <c r="G10221" s="1"/>
    </row>
    <row r="10222">
      <c r="B10222" s="36"/>
      <c r="C10222" s="36"/>
      <c r="E10222" s="1"/>
      <c r="F10222" s="1"/>
      <c r="G10222" s="1"/>
    </row>
    <row r="10223">
      <c r="B10223" s="36"/>
      <c r="C10223" s="36"/>
      <c r="E10223" s="1"/>
      <c r="F10223" s="1"/>
      <c r="G10223" s="1"/>
    </row>
    <row r="10224">
      <c r="B10224" s="36"/>
      <c r="C10224" s="36"/>
      <c r="E10224" s="1"/>
      <c r="F10224" s="1"/>
      <c r="G10224" s="1"/>
    </row>
    <row r="10225">
      <c r="B10225" s="36"/>
      <c r="C10225" s="36"/>
      <c r="E10225" s="1"/>
      <c r="F10225" s="1"/>
      <c r="G10225" s="1"/>
    </row>
    <row r="10226">
      <c r="B10226" s="36"/>
      <c r="C10226" s="36"/>
      <c r="E10226" s="1"/>
      <c r="F10226" s="1"/>
      <c r="G10226" s="1"/>
    </row>
    <row r="10227">
      <c r="B10227" s="36"/>
      <c r="C10227" s="36"/>
      <c r="E10227" s="1"/>
      <c r="F10227" s="1"/>
      <c r="G10227" s="1"/>
    </row>
    <row r="10228">
      <c r="B10228" s="36"/>
      <c r="C10228" s="36"/>
      <c r="E10228" s="1"/>
      <c r="F10228" s="1"/>
      <c r="G10228" s="1"/>
    </row>
    <row r="10229">
      <c r="B10229" s="36"/>
      <c r="C10229" s="36"/>
      <c r="E10229" s="1"/>
      <c r="F10229" s="1"/>
      <c r="G10229" s="1"/>
    </row>
    <row r="10230">
      <c r="B10230" s="36"/>
      <c r="C10230" s="36"/>
      <c r="E10230" s="1"/>
      <c r="F10230" s="1"/>
      <c r="G10230" s="1"/>
    </row>
    <row r="10231">
      <c r="B10231" s="36"/>
      <c r="C10231" s="36"/>
      <c r="E10231" s="1"/>
      <c r="F10231" s="1"/>
      <c r="G10231" s="1"/>
    </row>
    <row r="10232">
      <c r="B10232" s="36"/>
      <c r="C10232" s="36"/>
      <c r="E10232" s="1"/>
      <c r="F10232" s="1"/>
      <c r="G10232" s="1"/>
    </row>
    <row r="10233">
      <c r="B10233" s="36"/>
      <c r="C10233" s="36"/>
      <c r="E10233" s="1"/>
      <c r="F10233" s="1"/>
      <c r="G10233" s="1"/>
    </row>
    <row r="10234">
      <c r="B10234" s="36"/>
      <c r="C10234" s="36"/>
      <c r="E10234" s="1"/>
      <c r="F10234" s="1"/>
      <c r="G10234" s="1"/>
    </row>
    <row r="10235">
      <c r="B10235" s="36"/>
      <c r="C10235" s="36"/>
      <c r="E10235" s="1"/>
      <c r="F10235" s="1"/>
      <c r="G10235" s="1"/>
    </row>
    <row r="10236">
      <c r="B10236" s="36"/>
      <c r="C10236" s="36"/>
      <c r="E10236" s="1"/>
      <c r="F10236" s="1"/>
      <c r="G10236" s="1"/>
    </row>
    <row r="10237">
      <c r="B10237" s="36"/>
      <c r="C10237" s="36"/>
      <c r="E10237" s="1"/>
      <c r="F10237" s="1"/>
      <c r="G10237" s="1"/>
    </row>
    <row r="10238">
      <c r="B10238" s="36"/>
      <c r="C10238" s="36"/>
      <c r="E10238" s="1"/>
      <c r="F10238" s="1"/>
      <c r="G10238" s="1"/>
    </row>
    <row r="10239">
      <c r="B10239" s="36"/>
      <c r="C10239" s="36"/>
      <c r="E10239" s="1"/>
      <c r="F10239" s="1"/>
      <c r="G10239" s="1"/>
    </row>
    <row r="10240">
      <c r="B10240" s="36"/>
      <c r="C10240" s="36"/>
      <c r="E10240" s="1"/>
      <c r="F10240" s="1"/>
      <c r="G10240" s="1"/>
    </row>
    <row r="10241">
      <c r="B10241" s="36"/>
      <c r="C10241" s="36"/>
      <c r="E10241" s="1"/>
      <c r="F10241" s="1"/>
      <c r="G10241" s="1"/>
    </row>
    <row r="10242">
      <c r="B10242" s="36"/>
      <c r="C10242" s="36"/>
      <c r="E10242" s="1"/>
      <c r="F10242" s="1"/>
      <c r="G10242" s="1"/>
    </row>
    <row r="10243">
      <c r="B10243" s="36"/>
      <c r="C10243" s="36"/>
      <c r="E10243" s="1"/>
      <c r="F10243" s="1"/>
      <c r="G10243" s="1"/>
    </row>
    <row r="10244">
      <c r="B10244" s="36"/>
      <c r="C10244" s="36"/>
      <c r="E10244" s="1"/>
      <c r="F10244" s="1"/>
      <c r="G10244" s="1"/>
    </row>
    <row r="10245">
      <c r="B10245" s="36"/>
      <c r="C10245" s="36"/>
      <c r="E10245" s="1"/>
      <c r="F10245" s="1"/>
      <c r="G10245" s="1"/>
    </row>
    <row r="10246">
      <c r="B10246" s="36"/>
      <c r="C10246" s="36"/>
      <c r="E10246" s="1"/>
      <c r="F10246" s="1"/>
      <c r="G10246" s="1"/>
    </row>
    <row r="10247">
      <c r="B10247" s="36"/>
      <c r="C10247" s="36"/>
      <c r="E10247" s="1"/>
      <c r="F10247" s="1"/>
      <c r="G10247" s="1"/>
    </row>
    <row r="10248">
      <c r="B10248" s="36"/>
      <c r="C10248" s="36"/>
      <c r="E10248" s="1"/>
      <c r="F10248" s="1"/>
      <c r="G10248" s="1"/>
    </row>
    <row r="10249">
      <c r="B10249" s="36"/>
      <c r="C10249" s="36"/>
      <c r="E10249" s="1"/>
      <c r="F10249" s="1"/>
      <c r="G10249" s="1"/>
    </row>
    <row r="10250">
      <c r="B10250" s="36"/>
      <c r="C10250" s="36"/>
      <c r="E10250" s="1"/>
      <c r="F10250" s="1"/>
      <c r="G10250" s="1"/>
    </row>
    <row r="10251">
      <c r="B10251" s="36"/>
      <c r="C10251" s="36"/>
      <c r="E10251" s="1"/>
      <c r="F10251" s="1"/>
      <c r="G10251" s="1"/>
    </row>
    <row r="10252">
      <c r="B10252" s="36"/>
      <c r="C10252" s="36"/>
      <c r="E10252" s="1"/>
      <c r="F10252" s="1"/>
      <c r="G10252" s="1"/>
    </row>
    <row r="10253">
      <c r="B10253" s="36"/>
      <c r="C10253" s="36"/>
      <c r="E10253" s="1"/>
      <c r="F10253" s="1"/>
      <c r="G10253" s="1"/>
    </row>
    <row r="10254">
      <c r="B10254" s="36"/>
      <c r="C10254" s="36"/>
      <c r="E10254" s="1"/>
      <c r="F10254" s="1"/>
      <c r="G10254" s="1"/>
    </row>
    <row r="10255">
      <c r="B10255" s="36"/>
      <c r="C10255" s="36"/>
      <c r="E10255" s="1"/>
      <c r="F10255" s="1"/>
      <c r="G10255" s="1"/>
    </row>
    <row r="10256">
      <c r="B10256" s="36"/>
      <c r="C10256" s="36"/>
      <c r="E10256" s="1"/>
      <c r="F10256" s="1"/>
      <c r="G10256" s="1"/>
    </row>
    <row r="10257">
      <c r="B10257" s="36"/>
      <c r="C10257" s="36"/>
      <c r="E10257" s="1"/>
      <c r="F10257" s="1"/>
      <c r="G10257" s="1"/>
    </row>
    <row r="10258">
      <c r="B10258" s="36"/>
      <c r="C10258" s="36"/>
      <c r="E10258" s="1"/>
      <c r="F10258" s="1"/>
      <c r="G10258" s="1"/>
    </row>
    <row r="10259">
      <c r="B10259" s="36"/>
      <c r="C10259" s="36"/>
      <c r="E10259" s="1"/>
      <c r="F10259" s="1"/>
      <c r="G10259" s="1"/>
    </row>
    <row r="10260">
      <c r="B10260" s="36"/>
      <c r="C10260" s="36"/>
      <c r="E10260" s="1"/>
      <c r="F10260" s="1"/>
      <c r="G10260" s="1"/>
    </row>
    <row r="10261">
      <c r="B10261" s="36"/>
      <c r="C10261" s="36"/>
      <c r="E10261" s="1"/>
      <c r="F10261" s="1"/>
      <c r="G10261" s="1"/>
    </row>
    <row r="10262">
      <c r="B10262" s="36"/>
      <c r="C10262" s="36"/>
      <c r="E10262" s="1"/>
      <c r="F10262" s="1"/>
      <c r="G10262" s="1"/>
    </row>
    <row r="10263">
      <c r="B10263" s="36"/>
      <c r="C10263" s="36"/>
      <c r="E10263" s="1"/>
      <c r="F10263" s="1"/>
      <c r="G10263" s="1"/>
    </row>
    <row r="10264">
      <c r="B10264" s="36"/>
      <c r="C10264" s="36"/>
      <c r="E10264" s="1"/>
      <c r="F10264" s="1"/>
      <c r="G10264" s="1"/>
    </row>
    <row r="10265">
      <c r="B10265" s="36"/>
      <c r="C10265" s="36"/>
      <c r="E10265" s="1"/>
      <c r="F10265" s="1"/>
      <c r="G10265" s="1"/>
    </row>
    <row r="10266">
      <c r="B10266" s="36"/>
      <c r="C10266" s="36"/>
      <c r="E10266" s="1"/>
      <c r="F10266" s="1"/>
      <c r="G10266" s="1"/>
    </row>
    <row r="10267">
      <c r="B10267" s="36"/>
      <c r="C10267" s="36"/>
      <c r="E10267" s="1"/>
      <c r="F10267" s="1"/>
      <c r="G10267" s="1"/>
    </row>
    <row r="10268">
      <c r="B10268" s="36"/>
      <c r="C10268" s="36"/>
      <c r="E10268" s="1"/>
      <c r="F10268" s="1"/>
      <c r="G10268" s="1"/>
    </row>
    <row r="10269">
      <c r="B10269" s="36"/>
      <c r="C10269" s="36"/>
      <c r="E10269" s="1"/>
      <c r="F10269" s="1"/>
      <c r="G10269" s="1"/>
    </row>
    <row r="10270">
      <c r="B10270" s="36"/>
      <c r="C10270" s="36"/>
      <c r="E10270" s="1"/>
      <c r="F10270" s="1"/>
      <c r="G10270" s="1"/>
    </row>
    <row r="10271">
      <c r="B10271" s="36"/>
      <c r="C10271" s="36"/>
      <c r="E10271" s="1"/>
      <c r="F10271" s="1"/>
      <c r="G10271" s="1"/>
    </row>
    <row r="10272">
      <c r="B10272" s="36"/>
      <c r="C10272" s="36"/>
      <c r="E10272" s="1"/>
      <c r="F10272" s="1"/>
      <c r="G10272" s="1"/>
    </row>
    <row r="10273">
      <c r="B10273" s="36"/>
      <c r="C10273" s="36"/>
      <c r="E10273" s="1"/>
      <c r="F10273" s="1"/>
      <c r="G10273" s="1"/>
    </row>
    <row r="10274">
      <c r="B10274" s="36"/>
      <c r="C10274" s="36"/>
      <c r="E10274" s="1"/>
      <c r="F10274" s="1"/>
      <c r="G10274" s="1"/>
    </row>
    <row r="10275">
      <c r="B10275" s="36"/>
      <c r="C10275" s="36"/>
      <c r="E10275" s="1"/>
      <c r="F10275" s="1"/>
      <c r="G10275" s="1"/>
    </row>
    <row r="10276">
      <c r="B10276" s="36"/>
      <c r="C10276" s="36"/>
      <c r="E10276" s="1"/>
      <c r="F10276" s="1"/>
      <c r="G10276" s="1"/>
    </row>
    <row r="10277">
      <c r="B10277" s="36"/>
      <c r="C10277" s="36"/>
      <c r="E10277" s="1"/>
      <c r="F10277" s="1"/>
      <c r="G10277" s="1"/>
    </row>
    <row r="10278">
      <c r="B10278" s="36"/>
      <c r="C10278" s="36"/>
      <c r="E10278" s="1"/>
      <c r="F10278" s="1"/>
      <c r="G10278" s="1"/>
    </row>
    <row r="10279">
      <c r="B10279" s="36"/>
      <c r="C10279" s="36"/>
      <c r="E10279" s="1"/>
      <c r="F10279" s="1"/>
      <c r="G10279" s="1"/>
    </row>
    <row r="10280">
      <c r="B10280" s="36"/>
      <c r="C10280" s="36"/>
      <c r="E10280" s="1"/>
      <c r="F10280" s="1"/>
      <c r="G10280" s="1"/>
    </row>
    <row r="10281">
      <c r="B10281" s="36"/>
      <c r="C10281" s="36"/>
      <c r="E10281" s="1"/>
      <c r="F10281" s="1"/>
      <c r="G10281" s="1"/>
    </row>
    <row r="10282">
      <c r="B10282" s="36"/>
      <c r="C10282" s="36"/>
      <c r="E10282" s="1"/>
      <c r="F10282" s="1"/>
      <c r="G10282" s="1"/>
    </row>
    <row r="10283">
      <c r="B10283" s="36"/>
      <c r="C10283" s="36"/>
      <c r="E10283" s="1"/>
      <c r="F10283" s="1"/>
      <c r="G10283" s="1"/>
    </row>
    <row r="10284">
      <c r="B10284" s="36"/>
      <c r="C10284" s="36"/>
      <c r="E10284" s="1"/>
      <c r="F10284" s="1"/>
      <c r="G10284" s="1"/>
    </row>
    <row r="10285">
      <c r="B10285" s="36"/>
      <c r="C10285" s="36"/>
      <c r="E10285" s="1"/>
      <c r="F10285" s="1"/>
      <c r="G10285" s="1"/>
    </row>
    <row r="10286">
      <c r="B10286" s="36"/>
      <c r="C10286" s="36"/>
      <c r="E10286" s="1"/>
      <c r="F10286" s="1"/>
      <c r="G10286" s="1"/>
    </row>
    <row r="10287">
      <c r="B10287" s="36"/>
      <c r="C10287" s="36"/>
      <c r="E10287" s="1"/>
      <c r="F10287" s="1"/>
      <c r="G10287" s="1"/>
    </row>
    <row r="10288">
      <c r="B10288" s="36"/>
      <c r="C10288" s="36"/>
      <c r="E10288" s="1"/>
      <c r="F10288" s="1"/>
      <c r="G10288" s="1"/>
    </row>
    <row r="10289">
      <c r="B10289" s="36"/>
      <c r="C10289" s="36"/>
      <c r="E10289" s="1"/>
      <c r="F10289" s="1"/>
      <c r="G10289" s="1"/>
    </row>
    <row r="10290">
      <c r="B10290" s="36"/>
      <c r="C10290" s="36"/>
      <c r="E10290" s="1"/>
      <c r="F10290" s="1"/>
      <c r="G10290" s="1"/>
    </row>
    <row r="10291">
      <c r="B10291" s="36"/>
      <c r="C10291" s="36"/>
      <c r="E10291" s="1"/>
      <c r="F10291" s="1"/>
      <c r="G10291" s="1"/>
    </row>
    <row r="10292">
      <c r="B10292" s="36"/>
      <c r="C10292" s="36"/>
      <c r="E10292" s="1"/>
      <c r="F10292" s="1"/>
      <c r="G10292" s="1"/>
    </row>
    <row r="10293">
      <c r="B10293" s="36"/>
      <c r="C10293" s="36"/>
      <c r="E10293" s="1"/>
      <c r="F10293" s="1"/>
      <c r="G10293" s="1"/>
    </row>
    <row r="10294">
      <c r="B10294" s="36"/>
      <c r="C10294" s="36"/>
      <c r="E10294" s="1"/>
      <c r="F10294" s="1"/>
      <c r="G10294" s="1"/>
    </row>
    <row r="10295">
      <c r="B10295" s="36"/>
      <c r="C10295" s="36"/>
      <c r="E10295" s="1"/>
      <c r="F10295" s="1"/>
      <c r="G10295" s="1"/>
    </row>
    <row r="10296">
      <c r="B10296" s="36"/>
      <c r="C10296" s="36"/>
      <c r="E10296" s="1"/>
      <c r="F10296" s="1"/>
      <c r="G10296" s="1"/>
    </row>
    <row r="10297">
      <c r="B10297" s="36"/>
      <c r="C10297" s="36"/>
      <c r="E10297" s="1"/>
      <c r="F10297" s="1"/>
      <c r="G10297" s="1"/>
    </row>
    <row r="10298">
      <c r="B10298" s="36"/>
      <c r="C10298" s="36"/>
      <c r="E10298" s="1"/>
      <c r="F10298" s="1"/>
      <c r="G10298" s="1"/>
    </row>
    <row r="10299">
      <c r="B10299" s="36"/>
      <c r="C10299" s="36"/>
      <c r="E10299" s="1"/>
      <c r="F10299" s="1"/>
      <c r="G10299" s="1"/>
    </row>
    <row r="10300">
      <c r="B10300" s="36"/>
      <c r="C10300" s="36"/>
      <c r="E10300" s="1"/>
      <c r="F10300" s="1"/>
      <c r="G10300" s="1"/>
    </row>
    <row r="10301">
      <c r="B10301" s="36"/>
      <c r="C10301" s="36"/>
      <c r="E10301" s="1"/>
      <c r="F10301" s="1"/>
      <c r="G10301" s="1"/>
    </row>
    <row r="10302">
      <c r="B10302" s="36"/>
      <c r="C10302" s="36"/>
      <c r="E10302" s="1"/>
      <c r="F10302" s="1"/>
      <c r="G10302" s="1"/>
    </row>
    <row r="10303">
      <c r="B10303" s="36"/>
      <c r="C10303" s="36"/>
      <c r="E10303" s="1"/>
      <c r="F10303" s="1"/>
      <c r="G10303" s="1"/>
    </row>
    <row r="10304">
      <c r="B10304" s="36"/>
      <c r="C10304" s="36"/>
      <c r="E10304" s="1"/>
      <c r="F10304" s="1"/>
      <c r="G10304" s="1"/>
    </row>
    <row r="10305">
      <c r="B10305" s="36"/>
      <c r="C10305" s="36"/>
      <c r="E10305" s="1"/>
      <c r="F10305" s="1"/>
      <c r="G10305" s="1"/>
    </row>
    <row r="10306">
      <c r="B10306" s="36"/>
      <c r="C10306" s="36"/>
      <c r="E10306" s="1"/>
      <c r="F10306" s="1"/>
      <c r="G10306" s="1"/>
    </row>
    <row r="10307">
      <c r="B10307" s="36"/>
      <c r="C10307" s="36"/>
      <c r="E10307" s="1"/>
      <c r="F10307" s="1"/>
      <c r="G10307" s="1"/>
    </row>
    <row r="10308">
      <c r="B10308" s="36"/>
      <c r="C10308" s="36"/>
      <c r="E10308" s="1"/>
      <c r="F10308" s="1"/>
      <c r="G10308" s="1"/>
    </row>
    <row r="10309">
      <c r="B10309" s="36"/>
      <c r="C10309" s="36"/>
      <c r="E10309" s="1"/>
      <c r="F10309" s="1"/>
      <c r="G10309" s="1"/>
    </row>
    <row r="10310">
      <c r="B10310" s="36"/>
      <c r="C10310" s="36"/>
      <c r="E10310" s="1"/>
      <c r="F10310" s="1"/>
      <c r="G10310" s="1"/>
    </row>
    <row r="10311">
      <c r="B10311" s="36"/>
      <c r="C10311" s="36"/>
      <c r="E10311" s="1"/>
      <c r="F10311" s="1"/>
      <c r="G10311" s="1"/>
    </row>
    <row r="10312">
      <c r="B10312" s="36"/>
      <c r="C10312" s="36"/>
      <c r="E10312" s="1"/>
      <c r="F10312" s="1"/>
      <c r="G10312" s="1"/>
    </row>
    <row r="10313">
      <c r="B10313" s="36"/>
      <c r="C10313" s="36"/>
      <c r="E10313" s="1"/>
      <c r="F10313" s="1"/>
      <c r="G10313" s="1"/>
    </row>
    <row r="10314">
      <c r="B10314" s="36"/>
      <c r="C10314" s="36"/>
      <c r="E10314" s="1"/>
      <c r="F10314" s="1"/>
      <c r="G10314" s="1"/>
    </row>
    <row r="10315">
      <c r="B10315" s="36"/>
      <c r="C10315" s="36"/>
      <c r="E10315" s="1"/>
      <c r="F10315" s="1"/>
      <c r="G10315" s="1"/>
    </row>
    <row r="10316">
      <c r="B10316" s="36"/>
      <c r="C10316" s="36"/>
      <c r="E10316" s="1"/>
      <c r="F10316" s="1"/>
      <c r="G10316" s="1"/>
    </row>
    <row r="10317">
      <c r="B10317" s="36"/>
      <c r="C10317" s="36"/>
      <c r="E10317" s="1"/>
      <c r="F10317" s="1"/>
      <c r="G10317" s="1"/>
    </row>
    <row r="10318">
      <c r="B10318" s="36"/>
      <c r="C10318" s="36"/>
      <c r="E10318" s="1"/>
      <c r="F10318" s="1"/>
      <c r="G10318" s="1"/>
    </row>
    <row r="10319">
      <c r="B10319" s="36"/>
      <c r="C10319" s="36"/>
      <c r="E10319" s="1"/>
      <c r="F10319" s="1"/>
      <c r="G10319" s="1"/>
    </row>
    <row r="10320">
      <c r="B10320" s="36"/>
      <c r="C10320" s="36"/>
      <c r="E10320" s="1"/>
      <c r="F10320" s="1"/>
      <c r="G10320" s="1"/>
    </row>
    <row r="10321">
      <c r="B10321" s="36"/>
      <c r="C10321" s="36"/>
      <c r="E10321" s="1"/>
      <c r="F10321" s="1"/>
      <c r="G10321" s="1"/>
    </row>
    <row r="10322">
      <c r="B10322" s="36"/>
      <c r="C10322" s="36"/>
      <c r="E10322" s="1"/>
      <c r="F10322" s="1"/>
      <c r="G10322" s="1"/>
    </row>
    <row r="10323">
      <c r="B10323" s="36"/>
      <c r="C10323" s="36"/>
      <c r="E10323" s="1"/>
      <c r="F10323" s="1"/>
      <c r="G10323" s="1"/>
    </row>
    <row r="10324">
      <c r="B10324" s="36"/>
      <c r="C10324" s="36"/>
      <c r="E10324" s="1"/>
      <c r="F10324" s="1"/>
      <c r="G10324" s="1"/>
    </row>
    <row r="10325">
      <c r="B10325" s="36"/>
      <c r="C10325" s="36"/>
      <c r="E10325" s="1"/>
      <c r="F10325" s="1"/>
      <c r="G10325" s="1"/>
    </row>
    <row r="10326">
      <c r="B10326" s="36"/>
      <c r="C10326" s="36"/>
      <c r="E10326" s="1"/>
      <c r="F10326" s="1"/>
      <c r="G10326" s="1"/>
    </row>
    <row r="10327">
      <c r="B10327" s="36"/>
      <c r="C10327" s="36"/>
      <c r="E10327" s="1"/>
      <c r="F10327" s="1"/>
      <c r="G10327" s="1"/>
    </row>
    <row r="10328">
      <c r="B10328" s="36"/>
      <c r="C10328" s="36"/>
      <c r="E10328" s="1"/>
      <c r="F10328" s="1"/>
      <c r="G10328" s="1"/>
    </row>
    <row r="10329">
      <c r="B10329" s="36"/>
      <c r="C10329" s="36"/>
      <c r="E10329" s="1"/>
      <c r="F10329" s="1"/>
      <c r="G10329" s="1"/>
    </row>
    <row r="10330">
      <c r="B10330" s="36"/>
      <c r="C10330" s="36"/>
      <c r="E10330" s="1"/>
      <c r="F10330" s="1"/>
      <c r="G10330" s="1"/>
    </row>
    <row r="10331">
      <c r="B10331" s="36"/>
      <c r="C10331" s="36"/>
      <c r="E10331" s="1"/>
      <c r="F10331" s="1"/>
      <c r="G10331" s="1"/>
    </row>
    <row r="10332">
      <c r="B10332" s="36"/>
      <c r="C10332" s="36"/>
      <c r="E10332" s="1"/>
      <c r="F10332" s="1"/>
      <c r="G10332" s="1"/>
    </row>
    <row r="10333">
      <c r="B10333" s="36"/>
      <c r="C10333" s="36"/>
      <c r="E10333" s="1"/>
      <c r="F10333" s="1"/>
      <c r="G10333" s="1"/>
    </row>
    <row r="10334">
      <c r="B10334" s="36"/>
      <c r="C10334" s="36"/>
      <c r="E10334" s="1"/>
      <c r="F10334" s="1"/>
      <c r="G10334" s="1"/>
    </row>
    <row r="10335">
      <c r="B10335" s="36"/>
      <c r="C10335" s="36"/>
      <c r="E10335" s="1"/>
      <c r="F10335" s="1"/>
      <c r="G10335" s="1"/>
    </row>
    <row r="10336">
      <c r="B10336" s="36"/>
      <c r="C10336" s="36"/>
      <c r="E10336" s="1"/>
      <c r="F10336" s="1"/>
      <c r="G10336" s="1"/>
    </row>
    <row r="10337">
      <c r="B10337" s="36"/>
      <c r="C10337" s="36"/>
      <c r="E10337" s="1"/>
      <c r="F10337" s="1"/>
      <c r="G10337" s="1"/>
    </row>
    <row r="10338">
      <c r="B10338" s="36"/>
      <c r="C10338" s="36"/>
      <c r="E10338" s="1"/>
      <c r="F10338" s="1"/>
      <c r="G10338" s="1"/>
    </row>
    <row r="10339">
      <c r="B10339" s="36"/>
      <c r="C10339" s="36"/>
      <c r="E10339" s="1"/>
      <c r="F10339" s="1"/>
      <c r="G10339" s="1"/>
    </row>
    <row r="10340">
      <c r="B10340" s="36"/>
      <c r="C10340" s="36"/>
      <c r="E10340" s="1"/>
      <c r="F10340" s="1"/>
      <c r="G10340" s="1"/>
    </row>
    <row r="10341">
      <c r="B10341" s="36"/>
      <c r="C10341" s="36"/>
      <c r="E10341" s="1"/>
      <c r="F10341" s="1"/>
      <c r="G10341" s="1"/>
    </row>
    <row r="10342">
      <c r="B10342" s="36"/>
      <c r="C10342" s="36"/>
      <c r="E10342" s="1"/>
      <c r="F10342" s="1"/>
      <c r="G10342" s="1"/>
    </row>
    <row r="10343">
      <c r="B10343" s="36"/>
      <c r="C10343" s="36"/>
      <c r="E10343" s="1"/>
      <c r="F10343" s="1"/>
      <c r="G10343" s="1"/>
    </row>
    <row r="10344">
      <c r="B10344" s="36"/>
      <c r="C10344" s="36"/>
      <c r="E10344" s="1"/>
      <c r="F10344" s="1"/>
      <c r="G10344" s="1"/>
    </row>
    <row r="10345">
      <c r="B10345" s="36"/>
      <c r="C10345" s="36"/>
      <c r="E10345" s="1"/>
      <c r="F10345" s="1"/>
      <c r="G10345" s="1"/>
    </row>
    <row r="10346">
      <c r="B10346" s="36"/>
      <c r="C10346" s="36"/>
      <c r="E10346" s="1"/>
      <c r="F10346" s="1"/>
      <c r="G10346" s="1"/>
    </row>
    <row r="10347">
      <c r="B10347" s="36"/>
      <c r="C10347" s="36"/>
      <c r="E10347" s="1"/>
      <c r="F10347" s="1"/>
      <c r="G10347" s="1"/>
    </row>
    <row r="10348">
      <c r="B10348" s="36"/>
      <c r="C10348" s="36"/>
      <c r="E10348" s="1"/>
      <c r="F10348" s="1"/>
      <c r="G10348" s="1"/>
    </row>
    <row r="10349">
      <c r="B10349" s="36"/>
      <c r="C10349" s="36"/>
      <c r="E10349" s="1"/>
      <c r="F10349" s="1"/>
      <c r="G10349" s="1"/>
    </row>
    <row r="10350">
      <c r="B10350" s="36"/>
      <c r="C10350" s="36"/>
      <c r="E10350" s="1"/>
      <c r="F10350" s="1"/>
      <c r="G10350" s="1"/>
    </row>
    <row r="10351">
      <c r="B10351" s="36"/>
      <c r="C10351" s="36"/>
      <c r="E10351" s="1"/>
      <c r="F10351" s="1"/>
      <c r="G10351" s="1"/>
    </row>
    <row r="10352">
      <c r="B10352" s="36"/>
      <c r="C10352" s="36"/>
      <c r="E10352" s="1"/>
      <c r="F10352" s="1"/>
      <c r="G10352" s="1"/>
    </row>
    <row r="10353">
      <c r="B10353" s="36"/>
      <c r="C10353" s="36"/>
      <c r="E10353" s="1"/>
      <c r="F10353" s="1"/>
      <c r="G10353" s="1"/>
    </row>
    <row r="10354">
      <c r="B10354" s="36"/>
      <c r="C10354" s="36"/>
      <c r="E10354" s="1"/>
      <c r="F10354" s="1"/>
      <c r="G10354" s="1"/>
    </row>
    <row r="10355">
      <c r="B10355" s="36"/>
      <c r="C10355" s="36"/>
      <c r="E10355" s="1"/>
      <c r="F10355" s="1"/>
      <c r="G10355" s="1"/>
    </row>
    <row r="10356">
      <c r="B10356" s="36"/>
      <c r="C10356" s="36"/>
      <c r="E10356" s="1"/>
      <c r="F10356" s="1"/>
      <c r="G10356" s="1"/>
    </row>
    <row r="10357">
      <c r="B10357" s="36"/>
      <c r="C10357" s="36"/>
      <c r="E10357" s="1"/>
      <c r="F10357" s="1"/>
      <c r="G10357" s="1"/>
    </row>
    <row r="10358">
      <c r="B10358" s="36"/>
      <c r="C10358" s="36"/>
      <c r="E10358" s="1"/>
      <c r="F10358" s="1"/>
      <c r="G10358" s="1"/>
    </row>
    <row r="10359">
      <c r="B10359" s="36"/>
      <c r="C10359" s="36"/>
      <c r="E10359" s="1"/>
      <c r="F10359" s="1"/>
      <c r="G10359" s="1"/>
    </row>
    <row r="10360">
      <c r="B10360" s="36"/>
      <c r="C10360" s="36"/>
      <c r="E10360" s="1"/>
      <c r="F10360" s="1"/>
      <c r="G10360" s="1"/>
    </row>
    <row r="10361">
      <c r="B10361" s="36"/>
      <c r="C10361" s="36"/>
      <c r="E10361" s="1"/>
      <c r="F10361" s="1"/>
      <c r="G10361" s="1"/>
    </row>
    <row r="10362">
      <c r="B10362" s="36"/>
      <c r="C10362" s="36"/>
      <c r="E10362" s="1"/>
      <c r="F10362" s="1"/>
      <c r="G10362" s="1"/>
    </row>
    <row r="10363">
      <c r="B10363" s="36"/>
      <c r="C10363" s="36"/>
      <c r="E10363" s="1"/>
      <c r="F10363" s="1"/>
      <c r="G10363" s="1"/>
    </row>
    <row r="10364">
      <c r="B10364" s="36"/>
      <c r="C10364" s="36"/>
      <c r="E10364" s="1"/>
      <c r="F10364" s="1"/>
      <c r="G10364" s="1"/>
    </row>
    <row r="10365">
      <c r="B10365" s="36"/>
      <c r="C10365" s="36"/>
      <c r="E10365" s="1"/>
      <c r="F10365" s="1"/>
      <c r="G10365" s="1"/>
    </row>
    <row r="10366">
      <c r="B10366" s="36"/>
      <c r="C10366" s="36"/>
      <c r="E10366" s="1"/>
      <c r="F10366" s="1"/>
      <c r="G10366" s="1"/>
    </row>
    <row r="10367">
      <c r="B10367" s="36"/>
      <c r="C10367" s="36"/>
      <c r="E10367" s="1"/>
      <c r="F10367" s="1"/>
      <c r="G10367" s="1"/>
    </row>
    <row r="10368">
      <c r="B10368" s="36"/>
      <c r="C10368" s="36"/>
      <c r="E10368" s="1"/>
      <c r="F10368" s="1"/>
      <c r="G10368" s="1"/>
    </row>
    <row r="10369">
      <c r="B10369" s="36"/>
      <c r="C10369" s="36"/>
      <c r="E10369" s="1"/>
      <c r="F10369" s="1"/>
      <c r="G10369" s="1"/>
    </row>
    <row r="10370">
      <c r="B10370" s="36"/>
      <c r="C10370" s="36"/>
      <c r="E10370" s="1"/>
      <c r="F10370" s="1"/>
      <c r="G10370" s="1"/>
    </row>
    <row r="10371">
      <c r="B10371" s="36"/>
      <c r="C10371" s="36"/>
      <c r="E10371" s="1"/>
      <c r="F10371" s="1"/>
      <c r="G10371" s="1"/>
    </row>
    <row r="10372">
      <c r="B10372" s="36"/>
      <c r="C10372" s="36"/>
      <c r="E10372" s="1"/>
      <c r="F10372" s="1"/>
      <c r="G10372" s="1"/>
    </row>
    <row r="10373">
      <c r="B10373" s="36"/>
      <c r="C10373" s="36"/>
      <c r="E10373" s="1"/>
      <c r="F10373" s="1"/>
      <c r="G10373" s="1"/>
    </row>
    <row r="10374">
      <c r="B10374" s="36"/>
      <c r="C10374" s="36"/>
      <c r="E10374" s="1"/>
      <c r="F10374" s="1"/>
      <c r="G10374" s="1"/>
    </row>
    <row r="10375">
      <c r="B10375" s="36"/>
      <c r="C10375" s="36"/>
      <c r="E10375" s="1"/>
      <c r="F10375" s="1"/>
      <c r="G10375" s="1"/>
    </row>
    <row r="10376">
      <c r="B10376" s="36"/>
      <c r="C10376" s="36"/>
      <c r="E10376" s="1"/>
      <c r="F10376" s="1"/>
      <c r="G10376" s="1"/>
    </row>
    <row r="10377">
      <c r="B10377" s="36"/>
      <c r="C10377" s="36"/>
      <c r="E10377" s="1"/>
      <c r="F10377" s="1"/>
      <c r="G10377" s="1"/>
    </row>
    <row r="10378">
      <c r="B10378" s="36"/>
      <c r="C10378" s="36"/>
      <c r="E10378" s="1"/>
      <c r="F10378" s="1"/>
      <c r="G10378" s="1"/>
    </row>
    <row r="10379">
      <c r="B10379" s="36"/>
      <c r="C10379" s="36"/>
      <c r="E10379" s="1"/>
      <c r="F10379" s="1"/>
      <c r="G10379" s="1"/>
    </row>
    <row r="10380">
      <c r="B10380" s="36"/>
      <c r="C10380" s="36"/>
      <c r="E10380" s="1"/>
      <c r="F10380" s="1"/>
      <c r="G10380" s="1"/>
    </row>
    <row r="10381">
      <c r="B10381" s="36"/>
      <c r="C10381" s="36"/>
      <c r="E10381" s="1"/>
      <c r="F10381" s="1"/>
      <c r="G10381" s="1"/>
    </row>
    <row r="10382">
      <c r="B10382" s="36"/>
      <c r="C10382" s="36"/>
      <c r="E10382" s="1"/>
      <c r="F10382" s="1"/>
      <c r="G10382" s="1"/>
    </row>
    <row r="10383">
      <c r="B10383" s="36"/>
      <c r="C10383" s="36"/>
      <c r="E10383" s="1"/>
      <c r="F10383" s="1"/>
      <c r="G10383" s="1"/>
    </row>
    <row r="10384">
      <c r="B10384" s="36"/>
      <c r="C10384" s="36"/>
      <c r="E10384" s="1"/>
      <c r="F10384" s="1"/>
      <c r="G10384" s="1"/>
    </row>
    <row r="10385">
      <c r="B10385" s="36"/>
      <c r="C10385" s="36"/>
      <c r="E10385" s="1"/>
      <c r="F10385" s="1"/>
      <c r="G10385" s="1"/>
    </row>
    <row r="10386">
      <c r="B10386" s="36"/>
      <c r="C10386" s="36"/>
      <c r="E10386" s="1"/>
      <c r="F10386" s="1"/>
      <c r="G10386" s="1"/>
    </row>
    <row r="10387">
      <c r="B10387" s="36"/>
      <c r="C10387" s="36"/>
      <c r="E10387" s="1"/>
      <c r="F10387" s="1"/>
      <c r="G10387" s="1"/>
    </row>
    <row r="10388">
      <c r="B10388" s="36"/>
      <c r="C10388" s="36"/>
      <c r="E10388" s="1"/>
      <c r="F10388" s="1"/>
      <c r="G10388" s="1"/>
    </row>
    <row r="10389">
      <c r="B10389" s="36"/>
      <c r="C10389" s="36"/>
      <c r="E10389" s="1"/>
      <c r="F10389" s="1"/>
      <c r="G10389" s="1"/>
    </row>
    <row r="10390">
      <c r="B10390" s="36"/>
      <c r="C10390" s="36"/>
      <c r="E10390" s="1"/>
      <c r="F10390" s="1"/>
      <c r="G10390" s="1"/>
    </row>
    <row r="10391">
      <c r="B10391" s="36"/>
      <c r="C10391" s="36"/>
      <c r="E10391" s="1"/>
      <c r="F10391" s="1"/>
      <c r="G10391" s="1"/>
    </row>
    <row r="10392">
      <c r="B10392" s="36"/>
      <c r="C10392" s="36"/>
      <c r="E10392" s="1"/>
      <c r="F10392" s="1"/>
      <c r="G10392" s="1"/>
    </row>
    <row r="10393">
      <c r="B10393" s="36"/>
      <c r="C10393" s="36"/>
      <c r="E10393" s="1"/>
      <c r="F10393" s="1"/>
      <c r="G10393" s="1"/>
    </row>
    <row r="10394">
      <c r="B10394" s="36"/>
      <c r="C10394" s="36"/>
      <c r="E10394" s="1"/>
      <c r="F10394" s="1"/>
      <c r="G10394" s="1"/>
    </row>
    <row r="10395">
      <c r="B10395" s="36"/>
      <c r="C10395" s="36"/>
      <c r="E10395" s="1"/>
      <c r="F10395" s="1"/>
      <c r="G10395" s="1"/>
    </row>
    <row r="10396">
      <c r="B10396" s="36"/>
      <c r="C10396" s="36"/>
      <c r="E10396" s="1"/>
      <c r="F10396" s="1"/>
      <c r="G10396" s="1"/>
    </row>
    <row r="10397">
      <c r="B10397" s="36"/>
      <c r="C10397" s="36"/>
      <c r="E10397" s="1"/>
      <c r="F10397" s="1"/>
      <c r="G10397" s="1"/>
    </row>
    <row r="10398">
      <c r="B10398" s="36"/>
      <c r="C10398" s="36"/>
      <c r="E10398" s="1"/>
      <c r="F10398" s="1"/>
      <c r="G10398" s="1"/>
    </row>
    <row r="10399">
      <c r="B10399" s="36"/>
      <c r="C10399" s="36"/>
      <c r="E10399" s="1"/>
      <c r="F10399" s="1"/>
      <c r="G10399" s="1"/>
    </row>
    <row r="10400">
      <c r="B10400" s="36"/>
      <c r="C10400" s="36"/>
      <c r="E10400" s="1"/>
      <c r="F10400" s="1"/>
      <c r="G10400" s="1"/>
    </row>
    <row r="10401">
      <c r="B10401" s="36"/>
      <c r="C10401" s="36"/>
      <c r="E10401" s="1"/>
      <c r="F10401" s="1"/>
      <c r="G10401" s="1"/>
    </row>
    <row r="10402">
      <c r="B10402" s="36"/>
      <c r="C10402" s="36"/>
      <c r="E10402" s="1"/>
      <c r="F10402" s="1"/>
      <c r="G10402" s="1"/>
    </row>
    <row r="10403">
      <c r="B10403" s="36"/>
      <c r="C10403" s="36"/>
      <c r="E10403" s="1"/>
      <c r="F10403" s="1"/>
      <c r="G10403" s="1"/>
    </row>
    <row r="10404">
      <c r="B10404" s="36"/>
      <c r="C10404" s="36"/>
      <c r="E10404" s="1"/>
      <c r="F10404" s="1"/>
      <c r="G10404" s="1"/>
    </row>
    <row r="10405">
      <c r="B10405" s="36"/>
      <c r="C10405" s="36"/>
      <c r="E10405" s="1"/>
      <c r="F10405" s="1"/>
      <c r="G10405" s="1"/>
    </row>
    <row r="10406">
      <c r="B10406" s="36"/>
      <c r="C10406" s="36"/>
      <c r="E10406" s="1"/>
      <c r="F10406" s="1"/>
      <c r="G10406" s="1"/>
    </row>
    <row r="10407">
      <c r="B10407" s="36"/>
      <c r="C10407" s="36"/>
      <c r="E10407" s="1"/>
      <c r="F10407" s="1"/>
      <c r="G10407" s="1"/>
    </row>
    <row r="10408">
      <c r="B10408" s="36"/>
      <c r="C10408" s="36"/>
      <c r="E10408" s="1"/>
      <c r="F10408" s="1"/>
      <c r="G10408" s="1"/>
    </row>
    <row r="10409">
      <c r="B10409" s="36"/>
      <c r="C10409" s="36"/>
      <c r="E10409" s="1"/>
      <c r="F10409" s="1"/>
      <c r="G10409" s="1"/>
    </row>
    <row r="10410">
      <c r="B10410" s="36"/>
      <c r="C10410" s="36"/>
      <c r="E10410" s="1"/>
      <c r="F10410" s="1"/>
      <c r="G10410" s="1"/>
    </row>
    <row r="10411">
      <c r="B10411" s="36"/>
      <c r="C10411" s="36"/>
      <c r="E10411" s="1"/>
      <c r="F10411" s="1"/>
      <c r="G10411" s="1"/>
    </row>
    <row r="10412">
      <c r="B10412" s="36"/>
      <c r="C10412" s="36"/>
      <c r="E10412" s="1"/>
      <c r="F10412" s="1"/>
      <c r="G10412" s="1"/>
    </row>
    <row r="10413">
      <c r="B10413" s="36"/>
      <c r="C10413" s="36"/>
      <c r="E10413" s="1"/>
      <c r="F10413" s="1"/>
      <c r="G10413" s="1"/>
    </row>
    <row r="10414">
      <c r="B10414" s="36"/>
      <c r="C10414" s="36"/>
      <c r="E10414" s="1"/>
      <c r="F10414" s="1"/>
      <c r="G10414" s="1"/>
    </row>
    <row r="10415">
      <c r="B10415" s="36"/>
      <c r="C10415" s="36"/>
      <c r="E10415" s="1"/>
      <c r="F10415" s="1"/>
      <c r="G10415" s="1"/>
    </row>
    <row r="10416">
      <c r="B10416" s="36"/>
      <c r="C10416" s="36"/>
      <c r="E10416" s="1"/>
      <c r="F10416" s="1"/>
      <c r="G10416" s="1"/>
    </row>
    <row r="10417">
      <c r="B10417" s="36"/>
      <c r="C10417" s="36"/>
      <c r="E10417" s="1"/>
      <c r="F10417" s="1"/>
      <c r="G10417" s="1"/>
    </row>
    <row r="10418">
      <c r="B10418" s="36"/>
      <c r="C10418" s="36"/>
      <c r="E10418" s="1"/>
      <c r="F10418" s="1"/>
      <c r="G10418" s="1"/>
    </row>
    <row r="10419">
      <c r="B10419" s="36"/>
      <c r="C10419" s="36"/>
      <c r="E10419" s="1"/>
      <c r="F10419" s="1"/>
      <c r="G10419" s="1"/>
    </row>
    <row r="10420">
      <c r="B10420" s="36"/>
      <c r="C10420" s="36"/>
      <c r="E10420" s="1"/>
      <c r="F10420" s="1"/>
      <c r="G10420" s="1"/>
    </row>
    <row r="10421">
      <c r="B10421" s="36"/>
      <c r="C10421" s="36"/>
      <c r="E10421" s="1"/>
      <c r="F10421" s="1"/>
      <c r="G10421" s="1"/>
    </row>
    <row r="10422">
      <c r="B10422" s="36"/>
      <c r="C10422" s="36"/>
      <c r="E10422" s="1"/>
      <c r="F10422" s="1"/>
      <c r="G10422" s="1"/>
    </row>
    <row r="10423">
      <c r="B10423" s="36"/>
      <c r="C10423" s="36"/>
      <c r="E10423" s="1"/>
      <c r="F10423" s="1"/>
      <c r="G10423" s="1"/>
    </row>
    <row r="10424">
      <c r="B10424" s="36"/>
      <c r="C10424" s="36"/>
      <c r="E10424" s="1"/>
      <c r="F10424" s="1"/>
      <c r="G10424" s="1"/>
    </row>
    <row r="10425">
      <c r="B10425" s="36"/>
      <c r="C10425" s="36"/>
      <c r="E10425" s="1"/>
      <c r="F10425" s="1"/>
      <c r="G10425" s="1"/>
    </row>
    <row r="10426">
      <c r="B10426" s="36"/>
      <c r="C10426" s="36"/>
      <c r="E10426" s="1"/>
      <c r="F10426" s="1"/>
      <c r="G10426" s="1"/>
    </row>
    <row r="10427">
      <c r="B10427" s="36"/>
      <c r="C10427" s="36"/>
      <c r="E10427" s="1"/>
      <c r="F10427" s="1"/>
      <c r="G10427" s="1"/>
    </row>
    <row r="10428">
      <c r="B10428" s="36"/>
      <c r="C10428" s="36"/>
      <c r="E10428" s="1"/>
      <c r="F10428" s="1"/>
      <c r="G10428" s="1"/>
    </row>
    <row r="10429">
      <c r="B10429" s="36"/>
      <c r="C10429" s="36"/>
      <c r="E10429" s="1"/>
      <c r="F10429" s="1"/>
      <c r="G10429" s="1"/>
    </row>
    <row r="10430">
      <c r="B10430" s="36"/>
      <c r="C10430" s="36"/>
      <c r="E10430" s="1"/>
      <c r="F10430" s="1"/>
      <c r="G10430" s="1"/>
    </row>
    <row r="10431">
      <c r="B10431" s="36"/>
      <c r="C10431" s="36"/>
      <c r="E10431" s="1"/>
      <c r="F10431" s="1"/>
      <c r="G10431" s="1"/>
    </row>
    <row r="10432">
      <c r="B10432" s="36"/>
      <c r="C10432" s="36"/>
      <c r="E10432" s="1"/>
      <c r="F10432" s="1"/>
      <c r="G10432" s="1"/>
    </row>
    <row r="10433">
      <c r="B10433" s="36"/>
      <c r="C10433" s="36"/>
      <c r="E10433" s="1"/>
      <c r="F10433" s="1"/>
      <c r="G10433" s="1"/>
    </row>
    <row r="10434">
      <c r="B10434" s="36"/>
      <c r="C10434" s="36"/>
      <c r="E10434" s="1"/>
      <c r="F10434" s="1"/>
      <c r="G10434" s="1"/>
    </row>
    <row r="10435">
      <c r="B10435" s="36"/>
      <c r="C10435" s="36"/>
      <c r="E10435" s="1"/>
      <c r="F10435" s="1"/>
      <c r="G10435" s="1"/>
    </row>
    <row r="10436">
      <c r="B10436" s="36"/>
      <c r="C10436" s="36"/>
      <c r="E10436" s="1"/>
      <c r="F10436" s="1"/>
      <c r="G10436" s="1"/>
    </row>
    <row r="10437">
      <c r="B10437" s="36"/>
      <c r="C10437" s="36"/>
      <c r="E10437" s="1"/>
      <c r="F10437" s="1"/>
      <c r="G10437" s="1"/>
    </row>
    <row r="10438">
      <c r="B10438" s="36"/>
      <c r="C10438" s="36"/>
      <c r="E10438" s="1"/>
      <c r="F10438" s="1"/>
      <c r="G10438" s="1"/>
    </row>
    <row r="10439">
      <c r="B10439" s="36"/>
      <c r="C10439" s="36"/>
      <c r="E10439" s="1"/>
      <c r="F10439" s="1"/>
      <c r="G10439" s="1"/>
    </row>
    <row r="10440">
      <c r="B10440" s="36"/>
      <c r="C10440" s="36"/>
      <c r="E10440" s="1"/>
      <c r="F10440" s="1"/>
      <c r="G10440" s="1"/>
    </row>
    <row r="10441">
      <c r="B10441" s="36"/>
      <c r="C10441" s="36"/>
      <c r="E10441" s="1"/>
      <c r="F10441" s="1"/>
      <c r="G10441" s="1"/>
    </row>
    <row r="10442">
      <c r="B10442" s="36"/>
      <c r="C10442" s="36"/>
      <c r="E10442" s="1"/>
      <c r="F10442" s="1"/>
      <c r="G10442" s="1"/>
    </row>
    <row r="10443">
      <c r="B10443" s="36"/>
      <c r="C10443" s="36"/>
      <c r="E10443" s="1"/>
      <c r="F10443" s="1"/>
      <c r="G10443" s="1"/>
    </row>
    <row r="10444">
      <c r="B10444" s="36"/>
      <c r="C10444" s="36"/>
      <c r="E10444" s="1"/>
      <c r="F10444" s="1"/>
      <c r="G10444" s="1"/>
    </row>
    <row r="10445">
      <c r="B10445" s="36"/>
      <c r="C10445" s="36"/>
      <c r="E10445" s="1"/>
      <c r="F10445" s="1"/>
      <c r="G10445" s="1"/>
    </row>
    <row r="10446">
      <c r="B10446" s="36"/>
      <c r="C10446" s="36"/>
      <c r="E10446" s="1"/>
      <c r="F10446" s="1"/>
      <c r="G10446" s="1"/>
    </row>
    <row r="10447">
      <c r="B10447" s="36"/>
      <c r="C10447" s="36"/>
      <c r="E10447" s="1"/>
      <c r="F10447" s="1"/>
      <c r="G10447" s="1"/>
    </row>
    <row r="10448">
      <c r="B10448" s="36"/>
      <c r="C10448" s="36"/>
      <c r="E10448" s="1"/>
      <c r="F10448" s="1"/>
      <c r="G10448" s="1"/>
    </row>
    <row r="10449">
      <c r="B10449" s="36"/>
      <c r="C10449" s="36"/>
      <c r="E10449" s="1"/>
      <c r="F10449" s="1"/>
      <c r="G10449" s="1"/>
    </row>
    <row r="10450">
      <c r="B10450" s="36"/>
      <c r="C10450" s="36"/>
      <c r="E10450" s="1"/>
      <c r="F10450" s="1"/>
      <c r="G10450" s="1"/>
    </row>
    <row r="10451">
      <c r="B10451" s="36"/>
      <c r="C10451" s="36"/>
      <c r="E10451" s="1"/>
      <c r="F10451" s="1"/>
      <c r="G10451" s="1"/>
    </row>
    <row r="10452">
      <c r="B10452" s="36"/>
      <c r="C10452" s="36"/>
      <c r="E10452" s="1"/>
      <c r="F10452" s="1"/>
      <c r="G10452" s="1"/>
    </row>
    <row r="10453">
      <c r="B10453" s="36"/>
      <c r="C10453" s="36"/>
      <c r="E10453" s="1"/>
      <c r="F10453" s="1"/>
      <c r="G10453" s="1"/>
    </row>
    <row r="10454">
      <c r="B10454" s="36"/>
      <c r="C10454" s="36"/>
      <c r="E10454" s="1"/>
      <c r="F10454" s="1"/>
      <c r="G10454" s="1"/>
    </row>
    <row r="10455">
      <c r="B10455" s="36"/>
      <c r="C10455" s="36"/>
      <c r="E10455" s="1"/>
      <c r="F10455" s="1"/>
      <c r="G10455" s="1"/>
    </row>
    <row r="10456">
      <c r="B10456" s="36"/>
      <c r="C10456" s="36"/>
      <c r="E10456" s="1"/>
      <c r="F10456" s="1"/>
      <c r="G10456" s="1"/>
    </row>
    <row r="10457">
      <c r="B10457" s="36"/>
      <c r="C10457" s="36"/>
      <c r="E10457" s="1"/>
      <c r="F10457" s="1"/>
      <c r="G10457" s="1"/>
    </row>
    <row r="10458">
      <c r="B10458" s="36"/>
      <c r="C10458" s="36"/>
      <c r="E10458" s="1"/>
      <c r="F10458" s="1"/>
      <c r="G10458" s="1"/>
    </row>
    <row r="10459">
      <c r="B10459" s="36"/>
      <c r="C10459" s="36"/>
      <c r="E10459" s="1"/>
      <c r="F10459" s="1"/>
      <c r="G10459" s="1"/>
    </row>
    <row r="10460">
      <c r="B10460" s="36"/>
      <c r="C10460" s="36"/>
      <c r="E10460" s="1"/>
      <c r="F10460" s="1"/>
      <c r="G10460" s="1"/>
    </row>
    <row r="10461">
      <c r="B10461" s="36"/>
      <c r="C10461" s="36"/>
      <c r="E10461" s="1"/>
      <c r="F10461" s="1"/>
      <c r="G10461" s="1"/>
    </row>
    <row r="10462">
      <c r="B10462" s="36"/>
      <c r="C10462" s="36"/>
      <c r="E10462" s="1"/>
      <c r="F10462" s="1"/>
      <c r="G10462" s="1"/>
    </row>
    <row r="10463">
      <c r="B10463" s="36"/>
      <c r="C10463" s="36"/>
      <c r="E10463" s="1"/>
      <c r="F10463" s="1"/>
      <c r="G10463" s="1"/>
    </row>
    <row r="10464">
      <c r="B10464" s="36"/>
      <c r="C10464" s="36"/>
      <c r="E10464" s="1"/>
      <c r="F10464" s="1"/>
      <c r="G10464" s="1"/>
    </row>
    <row r="10465">
      <c r="B10465" s="36"/>
      <c r="C10465" s="36"/>
      <c r="E10465" s="1"/>
      <c r="F10465" s="1"/>
      <c r="G10465" s="1"/>
    </row>
    <row r="10466">
      <c r="B10466" s="36"/>
      <c r="C10466" s="36"/>
      <c r="E10466" s="1"/>
      <c r="F10466" s="1"/>
      <c r="G10466" s="1"/>
    </row>
    <row r="10467">
      <c r="B10467" s="36"/>
      <c r="C10467" s="36"/>
      <c r="E10467" s="1"/>
      <c r="F10467" s="1"/>
      <c r="G10467" s="1"/>
    </row>
    <row r="10468">
      <c r="B10468" s="36"/>
      <c r="C10468" s="36"/>
      <c r="E10468" s="1"/>
      <c r="F10468" s="1"/>
      <c r="G10468" s="1"/>
    </row>
    <row r="10469">
      <c r="B10469" s="36"/>
      <c r="C10469" s="36"/>
      <c r="E10469" s="1"/>
      <c r="F10469" s="1"/>
      <c r="G10469" s="1"/>
    </row>
    <row r="10470">
      <c r="B10470" s="36"/>
      <c r="C10470" s="36"/>
      <c r="E10470" s="1"/>
      <c r="F10470" s="1"/>
      <c r="G10470" s="1"/>
    </row>
    <row r="10471">
      <c r="B10471" s="36"/>
      <c r="C10471" s="36"/>
      <c r="E10471" s="1"/>
      <c r="F10471" s="1"/>
      <c r="G10471" s="1"/>
    </row>
    <row r="10472">
      <c r="B10472" s="36"/>
      <c r="C10472" s="36"/>
      <c r="E10472" s="1"/>
      <c r="F10472" s="1"/>
      <c r="G10472" s="1"/>
    </row>
    <row r="10473">
      <c r="B10473" s="36"/>
      <c r="C10473" s="36"/>
      <c r="E10473" s="1"/>
      <c r="F10473" s="1"/>
      <c r="G10473" s="1"/>
    </row>
    <row r="10474">
      <c r="B10474" s="36"/>
      <c r="C10474" s="36"/>
      <c r="E10474" s="1"/>
      <c r="F10474" s="1"/>
      <c r="G10474" s="1"/>
    </row>
    <row r="10475">
      <c r="B10475" s="36"/>
      <c r="C10475" s="36"/>
      <c r="E10475" s="1"/>
      <c r="F10475" s="1"/>
      <c r="G10475" s="1"/>
    </row>
    <row r="10476">
      <c r="B10476" s="36"/>
      <c r="C10476" s="36"/>
      <c r="E10476" s="1"/>
      <c r="F10476" s="1"/>
      <c r="G10476" s="1"/>
    </row>
    <row r="10477">
      <c r="B10477" s="36"/>
      <c r="C10477" s="36"/>
      <c r="E10477" s="1"/>
      <c r="F10477" s="1"/>
      <c r="G10477" s="1"/>
    </row>
    <row r="10478">
      <c r="B10478" s="36"/>
      <c r="C10478" s="36"/>
      <c r="E10478" s="1"/>
      <c r="F10478" s="1"/>
      <c r="G10478" s="1"/>
    </row>
    <row r="10479">
      <c r="B10479" s="36"/>
      <c r="C10479" s="36"/>
      <c r="E10479" s="1"/>
      <c r="F10479" s="1"/>
      <c r="G10479" s="1"/>
    </row>
    <row r="10480">
      <c r="B10480" s="36"/>
      <c r="C10480" s="36"/>
      <c r="E10480" s="1"/>
      <c r="F10480" s="1"/>
      <c r="G10480" s="1"/>
    </row>
    <row r="10481">
      <c r="B10481" s="36"/>
      <c r="C10481" s="36"/>
      <c r="E10481" s="1"/>
      <c r="F10481" s="1"/>
      <c r="G10481" s="1"/>
    </row>
    <row r="10482">
      <c r="B10482" s="36"/>
      <c r="C10482" s="36"/>
      <c r="E10482" s="1"/>
      <c r="F10482" s="1"/>
      <c r="G10482" s="1"/>
    </row>
    <row r="10483">
      <c r="B10483" s="36"/>
      <c r="C10483" s="36"/>
      <c r="E10483" s="1"/>
      <c r="F10483" s="1"/>
      <c r="G10483" s="1"/>
    </row>
    <row r="10484">
      <c r="B10484" s="36"/>
      <c r="C10484" s="36"/>
      <c r="E10484" s="1"/>
      <c r="F10484" s="1"/>
      <c r="G10484" s="1"/>
    </row>
    <row r="10485">
      <c r="B10485" s="36"/>
      <c r="C10485" s="36"/>
      <c r="E10485" s="1"/>
      <c r="F10485" s="1"/>
      <c r="G10485" s="1"/>
    </row>
    <row r="10486">
      <c r="B10486" s="36"/>
      <c r="C10486" s="36"/>
      <c r="E10486" s="1"/>
      <c r="F10486" s="1"/>
      <c r="G10486" s="1"/>
    </row>
    <row r="10487">
      <c r="B10487" s="36"/>
      <c r="C10487" s="36"/>
      <c r="E10487" s="1"/>
      <c r="F10487" s="1"/>
      <c r="G10487" s="1"/>
    </row>
    <row r="10488">
      <c r="B10488" s="36"/>
      <c r="C10488" s="36"/>
      <c r="E10488" s="1"/>
      <c r="F10488" s="1"/>
      <c r="G10488" s="1"/>
    </row>
    <row r="10489">
      <c r="B10489" s="36"/>
      <c r="C10489" s="36"/>
      <c r="E10489" s="1"/>
      <c r="F10489" s="1"/>
      <c r="G10489" s="1"/>
    </row>
    <row r="10490">
      <c r="B10490" s="36"/>
      <c r="C10490" s="36"/>
      <c r="E10490" s="1"/>
      <c r="F10490" s="1"/>
      <c r="G10490" s="1"/>
    </row>
    <row r="10491">
      <c r="B10491" s="36"/>
      <c r="C10491" s="36"/>
      <c r="E10491" s="1"/>
      <c r="F10491" s="1"/>
      <c r="G10491" s="1"/>
    </row>
    <row r="10492">
      <c r="B10492" s="36"/>
      <c r="C10492" s="36"/>
      <c r="E10492" s="1"/>
      <c r="F10492" s="1"/>
      <c r="G10492" s="1"/>
    </row>
    <row r="10493">
      <c r="B10493" s="36"/>
      <c r="C10493" s="36"/>
      <c r="E10493" s="1"/>
      <c r="F10493" s="1"/>
      <c r="G10493" s="1"/>
    </row>
    <row r="10494">
      <c r="B10494" s="36"/>
      <c r="C10494" s="36"/>
      <c r="E10494" s="1"/>
      <c r="F10494" s="1"/>
      <c r="G10494" s="1"/>
    </row>
    <row r="10495">
      <c r="B10495" s="36"/>
      <c r="C10495" s="36"/>
      <c r="E10495" s="1"/>
      <c r="F10495" s="1"/>
      <c r="G10495" s="1"/>
    </row>
    <row r="10496">
      <c r="B10496" s="36"/>
      <c r="C10496" s="36"/>
      <c r="E10496" s="1"/>
      <c r="F10496" s="1"/>
      <c r="G10496" s="1"/>
    </row>
    <row r="10497">
      <c r="B10497" s="36"/>
      <c r="C10497" s="36"/>
      <c r="E10497" s="1"/>
      <c r="F10497" s="1"/>
      <c r="G10497" s="1"/>
    </row>
    <row r="10498">
      <c r="B10498" s="36"/>
      <c r="C10498" s="36"/>
      <c r="E10498" s="1"/>
      <c r="F10498" s="1"/>
      <c r="G10498" s="1"/>
    </row>
    <row r="10499">
      <c r="B10499" s="36"/>
      <c r="C10499" s="36"/>
      <c r="E10499" s="1"/>
      <c r="F10499" s="1"/>
      <c r="G10499" s="1"/>
    </row>
    <row r="10500">
      <c r="B10500" s="36"/>
      <c r="C10500" s="36"/>
      <c r="E10500" s="1"/>
      <c r="F10500" s="1"/>
      <c r="G10500" s="1"/>
    </row>
    <row r="10501">
      <c r="B10501" s="36"/>
      <c r="C10501" s="36"/>
      <c r="E10501" s="1"/>
      <c r="F10501" s="1"/>
      <c r="G10501" s="1"/>
    </row>
    <row r="10502">
      <c r="B10502" s="36"/>
      <c r="C10502" s="36"/>
      <c r="E10502" s="1"/>
      <c r="F10502" s="1"/>
      <c r="G10502" s="1"/>
    </row>
    <row r="10503">
      <c r="B10503" s="36"/>
      <c r="C10503" s="36"/>
      <c r="E10503" s="1"/>
      <c r="F10503" s="1"/>
      <c r="G10503" s="1"/>
    </row>
    <row r="10504">
      <c r="B10504" s="36"/>
      <c r="C10504" s="36"/>
      <c r="E10504" s="1"/>
      <c r="F10504" s="1"/>
      <c r="G10504" s="1"/>
    </row>
    <row r="10505">
      <c r="B10505" s="36"/>
      <c r="C10505" s="36"/>
      <c r="E10505" s="1"/>
      <c r="F10505" s="1"/>
      <c r="G10505" s="1"/>
    </row>
    <row r="10506">
      <c r="B10506" s="36"/>
      <c r="C10506" s="36"/>
      <c r="E10506" s="1"/>
      <c r="F10506" s="1"/>
      <c r="G10506" s="1"/>
    </row>
    <row r="10507">
      <c r="B10507" s="36"/>
      <c r="C10507" s="36"/>
      <c r="E10507" s="1"/>
      <c r="F10507" s="1"/>
      <c r="G10507" s="1"/>
    </row>
    <row r="10508">
      <c r="B10508" s="36"/>
      <c r="C10508" s="36"/>
      <c r="E10508" s="1"/>
      <c r="F10508" s="1"/>
      <c r="G10508" s="1"/>
    </row>
    <row r="10509">
      <c r="B10509" s="36"/>
      <c r="C10509" s="36"/>
      <c r="E10509" s="1"/>
      <c r="F10509" s="1"/>
      <c r="G10509" s="1"/>
    </row>
    <row r="10510">
      <c r="B10510" s="36"/>
      <c r="C10510" s="36"/>
      <c r="E10510" s="1"/>
      <c r="F10510" s="1"/>
      <c r="G10510" s="1"/>
    </row>
    <row r="10511">
      <c r="B10511" s="36"/>
      <c r="C10511" s="36"/>
      <c r="E10511" s="1"/>
      <c r="F10511" s="1"/>
      <c r="G10511" s="1"/>
    </row>
    <row r="10512">
      <c r="B10512" s="36"/>
      <c r="C10512" s="36"/>
      <c r="E10512" s="1"/>
      <c r="F10512" s="1"/>
      <c r="G10512" s="1"/>
    </row>
    <row r="10513">
      <c r="B10513" s="36"/>
      <c r="C10513" s="36"/>
      <c r="E10513" s="1"/>
      <c r="F10513" s="1"/>
      <c r="G10513" s="1"/>
    </row>
    <row r="10514">
      <c r="B10514" s="36"/>
      <c r="C10514" s="36"/>
      <c r="E10514" s="1"/>
      <c r="F10514" s="1"/>
      <c r="G10514" s="1"/>
    </row>
    <row r="10515">
      <c r="B10515" s="36"/>
      <c r="C10515" s="36"/>
      <c r="E10515" s="1"/>
      <c r="F10515" s="1"/>
      <c r="G10515" s="1"/>
    </row>
    <row r="10516">
      <c r="B10516" s="36"/>
      <c r="C10516" s="36"/>
      <c r="E10516" s="1"/>
      <c r="F10516" s="1"/>
      <c r="G10516" s="1"/>
    </row>
    <row r="10517">
      <c r="B10517" s="36"/>
      <c r="C10517" s="36"/>
      <c r="E10517" s="1"/>
      <c r="F10517" s="1"/>
      <c r="G10517" s="1"/>
    </row>
    <row r="10518">
      <c r="B10518" s="36"/>
      <c r="C10518" s="36"/>
      <c r="E10518" s="1"/>
      <c r="F10518" s="1"/>
      <c r="G10518" s="1"/>
    </row>
    <row r="10519">
      <c r="B10519" s="36"/>
      <c r="C10519" s="36"/>
      <c r="E10519" s="1"/>
      <c r="F10519" s="1"/>
      <c r="G10519" s="1"/>
    </row>
    <row r="10520">
      <c r="B10520" s="36"/>
      <c r="C10520" s="36"/>
      <c r="E10520" s="1"/>
      <c r="F10520" s="1"/>
      <c r="G10520" s="1"/>
    </row>
    <row r="10521">
      <c r="B10521" s="36"/>
      <c r="C10521" s="36"/>
      <c r="E10521" s="1"/>
      <c r="F10521" s="1"/>
      <c r="G10521" s="1"/>
    </row>
    <row r="10522">
      <c r="B10522" s="36"/>
      <c r="C10522" s="36"/>
      <c r="E10522" s="1"/>
      <c r="F10522" s="1"/>
      <c r="G10522" s="1"/>
    </row>
    <row r="10523">
      <c r="B10523" s="36"/>
      <c r="C10523" s="36"/>
      <c r="E10523" s="1"/>
      <c r="F10523" s="1"/>
      <c r="G10523" s="1"/>
    </row>
    <row r="10524">
      <c r="B10524" s="36"/>
      <c r="C10524" s="36"/>
      <c r="E10524" s="1"/>
      <c r="F10524" s="1"/>
      <c r="G10524" s="1"/>
    </row>
    <row r="10525">
      <c r="B10525" s="36"/>
      <c r="C10525" s="36"/>
      <c r="E10525" s="1"/>
      <c r="F10525" s="1"/>
      <c r="G10525" s="1"/>
    </row>
    <row r="10526">
      <c r="B10526" s="36"/>
      <c r="C10526" s="36"/>
      <c r="E10526" s="1"/>
      <c r="F10526" s="1"/>
      <c r="G10526" s="1"/>
    </row>
    <row r="10527">
      <c r="B10527" s="36"/>
      <c r="C10527" s="36"/>
      <c r="E10527" s="1"/>
      <c r="F10527" s="1"/>
      <c r="G10527" s="1"/>
    </row>
    <row r="10528">
      <c r="B10528" s="36"/>
      <c r="C10528" s="36"/>
      <c r="E10528" s="1"/>
      <c r="F10528" s="1"/>
      <c r="G10528" s="1"/>
    </row>
    <row r="10529">
      <c r="B10529" s="36"/>
      <c r="C10529" s="36"/>
      <c r="E10529" s="1"/>
      <c r="F10529" s="1"/>
      <c r="G10529" s="1"/>
    </row>
    <row r="10530">
      <c r="B10530" s="36"/>
      <c r="C10530" s="36"/>
      <c r="E10530" s="1"/>
      <c r="F10530" s="1"/>
      <c r="G10530" s="1"/>
    </row>
    <row r="10531">
      <c r="B10531" s="36"/>
      <c r="C10531" s="36"/>
      <c r="E10531" s="1"/>
      <c r="F10531" s="1"/>
      <c r="G10531" s="1"/>
    </row>
    <row r="10532">
      <c r="B10532" s="36"/>
      <c r="C10532" s="36"/>
      <c r="E10532" s="1"/>
      <c r="F10532" s="1"/>
      <c r="G10532" s="1"/>
    </row>
    <row r="10533">
      <c r="B10533" s="36"/>
      <c r="C10533" s="36"/>
      <c r="E10533" s="1"/>
      <c r="F10533" s="1"/>
      <c r="G10533" s="1"/>
    </row>
    <row r="10534">
      <c r="B10534" s="36"/>
      <c r="C10534" s="36"/>
      <c r="E10534" s="1"/>
      <c r="F10534" s="1"/>
      <c r="G10534" s="1"/>
    </row>
    <row r="10535">
      <c r="B10535" s="36"/>
      <c r="C10535" s="36"/>
      <c r="E10535" s="1"/>
      <c r="F10535" s="1"/>
      <c r="G10535" s="1"/>
    </row>
    <row r="10536">
      <c r="B10536" s="36"/>
      <c r="C10536" s="36"/>
      <c r="E10536" s="1"/>
      <c r="F10536" s="1"/>
      <c r="G10536" s="1"/>
    </row>
    <row r="10537">
      <c r="B10537" s="36"/>
      <c r="C10537" s="36"/>
      <c r="E10537" s="1"/>
      <c r="F10537" s="1"/>
      <c r="G10537" s="1"/>
    </row>
    <row r="10538">
      <c r="B10538" s="36"/>
      <c r="C10538" s="36"/>
      <c r="E10538" s="1"/>
      <c r="F10538" s="1"/>
      <c r="G10538" s="1"/>
    </row>
    <row r="10539">
      <c r="B10539" s="36"/>
      <c r="C10539" s="36"/>
      <c r="E10539" s="1"/>
      <c r="F10539" s="1"/>
      <c r="G10539" s="1"/>
    </row>
    <row r="10540">
      <c r="B10540" s="36"/>
      <c r="C10540" s="36"/>
      <c r="E10540" s="1"/>
      <c r="F10540" s="1"/>
      <c r="G10540" s="1"/>
    </row>
    <row r="10541">
      <c r="B10541" s="36"/>
      <c r="C10541" s="36"/>
      <c r="E10541" s="1"/>
      <c r="F10541" s="1"/>
      <c r="G10541" s="1"/>
    </row>
    <row r="10542">
      <c r="B10542" s="36"/>
      <c r="C10542" s="36"/>
      <c r="E10542" s="1"/>
      <c r="F10542" s="1"/>
      <c r="G10542" s="1"/>
    </row>
    <row r="10543">
      <c r="B10543" s="36"/>
      <c r="C10543" s="36"/>
      <c r="E10543" s="1"/>
      <c r="F10543" s="1"/>
      <c r="G10543" s="1"/>
    </row>
    <row r="10544">
      <c r="B10544" s="36"/>
      <c r="C10544" s="36"/>
      <c r="E10544" s="1"/>
      <c r="F10544" s="1"/>
      <c r="G10544" s="1"/>
    </row>
    <row r="10545">
      <c r="B10545" s="36"/>
      <c r="C10545" s="36"/>
      <c r="E10545" s="1"/>
      <c r="F10545" s="1"/>
      <c r="G10545" s="1"/>
    </row>
    <row r="10546">
      <c r="B10546" s="36"/>
      <c r="C10546" s="36"/>
      <c r="E10546" s="1"/>
      <c r="F10546" s="1"/>
      <c r="G10546" s="1"/>
    </row>
    <row r="10547">
      <c r="B10547" s="36"/>
      <c r="C10547" s="36"/>
      <c r="E10547" s="1"/>
      <c r="F10547" s="1"/>
      <c r="G10547" s="1"/>
    </row>
    <row r="10548">
      <c r="B10548" s="36"/>
      <c r="C10548" s="36"/>
      <c r="E10548" s="1"/>
      <c r="F10548" s="1"/>
      <c r="G10548" s="1"/>
    </row>
    <row r="10549">
      <c r="B10549" s="36"/>
      <c r="C10549" s="36"/>
      <c r="E10549" s="1"/>
      <c r="F10549" s="1"/>
      <c r="G10549" s="1"/>
    </row>
    <row r="10550">
      <c r="B10550" s="36"/>
      <c r="C10550" s="36"/>
      <c r="E10550" s="1"/>
      <c r="F10550" s="1"/>
      <c r="G10550" s="1"/>
    </row>
    <row r="10551">
      <c r="B10551" s="36"/>
      <c r="C10551" s="36"/>
      <c r="E10551" s="1"/>
      <c r="F10551" s="1"/>
      <c r="G10551" s="1"/>
    </row>
    <row r="10552">
      <c r="B10552" s="36"/>
      <c r="C10552" s="36"/>
      <c r="E10552" s="1"/>
      <c r="F10552" s="1"/>
      <c r="G10552" s="1"/>
    </row>
    <row r="10553">
      <c r="B10553" s="36"/>
      <c r="C10553" s="36"/>
      <c r="E10553" s="1"/>
      <c r="F10553" s="1"/>
      <c r="G10553" s="1"/>
    </row>
    <row r="10554">
      <c r="B10554" s="36"/>
      <c r="C10554" s="36"/>
      <c r="E10554" s="1"/>
      <c r="F10554" s="1"/>
      <c r="G10554" s="1"/>
    </row>
    <row r="10555">
      <c r="B10555" s="36"/>
      <c r="C10555" s="36"/>
      <c r="E10555" s="1"/>
      <c r="F10555" s="1"/>
      <c r="G10555" s="1"/>
    </row>
    <row r="10556">
      <c r="B10556" s="36"/>
      <c r="C10556" s="36"/>
      <c r="E10556" s="1"/>
      <c r="F10556" s="1"/>
      <c r="G10556" s="1"/>
    </row>
    <row r="10557">
      <c r="B10557" s="36"/>
      <c r="C10557" s="36"/>
      <c r="E10557" s="1"/>
      <c r="F10557" s="1"/>
      <c r="G10557" s="1"/>
    </row>
    <row r="10558">
      <c r="B10558" s="36"/>
      <c r="C10558" s="36"/>
      <c r="E10558" s="1"/>
      <c r="F10558" s="1"/>
      <c r="G10558" s="1"/>
    </row>
    <row r="10559">
      <c r="B10559" s="36"/>
      <c r="C10559" s="36"/>
      <c r="E10559" s="1"/>
      <c r="F10559" s="1"/>
      <c r="G10559" s="1"/>
    </row>
    <row r="10560">
      <c r="B10560" s="36"/>
      <c r="C10560" s="36"/>
      <c r="E10560" s="1"/>
      <c r="F10560" s="1"/>
      <c r="G10560" s="1"/>
    </row>
    <row r="10561">
      <c r="B10561" s="36"/>
      <c r="C10561" s="36"/>
      <c r="E10561" s="1"/>
      <c r="F10561" s="1"/>
      <c r="G10561" s="1"/>
    </row>
    <row r="10562">
      <c r="B10562" s="36"/>
      <c r="C10562" s="36"/>
      <c r="E10562" s="1"/>
      <c r="F10562" s="1"/>
      <c r="G10562" s="1"/>
    </row>
    <row r="10563">
      <c r="B10563" s="36"/>
      <c r="C10563" s="36"/>
      <c r="E10563" s="1"/>
      <c r="F10563" s="1"/>
      <c r="G10563" s="1"/>
    </row>
    <row r="10564">
      <c r="B10564" s="36"/>
      <c r="C10564" s="36"/>
      <c r="E10564" s="1"/>
      <c r="F10564" s="1"/>
      <c r="G10564" s="1"/>
    </row>
    <row r="10565">
      <c r="B10565" s="36"/>
      <c r="C10565" s="36"/>
      <c r="E10565" s="1"/>
      <c r="F10565" s="1"/>
      <c r="G10565" s="1"/>
    </row>
    <row r="10566">
      <c r="B10566" s="36"/>
      <c r="C10566" s="36"/>
      <c r="E10566" s="1"/>
      <c r="F10566" s="1"/>
      <c r="G10566" s="1"/>
    </row>
    <row r="10567">
      <c r="B10567" s="36"/>
      <c r="C10567" s="36"/>
      <c r="E10567" s="1"/>
      <c r="F10567" s="1"/>
      <c r="G10567" s="1"/>
    </row>
    <row r="10568">
      <c r="B10568" s="36"/>
      <c r="C10568" s="36"/>
      <c r="E10568" s="1"/>
      <c r="F10568" s="1"/>
      <c r="G10568" s="1"/>
    </row>
    <row r="10569">
      <c r="B10569" s="36"/>
      <c r="C10569" s="36"/>
      <c r="E10569" s="1"/>
      <c r="F10569" s="1"/>
      <c r="G10569" s="1"/>
    </row>
    <row r="10570">
      <c r="B10570" s="36"/>
      <c r="C10570" s="36"/>
      <c r="E10570" s="1"/>
      <c r="F10570" s="1"/>
      <c r="G10570" s="1"/>
    </row>
    <row r="10571">
      <c r="B10571" s="36"/>
      <c r="C10571" s="36"/>
      <c r="E10571" s="1"/>
      <c r="F10571" s="1"/>
      <c r="G10571" s="1"/>
    </row>
    <row r="10572">
      <c r="B10572" s="36"/>
      <c r="C10572" s="36"/>
      <c r="E10572" s="1"/>
      <c r="F10572" s="1"/>
      <c r="G10572" s="1"/>
    </row>
    <row r="10573">
      <c r="B10573" s="36"/>
      <c r="C10573" s="36"/>
      <c r="E10573" s="1"/>
      <c r="F10573" s="1"/>
      <c r="G10573" s="1"/>
    </row>
    <row r="10574">
      <c r="B10574" s="36"/>
      <c r="C10574" s="36"/>
      <c r="E10574" s="1"/>
      <c r="F10574" s="1"/>
      <c r="G10574" s="1"/>
    </row>
    <row r="10575">
      <c r="B10575" s="36"/>
      <c r="C10575" s="36"/>
      <c r="E10575" s="1"/>
      <c r="F10575" s="1"/>
      <c r="G10575" s="1"/>
    </row>
    <row r="10576">
      <c r="B10576" s="36"/>
      <c r="C10576" s="36"/>
      <c r="E10576" s="1"/>
      <c r="F10576" s="1"/>
      <c r="G10576" s="1"/>
    </row>
    <row r="10577">
      <c r="B10577" s="36"/>
      <c r="C10577" s="36"/>
      <c r="E10577" s="1"/>
      <c r="F10577" s="1"/>
      <c r="G10577" s="1"/>
    </row>
    <row r="10578">
      <c r="B10578" s="36"/>
      <c r="C10578" s="36"/>
      <c r="E10578" s="1"/>
      <c r="F10578" s="1"/>
      <c r="G10578" s="1"/>
    </row>
    <row r="10579">
      <c r="B10579" s="36"/>
      <c r="C10579" s="36"/>
      <c r="E10579" s="1"/>
      <c r="F10579" s="1"/>
      <c r="G10579" s="1"/>
    </row>
    <row r="10580">
      <c r="B10580" s="36"/>
      <c r="C10580" s="36"/>
      <c r="E10580" s="1"/>
      <c r="F10580" s="1"/>
      <c r="G10580" s="1"/>
    </row>
    <row r="10581">
      <c r="B10581" s="36"/>
      <c r="C10581" s="36"/>
      <c r="E10581" s="1"/>
      <c r="F10581" s="1"/>
      <c r="G10581" s="1"/>
    </row>
    <row r="10582">
      <c r="B10582" s="36"/>
      <c r="C10582" s="36"/>
      <c r="E10582" s="1"/>
      <c r="F10582" s="1"/>
      <c r="G10582" s="1"/>
    </row>
    <row r="10583">
      <c r="B10583" s="36"/>
      <c r="C10583" s="36"/>
      <c r="E10583" s="1"/>
      <c r="F10583" s="1"/>
      <c r="G10583" s="1"/>
    </row>
    <row r="10584">
      <c r="B10584" s="36"/>
      <c r="C10584" s="36"/>
      <c r="E10584" s="1"/>
      <c r="F10584" s="1"/>
      <c r="G10584" s="1"/>
    </row>
    <row r="10585">
      <c r="B10585" s="36"/>
      <c r="C10585" s="36"/>
      <c r="E10585" s="1"/>
      <c r="F10585" s="1"/>
      <c r="G10585" s="1"/>
    </row>
    <row r="10586">
      <c r="B10586" s="36"/>
      <c r="C10586" s="36"/>
      <c r="E10586" s="1"/>
      <c r="F10586" s="1"/>
      <c r="G10586" s="1"/>
    </row>
    <row r="10587">
      <c r="B10587" s="36"/>
      <c r="C10587" s="36"/>
      <c r="E10587" s="1"/>
      <c r="F10587" s="1"/>
      <c r="G10587" s="1"/>
    </row>
    <row r="10588">
      <c r="B10588" s="36"/>
      <c r="C10588" s="36"/>
      <c r="E10588" s="1"/>
      <c r="F10588" s="1"/>
      <c r="G10588" s="1"/>
    </row>
    <row r="10589">
      <c r="B10589" s="36"/>
      <c r="C10589" s="36"/>
      <c r="E10589" s="1"/>
      <c r="F10589" s="1"/>
      <c r="G10589" s="1"/>
    </row>
    <row r="10590">
      <c r="B10590" s="36"/>
      <c r="C10590" s="36"/>
      <c r="E10590" s="1"/>
      <c r="F10590" s="1"/>
      <c r="G10590" s="1"/>
    </row>
    <row r="10591">
      <c r="B10591" s="36"/>
      <c r="C10591" s="36"/>
      <c r="E10591" s="1"/>
      <c r="F10591" s="1"/>
      <c r="G10591" s="1"/>
    </row>
    <row r="10592">
      <c r="B10592" s="36"/>
      <c r="C10592" s="36"/>
      <c r="E10592" s="1"/>
      <c r="F10592" s="1"/>
      <c r="G10592" s="1"/>
    </row>
    <row r="10593">
      <c r="B10593" s="36"/>
      <c r="C10593" s="36"/>
      <c r="E10593" s="1"/>
      <c r="F10593" s="1"/>
      <c r="G10593" s="1"/>
    </row>
    <row r="10594">
      <c r="B10594" s="36"/>
      <c r="C10594" s="36"/>
      <c r="E10594" s="1"/>
      <c r="F10594" s="1"/>
      <c r="G10594" s="1"/>
    </row>
    <row r="10595">
      <c r="B10595" s="36"/>
      <c r="C10595" s="36"/>
      <c r="E10595" s="1"/>
      <c r="F10595" s="1"/>
      <c r="G10595" s="1"/>
    </row>
    <row r="10596">
      <c r="B10596" s="36"/>
      <c r="C10596" s="36"/>
      <c r="E10596" s="1"/>
      <c r="F10596" s="1"/>
      <c r="G10596" s="1"/>
    </row>
    <row r="10597">
      <c r="B10597" s="36"/>
      <c r="C10597" s="36"/>
      <c r="E10597" s="1"/>
      <c r="F10597" s="1"/>
      <c r="G10597" s="1"/>
    </row>
    <row r="10598">
      <c r="B10598" s="36"/>
      <c r="C10598" s="36"/>
      <c r="E10598" s="1"/>
      <c r="F10598" s="1"/>
      <c r="G10598" s="1"/>
    </row>
    <row r="10599">
      <c r="B10599" s="36"/>
      <c r="C10599" s="36"/>
      <c r="E10599" s="1"/>
      <c r="F10599" s="1"/>
      <c r="G10599" s="1"/>
    </row>
    <row r="10600">
      <c r="B10600" s="36"/>
      <c r="C10600" s="36"/>
      <c r="E10600" s="1"/>
      <c r="F10600" s="1"/>
      <c r="G10600" s="1"/>
    </row>
    <row r="10601">
      <c r="B10601" s="36"/>
      <c r="C10601" s="36"/>
      <c r="E10601" s="1"/>
      <c r="F10601" s="1"/>
      <c r="G10601" s="1"/>
    </row>
    <row r="10602">
      <c r="B10602" s="36"/>
      <c r="C10602" s="36"/>
      <c r="E10602" s="1"/>
      <c r="F10602" s="1"/>
      <c r="G10602" s="1"/>
    </row>
    <row r="10603">
      <c r="B10603" s="36"/>
      <c r="C10603" s="36"/>
      <c r="E10603" s="1"/>
      <c r="F10603" s="1"/>
      <c r="G10603" s="1"/>
    </row>
    <row r="10604">
      <c r="B10604" s="36"/>
      <c r="C10604" s="36"/>
      <c r="E10604" s="1"/>
      <c r="F10604" s="1"/>
      <c r="G10604" s="1"/>
    </row>
    <row r="10605">
      <c r="B10605" s="36"/>
      <c r="C10605" s="36"/>
      <c r="E10605" s="1"/>
      <c r="F10605" s="1"/>
      <c r="G10605" s="1"/>
    </row>
    <row r="10606">
      <c r="B10606" s="36"/>
      <c r="C10606" s="36"/>
      <c r="E10606" s="1"/>
      <c r="F10606" s="1"/>
      <c r="G10606" s="1"/>
    </row>
    <row r="10607">
      <c r="B10607" s="36"/>
      <c r="C10607" s="36"/>
      <c r="E10607" s="1"/>
      <c r="F10607" s="1"/>
      <c r="G10607" s="1"/>
    </row>
    <row r="10608">
      <c r="B10608" s="36"/>
      <c r="C10608" s="36"/>
      <c r="E10608" s="1"/>
      <c r="F10608" s="1"/>
      <c r="G10608" s="1"/>
    </row>
    <row r="10609">
      <c r="B10609" s="36"/>
      <c r="C10609" s="36"/>
      <c r="E10609" s="1"/>
      <c r="F10609" s="1"/>
      <c r="G10609" s="1"/>
    </row>
    <row r="10610">
      <c r="B10610" s="36"/>
      <c r="C10610" s="36"/>
      <c r="E10610" s="1"/>
      <c r="F10610" s="1"/>
      <c r="G10610" s="1"/>
    </row>
    <row r="10611">
      <c r="B10611" s="36"/>
      <c r="C10611" s="36"/>
      <c r="E10611" s="1"/>
      <c r="F10611" s="1"/>
      <c r="G10611" s="1"/>
    </row>
    <row r="10612">
      <c r="B10612" s="36"/>
      <c r="C10612" s="36"/>
      <c r="E10612" s="1"/>
      <c r="F10612" s="1"/>
      <c r="G10612" s="1"/>
    </row>
    <row r="10613">
      <c r="B10613" s="36"/>
      <c r="C10613" s="36"/>
      <c r="E10613" s="1"/>
      <c r="F10613" s="1"/>
      <c r="G10613" s="1"/>
    </row>
    <row r="10614">
      <c r="B10614" s="36"/>
      <c r="C10614" s="36"/>
      <c r="E10614" s="1"/>
      <c r="F10614" s="1"/>
      <c r="G10614" s="1"/>
    </row>
    <row r="10615">
      <c r="B10615" s="36"/>
      <c r="C10615" s="36"/>
      <c r="E10615" s="1"/>
      <c r="F10615" s="1"/>
      <c r="G10615" s="1"/>
    </row>
    <row r="10616">
      <c r="B10616" s="36"/>
      <c r="C10616" s="36"/>
      <c r="E10616" s="1"/>
      <c r="F10616" s="1"/>
      <c r="G10616" s="1"/>
    </row>
    <row r="10617">
      <c r="B10617" s="36"/>
      <c r="C10617" s="36"/>
      <c r="E10617" s="1"/>
      <c r="F10617" s="1"/>
      <c r="G10617" s="1"/>
    </row>
    <row r="10618">
      <c r="B10618" s="36"/>
      <c r="C10618" s="36"/>
      <c r="E10618" s="1"/>
      <c r="F10618" s="1"/>
      <c r="G10618" s="1"/>
    </row>
    <row r="10619">
      <c r="B10619" s="36"/>
      <c r="C10619" s="36"/>
      <c r="E10619" s="1"/>
      <c r="F10619" s="1"/>
      <c r="G10619" s="1"/>
    </row>
    <row r="10620">
      <c r="B10620" s="36"/>
      <c r="C10620" s="36"/>
      <c r="E10620" s="1"/>
      <c r="F10620" s="1"/>
      <c r="G10620" s="1"/>
    </row>
    <row r="10621">
      <c r="B10621" s="36"/>
      <c r="C10621" s="36"/>
      <c r="E10621" s="1"/>
      <c r="F10621" s="1"/>
      <c r="G10621" s="1"/>
    </row>
    <row r="10622">
      <c r="B10622" s="36"/>
      <c r="C10622" s="36"/>
      <c r="E10622" s="1"/>
      <c r="F10622" s="1"/>
      <c r="G10622" s="1"/>
    </row>
    <row r="10623">
      <c r="B10623" s="36"/>
      <c r="C10623" s="36"/>
      <c r="E10623" s="1"/>
      <c r="F10623" s="1"/>
      <c r="G10623" s="1"/>
    </row>
    <row r="10624">
      <c r="B10624" s="36"/>
      <c r="C10624" s="36"/>
      <c r="E10624" s="1"/>
      <c r="F10624" s="1"/>
      <c r="G10624" s="1"/>
    </row>
    <row r="10625">
      <c r="B10625" s="36"/>
      <c r="C10625" s="36"/>
      <c r="E10625" s="1"/>
      <c r="F10625" s="1"/>
      <c r="G10625" s="1"/>
    </row>
    <row r="10626">
      <c r="B10626" s="36"/>
      <c r="C10626" s="36"/>
      <c r="E10626" s="1"/>
      <c r="F10626" s="1"/>
      <c r="G10626" s="1"/>
    </row>
    <row r="10627">
      <c r="B10627" s="36"/>
      <c r="C10627" s="36"/>
      <c r="E10627" s="1"/>
      <c r="F10627" s="1"/>
      <c r="G10627" s="1"/>
    </row>
    <row r="10628">
      <c r="B10628" s="36"/>
      <c r="C10628" s="36"/>
      <c r="E10628" s="1"/>
      <c r="F10628" s="1"/>
      <c r="G10628" s="1"/>
    </row>
    <row r="10629">
      <c r="B10629" s="36"/>
      <c r="C10629" s="36"/>
      <c r="E10629" s="1"/>
      <c r="F10629" s="1"/>
      <c r="G10629" s="1"/>
    </row>
    <row r="10630">
      <c r="B10630" s="36"/>
      <c r="C10630" s="36"/>
      <c r="E10630" s="1"/>
      <c r="F10630" s="1"/>
      <c r="G10630" s="1"/>
    </row>
    <row r="10631">
      <c r="B10631" s="36"/>
      <c r="C10631" s="36"/>
      <c r="E10631" s="1"/>
      <c r="F10631" s="1"/>
      <c r="G10631" s="1"/>
    </row>
    <row r="10632">
      <c r="B10632" s="36"/>
      <c r="C10632" s="36"/>
      <c r="E10632" s="1"/>
      <c r="F10632" s="1"/>
      <c r="G10632" s="1"/>
    </row>
    <row r="10633">
      <c r="B10633" s="36"/>
      <c r="C10633" s="36"/>
      <c r="E10633" s="1"/>
      <c r="F10633" s="1"/>
      <c r="G10633" s="1"/>
    </row>
    <row r="10634">
      <c r="B10634" s="36"/>
      <c r="C10634" s="36"/>
      <c r="E10634" s="1"/>
      <c r="F10634" s="1"/>
      <c r="G10634" s="1"/>
    </row>
    <row r="10635">
      <c r="B10635" s="36"/>
      <c r="C10635" s="36"/>
      <c r="E10635" s="1"/>
      <c r="F10635" s="1"/>
      <c r="G10635" s="1"/>
    </row>
    <row r="10636">
      <c r="B10636" s="36"/>
      <c r="C10636" s="36"/>
      <c r="E10636" s="1"/>
      <c r="F10636" s="1"/>
      <c r="G10636" s="1"/>
    </row>
    <row r="10637">
      <c r="B10637" s="36"/>
      <c r="C10637" s="36"/>
      <c r="E10637" s="1"/>
      <c r="F10637" s="1"/>
      <c r="G10637" s="1"/>
    </row>
    <row r="10638">
      <c r="B10638" s="36"/>
      <c r="C10638" s="36"/>
      <c r="E10638" s="1"/>
      <c r="F10638" s="1"/>
      <c r="G10638" s="1"/>
    </row>
    <row r="10639">
      <c r="B10639" s="36"/>
      <c r="C10639" s="36"/>
      <c r="E10639" s="1"/>
      <c r="F10639" s="1"/>
      <c r="G10639" s="1"/>
    </row>
    <row r="10640">
      <c r="B10640" s="36"/>
      <c r="C10640" s="36"/>
      <c r="E10640" s="1"/>
      <c r="F10640" s="1"/>
      <c r="G10640" s="1"/>
    </row>
    <row r="10641">
      <c r="B10641" s="36"/>
      <c r="C10641" s="36"/>
      <c r="E10641" s="1"/>
      <c r="F10641" s="1"/>
      <c r="G10641" s="1"/>
    </row>
    <row r="10642">
      <c r="B10642" s="36"/>
      <c r="C10642" s="36"/>
      <c r="E10642" s="1"/>
      <c r="F10642" s="1"/>
      <c r="G10642" s="1"/>
    </row>
    <row r="10643">
      <c r="B10643" s="36"/>
      <c r="C10643" s="36"/>
      <c r="E10643" s="1"/>
      <c r="F10643" s="1"/>
      <c r="G10643" s="1"/>
    </row>
    <row r="10644">
      <c r="B10644" s="36"/>
      <c r="C10644" s="36"/>
      <c r="E10644" s="1"/>
      <c r="F10644" s="1"/>
      <c r="G10644" s="1"/>
    </row>
    <row r="10645">
      <c r="B10645" s="36"/>
      <c r="C10645" s="36"/>
      <c r="E10645" s="1"/>
      <c r="F10645" s="1"/>
      <c r="G10645" s="1"/>
    </row>
    <row r="10646">
      <c r="B10646" s="36"/>
      <c r="C10646" s="36"/>
      <c r="E10646" s="1"/>
      <c r="F10646" s="1"/>
      <c r="G10646" s="1"/>
    </row>
    <row r="10647">
      <c r="B10647" s="36"/>
      <c r="C10647" s="36"/>
      <c r="E10647" s="1"/>
      <c r="F10647" s="1"/>
      <c r="G10647" s="1"/>
    </row>
    <row r="10648">
      <c r="B10648" s="36"/>
      <c r="C10648" s="36"/>
      <c r="E10648" s="1"/>
      <c r="F10648" s="1"/>
      <c r="G10648" s="1"/>
    </row>
    <row r="10649">
      <c r="B10649" s="36"/>
      <c r="C10649" s="36"/>
      <c r="E10649" s="1"/>
      <c r="F10649" s="1"/>
      <c r="G10649" s="1"/>
    </row>
    <row r="10650">
      <c r="B10650" s="36"/>
      <c r="C10650" s="36"/>
      <c r="E10650" s="1"/>
      <c r="F10650" s="1"/>
      <c r="G10650" s="1"/>
    </row>
    <row r="10651">
      <c r="B10651" s="36"/>
      <c r="C10651" s="36"/>
      <c r="E10651" s="1"/>
      <c r="F10651" s="1"/>
      <c r="G10651" s="1"/>
    </row>
    <row r="10652">
      <c r="B10652" s="36"/>
      <c r="C10652" s="36"/>
      <c r="E10652" s="1"/>
      <c r="F10652" s="1"/>
      <c r="G10652" s="1"/>
    </row>
    <row r="10653">
      <c r="B10653" s="36"/>
      <c r="C10653" s="36"/>
      <c r="E10653" s="1"/>
      <c r="F10653" s="1"/>
      <c r="G10653" s="1"/>
    </row>
    <row r="10654">
      <c r="B10654" s="36"/>
      <c r="C10654" s="36"/>
      <c r="E10654" s="1"/>
      <c r="F10654" s="1"/>
      <c r="G10654" s="1"/>
    </row>
    <row r="10655">
      <c r="B10655" s="36"/>
      <c r="C10655" s="36"/>
      <c r="E10655" s="1"/>
      <c r="F10655" s="1"/>
      <c r="G10655" s="1"/>
    </row>
    <row r="10656">
      <c r="B10656" s="36"/>
      <c r="C10656" s="36"/>
      <c r="E10656" s="1"/>
      <c r="F10656" s="1"/>
      <c r="G10656" s="1"/>
    </row>
    <row r="10657">
      <c r="B10657" s="36"/>
      <c r="C10657" s="36"/>
      <c r="E10657" s="1"/>
      <c r="F10657" s="1"/>
      <c r="G10657" s="1"/>
    </row>
    <row r="10658">
      <c r="B10658" s="36"/>
      <c r="C10658" s="36"/>
      <c r="E10658" s="1"/>
      <c r="F10658" s="1"/>
      <c r="G10658" s="1"/>
    </row>
    <row r="10659">
      <c r="B10659" s="36"/>
      <c r="C10659" s="36"/>
      <c r="E10659" s="1"/>
      <c r="F10659" s="1"/>
      <c r="G10659" s="1"/>
    </row>
    <row r="10660">
      <c r="B10660" s="36"/>
      <c r="C10660" s="36"/>
      <c r="E10660" s="1"/>
      <c r="F10660" s="1"/>
      <c r="G10660" s="1"/>
    </row>
    <row r="10661">
      <c r="B10661" s="36"/>
      <c r="C10661" s="36"/>
      <c r="E10661" s="1"/>
      <c r="F10661" s="1"/>
      <c r="G10661" s="1"/>
    </row>
    <row r="10662">
      <c r="B10662" s="36"/>
      <c r="C10662" s="36"/>
      <c r="E10662" s="1"/>
      <c r="F10662" s="1"/>
      <c r="G10662" s="1"/>
    </row>
    <row r="10663">
      <c r="B10663" s="36"/>
      <c r="C10663" s="36"/>
      <c r="E10663" s="1"/>
      <c r="F10663" s="1"/>
      <c r="G10663" s="1"/>
    </row>
    <row r="10664">
      <c r="B10664" s="36"/>
      <c r="C10664" s="36"/>
      <c r="E10664" s="1"/>
      <c r="F10664" s="1"/>
      <c r="G10664" s="1"/>
    </row>
    <row r="10665">
      <c r="B10665" s="36"/>
      <c r="C10665" s="36"/>
      <c r="E10665" s="1"/>
      <c r="F10665" s="1"/>
      <c r="G10665" s="1"/>
    </row>
    <row r="10666">
      <c r="B10666" s="36"/>
      <c r="C10666" s="36"/>
      <c r="E10666" s="1"/>
      <c r="F10666" s="1"/>
      <c r="G10666" s="1"/>
    </row>
    <row r="10667">
      <c r="B10667" s="36"/>
      <c r="C10667" s="36"/>
      <c r="E10667" s="1"/>
      <c r="F10667" s="1"/>
      <c r="G10667" s="1"/>
    </row>
    <row r="10668">
      <c r="B10668" s="36"/>
      <c r="C10668" s="36"/>
      <c r="E10668" s="1"/>
      <c r="F10668" s="1"/>
      <c r="G10668" s="1"/>
    </row>
    <row r="10669">
      <c r="B10669" s="36"/>
      <c r="C10669" s="36"/>
      <c r="E10669" s="1"/>
      <c r="F10669" s="1"/>
      <c r="G10669" s="1"/>
    </row>
    <row r="10670">
      <c r="B10670" s="36"/>
      <c r="C10670" s="36"/>
      <c r="E10670" s="1"/>
      <c r="F10670" s="1"/>
      <c r="G10670" s="1"/>
    </row>
    <row r="10671">
      <c r="B10671" s="36"/>
      <c r="C10671" s="36"/>
      <c r="E10671" s="1"/>
      <c r="F10671" s="1"/>
      <c r="G10671" s="1"/>
    </row>
    <row r="10672">
      <c r="B10672" s="36"/>
      <c r="C10672" s="36"/>
      <c r="E10672" s="1"/>
      <c r="F10672" s="1"/>
      <c r="G10672" s="1"/>
    </row>
    <row r="10673">
      <c r="B10673" s="36"/>
      <c r="C10673" s="36"/>
      <c r="E10673" s="1"/>
      <c r="F10673" s="1"/>
      <c r="G10673" s="1"/>
    </row>
    <row r="10674">
      <c r="B10674" s="36"/>
      <c r="C10674" s="36"/>
      <c r="E10674" s="1"/>
      <c r="F10674" s="1"/>
      <c r="G10674" s="1"/>
    </row>
    <row r="10675">
      <c r="B10675" s="36"/>
      <c r="C10675" s="36"/>
      <c r="E10675" s="1"/>
      <c r="F10675" s="1"/>
      <c r="G10675" s="1"/>
    </row>
    <row r="10676">
      <c r="B10676" s="36"/>
      <c r="C10676" s="36"/>
      <c r="E10676" s="1"/>
      <c r="F10676" s="1"/>
      <c r="G10676" s="1"/>
    </row>
    <row r="10677">
      <c r="B10677" s="36"/>
      <c r="C10677" s="36"/>
      <c r="E10677" s="1"/>
      <c r="F10677" s="1"/>
      <c r="G10677" s="1"/>
    </row>
    <row r="10678">
      <c r="B10678" s="36"/>
      <c r="C10678" s="36"/>
      <c r="E10678" s="1"/>
      <c r="F10678" s="1"/>
      <c r="G10678" s="1"/>
    </row>
    <row r="10679">
      <c r="B10679" s="36"/>
      <c r="C10679" s="36"/>
      <c r="E10679" s="1"/>
      <c r="F10679" s="1"/>
      <c r="G10679" s="1"/>
    </row>
    <row r="10680">
      <c r="B10680" s="36"/>
      <c r="C10680" s="36"/>
      <c r="E10680" s="1"/>
      <c r="F10680" s="1"/>
      <c r="G10680" s="1"/>
    </row>
    <row r="10681">
      <c r="B10681" s="36"/>
      <c r="C10681" s="36"/>
      <c r="E10681" s="1"/>
      <c r="F10681" s="1"/>
      <c r="G10681" s="1"/>
    </row>
    <row r="10682">
      <c r="B10682" s="36"/>
      <c r="C10682" s="36"/>
      <c r="E10682" s="1"/>
      <c r="F10682" s="1"/>
      <c r="G10682" s="1"/>
    </row>
    <row r="10683">
      <c r="B10683" s="36"/>
      <c r="C10683" s="36"/>
      <c r="E10683" s="1"/>
      <c r="F10683" s="1"/>
      <c r="G10683" s="1"/>
    </row>
    <row r="10684">
      <c r="B10684" s="36"/>
      <c r="C10684" s="36"/>
      <c r="E10684" s="1"/>
      <c r="F10684" s="1"/>
      <c r="G10684" s="1"/>
    </row>
    <row r="10685">
      <c r="B10685" s="36"/>
      <c r="C10685" s="36"/>
      <c r="E10685" s="1"/>
      <c r="F10685" s="1"/>
      <c r="G10685" s="1"/>
    </row>
    <row r="10686">
      <c r="B10686" s="36"/>
      <c r="C10686" s="36"/>
      <c r="E10686" s="1"/>
      <c r="F10686" s="1"/>
      <c r="G10686" s="1"/>
    </row>
    <row r="10687">
      <c r="B10687" s="36"/>
      <c r="C10687" s="36"/>
      <c r="E10687" s="1"/>
      <c r="F10687" s="1"/>
      <c r="G10687" s="1"/>
    </row>
    <row r="10688">
      <c r="B10688" s="36"/>
      <c r="C10688" s="36"/>
      <c r="E10688" s="1"/>
      <c r="F10688" s="1"/>
      <c r="G10688" s="1"/>
    </row>
    <row r="10689">
      <c r="B10689" s="36"/>
      <c r="C10689" s="36"/>
      <c r="E10689" s="1"/>
      <c r="F10689" s="1"/>
      <c r="G10689" s="1"/>
    </row>
    <row r="10690">
      <c r="B10690" s="36"/>
      <c r="C10690" s="36"/>
      <c r="E10690" s="1"/>
      <c r="F10690" s="1"/>
      <c r="G10690" s="1"/>
    </row>
    <row r="10691">
      <c r="B10691" s="36"/>
      <c r="C10691" s="36"/>
      <c r="E10691" s="1"/>
      <c r="F10691" s="1"/>
      <c r="G10691" s="1"/>
    </row>
    <row r="10692">
      <c r="B10692" s="36"/>
      <c r="C10692" s="36"/>
      <c r="E10692" s="1"/>
      <c r="F10692" s="1"/>
      <c r="G10692" s="1"/>
    </row>
    <row r="10693">
      <c r="B10693" s="36"/>
      <c r="C10693" s="36"/>
      <c r="E10693" s="1"/>
      <c r="F10693" s="1"/>
      <c r="G10693" s="1"/>
    </row>
    <row r="10694">
      <c r="B10694" s="36"/>
      <c r="C10694" s="36"/>
      <c r="E10694" s="1"/>
      <c r="F10694" s="1"/>
      <c r="G10694" s="1"/>
    </row>
    <row r="10695">
      <c r="B10695" s="36"/>
      <c r="C10695" s="36"/>
      <c r="E10695" s="1"/>
      <c r="F10695" s="1"/>
      <c r="G10695" s="1"/>
    </row>
    <row r="10696">
      <c r="B10696" s="36"/>
      <c r="C10696" s="36"/>
      <c r="E10696" s="1"/>
      <c r="F10696" s="1"/>
      <c r="G10696" s="1"/>
    </row>
    <row r="10697">
      <c r="B10697" s="36"/>
      <c r="C10697" s="36"/>
      <c r="E10697" s="1"/>
      <c r="F10697" s="1"/>
      <c r="G10697" s="1"/>
    </row>
    <row r="10698">
      <c r="B10698" s="36"/>
      <c r="C10698" s="36"/>
      <c r="E10698" s="1"/>
      <c r="F10698" s="1"/>
      <c r="G10698" s="1"/>
    </row>
    <row r="10699">
      <c r="B10699" s="36"/>
      <c r="C10699" s="36"/>
      <c r="E10699" s="1"/>
      <c r="F10699" s="1"/>
      <c r="G10699" s="1"/>
    </row>
    <row r="10700">
      <c r="B10700" s="36"/>
      <c r="C10700" s="36"/>
      <c r="E10700" s="1"/>
      <c r="F10700" s="1"/>
      <c r="G10700" s="1"/>
    </row>
    <row r="10701">
      <c r="B10701" s="36"/>
      <c r="C10701" s="36"/>
      <c r="E10701" s="1"/>
      <c r="F10701" s="1"/>
      <c r="G10701" s="1"/>
    </row>
    <row r="10702">
      <c r="B10702" s="36"/>
      <c r="C10702" s="36"/>
      <c r="E10702" s="1"/>
      <c r="F10702" s="1"/>
      <c r="G10702" s="1"/>
    </row>
    <row r="10703">
      <c r="B10703" s="36"/>
      <c r="C10703" s="36"/>
      <c r="E10703" s="1"/>
      <c r="F10703" s="1"/>
      <c r="G10703" s="1"/>
    </row>
    <row r="10704">
      <c r="B10704" s="36"/>
      <c r="C10704" s="36"/>
      <c r="E10704" s="1"/>
      <c r="F10704" s="1"/>
      <c r="G10704" s="1"/>
    </row>
    <row r="10705">
      <c r="B10705" s="36"/>
      <c r="C10705" s="36"/>
      <c r="E10705" s="1"/>
      <c r="F10705" s="1"/>
      <c r="G10705" s="1"/>
    </row>
    <row r="10706">
      <c r="B10706" s="36"/>
      <c r="C10706" s="36"/>
      <c r="E10706" s="1"/>
      <c r="F10706" s="1"/>
      <c r="G10706" s="1"/>
    </row>
    <row r="10707">
      <c r="B10707" s="36"/>
      <c r="C10707" s="36"/>
      <c r="E10707" s="1"/>
      <c r="F10707" s="1"/>
      <c r="G10707" s="1"/>
    </row>
    <row r="10708">
      <c r="B10708" s="36"/>
      <c r="C10708" s="36"/>
      <c r="E10708" s="1"/>
      <c r="F10708" s="1"/>
      <c r="G10708" s="1"/>
    </row>
    <row r="10709">
      <c r="B10709" s="36"/>
      <c r="C10709" s="36"/>
      <c r="E10709" s="1"/>
      <c r="F10709" s="1"/>
      <c r="G10709" s="1"/>
    </row>
    <row r="10710">
      <c r="B10710" s="36"/>
      <c r="C10710" s="36"/>
      <c r="E10710" s="1"/>
      <c r="F10710" s="1"/>
      <c r="G10710" s="1"/>
    </row>
    <row r="10711">
      <c r="B10711" s="36"/>
      <c r="C10711" s="36"/>
      <c r="E10711" s="1"/>
      <c r="F10711" s="1"/>
      <c r="G10711" s="1"/>
    </row>
    <row r="10712">
      <c r="B10712" s="36"/>
      <c r="C10712" s="36"/>
      <c r="E10712" s="1"/>
      <c r="F10712" s="1"/>
      <c r="G10712" s="1"/>
    </row>
    <row r="10713">
      <c r="B10713" s="36"/>
      <c r="C10713" s="36"/>
      <c r="E10713" s="1"/>
      <c r="F10713" s="1"/>
      <c r="G10713" s="1"/>
    </row>
    <row r="10714">
      <c r="B10714" s="36"/>
      <c r="C10714" s="36"/>
      <c r="E10714" s="1"/>
      <c r="F10714" s="1"/>
      <c r="G10714" s="1"/>
    </row>
    <row r="10715">
      <c r="B10715" s="36"/>
      <c r="C10715" s="36"/>
      <c r="E10715" s="1"/>
      <c r="F10715" s="1"/>
      <c r="G10715" s="1"/>
    </row>
    <row r="10716">
      <c r="B10716" s="36"/>
      <c r="C10716" s="36"/>
      <c r="E10716" s="1"/>
      <c r="F10716" s="1"/>
      <c r="G10716" s="1"/>
    </row>
    <row r="10717">
      <c r="B10717" s="36"/>
      <c r="C10717" s="36"/>
      <c r="E10717" s="1"/>
      <c r="F10717" s="1"/>
      <c r="G10717" s="1"/>
    </row>
    <row r="10718">
      <c r="B10718" s="36"/>
      <c r="C10718" s="36"/>
      <c r="E10718" s="1"/>
      <c r="F10718" s="1"/>
      <c r="G10718" s="1"/>
    </row>
    <row r="10719">
      <c r="B10719" s="36"/>
      <c r="C10719" s="36"/>
      <c r="E10719" s="1"/>
      <c r="F10719" s="1"/>
      <c r="G10719" s="1"/>
    </row>
    <row r="10720">
      <c r="B10720" s="36"/>
      <c r="C10720" s="36"/>
      <c r="E10720" s="1"/>
      <c r="F10720" s="1"/>
      <c r="G10720" s="1"/>
    </row>
    <row r="10721">
      <c r="B10721" s="36"/>
      <c r="C10721" s="36"/>
      <c r="E10721" s="1"/>
      <c r="F10721" s="1"/>
      <c r="G10721" s="1"/>
    </row>
    <row r="10722">
      <c r="B10722" s="36"/>
      <c r="C10722" s="36"/>
      <c r="E10722" s="1"/>
      <c r="F10722" s="1"/>
      <c r="G10722" s="1"/>
    </row>
    <row r="10723">
      <c r="B10723" s="36"/>
      <c r="C10723" s="36"/>
      <c r="E10723" s="1"/>
      <c r="F10723" s="1"/>
      <c r="G10723" s="1"/>
    </row>
    <row r="10724">
      <c r="B10724" s="36"/>
      <c r="C10724" s="36"/>
      <c r="E10724" s="1"/>
      <c r="F10724" s="1"/>
      <c r="G10724" s="1"/>
    </row>
    <row r="10725">
      <c r="B10725" s="36"/>
      <c r="C10725" s="36"/>
      <c r="E10725" s="1"/>
      <c r="F10725" s="1"/>
      <c r="G10725" s="1"/>
    </row>
    <row r="10726">
      <c r="B10726" s="36"/>
      <c r="C10726" s="36"/>
      <c r="E10726" s="1"/>
      <c r="F10726" s="1"/>
      <c r="G10726" s="1"/>
    </row>
    <row r="10727">
      <c r="B10727" s="36"/>
      <c r="C10727" s="36"/>
      <c r="E10727" s="1"/>
      <c r="F10727" s="1"/>
      <c r="G10727" s="1"/>
    </row>
    <row r="10728">
      <c r="B10728" s="36"/>
      <c r="C10728" s="36"/>
      <c r="E10728" s="1"/>
      <c r="F10728" s="1"/>
      <c r="G10728" s="1"/>
    </row>
    <row r="10729">
      <c r="B10729" s="36"/>
      <c r="C10729" s="36"/>
      <c r="E10729" s="1"/>
      <c r="F10729" s="1"/>
      <c r="G10729" s="1"/>
    </row>
    <row r="10730">
      <c r="B10730" s="36"/>
      <c r="C10730" s="36"/>
      <c r="E10730" s="1"/>
      <c r="F10730" s="1"/>
      <c r="G10730" s="1"/>
    </row>
    <row r="10731">
      <c r="B10731" s="36"/>
      <c r="C10731" s="36"/>
      <c r="E10731" s="1"/>
      <c r="F10731" s="1"/>
      <c r="G10731" s="1"/>
    </row>
    <row r="10732">
      <c r="B10732" s="36"/>
      <c r="C10732" s="36"/>
      <c r="E10732" s="1"/>
      <c r="F10732" s="1"/>
      <c r="G10732" s="1"/>
    </row>
    <row r="10733">
      <c r="B10733" s="36"/>
      <c r="C10733" s="36"/>
      <c r="E10733" s="1"/>
      <c r="F10733" s="1"/>
      <c r="G10733" s="1"/>
    </row>
    <row r="10734">
      <c r="B10734" s="36"/>
      <c r="C10734" s="36"/>
      <c r="E10734" s="1"/>
      <c r="F10734" s="1"/>
      <c r="G10734" s="1"/>
    </row>
    <row r="10735">
      <c r="B10735" s="36"/>
      <c r="C10735" s="36"/>
      <c r="E10735" s="1"/>
      <c r="F10735" s="1"/>
      <c r="G10735" s="1"/>
    </row>
    <row r="10736">
      <c r="B10736" s="36"/>
      <c r="C10736" s="36"/>
      <c r="E10736" s="1"/>
      <c r="F10736" s="1"/>
      <c r="G10736" s="1"/>
    </row>
    <row r="10737">
      <c r="B10737" s="36"/>
      <c r="C10737" s="36"/>
      <c r="E10737" s="1"/>
      <c r="F10737" s="1"/>
      <c r="G10737" s="1"/>
    </row>
    <row r="10738">
      <c r="B10738" s="36"/>
      <c r="C10738" s="36"/>
      <c r="E10738" s="1"/>
      <c r="F10738" s="1"/>
      <c r="G10738" s="1"/>
    </row>
    <row r="10739">
      <c r="B10739" s="36"/>
      <c r="C10739" s="36"/>
      <c r="E10739" s="1"/>
      <c r="F10739" s="1"/>
      <c r="G10739" s="1"/>
    </row>
    <row r="10740">
      <c r="B10740" s="36"/>
      <c r="C10740" s="36"/>
      <c r="E10740" s="1"/>
      <c r="F10740" s="1"/>
      <c r="G10740" s="1"/>
    </row>
    <row r="10741">
      <c r="B10741" s="36"/>
      <c r="C10741" s="36"/>
      <c r="E10741" s="1"/>
      <c r="F10741" s="1"/>
      <c r="G10741" s="1"/>
    </row>
    <row r="10742">
      <c r="B10742" s="36"/>
      <c r="C10742" s="36"/>
      <c r="E10742" s="1"/>
      <c r="F10742" s="1"/>
      <c r="G10742" s="1"/>
    </row>
    <row r="10743">
      <c r="B10743" s="36"/>
      <c r="C10743" s="36"/>
      <c r="E10743" s="1"/>
      <c r="F10743" s="1"/>
      <c r="G10743" s="1"/>
    </row>
    <row r="10744">
      <c r="B10744" s="36"/>
      <c r="C10744" s="36"/>
      <c r="E10744" s="1"/>
      <c r="F10744" s="1"/>
      <c r="G10744" s="1"/>
    </row>
    <row r="10745">
      <c r="B10745" s="36"/>
      <c r="C10745" s="36"/>
      <c r="E10745" s="1"/>
      <c r="F10745" s="1"/>
      <c r="G10745" s="1"/>
    </row>
    <row r="10746">
      <c r="B10746" s="36"/>
      <c r="C10746" s="36"/>
      <c r="E10746" s="1"/>
      <c r="F10746" s="1"/>
      <c r="G10746" s="1"/>
    </row>
    <row r="10747">
      <c r="B10747" s="36"/>
      <c r="C10747" s="36"/>
      <c r="E10747" s="1"/>
      <c r="F10747" s="1"/>
      <c r="G10747" s="1"/>
    </row>
    <row r="10748">
      <c r="B10748" s="36"/>
      <c r="C10748" s="36"/>
      <c r="E10748" s="1"/>
      <c r="F10748" s="1"/>
      <c r="G10748" s="1"/>
    </row>
    <row r="10749">
      <c r="B10749" s="36"/>
      <c r="C10749" s="36"/>
      <c r="E10749" s="1"/>
      <c r="F10749" s="1"/>
      <c r="G10749" s="1"/>
    </row>
    <row r="10750">
      <c r="B10750" s="36"/>
      <c r="C10750" s="36"/>
      <c r="E10750" s="1"/>
      <c r="F10750" s="1"/>
      <c r="G10750" s="1"/>
    </row>
    <row r="10751">
      <c r="B10751" s="36"/>
      <c r="C10751" s="36"/>
      <c r="E10751" s="1"/>
      <c r="F10751" s="1"/>
      <c r="G10751" s="1"/>
    </row>
    <row r="10752">
      <c r="B10752" s="36"/>
      <c r="C10752" s="36"/>
      <c r="E10752" s="1"/>
      <c r="F10752" s="1"/>
      <c r="G10752" s="1"/>
    </row>
    <row r="10753">
      <c r="B10753" s="36"/>
      <c r="C10753" s="36"/>
      <c r="E10753" s="1"/>
      <c r="F10753" s="1"/>
      <c r="G10753" s="1"/>
    </row>
    <row r="10754">
      <c r="B10754" s="36"/>
      <c r="C10754" s="36"/>
      <c r="E10754" s="1"/>
      <c r="F10754" s="1"/>
      <c r="G10754" s="1"/>
    </row>
    <row r="10755">
      <c r="B10755" s="36"/>
      <c r="C10755" s="36"/>
      <c r="E10755" s="1"/>
      <c r="F10755" s="1"/>
      <c r="G10755" s="1"/>
    </row>
    <row r="10756">
      <c r="B10756" s="36"/>
      <c r="C10756" s="36"/>
      <c r="E10756" s="1"/>
      <c r="F10756" s="1"/>
      <c r="G10756" s="1"/>
    </row>
    <row r="10757">
      <c r="B10757" s="36"/>
      <c r="C10757" s="36"/>
      <c r="E10757" s="1"/>
      <c r="F10757" s="1"/>
      <c r="G10757" s="1"/>
    </row>
    <row r="10758">
      <c r="B10758" s="36"/>
      <c r="C10758" s="36"/>
      <c r="E10758" s="1"/>
      <c r="F10758" s="1"/>
      <c r="G10758" s="1"/>
    </row>
    <row r="10759">
      <c r="B10759" s="36"/>
      <c r="C10759" s="36"/>
      <c r="E10759" s="1"/>
      <c r="F10759" s="1"/>
      <c r="G10759" s="1"/>
    </row>
    <row r="10760">
      <c r="B10760" s="36"/>
      <c r="C10760" s="36"/>
      <c r="E10760" s="1"/>
      <c r="F10760" s="1"/>
      <c r="G10760" s="1"/>
    </row>
    <row r="10761">
      <c r="B10761" s="36"/>
      <c r="C10761" s="36"/>
      <c r="E10761" s="1"/>
      <c r="F10761" s="1"/>
      <c r="G10761" s="1"/>
    </row>
    <row r="10762">
      <c r="B10762" s="36"/>
      <c r="C10762" s="36"/>
      <c r="E10762" s="1"/>
      <c r="F10762" s="1"/>
      <c r="G10762" s="1"/>
    </row>
    <row r="10763">
      <c r="B10763" s="36"/>
      <c r="C10763" s="36"/>
      <c r="E10763" s="1"/>
      <c r="F10763" s="1"/>
      <c r="G10763" s="1"/>
    </row>
    <row r="10764">
      <c r="B10764" s="36"/>
      <c r="C10764" s="36"/>
      <c r="E10764" s="1"/>
      <c r="F10764" s="1"/>
      <c r="G10764" s="1"/>
    </row>
    <row r="10765">
      <c r="B10765" s="36"/>
      <c r="C10765" s="36"/>
      <c r="E10765" s="1"/>
      <c r="F10765" s="1"/>
      <c r="G10765" s="1"/>
    </row>
    <row r="10766">
      <c r="B10766" s="36"/>
      <c r="C10766" s="36"/>
      <c r="E10766" s="1"/>
      <c r="F10766" s="1"/>
      <c r="G10766" s="1"/>
    </row>
    <row r="10767">
      <c r="B10767" s="36"/>
      <c r="C10767" s="36"/>
      <c r="E10767" s="1"/>
      <c r="F10767" s="1"/>
      <c r="G10767" s="1"/>
    </row>
    <row r="10768">
      <c r="B10768" s="36"/>
      <c r="C10768" s="36"/>
      <c r="E10768" s="1"/>
      <c r="F10768" s="1"/>
      <c r="G10768" s="1"/>
    </row>
    <row r="10769">
      <c r="B10769" s="36"/>
      <c r="C10769" s="36"/>
      <c r="E10769" s="1"/>
      <c r="F10769" s="1"/>
      <c r="G10769" s="1"/>
    </row>
    <row r="10770">
      <c r="B10770" s="36"/>
      <c r="C10770" s="36"/>
      <c r="E10770" s="1"/>
      <c r="F10770" s="1"/>
      <c r="G10770" s="1"/>
    </row>
    <row r="10771">
      <c r="B10771" s="36"/>
      <c r="C10771" s="36"/>
      <c r="E10771" s="1"/>
      <c r="F10771" s="1"/>
      <c r="G10771" s="1"/>
    </row>
    <row r="10772">
      <c r="B10772" s="36"/>
      <c r="C10772" s="36"/>
      <c r="E10772" s="1"/>
      <c r="F10772" s="1"/>
      <c r="G10772" s="1"/>
    </row>
    <row r="10773">
      <c r="B10773" s="36"/>
      <c r="C10773" s="36"/>
      <c r="E10773" s="1"/>
      <c r="F10773" s="1"/>
      <c r="G10773" s="1"/>
    </row>
    <row r="10774">
      <c r="B10774" s="36"/>
      <c r="C10774" s="36"/>
      <c r="E10774" s="1"/>
      <c r="F10774" s="1"/>
      <c r="G10774" s="1"/>
    </row>
    <row r="10775">
      <c r="B10775" s="36"/>
      <c r="C10775" s="36"/>
      <c r="E10775" s="1"/>
      <c r="F10775" s="1"/>
      <c r="G10775" s="1"/>
    </row>
    <row r="10776">
      <c r="B10776" s="36"/>
      <c r="C10776" s="36"/>
      <c r="E10776" s="1"/>
      <c r="F10776" s="1"/>
      <c r="G10776" s="1"/>
    </row>
    <row r="10777">
      <c r="B10777" s="36"/>
      <c r="C10777" s="36"/>
      <c r="E10777" s="1"/>
      <c r="F10777" s="1"/>
      <c r="G10777" s="1"/>
    </row>
    <row r="10778">
      <c r="B10778" s="36"/>
      <c r="C10778" s="36"/>
      <c r="E10778" s="1"/>
      <c r="F10778" s="1"/>
      <c r="G10778" s="1"/>
    </row>
    <row r="10779">
      <c r="B10779" s="36"/>
      <c r="C10779" s="36"/>
      <c r="E10779" s="1"/>
      <c r="F10779" s="1"/>
      <c r="G10779" s="1"/>
    </row>
    <row r="10780">
      <c r="B10780" s="36"/>
      <c r="C10780" s="36"/>
      <c r="E10780" s="1"/>
      <c r="F10780" s="1"/>
      <c r="G10780" s="1"/>
    </row>
    <row r="10781">
      <c r="B10781" s="36"/>
      <c r="C10781" s="36"/>
      <c r="E10781" s="1"/>
      <c r="F10781" s="1"/>
      <c r="G10781" s="1"/>
    </row>
    <row r="10782">
      <c r="B10782" s="36"/>
      <c r="C10782" s="36"/>
      <c r="E10782" s="1"/>
      <c r="F10782" s="1"/>
      <c r="G10782" s="1"/>
    </row>
    <row r="10783">
      <c r="B10783" s="36"/>
      <c r="C10783" s="36"/>
      <c r="E10783" s="1"/>
      <c r="F10783" s="1"/>
      <c r="G10783" s="1"/>
    </row>
    <row r="10784">
      <c r="B10784" s="36"/>
      <c r="C10784" s="36"/>
      <c r="E10784" s="1"/>
      <c r="F10784" s="1"/>
      <c r="G10784" s="1"/>
    </row>
    <row r="10785">
      <c r="B10785" s="36"/>
      <c r="C10785" s="36"/>
      <c r="E10785" s="1"/>
      <c r="F10785" s="1"/>
      <c r="G10785" s="1"/>
    </row>
    <row r="10786">
      <c r="B10786" s="36"/>
      <c r="C10786" s="36"/>
      <c r="E10786" s="1"/>
      <c r="F10786" s="1"/>
      <c r="G10786" s="1"/>
    </row>
    <row r="10787">
      <c r="B10787" s="36"/>
      <c r="C10787" s="36"/>
      <c r="E10787" s="1"/>
      <c r="F10787" s="1"/>
      <c r="G10787" s="1"/>
    </row>
    <row r="10788">
      <c r="B10788" s="36"/>
      <c r="C10788" s="36"/>
      <c r="E10788" s="1"/>
      <c r="F10788" s="1"/>
      <c r="G10788" s="1"/>
    </row>
    <row r="10789">
      <c r="B10789" s="36"/>
      <c r="C10789" s="36"/>
      <c r="E10789" s="1"/>
      <c r="F10789" s="1"/>
      <c r="G10789" s="1"/>
    </row>
    <row r="10790">
      <c r="B10790" s="36"/>
      <c r="C10790" s="36"/>
      <c r="E10790" s="1"/>
      <c r="F10790" s="1"/>
      <c r="G10790" s="1"/>
    </row>
    <row r="10791">
      <c r="B10791" s="36"/>
      <c r="C10791" s="36"/>
      <c r="E10791" s="1"/>
      <c r="F10791" s="1"/>
      <c r="G10791" s="1"/>
    </row>
    <row r="10792">
      <c r="B10792" s="36"/>
      <c r="C10792" s="36"/>
      <c r="E10792" s="1"/>
      <c r="F10792" s="1"/>
      <c r="G10792" s="1"/>
    </row>
    <row r="10793">
      <c r="B10793" s="36"/>
      <c r="C10793" s="36"/>
      <c r="E10793" s="1"/>
      <c r="F10793" s="1"/>
      <c r="G10793" s="1"/>
    </row>
    <row r="10794">
      <c r="B10794" s="36"/>
      <c r="C10794" s="36"/>
      <c r="E10794" s="1"/>
      <c r="F10794" s="1"/>
      <c r="G10794" s="1"/>
    </row>
    <row r="10795">
      <c r="B10795" s="36"/>
      <c r="C10795" s="36"/>
      <c r="E10795" s="1"/>
      <c r="F10795" s="1"/>
      <c r="G10795" s="1"/>
    </row>
    <row r="10796">
      <c r="B10796" s="36"/>
      <c r="C10796" s="36"/>
      <c r="E10796" s="1"/>
      <c r="F10796" s="1"/>
      <c r="G10796" s="1"/>
    </row>
    <row r="10797">
      <c r="B10797" s="36"/>
      <c r="C10797" s="36"/>
      <c r="E10797" s="1"/>
      <c r="F10797" s="1"/>
      <c r="G10797" s="1"/>
    </row>
    <row r="10798">
      <c r="B10798" s="36"/>
      <c r="C10798" s="36"/>
      <c r="E10798" s="1"/>
      <c r="F10798" s="1"/>
      <c r="G10798" s="1"/>
    </row>
    <row r="10799">
      <c r="B10799" s="36"/>
      <c r="C10799" s="36"/>
      <c r="E10799" s="1"/>
      <c r="F10799" s="1"/>
      <c r="G10799" s="1"/>
    </row>
    <row r="10800">
      <c r="B10800" s="36"/>
      <c r="C10800" s="36"/>
      <c r="E10800" s="1"/>
      <c r="F10800" s="1"/>
      <c r="G10800" s="1"/>
    </row>
    <row r="10801">
      <c r="B10801" s="36"/>
      <c r="C10801" s="36"/>
      <c r="E10801" s="1"/>
      <c r="F10801" s="1"/>
      <c r="G10801" s="1"/>
    </row>
    <row r="10802">
      <c r="B10802" s="36"/>
      <c r="C10802" s="36"/>
      <c r="E10802" s="1"/>
      <c r="F10802" s="1"/>
      <c r="G10802" s="1"/>
    </row>
    <row r="10803">
      <c r="B10803" s="36"/>
      <c r="C10803" s="36"/>
      <c r="E10803" s="1"/>
      <c r="F10803" s="1"/>
      <c r="G10803" s="1"/>
    </row>
    <row r="10804">
      <c r="B10804" s="36"/>
      <c r="C10804" s="36"/>
      <c r="E10804" s="1"/>
      <c r="F10804" s="1"/>
      <c r="G10804" s="1"/>
    </row>
    <row r="10805">
      <c r="B10805" s="36"/>
      <c r="C10805" s="36"/>
      <c r="E10805" s="1"/>
      <c r="F10805" s="1"/>
      <c r="G10805" s="1"/>
    </row>
    <row r="10806">
      <c r="B10806" s="36"/>
      <c r="C10806" s="36"/>
      <c r="E10806" s="1"/>
      <c r="F10806" s="1"/>
      <c r="G10806" s="1"/>
    </row>
    <row r="10807">
      <c r="B10807" s="36"/>
      <c r="C10807" s="36"/>
      <c r="E10807" s="1"/>
      <c r="F10807" s="1"/>
      <c r="G10807" s="1"/>
    </row>
    <row r="10808">
      <c r="B10808" s="36"/>
      <c r="C10808" s="36"/>
      <c r="E10808" s="1"/>
      <c r="F10808" s="1"/>
      <c r="G10808" s="1"/>
    </row>
    <row r="10809">
      <c r="B10809" s="36"/>
      <c r="C10809" s="36"/>
      <c r="E10809" s="1"/>
      <c r="F10809" s="1"/>
      <c r="G10809" s="1"/>
    </row>
    <row r="10810">
      <c r="B10810" s="36"/>
      <c r="C10810" s="36"/>
      <c r="E10810" s="1"/>
      <c r="F10810" s="1"/>
      <c r="G10810" s="1"/>
    </row>
    <row r="10811">
      <c r="B10811" s="36"/>
      <c r="C10811" s="36"/>
      <c r="E10811" s="1"/>
      <c r="F10811" s="1"/>
      <c r="G10811" s="1"/>
    </row>
    <row r="10812">
      <c r="B10812" s="36"/>
      <c r="C10812" s="36"/>
      <c r="E10812" s="1"/>
      <c r="F10812" s="1"/>
      <c r="G10812" s="1"/>
    </row>
    <row r="10813">
      <c r="B10813" s="36"/>
      <c r="C10813" s="36"/>
      <c r="E10813" s="1"/>
      <c r="F10813" s="1"/>
      <c r="G10813" s="1"/>
    </row>
    <row r="10814">
      <c r="B10814" s="36"/>
      <c r="C10814" s="36"/>
      <c r="E10814" s="1"/>
      <c r="F10814" s="1"/>
      <c r="G10814" s="1"/>
    </row>
    <row r="10815">
      <c r="B10815" s="36"/>
      <c r="C10815" s="36"/>
      <c r="E10815" s="1"/>
      <c r="F10815" s="1"/>
      <c r="G10815" s="1"/>
    </row>
    <row r="10816">
      <c r="B10816" s="36"/>
      <c r="C10816" s="36"/>
      <c r="E10816" s="1"/>
      <c r="F10816" s="1"/>
      <c r="G10816" s="1"/>
    </row>
    <row r="10817">
      <c r="B10817" s="36"/>
      <c r="C10817" s="36"/>
      <c r="E10817" s="1"/>
      <c r="F10817" s="1"/>
      <c r="G10817" s="1"/>
    </row>
    <row r="10818">
      <c r="B10818" s="36"/>
      <c r="C10818" s="36"/>
      <c r="E10818" s="1"/>
      <c r="F10818" s="1"/>
      <c r="G10818" s="1"/>
    </row>
    <row r="10819">
      <c r="B10819" s="36"/>
      <c r="C10819" s="36"/>
      <c r="E10819" s="1"/>
      <c r="F10819" s="1"/>
      <c r="G10819" s="1"/>
    </row>
    <row r="10820">
      <c r="B10820" s="36"/>
      <c r="C10820" s="36"/>
      <c r="E10820" s="1"/>
      <c r="F10820" s="1"/>
      <c r="G10820" s="1"/>
    </row>
    <row r="10821">
      <c r="B10821" s="36"/>
      <c r="C10821" s="36"/>
      <c r="E10821" s="1"/>
      <c r="F10821" s="1"/>
      <c r="G10821" s="1"/>
    </row>
    <row r="10822">
      <c r="B10822" s="36"/>
      <c r="C10822" s="36"/>
      <c r="E10822" s="1"/>
      <c r="F10822" s="1"/>
      <c r="G10822" s="1"/>
    </row>
    <row r="10823">
      <c r="B10823" s="36"/>
      <c r="C10823" s="36"/>
      <c r="E10823" s="1"/>
      <c r="F10823" s="1"/>
      <c r="G10823" s="1"/>
    </row>
    <row r="10824">
      <c r="B10824" s="36"/>
      <c r="C10824" s="36"/>
      <c r="E10824" s="1"/>
      <c r="F10824" s="1"/>
      <c r="G10824" s="1"/>
    </row>
    <row r="10825">
      <c r="B10825" s="36"/>
      <c r="C10825" s="36"/>
      <c r="E10825" s="1"/>
      <c r="F10825" s="1"/>
      <c r="G10825" s="1"/>
    </row>
    <row r="10826">
      <c r="B10826" s="36"/>
      <c r="C10826" s="36"/>
      <c r="E10826" s="1"/>
      <c r="F10826" s="1"/>
      <c r="G10826" s="1"/>
    </row>
    <row r="10827">
      <c r="B10827" s="36"/>
      <c r="C10827" s="36"/>
      <c r="E10827" s="1"/>
      <c r="F10827" s="1"/>
      <c r="G10827" s="1"/>
    </row>
    <row r="10828">
      <c r="B10828" s="36"/>
      <c r="C10828" s="36"/>
      <c r="E10828" s="1"/>
      <c r="F10828" s="1"/>
      <c r="G10828" s="1"/>
    </row>
    <row r="10829">
      <c r="B10829" s="36"/>
      <c r="C10829" s="36"/>
      <c r="E10829" s="1"/>
      <c r="F10829" s="1"/>
      <c r="G10829" s="1"/>
    </row>
    <row r="10830">
      <c r="B10830" s="36"/>
      <c r="C10830" s="36"/>
      <c r="E10830" s="1"/>
      <c r="F10830" s="1"/>
      <c r="G10830" s="1"/>
    </row>
    <row r="10831">
      <c r="B10831" s="36"/>
      <c r="C10831" s="36"/>
      <c r="E10831" s="1"/>
      <c r="F10831" s="1"/>
      <c r="G10831" s="1"/>
    </row>
    <row r="10832">
      <c r="B10832" s="36"/>
      <c r="C10832" s="36"/>
      <c r="E10832" s="1"/>
      <c r="F10832" s="1"/>
      <c r="G10832" s="1"/>
    </row>
    <row r="10833">
      <c r="B10833" s="36"/>
      <c r="C10833" s="36"/>
      <c r="E10833" s="1"/>
      <c r="F10833" s="1"/>
      <c r="G10833" s="1"/>
    </row>
    <row r="10834">
      <c r="B10834" s="36"/>
      <c r="C10834" s="36"/>
      <c r="E10834" s="1"/>
      <c r="F10834" s="1"/>
      <c r="G10834" s="1"/>
    </row>
    <row r="10835">
      <c r="B10835" s="36"/>
      <c r="C10835" s="36"/>
      <c r="E10835" s="1"/>
      <c r="F10835" s="1"/>
      <c r="G10835" s="1"/>
    </row>
    <row r="10836">
      <c r="B10836" s="36"/>
      <c r="C10836" s="36"/>
      <c r="E10836" s="1"/>
      <c r="F10836" s="1"/>
      <c r="G10836" s="1"/>
    </row>
    <row r="10837">
      <c r="B10837" s="36"/>
      <c r="C10837" s="36"/>
      <c r="E10837" s="1"/>
      <c r="F10837" s="1"/>
      <c r="G10837" s="1"/>
    </row>
    <row r="10838">
      <c r="B10838" s="36"/>
      <c r="C10838" s="36"/>
      <c r="E10838" s="1"/>
      <c r="F10838" s="1"/>
      <c r="G10838" s="1"/>
    </row>
    <row r="10839">
      <c r="B10839" s="36"/>
      <c r="C10839" s="36"/>
      <c r="E10839" s="1"/>
      <c r="F10839" s="1"/>
      <c r="G10839" s="1"/>
    </row>
    <row r="10840">
      <c r="B10840" s="36"/>
      <c r="C10840" s="36"/>
      <c r="E10840" s="1"/>
      <c r="F10840" s="1"/>
      <c r="G10840" s="1"/>
    </row>
    <row r="10841">
      <c r="B10841" s="36"/>
      <c r="C10841" s="36"/>
      <c r="E10841" s="1"/>
      <c r="F10841" s="1"/>
      <c r="G10841" s="1"/>
    </row>
    <row r="10842">
      <c r="B10842" s="36"/>
      <c r="C10842" s="36"/>
      <c r="E10842" s="1"/>
      <c r="F10842" s="1"/>
      <c r="G10842" s="1"/>
    </row>
    <row r="10843">
      <c r="B10843" s="36"/>
      <c r="C10843" s="36"/>
      <c r="E10843" s="1"/>
      <c r="F10843" s="1"/>
      <c r="G10843" s="1"/>
    </row>
    <row r="10844">
      <c r="B10844" s="36"/>
      <c r="C10844" s="36"/>
      <c r="E10844" s="1"/>
      <c r="F10844" s="1"/>
      <c r="G10844" s="1"/>
    </row>
    <row r="10845">
      <c r="B10845" s="36"/>
      <c r="C10845" s="36"/>
      <c r="E10845" s="1"/>
      <c r="F10845" s="1"/>
      <c r="G10845" s="1"/>
    </row>
    <row r="10846">
      <c r="B10846" s="36"/>
      <c r="C10846" s="36"/>
      <c r="E10846" s="1"/>
      <c r="F10846" s="1"/>
      <c r="G10846" s="1"/>
    </row>
    <row r="10847">
      <c r="B10847" s="36"/>
      <c r="C10847" s="36"/>
      <c r="E10847" s="1"/>
      <c r="F10847" s="1"/>
      <c r="G10847" s="1"/>
    </row>
    <row r="10848">
      <c r="B10848" s="36"/>
      <c r="C10848" s="36"/>
      <c r="E10848" s="1"/>
      <c r="F10848" s="1"/>
      <c r="G10848" s="1"/>
    </row>
    <row r="10849">
      <c r="B10849" s="36"/>
      <c r="C10849" s="36"/>
      <c r="E10849" s="1"/>
      <c r="F10849" s="1"/>
      <c r="G10849" s="1"/>
    </row>
    <row r="10850">
      <c r="B10850" s="36"/>
      <c r="C10850" s="36"/>
      <c r="E10850" s="1"/>
      <c r="F10850" s="1"/>
      <c r="G10850" s="1"/>
    </row>
    <row r="10851">
      <c r="B10851" s="36"/>
      <c r="C10851" s="36"/>
      <c r="E10851" s="1"/>
      <c r="F10851" s="1"/>
      <c r="G10851" s="1"/>
    </row>
    <row r="10852">
      <c r="B10852" s="36"/>
      <c r="C10852" s="36"/>
      <c r="E10852" s="1"/>
      <c r="F10852" s="1"/>
      <c r="G10852" s="1"/>
    </row>
    <row r="10853">
      <c r="B10853" s="36"/>
      <c r="C10853" s="36"/>
      <c r="E10853" s="1"/>
      <c r="F10853" s="1"/>
      <c r="G10853" s="1"/>
    </row>
    <row r="10854">
      <c r="B10854" s="36"/>
      <c r="C10854" s="36"/>
      <c r="E10854" s="1"/>
      <c r="F10854" s="1"/>
      <c r="G10854" s="1"/>
    </row>
    <row r="10855">
      <c r="B10855" s="36"/>
      <c r="C10855" s="36"/>
      <c r="E10855" s="1"/>
      <c r="F10855" s="1"/>
      <c r="G10855" s="1"/>
    </row>
    <row r="10856">
      <c r="B10856" s="36"/>
      <c r="C10856" s="36"/>
      <c r="E10856" s="1"/>
      <c r="F10856" s="1"/>
      <c r="G10856" s="1"/>
    </row>
    <row r="10857">
      <c r="B10857" s="36"/>
      <c r="C10857" s="36"/>
      <c r="E10857" s="1"/>
      <c r="F10857" s="1"/>
      <c r="G10857" s="1"/>
    </row>
    <row r="10858">
      <c r="B10858" s="36"/>
      <c r="C10858" s="36"/>
      <c r="E10858" s="1"/>
      <c r="F10858" s="1"/>
      <c r="G10858" s="1"/>
    </row>
    <row r="10859">
      <c r="B10859" s="36"/>
      <c r="C10859" s="36"/>
      <c r="E10859" s="1"/>
      <c r="F10859" s="1"/>
      <c r="G10859" s="1"/>
    </row>
    <row r="10860">
      <c r="B10860" s="36"/>
      <c r="C10860" s="36"/>
      <c r="E10860" s="1"/>
      <c r="F10860" s="1"/>
      <c r="G10860" s="1"/>
    </row>
    <row r="10861">
      <c r="B10861" s="36"/>
      <c r="C10861" s="36"/>
      <c r="E10861" s="1"/>
      <c r="F10861" s="1"/>
      <c r="G10861" s="1"/>
    </row>
    <row r="10862">
      <c r="B10862" s="36"/>
      <c r="C10862" s="36"/>
      <c r="E10862" s="1"/>
      <c r="F10862" s="1"/>
      <c r="G10862" s="1"/>
    </row>
    <row r="10863">
      <c r="B10863" s="36"/>
      <c r="C10863" s="36"/>
      <c r="E10863" s="1"/>
      <c r="F10863" s="1"/>
      <c r="G10863" s="1"/>
    </row>
    <row r="10864">
      <c r="B10864" s="36"/>
      <c r="C10864" s="36"/>
      <c r="E10864" s="1"/>
      <c r="F10864" s="1"/>
      <c r="G10864" s="1"/>
    </row>
    <row r="10865">
      <c r="B10865" s="36"/>
      <c r="C10865" s="36"/>
      <c r="E10865" s="1"/>
      <c r="F10865" s="1"/>
      <c r="G10865" s="1"/>
    </row>
    <row r="10866">
      <c r="B10866" s="36"/>
      <c r="C10866" s="36"/>
      <c r="E10866" s="1"/>
      <c r="F10866" s="1"/>
      <c r="G10866" s="1"/>
    </row>
    <row r="10867">
      <c r="B10867" s="36"/>
      <c r="C10867" s="36"/>
      <c r="E10867" s="1"/>
      <c r="F10867" s="1"/>
      <c r="G10867" s="1"/>
    </row>
    <row r="10868">
      <c r="B10868" s="36"/>
      <c r="C10868" s="36"/>
      <c r="E10868" s="1"/>
      <c r="F10868" s="1"/>
      <c r="G10868" s="1"/>
    </row>
    <row r="10869">
      <c r="B10869" s="36"/>
      <c r="C10869" s="36"/>
      <c r="E10869" s="1"/>
      <c r="F10869" s="1"/>
      <c r="G10869" s="1"/>
    </row>
    <row r="10870">
      <c r="B10870" s="36"/>
      <c r="C10870" s="36"/>
      <c r="E10870" s="1"/>
      <c r="F10870" s="1"/>
      <c r="G10870" s="1"/>
    </row>
    <row r="10871">
      <c r="B10871" s="36"/>
      <c r="C10871" s="36"/>
      <c r="E10871" s="1"/>
      <c r="F10871" s="1"/>
      <c r="G10871" s="1"/>
    </row>
    <row r="10872">
      <c r="B10872" s="36"/>
      <c r="C10872" s="36"/>
      <c r="E10872" s="1"/>
      <c r="F10872" s="1"/>
      <c r="G10872" s="1"/>
    </row>
    <row r="10873">
      <c r="B10873" s="36"/>
      <c r="C10873" s="36"/>
      <c r="E10873" s="1"/>
      <c r="F10873" s="1"/>
      <c r="G10873" s="1"/>
    </row>
    <row r="10874">
      <c r="B10874" s="36"/>
      <c r="C10874" s="36"/>
      <c r="E10874" s="1"/>
      <c r="F10874" s="1"/>
      <c r="G10874" s="1"/>
    </row>
    <row r="10875">
      <c r="B10875" s="36"/>
      <c r="C10875" s="36"/>
      <c r="E10875" s="1"/>
      <c r="F10875" s="1"/>
      <c r="G10875" s="1"/>
    </row>
    <row r="10876">
      <c r="B10876" s="36"/>
      <c r="C10876" s="36"/>
      <c r="E10876" s="1"/>
      <c r="F10876" s="1"/>
      <c r="G10876" s="1"/>
    </row>
    <row r="10877">
      <c r="B10877" s="36"/>
      <c r="C10877" s="36"/>
      <c r="E10877" s="1"/>
      <c r="F10877" s="1"/>
      <c r="G10877" s="1"/>
    </row>
    <row r="10878">
      <c r="B10878" s="36"/>
      <c r="C10878" s="36"/>
      <c r="E10878" s="1"/>
      <c r="F10878" s="1"/>
      <c r="G10878" s="1"/>
    </row>
    <row r="10879">
      <c r="B10879" s="36"/>
      <c r="C10879" s="36"/>
      <c r="E10879" s="1"/>
      <c r="F10879" s="1"/>
      <c r="G10879" s="1"/>
    </row>
    <row r="10880">
      <c r="B10880" s="36"/>
      <c r="C10880" s="36"/>
      <c r="E10880" s="1"/>
      <c r="F10880" s="1"/>
      <c r="G10880" s="1"/>
    </row>
    <row r="10881">
      <c r="B10881" s="36"/>
      <c r="C10881" s="36"/>
      <c r="E10881" s="1"/>
      <c r="F10881" s="1"/>
      <c r="G10881" s="1"/>
    </row>
    <row r="10882">
      <c r="B10882" s="36"/>
      <c r="C10882" s="36"/>
      <c r="E10882" s="1"/>
      <c r="F10882" s="1"/>
      <c r="G10882" s="1"/>
    </row>
    <row r="10883">
      <c r="B10883" s="36"/>
      <c r="C10883" s="36"/>
      <c r="E10883" s="1"/>
      <c r="F10883" s="1"/>
      <c r="G10883" s="1"/>
    </row>
    <row r="10884">
      <c r="B10884" s="36"/>
      <c r="C10884" s="36"/>
      <c r="E10884" s="1"/>
      <c r="F10884" s="1"/>
      <c r="G10884" s="1"/>
    </row>
    <row r="10885">
      <c r="B10885" s="36"/>
      <c r="C10885" s="36"/>
      <c r="E10885" s="1"/>
      <c r="F10885" s="1"/>
      <c r="G10885" s="1"/>
    </row>
    <row r="10886">
      <c r="B10886" s="36"/>
      <c r="C10886" s="36"/>
      <c r="E10886" s="1"/>
      <c r="F10886" s="1"/>
      <c r="G10886" s="1"/>
    </row>
    <row r="10887">
      <c r="B10887" s="36"/>
      <c r="C10887" s="36"/>
      <c r="E10887" s="1"/>
      <c r="F10887" s="1"/>
      <c r="G10887" s="1"/>
    </row>
    <row r="10888">
      <c r="B10888" s="36"/>
      <c r="C10888" s="36"/>
      <c r="E10888" s="1"/>
      <c r="F10888" s="1"/>
      <c r="G10888" s="1"/>
    </row>
    <row r="10889">
      <c r="B10889" s="36"/>
      <c r="C10889" s="36"/>
      <c r="E10889" s="1"/>
      <c r="F10889" s="1"/>
      <c r="G10889" s="1"/>
    </row>
    <row r="10890">
      <c r="B10890" s="36"/>
      <c r="C10890" s="36"/>
      <c r="E10890" s="1"/>
      <c r="F10890" s="1"/>
      <c r="G10890" s="1"/>
    </row>
    <row r="10891">
      <c r="B10891" s="36"/>
      <c r="C10891" s="36"/>
      <c r="E10891" s="1"/>
      <c r="F10891" s="1"/>
      <c r="G10891" s="1"/>
    </row>
    <row r="10892">
      <c r="B10892" s="36"/>
      <c r="C10892" s="36"/>
      <c r="E10892" s="1"/>
      <c r="F10892" s="1"/>
      <c r="G10892" s="1"/>
    </row>
    <row r="10893">
      <c r="B10893" s="36"/>
      <c r="C10893" s="36"/>
      <c r="E10893" s="1"/>
      <c r="F10893" s="1"/>
      <c r="G10893" s="1"/>
    </row>
    <row r="10894">
      <c r="B10894" s="36"/>
      <c r="C10894" s="36"/>
      <c r="E10894" s="1"/>
      <c r="F10894" s="1"/>
      <c r="G10894" s="1"/>
    </row>
    <row r="10895">
      <c r="B10895" s="36"/>
      <c r="C10895" s="36"/>
      <c r="E10895" s="1"/>
      <c r="F10895" s="1"/>
      <c r="G10895" s="1"/>
    </row>
    <row r="10896">
      <c r="B10896" s="36"/>
      <c r="C10896" s="36"/>
      <c r="E10896" s="1"/>
      <c r="F10896" s="1"/>
      <c r="G10896" s="1"/>
    </row>
    <row r="10897">
      <c r="B10897" s="36"/>
      <c r="C10897" s="36"/>
      <c r="E10897" s="1"/>
      <c r="F10897" s="1"/>
      <c r="G10897" s="1"/>
    </row>
    <row r="10898">
      <c r="B10898" s="36"/>
      <c r="C10898" s="36"/>
      <c r="E10898" s="1"/>
      <c r="F10898" s="1"/>
      <c r="G10898" s="1"/>
    </row>
    <row r="10899">
      <c r="B10899" s="36"/>
      <c r="C10899" s="36"/>
      <c r="E10899" s="1"/>
      <c r="F10899" s="1"/>
      <c r="G10899" s="1"/>
    </row>
    <row r="10900">
      <c r="B10900" s="36"/>
      <c r="C10900" s="36"/>
      <c r="E10900" s="1"/>
      <c r="F10900" s="1"/>
      <c r="G10900" s="1"/>
    </row>
    <row r="10901">
      <c r="B10901" s="36"/>
      <c r="C10901" s="36"/>
      <c r="E10901" s="1"/>
      <c r="F10901" s="1"/>
      <c r="G10901" s="1"/>
    </row>
    <row r="10902">
      <c r="B10902" s="36"/>
      <c r="C10902" s="36"/>
      <c r="E10902" s="1"/>
      <c r="F10902" s="1"/>
      <c r="G10902" s="1"/>
    </row>
    <row r="10903">
      <c r="B10903" s="36"/>
      <c r="C10903" s="36"/>
      <c r="E10903" s="1"/>
      <c r="F10903" s="1"/>
      <c r="G10903" s="1"/>
    </row>
    <row r="10904">
      <c r="B10904" s="36"/>
      <c r="C10904" s="36"/>
      <c r="E10904" s="1"/>
      <c r="F10904" s="1"/>
      <c r="G10904" s="1"/>
    </row>
    <row r="10905">
      <c r="B10905" s="36"/>
      <c r="C10905" s="36"/>
      <c r="E10905" s="1"/>
      <c r="F10905" s="1"/>
      <c r="G10905" s="1"/>
    </row>
    <row r="10906">
      <c r="B10906" s="36"/>
      <c r="C10906" s="36"/>
      <c r="E10906" s="1"/>
      <c r="F10906" s="1"/>
      <c r="G10906" s="1"/>
    </row>
    <row r="10907">
      <c r="B10907" s="36"/>
      <c r="C10907" s="36"/>
      <c r="E10907" s="1"/>
      <c r="F10907" s="1"/>
      <c r="G10907" s="1"/>
    </row>
    <row r="10908">
      <c r="B10908" s="36"/>
      <c r="C10908" s="36"/>
      <c r="E10908" s="1"/>
      <c r="F10908" s="1"/>
      <c r="G10908" s="1"/>
    </row>
    <row r="10909">
      <c r="B10909" s="36"/>
      <c r="C10909" s="36"/>
      <c r="E10909" s="1"/>
      <c r="F10909" s="1"/>
      <c r="G10909" s="1"/>
    </row>
    <row r="10910">
      <c r="B10910" s="36"/>
      <c r="C10910" s="36"/>
      <c r="E10910" s="1"/>
      <c r="F10910" s="1"/>
      <c r="G10910" s="1"/>
    </row>
    <row r="10911">
      <c r="B10911" s="36"/>
      <c r="C10911" s="36"/>
      <c r="E10911" s="1"/>
      <c r="F10911" s="1"/>
      <c r="G10911" s="1"/>
    </row>
    <row r="10912">
      <c r="B10912" s="36"/>
      <c r="C10912" s="36"/>
      <c r="E10912" s="1"/>
      <c r="F10912" s="1"/>
      <c r="G10912" s="1"/>
    </row>
    <row r="10913">
      <c r="B10913" s="36"/>
      <c r="C10913" s="36"/>
      <c r="E10913" s="1"/>
      <c r="F10913" s="1"/>
      <c r="G10913" s="1"/>
    </row>
    <row r="10914">
      <c r="B10914" s="36"/>
      <c r="C10914" s="36"/>
      <c r="E10914" s="1"/>
      <c r="F10914" s="1"/>
      <c r="G10914" s="1"/>
    </row>
    <row r="10915">
      <c r="B10915" s="36"/>
      <c r="C10915" s="36"/>
      <c r="E10915" s="1"/>
      <c r="F10915" s="1"/>
      <c r="G10915" s="1"/>
    </row>
    <row r="10916">
      <c r="B10916" s="36"/>
      <c r="C10916" s="36"/>
      <c r="E10916" s="1"/>
      <c r="F10916" s="1"/>
      <c r="G10916" s="1"/>
    </row>
    <row r="10917">
      <c r="B10917" s="36"/>
      <c r="C10917" s="36"/>
      <c r="E10917" s="1"/>
      <c r="F10917" s="1"/>
      <c r="G10917" s="1"/>
    </row>
    <row r="10918">
      <c r="B10918" s="36"/>
      <c r="C10918" s="36"/>
      <c r="E10918" s="1"/>
      <c r="F10918" s="1"/>
      <c r="G10918" s="1"/>
    </row>
    <row r="10919">
      <c r="B10919" s="36"/>
      <c r="C10919" s="36"/>
      <c r="E10919" s="1"/>
      <c r="F10919" s="1"/>
      <c r="G10919" s="1"/>
    </row>
    <row r="10920">
      <c r="B10920" s="36"/>
      <c r="C10920" s="36"/>
      <c r="E10920" s="1"/>
      <c r="F10920" s="1"/>
      <c r="G10920" s="1"/>
    </row>
    <row r="10921">
      <c r="B10921" s="36"/>
      <c r="C10921" s="36"/>
      <c r="E10921" s="1"/>
      <c r="F10921" s="1"/>
      <c r="G10921" s="1"/>
    </row>
    <row r="10922">
      <c r="B10922" s="36"/>
      <c r="C10922" s="36"/>
      <c r="E10922" s="1"/>
      <c r="F10922" s="1"/>
      <c r="G10922" s="1"/>
    </row>
    <row r="10923">
      <c r="B10923" s="36"/>
      <c r="C10923" s="36"/>
      <c r="E10923" s="1"/>
      <c r="F10923" s="1"/>
      <c r="G10923" s="1"/>
    </row>
    <row r="10924">
      <c r="B10924" s="36"/>
      <c r="C10924" s="36"/>
      <c r="E10924" s="1"/>
      <c r="F10924" s="1"/>
      <c r="G10924" s="1"/>
    </row>
    <row r="10925">
      <c r="B10925" s="36"/>
      <c r="C10925" s="36"/>
      <c r="E10925" s="1"/>
      <c r="F10925" s="1"/>
      <c r="G10925" s="1"/>
    </row>
    <row r="10926">
      <c r="B10926" s="36"/>
      <c r="C10926" s="36"/>
      <c r="E10926" s="1"/>
      <c r="F10926" s="1"/>
      <c r="G10926" s="1"/>
    </row>
    <row r="10927">
      <c r="B10927" s="36"/>
      <c r="C10927" s="36"/>
      <c r="E10927" s="1"/>
      <c r="F10927" s="1"/>
      <c r="G10927" s="1"/>
    </row>
    <row r="10928">
      <c r="B10928" s="36"/>
      <c r="C10928" s="36"/>
      <c r="E10928" s="1"/>
      <c r="F10928" s="1"/>
      <c r="G10928" s="1"/>
    </row>
    <row r="10929">
      <c r="B10929" s="36"/>
      <c r="C10929" s="36"/>
      <c r="E10929" s="1"/>
      <c r="F10929" s="1"/>
      <c r="G10929" s="1"/>
    </row>
    <row r="10930">
      <c r="B10930" s="36"/>
      <c r="C10930" s="36"/>
      <c r="E10930" s="1"/>
      <c r="F10930" s="1"/>
      <c r="G10930" s="1"/>
    </row>
    <row r="10931">
      <c r="B10931" s="36"/>
      <c r="C10931" s="36"/>
      <c r="E10931" s="1"/>
      <c r="F10931" s="1"/>
      <c r="G10931" s="1"/>
    </row>
    <row r="10932">
      <c r="B10932" s="36"/>
      <c r="C10932" s="36"/>
      <c r="E10932" s="1"/>
      <c r="F10932" s="1"/>
      <c r="G10932" s="1"/>
    </row>
    <row r="10933">
      <c r="B10933" s="36"/>
      <c r="C10933" s="36"/>
      <c r="E10933" s="1"/>
      <c r="F10933" s="1"/>
      <c r="G10933" s="1"/>
    </row>
    <row r="10934">
      <c r="B10934" s="36"/>
      <c r="C10934" s="36"/>
      <c r="E10934" s="1"/>
      <c r="F10934" s="1"/>
      <c r="G10934" s="1"/>
    </row>
    <row r="10935">
      <c r="B10935" s="36"/>
      <c r="C10935" s="36"/>
      <c r="E10935" s="1"/>
      <c r="F10935" s="1"/>
      <c r="G10935" s="1"/>
    </row>
    <row r="10936">
      <c r="B10936" s="36"/>
      <c r="C10936" s="36"/>
      <c r="E10936" s="1"/>
      <c r="F10936" s="1"/>
      <c r="G10936" s="1"/>
    </row>
    <row r="10937">
      <c r="B10937" s="36"/>
      <c r="C10937" s="36"/>
      <c r="E10937" s="1"/>
      <c r="F10937" s="1"/>
      <c r="G10937" s="1"/>
    </row>
    <row r="10938">
      <c r="B10938" s="36"/>
      <c r="C10938" s="36"/>
      <c r="E10938" s="1"/>
      <c r="F10938" s="1"/>
      <c r="G10938" s="1"/>
    </row>
    <row r="10939">
      <c r="B10939" s="36"/>
      <c r="C10939" s="36"/>
      <c r="E10939" s="1"/>
      <c r="F10939" s="1"/>
      <c r="G10939" s="1"/>
    </row>
    <row r="10940">
      <c r="B10940" s="36"/>
      <c r="C10940" s="36"/>
      <c r="E10940" s="1"/>
      <c r="F10940" s="1"/>
      <c r="G10940" s="1"/>
    </row>
    <row r="10941">
      <c r="B10941" s="36"/>
      <c r="C10941" s="36"/>
      <c r="E10941" s="1"/>
      <c r="F10941" s="1"/>
      <c r="G10941" s="1"/>
    </row>
    <row r="10942">
      <c r="B10942" s="36"/>
      <c r="C10942" s="36"/>
      <c r="E10942" s="1"/>
      <c r="F10942" s="1"/>
      <c r="G10942" s="1"/>
    </row>
    <row r="10943">
      <c r="B10943" s="36"/>
      <c r="C10943" s="36"/>
      <c r="E10943" s="1"/>
      <c r="F10943" s="1"/>
      <c r="G10943" s="1"/>
    </row>
    <row r="10944">
      <c r="B10944" s="36"/>
      <c r="C10944" s="36"/>
      <c r="E10944" s="1"/>
      <c r="F10944" s="1"/>
      <c r="G10944" s="1"/>
    </row>
    <row r="10945">
      <c r="B10945" s="36"/>
      <c r="C10945" s="36"/>
      <c r="E10945" s="1"/>
      <c r="F10945" s="1"/>
      <c r="G10945" s="1"/>
    </row>
    <row r="10946">
      <c r="B10946" s="36"/>
      <c r="C10946" s="36"/>
      <c r="E10946" s="1"/>
      <c r="F10946" s="1"/>
      <c r="G10946" s="1"/>
    </row>
    <row r="10947">
      <c r="B10947" s="36"/>
      <c r="C10947" s="36"/>
      <c r="E10947" s="1"/>
      <c r="F10947" s="1"/>
      <c r="G10947" s="1"/>
    </row>
    <row r="10948">
      <c r="B10948" s="36"/>
      <c r="C10948" s="36"/>
      <c r="E10948" s="1"/>
      <c r="F10948" s="1"/>
      <c r="G10948" s="1"/>
    </row>
    <row r="10949">
      <c r="B10949" s="36"/>
      <c r="C10949" s="36"/>
      <c r="E10949" s="1"/>
      <c r="F10949" s="1"/>
      <c r="G10949" s="1"/>
    </row>
    <row r="10950">
      <c r="B10950" s="36"/>
      <c r="C10950" s="36"/>
      <c r="E10950" s="1"/>
      <c r="F10950" s="1"/>
      <c r="G10950" s="1"/>
    </row>
    <row r="10951">
      <c r="B10951" s="36"/>
      <c r="C10951" s="36"/>
      <c r="E10951" s="1"/>
      <c r="F10951" s="1"/>
      <c r="G10951" s="1"/>
    </row>
    <row r="10952">
      <c r="B10952" s="36"/>
      <c r="C10952" s="36"/>
      <c r="E10952" s="1"/>
      <c r="F10952" s="1"/>
      <c r="G10952" s="1"/>
    </row>
    <row r="10953">
      <c r="B10953" s="36"/>
      <c r="C10953" s="36"/>
      <c r="E10953" s="1"/>
      <c r="F10953" s="1"/>
      <c r="G10953" s="1"/>
    </row>
    <row r="10954">
      <c r="B10954" s="36"/>
      <c r="C10954" s="36"/>
      <c r="E10954" s="1"/>
      <c r="F10954" s="1"/>
      <c r="G10954" s="1"/>
    </row>
    <row r="10955">
      <c r="B10955" s="36"/>
      <c r="C10955" s="36"/>
      <c r="E10955" s="1"/>
      <c r="F10955" s="1"/>
      <c r="G10955" s="1"/>
    </row>
    <row r="10956">
      <c r="B10956" s="36"/>
      <c r="C10956" s="36"/>
      <c r="E10956" s="1"/>
      <c r="F10956" s="1"/>
      <c r="G10956" s="1"/>
    </row>
    <row r="10957">
      <c r="B10957" s="36"/>
      <c r="C10957" s="36"/>
      <c r="E10957" s="1"/>
      <c r="F10957" s="1"/>
      <c r="G10957" s="1"/>
    </row>
    <row r="10958">
      <c r="B10958" s="36"/>
      <c r="C10958" s="36"/>
      <c r="E10958" s="1"/>
      <c r="F10958" s="1"/>
      <c r="G10958" s="1"/>
    </row>
    <row r="10959">
      <c r="B10959" s="36"/>
      <c r="C10959" s="36"/>
      <c r="E10959" s="1"/>
      <c r="F10959" s="1"/>
      <c r="G10959" s="1"/>
    </row>
    <row r="10960">
      <c r="B10960" s="36"/>
      <c r="C10960" s="36"/>
      <c r="E10960" s="1"/>
      <c r="F10960" s="1"/>
      <c r="G10960" s="1"/>
    </row>
    <row r="10961">
      <c r="B10961" s="36"/>
      <c r="C10961" s="36"/>
      <c r="E10961" s="1"/>
      <c r="F10961" s="1"/>
      <c r="G10961" s="1"/>
    </row>
    <row r="10962">
      <c r="B10962" s="36"/>
      <c r="C10962" s="36"/>
      <c r="E10962" s="1"/>
      <c r="F10962" s="1"/>
      <c r="G10962" s="1"/>
    </row>
    <row r="10963">
      <c r="B10963" s="36"/>
      <c r="C10963" s="36"/>
      <c r="E10963" s="1"/>
      <c r="F10963" s="1"/>
      <c r="G10963" s="1"/>
    </row>
    <row r="10964">
      <c r="B10964" s="36"/>
      <c r="C10964" s="36"/>
      <c r="E10964" s="1"/>
      <c r="F10964" s="1"/>
      <c r="G10964" s="1"/>
    </row>
    <row r="10965">
      <c r="B10965" s="36"/>
      <c r="C10965" s="36"/>
      <c r="E10965" s="1"/>
      <c r="F10965" s="1"/>
      <c r="G10965" s="1"/>
    </row>
    <row r="10966">
      <c r="B10966" s="36"/>
      <c r="C10966" s="36"/>
      <c r="E10966" s="1"/>
      <c r="F10966" s="1"/>
      <c r="G10966" s="1"/>
    </row>
    <row r="10967">
      <c r="B10967" s="36"/>
      <c r="C10967" s="36"/>
      <c r="E10967" s="1"/>
      <c r="F10967" s="1"/>
      <c r="G10967" s="1"/>
    </row>
    <row r="10968">
      <c r="B10968" s="36"/>
      <c r="C10968" s="36"/>
      <c r="E10968" s="1"/>
      <c r="F10968" s="1"/>
      <c r="G10968" s="1"/>
    </row>
    <row r="10969">
      <c r="B10969" s="36"/>
      <c r="C10969" s="36"/>
      <c r="E10969" s="1"/>
      <c r="F10969" s="1"/>
      <c r="G10969" s="1"/>
    </row>
    <row r="10970">
      <c r="B10970" s="36"/>
      <c r="C10970" s="36"/>
      <c r="E10970" s="1"/>
      <c r="F10970" s="1"/>
      <c r="G10970" s="1"/>
    </row>
    <row r="10971">
      <c r="B10971" s="36"/>
      <c r="C10971" s="36"/>
      <c r="E10971" s="1"/>
      <c r="F10971" s="1"/>
      <c r="G10971" s="1"/>
    </row>
    <row r="10972">
      <c r="B10972" s="36"/>
      <c r="C10972" s="36"/>
      <c r="E10972" s="1"/>
      <c r="F10972" s="1"/>
      <c r="G10972" s="1"/>
    </row>
    <row r="10973">
      <c r="B10973" s="36"/>
      <c r="C10973" s="36"/>
      <c r="E10973" s="1"/>
      <c r="F10973" s="1"/>
      <c r="G10973" s="1"/>
    </row>
    <row r="10974">
      <c r="B10974" s="36"/>
      <c r="C10974" s="36"/>
      <c r="E10974" s="1"/>
      <c r="F10974" s="1"/>
      <c r="G10974" s="1"/>
    </row>
    <row r="10975">
      <c r="B10975" s="36"/>
      <c r="C10975" s="36"/>
      <c r="E10975" s="1"/>
      <c r="F10975" s="1"/>
      <c r="G10975" s="1"/>
    </row>
    <row r="10976">
      <c r="B10976" s="36"/>
      <c r="C10976" s="36"/>
      <c r="E10976" s="1"/>
      <c r="F10976" s="1"/>
      <c r="G10976" s="1"/>
    </row>
    <row r="10977">
      <c r="B10977" s="36"/>
      <c r="C10977" s="36"/>
      <c r="E10977" s="1"/>
      <c r="F10977" s="1"/>
      <c r="G10977" s="1"/>
    </row>
    <row r="10978">
      <c r="B10978" s="36"/>
      <c r="C10978" s="36"/>
      <c r="E10978" s="1"/>
      <c r="F10978" s="1"/>
      <c r="G10978" s="1"/>
    </row>
    <row r="10979">
      <c r="B10979" s="36"/>
      <c r="C10979" s="36"/>
      <c r="E10979" s="1"/>
      <c r="F10979" s="1"/>
      <c r="G10979" s="1"/>
    </row>
    <row r="10980">
      <c r="B10980" s="36"/>
      <c r="C10980" s="36"/>
      <c r="E10980" s="1"/>
      <c r="F10980" s="1"/>
      <c r="G10980" s="1"/>
    </row>
    <row r="10981">
      <c r="B10981" s="36"/>
      <c r="C10981" s="36"/>
      <c r="E10981" s="1"/>
      <c r="F10981" s="1"/>
      <c r="G10981" s="1"/>
    </row>
    <row r="10982">
      <c r="B10982" s="36"/>
      <c r="C10982" s="36"/>
      <c r="E10982" s="1"/>
      <c r="F10982" s="1"/>
      <c r="G10982" s="1"/>
    </row>
    <row r="10983">
      <c r="B10983" s="36"/>
      <c r="C10983" s="36"/>
      <c r="E10983" s="1"/>
      <c r="F10983" s="1"/>
      <c r="G10983" s="1"/>
    </row>
    <row r="10984">
      <c r="B10984" s="36"/>
      <c r="C10984" s="36"/>
      <c r="E10984" s="1"/>
      <c r="F10984" s="1"/>
      <c r="G10984" s="1"/>
    </row>
    <row r="10985">
      <c r="B10985" s="36"/>
      <c r="C10985" s="36"/>
      <c r="E10985" s="1"/>
      <c r="F10985" s="1"/>
      <c r="G10985" s="1"/>
    </row>
    <row r="10986">
      <c r="B10986" s="36"/>
      <c r="C10986" s="36"/>
      <c r="E10986" s="1"/>
      <c r="F10986" s="1"/>
      <c r="G10986" s="1"/>
    </row>
    <row r="10987">
      <c r="B10987" s="36"/>
      <c r="C10987" s="36"/>
      <c r="E10987" s="1"/>
      <c r="F10987" s="1"/>
      <c r="G10987" s="1"/>
    </row>
    <row r="10988">
      <c r="B10988" s="36"/>
      <c r="C10988" s="36"/>
      <c r="E10988" s="1"/>
      <c r="F10988" s="1"/>
      <c r="G10988" s="1"/>
    </row>
    <row r="10989">
      <c r="B10989" s="36"/>
      <c r="C10989" s="36"/>
      <c r="E10989" s="1"/>
      <c r="F10989" s="1"/>
      <c r="G10989" s="1"/>
    </row>
    <row r="10990">
      <c r="B10990" s="36"/>
      <c r="C10990" s="36"/>
      <c r="E10990" s="1"/>
      <c r="F10990" s="1"/>
      <c r="G10990" s="1"/>
    </row>
    <row r="10991">
      <c r="B10991" s="36"/>
      <c r="C10991" s="36"/>
      <c r="E10991" s="1"/>
      <c r="F10991" s="1"/>
      <c r="G10991" s="1"/>
    </row>
    <row r="10992">
      <c r="B10992" s="36"/>
      <c r="C10992" s="36"/>
      <c r="E10992" s="1"/>
      <c r="F10992" s="1"/>
      <c r="G10992" s="1"/>
    </row>
    <row r="10993">
      <c r="B10993" s="36"/>
      <c r="C10993" s="36"/>
      <c r="E10993" s="1"/>
      <c r="F10993" s="1"/>
      <c r="G10993" s="1"/>
    </row>
    <row r="10994">
      <c r="B10994" s="36"/>
      <c r="C10994" s="36"/>
      <c r="E10994" s="1"/>
      <c r="F10994" s="1"/>
      <c r="G10994" s="1"/>
    </row>
    <row r="10995">
      <c r="B10995" s="36"/>
      <c r="C10995" s="36"/>
      <c r="E10995" s="1"/>
      <c r="F10995" s="1"/>
      <c r="G10995" s="1"/>
    </row>
    <row r="10996">
      <c r="B10996" s="36"/>
      <c r="C10996" s="36"/>
      <c r="E10996" s="1"/>
      <c r="F10996" s="1"/>
      <c r="G10996" s="1"/>
    </row>
    <row r="10997">
      <c r="B10997" s="36"/>
      <c r="C10997" s="36"/>
      <c r="E10997" s="1"/>
      <c r="F10997" s="1"/>
      <c r="G10997" s="1"/>
    </row>
    <row r="10998">
      <c r="B10998" s="36"/>
      <c r="C10998" s="36"/>
      <c r="E10998" s="1"/>
      <c r="F10998" s="1"/>
      <c r="G10998" s="1"/>
    </row>
    <row r="10999">
      <c r="B10999" s="36"/>
      <c r="C10999" s="36"/>
      <c r="E10999" s="1"/>
      <c r="F10999" s="1"/>
      <c r="G10999" s="1"/>
    </row>
    <row r="11000">
      <c r="B11000" s="36"/>
      <c r="C11000" s="36"/>
      <c r="E11000" s="1"/>
      <c r="F11000" s="1"/>
      <c r="G11000" s="1"/>
    </row>
    <row r="11001">
      <c r="B11001" s="36"/>
      <c r="C11001" s="36"/>
      <c r="E11001" s="1"/>
      <c r="F11001" s="1"/>
      <c r="G11001" s="1"/>
    </row>
    <row r="11002">
      <c r="B11002" s="36"/>
      <c r="C11002" s="36"/>
      <c r="E11002" s="1"/>
      <c r="F11002" s="1"/>
      <c r="G11002" s="1"/>
    </row>
    <row r="11003">
      <c r="B11003" s="36"/>
      <c r="C11003" s="36"/>
      <c r="E11003" s="1"/>
      <c r="F11003" s="1"/>
      <c r="G11003" s="1"/>
    </row>
    <row r="11004">
      <c r="B11004" s="36"/>
      <c r="C11004" s="36"/>
      <c r="E11004" s="1"/>
      <c r="F11004" s="1"/>
      <c r="G11004" s="1"/>
    </row>
    <row r="11005">
      <c r="B11005" s="36"/>
      <c r="C11005" s="36"/>
      <c r="E11005" s="1"/>
      <c r="F11005" s="1"/>
      <c r="G11005" s="1"/>
    </row>
    <row r="11006">
      <c r="B11006" s="36"/>
      <c r="C11006" s="36"/>
      <c r="E11006" s="1"/>
      <c r="F11006" s="1"/>
      <c r="G11006" s="1"/>
    </row>
    <row r="11007">
      <c r="B11007" s="36"/>
      <c r="C11007" s="36"/>
      <c r="E11007" s="1"/>
      <c r="F11007" s="1"/>
      <c r="G11007" s="1"/>
    </row>
    <row r="11008">
      <c r="B11008" s="36"/>
      <c r="C11008" s="36"/>
      <c r="E11008" s="1"/>
      <c r="F11008" s="1"/>
      <c r="G11008" s="1"/>
    </row>
    <row r="11009">
      <c r="B11009" s="36"/>
      <c r="C11009" s="36"/>
      <c r="E11009" s="1"/>
      <c r="F11009" s="1"/>
      <c r="G11009" s="1"/>
    </row>
    <row r="11010">
      <c r="B11010" s="36"/>
      <c r="C11010" s="36"/>
      <c r="E11010" s="1"/>
      <c r="F11010" s="1"/>
      <c r="G11010" s="1"/>
    </row>
    <row r="11011">
      <c r="B11011" s="36"/>
      <c r="C11011" s="36"/>
      <c r="E11011" s="1"/>
      <c r="F11011" s="1"/>
      <c r="G11011" s="1"/>
    </row>
    <row r="11012">
      <c r="B11012" s="36"/>
      <c r="C11012" s="36"/>
      <c r="E11012" s="1"/>
      <c r="F11012" s="1"/>
      <c r="G11012" s="1"/>
    </row>
    <row r="11013">
      <c r="B11013" s="36"/>
      <c r="C11013" s="36"/>
      <c r="E11013" s="1"/>
      <c r="F11013" s="1"/>
      <c r="G11013" s="1"/>
    </row>
    <row r="11014">
      <c r="B11014" s="36"/>
      <c r="C11014" s="36"/>
      <c r="E11014" s="1"/>
      <c r="F11014" s="1"/>
      <c r="G11014" s="1"/>
    </row>
    <row r="11015">
      <c r="B11015" s="36"/>
      <c r="C11015" s="36"/>
      <c r="E11015" s="1"/>
      <c r="F11015" s="1"/>
      <c r="G11015" s="1"/>
    </row>
    <row r="11016">
      <c r="B11016" s="36"/>
      <c r="C11016" s="36"/>
      <c r="E11016" s="1"/>
      <c r="F11016" s="1"/>
      <c r="G11016" s="1"/>
    </row>
    <row r="11017">
      <c r="B11017" s="36"/>
      <c r="C11017" s="36"/>
      <c r="E11017" s="1"/>
      <c r="F11017" s="1"/>
      <c r="G11017" s="1"/>
    </row>
    <row r="11018">
      <c r="B11018" s="36"/>
      <c r="C11018" s="36"/>
      <c r="E11018" s="1"/>
      <c r="F11018" s="1"/>
      <c r="G11018" s="1"/>
    </row>
    <row r="11019">
      <c r="B11019" s="36"/>
      <c r="C11019" s="36"/>
      <c r="E11019" s="1"/>
      <c r="F11019" s="1"/>
      <c r="G11019" s="1"/>
    </row>
    <row r="11020">
      <c r="B11020" s="36"/>
      <c r="C11020" s="36"/>
      <c r="E11020" s="1"/>
      <c r="F11020" s="1"/>
      <c r="G11020" s="1"/>
    </row>
    <row r="11021">
      <c r="B11021" s="36"/>
      <c r="C11021" s="36"/>
      <c r="E11021" s="1"/>
      <c r="F11021" s="1"/>
      <c r="G11021" s="1"/>
    </row>
    <row r="11022">
      <c r="B11022" s="36"/>
      <c r="C11022" s="36"/>
      <c r="E11022" s="1"/>
      <c r="F11022" s="1"/>
      <c r="G11022" s="1"/>
    </row>
    <row r="11023">
      <c r="B11023" s="36"/>
      <c r="C11023" s="36"/>
      <c r="E11023" s="1"/>
      <c r="F11023" s="1"/>
      <c r="G11023" s="1"/>
    </row>
    <row r="11024">
      <c r="B11024" s="36"/>
      <c r="C11024" s="36"/>
      <c r="E11024" s="1"/>
      <c r="F11024" s="1"/>
      <c r="G11024" s="1"/>
    </row>
    <row r="11025">
      <c r="B11025" s="36"/>
      <c r="C11025" s="36"/>
      <c r="E11025" s="1"/>
      <c r="F11025" s="1"/>
      <c r="G11025" s="1"/>
    </row>
    <row r="11026">
      <c r="B11026" s="36"/>
      <c r="C11026" s="36"/>
      <c r="E11026" s="1"/>
      <c r="F11026" s="1"/>
      <c r="G11026" s="1"/>
    </row>
    <row r="11027">
      <c r="B11027" s="36"/>
      <c r="C11027" s="36"/>
      <c r="E11027" s="1"/>
      <c r="F11027" s="1"/>
      <c r="G11027" s="1"/>
    </row>
    <row r="11028">
      <c r="B11028" s="36"/>
      <c r="C11028" s="36"/>
      <c r="E11028" s="1"/>
      <c r="F11028" s="1"/>
      <c r="G11028" s="1"/>
    </row>
    <row r="11029">
      <c r="B11029" s="36"/>
      <c r="C11029" s="36"/>
      <c r="E11029" s="1"/>
      <c r="F11029" s="1"/>
      <c r="G11029" s="1"/>
    </row>
    <row r="11030">
      <c r="B11030" s="36"/>
      <c r="C11030" s="36"/>
      <c r="E11030" s="1"/>
      <c r="F11030" s="1"/>
      <c r="G11030" s="1"/>
    </row>
    <row r="11031">
      <c r="B11031" s="36"/>
      <c r="C11031" s="36"/>
      <c r="E11031" s="1"/>
      <c r="F11031" s="1"/>
      <c r="G11031" s="1"/>
    </row>
    <row r="11032">
      <c r="B11032" s="36"/>
      <c r="C11032" s="36"/>
      <c r="E11032" s="1"/>
      <c r="F11032" s="1"/>
      <c r="G11032" s="1"/>
    </row>
    <row r="11033">
      <c r="B11033" s="36"/>
      <c r="C11033" s="36"/>
      <c r="E11033" s="1"/>
      <c r="F11033" s="1"/>
      <c r="G11033" s="1"/>
    </row>
    <row r="11034">
      <c r="B11034" s="36"/>
      <c r="C11034" s="36"/>
      <c r="E11034" s="1"/>
      <c r="F11034" s="1"/>
      <c r="G11034" s="1"/>
    </row>
    <row r="11035">
      <c r="B11035" s="36"/>
      <c r="C11035" s="36"/>
      <c r="E11035" s="1"/>
      <c r="F11035" s="1"/>
      <c r="G11035" s="1"/>
    </row>
    <row r="11036">
      <c r="B11036" s="36"/>
      <c r="C11036" s="36"/>
      <c r="E11036" s="1"/>
      <c r="F11036" s="1"/>
      <c r="G11036" s="1"/>
    </row>
    <row r="11037">
      <c r="B11037" s="36"/>
      <c r="C11037" s="36"/>
      <c r="E11037" s="1"/>
      <c r="F11037" s="1"/>
      <c r="G11037" s="1"/>
    </row>
    <row r="11038">
      <c r="B11038" s="36"/>
      <c r="C11038" s="36"/>
      <c r="E11038" s="1"/>
      <c r="F11038" s="1"/>
      <c r="G11038" s="1"/>
    </row>
    <row r="11039">
      <c r="B11039" s="36"/>
      <c r="C11039" s="36"/>
      <c r="E11039" s="1"/>
      <c r="F11039" s="1"/>
      <c r="G11039" s="1"/>
    </row>
    <row r="11040">
      <c r="B11040" s="36"/>
      <c r="C11040" s="36"/>
      <c r="E11040" s="1"/>
      <c r="F11040" s="1"/>
      <c r="G11040" s="1"/>
    </row>
    <row r="11041">
      <c r="B11041" s="36"/>
      <c r="C11041" s="36"/>
      <c r="E11041" s="1"/>
      <c r="F11041" s="1"/>
      <c r="G11041" s="1"/>
    </row>
    <row r="11042">
      <c r="B11042" s="36"/>
      <c r="C11042" s="36"/>
      <c r="E11042" s="1"/>
      <c r="F11042" s="1"/>
      <c r="G11042" s="1"/>
    </row>
    <row r="11043">
      <c r="B11043" s="36"/>
      <c r="C11043" s="36"/>
      <c r="E11043" s="1"/>
      <c r="F11043" s="1"/>
      <c r="G11043" s="1"/>
    </row>
    <row r="11044">
      <c r="B11044" s="36"/>
      <c r="C11044" s="36"/>
      <c r="E11044" s="1"/>
      <c r="F11044" s="1"/>
      <c r="G11044" s="1"/>
    </row>
    <row r="11045">
      <c r="B11045" s="36"/>
      <c r="C11045" s="36"/>
      <c r="E11045" s="1"/>
      <c r="F11045" s="1"/>
      <c r="G11045" s="1"/>
    </row>
    <row r="11046">
      <c r="B11046" s="36"/>
      <c r="C11046" s="36"/>
      <c r="E11046" s="1"/>
      <c r="F11046" s="1"/>
      <c r="G11046" s="1"/>
    </row>
    <row r="11047">
      <c r="B11047" s="36"/>
      <c r="C11047" s="36"/>
      <c r="E11047" s="1"/>
      <c r="F11047" s="1"/>
      <c r="G11047" s="1"/>
    </row>
    <row r="11048">
      <c r="B11048" s="36"/>
      <c r="C11048" s="36"/>
      <c r="E11048" s="1"/>
      <c r="F11048" s="1"/>
      <c r="G11048" s="1"/>
    </row>
    <row r="11049">
      <c r="B11049" s="36"/>
      <c r="C11049" s="36"/>
      <c r="E11049" s="1"/>
      <c r="F11049" s="1"/>
      <c r="G11049" s="1"/>
    </row>
    <row r="11050">
      <c r="B11050" s="36"/>
      <c r="C11050" s="36"/>
      <c r="E11050" s="1"/>
      <c r="F11050" s="1"/>
      <c r="G11050" s="1"/>
    </row>
    <row r="11051">
      <c r="B11051" s="36"/>
      <c r="C11051" s="36"/>
      <c r="E11051" s="1"/>
      <c r="F11051" s="1"/>
      <c r="G11051" s="1"/>
    </row>
    <row r="11052">
      <c r="B11052" s="36"/>
      <c r="C11052" s="36"/>
      <c r="E11052" s="1"/>
      <c r="F11052" s="1"/>
      <c r="G11052" s="1"/>
    </row>
    <row r="11053">
      <c r="B11053" s="36"/>
      <c r="C11053" s="36"/>
      <c r="E11053" s="1"/>
      <c r="F11053" s="1"/>
      <c r="G11053" s="1"/>
    </row>
    <row r="11054">
      <c r="B11054" s="36"/>
      <c r="C11054" s="36"/>
      <c r="E11054" s="1"/>
      <c r="F11054" s="1"/>
      <c r="G11054" s="1"/>
    </row>
    <row r="11055">
      <c r="B11055" s="36"/>
      <c r="C11055" s="36"/>
      <c r="E11055" s="1"/>
      <c r="F11055" s="1"/>
      <c r="G11055" s="1"/>
    </row>
    <row r="11056">
      <c r="B11056" s="36"/>
      <c r="C11056" s="36"/>
      <c r="E11056" s="1"/>
      <c r="F11056" s="1"/>
      <c r="G11056" s="1"/>
    </row>
    <row r="11057">
      <c r="B11057" s="36"/>
      <c r="C11057" s="36"/>
      <c r="E11057" s="1"/>
      <c r="F11057" s="1"/>
      <c r="G11057" s="1"/>
    </row>
    <row r="11058">
      <c r="B11058" s="36"/>
      <c r="C11058" s="36"/>
      <c r="E11058" s="1"/>
      <c r="F11058" s="1"/>
      <c r="G11058" s="1"/>
    </row>
    <row r="11059">
      <c r="B11059" s="36"/>
      <c r="C11059" s="36"/>
      <c r="E11059" s="1"/>
      <c r="F11059" s="1"/>
      <c r="G11059" s="1"/>
    </row>
    <row r="11060">
      <c r="B11060" s="36"/>
      <c r="C11060" s="36"/>
      <c r="E11060" s="1"/>
      <c r="F11060" s="1"/>
      <c r="G11060" s="1"/>
    </row>
    <row r="11061">
      <c r="B11061" s="36"/>
      <c r="C11061" s="36"/>
      <c r="E11061" s="1"/>
      <c r="F11061" s="1"/>
      <c r="G11061" s="1"/>
    </row>
    <row r="11062">
      <c r="B11062" s="36"/>
      <c r="C11062" s="36"/>
      <c r="E11062" s="1"/>
      <c r="F11062" s="1"/>
      <c r="G11062" s="1"/>
    </row>
    <row r="11063">
      <c r="B11063" s="36"/>
      <c r="C11063" s="36"/>
      <c r="E11063" s="1"/>
      <c r="F11063" s="1"/>
      <c r="G11063" s="1"/>
    </row>
    <row r="11064">
      <c r="B11064" s="36"/>
      <c r="C11064" s="36"/>
      <c r="E11064" s="1"/>
      <c r="F11064" s="1"/>
      <c r="G11064" s="1"/>
    </row>
    <row r="11065">
      <c r="B11065" s="36"/>
      <c r="C11065" s="36"/>
      <c r="E11065" s="1"/>
      <c r="F11065" s="1"/>
      <c r="G11065" s="1"/>
    </row>
    <row r="11066">
      <c r="B11066" s="36"/>
      <c r="C11066" s="36"/>
      <c r="E11066" s="1"/>
      <c r="F11066" s="1"/>
      <c r="G11066" s="1"/>
    </row>
    <row r="11067">
      <c r="B11067" s="36"/>
      <c r="C11067" s="36"/>
      <c r="E11067" s="1"/>
      <c r="F11067" s="1"/>
      <c r="G11067" s="1"/>
    </row>
    <row r="11068">
      <c r="B11068" s="36"/>
      <c r="C11068" s="36"/>
      <c r="E11068" s="1"/>
      <c r="F11068" s="1"/>
      <c r="G11068" s="1"/>
    </row>
    <row r="11069">
      <c r="B11069" s="36"/>
      <c r="C11069" s="36"/>
      <c r="E11069" s="1"/>
      <c r="F11069" s="1"/>
      <c r="G11069" s="1"/>
    </row>
    <row r="11070">
      <c r="B11070" s="36"/>
      <c r="C11070" s="36"/>
      <c r="E11070" s="1"/>
      <c r="F11070" s="1"/>
      <c r="G11070" s="1"/>
    </row>
    <row r="11071">
      <c r="B11071" s="36"/>
      <c r="C11071" s="36"/>
      <c r="E11071" s="1"/>
      <c r="F11071" s="1"/>
      <c r="G11071" s="1"/>
    </row>
    <row r="11072">
      <c r="B11072" s="36"/>
      <c r="C11072" s="36"/>
      <c r="E11072" s="1"/>
      <c r="F11072" s="1"/>
      <c r="G11072" s="1"/>
    </row>
    <row r="11073">
      <c r="B11073" s="36"/>
      <c r="C11073" s="36"/>
      <c r="E11073" s="1"/>
      <c r="F11073" s="1"/>
      <c r="G11073" s="1"/>
    </row>
    <row r="11074">
      <c r="B11074" s="36"/>
      <c r="C11074" s="36"/>
      <c r="E11074" s="1"/>
      <c r="F11074" s="1"/>
      <c r="G11074" s="1"/>
    </row>
    <row r="11075">
      <c r="B11075" s="36"/>
      <c r="C11075" s="36"/>
      <c r="E11075" s="1"/>
      <c r="F11075" s="1"/>
      <c r="G11075" s="1"/>
    </row>
    <row r="11076">
      <c r="B11076" s="36"/>
      <c r="C11076" s="36"/>
      <c r="E11076" s="1"/>
      <c r="F11076" s="1"/>
      <c r="G11076" s="1"/>
    </row>
    <row r="11077">
      <c r="B11077" s="36"/>
      <c r="C11077" s="36"/>
      <c r="E11077" s="1"/>
      <c r="F11077" s="1"/>
      <c r="G11077" s="1"/>
    </row>
    <row r="11078">
      <c r="B11078" s="36"/>
      <c r="C11078" s="36"/>
      <c r="E11078" s="1"/>
      <c r="F11078" s="1"/>
      <c r="G11078" s="1"/>
    </row>
    <row r="11079">
      <c r="B11079" s="36"/>
      <c r="C11079" s="36"/>
      <c r="E11079" s="1"/>
      <c r="F11079" s="1"/>
      <c r="G11079" s="1"/>
    </row>
    <row r="11080">
      <c r="B11080" s="36"/>
      <c r="C11080" s="36"/>
      <c r="E11080" s="1"/>
      <c r="F11080" s="1"/>
      <c r="G11080" s="1"/>
    </row>
    <row r="11081">
      <c r="B11081" s="36"/>
      <c r="C11081" s="36"/>
      <c r="E11081" s="1"/>
      <c r="F11081" s="1"/>
      <c r="G11081" s="1"/>
    </row>
    <row r="11082">
      <c r="B11082" s="36"/>
      <c r="C11082" s="36"/>
      <c r="E11082" s="1"/>
      <c r="F11082" s="1"/>
      <c r="G11082" s="1"/>
    </row>
    <row r="11083">
      <c r="B11083" s="36"/>
      <c r="C11083" s="36"/>
      <c r="E11083" s="1"/>
      <c r="F11083" s="1"/>
      <c r="G11083" s="1"/>
    </row>
    <row r="11084">
      <c r="B11084" s="36"/>
      <c r="C11084" s="36"/>
      <c r="E11084" s="1"/>
      <c r="F11084" s="1"/>
      <c r="G11084" s="1"/>
    </row>
    <row r="11085">
      <c r="B11085" s="36"/>
      <c r="C11085" s="36"/>
      <c r="E11085" s="1"/>
      <c r="F11085" s="1"/>
      <c r="G11085" s="1"/>
    </row>
    <row r="11086">
      <c r="B11086" s="36"/>
      <c r="C11086" s="36"/>
      <c r="E11086" s="1"/>
      <c r="F11086" s="1"/>
      <c r="G11086" s="1"/>
    </row>
    <row r="11087">
      <c r="B11087" s="36"/>
      <c r="C11087" s="36"/>
      <c r="E11087" s="1"/>
      <c r="F11087" s="1"/>
      <c r="G11087" s="1"/>
    </row>
    <row r="11088">
      <c r="B11088" s="36"/>
      <c r="C11088" s="36"/>
      <c r="E11088" s="1"/>
      <c r="F11088" s="1"/>
      <c r="G11088" s="1"/>
    </row>
    <row r="11089">
      <c r="B11089" s="36"/>
      <c r="C11089" s="36"/>
      <c r="E11089" s="1"/>
      <c r="F11089" s="1"/>
      <c r="G11089" s="1"/>
    </row>
    <row r="11090">
      <c r="B11090" s="36"/>
      <c r="C11090" s="36"/>
      <c r="E11090" s="1"/>
      <c r="F11090" s="1"/>
      <c r="G11090" s="1"/>
    </row>
    <row r="11091">
      <c r="B11091" s="36"/>
      <c r="C11091" s="36"/>
      <c r="E11091" s="1"/>
      <c r="F11091" s="1"/>
      <c r="G11091" s="1"/>
    </row>
    <row r="11092">
      <c r="B11092" s="36"/>
      <c r="C11092" s="36"/>
      <c r="E11092" s="1"/>
      <c r="F11092" s="1"/>
      <c r="G11092" s="1"/>
    </row>
    <row r="11093">
      <c r="B11093" s="36"/>
      <c r="C11093" s="36"/>
      <c r="E11093" s="1"/>
      <c r="F11093" s="1"/>
      <c r="G11093" s="1"/>
    </row>
    <row r="11094">
      <c r="B11094" s="36"/>
      <c r="C11094" s="36"/>
      <c r="E11094" s="1"/>
      <c r="F11094" s="1"/>
      <c r="G11094" s="1"/>
    </row>
    <row r="11095">
      <c r="B11095" s="36"/>
      <c r="C11095" s="36"/>
      <c r="E11095" s="1"/>
      <c r="F11095" s="1"/>
      <c r="G11095" s="1"/>
    </row>
    <row r="11096">
      <c r="B11096" s="36"/>
      <c r="C11096" s="36"/>
      <c r="E11096" s="1"/>
      <c r="F11096" s="1"/>
      <c r="G11096" s="1"/>
    </row>
    <row r="11097">
      <c r="B11097" s="36"/>
      <c r="C11097" s="36"/>
      <c r="E11097" s="1"/>
      <c r="F11097" s="1"/>
      <c r="G11097" s="1"/>
    </row>
    <row r="11098">
      <c r="B11098" s="36"/>
      <c r="C11098" s="36"/>
      <c r="E11098" s="1"/>
      <c r="F11098" s="1"/>
      <c r="G11098" s="1"/>
    </row>
    <row r="11099">
      <c r="B11099" s="36"/>
      <c r="C11099" s="36"/>
      <c r="E11099" s="1"/>
      <c r="F11099" s="1"/>
      <c r="G11099" s="1"/>
    </row>
    <row r="11100">
      <c r="B11100" s="36"/>
      <c r="C11100" s="36"/>
      <c r="E11100" s="1"/>
      <c r="F11100" s="1"/>
      <c r="G11100" s="1"/>
    </row>
    <row r="11101">
      <c r="B11101" s="36"/>
      <c r="C11101" s="36"/>
      <c r="E11101" s="1"/>
      <c r="F11101" s="1"/>
      <c r="G11101" s="1"/>
    </row>
    <row r="11102">
      <c r="B11102" s="36"/>
      <c r="C11102" s="36"/>
      <c r="E11102" s="1"/>
      <c r="F11102" s="1"/>
      <c r="G11102" s="1"/>
    </row>
    <row r="11103">
      <c r="B11103" s="36"/>
      <c r="C11103" s="36"/>
      <c r="E11103" s="1"/>
      <c r="F11103" s="1"/>
      <c r="G11103" s="1"/>
    </row>
    <row r="11104">
      <c r="B11104" s="36"/>
      <c r="C11104" s="36"/>
      <c r="E11104" s="1"/>
      <c r="F11104" s="1"/>
      <c r="G11104" s="1"/>
    </row>
    <row r="11105">
      <c r="B11105" s="36"/>
      <c r="C11105" s="36"/>
      <c r="E11105" s="1"/>
      <c r="F11105" s="1"/>
      <c r="G11105" s="1"/>
    </row>
    <row r="11106">
      <c r="B11106" s="36"/>
      <c r="C11106" s="36"/>
      <c r="E11106" s="1"/>
      <c r="F11106" s="1"/>
      <c r="G11106" s="1"/>
    </row>
    <row r="11107">
      <c r="B11107" s="36"/>
      <c r="C11107" s="36"/>
      <c r="E11107" s="1"/>
      <c r="F11107" s="1"/>
      <c r="G11107" s="1"/>
    </row>
    <row r="11108">
      <c r="B11108" s="36"/>
      <c r="C11108" s="36"/>
      <c r="E11108" s="1"/>
      <c r="F11108" s="1"/>
      <c r="G11108" s="1"/>
    </row>
    <row r="11109">
      <c r="B11109" s="36"/>
      <c r="C11109" s="36"/>
      <c r="E11109" s="1"/>
      <c r="F11109" s="1"/>
      <c r="G11109" s="1"/>
    </row>
    <row r="11110">
      <c r="B11110" s="36"/>
      <c r="C11110" s="36"/>
      <c r="E11110" s="1"/>
      <c r="F11110" s="1"/>
      <c r="G11110" s="1"/>
    </row>
    <row r="11111">
      <c r="B11111" s="36"/>
      <c r="C11111" s="36"/>
      <c r="E11111" s="1"/>
      <c r="F11111" s="1"/>
      <c r="G11111" s="1"/>
    </row>
    <row r="11112">
      <c r="B11112" s="36"/>
      <c r="C11112" s="36"/>
      <c r="E11112" s="1"/>
      <c r="F11112" s="1"/>
      <c r="G11112" s="1"/>
    </row>
    <row r="11113">
      <c r="B11113" s="36"/>
      <c r="C11113" s="36"/>
      <c r="E11113" s="1"/>
      <c r="F11113" s="1"/>
      <c r="G11113" s="1"/>
    </row>
    <row r="11114">
      <c r="B11114" s="36"/>
      <c r="C11114" s="36"/>
      <c r="E11114" s="1"/>
      <c r="F11114" s="1"/>
      <c r="G11114" s="1"/>
    </row>
    <row r="11115">
      <c r="B11115" s="36"/>
      <c r="C11115" s="36"/>
      <c r="E11115" s="1"/>
      <c r="F11115" s="1"/>
      <c r="G11115" s="1"/>
    </row>
    <row r="11116">
      <c r="B11116" s="36"/>
      <c r="C11116" s="36"/>
      <c r="E11116" s="1"/>
      <c r="F11116" s="1"/>
      <c r="G11116" s="1"/>
    </row>
    <row r="11117">
      <c r="B11117" s="36"/>
      <c r="C11117" s="36"/>
      <c r="E11117" s="1"/>
      <c r="F11117" s="1"/>
      <c r="G11117" s="1"/>
    </row>
    <row r="11118">
      <c r="B11118" s="36"/>
      <c r="C11118" s="36"/>
      <c r="E11118" s="1"/>
      <c r="F11118" s="1"/>
      <c r="G11118" s="1"/>
    </row>
    <row r="11119">
      <c r="B11119" s="36"/>
      <c r="C11119" s="36"/>
      <c r="E11119" s="1"/>
      <c r="F11119" s="1"/>
      <c r="G11119" s="1"/>
    </row>
    <row r="11120">
      <c r="B11120" s="36"/>
      <c r="C11120" s="36"/>
      <c r="E11120" s="1"/>
      <c r="F11120" s="1"/>
      <c r="G11120" s="1"/>
    </row>
    <row r="11121">
      <c r="B11121" s="36"/>
      <c r="C11121" s="36"/>
      <c r="E11121" s="1"/>
      <c r="F11121" s="1"/>
      <c r="G11121" s="1"/>
    </row>
    <row r="11122">
      <c r="B11122" s="36"/>
      <c r="C11122" s="36"/>
      <c r="E11122" s="1"/>
      <c r="F11122" s="1"/>
      <c r="G11122" s="1"/>
    </row>
    <row r="11123">
      <c r="B11123" s="36"/>
      <c r="C11123" s="36"/>
      <c r="E11123" s="1"/>
      <c r="F11123" s="1"/>
      <c r="G11123" s="1"/>
    </row>
    <row r="11124">
      <c r="B11124" s="36"/>
      <c r="C11124" s="36"/>
      <c r="E11124" s="1"/>
      <c r="F11124" s="1"/>
      <c r="G11124" s="1"/>
    </row>
    <row r="11125">
      <c r="B11125" s="36"/>
      <c r="C11125" s="36"/>
      <c r="E11125" s="1"/>
      <c r="F11125" s="1"/>
      <c r="G11125" s="1"/>
    </row>
    <row r="11126">
      <c r="B11126" s="36"/>
      <c r="C11126" s="36"/>
      <c r="E11126" s="1"/>
      <c r="F11126" s="1"/>
      <c r="G11126" s="1"/>
    </row>
    <row r="11127">
      <c r="B11127" s="36"/>
      <c r="C11127" s="36"/>
      <c r="E11127" s="1"/>
      <c r="F11127" s="1"/>
      <c r="G11127" s="1"/>
    </row>
    <row r="11128">
      <c r="B11128" s="36"/>
      <c r="C11128" s="36"/>
      <c r="E11128" s="1"/>
      <c r="F11128" s="1"/>
      <c r="G11128" s="1"/>
    </row>
    <row r="11129">
      <c r="B11129" s="36"/>
      <c r="C11129" s="36"/>
      <c r="E11129" s="1"/>
      <c r="F11129" s="1"/>
      <c r="G11129" s="1"/>
    </row>
    <row r="11130">
      <c r="B11130" s="36"/>
      <c r="C11130" s="36"/>
      <c r="E11130" s="1"/>
      <c r="F11130" s="1"/>
      <c r="G11130" s="1"/>
    </row>
    <row r="11131">
      <c r="B11131" s="36"/>
      <c r="C11131" s="36"/>
      <c r="E11131" s="1"/>
      <c r="F11131" s="1"/>
      <c r="G11131" s="1"/>
    </row>
    <row r="11132">
      <c r="B11132" s="36"/>
      <c r="C11132" s="36"/>
      <c r="E11132" s="1"/>
      <c r="F11132" s="1"/>
      <c r="G11132" s="1"/>
    </row>
    <row r="11133">
      <c r="B11133" s="36"/>
      <c r="C11133" s="36"/>
      <c r="E11133" s="1"/>
      <c r="F11133" s="1"/>
      <c r="G11133" s="1"/>
    </row>
    <row r="11134">
      <c r="B11134" s="36"/>
      <c r="C11134" s="36"/>
      <c r="E11134" s="1"/>
      <c r="F11134" s="1"/>
      <c r="G11134" s="1"/>
    </row>
    <row r="11135">
      <c r="B11135" s="36"/>
      <c r="C11135" s="36"/>
      <c r="E11135" s="1"/>
      <c r="F11135" s="1"/>
      <c r="G11135" s="1"/>
    </row>
    <row r="11136">
      <c r="B11136" s="36"/>
      <c r="C11136" s="36"/>
      <c r="E11136" s="1"/>
      <c r="F11136" s="1"/>
      <c r="G11136" s="1"/>
    </row>
    <row r="11137">
      <c r="B11137" s="36"/>
      <c r="C11137" s="36"/>
      <c r="E11137" s="1"/>
      <c r="F11137" s="1"/>
      <c r="G11137" s="1"/>
    </row>
    <row r="11138">
      <c r="B11138" s="36"/>
      <c r="C11138" s="36"/>
      <c r="E11138" s="1"/>
      <c r="F11138" s="1"/>
      <c r="G11138" s="1"/>
    </row>
    <row r="11139">
      <c r="B11139" s="36"/>
      <c r="C11139" s="36"/>
      <c r="E11139" s="1"/>
      <c r="F11139" s="1"/>
      <c r="G11139" s="1"/>
    </row>
    <row r="11140">
      <c r="B11140" s="36"/>
      <c r="C11140" s="36"/>
      <c r="E11140" s="1"/>
      <c r="F11140" s="1"/>
      <c r="G11140" s="1"/>
    </row>
    <row r="11141">
      <c r="B11141" s="36"/>
      <c r="C11141" s="36"/>
      <c r="E11141" s="1"/>
      <c r="F11141" s="1"/>
      <c r="G11141" s="1"/>
    </row>
    <row r="11142">
      <c r="B11142" s="36"/>
      <c r="C11142" s="36"/>
      <c r="E11142" s="1"/>
      <c r="F11142" s="1"/>
      <c r="G11142" s="1"/>
    </row>
    <row r="11143">
      <c r="B11143" s="36"/>
      <c r="C11143" s="36"/>
      <c r="E11143" s="1"/>
      <c r="F11143" s="1"/>
      <c r="G11143" s="1"/>
    </row>
    <row r="11144">
      <c r="B11144" s="36"/>
      <c r="C11144" s="36"/>
      <c r="E11144" s="1"/>
      <c r="F11144" s="1"/>
      <c r="G11144" s="1"/>
    </row>
    <row r="11145">
      <c r="B11145" s="36"/>
      <c r="C11145" s="36"/>
      <c r="E11145" s="1"/>
      <c r="F11145" s="1"/>
      <c r="G11145" s="1"/>
    </row>
    <row r="11146">
      <c r="B11146" s="36"/>
      <c r="C11146" s="36"/>
      <c r="E11146" s="1"/>
      <c r="F11146" s="1"/>
      <c r="G11146" s="1"/>
    </row>
    <row r="11147">
      <c r="B11147" s="36"/>
      <c r="C11147" s="36"/>
      <c r="E11147" s="1"/>
      <c r="F11147" s="1"/>
      <c r="G11147" s="1"/>
    </row>
    <row r="11148">
      <c r="B11148" s="36"/>
      <c r="C11148" s="36"/>
      <c r="E11148" s="1"/>
      <c r="F11148" s="1"/>
      <c r="G11148" s="1"/>
    </row>
    <row r="11149">
      <c r="B11149" s="36"/>
      <c r="C11149" s="36"/>
      <c r="E11149" s="1"/>
      <c r="F11149" s="1"/>
      <c r="G11149" s="1"/>
    </row>
    <row r="11150">
      <c r="B11150" s="36"/>
      <c r="C11150" s="36"/>
      <c r="E11150" s="1"/>
      <c r="F11150" s="1"/>
      <c r="G11150" s="1"/>
    </row>
    <row r="11151">
      <c r="B11151" s="36"/>
      <c r="C11151" s="36"/>
      <c r="E11151" s="1"/>
      <c r="F11151" s="1"/>
      <c r="G11151" s="1"/>
    </row>
    <row r="11152">
      <c r="B11152" s="36"/>
      <c r="C11152" s="36"/>
      <c r="E11152" s="1"/>
      <c r="F11152" s="1"/>
      <c r="G11152" s="1"/>
    </row>
    <row r="11153">
      <c r="B11153" s="36"/>
      <c r="C11153" s="36"/>
      <c r="E11153" s="1"/>
      <c r="F11153" s="1"/>
      <c r="G11153" s="1"/>
    </row>
    <row r="11154">
      <c r="B11154" s="36"/>
      <c r="C11154" s="36"/>
      <c r="E11154" s="1"/>
      <c r="F11154" s="1"/>
      <c r="G11154" s="1"/>
    </row>
    <row r="11155">
      <c r="B11155" s="36"/>
      <c r="C11155" s="36"/>
      <c r="E11155" s="1"/>
      <c r="F11155" s="1"/>
      <c r="G11155" s="1"/>
    </row>
    <row r="11156">
      <c r="B11156" s="36"/>
      <c r="C11156" s="36"/>
      <c r="E11156" s="1"/>
      <c r="F11156" s="1"/>
      <c r="G11156" s="1"/>
    </row>
    <row r="11157">
      <c r="B11157" s="36"/>
      <c r="C11157" s="36"/>
      <c r="E11157" s="1"/>
      <c r="F11157" s="1"/>
      <c r="G11157" s="1"/>
    </row>
    <row r="11158">
      <c r="B11158" s="36"/>
      <c r="C11158" s="36"/>
      <c r="E11158" s="1"/>
      <c r="F11158" s="1"/>
      <c r="G11158" s="1"/>
    </row>
    <row r="11159">
      <c r="B11159" s="36"/>
      <c r="C11159" s="36"/>
      <c r="E11159" s="1"/>
      <c r="F11159" s="1"/>
      <c r="G11159" s="1"/>
    </row>
    <row r="11160">
      <c r="B11160" s="36"/>
      <c r="C11160" s="36"/>
      <c r="E11160" s="1"/>
      <c r="F11160" s="1"/>
      <c r="G11160" s="1"/>
    </row>
    <row r="11161">
      <c r="B11161" s="36"/>
      <c r="C11161" s="36"/>
      <c r="E11161" s="1"/>
      <c r="F11161" s="1"/>
      <c r="G11161" s="1"/>
    </row>
    <row r="11162">
      <c r="B11162" s="36"/>
      <c r="C11162" s="36"/>
      <c r="E11162" s="1"/>
      <c r="F11162" s="1"/>
      <c r="G11162" s="1"/>
    </row>
    <row r="11163">
      <c r="B11163" s="36"/>
      <c r="C11163" s="36"/>
      <c r="E11163" s="1"/>
      <c r="F11163" s="1"/>
      <c r="G11163" s="1"/>
    </row>
    <row r="11164">
      <c r="B11164" s="36"/>
      <c r="C11164" s="36"/>
      <c r="E11164" s="1"/>
      <c r="F11164" s="1"/>
      <c r="G11164" s="1"/>
    </row>
    <row r="11165">
      <c r="B11165" s="36"/>
      <c r="C11165" s="36"/>
      <c r="E11165" s="1"/>
      <c r="F11165" s="1"/>
      <c r="G11165" s="1"/>
    </row>
    <row r="11166">
      <c r="B11166" s="36"/>
      <c r="C11166" s="36"/>
      <c r="E11166" s="1"/>
      <c r="F11166" s="1"/>
      <c r="G11166" s="1"/>
    </row>
    <row r="11167">
      <c r="B11167" s="36"/>
      <c r="C11167" s="36"/>
      <c r="E11167" s="1"/>
      <c r="F11167" s="1"/>
      <c r="G11167" s="1"/>
    </row>
    <row r="11168">
      <c r="B11168" s="36"/>
      <c r="C11168" s="36"/>
      <c r="E11168" s="1"/>
      <c r="F11168" s="1"/>
      <c r="G11168" s="1"/>
    </row>
    <row r="11169">
      <c r="B11169" s="36"/>
      <c r="C11169" s="36"/>
      <c r="E11169" s="1"/>
      <c r="F11169" s="1"/>
      <c r="G11169" s="1"/>
    </row>
    <row r="11170">
      <c r="B11170" s="36"/>
      <c r="C11170" s="36"/>
      <c r="E11170" s="1"/>
      <c r="F11170" s="1"/>
      <c r="G11170" s="1"/>
    </row>
    <row r="11171">
      <c r="B11171" s="36"/>
      <c r="C11171" s="36"/>
      <c r="E11171" s="1"/>
      <c r="F11171" s="1"/>
      <c r="G11171" s="1"/>
    </row>
    <row r="11172">
      <c r="B11172" s="36"/>
      <c r="C11172" s="36"/>
      <c r="E11172" s="1"/>
      <c r="F11172" s="1"/>
      <c r="G11172" s="1"/>
    </row>
    <row r="11173">
      <c r="B11173" s="36"/>
      <c r="C11173" s="36"/>
      <c r="E11173" s="1"/>
      <c r="F11173" s="1"/>
      <c r="G11173" s="1"/>
    </row>
    <row r="11174">
      <c r="B11174" s="36"/>
      <c r="C11174" s="36"/>
      <c r="E11174" s="1"/>
      <c r="F11174" s="1"/>
      <c r="G11174" s="1"/>
    </row>
    <row r="11175">
      <c r="B11175" s="36"/>
      <c r="C11175" s="36"/>
      <c r="E11175" s="1"/>
      <c r="F11175" s="1"/>
      <c r="G11175" s="1"/>
    </row>
    <row r="11176">
      <c r="B11176" s="36"/>
      <c r="C11176" s="36"/>
      <c r="E11176" s="1"/>
      <c r="F11176" s="1"/>
      <c r="G11176" s="1"/>
    </row>
    <row r="11177">
      <c r="B11177" s="36"/>
      <c r="C11177" s="36"/>
      <c r="E11177" s="1"/>
      <c r="F11177" s="1"/>
      <c r="G11177" s="1"/>
    </row>
    <row r="11178">
      <c r="B11178" s="36"/>
      <c r="C11178" s="36"/>
      <c r="E11178" s="1"/>
      <c r="F11178" s="1"/>
      <c r="G11178" s="1"/>
    </row>
    <row r="11179">
      <c r="B11179" s="36"/>
      <c r="C11179" s="36"/>
      <c r="E11179" s="1"/>
      <c r="F11179" s="1"/>
      <c r="G11179" s="1"/>
    </row>
    <row r="11180">
      <c r="B11180" s="36"/>
      <c r="C11180" s="36"/>
      <c r="E11180" s="1"/>
      <c r="F11180" s="1"/>
      <c r="G11180" s="1"/>
    </row>
    <row r="11181">
      <c r="B11181" s="36"/>
      <c r="C11181" s="36"/>
      <c r="E11181" s="1"/>
      <c r="F11181" s="1"/>
      <c r="G11181" s="1"/>
    </row>
    <row r="11182">
      <c r="B11182" s="36"/>
      <c r="C11182" s="36"/>
      <c r="E11182" s="1"/>
      <c r="F11182" s="1"/>
      <c r="G11182" s="1"/>
    </row>
    <row r="11183">
      <c r="B11183" s="36"/>
      <c r="C11183" s="36"/>
      <c r="E11183" s="1"/>
      <c r="F11183" s="1"/>
      <c r="G11183" s="1"/>
    </row>
    <row r="11184">
      <c r="B11184" s="36"/>
      <c r="C11184" s="36"/>
      <c r="E11184" s="1"/>
      <c r="F11184" s="1"/>
      <c r="G11184" s="1"/>
    </row>
    <row r="11185">
      <c r="B11185" s="36"/>
      <c r="C11185" s="36"/>
      <c r="E11185" s="1"/>
      <c r="F11185" s="1"/>
      <c r="G11185" s="1"/>
    </row>
    <row r="11186">
      <c r="B11186" s="36"/>
      <c r="C11186" s="36"/>
      <c r="E11186" s="1"/>
      <c r="F11186" s="1"/>
      <c r="G11186" s="1"/>
    </row>
    <row r="11187">
      <c r="B11187" s="36"/>
      <c r="C11187" s="36"/>
      <c r="E11187" s="1"/>
      <c r="F11187" s="1"/>
      <c r="G11187" s="1"/>
    </row>
    <row r="11188">
      <c r="B11188" s="36"/>
      <c r="C11188" s="36"/>
      <c r="E11188" s="1"/>
      <c r="F11188" s="1"/>
      <c r="G11188" s="1"/>
    </row>
    <row r="11189">
      <c r="B11189" s="36"/>
      <c r="C11189" s="36"/>
      <c r="E11189" s="1"/>
      <c r="F11189" s="1"/>
      <c r="G11189" s="1"/>
    </row>
    <row r="11190">
      <c r="B11190" s="36"/>
      <c r="C11190" s="36"/>
      <c r="E11190" s="1"/>
      <c r="F11190" s="1"/>
      <c r="G11190" s="1"/>
    </row>
    <row r="11191">
      <c r="B11191" s="36"/>
      <c r="C11191" s="36"/>
      <c r="E11191" s="1"/>
      <c r="F11191" s="1"/>
      <c r="G11191" s="1"/>
    </row>
    <row r="11192">
      <c r="B11192" s="36"/>
      <c r="C11192" s="36"/>
      <c r="E11192" s="1"/>
      <c r="F11192" s="1"/>
      <c r="G11192" s="1"/>
    </row>
    <row r="11193">
      <c r="B11193" s="36"/>
      <c r="C11193" s="36"/>
      <c r="E11193" s="1"/>
      <c r="F11193" s="1"/>
      <c r="G11193" s="1"/>
    </row>
    <row r="11194">
      <c r="B11194" s="36"/>
      <c r="C11194" s="36"/>
      <c r="E11194" s="1"/>
      <c r="F11194" s="1"/>
      <c r="G11194" s="1"/>
    </row>
    <row r="11195">
      <c r="B11195" s="36"/>
      <c r="C11195" s="36"/>
      <c r="E11195" s="1"/>
      <c r="F11195" s="1"/>
      <c r="G11195" s="1"/>
    </row>
    <row r="11196">
      <c r="B11196" s="36"/>
      <c r="C11196" s="36"/>
      <c r="E11196" s="1"/>
      <c r="F11196" s="1"/>
      <c r="G11196" s="1"/>
    </row>
    <row r="11197">
      <c r="B11197" s="36"/>
      <c r="C11197" s="36"/>
      <c r="E11197" s="1"/>
      <c r="F11197" s="1"/>
      <c r="G11197" s="1"/>
    </row>
    <row r="11198">
      <c r="B11198" s="36"/>
      <c r="C11198" s="36"/>
      <c r="E11198" s="1"/>
      <c r="F11198" s="1"/>
      <c r="G11198" s="1"/>
    </row>
    <row r="11199">
      <c r="B11199" s="36"/>
      <c r="C11199" s="36"/>
      <c r="E11199" s="1"/>
      <c r="F11199" s="1"/>
      <c r="G11199" s="1"/>
    </row>
    <row r="11200">
      <c r="B11200" s="36"/>
      <c r="C11200" s="36"/>
      <c r="E11200" s="1"/>
      <c r="F11200" s="1"/>
      <c r="G11200" s="1"/>
    </row>
    <row r="11201">
      <c r="B11201" s="36"/>
      <c r="C11201" s="36"/>
      <c r="E11201" s="1"/>
      <c r="F11201" s="1"/>
      <c r="G11201" s="1"/>
    </row>
    <row r="11202">
      <c r="B11202" s="36"/>
      <c r="C11202" s="36"/>
      <c r="E11202" s="1"/>
      <c r="F11202" s="1"/>
      <c r="G11202" s="1"/>
    </row>
    <row r="11203">
      <c r="B11203" s="36"/>
      <c r="C11203" s="36"/>
      <c r="E11203" s="1"/>
      <c r="F11203" s="1"/>
      <c r="G11203" s="1"/>
    </row>
    <row r="11204">
      <c r="B11204" s="36"/>
      <c r="C11204" s="36"/>
      <c r="E11204" s="1"/>
      <c r="F11204" s="1"/>
      <c r="G11204" s="1"/>
    </row>
    <row r="11205">
      <c r="B11205" s="36"/>
      <c r="C11205" s="36"/>
      <c r="E11205" s="1"/>
      <c r="F11205" s="1"/>
      <c r="G11205" s="1"/>
    </row>
    <row r="11206">
      <c r="B11206" s="36"/>
      <c r="C11206" s="36"/>
      <c r="E11206" s="1"/>
      <c r="F11206" s="1"/>
      <c r="G11206" s="1"/>
    </row>
    <row r="11207">
      <c r="B11207" s="36"/>
      <c r="C11207" s="36"/>
      <c r="E11207" s="1"/>
      <c r="F11207" s="1"/>
      <c r="G11207" s="1"/>
    </row>
    <row r="11208">
      <c r="B11208" s="36"/>
      <c r="C11208" s="36"/>
      <c r="E11208" s="1"/>
      <c r="F11208" s="1"/>
      <c r="G11208" s="1"/>
    </row>
    <row r="11209">
      <c r="B11209" s="36"/>
      <c r="C11209" s="36"/>
      <c r="E11209" s="1"/>
      <c r="F11209" s="1"/>
      <c r="G11209" s="1"/>
    </row>
    <row r="11210">
      <c r="B11210" s="36"/>
      <c r="C11210" s="36"/>
      <c r="E11210" s="1"/>
      <c r="F11210" s="1"/>
      <c r="G11210" s="1"/>
    </row>
    <row r="11211">
      <c r="B11211" s="36"/>
      <c r="C11211" s="36"/>
      <c r="E11211" s="1"/>
      <c r="F11211" s="1"/>
      <c r="G11211" s="1"/>
    </row>
    <row r="11212">
      <c r="B11212" s="36"/>
      <c r="C11212" s="36"/>
      <c r="E11212" s="1"/>
      <c r="F11212" s="1"/>
      <c r="G11212" s="1"/>
    </row>
    <row r="11213">
      <c r="B11213" s="36"/>
      <c r="C11213" s="36"/>
      <c r="E11213" s="1"/>
      <c r="F11213" s="1"/>
      <c r="G11213" s="1"/>
    </row>
    <row r="11214">
      <c r="B11214" s="36"/>
      <c r="C11214" s="36"/>
      <c r="E11214" s="1"/>
      <c r="F11214" s="1"/>
      <c r="G11214" s="1"/>
    </row>
    <row r="11215">
      <c r="B11215" s="36"/>
      <c r="C11215" s="36"/>
      <c r="E11215" s="1"/>
      <c r="F11215" s="1"/>
      <c r="G11215" s="1"/>
    </row>
    <row r="11216">
      <c r="B11216" s="36"/>
      <c r="C11216" s="36"/>
      <c r="E11216" s="1"/>
      <c r="F11216" s="1"/>
      <c r="G11216" s="1"/>
    </row>
    <row r="11217">
      <c r="B11217" s="36"/>
      <c r="C11217" s="36"/>
      <c r="E11217" s="1"/>
      <c r="F11217" s="1"/>
      <c r="G11217" s="1"/>
    </row>
    <row r="11218">
      <c r="B11218" s="36"/>
      <c r="C11218" s="36"/>
      <c r="E11218" s="1"/>
      <c r="F11218" s="1"/>
      <c r="G11218" s="1"/>
    </row>
    <row r="11219">
      <c r="B11219" s="36"/>
      <c r="C11219" s="36"/>
      <c r="E11219" s="1"/>
      <c r="F11219" s="1"/>
      <c r="G11219" s="1"/>
    </row>
    <row r="11220">
      <c r="B11220" s="36"/>
      <c r="C11220" s="36"/>
      <c r="E11220" s="1"/>
      <c r="F11220" s="1"/>
      <c r="G11220" s="1"/>
    </row>
    <row r="11221">
      <c r="B11221" s="36"/>
      <c r="C11221" s="36"/>
      <c r="E11221" s="1"/>
      <c r="F11221" s="1"/>
      <c r="G11221" s="1"/>
    </row>
    <row r="11222">
      <c r="B11222" s="36"/>
      <c r="C11222" s="36"/>
      <c r="E11222" s="1"/>
      <c r="F11222" s="1"/>
      <c r="G11222" s="1"/>
    </row>
    <row r="11223">
      <c r="B11223" s="36"/>
      <c r="C11223" s="36"/>
      <c r="E11223" s="1"/>
      <c r="F11223" s="1"/>
      <c r="G11223" s="1"/>
    </row>
    <row r="11224">
      <c r="B11224" s="36"/>
      <c r="C11224" s="36"/>
      <c r="E11224" s="1"/>
      <c r="F11224" s="1"/>
      <c r="G11224" s="1"/>
    </row>
    <row r="11225">
      <c r="B11225" s="36"/>
      <c r="C11225" s="36"/>
      <c r="E11225" s="1"/>
      <c r="F11225" s="1"/>
      <c r="G11225" s="1"/>
    </row>
    <row r="11226">
      <c r="B11226" s="36"/>
      <c r="C11226" s="36"/>
      <c r="E11226" s="1"/>
      <c r="F11226" s="1"/>
      <c r="G11226" s="1"/>
    </row>
    <row r="11227">
      <c r="B11227" s="36"/>
      <c r="C11227" s="36"/>
      <c r="E11227" s="1"/>
      <c r="F11227" s="1"/>
      <c r="G11227" s="1"/>
    </row>
    <row r="11228">
      <c r="B11228" s="36"/>
      <c r="C11228" s="36"/>
      <c r="E11228" s="1"/>
      <c r="F11228" s="1"/>
      <c r="G11228" s="1"/>
    </row>
    <row r="11229">
      <c r="B11229" s="36"/>
      <c r="C11229" s="36"/>
      <c r="E11229" s="1"/>
      <c r="F11229" s="1"/>
      <c r="G11229" s="1"/>
    </row>
    <row r="11230">
      <c r="B11230" s="36"/>
      <c r="C11230" s="36"/>
      <c r="E11230" s="1"/>
      <c r="F11230" s="1"/>
      <c r="G11230" s="1"/>
    </row>
    <row r="11231">
      <c r="B11231" s="36"/>
      <c r="C11231" s="36"/>
      <c r="E11231" s="1"/>
      <c r="F11231" s="1"/>
      <c r="G11231" s="1"/>
    </row>
    <row r="11232">
      <c r="B11232" s="36"/>
      <c r="C11232" s="36"/>
      <c r="E11232" s="1"/>
      <c r="F11232" s="1"/>
      <c r="G11232" s="1"/>
    </row>
    <row r="11233">
      <c r="B11233" s="36"/>
      <c r="C11233" s="36"/>
      <c r="E11233" s="1"/>
      <c r="F11233" s="1"/>
      <c r="G11233" s="1"/>
    </row>
    <row r="11234">
      <c r="B11234" s="36"/>
      <c r="C11234" s="36"/>
      <c r="E11234" s="1"/>
      <c r="F11234" s="1"/>
      <c r="G11234" s="1"/>
    </row>
    <row r="11235">
      <c r="B11235" s="36"/>
      <c r="C11235" s="36"/>
      <c r="E11235" s="1"/>
      <c r="F11235" s="1"/>
      <c r="G11235" s="1"/>
    </row>
    <row r="11236">
      <c r="B11236" s="36"/>
      <c r="C11236" s="36"/>
      <c r="E11236" s="1"/>
      <c r="F11236" s="1"/>
      <c r="G11236" s="1"/>
    </row>
    <row r="11237">
      <c r="B11237" s="36"/>
      <c r="C11237" s="36"/>
      <c r="E11237" s="1"/>
      <c r="F11237" s="1"/>
      <c r="G11237" s="1"/>
    </row>
    <row r="11238">
      <c r="B11238" s="36"/>
      <c r="C11238" s="36"/>
      <c r="E11238" s="1"/>
      <c r="F11238" s="1"/>
      <c r="G11238" s="1"/>
    </row>
    <row r="11239">
      <c r="B11239" s="36"/>
      <c r="C11239" s="36"/>
      <c r="E11239" s="1"/>
      <c r="F11239" s="1"/>
      <c r="G11239" s="1"/>
    </row>
    <row r="11240">
      <c r="B11240" s="36"/>
      <c r="C11240" s="36"/>
      <c r="E11240" s="1"/>
      <c r="F11240" s="1"/>
      <c r="G11240" s="1"/>
    </row>
    <row r="11241">
      <c r="B11241" s="36"/>
      <c r="C11241" s="36"/>
      <c r="E11241" s="1"/>
      <c r="F11241" s="1"/>
      <c r="G11241" s="1"/>
    </row>
    <row r="11242">
      <c r="B11242" s="36"/>
      <c r="C11242" s="36"/>
      <c r="E11242" s="1"/>
      <c r="F11242" s="1"/>
      <c r="G11242" s="1"/>
    </row>
    <row r="11243">
      <c r="B11243" s="36"/>
      <c r="C11243" s="36"/>
      <c r="E11243" s="1"/>
      <c r="F11243" s="1"/>
      <c r="G11243" s="1"/>
    </row>
    <row r="11244">
      <c r="B11244" s="36"/>
      <c r="C11244" s="36"/>
      <c r="E11244" s="1"/>
      <c r="F11244" s="1"/>
      <c r="G11244" s="1"/>
    </row>
    <row r="11245">
      <c r="B11245" s="36"/>
      <c r="C11245" s="36"/>
      <c r="E11245" s="1"/>
      <c r="F11245" s="1"/>
      <c r="G11245" s="1"/>
    </row>
    <row r="11246">
      <c r="B11246" s="36"/>
      <c r="C11246" s="36"/>
      <c r="E11246" s="1"/>
      <c r="F11246" s="1"/>
      <c r="G11246" s="1"/>
    </row>
    <row r="11247">
      <c r="B11247" s="36"/>
      <c r="C11247" s="36"/>
      <c r="E11247" s="1"/>
      <c r="F11247" s="1"/>
      <c r="G11247" s="1"/>
    </row>
    <row r="11248">
      <c r="B11248" s="36"/>
      <c r="C11248" s="36"/>
      <c r="E11248" s="1"/>
      <c r="F11248" s="1"/>
      <c r="G11248" s="1"/>
    </row>
    <row r="11249">
      <c r="B11249" s="36"/>
      <c r="C11249" s="36"/>
      <c r="E11249" s="1"/>
      <c r="F11249" s="1"/>
      <c r="G11249" s="1"/>
    </row>
    <row r="11250">
      <c r="B11250" s="36"/>
      <c r="C11250" s="36"/>
      <c r="E11250" s="1"/>
      <c r="F11250" s="1"/>
      <c r="G11250" s="1"/>
    </row>
    <row r="11251">
      <c r="B11251" s="36"/>
      <c r="C11251" s="36"/>
      <c r="E11251" s="1"/>
      <c r="F11251" s="1"/>
      <c r="G11251" s="1"/>
    </row>
    <row r="11252">
      <c r="B11252" s="36"/>
      <c r="C11252" s="36"/>
      <c r="E11252" s="1"/>
      <c r="F11252" s="1"/>
      <c r="G11252" s="1"/>
    </row>
    <row r="11253">
      <c r="B11253" s="36"/>
      <c r="C11253" s="36"/>
      <c r="E11253" s="1"/>
      <c r="F11253" s="1"/>
      <c r="G11253" s="1"/>
    </row>
    <row r="11254">
      <c r="B11254" s="36"/>
      <c r="C11254" s="36"/>
      <c r="E11254" s="1"/>
      <c r="F11254" s="1"/>
      <c r="G11254" s="1"/>
    </row>
    <row r="11255">
      <c r="B11255" s="36"/>
      <c r="C11255" s="36"/>
      <c r="E11255" s="1"/>
      <c r="F11255" s="1"/>
      <c r="G11255" s="1"/>
    </row>
    <row r="11256">
      <c r="B11256" s="36"/>
      <c r="C11256" s="36"/>
      <c r="E11256" s="1"/>
      <c r="F11256" s="1"/>
      <c r="G11256" s="1"/>
    </row>
    <row r="11257">
      <c r="B11257" s="36"/>
      <c r="C11257" s="36"/>
      <c r="E11257" s="1"/>
      <c r="F11257" s="1"/>
      <c r="G11257" s="1"/>
    </row>
    <row r="11258">
      <c r="B11258" s="36"/>
      <c r="C11258" s="36"/>
      <c r="E11258" s="1"/>
      <c r="F11258" s="1"/>
      <c r="G11258" s="1"/>
    </row>
    <row r="11259">
      <c r="B11259" s="36"/>
      <c r="C11259" s="36"/>
      <c r="E11259" s="1"/>
      <c r="F11259" s="1"/>
      <c r="G11259" s="1"/>
    </row>
    <row r="11260">
      <c r="B11260" s="36"/>
      <c r="C11260" s="36"/>
      <c r="E11260" s="1"/>
      <c r="F11260" s="1"/>
      <c r="G11260" s="1"/>
    </row>
    <row r="11261">
      <c r="B11261" s="36"/>
      <c r="C11261" s="36"/>
      <c r="E11261" s="1"/>
      <c r="F11261" s="1"/>
      <c r="G11261" s="1"/>
    </row>
    <row r="11262">
      <c r="B11262" s="36"/>
      <c r="C11262" s="36"/>
      <c r="E11262" s="1"/>
      <c r="F11262" s="1"/>
      <c r="G11262" s="1"/>
    </row>
    <row r="11263">
      <c r="B11263" s="36"/>
      <c r="C11263" s="36"/>
      <c r="E11263" s="1"/>
      <c r="F11263" s="1"/>
      <c r="G11263" s="1"/>
    </row>
    <row r="11264">
      <c r="B11264" s="36"/>
      <c r="C11264" s="36"/>
      <c r="E11264" s="1"/>
      <c r="F11264" s="1"/>
      <c r="G11264" s="1"/>
    </row>
    <row r="11265">
      <c r="B11265" s="36"/>
      <c r="C11265" s="36"/>
      <c r="E11265" s="1"/>
      <c r="F11265" s="1"/>
      <c r="G11265" s="1"/>
    </row>
    <row r="11266">
      <c r="B11266" s="36"/>
      <c r="C11266" s="36"/>
      <c r="E11266" s="1"/>
      <c r="F11266" s="1"/>
      <c r="G11266" s="1"/>
    </row>
    <row r="11267">
      <c r="B11267" s="36"/>
      <c r="C11267" s="36"/>
      <c r="E11267" s="1"/>
      <c r="F11267" s="1"/>
      <c r="G11267" s="1"/>
    </row>
    <row r="11268">
      <c r="B11268" s="36"/>
      <c r="C11268" s="36"/>
      <c r="E11268" s="1"/>
      <c r="F11268" s="1"/>
      <c r="G11268" s="1"/>
    </row>
    <row r="11269">
      <c r="B11269" s="36"/>
      <c r="C11269" s="36"/>
      <c r="E11269" s="1"/>
      <c r="F11269" s="1"/>
      <c r="G11269" s="1"/>
    </row>
    <row r="11270">
      <c r="B11270" s="36"/>
      <c r="C11270" s="36"/>
      <c r="E11270" s="1"/>
      <c r="F11270" s="1"/>
      <c r="G11270" s="1"/>
    </row>
    <row r="11271">
      <c r="B11271" s="36"/>
      <c r="C11271" s="36"/>
      <c r="E11271" s="1"/>
      <c r="F11271" s="1"/>
      <c r="G11271" s="1"/>
    </row>
    <row r="11272">
      <c r="B11272" s="36"/>
      <c r="C11272" s="36"/>
      <c r="E11272" s="1"/>
      <c r="F11272" s="1"/>
      <c r="G11272" s="1"/>
    </row>
    <row r="11273">
      <c r="B11273" s="36"/>
      <c r="C11273" s="36"/>
      <c r="E11273" s="1"/>
      <c r="F11273" s="1"/>
      <c r="G11273" s="1"/>
    </row>
    <row r="11274">
      <c r="B11274" s="36"/>
      <c r="C11274" s="36"/>
      <c r="E11274" s="1"/>
      <c r="F11274" s="1"/>
      <c r="G11274" s="1"/>
    </row>
    <row r="11275">
      <c r="B11275" s="36"/>
      <c r="C11275" s="36"/>
      <c r="E11275" s="1"/>
      <c r="F11275" s="1"/>
      <c r="G11275" s="1"/>
    </row>
    <row r="11276">
      <c r="B11276" s="36"/>
      <c r="C11276" s="36"/>
      <c r="E11276" s="1"/>
      <c r="F11276" s="1"/>
      <c r="G11276" s="1"/>
    </row>
    <row r="11277">
      <c r="B11277" s="36"/>
      <c r="C11277" s="36"/>
      <c r="E11277" s="1"/>
      <c r="F11277" s="1"/>
      <c r="G11277" s="1"/>
    </row>
    <row r="11278">
      <c r="B11278" s="36"/>
      <c r="C11278" s="36"/>
      <c r="E11278" s="1"/>
      <c r="F11278" s="1"/>
      <c r="G11278" s="1"/>
    </row>
    <row r="11279">
      <c r="B11279" s="36"/>
      <c r="C11279" s="36"/>
      <c r="E11279" s="1"/>
      <c r="F11279" s="1"/>
      <c r="G11279" s="1"/>
    </row>
    <row r="11280">
      <c r="B11280" s="36"/>
      <c r="C11280" s="36"/>
      <c r="E11280" s="1"/>
      <c r="F11280" s="1"/>
      <c r="G11280" s="1"/>
    </row>
    <row r="11281">
      <c r="B11281" s="36"/>
      <c r="C11281" s="36"/>
      <c r="E11281" s="1"/>
      <c r="F11281" s="1"/>
      <c r="G11281" s="1"/>
    </row>
    <row r="11282">
      <c r="B11282" s="36"/>
      <c r="C11282" s="36"/>
      <c r="E11282" s="1"/>
      <c r="F11282" s="1"/>
      <c r="G11282" s="1"/>
    </row>
    <row r="11283">
      <c r="B11283" s="36"/>
      <c r="C11283" s="36"/>
      <c r="E11283" s="1"/>
      <c r="F11283" s="1"/>
      <c r="G11283" s="1"/>
    </row>
    <row r="11284">
      <c r="B11284" s="36"/>
      <c r="C11284" s="36"/>
      <c r="E11284" s="1"/>
      <c r="F11284" s="1"/>
      <c r="G11284" s="1"/>
    </row>
    <row r="11285">
      <c r="B11285" s="36"/>
      <c r="C11285" s="36"/>
      <c r="E11285" s="1"/>
      <c r="F11285" s="1"/>
      <c r="G11285" s="1"/>
    </row>
    <row r="11286">
      <c r="B11286" s="36"/>
      <c r="C11286" s="36"/>
      <c r="E11286" s="1"/>
      <c r="F11286" s="1"/>
      <c r="G11286" s="1"/>
    </row>
    <row r="11287">
      <c r="B11287" s="36"/>
      <c r="C11287" s="36"/>
      <c r="E11287" s="1"/>
      <c r="F11287" s="1"/>
      <c r="G11287" s="1"/>
    </row>
    <row r="11288">
      <c r="B11288" s="36"/>
      <c r="C11288" s="36"/>
      <c r="E11288" s="1"/>
      <c r="F11288" s="1"/>
      <c r="G11288" s="1"/>
    </row>
    <row r="11289">
      <c r="B11289" s="36"/>
      <c r="C11289" s="36"/>
      <c r="E11289" s="1"/>
      <c r="F11289" s="1"/>
      <c r="G11289" s="1"/>
    </row>
    <row r="11290">
      <c r="B11290" s="36"/>
      <c r="C11290" s="36"/>
      <c r="E11290" s="1"/>
      <c r="F11290" s="1"/>
      <c r="G11290" s="1"/>
    </row>
    <row r="11291">
      <c r="B11291" s="36"/>
      <c r="C11291" s="36"/>
      <c r="E11291" s="1"/>
      <c r="F11291" s="1"/>
      <c r="G11291" s="1"/>
    </row>
    <row r="11292">
      <c r="B11292" s="36"/>
      <c r="C11292" s="36"/>
      <c r="E11292" s="1"/>
      <c r="F11292" s="1"/>
      <c r="G11292" s="1"/>
    </row>
    <row r="11293">
      <c r="B11293" s="36"/>
      <c r="C11293" s="36"/>
      <c r="E11293" s="1"/>
      <c r="F11293" s="1"/>
      <c r="G11293" s="1"/>
    </row>
    <row r="11294">
      <c r="B11294" s="36"/>
      <c r="C11294" s="36"/>
      <c r="E11294" s="1"/>
      <c r="F11294" s="1"/>
      <c r="G11294" s="1"/>
    </row>
    <row r="11295">
      <c r="B11295" s="36"/>
      <c r="C11295" s="36"/>
      <c r="E11295" s="1"/>
      <c r="F11295" s="1"/>
      <c r="G11295" s="1"/>
    </row>
    <row r="11296">
      <c r="B11296" s="36"/>
      <c r="C11296" s="36"/>
      <c r="E11296" s="1"/>
      <c r="F11296" s="1"/>
      <c r="G11296" s="1"/>
    </row>
    <row r="11297">
      <c r="B11297" s="36"/>
      <c r="C11297" s="36"/>
      <c r="E11297" s="1"/>
      <c r="F11297" s="1"/>
      <c r="G11297" s="1"/>
    </row>
    <row r="11298">
      <c r="B11298" s="36"/>
      <c r="C11298" s="36"/>
      <c r="E11298" s="1"/>
      <c r="F11298" s="1"/>
      <c r="G11298" s="1"/>
    </row>
    <row r="11299">
      <c r="B11299" s="36"/>
      <c r="C11299" s="36"/>
      <c r="E11299" s="1"/>
      <c r="F11299" s="1"/>
      <c r="G11299" s="1"/>
    </row>
    <row r="11300">
      <c r="B11300" s="36"/>
      <c r="C11300" s="36"/>
      <c r="E11300" s="1"/>
      <c r="F11300" s="1"/>
      <c r="G11300" s="1"/>
    </row>
    <row r="11301">
      <c r="B11301" s="36"/>
      <c r="C11301" s="36"/>
      <c r="E11301" s="1"/>
      <c r="F11301" s="1"/>
      <c r="G11301" s="1"/>
    </row>
    <row r="11302">
      <c r="B11302" s="36"/>
      <c r="C11302" s="36"/>
      <c r="E11302" s="1"/>
      <c r="F11302" s="1"/>
      <c r="G11302" s="1"/>
    </row>
    <row r="11303">
      <c r="B11303" s="36"/>
      <c r="C11303" s="36"/>
      <c r="E11303" s="1"/>
      <c r="F11303" s="1"/>
      <c r="G11303" s="1"/>
    </row>
    <row r="11304">
      <c r="B11304" s="36"/>
      <c r="C11304" s="36"/>
      <c r="E11304" s="1"/>
      <c r="F11304" s="1"/>
      <c r="G11304" s="1"/>
    </row>
    <row r="11305">
      <c r="B11305" s="36"/>
      <c r="C11305" s="36"/>
      <c r="E11305" s="1"/>
      <c r="F11305" s="1"/>
      <c r="G11305" s="1"/>
    </row>
    <row r="11306">
      <c r="B11306" s="36"/>
      <c r="C11306" s="36"/>
      <c r="E11306" s="1"/>
      <c r="F11306" s="1"/>
      <c r="G11306" s="1"/>
    </row>
    <row r="11307">
      <c r="B11307" s="36"/>
      <c r="C11307" s="36"/>
      <c r="E11307" s="1"/>
      <c r="F11307" s="1"/>
      <c r="G11307" s="1"/>
    </row>
    <row r="11308">
      <c r="B11308" s="36"/>
      <c r="C11308" s="36"/>
      <c r="E11308" s="1"/>
      <c r="F11308" s="1"/>
      <c r="G11308" s="1"/>
    </row>
    <row r="11309">
      <c r="B11309" s="36"/>
      <c r="C11309" s="36"/>
      <c r="E11309" s="1"/>
      <c r="F11309" s="1"/>
      <c r="G11309" s="1"/>
    </row>
    <row r="11310">
      <c r="B11310" s="36"/>
      <c r="C11310" s="36"/>
      <c r="E11310" s="1"/>
      <c r="F11310" s="1"/>
      <c r="G11310" s="1"/>
    </row>
    <row r="11311">
      <c r="B11311" s="36"/>
      <c r="C11311" s="36"/>
      <c r="E11311" s="1"/>
      <c r="F11311" s="1"/>
      <c r="G11311" s="1"/>
    </row>
    <row r="11312">
      <c r="B11312" s="36"/>
      <c r="C11312" s="36"/>
      <c r="E11312" s="1"/>
      <c r="F11312" s="1"/>
      <c r="G11312" s="1"/>
    </row>
    <row r="11313">
      <c r="B11313" s="36"/>
      <c r="C11313" s="36"/>
      <c r="E11313" s="1"/>
      <c r="F11313" s="1"/>
      <c r="G11313" s="1"/>
    </row>
    <row r="11314">
      <c r="B11314" s="36"/>
      <c r="C11314" s="36"/>
      <c r="E11314" s="1"/>
      <c r="F11314" s="1"/>
      <c r="G11314" s="1"/>
    </row>
    <row r="11315">
      <c r="B11315" s="36"/>
      <c r="C11315" s="36"/>
      <c r="E11315" s="1"/>
      <c r="F11315" s="1"/>
      <c r="G11315" s="1"/>
    </row>
    <row r="11316">
      <c r="B11316" s="36"/>
      <c r="C11316" s="36"/>
      <c r="E11316" s="1"/>
      <c r="F11316" s="1"/>
      <c r="G11316" s="1"/>
    </row>
    <row r="11317">
      <c r="B11317" s="36"/>
      <c r="C11317" s="36"/>
      <c r="E11317" s="1"/>
      <c r="F11317" s="1"/>
      <c r="G11317" s="1"/>
    </row>
    <row r="11318">
      <c r="B11318" s="36"/>
      <c r="C11318" s="36"/>
      <c r="E11318" s="1"/>
      <c r="F11318" s="1"/>
      <c r="G11318" s="1"/>
    </row>
    <row r="11319">
      <c r="B11319" s="36"/>
      <c r="C11319" s="36"/>
      <c r="E11319" s="1"/>
      <c r="F11319" s="1"/>
      <c r="G11319" s="1"/>
    </row>
    <row r="11320">
      <c r="B11320" s="36"/>
      <c r="C11320" s="36"/>
      <c r="E11320" s="1"/>
      <c r="F11320" s="1"/>
      <c r="G11320" s="1"/>
    </row>
    <row r="11321">
      <c r="B11321" s="36"/>
      <c r="C11321" s="36"/>
      <c r="E11321" s="1"/>
      <c r="F11321" s="1"/>
      <c r="G11321" s="1"/>
    </row>
    <row r="11322">
      <c r="B11322" s="36"/>
      <c r="C11322" s="36"/>
      <c r="E11322" s="1"/>
      <c r="F11322" s="1"/>
      <c r="G11322" s="1"/>
    </row>
    <row r="11323">
      <c r="B11323" s="36"/>
      <c r="C11323" s="36"/>
      <c r="E11323" s="1"/>
      <c r="F11323" s="1"/>
      <c r="G11323" s="1"/>
    </row>
    <row r="11324">
      <c r="B11324" s="36"/>
      <c r="C11324" s="36"/>
      <c r="E11324" s="1"/>
      <c r="F11324" s="1"/>
      <c r="G11324" s="1"/>
    </row>
    <row r="11325">
      <c r="B11325" s="36"/>
      <c r="C11325" s="36"/>
      <c r="E11325" s="1"/>
      <c r="F11325" s="1"/>
      <c r="G11325" s="1"/>
    </row>
    <row r="11326">
      <c r="B11326" s="36"/>
      <c r="C11326" s="36"/>
      <c r="E11326" s="1"/>
      <c r="F11326" s="1"/>
      <c r="G11326" s="1"/>
    </row>
    <row r="11327">
      <c r="B11327" s="36"/>
      <c r="C11327" s="36"/>
      <c r="E11327" s="1"/>
      <c r="F11327" s="1"/>
      <c r="G11327" s="1"/>
    </row>
    <row r="11328">
      <c r="B11328" s="36"/>
      <c r="C11328" s="36"/>
      <c r="E11328" s="1"/>
      <c r="F11328" s="1"/>
      <c r="G11328" s="1"/>
    </row>
    <row r="11329">
      <c r="B11329" s="36"/>
      <c r="C11329" s="36"/>
      <c r="E11329" s="1"/>
      <c r="F11329" s="1"/>
      <c r="G11329" s="1"/>
    </row>
    <row r="11330">
      <c r="B11330" s="36"/>
      <c r="C11330" s="36"/>
      <c r="E11330" s="1"/>
      <c r="F11330" s="1"/>
      <c r="G11330" s="1"/>
    </row>
    <row r="11331">
      <c r="B11331" s="36"/>
      <c r="C11331" s="36"/>
      <c r="E11331" s="1"/>
      <c r="F11331" s="1"/>
      <c r="G11331" s="1"/>
    </row>
    <row r="11332">
      <c r="B11332" s="36"/>
      <c r="C11332" s="36"/>
      <c r="E11332" s="1"/>
      <c r="F11332" s="1"/>
      <c r="G11332" s="1"/>
    </row>
    <row r="11333">
      <c r="B11333" s="36"/>
      <c r="C11333" s="36"/>
      <c r="E11333" s="1"/>
      <c r="F11333" s="1"/>
      <c r="G11333" s="1"/>
    </row>
    <row r="11334">
      <c r="B11334" s="36"/>
      <c r="C11334" s="36"/>
      <c r="E11334" s="1"/>
      <c r="F11334" s="1"/>
      <c r="G11334" s="1"/>
    </row>
    <row r="11335">
      <c r="B11335" s="36"/>
      <c r="C11335" s="36"/>
      <c r="E11335" s="1"/>
      <c r="F11335" s="1"/>
      <c r="G11335" s="1"/>
    </row>
    <row r="11336">
      <c r="B11336" s="36"/>
      <c r="C11336" s="36"/>
      <c r="E11336" s="1"/>
      <c r="F11336" s="1"/>
      <c r="G11336" s="1"/>
    </row>
    <row r="11337">
      <c r="B11337" s="36"/>
      <c r="C11337" s="36"/>
      <c r="E11337" s="1"/>
      <c r="F11337" s="1"/>
      <c r="G11337" s="1"/>
    </row>
    <row r="11338">
      <c r="B11338" s="36"/>
      <c r="C11338" s="36"/>
      <c r="E11338" s="1"/>
      <c r="F11338" s="1"/>
      <c r="G11338" s="1"/>
    </row>
    <row r="11339">
      <c r="B11339" s="36"/>
      <c r="C11339" s="36"/>
      <c r="E11339" s="1"/>
      <c r="F11339" s="1"/>
      <c r="G11339" s="1"/>
    </row>
    <row r="11340">
      <c r="B11340" s="36"/>
      <c r="C11340" s="36"/>
      <c r="E11340" s="1"/>
      <c r="F11340" s="1"/>
      <c r="G11340" s="1"/>
    </row>
    <row r="11341">
      <c r="B11341" s="36"/>
      <c r="C11341" s="36"/>
      <c r="E11341" s="1"/>
      <c r="F11341" s="1"/>
      <c r="G11341" s="1"/>
    </row>
    <row r="11342">
      <c r="B11342" s="36"/>
      <c r="C11342" s="36"/>
      <c r="E11342" s="1"/>
      <c r="F11342" s="1"/>
      <c r="G11342" s="1"/>
    </row>
    <row r="11343">
      <c r="B11343" s="36"/>
      <c r="C11343" s="36"/>
      <c r="E11343" s="1"/>
      <c r="F11343" s="1"/>
      <c r="G11343" s="1"/>
    </row>
    <row r="11344">
      <c r="B11344" s="36"/>
      <c r="C11344" s="36"/>
      <c r="E11344" s="1"/>
      <c r="F11344" s="1"/>
      <c r="G11344" s="1"/>
    </row>
    <row r="11345">
      <c r="B11345" s="36"/>
      <c r="C11345" s="36"/>
      <c r="E11345" s="1"/>
      <c r="F11345" s="1"/>
      <c r="G11345" s="1"/>
    </row>
    <row r="11346">
      <c r="B11346" s="36"/>
      <c r="C11346" s="36"/>
      <c r="E11346" s="1"/>
      <c r="F11346" s="1"/>
      <c r="G11346" s="1"/>
    </row>
    <row r="11347">
      <c r="B11347" s="36"/>
      <c r="C11347" s="36"/>
      <c r="E11347" s="1"/>
      <c r="F11347" s="1"/>
      <c r="G11347" s="1"/>
    </row>
    <row r="11348">
      <c r="B11348" s="36"/>
      <c r="C11348" s="36"/>
      <c r="E11348" s="1"/>
      <c r="F11348" s="1"/>
      <c r="G11348" s="1"/>
    </row>
    <row r="11349">
      <c r="B11349" s="36"/>
      <c r="C11349" s="36"/>
      <c r="E11349" s="1"/>
      <c r="F11349" s="1"/>
      <c r="G11349" s="1"/>
    </row>
    <row r="11350">
      <c r="B11350" s="36"/>
      <c r="C11350" s="36"/>
      <c r="E11350" s="1"/>
      <c r="F11350" s="1"/>
      <c r="G11350" s="1"/>
    </row>
    <row r="11351">
      <c r="B11351" s="36"/>
      <c r="C11351" s="36"/>
      <c r="E11351" s="1"/>
      <c r="F11351" s="1"/>
      <c r="G11351" s="1"/>
    </row>
    <row r="11352">
      <c r="B11352" s="36"/>
      <c r="C11352" s="36"/>
      <c r="E11352" s="1"/>
      <c r="F11352" s="1"/>
      <c r="G11352" s="1"/>
    </row>
    <row r="11353">
      <c r="B11353" s="36"/>
      <c r="C11353" s="36"/>
      <c r="E11353" s="1"/>
      <c r="F11353" s="1"/>
      <c r="G11353" s="1"/>
    </row>
    <row r="11354">
      <c r="B11354" s="36"/>
      <c r="C11354" s="36"/>
      <c r="E11354" s="1"/>
      <c r="F11354" s="1"/>
      <c r="G11354" s="1"/>
    </row>
    <row r="11355">
      <c r="B11355" s="36"/>
      <c r="C11355" s="36"/>
      <c r="E11355" s="1"/>
      <c r="F11355" s="1"/>
      <c r="G11355" s="1"/>
    </row>
    <row r="11356">
      <c r="B11356" s="36"/>
      <c r="C11356" s="36"/>
      <c r="E11356" s="1"/>
      <c r="F11356" s="1"/>
      <c r="G11356" s="1"/>
    </row>
    <row r="11357">
      <c r="B11357" s="36"/>
      <c r="C11357" s="36"/>
      <c r="E11357" s="1"/>
      <c r="F11357" s="1"/>
      <c r="G11357" s="1"/>
    </row>
    <row r="11358">
      <c r="B11358" s="36"/>
      <c r="C11358" s="36"/>
      <c r="E11358" s="1"/>
      <c r="F11358" s="1"/>
      <c r="G11358" s="1"/>
    </row>
    <row r="11359">
      <c r="B11359" s="36"/>
      <c r="C11359" s="36"/>
      <c r="E11359" s="1"/>
      <c r="F11359" s="1"/>
      <c r="G11359" s="1"/>
    </row>
    <row r="11360">
      <c r="B11360" s="36"/>
      <c r="C11360" s="36"/>
      <c r="E11360" s="1"/>
      <c r="F11360" s="1"/>
      <c r="G11360" s="1"/>
    </row>
    <row r="11361">
      <c r="B11361" s="36"/>
      <c r="C11361" s="36"/>
      <c r="E11361" s="1"/>
      <c r="F11361" s="1"/>
      <c r="G11361" s="1"/>
    </row>
    <row r="11362">
      <c r="B11362" s="36"/>
      <c r="C11362" s="36"/>
      <c r="E11362" s="1"/>
      <c r="F11362" s="1"/>
      <c r="G11362" s="1"/>
    </row>
    <row r="11363">
      <c r="B11363" s="36"/>
      <c r="C11363" s="36"/>
      <c r="E11363" s="1"/>
      <c r="F11363" s="1"/>
      <c r="G11363" s="1"/>
    </row>
    <row r="11364">
      <c r="B11364" s="36"/>
      <c r="C11364" s="36"/>
      <c r="E11364" s="1"/>
      <c r="F11364" s="1"/>
      <c r="G11364" s="1"/>
    </row>
    <row r="11365">
      <c r="B11365" s="36"/>
      <c r="C11365" s="36"/>
      <c r="E11365" s="1"/>
      <c r="F11365" s="1"/>
      <c r="G11365" s="1"/>
    </row>
    <row r="11366">
      <c r="B11366" s="36"/>
      <c r="C11366" s="36"/>
      <c r="E11366" s="1"/>
      <c r="F11366" s="1"/>
      <c r="G11366" s="1"/>
    </row>
    <row r="11367">
      <c r="B11367" s="36"/>
      <c r="C11367" s="36"/>
      <c r="E11367" s="1"/>
      <c r="F11367" s="1"/>
      <c r="G11367" s="1"/>
    </row>
    <row r="11368">
      <c r="B11368" s="36"/>
      <c r="C11368" s="36"/>
      <c r="E11368" s="1"/>
      <c r="F11368" s="1"/>
      <c r="G11368" s="1"/>
    </row>
    <row r="11369">
      <c r="B11369" s="36"/>
      <c r="C11369" s="36"/>
      <c r="E11369" s="1"/>
      <c r="F11369" s="1"/>
      <c r="G11369" s="1"/>
    </row>
    <row r="11370">
      <c r="B11370" s="36"/>
      <c r="C11370" s="36"/>
      <c r="E11370" s="1"/>
      <c r="F11370" s="1"/>
      <c r="G11370" s="1"/>
    </row>
    <row r="11371">
      <c r="B11371" s="36"/>
      <c r="C11371" s="36"/>
      <c r="E11371" s="1"/>
      <c r="F11371" s="1"/>
      <c r="G11371" s="1"/>
    </row>
    <row r="11372">
      <c r="B11372" s="36"/>
      <c r="C11372" s="36"/>
      <c r="E11372" s="1"/>
      <c r="F11372" s="1"/>
      <c r="G11372" s="1"/>
    </row>
    <row r="11373">
      <c r="B11373" s="36"/>
      <c r="C11373" s="36"/>
      <c r="E11373" s="1"/>
      <c r="F11373" s="1"/>
      <c r="G11373" s="1"/>
    </row>
    <row r="11374">
      <c r="B11374" s="36"/>
      <c r="C11374" s="36"/>
      <c r="E11374" s="1"/>
      <c r="F11374" s="1"/>
      <c r="G11374" s="1"/>
    </row>
    <row r="11375">
      <c r="B11375" s="36"/>
      <c r="C11375" s="36"/>
      <c r="E11375" s="1"/>
      <c r="F11375" s="1"/>
      <c r="G11375" s="1"/>
    </row>
    <row r="11376">
      <c r="B11376" s="36"/>
      <c r="C11376" s="36"/>
      <c r="E11376" s="1"/>
      <c r="F11376" s="1"/>
      <c r="G11376" s="1"/>
    </row>
    <row r="11377">
      <c r="B11377" s="36"/>
      <c r="C11377" s="36"/>
      <c r="E11377" s="1"/>
      <c r="F11377" s="1"/>
      <c r="G11377" s="1"/>
    </row>
    <row r="11378">
      <c r="B11378" s="36"/>
      <c r="C11378" s="36"/>
      <c r="E11378" s="1"/>
      <c r="F11378" s="1"/>
      <c r="G11378" s="1"/>
    </row>
    <row r="11379">
      <c r="B11379" s="36"/>
      <c r="C11379" s="36"/>
      <c r="E11379" s="1"/>
      <c r="F11379" s="1"/>
      <c r="G11379" s="1"/>
    </row>
    <row r="11380">
      <c r="B11380" s="36"/>
      <c r="C11380" s="36"/>
      <c r="E11380" s="1"/>
      <c r="F11380" s="1"/>
      <c r="G11380" s="1"/>
    </row>
    <row r="11381">
      <c r="B11381" s="36"/>
      <c r="C11381" s="36"/>
      <c r="E11381" s="1"/>
      <c r="F11381" s="1"/>
      <c r="G11381" s="1"/>
    </row>
    <row r="11382">
      <c r="B11382" s="36"/>
      <c r="C11382" s="36"/>
      <c r="E11382" s="1"/>
      <c r="F11382" s="1"/>
      <c r="G11382" s="1"/>
    </row>
    <row r="11383">
      <c r="B11383" s="36"/>
      <c r="C11383" s="36"/>
      <c r="E11383" s="1"/>
      <c r="F11383" s="1"/>
      <c r="G11383" s="1"/>
    </row>
    <row r="11384">
      <c r="B11384" s="36"/>
      <c r="C11384" s="36"/>
      <c r="E11384" s="1"/>
      <c r="F11384" s="1"/>
      <c r="G11384" s="1"/>
    </row>
    <row r="11385">
      <c r="B11385" s="36"/>
      <c r="C11385" s="36"/>
      <c r="E11385" s="1"/>
      <c r="F11385" s="1"/>
      <c r="G11385" s="1"/>
    </row>
    <row r="11386">
      <c r="B11386" s="36"/>
      <c r="C11386" s="36"/>
      <c r="E11386" s="1"/>
      <c r="F11386" s="1"/>
      <c r="G11386" s="1"/>
    </row>
    <row r="11387">
      <c r="B11387" s="36"/>
      <c r="C11387" s="36"/>
      <c r="E11387" s="1"/>
      <c r="F11387" s="1"/>
      <c r="G11387" s="1"/>
    </row>
    <row r="11388">
      <c r="B11388" s="36"/>
      <c r="C11388" s="36"/>
      <c r="E11388" s="1"/>
      <c r="F11388" s="1"/>
      <c r="G11388" s="1"/>
    </row>
    <row r="11389">
      <c r="B11389" s="36"/>
      <c r="C11389" s="36"/>
      <c r="E11389" s="1"/>
      <c r="F11389" s="1"/>
      <c r="G11389" s="1"/>
    </row>
    <row r="11390">
      <c r="B11390" s="36"/>
      <c r="C11390" s="36"/>
      <c r="E11390" s="1"/>
      <c r="F11390" s="1"/>
      <c r="G11390" s="1"/>
    </row>
    <row r="11391">
      <c r="B11391" s="36"/>
      <c r="C11391" s="36"/>
      <c r="E11391" s="1"/>
      <c r="F11391" s="1"/>
      <c r="G11391" s="1"/>
    </row>
    <row r="11392">
      <c r="B11392" s="36"/>
      <c r="C11392" s="36"/>
      <c r="E11392" s="1"/>
      <c r="F11392" s="1"/>
      <c r="G11392" s="1"/>
    </row>
    <row r="11393">
      <c r="B11393" s="36"/>
      <c r="C11393" s="36"/>
      <c r="E11393" s="1"/>
      <c r="F11393" s="1"/>
      <c r="G11393" s="1"/>
    </row>
    <row r="11394">
      <c r="B11394" s="36"/>
      <c r="C11394" s="36"/>
      <c r="E11394" s="1"/>
      <c r="F11394" s="1"/>
      <c r="G11394" s="1"/>
    </row>
    <row r="11395">
      <c r="B11395" s="36"/>
      <c r="C11395" s="36"/>
      <c r="E11395" s="1"/>
      <c r="F11395" s="1"/>
      <c r="G11395" s="1"/>
    </row>
    <row r="11396">
      <c r="B11396" s="36"/>
      <c r="C11396" s="36"/>
      <c r="E11396" s="1"/>
      <c r="F11396" s="1"/>
      <c r="G11396" s="1"/>
    </row>
    <row r="11397">
      <c r="B11397" s="36"/>
      <c r="C11397" s="36"/>
      <c r="E11397" s="1"/>
      <c r="F11397" s="1"/>
      <c r="G11397" s="1"/>
    </row>
    <row r="11398">
      <c r="B11398" s="36"/>
      <c r="C11398" s="36"/>
      <c r="E11398" s="1"/>
      <c r="F11398" s="1"/>
      <c r="G11398" s="1"/>
    </row>
    <row r="11399">
      <c r="B11399" s="36"/>
      <c r="C11399" s="36"/>
      <c r="E11399" s="1"/>
      <c r="F11399" s="1"/>
      <c r="G11399" s="1"/>
    </row>
    <row r="11400">
      <c r="B11400" s="36"/>
      <c r="C11400" s="36"/>
      <c r="E11400" s="1"/>
      <c r="F11400" s="1"/>
      <c r="G11400" s="1"/>
    </row>
    <row r="11401">
      <c r="B11401" s="36"/>
      <c r="C11401" s="36"/>
      <c r="E11401" s="1"/>
      <c r="F11401" s="1"/>
      <c r="G11401" s="1"/>
    </row>
    <row r="11402">
      <c r="B11402" s="36"/>
      <c r="C11402" s="36"/>
      <c r="E11402" s="1"/>
      <c r="F11402" s="1"/>
      <c r="G11402" s="1"/>
    </row>
    <row r="11403">
      <c r="B11403" s="36"/>
      <c r="C11403" s="36"/>
      <c r="E11403" s="1"/>
      <c r="F11403" s="1"/>
      <c r="G11403" s="1"/>
    </row>
    <row r="11404">
      <c r="B11404" s="36"/>
      <c r="C11404" s="36"/>
      <c r="E11404" s="1"/>
      <c r="F11404" s="1"/>
      <c r="G11404" s="1"/>
    </row>
    <row r="11405">
      <c r="B11405" s="36"/>
      <c r="C11405" s="36"/>
      <c r="E11405" s="1"/>
      <c r="F11405" s="1"/>
      <c r="G11405" s="1"/>
    </row>
    <row r="11406">
      <c r="B11406" s="36"/>
      <c r="C11406" s="36"/>
      <c r="E11406" s="1"/>
      <c r="F11406" s="1"/>
      <c r="G11406" s="1"/>
    </row>
    <row r="11407">
      <c r="B11407" s="36"/>
      <c r="C11407" s="36"/>
      <c r="E11407" s="1"/>
      <c r="F11407" s="1"/>
      <c r="G11407" s="1"/>
    </row>
    <row r="11408">
      <c r="B11408" s="36"/>
      <c r="C11408" s="36"/>
      <c r="E11408" s="1"/>
      <c r="F11408" s="1"/>
      <c r="G11408" s="1"/>
    </row>
    <row r="11409">
      <c r="B11409" s="36"/>
      <c r="C11409" s="36"/>
      <c r="E11409" s="1"/>
      <c r="F11409" s="1"/>
      <c r="G11409" s="1"/>
    </row>
    <row r="11410">
      <c r="B11410" s="36"/>
      <c r="C11410" s="36"/>
      <c r="E11410" s="1"/>
      <c r="F11410" s="1"/>
      <c r="G11410" s="1"/>
    </row>
    <row r="11411">
      <c r="B11411" s="36"/>
      <c r="C11411" s="36"/>
      <c r="E11411" s="1"/>
      <c r="F11411" s="1"/>
      <c r="G11411" s="1"/>
    </row>
    <row r="11412">
      <c r="B11412" s="36"/>
      <c r="C11412" s="36"/>
      <c r="E11412" s="1"/>
      <c r="F11412" s="1"/>
      <c r="G11412" s="1"/>
    </row>
    <row r="11413">
      <c r="B11413" s="36"/>
      <c r="C11413" s="36"/>
      <c r="E11413" s="1"/>
      <c r="F11413" s="1"/>
      <c r="G11413" s="1"/>
    </row>
    <row r="11414">
      <c r="B11414" s="36"/>
      <c r="C11414" s="36"/>
      <c r="E11414" s="1"/>
      <c r="F11414" s="1"/>
      <c r="G11414" s="1"/>
    </row>
    <row r="11415">
      <c r="B11415" s="36"/>
      <c r="C11415" s="36"/>
      <c r="E11415" s="1"/>
      <c r="F11415" s="1"/>
      <c r="G11415" s="1"/>
    </row>
    <row r="11416">
      <c r="B11416" s="36"/>
      <c r="C11416" s="36"/>
      <c r="E11416" s="1"/>
      <c r="F11416" s="1"/>
      <c r="G11416" s="1"/>
    </row>
    <row r="11417">
      <c r="B11417" s="36"/>
      <c r="C11417" s="36"/>
      <c r="E11417" s="1"/>
      <c r="F11417" s="1"/>
      <c r="G11417" s="1"/>
    </row>
    <row r="11418">
      <c r="B11418" s="36"/>
      <c r="C11418" s="36"/>
      <c r="E11418" s="1"/>
      <c r="F11418" s="1"/>
      <c r="G11418" s="1"/>
    </row>
    <row r="11419">
      <c r="B11419" s="36"/>
      <c r="C11419" s="36"/>
      <c r="E11419" s="1"/>
      <c r="F11419" s="1"/>
      <c r="G11419" s="1"/>
    </row>
    <row r="11420">
      <c r="B11420" s="36"/>
      <c r="C11420" s="36"/>
      <c r="E11420" s="1"/>
      <c r="F11420" s="1"/>
      <c r="G11420" s="1"/>
    </row>
    <row r="11421">
      <c r="B11421" s="36"/>
      <c r="C11421" s="36"/>
      <c r="E11421" s="1"/>
      <c r="F11421" s="1"/>
      <c r="G11421" s="1"/>
    </row>
    <row r="11422">
      <c r="B11422" s="36"/>
      <c r="C11422" s="36"/>
      <c r="E11422" s="1"/>
      <c r="F11422" s="1"/>
      <c r="G11422" s="1"/>
    </row>
    <row r="11423">
      <c r="B11423" s="36"/>
      <c r="C11423" s="36"/>
      <c r="E11423" s="1"/>
      <c r="F11423" s="1"/>
      <c r="G11423" s="1"/>
    </row>
    <row r="11424">
      <c r="B11424" s="36"/>
      <c r="C11424" s="36"/>
      <c r="E11424" s="1"/>
      <c r="F11424" s="1"/>
      <c r="G11424" s="1"/>
    </row>
    <row r="11425">
      <c r="B11425" s="36"/>
      <c r="C11425" s="36"/>
      <c r="E11425" s="1"/>
      <c r="F11425" s="1"/>
      <c r="G11425" s="1"/>
    </row>
    <row r="11426">
      <c r="B11426" s="36"/>
      <c r="C11426" s="36"/>
      <c r="E11426" s="1"/>
      <c r="F11426" s="1"/>
      <c r="G11426" s="1"/>
    </row>
    <row r="11427">
      <c r="B11427" s="36"/>
      <c r="C11427" s="36"/>
      <c r="E11427" s="1"/>
      <c r="F11427" s="1"/>
      <c r="G11427" s="1"/>
    </row>
    <row r="11428">
      <c r="B11428" s="36"/>
      <c r="C11428" s="36"/>
      <c r="E11428" s="1"/>
      <c r="F11428" s="1"/>
      <c r="G11428" s="1"/>
    </row>
    <row r="11429">
      <c r="B11429" s="36"/>
      <c r="C11429" s="36"/>
      <c r="E11429" s="1"/>
      <c r="F11429" s="1"/>
      <c r="G11429" s="1"/>
    </row>
    <row r="11430">
      <c r="B11430" s="36"/>
      <c r="C11430" s="36"/>
      <c r="E11430" s="1"/>
      <c r="F11430" s="1"/>
      <c r="G11430" s="1"/>
    </row>
    <row r="11431">
      <c r="B11431" s="36"/>
      <c r="C11431" s="36"/>
      <c r="E11431" s="1"/>
      <c r="F11431" s="1"/>
      <c r="G11431" s="1"/>
    </row>
    <row r="11432">
      <c r="B11432" s="36"/>
      <c r="C11432" s="36"/>
      <c r="E11432" s="1"/>
      <c r="F11432" s="1"/>
      <c r="G11432" s="1"/>
    </row>
    <row r="11433">
      <c r="B11433" s="36"/>
      <c r="C11433" s="36"/>
      <c r="E11433" s="1"/>
      <c r="F11433" s="1"/>
      <c r="G11433" s="1"/>
    </row>
    <row r="11434">
      <c r="B11434" s="36"/>
      <c r="C11434" s="36"/>
      <c r="E11434" s="1"/>
      <c r="F11434" s="1"/>
      <c r="G11434" s="1"/>
    </row>
    <row r="11435">
      <c r="B11435" s="36"/>
      <c r="C11435" s="36"/>
      <c r="E11435" s="1"/>
      <c r="F11435" s="1"/>
      <c r="G11435" s="1"/>
    </row>
    <row r="11436">
      <c r="B11436" s="36"/>
      <c r="C11436" s="36"/>
      <c r="E11436" s="1"/>
      <c r="F11436" s="1"/>
      <c r="G11436" s="1"/>
    </row>
    <row r="11437">
      <c r="B11437" s="36"/>
      <c r="C11437" s="36"/>
      <c r="E11437" s="1"/>
      <c r="F11437" s="1"/>
      <c r="G11437" s="1"/>
    </row>
    <row r="11438">
      <c r="B11438" s="36"/>
      <c r="C11438" s="36"/>
      <c r="E11438" s="1"/>
      <c r="F11438" s="1"/>
      <c r="G11438" s="1"/>
    </row>
    <row r="11439">
      <c r="B11439" s="36"/>
      <c r="C11439" s="36"/>
      <c r="E11439" s="1"/>
      <c r="F11439" s="1"/>
      <c r="G11439" s="1"/>
    </row>
    <row r="11440">
      <c r="B11440" s="36"/>
      <c r="C11440" s="36"/>
      <c r="E11440" s="1"/>
      <c r="F11440" s="1"/>
      <c r="G11440" s="1"/>
    </row>
    <row r="11441">
      <c r="B11441" s="36"/>
      <c r="C11441" s="36"/>
      <c r="E11441" s="1"/>
      <c r="F11441" s="1"/>
      <c r="G11441" s="1"/>
    </row>
    <row r="11442">
      <c r="B11442" s="36"/>
      <c r="C11442" s="36"/>
      <c r="E11442" s="1"/>
      <c r="F11442" s="1"/>
      <c r="G11442" s="1"/>
    </row>
    <row r="11443">
      <c r="B11443" s="36"/>
      <c r="C11443" s="36"/>
      <c r="E11443" s="1"/>
      <c r="F11443" s="1"/>
      <c r="G11443" s="1"/>
    </row>
    <row r="11444">
      <c r="B11444" s="36"/>
      <c r="C11444" s="36"/>
      <c r="E11444" s="1"/>
      <c r="F11444" s="1"/>
      <c r="G11444" s="1"/>
    </row>
    <row r="11445">
      <c r="B11445" s="36"/>
      <c r="C11445" s="36"/>
      <c r="E11445" s="1"/>
      <c r="F11445" s="1"/>
      <c r="G11445" s="1"/>
    </row>
    <row r="11446">
      <c r="B11446" s="36"/>
      <c r="C11446" s="36"/>
      <c r="E11446" s="1"/>
      <c r="F11446" s="1"/>
      <c r="G11446" s="1"/>
    </row>
    <row r="11447">
      <c r="B11447" s="36"/>
      <c r="C11447" s="36"/>
      <c r="E11447" s="1"/>
      <c r="F11447" s="1"/>
      <c r="G11447" s="1"/>
    </row>
    <row r="11448">
      <c r="B11448" s="36"/>
      <c r="C11448" s="36"/>
      <c r="E11448" s="1"/>
      <c r="F11448" s="1"/>
      <c r="G11448" s="1"/>
    </row>
    <row r="11449">
      <c r="B11449" s="36"/>
      <c r="C11449" s="36"/>
      <c r="E11449" s="1"/>
      <c r="F11449" s="1"/>
      <c r="G11449" s="1"/>
    </row>
    <row r="11450">
      <c r="B11450" s="36"/>
      <c r="C11450" s="36"/>
      <c r="E11450" s="1"/>
      <c r="F11450" s="1"/>
      <c r="G11450" s="1"/>
    </row>
    <row r="11451">
      <c r="B11451" s="36"/>
      <c r="C11451" s="36"/>
      <c r="E11451" s="1"/>
      <c r="F11451" s="1"/>
      <c r="G11451" s="1"/>
    </row>
    <row r="11452">
      <c r="B11452" s="36"/>
      <c r="C11452" s="36"/>
      <c r="E11452" s="1"/>
      <c r="F11452" s="1"/>
      <c r="G11452" s="1"/>
    </row>
    <row r="11453">
      <c r="B11453" s="36"/>
      <c r="C11453" s="36"/>
      <c r="E11453" s="1"/>
      <c r="F11453" s="1"/>
      <c r="G11453" s="1"/>
    </row>
    <row r="11454">
      <c r="B11454" s="36"/>
      <c r="C11454" s="36"/>
      <c r="E11454" s="1"/>
      <c r="F11454" s="1"/>
      <c r="G11454" s="1"/>
    </row>
    <row r="11455">
      <c r="B11455" s="36"/>
      <c r="C11455" s="36"/>
      <c r="E11455" s="1"/>
      <c r="F11455" s="1"/>
      <c r="G11455" s="1"/>
    </row>
    <row r="11456">
      <c r="B11456" s="36"/>
      <c r="C11456" s="36"/>
      <c r="E11456" s="1"/>
      <c r="F11456" s="1"/>
      <c r="G11456" s="1"/>
    </row>
    <row r="11457">
      <c r="B11457" s="36"/>
      <c r="C11457" s="36"/>
      <c r="E11457" s="1"/>
      <c r="F11457" s="1"/>
      <c r="G11457" s="1"/>
    </row>
    <row r="11458">
      <c r="B11458" s="36"/>
      <c r="C11458" s="36"/>
      <c r="E11458" s="1"/>
      <c r="F11458" s="1"/>
      <c r="G11458" s="1"/>
    </row>
    <row r="11459">
      <c r="B11459" s="36"/>
      <c r="C11459" s="36"/>
      <c r="E11459" s="1"/>
      <c r="F11459" s="1"/>
      <c r="G11459" s="1"/>
    </row>
    <row r="11460">
      <c r="B11460" s="36"/>
      <c r="C11460" s="36"/>
      <c r="E11460" s="1"/>
      <c r="F11460" s="1"/>
      <c r="G11460" s="1"/>
    </row>
    <row r="11461">
      <c r="B11461" s="36"/>
      <c r="C11461" s="36"/>
      <c r="E11461" s="1"/>
      <c r="F11461" s="1"/>
      <c r="G11461" s="1"/>
    </row>
    <row r="11462">
      <c r="B11462" s="36"/>
      <c r="C11462" s="36"/>
      <c r="E11462" s="1"/>
      <c r="F11462" s="1"/>
      <c r="G11462" s="1"/>
    </row>
    <row r="11463">
      <c r="B11463" s="36"/>
      <c r="C11463" s="36"/>
      <c r="E11463" s="1"/>
      <c r="F11463" s="1"/>
      <c r="G11463" s="1"/>
    </row>
    <row r="11464">
      <c r="B11464" s="36"/>
      <c r="C11464" s="36"/>
      <c r="E11464" s="1"/>
      <c r="F11464" s="1"/>
      <c r="G11464" s="1"/>
    </row>
    <row r="11465">
      <c r="B11465" s="36"/>
      <c r="C11465" s="36"/>
      <c r="E11465" s="1"/>
      <c r="F11465" s="1"/>
      <c r="G11465" s="1"/>
    </row>
    <row r="11466">
      <c r="B11466" s="36"/>
      <c r="C11466" s="36"/>
      <c r="E11466" s="1"/>
      <c r="F11466" s="1"/>
      <c r="G11466" s="1"/>
    </row>
    <row r="11467">
      <c r="B11467" s="36"/>
      <c r="C11467" s="36"/>
      <c r="E11467" s="1"/>
      <c r="F11467" s="1"/>
      <c r="G11467" s="1"/>
    </row>
    <row r="11468">
      <c r="B11468" s="36"/>
      <c r="C11468" s="36"/>
      <c r="E11468" s="1"/>
      <c r="F11468" s="1"/>
      <c r="G11468" s="1"/>
    </row>
    <row r="11469">
      <c r="B11469" s="36"/>
      <c r="C11469" s="36"/>
      <c r="E11469" s="1"/>
      <c r="F11469" s="1"/>
      <c r="G11469" s="1"/>
    </row>
    <row r="11470">
      <c r="B11470" s="36"/>
      <c r="C11470" s="36"/>
      <c r="E11470" s="1"/>
      <c r="F11470" s="1"/>
      <c r="G11470" s="1"/>
    </row>
    <row r="11471">
      <c r="B11471" s="36"/>
      <c r="C11471" s="36"/>
      <c r="E11471" s="1"/>
      <c r="F11471" s="1"/>
      <c r="G11471" s="1"/>
    </row>
    <row r="11472">
      <c r="B11472" s="36"/>
      <c r="C11472" s="36"/>
      <c r="E11472" s="1"/>
      <c r="F11472" s="1"/>
      <c r="G11472" s="1"/>
    </row>
    <row r="11473">
      <c r="B11473" s="36"/>
      <c r="C11473" s="36"/>
      <c r="E11473" s="1"/>
      <c r="F11473" s="1"/>
      <c r="G11473" s="1"/>
    </row>
    <row r="11474">
      <c r="B11474" s="36"/>
      <c r="C11474" s="36"/>
      <c r="E11474" s="1"/>
      <c r="F11474" s="1"/>
      <c r="G11474" s="1"/>
    </row>
    <row r="11475">
      <c r="B11475" s="36"/>
      <c r="C11475" s="36"/>
      <c r="E11475" s="1"/>
      <c r="F11475" s="1"/>
      <c r="G11475" s="1"/>
    </row>
    <row r="11476">
      <c r="B11476" s="36"/>
      <c r="C11476" s="36"/>
      <c r="E11476" s="1"/>
      <c r="F11476" s="1"/>
      <c r="G11476" s="1"/>
    </row>
    <row r="11477">
      <c r="B11477" s="36"/>
      <c r="C11477" s="36"/>
      <c r="E11477" s="1"/>
      <c r="F11477" s="1"/>
      <c r="G11477" s="1"/>
    </row>
    <row r="11478">
      <c r="B11478" s="36"/>
      <c r="C11478" s="36"/>
      <c r="E11478" s="1"/>
      <c r="F11478" s="1"/>
      <c r="G11478" s="1"/>
    </row>
    <row r="11479">
      <c r="B11479" s="36"/>
      <c r="C11479" s="36"/>
      <c r="E11479" s="1"/>
      <c r="F11479" s="1"/>
      <c r="G11479" s="1"/>
    </row>
    <row r="11480">
      <c r="B11480" s="36"/>
      <c r="C11480" s="36"/>
      <c r="E11480" s="1"/>
      <c r="F11480" s="1"/>
      <c r="G11480" s="1"/>
    </row>
    <row r="11481">
      <c r="B11481" s="36"/>
      <c r="C11481" s="36"/>
      <c r="E11481" s="1"/>
      <c r="F11481" s="1"/>
      <c r="G11481" s="1"/>
    </row>
    <row r="11482">
      <c r="B11482" s="36"/>
      <c r="C11482" s="36"/>
      <c r="E11482" s="1"/>
      <c r="F11482" s="1"/>
      <c r="G11482" s="1"/>
    </row>
    <row r="11483">
      <c r="B11483" s="36"/>
      <c r="C11483" s="36"/>
      <c r="E11483" s="1"/>
      <c r="F11483" s="1"/>
      <c r="G11483" s="1"/>
    </row>
    <row r="11484">
      <c r="B11484" s="36"/>
      <c r="C11484" s="36"/>
      <c r="E11484" s="1"/>
      <c r="F11484" s="1"/>
      <c r="G11484" s="1"/>
    </row>
    <row r="11485">
      <c r="B11485" s="36"/>
      <c r="C11485" s="36"/>
      <c r="E11485" s="1"/>
      <c r="F11485" s="1"/>
      <c r="G11485" s="1"/>
    </row>
    <row r="11486">
      <c r="B11486" s="36"/>
      <c r="C11486" s="36"/>
      <c r="E11486" s="1"/>
      <c r="F11486" s="1"/>
      <c r="G11486" s="1"/>
    </row>
    <row r="11487">
      <c r="B11487" s="36"/>
      <c r="C11487" s="36"/>
      <c r="E11487" s="1"/>
      <c r="F11487" s="1"/>
      <c r="G11487" s="1"/>
    </row>
    <row r="11488">
      <c r="B11488" s="36"/>
      <c r="C11488" s="36"/>
      <c r="E11488" s="1"/>
      <c r="F11488" s="1"/>
      <c r="G11488" s="1"/>
    </row>
    <row r="11489">
      <c r="B11489" s="36"/>
      <c r="C11489" s="36"/>
      <c r="E11489" s="1"/>
      <c r="F11489" s="1"/>
      <c r="G11489" s="1"/>
    </row>
    <row r="11490">
      <c r="B11490" s="36"/>
      <c r="C11490" s="36"/>
      <c r="E11490" s="1"/>
      <c r="F11490" s="1"/>
      <c r="G11490" s="1"/>
    </row>
    <row r="11491">
      <c r="B11491" s="36"/>
      <c r="C11491" s="36"/>
      <c r="E11491" s="1"/>
      <c r="F11491" s="1"/>
      <c r="G11491" s="1"/>
    </row>
    <row r="11492">
      <c r="B11492" s="36"/>
      <c r="C11492" s="36"/>
      <c r="E11492" s="1"/>
      <c r="F11492" s="1"/>
      <c r="G11492" s="1"/>
    </row>
    <row r="11493">
      <c r="B11493" s="36"/>
      <c r="C11493" s="36"/>
      <c r="E11493" s="1"/>
      <c r="F11493" s="1"/>
      <c r="G11493" s="1"/>
    </row>
    <row r="11494">
      <c r="B11494" s="36"/>
      <c r="C11494" s="36"/>
      <c r="E11494" s="1"/>
      <c r="F11494" s="1"/>
      <c r="G11494" s="1"/>
    </row>
    <row r="11495">
      <c r="B11495" s="36"/>
      <c r="C11495" s="36"/>
      <c r="E11495" s="1"/>
      <c r="F11495" s="1"/>
      <c r="G11495" s="1"/>
    </row>
    <row r="11496">
      <c r="B11496" s="36"/>
      <c r="C11496" s="36"/>
      <c r="E11496" s="1"/>
      <c r="F11496" s="1"/>
      <c r="G11496" s="1"/>
    </row>
    <row r="11497">
      <c r="B11497" s="36"/>
      <c r="C11497" s="36"/>
      <c r="E11497" s="1"/>
      <c r="F11497" s="1"/>
      <c r="G11497" s="1"/>
    </row>
    <row r="11498">
      <c r="B11498" s="36"/>
      <c r="C11498" s="36"/>
      <c r="E11498" s="1"/>
      <c r="F11498" s="1"/>
      <c r="G11498" s="1"/>
    </row>
    <row r="11499">
      <c r="B11499" s="36"/>
      <c r="C11499" s="36"/>
      <c r="E11499" s="1"/>
      <c r="F11499" s="1"/>
      <c r="G11499" s="1"/>
    </row>
    <row r="11500">
      <c r="B11500" s="36"/>
      <c r="C11500" s="36"/>
      <c r="E11500" s="1"/>
      <c r="F11500" s="1"/>
      <c r="G11500" s="1"/>
    </row>
    <row r="11501">
      <c r="B11501" s="36"/>
      <c r="C11501" s="36"/>
      <c r="E11501" s="1"/>
      <c r="F11501" s="1"/>
      <c r="G11501" s="1"/>
    </row>
    <row r="11502">
      <c r="B11502" s="36"/>
      <c r="C11502" s="36"/>
      <c r="E11502" s="1"/>
      <c r="F11502" s="1"/>
      <c r="G11502" s="1"/>
    </row>
    <row r="11503">
      <c r="B11503" s="36"/>
      <c r="C11503" s="36"/>
      <c r="E11503" s="1"/>
      <c r="F11503" s="1"/>
      <c r="G11503" s="1"/>
    </row>
    <row r="11504">
      <c r="B11504" s="36"/>
      <c r="C11504" s="36"/>
      <c r="E11504" s="1"/>
      <c r="F11504" s="1"/>
      <c r="G11504" s="1"/>
    </row>
    <row r="11505">
      <c r="B11505" s="36"/>
      <c r="C11505" s="36"/>
      <c r="E11505" s="1"/>
      <c r="F11505" s="1"/>
      <c r="G11505" s="1"/>
    </row>
    <row r="11506">
      <c r="B11506" s="36"/>
      <c r="C11506" s="36"/>
      <c r="E11506" s="1"/>
      <c r="F11506" s="1"/>
      <c r="G11506" s="1"/>
    </row>
    <row r="11507">
      <c r="B11507" s="36"/>
      <c r="C11507" s="36"/>
      <c r="E11507" s="1"/>
      <c r="F11507" s="1"/>
      <c r="G11507" s="1"/>
    </row>
    <row r="11508">
      <c r="B11508" s="36"/>
      <c r="C11508" s="36"/>
      <c r="E11508" s="1"/>
      <c r="F11508" s="1"/>
      <c r="G11508" s="1"/>
    </row>
    <row r="11509">
      <c r="B11509" s="36"/>
      <c r="C11509" s="36"/>
      <c r="E11509" s="1"/>
      <c r="F11509" s="1"/>
      <c r="G11509" s="1"/>
    </row>
    <row r="11510">
      <c r="B11510" s="36"/>
      <c r="C11510" s="36"/>
      <c r="E11510" s="1"/>
      <c r="F11510" s="1"/>
      <c r="G11510" s="1"/>
    </row>
    <row r="11511">
      <c r="B11511" s="36"/>
      <c r="C11511" s="36"/>
      <c r="E11511" s="1"/>
      <c r="F11511" s="1"/>
      <c r="G11511" s="1"/>
    </row>
    <row r="11512">
      <c r="B11512" s="36"/>
      <c r="C11512" s="36"/>
      <c r="E11512" s="1"/>
      <c r="F11512" s="1"/>
      <c r="G11512" s="1"/>
    </row>
    <row r="11513">
      <c r="B11513" s="36"/>
      <c r="C11513" s="36"/>
      <c r="E11513" s="1"/>
      <c r="F11513" s="1"/>
      <c r="G11513" s="1"/>
    </row>
    <row r="11514">
      <c r="B11514" s="36"/>
      <c r="C11514" s="36"/>
      <c r="E11514" s="1"/>
      <c r="F11514" s="1"/>
      <c r="G11514" s="1"/>
    </row>
    <row r="11515">
      <c r="B11515" s="36"/>
      <c r="C11515" s="36"/>
      <c r="E11515" s="1"/>
      <c r="F11515" s="1"/>
      <c r="G11515" s="1"/>
    </row>
    <row r="11516">
      <c r="B11516" s="36"/>
      <c r="C11516" s="36"/>
      <c r="E11516" s="1"/>
      <c r="F11516" s="1"/>
      <c r="G11516" s="1"/>
    </row>
    <row r="11517">
      <c r="B11517" s="36"/>
      <c r="C11517" s="36"/>
      <c r="E11517" s="1"/>
      <c r="F11517" s="1"/>
      <c r="G11517" s="1"/>
    </row>
    <row r="11518">
      <c r="B11518" s="36"/>
      <c r="C11518" s="36"/>
      <c r="E11518" s="1"/>
      <c r="F11518" s="1"/>
      <c r="G11518" s="1"/>
    </row>
    <row r="11519">
      <c r="B11519" s="36"/>
      <c r="C11519" s="36"/>
      <c r="E11519" s="1"/>
      <c r="F11519" s="1"/>
      <c r="G11519" s="1"/>
    </row>
    <row r="11520">
      <c r="B11520" s="36"/>
      <c r="C11520" s="36"/>
      <c r="E11520" s="1"/>
      <c r="F11520" s="1"/>
      <c r="G11520" s="1"/>
    </row>
    <row r="11521">
      <c r="B11521" s="36"/>
      <c r="C11521" s="36"/>
      <c r="E11521" s="1"/>
      <c r="F11521" s="1"/>
      <c r="G11521" s="1"/>
    </row>
    <row r="11522">
      <c r="B11522" s="36"/>
      <c r="C11522" s="36"/>
      <c r="E11522" s="1"/>
      <c r="F11522" s="1"/>
      <c r="G11522" s="1"/>
    </row>
    <row r="11523">
      <c r="B11523" s="36"/>
      <c r="C11523" s="36"/>
      <c r="E11523" s="1"/>
      <c r="F11523" s="1"/>
      <c r="G11523" s="1"/>
    </row>
    <row r="11524">
      <c r="B11524" s="36"/>
      <c r="C11524" s="36"/>
      <c r="E11524" s="1"/>
      <c r="F11524" s="1"/>
      <c r="G11524" s="1"/>
    </row>
    <row r="11525">
      <c r="B11525" s="36"/>
      <c r="C11525" s="36"/>
      <c r="E11525" s="1"/>
      <c r="F11525" s="1"/>
      <c r="G11525" s="1"/>
    </row>
    <row r="11526">
      <c r="B11526" s="36"/>
      <c r="C11526" s="36"/>
      <c r="E11526" s="1"/>
      <c r="F11526" s="1"/>
      <c r="G11526" s="1"/>
    </row>
    <row r="11527">
      <c r="B11527" s="36"/>
      <c r="C11527" s="36"/>
      <c r="E11527" s="1"/>
      <c r="F11527" s="1"/>
      <c r="G11527" s="1"/>
    </row>
    <row r="11528">
      <c r="B11528" s="36"/>
      <c r="C11528" s="36"/>
      <c r="E11528" s="1"/>
      <c r="F11528" s="1"/>
      <c r="G11528" s="1"/>
    </row>
    <row r="11529">
      <c r="B11529" s="36"/>
      <c r="C11529" s="36"/>
      <c r="E11529" s="1"/>
      <c r="F11529" s="1"/>
      <c r="G11529" s="1"/>
    </row>
    <row r="11530">
      <c r="B11530" s="36"/>
      <c r="C11530" s="36"/>
      <c r="E11530" s="1"/>
      <c r="F11530" s="1"/>
      <c r="G11530" s="1"/>
    </row>
    <row r="11531">
      <c r="B11531" s="36"/>
      <c r="C11531" s="36"/>
      <c r="E11531" s="1"/>
      <c r="F11531" s="1"/>
      <c r="G11531" s="1"/>
    </row>
    <row r="11532">
      <c r="B11532" s="36"/>
      <c r="C11532" s="36"/>
      <c r="E11532" s="1"/>
      <c r="F11532" s="1"/>
      <c r="G11532" s="1"/>
    </row>
    <row r="11533">
      <c r="B11533" s="36"/>
      <c r="C11533" s="36"/>
      <c r="E11533" s="1"/>
      <c r="F11533" s="1"/>
      <c r="G11533" s="1"/>
    </row>
    <row r="11534">
      <c r="B11534" s="36"/>
      <c r="C11534" s="36"/>
      <c r="E11534" s="1"/>
      <c r="F11534" s="1"/>
      <c r="G11534" s="1"/>
    </row>
    <row r="11535">
      <c r="B11535" s="36"/>
      <c r="C11535" s="36"/>
      <c r="E11535" s="1"/>
      <c r="F11535" s="1"/>
      <c r="G11535" s="1"/>
    </row>
    <row r="11536">
      <c r="B11536" s="36"/>
      <c r="C11536" s="36"/>
      <c r="E11536" s="1"/>
      <c r="F11536" s="1"/>
      <c r="G11536" s="1"/>
    </row>
    <row r="11537">
      <c r="B11537" s="36"/>
      <c r="C11537" s="36"/>
      <c r="E11537" s="1"/>
      <c r="F11537" s="1"/>
      <c r="G11537" s="1"/>
    </row>
    <row r="11538">
      <c r="B11538" s="36"/>
      <c r="C11538" s="36"/>
      <c r="E11538" s="1"/>
      <c r="F11538" s="1"/>
      <c r="G11538" s="1"/>
    </row>
    <row r="11539">
      <c r="B11539" s="36"/>
      <c r="C11539" s="36"/>
      <c r="E11539" s="1"/>
      <c r="F11539" s="1"/>
      <c r="G11539" s="1"/>
    </row>
    <row r="11540">
      <c r="B11540" s="36"/>
      <c r="C11540" s="36"/>
      <c r="E11540" s="1"/>
      <c r="F11540" s="1"/>
      <c r="G11540" s="1"/>
    </row>
    <row r="11541">
      <c r="B11541" s="36"/>
      <c r="C11541" s="36"/>
      <c r="E11541" s="1"/>
      <c r="F11541" s="1"/>
      <c r="G11541" s="1"/>
    </row>
    <row r="11542">
      <c r="B11542" s="36"/>
      <c r="C11542" s="36"/>
      <c r="E11542" s="1"/>
      <c r="F11542" s="1"/>
      <c r="G11542" s="1"/>
    </row>
    <row r="11543">
      <c r="B11543" s="36"/>
      <c r="C11543" s="36"/>
      <c r="E11543" s="1"/>
      <c r="F11543" s="1"/>
      <c r="G11543" s="1"/>
    </row>
    <row r="11544">
      <c r="B11544" s="36"/>
      <c r="C11544" s="36"/>
      <c r="E11544" s="1"/>
      <c r="F11544" s="1"/>
      <c r="G11544" s="1"/>
    </row>
    <row r="11545">
      <c r="B11545" s="36"/>
      <c r="C11545" s="36"/>
      <c r="E11545" s="1"/>
      <c r="F11545" s="1"/>
      <c r="G11545" s="1"/>
    </row>
    <row r="11546">
      <c r="B11546" s="36"/>
      <c r="C11546" s="36"/>
      <c r="E11546" s="1"/>
      <c r="F11546" s="1"/>
      <c r="G11546" s="1"/>
    </row>
    <row r="11547">
      <c r="B11547" s="36"/>
      <c r="C11547" s="36"/>
      <c r="E11547" s="1"/>
      <c r="F11547" s="1"/>
      <c r="G11547" s="1"/>
    </row>
    <row r="11548">
      <c r="B11548" s="36"/>
      <c r="C11548" s="36"/>
      <c r="E11548" s="1"/>
      <c r="F11548" s="1"/>
      <c r="G11548" s="1"/>
    </row>
    <row r="11549">
      <c r="B11549" s="36"/>
      <c r="C11549" s="36"/>
      <c r="E11549" s="1"/>
      <c r="F11549" s="1"/>
      <c r="G11549" s="1"/>
    </row>
    <row r="11550">
      <c r="B11550" s="36"/>
      <c r="C11550" s="36"/>
      <c r="E11550" s="1"/>
      <c r="F11550" s="1"/>
      <c r="G11550" s="1"/>
    </row>
    <row r="11551">
      <c r="B11551" s="36"/>
      <c r="C11551" s="36"/>
      <c r="E11551" s="1"/>
      <c r="F11551" s="1"/>
      <c r="G11551" s="1"/>
    </row>
    <row r="11552">
      <c r="B11552" s="36"/>
      <c r="C11552" s="36"/>
      <c r="E11552" s="1"/>
      <c r="F11552" s="1"/>
      <c r="G11552" s="1"/>
    </row>
    <row r="11553">
      <c r="B11553" s="36"/>
      <c r="C11553" s="36"/>
      <c r="E11553" s="1"/>
      <c r="F11553" s="1"/>
      <c r="G11553" s="1"/>
    </row>
    <row r="11554">
      <c r="B11554" s="36"/>
      <c r="C11554" s="36"/>
      <c r="E11554" s="1"/>
      <c r="F11554" s="1"/>
      <c r="G11554" s="1"/>
    </row>
    <row r="11555">
      <c r="B11555" s="36"/>
      <c r="C11555" s="36"/>
      <c r="E11555" s="1"/>
      <c r="F11555" s="1"/>
      <c r="G11555" s="1"/>
    </row>
    <row r="11556">
      <c r="B11556" s="36"/>
      <c r="C11556" s="36"/>
      <c r="E11556" s="1"/>
      <c r="F11556" s="1"/>
      <c r="G11556" s="1"/>
    </row>
    <row r="11557">
      <c r="B11557" s="36"/>
      <c r="C11557" s="36"/>
      <c r="E11557" s="1"/>
      <c r="F11557" s="1"/>
      <c r="G11557" s="1"/>
    </row>
    <row r="11558">
      <c r="B11558" s="36"/>
      <c r="C11558" s="36"/>
      <c r="E11558" s="1"/>
      <c r="F11558" s="1"/>
      <c r="G11558" s="1"/>
    </row>
    <row r="11559">
      <c r="B11559" s="36"/>
      <c r="C11559" s="36"/>
      <c r="E11559" s="1"/>
      <c r="F11559" s="1"/>
      <c r="G11559" s="1"/>
    </row>
    <row r="11560">
      <c r="B11560" s="36"/>
      <c r="C11560" s="36"/>
      <c r="E11560" s="1"/>
      <c r="F11560" s="1"/>
      <c r="G11560" s="1"/>
    </row>
    <row r="11561">
      <c r="B11561" s="36"/>
      <c r="C11561" s="36"/>
      <c r="E11561" s="1"/>
      <c r="F11561" s="1"/>
      <c r="G11561" s="1"/>
    </row>
    <row r="11562">
      <c r="B11562" s="36"/>
      <c r="C11562" s="36"/>
      <c r="E11562" s="1"/>
      <c r="F11562" s="1"/>
      <c r="G11562" s="1"/>
    </row>
    <row r="11563">
      <c r="B11563" s="36"/>
      <c r="C11563" s="36"/>
      <c r="E11563" s="1"/>
      <c r="F11563" s="1"/>
      <c r="G11563" s="1"/>
    </row>
    <row r="11564">
      <c r="B11564" s="36"/>
      <c r="C11564" s="36"/>
      <c r="E11564" s="1"/>
      <c r="F11564" s="1"/>
      <c r="G11564" s="1"/>
    </row>
    <row r="11565">
      <c r="B11565" s="36"/>
      <c r="C11565" s="36"/>
      <c r="E11565" s="1"/>
      <c r="F11565" s="1"/>
      <c r="G11565" s="1"/>
    </row>
    <row r="11566">
      <c r="B11566" s="36"/>
      <c r="C11566" s="36"/>
      <c r="E11566" s="1"/>
      <c r="F11566" s="1"/>
      <c r="G11566" s="1"/>
    </row>
    <row r="11567">
      <c r="B11567" s="36"/>
      <c r="C11567" s="36"/>
      <c r="E11567" s="1"/>
      <c r="F11567" s="1"/>
      <c r="G11567" s="1"/>
    </row>
    <row r="11568">
      <c r="B11568" s="36"/>
      <c r="C11568" s="36"/>
      <c r="E11568" s="1"/>
      <c r="F11568" s="1"/>
      <c r="G11568" s="1"/>
    </row>
    <row r="11569">
      <c r="B11569" s="36"/>
      <c r="C11569" s="36"/>
      <c r="E11569" s="1"/>
      <c r="F11569" s="1"/>
      <c r="G11569" s="1"/>
    </row>
    <row r="11570">
      <c r="B11570" s="36"/>
      <c r="C11570" s="36"/>
      <c r="E11570" s="1"/>
      <c r="F11570" s="1"/>
      <c r="G11570" s="1"/>
    </row>
    <row r="11571">
      <c r="B11571" s="36"/>
      <c r="C11571" s="36"/>
      <c r="E11571" s="1"/>
      <c r="F11571" s="1"/>
      <c r="G11571" s="1"/>
    </row>
    <row r="11572">
      <c r="B11572" s="36"/>
      <c r="C11572" s="36"/>
      <c r="E11572" s="1"/>
      <c r="F11572" s="1"/>
      <c r="G11572" s="1"/>
    </row>
    <row r="11573">
      <c r="B11573" s="36"/>
      <c r="C11573" s="36"/>
      <c r="E11573" s="1"/>
      <c r="F11573" s="1"/>
      <c r="G11573" s="1"/>
    </row>
    <row r="11574">
      <c r="B11574" s="36"/>
      <c r="C11574" s="36"/>
      <c r="E11574" s="1"/>
      <c r="F11574" s="1"/>
      <c r="G11574" s="1"/>
    </row>
    <row r="11575">
      <c r="B11575" s="36"/>
      <c r="C11575" s="36"/>
      <c r="E11575" s="1"/>
      <c r="F11575" s="1"/>
      <c r="G11575" s="1"/>
    </row>
    <row r="11576">
      <c r="B11576" s="36"/>
      <c r="C11576" s="36"/>
      <c r="E11576" s="1"/>
      <c r="F11576" s="1"/>
      <c r="G11576" s="1"/>
    </row>
    <row r="11577">
      <c r="B11577" s="36"/>
      <c r="C11577" s="36"/>
      <c r="E11577" s="1"/>
      <c r="F11577" s="1"/>
      <c r="G11577" s="1"/>
    </row>
    <row r="11578">
      <c r="B11578" s="36"/>
      <c r="C11578" s="36"/>
      <c r="E11578" s="1"/>
      <c r="F11578" s="1"/>
      <c r="G11578" s="1"/>
    </row>
    <row r="11579">
      <c r="B11579" s="36"/>
      <c r="C11579" s="36"/>
      <c r="E11579" s="1"/>
      <c r="F11579" s="1"/>
      <c r="G11579" s="1"/>
    </row>
    <row r="11580">
      <c r="B11580" s="36"/>
      <c r="C11580" s="36"/>
      <c r="E11580" s="1"/>
      <c r="F11580" s="1"/>
      <c r="G11580" s="1"/>
    </row>
    <row r="11581">
      <c r="B11581" s="36"/>
      <c r="C11581" s="36"/>
      <c r="E11581" s="1"/>
      <c r="F11581" s="1"/>
      <c r="G11581" s="1"/>
    </row>
    <row r="11582">
      <c r="B11582" s="36"/>
      <c r="C11582" s="36"/>
      <c r="E11582" s="1"/>
      <c r="F11582" s="1"/>
      <c r="G11582" s="1"/>
    </row>
    <row r="11583">
      <c r="B11583" s="36"/>
      <c r="C11583" s="36"/>
      <c r="E11583" s="1"/>
      <c r="F11583" s="1"/>
      <c r="G11583" s="1"/>
    </row>
    <row r="11584">
      <c r="B11584" s="36"/>
      <c r="C11584" s="36"/>
      <c r="E11584" s="1"/>
      <c r="F11584" s="1"/>
      <c r="G11584" s="1"/>
    </row>
    <row r="11585">
      <c r="B11585" s="36"/>
      <c r="C11585" s="36"/>
      <c r="E11585" s="1"/>
      <c r="F11585" s="1"/>
      <c r="G11585" s="1"/>
    </row>
    <row r="11586">
      <c r="B11586" s="36"/>
      <c r="C11586" s="36"/>
      <c r="E11586" s="1"/>
      <c r="F11586" s="1"/>
      <c r="G11586" s="1"/>
    </row>
    <row r="11587">
      <c r="B11587" s="36"/>
      <c r="C11587" s="36"/>
      <c r="E11587" s="1"/>
      <c r="F11587" s="1"/>
      <c r="G11587" s="1"/>
    </row>
    <row r="11588">
      <c r="B11588" s="36"/>
      <c r="C11588" s="36"/>
      <c r="E11588" s="1"/>
      <c r="F11588" s="1"/>
      <c r="G11588" s="1"/>
    </row>
    <row r="11589">
      <c r="B11589" s="36"/>
      <c r="C11589" s="36"/>
      <c r="E11589" s="1"/>
      <c r="F11589" s="1"/>
      <c r="G11589" s="1"/>
    </row>
    <row r="11590">
      <c r="B11590" s="36"/>
      <c r="C11590" s="36"/>
      <c r="E11590" s="1"/>
      <c r="F11590" s="1"/>
      <c r="G11590" s="1"/>
    </row>
    <row r="11591">
      <c r="B11591" s="36"/>
      <c r="C11591" s="36"/>
      <c r="E11591" s="1"/>
      <c r="F11591" s="1"/>
      <c r="G11591" s="1"/>
    </row>
    <row r="11592">
      <c r="B11592" s="36"/>
      <c r="C11592" s="36"/>
      <c r="E11592" s="1"/>
      <c r="F11592" s="1"/>
      <c r="G11592" s="1"/>
    </row>
    <row r="11593">
      <c r="B11593" s="36"/>
      <c r="C11593" s="36"/>
      <c r="E11593" s="1"/>
      <c r="F11593" s="1"/>
      <c r="G11593" s="1"/>
    </row>
    <row r="11594">
      <c r="B11594" s="36"/>
      <c r="C11594" s="36"/>
      <c r="E11594" s="1"/>
      <c r="F11594" s="1"/>
      <c r="G11594" s="1"/>
    </row>
    <row r="11595">
      <c r="B11595" s="36"/>
      <c r="C11595" s="36"/>
      <c r="E11595" s="1"/>
      <c r="F11595" s="1"/>
      <c r="G11595" s="1"/>
    </row>
    <row r="11596">
      <c r="B11596" s="36"/>
      <c r="C11596" s="36"/>
      <c r="E11596" s="1"/>
      <c r="F11596" s="1"/>
      <c r="G11596" s="1"/>
    </row>
    <row r="11597">
      <c r="B11597" s="36"/>
      <c r="C11597" s="36"/>
      <c r="E11597" s="1"/>
      <c r="F11597" s="1"/>
      <c r="G11597" s="1"/>
    </row>
    <row r="11598">
      <c r="B11598" s="36"/>
      <c r="C11598" s="36"/>
      <c r="E11598" s="1"/>
      <c r="F11598" s="1"/>
      <c r="G11598" s="1"/>
    </row>
    <row r="11599">
      <c r="B11599" s="36"/>
      <c r="C11599" s="36"/>
      <c r="E11599" s="1"/>
      <c r="F11599" s="1"/>
      <c r="G11599" s="1"/>
    </row>
    <row r="11600">
      <c r="B11600" s="36"/>
      <c r="C11600" s="36"/>
      <c r="E11600" s="1"/>
      <c r="F11600" s="1"/>
      <c r="G11600" s="1"/>
    </row>
    <row r="11601">
      <c r="B11601" s="36"/>
      <c r="C11601" s="36"/>
      <c r="E11601" s="1"/>
      <c r="F11601" s="1"/>
      <c r="G11601" s="1"/>
    </row>
    <row r="11602">
      <c r="B11602" s="36"/>
      <c r="C11602" s="36"/>
      <c r="E11602" s="1"/>
      <c r="F11602" s="1"/>
      <c r="G11602" s="1"/>
    </row>
    <row r="11603">
      <c r="B11603" s="36"/>
      <c r="C11603" s="36"/>
      <c r="E11603" s="1"/>
      <c r="F11603" s="1"/>
      <c r="G11603" s="1"/>
    </row>
    <row r="11604">
      <c r="B11604" s="36"/>
      <c r="C11604" s="36"/>
      <c r="E11604" s="1"/>
      <c r="F11604" s="1"/>
      <c r="G11604" s="1"/>
    </row>
    <row r="11605">
      <c r="B11605" s="36"/>
      <c r="C11605" s="36"/>
      <c r="E11605" s="1"/>
      <c r="F11605" s="1"/>
      <c r="G11605" s="1"/>
    </row>
    <row r="11606">
      <c r="B11606" s="36"/>
      <c r="C11606" s="36"/>
      <c r="E11606" s="1"/>
      <c r="F11606" s="1"/>
      <c r="G11606" s="1"/>
    </row>
    <row r="11607">
      <c r="B11607" s="36"/>
      <c r="C11607" s="36"/>
      <c r="E11607" s="1"/>
      <c r="F11607" s="1"/>
      <c r="G11607" s="1"/>
    </row>
    <row r="11608">
      <c r="B11608" s="36"/>
      <c r="C11608" s="36"/>
      <c r="E11608" s="1"/>
      <c r="F11608" s="1"/>
      <c r="G11608" s="1"/>
    </row>
    <row r="11609">
      <c r="B11609" s="36"/>
      <c r="C11609" s="36"/>
      <c r="E11609" s="1"/>
      <c r="F11609" s="1"/>
      <c r="G11609" s="1"/>
    </row>
    <row r="11610">
      <c r="B11610" s="36"/>
      <c r="C11610" s="36"/>
      <c r="E11610" s="1"/>
      <c r="F11610" s="1"/>
      <c r="G11610" s="1"/>
    </row>
    <row r="11611">
      <c r="B11611" s="36"/>
      <c r="C11611" s="36"/>
      <c r="E11611" s="1"/>
      <c r="F11611" s="1"/>
      <c r="G11611" s="1"/>
    </row>
    <row r="11612">
      <c r="B11612" s="36"/>
      <c r="C11612" s="36"/>
      <c r="E11612" s="1"/>
      <c r="F11612" s="1"/>
      <c r="G11612" s="1"/>
    </row>
    <row r="11613">
      <c r="B11613" s="36"/>
      <c r="C11613" s="36"/>
      <c r="E11613" s="1"/>
      <c r="F11613" s="1"/>
      <c r="G11613" s="1"/>
    </row>
    <row r="11614">
      <c r="B11614" s="36"/>
      <c r="C11614" s="36"/>
      <c r="E11614" s="1"/>
      <c r="F11614" s="1"/>
      <c r="G11614" s="1"/>
    </row>
    <row r="11615">
      <c r="B11615" s="36"/>
      <c r="C11615" s="36"/>
      <c r="E11615" s="1"/>
      <c r="F11615" s="1"/>
      <c r="G11615" s="1"/>
    </row>
    <row r="11616">
      <c r="B11616" s="36"/>
      <c r="C11616" s="36"/>
      <c r="E11616" s="1"/>
      <c r="F11616" s="1"/>
      <c r="G11616" s="1"/>
    </row>
    <row r="11617">
      <c r="B11617" s="36"/>
      <c r="C11617" s="36"/>
      <c r="E11617" s="1"/>
      <c r="F11617" s="1"/>
      <c r="G11617" s="1"/>
    </row>
    <row r="11618">
      <c r="B11618" s="36"/>
      <c r="C11618" s="36"/>
      <c r="E11618" s="1"/>
      <c r="F11618" s="1"/>
      <c r="G11618" s="1"/>
    </row>
    <row r="11619">
      <c r="B11619" s="36"/>
      <c r="C11619" s="36"/>
      <c r="E11619" s="1"/>
      <c r="F11619" s="1"/>
      <c r="G11619" s="1"/>
    </row>
    <row r="11620">
      <c r="B11620" s="36"/>
      <c r="C11620" s="36"/>
      <c r="E11620" s="1"/>
      <c r="F11620" s="1"/>
      <c r="G11620" s="1"/>
    </row>
    <row r="11621">
      <c r="B11621" s="36"/>
      <c r="C11621" s="36"/>
      <c r="E11621" s="1"/>
      <c r="F11621" s="1"/>
      <c r="G11621" s="1"/>
    </row>
    <row r="11622">
      <c r="B11622" s="36"/>
      <c r="C11622" s="36"/>
      <c r="E11622" s="1"/>
      <c r="F11622" s="1"/>
      <c r="G11622" s="1"/>
    </row>
    <row r="11623">
      <c r="B11623" s="36"/>
      <c r="C11623" s="36"/>
      <c r="E11623" s="1"/>
      <c r="F11623" s="1"/>
      <c r="G11623" s="1"/>
    </row>
    <row r="11624">
      <c r="B11624" s="36"/>
      <c r="C11624" s="36"/>
      <c r="E11624" s="1"/>
      <c r="F11624" s="1"/>
      <c r="G11624" s="1"/>
    </row>
    <row r="11625">
      <c r="B11625" s="36"/>
      <c r="C11625" s="36"/>
      <c r="E11625" s="1"/>
      <c r="F11625" s="1"/>
      <c r="G11625" s="1"/>
    </row>
    <row r="11626">
      <c r="B11626" s="36"/>
      <c r="C11626" s="36"/>
      <c r="E11626" s="1"/>
      <c r="F11626" s="1"/>
      <c r="G11626" s="1"/>
    </row>
    <row r="11627">
      <c r="B11627" s="36"/>
      <c r="C11627" s="36"/>
      <c r="E11627" s="1"/>
      <c r="F11627" s="1"/>
      <c r="G11627" s="1"/>
    </row>
    <row r="11628">
      <c r="B11628" s="36"/>
      <c r="C11628" s="36"/>
      <c r="E11628" s="1"/>
      <c r="F11628" s="1"/>
      <c r="G11628" s="1"/>
    </row>
    <row r="11629">
      <c r="B11629" s="36"/>
      <c r="C11629" s="36"/>
      <c r="E11629" s="1"/>
      <c r="F11629" s="1"/>
      <c r="G11629" s="1"/>
    </row>
    <row r="11630">
      <c r="B11630" s="36"/>
      <c r="C11630" s="36"/>
      <c r="E11630" s="1"/>
      <c r="F11630" s="1"/>
      <c r="G11630" s="1"/>
    </row>
    <row r="11631">
      <c r="B11631" s="36"/>
      <c r="C11631" s="36"/>
      <c r="E11631" s="1"/>
      <c r="F11631" s="1"/>
      <c r="G11631" s="1"/>
    </row>
    <row r="11632">
      <c r="B11632" s="36"/>
      <c r="C11632" s="36"/>
      <c r="E11632" s="1"/>
      <c r="F11632" s="1"/>
      <c r="G11632" s="1"/>
    </row>
    <row r="11633">
      <c r="B11633" s="36"/>
      <c r="C11633" s="36"/>
      <c r="E11633" s="1"/>
      <c r="F11633" s="1"/>
      <c r="G11633" s="1"/>
    </row>
    <row r="11634">
      <c r="B11634" s="36"/>
      <c r="C11634" s="36"/>
      <c r="E11634" s="1"/>
      <c r="F11634" s="1"/>
      <c r="G11634" s="1"/>
    </row>
    <row r="11635">
      <c r="B11635" s="36"/>
      <c r="C11635" s="36"/>
      <c r="E11635" s="1"/>
      <c r="F11635" s="1"/>
      <c r="G11635" s="1"/>
    </row>
    <row r="11636">
      <c r="B11636" s="36"/>
      <c r="C11636" s="36"/>
      <c r="E11636" s="1"/>
      <c r="F11636" s="1"/>
      <c r="G11636" s="1"/>
    </row>
    <row r="11637">
      <c r="B11637" s="36"/>
      <c r="C11637" s="36"/>
      <c r="E11637" s="1"/>
      <c r="F11637" s="1"/>
      <c r="G11637" s="1"/>
    </row>
    <row r="11638">
      <c r="B11638" s="36"/>
      <c r="C11638" s="36"/>
      <c r="E11638" s="1"/>
      <c r="F11638" s="1"/>
      <c r="G11638" s="1"/>
    </row>
    <row r="11639">
      <c r="B11639" s="36"/>
      <c r="C11639" s="36"/>
      <c r="E11639" s="1"/>
      <c r="F11639" s="1"/>
      <c r="G11639" s="1"/>
    </row>
    <row r="11640">
      <c r="B11640" s="36"/>
      <c r="C11640" s="36"/>
      <c r="E11640" s="1"/>
      <c r="F11640" s="1"/>
      <c r="G11640" s="1"/>
    </row>
    <row r="11641">
      <c r="B11641" s="36"/>
      <c r="C11641" s="36"/>
      <c r="E11641" s="1"/>
      <c r="F11641" s="1"/>
      <c r="G11641" s="1"/>
    </row>
    <row r="11642">
      <c r="B11642" s="36"/>
      <c r="C11642" s="36"/>
      <c r="E11642" s="1"/>
      <c r="F11642" s="1"/>
      <c r="G11642" s="1"/>
    </row>
    <row r="11643">
      <c r="B11643" s="36"/>
      <c r="C11643" s="36"/>
      <c r="E11643" s="1"/>
      <c r="F11643" s="1"/>
      <c r="G11643" s="1"/>
    </row>
    <row r="11644">
      <c r="B11644" s="36"/>
      <c r="C11644" s="36"/>
      <c r="E11644" s="1"/>
      <c r="F11644" s="1"/>
      <c r="G11644" s="1"/>
    </row>
    <row r="11645">
      <c r="B11645" s="36"/>
      <c r="C11645" s="36"/>
      <c r="E11645" s="1"/>
      <c r="F11645" s="1"/>
      <c r="G11645" s="1"/>
    </row>
    <row r="11646">
      <c r="B11646" s="36"/>
      <c r="C11646" s="36"/>
      <c r="E11646" s="1"/>
      <c r="F11646" s="1"/>
      <c r="G11646" s="1"/>
    </row>
    <row r="11647">
      <c r="B11647" s="36"/>
      <c r="C11647" s="36"/>
      <c r="E11647" s="1"/>
      <c r="F11647" s="1"/>
      <c r="G11647" s="1"/>
    </row>
    <row r="11648">
      <c r="B11648" s="36"/>
      <c r="C11648" s="36"/>
      <c r="E11648" s="1"/>
      <c r="F11648" s="1"/>
      <c r="G11648" s="1"/>
    </row>
    <row r="11649">
      <c r="B11649" s="36"/>
      <c r="C11649" s="36"/>
      <c r="E11649" s="1"/>
      <c r="F11649" s="1"/>
      <c r="G11649" s="1"/>
    </row>
    <row r="11650">
      <c r="B11650" s="36"/>
      <c r="C11650" s="36"/>
      <c r="E11650" s="1"/>
      <c r="F11650" s="1"/>
      <c r="G11650" s="1"/>
    </row>
    <row r="11651">
      <c r="B11651" s="36"/>
      <c r="C11651" s="36"/>
      <c r="E11651" s="1"/>
      <c r="F11651" s="1"/>
      <c r="G11651" s="1"/>
    </row>
    <row r="11652">
      <c r="B11652" s="36"/>
      <c r="C11652" s="36"/>
      <c r="E11652" s="1"/>
      <c r="F11652" s="1"/>
      <c r="G11652" s="1"/>
    </row>
    <row r="11653">
      <c r="B11653" s="36"/>
      <c r="C11653" s="36"/>
      <c r="E11653" s="1"/>
      <c r="F11653" s="1"/>
      <c r="G11653" s="1"/>
    </row>
    <row r="11654">
      <c r="B11654" s="36"/>
      <c r="C11654" s="36"/>
      <c r="E11654" s="1"/>
      <c r="F11654" s="1"/>
      <c r="G11654" s="1"/>
    </row>
    <row r="11655">
      <c r="B11655" s="36"/>
      <c r="C11655" s="36"/>
      <c r="E11655" s="1"/>
      <c r="F11655" s="1"/>
      <c r="G11655" s="1"/>
    </row>
    <row r="11656">
      <c r="B11656" s="36"/>
      <c r="C11656" s="36"/>
      <c r="E11656" s="1"/>
      <c r="F11656" s="1"/>
      <c r="G11656" s="1"/>
    </row>
    <row r="11657">
      <c r="B11657" s="36"/>
      <c r="C11657" s="36"/>
      <c r="E11657" s="1"/>
      <c r="F11657" s="1"/>
      <c r="G11657" s="1"/>
    </row>
    <row r="11658">
      <c r="B11658" s="36"/>
      <c r="C11658" s="36"/>
      <c r="E11658" s="1"/>
      <c r="F11658" s="1"/>
      <c r="G11658" s="1"/>
    </row>
    <row r="11659">
      <c r="B11659" s="36"/>
      <c r="C11659" s="36"/>
      <c r="E11659" s="1"/>
      <c r="F11659" s="1"/>
      <c r="G11659" s="1"/>
    </row>
    <row r="11660">
      <c r="B11660" s="36"/>
      <c r="C11660" s="36"/>
      <c r="E11660" s="1"/>
      <c r="F11660" s="1"/>
      <c r="G11660" s="1"/>
    </row>
    <row r="11661">
      <c r="B11661" s="36"/>
      <c r="C11661" s="36"/>
      <c r="E11661" s="1"/>
      <c r="F11661" s="1"/>
      <c r="G11661" s="1"/>
    </row>
    <row r="11662">
      <c r="B11662" s="36"/>
      <c r="C11662" s="36"/>
      <c r="E11662" s="1"/>
      <c r="F11662" s="1"/>
      <c r="G11662" s="1"/>
    </row>
    <row r="11663">
      <c r="B11663" s="36"/>
      <c r="C11663" s="36"/>
      <c r="E11663" s="1"/>
      <c r="F11663" s="1"/>
      <c r="G11663" s="1"/>
    </row>
    <row r="11664">
      <c r="B11664" s="36"/>
      <c r="C11664" s="36"/>
      <c r="E11664" s="1"/>
      <c r="F11664" s="1"/>
      <c r="G11664" s="1"/>
    </row>
    <row r="11665">
      <c r="B11665" s="36"/>
      <c r="C11665" s="36"/>
      <c r="E11665" s="1"/>
      <c r="F11665" s="1"/>
      <c r="G11665" s="1"/>
    </row>
    <row r="11666">
      <c r="B11666" s="36"/>
      <c r="C11666" s="36"/>
      <c r="E11666" s="1"/>
      <c r="F11666" s="1"/>
      <c r="G11666" s="1"/>
    </row>
    <row r="11667">
      <c r="B11667" s="36"/>
      <c r="C11667" s="36"/>
      <c r="E11667" s="1"/>
      <c r="F11667" s="1"/>
      <c r="G11667" s="1"/>
    </row>
    <row r="11668">
      <c r="B11668" s="36"/>
      <c r="C11668" s="36"/>
      <c r="E11668" s="1"/>
      <c r="F11668" s="1"/>
      <c r="G11668" s="1"/>
    </row>
    <row r="11669">
      <c r="B11669" s="36"/>
      <c r="C11669" s="36"/>
      <c r="E11669" s="1"/>
      <c r="F11669" s="1"/>
      <c r="G11669" s="1"/>
    </row>
    <row r="11670">
      <c r="B11670" s="36"/>
      <c r="C11670" s="36"/>
      <c r="E11670" s="1"/>
      <c r="F11670" s="1"/>
      <c r="G11670" s="1"/>
    </row>
    <row r="11671">
      <c r="B11671" s="36"/>
      <c r="C11671" s="36"/>
      <c r="E11671" s="1"/>
      <c r="F11671" s="1"/>
      <c r="G11671" s="1"/>
    </row>
    <row r="11672">
      <c r="B11672" s="36"/>
      <c r="C11672" s="36"/>
      <c r="E11672" s="1"/>
      <c r="F11672" s="1"/>
      <c r="G11672" s="1"/>
    </row>
    <row r="11673">
      <c r="B11673" s="36"/>
      <c r="C11673" s="36"/>
      <c r="E11673" s="1"/>
      <c r="F11673" s="1"/>
      <c r="G11673" s="1"/>
    </row>
    <row r="11674">
      <c r="B11674" s="36"/>
      <c r="C11674" s="36"/>
      <c r="E11674" s="1"/>
      <c r="F11674" s="1"/>
      <c r="G11674" s="1"/>
    </row>
    <row r="11675">
      <c r="B11675" s="36"/>
      <c r="C11675" s="36"/>
      <c r="E11675" s="1"/>
      <c r="F11675" s="1"/>
      <c r="G11675" s="1"/>
    </row>
    <row r="11676">
      <c r="B11676" s="36"/>
      <c r="C11676" s="36"/>
      <c r="E11676" s="1"/>
      <c r="F11676" s="1"/>
      <c r="G11676" s="1"/>
    </row>
    <row r="11677">
      <c r="B11677" s="36"/>
      <c r="C11677" s="36"/>
      <c r="E11677" s="1"/>
      <c r="F11677" s="1"/>
      <c r="G11677" s="1"/>
    </row>
    <row r="11678">
      <c r="B11678" s="36"/>
      <c r="C11678" s="36"/>
      <c r="E11678" s="1"/>
      <c r="F11678" s="1"/>
      <c r="G11678" s="1"/>
    </row>
    <row r="11679">
      <c r="B11679" s="36"/>
      <c r="C11679" s="36"/>
      <c r="E11679" s="1"/>
      <c r="F11679" s="1"/>
      <c r="G11679" s="1"/>
    </row>
    <row r="11680">
      <c r="B11680" s="36"/>
      <c r="C11680" s="36"/>
      <c r="E11680" s="1"/>
      <c r="F11680" s="1"/>
      <c r="G11680" s="1"/>
    </row>
    <row r="11681">
      <c r="B11681" s="36"/>
      <c r="C11681" s="36"/>
      <c r="E11681" s="1"/>
      <c r="F11681" s="1"/>
      <c r="G11681" s="1"/>
    </row>
    <row r="11682">
      <c r="B11682" s="36"/>
      <c r="C11682" s="36"/>
      <c r="E11682" s="1"/>
      <c r="F11682" s="1"/>
      <c r="G11682" s="1"/>
    </row>
    <row r="11683">
      <c r="B11683" s="36"/>
      <c r="C11683" s="36"/>
      <c r="E11683" s="1"/>
      <c r="F11683" s="1"/>
      <c r="G11683" s="1"/>
    </row>
    <row r="11684">
      <c r="B11684" s="36"/>
      <c r="C11684" s="36"/>
      <c r="E11684" s="1"/>
      <c r="F11684" s="1"/>
      <c r="G11684" s="1"/>
    </row>
    <row r="11685">
      <c r="B11685" s="36"/>
      <c r="C11685" s="36"/>
      <c r="E11685" s="1"/>
      <c r="F11685" s="1"/>
      <c r="G11685" s="1"/>
    </row>
    <row r="11686">
      <c r="B11686" s="36"/>
      <c r="C11686" s="36"/>
      <c r="E11686" s="1"/>
      <c r="F11686" s="1"/>
      <c r="G11686" s="1"/>
    </row>
    <row r="11687">
      <c r="B11687" s="36"/>
      <c r="C11687" s="36"/>
      <c r="E11687" s="1"/>
      <c r="F11687" s="1"/>
      <c r="G11687" s="1"/>
    </row>
    <row r="11688">
      <c r="B11688" s="36"/>
      <c r="C11688" s="36"/>
      <c r="E11688" s="1"/>
      <c r="F11688" s="1"/>
      <c r="G11688" s="1"/>
    </row>
    <row r="11689">
      <c r="B11689" s="36"/>
      <c r="C11689" s="36"/>
      <c r="E11689" s="1"/>
      <c r="F11689" s="1"/>
      <c r="G11689" s="1"/>
    </row>
    <row r="11690">
      <c r="B11690" s="36"/>
      <c r="C11690" s="36"/>
      <c r="E11690" s="1"/>
      <c r="F11690" s="1"/>
      <c r="G11690" s="1"/>
    </row>
    <row r="11691">
      <c r="B11691" s="36"/>
      <c r="C11691" s="36"/>
      <c r="E11691" s="1"/>
      <c r="F11691" s="1"/>
      <c r="G11691" s="1"/>
    </row>
    <row r="11692">
      <c r="B11692" s="36"/>
      <c r="C11692" s="36"/>
      <c r="E11692" s="1"/>
      <c r="F11692" s="1"/>
      <c r="G11692" s="1"/>
    </row>
    <row r="11693">
      <c r="B11693" s="36"/>
      <c r="C11693" s="36"/>
      <c r="E11693" s="1"/>
      <c r="F11693" s="1"/>
      <c r="G11693" s="1"/>
    </row>
    <row r="11694">
      <c r="B11694" s="36"/>
      <c r="C11694" s="36"/>
      <c r="E11694" s="1"/>
      <c r="F11694" s="1"/>
      <c r="G11694" s="1"/>
    </row>
    <row r="11695">
      <c r="B11695" s="36"/>
      <c r="C11695" s="36"/>
      <c r="E11695" s="1"/>
      <c r="F11695" s="1"/>
      <c r="G11695" s="1"/>
    </row>
    <row r="11696">
      <c r="B11696" s="36"/>
      <c r="C11696" s="36"/>
      <c r="E11696" s="1"/>
      <c r="F11696" s="1"/>
      <c r="G11696" s="1"/>
    </row>
    <row r="11697">
      <c r="B11697" s="36"/>
      <c r="C11697" s="36"/>
      <c r="E11697" s="1"/>
      <c r="F11697" s="1"/>
      <c r="G11697" s="1"/>
    </row>
    <row r="11698">
      <c r="B11698" s="36"/>
      <c r="C11698" s="36"/>
      <c r="E11698" s="1"/>
      <c r="F11698" s="1"/>
      <c r="G11698" s="1"/>
    </row>
    <row r="11699">
      <c r="B11699" s="36"/>
      <c r="C11699" s="36"/>
      <c r="E11699" s="1"/>
      <c r="F11699" s="1"/>
      <c r="G11699" s="1"/>
    </row>
    <row r="11700">
      <c r="B11700" s="36"/>
      <c r="C11700" s="36"/>
      <c r="E11700" s="1"/>
      <c r="F11700" s="1"/>
      <c r="G11700" s="1"/>
    </row>
    <row r="11701">
      <c r="B11701" s="36"/>
      <c r="C11701" s="36"/>
      <c r="E11701" s="1"/>
      <c r="F11701" s="1"/>
      <c r="G11701" s="1"/>
    </row>
    <row r="11702">
      <c r="B11702" s="36"/>
      <c r="C11702" s="36"/>
      <c r="E11702" s="1"/>
      <c r="F11702" s="1"/>
      <c r="G11702" s="1"/>
    </row>
    <row r="11703">
      <c r="B11703" s="36"/>
      <c r="C11703" s="36"/>
      <c r="E11703" s="1"/>
      <c r="F11703" s="1"/>
      <c r="G11703" s="1"/>
    </row>
    <row r="11704">
      <c r="B11704" s="36"/>
      <c r="C11704" s="36"/>
      <c r="E11704" s="1"/>
      <c r="F11704" s="1"/>
      <c r="G11704" s="1"/>
    </row>
    <row r="11705">
      <c r="B11705" s="36"/>
      <c r="C11705" s="36"/>
      <c r="E11705" s="1"/>
      <c r="F11705" s="1"/>
      <c r="G11705" s="1"/>
    </row>
    <row r="11706">
      <c r="B11706" s="36"/>
      <c r="C11706" s="36"/>
      <c r="E11706" s="1"/>
      <c r="F11706" s="1"/>
      <c r="G11706" s="1"/>
    </row>
    <row r="11707">
      <c r="B11707" s="36"/>
      <c r="C11707" s="36"/>
      <c r="E11707" s="1"/>
      <c r="F11707" s="1"/>
      <c r="G11707" s="1"/>
    </row>
    <row r="11708">
      <c r="B11708" s="36"/>
      <c r="C11708" s="36"/>
      <c r="E11708" s="1"/>
      <c r="F11708" s="1"/>
      <c r="G11708" s="1"/>
    </row>
    <row r="11709">
      <c r="B11709" s="36"/>
      <c r="C11709" s="36"/>
      <c r="E11709" s="1"/>
      <c r="F11709" s="1"/>
      <c r="G11709" s="1"/>
    </row>
    <row r="11710">
      <c r="B11710" s="36"/>
      <c r="C11710" s="36"/>
      <c r="E11710" s="1"/>
      <c r="F11710" s="1"/>
      <c r="G11710" s="1"/>
    </row>
    <row r="11711">
      <c r="B11711" s="36"/>
      <c r="C11711" s="36"/>
      <c r="E11711" s="1"/>
      <c r="F11711" s="1"/>
      <c r="G11711" s="1"/>
    </row>
    <row r="11712">
      <c r="B11712" s="36"/>
      <c r="C11712" s="36"/>
      <c r="E11712" s="1"/>
      <c r="F11712" s="1"/>
      <c r="G11712" s="1"/>
    </row>
    <row r="11713">
      <c r="B11713" s="36"/>
      <c r="C11713" s="36"/>
      <c r="E11713" s="1"/>
      <c r="F11713" s="1"/>
      <c r="G11713" s="1"/>
    </row>
    <row r="11714">
      <c r="B11714" s="36"/>
      <c r="C11714" s="36"/>
      <c r="E11714" s="1"/>
      <c r="F11714" s="1"/>
      <c r="G11714" s="1"/>
    </row>
    <row r="11715">
      <c r="B11715" s="36"/>
      <c r="C11715" s="36"/>
      <c r="E11715" s="1"/>
      <c r="F11715" s="1"/>
      <c r="G11715" s="1"/>
    </row>
    <row r="11716">
      <c r="B11716" s="36"/>
      <c r="C11716" s="36"/>
      <c r="E11716" s="1"/>
      <c r="F11716" s="1"/>
      <c r="G11716" s="1"/>
    </row>
    <row r="11717">
      <c r="B11717" s="36"/>
      <c r="C11717" s="36"/>
      <c r="E11717" s="1"/>
      <c r="F11717" s="1"/>
      <c r="G11717" s="1"/>
    </row>
    <row r="11718">
      <c r="B11718" s="36"/>
      <c r="C11718" s="36"/>
      <c r="E11718" s="1"/>
      <c r="F11718" s="1"/>
      <c r="G11718" s="1"/>
    </row>
    <row r="11719">
      <c r="B11719" s="36"/>
      <c r="C11719" s="36"/>
      <c r="E11719" s="1"/>
      <c r="F11719" s="1"/>
      <c r="G11719" s="1"/>
    </row>
    <row r="11720">
      <c r="B11720" s="36"/>
      <c r="C11720" s="36"/>
      <c r="E11720" s="1"/>
      <c r="F11720" s="1"/>
      <c r="G11720" s="1"/>
    </row>
    <row r="11721">
      <c r="B11721" s="36"/>
      <c r="C11721" s="36"/>
      <c r="E11721" s="1"/>
      <c r="F11721" s="1"/>
      <c r="G11721" s="1"/>
    </row>
    <row r="11722">
      <c r="B11722" s="36"/>
      <c r="C11722" s="36"/>
      <c r="E11722" s="1"/>
      <c r="F11722" s="1"/>
      <c r="G11722" s="1"/>
    </row>
    <row r="11723">
      <c r="B11723" s="36"/>
      <c r="C11723" s="36"/>
      <c r="E11723" s="1"/>
      <c r="F11723" s="1"/>
      <c r="G11723" s="1"/>
    </row>
    <row r="11724">
      <c r="B11724" s="36"/>
      <c r="C11724" s="36"/>
      <c r="E11724" s="1"/>
      <c r="F11724" s="1"/>
      <c r="G11724" s="1"/>
    </row>
    <row r="11725">
      <c r="B11725" s="36"/>
      <c r="C11725" s="36"/>
      <c r="E11725" s="1"/>
      <c r="F11725" s="1"/>
      <c r="G11725" s="1"/>
    </row>
    <row r="11726">
      <c r="B11726" s="36"/>
      <c r="C11726" s="36"/>
      <c r="E11726" s="1"/>
      <c r="F11726" s="1"/>
      <c r="G11726" s="1"/>
    </row>
    <row r="11727">
      <c r="B11727" s="36"/>
      <c r="C11727" s="36"/>
      <c r="E11727" s="1"/>
      <c r="F11727" s="1"/>
      <c r="G11727" s="1"/>
    </row>
    <row r="11728">
      <c r="B11728" s="36"/>
      <c r="C11728" s="36"/>
      <c r="E11728" s="1"/>
      <c r="F11728" s="1"/>
      <c r="G11728" s="1"/>
    </row>
    <row r="11729">
      <c r="B11729" s="36"/>
      <c r="C11729" s="36"/>
      <c r="E11729" s="1"/>
      <c r="F11729" s="1"/>
      <c r="G11729" s="1"/>
    </row>
    <row r="11730">
      <c r="B11730" s="36"/>
      <c r="C11730" s="36"/>
      <c r="E11730" s="1"/>
      <c r="F11730" s="1"/>
      <c r="G11730" s="1"/>
    </row>
    <row r="11731">
      <c r="B11731" s="36"/>
      <c r="C11731" s="36"/>
      <c r="E11731" s="1"/>
      <c r="F11731" s="1"/>
      <c r="G11731" s="1"/>
    </row>
    <row r="11732">
      <c r="B11732" s="36"/>
      <c r="C11732" s="36"/>
      <c r="E11732" s="1"/>
      <c r="F11732" s="1"/>
      <c r="G11732" s="1"/>
    </row>
    <row r="11733">
      <c r="B11733" s="36"/>
      <c r="C11733" s="36"/>
      <c r="E11733" s="1"/>
      <c r="F11733" s="1"/>
      <c r="G11733" s="1"/>
    </row>
    <row r="11734">
      <c r="B11734" s="36"/>
      <c r="C11734" s="36"/>
      <c r="E11734" s="1"/>
      <c r="F11734" s="1"/>
      <c r="G11734" s="1"/>
    </row>
    <row r="11735">
      <c r="B11735" s="36"/>
      <c r="C11735" s="36"/>
      <c r="E11735" s="1"/>
      <c r="F11735" s="1"/>
      <c r="G11735" s="1"/>
    </row>
    <row r="11736">
      <c r="B11736" s="36"/>
      <c r="C11736" s="36"/>
      <c r="E11736" s="1"/>
      <c r="F11736" s="1"/>
      <c r="G11736" s="1"/>
    </row>
    <row r="11737">
      <c r="B11737" s="36"/>
      <c r="C11737" s="36"/>
      <c r="E11737" s="1"/>
      <c r="F11737" s="1"/>
      <c r="G11737" s="1"/>
    </row>
    <row r="11738">
      <c r="B11738" s="36"/>
      <c r="C11738" s="36"/>
      <c r="E11738" s="1"/>
      <c r="F11738" s="1"/>
      <c r="G11738" s="1"/>
    </row>
    <row r="11739">
      <c r="B11739" s="36"/>
      <c r="C11739" s="36"/>
      <c r="E11739" s="1"/>
      <c r="F11739" s="1"/>
      <c r="G11739" s="1"/>
    </row>
    <row r="11740">
      <c r="B11740" s="36"/>
      <c r="C11740" s="36"/>
      <c r="E11740" s="1"/>
      <c r="F11740" s="1"/>
      <c r="G11740" s="1"/>
    </row>
    <row r="11741">
      <c r="B11741" s="36"/>
      <c r="C11741" s="36"/>
      <c r="E11741" s="1"/>
      <c r="F11741" s="1"/>
      <c r="G11741" s="1"/>
    </row>
    <row r="11742">
      <c r="B11742" s="36"/>
      <c r="C11742" s="36"/>
      <c r="E11742" s="1"/>
      <c r="F11742" s="1"/>
      <c r="G11742" s="1"/>
    </row>
    <row r="11743">
      <c r="B11743" s="36"/>
      <c r="C11743" s="36"/>
      <c r="E11743" s="1"/>
      <c r="F11743" s="1"/>
      <c r="G11743" s="1"/>
    </row>
    <row r="11744">
      <c r="B11744" s="36"/>
      <c r="C11744" s="36"/>
      <c r="E11744" s="1"/>
      <c r="F11744" s="1"/>
      <c r="G11744" s="1"/>
    </row>
    <row r="11745">
      <c r="B11745" s="36"/>
      <c r="C11745" s="36"/>
      <c r="E11745" s="1"/>
      <c r="F11745" s="1"/>
      <c r="G11745" s="1"/>
    </row>
    <row r="11746">
      <c r="B11746" s="36"/>
      <c r="C11746" s="36"/>
      <c r="E11746" s="1"/>
      <c r="F11746" s="1"/>
      <c r="G11746" s="1"/>
    </row>
    <row r="11747">
      <c r="B11747" s="36"/>
      <c r="C11747" s="36"/>
      <c r="E11747" s="1"/>
      <c r="F11747" s="1"/>
      <c r="G11747" s="1"/>
    </row>
    <row r="11748">
      <c r="B11748" s="36"/>
      <c r="C11748" s="36"/>
      <c r="E11748" s="1"/>
      <c r="F11748" s="1"/>
      <c r="G11748" s="1"/>
    </row>
    <row r="11749">
      <c r="B11749" s="36"/>
      <c r="C11749" s="36"/>
      <c r="E11749" s="1"/>
      <c r="F11749" s="1"/>
      <c r="G11749" s="1"/>
    </row>
    <row r="11750">
      <c r="B11750" s="36"/>
      <c r="C11750" s="36"/>
      <c r="E11750" s="1"/>
      <c r="F11750" s="1"/>
      <c r="G11750" s="1"/>
    </row>
    <row r="11751">
      <c r="B11751" s="36"/>
      <c r="C11751" s="36"/>
      <c r="E11751" s="1"/>
      <c r="F11751" s="1"/>
      <c r="G11751" s="1"/>
    </row>
    <row r="11752">
      <c r="B11752" s="36"/>
      <c r="C11752" s="36"/>
      <c r="E11752" s="1"/>
      <c r="F11752" s="1"/>
      <c r="G11752" s="1"/>
    </row>
    <row r="11753">
      <c r="B11753" s="36"/>
      <c r="C11753" s="36"/>
      <c r="E11753" s="1"/>
      <c r="F11753" s="1"/>
      <c r="G11753" s="1"/>
    </row>
    <row r="11754">
      <c r="B11754" s="36"/>
      <c r="C11754" s="36"/>
      <c r="E11754" s="1"/>
      <c r="F11754" s="1"/>
      <c r="G11754" s="1"/>
    </row>
    <row r="11755">
      <c r="B11755" s="36"/>
      <c r="C11755" s="36"/>
      <c r="E11755" s="1"/>
      <c r="F11755" s="1"/>
      <c r="G11755" s="1"/>
    </row>
    <row r="11756">
      <c r="B11756" s="36"/>
      <c r="C11756" s="36"/>
      <c r="E11756" s="1"/>
      <c r="F11756" s="1"/>
      <c r="G11756" s="1"/>
    </row>
    <row r="11757">
      <c r="B11757" s="36"/>
      <c r="C11757" s="36"/>
      <c r="E11757" s="1"/>
      <c r="F11757" s="1"/>
      <c r="G11757" s="1"/>
    </row>
    <row r="11758">
      <c r="B11758" s="36"/>
      <c r="C11758" s="36"/>
      <c r="E11758" s="1"/>
      <c r="F11758" s="1"/>
      <c r="G11758" s="1"/>
    </row>
    <row r="11759">
      <c r="B11759" s="36"/>
      <c r="C11759" s="36"/>
      <c r="E11759" s="1"/>
      <c r="F11759" s="1"/>
      <c r="G11759" s="1"/>
    </row>
    <row r="11760">
      <c r="B11760" s="36"/>
      <c r="C11760" s="36"/>
      <c r="E11760" s="1"/>
      <c r="F11760" s="1"/>
      <c r="G11760" s="1"/>
    </row>
    <row r="11761">
      <c r="B11761" s="36"/>
      <c r="C11761" s="36"/>
      <c r="E11761" s="1"/>
      <c r="F11761" s="1"/>
      <c r="G11761" s="1"/>
    </row>
    <row r="11762">
      <c r="B11762" s="36"/>
      <c r="C11762" s="36"/>
      <c r="E11762" s="1"/>
      <c r="F11762" s="1"/>
      <c r="G11762" s="1"/>
    </row>
    <row r="11763">
      <c r="B11763" s="36"/>
      <c r="C11763" s="36"/>
      <c r="E11763" s="1"/>
      <c r="F11763" s="1"/>
      <c r="G11763" s="1"/>
    </row>
    <row r="11764">
      <c r="B11764" s="36"/>
      <c r="C11764" s="36"/>
      <c r="E11764" s="1"/>
      <c r="F11764" s="1"/>
      <c r="G11764" s="1"/>
    </row>
    <row r="11765">
      <c r="B11765" s="36"/>
      <c r="C11765" s="36"/>
      <c r="E11765" s="1"/>
      <c r="F11765" s="1"/>
      <c r="G11765" s="1"/>
    </row>
    <row r="11766">
      <c r="B11766" s="36"/>
      <c r="C11766" s="36"/>
      <c r="E11766" s="1"/>
      <c r="F11766" s="1"/>
      <c r="G11766" s="1"/>
    </row>
    <row r="11767">
      <c r="B11767" s="36"/>
      <c r="C11767" s="36"/>
      <c r="E11767" s="1"/>
      <c r="F11767" s="1"/>
      <c r="G11767" s="1"/>
    </row>
    <row r="11768">
      <c r="B11768" s="36"/>
      <c r="C11768" s="36"/>
      <c r="E11768" s="1"/>
      <c r="F11768" s="1"/>
      <c r="G11768" s="1"/>
    </row>
    <row r="11769">
      <c r="B11769" s="36"/>
      <c r="C11769" s="36"/>
      <c r="E11769" s="1"/>
      <c r="F11769" s="1"/>
      <c r="G11769" s="1"/>
    </row>
    <row r="11770">
      <c r="B11770" s="36"/>
      <c r="C11770" s="36"/>
      <c r="E11770" s="1"/>
      <c r="F11770" s="1"/>
      <c r="G11770" s="1"/>
    </row>
    <row r="11771">
      <c r="B11771" s="36"/>
      <c r="C11771" s="36"/>
      <c r="E11771" s="1"/>
      <c r="F11771" s="1"/>
      <c r="G11771" s="1"/>
    </row>
    <row r="11772">
      <c r="B11772" s="36"/>
      <c r="C11772" s="36"/>
      <c r="E11772" s="1"/>
      <c r="F11772" s="1"/>
      <c r="G11772" s="1"/>
    </row>
    <row r="11773">
      <c r="B11773" s="36"/>
      <c r="C11773" s="36"/>
      <c r="E11773" s="1"/>
      <c r="F11773" s="1"/>
      <c r="G11773" s="1"/>
    </row>
    <row r="11774">
      <c r="B11774" s="36"/>
      <c r="C11774" s="36"/>
      <c r="E11774" s="1"/>
      <c r="F11774" s="1"/>
      <c r="G11774" s="1"/>
    </row>
    <row r="11775">
      <c r="B11775" s="36"/>
      <c r="C11775" s="36"/>
      <c r="E11775" s="1"/>
      <c r="F11775" s="1"/>
      <c r="G11775" s="1"/>
    </row>
    <row r="11776">
      <c r="B11776" s="36"/>
      <c r="C11776" s="36"/>
      <c r="E11776" s="1"/>
      <c r="F11776" s="1"/>
      <c r="G11776" s="1"/>
    </row>
    <row r="11777">
      <c r="B11777" s="36"/>
      <c r="C11777" s="36"/>
      <c r="E11777" s="1"/>
      <c r="F11777" s="1"/>
      <c r="G11777" s="1"/>
    </row>
    <row r="11778">
      <c r="B11778" s="36"/>
      <c r="C11778" s="36"/>
      <c r="E11778" s="1"/>
      <c r="F11778" s="1"/>
      <c r="G11778" s="1"/>
    </row>
    <row r="11779">
      <c r="B11779" s="36"/>
      <c r="C11779" s="36"/>
      <c r="E11779" s="1"/>
      <c r="F11779" s="1"/>
      <c r="G11779" s="1"/>
    </row>
    <row r="11780">
      <c r="B11780" s="36"/>
      <c r="C11780" s="36"/>
      <c r="E11780" s="1"/>
      <c r="F11780" s="1"/>
      <c r="G11780" s="1"/>
    </row>
    <row r="11781">
      <c r="B11781" s="36"/>
      <c r="C11781" s="36"/>
      <c r="E11781" s="1"/>
      <c r="F11781" s="1"/>
      <c r="G11781" s="1"/>
    </row>
    <row r="11782">
      <c r="B11782" s="36"/>
      <c r="C11782" s="36"/>
      <c r="E11782" s="1"/>
      <c r="F11782" s="1"/>
      <c r="G11782" s="1"/>
    </row>
    <row r="11783">
      <c r="B11783" s="36"/>
      <c r="C11783" s="36"/>
      <c r="E11783" s="1"/>
      <c r="F11783" s="1"/>
      <c r="G11783" s="1"/>
    </row>
    <row r="11784">
      <c r="B11784" s="36"/>
      <c r="C11784" s="36"/>
      <c r="E11784" s="1"/>
      <c r="F11784" s="1"/>
      <c r="G11784" s="1"/>
    </row>
    <row r="11785">
      <c r="B11785" s="36"/>
      <c r="C11785" s="36"/>
      <c r="E11785" s="1"/>
      <c r="F11785" s="1"/>
      <c r="G11785" s="1"/>
    </row>
    <row r="11786">
      <c r="B11786" s="36"/>
      <c r="C11786" s="36"/>
      <c r="E11786" s="1"/>
      <c r="F11786" s="1"/>
      <c r="G11786" s="1"/>
    </row>
    <row r="11787">
      <c r="B11787" s="36"/>
      <c r="C11787" s="36"/>
      <c r="E11787" s="1"/>
      <c r="F11787" s="1"/>
      <c r="G11787" s="1"/>
    </row>
    <row r="11788">
      <c r="B11788" s="36"/>
      <c r="C11788" s="36"/>
      <c r="E11788" s="1"/>
      <c r="F11788" s="1"/>
      <c r="G11788" s="1"/>
    </row>
    <row r="11789">
      <c r="B11789" s="36"/>
      <c r="C11789" s="36"/>
      <c r="E11789" s="1"/>
      <c r="F11789" s="1"/>
      <c r="G11789" s="1"/>
    </row>
    <row r="11790">
      <c r="B11790" s="36"/>
      <c r="C11790" s="36"/>
      <c r="E11790" s="1"/>
      <c r="F11790" s="1"/>
      <c r="G11790" s="1"/>
    </row>
    <row r="11791">
      <c r="B11791" s="36"/>
      <c r="C11791" s="36"/>
      <c r="E11791" s="1"/>
      <c r="F11791" s="1"/>
      <c r="G11791" s="1"/>
    </row>
    <row r="11792">
      <c r="B11792" s="36"/>
      <c r="C11792" s="36"/>
      <c r="E11792" s="1"/>
      <c r="F11792" s="1"/>
      <c r="G11792" s="1"/>
    </row>
    <row r="11793">
      <c r="B11793" s="36"/>
      <c r="C11793" s="36"/>
      <c r="E11793" s="1"/>
      <c r="F11793" s="1"/>
      <c r="G11793" s="1"/>
    </row>
    <row r="11794">
      <c r="B11794" s="36"/>
      <c r="C11794" s="36"/>
      <c r="E11794" s="1"/>
      <c r="F11794" s="1"/>
      <c r="G11794" s="1"/>
    </row>
    <row r="11795">
      <c r="B11795" s="36"/>
      <c r="C11795" s="36"/>
      <c r="E11795" s="1"/>
      <c r="F11795" s="1"/>
      <c r="G11795" s="1"/>
    </row>
    <row r="11796">
      <c r="B11796" s="36"/>
      <c r="C11796" s="36"/>
      <c r="E11796" s="1"/>
      <c r="F11796" s="1"/>
      <c r="G11796" s="1"/>
    </row>
    <row r="11797">
      <c r="B11797" s="36"/>
      <c r="C11797" s="36"/>
      <c r="E11797" s="1"/>
      <c r="F11797" s="1"/>
      <c r="G11797" s="1"/>
    </row>
    <row r="11798">
      <c r="B11798" s="36"/>
      <c r="C11798" s="36"/>
      <c r="E11798" s="1"/>
      <c r="F11798" s="1"/>
      <c r="G11798" s="1"/>
    </row>
    <row r="11799">
      <c r="B11799" s="36"/>
      <c r="C11799" s="36"/>
      <c r="E11799" s="1"/>
      <c r="F11799" s="1"/>
      <c r="G11799" s="1"/>
    </row>
    <row r="11800">
      <c r="B11800" s="36"/>
      <c r="C11800" s="36"/>
      <c r="E11800" s="1"/>
      <c r="F11800" s="1"/>
      <c r="G11800" s="1"/>
    </row>
    <row r="11801">
      <c r="B11801" s="36"/>
      <c r="C11801" s="36"/>
      <c r="E11801" s="1"/>
      <c r="F11801" s="1"/>
      <c r="G11801" s="1"/>
    </row>
    <row r="11802">
      <c r="B11802" s="36"/>
      <c r="C11802" s="36"/>
      <c r="E11802" s="1"/>
      <c r="F11802" s="1"/>
      <c r="G11802" s="1"/>
    </row>
    <row r="11803">
      <c r="B11803" s="36"/>
      <c r="C11803" s="36"/>
      <c r="E11803" s="1"/>
      <c r="F11803" s="1"/>
      <c r="G11803" s="1"/>
    </row>
    <row r="11804">
      <c r="B11804" s="36"/>
      <c r="C11804" s="36"/>
      <c r="E11804" s="1"/>
      <c r="F11804" s="1"/>
      <c r="G11804" s="1"/>
    </row>
    <row r="11805">
      <c r="B11805" s="36"/>
      <c r="C11805" s="36"/>
      <c r="E11805" s="1"/>
      <c r="F11805" s="1"/>
      <c r="G11805" s="1"/>
    </row>
    <row r="11806">
      <c r="B11806" s="36"/>
      <c r="C11806" s="36"/>
      <c r="E11806" s="1"/>
      <c r="F11806" s="1"/>
      <c r="G11806" s="1"/>
    </row>
    <row r="11807">
      <c r="B11807" s="36"/>
      <c r="C11807" s="36"/>
      <c r="E11807" s="1"/>
      <c r="F11807" s="1"/>
      <c r="G11807" s="1"/>
    </row>
    <row r="11808">
      <c r="B11808" s="36"/>
      <c r="C11808" s="36"/>
      <c r="E11808" s="1"/>
      <c r="F11808" s="1"/>
      <c r="G11808" s="1"/>
    </row>
    <row r="11809">
      <c r="B11809" s="36"/>
      <c r="C11809" s="36"/>
      <c r="E11809" s="1"/>
      <c r="F11809" s="1"/>
      <c r="G11809" s="1"/>
    </row>
    <row r="11810">
      <c r="B11810" s="36"/>
      <c r="C11810" s="36"/>
      <c r="E11810" s="1"/>
      <c r="F11810" s="1"/>
      <c r="G11810" s="1"/>
    </row>
    <row r="11811">
      <c r="B11811" s="36"/>
      <c r="C11811" s="36"/>
      <c r="E11811" s="1"/>
      <c r="F11811" s="1"/>
      <c r="G11811" s="1"/>
    </row>
    <row r="11812">
      <c r="B11812" s="36"/>
      <c r="C11812" s="36"/>
      <c r="E11812" s="1"/>
      <c r="F11812" s="1"/>
      <c r="G11812" s="1"/>
    </row>
    <row r="11813">
      <c r="B11813" s="36"/>
      <c r="C11813" s="36"/>
      <c r="E11813" s="1"/>
      <c r="F11813" s="1"/>
      <c r="G11813" s="1"/>
    </row>
    <row r="11814">
      <c r="B11814" s="36"/>
      <c r="C11814" s="36"/>
      <c r="E11814" s="1"/>
      <c r="F11814" s="1"/>
      <c r="G11814" s="1"/>
    </row>
    <row r="11815">
      <c r="B11815" s="36"/>
      <c r="C11815" s="36"/>
      <c r="E11815" s="1"/>
      <c r="F11815" s="1"/>
      <c r="G11815" s="1"/>
    </row>
    <row r="11816">
      <c r="B11816" s="36"/>
      <c r="C11816" s="36"/>
      <c r="E11816" s="1"/>
      <c r="F11816" s="1"/>
      <c r="G11816" s="1"/>
    </row>
    <row r="11817">
      <c r="B11817" s="36"/>
      <c r="C11817" s="36"/>
      <c r="E11817" s="1"/>
      <c r="F11817" s="1"/>
      <c r="G11817" s="1"/>
    </row>
    <row r="11818">
      <c r="B11818" s="36"/>
      <c r="C11818" s="36"/>
      <c r="E11818" s="1"/>
      <c r="F11818" s="1"/>
      <c r="G11818" s="1"/>
    </row>
    <row r="11819">
      <c r="B11819" s="36"/>
      <c r="C11819" s="36"/>
      <c r="E11819" s="1"/>
      <c r="F11819" s="1"/>
      <c r="G11819" s="1"/>
    </row>
    <row r="11820">
      <c r="B11820" s="36"/>
      <c r="C11820" s="36"/>
      <c r="E11820" s="1"/>
      <c r="F11820" s="1"/>
      <c r="G11820" s="1"/>
    </row>
    <row r="11821">
      <c r="B11821" s="36"/>
      <c r="C11821" s="36"/>
      <c r="E11821" s="1"/>
      <c r="F11821" s="1"/>
      <c r="G11821" s="1"/>
    </row>
    <row r="11822">
      <c r="B11822" s="36"/>
      <c r="C11822" s="36"/>
      <c r="E11822" s="1"/>
      <c r="F11822" s="1"/>
      <c r="G11822" s="1"/>
    </row>
    <row r="11823">
      <c r="B11823" s="36"/>
      <c r="C11823" s="36"/>
      <c r="E11823" s="1"/>
      <c r="F11823" s="1"/>
      <c r="G11823" s="1"/>
    </row>
    <row r="11824">
      <c r="B11824" s="36"/>
      <c r="C11824" s="36"/>
      <c r="E11824" s="1"/>
      <c r="F11824" s="1"/>
      <c r="G11824" s="1"/>
    </row>
    <row r="11825">
      <c r="B11825" s="36"/>
      <c r="C11825" s="36"/>
      <c r="E11825" s="1"/>
      <c r="F11825" s="1"/>
      <c r="G11825" s="1"/>
    </row>
    <row r="11826">
      <c r="B11826" s="36"/>
      <c r="C11826" s="36"/>
      <c r="E11826" s="1"/>
      <c r="F11826" s="1"/>
      <c r="G11826" s="1"/>
    </row>
    <row r="11827">
      <c r="B11827" s="36"/>
      <c r="C11827" s="36"/>
      <c r="E11827" s="1"/>
      <c r="F11827" s="1"/>
      <c r="G11827" s="1"/>
    </row>
    <row r="11828">
      <c r="B11828" s="36"/>
      <c r="C11828" s="36"/>
      <c r="E11828" s="1"/>
      <c r="F11828" s="1"/>
      <c r="G11828" s="1"/>
    </row>
    <row r="11829">
      <c r="B11829" s="36"/>
      <c r="C11829" s="36"/>
      <c r="E11829" s="1"/>
      <c r="F11829" s="1"/>
      <c r="G11829" s="1"/>
    </row>
    <row r="11830">
      <c r="B11830" s="36"/>
      <c r="C11830" s="36"/>
      <c r="E11830" s="1"/>
      <c r="F11830" s="1"/>
      <c r="G11830" s="1"/>
    </row>
    <row r="11831">
      <c r="B11831" s="36"/>
      <c r="C11831" s="36"/>
      <c r="E11831" s="1"/>
      <c r="F11831" s="1"/>
      <c r="G11831" s="1"/>
    </row>
    <row r="11832">
      <c r="B11832" s="36"/>
      <c r="C11832" s="36"/>
      <c r="E11832" s="1"/>
      <c r="F11832" s="1"/>
      <c r="G11832" s="1"/>
    </row>
    <row r="11833">
      <c r="B11833" s="36"/>
      <c r="C11833" s="36"/>
      <c r="E11833" s="1"/>
      <c r="F11833" s="1"/>
      <c r="G11833" s="1"/>
    </row>
    <row r="11834">
      <c r="B11834" s="36"/>
      <c r="C11834" s="36"/>
      <c r="E11834" s="1"/>
      <c r="F11834" s="1"/>
      <c r="G11834" s="1"/>
    </row>
    <row r="11835">
      <c r="B11835" s="36"/>
      <c r="C11835" s="36"/>
      <c r="E11835" s="1"/>
      <c r="F11835" s="1"/>
      <c r="G11835" s="1"/>
    </row>
    <row r="11836">
      <c r="B11836" s="36"/>
      <c r="C11836" s="36"/>
      <c r="E11836" s="1"/>
      <c r="F11836" s="1"/>
      <c r="G11836" s="1"/>
    </row>
    <row r="11837">
      <c r="B11837" s="36"/>
      <c r="C11837" s="36"/>
      <c r="E11837" s="1"/>
      <c r="F11837" s="1"/>
      <c r="G11837" s="1"/>
    </row>
    <row r="11838">
      <c r="B11838" s="36"/>
      <c r="C11838" s="36"/>
      <c r="E11838" s="1"/>
      <c r="F11838" s="1"/>
      <c r="G11838" s="1"/>
    </row>
    <row r="11839">
      <c r="B11839" s="36"/>
      <c r="C11839" s="36"/>
      <c r="E11839" s="1"/>
      <c r="F11839" s="1"/>
      <c r="G11839" s="1"/>
    </row>
    <row r="11840">
      <c r="B11840" s="36"/>
      <c r="C11840" s="36"/>
      <c r="E11840" s="1"/>
      <c r="F11840" s="1"/>
      <c r="G11840" s="1"/>
    </row>
    <row r="11841">
      <c r="B11841" s="36"/>
      <c r="C11841" s="36"/>
      <c r="E11841" s="1"/>
      <c r="F11841" s="1"/>
      <c r="G11841" s="1"/>
    </row>
    <row r="11842">
      <c r="B11842" s="36"/>
      <c r="C11842" s="36"/>
      <c r="E11842" s="1"/>
      <c r="F11842" s="1"/>
      <c r="G11842" s="1"/>
    </row>
    <row r="11843">
      <c r="B11843" s="36"/>
      <c r="C11843" s="36"/>
      <c r="E11843" s="1"/>
      <c r="F11843" s="1"/>
      <c r="G11843" s="1"/>
    </row>
    <row r="11844">
      <c r="B11844" s="36"/>
      <c r="C11844" s="36"/>
      <c r="E11844" s="1"/>
      <c r="F11844" s="1"/>
      <c r="G11844" s="1"/>
    </row>
    <row r="11845">
      <c r="B11845" s="36"/>
      <c r="C11845" s="36"/>
      <c r="E11845" s="1"/>
      <c r="F11845" s="1"/>
      <c r="G11845" s="1"/>
    </row>
    <row r="11846">
      <c r="B11846" s="36"/>
      <c r="C11846" s="36"/>
      <c r="E11846" s="1"/>
      <c r="F11846" s="1"/>
      <c r="G11846" s="1"/>
    </row>
    <row r="11847">
      <c r="B11847" s="36"/>
      <c r="C11847" s="36"/>
      <c r="E11847" s="1"/>
      <c r="F11847" s="1"/>
      <c r="G11847" s="1"/>
    </row>
    <row r="11848">
      <c r="B11848" s="36"/>
      <c r="C11848" s="36"/>
      <c r="E11848" s="1"/>
      <c r="F11848" s="1"/>
      <c r="G11848" s="1"/>
    </row>
    <row r="11849">
      <c r="B11849" s="36"/>
      <c r="C11849" s="36"/>
      <c r="E11849" s="1"/>
      <c r="F11849" s="1"/>
      <c r="G11849" s="1"/>
    </row>
    <row r="11850">
      <c r="B11850" s="36"/>
      <c r="C11850" s="36"/>
      <c r="E11850" s="1"/>
      <c r="F11850" s="1"/>
      <c r="G11850" s="1"/>
    </row>
    <row r="11851">
      <c r="B11851" s="36"/>
      <c r="C11851" s="36"/>
      <c r="E11851" s="1"/>
      <c r="F11851" s="1"/>
      <c r="G11851" s="1"/>
    </row>
    <row r="11852">
      <c r="B11852" s="36"/>
      <c r="C11852" s="36"/>
      <c r="E11852" s="1"/>
      <c r="F11852" s="1"/>
      <c r="G11852" s="1"/>
    </row>
    <row r="11853">
      <c r="B11853" s="36"/>
      <c r="C11853" s="36"/>
      <c r="E11853" s="1"/>
      <c r="F11853" s="1"/>
      <c r="G11853" s="1"/>
    </row>
    <row r="11854">
      <c r="B11854" s="36"/>
      <c r="C11854" s="36"/>
      <c r="E11854" s="1"/>
      <c r="F11854" s="1"/>
      <c r="G11854" s="1"/>
    </row>
    <row r="11855">
      <c r="B11855" s="36"/>
      <c r="C11855" s="36"/>
      <c r="E11855" s="1"/>
      <c r="F11855" s="1"/>
      <c r="G11855" s="1"/>
    </row>
    <row r="11856">
      <c r="B11856" s="36"/>
      <c r="C11856" s="36"/>
      <c r="E11856" s="1"/>
      <c r="F11856" s="1"/>
      <c r="G11856" s="1"/>
    </row>
    <row r="11857">
      <c r="B11857" s="36"/>
      <c r="C11857" s="36"/>
      <c r="E11857" s="1"/>
      <c r="F11857" s="1"/>
      <c r="G11857" s="1"/>
    </row>
    <row r="11858">
      <c r="B11858" s="36"/>
      <c r="C11858" s="36"/>
      <c r="E11858" s="1"/>
      <c r="F11858" s="1"/>
      <c r="G11858" s="1"/>
    </row>
    <row r="11859">
      <c r="B11859" s="36"/>
      <c r="C11859" s="36"/>
      <c r="E11859" s="1"/>
      <c r="F11859" s="1"/>
      <c r="G11859" s="1"/>
    </row>
    <row r="11860">
      <c r="B11860" s="36"/>
      <c r="C11860" s="36"/>
      <c r="E11860" s="1"/>
      <c r="F11860" s="1"/>
      <c r="G11860" s="1"/>
    </row>
    <row r="11861">
      <c r="B11861" s="36"/>
      <c r="C11861" s="36"/>
      <c r="E11861" s="1"/>
      <c r="F11861" s="1"/>
      <c r="G11861" s="1"/>
    </row>
    <row r="11862">
      <c r="B11862" s="36"/>
      <c r="C11862" s="36"/>
      <c r="E11862" s="1"/>
      <c r="F11862" s="1"/>
      <c r="G11862" s="1"/>
    </row>
    <row r="11863">
      <c r="B11863" s="36"/>
      <c r="C11863" s="36"/>
      <c r="E11863" s="1"/>
      <c r="F11863" s="1"/>
      <c r="G11863" s="1"/>
    </row>
    <row r="11864">
      <c r="B11864" s="36"/>
      <c r="C11864" s="36"/>
      <c r="E11864" s="1"/>
      <c r="F11864" s="1"/>
      <c r="G11864" s="1"/>
    </row>
    <row r="11865">
      <c r="B11865" s="36"/>
      <c r="C11865" s="36"/>
      <c r="E11865" s="1"/>
      <c r="F11865" s="1"/>
      <c r="G11865" s="1"/>
    </row>
    <row r="11866">
      <c r="B11866" s="36"/>
      <c r="C11866" s="36"/>
      <c r="E11866" s="1"/>
      <c r="F11866" s="1"/>
      <c r="G11866" s="1"/>
    </row>
    <row r="11867">
      <c r="B11867" s="36"/>
      <c r="C11867" s="36"/>
      <c r="E11867" s="1"/>
      <c r="F11867" s="1"/>
      <c r="G11867" s="1"/>
    </row>
    <row r="11868">
      <c r="B11868" s="36"/>
      <c r="C11868" s="36"/>
      <c r="E11868" s="1"/>
      <c r="F11868" s="1"/>
      <c r="G11868" s="1"/>
    </row>
    <row r="11869">
      <c r="B11869" s="36"/>
      <c r="C11869" s="36"/>
      <c r="E11869" s="1"/>
      <c r="F11869" s="1"/>
      <c r="G11869" s="1"/>
    </row>
    <row r="11870">
      <c r="B11870" s="36"/>
      <c r="C11870" s="36"/>
      <c r="E11870" s="1"/>
      <c r="F11870" s="1"/>
      <c r="G11870" s="1"/>
    </row>
    <row r="11871">
      <c r="B11871" s="36"/>
      <c r="C11871" s="36"/>
      <c r="E11871" s="1"/>
      <c r="F11871" s="1"/>
      <c r="G11871" s="1"/>
    </row>
    <row r="11872">
      <c r="B11872" s="36"/>
      <c r="C11872" s="36"/>
      <c r="E11872" s="1"/>
      <c r="F11872" s="1"/>
      <c r="G11872" s="1"/>
    </row>
    <row r="11873">
      <c r="B11873" s="36"/>
      <c r="C11873" s="36"/>
      <c r="E11873" s="1"/>
      <c r="F11873" s="1"/>
      <c r="G11873" s="1"/>
    </row>
    <row r="11874">
      <c r="B11874" s="36"/>
      <c r="C11874" s="36"/>
      <c r="E11874" s="1"/>
      <c r="F11874" s="1"/>
      <c r="G11874" s="1"/>
    </row>
    <row r="11875">
      <c r="B11875" s="36"/>
      <c r="C11875" s="36"/>
      <c r="E11875" s="1"/>
      <c r="F11875" s="1"/>
      <c r="G11875" s="1"/>
    </row>
    <row r="11876">
      <c r="B11876" s="36"/>
      <c r="C11876" s="36"/>
      <c r="E11876" s="1"/>
      <c r="F11876" s="1"/>
      <c r="G11876" s="1"/>
    </row>
    <row r="11877">
      <c r="B11877" s="36"/>
      <c r="C11877" s="36"/>
      <c r="E11877" s="1"/>
      <c r="F11877" s="1"/>
      <c r="G11877" s="1"/>
    </row>
    <row r="11878">
      <c r="B11878" s="36"/>
      <c r="C11878" s="36"/>
      <c r="E11878" s="1"/>
      <c r="F11878" s="1"/>
      <c r="G11878" s="1"/>
    </row>
    <row r="11879">
      <c r="B11879" s="36"/>
      <c r="C11879" s="36"/>
      <c r="E11879" s="1"/>
      <c r="F11879" s="1"/>
      <c r="G11879" s="1"/>
    </row>
    <row r="11880">
      <c r="B11880" s="36"/>
      <c r="C11880" s="36"/>
      <c r="E11880" s="1"/>
      <c r="F11880" s="1"/>
      <c r="G11880" s="1"/>
    </row>
    <row r="11881">
      <c r="B11881" s="36"/>
      <c r="C11881" s="36"/>
      <c r="E11881" s="1"/>
      <c r="F11881" s="1"/>
      <c r="G11881" s="1"/>
    </row>
    <row r="11882">
      <c r="B11882" s="36"/>
      <c r="C11882" s="36"/>
      <c r="E11882" s="1"/>
      <c r="F11882" s="1"/>
      <c r="G11882" s="1"/>
    </row>
    <row r="11883">
      <c r="B11883" s="36"/>
      <c r="C11883" s="36"/>
      <c r="E11883" s="1"/>
      <c r="F11883" s="1"/>
      <c r="G11883" s="1"/>
    </row>
    <row r="11884">
      <c r="B11884" s="36"/>
      <c r="C11884" s="36"/>
      <c r="E11884" s="1"/>
      <c r="F11884" s="1"/>
      <c r="G11884" s="1"/>
    </row>
    <row r="11885">
      <c r="B11885" s="36"/>
      <c r="C11885" s="36"/>
      <c r="E11885" s="1"/>
      <c r="F11885" s="1"/>
      <c r="G11885" s="1"/>
    </row>
    <row r="11886">
      <c r="B11886" s="36"/>
      <c r="C11886" s="36"/>
      <c r="E11886" s="1"/>
      <c r="F11886" s="1"/>
      <c r="G11886" s="1"/>
    </row>
    <row r="11887">
      <c r="B11887" s="36"/>
      <c r="C11887" s="36"/>
      <c r="E11887" s="1"/>
      <c r="F11887" s="1"/>
      <c r="G11887" s="1"/>
    </row>
    <row r="11888">
      <c r="B11888" s="36"/>
      <c r="C11888" s="36"/>
      <c r="E11888" s="1"/>
      <c r="F11888" s="1"/>
      <c r="G11888" s="1"/>
    </row>
    <row r="11889">
      <c r="B11889" s="36"/>
      <c r="C11889" s="36"/>
      <c r="E11889" s="1"/>
      <c r="F11889" s="1"/>
      <c r="G11889" s="1"/>
    </row>
    <row r="11890">
      <c r="B11890" s="36"/>
      <c r="C11890" s="36"/>
      <c r="E11890" s="1"/>
      <c r="F11890" s="1"/>
      <c r="G11890" s="1"/>
    </row>
    <row r="11891">
      <c r="B11891" s="36"/>
      <c r="C11891" s="36"/>
      <c r="E11891" s="1"/>
      <c r="F11891" s="1"/>
      <c r="G11891" s="1"/>
    </row>
    <row r="11892">
      <c r="B11892" s="36"/>
      <c r="C11892" s="36"/>
      <c r="E11892" s="1"/>
      <c r="F11892" s="1"/>
      <c r="G11892" s="1"/>
    </row>
    <row r="11893">
      <c r="B11893" s="36"/>
      <c r="C11893" s="36"/>
      <c r="E11893" s="1"/>
      <c r="F11893" s="1"/>
      <c r="G11893" s="1"/>
    </row>
    <row r="11894">
      <c r="B11894" s="36"/>
      <c r="C11894" s="36"/>
      <c r="E11894" s="1"/>
      <c r="F11894" s="1"/>
      <c r="G11894" s="1"/>
    </row>
    <row r="11895">
      <c r="B11895" s="36"/>
      <c r="C11895" s="36"/>
      <c r="E11895" s="1"/>
      <c r="F11895" s="1"/>
      <c r="G11895" s="1"/>
    </row>
    <row r="11896">
      <c r="B11896" s="36"/>
      <c r="C11896" s="36"/>
      <c r="E11896" s="1"/>
      <c r="F11896" s="1"/>
      <c r="G11896" s="1"/>
    </row>
    <row r="11897">
      <c r="B11897" s="36"/>
      <c r="C11897" s="36"/>
      <c r="E11897" s="1"/>
      <c r="F11897" s="1"/>
      <c r="G11897" s="1"/>
    </row>
    <row r="11898">
      <c r="B11898" s="36"/>
      <c r="C11898" s="36"/>
      <c r="E11898" s="1"/>
      <c r="F11898" s="1"/>
      <c r="G11898" s="1"/>
    </row>
    <row r="11899">
      <c r="B11899" s="36"/>
      <c r="C11899" s="36"/>
      <c r="E11899" s="1"/>
      <c r="F11899" s="1"/>
      <c r="G11899" s="1"/>
    </row>
    <row r="11900">
      <c r="B11900" s="36"/>
      <c r="C11900" s="36"/>
      <c r="E11900" s="1"/>
      <c r="F11900" s="1"/>
      <c r="G11900" s="1"/>
    </row>
    <row r="11901">
      <c r="B11901" s="36"/>
      <c r="C11901" s="36"/>
      <c r="E11901" s="1"/>
      <c r="F11901" s="1"/>
      <c r="G11901" s="1"/>
    </row>
    <row r="11902">
      <c r="B11902" s="36"/>
      <c r="C11902" s="36"/>
      <c r="E11902" s="1"/>
      <c r="F11902" s="1"/>
      <c r="G11902" s="1"/>
    </row>
    <row r="11903">
      <c r="B11903" s="36"/>
      <c r="C11903" s="36"/>
      <c r="E11903" s="1"/>
      <c r="F11903" s="1"/>
      <c r="G11903" s="1"/>
    </row>
    <row r="11904">
      <c r="B11904" s="36"/>
      <c r="C11904" s="36"/>
      <c r="E11904" s="1"/>
      <c r="F11904" s="1"/>
      <c r="G11904" s="1"/>
    </row>
    <row r="11905">
      <c r="B11905" s="36"/>
      <c r="C11905" s="36"/>
      <c r="E11905" s="1"/>
      <c r="F11905" s="1"/>
      <c r="G11905" s="1"/>
    </row>
    <row r="11906">
      <c r="B11906" s="36"/>
      <c r="C11906" s="36"/>
      <c r="E11906" s="1"/>
      <c r="F11906" s="1"/>
      <c r="G11906" s="1"/>
    </row>
    <row r="11907">
      <c r="B11907" s="36"/>
      <c r="C11907" s="36"/>
      <c r="E11907" s="1"/>
      <c r="F11907" s="1"/>
      <c r="G11907" s="1"/>
    </row>
    <row r="11908">
      <c r="B11908" s="36"/>
      <c r="C11908" s="36"/>
      <c r="E11908" s="1"/>
      <c r="F11908" s="1"/>
      <c r="G11908" s="1"/>
    </row>
    <row r="11909">
      <c r="B11909" s="36"/>
      <c r="C11909" s="36"/>
      <c r="E11909" s="1"/>
      <c r="F11909" s="1"/>
      <c r="G11909" s="1"/>
    </row>
    <row r="11910">
      <c r="B11910" s="36"/>
      <c r="C11910" s="36"/>
      <c r="E11910" s="1"/>
      <c r="F11910" s="1"/>
      <c r="G11910" s="1"/>
    </row>
    <row r="11911">
      <c r="B11911" s="36"/>
      <c r="C11911" s="36"/>
      <c r="E11911" s="1"/>
      <c r="F11911" s="1"/>
      <c r="G11911" s="1"/>
    </row>
    <row r="11912">
      <c r="B11912" s="36"/>
      <c r="C11912" s="36"/>
      <c r="E11912" s="1"/>
      <c r="F11912" s="1"/>
      <c r="G11912" s="1"/>
    </row>
    <row r="11913">
      <c r="B11913" s="36"/>
      <c r="C11913" s="36"/>
      <c r="E11913" s="1"/>
      <c r="F11913" s="1"/>
      <c r="G11913" s="1"/>
    </row>
    <row r="11914">
      <c r="B11914" s="36"/>
      <c r="C11914" s="36"/>
      <c r="E11914" s="1"/>
      <c r="F11914" s="1"/>
      <c r="G11914" s="1"/>
    </row>
    <row r="11915">
      <c r="B11915" s="36"/>
      <c r="C11915" s="36"/>
      <c r="E11915" s="1"/>
      <c r="F11915" s="1"/>
      <c r="G11915" s="1"/>
    </row>
    <row r="11916">
      <c r="B11916" s="36"/>
      <c r="C11916" s="36"/>
      <c r="E11916" s="1"/>
      <c r="F11916" s="1"/>
      <c r="G11916" s="1"/>
    </row>
    <row r="11917">
      <c r="B11917" s="36"/>
      <c r="C11917" s="36"/>
      <c r="E11917" s="1"/>
      <c r="F11917" s="1"/>
      <c r="G11917" s="1"/>
    </row>
    <row r="11918">
      <c r="B11918" s="36"/>
      <c r="C11918" s="36"/>
      <c r="E11918" s="1"/>
      <c r="F11918" s="1"/>
      <c r="G11918" s="1"/>
    </row>
    <row r="11919">
      <c r="B11919" s="36"/>
      <c r="C11919" s="36"/>
      <c r="E11919" s="1"/>
      <c r="F11919" s="1"/>
      <c r="G11919" s="1"/>
    </row>
    <row r="11920">
      <c r="B11920" s="36"/>
      <c r="C11920" s="36"/>
      <c r="E11920" s="1"/>
      <c r="F11920" s="1"/>
      <c r="G11920" s="1"/>
    </row>
    <row r="11921">
      <c r="B11921" s="36"/>
      <c r="C11921" s="36"/>
      <c r="E11921" s="1"/>
      <c r="F11921" s="1"/>
      <c r="G11921" s="1"/>
    </row>
    <row r="11922">
      <c r="B11922" s="36"/>
      <c r="C11922" s="36"/>
      <c r="E11922" s="1"/>
      <c r="F11922" s="1"/>
      <c r="G11922" s="1"/>
    </row>
    <row r="11923">
      <c r="B11923" s="36"/>
      <c r="C11923" s="36"/>
      <c r="E11923" s="1"/>
      <c r="F11923" s="1"/>
      <c r="G11923" s="1"/>
    </row>
    <row r="11924">
      <c r="B11924" s="36"/>
      <c r="C11924" s="36"/>
      <c r="E11924" s="1"/>
      <c r="F11924" s="1"/>
      <c r="G11924" s="1"/>
    </row>
    <row r="11925">
      <c r="B11925" s="36"/>
      <c r="C11925" s="36"/>
      <c r="E11925" s="1"/>
      <c r="F11925" s="1"/>
      <c r="G11925" s="1"/>
    </row>
    <row r="11926">
      <c r="B11926" s="36"/>
      <c r="C11926" s="36"/>
      <c r="E11926" s="1"/>
      <c r="F11926" s="1"/>
      <c r="G11926" s="1"/>
    </row>
    <row r="11927">
      <c r="B11927" s="36"/>
      <c r="C11927" s="36"/>
      <c r="E11927" s="1"/>
      <c r="F11927" s="1"/>
      <c r="G11927" s="1"/>
    </row>
    <row r="11928">
      <c r="B11928" s="36"/>
      <c r="C11928" s="36"/>
      <c r="E11928" s="1"/>
      <c r="F11928" s="1"/>
      <c r="G11928" s="1"/>
    </row>
    <row r="11929">
      <c r="B11929" s="36"/>
      <c r="C11929" s="36"/>
      <c r="E11929" s="1"/>
      <c r="F11929" s="1"/>
      <c r="G11929" s="1"/>
    </row>
    <row r="11930">
      <c r="B11930" s="36"/>
      <c r="C11930" s="36"/>
      <c r="E11930" s="1"/>
      <c r="F11930" s="1"/>
      <c r="G11930" s="1"/>
    </row>
    <row r="11931">
      <c r="B11931" s="36"/>
      <c r="C11931" s="36"/>
      <c r="E11931" s="1"/>
      <c r="F11931" s="1"/>
      <c r="G11931" s="1"/>
    </row>
    <row r="11932">
      <c r="B11932" s="36"/>
      <c r="C11932" s="36"/>
      <c r="E11932" s="1"/>
      <c r="F11932" s="1"/>
      <c r="G11932" s="1"/>
    </row>
    <row r="11933">
      <c r="B11933" s="36"/>
      <c r="C11933" s="36"/>
      <c r="E11933" s="1"/>
      <c r="F11933" s="1"/>
      <c r="G11933" s="1"/>
    </row>
    <row r="11934">
      <c r="B11934" s="36"/>
      <c r="C11934" s="36"/>
      <c r="E11934" s="1"/>
      <c r="F11934" s="1"/>
      <c r="G11934" s="1"/>
    </row>
    <row r="11935">
      <c r="B11935" s="36"/>
      <c r="C11935" s="36"/>
      <c r="E11935" s="1"/>
      <c r="F11935" s="1"/>
      <c r="G11935" s="1"/>
    </row>
    <row r="11936">
      <c r="B11936" s="36"/>
      <c r="C11936" s="36"/>
      <c r="E11936" s="1"/>
      <c r="F11936" s="1"/>
      <c r="G11936" s="1"/>
    </row>
    <row r="11937">
      <c r="B11937" s="36"/>
      <c r="C11937" s="36"/>
      <c r="E11937" s="1"/>
      <c r="F11937" s="1"/>
      <c r="G11937" s="1"/>
    </row>
    <row r="11938">
      <c r="B11938" s="36"/>
      <c r="C11938" s="36"/>
      <c r="E11938" s="1"/>
      <c r="F11938" s="1"/>
      <c r="G11938" s="1"/>
    </row>
    <row r="11939">
      <c r="B11939" s="36"/>
      <c r="C11939" s="36"/>
      <c r="E11939" s="1"/>
      <c r="F11939" s="1"/>
      <c r="G11939" s="1"/>
    </row>
    <row r="11940">
      <c r="B11940" s="36"/>
      <c r="C11940" s="36"/>
      <c r="E11940" s="1"/>
      <c r="F11940" s="1"/>
      <c r="G11940" s="1"/>
    </row>
    <row r="11941">
      <c r="B11941" s="36"/>
      <c r="C11941" s="36"/>
      <c r="E11941" s="1"/>
      <c r="F11941" s="1"/>
      <c r="G11941" s="1"/>
    </row>
    <row r="11942">
      <c r="B11942" s="36"/>
      <c r="C11942" s="36"/>
      <c r="E11942" s="1"/>
      <c r="F11942" s="1"/>
      <c r="G11942" s="1"/>
    </row>
    <row r="11943">
      <c r="B11943" s="36"/>
      <c r="C11943" s="36"/>
      <c r="E11943" s="1"/>
      <c r="F11943" s="1"/>
      <c r="G11943" s="1"/>
    </row>
    <row r="11944">
      <c r="B11944" s="36"/>
      <c r="C11944" s="36"/>
      <c r="E11944" s="1"/>
      <c r="F11944" s="1"/>
      <c r="G11944" s="1"/>
    </row>
    <row r="11945">
      <c r="B11945" s="36"/>
      <c r="C11945" s="36"/>
      <c r="E11945" s="1"/>
      <c r="F11945" s="1"/>
      <c r="G11945" s="1"/>
    </row>
    <row r="11946">
      <c r="B11946" s="36"/>
      <c r="C11946" s="36"/>
      <c r="E11946" s="1"/>
      <c r="F11946" s="1"/>
      <c r="G11946" s="1"/>
    </row>
    <row r="11947">
      <c r="B11947" s="36"/>
      <c r="C11947" s="36"/>
      <c r="E11947" s="1"/>
      <c r="F11947" s="1"/>
      <c r="G11947" s="1"/>
    </row>
    <row r="11948">
      <c r="B11948" s="36"/>
      <c r="C11948" s="36"/>
      <c r="E11948" s="1"/>
      <c r="F11948" s="1"/>
      <c r="G11948" s="1"/>
    </row>
    <row r="11949">
      <c r="B11949" s="36"/>
      <c r="C11949" s="36"/>
      <c r="E11949" s="1"/>
      <c r="F11949" s="1"/>
      <c r="G11949" s="1"/>
    </row>
    <row r="11950">
      <c r="B11950" s="36"/>
      <c r="C11950" s="36"/>
      <c r="E11950" s="1"/>
      <c r="F11950" s="1"/>
      <c r="G11950" s="1"/>
    </row>
    <row r="11951">
      <c r="B11951" s="36"/>
      <c r="C11951" s="36"/>
      <c r="E11951" s="1"/>
      <c r="F11951" s="1"/>
      <c r="G11951" s="1"/>
    </row>
    <row r="11952">
      <c r="B11952" s="36"/>
      <c r="C11952" s="36"/>
      <c r="E11952" s="1"/>
      <c r="F11952" s="1"/>
      <c r="G11952" s="1"/>
    </row>
    <row r="11953">
      <c r="B11953" s="36"/>
      <c r="C11953" s="36"/>
      <c r="E11953" s="1"/>
      <c r="F11953" s="1"/>
      <c r="G11953" s="1"/>
    </row>
    <row r="11954">
      <c r="B11954" s="36"/>
      <c r="C11954" s="36"/>
      <c r="E11954" s="1"/>
      <c r="F11954" s="1"/>
      <c r="G11954" s="1"/>
    </row>
    <row r="11955">
      <c r="B11955" s="36"/>
      <c r="C11955" s="36"/>
      <c r="E11955" s="1"/>
      <c r="F11955" s="1"/>
      <c r="G11955" s="1"/>
    </row>
    <row r="11956">
      <c r="B11956" s="36"/>
      <c r="C11956" s="36"/>
      <c r="E11956" s="1"/>
      <c r="F11956" s="1"/>
      <c r="G11956" s="1"/>
    </row>
    <row r="11957">
      <c r="B11957" s="36"/>
      <c r="C11957" s="36"/>
      <c r="E11957" s="1"/>
      <c r="F11957" s="1"/>
      <c r="G11957" s="1"/>
    </row>
    <row r="11958">
      <c r="B11958" s="36"/>
      <c r="C11958" s="36"/>
      <c r="E11958" s="1"/>
      <c r="F11958" s="1"/>
      <c r="G11958" s="1"/>
    </row>
    <row r="11959">
      <c r="B11959" s="36"/>
      <c r="C11959" s="36"/>
      <c r="E11959" s="1"/>
      <c r="F11959" s="1"/>
      <c r="G11959" s="1"/>
    </row>
    <row r="11960">
      <c r="B11960" s="36"/>
      <c r="C11960" s="36"/>
      <c r="E11960" s="1"/>
      <c r="F11960" s="1"/>
      <c r="G11960" s="1"/>
    </row>
    <row r="11961">
      <c r="B11961" s="36"/>
      <c r="C11961" s="36"/>
      <c r="E11961" s="1"/>
      <c r="F11961" s="1"/>
      <c r="G11961" s="1"/>
    </row>
    <row r="11962">
      <c r="B11962" s="36"/>
      <c r="C11962" s="36"/>
      <c r="E11962" s="1"/>
      <c r="F11962" s="1"/>
      <c r="G11962" s="1"/>
    </row>
    <row r="11963">
      <c r="B11963" s="36"/>
      <c r="C11963" s="36"/>
      <c r="E11963" s="1"/>
      <c r="F11963" s="1"/>
      <c r="G11963" s="1"/>
    </row>
    <row r="11964">
      <c r="B11964" s="36"/>
      <c r="C11964" s="36"/>
      <c r="E11964" s="1"/>
      <c r="F11964" s="1"/>
      <c r="G11964" s="1"/>
    </row>
    <row r="11965">
      <c r="B11965" s="36"/>
      <c r="C11965" s="36"/>
      <c r="E11965" s="1"/>
      <c r="F11965" s="1"/>
      <c r="G11965" s="1"/>
    </row>
    <row r="11966">
      <c r="B11966" s="36"/>
      <c r="C11966" s="36"/>
      <c r="E11966" s="1"/>
      <c r="F11966" s="1"/>
      <c r="G11966" s="1"/>
    </row>
    <row r="11967">
      <c r="B11967" s="36"/>
      <c r="C11967" s="36"/>
      <c r="E11967" s="1"/>
      <c r="F11967" s="1"/>
      <c r="G11967" s="1"/>
    </row>
    <row r="11968">
      <c r="B11968" s="36"/>
      <c r="C11968" s="36"/>
      <c r="E11968" s="1"/>
      <c r="F11968" s="1"/>
      <c r="G11968" s="1"/>
    </row>
    <row r="11969">
      <c r="B11969" s="36"/>
      <c r="C11969" s="36"/>
      <c r="E11969" s="1"/>
      <c r="F11969" s="1"/>
      <c r="G11969" s="1"/>
    </row>
    <row r="11970">
      <c r="B11970" s="36"/>
      <c r="C11970" s="36"/>
      <c r="E11970" s="1"/>
      <c r="F11970" s="1"/>
      <c r="G11970" s="1"/>
    </row>
    <row r="11971">
      <c r="B11971" s="36"/>
      <c r="C11971" s="36"/>
      <c r="E11971" s="1"/>
      <c r="F11971" s="1"/>
      <c r="G11971" s="1"/>
    </row>
    <row r="11972">
      <c r="B11972" s="36"/>
      <c r="C11972" s="36"/>
      <c r="E11972" s="1"/>
      <c r="F11972" s="1"/>
      <c r="G11972" s="1"/>
    </row>
    <row r="11973">
      <c r="B11973" s="36"/>
      <c r="C11973" s="36"/>
      <c r="E11973" s="1"/>
      <c r="F11973" s="1"/>
      <c r="G11973" s="1"/>
    </row>
    <row r="11974">
      <c r="B11974" s="36"/>
      <c r="C11974" s="36"/>
      <c r="E11974" s="1"/>
      <c r="F11974" s="1"/>
      <c r="G11974" s="1"/>
    </row>
    <row r="11975">
      <c r="B11975" s="36"/>
      <c r="C11975" s="36"/>
      <c r="E11975" s="1"/>
      <c r="F11975" s="1"/>
      <c r="G11975" s="1"/>
    </row>
    <row r="11976">
      <c r="B11976" s="36"/>
      <c r="C11976" s="36"/>
      <c r="E11976" s="1"/>
      <c r="F11976" s="1"/>
      <c r="G11976" s="1"/>
    </row>
    <row r="11977">
      <c r="B11977" s="36"/>
      <c r="C11977" s="36"/>
      <c r="E11977" s="1"/>
      <c r="F11977" s="1"/>
      <c r="G11977" s="1"/>
    </row>
    <row r="11978">
      <c r="B11978" s="36"/>
      <c r="C11978" s="36"/>
      <c r="E11978" s="1"/>
      <c r="F11978" s="1"/>
      <c r="G11978" s="1"/>
    </row>
    <row r="11979">
      <c r="B11979" s="36"/>
      <c r="C11979" s="36"/>
      <c r="E11979" s="1"/>
      <c r="F11979" s="1"/>
      <c r="G11979" s="1"/>
    </row>
    <row r="11980">
      <c r="B11980" s="36"/>
      <c r="C11980" s="36"/>
      <c r="E11980" s="1"/>
      <c r="F11980" s="1"/>
      <c r="G11980" s="1"/>
    </row>
    <row r="11981">
      <c r="B11981" s="36"/>
      <c r="C11981" s="36"/>
      <c r="E11981" s="1"/>
      <c r="F11981" s="1"/>
      <c r="G11981" s="1"/>
    </row>
    <row r="11982">
      <c r="B11982" s="36"/>
      <c r="C11982" s="36"/>
      <c r="E11982" s="1"/>
      <c r="F11982" s="1"/>
      <c r="G11982" s="1"/>
    </row>
    <row r="11983">
      <c r="B11983" s="36"/>
      <c r="C11983" s="36"/>
      <c r="E11983" s="1"/>
      <c r="F11983" s="1"/>
      <c r="G11983" s="1"/>
    </row>
    <row r="11984">
      <c r="B11984" s="36"/>
      <c r="C11984" s="36"/>
      <c r="E11984" s="1"/>
      <c r="F11984" s="1"/>
      <c r="G11984" s="1"/>
    </row>
    <row r="11985">
      <c r="B11985" s="36"/>
      <c r="C11985" s="36"/>
      <c r="E11985" s="1"/>
      <c r="F11985" s="1"/>
      <c r="G11985" s="1"/>
    </row>
    <row r="11986">
      <c r="B11986" s="36"/>
      <c r="C11986" s="36"/>
      <c r="E11986" s="1"/>
      <c r="F11986" s="1"/>
      <c r="G11986" s="1"/>
    </row>
    <row r="11987">
      <c r="B11987" s="36"/>
      <c r="C11987" s="36"/>
      <c r="E11987" s="1"/>
      <c r="F11987" s="1"/>
      <c r="G11987" s="1"/>
    </row>
    <row r="11988">
      <c r="B11988" s="36"/>
      <c r="C11988" s="36"/>
      <c r="E11988" s="1"/>
      <c r="F11988" s="1"/>
      <c r="G11988" s="1"/>
    </row>
    <row r="11989">
      <c r="B11989" s="36"/>
      <c r="C11989" s="36"/>
      <c r="E11989" s="1"/>
      <c r="F11989" s="1"/>
      <c r="G11989" s="1"/>
    </row>
    <row r="11990">
      <c r="B11990" s="36"/>
      <c r="C11990" s="36"/>
      <c r="E11990" s="1"/>
      <c r="F11990" s="1"/>
      <c r="G11990" s="1"/>
    </row>
    <row r="11991">
      <c r="B11991" s="36"/>
      <c r="C11991" s="36"/>
      <c r="E11991" s="1"/>
      <c r="F11991" s="1"/>
      <c r="G11991" s="1"/>
    </row>
    <row r="11992">
      <c r="B11992" s="36"/>
      <c r="C11992" s="36"/>
      <c r="E11992" s="1"/>
      <c r="F11992" s="1"/>
      <c r="G11992" s="1"/>
    </row>
    <row r="11993">
      <c r="B11993" s="36"/>
      <c r="C11993" s="36"/>
      <c r="E11993" s="1"/>
      <c r="F11993" s="1"/>
      <c r="G11993" s="1"/>
    </row>
    <row r="11994">
      <c r="B11994" s="36"/>
      <c r="C11994" s="36"/>
      <c r="E11994" s="1"/>
      <c r="F11994" s="1"/>
      <c r="G11994" s="1"/>
    </row>
    <row r="11995">
      <c r="B11995" s="36"/>
      <c r="C11995" s="36"/>
      <c r="E11995" s="1"/>
      <c r="F11995" s="1"/>
      <c r="G11995" s="1"/>
    </row>
    <row r="11996">
      <c r="B11996" s="36"/>
      <c r="C11996" s="36"/>
      <c r="E11996" s="1"/>
      <c r="F11996" s="1"/>
      <c r="G11996" s="1"/>
    </row>
    <row r="11997">
      <c r="B11997" s="36"/>
      <c r="C11997" s="36"/>
      <c r="E11997" s="1"/>
      <c r="F11997" s="1"/>
      <c r="G11997" s="1"/>
    </row>
    <row r="11998">
      <c r="B11998" s="36"/>
      <c r="C11998" s="36"/>
      <c r="E11998" s="1"/>
      <c r="F11998" s="1"/>
      <c r="G11998" s="1"/>
    </row>
    <row r="11999">
      <c r="B11999" s="36"/>
      <c r="C11999" s="36"/>
      <c r="E11999" s="1"/>
      <c r="F11999" s="1"/>
      <c r="G11999" s="1"/>
    </row>
    <row r="12000">
      <c r="B12000" s="36"/>
      <c r="C12000" s="36"/>
      <c r="E12000" s="1"/>
      <c r="F12000" s="1"/>
      <c r="G12000" s="1"/>
    </row>
    <row r="12001">
      <c r="B12001" s="36"/>
      <c r="C12001" s="36"/>
      <c r="E12001" s="1"/>
      <c r="F12001" s="1"/>
      <c r="G12001" s="1"/>
    </row>
    <row r="12002">
      <c r="B12002" s="36"/>
      <c r="C12002" s="36"/>
      <c r="E12002" s="1"/>
      <c r="F12002" s="1"/>
      <c r="G12002" s="1"/>
    </row>
    <row r="12003">
      <c r="B12003" s="36"/>
      <c r="C12003" s="36"/>
      <c r="E12003" s="1"/>
      <c r="F12003" s="1"/>
      <c r="G12003" s="1"/>
    </row>
    <row r="12004">
      <c r="B12004" s="36"/>
      <c r="C12004" s="36"/>
      <c r="E12004" s="1"/>
      <c r="F12004" s="1"/>
      <c r="G12004" s="1"/>
    </row>
    <row r="12005">
      <c r="B12005" s="36"/>
      <c r="C12005" s="36"/>
      <c r="E12005" s="1"/>
      <c r="F12005" s="1"/>
      <c r="G12005" s="1"/>
    </row>
    <row r="12006">
      <c r="B12006" s="36"/>
      <c r="C12006" s="36"/>
      <c r="E12006" s="1"/>
      <c r="F12006" s="1"/>
      <c r="G12006" s="1"/>
    </row>
    <row r="12007">
      <c r="B12007" s="36"/>
      <c r="C12007" s="36"/>
      <c r="E12007" s="1"/>
      <c r="F12007" s="1"/>
      <c r="G12007" s="1"/>
    </row>
    <row r="12008">
      <c r="B12008" s="36"/>
      <c r="C12008" s="36"/>
      <c r="E12008" s="1"/>
      <c r="F12008" s="1"/>
      <c r="G12008" s="1"/>
    </row>
    <row r="12009">
      <c r="B12009" s="36"/>
      <c r="C12009" s="36"/>
      <c r="E12009" s="1"/>
      <c r="F12009" s="1"/>
      <c r="G12009" s="1"/>
    </row>
    <row r="12010">
      <c r="B12010" s="36"/>
      <c r="C12010" s="36"/>
      <c r="E12010" s="1"/>
      <c r="F12010" s="1"/>
      <c r="G12010" s="1"/>
    </row>
    <row r="12011">
      <c r="B12011" s="36"/>
      <c r="C12011" s="36"/>
      <c r="E12011" s="1"/>
      <c r="F12011" s="1"/>
      <c r="G12011" s="1"/>
    </row>
    <row r="12012">
      <c r="B12012" s="36"/>
      <c r="C12012" s="36"/>
      <c r="E12012" s="1"/>
      <c r="F12012" s="1"/>
      <c r="G12012" s="1"/>
    </row>
    <row r="12013">
      <c r="B12013" s="36"/>
      <c r="C12013" s="36"/>
      <c r="E12013" s="1"/>
      <c r="F12013" s="1"/>
      <c r="G12013" s="1"/>
    </row>
    <row r="12014">
      <c r="B12014" s="36"/>
      <c r="C12014" s="36"/>
      <c r="E12014" s="1"/>
      <c r="F12014" s="1"/>
      <c r="G12014" s="1"/>
    </row>
    <row r="12015">
      <c r="B12015" s="36"/>
      <c r="C12015" s="36"/>
      <c r="E12015" s="1"/>
      <c r="F12015" s="1"/>
      <c r="G12015" s="1"/>
    </row>
    <row r="12016">
      <c r="B12016" s="36"/>
      <c r="C12016" s="36"/>
      <c r="E12016" s="1"/>
      <c r="F12016" s="1"/>
      <c r="G12016" s="1"/>
    </row>
    <row r="12017">
      <c r="B12017" s="36"/>
      <c r="C12017" s="36"/>
      <c r="E12017" s="1"/>
      <c r="F12017" s="1"/>
      <c r="G12017" s="1"/>
    </row>
    <row r="12018">
      <c r="B12018" s="36"/>
      <c r="C12018" s="36"/>
      <c r="E12018" s="1"/>
      <c r="F12018" s="1"/>
      <c r="G12018" s="1"/>
    </row>
    <row r="12019">
      <c r="B12019" s="36"/>
      <c r="C12019" s="36"/>
      <c r="E12019" s="1"/>
      <c r="F12019" s="1"/>
      <c r="G12019" s="1"/>
    </row>
    <row r="12020">
      <c r="B12020" s="36"/>
      <c r="C12020" s="36"/>
      <c r="E12020" s="1"/>
      <c r="F12020" s="1"/>
      <c r="G12020" s="1"/>
    </row>
    <row r="12021">
      <c r="B12021" s="36"/>
      <c r="C12021" s="36"/>
      <c r="E12021" s="1"/>
      <c r="F12021" s="1"/>
      <c r="G12021" s="1"/>
    </row>
    <row r="12022">
      <c r="B12022" s="36"/>
      <c r="C12022" s="36"/>
      <c r="E12022" s="1"/>
      <c r="F12022" s="1"/>
      <c r="G12022" s="1"/>
    </row>
    <row r="12023">
      <c r="B12023" s="36"/>
      <c r="C12023" s="36"/>
      <c r="E12023" s="1"/>
      <c r="F12023" s="1"/>
      <c r="G12023" s="1"/>
    </row>
    <row r="12024">
      <c r="B12024" s="36"/>
      <c r="C12024" s="36"/>
      <c r="E12024" s="1"/>
      <c r="F12024" s="1"/>
      <c r="G12024" s="1"/>
    </row>
    <row r="12025">
      <c r="B12025" s="36"/>
      <c r="C12025" s="36"/>
      <c r="E12025" s="1"/>
      <c r="F12025" s="1"/>
      <c r="G12025" s="1"/>
    </row>
    <row r="12026">
      <c r="B12026" s="36"/>
      <c r="C12026" s="36"/>
      <c r="E12026" s="1"/>
      <c r="F12026" s="1"/>
      <c r="G12026" s="1"/>
    </row>
    <row r="12027">
      <c r="B12027" s="36"/>
      <c r="C12027" s="36"/>
      <c r="E12027" s="1"/>
      <c r="F12027" s="1"/>
      <c r="G12027" s="1"/>
    </row>
    <row r="12028">
      <c r="B12028" s="36"/>
      <c r="C12028" s="36"/>
      <c r="E12028" s="1"/>
      <c r="F12028" s="1"/>
      <c r="G12028" s="1"/>
    </row>
    <row r="12029">
      <c r="B12029" s="36"/>
      <c r="C12029" s="36"/>
      <c r="E12029" s="1"/>
      <c r="F12029" s="1"/>
      <c r="G12029" s="1"/>
    </row>
    <row r="12030">
      <c r="B12030" s="36"/>
      <c r="C12030" s="36"/>
      <c r="E12030" s="1"/>
      <c r="F12030" s="1"/>
      <c r="G12030" s="1"/>
    </row>
    <row r="12031">
      <c r="B12031" s="36"/>
      <c r="C12031" s="36"/>
      <c r="E12031" s="1"/>
      <c r="F12031" s="1"/>
      <c r="G12031" s="1"/>
    </row>
    <row r="12032">
      <c r="B12032" s="36"/>
      <c r="C12032" s="36"/>
      <c r="E12032" s="1"/>
      <c r="F12032" s="1"/>
      <c r="G12032" s="1"/>
    </row>
    <row r="12033">
      <c r="B12033" s="36"/>
      <c r="C12033" s="36"/>
      <c r="E12033" s="1"/>
      <c r="F12033" s="1"/>
      <c r="G12033" s="1"/>
    </row>
    <row r="12034">
      <c r="B12034" s="36"/>
      <c r="C12034" s="36"/>
      <c r="E12034" s="1"/>
      <c r="F12034" s="1"/>
      <c r="G12034" s="1"/>
    </row>
    <row r="12035">
      <c r="B12035" s="36"/>
      <c r="C12035" s="36"/>
      <c r="E12035" s="1"/>
      <c r="F12035" s="1"/>
      <c r="G12035" s="1"/>
    </row>
    <row r="12036">
      <c r="B12036" s="36"/>
      <c r="C12036" s="36"/>
      <c r="E12036" s="1"/>
      <c r="F12036" s="1"/>
      <c r="G12036" s="1"/>
    </row>
    <row r="12037">
      <c r="B12037" s="36"/>
      <c r="C12037" s="36"/>
      <c r="E12037" s="1"/>
      <c r="F12037" s="1"/>
      <c r="G12037" s="1"/>
    </row>
    <row r="12038">
      <c r="B12038" s="36"/>
      <c r="C12038" s="36"/>
      <c r="E12038" s="1"/>
      <c r="F12038" s="1"/>
      <c r="G12038" s="1"/>
    </row>
    <row r="12039">
      <c r="B12039" s="36"/>
      <c r="C12039" s="36"/>
      <c r="E12039" s="1"/>
      <c r="F12039" s="1"/>
      <c r="G12039" s="1"/>
    </row>
    <row r="12040">
      <c r="B12040" s="36"/>
      <c r="C12040" s="36"/>
      <c r="E12040" s="1"/>
      <c r="F12040" s="1"/>
      <c r="G12040" s="1"/>
    </row>
    <row r="12041">
      <c r="B12041" s="36"/>
      <c r="C12041" s="36"/>
      <c r="E12041" s="1"/>
      <c r="F12041" s="1"/>
      <c r="G12041" s="1"/>
    </row>
    <row r="12042">
      <c r="B12042" s="36"/>
      <c r="C12042" s="36"/>
      <c r="E12042" s="1"/>
      <c r="F12042" s="1"/>
      <c r="G12042" s="1"/>
    </row>
    <row r="12043">
      <c r="B12043" s="36"/>
      <c r="C12043" s="36"/>
      <c r="E12043" s="1"/>
      <c r="F12043" s="1"/>
      <c r="G12043" s="1"/>
    </row>
    <row r="12044">
      <c r="B12044" s="36"/>
      <c r="C12044" s="36"/>
      <c r="E12044" s="1"/>
      <c r="F12044" s="1"/>
      <c r="G12044" s="1"/>
    </row>
    <row r="12045">
      <c r="B12045" s="36"/>
      <c r="C12045" s="36"/>
      <c r="E12045" s="1"/>
      <c r="F12045" s="1"/>
      <c r="G12045" s="1"/>
    </row>
    <row r="12046">
      <c r="B12046" s="36"/>
      <c r="C12046" s="36"/>
      <c r="E12046" s="1"/>
      <c r="F12046" s="1"/>
      <c r="G12046" s="1"/>
    </row>
    <row r="12047">
      <c r="B12047" s="36"/>
      <c r="C12047" s="36"/>
      <c r="E12047" s="1"/>
      <c r="F12047" s="1"/>
      <c r="G12047" s="1"/>
    </row>
    <row r="12048">
      <c r="B12048" s="36"/>
      <c r="C12048" s="36"/>
      <c r="E12048" s="1"/>
      <c r="F12048" s="1"/>
      <c r="G12048" s="1"/>
    </row>
    <row r="12049">
      <c r="B12049" s="36"/>
      <c r="C12049" s="36"/>
      <c r="E12049" s="1"/>
      <c r="F12049" s="1"/>
      <c r="G12049" s="1"/>
    </row>
    <row r="12050">
      <c r="B12050" s="36"/>
      <c r="C12050" s="36"/>
      <c r="E12050" s="1"/>
      <c r="F12050" s="1"/>
      <c r="G12050" s="1"/>
    </row>
    <row r="12051">
      <c r="B12051" s="36"/>
      <c r="C12051" s="36"/>
      <c r="E12051" s="1"/>
      <c r="F12051" s="1"/>
      <c r="G12051" s="1"/>
    </row>
    <row r="12052">
      <c r="B12052" s="36"/>
      <c r="C12052" s="36"/>
      <c r="E12052" s="1"/>
      <c r="F12052" s="1"/>
      <c r="G12052" s="1"/>
    </row>
    <row r="12053">
      <c r="B12053" s="36"/>
      <c r="C12053" s="36"/>
      <c r="E12053" s="1"/>
      <c r="F12053" s="1"/>
      <c r="G12053" s="1"/>
    </row>
    <row r="12054">
      <c r="B12054" s="36"/>
      <c r="C12054" s="36"/>
      <c r="E12054" s="1"/>
      <c r="F12054" s="1"/>
      <c r="G12054" s="1"/>
    </row>
    <row r="12055">
      <c r="B12055" s="36"/>
      <c r="C12055" s="36"/>
      <c r="E12055" s="1"/>
      <c r="F12055" s="1"/>
      <c r="G12055" s="1"/>
    </row>
    <row r="12056">
      <c r="B12056" s="36"/>
      <c r="C12056" s="36"/>
      <c r="E12056" s="1"/>
      <c r="F12056" s="1"/>
      <c r="G12056" s="1"/>
    </row>
    <row r="12057">
      <c r="B12057" s="36"/>
      <c r="C12057" s="36"/>
      <c r="E12057" s="1"/>
      <c r="F12057" s="1"/>
      <c r="G12057" s="1"/>
    </row>
    <row r="12058">
      <c r="B12058" s="36"/>
      <c r="C12058" s="36"/>
      <c r="E12058" s="1"/>
      <c r="F12058" s="1"/>
      <c r="G12058" s="1"/>
    </row>
    <row r="12059">
      <c r="B12059" s="36"/>
      <c r="C12059" s="36"/>
      <c r="E12059" s="1"/>
      <c r="F12059" s="1"/>
      <c r="G12059" s="1"/>
    </row>
    <row r="12060">
      <c r="B12060" s="36"/>
      <c r="C12060" s="36"/>
      <c r="E12060" s="1"/>
      <c r="F12060" s="1"/>
      <c r="G12060" s="1"/>
    </row>
    <row r="12061">
      <c r="B12061" s="36"/>
      <c r="C12061" s="36"/>
      <c r="E12061" s="1"/>
      <c r="F12061" s="1"/>
      <c r="G12061" s="1"/>
    </row>
    <row r="12062">
      <c r="B12062" s="36"/>
      <c r="C12062" s="36"/>
      <c r="E12062" s="1"/>
      <c r="F12062" s="1"/>
      <c r="G12062" s="1"/>
    </row>
    <row r="12063">
      <c r="B12063" s="36"/>
      <c r="C12063" s="36"/>
      <c r="E12063" s="1"/>
      <c r="F12063" s="1"/>
      <c r="G12063" s="1"/>
    </row>
    <row r="12064">
      <c r="B12064" s="36"/>
      <c r="C12064" s="36"/>
      <c r="E12064" s="1"/>
      <c r="F12064" s="1"/>
      <c r="G12064" s="1"/>
    </row>
    <row r="12065">
      <c r="B12065" s="36"/>
      <c r="C12065" s="36"/>
      <c r="E12065" s="1"/>
      <c r="F12065" s="1"/>
      <c r="G12065" s="1"/>
    </row>
    <row r="12066">
      <c r="B12066" s="36"/>
      <c r="C12066" s="36"/>
      <c r="E12066" s="1"/>
      <c r="F12066" s="1"/>
      <c r="G12066" s="1"/>
    </row>
    <row r="12067">
      <c r="B12067" s="36"/>
      <c r="C12067" s="36"/>
      <c r="E12067" s="1"/>
      <c r="F12067" s="1"/>
      <c r="G12067" s="1"/>
    </row>
    <row r="12068">
      <c r="B12068" s="36"/>
      <c r="C12068" s="36"/>
      <c r="E12068" s="1"/>
      <c r="F12068" s="1"/>
      <c r="G12068" s="1"/>
    </row>
    <row r="12069">
      <c r="B12069" s="36"/>
      <c r="C12069" s="36"/>
      <c r="E12069" s="1"/>
      <c r="F12069" s="1"/>
      <c r="G12069" s="1"/>
    </row>
    <row r="12070">
      <c r="B12070" s="36"/>
      <c r="C12070" s="36"/>
      <c r="E12070" s="1"/>
      <c r="F12070" s="1"/>
      <c r="G12070" s="1"/>
    </row>
    <row r="12071">
      <c r="B12071" s="36"/>
      <c r="C12071" s="36"/>
      <c r="E12071" s="1"/>
      <c r="F12071" s="1"/>
      <c r="G12071" s="1"/>
    </row>
    <row r="12072">
      <c r="B12072" s="36"/>
      <c r="C12072" s="36"/>
      <c r="E12072" s="1"/>
      <c r="F12072" s="1"/>
      <c r="G12072" s="1"/>
    </row>
    <row r="12073">
      <c r="B12073" s="36"/>
      <c r="C12073" s="36"/>
      <c r="E12073" s="1"/>
      <c r="F12073" s="1"/>
      <c r="G12073" s="1"/>
    </row>
    <row r="12074">
      <c r="B12074" s="36"/>
      <c r="C12074" s="36"/>
      <c r="E12074" s="1"/>
      <c r="F12074" s="1"/>
      <c r="G12074" s="1"/>
    </row>
    <row r="12075">
      <c r="B12075" s="36"/>
      <c r="C12075" s="36"/>
      <c r="E12075" s="1"/>
      <c r="F12075" s="1"/>
      <c r="G12075" s="1"/>
    </row>
    <row r="12076">
      <c r="B12076" s="36"/>
      <c r="C12076" s="36"/>
      <c r="E12076" s="1"/>
      <c r="F12076" s="1"/>
      <c r="G12076" s="1"/>
    </row>
    <row r="12077">
      <c r="B12077" s="36"/>
      <c r="C12077" s="36"/>
      <c r="E12077" s="1"/>
      <c r="F12077" s="1"/>
      <c r="G12077" s="1"/>
    </row>
    <row r="12078">
      <c r="B12078" s="36"/>
      <c r="C12078" s="36"/>
      <c r="E12078" s="1"/>
      <c r="F12078" s="1"/>
      <c r="G12078" s="1"/>
    </row>
    <row r="12079">
      <c r="B12079" s="36"/>
      <c r="C12079" s="36"/>
      <c r="E12079" s="1"/>
      <c r="F12079" s="1"/>
      <c r="G12079" s="1"/>
    </row>
    <row r="12080">
      <c r="B12080" s="36"/>
      <c r="C12080" s="36"/>
      <c r="E12080" s="1"/>
      <c r="F12080" s="1"/>
      <c r="G12080" s="1"/>
    </row>
    <row r="12081">
      <c r="B12081" s="36"/>
      <c r="C12081" s="36"/>
      <c r="E12081" s="1"/>
      <c r="F12081" s="1"/>
      <c r="G12081" s="1"/>
    </row>
    <row r="12082">
      <c r="B12082" s="36"/>
      <c r="C12082" s="36"/>
      <c r="E12082" s="1"/>
      <c r="F12082" s="1"/>
      <c r="G12082" s="1"/>
    </row>
    <row r="12083">
      <c r="B12083" s="36"/>
      <c r="C12083" s="36"/>
      <c r="E12083" s="1"/>
      <c r="F12083" s="1"/>
      <c r="G12083" s="1"/>
    </row>
    <row r="12084">
      <c r="B12084" s="36"/>
      <c r="C12084" s="36"/>
      <c r="E12084" s="1"/>
      <c r="F12084" s="1"/>
      <c r="G12084" s="1"/>
    </row>
    <row r="12085">
      <c r="B12085" s="36"/>
      <c r="C12085" s="36"/>
      <c r="E12085" s="1"/>
      <c r="F12085" s="1"/>
      <c r="G12085" s="1"/>
    </row>
    <row r="12086">
      <c r="B12086" s="36"/>
      <c r="C12086" s="36"/>
      <c r="E12086" s="1"/>
      <c r="F12086" s="1"/>
      <c r="G12086" s="1"/>
    </row>
    <row r="12087">
      <c r="B12087" s="36"/>
      <c r="C12087" s="36"/>
      <c r="E12087" s="1"/>
      <c r="F12087" s="1"/>
      <c r="G12087" s="1"/>
    </row>
    <row r="12088">
      <c r="B12088" s="36"/>
      <c r="C12088" s="36"/>
      <c r="E12088" s="1"/>
      <c r="F12088" s="1"/>
      <c r="G12088" s="1"/>
    </row>
    <row r="12089">
      <c r="B12089" s="36"/>
      <c r="C12089" s="36"/>
      <c r="E12089" s="1"/>
      <c r="F12089" s="1"/>
      <c r="G12089" s="1"/>
    </row>
    <row r="12090">
      <c r="B12090" s="36"/>
      <c r="C12090" s="36"/>
      <c r="E12090" s="1"/>
      <c r="F12090" s="1"/>
      <c r="G12090" s="1"/>
    </row>
    <row r="12091">
      <c r="B12091" s="36"/>
      <c r="C12091" s="36"/>
      <c r="E12091" s="1"/>
      <c r="F12091" s="1"/>
      <c r="G12091" s="1"/>
    </row>
    <row r="12092">
      <c r="B12092" s="36"/>
      <c r="C12092" s="36"/>
      <c r="E12092" s="1"/>
      <c r="F12092" s="1"/>
      <c r="G12092" s="1"/>
    </row>
    <row r="12093">
      <c r="B12093" s="36"/>
      <c r="C12093" s="36"/>
      <c r="E12093" s="1"/>
      <c r="F12093" s="1"/>
      <c r="G12093" s="1"/>
    </row>
    <row r="12094">
      <c r="B12094" s="36"/>
      <c r="C12094" s="36"/>
      <c r="E12094" s="1"/>
      <c r="F12094" s="1"/>
      <c r="G12094" s="1"/>
    </row>
    <row r="12095">
      <c r="B12095" s="36"/>
      <c r="C12095" s="36"/>
      <c r="E12095" s="1"/>
      <c r="F12095" s="1"/>
      <c r="G12095" s="1"/>
    </row>
    <row r="12096">
      <c r="B12096" s="36"/>
      <c r="C12096" s="36"/>
      <c r="E12096" s="1"/>
      <c r="F12096" s="1"/>
      <c r="G12096" s="1"/>
    </row>
    <row r="12097">
      <c r="B12097" s="36"/>
      <c r="C12097" s="36"/>
      <c r="E12097" s="1"/>
      <c r="F12097" s="1"/>
      <c r="G12097" s="1"/>
    </row>
    <row r="12098">
      <c r="B12098" s="36"/>
      <c r="C12098" s="36"/>
      <c r="E12098" s="1"/>
      <c r="F12098" s="1"/>
      <c r="G12098" s="1"/>
    </row>
    <row r="12099">
      <c r="B12099" s="36"/>
      <c r="C12099" s="36"/>
      <c r="E12099" s="1"/>
      <c r="F12099" s="1"/>
      <c r="G12099" s="1"/>
    </row>
    <row r="12100">
      <c r="B12100" s="36"/>
      <c r="C12100" s="36"/>
      <c r="E12100" s="1"/>
      <c r="F12100" s="1"/>
      <c r="G12100" s="1"/>
    </row>
    <row r="12101">
      <c r="B12101" s="36"/>
      <c r="C12101" s="36"/>
      <c r="E12101" s="1"/>
      <c r="F12101" s="1"/>
      <c r="G12101" s="1"/>
    </row>
    <row r="12102">
      <c r="B12102" s="36"/>
      <c r="C12102" s="36"/>
      <c r="E12102" s="1"/>
      <c r="F12102" s="1"/>
      <c r="G12102" s="1"/>
    </row>
    <row r="12103">
      <c r="B12103" s="36"/>
      <c r="C12103" s="36"/>
      <c r="E12103" s="1"/>
      <c r="F12103" s="1"/>
      <c r="G12103" s="1"/>
    </row>
    <row r="12104">
      <c r="B12104" s="36"/>
      <c r="C12104" s="36"/>
      <c r="E12104" s="1"/>
      <c r="F12104" s="1"/>
      <c r="G12104" s="1"/>
    </row>
    <row r="12105">
      <c r="B12105" s="36"/>
      <c r="C12105" s="36"/>
      <c r="E12105" s="1"/>
      <c r="F12105" s="1"/>
      <c r="G12105" s="1"/>
    </row>
    <row r="12106">
      <c r="B12106" s="36"/>
      <c r="C12106" s="36"/>
      <c r="E12106" s="1"/>
      <c r="F12106" s="1"/>
      <c r="G12106" s="1"/>
    </row>
    <row r="12107">
      <c r="B12107" s="36"/>
      <c r="C12107" s="36"/>
      <c r="E12107" s="1"/>
      <c r="F12107" s="1"/>
      <c r="G12107" s="1"/>
    </row>
    <row r="12108">
      <c r="B12108" s="36"/>
      <c r="C12108" s="36"/>
      <c r="E12108" s="1"/>
      <c r="F12108" s="1"/>
      <c r="G12108" s="1"/>
    </row>
    <row r="12109">
      <c r="B12109" s="36"/>
      <c r="C12109" s="36"/>
      <c r="E12109" s="1"/>
      <c r="F12109" s="1"/>
      <c r="G12109" s="1"/>
    </row>
    <row r="12110">
      <c r="B12110" s="36"/>
      <c r="C12110" s="36"/>
      <c r="E12110" s="1"/>
      <c r="F12110" s="1"/>
      <c r="G12110" s="1"/>
    </row>
    <row r="12111">
      <c r="B12111" s="36"/>
      <c r="C12111" s="36"/>
      <c r="E12111" s="1"/>
      <c r="F12111" s="1"/>
      <c r="G12111" s="1"/>
    </row>
    <row r="12112">
      <c r="B12112" s="36"/>
      <c r="C12112" s="36"/>
      <c r="E12112" s="1"/>
      <c r="F12112" s="1"/>
      <c r="G12112" s="1"/>
    </row>
    <row r="12113">
      <c r="B12113" s="36"/>
      <c r="C12113" s="36"/>
      <c r="E12113" s="1"/>
      <c r="F12113" s="1"/>
      <c r="G12113" s="1"/>
    </row>
    <row r="12114">
      <c r="B12114" s="36"/>
      <c r="C12114" s="36"/>
      <c r="E12114" s="1"/>
      <c r="F12114" s="1"/>
      <c r="G12114" s="1"/>
    </row>
    <row r="12115">
      <c r="B12115" s="36"/>
      <c r="C12115" s="36"/>
      <c r="E12115" s="1"/>
      <c r="F12115" s="1"/>
      <c r="G12115" s="1"/>
    </row>
    <row r="12116">
      <c r="B12116" s="36"/>
      <c r="C12116" s="36"/>
      <c r="E12116" s="1"/>
      <c r="F12116" s="1"/>
      <c r="G12116" s="1"/>
    </row>
    <row r="12117">
      <c r="B12117" s="36"/>
      <c r="C12117" s="36"/>
      <c r="E12117" s="1"/>
      <c r="F12117" s="1"/>
      <c r="G12117" s="1"/>
    </row>
    <row r="12118">
      <c r="B12118" s="36"/>
      <c r="C12118" s="36"/>
      <c r="E12118" s="1"/>
      <c r="F12118" s="1"/>
      <c r="G12118" s="1"/>
    </row>
    <row r="12119">
      <c r="B12119" s="36"/>
      <c r="C12119" s="36"/>
      <c r="E12119" s="1"/>
      <c r="F12119" s="1"/>
      <c r="G12119" s="1"/>
    </row>
    <row r="12120">
      <c r="B12120" s="36"/>
      <c r="C12120" s="36"/>
      <c r="E12120" s="1"/>
      <c r="F12120" s="1"/>
      <c r="G12120" s="1"/>
    </row>
    <row r="12121">
      <c r="B12121" s="36"/>
      <c r="C12121" s="36"/>
      <c r="E12121" s="1"/>
      <c r="F12121" s="1"/>
      <c r="G12121" s="1"/>
    </row>
    <row r="12122">
      <c r="B12122" s="36"/>
      <c r="C12122" s="36"/>
      <c r="E12122" s="1"/>
      <c r="F12122" s="1"/>
      <c r="G12122" s="1"/>
    </row>
    <row r="12123">
      <c r="B12123" s="36"/>
      <c r="C12123" s="36"/>
      <c r="E12123" s="1"/>
      <c r="F12123" s="1"/>
      <c r="G12123" s="1"/>
    </row>
    <row r="12124">
      <c r="B12124" s="36"/>
      <c r="C12124" s="36"/>
      <c r="E12124" s="1"/>
      <c r="F12124" s="1"/>
      <c r="G12124" s="1"/>
    </row>
    <row r="12125">
      <c r="B12125" s="36"/>
      <c r="C12125" s="36"/>
      <c r="E12125" s="1"/>
      <c r="F12125" s="1"/>
      <c r="G12125" s="1"/>
    </row>
    <row r="12126">
      <c r="B12126" s="36"/>
      <c r="C12126" s="36"/>
      <c r="E12126" s="1"/>
      <c r="F12126" s="1"/>
      <c r="G12126" s="1"/>
    </row>
    <row r="12127">
      <c r="B12127" s="36"/>
      <c r="C12127" s="36"/>
      <c r="E12127" s="1"/>
      <c r="F12127" s="1"/>
      <c r="G12127" s="1"/>
    </row>
    <row r="12128">
      <c r="B12128" s="36"/>
      <c r="C12128" s="36"/>
      <c r="E12128" s="1"/>
      <c r="F12128" s="1"/>
      <c r="G12128" s="1"/>
    </row>
    <row r="12129">
      <c r="B12129" s="36"/>
      <c r="C12129" s="36"/>
      <c r="E12129" s="1"/>
      <c r="F12129" s="1"/>
      <c r="G12129" s="1"/>
    </row>
    <row r="12130">
      <c r="B12130" s="36"/>
      <c r="C12130" s="36"/>
      <c r="E12130" s="1"/>
      <c r="F12130" s="1"/>
      <c r="G12130" s="1"/>
    </row>
    <row r="12131">
      <c r="B12131" s="36"/>
      <c r="C12131" s="36"/>
      <c r="E12131" s="1"/>
      <c r="F12131" s="1"/>
      <c r="G12131" s="1"/>
    </row>
    <row r="12132">
      <c r="B12132" s="36"/>
      <c r="C12132" s="36"/>
      <c r="E12132" s="1"/>
      <c r="F12132" s="1"/>
      <c r="G12132" s="1"/>
    </row>
    <row r="12133">
      <c r="B12133" s="36"/>
      <c r="C12133" s="36"/>
      <c r="E12133" s="1"/>
      <c r="F12133" s="1"/>
      <c r="G12133" s="1"/>
    </row>
    <row r="12134">
      <c r="B12134" s="36"/>
      <c r="C12134" s="36"/>
      <c r="E12134" s="1"/>
      <c r="F12134" s="1"/>
      <c r="G12134" s="1"/>
    </row>
    <row r="12135">
      <c r="B12135" s="36"/>
      <c r="C12135" s="36"/>
      <c r="E12135" s="1"/>
      <c r="F12135" s="1"/>
      <c r="G12135" s="1"/>
    </row>
    <row r="12136">
      <c r="B12136" s="36"/>
      <c r="C12136" s="36"/>
      <c r="E12136" s="1"/>
      <c r="F12136" s="1"/>
      <c r="G12136" s="1"/>
    </row>
    <row r="12137">
      <c r="B12137" s="36"/>
      <c r="C12137" s="36"/>
      <c r="E12137" s="1"/>
      <c r="F12137" s="1"/>
      <c r="G12137" s="1"/>
    </row>
    <row r="12138">
      <c r="B12138" s="36"/>
      <c r="C12138" s="36"/>
      <c r="E12138" s="1"/>
      <c r="F12138" s="1"/>
      <c r="G12138" s="1"/>
    </row>
    <row r="12139">
      <c r="B12139" s="36"/>
      <c r="C12139" s="36"/>
      <c r="E12139" s="1"/>
      <c r="F12139" s="1"/>
      <c r="G12139" s="1"/>
    </row>
    <row r="12140">
      <c r="B12140" s="36"/>
      <c r="C12140" s="36"/>
      <c r="E12140" s="1"/>
      <c r="F12140" s="1"/>
      <c r="G12140" s="1"/>
    </row>
    <row r="12141">
      <c r="B12141" s="36"/>
      <c r="C12141" s="36"/>
      <c r="E12141" s="1"/>
      <c r="F12141" s="1"/>
      <c r="G12141" s="1"/>
    </row>
    <row r="12142">
      <c r="B12142" s="36"/>
      <c r="C12142" s="36"/>
      <c r="E12142" s="1"/>
      <c r="F12142" s="1"/>
      <c r="G12142" s="1"/>
    </row>
    <row r="12143">
      <c r="B12143" s="36"/>
      <c r="C12143" s="36"/>
      <c r="E12143" s="1"/>
      <c r="F12143" s="1"/>
      <c r="G12143" s="1"/>
    </row>
    <row r="12144">
      <c r="B12144" s="36"/>
      <c r="C12144" s="36"/>
      <c r="E12144" s="1"/>
      <c r="F12144" s="1"/>
      <c r="G12144" s="1"/>
    </row>
    <row r="12145">
      <c r="B12145" s="36"/>
      <c r="C12145" s="36"/>
      <c r="E12145" s="1"/>
      <c r="F12145" s="1"/>
      <c r="G12145" s="1"/>
    </row>
    <row r="12146">
      <c r="B12146" s="36"/>
      <c r="C12146" s="36"/>
      <c r="E12146" s="1"/>
      <c r="F12146" s="1"/>
      <c r="G12146" s="1"/>
    </row>
    <row r="12147">
      <c r="B12147" s="36"/>
      <c r="C12147" s="36"/>
      <c r="E12147" s="1"/>
      <c r="F12147" s="1"/>
      <c r="G12147" s="1"/>
    </row>
    <row r="12148">
      <c r="B12148" s="36"/>
      <c r="C12148" s="36"/>
      <c r="E12148" s="1"/>
      <c r="F12148" s="1"/>
      <c r="G12148" s="1"/>
    </row>
    <row r="12149">
      <c r="B12149" s="36"/>
      <c r="C12149" s="36"/>
      <c r="E12149" s="1"/>
      <c r="F12149" s="1"/>
      <c r="G12149" s="1"/>
    </row>
    <row r="12150">
      <c r="B12150" s="36"/>
      <c r="C12150" s="36"/>
      <c r="E12150" s="1"/>
      <c r="F12150" s="1"/>
      <c r="G12150" s="1"/>
    </row>
    <row r="12151">
      <c r="B12151" s="36"/>
      <c r="C12151" s="36"/>
      <c r="E12151" s="1"/>
      <c r="F12151" s="1"/>
      <c r="G12151" s="1"/>
    </row>
    <row r="12152">
      <c r="B12152" s="36"/>
      <c r="C12152" s="36"/>
      <c r="E12152" s="1"/>
      <c r="F12152" s="1"/>
      <c r="G12152" s="1"/>
    </row>
    <row r="12153">
      <c r="B12153" s="36"/>
      <c r="C12153" s="36"/>
      <c r="E12153" s="1"/>
      <c r="F12153" s="1"/>
      <c r="G12153" s="1"/>
    </row>
    <row r="12154">
      <c r="B12154" s="36"/>
      <c r="C12154" s="36"/>
      <c r="E12154" s="1"/>
      <c r="F12154" s="1"/>
      <c r="G12154" s="1"/>
    </row>
    <row r="12155">
      <c r="B12155" s="36"/>
      <c r="C12155" s="36"/>
      <c r="E12155" s="1"/>
      <c r="F12155" s="1"/>
      <c r="G12155" s="1"/>
    </row>
    <row r="12156">
      <c r="B12156" s="36"/>
      <c r="C12156" s="36"/>
      <c r="E12156" s="1"/>
      <c r="F12156" s="1"/>
      <c r="G12156" s="1"/>
    </row>
    <row r="12157">
      <c r="B12157" s="36"/>
      <c r="C12157" s="36"/>
      <c r="E12157" s="1"/>
      <c r="F12157" s="1"/>
      <c r="G12157" s="1"/>
    </row>
    <row r="12158">
      <c r="B12158" s="36"/>
      <c r="C12158" s="36"/>
      <c r="E12158" s="1"/>
      <c r="F12158" s="1"/>
      <c r="G12158" s="1"/>
    </row>
    <row r="12159">
      <c r="B12159" s="36"/>
      <c r="C12159" s="36"/>
      <c r="E12159" s="1"/>
      <c r="F12159" s="1"/>
      <c r="G12159" s="1"/>
    </row>
    <row r="12160">
      <c r="B12160" s="36"/>
      <c r="C12160" s="36"/>
      <c r="E12160" s="1"/>
      <c r="F12160" s="1"/>
      <c r="G12160" s="1"/>
    </row>
    <row r="12161">
      <c r="B12161" s="36"/>
      <c r="C12161" s="36"/>
      <c r="E12161" s="1"/>
      <c r="F12161" s="1"/>
      <c r="G12161" s="1"/>
    </row>
    <row r="12162">
      <c r="B12162" s="36"/>
      <c r="C12162" s="36"/>
      <c r="E12162" s="1"/>
      <c r="F12162" s="1"/>
      <c r="G12162" s="1"/>
    </row>
    <row r="12163">
      <c r="B12163" s="36"/>
      <c r="C12163" s="36"/>
      <c r="E12163" s="1"/>
      <c r="F12163" s="1"/>
      <c r="G12163" s="1"/>
    </row>
    <row r="12164">
      <c r="B12164" s="36"/>
      <c r="C12164" s="36"/>
      <c r="E12164" s="1"/>
      <c r="F12164" s="1"/>
      <c r="G12164" s="1"/>
    </row>
    <row r="12165">
      <c r="B12165" s="36"/>
      <c r="C12165" s="36"/>
      <c r="E12165" s="1"/>
      <c r="F12165" s="1"/>
      <c r="G12165" s="1"/>
    </row>
    <row r="12166">
      <c r="B12166" s="36"/>
      <c r="C12166" s="36"/>
      <c r="E12166" s="1"/>
      <c r="F12166" s="1"/>
      <c r="G12166" s="1"/>
    </row>
    <row r="12167">
      <c r="B12167" s="36"/>
      <c r="C12167" s="36"/>
      <c r="E12167" s="1"/>
      <c r="F12167" s="1"/>
      <c r="G12167" s="1"/>
    </row>
    <row r="12168">
      <c r="B12168" s="36"/>
      <c r="C12168" s="36"/>
      <c r="E12168" s="1"/>
      <c r="F12168" s="1"/>
      <c r="G12168" s="1"/>
    </row>
    <row r="12169">
      <c r="B12169" s="36"/>
      <c r="C12169" s="36"/>
      <c r="E12169" s="1"/>
      <c r="F12169" s="1"/>
      <c r="G12169" s="1"/>
    </row>
    <row r="12170">
      <c r="B12170" s="36"/>
      <c r="C12170" s="36"/>
      <c r="E12170" s="1"/>
      <c r="F12170" s="1"/>
      <c r="G12170" s="1"/>
    </row>
    <row r="12171">
      <c r="B12171" s="36"/>
      <c r="C12171" s="36"/>
      <c r="E12171" s="1"/>
      <c r="F12171" s="1"/>
      <c r="G12171" s="1"/>
    </row>
    <row r="12172">
      <c r="B12172" s="36"/>
      <c r="C12172" s="36"/>
      <c r="E12172" s="1"/>
      <c r="F12172" s="1"/>
      <c r="G12172" s="1"/>
    </row>
    <row r="12173">
      <c r="B12173" s="36"/>
      <c r="C12173" s="36"/>
      <c r="E12173" s="1"/>
      <c r="F12173" s="1"/>
      <c r="G12173" s="1"/>
    </row>
    <row r="12174">
      <c r="B12174" s="36"/>
      <c r="C12174" s="36"/>
      <c r="E12174" s="1"/>
      <c r="F12174" s="1"/>
      <c r="G12174" s="1"/>
    </row>
    <row r="12175">
      <c r="B12175" s="36"/>
      <c r="C12175" s="36"/>
      <c r="E12175" s="1"/>
      <c r="F12175" s="1"/>
      <c r="G12175" s="1"/>
    </row>
    <row r="12176">
      <c r="B12176" s="36"/>
      <c r="C12176" s="36"/>
      <c r="E12176" s="1"/>
      <c r="F12176" s="1"/>
      <c r="G12176" s="1"/>
    </row>
    <row r="12177">
      <c r="B12177" s="36"/>
      <c r="C12177" s="36"/>
      <c r="E12177" s="1"/>
      <c r="F12177" s="1"/>
      <c r="G12177" s="1"/>
    </row>
    <row r="12178">
      <c r="B12178" s="36"/>
      <c r="C12178" s="36"/>
      <c r="E12178" s="1"/>
      <c r="F12178" s="1"/>
      <c r="G12178" s="1"/>
    </row>
    <row r="12179">
      <c r="B12179" s="36"/>
      <c r="C12179" s="36"/>
      <c r="E12179" s="1"/>
      <c r="F12179" s="1"/>
      <c r="G12179" s="1"/>
    </row>
    <row r="12180">
      <c r="B12180" s="36"/>
      <c r="C12180" s="36"/>
      <c r="E12180" s="1"/>
      <c r="F12180" s="1"/>
      <c r="G12180" s="1"/>
    </row>
    <row r="12181">
      <c r="B12181" s="36"/>
      <c r="C12181" s="36"/>
      <c r="E12181" s="1"/>
      <c r="F12181" s="1"/>
      <c r="G12181" s="1"/>
    </row>
    <row r="12182">
      <c r="B12182" s="36"/>
      <c r="C12182" s="36"/>
      <c r="E12182" s="1"/>
      <c r="F12182" s="1"/>
      <c r="G12182" s="1"/>
    </row>
    <row r="12183">
      <c r="B12183" s="36"/>
      <c r="C12183" s="36"/>
      <c r="E12183" s="1"/>
      <c r="F12183" s="1"/>
      <c r="G12183" s="1"/>
    </row>
    <row r="12184">
      <c r="B12184" s="36"/>
      <c r="C12184" s="36"/>
      <c r="E12184" s="1"/>
      <c r="F12184" s="1"/>
      <c r="G12184" s="1"/>
    </row>
    <row r="12185">
      <c r="B12185" s="36"/>
      <c r="C12185" s="36"/>
      <c r="E12185" s="1"/>
      <c r="F12185" s="1"/>
      <c r="G12185" s="1"/>
    </row>
    <row r="12186">
      <c r="B12186" s="36"/>
      <c r="C12186" s="36"/>
      <c r="E12186" s="1"/>
      <c r="F12186" s="1"/>
      <c r="G12186" s="1"/>
    </row>
    <row r="12187">
      <c r="B12187" s="36"/>
      <c r="C12187" s="36"/>
      <c r="E12187" s="1"/>
      <c r="F12187" s="1"/>
      <c r="G12187" s="1"/>
    </row>
    <row r="12188">
      <c r="B12188" s="36"/>
      <c r="C12188" s="36"/>
      <c r="E12188" s="1"/>
      <c r="F12188" s="1"/>
      <c r="G12188" s="1"/>
    </row>
    <row r="12189">
      <c r="B12189" s="36"/>
      <c r="C12189" s="36"/>
      <c r="E12189" s="1"/>
      <c r="F12189" s="1"/>
      <c r="G12189" s="1"/>
    </row>
    <row r="12190">
      <c r="B12190" s="36"/>
      <c r="C12190" s="36"/>
      <c r="E12190" s="1"/>
      <c r="F12190" s="1"/>
      <c r="G12190" s="1"/>
    </row>
    <row r="12191">
      <c r="B12191" s="36"/>
      <c r="C12191" s="36"/>
      <c r="E12191" s="1"/>
      <c r="F12191" s="1"/>
      <c r="G12191" s="1"/>
    </row>
    <row r="12192">
      <c r="B12192" s="36"/>
      <c r="C12192" s="36"/>
      <c r="E12192" s="1"/>
      <c r="F12192" s="1"/>
      <c r="G12192" s="1"/>
    </row>
    <row r="12193">
      <c r="B12193" s="36"/>
      <c r="C12193" s="36"/>
      <c r="E12193" s="1"/>
      <c r="F12193" s="1"/>
      <c r="G12193" s="1"/>
    </row>
    <row r="12194">
      <c r="B12194" s="36"/>
      <c r="C12194" s="36"/>
      <c r="E12194" s="1"/>
      <c r="F12194" s="1"/>
      <c r="G12194" s="1"/>
    </row>
    <row r="12195">
      <c r="B12195" s="36"/>
      <c r="C12195" s="36"/>
      <c r="E12195" s="1"/>
      <c r="F12195" s="1"/>
      <c r="G12195" s="1"/>
    </row>
    <row r="12196">
      <c r="B12196" s="36"/>
      <c r="C12196" s="36"/>
      <c r="E12196" s="1"/>
      <c r="F12196" s="1"/>
      <c r="G12196" s="1"/>
    </row>
    <row r="12197">
      <c r="B12197" s="36"/>
      <c r="C12197" s="36"/>
      <c r="E12197" s="1"/>
      <c r="F12197" s="1"/>
      <c r="G12197" s="1"/>
    </row>
    <row r="12198">
      <c r="B12198" s="36"/>
      <c r="C12198" s="36"/>
      <c r="E12198" s="1"/>
      <c r="F12198" s="1"/>
      <c r="G12198" s="1"/>
    </row>
    <row r="12199">
      <c r="B12199" s="36"/>
      <c r="C12199" s="36"/>
      <c r="E12199" s="1"/>
      <c r="F12199" s="1"/>
      <c r="G12199" s="1"/>
    </row>
    <row r="12200">
      <c r="B12200" s="36"/>
      <c r="C12200" s="36"/>
      <c r="E12200" s="1"/>
      <c r="F12200" s="1"/>
      <c r="G12200" s="1"/>
    </row>
    <row r="12201">
      <c r="B12201" s="36"/>
      <c r="C12201" s="36"/>
      <c r="E12201" s="1"/>
      <c r="F12201" s="1"/>
      <c r="G12201" s="1"/>
    </row>
    <row r="12202">
      <c r="B12202" s="36"/>
      <c r="C12202" s="36"/>
      <c r="E12202" s="1"/>
      <c r="F12202" s="1"/>
      <c r="G12202" s="1"/>
    </row>
    <row r="12203">
      <c r="B12203" s="36"/>
      <c r="C12203" s="36"/>
      <c r="E12203" s="1"/>
      <c r="F12203" s="1"/>
      <c r="G12203" s="1"/>
    </row>
    <row r="12204">
      <c r="B12204" s="36"/>
      <c r="C12204" s="36"/>
      <c r="E12204" s="1"/>
      <c r="F12204" s="1"/>
      <c r="G12204" s="1"/>
    </row>
    <row r="12205">
      <c r="B12205" s="36"/>
      <c r="C12205" s="36"/>
      <c r="E12205" s="1"/>
      <c r="F12205" s="1"/>
      <c r="G12205" s="1"/>
    </row>
    <row r="12206">
      <c r="B12206" s="36"/>
      <c r="C12206" s="36"/>
      <c r="E12206" s="1"/>
      <c r="F12206" s="1"/>
      <c r="G12206" s="1"/>
    </row>
    <row r="12207">
      <c r="B12207" s="36"/>
      <c r="C12207" s="36"/>
      <c r="E12207" s="1"/>
      <c r="F12207" s="1"/>
      <c r="G12207" s="1"/>
    </row>
    <row r="12208">
      <c r="B12208" s="36"/>
      <c r="C12208" s="36"/>
      <c r="E12208" s="1"/>
      <c r="F12208" s="1"/>
      <c r="G12208" s="1"/>
    </row>
    <row r="12209">
      <c r="B12209" s="36"/>
      <c r="C12209" s="36"/>
      <c r="E12209" s="1"/>
      <c r="F12209" s="1"/>
      <c r="G12209" s="1"/>
    </row>
    <row r="12210">
      <c r="B12210" s="36"/>
      <c r="C12210" s="36"/>
      <c r="E12210" s="1"/>
      <c r="F12210" s="1"/>
      <c r="G12210" s="1"/>
    </row>
    <row r="12211">
      <c r="B12211" s="36"/>
      <c r="C12211" s="36"/>
      <c r="E12211" s="1"/>
      <c r="F12211" s="1"/>
      <c r="G12211" s="1"/>
    </row>
    <row r="12212">
      <c r="B12212" s="36"/>
      <c r="C12212" s="36"/>
      <c r="E12212" s="1"/>
      <c r="F12212" s="1"/>
      <c r="G12212" s="1"/>
    </row>
    <row r="12213">
      <c r="B12213" s="36"/>
      <c r="C12213" s="36"/>
      <c r="E12213" s="1"/>
      <c r="F12213" s="1"/>
      <c r="G12213" s="1"/>
    </row>
    <row r="12214">
      <c r="B12214" s="36"/>
      <c r="C12214" s="36"/>
      <c r="E12214" s="1"/>
      <c r="F12214" s="1"/>
      <c r="G12214" s="1"/>
    </row>
    <row r="12215">
      <c r="B12215" s="36"/>
      <c r="C12215" s="36"/>
      <c r="E12215" s="1"/>
      <c r="F12215" s="1"/>
      <c r="G12215" s="1"/>
    </row>
    <row r="12216">
      <c r="B12216" s="36"/>
      <c r="C12216" s="36"/>
      <c r="E12216" s="1"/>
      <c r="F12216" s="1"/>
      <c r="G12216" s="1"/>
    </row>
    <row r="12217">
      <c r="B12217" s="36"/>
      <c r="C12217" s="36"/>
      <c r="E12217" s="1"/>
      <c r="F12217" s="1"/>
      <c r="G12217" s="1"/>
    </row>
    <row r="12218">
      <c r="B12218" s="36"/>
      <c r="C12218" s="36"/>
      <c r="E12218" s="1"/>
      <c r="F12218" s="1"/>
      <c r="G12218" s="1"/>
    </row>
    <row r="12219">
      <c r="B12219" s="36"/>
      <c r="C12219" s="36"/>
      <c r="E12219" s="1"/>
      <c r="F12219" s="1"/>
      <c r="G12219" s="1"/>
    </row>
    <row r="12220">
      <c r="B12220" s="36"/>
      <c r="C12220" s="36"/>
      <c r="E12220" s="1"/>
      <c r="F12220" s="1"/>
      <c r="G12220" s="1"/>
    </row>
    <row r="12221">
      <c r="B12221" s="36"/>
      <c r="C12221" s="36"/>
      <c r="E12221" s="1"/>
      <c r="F12221" s="1"/>
      <c r="G12221" s="1"/>
    </row>
    <row r="12222">
      <c r="B12222" s="36"/>
      <c r="C12222" s="36"/>
      <c r="E12222" s="1"/>
      <c r="F12222" s="1"/>
      <c r="G12222" s="1"/>
    </row>
    <row r="12223">
      <c r="B12223" s="36"/>
      <c r="C12223" s="36"/>
      <c r="E12223" s="1"/>
      <c r="F12223" s="1"/>
      <c r="G12223" s="1"/>
    </row>
    <row r="12224">
      <c r="B12224" s="36"/>
      <c r="C12224" s="36"/>
      <c r="E12224" s="1"/>
      <c r="F12224" s="1"/>
      <c r="G12224" s="1"/>
    </row>
    <row r="12225">
      <c r="B12225" s="36"/>
      <c r="C12225" s="36"/>
      <c r="E12225" s="1"/>
      <c r="F12225" s="1"/>
      <c r="G12225" s="1"/>
    </row>
    <row r="12226">
      <c r="B12226" s="36"/>
      <c r="C12226" s="36"/>
      <c r="E12226" s="1"/>
      <c r="F12226" s="1"/>
      <c r="G12226" s="1"/>
    </row>
    <row r="12227">
      <c r="B12227" s="36"/>
      <c r="C12227" s="36"/>
      <c r="E12227" s="1"/>
      <c r="F12227" s="1"/>
      <c r="G12227" s="1"/>
    </row>
    <row r="12228">
      <c r="B12228" s="36"/>
      <c r="C12228" s="36"/>
      <c r="E12228" s="1"/>
      <c r="F12228" s="1"/>
      <c r="G12228" s="1"/>
    </row>
    <row r="12229">
      <c r="B12229" s="36"/>
      <c r="C12229" s="36"/>
      <c r="E12229" s="1"/>
      <c r="F12229" s="1"/>
      <c r="G12229" s="1"/>
    </row>
    <row r="12230">
      <c r="B12230" s="36"/>
      <c r="C12230" s="36"/>
      <c r="E12230" s="1"/>
      <c r="F12230" s="1"/>
      <c r="G12230" s="1"/>
    </row>
    <row r="12231">
      <c r="B12231" s="36"/>
      <c r="C12231" s="36"/>
      <c r="E12231" s="1"/>
      <c r="F12231" s="1"/>
      <c r="G12231" s="1"/>
    </row>
    <row r="12232">
      <c r="B12232" s="36"/>
      <c r="C12232" s="36"/>
      <c r="E12232" s="1"/>
      <c r="F12232" s="1"/>
      <c r="G12232" s="1"/>
    </row>
    <row r="12233">
      <c r="B12233" s="36"/>
      <c r="C12233" s="36"/>
      <c r="E12233" s="1"/>
      <c r="F12233" s="1"/>
      <c r="G12233" s="1"/>
    </row>
    <row r="12234">
      <c r="B12234" s="36"/>
      <c r="C12234" s="36"/>
      <c r="E12234" s="1"/>
      <c r="F12234" s="1"/>
      <c r="G12234" s="1"/>
    </row>
    <row r="12235">
      <c r="B12235" s="36"/>
      <c r="C12235" s="36"/>
      <c r="E12235" s="1"/>
      <c r="F12235" s="1"/>
      <c r="G12235" s="1"/>
    </row>
    <row r="12236">
      <c r="B12236" s="36"/>
      <c r="C12236" s="36"/>
      <c r="E12236" s="1"/>
      <c r="F12236" s="1"/>
      <c r="G12236" s="1"/>
    </row>
    <row r="12237">
      <c r="B12237" s="36"/>
      <c r="C12237" s="36"/>
      <c r="E12237" s="1"/>
      <c r="F12237" s="1"/>
      <c r="G12237" s="1"/>
    </row>
    <row r="12238">
      <c r="B12238" s="36"/>
      <c r="C12238" s="36"/>
      <c r="E12238" s="1"/>
      <c r="F12238" s="1"/>
      <c r="G12238" s="1"/>
    </row>
    <row r="12239">
      <c r="B12239" s="36"/>
      <c r="C12239" s="36"/>
      <c r="E12239" s="1"/>
      <c r="F12239" s="1"/>
      <c r="G12239" s="1"/>
    </row>
    <row r="12240">
      <c r="B12240" s="36"/>
      <c r="C12240" s="36"/>
      <c r="E12240" s="1"/>
      <c r="F12240" s="1"/>
      <c r="G12240" s="1"/>
    </row>
    <row r="12241">
      <c r="B12241" s="36"/>
      <c r="C12241" s="36"/>
      <c r="E12241" s="1"/>
      <c r="F12241" s="1"/>
      <c r="G12241" s="1"/>
    </row>
    <row r="12242">
      <c r="B12242" s="36"/>
      <c r="C12242" s="36"/>
      <c r="E12242" s="1"/>
      <c r="F12242" s="1"/>
      <c r="G12242" s="1"/>
    </row>
    <row r="12243">
      <c r="B12243" s="36"/>
      <c r="C12243" s="36"/>
      <c r="E12243" s="1"/>
      <c r="F12243" s="1"/>
      <c r="G12243" s="1"/>
    </row>
    <row r="12244">
      <c r="B12244" s="36"/>
      <c r="C12244" s="36"/>
      <c r="E12244" s="1"/>
      <c r="F12244" s="1"/>
      <c r="G12244" s="1"/>
    </row>
    <row r="12245">
      <c r="B12245" s="36"/>
      <c r="C12245" s="36"/>
      <c r="E12245" s="1"/>
      <c r="F12245" s="1"/>
      <c r="G12245" s="1"/>
    </row>
    <row r="12246">
      <c r="B12246" s="36"/>
      <c r="C12246" s="36"/>
      <c r="E12246" s="1"/>
      <c r="F12246" s="1"/>
      <c r="G12246" s="1"/>
    </row>
    <row r="12247">
      <c r="B12247" s="36"/>
      <c r="C12247" s="36"/>
      <c r="E12247" s="1"/>
      <c r="F12247" s="1"/>
      <c r="G12247" s="1"/>
    </row>
    <row r="12248">
      <c r="B12248" s="36"/>
      <c r="C12248" s="36"/>
      <c r="E12248" s="1"/>
      <c r="F12248" s="1"/>
      <c r="G12248" s="1"/>
    </row>
    <row r="12249">
      <c r="B12249" s="36"/>
      <c r="C12249" s="36"/>
      <c r="E12249" s="1"/>
      <c r="F12249" s="1"/>
      <c r="G12249" s="1"/>
    </row>
    <row r="12250">
      <c r="B12250" s="36"/>
      <c r="C12250" s="36"/>
      <c r="E12250" s="1"/>
      <c r="F12250" s="1"/>
      <c r="G12250" s="1"/>
    </row>
    <row r="12251">
      <c r="B12251" s="36"/>
      <c r="C12251" s="36"/>
      <c r="E12251" s="1"/>
      <c r="F12251" s="1"/>
      <c r="G12251" s="1"/>
    </row>
    <row r="12252">
      <c r="B12252" s="36"/>
      <c r="C12252" s="36"/>
      <c r="E12252" s="1"/>
      <c r="F12252" s="1"/>
      <c r="G12252" s="1"/>
    </row>
    <row r="12253">
      <c r="B12253" s="36"/>
      <c r="C12253" s="36"/>
      <c r="E12253" s="1"/>
      <c r="F12253" s="1"/>
      <c r="G12253" s="1"/>
    </row>
    <row r="12254">
      <c r="B12254" s="36"/>
      <c r="C12254" s="36"/>
      <c r="E12254" s="1"/>
      <c r="F12254" s="1"/>
      <c r="G12254" s="1"/>
    </row>
    <row r="12255">
      <c r="B12255" s="36"/>
      <c r="C12255" s="36"/>
      <c r="E12255" s="1"/>
      <c r="F12255" s="1"/>
      <c r="G12255" s="1"/>
    </row>
    <row r="12256">
      <c r="B12256" s="36"/>
      <c r="C12256" s="36"/>
      <c r="E12256" s="1"/>
      <c r="F12256" s="1"/>
      <c r="G12256" s="1"/>
    </row>
    <row r="12257">
      <c r="B12257" s="36"/>
      <c r="C12257" s="36"/>
      <c r="E12257" s="1"/>
      <c r="F12257" s="1"/>
      <c r="G12257" s="1"/>
    </row>
    <row r="12258">
      <c r="B12258" s="36"/>
      <c r="C12258" s="36"/>
      <c r="E12258" s="1"/>
      <c r="F12258" s="1"/>
      <c r="G12258" s="1"/>
    </row>
    <row r="12259">
      <c r="B12259" s="36"/>
      <c r="C12259" s="36"/>
      <c r="E12259" s="1"/>
      <c r="F12259" s="1"/>
      <c r="G12259" s="1"/>
    </row>
    <row r="12260">
      <c r="B12260" s="36"/>
      <c r="C12260" s="36"/>
      <c r="E12260" s="1"/>
      <c r="F12260" s="1"/>
      <c r="G12260" s="1"/>
    </row>
    <row r="12261">
      <c r="B12261" s="36"/>
      <c r="C12261" s="36"/>
      <c r="E12261" s="1"/>
      <c r="F12261" s="1"/>
      <c r="G12261" s="1"/>
    </row>
    <row r="12262">
      <c r="B12262" s="36"/>
      <c r="C12262" s="36"/>
      <c r="E12262" s="1"/>
      <c r="F12262" s="1"/>
      <c r="G12262" s="1"/>
    </row>
    <row r="12263">
      <c r="B12263" s="36"/>
      <c r="C12263" s="36"/>
      <c r="E12263" s="1"/>
      <c r="F12263" s="1"/>
      <c r="G12263" s="1"/>
    </row>
    <row r="12264">
      <c r="B12264" s="36"/>
      <c r="C12264" s="36"/>
      <c r="E12264" s="1"/>
      <c r="F12264" s="1"/>
      <c r="G12264" s="1"/>
    </row>
    <row r="12265">
      <c r="B12265" s="36"/>
      <c r="C12265" s="36"/>
      <c r="E12265" s="1"/>
      <c r="F12265" s="1"/>
      <c r="G12265" s="1"/>
    </row>
    <row r="12266">
      <c r="B12266" s="36"/>
      <c r="C12266" s="36"/>
      <c r="E12266" s="1"/>
      <c r="F12266" s="1"/>
      <c r="G12266" s="1"/>
    </row>
    <row r="12267">
      <c r="B12267" s="36"/>
      <c r="C12267" s="36"/>
      <c r="E12267" s="1"/>
      <c r="F12267" s="1"/>
      <c r="G12267" s="1"/>
    </row>
    <row r="12268">
      <c r="B12268" s="36"/>
      <c r="C12268" s="36"/>
      <c r="E12268" s="1"/>
      <c r="F12268" s="1"/>
      <c r="G12268" s="1"/>
    </row>
    <row r="12269">
      <c r="B12269" s="36"/>
      <c r="C12269" s="36"/>
      <c r="E12269" s="1"/>
      <c r="F12269" s="1"/>
      <c r="G12269" s="1"/>
    </row>
    <row r="12270">
      <c r="B12270" s="36"/>
      <c r="C12270" s="36"/>
      <c r="E12270" s="1"/>
      <c r="F12270" s="1"/>
      <c r="G12270" s="1"/>
    </row>
    <row r="12271">
      <c r="B12271" s="36"/>
      <c r="C12271" s="36"/>
      <c r="E12271" s="1"/>
      <c r="F12271" s="1"/>
      <c r="G12271" s="1"/>
    </row>
    <row r="12272">
      <c r="B12272" s="36"/>
      <c r="C12272" s="36"/>
      <c r="E12272" s="1"/>
      <c r="F12272" s="1"/>
      <c r="G12272" s="1"/>
    </row>
    <row r="12273">
      <c r="B12273" s="36"/>
      <c r="C12273" s="36"/>
      <c r="E12273" s="1"/>
      <c r="F12273" s="1"/>
      <c r="G12273" s="1"/>
    </row>
    <row r="12274">
      <c r="B12274" s="36"/>
      <c r="C12274" s="36"/>
      <c r="E12274" s="1"/>
      <c r="F12274" s="1"/>
      <c r="G12274" s="1"/>
    </row>
    <row r="12275">
      <c r="B12275" s="36"/>
      <c r="C12275" s="36"/>
      <c r="E12275" s="1"/>
      <c r="F12275" s="1"/>
      <c r="G12275" s="1"/>
    </row>
    <row r="12276">
      <c r="B12276" s="36"/>
      <c r="C12276" s="36"/>
      <c r="E12276" s="1"/>
      <c r="F12276" s="1"/>
      <c r="G12276" s="1"/>
    </row>
    <row r="12277">
      <c r="B12277" s="36"/>
      <c r="C12277" s="36"/>
      <c r="E12277" s="1"/>
      <c r="F12277" s="1"/>
      <c r="G12277" s="1"/>
    </row>
    <row r="12278">
      <c r="B12278" s="36"/>
      <c r="C12278" s="36"/>
      <c r="E12278" s="1"/>
      <c r="F12278" s="1"/>
      <c r="G12278" s="1"/>
    </row>
    <row r="12279">
      <c r="B12279" s="36"/>
      <c r="C12279" s="36"/>
      <c r="E12279" s="1"/>
      <c r="F12279" s="1"/>
      <c r="G12279" s="1"/>
    </row>
    <row r="12280">
      <c r="B12280" s="36"/>
      <c r="C12280" s="36"/>
      <c r="E12280" s="1"/>
      <c r="F12280" s="1"/>
      <c r="G12280" s="1"/>
    </row>
    <row r="12281">
      <c r="B12281" s="36"/>
      <c r="C12281" s="36"/>
      <c r="E12281" s="1"/>
      <c r="F12281" s="1"/>
      <c r="G12281" s="1"/>
    </row>
    <row r="12282">
      <c r="B12282" s="36"/>
      <c r="C12282" s="36"/>
      <c r="E12282" s="1"/>
      <c r="F12282" s="1"/>
      <c r="G12282" s="1"/>
    </row>
    <row r="12283">
      <c r="B12283" s="36"/>
      <c r="C12283" s="36"/>
      <c r="E12283" s="1"/>
      <c r="F12283" s="1"/>
      <c r="G12283" s="1"/>
    </row>
    <row r="12284">
      <c r="B12284" s="36"/>
      <c r="C12284" s="36"/>
      <c r="E12284" s="1"/>
      <c r="F12284" s="1"/>
      <c r="G12284" s="1"/>
    </row>
    <row r="12285">
      <c r="B12285" s="36"/>
      <c r="C12285" s="36"/>
      <c r="E12285" s="1"/>
      <c r="F12285" s="1"/>
      <c r="G12285" s="1"/>
    </row>
    <row r="12286">
      <c r="B12286" s="36"/>
      <c r="C12286" s="36"/>
      <c r="E12286" s="1"/>
      <c r="F12286" s="1"/>
      <c r="G12286" s="1"/>
    </row>
    <row r="12287">
      <c r="B12287" s="36"/>
      <c r="C12287" s="36"/>
      <c r="E12287" s="1"/>
      <c r="F12287" s="1"/>
      <c r="G12287" s="1"/>
    </row>
    <row r="12288">
      <c r="B12288" s="36"/>
      <c r="C12288" s="36"/>
      <c r="E12288" s="1"/>
      <c r="F12288" s="1"/>
      <c r="G12288" s="1"/>
    </row>
    <row r="12289">
      <c r="B12289" s="36"/>
      <c r="C12289" s="36"/>
      <c r="E12289" s="1"/>
      <c r="F12289" s="1"/>
      <c r="G12289" s="1"/>
    </row>
    <row r="12290">
      <c r="B12290" s="36"/>
      <c r="C12290" s="36"/>
      <c r="E12290" s="1"/>
      <c r="F12290" s="1"/>
      <c r="G12290" s="1"/>
    </row>
    <row r="12291">
      <c r="B12291" s="36"/>
      <c r="C12291" s="36"/>
      <c r="E12291" s="1"/>
      <c r="F12291" s="1"/>
      <c r="G12291" s="1"/>
    </row>
    <row r="12292">
      <c r="B12292" s="36"/>
      <c r="C12292" s="36"/>
      <c r="E12292" s="1"/>
      <c r="F12292" s="1"/>
      <c r="G12292" s="1"/>
    </row>
    <row r="12293">
      <c r="B12293" s="36"/>
      <c r="C12293" s="36"/>
      <c r="E12293" s="1"/>
      <c r="F12293" s="1"/>
      <c r="G12293" s="1"/>
    </row>
    <row r="12294">
      <c r="B12294" s="36"/>
      <c r="C12294" s="36"/>
      <c r="E12294" s="1"/>
      <c r="F12294" s="1"/>
      <c r="G12294" s="1"/>
    </row>
    <row r="12295">
      <c r="B12295" s="36"/>
      <c r="C12295" s="36"/>
      <c r="E12295" s="1"/>
      <c r="F12295" s="1"/>
      <c r="G12295" s="1"/>
    </row>
    <row r="12296">
      <c r="B12296" s="36"/>
      <c r="C12296" s="36"/>
      <c r="E12296" s="1"/>
      <c r="F12296" s="1"/>
      <c r="G12296" s="1"/>
    </row>
    <row r="12297">
      <c r="B12297" s="36"/>
      <c r="C12297" s="36"/>
      <c r="E12297" s="1"/>
      <c r="F12297" s="1"/>
      <c r="G12297" s="1"/>
    </row>
    <row r="12298">
      <c r="B12298" s="36"/>
      <c r="C12298" s="36"/>
      <c r="E12298" s="1"/>
      <c r="F12298" s="1"/>
      <c r="G12298" s="1"/>
    </row>
    <row r="12299">
      <c r="B12299" s="36"/>
      <c r="C12299" s="36"/>
      <c r="E12299" s="1"/>
      <c r="F12299" s="1"/>
      <c r="G12299" s="1"/>
    </row>
    <row r="12300">
      <c r="B12300" s="36"/>
      <c r="C12300" s="36"/>
      <c r="E12300" s="1"/>
      <c r="F12300" s="1"/>
      <c r="G12300" s="1"/>
    </row>
    <row r="12301">
      <c r="B12301" s="36"/>
      <c r="C12301" s="36"/>
      <c r="E12301" s="1"/>
      <c r="F12301" s="1"/>
      <c r="G12301" s="1"/>
    </row>
    <row r="12302">
      <c r="B12302" s="36"/>
      <c r="C12302" s="36"/>
      <c r="E12302" s="1"/>
      <c r="F12302" s="1"/>
      <c r="G12302" s="1"/>
    </row>
    <row r="12303">
      <c r="B12303" s="36"/>
      <c r="C12303" s="36"/>
      <c r="E12303" s="1"/>
      <c r="F12303" s="1"/>
      <c r="G12303" s="1"/>
    </row>
    <row r="12304">
      <c r="B12304" s="36"/>
      <c r="C12304" s="36"/>
      <c r="E12304" s="1"/>
      <c r="F12304" s="1"/>
      <c r="G12304" s="1"/>
    </row>
    <row r="12305">
      <c r="B12305" s="36"/>
      <c r="C12305" s="36"/>
      <c r="E12305" s="1"/>
      <c r="F12305" s="1"/>
      <c r="G12305" s="1"/>
    </row>
    <row r="12306">
      <c r="B12306" s="36"/>
      <c r="C12306" s="36"/>
      <c r="E12306" s="1"/>
      <c r="F12306" s="1"/>
      <c r="G12306" s="1"/>
    </row>
    <row r="12307">
      <c r="B12307" s="36"/>
      <c r="C12307" s="36"/>
      <c r="E12307" s="1"/>
      <c r="F12307" s="1"/>
      <c r="G12307" s="1"/>
    </row>
    <row r="12308">
      <c r="B12308" s="36"/>
      <c r="C12308" s="36"/>
      <c r="E12308" s="1"/>
      <c r="F12308" s="1"/>
      <c r="G12308" s="1"/>
    </row>
    <row r="12309">
      <c r="B12309" s="36"/>
      <c r="C12309" s="36"/>
      <c r="E12309" s="1"/>
      <c r="F12309" s="1"/>
      <c r="G12309" s="1"/>
    </row>
    <row r="12310">
      <c r="B12310" s="36"/>
      <c r="C12310" s="36"/>
      <c r="E12310" s="1"/>
      <c r="F12310" s="1"/>
      <c r="G12310" s="1"/>
    </row>
    <row r="12311">
      <c r="B12311" s="36"/>
      <c r="C12311" s="36"/>
      <c r="E12311" s="1"/>
      <c r="F12311" s="1"/>
      <c r="G12311" s="1"/>
    </row>
    <row r="12312">
      <c r="B12312" s="36"/>
      <c r="C12312" s="36"/>
      <c r="E12312" s="1"/>
      <c r="F12312" s="1"/>
      <c r="G12312" s="1"/>
    </row>
    <row r="12313">
      <c r="B12313" s="36"/>
      <c r="C12313" s="36"/>
      <c r="E12313" s="1"/>
      <c r="F12313" s="1"/>
      <c r="G12313" s="1"/>
    </row>
    <row r="12314">
      <c r="B12314" s="36"/>
      <c r="C12314" s="36"/>
      <c r="E12314" s="1"/>
      <c r="F12314" s="1"/>
      <c r="G12314" s="1"/>
    </row>
    <row r="12315">
      <c r="B12315" s="36"/>
      <c r="C12315" s="36"/>
      <c r="E12315" s="1"/>
      <c r="F12315" s="1"/>
      <c r="G12315" s="1"/>
    </row>
    <row r="12316">
      <c r="B12316" s="36"/>
      <c r="C12316" s="36"/>
      <c r="E12316" s="1"/>
      <c r="F12316" s="1"/>
      <c r="G12316" s="1"/>
    </row>
    <row r="12317">
      <c r="B12317" s="36"/>
      <c r="C12317" s="36"/>
      <c r="E12317" s="1"/>
      <c r="F12317" s="1"/>
      <c r="G12317" s="1"/>
    </row>
    <row r="12318">
      <c r="B12318" s="36"/>
      <c r="C12318" s="36"/>
      <c r="E12318" s="1"/>
      <c r="F12318" s="1"/>
      <c r="G12318" s="1"/>
    </row>
    <row r="12319">
      <c r="B12319" s="36"/>
      <c r="C12319" s="36"/>
      <c r="E12319" s="1"/>
      <c r="F12319" s="1"/>
      <c r="G12319" s="1"/>
    </row>
    <row r="12320">
      <c r="B12320" s="36"/>
      <c r="C12320" s="36"/>
      <c r="E12320" s="1"/>
      <c r="F12320" s="1"/>
      <c r="G12320" s="1"/>
    </row>
    <row r="12321">
      <c r="B12321" s="36"/>
      <c r="C12321" s="36"/>
      <c r="E12321" s="1"/>
      <c r="F12321" s="1"/>
      <c r="G12321" s="1"/>
    </row>
    <row r="12322">
      <c r="B12322" s="36"/>
      <c r="C12322" s="36"/>
      <c r="E12322" s="1"/>
      <c r="F12322" s="1"/>
      <c r="G12322" s="1"/>
    </row>
    <row r="12323">
      <c r="B12323" s="36"/>
      <c r="C12323" s="36"/>
      <c r="E12323" s="1"/>
      <c r="F12323" s="1"/>
      <c r="G12323" s="1"/>
    </row>
    <row r="12324">
      <c r="B12324" s="36"/>
      <c r="C12324" s="36"/>
      <c r="E12324" s="1"/>
      <c r="F12324" s="1"/>
      <c r="G12324" s="1"/>
    </row>
    <row r="12325">
      <c r="B12325" s="36"/>
      <c r="C12325" s="36"/>
      <c r="E12325" s="1"/>
      <c r="F12325" s="1"/>
      <c r="G12325" s="1"/>
    </row>
    <row r="12326">
      <c r="B12326" s="36"/>
      <c r="C12326" s="36"/>
      <c r="E12326" s="1"/>
      <c r="F12326" s="1"/>
      <c r="G12326" s="1"/>
    </row>
    <row r="12327">
      <c r="B12327" s="36"/>
      <c r="C12327" s="36"/>
      <c r="E12327" s="1"/>
      <c r="F12327" s="1"/>
      <c r="G12327" s="1"/>
    </row>
    <row r="12328">
      <c r="B12328" s="36"/>
      <c r="C12328" s="36"/>
      <c r="E12328" s="1"/>
      <c r="F12328" s="1"/>
      <c r="G12328" s="1"/>
    </row>
    <row r="12329">
      <c r="B12329" s="36"/>
      <c r="C12329" s="36"/>
      <c r="E12329" s="1"/>
      <c r="F12329" s="1"/>
      <c r="G12329" s="1"/>
    </row>
    <row r="12330">
      <c r="B12330" s="36"/>
      <c r="C12330" s="36"/>
      <c r="E12330" s="1"/>
      <c r="F12330" s="1"/>
      <c r="G12330" s="1"/>
    </row>
    <row r="12331">
      <c r="B12331" s="36"/>
      <c r="C12331" s="36"/>
      <c r="E12331" s="1"/>
      <c r="F12331" s="1"/>
      <c r="G12331" s="1"/>
    </row>
    <row r="12332">
      <c r="B12332" s="36"/>
      <c r="C12332" s="36"/>
      <c r="E12332" s="1"/>
      <c r="F12332" s="1"/>
      <c r="G12332" s="1"/>
    </row>
    <row r="12333">
      <c r="B12333" s="36"/>
      <c r="C12333" s="36"/>
      <c r="E12333" s="1"/>
      <c r="F12333" s="1"/>
      <c r="G12333" s="1"/>
    </row>
    <row r="12334">
      <c r="B12334" s="36"/>
      <c r="C12334" s="36"/>
      <c r="E12334" s="1"/>
      <c r="F12334" s="1"/>
      <c r="G12334" s="1"/>
    </row>
    <row r="12335">
      <c r="B12335" s="36"/>
      <c r="C12335" s="36"/>
      <c r="E12335" s="1"/>
      <c r="F12335" s="1"/>
      <c r="G12335" s="1"/>
    </row>
    <row r="12336">
      <c r="B12336" s="36"/>
      <c r="C12336" s="36"/>
      <c r="E12336" s="1"/>
      <c r="F12336" s="1"/>
      <c r="G12336" s="1"/>
    </row>
    <row r="12337">
      <c r="B12337" s="36"/>
      <c r="C12337" s="36"/>
      <c r="E12337" s="1"/>
      <c r="F12337" s="1"/>
      <c r="G12337" s="1"/>
    </row>
    <row r="12338">
      <c r="B12338" s="36"/>
      <c r="C12338" s="36"/>
      <c r="E12338" s="1"/>
      <c r="F12338" s="1"/>
      <c r="G12338" s="1"/>
    </row>
    <row r="12339">
      <c r="B12339" s="36"/>
      <c r="C12339" s="36"/>
      <c r="E12339" s="1"/>
      <c r="F12339" s="1"/>
      <c r="G12339" s="1"/>
    </row>
    <row r="12340">
      <c r="B12340" s="36"/>
      <c r="C12340" s="36"/>
      <c r="E12340" s="1"/>
      <c r="F12340" s="1"/>
      <c r="G12340" s="1"/>
    </row>
    <row r="12341">
      <c r="B12341" s="36"/>
      <c r="C12341" s="36"/>
      <c r="E12341" s="1"/>
      <c r="F12341" s="1"/>
      <c r="G12341" s="1"/>
    </row>
    <row r="12342">
      <c r="B12342" s="36"/>
      <c r="C12342" s="36"/>
      <c r="E12342" s="1"/>
      <c r="F12342" s="1"/>
      <c r="G12342" s="1"/>
    </row>
    <row r="12343">
      <c r="B12343" s="36"/>
      <c r="C12343" s="36"/>
      <c r="E12343" s="1"/>
      <c r="F12343" s="1"/>
      <c r="G12343" s="1"/>
    </row>
    <row r="12344">
      <c r="B12344" s="36"/>
      <c r="C12344" s="36"/>
      <c r="E12344" s="1"/>
      <c r="F12344" s="1"/>
      <c r="G12344" s="1"/>
    </row>
    <row r="12345">
      <c r="B12345" s="36"/>
      <c r="C12345" s="36"/>
      <c r="E12345" s="1"/>
      <c r="F12345" s="1"/>
      <c r="G12345" s="1"/>
    </row>
    <row r="12346">
      <c r="B12346" s="36"/>
      <c r="C12346" s="36"/>
      <c r="E12346" s="1"/>
      <c r="F12346" s="1"/>
      <c r="G12346" s="1"/>
    </row>
    <row r="12347">
      <c r="B12347" s="36"/>
      <c r="C12347" s="36"/>
      <c r="E12347" s="1"/>
      <c r="F12347" s="1"/>
      <c r="G12347" s="1"/>
    </row>
    <row r="12348">
      <c r="B12348" s="36"/>
      <c r="C12348" s="36"/>
      <c r="E12348" s="1"/>
      <c r="F12348" s="1"/>
      <c r="G12348" s="1"/>
    </row>
    <row r="12349">
      <c r="B12349" s="36"/>
      <c r="C12349" s="36"/>
      <c r="E12349" s="1"/>
      <c r="F12349" s="1"/>
      <c r="G12349" s="1"/>
    </row>
    <row r="12350">
      <c r="B12350" s="36"/>
      <c r="C12350" s="36"/>
      <c r="E12350" s="1"/>
      <c r="F12350" s="1"/>
      <c r="G12350" s="1"/>
    </row>
    <row r="12351">
      <c r="B12351" s="36"/>
      <c r="C12351" s="36"/>
      <c r="E12351" s="1"/>
      <c r="F12351" s="1"/>
      <c r="G12351" s="1"/>
    </row>
    <row r="12352">
      <c r="B12352" s="36"/>
      <c r="C12352" s="36"/>
      <c r="E12352" s="1"/>
      <c r="F12352" s="1"/>
      <c r="G12352" s="1"/>
    </row>
    <row r="12353">
      <c r="B12353" s="36"/>
      <c r="C12353" s="36"/>
      <c r="E12353" s="1"/>
      <c r="F12353" s="1"/>
      <c r="G12353" s="1"/>
    </row>
    <row r="12354">
      <c r="B12354" s="36"/>
      <c r="C12354" s="36"/>
      <c r="E12354" s="1"/>
      <c r="F12354" s="1"/>
      <c r="G12354" s="1"/>
    </row>
    <row r="12355">
      <c r="B12355" s="36"/>
      <c r="C12355" s="36"/>
      <c r="E12355" s="1"/>
      <c r="F12355" s="1"/>
      <c r="G12355" s="1"/>
    </row>
    <row r="12356">
      <c r="B12356" s="36"/>
      <c r="C12356" s="36"/>
      <c r="E12356" s="1"/>
      <c r="F12356" s="1"/>
      <c r="G12356" s="1"/>
    </row>
    <row r="12357">
      <c r="B12357" s="36"/>
      <c r="C12357" s="36"/>
      <c r="E12357" s="1"/>
      <c r="F12357" s="1"/>
      <c r="G12357" s="1"/>
    </row>
    <row r="12358">
      <c r="B12358" s="36"/>
      <c r="C12358" s="36"/>
      <c r="E12358" s="1"/>
      <c r="F12358" s="1"/>
      <c r="G12358" s="1"/>
    </row>
    <row r="12359">
      <c r="B12359" s="36"/>
      <c r="C12359" s="36"/>
      <c r="E12359" s="1"/>
      <c r="F12359" s="1"/>
      <c r="G12359" s="1"/>
    </row>
    <row r="12360">
      <c r="B12360" s="36"/>
      <c r="C12360" s="36"/>
      <c r="E12360" s="1"/>
      <c r="F12360" s="1"/>
      <c r="G12360" s="1"/>
    </row>
    <row r="12361">
      <c r="B12361" s="36"/>
      <c r="C12361" s="36"/>
      <c r="E12361" s="1"/>
      <c r="F12361" s="1"/>
      <c r="G12361" s="1"/>
    </row>
    <row r="12362">
      <c r="B12362" s="36"/>
      <c r="C12362" s="36"/>
      <c r="E12362" s="1"/>
      <c r="F12362" s="1"/>
      <c r="G12362" s="1"/>
    </row>
    <row r="12363">
      <c r="B12363" s="36"/>
      <c r="C12363" s="36"/>
      <c r="E12363" s="1"/>
      <c r="F12363" s="1"/>
      <c r="G12363" s="1"/>
    </row>
    <row r="12364">
      <c r="B12364" s="36"/>
      <c r="C12364" s="36"/>
      <c r="E12364" s="1"/>
      <c r="F12364" s="1"/>
      <c r="G12364" s="1"/>
    </row>
    <row r="12365">
      <c r="B12365" s="36"/>
      <c r="C12365" s="36"/>
      <c r="E12365" s="1"/>
      <c r="F12365" s="1"/>
      <c r="G12365" s="1"/>
    </row>
    <row r="12366">
      <c r="B12366" s="36"/>
      <c r="C12366" s="36"/>
      <c r="E12366" s="1"/>
      <c r="F12366" s="1"/>
      <c r="G12366" s="1"/>
    </row>
    <row r="12367">
      <c r="B12367" s="36"/>
      <c r="C12367" s="36"/>
      <c r="E12367" s="1"/>
      <c r="F12367" s="1"/>
      <c r="G12367" s="1"/>
    </row>
    <row r="12368">
      <c r="B12368" s="36"/>
      <c r="C12368" s="36"/>
      <c r="E12368" s="1"/>
      <c r="F12368" s="1"/>
      <c r="G12368" s="1"/>
    </row>
    <row r="12369">
      <c r="B12369" s="36"/>
      <c r="C12369" s="36"/>
      <c r="E12369" s="1"/>
      <c r="F12369" s="1"/>
      <c r="G12369" s="1"/>
    </row>
    <row r="12370">
      <c r="B12370" s="36"/>
      <c r="C12370" s="36"/>
      <c r="E12370" s="1"/>
      <c r="F12370" s="1"/>
      <c r="G12370" s="1"/>
    </row>
    <row r="12371">
      <c r="B12371" s="36"/>
      <c r="C12371" s="36"/>
      <c r="E12371" s="1"/>
      <c r="F12371" s="1"/>
      <c r="G12371" s="1"/>
    </row>
    <row r="12372">
      <c r="B12372" s="36"/>
      <c r="C12372" s="36"/>
      <c r="E12372" s="1"/>
      <c r="F12372" s="1"/>
      <c r="G12372" s="1"/>
    </row>
    <row r="12373">
      <c r="B12373" s="36"/>
      <c r="C12373" s="36"/>
      <c r="E12373" s="1"/>
      <c r="F12373" s="1"/>
      <c r="G12373" s="1"/>
    </row>
    <row r="12374">
      <c r="B12374" s="36"/>
      <c r="C12374" s="36"/>
      <c r="E12374" s="1"/>
      <c r="F12374" s="1"/>
      <c r="G12374" s="1"/>
    </row>
    <row r="12375">
      <c r="B12375" s="36"/>
      <c r="C12375" s="36"/>
      <c r="E12375" s="1"/>
      <c r="F12375" s="1"/>
      <c r="G12375" s="1"/>
    </row>
    <row r="12376">
      <c r="B12376" s="36"/>
      <c r="C12376" s="36"/>
      <c r="E12376" s="1"/>
      <c r="F12376" s="1"/>
      <c r="G12376" s="1"/>
    </row>
    <row r="12377">
      <c r="B12377" s="36"/>
      <c r="C12377" s="36"/>
      <c r="E12377" s="1"/>
      <c r="F12377" s="1"/>
      <c r="G12377" s="1"/>
    </row>
    <row r="12378">
      <c r="B12378" s="36"/>
      <c r="C12378" s="36"/>
      <c r="E12378" s="1"/>
      <c r="F12378" s="1"/>
      <c r="G12378" s="1"/>
    </row>
    <row r="12379">
      <c r="B12379" s="36"/>
      <c r="C12379" s="36"/>
      <c r="E12379" s="1"/>
      <c r="F12379" s="1"/>
      <c r="G12379" s="1"/>
    </row>
    <row r="12380">
      <c r="B12380" s="36"/>
      <c r="C12380" s="36"/>
      <c r="E12380" s="1"/>
      <c r="F12380" s="1"/>
      <c r="G12380" s="1"/>
    </row>
    <row r="12381">
      <c r="B12381" s="36"/>
      <c r="C12381" s="36"/>
      <c r="E12381" s="1"/>
      <c r="F12381" s="1"/>
      <c r="G12381" s="1"/>
    </row>
    <row r="12382">
      <c r="B12382" s="36"/>
      <c r="C12382" s="36"/>
      <c r="E12382" s="1"/>
      <c r="F12382" s="1"/>
      <c r="G12382" s="1"/>
    </row>
    <row r="12383">
      <c r="B12383" s="36"/>
      <c r="C12383" s="36"/>
      <c r="E12383" s="1"/>
      <c r="F12383" s="1"/>
      <c r="G12383" s="1"/>
    </row>
    <row r="12384">
      <c r="B12384" s="36"/>
      <c r="C12384" s="36"/>
      <c r="E12384" s="1"/>
      <c r="F12384" s="1"/>
      <c r="G12384" s="1"/>
    </row>
    <row r="12385">
      <c r="B12385" s="36"/>
      <c r="C12385" s="36"/>
      <c r="E12385" s="1"/>
      <c r="F12385" s="1"/>
      <c r="G12385" s="1"/>
    </row>
    <row r="12386">
      <c r="B12386" s="36"/>
      <c r="C12386" s="36"/>
      <c r="E12386" s="1"/>
      <c r="F12386" s="1"/>
      <c r="G12386" s="1"/>
    </row>
    <row r="12387">
      <c r="B12387" s="36"/>
      <c r="C12387" s="36"/>
      <c r="E12387" s="1"/>
      <c r="F12387" s="1"/>
      <c r="G12387" s="1"/>
    </row>
    <row r="12388">
      <c r="B12388" s="36"/>
      <c r="C12388" s="36"/>
      <c r="E12388" s="1"/>
      <c r="F12388" s="1"/>
      <c r="G12388" s="1"/>
    </row>
    <row r="12389">
      <c r="B12389" s="36"/>
      <c r="C12389" s="36"/>
      <c r="E12389" s="1"/>
      <c r="F12389" s="1"/>
      <c r="G12389" s="1"/>
    </row>
    <row r="12390">
      <c r="B12390" s="36"/>
      <c r="C12390" s="36"/>
      <c r="E12390" s="1"/>
      <c r="F12390" s="1"/>
      <c r="G12390" s="1"/>
    </row>
    <row r="12391">
      <c r="B12391" s="36"/>
      <c r="C12391" s="36"/>
      <c r="E12391" s="1"/>
      <c r="F12391" s="1"/>
      <c r="G12391" s="1"/>
    </row>
    <row r="12392">
      <c r="B12392" s="36"/>
      <c r="C12392" s="36"/>
      <c r="E12392" s="1"/>
      <c r="F12392" s="1"/>
      <c r="G12392" s="1"/>
    </row>
    <row r="12393">
      <c r="B12393" s="36"/>
      <c r="C12393" s="36"/>
      <c r="E12393" s="1"/>
      <c r="F12393" s="1"/>
      <c r="G12393" s="1"/>
    </row>
    <row r="12394">
      <c r="B12394" s="36"/>
      <c r="C12394" s="36"/>
      <c r="E12394" s="1"/>
      <c r="F12394" s="1"/>
      <c r="G12394" s="1"/>
    </row>
    <row r="12395">
      <c r="B12395" s="36"/>
      <c r="C12395" s="36"/>
      <c r="E12395" s="1"/>
      <c r="F12395" s="1"/>
      <c r="G12395" s="1"/>
    </row>
    <row r="12396">
      <c r="B12396" s="36"/>
      <c r="C12396" s="36"/>
      <c r="E12396" s="1"/>
      <c r="F12396" s="1"/>
      <c r="G12396" s="1"/>
    </row>
    <row r="12397">
      <c r="B12397" s="36"/>
      <c r="C12397" s="36"/>
      <c r="E12397" s="1"/>
      <c r="F12397" s="1"/>
      <c r="G12397" s="1"/>
    </row>
    <row r="12398">
      <c r="B12398" s="36"/>
      <c r="C12398" s="36"/>
      <c r="E12398" s="1"/>
      <c r="F12398" s="1"/>
      <c r="G12398" s="1"/>
    </row>
    <row r="12399">
      <c r="B12399" s="36"/>
      <c r="C12399" s="36"/>
      <c r="E12399" s="1"/>
      <c r="F12399" s="1"/>
      <c r="G12399" s="1"/>
    </row>
    <row r="12400">
      <c r="B12400" s="36"/>
      <c r="C12400" s="36"/>
      <c r="E12400" s="1"/>
      <c r="F12400" s="1"/>
      <c r="G12400" s="1"/>
    </row>
    <row r="12401">
      <c r="B12401" s="36"/>
      <c r="C12401" s="36"/>
      <c r="E12401" s="1"/>
      <c r="F12401" s="1"/>
      <c r="G12401" s="1"/>
    </row>
    <row r="12402">
      <c r="B12402" s="36"/>
      <c r="C12402" s="36"/>
      <c r="E12402" s="1"/>
      <c r="F12402" s="1"/>
      <c r="G12402" s="1"/>
    </row>
    <row r="12403">
      <c r="B12403" s="36"/>
      <c r="C12403" s="36"/>
      <c r="E12403" s="1"/>
      <c r="F12403" s="1"/>
      <c r="G12403" s="1"/>
    </row>
    <row r="12404">
      <c r="B12404" s="36"/>
      <c r="C12404" s="36"/>
      <c r="E12404" s="1"/>
      <c r="F12404" s="1"/>
      <c r="G12404" s="1"/>
    </row>
    <row r="12405">
      <c r="B12405" s="36"/>
      <c r="C12405" s="36"/>
      <c r="E12405" s="1"/>
      <c r="F12405" s="1"/>
      <c r="G12405" s="1"/>
    </row>
    <row r="12406">
      <c r="B12406" s="36"/>
      <c r="C12406" s="36"/>
      <c r="E12406" s="1"/>
      <c r="F12406" s="1"/>
      <c r="G12406" s="1"/>
    </row>
    <row r="12407">
      <c r="B12407" s="36"/>
      <c r="C12407" s="36"/>
      <c r="E12407" s="1"/>
      <c r="F12407" s="1"/>
      <c r="G12407" s="1"/>
    </row>
    <row r="12408">
      <c r="B12408" s="36"/>
      <c r="C12408" s="36"/>
      <c r="E12408" s="1"/>
      <c r="F12408" s="1"/>
      <c r="G12408" s="1"/>
    </row>
    <row r="12409">
      <c r="B12409" s="36"/>
      <c r="C12409" s="36"/>
      <c r="E12409" s="1"/>
      <c r="F12409" s="1"/>
      <c r="G12409" s="1"/>
    </row>
    <row r="12410">
      <c r="B12410" s="36"/>
      <c r="C12410" s="36"/>
      <c r="E12410" s="1"/>
      <c r="F12410" s="1"/>
      <c r="G12410" s="1"/>
    </row>
    <row r="12411">
      <c r="B12411" s="36"/>
      <c r="C12411" s="36"/>
      <c r="E12411" s="1"/>
      <c r="F12411" s="1"/>
      <c r="G12411" s="1"/>
    </row>
    <row r="12412">
      <c r="B12412" s="36"/>
      <c r="C12412" s="36"/>
      <c r="E12412" s="1"/>
      <c r="F12412" s="1"/>
      <c r="G12412" s="1"/>
    </row>
    <row r="12413">
      <c r="B12413" s="36"/>
      <c r="C12413" s="36"/>
      <c r="E12413" s="1"/>
      <c r="F12413" s="1"/>
      <c r="G12413" s="1"/>
    </row>
    <row r="12414">
      <c r="B12414" s="36"/>
      <c r="C12414" s="36"/>
      <c r="E12414" s="1"/>
      <c r="F12414" s="1"/>
      <c r="G12414" s="1"/>
    </row>
    <row r="12415">
      <c r="B12415" s="36"/>
      <c r="C12415" s="36"/>
      <c r="E12415" s="1"/>
      <c r="F12415" s="1"/>
      <c r="G12415" s="1"/>
    </row>
    <row r="12416">
      <c r="B12416" s="36"/>
      <c r="C12416" s="36"/>
      <c r="E12416" s="1"/>
      <c r="F12416" s="1"/>
      <c r="G12416" s="1"/>
    </row>
    <row r="12417">
      <c r="B12417" s="36"/>
      <c r="C12417" s="36"/>
      <c r="E12417" s="1"/>
      <c r="F12417" s="1"/>
      <c r="G12417" s="1"/>
    </row>
    <row r="12418">
      <c r="B12418" s="36"/>
      <c r="C12418" s="36"/>
      <c r="E12418" s="1"/>
      <c r="F12418" s="1"/>
      <c r="G12418" s="1"/>
    </row>
    <row r="12419">
      <c r="B12419" s="36"/>
      <c r="C12419" s="36"/>
      <c r="E12419" s="1"/>
      <c r="F12419" s="1"/>
      <c r="G12419" s="1"/>
    </row>
    <row r="12420">
      <c r="B12420" s="36"/>
      <c r="C12420" s="36"/>
      <c r="E12420" s="1"/>
      <c r="F12420" s="1"/>
      <c r="G12420" s="1"/>
    </row>
    <row r="12421">
      <c r="B12421" s="36"/>
      <c r="C12421" s="36"/>
      <c r="E12421" s="1"/>
      <c r="F12421" s="1"/>
      <c r="G12421" s="1"/>
    </row>
    <row r="12422">
      <c r="B12422" s="36"/>
      <c r="C12422" s="36"/>
      <c r="E12422" s="1"/>
      <c r="F12422" s="1"/>
      <c r="G12422" s="1"/>
    </row>
    <row r="12423">
      <c r="B12423" s="36"/>
      <c r="C12423" s="36"/>
      <c r="E12423" s="1"/>
      <c r="F12423" s="1"/>
      <c r="G12423" s="1"/>
    </row>
    <row r="12424">
      <c r="B12424" s="36"/>
      <c r="C12424" s="36"/>
      <c r="E12424" s="1"/>
      <c r="F12424" s="1"/>
      <c r="G12424" s="1"/>
    </row>
    <row r="12425">
      <c r="B12425" s="36"/>
      <c r="C12425" s="36"/>
      <c r="E12425" s="1"/>
      <c r="F12425" s="1"/>
      <c r="G12425" s="1"/>
    </row>
    <row r="12426">
      <c r="B12426" s="36"/>
      <c r="C12426" s="36"/>
      <c r="E12426" s="1"/>
      <c r="F12426" s="1"/>
      <c r="G12426" s="1"/>
    </row>
    <row r="12427">
      <c r="B12427" s="36"/>
      <c r="C12427" s="36"/>
      <c r="E12427" s="1"/>
      <c r="F12427" s="1"/>
      <c r="G12427" s="1"/>
    </row>
    <row r="12428">
      <c r="B12428" s="36"/>
      <c r="C12428" s="36"/>
      <c r="E12428" s="1"/>
      <c r="F12428" s="1"/>
      <c r="G12428" s="1"/>
    </row>
    <row r="12429">
      <c r="B12429" s="36"/>
      <c r="C12429" s="36"/>
      <c r="E12429" s="1"/>
      <c r="F12429" s="1"/>
      <c r="G12429" s="1"/>
    </row>
    <row r="12430">
      <c r="B12430" s="36"/>
      <c r="C12430" s="36"/>
      <c r="E12430" s="1"/>
      <c r="F12430" s="1"/>
      <c r="G12430" s="1"/>
    </row>
    <row r="12431">
      <c r="B12431" s="36"/>
      <c r="C12431" s="36"/>
      <c r="E12431" s="1"/>
      <c r="F12431" s="1"/>
      <c r="G12431" s="1"/>
    </row>
    <row r="12432">
      <c r="B12432" s="36"/>
      <c r="C12432" s="36"/>
      <c r="E12432" s="1"/>
      <c r="F12432" s="1"/>
      <c r="G12432" s="1"/>
    </row>
    <row r="12433">
      <c r="B12433" s="36"/>
      <c r="C12433" s="36"/>
      <c r="E12433" s="1"/>
      <c r="F12433" s="1"/>
      <c r="G12433" s="1"/>
    </row>
    <row r="12434">
      <c r="B12434" s="36"/>
      <c r="C12434" s="36"/>
      <c r="E12434" s="1"/>
      <c r="F12434" s="1"/>
      <c r="G12434" s="1"/>
    </row>
    <row r="12435">
      <c r="B12435" s="36"/>
      <c r="C12435" s="36"/>
      <c r="E12435" s="1"/>
      <c r="F12435" s="1"/>
      <c r="G12435" s="1"/>
    </row>
    <row r="12436">
      <c r="B12436" s="36"/>
      <c r="C12436" s="36"/>
      <c r="E12436" s="1"/>
      <c r="F12436" s="1"/>
      <c r="G12436" s="1"/>
    </row>
    <row r="12437">
      <c r="B12437" s="36"/>
      <c r="C12437" s="36"/>
      <c r="E12437" s="1"/>
      <c r="F12437" s="1"/>
      <c r="G12437" s="1"/>
    </row>
    <row r="12438">
      <c r="B12438" s="36"/>
      <c r="C12438" s="36"/>
      <c r="E12438" s="1"/>
      <c r="F12438" s="1"/>
      <c r="G12438" s="1"/>
    </row>
    <row r="12439">
      <c r="B12439" s="36"/>
      <c r="C12439" s="36"/>
      <c r="E12439" s="1"/>
      <c r="F12439" s="1"/>
      <c r="G12439" s="1"/>
    </row>
    <row r="12440">
      <c r="B12440" s="36"/>
      <c r="C12440" s="36"/>
      <c r="E12440" s="1"/>
      <c r="F12440" s="1"/>
      <c r="G12440" s="1"/>
    </row>
    <row r="12441">
      <c r="B12441" s="36"/>
      <c r="C12441" s="36"/>
      <c r="E12441" s="1"/>
      <c r="F12441" s="1"/>
      <c r="G12441" s="1"/>
    </row>
    <row r="12442">
      <c r="B12442" s="36"/>
      <c r="C12442" s="36"/>
      <c r="E12442" s="1"/>
      <c r="F12442" s="1"/>
      <c r="G12442" s="1"/>
    </row>
    <row r="12443">
      <c r="B12443" s="36"/>
      <c r="C12443" s="36"/>
      <c r="E12443" s="1"/>
      <c r="F12443" s="1"/>
      <c r="G12443" s="1"/>
    </row>
    <row r="12444">
      <c r="B12444" s="36"/>
      <c r="C12444" s="36"/>
      <c r="E12444" s="1"/>
      <c r="F12444" s="1"/>
      <c r="G12444" s="1"/>
    </row>
    <row r="12445">
      <c r="B12445" s="36"/>
      <c r="C12445" s="36"/>
      <c r="E12445" s="1"/>
      <c r="F12445" s="1"/>
      <c r="G12445" s="1"/>
    </row>
    <row r="12446">
      <c r="B12446" s="36"/>
      <c r="C12446" s="36"/>
      <c r="E12446" s="1"/>
      <c r="F12446" s="1"/>
      <c r="G12446" s="1"/>
    </row>
    <row r="12447">
      <c r="B12447" s="36"/>
      <c r="C12447" s="36"/>
      <c r="E12447" s="1"/>
      <c r="F12447" s="1"/>
      <c r="G12447" s="1"/>
    </row>
    <row r="12448">
      <c r="B12448" s="36"/>
      <c r="C12448" s="36"/>
      <c r="E12448" s="1"/>
      <c r="F12448" s="1"/>
      <c r="G12448" s="1"/>
    </row>
    <row r="12449">
      <c r="B12449" s="36"/>
      <c r="C12449" s="36"/>
      <c r="E12449" s="1"/>
      <c r="F12449" s="1"/>
      <c r="G12449" s="1"/>
    </row>
    <row r="12450">
      <c r="B12450" s="36"/>
      <c r="C12450" s="36"/>
      <c r="E12450" s="1"/>
      <c r="F12450" s="1"/>
      <c r="G12450" s="1"/>
    </row>
    <row r="12451">
      <c r="B12451" s="36"/>
      <c r="C12451" s="36"/>
      <c r="E12451" s="1"/>
      <c r="F12451" s="1"/>
      <c r="G12451" s="1"/>
    </row>
    <row r="12452">
      <c r="B12452" s="36"/>
      <c r="C12452" s="36"/>
      <c r="E12452" s="1"/>
      <c r="F12452" s="1"/>
      <c r="G12452" s="1"/>
    </row>
    <row r="12453">
      <c r="B12453" s="36"/>
      <c r="C12453" s="36"/>
      <c r="E12453" s="1"/>
      <c r="F12453" s="1"/>
      <c r="G12453" s="1"/>
    </row>
    <row r="12454">
      <c r="B12454" s="36"/>
      <c r="C12454" s="36"/>
      <c r="E12454" s="1"/>
      <c r="F12454" s="1"/>
      <c r="G12454" s="1"/>
    </row>
    <row r="12455">
      <c r="B12455" s="36"/>
      <c r="C12455" s="36"/>
      <c r="E12455" s="1"/>
      <c r="F12455" s="1"/>
      <c r="G12455" s="1"/>
    </row>
    <row r="12456">
      <c r="B12456" s="36"/>
      <c r="C12456" s="36"/>
      <c r="E12456" s="1"/>
      <c r="F12456" s="1"/>
      <c r="G12456" s="1"/>
    </row>
    <row r="12457">
      <c r="B12457" s="36"/>
      <c r="C12457" s="36"/>
      <c r="E12457" s="1"/>
      <c r="F12457" s="1"/>
      <c r="G12457" s="1"/>
    </row>
    <row r="12458">
      <c r="B12458" s="36"/>
      <c r="C12458" s="36"/>
      <c r="E12458" s="1"/>
      <c r="F12458" s="1"/>
      <c r="G12458" s="1"/>
    </row>
    <row r="12459">
      <c r="B12459" s="36"/>
      <c r="C12459" s="36"/>
      <c r="E12459" s="1"/>
      <c r="F12459" s="1"/>
      <c r="G12459" s="1"/>
    </row>
    <row r="12460">
      <c r="B12460" s="36"/>
      <c r="C12460" s="36"/>
      <c r="E12460" s="1"/>
      <c r="F12460" s="1"/>
      <c r="G12460" s="1"/>
    </row>
    <row r="12461">
      <c r="B12461" s="36"/>
      <c r="C12461" s="36"/>
      <c r="E12461" s="1"/>
      <c r="F12461" s="1"/>
      <c r="G12461" s="1"/>
    </row>
    <row r="12462">
      <c r="B12462" s="36"/>
      <c r="C12462" s="36"/>
      <c r="E12462" s="1"/>
      <c r="F12462" s="1"/>
      <c r="G12462" s="1"/>
    </row>
    <row r="12463">
      <c r="B12463" s="36"/>
      <c r="C12463" s="36"/>
      <c r="E12463" s="1"/>
      <c r="F12463" s="1"/>
      <c r="G12463" s="1"/>
    </row>
    <row r="12464">
      <c r="B12464" s="36"/>
      <c r="C12464" s="36"/>
      <c r="E12464" s="1"/>
      <c r="F12464" s="1"/>
      <c r="G12464" s="1"/>
    </row>
    <row r="12465">
      <c r="B12465" s="36"/>
      <c r="C12465" s="36"/>
      <c r="E12465" s="1"/>
      <c r="F12465" s="1"/>
      <c r="G12465" s="1"/>
    </row>
    <row r="12466">
      <c r="B12466" s="36"/>
      <c r="C12466" s="36"/>
      <c r="E12466" s="1"/>
      <c r="F12466" s="1"/>
      <c r="G12466" s="1"/>
    </row>
    <row r="12467">
      <c r="B12467" s="36"/>
      <c r="C12467" s="36"/>
      <c r="E12467" s="1"/>
      <c r="F12467" s="1"/>
      <c r="G12467" s="1"/>
    </row>
    <row r="12468">
      <c r="B12468" s="36"/>
      <c r="C12468" s="36"/>
      <c r="E12468" s="1"/>
      <c r="F12468" s="1"/>
      <c r="G12468" s="1"/>
    </row>
    <row r="12469">
      <c r="B12469" s="36"/>
      <c r="C12469" s="36"/>
      <c r="E12469" s="1"/>
      <c r="F12469" s="1"/>
      <c r="G12469" s="1"/>
    </row>
    <row r="12470">
      <c r="B12470" s="36"/>
      <c r="C12470" s="36"/>
      <c r="E12470" s="1"/>
      <c r="F12470" s="1"/>
      <c r="G12470" s="1"/>
    </row>
    <row r="12471">
      <c r="B12471" s="36"/>
      <c r="C12471" s="36"/>
      <c r="E12471" s="1"/>
      <c r="F12471" s="1"/>
      <c r="G12471" s="1"/>
    </row>
    <row r="12472">
      <c r="B12472" s="36"/>
      <c r="C12472" s="36"/>
      <c r="E12472" s="1"/>
      <c r="F12472" s="1"/>
      <c r="G12472" s="1"/>
    </row>
    <row r="12473">
      <c r="B12473" s="36"/>
      <c r="C12473" s="36"/>
      <c r="E12473" s="1"/>
      <c r="F12473" s="1"/>
      <c r="G12473" s="1"/>
    </row>
    <row r="12474">
      <c r="B12474" s="36"/>
      <c r="C12474" s="36"/>
      <c r="E12474" s="1"/>
      <c r="F12474" s="1"/>
      <c r="G12474" s="1"/>
    </row>
    <row r="12475">
      <c r="B12475" s="36"/>
      <c r="C12475" s="36"/>
      <c r="E12475" s="1"/>
      <c r="F12475" s="1"/>
      <c r="G12475" s="1"/>
    </row>
    <row r="12476">
      <c r="B12476" s="36"/>
      <c r="C12476" s="36"/>
      <c r="E12476" s="1"/>
      <c r="F12476" s="1"/>
      <c r="G12476" s="1"/>
    </row>
    <row r="12477">
      <c r="B12477" s="36"/>
      <c r="C12477" s="36"/>
      <c r="E12477" s="1"/>
      <c r="F12477" s="1"/>
      <c r="G12477" s="1"/>
    </row>
    <row r="12478">
      <c r="B12478" s="36"/>
      <c r="C12478" s="36"/>
      <c r="E12478" s="1"/>
      <c r="F12478" s="1"/>
      <c r="G12478" s="1"/>
    </row>
    <row r="12479">
      <c r="B12479" s="36"/>
      <c r="C12479" s="36"/>
      <c r="E12479" s="1"/>
      <c r="F12479" s="1"/>
      <c r="G12479" s="1"/>
    </row>
    <row r="12480">
      <c r="B12480" s="36"/>
      <c r="C12480" s="36"/>
      <c r="E12480" s="1"/>
      <c r="F12480" s="1"/>
      <c r="G12480" s="1"/>
    </row>
    <row r="12481">
      <c r="B12481" s="36"/>
      <c r="C12481" s="36"/>
      <c r="E12481" s="1"/>
      <c r="F12481" s="1"/>
      <c r="G12481" s="1"/>
    </row>
    <row r="12482">
      <c r="B12482" s="36"/>
      <c r="C12482" s="36"/>
      <c r="E12482" s="1"/>
      <c r="F12482" s="1"/>
      <c r="G12482" s="1"/>
    </row>
    <row r="12483">
      <c r="B12483" s="36"/>
      <c r="C12483" s="36"/>
      <c r="E12483" s="1"/>
      <c r="F12483" s="1"/>
      <c r="G12483" s="1"/>
    </row>
    <row r="12484">
      <c r="B12484" s="36"/>
      <c r="C12484" s="36"/>
      <c r="E12484" s="1"/>
      <c r="F12484" s="1"/>
      <c r="G12484" s="1"/>
    </row>
    <row r="12485">
      <c r="B12485" s="36"/>
      <c r="C12485" s="36"/>
      <c r="E12485" s="1"/>
      <c r="F12485" s="1"/>
      <c r="G12485" s="1"/>
    </row>
    <row r="12486">
      <c r="B12486" s="36"/>
      <c r="C12486" s="36"/>
      <c r="E12486" s="1"/>
      <c r="F12486" s="1"/>
      <c r="G12486" s="1"/>
    </row>
    <row r="12487">
      <c r="B12487" s="36"/>
      <c r="C12487" s="36"/>
      <c r="E12487" s="1"/>
      <c r="F12487" s="1"/>
      <c r="G12487" s="1"/>
    </row>
    <row r="12488">
      <c r="B12488" s="36"/>
      <c r="C12488" s="36"/>
      <c r="E12488" s="1"/>
      <c r="F12488" s="1"/>
      <c r="G12488" s="1"/>
    </row>
    <row r="12489">
      <c r="B12489" s="36"/>
      <c r="C12489" s="36"/>
      <c r="E12489" s="1"/>
      <c r="F12489" s="1"/>
      <c r="G12489" s="1"/>
    </row>
    <row r="12490">
      <c r="B12490" s="36"/>
      <c r="C12490" s="36"/>
      <c r="E12490" s="1"/>
      <c r="F12490" s="1"/>
      <c r="G12490" s="1"/>
    </row>
    <row r="12491">
      <c r="B12491" s="36"/>
      <c r="C12491" s="36"/>
      <c r="E12491" s="1"/>
      <c r="F12491" s="1"/>
      <c r="G12491" s="1"/>
    </row>
    <row r="12492">
      <c r="B12492" s="36"/>
      <c r="C12492" s="36"/>
      <c r="E12492" s="1"/>
      <c r="F12492" s="1"/>
      <c r="G12492" s="1"/>
    </row>
    <row r="12493">
      <c r="B12493" s="36"/>
      <c r="C12493" s="36"/>
      <c r="E12493" s="1"/>
      <c r="F12493" s="1"/>
      <c r="G12493" s="1"/>
    </row>
    <row r="12494">
      <c r="B12494" s="36"/>
      <c r="C12494" s="36"/>
      <c r="E12494" s="1"/>
      <c r="F12494" s="1"/>
      <c r="G12494" s="1"/>
    </row>
    <row r="12495">
      <c r="B12495" s="36"/>
      <c r="C12495" s="36"/>
      <c r="E12495" s="1"/>
      <c r="F12495" s="1"/>
      <c r="G12495" s="1"/>
    </row>
    <row r="12496">
      <c r="B12496" s="36"/>
      <c r="C12496" s="36"/>
      <c r="E12496" s="1"/>
      <c r="F12496" s="1"/>
      <c r="G12496" s="1"/>
    </row>
    <row r="12497">
      <c r="B12497" s="36"/>
      <c r="C12497" s="36"/>
      <c r="E12497" s="1"/>
      <c r="F12497" s="1"/>
      <c r="G12497" s="1"/>
    </row>
    <row r="12498">
      <c r="B12498" s="36"/>
      <c r="C12498" s="36"/>
      <c r="E12498" s="1"/>
      <c r="F12498" s="1"/>
      <c r="G12498" s="1"/>
    </row>
    <row r="12499">
      <c r="B12499" s="36"/>
      <c r="C12499" s="36"/>
      <c r="E12499" s="1"/>
      <c r="F12499" s="1"/>
      <c r="G12499" s="1"/>
    </row>
    <row r="12500">
      <c r="B12500" s="36"/>
      <c r="C12500" s="36"/>
      <c r="E12500" s="1"/>
      <c r="F12500" s="1"/>
      <c r="G12500" s="1"/>
    </row>
    <row r="12501">
      <c r="B12501" s="36"/>
      <c r="C12501" s="36"/>
      <c r="E12501" s="1"/>
      <c r="F12501" s="1"/>
      <c r="G12501" s="1"/>
    </row>
    <row r="12502">
      <c r="B12502" s="36"/>
      <c r="C12502" s="36"/>
      <c r="E12502" s="1"/>
      <c r="F12502" s="1"/>
      <c r="G12502" s="1"/>
    </row>
    <row r="12503">
      <c r="B12503" s="36"/>
      <c r="C12503" s="36"/>
      <c r="E12503" s="1"/>
      <c r="F12503" s="1"/>
      <c r="G12503" s="1"/>
    </row>
    <row r="12504">
      <c r="B12504" s="36"/>
      <c r="C12504" s="36"/>
      <c r="E12504" s="1"/>
      <c r="F12504" s="1"/>
      <c r="G12504" s="1"/>
    </row>
    <row r="12505">
      <c r="B12505" s="36"/>
      <c r="C12505" s="36"/>
      <c r="E12505" s="1"/>
      <c r="F12505" s="1"/>
      <c r="G12505" s="1"/>
    </row>
    <row r="12506">
      <c r="B12506" s="36"/>
      <c r="C12506" s="36"/>
      <c r="E12506" s="1"/>
      <c r="F12506" s="1"/>
      <c r="G12506" s="1"/>
    </row>
    <row r="12507">
      <c r="B12507" s="36"/>
      <c r="C12507" s="36"/>
      <c r="E12507" s="1"/>
      <c r="F12507" s="1"/>
      <c r="G12507" s="1"/>
    </row>
    <row r="12508">
      <c r="B12508" s="36"/>
      <c r="C12508" s="36"/>
      <c r="E12508" s="1"/>
      <c r="F12508" s="1"/>
      <c r="G12508" s="1"/>
    </row>
    <row r="12509">
      <c r="B12509" s="36"/>
      <c r="C12509" s="36"/>
      <c r="E12509" s="1"/>
      <c r="F12509" s="1"/>
      <c r="G12509" s="1"/>
    </row>
    <row r="12510">
      <c r="B12510" s="36"/>
      <c r="C12510" s="36"/>
      <c r="E12510" s="1"/>
      <c r="F12510" s="1"/>
      <c r="G12510" s="1"/>
    </row>
    <row r="12511">
      <c r="B12511" s="36"/>
      <c r="C12511" s="36"/>
      <c r="E12511" s="1"/>
      <c r="F12511" s="1"/>
      <c r="G12511" s="1"/>
    </row>
    <row r="12512">
      <c r="B12512" s="36"/>
      <c r="C12512" s="36"/>
      <c r="E12512" s="1"/>
      <c r="F12512" s="1"/>
      <c r="G12512" s="1"/>
    </row>
    <row r="12513">
      <c r="B12513" s="36"/>
      <c r="C12513" s="36"/>
      <c r="E12513" s="1"/>
      <c r="F12513" s="1"/>
      <c r="G12513" s="1"/>
    </row>
    <row r="12514">
      <c r="B12514" s="36"/>
      <c r="C12514" s="36"/>
      <c r="E12514" s="1"/>
      <c r="F12514" s="1"/>
      <c r="G12514" s="1"/>
    </row>
    <row r="12515">
      <c r="B12515" s="36"/>
      <c r="C12515" s="36"/>
      <c r="E12515" s="1"/>
      <c r="F12515" s="1"/>
      <c r="G12515" s="1"/>
    </row>
    <row r="12516">
      <c r="B12516" s="36"/>
      <c r="C12516" s="36"/>
      <c r="E12516" s="1"/>
      <c r="F12516" s="1"/>
      <c r="G12516" s="1"/>
    </row>
    <row r="12517">
      <c r="B12517" s="36"/>
      <c r="C12517" s="36"/>
      <c r="E12517" s="1"/>
      <c r="F12517" s="1"/>
      <c r="G12517" s="1"/>
    </row>
    <row r="12518">
      <c r="B12518" s="36"/>
      <c r="C12518" s="36"/>
      <c r="E12518" s="1"/>
      <c r="F12518" s="1"/>
      <c r="G12518" s="1"/>
    </row>
    <row r="12519">
      <c r="B12519" s="36"/>
      <c r="C12519" s="36"/>
      <c r="E12519" s="1"/>
      <c r="F12519" s="1"/>
      <c r="G12519" s="1"/>
    </row>
    <row r="12520">
      <c r="B12520" s="36"/>
      <c r="C12520" s="36"/>
      <c r="E12520" s="1"/>
      <c r="F12520" s="1"/>
      <c r="G12520" s="1"/>
    </row>
    <row r="12521">
      <c r="B12521" s="36"/>
      <c r="C12521" s="36"/>
      <c r="E12521" s="1"/>
      <c r="F12521" s="1"/>
      <c r="G12521" s="1"/>
    </row>
    <row r="12522">
      <c r="B12522" s="36"/>
      <c r="C12522" s="36"/>
      <c r="E12522" s="1"/>
      <c r="F12522" s="1"/>
      <c r="G12522" s="1"/>
    </row>
    <row r="12523">
      <c r="B12523" s="36"/>
      <c r="C12523" s="36"/>
      <c r="E12523" s="1"/>
      <c r="F12523" s="1"/>
      <c r="G12523" s="1"/>
    </row>
    <row r="12524">
      <c r="B12524" s="36"/>
      <c r="C12524" s="36"/>
      <c r="E12524" s="1"/>
      <c r="F12524" s="1"/>
      <c r="G12524" s="1"/>
    </row>
    <row r="12525">
      <c r="B12525" s="36"/>
      <c r="C12525" s="36"/>
      <c r="E12525" s="1"/>
      <c r="F12525" s="1"/>
      <c r="G12525" s="1"/>
    </row>
    <row r="12526">
      <c r="B12526" s="36"/>
      <c r="C12526" s="36"/>
      <c r="E12526" s="1"/>
      <c r="F12526" s="1"/>
      <c r="G12526" s="1"/>
    </row>
    <row r="12527">
      <c r="B12527" s="36"/>
      <c r="C12527" s="36"/>
      <c r="E12527" s="1"/>
      <c r="F12527" s="1"/>
      <c r="G12527" s="1"/>
    </row>
    <row r="12528">
      <c r="B12528" s="36"/>
      <c r="C12528" s="36"/>
      <c r="E12528" s="1"/>
      <c r="F12528" s="1"/>
      <c r="G12528" s="1"/>
    </row>
    <row r="12529">
      <c r="B12529" s="36"/>
      <c r="C12529" s="36"/>
      <c r="E12529" s="1"/>
      <c r="F12529" s="1"/>
      <c r="G12529" s="1"/>
    </row>
    <row r="12530">
      <c r="B12530" s="36"/>
      <c r="C12530" s="36"/>
      <c r="E12530" s="1"/>
      <c r="F12530" s="1"/>
      <c r="G12530" s="1"/>
    </row>
    <row r="12531">
      <c r="B12531" s="36"/>
      <c r="C12531" s="36"/>
      <c r="E12531" s="1"/>
      <c r="F12531" s="1"/>
      <c r="G12531" s="1"/>
    </row>
    <row r="12532">
      <c r="B12532" s="36"/>
      <c r="C12532" s="36"/>
      <c r="E12532" s="1"/>
      <c r="F12532" s="1"/>
      <c r="G12532" s="1"/>
    </row>
    <row r="12533">
      <c r="B12533" s="36"/>
      <c r="C12533" s="36"/>
      <c r="E12533" s="1"/>
      <c r="F12533" s="1"/>
      <c r="G12533" s="1"/>
    </row>
    <row r="12534">
      <c r="B12534" s="36"/>
      <c r="C12534" s="36"/>
      <c r="E12534" s="1"/>
      <c r="F12534" s="1"/>
      <c r="G12534" s="1"/>
    </row>
    <row r="12535">
      <c r="B12535" s="36"/>
      <c r="C12535" s="36"/>
      <c r="E12535" s="1"/>
      <c r="F12535" s="1"/>
      <c r="G12535" s="1"/>
    </row>
    <row r="12536">
      <c r="B12536" s="36"/>
      <c r="C12536" s="36"/>
      <c r="E12536" s="1"/>
      <c r="F12536" s="1"/>
      <c r="G12536" s="1"/>
    </row>
    <row r="12537">
      <c r="B12537" s="36"/>
      <c r="C12537" s="36"/>
      <c r="E12537" s="1"/>
      <c r="F12537" s="1"/>
      <c r="G12537" s="1"/>
    </row>
    <row r="12538">
      <c r="B12538" s="36"/>
      <c r="C12538" s="36"/>
      <c r="E12538" s="1"/>
      <c r="F12538" s="1"/>
      <c r="G12538" s="1"/>
    </row>
    <row r="12539">
      <c r="B12539" s="36"/>
      <c r="C12539" s="36"/>
      <c r="E12539" s="1"/>
      <c r="F12539" s="1"/>
      <c r="G12539" s="1"/>
    </row>
    <row r="12540">
      <c r="B12540" s="36"/>
      <c r="C12540" s="36"/>
      <c r="E12540" s="1"/>
      <c r="F12540" s="1"/>
      <c r="G12540" s="1"/>
    </row>
    <row r="12541">
      <c r="B12541" s="36"/>
      <c r="C12541" s="36"/>
      <c r="E12541" s="1"/>
      <c r="F12541" s="1"/>
      <c r="G12541" s="1"/>
    </row>
    <row r="12542">
      <c r="B12542" s="36"/>
      <c r="C12542" s="36"/>
      <c r="E12542" s="1"/>
      <c r="F12542" s="1"/>
      <c r="G12542" s="1"/>
    </row>
    <row r="12543">
      <c r="B12543" s="36"/>
      <c r="C12543" s="36"/>
      <c r="E12543" s="1"/>
      <c r="F12543" s="1"/>
      <c r="G12543" s="1"/>
    </row>
    <row r="12544">
      <c r="B12544" s="36"/>
      <c r="C12544" s="36"/>
      <c r="E12544" s="1"/>
      <c r="F12544" s="1"/>
      <c r="G12544" s="1"/>
    </row>
    <row r="12545">
      <c r="B12545" s="36"/>
      <c r="C12545" s="36"/>
      <c r="E12545" s="1"/>
      <c r="F12545" s="1"/>
      <c r="G12545" s="1"/>
    </row>
    <row r="12546">
      <c r="B12546" s="36"/>
      <c r="C12546" s="36"/>
      <c r="E12546" s="1"/>
      <c r="F12546" s="1"/>
      <c r="G12546" s="1"/>
    </row>
    <row r="12547">
      <c r="B12547" s="36"/>
      <c r="C12547" s="36"/>
      <c r="E12547" s="1"/>
      <c r="F12547" s="1"/>
      <c r="G12547" s="1"/>
    </row>
    <row r="12548">
      <c r="B12548" s="36"/>
      <c r="C12548" s="36"/>
      <c r="E12548" s="1"/>
      <c r="F12548" s="1"/>
      <c r="G12548" s="1"/>
    </row>
    <row r="12549">
      <c r="B12549" s="36"/>
      <c r="C12549" s="36"/>
      <c r="E12549" s="1"/>
      <c r="F12549" s="1"/>
      <c r="G12549" s="1"/>
    </row>
    <row r="12550">
      <c r="B12550" s="36"/>
      <c r="C12550" s="36"/>
      <c r="E12550" s="1"/>
      <c r="F12550" s="1"/>
      <c r="G12550" s="1"/>
    </row>
    <row r="12551">
      <c r="B12551" s="36"/>
      <c r="C12551" s="36"/>
      <c r="E12551" s="1"/>
      <c r="F12551" s="1"/>
      <c r="G12551" s="1"/>
    </row>
    <row r="12552">
      <c r="B12552" s="36"/>
      <c r="C12552" s="36"/>
      <c r="E12552" s="1"/>
      <c r="F12552" s="1"/>
      <c r="G12552" s="1"/>
    </row>
    <row r="12553">
      <c r="B12553" s="36"/>
      <c r="C12553" s="36"/>
      <c r="E12553" s="1"/>
      <c r="F12553" s="1"/>
      <c r="G12553" s="1"/>
    </row>
    <row r="12554">
      <c r="B12554" s="36"/>
      <c r="C12554" s="36"/>
      <c r="E12554" s="1"/>
      <c r="F12554" s="1"/>
      <c r="G12554" s="1"/>
    </row>
    <row r="12555">
      <c r="B12555" s="36"/>
      <c r="C12555" s="36"/>
      <c r="E12555" s="1"/>
      <c r="F12555" s="1"/>
      <c r="G12555" s="1"/>
    </row>
    <row r="12556">
      <c r="B12556" s="36"/>
      <c r="C12556" s="36"/>
      <c r="E12556" s="1"/>
      <c r="F12556" s="1"/>
      <c r="G12556" s="1"/>
    </row>
    <row r="12557">
      <c r="B12557" s="36"/>
      <c r="C12557" s="36"/>
      <c r="E12557" s="1"/>
      <c r="F12557" s="1"/>
      <c r="G12557" s="1"/>
    </row>
    <row r="12558">
      <c r="B12558" s="36"/>
      <c r="C12558" s="36"/>
      <c r="E12558" s="1"/>
      <c r="F12558" s="1"/>
      <c r="G12558" s="1"/>
    </row>
    <row r="12559">
      <c r="B12559" s="36"/>
      <c r="C12559" s="36"/>
      <c r="E12559" s="1"/>
      <c r="F12559" s="1"/>
      <c r="G12559" s="1"/>
    </row>
    <row r="12560">
      <c r="B12560" s="36"/>
      <c r="C12560" s="36"/>
      <c r="E12560" s="1"/>
      <c r="F12560" s="1"/>
      <c r="G12560" s="1"/>
    </row>
    <row r="12561">
      <c r="B12561" s="36"/>
      <c r="C12561" s="36"/>
      <c r="E12561" s="1"/>
      <c r="F12561" s="1"/>
      <c r="G12561" s="1"/>
    </row>
    <row r="12562">
      <c r="B12562" s="36"/>
      <c r="C12562" s="36"/>
      <c r="E12562" s="1"/>
      <c r="F12562" s="1"/>
      <c r="G12562" s="1"/>
    </row>
    <row r="12563">
      <c r="B12563" s="36"/>
      <c r="C12563" s="36"/>
      <c r="E12563" s="1"/>
      <c r="F12563" s="1"/>
      <c r="G12563" s="1"/>
    </row>
    <row r="12564">
      <c r="B12564" s="36"/>
      <c r="C12564" s="36"/>
      <c r="E12564" s="1"/>
      <c r="F12564" s="1"/>
      <c r="G12564" s="1"/>
    </row>
    <row r="12565">
      <c r="B12565" s="36"/>
      <c r="C12565" s="36"/>
      <c r="E12565" s="1"/>
      <c r="F12565" s="1"/>
      <c r="G12565" s="1"/>
    </row>
    <row r="12566">
      <c r="B12566" s="36"/>
      <c r="C12566" s="36"/>
      <c r="E12566" s="1"/>
      <c r="F12566" s="1"/>
      <c r="G12566" s="1"/>
    </row>
    <row r="12567">
      <c r="B12567" s="36"/>
      <c r="C12567" s="36"/>
      <c r="E12567" s="1"/>
      <c r="F12567" s="1"/>
      <c r="G12567" s="1"/>
    </row>
    <row r="12568">
      <c r="B12568" s="36"/>
      <c r="C12568" s="36"/>
      <c r="E12568" s="1"/>
      <c r="F12568" s="1"/>
      <c r="G12568" s="1"/>
    </row>
    <row r="12569">
      <c r="B12569" s="36"/>
      <c r="C12569" s="36"/>
      <c r="E12569" s="1"/>
      <c r="F12569" s="1"/>
      <c r="G12569" s="1"/>
    </row>
    <row r="12570">
      <c r="B12570" s="36"/>
      <c r="C12570" s="36"/>
      <c r="E12570" s="1"/>
      <c r="F12570" s="1"/>
      <c r="G12570" s="1"/>
    </row>
    <row r="12571">
      <c r="B12571" s="36"/>
      <c r="C12571" s="36"/>
      <c r="E12571" s="1"/>
      <c r="F12571" s="1"/>
      <c r="G12571" s="1"/>
    </row>
    <row r="12572">
      <c r="B12572" s="36"/>
      <c r="C12572" s="36"/>
      <c r="E12572" s="1"/>
      <c r="F12572" s="1"/>
      <c r="G12572" s="1"/>
    </row>
    <row r="12573">
      <c r="B12573" s="36"/>
      <c r="C12573" s="36"/>
      <c r="E12573" s="1"/>
      <c r="F12573" s="1"/>
      <c r="G12573" s="1"/>
    </row>
    <row r="12574">
      <c r="B12574" s="36"/>
      <c r="C12574" s="36"/>
      <c r="E12574" s="1"/>
      <c r="F12574" s="1"/>
      <c r="G12574" s="1"/>
    </row>
    <row r="12575">
      <c r="B12575" s="36"/>
      <c r="C12575" s="36"/>
      <c r="E12575" s="1"/>
      <c r="F12575" s="1"/>
      <c r="G12575" s="1"/>
    </row>
    <row r="12576">
      <c r="B12576" s="36"/>
      <c r="C12576" s="36"/>
      <c r="E12576" s="1"/>
      <c r="F12576" s="1"/>
      <c r="G12576" s="1"/>
    </row>
    <row r="12577">
      <c r="B12577" s="36"/>
      <c r="C12577" s="36"/>
      <c r="E12577" s="1"/>
      <c r="F12577" s="1"/>
      <c r="G12577" s="1"/>
    </row>
    <row r="12578">
      <c r="B12578" s="36"/>
      <c r="C12578" s="36"/>
      <c r="E12578" s="1"/>
      <c r="F12578" s="1"/>
      <c r="G12578" s="1"/>
    </row>
    <row r="12579">
      <c r="B12579" s="36"/>
      <c r="C12579" s="36"/>
      <c r="E12579" s="1"/>
      <c r="F12579" s="1"/>
      <c r="G12579" s="1"/>
    </row>
    <row r="12580">
      <c r="B12580" s="36"/>
      <c r="C12580" s="36"/>
      <c r="E12580" s="1"/>
      <c r="F12580" s="1"/>
      <c r="G12580" s="1"/>
    </row>
    <row r="12581">
      <c r="B12581" s="36"/>
      <c r="C12581" s="36"/>
      <c r="E12581" s="1"/>
      <c r="F12581" s="1"/>
      <c r="G12581" s="1"/>
    </row>
    <row r="12582">
      <c r="B12582" s="36"/>
      <c r="C12582" s="36"/>
      <c r="E12582" s="1"/>
      <c r="F12582" s="1"/>
      <c r="G12582" s="1"/>
    </row>
    <row r="12583">
      <c r="B12583" s="36"/>
      <c r="C12583" s="36"/>
      <c r="E12583" s="1"/>
      <c r="F12583" s="1"/>
      <c r="G12583" s="1"/>
    </row>
    <row r="12584">
      <c r="B12584" s="36"/>
      <c r="C12584" s="36"/>
      <c r="E12584" s="1"/>
      <c r="F12584" s="1"/>
      <c r="G12584" s="1"/>
    </row>
    <row r="12585">
      <c r="B12585" s="36"/>
      <c r="C12585" s="36"/>
      <c r="E12585" s="1"/>
      <c r="F12585" s="1"/>
      <c r="G12585" s="1"/>
    </row>
    <row r="12586">
      <c r="B12586" s="36"/>
      <c r="C12586" s="36"/>
      <c r="E12586" s="1"/>
      <c r="F12586" s="1"/>
      <c r="G12586" s="1"/>
    </row>
    <row r="12587">
      <c r="B12587" s="36"/>
      <c r="C12587" s="36"/>
      <c r="E12587" s="1"/>
      <c r="F12587" s="1"/>
      <c r="G12587" s="1"/>
    </row>
    <row r="12588">
      <c r="B12588" s="36"/>
      <c r="C12588" s="36"/>
      <c r="E12588" s="1"/>
      <c r="F12588" s="1"/>
      <c r="G12588" s="1"/>
    </row>
    <row r="12589">
      <c r="B12589" s="36"/>
      <c r="C12589" s="36"/>
      <c r="E12589" s="1"/>
      <c r="F12589" s="1"/>
      <c r="G12589" s="1"/>
    </row>
    <row r="12590">
      <c r="B12590" s="36"/>
      <c r="C12590" s="36"/>
      <c r="E12590" s="1"/>
      <c r="F12590" s="1"/>
      <c r="G12590" s="1"/>
    </row>
    <row r="12591">
      <c r="B12591" s="36"/>
      <c r="C12591" s="36"/>
      <c r="E12591" s="1"/>
      <c r="F12591" s="1"/>
      <c r="G12591" s="1"/>
    </row>
    <row r="12592">
      <c r="B12592" s="36"/>
      <c r="C12592" s="36"/>
      <c r="E12592" s="1"/>
      <c r="F12592" s="1"/>
      <c r="G12592" s="1"/>
    </row>
    <row r="12593">
      <c r="B12593" s="36"/>
      <c r="C12593" s="36"/>
      <c r="E12593" s="1"/>
      <c r="F12593" s="1"/>
      <c r="G12593" s="1"/>
    </row>
    <row r="12594">
      <c r="B12594" s="36"/>
      <c r="C12594" s="36"/>
      <c r="E12594" s="1"/>
      <c r="F12594" s="1"/>
      <c r="G12594" s="1"/>
    </row>
    <row r="12595">
      <c r="B12595" s="36"/>
      <c r="C12595" s="36"/>
      <c r="E12595" s="1"/>
      <c r="F12595" s="1"/>
      <c r="G12595" s="1"/>
    </row>
    <row r="12596">
      <c r="B12596" s="36"/>
      <c r="C12596" s="36"/>
      <c r="E12596" s="1"/>
      <c r="F12596" s="1"/>
      <c r="G12596" s="1"/>
    </row>
    <row r="12597">
      <c r="B12597" s="36"/>
      <c r="C12597" s="36"/>
      <c r="E12597" s="1"/>
      <c r="F12597" s="1"/>
      <c r="G12597" s="1"/>
    </row>
    <row r="12598">
      <c r="B12598" s="36"/>
      <c r="C12598" s="36"/>
      <c r="E12598" s="1"/>
      <c r="F12598" s="1"/>
      <c r="G12598" s="1"/>
    </row>
    <row r="12599">
      <c r="B12599" s="36"/>
      <c r="C12599" s="36"/>
      <c r="E12599" s="1"/>
      <c r="F12599" s="1"/>
      <c r="G12599" s="1"/>
    </row>
    <row r="12600">
      <c r="B12600" s="36"/>
      <c r="C12600" s="36"/>
      <c r="E12600" s="1"/>
      <c r="F12600" s="1"/>
      <c r="G12600" s="1"/>
    </row>
    <row r="12601">
      <c r="B12601" s="36"/>
      <c r="C12601" s="36"/>
      <c r="E12601" s="1"/>
      <c r="F12601" s="1"/>
      <c r="G12601" s="1"/>
    </row>
    <row r="12602">
      <c r="B12602" s="36"/>
      <c r="C12602" s="36"/>
      <c r="E12602" s="1"/>
      <c r="F12602" s="1"/>
      <c r="G12602" s="1"/>
    </row>
    <row r="12603">
      <c r="B12603" s="36"/>
      <c r="C12603" s="36"/>
      <c r="E12603" s="1"/>
      <c r="F12603" s="1"/>
      <c r="G12603" s="1"/>
    </row>
    <row r="12604">
      <c r="B12604" s="36"/>
      <c r="C12604" s="36"/>
      <c r="E12604" s="1"/>
      <c r="F12604" s="1"/>
      <c r="G12604" s="1"/>
    </row>
    <row r="12605">
      <c r="B12605" s="36"/>
      <c r="C12605" s="36"/>
      <c r="E12605" s="1"/>
      <c r="F12605" s="1"/>
      <c r="G12605" s="1"/>
    </row>
    <row r="12606">
      <c r="B12606" s="36"/>
      <c r="C12606" s="36"/>
      <c r="E12606" s="1"/>
      <c r="F12606" s="1"/>
      <c r="G12606" s="1"/>
    </row>
    <row r="12607">
      <c r="B12607" s="36"/>
      <c r="C12607" s="36"/>
      <c r="E12607" s="1"/>
      <c r="F12607" s="1"/>
      <c r="G12607" s="1"/>
    </row>
    <row r="12608">
      <c r="B12608" s="36"/>
      <c r="C12608" s="36"/>
      <c r="E12608" s="1"/>
      <c r="F12608" s="1"/>
      <c r="G12608" s="1"/>
    </row>
    <row r="12609">
      <c r="B12609" s="36"/>
      <c r="C12609" s="36"/>
      <c r="E12609" s="1"/>
      <c r="F12609" s="1"/>
      <c r="G12609" s="1"/>
    </row>
    <row r="12610">
      <c r="B12610" s="36"/>
      <c r="C12610" s="36"/>
      <c r="E12610" s="1"/>
      <c r="F12610" s="1"/>
      <c r="G12610" s="1"/>
    </row>
    <row r="12611">
      <c r="B12611" s="36"/>
      <c r="C12611" s="36"/>
      <c r="E12611" s="1"/>
      <c r="F12611" s="1"/>
      <c r="G12611" s="1"/>
    </row>
    <row r="12612">
      <c r="B12612" s="36"/>
      <c r="C12612" s="36"/>
      <c r="E12612" s="1"/>
      <c r="F12612" s="1"/>
      <c r="G12612" s="1"/>
    </row>
    <row r="12613">
      <c r="B12613" s="36"/>
      <c r="C12613" s="36"/>
      <c r="E12613" s="1"/>
      <c r="F12613" s="1"/>
      <c r="G12613" s="1"/>
    </row>
    <row r="12614">
      <c r="B12614" s="36"/>
      <c r="C12614" s="36"/>
      <c r="E12614" s="1"/>
      <c r="F12614" s="1"/>
      <c r="G12614" s="1"/>
    </row>
    <row r="12615">
      <c r="B12615" s="36"/>
      <c r="C12615" s="36"/>
      <c r="E12615" s="1"/>
      <c r="F12615" s="1"/>
      <c r="G12615" s="1"/>
    </row>
    <row r="12616">
      <c r="B12616" s="36"/>
      <c r="C12616" s="36"/>
      <c r="E12616" s="1"/>
      <c r="F12616" s="1"/>
      <c r="G12616" s="1"/>
    </row>
    <row r="12617">
      <c r="B12617" s="36"/>
      <c r="C12617" s="36"/>
      <c r="E12617" s="1"/>
      <c r="F12617" s="1"/>
      <c r="G12617" s="1"/>
    </row>
    <row r="12618">
      <c r="B12618" s="36"/>
      <c r="C12618" s="36"/>
      <c r="E12618" s="1"/>
      <c r="F12618" s="1"/>
      <c r="G12618" s="1"/>
    </row>
    <row r="12619">
      <c r="B12619" s="36"/>
      <c r="C12619" s="36"/>
      <c r="E12619" s="1"/>
      <c r="F12619" s="1"/>
      <c r="G12619" s="1"/>
    </row>
    <row r="12620">
      <c r="B12620" s="36"/>
      <c r="C12620" s="36"/>
      <c r="E12620" s="1"/>
      <c r="F12620" s="1"/>
      <c r="G12620" s="1"/>
    </row>
    <row r="12621">
      <c r="B12621" s="36"/>
      <c r="C12621" s="36"/>
      <c r="E12621" s="1"/>
      <c r="F12621" s="1"/>
      <c r="G12621" s="1"/>
    </row>
    <row r="12622">
      <c r="B12622" s="36"/>
      <c r="C12622" s="36"/>
      <c r="E12622" s="1"/>
      <c r="F12622" s="1"/>
      <c r="G12622" s="1"/>
    </row>
    <row r="12623">
      <c r="B12623" s="36"/>
      <c r="C12623" s="36"/>
      <c r="E12623" s="1"/>
      <c r="F12623" s="1"/>
      <c r="G12623" s="1"/>
    </row>
    <row r="12624">
      <c r="B12624" s="36"/>
      <c r="C12624" s="36"/>
      <c r="E12624" s="1"/>
      <c r="F12624" s="1"/>
      <c r="G12624" s="1"/>
    </row>
    <row r="12625">
      <c r="B12625" s="36"/>
      <c r="C12625" s="36"/>
      <c r="E12625" s="1"/>
      <c r="F12625" s="1"/>
      <c r="G12625" s="1"/>
    </row>
    <row r="12626">
      <c r="B12626" s="36"/>
      <c r="C12626" s="36"/>
      <c r="E12626" s="1"/>
      <c r="F12626" s="1"/>
      <c r="G12626" s="1"/>
    </row>
    <row r="12627">
      <c r="B12627" s="36"/>
      <c r="C12627" s="36"/>
      <c r="E12627" s="1"/>
      <c r="F12627" s="1"/>
      <c r="G12627" s="1"/>
    </row>
    <row r="12628">
      <c r="B12628" s="36"/>
      <c r="C12628" s="36"/>
      <c r="E12628" s="1"/>
      <c r="F12628" s="1"/>
      <c r="G12628" s="1"/>
    </row>
    <row r="12629">
      <c r="B12629" s="36"/>
      <c r="C12629" s="36"/>
      <c r="E12629" s="1"/>
      <c r="F12629" s="1"/>
      <c r="G12629" s="1"/>
    </row>
    <row r="12630">
      <c r="B12630" s="36"/>
      <c r="C12630" s="36"/>
      <c r="E12630" s="1"/>
      <c r="F12630" s="1"/>
      <c r="G12630" s="1"/>
    </row>
    <row r="12631">
      <c r="B12631" s="36"/>
      <c r="C12631" s="36"/>
      <c r="E12631" s="1"/>
      <c r="F12631" s="1"/>
      <c r="G12631" s="1"/>
    </row>
    <row r="12632">
      <c r="B12632" s="36"/>
      <c r="C12632" s="36"/>
      <c r="E12632" s="1"/>
      <c r="F12632" s="1"/>
      <c r="G12632" s="1"/>
    </row>
    <row r="12633">
      <c r="B12633" s="36"/>
      <c r="C12633" s="36"/>
      <c r="E12633" s="1"/>
      <c r="F12633" s="1"/>
      <c r="G12633" s="1"/>
    </row>
    <row r="12634">
      <c r="B12634" s="36"/>
      <c r="C12634" s="36"/>
      <c r="E12634" s="1"/>
      <c r="F12634" s="1"/>
      <c r="G12634" s="1"/>
    </row>
    <row r="12635">
      <c r="B12635" s="36"/>
      <c r="C12635" s="36"/>
      <c r="E12635" s="1"/>
      <c r="F12635" s="1"/>
      <c r="G12635" s="1"/>
    </row>
    <row r="12636">
      <c r="B12636" s="36"/>
      <c r="C12636" s="36"/>
      <c r="E12636" s="1"/>
      <c r="F12636" s="1"/>
      <c r="G12636" s="1"/>
    </row>
    <row r="12637">
      <c r="B12637" s="36"/>
      <c r="C12637" s="36"/>
      <c r="E12637" s="1"/>
      <c r="F12637" s="1"/>
      <c r="G12637" s="1"/>
    </row>
    <row r="12638">
      <c r="B12638" s="36"/>
      <c r="C12638" s="36"/>
      <c r="E12638" s="1"/>
      <c r="F12638" s="1"/>
      <c r="G12638" s="1"/>
    </row>
    <row r="12639">
      <c r="B12639" s="36"/>
      <c r="C12639" s="36"/>
      <c r="E12639" s="1"/>
      <c r="F12639" s="1"/>
      <c r="G12639" s="1"/>
    </row>
    <row r="12640">
      <c r="B12640" s="36"/>
      <c r="C12640" s="36"/>
      <c r="E12640" s="1"/>
      <c r="F12640" s="1"/>
      <c r="G12640" s="1"/>
    </row>
    <row r="12641">
      <c r="B12641" s="36"/>
      <c r="C12641" s="36"/>
      <c r="E12641" s="1"/>
      <c r="F12641" s="1"/>
      <c r="G12641" s="1"/>
    </row>
    <row r="12642">
      <c r="B12642" s="36"/>
      <c r="C12642" s="36"/>
      <c r="E12642" s="1"/>
      <c r="F12642" s="1"/>
      <c r="G12642" s="1"/>
    </row>
    <row r="12643">
      <c r="B12643" s="36"/>
      <c r="C12643" s="36"/>
      <c r="E12643" s="1"/>
      <c r="F12643" s="1"/>
      <c r="G12643" s="1"/>
    </row>
    <row r="12644">
      <c r="B12644" s="36"/>
      <c r="C12644" s="36"/>
      <c r="E12644" s="1"/>
      <c r="F12644" s="1"/>
      <c r="G12644" s="1"/>
    </row>
    <row r="12645">
      <c r="B12645" s="36"/>
      <c r="C12645" s="36"/>
      <c r="E12645" s="1"/>
      <c r="F12645" s="1"/>
      <c r="G12645" s="1"/>
    </row>
    <row r="12646">
      <c r="B12646" s="36"/>
      <c r="C12646" s="36"/>
      <c r="E12646" s="1"/>
      <c r="F12646" s="1"/>
      <c r="G12646" s="1"/>
    </row>
    <row r="12647">
      <c r="B12647" s="36"/>
      <c r="C12647" s="36"/>
      <c r="E12647" s="1"/>
      <c r="F12647" s="1"/>
      <c r="G12647" s="1"/>
    </row>
    <row r="12648">
      <c r="B12648" s="36"/>
      <c r="C12648" s="36"/>
      <c r="E12648" s="1"/>
      <c r="F12648" s="1"/>
      <c r="G12648" s="1"/>
    </row>
    <row r="12649">
      <c r="B12649" s="36"/>
      <c r="C12649" s="36"/>
      <c r="E12649" s="1"/>
      <c r="F12649" s="1"/>
      <c r="G12649" s="1"/>
    </row>
    <row r="12650">
      <c r="B12650" s="36"/>
      <c r="C12650" s="36"/>
      <c r="E12650" s="1"/>
      <c r="F12650" s="1"/>
      <c r="G12650" s="1"/>
    </row>
    <row r="12651">
      <c r="B12651" s="36"/>
      <c r="C12651" s="36"/>
      <c r="E12651" s="1"/>
      <c r="F12651" s="1"/>
      <c r="G12651" s="1"/>
    </row>
    <row r="12652">
      <c r="B12652" s="36"/>
      <c r="C12652" s="36"/>
      <c r="E12652" s="1"/>
      <c r="F12652" s="1"/>
      <c r="G12652" s="1"/>
    </row>
    <row r="12653">
      <c r="B12653" s="36"/>
      <c r="C12653" s="36"/>
      <c r="E12653" s="1"/>
      <c r="F12653" s="1"/>
      <c r="G12653" s="1"/>
    </row>
    <row r="12654">
      <c r="B12654" s="36"/>
      <c r="C12654" s="36"/>
      <c r="E12654" s="1"/>
      <c r="F12654" s="1"/>
      <c r="G12654" s="1"/>
    </row>
    <row r="12655">
      <c r="B12655" s="36"/>
      <c r="C12655" s="36"/>
      <c r="E12655" s="1"/>
      <c r="F12655" s="1"/>
      <c r="G12655" s="1"/>
    </row>
    <row r="12656">
      <c r="B12656" s="36"/>
      <c r="C12656" s="36"/>
      <c r="E12656" s="1"/>
      <c r="F12656" s="1"/>
      <c r="G12656" s="1"/>
    </row>
    <row r="12657">
      <c r="B12657" s="36"/>
      <c r="C12657" s="36"/>
      <c r="E12657" s="1"/>
      <c r="F12657" s="1"/>
      <c r="G12657" s="1"/>
    </row>
    <row r="12658">
      <c r="B12658" s="36"/>
      <c r="C12658" s="36"/>
      <c r="E12658" s="1"/>
      <c r="F12658" s="1"/>
      <c r="G12658" s="1"/>
    </row>
    <row r="12659">
      <c r="B12659" s="36"/>
      <c r="C12659" s="36"/>
      <c r="E12659" s="1"/>
      <c r="F12659" s="1"/>
      <c r="G12659" s="1"/>
    </row>
    <row r="12660">
      <c r="B12660" s="36"/>
      <c r="C12660" s="36"/>
      <c r="E12660" s="1"/>
      <c r="F12660" s="1"/>
      <c r="G12660" s="1"/>
    </row>
    <row r="12661">
      <c r="B12661" s="36"/>
      <c r="C12661" s="36"/>
      <c r="E12661" s="1"/>
      <c r="F12661" s="1"/>
      <c r="G12661" s="1"/>
    </row>
    <row r="12662">
      <c r="B12662" s="36"/>
      <c r="C12662" s="36"/>
      <c r="E12662" s="1"/>
      <c r="F12662" s="1"/>
      <c r="G12662" s="1"/>
    </row>
    <row r="12663">
      <c r="B12663" s="36"/>
      <c r="C12663" s="36"/>
      <c r="E12663" s="1"/>
      <c r="F12663" s="1"/>
      <c r="G12663" s="1"/>
    </row>
    <row r="12664">
      <c r="B12664" s="36"/>
      <c r="C12664" s="36"/>
      <c r="E12664" s="1"/>
      <c r="F12664" s="1"/>
      <c r="G12664" s="1"/>
    </row>
    <row r="12665">
      <c r="B12665" s="36"/>
      <c r="C12665" s="36"/>
      <c r="E12665" s="1"/>
      <c r="F12665" s="1"/>
      <c r="G12665" s="1"/>
    </row>
    <row r="12666">
      <c r="B12666" s="36"/>
      <c r="C12666" s="36"/>
      <c r="E12666" s="1"/>
      <c r="F12666" s="1"/>
      <c r="G12666" s="1"/>
    </row>
    <row r="12667">
      <c r="B12667" s="36"/>
      <c r="C12667" s="36"/>
      <c r="E12667" s="1"/>
      <c r="F12667" s="1"/>
      <c r="G12667" s="1"/>
    </row>
    <row r="12668">
      <c r="B12668" s="36"/>
      <c r="C12668" s="36"/>
      <c r="E12668" s="1"/>
      <c r="F12668" s="1"/>
      <c r="G12668" s="1"/>
    </row>
    <row r="12669">
      <c r="B12669" s="36"/>
      <c r="C12669" s="36"/>
      <c r="E12669" s="1"/>
      <c r="F12669" s="1"/>
      <c r="G12669" s="1"/>
    </row>
    <row r="12670">
      <c r="B12670" s="36"/>
      <c r="C12670" s="36"/>
      <c r="E12670" s="1"/>
      <c r="F12670" s="1"/>
      <c r="G12670" s="1"/>
    </row>
    <row r="12671">
      <c r="B12671" s="36"/>
      <c r="C12671" s="36"/>
      <c r="E12671" s="1"/>
      <c r="F12671" s="1"/>
      <c r="G12671" s="1"/>
    </row>
    <row r="12672">
      <c r="B12672" s="36"/>
      <c r="C12672" s="36"/>
      <c r="E12672" s="1"/>
      <c r="F12672" s="1"/>
      <c r="G12672" s="1"/>
    </row>
    <row r="12673">
      <c r="B12673" s="36"/>
      <c r="C12673" s="36"/>
      <c r="E12673" s="1"/>
      <c r="F12673" s="1"/>
      <c r="G12673" s="1"/>
    </row>
    <row r="12674">
      <c r="B12674" s="36"/>
      <c r="C12674" s="36"/>
      <c r="E12674" s="1"/>
      <c r="F12674" s="1"/>
      <c r="G12674" s="1"/>
    </row>
    <row r="12675">
      <c r="B12675" s="36"/>
      <c r="C12675" s="36"/>
      <c r="E12675" s="1"/>
      <c r="F12675" s="1"/>
      <c r="G12675" s="1"/>
    </row>
    <row r="12676">
      <c r="B12676" s="36"/>
      <c r="C12676" s="36"/>
      <c r="E12676" s="1"/>
      <c r="F12676" s="1"/>
      <c r="G12676" s="1"/>
    </row>
    <row r="12677">
      <c r="B12677" s="36"/>
      <c r="C12677" s="36"/>
      <c r="E12677" s="1"/>
      <c r="F12677" s="1"/>
      <c r="G12677" s="1"/>
    </row>
    <row r="12678">
      <c r="B12678" s="36"/>
      <c r="C12678" s="36"/>
      <c r="E12678" s="1"/>
      <c r="F12678" s="1"/>
      <c r="G12678" s="1"/>
    </row>
    <row r="12679">
      <c r="B12679" s="36"/>
      <c r="C12679" s="36"/>
      <c r="E12679" s="1"/>
      <c r="F12679" s="1"/>
      <c r="G12679" s="1"/>
    </row>
    <row r="12680">
      <c r="B12680" s="36"/>
      <c r="C12680" s="36"/>
      <c r="E12680" s="1"/>
      <c r="F12680" s="1"/>
      <c r="G12680" s="1"/>
    </row>
    <row r="12681">
      <c r="B12681" s="36"/>
      <c r="C12681" s="36"/>
      <c r="E12681" s="1"/>
      <c r="F12681" s="1"/>
      <c r="G12681" s="1"/>
    </row>
    <row r="12682">
      <c r="B12682" s="36"/>
      <c r="C12682" s="36"/>
      <c r="E12682" s="1"/>
      <c r="F12682" s="1"/>
      <c r="G12682" s="1"/>
    </row>
    <row r="12683">
      <c r="B12683" s="36"/>
      <c r="C12683" s="36"/>
      <c r="E12683" s="1"/>
      <c r="F12683" s="1"/>
      <c r="G12683" s="1"/>
    </row>
    <row r="12684">
      <c r="B12684" s="36"/>
      <c r="C12684" s="36"/>
      <c r="E12684" s="1"/>
      <c r="F12684" s="1"/>
      <c r="G12684" s="1"/>
    </row>
    <row r="12685">
      <c r="B12685" s="36"/>
      <c r="C12685" s="36"/>
      <c r="E12685" s="1"/>
      <c r="F12685" s="1"/>
      <c r="G12685" s="1"/>
    </row>
    <row r="12686">
      <c r="B12686" s="36"/>
      <c r="C12686" s="36"/>
      <c r="E12686" s="1"/>
      <c r="F12686" s="1"/>
      <c r="G12686" s="1"/>
    </row>
    <row r="12687">
      <c r="B12687" s="36"/>
      <c r="C12687" s="36"/>
      <c r="E12687" s="1"/>
      <c r="F12687" s="1"/>
      <c r="G12687" s="1"/>
    </row>
    <row r="12688">
      <c r="B12688" s="36"/>
      <c r="C12688" s="36"/>
      <c r="E12688" s="1"/>
      <c r="F12688" s="1"/>
      <c r="G12688" s="1"/>
    </row>
    <row r="12689">
      <c r="B12689" s="36"/>
      <c r="C12689" s="36"/>
      <c r="E12689" s="1"/>
      <c r="F12689" s="1"/>
      <c r="G12689" s="1"/>
    </row>
    <row r="12690">
      <c r="B12690" s="36"/>
      <c r="C12690" s="36"/>
      <c r="E12690" s="1"/>
      <c r="F12690" s="1"/>
      <c r="G12690" s="1"/>
    </row>
    <row r="12691">
      <c r="B12691" s="36"/>
      <c r="C12691" s="36"/>
      <c r="E12691" s="1"/>
      <c r="F12691" s="1"/>
      <c r="G12691" s="1"/>
    </row>
    <row r="12692">
      <c r="B12692" s="36"/>
      <c r="C12692" s="36"/>
      <c r="E12692" s="1"/>
      <c r="F12692" s="1"/>
      <c r="G12692" s="1"/>
    </row>
    <row r="12693">
      <c r="B12693" s="36"/>
      <c r="C12693" s="36"/>
      <c r="E12693" s="1"/>
      <c r="F12693" s="1"/>
      <c r="G12693" s="1"/>
    </row>
    <row r="12694">
      <c r="B12694" s="36"/>
      <c r="C12694" s="36"/>
      <c r="E12694" s="1"/>
      <c r="F12694" s="1"/>
      <c r="G12694" s="1"/>
    </row>
    <row r="12695">
      <c r="B12695" s="36"/>
      <c r="C12695" s="36"/>
      <c r="E12695" s="1"/>
      <c r="F12695" s="1"/>
      <c r="G12695" s="1"/>
    </row>
    <row r="12696">
      <c r="B12696" s="36"/>
      <c r="C12696" s="36"/>
      <c r="E12696" s="1"/>
      <c r="F12696" s="1"/>
      <c r="G12696" s="1"/>
    </row>
    <row r="12697">
      <c r="B12697" s="36"/>
      <c r="C12697" s="36"/>
      <c r="E12697" s="1"/>
      <c r="F12697" s="1"/>
      <c r="G12697" s="1"/>
    </row>
    <row r="12698">
      <c r="B12698" s="36"/>
      <c r="C12698" s="36"/>
      <c r="E12698" s="1"/>
      <c r="F12698" s="1"/>
      <c r="G12698" s="1"/>
    </row>
    <row r="12699">
      <c r="B12699" s="36"/>
      <c r="C12699" s="36"/>
      <c r="E12699" s="1"/>
      <c r="F12699" s="1"/>
      <c r="G12699" s="1"/>
    </row>
    <row r="12700">
      <c r="B12700" s="36"/>
      <c r="C12700" s="36"/>
      <c r="E12700" s="1"/>
      <c r="F12700" s="1"/>
      <c r="G12700" s="1"/>
    </row>
    <row r="12701">
      <c r="B12701" s="36"/>
      <c r="C12701" s="36"/>
      <c r="E12701" s="1"/>
      <c r="F12701" s="1"/>
      <c r="G12701" s="1"/>
    </row>
    <row r="12702">
      <c r="B12702" s="36"/>
      <c r="C12702" s="36"/>
      <c r="E12702" s="1"/>
      <c r="F12702" s="1"/>
      <c r="G12702" s="1"/>
    </row>
    <row r="12703">
      <c r="B12703" s="36"/>
      <c r="C12703" s="36"/>
      <c r="E12703" s="1"/>
      <c r="F12703" s="1"/>
      <c r="G12703" s="1"/>
    </row>
    <row r="12704">
      <c r="B12704" s="36"/>
      <c r="C12704" s="36"/>
      <c r="E12704" s="1"/>
      <c r="F12704" s="1"/>
      <c r="G12704" s="1"/>
    </row>
    <row r="12705">
      <c r="B12705" s="36"/>
      <c r="C12705" s="36"/>
      <c r="E12705" s="1"/>
      <c r="F12705" s="1"/>
      <c r="G12705" s="1"/>
    </row>
    <row r="12706">
      <c r="B12706" s="36"/>
      <c r="C12706" s="36"/>
      <c r="E12706" s="1"/>
      <c r="F12706" s="1"/>
      <c r="G12706" s="1"/>
    </row>
    <row r="12707">
      <c r="B12707" s="36"/>
      <c r="C12707" s="36"/>
      <c r="E12707" s="1"/>
      <c r="F12707" s="1"/>
      <c r="G12707" s="1"/>
    </row>
    <row r="12708">
      <c r="B12708" s="36"/>
      <c r="C12708" s="36"/>
      <c r="E12708" s="1"/>
      <c r="F12708" s="1"/>
      <c r="G12708" s="1"/>
    </row>
    <row r="12709">
      <c r="B12709" s="36"/>
      <c r="C12709" s="36"/>
      <c r="E12709" s="1"/>
      <c r="F12709" s="1"/>
      <c r="G12709" s="1"/>
    </row>
    <row r="12710">
      <c r="B12710" s="36"/>
      <c r="C12710" s="36"/>
      <c r="E12710" s="1"/>
      <c r="F12710" s="1"/>
      <c r="G12710" s="1"/>
    </row>
    <row r="12711">
      <c r="B12711" s="36"/>
      <c r="C12711" s="36"/>
      <c r="E12711" s="1"/>
      <c r="F12711" s="1"/>
      <c r="G12711" s="1"/>
    </row>
    <row r="12712">
      <c r="B12712" s="36"/>
      <c r="C12712" s="36"/>
      <c r="E12712" s="1"/>
      <c r="F12712" s="1"/>
      <c r="G12712" s="1"/>
    </row>
    <row r="12713">
      <c r="B12713" s="36"/>
      <c r="C12713" s="36"/>
      <c r="E12713" s="1"/>
      <c r="F12713" s="1"/>
      <c r="G12713" s="1"/>
    </row>
    <row r="12714">
      <c r="B12714" s="36"/>
      <c r="C12714" s="36"/>
      <c r="E12714" s="1"/>
      <c r="F12714" s="1"/>
      <c r="G12714" s="1"/>
    </row>
    <row r="12715">
      <c r="B12715" s="36"/>
      <c r="C12715" s="36"/>
      <c r="E12715" s="1"/>
      <c r="F12715" s="1"/>
      <c r="G12715" s="1"/>
    </row>
    <row r="12716">
      <c r="B12716" s="36"/>
      <c r="C12716" s="36"/>
      <c r="E12716" s="1"/>
      <c r="F12716" s="1"/>
      <c r="G12716" s="1"/>
    </row>
    <row r="12717">
      <c r="B12717" s="36"/>
      <c r="C12717" s="36"/>
      <c r="E12717" s="1"/>
      <c r="F12717" s="1"/>
      <c r="G12717" s="1"/>
    </row>
    <row r="12718">
      <c r="B12718" s="36"/>
      <c r="C12718" s="36"/>
      <c r="E12718" s="1"/>
      <c r="F12718" s="1"/>
      <c r="G12718" s="1"/>
    </row>
    <row r="12719">
      <c r="B12719" s="36"/>
      <c r="C12719" s="36"/>
      <c r="E12719" s="1"/>
      <c r="F12719" s="1"/>
      <c r="G12719" s="1"/>
    </row>
    <row r="12720">
      <c r="B12720" s="36"/>
      <c r="C12720" s="36"/>
      <c r="E12720" s="1"/>
      <c r="F12720" s="1"/>
      <c r="G12720" s="1"/>
    </row>
    <row r="12721">
      <c r="B12721" s="36"/>
      <c r="C12721" s="36"/>
      <c r="E12721" s="1"/>
      <c r="F12721" s="1"/>
      <c r="G12721" s="1"/>
    </row>
    <row r="12722">
      <c r="B12722" s="36"/>
      <c r="C12722" s="36"/>
      <c r="E12722" s="1"/>
      <c r="F12722" s="1"/>
      <c r="G12722" s="1"/>
    </row>
    <row r="12723">
      <c r="B12723" s="36"/>
      <c r="C12723" s="36"/>
      <c r="E12723" s="1"/>
      <c r="F12723" s="1"/>
      <c r="G12723" s="1"/>
    </row>
    <row r="12724">
      <c r="B12724" s="36"/>
      <c r="C12724" s="36"/>
      <c r="E12724" s="1"/>
      <c r="F12724" s="1"/>
      <c r="G12724" s="1"/>
    </row>
    <row r="12725">
      <c r="B12725" s="36"/>
      <c r="C12725" s="36"/>
      <c r="E12725" s="1"/>
      <c r="F12725" s="1"/>
      <c r="G12725" s="1"/>
    </row>
    <row r="12726">
      <c r="B12726" s="36"/>
      <c r="C12726" s="36"/>
      <c r="E12726" s="1"/>
      <c r="F12726" s="1"/>
      <c r="G12726" s="1"/>
    </row>
    <row r="12727">
      <c r="B12727" s="36"/>
      <c r="C12727" s="36"/>
      <c r="E12727" s="1"/>
      <c r="F12727" s="1"/>
      <c r="G12727" s="1"/>
    </row>
    <row r="12728">
      <c r="B12728" s="36"/>
      <c r="C12728" s="36"/>
      <c r="E12728" s="1"/>
      <c r="F12728" s="1"/>
      <c r="G12728" s="1"/>
    </row>
    <row r="12729">
      <c r="B12729" s="36"/>
      <c r="C12729" s="36"/>
      <c r="E12729" s="1"/>
      <c r="F12729" s="1"/>
      <c r="G12729" s="1"/>
    </row>
    <row r="12730">
      <c r="B12730" s="36"/>
      <c r="C12730" s="36"/>
      <c r="E12730" s="1"/>
      <c r="F12730" s="1"/>
      <c r="G12730" s="1"/>
    </row>
    <row r="12731">
      <c r="B12731" s="36"/>
      <c r="C12731" s="36"/>
      <c r="E12731" s="1"/>
      <c r="F12731" s="1"/>
      <c r="G12731" s="1"/>
    </row>
    <row r="12732">
      <c r="B12732" s="36"/>
      <c r="C12732" s="36"/>
      <c r="E12732" s="1"/>
      <c r="F12732" s="1"/>
      <c r="G12732" s="1"/>
    </row>
    <row r="12733">
      <c r="B12733" s="36"/>
      <c r="C12733" s="36"/>
      <c r="E12733" s="1"/>
      <c r="F12733" s="1"/>
      <c r="G12733" s="1"/>
    </row>
    <row r="12734">
      <c r="B12734" s="36"/>
      <c r="C12734" s="36"/>
      <c r="E12734" s="1"/>
      <c r="F12734" s="1"/>
      <c r="G12734" s="1"/>
    </row>
    <row r="12735">
      <c r="B12735" s="36"/>
      <c r="C12735" s="36"/>
      <c r="E12735" s="1"/>
      <c r="F12735" s="1"/>
      <c r="G12735" s="1"/>
    </row>
    <row r="12736">
      <c r="B12736" s="36"/>
      <c r="C12736" s="36"/>
      <c r="E12736" s="1"/>
      <c r="F12736" s="1"/>
      <c r="G12736" s="1"/>
    </row>
    <row r="12737">
      <c r="B12737" s="36"/>
      <c r="C12737" s="36"/>
      <c r="E12737" s="1"/>
      <c r="F12737" s="1"/>
      <c r="G12737" s="1"/>
    </row>
    <row r="12738">
      <c r="B12738" s="36"/>
      <c r="C12738" s="36"/>
      <c r="E12738" s="1"/>
      <c r="F12738" s="1"/>
      <c r="G12738" s="1"/>
    </row>
    <row r="12739">
      <c r="B12739" s="36"/>
      <c r="C12739" s="36"/>
      <c r="E12739" s="1"/>
      <c r="F12739" s="1"/>
      <c r="G12739" s="1"/>
    </row>
    <row r="12740">
      <c r="B12740" s="36"/>
      <c r="C12740" s="36"/>
      <c r="E12740" s="1"/>
      <c r="F12740" s="1"/>
      <c r="G12740" s="1"/>
    </row>
    <row r="12741">
      <c r="B12741" s="36"/>
      <c r="C12741" s="36"/>
      <c r="E12741" s="1"/>
      <c r="F12741" s="1"/>
      <c r="G12741" s="1"/>
    </row>
    <row r="12742">
      <c r="B12742" s="36"/>
      <c r="C12742" s="36"/>
      <c r="E12742" s="1"/>
      <c r="F12742" s="1"/>
      <c r="G12742" s="1"/>
    </row>
    <row r="12743">
      <c r="B12743" s="36"/>
      <c r="C12743" s="36"/>
      <c r="E12743" s="1"/>
      <c r="F12743" s="1"/>
      <c r="G12743" s="1"/>
    </row>
    <row r="12744">
      <c r="B12744" s="36"/>
      <c r="C12744" s="36"/>
      <c r="E12744" s="1"/>
      <c r="F12744" s="1"/>
      <c r="G12744" s="1"/>
    </row>
    <row r="12745">
      <c r="B12745" s="36"/>
      <c r="C12745" s="36"/>
      <c r="E12745" s="1"/>
      <c r="F12745" s="1"/>
      <c r="G12745" s="1"/>
    </row>
    <row r="12746">
      <c r="B12746" s="36"/>
      <c r="C12746" s="36"/>
      <c r="E12746" s="1"/>
      <c r="F12746" s="1"/>
      <c r="G12746" s="1"/>
    </row>
    <row r="12747">
      <c r="B12747" s="36"/>
      <c r="C12747" s="36"/>
      <c r="E12747" s="1"/>
      <c r="F12747" s="1"/>
      <c r="G12747" s="1"/>
    </row>
    <row r="12748">
      <c r="B12748" s="36"/>
      <c r="C12748" s="36"/>
      <c r="E12748" s="1"/>
      <c r="F12748" s="1"/>
      <c r="G12748" s="1"/>
    </row>
    <row r="12749">
      <c r="B12749" s="36"/>
      <c r="C12749" s="36"/>
      <c r="E12749" s="1"/>
      <c r="F12749" s="1"/>
      <c r="G12749" s="1"/>
    </row>
    <row r="12750">
      <c r="B12750" s="36"/>
      <c r="C12750" s="36"/>
      <c r="E12750" s="1"/>
      <c r="F12750" s="1"/>
      <c r="G12750" s="1"/>
    </row>
    <row r="12751">
      <c r="B12751" s="36"/>
      <c r="C12751" s="36"/>
      <c r="E12751" s="1"/>
      <c r="F12751" s="1"/>
      <c r="G12751" s="1"/>
    </row>
    <row r="12752">
      <c r="B12752" s="36"/>
      <c r="C12752" s="36"/>
      <c r="E12752" s="1"/>
      <c r="F12752" s="1"/>
      <c r="G12752" s="1"/>
    </row>
    <row r="12753">
      <c r="B12753" s="36"/>
      <c r="C12753" s="36"/>
      <c r="E12753" s="1"/>
      <c r="F12753" s="1"/>
      <c r="G12753" s="1"/>
    </row>
    <row r="12754">
      <c r="B12754" s="36"/>
      <c r="C12754" s="36"/>
      <c r="E12754" s="1"/>
      <c r="F12754" s="1"/>
      <c r="G12754" s="1"/>
    </row>
    <row r="12755">
      <c r="B12755" s="36"/>
      <c r="C12755" s="36"/>
      <c r="E12755" s="1"/>
      <c r="F12755" s="1"/>
      <c r="G12755" s="1"/>
    </row>
    <row r="12756">
      <c r="B12756" s="36"/>
      <c r="C12756" s="36"/>
      <c r="E12756" s="1"/>
      <c r="F12756" s="1"/>
      <c r="G12756" s="1"/>
    </row>
    <row r="12757">
      <c r="B12757" s="36"/>
      <c r="C12757" s="36"/>
      <c r="E12757" s="1"/>
      <c r="F12757" s="1"/>
      <c r="G12757" s="1"/>
    </row>
    <row r="12758">
      <c r="B12758" s="36"/>
      <c r="C12758" s="36"/>
      <c r="E12758" s="1"/>
      <c r="F12758" s="1"/>
      <c r="G12758" s="1"/>
    </row>
    <row r="12759">
      <c r="B12759" s="36"/>
      <c r="C12759" s="36"/>
      <c r="E12759" s="1"/>
      <c r="F12759" s="1"/>
      <c r="G12759" s="1"/>
    </row>
    <row r="12760">
      <c r="B12760" s="36"/>
      <c r="C12760" s="36"/>
      <c r="E12760" s="1"/>
      <c r="F12760" s="1"/>
      <c r="G12760" s="1"/>
    </row>
    <row r="12761">
      <c r="B12761" s="36"/>
      <c r="C12761" s="36"/>
      <c r="E12761" s="1"/>
      <c r="F12761" s="1"/>
      <c r="G12761" s="1"/>
    </row>
    <row r="12762">
      <c r="B12762" s="36"/>
      <c r="C12762" s="36"/>
      <c r="E12762" s="1"/>
      <c r="F12762" s="1"/>
      <c r="G12762" s="1"/>
    </row>
    <row r="12763">
      <c r="B12763" s="36"/>
      <c r="C12763" s="36"/>
      <c r="E12763" s="1"/>
      <c r="F12763" s="1"/>
      <c r="G12763" s="1"/>
    </row>
    <row r="12764">
      <c r="B12764" s="36"/>
      <c r="C12764" s="36"/>
      <c r="E12764" s="1"/>
      <c r="F12764" s="1"/>
      <c r="G12764" s="1"/>
    </row>
    <row r="12765">
      <c r="B12765" s="36"/>
      <c r="C12765" s="36"/>
      <c r="E12765" s="1"/>
      <c r="F12765" s="1"/>
      <c r="G12765" s="1"/>
    </row>
    <row r="12766">
      <c r="B12766" s="36"/>
      <c r="C12766" s="36"/>
      <c r="E12766" s="1"/>
      <c r="F12766" s="1"/>
      <c r="G12766" s="1"/>
    </row>
    <row r="12767">
      <c r="B12767" s="36"/>
      <c r="C12767" s="36"/>
      <c r="E12767" s="1"/>
      <c r="F12767" s="1"/>
      <c r="G12767" s="1"/>
    </row>
    <row r="12768">
      <c r="B12768" s="36"/>
      <c r="C12768" s="36"/>
      <c r="E12768" s="1"/>
      <c r="F12768" s="1"/>
      <c r="G12768" s="1"/>
    </row>
    <row r="12769">
      <c r="B12769" s="36"/>
      <c r="C12769" s="36"/>
      <c r="E12769" s="1"/>
      <c r="F12769" s="1"/>
      <c r="G12769" s="1"/>
    </row>
    <row r="12770">
      <c r="B12770" s="36"/>
      <c r="C12770" s="36"/>
      <c r="E12770" s="1"/>
      <c r="F12770" s="1"/>
      <c r="G12770" s="1"/>
    </row>
    <row r="12771">
      <c r="B12771" s="36"/>
      <c r="C12771" s="36"/>
      <c r="E12771" s="1"/>
      <c r="F12771" s="1"/>
      <c r="G12771" s="1"/>
    </row>
    <row r="12772">
      <c r="B12772" s="36"/>
      <c r="C12772" s="36"/>
      <c r="E12772" s="1"/>
      <c r="F12772" s="1"/>
      <c r="G12772" s="1"/>
    </row>
    <row r="12773">
      <c r="B12773" s="36"/>
      <c r="C12773" s="36"/>
      <c r="E12773" s="1"/>
      <c r="F12773" s="1"/>
      <c r="G12773" s="1"/>
    </row>
    <row r="12774">
      <c r="B12774" s="36"/>
      <c r="C12774" s="36"/>
      <c r="E12774" s="1"/>
      <c r="F12774" s="1"/>
      <c r="G12774" s="1"/>
    </row>
    <row r="12775">
      <c r="B12775" s="36"/>
      <c r="C12775" s="36"/>
      <c r="E12775" s="1"/>
      <c r="F12775" s="1"/>
      <c r="G12775" s="1"/>
    </row>
    <row r="12776">
      <c r="B12776" s="36"/>
      <c r="C12776" s="36"/>
      <c r="E12776" s="1"/>
      <c r="F12776" s="1"/>
      <c r="G12776" s="1"/>
    </row>
    <row r="12777">
      <c r="B12777" s="36"/>
      <c r="C12777" s="36"/>
      <c r="E12777" s="1"/>
      <c r="F12777" s="1"/>
      <c r="G12777" s="1"/>
    </row>
    <row r="12778">
      <c r="B12778" s="36"/>
      <c r="C12778" s="36"/>
      <c r="E12778" s="1"/>
      <c r="F12778" s="1"/>
      <c r="G12778" s="1"/>
    </row>
    <row r="12779">
      <c r="B12779" s="36"/>
      <c r="C12779" s="36"/>
      <c r="E12779" s="1"/>
      <c r="F12779" s="1"/>
      <c r="G12779" s="1"/>
    </row>
    <row r="12780">
      <c r="B12780" s="36"/>
      <c r="C12780" s="36"/>
      <c r="E12780" s="1"/>
      <c r="F12780" s="1"/>
      <c r="G12780" s="1"/>
    </row>
    <row r="12781">
      <c r="B12781" s="36"/>
      <c r="C12781" s="36"/>
      <c r="E12781" s="1"/>
      <c r="F12781" s="1"/>
      <c r="G12781" s="1"/>
    </row>
    <row r="12782">
      <c r="B12782" s="36"/>
      <c r="C12782" s="36"/>
      <c r="E12782" s="1"/>
      <c r="F12782" s="1"/>
      <c r="G12782" s="1"/>
    </row>
    <row r="12783">
      <c r="B12783" s="36"/>
      <c r="C12783" s="36"/>
      <c r="E12783" s="1"/>
      <c r="F12783" s="1"/>
      <c r="G12783" s="1"/>
    </row>
    <row r="12784">
      <c r="B12784" s="36"/>
      <c r="C12784" s="36"/>
      <c r="E12784" s="1"/>
      <c r="F12784" s="1"/>
      <c r="G12784" s="1"/>
    </row>
    <row r="12785">
      <c r="B12785" s="36"/>
      <c r="C12785" s="36"/>
      <c r="E12785" s="1"/>
      <c r="F12785" s="1"/>
      <c r="G12785" s="1"/>
    </row>
    <row r="12786">
      <c r="B12786" s="36"/>
      <c r="C12786" s="36"/>
      <c r="E12786" s="1"/>
      <c r="F12786" s="1"/>
      <c r="G12786" s="1"/>
    </row>
    <row r="12787">
      <c r="B12787" s="36"/>
      <c r="C12787" s="36"/>
      <c r="E12787" s="1"/>
      <c r="F12787" s="1"/>
      <c r="G12787" s="1"/>
    </row>
    <row r="12788">
      <c r="B12788" s="36"/>
      <c r="C12788" s="36"/>
      <c r="E12788" s="1"/>
      <c r="F12788" s="1"/>
      <c r="G12788" s="1"/>
    </row>
    <row r="12789">
      <c r="B12789" s="36"/>
      <c r="C12789" s="36"/>
      <c r="E12789" s="1"/>
      <c r="F12789" s="1"/>
      <c r="G12789" s="1"/>
    </row>
    <row r="12790">
      <c r="B12790" s="36"/>
      <c r="C12790" s="36"/>
      <c r="E12790" s="1"/>
      <c r="F12790" s="1"/>
      <c r="G12790" s="1"/>
    </row>
    <row r="12791">
      <c r="B12791" s="36"/>
      <c r="C12791" s="36"/>
      <c r="E12791" s="1"/>
      <c r="F12791" s="1"/>
      <c r="G12791" s="1"/>
    </row>
    <row r="12792">
      <c r="B12792" s="36"/>
      <c r="C12792" s="36"/>
      <c r="E12792" s="1"/>
      <c r="F12792" s="1"/>
      <c r="G12792" s="1"/>
    </row>
    <row r="12793">
      <c r="B12793" s="36"/>
      <c r="C12793" s="36"/>
      <c r="E12793" s="1"/>
      <c r="F12793" s="1"/>
      <c r="G12793" s="1"/>
    </row>
    <row r="12794">
      <c r="B12794" s="36"/>
      <c r="C12794" s="36"/>
      <c r="E12794" s="1"/>
      <c r="F12794" s="1"/>
      <c r="G12794" s="1"/>
    </row>
    <row r="12795">
      <c r="B12795" s="36"/>
      <c r="C12795" s="36"/>
      <c r="E12795" s="1"/>
      <c r="F12795" s="1"/>
      <c r="G12795" s="1"/>
    </row>
    <row r="12796">
      <c r="B12796" s="36"/>
      <c r="C12796" s="36"/>
      <c r="E12796" s="1"/>
      <c r="F12796" s="1"/>
      <c r="G12796" s="1"/>
    </row>
    <row r="12797">
      <c r="B12797" s="36"/>
      <c r="C12797" s="36"/>
      <c r="E12797" s="1"/>
      <c r="F12797" s="1"/>
      <c r="G12797" s="1"/>
    </row>
    <row r="12798">
      <c r="B12798" s="36"/>
      <c r="C12798" s="36"/>
      <c r="E12798" s="1"/>
      <c r="F12798" s="1"/>
      <c r="G12798" s="1"/>
    </row>
    <row r="12799">
      <c r="B12799" s="36"/>
      <c r="C12799" s="36"/>
      <c r="E12799" s="1"/>
      <c r="F12799" s="1"/>
      <c r="G12799" s="1"/>
    </row>
    <row r="12800">
      <c r="B12800" s="36"/>
      <c r="C12800" s="36"/>
      <c r="E12800" s="1"/>
      <c r="F12800" s="1"/>
      <c r="G12800" s="1"/>
    </row>
    <row r="12801">
      <c r="B12801" s="36"/>
      <c r="C12801" s="36"/>
      <c r="E12801" s="1"/>
      <c r="F12801" s="1"/>
      <c r="G12801" s="1"/>
    </row>
    <row r="12802">
      <c r="B12802" s="36"/>
      <c r="C12802" s="36"/>
      <c r="E12802" s="1"/>
      <c r="F12802" s="1"/>
      <c r="G12802" s="1"/>
    </row>
    <row r="12803">
      <c r="B12803" s="36"/>
      <c r="C12803" s="36"/>
      <c r="E12803" s="1"/>
      <c r="F12803" s="1"/>
      <c r="G12803" s="1"/>
    </row>
    <row r="12804">
      <c r="B12804" s="36"/>
      <c r="C12804" s="36"/>
      <c r="E12804" s="1"/>
      <c r="F12804" s="1"/>
      <c r="G12804" s="1"/>
    </row>
    <row r="12805">
      <c r="B12805" s="36"/>
      <c r="C12805" s="36"/>
      <c r="E12805" s="1"/>
      <c r="F12805" s="1"/>
      <c r="G12805" s="1"/>
    </row>
    <row r="12806">
      <c r="B12806" s="36"/>
      <c r="C12806" s="36"/>
      <c r="E12806" s="1"/>
      <c r="F12806" s="1"/>
      <c r="G12806" s="1"/>
    </row>
    <row r="12807">
      <c r="B12807" s="36"/>
      <c r="C12807" s="36"/>
      <c r="E12807" s="1"/>
      <c r="F12807" s="1"/>
      <c r="G12807" s="1"/>
    </row>
    <row r="12808">
      <c r="B12808" s="36"/>
      <c r="C12808" s="36"/>
      <c r="E12808" s="1"/>
      <c r="F12808" s="1"/>
      <c r="G12808" s="1"/>
    </row>
    <row r="12809">
      <c r="B12809" s="36"/>
      <c r="C12809" s="36"/>
      <c r="E12809" s="1"/>
      <c r="F12809" s="1"/>
      <c r="G12809" s="1"/>
    </row>
    <row r="12810">
      <c r="B12810" s="36"/>
      <c r="C12810" s="36"/>
      <c r="E12810" s="1"/>
      <c r="F12810" s="1"/>
      <c r="G12810" s="1"/>
    </row>
    <row r="12811">
      <c r="B12811" s="36"/>
      <c r="C12811" s="36"/>
      <c r="E12811" s="1"/>
      <c r="F12811" s="1"/>
      <c r="G12811" s="1"/>
    </row>
    <row r="12812">
      <c r="B12812" s="36"/>
      <c r="C12812" s="36"/>
      <c r="E12812" s="1"/>
      <c r="F12812" s="1"/>
      <c r="G12812" s="1"/>
    </row>
    <row r="12813">
      <c r="B12813" s="36"/>
      <c r="C12813" s="36"/>
      <c r="E12813" s="1"/>
      <c r="F12813" s="1"/>
      <c r="G12813" s="1"/>
    </row>
    <row r="12814">
      <c r="B12814" s="36"/>
      <c r="C12814" s="36"/>
      <c r="E12814" s="1"/>
      <c r="F12814" s="1"/>
      <c r="G12814" s="1"/>
    </row>
    <row r="12815">
      <c r="B12815" s="36"/>
      <c r="C12815" s="36"/>
      <c r="E12815" s="1"/>
      <c r="F12815" s="1"/>
      <c r="G12815" s="1"/>
    </row>
    <row r="12816">
      <c r="B12816" s="36"/>
      <c r="C12816" s="36"/>
      <c r="E12816" s="1"/>
      <c r="F12816" s="1"/>
      <c r="G12816" s="1"/>
    </row>
    <row r="12817">
      <c r="B12817" s="36"/>
      <c r="C12817" s="36"/>
      <c r="E12817" s="1"/>
      <c r="F12817" s="1"/>
      <c r="G12817" s="1"/>
    </row>
    <row r="12818">
      <c r="B12818" s="36"/>
      <c r="C12818" s="36"/>
      <c r="E12818" s="1"/>
      <c r="F12818" s="1"/>
      <c r="G12818" s="1"/>
    </row>
    <row r="12819">
      <c r="B12819" s="36"/>
      <c r="C12819" s="36"/>
      <c r="E12819" s="1"/>
      <c r="F12819" s="1"/>
      <c r="G12819" s="1"/>
    </row>
    <row r="12820">
      <c r="B12820" s="36"/>
      <c r="C12820" s="36"/>
      <c r="E12820" s="1"/>
      <c r="F12820" s="1"/>
      <c r="G12820" s="1"/>
    </row>
    <row r="12821">
      <c r="B12821" s="36"/>
      <c r="C12821" s="36"/>
      <c r="E12821" s="1"/>
      <c r="F12821" s="1"/>
      <c r="G12821" s="1"/>
    </row>
    <row r="12822">
      <c r="B12822" s="36"/>
      <c r="C12822" s="36"/>
      <c r="E12822" s="1"/>
      <c r="F12822" s="1"/>
      <c r="G12822" s="1"/>
    </row>
    <row r="12823">
      <c r="B12823" s="36"/>
      <c r="C12823" s="36"/>
      <c r="E12823" s="1"/>
      <c r="F12823" s="1"/>
      <c r="G12823" s="1"/>
    </row>
    <row r="12824">
      <c r="B12824" s="36"/>
      <c r="C12824" s="36"/>
      <c r="E12824" s="1"/>
      <c r="F12824" s="1"/>
      <c r="G12824" s="1"/>
    </row>
    <row r="12825">
      <c r="B12825" s="36"/>
      <c r="C12825" s="36"/>
      <c r="E12825" s="1"/>
      <c r="F12825" s="1"/>
      <c r="G12825" s="1"/>
    </row>
    <row r="12826">
      <c r="B12826" s="36"/>
      <c r="C12826" s="36"/>
      <c r="E12826" s="1"/>
      <c r="F12826" s="1"/>
      <c r="G12826" s="1"/>
    </row>
    <row r="12827">
      <c r="B12827" s="36"/>
      <c r="C12827" s="36"/>
      <c r="E12827" s="1"/>
      <c r="F12827" s="1"/>
      <c r="G12827" s="1"/>
    </row>
    <row r="12828">
      <c r="B12828" s="36"/>
      <c r="C12828" s="36"/>
      <c r="E12828" s="1"/>
      <c r="F12828" s="1"/>
      <c r="G12828" s="1"/>
    </row>
    <row r="12829">
      <c r="B12829" s="36"/>
      <c r="C12829" s="36"/>
      <c r="E12829" s="1"/>
      <c r="F12829" s="1"/>
      <c r="G12829" s="1"/>
    </row>
    <row r="12830">
      <c r="B12830" s="36"/>
      <c r="C12830" s="36"/>
      <c r="E12830" s="1"/>
      <c r="F12830" s="1"/>
      <c r="G12830" s="1"/>
    </row>
    <row r="12831">
      <c r="B12831" s="36"/>
      <c r="C12831" s="36"/>
      <c r="E12831" s="1"/>
      <c r="F12831" s="1"/>
      <c r="G12831" s="1"/>
    </row>
    <row r="12832">
      <c r="B12832" s="36"/>
      <c r="C12832" s="36"/>
      <c r="E12832" s="1"/>
      <c r="F12832" s="1"/>
      <c r="G12832" s="1"/>
    </row>
    <row r="12833">
      <c r="B12833" s="36"/>
      <c r="C12833" s="36"/>
      <c r="E12833" s="1"/>
      <c r="F12833" s="1"/>
      <c r="G12833" s="1"/>
    </row>
    <row r="12834">
      <c r="B12834" s="36"/>
      <c r="C12834" s="36"/>
      <c r="E12834" s="1"/>
      <c r="F12834" s="1"/>
      <c r="G12834" s="1"/>
    </row>
    <row r="12835">
      <c r="B12835" s="36"/>
      <c r="C12835" s="36"/>
      <c r="E12835" s="1"/>
      <c r="F12835" s="1"/>
      <c r="G12835" s="1"/>
    </row>
    <row r="12836">
      <c r="B12836" s="36"/>
      <c r="C12836" s="36"/>
      <c r="E12836" s="1"/>
      <c r="F12836" s="1"/>
      <c r="G12836" s="1"/>
    </row>
    <row r="12837">
      <c r="B12837" s="36"/>
      <c r="C12837" s="36"/>
      <c r="E12837" s="1"/>
      <c r="F12837" s="1"/>
      <c r="G12837" s="1"/>
    </row>
    <row r="12838">
      <c r="B12838" s="36"/>
      <c r="C12838" s="36"/>
      <c r="E12838" s="1"/>
      <c r="F12838" s="1"/>
      <c r="G12838" s="1"/>
    </row>
    <row r="12839">
      <c r="B12839" s="36"/>
      <c r="C12839" s="36"/>
      <c r="E12839" s="1"/>
      <c r="F12839" s="1"/>
      <c r="G12839" s="1"/>
    </row>
    <row r="12840">
      <c r="B12840" s="36"/>
      <c r="C12840" s="36"/>
      <c r="E12840" s="1"/>
      <c r="F12840" s="1"/>
      <c r="G12840" s="1"/>
    </row>
    <row r="12841">
      <c r="B12841" s="36"/>
      <c r="C12841" s="36"/>
      <c r="E12841" s="1"/>
      <c r="F12841" s="1"/>
      <c r="G12841" s="1"/>
    </row>
    <row r="12842">
      <c r="B12842" s="36"/>
      <c r="C12842" s="36"/>
      <c r="E12842" s="1"/>
      <c r="F12842" s="1"/>
      <c r="G12842" s="1"/>
    </row>
    <row r="12843">
      <c r="B12843" s="36"/>
      <c r="C12843" s="36"/>
      <c r="E12843" s="1"/>
      <c r="F12843" s="1"/>
      <c r="G12843" s="1"/>
    </row>
    <row r="12844">
      <c r="B12844" s="36"/>
      <c r="C12844" s="36"/>
      <c r="E12844" s="1"/>
      <c r="F12844" s="1"/>
      <c r="G12844" s="1"/>
    </row>
    <row r="12845">
      <c r="B12845" s="36"/>
      <c r="C12845" s="36"/>
      <c r="E12845" s="1"/>
      <c r="F12845" s="1"/>
      <c r="G12845" s="1"/>
    </row>
    <row r="12846">
      <c r="B12846" s="36"/>
      <c r="C12846" s="36"/>
      <c r="E12846" s="1"/>
      <c r="F12846" s="1"/>
      <c r="G12846" s="1"/>
    </row>
    <row r="12847">
      <c r="B12847" s="36"/>
      <c r="C12847" s="36"/>
      <c r="E12847" s="1"/>
      <c r="F12847" s="1"/>
      <c r="G12847" s="1"/>
    </row>
    <row r="12848">
      <c r="B12848" s="36"/>
      <c r="C12848" s="36"/>
      <c r="E12848" s="1"/>
      <c r="F12848" s="1"/>
      <c r="G12848" s="1"/>
    </row>
    <row r="12849">
      <c r="B12849" s="36"/>
      <c r="C12849" s="36"/>
      <c r="E12849" s="1"/>
      <c r="F12849" s="1"/>
      <c r="G12849" s="1"/>
    </row>
    <row r="12850">
      <c r="B12850" s="36"/>
      <c r="C12850" s="36"/>
      <c r="E12850" s="1"/>
      <c r="F12850" s="1"/>
      <c r="G12850" s="1"/>
    </row>
    <row r="12851">
      <c r="B12851" s="36"/>
      <c r="C12851" s="36"/>
      <c r="E12851" s="1"/>
      <c r="F12851" s="1"/>
      <c r="G12851" s="1"/>
    </row>
    <row r="12852">
      <c r="B12852" s="36"/>
      <c r="C12852" s="36"/>
      <c r="E12852" s="1"/>
      <c r="F12852" s="1"/>
      <c r="G12852" s="1"/>
    </row>
    <row r="12853">
      <c r="B12853" s="36"/>
      <c r="C12853" s="36"/>
      <c r="E12853" s="1"/>
      <c r="F12853" s="1"/>
      <c r="G12853" s="1"/>
    </row>
    <row r="12854">
      <c r="B12854" s="36"/>
      <c r="C12854" s="36"/>
      <c r="E12854" s="1"/>
      <c r="F12854" s="1"/>
      <c r="G12854" s="1"/>
    </row>
    <row r="12855">
      <c r="B12855" s="36"/>
      <c r="C12855" s="36"/>
      <c r="E12855" s="1"/>
      <c r="F12855" s="1"/>
      <c r="G12855" s="1"/>
    </row>
    <row r="12856">
      <c r="B12856" s="36"/>
      <c r="C12856" s="36"/>
      <c r="E12856" s="1"/>
      <c r="F12856" s="1"/>
      <c r="G12856" s="1"/>
    </row>
    <row r="12857">
      <c r="B12857" s="36"/>
      <c r="C12857" s="36"/>
      <c r="E12857" s="1"/>
      <c r="F12857" s="1"/>
      <c r="G12857" s="1"/>
    </row>
    <row r="12858">
      <c r="B12858" s="36"/>
      <c r="C12858" s="36"/>
      <c r="E12858" s="1"/>
      <c r="F12858" s="1"/>
      <c r="G12858" s="1"/>
    </row>
    <row r="12859">
      <c r="B12859" s="36"/>
      <c r="C12859" s="36"/>
      <c r="E12859" s="1"/>
      <c r="F12859" s="1"/>
      <c r="G12859" s="1"/>
    </row>
    <row r="12860">
      <c r="B12860" s="36"/>
      <c r="C12860" s="36"/>
      <c r="E12860" s="1"/>
      <c r="F12860" s="1"/>
      <c r="G12860" s="1"/>
    </row>
    <row r="12861">
      <c r="B12861" s="36"/>
      <c r="C12861" s="36"/>
      <c r="E12861" s="1"/>
      <c r="F12861" s="1"/>
      <c r="G12861" s="1"/>
    </row>
    <row r="12862">
      <c r="B12862" s="36"/>
      <c r="C12862" s="36"/>
      <c r="E12862" s="1"/>
      <c r="F12862" s="1"/>
      <c r="G12862" s="1"/>
    </row>
    <row r="12863">
      <c r="B12863" s="36"/>
      <c r="C12863" s="36"/>
      <c r="E12863" s="1"/>
      <c r="F12863" s="1"/>
      <c r="G12863" s="1"/>
    </row>
    <row r="12864">
      <c r="B12864" s="36"/>
      <c r="C12864" s="36"/>
      <c r="E12864" s="1"/>
      <c r="F12864" s="1"/>
      <c r="G12864" s="1"/>
    </row>
    <row r="12865">
      <c r="B12865" s="36"/>
      <c r="C12865" s="36"/>
      <c r="E12865" s="1"/>
      <c r="F12865" s="1"/>
      <c r="G12865" s="1"/>
    </row>
    <row r="12866">
      <c r="B12866" s="36"/>
      <c r="C12866" s="36"/>
      <c r="E12866" s="1"/>
      <c r="F12866" s="1"/>
      <c r="G12866" s="1"/>
    </row>
    <row r="12867">
      <c r="B12867" s="36"/>
      <c r="C12867" s="36"/>
      <c r="E12867" s="1"/>
      <c r="F12867" s="1"/>
      <c r="G12867" s="1"/>
    </row>
    <row r="12868">
      <c r="B12868" s="36"/>
      <c r="C12868" s="36"/>
      <c r="E12868" s="1"/>
      <c r="F12868" s="1"/>
      <c r="G12868" s="1"/>
    </row>
    <row r="12869">
      <c r="B12869" s="36"/>
      <c r="C12869" s="36"/>
      <c r="E12869" s="1"/>
      <c r="F12869" s="1"/>
      <c r="G12869" s="1"/>
    </row>
    <row r="12870">
      <c r="B12870" s="36"/>
      <c r="C12870" s="36"/>
      <c r="E12870" s="1"/>
      <c r="F12870" s="1"/>
      <c r="G12870" s="1"/>
    </row>
    <row r="12871">
      <c r="B12871" s="36"/>
      <c r="C12871" s="36"/>
      <c r="E12871" s="1"/>
      <c r="F12871" s="1"/>
      <c r="G12871" s="1"/>
    </row>
    <row r="12872">
      <c r="B12872" s="36"/>
      <c r="C12872" s="36"/>
      <c r="E12872" s="1"/>
      <c r="F12872" s="1"/>
      <c r="G12872" s="1"/>
    </row>
    <row r="12873">
      <c r="B12873" s="36"/>
      <c r="C12873" s="36"/>
      <c r="E12873" s="1"/>
      <c r="F12873" s="1"/>
      <c r="G12873" s="1"/>
    </row>
    <row r="12874">
      <c r="B12874" s="36"/>
      <c r="C12874" s="36"/>
      <c r="E12874" s="1"/>
      <c r="F12874" s="1"/>
      <c r="G12874" s="1"/>
    </row>
    <row r="12875">
      <c r="B12875" s="36"/>
      <c r="C12875" s="36"/>
      <c r="E12875" s="1"/>
      <c r="F12875" s="1"/>
      <c r="G12875" s="1"/>
    </row>
    <row r="12876">
      <c r="B12876" s="36"/>
      <c r="C12876" s="36"/>
      <c r="E12876" s="1"/>
      <c r="F12876" s="1"/>
      <c r="G12876" s="1"/>
    </row>
    <row r="12877">
      <c r="B12877" s="36"/>
      <c r="C12877" s="36"/>
      <c r="E12877" s="1"/>
      <c r="F12877" s="1"/>
      <c r="G12877" s="1"/>
    </row>
    <row r="12878">
      <c r="B12878" s="36"/>
      <c r="C12878" s="36"/>
      <c r="E12878" s="1"/>
      <c r="F12878" s="1"/>
      <c r="G12878" s="1"/>
    </row>
    <row r="12879">
      <c r="B12879" s="36"/>
      <c r="C12879" s="36"/>
      <c r="E12879" s="1"/>
      <c r="F12879" s="1"/>
      <c r="G12879" s="1"/>
    </row>
    <row r="12880">
      <c r="B12880" s="36"/>
      <c r="C12880" s="36"/>
      <c r="E12880" s="1"/>
      <c r="F12880" s="1"/>
      <c r="G12880" s="1"/>
    </row>
    <row r="12881">
      <c r="B12881" s="36"/>
      <c r="C12881" s="36"/>
      <c r="E12881" s="1"/>
      <c r="F12881" s="1"/>
      <c r="G12881" s="1"/>
    </row>
    <row r="12882">
      <c r="B12882" s="36"/>
      <c r="C12882" s="36"/>
      <c r="E12882" s="1"/>
      <c r="F12882" s="1"/>
      <c r="G12882" s="1"/>
    </row>
    <row r="12883">
      <c r="B12883" s="36"/>
      <c r="C12883" s="36"/>
      <c r="E12883" s="1"/>
      <c r="F12883" s="1"/>
      <c r="G12883" s="1"/>
    </row>
    <row r="12884">
      <c r="B12884" s="36"/>
      <c r="C12884" s="36"/>
      <c r="E12884" s="1"/>
      <c r="F12884" s="1"/>
      <c r="G12884" s="1"/>
    </row>
    <row r="12885">
      <c r="B12885" s="36"/>
      <c r="C12885" s="36"/>
      <c r="E12885" s="1"/>
      <c r="F12885" s="1"/>
      <c r="G12885" s="1"/>
    </row>
    <row r="12886">
      <c r="B12886" s="36"/>
      <c r="C12886" s="36"/>
      <c r="E12886" s="1"/>
      <c r="F12886" s="1"/>
      <c r="G12886" s="1"/>
    </row>
    <row r="12887">
      <c r="B12887" s="36"/>
      <c r="C12887" s="36"/>
      <c r="E12887" s="1"/>
      <c r="F12887" s="1"/>
      <c r="G12887" s="1"/>
    </row>
    <row r="12888">
      <c r="B12888" s="36"/>
      <c r="C12888" s="36"/>
      <c r="E12888" s="1"/>
      <c r="F12888" s="1"/>
      <c r="G12888" s="1"/>
    </row>
    <row r="12889">
      <c r="B12889" s="36"/>
      <c r="C12889" s="36"/>
      <c r="E12889" s="1"/>
      <c r="F12889" s="1"/>
      <c r="G12889" s="1"/>
    </row>
    <row r="12890">
      <c r="B12890" s="36"/>
      <c r="C12890" s="36"/>
      <c r="E12890" s="1"/>
      <c r="F12890" s="1"/>
      <c r="G12890" s="1"/>
    </row>
    <row r="12891">
      <c r="B12891" s="36"/>
      <c r="C12891" s="36"/>
      <c r="E12891" s="1"/>
      <c r="F12891" s="1"/>
      <c r="G12891" s="1"/>
    </row>
    <row r="12892">
      <c r="B12892" s="36"/>
      <c r="C12892" s="36"/>
      <c r="E12892" s="1"/>
      <c r="F12892" s="1"/>
      <c r="G12892" s="1"/>
    </row>
    <row r="12893">
      <c r="B12893" s="36"/>
      <c r="C12893" s="36"/>
      <c r="E12893" s="1"/>
      <c r="F12893" s="1"/>
      <c r="G12893" s="1"/>
    </row>
    <row r="12894">
      <c r="B12894" s="36"/>
      <c r="C12894" s="36"/>
      <c r="E12894" s="1"/>
      <c r="F12894" s="1"/>
      <c r="G12894" s="1"/>
    </row>
    <row r="12895">
      <c r="B12895" s="36"/>
      <c r="C12895" s="36"/>
      <c r="E12895" s="1"/>
      <c r="F12895" s="1"/>
      <c r="G12895" s="1"/>
    </row>
    <row r="12896">
      <c r="B12896" s="36"/>
      <c r="C12896" s="36"/>
      <c r="E12896" s="1"/>
      <c r="F12896" s="1"/>
      <c r="G12896" s="1"/>
    </row>
    <row r="12897">
      <c r="B12897" s="36"/>
      <c r="C12897" s="36"/>
      <c r="E12897" s="1"/>
      <c r="F12897" s="1"/>
      <c r="G12897" s="1"/>
    </row>
    <row r="12898">
      <c r="B12898" s="36"/>
      <c r="C12898" s="36"/>
      <c r="E12898" s="1"/>
      <c r="F12898" s="1"/>
      <c r="G12898" s="1"/>
    </row>
    <row r="12899">
      <c r="B12899" s="36"/>
      <c r="C12899" s="36"/>
      <c r="E12899" s="1"/>
      <c r="F12899" s="1"/>
      <c r="G12899" s="1"/>
    </row>
    <row r="12900">
      <c r="B12900" s="36"/>
      <c r="C12900" s="36"/>
      <c r="E12900" s="1"/>
      <c r="F12900" s="1"/>
      <c r="G12900" s="1"/>
    </row>
    <row r="12901">
      <c r="B12901" s="36"/>
      <c r="C12901" s="36"/>
      <c r="E12901" s="1"/>
      <c r="F12901" s="1"/>
      <c r="G12901" s="1"/>
    </row>
    <row r="12902">
      <c r="B12902" s="36"/>
      <c r="C12902" s="36"/>
      <c r="E12902" s="1"/>
      <c r="F12902" s="1"/>
      <c r="G12902" s="1"/>
    </row>
    <row r="12903">
      <c r="B12903" s="36"/>
      <c r="C12903" s="36"/>
      <c r="E12903" s="1"/>
      <c r="F12903" s="1"/>
      <c r="G12903" s="1"/>
    </row>
    <row r="12904">
      <c r="B12904" s="36"/>
      <c r="C12904" s="36"/>
      <c r="E12904" s="1"/>
      <c r="F12904" s="1"/>
      <c r="G12904" s="1"/>
    </row>
    <row r="12905">
      <c r="B12905" s="36"/>
      <c r="C12905" s="36"/>
      <c r="E12905" s="1"/>
      <c r="F12905" s="1"/>
      <c r="G12905" s="1"/>
    </row>
    <row r="12906">
      <c r="B12906" s="36"/>
      <c r="C12906" s="36"/>
      <c r="E12906" s="1"/>
      <c r="F12906" s="1"/>
      <c r="G12906" s="1"/>
    </row>
    <row r="12907">
      <c r="B12907" s="36"/>
      <c r="C12907" s="36"/>
      <c r="E12907" s="1"/>
      <c r="F12907" s="1"/>
      <c r="G12907" s="1"/>
    </row>
    <row r="12908">
      <c r="B12908" s="36"/>
      <c r="C12908" s="36"/>
      <c r="E12908" s="1"/>
      <c r="F12908" s="1"/>
      <c r="G12908" s="1"/>
    </row>
    <row r="12909">
      <c r="B12909" s="36"/>
      <c r="C12909" s="36"/>
      <c r="E12909" s="1"/>
      <c r="F12909" s="1"/>
      <c r="G12909" s="1"/>
    </row>
    <row r="12910">
      <c r="B12910" s="36"/>
      <c r="C12910" s="36"/>
      <c r="E12910" s="1"/>
      <c r="F12910" s="1"/>
      <c r="G12910" s="1"/>
    </row>
    <row r="12911">
      <c r="B12911" s="36"/>
      <c r="C12911" s="36"/>
      <c r="E12911" s="1"/>
      <c r="F12911" s="1"/>
      <c r="G12911" s="1"/>
    </row>
    <row r="12912">
      <c r="B12912" s="36"/>
      <c r="C12912" s="36"/>
      <c r="E12912" s="1"/>
      <c r="F12912" s="1"/>
      <c r="G12912" s="1"/>
    </row>
    <row r="12913">
      <c r="B12913" s="36"/>
      <c r="C12913" s="36"/>
      <c r="E12913" s="1"/>
      <c r="F12913" s="1"/>
      <c r="G12913" s="1"/>
    </row>
    <row r="12914">
      <c r="B12914" s="36"/>
      <c r="C12914" s="36"/>
      <c r="E12914" s="1"/>
      <c r="F12914" s="1"/>
      <c r="G12914" s="1"/>
    </row>
    <row r="12915">
      <c r="B12915" s="36"/>
      <c r="C12915" s="36"/>
      <c r="E12915" s="1"/>
      <c r="F12915" s="1"/>
      <c r="G12915" s="1"/>
    </row>
    <row r="12916">
      <c r="B12916" s="36"/>
      <c r="C12916" s="36"/>
      <c r="E12916" s="1"/>
      <c r="F12916" s="1"/>
      <c r="G12916" s="1"/>
    </row>
    <row r="12917">
      <c r="B12917" s="36"/>
      <c r="C12917" s="36"/>
      <c r="E12917" s="1"/>
      <c r="F12917" s="1"/>
      <c r="G12917" s="1"/>
    </row>
    <row r="12918">
      <c r="B12918" s="36"/>
      <c r="C12918" s="36"/>
      <c r="E12918" s="1"/>
      <c r="F12918" s="1"/>
      <c r="G12918" s="1"/>
    </row>
    <row r="12919">
      <c r="B12919" s="36"/>
      <c r="C12919" s="36"/>
      <c r="E12919" s="1"/>
      <c r="F12919" s="1"/>
      <c r="G12919" s="1"/>
    </row>
    <row r="12920">
      <c r="B12920" s="36"/>
      <c r="C12920" s="36"/>
      <c r="E12920" s="1"/>
      <c r="F12920" s="1"/>
      <c r="G12920" s="1"/>
    </row>
    <row r="12921">
      <c r="B12921" s="36"/>
      <c r="C12921" s="36"/>
      <c r="E12921" s="1"/>
      <c r="F12921" s="1"/>
      <c r="G12921" s="1"/>
    </row>
    <row r="12922">
      <c r="B12922" s="36"/>
      <c r="C12922" s="36"/>
      <c r="E12922" s="1"/>
      <c r="F12922" s="1"/>
      <c r="G12922" s="1"/>
    </row>
    <row r="12923">
      <c r="B12923" s="36"/>
      <c r="C12923" s="36"/>
      <c r="E12923" s="1"/>
      <c r="F12923" s="1"/>
      <c r="G12923" s="1"/>
    </row>
    <row r="12924">
      <c r="B12924" s="36"/>
      <c r="C12924" s="36"/>
      <c r="E12924" s="1"/>
      <c r="F12924" s="1"/>
      <c r="G12924" s="1"/>
    </row>
    <row r="12925">
      <c r="B12925" s="36"/>
      <c r="C12925" s="36"/>
      <c r="E12925" s="1"/>
      <c r="F12925" s="1"/>
      <c r="G12925" s="1"/>
    </row>
    <row r="12926">
      <c r="B12926" s="36"/>
      <c r="C12926" s="36"/>
      <c r="E12926" s="1"/>
      <c r="F12926" s="1"/>
      <c r="G12926" s="1"/>
    </row>
    <row r="12927">
      <c r="B12927" s="36"/>
      <c r="C12927" s="36"/>
      <c r="E12927" s="1"/>
      <c r="F12927" s="1"/>
      <c r="G12927" s="1"/>
    </row>
    <row r="12928">
      <c r="B12928" s="36"/>
      <c r="C12928" s="36"/>
      <c r="E12928" s="1"/>
      <c r="F12928" s="1"/>
      <c r="G12928" s="1"/>
    </row>
    <row r="12929">
      <c r="B12929" s="36"/>
      <c r="C12929" s="36"/>
      <c r="E12929" s="1"/>
      <c r="F12929" s="1"/>
      <c r="G12929" s="1"/>
    </row>
    <row r="12930">
      <c r="B12930" s="36"/>
      <c r="C12930" s="36"/>
      <c r="E12930" s="1"/>
      <c r="F12930" s="1"/>
      <c r="G12930" s="1"/>
    </row>
    <row r="12931">
      <c r="B12931" s="36"/>
      <c r="C12931" s="36"/>
      <c r="E12931" s="1"/>
      <c r="F12931" s="1"/>
      <c r="G12931" s="1"/>
    </row>
    <row r="12932">
      <c r="B12932" s="36"/>
      <c r="C12932" s="36"/>
      <c r="E12932" s="1"/>
      <c r="F12932" s="1"/>
      <c r="G12932" s="1"/>
    </row>
    <row r="12933">
      <c r="B12933" s="36"/>
      <c r="C12933" s="36"/>
      <c r="E12933" s="1"/>
      <c r="F12933" s="1"/>
      <c r="G12933" s="1"/>
    </row>
    <row r="12934">
      <c r="B12934" s="36"/>
      <c r="C12934" s="36"/>
      <c r="E12934" s="1"/>
      <c r="F12934" s="1"/>
      <c r="G12934" s="1"/>
    </row>
    <row r="12935">
      <c r="B12935" s="36"/>
      <c r="C12935" s="36"/>
      <c r="E12935" s="1"/>
      <c r="F12935" s="1"/>
      <c r="G12935" s="1"/>
    </row>
    <row r="12936">
      <c r="B12936" s="36"/>
      <c r="C12936" s="36"/>
      <c r="E12936" s="1"/>
      <c r="F12936" s="1"/>
      <c r="G12936" s="1"/>
    </row>
    <row r="12937">
      <c r="B12937" s="36"/>
      <c r="C12937" s="36"/>
      <c r="E12937" s="1"/>
      <c r="F12937" s="1"/>
      <c r="G12937" s="1"/>
    </row>
    <row r="12938">
      <c r="B12938" s="36"/>
      <c r="C12938" s="36"/>
      <c r="E12938" s="1"/>
      <c r="F12938" s="1"/>
      <c r="G12938" s="1"/>
    </row>
    <row r="12939">
      <c r="B12939" s="36"/>
      <c r="C12939" s="36"/>
      <c r="E12939" s="1"/>
      <c r="F12939" s="1"/>
      <c r="G12939" s="1"/>
    </row>
    <row r="12940">
      <c r="B12940" s="36"/>
      <c r="C12940" s="36"/>
      <c r="E12940" s="1"/>
      <c r="F12940" s="1"/>
      <c r="G12940" s="1"/>
    </row>
    <row r="12941">
      <c r="B12941" s="36"/>
      <c r="C12941" s="36"/>
      <c r="E12941" s="1"/>
      <c r="F12941" s="1"/>
      <c r="G12941" s="1"/>
    </row>
    <row r="12942">
      <c r="B12942" s="36"/>
      <c r="C12942" s="36"/>
      <c r="E12942" s="1"/>
      <c r="F12942" s="1"/>
      <c r="G12942" s="1"/>
    </row>
    <row r="12943">
      <c r="B12943" s="36"/>
      <c r="C12943" s="36"/>
      <c r="E12943" s="1"/>
      <c r="F12943" s="1"/>
      <c r="G12943" s="1"/>
    </row>
    <row r="12944">
      <c r="B12944" s="36"/>
      <c r="C12944" s="36"/>
      <c r="E12944" s="1"/>
      <c r="F12944" s="1"/>
      <c r="G12944" s="1"/>
    </row>
    <row r="12945">
      <c r="B12945" s="36"/>
      <c r="C12945" s="36"/>
      <c r="E12945" s="1"/>
      <c r="F12945" s="1"/>
      <c r="G12945" s="1"/>
    </row>
    <row r="12946">
      <c r="B12946" s="36"/>
      <c r="C12946" s="36"/>
      <c r="E12946" s="1"/>
      <c r="F12946" s="1"/>
      <c r="G12946" s="1"/>
    </row>
    <row r="12947">
      <c r="B12947" s="36"/>
      <c r="C12947" s="36"/>
      <c r="E12947" s="1"/>
      <c r="F12947" s="1"/>
      <c r="G12947" s="1"/>
    </row>
    <row r="12948">
      <c r="B12948" s="36"/>
      <c r="C12948" s="36"/>
      <c r="E12948" s="1"/>
      <c r="F12948" s="1"/>
      <c r="G12948" s="1"/>
    </row>
    <row r="12949">
      <c r="B12949" s="36"/>
      <c r="C12949" s="36"/>
      <c r="E12949" s="1"/>
      <c r="F12949" s="1"/>
      <c r="G12949" s="1"/>
    </row>
    <row r="12950">
      <c r="B12950" s="36"/>
      <c r="C12950" s="36"/>
      <c r="E12950" s="1"/>
      <c r="F12950" s="1"/>
      <c r="G12950" s="1"/>
    </row>
    <row r="12951">
      <c r="B12951" s="36"/>
      <c r="C12951" s="36"/>
      <c r="E12951" s="1"/>
      <c r="F12951" s="1"/>
      <c r="G12951" s="1"/>
    </row>
    <row r="12952">
      <c r="B12952" s="36"/>
      <c r="C12952" s="36"/>
      <c r="E12952" s="1"/>
      <c r="F12952" s="1"/>
      <c r="G12952" s="1"/>
    </row>
    <row r="12953">
      <c r="B12953" s="36"/>
      <c r="C12953" s="36"/>
      <c r="E12953" s="1"/>
      <c r="F12953" s="1"/>
      <c r="G12953" s="1"/>
    </row>
    <row r="12954">
      <c r="B12954" s="36"/>
      <c r="C12954" s="36"/>
      <c r="E12954" s="1"/>
      <c r="F12954" s="1"/>
      <c r="G12954" s="1"/>
    </row>
    <row r="12955">
      <c r="B12955" s="36"/>
      <c r="C12955" s="36"/>
      <c r="E12955" s="1"/>
      <c r="F12955" s="1"/>
      <c r="G12955" s="1"/>
    </row>
    <row r="12956">
      <c r="B12956" s="36"/>
      <c r="C12956" s="36"/>
      <c r="E12956" s="1"/>
      <c r="F12956" s="1"/>
      <c r="G12956" s="1"/>
    </row>
    <row r="12957">
      <c r="B12957" s="36"/>
      <c r="C12957" s="36"/>
      <c r="E12957" s="1"/>
      <c r="F12957" s="1"/>
      <c r="G12957" s="1"/>
    </row>
    <row r="12958">
      <c r="B12958" s="36"/>
      <c r="C12958" s="36"/>
      <c r="E12958" s="1"/>
      <c r="F12958" s="1"/>
      <c r="G12958" s="1"/>
    </row>
    <row r="12959">
      <c r="B12959" s="36"/>
      <c r="C12959" s="36"/>
      <c r="E12959" s="1"/>
      <c r="F12959" s="1"/>
      <c r="G12959" s="1"/>
    </row>
    <row r="12960">
      <c r="B12960" s="36"/>
      <c r="C12960" s="36"/>
      <c r="E12960" s="1"/>
      <c r="F12960" s="1"/>
      <c r="G12960" s="1"/>
    </row>
    <row r="12961">
      <c r="B12961" s="36"/>
      <c r="C12961" s="36"/>
      <c r="E12961" s="1"/>
      <c r="F12961" s="1"/>
      <c r="G12961" s="1"/>
    </row>
    <row r="12962">
      <c r="B12962" s="36"/>
      <c r="C12962" s="36"/>
      <c r="E12962" s="1"/>
      <c r="F12962" s="1"/>
      <c r="G12962" s="1"/>
    </row>
    <row r="12963">
      <c r="B12963" s="36"/>
      <c r="C12963" s="36"/>
      <c r="E12963" s="1"/>
      <c r="F12963" s="1"/>
      <c r="G12963" s="1"/>
    </row>
    <row r="12964">
      <c r="B12964" s="36"/>
      <c r="C12964" s="36"/>
      <c r="E12964" s="1"/>
      <c r="F12964" s="1"/>
      <c r="G12964" s="1"/>
    </row>
    <row r="12965">
      <c r="B12965" s="36"/>
      <c r="C12965" s="36"/>
      <c r="E12965" s="1"/>
      <c r="F12965" s="1"/>
      <c r="G12965" s="1"/>
    </row>
    <row r="12966">
      <c r="B12966" s="36"/>
      <c r="C12966" s="36"/>
      <c r="E12966" s="1"/>
      <c r="F12966" s="1"/>
      <c r="G12966" s="1"/>
    </row>
    <row r="12967">
      <c r="B12967" s="36"/>
      <c r="C12967" s="36"/>
      <c r="E12967" s="1"/>
      <c r="F12967" s="1"/>
      <c r="G12967" s="1"/>
    </row>
    <row r="12968">
      <c r="B12968" s="36"/>
      <c r="C12968" s="36"/>
      <c r="E12968" s="1"/>
      <c r="F12968" s="1"/>
      <c r="G12968" s="1"/>
    </row>
    <row r="12969">
      <c r="B12969" s="36"/>
      <c r="C12969" s="36"/>
      <c r="E12969" s="1"/>
      <c r="F12969" s="1"/>
      <c r="G12969" s="1"/>
    </row>
    <row r="12970">
      <c r="B12970" s="36"/>
      <c r="C12970" s="36"/>
      <c r="E12970" s="1"/>
      <c r="F12970" s="1"/>
      <c r="G12970" s="1"/>
    </row>
    <row r="12971">
      <c r="B12971" s="36"/>
      <c r="C12971" s="36"/>
      <c r="E12971" s="1"/>
      <c r="F12971" s="1"/>
      <c r="G12971" s="1"/>
    </row>
    <row r="12972">
      <c r="B12972" s="36"/>
      <c r="C12972" s="36"/>
      <c r="E12972" s="1"/>
      <c r="F12972" s="1"/>
      <c r="G12972" s="1"/>
    </row>
    <row r="12973">
      <c r="B12973" s="36"/>
      <c r="C12973" s="36"/>
      <c r="E12973" s="1"/>
      <c r="F12973" s="1"/>
      <c r="G12973" s="1"/>
    </row>
    <row r="12974">
      <c r="B12974" s="36"/>
      <c r="C12974" s="36"/>
      <c r="E12974" s="1"/>
      <c r="F12974" s="1"/>
      <c r="G12974" s="1"/>
    </row>
    <row r="12975">
      <c r="B12975" s="36"/>
      <c r="C12975" s="36"/>
      <c r="E12975" s="1"/>
      <c r="F12975" s="1"/>
      <c r="G12975" s="1"/>
    </row>
    <row r="12976">
      <c r="B12976" s="36"/>
      <c r="C12976" s="36"/>
      <c r="E12976" s="1"/>
      <c r="F12976" s="1"/>
      <c r="G12976" s="1"/>
    </row>
    <row r="12977">
      <c r="B12977" s="36"/>
      <c r="C12977" s="36"/>
      <c r="E12977" s="1"/>
      <c r="F12977" s="1"/>
      <c r="G12977" s="1"/>
    </row>
    <row r="12978">
      <c r="B12978" s="36"/>
      <c r="C12978" s="36"/>
      <c r="E12978" s="1"/>
      <c r="F12978" s="1"/>
      <c r="G12978" s="1"/>
    </row>
    <row r="12979">
      <c r="B12979" s="36"/>
      <c r="C12979" s="36"/>
      <c r="E12979" s="1"/>
      <c r="F12979" s="1"/>
      <c r="G12979" s="1"/>
    </row>
    <row r="12980">
      <c r="B12980" s="36"/>
      <c r="C12980" s="36"/>
      <c r="E12980" s="1"/>
      <c r="F12980" s="1"/>
      <c r="G12980" s="1"/>
    </row>
    <row r="12981">
      <c r="B12981" s="36"/>
      <c r="C12981" s="36"/>
      <c r="E12981" s="1"/>
      <c r="F12981" s="1"/>
      <c r="G12981" s="1"/>
    </row>
    <row r="12982">
      <c r="B12982" s="36"/>
      <c r="C12982" s="36"/>
      <c r="E12982" s="1"/>
      <c r="F12982" s="1"/>
      <c r="G12982" s="1"/>
    </row>
    <row r="12983">
      <c r="B12983" s="36"/>
      <c r="C12983" s="36"/>
      <c r="E12983" s="1"/>
      <c r="F12983" s="1"/>
      <c r="G12983" s="1"/>
    </row>
    <row r="12984">
      <c r="B12984" s="36"/>
      <c r="C12984" s="36"/>
      <c r="E12984" s="1"/>
      <c r="F12984" s="1"/>
      <c r="G12984" s="1"/>
    </row>
    <row r="12985">
      <c r="B12985" s="36"/>
      <c r="C12985" s="36"/>
      <c r="E12985" s="1"/>
      <c r="F12985" s="1"/>
      <c r="G12985" s="1"/>
    </row>
    <row r="12986">
      <c r="B12986" s="36"/>
      <c r="C12986" s="36"/>
      <c r="E12986" s="1"/>
      <c r="F12986" s="1"/>
      <c r="G12986" s="1"/>
    </row>
    <row r="12987">
      <c r="B12987" s="36"/>
      <c r="C12987" s="36"/>
      <c r="E12987" s="1"/>
      <c r="F12987" s="1"/>
      <c r="G12987" s="1"/>
    </row>
    <row r="12988">
      <c r="B12988" s="36"/>
      <c r="C12988" s="36"/>
      <c r="E12988" s="1"/>
      <c r="F12988" s="1"/>
      <c r="G12988" s="1"/>
    </row>
    <row r="12989">
      <c r="B12989" s="36"/>
      <c r="C12989" s="36"/>
      <c r="E12989" s="1"/>
      <c r="F12989" s="1"/>
      <c r="G12989" s="1"/>
    </row>
    <row r="12990">
      <c r="B12990" s="36"/>
      <c r="C12990" s="36"/>
      <c r="E12990" s="1"/>
      <c r="F12990" s="1"/>
      <c r="G12990" s="1"/>
    </row>
    <row r="12991">
      <c r="B12991" s="36"/>
      <c r="C12991" s="36"/>
      <c r="E12991" s="1"/>
      <c r="F12991" s="1"/>
      <c r="G12991" s="1"/>
    </row>
    <row r="12992">
      <c r="B12992" s="36"/>
      <c r="C12992" s="36"/>
      <c r="E12992" s="1"/>
      <c r="F12992" s="1"/>
      <c r="G12992" s="1"/>
    </row>
    <row r="12993">
      <c r="B12993" s="36"/>
      <c r="C12993" s="36"/>
      <c r="E12993" s="1"/>
      <c r="F12993" s="1"/>
      <c r="G12993" s="1"/>
    </row>
    <row r="12994">
      <c r="B12994" s="36"/>
      <c r="C12994" s="36"/>
      <c r="E12994" s="1"/>
      <c r="F12994" s="1"/>
      <c r="G12994" s="1"/>
    </row>
    <row r="12995">
      <c r="B12995" s="36"/>
      <c r="C12995" s="36"/>
      <c r="E12995" s="1"/>
      <c r="F12995" s="1"/>
      <c r="G12995" s="1"/>
    </row>
    <row r="12996">
      <c r="B12996" s="36"/>
      <c r="C12996" s="36"/>
      <c r="E12996" s="1"/>
      <c r="F12996" s="1"/>
      <c r="G12996" s="1"/>
    </row>
    <row r="12997">
      <c r="B12997" s="36"/>
      <c r="C12997" s="36"/>
      <c r="E12997" s="1"/>
      <c r="F12997" s="1"/>
      <c r="G12997" s="1"/>
    </row>
    <row r="12998">
      <c r="B12998" s="36"/>
      <c r="C12998" s="36"/>
      <c r="E12998" s="1"/>
      <c r="F12998" s="1"/>
      <c r="G12998" s="1"/>
    </row>
    <row r="12999">
      <c r="B12999" s="36"/>
      <c r="C12999" s="36"/>
      <c r="E12999" s="1"/>
      <c r="F12999" s="1"/>
      <c r="G12999" s="1"/>
    </row>
    <row r="13000">
      <c r="B13000" s="36"/>
      <c r="C13000" s="36"/>
      <c r="E13000" s="1"/>
      <c r="F13000" s="1"/>
      <c r="G13000" s="1"/>
    </row>
    <row r="13001">
      <c r="B13001" s="36"/>
      <c r="C13001" s="36"/>
      <c r="E13001" s="1"/>
      <c r="F13001" s="1"/>
      <c r="G13001" s="1"/>
    </row>
    <row r="13002">
      <c r="B13002" s="36"/>
      <c r="C13002" s="36"/>
      <c r="E13002" s="1"/>
      <c r="F13002" s="1"/>
      <c r="G13002" s="1"/>
    </row>
    <row r="13003">
      <c r="B13003" s="36"/>
      <c r="C13003" s="36"/>
      <c r="E13003" s="1"/>
      <c r="F13003" s="1"/>
      <c r="G13003" s="1"/>
    </row>
    <row r="13004">
      <c r="B13004" s="36"/>
      <c r="C13004" s="36"/>
      <c r="E13004" s="1"/>
      <c r="F13004" s="1"/>
      <c r="G13004" s="1"/>
    </row>
    <row r="13005">
      <c r="B13005" s="36"/>
      <c r="C13005" s="36"/>
      <c r="E13005" s="1"/>
      <c r="F13005" s="1"/>
      <c r="G13005" s="1"/>
    </row>
    <row r="13006">
      <c r="B13006" s="36"/>
      <c r="C13006" s="36"/>
      <c r="E13006" s="1"/>
      <c r="F13006" s="1"/>
      <c r="G13006" s="1"/>
    </row>
    <row r="13007">
      <c r="B13007" s="36"/>
      <c r="C13007" s="36"/>
      <c r="E13007" s="1"/>
      <c r="F13007" s="1"/>
      <c r="G13007" s="1"/>
    </row>
    <row r="13008">
      <c r="B13008" s="36"/>
      <c r="C13008" s="36"/>
      <c r="E13008" s="1"/>
      <c r="F13008" s="1"/>
      <c r="G13008" s="1"/>
    </row>
    <row r="13009">
      <c r="B13009" s="36"/>
      <c r="C13009" s="36"/>
      <c r="E13009" s="1"/>
      <c r="F13009" s="1"/>
      <c r="G13009" s="1"/>
    </row>
    <row r="13010">
      <c r="B13010" s="36"/>
      <c r="C13010" s="36"/>
      <c r="E13010" s="1"/>
      <c r="F13010" s="1"/>
      <c r="G13010" s="1"/>
    </row>
    <row r="13011">
      <c r="B13011" s="36"/>
      <c r="C13011" s="36"/>
      <c r="E13011" s="1"/>
      <c r="F13011" s="1"/>
      <c r="G13011" s="1"/>
    </row>
    <row r="13012">
      <c r="B13012" s="36"/>
      <c r="C13012" s="36"/>
      <c r="E13012" s="1"/>
      <c r="F13012" s="1"/>
      <c r="G13012" s="1"/>
    </row>
    <row r="13013">
      <c r="B13013" s="36"/>
      <c r="C13013" s="36"/>
      <c r="E13013" s="1"/>
      <c r="F13013" s="1"/>
      <c r="G13013" s="1"/>
    </row>
    <row r="13014">
      <c r="B13014" s="36"/>
      <c r="C13014" s="36"/>
      <c r="E13014" s="1"/>
      <c r="F13014" s="1"/>
      <c r="G13014" s="1"/>
    </row>
    <row r="13015">
      <c r="B13015" s="36"/>
      <c r="C13015" s="36"/>
      <c r="E13015" s="1"/>
      <c r="F13015" s="1"/>
      <c r="G13015" s="1"/>
    </row>
    <row r="13016">
      <c r="B13016" s="36"/>
      <c r="C13016" s="36"/>
      <c r="E13016" s="1"/>
      <c r="F13016" s="1"/>
      <c r="G13016" s="1"/>
    </row>
    <row r="13017">
      <c r="B13017" s="36"/>
      <c r="C13017" s="36"/>
      <c r="E13017" s="1"/>
      <c r="F13017" s="1"/>
      <c r="G13017" s="1"/>
    </row>
    <row r="13018">
      <c r="B13018" s="36"/>
      <c r="C13018" s="36"/>
      <c r="E13018" s="1"/>
      <c r="F13018" s="1"/>
      <c r="G13018" s="1"/>
    </row>
    <row r="13019">
      <c r="B13019" s="36"/>
      <c r="C13019" s="36"/>
      <c r="E13019" s="1"/>
      <c r="F13019" s="1"/>
      <c r="G13019" s="1"/>
    </row>
    <row r="13020">
      <c r="B13020" s="36"/>
      <c r="C13020" s="36"/>
      <c r="E13020" s="1"/>
      <c r="F13020" s="1"/>
      <c r="G13020" s="1"/>
    </row>
    <row r="13021">
      <c r="B13021" s="36"/>
      <c r="C13021" s="36"/>
      <c r="E13021" s="1"/>
      <c r="F13021" s="1"/>
      <c r="G13021" s="1"/>
    </row>
    <row r="13022">
      <c r="B13022" s="36"/>
      <c r="C13022" s="36"/>
      <c r="E13022" s="1"/>
      <c r="F13022" s="1"/>
      <c r="G13022" s="1"/>
    </row>
    <row r="13023">
      <c r="B13023" s="36"/>
      <c r="C13023" s="36"/>
      <c r="E13023" s="1"/>
      <c r="F13023" s="1"/>
      <c r="G13023" s="1"/>
    </row>
    <row r="13024">
      <c r="B13024" s="36"/>
      <c r="C13024" s="36"/>
      <c r="E13024" s="1"/>
      <c r="F13024" s="1"/>
      <c r="G13024" s="1"/>
    </row>
    <row r="13025">
      <c r="B13025" s="36"/>
      <c r="C13025" s="36"/>
      <c r="E13025" s="1"/>
      <c r="F13025" s="1"/>
      <c r="G13025" s="1"/>
    </row>
    <row r="13026">
      <c r="B13026" s="36"/>
      <c r="C13026" s="36"/>
      <c r="E13026" s="1"/>
      <c r="F13026" s="1"/>
      <c r="G13026" s="1"/>
    </row>
    <row r="13027">
      <c r="B13027" s="36"/>
      <c r="C13027" s="36"/>
      <c r="E13027" s="1"/>
      <c r="F13027" s="1"/>
      <c r="G13027" s="1"/>
    </row>
    <row r="13028">
      <c r="B13028" s="36"/>
      <c r="C13028" s="36"/>
      <c r="E13028" s="1"/>
      <c r="F13028" s="1"/>
      <c r="G13028" s="1"/>
    </row>
    <row r="13029">
      <c r="B13029" s="36"/>
      <c r="C13029" s="36"/>
      <c r="E13029" s="1"/>
      <c r="F13029" s="1"/>
      <c r="G13029" s="1"/>
    </row>
    <row r="13030">
      <c r="B13030" s="36"/>
      <c r="C13030" s="36"/>
      <c r="E13030" s="1"/>
      <c r="F13030" s="1"/>
      <c r="G13030" s="1"/>
    </row>
    <row r="13031">
      <c r="B13031" s="36"/>
      <c r="C13031" s="36"/>
      <c r="E13031" s="1"/>
      <c r="F13031" s="1"/>
      <c r="G13031" s="1"/>
    </row>
    <row r="13032">
      <c r="B13032" s="36"/>
      <c r="C13032" s="36"/>
      <c r="E13032" s="1"/>
      <c r="F13032" s="1"/>
      <c r="G13032" s="1"/>
    </row>
    <row r="13033">
      <c r="B13033" s="36"/>
      <c r="C13033" s="36"/>
      <c r="E13033" s="1"/>
      <c r="F13033" s="1"/>
      <c r="G13033" s="1"/>
    </row>
    <row r="13034">
      <c r="B13034" s="36"/>
      <c r="C13034" s="36"/>
      <c r="E13034" s="1"/>
      <c r="F13034" s="1"/>
      <c r="G13034" s="1"/>
    </row>
    <row r="13035">
      <c r="B13035" s="36"/>
      <c r="C13035" s="36"/>
      <c r="E13035" s="1"/>
      <c r="F13035" s="1"/>
      <c r="G13035" s="1"/>
    </row>
    <row r="13036">
      <c r="B13036" s="36"/>
      <c r="C13036" s="36"/>
      <c r="E13036" s="1"/>
      <c r="F13036" s="1"/>
      <c r="G13036" s="1"/>
    </row>
    <row r="13037">
      <c r="B13037" s="36"/>
      <c r="C13037" s="36"/>
      <c r="E13037" s="1"/>
      <c r="F13037" s="1"/>
      <c r="G13037" s="1"/>
    </row>
    <row r="13038">
      <c r="B13038" s="36"/>
      <c r="C13038" s="36"/>
      <c r="E13038" s="1"/>
      <c r="F13038" s="1"/>
      <c r="G13038" s="1"/>
    </row>
    <row r="13039">
      <c r="B13039" s="36"/>
      <c r="C13039" s="36"/>
      <c r="E13039" s="1"/>
      <c r="F13039" s="1"/>
      <c r="G13039" s="1"/>
    </row>
    <row r="13040">
      <c r="B13040" s="36"/>
      <c r="C13040" s="36"/>
      <c r="E13040" s="1"/>
      <c r="F13040" s="1"/>
      <c r="G13040" s="1"/>
    </row>
    <row r="13041">
      <c r="B13041" s="36"/>
      <c r="C13041" s="36"/>
      <c r="E13041" s="1"/>
      <c r="F13041" s="1"/>
      <c r="G13041" s="1"/>
    </row>
    <row r="13042">
      <c r="B13042" s="36"/>
      <c r="C13042" s="36"/>
      <c r="E13042" s="1"/>
      <c r="F13042" s="1"/>
      <c r="G13042" s="1"/>
    </row>
    <row r="13043">
      <c r="B13043" s="36"/>
      <c r="C13043" s="36"/>
      <c r="E13043" s="1"/>
      <c r="F13043" s="1"/>
      <c r="G13043" s="1"/>
    </row>
    <row r="13044">
      <c r="B13044" s="36"/>
      <c r="C13044" s="36"/>
      <c r="E13044" s="1"/>
      <c r="F13044" s="1"/>
      <c r="G13044" s="1"/>
    </row>
    <row r="13045">
      <c r="B13045" s="36"/>
      <c r="C13045" s="36"/>
      <c r="E13045" s="1"/>
      <c r="F13045" s="1"/>
      <c r="G13045" s="1"/>
    </row>
    <row r="13046">
      <c r="B13046" s="36"/>
      <c r="C13046" s="36"/>
      <c r="E13046" s="1"/>
      <c r="F13046" s="1"/>
      <c r="G13046" s="1"/>
    </row>
    <row r="13047">
      <c r="B13047" s="36"/>
      <c r="C13047" s="36"/>
      <c r="E13047" s="1"/>
      <c r="F13047" s="1"/>
      <c r="G13047" s="1"/>
    </row>
    <row r="13048">
      <c r="B13048" s="36"/>
      <c r="C13048" s="36"/>
      <c r="E13048" s="1"/>
      <c r="F13048" s="1"/>
      <c r="G13048" s="1"/>
    </row>
    <row r="13049">
      <c r="B13049" s="36"/>
      <c r="C13049" s="36"/>
      <c r="E13049" s="1"/>
      <c r="F13049" s="1"/>
      <c r="G13049" s="1"/>
    </row>
    <row r="13050">
      <c r="B13050" s="36"/>
      <c r="C13050" s="36"/>
      <c r="E13050" s="1"/>
      <c r="F13050" s="1"/>
      <c r="G13050" s="1"/>
    </row>
    <row r="13051">
      <c r="B13051" s="36"/>
      <c r="C13051" s="36"/>
      <c r="E13051" s="1"/>
      <c r="F13051" s="1"/>
      <c r="G13051" s="1"/>
    </row>
    <row r="13052">
      <c r="B13052" s="36"/>
      <c r="C13052" s="36"/>
      <c r="E13052" s="1"/>
      <c r="F13052" s="1"/>
      <c r="G13052" s="1"/>
    </row>
    <row r="13053">
      <c r="B13053" s="36"/>
      <c r="C13053" s="36"/>
      <c r="E13053" s="1"/>
      <c r="F13053" s="1"/>
      <c r="G13053" s="1"/>
    </row>
    <row r="13054">
      <c r="B13054" s="36"/>
      <c r="C13054" s="36"/>
      <c r="E13054" s="1"/>
      <c r="F13054" s="1"/>
      <c r="G13054" s="1"/>
    </row>
    <row r="13055">
      <c r="B13055" s="36"/>
      <c r="C13055" s="36"/>
      <c r="E13055" s="1"/>
      <c r="F13055" s="1"/>
      <c r="G13055" s="1"/>
    </row>
    <row r="13056">
      <c r="B13056" s="36"/>
      <c r="C13056" s="36"/>
      <c r="E13056" s="1"/>
      <c r="F13056" s="1"/>
      <c r="G13056" s="1"/>
    </row>
    <row r="13057">
      <c r="B13057" s="36"/>
      <c r="C13057" s="36"/>
      <c r="E13057" s="1"/>
      <c r="F13057" s="1"/>
      <c r="G13057" s="1"/>
    </row>
    <row r="13058">
      <c r="B13058" s="36"/>
      <c r="C13058" s="36"/>
      <c r="E13058" s="1"/>
      <c r="F13058" s="1"/>
      <c r="G13058" s="1"/>
    </row>
    <row r="13059">
      <c r="B13059" s="36"/>
      <c r="C13059" s="36"/>
      <c r="E13059" s="1"/>
      <c r="F13059" s="1"/>
      <c r="G13059" s="1"/>
    </row>
    <row r="13060">
      <c r="B13060" s="36"/>
      <c r="C13060" s="36"/>
      <c r="E13060" s="1"/>
      <c r="F13060" s="1"/>
      <c r="G13060" s="1"/>
    </row>
    <row r="13061">
      <c r="B13061" s="36"/>
      <c r="C13061" s="36"/>
      <c r="E13061" s="1"/>
      <c r="F13061" s="1"/>
      <c r="G13061" s="1"/>
    </row>
    <row r="13062">
      <c r="B13062" s="36"/>
      <c r="C13062" s="36"/>
      <c r="E13062" s="1"/>
      <c r="F13062" s="1"/>
      <c r="G13062" s="1"/>
    </row>
    <row r="13063">
      <c r="B13063" s="36"/>
      <c r="C13063" s="36"/>
      <c r="E13063" s="1"/>
      <c r="F13063" s="1"/>
      <c r="G13063" s="1"/>
    </row>
    <row r="13064">
      <c r="B13064" s="36"/>
      <c r="C13064" s="36"/>
      <c r="E13064" s="1"/>
      <c r="F13064" s="1"/>
      <c r="G13064" s="1"/>
    </row>
    <row r="13065">
      <c r="B13065" s="36"/>
      <c r="C13065" s="36"/>
      <c r="E13065" s="1"/>
      <c r="F13065" s="1"/>
      <c r="G13065" s="1"/>
    </row>
    <row r="13066">
      <c r="B13066" s="36"/>
      <c r="C13066" s="36"/>
      <c r="E13066" s="1"/>
      <c r="F13066" s="1"/>
      <c r="G13066" s="1"/>
    </row>
    <row r="13067">
      <c r="B13067" s="36"/>
      <c r="C13067" s="36"/>
      <c r="E13067" s="1"/>
      <c r="F13067" s="1"/>
      <c r="G13067" s="1"/>
    </row>
    <row r="13068">
      <c r="B13068" s="36"/>
      <c r="C13068" s="36"/>
      <c r="E13068" s="1"/>
      <c r="F13068" s="1"/>
      <c r="G13068" s="1"/>
    </row>
    <row r="13069">
      <c r="B13069" s="36"/>
      <c r="C13069" s="36"/>
      <c r="E13069" s="1"/>
      <c r="F13069" s="1"/>
      <c r="G13069" s="1"/>
    </row>
    <row r="13070">
      <c r="B13070" s="36"/>
      <c r="C13070" s="36"/>
      <c r="E13070" s="1"/>
      <c r="F13070" s="1"/>
      <c r="G13070" s="1"/>
    </row>
    <row r="13071">
      <c r="B13071" s="36"/>
      <c r="C13071" s="36"/>
      <c r="E13071" s="1"/>
      <c r="F13071" s="1"/>
      <c r="G13071" s="1"/>
    </row>
    <row r="13072">
      <c r="B13072" s="36"/>
      <c r="C13072" s="36"/>
      <c r="E13072" s="1"/>
      <c r="F13072" s="1"/>
      <c r="G13072" s="1"/>
    </row>
    <row r="13073">
      <c r="B13073" s="36"/>
      <c r="C13073" s="36"/>
      <c r="E13073" s="1"/>
      <c r="F13073" s="1"/>
      <c r="G13073" s="1"/>
    </row>
    <row r="13074">
      <c r="B13074" s="36"/>
      <c r="C13074" s="36"/>
      <c r="E13074" s="1"/>
      <c r="F13074" s="1"/>
      <c r="G13074" s="1"/>
    </row>
    <row r="13075">
      <c r="B13075" s="36"/>
      <c r="C13075" s="36"/>
      <c r="E13075" s="1"/>
      <c r="F13075" s="1"/>
      <c r="G13075" s="1"/>
    </row>
    <row r="13076">
      <c r="B13076" s="36"/>
      <c r="C13076" s="36"/>
      <c r="E13076" s="1"/>
      <c r="F13076" s="1"/>
      <c r="G13076" s="1"/>
    </row>
    <row r="13077">
      <c r="B13077" s="36"/>
      <c r="C13077" s="36"/>
      <c r="E13077" s="1"/>
      <c r="F13077" s="1"/>
      <c r="G13077" s="1"/>
    </row>
    <row r="13078">
      <c r="B13078" s="36"/>
      <c r="C13078" s="36"/>
      <c r="E13078" s="1"/>
      <c r="F13078" s="1"/>
      <c r="G13078" s="1"/>
    </row>
    <row r="13079">
      <c r="B13079" s="36"/>
      <c r="C13079" s="36"/>
      <c r="E13079" s="1"/>
      <c r="F13079" s="1"/>
      <c r="G13079" s="1"/>
    </row>
    <row r="13080">
      <c r="B13080" s="36"/>
      <c r="C13080" s="36"/>
      <c r="E13080" s="1"/>
      <c r="F13080" s="1"/>
      <c r="G13080" s="1"/>
    </row>
    <row r="13081">
      <c r="B13081" s="36"/>
      <c r="C13081" s="36"/>
      <c r="E13081" s="1"/>
      <c r="F13081" s="1"/>
      <c r="G13081" s="1"/>
    </row>
    <row r="13082">
      <c r="B13082" s="36"/>
      <c r="C13082" s="36"/>
      <c r="E13082" s="1"/>
      <c r="F13082" s="1"/>
      <c r="G13082" s="1"/>
    </row>
    <row r="13083">
      <c r="B13083" s="36"/>
      <c r="C13083" s="36"/>
      <c r="E13083" s="1"/>
      <c r="F13083" s="1"/>
      <c r="G13083" s="1"/>
    </row>
    <row r="13084">
      <c r="B13084" s="36"/>
      <c r="C13084" s="36"/>
      <c r="E13084" s="1"/>
      <c r="F13084" s="1"/>
      <c r="G13084" s="1"/>
    </row>
    <row r="13085">
      <c r="B13085" s="36"/>
      <c r="C13085" s="36"/>
      <c r="E13085" s="1"/>
      <c r="F13085" s="1"/>
      <c r="G13085" s="1"/>
    </row>
    <row r="13086">
      <c r="B13086" s="36"/>
      <c r="C13086" s="36"/>
      <c r="E13086" s="1"/>
      <c r="F13086" s="1"/>
      <c r="G13086" s="1"/>
    </row>
    <row r="13087">
      <c r="B13087" s="36"/>
      <c r="C13087" s="36"/>
      <c r="E13087" s="1"/>
      <c r="F13087" s="1"/>
      <c r="G13087" s="1"/>
    </row>
    <row r="13088">
      <c r="B13088" s="36"/>
      <c r="C13088" s="36"/>
      <c r="E13088" s="1"/>
      <c r="F13088" s="1"/>
      <c r="G13088" s="1"/>
    </row>
    <row r="13089">
      <c r="B13089" s="36"/>
      <c r="C13089" s="36"/>
      <c r="E13089" s="1"/>
      <c r="F13089" s="1"/>
      <c r="G13089" s="1"/>
    </row>
    <row r="13090">
      <c r="B13090" s="36"/>
      <c r="C13090" s="36"/>
      <c r="E13090" s="1"/>
      <c r="F13090" s="1"/>
      <c r="G13090" s="1"/>
    </row>
    <row r="13091">
      <c r="B13091" s="36"/>
      <c r="C13091" s="36"/>
      <c r="E13091" s="1"/>
      <c r="F13091" s="1"/>
      <c r="G13091" s="1"/>
    </row>
    <row r="13092">
      <c r="B13092" s="36"/>
      <c r="C13092" s="36"/>
      <c r="E13092" s="1"/>
      <c r="F13092" s="1"/>
      <c r="G13092" s="1"/>
    </row>
    <row r="13093">
      <c r="B13093" s="36"/>
      <c r="C13093" s="36"/>
      <c r="E13093" s="1"/>
      <c r="F13093" s="1"/>
      <c r="G13093" s="1"/>
    </row>
    <row r="13094">
      <c r="B13094" s="36"/>
      <c r="C13094" s="36"/>
      <c r="E13094" s="1"/>
      <c r="F13094" s="1"/>
      <c r="G13094" s="1"/>
    </row>
    <row r="13095">
      <c r="B13095" s="36"/>
      <c r="C13095" s="36"/>
      <c r="E13095" s="1"/>
      <c r="F13095" s="1"/>
      <c r="G13095" s="1"/>
    </row>
    <row r="13096">
      <c r="B13096" s="36"/>
      <c r="C13096" s="36"/>
      <c r="E13096" s="1"/>
      <c r="F13096" s="1"/>
      <c r="G13096" s="1"/>
    </row>
    <row r="13097">
      <c r="B13097" s="36"/>
      <c r="C13097" s="36"/>
      <c r="E13097" s="1"/>
      <c r="F13097" s="1"/>
      <c r="G13097" s="1"/>
    </row>
    <row r="13098">
      <c r="B13098" s="36"/>
      <c r="C13098" s="36"/>
      <c r="E13098" s="1"/>
      <c r="F13098" s="1"/>
      <c r="G13098" s="1"/>
    </row>
    <row r="13099">
      <c r="B13099" s="36"/>
      <c r="C13099" s="36"/>
      <c r="E13099" s="1"/>
      <c r="F13099" s="1"/>
      <c r="G13099" s="1"/>
    </row>
    <row r="13100">
      <c r="B13100" s="36"/>
      <c r="C13100" s="36"/>
      <c r="E13100" s="1"/>
      <c r="F13100" s="1"/>
      <c r="G13100" s="1"/>
    </row>
    <row r="13101">
      <c r="B13101" s="36"/>
      <c r="C13101" s="36"/>
      <c r="E13101" s="1"/>
      <c r="F13101" s="1"/>
      <c r="G13101" s="1"/>
    </row>
    <row r="13102">
      <c r="B13102" s="36"/>
      <c r="C13102" s="36"/>
      <c r="E13102" s="1"/>
      <c r="F13102" s="1"/>
      <c r="G13102" s="1"/>
    </row>
    <row r="13103">
      <c r="B13103" s="36"/>
      <c r="C13103" s="36"/>
      <c r="E13103" s="1"/>
      <c r="F13103" s="1"/>
      <c r="G13103" s="1"/>
    </row>
    <row r="13104">
      <c r="B13104" s="36"/>
      <c r="C13104" s="36"/>
      <c r="E13104" s="1"/>
      <c r="F13104" s="1"/>
      <c r="G13104" s="1"/>
    </row>
    <row r="13105">
      <c r="B13105" s="36"/>
      <c r="C13105" s="36"/>
      <c r="E13105" s="1"/>
      <c r="F13105" s="1"/>
      <c r="G13105" s="1"/>
    </row>
    <row r="13106">
      <c r="B13106" s="36"/>
      <c r="C13106" s="36"/>
      <c r="E13106" s="1"/>
      <c r="F13106" s="1"/>
      <c r="G13106" s="1"/>
    </row>
    <row r="13107">
      <c r="B13107" s="36"/>
      <c r="C13107" s="36"/>
      <c r="E13107" s="1"/>
      <c r="F13107" s="1"/>
      <c r="G13107" s="1"/>
    </row>
    <row r="13108">
      <c r="B13108" s="36"/>
      <c r="C13108" s="36"/>
      <c r="E13108" s="1"/>
      <c r="F13108" s="1"/>
      <c r="G13108" s="1"/>
    </row>
    <row r="13109">
      <c r="B13109" s="36"/>
      <c r="C13109" s="36"/>
      <c r="E13109" s="1"/>
      <c r="F13109" s="1"/>
      <c r="G13109" s="1"/>
    </row>
    <row r="13110">
      <c r="B13110" s="36"/>
      <c r="C13110" s="36"/>
      <c r="E13110" s="1"/>
      <c r="F13110" s="1"/>
      <c r="G13110" s="1"/>
    </row>
    <row r="13111">
      <c r="B13111" s="36"/>
      <c r="C13111" s="36"/>
      <c r="E13111" s="1"/>
      <c r="F13111" s="1"/>
      <c r="G13111" s="1"/>
    </row>
    <row r="13112">
      <c r="B13112" s="36"/>
      <c r="C13112" s="36"/>
      <c r="E13112" s="1"/>
      <c r="F13112" s="1"/>
      <c r="G13112" s="1"/>
    </row>
    <row r="13113">
      <c r="B13113" s="36"/>
      <c r="C13113" s="36"/>
      <c r="E13113" s="1"/>
      <c r="F13113" s="1"/>
      <c r="G13113" s="1"/>
    </row>
    <row r="13114">
      <c r="B13114" s="36"/>
      <c r="C13114" s="36"/>
      <c r="E13114" s="1"/>
      <c r="F13114" s="1"/>
      <c r="G13114" s="1"/>
    </row>
    <row r="13115">
      <c r="B13115" s="36"/>
      <c r="C13115" s="36"/>
      <c r="E13115" s="1"/>
      <c r="F13115" s="1"/>
      <c r="G13115" s="1"/>
    </row>
    <row r="13116">
      <c r="B13116" s="36"/>
      <c r="C13116" s="36"/>
      <c r="E13116" s="1"/>
      <c r="F13116" s="1"/>
      <c r="G13116" s="1"/>
    </row>
    <row r="13117">
      <c r="B13117" s="36"/>
      <c r="C13117" s="36"/>
      <c r="E13117" s="1"/>
      <c r="F13117" s="1"/>
      <c r="G13117" s="1"/>
    </row>
    <row r="13118">
      <c r="B13118" s="36"/>
      <c r="C13118" s="36"/>
      <c r="E13118" s="1"/>
      <c r="F13118" s="1"/>
      <c r="G13118" s="1"/>
    </row>
    <row r="13119">
      <c r="B13119" s="36"/>
      <c r="C13119" s="36"/>
      <c r="E13119" s="1"/>
      <c r="F13119" s="1"/>
      <c r="G13119" s="1"/>
    </row>
    <row r="13120">
      <c r="B13120" s="36"/>
      <c r="C13120" s="36"/>
      <c r="E13120" s="1"/>
      <c r="F13120" s="1"/>
      <c r="G13120" s="1"/>
    </row>
    <row r="13121">
      <c r="B13121" s="36"/>
      <c r="C13121" s="36"/>
      <c r="E13121" s="1"/>
      <c r="F13121" s="1"/>
      <c r="G13121" s="1"/>
    </row>
    <row r="13122">
      <c r="B13122" s="36"/>
      <c r="C13122" s="36"/>
      <c r="E13122" s="1"/>
      <c r="F13122" s="1"/>
      <c r="G13122" s="1"/>
    </row>
    <row r="13123">
      <c r="B13123" s="36"/>
      <c r="C13123" s="36"/>
      <c r="E13123" s="1"/>
      <c r="F13123" s="1"/>
      <c r="G13123" s="1"/>
    </row>
    <row r="13124">
      <c r="B13124" s="36"/>
      <c r="C13124" s="36"/>
      <c r="E13124" s="1"/>
      <c r="F13124" s="1"/>
      <c r="G13124" s="1"/>
    </row>
    <row r="13125">
      <c r="B13125" s="36"/>
      <c r="C13125" s="36"/>
      <c r="E13125" s="1"/>
      <c r="F13125" s="1"/>
      <c r="G13125" s="1"/>
    </row>
    <row r="13126">
      <c r="B13126" s="36"/>
      <c r="C13126" s="36"/>
      <c r="E13126" s="1"/>
      <c r="F13126" s="1"/>
      <c r="G13126" s="1"/>
    </row>
    <row r="13127">
      <c r="B13127" s="36"/>
      <c r="C13127" s="36"/>
      <c r="E13127" s="1"/>
      <c r="F13127" s="1"/>
      <c r="G13127" s="1"/>
    </row>
    <row r="13128">
      <c r="B13128" s="36"/>
      <c r="C13128" s="36"/>
      <c r="E13128" s="1"/>
      <c r="F13128" s="1"/>
      <c r="G13128" s="1"/>
    </row>
    <row r="13129">
      <c r="B13129" s="36"/>
      <c r="C13129" s="36"/>
      <c r="E13129" s="1"/>
      <c r="F13129" s="1"/>
      <c r="G13129" s="1"/>
    </row>
    <row r="13130">
      <c r="B13130" s="36"/>
      <c r="C13130" s="36"/>
      <c r="E13130" s="1"/>
      <c r="F13130" s="1"/>
      <c r="G13130" s="1"/>
    </row>
    <row r="13131">
      <c r="B13131" s="36"/>
      <c r="C13131" s="36"/>
      <c r="E13131" s="1"/>
      <c r="F13131" s="1"/>
      <c r="G13131" s="1"/>
    </row>
    <row r="13132">
      <c r="B13132" s="36"/>
      <c r="C13132" s="36"/>
      <c r="E13132" s="1"/>
      <c r="F13132" s="1"/>
      <c r="G13132" s="1"/>
    </row>
    <row r="13133">
      <c r="B13133" s="36"/>
      <c r="C13133" s="36"/>
      <c r="E13133" s="1"/>
      <c r="F13133" s="1"/>
      <c r="G13133" s="1"/>
    </row>
    <row r="13134">
      <c r="B13134" s="36"/>
      <c r="C13134" s="36"/>
      <c r="E13134" s="1"/>
      <c r="F13134" s="1"/>
      <c r="G13134" s="1"/>
    </row>
    <row r="13135">
      <c r="B13135" s="36"/>
      <c r="C13135" s="36"/>
      <c r="E13135" s="1"/>
      <c r="F13135" s="1"/>
      <c r="G13135" s="1"/>
    </row>
    <row r="13136">
      <c r="B13136" s="36"/>
      <c r="C13136" s="36"/>
      <c r="E13136" s="1"/>
      <c r="F13136" s="1"/>
      <c r="G13136" s="1"/>
    </row>
    <row r="13137">
      <c r="B13137" s="36"/>
      <c r="C13137" s="36"/>
      <c r="E13137" s="1"/>
      <c r="F13137" s="1"/>
      <c r="G13137" s="1"/>
    </row>
    <row r="13138">
      <c r="B13138" s="36"/>
      <c r="C13138" s="36"/>
      <c r="E13138" s="1"/>
      <c r="F13138" s="1"/>
      <c r="G13138" s="1"/>
    </row>
    <row r="13139">
      <c r="B13139" s="36"/>
      <c r="C13139" s="36"/>
      <c r="E13139" s="1"/>
      <c r="F13139" s="1"/>
      <c r="G13139" s="1"/>
    </row>
    <row r="13140">
      <c r="B13140" s="36"/>
      <c r="C13140" s="36"/>
      <c r="E13140" s="1"/>
      <c r="F13140" s="1"/>
      <c r="G13140" s="1"/>
    </row>
    <row r="13141">
      <c r="B13141" s="36"/>
      <c r="C13141" s="36"/>
      <c r="E13141" s="1"/>
      <c r="F13141" s="1"/>
      <c r="G13141" s="1"/>
    </row>
    <row r="13142">
      <c r="B13142" s="36"/>
      <c r="C13142" s="36"/>
      <c r="E13142" s="1"/>
      <c r="F13142" s="1"/>
      <c r="G13142" s="1"/>
    </row>
    <row r="13143">
      <c r="B13143" s="36"/>
      <c r="C13143" s="36"/>
      <c r="E13143" s="1"/>
      <c r="F13143" s="1"/>
      <c r="G13143" s="1"/>
    </row>
    <row r="13144">
      <c r="B13144" s="36"/>
      <c r="C13144" s="36"/>
      <c r="E13144" s="1"/>
      <c r="F13144" s="1"/>
      <c r="G13144" s="1"/>
    </row>
    <row r="13145">
      <c r="B13145" s="36"/>
      <c r="C13145" s="36"/>
      <c r="E13145" s="1"/>
      <c r="F13145" s="1"/>
      <c r="G13145" s="1"/>
    </row>
    <row r="13146">
      <c r="B13146" s="36"/>
      <c r="C13146" s="36"/>
      <c r="E13146" s="1"/>
      <c r="F13146" s="1"/>
      <c r="G13146" s="1"/>
    </row>
    <row r="13147">
      <c r="B13147" s="36"/>
      <c r="C13147" s="36"/>
      <c r="E13147" s="1"/>
      <c r="F13147" s="1"/>
      <c r="G13147" s="1"/>
    </row>
    <row r="13148">
      <c r="B13148" s="36"/>
      <c r="C13148" s="36"/>
      <c r="E13148" s="1"/>
      <c r="F13148" s="1"/>
      <c r="G13148" s="1"/>
    </row>
    <row r="13149">
      <c r="B13149" s="36"/>
      <c r="C13149" s="36"/>
      <c r="E13149" s="1"/>
      <c r="F13149" s="1"/>
      <c r="G13149" s="1"/>
    </row>
    <row r="13150">
      <c r="B13150" s="36"/>
      <c r="C13150" s="36"/>
      <c r="E13150" s="1"/>
      <c r="F13150" s="1"/>
      <c r="G13150" s="1"/>
    </row>
    <row r="13151">
      <c r="B13151" s="36"/>
      <c r="C13151" s="36"/>
      <c r="E13151" s="1"/>
      <c r="F13151" s="1"/>
      <c r="G13151" s="1"/>
    </row>
    <row r="13152">
      <c r="B13152" s="36"/>
      <c r="C13152" s="36"/>
      <c r="E13152" s="1"/>
      <c r="F13152" s="1"/>
      <c r="G13152" s="1"/>
    </row>
    <row r="13153">
      <c r="B13153" s="36"/>
      <c r="C13153" s="36"/>
      <c r="E13153" s="1"/>
      <c r="F13153" s="1"/>
      <c r="G13153" s="1"/>
    </row>
    <row r="13154">
      <c r="B13154" s="36"/>
      <c r="C13154" s="36"/>
      <c r="E13154" s="1"/>
      <c r="F13154" s="1"/>
      <c r="G13154" s="1"/>
    </row>
    <row r="13155">
      <c r="B13155" s="36"/>
      <c r="C13155" s="36"/>
      <c r="E13155" s="1"/>
      <c r="F13155" s="1"/>
      <c r="G13155" s="1"/>
    </row>
    <row r="13156">
      <c r="B13156" s="36"/>
      <c r="C13156" s="36"/>
      <c r="E13156" s="1"/>
      <c r="F13156" s="1"/>
      <c r="G13156" s="1"/>
    </row>
    <row r="13157">
      <c r="B13157" s="36"/>
      <c r="C13157" s="36"/>
      <c r="E13157" s="1"/>
      <c r="F13157" s="1"/>
      <c r="G13157" s="1"/>
    </row>
    <row r="13158">
      <c r="B13158" s="36"/>
      <c r="C13158" s="36"/>
      <c r="E13158" s="1"/>
      <c r="F13158" s="1"/>
      <c r="G13158" s="1"/>
    </row>
    <row r="13159">
      <c r="B13159" s="36"/>
      <c r="C13159" s="36"/>
      <c r="E13159" s="1"/>
      <c r="F13159" s="1"/>
      <c r="G13159" s="1"/>
    </row>
    <row r="13160">
      <c r="B13160" s="36"/>
      <c r="C13160" s="36"/>
      <c r="E13160" s="1"/>
      <c r="F13160" s="1"/>
      <c r="G13160" s="1"/>
    </row>
    <row r="13161">
      <c r="B13161" s="36"/>
      <c r="C13161" s="36"/>
      <c r="E13161" s="1"/>
      <c r="F13161" s="1"/>
      <c r="G13161" s="1"/>
    </row>
    <row r="13162">
      <c r="B13162" s="36"/>
      <c r="C13162" s="36"/>
      <c r="E13162" s="1"/>
      <c r="F13162" s="1"/>
      <c r="G13162" s="1"/>
    </row>
    <row r="13163">
      <c r="B13163" s="36"/>
      <c r="C13163" s="36"/>
      <c r="E13163" s="1"/>
      <c r="F13163" s="1"/>
      <c r="G13163" s="1"/>
    </row>
    <row r="13164">
      <c r="B13164" s="36"/>
      <c r="C13164" s="36"/>
      <c r="E13164" s="1"/>
      <c r="F13164" s="1"/>
      <c r="G13164" s="1"/>
    </row>
    <row r="13165">
      <c r="B13165" s="36"/>
      <c r="C13165" s="36"/>
      <c r="E13165" s="1"/>
      <c r="F13165" s="1"/>
      <c r="G13165" s="1"/>
    </row>
    <row r="13166">
      <c r="B13166" s="36"/>
      <c r="C13166" s="36"/>
      <c r="E13166" s="1"/>
      <c r="F13166" s="1"/>
      <c r="G13166" s="1"/>
    </row>
    <row r="13167">
      <c r="B13167" s="36"/>
      <c r="C13167" s="36"/>
      <c r="E13167" s="1"/>
      <c r="F13167" s="1"/>
      <c r="G13167" s="1"/>
    </row>
    <row r="13168">
      <c r="B13168" s="36"/>
      <c r="C13168" s="36"/>
      <c r="E13168" s="1"/>
      <c r="F13168" s="1"/>
      <c r="G13168" s="1"/>
    </row>
    <row r="13169">
      <c r="B13169" s="36"/>
      <c r="C13169" s="36"/>
      <c r="E13169" s="1"/>
      <c r="F13169" s="1"/>
      <c r="G13169" s="1"/>
    </row>
    <row r="13170">
      <c r="B13170" s="36"/>
      <c r="C13170" s="36"/>
      <c r="E13170" s="1"/>
      <c r="F13170" s="1"/>
      <c r="G13170" s="1"/>
    </row>
    <row r="13171">
      <c r="B13171" s="36"/>
      <c r="C13171" s="36"/>
      <c r="E13171" s="1"/>
      <c r="F13171" s="1"/>
      <c r="G13171" s="1"/>
    </row>
    <row r="13172">
      <c r="B13172" s="36"/>
      <c r="C13172" s="36"/>
      <c r="E13172" s="1"/>
      <c r="F13172" s="1"/>
      <c r="G13172" s="1"/>
    </row>
    <row r="13173">
      <c r="B13173" s="36"/>
      <c r="C13173" s="36"/>
      <c r="E13173" s="1"/>
      <c r="F13173" s="1"/>
      <c r="G13173" s="1"/>
    </row>
    <row r="13174">
      <c r="B13174" s="36"/>
      <c r="C13174" s="36"/>
      <c r="E13174" s="1"/>
      <c r="F13174" s="1"/>
      <c r="G13174" s="1"/>
    </row>
    <row r="13175">
      <c r="B13175" s="36"/>
      <c r="C13175" s="36"/>
      <c r="E13175" s="1"/>
      <c r="F13175" s="1"/>
      <c r="G13175" s="1"/>
    </row>
    <row r="13176">
      <c r="B13176" s="36"/>
      <c r="C13176" s="36"/>
      <c r="E13176" s="1"/>
      <c r="F13176" s="1"/>
      <c r="G13176" s="1"/>
    </row>
    <row r="13177">
      <c r="B13177" s="36"/>
      <c r="C13177" s="36"/>
      <c r="E13177" s="1"/>
      <c r="F13177" s="1"/>
      <c r="G13177" s="1"/>
    </row>
    <row r="13178">
      <c r="B13178" s="36"/>
      <c r="C13178" s="36"/>
      <c r="E13178" s="1"/>
      <c r="F13178" s="1"/>
      <c r="G13178" s="1"/>
    </row>
    <row r="13179">
      <c r="B13179" s="36"/>
      <c r="C13179" s="36"/>
      <c r="E13179" s="1"/>
      <c r="F13179" s="1"/>
      <c r="G13179" s="1"/>
    </row>
    <row r="13180">
      <c r="B13180" s="36"/>
      <c r="C13180" s="36"/>
      <c r="E13180" s="1"/>
      <c r="F13180" s="1"/>
      <c r="G13180" s="1"/>
    </row>
    <row r="13181">
      <c r="B13181" s="36"/>
      <c r="C13181" s="36"/>
      <c r="E13181" s="1"/>
      <c r="F13181" s="1"/>
      <c r="G13181" s="1"/>
    </row>
    <row r="13182">
      <c r="B13182" s="36"/>
      <c r="C13182" s="36"/>
      <c r="E13182" s="1"/>
      <c r="F13182" s="1"/>
      <c r="G13182" s="1"/>
    </row>
    <row r="13183">
      <c r="B13183" s="36"/>
      <c r="C13183" s="36"/>
      <c r="E13183" s="1"/>
      <c r="F13183" s="1"/>
      <c r="G13183" s="1"/>
    </row>
    <row r="13184">
      <c r="B13184" s="36"/>
      <c r="C13184" s="36"/>
      <c r="E13184" s="1"/>
      <c r="F13184" s="1"/>
      <c r="G13184" s="1"/>
    </row>
    <row r="13185">
      <c r="B13185" s="36"/>
      <c r="C13185" s="36"/>
      <c r="E13185" s="1"/>
      <c r="F13185" s="1"/>
      <c r="G13185" s="1"/>
    </row>
    <row r="13186">
      <c r="B13186" s="36"/>
      <c r="C13186" s="36"/>
      <c r="E13186" s="1"/>
      <c r="F13186" s="1"/>
      <c r="G13186" s="1"/>
    </row>
    <row r="13187">
      <c r="B13187" s="36"/>
      <c r="C13187" s="36"/>
      <c r="E13187" s="1"/>
      <c r="F13187" s="1"/>
      <c r="G13187" s="1"/>
    </row>
    <row r="13188">
      <c r="B13188" s="36"/>
      <c r="C13188" s="36"/>
      <c r="E13188" s="1"/>
      <c r="F13188" s="1"/>
      <c r="G13188" s="1"/>
    </row>
    <row r="13189">
      <c r="B13189" s="36"/>
      <c r="C13189" s="36"/>
      <c r="E13189" s="1"/>
      <c r="F13189" s="1"/>
      <c r="G13189" s="1"/>
    </row>
    <row r="13190">
      <c r="B13190" s="36"/>
      <c r="C13190" s="36"/>
      <c r="E13190" s="1"/>
      <c r="F13190" s="1"/>
      <c r="G13190" s="1"/>
    </row>
    <row r="13191">
      <c r="B13191" s="36"/>
      <c r="C13191" s="36"/>
      <c r="E13191" s="1"/>
      <c r="F13191" s="1"/>
      <c r="G13191" s="1"/>
    </row>
    <row r="13192">
      <c r="B13192" s="36"/>
      <c r="C13192" s="36"/>
      <c r="E13192" s="1"/>
      <c r="F13192" s="1"/>
      <c r="G13192" s="1"/>
    </row>
    <row r="13193">
      <c r="B13193" s="36"/>
      <c r="C13193" s="36"/>
      <c r="E13193" s="1"/>
      <c r="F13193" s="1"/>
      <c r="G13193" s="1"/>
    </row>
    <row r="13194">
      <c r="B13194" s="36"/>
      <c r="C13194" s="36"/>
      <c r="E13194" s="1"/>
      <c r="F13194" s="1"/>
      <c r="G13194" s="1"/>
    </row>
    <row r="13195">
      <c r="B13195" s="36"/>
      <c r="C13195" s="36"/>
      <c r="E13195" s="1"/>
      <c r="F13195" s="1"/>
      <c r="G13195" s="1"/>
    </row>
    <row r="13196">
      <c r="B13196" s="36"/>
      <c r="C13196" s="36"/>
      <c r="E13196" s="1"/>
      <c r="F13196" s="1"/>
      <c r="G13196" s="1"/>
    </row>
    <row r="13197">
      <c r="B13197" s="36"/>
      <c r="C13197" s="36"/>
      <c r="E13197" s="1"/>
      <c r="F13197" s="1"/>
      <c r="G13197" s="1"/>
    </row>
    <row r="13198">
      <c r="B13198" s="36"/>
      <c r="C13198" s="36"/>
      <c r="E13198" s="1"/>
      <c r="F13198" s="1"/>
      <c r="G13198" s="1"/>
    </row>
    <row r="13199">
      <c r="B13199" s="36"/>
      <c r="C13199" s="36"/>
      <c r="E13199" s="1"/>
      <c r="F13199" s="1"/>
      <c r="G13199" s="1"/>
    </row>
    <row r="13200">
      <c r="B13200" s="36"/>
      <c r="C13200" s="36"/>
      <c r="E13200" s="1"/>
      <c r="F13200" s="1"/>
      <c r="G13200" s="1"/>
    </row>
    <row r="13201">
      <c r="B13201" s="36"/>
      <c r="C13201" s="36"/>
      <c r="E13201" s="1"/>
      <c r="F13201" s="1"/>
      <c r="G13201" s="1"/>
    </row>
    <row r="13202">
      <c r="B13202" s="36"/>
      <c r="C13202" s="36"/>
      <c r="E13202" s="1"/>
      <c r="F13202" s="1"/>
      <c r="G13202" s="1"/>
    </row>
    <row r="13203">
      <c r="B13203" s="36"/>
      <c r="C13203" s="36"/>
      <c r="E13203" s="1"/>
      <c r="F13203" s="1"/>
      <c r="G13203" s="1"/>
    </row>
    <row r="13204">
      <c r="B13204" s="36"/>
      <c r="C13204" s="36"/>
      <c r="E13204" s="1"/>
      <c r="F13204" s="1"/>
      <c r="G13204" s="1"/>
    </row>
    <row r="13205">
      <c r="B13205" s="36"/>
      <c r="C13205" s="36"/>
      <c r="E13205" s="1"/>
      <c r="F13205" s="1"/>
      <c r="G13205" s="1"/>
    </row>
    <row r="13206">
      <c r="B13206" s="36"/>
      <c r="C13206" s="36"/>
      <c r="E13206" s="1"/>
      <c r="F13206" s="1"/>
      <c r="G13206" s="1"/>
    </row>
    <row r="13207">
      <c r="B13207" s="36"/>
      <c r="C13207" s="36"/>
      <c r="E13207" s="1"/>
      <c r="F13207" s="1"/>
      <c r="G13207" s="1"/>
    </row>
    <row r="13208">
      <c r="B13208" s="36"/>
      <c r="C13208" s="36"/>
      <c r="E13208" s="1"/>
      <c r="F13208" s="1"/>
      <c r="G13208" s="1"/>
    </row>
    <row r="13209">
      <c r="B13209" s="36"/>
      <c r="C13209" s="36"/>
      <c r="E13209" s="1"/>
      <c r="F13209" s="1"/>
      <c r="G13209" s="1"/>
    </row>
    <row r="13210">
      <c r="B13210" s="36"/>
      <c r="C13210" s="36"/>
      <c r="E13210" s="1"/>
      <c r="F13210" s="1"/>
      <c r="G13210" s="1"/>
    </row>
    <row r="13211">
      <c r="B13211" s="36"/>
      <c r="C13211" s="36"/>
      <c r="E13211" s="1"/>
      <c r="F13211" s="1"/>
      <c r="G13211" s="1"/>
    </row>
    <row r="13212">
      <c r="B13212" s="36"/>
      <c r="C13212" s="36"/>
      <c r="E13212" s="1"/>
      <c r="F13212" s="1"/>
      <c r="G13212" s="1"/>
    </row>
    <row r="13213">
      <c r="B13213" s="36"/>
      <c r="C13213" s="36"/>
      <c r="E13213" s="1"/>
      <c r="F13213" s="1"/>
      <c r="G13213" s="1"/>
    </row>
    <row r="13214">
      <c r="B13214" s="36"/>
      <c r="C13214" s="36"/>
      <c r="E13214" s="1"/>
      <c r="F13214" s="1"/>
      <c r="G13214" s="1"/>
    </row>
    <row r="13215">
      <c r="B13215" s="36"/>
      <c r="C13215" s="36"/>
      <c r="E13215" s="1"/>
      <c r="F13215" s="1"/>
      <c r="G13215" s="1"/>
    </row>
    <row r="13216">
      <c r="B13216" s="36"/>
      <c r="C13216" s="36"/>
      <c r="E13216" s="1"/>
      <c r="F13216" s="1"/>
      <c r="G13216" s="1"/>
    </row>
    <row r="13217">
      <c r="B13217" s="36"/>
      <c r="C13217" s="36"/>
      <c r="E13217" s="1"/>
      <c r="F13217" s="1"/>
      <c r="G13217" s="1"/>
    </row>
    <row r="13218">
      <c r="B13218" s="36"/>
      <c r="C13218" s="36"/>
      <c r="E13218" s="1"/>
      <c r="F13218" s="1"/>
      <c r="G13218" s="1"/>
    </row>
    <row r="13219">
      <c r="B13219" s="36"/>
      <c r="C13219" s="36"/>
      <c r="E13219" s="1"/>
      <c r="F13219" s="1"/>
      <c r="G13219" s="1"/>
    </row>
    <row r="13220">
      <c r="B13220" s="36"/>
      <c r="C13220" s="36"/>
      <c r="E13220" s="1"/>
      <c r="F13220" s="1"/>
      <c r="G13220" s="1"/>
    </row>
    <row r="13221">
      <c r="B13221" s="36"/>
      <c r="C13221" s="36"/>
      <c r="E13221" s="1"/>
      <c r="F13221" s="1"/>
      <c r="G13221" s="1"/>
    </row>
    <row r="13222">
      <c r="B13222" s="36"/>
      <c r="C13222" s="36"/>
      <c r="E13222" s="1"/>
      <c r="F13222" s="1"/>
      <c r="G13222" s="1"/>
    </row>
    <row r="13223">
      <c r="B13223" s="36"/>
      <c r="C13223" s="36"/>
      <c r="E13223" s="1"/>
      <c r="F13223" s="1"/>
      <c r="G13223" s="1"/>
    </row>
    <row r="13224">
      <c r="B13224" s="36"/>
      <c r="C13224" s="36"/>
      <c r="E13224" s="1"/>
      <c r="F13224" s="1"/>
      <c r="G13224" s="1"/>
    </row>
    <row r="13225">
      <c r="B13225" s="36"/>
      <c r="C13225" s="36"/>
      <c r="E13225" s="1"/>
      <c r="F13225" s="1"/>
      <c r="G13225" s="1"/>
    </row>
    <row r="13226">
      <c r="B13226" s="36"/>
      <c r="C13226" s="36"/>
      <c r="E13226" s="1"/>
      <c r="F13226" s="1"/>
      <c r="G13226" s="1"/>
    </row>
    <row r="13227">
      <c r="B13227" s="36"/>
      <c r="C13227" s="36"/>
      <c r="E13227" s="1"/>
      <c r="F13227" s="1"/>
      <c r="G13227" s="1"/>
    </row>
    <row r="13228">
      <c r="B13228" s="36"/>
      <c r="C13228" s="36"/>
      <c r="E13228" s="1"/>
      <c r="F13228" s="1"/>
      <c r="G13228" s="1"/>
    </row>
    <row r="13229">
      <c r="B13229" s="36"/>
      <c r="C13229" s="36"/>
      <c r="E13229" s="1"/>
      <c r="F13229" s="1"/>
      <c r="G13229" s="1"/>
    </row>
    <row r="13230">
      <c r="B13230" s="36"/>
      <c r="C13230" s="36"/>
      <c r="E13230" s="1"/>
      <c r="F13230" s="1"/>
      <c r="G13230" s="1"/>
    </row>
    <row r="13231">
      <c r="B13231" s="36"/>
      <c r="C13231" s="36"/>
      <c r="E13231" s="1"/>
      <c r="F13231" s="1"/>
      <c r="G13231" s="1"/>
    </row>
    <row r="13232">
      <c r="B13232" s="36"/>
      <c r="C13232" s="36"/>
      <c r="E13232" s="1"/>
      <c r="F13232" s="1"/>
      <c r="G13232" s="1"/>
    </row>
    <row r="13233">
      <c r="B13233" s="36"/>
      <c r="C13233" s="36"/>
      <c r="E13233" s="1"/>
      <c r="F13233" s="1"/>
      <c r="G13233" s="1"/>
    </row>
    <row r="13234">
      <c r="B13234" s="36"/>
      <c r="C13234" s="36"/>
      <c r="E13234" s="1"/>
      <c r="F13234" s="1"/>
      <c r="G13234" s="1"/>
    </row>
    <row r="13235">
      <c r="B13235" s="36"/>
      <c r="C13235" s="36"/>
      <c r="E13235" s="1"/>
      <c r="F13235" s="1"/>
      <c r="G13235" s="1"/>
    </row>
    <row r="13236">
      <c r="B13236" s="36"/>
      <c r="C13236" s="36"/>
      <c r="E13236" s="1"/>
      <c r="F13236" s="1"/>
      <c r="G13236" s="1"/>
    </row>
    <row r="13237">
      <c r="B13237" s="36"/>
      <c r="C13237" s="36"/>
      <c r="E13237" s="1"/>
      <c r="F13237" s="1"/>
      <c r="G13237" s="1"/>
    </row>
    <row r="13238">
      <c r="B13238" s="36"/>
      <c r="C13238" s="36"/>
      <c r="E13238" s="1"/>
      <c r="F13238" s="1"/>
      <c r="G13238" s="1"/>
    </row>
    <row r="13239">
      <c r="B13239" s="36"/>
      <c r="C13239" s="36"/>
      <c r="E13239" s="1"/>
      <c r="F13239" s="1"/>
      <c r="G13239" s="1"/>
    </row>
    <row r="13240">
      <c r="B13240" s="36"/>
      <c r="C13240" s="36"/>
      <c r="E13240" s="1"/>
      <c r="F13240" s="1"/>
      <c r="G13240" s="1"/>
    </row>
    <row r="13241">
      <c r="B13241" s="36"/>
      <c r="C13241" s="36"/>
      <c r="E13241" s="1"/>
      <c r="F13241" s="1"/>
      <c r="G13241" s="1"/>
    </row>
    <row r="13242">
      <c r="B13242" s="36"/>
      <c r="C13242" s="36"/>
      <c r="E13242" s="1"/>
      <c r="F13242" s="1"/>
      <c r="G13242" s="1"/>
    </row>
    <row r="13243">
      <c r="B13243" s="36"/>
      <c r="C13243" s="36"/>
      <c r="E13243" s="1"/>
      <c r="F13243" s="1"/>
      <c r="G13243" s="1"/>
    </row>
    <row r="13244">
      <c r="B13244" s="36"/>
      <c r="C13244" s="36"/>
      <c r="E13244" s="1"/>
      <c r="F13244" s="1"/>
      <c r="G13244" s="1"/>
    </row>
    <row r="13245">
      <c r="B13245" s="36"/>
      <c r="C13245" s="36"/>
      <c r="E13245" s="1"/>
      <c r="F13245" s="1"/>
      <c r="G13245" s="1"/>
    </row>
    <row r="13246">
      <c r="B13246" s="36"/>
      <c r="C13246" s="36"/>
      <c r="E13246" s="1"/>
      <c r="F13246" s="1"/>
      <c r="G13246" s="1"/>
    </row>
    <row r="13247">
      <c r="B13247" s="36"/>
      <c r="C13247" s="36"/>
      <c r="E13247" s="1"/>
      <c r="F13247" s="1"/>
      <c r="G13247" s="1"/>
    </row>
    <row r="13248">
      <c r="B13248" s="36"/>
      <c r="C13248" s="36"/>
      <c r="E13248" s="1"/>
      <c r="F13248" s="1"/>
      <c r="G13248" s="1"/>
    </row>
    <row r="13249">
      <c r="B13249" s="36"/>
      <c r="C13249" s="36"/>
      <c r="E13249" s="1"/>
      <c r="F13249" s="1"/>
      <c r="G13249" s="1"/>
    </row>
    <row r="13250">
      <c r="B13250" s="36"/>
      <c r="C13250" s="36"/>
      <c r="E13250" s="1"/>
      <c r="F13250" s="1"/>
      <c r="G13250" s="1"/>
    </row>
    <row r="13251">
      <c r="B13251" s="36"/>
      <c r="C13251" s="36"/>
      <c r="E13251" s="1"/>
      <c r="F13251" s="1"/>
      <c r="G13251" s="1"/>
    </row>
    <row r="13252">
      <c r="B13252" s="36"/>
      <c r="C13252" s="36"/>
      <c r="E13252" s="1"/>
      <c r="F13252" s="1"/>
      <c r="G13252" s="1"/>
    </row>
    <row r="13253">
      <c r="B13253" s="36"/>
      <c r="C13253" s="36"/>
      <c r="E13253" s="1"/>
      <c r="F13253" s="1"/>
      <c r="G13253" s="1"/>
    </row>
    <row r="13254">
      <c r="B13254" s="36"/>
      <c r="C13254" s="36"/>
      <c r="E13254" s="1"/>
      <c r="F13254" s="1"/>
      <c r="G13254" s="1"/>
    </row>
    <row r="13255">
      <c r="B13255" s="36"/>
      <c r="C13255" s="36"/>
      <c r="E13255" s="1"/>
      <c r="F13255" s="1"/>
      <c r="G13255" s="1"/>
    </row>
    <row r="13256">
      <c r="B13256" s="36"/>
      <c r="C13256" s="36"/>
      <c r="E13256" s="1"/>
      <c r="F13256" s="1"/>
      <c r="G13256" s="1"/>
    </row>
    <row r="13257">
      <c r="B13257" s="36"/>
      <c r="C13257" s="36"/>
      <c r="E13257" s="1"/>
      <c r="F13257" s="1"/>
      <c r="G13257" s="1"/>
    </row>
    <row r="13258">
      <c r="B13258" s="36"/>
      <c r="C13258" s="36"/>
      <c r="E13258" s="1"/>
      <c r="F13258" s="1"/>
      <c r="G13258" s="1"/>
    </row>
    <row r="13259">
      <c r="B13259" s="36"/>
      <c r="C13259" s="36"/>
      <c r="E13259" s="1"/>
      <c r="F13259" s="1"/>
      <c r="G13259" s="1"/>
    </row>
    <row r="13260">
      <c r="B13260" s="36"/>
      <c r="C13260" s="36"/>
      <c r="E13260" s="1"/>
      <c r="F13260" s="1"/>
      <c r="G13260" s="1"/>
    </row>
    <row r="13261">
      <c r="B13261" s="36"/>
      <c r="C13261" s="36"/>
      <c r="E13261" s="1"/>
      <c r="F13261" s="1"/>
      <c r="G13261" s="1"/>
    </row>
    <row r="13262">
      <c r="B13262" s="36"/>
      <c r="C13262" s="36"/>
      <c r="E13262" s="1"/>
      <c r="F13262" s="1"/>
      <c r="G13262" s="1"/>
    </row>
    <row r="13263">
      <c r="B13263" s="36"/>
      <c r="C13263" s="36"/>
      <c r="E13263" s="1"/>
      <c r="F13263" s="1"/>
      <c r="G13263" s="1"/>
    </row>
    <row r="13264">
      <c r="B13264" s="36"/>
      <c r="C13264" s="36"/>
      <c r="E13264" s="1"/>
      <c r="F13264" s="1"/>
      <c r="G13264" s="1"/>
    </row>
    <row r="13265">
      <c r="B13265" s="36"/>
      <c r="C13265" s="36"/>
      <c r="E13265" s="1"/>
      <c r="F13265" s="1"/>
      <c r="G13265" s="1"/>
    </row>
    <row r="13266">
      <c r="B13266" s="36"/>
      <c r="C13266" s="36"/>
      <c r="E13266" s="1"/>
      <c r="F13266" s="1"/>
      <c r="G13266" s="1"/>
    </row>
    <row r="13267">
      <c r="B13267" s="36"/>
      <c r="C13267" s="36"/>
      <c r="E13267" s="1"/>
      <c r="F13267" s="1"/>
      <c r="G13267" s="1"/>
    </row>
    <row r="13268">
      <c r="B13268" s="36"/>
      <c r="C13268" s="36"/>
      <c r="E13268" s="1"/>
      <c r="F13268" s="1"/>
      <c r="G13268" s="1"/>
    </row>
    <row r="13269">
      <c r="B13269" s="36"/>
      <c r="C13269" s="36"/>
      <c r="E13269" s="1"/>
      <c r="F13269" s="1"/>
      <c r="G13269" s="1"/>
    </row>
    <row r="13270">
      <c r="B13270" s="36"/>
      <c r="C13270" s="36"/>
      <c r="E13270" s="1"/>
      <c r="F13270" s="1"/>
      <c r="G13270" s="1"/>
    </row>
    <row r="13271">
      <c r="B13271" s="36"/>
      <c r="C13271" s="36"/>
      <c r="E13271" s="1"/>
      <c r="F13271" s="1"/>
      <c r="G13271" s="1"/>
    </row>
    <row r="13272">
      <c r="B13272" s="36"/>
      <c r="C13272" s="36"/>
      <c r="E13272" s="1"/>
      <c r="F13272" s="1"/>
      <c r="G13272" s="1"/>
    </row>
    <row r="13273">
      <c r="B13273" s="36"/>
      <c r="C13273" s="36"/>
      <c r="E13273" s="1"/>
      <c r="F13273" s="1"/>
      <c r="G13273" s="1"/>
    </row>
    <row r="13274">
      <c r="B13274" s="36"/>
      <c r="C13274" s="36"/>
      <c r="E13274" s="1"/>
      <c r="F13274" s="1"/>
      <c r="G13274" s="1"/>
    </row>
    <row r="13275">
      <c r="B13275" s="36"/>
      <c r="C13275" s="36"/>
      <c r="E13275" s="1"/>
      <c r="F13275" s="1"/>
      <c r="G13275" s="1"/>
    </row>
    <row r="13276">
      <c r="B13276" s="36"/>
      <c r="C13276" s="36"/>
      <c r="E13276" s="1"/>
      <c r="F13276" s="1"/>
      <c r="G13276" s="1"/>
    </row>
    <row r="13277">
      <c r="B13277" s="36"/>
      <c r="C13277" s="36"/>
      <c r="E13277" s="1"/>
      <c r="F13277" s="1"/>
      <c r="G13277" s="1"/>
    </row>
    <row r="13278">
      <c r="B13278" s="36"/>
      <c r="C13278" s="36"/>
      <c r="E13278" s="1"/>
      <c r="F13278" s="1"/>
      <c r="G13278" s="1"/>
    </row>
    <row r="13279">
      <c r="B13279" s="36"/>
      <c r="C13279" s="36"/>
      <c r="E13279" s="1"/>
      <c r="F13279" s="1"/>
      <c r="G13279" s="1"/>
    </row>
    <row r="13280">
      <c r="B13280" s="36"/>
      <c r="C13280" s="36"/>
      <c r="E13280" s="1"/>
      <c r="F13280" s="1"/>
      <c r="G13280" s="1"/>
    </row>
    <row r="13281">
      <c r="B13281" s="36"/>
      <c r="C13281" s="36"/>
      <c r="E13281" s="1"/>
      <c r="F13281" s="1"/>
      <c r="G13281" s="1"/>
    </row>
    <row r="13282">
      <c r="B13282" s="36"/>
      <c r="C13282" s="36"/>
      <c r="E13282" s="1"/>
      <c r="F13282" s="1"/>
      <c r="G13282" s="1"/>
    </row>
    <row r="13283">
      <c r="B13283" s="36"/>
      <c r="C13283" s="36"/>
      <c r="E13283" s="1"/>
      <c r="F13283" s="1"/>
      <c r="G13283" s="1"/>
    </row>
    <row r="13284">
      <c r="B13284" s="36"/>
      <c r="C13284" s="36"/>
      <c r="E13284" s="1"/>
      <c r="F13284" s="1"/>
      <c r="G13284" s="1"/>
    </row>
    <row r="13285">
      <c r="B13285" s="36"/>
      <c r="C13285" s="36"/>
      <c r="E13285" s="1"/>
      <c r="F13285" s="1"/>
      <c r="G13285" s="1"/>
    </row>
    <row r="13286">
      <c r="B13286" s="36"/>
      <c r="C13286" s="36"/>
      <c r="E13286" s="1"/>
      <c r="F13286" s="1"/>
      <c r="G13286" s="1"/>
    </row>
    <row r="13287">
      <c r="B13287" s="36"/>
      <c r="C13287" s="36"/>
      <c r="E13287" s="1"/>
      <c r="F13287" s="1"/>
      <c r="G13287" s="1"/>
    </row>
    <row r="13288">
      <c r="B13288" s="36"/>
      <c r="C13288" s="36"/>
      <c r="E13288" s="1"/>
      <c r="F13288" s="1"/>
      <c r="G13288" s="1"/>
    </row>
    <row r="13289">
      <c r="B13289" s="36"/>
      <c r="C13289" s="36"/>
      <c r="E13289" s="1"/>
      <c r="F13289" s="1"/>
      <c r="G13289" s="1"/>
    </row>
    <row r="13290">
      <c r="B13290" s="36"/>
      <c r="C13290" s="36"/>
      <c r="E13290" s="1"/>
      <c r="F13290" s="1"/>
      <c r="G13290" s="1"/>
    </row>
    <row r="13291">
      <c r="B13291" s="36"/>
      <c r="C13291" s="36"/>
      <c r="E13291" s="1"/>
      <c r="F13291" s="1"/>
      <c r="G13291" s="1"/>
    </row>
    <row r="13292">
      <c r="B13292" s="36"/>
      <c r="C13292" s="36"/>
      <c r="E13292" s="1"/>
      <c r="F13292" s="1"/>
      <c r="G13292" s="1"/>
    </row>
    <row r="13293">
      <c r="B13293" s="36"/>
      <c r="C13293" s="36"/>
      <c r="E13293" s="1"/>
      <c r="F13293" s="1"/>
      <c r="G13293" s="1"/>
    </row>
    <row r="13294">
      <c r="B13294" s="36"/>
      <c r="C13294" s="36"/>
      <c r="E13294" s="1"/>
      <c r="F13294" s="1"/>
      <c r="G13294" s="1"/>
    </row>
    <row r="13295">
      <c r="B13295" s="36"/>
      <c r="C13295" s="36"/>
      <c r="E13295" s="1"/>
      <c r="F13295" s="1"/>
      <c r="G13295" s="1"/>
    </row>
    <row r="13296">
      <c r="B13296" s="36"/>
      <c r="C13296" s="36"/>
      <c r="E13296" s="1"/>
      <c r="F13296" s="1"/>
      <c r="G13296" s="1"/>
    </row>
    <row r="13297">
      <c r="B13297" s="36"/>
      <c r="C13297" s="36"/>
      <c r="E13297" s="1"/>
      <c r="F13297" s="1"/>
      <c r="G13297" s="1"/>
    </row>
    <row r="13298">
      <c r="B13298" s="36"/>
      <c r="C13298" s="36"/>
      <c r="E13298" s="1"/>
      <c r="F13298" s="1"/>
      <c r="G13298" s="1"/>
    </row>
    <row r="13299">
      <c r="B13299" s="36"/>
      <c r="C13299" s="36"/>
      <c r="E13299" s="1"/>
      <c r="F13299" s="1"/>
      <c r="G13299" s="1"/>
    </row>
    <row r="13300">
      <c r="B13300" s="36"/>
      <c r="C13300" s="36"/>
      <c r="E13300" s="1"/>
      <c r="F13300" s="1"/>
      <c r="G13300" s="1"/>
    </row>
    <row r="13301">
      <c r="B13301" s="36"/>
      <c r="C13301" s="36"/>
      <c r="E13301" s="1"/>
      <c r="F13301" s="1"/>
      <c r="G13301" s="1"/>
    </row>
    <row r="13302">
      <c r="B13302" s="36"/>
      <c r="C13302" s="36"/>
      <c r="E13302" s="1"/>
      <c r="F13302" s="1"/>
      <c r="G13302" s="1"/>
    </row>
    <row r="13303">
      <c r="B13303" s="36"/>
      <c r="C13303" s="36"/>
      <c r="E13303" s="1"/>
      <c r="F13303" s="1"/>
      <c r="G13303" s="1"/>
    </row>
    <row r="13304">
      <c r="B13304" s="36"/>
      <c r="C13304" s="36"/>
      <c r="E13304" s="1"/>
      <c r="F13304" s="1"/>
      <c r="G13304" s="1"/>
    </row>
    <row r="13305">
      <c r="B13305" s="36"/>
      <c r="C13305" s="36"/>
      <c r="E13305" s="1"/>
      <c r="F13305" s="1"/>
      <c r="G13305" s="1"/>
    </row>
    <row r="13306">
      <c r="B13306" s="36"/>
      <c r="C13306" s="36"/>
      <c r="E13306" s="1"/>
      <c r="F13306" s="1"/>
      <c r="G13306" s="1"/>
    </row>
    <row r="13307">
      <c r="B13307" s="36"/>
      <c r="C13307" s="36"/>
      <c r="E13307" s="1"/>
      <c r="F13307" s="1"/>
      <c r="G13307" s="1"/>
    </row>
    <row r="13308">
      <c r="B13308" s="36"/>
      <c r="C13308" s="36"/>
      <c r="E13308" s="1"/>
      <c r="F13308" s="1"/>
      <c r="G13308" s="1"/>
    </row>
    <row r="13309">
      <c r="B13309" s="36"/>
      <c r="C13309" s="36"/>
      <c r="E13309" s="1"/>
      <c r="F13309" s="1"/>
      <c r="G13309" s="1"/>
    </row>
    <row r="13310">
      <c r="B13310" s="36"/>
      <c r="C13310" s="36"/>
      <c r="E13310" s="1"/>
      <c r="F13310" s="1"/>
      <c r="G13310" s="1"/>
    </row>
    <row r="13311">
      <c r="B13311" s="36"/>
      <c r="C13311" s="36"/>
      <c r="E13311" s="1"/>
      <c r="F13311" s="1"/>
      <c r="G13311" s="1"/>
    </row>
    <row r="13312">
      <c r="B13312" s="36"/>
      <c r="C13312" s="36"/>
      <c r="E13312" s="1"/>
      <c r="F13312" s="1"/>
      <c r="G13312" s="1"/>
    </row>
    <row r="13313">
      <c r="B13313" s="36"/>
      <c r="C13313" s="36"/>
      <c r="E13313" s="1"/>
      <c r="F13313" s="1"/>
      <c r="G13313" s="1"/>
    </row>
    <row r="13314">
      <c r="B13314" s="36"/>
      <c r="C13314" s="36"/>
      <c r="E13314" s="1"/>
      <c r="F13314" s="1"/>
      <c r="G13314" s="1"/>
    </row>
    <row r="13315">
      <c r="B13315" s="36"/>
      <c r="C13315" s="36"/>
      <c r="E13315" s="1"/>
      <c r="F13315" s="1"/>
      <c r="G13315" s="1"/>
    </row>
    <row r="13316">
      <c r="B13316" s="36"/>
      <c r="C13316" s="36"/>
      <c r="E13316" s="1"/>
      <c r="F13316" s="1"/>
      <c r="G13316" s="1"/>
    </row>
    <row r="13317">
      <c r="B13317" s="36"/>
      <c r="C13317" s="36"/>
      <c r="E13317" s="1"/>
      <c r="F13317" s="1"/>
      <c r="G13317" s="1"/>
    </row>
    <row r="13318">
      <c r="B13318" s="36"/>
      <c r="C13318" s="36"/>
      <c r="E13318" s="1"/>
      <c r="F13318" s="1"/>
      <c r="G13318" s="1"/>
    </row>
    <row r="13319">
      <c r="B13319" s="36"/>
      <c r="C13319" s="36"/>
      <c r="E13319" s="1"/>
      <c r="F13319" s="1"/>
      <c r="G13319" s="1"/>
    </row>
    <row r="13320">
      <c r="B13320" s="36"/>
      <c r="C13320" s="36"/>
      <c r="E13320" s="1"/>
      <c r="F13320" s="1"/>
      <c r="G13320" s="1"/>
    </row>
    <row r="13321">
      <c r="B13321" s="36"/>
      <c r="C13321" s="36"/>
      <c r="E13321" s="1"/>
      <c r="F13321" s="1"/>
      <c r="G13321" s="1"/>
    </row>
    <row r="13322">
      <c r="B13322" s="36"/>
      <c r="C13322" s="36"/>
      <c r="E13322" s="1"/>
      <c r="F13322" s="1"/>
      <c r="G13322" s="1"/>
    </row>
    <row r="13323">
      <c r="B13323" s="36"/>
      <c r="C13323" s="36"/>
      <c r="E13323" s="1"/>
      <c r="F13323" s="1"/>
      <c r="G13323" s="1"/>
    </row>
    <row r="13324">
      <c r="B13324" s="36"/>
      <c r="C13324" s="36"/>
      <c r="E13324" s="1"/>
      <c r="F13324" s="1"/>
      <c r="G13324" s="1"/>
    </row>
    <row r="13325">
      <c r="B13325" s="36"/>
      <c r="C13325" s="36"/>
      <c r="E13325" s="1"/>
      <c r="F13325" s="1"/>
      <c r="G13325" s="1"/>
    </row>
    <row r="13326">
      <c r="B13326" s="36"/>
      <c r="C13326" s="36"/>
      <c r="E13326" s="1"/>
      <c r="F13326" s="1"/>
      <c r="G13326" s="1"/>
    </row>
    <row r="13327">
      <c r="B13327" s="36"/>
      <c r="C13327" s="36"/>
      <c r="E13327" s="1"/>
      <c r="F13327" s="1"/>
      <c r="G13327" s="1"/>
    </row>
    <row r="13328">
      <c r="B13328" s="36"/>
      <c r="C13328" s="36"/>
      <c r="E13328" s="1"/>
      <c r="F13328" s="1"/>
      <c r="G13328" s="1"/>
    </row>
    <row r="13329">
      <c r="B13329" s="36"/>
      <c r="C13329" s="36"/>
      <c r="E13329" s="1"/>
      <c r="F13329" s="1"/>
      <c r="G13329" s="1"/>
    </row>
    <row r="13330">
      <c r="B13330" s="36"/>
      <c r="C13330" s="36"/>
      <c r="E13330" s="1"/>
      <c r="F13330" s="1"/>
      <c r="G13330" s="1"/>
    </row>
    <row r="13331">
      <c r="B13331" s="36"/>
      <c r="C13331" s="36"/>
      <c r="E13331" s="1"/>
      <c r="F13331" s="1"/>
      <c r="G13331" s="1"/>
    </row>
    <row r="13332">
      <c r="B13332" s="36"/>
      <c r="C13332" s="36"/>
      <c r="E13332" s="1"/>
      <c r="F13332" s="1"/>
      <c r="G13332" s="1"/>
    </row>
    <row r="13333">
      <c r="B13333" s="36"/>
      <c r="C13333" s="36"/>
      <c r="E13333" s="1"/>
      <c r="F13333" s="1"/>
      <c r="G13333" s="1"/>
    </row>
    <row r="13334">
      <c r="B13334" s="36"/>
      <c r="C13334" s="36"/>
      <c r="E13334" s="1"/>
      <c r="F13334" s="1"/>
      <c r="G13334" s="1"/>
    </row>
    <row r="13335">
      <c r="B13335" s="36"/>
      <c r="C13335" s="36"/>
      <c r="E13335" s="1"/>
      <c r="F13335" s="1"/>
      <c r="G13335" s="1"/>
    </row>
    <row r="13336">
      <c r="B13336" s="36"/>
      <c r="C13336" s="36"/>
      <c r="E13336" s="1"/>
      <c r="F13336" s="1"/>
      <c r="G13336" s="1"/>
    </row>
    <row r="13337">
      <c r="B13337" s="36"/>
      <c r="C13337" s="36"/>
      <c r="E13337" s="1"/>
      <c r="F13337" s="1"/>
      <c r="G13337" s="1"/>
    </row>
    <row r="13338">
      <c r="B13338" s="36"/>
      <c r="C13338" s="36"/>
      <c r="E13338" s="1"/>
      <c r="F13338" s="1"/>
      <c r="G13338" s="1"/>
    </row>
    <row r="13339">
      <c r="B13339" s="36"/>
      <c r="C13339" s="36"/>
      <c r="E13339" s="1"/>
      <c r="F13339" s="1"/>
      <c r="G13339" s="1"/>
    </row>
    <row r="13340">
      <c r="B13340" s="36"/>
      <c r="C13340" s="36"/>
      <c r="E13340" s="1"/>
      <c r="F13340" s="1"/>
      <c r="G13340" s="1"/>
    </row>
    <row r="13341">
      <c r="B13341" s="36"/>
      <c r="C13341" s="36"/>
      <c r="E13341" s="1"/>
      <c r="F13341" s="1"/>
      <c r="G13341" s="1"/>
    </row>
    <row r="13342">
      <c r="B13342" s="36"/>
      <c r="C13342" s="36"/>
      <c r="E13342" s="1"/>
      <c r="F13342" s="1"/>
      <c r="G13342" s="1"/>
    </row>
    <row r="13343">
      <c r="B13343" s="36"/>
      <c r="C13343" s="36"/>
      <c r="E13343" s="1"/>
      <c r="F13343" s="1"/>
      <c r="G13343" s="1"/>
    </row>
    <row r="13344">
      <c r="B13344" s="36"/>
      <c r="C13344" s="36"/>
      <c r="E13344" s="1"/>
      <c r="F13344" s="1"/>
      <c r="G13344" s="1"/>
    </row>
    <row r="13345">
      <c r="B13345" s="36"/>
      <c r="C13345" s="36"/>
      <c r="E13345" s="1"/>
      <c r="F13345" s="1"/>
      <c r="G13345" s="1"/>
    </row>
    <row r="13346">
      <c r="B13346" s="36"/>
      <c r="C13346" s="36"/>
      <c r="E13346" s="1"/>
      <c r="F13346" s="1"/>
      <c r="G13346" s="1"/>
    </row>
    <row r="13347">
      <c r="B13347" s="36"/>
      <c r="C13347" s="36"/>
      <c r="E13347" s="1"/>
      <c r="F13347" s="1"/>
      <c r="G13347" s="1"/>
    </row>
    <row r="13348">
      <c r="B13348" s="36"/>
      <c r="C13348" s="36"/>
      <c r="E13348" s="1"/>
      <c r="F13348" s="1"/>
      <c r="G13348" s="1"/>
    </row>
    <row r="13349">
      <c r="B13349" s="36"/>
      <c r="C13349" s="36"/>
      <c r="E13349" s="1"/>
      <c r="F13349" s="1"/>
      <c r="G13349" s="1"/>
    </row>
    <row r="13350">
      <c r="B13350" s="36"/>
      <c r="C13350" s="36"/>
      <c r="E13350" s="1"/>
      <c r="F13350" s="1"/>
      <c r="G13350" s="1"/>
    </row>
    <row r="13351">
      <c r="B13351" s="36"/>
      <c r="C13351" s="36"/>
      <c r="E13351" s="1"/>
      <c r="F13351" s="1"/>
      <c r="G13351" s="1"/>
    </row>
    <row r="13352">
      <c r="B13352" s="36"/>
      <c r="C13352" s="36"/>
      <c r="E13352" s="1"/>
      <c r="F13352" s="1"/>
      <c r="G13352" s="1"/>
    </row>
    <row r="13353">
      <c r="B13353" s="36"/>
      <c r="C13353" s="36"/>
      <c r="E13353" s="1"/>
      <c r="F13353" s="1"/>
      <c r="G13353" s="1"/>
    </row>
    <row r="13354">
      <c r="B13354" s="36"/>
      <c r="C13354" s="36"/>
      <c r="E13354" s="1"/>
      <c r="F13354" s="1"/>
      <c r="G13354" s="1"/>
    </row>
    <row r="13355">
      <c r="B13355" s="36"/>
      <c r="C13355" s="36"/>
      <c r="E13355" s="1"/>
      <c r="F13355" s="1"/>
      <c r="G13355" s="1"/>
    </row>
    <row r="13356">
      <c r="B13356" s="36"/>
      <c r="C13356" s="36"/>
      <c r="E13356" s="1"/>
      <c r="F13356" s="1"/>
      <c r="G13356" s="1"/>
    </row>
    <row r="13357">
      <c r="B13357" s="36"/>
      <c r="C13357" s="36"/>
      <c r="E13357" s="1"/>
      <c r="F13357" s="1"/>
      <c r="G13357" s="1"/>
    </row>
    <row r="13358">
      <c r="B13358" s="36"/>
      <c r="C13358" s="36"/>
      <c r="E13358" s="1"/>
      <c r="F13358" s="1"/>
      <c r="G13358" s="1"/>
    </row>
    <row r="13359">
      <c r="B13359" s="36"/>
      <c r="C13359" s="36"/>
      <c r="E13359" s="1"/>
      <c r="F13359" s="1"/>
      <c r="G13359" s="1"/>
    </row>
    <row r="13360">
      <c r="B13360" s="36"/>
      <c r="C13360" s="36"/>
      <c r="E13360" s="1"/>
      <c r="F13360" s="1"/>
      <c r="G13360" s="1"/>
    </row>
    <row r="13361">
      <c r="B13361" s="36"/>
      <c r="C13361" s="36"/>
      <c r="E13361" s="1"/>
      <c r="F13361" s="1"/>
      <c r="G13361" s="1"/>
    </row>
    <row r="13362">
      <c r="B13362" s="36"/>
      <c r="C13362" s="36"/>
      <c r="E13362" s="1"/>
      <c r="F13362" s="1"/>
      <c r="G13362" s="1"/>
    </row>
    <row r="13363">
      <c r="B13363" s="36"/>
      <c r="C13363" s="36"/>
      <c r="E13363" s="1"/>
      <c r="F13363" s="1"/>
      <c r="G13363" s="1"/>
    </row>
    <row r="13364">
      <c r="B13364" s="36"/>
      <c r="C13364" s="36"/>
      <c r="E13364" s="1"/>
      <c r="F13364" s="1"/>
      <c r="G13364" s="1"/>
    </row>
    <row r="13365">
      <c r="B13365" s="36"/>
      <c r="C13365" s="36"/>
      <c r="E13365" s="1"/>
      <c r="F13365" s="1"/>
      <c r="G13365" s="1"/>
    </row>
    <row r="13366">
      <c r="B13366" s="36"/>
      <c r="C13366" s="36"/>
      <c r="E13366" s="1"/>
      <c r="F13366" s="1"/>
      <c r="G13366" s="1"/>
    </row>
    <row r="13367">
      <c r="B13367" s="36"/>
      <c r="C13367" s="36"/>
      <c r="E13367" s="1"/>
      <c r="F13367" s="1"/>
      <c r="G13367" s="1"/>
    </row>
    <row r="13368">
      <c r="B13368" s="36"/>
      <c r="C13368" s="36"/>
      <c r="E13368" s="1"/>
      <c r="F13368" s="1"/>
      <c r="G13368" s="1"/>
    </row>
    <row r="13369">
      <c r="B13369" s="36"/>
      <c r="C13369" s="36"/>
      <c r="E13369" s="1"/>
      <c r="F13369" s="1"/>
      <c r="G13369" s="1"/>
    </row>
    <row r="13370">
      <c r="B13370" s="36"/>
      <c r="C13370" s="36"/>
      <c r="E13370" s="1"/>
      <c r="F13370" s="1"/>
      <c r="G13370" s="1"/>
    </row>
    <row r="13371">
      <c r="B13371" s="36"/>
      <c r="C13371" s="36"/>
      <c r="E13371" s="1"/>
      <c r="F13371" s="1"/>
      <c r="G13371" s="1"/>
    </row>
    <row r="13372">
      <c r="B13372" s="36"/>
      <c r="C13372" s="36"/>
      <c r="E13372" s="1"/>
      <c r="F13372" s="1"/>
      <c r="G13372" s="1"/>
    </row>
    <row r="13373">
      <c r="B13373" s="36"/>
      <c r="C13373" s="36"/>
      <c r="E13373" s="1"/>
      <c r="F13373" s="1"/>
      <c r="G13373" s="1"/>
    </row>
    <row r="13374">
      <c r="B13374" s="36"/>
      <c r="C13374" s="36"/>
      <c r="E13374" s="1"/>
      <c r="F13374" s="1"/>
      <c r="G13374" s="1"/>
    </row>
    <row r="13375">
      <c r="B13375" s="36"/>
      <c r="C13375" s="36"/>
      <c r="E13375" s="1"/>
      <c r="F13375" s="1"/>
      <c r="G13375" s="1"/>
    </row>
    <row r="13376">
      <c r="B13376" s="36"/>
      <c r="C13376" s="36"/>
      <c r="E13376" s="1"/>
      <c r="F13376" s="1"/>
      <c r="G13376" s="1"/>
    </row>
    <row r="13377">
      <c r="B13377" s="36"/>
      <c r="C13377" s="36"/>
      <c r="E13377" s="1"/>
      <c r="F13377" s="1"/>
      <c r="G13377" s="1"/>
    </row>
    <row r="13378">
      <c r="B13378" s="36"/>
      <c r="C13378" s="36"/>
      <c r="E13378" s="1"/>
      <c r="F13378" s="1"/>
      <c r="G13378" s="1"/>
    </row>
    <row r="13379">
      <c r="B13379" s="36"/>
      <c r="C13379" s="36"/>
      <c r="E13379" s="1"/>
      <c r="F13379" s="1"/>
      <c r="G13379" s="1"/>
    </row>
    <row r="13380">
      <c r="B13380" s="36"/>
      <c r="C13380" s="36"/>
      <c r="E13380" s="1"/>
      <c r="F13380" s="1"/>
      <c r="G13380" s="1"/>
    </row>
    <row r="13381">
      <c r="B13381" s="36"/>
      <c r="C13381" s="36"/>
      <c r="E13381" s="1"/>
      <c r="F13381" s="1"/>
      <c r="G13381" s="1"/>
    </row>
    <row r="13382">
      <c r="B13382" s="36"/>
      <c r="C13382" s="36"/>
      <c r="E13382" s="1"/>
      <c r="F13382" s="1"/>
      <c r="G13382" s="1"/>
    </row>
    <row r="13383">
      <c r="B13383" s="36"/>
      <c r="C13383" s="36"/>
      <c r="E13383" s="1"/>
      <c r="F13383" s="1"/>
      <c r="G13383" s="1"/>
    </row>
    <row r="13384">
      <c r="B13384" s="36"/>
      <c r="C13384" s="36"/>
      <c r="E13384" s="1"/>
      <c r="F13384" s="1"/>
      <c r="G13384" s="1"/>
    </row>
    <row r="13385">
      <c r="B13385" s="36"/>
      <c r="C13385" s="36"/>
      <c r="E13385" s="1"/>
      <c r="F13385" s="1"/>
      <c r="G13385" s="1"/>
    </row>
    <row r="13386">
      <c r="B13386" s="36"/>
      <c r="C13386" s="36"/>
      <c r="E13386" s="1"/>
      <c r="F13386" s="1"/>
      <c r="G13386" s="1"/>
    </row>
    <row r="13387">
      <c r="B13387" s="36"/>
      <c r="C13387" s="36"/>
      <c r="E13387" s="1"/>
      <c r="F13387" s="1"/>
      <c r="G13387" s="1"/>
    </row>
    <row r="13388">
      <c r="B13388" s="36"/>
      <c r="C13388" s="36"/>
      <c r="E13388" s="1"/>
      <c r="F13388" s="1"/>
      <c r="G13388" s="1"/>
    </row>
    <row r="13389">
      <c r="B13389" s="36"/>
      <c r="C13389" s="36"/>
      <c r="E13389" s="1"/>
      <c r="F13389" s="1"/>
      <c r="G13389" s="1"/>
    </row>
    <row r="13390">
      <c r="B13390" s="36"/>
      <c r="C13390" s="36"/>
      <c r="E13390" s="1"/>
      <c r="F13390" s="1"/>
      <c r="G13390" s="1"/>
    </row>
    <row r="13391">
      <c r="B13391" s="36"/>
      <c r="C13391" s="36"/>
      <c r="E13391" s="1"/>
      <c r="F13391" s="1"/>
      <c r="G13391" s="1"/>
    </row>
    <row r="13392">
      <c r="B13392" s="36"/>
      <c r="C13392" s="36"/>
      <c r="E13392" s="1"/>
      <c r="F13392" s="1"/>
      <c r="G13392" s="1"/>
    </row>
    <row r="13393">
      <c r="B13393" s="36"/>
      <c r="C13393" s="36"/>
      <c r="E13393" s="1"/>
      <c r="F13393" s="1"/>
      <c r="G13393" s="1"/>
    </row>
    <row r="13394">
      <c r="B13394" s="36"/>
      <c r="C13394" s="36"/>
      <c r="E13394" s="1"/>
      <c r="F13394" s="1"/>
      <c r="G13394" s="1"/>
    </row>
    <row r="13395">
      <c r="B13395" s="36"/>
      <c r="C13395" s="36"/>
      <c r="E13395" s="1"/>
      <c r="F13395" s="1"/>
      <c r="G13395" s="1"/>
    </row>
    <row r="13396">
      <c r="B13396" s="36"/>
      <c r="C13396" s="36"/>
      <c r="E13396" s="1"/>
      <c r="F13396" s="1"/>
      <c r="G13396" s="1"/>
    </row>
    <row r="13397">
      <c r="B13397" s="36"/>
      <c r="C13397" s="36"/>
      <c r="E13397" s="1"/>
      <c r="F13397" s="1"/>
      <c r="G13397" s="1"/>
    </row>
    <row r="13398">
      <c r="B13398" s="36"/>
      <c r="C13398" s="36"/>
      <c r="E13398" s="1"/>
      <c r="F13398" s="1"/>
      <c r="G13398" s="1"/>
    </row>
    <row r="13399">
      <c r="B13399" s="36"/>
      <c r="C13399" s="36"/>
      <c r="E13399" s="1"/>
      <c r="F13399" s="1"/>
      <c r="G13399" s="1"/>
    </row>
    <row r="13400">
      <c r="B13400" s="36"/>
      <c r="C13400" s="36"/>
      <c r="E13400" s="1"/>
      <c r="F13400" s="1"/>
      <c r="G13400" s="1"/>
    </row>
    <row r="13401">
      <c r="B13401" s="36"/>
      <c r="C13401" s="36"/>
      <c r="E13401" s="1"/>
      <c r="F13401" s="1"/>
      <c r="G13401" s="1"/>
    </row>
    <row r="13402">
      <c r="B13402" s="36"/>
      <c r="C13402" s="36"/>
      <c r="E13402" s="1"/>
      <c r="F13402" s="1"/>
      <c r="G13402" s="1"/>
    </row>
    <row r="13403">
      <c r="B13403" s="36"/>
      <c r="C13403" s="36"/>
      <c r="E13403" s="1"/>
      <c r="F13403" s="1"/>
      <c r="G13403" s="1"/>
    </row>
    <row r="13404">
      <c r="B13404" s="36"/>
      <c r="C13404" s="36"/>
      <c r="E13404" s="1"/>
      <c r="F13404" s="1"/>
      <c r="G13404" s="1"/>
    </row>
    <row r="13405">
      <c r="B13405" s="36"/>
      <c r="C13405" s="36"/>
      <c r="E13405" s="1"/>
      <c r="F13405" s="1"/>
      <c r="G13405" s="1"/>
    </row>
    <row r="13406">
      <c r="B13406" s="36"/>
      <c r="C13406" s="36"/>
      <c r="E13406" s="1"/>
      <c r="F13406" s="1"/>
      <c r="G13406" s="1"/>
    </row>
    <row r="13407">
      <c r="B13407" s="36"/>
      <c r="C13407" s="36"/>
      <c r="E13407" s="1"/>
      <c r="F13407" s="1"/>
      <c r="G13407" s="1"/>
    </row>
    <row r="13408">
      <c r="B13408" s="36"/>
      <c r="C13408" s="36"/>
      <c r="E13408" s="1"/>
      <c r="F13408" s="1"/>
      <c r="G13408" s="1"/>
    </row>
    <row r="13409">
      <c r="B13409" s="36"/>
      <c r="C13409" s="36"/>
      <c r="E13409" s="1"/>
      <c r="F13409" s="1"/>
      <c r="G13409" s="1"/>
    </row>
    <row r="13410">
      <c r="B13410" s="36"/>
      <c r="C13410" s="36"/>
      <c r="E13410" s="1"/>
      <c r="F13410" s="1"/>
      <c r="G13410" s="1"/>
    </row>
    <row r="13411">
      <c r="B13411" s="36"/>
      <c r="C13411" s="36"/>
      <c r="E13411" s="1"/>
      <c r="F13411" s="1"/>
      <c r="G13411" s="1"/>
    </row>
    <row r="13412">
      <c r="B13412" s="36"/>
      <c r="C13412" s="36"/>
      <c r="E13412" s="1"/>
      <c r="F13412" s="1"/>
      <c r="G13412" s="1"/>
    </row>
    <row r="13413">
      <c r="B13413" s="36"/>
      <c r="C13413" s="36"/>
      <c r="E13413" s="1"/>
      <c r="F13413" s="1"/>
      <c r="G13413" s="1"/>
    </row>
    <row r="13414">
      <c r="B13414" s="36"/>
      <c r="C13414" s="36"/>
      <c r="E13414" s="1"/>
      <c r="F13414" s="1"/>
      <c r="G13414" s="1"/>
    </row>
    <row r="13415">
      <c r="B13415" s="36"/>
      <c r="C13415" s="36"/>
      <c r="E13415" s="1"/>
      <c r="F13415" s="1"/>
      <c r="G13415" s="1"/>
    </row>
    <row r="13416">
      <c r="B13416" s="36"/>
      <c r="C13416" s="36"/>
      <c r="E13416" s="1"/>
      <c r="F13416" s="1"/>
      <c r="G13416" s="1"/>
    </row>
    <row r="13417">
      <c r="B13417" s="36"/>
      <c r="C13417" s="36"/>
      <c r="E13417" s="1"/>
      <c r="F13417" s="1"/>
      <c r="G13417" s="1"/>
    </row>
    <row r="13418">
      <c r="B13418" s="36"/>
      <c r="C13418" s="36"/>
      <c r="E13418" s="1"/>
      <c r="F13418" s="1"/>
      <c r="G13418" s="1"/>
    </row>
    <row r="13419">
      <c r="B13419" s="36"/>
      <c r="C13419" s="36"/>
      <c r="E13419" s="1"/>
      <c r="F13419" s="1"/>
      <c r="G13419" s="1"/>
    </row>
    <row r="13420">
      <c r="B13420" s="36"/>
      <c r="C13420" s="36"/>
      <c r="E13420" s="1"/>
      <c r="F13420" s="1"/>
      <c r="G13420" s="1"/>
    </row>
    <row r="13421">
      <c r="B13421" s="36"/>
      <c r="C13421" s="36"/>
      <c r="E13421" s="1"/>
      <c r="F13421" s="1"/>
      <c r="G13421" s="1"/>
    </row>
    <row r="13422">
      <c r="B13422" s="36"/>
      <c r="C13422" s="36"/>
      <c r="E13422" s="1"/>
      <c r="F13422" s="1"/>
      <c r="G13422" s="1"/>
    </row>
    <row r="13423">
      <c r="B13423" s="36"/>
      <c r="C13423" s="36"/>
      <c r="E13423" s="1"/>
      <c r="F13423" s="1"/>
      <c r="G13423" s="1"/>
    </row>
    <row r="13424">
      <c r="B13424" s="36"/>
      <c r="C13424" s="36"/>
      <c r="E13424" s="1"/>
      <c r="F13424" s="1"/>
      <c r="G13424" s="1"/>
    </row>
    <row r="13425">
      <c r="B13425" s="36"/>
      <c r="C13425" s="36"/>
      <c r="E13425" s="1"/>
      <c r="F13425" s="1"/>
      <c r="G13425" s="1"/>
    </row>
    <row r="13426">
      <c r="B13426" s="36"/>
      <c r="C13426" s="36"/>
      <c r="E13426" s="1"/>
      <c r="F13426" s="1"/>
      <c r="G13426" s="1"/>
    </row>
    <row r="13427">
      <c r="B13427" s="36"/>
      <c r="C13427" s="36"/>
      <c r="E13427" s="1"/>
      <c r="F13427" s="1"/>
      <c r="G13427" s="1"/>
    </row>
    <row r="13428">
      <c r="B13428" s="36"/>
      <c r="C13428" s="36"/>
      <c r="E13428" s="1"/>
      <c r="F13428" s="1"/>
      <c r="G13428" s="1"/>
    </row>
    <row r="13429">
      <c r="B13429" s="36"/>
      <c r="C13429" s="36"/>
      <c r="E13429" s="1"/>
      <c r="F13429" s="1"/>
      <c r="G13429" s="1"/>
    </row>
    <row r="13430">
      <c r="B13430" s="36"/>
      <c r="C13430" s="36"/>
      <c r="E13430" s="1"/>
      <c r="F13430" s="1"/>
      <c r="G13430" s="1"/>
    </row>
    <row r="13431">
      <c r="B13431" s="36"/>
      <c r="C13431" s="36"/>
      <c r="E13431" s="1"/>
      <c r="F13431" s="1"/>
      <c r="G13431" s="1"/>
    </row>
    <row r="13432">
      <c r="B13432" s="36"/>
      <c r="C13432" s="36"/>
      <c r="E13432" s="1"/>
      <c r="F13432" s="1"/>
      <c r="G13432" s="1"/>
    </row>
    <row r="13433">
      <c r="B13433" s="36"/>
      <c r="C13433" s="36"/>
      <c r="E13433" s="1"/>
      <c r="F13433" s="1"/>
      <c r="G13433" s="1"/>
    </row>
    <row r="13434">
      <c r="B13434" s="36"/>
      <c r="C13434" s="36"/>
      <c r="E13434" s="1"/>
      <c r="F13434" s="1"/>
      <c r="G13434" s="1"/>
    </row>
    <row r="13435">
      <c r="B13435" s="36"/>
      <c r="C13435" s="36"/>
      <c r="E13435" s="1"/>
      <c r="F13435" s="1"/>
      <c r="G13435" s="1"/>
    </row>
    <row r="13436">
      <c r="B13436" s="36"/>
      <c r="C13436" s="36"/>
      <c r="E13436" s="1"/>
      <c r="F13436" s="1"/>
      <c r="G13436" s="1"/>
    </row>
    <row r="13437">
      <c r="B13437" s="36"/>
      <c r="C13437" s="36"/>
      <c r="E13437" s="1"/>
      <c r="F13437" s="1"/>
      <c r="G13437" s="1"/>
    </row>
    <row r="13438">
      <c r="B13438" s="36"/>
      <c r="C13438" s="36"/>
      <c r="E13438" s="1"/>
      <c r="F13438" s="1"/>
      <c r="G13438" s="1"/>
    </row>
    <row r="13439">
      <c r="B13439" s="36"/>
      <c r="C13439" s="36"/>
      <c r="E13439" s="1"/>
      <c r="F13439" s="1"/>
      <c r="G13439" s="1"/>
    </row>
    <row r="13440">
      <c r="B13440" s="36"/>
      <c r="C13440" s="36"/>
      <c r="E13440" s="1"/>
      <c r="F13440" s="1"/>
      <c r="G13440" s="1"/>
    </row>
    <row r="13441">
      <c r="B13441" s="36"/>
      <c r="C13441" s="36"/>
      <c r="E13441" s="1"/>
      <c r="F13441" s="1"/>
      <c r="G13441" s="1"/>
    </row>
    <row r="13442">
      <c r="B13442" s="36"/>
      <c r="C13442" s="36"/>
      <c r="E13442" s="1"/>
      <c r="F13442" s="1"/>
      <c r="G13442" s="1"/>
    </row>
    <row r="13443">
      <c r="B13443" s="36"/>
      <c r="C13443" s="36"/>
      <c r="E13443" s="1"/>
      <c r="F13443" s="1"/>
      <c r="G13443" s="1"/>
    </row>
    <row r="13444">
      <c r="B13444" s="36"/>
      <c r="C13444" s="36"/>
      <c r="E13444" s="1"/>
      <c r="F13444" s="1"/>
      <c r="G13444" s="1"/>
    </row>
    <row r="13445">
      <c r="B13445" s="36"/>
      <c r="C13445" s="36"/>
      <c r="E13445" s="1"/>
      <c r="F13445" s="1"/>
      <c r="G13445" s="1"/>
    </row>
    <row r="13446">
      <c r="B13446" s="36"/>
      <c r="C13446" s="36"/>
      <c r="E13446" s="1"/>
      <c r="F13446" s="1"/>
      <c r="G13446" s="1"/>
    </row>
    <row r="13447">
      <c r="B13447" s="36"/>
      <c r="C13447" s="36"/>
      <c r="E13447" s="1"/>
      <c r="F13447" s="1"/>
      <c r="G13447" s="1"/>
    </row>
    <row r="13448">
      <c r="B13448" s="36"/>
      <c r="C13448" s="36"/>
      <c r="E13448" s="1"/>
      <c r="F13448" s="1"/>
      <c r="G13448" s="1"/>
    </row>
    <row r="13449">
      <c r="B13449" s="36"/>
      <c r="C13449" s="36"/>
      <c r="E13449" s="1"/>
      <c r="F13449" s="1"/>
      <c r="G13449" s="1"/>
    </row>
    <row r="13450">
      <c r="B13450" s="36"/>
      <c r="C13450" s="36"/>
      <c r="E13450" s="1"/>
      <c r="F13450" s="1"/>
      <c r="G13450" s="1"/>
    </row>
    <row r="13451">
      <c r="B13451" s="36"/>
      <c r="C13451" s="36"/>
      <c r="E13451" s="1"/>
      <c r="F13451" s="1"/>
      <c r="G13451" s="1"/>
    </row>
    <row r="13452">
      <c r="B13452" s="36"/>
      <c r="C13452" s="36"/>
      <c r="E13452" s="1"/>
      <c r="F13452" s="1"/>
      <c r="G13452" s="1"/>
    </row>
    <row r="13453">
      <c r="B13453" s="36"/>
      <c r="C13453" s="36"/>
      <c r="E13453" s="1"/>
      <c r="F13453" s="1"/>
      <c r="G13453" s="1"/>
    </row>
    <row r="13454">
      <c r="B13454" s="36"/>
      <c r="C13454" s="36"/>
      <c r="E13454" s="1"/>
      <c r="F13454" s="1"/>
      <c r="G13454" s="1"/>
    </row>
    <row r="13455">
      <c r="B13455" s="36"/>
      <c r="C13455" s="36"/>
      <c r="E13455" s="1"/>
      <c r="F13455" s="1"/>
      <c r="G13455" s="1"/>
    </row>
    <row r="13456">
      <c r="B13456" s="36"/>
      <c r="C13456" s="36"/>
      <c r="E13456" s="1"/>
      <c r="F13456" s="1"/>
      <c r="G13456" s="1"/>
    </row>
    <row r="13457">
      <c r="B13457" s="36"/>
      <c r="C13457" s="36"/>
      <c r="E13457" s="1"/>
      <c r="F13457" s="1"/>
      <c r="G13457" s="1"/>
    </row>
    <row r="13458">
      <c r="B13458" s="36"/>
      <c r="C13458" s="36"/>
      <c r="E13458" s="1"/>
      <c r="F13458" s="1"/>
      <c r="G13458" s="1"/>
    </row>
    <row r="13459">
      <c r="B13459" s="36"/>
      <c r="C13459" s="36"/>
      <c r="E13459" s="1"/>
      <c r="F13459" s="1"/>
      <c r="G13459" s="1"/>
    </row>
    <row r="13460">
      <c r="B13460" s="36"/>
      <c r="C13460" s="36"/>
      <c r="E13460" s="1"/>
      <c r="F13460" s="1"/>
      <c r="G13460" s="1"/>
    </row>
    <row r="13461">
      <c r="B13461" s="36"/>
      <c r="C13461" s="36"/>
      <c r="E13461" s="1"/>
      <c r="F13461" s="1"/>
      <c r="G13461" s="1"/>
    </row>
    <row r="13462">
      <c r="B13462" s="36"/>
      <c r="C13462" s="36"/>
      <c r="E13462" s="1"/>
      <c r="F13462" s="1"/>
      <c r="G13462" s="1"/>
    </row>
    <row r="13463">
      <c r="B13463" s="36"/>
      <c r="C13463" s="36"/>
      <c r="E13463" s="1"/>
      <c r="F13463" s="1"/>
      <c r="G13463" s="1"/>
    </row>
    <row r="13464">
      <c r="B13464" s="36"/>
      <c r="C13464" s="36"/>
      <c r="E13464" s="1"/>
      <c r="F13464" s="1"/>
      <c r="G13464" s="1"/>
    </row>
    <row r="13465">
      <c r="B13465" s="36"/>
      <c r="C13465" s="36"/>
      <c r="E13465" s="1"/>
      <c r="F13465" s="1"/>
      <c r="G13465" s="1"/>
    </row>
    <row r="13466">
      <c r="B13466" s="36"/>
      <c r="C13466" s="36"/>
      <c r="E13466" s="1"/>
      <c r="F13466" s="1"/>
      <c r="G13466" s="1"/>
    </row>
    <row r="13467">
      <c r="B13467" s="36"/>
      <c r="C13467" s="36"/>
      <c r="E13467" s="1"/>
      <c r="F13467" s="1"/>
      <c r="G13467" s="1"/>
    </row>
    <row r="13468">
      <c r="B13468" s="36"/>
      <c r="C13468" s="36"/>
      <c r="E13468" s="1"/>
      <c r="F13468" s="1"/>
      <c r="G13468" s="1"/>
    </row>
    <row r="13469">
      <c r="B13469" s="36"/>
      <c r="C13469" s="36"/>
      <c r="E13469" s="1"/>
      <c r="F13469" s="1"/>
      <c r="G13469" s="1"/>
    </row>
    <row r="13470">
      <c r="B13470" s="36"/>
      <c r="C13470" s="36"/>
      <c r="E13470" s="1"/>
      <c r="F13470" s="1"/>
      <c r="G13470" s="1"/>
    </row>
    <row r="13471">
      <c r="B13471" s="36"/>
      <c r="C13471" s="36"/>
      <c r="E13471" s="1"/>
      <c r="F13471" s="1"/>
      <c r="G13471" s="1"/>
    </row>
    <row r="13472">
      <c r="B13472" s="36"/>
      <c r="C13472" s="36"/>
      <c r="E13472" s="1"/>
      <c r="F13472" s="1"/>
      <c r="G13472" s="1"/>
    </row>
    <row r="13473">
      <c r="B13473" s="36"/>
      <c r="C13473" s="36"/>
      <c r="E13473" s="1"/>
      <c r="F13473" s="1"/>
      <c r="G13473" s="1"/>
    </row>
    <row r="13474">
      <c r="B13474" s="36"/>
      <c r="C13474" s="36"/>
      <c r="E13474" s="1"/>
      <c r="F13474" s="1"/>
      <c r="G13474" s="1"/>
    </row>
    <row r="13475">
      <c r="B13475" s="36"/>
      <c r="C13475" s="36"/>
      <c r="E13475" s="1"/>
      <c r="F13475" s="1"/>
      <c r="G13475" s="1"/>
    </row>
    <row r="13476">
      <c r="B13476" s="36"/>
      <c r="C13476" s="36"/>
      <c r="E13476" s="1"/>
      <c r="F13476" s="1"/>
      <c r="G13476" s="1"/>
    </row>
    <row r="13477">
      <c r="B13477" s="36"/>
      <c r="C13477" s="36"/>
      <c r="E13477" s="1"/>
      <c r="F13477" s="1"/>
      <c r="G13477" s="1"/>
    </row>
    <row r="13478">
      <c r="B13478" s="36"/>
      <c r="C13478" s="36"/>
      <c r="E13478" s="1"/>
      <c r="F13478" s="1"/>
      <c r="G13478" s="1"/>
    </row>
    <row r="13479">
      <c r="B13479" s="36"/>
      <c r="C13479" s="36"/>
      <c r="E13479" s="1"/>
      <c r="F13479" s="1"/>
      <c r="G13479" s="1"/>
    </row>
    <row r="13480">
      <c r="B13480" s="36"/>
      <c r="C13480" s="36"/>
      <c r="E13480" s="1"/>
      <c r="F13480" s="1"/>
      <c r="G13480" s="1"/>
    </row>
    <row r="13481">
      <c r="B13481" s="36"/>
      <c r="C13481" s="36"/>
      <c r="E13481" s="1"/>
      <c r="F13481" s="1"/>
      <c r="G13481" s="1"/>
    </row>
    <row r="13482">
      <c r="B13482" s="36"/>
      <c r="C13482" s="36"/>
      <c r="E13482" s="1"/>
      <c r="F13482" s="1"/>
      <c r="G13482" s="1"/>
    </row>
    <row r="13483">
      <c r="B13483" s="36"/>
      <c r="C13483" s="36"/>
      <c r="E13483" s="1"/>
      <c r="F13483" s="1"/>
      <c r="G13483" s="1"/>
    </row>
    <row r="13484">
      <c r="B13484" s="36"/>
      <c r="C13484" s="36"/>
      <c r="E13484" s="1"/>
      <c r="F13484" s="1"/>
      <c r="G13484" s="1"/>
    </row>
    <row r="13485">
      <c r="B13485" s="36"/>
      <c r="C13485" s="36"/>
      <c r="E13485" s="1"/>
      <c r="F13485" s="1"/>
      <c r="G13485" s="1"/>
    </row>
    <row r="13486">
      <c r="B13486" s="36"/>
      <c r="C13486" s="36"/>
      <c r="E13486" s="1"/>
      <c r="F13486" s="1"/>
      <c r="G13486" s="1"/>
    </row>
    <row r="13487">
      <c r="B13487" s="36"/>
      <c r="C13487" s="36"/>
      <c r="E13487" s="1"/>
      <c r="F13487" s="1"/>
      <c r="G13487" s="1"/>
    </row>
    <row r="13488">
      <c r="B13488" s="36"/>
      <c r="C13488" s="36"/>
      <c r="E13488" s="1"/>
      <c r="F13488" s="1"/>
      <c r="G13488" s="1"/>
    </row>
    <row r="13489">
      <c r="B13489" s="36"/>
      <c r="C13489" s="36"/>
      <c r="E13489" s="1"/>
      <c r="F13489" s="1"/>
      <c r="G13489" s="1"/>
    </row>
    <row r="13490">
      <c r="B13490" s="36"/>
      <c r="C13490" s="36"/>
      <c r="E13490" s="1"/>
      <c r="F13490" s="1"/>
      <c r="G13490" s="1"/>
    </row>
    <row r="13491">
      <c r="B13491" s="36"/>
      <c r="C13491" s="36"/>
      <c r="E13491" s="1"/>
      <c r="F13491" s="1"/>
      <c r="G13491" s="1"/>
    </row>
    <row r="13492">
      <c r="B13492" s="36"/>
      <c r="C13492" s="36"/>
      <c r="E13492" s="1"/>
      <c r="F13492" s="1"/>
      <c r="G13492" s="1"/>
    </row>
    <row r="13493">
      <c r="B13493" s="36"/>
      <c r="C13493" s="36"/>
      <c r="E13493" s="1"/>
      <c r="F13493" s="1"/>
      <c r="G13493" s="1"/>
    </row>
    <row r="13494">
      <c r="B13494" s="36"/>
      <c r="C13494" s="36"/>
      <c r="E13494" s="1"/>
      <c r="F13494" s="1"/>
      <c r="G13494" s="1"/>
    </row>
    <row r="13495">
      <c r="B13495" s="36"/>
      <c r="C13495" s="36"/>
      <c r="E13495" s="1"/>
      <c r="F13495" s="1"/>
      <c r="G13495" s="1"/>
    </row>
    <row r="13496">
      <c r="B13496" s="36"/>
      <c r="C13496" s="36"/>
      <c r="E13496" s="1"/>
      <c r="F13496" s="1"/>
      <c r="G13496" s="1"/>
    </row>
    <row r="13497">
      <c r="B13497" s="36"/>
      <c r="C13497" s="36"/>
      <c r="E13497" s="1"/>
      <c r="F13497" s="1"/>
      <c r="G13497" s="1"/>
    </row>
    <row r="13498">
      <c r="B13498" s="36"/>
      <c r="C13498" s="36"/>
      <c r="E13498" s="1"/>
      <c r="F13498" s="1"/>
      <c r="G13498" s="1"/>
    </row>
    <row r="13499">
      <c r="B13499" s="36"/>
      <c r="C13499" s="36"/>
      <c r="E13499" s="1"/>
      <c r="F13499" s="1"/>
      <c r="G13499" s="1"/>
    </row>
    <row r="13500">
      <c r="B13500" s="36"/>
      <c r="C13500" s="36"/>
      <c r="E13500" s="1"/>
      <c r="F13500" s="1"/>
      <c r="G13500" s="1"/>
    </row>
    <row r="13501">
      <c r="B13501" s="36"/>
      <c r="C13501" s="36"/>
      <c r="E13501" s="1"/>
      <c r="F13501" s="1"/>
      <c r="G13501" s="1"/>
    </row>
    <row r="13502">
      <c r="B13502" s="36"/>
      <c r="C13502" s="36"/>
      <c r="E13502" s="1"/>
      <c r="F13502" s="1"/>
      <c r="G13502" s="1"/>
    </row>
    <row r="13503">
      <c r="B13503" s="36"/>
      <c r="C13503" s="36"/>
      <c r="E13503" s="1"/>
      <c r="F13503" s="1"/>
      <c r="G13503" s="1"/>
    </row>
    <row r="13504">
      <c r="B13504" s="36"/>
      <c r="C13504" s="36"/>
      <c r="E13504" s="1"/>
      <c r="F13504" s="1"/>
      <c r="G13504" s="1"/>
    </row>
    <row r="13505">
      <c r="B13505" s="36"/>
      <c r="C13505" s="36"/>
      <c r="E13505" s="1"/>
      <c r="F13505" s="1"/>
      <c r="G13505" s="1"/>
    </row>
    <row r="13506">
      <c r="B13506" s="36"/>
      <c r="C13506" s="36"/>
      <c r="E13506" s="1"/>
      <c r="F13506" s="1"/>
      <c r="G13506" s="1"/>
    </row>
    <row r="13507">
      <c r="B13507" s="36"/>
      <c r="C13507" s="36"/>
      <c r="E13507" s="1"/>
      <c r="F13507" s="1"/>
      <c r="G13507" s="1"/>
    </row>
    <row r="13508">
      <c r="B13508" s="36"/>
      <c r="C13508" s="36"/>
      <c r="E13508" s="1"/>
      <c r="F13508" s="1"/>
      <c r="G13508" s="1"/>
    </row>
    <row r="13509">
      <c r="B13509" s="36"/>
      <c r="C13509" s="36"/>
      <c r="E13509" s="1"/>
      <c r="F13509" s="1"/>
      <c r="G13509" s="1"/>
    </row>
    <row r="13510">
      <c r="B13510" s="36"/>
      <c r="C13510" s="36"/>
      <c r="E13510" s="1"/>
      <c r="F13510" s="1"/>
      <c r="G13510" s="1"/>
    </row>
    <row r="13511">
      <c r="B13511" s="36"/>
      <c r="C13511" s="36"/>
      <c r="E13511" s="1"/>
      <c r="F13511" s="1"/>
      <c r="G13511" s="1"/>
    </row>
    <row r="13512">
      <c r="B13512" s="36"/>
      <c r="C13512" s="36"/>
      <c r="E13512" s="1"/>
      <c r="F13512" s="1"/>
      <c r="G13512" s="1"/>
    </row>
    <row r="13513">
      <c r="B13513" s="36"/>
      <c r="C13513" s="36"/>
      <c r="E13513" s="1"/>
      <c r="F13513" s="1"/>
      <c r="G13513" s="1"/>
    </row>
    <row r="13514">
      <c r="B13514" s="36"/>
      <c r="C13514" s="36"/>
      <c r="E13514" s="1"/>
      <c r="F13514" s="1"/>
      <c r="G13514" s="1"/>
    </row>
    <row r="13515">
      <c r="B13515" s="36"/>
      <c r="C13515" s="36"/>
      <c r="E13515" s="1"/>
      <c r="F13515" s="1"/>
      <c r="G13515" s="1"/>
    </row>
    <row r="13516">
      <c r="B13516" s="36"/>
      <c r="C13516" s="36"/>
      <c r="E13516" s="1"/>
      <c r="F13516" s="1"/>
      <c r="G13516" s="1"/>
    </row>
    <row r="13517">
      <c r="B13517" s="36"/>
      <c r="C13517" s="36"/>
      <c r="E13517" s="1"/>
      <c r="F13517" s="1"/>
      <c r="G13517" s="1"/>
    </row>
    <row r="13518">
      <c r="B13518" s="36"/>
      <c r="C13518" s="36"/>
      <c r="E13518" s="1"/>
      <c r="F13518" s="1"/>
      <c r="G13518" s="1"/>
    </row>
    <row r="13519">
      <c r="B13519" s="36"/>
      <c r="C13519" s="36"/>
      <c r="E13519" s="1"/>
      <c r="F13519" s="1"/>
      <c r="G13519" s="1"/>
    </row>
    <row r="13520">
      <c r="B13520" s="36"/>
      <c r="C13520" s="36"/>
      <c r="E13520" s="1"/>
      <c r="F13520" s="1"/>
      <c r="G13520" s="1"/>
    </row>
    <row r="13521">
      <c r="B13521" s="36"/>
      <c r="C13521" s="36"/>
      <c r="E13521" s="1"/>
      <c r="F13521" s="1"/>
      <c r="G13521" s="1"/>
    </row>
    <row r="13522">
      <c r="B13522" s="36"/>
      <c r="C13522" s="36"/>
      <c r="E13522" s="1"/>
      <c r="F13522" s="1"/>
      <c r="G13522" s="1"/>
    </row>
    <row r="13523">
      <c r="B13523" s="36"/>
      <c r="C13523" s="36"/>
      <c r="E13523" s="1"/>
      <c r="F13523" s="1"/>
      <c r="G13523" s="1"/>
    </row>
    <row r="13524">
      <c r="B13524" s="36"/>
      <c r="C13524" s="36"/>
      <c r="E13524" s="1"/>
      <c r="F13524" s="1"/>
      <c r="G13524" s="1"/>
    </row>
    <row r="13525">
      <c r="B13525" s="36"/>
      <c r="C13525" s="36"/>
      <c r="E13525" s="1"/>
      <c r="F13525" s="1"/>
      <c r="G13525" s="1"/>
    </row>
    <row r="13526">
      <c r="B13526" s="36"/>
      <c r="C13526" s="36"/>
      <c r="E13526" s="1"/>
      <c r="F13526" s="1"/>
      <c r="G13526" s="1"/>
    </row>
    <row r="13527">
      <c r="B13527" s="36"/>
      <c r="C13527" s="36"/>
      <c r="E13527" s="1"/>
      <c r="F13527" s="1"/>
      <c r="G13527" s="1"/>
    </row>
    <row r="13528">
      <c r="B13528" s="36"/>
      <c r="C13528" s="36"/>
      <c r="E13528" s="1"/>
      <c r="F13528" s="1"/>
      <c r="G13528" s="1"/>
    </row>
    <row r="13529">
      <c r="B13529" s="36"/>
      <c r="C13529" s="36"/>
      <c r="E13529" s="1"/>
      <c r="F13529" s="1"/>
      <c r="G13529" s="1"/>
    </row>
    <row r="13530">
      <c r="B13530" s="36"/>
      <c r="C13530" s="36"/>
      <c r="E13530" s="1"/>
      <c r="F13530" s="1"/>
      <c r="G13530" s="1"/>
    </row>
    <row r="13531">
      <c r="B13531" s="36"/>
      <c r="C13531" s="36"/>
      <c r="E13531" s="1"/>
      <c r="F13531" s="1"/>
      <c r="G13531" s="1"/>
    </row>
    <row r="13532">
      <c r="B13532" s="36"/>
      <c r="C13532" s="36"/>
      <c r="E13532" s="1"/>
      <c r="F13532" s="1"/>
      <c r="G13532" s="1"/>
    </row>
    <row r="13533">
      <c r="B13533" s="36"/>
      <c r="C13533" s="36"/>
      <c r="E13533" s="1"/>
      <c r="F13533" s="1"/>
      <c r="G13533" s="1"/>
    </row>
    <row r="13534">
      <c r="B13534" s="36"/>
      <c r="C13534" s="36"/>
      <c r="E13534" s="1"/>
      <c r="F13534" s="1"/>
      <c r="G13534" s="1"/>
    </row>
    <row r="13535">
      <c r="B13535" s="36"/>
      <c r="C13535" s="36"/>
      <c r="E13535" s="1"/>
      <c r="F13535" s="1"/>
      <c r="G13535" s="1"/>
    </row>
    <row r="13536">
      <c r="B13536" s="36"/>
      <c r="C13536" s="36"/>
      <c r="E13536" s="1"/>
      <c r="F13536" s="1"/>
      <c r="G13536" s="1"/>
    </row>
    <row r="13537">
      <c r="B13537" s="36"/>
      <c r="C13537" s="36"/>
      <c r="E13537" s="1"/>
      <c r="F13537" s="1"/>
      <c r="G13537" s="1"/>
    </row>
    <row r="13538">
      <c r="B13538" s="36"/>
      <c r="C13538" s="36"/>
      <c r="E13538" s="1"/>
      <c r="F13538" s="1"/>
      <c r="G13538" s="1"/>
    </row>
    <row r="13539">
      <c r="B13539" s="36"/>
      <c r="C13539" s="36"/>
      <c r="E13539" s="1"/>
      <c r="F13539" s="1"/>
      <c r="G13539" s="1"/>
    </row>
    <row r="13540">
      <c r="B13540" s="36"/>
      <c r="C13540" s="36"/>
      <c r="E13540" s="1"/>
      <c r="F13540" s="1"/>
      <c r="G13540" s="1"/>
    </row>
    <row r="13541">
      <c r="B13541" s="36"/>
      <c r="C13541" s="36"/>
      <c r="E13541" s="1"/>
      <c r="F13541" s="1"/>
      <c r="G13541" s="1"/>
    </row>
    <row r="13542">
      <c r="B13542" s="36"/>
      <c r="C13542" s="36"/>
      <c r="E13542" s="1"/>
      <c r="F13542" s="1"/>
      <c r="G13542" s="1"/>
    </row>
    <row r="13543">
      <c r="B13543" s="36"/>
      <c r="C13543" s="36"/>
      <c r="E13543" s="1"/>
      <c r="F13543" s="1"/>
      <c r="G13543" s="1"/>
    </row>
    <row r="13544">
      <c r="B13544" s="36"/>
      <c r="C13544" s="36"/>
      <c r="E13544" s="1"/>
      <c r="F13544" s="1"/>
      <c r="G13544" s="1"/>
    </row>
    <row r="13545">
      <c r="B13545" s="36"/>
      <c r="C13545" s="36"/>
      <c r="E13545" s="1"/>
      <c r="F13545" s="1"/>
      <c r="G13545" s="1"/>
    </row>
    <row r="13546">
      <c r="B13546" s="36"/>
      <c r="C13546" s="36"/>
      <c r="E13546" s="1"/>
      <c r="F13546" s="1"/>
      <c r="G13546" s="1"/>
    </row>
    <row r="13547">
      <c r="B13547" s="36"/>
      <c r="C13547" s="36"/>
      <c r="E13547" s="1"/>
      <c r="F13547" s="1"/>
      <c r="G13547" s="1"/>
    </row>
    <row r="13548">
      <c r="B13548" s="36"/>
      <c r="C13548" s="36"/>
      <c r="E13548" s="1"/>
      <c r="F13548" s="1"/>
      <c r="G13548" s="1"/>
    </row>
    <row r="13549">
      <c r="B13549" s="36"/>
      <c r="C13549" s="36"/>
      <c r="E13549" s="1"/>
      <c r="F13549" s="1"/>
      <c r="G13549" s="1"/>
    </row>
    <row r="13550">
      <c r="B13550" s="36"/>
      <c r="C13550" s="36"/>
      <c r="E13550" s="1"/>
      <c r="F13550" s="1"/>
      <c r="G13550" s="1"/>
    </row>
    <row r="13551">
      <c r="B13551" s="36"/>
      <c r="C13551" s="36"/>
      <c r="E13551" s="1"/>
      <c r="F13551" s="1"/>
      <c r="G13551" s="1"/>
    </row>
    <row r="13552">
      <c r="B13552" s="36"/>
      <c r="C13552" s="36"/>
      <c r="E13552" s="1"/>
      <c r="F13552" s="1"/>
      <c r="G13552" s="1"/>
    </row>
    <row r="13553">
      <c r="B13553" s="36"/>
      <c r="C13553" s="36"/>
      <c r="E13553" s="1"/>
      <c r="F13553" s="1"/>
      <c r="G13553" s="1"/>
    </row>
    <row r="13554">
      <c r="B13554" s="36"/>
      <c r="C13554" s="36"/>
      <c r="E13554" s="1"/>
      <c r="F13554" s="1"/>
      <c r="G13554" s="1"/>
    </row>
    <row r="13555">
      <c r="B13555" s="36"/>
      <c r="C13555" s="36"/>
      <c r="E13555" s="1"/>
      <c r="F13555" s="1"/>
      <c r="G13555" s="1"/>
    </row>
    <row r="13556">
      <c r="B13556" s="36"/>
      <c r="C13556" s="36"/>
      <c r="E13556" s="1"/>
      <c r="F13556" s="1"/>
      <c r="G13556" s="1"/>
    </row>
    <row r="13557">
      <c r="B13557" s="36"/>
      <c r="C13557" s="36"/>
      <c r="E13557" s="1"/>
      <c r="F13557" s="1"/>
      <c r="G13557" s="1"/>
    </row>
    <row r="13558">
      <c r="B13558" s="36"/>
      <c r="C13558" s="36"/>
      <c r="E13558" s="1"/>
      <c r="F13558" s="1"/>
      <c r="G13558" s="1"/>
    </row>
    <row r="13559">
      <c r="B13559" s="36"/>
      <c r="C13559" s="36"/>
      <c r="E13559" s="1"/>
      <c r="F13559" s="1"/>
      <c r="G13559" s="1"/>
    </row>
    <row r="13560">
      <c r="B13560" s="36"/>
      <c r="C13560" s="36"/>
      <c r="E13560" s="1"/>
      <c r="F13560" s="1"/>
      <c r="G13560" s="1"/>
    </row>
    <row r="13561">
      <c r="B13561" s="36"/>
      <c r="C13561" s="36"/>
      <c r="E13561" s="1"/>
      <c r="F13561" s="1"/>
      <c r="G13561" s="1"/>
    </row>
    <row r="13562">
      <c r="B13562" s="36"/>
      <c r="C13562" s="36"/>
      <c r="E13562" s="1"/>
      <c r="F13562" s="1"/>
      <c r="G13562" s="1"/>
    </row>
    <row r="13563">
      <c r="B13563" s="36"/>
      <c r="C13563" s="36"/>
      <c r="E13563" s="1"/>
      <c r="F13563" s="1"/>
      <c r="G13563" s="1"/>
    </row>
    <row r="13564">
      <c r="B13564" s="36"/>
      <c r="C13564" s="36"/>
      <c r="E13564" s="1"/>
      <c r="F13564" s="1"/>
      <c r="G13564" s="1"/>
    </row>
    <row r="13565">
      <c r="B13565" s="36"/>
      <c r="C13565" s="36"/>
      <c r="E13565" s="1"/>
      <c r="F13565" s="1"/>
      <c r="G13565" s="1"/>
    </row>
    <row r="13566">
      <c r="B13566" s="36"/>
      <c r="C13566" s="36"/>
      <c r="E13566" s="1"/>
      <c r="F13566" s="1"/>
      <c r="G13566" s="1"/>
    </row>
    <row r="13567">
      <c r="B13567" s="36"/>
      <c r="C13567" s="36"/>
      <c r="E13567" s="1"/>
      <c r="F13567" s="1"/>
      <c r="G13567" s="1"/>
    </row>
    <row r="13568">
      <c r="B13568" s="36"/>
      <c r="C13568" s="36"/>
      <c r="E13568" s="1"/>
      <c r="F13568" s="1"/>
      <c r="G13568" s="1"/>
    </row>
    <row r="13569">
      <c r="B13569" s="36"/>
      <c r="C13569" s="36"/>
      <c r="E13569" s="1"/>
      <c r="F13569" s="1"/>
      <c r="G13569" s="1"/>
    </row>
    <row r="13570">
      <c r="B13570" s="36"/>
      <c r="C13570" s="36"/>
      <c r="E13570" s="1"/>
      <c r="F13570" s="1"/>
      <c r="G13570" s="1"/>
    </row>
    <row r="13571">
      <c r="B13571" s="36"/>
      <c r="C13571" s="36"/>
      <c r="E13571" s="1"/>
      <c r="F13571" s="1"/>
      <c r="G13571" s="1"/>
    </row>
    <row r="13572">
      <c r="B13572" s="36"/>
      <c r="C13572" s="36"/>
      <c r="E13572" s="1"/>
      <c r="F13572" s="1"/>
      <c r="G13572" s="1"/>
    </row>
    <row r="13573">
      <c r="B13573" s="36"/>
      <c r="C13573" s="36"/>
      <c r="E13573" s="1"/>
      <c r="F13573" s="1"/>
      <c r="G13573" s="1"/>
    </row>
    <row r="13574">
      <c r="B13574" s="36"/>
      <c r="C13574" s="36"/>
      <c r="E13574" s="1"/>
      <c r="F13574" s="1"/>
      <c r="G13574" s="1"/>
    </row>
    <row r="13575">
      <c r="B13575" s="36"/>
      <c r="C13575" s="36"/>
      <c r="E13575" s="1"/>
      <c r="F13575" s="1"/>
      <c r="G13575" s="1"/>
    </row>
    <row r="13576">
      <c r="B13576" s="36"/>
      <c r="C13576" s="36"/>
      <c r="E13576" s="1"/>
      <c r="F13576" s="1"/>
      <c r="G13576" s="1"/>
    </row>
    <row r="13577">
      <c r="B13577" s="36"/>
      <c r="C13577" s="36"/>
      <c r="E13577" s="1"/>
      <c r="F13577" s="1"/>
      <c r="G13577" s="1"/>
    </row>
    <row r="13578">
      <c r="B13578" s="36"/>
      <c r="C13578" s="36"/>
      <c r="E13578" s="1"/>
      <c r="F13578" s="1"/>
      <c r="G13578" s="1"/>
    </row>
    <row r="13579">
      <c r="B13579" s="36"/>
      <c r="C13579" s="36"/>
      <c r="E13579" s="1"/>
      <c r="F13579" s="1"/>
      <c r="G13579" s="1"/>
    </row>
    <row r="13580">
      <c r="B13580" s="36"/>
      <c r="C13580" s="36"/>
      <c r="E13580" s="1"/>
      <c r="F13580" s="1"/>
      <c r="G13580" s="1"/>
    </row>
    <row r="13581">
      <c r="B13581" s="36"/>
      <c r="C13581" s="36"/>
      <c r="E13581" s="1"/>
      <c r="F13581" s="1"/>
      <c r="G13581" s="1"/>
    </row>
    <row r="13582">
      <c r="B13582" s="36"/>
      <c r="C13582" s="36"/>
      <c r="E13582" s="1"/>
      <c r="F13582" s="1"/>
      <c r="G13582" s="1"/>
    </row>
    <row r="13583">
      <c r="B13583" s="36"/>
      <c r="C13583" s="36"/>
      <c r="E13583" s="1"/>
      <c r="F13583" s="1"/>
      <c r="G13583" s="1"/>
    </row>
    <row r="13584">
      <c r="B13584" s="36"/>
      <c r="C13584" s="36"/>
      <c r="E13584" s="1"/>
      <c r="F13584" s="1"/>
      <c r="G13584" s="1"/>
    </row>
    <row r="13585">
      <c r="B13585" s="36"/>
      <c r="C13585" s="36"/>
      <c r="E13585" s="1"/>
      <c r="F13585" s="1"/>
      <c r="G13585" s="1"/>
    </row>
    <row r="13586">
      <c r="B13586" s="36"/>
      <c r="C13586" s="36"/>
      <c r="E13586" s="1"/>
      <c r="F13586" s="1"/>
      <c r="G13586" s="1"/>
    </row>
    <row r="13587">
      <c r="B13587" s="36"/>
      <c r="C13587" s="36"/>
      <c r="E13587" s="1"/>
      <c r="F13587" s="1"/>
      <c r="G13587" s="1"/>
    </row>
    <row r="13588">
      <c r="B13588" s="36"/>
      <c r="C13588" s="36"/>
      <c r="E13588" s="1"/>
      <c r="F13588" s="1"/>
      <c r="G13588" s="1"/>
    </row>
    <row r="13589">
      <c r="B13589" s="36"/>
      <c r="C13589" s="36"/>
      <c r="E13589" s="1"/>
      <c r="F13589" s="1"/>
      <c r="G13589" s="1"/>
    </row>
    <row r="13590">
      <c r="B13590" s="36"/>
      <c r="C13590" s="36"/>
      <c r="E13590" s="1"/>
      <c r="F13590" s="1"/>
      <c r="G13590" s="1"/>
    </row>
    <row r="13591">
      <c r="B13591" s="36"/>
      <c r="C13591" s="36"/>
      <c r="E13591" s="1"/>
      <c r="F13591" s="1"/>
      <c r="G13591" s="1"/>
    </row>
    <row r="13592">
      <c r="B13592" s="36"/>
      <c r="C13592" s="36"/>
      <c r="E13592" s="1"/>
      <c r="F13592" s="1"/>
      <c r="G13592" s="1"/>
    </row>
    <row r="13593">
      <c r="B13593" s="36"/>
      <c r="C13593" s="36"/>
      <c r="E13593" s="1"/>
      <c r="F13593" s="1"/>
      <c r="G13593" s="1"/>
    </row>
    <row r="13594">
      <c r="B13594" s="36"/>
      <c r="C13594" s="36"/>
      <c r="E13594" s="1"/>
      <c r="F13594" s="1"/>
      <c r="G13594" s="1"/>
    </row>
    <row r="13595">
      <c r="B13595" s="36"/>
      <c r="C13595" s="36"/>
      <c r="E13595" s="1"/>
      <c r="F13595" s="1"/>
      <c r="G13595" s="1"/>
    </row>
    <row r="13596">
      <c r="B13596" s="36"/>
      <c r="C13596" s="36"/>
      <c r="E13596" s="1"/>
      <c r="F13596" s="1"/>
      <c r="G13596" s="1"/>
    </row>
    <row r="13597">
      <c r="B13597" s="36"/>
      <c r="C13597" s="36"/>
      <c r="E13597" s="1"/>
      <c r="F13597" s="1"/>
      <c r="G13597" s="1"/>
    </row>
    <row r="13598">
      <c r="B13598" s="36"/>
      <c r="C13598" s="36"/>
      <c r="E13598" s="1"/>
      <c r="F13598" s="1"/>
      <c r="G13598" s="1"/>
    </row>
    <row r="13599">
      <c r="B13599" s="36"/>
      <c r="C13599" s="36"/>
      <c r="E13599" s="1"/>
      <c r="F13599" s="1"/>
      <c r="G13599" s="1"/>
    </row>
    <row r="13600">
      <c r="B13600" s="36"/>
      <c r="C13600" s="36"/>
      <c r="E13600" s="1"/>
      <c r="F13600" s="1"/>
      <c r="G13600" s="1"/>
    </row>
    <row r="13601">
      <c r="B13601" s="36"/>
      <c r="C13601" s="36"/>
      <c r="E13601" s="1"/>
      <c r="F13601" s="1"/>
      <c r="G13601" s="1"/>
    </row>
    <row r="13602">
      <c r="B13602" s="36"/>
      <c r="C13602" s="36"/>
      <c r="E13602" s="1"/>
      <c r="F13602" s="1"/>
      <c r="G13602" s="1"/>
    </row>
    <row r="13603">
      <c r="B13603" s="36"/>
      <c r="C13603" s="36"/>
      <c r="E13603" s="1"/>
      <c r="F13603" s="1"/>
      <c r="G13603" s="1"/>
    </row>
    <row r="13604">
      <c r="B13604" s="36"/>
      <c r="C13604" s="36"/>
      <c r="E13604" s="1"/>
      <c r="F13604" s="1"/>
      <c r="G13604" s="1"/>
    </row>
    <row r="13605">
      <c r="B13605" s="36"/>
      <c r="C13605" s="36"/>
      <c r="E13605" s="1"/>
      <c r="F13605" s="1"/>
      <c r="G13605" s="1"/>
    </row>
    <row r="13606">
      <c r="B13606" s="36"/>
      <c r="C13606" s="36"/>
      <c r="E13606" s="1"/>
      <c r="F13606" s="1"/>
      <c r="G13606" s="1"/>
    </row>
    <row r="13607">
      <c r="B13607" s="36"/>
      <c r="C13607" s="36"/>
      <c r="E13607" s="1"/>
      <c r="F13607" s="1"/>
      <c r="G13607" s="1"/>
    </row>
    <row r="13608">
      <c r="B13608" s="36"/>
      <c r="C13608" s="36"/>
      <c r="E13608" s="1"/>
      <c r="F13608" s="1"/>
      <c r="G13608" s="1"/>
    </row>
    <row r="13609">
      <c r="B13609" s="36"/>
      <c r="C13609" s="36"/>
      <c r="E13609" s="1"/>
      <c r="F13609" s="1"/>
      <c r="G13609" s="1"/>
    </row>
    <row r="13610">
      <c r="B13610" s="36"/>
      <c r="C13610" s="36"/>
      <c r="E13610" s="1"/>
      <c r="F13610" s="1"/>
      <c r="G13610" s="1"/>
    </row>
    <row r="13611">
      <c r="B13611" s="36"/>
      <c r="C13611" s="36"/>
      <c r="E13611" s="1"/>
      <c r="F13611" s="1"/>
      <c r="G13611" s="1"/>
    </row>
    <row r="13612">
      <c r="B13612" s="36"/>
      <c r="C13612" s="36"/>
      <c r="E13612" s="1"/>
      <c r="F13612" s="1"/>
      <c r="G13612" s="1"/>
    </row>
    <row r="13613">
      <c r="B13613" s="36"/>
      <c r="C13613" s="36"/>
      <c r="E13613" s="1"/>
      <c r="F13613" s="1"/>
      <c r="G13613" s="1"/>
    </row>
    <row r="13614">
      <c r="B13614" s="36"/>
      <c r="C13614" s="36"/>
      <c r="E13614" s="1"/>
      <c r="F13614" s="1"/>
      <c r="G13614" s="1"/>
    </row>
    <row r="13615">
      <c r="B13615" s="36"/>
      <c r="C13615" s="36"/>
      <c r="E13615" s="1"/>
      <c r="F13615" s="1"/>
      <c r="G13615" s="1"/>
    </row>
    <row r="13616">
      <c r="B13616" s="36"/>
      <c r="C13616" s="36"/>
      <c r="E13616" s="1"/>
      <c r="F13616" s="1"/>
      <c r="G13616" s="1"/>
    </row>
    <row r="13617">
      <c r="B13617" s="36"/>
      <c r="C13617" s="36"/>
      <c r="E13617" s="1"/>
      <c r="F13617" s="1"/>
      <c r="G13617" s="1"/>
    </row>
    <row r="13618">
      <c r="B13618" s="36"/>
      <c r="C13618" s="36"/>
      <c r="E13618" s="1"/>
      <c r="F13618" s="1"/>
      <c r="G13618" s="1"/>
    </row>
    <row r="13619">
      <c r="B13619" s="36"/>
      <c r="C13619" s="36"/>
      <c r="E13619" s="1"/>
      <c r="F13619" s="1"/>
      <c r="G13619" s="1"/>
    </row>
    <row r="13620">
      <c r="B13620" s="36"/>
      <c r="C13620" s="36"/>
      <c r="E13620" s="1"/>
      <c r="F13620" s="1"/>
      <c r="G13620" s="1"/>
    </row>
    <row r="13621">
      <c r="B13621" s="36"/>
      <c r="C13621" s="36"/>
      <c r="E13621" s="1"/>
      <c r="F13621" s="1"/>
      <c r="G13621" s="1"/>
    </row>
    <row r="13622">
      <c r="B13622" s="36"/>
      <c r="C13622" s="36"/>
      <c r="E13622" s="1"/>
      <c r="F13622" s="1"/>
      <c r="G13622" s="1"/>
    </row>
    <row r="13623">
      <c r="B13623" s="36"/>
      <c r="C13623" s="36"/>
      <c r="E13623" s="1"/>
      <c r="F13623" s="1"/>
      <c r="G13623" s="1"/>
    </row>
    <row r="13624">
      <c r="B13624" s="36"/>
      <c r="C13624" s="36"/>
      <c r="E13624" s="1"/>
      <c r="F13624" s="1"/>
      <c r="G13624" s="1"/>
    </row>
    <row r="13625">
      <c r="B13625" s="36"/>
      <c r="C13625" s="36"/>
      <c r="E13625" s="1"/>
      <c r="F13625" s="1"/>
      <c r="G13625" s="1"/>
    </row>
    <row r="13626">
      <c r="B13626" s="36"/>
      <c r="C13626" s="36"/>
      <c r="E13626" s="1"/>
      <c r="F13626" s="1"/>
      <c r="G13626" s="1"/>
    </row>
    <row r="13627">
      <c r="B13627" s="36"/>
      <c r="C13627" s="36"/>
      <c r="E13627" s="1"/>
      <c r="F13627" s="1"/>
      <c r="G13627" s="1"/>
    </row>
    <row r="13628">
      <c r="B13628" s="36"/>
      <c r="C13628" s="36"/>
      <c r="E13628" s="1"/>
      <c r="F13628" s="1"/>
      <c r="G13628" s="1"/>
    </row>
    <row r="13629">
      <c r="B13629" s="36"/>
      <c r="C13629" s="36"/>
      <c r="E13629" s="1"/>
      <c r="F13629" s="1"/>
      <c r="G13629" s="1"/>
    </row>
    <row r="13630">
      <c r="B13630" s="36"/>
      <c r="C13630" s="36"/>
      <c r="E13630" s="1"/>
      <c r="F13630" s="1"/>
      <c r="G13630" s="1"/>
    </row>
    <row r="13631">
      <c r="B13631" s="36"/>
      <c r="C13631" s="36"/>
      <c r="E13631" s="1"/>
      <c r="F13631" s="1"/>
      <c r="G13631" s="1"/>
    </row>
    <row r="13632">
      <c r="B13632" s="36"/>
      <c r="C13632" s="36"/>
      <c r="E13632" s="1"/>
      <c r="F13632" s="1"/>
      <c r="G13632" s="1"/>
    </row>
    <row r="13633">
      <c r="B13633" s="36"/>
      <c r="C13633" s="36"/>
      <c r="E13633" s="1"/>
      <c r="F13633" s="1"/>
      <c r="G13633" s="1"/>
    </row>
    <row r="13634">
      <c r="B13634" s="36"/>
      <c r="C13634" s="36"/>
      <c r="E13634" s="1"/>
      <c r="F13634" s="1"/>
      <c r="G13634" s="1"/>
    </row>
    <row r="13635">
      <c r="B13635" s="36"/>
      <c r="C13635" s="36"/>
      <c r="E13635" s="1"/>
      <c r="F13635" s="1"/>
      <c r="G13635" s="1"/>
    </row>
    <row r="13636">
      <c r="B13636" s="36"/>
      <c r="C13636" s="36"/>
      <c r="E13636" s="1"/>
      <c r="F13636" s="1"/>
      <c r="G13636" s="1"/>
    </row>
    <row r="13637">
      <c r="B13637" s="36"/>
      <c r="C13637" s="36"/>
      <c r="E13637" s="1"/>
      <c r="F13637" s="1"/>
      <c r="G13637" s="1"/>
    </row>
    <row r="13638">
      <c r="B13638" s="36"/>
      <c r="C13638" s="36"/>
      <c r="E13638" s="1"/>
      <c r="F13638" s="1"/>
      <c r="G13638" s="1"/>
    </row>
    <row r="13639">
      <c r="B13639" s="36"/>
      <c r="C13639" s="36"/>
      <c r="E13639" s="1"/>
      <c r="F13639" s="1"/>
      <c r="G13639" s="1"/>
    </row>
    <row r="13640">
      <c r="B13640" s="36"/>
      <c r="C13640" s="36"/>
      <c r="E13640" s="1"/>
      <c r="F13640" s="1"/>
      <c r="G13640" s="1"/>
    </row>
    <row r="13641">
      <c r="B13641" s="36"/>
      <c r="C13641" s="36"/>
      <c r="E13641" s="1"/>
      <c r="F13641" s="1"/>
      <c r="G13641" s="1"/>
    </row>
    <row r="13642">
      <c r="B13642" s="36"/>
      <c r="C13642" s="36"/>
      <c r="E13642" s="1"/>
      <c r="F13642" s="1"/>
      <c r="G13642" s="1"/>
    </row>
    <row r="13643">
      <c r="B13643" s="36"/>
      <c r="C13643" s="36"/>
      <c r="E13643" s="1"/>
      <c r="F13643" s="1"/>
      <c r="G13643" s="1"/>
    </row>
    <row r="13644">
      <c r="B13644" s="36"/>
      <c r="C13644" s="36"/>
      <c r="E13644" s="1"/>
      <c r="F13644" s="1"/>
      <c r="G13644" s="1"/>
    </row>
    <row r="13645">
      <c r="B13645" s="36"/>
      <c r="C13645" s="36"/>
      <c r="E13645" s="1"/>
      <c r="F13645" s="1"/>
      <c r="G13645" s="1"/>
    </row>
    <row r="13646">
      <c r="B13646" s="36"/>
      <c r="C13646" s="36"/>
      <c r="E13646" s="1"/>
      <c r="F13646" s="1"/>
      <c r="G13646" s="1"/>
    </row>
    <row r="13647">
      <c r="B13647" s="36"/>
      <c r="C13647" s="36"/>
      <c r="E13647" s="1"/>
      <c r="F13647" s="1"/>
      <c r="G13647" s="1"/>
    </row>
    <row r="13648">
      <c r="B13648" s="36"/>
      <c r="C13648" s="36"/>
      <c r="E13648" s="1"/>
      <c r="F13648" s="1"/>
      <c r="G13648" s="1"/>
    </row>
    <row r="13649">
      <c r="B13649" s="36"/>
      <c r="C13649" s="36"/>
      <c r="E13649" s="1"/>
      <c r="F13649" s="1"/>
      <c r="G13649" s="1"/>
    </row>
    <row r="13650">
      <c r="B13650" s="36"/>
      <c r="C13650" s="36"/>
      <c r="E13650" s="1"/>
      <c r="F13650" s="1"/>
      <c r="G13650" s="1"/>
    </row>
    <row r="13651">
      <c r="B13651" s="36"/>
      <c r="C13651" s="36"/>
      <c r="E13651" s="1"/>
      <c r="F13651" s="1"/>
      <c r="G13651" s="1"/>
    </row>
    <row r="13652">
      <c r="B13652" s="36"/>
      <c r="C13652" s="36"/>
      <c r="E13652" s="1"/>
      <c r="F13652" s="1"/>
      <c r="G13652" s="1"/>
    </row>
    <row r="13653">
      <c r="B13653" s="36"/>
      <c r="C13653" s="36"/>
      <c r="E13653" s="1"/>
      <c r="F13653" s="1"/>
      <c r="G13653" s="1"/>
    </row>
    <row r="13654">
      <c r="B13654" s="36"/>
      <c r="C13654" s="36"/>
      <c r="E13654" s="1"/>
      <c r="F13654" s="1"/>
      <c r="G13654" s="1"/>
    </row>
    <row r="13655">
      <c r="B13655" s="36"/>
      <c r="C13655" s="36"/>
      <c r="E13655" s="1"/>
      <c r="F13655" s="1"/>
      <c r="G13655" s="1"/>
    </row>
    <row r="13656">
      <c r="B13656" s="36"/>
      <c r="C13656" s="36"/>
      <c r="E13656" s="1"/>
      <c r="F13656" s="1"/>
      <c r="G13656" s="1"/>
    </row>
    <row r="13657">
      <c r="B13657" s="36"/>
      <c r="C13657" s="36"/>
      <c r="E13657" s="1"/>
      <c r="F13657" s="1"/>
      <c r="G13657" s="1"/>
    </row>
    <row r="13658">
      <c r="B13658" s="36"/>
      <c r="C13658" s="36"/>
      <c r="E13658" s="1"/>
      <c r="F13658" s="1"/>
      <c r="G13658" s="1"/>
    </row>
    <row r="13659">
      <c r="B13659" s="36"/>
      <c r="C13659" s="36"/>
      <c r="E13659" s="1"/>
      <c r="F13659" s="1"/>
      <c r="G13659" s="1"/>
    </row>
    <row r="13660">
      <c r="B13660" s="36"/>
      <c r="C13660" s="36"/>
      <c r="E13660" s="1"/>
      <c r="F13660" s="1"/>
      <c r="G13660" s="1"/>
    </row>
    <row r="13661">
      <c r="B13661" s="36"/>
      <c r="C13661" s="36"/>
      <c r="E13661" s="1"/>
      <c r="F13661" s="1"/>
      <c r="G13661" s="1"/>
    </row>
    <row r="13662">
      <c r="B13662" s="36"/>
      <c r="C13662" s="36"/>
      <c r="E13662" s="1"/>
      <c r="F13662" s="1"/>
      <c r="G13662" s="1"/>
    </row>
    <row r="13663">
      <c r="B13663" s="36"/>
      <c r="C13663" s="36"/>
      <c r="E13663" s="1"/>
      <c r="F13663" s="1"/>
      <c r="G13663" s="1"/>
    </row>
    <row r="13664">
      <c r="B13664" s="36"/>
      <c r="C13664" s="36"/>
      <c r="E13664" s="1"/>
      <c r="F13664" s="1"/>
      <c r="G13664" s="1"/>
    </row>
    <row r="13665">
      <c r="B13665" s="36"/>
      <c r="C13665" s="36"/>
      <c r="E13665" s="1"/>
      <c r="F13665" s="1"/>
      <c r="G13665" s="1"/>
    </row>
    <row r="13666">
      <c r="B13666" s="36"/>
      <c r="C13666" s="36"/>
      <c r="E13666" s="1"/>
      <c r="F13666" s="1"/>
      <c r="G13666" s="1"/>
    </row>
    <row r="13667">
      <c r="B13667" s="36"/>
      <c r="C13667" s="36"/>
      <c r="E13667" s="1"/>
      <c r="F13667" s="1"/>
      <c r="G13667" s="1"/>
    </row>
    <row r="13668">
      <c r="B13668" s="36"/>
      <c r="C13668" s="36"/>
      <c r="E13668" s="1"/>
      <c r="F13668" s="1"/>
      <c r="G13668" s="1"/>
    </row>
    <row r="13669">
      <c r="B13669" s="36"/>
      <c r="C13669" s="36"/>
      <c r="E13669" s="1"/>
      <c r="F13669" s="1"/>
      <c r="G13669" s="1"/>
    </row>
    <row r="13670">
      <c r="B13670" s="36"/>
      <c r="C13670" s="36"/>
      <c r="E13670" s="1"/>
      <c r="F13670" s="1"/>
      <c r="G13670" s="1"/>
    </row>
    <row r="13671">
      <c r="B13671" s="36"/>
      <c r="C13671" s="36"/>
      <c r="E13671" s="1"/>
      <c r="F13671" s="1"/>
      <c r="G13671" s="1"/>
    </row>
    <row r="13672">
      <c r="B13672" s="36"/>
      <c r="C13672" s="36"/>
      <c r="E13672" s="1"/>
      <c r="F13672" s="1"/>
      <c r="G13672" s="1"/>
    </row>
    <row r="13673">
      <c r="B13673" s="36"/>
      <c r="C13673" s="36"/>
      <c r="E13673" s="1"/>
      <c r="F13673" s="1"/>
      <c r="G13673" s="1"/>
    </row>
    <row r="13674">
      <c r="B13674" s="36"/>
      <c r="C13674" s="36"/>
      <c r="E13674" s="1"/>
      <c r="F13674" s="1"/>
      <c r="G13674" s="1"/>
    </row>
    <row r="13675">
      <c r="B13675" s="36"/>
      <c r="C13675" s="36"/>
      <c r="E13675" s="1"/>
      <c r="F13675" s="1"/>
      <c r="G13675" s="1"/>
    </row>
    <row r="13676">
      <c r="B13676" s="36"/>
      <c r="C13676" s="36"/>
      <c r="E13676" s="1"/>
      <c r="F13676" s="1"/>
      <c r="G13676" s="1"/>
    </row>
    <row r="13677">
      <c r="B13677" s="36"/>
      <c r="C13677" s="36"/>
      <c r="E13677" s="1"/>
      <c r="F13677" s="1"/>
      <c r="G13677" s="1"/>
    </row>
    <row r="13678">
      <c r="B13678" s="36"/>
      <c r="C13678" s="36"/>
      <c r="E13678" s="1"/>
      <c r="F13678" s="1"/>
      <c r="G13678" s="1"/>
    </row>
    <row r="13679">
      <c r="B13679" s="36"/>
      <c r="C13679" s="36"/>
      <c r="E13679" s="1"/>
      <c r="F13679" s="1"/>
      <c r="G13679" s="1"/>
    </row>
    <row r="13680">
      <c r="B13680" s="36"/>
      <c r="C13680" s="36"/>
      <c r="E13680" s="1"/>
      <c r="F13680" s="1"/>
      <c r="G13680" s="1"/>
    </row>
    <row r="13681">
      <c r="B13681" s="36"/>
      <c r="C13681" s="36"/>
      <c r="E13681" s="1"/>
      <c r="F13681" s="1"/>
      <c r="G13681" s="1"/>
    </row>
    <row r="13682">
      <c r="B13682" s="36"/>
      <c r="C13682" s="36"/>
      <c r="E13682" s="1"/>
      <c r="F13682" s="1"/>
      <c r="G13682" s="1"/>
    </row>
    <row r="13683">
      <c r="B13683" s="36"/>
      <c r="C13683" s="36"/>
      <c r="E13683" s="1"/>
      <c r="F13683" s="1"/>
      <c r="G13683" s="1"/>
    </row>
    <row r="13684">
      <c r="B13684" s="36"/>
      <c r="C13684" s="36"/>
      <c r="E13684" s="1"/>
      <c r="F13684" s="1"/>
      <c r="G13684" s="1"/>
    </row>
    <row r="13685">
      <c r="B13685" s="36"/>
      <c r="C13685" s="36"/>
      <c r="E13685" s="1"/>
      <c r="F13685" s="1"/>
      <c r="G13685" s="1"/>
    </row>
    <row r="13686">
      <c r="B13686" s="36"/>
      <c r="C13686" s="36"/>
      <c r="E13686" s="1"/>
      <c r="F13686" s="1"/>
      <c r="G13686" s="1"/>
    </row>
    <row r="13687">
      <c r="B13687" s="36"/>
      <c r="C13687" s="36"/>
      <c r="E13687" s="1"/>
      <c r="F13687" s="1"/>
      <c r="G13687" s="1"/>
    </row>
    <row r="13688">
      <c r="B13688" s="36"/>
      <c r="C13688" s="36"/>
      <c r="E13688" s="1"/>
      <c r="F13688" s="1"/>
      <c r="G13688" s="1"/>
    </row>
    <row r="13689">
      <c r="B13689" s="36"/>
      <c r="C13689" s="36"/>
      <c r="E13689" s="1"/>
      <c r="F13689" s="1"/>
      <c r="G13689" s="1"/>
    </row>
    <row r="13690">
      <c r="B13690" s="36"/>
      <c r="C13690" s="36"/>
      <c r="E13690" s="1"/>
      <c r="F13690" s="1"/>
      <c r="G13690" s="1"/>
    </row>
    <row r="13691">
      <c r="B13691" s="36"/>
      <c r="C13691" s="36"/>
      <c r="E13691" s="1"/>
      <c r="F13691" s="1"/>
      <c r="G13691" s="1"/>
    </row>
    <row r="13692">
      <c r="B13692" s="36"/>
      <c r="C13692" s="36"/>
      <c r="E13692" s="1"/>
      <c r="F13692" s="1"/>
      <c r="G13692" s="1"/>
    </row>
    <row r="13693">
      <c r="B13693" s="36"/>
      <c r="C13693" s="36"/>
      <c r="E13693" s="1"/>
      <c r="F13693" s="1"/>
      <c r="G13693" s="1"/>
    </row>
    <row r="13694">
      <c r="B13694" s="36"/>
      <c r="C13694" s="36"/>
      <c r="E13694" s="1"/>
      <c r="F13694" s="1"/>
      <c r="G13694" s="1"/>
    </row>
    <row r="13695">
      <c r="B13695" s="36"/>
      <c r="C13695" s="36"/>
      <c r="E13695" s="1"/>
      <c r="F13695" s="1"/>
      <c r="G13695" s="1"/>
    </row>
    <row r="13696">
      <c r="B13696" s="36"/>
      <c r="C13696" s="36"/>
      <c r="E13696" s="1"/>
      <c r="F13696" s="1"/>
      <c r="G13696" s="1"/>
    </row>
    <row r="13697">
      <c r="B13697" s="36"/>
      <c r="C13697" s="36"/>
      <c r="E13697" s="1"/>
      <c r="F13697" s="1"/>
      <c r="G13697" s="1"/>
    </row>
    <row r="13698">
      <c r="B13698" s="36"/>
      <c r="C13698" s="36"/>
      <c r="E13698" s="1"/>
      <c r="F13698" s="1"/>
      <c r="G13698" s="1"/>
    </row>
    <row r="13699">
      <c r="B13699" s="36"/>
      <c r="C13699" s="36"/>
      <c r="E13699" s="1"/>
      <c r="F13699" s="1"/>
      <c r="G13699" s="1"/>
    </row>
    <row r="13700">
      <c r="B13700" s="36"/>
      <c r="C13700" s="36"/>
      <c r="E13700" s="1"/>
      <c r="F13700" s="1"/>
      <c r="G13700" s="1"/>
    </row>
    <row r="13701">
      <c r="B13701" s="36"/>
      <c r="C13701" s="36"/>
      <c r="E13701" s="1"/>
      <c r="F13701" s="1"/>
      <c r="G13701" s="1"/>
    </row>
    <row r="13702">
      <c r="B13702" s="36"/>
      <c r="C13702" s="36"/>
      <c r="E13702" s="1"/>
      <c r="F13702" s="1"/>
      <c r="G13702" s="1"/>
    </row>
    <row r="13703">
      <c r="B13703" s="36"/>
      <c r="C13703" s="36"/>
      <c r="E13703" s="1"/>
      <c r="F13703" s="1"/>
      <c r="G13703" s="1"/>
    </row>
    <row r="13704">
      <c r="B13704" s="36"/>
      <c r="C13704" s="36"/>
      <c r="E13704" s="1"/>
      <c r="F13704" s="1"/>
      <c r="G13704" s="1"/>
    </row>
    <row r="13705">
      <c r="B13705" s="36"/>
      <c r="C13705" s="36"/>
      <c r="E13705" s="1"/>
      <c r="F13705" s="1"/>
      <c r="G13705" s="1"/>
    </row>
    <row r="13706">
      <c r="B13706" s="36"/>
      <c r="C13706" s="36"/>
      <c r="E13706" s="1"/>
      <c r="F13706" s="1"/>
      <c r="G13706" s="1"/>
    </row>
    <row r="13707">
      <c r="B13707" s="36"/>
      <c r="C13707" s="36"/>
      <c r="E13707" s="1"/>
      <c r="F13707" s="1"/>
      <c r="G13707" s="1"/>
    </row>
    <row r="13708">
      <c r="B13708" s="36"/>
      <c r="C13708" s="36"/>
      <c r="E13708" s="1"/>
      <c r="F13708" s="1"/>
      <c r="G13708" s="1"/>
    </row>
    <row r="13709">
      <c r="B13709" s="36"/>
      <c r="C13709" s="36"/>
      <c r="E13709" s="1"/>
      <c r="F13709" s="1"/>
      <c r="G13709" s="1"/>
    </row>
    <row r="13710">
      <c r="B13710" s="36"/>
      <c r="C13710" s="36"/>
      <c r="E13710" s="1"/>
      <c r="F13710" s="1"/>
      <c r="G13710" s="1"/>
    </row>
    <row r="13711">
      <c r="B13711" s="36"/>
      <c r="C13711" s="36"/>
      <c r="E13711" s="1"/>
      <c r="F13711" s="1"/>
      <c r="G13711" s="1"/>
    </row>
    <row r="13712">
      <c r="B13712" s="36"/>
      <c r="C13712" s="36"/>
      <c r="E13712" s="1"/>
      <c r="F13712" s="1"/>
      <c r="G13712" s="1"/>
    </row>
    <row r="13713">
      <c r="B13713" s="36"/>
      <c r="C13713" s="36"/>
      <c r="E13713" s="1"/>
      <c r="F13713" s="1"/>
      <c r="G13713" s="1"/>
    </row>
    <row r="13714">
      <c r="B13714" s="36"/>
      <c r="C13714" s="36"/>
      <c r="E13714" s="1"/>
      <c r="F13714" s="1"/>
      <c r="G13714" s="1"/>
    </row>
    <row r="13715">
      <c r="B13715" s="36"/>
      <c r="C13715" s="36"/>
      <c r="E13715" s="1"/>
      <c r="F13715" s="1"/>
      <c r="G13715" s="1"/>
    </row>
    <row r="13716">
      <c r="B13716" s="36"/>
      <c r="C13716" s="36"/>
      <c r="E13716" s="1"/>
      <c r="F13716" s="1"/>
      <c r="G13716" s="1"/>
    </row>
    <row r="13717">
      <c r="B13717" s="36"/>
      <c r="C13717" s="36"/>
      <c r="E13717" s="1"/>
      <c r="F13717" s="1"/>
      <c r="G13717" s="1"/>
    </row>
    <row r="13718">
      <c r="B13718" s="36"/>
      <c r="C13718" s="36"/>
      <c r="E13718" s="1"/>
      <c r="F13718" s="1"/>
      <c r="G13718" s="1"/>
    </row>
    <row r="13719">
      <c r="B13719" s="36"/>
      <c r="C13719" s="36"/>
      <c r="E13719" s="1"/>
      <c r="F13719" s="1"/>
      <c r="G13719" s="1"/>
    </row>
    <row r="13720">
      <c r="B13720" s="36"/>
      <c r="C13720" s="36"/>
      <c r="E13720" s="1"/>
      <c r="F13720" s="1"/>
      <c r="G13720" s="1"/>
    </row>
    <row r="13721">
      <c r="B13721" s="36"/>
      <c r="C13721" s="36"/>
      <c r="E13721" s="1"/>
      <c r="F13721" s="1"/>
      <c r="G13721" s="1"/>
    </row>
    <row r="13722">
      <c r="B13722" s="36"/>
      <c r="C13722" s="36"/>
      <c r="E13722" s="1"/>
      <c r="F13722" s="1"/>
      <c r="G13722" s="1"/>
    </row>
    <row r="13723">
      <c r="B13723" s="36"/>
      <c r="C13723" s="36"/>
      <c r="E13723" s="1"/>
      <c r="F13723" s="1"/>
      <c r="G13723" s="1"/>
    </row>
    <row r="13724">
      <c r="B13724" s="36"/>
      <c r="C13724" s="36"/>
      <c r="E13724" s="1"/>
      <c r="F13724" s="1"/>
      <c r="G13724" s="1"/>
    </row>
    <row r="13725">
      <c r="B13725" s="36"/>
      <c r="C13725" s="36"/>
      <c r="E13725" s="1"/>
      <c r="F13725" s="1"/>
      <c r="G13725" s="1"/>
    </row>
    <row r="13726">
      <c r="B13726" s="36"/>
      <c r="C13726" s="36"/>
      <c r="E13726" s="1"/>
      <c r="F13726" s="1"/>
      <c r="G13726" s="1"/>
    </row>
    <row r="13727">
      <c r="B13727" s="36"/>
      <c r="C13727" s="36"/>
      <c r="E13727" s="1"/>
      <c r="F13727" s="1"/>
      <c r="G13727" s="1"/>
    </row>
    <row r="13728">
      <c r="B13728" s="36"/>
      <c r="C13728" s="36"/>
      <c r="E13728" s="1"/>
      <c r="F13728" s="1"/>
      <c r="G13728" s="1"/>
    </row>
    <row r="13729">
      <c r="B13729" s="36"/>
      <c r="C13729" s="36"/>
      <c r="E13729" s="1"/>
      <c r="F13729" s="1"/>
      <c r="G13729" s="1"/>
    </row>
    <row r="13730">
      <c r="B13730" s="36"/>
      <c r="C13730" s="36"/>
      <c r="E13730" s="1"/>
      <c r="F13730" s="1"/>
      <c r="G13730" s="1"/>
    </row>
    <row r="13731">
      <c r="B13731" s="36"/>
      <c r="C13731" s="36"/>
      <c r="E13731" s="1"/>
      <c r="F13731" s="1"/>
      <c r="G13731" s="1"/>
    </row>
    <row r="13732">
      <c r="B13732" s="36"/>
      <c r="C13732" s="36"/>
      <c r="E13732" s="1"/>
      <c r="F13732" s="1"/>
      <c r="G13732" s="1"/>
    </row>
    <row r="13733">
      <c r="B13733" s="36"/>
      <c r="C13733" s="36"/>
      <c r="E13733" s="1"/>
      <c r="F13733" s="1"/>
      <c r="G13733" s="1"/>
    </row>
    <row r="13734">
      <c r="B13734" s="36"/>
      <c r="C13734" s="36"/>
      <c r="E13734" s="1"/>
      <c r="F13734" s="1"/>
      <c r="G13734" s="1"/>
    </row>
    <row r="13735">
      <c r="B13735" s="36"/>
      <c r="C13735" s="36"/>
      <c r="E13735" s="1"/>
      <c r="F13735" s="1"/>
      <c r="G13735" s="1"/>
    </row>
    <row r="13736">
      <c r="B13736" s="36"/>
      <c r="C13736" s="36"/>
      <c r="E13736" s="1"/>
      <c r="F13736" s="1"/>
      <c r="G13736" s="1"/>
    </row>
    <row r="13737">
      <c r="B13737" s="36"/>
      <c r="C13737" s="36"/>
      <c r="E13737" s="1"/>
      <c r="F13737" s="1"/>
      <c r="G13737" s="1"/>
    </row>
    <row r="13738">
      <c r="B13738" s="36"/>
      <c r="C13738" s="36"/>
      <c r="E13738" s="1"/>
      <c r="F13738" s="1"/>
      <c r="G13738" s="1"/>
    </row>
    <row r="13739">
      <c r="B13739" s="36"/>
      <c r="C13739" s="36"/>
      <c r="E13739" s="1"/>
      <c r="F13739" s="1"/>
      <c r="G13739" s="1"/>
    </row>
    <row r="13740">
      <c r="B13740" s="36"/>
      <c r="C13740" s="36"/>
      <c r="E13740" s="1"/>
      <c r="F13740" s="1"/>
      <c r="G13740" s="1"/>
    </row>
    <row r="13741">
      <c r="B13741" s="36"/>
      <c r="C13741" s="36"/>
      <c r="E13741" s="1"/>
      <c r="F13741" s="1"/>
      <c r="G13741" s="1"/>
    </row>
    <row r="13742">
      <c r="B13742" s="36"/>
      <c r="C13742" s="36"/>
      <c r="E13742" s="1"/>
      <c r="F13742" s="1"/>
      <c r="G13742" s="1"/>
    </row>
    <row r="13743">
      <c r="B13743" s="36"/>
      <c r="C13743" s="36"/>
      <c r="E13743" s="1"/>
      <c r="F13743" s="1"/>
      <c r="G13743" s="1"/>
    </row>
    <row r="13744">
      <c r="B13744" s="36"/>
      <c r="C13744" s="36"/>
      <c r="E13744" s="1"/>
      <c r="F13744" s="1"/>
      <c r="G13744" s="1"/>
    </row>
    <row r="13745">
      <c r="B13745" s="36"/>
      <c r="C13745" s="36"/>
      <c r="E13745" s="1"/>
      <c r="F13745" s="1"/>
      <c r="G13745" s="1"/>
    </row>
    <row r="13746">
      <c r="B13746" s="36"/>
      <c r="C13746" s="36"/>
      <c r="E13746" s="1"/>
      <c r="F13746" s="1"/>
      <c r="G13746" s="1"/>
    </row>
    <row r="13747">
      <c r="B13747" s="36"/>
      <c r="C13747" s="36"/>
      <c r="E13747" s="1"/>
      <c r="F13747" s="1"/>
      <c r="G13747" s="1"/>
    </row>
    <row r="13748">
      <c r="B13748" s="36"/>
      <c r="C13748" s="36"/>
      <c r="E13748" s="1"/>
      <c r="F13748" s="1"/>
      <c r="G13748" s="1"/>
    </row>
    <row r="13749">
      <c r="B13749" s="36"/>
      <c r="C13749" s="36"/>
      <c r="E13749" s="1"/>
      <c r="F13749" s="1"/>
      <c r="G13749" s="1"/>
    </row>
    <row r="13750">
      <c r="B13750" s="36"/>
      <c r="C13750" s="36"/>
      <c r="E13750" s="1"/>
      <c r="F13750" s="1"/>
      <c r="G13750" s="1"/>
    </row>
    <row r="13751">
      <c r="B13751" s="36"/>
      <c r="C13751" s="36"/>
      <c r="E13751" s="1"/>
      <c r="F13751" s="1"/>
      <c r="G13751" s="1"/>
    </row>
    <row r="13752">
      <c r="B13752" s="36"/>
      <c r="C13752" s="36"/>
      <c r="E13752" s="1"/>
      <c r="F13752" s="1"/>
      <c r="G13752" s="1"/>
    </row>
    <row r="13753">
      <c r="B13753" s="36"/>
      <c r="C13753" s="36"/>
      <c r="E13753" s="1"/>
      <c r="F13753" s="1"/>
      <c r="G13753" s="1"/>
    </row>
    <row r="13754">
      <c r="B13754" s="36"/>
      <c r="C13754" s="36"/>
      <c r="E13754" s="1"/>
      <c r="F13754" s="1"/>
      <c r="G13754" s="1"/>
    </row>
    <row r="13755">
      <c r="B13755" s="36"/>
      <c r="C13755" s="36"/>
      <c r="E13755" s="1"/>
      <c r="F13755" s="1"/>
      <c r="G13755" s="1"/>
    </row>
    <row r="13756">
      <c r="B13756" s="36"/>
      <c r="C13756" s="36"/>
      <c r="E13756" s="1"/>
      <c r="F13756" s="1"/>
      <c r="G13756" s="1"/>
    </row>
    <row r="13757">
      <c r="B13757" s="36"/>
      <c r="C13757" s="36"/>
      <c r="E13757" s="1"/>
      <c r="F13757" s="1"/>
      <c r="G13757" s="1"/>
    </row>
    <row r="13758">
      <c r="B13758" s="36"/>
      <c r="C13758" s="36"/>
      <c r="E13758" s="1"/>
      <c r="F13758" s="1"/>
      <c r="G13758" s="1"/>
    </row>
    <row r="13759">
      <c r="B13759" s="36"/>
      <c r="C13759" s="36"/>
      <c r="E13759" s="1"/>
      <c r="F13759" s="1"/>
      <c r="G13759" s="1"/>
    </row>
    <row r="13760">
      <c r="B13760" s="36"/>
      <c r="C13760" s="36"/>
      <c r="E13760" s="1"/>
      <c r="F13760" s="1"/>
      <c r="G13760" s="1"/>
    </row>
    <row r="13761">
      <c r="B13761" s="36"/>
      <c r="C13761" s="36"/>
      <c r="E13761" s="1"/>
      <c r="F13761" s="1"/>
      <c r="G13761" s="1"/>
    </row>
    <row r="13762">
      <c r="B13762" s="36"/>
      <c r="C13762" s="36"/>
      <c r="E13762" s="1"/>
      <c r="F13762" s="1"/>
      <c r="G13762" s="1"/>
    </row>
    <row r="13763">
      <c r="B13763" s="36"/>
      <c r="C13763" s="36"/>
      <c r="E13763" s="1"/>
      <c r="F13763" s="1"/>
      <c r="G13763" s="1"/>
    </row>
    <row r="13764">
      <c r="B13764" s="36"/>
      <c r="C13764" s="36"/>
      <c r="E13764" s="1"/>
      <c r="F13764" s="1"/>
      <c r="G13764" s="1"/>
    </row>
    <row r="13765">
      <c r="B13765" s="36"/>
      <c r="C13765" s="36"/>
      <c r="E13765" s="1"/>
      <c r="F13765" s="1"/>
      <c r="G13765" s="1"/>
    </row>
    <row r="13766">
      <c r="B13766" s="36"/>
      <c r="C13766" s="36"/>
      <c r="E13766" s="1"/>
      <c r="F13766" s="1"/>
      <c r="G13766" s="1"/>
    </row>
    <row r="13767">
      <c r="B13767" s="36"/>
      <c r="C13767" s="36"/>
      <c r="E13767" s="1"/>
      <c r="F13767" s="1"/>
      <c r="G13767" s="1"/>
    </row>
    <row r="13768">
      <c r="B13768" s="36"/>
      <c r="C13768" s="36"/>
      <c r="E13768" s="1"/>
      <c r="F13768" s="1"/>
      <c r="G13768" s="1"/>
    </row>
    <row r="13769">
      <c r="B13769" s="36"/>
      <c r="C13769" s="36"/>
      <c r="E13769" s="1"/>
      <c r="F13769" s="1"/>
      <c r="G13769" s="1"/>
    </row>
    <row r="13770">
      <c r="B13770" s="36"/>
      <c r="C13770" s="36"/>
      <c r="E13770" s="1"/>
      <c r="F13770" s="1"/>
      <c r="G13770" s="1"/>
    </row>
    <row r="13771">
      <c r="B13771" s="36"/>
      <c r="C13771" s="36"/>
      <c r="E13771" s="1"/>
      <c r="F13771" s="1"/>
      <c r="G13771" s="1"/>
    </row>
    <row r="13772">
      <c r="B13772" s="36"/>
      <c r="C13772" s="36"/>
      <c r="E13772" s="1"/>
      <c r="F13772" s="1"/>
      <c r="G13772" s="1"/>
    </row>
    <row r="13773">
      <c r="B13773" s="36"/>
      <c r="C13773" s="36"/>
      <c r="E13773" s="1"/>
      <c r="F13773" s="1"/>
      <c r="G13773" s="1"/>
    </row>
    <row r="13774">
      <c r="B13774" s="36"/>
      <c r="C13774" s="36"/>
      <c r="E13774" s="1"/>
      <c r="F13774" s="1"/>
      <c r="G13774" s="1"/>
    </row>
    <row r="13775">
      <c r="B13775" s="36"/>
      <c r="C13775" s="36"/>
      <c r="E13775" s="1"/>
      <c r="F13775" s="1"/>
      <c r="G13775" s="1"/>
    </row>
    <row r="13776">
      <c r="B13776" s="36"/>
      <c r="C13776" s="36"/>
      <c r="E13776" s="1"/>
      <c r="F13776" s="1"/>
      <c r="G13776" s="1"/>
    </row>
    <row r="13777">
      <c r="B13777" s="36"/>
      <c r="C13777" s="36"/>
      <c r="E13777" s="1"/>
      <c r="F13777" s="1"/>
      <c r="G13777" s="1"/>
    </row>
    <row r="13778">
      <c r="B13778" s="36"/>
      <c r="C13778" s="36"/>
      <c r="E13778" s="1"/>
      <c r="F13778" s="1"/>
      <c r="G13778" s="1"/>
    </row>
    <row r="13779">
      <c r="B13779" s="36"/>
      <c r="C13779" s="36"/>
      <c r="E13779" s="1"/>
      <c r="F13779" s="1"/>
      <c r="G13779" s="1"/>
    </row>
    <row r="13780">
      <c r="B13780" s="36"/>
      <c r="C13780" s="36"/>
      <c r="E13780" s="1"/>
      <c r="F13780" s="1"/>
      <c r="G13780" s="1"/>
    </row>
    <row r="13781">
      <c r="B13781" s="36"/>
      <c r="C13781" s="36"/>
      <c r="E13781" s="1"/>
      <c r="F13781" s="1"/>
      <c r="G13781" s="1"/>
    </row>
    <row r="13782">
      <c r="B13782" s="36"/>
      <c r="C13782" s="36"/>
      <c r="E13782" s="1"/>
      <c r="F13782" s="1"/>
      <c r="G13782" s="1"/>
    </row>
    <row r="13783">
      <c r="B13783" s="36"/>
      <c r="C13783" s="36"/>
      <c r="E13783" s="1"/>
      <c r="F13783" s="1"/>
      <c r="G13783" s="1"/>
    </row>
    <row r="13784">
      <c r="B13784" s="36"/>
      <c r="C13784" s="36"/>
      <c r="E13784" s="1"/>
      <c r="F13784" s="1"/>
      <c r="G13784" s="1"/>
    </row>
    <row r="13785">
      <c r="B13785" s="36"/>
      <c r="C13785" s="36"/>
      <c r="E13785" s="1"/>
      <c r="F13785" s="1"/>
      <c r="G13785" s="1"/>
    </row>
    <row r="13786">
      <c r="B13786" s="36"/>
      <c r="C13786" s="36"/>
      <c r="E13786" s="1"/>
      <c r="F13786" s="1"/>
      <c r="G13786" s="1"/>
    </row>
    <row r="13787">
      <c r="B13787" s="36"/>
      <c r="C13787" s="36"/>
      <c r="E13787" s="1"/>
      <c r="F13787" s="1"/>
      <c r="G13787" s="1"/>
    </row>
    <row r="13788">
      <c r="B13788" s="36"/>
      <c r="C13788" s="36"/>
      <c r="E13788" s="1"/>
      <c r="F13788" s="1"/>
      <c r="G13788" s="1"/>
    </row>
    <row r="13789">
      <c r="B13789" s="36"/>
      <c r="C13789" s="36"/>
      <c r="E13789" s="1"/>
      <c r="F13789" s="1"/>
      <c r="G13789" s="1"/>
    </row>
    <row r="13790">
      <c r="B13790" s="36"/>
      <c r="C13790" s="36"/>
      <c r="E13790" s="1"/>
      <c r="F13790" s="1"/>
      <c r="G13790" s="1"/>
    </row>
    <row r="13791">
      <c r="B13791" s="36"/>
      <c r="C13791" s="36"/>
      <c r="E13791" s="1"/>
      <c r="F13791" s="1"/>
      <c r="G13791" s="1"/>
    </row>
    <row r="13792">
      <c r="B13792" s="36"/>
      <c r="C13792" s="36"/>
      <c r="E13792" s="1"/>
      <c r="F13792" s="1"/>
      <c r="G13792" s="1"/>
    </row>
    <row r="13793">
      <c r="B13793" s="36"/>
      <c r="C13793" s="36"/>
      <c r="E13793" s="1"/>
      <c r="F13793" s="1"/>
      <c r="G13793" s="1"/>
    </row>
    <row r="13794">
      <c r="B13794" s="36"/>
      <c r="C13794" s="36"/>
      <c r="E13794" s="1"/>
      <c r="F13794" s="1"/>
      <c r="G13794" s="1"/>
    </row>
    <row r="13795">
      <c r="B13795" s="36"/>
      <c r="C13795" s="36"/>
      <c r="E13795" s="1"/>
      <c r="F13795" s="1"/>
      <c r="G13795" s="1"/>
    </row>
    <row r="13796">
      <c r="B13796" s="36"/>
      <c r="C13796" s="36"/>
      <c r="E13796" s="1"/>
      <c r="F13796" s="1"/>
      <c r="G13796" s="1"/>
    </row>
    <row r="13797">
      <c r="B13797" s="36"/>
      <c r="C13797" s="36"/>
      <c r="E13797" s="1"/>
      <c r="F13797" s="1"/>
      <c r="G13797" s="1"/>
    </row>
    <row r="13798">
      <c r="B13798" s="36"/>
      <c r="C13798" s="36"/>
      <c r="E13798" s="1"/>
      <c r="F13798" s="1"/>
      <c r="G13798" s="1"/>
    </row>
    <row r="13799">
      <c r="B13799" s="36"/>
      <c r="C13799" s="36"/>
      <c r="E13799" s="1"/>
      <c r="F13799" s="1"/>
      <c r="G13799" s="1"/>
    </row>
    <row r="13800">
      <c r="B13800" s="36"/>
      <c r="C13800" s="36"/>
      <c r="E13800" s="1"/>
      <c r="F13800" s="1"/>
      <c r="G13800" s="1"/>
    </row>
    <row r="13801">
      <c r="B13801" s="36"/>
      <c r="C13801" s="36"/>
      <c r="E13801" s="1"/>
      <c r="F13801" s="1"/>
      <c r="G13801" s="1"/>
    </row>
    <row r="13802">
      <c r="B13802" s="36"/>
      <c r="C13802" s="36"/>
      <c r="E13802" s="1"/>
      <c r="F13802" s="1"/>
      <c r="G13802" s="1"/>
    </row>
    <row r="13803">
      <c r="B13803" s="36"/>
      <c r="C13803" s="36"/>
      <c r="E13803" s="1"/>
      <c r="F13803" s="1"/>
      <c r="G13803" s="1"/>
    </row>
    <row r="13804">
      <c r="B13804" s="36"/>
      <c r="C13804" s="36"/>
      <c r="E13804" s="1"/>
      <c r="F13804" s="1"/>
      <c r="G13804" s="1"/>
    </row>
    <row r="13805">
      <c r="B13805" s="36"/>
      <c r="C13805" s="36"/>
      <c r="E13805" s="1"/>
      <c r="F13805" s="1"/>
      <c r="G13805" s="1"/>
    </row>
    <row r="13806">
      <c r="B13806" s="36"/>
      <c r="C13806" s="36"/>
      <c r="E13806" s="1"/>
      <c r="F13806" s="1"/>
      <c r="G13806" s="1"/>
    </row>
    <row r="13807">
      <c r="B13807" s="36"/>
      <c r="C13807" s="36"/>
      <c r="E13807" s="1"/>
      <c r="F13807" s="1"/>
      <c r="G13807" s="1"/>
    </row>
    <row r="13808">
      <c r="B13808" s="36"/>
      <c r="C13808" s="36"/>
      <c r="E13808" s="1"/>
      <c r="F13808" s="1"/>
      <c r="G13808" s="1"/>
    </row>
    <row r="13809">
      <c r="B13809" s="36"/>
      <c r="C13809" s="36"/>
      <c r="E13809" s="1"/>
      <c r="F13809" s="1"/>
      <c r="G13809" s="1"/>
    </row>
    <row r="13810">
      <c r="B13810" s="36"/>
      <c r="C13810" s="36"/>
      <c r="E13810" s="1"/>
      <c r="F13810" s="1"/>
      <c r="G13810" s="1"/>
    </row>
    <row r="13811">
      <c r="B13811" s="36"/>
      <c r="C13811" s="36"/>
      <c r="E13811" s="1"/>
      <c r="F13811" s="1"/>
      <c r="G13811" s="1"/>
    </row>
    <row r="13812">
      <c r="B13812" s="36"/>
      <c r="C13812" s="36"/>
      <c r="E13812" s="1"/>
      <c r="F13812" s="1"/>
      <c r="G13812" s="1"/>
    </row>
    <row r="13813">
      <c r="B13813" s="36"/>
      <c r="C13813" s="36"/>
      <c r="E13813" s="1"/>
      <c r="F13813" s="1"/>
      <c r="G13813" s="1"/>
    </row>
    <row r="13814">
      <c r="B13814" s="36"/>
      <c r="C13814" s="36"/>
      <c r="E13814" s="1"/>
      <c r="F13814" s="1"/>
      <c r="G13814" s="1"/>
    </row>
    <row r="13815">
      <c r="B13815" s="36"/>
      <c r="C13815" s="36"/>
      <c r="E13815" s="1"/>
      <c r="F13815" s="1"/>
      <c r="G13815" s="1"/>
    </row>
    <row r="13816">
      <c r="B13816" s="36"/>
      <c r="C13816" s="36"/>
      <c r="E13816" s="1"/>
      <c r="F13816" s="1"/>
      <c r="G13816" s="1"/>
    </row>
    <row r="13817">
      <c r="B13817" s="36"/>
      <c r="C13817" s="36"/>
      <c r="E13817" s="1"/>
      <c r="F13817" s="1"/>
      <c r="G13817" s="1"/>
    </row>
    <row r="13818">
      <c r="B13818" s="36"/>
      <c r="C13818" s="36"/>
      <c r="E13818" s="1"/>
      <c r="F13818" s="1"/>
      <c r="G13818" s="1"/>
    </row>
    <row r="13819">
      <c r="B13819" s="36"/>
      <c r="C13819" s="36"/>
      <c r="E13819" s="1"/>
      <c r="F13819" s="1"/>
      <c r="G13819" s="1"/>
    </row>
    <row r="13820">
      <c r="B13820" s="36"/>
      <c r="C13820" s="36"/>
      <c r="E13820" s="1"/>
      <c r="F13820" s="1"/>
      <c r="G13820" s="1"/>
    </row>
    <row r="13821">
      <c r="B13821" s="36"/>
      <c r="C13821" s="36"/>
      <c r="E13821" s="1"/>
      <c r="F13821" s="1"/>
      <c r="G13821" s="1"/>
    </row>
    <row r="13822">
      <c r="B13822" s="36"/>
      <c r="C13822" s="36"/>
      <c r="E13822" s="1"/>
      <c r="F13822" s="1"/>
      <c r="G13822" s="1"/>
    </row>
    <row r="13823">
      <c r="B13823" s="36"/>
      <c r="C13823" s="36"/>
      <c r="E13823" s="1"/>
      <c r="F13823" s="1"/>
      <c r="G13823" s="1"/>
    </row>
    <row r="13824">
      <c r="B13824" s="36"/>
      <c r="C13824" s="36"/>
      <c r="E13824" s="1"/>
      <c r="F13824" s="1"/>
      <c r="G13824" s="1"/>
    </row>
    <row r="13825">
      <c r="B13825" s="36"/>
      <c r="C13825" s="36"/>
      <c r="E13825" s="1"/>
      <c r="F13825" s="1"/>
      <c r="G13825" s="1"/>
    </row>
    <row r="13826">
      <c r="B13826" s="36"/>
      <c r="C13826" s="36"/>
      <c r="E13826" s="1"/>
      <c r="F13826" s="1"/>
      <c r="G13826" s="1"/>
    </row>
    <row r="13827">
      <c r="B13827" s="36"/>
      <c r="C13827" s="36"/>
      <c r="E13827" s="1"/>
      <c r="F13827" s="1"/>
      <c r="G13827" s="1"/>
    </row>
    <row r="13828">
      <c r="B13828" s="36"/>
      <c r="C13828" s="36"/>
      <c r="E13828" s="1"/>
      <c r="F13828" s="1"/>
      <c r="G13828" s="1"/>
    </row>
    <row r="13829">
      <c r="B13829" s="36"/>
      <c r="C13829" s="36"/>
      <c r="E13829" s="1"/>
      <c r="F13829" s="1"/>
      <c r="G13829" s="1"/>
    </row>
    <row r="13830">
      <c r="B13830" s="36"/>
      <c r="C13830" s="36"/>
      <c r="E13830" s="1"/>
      <c r="F13830" s="1"/>
      <c r="G13830" s="1"/>
    </row>
    <row r="13831">
      <c r="B13831" s="36"/>
      <c r="C13831" s="36"/>
      <c r="E13831" s="1"/>
      <c r="F13831" s="1"/>
      <c r="G13831" s="1"/>
    </row>
    <row r="13832">
      <c r="B13832" s="36"/>
      <c r="C13832" s="36"/>
      <c r="E13832" s="1"/>
      <c r="F13832" s="1"/>
      <c r="G13832" s="1"/>
    </row>
    <row r="13833">
      <c r="B13833" s="36"/>
      <c r="C13833" s="36"/>
      <c r="E13833" s="1"/>
      <c r="F13833" s="1"/>
      <c r="G13833" s="1"/>
    </row>
    <row r="13834">
      <c r="B13834" s="36"/>
      <c r="C13834" s="36"/>
      <c r="E13834" s="1"/>
      <c r="F13834" s="1"/>
      <c r="G13834" s="1"/>
    </row>
    <row r="13835">
      <c r="B13835" s="36"/>
      <c r="C13835" s="36"/>
      <c r="E13835" s="1"/>
      <c r="F13835" s="1"/>
      <c r="G13835" s="1"/>
    </row>
    <row r="13836">
      <c r="B13836" s="36"/>
      <c r="C13836" s="36"/>
      <c r="E13836" s="1"/>
      <c r="F13836" s="1"/>
      <c r="G13836" s="1"/>
    </row>
    <row r="13837">
      <c r="B13837" s="36"/>
      <c r="C13837" s="36"/>
      <c r="E13837" s="1"/>
      <c r="F13837" s="1"/>
      <c r="G13837" s="1"/>
    </row>
    <row r="13838">
      <c r="B13838" s="36"/>
      <c r="C13838" s="36"/>
      <c r="E13838" s="1"/>
      <c r="F13838" s="1"/>
      <c r="G13838" s="1"/>
    </row>
    <row r="13839">
      <c r="B13839" s="36"/>
      <c r="C13839" s="36"/>
      <c r="E13839" s="1"/>
      <c r="F13839" s="1"/>
      <c r="G13839" s="1"/>
    </row>
    <row r="13840">
      <c r="B13840" s="36"/>
      <c r="C13840" s="36"/>
      <c r="E13840" s="1"/>
      <c r="F13840" s="1"/>
      <c r="G13840" s="1"/>
    </row>
    <row r="13841">
      <c r="B13841" s="36"/>
      <c r="C13841" s="36"/>
      <c r="E13841" s="1"/>
      <c r="F13841" s="1"/>
      <c r="G13841" s="1"/>
    </row>
    <row r="13842">
      <c r="B13842" s="36"/>
      <c r="C13842" s="36"/>
      <c r="E13842" s="1"/>
      <c r="F13842" s="1"/>
      <c r="G13842" s="1"/>
    </row>
    <row r="13843">
      <c r="B13843" s="36"/>
      <c r="C13843" s="36"/>
      <c r="E13843" s="1"/>
      <c r="F13843" s="1"/>
      <c r="G13843" s="1"/>
    </row>
    <row r="13844">
      <c r="B13844" s="36"/>
      <c r="C13844" s="36"/>
      <c r="E13844" s="1"/>
      <c r="F13844" s="1"/>
      <c r="G13844" s="1"/>
    </row>
    <row r="13845">
      <c r="B13845" s="36"/>
      <c r="C13845" s="36"/>
      <c r="E13845" s="1"/>
      <c r="F13845" s="1"/>
      <c r="G13845" s="1"/>
    </row>
    <row r="13846">
      <c r="B13846" s="36"/>
      <c r="C13846" s="36"/>
      <c r="E13846" s="1"/>
      <c r="F13846" s="1"/>
      <c r="G13846" s="1"/>
    </row>
    <row r="13847">
      <c r="B13847" s="36"/>
      <c r="C13847" s="36"/>
      <c r="E13847" s="1"/>
      <c r="F13847" s="1"/>
      <c r="G13847" s="1"/>
    </row>
    <row r="13848">
      <c r="B13848" s="36"/>
      <c r="C13848" s="36"/>
      <c r="E13848" s="1"/>
      <c r="F13848" s="1"/>
      <c r="G13848" s="1"/>
    </row>
    <row r="13849">
      <c r="B13849" s="36"/>
      <c r="C13849" s="36"/>
      <c r="E13849" s="1"/>
      <c r="F13849" s="1"/>
      <c r="G13849" s="1"/>
    </row>
    <row r="13850">
      <c r="B13850" s="36"/>
      <c r="C13850" s="36"/>
      <c r="E13850" s="1"/>
      <c r="F13850" s="1"/>
      <c r="G13850" s="1"/>
    </row>
    <row r="13851">
      <c r="B13851" s="36"/>
      <c r="C13851" s="36"/>
      <c r="E13851" s="1"/>
      <c r="F13851" s="1"/>
      <c r="G13851" s="1"/>
    </row>
    <row r="13852">
      <c r="B13852" s="36"/>
      <c r="C13852" s="36"/>
      <c r="E13852" s="1"/>
      <c r="F13852" s="1"/>
      <c r="G13852" s="1"/>
    </row>
    <row r="13853">
      <c r="B13853" s="36"/>
      <c r="C13853" s="36"/>
      <c r="E13853" s="1"/>
      <c r="F13853" s="1"/>
      <c r="G13853" s="1"/>
    </row>
    <row r="13854">
      <c r="B13854" s="36"/>
      <c r="C13854" s="36"/>
      <c r="E13854" s="1"/>
      <c r="F13854" s="1"/>
      <c r="G13854" s="1"/>
    </row>
    <row r="13855">
      <c r="B13855" s="36"/>
      <c r="C13855" s="36"/>
      <c r="E13855" s="1"/>
      <c r="F13855" s="1"/>
      <c r="G13855" s="1"/>
    </row>
    <row r="13856">
      <c r="B13856" s="36"/>
      <c r="C13856" s="36"/>
      <c r="E13856" s="1"/>
      <c r="F13856" s="1"/>
      <c r="G13856" s="1"/>
    </row>
    <row r="13857">
      <c r="B13857" s="36"/>
      <c r="C13857" s="36"/>
      <c r="E13857" s="1"/>
      <c r="F13857" s="1"/>
      <c r="G13857" s="1"/>
    </row>
    <row r="13858">
      <c r="B13858" s="36"/>
      <c r="C13858" s="36"/>
      <c r="E13858" s="1"/>
      <c r="F13858" s="1"/>
      <c r="G13858" s="1"/>
    </row>
    <row r="13859">
      <c r="B13859" s="36"/>
      <c r="C13859" s="36"/>
      <c r="E13859" s="1"/>
      <c r="F13859" s="1"/>
      <c r="G13859" s="1"/>
    </row>
    <row r="13860">
      <c r="B13860" s="36"/>
      <c r="C13860" s="36"/>
      <c r="E13860" s="1"/>
      <c r="F13860" s="1"/>
      <c r="G13860" s="1"/>
    </row>
    <row r="13861">
      <c r="B13861" s="36"/>
      <c r="C13861" s="36"/>
      <c r="E13861" s="1"/>
      <c r="F13861" s="1"/>
      <c r="G13861" s="1"/>
    </row>
    <row r="13862">
      <c r="B13862" s="36"/>
      <c r="C13862" s="36"/>
      <c r="E13862" s="1"/>
      <c r="F13862" s="1"/>
      <c r="G13862" s="1"/>
    </row>
    <row r="13863">
      <c r="B13863" s="36"/>
      <c r="C13863" s="36"/>
      <c r="E13863" s="1"/>
      <c r="F13863" s="1"/>
      <c r="G13863" s="1"/>
    </row>
    <row r="13864">
      <c r="B13864" s="36"/>
      <c r="C13864" s="36"/>
      <c r="E13864" s="1"/>
      <c r="F13864" s="1"/>
      <c r="G13864" s="1"/>
    </row>
    <row r="13865">
      <c r="B13865" s="36"/>
      <c r="C13865" s="36"/>
      <c r="E13865" s="1"/>
      <c r="F13865" s="1"/>
      <c r="G13865" s="1"/>
    </row>
    <row r="13866">
      <c r="B13866" s="36"/>
      <c r="C13866" s="36"/>
      <c r="E13866" s="1"/>
      <c r="F13866" s="1"/>
      <c r="G13866" s="1"/>
    </row>
    <row r="13867">
      <c r="B13867" s="36"/>
      <c r="C13867" s="36"/>
      <c r="E13867" s="1"/>
      <c r="F13867" s="1"/>
      <c r="G13867" s="1"/>
    </row>
    <row r="13868">
      <c r="B13868" s="36"/>
      <c r="C13868" s="36"/>
      <c r="E13868" s="1"/>
      <c r="F13868" s="1"/>
      <c r="G13868" s="1"/>
    </row>
    <row r="13869">
      <c r="B13869" s="36"/>
      <c r="C13869" s="36"/>
      <c r="E13869" s="1"/>
      <c r="F13869" s="1"/>
      <c r="G13869" s="1"/>
    </row>
    <row r="13870">
      <c r="B13870" s="36"/>
      <c r="C13870" s="36"/>
      <c r="E13870" s="1"/>
      <c r="F13870" s="1"/>
      <c r="G13870" s="1"/>
    </row>
    <row r="13871">
      <c r="B13871" s="36"/>
      <c r="C13871" s="36"/>
      <c r="E13871" s="1"/>
      <c r="F13871" s="1"/>
      <c r="G13871" s="1"/>
    </row>
    <row r="13872">
      <c r="B13872" s="36"/>
      <c r="C13872" s="36"/>
      <c r="E13872" s="1"/>
      <c r="F13872" s="1"/>
      <c r="G13872" s="1"/>
    </row>
    <row r="13873">
      <c r="B13873" s="36"/>
      <c r="C13873" s="36"/>
      <c r="E13873" s="1"/>
      <c r="F13873" s="1"/>
      <c r="G13873" s="1"/>
    </row>
    <row r="13874">
      <c r="B13874" s="36"/>
      <c r="C13874" s="36"/>
      <c r="E13874" s="1"/>
      <c r="F13874" s="1"/>
      <c r="G13874" s="1"/>
    </row>
    <row r="13875">
      <c r="B13875" s="36"/>
      <c r="C13875" s="36"/>
      <c r="E13875" s="1"/>
      <c r="F13875" s="1"/>
      <c r="G13875" s="1"/>
    </row>
    <row r="13876">
      <c r="B13876" s="36"/>
      <c r="C13876" s="36"/>
      <c r="E13876" s="1"/>
      <c r="F13876" s="1"/>
      <c r="G13876" s="1"/>
    </row>
    <row r="13877">
      <c r="B13877" s="36"/>
      <c r="C13877" s="36"/>
      <c r="E13877" s="1"/>
      <c r="F13877" s="1"/>
      <c r="G13877" s="1"/>
    </row>
    <row r="13878">
      <c r="B13878" s="36"/>
      <c r="C13878" s="36"/>
      <c r="E13878" s="1"/>
      <c r="F13878" s="1"/>
      <c r="G13878" s="1"/>
    </row>
    <row r="13879">
      <c r="B13879" s="36"/>
      <c r="C13879" s="36"/>
      <c r="E13879" s="1"/>
      <c r="F13879" s="1"/>
      <c r="G13879" s="1"/>
    </row>
    <row r="13880">
      <c r="B13880" s="36"/>
      <c r="C13880" s="36"/>
      <c r="E13880" s="1"/>
      <c r="F13880" s="1"/>
      <c r="G13880" s="1"/>
    </row>
    <row r="13881">
      <c r="B13881" s="36"/>
      <c r="C13881" s="36"/>
      <c r="E13881" s="1"/>
      <c r="F13881" s="1"/>
      <c r="G13881" s="1"/>
    </row>
    <row r="13882">
      <c r="B13882" s="36"/>
      <c r="C13882" s="36"/>
      <c r="E13882" s="1"/>
      <c r="F13882" s="1"/>
      <c r="G13882" s="1"/>
    </row>
    <row r="13883">
      <c r="B13883" s="36"/>
      <c r="C13883" s="36"/>
      <c r="E13883" s="1"/>
      <c r="F13883" s="1"/>
      <c r="G13883" s="1"/>
    </row>
    <row r="13884">
      <c r="B13884" s="36"/>
      <c r="C13884" s="36"/>
      <c r="E13884" s="1"/>
      <c r="F13884" s="1"/>
      <c r="G13884" s="1"/>
    </row>
    <row r="13885">
      <c r="B13885" s="36"/>
      <c r="C13885" s="36"/>
      <c r="E13885" s="1"/>
      <c r="F13885" s="1"/>
      <c r="G13885" s="1"/>
    </row>
    <row r="13886">
      <c r="B13886" s="36"/>
      <c r="C13886" s="36"/>
      <c r="E13886" s="1"/>
      <c r="F13886" s="1"/>
      <c r="G13886" s="1"/>
    </row>
    <row r="13887">
      <c r="B13887" s="36"/>
      <c r="C13887" s="36"/>
      <c r="E13887" s="1"/>
      <c r="F13887" s="1"/>
      <c r="G13887" s="1"/>
    </row>
    <row r="13888">
      <c r="B13888" s="36"/>
      <c r="C13888" s="36"/>
      <c r="E13888" s="1"/>
      <c r="F13888" s="1"/>
      <c r="G13888" s="1"/>
    </row>
    <row r="13889">
      <c r="B13889" s="36"/>
      <c r="C13889" s="36"/>
      <c r="E13889" s="1"/>
      <c r="F13889" s="1"/>
      <c r="G13889" s="1"/>
    </row>
    <row r="13890">
      <c r="B13890" s="36"/>
      <c r="C13890" s="36"/>
      <c r="E13890" s="1"/>
      <c r="F13890" s="1"/>
      <c r="G13890" s="1"/>
    </row>
    <row r="13891">
      <c r="B13891" s="36"/>
      <c r="C13891" s="36"/>
      <c r="E13891" s="1"/>
      <c r="F13891" s="1"/>
      <c r="G13891" s="1"/>
    </row>
    <row r="13892">
      <c r="B13892" s="36"/>
      <c r="C13892" s="36"/>
      <c r="E13892" s="1"/>
      <c r="F13892" s="1"/>
      <c r="G13892" s="1"/>
    </row>
    <row r="13893">
      <c r="B13893" s="36"/>
      <c r="C13893" s="36"/>
      <c r="E13893" s="1"/>
      <c r="F13893" s="1"/>
      <c r="G13893" s="1"/>
    </row>
    <row r="13894">
      <c r="B13894" s="36"/>
      <c r="C13894" s="36"/>
      <c r="E13894" s="1"/>
      <c r="F13894" s="1"/>
      <c r="G13894" s="1"/>
    </row>
    <row r="13895">
      <c r="B13895" s="36"/>
      <c r="C13895" s="36"/>
      <c r="E13895" s="1"/>
      <c r="F13895" s="1"/>
      <c r="G13895" s="1"/>
    </row>
    <row r="13896">
      <c r="B13896" s="36"/>
      <c r="C13896" s="36"/>
      <c r="E13896" s="1"/>
      <c r="F13896" s="1"/>
      <c r="G13896" s="1"/>
    </row>
    <row r="13897">
      <c r="B13897" s="36"/>
      <c r="C13897" s="36"/>
      <c r="E13897" s="1"/>
      <c r="F13897" s="1"/>
      <c r="G13897" s="1"/>
    </row>
    <row r="13898">
      <c r="B13898" s="36"/>
      <c r="C13898" s="36"/>
      <c r="E13898" s="1"/>
      <c r="F13898" s="1"/>
      <c r="G13898" s="1"/>
    </row>
    <row r="13899">
      <c r="B13899" s="36"/>
      <c r="C13899" s="36"/>
      <c r="E13899" s="1"/>
      <c r="F13899" s="1"/>
      <c r="G13899" s="1"/>
    </row>
    <row r="13900">
      <c r="B13900" s="36"/>
      <c r="C13900" s="36"/>
      <c r="E13900" s="1"/>
      <c r="F13900" s="1"/>
      <c r="G13900" s="1"/>
    </row>
    <row r="13901">
      <c r="B13901" s="36"/>
      <c r="C13901" s="36"/>
      <c r="E13901" s="1"/>
      <c r="F13901" s="1"/>
      <c r="G13901" s="1"/>
    </row>
    <row r="13902">
      <c r="B13902" s="36"/>
      <c r="C13902" s="36"/>
      <c r="E13902" s="1"/>
      <c r="F13902" s="1"/>
      <c r="G13902" s="1"/>
    </row>
    <row r="13903">
      <c r="B13903" s="36"/>
      <c r="C13903" s="36"/>
      <c r="E13903" s="1"/>
      <c r="F13903" s="1"/>
      <c r="G13903" s="1"/>
    </row>
    <row r="13904">
      <c r="B13904" s="36"/>
      <c r="C13904" s="36"/>
      <c r="E13904" s="1"/>
      <c r="F13904" s="1"/>
      <c r="G13904" s="1"/>
    </row>
    <row r="13905">
      <c r="B13905" s="36"/>
      <c r="C13905" s="36"/>
      <c r="E13905" s="1"/>
      <c r="F13905" s="1"/>
      <c r="G13905" s="1"/>
    </row>
    <row r="13906">
      <c r="B13906" s="36"/>
      <c r="C13906" s="36"/>
      <c r="E13906" s="1"/>
      <c r="F13906" s="1"/>
      <c r="G13906" s="1"/>
    </row>
    <row r="13907">
      <c r="B13907" s="36"/>
      <c r="C13907" s="36"/>
      <c r="E13907" s="1"/>
      <c r="F13907" s="1"/>
      <c r="G13907" s="1"/>
    </row>
    <row r="13908">
      <c r="B13908" s="36"/>
      <c r="C13908" s="36"/>
      <c r="E13908" s="1"/>
      <c r="F13908" s="1"/>
      <c r="G13908" s="1"/>
    </row>
    <row r="13909">
      <c r="B13909" s="36"/>
      <c r="C13909" s="36"/>
      <c r="E13909" s="1"/>
      <c r="F13909" s="1"/>
      <c r="G13909" s="1"/>
    </row>
    <row r="13910">
      <c r="B13910" s="36"/>
      <c r="C13910" s="36"/>
      <c r="E13910" s="1"/>
      <c r="F13910" s="1"/>
      <c r="G13910" s="1"/>
    </row>
    <row r="13911">
      <c r="B13911" s="36"/>
      <c r="C13911" s="36"/>
      <c r="E13911" s="1"/>
      <c r="F13911" s="1"/>
      <c r="G13911" s="1"/>
    </row>
    <row r="13912">
      <c r="B13912" s="36"/>
      <c r="C13912" s="36"/>
      <c r="E13912" s="1"/>
      <c r="F13912" s="1"/>
      <c r="G13912" s="1"/>
    </row>
    <row r="13913">
      <c r="B13913" s="36"/>
      <c r="C13913" s="36"/>
      <c r="E13913" s="1"/>
      <c r="F13913" s="1"/>
      <c r="G13913" s="1"/>
    </row>
    <row r="13914">
      <c r="B13914" s="36"/>
      <c r="C13914" s="36"/>
      <c r="E13914" s="1"/>
      <c r="F13914" s="1"/>
      <c r="G13914" s="1"/>
    </row>
    <row r="13915">
      <c r="B13915" s="36"/>
      <c r="C13915" s="36"/>
      <c r="E13915" s="1"/>
      <c r="F13915" s="1"/>
      <c r="G13915" s="1"/>
    </row>
    <row r="13916">
      <c r="B13916" s="36"/>
      <c r="C13916" s="36"/>
      <c r="E13916" s="1"/>
      <c r="F13916" s="1"/>
      <c r="G13916" s="1"/>
    </row>
    <row r="13917">
      <c r="B13917" s="36"/>
      <c r="C13917" s="36"/>
      <c r="E13917" s="1"/>
      <c r="F13917" s="1"/>
      <c r="G13917" s="1"/>
    </row>
    <row r="13918">
      <c r="B13918" s="36"/>
      <c r="C13918" s="36"/>
      <c r="E13918" s="1"/>
      <c r="F13918" s="1"/>
      <c r="G13918" s="1"/>
    </row>
    <row r="13919">
      <c r="B13919" s="36"/>
      <c r="C13919" s="36"/>
      <c r="E13919" s="1"/>
      <c r="F13919" s="1"/>
      <c r="G13919" s="1"/>
    </row>
    <row r="13920">
      <c r="B13920" s="36"/>
      <c r="C13920" s="36"/>
      <c r="E13920" s="1"/>
      <c r="F13920" s="1"/>
      <c r="G13920" s="1"/>
    </row>
    <row r="13921">
      <c r="B13921" s="36"/>
      <c r="C13921" s="36"/>
      <c r="E13921" s="1"/>
      <c r="F13921" s="1"/>
      <c r="G13921" s="1"/>
    </row>
    <row r="13922">
      <c r="B13922" s="36"/>
      <c r="C13922" s="36"/>
      <c r="E13922" s="1"/>
      <c r="F13922" s="1"/>
      <c r="G13922" s="1"/>
    </row>
    <row r="13923">
      <c r="B13923" s="36"/>
      <c r="C13923" s="36"/>
      <c r="E13923" s="1"/>
      <c r="F13923" s="1"/>
      <c r="G13923" s="1"/>
    </row>
    <row r="13924">
      <c r="B13924" s="36"/>
      <c r="C13924" s="36"/>
      <c r="E13924" s="1"/>
      <c r="F13924" s="1"/>
      <c r="G13924" s="1"/>
    </row>
    <row r="13925">
      <c r="B13925" s="36"/>
      <c r="C13925" s="36"/>
      <c r="E13925" s="1"/>
      <c r="F13925" s="1"/>
      <c r="G13925" s="1"/>
    </row>
    <row r="13926">
      <c r="B13926" s="36"/>
      <c r="C13926" s="36"/>
      <c r="E13926" s="1"/>
      <c r="F13926" s="1"/>
      <c r="G13926" s="1"/>
    </row>
    <row r="13927">
      <c r="B13927" s="36"/>
      <c r="C13927" s="36"/>
      <c r="E13927" s="1"/>
      <c r="F13927" s="1"/>
      <c r="G13927" s="1"/>
    </row>
    <row r="13928">
      <c r="B13928" s="36"/>
      <c r="C13928" s="36"/>
      <c r="E13928" s="1"/>
      <c r="F13928" s="1"/>
      <c r="G13928" s="1"/>
    </row>
    <row r="13929">
      <c r="B13929" s="36"/>
      <c r="C13929" s="36"/>
      <c r="E13929" s="1"/>
      <c r="F13929" s="1"/>
      <c r="G13929" s="1"/>
    </row>
    <row r="13930">
      <c r="B13930" s="36"/>
      <c r="C13930" s="36"/>
      <c r="E13930" s="1"/>
      <c r="F13930" s="1"/>
      <c r="G13930" s="1"/>
    </row>
    <row r="13931">
      <c r="B13931" s="36"/>
      <c r="C13931" s="36"/>
      <c r="E13931" s="1"/>
      <c r="F13931" s="1"/>
      <c r="G13931" s="1"/>
    </row>
    <row r="13932">
      <c r="B13932" s="36"/>
      <c r="C13932" s="36"/>
      <c r="E13932" s="1"/>
      <c r="F13932" s="1"/>
      <c r="G13932" s="1"/>
    </row>
    <row r="13933">
      <c r="B13933" s="36"/>
      <c r="C13933" s="36"/>
      <c r="E13933" s="1"/>
      <c r="F13933" s="1"/>
      <c r="G13933" s="1"/>
    </row>
    <row r="13934">
      <c r="B13934" s="36"/>
      <c r="C13934" s="36"/>
      <c r="E13934" s="1"/>
      <c r="F13934" s="1"/>
      <c r="G13934" s="1"/>
    </row>
    <row r="13935">
      <c r="B13935" s="36"/>
      <c r="C13935" s="36"/>
      <c r="E13935" s="1"/>
      <c r="F13935" s="1"/>
      <c r="G13935" s="1"/>
    </row>
    <row r="13936">
      <c r="B13936" s="36"/>
      <c r="C13936" s="36"/>
      <c r="E13936" s="1"/>
      <c r="F13936" s="1"/>
      <c r="G13936" s="1"/>
    </row>
    <row r="13937">
      <c r="B13937" s="36"/>
      <c r="C13937" s="36"/>
      <c r="E13937" s="1"/>
      <c r="F13937" s="1"/>
      <c r="G13937" s="1"/>
    </row>
    <row r="13938">
      <c r="B13938" s="36"/>
      <c r="C13938" s="36"/>
      <c r="E13938" s="1"/>
      <c r="F13938" s="1"/>
      <c r="G13938" s="1"/>
    </row>
    <row r="13939">
      <c r="B13939" s="36"/>
      <c r="C13939" s="36"/>
      <c r="E13939" s="1"/>
      <c r="F13939" s="1"/>
      <c r="G13939" s="1"/>
    </row>
    <row r="13940">
      <c r="B13940" s="36"/>
      <c r="C13940" s="36"/>
      <c r="E13940" s="1"/>
      <c r="F13940" s="1"/>
      <c r="G13940" s="1"/>
    </row>
    <row r="13941">
      <c r="B13941" s="36"/>
      <c r="C13941" s="36"/>
      <c r="E13941" s="1"/>
      <c r="F13941" s="1"/>
      <c r="G13941" s="1"/>
    </row>
    <row r="13942">
      <c r="B13942" s="36"/>
      <c r="C13942" s="36"/>
      <c r="E13942" s="1"/>
      <c r="F13942" s="1"/>
      <c r="G13942" s="1"/>
    </row>
    <row r="13943">
      <c r="B13943" s="36"/>
      <c r="C13943" s="36"/>
      <c r="E13943" s="1"/>
      <c r="F13943" s="1"/>
      <c r="G13943" s="1"/>
    </row>
    <row r="13944">
      <c r="B13944" s="36"/>
      <c r="C13944" s="36"/>
      <c r="E13944" s="1"/>
      <c r="F13944" s="1"/>
      <c r="G13944" s="1"/>
    </row>
    <row r="13945">
      <c r="B13945" s="36"/>
      <c r="C13945" s="36"/>
      <c r="E13945" s="1"/>
      <c r="F13945" s="1"/>
      <c r="G13945" s="1"/>
    </row>
    <row r="13946">
      <c r="B13946" s="36"/>
      <c r="C13946" s="36"/>
      <c r="E13946" s="1"/>
      <c r="F13946" s="1"/>
      <c r="G13946" s="1"/>
    </row>
    <row r="13947">
      <c r="B13947" s="36"/>
      <c r="C13947" s="36"/>
      <c r="E13947" s="1"/>
      <c r="F13947" s="1"/>
      <c r="G13947" s="1"/>
    </row>
    <row r="13948">
      <c r="B13948" s="36"/>
      <c r="C13948" s="36"/>
      <c r="E13948" s="1"/>
      <c r="F13948" s="1"/>
      <c r="G13948" s="1"/>
    </row>
    <row r="13949">
      <c r="B13949" s="36"/>
      <c r="C13949" s="36"/>
      <c r="E13949" s="1"/>
      <c r="F13949" s="1"/>
      <c r="G13949" s="1"/>
    </row>
    <row r="13950">
      <c r="B13950" s="36"/>
      <c r="C13950" s="36"/>
      <c r="E13950" s="1"/>
      <c r="F13950" s="1"/>
      <c r="G13950" s="1"/>
    </row>
    <row r="13951">
      <c r="B13951" s="36"/>
      <c r="C13951" s="36"/>
      <c r="E13951" s="1"/>
      <c r="F13951" s="1"/>
      <c r="G13951" s="1"/>
    </row>
    <row r="13952">
      <c r="B13952" s="36"/>
      <c r="C13952" s="36"/>
      <c r="E13952" s="1"/>
      <c r="F13952" s="1"/>
      <c r="G13952" s="1"/>
    </row>
    <row r="13953">
      <c r="B13953" s="36"/>
      <c r="C13953" s="36"/>
      <c r="E13953" s="1"/>
      <c r="F13953" s="1"/>
      <c r="G13953" s="1"/>
    </row>
    <row r="13954">
      <c r="B13954" s="36"/>
      <c r="C13954" s="36"/>
      <c r="E13954" s="1"/>
      <c r="F13954" s="1"/>
      <c r="G13954" s="1"/>
    </row>
    <row r="13955">
      <c r="B13955" s="36"/>
      <c r="C13955" s="36"/>
      <c r="E13955" s="1"/>
      <c r="F13955" s="1"/>
      <c r="G13955" s="1"/>
    </row>
    <row r="13956">
      <c r="B13956" s="36"/>
      <c r="C13956" s="36"/>
      <c r="E13956" s="1"/>
      <c r="F13956" s="1"/>
      <c r="G13956" s="1"/>
    </row>
    <row r="13957">
      <c r="B13957" s="36"/>
      <c r="C13957" s="36"/>
      <c r="E13957" s="1"/>
      <c r="F13957" s="1"/>
      <c r="G13957" s="1"/>
    </row>
    <row r="13958">
      <c r="B13958" s="36"/>
      <c r="C13958" s="36"/>
      <c r="E13958" s="1"/>
      <c r="F13958" s="1"/>
      <c r="G13958" s="1"/>
    </row>
    <row r="13959">
      <c r="B13959" s="36"/>
      <c r="C13959" s="36"/>
      <c r="E13959" s="1"/>
      <c r="F13959" s="1"/>
      <c r="G13959" s="1"/>
    </row>
    <row r="13960">
      <c r="B13960" s="36"/>
      <c r="C13960" s="36"/>
      <c r="E13960" s="1"/>
      <c r="F13960" s="1"/>
      <c r="G13960" s="1"/>
    </row>
    <row r="13961">
      <c r="B13961" s="36"/>
      <c r="C13961" s="36"/>
      <c r="E13961" s="1"/>
      <c r="F13961" s="1"/>
      <c r="G13961" s="1"/>
    </row>
    <row r="13962">
      <c r="B13962" s="36"/>
      <c r="C13962" s="36"/>
      <c r="E13962" s="1"/>
      <c r="F13962" s="1"/>
      <c r="G13962" s="1"/>
    </row>
    <row r="13963">
      <c r="B13963" s="36"/>
      <c r="C13963" s="36"/>
      <c r="E13963" s="1"/>
      <c r="F13963" s="1"/>
      <c r="G13963" s="1"/>
    </row>
    <row r="13964">
      <c r="B13964" s="36"/>
      <c r="C13964" s="36"/>
      <c r="E13964" s="1"/>
      <c r="F13964" s="1"/>
      <c r="G13964" s="1"/>
    </row>
    <row r="13965">
      <c r="B13965" s="36"/>
      <c r="C13965" s="36"/>
      <c r="E13965" s="1"/>
      <c r="F13965" s="1"/>
      <c r="G13965" s="1"/>
    </row>
    <row r="13966">
      <c r="B13966" s="36"/>
      <c r="C13966" s="36"/>
      <c r="E13966" s="1"/>
      <c r="F13966" s="1"/>
      <c r="G13966" s="1"/>
    </row>
    <row r="13967">
      <c r="B13967" s="36"/>
      <c r="C13967" s="36"/>
      <c r="E13967" s="1"/>
      <c r="F13967" s="1"/>
      <c r="G13967" s="1"/>
    </row>
    <row r="13968">
      <c r="B13968" s="36"/>
      <c r="C13968" s="36"/>
      <c r="E13968" s="1"/>
      <c r="F13968" s="1"/>
      <c r="G13968" s="1"/>
    </row>
    <row r="13969">
      <c r="B13969" s="36"/>
      <c r="C13969" s="36"/>
      <c r="E13969" s="1"/>
      <c r="F13969" s="1"/>
      <c r="G13969" s="1"/>
    </row>
    <row r="13970">
      <c r="B13970" s="36"/>
      <c r="C13970" s="36"/>
      <c r="E13970" s="1"/>
      <c r="F13970" s="1"/>
      <c r="G13970" s="1"/>
    </row>
    <row r="13971">
      <c r="B13971" s="36"/>
      <c r="C13971" s="36"/>
      <c r="E13971" s="1"/>
      <c r="F13971" s="1"/>
      <c r="G13971" s="1"/>
    </row>
    <row r="13972">
      <c r="B13972" s="36"/>
      <c r="C13972" s="36"/>
      <c r="E13972" s="1"/>
      <c r="F13972" s="1"/>
      <c r="G13972" s="1"/>
    </row>
    <row r="13973">
      <c r="B13973" s="36"/>
      <c r="C13973" s="36"/>
      <c r="E13973" s="1"/>
      <c r="F13973" s="1"/>
      <c r="G13973" s="1"/>
    </row>
    <row r="13974">
      <c r="B13974" s="36"/>
      <c r="C13974" s="36"/>
      <c r="E13974" s="1"/>
      <c r="F13974" s="1"/>
      <c r="G13974" s="1"/>
    </row>
    <row r="13975">
      <c r="B13975" s="36"/>
      <c r="C13975" s="36"/>
      <c r="E13975" s="1"/>
      <c r="F13975" s="1"/>
      <c r="G13975" s="1"/>
    </row>
    <row r="13976">
      <c r="B13976" s="36"/>
      <c r="C13976" s="36"/>
      <c r="E13976" s="1"/>
      <c r="F13976" s="1"/>
      <c r="G13976" s="1"/>
    </row>
    <row r="13977">
      <c r="B13977" s="36"/>
      <c r="C13977" s="36"/>
      <c r="E13977" s="1"/>
      <c r="F13977" s="1"/>
      <c r="G13977" s="1"/>
    </row>
    <row r="13978">
      <c r="B13978" s="36"/>
      <c r="C13978" s="36"/>
      <c r="E13978" s="1"/>
      <c r="F13978" s="1"/>
      <c r="G13978" s="1"/>
    </row>
    <row r="13979">
      <c r="B13979" s="36"/>
      <c r="C13979" s="36"/>
      <c r="E13979" s="1"/>
      <c r="F13979" s="1"/>
      <c r="G13979" s="1"/>
    </row>
    <row r="13980">
      <c r="B13980" s="36"/>
      <c r="C13980" s="36"/>
      <c r="E13980" s="1"/>
      <c r="F13980" s="1"/>
      <c r="G13980" s="1"/>
    </row>
    <row r="13981">
      <c r="B13981" s="36"/>
      <c r="C13981" s="36"/>
      <c r="E13981" s="1"/>
      <c r="F13981" s="1"/>
      <c r="G13981" s="1"/>
    </row>
    <row r="13982">
      <c r="B13982" s="36"/>
      <c r="C13982" s="36"/>
      <c r="E13982" s="1"/>
      <c r="F13982" s="1"/>
      <c r="G13982" s="1"/>
    </row>
    <row r="13983">
      <c r="B13983" s="36"/>
      <c r="C13983" s="36"/>
      <c r="E13983" s="1"/>
      <c r="F13983" s="1"/>
      <c r="G13983" s="1"/>
    </row>
    <row r="13984">
      <c r="B13984" s="36"/>
      <c r="C13984" s="36"/>
      <c r="E13984" s="1"/>
      <c r="F13984" s="1"/>
      <c r="G13984" s="1"/>
    </row>
    <row r="13985">
      <c r="B13985" s="36"/>
      <c r="C13985" s="36"/>
      <c r="E13985" s="1"/>
      <c r="F13985" s="1"/>
      <c r="G13985" s="1"/>
    </row>
    <row r="13986">
      <c r="B13986" s="36"/>
      <c r="C13986" s="36"/>
      <c r="E13986" s="1"/>
      <c r="F13986" s="1"/>
      <c r="G13986" s="1"/>
    </row>
    <row r="13987">
      <c r="B13987" s="36"/>
      <c r="C13987" s="36"/>
      <c r="E13987" s="1"/>
      <c r="F13987" s="1"/>
      <c r="G13987" s="1"/>
    </row>
    <row r="13988">
      <c r="B13988" s="36"/>
      <c r="C13988" s="36"/>
      <c r="E13988" s="1"/>
      <c r="F13988" s="1"/>
      <c r="G13988" s="1"/>
    </row>
    <row r="13989">
      <c r="B13989" s="36"/>
      <c r="C13989" s="36"/>
      <c r="E13989" s="1"/>
      <c r="F13989" s="1"/>
      <c r="G13989" s="1"/>
    </row>
    <row r="13990">
      <c r="B13990" s="36"/>
      <c r="C13990" s="36"/>
      <c r="E13990" s="1"/>
      <c r="F13990" s="1"/>
      <c r="G13990" s="1"/>
    </row>
    <row r="13991">
      <c r="B13991" s="36"/>
      <c r="C13991" s="36"/>
      <c r="E13991" s="1"/>
      <c r="F13991" s="1"/>
      <c r="G13991" s="1"/>
    </row>
    <row r="13992">
      <c r="B13992" s="36"/>
      <c r="C13992" s="36"/>
      <c r="E13992" s="1"/>
      <c r="F13992" s="1"/>
      <c r="G13992" s="1"/>
    </row>
    <row r="13993">
      <c r="B13993" s="36"/>
      <c r="C13993" s="36"/>
      <c r="E13993" s="1"/>
      <c r="F13993" s="1"/>
      <c r="G13993" s="1"/>
    </row>
    <row r="13994">
      <c r="B13994" s="36"/>
      <c r="C13994" s="36"/>
      <c r="E13994" s="1"/>
      <c r="F13994" s="1"/>
      <c r="G13994" s="1"/>
    </row>
    <row r="13995">
      <c r="B13995" s="36"/>
      <c r="C13995" s="36"/>
      <c r="E13995" s="1"/>
      <c r="F13995" s="1"/>
      <c r="G13995" s="1"/>
    </row>
    <row r="13996">
      <c r="B13996" s="36"/>
      <c r="C13996" s="36"/>
      <c r="E13996" s="1"/>
      <c r="F13996" s="1"/>
      <c r="G13996" s="1"/>
    </row>
    <row r="13997">
      <c r="B13997" s="36"/>
      <c r="C13997" s="36"/>
      <c r="E13997" s="1"/>
      <c r="F13997" s="1"/>
      <c r="G13997" s="1"/>
    </row>
    <row r="13998">
      <c r="B13998" s="36"/>
      <c r="C13998" s="36"/>
      <c r="E13998" s="1"/>
      <c r="F13998" s="1"/>
      <c r="G13998" s="1"/>
    </row>
    <row r="13999">
      <c r="B13999" s="36"/>
      <c r="C13999" s="36"/>
      <c r="E13999" s="1"/>
      <c r="F13999" s="1"/>
      <c r="G13999" s="1"/>
    </row>
    <row r="14000">
      <c r="B14000" s="36"/>
      <c r="C14000" s="36"/>
      <c r="E14000" s="1"/>
      <c r="F14000" s="1"/>
      <c r="G14000" s="1"/>
    </row>
    <row r="14001">
      <c r="B14001" s="36"/>
      <c r="C14001" s="36"/>
      <c r="E14001" s="1"/>
      <c r="F14001" s="1"/>
      <c r="G14001" s="1"/>
    </row>
    <row r="14002">
      <c r="B14002" s="36"/>
      <c r="C14002" s="36"/>
      <c r="E14002" s="1"/>
      <c r="F14002" s="1"/>
      <c r="G14002" s="1"/>
    </row>
    <row r="14003">
      <c r="B14003" s="36"/>
      <c r="C14003" s="36"/>
      <c r="E14003" s="1"/>
      <c r="F14003" s="1"/>
      <c r="G14003" s="1"/>
    </row>
    <row r="14004">
      <c r="B14004" s="36"/>
      <c r="C14004" s="36"/>
      <c r="E14004" s="1"/>
      <c r="F14004" s="1"/>
      <c r="G14004" s="1"/>
    </row>
    <row r="14005">
      <c r="B14005" s="36"/>
      <c r="C14005" s="36"/>
      <c r="E14005" s="1"/>
      <c r="F14005" s="1"/>
      <c r="G14005" s="1"/>
    </row>
    <row r="14006">
      <c r="B14006" s="36"/>
      <c r="C14006" s="36"/>
      <c r="E14006" s="1"/>
      <c r="F14006" s="1"/>
      <c r="G14006" s="1"/>
    </row>
    <row r="14007">
      <c r="B14007" s="36"/>
      <c r="C14007" s="36"/>
      <c r="E14007" s="1"/>
      <c r="F14007" s="1"/>
      <c r="G14007" s="1"/>
    </row>
    <row r="14008">
      <c r="B14008" s="36"/>
      <c r="C14008" s="36"/>
      <c r="E14008" s="1"/>
      <c r="F14008" s="1"/>
      <c r="G14008" s="1"/>
    </row>
    <row r="14009">
      <c r="B14009" s="36"/>
      <c r="C14009" s="36"/>
      <c r="E14009" s="1"/>
      <c r="F14009" s="1"/>
      <c r="G14009" s="1"/>
    </row>
    <row r="14010">
      <c r="B14010" s="36"/>
      <c r="C14010" s="36"/>
      <c r="E14010" s="1"/>
      <c r="F14010" s="1"/>
      <c r="G14010" s="1"/>
    </row>
    <row r="14011">
      <c r="B14011" s="36"/>
      <c r="C14011" s="36"/>
      <c r="E14011" s="1"/>
      <c r="F14011" s="1"/>
      <c r="G14011" s="1"/>
    </row>
    <row r="14012">
      <c r="B14012" s="36"/>
      <c r="C14012" s="36"/>
      <c r="E14012" s="1"/>
      <c r="F14012" s="1"/>
      <c r="G14012" s="1"/>
    </row>
    <row r="14013">
      <c r="B14013" s="36"/>
      <c r="C14013" s="36"/>
      <c r="E14013" s="1"/>
      <c r="F14013" s="1"/>
      <c r="G14013" s="1"/>
    </row>
    <row r="14014">
      <c r="B14014" s="36"/>
      <c r="C14014" s="36"/>
      <c r="E14014" s="1"/>
      <c r="F14014" s="1"/>
      <c r="G14014" s="1"/>
    </row>
    <row r="14015">
      <c r="B14015" s="36"/>
      <c r="C14015" s="36"/>
      <c r="E14015" s="1"/>
      <c r="F14015" s="1"/>
      <c r="G14015" s="1"/>
    </row>
    <row r="14016">
      <c r="B14016" s="36"/>
      <c r="C14016" s="36"/>
      <c r="E14016" s="1"/>
      <c r="F14016" s="1"/>
      <c r="G14016" s="1"/>
    </row>
    <row r="14017">
      <c r="B14017" s="36"/>
      <c r="C14017" s="36"/>
      <c r="E14017" s="1"/>
      <c r="F14017" s="1"/>
      <c r="G14017" s="1"/>
    </row>
    <row r="14018">
      <c r="B14018" s="36"/>
      <c r="C14018" s="36"/>
      <c r="E14018" s="1"/>
      <c r="F14018" s="1"/>
      <c r="G14018" s="1"/>
    </row>
    <row r="14019">
      <c r="B14019" s="36"/>
      <c r="C14019" s="36"/>
      <c r="E14019" s="1"/>
      <c r="F14019" s="1"/>
      <c r="G14019" s="1"/>
    </row>
    <row r="14020">
      <c r="B14020" s="36"/>
      <c r="C14020" s="36"/>
      <c r="E14020" s="1"/>
      <c r="F14020" s="1"/>
      <c r="G14020" s="1"/>
    </row>
    <row r="14021">
      <c r="B14021" s="36"/>
      <c r="C14021" s="36"/>
      <c r="E14021" s="1"/>
      <c r="F14021" s="1"/>
      <c r="G14021" s="1"/>
    </row>
    <row r="14022">
      <c r="B14022" s="36"/>
      <c r="C14022" s="36"/>
      <c r="E14022" s="1"/>
      <c r="F14022" s="1"/>
      <c r="G14022" s="1"/>
    </row>
    <row r="14023">
      <c r="B14023" s="36"/>
      <c r="C14023" s="36"/>
      <c r="E14023" s="1"/>
      <c r="F14023" s="1"/>
      <c r="G14023" s="1"/>
    </row>
    <row r="14024">
      <c r="B14024" s="36"/>
      <c r="C14024" s="36"/>
      <c r="E14024" s="1"/>
      <c r="F14024" s="1"/>
      <c r="G14024" s="1"/>
    </row>
    <row r="14025">
      <c r="B14025" s="36"/>
      <c r="C14025" s="36"/>
      <c r="E14025" s="1"/>
      <c r="F14025" s="1"/>
      <c r="G14025" s="1"/>
    </row>
    <row r="14026">
      <c r="B14026" s="36"/>
      <c r="C14026" s="36"/>
      <c r="E14026" s="1"/>
      <c r="F14026" s="1"/>
      <c r="G14026" s="1"/>
    </row>
    <row r="14027">
      <c r="B14027" s="36"/>
      <c r="C14027" s="36"/>
      <c r="E14027" s="1"/>
      <c r="F14027" s="1"/>
      <c r="G14027" s="1"/>
    </row>
    <row r="14028">
      <c r="B14028" s="36"/>
      <c r="C14028" s="36"/>
      <c r="E14028" s="1"/>
      <c r="F14028" s="1"/>
      <c r="G14028" s="1"/>
    </row>
    <row r="14029">
      <c r="B14029" s="36"/>
      <c r="C14029" s="36"/>
      <c r="E14029" s="1"/>
      <c r="F14029" s="1"/>
      <c r="G14029" s="1"/>
    </row>
    <row r="14030">
      <c r="B14030" s="36"/>
      <c r="C14030" s="36"/>
      <c r="E14030" s="1"/>
      <c r="F14030" s="1"/>
      <c r="G14030" s="1"/>
    </row>
    <row r="14031">
      <c r="B14031" s="36"/>
      <c r="C14031" s="36"/>
      <c r="E14031" s="1"/>
      <c r="F14031" s="1"/>
      <c r="G14031" s="1"/>
    </row>
    <row r="14032">
      <c r="B14032" s="36"/>
      <c r="C14032" s="36"/>
      <c r="E14032" s="1"/>
      <c r="F14032" s="1"/>
      <c r="G14032" s="1"/>
    </row>
    <row r="14033">
      <c r="B14033" s="36"/>
      <c r="C14033" s="36"/>
      <c r="E14033" s="1"/>
      <c r="F14033" s="1"/>
      <c r="G14033" s="1"/>
    </row>
    <row r="14034">
      <c r="B14034" s="36"/>
      <c r="C14034" s="36"/>
      <c r="E14034" s="1"/>
      <c r="F14034" s="1"/>
      <c r="G14034" s="1"/>
    </row>
    <row r="14035">
      <c r="B14035" s="36"/>
      <c r="C14035" s="36"/>
      <c r="E14035" s="1"/>
      <c r="F14035" s="1"/>
      <c r="G14035" s="1"/>
    </row>
    <row r="14036">
      <c r="B14036" s="36"/>
      <c r="C14036" s="36"/>
      <c r="E14036" s="1"/>
      <c r="F14036" s="1"/>
      <c r="G14036" s="1"/>
    </row>
    <row r="14037">
      <c r="B14037" s="36"/>
      <c r="C14037" s="36"/>
      <c r="E14037" s="1"/>
      <c r="F14037" s="1"/>
      <c r="G14037" s="1"/>
    </row>
    <row r="14038">
      <c r="B14038" s="36"/>
      <c r="C14038" s="36"/>
      <c r="E14038" s="1"/>
      <c r="F14038" s="1"/>
      <c r="G14038" s="1"/>
    </row>
    <row r="14039">
      <c r="B14039" s="36"/>
      <c r="C14039" s="36"/>
      <c r="E14039" s="1"/>
      <c r="F14039" s="1"/>
      <c r="G14039" s="1"/>
    </row>
    <row r="14040">
      <c r="B14040" s="36"/>
      <c r="C14040" s="36"/>
      <c r="E14040" s="1"/>
      <c r="F14040" s="1"/>
      <c r="G14040" s="1"/>
    </row>
    <row r="14041">
      <c r="B14041" s="36"/>
      <c r="C14041" s="36"/>
      <c r="E14041" s="1"/>
      <c r="F14041" s="1"/>
      <c r="G14041" s="1"/>
    </row>
    <row r="14042">
      <c r="B14042" s="36"/>
      <c r="C14042" s="36"/>
      <c r="E14042" s="1"/>
      <c r="F14042" s="1"/>
      <c r="G14042" s="1"/>
    </row>
    <row r="14043">
      <c r="B14043" s="36"/>
      <c r="C14043" s="36"/>
      <c r="E14043" s="1"/>
      <c r="F14043" s="1"/>
      <c r="G14043" s="1"/>
    </row>
    <row r="14044">
      <c r="B14044" s="36"/>
      <c r="C14044" s="36"/>
      <c r="E14044" s="1"/>
      <c r="F14044" s="1"/>
      <c r="G14044" s="1"/>
    </row>
    <row r="14045">
      <c r="B14045" s="36"/>
      <c r="C14045" s="36"/>
      <c r="E14045" s="1"/>
      <c r="F14045" s="1"/>
      <c r="G14045" s="1"/>
    </row>
    <row r="14046">
      <c r="B14046" s="36"/>
      <c r="C14046" s="36"/>
      <c r="E14046" s="1"/>
      <c r="F14046" s="1"/>
      <c r="G14046" s="1"/>
    </row>
    <row r="14047">
      <c r="B14047" s="36"/>
      <c r="C14047" s="36"/>
      <c r="E14047" s="1"/>
      <c r="F14047" s="1"/>
      <c r="G14047" s="1"/>
    </row>
    <row r="14048">
      <c r="B14048" s="36"/>
      <c r="C14048" s="36"/>
      <c r="E14048" s="1"/>
      <c r="F14048" s="1"/>
      <c r="G14048" s="1"/>
    </row>
    <row r="14049">
      <c r="B14049" s="36"/>
      <c r="C14049" s="36"/>
      <c r="E14049" s="1"/>
      <c r="F14049" s="1"/>
      <c r="G14049" s="1"/>
    </row>
    <row r="14050">
      <c r="B14050" s="36"/>
      <c r="C14050" s="36"/>
      <c r="E14050" s="1"/>
      <c r="F14050" s="1"/>
      <c r="G14050" s="1"/>
    </row>
    <row r="14051">
      <c r="B14051" s="36"/>
      <c r="C14051" s="36"/>
      <c r="E14051" s="1"/>
      <c r="F14051" s="1"/>
      <c r="G14051" s="1"/>
    </row>
    <row r="14052">
      <c r="B14052" s="36"/>
      <c r="C14052" s="36"/>
      <c r="E14052" s="1"/>
      <c r="F14052" s="1"/>
      <c r="G14052" s="1"/>
    </row>
    <row r="14053">
      <c r="B14053" s="36"/>
      <c r="C14053" s="36"/>
      <c r="E14053" s="1"/>
      <c r="F14053" s="1"/>
      <c r="G14053" s="1"/>
    </row>
    <row r="14054">
      <c r="B14054" s="36"/>
      <c r="C14054" s="36"/>
      <c r="E14054" s="1"/>
      <c r="F14054" s="1"/>
      <c r="G14054" s="1"/>
    </row>
    <row r="14055">
      <c r="B14055" s="36"/>
      <c r="C14055" s="36"/>
      <c r="E14055" s="1"/>
      <c r="F14055" s="1"/>
      <c r="G14055" s="1"/>
    </row>
    <row r="14056">
      <c r="B14056" s="36"/>
      <c r="C14056" s="36"/>
      <c r="E14056" s="1"/>
      <c r="F14056" s="1"/>
      <c r="G14056" s="1"/>
    </row>
    <row r="14057">
      <c r="B14057" s="36"/>
      <c r="C14057" s="36"/>
      <c r="E14057" s="1"/>
      <c r="F14057" s="1"/>
      <c r="G14057" s="1"/>
    </row>
    <row r="14058">
      <c r="B14058" s="36"/>
      <c r="C14058" s="36"/>
      <c r="E14058" s="1"/>
      <c r="F14058" s="1"/>
      <c r="G14058" s="1"/>
    </row>
    <row r="14059">
      <c r="B14059" s="36"/>
      <c r="C14059" s="36"/>
      <c r="E14059" s="1"/>
      <c r="F14059" s="1"/>
      <c r="G14059" s="1"/>
    </row>
    <row r="14060">
      <c r="B14060" s="36"/>
      <c r="C14060" s="36"/>
      <c r="E14060" s="1"/>
      <c r="F14060" s="1"/>
      <c r="G14060" s="1"/>
    </row>
    <row r="14061">
      <c r="B14061" s="36"/>
      <c r="C14061" s="36"/>
      <c r="E14061" s="1"/>
      <c r="F14061" s="1"/>
      <c r="G14061" s="1"/>
    </row>
    <row r="14062">
      <c r="B14062" s="36"/>
      <c r="C14062" s="36"/>
      <c r="E14062" s="1"/>
      <c r="F14062" s="1"/>
      <c r="G14062" s="1"/>
    </row>
    <row r="14063">
      <c r="B14063" s="36"/>
      <c r="C14063" s="36"/>
      <c r="E14063" s="1"/>
      <c r="F14063" s="1"/>
      <c r="G14063" s="1"/>
    </row>
    <row r="14064">
      <c r="B14064" s="36"/>
      <c r="C14064" s="36"/>
      <c r="E14064" s="1"/>
      <c r="F14064" s="1"/>
      <c r="G14064" s="1"/>
    </row>
    <row r="14065">
      <c r="B14065" s="36"/>
      <c r="C14065" s="36"/>
      <c r="E14065" s="1"/>
      <c r="F14065" s="1"/>
      <c r="G14065" s="1"/>
    </row>
    <row r="14066">
      <c r="B14066" s="36"/>
      <c r="C14066" s="36"/>
      <c r="E14066" s="1"/>
      <c r="F14066" s="1"/>
      <c r="G14066" s="1"/>
    </row>
    <row r="14067">
      <c r="B14067" s="36"/>
      <c r="C14067" s="36"/>
      <c r="E14067" s="1"/>
      <c r="F14067" s="1"/>
      <c r="G14067" s="1"/>
    </row>
    <row r="14068">
      <c r="B14068" s="36"/>
      <c r="C14068" s="36"/>
      <c r="E14068" s="1"/>
      <c r="F14068" s="1"/>
      <c r="G14068" s="1"/>
    </row>
    <row r="14069">
      <c r="B14069" s="36"/>
      <c r="C14069" s="36"/>
      <c r="E14069" s="1"/>
      <c r="F14069" s="1"/>
      <c r="G14069" s="1"/>
    </row>
    <row r="14070">
      <c r="B14070" s="36"/>
      <c r="C14070" s="36"/>
      <c r="E14070" s="1"/>
      <c r="F14070" s="1"/>
      <c r="G14070" s="1"/>
    </row>
    <row r="14071">
      <c r="B14071" s="36"/>
      <c r="C14071" s="36"/>
      <c r="E14071" s="1"/>
      <c r="F14071" s="1"/>
      <c r="G14071" s="1"/>
    </row>
    <row r="14072">
      <c r="B14072" s="36"/>
      <c r="C14072" s="36"/>
      <c r="E14072" s="1"/>
      <c r="F14072" s="1"/>
      <c r="G14072" s="1"/>
    </row>
    <row r="14073">
      <c r="B14073" s="36"/>
      <c r="C14073" s="36"/>
      <c r="E14073" s="1"/>
      <c r="F14073" s="1"/>
      <c r="G14073" s="1"/>
    </row>
    <row r="14074">
      <c r="B14074" s="36"/>
      <c r="C14074" s="36"/>
      <c r="E14074" s="1"/>
      <c r="F14074" s="1"/>
      <c r="G14074" s="1"/>
    </row>
    <row r="14075">
      <c r="B14075" s="36"/>
      <c r="C14075" s="36"/>
      <c r="E14075" s="1"/>
      <c r="F14075" s="1"/>
      <c r="G14075" s="1"/>
    </row>
    <row r="14076">
      <c r="B14076" s="36"/>
      <c r="C14076" s="36"/>
      <c r="E14076" s="1"/>
      <c r="F14076" s="1"/>
      <c r="G14076" s="1"/>
    </row>
    <row r="14077">
      <c r="B14077" s="36"/>
      <c r="C14077" s="36"/>
      <c r="E14077" s="1"/>
      <c r="F14077" s="1"/>
      <c r="G14077" s="1"/>
    </row>
    <row r="14078">
      <c r="B14078" s="36"/>
      <c r="C14078" s="36"/>
      <c r="E14078" s="1"/>
      <c r="F14078" s="1"/>
      <c r="G14078" s="1"/>
    </row>
    <row r="14079">
      <c r="B14079" s="36"/>
      <c r="C14079" s="36"/>
      <c r="E14079" s="1"/>
      <c r="F14079" s="1"/>
      <c r="G14079" s="1"/>
    </row>
    <row r="14080">
      <c r="B14080" s="36"/>
      <c r="C14080" s="36"/>
      <c r="E14080" s="1"/>
      <c r="F14080" s="1"/>
      <c r="G14080" s="1"/>
    </row>
    <row r="14081">
      <c r="B14081" s="36"/>
      <c r="C14081" s="36"/>
      <c r="E14081" s="1"/>
      <c r="F14081" s="1"/>
      <c r="G14081" s="1"/>
    </row>
    <row r="14082">
      <c r="B14082" s="36"/>
      <c r="C14082" s="36"/>
      <c r="E14082" s="1"/>
      <c r="F14082" s="1"/>
      <c r="G14082" s="1"/>
    </row>
    <row r="14083">
      <c r="B14083" s="36"/>
      <c r="C14083" s="36"/>
      <c r="E14083" s="1"/>
      <c r="F14083" s="1"/>
      <c r="G14083" s="1"/>
    </row>
    <row r="14084">
      <c r="B14084" s="36"/>
      <c r="C14084" s="36"/>
      <c r="E14084" s="1"/>
      <c r="F14084" s="1"/>
      <c r="G14084" s="1"/>
    </row>
    <row r="14085">
      <c r="B14085" s="36"/>
      <c r="C14085" s="36"/>
      <c r="E14085" s="1"/>
      <c r="F14085" s="1"/>
      <c r="G14085" s="1"/>
    </row>
    <row r="14086">
      <c r="B14086" s="36"/>
      <c r="C14086" s="36"/>
      <c r="E14086" s="1"/>
      <c r="F14086" s="1"/>
      <c r="G14086" s="1"/>
    </row>
    <row r="14087">
      <c r="B14087" s="36"/>
      <c r="C14087" s="36"/>
      <c r="E14087" s="1"/>
      <c r="F14087" s="1"/>
      <c r="G14087" s="1"/>
    </row>
    <row r="14088">
      <c r="B14088" s="36"/>
      <c r="C14088" s="36"/>
      <c r="E14088" s="1"/>
      <c r="F14088" s="1"/>
      <c r="G14088" s="1"/>
    </row>
    <row r="14089">
      <c r="B14089" s="36"/>
      <c r="C14089" s="36"/>
      <c r="E14089" s="1"/>
      <c r="F14089" s="1"/>
      <c r="G14089" s="1"/>
    </row>
    <row r="14090">
      <c r="B14090" s="36"/>
      <c r="C14090" s="36"/>
      <c r="E14090" s="1"/>
      <c r="F14090" s="1"/>
      <c r="G14090" s="1"/>
    </row>
    <row r="14091">
      <c r="B14091" s="36"/>
      <c r="C14091" s="36"/>
      <c r="E14091" s="1"/>
      <c r="F14091" s="1"/>
      <c r="G14091" s="1"/>
    </row>
    <row r="14092">
      <c r="B14092" s="36"/>
      <c r="C14092" s="36"/>
      <c r="E14092" s="1"/>
      <c r="F14092" s="1"/>
      <c r="G14092" s="1"/>
    </row>
    <row r="14093">
      <c r="B14093" s="36"/>
      <c r="C14093" s="36"/>
      <c r="E14093" s="1"/>
      <c r="F14093" s="1"/>
      <c r="G14093" s="1"/>
    </row>
    <row r="14094">
      <c r="B14094" s="36"/>
      <c r="C14094" s="36"/>
      <c r="E14094" s="1"/>
      <c r="F14094" s="1"/>
      <c r="G14094" s="1"/>
    </row>
    <row r="14095">
      <c r="B14095" s="36"/>
      <c r="C14095" s="36"/>
      <c r="E14095" s="1"/>
      <c r="F14095" s="1"/>
      <c r="G14095" s="1"/>
    </row>
    <row r="14096">
      <c r="B14096" s="36"/>
      <c r="C14096" s="36"/>
      <c r="E14096" s="1"/>
      <c r="F14096" s="1"/>
      <c r="G14096" s="1"/>
    </row>
    <row r="14097">
      <c r="B14097" s="36"/>
      <c r="C14097" s="36"/>
      <c r="E14097" s="1"/>
      <c r="F14097" s="1"/>
      <c r="G14097" s="1"/>
    </row>
    <row r="14098">
      <c r="B14098" s="36"/>
      <c r="C14098" s="36"/>
      <c r="E14098" s="1"/>
      <c r="F14098" s="1"/>
      <c r="G14098" s="1"/>
    </row>
    <row r="14099">
      <c r="B14099" s="36"/>
      <c r="C14099" s="36"/>
      <c r="E14099" s="1"/>
      <c r="F14099" s="1"/>
      <c r="G14099" s="1"/>
    </row>
    <row r="14100">
      <c r="B14100" s="36"/>
      <c r="C14100" s="36"/>
      <c r="E14100" s="1"/>
      <c r="F14100" s="1"/>
      <c r="G14100" s="1"/>
    </row>
    <row r="14101">
      <c r="B14101" s="36"/>
      <c r="C14101" s="36"/>
      <c r="E14101" s="1"/>
      <c r="F14101" s="1"/>
      <c r="G14101" s="1"/>
    </row>
    <row r="14102">
      <c r="B14102" s="36"/>
      <c r="C14102" s="36"/>
      <c r="E14102" s="1"/>
      <c r="F14102" s="1"/>
      <c r="G14102" s="1"/>
    </row>
    <row r="14103">
      <c r="B14103" s="36"/>
      <c r="C14103" s="36"/>
      <c r="E14103" s="1"/>
      <c r="F14103" s="1"/>
      <c r="G14103" s="1"/>
    </row>
    <row r="14104">
      <c r="B14104" s="36"/>
      <c r="C14104" s="36"/>
      <c r="E14104" s="1"/>
      <c r="F14104" s="1"/>
      <c r="G14104" s="1"/>
    </row>
    <row r="14105">
      <c r="B14105" s="36"/>
      <c r="C14105" s="36"/>
      <c r="E14105" s="1"/>
      <c r="F14105" s="1"/>
      <c r="G14105" s="1"/>
    </row>
    <row r="14106">
      <c r="B14106" s="36"/>
      <c r="C14106" s="36"/>
      <c r="E14106" s="1"/>
      <c r="F14106" s="1"/>
      <c r="G14106" s="1"/>
    </row>
    <row r="14107">
      <c r="B14107" s="36"/>
      <c r="C14107" s="36"/>
      <c r="E14107" s="1"/>
      <c r="F14107" s="1"/>
      <c r="G14107" s="1"/>
    </row>
    <row r="14108">
      <c r="B14108" s="36"/>
      <c r="C14108" s="36"/>
      <c r="E14108" s="1"/>
      <c r="F14108" s="1"/>
      <c r="G14108" s="1"/>
    </row>
    <row r="14109">
      <c r="B14109" s="36"/>
      <c r="C14109" s="36"/>
      <c r="E14109" s="1"/>
      <c r="F14109" s="1"/>
      <c r="G14109" s="1"/>
    </row>
    <row r="14110">
      <c r="B14110" s="36"/>
      <c r="C14110" s="36"/>
      <c r="E14110" s="1"/>
      <c r="F14110" s="1"/>
      <c r="G14110" s="1"/>
    </row>
    <row r="14111">
      <c r="B14111" s="36"/>
      <c r="C14111" s="36"/>
      <c r="E14111" s="1"/>
      <c r="F14111" s="1"/>
      <c r="G14111" s="1"/>
    </row>
    <row r="14112">
      <c r="B14112" s="36"/>
      <c r="C14112" s="36"/>
      <c r="E14112" s="1"/>
      <c r="F14112" s="1"/>
      <c r="G14112" s="1"/>
    </row>
    <row r="14113">
      <c r="B14113" s="36"/>
      <c r="C14113" s="36"/>
      <c r="E14113" s="1"/>
      <c r="F14113" s="1"/>
      <c r="G14113" s="1"/>
    </row>
    <row r="14114">
      <c r="B14114" s="36"/>
      <c r="C14114" s="36"/>
      <c r="E14114" s="1"/>
      <c r="F14114" s="1"/>
      <c r="G14114" s="1"/>
    </row>
    <row r="14115">
      <c r="B14115" s="36"/>
      <c r="C14115" s="36"/>
      <c r="E14115" s="1"/>
      <c r="F14115" s="1"/>
      <c r="G14115" s="1"/>
    </row>
    <row r="14116">
      <c r="B14116" s="36"/>
      <c r="C14116" s="36"/>
      <c r="E14116" s="1"/>
      <c r="F14116" s="1"/>
      <c r="G14116" s="1"/>
    </row>
    <row r="14117">
      <c r="B14117" s="36"/>
      <c r="C14117" s="36"/>
      <c r="E14117" s="1"/>
      <c r="F14117" s="1"/>
      <c r="G14117" s="1"/>
    </row>
    <row r="14118">
      <c r="B14118" s="36"/>
      <c r="C14118" s="36"/>
      <c r="E14118" s="1"/>
      <c r="F14118" s="1"/>
      <c r="G14118" s="1"/>
    </row>
    <row r="14119">
      <c r="B14119" s="36"/>
      <c r="C14119" s="36"/>
      <c r="E14119" s="1"/>
      <c r="F14119" s="1"/>
      <c r="G14119" s="1"/>
    </row>
    <row r="14120">
      <c r="B14120" s="36"/>
      <c r="C14120" s="36"/>
      <c r="E14120" s="1"/>
      <c r="F14120" s="1"/>
      <c r="G14120" s="1"/>
    </row>
    <row r="14121">
      <c r="B14121" s="36"/>
      <c r="C14121" s="36"/>
      <c r="E14121" s="1"/>
      <c r="F14121" s="1"/>
      <c r="G14121" s="1"/>
    </row>
    <row r="14122">
      <c r="B14122" s="36"/>
      <c r="C14122" s="36"/>
      <c r="E14122" s="1"/>
      <c r="F14122" s="1"/>
      <c r="G14122" s="1"/>
    </row>
    <row r="14123">
      <c r="B14123" s="36"/>
      <c r="C14123" s="36"/>
      <c r="E14123" s="1"/>
      <c r="F14123" s="1"/>
      <c r="G14123" s="1"/>
    </row>
    <row r="14124">
      <c r="B14124" s="36"/>
      <c r="C14124" s="36"/>
      <c r="E14124" s="1"/>
      <c r="F14124" s="1"/>
      <c r="G14124" s="1"/>
    </row>
    <row r="14125">
      <c r="B14125" s="36"/>
      <c r="C14125" s="36"/>
      <c r="E14125" s="1"/>
      <c r="F14125" s="1"/>
      <c r="G14125" s="1"/>
    </row>
    <row r="14126">
      <c r="B14126" s="36"/>
      <c r="C14126" s="36"/>
      <c r="E14126" s="1"/>
      <c r="F14126" s="1"/>
      <c r="G14126" s="1"/>
    </row>
    <row r="14127">
      <c r="B14127" s="36"/>
      <c r="C14127" s="36"/>
      <c r="E14127" s="1"/>
      <c r="F14127" s="1"/>
      <c r="G14127" s="1"/>
    </row>
    <row r="14128">
      <c r="B14128" s="36"/>
      <c r="C14128" s="36"/>
      <c r="E14128" s="1"/>
      <c r="F14128" s="1"/>
      <c r="G14128" s="1"/>
    </row>
    <row r="14129">
      <c r="B14129" s="36"/>
      <c r="C14129" s="36"/>
      <c r="E14129" s="1"/>
      <c r="F14129" s="1"/>
      <c r="G14129" s="1"/>
    </row>
    <row r="14130">
      <c r="B14130" s="36"/>
      <c r="C14130" s="36"/>
      <c r="E14130" s="1"/>
      <c r="F14130" s="1"/>
      <c r="G14130" s="1"/>
    </row>
    <row r="14131">
      <c r="B14131" s="36"/>
      <c r="C14131" s="36"/>
      <c r="E14131" s="1"/>
      <c r="F14131" s="1"/>
      <c r="G14131" s="1"/>
    </row>
    <row r="14132">
      <c r="B14132" s="36"/>
      <c r="C14132" s="36"/>
      <c r="E14132" s="1"/>
      <c r="F14132" s="1"/>
      <c r="G14132" s="1"/>
    </row>
    <row r="14133">
      <c r="B14133" s="36"/>
      <c r="C14133" s="36"/>
      <c r="E14133" s="1"/>
      <c r="F14133" s="1"/>
      <c r="G14133" s="1"/>
    </row>
    <row r="14134">
      <c r="B14134" s="36"/>
      <c r="C14134" s="36"/>
      <c r="E14134" s="1"/>
      <c r="F14134" s="1"/>
      <c r="G14134" s="1"/>
    </row>
    <row r="14135">
      <c r="B14135" s="36"/>
      <c r="C14135" s="36"/>
      <c r="E14135" s="1"/>
      <c r="F14135" s="1"/>
      <c r="G14135" s="1"/>
    </row>
    <row r="14136">
      <c r="B14136" s="36"/>
      <c r="C14136" s="36"/>
      <c r="E14136" s="1"/>
      <c r="F14136" s="1"/>
      <c r="G14136" s="1"/>
    </row>
    <row r="14137">
      <c r="B14137" s="36"/>
      <c r="C14137" s="36"/>
      <c r="E14137" s="1"/>
      <c r="F14137" s="1"/>
      <c r="G14137" s="1"/>
    </row>
    <row r="14138">
      <c r="B14138" s="36"/>
      <c r="C14138" s="36"/>
      <c r="E14138" s="1"/>
      <c r="F14138" s="1"/>
      <c r="G14138" s="1"/>
    </row>
    <row r="14139">
      <c r="B14139" s="36"/>
      <c r="C14139" s="36"/>
      <c r="E14139" s="1"/>
      <c r="F14139" s="1"/>
      <c r="G14139" s="1"/>
    </row>
    <row r="14140">
      <c r="B14140" s="36"/>
      <c r="C14140" s="36"/>
      <c r="E14140" s="1"/>
      <c r="F14140" s="1"/>
      <c r="G14140" s="1"/>
    </row>
    <row r="14141">
      <c r="B14141" s="36"/>
      <c r="C14141" s="36"/>
      <c r="E14141" s="1"/>
      <c r="F14141" s="1"/>
      <c r="G14141" s="1"/>
    </row>
    <row r="14142">
      <c r="B14142" s="36"/>
      <c r="C14142" s="36"/>
      <c r="E14142" s="1"/>
      <c r="F14142" s="1"/>
      <c r="G14142" s="1"/>
    </row>
    <row r="14143">
      <c r="B14143" s="36"/>
      <c r="C14143" s="36"/>
      <c r="E14143" s="1"/>
      <c r="F14143" s="1"/>
      <c r="G14143" s="1"/>
    </row>
    <row r="14144">
      <c r="B14144" s="36"/>
      <c r="C14144" s="36"/>
      <c r="E14144" s="1"/>
      <c r="F14144" s="1"/>
      <c r="G14144" s="1"/>
    </row>
    <row r="14145">
      <c r="B14145" s="36"/>
      <c r="C14145" s="36"/>
      <c r="E14145" s="1"/>
      <c r="F14145" s="1"/>
      <c r="G14145" s="1"/>
    </row>
    <row r="14146">
      <c r="B14146" s="36"/>
      <c r="C14146" s="36"/>
      <c r="E14146" s="1"/>
      <c r="F14146" s="1"/>
      <c r="G14146" s="1"/>
    </row>
    <row r="14147">
      <c r="B14147" s="36"/>
      <c r="C14147" s="36"/>
      <c r="E14147" s="1"/>
      <c r="F14147" s="1"/>
      <c r="G14147" s="1"/>
    </row>
    <row r="14148">
      <c r="B14148" s="36"/>
      <c r="C14148" s="36"/>
      <c r="E14148" s="1"/>
      <c r="F14148" s="1"/>
      <c r="G14148" s="1"/>
    </row>
    <row r="14149">
      <c r="B14149" s="36"/>
      <c r="C14149" s="36"/>
      <c r="E14149" s="1"/>
      <c r="F14149" s="1"/>
      <c r="G14149" s="1"/>
    </row>
    <row r="14150">
      <c r="B14150" s="36"/>
      <c r="C14150" s="36"/>
      <c r="E14150" s="1"/>
      <c r="F14150" s="1"/>
      <c r="G14150" s="1"/>
    </row>
    <row r="14151">
      <c r="B14151" s="36"/>
      <c r="C14151" s="36"/>
      <c r="E14151" s="1"/>
      <c r="F14151" s="1"/>
      <c r="G14151" s="1"/>
    </row>
    <row r="14152">
      <c r="B14152" s="36"/>
      <c r="C14152" s="36"/>
      <c r="E14152" s="1"/>
      <c r="F14152" s="1"/>
      <c r="G14152" s="1"/>
    </row>
    <row r="14153">
      <c r="B14153" s="36"/>
      <c r="C14153" s="36"/>
      <c r="E14153" s="1"/>
      <c r="F14153" s="1"/>
      <c r="G14153" s="1"/>
    </row>
    <row r="14154">
      <c r="B14154" s="36"/>
      <c r="C14154" s="36"/>
      <c r="E14154" s="1"/>
      <c r="F14154" s="1"/>
      <c r="G14154" s="1"/>
    </row>
    <row r="14155">
      <c r="B14155" s="36"/>
      <c r="C14155" s="36"/>
      <c r="E14155" s="1"/>
      <c r="F14155" s="1"/>
      <c r="G14155" s="1"/>
    </row>
    <row r="14156">
      <c r="B14156" s="36"/>
      <c r="C14156" s="36"/>
      <c r="E14156" s="1"/>
      <c r="F14156" s="1"/>
      <c r="G14156" s="1"/>
    </row>
    <row r="14157">
      <c r="B14157" s="36"/>
      <c r="C14157" s="36"/>
      <c r="E14157" s="1"/>
      <c r="F14157" s="1"/>
      <c r="G14157" s="1"/>
    </row>
    <row r="14158">
      <c r="B14158" s="36"/>
      <c r="C14158" s="36"/>
      <c r="E14158" s="1"/>
      <c r="F14158" s="1"/>
      <c r="G14158" s="1"/>
    </row>
    <row r="14159">
      <c r="B14159" s="36"/>
      <c r="C14159" s="36"/>
      <c r="E14159" s="1"/>
      <c r="F14159" s="1"/>
      <c r="G14159" s="1"/>
    </row>
    <row r="14160">
      <c r="B14160" s="36"/>
      <c r="C14160" s="36"/>
      <c r="E14160" s="1"/>
      <c r="F14160" s="1"/>
      <c r="G14160" s="1"/>
    </row>
    <row r="14161">
      <c r="B14161" s="36"/>
      <c r="C14161" s="36"/>
      <c r="E14161" s="1"/>
      <c r="F14161" s="1"/>
      <c r="G14161" s="1"/>
    </row>
    <row r="14162">
      <c r="B14162" s="36"/>
      <c r="C14162" s="36"/>
      <c r="E14162" s="1"/>
      <c r="F14162" s="1"/>
      <c r="G14162" s="1"/>
    </row>
    <row r="14163">
      <c r="B14163" s="36"/>
      <c r="C14163" s="36"/>
      <c r="E14163" s="1"/>
      <c r="F14163" s="1"/>
      <c r="G14163" s="1"/>
    </row>
    <row r="14164">
      <c r="B14164" s="36"/>
      <c r="C14164" s="36"/>
      <c r="E14164" s="1"/>
      <c r="F14164" s="1"/>
      <c r="G14164" s="1"/>
    </row>
    <row r="14165">
      <c r="B14165" s="36"/>
      <c r="C14165" s="36"/>
      <c r="E14165" s="1"/>
      <c r="F14165" s="1"/>
      <c r="G14165" s="1"/>
    </row>
    <row r="14166">
      <c r="B14166" s="36"/>
      <c r="C14166" s="36"/>
      <c r="E14166" s="1"/>
      <c r="F14166" s="1"/>
      <c r="G14166" s="1"/>
    </row>
    <row r="14167">
      <c r="B14167" s="36"/>
      <c r="C14167" s="36"/>
      <c r="E14167" s="1"/>
      <c r="F14167" s="1"/>
      <c r="G14167" s="1"/>
    </row>
    <row r="14168">
      <c r="B14168" s="36"/>
      <c r="C14168" s="36"/>
      <c r="E14168" s="1"/>
      <c r="F14168" s="1"/>
      <c r="G14168" s="1"/>
    </row>
    <row r="14169">
      <c r="B14169" s="36"/>
      <c r="C14169" s="36"/>
      <c r="E14169" s="1"/>
      <c r="F14169" s="1"/>
      <c r="G14169" s="1"/>
    </row>
    <row r="14170">
      <c r="B14170" s="36"/>
      <c r="C14170" s="36"/>
      <c r="E14170" s="1"/>
      <c r="F14170" s="1"/>
      <c r="G14170" s="1"/>
    </row>
    <row r="14171">
      <c r="B14171" s="36"/>
      <c r="C14171" s="36"/>
      <c r="E14171" s="1"/>
      <c r="F14171" s="1"/>
      <c r="G14171" s="1"/>
    </row>
    <row r="14172">
      <c r="B14172" s="36"/>
      <c r="C14172" s="36"/>
      <c r="E14172" s="1"/>
      <c r="F14172" s="1"/>
      <c r="G14172" s="1"/>
    </row>
    <row r="14173">
      <c r="B14173" s="36"/>
      <c r="C14173" s="36"/>
      <c r="E14173" s="1"/>
      <c r="F14173" s="1"/>
      <c r="G14173" s="1"/>
    </row>
    <row r="14174">
      <c r="B14174" s="36"/>
      <c r="C14174" s="36"/>
      <c r="E14174" s="1"/>
      <c r="F14174" s="1"/>
      <c r="G14174" s="1"/>
    </row>
    <row r="14175">
      <c r="B14175" s="36"/>
      <c r="C14175" s="36"/>
      <c r="E14175" s="1"/>
      <c r="F14175" s="1"/>
      <c r="G14175" s="1"/>
    </row>
    <row r="14176">
      <c r="B14176" s="36"/>
      <c r="C14176" s="36"/>
      <c r="E14176" s="1"/>
      <c r="F14176" s="1"/>
      <c r="G14176" s="1"/>
    </row>
    <row r="14177">
      <c r="B14177" s="36"/>
      <c r="C14177" s="36"/>
      <c r="E14177" s="1"/>
      <c r="F14177" s="1"/>
      <c r="G14177" s="1"/>
    </row>
    <row r="14178">
      <c r="B14178" s="36"/>
      <c r="C14178" s="36"/>
      <c r="E14178" s="1"/>
      <c r="F14178" s="1"/>
      <c r="G14178" s="1"/>
    </row>
    <row r="14179">
      <c r="B14179" s="36"/>
      <c r="C14179" s="36"/>
      <c r="E14179" s="1"/>
      <c r="F14179" s="1"/>
      <c r="G14179" s="1"/>
    </row>
    <row r="14180">
      <c r="B14180" s="36"/>
      <c r="C14180" s="36"/>
      <c r="E14180" s="1"/>
      <c r="F14180" s="1"/>
      <c r="G14180" s="1"/>
    </row>
    <row r="14181">
      <c r="B14181" s="36"/>
      <c r="C14181" s="36"/>
      <c r="E14181" s="1"/>
      <c r="F14181" s="1"/>
      <c r="G14181" s="1"/>
    </row>
    <row r="14182">
      <c r="B14182" s="36"/>
      <c r="C14182" s="36"/>
      <c r="E14182" s="1"/>
      <c r="F14182" s="1"/>
      <c r="G14182" s="1"/>
    </row>
    <row r="14183">
      <c r="B14183" s="36"/>
      <c r="C14183" s="36"/>
      <c r="E14183" s="1"/>
      <c r="F14183" s="1"/>
      <c r="G14183" s="1"/>
    </row>
    <row r="14184">
      <c r="B14184" s="36"/>
      <c r="C14184" s="36"/>
      <c r="E14184" s="1"/>
      <c r="F14184" s="1"/>
      <c r="G14184" s="1"/>
    </row>
    <row r="14185">
      <c r="B14185" s="36"/>
      <c r="C14185" s="36"/>
      <c r="E14185" s="1"/>
      <c r="F14185" s="1"/>
      <c r="G14185" s="1"/>
    </row>
    <row r="14186">
      <c r="B14186" s="36"/>
      <c r="C14186" s="36"/>
      <c r="E14186" s="1"/>
      <c r="F14186" s="1"/>
      <c r="G14186" s="1"/>
    </row>
    <row r="14187">
      <c r="B14187" s="36"/>
      <c r="C14187" s="36"/>
      <c r="E14187" s="1"/>
      <c r="F14187" s="1"/>
      <c r="G14187" s="1"/>
    </row>
    <row r="14188">
      <c r="B14188" s="36"/>
      <c r="C14188" s="36"/>
      <c r="E14188" s="1"/>
      <c r="F14188" s="1"/>
      <c r="G14188" s="1"/>
    </row>
    <row r="14189">
      <c r="B14189" s="36"/>
      <c r="C14189" s="36"/>
      <c r="E14189" s="1"/>
      <c r="F14189" s="1"/>
      <c r="G14189" s="1"/>
    </row>
    <row r="14190">
      <c r="B14190" s="36"/>
      <c r="C14190" s="36"/>
      <c r="E14190" s="1"/>
      <c r="F14190" s="1"/>
      <c r="G14190" s="1"/>
    </row>
    <row r="14191">
      <c r="B14191" s="36"/>
      <c r="C14191" s="36"/>
      <c r="E14191" s="1"/>
      <c r="F14191" s="1"/>
      <c r="G14191" s="1"/>
    </row>
    <row r="14192">
      <c r="B14192" s="36"/>
      <c r="C14192" s="36"/>
      <c r="E14192" s="1"/>
      <c r="F14192" s="1"/>
      <c r="G14192" s="1"/>
    </row>
    <row r="14193">
      <c r="B14193" s="36"/>
      <c r="C14193" s="36"/>
      <c r="E14193" s="1"/>
      <c r="F14193" s="1"/>
      <c r="G14193" s="1"/>
    </row>
    <row r="14194">
      <c r="B14194" s="36"/>
      <c r="C14194" s="36"/>
      <c r="E14194" s="1"/>
      <c r="F14194" s="1"/>
      <c r="G14194" s="1"/>
    </row>
    <row r="14195">
      <c r="B14195" s="36"/>
      <c r="C14195" s="36"/>
      <c r="E14195" s="1"/>
      <c r="F14195" s="1"/>
      <c r="G14195" s="1"/>
    </row>
    <row r="14196">
      <c r="B14196" s="36"/>
      <c r="C14196" s="36"/>
      <c r="E14196" s="1"/>
      <c r="F14196" s="1"/>
      <c r="G14196" s="1"/>
    </row>
    <row r="14197">
      <c r="B14197" s="36"/>
      <c r="C14197" s="36"/>
      <c r="E14197" s="1"/>
      <c r="F14197" s="1"/>
      <c r="G14197" s="1"/>
    </row>
    <row r="14198">
      <c r="B14198" s="36"/>
      <c r="C14198" s="36"/>
      <c r="E14198" s="1"/>
      <c r="F14198" s="1"/>
      <c r="G14198" s="1"/>
    </row>
    <row r="14199">
      <c r="B14199" s="36"/>
      <c r="C14199" s="36"/>
      <c r="E14199" s="1"/>
      <c r="F14199" s="1"/>
      <c r="G14199" s="1"/>
    </row>
    <row r="14200">
      <c r="B14200" s="36"/>
      <c r="C14200" s="36"/>
      <c r="E14200" s="1"/>
      <c r="F14200" s="1"/>
      <c r="G14200" s="1"/>
    </row>
    <row r="14201">
      <c r="B14201" s="36"/>
      <c r="C14201" s="36"/>
      <c r="E14201" s="1"/>
      <c r="F14201" s="1"/>
      <c r="G14201" s="1"/>
    </row>
    <row r="14202">
      <c r="B14202" s="36"/>
      <c r="C14202" s="36"/>
      <c r="E14202" s="1"/>
      <c r="F14202" s="1"/>
      <c r="G14202" s="1"/>
    </row>
    <row r="14203">
      <c r="B14203" s="36"/>
      <c r="C14203" s="36"/>
      <c r="E14203" s="1"/>
      <c r="F14203" s="1"/>
      <c r="G14203" s="1"/>
    </row>
    <row r="14204">
      <c r="B14204" s="36"/>
      <c r="C14204" s="36"/>
      <c r="E14204" s="1"/>
      <c r="F14204" s="1"/>
      <c r="G14204" s="1"/>
    </row>
    <row r="14205">
      <c r="B14205" s="36"/>
      <c r="C14205" s="36"/>
      <c r="E14205" s="1"/>
      <c r="F14205" s="1"/>
      <c r="G14205" s="1"/>
    </row>
    <row r="14206">
      <c r="B14206" s="36"/>
      <c r="C14206" s="36"/>
      <c r="E14206" s="1"/>
      <c r="F14206" s="1"/>
      <c r="G14206" s="1"/>
    </row>
    <row r="14207">
      <c r="B14207" s="36"/>
      <c r="C14207" s="36"/>
      <c r="E14207" s="1"/>
      <c r="F14207" s="1"/>
      <c r="G14207" s="1"/>
    </row>
    <row r="14208">
      <c r="B14208" s="36"/>
      <c r="C14208" s="36"/>
      <c r="E14208" s="1"/>
      <c r="F14208" s="1"/>
      <c r="G14208" s="1"/>
    </row>
    <row r="14209">
      <c r="B14209" s="36"/>
      <c r="C14209" s="36"/>
      <c r="E14209" s="1"/>
      <c r="F14209" s="1"/>
      <c r="G14209" s="1"/>
    </row>
    <row r="14210">
      <c r="B14210" s="36"/>
      <c r="C14210" s="36"/>
      <c r="E14210" s="1"/>
      <c r="F14210" s="1"/>
      <c r="G14210" s="1"/>
    </row>
    <row r="14211">
      <c r="B14211" s="36"/>
      <c r="C14211" s="36"/>
      <c r="E14211" s="1"/>
      <c r="F14211" s="1"/>
      <c r="G14211" s="1"/>
    </row>
    <row r="14212">
      <c r="B14212" s="36"/>
      <c r="C14212" s="36"/>
      <c r="E14212" s="1"/>
      <c r="F14212" s="1"/>
      <c r="G14212" s="1"/>
    </row>
    <row r="14213">
      <c r="B14213" s="36"/>
      <c r="C14213" s="36"/>
      <c r="E14213" s="1"/>
      <c r="F14213" s="1"/>
      <c r="G14213" s="1"/>
    </row>
    <row r="14214">
      <c r="B14214" s="36"/>
      <c r="C14214" s="36"/>
      <c r="E14214" s="1"/>
      <c r="F14214" s="1"/>
      <c r="G14214" s="1"/>
    </row>
    <row r="14215">
      <c r="B14215" s="36"/>
      <c r="C14215" s="36"/>
      <c r="E14215" s="1"/>
      <c r="F14215" s="1"/>
      <c r="G14215" s="1"/>
    </row>
    <row r="14216">
      <c r="B14216" s="36"/>
      <c r="C14216" s="36"/>
      <c r="E14216" s="1"/>
      <c r="F14216" s="1"/>
      <c r="G14216" s="1"/>
    </row>
    <row r="14217">
      <c r="B14217" s="36"/>
      <c r="C14217" s="36"/>
      <c r="E14217" s="1"/>
      <c r="F14217" s="1"/>
      <c r="G14217" s="1"/>
    </row>
    <row r="14218">
      <c r="B14218" s="36"/>
      <c r="C14218" s="36"/>
      <c r="E14218" s="1"/>
      <c r="F14218" s="1"/>
      <c r="G14218" s="1"/>
    </row>
    <row r="14219">
      <c r="B14219" s="36"/>
      <c r="C14219" s="36"/>
      <c r="E14219" s="1"/>
      <c r="F14219" s="1"/>
      <c r="G14219" s="1"/>
    </row>
    <row r="14220">
      <c r="B14220" s="36"/>
      <c r="C14220" s="36"/>
      <c r="E14220" s="1"/>
      <c r="F14220" s="1"/>
      <c r="G14220" s="1"/>
    </row>
    <row r="14221">
      <c r="B14221" s="36"/>
      <c r="C14221" s="36"/>
      <c r="E14221" s="1"/>
      <c r="F14221" s="1"/>
      <c r="G14221" s="1"/>
    </row>
    <row r="14222">
      <c r="B14222" s="36"/>
      <c r="C14222" s="36"/>
      <c r="E14222" s="1"/>
      <c r="F14222" s="1"/>
      <c r="G14222" s="1"/>
    </row>
    <row r="14223">
      <c r="B14223" s="36"/>
      <c r="C14223" s="36"/>
      <c r="E14223" s="1"/>
      <c r="F14223" s="1"/>
      <c r="G14223" s="1"/>
    </row>
    <row r="14224">
      <c r="B14224" s="36"/>
      <c r="C14224" s="36"/>
      <c r="E14224" s="1"/>
      <c r="F14224" s="1"/>
      <c r="G14224" s="1"/>
    </row>
    <row r="14225">
      <c r="B14225" s="36"/>
      <c r="C14225" s="36"/>
      <c r="E14225" s="1"/>
      <c r="F14225" s="1"/>
      <c r="G14225" s="1"/>
    </row>
    <row r="14226">
      <c r="B14226" s="36"/>
      <c r="C14226" s="36"/>
      <c r="E14226" s="1"/>
      <c r="F14226" s="1"/>
      <c r="G14226" s="1"/>
    </row>
    <row r="14227">
      <c r="B14227" s="36"/>
      <c r="C14227" s="36"/>
      <c r="E14227" s="1"/>
      <c r="F14227" s="1"/>
      <c r="G14227" s="1"/>
    </row>
    <row r="14228">
      <c r="B14228" s="36"/>
      <c r="C14228" s="36"/>
      <c r="E14228" s="1"/>
      <c r="F14228" s="1"/>
      <c r="G14228" s="1"/>
    </row>
    <row r="14229">
      <c r="B14229" s="36"/>
      <c r="C14229" s="36"/>
      <c r="E14229" s="1"/>
      <c r="F14229" s="1"/>
      <c r="G14229" s="1"/>
    </row>
    <row r="14230">
      <c r="B14230" s="36"/>
      <c r="C14230" s="36"/>
      <c r="E14230" s="1"/>
      <c r="F14230" s="1"/>
      <c r="G14230" s="1"/>
    </row>
    <row r="14231">
      <c r="B14231" s="36"/>
      <c r="C14231" s="36"/>
      <c r="E14231" s="1"/>
      <c r="F14231" s="1"/>
      <c r="G14231" s="1"/>
    </row>
    <row r="14232">
      <c r="B14232" s="36"/>
      <c r="C14232" s="36"/>
      <c r="E14232" s="1"/>
      <c r="F14232" s="1"/>
      <c r="G14232" s="1"/>
    </row>
    <row r="14233">
      <c r="B14233" s="36"/>
      <c r="C14233" s="36"/>
      <c r="E14233" s="1"/>
      <c r="F14233" s="1"/>
      <c r="G14233" s="1"/>
    </row>
    <row r="14234">
      <c r="B14234" s="36"/>
      <c r="C14234" s="36"/>
      <c r="E14234" s="1"/>
      <c r="F14234" s="1"/>
      <c r="G14234" s="1"/>
    </row>
    <row r="14235">
      <c r="B14235" s="36"/>
      <c r="C14235" s="36"/>
      <c r="E14235" s="1"/>
      <c r="F14235" s="1"/>
      <c r="G14235" s="1"/>
    </row>
    <row r="14236">
      <c r="B14236" s="36"/>
      <c r="C14236" s="36"/>
      <c r="E14236" s="1"/>
      <c r="F14236" s="1"/>
      <c r="G14236" s="1"/>
    </row>
    <row r="14237">
      <c r="B14237" s="36"/>
      <c r="C14237" s="36"/>
      <c r="E14237" s="1"/>
      <c r="F14237" s="1"/>
      <c r="G14237" s="1"/>
    </row>
    <row r="14238">
      <c r="B14238" s="36"/>
      <c r="C14238" s="36"/>
      <c r="E14238" s="1"/>
      <c r="F14238" s="1"/>
      <c r="G14238" s="1"/>
    </row>
    <row r="14239">
      <c r="B14239" s="36"/>
      <c r="C14239" s="36"/>
      <c r="E14239" s="1"/>
      <c r="F14239" s="1"/>
      <c r="G14239" s="1"/>
    </row>
    <row r="14240">
      <c r="B14240" s="36"/>
      <c r="C14240" s="36"/>
      <c r="E14240" s="1"/>
      <c r="F14240" s="1"/>
      <c r="G14240" s="1"/>
    </row>
    <row r="14241">
      <c r="B14241" s="36"/>
      <c r="C14241" s="36"/>
      <c r="E14241" s="1"/>
      <c r="F14241" s="1"/>
      <c r="G14241" s="1"/>
    </row>
    <row r="14242">
      <c r="B14242" s="36"/>
      <c r="C14242" s="36"/>
      <c r="E14242" s="1"/>
      <c r="F14242" s="1"/>
      <c r="G14242" s="1"/>
    </row>
    <row r="14243">
      <c r="B14243" s="36"/>
      <c r="C14243" s="36"/>
      <c r="E14243" s="1"/>
      <c r="F14243" s="1"/>
      <c r="G14243" s="1"/>
    </row>
    <row r="14244">
      <c r="B14244" s="36"/>
      <c r="C14244" s="36"/>
      <c r="E14244" s="1"/>
      <c r="F14244" s="1"/>
      <c r="G14244" s="1"/>
    </row>
    <row r="14245">
      <c r="B14245" s="36"/>
      <c r="C14245" s="36"/>
      <c r="E14245" s="1"/>
      <c r="F14245" s="1"/>
      <c r="G14245" s="1"/>
    </row>
    <row r="14246">
      <c r="B14246" s="36"/>
      <c r="C14246" s="36"/>
      <c r="E14246" s="1"/>
      <c r="F14246" s="1"/>
      <c r="G14246" s="1"/>
    </row>
    <row r="14247">
      <c r="B14247" s="36"/>
      <c r="C14247" s="36"/>
      <c r="E14247" s="1"/>
      <c r="F14247" s="1"/>
      <c r="G14247" s="1"/>
    </row>
    <row r="14248">
      <c r="B14248" s="36"/>
      <c r="C14248" s="36"/>
      <c r="E14248" s="1"/>
      <c r="F14248" s="1"/>
      <c r="G14248" s="1"/>
    </row>
    <row r="14249">
      <c r="B14249" s="36"/>
      <c r="C14249" s="36"/>
      <c r="E14249" s="1"/>
      <c r="F14249" s="1"/>
      <c r="G14249" s="1"/>
    </row>
    <row r="14250">
      <c r="B14250" s="36"/>
      <c r="C14250" s="36"/>
      <c r="E14250" s="1"/>
      <c r="F14250" s="1"/>
      <c r="G14250" s="1"/>
    </row>
    <row r="14251">
      <c r="B14251" s="36"/>
      <c r="C14251" s="36"/>
      <c r="E14251" s="1"/>
      <c r="F14251" s="1"/>
      <c r="G14251" s="1"/>
    </row>
    <row r="14252">
      <c r="B14252" s="36"/>
      <c r="C14252" s="36"/>
      <c r="E14252" s="1"/>
      <c r="F14252" s="1"/>
      <c r="G14252" s="1"/>
    </row>
    <row r="14253">
      <c r="B14253" s="36"/>
      <c r="C14253" s="36"/>
      <c r="E14253" s="1"/>
      <c r="F14253" s="1"/>
      <c r="G14253" s="1"/>
    </row>
    <row r="14254">
      <c r="B14254" s="36"/>
      <c r="C14254" s="36"/>
      <c r="E14254" s="1"/>
      <c r="F14254" s="1"/>
      <c r="G14254" s="1"/>
    </row>
    <row r="14255">
      <c r="B14255" s="36"/>
      <c r="C14255" s="36"/>
      <c r="E14255" s="1"/>
      <c r="F14255" s="1"/>
      <c r="G14255" s="1"/>
    </row>
    <row r="14256">
      <c r="B14256" s="36"/>
      <c r="C14256" s="36"/>
      <c r="E14256" s="1"/>
      <c r="F14256" s="1"/>
      <c r="G14256" s="1"/>
    </row>
    <row r="14257">
      <c r="B14257" s="36"/>
      <c r="C14257" s="36"/>
      <c r="E14257" s="1"/>
      <c r="F14257" s="1"/>
      <c r="G14257" s="1"/>
    </row>
    <row r="14258">
      <c r="B14258" s="36"/>
      <c r="C14258" s="36"/>
      <c r="E14258" s="1"/>
      <c r="F14258" s="1"/>
      <c r="G14258" s="1"/>
    </row>
    <row r="14259">
      <c r="B14259" s="36"/>
      <c r="C14259" s="36"/>
      <c r="E14259" s="1"/>
      <c r="F14259" s="1"/>
      <c r="G14259" s="1"/>
    </row>
    <row r="14260">
      <c r="B14260" s="36"/>
      <c r="C14260" s="36"/>
      <c r="E14260" s="1"/>
      <c r="F14260" s="1"/>
      <c r="G14260" s="1"/>
    </row>
    <row r="14261">
      <c r="B14261" s="36"/>
      <c r="C14261" s="36"/>
      <c r="E14261" s="1"/>
      <c r="F14261" s="1"/>
      <c r="G14261" s="1"/>
    </row>
    <row r="14262">
      <c r="B14262" s="36"/>
      <c r="C14262" s="36"/>
      <c r="E14262" s="1"/>
      <c r="F14262" s="1"/>
      <c r="G14262" s="1"/>
    </row>
    <row r="14263">
      <c r="B14263" s="36"/>
      <c r="C14263" s="36"/>
      <c r="E14263" s="1"/>
      <c r="F14263" s="1"/>
      <c r="G14263" s="1"/>
    </row>
    <row r="14264">
      <c r="B14264" s="36"/>
      <c r="C14264" s="36"/>
      <c r="E14264" s="1"/>
      <c r="F14264" s="1"/>
      <c r="G14264" s="1"/>
    </row>
    <row r="14265">
      <c r="B14265" s="36"/>
      <c r="C14265" s="36"/>
      <c r="E14265" s="1"/>
      <c r="F14265" s="1"/>
      <c r="G14265" s="1"/>
    </row>
    <row r="14266">
      <c r="B14266" s="36"/>
      <c r="C14266" s="36"/>
      <c r="E14266" s="1"/>
      <c r="F14266" s="1"/>
      <c r="G14266" s="1"/>
    </row>
    <row r="14267">
      <c r="B14267" s="36"/>
      <c r="C14267" s="36"/>
      <c r="E14267" s="1"/>
      <c r="F14267" s="1"/>
      <c r="G14267" s="1"/>
    </row>
    <row r="14268">
      <c r="B14268" s="36"/>
      <c r="C14268" s="36"/>
      <c r="E14268" s="1"/>
      <c r="F14268" s="1"/>
      <c r="G14268" s="1"/>
    </row>
    <row r="14269">
      <c r="B14269" s="36"/>
      <c r="C14269" s="36"/>
      <c r="E14269" s="1"/>
      <c r="F14269" s="1"/>
      <c r="G14269" s="1"/>
    </row>
    <row r="14270">
      <c r="B14270" s="36"/>
      <c r="C14270" s="36"/>
      <c r="E14270" s="1"/>
      <c r="F14270" s="1"/>
      <c r="G14270" s="1"/>
    </row>
    <row r="14271">
      <c r="B14271" s="36"/>
      <c r="C14271" s="36"/>
      <c r="E14271" s="1"/>
      <c r="F14271" s="1"/>
      <c r="G14271" s="1"/>
    </row>
    <row r="14272">
      <c r="B14272" s="36"/>
      <c r="C14272" s="36"/>
      <c r="E14272" s="1"/>
      <c r="F14272" s="1"/>
      <c r="G14272" s="1"/>
    </row>
    <row r="14273">
      <c r="B14273" s="36"/>
      <c r="C14273" s="36"/>
      <c r="E14273" s="1"/>
      <c r="F14273" s="1"/>
      <c r="G14273" s="1"/>
    </row>
    <row r="14274">
      <c r="B14274" s="36"/>
      <c r="C14274" s="36"/>
      <c r="E14274" s="1"/>
      <c r="F14274" s="1"/>
      <c r="G14274" s="1"/>
    </row>
    <row r="14275">
      <c r="B14275" s="36"/>
      <c r="C14275" s="36"/>
      <c r="E14275" s="1"/>
      <c r="F14275" s="1"/>
      <c r="G14275" s="1"/>
    </row>
    <row r="14276">
      <c r="B14276" s="36"/>
      <c r="C14276" s="36"/>
      <c r="E14276" s="1"/>
      <c r="F14276" s="1"/>
      <c r="G14276" s="1"/>
    </row>
    <row r="14277">
      <c r="B14277" s="36"/>
      <c r="C14277" s="36"/>
      <c r="E14277" s="1"/>
      <c r="F14277" s="1"/>
      <c r="G14277" s="1"/>
    </row>
    <row r="14278">
      <c r="B14278" s="36"/>
      <c r="C14278" s="36"/>
      <c r="E14278" s="1"/>
      <c r="F14278" s="1"/>
      <c r="G14278" s="1"/>
    </row>
    <row r="14279">
      <c r="B14279" s="36"/>
      <c r="C14279" s="36"/>
      <c r="E14279" s="1"/>
      <c r="F14279" s="1"/>
      <c r="G14279" s="1"/>
    </row>
    <row r="14280">
      <c r="B14280" s="36"/>
      <c r="C14280" s="36"/>
      <c r="E14280" s="1"/>
      <c r="F14280" s="1"/>
      <c r="G14280" s="1"/>
    </row>
    <row r="14281">
      <c r="B14281" s="36"/>
      <c r="C14281" s="36"/>
      <c r="E14281" s="1"/>
      <c r="F14281" s="1"/>
      <c r="G14281" s="1"/>
    </row>
    <row r="14282">
      <c r="B14282" s="36"/>
      <c r="C14282" s="36"/>
      <c r="E14282" s="1"/>
      <c r="F14282" s="1"/>
      <c r="G14282" s="1"/>
    </row>
    <row r="14283">
      <c r="B14283" s="36"/>
      <c r="C14283" s="36"/>
      <c r="E14283" s="1"/>
      <c r="F14283" s="1"/>
      <c r="G14283" s="1"/>
    </row>
    <row r="14284">
      <c r="B14284" s="36"/>
      <c r="C14284" s="36"/>
      <c r="E14284" s="1"/>
      <c r="F14284" s="1"/>
      <c r="G14284" s="1"/>
    </row>
    <row r="14285">
      <c r="B14285" s="36"/>
      <c r="C14285" s="36"/>
      <c r="E14285" s="1"/>
      <c r="F14285" s="1"/>
      <c r="G14285" s="1"/>
    </row>
    <row r="14286">
      <c r="B14286" s="36"/>
      <c r="C14286" s="36"/>
      <c r="E14286" s="1"/>
      <c r="F14286" s="1"/>
      <c r="G14286" s="1"/>
    </row>
    <row r="14287">
      <c r="B14287" s="36"/>
      <c r="C14287" s="36"/>
      <c r="E14287" s="1"/>
      <c r="F14287" s="1"/>
      <c r="G14287" s="1"/>
    </row>
    <row r="14288">
      <c r="B14288" s="36"/>
      <c r="C14288" s="36"/>
      <c r="E14288" s="1"/>
      <c r="F14288" s="1"/>
      <c r="G14288" s="1"/>
    </row>
    <row r="14289">
      <c r="B14289" s="36"/>
      <c r="C14289" s="36"/>
      <c r="E14289" s="1"/>
      <c r="F14289" s="1"/>
      <c r="G14289" s="1"/>
    </row>
    <row r="14290">
      <c r="B14290" s="36"/>
      <c r="C14290" s="36"/>
      <c r="E14290" s="1"/>
      <c r="F14290" s="1"/>
      <c r="G14290" s="1"/>
    </row>
    <row r="14291">
      <c r="B14291" s="36"/>
      <c r="C14291" s="36"/>
      <c r="E14291" s="1"/>
      <c r="F14291" s="1"/>
      <c r="G14291" s="1"/>
    </row>
    <row r="14292">
      <c r="B14292" s="36"/>
      <c r="C14292" s="36"/>
      <c r="E14292" s="1"/>
      <c r="F14292" s="1"/>
      <c r="G14292" s="1"/>
    </row>
    <row r="14293">
      <c r="B14293" s="36"/>
      <c r="C14293" s="36"/>
      <c r="E14293" s="1"/>
      <c r="F14293" s="1"/>
      <c r="G14293" s="1"/>
    </row>
    <row r="14294">
      <c r="B14294" s="36"/>
      <c r="C14294" s="36"/>
      <c r="E14294" s="1"/>
      <c r="F14294" s="1"/>
      <c r="G14294" s="1"/>
    </row>
    <row r="14295">
      <c r="B14295" s="36"/>
      <c r="C14295" s="36"/>
      <c r="E14295" s="1"/>
      <c r="F14295" s="1"/>
      <c r="G14295" s="1"/>
    </row>
    <row r="14296">
      <c r="B14296" s="36"/>
      <c r="C14296" s="36"/>
      <c r="E14296" s="1"/>
      <c r="F14296" s="1"/>
      <c r="G14296" s="1"/>
    </row>
    <row r="14297">
      <c r="B14297" s="36"/>
      <c r="C14297" s="36"/>
      <c r="E14297" s="1"/>
      <c r="F14297" s="1"/>
      <c r="G14297" s="1"/>
    </row>
    <row r="14298">
      <c r="B14298" s="36"/>
      <c r="C14298" s="36"/>
      <c r="E14298" s="1"/>
      <c r="F14298" s="1"/>
      <c r="G14298" s="1"/>
    </row>
    <row r="14299">
      <c r="B14299" s="36"/>
      <c r="C14299" s="36"/>
      <c r="E14299" s="1"/>
      <c r="F14299" s="1"/>
      <c r="G14299" s="1"/>
    </row>
    <row r="14300">
      <c r="B14300" s="36"/>
      <c r="C14300" s="36"/>
      <c r="E14300" s="1"/>
      <c r="F14300" s="1"/>
      <c r="G14300" s="1"/>
    </row>
    <row r="14301">
      <c r="B14301" s="36"/>
      <c r="C14301" s="36"/>
      <c r="E14301" s="1"/>
      <c r="F14301" s="1"/>
      <c r="G14301" s="1"/>
    </row>
    <row r="14302">
      <c r="B14302" s="36"/>
      <c r="C14302" s="36"/>
      <c r="E14302" s="1"/>
      <c r="F14302" s="1"/>
      <c r="G14302" s="1"/>
    </row>
    <row r="14303">
      <c r="B14303" s="36"/>
      <c r="C14303" s="36"/>
      <c r="E14303" s="1"/>
      <c r="F14303" s="1"/>
      <c r="G14303" s="1"/>
    </row>
    <row r="14304">
      <c r="B14304" s="36"/>
      <c r="C14304" s="36"/>
      <c r="E14304" s="1"/>
      <c r="F14304" s="1"/>
      <c r="G14304" s="1"/>
    </row>
    <row r="14305">
      <c r="B14305" s="36"/>
      <c r="C14305" s="36"/>
      <c r="E14305" s="1"/>
      <c r="F14305" s="1"/>
      <c r="G14305" s="1"/>
    </row>
    <row r="14306">
      <c r="B14306" s="36"/>
      <c r="C14306" s="36"/>
      <c r="E14306" s="1"/>
      <c r="F14306" s="1"/>
      <c r="G14306" s="1"/>
    </row>
    <row r="14307">
      <c r="B14307" s="36"/>
      <c r="C14307" s="36"/>
      <c r="E14307" s="1"/>
      <c r="F14307" s="1"/>
      <c r="G14307" s="1"/>
    </row>
    <row r="14308">
      <c r="B14308" s="36"/>
      <c r="C14308" s="36"/>
      <c r="E14308" s="1"/>
      <c r="F14308" s="1"/>
      <c r="G14308" s="1"/>
    </row>
    <row r="14309">
      <c r="B14309" s="36"/>
      <c r="C14309" s="36"/>
      <c r="E14309" s="1"/>
      <c r="F14309" s="1"/>
      <c r="G14309" s="1"/>
    </row>
    <row r="14310">
      <c r="B14310" s="36"/>
      <c r="C14310" s="36"/>
      <c r="E14310" s="1"/>
      <c r="F14310" s="1"/>
      <c r="G14310" s="1"/>
    </row>
    <row r="14311">
      <c r="B14311" s="36"/>
      <c r="C14311" s="36"/>
      <c r="E14311" s="1"/>
      <c r="F14311" s="1"/>
      <c r="G14311" s="1"/>
    </row>
    <row r="14312">
      <c r="B14312" s="36"/>
      <c r="C14312" s="36"/>
      <c r="E14312" s="1"/>
      <c r="F14312" s="1"/>
      <c r="G14312" s="1"/>
    </row>
    <row r="14313">
      <c r="B14313" s="36"/>
      <c r="C14313" s="36"/>
      <c r="E14313" s="1"/>
      <c r="F14313" s="1"/>
      <c r="G14313" s="1"/>
    </row>
    <row r="14314">
      <c r="B14314" s="36"/>
      <c r="C14314" s="36"/>
      <c r="E14314" s="1"/>
      <c r="F14314" s="1"/>
      <c r="G14314" s="1"/>
    </row>
    <row r="14315">
      <c r="B14315" s="36"/>
      <c r="C14315" s="36"/>
      <c r="E14315" s="1"/>
      <c r="F14315" s="1"/>
      <c r="G14315" s="1"/>
    </row>
    <row r="14316">
      <c r="B14316" s="36"/>
      <c r="C14316" s="36"/>
      <c r="E14316" s="1"/>
      <c r="F14316" s="1"/>
      <c r="G14316" s="1"/>
    </row>
    <row r="14317">
      <c r="B14317" s="36"/>
      <c r="C14317" s="36"/>
      <c r="E14317" s="1"/>
      <c r="F14317" s="1"/>
      <c r="G14317" s="1"/>
    </row>
    <row r="14318">
      <c r="B14318" s="36"/>
      <c r="C14318" s="36"/>
      <c r="E14318" s="1"/>
      <c r="F14318" s="1"/>
      <c r="G14318" s="1"/>
    </row>
    <row r="14319">
      <c r="B14319" s="36"/>
      <c r="C14319" s="36"/>
      <c r="E14319" s="1"/>
      <c r="F14319" s="1"/>
      <c r="G14319" s="1"/>
    </row>
    <row r="14320">
      <c r="B14320" s="36"/>
      <c r="C14320" s="36"/>
      <c r="E14320" s="1"/>
      <c r="F14320" s="1"/>
      <c r="G14320" s="1"/>
    </row>
    <row r="14321">
      <c r="B14321" s="36"/>
      <c r="C14321" s="36"/>
      <c r="E14321" s="1"/>
      <c r="F14321" s="1"/>
      <c r="G14321" s="1"/>
    </row>
    <row r="14322">
      <c r="B14322" s="36"/>
      <c r="C14322" s="36"/>
      <c r="E14322" s="1"/>
      <c r="F14322" s="1"/>
      <c r="G14322" s="1"/>
    </row>
    <row r="14323">
      <c r="B14323" s="36"/>
      <c r="C14323" s="36"/>
      <c r="E14323" s="1"/>
      <c r="F14323" s="1"/>
      <c r="G14323" s="1"/>
    </row>
    <row r="14324">
      <c r="B14324" s="36"/>
      <c r="C14324" s="36"/>
      <c r="E14324" s="1"/>
      <c r="F14324" s="1"/>
      <c r="G14324" s="1"/>
    </row>
    <row r="14325">
      <c r="B14325" s="36"/>
      <c r="C14325" s="36"/>
      <c r="E14325" s="1"/>
      <c r="F14325" s="1"/>
      <c r="G14325" s="1"/>
    </row>
    <row r="14326">
      <c r="B14326" s="36"/>
      <c r="C14326" s="36"/>
      <c r="E14326" s="1"/>
      <c r="F14326" s="1"/>
      <c r="G14326" s="1"/>
    </row>
    <row r="14327">
      <c r="B14327" s="36"/>
      <c r="C14327" s="36"/>
      <c r="E14327" s="1"/>
      <c r="F14327" s="1"/>
      <c r="G14327" s="1"/>
    </row>
    <row r="14328">
      <c r="B14328" s="36"/>
      <c r="C14328" s="36"/>
      <c r="E14328" s="1"/>
      <c r="F14328" s="1"/>
      <c r="G14328" s="1"/>
    </row>
    <row r="14329">
      <c r="B14329" s="36"/>
      <c r="C14329" s="36"/>
      <c r="E14329" s="1"/>
      <c r="F14329" s="1"/>
      <c r="G14329" s="1"/>
    </row>
    <row r="14330">
      <c r="B14330" s="36"/>
      <c r="C14330" s="36"/>
      <c r="E14330" s="1"/>
      <c r="F14330" s="1"/>
      <c r="G14330" s="1"/>
    </row>
    <row r="14331">
      <c r="B14331" s="36"/>
      <c r="C14331" s="36"/>
      <c r="E14331" s="1"/>
      <c r="F14331" s="1"/>
      <c r="G14331" s="1"/>
    </row>
    <row r="14332">
      <c r="B14332" s="36"/>
      <c r="C14332" s="36"/>
      <c r="E14332" s="1"/>
      <c r="F14332" s="1"/>
      <c r="G14332" s="1"/>
    </row>
    <row r="14333">
      <c r="B14333" s="36"/>
      <c r="C14333" s="36"/>
      <c r="E14333" s="1"/>
      <c r="F14333" s="1"/>
      <c r="G14333" s="1"/>
    </row>
    <row r="14334">
      <c r="B14334" s="36"/>
      <c r="C14334" s="36"/>
      <c r="E14334" s="1"/>
      <c r="F14334" s="1"/>
      <c r="G14334" s="1"/>
    </row>
    <row r="14335">
      <c r="B14335" s="36"/>
      <c r="C14335" s="36"/>
      <c r="E14335" s="1"/>
      <c r="F14335" s="1"/>
      <c r="G14335" s="1"/>
    </row>
    <row r="14336">
      <c r="B14336" s="36"/>
      <c r="C14336" s="36"/>
      <c r="E14336" s="1"/>
      <c r="F14336" s="1"/>
      <c r="G14336" s="1"/>
    </row>
    <row r="14337">
      <c r="B14337" s="36"/>
      <c r="C14337" s="36"/>
      <c r="E14337" s="1"/>
      <c r="F14337" s="1"/>
      <c r="G14337" s="1"/>
    </row>
    <row r="14338">
      <c r="B14338" s="36"/>
      <c r="C14338" s="36"/>
      <c r="E14338" s="1"/>
      <c r="F14338" s="1"/>
      <c r="G14338" s="1"/>
    </row>
    <row r="14339">
      <c r="B14339" s="36"/>
      <c r="C14339" s="36"/>
      <c r="E14339" s="1"/>
      <c r="F14339" s="1"/>
      <c r="G14339" s="1"/>
    </row>
    <row r="14340">
      <c r="B14340" s="36"/>
      <c r="C14340" s="36"/>
      <c r="E14340" s="1"/>
      <c r="F14340" s="1"/>
      <c r="G14340" s="1"/>
    </row>
    <row r="14341">
      <c r="B14341" s="36"/>
      <c r="C14341" s="36"/>
      <c r="E14341" s="1"/>
      <c r="F14341" s="1"/>
      <c r="G14341" s="1"/>
    </row>
    <row r="14342">
      <c r="B14342" s="36"/>
      <c r="C14342" s="36"/>
      <c r="E14342" s="1"/>
      <c r="F14342" s="1"/>
      <c r="G14342" s="1"/>
    </row>
    <row r="14343">
      <c r="B14343" s="36"/>
      <c r="C14343" s="36"/>
      <c r="E14343" s="1"/>
      <c r="F14343" s="1"/>
      <c r="G14343" s="1"/>
    </row>
    <row r="14344">
      <c r="B14344" s="36"/>
      <c r="C14344" s="36"/>
      <c r="E14344" s="1"/>
      <c r="F14344" s="1"/>
      <c r="G14344" s="1"/>
    </row>
    <row r="14345">
      <c r="B14345" s="36"/>
      <c r="C14345" s="36"/>
      <c r="E14345" s="1"/>
      <c r="F14345" s="1"/>
      <c r="G14345" s="1"/>
    </row>
    <row r="14346">
      <c r="B14346" s="36"/>
      <c r="C14346" s="36"/>
      <c r="E14346" s="1"/>
      <c r="F14346" s="1"/>
      <c r="G14346" s="1"/>
    </row>
    <row r="14347">
      <c r="B14347" s="36"/>
      <c r="C14347" s="36"/>
      <c r="E14347" s="1"/>
      <c r="F14347" s="1"/>
      <c r="G14347" s="1"/>
    </row>
    <row r="14348">
      <c r="B14348" s="36"/>
      <c r="C14348" s="36"/>
      <c r="E14348" s="1"/>
      <c r="F14348" s="1"/>
      <c r="G14348" s="1"/>
    </row>
    <row r="14349">
      <c r="B14349" s="36"/>
      <c r="C14349" s="36"/>
      <c r="E14349" s="1"/>
      <c r="F14349" s="1"/>
      <c r="G14349" s="1"/>
    </row>
    <row r="14350">
      <c r="B14350" s="36"/>
      <c r="C14350" s="36"/>
      <c r="E14350" s="1"/>
      <c r="F14350" s="1"/>
      <c r="G14350" s="1"/>
    </row>
    <row r="14351">
      <c r="B14351" s="36"/>
      <c r="C14351" s="36"/>
      <c r="E14351" s="1"/>
      <c r="F14351" s="1"/>
      <c r="G14351" s="1"/>
    </row>
    <row r="14352">
      <c r="B14352" s="36"/>
      <c r="C14352" s="36"/>
      <c r="E14352" s="1"/>
      <c r="F14352" s="1"/>
      <c r="G14352" s="1"/>
    </row>
    <row r="14353">
      <c r="B14353" s="36"/>
      <c r="C14353" s="36"/>
      <c r="E14353" s="1"/>
      <c r="F14353" s="1"/>
      <c r="G14353" s="1"/>
    </row>
    <row r="14354">
      <c r="B14354" s="36"/>
      <c r="C14354" s="36"/>
      <c r="E14354" s="1"/>
      <c r="F14354" s="1"/>
      <c r="G14354" s="1"/>
    </row>
    <row r="14355">
      <c r="B14355" s="36"/>
      <c r="C14355" s="36"/>
      <c r="E14355" s="1"/>
      <c r="F14355" s="1"/>
      <c r="G14355" s="1"/>
    </row>
    <row r="14356">
      <c r="B14356" s="36"/>
      <c r="C14356" s="36"/>
      <c r="E14356" s="1"/>
      <c r="F14356" s="1"/>
      <c r="G14356" s="1"/>
    </row>
    <row r="14357">
      <c r="B14357" s="36"/>
      <c r="C14357" s="36"/>
      <c r="E14357" s="1"/>
      <c r="F14357" s="1"/>
      <c r="G14357" s="1"/>
    </row>
    <row r="14358">
      <c r="B14358" s="36"/>
      <c r="C14358" s="36"/>
      <c r="E14358" s="1"/>
      <c r="F14358" s="1"/>
      <c r="G14358" s="1"/>
    </row>
    <row r="14359">
      <c r="B14359" s="36"/>
      <c r="C14359" s="36"/>
      <c r="E14359" s="1"/>
      <c r="F14359" s="1"/>
      <c r="G14359" s="1"/>
    </row>
    <row r="14360">
      <c r="B14360" s="36"/>
      <c r="C14360" s="36"/>
      <c r="E14360" s="1"/>
      <c r="F14360" s="1"/>
      <c r="G14360" s="1"/>
    </row>
    <row r="14361">
      <c r="B14361" s="36"/>
      <c r="C14361" s="36"/>
      <c r="E14361" s="1"/>
      <c r="F14361" s="1"/>
      <c r="G14361" s="1"/>
    </row>
    <row r="14362">
      <c r="B14362" s="36"/>
      <c r="C14362" s="36"/>
      <c r="E14362" s="1"/>
      <c r="F14362" s="1"/>
      <c r="G14362" s="1"/>
    </row>
    <row r="14363">
      <c r="B14363" s="36"/>
      <c r="C14363" s="36"/>
      <c r="E14363" s="1"/>
      <c r="F14363" s="1"/>
      <c r="G14363" s="1"/>
    </row>
    <row r="14364">
      <c r="B14364" s="36"/>
      <c r="C14364" s="36"/>
      <c r="E14364" s="1"/>
      <c r="F14364" s="1"/>
      <c r="G14364" s="1"/>
    </row>
    <row r="14365">
      <c r="B14365" s="36"/>
      <c r="C14365" s="36"/>
      <c r="E14365" s="1"/>
      <c r="F14365" s="1"/>
      <c r="G14365" s="1"/>
    </row>
    <row r="14366">
      <c r="B14366" s="36"/>
      <c r="C14366" s="36"/>
      <c r="E14366" s="1"/>
      <c r="F14366" s="1"/>
      <c r="G14366" s="1"/>
    </row>
    <row r="14367">
      <c r="B14367" s="36"/>
      <c r="C14367" s="36"/>
      <c r="E14367" s="1"/>
      <c r="F14367" s="1"/>
      <c r="G14367" s="1"/>
    </row>
    <row r="14368">
      <c r="B14368" s="36"/>
      <c r="C14368" s="36"/>
      <c r="E14368" s="1"/>
      <c r="F14368" s="1"/>
      <c r="G14368" s="1"/>
    </row>
    <row r="14369">
      <c r="B14369" s="36"/>
      <c r="C14369" s="36"/>
      <c r="E14369" s="1"/>
      <c r="F14369" s="1"/>
      <c r="G14369" s="1"/>
    </row>
    <row r="14370">
      <c r="B14370" s="36"/>
      <c r="C14370" s="36"/>
      <c r="E14370" s="1"/>
      <c r="F14370" s="1"/>
      <c r="G14370" s="1"/>
    </row>
    <row r="14371">
      <c r="B14371" s="36"/>
      <c r="C14371" s="36"/>
      <c r="E14371" s="1"/>
      <c r="F14371" s="1"/>
      <c r="G14371" s="1"/>
    </row>
    <row r="14372">
      <c r="B14372" s="36"/>
      <c r="C14372" s="36"/>
      <c r="E14372" s="1"/>
      <c r="F14372" s="1"/>
      <c r="G14372" s="1"/>
    </row>
    <row r="14373">
      <c r="B14373" s="36"/>
      <c r="C14373" s="36"/>
      <c r="E14373" s="1"/>
      <c r="F14373" s="1"/>
      <c r="G14373" s="1"/>
    </row>
    <row r="14374">
      <c r="B14374" s="36"/>
      <c r="C14374" s="36"/>
      <c r="E14374" s="1"/>
      <c r="F14374" s="1"/>
      <c r="G14374" s="1"/>
    </row>
    <row r="14375">
      <c r="B14375" s="36"/>
      <c r="C14375" s="36"/>
      <c r="E14375" s="1"/>
      <c r="F14375" s="1"/>
      <c r="G14375" s="1"/>
    </row>
    <row r="14376">
      <c r="B14376" s="36"/>
      <c r="C14376" s="36"/>
      <c r="E14376" s="1"/>
      <c r="F14376" s="1"/>
      <c r="G14376" s="1"/>
    </row>
    <row r="14377">
      <c r="B14377" s="36"/>
      <c r="C14377" s="36"/>
      <c r="E14377" s="1"/>
      <c r="F14377" s="1"/>
      <c r="G14377" s="1"/>
    </row>
    <row r="14378">
      <c r="B14378" s="36"/>
      <c r="C14378" s="36"/>
      <c r="E14378" s="1"/>
      <c r="F14378" s="1"/>
      <c r="G14378" s="1"/>
    </row>
    <row r="14379">
      <c r="B14379" s="36"/>
      <c r="C14379" s="36"/>
      <c r="E14379" s="1"/>
      <c r="F14379" s="1"/>
      <c r="G14379" s="1"/>
    </row>
    <row r="14380">
      <c r="B14380" s="36"/>
      <c r="C14380" s="36"/>
      <c r="E14380" s="1"/>
      <c r="F14380" s="1"/>
      <c r="G14380" s="1"/>
    </row>
    <row r="14381">
      <c r="B14381" s="36"/>
      <c r="C14381" s="36"/>
      <c r="E14381" s="1"/>
      <c r="F14381" s="1"/>
      <c r="G14381" s="1"/>
    </row>
    <row r="14382">
      <c r="B14382" s="36"/>
      <c r="C14382" s="36"/>
      <c r="E14382" s="1"/>
      <c r="F14382" s="1"/>
      <c r="G14382" s="1"/>
    </row>
    <row r="14383">
      <c r="B14383" s="36"/>
      <c r="C14383" s="36"/>
      <c r="E14383" s="1"/>
      <c r="F14383" s="1"/>
      <c r="G14383" s="1"/>
    </row>
    <row r="14384">
      <c r="B14384" s="36"/>
      <c r="C14384" s="36"/>
      <c r="E14384" s="1"/>
      <c r="F14384" s="1"/>
      <c r="G14384" s="1"/>
    </row>
    <row r="14385">
      <c r="B14385" s="36"/>
      <c r="C14385" s="36"/>
      <c r="E14385" s="1"/>
      <c r="F14385" s="1"/>
      <c r="G14385" s="1"/>
    </row>
    <row r="14386">
      <c r="B14386" s="36"/>
      <c r="C14386" s="36"/>
      <c r="E14386" s="1"/>
      <c r="F14386" s="1"/>
      <c r="G14386" s="1"/>
    </row>
    <row r="14387">
      <c r="B14387" s="36"/>
      <c r="C14387" s="36"/>
      <c r="E14387" s="1"/>
      <c r="F14387" s="1"/>
      <c r="G14387" s="1"/>
    </row>
    <row r="14388">
      <c r="B14388" s="36"/>
      <c r="C14388" s="36"/>
      <c r="E14388" s="1"/>
      <c r="F14388" s="1"/>
      <c r="G14388" s="1"/>
    </row>
    <row r="14389">
      <c r="B14389" s="36"/>
      <c r="C14389" s="36"/>
      <c r="E14389" s="1"/>
      <c r="F14389" s="1"/>
      <c r="G14389" s="1"/>
    </row>
    <row r="14390">
      <c r="B14390" s="36"/>
      <c r="C14390" s="36"/>
      <c r="E14390" s="1"/>
      <c r="F14390" s="1"/>
      <c r="G14390" s="1"/>
    </row>
    <row r="14391">
      <c r="B14391" s="36"/>
      <c r="C14391" s="36"/>
      <c r="E14391" s="1"/>
      <c r="F14391" s="1"/>
      <c r="G14391" s="1"/>
    </row>
    <row r="14392">
      <c r="B14392" s="36"/>
      <c r="C14392" s="36"/>
      <c r="E14392" s="1"/>
      <c r="F14392" s="1"/>
      <c r="G14392" s="1"/>
    </row>
    <row r="14393">
      <c r="B14393" s="36"/>
      <c r="C14393" s="36"/>
      <c r="E14393" s="1"/>
      <c r="F14393" s="1"/>
      <c r="G14393" s="1"/>
    </row>
    <row r="14394">
      <c r="B14394" s="36"/>
      <c r="C14394" s="36"/>
      <c r="E14394" s="1"/>
      <c r="F14394" s="1"/>
      <c r="G14394" s="1"/>
    </row>
    <row r="14395">
      <c r="B14395" s="36"/>
      <c r="C14395" s="36"/>
      <c r="E14395" s="1"/>
      <c r="F14395" s="1"/>
      <c r="G14395" s="1"/>
    </row>
    <row r="14396">
      <c r="B14396" s="36"/>
      <c r="C14396" s="36"/>
      <c r="E14396" s="1"/>
      <c r="F14396" s="1"/>
      <c r="G14396" s="1"/>
    </row>
    <row r="14397">
      <c r="B14397" s="36"/>
      <c r="C14397" s="36"/>
      <c r="E14397" s="1"/>
      <c r="F14397" s="1"/>
      <c r="G14397" s="1"/>
    </row>
    <row r="14398">
      <c r="B14398" s="36"/>
      <c r="C14398" s="36"/>
      <c r="E14398" s="1"/>
      <c r="F14398" s="1"/>
      <c r="G14398" s="1"/>
    </row>
    <row r="14399">
      <c r="B14399" s="36"/>
      <c r="C14399" s="36"/>
      <c r="E14399" s="1"/>
      <c r="F14399" s="1"/>
      <c r="G14399" s="1"/>
    </row>
    <row r="14400">
      <c r="B14400" s="36"/>
      <c r="C14400" s="36"/>
      <c r="E14400" s="1"/>
      <c r="F14400" s="1"/>
      <c r="G14400" s="1"/>
    </row>
    <row r="14401">
      <c r="B14401" s="36"/>
      <c r="C14401" s="36"/>
      <c r="E14401" s="1"/>
      <c r="F14401" s="1"/>
      <c r="G14401" s="1"/>
    </row>
    <row r="14402">
      <c r="B14402" s="36"/>
      <c r="C14402" s="36"/>
      <c r="E14402" s="1"/>
      <c r="F14402" s="1"/>
      <c r="G14402" s="1"/>
    </row>
    <row r="14403">
      <c r="B14403" s="36"/>
      <c r="C14403" s="36"/>
      <c r="E14403" s="1"/>
      <c r="F14403" s="1"/>
      <c r="G14403" s="1"/>
    </row>
    <row r="14404">
      <c r="B14404" s="36"/>
      <c r="C14404" s="36"/>
      <c r="E14404" s="1"/>
      <c r="F14404" s="1"/>
      <c r="G14404" s="1"/>
    </row>
    <row r="14405">
      <c r="B14405" s="36"/>
      <c r="C14405" s="36"/>
      <c r="E14405" s="1"/>
      <c r="F14405" s="1"/>
      <c r="G14405" s="1"/>
    </row>
    <row r="14406">
      <c r="B14406" s="36"/>
      <c r="C14406" s="36"/>
      <c r="E14406" s="1"/>
      <c r="F14406" s="1"/>
      <c r="G14406" s="1"/>
    </row>
    <row r="14407">
      <c r="B14407" s="36"/>
      <c r="C14407" s="36"/>
      <c r="E14407" s="1"/>
      <c r="F14407" s="1"/>
      <c r="G14407" s="1"/>
    </row>
    <row r="14408">
      <c r="B14408" s="36"/>
      <c r="C14408" s="36"/>
      <c r="E14408" s="1"/>
      <c r="F14408" s="1"/>
      <c r="G14408" s="1"/>
    </row>
    <row r="14409">
      <c r="B14409" s="36"/>
      <c r="C14409" s="36"/>
      <c r="E14409" s="1"/>
      <c r="F14409" s="1"/>
      <c r="G14409" s="1"/>
    </row>
    <row r="14410">
      <c r="B14410" s="36"/>
      <c r="C14410" s="36"/>
      <c r="E14410" s="1"/>
      <c r="F14410" s="1"/>
      <c r="G14410" s="1"/>
    </row>
    <row r="14411">
      <c r="B14411" s="36"/>
      <c r="C14411" s="36"/>
      <c r="E14411" s="1"/>
      <c r="F14411" s="1"/>
      <c r="G14411" s="1"/>
    </row>
    <row r="14412">
      <c r="B14412" s="36"/>
      <c r="C14412" s="36"/>
      <c r="E14412" s="1"/>
      <c r="F14412" s="1"/>
      <c r="G14412" s="1"/>
    </row>
    <row r="14413">
      <c r="B14413" s="36"/>
      <c r="C14413" s="36"/>
      <c r="E14413" s="1"/>
      <c r="F14413" s="1"/>
      <c r="G14413" s="1"/>
    </row>
    <row r="14414">
      <c r="B14414" s="36"/>
      <c r="C14414" s="36"/>
      <c r="E14414" s="1"/>
      <c r="F14414" s="1"/>
      <c r="G14414" s="1"/>
    </row>
    <row r="14415">
      <c r="B14415" s="36"/>
      <c r="C14415" s="36"/>
      <c r="E14415" s="1"/>
      <c r="F14415" s="1"/>
      <c r="G14415" s="1"/>
    </row>
    <row r="14416">
      <c r="B14416" s="36"/>
      <c r="C14416" s="36"/>
      <c r="E14416" s="1"/>
      <c r="F14416" s="1"/>
      <c r="G14416" s="1"/>
    </row>
    <row r="14417">
      <c r="B14417" s="36"/>
      <c r="C14417" s="36"/>
      <c r="E14417" s="1"/>
      <c r="F14417" s="1"/>
      <c r="G14417" s="1"/>
    </row>
    <row r="14418">
      <c r="B14418" s="36"/>
      <c r="C14418" s="36"/>
      <c r="E14418" s="1"/>
      <c r="F14418" s="1"/>
      <c r="G14418" s="1"/>
    </row>
    <row r="14419">
      <c r="B14419" s="36"/>
      <c r="C14419" s="36"/>
      <c r="E14419" s="1"/>
      <c r="F14419" s="1"/>
      <c r="G14419" s="1"/>
    </row>
    <row r="14420">
      <c r="B14420" s="36"/>
      <c r="C14420" s="36"/>
      <c r="E14420" s="1"/>
      <c r="F14420" s="1"/>
      <c r="G14420" s="1"/>
    </row>
    <row r="14421">
      <c r="B14421" s="36"/>
      <c r="C14421" s="36"/>
      <c r="E14421" s="1"/>
      <c r="F14421" s="1"/>
      <c r="G14421" s="1"/>
    </row>
    <row r="14422">
      <c r="B14422" s="36"/>
      <c r="C14422" s="36"/>
      <c r="E14422" s="1"/>
      <c r="F14422" s="1"/>
      <c r="G14422" s="1"/>
    </row>
    <row r="14423">
      <c r="B14423" s="36"/>
      <c r="C14423" s="36"/>
      <c r="E14423" s="1"/>
      <c r="F14423" s="1"/>
      <c r="G14423" s="1"/>
    </row>
    <row r="14424">
      <c r="B14424" s="36"/>
      <c r="C14424" s="36"/>
      <c r="E14424" s="1"/>
      <c r="F14424" s="1"/>
      <c r="G14424" s="1"/>
    </row>
    <row r="14425">
      <c r="B14425" s="36"/>
      <c r="C14425" s="36"/>
      <c r="E14425" s="1"/>
      <c r="F14425" s="1"/>
      <c r="G14425" s="1"/>
    </row>
    <row r="14426">
      <c r="B14426" s="36"/>
      <c r="C14426" s="36"/>
      <c r="E14426" s="1"/>
      <c r="F14426" s="1"/>
      <c r="G14426" s="1"/>
    </row>
    <row r="14427">
      <c r="B14427" s="36"/>
      <c r="C14427" s="36"/>
      <c r="E14427" s="1"/>
      <c r="F14427" s="1"/>
      <c r="G14427" s="1"/>
    </row>
    <row r="14428">
      <c r="B14428" s="36"/>
      <c r="C14428" s="36"/>
      <c r="E14428" s="1"/>
      <c r="F14428" s="1"/>
      <c r="G14428" s="1"/>
    </row>
    <row r="14429">
      <c r="B14429" s="36"/>
      <c r="C14429" s="36"/>
      <c r="E14429" s="1"/>
      <c r="F14429" s="1"/>
      <c r="G14429" s="1"/>
    </row>
    <row r="14430">
      <c r="B14430" s="36"/>
      <c r="C14430" s="36"/>
      <c r="E14430" s="1"/>
      <c r="F14430" s="1"/>
      <c r="G14430" s="1"/>
    </row>
    <row r="14431">
      <c r="B14431" s="36"/>
      <c r="C14431" s="36"/>
      <c r="E14431" s="1"/>
      <c r="F14431" s="1"/>
      <c r="G14431" s="1"/>
    </row>
    <row r="14432">
      <c r="B14432" s="36"/>
      <c r="C14432" s="36"/>
      <c r="E14432" s="1"/>
      <c r="F14432" s="1"/>
      <c r="G14432" s="1"/>
    </row>
    <row r="14433">
      <c r="B14433" s="36"/>
      <c r="C14433" s="36"/>
      <c r="E14433" s="1"/>
      <c r="F14433" s="1"/>
      <c r="G14433" s="1"/>
    </row>
    <row r="14434">
      <c r="B14434" s="36"/>
      <c r="C14434" s="36"/>
      <c r="E14434" s="1"/>
      <c r="F14434" s="1"/>
      <c r="G14434" s="1"/>
    </row>
    <row r="14435">
      <c r="B14435" s="36"/>
      <c r="C14435" s="36"/>
      <c r="E14435" s="1"/>
      <c r="F14435" s="1"/>
      <c r="G14435" s="1"/>
    </row>
    <row r="14436">
      <c r="B14436" s="36"/>
      <c r="C14436" s="36"/>
      <c r="E14436" s="1"/>
      <c r="F14436" s="1"/>
      <c r="G14436" s="1"/>
    </row>
    <row r="14437">
      <c r="B14437" s="36"/>
      <c r="C14437" s="36"/>
      <c r="E14437" s="1"/>
      <c r="F14437" s="1"/>
      <c r="G14437" s="1"/>
    </row>
    <row r="14438">
      <c r="B14438" s="36"/>
      <c r="C14438" s="36"/>
      <c r="E14438" s="1"/>
      <c r="F14438" s="1"/>
      <c r="G14438" s="1"/>
    </row>
    <row r="14439">
      <c r="B14439" s="36"/>
      <c r="C14439" s="36"/>
      <c r="E14439" s="1"/>
      <c r="F14439" s="1"/>
      <c r="G14439" s="1"/>
    </row>
    <row r="14440">
      <c r="B14440" s="36"/>
      <c r="C14440" s="36"/>
      <c r="E14440" s="1"/>
      <c r="F14440" s="1"/>
      <c r="G14440" s="1"/>
    </row>
    <row r="14441">
      <c r="B14441" s="36"/>
      <c r="C14441" s="36"/>
      <c r="E14441" s="1"/>
      <c r="F14441" s="1"/>
      <c r="G14441" s="1"/>
    </row>
    <row r="14442">
      <c r="B14442" s="36"/>
      <c r="C14442" s="36"/>
      <c r="E14442" s="1"/>
      <c r="F14442" s="1"/>
      <c r="G14442" s="1"/>
    </row>
    <row r="14443">
      <c r="B14443" s="36"/>
      <c r="C14443" s="36"/>
      <c r="E14443" s="1"/>
      <c r="F14443" s="1"/>
      <c r="G14443" s="1"/>
    </row>
    <row r="14444">
      <c r="B14444" s="36"/>
      <c r="C14444" s="36"/>
      <c r="E14444" s="1"/>
      <c r="F14444" s="1"/>
      <c r="G14444" s="1"/>
    </row>
    <row r="14445">
      <c r="B14445" s="36"/>
      <c r="C14445" s="36"/>
      <c r="E14445" s="1"/>
      <c r="F14445" s="1"/>
      <c r="G14445" s="1"/>
    </row>
    <row r="14446">
      <c r="B14446" s="36"/>
      <c r="C14446" s="36"/>
      <c r="E14446" s="1"/>
      <c r="F14446" s="1"/>
      <c r="G14446" s="1"/>
    </row>
    <row r="14447">
      <c r="B14447" s="36"/>
      <c r="C14447" s="36"/>
      <c r="E14447" s="1"/>
      <c r="F14447" s="1"/>
      <c r="G14447" s="1"/>
    </row>
    <row r="14448">
      <c r="B14448" s="36"/>
      <c r="C14448" s="36"/>
      <c r="E14448" s="1"/>
      <c r="F14448" s="1"/>
      <c r="G14448" s="1"/>
    </row>
    <row r="14449">
      <c r="B14449" s="36"/>
      <c r="C14449" s="36"/>
      <c r="E14449" s="1"/>
      <c r="F14449" s="1"/>
      <c r="G14449" s="1"/>
    </row>
    <row r="14450">
      <c r="B14450" s="36"/>
      <c r="C14450" s="36"/>
      <c r="E14450" s="1"/>
      <c r="F14450" s="1"/>
      <c r="G14450" s="1"/>
    </row>
    <row r="14451">
      <c r="B14451" s="36"/>
      <c r="C14451" s="36"/>
      <c r="E14451" s="1"/>
      <c r="F14451" s="1"/>
      <c r="G14451" s="1"/>
    </row>
    <row r="14452">
      <c r="B14452" s="36"/>
      <c r="C14452" s="36"/>
      <c r="E14452" s="1"/>
      <c r="F14452" s="1"/>
      <c r="G14452" s="1"/>
    </row>
    <row r="14453">
      <c r="B14453" s="36"/>
      <c r="C14453" s="36"/>
      <c r="E14453" s="1"/>
      <c r="F14453" s="1"/>
      <c r="G14453" s="1"/>
    </row>
    <row r="14454">
      <c r="B14454" s="36"/>
      <c r="C14454" s="36"/>
      <c r="E14454" s="1"/>
      <c r="F14454" s="1"/>
      <c r="G14454" s="1"/>
    </row>
    <row r="14455">
      <c r="B14455" s="36"/>
      <c r="C14455" s="36"/>
      <c r="E14455" s="1"/>
      <c r="F14455" s="1"/>
      <c r="G14455" s="1"/>
    </row>
    <row r="14456">
      <c r="B14456" s="36"/>
      <c r="C14456" s="36"/>
      <c r="E14456" s="1"/>
      <c r="F14456" s="1"/>
      <c r="G14456" s="1"/>
    </row>
    <row r="14457">
      <c r="B14457" s="36"/>
      <c r="C14457" s="36"/>
      <c r="E14457" s="1"/>
      <c r="F14457" s="1"/>
      <c r="G14457" s="1"/>
    </row>
    <row r="14458">
      <c r="B14458" s="36"/>
      <c r="C14458" s="36"/>
      <c r="E14458" s="1"/>
      <c r="F14458" s="1"/>
      <c r="G14458" s="1"/>
    </row>
    <row r="14459">
      <c r="B14459" s="36"/>
      <c r="C14459" s="36"/>
      <c r="E14459" s="1"/>
      <c r="F14459" s="1"/>
      <c r="G14459" s="1"/>
    </row>
    <row r="14460">
      <c r="B14460" s="36"/>
      <c r="C14460" s="36"/>
      <c r="E14460" s="1"/>
      <c r="F14460" s="1"/>
      <c r="G14460" s="1"/>
    </row>
    <row r="14461">
      <c r="B14461" s="36"/>
      <c r="C14461" s="36"/>
      <c r="E14461" s="1"/>
      <c r="F14461" s="1"/>
      <c r="G14461" s="1"/>
    </row>
    <row r="14462">
      <c r="B14462" s="36"/>
      <c r="C14462" s="36"/>
      <c r="E14462" s="1"/>
      <c r="F14462" s="1"/>
      <c r="G14462" s="1"/>
    </row>
    <row r="14463">
      <c r="B14463" s="36"/>
      <c r="C14463" s="36"/>
      <c r="E14463" s="1"/>
      <c r="F14463" s="1"/>
      <c r="G14463" s="1"/>
    </row>
    <row r="14464">
      <c r="B14464" s="36"/>
      <c r="C14464" s="36"/>
      <c r="E14464" s="1"/>
      <c r="F14464" s="1"/>
      <c r="G14464" s="1"/>
    </row>
    <row r="14465">
      <c r="B14465" s="36"/>
      <c r="C14465" s="36"/>
      <c r="E14465" s="1"/>
      <c r="F14465" s="1"/>
      <c r="G14465" s="1"/>
    </row>
    <row r="14466">
      <c r="B14466" s="36"/>
      <c r="C14466" s="36"/>
      <c r="E14466" s="1"/>
      <c r="F14466" s="1"/>
      <c r="G14466" s="1"/>
    </row>
    <row r="14467">
      <c r="B14467" s="36"/>
      <c r="C14467" s="36"/>
      <c r="E14467" s="1"/>
      <c r="F14467" s="1"/>
      <c r="G14467" s="1"/>
    </row>
    <row r="14468">
      <c r="B14468" s="36"/>
      <c r="C14468" s="36"/>
      <c r="E14468" s="1"/>
      <c r="F14468" s="1"/>
      <c r="G14468" s="1"/>
    </row>
    <row r="14469">
      <c r="B14469" s="36"/>
      <c r="C14469" s="36"/>
      <c r="E14469" s="1"/>
      <c r="F14469" s="1"/>
      <c r="G14469" s="1"/>
    </row>
    <row r="14470">
      <c r="B14470" s="36"/>
      <c r="C14470" s="36"/>
      <c r="E14470" s="1"/>
      <c r="F14470" s="1"/>
      <c r="G14470" s="1"/>
    </row>
    <row r="14471">
      <c r="B14471" s="36"/>
      <c r="C14471" s="36"/>
      <c r="E14471" s="1"/>
      <c r="F14471" s="1"/>
      <c r="G14471" s="1"/>
    </row>
    <row r="14472">
      <c r="B14472" s="36"/>
      <c r="C14472" s="36"/>
      <c r="E14472" s="1"/>
      <c r="F14472" s="1"/>
      <c r="G14472" s="1"/>
    </row>
    <row r="14473">
      <c r="B14473" s="36"/>
      <c r="C14473" s="36"/>
      <c r="E14473" s="1"/>
      <c r="F14473" s="1"/>
      <c r="G14473" s="1"/>
    </row>
    <row r="14474">
      <c r="B14474" s="36"/>
      <c r="C14474" s="36"/>
      <c r="E14474" s="1"/>
      <c r="F14474" s="1"/>
      <c r="G14474" s="1"/>
    </row>
    <row r="14475">
      <c r="B14475" s="36"/>
      <c r="C14475" s="36"/>
      <c r="E14475" s="1"/>
      <c r="F14475" s="1"/>
      <c r="G14475" s="1"/>
    </row>
    <row r="14476">
      <c r="B14476" s="36"/>
      <c r="C14476" s="36"/>
      <c r="E14476" s="1"/>
      <c r="F14476" s="1"/>
      <c r="G14476" s="1"/>
    </row>
    <row r="14477">
      <c r="B14477" s="36"/>
      <c r="C14477" s="36"/>
      <c r="E14477" s="1"/>
      <c r="F14477" s="1"/>
      <c r="G14477" s="1"/>
    </row>
    <row r="14478">
      <c r="B14478" s="36"/>
      <c r="C14478" s="36"/>
      <c r="E14478" s="1"/>
      <c r="F14478" s="1"/>
      <c r="G14478" s="1"/>
    </row>
    <row r="14479">
      <c r="B14479" s="36"/>
      <c r="C14479" s="36"/>
      <c r="E14479" s="1"/>
      <c r="F14479" s="1"/>
      <c r="G14479" s="1"/>
    </row>
    <row r="14480">
      <c r="B14480" s="36"/>
      <c r="C14480" s="36"/>
      <c r="E14480" s="1"/>
      <c r="F14480" s="1"/>
      <c r="G14480" s="1"/>
    </row>
    <row r="14481">
      <c r="B14481" s="36"/>
      <c r="C14481" s="36"/>
      <c r="E14481" s="1"/>
      <c r="F14481" s="1"/>
      <c r="G14481" s="1"/>
    </row>
    <row r="14482">
      <c r="B14482" s="36"/>
      <c r="C14482" s="36"/>
      <c r="E14482" s="1"/>
      <c r="F14482" s="1"/>
      <c r="G14482" s="1"/>
    </row>
    <row r="14483">
      <c r="B14483" s="36"/>
      <c r="C14483" s="36"/>
      <c r="E14483" s="1"/>
      <c r="F14483" s="1"/>
      <c r="G14483" s="1"/>
    </row>
    <row r="14484">
      <c r="B14484" s="36"/>
      <c r="C14484" s="36"/>
      <c r="E14484" s="1"/>
      <c r="F14484" s="1"/>
      <c r="G14484" s="1"/>
    </row>
    <row r="14485">
      <c r="B14485" s="36"/>
      <c r="C14485" s="36"/>
      <c r="E14485" s="1"/>
      <c r="F14485" s="1"/>
      <c r="G14485" s="1"/>
    </row>
    <row r="14486">
      <c r="B14486" s="36"/>
      <c r="C14486" s="36"/>
      <c r="E14486" s="1"/>
      <c r="F14486" s="1"/>
      <c r="G14486" s="1"/>
    </row>
    <row r="14487">
      <c r="B14487" s="36"/>
      <c r="C14487" s="36"/>
      <c r="E14487" s="1"/>
      <c r="F14487" s="1"/>
      <c r="G14487" s="1"/>
    </row>
    <row r="14488">
      <c r="B14488" s="36"/>
      <c r="C14488" s="36"/>
      <c r="E14488" s="1"/>
      <c r="F14488" s="1"/>
      <c r="G14488" s="1"/>
    </row>
    <row r="14489">
      <c r="B14489" s="36"/>
      <c r="C14489" s="36"/>
      <c r="E14489" s="1"/>
      <c r="F14489" s="1"/>
      <c r="G14489" s="1"/>
    </row>
    <row r="14490">
      <c r="B14490" s="36"/>
      <c r="C14490" s="36"/>
      <c r="E14490" s="1"/>
      <c r="F14490" s="1"/>
      <c r="G14490" s="1"/>
    </row>
    <row r="14491">
      <c r="B14491" s="36"/>
      <c r="C14491" s="36"/>
      <c r="E14491" s="1"/>
      <c r="F14491" s="1"/>
      <c r="G14491" s="1"/>
    </row>
    <row r="14492">
      <c r="B14492" s="36"/>
      <c r="C14492" s="36"/>
      <c r="E14492" s="1"/>
      <c r="F14492" s="1"/>
      <c r="G14492" s="1"/>
    </row>
    <row r="14493">
      <c r="B14493" s="36"/>
      <c r="C14493" s="36"/>
      <c r="E14493" s="1"/>
      <c r="F14493" s="1"/>
      <c r="G14493" s="1"/>
    </row>
    <row r="14494">
      <c r="B14494" s="36"/>
      <c r="C14494" s="36"/>
      <c r="E14494" s="1"/>
      <c r="F14494" s="1"/>
      <c r="G14494" s="1"/>
    </row>
    <row r="14495">
      <c r="B14495" s="36"/>
      <c r="C14495" s="36"/>
      <c r="E14495" s="1"/>
      <c r="F14495" s="1"/>
      <c r="G14495" s="1"/>
    </row>
    <row r="14496">
      <c r="B14496" s="36"/>
      <c r="C14496" s="36"/>
      <c r="E14496" s="1"/>
      <c r="F14496" s="1"/>
      <c r="G14496" s="1"/>
    </row>
    <row r="14497">
      <c r="B14497" s="36"/>
      <c r="C14497" s="36"/>
      <c r="E14497" s="1"/>
      <c r="F14497" s="1"/>
      <c r="G14497" s="1"/>
    </row>
    <row r="14498">
      <c r="B14498" s="36"/>
      <c r="C14498" s="36"/>
      <c r="E14498" s="1"/>
      <c r="F14498" s="1"/>
      <c r="G14498" s="1"/>
    </row>
    <row r="14499">
      <c r="B14499" s="36"/>
      <c r="C14499" s="36"/>
      <c r="E14499" s="1"/>
      <c r="F14499" s="1"/>
      <c r="G14499" s="1"/>
    </row>
    <row r="14500">
      <c r="B14500" s="36"/>
      <c r="C14500" s="36"/>
      <c r="E14500" s="1"/>
      <c r="F14500" s="1"/>
      <c r="G14500" s="1"/>
    </row>
    <row r="14501">
      <c r="B14501" s="36"/>
      <c r="C14501" s="36"/>
      <c r="E14501" s="1"/>
      <c r="F14501" s="1"/>
      <c r="G14501" s="1"/>
    </row>
    <row r="14502">
      <c r="B14502" s="36"/>
      <c r="C14502" s="36"/>
      <c r="E14502" s="1"/>
      <c r="F14502" s="1"/>
      <c r="G14502" s="1"/>
    </row>
    <row r="14503">
      <c r="B14503" s="36"/>
      <c r="C14503" s="36"/>
      <c r="E14503" s="1"/>
      <c r="F14503" s="1"/>
      <c r="G14503" s="1"/>
    </row>
    <row r="14504">
      <c r="B14504" s="36"/>
      <c r="C14504" s="36"/>
      <c r="E14504" s="1"/>
      <c r="F14504" s="1"/>
      <c r="G14504" s="1"/>
    </row>
    <row r="14505">
      <c r="B14505" s="36"/>
      <c r="C14505" s="36"/>
      <c r="E14505" s="1"/>
      <c r="F14505" s="1"/>
      <c r="G14505" s="1"/>
    </row>
    <row r="14506">
      <c r="B14506" s="36"/>
      <c r="C14506" s="36"/>
      <c r="E14506" s="1"/>
      <c r="F14506" s="1"/>
      <c r="G14506" s="1"/>
    </row>
    <row r="14507">
      <c r="B14507" s="36"/>
      <c r="C14507" s="36"/>
      <c r="E14507" s="1"/>
      <c r="F14507" s="1"/>
      <c r="G14507" s="1"/>
    </row>
    <row r="14508">
      <c r="B14508" s="36"/>
      <c r="C14508" s="36"/>
      <c r="E14508" s="1"/>
      <c r="F14508" s="1"/>
      <c r="G14508" s="1"/>
    </row>
    <row r="14509">
      <c r="B14509" s="36"/>
      <c r="C14509" s="36"/>
      <c r="E14509" s="1"/>
      <c r="F14509" s="1"/>
      <c r="G14509" s="1"/>
    </row>
    <row r="14510">
      <c r="B14510" s="36"/>
      <c r="C14510" s="36"/>
      <c r="E14510" s="1"/>
      <c r="F14510" s="1"/>
      <c r="G14510" s="1"/>
    </row>
    <row r="14511">
      <c r="B14511" s="36"/>
      <c r="C14511" s="36"/>
      <c r="E14511" s="1"/>
      <c r="F14511" s="1"/>
      <c r="G14511" s="1"/>
    </row>
    <row r="14512">
      <c r="B14512" s="36"/>
      <c r="C14512" s="36"/>
      <c r="E14512" s="1"/>
      <c r="F14512" s="1"/>
      <c r="G14512" s="1"/>
    </row>
    <row r="14513">
      <c r="B14513" s="36"/>
      <c r="C14513" s="36"/>
      <c r="E14513" s="1"/>
      <c r="F14513" s="1"/>
      <c r="G14513" s="1"/>
    </row>
    <row r="14514">
      <c r="B14514" s="36"/>
      <c r="C14514" s="36"/>
      <c r="E14514" s="1"/>
      <c r="F14514" s="1"/>
      <c r="G14514" s="1"/>
    </row>
    <row r="14515">
      <c r="B14515" s="36"/>
      <c r="C14515" s="36"/>
      <c r="E14515" s="1"/>
      <c r="F14515" s="1"/>
      <c r="G14515" s="1"/>
    </row>
    <row r="14516">
      <c r="B14516" s="36"/>
      <c r="C14516" s="36"/>
      <c r="E14516" s="1"/>
      <c r="F14516" s="1"/>
      <c r="G14516" s="1"/>
    </row>
    <row r="14517">
      <c r="B14517" s="36"/>
      <c r="C14517" s="36"/>
      <c r="E14517" s="1"/>
      <c r="F14517" s="1"/>
      <c r="G14517" s="1"/>
    </row>
    <row r="14518">
      <c r="B14518" s="36"/>
      <c r="C14518" s="36"/>
      <c r="E14518" s="1"/>
      <c r="F14518" s="1"/>
      <c r="G14518" s="1"/>
    </row>
    <row r="14519">
      <c r="B14519" s="36"/>
      <c r="C14519" s="36"/>
      <c r="E14519" s="1"/>
      <c r="F14519" s="1"/>
      <c r="G14519" s="1"/>
    </row>
    <row r="14520">
      <c r="B14520" s="36"/>
      <c r="C14520" s="36"/>
      <c r="E14520" s="1"/>
      <c r="F14520" s="1"/>
      <c r="G14520" s="1"/>
    </row>
    <row r="14521">
      <c r="B14521" s="36"/>
      <c r="C14521" s="36"/>
      <c r="E14521" s="1"/>
      <c r="F14521" s="1"/>
      <c r="G14521" s="1"/>
    </row>
    <row r="14522">
      <c r="B14522" s="36"/>
      <c r="C14522" s="36"/>
      <c r="E14522" s="1"/>
      <c r="F14522" s="1"/>
      <c r="G14522" s="1"/>
    </row>
    <row r="14523">
      <c r="B14523" s="36"/>
      <c r="C14523" s="36"/>
      <c r="E14523" s="1"/>
      <c r="F14523" s="1"/>
      <c r="G14523" s="1"/>
    </row>
    <row r="14524">
      <c r="B14524" s="36"/>
      <c r="C14524" s="36"/>
      <c r="E14524" s="1"/>
      <c r="F14524" s="1"/>
      <c r="G14524" s="1"/>
    </row>
    <row r="14525">
      <c r="B14525" s="36"/>
      <c r="C14525" s="36"/>
      <c r="E14525" s="1"/>
      <c r="F14525" s="1"/>
      <c r="G14525" s="1"/>
    </row>
    <row r="14526">
      <c r="B14526" s="36"/>
      <c r="C14526" s="36"/>
      <c r="E14526" s="1"/>
      <c r="F14526" s="1"/>
      <c r="G14526" s="1"/>
    </row>
    <row r="14527">
      <c r="B14527" s="36"/>
      <c r="C14527" s="36"/>
      <c r="E14527" s="1"/>
      <c r="F14527" s="1"/>
      <c r="G14527" s="1"/>
    </row>
    <row r="14528">
      <c r="B14528" s="36"/>
      <c r="C14528" s="36"/>
      <c r="E14528" s="1"/>
      <c r="F14528" s="1"/>
      <c r="G14528" s="1"/>
    </row>
    <row r="14529">
      <c r="B14529" s="36"/>
      <c r="C14529" s="36"/>
      <c r="E14529" s="1"/>
      <c r="F14529" s="1"/>
      <c r="G14529" s="1"/>
    </row>
    <row r="14530">
      <c r="B14530" s="36"/>
      <c r="C14530" s="36"/>
      <c r="E14530" s="1"/>
      <c r="F14530" s="1"/>
      <c r="G14530" s="1"/>
    </row>
    <row r="14531">
      <c r="B14531" s="36"/>
      <c r="C14531" s="36"/>
      <c r="E14531" s="1"/>
      <c r="F14531" s="1"/>
      <c r="G14531" s="1"/>
    </row>
    <row r="14532">
      <c r="B14532" s="36"/>
      <c r="C14532" s="36"/>
      <c r="E14532" s="1"/>
      <c r="F14532" s="1"/>
      <c r="G14532" s="1"/>
    </row>
    <row r="14533">
      <c r="B14533" s="36"/>
      <c r="C14533" s="36"/>
      <c r="E14533" s="1"/>
      <c r="F14533" s="1"/>
      <c r="G14533" s="1"/>
    </row>
    <row r="14534">
      <c r="B14534" s="36"/>
      <c r="C14534" s="36"/>
      <c r="E14534" s="1"/>
      <c r="F14534" s="1"/>
      <c r="G14534" s="1"/>
    </row>
    <row r="14535">
      <c r="B14535" s="36"/>
      <c r="C14535" s="36"/>
      <c r="E14535" s="1"/>
      <c r="F14535" s="1"/>
      <c r="G14535" s="1"/>
    </row>
    <row r="14536">
      <c r="B14536" s="36"/>
      <c r="C14536" s="36"/>
      <c r="E14536" s="1"/>
      <c r="F14536" s="1"/>
      <c r="G14536" s="1"/>
    </row>
    <row r="14537">
      <c r="B14537" s="36"/>
      <c r="C14537" s="36"/>
      <c r="E14537" s="1"/>
      <c r="F14537" s="1"/>
      <c r="G14537" s="1"/>
    </row>
    <row r="14538">
      <c r="B14538" s="36"/>
      <c r="C14538" s="36"/>
      <c r="E14538" s="1"/>
      <c r="F14538" s="1"/>
      <c r="G14538" s="1"/>
    </row>
    <row r="14539">
      <c r="B14539" s="36"/>
      <c r="C14539" s="36"/>
      <c r="E14539" s="1"/>
      <c r="F14539" s="1"/>
      <c r="G14539" s="1"/>
    </row>
    <row r="14540">
      <c r="B14540" s="36"/>
      <c r="C14540" s="36"/>
      <c r="E14540" s="1"/>
      <c r="F14540" s="1"/>
      <c r="G14540" s="1"/>
    </row>
    <row r="14541">
      <c r="B14541" s="36"/>
      <c r="C14541" s="36"/>
      <c r="E14541" s="1"/>
      <c r="F14541" s="1"/>
      <c r="G14541" s="1"/>
    </row>
    <row r="14542">
      <c r="B14542" s="36"/>
      <c r="C14542" s="36"/>
      <c r="E14542" s="1"/>
      <c r="F14542" s="1"/>
      <c r="G14542" s="1"/>
    </row>
    <row r="14543">
      <c r="B14543" s="36"/>
      <c r="C14543" s="36"/>
      <c r="E14543" s="1"/>
      <c r="F14543" s="1"/>
      <c r="G14543" s="1"/>
    </row>
    <row r="14544">
      <c r="B14544" s="36"/>
      <c r="C14544" s="36"/>
      <c r="E14544" s="1"/>
      <c r="F14544" s="1"/>
      <c r="G14544" s="1"/>
    </row>
    <row r="14545">
      <c r="B14545" s="36"/>
      <c r="C14545" s="36"/>
      <c r="E14545" s="1"/>
      <c r="F14545" s="1"/>
      <c r="G14545" s="1"/>
    </row>
    <row r="14546">
      <c r="B14546" s="36"/>
      <c r="C14546" s="36"/>
      <c r="E14546" s="1"/>
      <c r="F14546" s="1"/>
      <c r="G14546" s="1"/>
    </row>
    <row r="14547">
      <c r="B14547" s="36"/>
      <c r="C14547" s="36"/>
      <c r="E14547" s="1"/>
      <c r="F14547" s="1"/>
      <c r="G14547" s="1"/>
    </row>
    <row r="14548">
      <c r="B14548" s="36"/>
      <c r="C14548" s="36"/>
      <c r="E14548" s="1"/>
      <c r="F14548" s="1"/>
      <c r="G14548" s="1"/>
    </row>
    <row r="14549">
      <c r="B14549" s="36"/>
      <c r="C14549" s="36"/>
      <c r="E14549" s="1"/>
      <c r="F14549" s="1"/>
      <c r="G14549" s="1"/>
    </row>
    <row r="14550">
      <c r="B14550" s="36"/>
      <c r="C14550" s="36"/>
      <c r="E14550" s="1"/>
      <c r="F14550" s="1"/>
      <c r="G14550" s="1"/>
    </row>
    <row r="14551">
      <c r="B14551" s="36"/>
      <c r="C14551" s="36"/>
      <c r="E14551" s="1"/>
      <c r="F14551" s="1"/>
      <c r="G14551" s="1"/>
    </row>
    <row r="14552">
      <c r="B14552" s="36"/>
      <c r="C14552" s="36"/>
      <c r="E14552" s="1"/>
      <c r="F14552" s="1"/>
      <c r="G14552" s="1"/>
    </row>
    <row r="14553">
      <c r="B14553" s="36"/>
      <c r="C14553" s="36"/>
      <c r="E14553" s="1"/>
      <c r="F14553" s="1"/>
      <c r="G14553" s="1"/>
    </row>
    <row r="14554">
      <c r="B14554" s="36"/>
      <c r="C14554" s="36"/>
      <c r="E14554" s="1"/>
      <c r="F14554" s="1"/>
      <c r="G14554" s="1"/>
    </row>
    <row r="14555">
      <c r="B14555" s="36"/>
      <c r="C14555" s="36"/>
      <c r="E14555" s="1"/>
      <c r="F14555" s="1"/>
      <c r="G14555" s="1"/>
    </row>
    <row r="14556">
      <c r="B14556" s="36"/>
      <c r="C14556" s="36"/>
      <c r="E14556" s="1"/>
      <c r="F14556" s="1"/>
      <c r="G14556" s="1"/>
    </row>
    <row r="14557">
      <c r="B14557" s="36"/>
      <c r="C14557" s="36"/>
      <c r="E14557" s="1"/>
      <c r="F14557" s="1"/>
      <c r="G14557" s="1"/>
    </row>
    <row r="14558">
      <c r="B14558" s="36"/>
      <c r="C14558" s="36"/>
      <c r="E14558" s="1"/>
      <c r="F14558" s="1"/>
      <c r="G14558" s="1"/>
    </row>
    <row r="14559">
      <c r="B14559" s="36"/>
      <c r="C14559" s="36"/>
      <c r="E14559" s="1"/>
      <c r="F14559" s="1"/>
      <c r="G14559" s="1"/>
    </row>
    <row r="14560">
      <c r="B14560" s="36"/>
      <c r="C14560" s="36"/>
      <c r="E14560" s="1"/>
      <c r="F14560" s="1"/>
      <c r="G14560" s="1"/>
    </row>
    <row r="14561">
      <c r="B14561" s="36"/>
      <c r="C14561" s="36"/>
      <c r="E14561" s="1"/>
      <c r="F14561" s="1"/>
      <c r="G14561" s="1"/>
    </row>
    <row r="14562">
      <c r="B14562" s="36"/>
      <c r="C14562" s="36"/>
      <c r="E14562" s="1"/>
      <c r="F14562" s="1"/>
      <c r="G14562" s="1"/>
    </row>
    <row r="14563">
      <c r="B14563" s="36"/>
      <c r="C14563" s="36"/>
      <c r="E14563" s="1"/>
      <c r="F14563" s="1"/>
      <c r="G14563" s="1"/>
    </row>
    <row r="14564">
      <c r="B14564" s="36"/>
      <c r="C14564" s="36"/>
      <c r="E14564" s="1"/>
      <c r="F14564" s="1"/>
      <c r="G14564" s="1"/>
    </row>
    <row r="14565">
      <c r="B14565" s="36"/>
      <c r="C14565" s="36"/>
      <c r="E14565" s="1"/>
      <c r="F14565" s="1"/>
      <c r="G14565" s="1"/>
    </row>
    <row r="14566">
      <c r="B14566" s="36"/>
      <c r="C14566" s="36"/>
      <c r="E14566" s="1"/>
      <c r="F14566" s="1"/>
      <c r="G14566" s="1"/>
    </row>
    <row r="14567">
      <c r="B14567" s="36"/>
      <c r="C14567" s="36"/>
      <c r="E14567" s="1"/>
      <c r="F14567" s="1"/>
      <c r="G14567" s="1"/>
    </row>
    <row r="14568">
      <c r="B14568" s="36"/>
      <c r="C14568" s="36"/>
      <c r="E14568" s="1"/>
      <c r="F14568" s="1"/>
      <c r="G14568" s="1"/>
    </row>
    <row r="14569">
      <c r="B14569" s="36"/>
      <c r="C14569" s="36"/>
      <c r="E14569" s="1"/>
      <c r="F14569" s="1"/>
      <c r="G14569" s="1"/>
    </row>
    <row r="14570">
      <c r="B14570" s="36"/>
      <c r="C14570" s="36"/>
      <c r="E14570" s="1"/>
      <c r="F14570" s="1"/>
      <c r="G14570" s="1"/>
    </row>
    <row r="14571">
      <c r="B14571" s="36"/>
      <c r="C14571" s="36"/>
      <c r="E14571" s="1"/>
      <c r="F14571" s="1"/>
      <c r="G14571" s="1"/>
    </row>
    <row r="14572">
      <c r="B14572" s="36"/>
      <c r="C14572" s="36"/>
      <c r="E14572" s="1"/>
      <c r="F14572" s="1"/>
      <c r="G14572" s="1"/>
    </row>
    <row r="14573">
      <c r="B14573" s="36"/>
      <c r="C14573" s="36"/>
      <c r="E14573" s="1"/>
      <c r="F14573" s="1"/>
      <c r="G14573" s="1"/>
    </row>
    <row r="14574">
      <c r="B14574" s="36"/>
      <c r="C14574" s="36"/>
      <c r="E14574" s="1"/>
      <c r="F14574" s="1"/>
      <c r="G14574" s="1"/>
    </row>
    <row r="14575">
      <c r="B14575" s="36"/>
      <c r="C14575" s="36"/>
      <c r="E14575" s="1"/>
      <c r="F14575" s="1"/>
      <c r="G14575" s="1"/>
    </row>
    <row r="14576">
      <c r="B14576" s="36"/>
      <c r="C14576" s="36"/>
      <c r="E14576" s="1"/>
      <c r="F14576" s="1"/>
      <c r="G14576" s="1"/>
    </row>
    <row r="14577">
      <c r="B14577" s="36"/>
      <c r="C14577" s="36"/>
      <c r="E14577" s="1"/>
      <c r="F14577" s="1"/>
      <c r="G14577" s="1"/>
    </row>
    <row r="14578">
      <c r="B14578" s="36"/>
      <c r="C14578" s="36"/>
      <c r="E14578" s="1"/>
      <c r="F14578" s="1"/>
      <c r="G14578" s="1"/>
    </row>
    <row r="14579">
      <c r="B14579" s="36"/>
      <c r="C14579" s="36"/>
      <c r="E14579" s="1"/>
      <c r="F14579" s="1"/>
      <c r="G14579" s="1"/>
    </row>
    <row r="14580">
      <c r="B14580" s="36"/>
      <c r="C14580" s="36"/>
      <c r="E14580" s="1"/>
      <c r="F14580" s="1"/>
      <c r="G14580" s="1"/>
    </row>
    <row r="14581">
      <c r="B14581" s="36"/>
      <c r="C14581" s="36"/>
      <c r="E14581" s="1"/>
      <c r="F14581" s="1"/>
      <c r="G14581" s="1"/>
    </row>
    <row r="14582">
      <c r="B14582" s="36"/>
      <c r="C14582" s="36"/>
      <c r="E14582" s="1"/>
      <c r="F14582" s="1"/>
      <c r="G14582" s="1"/>
    </row>
    <row r="14583">
      <c r="B14583" s="36"/>
      <c r="C14583" s="36"/>
      <c r="E14583" s="1"/>
      <c r="F14583" s="1"/>
      <c r="G14583" s="1"/>
    </row>
    <row r="14584">
      <c r="B14584" s="36"/>
      <c r="C14584" s="36"/>
      <c r="E14584" s="1"/>
      <c r="F14584" s="1"/>
      <c r="G14584" s="1"/>
    </row>
    <row r="14585">
      <c r="B14585" s="36"/>
      <c r="C14585" s="36"/>
      <c r="E14585" s="1"/>
      <c r="F14585" s="1"/>
      <c r="G14585" s="1"/>
    </row>
    <row r="14586">
      <c r="B14586" s="36"/>
      <c r="C14586" s="36"/>
      <c r="E14586" s="1"/>
      <c r="F14586" s="1"/>
      <c r="G14586" s="1"/>
    </row>
    <row r="14587">
      <c r="B14587" s="36"/>
      <c r="C14587" s="36"/>
      <c r="E14587" s="1"/>
      <c r="F14587" s="1"/>
      <c r="G14587" s="1"/>
    </row>
    <row r="14588">
      <c r="B14588" s="36"/>
      <c r="C14588" s="36"/>
      <c r="E14588" s="1"/>
      <c r="F14588" s="1"/>
      <c r="G14588" s="1"/>
    </row>
    <row r="14589">
      <c r="B14589" s="36"/>
      <c r="C14589" s="36"/>
      <c r="E14589" s="1"/>
      <c r="F14589" s="1"/>
      <c r="G14589" s="1"/>
    </row>
    <row r="14590">
      <c r="B14590" s="36"/>
      <c r="C14590" s="36"/>
      <c r="E14590" s="1"/>
      <c r="F14590" s="1"/>
      <c r="G14590" s="1"/>
    </row>
    <row r="14591">
      <c r="B14591" s="36"/>
      <c r="C14591" s="36"/>
      <c r="E14591" s="1"/>
      <c r="F14591" s="1"/>
      <c r="G14591" s="1"/>
    </row>
    <row r="14592">
      <c r="B14592" s="36"/>
      <c r="C14592" s="36"/>
      <c r="E14592" s="1"/>
      <c r="F14592" s="1"/>
      <c r="G14592" s="1"/>
    </row>
    <row r="14593">
      <c r="B14593" s="36"/>
      <c r="C14593" s="36"/>
      <c r="E14593" s="1"/>
      <c r="F14593" s="1"/>
      <c r="G14593" s="1"/>
    </row>
    <row r="14594">
      <c r="B14594" s="36"/>
      <c r="C14594" s="36"/>
      <c r="E14594" s="1"/>
      <c r="F14594" s="1"/>
      <c r="G14594" s="1"/>
    </row>
    <row r="14595">
      <c r="B14595" s="36"/>
      <c r="C14595" s="36"/>
      <c r="E14595" s="1"/>
      <c r="F14595" s="1"/>
      <c r="G14595" s="1"/>
    </row>
    <row r="14596">
      <c r="B14596" s="36"/>
      <c r="C14596" s="36"/>
      <c r="E14596" s="1"/>
      <c r="F14596" s="1"/>
      <c r="G14596" s="1"/>
    </row>
    <row r="14597">
      <c r="B14597" s="36"/>
      <c r="C14597" s="36"/>
      <c r="E14597" s="1"/>
      <c r="F14597" s="1"/>
      <c r="G14597" s="1"/>
    </row>
    <row r="14598">
      <c r="B14598" s="36"/>
      <c r="C14598" s="36"/>
      <c r="E14598" s="1"/>
      <c r="F14598" s="1"/>
      <c r="G14598" s="1"/>
    </row>
    <row r="14599">
      <c r="B14599" s="36"/>
      <c r="C14599" s="36"/>
      <c r="E14599" s="1"/>
      <c r="F14599" s="1"/>
      <c r="G14599" s="1"/>
    </row>
    <row r="14600">
      <c r="B14600" s="36"/>
      <c r="C14600" s="36"/>
      <c r="E14600" s="1"/>
      <c r="F14600" s="1"/>
      <c r="G14600" s="1"/>
    </row>
    <row r="14601">
      <c r="B14601" s="36"/>
      <c r="C14601" s="36"/>
      <c r="E14601" s="1"/>
      <c r="F14601" s="1"/>
      <c r="G14601" s="1"/>
    </row>
    <row r="14602">
      <c r="B14602" s="36"/>
      <c r="C14602" s="36"/>
      <c r="E14602" s="1"/>
      <c r="F14602" s="1"/>
      <c r="G14602" s="1"/>
    </row>
    <row r="14603">
      <c r="B14603" s="36"/>
      <c r="C14603" s="36"/>
      <c r="E14603" s="1"/>
      <c r="F14603" s="1"/>
      <c r="G14603" s="1"/>
    </row>
    <row r="14604">
      <c r="B14604" s="36"/>
      <c r="C14604" s="36"/>
      <c r="E14604" s="1"/>
      <c r="F14604" s="1"/>
      <c r="G14604" s="1"/>
    </row>
    <row r="14605">
      <c r="B14605" s="36"/>
      <c r="C14605" s="36"/>
      <c r="E14605" s="1"/>
      <c r="F14605" s="1"/>
      <c r="G14605" s="1"/>
    </row>
    <row r="14606">
      <c r="B14606" s="36"/>
      <c r="C14606" s="36"/>
      <c r="E14606" s="1"/>
      <c r="F14606" s="1"/>
      <c r="G14606" s="1"/>
    </row>
    <row r="14607">
      <c r="B14607" s="36"/>
      <c r="C14607" s="36"/>
      <c r="E14607" s="1"/>
      <c r="F14607" s="1"/>
      <c r="G14607" s="1"/>
    </row>
    <row r="14608">
      <c r="B14608" s="36"/>
      <c r="C14608" s="36"/>
      <c r="E14608" s="1"/>
      <c r="F14608" s="1"/>
      <c r="G14608" s="1"/>
    </row>
    <row r="14609">
      <c r="B14609" s="36"/>
      <c r="C14609" s="36"/>
      <c r="E14609" s="1"/>
      <c r="F14609" s="1"/>
      <c r="G14609" s="1"/>
    </row>
    <row r="14610">
      <c r="B14610" s="36"/>
      <c r="C14610" s="36"/>
      <c r="E14610" s="1"/>
      <c r="F14610" s="1"/>
      <c r="G14610" s="1"/>
    </row>
    <row r="14611">
      <c r="B14611" s="36"/>
      <c r="C14611" s="36"/>
      <c r="E14611" s="1"/>
      <c r="F14611" s="1"/>
      <c r="G14611" s="1"/>
    </row>
    <row r="14612">
      <c r="B14612" s="36"/>
      <c r="C14612" s="36"/>
      <c r="E14612" s="1"/>
      <c r="F14612" s="1"/>
      <c r="G14612" s="1"/>
    </row>
    <row r="14613">
      <c r="B14613" s="36"/>
      <c r="C14613" s="36"/>
      <c r="E14613" s="1"/>
      <c r="F14613" s="1"/>
      <c r="G14613" s="1"/>
    </row>
    <row r="14614">
      <c r="B14614" s="36"/>
      <c r="C14614" s="36"/>
      <c r="E14614" s="1"/>
      <c r="F14614" s="1"/>
      <c r="G14614" s="1"/>
    </row>
    <row r="14615">
      <c r="B14615" s="36"/>
      <c r="C14615" s="36"/>
      <c r="E14615" s="1"/>
      <c r="F14615" s="1"/>
      <c r="G14615" s="1"/>
    </row>
    <row r="14616">
      <c r="B14616" s="36"/>
      <c r="C14616" s="36"/>
      <c r="E14616" s="1"/>
      <c r="F14616" s="1"/>
      <c r="G14616" s="1"/>
    </row>
    <row r="14617">
      <c r="B14617" s="36"/>
      <c r="C14617" s="36"/>
      <c r="E14617" s="1"/>
      <c r="F14617" s="1"/>
      <c r="G14617" s="1"/>
    </row>
    <row r="14618">
      <c r="B14618" s="36"/>
      <c r="C14618" s="36"/>
      <c r="E14618" s="1"/>
      <c r="F14618" s="1"/>
      <c r="G14618" s="1"/>
    </row>
    <row r="14619">
      <c r="B14619" s="36"/>
      <c r="C14619" s="36"/>
      <c r="E14619" s="1"/>
      <c r="F14619" s="1"/>
      <c r="G14619" s="1"/>
    </row>
    <row r="14620">
      <c r="B14620" s="36"/>
      <c r="C14620" s="36"/>
      <c r="E14620" s="1"/>
      <c r="F14620" s="1"/>
      <c r="G14620" s="1"/>
    </row>
    <row r="14621">
      <c r="B14621" s="36"/>
      <c r="C14621" s="36"/>
      <c r="E14621" s="1"/>
      <c r="F14621" s="1"/>
      <c r="G14621" s="1"/>
    </row>
    <row r="14622">
      <c r="B14622" s="36"/>
      <c r="C14622" s="36"/>
      <c r="E14622" s="1"/>
      <c r="F14622" s="1"/>
      <c r="G14622" s="1"/>
    </row>
    <row r="14623">
      <c r="B14623" s="36"/>
      <c r="C14623" s="36"/>
      <c r="E14623" s="1"/>
      <c r="F14623" s="1"/>
      <c r="G14623" s="1"/>
    </row>
    <row r="14624">
      <c r="B14624" s="36"/>
      <c r="C14624" s="36"/>
      <c r="E14624" s="1"/>
      <c r="F14624" s="1"/>
      <c r="G14624" s="1"/>
    </row>
    <row r="14625">
      <c r="B14625" s="36"/>
      <c r="C14625" s="36"/>
      <c r="E14625" s="1"/>
      <c r="F14625" s="1"/>
      <c r="G14625" s="1"/>
    </row>
    <row r="14626">
      <c r="B14626" s="36"/>
      <c r="C14626" s="36"/>
      <c r="E14626" s="1"/>
      <c r="F14626" s="1"/>
      <c r="G14626" s="1"/>
    </row>
    <row r="14627">
      <c r="B14627" s="36"/>
      <c r="C14627" s="36"/>
      <c r="E14627" s="1"/>
      <c r="F14627" s="1"/>
      <c r="G14627" s="1"/>
    </row>
    <row r="14628">
      <c r="B14628" s="36"/>
      <c r="C14628" s="36"/>
      <c r="E14628" s="1"/>
      <c r="F14628" s="1"/>
      <c r="G14628" s="1"/>
    </row>
    <row r="14629">
      <c r="B14629" s="36"/>
      <c r="C14629" s="36"/>
      <c r="E14629" s="1"/>
      <c r="F14629" s="1"/>
      <c r="G14629" s="1"/>
    </row>
    <row r="14630">
      <c r="B14630" s="36"/>
      <c r="C14630" s="36"/>
      <c r="E14630" s="1"/>
      <c r="F14630" s="1"/>
      <c r="G14630" s="1"/>
    </row>
    <row r="14631">
      <c r="B14631" s="36"/>
      <c r="C14631" s="36"/>
      <c r="E14631" s="1"/>
      <c r="F14631" s="1"/>
      <c r="G14631" s="1"/>
    </row>
    <row r="14632">
      <c r="B14632" s="36"/>
      <c r="C14632" s="36"/>
      <c r="E14632" s="1"/>
      <c r="F14632" s="1"/>
      <c r="G14632" s="1"/>
    </row>
    <row r="14633">
      <c r="B14633" s="36"/>
      <c r="C14633" s="36"/>
      <c r="E14633" s="1"/>
      <c r="F14633" s="1"/>
      <c r="G14633" s="1"/>
    </row>
    <row r="14634">
      <c r="B14634" s="36"/>
      <c r="C14634" s="36"/>
      <c r="E14634" s="1"/>
      <c r="F14634" s="1"/>
      <c r="G14634" s="1"/>
    </row>
    <row r="14635">
      <c r="B14635" s="36"/>
      <c r="C14635" s="36"/>
      <c r="E14635" s="1"/>
      <c r="F14635" s="1"/>
      <c r="G14635" s="1"/>
    </row>
    <row r="14636">
      <c r="B14636" s="36"/>
      <c r="C14636" s="36"/>
      <c r="E14636" s="1"/>
      <c r="F14636" s="1"/>
      <c r="G14636" s="1"/>
    </row>
    <row r="14637">
      <c r="B14637" s="36"/>
      <c r="C14637" s="36"/>
      <c r="E14637" s="1"/>
      <c r="F14637" s="1"/>
      <c r="G14637" s="1"/>
    </row>
    <row r="14638">
      <c r="B14638" s="36"/>
      <c r="C14638" s="36"/>
      <c r="E14638" s="1"/>
      <c r="F14638" s="1"/>
      <c r="G14638" s="1"/>
    </row>
    <row r="14639">
      <c r="B14639" s="36"/>
      <c r="C14639" s="36"/>
      <c r="E14639" s="1"/>
      <c r="F14639" s="1"/>
      <c r="G14639" s="1"/>
    </row>
    <row r="14640">
      <c r="B14640" s="36"/>
      <c r="C14640" s="36"/>
      <c r="E14640" s="1"/>
      <c r="F14640" s="1"/>
      <c r="G14640" s="1"/>
    </row>
    <row r="14641">
      <c r="B14641" s="36"/>
      <c r="C14641" s="36"/>
      <c r="E14641" s="1"/>
      <c r="F14641" s="1"/>
      <c r="G14641" s="1"/>
    </row>
    <row r="14642">
      <c r="B14642" s="36"/>
      <c r="C14642" s="36"/>
      <c r="E14642" s="1"/>
      <c r="F14642" s="1"/>
      <c r="G14642" s="1"/>
    </row>
    <row r="14643">
      <c r="B14643" s="36"/>
      <c r="C14643" s="36"/>
      <c r="E14643" s="1"/>
      <c r="F14643" s="1"/>
      <c r="G14643" s="1"/>
    </row>
    <row r="14644">
      <c r="B14644" s="36"/>
      <c r="C14644" s="36"/>
      <c r="E14644" s="1"/>
      <c r="F14644" s="1"/>
      <c r="G14644" s="1"/>
    </row>
    <row r="14645">
      <c r="B14645" s="36"/>
      <c r="C14645" s="36"/>
      <c r="E14645" s="1"/>
      <c r="F14645" s="1"/>
      <c r="G14645" s="1"/>
    </row>
    <row r="14646">
      <c r="B14646" s="36"/>
      <c r="C14646" s="36"/>
      <c r="E14646" s="1"/>
      <c r="F14646" s="1"/>
      <c r="G14646" s="1"/>
    </row>
    <row r="14647">
      <c r="B14647" s="36"/>
      <c r="C14647" s="36"/>
      <c r="E14647" s="1"/>
      <c r="F14647" s="1"/>
      <c r="G14647" s="1"/>
    </row>
    <row r="14648">
      <c r="B14648" s="36"/>
      <c r="C14648" s="36"/>
      <c r="E14648" s="1"/>
      <c r="F14648" s="1"/>
      <c r="G14648" s="1"/>
    </row>
    <row r="14649">
      <c r="B14649" s="36"/>
      <c r="C14649" s="36"/>
      <c r="E14649" s="1"/>
      <c r="F14649" s="1"/>
      <c r="G14649" s="1"/>
    </row>
    <row r="14650">
      <c r="B14650" s="36"/>
      <c r="C14650" s="36"/>
      <c r="E14650" s="1"/>
      <c r="F14650" s="1"/>
      <c r="G14650" s="1"/>
    </row>
    <row r="14651">
      <c r="B14651" s="36"/>
      <c r="C14651" s="36"/>
      <c r="E14651" s="1"/>
      <c r="F14651" s="1"/>
      <c r="G14651" s="1"/>
    </row>
    <row r="14652">
      <c r="B14652" s="36"/>
      <c r="C14652" s="36"/>
      <c r="E14652" s="1"/>
      <c r="F14652" s="1"/>
      <c r="G14652" s="1"/>
    </row>
    <row r="14653">
      <c r="B14653" s="36"/>
      <c r="C14653" s="36"/>
      <c r="E14653" s="1"/>
      <c r="F14653" s="1"/>
      <c r="G14653" s="1"/>
    </row>
    <row r="14654">
      <c r="B14654" s="36"/>
      <c r="C14654" s="36"/>
      <c r="E14654" s="1"/>
      <c r="F14654" s="1"/>
      <c r="G14654" s="1"/>
    </row>
    <row r="14655">
      <c r="B14655" s="36"/>
      <c r="C14655" s="36"/>
      <c r="E14655" s="1"/>
      <c r="F14655" s="1"/>
      <c r="G14655" s="1"/>
    </row>
    <row r="14656">
      <c r="B14656" s="36"/>
      <c r="C14656" s="36"/>
      <c r="E14656" s="1"/>
      <c r="F14656" s="1"/>
      <c r="G14656" s="1"/>
    </row>
    <row r="14657">
      <c r="B14657" s="36"/>
      <c r="C14657" s="36"/>
      <c r="E14657" s="1"/>
      <c r="F14657" s="1"/>
      <c r="G14657" s="1"/>
    </row>
    <row r="14658">
      <c r="B14658" s="36"/>
      <c r="C14658" s="36"/>
      <c r="E14658" s="1"/>
      <c r="F14658" s="1"/>
      <c r="G14658" s="1"/>
    </row>
    <row r="14659">
      <c r="B14659" s="36"/>
      <c r="C14659" s="36"/>
      <c r="E14659" s="1"/>
      <c r="F14659" s="1"/>
      <c r="G14659" s="1"/>
    </row>
    <row r="14660">
      <c r="B14660" s="36"/>
      <c r="C14660" s="36"/>
      <c r="E14660" s="1"/>
      <c r="F14660" s="1"/>
      <c r="G14660" s="1"/>
    </row>
    <row r="14661">
      <c r="B14661" s="36"/>
      <c r="C14661" s="36"/>
      <c r="E14661" s="1"/>
      <c r="F14661" s="1"/>
      <c r="G14661" s="1"/>
    </row>
    <row r="14662">
      <c r="B14662" s="36"/>
      <c r="C14662" s="36"/>
      <c r="E14662" s="1"/>
      <c r="F14662" s="1"/>
      <c r="G14662" s="1"/>
    </row>
    <row r="14663">
      <c r="B14663" s="36"/>
      <c r="C14663" s="36"/>
      <c r="E14663" s="1"/>
      <c r="F14663" s="1"/>
      <c r="G14663" s="1"/>
    </row>
    <row r="14664">
      <c r="B14664" s="36"/>
      <c r="C14664" s="36"/>
      <c r="E14664" s="1"/>
      <c r="F14664" s="1"/>
      <c r="G14664" s="1"/>
    </row>
    <row r="14665">
      <c r="B14665" s="36"/>
      <c r="C14665" s="36"/>
      <c r="E14665" s="1"/>
      <c r="F14665" s="1"/>
      <c r="G14665" s="1"/>
    </row>
    <row r="14666">
      <c r="B14666" s="36"/>
      <c r="C14666" s="36"/>
      <c r="E14666" s="1"/>
      <c r="F14666" s="1"/>
      <c r="G14666" s="1"/>
    </row>
    <row r="14667">
      <c r="B14667" s="36"/>
      <c r="C14667" s="36"/>
      <c r="E14667" s="1"/>
      <c r="F14667" s="1"/>
      <c r="G14667" s="1"/>
    </row>
    <row r="14668">
      <c r="B14668" s="36"/>
      <c r="C14668" s="36"/>
      <c r="E14668" s="1"/>
      <c r="F14668" s="1"/>
      <c r="G14668" s="1"/>
    </row>
    <row r="14669">
      <c r="B14669" s="36"/>
      <c r="C14669" s="36"/>
      <c r="E14669" s="1"/>
      <c r="F14669" s="1"/>
      <c r="G14669" s="1"/>
    </row>
    <row r="14670">
      <c r="B14670" s="36"/>
      <c r="C14670" s="36"/>
      <c r="E14670" s="1"/>
      <c r="F14670" s="1"/>
      <c r="G14670" s="1"/>
    </row>
    <row r="14671">
      <c r="B14671" s="36"/>
      <c r="C14671" s="36"/>
      <c r="E14671" s="1"/>
      <c r="F14671" s="1"/>
      <c r="G14671" s="1"/>
    </row>
    <row r="14672">
      <c r="B14672" s="36"/>
      <c r="C14672" s="36"/>
      <c r="E14672" s="1"/>
      <c r="F14672" s="1"/>
      <c r="G14672" s="1"/>
    </row>
    <row r="14673">
      <c r="B14673" s="36"/>
      <c r="C14673" s="36"/>
      <c r="E14673" s="1"/>
      <c r="F14673" s="1"/>
      <c r="G14673" s="1"/>
    </row>
    <row r="14674">
      <c r="B14674" s="36"/>
      <c r="C14674" s="36"/>
      <c r="E14674" s="1"/>
      <c r="F14674" s="1"/>
      <c r="G14674" s="1"/>
    </row>
    <row r="14675">
      <c r="B14675" s="36"/>
      <c r="C14675" s="36"/>
      <c r="E14675" s="1"/>
      <c r="F14675" s="1"/>
      <c r="G14675" s="1"/>
    </row>
    <row r="14676">
      <c r="B14676" s="36"/>
      <c r="C14676" s="36"/>
      <c r="E14676" s="1"/>
      <c r="F14676" s="1"/>
      <c r="G14676" s="1"/>
    </row>
    <row r="14677">
      <c r="B14677" s="36"/>
      <c r="C14677" s="36"/>
      <c r="E14677" s="1"/>
      <c r="F14677" s="1"/>
      <c r="G14677" s="1"/>
    </row>
    <row r="14678">
      <c r="B14678" s="36"/>
      <c r="C14678" s="36"/>
      <c r="E14678" s="1"/>
      <c r="F14678" s="1"/>
      <c r="G14678" s="1"/>
    </row>
    <row r="14679">
      <c r="B14679" s="36"/>
      <c r="C14679" s="36"/>
      <c r="E14679" s="1"/>
      <c r="F14679" s="1"/>
      <c r="G14679" s="1"/>
    </row>
    <row r="14680">
      <c r="B14680" s="36"/>
      <c r="C14680" s="36"/>
      <c r="E14680" s="1"/>
      <c r="F14680" s="1"/>
      <c r="G14680" s="1"/>
    </row>
    <row r="14681">
      <c r="B14681" s="36"/>
      <c r="C14681" s="36"/>
      <c r="E14681" s="1"/>
      <c r="F14681" s="1"/>
      <c r="G14681" s="1"/>
    </row>
    <row r="14682">
      <c r="B14682" s="36"/>
      <c r="C14682" s="36"/>
      <c r="E14682" s="1"/>
      <c r="F14682" s="1"/>
      <c r="G14682" s="1"/>
    </row>
    <row r="14683">
      <c r="B14683" s="36"/>
      <c r="C14683" s="36"/>
      <c r="E14683" s="1"/>
      <c r="F14683" s="1"/>
      <c r="G14683" s="1"/>
    </row>
    <row r="14684">
      <c r="B14684" s="36"/>
      <c r="C14684" s="36"/>
      <c r="E14684" s="1"/>
      <c r="F14684" s="1"/>
      <c r="G14684" s="1"/>
    </row>
    <row r="14685">
      <c r="B14685" s="36"/>
      <c r="C14685" s="36"/>
      <c r="E14685" s="1"/>
      <c r="F14685" s="1"/>
      <c r="G14685" s="1"/>
    </row>
    <row r="14686">
      <c r="B14686" s="36"/>
      <c r="C14686" s="36"/>
      <c r="E14686" s="1"/>
      <c r="F14686" s="1"/>
      <c r="G14686" s="1"/>
    </row>
    <row r="14687">
      <c r="B14687" s="36"/>
      <c r="C14687" s="36"/>
      <c r="E14687" s="1"/>
      <c r="F14687" s="1"/>
      <c r="G14687" s="1"/>
    </row>
    <row r="14688">
      <c r="B14688" s="36"/>
      <c r="C14688" s="36"/>
      <c r="E14688" s="1"/>
      <c r="F14688" s="1"/>
      <c r="G14688" s="1"/>
    </row>
    <row r="14689">
      <c r="B14689" s="36"/>
      <c r="C14689" s="36"/>
      <c r="E14689" s="1"/>
      <c r="F14689" s="1"/>
      <c r="G14689" s="1"/>
    </row>
    <row r="14690">
      <c r="B14690" s="36"/>
      <c r="C14690" s="36"/>
      <c r="E14690" s="1"/>
      <c r="F14690" s="1"/>
      <c r="G14690" s="1"/>
    </row>
    <row r="14691">
      <c r="B14691" s="36"/>
      <c r="C14691" s="36"/>
      <c r="E14691" s="1"/>
      <c r="F14691" s="1"/>
      <c r="G14691" s="1"/>
    </row>
    <row r="14692">
      <c r="B14692" s="36"/>
      <c r="C14692" s="36"/>
      <c r="E14692" s="1"/>
      <c r="F14692" s="1"/>
      <c r="G14692" s="1"/>
    </row>
    <row r="14693">
      <c r="B14693" s="36"/>
      <c r="C14693" s="36"/>
      <c r="E14693" s="1"/>
      <c r="F14693" s="1"/>
      <c r="G14693" s="1"/>
    </row>
    <row r="14694">
      <c r="B14694" s="36"/>
      <c r="C14694" s="36"/>
      <c r="E14694" s="1"/>
      <c r="F14694" s="1"/>
      <c r="G14694" s="1"/>
    </row>
    <row r="14695">
      <c r="B14695" s="36"/>
      <c r="C14695" s="36"/>
      <c r="E14695" s="1"/>
      <c r="F14695" s="1"/>
      <c r="G14695" s="1"/>
    </row>
    <row r="14696">
      <c r="B14696" s="36"/>
      <c r="C14696" s="36"/>
      <c r="E14696" s="1"/>
      <c r="F14696" s="1"/>
      <c r="G14696" s="1"/>
    </row>
    <row r="14697">
      <c r="B14697" s="36"/>
      <c r="C14697" s="36"/>
      <c r="E14697" s="1"/>
      <c r="F14697" s="1"/>
      <c r="G14697" s="1"/>
    </row>
    <row r="14698">
      <c r="B14698" s="36"/>
      <c r="C14698" s="36"/>
      <c r="E14698" s="1"/>
      <c r="F14698" s="1"/>
      <c r="G14698" s="1"/>
    </row>
    <row r="14699">
      <c r="B14699" s="36"/>
      <c r="C14699" s="36"/>
      <c r="E14699" s="1"/>
      <c r="F14699" s="1"/>
      <c r="G14699" s="1"/>
    </row>
    <row r="14700">
      <c r="B14700" s="36"/>
      <c r="C14700" s="36"/>
      <c r="E14700" s="1"/>
      <c r="F14700" s="1"/>
      <c r="G14700" s="1"/>
    </row>
    <row r="14701">
      <c r="B14701" s="36"/>
      <c r="C14701" s="36"/>
      <c r="E14701" s="1"/>
      <c r="F14701" s="1"/>
      <c r="G14701" s="1"/>
    </row>
    <row r="14702">
      <c r="B14702" s="36"/>
      <c r="C14702" s="36"/>
      <c r="E14702" s="1"/>
      <c r="F14702" s="1"/>
      <c r="G14702" s="1"/>
    </row>
    <row r="14703">
      <c r="B14703" s="36"/>
      <c r="C14703" s="36"/>
      <c r="E14703" s="1"/>
      <c r="F14703" s="1"/>
      <c r="G14703" s="1"/>
    </row>
    <row r="14704">
      <c r="B14704" s="36"/>
      <c r="C14704" s="36"/>
      <c r="E14704" s="1"/>
      <c r="F14704" s="1"/>
      <c r="G14704" s="1"/>
    </row>
    <row r="14705">
      <c r="B14705" s="36"/>
      <c r="C14705" s="36"/>
      <c r="E14705" s="1"/>
      <c r="F14705" s="1"/>
      <c r="G14705" s="1"/>
    </row>
    <row r="14706">
      <c r="B14706" s="36"/>
      <c r="C14706" s="36"/>
      <c r="E14706" s="1"/>
      <c r="F14706" s="1"/>
      <c r="G14706" s="1"/>
    </row>
    <row r="14707">
      <c r="B14707" s="36"/>
      <c r="C14707" s="36"/>
      <c r="E14707" s="1"/>
      <c r="F14707" s="1"/>
      <c r="G14707" s="1"/>
    </row>
    <row r="14708">
      <c r="B14708" s="36"/>
      <c r="C14708" s="36"/>
      <c r="E14708" s="1"/>
      <c r="F14708" s="1"/>
      <c r="G14708" s="1"/>
    </row>
    <row r="14709">
      <c r="B14709" s="36"/>
      <c r="C14709" s="36"/>
      <c r="E14709" s="1"/>
      <c r="F14709" s="1"/>
      <c r="G14709" s="1"/>
    </row>
    <row r="14710">
      <c r="B14710" s="36"/>
      <c r="C14710" s="36"/>
      <c r="E14710" s="1"/>
      <c r="F14710" s="1"/>
      <c r="G14710" s="1"/>
    </row>
    <row r="14711">
      <c r="B14711" s="36"/>
      <c r="C14711" s="36"/>
      <c r="E14711" s="1"/>
      <c r="F14711" s="1"/>
      <c r="G14711" s="1"/>
    </row>
    <row r="14712">
      <c r="B14712" s="36"/>
      <c r="C14712" s="36"/>
      <c r="E14712" s="1"/>
      <c r="F14712" s="1"/>
      <c r="G14712" s="1"/>
    </row>
    <row r="14713">
      <c r="B14713" s="36"/>
      <c r="C14713" s="36"/>
      <c r="E14713" s="1"/>
      <c r="F14713" s="1"/>
      <c r="G14713" s="1"/>
    </row>
    <row r="14714">
      <c r="B14714" s="36"/>
      <c r="C14714" s="36"/>
      <c r="E14714" s="1"/>
      <c r="F14714" s="1"/>
      <c r="G14714" s="1"/>
    </row>
    <row r="14715">
      <c r="B14715" s="36"/>
      <c r="C14715" s="36"/>
      <c r="E14715" s="1"/>
      <c r="F14715" s="1"/>
      <c r="G14715" s="1"/>
    </row>
    <row r="14716">
      <c r="B14716" s="36"/>
      <c r="C14716" s="36"/>
      <c r="E14716" s="1"/>
      <c r="F14716" s="1"/>
      <c r="G14716" s="1"/>
    </row>
    <row r="14717">
      <c r="B14717" s="36"/>
      <c r="C14717" s="36"/>
      <c r="E14717" s="1"/>
      <c r="F14717" s="1"/>
      <c r="G14717" s="1"/>
    </row>
    <row r="14718">
      <c r="B14718" s="36"/>
      <c r="C14718" s="36"/>
      <c r="E14718" s="1"/>
      <c r="F14718" s="1"/>
      <c r="G14718" s="1"/>
    </row>
    <row r="14719">
      <c r="B14719" s="36"/>
      <c r="C14719" s="36"/>
      <c r="E14719" s="1"/>
      <c r="F14719" s="1"/>
      <c r="G14719" s="1"/>
    </row>
    <row r="14720">
      <c r="B14720" s="36"/>
      <c r="C14720" s="36"/>
      <c r="E14720" s="1"/>
      <c r="F14720" s="1"/>
      <c r="G14720" s="1"/>
    </row>
    <row r="14721">
      <c r="B14721" s="36"/>
      <c r="C14721" s="36"/>
      <c r="E14721" s="1"/>
      <c r="F14721" s="1"/>
      <c r="G14721" s="1"/>
    </row>
    <row r="14722">
      <c r="B14722" s="36"/>
      <c r="C14722" s="36"/>
      <c r="E14722" s="1"/>
      <c r="F14722" s="1"/>
      <c r="G14722" s="1"/>
    </row>
    <row r="14723">
      <c r="B14723" s="36"/>
      <c r="C14723" s="36"/>
      <c r="E14723" s="1"/>
      <c r="F14723" s="1"/>
      <c r="G14723" s="1"/>
    </row>
    <row r="14724">
      <c r="B14724" s="36"/>
      <c r="C14724" s="36"/>
      <c r="E14724" s="1"/>
      <c r="F14724" s="1"/>
      <c r="G14724" s="1"/>
    </row>
    <row r="14725">
      <c r="B14725" s="36"/>
      <c r="C14725" s="36"/>
      <c r="E14725" s="1"/>
      <c r="F14725" s="1"/>
      <c r="G14725" s="1"/>
    </row>
    <row r="14726">
      <c r="B14726" s="36"/>
      <c r="C14726" s="36"/>
      <c r="E14726" s="1"/>
      <c r="F14726" s="1"/>
      <c r="G14726" s="1"/>
    </row>
    <row r="14727">
      <c r="B14727" s="36"/>
      <c r="C14727" s="36"/>
      <c r="E14727" s="1"/>
      <c r="F14727" s="1"/>
      <c r="G14727" s="1"/>
    </row>
    <row r="14728">
      <c r="B14728" s="36"/>
      <c r="C14728" s="36"/>
      <c r="E14728" s="1"/>
      <c r="F14728" s="1"/>
      <c r="G14728" s="1"/>
    </row>
    <row r="14729">
      <c r="B14729" s="36"/>
      <c r="C14729" s="36"/>
      <c r="E14729" s="1"/>
      <c r="F14729" s="1"/>
      <c r="G14729" s="1"/>
    </row>
    <row r="14730">
      <c r="B14730" s="36"/>
      <c r="C14730" s="36"/>
      <c r="E14730" s="1"/>
      <c r="F14730" s="1"/>
      <c r="G14730" s="1"/>
    </row>
    <row r="14731">
      <c r="B14731" s="36"/>
      <c r="C14731" s="36"/>
      <c r="E14731" s="1"/>
      <c r="F14731" s="1"/>
      <c r="G14731" s="1"/>
    </row>
    <row r="14732">
      <c r="B14732" s="36"/>
      <c r="C14732" s="36"/>
      <c r="E14732" s="1"/>
      <c r="F14732" s="1"/>
      <c r="G14732" s="1"/>
    </row>
    <row r="14733">
      <c r="B14733" s="36"/>
      <c r="C14733" s="36"/>
      <c r="E14733" s="1"/>
      <c r="F14733" s="1"/>
      <c r="G14733" s="1"/>
    </row>
    <row r="14734">
      <c r="B14734" s="36"/>
      <c r="C14734" s="36"/>
      <c r="E14734" s="1"/>
      <c r="F14734" s="1"/>
      <c r="G14734" s="1"/>
    </row>
    <row r="14735">
      <c r="B14735" s="36"/>
      <c r="C14735" s="36"/>
      <c r="E14735" s="1"/>
      <c r="F14735" s="1"/>
      <c r="G14735" s="1"/>
    </row>
    <row r="14736">
      <c r="B14736" s="36"/>
      <c r="C14736" s="36"/>
      <c r="E14736" s="1"/>
      <c r="F14736" s="1"/>
      <c r="G14736" s="1"/>
    </row>
    <row r="14737">
      <c r="B14737" s="36"/>
      <c r="C14737" s="36"/>
      <c r="E14737" s="1"/>
      <c r="F14737" s="1"/>
      <c r="G14737" s="1"/>
    </row>
    <row r="14738">
      <c r="B14738" s="36"/>
      <c r="C14738" s="36"/>
      <c r="E14738" s="1"/>
      <c r="F14738" s="1"/>
      <c r="G14738" s="1"/>
    </row>
    <row r="14739">
      <c r="B14739" s="36"/>
      <c r="C14739" s="36"/>
      <c r="E14739" s="1"/>
      <c r="F14739" s="1"/>
      <c r="G14739" s="1"/>
    </row>
    <row r="14740">
      <c r="B14740" s="36"/>
      <c r="C14740" s="36"/>
      <c r="E14740" s="1"/>
      <c r="F14740" s="1"/>
      <c r="G14740" s="1"/>
    </row>
    <row r="14741">
      <c r="B14741" s="36"/>
      <c r="C14741" s="36"/>
      <c r="E14741" s="1"/>
      <c r="F14741" s="1"/>
      <c r="G14741" s="1"/>
    </row>
    <row r="14742">
      <c r="B14742" s="36"/>
      <c r="C14742" s="36"/>
      <c r="E14742" s="1"/>
      <c r="F14742" s="1"/>
      <c r="G14742" s="1"/>
    </row>
    <row r="14743">
      <c r="B14743" s="36"/>
      <c r="C14743" s="36"/>
      <c r="E14743" s="1"/>
      <c r="F14743" s="1"/>
      <c r="G14743" s="1"/>
    </row>
    <row r="14744">
      <c r="B14744" s="36"/>
      <c r="C14744" s="36"/>
      <c r="E14744" s="1"/>
      <c r="F14744" s="1"/>
      <c r="G14744" s="1"/>
    </row>
    <row r="14745">
      <c r="B14745" s="36"/>
      <c r="C14745" s="36"/>
      <c r="E14745" s="1"/>
      <c r="F14745" s="1"/>
      <c r="G14745" s="1"/>
    </row>
    <row r="14746">
      <c r="B14746" s="36"/>
      <c r="C14746" s="36"/>
      <c r="E14746" s="1"/>
      <c r="F14746" s="1"/>
      <c r="G14746" s="1"/>
    </row>
    <row r="14747">
      <c r="B14747" s="36"/>
      <c r="C14747" s="36"/>
      <c r="E14747" s="1"/>
      <c r="F14747" s="1"/>
      <c r="G14747" s="1"/>
    </row>
    <row r="14748">
      <c r="B14748" s="36"/>
      <c r="C14748" s="36"/>
      <c r="E14748" s="1"/>
      <c r="F14748" s="1"/>
      <c r="G14748" s="1"/>
    </row>
    <row r="14749">
      <c r="B14749" s="36"/>
      <c r="C14749" s="36"/>
      <c r="E14749" s="1"/>
      <c r="F14749" s="1"/>
      <c r="G14749" s="1"/>
    </row>
    <row r="14750">
      <c r="B14750" s="36"/>
      <c r="C14750" s="36"/>
      <c r="E14750" s="1"/>
      <c r="F14750" s="1"/>
      <c r="G14750" s="1"/>
    </row>
    <row r="14751">
      <c r="B14751" s="36"/>
      <c r="C14751" s="36"/>
      <c r="E14751" s="1"/>
      <c r="F14751" s="1"/>
      <c r="G14751" s="1"/>
    </row>
    <row r="14752">
      <c r="B14752" s="36"/>
      <c r="C14752" s="36"/>
      <c r="E14752" s="1"/>
      <c r="F14752" s="1"/>
      <c r="G14752" s="1"/>
    </row>
    <row r="14753">
      <c r="B14753" s="36"/>
      <c r="C14753" s="36"/>
      <c r="E14753" s="1"/>
      <c r="F14753" s="1"/>
      <c r="G14753" s="1"/>
    </row>
    <row r="14754">
      <c r="B14754" s="36"/>
      <c r="C14754" s="36"/>
      <c r="E14754" s="1"/>
      <c r="F14754" s="1"/>
      <c r="G14754" s="1"/>
    </row>
    <row r="14755">
      <c r="B14755" s="36"/>
      <c r="C14755" s="36"/>
      <c r="E14755" s="1"/>
      <c r="F14755" s="1"/>
      <c r="G14755" s="1"/>
    </row>
    <row r="14756">
      <c r="B14756" s="36"/>
      <c r="C14756" s="36"/>
      <c r="E14756" s="1"/>
      <c r="F14756" s="1"/>
      <c r="G14756" s="1"/>
    </row>
    <row r="14757">
      <c r="B14757" s="36"/>
      <c r="C14757" s="36"/>
      <c r="E14757" s="1"/>
      <c r="F14757" s="1"/>
      <c r="G14757" s="1"/>
    </row>
    <row r="14758">
      <c r="B14758" s="36"/>
      <c r="C14758" s="36"/>
      <c r="E14758" s="1"/>
      <c r="F14758" s="1"/>
      <c r="G14758" s="1"/>
    </row>
    <row r="14759">
      <c r="B14759" s="36"/>
      <c r="C14759" s="36"/>
      <c r="E14759" s="1"/>
      <c r="F14759" s="1"/>
      <c r="G14759" s="1"/>
    </row>
    <row r="14760">
      <c r="B14760" s="36"/>
      <c r="C14760" s="36"/>
      <c r="E14760" s="1"/>
      <c r="F14760" s="1"/>
      <c r="G14760" s="1"/>
    </row>
    <row r="14761">
      <c r="B14761" s="36"/>
      <c r="C14761" s="36"/>
      <c r="E14761" s="1"/>
      <c r="F14761" s="1"/>
      <c r="G14761" s="1"/>
    </row>
    <row r="14762">
      <c r="B14762" s="36"/>
      <c r="C14762" s="36"/>
      <c r="E14762" s="1"/>
      <c r="F14762" s="1"/>
      <c r="G14762" s="1"/>
    </row>
    <row r="14763">
      <c r="B14763" s="36"/>
      <c r="C14763" s="36"/>
      <c r="E14763" s="1"/>
      <c r="F14763" s="1"/>
      <c r="G14763" s="1"/>
    </row>
    <row r="14764">
      <c r="B14764" s="36"/>
      <c r="C14764" s="36"/>
      <c r="E14764" s="1"/>
      <c r="F14764" s="1"/>
      <c r="G14764" s="1"/>
    </row>
    <row r="14765">
      <c r="B14765" s="36"/>
      <c r="C14765" s="36"/>
      <c r="E14765" s="1"/>
      <c r="F14765" s="1"/>
      <c r="G14765" s="1"/>
    </row>
    <row r="14766">
      <c r="B14766" s="36"/>
      <c r="C14766" s="36"/>
      <c r="E14766" s="1"/>
      <c r="F14766" s="1"/>
      <c r="G14766" s="1"/>
    </row>
    <row r="14767">
      <c r="B14767" s="36"/>
      <c r="C14767" s="36"/>
      <c r="E14767" s="1"/>
      <c r="F14767" s="1"/>
      <c r="G14767" s="1"/>
    </row>
    <row r="14768">
      <c r="B14768" s="36"/>
      <c r="C14768" s="36"/>
      <c r="E14768" s="1"/>
      <c r="F14768" s="1"/>
      <c r="G14768" s="1"/>
    </row>
    <row r="14769">
      <c r="B14769" s="36"/>
      <c r="C14769" s="36"/>
      <c r="E14769" s="1"/>
      <c r="F14769" s="1"/>
      <c r="G14769" s="1"/>
    </row>
    <row r="14770">
      <c r="B14770" s="36"/>
      <c r="C14770" s="36"/>
      <c r="E14770" s="1"/>
      <c r="F14770" s="1"/>
      <c r="G14770" s="1"/>
    </row>
    <row r="14771">
      <c r="B14771" s="36"/>
      <c r="C14771" s="36"/>
      <c r="E14771" s="1"/>
      <c r="F14771" s="1"/>
      <c r="G14771" s="1"/>
    </row>
    <row r="14772">
      <c r="B14772" s="36"/>
      <c r="C14772" s="36"/>
      <c r="E14772" s="1"/>
      <c r="F14772" s="1"/>
      <c r="G14772" s="1"/>
    </row>
    <row r="14773">
      <c r="B14773" s="36"/>
      <c r="C14773" s="36"/>
      <c r="E14773" s="1"/>
      <c r="F14773" s="1"/>
      <c r="G14773" s="1"/>
    </row>
    <row r="14774">
      <c r="B14774" s="36"/>
      <c r="C14774" s="36"/>
      <c r="E14774" s="1"/>
      <c r="F14774" s="1"/>
      <c r="G14774" s="1"/>
    </row>
    <row r="14775">
      <c r="B14775" s="36"/>
      <c r="C14775" s="36"/>
      <c r="E14775" s="1"/>
      <c r="F14775" s="1"/>
      <c r="G14775" s="1"/>
    </row>
    <row r="14776">
      <c r="B14776" s="36"/>
      <c r="C14776" s="36"/>
      <c r="E14776" s="1"/>
      <c r="F14776" s="1"/>
      <c r="G14776" s="1"/>
    </row>
    <row r="14777">
      <c r="B14777" s="36"/>
      <c r="C14777" s="36"/>
      <c r="E14777" s="1"/>
      <c r="F14777" s="1"/>
      <c r="G14777" s="1"/>
    </row>
    <row r="14778">
      <c r="B14778" s="36"/>
      <c r="C14778" s="36"/>
      <c r="E14778" s="1"/>
      <c r="F14778" s="1"/>
      <c r="G14778" s="1"/>
    </row>
    <row r="14779">
      <c r="B14779" s="36"/>
      <c r="C14779" s="36"/>
      <c r="E14779" s="1"/>
      <c r="F14779" s="1"/>
      <c r="G14779" s="1"/>
    </row>
    <row r="14780">
      <c r="B14780" s="36"/>
      <c r="C14780" s="36"/>
      <c r="E14780" s="1"/>
      <c r="F14780" s="1"/>
      <c r="G14780" s="1"/>
    </row>
    <row r="14781">
      <c r="B14781" s="36"/>
      <c r="C14781" s="36"/>
      <c r="E14781" s="1"/>
      <c r="F14781" s="1"/>
      <c r="G14781" s="1"/>
    </row>
    <row r="14782">
      <c r="B14782" s="36"/>
      <c r="C14782" s="36"/>
      <c r="E14782" s="1"/>
      <c r="F14782" s="1"/>
      <c r="G14782" s="1"/>
    </row>
    <row r="14783">
      <c r="B14783" s="36"/>
      <c r="C14783" s="36"/>
      <c r="E14783" s="1"/>
      <c r="F14783" s="1"/>
      <c r="G14783" s="1"/>
    </row>
    <row r="14784">
      <c r="B14784" s="36"/>
      <c r="C14784" s="36"/>
      <c r="E14784" s="1"/>
      <c r="F14784" s="1"/>
      <c r="G14784" s="1"/>
    </row>
    <row r="14785">
      <c r="B14785" s="36"/>
      <c r="C14785" s="36"/>
      <c r="E14785" s="1"/>
      <c r="F14785" s="1"/>
      <c r="G14785" s="1"/>
    </row>
    <row r="14786">
      <c r="B14786" s="36"/>
      <c r="C14786" s="36"/>
      <c r="E14786" s="1"/>
      <c r="F14786" s="1"/>
      <c r="G14786" s="1"/>
    </row>
    <row r="14787">
      <c r="B14787" s="36"/>
      <c r="C14787" s="36"/>
      <c r="E14787" s="1"/>
      <c r="F14787" s="1"/>
      <c r="G14787" s="1"/>
    </row>
    <row r="14788">
      <c r="B14788" s="36"/>
      <c r="C14788" s="36"/>
      <c r="E14788" s="1"/>
      <c r="F14788" s="1"/>
      <c r="G14788" s="1"/>
    </row>
    <row r="14789">
      <c r="B14789" s="36"/>
      <c r="C14789" s="36"/>
      <c r="E14789" s="1"/>
      <c r="F14789" s="1"/>
      <c r="G14789" s="1"/>
    </row>
    <row r="14790">
      <c r="B14790" s="36"/>
      <c r="C14790" s="36"/>
      <c r="E14790" s="1"/>
      <c r="F14790" s="1"/>
      <c r="G14790" s="1"/>
    </row>
    <row r="14791">
      <c r="B14791" s="36"/>
      <c r="C14791" s="36"/>
      <c r="E14791" s="1"/>
      <c r="F14791" s="1"/>
      <c r="G14791" s="1"/>
    </row>
    <row r="14792">
      <c r="B14792" s="36"/>
      <c r="C14792" s="36"/>
      <c r="E14792" s="1"/>
      <c r="F14792" s="1"/>
      <c r="G14792" s="1"/>
    </row>
    <row r="14793">
      <c r="B14793" s="36"/>
      <c r="C14793" s="36"/>
      <c r="E14793" s="1"/>
      <c r="F14793" s="1"/>
      <c r="G14793" s="1"/>
    </row>
    <row r="14794">
      <c r="B14794" s="36"/>
      <c r="C14794" s="36"/>
      <c r="E14794" s="1"/>
      <c r="F14794" s="1"/>
      <c r="G14794" s="1"/>
    </row>
    <row r="14795">
      <c r="B14795" s="36"/>
      <c r="C14795" s="36"/>
      <c r="E14795" s="1"/>
      <c r="F14795" s="1"/>
      <c r="G14795" s="1"/>
    </row>
    <row r="14796">
      <c r="B14796" s="36"/>
      <c r="C14796" s="36"/>
      <c r="E14796" s="1"/>
      <c r="F14796" s="1"/>
      <c r="G14796" s="1"/>
    </row>
    <row r="14797">
      <c r="B14797" s="36"/>
      <c r="C14797" s="36"/>
      <c r="E14797" s="1"/>
      <c r="F14797" s="1"/>
      <c r="G14797" s="1"/>
    </row>
    <row r="14798">
      <c r="B14798" s="36"/>
      <c r="C14798" s="36"/>
      <c r="E14798" s="1"/>
      <c r="F14798" s="1"/>
      <c r="G14798" s="1"/>
    </row>
    <row r="14799">
      <c r="B14799" s="36"/>
      <c r="C14799" s="36"/>
      <c r="E14799" s="1"/>
      <c r="F14799" s="1"/>
      <c r="G14799" s="1"/>
    </row>
    <row r="14800">
      <c r="B14800" s="36"/>
      <c r="C14800" s="36"/>
      <c r="E14800" s="1"/>
      <c r="F14800" s="1"/>
      <c r="G14800" s="1"/>
    </row>
    <row r="14801">
      <c r="B14801" s="36"/>
      <c r="C14801" s="36"/>
      <c r="E14801" s="1"/>
      <c r="F14801" s="1"/>
      <c r="G14801" s="1"/>
    </row>
    <row r="14802">
      <c r="B14802" s="36"/>
      <c r="C14802" s="36"/>
      <c r="E14802" s="1"/>
      <c r="F14802" s="1"/>
      <c r="G14802" s="1"/>
    </row>
    <row r="14803">
      <c r="B14803" s="36"/>
      <c r="C14803" s="36"/>
      <c r="E14803" s="1"/>
      <c r="F14803" s="1"/>
      <c r="G14803" s="1"/>
    </row>
    <row r="14804">
      <c r="B14804" s="36"/>
      <c r="C14804" s="36"/>
      <c r="E14804" s="1"/>
      <c r="F14804" s="1"/>
      <c r="G14804" s="1"/>
    </row>
    <row r="14805">
      <c r="B14805" s="36"/>
      <c r="C14805" s="36"/>
      <c r="E14805" s="1"/>
      <c r="F14805" s="1"/>
      <c r="G14805" s="1"/>
    </row>
    <row r="14806">
      <c r="B14806" s="36"/>
      <c r="C14806" s="36"/>
      <c r="E14806" s="1"/>
      <c r="F14806" s="1"/>
      <c r="G14806" s="1"/>
    </row>
    <row r="14807">
      <c r="B14807" s="36"/>
      <c r="C14807" s="36"/>
      <c r="E14807" s="1"/>
      <c r="F14807" s="1"/>
      <c r="G14807" s="1"/>
    </row>
    <row r="14808">
      <c r="B14808" s="36"/>
      <c r="C14808" s="36"/>
      <c r="E14808" s="1"/>
      <c r="F14808" s="1"/>
      <c r="G14808" s="1"/>
    </row>
    <row r="14809">
      <c r="B14809" s="36"/>
      <c r="C14809" s="36"/>
      <c r="E14809" s="1"/>
      <c r="F14809" s="1"/>
      <c r="G14809" s="1"/>
    </row>
    <row r="14810">
      <c r="B14810" s="36"/>
      <c r="C14810" s="36"/>
      <c r="E14810" s="1"/>
      <c r="F14810" s="1"/>
      <c r="G14810" s="1"/>
    </row>
    <row r="14811">
      <c r="B14811" s="36"/>
      <c r="C14811" s="36"/>
      <c r="E14811" s="1"/>
      <c r="F14811" s="1"/>
      <c r="G14811" s="1"/>
    </row>
    <row r="14812">
      <c r="B14812" s="36"/>
      <c r="C14812" s="36"/>
      <c r="E14812" s="1"/>
      <c r="F14812" s="1"/>
      <c r="G14812" s="1"/>
    </row>
    <row r="14813">
      <c r="B14813" s="36"/>
      <c r="C14813" s="36"/>
      <c r="E14813" s="1"/>
      <c r="F14813" s="1"/>
      <c r="G14813" s="1"/>
    </row>
    <row r="14814">
      <c r="B14814" s="36"/>
      <c r="C14814" s="36"/>
      <c r="E14814" s="1"/>
      <c r="F14814" s="1"/>
      <c r="G14814" s="1"/>
    </row>
    <row r="14815">
      <c r="B14815" s="36"/>
      <c r="C14815" s="36"/>
      <c r="E14815" s="1"/>
      <c r="F14815" s="1"/>
      <c r="G14815" s="1"/>
    </row>
    <row r="14816">
      <c r="B14816" s="36"/>
      <c r="C14816" s="36"/>
      <c r="E14816" s="1"/>
      <c r="F14816" s="1"/>
      <c r="G14816" s="1"/>
    </row>
    <row r="14817">
      <c r="B14817" s="36"/>
      <c r="C14817" s="36"/>
      <c r="E14817" s="1"/>
      <c r="F14817" s="1"/>
      <c r="G14817" s="1"/>
    </row>
    <row r="14818">
      <c r="B14818" s="36"/>
      <c r="C14818" s="36"/>
      <c r="E14818" s="1"/>
      <c r="F14818" s="1"/>
      <c r="G14818" s="1"/>
    </row>
    <row r="14819">
      <c r="B14819" s="36"/>
      <c r="C14819" s="36"/>
      <c r="E14819" s="1"/>
      <c r="F14819" s="1"/>
      <c r="G14819" s="1"/>
    </row>
    <row r="14820">
      <c r="B14820" s="36"/>
      <c r="C14820" s="36"/>
      <c r="E14820" s="1"/>
      <c r="F14820" s="1"/>
      <c r="G14820" s="1"/>
    </row>
    <row r="14821">
      <c r="B14821" s="36"/>
      <c r="C14821" s="36"/>
      <c r="E14821" s="1"/>
      <c r="F14821" s="1"/>
      <c r="G14821" s="1"/>
    </row>
    <row r="14822">
      <c r="B14822" s="36"/>
      <c r="C14822" s="36"/>
      <c r="E14822" s="1"/>
      <c r="F14822" s="1"/>
      <c r="G14822" s="1"/>
    </row>
    <row r="14823">
      <c r="B14823" s="36"/>
      <c r="C14823" s="36"/>
      <c r="E14823" s="1"/>
      <c r="F14823" s="1"/>
      <c r="G14823" s="1"/>
    </row>
    <row r="14824">
      <c r="B14824" s="36"/>
      <c r="C14824" s="36"/>
      <c r="E14824" s="1"/>
      <c r="F14824" s="1"/>
      <c r="G14824" s="1"/>
    </row>
    <row r="14825">
      <c r="B14825" s="36"/>
      <c r="C14825" s="36"/>
      <c r="E14825" s="1"/>
      <c r="F14825" s="1"/>
      <c r="G14825" s="1"/>
    </row>
    <row r="14826">
      <c r="B14826" s="36"/>
      <c r="C14826" s="36"/>
      <c r="E14826" s="1"/>
      <c r="F14826" s="1"/>
      <c r="G14826" s="1"/>
    </row>
    <row r="14827">
      <c r="B14827" s="36"/>
      <c r="C14827" s="36"/>
      <c r="E14827" s="1"/>
      <c r="F14827" s="1"/>
      <c r="G14827" s="1"/>
    </row>
    <row r="14828">
      <c r="B14828" s="36"/>
      <c r="C14828" s="36"/>
      <c r="E14828" s="1"/>
      <c r="F14828" s="1"/>
      <c r="G14828" s="1"/>
    </row>
    <row r="14829">
      <c r="B14829" s="36"/>
      <c r="C14829" s="36"/>
      <c r="E14829" s="1"/>
      <c r="F14829" s="1"/>
      <c r="G14829" s="1"/>
    </row>
    <row r="14830">
      <c r="B14830" s="36"/>
      <c r="C14830" s="36"/>
      <c r="E14830" s="1"/>
      <c r="F14830" s="1"/>
      <c r="G14830" s="1"/>
    </row>
    <row r="14831">
      <c r="B14831" s="36"/>
      <c r="C14831" s="36"/>
      <c r="E14831" s="1"/>
      <c r="F14831" s="1"/>
      <c r="G14831" s="1"/>
    </row>
    <row r="14832">
      <c r="B14832" s="36"/>
      <c r="C14832" s="36"/>
      <c r="E14832" s="1"/>
      <c r="F14832" s="1"/>
      <c r="G14832" s="1"/>
    </row>
    <row r="14833">
      <c r="B14833" s="36"/>
      <c r="C14833" s="36"/>
      <c r="E14833" s="1"/>
      <c r="F14833" s="1"/>
      <c r="G14833" s="1"/>
    </row>
    <row r="14834">
      <c r="B14834" s="36"/>
      <c r="C14834" s="36"/>
      <c r="E14834" s="1"/>
      <c r="F14834" s="1"/>
      <c r="G14834" s="1"/>
    </row>
    <row r="14835">
      <c r="B14835" s="36"/>
      <c r="C14835" s="36"/>
      <c r="E14835" s="1"/>
      <c r="F14835" s="1"/>
      <c r="G14835" s="1"/>
    </row>
    <row r="14836">
      <c r="B14836" s="36"/>
      <c r="C14836" s="36"/>
      <c r="E14836" s="1"/>
      <c r="F14836" s="1"/>
      <c r="G14836" s="1"/>
    </row>
    <row r="14837">
      <c r="B14837" s="36"/>
      <c r="C14837" s="36"/>
      <c r="E14837" s="1"/>
      <c r="F14837" s="1"/>
      <c r="G14837" s="1"/>
    </row>
    <row r="14838">
      <c r="B14838" s="36"/>
      <c r="C14838" s="36"/>
      <c r="E14838" s="1"/>
      <c r="F14838" s="1"/>
      <c r="G14838" s="1"/>
    </row>
    <row r="14839">
      <c r="B14839" s="36"/>
      <c r="C14839" s="36"/>
      <c r="E14839" s="1"/>
      <c r="F14839" s="1"/>
      <c r="G14839" s="1"/>
    </row>
    <row r="14840">
      <c r="B14840" s="36"/>
      <c r="C14840" s="36"/>
      <c r="E14840" s="1"/>
      <c r="F14840" s="1"/>
      <c r="G14840" s="1"/>
    </row>
    <row r="14841">
      <c r="B14841" s="36"/>
      <c r="C14841" s="36"/>
      <c r="E14841" s="1"/>
      <c r="F14841" s="1"/>
      <c r="G14841" s="1"/>
    </row>
    <row r="14842">
      <c r="B14842" s="36"/>
      <c r="C14842" s="36"/>
      <c r="E14842" s="1"/>
      <c r="F14842" s="1"/>
      <c r="G14842" s="1"/>
    </row>
    <row r="14843">
      <c r="B14843" s="36"/>
      <c r="C14843" s="36"/>
      <c r="E14843" s="1"/>
      <c r="F14843" s="1"/>
      <c r="G14843" s="1"/>
    </row>
    <row r="14844">
      <c r="B14844" s="36"/>
      <c r="C14844" s="36"/>
      <c r="E14844" s="1"/>
      <c r="F14844" s="1"/>
      <c r="G14844" s="1"/>
    </row>
    <row r="14845">
      <c r="B14845" s="36"/>
      <c r="C14845" s="36"/>
      <c r="E14845" s="1"/>
      <c r="F14845" s="1"/>
      <c r="G14845" s="1"/>
    </row>
    <row r="14846">
      <c r="B14846" s="36"/>
      <c r="C14846" s="36"/>
      <c r="E14846" s="1"/>
      <c r="F14846" s="1"/>
      <c r="G14846" s="1"/>
    </row>
    <row r="14847">
      <c r="B14847" s="36"/>
      <c r="C14847" s="36"/>
      <c r="E14847" s="1"/>
      <c r="F14847" s="1"/>
      <c r="G14847" s="1"/>
    </row>
    <row r="14848">
      <c r="B14848" s="36"/>
      <c r="C14848" s="36"/>
      <c r="E14848" s="1"/>
      <c r="F14848" s="1"/>
      <c r="G14848" s="1"/>
    </row>
    <row r="14849">
      <c r="B14849" s="36"/>
      <c r="C14849" s="36"/>
      <c r="E14849" s="1"/>
      <c r="F14849" s="1"/>
      <c r="G14849" s="1"/>
    </row>
    <row r="14850">
      <c r="B14850" s="36"/>
      <c r="C14850" s="36"/>
      <c r="E14850" s="1"/>
      <c r="F14850" s="1"/>
      <c r="G14850" s="1"/>
    </row>
    <row r="14851">
      <c r="B14851" s="36"/>
      <c r="C14851" s="36"/>
      <c r="E14851" s="1"/>
      <c r="F14851" s="1"/>
      <c r="G14851" s="1"/>
    </row>
    <row r="14852">
      <c r="B14852" s="36"/>
      <c r="C14852" s="36"/>
      <c r="E14852" s="1"/>
      <c r="F14852" s="1"/>
      <c r="G14852" s="1"/>
    </row>
    <row r="14853">
      <c r="B14853" s="36"/>
      <c r="C14853" s="36"/>
      <c r="E14853" s="1"/>
      <c r="F14853" s="1"/>
      <c r="G14853" s="1"/>
    </row>
    <row r="14854">
      <c r="B14854" s="36"/>
      <c r="C14854" s="36"/>
      <c r="E14854" s="1"/>
      <c r="F14854" s="1"/>
      <c r="G14854" s="1"/>
    </row>
    <row r="14855">
      <c r="B14855" s="36"/>
      <c r="C14855" s="36"/>
      <c r="E14855" s="1"/>
      <c r="F14855" s="1"/>
      <c r="G14855" s="1"/>
    </row>
    <row r="14856">
      <c r="B14856" s="36"/>
      <c r="C14856" s="36"/>
      <c r="E14856" s="1"/>
      <c r="F14856" s="1"/>
      <c r="G14856" s="1"/>
    </row>
    <row r="14857">
      <c r="B14857" s="36"/>
      <c r="C14857" s="36"/>
      <c r="E14857" s="1"/>
      <c r="F14857" s="1"/>
      <c r="G14857" s="1"/>
    </row>
    <row r="14858">
      <c r="B14858" s="36"/>
      <c r="C14858" s="36"/>
      <c r="E14858" s="1"/>
      <c r="F14858" s="1"/>
      <c r="G14858" s="1"/>
    </row>
    <row r="14859">
      <c r="B14859" s="36"/>
      <c r="C14859" s="36"/>
      <c r="E14859" s="1"/>
      <c r="F14859" s="1"/>
      <c r="G14859" s="1"/>
    </row>
    <row r="14860">
      <c r="B14860" s="36"/>
      <c r="C14860" s="36"/>
      <c r="E14860" s="1"/>
      <c r="F14860" s="1"/>
      <c r="G14860" s="1"/>
    </row>
    <row r="14861">
      <c r="B14861" s="36"/>
      <c r="C14861" s="36"/>
      <c r="E14861" s="1"/>
      <c r="F14861" s="1"/>
      <c r="G14861" s="1"/>
    </row>
    <row r="14862">
      <c r="B14862" s="36"/>
      <c r="C14862" s="36"/>
      <c r="E14862" s="1"/>
      <c r="F14862" s="1"/>
      <c r="G14862" s="1"/>
    </row>
    <row r="14863">
      <c r="B14863" s="36"/>
      <c r="C14863" s="36"/>
      <c r="E14863" s="1"/>
      <c r="F14863" s="1"/>
      <c r="G14863" s="1"/>
    </row>
    <row r="14864">
      <c r="B14864" s="36"/>
      <c r="C14864" s="36"/>
      <c r="E14864" s="1"/>
      <c r="F14864" s="1"/>
      <c r="G14864" s="1"/>
    </row>
    <row r="14865">
      <c r="B14865" s="36"/>
      <c r="C14865" s="36"/>
      <c r="E14865" s="1"/>
      <c r="F14865" s="1"/>
      <c r="G14865" s="1"/>
    </row>
    <row r="14866">
      <c r="B14866" s="36"/>
      <c r="C14866" s="36"/>
      <c r="E14866" s="1"/>
      <c r="F14866" s="1"/>
      <c r="G14866" s="1"/>
    </row>
    <row r="14867">
      <c r="B14867" s="36"/>
      <c r="C14867" s="36"/>
      <c r="E14867" s="1"/>
      <c r="F14867" s="1"/>
      <c r="G14867" s="1"/>
    </row>
    <row r="14868">
      <c r="B14868" s="36"/>
      <c r="C14868" s="36"/>
      <c r="E14868" s="1"/>
      <c r="F14868" s="1"/>
      <c r="G14868" s="1"/>
    </row>
    <row r="14869">
      <c r="B14869" s="36"/>
      <c r="C14869" s="36"/>
      <c r="E14869" s="1"/>
      <c r="F14869" s="1"/>
      <c r="G14869" s="1"/>
    </row>
    <row r="14870">
      <c r="B14870" s="36"/>
      <c r="C14870" s="36"/>
      <c r="E14870" s="1"/>
      <c r="F14870" s="1"/>
      <c r="G14870" s="1"/>
    </row>
    <row r="14871">
      <c r="B14871" s="36"/>
      <c r="C14871" s="36"/>
      <c r="E14871" s="1"/>
      <c r="F14871" s="1"/>
      <c r="G14871" s="1"/>
    </row>
    <row r="14872">
      <c r="B14872" s="36"/>
      <c r="C14872" s="36"/>
      <c r="E14872" s="1"/>
      <c r="F14872" s="1"/>
      <c r="G14872" s="1"/>
    </row>
    <row r="14873">
      <c r="B14873" s="36"/>
      <c r="C14873" s="36"/>
      <c r="E14873" s="1"/>
      <c r="F14873" s="1"/>
      <c r="G14873" s="1"/>
    </row>
    <row r="14874">
      <c r="B14874" s="36"/>
      <c r="C14874" s="36"/>
      <c r="E14874" s="1"/>
      <c r="F14874" s="1"/>
      <c r="G14874" s="1"/>
    </row>
    <row r="14875">
      <c r="B14875" s="36"/>
      <c r="C14875" s="36"/>
      <c r="E14875" s="1"/>
      <c r="F14875" s="1"/>
      <c r="G14875" s="1"/>
    </row>
    <row r="14876">
      <c r="B14876" s="36"/>
      <c r="C14876" s="36"/>
      <c r="E14876" s="1"/>
      <c r="F14876" s="1"/>
      <c r="G14876" s="1"/>
    </row>
    <row r="14877">
      <c r="B14877" s="36"/>
      <c r="C14877" s="36"/>
      <c r="E14877" s="1"/>
      <c r="F14877" s="1"/>
      <c r="G14877" s="1"/>
    </row>
    <row r="14878">
      <c r="B14878" s="36"/>
      <c r="C14878" s="36"/>
      <c r="E14878" s="1"/>
      <c r="F14878" s="1"/>
      <c r="G14878" s="1"/>
    </row>
    <row r="14879">
      <c r="B14879" s="36"/>
      <c r="C14879" s="36"/>
      <c r="E14879" s="1"/>
      <c r="F14879" s="1"/>
      <c r="G14879" s="1"/>
    </row>
    <row r="14880">
      <c r="B14880" s="36"/>
      <c r="C14880" s="36"/>
      <c r="E14880" s="1"/>
      <c r="F14880" s="1"/>
      <c r="G14880" s="1"/>
    </row>
    <row r="14881">
      <c r="B14881" s="36"/>
      <c r="C14881" s="36"/>
      <c r="E14881" s="1"/>
      <c r="F14881" s="1"/>
      <c r="G14881" s="1"/>
    </row>
    <row r="14882">
      <c r="B14882" s="36"/>
      <c r="C14882" s="36"/>
      <c r="E14882" s="1"/>
      <c r="F14882" s="1"/>
      <c r="G14882" s="1"/>
    </row>
    <row r="14883">
      <c r="B14883" s="36"/>
      <c r="C14883" s="36"/>
      <c r="E14883" s="1"/>
      <c r="F14883" s="1"/>
      <c r="G14883" s="1"/>
    </row>
    <row r="14884">
      <c r="B14884" s="36"/>
      <c r="C14884" s="36"/>
      <c r="E14884" s="1"/>
      <c r="F14884" s="1"/>
      <c r="G14884" s="1"/>
    </row>
    <row r="14885">
      <c r="B14885" s="36"/>
      <c r="C14885" s="36"/>
      <c r="E14885" s="1"/>
      <c r="F14885" s="1"/>
      <c r="G14885" s="1"/>
    </row>
    <row r="14886">
      <c r="B14886" s="36"/>
      <c r="C14886" s="36"/>
      <c r="E14886" s="1"/>
      <c r="F14886" s="1"/>
      <c r="G14886" s="1"/>
    </row>
    <row r="14887">
      <c r="B14887" s="36"/>
      <c r="C14887" s="36"/>
      <c r="E14887" s="1"/>
      <c r="F14887" s="1"/>
      <c r="G14887" s="1"/>
    </row>
    <row r="14888">
      <c r="B14888" s="36"/>
      <c r="C14888" s="36"/>
      <c r="E14888" s="1"/>
      <c r="F14888" s="1"/>
      <c r="G14888" s="1"/>
    </row>
    <row r="14889">
      <c r="B14889" s="36"/>
      <c r="C14889" s="36"/>
      <c r="E14889" s="1"/>
      <c r="F14889" s="1"/>
      <c r="G14889" s="1"/>
    </row>
    <row r="14890">
      <c r="B14890" s="36"/>
      <c r="C14890" s="36"/>
      <c r="E14890" s="1"/>
      <c r="F14890" s="1"/>
      <c r="G14890" s="1"/>
    </row>
    <row r="14891">
      <c r="B14891" s="36"/>
      <c r="C14891" s="36"/>
      <c r="E14891" s="1"/>
      <c r="F14891" s="1"/>
      <c r="G14891" s="1"/>
    </row>
    <row r="14892">
      <c r="B14892" s="36"/>
      <c r="C14892" s="36"/>
      <c r="E14892" s="1"/>
      <c r="F14892" s="1"/>
      <c r="G14892" s="1"/>
    </row>
    <row r="14893">
      <c r="B14893" s="36"/>
      <c r="C14893" s="36"/>
      <c r="E14893" s="1"/>
      <c r="F14893" s="1"/>
      <c r="G14893" s="1"/>
    </row>
    <row r="14894">
      <c r="B14894" s="36"/>
      <c r="C14894" s="36"/>
      <c r="E14894" s="1"/>
      <c r="F14894" s="1"/>
      <c r="G14894" s="1"/>
    </row>
    <row r="14895">
      <c r="B14895" s="36"/>
      <c r="C14895" s="36"/>
      <c r="E14895" s="1"/>
      <c r="F14895" s="1"/>
      <c r="G14895" s="1"/>
    </row>
    <row r="14896">
      <c r="B14896" s="36"/>
      <c r="C14896" s="36"/>
      <c r="E14896" s="1"/>
      <c r="F14896" s="1"/>
      <c r="G14896" s="1"/>
    </row>
    <row r="14897">
      <c r="B14897" s="36"/>
      <c r="C14897" s="36"/>
      <c r="E14897" s="1"/>
      <c r="F14897" s="1"/>
      <c r="G14897" s="1"/>
    </row>
    <row r="14898">
      <c r="B14898" s="36"/>
      <c r="C14898" s="36"/>
      <c r="E14898" s="1"/>
      <c r="F14898" s="1"/>
      <c r="G14898" s="1"/>
    </row>
    <row r="14899">
      <c r="B14899" s="36"/>
      <c r="C14899" s="36"/>
      <c r="E14899" s="1"/>
      <c r="F14899" s="1"/>
      <c r="G14899" s="1"/>
    </row>
    <row r="14900">
      <c r="B14900" s="36"/>
      <c r="C14900" s="36"/>
      <c r="E14900" s="1"/>
      <c r="F14900" s="1"/>
      <c r="G14900" s="1"/>
    </row>
    <row r="14901">
      <c r="B14901" s="36"/>
      <c r="C14901" s="36"/>
      <c r="E14901" s="1"/>
      <c r="F14901" s="1"/>
      <c r="G14901" s="1"/>
    </row>
    <row r="14902">
      <c r="B14902" s="36"/>
      <c r="C14902" s="36"/>
      <c r="E14902" s="1"/>
      <c r="F14902" s="1"/>
      <c r="G14902" s="1"/>
    </row>
    <row r="14903">
      <c r="B14903" s="36"/>
      <c r="C14903" s="36"/>
      <c r="E14903" s="1"/>
      <c r="F14903" s="1"/>
      <c r="G14903" s="1"/>
    </row>
    <row r="14904">
      <c r="B14904" s="36"/>
      <c r="C14904" s="36"/>
      <c r="E14904" s="1"/>
      <c r="F14904" s="1"/>
      <c r="G14904" s="1"/>
    </row>
    <row r="14905">
      <c r="B14905" s="36"/>
      <c r="C14905" s="36"/>
      <c r="E14905" s="1"/>
      <c r="F14905" s="1"/>
      <c r="G14905" s="1"/>
    </row>
    <row r="14906">
      <c r="B14906" s="36"/>
      <c r="C14906" s="36"/>
      <c r="E14906" s="1"/>
      <c r="F14906" s="1"/>
      <c r="G14906" s="1"/>
    </row>
    <row r="14907">
      <c r="B14907" s="36"/>
      <c r="C14907" s="36"/>
      <c r="E14907" s="1"/>
      <c r="F14907" s="1"/>
      <c r="G14907" s="1"/>
    </row>
    <row r="14908">
      <c r="B14908" s="36"/>
      <c r="C14908" s="36"/>
      <c r="E14908" s="1"/>
      <c r="F14908" s="1"/>
      <c r="G14908" s="1"/>
    </row>
    <row r="14909">
      <c r="B14909" s="36"/>
      <c r="C14909" s="36"/>
      <c r="E14909" s="1"/>
      <c r="F14909" s="1"/>
      <c r="G14909" s="1"/>
    </row>
    <row r="14910">
      <c r="B14910" s="36"/>
      <c r="C14910" s="36"/>
      <c r="E14910" s="1"/>
      <c r="F14910" s="1"/>
      <c r="G14910" s="1"/>
    </row>
    <row r="14911">
      <c r="B14911" s="36"/>
      <c r="C14911" s="36"/>
      <c r="E14911" s="1"/>
      <c r="F14911" s="1"/>
      <c r="G14911" s="1"/>
    </row>
    <row r="14912">
      <c r="B14912" s="36"/>
      <c r="C14912" s="36"/>
      <c r="E14912" s="1"/>
      <c r="F14912" s="1"/>
      <c r="G14912" s="1"/>
    </row>
    <row r="14913">
      <c r="B14913" s="36"/>
      <c r="C14913" s="36"/>
      <c r="E14913" s="1"/>
      <c r="F14913" s="1"/>
      <c r="G14913" s="1"/>
    </row>
    <row r="14914">
      <c r="B14914" s="36"/>
      <c r="C14914" s="36"/>
      <c r="E14914" s="1"/>
      <c r="F14914" s="1"/>
      <c r="G14914" s="1"/>
    </row>
    <row r="14915">
      <c r="B14915" s="36"/>
      <c r="C14915" s="36"/>
      <c r="E14915" s="1"/>
      <c r="F14915" s="1"/>
      <c r="G14915" s="1"/>
    </row>
    <row r="14916">
      <c r="B14916" s="36"/>
      <c r="C14916" s="36"/>
      <c r="E14916" s="1"/>
      <c r="F14916" s="1"/>
      <c r="G14916" s="1"/>
    </row>
    <row r="14917">
      <c r="B14917" s="36"/>
      <c r="C14917" s="36"/>
      <c r="E14917" s="1"/>
      <c r="F14917" s="1"/>
      <c r="G14917" s="1"/>
    </row>
    <row r="14918">
      <c r="B14918" s="36"/>
      <c r="C14918" s="36"/>
      <c r="E14918" s="1"/>
      <c r="F14918" s="1"/>
      <c r="G14918" s="1"/>
    </row>
    <row r="14919">
      <c r="B14919" s="36"/>
      <c r="C14919" s="36"/>
      <c r="E14919" s="1"/>
      <c r="F14919" s="1"/>
      <c r="G14919" s="1"/>
    </row>
    <row r="14920">
      <c r="B14920" s="36"/>
      <c r="C14920" s="36"/>
      <c r="E14920" s="1"/>
      <c r="F14920" s="1"/>
      <c r="G14920" s="1"/>
    </row>
    <row r="14921">
      <c r="B14921" s="36"/>
      <c r="C14921" s="36"/>
      <c r="E14921" s="1"/>
      <c r="F14921" s="1"/>
      <c r="G14921" s="1"/>
    </row>
    <row r="14922">
      <c r="B14922" s="36"/>
      <c r="C14922" s="36"/>
      <c r="E14922" s="1"/>
      <c r="F14922" s="1"/>
      <c r="G14922" s="1"/>
    </row>
    <row r="14923">
      <c r="B14923" s="36"/>
      <c r="C14923" s="36"/>
      <c r="E14923" s="1"/>
      <c r="F14923" s="1"/>
      <c r="G14923" s="1"/>
    </row>
    <row r="14924">
      <c r="B14924" s="36"/>
      <c r="C14924" s="36"/>
      <c r="E14924" s="1"/>
      <c r="F14924" s="1"/>
      <c r="G14924" s="1"/>
    </row>
    <row r="14925">
      <c r="B14925" s="36"/>
      <c r="C14925" s="36"/>
      <c r="E14925" s="1"/>
      <c r="F14925" s="1"/>
      <c r="G14925" s="1"/>
    </row>
    <row r="14926">
      <c r="B14926" s="36"/>
      <c r="C14926" s="36"/>
      <c r="E14926" s="1"/>
      <c r="F14926" s="1"/>
      <c r="G14926" s="1"/>
    </row>
    <row r="14927">
      <c r="B14927" s="36"/>
      <c r="C14927" s="36"/>
      <c r="E14927" s="1"/>
      <c r="F14927" s="1"/>
      <c r="G14927" s="1"/>
    </row>
    <row r="14928">
      <c r="B14928" s="36"/>
      <c r="C14928" s="36"/>
      <c r="E14928" s="1"/>
      <c r="F14928" s="1"/>
      <c r="G14928" s="1"/>
    </row>
    <row r="14929">
      <c r="B14929" s="36"/>
      <c r="C14929" s="36"/>
      <c r="E14929" s="1"/>
      <c r="F14929" s="1"/>
      <c r="G14929" s="1"/>
    </row>
    <row r="14930">
      <c r="B14930" s="36"/>
      <c r="C14930" s="36"/>
      <c r="E14930" s="1"/>
      <c r="F14930" s="1"/>
      <c r="G14930" s="1"/>
    </row>
    <row r="14931">
      <c r="B14931" s="36"/>
      <c r="C14931" s="36"/>
      <c r="E14931" s="1"/>
      <c r="F14931" s="1"/>
      <c r="G14931" s="1"/>
    </row>
    <row r="14932">
      <c r="B14932" s="36"/>
      <c r="C14932" s="36"/>
      <c r="E14932" s="1"/>
      <c r="F14932" s="1"/>
      <c r="G14932" s="1"/>
    </row>
    <row r="14933">
      <c r="B14933" s="36"/>
      <c r="C14933" s="36"/>
      <c r="E14933" s="1"/>
      <c r="F14933" s="1"/>
      <c r="G14933" s="1"/>
    </row>
    <row r="14934">
      <c r="B14934" s="36"/>
      <c r="C14934" s="36"/>
      <c r="E14934" s="1"/>
      <c r="F14934" s="1"/>
      <c r="G14934" s="1"/>
    </row>
    <row r="14935">
      <c r="B14935" s="36"/>
      <c r="C14935" s="36"/>
      <c r="E14935" s="1"/>
      <c r="F14935" s="1"/>
      <c r="G14935" s="1"/>
    </row>
    <row r="14936">
      <c r="B14936" s="36"/>
      <c r="C14936" s="36"/>
      <c r="E14936" s="1"/>
      <c r="F14936" s="1"/>
      <c r="G14936" s="1"/>
    </row>
    <row r="14937">
      <c r="B14937" s="36"/>
      <c r="C14937" s="36"/>
      <c r="E14937" s="1"/>
      <c r="F14937" s="1"/>
      <c r="G14937" s="1"/>
    </row>
    <row r="14938">
      <c r="B14938" s="36"/>
      <c r="C14938" s="36"/>
      <c r="E14938" s="1"/>
      <c r="F14938" s="1"/>
      <c r="G14938" s="1"/>
    </row>
    <row r="14939">
      <c r="B14939" s="36"/>
      <c r="C14939" s="36"/>
      <c r="E14939" s="1"/>
      <c r="F14939" s="1"/>
      <c r="G14939" s="1"/>
    </row>
    <row r="14940">
      <c r="B14940" s="36"/>
      <c r="C14940" s="36"/>
      <c r="E14940" s="1"/>
      <c r="F14940" s="1"/>
      <c r="G14940" s="1"/>
    </row>
    <row r="14941">
      <c r="B14941" s="36"/>
      <c r="C14941" s="36"/>
      <c r="E14941" s="1"/>
      <c r="F14941" s="1"/>
      <c r="G14941" s="1"/>
    </row>
    <row r="14942">
      <c r="B14942" s="36"/>
      <c r="C14942" s="36"/>
      <c r="E14942" s="1"/>
      <c r="F14942" s="1"/>
      <c r="G14942" s="1"/>
    </row>
    <row r="14943">
      <c r="B14943" s="36"/>
      <c r="C14943" s="36"/>
      <c r="E14943" s="1"/>
      <c r="F14943" s="1"/>
      <c r="G14943" s="1"/>
    </row>
    <row r="14944">
      <c r="B14944" s="36"/>
      <c r="C14944" s="36"/>
      <c r="E14944" s="1"/>
      <c r="F14944" s="1"/>
      <c r="G14944" s="1"/>
    </row>
    <row r="14945">
      <c r="B14945" s="36"/>
      <c r="C14945" s="36"/>
      <c r="E14945" s="1"/>
      <c r="F14945" s="1"/>
      <c r="G14945" s="1"/>
    </row>
    <row r="14946">
      <c r="B14946" s="36"/>
      <c r="C14946" s="36"/>
      <c r="E14946" s="1"/>
      <c r="F14946" s="1"/>
      <c r="G14946" s="1"/>
    </row>
    <row r="14947">
      <c r="B14947" s="36"/>
      <c r="C14947" s="36"/>
      <c r="E14947" s="1"/>
      <c r="F14947" s="1"/>
      <c r="G14947" s="1"/>
    </row>
    <row r="14948">
      <c r="B14948" s="36"/>
      <c r="C14948" s="36"/>
      <c r="E14948" s="1"/>
      <c r="F14948" s="1"/>
      <c r="G14948" s="1"/>
    </row>
    <row r="14949">
      <c r="B14949" s="36"/>
      <c r="C14949" s="36"/>
      <c r="E14949" s="1"/>
      <c r="F14949" s="1"/>
      <c r="G14949" s="1"/>
    </row>
    <row r="14950">
      <c r="B14950" s="36"/>
      <c r="C14950" s="36"/>
      <c r="E14950" s="1"/>
      <c r="F14950" s="1"/>
      <c r="G14950" s="1"/>
    </row>
    <row r="14951">
      <c r="B14951" s="36"/>
      <c r="C14951" s="36"/>
      <c r="E14951" s="1"/>
      <c r="F14951" s="1"/>
      <c r="G14951" s="1"/>
    </row>
    <row r="14952">
      <c r="B14952" s="36"/>
      <c r="C14952" s="36"/>
      <c r="E14952" s="1"/>
      <c r="F14952" s="1"/>
      <c r="G14952" s="1"/>
    </row>
    <row r="14953">
      <c r="B14953" s="36"/>
      <c r="C14953" s="36"/>
      <c r="E14953" s="1"/>
      <c r="F14953" s="1"/>
      <c r="G14953" s="1"/>
    </row>
    <row r="14954">
      <c r="B14954" s="36"/>
      <c r="C14954" s="36"/>
      <c r="E14954" s="1"/>
      <c r="F14954" s="1"/>
      <c r="G14954" s="1"/>
    </row>
    <row r="14955">
      <c r="B14955" s="36"/>
      <c r="C14955" s="36"/>
      <c r="E14955" s="1"/>
      <c r="F14955" s="1"/>
      <c r="G14955" s="1"/>
    </row>
    <row r="14956">
      <c r="B14956" s="36"/>
      <c r="C14956" s="36"/>
      <c r="E14956" s="1"/>
      <c r="F14956" s="1"/>
      <c r="G14956" s="1"/>
    </row>
    <row r="14957">
      <c r="B14957" s="36"/>
      <c r="C14957" s="36"/>
      <c r="E14957" s="1"/>
      <c r="F14957" s="1"/>
      <c r="G14957" s="1"/>
    </row>
    <row r="14958">
      <c r="B14958" s="36"/>
      <c r="C14958" s="36"/>
      <c r="E14958" s="1"/>
      <c r="F14958" s="1"/>
      <c r="G14958" s="1"/>
    </row>
    <row r="14959">
      <c r="B14959" s="36"/>
      <c r="C14959" s="36"/>
      <c r="E14959" s="1"/>
      <c r="F14959" s="1"/>
      <c r="G14959" s="1"/>
    </row>
    <row r="14960">
      <c r="B14960" s="36"/>
      <c r="C14960" s="36"/>
      <c r="E14960" s="1"/>
      <c r="F14960" s="1"/>
      <c r="G14960" s="1"/>
    </row>
    <row r="14961">
      <c r="B14961" s="36"/>
      <c r="C14961" s="36"/>
      <c r="E14961" s="1"/>
      <c r="F14961" s="1"/>
      <c r="G14961" s="1"/>
    </row>
    <row r="14962">
      <c r="B14962" s="36"/>
      <c r="C14962" s="36"/>
      <c r="E14962" s="1"/>
      <c r="F14962" s="1"/>
      <c r="G14962" s="1"/>
    </row>
    <row r="14963">
      <c r="B14963" s="36"/>
      <c r="C14963" s="36"/>
      <c r="E14963" s="1"/>
      <c r="F14963" s="1"/>
      <c r="G14963" s="1"/>
    </row>
    <row r="14964">
      <c r="B14964" s="36"/>
      <c r="C14964" s="36"/>
      <c r="E14964" s="1"/>
      <c r="F14964" s="1"/>
      <c r="G14964" s="1"/>
    </row>
    <row r="14965">
      <c r="B14965" s="36"/>
      <c r="C14965" s="36"/>
      <c r="E14965" s="1"/>
      <c r="F14965" s="1"/>
      <c r="G14965" s="1"/>
    </row>
    <row r="14966">
      <c r="B14966" s="36"/>
      <c r="C14966" s="36"/>
      <c r="E14966" s="1"/>
      <c r="F14966" s="1"/>
      <c r="G14966" s="1"/>
    </row>
    <row r="14967">
      <c r="B14967" s="36"/>
      <c r="C14967" s="36"/>
      <c r="E14967" s="1"/>
      <c r="F14967" s="1"/>
      <c r="G14967" s="1"/>
    </row>
    <row r="14968">
      <c r="B14968" s="36"/>
      <c r="C14968" s="36"/>
      <c r="E14968" s="1"/>
      <c r="F14968" s="1"/>
      <c r="G14968" s="1"/>
    </row>
    <row r="14969">
      <c r="B14969" s="36"/>
      <c r="C14969" s="36"/>
      <c r="E14969" s="1"/>
      <c r="F14969" s="1"/>
      <c r="G14969" s="1"/>
    </row>
    <row r="14970">
      <c r="B14970" s="36"/>
      <c r="C14970" s="36"/>
      <c r="E14970" s="1"/>
      <c r="F14970" s="1"/>
      <c r="G14970" s="1"/>
    </row>
    <row r="14971">
      <c r="B14971" s="36"/>
      <c r="C14971" s="36"/>
      <c r="E14971" s="1"/>
      <c r="F14971" s="1"/>
      <c r="G14971" s="1"/>
    </row>
    <row r="14972">
      <c r="B14972" s="36"/>
      <c r="C14972" s="36"/>
      <c r="E14972" s="1"/>
      <c r="F14972" s="1"/>
      <c r="G14972" s="1"/>
    </row>
    <row r="14973">
      <c r="B14973" s="36"/>
      <c r="C14973" s="36"/>
      <c r="E14973" s="1"/>
      <c r="F14973" s="1"/>
      <c r="G14973" s="1"/>
    </row>
    <row r="14974">
      <c r="B14974" s="36"/>
      <c r="C14974" s="36"/>
      <c r="E14974" s="1"/>
      <c r="F14974" s="1"/>
      <c r="G14974" s="1"/>
    </row>
    <row r="14975">
      <c r="B14975" s="36"/>
      <c r="C14975" s="36"/>
      <c r="E14975" s="1"/>
      <c r="F14975" s="1"/>
      <c r="G14975" s="1"/>
    </row>
    <row r="14976">
      <c r="B14976" s="36"/>
      <c r="C14976" s="36"/>
      <c r="E14976" s="1"/>
      <c r="F14976" s="1"/>
      <c r="G14976" s="1"/>
    </row>
    <row r="14977">
      <c r="B14977" s="36"/>
      <c r="C14977" s="36"/>
      <c r="E14977" s="1"/>
      <c r="F14977" s="1"/>
      <c r="G14977" s="1"/>
    </row>
    <row r="14978">
      <c r="B14978" s="36"/>
      <c r="C14978" s="36"/>
      <c r="E14978" s="1"/>
      <c r="F14978" s="1"/>
      <c r="G14978" s="1"/>
    </row>
    <row r="14979">
      <c r="B14979" s="36"/>
      <c r="C14979" s="36"/>
      <c r="E14979" s="1"/>
      <c r="F14979" s="1"/>
      <c r="G14979" s="1"/>
    </row>
    <row r="14980">
      <c r="B14980" s="36"/>
      <c r="C14980" s="36"/>
      <c r="E14980" s="1"/>
      <c r="F14980" s="1"/>
      <c r="G14980" s="1"/>
    </row>
    <row r="14981">
      <c r="B14981" s="36"/>
      <c r="C14981" s="36"/>
      <c r="E14981" s="1"/>
      <c r="F14981" s="1"/>
      <c r="G14981" s="1"/>
    </row>
    <row r="14982">
      <c r="B14982" s="36"/>
      <c r="C14982" s="36"/>
      <c r="E14982" s="1"/>
      <c r="F14982" s="1"/>
      <c r="G14982" s="1"/>
    </row>
    <row r="14983">
      <c r="B14983" s="36"/>
      <c r="C14983" s="36"/>
      <c r="E14983" s="1"/>
      <c r="F14983" s="1"/>
      <c r="G14983" s="1"/>
    </row>
    <row r="14984">
      <c r="B14984" s="36"/>
      <c r="C14984" s="36"/>
      <c r="E14984" s="1"/>
      <c r="F14984" s="1"/>
      <c r="G14984" s="1"/>
    </row>
    <row r="14985">
      <c r="B14985" s="36"/>
      <c r="C14985" s="36"/>
      <c r="E14985" s="1"/>
      <c r="F14985" s="1"/>
      <c r="G14985" s="1"/>
    </row>
    <row r="14986">
      <c r="B14986" s="36"/>
      <c r="C14986" s="36"/>
      <c r="E14986" s="1"/>
      <c r="F14986" s="1"/>
      <c r="G14986" s="1"/>
    </row>
    <row r="14987">
      <c r="B14987" s="36"/>
      <c r="C14987" s="36"/>
      <c r="E14987" s="1"/>
      <c r="F14987" s="1"/>
      <c r="G14987" s="1"/>
    </row>
    <row r="14988">
      <c r="B14988" s="36"/>
      <c r="C14988" s="36"/>
      <c r="E14988" s="1"/>
      <c r="F14988" s="1"/>
      <c r="G14988" s="1"/>
    </row>
    <row r="14989">
      <c r="B14989" s="36"/>
      <c r="C14989" s="36"/>
      <c r="E14989" s="1"/>
      <c r="F14989" s="1"/>
      <c r="G14989" s="1"/>
    </row>
    <row r="14990">
      <c r="B14990" s="36"/>
      <c r="C14990" s="36"/>
      <c r="E14990" s="1"/>
      <c r="F14990" s="1"/>
      <c r="G14990" s="1"/>
    </row>
    <row r="14991">
      <c r="B14991" s="36"/>
      <c r="C14991" s="36"/>
      <c r="E14991" s="1"/>
      <c r="F14991" s="1"/>
      <c r="G14991" s="1"/>
    </row>
    <row r="14992">
      <c r="B14992" s="36"/>
      <c r="C14992" s="36"/>
      <c r="E14992" s="1"/>
      <c r="F14992" s="1"/>
      <c r="G14992" s="1"/>
    </row>
    <row r="14993">
      <c r="B14993" s="36"/>
      <c r="C14993" s="36"/>
      <c r="E14993" s="1"/>
      <c r="F14993" s="1"/>
      <c r="G14993" s="1"/>
    </row>
    <row r="14994">
      <c r="B14994" s="36"/>
      <c r="C14994" s="36"/>
      <c r="E14994" s="1"/>
      <c r="F14994" s="1"/>
      <c r="G14994" s="1"/>
    </row>
    <row r="14995">
      <c r="B14995" s="36"/>
      <c r="C14995" s="36"/>
      <c r="E14995" s="1"/>
      <c r="F14995" s="1"/>
      <c r="G14995" s="1"/>
    </row>
    <row r="14996">
      <c r="B14996" s="36"/>
      <c r="C14996" s="36"/>
      <c r="E14996" s="1"/>
      <c r="F14996" s="1"/>
      <c r="G14996" s="1"/>
    </row>
    <row r="14997">
      <c r="B14997" s="36"/>
      <c r="C14997" s="36"/>
      <c r="E14997" s="1"/>
      <c r="F14997" s="1"/>
      <c r="G14997" s="1"/>
    </row>
    <row r="14998">
      <c r="B14998" s="36"/>
      <c r="C14998" s="36"/>
      <c r="E14998" s="1"/>
      <c r="F14998" s="1"/>
      <c r="G14998" s="1"/>
    </row>
    <row r="14999">
      <c r="B14999" s="36"/>
      <c r="C14999" s="36"/>
      <c r="E14999" s="1"/>
      <c r="F14999" s="1"/>
      <c r="G14999" s="1"/>
    </row>
    <row r="15000">
      <c r="B15000" s="36"/>
      <c r="C15000" s="36"/>
      <c r="E15000" s="1"/>
      <c r="F15000" s="1"/>
      <c r="G15000" s="1"/>
    </row>
    <row r="15001">
      <c r="B15001" s="36"/>
      <c r="C15001" s="36"/>
      <c r="E15001" s="1"/>
      <c r="F15001" s="1"/>
      <c r="G15001" s="1"/>
    </row>
    <row r="15002">
      <c r="B15002" s="36"/>
      <c r="C15002" s="36"/>
      <c r="E15002" s="1"/>
      <c r="F15002" s="1"/>
      <c r="G15002" s="1"/>
    </row>
    <row r="15003">
      <c r="B15003" s="36"/>
      <c r="C15003" s="36"/>
      <c r="E15003" s="1"/>
      <c r="F15003" s="1"/>
      <c r="G15003" s="1"/>
    </row>
    <row r="15004">
      <c r="B15004" s="36"/>
      <c r="C15004" s="36"/>
      <c r="E15004" s="1"/>
      <c r="F15004" s="1"/>
      <c r="G15004" s="1"/>
    </row>
    <row r="15005">
      <c r="B15005" s="36"/>
      <c r="C15005" s="36"/>
      <c r="E15005" s="1"/>
      <c r="F15005" s="1"/>
      <c r="G15005" s="1"/>
    </row>
    <row r="15006">
      <c r="B15006" s="36"/>
      <c r="C15006" s="36"/>
      <c r="E15006" s="1"/>
      <c r="F15006" s="1"/>
      <c r="G15006" s="1"/>
    </row>
    <row r="15007">
      <c r="B15007" s="36"/>
      <c r="C15007" s="36"/>
      <c r="E15007" s="1"/>
      <c r="F15007" s="1"/>
      <c r="G15007" s="1"/>
    </row>
    <row r="15008">
      <c r="B15008" s="36"/>
      <c r="C15008" s="36"/>
      <c r="E15008" s="1"/>
      <c r="F15008" s="1"/>
      <c r="G15008" s="1"/>
    </row>
    <row r="15009">
      <c r="B15009" s="36"/>
      <c r="C15009" s="36"/>
      <c r="E15009" s="1"/>
      <c r="F15009" s="1"/>
      <c r="G15009" s="1"/>
    </row>
    <row r="15010">
      <c r="B15010" s="36"/>
      <c r="C15010" s="36"/>
      <c r="E15010" s="1"/>
      <c r="F15010" s="1"/>
      <c r="G15010" s="1"/>
    </row>
    <row r="15011">
      <c r="B15011" s="36"/>
      <c r="C15011" s="36"/>
      <c r="E15011" s="1"/>
      <c r="F15011" s="1"/>
      <c r="G15011" s="1"/>
    </row>
    <row r="15012">
      <c r="B15012" s="36"/>
      <c r="C15012" s="36"/>
      <c r="E15012" s="1"/>
      <c r="F15012" s="1"/>
      <c r="G15012" s="1"/>
    </row>
    <row r="15013">
      <c r="B15013" s="36"/>
      <c r="C15013" s="36"/>
      <c r="E15013" s="1"/>
      <c r="F15013" s="1"/>
      <c r="G15013" s="1"/>
    </row>
    <row r="15014">
      <c r="B15014" s="36"/>
      <c r="C15014" s="36"/>
      <c r="E15014" s="1"/>
      <c r="F15014" s="1"/>
      <c r="G15014" s="1"/>
    </row>
    <row r="15015">
      <c r="B15015" s="36"/>
      <c r="C15015" s="36"/>
      <c r="E15015" s="1"/>
      <c r="F15015" s="1"/>
      <c r="G15015" s="1"/>
    </row>
    <row r="15016">
      <c r="B15016" s="36"/>
      <c r="C15016" s="36"/>
      <c r="E15016" s="1"/>
      <c r="F15016" s="1"/>
      <c r="G15016" s="1"/>
    </row>
    <row r="15017">
      <c r="B15017" s="36"/>
      <c r="C15017" s="36"/>
      <c r="E15017" s="1"/>
      <c r="F15017" s="1"/>
      <c r="G15017" s="1"/>
    </row>
    <row r="15018">
      <c r="B15018" s="36"/>
      <c r="C15018" s="36"/>
      <c r="E15018" s="1"/>
      <c r="F15018" s="1"/>
      <c r="G15018" s="1"/>
    </row>
    <row r="15019">
      <c r="B15019" s="36"/>
      <c r="C15019" s="36"/>
      <c r="E15019" s="1"/>
      <c r="F15019" s="1"/>
      <c r="G15019" s="1"/>
    </row>
    <row r="15020">
      <c r="B15020" s="36"/>
      <c r="C15020" s="36"/>
      <c r="E15020" s="1"/>
      <c r="F15020" s="1"/>
      <c r="G15020" s="1"/>
    </row>
    <row r="15021">
      <c r="B15021" s="36"/>
      <c r="C15021" s="36"/>
      <c r="E15021" s="1"/>
      <c r="F15021" s="1"/>
      <c r="G15021" s="1"/>
    </row>
    <row r="15022">
      <c r="B15022" s="36"/>
      <c r="C15022" s="36"/>
      <c r="E15022" s="1"/>
      <c r="F15022" s="1"/>
      <c r="G15022" s="1"/>
    </row>
    <row r="15023">
      <c r="B15023" s="36"/>
      <c r="C15023" s="36"/>
      <c r="E15023" s="1"/>
      <c r="F15023" s="1"/>
      <c r="G15023" s="1"/>
    </row>
    <row r="15024">
      <c r="B15024" s="36"/>
      <c r="C15024" s="36"/>
      <c r="E15024" s="1"/>
      <c r="F15024" s="1"/>
      <c r="G15024" s="1"/>
    </row>
    <row r="15025">
      <c r="B15025" s="36"/>
      <c r="C15025" s="36"/>
      <c r="E15025" s="1"/>
      <c r="F15025" s="1"/>
      <c r="G15025" s="1"/>
    </row>
    <row r="15026">
      <c r="B15026" s="36"/>
      <c r="C15026" s="36"/>
      <c r="E15026" s="1"/>
      <c r="F15026" s="1"/>
      <c r="G15026" s="1"/>
    </row>
    <row r="15027">
      <c r="B15027" s="36"/>
      <c r="C15027" s="36"/>
      <c r="E15027" s="1"/>
      <c r="F15027" s="1"/>
      <c r="G15027" s="1"/>
    </row>
    <row r="15028">
      <c r="B15028" s="36"/>
      <c r="C15028" s="36"/>
      <c r="E15028" s="1"/>
      <c r="F15028" s="1"/>
      <c r="G15028" s="1"/>
    </row>
    <row r="15029">
      <c r="B15029" s="36"/>
      <c r="C15029" s="36"/>
      <c r="E15029" s="1"/>
      <c r="F15029" s="1"/>
      <c r="G15029" s="1"/>
    </row>
    <row r="15030">
      <c r="B15030" s="36"/>
      <c r="C15030" s="36"/>
      <c r="E15030" s="1"/>
      <c r="F15030" s="1"/>
      <c r="G15030" s="1"/>
    </row>
    <row r="15031">
      <c r="B15031" s="36"/>
      <c r="C15031" s="36"/>
      <c r="E15031" s="1"/>
      <c r="F15031" s="1"/>
      <c r="G15031" s="1"/>
    </row>
    <row r="15032">
      <c r="B15032" s="36"/>
      <c r="C15032" s="36"/>
      <c r="E15032" s="1"/>
      <c r="F15032" s="1"/>
      <c r="G15032" s="1"/>
    </row>
    <row r="15033">
      <c r="B15033" s="36"/>
      <c r="C15033" s="36"/>
      <c r="E15033" s="1"/>
      <c r="F15033" s="1"/>
      <c r="G15033" s="1"/>
    </row>
    <row r="15034">
      <c r="B15034" s="36"/>
      <c r="C15034" s="36"/>
      <c r="E15034" s="1"/>
      <c r="F15034" s="1"/>
      <c r="G15034" s="1"/>
    </row>
    <row r="15035">
      <c r="B15035" s="36"/>
      <c r="C15035" s="36"/>
      <c r="E15035" s="1"/>
      <c r="F15035" s="1"/>
      <c r="G15035" s="1"/>
    </row>
    <row r="15036">
      <c r="B15036" s="36"/>
      <c r="C15036" s="36"/>
      <c r="E15036" s="1"/>
      <c r="F15036" s="1"/>
      <c r="G15036" s="1"/>
    </row>
    <row r="15037">
      <c r="B15037" s="36"/>
      <c r="C15037" s="36"/>
      <c r="E15037" s="1"/>
      <c r="F15037" s="1"/>
      <c r="G15037" s="1"/>
    </row>
    <row r="15038">
      <c r="B15038" s="36"/>
      <c r="C15038" s="36"/>
      <c r="E15038" s="1"/>
      <c r="F15038" s="1"/>
      <c r="G15038" s="1"/>
    </row>
    <row r="15039">
      <c r="B15039" s="36"/>
      <c r="C15039" s="36"/>
      <c r="E15039" s="1"/>
      <c r="F15039" s="1"/>
      <c r="G15039" s="1"/>
    </row>
    <row r="15040">
      <c r="B15040" s="36"/>
      <c r="C15040" s="36"/>
      <c r="E15040" s="1"/>
      <c r="F15040" s="1"/>
      <c r="G15040" s="1"/>
    </row>
    <row r="15041">
      <c r="B15041" s="36"/>
      <c r="C15041" s="36"/>
      <c r="E15041" s="1"/>
      <c r="F15041" s="1"/>
      <c r="G15041" s="1"/>
    </row>
    <row r="15042">
      <c r="B15042" s="36"/>
      <c r="C15042" s="36"/>
      <c r="E15042" s="1"/>
      <c r="F15042" s="1"/>
      <c r="G15042" s="1"/>
    </row>
    <row r="15043">
      <c r="B15043" s="36"/>
      <c r="C15043" s="36"/>
      <c r="E15043" s="1"/>
      <c r="F15043" s="1"/>
      <c r="G15043" s="1"/>
    </row>
    <row r="15044">
      <c r="B15044" s="36"/>
      <c r="C15044" s="36"/>
      <c r="E15044" s="1"/>
      <c r="F15044" s="1"/>
      <c r="G15044" s="1"/>
    </row>
    <row r="15045">
      <c r="B15045" s="36"/>
      <c r="C15045" s="36"/>
      <c r="E15045" s="1"/>
      <c r="F15045" s="1"/>
      <c r="G15045" s="1"/>
    </row>
    <row r="15046">
      <c r="B15046" s="36"/>
      <c r="C15046" s="36"/>
      <c r="E15046" s="1"/>
      <c r="F15046" s="1"/>
      <c r="G15046" s="1"/>
    </row>
    <row r="15047">
      <c r="B15047" s="36"/>
      <c r="C15047" s="36"/>
      <c r="E15047" s="1"/>
      <c r="F15047" s="1"/>
      <c r="G15047" s="1"/>
    </row>
    <row r="15048">
      <c r="B15048" s="36"/>
      <c r="C15048" s="36"/>
      <c r="E15048" s="1"/>
      <c r="F15048" s="1"/>
      <c r="G15048" s="1"/>
    </row>
    <row r="15049">
      <c r="B15049" s="36"/>
      <c r="C15049" s="36"/>
      <c r="E15049" s="1"/>
      <c r="F15049" s="1"/>
      <c r="G15049" s="1"/>
    </row>
    <row r="15050">
      <c r="B15050" s="36"/>
      <c r="C15050" s="36"/>
      <c r="E15050" s="1"/>
      <c r="F15050" s="1"/>
      <c r="G15050" s="1"/>
    </row>
    <row r="15051">
      <c r="B15051" s="36"/>
      <c r="C15051" s="36"/>
      <c r="E15051" s="1"/>
      <c r="F15051" s="1"/>
      <c r="G15051" s="1"/>
    </row>
    <row r="15052">
      <c r="B15052" s="36"/>
      <c r="C15052" s="36"/>
      <c r="E15052" s="1"/>
      <c r="F15052" s="1"/>
      <c r="G15052" s="1"/>
    </row>
    <row r="15053">
      <c r="B15053" s="36"/>
      <c r="C15053" s="36"/>
      <c r="E15053" s="1"/>
      <c r="F15053" s="1"/>
      <c r="G15053" s="1"/>
    </row>
    <row r="15054">
      <c r="B15054" s="36"/>
      <c r="C15054" s="36"/>
      <c r="E15054" s="1"/>
      <c r="F15054" s="1"/>
      <c r="G15054" s="1"/>
    </row>
    <row r="15055">
      <c r="B15055" s="36"/>
      <c r="C15055" s="36"/>
      <c r="E15055" s="1"/>
      <c r="F15055" s="1"/>
      <c r="G15055" s="1"/>
    </row>
    <row r="15056">
      <c r="B15056" s="36"/>
      <c r="C15056" s="36"/>
      <c r="E15056" s="1"/>
      <c r="F15056" s="1"/>
      <c r="G15056" s="1"/>
    </row>
    <row r="15057">
      <c r="B15057" s="36"/>
      <c r="C15057" s="36"/>
      <c r="E15057" s="1"/>
      <c r="F15057" s="1"/>
      <c r="G15057" s="1"/>
    </row>
    <row r="15058">
      <c r="B15058" s="36"/>
      <c r="C15058" s="36"/>
      <c r="E15058" s="1"/>
      <c r="F15058" s="1"/>
      <c r="G15058" s="1"/>
    </row>
    <row r="15059">
      <c r="B15059" s="36"/>
      <c r="C15059" s="36"/>
      <c r="E15059" s="1"/>
      <c r="F15059" s="1"/>
      <c r="G15059" s="1"/>
    </row>
    <row r="15060">
      <c r="B15060" s="36"/>
      <c r="C15060" s="36"/>
      <c r="E15060" s="1"/>
      <c r="F15060" s="1"/>
      <c r="G15060" s="1"/>
    </row>
    <row r="15061">
      <c r="B15061" s="36"/>
      <c r="C15061" s="36"/>
      <c r="E15061" s="1"/>
      <c r="F15061" s="1"/>
      <c r="G15061" s="1"/>
    </row>
    <row r="15062">
      <c r="B15062" s="36"/>
      <c r="C15062" s="36"/>
      <c r="E15062" s="1"/>
      <c r="F15062" s="1"/>
      <c r="G15062" s="1"/>
    </row>
    <row r="15063">
      <c r="B15063" s="36"/>
      <c r="C15063" s="36"/>
      <c r="E15063" s="1"/>
      <c r="F15063" s="1"/>
      <c r="G15063" s="1"/>
    </row>
    <row r="15064">
      <c r="B15064" s="36"/>
      <c r="C15064" s="36"/>
      <c r="E15064" s="1"/>
      <c r="F15064" s="1"/>
      <c r="G15064" s="1"/>
    </row>
    <row r="15065">
      <c r="B15065" s="36"/>
      <c r="C15065" s="36"/>
      <c r="E15065" s="1"/>
      <c r="F15065" s="1"/>
      <c r="G15065" s="1"/>
    </row>
    <row r="15066">
      <c r="B15066" s="36"/>
      <c r="C15066" s="36"/>
      <c r="E15066" s="1"/>
      <c r="F15066" s="1"/>
      <c r="G15066" s="1"/>
    </row>
    <row r="15067">
      <c r="B15067" s="36"/>
      <c r="C15067" s="36"/>
      <c r="E15067" s="1"/>
      <c r="F15067" s="1"/>
      <c r="G15067" s="1"/>
    </row>
    <row r="15068">
      <c r="B15068" s="36"/>
      <c r="C15068" s="36"/>
      <c r="E15068" s="1"/>
      <c r="F15068" s="1"/>
      <c r="G15068" s="1"/>
    </row>
    <row r="15069">
      <c r="B15069" s="36"/>
      <c r="C15069" s="36"/>
      <c r="E15069" s="1"/>
      <c r="F15069" s="1"/>
      <c r="G15069" s="1"/>
    </row>
    <row r="15070">
      <c r="B15070" s="36"/>
      <c r="C15070" s="36"/>
      <c r="E15070" s="1"/>
      <c r="F15070" s="1"/>
      <c r="G15070" s="1"/>
    </row>
    <row r="15071">
      <c r="B15071" s="36"/>
      <c r="C15071" s="36"/>
      <c r="E15071" s="1"/>
      <c r="F15071" s="1"/>
      <c r="G15071" s="1"/>
    </row>
    <row r="15072">
      <c r="B15072" s="36"/>
      <c r="C15072" s="36"/>
      <c r="E15072" s="1"/>
      <c r="F15072" s="1"/>
      <c r="G15072" s="1"/>
    </row>
    <row r="15073">
      <c r="B15073" s="36"/>
      <c r="C15073" s="36"/>
      <c r="E15073" s="1"/>
      <c r="F15073" s="1"/>
      <c r="G15073" s="1"/>
    </row>
    <row r="15074">
      <c r="B15074" s="36"/>
      <c r="C15074" s="36"/>
      <c r="E15074" s="1"/>
      <c r="F15074" s="1"/>
      <c r="G15074" s="1"/>
    </row>
    <row r="15075">
      <c r="B15075" s="36"/>
      <c r="C15075" s="36"/>
      <c r="E15075" s="1"/>
      <c r="F15075" s="1"/>
      <c r="G15075" s="1"/>
    </row>
    <row r="15076">
      <c r="B15076" s="36"/>
      <c r="C15076" s="36"/>
      <c r="E15076" s="1"/>
      <c r="F15076" s="1"/>
      <c r="G15076" s="1"/>
    </row>
    <row r="15077">
      <c r="B15077" s="36"/>
      <c r="C15077" s="36"/>
      <c r="E15077" s="1"/>
      <c r="F15077" s="1"/>
      <c r="G15077" s="1"/>
    </row>
    <row r="15078">
      <c r="B15078" s="36"/>
      <c r="C15078" s="36"/>
      <c r="E15078" s="1"/>
      <c r="F15078" s="1"/>
      <c r="G15078" s="1"/>
    </row>
    <row r="15079">
      <c r="B15079" s="36"/>
      <c r="C15079" s="36"/>
      <c r="E15079" s="1"/>
      <c r="F15079" s="1"/>
      <c r="G15079" s="1"/>
    </row>
    <row r="15080">
      <c r="B15080" s="36"/>
      <c r="C15080" s="36"/>
      <c r="E15080" s="1"/>
      <c r="F15080" s="1"/>
      <c r="G15080" s="1"/>
    </row>
    <row r="15081">
      <c r="B15081" s="36"/>
      <c r="C15081" s="36"/>
      <c r="E15081" s="1"/>
      <c r="F15081" s="1"/>
      <c r="G15081" s="1"/>
    </row>
    <row r="15082">
      <c r="B15082" s="36"/>
      <c r="C15082" s="36"/>
      <c r="E15082" s="1"/>
      <c r="F15082" s="1"/>
      <c r="G15082" s="1"/>
    </row>
    <row r="15083">
      <c r="B15083" s="36"/>
      <c r="C15083" s="36"/>
      <c r="E15083" s="1"/>
      <c r="F15083" s="1"/>
      <c r="G15083" s="1"/>
    </row>
    <row r="15084">
      <c r="B15084" s="36"/>
      <c r="C15084" s="36"/>
      <c r="E15084" s="1"/>
      <c r="F15084" s="1"/>
      <c r="G15084" s="1"/>
    </row>
    <row r="15085">
      <c r="B15085" s="36"/>
      <c r="C15085" s="36"/>
      <c r="E15085" s="1"/>
      <c r="F15085" s="1"/>
      <c r="G15085" s="1"/>
    </row>
    <row r="15086">
      <c r="B15086" s="36"/>
      <c r="C15086" s="36"/>
      <c r="E15086" s="1"/>
      <c r="F15086" s="1"/>
      <c r="G15086" s="1"/>
    </row>
    <row r="15087">
      <c r="B15087" s="36"/>
      <c r="C15087" s="36"/>
      <c r="E15087" s="1"/>
      <c r="F15087" s="1"/>
      <c r="G15087" s="1"/>
    </row>
    <row r="15088">
      <c r="B15088" s="36"/>
      <c r="C15088" s="36"/>
      <c r="E15088" s="1"/>
      <c r="F15088" s="1"/>
      <c r="G15088" s="1"/>
    </row>
    <row r="15089">
      <c r="B15089" s="36"/>
      <c r="C15089" s="36"/>
      <c r="E15089" s="1"/>
      <c r="F15089" s="1"/>
      <c r="G15089" s="1"/>
    </row>
    <row r="15090">
      <c r="B15090" s="36"/>
      <c r="C15090" s="36"/>
      <c r="E15090" s="1"/>
      <c r="F15090" s="1"/>
      <c r="G15090" s="1"/>
    </row>
    <row r="15091">
      <c r="B15091" s="36"/>
      <c r="C15091" s="36"/>
      <c r="E15091" s="1"/>
      <c r="F15091" s="1"/>
      <c r="G15091" s="1"/>
    </row>
    <row r="15092">
      <c r="B15092" s="36"/>
      <c r="C15092" s="36"/>
      <c r="E15092" s="1"/>
      <c r="F15092" s="1"/>
      <c r="G15092" s="1"/>
    </row>
    <row r="15093">
      <c r="B15093" s="36"/>
      <c r="C15093" s="36"/>
      <c r="E15093" s="1"/>
      <c r="F15093" s="1"/>
      <c r="G15093" s="1"/>
    </row>
    <row r="15094">
      <c r="B15094" s="36"/>
      <c r="C15094" s="36"/>
      <c r="E15094" s="1"/>
      <c r="F15094" s="1"/>
      <c r="G15094" s="1"/>
    </row>
    <row r="15095">
      <c r="B15095" s="36"/>
      <c r="C15095" s="36"/>
      <c r="E15095" s="1"/>
      <c r="F15095" s="1"/>
      <c r="G15095" s="1"/>
    </row>
    <row r="15096">
      <c r="B15096" s="36"/>
      <c r="C15096" s="36"/>
      <c r="E15096" s="1"/>
      <c r="F15096" s="1"/>
      <c r="G15096" s="1"/>
    </row>
    <row r="15097">
      <c r="B15097" s="36"/>
      <c r="C15097" s="36"/>
      <c r="E15097" s="1"/>
      <c r="F15097" s="1"/>
      <c r="G15097" s="1"/>
    </row>
    <row r="15098">
      <c r="B15098" s="36"/>
      <c r="C15098" s="36"/>
      <c r="E15098" s="1"/>
      <c r="F15098" s="1"/>
      <c r="G15098" s="1"/>
    </row>
    <row r="15099">
      <c r="B15099" s="36"/>
      <c r="C15099" s="36"/>
      <c r="E15099" s="1"/>
      <c r="F15099" s="1"/>
      <c r="G15099" s="1"/>
    </row>
    <row r="15100">
      <c r="B15100" s="36"/>
      <c r="C15100" s="36"/>
      <c r="E15100" s="1"/>
      <c r="F15100" s="1"/>
      <c r="G15100" s="1"/>
    </row>
    <row r="15101">
      <c r="B15101" s="36"/>
      <c r="C15101" s="36"/>
      <c r="E15101" s="1"/>
      <c r="F15101" s="1"/>
      <c r="G15101" s="1"/>
    </row>
    <row r="15102">
      <c r="B15102" s="36"/>
      <c r="C15102" s="36"/>
      <c r="E15102" s="1"/>
      <c r="F15102" s="1"/>
      <c r="G15102" s="1"/>
    </row>
    <row r="15103">
      <c r="B15103" s="36"/>
      <c r="C15103" s="36"/>
      <c r="E15103" s="1"/>
      <c r="F15103" s="1"/>
      <c r="G15103" s="1"/>
    </row>
    <row r="15104">
      <c r="B15104" s="36"/>
      <c r="C15104" s="36"/>
      <c r="E15104" s="1"/>
      <c r="F15104" s="1"/>
      <c r="G15104" s="1"/>
    </row>
    <row r="15105">
      <c r="B15105" s="36"/>
      <c r="C15105" s="36"/>
      <c r="E15105" s="1"/>
      <c r="F15105" s="1"/>
      <c r="G15105" s="1"/>
    </row>
    <row r="15106">
      <c r="B15106" s="36"/>
      <c r="C15106" s="36"/>
      <c r="E15106" s="1"/>
      <c r="F15106" s="1"/>
      <c r="G15106" s="1"/>
    </row>
    <row r="15107">
      <c r="B15107" s="36"/>
      <c r="C15107" s="36"/>
      <c r="E15107" s="1"/>
      <c r="F15107" s="1"/>
      <c r="G15107" s="1"/>
    </row>
    <row r="15108">
      <c r="B15108" s="36"/>
      <c r="C15108" s="36"/>
      <c r="E15108" s="1"/>
      <c r="F15108" s="1"/>
      <c r="G15108" s="1"/>
    </row>
    <row r="15109">
      <c r="B15109" s="36"/>
      <c r="C15109" s="36"/>
      <c r="E15109" s="1"/>
      <c r="F15109" s="1"/>
      <c r="G15109" s="1"/>
    </row>
    <row r="15110">
      <c r="B15110" s="36"/>
      <c r="C15110" s="36"/>
      <c r="E15110" s="1"/>
      <c r="F15110" s="1"/>
      <c r="G15110" s="1"/>
    </row>
    <row r="15111">
      <c r="B15111" s="36"/>
      <c r="C15111" s="36"/>
      <c r="E15111" s="1"/>
      <c r="F15111" s="1"/>
      <c r="G15111" s="1"/>
    </row>
    <row r="15112">
      <c r="B15112" s="36"/>
      <c r="C15112" s="36"/>
      <c r="E15112" s="1"/>
      <c r="F15112" s="1"/>
      <c r="G15112" s="1"/>
    </row>
    <row r="15113">
      <c r="B15113" s="36"/>
      <c r="C15113" s="36"/>
      <c r="E15113" s="1"/>
      <c r="F15113" s="1"/>
      <c r="G15113" s="1"/>
    </row>
    <row r="15114">
      <c r="B15114" s="36"/>
      <c r="C15114" s="36"/>
      <c r="E15114" s="1"/>
      <c r="F15114" s="1"/>
      <c r="G15114" s="1"/>
    </row>
    <row r="15115">
      <c r="B15115" s="36"/>
      <c r="C15115" s="36"/>
      <c r="E15115" s="1"/>
      <c r="F15115" s="1"/>
      <c r="G15115" s="1"/>
    </row>
    <row r="15116">
      <c r="B15116" s="36"/>
      <c r="C15116" s="36"/>
      <c r="E15116" s="1"/>
      <c r="F15116" s="1"/>
      <c r="G15116" s="1"/>
    </row>
    <row r="15117">
      <c r="B15117" s="36"/>
      <c r="C15117" s="36"/>
      <c r="E15117" s="1"/>
      <c r="F15117" s="1"/>
      <c r="G15117" s="1"/>
    </row>
    <row r="15118">
      <c r="B15118" s="36"/>
      <c r="C15118" s="36"/>
      <c r="E15118" s="1"/>
      <c r="F15118" s="1"/>
      <c r="G15118" s="1"/>
    </row>
    <row r="15119">
      <c r="B15119" s="36"/>
      <c r="C15119" s="36"/>
      <c r="E15119" s="1"/>
      <c r="F15119" s="1"/>
      <c r="G15119" s="1"/>
    </row>
    <row r="15120">
      <c r="B15120" s="36"/>
      <c r="C15120" s="36"/>
      <c r="E15120" s="1"/>
      <c r="F15120" s="1"/>
      <c r="G15120" s="1"/>
    </row>
    <row r="15121">
      <c r="B15121" s="36"/>
      <c r="C15121" s="36"/>
      <c r="E15121" s="1"/>
      <c r="F15121" s="1"/>
      <c r="G15121" s="1"/>
    </row>
    <row r="15122">
      <c r="B15122" s="36"/>
      <c r="C15122" s="36"/>
      <c r="E15122" s="1"/>
      <c r="F15122" s="1"/>
      <c r="G15122" s="1"/>
    </row>
    <row r="15123">
      <c r="B15123" s="36"/>
      <c r="C15123" s="36"/>
      <c r="E15123" s="1"/>
      <c r="F15123" s="1"/>
      <c r="G15123" s="1"/>
    </row>
    <row r="15124">
      <c r="B15124" s="36"/>
      <c r="C15124" s="36"/>
      <c r="E15124" s="1"/>
      <c r="F15124" s="1"/>
      <c r="G15124" s="1"/>
    </row>
    <row r="15125">
      <c r="B15125" s="36"/>
      <c r="C15125" s="36"/>
      <c r="E15125" s="1"/>
      <c r="F15125" s="1"/>
      <c r="G15125" s="1"/>
    </row>
    <row r="15126">
      <c r="B15126" s="36"/>
      <c r="C15126" s="36"/>
      <c r="E15126" s="1"/>
      <c r="F15126" s="1"/>
      <c r="G15126" s="1"/>
    </row>
    <row r="15127">
      <c r="B15127" s="36"/>
      <c r="C15127" s="36"/>
      <c r="E15127" s="1"/>
      <c r="F15127" s="1"/>
      <c r="G15127" s="1"/>
    </row>
    <row r="15128">
      <c r="B15128" s="36"/>
      <c r="C15128" s="36"/>
      <c r="E15128" s="1"/>
      <c r="F15128" s="1"/>
      <c r="G15128" s="1"/>
    </row>
    <row r="15129">
      <c r="B15129" s="36"/>
      <c r="C15129" s="36"/>
      <c r="E15129" s="1"/>
      <c r="F15129" s="1"/>
      <c r="G15129" s="1"/>
    </row>
    <row r="15130">
      <c r="B15130" s="36"/>
      <c r="C15130" s="36"/>
      <c r="E15130" s="1"/>
      <c r="F15130" s="1"/>
      <c r="G15130" s="1"/>
    </row>
    <row r="15131">
      <c r="B15131" s="36"/>
      <c r="C15131" s="36"/>
      <c r="E15131" s="1"/>
      <c r="F15131" s="1"/>
      <c r="G15131" s="1"/>
    </row>
    <row r="15132">
      <c r="B15132" s="36"/>
      <c r="C15132" s="36"/>
      <c r="E15132" s="1"/>
      <c r="F15132" s="1"/>
      <c r="G15132" s="1"/>
    </row>
    <row r="15133">
      <c r="B15133" s="36"/>
      <c r="C15133" s="36"/>
      <c r="E15133" s="1"/>
      <c r="F15133" s="1"/>
      <c r="G15133" s="1"/>
    </row>
    <row r="15134">
      <c r="B15134" s="36"/>
      <c r="C15134" s="36"/>
      <c r="E15134" s="1"/>
      <c r="F15134" s="1"/>
      <c r="G15134" s="1"/>
    </row>
    <row r="15135">
      <c r="B15135" s="36"/>
      <c r="C15135" s="36"/>
      <c r="E15135" s="1"/>
      <c r="F15135" s="1"/>
      <c r="G15135" s="1"/>
    </row>
    <row r="15136">
      <c r="B15136" s="36"/>
      <c r="C15136" s="36"/>
      <c r="E15136" s="1"/>
      <c r="F15136" s="1"/>
      <c r="G15136" s="1"/>
    </row>
    <row r="15137">
      <c r="B15137" s="36"/>
      <c r="C15137" s="36"/>
      <c r="E15137" s="1"/>
      <c r="F15137" s="1"/>
      <c r="G15137" s="1"/>
    </row>
    <row r="15138">
      <c r="B15138" s="36"/>
      <c r="C15138" s="36"/>
      <c r="E15138" s="1"/>
      <c r="F15138" s="1"/>
      <c r="G15138" s="1"/>
    </row>
    <row r="15139">
      <c r="B15139" s="36"/>
      <c r="C15139" s="36"/>
      <c r="E15139" s="1"/>
      <c r="F15139" s="1"/>
      <c r="G15139" s="1"/>
    </row>
    <row r="15140">
      <c r="B15140" s="36"/>
      <c r="C15140" s="36"/>
      <c r="E15140" s="1"/>
      <c r="F15140" s="1"/>
      <c r="G15140" s="1"/>
    </row>
    <row r="15141">
      <c r="B15141" s="36"/>
      <c r="C15141" s="36"/>
      <c r="E15141" s="1"/>
      <c r="F15141" s="1"/>
      <c r="G15141" s="1"/>
    </row>
    <row r="15142">
      <c r="B15142" s="36"/>
      <c r="C15142" s="36"/>
      <c r="E15142" s="1"/>
      <c r="F15142" s="1"/>
      <c r="G15142" s="1"/>
    </row>
    <row r="15143">
      <c r="B15143" s="36"/>
      <c r="C15143" s="36"/>
      <c r="E15143" s="1"/>
      <c r="F15143" s="1"/>
      <c r="G15143" s="1"/>
    </row>
    <row r="15144">
      <c r="B15144" s="36"/>
      <c r="C15144" s="36"/>
      <c r="E15144" s="1"/>
      <c r="F15144" s="1"/>
      <c r="G15144" s="1"/>
    </row>
    <row r="15145">
      <c r="B15145" s="36"/>
      <c r="C15145" s="36"/>
      <c r="E15145" s="1"/>
      <c r="F15145" s="1"/>
      <c r="G15145" s="1"/>
    </row>
    <row r="15146">
      <c r="B15146" s="36"/>
      <c r="C15146" s="36"/>
      <c r="E15146" s="1"/>
      <c r="F15146" s="1"/>
      <c r="G15146" s="1"/>
    </row>
    <row r="15147">
      <c r="B15147" s="36"/>
      <c r="C15147" s="36"/>
      <c r="E15147" s="1"/>
      <c r="F15147" s="1"/>
      <c r="G15147" s="1"/>
    </row>
    <row r="15148">
      <c r="B15148" s="36"/>
      <c r="C15148" s="36"/>
      <c r="E15148" s="1"/>
      <c r="F15148" s="1"/>
      <c r="G15148" s="1"/>
    </row>
    <row r="15149">
      <c r="B15149" s="36"/>
      <c r="C15149" s="36"/>
      <c r="E15149" s="1"/>
      <c r="F15149" s="1"/>
      <c r="G15149" s="1"/>
    </row>
    <row r="15150">
      <c r="B15150" s="36"/>
      <c r="C15150" s="36"/>
      <c r="E15150" s="1"/>
      <c r="F15150" s="1"/>
      <c r="G15150" s="1"/>
    </row>
    <row r="15151">
      <c r="B15151" s="36"/>
      <c r="C15151" s="36"/>
      <c r="E15151" s="1"/>
      <c r="F15151" s="1"/>
      <c r="G15151" s="1"/>
    </row>
    <row r="15152">
      <c r="B15152" s="36"/>
      <c r="C15152" s="36"/>
      <c r="E15152" s="1"/>
      <c r="F15152" s="1"/>
      <c r="G15152" s="1"/>
    </row>
    <row r="15153">
      <c r="B15153" s="36"/>
      <c r="C15153" s="36"/>
      <c r="E15153" s="1"/>
      <c r="F15153" s="1"/>
      <c r="G15153" s="1"/>
    </row>
    <row r="15154">
      <c r="B15154" s="36"/>
      <c r="C15154" s="36"/>
      <c r="E15154" s="1"/>
      <c r="F15154" s="1"/>
      <c r="G15154" s="1"/>
    </row>
    <row r="15155">
      <c r="B15155" s="36"/>
      <c r="C15155" s="36"/>
      <c r="E15155" s="1"/>
      <c r="F15155" s="1"/>
      <c r="G15155" s="1"/>
    </row>
    <row r="15156">
      <c r="B15156" s="36"/>
      <c r="C15156" s="36"/>
      <c r="E15156" s="1"/>
      <c r="F15156" s="1"/>
      <c r="G15156" s="1"/>
    </row>
    <row r="15157">
      <c r="B15157" s="36"/>
      <c r="C15157" s="36"/>
      <c r="E15157" s="1"/>
      <c r="F15157" s="1"/>
      <c r="G15157" s="1"/>
    </row>
    <row r="15158">
      <c r="B15158" s="36"/>
      <c r="C15158" s="36"/>
      <c r="E15158" s="1"/>
      <c r="F15158" s="1"/>
      <c r="G15158" s="1"/>
    </row>
    <row r="15159">
      <c r="B15159" s="36"/>
      <c r="C15159" s="36"/>
      <c r="E15159" s="1"/>
      <c r="F15159" s="1"/>
      <c r="G15159" s="1"/>
    </row>
    <row r="15160">
      <c r="B15160" s="36"/>
      <c r="C15160" s="36"/>
      <c r="E15160" s="1"/>
      <c r="F15160" s="1"/>
      <c r="G15160" s="1"/>
    </row>
    <row r="15161">
      <c r="B15161" s="36"/>
      <c r="C15161" s="36"/>
      <c r="E15161" s="1"/>
      <c r="F15161" s="1"/>
      <c r="G15161" s="1"/>
    </row>
    <row r="15162">
      <c r="B15162" s="36"/>
      <c r="C15162" s="36"/>
      <c r="E15162" s="1"/>
      <c r="F15162" s="1"/>
      <c r="G15162" s="1"/>
    </row>
    <row r="15163">
      <c r="B15163" s="36"/>
      <c r="C15163" s="36"/>
      <c r="E15163" s="1"/>
      <c r="F15163" s="1"/>
      <c r="G15163" s="1"/>
    </row>
    <row r="15164">
      <c r="B15164" s="36"/>
      <c r="C15164" s="36"/>
      <c r="E15164" s="1"/>
      <c r="F15164" s="1"/>
      <c r="G15164" s="1"/>
    </row>
    <row r="15165">
      <c r="B15165" s="36"/>
      <c r="C15165" s="36"/>
      <c r="E15165" s="1"/>
      <c r="F15165" s="1"/>
      <c r="G15165" s="1"/>
    </row>
    <row r="15166">
      <c r="B15166" s="36"/>
      <c r="C15166" s="36"/>
      <c r="E15166" s="1"/>
      <c r="F15166" s="1"/>
      <c r="G15166" s="1"/>
    </row>
    <row r="15167">
      <c r="B15167" s="36"/>
      <c r="C15167" s="36"/>
      <c r="E15167" s="1"/>
      <c r="F15167" s="1"/>
      <c r="G15167" s="1"/>
    </row>
    <row r="15168">
      <c r="B15168" s="36"/>
      <c r="C15168" s="36"/>
      <c r="E15168" s="1"/>
      <c r="F15168" s="1"/>
      <c r="G15168" s="1"/>
    </row>
    <row r="15169">
      <c r="B15169" s="36"/>
      <c r="C15169" s="36"/>
      <c r="E15169" s="1"/>
      <c r="F15169" s="1"/>
      <c r="G15169" s="1"/>
    </row>
    <row r="15170">
      <c r="B15170" s="36"/>
      <c r="C15170" s="36"/>
      <c r="E15170" s="1"/>
      <c r="F15170" s="1"/>
      <c r="G15170" s="1"/>
    </row>
    <row r="15171">
      <c r="B15171" s="36"/>
      <c r="C15171" s="36"/>
      <c r="E15171" s="1"/>
      <c r="F15171" s="1"/>
      <c r="G15171" s="1"/>
    </row>
    <row r="15172">
      <c r="B15172" s="36"/>
      <c r="C15172" s="36"/>
      <c r="E15172" s="1"/>
      <c r="F15172" s="1"/>
      <c r="G15172" s="1"/>
    </row>
    <row r="15173">
      <c r="B15173" s="36"/>
      <c r="C15173" s="36"/>
      <c r="E15173" s="1"/>
      <c r="F15173" s="1"/>
      <c r="G15173" s="1"/>
    </row>
    <row r="15174">
      <c r="B15174" s="36"/>
      <c r="C15174" s="36"/>
      <c r="E15174" s="1"/>
      <c r="F15174" s="1"/>
      <c r="G15174" s="1"/>
    </row>
    <row r="15175">
      <c r="B15175" s="36"/>
      <c r="C15175" s="36"/>
      <c r="E15175" s="1"/>
      <c r="F15175" s="1"/>
      <c r="G15175" s="1"/>
    </row>
    <row r="15176">
      <c r="B15176" s="36"/>
      <c r="C15176" s="36"/>
      <c r="E15176" s="1"/>
      <c r="F15176" s="1"/>
      <c r="G15176" s="1"/>
    </row>
    <row r="15177">
      <c r="B15177" s="36"/>
      <c r="C15177" s="36"/>
      <c r="E15177" s="1"/>
      <c r="F15177" s="1"/>
      <c r="G15177" s="1"/>
    </row>
    <row r="15178">
      <c r="B15178" s="36"/>
      <c r="C15178" s="36"/>
      <c r="E15178" s="1"/>
      <c r="F15178" s="1"/>
      <c r="G15178" s="1"/>
    </row>
    <row r="15179">
      <c r="B15179" s="36"/>
      <c r="C15179" s="36"/>
      <c r="E15179" s="1"/>
      <c r="F15179" s="1"/>
      <c r="G15179" s="1"/>
    </row>
    <row r="15180">
      <c r="B15180" s="36"/>
      <c r="C15180" s="36"/>
      <c r="E15180" s="1"/>
      <c r="F15180" s="1"/>
      <c r="G15180" s="1"/>
    </row>
    <row r="15181">
      <c r="B15181" s="36"/>
      <c r="C15181" s="36"/>
      <c r="E15181" s="1"/>
      <c r="F15181" s="1"/>
      <c r="G15181" s="1"/>
    </row>
    <row r="15182">
      <c r="B15182" s="36"/>
      <c r="C15182" s="36"/>
      <c r="E15182" s="1"/>
      <c r="F15182" s="1"/>
      <c r="G15182" s="1"/>
    </row>
    <row r="15183">
      <c r="B15183" s="36"/>
      <c r="C15183" s="36"/>
      <c r="E15183" s="1"/>
      <c r="F15183" s="1"/>
      <c r="G15183" s="1"/>
    </row>
    <row r="15184">
      <c r="B15184" s="36"/>
      <c r="C15184" s="36"/>
      <c r="E15184" s="1"/>
      <c r="F15184" s="1"/>
      <c r="G15184" s="1"/>
    </row>
    <row r="15185">
      <c r="B15185" s="36"/>
      <c r="C15185" s="36"/>
      <c r="E15185" s="1"/>
      <c r="F15185" s="1"/>
      <c r="G15185" s="1"/>
    </row>
    <row r="15186">
      <c r="B15186" s="36"/>
      <c r="C15186" s="36"/>
      <c r="E15186" s="1"/>
      <c r="F15186" s="1"/>
      <c r="G15186" s="1"/>
    </row>
    <row r="15187">
      <c r="B15187" s="36"/>
      <c r="C15187" s="36"/>
      <c r="E15187" s="1"/>
      <c r="F15187" s="1"/>
      <c r="G15187" s="1"/>
    </row>
    <row r="15188">
      <c r="B15188" s="36"/>
      <c r="C15188" s="36"/>
      <c r="E15188" s="1"/>
      <c r="F15188" s="1"/>
      <c r="G15188" s="1"/>
    </row>
    <row r="15189">
      <c r="B15189" s="36"/>
      <c r="C15189" s="36"/>
      <c r="E15189" s="1"/>
      <c r="F15189" s="1"/>
      <c r="G15189" s="1"/>
    </row>
    <row r="15190">
      <c r="B15190" s="36"/>
      <c r="C15190" s="36"/>
      <c r="E15190" s="1"/>
      <c r="F15190" s="1"/>
      <c r="G15190" s="1"/>
    </row>
    <row r="15191">
      <c r="B15191" s="36"/>
      <c r="C15191" s="36"/>
      <c r="E15191" s="1"/>
      <c r="F15191" s="1"/>
      <c r="G15191" s="1"/>
    </row>
    <row r="15192">
      <c r="B15192" s="36"/>
      <c r="C15192" s="36"/>
      <c r="E15192" s="1"/>
      <c r="F15192" s="1"/>
      <c r="G15192" s="1"/>
    </row>
    <row r="15193">
      <c r="B15193" s="36"/>
      <c r="C15193" s="36"/>
      <c r="E15193" s="1"/>
      <c r="F15193" s="1"/>
      <c r="G15193" s="1"/>
    </row>
    <row r="15194">
      <c r="B15194" s="36"/>
      <c r="C15194" s="36"/>
      <c r="E15194" s="1"/>
      <c r="F15194" s="1"/>
      <c r="G15194" s="1"/>
    </row>
    <row r="15195">
      <c r="B15195" s="36"/>
      <c r="C15195" s="36"/>
      <c r="E15195" s="1"/>
      <c r="F15195" s="1"/>
      <c r="G15195" s="1"/>
    </row>
    <row r="15196">
      <c r="B15196" s="36"/>
      <c r="C15196" s="36"/>
      <c r="E15196" s="1"/>
      <c r="F15196" s="1"/>
      <c r="G15196" s="1"/>
    </row>
    <row r="15197">
      <c r="B15197" s="36"/>
      <c r="C15197" s="36"/>
      <c r="E15197" s="1"/>
      <c r="F15197" s="1"/>
      <c r="G15197" s="1"/>
    </row>
    <row r="15198">
      <c r="B15198" s="36"/>
      <c r="C15198" s="36"/>
      <c r="E15198" s="1"/>
      <c r="F15198" s="1"/>
      <c r="G15198" s="1"/>
    </row>
    <row r="15199">
      <c r="B15199" s="36"/>
      <c r="C15199" s="36"/>
      <c r="E15199" s="1"/>
      <c r="F15199" s="1"/>
      <c r="G15199" s="1"/>
    </row>
    <row r="15200">
      <c r="B15200" s="36"/>
      <c r="C15200" s="36"/>
      <c r="E15200" s="1"/>
      <c r="F15200" s="1"/>
      <c r="G15200" s="1"/>
    </row>
    <row r="15201">
      <c r="B15201" s="36"/>
      <c r="C15201" s="36"/>
      <c r="E15201" s="1"/>
      <c r="F15201" s="1"/>
      <c r="G15201" s="1"/>
    </row>
    <row r="15202">
      <c r="B15202" s="36"/>
      <c r="C15202" s="36"/>
      <c r="E15202" s="1"/>
      <c r="F15202" s="1"/>
      <c r="G15202" s="1"/>
    </row>
    <row r="15203">
      <c r="B15203" s="36"/>
      <c r="C15203" s="36"/>
      <c r="E15203" s="1"/>
      <c r="F15203" s="1"/>
      <c r="G15203" s="1"/>
    </row>
    <row r="15204">
      <c r="B15204" s="36"/>
      <c r="C15204" s="36"/>
      <c r="E15204" s="1"/>
      <c r="F15204" s="1"/>
      <c r="G15204" s="1"/>
    </row>
    <row r="15205">
      <c r="B15205" s="36"/>
      <c r="C15205" s="36"/>
      <c r="E15205" s="1"/>
      <c r="F15205" s="1"/>
      <c r="G15205" s="1"/>
    </row>
    <row r="15206">
      <c r="B15206" s="36"/>
      <c r="C15206" s="36"/>
      <c r="E15206" s="1"/>
      <c r="F15206" s="1"/>
      <c r="G15206" s="1"/>
    </row>
    <row r="15207">
      <c r="B15207" s="36"/>
      <c r="C15207" s="36"/>
      <c r="E15207" s="1"/>
      <c r="F15207" s="1"/>
      <c r="G15207" s="1"/>
    </row>
    <row r="15208">
      <c r="B15208" s="36"/>
      <c r="C15208" s="36"/>
      <c r="E15208" s="1"/>
      <c r="F15208" s="1"/>
      <c r="G15208" s="1"/>
    </row>
    <row r="15209">
      <c r="B15209" s="36"/>
      <c r="C15209" s="36"/>
      <c r="E15209" s="1"/>
      <c r="F15209" s="1"/>
      <c r="G15209" s="1"/>
    </row>
    <row r="15210">
      <c r="B15210" s="36"/>
      <c r="C15210" s="36"/>
      <c r="E15210" s="1"/>
      <c r="F15210" s="1"/>
      <c r="G15210" s="1"/>
    </row>
    <row r="15211">
      <c r="B15211" s="36"/>
      <c r="C15211" s="36"/>
      <c r="E15211" s="1"/>
      <c r="F15211" s="1"/>
      <c r="G15211" s="1"/>
    </row>
    <row r="15212">
      <c r="B15212" s="36"/>
      <c r="C15212" s="36"/>
      <c r="E15212" s="1"/>
      <c r="F15212" s="1"/>
      <c r="G15212" s="1"/>
    </row>
    <row r="15213">
      <c r="B15213" s="36"/>
      <c r="C15213" s="36"/>
      <c r="E15213" s="1"/>
      <c r="F15213" s="1"/>
      <c r="G15213" s="1"/>
    </row>
    <row r="15214">
      <c r="B15214" s="36"/>
      <c r="C15214" s="36"/>
      <c r="E15214" s="1"/>
      <c r="F15214" s="1"/>
      <c r="G15214" s="1"/>
    </row>
    <row r="15215">
      <c r="B15215" s="36"/>
      <c r="C15215" s="36"/>
      <c r="E15215" s="1"/>
      <c r="F15215" s="1"/>
      <c r="G15215" s="1"/>
    </row>
    <row r="15216">
      <c r="B15216" s="36"/>
      <c r="C15216" s="36"/>
      <c r="E15216" s="1"/>
      <c r="F15216" s="1"/>
      <c r="G15216" s="1"/>
    </row>
    <row r="15217">
      <c r="B15217" s="36"/>
      <c r="C15217" s="36"/>
      <c r="E15217" s="1"/>
      <c r="F15217" s="1"/>
      <c r="G15217" s="1"/>
    </row>
    <row r="15218">
      <c r="B15218" s="36"/>
      <c r="C15218" s="36"/>
      <c r="E15218" s="1"/>
      <c r="F15218" s="1"/>
      <c r="G15218" s="1"/>
    </row>
    <row r="15219">
      <c r="B15219" s="36"/>
      <c r="C15219" s="36"/>
      <c r="E15219" s="1"/>
      <c r="F15219" s="1"/>
      <c r="G15219" s="1"/>
    </row>
    <row r="15220">
      <c r="B15220" s="36"/>
      <c r="C15220" s="36"/>
      <c r="E15220" s="1"/>
      <c r="F15220" s="1"/>
      <c r="G15220" s="1"/>
    </row>
    <row r="15221">
      <c r="B15221" s="36"/>
      <c r="C15221" s="36"/>
      <c r="E15221" s="1"/>
      <c r="F15221" s="1"/>
      <c r="G15221" s="1"/>
    </row>
    <row r="15222">
      <c r="B15222" s="36"/>
      <c r="C15222" s="36"/>
      <c r="E15222" s="1"/>
      <c r="F15222" s="1"/>
      <c r="G15222" s="1"/>
    </row>
    <row r="15223">
      <c r="B15223" s="36"/>
      <c r="C15223" s="36"/>
      <c r="E15223" s="1"/>
      <c r="F15223" s="1"/>
      <c r="G15223" s="1"/>
    </row>
    <row r="15224">
      <c r="B15224" s="36"/>
      <c r="C15224" s="36"/>
      <c r="E15224" s="1"/>
      <c r="F15224" s="1"/>
      <c r="G15224" s="1"/>
    </row>
    <row r="15225">
      <c r="B15225" s="36"/>
      <c r="C15225" s="36"/>
      <c r="E15225" s="1"/>
      <c r="F15225" s="1"/>
      <c r="G15225" s="1"/>
    </row>
    <row r="15226">
      <c r="B15226" s="36"/>
      <c r="C15226" s="36"/>
      <c r="E15226" s="1"/>
      <c r="F15226" s="1"/>
      <c r="G15226" s="1"/>
    </row>
    <row r="15227">
      <c r="B15227" s="36"/>
      <c r="C15227" s="36"/>
      <c r="E15227" s="1"/>
      <c r="F15227" s="1"/>
      <c r="G15227" s="1"/>
    </row>
    <row r="15228">
      <c r="B15228" s="36"/>
      <c r="C15228" s="36"/>
      <c r="E15228" s="1"/>
      <c r="F15228" s="1"/>
      <c r="G15228" s="1"/>
    </row>
    <row r="15229">
      <c r="B15229" s="36"/>
      <c r="C15229" s="36"/>
      <c r="E15229" s="1"/>
      <c r="F15229" s="1"/>
      <c r="G15229" s="1"/>
    </row>
    <row r="15230">
      <c r="B15230" s="36"/>
      <c r="C15230" s="36"/>
      <c r="E15230" s="1"/>
      <c r="F15230" s="1"/>
      <c r="G15230" s="1"/>
    </row>
    <row r="15231">
      <c r="B15231" s="36"/>
      <c r="C15231" s="36"/>
      <c r="E15231" s="1"/>
      <c r="F15231" s="1"/>
      <c r="G15231" s="1"/>
    </row>
    <row r="15232">
      <c r="B15232" s="36"/>
      <c r="C15232" s="36"/>
      <c r="E15232" s="1"/>
      <c r="F15232" s="1"/>
      <c r="G15232" s="1"/>
    </row>
    <row r="15233">
      <c r="B15233" s="36"/>
      <c r="C15233" s="36"/>
      <c r="E15233" s="1"/>
      <c r="F15233" s="1"/>
      <c r="G15233" s="1"/>
    </row>
    <row r="15234">
      <c r="B15234" s="36"/>
      <c r="C15234" s="36"/>
      <c r="E15234" s="1"/>
      <c r="F15234" s="1"/>
      <c r="G15234" s="1"/>
    </row>
    <row r="15235">
      <c r="B15235" s="36"/>
      <c r="C15235" s="36"/>
      <c r="E15235" s="1"/>
      <c r="F15235" s="1"/>
      <c r="G15235" s="1"/>
    </row>
    <row r="15236">
      <c r="B15236" s="36"/>
      <c r="C15236" s="36"/>
      <c r="E15236" s="1"/>
      <c r="F15236" s="1"/>
      <c r="G15236" s="1"/>
    </row>
    <row r="15237">
      <c r="B15237" s="36"/>
      <c r="C15237" s="36"/>
      <c r="E15237" s="1"/>
      <c r="F15237" s="1"/>
      <c r="G15237" s="1"/>
    </row>
    <row r="15238">
      <c r="B15238" s="36"/>
      <c r="C15238" s="36"/>
      <c r="E15238" s="1"/>
      <c r="F15238" s="1"/>
      <c r="G15238" s="1"/>
    </row>
    <row r="15239">
      <c r="B15239" s="36"/>
      <c r="C15239" s="36"/>
      <c r="E15239" s="1"/>
      <c r="F15239" s="1"/>
      <c r="G15239" s="1"/>
    </row>
    <row r="15240">
      <c r="B15240" s="36"/>
      <c r="C15240" s="36"/>
      <c r="E15240" s="1"/>
      <c r="F15240" s="1"/>
      <c r="G15240" s="1"/>
    </row>
    <row r="15241">
      <c r="B15241" s="36"/>
      <c r="C15241" s="36"/>
      <c r="E15241" s="1"/>
      <c r="F15241" s="1"/>
      <c r="G15241" s="1"/>
    </row>
    <row r="15242">
      <c r="B15242" s="36"/>
      <c r="C15242" s="36"/>
      <c r="E15242" s="1"/>
      <c r="F15242" s="1"/>
      <c r="G15242" s="1"/>
    </row>
    <row r="15243">
      <c r="B15243" s="36"/>
      <c r="C15243" s="36"/>
      <c r="E15243" s="1"/>
      <c r="F15243" s="1"/>
      <c r="G15243" s="1"/>
    </row>
    <row r="15244">
      <c r="B15244" s="36"/>
      <c r="C15244" s="36"/>
      <c r="E15244" s="1"/>
      <c r="F15244" s="1"/>
      <c r="G15244" s="1"/>
    </row>
    <row r="15245">
      <c r="B15245" s="36"/>
      <c r="C15245" s="36"/>
      <c r="E15245" s="1"/>
      <c r="F15245" s="1"/>
      <c r="G15245" s="1"/>
    </row>
    <row r="15246">
      <c r="B15246" s="36"/>
      <c r="C15246" s="36"/>
      <c r="E15246" s="1"/>
      <c r="F15246" s="1"/>
      <c r="G15246" s="1"/>
    </row>
    <row r="15247">
      <c r="B15247" s="36"/>
      <c r="C15247" s="36"/>
      <c r="E15247" s="1"/>
      <c r="F15247" s="1"/>
      <c r="G15247" s="1"/>
    </row>
    <row r="15248">
      <c r="B15248" s="36"/>
      <c r="C15248" s="36"/>
      <c r="E15248" s="1"/>
      <c r="F15248" s="1"/>
      <c r="G15248" s="1"/>
    </row>
    <row r="15249">
      <c r="B15249" s="36"/>
      <c r="C15249" s="36"/>
      <c r="E15249" s="1"/>
      <c r="F15249" s="1"/>
      <c r="G15249" s="1"/>
    </row>
    <row r="15250">
      <c r="B15250" s="36"/>
      <c r="C15250" s="36"/>
      <c r="E15250" s="1"/>
      <c r="F15250" s="1"/>
      <c r="G15250" s="1"/>
    </row>
    <row r="15251">
      <c r="B15251" s="36"/>
      <c r="C15251" s="36"/>
      <c r="E15251" s="1"/>
      <c r="F15251" s="1"/>
      <c r="G15251" s="1"/>
    </row>
    <row r="15252">
      <c r="B15252" s="36"/>
      <c r="C15252" s="36"/>
      <c r="E15252" s="1"/>
      <c r="F15252" s="1"/>
      <c r="G15252" s="1"/>
    </row>
    <row r="15253">
      <c r="B15253" s="36"/>
      <c r="C15253" s="36"/>
      <c r="E15253" s="1"/>
      <c r="F15253" s="1"/>
      <c r="G15253" s="1"/>
    </row>
    <row r="15254">
      <c r="B15254" s="36"/>
      <c r="C15254" s="36"/>
      <c r="E15254" s="1"/>
      <c r="F15254" s="1"/>
      <c r="G15254" s="1"/>
    </row>
    <row r="15255">
      <c r="B15255" s="36"/>
      <c r="C15255" s="36"/>
      <c r="E15255" s="1"/>
      <c r="F15255" s="1"/>
      <c r="G15255" s="1"/>
    </row>
    <row r="15256">
      <c r="B15256" s="36"/>
      <c r="C15256" s="36"/>
      <c r="E15256" s="1"/>
      <c r="F15256" s="1"/>
      <c r="G15256" s="1"/>
    </row>
    <row r="15257">
      <c r="B15257" s="36"/>
      <c r="C15257" s="36"/>
      <c r="E15257" s="1"/>
      <c r="F15257" s="1"/>
      <c r="G15257" s="1"/>
    </row>
    <row r="15258">
      <c r="B15258" s="36"/>
      <c r="C15258" s="36"/>
      <c r="E15258" s="1"/>
      <c r="F15258" s="1"/>
      <c r="G15258" s="1"/>
    </row>
    <row r="15259">
      <c r="B15259" s="36"/>
      <c r="C15259" s="36"/>
      <c r="E15259" s="1"/>
      <c r="F15259" s="1"/>
      <c r="G15259" s="1"/>
    </row>
    <row r="15260">
      <c r="B15260" s="36"/>
      <c r="C15260" s="36"/>
      <c r="E15260" s="1"/>
      <c r="F15260" s="1"/>
      <c r="G15260" s="1"/>
    </row>
    <row r="15261">
      <c r="B15261" s="36"/>
      <c r="C15261" s="36"/>
      <c r="E15261" s="1"/>
      <c r="F15261" s="1"/>
      <c r="G15261" s="1"/>
    </row>
    <row r="15262">
      <c r="B15262" s="36"/>
      <c r="C15262" s="36"/>
      <c r="E15262" s="1"/>
      <c r="F15262" s="1"/>
      <c r="G15262" s="1"/>
    </row>
    <row r="15263">
      <c r="B15263" s="36"/>
      <c r="C15263" s="36"/>
      <c r="E15263" s="1"/>
      <c r="F15263" s="1"/>
      <c r="G15263" s="1"/>
    </row>
    <row r="15264">
      <c r="B15264" s="36"/>
      <c r="C15264" s="36"/>
      <c r="E15264" s="1"/>
      <c r="F15264" s="1"/>
      <c r="G15264" s="1"/>
    </row>
    <row r="15265">
      <c r="B15265" s="36"/>
      <c r="C15265" s="36"/>
      <c r="E15265" s="1"/>
      <c r="F15265" s="1"/>
      <c r="G15265" s="1"/>
    </row>
    <row r="15266">
      <c r="B15266" s="36"/>
      <c r="C15266" s="36"/>
      <c r="E15266" s="1"/>
      <c r="F15266" s="1"/>
      <c r="G15266" s="1"/>
    </row>
    <row r="15267">
      <c r="B15267" s="36"/>
      <c r="C15267" s="36"/>
      <c r="E15267" s="1"/>
      <c r="F15267" s="1"/>
      <c r="G15267" s="1"/>
    </row>
    <row r="15268">
      <c r="B15268" s="36"/>
      <c r="C15268" s="36"/>
      <c r="E15268" s="1"/>
      <c r="F15268" s="1"/>
      <c r="G15268" s="1"/>
    </row>
    <row r="15269">
      <c r="B15269" s="36"/>
      <c r="C15269" s="36"/>
      <c r="E15269" s="1"/>
      <c r="F15269" s="1"/>
      <c r="G15269" s="1"/>
    </row>
    <row r="15270">
      <c r="B15270" s="36"/>
      <c r="C15270" s="36"/>
      <c r="E15270" s="1"/>
      <c r="F15270" s="1"/>
      <c r="G15270" s="1"/>
    </row>
    <row r="15271">
      <c r="B15271" s="36"/>
      <c r="C15271" s="36"/>
      <c r="E15271" s="1"/>
      <c r="F15271" s="1"/>
      <c r="G15271" s="1"/>
    </row>
    <row r="15272">
      <c r="B15272" s="36"/>
      <c r="C15272" s="36"/>
      <c r="E15272" s="1"/>
      <c r="F15272" s="1"/>
      <c r="G15272" s="1"/>
    </row>
    <row r="15273">
      <c r="B15273" s="36"/>
      <c r="C15273" s="36"/>
      <c r="E15273" s="1"/>
      <c r="F15273" s="1"/>
      <c r="G15273" s="1"/>
    </row>
    <row r="15274">
      <c r="B15274" s="36"/>
      <c r="C15274" s="36"/>
      <c r="E15274" s="1"/>
      <c r="F15274" s="1"/>
      <c r="G15274" s="1"/>
    </row>
    <row r="15275">
      <c r="B15275" s="36"/>
      <c r="C15275" s="36"/>
      <c r="E15275" s="1"/>
      <c r="F15275" s="1"/>
      <c r="G15275" s="1"/>
    </row>
    <row r="15276">
      <c r="B15276" s="36"/>
      <c r="C15276" s="36"/>
      <c r="E15276" s="1"/>
      <c r="F15276" s="1"/>
      <c r="G15276" s="1"/>
    </row>
    <row r="15277">
      <c r="B15277" s="36"/>
      <c r="C15277" s="36"/>
      <c r="E15277" s="1"/>
      <c r="F15277" s="1"/>
      <c r="G15277" s="1"/>
    </row>
    <row r="15278">
      <c r="B15278" s="36"/>
      <c r="C15278" s="36"/>
      <c r="E15278" s="1"/>
      <c r="F15278" s="1"/>
      <c r="G15278" s="1"/>
    </row>
    <row r="15279">
      <c r="B15279" s="36"/>
      <c r="C15279" s="36"/>
      <c r="E15279" s="1"/>
      <c r="F15279" s="1"/>
      <c r="G15279" s="1"/>
    </row>
    <row r="15280">
      <c r="B15280" s="36"/>
      <c r="C15280" s="36"/>
      <c r="E15280" s="1"/>
      <c r="F15280" s="1"/>
      <c r="G15280" s="1"/>
    </row>
    <row r="15281">
      <c r="B15281" s="36"/>
      <c r="C15281" s="36"/>
      <c r="E15281" s="1"/>
      <c r="F15281" s="1"/>
      <c r="G15281" s="1"/>
    </row>
    <row r="15282">
      <c r="B15282" s="36"/>
      <c r="C15282" s="36"/>
      <c r="E15282" s="1"/>
      <c r="F15282" s="1"/>
      <c r="G15282" s="1"/>
    </row>
    <row r="15283">
      <c r="B15283" s="36"/>
      <c r="C15283" s="36"/>
      <c r="E15283" s="1"/>
      <c r="F15283" s="1"/>
      <c r="G15283" s="1"/>
    </row>
    <row r="15284">
      <c r="B15284" s="36"/>
      <c r="C15284" s="36"/>
      <c r="E15284" s="1"/>
      <c r="F15284" s="1"/>
      <c r="G15284" s="1"/>
    </row>
    <row r="15285">
      <c r="B15285" s="36"/>
      <c r="C15285" s="36"/>
      <c r="E15285" s="1"/>
      <c r="F15285" s="1"/>
      <c r="G15285" s="1"/>
    </row>
    <row r="15286">
      <c r="B15286" s="36"/>
      <c r="C15286" s="36"/>
      <c r="E15286" s="1"/>
      <c r="F15286" s="1"/>
      <c r="G15286" s="1"/>
    </row>
    <row r="15287">
      <c r="B15287" s="36"/>
      <c r="C15287" s="36"/>
      <c r="E15287" s="1"/>
      <c r="F15287" s="1"/>
      <c r="G15287" s="1"/>
    </row>
    <row r="15288">
      <c r="B15288" s="36"/>
      <c r="C15288" s="36"/>
      <c r="E15288" s="1"/>
      <c r="F15288" s="1"/>
      <c r="G15288" s="1"/>
    </row>
    <row r="15289">
      <c r="B15289" s="36"/>
      <c r="C15289" s="36"/>
      <c r="E15289" s="1"/>
      <c r="F15289" s="1"/>
      <c r="G15289" s="1"/>
    </row>
    <row r="15290">
      <c r="B15290" s="36"/>
      <c r="C15290" s="36"/>
      <c r="E15290" s="1"/>
      <c r="F15290" s="1"/>
      <c r="G15290" s="1"/>
    </row>
    <row r="15291">
      <c r="B15291" s="36"/>
      <c r="C15291" s="36"/>
      <c r="E15291" s="1"/>
      <c r="F15291" s="1"/>
      <c r="G15291" s="1"/>
    </row>
    <row r="15292">
      <c r="B15292" s="36"/>
      <c r="C15292" s="36"/>
      <c r="E15292" s="1"/>
      <c r="F15292" s="1"/>
      <c r="G15292" s="1"/>
    </row>
    <row r="15293">
      <c r="B15293" s="36"/>
      <c r="C15293" s="36"/>
      <c r="E15293" s="1"/>
      <c r="F15293" s="1"/>
      <c r="G15293" s="1"/>
    </row>
    <row r="15294">
      <c r="B15294" s="36"/>
      <c r="C15294" s="36"/>
      <c r="E15294" s="1"/>
      <c r="F15294" s="1"/>
      <c r="G15294" s="1"/>
    </row>
    <row r="15295">
      <c r="B15295" s="36"/>
      <c r="C15295" s="36"/>
      <c r="E15295" s="1"/>
      <c r="F15295" s="1"/>
      <c r="G15295" s="1"/>
    </row>
    <row r="15296">
      <c r="B15296" s="36"/>
      <c r="C15296" s="36"/>
      <c r="E15296" s="1"/>
      <c r="F15296" s="1"/>
      <c r="G15296" s="1"/>
    </row>
    <row r="15297">
      <c r="B15297" s="36"/>
      <c r="C15297" s="36"/>
      <c r="E15297" s="1"/>
      <c r="F15297" s="1"/>
      <c r="G15297" s="1"/>
    </row>
    <row r="15298">
      <c r="B15298" s="36"/>
      <c r="C15298" s="36"/>
      <c r="E15298" s="1"/>
      <c r="F15298" s="1"/>
      <c r="G15298" s="1"/>
    </row>
    <row r="15299">
      <c r="B15299" s="36"/>
      <c r="C15299" s="36"/>
      <c r="E15299" s="1"/>
      <c r="F15299" s="1"/>
      <c r="G15299" s="1"/>
    </row>
    <row r="15300">
      <c r="B15300" s="36"/>
      <c r="C15300" s="36"/>
      <c r="E15300" s="1"/>
      <c r="F15300" s="1"/>
      <c r="G15300" s="1"/>
    </row>
    <row r="15301">
      <c r="B15301" s="36"/>
      <c r="C15301" s="36"/>
      <c r="E15301" s="1"/>
      <c r="F15301" s="1"/>
      <c r="G15301" s="1"/>
    </row>
    <row r="15302">
      <c r="B15302" s="36"/>
      <c r="C15302" s="36"/>
      <c r="E15302" s="1"/>
      <c r="F15302" s="1"/>
      <c r="G15302" s="1"/>
    </row>
    <row r="15303">
      <c r="B15303" s="36"/>
      <c r="C15303" s="36"/>
      <c r="E15303" s="1"/>
      <c r="F15303" s="1"/>
      <c r="G15303" s="1"/>
    </row>
    <row r="15304">
      <c r="B15304" s="36"/>
      <c r="C15304" s="36"/>
      <c r="E15304" s="1"/>
      <c r="F15304" s="1"/>
      <c r="G15304" s="1"/>
    </row>
    <row r="15305">
      <c r="B15305" s="36"/>
      <c r="C15305" s="36"/>
      <c r="E15305" s="1"/>
      <c r="F15305" s="1"/>
      <c r="G15305" s="1"/>
    </row>
    <row r="15306">
      <c r="B15306" s="36"/>
      <c r="C15306" s="36"/>
      <c r="E15306" s="1"/>
      <c r="F15306" s="1"/>
      <c r="G15306" s="1"/>
    </row>
    <row r="15307">
      <c r="B15307" s="36"/>
      <c r="C15307" s="36"/>
      <c r="E15307" s="1"/>
      <c r="F15307" s="1"/>
      <c r="G15307" s="1"/>
    </row>
    <row r="15308">
      <c r="B15308" s="36"/>
      <c r="C15308" s="36"/>
      <c r="E15308" s="1"/>
      <c r="F15308" s="1"/>
      <c r="G15308" s="1"/>
    </row>
    <row r="15309">
      <c r="B15309" s="36"/>
      <c r="C15309" s="36"/>
      <c r="E15309" s="1"/>
      <c r="F15309" s="1"/>
      <c r="G15309" s="1"/>
    </row>
    <row r="15310">
      <c r="B15310" s="36"/>
      <c r="C15310" s="36"/>
      <c r="E15310" s="1"/>
      <c r="F15310" s="1"/>
      <c r="G15310" s="1"/>
    </row>
    <row r="15311">
      <c r="B15311" s="36"/>
      <c r="C15311" s="36"/>
      <c r="E15311" s="1"/>
      <c r="F15311" s="1"/>
      <c r="G15311" s="1"/>
    </row>
    <row r="15312">
      <c r="B15312" s="36"/>
      <c r="C15312" s="36"/>
      <c r="E15312" s="1"/>
      <c r="F15312" s="1"/>
      <c r="G15312" s="1"/>
    </row>
    <row r="15313">
      <c r="B15313" s="36"/>
      <c r="C15313" s="36"/>
      <c r="E15313" s="1"/>
      <c r="F15313" s="1"/>
      <c r="G15313" s="1"/>
    </row>
    <row r="15314">
      <c r="B15314" s="36"/>
      <c r="C15314" s="36"/>
      <c r="E15314" s="1"/>
      <c r="F15314" s="1"/>
      <c r="G15314" s="1"/>
    </row>
    <row r="15315">
      <c r="B15315" s="36"/>
      <c r="C15315" s="36"/>
      <c r="E15315" s="1"/>
      <c r="F15315" s="1"/>
      <c r="G15315" s="1"/>
    </row>
    <row r="15316">
      <c r="B15316" s="36"/>
      <c r="C15316" s="36"/>
      <c r="E15316" s="1"/>
      <c r="F15316" s="1"/>
      <c r="G15316" s="1"/>
    </row>
    <row r="15317">
      <c r="B15317" s="36"/>
      <c r="C15317" s="36"/>
      <c r="E15317" s="1"/>
      <c r="F15317" s="1"/>
      <c r="G15317" s="1"/>
    </row>
    <row r="15318">
      <c r="B15318" s="36"/>
      <c r="C15318" s="36"/>
      <c r="E15318" s="1"/>
      <c r="F15318" s="1"/>
      <c r="G15318" s="1"/>
    </row>
    <row r="15319">
      <c r="B15319" s="36"/>
      <c r="C15319" s="36"/>
      <c r="E15319" s="1"/>
      <c r="F15319" s="1"/>
      <c r="G15319" s="1"/>
    </row>
    <row r="15320">
      <c r="B15320" s="36"/>
      <c r="C15320" s="36"/>
      <c r="E15320" s="1"/>
      <c r="F15320" s="1"/>
      <c r="G15320" s="1"/>
    </row>
    <row r="15321">
      <c r="B15321" s="36"/>
      <c r="C15321" s="36"/>
      <c r="E15321" s="1"/>
      <c r="F15321" s="1"/>
      <c r="G15321" s="1"/>
    </row>
    <row r="15322">
      <c r="B15322" s="36"/>
      <c r="C15322" s="36"/>
      <c r="E15322" s="1"/>
      <c r="F15322" s="1"/>
      <c r="G15322" s="1"/>
    </row>
    <row r="15323">
      <c r="B15323" s="36"/>
      <c r="C15323" s="36"/>
      <c r="E15323" s="1"/>
      <c r="F15323" s="1"/>
      <c r="G15323" s="1"/>
    </row>
    <row r="15324">
      <c r="B15324" s="36"/>
      <c r="C15324" s="36"/>
      <c r="E15324" s="1"/>
      <c r="F15324" s="1"/>
      <c r="G15324" s="1"/>
    </row>
    <row r="15325">
      <c r="B15325" s="36"/>
      <c r="C15325" s="36"/>
      <c r="E15325" s="1"/>
      <c r="F15325" s="1"/>
      <c r="G15325" s="1"/>
    </row>
    <row r="15326">
      <c r="B15326" s="36"/>
      <c r="C15326" s="36"/>
      <c r="E15326" s="1"/>
      <c r="F15326" s="1"/>
      <c r="G15326" s="1"/>
    </row>
    <row r="15327">
      <c r="B15327" s="36"/>
      <c r="C15327" s="36"/>
      <c r="E15327" s="1"/>
      <c r="F15327" s="1"/>
      <c r="G15327" s="1"/>
    </row>
    <row r="15328">
      <c r="B15328" s="36"/>
      <c r="C15328" s="36"/>
      <c r="E15328" s="1"/>
      <c r="F15328" s="1"/>
      <c r="G15328" s="1"/>
    </row>
    <row r="15329">
      <c r="B15329" s="36"/>
      <c r="C15329" s="36"/>
      <c r="E15329" s="1"/>
      <c r="F15329" s="1"/>
      <c r="G15329" s="1"/>
    </row>
    <row r="15330">
      <c r="B15330" s="36"/>
      <c r="C15330" s="36"/>
      <c r="E15330" s="1"/>
      <c r="F15330" s="1"/>
      <c r="G15330" s="1"/>
    </row>
    <row r="15331">
      <c r="B15331" s="36"/>
      <c r="C15331" s="36"/>
      <c r="E15331" s="1"/>
      <c r="F15331" s="1"/>
      <c r="G15331" s="1"/>
    </row>
    <row r="15332">
      <c r="B15332" s="36"/>
      <c r="C15332" s="36"/>
      <c r="E15332" s="1"/>
      <c r="F15332" s="1"/>
      <c r="G15332" s="1"/>
    </row>
    <row r="15333">
      <c r="B15333" s="36"/>
      <c r="C15333" s="36"/>
      <c r="E15333" s="1"/>
      <c r="F15333" s="1"/>
      <c r="G15333" s="1"/>
    </row>
    <row r="15334">
      <c r="B15334" s="36"/>
      <c r="C15334" s="36"/>
      <c r="E15334" s="1"/>
      <c r="F15334" s="1"/>
      <c r="G15334" s="1"/>
    </row>
    <row r="15335">
      <c r="B15335" s="36"/>
      <c r="C15335" s="36"/>
      <c r="E15335" s="1"/>
      <c r="F15335" s="1"/>
      <c r="G15335" s="1"/>
    </row>
    <row r="15336">
      <c r="B15336" s="36"/>
      <c r="C15336" s="36"/>
      <c r="E15336" s="1"/>
      <c r="F15336" s="1"/>
      <c r="G15336" s="1"/>
    </row>
    <row r="15337">
      <c r="B15337" s="36"/>
      <c r="C15337" s="36"/>
      <c r="E15337" s="1"/>
      <c r="F15337" s="1"/>
      <c r="G15337" s="1"/>
    </row>
    <row r="15338">
      <c r="B15338" s="36"/>
      <c r="C15338" s="36"/>
      <c r="E15338" s="1"/>
      <c r="F15338" s="1"/>
      <c r="G15338" s="1"/>
    </row>
    <row r="15339">
      <c r="B15339" s="36"/>
      <c r="C15339" s="36"/>
      <c r="E15339" s="1"/>
      <c r="F15339" s="1"/>
      <c r="G15339" s="1"/>
    </row>
    <row r="15340">
      <c r="B15340" s="36"/>
      <c r="C15340" s="36"/>
      <c r="E15340" s="1"/>
      <c r="F15340" s="1"/>
      <c r="G15340" s="1"/>
    </row>
    <row r="15341">
      <c r="B15341" s="36"/>
      <c r="C15341" s="36"/>
      <c r="E15341" s="1"/>
      <c r="F15341" s="1"/>
      <c r="G15341" s="1"/>
    </row>
    <row r="15342">
      <c r="B15342" s="36"/>
      <c r="C15342" s="36"/>
      <c r="E15342" s="1"/>
      <c r="F15342" s="1"/>
      <c r="G15342" s="1"/>
    </row>
    <row r="15343">
      <c r="B15343" s="36"/>
      <c r="C15343" s="36"/>
      <c r="E15343" s="1"/>
      <c r="F15343" s="1"/>
      <c r="G15343" s="1"/>
    </row>
    <row r="15344">
      <c r="B15344" s="36"/>
      <c r="C15344" s="36"/>
      <c r="E15344" s="1"/>
      <c r="F15344" s="1"/>
      <c r="G15344" s="1"/>
    </row>
    <row r="15345">
      <c r="B15345" s="36"/>
      <c r="C15345" s="36"/>
      <c r="E15345" s="1"/>
      <c r="F15345" s="1"/>
      <c r="G15345" s="1"/>
    </row>
    <row r="15346">
      <c r="B15346" s="36"/>
      <c r="C15346" s="36"/>
      <c r="E15346" s="1"/>
      <c r="F15346" s="1"/>
      <c r="G15346" s="1"/>
    </row>
    <row r="15347">
      <c r="B15347" s="36"/>
      <c r="C15347" s="36"/>
      <c r="E15347" s="1"/>
      <c r="F15347" s="1"/>
      <c r="G15347" s="1"/>
    </row>
    <row r="15348">
      <c r="B15348" s="36"/>
      <c r="C15348" s="36"/>
      <c r="E15348" s="1"/>
      <c r="F15348" s="1"/>
      <c r="G15348" s="1"/>
    </row>
    <row r="15349">
      <c r="B15349" s="36"/>
      <c r="C15349" s="36"/>
      <c r="E15349" s="1"/>
      <c r="F15349" s="1"/>
      <c r="G15349" s="1"/>
    </row>
    <row r="15350">
      <c r="B15350" s="36"/>
      <c r="C15350" s="36"/>
      <c r="E15350" s="1"/>
      <c r="F15350" s="1"/>
      <c r="G15350" s="1"/>
    </row>
    <row r="15351">
      <c r="B15351" s="36"/>
      <c r="C15351" s="36"/>
      <c r="E15351" s="1"/>
      <c r="F15351" s="1"/>
      <c r="G15351" s="1"/>
    </row>
    <row r="15352">
      <c r="B15352" s="36"/>
      <c r="C15352" s="36"/>
      <c r="E15352" s="1"/>
      <c r="F15352" s="1"/>
      <c r="G15352" s="1"/>
    </row>
    <row r="15353">
      <c r="B15353" s="36"/>
      <c r="C15353" s="36"/>
      <c r="E15353" s="1"/>
      <c r="F15353" s="1"/>
      <c r="G15353" s="1"/>
    </row>
    <row r="15354">
      <c r="B15354" s="36"/>
      <c r="C15354" s="36"/>
      <c r="E15354" s="1"/>
      <c r="F15354" s="1"/>
      <c r="G15354" s="1"/>
    </row>
    <row r="15355">
      <c r="B15355" s="36"/>
      <c r="C15355" s="36"/>
      <c r="E15355" s="1"/>
      <c r="F15355" s="1"/>
      <c r="G15355" s="1"/>
    </row>
    <row r="15356">
      <c r="B15356" s="36"/>
      <c r="C15356" s="36"/>
      <c r="E15356" s="1"/>
      <c r="F15356" s="1"/>
      <c r="G15356" s="1"/>
    </row>
    <row r="15357">
      <c r="B15357" s="36"/>
      <c r="C15357" s="36"/>
      <c r="E15357" s="1"/>
      <c r="F15357" s="1"/>
      <c r="G15357" s="1"/>
    </row>
    <row r="15358">
      <c r="B15358" s="36"/>
      <c r="C15358" s="36"/>
      <c r="E15358" s="1"/>
      <c r="F15358" s="1"/>
      <c r="G15358" s="1"/>
    </row>
    <row r="15359">
      <c r="B15359" s="36"/>
      <c r="C15359" s="36"/>
      <c r="E15359" s="1"/>
      <c r="F15359" s="1"/>
      <c r="G15359" s="1"/>
    </row>
    <row r="15360">
      <c r="B15360" s="36"/>
      <c r="C15360" s="36"/>
      <c r="E15360" s="1"/>
      <c r="F15360" s="1"/>
      <c r="G15360" s="1"/>
    </row>
    <row r="15361">
      <c r="B15361" s="36"/>
      <c r="C15361" s="36"/>
      <c r="E15361" s="1"/>
      <c r="F15361" s="1"/>
      <c r="G15361" s="1"/>
    </row>
    <row r="15362">
      <c r="B15362" s="36"/>
      <c r="C15362" s="36"/>
      <c r="E15362" s="1"/>
      <c r="F15362" s="1"/>
      <c r="G15362" s="1"/>
    </row>
    <row r="15363">
      <c r="B15363" s="36"/>
      <c r="C15363" s="36"/>
      <c r="E15363" s="1"/>
      <c r="F15363" s="1"/>
      <c r="G15363" s="1"/>
    </row>
    <row r="15364">
      <c r="B15364" s="36"/>
      <c r="C15364" s="36"/>
      <c r="E15364" s="1"/>
      <c r="F15364" s="1"/>
      <c r="G15364" s="1"/>
    </row>
    <row r="15365">
      <c r="B15365" s="36"/>
      <c r="C15365" s="36"/>
      <c r="E15365" s="1"/>
      <c r="F15365" s="1"/>
      <c r="G15365" s="1"/>
    </row>
    <row r="15366">
      <c r="B15366" s="36"/>
      <c r="C15366" s="36"/>
      <c r="E15366" s="1"/>
      <c r="F15366" s="1"/>
      <c r="G15366" s="1"/>
    </row>
    <row r="15367">
      <c r="B15367" s="36"/>
      <c r="C15367" s="36"/>
      <c r="E15367" s="1"/>
      <c r="F15367" s="1"/>
      <c r="G15367" s="1"/>
    </row>
    <row r="15368">
      <c r="B15368" s="36"/>
      <c r="C15368" s="36"/>
      <c r="E15368" s="1"/>
      <c r="F15368" s="1"/>
      <c r="G15368" s="1"/>
    </row>
    <row r="15369">
      <c r="B15369" s="36"/>
      <c r="C15369" s="36"/>
      <c r="E15369" s="1"/>
      <c r="F15369" s="1"/>
      <c r="G15369" s="1"/>
    </row>
    <row r="15370">
      <c r="B15370" s="36"/>
      <c r="C15370" s="36"/>
      <c r="E15370" s="1"/>
      <c r="F15370" s="1"/>
      <c r="G15370" s="1"/>
    </row>
    <row r="15371">
      <c r="B15371" s="36"/>
      <c r="C15371" s="36"/>
      <c r="E15371" s="1"/>
      <c r="F15371" s="1"/>
      <c r="G15371" s="1"/>
    </row>
    <row r="15372">
      <c r="B15372" s="36"/>
      <c r="C15372" s="36"/>
      <c r="E15372" s="1"/>
      <c r="F15372" s="1"/>
      <c r="G15372" s="1"/>
    </row>
    <row r="15373">
      <c r="B15373" s="36"/>
      <c r="C15373" s="36"/>
      <c r="E15373" s="1"/>
      <c r="F15373" s="1"/>
      <c r="G15373" s="1"/>
    </row>
    <row r="15374">
      <c r="B15374" s="36"/>
      <c r="C15374" s="36"/>
      <c r="E15374" s="1"/>
      <c r="F15374" s="1"/>
      <c r="G15374" s="1"/>
    </row>
    <row r="15375">
      <c r="B15375" s="36"/>
      <c r="C15375" s="36"/>
      <c r="E15375" s="1"/>
      <c r="F15375" s="1"/>
      <c r="G15375" s="1"/>
    </row>
    <row r="15376">
      <c r="B15376" s="36"/>
      <c r="C15376" s="36"/>
      <c r="E15376" s="1"/>
      <c r="F15376" s="1"/>
      <c r="G15376" s="1"/>
    </row>
    <row r="15377">
      <c r="B15377" s="36"/>
      <c r="C15377" s="36"/>
      <c r="E15377" s="1"/>
      <c r="F15377" s="1"/>
      <c r="G15377" s="1"/>
    </row>
    <row r="15378">
      <c r="B15378" s="36"/>
      <c r="C15378" s="36"/>
      <c r="E15378" s="1"/>
      <c r="F15378" s="1"/>
      <c r="G15378" s="1"/>
    </row>
    <row r="15379">
      <c r="B15379" s="36"/>
      <c r="C15379" s="36"/>
      <c r="E15379" s="1"/>
      <c r="F15379" s="1"/>
      <c r="G15379" s="1"/>
    </row>
    <row r="15380">
      <c r="B15380" s="36"/>
      <c r="C15380" s="36"/>
      <c r="E15380" s="1"/>
      <c r="F15380" s="1"/>
      <c r="G15380" s="1"/>
    </row>
    <row r="15381">
      <c r="B15381" s="36"/>
      <c r="C15381" s="36"/>
      <c r="E15381" s="1"/>
      <c r="F15381" s="1"/>
      <c r="G15381" s="1"/>
    </row>
    <row r="15382">
      <c r="B15382" s="36"/>
      <c r="C15382" s="36"/>
      <c r="E15382" s="1"/>
      <c r="F15382" s="1"/>
      <c r="G15382" s="1"/>
    </row>
    <row r="15383">
      <c r="B15383" s="36"/>
      <c r="C15383" s="36"/>
      <c r="E15383" s="1"/>
      <c r="F15383" s="1"/>
      <c r="G15383" s="1"/>
    </row>
    <row r="15384">
      <c r="B15384" s="36"/>
      <c r="C15384" s="36"/>
      <c r="E15384" s="1"/>
      <c r="F15384" s="1"/>
      <c r="G15384" s="1"/>
    </row>
    <row r="15385">
      <c r="B15385" s="36"/>
      <c r="C15385" s="36"/>
      <c r="E15385" s="1"/>
      <c r="F15385" s="1"/>
      <c r="G15385" s="1"/>
    </row>
    <row r="15386">
      <c r="B15386" s="36"/>
      <c r="C15386" s="36"/>
      <c r="E15386" s="1"/>
      <c r="F15386" s="1"/>
      <c r="G15386" s="1"/>
    </row>
    <row r="15387">
      <c r="B15387" s="36"/>
      <c r="C15387" s="36"/>
      <c r="E15387" s="1"/>
      <c r="F15387" s="1"/>
      <c r="G15387" s="1"/>
    </row>
    <row r="15388">
      <c r="B15388" s="36"/>
      <c r="C15388" s="36"/>
      <c r="E15388" s="1"/>
      <c r="F15388" s="1"/>
      <c r="G15388" s="1"/>
    </row>
    <row r="15389">
      <c r="B15389" s="36"/>
      <c r="C15389" s="36"/>
      <c r="E15389" s="1"/>
      <c r="F15389" s="1"/>
      <c r="G15389" s="1"/>
    </row>
    <row r="15390">
      <c r="B15390" s="36"/>
      <c r="C15390" s="36"/>
      <c r="E15390" s="1"/>
      <c r="F15390" s="1"/>
      <c r="G15390" s="1"/>
    </row>
    <row r="15391">
      <c r="B15391" s="36"/>
      <c r="C15391" s="36"/>
      <c r="E15391" s="1"/>
      <c r="F15391" s="1"/>
      <c r="G15391" s="1"/>
    </row>
    <row r="15392">
      <c r="B15392" s="36"/>
      <c r="C15392" s="36"/>
      <c r="E15392" s="1"/>
      <c r="F15392" s="1"/>
      <c r="G15392" s="1"/>
    </row>
    <row r="15393">
      <c r="B15393" s="36"/>
      <c r="C15393" s="36"/>
      <c r="E15393" s="1"/>
      <c r="F15393" s="1"/>
      <c r="G15393" s="1"/>
    </row>
    <row r="15394">
      <c r="B15394" s="36"/>
      <c r="C15394" s="36"/>
      <c r="E15394" s="1"/>
      <c r="F15394" s="1"/>
      <c r="G15394" s="1"/>
    </row>
    <row r="15395">
      <c r="B15395" s="36"/>
      <c r="C15395" s="36"/>
      <c r="E15395" s="1"/>
      <c r="F15395" s="1"/>
      <c r="G15395" s="1"/>
    </row>
    <row r="15396">
      <c r="B15396" s="36"/>
      <c r="C15396" s="36"/>
      <c r="E15396" s="1"/>
      <c r="F15396" s="1"/>
      <c r="G15396" s="1"/>
    </row>
    <row r="15397">
      <c r="B15397" s="36"/>
      <c r="C15397" s="36"/>
      <c r="E15397" s="1"/>
      <c r="F15397" s="1"/>
      <c r="G15397" s="1"/>
    </row>
    <row r="15398">
      <c r="B15398" s="36"/>
      <c r="C15398" s="36"/>
      <c r="E15398" s="1"/>
      <c r="F15398" s="1"/>
      <c r="G15398" s="1"/>
    </row>
    <row r="15399">
      <c r="B15399" s="36"/>
      <c r="C15399" s="36"/>
      <c r="E15399" s="1"/>
      <c r="F15399" s="1"/>
      <c r="G15399" s="1"/>
    </row>
    <row r="15400">
      <c r="B15400" s="36"/>
      <c r="C15400" s="36"/>
      <c r="E15400" s="1"/>
      <c r="F15400" s="1"/>
      <c r="G15400" s="1"/>
    </row>
    <row r="15401">
      <c r="B15401" s="36"/>
      <c r="C15401" s="36"/>
      <c r="E15401" s="1"/>
      <c r="F15401" s="1"/>
      <c r="G15401" s="1"/>
    </row>
    <row r="15402">
      <c r="B15402" s="36"/>
      <c r="C15402" s="36"/>
      <c r="E15402" s="1"/>
      <c r="F15402" s="1"/>
      <c r="G15402" s="1"/>
    </row>
    <row r="15403">
      <c r="B15403" s="36"/>
      <c r="C15403" s="36"/>
      <c r="E15403" s="1"/>
      <c r="F15403" s="1"/>
      <c r="G15403" s="1"/>
    </row>
    <row r="15404">
      <c r="B15404" s="36"/>
      <c r="C15404" s="36"/>
      <c r="E15404" s="1"/>
      <c r="F15404" s="1"/>
      <c r="G15404" s="1"/>
    </row>
    <row r="15405">
      <c r="B15405" s="36"/>
      <c r="C15405" s="36"/>
      <c r="E15405" s="1"/>
      <c r="F15405" s="1"/>
      <c r="G15405" s="1"/>
    </row>
    <row r="15406">
      <c r="B15406" s="36"/>
      <c r="C15406" s="36"/>
      <c r="E15406" s="1"/>
      <c r="F15406" s="1"/>
      <c r="G15406" s="1"/>
    </row>
    <row r="15407">
      <c r="B15407" s="36"/>
      <c r="C15407" s="36"/>
      <c r="E15407" s="1"/>
      <c r="F15407" s="1"/>
      <c r="G15407" s="1"/>
    </row>
    <row r="15408">
      <c r="B15408" s="36"/>
      <c r="C15408" s="36"/>
      <c r="E15408" s="1"/>
      <c r="F15408" s="1"/>
      <c r="G15408" s="1"/>
    </row>
    <row r="15409">
      <c r="B15409" s="36"/>
      <c r="C15409" s="36"/>
      <c r="E15409" s="1"/>
      <c r="F15409" s="1"/>
      <c r="G15409" s="1"/>
    </row>
    <row r="15410">
      <c r="B15410" s="36"/>
      <c r="C15410" s="36"/>
      <c r="E15410" s="1"/>
      <c r="F15410" s="1"/>
      <c r="G15410" s="1"/>
    </row>
    <row r="15411">
      <c r="B15411" s="36"/>
      <c r="C15411" s="36"/>
      <c r="E15411" s="1"/>
      <c r="F15411" s="1"/>
      <c r="G15411" s="1"/>
    </row>
    <row r="15412">
      <c r="B15412" s="36"/>
      <c r="C15412" s="36"/>
      <c r="E15412" s="1"/>
      <c r="F15412" s="1"/>
      <c r="G15412" s="1"/>
    </row>
    <row r="15413">
      <c r="B15413" s="36"/>
      <c r="C15413" s="36"/>
      <c r="E15413" s="1"/>
      <c r="F15413" s="1"/>
      <c r="G15413" s="1"/>
    </row>
    <row r="15414">
      <c r="B15414" s="36"/>
      <c r="C15414" s="36"/>
      <c r="E15414" s="1"/>
      <c r="F15414" s="1"/>
      <c r="G15414" s="1"/>
    </row>
    <row r="15415">
      <c r="B15415" s="36"/>
      <c r="C15415" s="36"/>
      <c r="E15415" s="1"/>
      <c r="F15415" s="1"/>
      <c r="G15415" s="1"/>
    </row>
    <row r="15416">
      <c r="B15416" s="36"/>
      <c r="C15416" s="36"/>
      <c r="E15416" s="1"/>
      <c r="F15416" s="1"/>
      <c r="G15416" s="1"/>
    </row>
    <row r="15417">
      <c r="B15417" s="36"/>
      <c r="C15417" s="36"/>
      <c r="E15417" s="1"/>
      <c r="F15417" s="1"/>
      <c r="G15417" s="1"/>
    </row>
    <row r="15418">
      <c r="B15418" s="36"/>
      <c r="C15418" s="36"/>
      <c r="E15418" s="1"/>
      <c r="F15418" s="1"/>
      <c r="G15418" s="1"/>
    </row>
    <row r="15419">
      <c r="B15419" s="36"/>
      <c r="C15419" s="36"/>
      <c r="E15419" s="1"/>
      <c r="F15419" s="1"/>
      <c r="G15419" s="1"/>
    </row>
    <row r="15420">
      <c r="B15420" s="36"/>
      <c r="C15420" s="36"/>
      <c r="E15420" s="1"/>
      <c r="F15420" s="1"/>
      <c r="G15420" s="1"/>
    </row>
    <row r="15421">
      <c r="B15421" s="36"/>
      <c r="C15421" s="36"/>
      <c r="E15421" s="1"/>
      <c r="F15421" s="1"/>
      <c r="G15421" s="1"/>
    </row>
    <row r="15422">
      <c r="B15422" s="36"/>
      <c r="C15422" s="36"/>
      <c r="E15422" s="1"/>
      <c r="F15422" s="1"/>
      <c r="G15422" s="1"/>
    </row>
    <row r="15423">
      <c r="B15423" s="36"/>
      <c r="C15423" s="36"/>
      <c r="E15423" s="1"/>
      <c r="F15423" s="1"/>
      <c r="G15423" s="1"/>
    </row>
    <row r="15424">
      <c r="B15424" s="36"/>
      <c r="C15424" s="36"/>
      <c r="E15424" s="1"/>
      <c r="F15424" s="1"/>
      <c r="G15424" s="1"/>
    </row>
    <row r="15425">
      <c r="B15425" s="36"/>
      <c r="C15425" s="36"/>
      <c r="E15425" s="1"/>
      <c r="F15425" s="1"/>
      <c r="G15425" s="1"/>
    </row>
    <row r="15426">
      <c r="B15426" s="36"/>
      <c r="C15426" s="36"/>
      <c r="E15426" s="1"/>
      <c r="F15426" s="1"/>
      <c r="G15426" s="1"/>
    </row>
    <row r="15427">
      <c r="B15427" s="36"/>
      <c r="C15427" s="36"/>
      <c r="E15427" s="1"/>
      <c r="F15427" s="1"/>
      <c r="G15427" s="1"/>
    </row>
    <row r="15428">
      <c r="B15428" s="36"/>
      <c r="C15428" s="36"/>
      <c r="E15428" s="1"/>
      <c r="F15428" s="1"/>
      <c r="G15428" s="1"/>
    </row>
    <row r="15429">
      <c r="B15429" s="36"/>
      <c r="C15429" s="36"/>
      <c r="E15429" s="1"/>
      <c r="F15429" s="1"/>
      <c r="G15429" s="1"/>
    </row>
    <row r="15430">
      <c r="B15430" s="36"/>
      <c r="C15430" s="36"/>
      <c r="E15430" s="1"/>
      <c r="F15430" s="1"/>
      <c r="G15430" s="1"/>
    </row>
    <row r="15431">
      <c r="B15431" s="36"/>
      <c r="C15431" s="36"/>
      <c r="E15431" s="1"/>
      <c r="F15431" s="1"/>
      <c r="G15431" s="1"/>
    </row>
    <row r="15432">
      <c r="B15432" s="36"/>
      <c r="C15432" s="36"/>
      <c r="E15432" s="1"/>
      <c r="F15432" s="1"/>
      <c r="G15432" s="1"/>
    </row>
    <row r="15433">
      <c r="B15433" s="36"/>
      <c r="C15433" s="36"/>
      <c r="E15433" s="1"/>
      <c r="F15433" s="1"/>
      <c r="G15433" s="1"/>
    </row>
    <row r="15434">
      <c r="B15434" s="36"/>
      <c r="C15434" s="36"/>
      <c r="E15434" s="1"/>
      <c r="F15434" s="1"/>
      <c r="G15434" s="1"/>
    </row>
    <row r="15435">
      <c r="B15435" s="36"/>
      <c r="C15435" s="36"/>
      <c r="E15435" s="1"/>
      <c r="F15435" s="1"/>
      <c r="G15435" s="1"/>
    </row>
    <row r="15436">
      <c r="B15436" s="36"/>
      <c r="C15436" s="36"/>
      <c r="E15436" s="1"/>
      <c r="F15436" s="1"/>
      <c r="G15436" s="1"/>
    </row>
    <row r="15437">
      <c r="B15437" s="36"/>
      <c r="C15437" s="36"/>
      <c r="E15437" s="1"/>
      <c r="F15437" s="1"/>
      <c r="G15437" s="1"/>
    </row>
    <row r="15438">
      <c r="B15438" s="36"/>
      <c r="C15438" s="36"/>
      <c r="E15438" s="1"/>
      <c r="F15438" s="1"/>
      <c r="G15438" s="1"/>
    </row>
    <row r="15439">
      <c r="B15439" s="36"/>
      <c r="C15439" s="36"/>
      <c r="E15439" s="1"/>
      <c r="F15439" s="1"/>
      <c r="G15439" s="1"/>
    </row>
    <row r="15440">
      <c r="B15440" s="36"/>
      <c r="C15440" s="36"/>
      <c r="E15440" s="1"/>
      <c r="F15440" s="1"/>
      <c r="G15440" s="1"/>
    </row>
    <row r="15441">
      <c r="B15441" s="36"/>
      <c r="C15441" s="36"/>
      <c r="E15441" s="1"/>
      <c r="F15441" s="1"/>
      <c r="G15441" s="1"/>
    </row>
    <row r="15442">
      <c r="B15442" s="36"/>
      <c r="C15442" s="36"/>
      <c r="E15442" s="1"/>
      <c r="F15442" s="1"/>
      <c r="G15442" s="1"/>
    </row>
    <row r="15443">
      <c r="B15443" s="36"/>
      <c r="C15443" s="36"/>
      <c r="E15443" s="1"/>
      <c r="F15443" s="1"/>
      <c r="G15443" s="1"/>
    </row>
    <row r="15444">
      <c r="B15444" s="36"/>
      <c r="C15444" s="36"/>
      <c r="E15444" s="1"/>
      <c r="F15444" s="1"/>
      <c r="G15444" s="1"/>
    </row>
    <row r="15445">
      <c r="B15445" s="36"/>
      <c r="C15445" s="36"/>
      <c r="E15445" s="1"/>
      <c r="F15445" s="1"/>
      <c r="G15445" s="1"/>
    </row>
    <row r="15446">
      <c r="B15446" s="36"/>
      <c r="C15446" s="36"/>
      <c r="E15446" s="1"/>
      <c r="F15446" s="1"/>
      <c r="G15446" s="1"/>
    </row>
    <row r="15447">
      <c r="B15447" s="36"/>
      <c r="C15447" s="36"/>
      <c r="E15447" s="1"/>
      <c r="F15447" s="1"/>
      <c r="G15447" s="1"/>
    </row>
    <row r="15448">
      <c r="B15448" s="36"/>
      <c r="C15448" s="36"/>
      <c r="E15448" s="1"/>
      <c r="F15448" s="1"/>
      <c r="G15448" s="1"/>
    </row>
    <row r="15449">
      <c r="B15449" s="36"/>
      <c r="C15449" s="36"/>
      <c r="E15449" s="1"/>
      <c r="F15449" s="1"/>
      <c r="G15449" s="1"/>
    </row>
    <row r="15450">
      <c r="B15450" s="36"/>
      <c r="C15450" s="36"/>
      <c r="E15450" s="1"/>
      <c r="F15450" s="1"/>
      <c r="G15450" s="1"/>
    </row>
    <row r="15451">
      <c r="B15451" s="36"/>
      <c r="C15451" s="36"/>
      <c r="E15451" s="1"/>
      <c r="F15451" s="1"/>
      <c r="G15451" s="1"/>
    </row>
    <row r="15452">
      <c r="B15452" s="36"/>
      <c r="C15452" s="36"/>
      <c r="E15452" s="1"/>
      <c r="F15452" s="1"/>
      <c r="G15452" s="1"/>
    </row>
    <row r="15453">
      <c r="B15453" s="36"/>
      <c r="C15453" s="36"/>
      <c r="E15453" s="1"/>
      <c r="F15453" s="1"/>
      <c r="G15453" s="1"/>
    </row>
    <row r="15454">
      <c r="B15454" s="36"/>
      <c r="C15454" s="36"/>
      <c r="E15454" s="1"/>
      <c r="F15454" s="1"/>
      <c r="G15454" s="1"/>
    </row>
    <row r="15455">
      <c r="B15455" s="36"/>
      <c r="C15455" s="36"/>
      <c r="E15455" s="1"/>
      <c r="F15455" s="1"/>
      <c r="G15455" s="1"/>
    </row>
    <row r="15456">
      <c r="B15456" s="36"/>
      <c r="C15456" s="36"/>
      <c r="E15456" s="1"/>
      <c r="F15456" s="1"/>
      <c r="G15456" s="1"/>
    </row>
    <row r="15457">
      <c r="B15457" s="36"/>
      <c r="C15457" s="36"/>
      <c r="E15457" s="1"/>
      <c r="F15457" s="1"/>
      <c r="G15457" s="1"/>
    </row>
    <row r="15458">
      <c r="B15458" s="36"/>
      <c r="C15458" s="36"/>
      <c r="E15458" s="1"/>
      <c r="F15458" s="1"/>
      <c r="G15458" s="1"/>
    </row>
    <row r="15459">
      <c r="B15459" s="36"/>
      <c r="C15459" s="36"/>
      <c r="E15459" s="1"/>
      <c r="F15459" s="1"/>
      <c r="G15459" s="1"/>
    </row>
    <row r="15460">
      <c r="B15460" s="36"/>
      <c r="C15460" s="36"/>
      <c r="E15460" s="1"/>
      <c r="F15460" s="1"/>
      <c r="G15460" s="1"/>
    </row>
    <row r="15461">
      <c r="B15461" s="36"/>
      <c r="C15461" s="36"/>
      <c r="E15461" s="1"/>
      <c r="F15461" s="1"/>
      <c r="G15461" s="1"/>
    </row>
    <row r="15462">
      <c r="B15462" s="36"/>
      <c r="C15462" s="36"/>
      <c r="E15462" s="1"/>
      <c r="F15462" s="1"/>
      <c r="G15462" s="1"/>
    </row>
    <row r="15463">
      <c r="B15463" s="36"/>
      <c r="C15463" s="36"/>
      <c r="E15463" s="1"/>
      <c r="F15463" s="1"/>
      <c r="G15463" s="1"/>
    </row>
    <row r="15464">
      <c r="B15464" s="36"/>
      <c r="C15464" s="36"/>
      <c r="E15464" s="1"/>
      <c r="F15464" s="1"/>
      <c r="G15464" s="1"/>
    </row>
    <row r="15465">
      <c r="B15465" s="36"/>
      <c r="C15465" s="36"/>
      <c r="E15465" s="1"/>
      <c r="F15465" s="1"/>
      <c r="G15465" s="1"/>
    </row>
    <row r="15466">
      <c r="B15466" s="36"/>
      <c r="C15466" s="36"/>
      <c r="E15466" s="1"/>
      <c r="F15466" s="1"/>
      <c r="G15466" s="1"/>
    </row>
    <row r="15467">
      <c r="B15467" s="36"/>
      <c r="C15467" s="36"/>
      <c r="E15467" s="1"/>
      <c r="F15467" s="1"/>
      <c r="G15467" s="1"/>
    </row>
    <row r="15468">
      <c r="B15468" s="36"/>
      <c r="C15468" s="36"/>
      <c r="E15468" s="1"/>
      <c r="F15468" s="1"/>
      <c r="G15468" s="1"/>
    </row>
    <row r="15469">
      <c r="B15469" s="36"/>
      <c r="C15469" s="36"/>
      <c r="E15469" s="1"/>
      <c r="F15469" s="1"/>
      <c r="G15469" s="1"/>
    </row>
    <row r="15470">
      <c r="B15470" s="36"/>
      <c r="C15470" s="36"/>
      <c r="E15470" s="1"/>
      <c r="F15470" s="1"/>
      <c r="G15470" s="1"/>
    </row>
    <row r="15471">
      <c r="B15471" s="36"/>
      <c r="C15471" s="36"/>
      <c r="E15471" s="1"/>
      <c r="F15471" s="1"/>
      <c r="G15471" s="1"/>
    </row>
    <row r="15472">
      <c r="B15472" s="36"/>
      <c r="C15472" s="36"/>
      <c r="E15472" s="1"/>
      <c r="F15472" s="1"/>
      <c r="G15472" s="1"/>
    </row>
    <row r="15473">
      <c r="B15473" s="36"/>
      <c r="C15473" s="36"/>
      <c r="E15473" s="1"/>
      <c r="F15473" s="1"/>
      <c r="G15473" s="1"/>
    </row>
    <row r="15474">
      <c r="B15474" s="36"/>
      <c r="C15474" s="36"/>
      <c r="E15474" s="1"/>
      <c r="F15474" s="1"/>
      <c r="G15474" s="1"/>
    </row>
    <row r="15475">
      <c r="B15475" s="36"/>
      <c r="C15475" s="36"/>
      <c r="E15475" s="1"/>
      <c r="F15475" s="1"/>
      <c r="G15475" s="1"/>
    </row>
    <row r="15476">
      <c r="B15476" s="36"/>
      <c r="C15476" s="36"/>
      <c r="E15476" s="1"/>
      <c r="F15476" s="1"/>
      <c r="G15476" s="1"/>
    </row>
    <row r="15477">
      <c r="B15477" s="36"/>
      <c r="C15477" s="36"/>
      <c r="E15477" s="1"/>
      <c r="F15477" s="1"/>
      <c r="G15477" s="1"/>
    </row>
    <row r="15478">
      <c r="B15478" s="36"/>
      <c r="C15478" s="36"/>
      <c r="E15478" s="1"/>
      <c r="F15478" s="1"/>
      <c r="G15478" s="1"/>
    </row>
    <row r="15479">
      <c r="B15479" s="36"/>
      <c r="C15479" s="36"/>
      <c r="E15479" s="1"/>
      <c r="F15479" s="1"/>
      <c r="G15479" s="1"/>
    </row>
    <row r="15480">
      <c r="B15480" s="36"/>
      <c r="C15480" s="36"/>
      <c r="E15480" s="1"/>
      <c r="F15480" s="1"/>
      <c r="G15480" s="1"/>
    </row>
    <row r="15481">
      <c r="B15481" s="36"/>
      <c r="C15481" s="36"/>
      <c r="E15481" s="1"/>
      <c r="F15481" s="1"/>
      <c r="G15481" s="1"/>
    </row>
    <row r="15482">
      <c r="B15482" s="36"/>
      <c r="C15482" s="36"/>
      <c r="E15482" s="1"/>
      <c r="F15482" s="1"/>
      <c r="G15482" s="1"/>
    </row>
    <row r="15483">
      <c r="B15483" s="36"/>
      <c r="C15483" s="36"/>
      <c r="E15483" s="1"/>
      <c r="F15483" s="1"/>
      <c r="G15483" s="1"/>
    </row>
    <row r="15484">
      <c r="B15484" s="36"/>
      <c r="C15484" s="36"/>
      <c r="E15484" s="1"/>
      <c r="F15484" s="1"/>
      <c r="G15484" s="1"/>
    </row>
    <row r="15485">
      <c r="B15485" s="36"/>
      <c r="C15485" s="36"/>
      <c r="E15485" s="1"/>
      <c r="F15485" s="1"/>
      <c r="G15485" s="1"/>
    </row>
    <row r="15486">
      <c r="B15486" s="36"/>
      <c r="C15486" s="36"/>
      <c r="E15486" s="1"/>
      <c r="F15486" s="1"/>
      <c r="G15486" s="1"/>
    </row>
    <row r="15487">
      <c r="B15487" s="36"/>
      <c r="C15487" s="36"/>
      <c r="E15487" s="1"/>
      <c r="F15487" s="1"/>
      <c r="G15487" s="1"/>
    </row>
    <row r="15488">
      <c r="B15488" s="36"/>
      <c r="C15488" s="36"/>
      <c r="E15488" s="1"/>
      <c r="F15488" s="1"/>
      <c r="G15488" s="1"/>
    </row>
    <row r="15489">
      <c r="B15489" s="36"/>
      <c r="C15489" s="36"/>
      <c r="E15489" s="1"/>
      <c r="F15489" s="1"/>
      <c r="G15489" s="1"/>
    </row>
    <row r="15490">
      <c r="B15490" s="36"/>
      <c r="C15490" s="36"/>
      <c r="E15490" s="1"/>
      <c r="F15490" s="1"/>
      <c r="G15490" s="1"/>
    </row>
    <row r="15491">
      <c r="B15491" s="36"/>
      <c r="C15491" s="36"/>
      <c r="E15491" s="1"/>
      <c r="F15491" s="1"/>
      <c r="G15491" s="1"/>
    </row>
    <row r="15492">
      <c r="B15492" s="36"/>
      <c r="C15492" s="36"/>
      <c r="E15492" s="1"/>
      <c r="F15492" s="1"/>
      <c r="G15492" s="1"/>
    </row>
    <row r="15493">
      <c r="B15493" s="36"/>
      <c r="C15493" s="36"/>
      <c r="E15493" s="1"/>
      <c r="F15493" s="1"/>
      <c r="G15493" s="1"/>
    </row>
    <row r="15494">
      <c r="B15494" s="36"/>
      <c r="C15494" s="36"/>
      <c r="E15494" s="1"/>
      <c r="F15494" s="1"/>
      <c r="G15494" s="1"/>
    </row>
    <row r="15495">
      <c r="B15495" s="36"/>
      <c r="C15495" s="36"/>
      <c r="E15495" s="1"/>
      <c r="F15495" s="1"/>
      <c r="G15495" s="1"/>
    </row>
    <row r="15496">
      <c r="B15496" s="36"/>
      <c r="C15496" s="36"/>
      <c r="E15496" s="1"/>
      <c r="F15496" s="1"/>
      <c r="G15496" s="1"/>
    </row>
    <row r="15497">
      <c r="B15497" s="36"/>
      <c r="C15497" s="36"/>
      <c r="E15497" s="1"/>
      <c r="F15497" s="1"/>
      <c r="G15497" s="1"/>
    </row>
    <row r="15498">
      <c r="B15498" s="36"/>
      <c r="C15498" s="36"/>
      <c r="E15498" s="1"/>
      <c r="F15498" s="1"/>
      <c r="G15498" s="1"/>
    </row>
    <row r="15499">
      <c r="B15499" s="36"/>
      <c r="C15499" s="36"/>
      <c r="E15499" s="1"/>
      <c r="F15499" s="1"/>
      <c r="G15499" s="1"/>
    </row>
    <row r="15500">
      <c r="B15500" s="36"/>
      <c r="C15500" s="36"/>
      <c r="E15500" s="1"/>
      <c r="F15500" s="1"/>
      <c r="G15500" s="1"/>
    </row>
    <row r="15501">
      <c r="B15501" s="36"/>
      <c r="C15501" s="36"/>
      <c r="E15501" s="1"/>
      <c r="F15501" s="1"/>
      <c r="G15501" s="1"/>
    </row>
    <row r="15502">
      <c r="B15502" s="36"/>
      <c r="C15502" s="36"/>
      <c r="E15502" s="1"/>
      <c r="F15502" s="1"/>
      <c r="G15502" s="1"/>
    </row>
    <row r="15503">
      <c r="B15503" s="36"/>
      <c r="C15503" s="36"/>
      <c r="E15503" s="1"/>
      <c r="F15503" s="1"/>
      <c r="G15503" s="1"/>
    </row>
    <row r="15504">
      <c r="B15504" s="36"/>
      <c r="C15504" s="36"/>
      <c r="E15504" s="1"/>
      <c r="F15504" s="1"/>
      <c r="G15504" s="1"/>
    </row>
    <row r="15505">
      <c r="B15505" s="36"/>
      <c r="C15505" s="36"/>
      <c r="E15505" s="1"/>
      <c r="F15505" s="1"/>
      <c r="G15505" s="1"/>
    </row>
    <row r="15506">
      <c r="B15506" s="36"/>
      <c r="C15506" s="36"/>
      <c r="E15506" s="1"/>
      <c r="F15506" s="1"/>
      <c r="G15506" s="1"/>
    </row>
    <row r="15507">
      <c r="B15507" s="36"/>
      <c r="C15507" s="36"/>
      <c r="E15507" s="1"/>
      <c r="F15507" s="1"/>
      <c r="G15507" s="1"/>
    </row>
    <row r="15508">
      <c r="B15508" s="36"/>
      <c r="C15508" s="36"/>
      <c r="E15508" s="1"/>
      <c r="F15508" s="1"/>
      <c r="G15508" s="1"/>
    </row>
    <row r="15509">
      <c r="B15509" s="36"/>
      <c r="C15509" s="36"/>
      <c r="E15509" s="1"/>
      <c r="F15509" s="1"/>
      <c r="G15509" s="1"/>
    </row>
    <row r="15510">
      <c r="B15510" s="36"/>
      <c r="C15510" s="36"/>
      <c r="E15510" s="1"/>
      <c r="F15510" s="1"/>
      <c r="G15510" s="1"/>
    </row>
    <row r="15511">
      <c r="B15511" s="36"/>
      <c r="C15511" s="36"/>
      <c r="E15511" s="1"/>
      <c r="F15511" s="1"/>
      <c r="G15511" s="1"/>
    </row>
    <row r="15512">
      <c r="B15512" s="36"/>
      <c r="C15512" s="36"/>
      <c r="E15512" s="1"/>
      <c r="F15512" s="1"/>
      <c r="G15512" s="1"/>
    </row>
    <row r="15513">
      <c r="B15513" s="36"/>
      <c r="C15513" s="36"/>
      <c r="E15513" s="1"/>
      <c r="F15513" s="1"/>
      <c r="G15513" s="1"/>
    </row>
    <row r="15514">
      <c r="B15514" s="36"/>
      <c r="C15514" s="36"/>
      <c r="E15514" s="1"/>
      <c r="F15514" s="1"/>
      <c r="G15514" s="1"/>
    </row>
    <row r="15515">
      <c r="B15515" s="36"/>
      <c r="C15515" s="36"/>
      <c r="E15515" s="1"/>
      <c r="F15515" s="1"/>
      <c r="G15515" s="1"/>
    </row>
    <row r="15516">
      <c r="B15516" s="36"/>
      <c r="C15516" s="36"/>
      <c r="E15516" s="1"/>
      <c r="F15516" s="1"/>
      <c r="G15516" s="1"/>
    </row>
    <row r="15517">
      <c r="B15517" s="36"/>
      <c r="C15517" s="36"/>
      <c r="E15517" s="1"/>
      <c r="F15517" s="1"/>
      <c r="G15517" s="1"/>
    </row>
    <row r="15518">
      <c r="B15518" s="36"/>
      <c r="C15518" s="36"/>
      <c r="E15518" s="1"/>
      <c r="F15518" s="1"/>
      <c r="G15518" s="1"/>
    </row>
    <row r="15519">
      <c r="B15519" s="36"/>
      <c r="C15519" s="36"/>
      <c r="E15519" s="1"/>
      <c r="F15519" s="1"/>
      <c r="G15519" s="1"/>
    </row>
    <row r="15520">
      <c r="B15520" s="36"/>
      <c r="C15520" s="36"/>
      <c r="E15520" s="1"/>
      <c r="F15520" s="1"/>
      <c r="G15520" s="1"/>
    </row>
    <row r="15521">
      <c r="B15521" s="36"/>
      <c r="C15521" s="36"/>
      <c r="E15521" s="1"/>
      <c r="F15521" s="1"/>
      <c r="G15521" s="1"/>
    </row>
    <row r="15522">
      <c r="B15522" s="36"/>
      <c r="C15522" s="36"/>
      <c r="E15522" s="1"/>
      <c r="F15522" s="1"/>
      <c r="G15522" s="1"/>
    </row>
    <row r="15523">
      <c r="B15523" s="36"/>
      <c r="C15523" s="36"/>
      <c r="E15523" s="1"/>
      <c r="F15523" s="1"/>
      <c r="G15523" s="1"/>
    </row>
    <row r="15524">
      <c r="B15524" s="36"/>
      <c r="C15524" s="36"/>
      <c r="E15524" s="1"/>
      <c r="F15524" s="1"/>
      <c r="G15524" s="1"/>
    </row>
    <row r="15525">
      <c r="B15525" s="36"/>
      <c r="C15525" s="36"/>
      <c r="E15525" s="1"/>
      <c r="F15525" s="1"/>
      <c r="G15525" s="1"/>
    </row>
    <row r="15526">
      <c r="B15526" s="36"/>
      <c r="C15526" s="36"/>
      <c r="E15526" s="1"/>
      <c r="F15526" s="1"/>
      <c r="G15526" s="1"/>
    </row>
    <row r="15527">
      <c r="B15527" s="36"/>
      <c r="C15527" s="36"/>
      <c r="E15527" s="1"/>
      <c r="F15527" s="1"/>
      <c r="G15527" s="1"/>
    </row>
    <row r="15528">
      <c r="B15528" s="36"/>
      <c r="C15528" s="36"/>
      <c r="E15528" s="1"/>
      <c r="F15528" s="1"/>
      <c r="G15528" s="1"/>
    </row>
    <row r="15529">
      <c r="B15529" s="36"/>
      <c r="C15529" s="36"/>
      <c r="E15529" s="1"/>
      <c r="F15529" s="1"/>
      <c r="G15529" s="1"/>
    </row>
    <row r="15530">
      <c r="B15530" s="36"/>
      <c r="C15530" s="36"/>
      <c r="E15530" s="1"/>
      <c r="F15530" s="1"/>
      <c r="G15530" s="1"/>
    </row>
    <row r="15531">
      <c r="B15531" s="36"/>
      <c r="C15531" s="36"/>
      <c r="E15531" s="1"/>
      <c r="F15531" s="1"/>
      <c r="G15531" s="1"/>
    </row>
    <row r="15532">
      <c r="B15532" s="36"/>
      <c r="C15532" s="36"/>
      <c r="E15532" s="1"/>
      <c r="F15532" s="1"/>
      <c r="G15532" s="1"/>
    </row>
    <row r="15533">
      <c r="B15533" s="36"/>
      <c r="C15533" s="36"/>
      <c r="E15533" s="1"/>
      <c r="F15533" s="1"/>
      <c r="G15533" s="1"/>
    </row>
    <row r="15534">
      <c r="B15534" s="36"/>
      <c r="C15534" s="36"/>
      <c r="E15534" s="1"/>
      <c r="F15534" s="1"/>
      <c r="G15534" s="1"/>
    </row>
    <row r="15535">
      <c r="B15535" s="36"/>
      <c r="C15535" s="36"/>
      <c r="E15535" s="1"/>
      <c r="F15535" s="1"/>
      <c r="G15535" s="1"/>
    </row>
    <row r="15536">
      <c r="B15536" s="36"/>
      <c r="C15536" s="36"/>
      <c r="E15536" s="1"/>
      <c r="F15536" s="1"/>
      <c r="G15536" s="1"/>
    </row>
    <row r="15537">
      <c r="B15537" s="36"/>
      <c r="C15537" s="36"/>
      <c r="E15537" s="1"/>
      <c r="F15537" s="1"/>
      <c r="G15537" s="1"/>
    </row>
    <row r="15538">
      <c r="B15538" s="36"/>
      <c r="C15538" s="36"/>
      <c r="E15538" s="1"/>
      <c r="F15538" s="1"/>
      <c r="G15538" s="1"/>
    </row>
    <row r="15539">
      <c r="B15539" s="36"/>
      <c r="C15539" s="36"/>
      <c r="E15539" s="1"/>
      <c r="F15539" s="1"/>
      <c r="G15539" s="1"/>
    </row>
    <row r="15540">
      <c r="B15540" s="36"/>
      <c r="C15540" s="36"/>
      <c r="E15540" s="1"/>
      <c r="F15540" s="1"/>
      <c r="G15540" s="1"/>
    </row>
    <row r="15541">
      <c r="B15541" s="36"/>
      <c r="C15541" s="36"/>
      <c r="E15541" s="1"/>
      <c r="F15541" s="1"/>
      <c r="G15541" s="1"/>
    </row>
    <row r="15542">
      <c r="B15542" s="36"/>
      <c r="C15542" s="36"/>
      <c r="E15542" s="1"/>
      <c r="F15542" s="1"/>
      <c r="G15542" s="1"/>
    </row>
    <row r="15543">
      <c r="B15543" s="36"/>
      <c r="C15543" s="36"/>
      <c r="E15543" s="1"/>
      <c r="F15543" s="1"/>
      <c r="G15543" s="1"/>
    </row>
    <row r="15544">
      <c r="B15544" s="36"/>
      <c r="C15544" s="36"/>
      <c r="E15544" s="1"/>
      <c r="F15544" s="1"/>
      <c r="G15544" s="1"/>
    </row>
    <row r="15545">
      <c r="B15545" s="36"/>
      <c r="C15545" s="36"/>
      <c r="E15545" s="1"/>
      <c r="F15545" s="1"/>
      <c r="G15545" s="1"/>
    </row>
    <row r="15546">
      <c r="B15546" s="36"/>
      <c r="C15546" s="36"/>
      <c r="E15546" s="1"/>
      <c r="F15546" s="1"/>
      <c r="G15546" s="1"/>
    </row>
    <row r="15547">
      <c r="B15547" s="36"/>
      <c r="C15547" s="36"/>
      <c r="E15547" s="1"/>
      <c r="F15547" s="1"/>
      <c r="G15547" s="1"/>
    </row>
    <row r="15548">
      <c r="B15548" s="36"/>
      <c r="C15548" s="36"/>
      <c r="E15548" s="1"/>
      <c r="F15548" s="1"/>
      <c r="G15548" s="1"/>
    </row>
    <row r="15549">
      <c r="B15549" s="36"/>
      <c r="C15549" s="36"/>
      <c r="E15549" s="1"/>
      <c r="F15549" s="1"/>
      <c r="G15549" s="1"/>
    </row>
    <row r="15550">
      <c r="B15550" s="36"/>
      <c r="C15550" s="36"/>
      <c r="E15550" s="1"/>
      <c r="F15550" s="1"/>
      <c r="G15550" s="1"/>
    </row>
    <row r="15551">
      <c r="B15551" s="36"/>
      <c r="C15551" s="36"/>
      <c r="E15551" s="1"/>
      <c r="F15551" s="1"/>
      <c r="G15551" s="1"/>
    </row>
    <row r="15552">
      <c r="B15552" s="36"/>
      <c r="C15552" s="36"/>
      <c r="E15552" s="1"/>
      <c r="F15552" s="1"/>
      <c r="G15552" s="1"/>
    </row>
    <row r="15553">
      <c r="B15553" s="36"/>
      <c r="C15553" s="36"/>
      <c r="E15553" s="1"/>
      <c r="F15553" s="1"/>
      <c r="G15553" s="1"/>
    </row>
    <row r="15554">
      <c r="B15554" s="36"/>
      <c r="C15554" s="36"/>
      <c r="E15554" s="1"/>
      <c r="F15554" s="1"/>
      <c r="G15554" s="1"/>
    </row>
    <row r="15555">
      <c r="B15555" s="36"/>
      <c r="C15555" s="36"/>
      <c r="E15555" s="1"/>
      <c r="F15555" s="1"/>
      <c r="G15555" s="1"/>
    </row>
    <row r="15556">
      <c r="B15556" s="36"/>
      <c r="C15556" s="36"/>
      <c r="E15556" s="1"/>
      <c r="F15556" s="1"/>
      <c r="G15556" s="1"/>
    </row>
    <row r="15557">
      <c r="B15557" s="36"/>
      <c r="C15557" s="36"/>
      <c r="E15557" s="1"/>
      <c r="F15557" s="1"/>
      <c r="G15557" s="1"/>
    </row>
    <row r="15558">
      <c r="B15558" s="36"/>
      <c r="C15558" s="36"/>
      <c r="E15558" s="1"/>
      <c r="F15558" s="1"/>
      <c r="G15558" s="1"/>
    </row>
    <row r="15559">
      <c r="B15559" s="36"/>
      <c r="C15559" s="36"/>
      <c r="E15559" s="1"/>
      <c r="F15559" s="1"/>
      <c r="G15559" s="1"/>
    </row>
    <row r="15560">
      <c r="B15560" s="36"/>
      <c r="C15560" s="36"/>
      <c r="E15560" s="1"/>
      <c r="F15560" s="1"/>
      <c r="G15560" s="1"/>
    </row>
    <row r="15561">
      <c r="B15561" s="36"/>
      <c r="C15561" s="36"/>
      <c r="E15561" s="1"/>
      <c r="F15561" s="1"/>
      <c r="G15561" s="1"/>
    </row>
    <row r="15562">
      <c r="B15562" s="36"/>
      <c r="C15562" s="36"/>
      <c r="E15562" s="1"/>
      <c r="F15562" s="1"/>
      <c r="G15562" s="1"/>
    </row>
    <row r="15563">
      <c r="B15563" s="36"/>
      <c r="C15563" s="36"/>
      <c r="E15563" s="1"/>
      <c r="F15563" s="1"/>
      <c r="G15563" s="1"/>
    </row>
    <row r="15564">
      <c r="B15564" s="36"/>
      <c r="C15564" s="36"/>
      <c r="E15564" s="1"/>
      <c r="F15564" s="1"/>
      <c r="G15564" s="1"/>
    </row>
    <row r="15565">
      <c r="B15565" s="36"/>
      <c r="C15565" s="36"/>
      <c r="E15565" s="1"/>
      <c r="F15565" s="1"/>
      <c r="G15565" s="1"/>
    </row>
    <row r="15566">
      <c r="B15566" s="36"/>
      <c r="C15566" s="36"/>
      <c r="E15566" s="1"/>
      <c r="F15566" s="1"/>
      <c r="G15566" s="1"/>
    </row>
    <row r="15567">
      <c r="B15567" s="36"/>
      <c r="C15567" s="36"/>
      <c r="E15567" s="1"/>
      <c r="F15567" s="1"/>
      <c r="G15567" s="1"/>
    </row>
    <row r="15568">
      <c r="B15568" s="36"/>
      <c r="C15568" s="36"/>
      <c r="E15568" s="1"/>
      <c r="F15568" s="1"/>
      <c r="G15568" s="1"/>
    </row>
    <row r="15569">
      <c r="B15569" s="36"/>
      <c r="C15569" s="36"/>
      <c r="E15569" s="1"/>
      <c r="F15569" s="1"/>
      <c r="G15569" s="1"/>
    </row>
    <row r="15570">
      <c r="B15570" s="36"/>
      <c r="C15570" s="36"/>
      <c r="E15570" s="1"/>
      <c r="F15570" s="1"/>
      <c r="G15570" s="1"/>
    </row>
    <row r="15571">
      <c r="B15571" s="36"/>
      <c r="C15571" s="36"/>
      <c r="E15571" s="1"/>
      <c r="F15571" s="1"/>
      <c r="G15571" s="1"/>
    </row>
    <row r="15572">
      <c r="B15572" s="36"/>
      <c r="C15572" s="36"/>
      <c r="E15572" s="1"/>
      <c r="F15572" s="1"/>
      <c r="G15572" s="1"/>
    </row>
    <row r="15573">
      <c r="B15573" s="36"/>
      <c r="C15573" s="36"/>
      <c r="E15573" s="1"/>
      <c r="F15573" s="1"/>
      <c r="G15573" s="1"/>
    </row>
    <row r="15574">
      <c r="B15574" s="36"/>
      <c r="C15574" s="36"/>
      <c r="E15574" s="1"/>
      <c r="F15574" s="1"/>
      <c r="G15574" s="1"/>
    </row>
    <row r="15575">
      <c r="B15575" s="36"/>
      <c r="C15575" s="36"/>
      <c r="E15575" s="1"/>
      <c r="F15575" s="1"/>
      <c r="G15575" s="1"/>
    </row>
    <row r="15576">
      <c r="B15576" s="36"/>
      <c r="C15576" s="36"/>
      <c r="E15576" s="1"/>
      <c r="F15576" s="1"/>
      <c r="G15576" s="1"/>
    </row>
    <row r="15577">
      <c r="B15577" s="36"/>
      <c r="C15577" s="36"/>
      <c r="E15577" s="1"/>
      <c r="F15577" s="1"/>
      <c r="G15577" s="1"/>
    </row>
    <row r="15578">
      <c r="B15578" s="36"/>
      <c r="C15578" s="36"/>
      <c r="E15578" s="1"/>
      <c r="F15578" s="1"/>
      <c r="G15578" s="1"/>
    </row>
    <row r="15579">
      <c r="B15579" s="36"/>
      <c r="C15579" s="36"/>
      <c r="E15579" s="1"/>
      <c r="F15579" s="1"/>
      <c r="G15579" s="1"/>
    </row>
    <row r="15580">
      <c r="B15580" s="36"/>
      <c r="C15580" s="36"/>
      <c r="E15580" s="1"/>
      <c r="F15580" s="1"/>
      <c r="G15580" s="1"/>
    </row>
    <row r="15581">
      <c r="B15581" s="36"/>
      <c r="C15581" s="36"/>
      <c r="E15581" s="1"/>
      <c r="F15581" s="1"/>
      <c r="G15581" s="1"/>
    </row>
    <row r="15582">
      <c r="B15582" s="36"/>
      <c r="C15582" s="36"/>
      <c r="E15582" s="1"/>
      <c r="F15582" s="1"/>
      <c r="G15582" s="1"/>
    </row>
    <row r="15583">
      <c r="B15583" s="36"/>
      <c r="C15583" s="36"/>
      <c r="E15583" s="1"/>
      <c r="F15583" s="1"/>
      <c r="G15583" s="1"/>
    </row>
    <row r="15584">
      <c r="B15584" s="36"/>
      <c r="C15584" s="36"/>
      <c r="E15584" s="1"/>
      <c r="F15584" s="1"/>
      <c r="G15584" s="1"/>
    </row>
    <row r="15585">
      <c r="B15585" s="36"/>
      <c r="C15585" s="36"/>
      <c r="E15585" s="1"/>
      <c r="F15585" s="1"/>
      <c r="G15585" s="1"/>
    </row>
    <row r="15586">
      <c r="B15586" s="36"/>
      <c r="C15586" s="36"/>
      <c r="E15586" s="1"/>
      <c r="F15586" s="1"/>
      <c r="G15586" s="1"/>
    </row>
    <row r="15587">
      <c r="B15587" s="36"/>
      <c r="C15587" s="36"/>
      <c r="E15587" s="1"/>
      <c r="F15587" s="1"/>
      <c r="G15587" s="1"/>
    </row>
    <row r="15588">
      <c r="B15588" s="36"/>
      <c r="C15588" s="36"/>
      <c r="E15588" s="1"/>
      <c r="F15588" s="1"/>
      <c r="G15588" s="1"/>
    </row>
    <row r="15589">
      <c r="B15589" s="36"/>
      <c r="C15589" s="36"/>
      <c r="E15589" s="1"/>
      <c r="F15589" s="1"/>
      <c r="G15589" s="1"/>
    </row>
    <row r="15590">
      <c r="B15590" s="36"/>
      <c r="C15590" s="36"/>
      <c r="E15590" s="1"/>
      <c r="F15590" s="1"/>
      <c r="G15590" s="1"/>
    </row>
    <row r="15591">
      <c r="B15591" s="36"/>
      <c r="C15591" s="36"/>
      <c r="E15591" s="1"/>
      <c r="F15591" s="1"/>
      <c r="G15591" s="1"/>
    </row>
    <row r="15592">
      <c r="B15592" s="36"/>
      <c r="C15592" s="36"/>
      <c r="E15592" s="1"/>
      <c r="F15592" s="1"/>
      <c r="G15592" s="1"/>
    </row>
    <row r="15593">
      <c r="B15593" s="36"/>
      <c r="C15593" s="36"/>
      <c r="E15593" s="1"/>
      <c r="F15593" s="1"/>
      <c r="G15593" s="1"/>
    </row>
    <row r="15594">
      <c r="B15594" s="36"/>
      <c r="C15594" s="36"/>
      <c r="E15594" s="1"/>
      <c r="F15594" s="1"/>
      <c r="G15594" s="1"/>
    </row>
    <row r="15595">
      <c r="B15595" s="36"/>
      <c r="C15595" s="36"/>
      <c r="E15595" s="1"/>
      <c r="F15595" s="1"/>
      <c r="G15595" s="1"/>
    </row>
    <row r="15596">
      <c r="B15596" s="36"/>
      <c r="C15596" s="36"/>
      <c r="E15596" s="1"/>
      <c r="F15596" s="1"/>
      <c r="G15596" s="1"/>
    </row>
    <row r="15597">
      <c r="B15597" s="36"/>
      <c r="C15597" s="36"/>
      <c r="E15597" s="1"/>
      <c r="F15597" s="1"/>
      <c r="G15597" s="1"/>
    </row>
    <row r="15598">
      <c r="B15598" s="36"/>
      <c r="C15598" s="36"/>
      <c r="E15598" s="1"/>
      <c r="F15598" s="1"/>
      <c r="G15598" s="1"/>
    </row>
    <row r="15599">
      <c r="B15599" s="36"/>
      <c r="C15599" s="36"/>
      <c r="E15599" s="1"/>
      <c r="F15599" s="1"/>
      <c r="G15599" s="1"/>
    </row>
    <row r="15600">
      <c r="B15600" s="36"/>
      <c r="C15600" s="36"/>
      <c r="E15600" s="1"/>
      <c r="F15600" s="1"/>
      <c r="G15600" s="1"/>
    </row>
    <row r="15601">
      <c r="B15601" s="36"/>
      <c r="C15601" s="36"/>
      <c r="E15601" s="1"/>
      <c r="F15601" s="1"/>
      <c r="G15601" s="1"/>
    </row>
    <row r="15602">
      <c r="B15602" s="36"/>
      <c r="C15602" s="36"/>
      <c r="E15602" s="1"/>
      <c r="F15602" s="1"/>
      <c r="G15602" s="1"/>
    </row>
    <row r="15603">
      <c r="B15603" s="36"/>
      <c r="C15603" s="36"/>
      <c r="E15603" s="1"/>
      <c r="F15603" s="1"/>
      <c r="G15603" s="1"/>
    </row>
    <row r="15604">
      <c r="B15604" s="36"/>
      <c r="C15604" s="36"/>
      <c r="E15604" s="1"/>
      <c r="F15604" s="1"/>
      <c r="G15604" s="1"/>
    </row>
    <row r="15605">
      <c r="B15605" s="36"/>
      <c r="C15605" s="36"/>
      <c r="E15605" s="1"/>
      <c r="F15605" s="1"/>
      <c r="G15605" s="1"/>
    </row>
    <row r="15606">
      <c r="B15606" s="36"/>
      <c r="C15606" s="36"/>
      <c r="E15606" s="1"/>
      <c r="F15606" s="1"/>
      <c r="G15606" s="1"/>
    </row>
    <row r="15607">
      <c r="B15607" s="36"/>
      <c r="C15607" s="36"/>
      <c r="E15607" s="1"/>
      <c r="F15607" s="1"/>
      <c r="G15607" s="1"/>
    </row>
    <row r="15608">
      <c r="B15608" s="36"/>
      <c r="C15608" s="36"/>
      <c r="E15608" s="1"/>
      <c r="F15608" s="1"/>
      <c r="G15608" s="1"/>
    </row>
    <row r="15609">
      <c r="B15609" s="36"/>
      <c r="C15609" s="36"/>
      <c r="E15609" s="1"/>
      <c r="F15609" s="1"/>
      <c r="G15609" s="1"/>
    </row>
    <row r="15610">
      <c r="B15610" s="36"/>
      <c r="C15610" s="36"/>
      <c r="E15610" s="1"/>
      <c r="F15610" s="1"/>
      <c r="G15610" s="1"/>
    </row>
    <row r="15611">
      <c r="B15611" s="36"/>
      <c r="C15611" s="36"/>
      <c r="E15611" s="1"/>
      <c r="F15611" s="1"/>
      <c r="G15611" s="1"/>
    </row>
    <row r="15612">
      <c r="B15612" s="36"/>
      <c r="C15612" s="36"/>
      <c r="E15612" s="1"/>
      <c r="F15612" s="1"/>
      <c r="G15612" s="1"/>
    </row>
    <row r="15613">
      <c r="B15613" s="36"/>
      <c r="C15613" s="36"/>
      <c r="E15613" s="1"/>
      <c r="F15613" s="1"/>
      <c r="G15613" s="1"/>
    </row>
    <row r="15614">
      <c r="B15614" s="36"/>
      <c r="C15614" s="36"/>
      <c r="E15614" s="1"/>
      <c r="F15614" s="1"/>
      <c r="G15614" s="1"/>
    </row>
    <row r="15615">
      <c r="B15615" s="36"/>
      <c r="C15615" s="36"/>
      <c r="E15615" s="1"/>
      <c r="F15615" s="1"/>
      <c r="G15615" s="1"/>
    </row>
    <row r="15616">
      <c r="B15616" s="36"/>
      <c r="C15616" s="36"/>
      <c r="E15616" s="1"/>
      <c r="F15616" s="1"/>
      <c r="G15616" s="1"/>
    </row>
    <row r="15617">
      <c r="B15617" s="36"/>
      <c r="C15617" s="36"/>
      <c r="E15617" s="1"/>
      <c r="F15617" s="1"/>
      <c r="G15617" s="1"/>
    </row>
    <row r="15618">
      <c r="B15618" s="36"/>
      <c r="C15618" s="36"/>
      <c r="E15618" s="1"/>
      <c r="F15618" s="1"/>
      <c r="G15618" s="1"/>
    </row>
    <row r="15619">
      <c r="B15619" s="36"/>
      <c r="C15619" s="36"/>
      <c r="E15619" s="1"/>
      <c r="F15619" s="1"/>
      <c r="G15619" s="1"/>
    </row>
    <row r="15620">
      <c r="B15620" s="36"/>
      <c r="C15620" s="36"/>
      <c r="E15620" s="1"/>
      <c r="F15620" s="1"/>
      <c r="G15620" s="1"/>
    </row>
    <row r="15621">
      <c r="B15621" s="36"/>
      <c r="C15621" s="36"/>
      <c r="E15621" s="1"/>
      <c r="F15621" s="1"/>
      <c r="G15621" s="1"/>
    </row>
    <row r="15622">
      <c r="B15622" s="36"/>
      <c r="C15622" s="36"/>
      <c r="E15622" s="1"/>
      <c r="F15622" s="1"/>
      <c r="G15622" s="1"/>
    </row>
    <row r="15623">
      <c r="B15623" s="36"/>
      <c r="C15623" s="36"/>
      <c r="E15623" s="1"/>
      <c r="F15623" s="1"/>
      <c r="G15623" s="1"/>
    </row>
    <row r="15624">
      <c r="B15624" s="36"/>
      <c r="C15624" s="36"/>
      <c r="E15624" s="1"/>
      <c r="F15624" s="1"/>
      <c r="G15624" s="1"/>
    </row>
    <row r="15625">
      <c r="B15625" s="36"/>
      <c r="C15625" s="36"/>
      <c r="E15625" s="1"/>
      <c r="F15625" s="1"/>
      <c r="G15625" s="1"/>
    </row>
    <row r="15626">
      <c r="B15626" s="36"/>
      <c r="C15626" s="36"/>
      <c r="E15626" s="1"/>
      <c r="F15626" s="1"/>
      <c r="G15626" s="1"/>
    </row>
    <row r="15627">
      <c r="B15627" s="36"/>
      <c r="C15627" s="36"/>
      <c r="E15627" s="1"/>
      <c r="F15627" s="1"/>
      <c r="G15627" s="1"/>
    </row>
    <row r="15628">
      <c r="B15628" s="36"/>
      <c r="C15628" s="36"/>
      <c r="E15628" s="1"/>
      <c r="F15628" s="1"/>
      <c r="G15628" s="1"/>
    </row>
    <row r="15629">
      <c r="B15629" s="36"/>
      <c r="C15629" s="36"/>
      <c r="E15629" s="1"/>
      <c r="F15629" s="1"/>
      <c r="G15629" s="1"/>
    </row>
    <row r="15630">
      <c r="B15630" s="36"/>
      <c r="C15630" s="36"/>
      <c r="E15630" s="1"/>
      <c r="F15630" s="1"/>
      <c r="G15630" s="1"/>
    </row>
    <row r="15631">
      <c r="B15631" s="36"/>
      <c r="C15631" s="36"/>
      <c r="E15631" s="1"/>
      <c r="F15631" s="1"/>
      <c r="G15631" s="1"/>
    </row>
    <row r="15632">
      <c r="B15632" s="36"/>
      <c r="C15632" s="36"/>
      <c r="E15632" s="1"/>
      <c r="F15632" s="1"/>
      <c r="G15632" s="1"/>
    </row>
    <row r="15633">
      <c r="B15633" s="36"/>
      <c r="C15633" s="36"/>
      <c r="E15633" s="1"/>
      <c r="F15633" s="1"/>
      <c r="G15633" s="1"/>
    </row>
    <row r="15634">
      <c r="B15634" s="36"/>
      <c r="C15634" s="36"/>
      <c r="E15634" s="1"/>
      <c r="F15634" s="1"/>
      <c r="G15634" s="1"/>
    </row>
    <row r="15635">
      <c r="B15635" s="36"/>
      <c r="C15635" s="36"/>
      <c r="E15635" s="1"/>
      <c r="F15635" s="1"/>
      <c r="G15635" s="1"/>
    </row>
    <row r="15636">
      <c r="B15636" s="36"/>
      <c r="C15636" s="36"/>
      <c r="E15636" s="1"/>
      <c r="F15636" s="1"/>
      <c r="G15636" s="1"/>
    </row>
    <row r="15637">
      <c r="B15637" s="36"/>
      <c r="C15637" s="36"/>
      <c r="E15637" s="1"/>
      <c r="F15637" s="1"/>
      <c r="G15637" s="1"/>
    </row>
    <row r="15638">
      <c r="B15638" s="36"/>
      <c r="C15638" s="36"/>
      <c r="E15638" s="1"/>
      <c r="F15638" s="1"/>
      <c r="G15638" s="1"/>
    </row>
    <row r="15639">
      <c r="B15639" s="36"/>
      <c r="C15639" s="36"/>
      <c r="E15639" s="1"/>
      <c r="F15639" s="1"/>
      <c r="G15639" s="1"/>
    </row>
    <row r="15640">
      <c r="B15640" s="36"/>
      <c r="C15640" s="36"/>
      <c r="E15640" s="1"/>
      <c r="F15640" s="1"/>
      <c r="G15640" s="1"/>
    </row>
    <row r="15641">
      <c r="B15641" s="36"/>
      <c r="C15641" s="36"/>
      <c r="E15641" s="1"/>
      <c r="F15641" s="1"/>
      <c r="G15641" s="1"/>
    </row>
    <row r="15642">
      <c r="B15642" s="36"/>
      <c r="C15642" s="36"/>
      <c r="E15642" s="1"/>
      <c r="F15642" s="1"/>
      <c r="G15642" s="1"/>
    </row>
    <row r="15643">
      <c r="B15643" s="36"/>
      <c r="C15643" s="36"/>
      <c r="E15643" s="1"/>
      <c r="F15643" s="1"/>
      <c r="G15643" s="1"/>
    </row>
    <row r="15644">
      <c r="B15644" s="36"/>
      <c r="C15644" s="36"/>
      <c r="E15644" s="1"/>
      <c r="F15644" s="1"/>
      <c r="G15644" s="1"/>
    </row>
    <row r="15645">
      <c r="B15645" s="36"/>
      <c r="C15645" s="36"/>
      <c r="E15645" s="1"/>
      <c r="F15645" s="1"/>
      <c r="G15645" s="1"/>
    </row>
    <row r="15646">
      <c r="B15646" s="36"/>
      <c r="C15646" s="36"/>
      <c r="E15646" s="1"/>
      <c r="F15646" s="1"/>
      <c r="G15646" s="1"/>
    </row>
    <row r="15647">
      <c r="B15647" s="36"/>
      <c r="C15647" s="36"/>
      <c r="E15647" s="1"/>
      <c r="F15647" s="1"/>
      <c r="G15647" s="1"/>
    </row>
    <row r="15648">
      <c r="B15648" s="36"/>
      <c r="C15648" s="36"/>
      <c r="E15648" s="1"/>
      <c r="F15648" s="1"/>
      <c r="G15648" s="1"/>
    </row>
    <row r="15649">
      <c r="B15649" s="36"/>
      <c r="C15649" s="36"/>
      <c r="E15649" s="1"/>
      <c r="F15649" s="1"/>
      <c r="G15649" s="1"/>
    </row>
    <row r="15650">
      <c r="B15650" s="36"/>
      <c r="C15650" s="36"/>
      <c r="E15650" s="1"/>
      <c r="F15650" s="1"/>
      <c r="G15650" s="1"/>
    </row>
    <row r="15651">
      <c r="B15651" s="36"/>
      <c r="C15651" s="36"/>
      <c r="E15651" s="1"/>
      <c r="F15651" s="1"/>
      <c r="G15651" s="1"/>
    </row>
    <row r="15652">
      <c r="B15652" s="36"/>
      <c r="C15652" s="36"/>
      <c r="E15652" s="1"/>
      <c r="F15652" s="1"/>
      <c r="G15652" s="1"/>
    </row>
    <row r="15653">
      <c r="B15653" s="36"/>
      <c r="C15653" s="36"/>
      <c r="E15653" s="1"/>
      <c r="F15653" s="1"/>
      <c r="G15653" s="1"/>
    </row>
    <row r="15654">
      <c r="B15654" s="36"/>
      <c r="C15654" s="36"/>
      <c r="E15654" s="1"/>
      <c r="F15654" s="1"/>
      <c r="G15654" s="1"/>
    </row>
    <row r="15655">
      <c r="B15655" s="36"/>
      <c r="C15655" s="36"/>
      <c r="E15655" s="1"/>
      <c r="F15655" s="1"/>
      <c r="G15655" s="1"/>
    </row>
    <row r="15656">
      <c r="B15656" s="36"/>
      <c r="C15656" s="36"/>
      <c r="E15656" s="1"/>
      <c r="F15656" s="1"/>
      <c r="G15656" s="1"/>
    </row>
    <row r="15657">
      <c r="B15657" s="36"/>
      <c r="C15657" s="36"/>
      <c r="E15657" s="1"/>
      <c r="F15657" s="1"/>
      <c r="G15657" s="1"/>
    </row>
    <row r="15658">
      <c r="B15658" s="36"/>
      <c r="C15658" s="36"/>
      <c r="E15658" s="1"/>
      <c r="F15658" s="1"/>
      <c r="G15658" s="1"/>
    </row>
    <row r="15659">
      <c r="B15659" s="36"/>
      <c r="C15659" s="36"/>
      <c r="E15659" s="1"/>
      <c r="F15659" s="1"/>
      <c r="G15659" s="1"/>
    </row>
    <row r="15660">
      <c r="B15660" s="36"/>
      <c r="C15660" s="36"/>
      <c r="E15660" s="1"/>
      <c r="F15660" s="1"/>
      <c r="G15660" s="1"/>
    </row>
    <row r="15661">
      <c r="B15661" s="36"/>
      <c r="C15661" s="36"/>
      <c r="E15661" s="1"/>
      <c r="F15661" s="1"/>
      <c r="G15661" s="1"/>
    </row>
    <row r="15662">
      <c r="B15662" s="36"/>
      <c r="C15662" s="36"/>
      <c r="E15662" s="1"/>
      <c r="F15662" s="1"/>
      <c r="G15662" s="1"/>
    </row>
    <row r="15663">
      <c r="B15663" s="36"/>
      <c r="C15663" s="36"/>
      <c r="E15663" s="1"/>
      <c r="F15663" s="1"/>
      <c r="G15663" s="1"/>
    </row>
    <row r="15664">
      <c r="B15664" s="36"/>
      <c r="C15664" s="36"/>
      <c r="E15664" s="1"/>
      <c r="F15664" s="1"/>
      <c r="G15664" s="1"/>
    </row>
    <row r="15665">
      <c r="B15665" s="36"/>
      <c r="C15665" s="36"/>
      <c r="E15665" s="1"/>
      <c r="F15665" s="1"/>
      <c r="G15665" s="1"/>
    </row>
    <row r="15666">
      <c r="B15666" s="36"/>
      <c r="C15666" s="36"/>
      <c r="E15666" s="1"/>
      <c r="F15666" s="1"/>
      <c r="G15666" s="1"/>
    </row>
    <row r="15667">
      <c r="B15667" s="36"/>
      <c r="C15667" s="36"/>
      <c r="E15667" s="1"/>
      <c r="F15667" s="1"/>
      <c r="G15667" s="1"/>
    </row>
    <row r="15668">
      <c r="B15668" s="36"/>
      <c r="C15668" s="36"/>
      <c r="E15668" s="1"/>
      <c r="F15668" s="1"/>
      <c r="G15668" s="1"/>
    </row>
    <row r="15669">
      <c r="B15669" s="36"/>
      <c r="C15669" s="36"/>
      <c r="E15669" s="1"/>
      <c r="F15669" s="1"/>
      <c r="G15669" s="1"/>
    </row>
    <row r="15670">
      <c r="B15670" s="36"/>
      <c r="C15670" s="36"/>
      <c r="E15670" s="1"/>
      <c r="F15670" s="1"/>
      <c r="G15670" s="1"/>
    </row>
    <row r="15671">
      <c r="B15671" s="36"/>
      <c r="C15671" s="36"/>
      <c r="E15671" s="1"/>
      <c r="F15671" s="1"/>
      <c r="G15671" s="1"/>
    </row>
    <row r="15672">
      <c r="B15672" s="36"/>
      <c r="C15672" s="36"/>
      <c r="E15672" s="1"/>
      <c r="F15672" s="1"/>
      <c r="G15672" s="1"/>
    </row>
    <row r="15673">
      <c r="B15673" s="36"/>
      <c r="C15673" s="36"/>
      <c r="E15673" s="1"/>
      <c r="F15673" s="1"/>
      <c r="G15673" s="1"/>
    </row>
    <row r="15674">
      <c r="B15674" s="36"/>
      <c r="C15674" s="36"/>
      <c r="E15674" s="1"/>
      <c r="F15674" s="1"/>
      <c r="G15674" s="1"/>
    </row>
    <row r="15675">
      <c r="B15675" s="36"/>
      <c r="C15675" s="36"/>
      <c r="E15675" s="1"/>
      <c r="F15675" s="1"/>
      <c r="G15675" s="1"/>
    </row>
    <row r="15676">
      <c r="B15676" s="36"/>
      <c r="C15676" s="36"/>
      <c r="E15676" s="1"/>
      <c r="F15676" s="1"/>
      <c r="G15676" s="1"/>
    </row>
    <row r="15677">
      <c r="B15677" s="36"/>
      <c r="C15677" s="36"/>
      <c r="E15677" s="1"/>
      <c r="F15677" s="1"/>
      <c r="G15677" s="1"/>
    </row>
    <row r="15678">
      <c r="B15678" s="36"/>
      <c r="C15678" s="36"/>
      <c r="E15678" s="1"/>
      <c r="F15678" s="1"/>
      <c r="G15678" s="1"/>
    </row>
    <row r="15679">
      <c r="B15679" s="36"/>
      <c r="C15679" s="36"/>
      <c r="E15679" s="1"/>
      <c r="F15679" s="1"/>
      <c r="G15679" s="1"/>
    </row>
    <row r="15680">
      <c r="B15680" s="36"/>
      <c r="C15680" s="36"/>
      <c r="E15680" s="1"/>
      <c r="F15680" s="1"/>
      <c r="G15680" s="1"/>
    </row>
    <row r="15681">
      <c r="B15681" s="36"/>
      <c r="C15681" s="36"/>
      <c r="E15681" s="1"/>
      <c r="F15681" s="1"/>
      <c r="G15681" s="1"/>
    </row>
    <row r="15682">
      <c r="B15682" s="36"/>
      <c r="C15682" s="36"/>
      <c r="E15682" s="1"/>
      <c r="F15682" s="1"/>
      <c r="G15682" s="1"/>
    </row>
    <row r="15683">
      <c r="B15683" s="36"/>
      <c r="C15683" s="36"/>
      <c r="E15683" s="1"/>
      <c r="F15683" s="1"/>
      <c r="G15683" s="1"/>
    </row>
    <row r="15684">
      <c r="B15684" s="36"/>
      <c r="C15684" s="36"/>
      <c r="E15684" s="1"/>
      <c r="F15684" s="1"/>
      <c r="G15684" s="1"/>
    </row>
    <row r="15685">
      <c r="B15685" s="36"/>
      <c r="C15685" s="36"/>
      <c r="E15685" s="1"/>
      <c r="F15685" s="1"/>
      <c r="G15685" s="1"/>
    </row>
    <row r="15686">
      <c r="B15686" s="36"/>
      <c r="C15686" s="36"/>
      <c r="E15686" s="1"/>
      <c r="F15686" s="1"/>
      <c r="G15686" s="1"/>
    </row>
    <row r="15687">
      <c r="B15687" s="36"/>
      <c r="C15687" s="36"/>
      <c r="E15687" s="1"/>
      <c r="F15687" s="1"/>
      <c r="G15687" s="1"/>
    </row>
    <row r="15688">
      <c r="B15688" s="36"/>
      <c r="C15688" s="36"/>
      <c r="E15688" s="1"/>
      <c r="F15688" s="1"/>
      <c r="G15688" s="1"/>
    </row>
    <row r="15689">
      <c r="B15689" s="36"/>
      <c r="C15689" s="36"/>
      <c r="E15689" s="1"/>
      <c r="F15689" s="1"/>
      <c r="G15689" s="1"/>
    </row>
    <row r="15690">
      <c r="B15690" s="36"/>
      <c r="C15690" s="36"/>
      <c r="E15690" s="1"/>
      <c r="F15690" s="1"/>
      <c r="G15690" s="1"/>
    </row>
    <row r="15691">
      <c r="B15691" s="36"/>
      <c r="C15691" s="36"/>
      <c r="E15691" s="1"/>
      <c r="F15691" s="1"/>
      <c r="G15691" s="1"/>
    </row>
    <row r="15692">
      <c r="B15692" s="36"/>
      <c r="C15692" s="36"/>
      <c r="E15692" s="1"/>
      <c r="F15692" s="1"/>
      <c r="G15692" s="1"/>
    </row>
    <row r="15693">
      <c r="B15693" s="36"/>
      <c r="C15693" s="36"/>
      <c r="E15693" s="1"/>
      <c r="F15693" s="1"/>
      <c r="G15693" s="1"/>
    </row>
    <row r="15694">
      <c r="B15694" s="36"/>
      <c r="C15694" s="36"/>
      <c r="E15694" s="1"/>
      <c r="F15694" s="1"/>
      <c r="G15694" s="1"/>
    </row>
    <row r="15695">
      <c r="B15695" s="36"/>
      <c r="C15695" s="36"/>
      <c r="E15695" s="1"/>
      <c r="F15695" s="1"/>
      <c r="G15695" s="1"/>
    </row>
    <row r="15696">
      <c r="B15696" s="36"/>
      <c r="C15696" s="36"/>
      <c r="E15696" s="1"/>
      <c r="F15696" s="1"/>
      <c r="G15696" s="1"/>
    </row>
    <row r="15697">
      <c r="B15697" s="36"/>
      <c r="C15697" s="36"/>
      <c r="E15697" s="1"/>
      <c r="F15697" s="1"/>
      <c r="G15697" s="1"/>
    </row>
    <row r="15698">
      <c r="B15698" s="36"/>
      <c r="C15698" s="36"/>
      <c r="E15698" s="1"/>
      <c r="F15698" s="1"/>
      <c r="G15698" s="1"/>
    </row>
    <row r="15699">
      <c r="B15699" s="36"/>
      <c r="C15699" s="36"/>
      <c r="E15699" s="1"/>
      <c r="F15699" s="1"/>
      <c r="G15699" s="1"/>
    </row>
    <row r="15700">
      <c r="B15700" s="36"/>
      <c r="C15700" s="36"/>
      <c r="E15700" s="1"/>
      <c r="F15700" s="1"/>
      <c r="G15700" s="1"/>
    </row>
    <row r="15701">
      <c r="B15701" s="36"/>
      <c r="C15701" s="36"/>
      <c r="E15701" s="1"/>
      <c r="F15701" s="1"/>
      <c r="G15701" s="1"/>
    </row>
    <row r="15702">
      <c r="B15702" s="36"/>
      <c r="C15702" s="36"/>
      <c r="E15702" s="1"/>
      <c r="F15702" s="1"/>
      <c r="G15702" s="1"/>
    </row>
    <row r="15703">
      <c r="B15703" s="36"/>
      <c r="C15703" s="36"/>
      <c r="E15703" s="1"/>
      <c r="F15703" s="1"/>
      <c r="G15703" s="1"/>
    </row>
    <row r="15704">
      <c r="B15704" s="36"/>
      <c r="C15704" s="36"/>
      <c r="E15704" s="1"/>
      <c r="F15704" s="1"/>
      <c r="G15704" s="1"/>
    </row>
    <row r="15705">
      <c r="B15705" s="36"/>
      <c r="C15705" s="36"/>
      <c r="E15705" s="1"/>
      <c r="F15705" s="1"/>
      <c r="G15705" s="1"/>
    </row>
    <row r="15706">
      <c r="B15706" s="36"/>
      <c r="C15706" s="36"/>
      <c r="E15706" s="1"/>
      <c r="F15706" s="1"/>
      <c r="G15706" s="1"/>
    </row>
    <row r="15707">
      <c r="B15707" s="36"/>
      <c r="C15707" s="36"/>
      <c r="E15707" s="1"/>
      <c r="F15707" s="1"/>
      <c r="G15707" s="1"/>
    </row>
    <row r="15708">
      <c r="B15708" s="36"/>
      <c r="C15708" s="36"/>
      <c r="E15708" s="1"/>
      <c r="F15708" s="1"/>
      <c r="G15708" s="1"/>
    </row>
    <row r="15709">
      <c r="B15709" s="36"/>
      <c r="C15709" s="36"/>
      <c r="E15709" s="1"/>
      <c r="F15709" s="1"/>
      <c r="G15709" s="1"/>
    </row>
    <row r="15710">
      <c r="B15710" s="36"/>
      <c r="C15710" s="36"/>
      <c r="E15710" s="1"/>
      <c r="F15710" s="1"/>
      <c r="G15710" s="1"/>
    </row>
    <row r="15711">
      <c r="B15711" s="36"/>
      <c r="C15711" s="36"/>
      <c r="E15711" s="1"/>
      <c r="F15711" s="1"/>
      <c r="G15711" s="1"/>
    </row>
    <row r="15712">
      <c r="B15712" s="36"/>
      <c r="C15712" s="36"/>
      <c r="E15712" s="1"/>
      <c r="F15712" s="1"/>
      <c r="G15712" s="1"/>
    </row>
    <row r="15713">
      <c r="B15713" s="36"/>
      <c r="C15713" s="36"/>
      <c r="E15713" s="1"/>
      <c r="F15713" s="1"/>
      <c r="G15713" s="1"/>
    </row>
    <row r="15714">
      <c r="B15714" s="36"/>
      <c r="C15714" s="36"/>
      <c r="E15714" s="1"/>
      <c r="F15714" s="1"/>
      <c r="G15714" s="1"/>
    </row>
    <row r="15715">
      <c r="B15715" s="36"/>
      <c r="C15715" s="36"/>
      <c r="E15715" s="1"/>
      <c r="F15715" s="1"/>
      <c r="G15715" s="1"/>
    </row>
    <row r="15716">
      <c r="B15716" s="36"/>
      <c r="C15716" s="36"/>
      <c r="E15716" s="1"/>
      <c r="F15716" s="1"/>
      <c r="G15716" s="1"/>
    </row>
    <row r="15717">
      <c r="B15717" s="36"/>
      <c r="C15717" s="36"/>
      <c r="E15717" s="1"/>
      <c r="F15717" s="1"/>
      <c r="G15717" s="1"/>
    </row>
    <row r="15718">
      <c r="B15718" s="36"/>
      <c r="C15718" s="36"/>
      <c r="E15718" s="1"/>
      <c r="F15718" s="1"/>
      <c r="G15718" s="1"/>
    </row>
    <row r="15719">
      <c r="B15719" s="36"/>
      <c r="C15719" s="36"/>
      <c r="E15719" s="1"/>
      <c r="F15719" s="1"/>
      <c r="G15719" s="1"/>
    </row>
    <row r="15720">
      <c r="B15720" s="36"/>
      <c r="C15720" s="36"/>
      <c r="E15720" s="1"/>
      <c r="F15720" s="1"/>
      <c r="G15720" s="1"/>
    </row>
    <row r="15721">
      <c r="B15721" s="36"/>
      <c r="C15721" s="36"/>
      <c r="E15721" s="1"/>
      <c r="F15721" s="1"/>
      <c r="G15721" s="1"/>
    </row>
    <row r="15722">
      <c r="B15722" s="36"/>
      <c r="C15722" s="36"/>
      <c r="E15722" s="1"/>
      <c r="F15722" s="1"/>
      <c r="G15722" s="1"/>
    </row>
    <row r="15723">
      <c r="B15723" s="36"/>
      <c r="C15723" s="36"/>
      <c r="E15723" s="1"/>
      <c r="F15723" s="1"/>
      <c r="G15723" s="1"/>
    </row>
    <row r="15724">
      <c r="B15724" s="36"/>
      <c r="C15724" s="36"/>
      <c r="E15724" s="1"/>
      <c r="F15724" s="1"/>
      <c r="G15724" s="1"/>
    </row>
    <row r="15725">
      <c r="B15725" s="36"/>
      <c r="C15725" s="36"/>
      <c r="E15725" s="1"/>
      <c r="F15725" s="1"/>
      <c r="G15725" s="1"/>
    </row>
    <row r="15726">
      <c r="B15726" s="36"/>
      <c r="C15726" s="36"/>
      <c r="E15726" s="1"/>
      <c r="F15726" s="1"/>
      <c r="G15726" s="1"/>
    </row>
    <row r="15727">
      <c r="B15727" s="36"/>
      <c r="C15727" s="36"/>
      <c r="E15727" s="1"/>
      <c r="F15727" s="1"/>
      <c r="G15727" s="1"/>
    </row>
    <row r="15728">
      <c r="B15728" s="36"/>
      <c r="C15728" s="36"/>
      <c r="E15728" s="1"/>
      <c r="F15728" s="1"/>
      <c r="G15728" s="1"/>
    </row>
    <row r="15729">
      <c r="B15729" s="36"/>
      <c r="C15729" s="36"/>
      <c r="E15729" s="1"/>
      <c r="F15729" s="1"/>
      <c r="G15729" s="1"/>
    </row>
    <row r="15730">
      <c r="B15730" s="36"/>
      <c r="C15730" s="36"/>
      <c r="E15730" s="1"/>
      <c r="F15730" s="1"/>
      <c r="G15730" s="1"/>
    </row>
    <row r="15731">
      <c r="B15731" s="36"/>
      <c r="C15731" s="36"/>
      <c r="E15731" s="1"/>
      <c r="F15731" s="1"/>
      <c r="G15731" s="1"/>
    </row>
    <row r="15732">
      <c r="B15732" s="36"/>
      <c r="C15732" s="36"/>
      <c r="E15732" s="1"/>
      <c r="F15732" s="1"/>
      <c r="G15732" s="1"/>
    </row>
    <row r="15733">
      <c r="B15733" s="36"/>
      <c r="C15733" s="36"/>
      <c r="E15733" s="1"/>
      <c r="F15733" s="1"/>
      <c r="G15733" s="1"/>
    </row>
    <row r="15734">
      <c r="B15734" s="36"/>
      <c r="C15734" s="36"/>
      <c r="E15734" s="1"/>
      <c r="F15734" s="1"/>
      <c r="G15734" s="1"/>
    </row>
    <row r="15735">
      <c r="B15735" s="36"/>
      <c r="C15735" s="36"/>
      <c r="E15735" s="1"/>
      <c r="F15735" s="1"/>
      <c r="G15735" s="1"/>
    </row>
    <row r="15736">
      <c r="B15736" s="36"/>
      <c r="C15736" s="36"/>
      <c r="E15736" s="1"/>
      <c r="F15736" s="1"/>
      <c r="G15736" s="1"/>
    </row>
    <row r="15737">
      <c r="B15737" s="36"/>
      <c r="C15737" s="36"/>
      <c r="E15737" s="1"/>
      <c r="F15737" s="1"/>
      <c r="G15737" s="1"/>
    </row>
    <row r="15738">
      <c r="B15738" s="36"/>
      <c r="C15738" s="36"/>
      <c r="E15738" s="1"/>
      <c r="F15738" s="1"/>
      <c r="G15738" s="1"/>
    </row>
    <row r="15739">
      <c r="B15739" s="36"/>
      <c r="C15739" s="36"/>
      <c r="E15739" s="1"/>
      <c r="F15739" s="1"/>
      <c r="G15739" s="1"/>
    </row>
    <row r="15740">
      <c r="B15740" s="36"/>
      <c r="C15740" s="36"/>
      <c r="E15740" s="1"/>
      <c r="F15740" s="1"/>
      <c r="G15740" s="1"/>
    </row>
    <row r="15741">
      <c r="B15741" s="36"/>
      <c r="C15741" s="36"/>
      <c r="E15741" s="1"/>
      <c r="F15741" s="1"/>
      <c r="G15741" s="1"/>
    </row>
    <row r="15742">
      <c r="B15742" s="36"/>
      <c r="C15742" s="36"/>
      <c r="E15742" s="1"/>
      <c r="F15742" s="1"/>
      <c r="G15742" s="1"/>
    </row>
    <row r="15743">
      <c r="B15743" s="36"/>
      <c r="C15743" s="36"/>
      <c r="E15743" s="1"/>
      <c r="F15743" s="1"/>
      <c r="G15743" s="1"/>
    </row>
    <row r="15744">
      <c r="B15744" s="36"/>
      <c r="C15744" s="36"/>
      <c r="E15744" s="1"/>
      <c r="F15744" s="1"/>
      <c r="G15744" s="1"/>
    </row>
    <row r="15745">
      <c r="B15745" s="36"/>
      <c r="C15745" s="36"/>
      <c r="E15745" s="1"/>
      <c r="F15745" s="1"/>
      <c r="G15745" s="1"/>
    </row>
    <row r="15746">
      <c r="B15746" s="36"/>
      <c r="C15746" s="36"/>
      <c r="E15746" s="1"/>
      <c r="F15746" s="1"/>
      <c r="G15746" s="1"/>
    </row>
    <row r="15747">
      <c r="B15747" s="36"/>
      <c r="C15747" s="36"/>
      <c r="E15747" s="1"/>
      <c r="F15747" s="1"/>
      <c r="G15747" s="1"/>
    </row>
    <row r="15748">
      <c r="B15748" s="36"/>
      <c r="C15748" s="36"/>
      <c r="E15748" s="1"/>
      <c r="F15748" s="1"/>
      <c r="G15748" s="1"/>
    </row>
    <row r="15749">
      <c r="B15749" s="36"/>
      <c r="C15749" s="36"/>
      <c r="E15749" s="1"/>
      <c r="F15749" s="1"/>
      <c r="G15749" s="1"/>
    </row>
    <row r="15750">
      <c r="B15750" s="36"/>
      <c r="C15750" s="36"/>
      <c r="E15750" s="1"/>
      <c r="F15750" s="1"/>
      <c r="G15750" s="1"/>
    </row>
    <row r="15751">
      <c r="B15751" s="36"/>
      <c r="C15751" s="36"/>
      <c r="E15751" s="1"/>
      <c r="F15751" s="1"/>
      <c r="G15751" s="1"/>
    </row>
    <row r="15752">
      <c r="B15752" s="36"/>
      <c r="C15752" s="36"/>
      <c r="E15752" s="1"/>
      <c r="F15752" s="1"/>
      <c r="G15752" s="1"/>
    </row>
    <row r="15753">
      <c r="B15753" s="36"/>
      <c r="C15753" s="36"/>
      <c r="E15753" s="1"/>
      <c r="F15753" s="1"/>
      <c r="G15753" s="1"/>
    </row>
    <row r="15754">
      <c r="B15754" s="36"/>
      <c r="C15754" s="36"/>
      <c r="E15754" s="1"/>
      <c r="F15754" s="1"/>
      <c r="G15754" s="1"/>
    </row>
    <row r="15755">
      <c r="B15755" s="36"/>
      <c r="C15755" s="36"/>
      <c r="E15755" s="1"/>
      <c r="F15755" s="1"/>
      <c r="G15755" s="1"/>
    </row>
    <row r="15756">
      <c r="B15756" s="36"/>
      <c r="C15756" s="36"/>
      <c r="E15756" s="1"/>
      <c r="F15756" s="1"/>
      <c r="G15756" s="1"/>
    </row>
    <row r="15757">
      <c r="B15757" s="36"/>
      <c r="C15757" s="36"/>
      <c r="E15757" s="1"/>
      <c r="F15757" s="1"/>
      <c r="G15757" s="1"/>
    </row>
    <row r="15758">
      <c r="B15758" s="36"/>
      <c r="C15758" s="36"/>
      <c r="E15758" s="1"/>
      <c r="F15758" s="1"/>
      <c r="G15758" s="1"/>
    </row>
    <row r="15759">
      <c r="B15759" s="36"/>
      <c r="C15759" s="36"/>
      <c r="E15759" s="1"/>
      <c r="F15759" s="1"/>
      <c r="G15759" s="1"/>
    </row>
    <row r="15760">
      <c r="B15760" s="36"/>
      <c r="C15760" s="36"/>
      <c r="E15760" s="1"/>
      <c r="F15760" s="1"/>
      <c r="G15760" s="1"/>
    </row>
    <row r="15761">
      <c r="B15761" s="36"/>
      <c r="C15761" s="36"/>
      <c r="E15761" s="1"/>
      <c r="F15761" s="1"/>
      <c r="G15761" s="1"/>
    </row>
    <row r="15762">
      <c r="B15762" s="36"/>
      <c r="C15762" s="36"/>
      <c r="E15762" s="1"/>
      <c r="F15762" s="1"/>
      <c r="G15762" s="1"/>
    </row>
    <row r="15763">
      <c r="B15763" s="36"/>
      <c r="C15763" s="36"/>
      <c r="E15763" s="1"/>
      <c r="F15763" s="1"/>
      <c r="G15763" s="1"/>
    </row>
    <row r="15764">
      <c r="B15764" s="36"/>
      <c r="C15764" s="36"/>
      <c r="E15764" s="1"/>
      <c r="F15764" s="1"/>
      <c r="G15764" s="1"/>
    </row>
    <row r="15765">
      <c r="B15765" s="36"/>
      <c r="C15765" s="36"/>
      <c r="E15765" s="1"/>
      <c r="F15765" s="1"/>
      <c r="G15765" s="1"/>
    </row>
    <row r="15766">
      <c r="B15766" s="36"/>
      <c r="C15766" s="36"/>
      <c r="E15766" s="1"/>
      <c r="F15766" s="1"/>
      <c r="G15766" s="1"/>
    </row>
    <row r="15767">
      <c r="B15767" s="36"/>
      <c r="C15767" s="36"/>
      <c r="E15767" s="1"/>
      <c r="F15767" s="1"/>
      <c r="G15767" s="1"/>
    </row>
    <row r="15768">
      <c r="B15768" s="36"/>
      <c r="C15768" s="36"/>
      <c r="E15768" s="1"/>
      <c r="F15768" s="1"/>
      <c r="G15768" s="1"/>
    </row>
    <row r="15769">
      <c r="B15769" s="36"/>
      <c r="C15769" s="36"/>
      <c r="E15769" s="1"/>
      <c r="F15769" s="1"/>
      <c r="G15769" s="1"/>
    </row>
    <row r="15770">
      <c r="B15770" s="36"/>
      <c r="C15770" s="36"/>
      <c r="E15770" s="1"/>
      <c r="F15770" s="1"/>
      <c r="G15770" s="1"/>
    </row>
    <row r="15771">
      <c r="B15771" s="36"/>
      <c r="C15771" s="36"/>
      <c r="E15771" s="1"/>
      <c r="F15771" s="1"/>
      <c r="G15771" s="1"/>
    </row>
    <row r="15772">
      <c r="B15772" s="36"/>
      <c r="C15772" s="36"/>
      <c r="E15772" s="1"/>
      <c r="F15772" s="1"/>
      <c r="G15772" s="1"/>
    </row>
    <row r="15773">
      <c r="B15773" s="36"/>
      <c r="C15773" s="36"/>
      <c r="E15773" s="1"/>
      <c r="F15773" s="1"/>
      <c r="G15773" s="1"/>
    </row>
    <row r="15774">
      <c r="B15774" s="36"/>
      <c r="C15774" s="36"/>
      <c r="E15774" s="1"/>
      <c r="F15774" s="1"/>
      <c r="G15774" s="1"/>
    </row>
    <row r="15775">
      <c r="B15775" s="36"/>
      <c r="C15775" s="36"/>
      <c r="E15775" s="1"/>
      <c r="F15775" s="1"/>
      <c r="G15775" s="1"/>
    </row>
    <row r="15776">
      <c r="B15776" s="36"/>
      <c r="C15776" s="36"/>
      <c r="E15776" s="1"/>
      <c r="F15776" s="1"/>
      <c r="G15776" s="1"/>
    </row>
    <row r="15777">
      <c r="B15777" s="36"/>
      <c r="C15777" s="36"/>
      <c r="E15777" s="1"/>
      <c r="F15777" s="1"/>
      <c r="G15777" s="1"/>
    </row>
    <row r="15778">
      <c r="B15778" s="36"/>
      <c r="C15778" s="36"/>
      <c r="E15778" s="1"/>
      <c r="F15778" s="1"/>
      <c r="G15778" s="1"/>
    </row>
    <row r="15779">
      <c r="B15779" s="36"/>
      <c r="C15779" s="36"/>
      <c r="E15779" s="1"/>
      <c r="F15779" s="1"/>
      <c r="G15779" s="1"/>
    </row>
    <row r="15780">
      <c r="B15780" s="36"/>
      <c r="C15780" s="36"/>
      <c r="E15780" s="1"/>
      <c r="F15780" s="1"/>
      <c r="G15780" s="1"/>
    </row>
    <row r="15781">
      <c r="B15781" s="36"/>
      <c r="C15781" s="36"/>
      <c r="E15781" s="1"/>
      <c r="F15781" s="1"/>
      <c r="G15781" s="1"/>
    </row>
    <row r="15782">
      <c r="B15782" s="36"/>
      <c r="C15782" s="36"/>
      <c r="E15782" s="1"/>
      <c r="F15782" s="1"/>
      <c r="G15782" s="1"/>
    </row>
    <row r="15783">
      <c r="B15783" s="36"/>
      <c r="C15783" s="36"/>
      <c r="E15783" s="1"/>
      <c r="F15783" s="1"/>
      <c r="G15783" s="1"/>
    </row>
    <row r="15784">
      <c r="B15784" s="36"/>
      <c r="C15784" s="36"/>
      <c r="E15784" s="1"/>
      <c r="F15784" s="1"/>
      <c r="G15784" s="1"/>
    </row>
    <row r="15785">
      <c r="B15785" s="36"/>
      <c r="C15785" s="36"/>
      <c r="E15785" s="1"/>
      <c r="F15785" s="1"/>
      <c r="G15785" s="1"/>
    </row>
    <row r="15786">
      <c r="B15786" s="36"/>
      <c r="C15786" s="36"/>
      <c r="E15786" s="1"/>
      <c r="F15786" s="1"/>
      <c r="G15786" s="1"/>
    </row>
    <row r="15787">
      <c r="B15787" s="36"/>
      <c r="C15787" s="36"/>
      <c r="E15787" s="1"/>
      <c r="F15787" s="1"/>
      <c r="G15787" s="1"/>
    </row>
    <row r="15788">
      <c r="B15788" s="36"/>
      <c r="C15788" s="36"/>
      <c r="E15788" s="1"/>
      <c r="F15788" s="1"/>
      <c r="G15788" s="1"/>
    </row>
    <row r="15789">
      <c r="B15789" s="36"/>
      <c r="C15789" s="36"/>
      <c r="E15789" s="1"/>
      <c r="F15789" s="1"/>
      <c r="G15789" s="1"/>
    </row>
    <row r="15790">
      <c r="B15790" s="36"/>
      <c r="C15790" s="36"/>
      <c r="E15790" s="1"/>
      <c r="F15790" s="1"/>
      <c r="G15790" s="1"/>
    </row>
    <row r="15791">
      <c r="B15791" s="36"/>
      <c r="C15791" s="36"/>
      <c r="E15791" s="1"/>
      <c r="F15791" s="1"/>
      <c r="G15791" s="1"/>
    </row>
    <row r="15792">
      <c r="B15792" s="36"/>
      <c r="C15792" s="36"/>
      <c r="E15792" s="1"/>
      <c r="F15792" s="1"/>
      <c r="G15792" s="1"/>
    </row>
    <row r="15793">
      <c r="B15793" s="36"/>
      <c r="C15793" s="36"/>
      <c r="E15793" s="1"/>
      <c r="F15793" s="1"/>
      <c r="G15793" s="1"/>
    </row>
    <row r="15794">
      <c r="B15794" s="36"/>
      <c r="C15794" s="36"/>
      <c r="E15794" s="1"/>
      <c r="F15794" s="1"/>
      <c r="G15794" s="1"/>
    </row>
    <row r="15795">
      <c r="B15795" s="36"/>
      <c r="C15795" s="36"/>
      <c r="E15795" s="1"/>
      <c r="F15795" s="1"/>
      <c r="G15795" s="1"/>
    </row>
    <row r="15796">
      <c r="B15796" s="36"/>
      <c r="C15796" s="36"/>
      <c r="E15796" s="1"/>
      <c r="F15796" s="1"/>
      <c r="G15796" s="1"/>
    </row>
    <row r="15797">
      <c r="B15797" s="36"/>
      <c r="C15797" s="36"/>
      <c r="E15797" s="1"/>
      <c r="F15797" s="1"/>
      <c r="G15797" s="1"/>
    </row>
    <row r="15798">
      <c r="B15798" s="36"/>
      <c r="C15798" s="36"/>
      <c r="E15798" s="1"/>
      <c r="F15798" s="1"/>
      <c r="G15798" s="1"/>
    </row>
    <row r="15799">
      <c r="B15799" s="36"/>
      <c r="C15799" s="36"/>
      <c r="E15799" s="1"/>
      <c r="F15799" s="1"/>
      <c r="G15799" s="1"/>
    </row>
    <row r="15800">
      <c r="B15800" s="36"/>
      <c r="C15800" s="36"/>
      <c r="E15800" s="1"/>
      <c r="F15800" s="1"/>
      <c r="G15800" s="1"/>
    </row>
    <row r="15801">
      <c r="B15801" s="36"/>
      <c r="C15801" s="36"/>
      <c r="E15801" s="1"/>
      <c r="F15801" s="1"/>
      <c r="G15801" s="1"/>
    </row>
    <row r="15802">
      <c r="B15802" s="36"/>
      <c r="C15802" s="36"/>
      <c r="E15802" s="1"/>
      <c r="F15802" s="1"/>
      <c r="G15802" s="1"/>
    </row>
    <row r="15803">
      <c r="B15803" s="36"/>
      <c r="C15803" s="36"/>
      <c r="E15803" s="1"/>
      <c r="F15803" s="1"/>
      <c r="G15803" s="1"/>
    </row>
    <row r="15804">
      <c r="B15804" s="36"/>
      <c r="C15804" s="36"/>
      <c r="E15804" s="1"/>
      <c r="F15804" s="1"/>
      <c r="G15804" s="1"/>
    </row>
    <row r="15805">
      <c r="B15805" s="36"/>
      <c r="C15805" s="36"/>
      <c r="E15805" s="1"/>
      <c r="F15805" s="1"/>
      <c r="G15805" s="1"/>
    </row>
    <row r="15806">
      <c r="B15806" s="36"/>
      <c r="C15806" s="36"/>
      <c r="E15806" s="1"/>
      <c r="F15806" s="1"/>
      <c r="G15806" s="1"/>
    </row>
    <row r="15807">
      <c r="B15807" s="36"/>
      <c r="C15807" s="36"/>
      <c r="E15807" s="1"/>
      <c r="F15807" s="1"/>
      <c r="G15807" s="1"/>
    </row>
    <row r="15808">
      <c r="B15808" s="36"/>
      <c r="C15808" s="36"/>
      <c r="E15808" s="1"/>
      <c r="F15808" s="1"/>
      <c r="G15808" s="1"/>
    </row>
    <row r="15809">
      <c r="B15809" s="36"/>
      <c r="C15809" s="36"/>
      <c r="E15809" s="1"/>
      <c r="F15809" s="1"/>
      <c r="G15809" s="1"/>
    </row>
    <row r="15810">
      <c r="B15810" s="36"/>
      <c r="C15810" s="36"/>
      <c r="E15810" s="1"/>
      <c r="F15810" s="1"/>
      <c r="G15810" s="1"/>
    </row>
    <row r="15811">
      <c r="B15811" s="36"/>
      <c r="C15811" s="36"/>
      <c r="E15811" s="1"/>
      <c r="F15811" s="1"/>
      <c r="G15811" s="1"/>
    </row>
    <row r="15812">
      <c r="B15812" s="36"/>
      <c r="C15812" s="36"/>
      <c r="E15812" s="1"/>
      <c r="F15812" s="1"/>
      <c r="G15812" s="1"/>
    </row>
    <row r="15813">
      <c r="B15813" s="36"/>
      <c r="C15813" s="36"/>
      <c r="E15813" s="1"/>
      <c r="F15813" s="1"/>
      <c r="G15813" s="1"/>
    </row>
    <row r="15814">
      <c r="B15814" s="36"/>
      <c r="C15814" s="36"/>
      <c r="E15814" s="1"/>
      <c r="F15814" s="1"/>
      <c r="G15814" s="1"/>
    </row>
    <row r="15815">
      <c r="B15815" s="36"/>
      <c r="C15815" s="36"/>
      <c r="E15815" s="1"/>
      <c r="F15815" s="1"/>
      <c r="G15815" s="1"/>
    </row>
    <row r="15816">
      <c r="B15816" s="36"/>
      <c r="C15816" s="36"/>
      <c r="E15816" s="1"/>
      <c r="F15816" s="1"/>
      <c r="G15816" s="1"/>
    </row>
    <row r="15817">
      <c r="B15817" s="36"/>
      <c r="C15817" s="36"/>
      <c r="E15817" s="1"/>
      <c r="F15817" s="1"/>
      <c r="G15817" s="1"/>
    </row>
    <row r="15818">
      <c r="B15818" s="36"/>
      <c r="C15818" s="36"/>
      <c r="E15818" s="1"/>
      <c r="F15818" s="1"/>
      <c r="G15818" s="1"/>
    </row>
    <row r="15819">
      <c r="B15819" s="36"/>
      <c r="C15819" s="36"/>
      <c r="E15819" s="1"/>
      <c r="F15819" s="1"/>
      <c r="G15819" s="1"/>
    </row>
    <row r="15820">
      <c r="B15820" s="36"/>
      <c r="C15820" s="36"/>
      <c r="E15820" s="1"/>
      <c r="F15820" s="1"/>
      <c r="G15820" s="1"/>
    </row>
    <row r="15821">
      <c r="B15821" s="36"/>
      <c r="C15821" s="36"/>
      <c r="E15821" s="1"/>
      <c r="F15821" s="1"/>
      <c r="G15821" s="1"/>
    </row>
    <row r="15822">
      <c r="B15822" s="36"/>
      <c r="C15822" s="36"/>
      <c r="E15822" s="1"/>
      <c r="F15822" s="1"/>
      <c r="G15822" s="1"/>
    </row>
    <row r="15823">
      <c r="B15823" s="36"/>
      <c r="C15823" s="36"/>
      <c r="E15823" s="1"/>
      <c r="F15823" s="1"/>
      <c r="G15823" s="1"/>
    </row>
    <row r="15824">
      <c r="B15824" s="36"/>
      <c r="C15824" s="36"/>
      <c r="E15824" s="1"/>
      <c r="F15824" s="1"/>
      <c r="G15824" s="1"/>
    </row>
    <row r="15825">
      <c r="B15825" s="36"/>
      <c r="C15825" s="36"/>
      <c r="E15825" s="1"/>
      <c r="F15825" s="1"/>
      <c r="G15825" s="1"/>
    </row>
    <row r="15826">
      <c r="B15826" s="36"/>
      <c r="C15826" s="36"/>
      <c r="E15826" s="1"/>
      <c r="F15826" s="1"/>
      <c r="G15826" s="1"/>
    </row>
    <row r="15827">
      <c r="B15827" s="36"/>
      <c r="C15827" s="36"/>
      <c r="E15827" s="1"/>
      <c r="F15827" s="1"/>
      <c r="G15827" s="1"/>
    </row>
    <row r="15828">
      <c r="B15828" s="36"/>
      <c r="C15828" s="36"/>
      <c r="E15828" s="1"/>
      <c r="F15828" s="1"/>
      <c r="G15828" s="1"/>
    </row>
    <row r="15829">
      <c r="B15829" s="36"/>
      <c r="C15829" s="36"/>
      <c r="E15829" s="1"/>
      <c r="F15829" s="1"/>
      <c r="G15829" s="1"/>
    </row>
    <row r="15830">
      <c r="B15830" s="36"/>
      <c r="C15830" s="36"/>
      <c r="E15830" s="1"/>
      <c r="F15830" s="1"/>
      <c r="G15830" s="1"/>
    </row>
    <row r="15831">
      <c r="B15831" s="36"/>
      <c r="C15831" s="36"/>
      <c r="E15831" s="1"/>
      <c r="F15831" s="1"/>
      <c r="G15831" s="1"/>
    </row>
    <row r="15832">
      <c r="B15832" s="36"/>
      <c r="C15832" s="36"/>
      <c r="E15832" s="1"/>
      <c r="F15832" s="1"/>
      <c r="G15832" s="1"/>
    </row>
    <row r="15833">
      <c r="B15833" s="36"/>
      <c r="C15833" s="36"/>
      <c r="E15833" s="1"/>
      <c r="F15833" s="1"/>
      <c r="G15833" s="1"/>
    </row>
    <row r="15834">
      <c r="B15834" s="36"/>
      <c r="C15834" s="36"/>
      <c r="E15834" s="1"/>
      <c r="F15834" s="1"/>
      <c r="G15834" s="1"/>
    </row>
    <row r="15835">
      <c r="B15835" s="36"/>
      <c r="C15835" s="36"/>
      <c r="E15835" s="1"/>
      <c r="F15835" s="1"/>
      <c r="G15835" s="1"/>
    </row>
    <row r="15836">
      <c r="B15836" s="36"/>
      <c r="C15836" s="36"/>
      <c r="E15836" s="1"/>
      <c r="F15836" s="1"/>
      <c r="G15836" s="1"/>
    </row>
    <row r="15837">
      <c r="B15837" s="36"/>
      <c r="C15837" s="36"/>
      <c r="E15837" s="1"/>
      <c r="F15837" s="1"/>
      <c r="G15837" s="1"/>
    </row>
    <row r="15838">
      <c r="B15838" s="36"/>
      <c r="C15838" s="36"/>
      <c r="E15838" s="1"/>
      <c r="F15838" s="1"/>
      <c r="G15838" s="1"/>
    </row>
    <row r="15839">
      <c r="B15839" s="36"/>
      <c r="C15839" s="36"/>
      <c r="E15839" s="1"/>
      <c r="F15839" s="1"/>
      <c r="G15839" s="1"/>
    </row>
    <row r="15840">
      <c r="B15840" s="36"/>
      <c r="C15840" s="36"/>
      <c r="E15840" s="1"/>
      <c r="F15840" s="1"/>
      <c r="G15840" s="1"/>
    </row>
    <row r="15841">
      <c r="B15841" s="36"/>
      <c r="C15841" s="36"/>
      <c r="E15841" s="1"/>
      <c r="F15841" s="1"/>
      <c r="G15841" s="1"/>
    </row>
    <row r="15842">
      <c r="B15842" s="36"/>
      <c r="C15842" s="36"/>
      <c r="E15842" s="1"/>
      <c r="F15842" s="1"/>
      <c r="G15842" s="1"/>
    </row>
    <row r="15843">
      <c r="B15843" s="36"/>
      <c r="C15843" s="36"/>
      <c r="E15843" s="1"/>
      <c r="F15843" s="1"/>
      <c r="G15843" s="1"/>
    </row>
    <row r="15844">
      <c r="B15844" s="36"/>
      <c r="C15844" s="36"/>
      <c r="E15844" s="1"/>
      <c r="F15844" s="1"/>
      <c r="G15844" s="1"/>
    </row>
    <row r="15845">
      <c r="B15845" s="36"/>
      <c r="C15845" s="36"/>
      <c r="E15845" s="1"/>
      <c r="F15845" s="1"/>
      <c r="G15845" s="1"/>
    </row>
    <row r="15846">
      <c r="B15846" s="36"/>
      <c r="C15846" s="36"/>
      <c r="E15846" s="1"/>
      <c r="F15846" s="1"/>
      <c r="G15846" s="1"/>
    </row>
    <row r="15847">
      <c r="B15847" s="36"/>
      <c r="C15847" s="36"/>
      <c r="E15847" s="1"/>
      <c r="F15847" s="1"/>
      <c r="G15847" s="1"/>
    </row>
    <row r="15848">
      <c r="B15848" s="36"/>
      <c r="C15848" s="36"/>
      <c r="E15848" s="1"/>
      <c r="F15848" s="1"/>
      <c r="G15848" s="1"/>
    </row>
    <row r="15849">
      <c r="B15849" s="36"/>
      <c r="C15849" s="36"/>
      <c r="E15849" s="1"/>
      <c r="F15849" s="1"/>
      <c r="G15849" s="1"/>
    </row>
    <row r="15850">
      <c r="B15850" s="36"/>
      <c r="C15850" s="36"/>
      <c r="E15850" s="1"/>
      <c r="F15850" s="1"/>
      <c r="G15850" s="1"/>
    </row>
    <row r="15851">
      <c r="B15851" s="36"/>
      <c r="C15851" s="36"/>
      <c r="E15851" s="1"/>
      <c r="F15851" s="1"/>
      <c r="G15851" s="1"/>
    </row>
    <row r="15852">
      <c r="B15852" s="36"/>
      <c r="C15852" s="36"/>
      <c r="E15852" s="1"/>
      <c r="F15852" s="1"/>
      <c r="G15852" s="1"/>
    </row>
    <row r="15853">
      <c r="B15853" s="36"/>
      <c r="C15853" s="36"/>
      <c r="E15853" s="1"/>
      <c r="F15853" s="1"/>
      <c r="G15853" s="1"/>
    </row>
    <row r="15854">
      <c r="B15854" s="36"/>
      <c r="C15854" s="36"/>
      <c r="E15854" s="1"/>
      <c r="F15854" s="1"/>
      <c r="G15854" s="1"/>
    </row>
    <row r="15855">
      <c r="B15855" s="36"/>
      <c r="C15855" s="36"/>
      <c r="E15855" s="1"/>
      <c r="F15855" s="1"/>
      <c r="G15855" s="1"/>
    </row>
    <row r="15856">
      <c r="B15856" s="36"/>
      <c r="C15856" s="36"/>
      <c r="E15856" s="1"/>
      <c r="F15856" s="1"/>
      <c r="G15856" s="1"/>
    </row>
    <row r="15857">
      <c r="B15857" s="36"/>
      <c r="C15857" s="36"/>
      <c r="E15857" s="1"/>
      <c r="F15857" s="1"/>
      <c r="G15857" s="1"/>
    </row>
    <row r="15858">
      <c r="B15858" s="36"/>
      <c r="C15858" s="36"/>
      <c r="E15858" s="1"/>
      <c r="F15858" s="1"/>
      <c r="G15858" s="1"/>
    </row>
    <row r="15859">
      <c r="B15859" s="36"/>
      <c r="C15859" s="36"/>
      <c r="E15859" s="1"/>
      <c r="F15859" s="1"/>
      <c r="G15859" s="1"/>
    </row>
    <row r="15860">
      <c r="B15860" s="36"/>
      <c r="C15860" s="36"/>
      <c r="E15860" s="1"/>
      <c r="F15860" s="1"/>
      <c r="G15860" s="1"/>
    </row>
    <row r="15861">
      <c r="B15861" s="36"/>
      <c r="C15861" s="36"/>
      <c r="E15861" s="1"/>
      <c r="F15861" s="1"/>
      <c r="G15861" s="1"/>
    </row>
    <row r="15862">
      <c r="B15862" s="36"/>
      <c r="C15862" s="36"/>
      <c r="E15862" s="1"/>
      <c r="F15862" s="1"/>
      <c r="G15862" s="1"/>
    </row>
    <row r="15863">
      <c r="B15863" s="36"/>
      <c r="C15863" s="36"/>
      <c r="E15863" s="1"/>
      <c r="F15863" s="1"/>
      <c r="G15863" s="1"/>
    </row>
    <row r="15864">
      <c r="B15864" s="36"/>
      <c r="C15864" s="36"/>
      <c r="E15864" s="1"/>
      <c r="F15864" s="1"/>
      <c r="G15864" s="1"/>
    </row>
    <row r="15865">
      <c r="B15865" s="36"/>
      <c r="C15865" s="36"/>
      <c r="E15865" s="1"/>
      <c r="F15865" s="1"/>
      <c r="G15865" s="1"/>
    </row>
    <row r="15866">
      <c r="B15866" s="36"/>
      <c r="C15866" s="36"/>
      <c r="E15866" s="1"/>
      <c r="F15866" s="1"/>
      <c r="G15866" s="1"/>
    </row>
    <row r="15867">
      <c r="B15867" s="36"/>
      <c r="C15867" s="36"/>
      <c r="E15867" s="1"/>
      <c r="F15867" s="1"/>
      <c r="G15867" s="1"/>
    </row>
    <row r="15868">
      <c r="B15868" s="36"/>
      <c r="C15868" s="36"/>
      <c r="E15868" s="1"/>
      <c r="F15868" s="1"/>
      <c r="G15868" s="1"/>
    </row>
    <row r="15869">
      <c r="B15869" s="36"/>
      <c r="C15869" s="36"/>
      <c r="E15869" s="1"/>
      <c r="F15869" s="1"/>
      <c r="G15869" s="1"/>
    </row>
    <row r="15870">
      <c r="B15870" s="36"/>
      <c r="C15870" s="36"/>
      <c r="E15870" s="1"/>
      <c r="F15870" s="1"/>
      <c r="G15870" s="1"/>
    </row>
    <row r="15871">
      <c r="B15871" s="36"/>
      <c r="C15871" s="36"/>
      <c r="E15871" s="1"/>
      <c r="F15871" s="1"/>
      <c r="G15871" s="1"/>
    </row>
    <row r="15872">
      <c r="B15872" s="36"/>
      <c r="C15872" s="36"/>
      <c r="E15872" s="1"/>
      <c r="F15872" s="1"/>
      <c r="G15872" s="1"/>
    </row>
    <row r="15873">
      <c r="B15873" s="36"/>
      <c r="C15873" s="36"/>
      <c r="E15873" s="1"/>
      <c r="F15873" s="1"/>
      <c r="G15873" s="1"/>
    </row>
    <row r="15874">
      <c r="B15874" s="36"/>
      <c r="C15874" s="36"/>
      <c r="E15874" s="1"/>
      <c r="F15874" s="1"/>
      <c r="G15874" s="1"/>
    </row>
    <row r="15875">
      <c r="B15875" s="36"/>
      <c r="C15875" s="36"/>
      <c r="E15875" s="1"/>
      <c r="F15875" s="1"/>
      <c r="G15875" s="1"/>
    </row>
    <row r="15876">
      <c r="B15876" s="36"/>
      <c r="C15876" s="36"/>
      <c r="E15876" s="1"/>
      <c r="F15876" s="1"/>
      <c r="G15876" s="1"/>
    </row>
    <row r="15877">
      <c r="B15877" s="36"/>
      <c r="C15877" s="36"/>
      <c r="E15877" s="1"/>
      <c r="F15877" s="1"/>
      <c r="G15877" s="1"/>
    </row>
    <row r="15878">
      <c r="B15878" s="36"/>
      <c r="C15878" s="36"/>
      <c r="E15878" s="1"/>
      <c r="F15878" s="1"/>
      <c r="G15878" s="1"/>
    </row>
    <row r="15879">
      <c r="B15879" s="36"/>
      <c r="C15879" s="36"/>
      <c r="E15879" s="1"/>
      <c r="F15879" s="1"/>
      <c r="G15879" s="1"/>
    </row>
    <row r="15880">
      <c r="B15880" s="36"/>
      <c r="C15880" s="36"/>
      <c r="E15880" s="1"/>
      <c r="F15880" s="1"/>
      <c r="G15880" s="1"/>
    </row>
    <row r="15881">
      <c r="B15881" s="36"/>
      <c r="C15881" s="36"/>
      <c r="E15881" s="1"/>
      <c r="F15881" s="1"/>
      <c r="G15881" s="1"/>
    </row>
    <row r="15882">
      <c r="B15882" s="36"/>
      <c r="C15882" s="36"/>
      <c r="E15882" s="1"/>
      <c r="F15882" s="1"/>
      <c r="G15882" s="1"/>
    </row>
    <row r="15883">
      <c r="B15883" s="36"/>
      <c r="C15883" s="36"/>
      <c r="E15883" s="1"/>
      <c r="F15883" s="1"/>
      <c r="G15883" s="1"/>
    </row>
    <row r="15884">
      <c r="B15884" s="36"/>
      <c r="C15884" s="36"/>
      <c r="E15884" s="1"/>
      <c r="F15884" s="1"/>
      <c r="G15884" s="1"/>
    </row>
    <row r="15885">
      <c r="B15885" s="36"/>
      <c r="C15885" s="36"/>
      <c r="E15885" s="1"/>
      <c r="F15885" s="1"/>
      <c r="G15885" s="1"/>
    </row>
    <row r="15886">
      <c r="B15886" s="36"/>
      <c r="C15886" s="36"/>
      <c r="E15886" s="1"/>
      <c r="F15886" s="1"/>
      <c r="G15886" s="1"/>
    </row>
    <row r="15887">
      <c r="B15887" s="36"/>
      <c r="C15887" s="36"/>
      <c r="E15887" s="1"/>
      <c r="F15887" s="1"/>
      <c r="G15887" s="1"/>
    </row>
    <row r="15888">
      <c r="B15888" s="36"/>
      <c r="C15888" s="36"/>
      <c r="E15888" s="1"/>
      <c r="F15888" s="1"/>
      <c r="G15888" s="1"/>
    </row>
    <row r="15889">
      <c r="B15889" s="36"/>
      <c r="C15889" s="36"/>
      <c r="E15889" s="1"/>
      <c r="F15889" s="1"/>
      <c r="G15889" s="1"/>
    </row>
    <row r="15890">
      <c r="B15890" s="36"/>
      <c r="C15890" s="36"/>
      <c r="E15890" s="1"/>
      <c r="F15890" s="1"/>
      <c r="G15890" s="1"/>
    </row>
    <row r="15891">
      <c r="B15891" s="36"/>
      <c r="C15891" s="36"/>
      <c r="E15891" s="1"/>
      <c r="F15891" s="1"/>
      <c r="G15891" s="1"/>
    </row>
    <row r="15892">
      <c r="B15892" s="36"/>
      <c r="C15892" s="36"/>
      <c r="E15892" s="1"/>
      <c r="F15892" s="1"/>
      <c r="G15892" s="1"/>
    </row>
    <row r="15893">
      <c r="B15893" s="36"/>
      <c r="C15893" s="36"/>
      <c r="E15893" s="1"/>
      <c r="F15893" s="1"/>
      <c r="G15893" s="1"/>
    </row>
    <row r="15894">
      <c r="B15894" s="36"/>
      <c r="C15894" s="36"/>
      <c r="E15894" s="1"/>
      <c r="F15894" s="1"/>
      <c r="G15894" s="1"/>
    </row>
    <row r="15895">
      <c r="B15895" s="36"/>
      <c r="C15895" s="36"/>
      <c r="E15895" s="1"/>
      <c r="F15895" s="1"/>
      <c r="G15895" s="1"/>
    </row>
    <row r="15896">
      <c r="B15896" s="36"/>
      <c r="C15896" s="36"/>
      <c r="E15896" s="1"/>
      <c r="F15896" s="1"/>
      <c r="G15896" s="1"/>
    </row>
    <row r="15897">
      <c r="B15897" s="36"/>
      <c r="C15897" s="36"/>
      <c r="E15897" s="1"/>
      <c r="F15897" s="1"/>
      <c r="G15897" s="1"/>
    </row>
    <row r="15898">
      <c r="B15898" s="36"/>
      <c r="C15898" s="36"/>
      <c r="E15898" s="1"/>
      <c r="F15898" s="1"/>
      <c r="G15898" s="1"/>
    </row>
    <row r="15899">
      <c r="B15899" s="36"/>
      <c r="C15899" s="36"/>
      <c r="E15899" s="1"/>
      <c r="F15899" s="1"/>
      <c r="G15899" s="1"/>
    </row>
    <row r="15900">
      <c r="B15900" s="36"/>
      <c r="C15900" s="36"/>
      <c r="E15900" s="1"/>
      <c r="F15900" s="1"/>
      <c r="G15900" s="1"/>
    </row>
    <row r="15901">
      <c r="B15901" s="36"/>
      <c r="C15901" s="36"/>
      <c r="E15901" s="1"/>
      <c r="F15901" s="1"/>
      <c r="G15901" s="1"/>
    </row>
    <row r="15902">
      <c r="B15902" s="36"/>
      <c r="C15902" s="36"/>
      <c r="E15902" s="1"/>
      <c r="F15902" s="1"/>
      <c r="G15902" s="1"/>
    </row>
    <row r="15903">
      <c r="B15903" s="36"/>
      <c r="C15903" s="36"/>
      <c r="E15903" s="1"/>
      <c r="F15903" s="1"/>
      <c r="G15903" s="1"/>
    </row>
    <row r="15904">
      <c r="B15904" s="36"/>
      <c r="C15904" s="36"/>
      <c r="E15904" s="1"/>
      <c r="F15904" s="1"/>
      <c r="G15904" s="1"/>
    </row>
    <row r="15905">
      <c r="B15905" s="36"/>
      <c r="C15905" s="36"/>
      <c r="E15905" s="1"/>
      <c r="F15905" s="1"/>
      <c r="G15905" s="1"/>
    </row>
    <row r="15906">
      <c r="B15906" s="36"/>
      <c r="C15906" s="36"/>
      <c r="E15906" s="1"/>
      <c r="F15906" s="1"/>
      <c r="G15906" s="1"/>
    </row>
    <row r="15907">
      <c r="B15907" s="36"/>
      <c r="C15907" s="36"/>
      <c r="E15907" s="1"/>
      <c r="F15907" s="1"/>
      <c r="G15907" s="1"/>
    </row>
    <row r="15908">
      <c r="B15908" s="36"/>
      <c r="C15908" s="36"/>
      <c r="E15908" s="1"/>
      <c r="F15908" s="1"/>
      <c r="G15908" s="1"/>
    </row>
    <row r="15909">
      <c r="B15909" s="36"/>
      <c r="C15909" s="36"/>
      <c r="E15909" s="1"/>
      <c r="F15909" s="1"/>
      <c r="G15909" s="1"/>
    </row>
    <row r="15910">
      <c r="B15910" s="36"/>
      <c r="C15910" s="36"/>
      <c r="E15910" s="1"/>
      <c r="F15910" s="1"/>
      <c r="G15910" s="1"/>
    </row>
    <row r="15911">
      <c r="B15911" s="36"/>
      <c r="C15911" s="36"/>
      <c r="E15911" s="1"/>
      <c r="F15911" s="1"/>
      <c r="G15911" s="1"/>
    </row>
    <row r="15912">
      <c r="B15912" s="36"/>
      <c r="C15912" s="36"/>
      <c r="E15912" s="1"/>
      <c r="F15912" s="1"/>
      <c r="G15912" s="1"/>
    </row>
    <row r="15913">
      <c r="B15913" s="36"/>
      <c r="C15913" s="36"/>
      <c r="E15913" s="1"/>
      <c r="F15913" s="1"/>
      <c r="G15913" s="1"/>
    </row>
    <row r="15914">
      <c r="B15914" s="36"/>
      <c r="C15914" s="36"/>
      <c r="E15914" s="1"/>
      <c r="F15914" s="1"/>
      <c r="G15914" s="1"/>
    </row>
    <row r="15915">
      <c r="B15915" s="36"/>
      <c r="C15915" s="36"/>
      <c r="E15915" s="1"/>
      <c r="F15915" s="1"/>
      <c r="G15915" s="1"/>
    </row>
    <row r="15916">
      <c r="B15916" s="36"/>
      <c r="C15916" s="36"/>
      <c r="E15916" s="1"/>
      <c r="F15916" s="1"/>
      <c r="G15916" s="1"/>
    </row>
    <row r="15917">
      <c r="B15917" s="36"/>
      <c r="C15917" s="36"/>
      <c r="E15917" s="1"/>
      <c r="F15917" s="1"/>
      <c r="G15917" s="1"/>
    </row>
    <row r="15918">
      <c r="B15918" s="36"/>
      <c r="C15918" s="36"/>
      <c r="E15918" s="1"/>
      <c r="F15918" s="1"/>
      <c r="G15918" s="1"/>
    </row>
    <row r="15919">
      <c r="B15919" s="36"/>
      <c r="C15919" s="36"/>
      <c r="E15919" s="1"/>
      <c r="F15919" s="1"/>
      <c r="G15919" s="1"/>
    </row>
    <row r="15920">
      <c r="B15920" s="36"/>
      <c r="C15920" s="36"/>
      <c r="E15920" s="1"/>
      <c r="F15920" s="1"/>
      <c r="G15920" s="1"/>
    </row>
    <row r="15921">
      <c r="B15921" s="36"/>
      <c r="C15921" s="36"/>
      <c r="E15921" s="1"/>
      <c r="F15921" s="1"/>
      <c r="G15921" s="1"/>
    </row>
    <row r="15922">
      <c r="B15922" s="36"/>
      <c r="C15922" s="36"/>
      <c r="E15922" s="1"/>
      <c r="F15922" s="1"/>
      <c r="G15922" s="1"/>
    </row>
    <row r="15923">
      <c r="B15923" s="36"/>
      <c r="C15923" s="36"/>
      <c r="E15923" s="1"/>
      <c r="F15923" s="1"/>
      <c r="G15923" s="1"/>
    </row>
    <row r="15924">
      <c r="B15924" s="36"/>
      <c r="C15924" s="36"/>
      <c r="E15924" s="1"/>
      <c r="F15924" s="1"/>
      <c r="G15924" s="1"/>
    </row>
    <row r="15925">
      <c r="B15925" s="36"/>
      <c r="C15925" s="36"/>
      <c r="E15925" s="1"/>
      <c r="F15925" s="1"/>
      <c r="G15925" s="1"/>
    </row>
    <row r="15926">
      <c r="B15926" s="36"/>
      <c r="C15926" s="36"/>
      <c r="E15926" s="1"/>
      <c r="F15926" s="1"/>
      <c r="G15926" s="1"/>
    </row>
    <row r="15927">
      <c r="B15927" s="36"/>
      <c r="C15927" s="36"/>
      <c r="E15927" s="1"/>
      <c r="F15927" s="1"/>
      <c r="G15927" s="1"/>
    </row>
    <row r="15928">
      <c r="B15928" s="36"/>
      <c r="C15928" s="36"/>
      <c r="E15928" s="1"/>
      <c r="F15928" s="1"/>
      <c r="G15928" s="1"/>
    </row>
    <row r="15929">
      <c r="B15929" s="36"/>
      <c r="C15929" s="36"/>
      <c r="E15929" s="1"/>
      <c r="F15929" s="1"/>
      <c r="G15929" s="1"/>
    </row>
    <row r="15930">
      <c r="B15930" s="36"/>
      <c r="C15930" s="36"/>
      <c r="E15930" s="1"/>
      <c r="F15930" s="1"/>
      <c r="G15930" s="1"/>
    </row>
    <row r="15931">
      <c r="B15931" s="36"/>
      <c r="C15931" s="36"/>
      <c r="E15931" s="1"/>
      <c r="F15931" s="1"/>
      <c r="G15931" s="1"/>
    </row>
    <row r="15932">
      <c r="B15932" s="36"/>
      <c r="C15932" s="36"/>
      <c r="E15932" s="1"/>
      <c r="F15932" s="1"/>
      <c r="G15932" s="1"/>
    </row>
    <row r="15933">
      <c r="B15933" s="36"/>
      <c r="C15933" s="36"/>
      <c r="E15933" s="1"/>
      <c r="F15933" s="1"/>
      <c r="G15933" s="1"/>
    </row>
    <row r="15934">
      <c r="B15934" s="36"/>
      <c r="C15934" s="36"/>
      <c r="E15934" s="1"/>
      <c r="F15934" s="1"/>
      <c r="G15934" s="1"/>
    </row>
    <row r="15935">
      <c r="B15935" s="36"/>
      <c r="C15935" s="36"/>
      <c r="E15935" s="1"/>
      <c r="F15935" s="1"/>
      <c r="G15935" s="1"/>
    </row>
    <row r="15936">
      <c r="B15936" s="36"/>
      <c r="C15936" s="36"/>
      <c r="E15936" s="1"/>
      <c r="F15936" s="1"/>
      <c r="G15936" s="1"/>
    </row>
    <row r="15937">
      <c r="B15937" s="36"/>
      <c r="C15937" s="36"/>
      <c r="E15937" s="1"/>
      <c r="F15937" s="1"/>
      <c r="G15937" s="1"/>
    </row>
    <row r="15938">
      <c r="B15938" s="36"/>
      <c r="C15938" s="36"/>
      <c r="E15938" s="1"/>
      <c r="F15938" s="1"/>
      <c r="G15938" s="1"/>
    </row>
    <row r="15939">
      <c r="B15939" s="36"/>
      <c r="C15939" s="36"/>
      <c r="E15939" s="1"/>
      <c r="F15939" s="1"/>
      <c r="G15939" s="1"/>
    </row>
    <row r="15940">
      <c r="B15940" s="36"/>
      <c r="C15940" s="36"/>
      <c r="E15940" s="1"/>
      <c r="F15940" s="1"/>
      <c r="G15940" s="1"/>
    </row>
    <row r="15941">
      <c r="B15941" s="36"/>
      <c r="C15941" s="36"/>
      <c r="E15941" s="1"/>
      <c r="F15941" s="1"/>
      <c r="G15941" s="1"/>
    </row>
    <row r="15942">
      <c r="B15942" s="36"/>
      <c r="C15942" s="36"/>
      <c r="E15942" s="1"/>
      <c r="F15942" s="1"/>
      <c r="G15942" s="1"/>
    </row>
    <row r="15943">
      <c r="B15943" s="36"/>
      <c r="C15943" s="36"/>
      <c r="E15943" s="1"/>
      <c r="F15943" s="1"/>
      <c r="G15943" s="1"/>
    </row>
    <row r="15944">
      <c r="B15944" s="36"/>
      <c r="C15944" s="36"/>
      <c r="E15944" s="1"/>
      <c r="F15944" s="1"/>
      <c r="G15944" s="1"/>
    </row>
    <row r="15945">
      <c r="B15945" s="36"/>
      <c r="C15945" s="36"/>
      <c r="E15945" s="1"/>
      <c r="F15945" s="1"/>
      <c r="G15945" s="1"/>
    </row>
    <row r="15946">
      <c r="B15946" s="36"/>
      <c r="C15946" s="36"/>
      <c r="E15946" s="1"/>
      <c r="F15946" s="1"/>
      <c r="G15946" s="1"/>
    </row>
    <row r="15947">
      <c r="B15947" s="36"/>
      <c r="C15947" s="36"/>
      <c r="E15947" s="1"/>
      <c r="F15947" s="1"/>
      <c r="G15947" s="1"/>
    </row>
    <row r="15948">
      <c r="B15948" s="36"/>
      <c r="C15948" s="36"/>
      <c r="E15948" s="1"/>
      <c r="F15948" s="1"/>
      <c r="G15948" s="1"/>
    </row>
    <row r="15949">
      <c r="B15949" s="36"/>
      <c r="C15949" s="36"/>
      <c r="E15949" s="1"/>
      <c r="F15949" s="1"/>
      <c r="G15949" s="1"/>
    </row>
    <row r="15950">
      <c r="B15950" s="36"/>
      <c r="C15950" s="36"/>
      <c r="E15950" s="1"/>
      <c r="F15950" s="1"/>
      <c r="G15950" s="1"/>
    </row>
    <row r="15951">
      <c r="B15951" s="36"/>
      <c r="C15951" s="36"/>
      <c r="E15951" s="1"/>
      <c r="F15951" s="1"/>
      <c r="G15951" s="1"/>
    </row>
    <row r="15952">
      <c r="B15952" s="36"/>
      <c r="C15952" s="36"/>
      <c r="E15952" s="1"/>
      <c r="F15952" s="1"/>
      <c r="G15952" s="1"/>
    </row>
    <row r="15953">
      <c r="B15953" s="36"/>
      <c r="C15953" s="36"/>
      <c r="E15953" s="1"/>
      <c r="F15953" s="1"/>
      <c r="G15953" s="1"/>
    </row>
    <row r="15954">
      <c r="B15954" s="36"/>
      <c r="C15954" s="36"/>
      <c r="E15954" s="1"/>
      <c r="F15954" s="1"/>
      <c r="G15954" s="1"/>
    </row>
    <row r="15955">
      <c r="B15955" s="36"/>
      <c r="C15955" s="36"/>
      <c r="E15955" s="1"/>
      <c r="F15955" s="1"/>
      <c r="G15955" s="1"/>
    </row>
    <row r="15956">
      <c r="B15956" s="36"/>
      <c r="C15956" s="36"/>
      <c r="E15956" s="1"/>
      <c r="F15956" s="1"/>
      <c r="G15956" s="1"/>
    </row>
    <row r="15957">
      <c r="B15957" s="36"/>
      <c r="C15957" s="36"/>
      <c r="E15957" s="1"/>
      <c r="F15957" s="1"/>
      <c r="G15957" s="1"/>
    </row>
    <row r="15958">
      <c r="B15958" s="36"/>
      <c r="C15958" s="36"/>
      <c r="E15958" s="1"/>
      <c r="F15958" s="1"/>
      <c r="G15958" s="1"/>
    </row>
    <row r="15959">
      <c r="B15959" s="36"/>
      <c r="C15959" s="36"/>
      <c r="E15959" s="1"/>
      <c r="F15959" s="1"/>
      <c r="G15959" s="1"/>
    </row>
    <row r="15960">
      <c r="B15960" s="36"/>
      <c r="C15960" s="36"/>
      <c r="E15960" s="1"/>
      <c r="F15960" s="1"/>
      <c r="G15960" s="1"/>
    </row>
    <row r="15961">
      <c r="B15961" s="36"/>
      <c r="C15961" s="36"/>
      <c r="E15961" s="1"/>
      <c r="F15961" s="1"/>
      <c r="G15961" s="1"/>
    </row>
    <row r="15962">
      <c r="B15962" s="36"/>
      <c r="C15962" s="36"/>
      <c r="E15962" s="1"/>
      <c r="F15962" s="1"/>
      <c r="G15962" s="1"/>
    </row>
    <row r="15963">
      <c r="B15963" s="36"/>
      <c r="C15963" s="36"/>
      <c r="E15963" s="1"/>
      <c r="F15963" s="1"/>
      <c r="G15963" s="1"/>
    </row>
    <row r="15964">
      <c r="B15964" s="36"/>
      <c r="C15964" s="36"/>
      <c r="E15964" s="1"/>
      <c r="F15964" s="1"/>
      <c r="G15964" s="1"/>
    </row>
    <row r="15965">
      <c r="B15965" s="36"/>
      <c r="C15965" s="36"/>
      <c r="E15965" s="1"/>
      <c r="F15965" s="1"/>
      <c r="G15965" s="1"/>
    </row>
    <row r="15966">
      <c r="B15966" s="36"/>
      <c r="C15966" s="36"/>
      <c r="E15966" s="1"/>
      <c r="F15966" s="1"/>
      <c r="G15966" s="1"/>
    </row>
    <row r="15967">
      <c r="B15967" s="36"/>
      <c r="C15967" s="36"/>
      <c r="E15967" s="1"/>
      <c r="F15967" s="1"/>
      <c r="G15967" s="1"/>
    </row>
    <row r="15968">
      <c r="B15968" s="36"/>
      <c r="C15968" s="36"/>
      <c r="E15968" s="1"/>
      <c r="F15968" s="1"/>
      <c r="G15968" s="1"/>
    </row>
    <row r="15969">
      <c r="B15969" s="36"/>
      <c r="C15969" s="36"/>
      <c r="E15969" s="1"/>
      <c r="F15969" s="1"/>
      <c r="G15969" s="1"/>
    </row>
    <row r="15970">
      <c r="B15970" s="36"/>
      <c r="C15970" s="36"/>
      <c r="E15970" s="1"/>
      <c r="F15970" s="1"/>
      <c r="G15970" s="1"/>
    </row>
    <row r="15971">
      <c r="B15971" s="36"/>
      <c r="C15971" s="36"/>
      <c r="E15971" s="1"/>
      <c r="F15971" s="1"/>
      <c r="G15971" s="1"/>
    </row>
    <row r="15972">
      <c r="B15972" s="36"/>
      <c r="C15972" s="36"/>
      <c r="E15972" s="1"/>
      <c r="F15972" s="1"/>
      <c r="G15972" s="1"/>
    </row>
    <row r="15973">
      <c r="B15973" s="36"/>
      <c r="C15973" s="36"/>
      <c r="E15973" s="1"/>
      <c r="F15973" s="1"/>
      <c r="G15973" s="1"/>
    </row>
    <row r="15974">
      <c r="B15974" s="36"/>
      <c r="C15974" s="36"/>
      <c r="E15974" s="1"/>
      <c r="F15974" s="1"/>
      <c r="G15974" s="1"/>
    </row>
    <row r="15975">
      <c r="B15975" s="36"/>
      <c r="C15975" s="36"/>
      <c r="E15975" s="1"/>
      <c r="F15975" s="1"/>
      <c r="G15975" s="1"/>
    </row>
    <row r="15976">
      <c r="B15976" s="36"/>
      <c r="C15976" s="36"/>
      <c r="E15976" s="1"/>
      <c r="F15976" s="1"/>
      <c r="G15976" s="1"/>
    </row>
    <row r="15977">
      <c r="B15977" s="36"/>
      <c r="C15977" s="36"/>
      <c r="E15977" s="1"/>
      <c r="F15977" s="1"/>
      <c r="G15977" s="1"/>
    </row>
    <row r="15978">
      <c r="B15978" s="36"/>
      <c r="C15978" s="36"/>
      <c r="E15978" s="1"/>
      <c r="F15978" s="1"/>
      <c r="G15978" s="1"/>
    </row>
    <row r="15979">
      <c r="B15979" s="36"/>
      <c r="C15979" s="36"/>
      <c r="E15979" s="1"/>
      <c r="F15979" s="1"/>
      <c r="G15979" s="1"/>
    </row>
    <row r="15980">
      <c r="B15980" s="36"/>
      <c r="C15980" s="36"/>
      <c r="E15980" s="1"/>
      <c r="F15980" s="1"/>
      <c r="G15980" s="1"/>
    </row>
    <row r="15981">
      <c r="B15981" s="36"/>
      <c r="C15981" s="36"/>
      <c r="E15981" s="1"/>
      <c r="F15981" s="1"/>
      <c r="G15981" s="1"/>
    </row>
    <row r="15982">
      <c r="B15982" s="36"/>
      <c r="C15982" s="36"/>
      <c r="E15982" s="1"/>
      <c r="F15982" s="1"/>
      <c r="G15982" s="1"/>
    </row>
    <row r="15983">
      <c r="B15983" s="36"/>
      <c r="C15983" s="36"/>
      <c r="E15983" s="1"/>
      <c r="F15983" s="1"/>
      <c r="G15983" s="1"/>
    </row>
    <row r="15984">
      <c r="B15984" s="36"/>
      <c r="C15984" s="36"/>
      <c r="E15984" s="1"/>
      <c r="F15984" s="1"/>
      <c r="G15984" s="1"/>
    </row>
    <row r="15985">
      <c r="B15985" s="36"/>
      <c r="C15985" s="36"/>
      <c r="E15985" s="1"/>
      <c r="F15985" s="1"/>
      <c r="G15985" s="1"/>
    </row>
    <row r="15986">
      <c r="B15986" s="36"/>
      <c r="C15986" s="36"/>
      <c r="E15986" s="1"/>
      <c r="F15986" s="1"/>
      <c r="G15986" s="1"/>
    </row>
    <row r="15987">
      <c r="B15987" s="36"/>
      <c r="C15987" s="36"/>
      <c r="E15987" s="1"/>
      <c r="F15987" s="1"/>
      <c r="G15987" s="1"/>
    </row>
    <row r="15988">
      <c r="B15988" s="36"/>
      <c r="C15988" s="36"/>
      <c r="E15988" s="1"/>
      <c r="F15988" s="1"/>
      <c r="G15988" s="1"/>
    </row>
    <row r="15989">
      <c r="B15989" s="36"/>
      <c r="C15989" s="36"/>
      <c r="E15989" s="1"/>
      <c r="F15989" s="1"/>
      <c r="G15989" s="1"/>
    </row>
    <row r="15990">
      <c r="B15990" s="36"/>
      <c r="C15990" s="36"/>
      <c r="E15990" s="1"/>
      <c r="F15990" s="1"/>
      <c r="G15990" s="1"/>
    </row>
    <row r="15991">
      <c r="B15991" s="36"/>
      <c r="C15991" s="36"/>
      <c r="E15991" s="1"/>
      <c r="F15991" s="1"/>
      <c r="G15991" s="1"/>
    </row>
    <row r="15992">
      <c r="B15992" s="36"/>
      <c r="C15992" s="36"/>
      <c r="E15992" s="1"/>
      <c r="F15992" s="1"/>
      <c r="G15992" s="1"/>
    </row>
    <row r="15993">
      <c r="B15993" s="36"/>
      <c r="C15993" s="36"/>
      <c r="E15993" s="1"/>
      <c r="F15993" s="1"/>
      <c r="G15993" s="1"/>
    </row>
    <row r="15994">
      <c r="B15994" s="36"/>
      <c r="C15994" s="36"/>
      <c r="E15994" s="1"/>
      <c r="F15994" s="1"/>
      <c r="G15994" s="1"/>
    </row>
    <row r="15995">
      <c r="B15995" s="36"/>
      <c r="C15995" s="36"/>
      <c r="E15995" s="1"/>
      <c r="F15995" s="1"/>
      <c r="G15995" s="1"/>
    </row>
    <row r="15996">
      <c r="B15996" s="36"/>
      <c r="C15996" s="36"/>
      <c r="E15996" s="1"/>
      <c r="F15996" s="1"/>
      <c r="G15996" s="1"/>
    </row>
    <row r="15997">
      <c r="B15997" s="36"/>
      <c r="C15997" s="36"/>
      <c r="E15997" s="1"/>
      <c r="F15997" s="1"/>
      <c r="G15997" s="1"/>
    </row>
    <row r="15998">
      <c r="B15998" s="36"/>
      <c r="C15998" s="36"/>
      <c r="E15998" s="1"/>
      <c r="F15998" s="1"/>
      <c r="G15998" s="1"/>
    </row>
    <row r="15999">
      <c r="B15999" s="36"/>
      <c r="C15999" s="36"/>
      <c r="E15999" s="1"/>
      <c r="F15999" s="1"/>
      <c r="G15999" s="1"/>
    </row>
    <row r="16000">
      <c r="B16000" s="36"/>
      <c r="C16000" s="36"/>
      <c r="E16000" s="1"/>
      <c r="F16000" s="1"/>
      <c r="G16000" s="1"/>
    </row>
    <row r="16001">
      <c r="B16001" s="36"/>
      <c r="C16001" s="36"/>
      <c r="E16001" s="1"/>
      <c r="F16001" s="1"/>
      <c r="G16001" s="1"/>
    </row>
    <row r="16002">
      <c r="B16002" s="36"/>
      <c r="C16002" s="36"/>
      <c r="E16002" s="1"/>
      <c r="F16002" s="1"/>
      <c r="G16002" s="1"/>
    </row>
    <row r="16003">
      <c r="B16003" s="36"/>
      <c r="C16003" s="36"/>
      <c r="E16003" s="1"/>
      <c r="F16003" s="1"/>
      <c r="G16003" s="1"/>
    </row>
    <row r="16004">
      <c r="B16004" s="36"/>
      <c r="C16004" s="36"/>
      <c r="E16004" s="1"/>
      <c r="F16004" s="1"/>
      <c r="G16004" s="1"/>
    </row>
    <row r="16005">
      <c r="B16005" s="36"/>
      <c r="C16005" s="36"/>
      <c r="E16005" s="1"/>
      <c r="F16005" s="1"/>
      <c r="G16005" s="1"/>
    </row>
    <row r="16006">
      <c r="B16006" s="36"/>
      <c r="C16006" s="36"/>
      <c r="E16006" s="1"/>
      <c r="F16006" s="1"/>
      <c r="G16006" s="1"/>
    </row>
    <row r="16007">
      <c r="B16007" s="36"/>
      <c r="C16007" s="36"/>
      <c r="E16007" s="1"/>
      <c r="F16007" s="1"/>
      <c r="G16007" s="1"/>
    </row>
    <row r="16008">
      <c r="B16008" s="36"/>
      <c r="C16008" s="36"/>
      <c r="E16008" s="1"/>
      <c r="F16008" s="1"/>
      <c r="G16008" s="1"/>
    </row>
    <row r="16009">
      <c r="B16009" s="36"/>
      <c r="C16009" s="36"/>
      <c r="E16009" s="1"/>
      <c r="F16009" s="1"/>
      <c r="G16009" s="1"/>
    </row>
    <row r="16010">
      <c r="B16010" s="36"/>
      <c r="C16010" s="36"/>
      <c r="E16010" s="1"/>
      <c r="F16010" s="1"/>
      <c r="G16010" s="1"/>
    </row>
    <row r="16011">
      <c r="B16011" s="36"/>
      <c r="C16011" s="36"/>
      <c r="E16011" s="1"/>
      <c r="F16011" s="1"/>
      <c r="G16011" s="1"/>
    </row>
    <row r="16012">
      <c r="B16012" s="36"/>
      <c r="C16012" s="36"/>
      <c r="E16012" s="1"/>
      <c r="F16012" s="1"/>
      <c r="G16012" s="1"/>
    </row>
    <row r="16013">
      <c r="B16013" s="36"/>
      <c r="C16013" s="36"/>
      <c r="E16013" s="1"/>
      <c r="F16013" s="1"/>
      <c r="G16013" s="1"/>
    </row>
    <row r="16014">
      <c r="B16014" s="36"/>
      <c r="C16014" s="36"/>
      <c r="E16014" s="1"/>
      <c r="F16014" s="1"/>
      <c r="G16014" s="1"/>
    </row>
    <row r="16015">
      <c r="B16015" s="36"/>
      <c r="C16015" s="36"/>
      <c r="E16015" s="1"/>
      <c r="F16015" s="1"/>
      <c r="G16015" s="1"/>
    </row>
    <row r="16016">
      <c r="B16016" s="36"/>
      <c r="C16016" s="36"/>
      <c r="E16016" s="1"/>
      <c r="F16016" s="1"/>
      <c r="G16016" s="1"/>
    </row>
    <row r="16017">
      <c r="B16017" s="36"/>
      <c r="C16017" s="36"/>
      <c r="E16017" s="1"/>
      <c r="F16017" s="1"/>
      <c r="G16017" s="1"/>
    </row>
    <row r="16018">
      <c r="B16018" s="36"/>
      <c r="C16018" s="36"/>
      <c r="E16018" s="1"/>
      <c r="F16018" s="1"/>
      <c r="G16018" s="1"/>
    </row>
    <row r="16019">
      <c r="B16019" s="36"/>
      <c r="C16019" s="36"/>
      <c r="E16019" s="1"/>
      <c r="F16019" s="1"/>
      <c r="G16019" s="1"/>
    </row>
    <row r="16020">
      <c r="B16020" s="36"/>
      <c r="C16020" s="36"/>
      <c r="E16020" s="1"/>
      <c r="F16020" s="1"/>
      <c r="G16020" s="1"/>
    </row>
    <row r="16021">
      <c r="B16021" s="36"/>
      <c r="C16021" s="36"/>
      <c r="E16021" s="1"/>
      <c r="F16021" s="1"/>
      <c r="G16021" s="1"/>
    </row>
    <row r="16022">
      <c r="B16022" s="36"/>
      <c r="C16022" s="36"/>
      <c r="E16022" s="1"/>
      <c r="F16022" s="1"/>
      <c r="G16022" s="1"/>
    </row>
    <row r="16023">
      <c r="B16023" s="36"/>
      <c r="C16023" s="36"/>
      <c r="E16023" s="1"/>
      <c r="F16023" s="1"/>
      <c r="G16023" s="1"/>
    </row>
    <row r="16024">
      <c r="B16024" s="36"/>
      <c r="C16024" s="36"/>
      <c r="E16024" s="1"/>
      <c r="F16024" s="1"/>
      <c r="G16024" s="1"/>
    </row>
    <row r="16025">
      <c r="B16025" s="36"/>
      <c r="C16025" s="36"/>
      <c r="E16025" s="1"/>
      <c r="F16025" s="1"/>
      <c r="G16025" s="1"/>
    </row>
    <row r="16026">
      <c r="B16026" s="36"/>
      <c r="C16026" s="36"/>
      <c r="E16026" s="1"/>
      <c r="F16026" s="1"/>
      <c r="G16026" s="1"/>
    </row>
    <row r="16027">
      <c r="B16027" s="36"/>
      <c r="C16027" s="36"/>
      <c r="E16027" s="1"/>
      <c r="F16027" s="1"/>
      <c r="G16027" s="1"/>
    </row>
    <row r="16028">
      <c r="B16028" s="36"/>
      <c r="C16028" s="36"/>
      <c r="E16028" s="1"/>
      <c r="F16028" s="1"/>
      <c r="G16028" s="1"/>
    </row>
    <row r="16029">
      <c r="B16029" s="36"/>
      <c r="C16029" s="36"/>
      <c r="E16029" s="1"/>
      <c r="F16029" s="1"/>
      <c r="G16029" s="1"/>
    </row>
    <row r="16030">
      <c r="B16030" s="36"/>
      <c r="C16030" s="36"/>
      <c r="E16030" s="1"/>
      <c r="F16030" s="1"/>
      <c r="G16030" s="1"/>
    </row>
    <row r="16031">
      <c r="B16031" s="36"/>
      <c r="C16031" s="36"/>
      <c r="E16031" s="1"/>
      <c r="F16031" s="1"/>
      <c r="G16031" s="1"/>
    </row>
    <row r="16032">
      <c r="B16032" s="36"/>
      <c r="C16032" s="36"/>
      <c r="E16032" s="1"/>
      <c r="F16032" s="1"/>
      <c r="G16032" s="1"/>
    </row>
    <row r="16033">
      <c r="B16033" s="36"/>
      <c r="C16033" s="36"/>
      <c r="E16033" s="1"/>
      <c r="F16033" s="1"/>
      <c r="G16033" s="1"/>
    </row>
    <row r="16034">
      <c r="B16034" s="36"/>
      <c r="C16034" s="36"/>
      <c r="E16034" s="1"/>
      <c r="F16034" s="1"/>
      <c r="G16034" s="1"/>
    </row>
    <row r="16035">
      <c r="B16035" s="36"/>
      <c r="C16035" s="36"/>
      <c r="E16035" s="1"/>
      <c r="F16035" s="1"/>
      <c r="G16035" s="1"/>
    </row>
    <row r="16036">
      <c r="B16036" s="36"/>
      <c r="C16036" s="36"/>
      <c r="E16036" s="1"/>
      <c r="F16036" s="1"/>
      <c r="G16036" s="1"/>
    </row>
    <row r="16037">
      <c r="B16037" s="36"/>
      <c r="C16037" s="36"/>
      <c r="E16037" s="1"/>
      <c r="F16037" s="1"/>
      <c r="G16037" s="1"/>
    </row>
    <row r="16038">
      <c r="B16038" s="36"/>
      <c r="C16038" s="36"/>
      <c r="E16038" s="1"/>
      <c r="F16038" s="1"/>
      <c r="G16038" s="1"/>
    </row>
    <row r="16039">
      <c r="B16039" s="36"/>
      <c r="C16039" s="36"/>
      <c r="E16039" s="1"/>
      <c r="F16039" s="1"/>
      <c r="G16039" s="1"/>
    </row>
    <row r="16040">
      <c r="B16040" s="36"/>
      <c r="C16040" s="36"/>
      <c r="E16040" s="1"/>
      <c r="F16040" s="1"/>
      <c r="G16040" s="1"/>
    </row>
    <row r="16041">
      <c r="B16041" s="36"/>
      <c r="C16041" s="36"/>
      <c r="E16041" s="1"/>
      <c r="F16041" s="1"/>
      <c r="G16041" s="1"/>
    </row>
    <row r="16042">
      <c r="B16042" s="36"/>
      <c r="C16042" s="36"/>
      <c r="E16042" s="1"/>
      <c r="F16042" s="1"/>
      <c r="G16042" s="1"/>
    </row>
    <row r="16043">
      <c r="B16043" s="36"/>
      <c r="C16043" s="36"/>
      <c r="E16043" s="1"/>
      <c r="F16043" s="1"/>
      <c r="G16043" s="1"/>
    </row>
    <row r="16044">
      <c r="B16044" s="36"/>
      <c r="C16044" s="36"/>
      <c r="E16044" s="1"/>
      <c r="F16044" s="1"/>
      <c r="G16044" s="1"/>
    </row>
    <row r="16045">
      <c r="B16045" s="36"/>
      <c r="C16045" s="36"/>
      <c r="E16045" s="1"/>
      <c r="F16045" s="1"/>
      <c r="G16045" s="1"/>
    </row>
    <row r="16046">
      <c r="B16046" s="36"/>
      <c r="C16046" s="36"/>
      <c r="E16046" s="1"/>
      <c r="F16046" s="1"/>
      <c r="G16046" s="1"/>
    </row>
    <row r="16047">
      <c r="B16047" s="36"/>
      <c r="C16047" s="36"/>
      <c r="E16047" s="1"/>
      <c r="F16047" s="1"/>
      <c r="G16047" s="1"/>
    </row>
    <row r="16048">
      <c r="B16048" s="36"/>
      <c r="C16048" s="36"/>
      <c r="E16048" s="1"/>
      <c r="F16048" s="1"/>
      <c r="G16048" s="1"/>
    </row>
    <row r="16049">
      <c r="B16049" s="36"/>
      <c r="C16049" s="36"/>
      <c r="E16049" s="1"/>
      <c r="F16049" s="1"/>
      <c r="G16049" s="1"/>
    </row>
    <row r="16050">
      <c r="B16050" s="36"/>
      <c r="C16050" s="36"/>
      <c r="E16050" s="1"/>
      <c r="F16050" s="1"/>
      <c r="G16050" s="1"/>
    </row>
    <row r="16051">
      <c r="B16051" s="36"/>
      <c r="C16051" s="36"/>
      <c r="E16051" s="1"/>
      <c r="F16051" s="1"/>
      <c r="G16051" s="1"/>
    </row>
    <row r="16052">
      <c r="B16052" s="36"/>
      <c r="C16052" s="36"/>
      <c r="E16052" s="1"/>
      <c r="F16052" s="1"/>
      <c r="G16052" s="1"/>
    </row>
    <row r="16053">
      <c r="B16053" s="36"/>
      <c r="C16053" s="36"/>
      <c r="E16053" s="1"/>
      <c r="F16053" s="1"/>
      <c r="G16053" s="1"/>
    </row>
    <row r="16054">
      <c r="B16054" s="36"/>
      <c r="C16054" s="36"/>
      <c r="E16054" s="1"/>
      <c r="F16054" s="1"/>
      <c r="G16054" s="1"/>
    </row>
    <row r="16055">
      <c r="B16055" s="36"/>
      <c r="C16055" s="36"/>
      <c r="E16055" s="1"/>
      <c r="F16055" s="1"/>
      <c r="G16055" s="1"/>
    </row>
    <row r="16056">
      <c r="B16056" s="36"/>
      <c r="C16056" s="36"/>
      <c r="E16056" s="1"/>
      <c r="F16056" s="1"/>
      <c r="G16056" s="1"/>
    </row>
    <row r="16057">
      <c r="B16057" s="36"/>
      <c r="C16057" s="36"/>
      <c r="E16057" s="1"/>
      <c r="F16057" s="1"/>
      <c r="G16057" s="1"/>
    </row>
    <row r="16058">
      <c r="B16058" s="36"/>
      <c r="C16058" s="36"/>
      <c r="E16058" s="1"/>
      <c r="F16058" s="1"/>
      <c r="G16058" s="1"/>
    </row>
    <row r="16059">
      <c r="B16059" s="36"/>
      <c r="C16059" s="36"/>
      <c r="E16059" s="1"/>
      <c r="F16059" s="1"/>
      <c r="G16059" s="1"/>
    </row>
    <row r="16060">
      <c r="B16060" s="36"/>
      <c r="C16060" s="36"/>
      <c r="E16060" s="1"/>
      <c r="F16060" s="1"/>
      <c r="G16060" s="1"/>
    </row>
    <row r="16061">
      <c r="B16061" s="36"/>
      <c r="C16061" s="36"/>
      <c r="E16061" s="1"/>
      <c r="F16061" s="1"/>
      <c r="G16061" s="1"/>
    </row>
    <row r="16062">
      <c r="B16062" s="36"/>
      <c r="C16062" s="36"/>
      <c r="E16062" s="1"/>
      <c r="F16062" s="1"/>
      <c r="G16062" s="1"/>
    </row>
    <row r="16063">
      <c r="B16063" s="36"/>
      <c r="C16063" s="36"/>
      <c r="E16063" s="1"/>
      <c r="F16063" s="1"/>
      <c r="G16063" s="1"/>
    </row>
    <row r="16064">
      <c r="B16064" s="36"/>
      <c r="C16064" s="36"/>
      <c r="E16064" s="1"/>
      <c r="F16064" s="1"/>
      <c r="G16064" s="1"/>
    </row>
    <row r="16065">
      <c r="B16065" s="36"/>
      <c r="C16065" s="36"/>
      <c r="E16065" s="1"/>
      <c r="F16065" s="1"/>
      <c r="G16065" s="1"/>
    </row>
    <row r="16066">
      <c r="B16066" s="36"/>
      <c r="C16066" s="36"/>
      <c r="E16066" s="1"/>
      <c r="F16066" s="1"/>
      <c r="G16066" s="1"/>
    </row>
    <row r="16067">
      <c r="B16067" s="36"/>
      <c r="C16067" s="36"/>
      <c r="E16067" s="1"/>
      <c r="F16067" s="1"/>
      <c r="G16067" s="1"/>
    </row>
    <row r="16068">
      <c r="B16068" s="36"/>
      <c r="C16068" s="36"/>
      <c r="E16068" s="1"/>
      <c r="F16068" s="1"/>
      <c r="G16068" s="1"/>
    </row>
    <row r="16069">
      <c r="B16069" s="36"/>
      <c r="C16069" s="36"/>
      <c r="E16069" s="1"/>
      <c r="F16069" s="1"/>
      <c r="G16069" s="1"/>
    </row>
    <row r="16070">
      <c r="B16070" s="36"/>
      <c r="C16070" s="36"/>
      <c r="E16070" s="1"/>
      <c r="F16070" s="1"/>
      <c r="G16070" s="1"/>
    </row>
    <row r="16071">
      <c r="B16071" s="36"/>
      <c r="C16071" s="36"/>
      <c r="E16071" s="1"/>
      <c r="F16071" s="1"/>
      <c r="G16071" s="1"/>
    </row>
    <row r="16072">
      <c r="B16072" s="36"/>
      <c r="C16072" s="36"/>
      <c r="E16072" s="1"/>
      <c r="F16072" s="1"/>
      <c r="G16072" s="1"/>
    </row>
    <row r="16073">
      <c r="B16073" s="36"/>
      <c r="C16073" s="36"/>
      <c r="E16073" s="1"/>
      <c r="F16073" s="1"/>
      <c r="G16073" s="1"/>
    </row>
    <row r="16074">
      <c r="B16074" s="36"/>
      <c r="C16074" s="36"/>
      <c r="E16074" s="1"/>
      <c r="F16074" s="1"/>
      <c r="G16074" s="1"/>
    </row>
    <row r="16075">
      <c r="B16075" s="36"/>
      <c r="C16075" s="36"/>
      <c r="E16075" s="1"/>
      <c r="F16075" s="1"/>
      <c r="G16075" s="1"/>
    </row>
    <row r="16076">
      <c r="B16076" s="36"/>
      <c r="C16076" s="36"/>
      <c r="E16076" s="1"/>
      <c r="F16076" s="1"/>
      <c r="G16076" s="1"/>
    </row>
    <row r="16077">
      <c r="B16077" s="36"/>
      <c r="C16077" s="36"/>
      <c r="E16077" s="1"/>
      <c r="F16077" s="1"/>
      <c r="G16077" s="1"/>
    </row>
    <row r="16078">
      <c r="B16078" s="36"/>
      <c r="C16078" s="36"/>
      <c r="E16078" s="1"/>
      <c r="F16078" s="1"/>
      <c r="G16078" s="1"/>
    </row>
    <row r="16079">
      <c r="B16079" s="36"/>
      <c r="C16079" s="36"/>
      <c r="E16079" s="1"/>
      <c r="F16079" s="1"/>
      <c r="G16079" s="1"/>
    </row>
    <row r="16080">
      <c r="B16080" s="36"/>
      <c r="C16080" s="36"/>
      <c r="E16080" s="1"/>
      <c r="F16080" s="1"/>
      <c r="G16080" s="1"/>
    </row>
    <row r="16081">
      <c r="B16081" s="36"/>
      <c r="C16081" s="36"/>
      <c r="E16081" s="1"/>
      <c r="F16081" s="1"/>
      <c r="G16081" s="1"/>
    </row>
    <row r="16082">
      <c r="B16082" s="36"/>
      <c r="C16082" s="36"/>
      <c r="E16082" s="1"/>
      <c r="F16082" s="1"/>
      <c r="G16082" s="1"/>
    </row>
    <row r="16083">
      <c r="B16083" s="36"/>
      <c r="C16083" s="36"/>
      <c r="E16083" s="1"/>
      <c r="F16083" s="1"/>
      <c r="G16083" s="1"/>
    </row>
    <row r="16084">
      <c r="B16084" s="36"/>
      <c r="C16084" s="36"/>
      <c r="E16084" s="1"/>
      <c r="F16084" s="1"/>
      <c r="G16084" s="1"/>
    </row>
    <row r="16085">
      <c r="B16085" s="36"/>
      <c r="C16085" s="36"/>
      <c r="E16085" s="1"/>
      <c r="F16085" s="1"/>
      <c r="G16085" s="1"/>
    </row>
    <row r="16086">
      <c r="B16086" s="36"/>
      <c r="C16086" s="36"/>
      <c r="E16086" s="1"/>
      <c r="F16086" s="1"/>
      <c r="G16086" s="1"/>
    </row>
    <row r="16087">
      <c r="B16087" s="36"/>
      <c r="C16087" s="36"/>
      <c r="E16087" s="1"/>
      <c r="F16087" s="1"/>
      <c r="G16087" s="1"/>
    </row>
    <row r="16088">
      <c r="B16088" s="36"/>
      <c r="C16088" s="36"/>
      <c r="E16088" s="1"/>
      <c r="F16088" s="1"/>
      <c r="G16088" s="1"/>
    </row>
    <row r="16089">
      <c r="B16089" s="36"/>
      <c r="C16089" s="36"/>
      <c r="E16089" s="1"/>
      <c r="F16089" s="1"/>
      <c r="G16089" s="1"/>
    </row>
    <row r="16090">
      <c r="B16090" s="36"/>
      <c r="C16090" s="36"/>
      <c r="E16090" s="1"/>
      <c r="F16090" s="1"/>
      <c r="G16090" s="1"/>
    </row>
    <row r="16091">
      <c r="B16091" s="36"/>
      <c r="C16091" s="36"/>
      <c r="E16091" s="1"/>
      <c r="F16091" s="1"/>
      <c r="G16091" s="1"/>
    </row>
    <row r="16092">
      <c r="B16092" s="36"/>
      <c r="C16092" s="36"/>
      <c r="E16092" s="1"/>
      <c r="F16092" s="1"/>
      <c r="G16092" s="1"/>
    </row>
    <row r="16093">
      <c r="B16093" s="36"/>
      <c r="C16093" s="36"/>
      <c r="E16093" s="1"/>
      <c r="F16093" s="1"/>
      <c r="G16093" s="1"/>
    </row>
    <row r="16094">
      <c r="B16094" s="36"/>
      <c r="C16094" s="36"/>
      <c r="E16094" s="1"/>
      <c r="F16094" s="1"/>
      <c r="G16094" s="1"/>
    </row>
    <row r="16095">
      <c r="B16095" s="36"/>
      <c r="C16095" s="36"/>
      <c r="E16095" s="1"/>
      <c r="F16095" s="1"/>
      <c r="G16095" s="1"/>
    </row>
    <row r="16096">
      <c r="B16096" s="36"/>
      <c r="C16096" s="36"/>
      <c r="E16096" s="1"/>
      <c r="F16096" s="1"/>
      <c r="G16096" s="1"/>
    </row>
    <row r="16097">
      <c r="B16097" s="36"/>
      <c r="C16097" s="36"/>
      <c r="E16097" s="1"/>
      <c r="F16097" s="1"/>
      <c r="G16097" s="1"/>
    </row>
    <row r="16098">
      <c r="B16098" s="36"/>
      <c r="C16098" s="36"/>
      <c r="E16098" s="1"/>
      <c r="F16098" s="1"/>
      <c r="G16098" s="1"/>
    </row>
    <row r="16099">
      <c r="B16099" s="36"/>
      <c r="C16099" s="36"/>
      <c r="E16099" s="1"/>
      <c r="F16099" s="1"/>
      <c r="G16099" s="1"/>
    </row>
    <row r="16100">
      <c r="B16100" s="36"/>
      <c r="C16100" s="36"/>
      <c r="E16100" s="1"/>
      <c r="F16100" s="1"/>
      <c r="G16100" s="1"/>
    </row>
    <row r="16101">
      <c r="B16101" s="36"/>
      <c r="C16101" s="36"/>
      <c r="E16101" s="1"/>
      <c r="F16101" s="1"/>
      <c r="G16101" s="1"/>
    </row>
    <row r="16102">
      <c r="B16102" s="36"/>
      <c r="C16102" s="36"/>
      <c r="E16102" s="1"/>
      <c r="F16102" s="1"/>
      <c r="G16102" s="1"/>
    </row>
    <row r="16103">
      <c r="B16103" s="36"/>
      <c r="C16103" s="36"/>
      <c r="E16103" s="1"/>
      <c r="F16103" s="1"/>
      <c r="G16103" s="1"/>
    </row>
    <row r="16104">
      <c r="B16104" s="36"/>
      <c r="C16104" s="36"/>
      <c r="E16104" s="1"/>
      <c r="F16104" s="1"/>
      <c r="G16104" s="1"/>
    </row>
    <row r="16105">
      <c r="B16105" s="36"/>
      <c r="C16105" s="36"/>
      <c r="E16105" s="1"/>
      <c r="F16105" s="1"/>
      <c r="G16105" s="1"/>
    </row>
    <row r="16106">
      <c r="B16106" s="36"/>
      <c r="C16106" s="36"/>
      <c r="E16106" s="1"/>
      <c r="F16106" s="1"/>
      <c r="G16106" s="1"/>
    </row>
    <row r="16107">
      <c r="B16107" s="36"/>
      <c r="C16107" s="36"/>
      <c r="E16107" s="1"/>
      <c r="F16107" s="1"/>
      <c r="G16107" s="1"/>
    </row>
    <row r="16108">
      <c r="B16108" s="36"/>
      <c r="C16108" s="36"/>
      <c r="E16108" s="1"/>
      <c r="F16108" s="1"/>
      <c r="G16108" s="1"/>
    </row>
    <row r="16109">
      <c r="B16109" s="36"/>
      <c r="C16109" s="36"/>
      <c r="E16109" s="1"/>
      <c r="F16109" s="1"/>
      <c r="G16109" s="1"/>
    </row>
    <row r="16110">
      <c r="B16110" s="36"/>
      <c r="C16110" s="36"/>
      <c r="E16110" s="1"/>
      <c r="F16110" s="1"/>
      <c r="G16110" s="1"/>
    </row>
    <row r="16111">
      <c r="B16111" s="36"/>
      <c r="C16111" s="36"/>
      <c r="E16111" s="1"/>
      <c r="F16111" s="1"/>
      <c r="G16111" s="1"/>
    </row>
    <row r="16112">
      <c r="B16112" s="36"/>
      <c r="C16112" s="36"/>
      <c r="E16112" s="1"/>
      <c r="F16112" s="1"/>
      <c r="G16112" s="1"/>
    </row>
    <row r="16113">
      <c r="B16113" s="36"/>
      <c r="C16113" s="36"/>
      <c r="E16113" s="1"/>
      <c r="F16113" s="1"/>
      <c r="G16113" s="1"/>
    </row>
    <row r="16114">
      <c r="B16114" s="36"/>
      <c r="C16114" s="36"/>
      <c r="E16114" s="1"/>
      <c r="F16114" s="1"/>
      <c r="G16114" s="1"/>
    </row>
    <row r="16115">
      <c r="B16115" s="36"/>
      <c r="C16115" s="36"/>
      <c r="E16115" s="1"/>
      <c r="F16115" s="1"/>
      <c r="G16115" s="1"/>
    </row>
    <row r="16116">
      <c r="B16116" s="36"/>
      <c r="C16116" s="36"/>
      <c r="E16116" s="1"/>
      <c r="F16116" s="1"/>
      <c r="G16116" s="1"/>
    </row>
    <row r="16117">
      <c r="B16117" s="36"/>
      <c r="C16117" s="36"/>
      <c r="E16117" s="1"/>
      <c r="F16117" s="1"/>
      <c r="G16117" s="1"/>
    </row>
    <row r="16118">
      <c r="B16118" s="36"/>
      <c r="C16118" s="36"/>
      <c r="E16118" s="1"/>
      <c r="F16118" s="1"/>
      <c r="G16118" s="1"/>
    </row>
    <row r="16119">
      <c r="B16119" s="36"/>
      <c r="C16119" s="36"/>
      <c r="E16119" s="1"/>
      <c r="F16119" s="1"/>
      <c r="G16119" s="1"/>
    </row>
    <row r="16120">
      <c r="B16120" s="36"/>
      <c r="C16120" s="36"/>
      <c r="E16120" s="1"/>
      <c r="F16120" s="1"/>
      <c r="G16120" s="1"/>
    </row>
    <row r="16121">
      <c r="B16121" s="36"/>
      <c r="C16121" s="36"/>
      <c r="E16121" s="1"/>
      <c r="F16121" s="1"/>
      <c r="G16121" s="1"/>
    </row>
    <row r="16122">
      <c r="B16122" s="36"/>
      <c r="C16122" s="36"/>
      <c r="E16122" s="1"/>
      <c r="F16122" s="1"/>
      <c r="G16122" s="1"/>
    </row>
    <row r="16123">
      <c r="B16123" s="36"/>
      <c r="C16123" s="36"/>
      <c r="E16123" s="1"/>
      <c r="F16123" s="1"/>
      <c r="G16123" s="1"/>
    </row>
    <row r="16124">
      <c r="B16124" s="36"/>
      <c r="C16124" s="36"/>
      <c r="E16124" s="1"/>
      <c r="F16124" s="1"/>
      <c r="G16124" s="1"/>
    </row>
    <row r="16125">
      <c r="B16125" s="36"/>
      <c r="C16125" s="36"/>
      <c r="E16125" s="1"/>
      <c r="F16125" s="1"/>
      <c r="G16125" s="1"/>
    </row>
    <row r="16126">
      <c r="B16126" s="36"/>
      <c r="C16126" s="36"/>
      <c r="E16126" s="1"/>
      <c r="F16126" s="1"/>
      <c r="G16126" s="1"/>
    </row>
    <row r="16127">
      <c r="B16127" s="36"/>
      <c r="C16127" s="36"/>
      <c r="E16127" s="1"/>
      <c r="F16127" s="1"/>
      <c r="G16127" s="1"/>
    </row>
    <row r="16128">
      <c r="B16128" s="36"/>
      <c r="C16128" s="36"/>
      <c r="E16128" s="1"/>
      <c r="F16128" s="1"/>
      <c r="G16128" s="1"/>
    </row>
    <row r="16129">
      <c r="B16129" s="36"/>
      <c r="C16129" s="36"/>
      <c r="E16129" s="1"/>
      <c r="F16129" s="1"/>
      <c r="G16129" s="1"/>
    </row>
    <row r="16130">
      <c r="B16130" s="36"/>
      <c r="C16130" s="36"/>
      <c r="E16130" s="1"/>
      <c r="F16130" s="1"/>
      <c r="G16130" s="1"/>
    </row>
    <row r="16131">
      <c r="B16131" s="36"/>
      <c r="C16131" s="36"/>
      <c r="E16131" s="1"/>
      <c r="F16131" s="1"/>
      <c r="G16131" s="1"/>
    </row>
    <row r="16132">
      <c r="B16132" s="36"/>
      <c r="C16132" s="36"/>
      <c r="E16132" s="1"/>
      <c r="F16132" s="1"/>
      <c r="G16132" s="1"/>
    </row>
    <row r="16133">
      <c r="B16133" s="36"/>
      <c r="C16133" s="36"/>
      <c r="E16133" s="1"/>
      <c r="F16133" s="1"/>
      <c r="G16133" s="1"/>
    </row>
    <row r="16134">
      <c r="B16134" s="36"/>
      <c r="C16134" s="36"/>
      <c r="E16134" s="1"/>
      <c r="F16134" s="1"/>
      <c r="G16134" s="1"/>
    </row>
    <row r="16135">
      <c r="B16135" s="36"/>
      <c r="C16135" s="36"/>
      <c r="E16135" s="1"/>
      <c r="F16135" s="1"/>
      <c r="G16135" s="1"/>
    </row>
    <row r="16136">
      <c r="B16136" s="36"/>
      <c r="C16136" s="36"/>
      <c r="E16136" s="1"/>
      <c r="F16136" s="1"/>
      <c r="G16136" s="1"/>
    </row>
    <row r="16137">
      <c r="B16137" s="36"/>
      <c r="C16137" s="36"/>
      <c r="E16137" s="1"/>
      <c r="F16137" s="1"/>
      <c r="G16137" s="1"/>
    </row>
    <row r="16138">
      <c r="B16138" s="36"/>
      <c r="C16138" s="36"/>
      <c r="E16138" s="1"/>
      <c r="F16138" s="1"/>
      <c r="G16138" s="1"/>
    </row>
    <row r="16139">
      <c r="B16139" s="36"/>
      <c r="C16139" s="36"/>
      <c r="E16139" s="1"/>
      <c r="F16139" s="1"/>
      <c r="G16139" s="1"/>
    </row>
    <row r="16140">
      <c r="B16140" s="36"/>
      <c r="C16140" s="36"/>
      <c r="E16140" s="1"/>
      <c r="F16140" s="1"/>
      <c r="G16140" s="1"/>
    </row>
    <row r="16141">
      <c r="B16141" s="36"/>
      <c r="C16141" s="36"/>
      <c r="E16141" s="1"/>
      <c r="F16141" s="1"/>
      <c r="G16141" s="1"/>
    </row>
    <row r="16142">
      <c r="B16142" s="36"/>
      <c r="C16142" s="36"/>
      <c r="E16142" s="1"/>
      <c r="F16142" s="1"/>
      <c r="G16142" s="1"/>
    </row>
    <row r="16143">
      <c r="B16143" s="36"/>
      <c r="C16143" s="36"/>
      <c r="E16143" s="1"/>
      <c r="F16143" s="1"/>
      <c r="G16143" s="1"/>
    </row>
    <row r="16144">
      <c r="B16144" s="36"/>
      <c r="C16144" s="36"/>
      <c r="E16144" s="1"/>
      <c r="F16144" s="1"/>
      <c r="G16144" s="1"/>
    </row>
    <row r="16145">
      <c r="B16145" s="36"/>
      <c r="C16145" s="36"/>
      <c r="E16145" s="1"/>
      <c r="F16145" s="1"/>
      <c r="G16145" s="1"/>
    </row>
    <row r="16146">
      <c r="B16146" s="36"/>
      <c r="C16146" s="36"/>
      <c r="E16146" s="1"/>
      <c r="F16146" s="1"/>
      <c r="G16146" s="1"/>
    </row>
    <row r="16147">
      <c r="B16147" s="36"/>
      <c r="C16147" s="36"/>
      <c r="E16147" s="1"/>
      <c r="F16147" s="1"/>
      <c r="G16147" s="1"/>
    </row>
    <row r="16148">
      <c r="B16148" s="36"/>
      <c r="C16148" s="36"/>
      <c r="E16148" s="1"/>
      <c r="F16148" s="1"/>
      <c r="G16148" s="1"/>
    </row>
    <row r="16149">
      <c r="B16149" s="36"/>
      <c r="C16149" s="36"/>
      <c r="E16149" s="1"/>
      <c r="F16149" s="1"/>
      <c r="G16149" s="1"/>
    </row>
    <row r="16150">
      <c r="B16150" s="36"/>
      <c r="C16150" s="36"/>
      <c r="E16150" s="1"/>
      <c r="F16150" s="1"/>
      <c r="G16150" s="1"/>
    </row>
    <row r="16151">
      <c r="B16151" s="36"/>
      <c r="C16151" s="36"/>
      <c r="E16151" s="1"/>
      <c r="F16151" s="1"/>
      <c r="G16151" s="1"/>
    </row>
    <row r="16152">
      <c r="B16152" s="36"/>
      <c r="C16152" s="36"/>
      <c r="E16152" s="1"/>
      <c r="F16152" s="1"/>
      <c r="G16152" s="1"/>
    </row>
    <row r="16153">
      <c r="B16153" s="36"/>
      <c r="C16153" s="36"/>
      <c r="E16153" s="1"/>
      <c r="F16153" s="1"/>
      <c r="G16153" s="1"/>
    </row>
    <row r="16154">
      <c r="B16154" s="36"/>
      <c r="C16154" s="36"/>
      <c r="E16154" s="1"/>
      <c r="F16154" s="1"/>
      <c r="G16154" s="1"/>
    </row>
    <row r="16155">
      <c r="B16155" s="36"/>
      <c r="C16155" s="36"/>
      <c r="E16155" s="1"/>
      <c r="F16155" s="1"/>
      <c r="G16155" s="1"/>
    </row>
    <row r="16156">
      <c r="B16156" s="36"/>
      <c r="C16156" s="36"/>
      <c r="E16156" s="1"/>
      <c r="F16156" s="1"/>
      <c r="G16156" s="1"/>
    </row>
    <row r="16157">
      <c r="B16157" s="36"/>
      <c r="C16157" s="36"/>
      <c r="E16157" s="1"/>
      <c r="F16157" s="1"/>
      <c r="G16157" s="1"/>
    </row>
    <row r="16158">
      <c r="B16158" s="36"/>
      <c r="C16158" s="36"/>
      <c r="E16158" s="1"/>
      <c r="F16158" s="1"/>
      <c r="G16158" s="1"/>
    </row>
    <row r="16159">
      <c r="B16159" s="36"/>
      <c r="C16159" s="36"/>
      <c r="E16159" s="1"/>
      <c r="F16159" s="1"/>
      <c r="G16159" s="1"/>
    </row>
    <row r="16160">
      <c r="B16160" s="36"/>
      <c r="C16160" s="36"/>
      <c r="E16160" s="1"/>
      <c r="F16160" s="1"/>
      <c r="G16160" s="1"/>
    </row>
    <row r="16161">
      <c r="B16161" s="36"/>
      <c r="C16161" s="36"/>
      <c r="E16161" s="1"/>
      <c r="F16161" s="1"/>
      <c r="G16161" s="1"/>
    </row>
    <row r="16162">
      <c r="B16162" s="36"/>
      <c r="C16162" s="36"/>
      <c r="E16162" s="1"/>
      <c r="F16162" s="1"/>
      <c r="G16162" s="1"/>
    </row>
    <row r="16163">
      <c r="B16163" s="36"/>
      <c r="C16163" s="36"/>
      <c r="E16163" s="1"/>
      <c r="F16163" s="1"/>
      <c r="G16163" s="1"/>
    </row>
    <row r="16164">
      <c r="B16164" s="36"/>
      <c r="C16164" s="36"/>
      <c r="E16164" s="1"/>
      <c r="F16164" s="1"/>
      <c r="G16164" s="1"/>
    </row>
    <row r="16165">
      <c r="B16165" s="36"/>
      <c r="C16165" s="36"/>
      <c r="E16165" s="1"/>
      <c r="F16165" s="1"/>
      <c r="G16165" s="1"/>
    </row>
    <row r="16166">
      <c r="B16166" s="36"/>
      <c r="C16166" s="36"/>
      <c r="E16166" s="1"/>
      <c r="F16166" s="1"/>
      <c r="G16166" s="1"/>
    </row>
    <row r="16167">
      <c r="B16167" s="36"/>
      <c r="C16167" s="36"/>
      <c r="E16167" s="1"/>
      <c r="F16167" s="1"/>
      <c r="G16167" s="1"/>
    </row>
    <row r="16168">
      <c r="B16168" s="36"/>
      <c r="C16168" s="36"/>
      <c r="E16168" s="1"/>
      <c r="F16168" s="1"/>
      <c r="G16168" s="1"/>
    </row>
    <row r="16169">
      <c r="B16169" s="36"/>
      <c r="C16169" s="36"/>
      <c r="E16169" s="1"/>
      <c r="F16169" s="1"/>
      <c r="G16169" s="1"/>
    </row>
    <row r="16170">
      <c r="B16170" s="36"/>
      <c r="C16170" s="36"/>
      <c r="E16170" s="1"/>
      <c r="F16170" s="1"/>
      <c r="G16170" s="1"/>
    </row>
    <row r="16171">
      <c r="B16171" s="36"/>
      <c r="C16171" s="36"/>
      <c r="E16171" s="1"/>
      <c r="F16171" s="1"/>
      <c r="G16171" s="1"/>
    </row>
    <row r="16172">
      <c r="B16172" s="36"/>
      <c r="C16172" s="36"/>
      <c r="E16172" s="1"/>
      <c r="F16172" s="1"/>
      <c r="G16172" s="1"/>
    </row>
    <row r="16173">
      <c r="B16173" s="36"/>
      <c r="C16173" s="36"/>
      <c r="E16173" s="1"/>
      <c r="F16173" s="1"/>
      <c r="G16173" s="1"/>
    </row>
    <row r="16174">
      <c r="B16174" s="36"/>
      <c r="C16174" s="36"/>
      <c r="E16174" s="1"/>
      <c r="F16174" s="1"/>
      <c r="G16174" s="1"/>
    </row>
    <row r="16175">
      <c r="B16175" s="36"/>
      <c r="C16175" s="36"/>
      <c r="E16175" s="1"/>
      <c r="F16175" s="1"/>
      <c r="G16175" s="1"/>
    </row>
    <row r="16176">
      <c r="B16176" s="36"/>
      <c r="C16176" s="36"/>
      <c r="E16176" s="1"/>
      <c r="F16176" s="1"/>
      <c r="G16176" s="1"/>
    </row>
    <row r="16177">
      <c r="B16177" s="36"/>
      <c r="C16177" s="36"/>
      <c r="E16177" s="1"/>
      <c r="F16177" s="1"/>
      <c r="G16177" s="1"/>
    </row>
    <row r="16178">
      <c r="B16178" s="36"/>
      <c r="C16178" s="36"/>
      <c r="E16178" s="1"/>
      <c r="F16178" s="1"/>
      <c r="G16178" s="1"/>
    </row>
    <row r="16179">
      <c r="B16179" s="36"/>
      <c r="C16179" s="36"/>
      <c r="E16179" s="1"/>
      <c r="F16179" s="1"/>
      <c r="G16179" s="1"/>
    </row>
    <row r="16180">
      <c r="B16180" s="36"/>
      <c r="C16180" s="36"/>
      <c r="E16180" s="1"/>
      <c r="F16180" s="1"/>
      <c r="G16180" s="1"/>
    </row>
    <row r="16181">
      <c r="B16181" s="36"/>
      <c r="C16181" s="36"/>
      <c r="E16181" s="1"/>
      <c r="F16181" s="1"/>
      <c r="G16181" s="1"/>
    </row>
    <row r="16182">
      <c r="B16182" s="36"/>
      <c r="C16182" s="36"/>
      <c r="E16182" s="1"/>
      <c r="F16182" s="1"/>
      <c r="G16182" s="1"/>
    </row>
    <row r="16183">
      <c r="B16183" s="36"/>
      <c r="C16183" s="36"/>
      <c r="E16183" s="1"/>
      <c r="F16183" s="1"/>
      <c r="G16183" s="1"/>
    </row>
    <row r="16184">
      <c r="B16184" s="36"/>
      <c r="C16184" s="36"/>
      <c r="E16184" s="1"/>
      <c r="F16184" s="1"/>
      <c r="G16184" s="1"/>
    </row>
    <row r="16185">
      <c r="B16185" s="36"/>
      <c r="C16185" s="36"/>
      <c r="E16185" s="1"/>
      <c r="F16185" s="1"/>
      <c r="G16185" s="1"/>
    </row>
    <row r="16186">
      <c r="B16186" s="36"/>
      <c r="C16186" s="36"/>
      <c r="E16186" s="1"/>
      <c r="F16186" s="1"/>
      <c r="G16186" s="1"/>
    </row>
    <row r="16187">
      <c r="B16187" s="36"/>
      <c r="C16187" s="36"/>
      <c r="E16187" s="1"/>
      <c r="F16187" s="1"/>
      <c r="G16187" s="1"/>
    </row>
    <row r="16188">
      <c r="B16188" s="36"/>
      <c r="C16188" s="36"/>
      <c r="E16188" s="1"/>
      <c r="F16188" s="1"/>
      <c r="G16188" s="1"/>
    </row>
    <row r="16189">
      <c r="B16189" s="36"/>
      <c r="C16189" s="36"/>
      <c r="E16189" s="1"/>
      <c r="F16189" s="1"/>
      <c r="G16189" s="1"/>
    </row>
    <row r="16190">
      <c r="B16190" s="36"/>
      <c r="C16190" s="36"/>
      <c r="E16190" s="1"/>
      <c r="F16190" s="1"/>
      <c r="G16190" s="1"/>
    </row>
    <row r="16191">
      <c r="B16191" s="36"/>
      <c r="C16191" s="36"/>
      <c r="E16191" s="1"/>
      <c r="F16191" s="1"/>
      <c r="G16191" s="1"/>
    </row>
    <row r="16192">
      <c r="B16192" s="36"/>
      <c r="C16192" s="36"/>
      <c r="E16192" s="1"/>
      <c r="F16192" s="1"/>
      <c r="G16192" s="1"/>
    </row>
    <row r="16193">
      <c r="B16193" s="36"/>
      <c r="C16193" s="36"/>
      <c r="E16193" s="1"/>
      <c r="F16193" s="1"/>
      <c r="G16193" s="1"/>
    </row>
    <row r="16194">
      <c r="B16194" s="36"/>
      <c r="C16194" s="36"/>
      <c r="E16194" s="1"/>
      <c r="F16194" s="1"/>
      <c r="G16194" s="1"/>
    </row>
    <row r="16195">
      <c r="B16195" s="36"/>
      <c r="C16195" s="36"/>
      <c r="E16195" s="1"/>
      <c r="F16195" s="1"/>
      <c r="G16195" s="1"/>
    </row>
    <row r="16196">
      <c r="B16196" s="36"/>
      <c r="C16196" s="36"/>
      <c r="E16196" s="1"/>
      <c r="F16196" s="1"/>
      <c r="G16196" s="1"/>
    </row>
    <row r="16197">
      <c r="B16197" s="36"/>
      <c r="C16197" s="36"/>
      <c r="E16197" s="1"/>
      <c r="F16197" s="1"/>
      <c r="G16197" s="1"/>
    </row>
    <row r="16198">
      <c r="B16198" s="36"/>
      <c r="C16198" s="36"/>
      <c r="E16198" s="1"/>
      <c r="F16198" s="1"/>
      <c r="G16198" s="1"/>
    </row>
    <row r="16199">
      <c r="B16199" s="36"/>
      <c r="C16199" s="36"/>
      <c r="E16199" s="1"/>
      <c r="F16199" s="1"/>
      <c r="G16199" s="1"/>
    </row>
    <row r="16200">
      <c r="B16200" s="36"/>
      <c r="C16200" s="36"/>
      <c r="E16200" s="1"/>
      <c r="F16200" s="1"/>
      <c r="G16200" s="1"/>
    </row>
    <row r="16201">
      <c r="B16201" s="36"/>
      <c r="C16201" s="36"/>
      <c r="E16201" s="1"/>
      <c r="F16201" s="1"/>
      <c r="G16201" s="1"/>
    </row>
    <row r="16202">
      <c r="B16202" s="36"/>
      <c r="C16202" s="36"/>
      <c r="E16202" s="1"/>
      <c r="F16202" s="1"/>
      <c r="G16202" s="1"/>
    </row>
    <row r="16203">
      <c r="B16203" s="36"/>
      <c r="C16203" s="36"/>
      <c r="E16203" s="1"/>
      <c r="F16203" s="1"/>
      <c r="G16203" s="1"/>
    </row>
    <row r="16204">
      <c r="B16204" s="36"/>
      <c r="C16204" s="36"/>
      <c r="E16204" s="1"/>
      <c r="F16204" s="1"/>
      <c r="G16204" s="1"/>
    </row>
    <row r="16205">
      <c r="B16205" s="36"/>
      <c r="C16205" s="36"/>
      <c r="E16205" s="1"/>
      <c r="F16205" s="1"/>
      <c r="G16205" s="1"/>
    </row>
    <row r="16206">
      <c r="B16206" s="36"/>
      <c r="C16206" s="36"/>
      <c r="E16206" s="1"/>
      <c r="F16206" s="1"/>
      <c r="G16206" s="1"/>
    </row>
    <row r="16207">
      <c r="B16207" s="36"/>
      <c r="C16207" s="36"/>
      <c r="E16207" s="1"/>
      <c r="F16207" s="1"/>
      <c r="G16207" s="1"/>
    </row>
    <row r="16208">
      <c r="B16208" s="36"/>
      <c r="C16208" s="36"/>
      <c r="E16208" s="1"/>
      <c r="F16208" s="1"/>
      <c r="G16208" s="1"/>
    </row>
    <row r="16209">
      <c r="B16209" s="36"/>
      <c r="C16209" s="36"/>
      <c r="E16209" s="1"/>
      <c r="F16209" s="1"/>
      <c r="G16209" s="1"/>
    </row>
    <row r="16210">
      <c r="B16210" s="36"/>
      <c r="C16210" s="36"/>
      <c r="E16210" s="1"/>
      <c r="F16210" s="1"/>
      <c r="G16210" s="1"/>
    </row>
    <row r="16211">
      <c r="B16211" s="36"/>
      <c r="C16211" s="36"/>
      <c r="E16211" s="1"/>
      <c r="F16211" s="1"/>
      <c r="G16211" s="1"/>
    </row>
    <row r="16212">
      <c r="B16212" s="36"/>
      <c r="C16212" s="36"/>
      <c r="E16212" s="1"/>
      <c r="F16212" s="1"/>
      <c r="G16212" s="1"/>
    </row>
    <row r="16213">
      <c r="B16213" s="36"/>
      <c r="C16213" s="36"/>
      <c r="E16213" s="1"/>
      <c r="F16213" s="1"/>
      <c r="G16213" s="1"/>
    </row>
    <row r="16214">
      <c r="B16214" s="36"/>
      <c r="C16214" s="36"/>
      <c r="E16214" s="1"/>
      <c r="F16214" s="1"/>
      <c r="G16214" s="1"/>
    </row>
    <row r="16215">
      <c r="B16215" s="36"/>
      <c r="C16215" s="36"/>
      <c r="E16215" s="1"/>
      <c r="F16215" s="1"/>
      <c r="G16215" s="1"/>
    </row>
    <row r="16216">
      <c r="B16216" s="36"/>
      <c r="C16216" s="36"/>
      <c r="E16216" s="1"/>
      <c r="F16216" s="1"/>
      <c r="G16216" s="1"/>
    </row>
    <row r="16217">
      <c r="B16217" s="36"/>
      <c r="C16217" s="36"/>
      <c r="E16217" s="1"/>
      <c r="F16217" s="1"/>
      <c r="G16217" s="1"/>
    </row>
    <row r="16218">
      <c r="B16218" s="36"/>
      <c r="C16218" s="36"/>
      <c r="E16218" s="1"/>
      <c r="F16218" s="1"/>
      <c r="G16218" s="1"/>
    </row>
    <row r="16219">
      <c r="B16219" s="36"/>
      <c r="C16219" s="36"/>
      <c r="E16219" s="1"/>
      <c r="F16219" s="1"/>
      <c r="G16219" s="1"/>
    </row>
    <row r="16220">
      <c r="B16220" s="36"/>
      <c r="C16220" s="36"/>
      <c r="E16220" s="1"/>
      <c r="F16220" s="1"/>
      <c r="G16220" s="1"/>
    </row>
    <row r="16221">
      <c r="B16221" s="36"/>
      <c r="C16221" s="36"/>
      <c r="E16221" s="1"/>
      <c r="F16221" s="1"/>
      <c r="G16221" s="1"/>
    </row>
    <row r="16222">
      <c r="B16222" s="36"/>
      <c r="C16222" s="36"/>
      <c r="E16222" s="1"/>
      <c r="F16222" s="1"/>
      <c r="G16222" s="1"/>
    </row>
    <row r="16223">
      <c r="B16223" s="36"/>
      <c r="C16223" s="36"/>
      <c r="E16223" s="1"/>
      <c r="F16223" s="1"/>
      <c r="G16223" s="1"/>
    </row>
    <row r="16224">
      <c r="B16224" s="36"/>
      <c r="C16224" s="36"/>
      <c r="E16224" s="1"/>
      <c r="F16224" s="1"/>
      <c r="G16224" s="1"/>
    </row>
    <row r="16225">
      <c r="B16225" s="36"/>
      <c r="C16225" s="36"/>
      <c r="E16225" s="1"/>
      <c r="F16225" s="1"/>
      <c r="G16225" s="1"/>
    </row>
    <row r="16226">
      <c r="B16226" s="36"/>
      <c r="C16226" s="36"/>
      <c r="E16226" s="1"/>
      <c r="F16226" s="1"/>
      <c r="G16226" s="1"/>
    </row>
    <row r="16227">
      <c r="B16227" s="36"/>
      <c r="C16227" s="36"/>
      <c r="E16227" s="1"/>
      <c r="F16227" s="1"/>
      <c r="G16227" s="1"/>
    </row>
    <row r="16228">
      <c r="B16228" s="36"/>
      <c r="C16228" s="36"/>
      <c r="E16228" s="1"/>
      <c r="F16228" s="1"/>
      <c r="G16228" s="1"/>
    </row>
    <row r="16229">
      <c r="B16229" s="36"/>
      <c r="C16229" s="36"/>
      <c r="E16229" s="1"/>
      <c r="F16229" s="1"/>
      <c r="G16229" s="1"/>
    </row>
    <row r="16230">
      <c r="B16230" s="36"/>
      <c r="C16230" s="36"/>
      <c r="E16230" s="1"/>
      <c r="F16230" s="1"/>
      <c r="G16230" s="1"/>
    </row>
    <row r="16231">
      <c r="B16231" s="36"/>
      <c r="C16231" s="36"/>
      <c r="E16231" s="1"/>
      <c r="F16231" s="1"/>
      <c r="G16231" s="1"/>
    </row>
    <row r="16232">
      <c r="B16232" s="36"/>
      <c r="C16232" s="36"/>
      <c r="E16232" s="1"/>
      <c r="F16232" s="1"/>
      <c r="G16232" s="1"/>
    </row>
    <row r="16233">
      <c r="B16233" s="36"/>
      <c r="C16233" s="36"/>
      <c r="E16233" s="1"/>
      <c r="F16233" s="1"/>
      <c r="G16233" s="1"/>
    </row>
    <row r="16234">
      <c r="B16234" s="36"/>
      <c r="C16234" s="36"/>
      <c r="E16234" s="1"/>
      <c r="F16234" s="1"/>
      <c r="G16234" s="1"/>
    </row>
    <row r="16235">
      <c r="B16235" s="36"/>
      <c r="C16235" s="36"/>
      <c r="E16235" s="1"/>
      <c r="F16235" s="1"/>
      <c r="G16235" s="1"/>
    </row>
    <row r="16236">
      <c r="B16236" s="36"/>
      <c r="C16236" s="36"/>
      <c r="E16236" s="1"/>
      <c r="F16236" s="1"/>
      <c r="G16236" s="1"/>
    </row>
    <row r="16237">
      <c r="B16237" s="36"/>
      <c r="C16237" s="36"/>
      <c r="E16237" s="1"/>
      <c r="F16237" s="1"/>
      <c r="G16237" s="1"/>
    </row>
    <row r="16238">
      <c r="B16238" s="36"/>
      <c r="C16238" s="36"/>
      <c r="E16238" s="1"/>
      <c r="F16238" s="1"/>
      <c r="G16238" s="1"/>
    </row>
    <row r="16239">
      <c r="B16239" s="36"/>
      <c r="C16239" s="36"/>
      <c r="E16239" s="1"/>
      <c r="F16239" s="1"/>
      <c r="G16239" s="1"/>
    </row>
    <row r="16240">
      <c r="B16240" s="36"/>
      <c r="C16240" s="36"/>
      <c r="E16240" s="1"/>
      <c r="F16240" s="1"/>
      <c r="G16240" s="1"/>
    </row>
    <row r="16241">
      <c r="B16241" s="36"/>
      <c r="C16241" s="36"/>
      <c r="E16241" s="1"/>
      <c r="F16241" s="1"/>
      <c r="G16241" s="1"/>
    </row>
    <row r="16242">
      <c r="B16242" s="36"/>
      <c r="C16242" s="36"/>
      <c r="E16242" s="1"/>
      <c r="F16242" s="1"/>
      <c r="G16242" s="1"/>
    </row>
    <row r="16243">
      <c r="B16243" s="36"/>
      <c r="C16243" s="36"/>
      <c r="E16243" s="1"/>
      <c r="F16243" s="1"/>
      <c r="G16243" s="1"/>
    </row>
    <row r="16244">
      <c r="B16244" s="36"/>
      <c r="C16244" s="36"/>
      <c r="E16244" s="1"/>
      <c r="F16244" s="1"/>
      <c r="G16244" s="1"/>
    </row>
    <row r="16245">
      <c r="B16245" s="36"/>
      <c r="C16245" s="36"/>
      <c r="E16245" s="1"/>
      <c r="F16245" s="1"/>
      <c r="G16245" s="1"/>
    </row>
    <row r="16246">
      <c r="B16246" s="36"/>
      <c r="C16246" s="36"/>
      <c r="E16246" s="1"/>
      <c r="F16246" s="1"/>
      <c r="G16246" s="1"/>
    </row>
    <row r="16247">
      <c r="B16247" s="36"/>
      <c r="C16247" s="36"/>
      <c r="E16247" s="1"/>
      <c r="F16247" s="1"/>
      <c r="G16247" s="1"/>
    </row>
    <row r="16248">
      <c r="B16248" s="36"/>
      <c r="C16248" s="36"/>
      <c r="E16248" s="1"/>
      <c r="F16248" s="1"/>
      <c r="G16248" s="1"/>
    </row>
    <row r="16249">
      <c r="B16249" s="36"/>
      <c r="C16249" s="36"/>
      <c r="E16249" s="1"/>
      <c r="F16249" s="1"/>
      <c r="G16249" s="1"/>
    </row>
    <row r="16250">
      <c r="B16250" s="36"/>
      <c r="C16250" s="36"/>
      <c r="E16250" s="1"/>
      <c r="F16250" s="1"/>
      <c r="G16250" s="1"/>
    </row>
    <row r="16251">
      <c r="B16251" s="36"/>
      <c r="C16251" s="36"/>
      <c r="E16251" s="1"/>
      <c r="F16251" s="1"/>
      <c r="G16251" s="1"/>
    </row>
    <row r="16252">
      <c r="B16252" s="36"/>
      <c r="C16252" s="36"/>
      <c r="E16252" s="1"/>
      <c r="F16252" s="1"/>
      <c r="G16252" s="1"/>
    </row>
    <row r="16253">
      <c r="B16253" s="36"/>
      <c r="C16253" s="36"/>
      <c r="E16253" s="1"/>
      <c r="F16253" s="1"/>
      <c r="G16253" s="1"/>
    </row>
    <row r="16254">
      <c r="B16254" s="36"/>
      <c r="C16254" s="36"/>
      <c r="E16254" s="1"/>
      <c r="F16254" s="1"/>
      <c r="G16254" s="1"/>
    </row>
    <row r="16255">
      <c r="B16255" s="36"/>
      <c r="C16255" s="36"/>
      <c r="E16255" s="1"/>
      <c r="F16255" s="1"/>
      <c r="G16255" s="1"/>
    </row>
    <row r="16256">
      <c r="B16256" s="36"/>
      <c r="C16256" s="36"/>
      <c r="E16256" s="1"/>
      <c r="F16256" s="1"/>
      <c r="G16256" s="1"/>
    </row>
    <row r="16257">
      <c r="B16257" s="36"/>
      <c r="C16257" s="36"/>
      <c r="E16257" s="1"/>
      <c r="F16257" s="1"/>
      <c r="G16257" s="1"/>
    </row>
    <row r="16258">
      <c r="B16258" s="36"/>
      <c r="C16258" s="36"/>
      <c r="E16258" s="1"/>
      <c r="F16258" s="1"/>
      <c r="G16258" s="1"/>
    </row>
    <row r="16259">
      <c r="B16259" s="36"/>
      <c r="C16259" s="36"/>
      <c r="E16259" s="1"/>
      <c r="F16259" s="1"/>
      <c r="G16259" s="1"/>
    </row>
    <row r="16260">
      <c r="B16260" s="36"/>
      <c r="C16260" s="36"/>
      <c r="E16260" s="1"/>
      <c r="F16260" s="1"/>
      <c r="G16260" s="1"/>
    </row>
    <row r="16261">
      <c r="B16261" s="36"/>
      <c r="C16261" s="36"/>
      <c r="E16261" s="1"/>
      <c r="F16261" s="1"/>
      <c r="G16261" s="1"/>
    </row>
    <row r="16262">
      <c r="B16262" s="36"/>
      <c r="C16262" s="36"/>
      <c r="E16262" s="1"/>
      <c r="F16262" s="1"/>
      <c r="G16262" s="1"/>
    </row>
    <row r="16263">
      <c r="B16263" s="36"/>
      <c r="C16263" s="36"/>
      <c r="E16263" s="1"/>
      <c r="F16263" s="1"/>
      <c r="G16263" s="1"/>
    </row>
    <row r="16264">
      <c r="B16264" s="36"/>
      <c r="C16264" s="36"/>
      <c r="E16264" s="1"/>
      <c r="F16264" s="1"/>
      <c r="G16264" s="1"/>
    </row>
    <row r="16265">
      <c r="B16265" s="36"/>
      <c r="C16265" s="36"/>
      <c r="E16265" s="1"/>
      <c r="F16265" s="1"/>
      <c r="G16265" s="1"/>
    </row>
    <row r="16266">
      <c r="B16266" s="36"/>
      <c r="C16266" s="36"/>
      <c r="E16266" s="1"/>
      <c r="F16266" s="1"/>
      <c r="G16266" s="1"/>
    </row>
    <row r="16267">
      <c r="B16267" s="36"/>
      <c r="C16267" s="36"/>
      <c r="E16267" s="1"/>
      <c r="F16267" s="1"/>
      <c r="G16267" s="1"/>
    </row>
    <row r="16268">
      <c r="B16268" s="36"/>
      <c r="C16268" s="36"/>
      <c r="E16268" s="1"/>
      <c r="F16268" s="1"/>
      <c r="G16268" s="1"/>
    </row>
    <row r="16269">
      <c r="B16269" s="36"/>
      <c r="C16269" s="36"/>
      <c r="E16269" s="1"/>
      <c r="F16269" s="1"/>
      <c r="G16269" s="1"/>
    </row>
    <row r="16270">
      <c r="B16270" s="36"/>
      <c r="C16270" s="36"/>
      <c r="E16270" s="1"/>
      <c r="F16270" s="1"/>
      <c r="G16270" s="1"/>
    </row>
    <row r="16271">
      <c r="B16271" s="36"/>
      <c r="C16271" s="36"/>
      <c r="E16271" s="1"/>
      <c r="F16271" s="1"/>
      <c r="G16271" s="1"/>
    </row>
    <row r="16272">
      <c r="B16272" s="36"/>
      <c r="C16272" s="36"/>
      <c r="E16272" s="1"/>
      <c r="F16272" s="1"/>
      <c r="G16272" s="1"/>
    </row>
    <row r="16273">
      <c r="B16273" s="36"/>
      <c r="C16273" s="36"/>
      <c r="E16273" s="1"/>
      <c r="F16273" s="1"/>
      <c r="G16273" s="1"/>
    </row>
    <row r="16274">
      <c r="B16274" s="36"/>
      <c r="C16274" s="36"/>
      <c r="E16274" s="1"/>
      <c r="F16274" s="1"/>
      <c r="G16274" s="1"/>
    </row>
    <row r="16275">
      <c r="B16275" s="36"/>
      <c r="C16275" s="36"/>
      <c r="E16275" s="1"/>
      <c r="F16275" s="1"/>
      <c r="G16275" s="1"/>
    </row>
    <row r="16276">
      <c r="B16276" s="36"/>
      <c r="C16276" s="36"/>
      <c r="E16276" s="1"/>
      <c r="F16276" s="1"/>
      <c r="G16276" s="1"/>
    </row>
    <row r="16277">
      <c r="B16277" s="36"/>
      <c r="C16277" s="36"/>
      <c r="E16277" s="1"/>
      <c r="F16277" s="1"/>
      <c r="G16277" s="1"/>
    </row>
    <row r="16278">
      <c r="B16278" s="36"/>
      <c r="C16278" s="36"/>
      <c r="E16278" s="1"/>
      <c r="F16278" s="1"/>
      <c r="G16278" s="1"/>
    </row>
    <row r="16279">
      <c r="B16279" s="36"/>
      <c r="C16279" s="36"/>
      <c r="E16279" s="1"/>
      <c r="F16279" s="1"/>
      <c r="G16279" s="1"/>
    </row>
    <row r="16280">
      <c r="B16280" s="36"/>
      <c r="C16280" s="36"/>
      <c r="E16280" s="1"/>
      <c r="F16280" s="1"/>
      <c r="G16280" s="1"/>
    </row>
    <row r="16281">
      <c r="B16281" s="36"/>
      <c r="C16281" s="36"/>
      <c r="E16281" s="1"/>
      <c r="F16281" s="1"/>
      <c r="G16281" s="1"/>
    </row>
    <row r="16282">
      <c r="B16282" s="36"/>
      <c r="C16282" s="36"/>
      <c r="E16282" s="1"/>
      <c r="F16282" s="1"/>
      <c r="G16282" s="1"/>
    </row>
    <row r="16283">
      <c r="B16283" s="36"/>
      <c r="C16283" s="36"/>
      <c r="E16283" s="1"/>
      <c r="F16283" s="1"/>
      <c r="G16283" s="1"/>
    </row>
    <row r="16284">
      <c r="B16284" s="36"/>
      <c r="C16284" s="36"/>
      <c r="E16284" s="1"/>
      <c r="F16284" s="1"/>
      <c r="G16284" s="1"/>
    </row>
    <row r="16285">
      <c r="B16285" s="36"/>
      <c r="C16285" s="36"/>
      <c r="E16285" s="1"/>
      <c r="F16285" s="1"/>
      <c r="G16285" s="1"/>
    </row>
    <row r="16286">
      <c r="B16286" s="36"/>
      <c r="C16286" s="36"/>
      <c r="E16286" s="1"/>
      <c r="F16286" s="1"/>
      <c r="G16286" s="1"/>
    </row>
    <row r="16287">
      <c r="B16287" s="36"/>
      <c r="C16287" s="36"/>
      <c r="E16287" s="1"/>
      <c r="F16287" s="1"/>
      <c r="G16287" s="1"/>
    </row>
    <row r="16288">
      <c r="B16288" s="36"/>
      <c r="C16288" s="36"/>
      <c r="E16288" s="1"/>
      <c r="F16288" s="1"/>
      <c r="G16288" s="1"/>
    </row>
    <row r="16289">
      <c r="B16289" s="36"/>
      <c r="C16289" s="36"/>
      <c r="E16289" s="1"/>
      <c r="F16289" s="1"/>
      <c r="G16289" s="1"/>
    </row>
    <row r="16290">
      <c r="B16290" s="36"/>
      <c r="C16290" s="36"/>
      <c r="E16290" s="1"/>
      <c r="F16290" s="1"/>
      <c r="G16290" s="1"/>
    </row>
    <row r="16291">
      <c r="B16291" s="36"/>
      <c r="C16291" s="36"/>
      <c r="E16291" s="1"/>
      <c r="F16291" s="1"/>
      <c r="G16291" s="1"/>
    </row>
    <row r="16292">
      <c r="B16292" s="36"/>
      <c r="C16292" s="36"/>
      <c r="E16292" s="1"/>
      <c r="F16292" s="1"/>
      <c r="G16292" s="1"/>
    </row>
    <row r="16293">
      <c r="B16293" s="36"/>
      <c r="C16293" s="36"/>
      <c r="E16293" s="1"/>
      <c r="F16293" s="1"/>
      <c r="G16293" s="1"/>
    </row>
    <row r="16294">
      <c r="B16294" s="36"/>
      <c r="C16294" s="36"/>
      <c r="E16294" s="1"/>
      <c r="F16294" s="1"/>
      <c r="G16294" s="1"/>
    </row>
    <row r="16295">
      <c r="B16295" s="36"/>
      <c r="C16295" s="36"/>
      <c r="E16295" s="1"/>
      <c r="F16295" s="1"/>
      <c r="G16295" s="1"/>
    </row>
    <row r="16296">
      <c r="B16296" s="36"/>
      <c r="C16296" s="36"/>
      <c r="E16296" s="1"/>
      <c r="F16296" s="1"/>
      <c r="G16296" s="1"/>
    </row>
    <row r="16297">
      <c r="B16297" s="36"/>
      <c r="C16297" s="36"/>
      <c r="E16297" s="1"/>
      <c r="F16297" s="1"/>
      <c r="G16297" s="1"/>
    </row>
    <row r="16298">
      <c r="B16298" s="36"/>
      <c r="C16298" s="36"/>
      <c r="E16298" s="1"/>
      <c r="F16298" s="1"/>
      <c r="G16298" s="1"/>
    </row>
    <row r="16299">
      <c r="B16299" s="36"/>
      <c r="C16299" s="36"/>
      <c r="E16299" s="1"/>
      <c r="F16299" s="1"/>
      <c r="G16299" s="1"/>
    </row>
    <row r="16300">
      <c r="B16300" s="36"/>
      <c r="C16300" s="36"/>
      <c r="E16300" s="1"/>
      <c r="F16300" s="1"/>
      <c r="G16300" s="1"/>
    </row>
    <row r="16301">
      <c r="B16301" s="36"/>
      <c r="C16301" s="36"/>
      <c r="E16301" s="1"/>
      <c r="F16301" s="1"/>
      <c r="G16301" s="1"/>
    </row>
    <row r="16302">
      <c r="B16302" s="36"/>
      <c r="C16302" s="36"/>
      <c r="E16302" s="1"/>
      <c r="F16302" s="1"/>
      <c r="G16302" s="1"/>
    </row>
    <row r="16303">
      <c r="B16303" s="36"/>
      <c r="C16303" s="36"/>
      <c r="E16303" s="1"/>
      <c r="F16303" s="1"/>
      <c r="G16303" s="1"/>
    </row>
    <row r="16304">
      <c r="B16304" s="36"/>
      <c r="C16304" s="36"/>
      <c r="E16304" s="1"/>
      <c r="F16304" s="1"/>
      <c r="G16304" s="1"/>
    </row>
    <row r="16305">
      <c r="B16305" s="36"/>
      <c r="C16305" s="36"/>
      <c r="E16305" s="1"/>
      <c r="F16305" s="1"/>
      <c r="G16305" s="1"/>
    </row>
    <row r="16306">
      <c r="B16306" s="36"/>
      <c r="C16306" s="36"/>
      <c r="E16306" s="1"/>
      <c r="F16306" s="1"/>
      <c r="G16306" s="1"/>
    </row>
    <row r="16307">
      <c r="B16307" s="36"/>
      <c r="C16307" s="36"/>
      <c r="E16307" s="1"/>
      <c r="F16307" s="1"/>
      <c r="G16307" s="1"/>
    </row>
    <row r="16308">
      <c r="B16308" s="36"/>
      <c r="C16308" s="36"/>
      <c r="E16308" s="1"/>
      <c r="F16308" s="1"/>
      <c r="G16308" s="1"/>
    </row>
    <row r="16309">
      <c r="B16309" s="36"/>
      <c r="C16309" s="36"/>
      <c r="E16309" s="1"/>
      <c r="F16309" s="1"/>
      <c r="G16309" s="1"/>
    </row>
    <row r="16310">
      <c r="B16310" s="36"/>
      <c r="C16310" s="36"/>
      <c r="E16310" s="1"/>
      <c r="F16310" s="1"/>
      <c r="G16310" s="1"/>
    </row>
    <row r="16311">
      <c r="B16311" s="36"/>
      <c r="C16311" s="36"/>
      <c r="E16311" s="1"/>
      <c r="F16311" s="1"/>
      <c r="G16311" s="1"/>
    </row>
    <row r="16312">
      <c r="B16312" s="36"/>
      <c r="C16312" s="36"/>
      <c r="E16312" s="1"/>
      <c r="F16312" s="1"/>
      <c r="G16312" s="1"/>
    </row>
    <row r="16313">
      <c r="B16313" s="36"/>
      <c r="C16313" s="36"/>
      <c r="E16313" s="1"/>
      <c r="F16313" s="1"/>
      <c r="G16313" s="1"/>
    </row>
    <row r="16314">
      <c r="B16314" s="36"/>
      <c r="C16314" s="36"/>
      <c r="E16314" s="1"/>
      <c r="F16314" s="1"/>
      <c r="G16314" s="1"/>
    </row>
    <row r="16315">
      <c r="B16315" s="36"/>
      <c r="C16315" s="36"/>
      <c r="E16315" s="1"/>
      <c r="F16315" s="1"/>
      <c r="G16315" s="1"/>
    </row>
    <row r="16316">
      <c r="B16316" s="36"/>
      <c r="C16316" s="36"/>
      <c r="E16316" s="1"/>
      <c r="F16316" s="1"/>
      <c r="G16316" s="1"/>
    </row>
    <row r="16317">
      <c r="B16317" s="36"/>
      <c r="C16317" s="36"/>
      <c r="E16317" s="1"/>
      <c r="F16317" s="1"/>
      <c r="G16317" s="1"/>
    </row>
    <row r="16318">
      <c r="B16318" s="36"/>
      <c r="C16318" s="36"/>
      <c r="E16318" s="1"/>
      <c r="F16318" s="1"/>
      <c r="G16318" s="1"/>
    </row>
    <row r="16319">
      <c r="B16319" s="36"/>
      <c r="C16319" s="36"/>
      <c r="E16319" s="1"/>
      <c r="F16319" s="1"/>
      <c r="G16319" s="1"/>
    </row>
    <row r="16320">
      <c r="B16320" s="36"/>
      <c r="C16320" s="36"/>
      <c r="E16320" s="1"/>
      <c r="F16320" s="1"/>
      <c r="G16320" s="1"/>
    </row>
    <row r="16321">
      <c r="B16321" s="36"/>
      <c r="C16321" s="36"/>
      <c r="E16321" s="1"/>
      <c r="F16321" s="1"/>
      <c r="G16321" s="1"/>
    </row>
    <row r="16322">
      <c r="B16322" s="36"/>
      <c r="C16322" s="36"/>
      <c r="E16322" s="1"/>
      <c r="F16322" s="1"/>
      <c r="G16322" s="1"/>
    </row>
    <row r="16323">
      <c r="B16323" s="36"/>
      <c r="C16323" s="36"/>
      <c r="E16323" s="1"/>
      <c r="F16323" s="1"/>
      <c r="G16323" s="1"/>
    </row>
    <row r="16324">
      <c r="B16324" s="36"/>
      <c r="C16324" s="36"/>
      <c r="E16324" s="1"/>
      <c r="F16324" s="1"/>
      <c r="G16324" s="1"/>
    </row>
    <row r="16325">
      <c r="B16325" s="36"/>
      <c r="C16325" s="36"/>
      <c r="E16325" s="1"/>
      <c r="F16325" s="1"/>
      <c r="G16325" s="1"/>
    </row>
    <row r="16326">
      <c r="B16326" s="36"/>
      <c r="C16326" s="36"/>
      <c r="E16326" s="1"/>
      <c r="F16326" s="1"/>
      <c r="G16326" s="1"/>
    </row>
    <row r="16327">
      <c r="B16327" s="36"/>
      <c r="C16327" s="36"/>
      <c r="E16327" s="1"/>
      <c r="F16327" s="1"/>
      <c r="G16327" s="1"/>
    </row>
    <row r="16328">
      <c r="B16328" s="36"/>
      <c r="C16328" s="36"/>
      <c r="E16328" s="1"/>
      <c r="F16328" s="1"/>
      <c r="G16328" s="1"/>
    </row>
    <row r="16329">
      <c r="B16329" s="36"/>
      <c r="C16329" s="36"/>
      <c r="E16329" s="1"/>
      <c r="F16329" s="1"/>
      <c r="G16329" s="1"/>
    </row>
    <row r="16330">
      <c r="B16330" s="36"/>
      <c r="C16330" s="36"/>
      <c r="E16330" s="1"/>
      <c r="F16330" s="1"/>
      <c r="G16330" s="1"/>
    </row>
    <row r="16331">
      <c r="B16331" s="36"/>
      <c r="C16331" s="36"/>
      <c r="E16331" s="1"/>
      <c r="F16331" s="1"/>
      <c r="G16331" s="1"/>
    </row>
    <row r="16332">
      <c r="B16332" s="36"/>
      <c r="C16332" s="36"/>
      <c r="E16332" s="1"/>
      <c r="F16332" s="1"/>
      <c r="G16332" s="1"/>
    </row>
    <row r="16333">
      <c r="B16333" s="36"/>
      <c r="C16333" s="36"/>
      <c r="E16333" s="1"/>
      <c r="F16333" s="1"/>
      <c r="G16333" s="1"/>
    </row>
    <row r="16334">
      <c r="B16334" s="36"/>
      <c r="C16334" s="36"/>
      <c r="E16334" s="1"/>
      <c r="F16334" s="1"/>
      <c r="G16334" s="1"/>
    </row>
    <row r="16335">
      <c r="B16335" s="36"/>
      <c r="C16335" s="36"/>
      <c r="E16335" s="1"/>
      <c r="F16335" s="1"/>
      <c r="G16335" s="1"/>
    </row>
    <row r="16336">
      <c r="B16336" s="36"/>
      <c r="C16336" s="36"/>
      <c r="E16336" s="1"/>
      <c r="F16336" s="1"/>
      <c r="G16336" s="1"/>
    </row>
    <row r="16337">
      <c r="B16337" s="36"/>
      <c r="C16337" s="36"/>
      <c r="E16337" s="1"/>
      <c r="F16337" s="1"/>
      <c r="G16337" s="1"/>
    </row>
    <row r="16338">
      <c r="B16338" s="36"/>
      <c r="C16338" s="36"/>
      <c r="E16338" s="1"/>
      <c r="F16338" s="1"/>
      <c r="G16338" s="1"/>
    </row>
    <row r="16339">
      <c r="B16339" s="36"/>
      <c r="C16339" s="36"/>
      <c r="E16339" s="1"/>
      <c r="F16339" s="1"/>
      <c r="G16339" s="1"/>
    </row>
    <row r="16340">
      <c r="B16340" s="36"/>
      <c r="C16340" s="36"/>
      <c r="E16340" s="1"/>
      <c r="F16340" s="1"/>
      <c r="G16340" s="1"/>
    </row>
    <row r="16341">
      <c r="B16341" s="36"/>
      <c r="C16341" s="36"/>
      <c r="E16341" s="1"/>
      <c r="F16341" s="1"/>
      <c r="G16341" s="1"/>
    </row>
    <row r="16342">
      <c r="B16342" s="36"/>
      <c r="C16342" s="36"/>
      <c r="E16342" s="1"/>
      <c r="F16342" s="1"/>
      <c r="G16342" s="1"/>
    </row>
    <row r="16343">
      <c r="B16343" s="36"/>
      <c r="C16343" s="36"/>
      <c r="E16343" s="1"/>
      <c r="F16343" s="1"/>
      <c r="G16343" s="1"/>
    </row>
    <row r="16344">
      <c r="B16344" s="36"/>
      <c r="C16344" s="36"/>
      <c r="E16344" s="1"/>
      <c r="F16344" s="1"/>
      <c r="G16344" s="1"/>
    </row>
    <row r="16345">
      <c r="B16345" s="36"/>
      <c r="C16345" s="36"/>
      <c r="E16345" s="1"/>
      <c r="F16345" s="1"/>
      <c r="G16345" s="1"/>
    </row>
    <row r="16346">
      <c r="B16346" s="36"/>
      <c r="C16346" s="36"/>
      <c r="E16346" s="1"/>
      <c r="F16346" s="1"/>
      <c r="G16346" s="1"/>
    </row>
    <row r="16347">
      <c r="B16347" s="36"/>
      <c r="C16347" s="36"/>
      <c r="E16347" s="1"/>
      <c r="F16347" s="1"/>
      <c r="G16347" s="1"/>
    </row>
    <row r="16348">
      <c r="B16348" s="36"/>
      <c r="C16348" s="36"/>
      <c r="E16348" s="1"/>
      <c r="F16348" s="1"/>
      <c r="G16348" s="1"/>
    </row>
    <row r="16349">
      <c r="B16349" s="36"/>
      <c r="C16349" s="36"/>
      <c r="E16349" s="1"/>
      <c r="F16349" s="1"/>
      <c r="G16349" s="1"/>
    </row>
    <row r="16350">
      <c r="B16350" s="36"/>
      <c r="C16350" s="36"/>
      <c r="E16350" s="1"/>
      <c r="F16350" s="1"/>
      <c r="G16350" s="1"/>
    </row>
    <row r="16351">
      <c r="B16351" s="36"/>
      <c r="C16351" s="36"/>
      <c r="E16351" s="1"/>
      <c r="F16351" s="1"/>
      <c r="G16351" s="1"/>
    </row>
    <row r="16352">
      <c r="B16352" s="36"/>
      <c r="C16352" s="36"/>
      <c r="E16352" s="1"/>
      <c r="F16352" s="1"/>
      <c r="G16352" s="1"/>
    </row>
    <row r="16353">
      <c r="B16353" s="36"/>
      <c r="C16353" s="36"/>
      <c r="E16353" s="1"/>
      <c r="F16353" s="1"/>
      <c r="G16353" s="1"/>
    </row>
    <row r="16354">
      <c r="B16354" s="36"/>
      <c r="C16354" s="36"/>
      <c r="E16354" s="1"/>
      <c r="F16354" s="1"/>
      <c r="G16354" s="1"/>
    </row>
    <row r="16355">
      <c r="B16355" s="36"/>
      <c r="C16355" s="36"/>
      <c r="E16355" s="1"/>
      <c r="F16355" s="1"/>
      <c r="G16355" s="1"/>
    </row>
    <row r="16356">
      <c r="B16356" s="36"/>
      <c r="C16356" s="36"/>
      <c r="E16356" s="1"/>
      <c r="F16356" s="1"/>
      <c r="G16356" s="1"/>
    </row>
    <row r="16357">
      <c r="B16357" s="36"/>
      <c r="C16357" s="36"/>
      <c r="E16357" s="1"/>
      <c r="F16357" s="1"/>
      <c r="G16357" s="1"/>
    </row>
    <row r="16358">
      <c r="B16358" s="36"/>
      <c r="C16358" s="36"/>
      <c r="E16358" s="1"/>
      <c r="F16358" s="1"/>
      <c r="G16358" s="1"/>
    </row>
    <row r="16359">
      <c r="B16359" s="36"/>
      <c r="C16359" s="36"/>
      <c r="E16359" s="1"/>
      <c r="F16359" s="1"/>
      <c r="G16359" s="1"/>
    </row>
    <row r="16360">
      <c r="B16360" s="36"/>
      <c r="C16360" s="36"/>
      <c r="E16360" s="1"/>
      <c r="F16360" s="1"/>
      <c r="G16360" s="1"/>
    </row>
    <row r="16361">
      <c r="B16361" s="36"/>
      <c r="C16361" s="36"/>
      <c r="E16361" s="1"/>
      <c r="F16361" s="1"/>
      <c r="G16361" s="1"/>
    </row>
    <row r="16362">
      <c r="B16362" s="36"/>
      <c r="C16362" s="36"/>
      <c r="E16362" s="1"/>
      <c r="F16362" s="1"/>
      <c r="G16362" s="1"/>
    </row>
    <row r="16363">
      <c r="B16363" s="36"/>
      <c r="C16363" s="36"/>
      <c r="E16363" s="1"/>
      <c r="F16363" s="1"/>
      <c r="G16363" s="1"/>
    </row>
    <row r="16364">
      <c r="B16364" s="36"/>
      <c r="C16364" s="36"/>
      <c r="E16364" s="1"/>
      <c r="F16364" s="1"/>
      <c r="G16364" s="1"/>
    </row>
    <row r="16365">
      <c r="B16365" s="36"/>
      <c r="C16365" s="36"/>
      <c r="E16365" s="1"/>
      <c r="F16365" s="1"/>
      <c r="G16365" s="1"/>
    </row>
    <row r="16366">
      <c r="B16366" s="36"/>
      <c r="C16366" s="36"/>
      <c r="E16366" s="1"/>
      <c r="F16366" s="1"/>
      <c r="G16366" s="1"/>
    </row>
    <row r="16367">
      <c r="B16367" s="36"/>
      <c r="C16367" s="36"/>
      <c r="E16367" s="1"/>
      <c r="F16367" s="1"/>
      <c r="G16367" s="1"/>
    </row>
    <row r="16368">
      <c r="B16368" s="36"/>
      <c r="C16368" s="36"/>
      <c r="E16368" s="1"/>
      <c r="F16368" s="1"/>
      <c r="G16368" s="1"/>
    </row>
    <row r="16369">
      <c r="B16369" s="36"/>
      <c r="C16369" s="36"/>
      <c r="E16369" s="1"/>
      <c r="F16369" s="1"/>
      <c r="G16369" s="1"/>
    </row>
    <row r="16370">
      <c r="B16370" s="36"/>
      <c r="C16370" s="36"/>
      <c r="E16370" s="1"/>
      <c r="F16370" s="1"/>
      <c r="G16370" s="1"/>
    </row>
    <row r="16371">
      <c r="B16371" s="36"/>
      <c r="C16371" s="36"/>
      <c r="E16371" s="1"/>
      <c r="F16371" s="1"/>
      <c r="G16371" s="1"/>
    </row>
    <row r="16372">
      <c r="B16372" s="36"/>
      <c r="C16372" s="36"/>
      <c r="E16372" s="1"/>
      <c r="F16372" s="1"/>
      <c r="G16372" s="1"/>
    </row>
    <row r="16373">
      <c r="B16373" s="36"/>
      <c r="C16373" s="36"/>
      <c r="E16373" s="1"/>
      <c r="F16373" s="1"/>
      <c r="G16373" s="1"/>
    </row>
    <row r="16374">
      <c r="B16374" s="36"/>
      <c r="C16374" s="36"/>
      <c r="E16374" s="1"/>
      <c r="F16374" s="1"/>
      <c r="G16374" s="1"/>
    </row>
    <row r="16375">
      <c r="B16375" s="36"/>
      <c r="C16375" s="36"/>
      <c r="E16375" s="1"/>
      <c r="F16375" s="1"/>
      <c r="G16375" s="1"/>
    </row>
    <row r="16376">
      <c r="B16376" s="36"/>
      <c r="C16376" s="36"/>
      <c r="E16376" s="1"/>
      <c r="F16376" s="1"/>
      <c r="G16376" s="1"/>
    </row>
    <row r="16377">
      <c r="B16377" s="36"/>
      <c r="C16377" s="36"/>
      <c r="E16377" s="1"/>
      <c r="F16377" s="1"/>
      <c r="G16377" s="1"/>
    </row>
    <row r="16378">
      <c r="B16378" s="36"/>
      <c r="C16378" s="36"/>
      <c r="E16378" s="1"/>
      <c r="F16378" s="1"/>
      <c r="G16378" s="1"/>
    </row>
    <row r="16379">
      <c r="B16379" s="36"/>
      <c r="C16379" s="36"/>
      <c r="E16379" s="1"/>
      <c r="F16379" s="1"/>
      <c r="G16379" s="1"/>
    </row>
    <row r="16380">
      <c r="B16380" s="36"/>
      <c r="C16380" s="36"/>
      <c r="E16380" s="1"/>
      <c r="F16380" s="1"/>
      <c r="G16380" s="1"/>
    </row>
    <row r="16381">
      <c r="B16381" s="36"/>
      <c r="C16381" s="36"/>
      <c r="E16381" s="1"/>
      <c r="F16381" s="1"/>
      <c r="G16381" s="1"/>
    </row>
    <row r="16382">
      <c r="B16382" s="36"/>
      <c r="C16382" s="36"/>
      <c r="E16382" s="1"/>
      <c r="F16382" s="1"/>
      <c r="G16382" s="1"/>
    </row>
    <row r="16383">
      <c r="B16383" s="36"/>
      <c r="C16383" s="36"/>
      <c r="E16383" s="1"/>
      <c r="F16383" s="1"/>
      <c r="G16383" s="1"/>
    </row>
    <row r="16384">
      <c r="B16384" s="36"/>
      <c r="C16384" s="36"/>
      <c r="E16384" s="1"/>
      <c r="F16384" s="1"/>
      <c r="G16384" s="1"/>
    </row>
    <row r="16385">
      <c r="B16385" s="36"/>
      <c r="C16385" s="36"/>
      <c r="E16385" s="1"/>
      <c r="F16385" s="1"/>
      <c r="G16385" s="1"/>
    </row>
    <row r="16386">
      <c r="B16386" s="36"/>
      <c r="C16386" s="36"/>
      <c r="E16386" s="1"/>
      <c r="F16386" s="1"/>
      <c r="G16386" s="1"/>
    </row>
    <row r="16387">
      <c r="B16387" s="36"/>
      <c r="C16387" s="36"/>
      <c r="E16387" s="1"/>
      <c r="F16387" s="1"/>
      <c r="G16387" s="1"/>
    </row>
    <row r="16388">
      <c r="B16388" s="36"/>
      <c r="C16388" s="36"/>
      <c r="E16388" s="1"/>
      <c r="F16388" s="1"/>
      <c r="G16388" s="1"/>
    </row>
    <row r="16389">
      <c r="B16389" s="36"/>
      <c r="C16389" s="36"/>
      <c r="E16389" s="1"/>
      <c r="F16389" s="1"/>
      <c r="G16389" s="1"/>
    </row>
    <row r="16390">
      <c r="B16390" s="36"/>
      <c r="C16390" s="36"/>
      <c r="E16390" s="1"/>
      <c r="F16390" s="1"/>
      <c r="G16390" s="1"/>
    </row>
    <row r="16391">
      <c r="B16391" s="36"/>
      <c r="C16391" s="36"/>
      <c r="E16391" s="1"/>
      <c r="F16391" s="1"/>
      <c r="G16391" s="1"/>
    </row>
    <row r="16392">
      <c r="B16392" s="36"/>
      <c r="C16392" s="36"/>
      <c r="E16392" s="1"/>
      <c r="F16392" s="1"/>
      <c r="G16392" s="1"/>
    </row>
    <row r="16393">
      <c r="B16393" s="36"/>
      <c r="C16393" s="36"/>
      <c r="E16393" s="1"/>
      <c r="F16393" s="1"/>
      <c r="G16393" s="1"/>
    </row>
    <row r="16394">
      <c r="B16394" s="36"/>
      <c r="C16394" s="36"/>
      <c r="E16394" s="1"/>
      <c r="F16394" s="1"/>
      <c r="G16394" s="1"/>
    </row>
    <row r="16395">
      <c r="B16395" s="36"/>
      <c r="C16395" s="36"/>
      <c r="E16395" s="1"/>
      <c r="F16395" s="1"/>
      <c r="G16395" s="1"/>
    </row>
    <row r="16396">
      <c r="B16396" s="36"/>
      <c r="C16396" s="36"/>
      <c r="E16396" s="1"/>
      <c r="F16396" s="1"/>
      <c r="G16396" s="1"/>
    </row>
    <row r="16397">
      <c r="B16397" s="36"/>
      <c r="C16397" s="36"/>
      <c r="E16397" s="1"/>
      <c r="F16397" s="1"/>
      <c r="G16397" s="1"/>
    </row>
    <row r="16398">
      <c r="B16398" s="36"/>
      <c r="C16398" s="36"/>
      <c r="E16398" s="1"/>
      <c r="F16398" s="1"/>
      <c r="G16398" s="1"/>
    </row>
    <row r="16399">
      <c r="B16399" s="36"/>
      <c r="C16399" s="36"/>
      <c r="E16399" s="1"/>
      <c r="F16399" s="1"/>
      <c r="G16399" s="1"/>
    </row>
    <row r="16400">
      <c r="B16400" s="36"/>
      <c r="C16400" s="36"/>
      <c r="E16400" s="1"/>
      <c r="F16400" s="1"/>
      <c r="G16400" s="1"/>
    </row>
    <row r="16401">
      <c r="B16401" s="36"/>
      <c r="C16401" s="36"/>
      <c r="E16401" s="1"/>
      <c r="F16401" s="1"/>
      <c r="G16401" s="1"/>
    </row>
    <row r="16402">
      <c r="B16402" s="36"/>
      <c r="C16402" s="36"/>
      <c r="E16402" s="1"/>
      <c r="F16402" s="1"/>
      <c r="G16402" s="1"/>
    </row>
    <row r="16403">
      <c r="B16403" s="36"/>
      <c r="C16403" s="36"/>
      <c r="E16403" s="1"/>
      <c r="F16403" s="1"/>
      <c r="G16403" s="1"/>
    </row>
    <row r="16404">
      <c r="B16404" s="36"/>
      <c r="C16404" s="36"/>
      <c r="E16404" s="1"/>
      <c r="F16404" s="1"/>
      <c r="G16404" s="1"/>
    </row>
    <row r="16405">
      <c r="B16405" s="36"/>
      <c r="C16405" s="36"/>
      <c r="E16405" s="1"/>
      <c r="F16405" s="1"/>
      <c r="G16405" s="1"/>
    </row>
    <row r="16406">
      <c r="B16406" s="36"/>
      <c r="C16406" s="36"/>
      <c r="E16406" s="1"/>
      <c r="F16406" s="1"/>
      <c r="G16406" s="1"/>
    </row>
    <row r="16407">
      <c r="B16407" s="36"/>
      <c r="C16407" s="36"/>
      <c r="E16407" s="1"/>
      <c r="F16407" s="1"/>
      <c r="G16407" s="1"/>
    </row>
    <row r="16408">
      <c r="B16408" s="36"/>
      <c r="C16408" s="36"/>
      <c r="E16408" s="1"/>
      <c r="F16408" s="1"/>
      <c r="G16408" s="1"/>
    </row>
    <row r="16409">
      <c r="B16409" s="36"/>
      <c r="C16409" s="36"/>
      <c r="E16409" s="1"/>
      <c r="F16409" s="1"/>
      <c r="G16409" s="1"/>
    </row>
    <row r="16410">
      <c r="B16410" s="36"/>
      <c r="C16410" s="36"/>
      <c r="E16410" s="1"/>
      <c r="F16410" s="1"/>
      <c r="G16410" s="1"/>
    </row>
    <row r="16411">
      <c r="B16411" s="36"/>
      <c r="C16411" s="36"/>
      <c r="E16411" s="1"/>
      <c r="F16411" s="1"/>
      <c r="G16411" s="1"/>
    </row>
    <row r="16412">
      <c r="B16412" s="36"/>
      <c r="C16412" s="36"/>
      <c r="E16412" s="1"/>
      <c r="F16412" s="1"/>
      <c r="G16412" s="1"/>
    </row>
    <row r="16413">
      <c r="B16413" s="36"/>
      <c r="C16413" s="36"/>
      <c r="E16413" s="1"/>
      <c r="F16413" s="1"/>
      <c r="G16413" s="1"/>
    </row>
    <row r="16414">
      <c r="B16414" s="36"/>
      <c r="C16414" s="36"/>
      <c r="E16414" s="1"/>
      <c r="F16414" s="1"/>
      <c r="G16414" s="1"/>
    </row>
    <row r="16415">
      <c r="B16415" s="36"/>
      <c r="C16415" s="36"/>
      <c r="E16415" s="1"/>
      <c r="F16415" s="1"/>
      <c r="G16415" s="1"/>
    </row>
    <row r="16416">
      <c r="B16416" s="36"/>
      <c r="C16416" s="36"/>
      <c r="E16416" s="1"/>
      <c r="F16416" s="1"/>
      <c r="G16416" s="1"/>
    </row>
    <row r="16417">
      <c r="B16417" s="36"/>
      <c r="C16417" s="36"/>
      <c r="E16417" s="1"/>
      <c r="F16417" s="1"/>
      <c r="G16417" s="1"/>
    </row>
    <row r="16418">
      <c r="B16418" s="36"/>
      <c r="C16418" s="36"/>
      <c r="E16418" s="1"/>
      <c r="F16418" s="1"/>
      <c r="G16418" s="1"/>
    </row>
    <row r="16419">
      <c r="B16419" s="36"/>
      <c r="C16419" s="36"/>
      <c r="E16419" s="1"/>
      <c r="F16419" s="1"/>
      <c r="G16419" s="1"/>
    </row>
    <row r="16420">
      <c r="B16420" s="36"/>
      <c r="C16420" s="36"/>
      <c r="E16420" s="1"/>
      <c r="F16420" s="1"/>
      <c r="G16420" s="1"/>
    </row>
    <row r="16421">
      <c r="B16421" s="36"/>
      <c r="C16421" s="36"/>
      <c r="E16421" s="1"/>
      <c r="F16421" s="1"/>
      <c r="G16421" s="1"/>
    </row>
    <row r="16422">
      <c r="B16422" s="36"/>
      <c r="C16422" s="36"/>
      <c r="E16422" s="1"/>
      <c r="F16422" s="1"/>
      <c r="G16422" s="1"/>
    </row>
    <row r="16423">
      <c r="B16423" s="36"/>
      <c r="C16423" s="36"/>
      <c r="E16423" s="1"/>
      <c r="F16423" s="1"/>
      <c r="G16423" s="1"/>
    </row>
    <row r="16424">
      <c r="B16424" s="36"/>
      <c r="C16424" s="36"/>
      <c r="E16424" s="1"/>
      <c r="F16424" s="1"/>
      <c r="G16424" s="1"/>
    </row>
    <row r="16425">
      <c r="B16425" s="36"/>
      <c r="C16425" s="36"/>
      <c r="E16425" s="1"/>
      <c r="F16425" s="1"/>
      <c r="G16425" s="1"/>
    </row>
    <row r="16426">
      <c r="B16426" s="36"/>
      <c r="C16426" s="36"/>
      <c r="E16426" s="1"/>
      <c r="F16426" s="1"/>
      <c r="G16426" s="1"/>
    </row>
    <row r="16427">
      <c r="B16427" s="36"/>
      <c r="C16427" s="36"/>
      <c r="E16427" s="1"/>
      <c r="F16427" s="1"/>
      <c r="G16427" s="1"/>
    </row>
    <row r="16428">
      <c r="B16428" s="36"/>
      <c r="C16428" s="36"/>
      <c r="E16428" s="1"/>
      <c r="F16428" s="1"/>
      <c r="G16428" s="1"/>
    </row>
    <row r="16429">
      <c r="B16429" s="36"/>
      <c r="C16429" s="36"/>
      <c r="E16429" s="1"/>
      <c r="F16429" s="1"/>
      <c r="G16429" s="1"/>
    </row>
    <row r="16430">
      <c r="B16430" s="36"/>
      <c r="C16430" s="36"/>
      <c r="E16430" s="1"/>
      <c r="F16430" s="1"/>
      <c r="G16430" s="1"/>
    </row>
    <row r="16431">
      <c r="B16431" s="36"/>
      <c r="C16431" s="36"/>
      <c r="E16431" s="1"/>
      <c r="F16431" s="1"/>
      <c r="G16431" s="1"/>
    </row>
    <row r="16432">
      <c r="B16432" s="36"/>
      <c r="C16432" s="36"/>
      <c r="E16432" s="1"/>
      <c r="F16432" s="1"/>
      <c r="G16432" s="1"/>
    </row>
    <row r="16433">
      <c r="B16433" s="36"/>
      <c r="C16433" s="36"/>
      <c r="E16433" s="1"/>
      <c r="F16433" s="1"/>
      <c r="G16433" s="1"/>
    </row>
    <row r="16434">
      <c r="B16434" s="36"/>
      <c r="C16434" s="36"/>
      <c r="E16434" s="1"/>
      <c r="F16434" s="1"/>
      <c r="G16434" s="1"/>
    </row>
    <row r="16435">
      <c r="B16435" s="36"/>
      <c r="C16435" s="36"/>
      <c r="E16435" s="1"/>
      <c r="F16435" s="1"/>
      <c r="G16435" s="1"/>
    </row>
    <row r="16436">
      <c r="B16436" s="36"/>
      <c r="C16436" s="36"/>
      <c r="E16436" s="1"/>
      <c r="F16436" s="1"/>
      <c r="G16436" s="1"/>
    </row>
    <row r="16437">
      <c r="B16437" s="36"/>
      <c r="C16437" s="36"/>
      <c r="E16437" s="1"/>
      <c r="F16437" s="1"/>
      <c r="G16437" s="1"/>
    </row>
    <row r="16438">
      <c r="B16438" s="36"/>
      <c r="C16438" s="36"/>
      <c r="E16438" s="1"/>
      <c r="F16438" s="1"/>
      <c r="G16438" s="1"/>
    </row>
    <row r="16439">
      <c r="B16439" s="36"/>
      <c r="C16439" s="36"/>
      <c r="E16439" s="1"/>
      <c r="F16439" s="1"/>
      <c r="G16439" s="1"/>
    </row>
    <row r="16440">
      <c r="B16440" s="36"/>
      <c r="C16440" s="36"/>
      <c r="E16440" s="1"/>
      <c r="F16440" s="1"/>
      <c r="G16440" s="1"/>
    </row>
    <row r="16441">
      <c r="B16441" s="36"/>
      <c r="C16441" s="36"/>
      <c r="E16441" s="1"/>
      <c r="F16441" s="1"/>
      <c r="G16441" s="1"/>
    </row>
    <row r="16442">
      <c r="B16442" s="36"/>
      <c r="C16442" s="36"/>
      <c r="E16442" s="1"/>
      <c r="F16442" s="1"/>
      <c r="G16442" s="1"/>
    </row>
    <row r="16443">
      <c r="B16443" s="36"/>
      <c r="C16443" s="36"/>
      <c r="E16443" s="1"/>
      <c r="F16443" s="1"/>
      <c r="G16443" s="1"/>
    </row>
    <row r="16444">
      <c r="B16444" s="36"/>
      <c r="C16444" s="36"/>
      <c r="E16444" s="1"/>
      <c r="F16444" s="1"/>
      <c r="G16444" s="1"/>
    </row>
    <row r="16445">
      <c r="B16445" s="36"/>
      <c r="C16445" s="36"/>
      <c r="E16445" s="1"/>
      <c r="F16445" s="1"/>
      <c r="G16445" s="1"/>
    </row>
    <row r="16446">
      <c r="B16446" s="36"/>
      <c r="C16446" s="36"/>
      <c r="E16446" s="1"/>
      <c r="F16446" s="1"/>
      <c r="G16446" s="1"/>
    </row>
    <row r="16447">
      <c r="B16447" s="36"/>
      <c r="C16447" s="36"/>
      <c r="E16447" s="1"/>
      <c r="F16447" s="1"/>
      <c r="G16447" s="1"/>
    </row>
    <row r="16448">
      <c r="B16448" s="36"/>
      <c r="C16448" s="36"/>
      <c r="E16448" s="1"/>
      <c r="F16448" s="1"/>
      <c r="G16448" s="1"/>
    </row>
    <row r="16449">
      <c r="B16449" s="36"/>
      <c r="C16449" s="36"/>
      <c r="E16449" s="1"/>
      <c r="F16449" s="1"/>
      <c r="G16449" s="1"/>
    </row>
    <row r="16450">
      <c r="B16450" s="36"/>
      <c r="C16450" s="36"/>
      <c r="E16450" s="1"/>
      <c r="F16450" s="1"/>
      <c r="G16450" s="1"/>
    </row>
    <row r="16451">
      <c r="B16451" s="36"/>
      <c r="C16451" s="36"/>
      <c r="E16451" s="1"/>
      <c r="F16451" s="1"/>
      <c r="G16451" s="1"/>
    </row>
    <row r="16452">
      <c r="B16452" s="36"/>
      <c r="C16452" s="36"/>
      <c r="E16452" s="1"/>
      <c r="F16452" s="1"/>
      <c r="G16452" s="1"/>
    </row>
    <row r="16453">
      <c r="B16453" s="36"/>
      <c r="C16453" s="36"/>
      <c r="E16453" s="1"/>
      <c r="F16453" s="1"/>
      <c r="G16453" s="1"/>
    </row>
    <row r="16454">
      <c r="B16454" s="36"/>
      <c r="C16454" s="36"/>
      <c r="E16454" s="1"/>
      <c r="F16454" s="1"/>
      <c r="G16454" s="1"/>
    </row>
    <row r="16455">
      <c r="B16455" s="36"/>
      <c r="C16455" s="36"/>
      <c r="E16455" s="1"/>
      <c r="F16455" s="1"/>
      <c r="G16455" s="1"/>
    </row>
    <row r="16456">
      <c r="B16456" s="36"/>
      <c r="C16456" s="36"/>
      <c r="E16456" s="1"/>
      <c r="F16456" s="1"/>
      <c r="G16456" s="1"/>
    </row>
    <row r="16457">
      <c r="B16457" s="36"/>
      <c r="C16457" s="36"/>
      <c r="E16457" s="1"/>
      <c r="F16457" s="1"/>
      <c r="G16457" s="1"/>
    </row>
    <row r="16458">
      <c r="B16458" s="36"/>
      <c r="C16458" s="36"/>
      <c r="E16458" s="1"/>
      <c r="F16458" s="1"/>
      <c r="G16458" s="1"/>
    </row>
    <row r="16459">
      <c r="B16459" s="36"/>
      <c r="C16459" s="36"/>
      <c r="E16459" s="1"/>
      <c r="F16459" s="1"/>
      <c r="G16459" s="1"/>
    </row>
    <row r="16460">
      <c r="B16460" s="36"/>
      <c r="C16460" s="36"/>
      <c r="E16460" s="1"/>
      <c r="F16460" s="1"/>
      <c r="G16460" s="1"/>
    </row>
    <row r="16461">
      <c r="B16461" s="36"/>
      <c r="C16461" s="36"/>
      <c r="E16461" s="1"/>
      <c r="F16461" s="1"/>
      <c r="G16461" s="1"/>
    </row>
    <row r="16462">
      <c r="B16462" s="36"/>
      <c r="C16462" s="36"/>
      <c r="E16462" s="1"/>
      <c r="F16462" s="1"/>
      <c r="G16462" s="1"/>
    </row>
    <row r="16463">
      <c r="B16463" s="36"/>
      <c r="C16463" s="36"/>
      <c r="E16463" s="1"/>
      <c r="F16463" s="1"/>
      <c r="G16463" s="1"/>
    </row>
    <row r="16464">
      <c r="B16464" s="36"/>
      <c r="C16464" s="36"/>
      <c r="E16464" s="1"/>
      <c r="F16464" s="1"/>
      <c r="G16464" s="1"/>
    </row>
    <row r="16465">
      <c r="B16465" s="36"/>
      <c r="C16465" s="36"/>
      <c r="E16465" s="1"/>
      <c r="F16465" s="1"/>
      <c r="G16465" s="1"/>
    </row>
    <row r="16466">
      <c r="B16466" s="36"/>
      <c r="C16466" s="36"/>
      <c r="E16466" s="1"/>
      <c r="F16466" s="1"/>
      <c r="G16466" s="1"/>
    </row>
    <row r="16467">
      <c r="B16467" s="36"/>
      <c r="C16467" s="36"/>
      <c r="E16467" s="1"/>
      <c r="F16467" s="1"/>
      <c r="G16467" s="1"/>
    </row>
    <row r="16468">
      <c r="B16468" s="36"/>
      <c r="C16468" s="36"/>
      <c r="E16468" s="1"/>
      <c r="F16468" s="1"/>
      <c r="G16468" s="1"/>
    </row>
    <row r="16469">
      <c r="B16469" s="36"/>
      <c r="C16469" s="36"/>
      <c r="E16469" s="1"/>
      <c r="F16469" s="1"/>
      <c r="G16469" s="1"/>
    </row>
    <row r="16470">
      <c r="B16470" s="36"/>
      <c r="C16470" s="36"/>
      <c r="E16470" s="1"/>
      <c r="F16470" s="1"/>
      <c r="G16470" s="1"/>
    </row>
    <row r="16471">
      <c r="B16471" s="36"/>
      <c r="C16471" s="36"/>
      <c r="E16471" s="1"/>
      <c r="F16471" s="1"/>
      <c r="G16471" s="1"/>
    </row>
    <row r="16472">
      <c r="B16472" s="36"/>
      <c r="C16472" s="36"/>
      <c r="E16472" s="1"/>
      <c r="F16472" s="1"/>
      <c r="G16472" s="1"/>
    </row>
    <row r="16473">
      <c r="B16473" s="36"/>
      <c r="C16473" s="36"/>
      <c r="E16473" s="1"/>
      <c r="F16473" s="1"/>
      <c r="G16473" s="1"/>
    </row>
    <row r="16474">
      <c r="B16474" s="36"/>
      <c r="C16474" s="36"/>
      <c r="E16474" s="1"/>
      <c r="F16474" s="1"/>
      <c r="G16474" s="1"/>
    </row>
    <row r="16475">
      <c r="B16475" s="36"/>
      <c r="C16475" s="36"/>
      <c r="E16475" s="1"/>
      <c r="F16475" s="1"/>
      <c r="G16475" s="1"/>
    </row>
    <row r="16476">
      <c r="B16476" s="36"/>
      <c r="C16476" s="36"/>
      <c r="E16476" s="1"/>
      <c r="F16476" s="1"/>
      <c r="G16476" s="1"/>
    </row>
    <row r="16477">
      <c r="B16477" s="36"/>
      <c r="C16477" s="36"/>
      <c r="E16477" s="1"/>
      <c r="F16477" s="1"/>
      <c r="G16477" s="1"/>
    </row>
    <row r="16478">
      <c r="B16478" s="36"/>
      <c r="C16478" s="36"/>
      <c r="E16478" s="1"/>
      <c r="F16478" s="1"/>
      <c r="G16478" s="1"/>
    </row>
    <row r="16479">
      <c r="B16479" s="36"/>
      <c r="C16479" s="36"/>
      <c r="E16479" s="1"/>
      <c r="F16479" s="1"/>
      <c r="G16479" s="1"/>
    </row>
    <row r="16480">
      <c r="B16480" s="36"/>
      <c r="C16480" s="36"/>
      <c r="E16480" s="1"/>
      <c r="F16480" s="1"/>
      <c r="G16480" s="1"/>
    </row>
    <row r="16481">
      <c r="B16481" s="36"/>
      <c r="C16481" s="36"/>
      <c r="E16481" s="1"/>
      <c r="F16481" s="1"/>
      <c r="G16481" s="1"/>
    </row>
    <row r="16482">
      <c r="B16482" s="36"/>
      <c r="C16482" s="36"/>
      <c r="E16482" s="1"/>
      <c r="F16482" s="1"/>
      <c r="G16482" s="1"/>
    </row>
    <row r="16483">
      <c r="B16483" s="36"/>
      <c r="C16483" s="36"/>
      <c r="E16483" s="1"/>
      <c r="F16483" s="1"/>
      <c r="G16483" s="1"/>
    </row>
    <row r="16484">
      <c r="B16484" s="36"/>
      <c r="C16484" s="36"/>
      <c r="E16484" s="1"/>
      <c r="F16484" s="1"/>
      <c r="G16484" s="1"/>
    </row>
    <row r="16485">
      <c r="B16485" s="36"/>
      <c r="C16485" s="36"/>
      <c r="E16485" s="1"/>
      <c r="F16485" s="1"/>
      <c r="G16485" s="1"/>
    </row>
    <row r="16486">
      <c r="B16486" s="36"/>
      <c r="C16486" s="36"/>
      <c r="E16486" s="1"/>
      <c r="F16486" s="1"/>
      <c r="G16486" s="1"/>
    </row>
    <row r="16487">
      <c r="B16487" s="36"/>
      <c r="C16487" s="36"/>
      <c r="E16487" s="1"/>
      <c r="F16487" s="1"/>
      <c r="G16487" s="1"/>
    </row>
    <row r="16488">
      <c r="B16488" s="36"/>
      <c r="C16488" s="36"/>
      <c r="E16488" s="1"/>
      <c r="F16488" s="1"/>
      <c r="G16488" s="1"/>
    </row>
    <row r="16489">
      <c r="B16489" s="36"/>
      <c r="C16489" s="36"/>
      <c r="E16489" s="1"/>
      <c r="F16489" s="1"/>
      <c r="G16489" s="1"/>
    </row>
    <row r="16490">
      <c r="B16490" s="36"/>
      <c r="C16490" s="36"/>
      <c r="E16490" s="1"/>
      <c r="F16490" s="1"/>
      <c r="G16490" s="1"/>
    </row>
    <row r="16491">
      <c r="B16491" s="36"/>
      <c r="C16491" s="36"/>
      <c r="E16491" s="1"/>
      <c r="F16491" s="1"/>
      <c r="G16491" s="1"/>
    </row>
    <row r="16492">
      <c r="B16492" s="36"/>
      <c r="C16492" s="36"/>
      <c r="E16492" s="1"/>
      <c r="F16492" s="1"/>
      <c r="G16492" s="1"/>
    </row>
    <row r="16493">
      <c r="B16493" s="36"/>
      <c r="C16493" s="36"/>
      <c r="E16493" s="1"/>
      <c r="F16493" s="1"/>
      <c r="G16493" s="1"/>
    </row>
    <row r="16494">
      <c r="B16494" s="36"/>
      <c r="C16494" s="36"/>
      <c r="E16494" s="1"/>
      <c r="F16494" s="1"/>
      <c r="G16494" s="1"/>
    </row>
    <row r="16495">
      <c r="B16495" s="36"/>
      <c r="C16495" s="36"/>
      <c r="E16495" s="1"/>
      <c r="F16495" s="1"/>
      <c r="G16495" s="1"/>
    </row>
    <row r="16496">
      <c r="B16496" s="36"/>
      <c r="C16496" s="36"/>
      <c r="E16496" s="1"/>
      <c r="F16496" s="1"/>
      <c r="G16496" s="1"/>
    </row>
    <row r="16497">
      <c r="B16497" s="36"/>
      <c r="C16497" s="36"/>
      <c r="E16497" s="1"/>
      <c r="F16497" s="1"/>
      <c r="G16497" s="1"/>
    </row>
    <row r="16498">
      <c r="B16498" s="36"/>
      <c r="C16498" s="36"/>
      <c r="E16498" s="1"/>
      <c r="F16498" s="1"/>
      <c r="G16498" s="1"/>
    </row>
    <row r="16499">
      <c r="B16499" s="36"/>
      <c r="C16499" s="36"/>
      <c r="E16499" s="1"/>
      <c r="F16499" s="1"/>
      <c r="G16499" s="1"/>
    </row>
    <row r="16500">
      <c r="B16500" s="36"/>
      <c r="C16500" s="36"/>
      <c r="E16500" s="1"/>
      <c r="F16500" s="1"/>
      <c r="G16500" s="1"/>
    </row>
    <row r="16501">
      <c r="B16501" s="36"/>
      <c r="C16501" s="36"/>
      <c r="E16501" s="1"/>
      <c r="F16501" s="1"/>
      <c r="G16501" s="1"/>
    </row>
    <row r="16502">
      <c r="B16502" s="36"/>
      <c r="C16502" s="36"/>
      <c r="E16502" s="1"/>
      <c r="F16502" s="1"/>
      <c r="G16502" s="1"/>
    </row>
    <row r="16503">
      <c r="B16503" s="36"/>
      <c r="C16503" s="36"/>
      <c r="E16503" s="1"/>
      <c r="F16503" s="1"/>
      <c r="G16503" s="1"/>
    </row>
    <row r="16504">
      <c r="B16504" s="36"/>
      <c r="C16504" s="36"/>
      <c r="E16504" s="1"/>
      <c r="F16504" s="1"/>
      <c r="G16504" s="1"/>
    </row>
    <row r="16505">
      <c r="B16505" s="36"/>
      <c r="C16505" s="36"/>
      <c r="E16505" s="1"/>
      <c r="F16505" s="1"/>
      <c r="G16505" s="1"/>
    </row>
    <row r="16506">
      <c r="B16506" s="36"/>
      <c r="C16506" s="36"/>
      <c r="E16506" s="1"/>
      <c r="F16506" s="1"/>
      <c r="G16506" s="1"/>
    </row>
    <row r="16507">
      <c r="B16507" s="36"/>
      <c r="C16507" s="36"/>
      <c r="E16507" s="1"/>
      <c r="F16507" s="1"/>
      <c r="G16507" s="1"/>
    </row>
    <row r="16508">
      <c r="B16508" s="36"/>
      <c r="C16508" s="36"/>
      <c r="E16508" s="1"/>
      <c r="F16508" s="1"/>
      <c r="G16508" s="1"/>
    </row>
    <row r="16509">
      <c r="B16509" s="36"/>
      <c r="C16509" s="36"/>
      <c r="E16509" s="1"/>
      <c r="F16509" s="1"/>
      <c r="G16509" s="1"/>
    </row>
    <row r="16510">
      <c r="B16510" s="36"/>
      <c r="C16510" s="36"/>
      <c r="E16510" s="1"/>
      <c r="F16510" s="1"/>
      <c r="G16510" s="1"/>
    </row>
    <row r="16511">
      <c r="B16511" s="36"/>
      <c r="C16511" s="36"/>
      <c r="E16511" s="1"/>
      <c r="F16511" s="1"/>
      <c r="G16511" s="1"/>
    </row>
    <row r="16512">
      <c r="B16512" s="36"/>
      <c r="C16512" s="36"/>
      <c r="E16512" s="1"/>
      <c r="F16512" s="1"/>
      <c r="G16512" s="1"/>
    </row>
    <row r="16513">
      <c r="B16513" s="36"/>
      <c r="C16513" s="36"/>
      <c r="E16513" s="1"/>
      <c r="F16513" s="1"/>
      <c r="G16513" s="1"/>
    </row>
    <row r="16514">
      <c r="B16514" s="36"/>
      <c r="C16514" s="36"/>
      <c r="E16514" s="1"/>
      <c r="F16514" s="1"/>
      <c r="G16514" s="1"/>
    </row>
    <row r="16515">
      <c r="B16515" s="36"/>
      <c r="C16515" s="36"/>
      <c r="E16515" s="1"/>
      <c r="F16515" s="1"/>
      <c r="G16515" s="1"/>
    </row>
    <row r="16516">
      <c r="B16516" s="36"/>
      <c r="C16516" s="36"/>
      <c r="E16516" s="1"/>
      <c r="F16516" s="1"/>
      <c r="G16516" s="1"/>
    </row>
    <row r="16517">
      <c r="B16517" s="36"/>
      <c r="C16517" s="36"/>
      <c r="E16517" s="1"/>
      <c r="F16517" s="1"/>
      <c r="G16517" s="1"/>
    </row>
    <row r="16518">
      <c r="B16518" s="36"/>
      <c r="C16518" s="36"/>
      <c r="E16518" s="1"/>
      <c r="F16518" s="1"/>
      <c r="G16518" s="1"/>
    </row>
    <row r="16519">
      <c r="B16519" s="36"/>
      <c r="C16519" s="36"/>
      <c r="E16519" s="1"/>
      <c r="F16519" s="1"/>
      <c r="G16519" s="1"/>
    </row>
    <row r="16520">
      <c r="B16520" s="36"/>
      <c r="C16520" s="36"/>
      <c r="E16520" s="1"/>
      <c r="F16520" s="1"/>
      <c r="G16520" s="1"/>
    </row>
    <row r="16521">
      <c r="B16521" s="36"/>
      <c r="C16521" s="36"/>
      <c r="E16521" s="1"/>
      <c r="F16521" s="1"/>
      <c r="G16521" s="1"/>
    </row>
    <row r="16522">
      <c r="B16522" s="36"/>
      <c r="C16522" s="36"/>
      <c r="E16522" s="1"/>
      <c r="F16522" s="1"/>
      <c r="G16522" s="1"/>
    </row>
    <row r="16523">
      <c r="B16523" s="36"/>
      <c r="C16523" s="36"/>
      <c r="E16523" s="1"/>
      <c r="F16523" s="1"/>
      <c r="G16523" s="1"/>
    </row>
    <row r="16524">
      <c r="B16524" s="36"/>
      <c r="C16524" s="36"/>
      <c r="E16524" s="1"/>
      <c r="F16524" s="1"/>
      <c r="G16524" s="1"/>
    </row>
    <row r="16525">
      <c r="B16525" s="36"/>
      <c r="C16525" s="36"/>
      <c r="E16525" s="1"/>
      <c r="F16525" s="1"/>
      <c r="G16525" s="1"/>
    </row>
    <row r="16526">
      <c r="B16526" s="36"/>
      <c r="C16526" s="36"/>
      <c r="E16526" s="1"/>
      <c r="F16526" s="1"/>
      <c r="G16526" s="1"/>
    </row>
    <row r="16527">
      <c r="B16527" s="36"/>
      <c r="C16527" s="36"/>
      <c r="E16527" s="1"/>
      <c r="F16527" s="1"/>
      <c r="G16527" s="1"/>
    </row>
    <row r="16528">
      <c r="B16528" s="36"/>
      <c r="C16528" s="36"/>
      <c r="E16528" s="1"/>
      <c r="F16528" s="1"/>
      <c r="G16528" s="1"/>
    </row>
    <row r="16529">
      <c r="B16529" s="36"/>
      <c r="C16529" s="36"/>
      <c r="E16529" s="1"/>
      <c r="F16529" s="1"/>
      <c r="G16529" s="1"/>
    </row>
    <row r="16530">
      <c r="B16530" s="36"/>
      <c r="C16530" s="36"/>
      <c r="E16530" s="1"/>
      <c r="F16530" s="1"/>
      <c r="G16530" s="1"/>
    </row>
    <row r="16531">
      <c r="B16531" s="36"/>
      <c r="C16531" s="36"/>
      <c r="E16531" s="1"/>
      <c r="F16531" s="1"/>
      <c r="G16531" s="1"/>
    </row>
    <row r="16532">
      <c r="B16532" s="36"/>
      <c r="C16532" s="36"/>
      <c r="E16532" s="1"/>
      <c r="F16532" s="1"/>
      <c r="G16532" s="1"/>
    </row>
    <row r="16533">
      <c r="B16533" s="36"/>
      <c r="C16533" s="36"/>
      <c r="E16533" s="1"/>
      <c r="F16533" s="1"/>
      <c r="G16533" s="1"/>
    </row>
    <row r="16534">
      <c r="B16534" s="36"/>
      <c r="C16534" s="36"/>
      <c r="E16534" s="1"/>
      <c r="F16534" s="1"/>
      <c r="G16534" s="1"/>
    </row>
    <row r="16535">
      <c r="B16535" s="36"/>
      <c r="C16535" s="36"/>
      <c r="E16535" s="1"/>
      <c r="F16535" s="1"/>
      <c r="G16535" s="1"/>
    </row>
    <row r="16536">
      <c r="B16536" s="36"/>
      <c r="C16536" s="36"/>
      <c r="E16536" s="1"/>
      <c r="F16536" s="1"/>
      <c r="G16536" s="1"/>
    </row>
    <row r="16537">
      <c r="B16537" s="36"/>
      <c r="C16537" s="36"/>
      <c r="E16537" s="1"/>
      <c r="F16537" s="1"/>
      <c r="G16537" s="1"/>
    </row>
    <row r="16538">
      <c r="B16538" s="36"/>
      <c r="C16538" s="36"/>
      <c r="E16538" s="1"/>
      <c r="F16538" s="1"/>
      <c r="G16538" s="1"/>
    </row>
    <row r="16539">
      <c r="B16539" s="36"/>
      <c r="C16539" s="36"/>
      <c r="E16539" s="1"/>
      <c r="F16539" s="1"/>
      <c r="G16539" s="1"/>
    </row>
    <row r="16540">
      <c r="B16540" s="36"/>
      <c r="C16540" s="36"/>
      <c r="E16540" s="1"/>
      <c r="F16540" s="1"/>
      <c r="G16540" s="1"/>
    </row>
    <row r="16541">
      <c r="B16541" s="36"/>
      <c r="C16541" s="36"/>
      <c r="E16541" s="1"/>
      <c r="F16541" s="1"/>
      <c r="G16541" s="1"/>
    </row>
    <row r="16542">
      <c r="B16542" s="36"/>
      <c r="C16542" s="36"/>
      <c r="E16542" s="1"/>
      <c r="F16542" s="1"/>
      <c r="G16542" s="1"/>
    </row>
    <row r="16543">
      <c r="B16543" s="36"/>
      <c r="C16543" s="36"/>
      <c r="E16543" s="1"/>
      <c r="F16543" s="1"/>
      <c r="G16543" s="1"/>
    </row>
    <row r="16544">
      <c r="B16544" s="36"/>
      <c r="C16544" s="36"/>
      <c r="E16544" s="1"/>
      <c r="F16544" s="1"/>
      <c r="G16544" s="1"/>
    </row>
    <row r="16545">
      <c r="B16545" s="36"/>
      <c r="C16545" s="36"/>
      <c r="E16545" s="1"/>
      <c r="F16545" s="1"/>
      <c r="G16545" s="1"/>
    </row>
    <row r="16546">
      <c r="B16546" s="36"/>
      <c r="C16546" s="36"/>
      <c r="E16546" s="1"/>
      <c r="F16546" s="1"/>
      <c r="G16546" s="1"/>
    </row>
    <row r="16547">
      <c r="B16547" s="36"/>
      <c r="C16547" s="36"/>
      <c r="E16547" s="1"/>
      <c r="F16547" s="1"/>
      <c r="G16547" s="1"/>
    </row>
    <row r="16548">
      <c r="B16548" s="36"/>
      <c r="C16548" s="36"/>
      <c r="E16548" s="1"/>
      <c r="F16548" s="1"/>
      <c r="G16548" s="1"/>
    </row>
    <row r="16549">
      <c r="B16549" s="36"/>
      <c r="C16549" s="36"/>
      <c r="E16549" s="1"/>
      <c r="F16549" s="1"/>
      <c r="G16549" s="1"/>
    </row>
    <row r="16550">
      <c r="B16550" s="36"/>
      <c r="C16550" s="36"/>
      <c r="E16550" s="1"/>
      <c r="F16550" s="1"/>
      <c r="G16550" s="1"/>
    </row>
    <row r="16551">
      <c r="B16551" s="36"/>
      <c r="C16551" s="36"/>
      <c r="E16551" s="1"/>
      <c r="F16551" s="1"/>
      <c r="G16551" s="1"/>
    </row>
    <row r="16552">
      <c r="B16552" s="36"/>
      <c r="C16552" s="36"/>
      <c r="E16552" s="1"/>
      <c r="F16552" s="1"/>
      <c r="G16552" s="1"/>
    </row>
    <row r="16553">
      <c r="B16553" s="36"/>
      <c r="C16553" s="36"/>
      <c r="E16553" s="1"/>
      <c r="F16553" s="1"/>
      <c r="G16553" s="1"/>
    </row>
    <row r="16554">
      <c r="B16554" s="36"/>
      <c r="C16554" s="36"/>
      <c r="E16554" s="1"/>
      <c r="F16554" s="1"/>
      <c r="G16554" s="1"/>
    </row>
    <row r="16555">
      <c r="B16555" s="36"/>
      <c r="C16555" s="36"/>
      <c r="E16555" s="1"/>
      <c r="F16555" s="1"/>
      <c r="G16555" s="1"/>
    </row>
    <row r="16556">
      <c r="B16556" s="36"/>
      <c r="C16556" s="36"/>
      <c r="E16556" s="1"/>
      <c r="F16556" s="1"/>
      <c r="G16556" s="1"/>
    </row>
    <row r="16557">
      <c r="B16557" s="36"/>
      <c r="C16557" s="36"/>
      <c r="E16557" s="1"/>
      <c r="F16557" s="1"/>
      <c r="G16557" s="1"/>
    </row>
    <row r="16558">
      <c r="B16558" s="36"/>
      <c r="C16558" s="36"/>
      <c r="E16558" s="1"/>
      <c r="F16558" s="1"/>
      <c r="G16558" s="1"/>
    </row>
    <row r="16559">
      <c r="B16559" s="36"/>
      <c r="C16559" s="36"/>
      <c r="E16559" s="1"/>
      <c r="F16559" s="1"/>
      <c r="G16559" s="1"/>
    </row>
    <row r="16560">
      <c r="B16560" s="36"/>
      <c r="C16560" s="36"/>
      <c r="E16560" s="1"/>
      <c r="F16560" s="1"/>
      <c r="G16560" s="1"/>
    </row>
    <row r="16561">
      <c r="B16561" s="36"/>
      <c r="C16561" s="36"/>
      <c r="E16561" s="1"/>
      <c r="F16561" s="1"/>
      <c r="G16561" s="1"/>
    </row>
    <row r="16562">
      <c r="B16562" s="36"/>
      <c r="C16562" s="36"/>
      <c r="E16562" s="1"/>
      <c r="F16562" s="1"/>
      <c r="G16562" s="1"/>
    </row>
    <row r="16563">
      <c r="B16563" s="36"/>
      <c r="C16563" s="36"/>
      <c r="E16563" s="1"/>
      <c r="F16563" s="1"/>
      <c r="G16563" s="1"/>
    </row>
    <row r="16564">
      <c r="B16564" s="36"/>
      <c r="C16564" s="36"/>
      <c r="E16564" s="1"/>
      <c r="F16564" s="1"/>
      <c r="G16564" s="1"/>
    </row>
    <row r="16565">
      <c r="B16565" s="36"/>
      <c r="C16565" s="36"/>
      <c r="E16565" s="1"/>
      <c r="F16565" s="1"/>
      <c r="G16565" s="1"/>
    </row>
    <row r="16566">
      <c r="B16566" s="36"/>
      <c r="C16566" s="36"/>
      <c r="E16566" s="1"/>
      <c r="F16566" s="1"/>
      <c r="G16566" s="1"/>
    </row>
    <row r="16567">
      <c r="B16567" s="36"/>
      <c r="C16567" s="36"/>
      <c r="E16567" s="1"/>
      <c r="F16567" s="1"/>
      <c r="G16567" s="1"/>
    </row>
    <row r="16568">
      <c r="B16568" s="36"/>
      <c r="C16568" s="36"/>
      <c r="E16568" s="1"/>
      <c r="F16568" s="1"/>
      <c r="G16568" s="1"/>
    </row>
    <row r="16569">
      <c r="B16569" s="36"/>
      <c r="C16569" s="36"/>
      <c r="E16569" s="1"/>
      <c r="F16569" s="1"/>
      <c r="G16569" s="1"/>
    </row>
    <row r="16570">
      <c r="B16570" s="36"/>
      <c r="C16570" s="36"/>
      <c r="E16570" s="1"/>
      <c r="F16570" s="1"/>
      <c r="G16570" s="1"/>
    </row>
    <row r="16571">
      <c r="B16571" s="36"/>
      <c r="C16571" s="36"/>
      <c r="E16571" s="1"/>
      <c r="F16571" s="1"/>
      <c r="G16571" s="1"/>
    </row>
    <row r="16572">
      <c r="B16572" s="36"/>
      <c r="C16572" s="36"/>
      <c r="E16572" s="1"/>
      <c r="F16572" s="1"/>
      <c r="G16572" s="1"/>
    </row>
    <row r="16573">
      <c r="B16573" s="36"/>
      <c r="C16573" s="36"/>
      <c r="E16573" s="1"/>
      <c r="F16573" s="1"/>
      <c r="G16573" s="1"/>
    </row>
    <row r="16574">
      <c r="B16574" s="36"/>
      <c r="C16574" s="36"/>
      <c r="E16574" s="1"/>
      <c r="F16574" s="1"/>
      <c r="G16574" s="1"/>
    </row>
    <row r="16575">
      <c r="B16575" s="36"/>
      <c r="C16575" s="36"/>
      <c r="E16575" s="1"/>
      <c r="F16575" s="1"/>
      <c r="G16575" s="1"/>
    </row>
    <row r="16576">
      <c r="B16576" s="36"/>
      <c r="C16576" s="36"/>
      <c r="E16576" s="1"/>
      <c r="F16576" s="1"/>
      <c r="G16576" s="1"/>
    </row>
    <row r="16577">
      <c r="B16577" s="36"/>
      <c r="C16577" s="36"/>
      <c r="E16577" s="1"/>
      <c r="F16577" s="1"/>
      <c r="G16577" s="1"/>
    </row>
    <row r="16578">
      <c r="B16578" s="36"/>
      <c r="C16578" s="36"/>
      <c r="E16578" s="1"/>
      <c r="F16578" s="1"/>
      <c r="G16578" s="1"/>
    </row>
    <row r="16579">
      <c r="B16579" s="36"/>
      <c r="C16579" s="36"/>
      <c r="E16579" s="1"/>
      <c r="F16579" s="1"/>
      <c r="G16579" s="1"/>
    </row>
    <row r="16580">
      <c r="B16580" s="36"/>
      <c r="C16580" s="36"/>
      <c r="E16580" s="1"/>
      <c r="F16580" s="1"/>
      <c r="G16580" s="1"/>
    </row>
    <row r="16581">
      <c r="B16581" s="36"/>
      <c r="C16581" s="36"/>
      <c r="E16581" s="1"/>
      <c r="F16581" s="1"/>
      <c r="G16581" s="1"/>
    </row>
    <row r="16582">
      <c r="B16582" s="36"/>
      <c r="C16582" s="36"/>
      <c r="E16582" s="1"/>
      <c r="F16582" s="1"/>
      <c r="G16582" s="1"/>
    </row>
    <row r="16583">
      <c r="B16583" s="36"/>
      <c r="C16583" s="36"/>
      <c r="E16583" s="1"/>
      <c r="F16583" s="1"/>
      <c r="G16583" s="1"/>
    </row>
    <row r="16584">
      <c r="B16584" s="36"/>
      <c r="C16584" s="36"/>
      <c r="E16584" s="1"/>
      <c r="F16584" s="1"/>
      <c r="G16584" s="1"/>
    </row>
    <row r="16585">
      <c r="B16585" s="36"/>
      <c r="C16585" s="36"/>
      <c r="E16585" s="1"/>
      <c r="F16585" s="1"/>
      <c r="G16585" s="1"/>
    </row>
    <row r="16586">
      <c r="B16586" s="36"/>
      <c r="C16586" s="36"/>
      <c r="E16586" s="1"/>
      <c r="F16586" s="1"/>
      <c r="G16586" s="1"/>
    </row>
    <row r="16587">
      <c r="B16587" s="36"/>
      <c r="C16587" s="36"/>
      <c r="E16587" s="1"/>
      <c r="F16587" s="1"/>
      <c r="G16587" s="1"/>
    </row>
    <row r="16588">
      <c r="B16588" s="36"/>
      <c r="C16588" s="36"/>
      <c r="E16588" s="1"/>
      <c r="F16588" s="1"/>
      <c r="G16588" s="1"/>
    </row>
    <row r="16589">
      <c r="B16589" s="36"/>
      <c r="C16589" s="36"/>
      <c r="E16589" s="1"/>
      <c r="F16589" s="1"/>
      <c r="G16589" s="1"/>
    </row>
    <row r="16590">
      <c r="B16590" s="36"/>
      <c r="C16590" s="36"/>
      <c r="E16590" s="1"/>
      <c r="F16590" s="1"/>
      <c r="G16590" s="1"/>
    </row>
    <row r="16591">
      <c r="B16591" s="36"/>
      <c r="C16591" s="36"/>
      <c r="E16591" s="1"/>
      <c r="F16591" s="1"/>
      <c r="G16591" s="1"/>
    </row>
    <row r="16592">
      <c r="B16592" s="36"/>
      <c r="C16592" s="36"/>
      <c r="E16592" s="1"/>
      <c r="F16592" s="1"/>
      <c r="G16592" s="1"/>
    </row>
    <row r="16593">
      <c r="B16593" s="36"/>
      <c r="C16593" s="36"/>
      <c r="E16593" s="1"/>
      <c r="F16593" s="1"/>
      <c r="G16593" s="1"/>
    </row>
    <row r="16594">
      <c r="B16594" s="36"/>
      <c r="C16594" s="36"/>
      <c r="E16594" s="1"/>
      <c r="F16594" s="1"/>
      <c r="G16594" s="1"/>
    </row>
    <row r="16595">
      <c r="B16595" s="36"/>
      <c r="C16595" s="36"/>
      <c r="E16595" s="1"/>
      <c r="F16595" s="1"/>
      <c r="G16595" s="1"/>
    </row>
    <row r="16596">
      <c r="B16596" s="36"/>
      <c r="C16596" s="36"/>
      <c r="E16596" s="1"/>
      <c r="F16596" s="1"/>
      <c r="G16596" s="1"/>
    </row>
    <row r="16597">
      <c r="B16597" s="36"/>
      <c r="C16597" s="36"/>
      <c r="E16597" s="1"/>
      <c r="F16597" s="1"/>
      <c r="G16597" s="1"/>
    </row>
    <row r="16598">
      <c r="B16598" s="36"/>
      <c r="C16598" s="36"/>
      <c r="E16598" s="1"/>
      <c r="F16598" s="1"/>
      <c r="G16598" s="1"/>
    </row>
    <row r="16599">
      <c r="B16599" s="36"/>
      <c r="C16599" s="36"/>
      <c r="E16599" s="1"/>
      <c r="F16599" s="1"/>
      <c r="G16599" s="1"/>
    </row>
    <row r="16600">
      <c r="B16600" s="36"/>
      <c r="C16600" s="36"/>
      <c r="E16600" s="1"/>
      <c r="F16600" s="1"/>
      <c r="G16600" s="1"/>
    </row>
    <row r="16601">
      <c r="B16601" s="36"/>
      <c r="C16601" s="36"/>
      <c r="E16601" s="1"/>
      <c r="F16601" s="1"/>
      <c r="G16601" s="1"/>
    </row>
    <row r="16602">
      <c r="B16602" s="36"/>
      <c r="C16602" s="36"/>
      <c r="E16602" s="1"/>
      <c r="F16602" s="1"/>
      <c r="G16602" s="1"/>
    </row>
    <row r="16603">
      <c r="B16603" s="36"/>
      <c r="C16603" s="36"/>
      <c r="E16603" s="1"/>
      <c r="F16603" s="1"/>
      <c r="G16603" s="1"/>
    </row>
    <row r="16604">
      <c r="B16604" s="36"/>
      <c r="C16604" s="36"/>
      <c r="E16604" s="1"/>
      <c r="F16604" s="1"/>
      <c r="G16604" s="1"/>
    </row>
    <row r="16605">
      <c r="B16605" s="36"/>
      <c r="C16605" s="36"/>
      <c r="E16605" s="1"/>
      <c r="F16605" s="1"/>
      <c r="G16605" s="1"/>
    </row>
    <row r="16606">
      <c r="B16606" s="36"/>
      <c r="C16606" s="36"/>
      <c r="E16606" s="1"/>
      <c r="F16606" s="1"/>
      <c r="G16606" s="1"/>
    </row>
    <row r="16607">
      <c r="B16607" s="36"/>
      <c r="C16607" s="36"/>
      <c r="E16607" s="1"/>
      <c r="F16607" s="1"/>
      <c r="G16607" s="1"/>
    </row>
    <row r="16608">
      <c r="B16608" s="36"/>
      <c r="C16608" s="36"/>
      <c r="E16608" s="1"/>
      <c r="F16608" s="1"/>
      <c r="G16608" s="1"/>
    </row>
    <row r="16609">
      <c r="B16609" s="36"/>
      <c r="C16609" s="36"/>
      <c r="E16609" s="1"/>
      <c r="F16609" s="1"/>
      <c r="G16609" s="1"/>
    </row>
    <row r="16610">
      <c r="B16610" s="36"/>
      <c r="C16610" s="36"/>
      <c r="E16610" s="1"/>
      <c r="F16610" s="1"/>
      <c r="G16610" s="1"/>
    </row>
    <row r="16611">
      <c r="B16611" s="36"/>
      <c r="C16611" s="36"/>
      <c r="E16611" s="1"/>
      <c r="F16611" s="1"/>
      <c r="G16611" s="1"/>
    </row>
    <row r="16612">
      <c r="B16612" s="36"/>
      <c r="C16612" s="36"/>
      <c r="E16612" s="1"/>
      <c r="F16612" s="1"/>
      <c r="G16612" s="1"/>
    </row>
    <row r="16613">
      <c r="B16613" s="36"/>
      <c r="C16613" s="36"/>
      <c r="E16613" s="1"/>
      <c r="F16613" s="1"/>
      <c r="G16613" s="1"/>
    </row>
    <row r="16614">
      <c r="B16614" s="36"/>
      <c r="C16614" s="36"/>
      <c r="E16614" s="1"/>
      <c r="F16614" s="1"/>
      <c r="G16614" s="1"/>
    </row>
    <row r="16615">
      <c r="B16615" s="36"/>
      <c r="C16615" s="36"/>
      <c r="E16615" s="1"/>
      <c r="F16615" s="1"/>
      <c r="G16615" s="1"/>
    </row>
    <row r="16616">
      <c r="B16616" s="36"/>
      <c r="C16616" s="36"/>
      <c r="E16616" s="1"/>
      <c r="F16616" s="1"/>
      <c r="G16616" s="1"/>
    </row>
    <row r="16617">
      <c r="B16617" s="36"/>
      <c r="C16617" s="36"/>
      <c r="E16617" s="1"/>
      <c r="F16617" s="1"/>
      <c r="G16617" s="1"/>
    </row>
    <row r="16618">
      <c r="B16618" s="36"/>
      <c r="C16618" s="36"/>
      <c r="E16618" s="1"/>
      <c r="F16618" s="1"/>
      <c r="G16618" s="1"/>
    </row>
    <row r="16619">
      <c r="B16619" s="36"/>
      <c r="C16619" s="36"/>
      <c r="E16619" s="1"/>
      <c r="F16619" s="1"/>
      <c r="G16619" s="1"/>
    </row>
    <row r="16620">
      <c r="B16620" s="36"/>
      <c r="C16620" s="36"/>
      <c r="E16620" s="1"/>
      <c r="F16620" s="1"/>
      <c r="G16620" s="1"/>
    </row>
    <row r="16621">
      <c r="B16621" s="36"/>
      <c r="C16621" s="36"/>
      <c r="E16621" s="1"/>
      <c r="F16621" s="1"/>
      <c r="G16621" s="1"/>
    </row>
    <row r="16622">
      <c r="B16622" s="36"/>
      <c r="C16622" s="36"/>
      <c r="E16622" s="1"/>
      <c r="F16622" s="1"/>
      <c r="G16622" s="1"/>
    </row>
    <row r="16623">
      <c r="B16623" s="36"/>
      <c r="C16623" s="36"/>
      <c r="E16623" s="1"/>
      <c r="F16623" s="1"/>
      <c r="G16623" s="1"/>
    </row>
    <row r="16624">
      <c r="B16624" s="36"/>
      <c r="C16624" s="36"/>
      <c r="E16624" s="1"/>
      <c r="F16624" s="1"/>
      <c r="G16624" s="1"/>
    </row>
    <row r="16625">
      <c r="B16625" s="36"/>
      <c r="C16625" s="36"/>
      <c r="E16625" s="1"/>
      <c r="F16625" s="1"/>
      <c r="G16625" s="1"/>
    </row>
    <row r="16626">
      <c r="B16626" s="36"/>
      <c r="C16626" s="36"/>
      <c r="E16626" s="1"/>
      <c r="F16626" s="1"/>
      <c r="G16626" s="1"/>
    </row>
    <row r="16627">
      <c r="B16627" s="36"/>
      <c r="C16627" s="36"/>
      <c r="E16627" s="1"/>
      <c r="F16627" s="1"/>
      <c r="G16627" s="1"/>
    </row>
    <row r="16628">
      <c r="B16628" s="36"/>
      <c r="C16628" s="36"/>
      <c r="E16628" s="1"/>
      <c r="F16628" s="1"/>
      <c r="G16628" s="1"/>
    </row>
    <row r="16629">
      <c r="B16629" s="36"/>
      <c r="C16629" s="36"/>
      <c r="E16629" s="1"/>
      <c r="F16629" s="1"/>
      <c r="G16629" s="1"/>
    </row>
    <row r="16630">
      <c r="B16630" s="36"/>
      <c r="C16630" s="36"/>
      <c r="E16630" s="1"/>
      <c r="F16630" s="1"/>
      <c r="G16630" s="1"/>
    </row>
    <row r="16631">
      <c r="B16631" s="36"/>
      <c r="C16631" s="36"/>
      <c r="E16631" s="1"/>
      <c r="F16631" s="1"/>
      <c r="G16631" s="1"/>
    </row>
    <row r="16632">
      <c r="B16632" s="36"/>
      <c r="C16632" s="36"/>
      <c r="E16632" s="1"/>
      <c r="F16632" s="1"/>
      <c r="G16632" s="1"/>
    </row>
    <row r="16633">
      <c r="B16633" s="36"/>
      <c r="C16633" s="36"/>
      <c r="E16633" s="1"/>
      <c r="F16633" s="1"/>
      <c r="G16633" s="1"/>
    </row>
    <row r="16634">
      <c r="B16634" s="36"/>
      <c r="C16634" s="36"/>
      <c r="E16634" s="1"/>
      <c r="F16634" s="1"/>
      <c r="G16634" s="1"/>
    </row>
    <row r="16635">
      <c r="B16635" s="36"/>
      <c r="C16635" s="36"/>
      <c r="E16635" s="1"/>
      <c r="F16635" s="1"/>
      <c r="G16635" s="1"/>
    </row>
    <row r="16636">
      <c r="B16636" s="36"/>
      <c r="C16636" s="36"/>
      <c r="E16636" s="1"/>
      <c r="F16636" s="1"/>
      <c r="G16636" s="1"/>
    </row>
    <row r="16637">
      <c r="B16637" s="36"/>
      <c r="C16637" s="36"/>
      <c r="E16637" s="1"/>
      <c r="F16637" s="1"/>
      <c r="G16637" s="1"/>
    </row>
    <row r="16638">
      <c r="B16638" s="36"/>
      <c r="C16638" s="36"/>
      <c r="E16638" s="1"/>
      <c r="F16638" s="1"/>
      <c r="G16638" s="1"/>
    </row>
    <row r="16639">
      <c r="B16639" s="36"/>
      <c r="C16639" s="36"/>
      <c r="E16639" s="1"/>
      <c r="F16639" s="1"/>
      <c r="G16639" s="1"/>
    </row>
    <row r="16640">
      <c r="B16640" s="36"/>
      <c r="C16640" s="36"/>
      <c r="E16640" s="1"/>
      <c r="F16640" s="1"/>
      <c r="G16640" s="1"/>
    </row>
    <row r="16641">
      <c r="B16641" s="36"/>
      <c r="C16641" s="36"/>
      <c r="E16641" s="1"/>
      <c r="F16641" s="1"/>
      <c r="G16641" s="1"/>
    </row>
    <row r="16642">
      <c r="B16642" s="36"/>
      <c r="C16642" s="36"/>
      <c r="E16642" s="1"/>
      <c r="F16642" s="1"/>
      <c r="G16642" s="1"/>
    </row>
    <row r="16643">
      <c r="B16643" s="36"/>
      <c r="C16643" s="36"/>
      <c r="E16643" s="1"/>
      <c r="F16643" s="1"/>
      <c r="G16643" s="1"/>
    </row>
    <row r="16644">
      <c r="B16644" s="36"/>
      <c r="C16644" s="36"/>
      <c r="E16644" s="1"/>
      <c r="F16644" s="1"/>
      <c r="G16644" s="1"/>
    </row>
    <row r="16645">
      <c r="B16645" s="36"/>
      <c r="C16645" s="36"/>
      <c r="E16645" s="1"/>
      <c r="F16645" s="1"/>
      <c r="G16645" s="1"/>
    </row>
    <row r="16646">
      <c r="B16646" s="36"/>
      <c r="C16646" s="36"/>
      <c r="E16646" s="1"/>
      <c r="F16646" s="1"/>
      <c r="G16646" s="1"/>
    </row>
    <row r="16647">
      <c r="B16647" s="36"/>
      <c r="C16647" s="36"/>
      <c r="E16647" s="1"/>
      <c r="F16647" s="1"/>
      <c r="G16647" s="1"/>
    </row>
    <row r="16648">
      <c r="B16648" s="36"/>
      <c r="C16648" s="36"/>
      <c r="E16648" s="1"/>
      <c r="F16648" s="1"/>
      <c r="G16648" s="1"/>
    </row>
    <row r="16649">
      <c r="B16649" s="36"/>
      <c r="C16649" s="36"/>
      <c r="E16649" s="1"/>
      <c r="F16649" s="1"/>
      <c r="G16649" s="1"/>
    </row>
    <row r="16650">
      <c r="B16650" s="36"/>
      <c r="C16650" s="36"/>
      <c r="E16650" s="1"/>
      <c r="F16650" s="1"/>
      <c r="G16650" s="1"/>
    </row>
    <row r="16651">
      <c r="B16651" s="36"/>
      <c r="C16651" s="36"/>
      <c r="E16651" s="1"/>
      <c r="F16651" s="1"/>
      <c r="G16651" s="1"/>
    </row>
    <row r="16652">
      <c r="B16652" s="36"/>
      <c r="C16652" s="36"/>
      <c r="E16652" s="1"/>
      <c r="F16652" s="1"/>
      <c r="G16652" s="1"/>
    </row>
    <row r="16653">
      <c r="B16653" s="36"/>
      <c r="C16653" s="36"/>
      <c r="E16653" s="1"/>
      <c r="F16653" s="1"/>
      <c r="G16653" s="1"/>
    </row>
    <row r="16654">
      <c r="B16654" s="36"/>
      <c r="C16654" s="36"/>
      <c r="E16654" s="1"/>
      <c r="F16654" s="1"/>
      <c r="G16654" s="1"/>
    </row>
    <row r="16655">
      <c r="B16655" s="36"/>
      <c r="C16655" s="36"/>
      <c r="E16655" s="1"/>
      <c r="F16655" s="1"/>
      <c r="G16655" s="1"/>
    </row>
    <row r="16656">
      <c r="B16656" s="36"/>
      <c r="C16656" s="36"/>
      <c r="E16656" s="1"/>
      <c r="F16656" s="1"/>
      <c r="G16656" s="1"/>
    </row>
    <row r="16657">
      <c r="B16657" s="36"/>
      <c r="C16657" s="36"/>
      <c r="E16657" s="1"/>
      <c r="F16657" s="1"/>
      <c r="G16657" s="1"/>
    </row>
    <row r="16658">
      <c r="B16658" s="36"/>
      <c r="C16658" s="36"/>
      <c r="E16658" s="1"/>
      <c r="F16658" s="1"/>
      <c r="G16658" s="1"/>
    </row>
    <row r="16659">
      <c r="B16659" s="36"/>
      <c r="C16659" s="36"/>
      <c r="E16659" s="1"/>
      <c r="F16659" s="1"/>
      <c r="G16659" s="1"/>
    </row>
    <row r="16660">
      <c r="B16660" s="36"/>
      <c r="C16660" s="36"/>
      <c r="E16660" s="1"/>
      <c r="F16660" s="1"/>
      <c r="G16660" s="1"/>
    </row>
    <row r="16661">
      <c r="B16661" s="36"/>
      <c r="C16661" s="36"/>
      <c r="E16661" s="1"/>
      <c r="F16661" s="1"/>
      <c r="G16661" s="1"/>
    </row>
    <row r="16662">
      <c r="B16662" s="36"/>
      <c r="C16662" s="36"/>
      <c r="E16662" s="1"/>
      <c r="F16662" s="1"/>
      <c r="G16662" s="1"/>
    </row>
    <row r="16663">
      <c r="B16663" s="36"/>
      <c r="C16663" s="36"/>
      <c r="E16663" s="1"/>
      <c r="F16663" s="1"/>
      <c r="G16663" s="1"/>
    </row>
    <row r="16664">
      <c r="B16664" s="36"/>
      <c r="C16664" s="36"/>
      <c r="E16664" s="1"/>
      <c r="F16664" s="1"/>
      <c r="G16664" s="1"/>
    </row>
    <row r="16665">
      <c r="B16665" s="36"/>
      <c r="C16665" s="36"/>
      <c r="E16665" s="1"/>
      <c r="F16665" s="1"/>
      <c r="G16665" s="1"/>
    </row>
    <row r="16666">
      <c r="B16666" s="36"/>
      <c r="C16666" s="36"/>
      <c r="E16666" s="1"/>
      <c r="F16666" s="1"/>
      <c r="G16666" s="1"/>
    </row>
    <row r="16667">
      <c r="B16667" s="36"/>
      <c r="C16667" s="36"/>
      <c r="E16667" s="1"/>
      <c r="F16667" s="1"/>
      <c r="G16667" s="1"/>
    </row>
    <row r="16668">
      <c r="B16668" s="36"/>
      <c r="C16668" s="36"/>
      <c r="E16668" s="1"/>
      <c r="F16668" s="1"/>
      <c r="G16668" s="1"/>
    </row>
    <row r="16669">
      <c r="B16669" s="36"/>
      <c r="C16669" s="36"/>
      <c r="E16669" s="1"/>
      <c r="F16669" s="1"/>
      <c r="G16669" s="1"/>
    </row>
    <row r="16670">
      <c r="B16670" s="36"/>
      <c r="C16670" s="36"/>
      <c r="E16670" s="1"/>
      <c r="F16670" s="1"/>
      <c r="G16670" s="1"/>
    </row>
    <row r="16671">
      <c r="B16671" s="36"/>
      <c r="C16671" s="36"/>
      <c r="E16671" s="1"/>
      <c r="F16671" s="1"/>
      <c r="G16671" s="1"/>
    </row>
    <row r="16672">
      <c r="B16672" s="36"/>
      <c r="C16672" s="36"/>
      <c r="E16672" s="1"/>
      <c r="F16672" s="1"/>
      <c r="G16672" s="1"/>
    </row>
    <row r="16673">
      <c r="B16673" s="36"/>
      <c r="C16673" s="36"/>
      <c r="E16673" s="1"/>
      <c r="F16673" s="1"/>
      <c r="G16673" s="1"/>
    </row>
    <row r="16674">
      <c r="B16674" s="36"/>
      <c r="C16674" s="36"/>
      <c r="E16674" s="1"/>
      <c r="F16674" s="1"/>
      <c r="G16674" s="1"/>
    </row>
    <row r="16675">
      <c r="B16675" s="36"/>
      <c r="C16675" s="36"/>
      <c r="E16675" s="1"/>
      <c r="F16675" s="1"/>
      <c r="G16675" s="1"/>
    </row>
    <row r="16676">
      <c r="B16676" s="36"/>
      <c r="C16676" s="36"/>
      <c r="E16676" s="1"/>
      <c r="F16676" s="1"/>
      <c r="G16676" s="1"/>
    </row>
    <row r="16677">
      <c r="B16677" s="36"/>
      <c r="C16677" s="36"/>
      <c r="E16677" s="1"/>
      <c r="F16677" s="1"/>
      <c r="G16677" s="1"/>
    </row>
    <row r="16678">
      <c r="B16678" s="36"/>
      <c r="C16678" s="36"/>
      <c r="E16678" s="1"/>
      <c r="F16678" s="1"/>
      <c r="G16678" s="1"/>
    </row>
    <row r="16679">
      <c r="B16679" s="36"/>
      <c r="C16679" s="36"/>
      <c r="E16679" s="1"/>
      <c r="F16679" s="1"/>
      <c r="G16679" s="1"/>
    </row>
    <row r="16680">
      <c r="B16680" s="36"/>
      <c r="C16680" s="36"/>
      <c r="E16680" s="1"/>
      <c r="F16680" s="1"/>
      <c r="G16680" s="1"/>
    </row>
    <row r="16681">
      <c r="B16681" s="36"/>
      <c r="C16681" s="36"/>
      <c r="E16681" s="1"/>
      <c r="F16681" s="1"/>
      <c r="G16681" s="1"/>
    </row>
    <row r="16682">
      <c r="B16682" s="36"/>
      <c r="C16682" s="36"/>
      <c r="E16682" s="1"/>
      <c r="F16682" s="1"/>
      <c r="G16682" s="1"/>
    </row>
    <row r="16683">
      <c r="B16683" s="36"/>
      <c r="C16683" s="36"/>
      <c r="E16683" s="1"/>
      <c r="F16683" s="1"/>
      <c r="G16683" s="1"/>
    </row>
    <row r="16684">
      <c r="B16684" s="36"/>
      <c r="C16684" s="36"/>
      <c r="E16684" s="1"/>
      <c r="F16684" s="1"/>
      <c r="G16684" s="1"/>
    </row>
    <row r="16685">
      <c r="B16685" s="36"/>
      <c r="C16685" s="36"/>
      <c r="E16685" s="1"/>
      <c r="F16685" s="1"/>
      <c r="G16685" s="1"/>
    </row>
    <row r="16686">
      <c r="B16686" s="36"/>
      <c r="C16686" s="36"/>
      <c r="E16686" s="1"/>
      <c r="F16686" s="1"/>
      <c r="G16686" s="1"/>
    </row>
    <row r="16687">
      <c r="B16687" s="36"/>
      <c r="C16687" s="36"/>
      <c r="E16687" s="1"/>
      <c r="F16687" s="1"/>
      <c r="G16687" s="1"/>
    </row>
    <row r="16688">
      <c r="B16688" s="36"/>
      <c r="C16688" s="36"/>
      <c r="E16688" s="1"/>
      <c r="F16688" s="1"/>
      <c r="G16688" s="1"/>
    </row>
    <row r="16689">
      <c r="B16689" s="36"/>
      <c r="C16689" s="36"/>
      <c r="E16689" s="1"/>
      <c r="F16689" s="1"/>
      <c r="G16689" s="1"/>
    </row>
    <row r="16690">
      <c r="B16690" s="36"/>
      <c r="C16690" s="36"/>
      <c r="E16690" s="1"/>
      <c r="F16690" s="1"/>
      <c r="G16690" s="1"/>
    </row>
    <row r="16691">
      <c r="B16691" s="36"/>
      <c r="C16691" s="36"/>
      <c r="E16691" s="1"/>
      <c r="F16691" s="1"/>
      <c r="G16691" s="1"/>
    </row>
    <row r="16692">
      <c r="B16692" s="36"/>
      <c r="C16692" s="36"/>
      <c r="E16692" s="1"/>
      <c r="F16692" s="1"/>
      <c r="G16692" s="1"/>
    </row>
    <row r="16693">
      <c r="B16693" s="36"/>
      <c r="C16693" s="36"/>
      <c r="E16693" s="1"/>
      <c r="F16693" s="1"/>
      <c r="G16693" s="1"/>
    </row>
    <row r="16694">
      <c r="B16694" s="36"/>
      <c r="C16694" s="36"/>
      <c r="E16694" s="1"/>
      <c r="F16694" s="1"/>
      <c r="G16694" s="1"/>
    </row>
    <row r="16695">
      <c r="B16695" s="36"/>
      <c r="C16695" s="36"/>
      <c r="E16695" s="1"/>
      <c r="F16695" s="1"/>
      <c r="G16695" s="1"/>
    </row>
    <row r="16696">
      <c r="B16696" s="36"/>
      <c r="C16696" s="36"/>
      <c r="E16696" s="1"/>
      <c r="F16696" s="1"/>
      <c r="G16696" s="1"/>
    </row>
    <row r="16697">
      <c r="B16697" s="36"/>
      <c r="C16697" s="36"/>
      <c r="E16697" s="1"/>
      <c r="F16697" s="1"/>
      <c r="G16697" s="1"/>
    </row>
    <row r="16698">
      <c r="B16698" s="36"/>
      <c r="C16698" s="36"/>
      <c r="E16698" s="1"/>
      <c r="F16698" s="1"/>
      <c r="G16698" s="1"/>
    </row>
    <row r="16699">
      <c r="B16699" s="36"/>
      <c r="C16699" s="36"/>
      <c r="E16699" s="1"/>
      <c r="F16699" s="1"/>
      <c r="G16699" s="1"/>
    </row>
    <row r="16700">
      <c r="B16700" s="36"/>
      <c r="C16700" s="36"/>
      <c r="E16700" s="1"/>
      <c r="F16700" s="1"/>
      <c r="G16700" s="1"/>
    </row>
    <row r="16701">
      <c r="B16701" s="36"/>
      <c r="C16701" s="36"/>
      <c r="E16701" s="1"/>
      <c r="F16701" s="1"/>
      <c r="G16701" s="1"/>
    </row>
    <row r="16702">
      <c r="B16702" s="36"/>
      <c r="C16702" s="36"/>
      <c r="E16702" s="1"/>
      <c r="F16702" s="1"/>
      <c r="G16702" s="1"/>
    </row>
    <row r="16703">
      <c r="B16703" s="36"/>
      <c r="C16703" s="36"/>
      <c r="E16703" s="1"/>
      <c r="F16703" s="1"/>
      <c r="G16703" s="1"/>
    </row>
    <row r="16704">
      <c r="B16704" s="36"/>
      <c r="C16704" s="36"/>
      <c r="E16704" s="1"/>
      <c r="F16704" s="1"/>
      <c r="G16704" s="1"/>
    </row>
    <row r="16705">
      <c r="B16705" s="36"/>
      <c r="C16705" s="36"/>
      <c r="E16705" s="1"/>
      <c r="F16705" s="1"/>
      <c r="G16705" s="1"/>
    </row>
    <row r="16706">
      <c r="B16706" s="36"/>
      <c r="C16706" s="36"/>
      <c r="E16706" s="1"/>
      <c r="F16706" s="1"/>
      <c r="G16706" s="1"/>
    </row>
    <row r="16707">
      <c r="B16707" s="36"/>
      <c r="C16707" s="36"/>
      <c r="E16707" s="1"/>
      <c r="F16707" s="1"/>
      <c r="G16707" s="1"/>
    </row>
    <row r="16708">
      <c r="B16708" s="36"/>
      <c r="C16708" s="36"/>
      <c r="E16708" s="1"/>
      <c r="F16708" s="1"/>
      <c r="G16708" s="1"/>
    </row>
    <row r="16709">
      <c r="B16709" s="36"/>
      <c r="C16709" s="36"/>
      <c r="E16709" s="1"/>
      <c r="F16709" s="1"/>
      <c r="G16709" s="1"/>
    </row>
    <row r="16710">
      <c r="B16710" s="36"/>
      <c r="C16710" s="36"/>
      <c r="E16710" s="1"/>
      <c r="F16710" s="1"/>
      <c r="G16710" s="1"/>
    </row>
    <row r="16711">
      <c r="B16711" s="36"/>
      <c r="C16711" s="36"/>
      <c r="E16711" s="1"/>
      <c r="F16711" s="1"/>
      <c r="G16711" s="1"/>
    </row>
    <row r="16712">
      <c r="B16712" s="36"/>
      <c r="C16712" s="36"/>
      <c r="E16712" s="1"/>
      <c r="F16712" s="1"/>
      <c r="G16712" s="1"/>
    </row>
    <row r="16713">
      <c r="B16713" s="36"/>
      <c r="C16713" s="36"/>
      <c r="E16713" s="1"/>
      <c r="F16713" s="1"/>
      <c r="G16713" s="1"/>
    </row>
    <row r="16714">
      <c r="B16714" s="36"/>
      <c r="C16714" s="36"/>
      <c r="E16714" s="1"/>
      <c r="F16714" s="1"/>
      <c r="G16714" s="1"/>
    </row>
    <row r="16715">
      <c r="B16715" s="36"/>
      <c r="C16715" s="36"/>
      <c r="E16715" s="1"/>
      <c r="F16715" s="1"/>
      <c r="G16715" s="1"/>
    </row>
    <row r="16716">
      <c r="B16716" s="36"/>
      <c r="C16716" s="36"/>
      <c r="E16716" s="1"/>
      <c r="F16716" s="1"/>
      <c r="G16716" s="1"/>
    </row>
    <row r="16717">
      <c r="B16717" s="36"/>
      <c r="C16717" s="36"/>
      <c r="E16717" s="1"/>
      <c r="F16717" s="1"/>
      <c r="G16717" s="1"/>
    </row>
    <row r="16718">
      <c r="B16718" s="36"/>
      <c r="C16718" s="36"/>
      <c r="E16718" s="1"/>
      <c r="F16718" s="1"/>
      <c r="G16718" s="1"/>
    </row>
    <row r="16719">
      <c r="B16719" s="36"/>
      <c r="C16719" s="36"/>
      <c r="E16719" s="1"/>
      <c r="F16719" s="1"/>
      <c r="G16719" s="1"/>
    </row>
    <row r="16720">
      <c r="B16720" s="36"/>
      <c r="C16720" s="36"/>
      <c r="E16720" s="1"/>
      <c r="F16720" s="1"/>
      <c r="G16720" s="1"/>
    </row>
    <row r="16721">
      <c r="B16721" s="36"/>
      <c r="C16721" s="36"/>
      <c r="E16721" s="1"/>
      <c r="F16721" s="1"/>
      <c r="G16721" s="1"/>
    </row>
    <row r="16722">
      <c r="B16722" s="36"/>
      <c r="C16722" s="36"/>
      <c r="E16722" s="1"/>
      <c r="F16722" s="1"/>
      <c r="G16722" s="1"/>
    </row>
    <row r="16723">
      <c r="B16723" s="36"/>
      <c r="C16723" s="36"/>
      <c r="E16723" s="1"/>
      <c r="F16723" s="1"/>
      <c r="G16723" s="1"/>
    </row>
    <row r="16724">
      <c r="B16724" s="36"/>
      <c r="C16724" s="36"/>
      <c r="E16724" s="1"/>
      <c r="F16724" s="1"/>
      <c r="G16724" s="1"/>
    </row>
    <row r="16725">
      <c r="B16725" s="36"/>
      <c r="C16725" s="36"/>
      <c r="E16725" s="1"/>
      <c r="F16725" s="1"/>
      <c r="G16725" s="1"/>
    </row>
    <row r="16726">
      <c r="B16726" s="36"/>
      <c r="C16726" s="36"/>
      <c r="E16726" s="1"/>
      <c r="F16726" s="1"/>
      <c r="G16726" s="1"/>
    </row>
    <row r="16727">
      <c r="B16727" s="36"/>
      <c r="C16727" s="36"/>
      <c r="E16727" s="1"/>
      <c r="F16727" s="1"/>
      <c r="G16727" s="1"/>
    </row>
    <row r="16728">
      <c r="B16728" s="36"/>
      <c r="C16728" s="36"/>
      <c r="E16728" s="1"/>
      <c r="F16728" s="1"/>
      <c r="G16728" s="1"/>
    </row>
    <row r="16729">
      <c r="B16729" s="36"/>
      <c r="C16729" s="36"/>
      <c r="E16729" s="1"/>
      <c r="F16729" s="1"/>
      <c r="G16729" s="1"/>
    </row>
    <row r="16730">
      <c r="B16730" s="36"/>
      <c r="C16730" s="36"/>
      <c r="E16730" s="1"/>
      <c r="F16730" s="1"/>
      <c r="G16730" s="1"/>
    </row>
    <row r="16731">
      <c r="B16731" s="36"/>
      <c r="C16731" s="36"/>
      <c r="E16731" s="1"/>
      <c r="F16731" s="1"/>
      <c r="G16731" s="1"/>
    </row>
    <row r="16732">
      <c r="B16732" s="36"/>
      <c r="C16732" s="36"/>
      <c r="E16732" s="1"/>
      <c r="F16732" s="1"/>
      <c r="G16732" s="1"/>
    </row>
    <row r="16733">
      <c r="B16733" s="36"/>
      <c r="C16733" s="36"/>
      <c r="E16733" s="1"/>
      <c r="F16733" s="1"/>
      <c r="G16733" s="1"/>
    </row>
    <row r="16734">
      <c r="B16734" s="36"/>
      <c r="C16734" s="36"/>
      <c r="E16734" s="1"/>
      <c r="F16734" s="1"/>
      <c r="G16734" s="1"/>
    </row>
    <row r="16735">
      <c r="B16735" s="36"/>
      <c r="C16735" s="36"/>
      <c r="E16735" s="1"/>
      <c r="F16735" s="1"/>
      <c r="G16735" s="1"/>
    </row>
    <row r="16736">
      <c r="B16736" s="36"/>
      <c r="C16736" s="36"/>
      <c r="E16736" s="1"/>
      <c r="F16736" s="1"/>
      <c r="G16736" s="1"/>
    </row>
    <row r="16737">
      <c r="B16737" s="36"/>
      <c r="C16737" s="36"/>
      <c r="E16737" s="1"/>
      <c r="F16737" s="1"/>
      <c r="G16737" s="1"/>
    </row>
    <row r="16738">
      <c r="B16738" s="36"/>
      <c r="C16738" s="36"/>
      <c r="E16738" s="1"/>
      <c r="F16738" s="1"/>
      <c r="G16738" s="1"/>
    </row>
    <row r="16739">
      <c r="B16739" s="36"/>
      <c r="C16739" s="36"/>
      <c r="E16739" s="1"/>
      <c r="F16739" s="1"/>
      <c r="G16739" s="1"/>
    </row>
    <row r="16740">
      <c r="B16740" s="36"/>
      <c r="C16740" s="36"/>
      <c r="E16740" s="1"/>
      <c r="F16740" s="1"/>
      <c r="G16740" s="1"/>
    </row>
    <row r="16741">
      <c r="B16741" s="36"/>
      <c r="C16741" s="36"/>
      <c r="E16741" s="1"/>
      <c r="F16741" s="1"/>
      <c r="G16741" s="1"/>
    </row>
    <row r="16742">
      <c r="B16742" s="36"/>
      <c r="C16742" s="36"/>
      <c r="E16742" s="1"/>
      <c r="F16742" s="1"/>
      <c r="G16742" s="1"/>
    </row>
    <row r="16743">
      <c r="B16743" s="36"/>
      <c r="C16743" s="36"/>
      <c r="E16743" s="1"/>
      <c r="F16743" s="1"/>
      <c r="G16743" s="1"/>
    </row>
    <row r="16744">
      <c r="B16744" s="36"/>
      <c r="C16744" s="36"/>
      <c r="E16744" s="1"/>
      <c r="F16744" s="1"/>
      <c r="G16744" s="1"/>
    </row>
    <row r="16745">
      <c r="B16745" s="36"/>
      <c r="C16745" s="36"/>
      <c r="E16745" s="1"/>
      <c r="F16745" s="1"/>
      <c r="G16745" s="1"/>
    </row>
    <row r="16746">
      <c r="B16746" s="36"/>
      <c r="C16746" s="36"/>
      <c r="E16746" s="1"/>
      <c r="F16746" s="1"/>
      <c r="G16746" s="1"/>
    </row>
    <row r="16747">
      <c r="B16747" s="36"/>
      <c r="C16747" s="36"/>
      <c r="E16747" s="1"/>
      <c r="F16747" s="1"/>
      <c r="G16747" s="1"/>
    </row>
    <row r="16748">
      <c r="B16748" s="36"/>
      <c r="C16748" s="36"/>
      <c r="E16748" s="1"/>
      <c r="F16748" s="1"/>
      <c r="G16748" s="1"/>
    </row>
    <row r="16749">
      <c r="B16749" s="36"/>
      <c r="C16749" s="36"/>
      <c r="E16749" s="1"/>
      <c r="F16749" s="1"/>
      <c r="G16749" s="1"/>
    </row>
    <row r="16750">
      <c r="B16750" s="36"/>
      <c r="C16750" s="36"/>
      <c r="E16750" s="1"/>
      <c r="F16750" s="1"/>
      <c r="G16750" s="1"/>
    </row>
    <row r="16751">
      <c r="B16751" s="36"/>
      <c r="C16751" s="36"/>
      <c r="E16751" s="1"/>
      <c r="F16751" s="1"/>
      <c r="G16751" s="1"/>
    </row>
    <row r="16752">
      <c r="B16752" s="36"/>
      <c r="C16752" s="36"/>
      <c r="E16752" s="1"/>
      <c r="F16752" s="1"/>
      <c r="G16752" s="1"/>
    </row>
    <row r="16753">
      <c r="B16753" s="36"/>
      <c r="C16753" s="36"/>
      <c r="E16753" s="1"/>
      <c r="F16753" s="1"/>
      <c r="G16753" s="1"/>
    </row>
    <row r="16754">
      <c r="B16754" s="36"/>
      <c r="C16754" s="36"/>
      <c r="E16754" s="1"/>
      <c r="F16754" s="1"/>
      <c r="G16754" s="1"/>
    </row>
    <row r="16755">
      <c r="B16755" s="36"/>
      <c r="C16755" s="36"/>
      <c r="E16755" s="1"/>
      <c r="F16755" s="1"/>
      <c r="G16755" s="1"/>
    </row>
    <row r="16756">
      <c r="B16756" s="36"/>
      <c r="C16756" s="36"/>
      <c r="E16756" s="1"/>
      <c r="F16756" s="1"/>
      <c r="G16756" s="1"/>
    </row>
    <row r="16757">
      <c r="B16757" s="36"/>
      <c r="C16757" s="36"/>
      <c r="E16757" s="1"/>
      <c r="F16757" s="1"/>
      <c r="G16757" s="1"/>
    </row>
    <row r="16758">
      <c r="B16758" s="36"/>
      <c r="C16758" s="36"/>
      <c r="E16758" s="1"/>
      <c r="F16758" s="1"/>
      <c r="G16758" s="1"/>
    </row>
    <row r="16759">
      <c r="B16759" s="36"/>
      <c r="C16759" s="36"/>
      <c r="E16759" s="1"/>
      <c r="F16759" s="1"/>
      <c r="G16759" s="1"/>
    </row>
    <row r="16760">
      <c r="B16760" s="36"/>
      <c r="C16760" s="36"/>
      <c r="E16760" s="1"/>
      <c r="F16760" s="1"/>
      <c r="G16760" s="1"/>
    </row>
    <row r="16761">
      <c r="B16761" s="36"/>
      <c r="C16761" s="36"/>
      <c r="E16761" s="1"/>
      <c r="F16761" s="1"/>
      <c r="G16761" s="1"/>
    </row>
    <row r="16762">
      <c r="B16762" s="36"/>
      <c r="C16762" s="36"/>
      <c r="E16762" s="1"/>
      <c r="F16762" s="1"/>
      <c r="G16762" s="1"/>
    </row>
    <row r="16763">
      <c r="B16763" s="36"/>
      <c r="C16763" s="36"/>
      <c r="E16763" s="1"/>
      <c r="F16763" s="1"/>
      <c r="G16763" s="1"/>
    </row>
    <row r="16764">
      <c r="B16764" s="36"/>
      <c r="C16764" s="36"/>
      <c r="E16764" s="1"/>
      <c r="F16764" s="1"/>
      <c r="G16764" s="1"/>
    </row>
    <row r="16765">
      <c r="B16765" s="36"/>
      <c r="C16765" s="36"/>
      <c r="E16765" s="1"/>
      <c r="F16765" s="1"/>
      <c r="G16765" s="1"/>
    </row>
    <row r="16766">
      <c r="B16766" s="36"/>
      <c r="C16766" s="36"/>
      <c r="E16766" s="1"/>
      <c r="F16766" s="1"/>
      <c r="G16766" s="1"/>
    </row>
    <row r="16767">
      <c r="B16767" s="36"/>
      <c r="C16767" s="36"/>
      <c r="E16767" s="1"/>
      <c r="F16767" s="1"/>
      <c r="G16767" s="1"/>
    </row>
    <row r="16768">
      <c r="B16768" s="36"/>
      <c r="C16768" s="36"/>
      <c r="E16768" s="1"/>
      <c r="F16768" s="1"/>
      <c r="G16768" s="1"/>
    </row>
    <row r="16769">
      <c r="B16769" s="36"/>
      <c r="C16769" s="36"/>
      <c r="E16769" s="1"/>
      <c r="F16769" s="1"/>
      <c r="G16769" s="1"/>
    </row>
    <row r="16770">
      <c r="B16770" s="36"/>
      <c r="C16770" s="36"/>
      <c r="E16770" s="1"/>
      <c r="F16770" s="1"/>
      <c r="G16770" s="1"/>
    </row>
    <row r="16771">
      <c r="B16771" s="36"/>
      <c r="C16771" s="36"/>
      <c r="E16771" s="1"/>
      <c r="F16771" s="1"/>
      <c r="G16771" s="1"/>
    </row>
    <row r="16772">
      <c r="B16772" s="36"/>
      <c r="C16772" s="36"/>
      <c r="E16772" s="1"/>
      <c r="F16772" s="1"/>
      <c r="G16772" s="1"/>
    </row>
    <row r="16773">
      <c r="B16773" s="36"/>
      <c r="C16773" s="36"/>
      <c r="E16773" s="1"/>
      <c r="F16773" s="1"/>
      <c r="G16773" s="1"/>
    </row>
    <row r="16774">
      <c r="B16774" s="36"/>
      <c r="C16774" s="36"/>
      <c r="E16774" s="1"/>
      <c r="F16774" s="1"/>
      <c r="G16774" s="1"/>
    </row>
    <row r="16775">
      <c r="B16775" s="36"/>
      <c r="C16775" s="36"/>
      <c r="E16775" s="1"/>
      <c r="F16775" s="1"/>
      <c r="G16775" s="1"/>
    </row>
    <row r="16776">
      <c r="B16776" s="36"/>
      <c r="C16776" s="36"/>
      <c r="E16776" s="1"/>
      <c r="F16776" s="1"/>
      <c r="G16776" s="1"/>
    </row>
    <row r="16777">
      <c r="B16777" s="36"/>
      <c r="C16777" s="36"/>
      <c r="E16777" s="1"/>
      <c r="F16777" s="1"/>
      <c r="G16777" s="1"/>
    </row>
    <row r="16778">
      <c r="B16778" s="36"/>
      <c r="C16778" s="36"/>
      <c r="E16778" s="1"/>
      <c r="F16778" s="1"/>
      <c r="G16778" s="1"/>
    </row>
    <row r="16779">
      <c r="B16779" s="36"/>
      <c r="C16779" s="36"/>
      <c r="E16779" s="1"/>
      <c r="F16779" s="1"/>
      <c r="G16779" s="1"/>
    </row>
    <row r="16780">
      <c r="B16780" s="36"/>
      <c r="C16780" s="36"/>
      <c r="E16780" s="1"/>
      <c r="F16780" s="1"/>
      <c r="G16780" s="1"/>
    </row>
    <row r="16781">
      <c r="B16781" s="36"/>
      <c r="C16781" s="36"/>
      <c r="E16781" s="1"/>
      <c r="F16781" s="1"/>
      <c r="G16781" s="1"/>
    </row>
    <row r="16782">
      <c r="B16782" s="36"/>
      <c r="C16782" s="36"/>
      <c r="E16782" s="1"/>
      <c r="F16782" s="1"/>
      <c r="G16782" s="1"/>
    </row>
    <row r="16783">
      <c r="B16783" s="36"/>
      <c r="C16783" s="36"/>
      <c r="E16783" s="1"/>
      <c r="F16783" s="1"/>
      <c r="G16783" s="1"/>
    </row>
    <row r="16784">
      <c r="B16784" s="36"/>
      <c r="C16784" s="36"/>
      <c r="E16784" s="1"/>
      <c r="F16784" s="1"/>
      <c r="G16784" s="1"/>
    </row>
    <row r="16785">
      <c r="B16785" s="36"/>
      <c r="C16785" s="36"/>
      <c r="E16785" s="1"/>
      <c r="F16785" s="1"/>
      <c r="G16785" s="1"/>
    </row>
    <row r="16786">
      <c r="B16786" s="36"/>
      <c r="C16786" s="36"/>
      <c r="E16786" s="1"/>
      <c r="F16786" s="1"/>
      <c r="G16786" s="1"/>
    </row>
    <row r="16787">
      <c r="B16787" s="36"/>
      <c r="C16787" s="36"/>
      <c r="E16787" s="1"/>
      <c r="F16787" s="1"/>
      <c r="G16787" s="1"/>
    </row>
    <row r="16788">
      <c r="B16788" s="36"/>
      <c r="C16788" s="36"/>
      <c r="E16788" s="1"/>
      <c r="F16788" s="1"/>
      <c r="G16788" s="1"/>
    </row>
    <row r="16789">
      <c r="B16789" s="36"/>
      <c r="C16789" s="36"/>
      <c r="E16789" s="1"/>
      <c r="F16789" s="1"/>
      <c r="G16789" s="1"/>
    </row>
    <row r="16790">
      <c r="B16790" s="36"/>
      <c r="C16790" s="36"/>
      <c r="E16790" s="1"/>
      <c r="F16790" s="1"/>
      <c r="G16790" s="1"/>
    </row>
    <row r="16791">
      <c r="B16791" s="36"/>
      <c r="C16791" s="36"/>
      <c r="E16791" s="1"/>
      <c r="F16791" s="1"/>
      <c r="G16791" s="1"/>
    </row>
    <row r="16792">
      <c r="B16792" s="36"/>
      <c r="C16792" s="36"/>
      <c r="E16792" s="1"/>
      <c r="F16792" s="1"/>
      <c r="G16792" s="1"/>
    </row>
    <row r="16793">
      <c r="B16793" s="36"/>
      <c r="C16793" s="36"/>
      <c r="E16793" s="1"/>
      <c r="F16793" s="1"/>
      <c r="G16793" s="1"/>
    </row>
    <row r="16794">
      <c r="B16794" s="36"/>
      <c r="C16794" s="36"/>
      <c r="E16794" s="1"/>
      <c r="F16794" s="1"/>
      <c r="G16794" s="1"/>
    </row>
    <row r="16795">
      <c r="B16795" s="36"/>
      <c r="C16795" s="36"/>
      <c r="E16795" s="1"/>
      <c r="F16795" s="1"/>
      <c r="G16795" s="1"/>
    </row>
    <row r="16796">
      <c r="B16796" s="36"/>
      <c r="C16796" s="36"/>
      <c r="E16796" s="1"/>
      <c r="F16796" s="1"/>
      <c r="G16796" s="1"/>
    </row>
    <row r="16797">
      <c r="B16797" s="36"/>
      <c r="C16797" s="36"/>
      <c r="E16797" s="1"/>
      <c r="F16797" s="1"/>
      <c r="G16797" s="1"/>
    </row>
    <row r="16798">
      <c r="B16798" s="36"/>
      <c r="C16798" s="36"/>
      <c r="E16798" s="1"/>
      <c r="F16798" s="1"/>
      <c r="G16798" s="1"/>
    </row>
    <row r="16799">
      <c r="B16799" s="36"/>
      <c r="C16799" s="36"/>
      <c r="E16799" s="1"/>
      <c r="F16799" s="1"/>
      <c r="G16799" s="1"/>
    </row>
    <row r="16800">
      <c r="B16800" s="36"/>
      <c r="C16800" s="36"/>
      <c r="E16800" s="1"/>
      <c r="F16800" s="1"/>
      <c r="G16800" s="1"/>
    </row>
    <row r="16801">
      <c r="B16801" s="36"/>
      <c r="C16801" s="36"/>
      <c r="E16801" s="1"/>
      <c r="F16801" s="1"/>
      <c r="G16801" s="1"/>
    </row>
    <row r="16802">
      <c r="B16802" s="36"/>
      <c r="C16802" s="36"/>
      <c r="E16802" s="1"/>
      <c r="F16802" s="1"/>
      <c r="G16802" s="1"/>
    </row>
    <row r="16803">
      <c r="B16803" s="36"/>
      <c r="C16803" s="36"/>
      <c r="E16803" s="1"/>
      <c r="F16803" s="1"/>
      <c r="G16803" s="1"/>
    </row>
    <row r="16804">
      <c r="B16804" s="36"/>
      <c r="C16804" s="36"/>
      <c r="E16804" s="1"/>
      <c r="F16804" s="1"/>
      <c r="G16804" s="1"/>
    </row>
    <row r="16805">
      <c r="B16805" s="36"/>
      <c r="C16805" s="36"/>
      <c r="E16805" s="1"/>
      <c r="F16805" s="1"/>
      <c r="G16805" s="1"/>
    </row>
    <row r="16806">
      <c r="B16806" s="36"/>
      <c r="C16806" s="36"/>
      <c r="E16806" s="1"/>
      <c r="F16806" s="1"/>
      <c r="G16806" s="1"/>
    </row>
    <row r="16807">
      <c r="B16807" s="36"/>
      <c r="C16807" s="36"/>
      <c r="E16807" s="1"/>
      <c r="F16807" s="1"/>
      <c r="G16807" s="1"/>
    </row>
    <row r="16808">
      <c r="B16808" s="36"/>
      <c r="C16808" s="36"/>
      <c r="E16808" s="1"/>
      <c r="F16808" s="1"/>
      <c r="G16808" s="1"/>
    </row>
    <row r="16809">
      <c r="B16809" s="36"/>
      <c r="C16809" s="36"/>
      <c r="E16809" s="1"/>
      <c r="F16809" s="1"/>
      <c r="G16809" s="1"/>
    </row>
    <row r="16810">
      <c r="B16810" s="36"/>
      <c r="C16810" s="36"/>
      <c r="E16810" s="1"/>
      <c r="F16810" s="1"/>
      <c r="G16810" s="1"/>
    </row>
    <row r="16811">
      <c r="B16811" s="36"/>
      <c r="C16811" s="36"/>
      <c r="E16811" s="1"/>
      <c r="F16811" s="1"/>
      <c r="G16811" s="1"/>
    </row>
    <row r="16812">
      <c r="B16812" s="36"/>
      <c r="C16812" s="36"/>
      <c r="E16812" s="1"/>
      <c r="F16812" s="1"/>
      <c r="G16812" s="1"/>
    </row>
    <row r="16813">
      <c r="B16813" s="36"/>
      <c r="C16813" s="36"/>
      <c r="E16813" s="1"/>
      <c r="F16813" s="1"/>
      <c r="G16813" s="1"/>
    </row>
    <row r="16814">
      <c r="B16814" s="36"/>
      <c r="C16814" s="36"/>
      <c r="E16814" s="1"/>
      <c r="F16814" s="1"/>
      <c r="G16814" s="1"/>
    </row>
    <row r="16815">
      <c r="B16815" s="36"/>
      <c r="C16815" s="36"/>
      <c r="E16815" s="1"/>
      <c r="F16815" s="1"/>
      <c r="G16815" s="1"/>
    </row>
    <row r="16816">
      <c r="B16816" s="36"/>
      <c r="C16816" s="36"/>
      <c r="E16816" s="1"/>
      <c r="F16816" s="1"/>
      <c r="G16816" s="1"/>
    </row>
    <row r="16817">
      <c r="B16817" s="36"/>
      <c r="C16817" s="36"/>
      <c r="E16817" s="1"/>
      <c r="F16817" s="1"/>
      <c r="G16817" s="1"/>
    </row>
    <row r="16818">
      <c r="B16818" s="36"/>
      <c r="C16818" s="36"/>
      <c r="E16818" s="1"/>
      <c r="F16818" s="1"/>
      <c r="G16818" s="1"/>
    </row>
    <row r="16819">
      <c r="B16819" s="36"/>
      <c r="C16819" s="36"/>
      <c r="E16819" s="1"/>
      <c r="F16819" s="1"/>
      <c r="G16819" s="1"/>
    </row>
    <row r="16820">
      <c r="B16820" s="36"/>
      <c r="C16820" s="36"/>
      <c r="E16820" s="1"/>
      <c r="F16820" s="1"/>
      <c r="G16820" s="1"/>
    </row>
    <row r="16821">
      <c r="B16821" s="36"/>
      <c r="C16821" s="36"/>
      <c r="E16821" s="1"/>
      <c r="F16821" s="1"/>
      <c r="G16821" s="1"/>
    </row>
    <row r="16822">
      <c r="B16822" s="36"/>
      <c r="C16822" s="36"/>
      <c r="E16822" s="1"/>
      <c r="F16822" s="1"/>
      <c r="G16822" s="1"/>
    </row>
    <row r="16823">
      <c r="B16823" s="36"/>
      <c r="C16823" s="36"/>
      <c r="E16823" s="1"/>
      <c r="F16823" s="1"/>
      <c r="G16823" s="1"/>
    </row>
    <row r="16824">
      <c r="B16824" s="36"/>
      <c r="C16824" s="36"/>
      <c r="E16824" s="1"/>
      <c r="F16824" s="1"/>
      <c r="G16824" s="1"/>
    </row>
    <row r="16825">
      <c r="B16825" s="36"/>
      <c r="C16825" s="36"/>
      <c r="E16825" s="1"/>
      <c r="F16825" s="1"/>
      <c r="G16825" s="1"/>
    </row>
    <row r="16826">
      <c r="B16826" s="36"/>
      <c r="C16826" s="36"/>
      <c r="E16826" s="1"/>
      <c r="F16826" s="1"/>
      <c r="G16826" s="1"/>
    </row>
    <row r="16827">
      <c r="B16827" s="36"/>
      <c r="C16827" s="36"/>
      <c r="E16827" s="1"/>
      <c r="F16827" s="1"/>
      <c r="G16827" s="1"/>
    </row>
    <row r="16828">
      <c r="B16828" s="36"/>
      <c r="C16828" s="36"/>
      <c r="E16828" s="1"/>
      <c r="F16828" s="1"/>
      <c r="G16828" s="1"/>
    </row>
    <row r="16829">
      <c r="B16829" s="36"/>
      <c r="C16829" s="36"/>
      <c r="E16829" s="1"/>
      <c r="F16829" s="1"/>
      <c r="G16829" s="1"/>
    </row>
    <row r="16830">
      <c r="B16830" s="36"/>
      <c r="C16830" s="36"/>
      <c r="E16830" s="1"/>
      <c r="F16830" s="1"/>
      <c r="G16830" s="1"/>
    </row>
    <row r="16831">
      <c r="B16831" s="36"/>
      <c r="C16831" s="36"/>
      <c r="E16831" s="1"/>
      <c r="F16831" s="1"/>
      <c r="G16831" s="1"/>
    </row>
    <row r="16832">
      <c r="B16832" s="36"/>
      <c r="C16832" s="36"/>
      <c r="E16832" s="1"/>
      <c r="F16832" s="1"/>
      <c r="G16832" s="1"/>
    </row>
    <row r="16833">
      <c r="B16833" s="36"/>
      <c r="C16833" s="36"/>
      <c r="E16833" s="1"/>
      <c r="F16833" s="1"/>
      <c r="G16833" s="1"/>
    </row>
    <row r="16834">
      <c r="B16834" s="36"/>
      <c r="C16834" s="36"/>
      <c r="E16834" s="1"/>
      <c r="F16834" s="1"/>
      <c r="G16834" s="1"/>
    </row>
    <row r="16835">
      <c r="B16835" s="36"/>
      <c r="C16835" s="36"/>
      <c r="E16835" s="1"/>
      <c r="F16835" s="1"/>
      <c r="G16835" s="1"/>
    </row>
    <row r="16836">
      <c r="B16836" s="36"/>
      <c r="C16836" s="36"/>
      <c r="E16836" s="1"/>
      <c r="F16836" s="1"/>
      <c r="G16836" s="1"/>
    </row>
    <row r="16837">
      <c r="B16837" s="36"/>
      <c r="C16837" s="36"/>
      <c r="E16837" s="1"/>
      <c r="F16837" s="1"/>
      <c r="G16837" s="1"/>
    </row>
    <row r="16838">
      <c r="B16838" s="36"/>
      <c r="C16838" s="36"/>
      <c r="E16838" s="1"/>
      <c r="F16838" s="1"/>
      <c r="G16838" s="1"/>
    </row>
    <row r="16839">
      <c r="B16839" s="36"/>
      <c r="C16839" s="36"/>
      <c r="E16839" s="1"/>
      <c r="F16839" s="1"/>
      <c r="G16839" s="1"/>
    </row>
    <row r="16840">
      <c r="B16840" s="36"/>
      <c r="C16840" s="36"/>
      <c r="E16840" s="1"/>
      <c r="F16840" s="1"/>
      <c r="G16840" s="1"/>
    </row>
    <row r="16841">
      <c r="B16841" s="36"/>
      <c r="C16841" s="36"/>
      <c r="E16841" s="1"/>
      <c r="F16841" s="1"/>
      <c r="G16841" s="1"/>
    </row>
    <row r="16842">
      <c r="B16842" s="36"/>
      <c r="C16842" s="36"/>
      <c r="E16842" s="1"/>
      <c r="F16842" s="1"/>
      <c r="G16842" s="1"/>
    </row>
    <row r="16843">
      <c r="B16843" s="36"/>
      <c r="C16843" s="36"/>
      <c r="E16843" s="1"/>
      <c r="F16843" s="1"/>
      <c r="G16843" s="1"/>
    </row>
    <row r="16844">
      <c r="B16844" s="36"/>
      <c r="C16844" s="36"/>
      <c r="E16844" s="1"/>
      <c r="F16844" s="1"/>
      <c r="G16844" s="1"/>
    </row>
    <row r="16845">
      <c r="B16845" s="36"/>
      <c r="C16845" s="36"/>
      <c r="E16845" s="1"/>
      <c r="F16845" s="1"/>
      <c r="G16845" s="1"/>
    </row>
    <row r="16846">
      <c r="B16846" s="36"/>
      <c r="C16846" s="36"/>
      <c r="E16846" s="1"/>
      <c r="F16846" s="1"/>
      <c r="G16846" s="1"/>
    </row>
    <row r="16847">
      <c r="B16847" s="36"/>
      <c r="C16847" s="36"/>
      <c r="E16847" s="1"/>
      <c r="F16847" s="1"/>
      <c r="G16847" s="1"/>
    </row>
    <row r="16848">
      <c r="B16848" s="36"/>
      <c r="C16848" s="36"/>
      <c r="E16848" s="1"/>
      <c r="F16848" s="1"/>
      <c r="G16848" s="1"/>
    </row>
    <row r="16849">
      <c r="B16849" s="36"/>
      <c r="C16849" s="36"/>
      <c r="E16849" s="1"/>
      <c r="F16849" s="1"/>
      <c r="G16849" s="1"/>
    </row>
    <row r="16850">
      <c r="B16850" s="36"/>
      <c r="C16850" s="36"/>
      <c r="E16850" s="1"/>
      <c r="F16850" s="1"/>
      <c r="G16850" s="1"/>
    </row>
    <row r="16851">
      <c r="B16851" s="36"/>
      <c r="C16851" s="36"/>
      <c r="E16851" s="1"/>
      <c r="F16851" s="1"/>
      <c r="G16851" s="1"/>
    </row>
    <row r="16852">
      <c r="B16852" s="36"/>
      <c r="C16852" s="36"/>
      <c r="E16852" s="1"/>
      <c r="F16852" s="1"/>
      <c r="G16852" s="1"/>
    </row>
    <row r="16853">
      <c r="B16853" s="36"/>
      <c r="C16853" s="36"/>
      <c r="E16853" s="1"/>
      <c r="F16853" s="1"/>
      <c r="G16853" s="1"/>
    </row>
    <row r="16854">
      <c r="B16854" s="36"/>
      <c r="C16854" s="36"/>
      <c r="E16854" s="1"/>
      <c r="F16854" s="1"/>
      <c r="G16854" s="1"/>
    </row>
    <row r="16855">
      <c r="B16855" s="36"/>
      <c r="C16855" s="36"/>
      <c r="E16855" s="1"/>
      <c r="F16855" s="1"/>
      <c r="G16855" s="1"/>
    </row>
    <row r="16856">
      <c r="B16856" s="36"/>
      <c r="C16856" s="36"/>
      <c r="E16856" s="1"/>
      <c r="F16856" s="1"/>
      <c r="G16856" s="1"/>
    </row>
    <row r="16857">
      <c r="B16857" s="36"/>
      <c r="C16857" s="36"/>
      <c r="E16857" s="1"/>
      <c r="F16857" s="1"/>
      <c r="G16857" s="1"/>
    </row>
    <row r="16858">
      <c r="B16858" s="36"/>
      <c r="C16858" s="36"/>
      <c r="E16858" s="1"/>
      <c r="F16858" s="1"/>
      <c r="G16858" s="1"/>
    </row>
    <row r="16859">
      <c r="B16859" s="36"/>
      <c r="C16859" s="36"/>
      <c r="E16859" s="1"/>
      <c r="F16859" s="1"/>
      <c r="G16859" s="1"/>
    </row>
    <row r="16860">
      <c r="B16860" s="36"/>
      <c r="C16860" s="36"/>
      <c r="E16860" s="1"/>
      <c r="F16860" s="1"/>
      <c r="G16860" s="1"/>
    </row>
    <row r="16861">
      <c r="B16861" s="36"/>
      <c r="C16861" s="36"/>
      <c r="E16861" s="1"/>
      <c r="F16861" s="1"/>
      <c r="G16861" s="1"/>
    </row>
    <row r="16862">
      <c r="B16862" s="36"/>
      <c r="C16862" s="36"/>
      <c r="E16862" s="1"/>
      <c r="F16862" s="1"/>
      <c r="G16862" s="1"/>
    </row>
    <row r="16863">
      <c r="B16863" s="36"/>
      <c r="C16863" s="36"/>
      <c r="E16863" s="1"/>
      <c r="F16863" s="1"/>
      <c r="G16863" s="1"/>
    </row>
    <row r="16864">
      <c r="B16864" s="36"/>
      <c r="C16864" s="36"/>
      <c r="E16864" s="1"/>
      <c r="F16864" s="1"/>
      <c r="G16864" s="1"/>
    </row>
    <row r="16865">
      <c r="B16865" s="36"/>
      <c r="C16865" s="36"/>
      <c r="E16865" s="1"/>
      <c r="F16865" s="1"/>
      <c r="G16865" s="1"/>
    </row>
    <row r="16866">
      <c r="B16866" s="36"/>
      <c r="C16866" s="36"/>
      <c r="E16866" s="1"/>
      <c r="F16866" s="1"/>
      <c r="G16866" s="1"/>
    </row>
    <row r="16867">
      <c r="B16867" s="36"/>
      <c r="C16867" s="36"/>
      <c r="E16867" s="1"/>
      <c r="F16867" s="1"/>
      <c r="G16867" s="1"/>
    </row>
    <row r="16868">
      <c r="B16868" s="36"/>
      <c r="C16868" s="36"/>
      <c r="E16868" s="1"/>
      <c r="F16868" s="1"/>
      <c r="G16868" s="1"/>
    </row>
    <row r="16869">
      <c r="B16869" s="36"/>
      <c r="C16869" s="36"/>
      <c r="E16869" s="1"/>
      <c r="F16869" s="1"/>
      <c r="G16869" s="1"/>
    </row>
    <row r="16870">
      <c r="B16870" s="36"/>
      <c r="C16870" s="36"/>
      <c r="E16870" s="1"/>
      <c r="F16870" s="1"/>
      <c r="G16870" s="1"/>
    </row>
    <row r="16871">
      <c r="B16871" s="36"/>
      <c r="C16871" s="36"/>
      <c r="E16871" s="1"/>
      <c r="F16871" s="1"/>
      <c r="G16871" s="1"/>
    </row>
    <row r="16872">
      <c r="B16872" s="36"/>
      <c r="C16872" s="36"/>
      <c r="E16872" s="1"/>
      <c r="F16872" s="1"/>
      <c r="G16872" s="1"/>
    </row>
    <row r="16873">
      <c r="B16873" s="36"/>
      <c r="C16873" s="36"/>
      <c r="E16873" s="1"/>
      <c r="F16873" s="1"/>
      <c r="G16873" s="1"/>
    </row>
    <row r="16874">
      <c r="B16874" s="36"/>
      <c r="C16874" s="36"/>
      <c r="E16874" s="1"/>
      <c r="F16874" s="1"/>
      <c r="G16874" s="1"/>
    </row>
    <row r="16875">
      <c r="B16875" s="36"/>
      <c r="C16875" s="36"/>
      <c r="E16875" s="1"/>
      <c r="F16875" s="1"/>
      <c r="G16875" s="1"/>
    </row>
    <row r="16876">
      <c r="B16876" s="36"/>
      <c r="C16876" s="36"/>
      <c r="E16876" s="1"/>
      <c r="F16876" s="1"/>
      <c r="G16876" s="1"/>
    </row>
    <row r="16877">
      <c r="B16877" s="36"/>
      <c r="C16877" s="36"/>
      <c r="E16877" s="1"/>
      <c r="F16877" s="1"/>
      <c r="G16877" s="1"/>
    </row>
    <row r="16878">
      <c r="B16878" s="36"/>
      <c r="C16878" s="36"/>
      <c r="E16878" s="1"/>
      <c r="F16878" s="1"/>
      <c r="G16878" s="1"/>
    </row>
    <row r="16879">
      <c r="B16879" s="36"/>
      <c r="C16879" s="36"/>
      <c r="E16879" s="1"/>
      <c r="F16879" s="1"/>
      <c r="G16879" s="1"/>
    </row>
    <row r="16880">
      <c r="B16880" s="36"/>
      <c r="C16880" s="36"/>
      <c r="E16880" s="1"/>
      <c r="F16880" s="1"/>
      <c r="G16880" s="1"/>
    </row>
    <row r="16881">
      <c r="B16881" s="36"/>
      <c r="C16881" s="36"/>
      <c r="E16881" s="1"/>
      <c r="F16881" s="1"/>
      <c r="G16881" s="1"/>
    </row>
    <row r="16882">
      <c r="B16882" s="36"/>
      <c r="C16882" s="36"/>
      <c r="E16882" s="1"/>
      <c r="F16882" s="1"/>
      <c r="G16882" s="1"/>
    </row>
    <row r="16883">
      <c r="B16883" s="36"/>
      <c r="C16883" s="36"/>
      <c r="E16883" s="1"/>
      <c r="F16883" s="1"/>
      <c r="G16883" s="1"/>
    </row>
    <row r="16884">
      <c r="B16884" s="36"/>
      <c r="C16884" s="36"/>
      <c r="E16884" s="1"/>
      <c r="F16884" s="1"/>
      <c r="G16884" s="1"/>
    </row>
    <row r="16885">
      <c r="B16885" s="36"/>
      <c r="C16885" s="36"/>
      <c r="E16885" s="1"/>
      <c r="F16885" s="1"/>
      <c r="G16885" s="1"/>
    </row>
    <row r="16886">
      <c r="B16886" s="36"/>
      <c r="C16886" s="36"/>
      <c r="E16886" s="1"/>
      <c r="F16886" s="1"/>
      <c r="G16886" s="1"/>
    </row>
    <row r="16887">
      <c r="B16887" s="36"/>
      <c r="C16887" s="36"/>
      <c r="E16887" s="1"/>
      <c r="F16887" s="1"/>
      <c r="G16887" s="1"/>
    </row>
    <row r="16888">
      <c r="B16888" s="36"/>
      <c r="C16888" s="36"/>
      <c r="E16888" s="1"/>
      <c r="F16888" s="1"/>
      <c r="G16888" s="1"/>
    </row>
    <row r="16889">
      <c r="B16889" s="36"/>
      <c r="C16889" s="36"/>
      <c r="E16889" s="1"/>
      <c r="F16889" s="1"/>
      <c r="G16889" s="1"/>
    </row>
    <row r="16890">
      <c r="B16890" s="36"/>
      <c r="C16890" s="36"/>
      <c r="E16890" s="1"/>
      <c r="F16890" s="1"/>
      <c r="G16890" s="1"/>
    </row>
    <row r="16891">
      <c r="B16891" s="36"/>
      <c r="C16891" s="36"/>
      <c r="E16891" s="1"/>
      <c r="F16891" s="1"/>
      <c r="G16891" s="1"/>
    </row>
    <row r="16892">
      <c r="B16892" s="36"/>
      <c r="C16892" s="36"/>
      <c r="E16892" s="1"/>
      <c r="F16892" s="1"/>
      <c r="G16892" s="1"/>
    </row>
    <row r="16893">
      <c r="B16893" s="36"/>
      <c r="C16893" s="36"/>
      <c r="E16893" s="1"/>
      <c r="F16893" s="1"/>
      <c r="G16893" s="1"/>
    </row>
    <row r="16894">
      <c r="B16894" s="36"/>
      <c r="C16894" s="36"/>
      <c r="E16894" s="1"/>
      <c r="F16894" s="1"/>
      <c r="G16894" s="1"/>
    </row>
    <row r="16895">
      <c r="B16895" s="36"/>
      <c r="C16895" s="36"/>
      <c r="E16895" s="1"/>
      <c r="F16895" s="1"/>
      <c r="G16895" s="1"/>
    </row>
    <row r="16896">
      <c r="B16896" s="36"/>
      <c r="C16896" s="36"/>
      <c r="E16896" s="1"/>
      <c r="F16896" s="1"/>
      <c r="G16896" s="1"/>
    </row>
    <row r="16897">
      <c r="B16897" s="36"/>
      <c r="C16897" s="36"/>
      <c r="E16897" s="1"/>
      <c r="F16897" s="1"/>
      <c r="G16897" s="1"/>
    </row>
    <row r="16898">
      <c r="B16898" s="36"/>
      <c r="C16898" s="36"/>
      <c r="E16898" s="1"/>
      <c r="F16898" s="1"/>
      <c r="G16898" s="1"/>
    </row>
    <row r="16899">
      <c r="B16899" s="36"/>
      <c r="C16899" s="36"/>
      <c r="E16899" s="1"/>
      <c r="F16899" s="1"/>
      <c r="G16899" s="1"/>
    </row>
    <row r="16900">
      <c r="B16900" s="36"/>
      <c r="C16900" s="36"/>
      <c r="E16900" s="1"/>
      <c r="F16900" s="1"/>
      <c r="G16900" s="1"/>
    </row>
    <row r="16901">
      <c r="B16901" s="36"/>
      <c r="C16901" s="36"/>
      <c r="E16901" s="1"/>
      <c r="F16901" s="1"/>
      <c r="G16901" s="1"/>
    </row>
    <row r="16902">
      <c r="B16902" s="36"/>
      <c r="C16902" s="36"/>
      <c r="E16902" s="1"/>
      <c r="F16902" s="1"/>
      <c r="G16902" s="1"/>
    </row>
    <row r="16903">
      <c r="B16903" s="36"/>
      <c r="C16903" s="36"/>
      <c r="E16903" s="1"/>
      <c r="F16903" s="1"/>
      <c r="G16903" s="1"/>
    </row>
    <row r="16904">
      <c r="B16904" s="36"/>
      <c r="C16904" s="36"/>
      <c r="E16904" s="1"/>
      <c r="F16904" s="1"/>
      <c r="G16904" s="1"/>
    </row>
    <row r="16905">
      <c r="B16905" s="36"/>
      <c r="C16905" s="36"/>
      <c r="E16905" s="1"/>
      <c r="F16905" s="1"/>
      <c r="G16905" s="1"/>
    </row>
    <row r="16906">
      <c r="B16906" s="36"/>
      <c r="C16906" s="36"/>
      <c r="E16906" s="1"/>
      <c r="F16906" s="1"/>
      <c r="G16906" s="1"/>
    </row>
    <row r="16907">
      <c r="B16907" s="36"/>
      <c r="C16907" s="36"/>
      <c r="E16907" s="1"/>
      <c r="F16907" s="1"/>
      <c r="G16907" s="1"/>
    </row>
    <row r="16908">
      <c r="B16908" s="36"/>
      <c r="C16908" s="36"/>
      <c r="E16908" s="1"/>
      <c r="F16908" s="1"/>
      <c r="G16908" s="1"/>
    </row>
    <row r="16909">
      <c r="B16909" s="36"/>
      <c r="C16909" s="36"/>
      <c r="E16909" s="1"/>
      <c r="F16909" s="1"/>
      <c r="G16909" s="1"/>
    </row>
    <row r="16910">
      <c r="B16910" s="36"/>
      <c r="C16910" s="36"/>
      <c r="E16910" s="1"/>
      <c r="F16910" s="1"/>
      <c r="G16910" s="1"/>
    </row>
    <row r="16911">
      <c r="B16911" s="36"/>
      <c r="C16911" s="36"/>
      <c r="E16911" s="1"/>
      <c r="F16911" s="1"/>
      <c r="G16911" s="1"/>
    </row>
    <row r="16912">
      <c r="B16912" s="36"/>
      <c r="C16912" s="36"/>
      <c r="E16912" s="1"/>
      <c r="F16912" s="1"/>
      <c r="G16912" s="1"/>
    </row>
    <row r="16913">
      <c r="B16913" s="36"/>
      <c r="C16913" s="36"/>
      <c r="E16913" s="1"/>
      <c r="F16913" s="1"/>
      <c r="G16913" s="1"/>
    </row>
    <row r="16914">
      <c r="B16914" s="36"/>
      <c r="C16914" s="36"/>
      <c r="E16914" s="1"/>
      <c r="F16914" s="1"/>
      <c r="G16914" s="1"/>
    </row>
    <row r="16915">
      <c r="B16915" s="36"/>
      <c r="C16915" s="36"/>
      <c r="E16915" s="1"/>
      <c r="F16915" s="1"/>
      <c r="G16915" s="1"/>
    </row>
    <row r="16916">
      <c r="B16916" s="36"/>
      <c r="C16916" s="36"/>
      <c r="E16916" s="1"/>
      <c r="F16916" s="1"/>
      <c r="G16916" s="1"/>
    </row>
    <row r="16917">
      <c r="B16917" s="36"/>
      <c r="C16917" s="36"/>
      <c r="E16917" s="1"/>
      <c r="F16917" s="1"/>
      <c r="G16917" s="1"/>
    </row>
    <row r="16918">
      <c r="B16918" s="36"/>
      <c r="C16918" s="36"/>
      <c r="E16918" s="1"/>
      <c r="F16918" s="1"/>
      <c r="G16918" s="1"/>
    </row>
    <row r="16919">
      <c r="B16919" s="36"/>
      <c r="C16919" s="36"/>
      <c r="E16919" s="1"/>
      <c r="F16919" s="1"/>
      <c r="G16919" s="1"/>
    </row>
    <row r="16920">
      <c r="B16920" s="36"/>
      <c r="C16920" s="36"/>
      <c r="E16920" s="1"/>
      <c r="F16920" s="1"/>
      <c r="G16920" s="1"/>
    </row>
    <row r="16921">
      <c r="B16921" s="36"/>
      <c r="C16921" s="36"/>
      <c r="E16921" s="1"/>
      <c r="F16921" s="1"/>
      <c r="G16921" s="1"/>
    </row>
    <row r="16922">
      <c r="B16922" s="36"/>
      <c r="C16922" s="36"/>
      <c r="E16922" s="1"/>
      <c r="F16922" s="1"/>
      <c r="G16922" s="1"/>
    </row>
    <row r="16923">
      <c r="B16923" s="36"/>
      <c r="C16923" s="36"/>
      <c r="E16923" s="1"/>
      <c r="F16923" s="1"/>
      <c r="G16923" s="1"/>
    </row>
    <row r="16924">
      <c r="B16924" s="36"/>
      <c r="C16924" s="36"/>
      <c r="E16924" s="1"/>
      <c r="F16924" s="1"/>
      <c r="G16924" s="1"/>
    </row>
    <row r="16925">
      <c r="B16925" s="36"/>
      <c r="C16925" s="36"/>
      <c r="E16925" s="1"/>
      <c r="F16925" s="1"/>
      <c r="G16925" s="1"/>
    </row>
    <row r="16926">
      <c r="B16926" s="36"/>
      <c r="C16926" s="36"/>
      <c r="E16926" s="1"/>
      <c r="F16926" s="1"/>
      <c r="G16926" s="1"/>
    </row>
    <row r="16927">
      <c r="B16927" s="36"/>
      <c r="C16927" s="36"/>
      <c r="E16927" s="1"/>
      <c r="F16927" s="1"/>
      <c r="G16927" s="1"/>
    </row>
    <row r="16928">
      <c r="B16928" s="36"/>
      <c r="C16928" s="36"/>
      <c r="E16928" s="1"/>
      <c r="F16928" s="1"/>
      <c r="G16928" s="1"/>
    </row>
    <row r="16929">
      <c r="B16929" s="36"/>
      <c r="C16929" s="36"/>
      <c r="E16929" s="1"/>
      <c r="F16929" s="1"/>
      <c r="G16929" s="1"/>
    </row>
    <row r="16930">
      <c r="B16930" s="36"/>
      <c r="C16930" s="36"/>
      <c r="E16930" s="1"/>
      <c r="F16930" s="1"/>
      <c r="G16930" s="1"/>
    </row>
    <row r="16931">
      <c r="B16931" s="36"/>
      <c r="C16931" s="36"/>
      <c r="E16931" s="1"/>
      <c r="F16931" s="1"/>
      <c r="G16931" s="1"/>
    </row>
    <row r="16932">
      <c r="B16932" s="36"/>
      <c r="C16932" s="36"/>
      <c r="E16932" s="1"/>
      <c r="F16932" s="1"/>
      <c r="G16932" s="1"/>
    </row>
    <row r="16933">
      <c r="B16933" s="36"/>
      <c r="C16933" s="36"/>
      <c r="E16933" s="1"/>
      <c r="F16933" s="1"/>
      <c r="G16933" s="1"/>
    </row>
    <row r="16934">
      <c r="B16934" s="36"/>
      <c r="C16934" s="36"/>
      <c r="E16934" s="1"/>
      <c r="F16934" s="1"/>
      <c r="G16934" s="1"/>
    </row>
    <row r="16935">
      <c r="B16935" s="36"/>
      <c r="C16935" s="36"/>
      <c r="E16935" s="1"/>
      <c r="F16935" s="1"/>
      <c r="G16935" s="1"/>
    </row>
    <row r="16936">
      <c r="B16936" s="36"/>
      <c r="C16936" s="36"/>
      <c r="E16936" s="1"/>
      <c r="F16936" s="1"/>
      <c r="G16936" s="1"/>
    </row>
    <row r="16937">
      <c r="B16937" s="36"/>
      <c r="C16937" s="36"/>
      <c r="E16937" s="1"/>
      <c r="F16937" s="1"/>
      <c r="G16937" s="1"/>
    </row>
    <row r="16938">
      <c r="B16938" s="36"/>
      <c r="C16938" s="36"/>
      <c r="E16938" s="1"/>
      <c r="F16938" s="1"/>
      <c r="G16938" s="1"/>
    </row>
    <row r="16939">
      <c r="B16939" s="36"/>
      <c r="C16939" s="36"/>
      <c r="E16939" s="1"/>
      <c r="F16939" s="1"/>
      <c r="G16939" s="1"/>
    </row>
    <row r="16940">
      <c r="B16940" s="36"/>
      <c r="C16940" s="36"/>
      <c r="E16940" s="1"/>
      <c r="F16940" s="1"/>
      <c r="G16940" s="1"/>
    </row>
    <row r="16941">
      <c r="B16941" s="36"/>
      <c r="C16941" s="36"/>
      <c r="E16941" s="1"/>
      <c r="F16941" s="1"/>
      <c r="G16941" s="1"/>
    </row>
    <row r="16942">
      <c r="B16942" s="36"/>
      <c r="C16942" s="36"/>
      <c r="E16942" s="1"/>
      <c r="F16942" s="1"/>
      <c r="G16942" s="1"/>
    </row>
    <row r="16943">
      <c r="B16943" s="36"/>
      <c r="C16943" s="36"/>
      <c r="E16943" s="1"/>
      <c r="F16943" s="1"/>
      <c r="G16943" s="1"/>
    </row>
    <row r="16944">
      <c r="B16944" s="36"/>
      <c r="C16944" s="36"/>
      <c r="E16944" s="1"/>
      <c r="F16944" s="1"/>
      <c r="G16944" s="1"/>
    </row>
    <row r="16945">
      <c r="B16945" s="36"/>
      <c r="C16945" s="36"/>
      <c r="E16945" s="1"/>
      <c r="F16945" s="1"/>
      <c r="G16945" s="1"/>
    </row>
    <row r="16946">
      <c r="B16946" s="36"/>
      <c r="C16946" s="36"/>
      <c r="E16946" s="1"/>
      <c r="F16946" s="1"/>
      <c r="G16946" s="1"/>
    </row>
    <row r="16947">
      <c r="B16947" s="36"/>
      <c r="C16947" s="36"/>
      <c r="E16947" s="1"/>
      <c r="F16947" s="1"/>
      <c r="G16947" s="1"/>
    </row>
    <row r="16948">
      <c r="B16948" s="36"/>
      <c r="C16948" s="36"/>
      <c r="E16948" s="1"/>
      <c r="F16948" s="1"/>
      <c r="G16948" s="1"/>
    </row>
    <row r="16949">
      <c r="B16949" s="36"/>
      <c r="C16949" s="36"/>
      <c r="E16949" s="1"/>
      <c r="F16949" s="1"/>
      <c r="G16949" s="1"/>
    </row>
    <row r="16950">
      <c r="B16950" s="36"/>
      <c r="C16950" s="36"/>
      <c r="E16950" s="1"/>
      <c r="F16950" s="1"/>
      <c r="G16950" s="1"/>
    </row>
    <row r="16951">
      <c r="B16951" s="36"/>
      <c r="C16951" s="36"/>
      <c r="E16951" s="1"/>
      <c r="F16951" s="1"/>
      <c r="G16951" s="1"/>
    </row>
    <row r="16952">
      <c r="B16952" s="36"/>
      <c r="C16952" s="36"/>
      <c r="E16952" s="1"/>
      <c r="F16952" s="1"/>
      <c r="G16952" s="1"/>
    </row>
    <row r="16953">
      <c r="B16953" s="36"/>
      <c r="C16953" s="36"/>
      <c r="E16953" s="1"/>
      <c r="F16953" s="1"/>
      <c r="G16953" s="1"/>
    </row>
    <row r="16954">
      <c r="B16954" s="36"/>
      <c r="C16954" s="36"/>
      <c r="E16954" s="1"/>
      <c r="F16954" s="1"/>
      <c r="G16954" s="1"/>
    </row>
    <row r="16955">
      <c r="B16955" s="36"/>
      <c r="C16955" s="36"/>
      <c r="E16955" s="1"/>
      <c r="F16955" s="1"/>
      <c r="G16955" s="1"/>
    </row>
    <row r="16956">
      <c r="B16956" s="36"/>
      <c r="C16956" s="36"/>
      <c r="E16956" s="1"/>
      <c r="F16956" s="1"/>
      <c r="G16956" s="1"/>
    </row>
    <row r="16957">
      <c r="B16957" s="36"/>
      <c r="C16957" s="36"/>
      <c r="E16957" s="1"/>
      <c r="F16957" s="1"/>
      <c r="G16957" s="1"/>
    </row>
    <row r="16958">
      <c r="B16958" s="36"/>
      <c r="C16958" s="36"/>
      <c r="E16958" s="1"/>
      <c r="F16958" s="1"/>
      <c r="G16958" s="1"/>
    </row>
    <row r="16959">
      <c r="B16959" s="36"/>
      <c r="C16959" s="36"/>
      <c r="E16959" s="1"/>
      <c r="F16959" s="1"/>
      <c r="G16959" s="1"/>
    </row>
    <row r="16960">
      <c r="B16960" s="36"/>
      <c r="C16960" s="36"/>
      <c r="E16960" s="1"/>
      <c r="F16960" s="1"/>
      <c r="G16960" s="1"/>
    </row>
    <row r="16961">
      <c r="B16961" s="36"/>
      <c r="C16961" s="36"/>
      <c r="E16961" s="1"/>
      <c r="F16961" s="1"/>
      <c r="G16961" s="1"/>
    </row>
    <row r="16962">
      <c r="B16962" s="36"/>
      <c r="C16962" s="36"/>
      <c r="E16962" s="1"/>
      <c r="F16962" s="1"/>
      <c r="G16962" s="1"/>
    </row>
    <row r="16963">
      <c r="B16963" s="36"/>
      <c r="C16963" s="36"/>
      <c r="E16963" s="1"/>
      <c r="F16963" s="1"/>
      <c r="G16963" s="1"/>
    </row>
    <row r="16964">
      <c r="B16964" s="36"/>
      <c r="C16964" s="36"/>
      <c r="E16964" s="1"/>
      <c r="F16964" s="1"/>
      <c r="G16964" s="1"/>
    </row>
    <row r="16965">
      <c r="B16965" s="36"/>
      <c r="C16965" s="36"/>
      <c r="E16965" s="1"/>
      <c r="F16965" s="1"/>
      <c r="G16965" s="1"/>
    </row>
    <row r="16966">
      <c r="B16966" s="36"/>
      <c r="C16966" s="36"/>
      <c r="E16966" s="1"/>
      <c r="F16966" s="1"/>
      <c r="G16966" s="1"/>
    </row>
    <row r="16967">
      <c r="B16967" s="36"/>
      <c r="C16967" s="36"/>
      <c r="E16967" s="1"/>
      <c r="F16967" s="1"/>
      <c r="G16967" s="1"/>
    </row>
    <row r="16968">
      <c r="B16968" s="36"/>
      <c r="C16968" s="36"/>
      <c r="E16968" s="1"/>
      <c r="F16968" s="1"/>
      <c r="G16968" s="1"/>
    </row>
    <row r="16969">
      <c r="B16969" s="36"/>
      <c r="C16969" s="36"/>
      <c r="E16969" s="1"/>
      <c r="F16969" s="1"/>
      <c r="G16969" s="1"/>
    </row>
    <row r="16970">
      <c r="B16970" s="36"/>
      <c r="C16970" s="36"/>
      <c r="E16970" s="1"/>
      <c r="F16970" s="1"/>
      <c r="G16970" s="1"/>
    </row>
    <row r="16971">
      <c r="B16971" s="36"/>
      <c r="C16971" s="36"/>
      <c r="E16971" s="1"/>
      <c r="F16971" s="1"/>
      <c r="G16971" s="1"/>
    </row>
    <row r="16972">
      <c r="B16972" s="36"/>
      <c r="C16972" s="36"/>
      <c r="E16972" s="1"/>
      <c r="F16972" s="1"/>
      <c r="G16972" s="1"/>
    </row>
    <row r="16973">
      <c r="B16973" s="36"/>
      <c r="C16973" s="36"/>
      <c r="E16973" s="1"/>
      <c r="F16973" s="1"/>
      <c r="G16973" s="1"/>
    </row>
    <row r="16974">
      <c r="B16974" s="36"/>
      <c r="C16974" s="36"/>
      <c r="E16974" s="1"/>
      <c r="F16974" s="1"/>
      <c r="G16974" s="1"/>
    </row>
    <row r="16975">
      <c r="B16975" s="36"/>
      <c r="C16975" s="36"/>
      <c r="E16975" s="1"/>
      <c r="F16975" s="1"/>
      <c r="G16975" s="1"/>
    </row>
    <row r="16976">
      <c r="B16976" s="36"/>
      <c r="C16976" s="36"/>
      <c r="E16976" s="1"/>
      <c r="F16976" s="1"/>
      <c r="G16976" s="1"/>
    </row>
    <row r="16977">
      <c r="B16977" s="36"/>
      <c r="C16977" s="36"/>
      <c r="E16977" s="1"/>
      <c r="F16977" s="1"/>
      <c r="G16977" s="1"/>
    </row>
    <row r="16978">
      <c r="B16978" s="36"/>
      <c r="C16978" s="36"/>
      <c r="E16978" s="1"/>
      <c r="F16978" s="1"/>
      <c r="G16978" s="1"/>
    </row>
    <row r="16979">
      <c r="B16979" s="36"/>
      <c r="C16979" s="36"/>
      <c r="E16979" s="1"/>
      <c r="F16979" s="1"/>
      <c r="G16979" s="1"/>
    </row>
    <row r="16980">
      <c r="B16980" s="36"/>
      <c r="C16980" s="36"/>
      <c r="E16980" s="1"/>
      <c r="F16980" s="1"/>
      <c r="G16980" s="1"/>
    </row>
    <row r="16981">
      <c r="B16981" s="36"/>
      <c r="C16981" s="36"/>
      <c r="E16981" s="1"/>
      <c r="F16981" s="1"/>
      <c r="G16981" s="1"/>
    </row>
    <row r="16982">
      <c r="B16982" s="36"/>
      <c r="C16982" s="36"/>
      <c r="E16982" s="1"/>
      <c r="F16982" s="1"/>
      <c r="G16982" s="1"/>
    </row>
    <row r="16983">
      <c r="B16983" s="36"/>
      <c r="C16983" s="36"/>
      <c r="E16983" s="1"/>
      <c r="F16983" s="1"/>
      <c r="G16983" s="1"/>
    </row>
    <row r="16984">
      <c r="B16984" s="36"/>
      <c r="C16984" s="36"/>
      <c r="E16984" s="1"/>
      <c r="F16984" s="1"/>
      <c r="G16984" s="1"/>
    </row>
    <row r="16985">
      <c r="B16985" s="36"/>
      <c r="C16985" s="36"/>
      <c r="E16985" s="1"/>
      <c r="F16985" s="1"/>
      <c r="G16985" s="1"/>
    </row>
    <row r="16986">
      <c r="B16986" s="36"/>
      <c r="C16986" s="36"/>
      <c r="E16986" s="1"/>
      <c r="F16986" s="1"/>
      <c r="G16986" s="1"/>
    </row>
    <row r="16987">
      <c r="B16987" s="36"/>
      <c r="C16987" s="36"/>
      <c r="E16987" s="1"/>
      <c r="F16987" s="1"/>
      <c r="G16987" s="1"/>
    </row>
    <row r="16988">
      <c r="B16988" s="36"/>
      <c r="C16988" s="36"/>
      <c r="E16988" s="1"/>
      <c r="F16988" s="1"/>
      <c r="G16988" s="1"/>
    </row>
    <row r="16989">
      <c r="B16989" s="36"/>
      <c r="C16989" s="36"/>
      <c r="E16989" s="1"/>
      <c r="F16989" s="1"/>
      <c r="G16989" s="1"/>
    </row>
    <row r="16990">
      <c r="B16990" s="36"/>
      <c r="C16990" s="36"/>
      <c r="E16990" s="1"/>
      <c r="F16990" s="1"/>
      <c r="G16990" s="1"/>
    </row>
    <row r="16991">
      <c r="B16991" s="36"/>
      <c r="C16991" s="36"/>
      <c r="E16991" s="1"/>
      <c r="F16991" s="1"/>
      <c r="G16991" s="1"/>
    </row>
    <row r="16992">
      <c r="B16992" s="36"/>
      <c r="C16992" s="36"/>
      <c r="E16992" s="1"/>
      <c r="F16992" s="1"/>
      <c r="G16992" s="1"/>
    </row>
    <row r="16993">
      <c r="B16993" s="36"/>
      <c r="C16993" s="36"/>
      <c r="E16993" s="1"/>
      <c r="F16993" s="1"/>
      <c r="G16993" s="1"/>
    </row>
    <row r="16994">
      <c r="B16994" s="36"/>
      <c r="C16994" s="36"/>
      <c r="E16994" s="1"/>
      <c r="F16994" s="1"/>
      <c r="G16994" s="1"/>
    </row>
    <row r="16995">
      <c r="B16995" s="36"/>
      <c r="C16995" s="36"/>
      <c r="E16995" s="1"/>
      <c r="F16995" s="1"/>
      <c r="G16995" s="1"/>
    </row>
    <row r="16996">
      <c r="B16996" s="36"/>
      <c r="C16996" s="36"/>
      <c r="E16996" s="1"/>
      <c r="F16996" s="1"/>
      <c r="G16996" s="1"/>
    </row>
    <row r="16997">
      <c r="B16997" s="36"/>
      <c r="C16997" s="36"/>
      <c r="E16997" s="1"/>
      <c r="F16997" s="1"/>
      <c r="G16997" s="1"/>
    </row>
    <row r="16998">
      <c r="B16998" s="36"/>
      <c r="C16998" s="36"/>
      <c r="E16998" s="1"/>
      <c r="F16998" s="1"/>
      <c r="G16998" s="1"/>
    </row>
    <row r="16999">
      <c r="B16999" s="36"/>
      <c r="C16999" s="36"/>
      <c r="E16999" s="1"/>
      <c r="F16999" s="1"/>
      <c r="G16999" s="1"/>
    </row>
    <row r="17000">
      <c r="B17000" s="36"/>
      <c r="C17000" s="36"/>
      <c r="E17000" s="1"/>
      <c r="F17000" s="1"/>
      <c r="G17000" s="1"/>
    </row>
    <row r="17001">
      <c r="B17001" s="36"/>
      <c r="C17001" s="36"/>
      <c r="E17001" s="1"/>
      <c r="F17001" s="1"/>
      <c r="G17001" s="1"/>
    </row>
    <row r="17002">
      <c r="B17002" s="36"/>
      <c r="C17002" s="36"/>
      <c r="E17002" s="1"/>
      <c r="F17002" s="1"/>
      <c r="G17002" s="1"/>
    </row>
    <row r="17003">
      <c r="B17003" s="36"/>
      <c r="C17003" s="36"/>
      <c r="E17003" s="1"/>
      <c r="F17003" s="1"/>
      <c r="G17003" s="1"/>
    </row>
    <row r="17004">
      <c r="B17004" s="36"/>
      <c r="C17004" s="36"/>
      <c r="E17004" s="1"/>
      <c r="F17004" s="1"/>
      <c r="G17004" s="1"/>
    </row>
    <row r="17005">
      <c r="B17005" s="36"/>
      <c r="C17005" s="36"/>
      <c r="E17005" s="1"/>
      <c r="F17005" s="1"/>
      <c r="G17005" s="1"/>
    </row>
    <row r="17006">
      <c r="B17006" s="36"/>
      <c r="C17006" s="36"/>
      <c r="E17006" s="1"/>
      <c r="F17006" s="1"/>
      <c r="G17006" s="1"/>
    </row>
    <row r="17007">
      <c r="B17007" s="36"/>
      <c r="C17007" s="36"/>
      <c r="E17007" s="1"/>
      <c r="F17007" s="1"/>
      <c r="G17007" s="1"/>
    </row>
    <row r="17008">
      <c r="B17008" s="36"/>
      <c r="C17008" s="36"/>
      <c r="E17008" s="1"/>
      <c r="F17008" s="1"/>
      <c r="G17008" s="1"/>
    </row>
    <row r="17009">
      <c r="B17009" s="36"/>
      <c r="C17009" s="36"/>
      <c r="E17009" s="1"/>
      <c r="F17009" s="1"/>
      <c r="G17009" s="1"/>
    </row>
    <row r="17010">
      <c r="B17010" s="36"/>
      <c r="C17010" s="36"/>
      <c r="E17010" s="1"/>
      <c r="F17010" s="1"/>
      <c r="G17010" s="1"/>
    </row>
    <row r="17011">
      <c r="B17011" s="36"/>
      <c r="C17011" s="36"/>
      <c r="E17011" s="1"/>
      <c r="F17011" s="1"/>
      <c r="G17011" s="1"/>
    </row>
    <row r="17012">
      <c r="B17012" s="36"/>
      <c r="C17012" s="36"/>
      <c r="E17012" s="1"/>
      <c r="F17012" s="1"/>
      <c r="G17012" s="1"/>
    </row>
    <row r="17013">
      <c r="B17013" s="36"/>
      <c r="C17013" s="36"/>
      <c r="E17013" s="1"/>
      <c r="F17013" s="1"/>
      <c r="G17013" s="1"/>
    </row>
    <row r="17014">
      <c r="B17014" s="36"/>
      <c r="C17014" s="36"/>
      <c r="E17014" s="1"/>
      <c r="F17014" s="1"/>
      <c r="G17014" s="1"/>
    </row>
    <row r="17015">
      <c r="B17015" s="36"/>
      <c r="C17015" s="36"/>
      <c r="E17015" s="1"/>
      <c r="F17015" s="1"/>
      <c r="G17015" s="1"/>
    </row>
    <row r="17016">
      <c r="B17016" s="36"/>
      <c r="C17016" s="36"/>
      <c r="E17016" s="1"/>
      <c r="F17016" s="1"/>
      <c r="G17016" s="1"/>
    </row>
    <row r="17017">
      <c r="B17017" s="36"/>
      <c r="C17017" s="36"/>
      <c r="E17017" s="1"/>
      <c r="F17017" s="1"/>
      <c r="G17017" s="1"/>
    </row>
    <row r="17018">
      <c r="B17018" s="36"/>
      <c r="C17018" s="36"/>
      <c r="E17018" s="1"/>
      <c r="F17018" s="1"/>
      <c r="G17018" s="1"/>
    </row>
    <row r="17019">
      <c r="B17019" s="36"/>
      <c r="C17019" s="36"/>
      <c r="E17019" s="1"/>
      <c r="F17019" s="1"/>
      <c r="G17019" s="1"/>
    </row>
    <row r="17020">
      <c r="B17020" s="36"/>
      <c r="C17020" s="36"/>
      <c r="E17020" s="1"/>
      <c r="F17020" s="1"/>
      <c r="G17020" s="1"/>
    </row>
    <row r="17021">
      <c r="B17021" s="36"/>
      <c r="C17021" s="36"/>
      <c r="E17021" s="1"/>
      <c r="F17021" s="1"/>
      <c r="G17021" s="1"/>
    </row>
    <row r="17022">
      <c r="B17022" s="36"/>
      <c r="C17022" s="36"/>
      <c r="E17022" s="1"/>
      <c r="F17022" s="1"/>
      <c r="G17022" s="1"/>
    </row>
    <row r="17023">
      <c r="B17023" s="36"/>
      <c r="C17023" s="36"/>
      <c r="E17023" s="1"/>
      <c r="F17023" s="1"/>
      <c r="G17023" s="1"/>
    </row>
    <row r="17024">
      <c r="B17024" s="36"/>
      <c r="C17024" s="36"/>
      <c r="E17024" s="1"/>
      <c r="F17024" s="1"/>
      <c r="G17024" s="1"/>
    </row>
    <row r="17025">
      <c r="B17025" s="36"/>
      <c r="C17025" s="36"/>
      <c r="E17025" s="1"/>
      <c r="F17025" s="1"/>
      <c r="G17025" s="1"/>
    </row>
    <row r="17026">
      <c r="B17026" s="36"/>
      <c r="C17026" s="36"/>
      <c r="E17026" s="1"/>
      <c r="F17026" s="1"/>
      <c r="G17026" s="1"/>
    </row>
    <row r="17027">
      <c r="B17027" s="36"/>
      <c r="C17027" s="36"/>
      <c r="E17027" s="1"/>
      <c r="F17027" s="1"/>
      <c r="G17027" s="1"/>
    </row>
    <row r="17028">
      <c r="B17028" s="36"/>
      <c r="C17028" s="36"/>
      <c r="E17028" s="1"/>
      <c r="F17028" s="1"/>
      <c r="G17028" s="1"/>
    </row>
    <row r="17029">
      <c r="B17029" s="36"/>
      <c r="C17029" s="36"/>
      <c r="E17029" s="1"/>
      <c r="F17029" s="1"/>
      <c r="G17029" s="1"/>
    </row>
    <row r="17030">
      <c r="B17030" s="36"/>
      <c r="C17030" s="36"/>
      <c r="E17030" s="1"/>
      <c r="F17030" s="1"/>
      <c r="G17030" s="1"/>
    </row>
    <row r="17031">
      <c r="B17031" s="36"/>
      <c r="C17031" s="36"/>
      <c r="E17031" s="1"/>
      <c r="F17031" s="1"/>
      <c r="G17031" s="1"/>
    </row>
    <row r="17032">
      <c r="B17032" s="36"/>
      <c r="C17032" s="36"/>
      <c r="E17032" s="1"/>
      <c r="F17032" s="1"/>
      <c r="G17032" s="1"/>
    </row>
    <row r="17033">
      <c r="B17033" s="36"/>
      <c r="C17033" s="36"/>
      <c r="E17033" s="1"/>
      <c r="F17033" s="1"/>
      <c r="G17033" s="1"/>
    </row>
    <row r="17034">
      <c r="B17034" s="36"/>
      <c r="C17034" s="36"/>
      <c r="E17034" s="1"/>
      <c r="F17034" s="1"/>
      <c r="G17034" s="1"/>
    </row>
    <row r="17035">
      <c r="B17035" s="36"/>
      <c r="C17035" s="36"/>
      <c r="E17035" s="1"/>
      <c r="F17035" s="1"/>
      <c r="G17035" s="1"/>
    </row>
    <row r="17036">
      <c r="B17036" s="36"/>
      <c r="C17036" s="36"/>
      <c r="E17036" s="1"/>
      <c r="F17036" s="1"/>
      <c r="G17036" s="1"/>
    </row>
    <row r="17037">
      <c r="B17037" s="36"/>
      <c r="C17037" s="36"/>
      <c r="E17037" s="1"/>
      <c r="F17037" s="1"/>
      <c r="G17037" s="1"/>
    </row>
    <row r="17038">
      <c r="B17038" s="36"/>
      <c r="C17038" s="36"/>
      <c r="E17038" s="1"/>
      <c r="F17038" s="1"/>
      <c r="G17038" s="1"/>
    </row>
    <row r="17039">
      <c r="B17039" s="36"/>
      <c r="C17039" s="36"/>
      <c r="E17039" s="1"/>
      <c r="F17039" s="1"/>
      <c r="G17039" s="1"/>
    </row>
    <row r="17040">
      <c r="B17040" s="36"/>
      <c r="C17040" s="36"/>
      <c r="E17040" s="1"/>
      <c r="F17040" s="1"/>
      <c r="G17040" s="1"/>
    </row>
    <row r="17041">
      <c r="B17041" s="36"/>
      <c r="C17041" s="36"/>
      <c r="E17041" s="1"/>
      <c r="F17041" s="1"/>
      <c r="G17041" s="1"/>
    </row>
    <row r="17042">
      <c r="B17042" s="36"/>
      <c r="C17042" s="36"/>
      <c r="E17042" s="1"/>
      <c r="F17042" s="1"/>
      <c r="G17042" s="1"/>
    </row>
    <row r="17043">
      <c r="B17043" s="36"/>
      <c r="C17043" s="36"/>
      <c r="E17043" s="1"/>
      <c r="F17043" s="1"/>
      <c r="G17043" s="1"/>
    </row>
    <row r="17044">
      <c r="B17044" s="36"/>
      <c r="C17044" s="36"/>
      <c r="E17044" s="1"/>
      <c r="F17044" s="1"/>
      <c r="G17044" s="1"/>
    </row>
    <row r="17045">
      <c r="B17045" s="36"/>
      <c r="C17045" s="36"/>
      <c r="E17045" s="1"/>
      <c r="F17045" s="1"/>
      <c r="G17045" s="1"/>
    </row>
    <row r="17046">
      <c r="B17046" s="36"/>
      <c r="C17046" s="36"/>
      <c r="E17046" s="1"/>
      <c r="F17046" s="1"/>
      <c r="G17046" s="1"/>
    </row>
    <row r="17047">
      <c r="B17047" s="36"/>
      <c r="C17047" s="36"/>
      <c r="E17047" s="1"/>
      <c r="F17047" s="1"/>
      <c r="G17047" s="1"/>
    </row>
    <row r="17048">
      <c r="B17048" s="36"/>
      <c r="C17048" s="36"/>
      <c r="E17048" s="1"/>
      <c r="F17048" s="1"/>
      <c r="G17048" s="1"/>
    </row>
    <row r="17049">
      <c r="B17049" s="36"/>
      <c r="C17049" s="36"/>
      <c r="E17049" s="1"/>
      <c r="F17049" s="1"/>
      <c r="G17049" s="1"/>
    </row>
    <row r="17050">
      <c r="B17050" s="36"/>
      <c r="C17050" s="36"/>
      <c r="E17050" s="1"/>
      <c r="F17050" s="1"/>
      <c r="G17050" s="1"/>
    </row>
    <row r="17051">
      <c r="B17051" s="36"/>
      <c r="C17051" s="36"/>
      <c r="E17051" s="1"/>
      <c r="F17051" s="1"/>
      <c r="G17051" s="1"/>
    </row>
    <row r="17052">
      <c r="B17052" s="36"/>
      <c r="C17052" s="36"/>
      <c r="E17052" s="1"/>
      <c r="F17052" s="1"/>
      <c r="G17052" s="1"/>
    </row>
    <row r="17053">
      <c r="B17053" s="36"/>
      <c r="C17053" s="36"/>
      <c r="E17053" s="1"/>
      <c r="F17053" s="1"/>
      <c r="G17053" s="1"/>
    </row>
    <row r="17054">
      <c r="B17054" s="36"/>
      <c r="C17054" s="36"/>
      <c r="E17054" s="1"/>
      <c r="F17054" s="1"/>
      <c r="G17054" s="1"/>
    </row>
    <row r="17055">
      <c r="B17055" s="36"/>
      <c r="C17055" s="36"/>
      <c r="E17055" s="1"/>
      <c r="F17055" s="1"/>
      <c r="G17055" s="1"/>
    </row>
    <row r="17056">
      <c r="B17056" s="36"/>
      <c r="C17056" s="36"/>
      <c r="E17056" s="1"/>
      <c r="F17056" s="1"/>
      <c r="G17056" s="1"/>
    </row>
    <row r="17057">
      <c r="B17057" s="36"/>
      <c r="C17057" s="36"/>
      <c r="E17057" s="1"/>
      <c r="F17057" s="1"/>
      <c r="G17057" s="1"/>
    </row>
    <row r="17058">
      <c r="B17058" s="36"/>
      <c r="C17058" s="36"/>
      <c r="E17058" s="1"/>
      <c r="F17058" s="1"/>
      <c r="G17058" s="1"/>
    </row>
    <row r="17059">
      <c r="B17059" s="36"/>
      <c r="C17059" s="36"/>
      <c r="E17059" s="1"/>
      <c r="F17059" s="1"/>
      <c r="G17059" s="1"/>
    </row>
    <row r="17060">
      <c r="B17060" s="36"/>
      <c r="C17060" s="36"/>
      <c r="E17060" s="1"/>
      <c r="F17060" s="1"/>
      <c r="G17060" s="1"/>
    </row>
    <row r="17061">
      <c r="B17061" s="36"/>
      <c r="C17061" s="36"/>
      <c r="E17061" s="1"/>
      <c r="F17061" s="1"/>
      <c r="G17061" s="1"/>
    </row>
    <row r="17062">
      <c r="B17062" s="36"/>
      <c r="C17062" s="36"/>
      <c r="E17062" s="1"/>
      <c r="F17062" s="1"/>
      <c r="G17062" s="1"/>
    </row>
    <row r="17063">
      <c r="B17063" s="36"/>
      <c r="C17063" s="36"/>
      <c r="E17063" s="1"/>
      <c r="F17063" s="1"/>
      <c r="G17063" s="1"/>
    </row>
    <row r="17064">
      <c r="B17064" s="36"/>
      <c r="C17064" s="36"/>
      <c r="E17064" s="1"/>
      <c r="F17064" s="1"/>
      <c r="G17064" s="1"/>
    </row>
    <row r="17065">
      <c r="B17065" s="36"/>
      <c r="C17065" s="36"/>
      <c r="E17065" s="1"/>
      <c r="F17065" s="1"/>
      <c r="G17065" s="1"/>
    </row>
    <row r="17066">
      <c r="B17066" s="36"/>
      <c r="C17066" s="36"/>
      <c r="E17066" s="1"/>
      <c r="F17066" s="1"/>
      <c r="G17066" s="1"/>
    </row>
    <row r="17067">
      <c r="B17067" s="36"/>
      <c r="C17067" s="36"/>
      <c r="E17067" s="1"/>
      <c r="F17067" s="1"/>
      <c r="G17067" s="1"/>
    </row>
    <row r="17068">
      <c r="B17068" s="36"/>
      <c r="C17068" s="36"/>
      <c r="E17068" s="1"/>
      <c r="F17068" s="1"/>
      <c r="G17068" s="1"/>
    </row>
    <row r="17069">
      <c r="B17069" s="36"/>
      <c r="C17069" s="36"/>
      <c r="E17069" s="1"/>
      <c r="F17069" s="1"/>
      <c r="G17069" s="1"/>
    </row>
    <row r="17070">
      <c r="B17070" s="36"/>
      <c r="C17070" s="36"/>
      <c r="E17070" s="1"/>
      <c r="F17070" s="1"/>
      <c r="G17070" s="1"/>
    </row>
    <row r="17071">
      <c r="B17071" s="36"/>
      <c r="C17071" s="36"/>
      <c r="E17071" s="1"/>
      <c r="F17071" s="1"/>
      <c r="G17071" s="1"/>
    </row>
    <row r="17072">
      <c r="B17072" s="36"/>
      <c r="C17072" s="36"/>
      <c r="E17072" s="1"/>
      <c r="F17072" s="1"/>
      <c r="G17072" s="1"/>
    </row>
    <row r="17073">
      <c r="B17073" s="36"/>
      <c r="C17073" s="36"/>
      <c r="E17073" s="1"/>
      <c r="F17073" s="1"/>
      <c r="G17073" s="1"/>
    </row>
    <row r="17074">
      <c r="B17074" s="36"/>
      <c r="C17074" s="36"/>
      <c r="E17074" s="1"/>
      <c r="F17074" s="1"/>
      <c r="G17074" s="1"/>
    </row>
    <row r="17075">
      <c r="B17075" s="36"/>
      <c r="C17075" s="36"/>
      <c r="E17075" s="1"/>
      <c r="F17075" s="1"/>
      <c r="G17075" s="1"/>
    </row>
    <row r="17076">
      <c r="B17076" s="36"/>
      <c r="C17076" s="36"/>
      <c r="E17076" s="1"/>
      <c r="F17076" s="1"/>
      <c r="G17076" s="1"/>
    </row>
    <row r="17077">
      <c r="B17077" s="36"/>
      <c r="C17077" s="36"/>
      <c r="E17077" s="1"/>
      <c r="F17077" s="1"/>
      <c r="G17077" s="1"/>
    </row>
    <row r="17078">
      <c r="B17078" s="36"/>
      <c r="C17078" s="36"/>
      <c r="E17078" s="1"/>
      <c r="F17078" s="1"/>
      <c r="G17078" s="1"/>
    </row>
    <row r="17079">
      <c r="B17079" s="36"/>
      <c r="C17079" s="36"/>
      <c r="E17079" s="1"/>
      <c r="F17079" s="1"/>
      <c r="G17079" s="1"/>
    </row>
    <row r="17080">
      <c r="B17080" s="36"/>
      <c r="C17080" s="36"/>
      <c r="E17080" s="1"/>
      <c r="F17080" s="1"/>
      <c r="G17080" s="1"/>
    </row>
    <row r="17081">
      <c r="B17081" s="36"/>
      <c r="C17081" s="36"/>
      <c r="E17081" s="1"/>
      <c r="F17081" s="1"/>
      <c r="G17081" s="1"/>
    </row>
    <row r="17082">
      <c r="B17082" s="36"/>
      <c r="C17082" s="36"/>
      <c r="E17082" s="1"/>
      <c r="F17082" s="1"/>
      <c r="G17082" s="1"/>
    </row>
    <row r="17083">
      <c r="B17083" s="36"/>
      <c r="C17083" s="36"/>
      <c r="E17083" s="1"/>
      <c r="F17083" s="1"/>
      <c r="G17083" s="1"/>
    </row>
    <row r="17084">
      <c r="B17084" s="36"/>
      <c r="C17084" s="36"/>
      <c r="E17084" s="1"/>
      <c r="F17084" s="1"/>
      <c r="G17084" s="1"/>
    </row>
    <row r="17085">
      <c r="B17085" s="36"/>
      <c r="C17085" s="36"/>
      <c r="E17085" s="1"/>
      <c r="F17085" s="1"/>
      <c r="G17085" s="1"/>
    </row>
    <row r="17086">
      <c r="B17086" s="36"/>
      <c r="C17086" s="36"/>
      <c r="E17086" s="1"/>
      <c r="F17086" s="1"/>
      <c r="G17086" s="1"/>
    </row>
    <row r="17087">
      <c r="B17087" s="36"/>
      <c r="C17087" s="36"/>
      <c r="E17087" s="1"/>
      <c r="F17087" s="1"/>
      <c r="G17087" s="1"/>
    </row>
    <row r="17088">
      <c r="B17088" s="36"/>
      <c r="C17088" s="36"/>
      <c r="E17088" s="1"/>
      <c r="F17088" s="1"/>
      <c r="G17088" s="1"/>
    </row>
    <row r="17089">
      <c r="B17089" s="36"/>
      <c r="C17089" s="36"/>
      <c r="E17089" s="1"/>
      <c r="F17089" s="1"/>
      <c r="G17089" s="1"/>
    </row>
    <row r="17090">
      <c r="B17090" s="36"/>
      <c r="C17090" s="36"/>
      <c r="E17090" s="1"/>
      <c r="F17090" s="1"/>
      <c r="G17090" s="1"/>
    </row>
    <row r="17091">
      <c r="B17091" s="36"/>
      <c r="C17091" s="36"/>
      <c r="E17091" s="1"/>
      <c r="F17091" s="1"/>
      <c r="G17091" s="1"/>
    </row>
    <row r="17092">
      <c r="B17092" s="36"/>
      <c r="C17092" s="36"/>
      <c r="E17092" s="1"/>
      <c r="F17092" s="1"/>
      <c r="G17092" s="1"/>
    </row>
    <row r="17093">
      <c r="B17093" s="36"/>
      <c r="C17093" s="36"/>
      <c r="E17093" s="1"/>
      <c r="F17093" s="1"/>
      <c r="G17093" s="1"/>
    </row>
    <row r="17094">
      <c r="B17094" s="36"/>
      <c r="C17094" s="36"/>
      <c r="E17094" s="1"/>
      <c r="F17094" s="1"/>
      <c r="G17094" s="1"/>
    </row>
    <row r="17095">
      <c r="B17095" s="36"/>
      <c r="C17095" s="36"/>
      <c r="E17095" s="1"/>
      <c r="F17095" s="1"/>
      <c r="G17095" s="1"/>
    </row>
    <row r="17096">
      <c r="B17096" s="36"/>
      <c r="C17096" s="36"/>
      <c r="E17096" s="1"/>
      <c r="F17096" s="1"/>
      <c r="G17096" s="1"/>
    </row>
    <row r="17097">
      <c r="B17097" s="36"/>
      <c r="C17097" s="36"/>
      <c r="E17097" s="1"/>
      <c r="F17097" s="1"/>
      <c r="G17097" s="1"/>
    </row>
    <row r="17098">
      <c r="B17098" s="36"/>
      <c r="C17098" s="36"/>
      <c r="E17098" s="1"/>
      <c r="F17098" s="1"/>
      <c r="G17098" s="1"/>
    </row>
    <row r="17099">
      <c r="B17099" s="36"/>
      <c r="C17099" s="36"/>
      <c r="E17099" s="1"/>
      <c r="F17099" s="1"/>
      <c r="G17099" s="1"/>
    </row>
    <row r="17100">
      <c r="B17100" s="36"/>
      <c r="C17100" s="36"/>
      <c r="E17100" s="1"/>
      <c r="F17100" s="1"/>
      <c r="G17100" s="1"/>
    </row>
    <row r="17101">
      <c r="B17101" s="36"/>
      <c r="C17101" s="36"/>
      <c r="E17101" s="1"/>
      <c r="F17101" s="1"/>
      <c r="G17101" s="1"/>
    </row>
    <row r="17102">
      <c r="B17102" s="36"/>
      <c r="C17102" s="36"/>
      <c r="E17102" s="1"/>
      <c r="F17102" s="1"/>
      <c r="G17102" s="1"/>
    </row>
    <row r="17103">
      <c r="B17103" s="36"/>
      <c r="C17103" s="36"/>
      <c r="E17103" s="1"/>
      <c r="F17103" s="1"/>
      <c r="G17103" s="1"/>
    </row>
    <row r="17104">
      <c r="B17104" s="36"/>
      <c r="C17104" s="36"/>
      <c r="E17104" s="1"/>
      <c r="F17104" s="1"/>
      <c r="G17104" s="1"/>
    </row>
    <row r="17105">
      <c r="B17105" s="36"/>
      <c r="C17105" s="36"/>
      <c r="E17105" s="1"/>
      <c r="F17105" s="1"/>
      <c r="G17105" s="1"/>
    </row>
    <row r="17106">
      <c r="B17106" s="36"/>
      <c r="C17106" s="36"/>
      <c r="E17106" s="1"/>
      <c r="F17106" s="1"/>
      <c r="G17106" s="1"/>
    </row>
    <row r="17107">
      <c r="B17107" s="36"/>
      <c r="C17107" s="36"/>
      <c r="E17107" s="1"/>
      <c r="F17107" s="1"/>
      <c r="G17107" s="1"/>
    </row>
    <row r="17108">
      <c r="B17108" s="36"/>
      <c r="C17108" s="36"/>
      <c r="E17108" s="1"/>
      <c r="F17108" s="1"/>
      <c r="G17108" s="1"/>
    </row>
    <row r="17109">
      <c r="B17109" s="36"/>
      <c r="C17109" s="36"/>
      <c r="E17109" s="1"/>
      <c r="F17109" s="1"/>
      <c r="G17109" s="1"/>
    </row>
    <row r="17110">
      <c r="B17110" s="36"/>
      <c r="C17110" s="36"/>
      <c r="E17110" s="1"/>
      <c r="F17110" s="1"/>
      <c r="G17110" s="1"/>
    </row>
    <row r="17111">
      <c r="B17111" s="36"/>
      <c r="C17111" s="36"/>
      <c r="E17111" s="1"/>
      <c r="F17111" s="1"/>
      <c r="G17111" s="1"/>
    </row>
    <row r="17112">
      <c r="B17112" s="36"/>
      <c r="C17112" s="36"/>
      <c r="E17112" s="1"/>
      <c r="F17112" s="1"/>
      <c r="G17112" s="1"/>
    </row>
    <row r="17113">
      <c r="B17113" s="36"/>
      <c r="C17113" s="36"/>
      <c r="E17113" s="1"/>
      <c r="F17113" s="1"/>
      <c r="G17113" s="1"/>
    </row>
    <row r="17114">
      <c r="B17114" s="36"/>
      <c r="C17114" s="36"/>
      <c r="E17114" s="1"/>
      <c r="F17114" s="1"/>
      <c r="G17114" s="1"/>
    </row>
    <row r="17115">
      <c r="B17115" s="36"/>
      <c r="C17115" s="36"/>
      <c r="E17115" s="1"/>
      <c r="F17115" s="1"/>
      <c r="G17115" s="1"/>
    </row>
    <row r="17116">
      <c r="B17116" s="36"/>
      <c r="C17116" s="36"/>
      <c r="E17116" s="1"/>
      <c r="F17116" s="1"/>
      <c r="G17116" s="1"/>
    </row>
    <row r="17117">
      <c r="B17117" s="36"/>
      <c r="C17117" s="36"/>
      <c r="E17117" s="1"/>
      <c r="F17117" s="1"/>
      <c r="G17117" s="1"/>
    </row>
    <row r="17118">
      <c r="B17118" s="36"/>
      <c r="C17118" s="36"/>
      <c r="E17118" s="1"/>
      <c r="F17118" s="1"/>
      <c r="G17118" s="1"/>
    </row>
    <row r="17119">
      <c r="B17119" s="36"/>
      <c r="C17119" s="36"/>
      <c r="E17119" s="1"/>
      <c r="F17119" s="1"/>
      <c r="G17119" s="1"/>
    </row>
    <row r="17120">
      <c r="B17120" s="36"/>
      <c r="C17120" s="36"/>
      <c r="E17120" s="1"/>
      <c r="F17120" s="1"/>
      <c r="G17120" s="1"/>
    </row>
    <row r="17121">
      <c r="B17121" s="36"/>
      <c r="C17121" s="36"/>
      <c r="E17121" s="1"/>
      <c r="F17121" s="1"/>
      <c r="G17121" s="1"/>
    </row>
    <row r="17122">
      <c r="B17122" s="36"/>
      <c r="C17122" s="36"/>
      <c r="E17122" s="1"/>
      <c r="F17122" s="1"/>
      <c r="G17122" s="1"/>
    </row>
    <row r="17123">
      <c r="B17123" s="36"/>
      <c r="C17123" s="36"/>
      <c r="E17123" s="1"/>
      <c r="F17123" s="1"/>
      <c r="G17123" s="1"/>
    </row>
    <row r="17124">
      <c r="B17124" s="36"/>
      <c r="C17124" s="36"/>
      <c r="E17124" s="1"/>
      <c r="F17124" s="1"/>
      <c r="G17124" s="1"/>
    </row>
    <row r="17125">
      <c r="B17125" s="36"/>
      <c r="C17125" s="36"/>
      <c r="E17125" s="1"/>
      <c r="F17125" s="1"/>
      <c r="G17125" s="1"/>
    </row>
    <row r="17126">
      <c r="B17126" s="36"/>
      <c r="C17126" s="36"/>
      <c r="E17126" s="1"/>
      <c r="F17126" s="1"/>
      <c r="G17126" s="1"/>
    </row>
    <row r="17127">
      <c r="B17127" s="36"/>
      <c r="C17127" s="36"/>
      <c r="E17127" s="1"/>
      <c r="F17127" s="1"/>
      <c r="G17127" s="1"/>
    </row>
    <row r="17128">
      <c r="B17128" s="36"/>
      <c r="C17128" s="36"/>
      <c r="E17128" s="1"/>
      <c r="F17128" s="1"/>
      <c r="G17128" s="1"/>
    </row>
    <row r="17129">
      <c r="B17129" s="36"/>
      <c r="C17129" s="36"/>
      <c r="E17129" s="1"/>
      <c r="F17129" s="1"/>
      <c r="G17129" s="1"/>
    </row>
    <row r="17130">
      <c r="B17130" s="36"/>
      <c r="C17130" s="36"/>
      <c r="E17130" s="1"/>
      <c r="F17130" s="1"/>
      <c r="G17130" s="1"/>
    </row>
    <row r="17131">
      <c r="B17131" s="36"/>
      <c r="C17131" s="36"/>
      <c r="E17131" s="1"/>
      <c r="F17131" s="1"/>
      <c r="G17131" s="1"/>
    </row>
    <row r="17132">
      <c r="B17132" s="36"/>
      <c r="C17132" s="36"/>
      <c r="E17132" s="1"/>
      <c r="F17132" s="1"/>
      <c r="G17132" s="1"/>
    </row>
    <row r="17133">
      <c r="B17133" s="36"/>
      <c r="C17133" s="36"/>
      <c r="E17133" s="1"/>
      <c r="F17133" s="1"/>
      <c r="G17133" s="1"/>
    </row>
    <row r="17134">
      <c r="B17134" s="36"/>
      <c r="C17134" s="36"/>
      <c r="E17134" s="1"/>
      <c r="F17134" s="1"/>
      <c r="G17134" s="1"/>
    </row>
    <row r="17135">
      <c r="B17135" s="36"/>
      <c r="C17135" s="36"/>
      <c r="E17135" s="1"/>
      <c r="F17135" s="1"/>
      <c r="G17135" s="1"/>
    </row>
    <row r="17136">
      <c r="B17136" s="36"/>
      <c r="C17136" s="36"/>
      <c r="E17136" s="1"/>
      <c r="F17136" s="1"/>
      <c r="G17136" s="1"/>
    </row>
    <row r="17137">
      <c r="B17137" s="36"/>
      <c r="C17137" s="36"/>
      <c r="E17137" s="1"/>
      <c r="F17137" s="1"/>
      <c r="G17137" s="1"/>
    </row>
    <row r="17138">
      <c r="B17138" s="36"/>
      <c r="C17138" s="36"/>
      <c r="E17138" s="1"/>
      <c r="F17138" s="1"/>
      <c r="G17138" s="1"/>
    </row>
    <row r="17139">
      <c r="B17139" s="36"/>
      <c r="C17139" s="36"/>
      <c r="E17139" s="1"/>
      <c r="F17139" s="1"/>
      <c r="G17139" s="1"/>
    </row>
    <row r="17140">
      <c r="B17140" s="36"/>
      <c r="C17140" s="36"/>
      <c r="E17140" s="1"/>
      <c r="F17140" s="1"/>
      <c r="G17140" s="1"/>
    </row>
    <row r="17141">
      <c r="B17141" s="36"/>
      <c r="C17141" s="36"/>
      <c r="E17141" s="1"/>
      <c r="F17141" s="1"/>
      <c r="G17141" s="1"/>
    </row>
    <row r="17142">
      <c r="B17142" s="36"/>
      <c r="C17142" s="36"/>
      <c r="E17142" s="1"/>
      <c r="F17142" s="1"/>
      <c r="G17142" s="1"/>
    </row>
    <row r="17143">
      <c r="B17143" s="36"/>
      <c r="C17143" s="36"/>
      <c r="E17143" s="1"/>
      <c r="F17143" s="1"/>
      <c r="G17143" s="1"/>
    </row>
    <row r="17144">
      <c r="B17144" s="36"/>
      <c r="C17144" s="36"/>
      <c r="E17144" s="1"/>
      <c r="F17144" s="1"/>
      <c r="G17144" s="1"/>
    </row>
    <row r="17145">
      <c r="B17145" s="36"/>
      <c r="C17145" s="36"/>
      <c r="E17145" s="1"/>
      <c r="F17145" s="1"/>
      <c r="G17145" s="1"/>
    </row>
    <row r="17146">
      <c r="B17146" s="36"/>
      <c r="C17146" s="36"/>
      <c r="E17146" s="1"/>
      <c r="F17146" s="1"/>
      <c r="G17146" s="1"/>
    </row>
    <row r="17147">
      <c r="B17147" s="36"/>
      <c r="C17147" s="36"/>
      <c r="E17147" s="1"/>
      <c r="F17147" s="1"/>
      <c r="G17147" s="1"/>
    </row>
    <row r="17148">
      <c r="B17148" s="36"/>
      <c r="C17148" s="36"/>
      <c r="E17148" s="1"/>
      <c r="F17148" s="1"/>
      <c r="G17148" s="1"/>
    </row>
    <row r="17149">
      <c r="B17149" s="36"/>
      <c r="C17149" s="36"/>
      <c r="E17149" s="1"/>
      <c r="F17149" s="1"/>
      <c r="G17149" s="1"/>
    </row>
    <row r="17150">
      <c r="B17150" s="36"/>
      <c r="C17150" s="36"/>
      <c r="E17150" s="1"/>
      <c r="F17150" s="1"/>
      <c r="G17150" s="1"/>
    </row>
    <row r="17151">
      <c r="B17151" s="36"/>
      <c r="C17151" s="36"/>
      <c r="E17151" s="1"/>
      <c r="F17151" s="1"/>
      <c r="G17151" s="1"/>
    </row>
    <row r="17152">
      <c r="B17152" s="36"/>
      <c r="C17152" s="36"/>
      <c r="E17152" s="1"/>
      <c r="F17152" s="1"/>
      <c r="G17152" s="1"/>
    </row>
    <row r="17153">
      <c r="B17153" s="36"/>
      <c r="C17153" s="36"/>
      <c r="E17153" s="1"/>
      <c r="F17153" s="1"/>
      <c r="G17153" s="1"/>
    </row>
    <row r="17154">
      <c r="B17154" s="36"/>
      <c r="C17154" s="36"/>
      <c r="E17154" s="1"/>
      <c r="F17154" s="1"/>
      <c r="G17154" s="1"/>
    </row>
    <row r="17155">
      <c r="B17155" s="36"/>
      <c r="C17155" s="36"/>
      <c r="E17155" s="1"/>
      <c r="F17155" s="1"/>
      <c r="G17155" s="1"/>
    </row>
    <row r="17156">
      <c r="B17156" s="36"/>
      <c r="C17156" s="36"/>
      <c r="E17156" s="1"/>
      <c r="F17156" s="1"/>
      <c r="G17156" s="1"/>
    </row>
    <row r="17157">
      <c r="B17157" s="36"/>
      <c r="C17157" s="36"/>
      <c r="E17157" s="1"/>
      <c r="F17157" s="1"/>
      <c r="G17157" s="1"/>
    </row>
    <row r="17158">
      <c r="B17158" s="36"/>
      <c r="C17158" s="36"/>
      <c r="E17158" s="1"/>
      <c r="F17158" s="1"/>
      <c r="G17158" s="1"/>
    </row>
    <row r="17159">
      <c r="B17159" s="36"/>
      <c r="C17159" s="36"/>
      <c r="E17159" s="1"/>
      <c r="F17159" s="1"/>
      <c r="G17159" s="1"/>
    </row>
    <row r="17160">
      <c r="B17160" s="36"/>
      <c r="C17160" s="36"/>
      <c r="E17160" s="1"/>
      <c r="F17160" s="1"/>
      <c r="G17160" s="1"/>
    </row>
    <row r="17161">
      <c r="B17161" s="36"/>
      <c r="C17161" s="36"/>
      <c r="E17161" s="1"/>
      <c r="F17161" s="1"/>
      <c r="G17161" s="1"/>
    </row>
    <row r="17162">
      <c r="B17162" s="36"/>
      <c r="C17162" s="36"/>
      <c r="E17162" s="1"/>
      <c r="F17162" s="1"/>
      <c r="G17162" s="1"/>
    </row>
    <row r="17163">
      <c r="B17163" s="36"/>
      <c r="C17163" s="36"/>
      <c r="E17163" s="1"/>
      <c r="F17163" s="1"/>
      <c r="G17163" s="1"/>
    </row>
    <row r="17164">
      <c r="B17164" s="36"/>
      <c r="C17164" s="36"/>
      <c r="E17164" s="1"/>
      <c r="F17164" s="1"/>
      <c r="G17164" s="1"/>
    </row>
    <row r="17165">
      <c r="B17165" s="36"/>
      <c r="C17165" s="36"/>
      <c r="E17165" s="1"/>
      <c r="F17165" s="1"/>
      <c r="G17165" s="1"/>
    </row>
    <row r="17166">
      <c r="B17166" s="36"/>
      <c r="C17166" s="36"/>
      <c r="E17166" s="1"/>
      <c r="F17166" s="1"/>
      <c r="G17166" s="1"/>
    </row>
    <row r="17167">
      <c r="B17167" s="36"/>
      <c r="C17167" s="36"/>
      <c r="E17167" s="1"/>
      <c r="F17167" s="1"/>
      <c r="G17167" s="1"/>
    </row>
    <row r="17168">
      <c r="B17168" s="36"/>
      <c r="C17168" s="36"/>
      <c r="E17168" s="1"/>
      <c r="F17168" s="1"/>
      <c r="G17168" s="1"/>
    </row>
    <row r="17169">
      <c r="B17169" s="36"/>
      <c r="C17169" s="36"/>
      <c r="E17169" s="1"/>
      <c r="F17169" s="1"/>
      <c r="G17169" s="1"/>
    </row>
    <row r="17170">
      <c r="B17170" s="36"/>
      <c r="C17170" s="36"/>
      <c r="E17170" s="1"/>
      <c r="F17170" s="1"/>
      <c r="G17170" s="1"/>
    </row>
    <row r="17171">
      <c r="B17171" s="36"/>
      <c r="C17171" s="36"/>
      <c r="E17171" s="1"/>
      <c r="F17171" s="1"/>
      <c r="G17171" s="1"/>
    </row>
    <row r="17172">
      <c r="B17172" s="36"/>
      <c r="C17172" s="36"/>
      <c r="E17172" s="1"/>
      <c r="F17172" s="1"/>
      <c r="G17172" s="1"/>
    </row>
    <row r="17173">
      <c r="B17173" s="36"/>
      <c r="C17173" s="36"/>
      <c r="E17173" s="1"/>
      <c r="F17173" s="1"/>
      <c r="G17173" s="1"/>
    </row>
    <row r="17174">
      <c r="B17174" s="36"/>
      <c r="C17174" s="36"/>
      <c r="E17174" s="1"/>
      <c r="F17174" s="1"/>
      <c r="G17174" s="1"/>
    </row>
    <row r="17175">
      <c r="B17175" s="36"/>
      <c r="C17175" s="36"/>
      <c r="E17175" s="1"/>
      <c r="F17175" s="1"/>
      <c r="G17175" s="1"/>
    </row>
    <row r="17176">
      <c r="B17176" s="36"/>
      <c r="C17176" s="36"/>
      <c r="E17176" s="1"/>
      <c r="F17176" s="1"/>
      <c r="G17176" s="1"/>
    </row>
    <row r="17177">
      <c r="B17177" s="36"/>
      <c r="C17177" s="36"/>
      <c r="E17177" s="1"/>
      <c r="F17177" s="1"/>
      <c r="G17177" s="1"/>
    </row>
    <row r="17178">
      <c r="B17178" s="36"/>
      <c r="C17178" s="36"/>
      <c r="E17178" s="1"/>
      <c r="F17178" s="1"/>
      <c r="G17178" s="1"/>
    </row>
    <row r="17179">
      <c r="B17179" s="36"/>
      <c r="C17179" s="36"/>
      <c r="E17179" s="1"/>
      <c r="F17179" s="1"/>
      <c r="G17179" s="1"/>
    </row>
    <row r="17180">
      <c r="B17180" s="36"/>
      <c r="C17180" s="36"/>
      <c r="E17180" s="1"/>
      <c r="F17180" s="1"/>
      <c r="G17180" s="1"/>
    </row>
    <row r="17181">
      <c r="B17181" s="36"/>
      <c r="C17181" s="36"/>
      <c r="E17181" s="1"/>
      <c r="F17181" s="1"/>
      <c r="G17181" s="1"/>
    </row>
    <row r="17182">
      <c r="B17182" s="36"/>
      <c r="C17182" s="36"/>
      <c r="E17182" s="1"/>
      <c r="F17182" s="1"/>
      <c r="G17182" s="1"/>
    </row>
    <row r="17183">
      <c r="B17183" s="36"/>
      <c r="C17183" s="36"/>
      <c r="E17183" s="1"/>
      <c r="F17183" s="1"/>
      <c r="G17183" s="1"/>
    </row>
    <row r="17184">
      <c r="B17184" s="36"/>
      <c r="C17184" s="36"/>
      <c r="E17184" s="1"/>
      <c r="F17184" s="1"/>
      <c r="G17184" s="1"/>
    </row>
    <row r="17185">
      <c r="B17185" s="36"/>
      <c r="C17185" s="36"/>
      <c r="E17185" s="1"/>
      <c r="F17185" s="1"/>
      <c r="G17185" s="1"/>
    </row>
    <row r="17186">
      <c r="B17186" s="36"/>
      <c r="C17186" s="36"/>
      <c r="E17186" s="1"/>
      <c r="F17186" s="1"/>
      <c r="G17186" s="1"/>
    </row>
    <row r="17187">
      <c r="B17187" s="36"/>
      <c r="C17187" s="36"/>
      <c r="E17187" s="1"/>
      <c r="F17187" s="1"/>
      <c r="G17187" s="1"/>
    </row>
    <row r="17188">
      <c r="B17188" s="36"/>
      <c r="C17188" s="36"/>
      <c r="E17188" s="1"/>
      <c r="F17188" s="1"/>
      <c r="G17188" s="1"/>
    </row>
    <row r="17189">
      <c r="B17189" s="36"/>
      <c r="C17189" s="36"/>
      <c r="E17189" s="1"/>
      <c r="F17189" s="1"/>
      <c r="G17189" s="1"/>
    </row>
    <row r="17190">
      <c r="B17190" s="36"/>
      <c r="C17190" s="36"/>
      <c r="E17190" s="1"/>
      <c r="F17190" s="1"/>
      <c r="G17190" s="1"/>
    </row>
    <row r="17191">
      <c r="B17191" s="36"/>
      <c r="C17191" s="36"/>
      <c r="E17191" s="1"/>
      <c r="F17191" s="1"/>
      <c r="G17191" s="1"/>
    </row>
    <row r="17192">
      <c r="B17192" s="36"/>
      <c r="C17192" s="36"/>
      <c r="E17192" s="1"/>
      <c r="F17192" s="1"/>
      <c r="G17192" s="1"/>
    </row>
    <row r="17193">
      <c r="B17193" s="36"/>
      <c r="C17193" s="36"/>
      <c r="E17193" s="1"/>
      <c r="F17193" s="1"/>
      <c r="G17193" s="1"/>
    </row>
    <row r="17194">
      <c r="B17194" s="36"/>
      <c r="C17194" s="36"/>
      <c r="E17194" s="1"/>
      <c r="F17194" s="1"/>
      <c r="G17194" s="1"/>
    </row>
    <row r="17195">
      <c r="B17195" s="36"/>
      <c r="C17195" s="36"/>
      <c r="E17195" s="1"/>
      <c r="F17195" s="1"/>
      <c r="G17195" s="1"/>
    </row>
    <row r="17196">
      <c r="B17196" s="36"/>
      <c r="C17196" s="36"/>
      <c r="E17196" s="1"/>
      <c r="F17196" s="1"/>
      <c r="G17196" s="1"/>
    </row>
    <row r="17197">
      <c r="B17197" s="36"/>
      <c r="C17197" s="36"/>
      <c r="E17197" s="1"/>
      <c r="F17197" s="1"/>
      <c r="G17197" s="1"/>
    </row>
    <row r="17198">
      <c r="B17198" s="36"/>
      <c r="C17198" s="36"/>
      <c r="E17198" s="1"/>
      <c r="F17198" s="1"/>
      <c r="G17198" s="1"/>
    </row>
    <row r="17199">
      <c r="B17199" s="36"/>
      <c r="C17199" s="36"/>
      <c r="E17199" s="1"/>
      <c r="F17199" s="1"/>
      <c r="G17199" s="1"/>
    </row>
    <row r="17200">
      <c r="B17200" s="36"/>
      <c r="C17200" s="36"/>
      <c r="E17200" s="1"/>
      <c r="F17200" s="1"/>
      <c r="G17200" s="1"/>
    </row>
    <row r="17201">
      <c r="B17201" s="36"/>
      <c r="C17201" s="36"/>
      <c r="E17201" s="1"/>
      <c r="F17201" s="1"/>
      <c r="G17201" s="1"/>
    </row>
    <row r="17202">
      <c r="B17202" s="36"/>
      <c r="C17202" s="36"/>
      <c r="E17202" s="1"/>
      <c r="F17202" s="1"/>
      <c r="G17202" s="1"/>
    </row>
    <row r="17203">
      <c r="B17203" s="36"/>
      <c r="C17203" s="36"/>
      <c r="E17203" s="1"/>
      <c r="F17203" s="1"/>
      <c r="G17203" s="1"/>
    </row>
    <row r="17204">
      <c r="B17204" s="36"/>
      <c r="C17204" s="36"/>
      <c r="E17204" s="1"/>
      <c r="F17204" s="1"/>
      <c r="G17204" s="1"/>
    </row>
    <row r="17205">
      <c r="B17205" s="36"/>
      <c r="C17205" s="36"/>
      <c r="E17205" s="1"/>
      <c r="F17205" s="1"/>
      <c r="G17205" s="1"/>
    </row>
    <row r="17206">
      <c r="B17206" s="36"/>
      <c r="C17206" s="36"/>
      <c r="E17206" s="1"/>
      <c r="F17206" s="1"/>
      <c r="G17206" s="1"/>
    </row>
    <row r="17207">
      <c r="B17207" s="36"/>
      <c r="C17207" s="36"/>
      <c r="E17207" s="1"/>
      <c r="F17207" s="1"/>
      <c r="G17207" s="1"/>
    </row>
    <row r="17208">
      <c r="B17208" s="36"/>
      <c r="C17208" s="36"/>
      <c r="E17208" s="1"/>
      <c r="F17208" s="1"/>
      <c r="G17208" s="1"/>
    </row>
    <row r="17209">
      <c r="B17209" s="36"/>
      <c r="C17209" s="36"/>
      <c r="E17209" s="1"/>
      <c r="F17209" s="1"/>
      <c r="G17209" s="1"/>
    </row>
    <row r="17210">
      <c r="B17210" s="36"/>
      <c r="C17210" s="36"/>
      <c r="E17210" s="1"/>
      <c r="F17210" s="1"/>
      <c r="G17210" s="1"/>
    </row>
    <row r="17211">
      <c r="B17211" s="36"/>
      <c r="C17211" s="36"/>
      <c r="E17211" s="1"/>
      <c r="F17211" s="1"/>
      <c r="G17211" s="1"/>
    </row>
    <row r="17212">
      <c r="B17212" s="36"/>
      <c r="C17212" s="36"/>
      <c r="E17212" s="1"/>
      <c r="F17212" s="1"/>
      <c r="G17212" s="1"/>
    </row>
    <row r="17213">
      <c r="B17213" s="36"/>
      <c r="C17213" s="36"/>
      <c r="E17213" s="1"/>
      <c r="F17213" s="1"/>
      <c r="G17213" s="1"/>
    </row>
    <row r="17214">
      <c r="B17214" s="36"/>
      <c r="C17214" s="36"/>
      <c r="E17214" s="1"/>
      <c r="F17214" s="1"/>
      <c r="G17214" s="1"/>
    </row>
    <row r="17215">
      <c r="B17215" s="36"/>
      <c r="C17215" s="36"/>
      <c r="E17215" s="1"/>
      <c r="F17215" s="1"/>
      <c r="G17215" s="1"/>
    </row>
    <row r="17216">
      <c r="B17216" s="36"/>
      <c r="C17216" s="36"/>
      <c r="E17216" s="1"/>
      <c r="F17216" s="1"/>
      <c r="G17216" s="1"/>
    </row>
    <row r="17217">
      <c r="B17217" s="36"/>
      <c r="C17217" s="36"/>
      <c r="E17217" s="1"/>
      <c r="F17217" s="1"/>
      <c r="G17217" s="1"/>
    </row>
    <row r="17218">
      <c r="B17218" s="36"/>
      <c r="C17218" s="36"/>
      <c r="E17218" s="1"/>
      <c r="F17218" s="1"/>
      <c r="G17218" s="1"/>
    </row>
    <row r="17219">
      <c r="B17219" s="36"/>
      <c r="C17219" s="36"/>
      <c r="E17219" s="1"/>
      <c r="F17219" s="1"/>
      <c r="G17219" s="1"/>
    </row>
    <row r="17220">
      <c r="B17220" s="36"/>
      <c r="C17220" s="36"/>
      <c r="E17220" s="1"/>
      <c r="F17220" s="1"/>
      <c r="G17220" s="1"/>
    </row>
    <row r="17221">
      <c r="B17221" s="36"/>
      <c r="C17221" s="36"/>
      <c r="E17221" s="1"/>
      <c r="F17221" s="1"/>
      <c r="G17221" s="1"/>
    </row>
    <row r="17222">
      <c r="B17222" s="36"/>
      <c r="C17222" s="36"/>
      <c r="E17222" s="1"/>
      <c r="F17222" s="1"/>
      <c r="G17222" s="1"/>
    </row>
    <row r="17223">
      <c r="B17223" s="36"/>
      <c r="C17223" s="36"/>
      <c r="E17223" s="1"/>
      <c r="F17223" s="1"/>
      <c r="G17223" s="1"/>
    </row>
    <row r="17224">
      <c r="B17224" s="36"/>
      <c r="C17224" s="36"/>
      <c r="E17224" s="1"/>
      <c r="F17224" s="1"/>
      <c r="G17224" s="1"/>
    </row>
    <row r="17225">
      <c r="B17225" s="36"/>
      <c r="C17225" s="36"/>
      <c r="E17225" s="1"/>
      <c r="F17225" s="1"/>
      <c r="G17225" s="1"/>
    </row>
    <row r="17226">
      <c r="B17226" s="36"/>
      <c r="C17226" s="36"/>
      <c r="E17226" s="1"/>
      <c r="F17226" s="1"/>
      <c r="G17226" s="1"/>
    </row>
    <row r="17227">
      <c r="B17227" s="36"/>
      <c r="C17227" s="36"/>
      <c r="E17227" s="1"/>
      <c r="F17227" s="1"/>
      <c r="G17227" s="1"/>
    </row>
    <row r="17228">
      <c r="B17228" s="36"/>
      <c r="C17228" s="36"/>
      <c r="E17228" s="1"/>
      <c r="F17228" s="1"/>
      <c r="G17228" s="1"/>
    </row>
    <row r="17229">
      <c r="B17229" s="36"/>
      <c r="C17229" s="36"/>
      <c r="E17229" s="1"/>
      <c r="F17229" s="1"/>
      <c r="G17229" s="1"/>
    </row>
    <row r="17230">
      <c r="B17230" s="36"/>
      <c r="C17230" s="36"/>
      <c r="E17230" s="1"/>
      <c r="F17230" s="1"/>
      <c r="G17230" s="1"/>
    </row>
    <row r="17231">
      <c r="B17231" s="36"/>
      <c r="C17231" s="36"/>
      <c r="E17231" s="1"/>
      <c r="F17231" s="1"/>
      <c r="G17231" s="1"/>
    </row>
    <row r="17232">
      <c r="B17232" s="36"/>
      <c r="C17232" s="36"/>
      <c r="E17232" s="1"/>
      <c r="F17232" s="1"/>
      <c r="G17232" s="1"/>
    </row>
    <row r="17233">
      <c r="B17233" s="36"/>
      <c r="C17233" s="36"/>
      <c r="E17233" s="1"/>
      <c r="F17233" s="1"/>
      <c r="G17233" s="1"/>
    </row>
    <row r="17234">
      <c r="B17234" s="36"/>
      <c r="C17234" s="36"/>
      <c r="E17234" s="1"/>
      <c r="F17234" s="1"/>
      <c r="G17234" s="1"/>
    </row>
    <row r="17235">
      <c r="B17235" s="36"/>
      <c r="C17235" s="36"/>
      <c r="E17235" s="1"/>
      <c r="F17235" s="1"/>
      <c r="G17235" s="1"/>
    </row>
    <row r="17236">
      <c r="B17236" s="36"/>
      <c r="C17236" s="36"/>
      <c r="E17236" s="1"/>
      <c r="F17236" s="1"/>
      <c r="G17236" s="1"/>
    </row>
    <row r="17237">
      <c r="B17237" s="36"/>
      <c r="C17237" s="36"/>
      <c r="E17237" s="1"/>
      <c r="F17237" s="1"/>
      <c r="G17237" s="1"/>
    </row>
    <row r="17238">
      <c r="B17238" s="36"/>
      <c r="C17238" s="36"/>
      <c r="E17238" s="1"/>
      <c r="F17238" s="1"/>
      <c r="G17238" s="1"/>
    </row>
    <row r="17239">
      <c r="B17239" s="36"/>
      <c r="C17239" s="36"/>
      <c r="E17239" s="1"/>
      <c r="F17239" s="1"/>
      <c r="G17239" s="1"/>
    </row>
    <row r="17240">
      <c r="B17240" s="36"/>
      <c r="C17240" s="36"/>
      <c r="E17240" s="1"/>
      <c r="F17240" s="1"/>
      <c r="G17240" s="1"/>
    </row>
    <row r="17241">
      <c r="B17241" s="36"/>
      <c r="C17241" s="36"/>
      <c r="E17241" s="1"/>
      <c r="F17241" s="1"/>
      <c r="G17241" s="1"/>
    </row>
    <row r="17242">
      <c r="B17242" s="36"/>
      <c r="C17242" s="36"/>
      <c r="E17242" s="1"/>
      <c r="F17242" s="1"/>
      <c r="G17242" s="1"/>
    </row>
    <row r="17243">
      <c r="B17243" s="36"/>
      <c r="C17243" s="36"/>
      <c r="E17243" s="1"/>
      <c r="F17243" s="1"/>
      <c r="G17243" s="1"/>
    </row>
    <row r="17244">
      <c r="B17244" s="36"/>
      <c r="C17244" s="36"/>
      <c r="E17244" s="1"/>
      <c r="F17244" s="1"/>
      <c r="G17244" s="1"/>
    </row>
    <row r="17245">
      <c r="B17245" s="36"/>
      <c r="C17245" s="36"/>
      <c r="E17245" s="1"/>
      <c r="F17245" s="1"/>
      <c r="G17245" s="1"/>
    </row>
    <row r="17246">
      <c r="B17246" s="36"/>
      <c r="C17246" s="36"/>
      <c r="E17246" s="1"/>
      <c r="F17246" s="1"/>
      <c r="G17246" s="1"/>
    </row>
    <row r="17247">
      <c r="B17247" s="36"/>
      <c r="C17247" s="36"/>
      <c r="E17247" s="1"/>
      <c r="F17247" s="1"/>
      <c r="G17247" s="1"/>
    </row>
    <row r="17248">
      <c r="B17248" s="36"/>
      <c r="C17248" s="36"/>
      <c r="E17248" s="1"/>
      <c r="F17248" s="1"/>
      <c r="G17248" s="1"/>
    </row>
    <row r="17249">
      <c r="B17249" s="36"/>
      <c r="C17249" s="36"/>
      <c r="E17249" s="1"/>
      <c r="F17249" s="1"/>
      <c r="G17249" s="1"/>
    </row>
    <row r="17250">
      <c r="B17250" s="36"/>
      <c r="C17250" s="36"/>
      <c r="E17250" s="1"/>
      <c r="F17250" s="1"/>
      <c r="G17250" s="1"/>
    </row>
    <row r="17251">
      <c r="B17251" s="36"/>
      <c r="C17251" s="36"/>
      <c r="E17251" s="1"/>
      <c r="F17251" s="1"/>
      <c r="G17251" s="1"/>
    </row>
    <row r="17252">
      <c r="B17252" s="36"/>
      <c r="C17252" s="36"/>
      <c r="E17252" s="1"/>
      <c r="F17252" s="1"/>
      <c r="G17252" s="1"/>
    </row>
    <row r="17253">
      <c r="B17253" s="36"/>
      <c r="C17253" s="36"/>
      <c r="E17253" s="1"/>
      <c r="F17253" s="1"/>
      <c r="G17253" s="1"/>
    </row>
    <row r="17254">
      <c r="B17254" s="36"/>
      <c r="C17254" s="36"/>
      <c r="E17254" s="1"/>
      <c r="F17254" s="1"/>
      <c r="G17254" s="1"/>
    </row>
    <row r="17255">
      <c r="B17255" s="36"/>
      <c r="C17255" s="36"/>
      <c r="E17255" s="1"/>
      <c r="F17255" s="1"/>
      <c r="G17255" s="1"/>
    </row>
    <row r="17256">
      <c r="B17256" s="36"/>
      <c r="C17256" s="36"/>
      <c r="E17256" s="1"/>
      <c r="F17256" s="1"/>
      <c r="G17256" s="1"/>
    </row>
    <row r="17257">
      <c r="B17257" s="36"/>
      <c r="C17257" s="36"/>
      <c r="E17257" s="1"/>
      <c r="F17257" s="1"/>
      <c r="G17257" s="1"/>
    </row>
    <row r="17258">
      <c r="B17258" s="36"/>
      <c r="C17258" s="36"/>
      <c r="E17258" s="1"/>
      <c r="F17258" s="1"/>
      <c r="G17258" s="1"/>
    </row>
    <row r="17259">
      <c r="B17259" s="36"/>
      <c r="C17259" s="36"/>
      <c r="E17259" s="1"/>
      <c r="F17259" s="1"/>
      <c r="G17259" s="1"/>
    </row>
    <row r="17260">
      <c r="B17260" s="36"/>
      <c r="C17260" s="36"/>
      <c r="E17260" s="1"/>
      <c r="F17260" s="1"/>
      <c r="G17260" s="1"/>
    </row>
    <row r="17261">
      <c r="B17261" s="36"/>
      <c r="C17261" s="36"/>
      <c r="E17261" s="1"/>
      <c r="F17261" s="1"/>
      <c r="G17261" s="1"/>
    </row>
    <row r="17262">
      <c r="B17262" s="36"/>
      <c r="C17262" s="36"/>
      <c r="E17262" s="1"/>
      <c r="F17262" s="1"/>
      <c r="G17262" s="1"/>
    </row>
    <row r="17263">
      <c r="B17263" s="36"/>
      <c r="C17263" s="36"/>
      <c r="E17263" s="1"/>
      <c r="F17263" s="1"/>
      <c r="G17263" s="1"/>
    </row>
    <row r="17264">
      <c r="B17264" s="36"/>
      <c r="C17264" s="36"/>
      <c r="E17264" s="1"/>
      <c r="F17264" s="1"/>
      <c r="G17264" s="1"/>
    </row>
    <row r="17265">
      <c r="B17265" s="36"/>
      <c r="C17265" s="36"/>
      <c r="E17265" s="1"/>
      <c r="F17265" s="1"/>
      <c r="G17265" s="1"/>
    </row>
    <row r="17266">
      <c r="B17266" s="36"/>
      <c r="C17266" s="36"/>
      <c r="E17266" s="1"/>
      <c r="F17266" s="1"/>
      <c r="G17266" s="1"/>
    </row>
    <row r="17267">
      <c r="B17267" s="36"/>
      <c r="C17267" s="36"/>
      <c r="E17267" s="1"/>
      <c r="F17267" s="1"/>
      <c r="G17267" s="1"/>
    </row>
    <row r="17268">
      <c r="B17268" s="36"/>
      <c r="C17268" s="36"/>
      <c r="E17268" s="1"/>
      <c r="F17268" s="1"/>
      <c r="G17268" s="1"/>
    </row>
    <row r="17269">
      <c r="B17269" s="36"/>
      <c r="C17269" s="36"/>
      <c r="E17269" s="1"/>
      <c r="F17269" s="1"/>
      <c r="G17269" s="1"/>
    </row>
    <row r="17270">
      <c r="B17270" s="36"/>
      <c r="C17270" s="36"/>
      <c r="E17270" s="1"/>
      <c r="F17270" s="1"/>
      <c r="G17270" s="1"/>
    </row>
    <row r="17271">
      <c r="B17271" s="36"/>
      <c r="C17271" s="36"/>
      <c r="E17271" s="1"/>
      <c r="F17271" s="1"/>
      <c r="G17271" s="1"/>
    </row>
    <row r="17272">
      <c r="B17272" s="36"/>
      <c r="C17272" s="36"/>
      <c r="E17272" s="1"/>
      <c r="F17272" s="1"/>
      <c r="G17272" s="1"/>
    </row>
    <row r="17273">
      <c r="B17273" s="36"/>
      <c r="C17273" s="36"/>
      <c r="E17273" s="1"/>
      <c r="F17273" s="1"/>
      <c r="G17273" s="1"/>
    </row>
    <row r="17274">
      <c r="B17274" s="36"/>
      <c r="C17274" s="36"/>
      <c r="E17274" s="1"/>
      <c r="F17274" s="1"/>
      <c r="G17274" s="1"/>
    </row>
    <row r="17275">
      <c r="B17275" s="36"/>
      <c r="C17275" s="36"/>
      <c r="E17275" s="1"/>
      <c r="F17275" s="1"/>
      <c r="G17275" s="1"/>
    </row>
    <row r="17276">
      <c r="B17276" s="36"/>
      <c r="C17276" s="36"/>
      <c r="E17276" s="1"/>
      <c r="F17276" s="1"/>
      <c r="G17276" s="1"/>
    </row>
    <row r="17277">
      <c r="B17277" s="36"/>
      <c r="C17277" s="36"/>
      <c r="E17277" s="1"/>
      <c r="F17277" s="1"/>
      <c r="G17277" s="1"/>
    </row>
    <row r="17278">
      <c r="B17278" s="36"/>
      <c r="C17278" s="36"/>
      <c r="E17278" s="1"/>
      <c r="F17278" s="1"/>
      <c r="G17278" s="1"/>
    </row>
    <row r="17279">
      <c r="B17279" s="36"/>
      <c r="C17279" s="36"/>
      <c r="E17279" s="1"/>
      <c r="F17279" s="1"/>
      <c r="G17279" s="1"/>
    </row>
    <row r="17280">
      <c r="B17280" s="36"/>
      <c r="C17280" s="36"/>
      <c r="E17280" s="1"/>
      <c r="F17280" s="1"/>
      <c r="G17280" s="1"/>
    </row>
    <row r="17281">
      <c r="B17281" s="36"/>
      <c r="C17281" s="36"/>
      <c r="E17281" s="1"/>
      <c r="F17281" s="1"/>
      <c r="G17281" s="1"/>
    </row>
    <row r="17282">
      <c r="B17282" s="36"/>
      <c r="C17282" s="36"/>
      <c r="E17282" s="1"/>
      <c r="F17282" s="1"/>
      <c r="G17282" s="1"/>
    </row>
    <row r="17283">
      <c r="B17283" s="36"/>
      <c r="C17283" s="36"/>
      <c r="E17283" s="1"/>
      <c r="F17283" s="1"/>
      <c r="G17283" s="1"/>
    </row>
    <row r="17284">
      <c r="B17284" s="36"/>
      <c r="C17284" s="36"/>
      <c r="E17284" s="1"/>
      <c r="F17284" s="1"/>
      <c r="G17284" s="1"/>
    </row>
    <row r="17285">
      <c r="B17285" s="36"/>
      <c r="C17285" s="36"/>
      <c r="E17285" s="1"/>
      <c r="F17285" s="1"/>
      <c r="G17285" s="1"/>
    </row>
    <row r="17286">
      <c r="B17286" s="36"/>
      <c r="C17286" s="36"/>
      <c r="E17286" s="1"/>
      <c r="F17286" s="1"/>
      <c r="G17286" s="1"/>
    </row>
    <row r="17287">
      <c r="B17287" s="36"/>
      <c r="C17287" s="36"/>
      <c r="E17287" s="1"/>
      <c r="F17287" s="1"/>
      <c r="G17287" s="1"/>
    </row>
    <row r="17288">
      <c r="B17288" s="36"/>
      <c r="C17288" s="36"/>
      <c r="E17288" s="1"/>
      <c r="F17288" s="1"/>
      <c r="G17288" s="1"/>
    </row>
    <row r="17289">
      <c r="B17289" s="36"/>
      <c r="C17289" s="36"/>
      <c r="E17289" s="1"/>
      <c r="F17289" s="1"/>
      <c r="G17289" s="1"/>
    </row>
    <row r="17290">
      <c r="B17290" s="36"/>
      <c r="C17290" s="36"/>
      <c r="E17290" s="1"/>
      <c r="F17290" s="1"/>
      <c r="G17290" s="1"/>
    </row>
    <row r="17291">
      <c r="B17291" s="36"/>
      <c r="C17291" s="36"/>
      <c r="E17291" s="1"/>
      <c r="F17291" s="1"/>
      <c r="G17291" s="1"/>
    </row>
    <row r="17292">
      <c r="B17292" s="36"/>
      <c r="C17292" s="36"/>
      <c r="E17292" s="1"/>
      <c r="F17292" s="1"/>
      <c r="G17292" s="1"/>
    </row>
    <row r="17293">
      <c r="B17293" s="36"/>
      <c r="C17293" s="36"/>
      <c r="E17293" s="1"/>
      <c r="F17293" s="1"/>
      <c r="G17293" s="1"/>
    </row>
    <row r="17294">
      <c r="B17294" s="36"/>
      <c r="C17294" s="36"/>
      <c r="E17294" s="1"/>
      <c r="F17294" s="1"/>
      <c r="G17294" s="1"/>
    </row>
    <row r="17295">
      <c r="B17295" s="36"/>
      <c r="C17295" s="36"/>
      <c r="E17295" s="1"/>
      <c r="F17295" s="1"/>
      <c r="G17295" s="1"/>
    </row>
    <row r="17296">
      <c r="B17296" s="36"/>
      <c r="C17296" s="36"/>
      <c r="E17296" s="1"/>
      <c r="F17296" s="1"/>
      <c r="G17296" s="1"/>
    </row>
    <row r="17297">
      <c r="B17297" s="36"/>
      <c r="C17297" s="36"/>
      <c r="E17297" s="1"/>
      <c r="F17297" s="1"/>
      <c r="G17297" s="1"/>
    </row>
    <row r="17298">
      <c r="B17298" s="36"/>
      <c r="C17298" s="36"/>
      <c r="E17298" s="1"/>
      <c r="F17298" s="1"/>
      <c r="G17298" s="1"/>
    </row>
    <row r="17299">
      <c r="B17299" s="36"/>
      <c r="C17299" s="36"/>
      <c r="E17299" s="1"/>
      <c r="F17299" s="1"/>
      <c r="G17299" s="1"/>
    </row>
    <row r="17300">
      <c r="B17300" s="36"/>
      <c r="C17300" s="36"/>
      <c r="E17300" s="1"/>
      <c r="F17300" s="1"/>
      <c r="G17300" s="1"/>
    </row>
    <row r="17301">
      <c r="B17301" s="36"/>
      <c r="C17301" s="36"/>
      <c r="E17301" s="1"/>
      <c r="F17301" s="1"/>
      <c r="G17301" s="1"/>
    </row>
    <row r="17302">
      <c r="B17302" s="36"/>
      <c r="C17302" s="36"/>
      <c r="E17302" s="1"/>
      <c r="F17302" s="1"/>
      <c r="G17302" s="1"/>
    </row>
    <row r="17303">
      <c r="B17303" s="36"/>
      <c r="C17303" s="36"/>
      <c r="E17303" s="1"/>
      <c r="F17303" s="1"/>
      <c r="G17303" s="1"/>
    </row>
    <row r="17304">
      <c r="B17304" s="36"/>
      <c r="C17304" s="36"/>
      <c r="E17304" s="1"/>
      <c r="F17304" s="1"/>
      <c r="G17304" s="1"/>
    </row>
    <row r="17305">
      <c r="B17305" s="36"/>
      <c r="C17305" s="36"/>
      <c r="E17305" s="1"/>
      <c r="F17305" s="1"/>
      <c r="G17305" s="1"/>
    </row>
    <row r="17306">
      <c r="B17306" s="36"/>
      <c r="C17306" s="36"/>
      <c r="E17306" s="1"/>
      <c r="F17306" s="1"/>
      <c r="G17306" s="1"/>
    </row>
    <row r="17307">
      <c r="B17307" s="36"/>
      <c r="C17307" s="36"/>
      <c r="E17307" s="1"/>
      <c r="F17307" s="1"/>
      <c r="G17307" s="1"/>
    </row>
    <row r="17308">
      <c r="B17308" s="36"/>
      <c r="C17308" s="36"/>
      <c r="E17308" s="1"/>
      <c r="F17308" s="1"/>
      <c r="G17308" s="1"/>
    </row>
    <row r="17309">
      <c r="B17309" s="36"/>
      <c r="C17309" s="36"/>
      <c r="E17309" s="1"/>
      <c r="F17309" s="1"/>
      <c r="G17309" s="1"/>
    </row>
    <row r="17310">
      <c r="B17310" s="36"/>
      <c r="C17310" s="36"/>
      <c r="E17310" s="1"/>
      <c r="F17310" s="1"/>
      <c r="G17310" s="1"/>
    </row>
    <row r="17311">
      <c r="B17311" s="36"/>
      <c r="C17311" s="36"/>
      <c r="E17311" s="1"/>
      <c r="F17311" s="1"/>
      <c r="G17311" s="1"/>
    </row>
    <row r="17312">
      <c r="B17312" s="36"/>
      <c r="C17312" s="36"/>
      <c r="E17312" s="1"/>
      <c r="F17312" s="1"/>
      <c r="G17312" s="1"/>
    </row>
    <row r="17313">
      <c r="B17313" s="36"/>
      <c r="C17313" s="36"/>
      <c r="E17313" s="1"/>
      <c r="F17313" s="1"/>
      <c r="G17313" s="1"/>
    </row>
    <row r="17314">
      <c r="B17314" s="36"/>
      <c r="C17314" s="36"/>
      <c r="E17314" s="1"/>
      <c r="F17314" s="1"/>
      <c r="G17314" s="1"/>
    </row>
    <row r="17315">
      <c r="B17315" s="36"/>
      <c r="C17315" s="36"/>
      <c r="E17315" s="1"/>
      <c r="F17315" s="1"/>
      <c r="G17315" s="1"/>
    </row>
    <row r="17316">
      <c r="B17316" s="36"/>
      <c r="C17316" s="36"/>
      <c r="E17316" s="1"/>
      <c r="F17316" s="1"/>
      <c r="G17316" s="1"/>
    </row>
    <row r="17317">
      <c r="B17317" s="36"/>
      <c r="C17317" s="36"/>
      <c r="E17317" s="1"/>
      <c r="F17317" s="1"/>
      <c r="G17317" s="1"/>
    </row>
    <row r="17318">
      <c r="B17318" s="36"/>
      <c r="C17318" s="36"/>
      <c r="E17318" s="1"/>
      <c r="F17318" s="1"/>
      <c r="G17318" s="1"/>
    </row>
    <row r="17319">
      <c r="B17319" s="36"/>
      <c r="C17319" s="36"/>
      <c r="E17319" s="1"/>
      <c r="F17319" s="1"/>
      <c r="G17319" s="1"/>
    </row>
    <row r="17320">
      <c r="B17320" s="36"/>
      <c r="C17320" s="36"/>
      <c r="E17320" s="1"/>
      <c r="F17320" s="1"/>
      <c r="G17320" s="1"/>
    </row>
    <row r="17321">
      <c r="B17321" s="36"/>
      <c r="C17321" s="36"/>
      <c r="E17321" s="1"/>
      <c r="F17321" s="1"/>
      <c r="G17321" s="1"/>
    </row>
    <row r="17322">
      <c r="B17322" s="36"/>
      <c r="C17322" s="36"/>
      <c r="E17322" s="1"/>
      <c r="F17322" s="1"/>
      <c r="G17322" s="1"/>
    </row>
    <row r="17323">
      <c r="B17323" s="36"/>
      <c r="C17323" s="36"/>
      <c r="E17323" s="1"/>
      <c r="F17323" s="1"/>
      <c r="G17323" s="1"/>
    </row>
    <row r="17324">
      <c r="B17324" s="36"/>
      <c r="C17324" s="36"/>
      <c r="E17324" s="1"/>
      <c r="F17324" s="1"/>
      <c r="G17324" s="1"/>
    </row>
    <row r="17325">
      <c r="B17325" s="36"/>
      <c r="C17325" s="36"/>
      <c r="E17325" s="1"/>
      <c r="F17325" s="1"/>
      <c r="G17325" s="1"/>
    </row>
    <row r="17326">
      <c r="B17326" s="36"/>
      <c r="C17326" s="36"/>
      <c r="E17326" s="1"/>
      <c r="F17326" s="1"/>
      <c r="G17326" s="1"/>
    </row>
    <row r="17327">
      <c r="B17327" s="36"/>
      <c r="C17327" s="36"/>
      <c r="E17327" s="1"/>
      <c r="F17327" s="1"/>
      <c r="G17327" s="1"/>
    </row>
    <row r="17328">
      <c r="B17328" s="36"/>
      <c r="C17328" s="36"/>
      <c r="E17328" s="1"/>
      <c r="F17328" s="1"/>
      <c r="G17328" s="1"/>
    </row>
    <row r="17329">
      <c r="B17329" s="36"/>
      <c r="C17329" s="36"/>
      <c r="E17329" s="1"/>
      <c r="F17329" s="1"/>
      <c r="G17329" s="1"/>
    </row>
    <row r="17330">
      <c r="B17330" s="36"/>
      <c r="C17330" s="36"/>
      <c r="E17330" s="1"/>
      <c r="F17330" s="1"/>
      <c r="G17330" s="1"/>
    </row>
    <row r="17331">
      <c r="B17331" s="36"/>
      <c r="C17331" s="36"/>
      <c r="E17331" s="1"/>
      <c r="F17331" s="1"/>
      <c r="G17331" s="1"/>
    </row>
    <row r="17332">
      <c r="B17332" s="36"/>
      <c r="C17332" s="36"/>
      <c r="E17332" s="1"/>
      <c r="F17332" s="1"/>
      <c r="G17332" s="1"/>
    </row>
    <row r="17333">
      <c r="B17333" s="36"/>
      <c r="C17333" s="36"/>
      <c r="E17333" s="1"/>
      <c r="F17333" s="1"/>
      <c r="G17333" s="1"/>
    </row>
    <row r="17334">
      <c r="B17334" s="36"/>
      <c r="C17334" s="36"/>
      <c r="E17334" s="1"/>
      <c r="F17334" s="1"/>
      <c r="G17334" s="1"/>
    </row>
    <row r="17335">
      <c r="B17335" s="36"/>
      <c r="C17335" s="36"/>
      <c r="E17335" s="1"/>
      <c r="F17335" s="1"/>
      <c r="G17335" s="1"/>
    </row>
    <row r="17336">
      <c r="B17336" s="36"/>
      <c r="C17336" s="36"/>
      <c r="E17336" s="1"/>
      <c r="F17336" s="1"/>
      <c r="G17336" s="1"/>
    </row>
    <row r="17337">
      <c r="B17337" s="36"/>
      <c r="C17337" s="36"/>
      <c r="E17337" s="1"/>
      <c r="F17337" s="1"/>
      <c r="G17337" s="1"/>
    </row>
    <row r="17338">
      <c r="B17338" s="36"/>
      <c r="C17338" s="36"/>
      <c r="E17338" s="1"/>
      <c r="F17338" s="1"/>
      <c r="G17338" s="1"/>
    </row>
    <row r="17339">
      <c r="B17339" s="36"/>
      <c r="C17339" s="36"/>
      <c r="E17339" s="1"/>
      <c r="F17339" s="1"/>
      <c r="G17339" s="1"/>
    </row>
    <row r="17340">
      <c r="B17340" s="36"/>
      <c r="C17340" s="36"/>
      <c r="E17340" s="1"/>
      <c r="F17340" s="1"/>
      <c r="G17340" s="1"/>
    </row>
    <row r="17341">
      <c r="B17341" s="36"/>
      <c r="C17341" s="36"/>
      <c r="E17341" s="1"/>
      <c r="F17341" s="1"/>
      <c r="G17341" s="1"/>
    </row>
    <row r="17342">
      <c r="B17342" s="36"/>
      <c r="C17342" s="36"/>
      <c r="E17342" s="1"/>
      <c r="F17342" s="1"/>
      <c r="G17342" s="1"/>
    </row>
    <row r="17343">
      <c r="B17343" s="36"/>
      <c r="C17343" s="36"/>
      <c r="E17343" s="1"/>
      <c r="F17343" s="1"/>
      <c r="G17343" s="1"/>
    </row>
    <row r="17344">
      <c r="B17344" s="36"/>
      <c r="C17344" s="36"/>
      <c r="E17344" s="1"/>
      <c r="F17344" s="1"/>
      <c r="G17344" s="1"/>
    </row>
    <row r="17345">
      <c r="B17345" s="36"/>
      <c r="C17345" s="36"/>
      <c r="E17345" s="1"/>
      <c r="F17345" s="1"/>
      <c r="G17345" s="1"/>
    </row>
    <row r="17346">
      <c r="B17346" s="36"/>
      <c r="C17346" s="36"/>
      <c r="E17346" s="1"/>
      <c r="F17346" s="1"/>
      <c r="G17346" s="1"/>
    </row>
    <row r="17347">
      <c r="B17347" s="36"/>
      <c r="C17347" s="36"/>
      <c r="E17347" s="1"/>
      <c r="F17347" s="1"/>
      <c r="G17347" s="1"/>
    </row>
    <row r="17348">
      <c r="B17348" s="36"/>
      <c r="C17348" s="36"/>
      <c r="E17348" s="1"/>
      <c r="F17348" s="1"/>
      <c r="G17348" s="1"/>
    </row>
    <row r="17349">
      <c r="B17349" s="36"/>
      <c r="C17349" s="36"/>
      <c r="E17349" s="1"/>
      <c r="F17349" s="1"/>
      <c r="G17349" s="1"/>
    </row>
    <row r="17350">
      <c r="B17350" s="36"/>
      <c r="C17350" s="36"/>
      <c r="E17350" s="1"/>
      <c r="F17350" s="1"/>
      <c r="G17350" s="1"/>
    </row>
    <row r="17351">
      <c r="B17351" s="36"/>
      <c r="C17351" s="36"/>
      <c r="E17351" s="1"/>
      <c r="F17351" s="1"/>
      <c r="G17351" s="1"/>
    </row>
    <row r="17352">
      <c r="B17352" s="36"/>
      <c r="C17352" s="36"/>
      <c r="E17352" s="1"/>
      <c r="F17352" s="1"/>
      <c r="G17352" s="1"/>
    </row>
    <row r="17353">
      <c r="B17353" s="36"/>
      <c r="C17353" s="36"/>
      <c r="E17353" s="1"/>
      <c r="F17353" s="1"/>
      <c r="G17353" s="1"/>
    </row>
    <row r="17354">
      <c r="B17354" s="36"/>
      <c r="C17354" s="36"/>
      <c r="E17354" s="1"/>
      <c r="F17354" s="1"/>
      <c r="G17354" s="1"/>
    </row>
    <row r="17355">
      <c r="B17355" s="36"/>
      <c r="C17355" s="36"/>
      <c r="E17355" s="1"/>
      <c r="F17355" s="1"/>
      <c r="G17355" s="1"/>
    </row>
    <row r="17356">
      <c r="B17356" s="36"/>
      <c r="C17356" s="36"/>
      <c r="E17356" s="1"/>
      <c r="F17356" s="1"/>
      <c r="G17356" s="1"/>
    </row>
    <row r="17357">
      <c r="B17357" s="36"/>
      <c r="C17357" s="36"/>
      <c r="E17357" s="1"/>
      <c r="F17357" s="1"/>
      <c r="G17357" s="1"/>
    </row>
    <row r="17358">
      <c r="B17358" s="36"/>
      <c r="C17358" s="36"/>
      <c r="E17358" s="1"/>
      <c r="F17358" s="1"/>
      <c r="G17358" s="1"/>
    </row>
    <row r="17359">
      <c r="B17359" s="36"/>
      <c r="C17359" s="36"/>
      <c r="E17359" s="1"/>
      <c r="F17359" s="1"/>
      <c r="G17359" s="1"/>
    </row>
    <row r="17360">
      <c r="B17360" s="36"/>
      <c r="C17360" s="36"/>
      <c r="E17360" s="1"/>
      <c r="F17360" s="1"/>
      <c r="G17360" s="1"/>
    </row>
    <row r="17361">
      <c r="B17361" s="36"/>
      <c r="C17361" s="36"/>
      <c r="E17361" s="1"/>
      <c r="F17361" s="1"/>
      <c r="G17361" s="1"/>
    </row>
    <row r="17362">
      <c r="B17362" s="36"/>
      <c r="C17362" s="36"/>
      <c r="E17362" s="1"/>
      <c r="F17362" s="1"/>
      <c r="G17362" s="1"/>
    </row>
    <row r="17363">
      <c r="B17363" s="36"/>
      <c r="C17363" s="36"/>
      <c r="E17363" s="1"/>
      <c r="F17363" s="1"/>
      <c r="G17363" s="1"/>
    </row>
    <row r="17364">
      <c r="B17364" s="36"/>
      <c r="C17364" s="36"/>
      <c r="E17364" s="1"/>
      <c r="F17364" s="1"/>
      <c r="G17364" s="1"/>
    </row>
    <row r="17365">
      <c r="B17365" s="36"/>
      <c r="C17365" s="36"/>
      <c r="E17365" s="1"/>
      <c r="F17365" s="1"/>
      <c r="G17365" s="1"/>
    </row>
    <row r="17366">
      <c r="B17366" s="36"/>
      <c r="C17366" s="36"/>
      <c r="E17366" s="1"/>
      <c r="F17366" s="1"/>
      <c r="G17366" s="1"/>
    </row>
    <row r="17367">
      <c r="B17367" s="36"/>
      <c r="C17367" s="36"/>
      <c r="E17367" s="1"/>
      <c r="F17367" s="1"/>
      <c r="G17367" s="1"/>
    </row>
    <row r="17368">
      <c r="B17368" s="36"/>
      <c r="C17368" s="36"/>
      <c r="E17368" s="1"/>
      <c r="F17368" s="1"/>
      <c r="G17368" s="1"/>
    </row>
    <row r="17369">
      <c r="B17369" s="36"/>
      <c r="C17369" s="36"/>
      <c r="E17369" s="1"/>
      <c r="F17369" s="1"/>
      <c r="G17369" s="1"/>
    </row>
    <row r="17370">
      <c r="B17370" s="36"/>
      <c r="C17370" s="36"/>
      <c r="E17370" s="1"/>
      <c r="F17370" s="1"/>
      <c r="G17370" s="1"/>
    </row>
    <row r="17371">
      <c r="B17371" s="36"/>
      <c r="C17371" s="36"/>
      <c r="E17371" s="1"/>
      <c r="F17371" s="1"/>
      <c r="G17371" s="1"/>
    </row>
    <row r="17372">
      <c r="B17372" s="36"/>
      <c r="C17372" s="36"/>
      <c r="E17372" s="1"/>
      <c r="F17372" s="1"/>
      <c r="G17372" s="1"/>
    </row>
    <row r="17373">
      <c r="B17373" s="36"/>
      <c r="C17373" s="36"/>
      <c r="E17373" s="1"/>
      <c r="F17373" s="1"/>
      <c r="G17373" s="1"/>
    </row>
    <row r="17374">
      <c r="B17374" s="36"/>
      <c r="C17374" s="36"/>
      <c r="E17374" s="1"/>
      <c r="F17374" s="1"/>
      <c r="G17374" s="1"/>
    </row>
    <row r="17375">
      <c r="B17375" s="36"/>
      <c r="C17375" s="36"/>
      <c r="E17375" s="1"/>
      <c r="F17375" s="1"/>
      <c r="G17375" s="1"/>
    </row>
    <row r="17376">
      <c r="B17376" s="36"/>
      <c r="C17376" s="36"/>
      <c r="E17376" s="1"/>
      <c r="F17376" s="1"/>
      <c r="G17376" s="1"/>
    </row>
    <row r="17377">
      <c r="B17377" s="36"/>
      <c r="C17377" s="36"/>
      <c r="E17377" s="1"/>
      <c r="F17377" s="1"/>
      <c r="G17377" s="1"/>
    </row>
    <row r="17378">
      <c r="B17378" s="36"/>
      <c r="C17378" s="36"/>
      <c r="E17378" s="1"/>
      <c r="F17378" s="1"/>
      <c r="G17378" s="1"/>
    </row>
    <row r="17379">
      <c r="B17379" s="36"/>
      <c r="C17379" s="36"/>
      <c r="E17379" s="1"/>
      <c r="F17379" s="1"/>
      <c r="G17379" s="1"/>
    </row>
    <row r="17380">
      <c r="B17380" s="36"/>
      <c r="C17380" s="36"/>
      <c r="E17380" s="1"/>
      <c r="F17380" s="1"/>
      <c r="G17380" s="1"/>
    </row>
    <row r="17381">
      <c r="B17381" s="36"/>
      <c r="C17381" s="36"/>
      <c r="E17381" s="1"/>
      <c r="F17381" s="1"/>
      <c r="G17381" s="1"/>
    </row>
    <row r="17382">
      <c r="B17382" s="36"/>
      <c r="C17382" s="36"/>
      <c r="E17382" s="1"/>
      <c r="F17382" s="1"/>
      <c r="G17382" s="1"/>
    </row>
    <row r="17383">
      <c r="B17383" s="36"/>
      <c r="C17383" s="36"/>
      <c r="E17383" s="1"/>
      <c r="F17383" s="1"/>
      <c r="G17383" s="1"/>
    </row>
    <row r="17384">
      <c r="B17384" s="36"/>
      <c r="C17384" s="36"/>
      <c r="E17384" s="1"/>
      <c r="F17384" s="1"/>
      <c r="G17384" s="1"/>
    </row>
    <row r="17385">
      <c r="B17385" s="36"/>
      <c r="C17385" s="36"/>
      <c r="E17385" s="1"/>
      <c r="F17385" s="1"/>
      <c r="G17385" s="1"/>
    </row>
    <row r="17386">
      <c r="B17386" s="36"/>
      <c r="C17386" s="36"/>
      <c r="E17386" s="1"/>
      <c r="F17386" s="1"/>
      <c r="G17386" s="1"/>
    </row>
    <row r="17387">
      <c r="B17387" s="36"/>
      <c r="C17387" s="36"/>
      <c r="E17387" s="1"/>
      <c r="F17387" s="1"/>
      <c r="G17387" s="1"/>
    </row>
    <row r="17388">
      <c r="B17388" s="36"/>
      <c r="C17388" s="36"/>
      <c r="E17388" s="1"/>
      <c r="F17388" s="1"/>
      <c r="G17388" s="1"/>
    </row>
    <row r="17389">
      <c r="B17389" s="36"/>
      <c r="C17389" s="36"/>
      <c r="E17389" s="1"/>
      <c r="F17389" s="1"/>
      <c r="G17389" s="1"/>
    </row>
    <row r="17390">
      <c r="B17390" s="36"/>
      <c r="C17390" s="36"/>
      <c r="E17390" s="1"/>
      <c r="F17390" s="1"/>
      <c r="G17390" s="1"/>
    </row>
    <row r="17391">
      <c r="B17391" s="36"/>
      <c r="C17391" s="36"/>
      <c r="E17391" s="1"/>
      <c r="F17391" s="1"/>
      <c r="G17391" s="1"/>
    </row>
    <row r="17392">
      <c r="B17392" s="36"/>
      <c r="C17392" s="36"/>
      <c r="E17392" s="1"/>
      <c r="F17392" s="1"/>
      <c r="G17392" s="1"/>
    </row>
    <row r="17393">
      <c r="B17393" s="36"/>
      <c r="C17393" s="36"/>
      <c r="E17393" s="1"/>
      <c r="F17393" s="1"/>
      <c r="G17393" s="1"/>
    </row>
    <row r="17394">
      <c r="B17394" s="36"/>
      <c r="C17394" s="36"/>
      <c r="E17394" s="1"/>
      <c r="F17394" s="1"/>
      <c r="G17394" s="1"/>
    </row>
    <row r="17395">
      <c r="B17395" s="36"/>
      <c r="C17395" s="36"/>
      <c r="E17395" s="1"/>
      <c r="F17395" s="1"/>
      <c r="G17395" s="1"/>
    </row>
    <row r="17396">
      <c r="B17396" s="36"/>
      <c r="C17396" s="36"/>
      <c r="E17396" s="1"/>
      <c r="F17396" s="1"/>
      <c r="G17396" s="1"/>
    </row>
    <row r="17397">
      <c r="B17397" s="36"/>
      <c r="C17397" s="36"/>
      <c r="E17397" s="1"/>
      <c r="F17397" s="1"/>
      <c r="G17397" s="1"/>
    </row>
    <row r="17398">
      <c r="B17398" s="36"/>
      <c r="C17398" s="36"/>
      <c r="E17398" s="1"/>
      <c r="F17398" s="1"/>
      <c r="G17398" s="1"/>
    </row>
    <row r="17399">
      <c r="B17399" s="36"/>
      <c r="C17399" s="36"/>
      <c r="E17399" s="1"/>
      <c r="F17399" s="1"/>
      <c r="G17399" s="1"/>
    </row>
    <row r="17400">
      <c r="B17400" s="36"/>
      <c r="C17400" s="36"/>
      <c r="E17400" s="1"/>
      <c r="F17400" s="1"/>
      <c r="G17400" s="1"/>
    </row>
    <row r="17401">
      <c r="B17401" s="36"/>
      <c r="C17401" s="36"/>
      <c r="E17401" s="1"/>
      <c r="F17401" s="1"/>
      <c r="G17401" s="1"/>
    </row>
    <row r="17402">
      <c r="B17402" s="36"/>
      <c r="C17402" s="36"/>
      <c r="E17402" s="1"/>
      <c r="F17402" s="1"/>
      <c r="G17402" s="1"/>
    </row>
    <row r="17403">
      <c r="B17403" s="36"/>
      <c r="C17403" s="36"/>
      <c r="E17403" s="1"/>
      <c r="F17403" s="1"/>
      <c r="G17403" s="1"/>
    </row>
    <row r="17404">
      <c r="B17404" s="36"/>
      <c r="C17404" s="36"/>
      <c r="E17404" s="1"/>
      <c r="F17404" s="1"/>
      <c r="G17404" s="1"/>
    </row>
    <row r="17405">
      <c r="B17405" s="36"/>
      <c r="C17405" s="36"/>
      <c r="E17405" s="1"/>
      <c r="F17405" s="1"/>
      <c r="G17405" s="1"/>
    </row>
    <row r="17406">
      <c r="B17406" s="36"/>
      <c r="C17406" s="36"/>
      <c r="E17406" s="1"/>
      <c r="F17406" s="1"/>
      <c r="G17406" s="1"/>
    </row>
    <row r="17407">
      <c r="B17407" s="36"/>
      <c r="C17407" s="36"/>
      <c r="E17407" s="1"/>
      <c r="F17407" s="1"/>
      <c r="G17407" s="1"/>
    </row>
    <row r="17408">
      <c r="B17408" s="36"/>
      <c r="C17408" s="36"/>
      <c r="E17408" s="1"/>
      <c r="F17408" s="1"/>
      <c r="G17408" s="1"/>
    </row>
    <row r="17409">
      <c r="B17409" s="36"/>
      <c r="C17409" s="36"/>
      <c r="E17409" s="1"/>
      <c r="F17409" s="1"/>
      <c r="G17409" s="1"/>
    </row>
    <row r="17410">
      <c r="B17410" s="36"/>
      <c r="C17410" s="36"/>
      <c r="E17410" s="1"/>
      <c r="F17410" s="1"/>
      <c r="G17410" s="1"/>
    </row>
    <row r="17411">
      <c r="B17411" s="36"/>
      <c r="C17411" s="36"/>
      <c r="E17411" s="1"/>
      <c r="F17411" s="1"/>
      <c r="G17411" s="1"/>
    </row>
    <row r="17412">
      <c r="B17412" s="36"/>
      <c r="C17412" s="36"/>
      <c r="E17412" s="1"/>
      <c r="F17412" s="1"/>
      <c r="G17412" s="1"/>
    </row>
    <row r="17413">
      <c r="B17413" s="36"/>
      <c r="C17413" s="36"/>
      <c r="E17413" s="1"/>
      <c r="F17413" s="1"/>
      <c r="G17413" s="1"/>
    </row>
    <row r="17414">
      <c r="B17414" s="36"/>
      <c r="C17414" s="36"/>
      <c r="E17414" s="1"/>
      <c r="F17414" s="1"/>
      <c r="G17414" s="1"/>
    </row>
    <row r="17415">
      <c r="B17415" s="36"/>
      <c r="C17415" s="36"/>
      <c r="E17415" s="1"/>
      <c r="F17415" s="1"/>
      <c r="G17415" s="1"/>
    </row>
    <row r="17416">
      <c r="B17416" s="36"/>
      <c r="C17416" s="36"/>
      <c r="E17416" s="1"/>
      <c r="F17416" s="1"/>
      <c r="G17416" s="1"/>
    </row>
    <row r="17417">
      <c r="B17417" s="36"/>
      <c r="C17417" s="36"/>
      <c r="E17417" s="1"/>
      <c r="F17417" s="1"/>
      <c r="G17417" s="1"/>
    </row>
    <row r="17418">
      <c r="B17418" s="36"/>
      <c r="C17418" s="36"/>
      <c r="E17418" s="1"/>
      <c r="F17418" s="1"/>
      <c r="G17418" s="1"/>
    </row>
    <row r="17419">
      <c r="B17419" s="36"/>
      <c r="C17419" s="36"/>
      <c r="E17419" s="1"/>
      <c r="F17419" s="1"/>
      <c r="G17419" s="1"/>
    </row>
    <row r="17420">
      <c r="B17420" s="36"/>
      <c r="C17420" s="36"/>
      <c r="E17420" s="1"/>
      <c r="F17420" s="1"/>
      <c r="G17420" s="1"/>
    </row>
    <row r="17421">
      <c r="B17421" s="36"/>
      <c r="C17421" s="36"/>
      <c r="E17421" s="1"/>
      <c r="F17421" s="1"/>
      <c r="G17421" s="1"/>
    </row>
    <row r="17422">
      <c r="B17422" s="36"/>
      <c r="C17422" s="36"/>
      <c r="E17422" s="1"/>
      <c r="F17422" s="1"/>
      <c r="G17422" s="1"/>
    </row>
    <row r="17423">
      <c r="B17423" s="36"/>
      <c r="C17423" s="36"/>
      <c r="E17423" s="1"/>
      <c r="F17423" s="1"/>
      <c r="G17423" s="1"/>
    </row>
    <row r="17424">
      <c r="B17424" s="36"/>
      <c r="C17424" s="36"/>
      <c r="E17424" s="1"/>
      <c r="F17424" s="1"/>
      <c r="G17424" s="1"/>
    </row>
    <row r="17425">
      <c r="B17425" s="36"/>
      <c r="C17425" s="36"/>
      <c r="E17425" s="1"/>
      <c r="F17425" s="1"/>
      <c r="G17425" s="1"/>
    </row>
    <row r="17426">
      <c r="B17426" s="36"/>
      <c r="C17426" s="36"/>
      <c r="E17426" s="1"/>
      <c r="F17426" s="1"/>
      <c r="G17426" s="1"/>
    </row>
    <row r="17427">
      <c r="B17427" s="36"/>
      <c r="C17427" s="36"/>
      <c r="E17427" s="1"/>
      <c r="F17427" s="1"/>
      <c r="G17427" s="1"/>
    </row>
    <row r="17428">
      <c r="B17428" s="36"/>
      <c r="C17428" s="36"/>
      <c r="E17428" s="1"/>
      <c r="F17428" s="1"/>
      <c r="G17428" s="1"/>
    </row>
    <row r="17429">
      <c r="B17429" s="36"/>
      <c r="C17429" s="36"/>
      <c r="E17429" s="1"/>
      <c r="F17429" s="1"/>
      <c r="G17429" s="1"/>
    </row>
    <row r="17430">
      <c r="B17430" s="36"/>
      <c r="C17430" s="36"/>
      <c r="E17430" s="1"/>
      <c r="F17430" s="1"/>
      <c r="G17430" s="1"/>
    </row>
    <row r="17431">
      <c r="B17431" s="36"/>
      <c r="C17431" s="36"/>
      <c r="E17431" s="1"/>
      <c r="F17431" s="1"/>
      <c r="G17431" s="1"/>
    </row>
    <row r="17432">
      <c r="B17432" s="36"/>
      <c r="C17432" s="36"/>
      <c r="E17432" s="1"/>
      <c r="F17432" s="1"/>
      <c r="G17432" s="1"/>
    </row>
    <row r="17433">
      <c r="B17433" s="36"/>
      <c r="C17433" s="36"/>
      <c r="E17433" s="1"/>
      <c r="F17433" s="1"/>
      <c r="G17433" s="1"/>
    </row>
    <row r="17434">
      <c r="B17434" s="36"/>
      <c r="C17434" s="36"/>
      <c r="E17434" s="1"/>
      <c r="F17434" s="1"/>
      <c r="G17434" s="1"/>
    </row>
    <row r="17435">
      <c r="B17435" s="36"/>
      <c r="C17435" s="36"/>
      <c r="E17435" s="1"/>
      <c r="F17435" s="1"/>
      <c r="G17435" s="1"/>
    </row>
    <row r="17436">
      <c r="B17436" s="36"/>
      <c r="C17436" s="36"/>
      <c r="E17436" s="1"/>
      <c r="F17436" s="1"/>
      <c r="G17436" s="1"/>
    </row>
    <row r="17437">
      <c r="B17437" s="36"/>
      <c r="C17437" s="36"/>
      <c r="E17437" s="1"/>
      <c r="F17437" s="1"/>
      <c r="G17437" s="1"/>
    </row>
    <row r="17438">
      <c r="B17438" s="36"/>
      <c r="C17438" s="36"/>
      <c r="E17438" s="1"/>
      <c r="F17438" s="1"/>
      <c r="G17438" s="1"/>
    </row>
    <row r="17439">
      <c r="B17439" s="36"/>
      <c r="C17439" s="36"/>
      <c r="E17439" s="1"/>
      <c r="F17439" s="1"/>
      <c r="G17439" s="1"/>
    </row>
    <row r="17440">
      <c r="B17440" s="36"/>
      <c r="C17440" s="36"/>
      <c r="E17440" s="1"/>
      <c r="F17440" s="1"/>
      <c r="G17440" s="1"/>
    </row>
    <row r="17441">
      <c r="B17441" s="36"/>
      <c r="C17441" s="36"/>
      <c r="E17441" s="1"/>
      <c r="F17441" s="1"/>
      <c r="G17441" s="1"/>
    </row>
    <row r="17442">
      <c r="B17442" s="36"/>
      <c r="C17442" s="36"/>
      <c r="E17442" s="1"/>
      <c r="F17442" s="1"/>
      <c r="G17442" s="1"/>
    </row>
    <row r="17443">
      <c r="B17443" s="36"/>
      <c r="C17443" s="36"/>
      <c r="E17443" s="1"/>
      <c r="F17443" s="1"/>
      <c r="G17443" s="1"/>
    </row>
    <row r="17444">
      <c r="B17444" s="36"/>
      <c r="C17444" s="36"/>
      <c r="E17444" s="1"/>
      <c r="F17444" s="1"/>
      <c r="G17444" s="1"/>
    </row>
    <row r="17445">
      <c r="B17445" s="36"/>
      <c r="C17445" s="36"/>
      <c r="E17445" s="1"/>
      <c r="F17445" s="1"/>
      <c r="G17445" s="1"/>
    </row>
    <row r="17446">
      <c r="B17446" s="36"/>
      <c r="C17446" s="36"/>
      <c r="E17446" s="1"/>
      <c r="F17446" s="1"/>
      <c r="G17446" s="1"/>
    </row>
    <row r="17447">
      <c r="B17447" s="36"/>
      <c r="C17447" s="36"/>
      <c r="E17447" s="1"/>
      <c r="F17447" s="1"/>
      <c r="G17447" s="1"/>
    </row>
    <row r="17448">
      <c r="B17448" s="36"/>
      <c r="C17448" s="36"/>
      <c r="E17448" s="1"/>
      <c r="F17448" s="1"/>
      <c r="G17448" s="1"/>
    </row>
    <row r="17449">
      <c r="B17449" s="36"/>
      <c r="C17449" s="36"/>
      <c r="E17449" s="1"/>
      <c r="F17449" s="1"/>
      <c r="G17449" s="1"/>
    </row>
    <row r="17450">
      <c r="B17450" s="36"/>
      <c r="C17450" s="36"/>
      <c r="E17450" s="1"/>
      <c r="F17450" s="1"/>
      <c r="G17450" s="1"/>
    </row>
    <row r="17451">
      <c r="B17451" s="36"/>
      <c r="C17451" s="36"/>
      <c r="E17451" s="1"/>
      <c r="F17451" s="1"/>
      <c r="G17451" s="1"/>
    </row>
    <row r="17452">
      <c r="B17452" s="36"/>
      <c r="C17452" s="36"/>
      <c r="E17452" s="1"/>
      <c r="F17452" s="1"/>
      <c r="G17452" s="1"/>
    </row>
    <row r="17453">
      <c r="B17453" s="36"/>
      <c r="C17453" s="36"/>
      <c r="E17453" s="1"/>
      <c r="F17453" s="1"/>
      <c r="G17453" s="1"/>
    </row>
    <row r="17454">
      <c r="B17454" s="36"/>
      <c r="C17454" s="36"/>
      <c r="E17454" s="1"/>
      <c r="F17454" s="1"/>
      <c r="G17454" s="1"/>
    </row>
    <row r="17455">
      <c r="B17455" s="36"/>
      <c r="C17455" s="36"/>
      <c r="E17455" s="1"/>
      <c r="F17455" s="1"/>
      <c r="G17455" s="1"/>
    </row>
    <row r="17456">
      <c r="B17456" s="36"/>
      <c r="C17456" s="36"/>
      <c r="E17456" s="1"/>
      <c r="F17456" s="1"/>
      <c r="G17456" s="1"/>
    </row>
    <row r="17457">
      <c r="B17457" s="36"/>
      <c r="C17457" s="36"/>
      <c r="E17457" s="1"/>
      <c r="F17457" s="1"/>
      <c r="G17457" s="1"/>
    </row>
    <row r="17458">
      <c r="B17458" s="36"/>
      <c r="C17458" s="36"/>
      <c r="E17458" s="1"/>
      <c r="F17458" s="1"/>
      <c r="G17458" s="1"/>
    </row>
    <row r="17459">
      <c r="B17459" s="36"/>
      <c r="C17459" s="36"/>
      <c r="E17459" s="1"/>
      <c r="F17459" s="1"/>
      <c r="G17459" s="1"/>
    </row>
    <row r="17460">
      <c r="B17460" s="36"/>
      <c r="C17460" s="36"/>
      <c r="E17460" s="1"/>
      <c r="F17460" s="1"/>
      <c r="G17460" s="1"/>
    </row>
    <row r="17461">
      <c r="B17461" s="36"/>
      <c r="C17461" s="36"/>
      <c r="E17461" s="1"/>
      <c r="F17461" s="1"/>
      <c r="G17461" s="1"/>
    </row>
    <row r="17462">
      <c r="B17462" s="36"/>
      <c r="C17462" s="36"/>
      <c r="E17462" s="1"/>
      <c r="F17462" s="1"/>
      <c r="G17462" s="1"/>
    </row>
    <row r="17463">
      <c r="B17463" s="36"/>
      <c r="C17463" s="36"/>
      <c r="E17463" s="1"/>
      <c r="F17463" s="1"/>
      <c r="G17463" s="1"/>
    </row>
    <row r="17464">
      <c r="B17464" s="36"/>
      <c r="C17464" s="36"/>
      <c r="E17464" s="1"/>
      <c r="F17464" s="1"/>
      <c r="G17464" s="1"/>
    </row>
    <row r="17465">
      <c r="B17465" s="36"/>
      <c r="C17465" s="36"/>
      <c r="E17465" s="1"/>
      <c r="F17465" s="1"/>
      <c r="G17465" s="1"/>
    </row>
    <row r="17466">
      <c r="B17466" s="36"/>
      <c r="C17466" s="36"/>
      <c r="E17466" s="1"/>
      <c r="F17466" s="1"/>
      <c r="G17466" s="1"/>
    </row>
    <row r="17467">
      <c r="B17467" s="36"/>
      <c r="C17467" s="36"/>
      <c r="E17467" s="1"/>
      <c r="F17467" s="1"/>
      <c r="G17467" s="1"/>
    </row>
    <row r="17468">
      <c r="B17468" s="36"/>
      <c r="C17468" s="36"/>
      <c r="E17468" s="1"/>
      <c r="F17468" s="1"/>
      <c r="G17468" s="1"/>
    </row>
    <row r="17469">
      <c r="B17469" s="36"/>
      <c r="C17469" s="36"/>
      <c r="E17469" s="1"/>
      <c r="F17469" s="1"/>
      <c r="G17469" s="1"/>
    </row>
    <row r="17470">
      <c r="B17470" s="36"/>
      <c r="C17470" s="36"/>
      <c r="E17470" s="1"/>
      <c r="F17470" s="1"/>
      <c r="G17470" s="1"/>
    </row>
    <row r="17471">
      <c r="B17471" s="36"/>
      <c r="C17471" s="36"/>
      <c r="E17471" s="1"/>
      <c r="F17471" s="1"/>
      <c r="G17471" s="1"/>
    </row>
    <row r="17472">
      <c r="B17472" s="36"/>
      <c r="C17472" s="36"/>
      <c r="E17472" s="1"/>
      <c r="F17472" s="1"/>
      <c r="G17472" s="1"/>
    </row>
    <row r="17473">
      <c r="B17473" s="36"/>
      <c r="C17473" s="36"/>
      <c r="E17473" s="1"/>
      <c r="F17473" s="1"/>
      <c r="G17473" s="1"/>
    </row>
    <row r="17474">
      <c r="B17474" s="36"/>
      <c r="C17474" s="36"/>
      <c r="E17474" s="1"/>
      <c r="F17474" s="1"/>
      <c r="G17474" s="1"/>
    </row>
    <row r="17475">
      <c r="B17475" s="36"/>
      <c r="C17475" s="36"/>
      <c r="E17475" s="1"/>
      <c r="F17475" s="1"/>
      <c r="G17475" s="1"/>
    </row>
    <row r="17476">
      <c r="B17476" s="36"/>
      <c r="C17476" s="36"/>
      <c r="E17476" s="1"/>
      <c r="F17476" s="1"/>
      <c r="G17476" s="1"/>
    </row>
    <row r="17477">
      <c r="B17477" s="36"/>
      <c r="C17477" s="36"/>
      <c r="E17477" s="1"/>
      <c r="F17477" s="1"/>
      <c r="G17477" s="1"/>
    </row>
    <row r="17478">
      <c r="B17478" s="36"/>
      <c r="C17478" s="36"/>
      <c r="E17478" s="1"/>
      <c r="F17478" s="1"/>
      <c r="G17478" s="1"/>
    </row>
    <row r="17479">
      <c r="B17479" s="36"/>
      <c r="C17479" s="36"/>
      <c r="E17479" s="1"/>
      <c r="F17479" s="1"/>
      <c r="G17479" s="1"/>
    </row>
    <row r="17480">
      <c r="B17480" s="36"/>
      <c r="C17480" s="36"/>
      <c r="E17480" s="1"/>
      <c r="F17480" s="1"/>
      <c r="G17480" s="1"/>
    </row>
    <row r="17481">
      <c r="B17481" s="36"/>
      <c r="C17481" s="36"/>
      <c r="E17481" s="1"/>
      <c r="F17481" s="1"/>
      <c r="G17481" s="1"/>
    </row>
    <row r="17482">
      <c r="B17482" s="36"/>
      <c r="C17482" s="36"/>
      <c r="E17482" s="1"/>
      <c r="F17482" s="1"/>
      <c r="G17482" s="1"/>
    </row>
    <row r="17483">
      <c r="B17483" s="36"/>
      <c r="C17483" s="36"/>
      <c r="E17483" s="1"/>
      <c r="F17483" s="1"/>
      <c r="G17483" s="1"/>
    </row>
    <row r="17484">
      <c r="B17484" s="36"/>
      <c r="C17484" s="36"/>
      <c r="E17484" s="1"/>
      <c r="F17484" s="1"/>
      <c r="G17484" s="1"/>
    </row>
    <row r="17485">
      <c r="B17485" s="36"/>
      <c r="C17485" s="36"/>
      <c r="E17485" s="1"/>
      <c r="F17485" s="1"/>
      <c r="G17485" s="1"/>
    </row>
    <row r="17486">
      <c r="B17486" s="36"/>
      <c r="C17486" s="36"/>
      <c r="E17486" s="1"/>
      <c r="F17486" s="1"/>
      <c r="G17486" s="1"/>
    </row>
    <row r="17487">
      <c r="B17487" s="36"/>
      <c r="C17487" s="36"/>
      <c r="E17487" s="1"/>
      <c r="F17487" s="1"/>
      <c r="G17487" s="1"/>
    </row>
    <row r="17488">
      <c r="B17488" s="36"/>
      <c r="C17488" s="36"/>
      <c r="E17488" s="1"/>
      <c r="F17488" s="1"/>
      <c r="G17488" s="1"/>
    </row>
    <row r="17489">
      <c r="B17489" s="36"/>
      <c r="C17489" s="36"/>
      <c r="E17489" s="1"/>
      <c r="F17489" s="1"/>
      <c r="G17489" s="1"/>
    </row>
    <row r="17490">
      <c r="B17490" s="36"/>
      <c r="C17490" s="36"/>
      <c r="E17490" s="1"/>
      <c r="F17490" s="1"/>
      <c r="G17490" s="1"/>
    </row>
    <row r="17491">
      <c r="B17491" s="36"/>
      <c r="C17491" s="36"/>
      <c r="E17491" s="1"/>
      <c r="F17491" s="1"/>
      <c r="G17491" s="1"/>
    </row>
    <row r="17492">
      <c r="B17492" s="36"/>
      <c r="C17492" s="36"/>
      <c r="E17492" s="1"/>
      <c r="F17492" s="1"/>
      <c r="G17492" s="1"/>
    </row>
    <row r="17493">
      <c r="B17493" s="36"/>
      <c r="C17493" s="36"/>
      <c r="E17493" s="1"/>
      <c r="F17493" s="1"/>
      <c r="G17493" s="1"/>
    </row>
    <row r="17494">
      <c r="B17494" s="36"/>
      <c r="C17494" s="36"/>
      <c r="E17494" s="1"/>
      <c r="F17494" s="1"/>
      <c r="G17494" s="1"/>
    </row>
    <row r="17495">
      <c r="B17495" s="36"/>
      <c r="C17495" s="36"/>
      <c r="E17495" s="1"/>
      <c r="F17495" s="1"/>
      <c r="G17495" s="1"/>
    </row>
    <row r="17496">
      <c r="B17496" s="36"/>
      <c r="C17496" s="36"/>
      <c r="E17496" s="1"/>
      <c r="F17496" s="1"/>
      <c r="G17496" s="1"/>
    </row>
    <row r="17497">
      <c r="B17497" s="36"/>
      <c r="C17497" s="36"/>
      <c r="E17497" s="1"/>
      <c r="F17497" s="1"/>
      <c r="G17497" s="1"/>
    </row>
    <row r="17498">
      <c r="B17498" s="36"/>
      <c r="C17498" s="36"/>
      <c r="E17498" s="1"/>
      <c r="F17498" s="1"/>
      <c r="G17498" s="1"/>
    </row>
    <row r="17499">
      <c r="B17499" s="36"/>
      <c r="C17499" s="36"/>
      <c r="E17499" s="1"/>
      <c r="F17499" s="1"/>
      <c r="G17499" s="1"/>
    </row>
    <row r="17500">
      <c r="B17500" s="36"/>
      <c r="C17500" s="36"/>
      <c r="E17500" s="1"/>
      <c r="F17500" s="1"/>
      <c r="G17500" s="1"/>
    </row>
    <row r="17501">
      <c r="B17501" s="36"/>
      <c r="C17501" s="36"/>
      <c r="E17501" s="1"/>
      <c r="F17501" s="1"/>
      <c r="G17501" s="1"/>
    </row>
    <row r="17502">
      <c r="B17502" s="36"/>
      <c r="C17502" s="36"/>
      <c r="E17502" s="1"/>
      <c r="F17502" s="1"/>
      <c r="G17502" s="1"/>
    </row>
    <row r="17503">
      <c r="B17503" s="36"/>
      <c r="C17503" s="36"/>
      <c r="E17503" s="1"/>
      <c r="F17503" s="1"/>
      <c r="G17503" s="1"/>
    </row>
    <row r="17504">
      <c r="B17504" s="36"/>
      <c r="C17504" s="36"/>
      <c r="E17504" s="1"/>
      <c r="F17504" s="1"/>
      <c r="G17504" s="1"/>
    </row>
    <row r="17505">
      <c r="B17505" s="36"/>
      <c r="C17505" s="36"/>
      <c r="E17505" s="1"/>
      <c r="F17505" s="1"/>
      <c r="G17505" s="1"/>
    </row>
    <row r="17506">
      <c r="B17506" s="36"/>
      <c r="C17506" s="36"/>
      <c r="E17506" s="1"/>
      <c r="F17506" s="1"/>
      <c r="G17506" s="1"/>
    </row>
    <row r="17507">
      <c r="B17507" s="36"/>
      <c r="C17507" s="36"/>
      <c r="E17507" s="1"/>
      <c r="F17507" s="1"/>
      <c r="G17507" s="1"/>
    </row>
    <row r="17508">
      <c r="B17508" s="36"/>
      <c r="C17508" s="36"/>
      <c r="E17508" s="1"/>
      <c r="F17508" s="1"/>
      <c r="G17508" s="1"/>
    </row>
    <row r="17509">
      <c r="B17509" s="36"/>
      <c r="C17509" s="36"/>
      <c r="E17509" s="1"/>
      <c r="F17509" s="1"/>
      <c r="G17509" s="1"/>
    </row>
    <row r="17510">
      <c r="B17510" s="36"/>
      <c r="C17510" s="36"/>
      <c r="E17510" s="1"/>
      <c r="F17510" s="1"/>
      <c r="G17510" s="1"/>
    </row>
    <row r="17511">
      <c r="B17511" s="36"/>
      <c r="C17511" s="36"/>
      <c r="E17511" s="1"/>
      <c r="F17511" s="1"/>
      <c r="G17511" s="1"/>
    </row>
    <row r="17512">
      <c r="B17512" s="36"/>
      <c r="C17512" s="36"/>
      <c r="E17512" s="1"/>
      <c r="F17512" s="1"/>
      <c r="G17512" s="1"/>
    </row>
    <row r="17513">
      <c r="B17513" s="36"/>
      <c r="C17513" s="36"/>
      <c r="E17513" s="1"/>
      <c r="F17513" s="1"/>
      <c r="G17513" s="1"/>
    </row>
    <row r="17514">
      <c r="B17514" s="36"/>
      <c r="C17514" s="36"/>
      <c r="E17514" s="1"/>
      <c r="F17514" s="1"/>
      <c r="G17514" s="1"/>
    </row>
    <row r="17515">
      <c r="B17515" s="36"/>
      <c r="C17515" s="36"/>
      <c r="E17515" s="1"/>
      <c r="F17515" s="1"/>
      <c r="G17515" s="1"/>
    </row>
    <row r="17516">
      <c r="B17516" s="36"/>
      <c r="C17516" s="36"/>
      <c r="E17516" s="1"/>
      <c r="F17516" s="1"/>
      <c r="G17516" s="1"/>
    </row>
    <row r="17517">
      <c r="B17517" s="36"/>
      <c r="C17517" s="36"/>
      <c r="E17517" s="1"/>
      <c r="F17517" s="1"/>
      <c r="G17517" s="1"/>
    </row>
    <row r="17518">
      <c r="B17518" s="36"/>
      <c r="C17518" s="36"/>
      <c r="E17518" s="1"/>
      <c r="F17518" s="1"/>
      <c r="G17518" s="1"/>
    </row>
    <row r="17519">
      <c r="B17519" s="36"/>
      <c r="C17519" s="36"/>
      <c r="E17519" s="1"/>
      <c r="F17519" s="1"/>
      <c r="G17519" s="1"/>
    </row>
    <row r="17520">
      <c r="B17520" s="36"/>
      <c r="C17520" s="36"/>
      <c r="E17520" s="1"/>
      <c r="F17520" s="1"/>
      <c r="G17520" s="1"/>
    </row>
    <row r="17521">
      <c r="B17521" s="36"/>
      <c r="C17521" s="36"/>
      <c r="E17521" s="1"/>
      <c r="F17521" s="1"/>
      <c r="G17521" s="1"/>
    </row>
    <row r="17522">
      <c r="B17522" s="36"/>
      <c r="C17522" s="36"/>
      <c r="E17522" s="1"/>
      <c r="F17522" s="1"/>
      <c r="G17522" s="1"/>
    </row>
    <row r="17523">
      <c r="B17523" s="36"/>
      <c r="C17523" s="36"/>
      <c r="E17523" s="1"/>
      <c r="F17523" s="1"/>
      <c r="G17523" s="1"/>
    </row>
    <row r="17524">
      <c r="B17524" s="36"/>
      <c r="C17524" s="36"/>
      <c r="E17524" s="1"/>
      <c r="F17524" s="1"/>
      <c r="G17524" s="1"/>
    </row>
    <row r="17525">
      <c r="B17525" s="36"/>
      <c r="C17525" s="36"/>
      <c r="E17525" s="1"/>
      <c r="F17525" s="1"/>
      <c r="G17525" s="1"/>
    </row>
    <row r="17526">
      <c r="B17526" s="36"/>
      <c r="C17526" s="36"/>
      <c r="E17526" s="1"/>
      <c r="F17526" s="1"/>
      <c r="G17526" s="1"/>
    </row>
    <row r="17527">
      <c r="B17527" s="36"/>
      <c r="C17527" s="36"/>
      <c r="E17527" s="1"/>
      <c r="F17527" s="1"/>
      <c r="G17527" s="1"/>
    </row>
    <row r="17528">
      <c r="B17528" s="36"/>
      <c r="C17528" s="36"/>
      <c r="E17528" s="1"/>
      <c r="F17528" s="1"/>
      <c r="G17528" s="1"/>
    </row>
    <row r="17529">
      <c r="B17529" s="36"/>
      <c r="C17529" s="36"/>
      <c r="E17529" s="1"/>
      <c r="F17529" s="1"/>
      <c r="G17529" s="1"/>
    </row>
    <row r="17530">
      <c r="B17530" s="36"/>
      <c r="C17530" s="36"/>
      <c r="E17530" s="1"/>
      <c r="F17530" s="1"/>
      <c r="G17530" s="1"/>
    </row>
    <row r="17531">
      <c r="B17531" s="36"/>
      <c r="C17531" s="36"/>
      <c r="E17531" s="1"/>
      <c r="F17531" s="1"/>
      <c r="G17531" s="1"/>
    </row>
    <row r="17532">
      <c r="B17532" s="36"/>
      <c r="C17532" s="36"/>
      <c r="E17532" s="1"/>
      <c r="F17532" s="1"/>
      <c r="G17532" s="1"/>
    </row>
    <row r="17533">
      <c r="B17533" s="36"/>
      <c r="C17533" s="36"/>
      <c r="E17533" s="1"/>
      <c r="F17533" s="1"/>
      <c r="G17533" s="1"/>
    </row>
    <row r="17534">
      <c r="B17534" s="36"/>
      <c r="C17534" s="36"/>
      <c r="E17534" s="1"/>
      <c r="F17534" s="1"/>
      <c r="G17534" s="1"/>
    </row>
    <row r="17535">
      <c r="B17535" s="36"/>
      <c r="C17535" s="36"/>
      <c r="E17535" s="1"/>
      <c r="F17535" s="1"/>
      <c r="G17535" s="1"/>
    </row>
    <row r="17536">
      <c r="B17536" s="36"/>
      <c r="C17536" s="36"/>
      <c r="E17536" s="1"/>
      <c r="F17536" s="1"/>
      <c r="G17536" s="1"/>
    </row>
    <row r="17537">
      <c r="B17537" s="36"/>
      <c r="C17537" s="36"/>
      <c r="E17537" s="1"/>
      <c r="F17537" s="1"/>
      <c r="G17537" s="1"/>
    </row>
    <row r="17538">
      <c r="B17538" s="36"/>
      <c r="C17538" s="36"/>
      <c r="E17538" s="1"/>
      <c r="F17538" s="1"/>
      <c r="G17538" s="1"/>
    </row>
    <row r="17539">
      <c r="B17539" s="36"/>
      <c r="C17539" s="36"/>
      <c r="E17539" s="1"/>
      <c r="F17539" s="1"/>
      <c r="G17539" s="1"/>
    </row>
    <row r="17540">
      <c r="B17540" s="36"/>
      <c r="C17540" s="36"/>
      <c r="E17540" s="1"/>
      <c r="F17540" s="1"/>
      <c r="G17540" s="1"/>
    </row>
    <row r="17541">
      <c r="B17541" s="36"/>
      <c r="C17541" s="36"/>
      <c r="E17541" s="1"/>
      <c r="F17541" s="1"/>
      <c r="G17541" s="1"/>
    </row>
    <row r="17542">
      <c r="B17542" s="36"/>
      <c r="C17542" s="36"/>
      <c r="E17542" s="1"/>
      <c r="F17542" s="1"/>
      <c r="G17542" s="1"/>
    </row>
    <row r="17543">
      <c r="B17543" s="36"/>
      <c r="C17543" s="36"/>
      <c r="E17543" s="1"/>
      <c r="F17543" s="1"/>
      <c r="G17543" s="1"/>
    </row>
    <row r="17544">
      <c r="B17544" s="36"/>
      <c r="C17544" s="36"/>
      <c r="E17544" s="1"/>
      <c r="F17544" s="1"/>
      <c r="G17544" s="1"/>
    </row>
    <row r="17545">
      <c r="B17545" s="36"/>
      <c r="C17545" s="36"/>
      <c r="E17545" s="1"/>
      <c r="F17545" s="1"/>
      <c r="G17545" s="1"/>
    </row>
    <row r="17546">
      <c r="B17546" s="36"/>
      <c r="C17546" s="36"/>
      <c r="E17546" s="1"/>
      <c r="F17546" s="1"/>
      <c r="G17546" s="1"/>
    </row>
    <row r="17547">
      <c r="B17547" s="36"/>
      <c r="C17547" s="36"/>
      <c r="E17547" s="1"/>
      <c r="F17547" s="1"/>
      <c r="G17547" s="1"/>
    </row>
    <row r="17548">
      <c r="B17548" s="36"/>
      <c r="C17548" s="36"/>
      <c r="E17548" s="1"/>
      <c r="F17548" s="1"/>
      <c r="G17548" s="1"/>
    </row>
    <row r="17549">
      <c r="B17549" s="36"/>
      <c r="C17549" s="36"/>
      <c r="E17549" s="1"/>
      <c r="F17549" s="1"/>
      <c r="G17549" s="1"/>
    </row>
    <row r="17550">
      <c r="B17550" s="36"/>
      <c r="C17550" s="36"/>
      <c r="E17550" s="1"/>
      <c r="F17550" s="1"/>
      <c r="G17550" s="1"/>
    </row>
    <row r="17551">
      <c r="B17551" s="36"/>
      <c r="C17551" s="36"/>
      <c r="E17551" s="1"/>
      <c r="F17551" s="1"/>
      <c r="G17551" s="1"/>
    </row>
    <row r="17552">
      <c r="B17552" s="36"/>
      <c r="C17552" s="36"/>
      <c r="E17552" s="1"/>
      <c r="F17552" s="1"/>
      <c r="G17552" s="1"/>
    </row>
    <row r="17553">
      <c r="B17553" s="36"/>
      <c r="C17553" s="36"/>
      <c r="E17553" s="1"/>
      <c r="F17553" s="1"/>
      <c r="G17553" s="1"/>
    </row>
    <row r="17554">
      <c r="B17554" s="36"/>
      <c r="C17554" s="36"/>
      <c r="E17554" s="1"/>
      <c r="F17554" s="1"/>
      <c r="G17554" s="1"/>
    </row>
    <row r="17555">
      <c r="B17555" s="36"/>
      <c r="C17555" s="36"/>
      <c r="E17555" s="1"/>
      <c r="F17555" s="1"/>
      <c r="G17555" s="1"/>
    </row>
    <row r="17556">
      <c r="B17556" s="36"/>
      <c r="C17556" s="36"/>
      <c r="E17556" s="1"/>
      <c r="F17556" s="1"/>
      <c r="G17556" s="1"/>
    </row>
    <row r="17557">
      <c r="B17557" s="36"/>
      <c r="C17557" s="36"/>
      <c r="E17557" s="1"/>
      <c r="F17557" s="1"/>
      <c r="G17557" s="1"/>
    </row>
    <row r="17558">
      <c r="B17558" s="36"/>
      <c r="C17558" s="36"/>
      <c r="E17558" s="1"/>
      <c r="F17558" s="1"/>
      <c r="G17558" s="1"/>
    </row>
    <row r="17559">
      <c r="B17559" s="36"/>
      <c r="C17559" s="36"/>
      <c r="E17559" s="1"/>
      <c r="F17559" s="1"/>
      <c r="G17559" s="1"/>
    </row>
    <row r="17560">
      <c r="B17560" s="36"/>
      <c r="C17560" s="36"/>
      <c r="E17560" s="1"/>
      <c r="F17560" s="1"/>
      <c r="G17560" s="1"/>
    </row>
    <row r="17561">
      <c r="B17561" s="36"/>
      <c r="C17561" s="36"/>
      <c r="E17561" s="1"/>
      <c r="F17561" s="1"/>
      <c r="G17561" s="1"/>
    </row>
    <row r="17562">
      <c r="B17562" s="36"/>
      <c r="C17562" s="36"/>
      <c r="E17562" s="1"/>
      <c r="F17562" s="1"/>
      <c r="G17562" s="1"/>
    </row>
    <row r="17563">
      <c r="B17563" s="36"/>
      <c r="C17563" s="36"/>
      <c r="E17563" s="1"/>
      <c r="F17563" s="1"/>
      <c r="G17563" s="1"/>
    </row>
    <row r="17564">
      <c r="B17564" s="36"/>
      <c r="C17564" s="36"/>
      <c r="E17564" s="1"/>
      <c r="F17564" s="1"/>
      <c r="G17564" s="1"/>
    </row>
    <row r="17565">
      <c r="B17565" s="36"/>
      <c r="C17565" s="36"/>
      <c r="E17565" s="1"/>
      <c r="F17565" s="1"/>
      <c r="G17565" s="1"/>
    </row>
    <row r="17566">
      <c r="B17566" s="36"/>
      <c r="C17566" s="36"/>
      <c r="E17566" s="1"/>
      <c r="F17566" s="1"/>
      <c r="G17566" s="1"/>
    </row>
    <row r="17567">
      <c r="B17567" s="36"/>
      <c r="C17567" s="36"/>
      <c r="E17567" s="1"/>
      <c r="F17567" s="1"/>
      <c r="G17567" s="1"/>
    </row>
    <row r="17568">
      <c r="B17568" s="36"/>
      <c r="C17568" s="36"/>
      <c r="E17568" s="1"/>
      <c r="F17568" s="1"/>
      <c r="G17568" s="1"/>
    </row>
    <row r="17569">
      <c r="B17569" s="36"/>
      <c r="C17569" s="36"/>
      <c r="E17569" s="1"/>
      <c r="F17569" s="1"/>
      <c r="G17569" s="1"/>
    </row>
    <row r="17570">
      <c r="B17570" s="36"/>
      <c r="C17570" s="36"/>
      <c r="E17570" s="1"/>
      <c r="F17570" s="1"/>
      <c r="G17570" s="1"/>
    </row>
    <row r="17571">
      <c r="B17571" s="36"/>
      <c r="C17571" s="36"/>
      <c r="E17571" s="1"/>
      <c r="F17571" s="1"/>
      <c r="G17571" s="1"/>
    </row>
    <row r="17572">
      <c r="B17572" s="36"/>
      <c r="C17572" s="36"/>
      <c r="E17572" s="1"/>
      <c r="F17572" s="1"/>
      <c r="G17572" s="1"/>
    </row>
    <row r="17573">
      <c r="B17573" s="36"/>
      <c r="C17573" s="36"/>
      <c r="E17573" s="1"/>
      <c r="F17573" s="1"/>
      <c r="G17573" s="1"/>
    </row>
    <row r="17574">
      <c r="B17574" s="36"/>
      <c r="C17574" s="36"/>
      <c r="E17574" s="1"/>
      <c r="F17574" s="1"/>
      <c r="G17574" s="1"/>
    </row>
    <row r="17575">
      <c r="B17575" s="36"/>
      <c r="C17575" s="36"/>
      <c r="E17575" s="1"/>
      <c r="F17575" s="1"/>
      <c r="G17575" s="1"/>
    </row>
    <row r="17576">
      <c r="B17576" s="36"/>
      <c r="C17576" s="36"/>
      <c r="E17576" s="1"/>
      <c r="F17576" s="1"/>
      <c r="G17576" s="1"/>
    </row>
    <row r="17577">
      <c r="B17577" s="36"/>
      <c r="C17577" s="36"/>
      <c r="E17577" s="1"/>
      <c r="F17577" s="1"/>
      <c r="G17577" s="1"/>
    </row>
    <row r="17578">
      <c r="B17578" s="36"/>
      <c r="C17578" s="36"/>
      <c r="E17578" s="1"/>
      <c r="F17578" s="1"/>
      <c r="G17578" s="1"/>
    </row>
    <row r="17579">
      <c r="B17579" s="36"/>
      <c r="C17579" s="36"/>
      <c r="E17579" s="1"/>
      <c r="F17579" s="1"/>
      <c r="G17579" s="1"/>
    </row>
    <row r="17580">
      <c r="B17580" s="36"/>
      <c r="C17580" s="36"/>
      <c r="E17580" s="1"/>
      <c r="F17580" s="1"/>
      <c r="G17580" s="1"/>
    </row>
    <row r="17581">
      <c r="B17581" s="36"/>
      <c r="C17581" s="36"/>
      <c r="E17581" s="1"/>
      <c r="F17581" s="1"/>
      <c r="G17581" s="1"/>
    </row>
    <row r="17582">
      <c r="B17582" s="36"/>
      <c r="C17582" s="36"/>
      <c r="E17582" s="1"/>
      <c r="F17582" s="1"/>
      <c r="G17582" s="1"/>
    </row>
    <row r="17583">
      <c r="B17583" s="36"/>
      <c r="C17583" s="36"/>
      <c r="E17583" s="1"/>
      <c r="F17583" s="1"/>
      <c r="G17583" s="1"/>
    </row>
    <row r="17584">
      <c r="B17584" s="36"/>
      <c r="C17584" s="36"/>
      <c r="E17584" s="1"/>
      <c r="F17584" s="1"/>
      <c r="G17584" s="1"/>
    </row>
    <row r="17585">
      <c r="B17585" s="36"/>
      <c r="C17585" s="36"/>
      <c r="E17585" s="1"/>
      <c r="F17585" s="1"/>
      <c r="G17585" s="1"/>
    </row>
    <row r="17586">
      <c r="B17586" s="36"/>
      <c r="C17586" s="36"/>
      <c r="E17586" s="1"/>
      <c r="F17586" s="1"/>
      <c r="G17586" s="1"/>
    </row>
    <row r="17587">
      <c r="B17587" s="36"/>
      <c r="C17587" s="36"/>
      <c r="E17587" s="1"/>
      <c r="F17587" s="1"/>
      <c r="G17587" s="1"/>
    </row>
    <row r="17588">
      <c r="B17588" s="36"/>
      <c r="C17588" s="36"/>
      <c r="E17588" s="1"/>
      <c r="F17588" s="1"/>
      <c r="G17588" s="1"/>
    </row>
    <row r="17589">
      <c r="B17589" s="36"/>
      <c r="C17589" s="36"/>
      <c r="E17589" s="1"/>
      <c r="F17589" s="1"/>
      <c r="G17589" s="1"/>
    </row>
    <row r="17590">
      <c r="B17590" s="36"/>
      <c r="C17590" s="36"/>
      <c r="E17590" s="1"/>
      <c r="F17590" s="1"/>
      <c r="G17590" s="1"/>
    </row>
    <row r="17591">
      <c r="B17591" s="36"/>
      <c r="C17591" s="36"/>
      <c r="E17591" s="1"/>
      <c r="F17591" s="1"/>
      <c r="G17591" s="1"/>
    </row>
    <row r="17592">
      <c r="B17592" s="36"/>
      <c r="C17592" s="36"/>
      <c r="E17592" s="1"/>
      <c r="F17592" s="1"/>
      <c r="G17592" s="1"/>
    </row>
    <row r="17593">
      <c r="B17593" s="36"/>
      <c r="C17593" s="36"/>
      <c r="E17593" s="1"/>
      <c r="F17593" s="1"/>
      <c r="G17593" s="1"/>
    </row>
    <row r="17594">
      <c r="B17594" s="36"/>
      <c r="C17594" s="36"/>
      <c r="E17594" s="1"/>
      <c r="F17594" s="1"/>
      <c r="G17594" s="1"/>
    </row>
    <row r="17595">
      <c r="B17595" s="36"/>
      <c r="C17595" s="36"/>
      <c r="E17595" s="1"/>
      <c r="F17595" s="1"/>
      <c r="G17595" s="1"/>
    </row>
    <row r="17596">
      <c r="B17596" s="36"/>
      <c r="C17596" s="36"/>
      <c r="E17596" s="1"/>
      <c r="F17596" s="1"/>
      <c r="G17596" s="1"/>
    </row>
    <row r="17597">
      <c r="B17597" s="36"/>
      <c r="C17597" s="36"/>
      <c r="E17597" s="1"/>
      <c r="F17597" s="1"/>
      <c r="G17597" s="1"/>
    </row>
    <row r="17598">
      <c r="B17598" s="36"/>
      <c r="C17598" s="36"/>
      <c r="E17598" s="1"/>
      <c r="F17598" s="1"/>
      <c r="G17598" s="1"/>
    </row>
    <row r="17599">
      <c r="B17599" s="36"/>
      <c r="C17599" s="36"/>
      <c r="E17599" s="1"/>
      <c r="F17599" s="1"/>
      <c r="G17599" s="1"/>
    </row>
    <row r="17600">
      <c r="B17600" s="36"/>
      <c r="C17600" s="36"/>
      <c r="E17600" s="1"/>
      <c r="F17600" s="1"/>
      <c r="G17600" s="1"/>
    </row>
    <row r="17601">
      <c r="B17601" s="36"/>
      <c r="C17601" s="36"/>
      <c r="E17601" s="1"/>
      <c r="F17601" s="1"/>
      <c r="G17601" s="1"/>
    </row>
    <row r="17602">
      <c r="B17602" s="36"/>
      <c r="C17602" s="36"/>
      <c r="E17602" s="1"/>
      <c r="F17602" s="1"/>
      <c r="G17602" s="1"/>
    </row>
    <row r="17603">
      <c r="B17603" s="36"/>
      <c r="C17603" s="36"/>
      <c r="E17603" s="1"/>
      <c r="F17603" s="1"/>
      <c r="G17603" s="1"/>
    </row>
    <row r="17604">
      <c r="B17604" s="36"/>
      <c r="C17604" s="36"/>
      <c r="E17604" s="1"/>
      <c r="F17604" s="1"/>
      <c r="G17604" s="1"/>
    </row>
    <row r="17605">
      <c r="B17605" s="36"/>
      <c r="C17605" s="36"/>
      <c r="E17605" s="1"/>
      <c r="F17605" s="1"/>
      <c r="G17605" s="1"/>
    </row>
    <row r="17606">
      <c r="B17606" s="36"/>
      <c r="C17606" s="36"/>
      <c r="E17606" s="1"/>
      <c r="F17606" s="1"/>
      <c r="G17606" s="1"/>
    </row>
    <row r="17607">
      <c r="B17607" s="36"/>
      <c r="C17607" s="36"/>
      <c r="E17607" s="1"/>
      <c r="F17607" s="1"/>
      <c r="G17607" s="1"/>
    </row>
    <row r="17608">
      <c r="B17608" s="36"/>
      <c r="C17608" s="36"/>
      <c r="E17608" s="1"/>
      <c r="F17608" s="1"/>
      <c r="G17608" s="1"/>
    </row>
    <row r="17609">
      <c r="B17609" s="36"/>
      <c r="C17609" s="36"/>
      <c r="E17609" s="1"/>
      <c r="F17609" s="1"/>
      <c r="G17609" s="1"/>
    </row>
    <row r="17610">
      <c r="B17610" s="36"/>
      <c r="C17610" s="36"/>
      <c r="E17610" s="1"/>
      <c r="F17610" s="1"/>
      <c r="G17610" s="1"/>
    </row>
    <row r="17611">
      <c r="B17611" s="36"/>
      <c r="C17611" s="36"/>
      <c r="E17611" s="1"/>
      <c r="F17611" s="1"/>
      <c r="G17611" s="1"/>
    </row>
    <row r="17612">
      <c r="B17612" s="36"/>
      <c r="C17612" s="36"/>
      <c r="E17612" s="1"/>
      <c r="F17612" s="1"/>
      <c r="G17612" s="1"/>
    </row>
    <row r="17613">
      <c r="B17613" s="36"/>
      <c r="C17613" s="36"/>
      <c r="E17613" s="1"/>
      <c r="F17613" s="1"/>
      <c r="G17613" s="1"/>
    </row>
    <row r="17614">
      <c r="B17614" s="36"/>
      <c r="C17614" s="36"/>
      <c r="E17614" s="1"/>
      <c r="F17614" s="1"/>
      <c r="G17614" s="1"/>
    </row>
    <row r="17615">
      <c r="B17615" s="36"/>
      <c r="C17615" s="36"/>
      <c r="E17615" s="1"/>
      <c r="F17615" s="1"/>
      <c r="G17615" s="1"/>
    </row>
    <row r="17616">
      <c r="B17616" s="36"/>
      <c r="C17616" s="36"/>
      <c r="E17616" s="1"/>
      <c r="F17616" s="1"/>
      <c r="G17616" s="1"/>
    </row>
    <row r="17617">
      <c r="B17617" s="36"/>
      <c r="C17617" s="36"/>
      <c r="E17617" s="1"/>
      <c r="F17617" s="1"/>
      <c r="G17617" s="1"/>
    </row>
    <row r="17618">
      <c r="B17618" s="36"/>
      <c r="C17618" s="36"/>
      <c r="E17618" s="1"/>
      <c r="F17618" s="1"/>
      <c r="G17618" s="1"/>
    </row>
    <row r="17619">
      <c r="B17619" s="36"/>
      <c r="C17619" s="36"/>
      <c r="E17619" s="1"/>
      <c r="F17619" s="1"/>
      <c r="G17619" s="1"/>
    </row>
    <row r="17620">
      <c r="B17620" s="36"/>
      <c r="C17620" s="36"/>
      <c r="E17620" s="1"/>
      <c r="F17620" s="1"/>
      <c r="G17620" s="1"/>
    </row>
    <row r="17621">
      <c r="B17621" s="36"/>
      <c r="C17621" s="36"/>
      <c r="E17621" s="1"/>
      <c r="F17621" s="1"/>
      <c r="G17621" s="1"/>
    </row>
    <row r="17622">
      <c r="B17622" s="36"/>
      <c r="C17622" s="36"/>
      <c r="E17622" s="1"/>
      <c r="F17622" s="1"/>
      <c r="G17622" s="1"/>
    </row>
    <row r="17623">
      <c r="B17623" s="36"/>
      <c r="C17623" s="36"/>
      <c r="E17623" s="1"/>
      <c r="F17623" s="1"/>
      <c r="G17623" s="1"/>
    </row>
    <row r="17624">
      <c r="B17624" s="36"/>
      <c r="C17624" s="36"/>
      <c r="E17624" s="1"/>
      <c r="F17624" s="1"/>
      <c r="G17624" s="1"/>
    </row>
    <row r="17625">
      <c r="B17625" s="36"/>
      <c r="C17625" s="36"/>
      <c r="E17625" s="1"/>
      <c r="F17625" s="1"/>
      <c r="G17625" s="1"/>
    </row>
    <row r="17626">
      <c r="B17626" s="36"/>
      <c r="C17626" s="36"/>
      <c r="E17626" s="1"/>
      <c r="F17626" s="1"/>
      <c r="G17626" s="1"/>
    </row>
    <row r="17627">
      <c r="B17627" s="36"/>
      <c r="C17627" s="36"/>
      <c r="E17627" s="1"/>
      <c r="F17627" s="1"/>
      <c r="G17627" s="1"/>
    </row>
    <row r="17628">
      <c r="B17628" s="36"/>
      <c r="C17628" s="36"/>
      <c r="E17628" s="1"/>
      <c r="F17628" s="1"/>
      <c r="G17628" s="1"/>
    </row>
    <row r="17629">
      <c r="B17629" s="36"/>
      <c r="C17629" s="36"/>
      <c r="E17629" s="1"/>
      <c r="F17629" s="1"/>
      <c r="G17629" s="1"/>
    </row>
    <row r="17630">
      <c r="B17630" s="36"/>
      <c r="C17630" s="36"/>
      <c r="E17630" s="1"/>
      <c r="F17630" s="1"/>
      <c r="G17630" s="1"/>
    </row>
    <row r="17631">
      <c r="B17631" s="36"/>
      <c r="C17631" s="36"/>
      <c r="E17631" s="1"/>
      <c r="F17631" s="1"/>
      <c r="G17631" s="1"/>
    </row>
    <row r="17632">
      <c r="B17632" s="36"/>
      <c r="C17632" s="36"/>
      <c r="E17632" s="1"/>
      <c r="F17632" s="1"/>
      <c r="G17632" s="1"/>
    </row>
    <row r="17633">
      <c r="B17633" s="36"/>
      <c r="C17633" s="36"/>
      <c r="E17633" s="1"/>
      <c r="F17633" s="1"/>
      <c r="G17633" s="1"/>
    </row>
    <row r="17634">
      <c r="B17634" s="36"/>
      <c r="C17634" s="36"/>
      <c r="E17634" s="1"/>
      <c r="F17634" s="1"/>
      <c r="G17634" s="1"/>
    </row>
    <row r="17635">
      <c r="B17635" s="36"/>
      <c r="C17635" s="36"/>
      <c r="E17635" s="1"/>
      <c r="F17635" s="1"/>
      <c r="G17635" s="1"/>
    </row>
    <row r="17636">
      <c r="B17636" s="36"/>
      <c r="C17636" s="36"/>
      <c r="E17636" s="1"/>
      <c r="F17636" s="1"/>
      <c r="G17636" s="1"/>
    </row>
    <row r="17637">
      <c r="B17637" s="36"/>
      <c r="C17637" s="36"/>
      <c r="E17637" s="1"/>
      <c r="F17637" s="1"/>
      <c r="G17637" s="1"/>
    </row>
    <row r="17638">
      <c r="B17638" s="36"/>
      <c r="C17638" s="36"/>
      <c r="E17638" s="1"/>
      <c r="F17638" s="1"/>
      <c r="G17638" s="1"/>
    </row>
    <row r="17639">
      <c r="B17639" s="36"/>
      <c r="C17639" s="36"/>
      <c r="E17639" s="1"/>
      <c r="F17639" s="1"/>
      <c r="G17639" s="1"/>
    </row>
    <row r="17640">
      <c r="B17640" s="36"/>
      <c r="C17640" s="36"/>
      <c r="E17640" s="1"/>
      <c r="F17640" s="1"/>
      <c r="G17640" s="1"/>
    </row>
    <row r="17641">
      <c r="B17641" s="36"/>
      <c r="C17641" s="36"/>
      <c r="E17641" s="1"/>
      <c r="F17641" s="1"/>
      <c r="G17641" s="1"/>
    </row>
    <row r="17642">
      <c r="B17642" s="36"/>
      <c r="C17642" s="36"/>
      <c r="E17642" s="1"/>
      <c r="F17642" s="1"/>
      <c r="G17642" s="1"/>
    </row>
    <row r="17643">
      <c r="B17643" s="36"/>
      <c r="C17643" s="36"/>
      <c r="E17643" s="1"/>
      <c r="F17643" s="1"/>
      <c r="G17643" s="1"/>
    </row>
    <row r="17644">
      <c r="B17644" s="36"/>
      <c r="C17644" s="36"/>
      <c r="E17644" s="1"/>
      <c r="F17644" s="1"/>
      <c r="G17644" s="1"/>
    </row>
    <row r="17645">
      <c r="B17645" s="36"/>
      <c r="C17645" s="36"/>
      <c r="E17645" s="1"/>
      <c r="F17645" s="1"/>
      <c r="G17645" s="1"/>
    </row>
    <row r="17646">
      <c r="B17646" s="36"/>
      <c r="C17646" s="36"/>
      <c r="E17646" s="1"/>
      <c r="F17646" s="1"/>
      <c r="G17646" s="1"/>
    </row>
    <row r="17647">
      <c r="B17647" s="36"/>
      <c r="C17647" s="36"/>
      <c r="E17647" s="1"/>
      <c r="F17647" s="1"/>
      <c r="G17647" s="1"/>
    </row>
    <row r="17648">
      <c r="B17648" s="36"/>
      <c r="C17648" s="36"/>
      <c r="E17648" s="1"/>
      <c r="F17648" s="1"/>
      <c r="G17648" s="1"/>
    </row>
    <row r="17649">
      <c r="B17649" s="36"/>
      <c r="C17649" s="36"/>
      <c r="E17649" s="1"/>
      <c r="F17649" s="1"/>
      <c r="G17649" s="1"/>
    </row>
    <row r="17650">
      <c r="B17650" s="36"/>
      <c r="C17650" s="36"/>
      <c r="E17650" s="1"/>
      <c r="F17650" s="1"/>
      <c r="G17650" s="1"/>
    </row>
    <row r="17651">
      <c r="B17651" s="36"/>
      <c r="C17651" s="36"/>
      <c r="E17651" s="1"/>
      <c r="F17651" s="1"/>
      <c r="G17651" s="1"/>
    </row>
    <row r="17652">
      <c r="B17652" s="36"/>
      <c r="C17652" s="36"/>
      <c r="E17652" s="1"/>
      <c r="F17652" s="1"/>
      <c r="G17652" s="1"/>
    </row>
    <row r="17653">
      <c r="B17653" s="36"/>
      <c r="C17653" s="36"/>
      <c r="E17653" s="1"/>
      <c r="F17653" s="1"/>
      <c r="G17653" s="1"/>
    </row>
    <row r="17654">
      <c r="B17654" s="36"/>
      <c r="C17654" s="36"/>
      <c r="E17654" s="1"/>
      <c r="F17654" s="1"/>
      <c r="G17654" s="1"/>
    </row>
    <row r="17655">
      <c r="B17655" s="36"/>
      <c r="C17655" s="36"/>
      <c r="E17655" s="1"/>
      <c r="F17655" s="1"/>
      <c r="G17655" s="1"/>
    </row>
    <row r="17656">
      <c r="B17656" s="36"/>
      <c r="C17656" s="36"/>
      <c r="E17656" s="1"/>
      <c r="F17656" s="1"/>
      <c r="G17656" s="1"/>
    </row>
    <row r="17657">
      <c r="B17657" s="36"/>
      <c r="C17657" s="36"/>
      <c r="E17657" s="1"/>
      <c r="F17657" s="1"/>
      <c r="G17657" s="1"/>
    </row>
    <row r="17658">
      <c r="B17658" s="36"/>
      <c r="C17658" s="36"/>
      <c r="E17658" s="1"/>
      <c r="F17658" s="1"/>
      <c r="G17658" s="1"/>
    </row>
    <row r="17659">
      <c r="B17659" s="36"/>
      <c r="C17659" s="36"/>
      <c r="E17659" s="1"/>
      <c r="F17659" s="1"/>
      <c r="G17659" s="1"/>
    </row>
    <row r="17660">
      <c r="B17660" s="36"/>
      <c r="C17660" s="36"/>
      <c r="E17660" s="1"/>
      <c r="F17660" s="1"/>
      <c r="G17660" s="1"/>
    </row>
    <row r="17661">
      <c r="B17661" s="36"/>
      <c r="C17661" s="36"/>
      <c r="E17661" s="1"/>
      <c r="F17661" s="1"/>
      <c r="G17661" s="1"/>
    </row>
    <row r="17662">
      <c r="B17662" s="36"/>
      <c r="C17662" s="36"/>
      <c r="E17662" s="1"/>
      <c r="F17662" s="1"/>
      <c r="G17662" s="1"/>
    </row>
    <row r="17663">
      <c r="B17663" s="36"/>
      <c r="C17663" s="36"/>
      <c r="E17663" s="1"/>
      <c r="F17663" s="1"/>
      <c r="G17663" s="1"/>
    </row>
    <row r="17664">
      <c r="B17664" s="36"/>
      <c r="C17664" s="36"/>
      <c r="E17664" s="1"/>
      <c r="F17664" s="1"/>
      <c r="G17664" s="1"/>
    </row>
    <row r="17665">
      <c r="B17665" s="36"/>
      <c r="C17665" s="36"/>
      <c r="E17665" s="1"/>
      <c r="F17665" s="1"/>
      <c r="G17665" s="1"/>
    </row>
    <row r="17666">
      <c r="B17666" s="36"/>
      <c r="C17666" s="36"/>
      <c r="E17666" s="1"/>
      <c r="F17666" s="1"/>
      <c r="G17666" s="1"/>
    </row>
    <row r="17667">
      <c r="B17667" s="36"/>
      <c r="C17667" s="36"/>
      <c r="E17667" s="1"/>
      <c r="F17667" s="1"/>
      <c r="G17667" s="1"/>
    </row>
    <row r="17668">
      <c r="B17668" s="36"/>
      <c r="C17668" s="36"/>
      <c r="E17668" s="1"/>
      <c r="F17668" s="1"/>
      <c r="G17668" s="1"/>
    </row>
    <row r="17669">
      <c r="B17669" s="36"/>
      <c r="C17669" s="36"/>
      <c r="E17669" s="1"/>
      <c r="F17669" s="1"/>
      <c r="G17669" s="1"/>
    </row>
    <row r="17670">
      <c r="B17670" s="36"/>
      <c r="C17670" s="36"/>
      <c r="E17670" s="1"/>
      <c r="F17670" s="1"/>
      <c r="G17670" s="1"/>
    </row>
    <row r="17671">
      <c r="B17671" s="36"/>
      <c r="C17671" s="36"/>
      <c r="E17671" s="1"/>
      <c r="F17671" s="1"/>
      <c r="G17671" s="1"/>
    </row>
    <row r="17672">
      <c r="B17672" s="36"/>
      <c r="C17672" s="36"/>
      <c r="E17672" s="1"/>
      <c r="F17672" s="1"/>
      <c r="G17672" s="1"/>
    </row>
    <row r="17673">
      <c r="B17673" s="36"/>
      <c r="C17673" s="36"/>
      <c r="E17673" s="1"/>
      <c r="F17673" s="1"/>
      <c r="G17673" s="1"/>
    </row>
    <row r="17674">
      <c r="B17674" s="36"/>
      <c r="C17674" s="36"/>
      <c r="E17674" s="1"/>
      <c r="F17674" s="1"/>
      <c r="G17674" s="1"/>
    </row>
    <row r="17675">
      <c r="B17675" s="36"/>
      <c r="C17675" s="36"/>
      <c r="E17675" s="1"/>
      <c r="F17675" s="1"/>
      <c r="G17675" s="1"/>
    </row>
    <row r="17676">
      <c r="B17676" s="36"/>
      <c r="C17676" s="36"/>
      <c r="E17676" s="1"/>
      <c r="F17676" s="1"/>
      <c r="G17676" s="1"/>
    </row>
    <row r="17677">
      <c r="B17677" s="36"/>
      <c r="C17677" s="36"/>
      <c r="E17677" s="1"/>
      <c r="F17677" s="1"/>
      <c r="G17677" s="1"/>
    </row>
    <row r="17678">
      <c r="B17678" s="36"/>
      <c r="C17678" s="36"/>
      <c r="E17678" s="1"/>
      <c r="F17678" s="1"/>
      <c r="G17678" s="1"/>
    </row>
    <row r="17679">
      <c r="B17679" s="36"/>
      <c r="C17679" s="36"/>
      <c r="E17679" s="1"/>
      <c r="F17679" s="1"/>
      <c r="G17679" s="1"/>
    </row>
    <row r="17680">
      <c r="B17680" s="36"/>
      <c r="C17680" s="36"/>
      <c r="E17680" s="1"/>
      <c r="F17680" s="1"/>
      <c r="G17680" s="1"/>
    </row>
    <row r="17681">
      <c r="B17681" s="36"/>
      <c r="C17681" s="36"/>
      <c r="E17681" s="1"/>
      <c r="F17681" s="1"/>
      <c r="G17681" s="1"/>
    </row>
    <row r="17682">
      <c r="B17682" s="36"/>
      <c r="C17682" s="36"/>
      <c r="E17682" s="1"/>
      <c r="F17682" s="1"/>
      <c r="G17682" s="1"/>
    </row>
    <row r="17683">
      <c r="B17683" s="36"/>
      <c r="C17683" s="36"/>
      <c r="E17683" s="1"/>
      <c r="F17683" s="1"/>
      <c r="G17683" s="1"/>
    </row>
    <row r="17684">
      <c r="B17684" s="36"/>
      <c r="C17684" s="36"/>
      <c r="E17684" s="1"/>
      <c r="F17684" s="1"/>
      <c r="G17684" s="1"/>
    </row>
    <row r="17685">
      <c r="B17685" s="36"/>
      <c r="C17685" s="36"/>
      <c r="E17685" s="1"/>
      <c r="F17685" s="1"/>
      <c r="G17685" s="1"/>
    </row>
    <row r="17686">
      <c r="B17686" s="36"/>
      <c r="C17686" s="36"/>
      <c r="E17686" s="1"/>
      <c r="F17686" s="1"/>
      <c r="G17686" s="1"/>
    </row>
    <row r="17687">
      <c r="B17687" s="36"/>
      <c r="C17687" s="36"/>
      <c r="E17687" s="1"/>
      <c r="F17687" s="1"/>
      <c r="G17687" s="1"/>
    </row>
    <row r="17688">
      <c r="B17688" s="36"/>
      <c r="C17688" s="36"/>
      <c r="E17688" s="1"/>
      <c r="F17688" s="1"/>
      <c r="G17688" s="1"/>
    </row>
    <row r="17689">
      <c r="B17689" s="36"/>
      <c r="C17689" s="36"/>
      <c r="E17689" s="1"/>
      <c r="F17689" s="1"/>
      <c r="G17689" s="1"/>
    </row>
    <row r="17690">
      <c r="B17690" s="36"/>
      <c r="C17690" s="36"/>
      <c r="E17690" s="1"/>
      <c r="F17690" s="1"/>
      <c r="G17690" s="1"/>
    </row>
    <row r="17691">
      <c r="B17691" s="36"/>
      <c r="C17691" s="36"/>
      <c r="E17691" s="1"/>
      <c r="F17691" s="1"/>
      <c r="G17691" s="1"/>
    </row>
    <row r="17692">
      <c r="B17692" s="36"/>
      <c r="C17692" s="36"/>
      <c r="E17692" s="1"/>
      <c r="F17692" s="1"/>
      <c r="G17692" s="1"/>
    </row>
    <row r="17693">
      <c r="B17693" s="36"/>
      <c r="C17693" s="36"/>
      <c r="E17693" s="1"/>
      <c r="F17693" s="1"/>
      <c r="G17693" s="1"/>
    </row>
    <row r="17694">
      <c r="B17694" s="36"/>
      <c r="C17694" s="36"/>
      <c r="E17694" s="1"/>
      <c r="F17694" s="1"/>
      <c r="G17694" s="1"/>
    </row>
    <row r="17695">
      <c r="B17695" s="36"/>
      <c r="C17695" s="36"/>
      <c r="E17695" s="1"/>
      <c r="F17695" s="1"/>
      <c r="G17695" s="1"/>
    </row>
    <row r="17696">
      <c r="B17696" s="36"/>
      <c r="C17696" s="36"/>
      <c r="E17696" s="1"/>
      <c r="F17696" s="1"/>
      <c r="G17696" s="1"/>
    </row>
    <row r="17697">
      <c r="B17697" s="36"/>
      <c r="C17697" s="36"/>
      <c r="E17697" s="1"/>
      <c r="F17697" s="1"/>
      <c r="G17697" s="1"/>
    </row>
    <row r="17698">
      <c r="B17698" s="36"/>
      <c r="C17698" s="36"/>
      <c r="E17698" s="1"/>
      <c r="F17698" s="1"/>
      <c r="G17698" s="1"/>
    </row>
    <row r="17699">
      <c r="B17699" s="36"/>
      <c r="C17699" s="36"/>
      <c r="E17699" s="1"/>
      <c r="F17699" s="1"/>
      <c r="G17699" s="1"/>
    </row>
    <row r="17700">
      <c r="B17700" s="36"/>
      <c r="C17700" s="36"/>
      <c r="E17700" s="1"/>
      <c r="F17700" s="1"/>
      <c r="G17700" s="1"/>
    </row>
    <row r="17701">
      <c r="B17701" s="36"/>
      <c r="C17701" s="36"/>
      <c r="E17701" s="1"/>
      <c r="F17701" s="1"/>
      <c r="G17701" s="1"/>
    </row>
    <row r="17702">
      <c r="B17702" s="36"/>
      <c r="C17702" s="36"/>
      <c r="E17702" s="1"/>
      <c r="F17702" s="1"/>
      <c r="G17702" s="1"/>
    </row>
    <row r="17703">
      <c r="B17703" s="36"/>
      <c r="C17703" s="36"/>
      <c r="E17703" s="1"/>
      <c r="F17703" s="1"/>
      <c r="G17703" s="1"/>
    </row>
    <row r="17704">
      <c r="B17704" s="36"/>
      <c r="C17704" s="36"/>
      <c r="E17704" s="1"/>
      <c r="F17704" s="1"/>
      <c r="G17704" s="1"/>
    </row>
    <row r="17705">
      <c r="B17705" s="36"/>
      <c r="C17705" s="36"/>
      <c r="E17705" s="1"/>
      <c r="F17705" s="1"/>
      <c r="G17705" s="1"/>
    </row>
    <row r="17706">
      <c r="B17706" s="36"/>
      <c r="C17706" s="36"/>
      <c r="E17706" s="1"/>
      <c r="F17706" s="1"/>
      <c r="G17706" s="1"/>
    </row>
    <row r="17707">
      <c r="B17707" s="36"/>
      <c r="C17707" s="36"/>
      <c r="E17707" s="1"/>
      <c r="F17707" s="1"/>
      <c r="G17707" s="1"/>
    </row>
    <row r="17708">
      <c r="B17708" s="36"/>
      <c r="C17708" s="36"/>
      <c r="E17708" s="1"/>
      <c r="F17708" s="1"/>
      <c r="G17708" s="1"/>
    </row>
    <row r="17709">
      <c r="B17709" s="36"/>
      <c r="C17709" s="36"/>
      <c r="E17709" s="1"/>
      <c r="F17709" s="1"/>
      <c r="G17709" s="1"/>
    </row>
    <row r="17710">
      <c r="B17710" s="36"/>
      <c r="C17710" s="36"/>
      <c r="E17710" s="1"/>
      <c r="F17710" s="1"/>
      <c r="G17710" s="1"/>
    </row>
    <row r="17711">
      <c r="B17711" s="36"/>
      <c r="C17711" s="36"/>
      <c r="E17711" s="1"/>
      <c r="F17711" s="1"/>
      <c r="G17711" s="1"/>
    </row>
    <row r="17712">
      <c r="B17712" s="36"/>
      <c r="C17712" s="36"/>
      <c r="E17712" s="1"/>
      <c r="F17712" s="1"/>
      <c r="G17712" s="1"/>
    </row>
    <row r="17713">
      <c r="B17713" s="36"/>
      <c r="C17713" s="36"/>
      <c r="E17713" s="1"/>
      <c r="F17713" s="1"/>
      <c r="G17713" s="1"/>
    </row>
    <row r="17714">
      <c r="B17714" s="36"/>
      <c r="C17714" s="36"/>
      <c r="E17714" s="1"/>
      <c r="F17714" s="1"/>
      <c r="G17714" s="1"/>
    </row>
    <row r="17715">
      <c r="B17715" s="36"/>
      <c r="C17715" s="36"/>
      <c r="E17715" s="1"/>
      <c r="F17715" s="1"/>
      <c r="G17715" s="1"/>
    </row>
    <row r="17716">
      <c r="B17716" s="36"/>
      <c r="C17716" s="36"/>
      <c r="E17716" s="1"/>
      <c r="F17716" s="1"/>
      <c r="G17716" s="1"/>
    </row>
    <row r="17717">
      <c r="B17717" s="36"/>
      <c r="C17717" s="36"/>
      <c r="E17717" s="1"/>
      <c r="F17717" s="1"/>
      <c r="G17717" s="1"/>
    </row>
    <row r="17718">
      <c r="B17718" s="36"/>
      <c r="C17718" s="36"/>
      <c r="E17718" s="1"/>
      <c r="F17718" s="1"/>
      <c r="G17718" s="1"/>
    </row>
    <row r="17719">
      <c r="B17719" s="36"/>
      <c r="C17719" s="36"/>
      <c r="E17719" s="1"/>
      <c r="F17719" s="1"/>
      <c r="G17719" s="1"/>
    </row>
    <row r="17720">
      <c r="B17720" s="36"/>
      <c r="C17720" s="36"/>
      <c r="E17720" s="1"/>
      <c r="F17720" s="1"/>
      <c r="G17720" s="1"/>
    </row>
    <row r="17721">
      <c r="B17721" s="36"/>
      <c r="C17721" s="36"/>
      <c r="E17721" s="1"/>
      <c r="F17721" s="1"/>
      <c r="G17721" s="1"/>
    </row>
    <row r="17722">
      <c r="B17722" s="36"/>
      <c r="C17722" s="36"/>
      <c r="E17722" s="1"/>
      <c r="F17722" s="1"/>
      <c r="G17722" s="1"/>
    </row>
    <row r="17723">
      <c r="B17723" s="36"/>
      <c r="C17723" s="36"/>
      <c r="E17723" s="1"/>
      <c r="F17723" s="1"/>
      <c r="G17723" s="1"/>
    </row>
    <row r="17724">
      <c r="B17724" s="36"/>
      <c r="C17724" s="36"/>
      <c r="E17724" s="1"/>
      <c r="F17724" s="1"/>
      <c r="G17724" s="1"/>
    </row>
    <row r="17725">
      <c r="B17725" s="36"/>
      <c r="C17725" s="36"/>
      <c r="E17725" s="1"/>
      <c r="F17725" s="1"/>
      <c r="G17725" s="1"/>
    </row>
    <row r="17726">
      <c r="B17726" s="36"/>
      <c r="C17726" s="36"/>
      <c r="E17726" s="1"/>
      <c r="F17726" s="1"/>
      <c r="G17726" s="1"/>
    </row>
    <row r="17727">
      <c r="B17727" s="36"/>
      <c r="C17727" s="36"/>
      <c r="E17727" s="1"/>
      <c r="F17727" s="1"/>
      <c r="G17727" s="1"/>
    </row>
    <row r="17728">
      <c r="B17728" s="36"/>
      <c r="C17728" s="36"/>
      <c r="E17728" s="1"/>
      <c r="F17728" s="1"/>
      <c r="G17728" s="1"/>
    </row>
    <row r="17729">
      <c r="B17729" s="36"/>
      <c r="C17729" s="36"/>
      <c r="E17729" s="1"/>
      <c r="F17729" s="1"/>
      <c r="G17729" s="1"/>
    </row>
    <row r="17730">
      <c r="B17730" s="36"/>
      <c r="C17730" s="36"/>
      <c r="E17730" s="1"/>
      <c r="F17730" s="1"/>
      <c r="G17730" s="1"/>
    </row>
    <row r="17731">
      <c r="B17731" s="36"/>
      <c r="C17731" s="36"/>
      <c r="E17731" s="1"/>
      <c r="F17731" s="1"/>
      <c r="G17731" s="1"/>
    </row>
    <row r="17732">
      <c r="B17732" s="36"/>
      <c r="C17732" s="36"/>
      <c r="E17732" s="1"/>
      <c r="F17732" s="1"/>
      <c r="G17732" s="1"/>
    </row>
    <row r="17733">
      <c r="B17733" s="36"/>
      <c r="C17733" s="36"/>
      <c r="E17733" s="1"/>
      <c r="F17733" s="1"/>
      <c r="G17733" s="1"/>
    </row>
    <row r="17734">
      <c r="B17734" s="36"/>
      <c r="C17734" s="36"/>
      <c r="E17734" s="1"/>
      <c r="F17734" s="1"/>
      <c r="G17734" s="1"/>
    </row>
    <row r="17735">
      <c r="B17735" s="36"/>
      <c r="C17735" s="36"/>
      <c r="E17735" s="1"/>
      <c r="F17735" s="1"/>
      <c r="G17735" s="1"/>
    </row>
    <row r="17736">
      <c r="B17736" s="36"/>
      <c r="C17736" s="36"/>
      <c r="E17736" s="1"/>
      <c r="F17736" s="1"/>
      <c r="G17736" s="1"/>
    </row>
    <row r="17737">
      <c r="B17737" s="36"/>
      <c r="C17737" s="36"/>
      <c r="E17737" s="1"/>
      <c r="F17737" s="1"/>
      <c r="G17737" s="1"/>
    </row>
    <row r="17738">
      <c r="B17738" s="36"/>
      <c r="C17738" s="36"/>
      <c r="E17738" s="1"/>
      <c r="F17738" s="1"/>
      <c r="G17738" s="1"/>
    </row>
    <row r="17739">
      <c r="B17739" s="36"/>
      <c r="C17739" s="36"/>
      <c r="E17739" s="1"/>
      <c r="F17739" s="1"/>
      <c r="G17739" s="1"/>
    </row>
    <row r="17740">
      <c r="B17740" s="36"/>
      <c r="C17740" s="36"/>
      <c r="E17740" s="1"/>
      <c r="F17740" s="1"/>
      <c r="G17740" s="1"/>
    </row>
    <row r="17741">
      <c r="B17741" s="36"/>
      <c r="C17741" s="36"/>
      <c r="E17741" s="1"/>
      <c r="F17741" s="1"/>
      <c r="G17741" s="1"/>
    </row>
    <row r="17742">
      <c r="B17742" s="36"/>
      <c r="C17742" s="36"/>
      <c r="E17742" s="1"/>
      <c r="F17742" s="1"/>
      <c r="G17742" s="1"/>
    </row>
    <row r="17743">
      <c r="B17743" s="36"/>
      <c r="C17743" s="36"/>
      <c r="E17743" s="1"/>
      <c r="F17743" s="1"/>
      <c r="G17743" s="1"/>
    </row>
    <row r="17744">
      <c r="B17744" s="36"/>
      <c r="C17744" s="36"/>
      <c r="E17744" s="1"/>
      <c r="F17744" s="1"/>
      <c r="G17744" s="1"/>
    </row>
    <row r="17745">
      <c r="B17745" s="36"/>
      <c r="C17745" s="36"/>
      <c r="E17745" s="1"/>
      <c r="F17745" s="1"/>
      <c r="G17745" s="1"/>
    </row>
    <row r="17746">
      <c r="B17746" s="36"/>
      <c r="C17746" s="36"/>
      <c r="E17746" s="1"/>
      <c r="F17746" s="1"/>
      <c r="G17746" s="1"/>
    </row>
    <row r="17747">
      <c r="B17747" s="36"/>
      <c r="C17747" s="36"/>
      <c r="E17747" s="1"/>
      <c r="F17747" s="1"/>
      <c r="G17747" s="1"/>
    </row>
    <row r="17748">
      <c r="B17748" s="36"/>
      <c r="C17748" s="36"/>
      <c r="E17748" s="1"/>
      <c r="F17748" s="1"/>
      <c r="G17748" s="1"/>
    </row>
    <row r="17749">
      <c r="B17749" s="36"/>
      <c r="C17749" s="36"/>
      <c r="E17749" s="1"/>
      <c r="F17749" s="1"/>
      <c r="G17749" s="1"/>
    </row>
    <row r="17750">
      <c r="B17750" s="36"/>
      <c r="C17750" s="36"/>
      <c r="E17750" s="1"/>
      <c r="F17750" s="1"/>
      <c r="G17750" s="1"/>
    </row>
    <row r="17751">
      <c r="B17751" s="36"/>
      <c r="C17751" s="36"/>
      <c r="E17751" s="1"/>
      <c r="F17751" s="1"/>
      <c r="G17751" s="1"/>
    </row>
    <row r="17752">
      <c r="B17752" s="36"/>
      <c r="C17752" s="36"/>
      <c r="E17752" s="1"/>
      <c r="F17752" s="1"/>
      <c r="G17752" s="1"/>
    </row>
    <row r="17753">
      <c r="B17753" s="36"/>
      <c r="C17753" s="36"/>
      <c r="E17753" s="1"/>
      <c r="F17753" s="1"/>
      <c r="G17753" s="1"/>
    </row>
    <row r="17754">
      <c r="B17754" s="36"/>
      <c r="C17754" s="36"/>
      <c r="E17754" s="1"/>
      <c r="F17754" s="1"/>
      <c r="G17754" s="1"/>
    </row>
    <row r="17755">
      <c r="B17755" s="36"/>
      <c r="C17755" s="36"/>
      <c r="E17755" s="1"/>
      <c r="F17755" s="1"/>
      <c r="G17755" s="1"/>
    </row>
    <row r="17756">
      <c r="B17756" s="36"/>
      <c r="C17756" s="36"/>
      <c r="E17756" s="1"/>
      <c r="F17756" s="1"/>
      <c r="G17756" s="1"/>
    </row>
    <row r="17757">
      <c r="B17757" s="36"/>
      <c r="C17757" s="36"/>
      <c r="E17757" s="1"/>
      <c r="F17757" s="1"/>
      <c r="G17757" s="1"/>
    </row>
    <row r="17758">
      <c r="B17758" s="36"/>
      <c r="C17758" s="36"/>
      <c r="E17758" s="1"/>
      <c r="F17758" s="1"/>
      <c r="G17758" s="1"/>
    </row>
    <row r="17759">
      <c r="B17759" s="36"/>
      <c r="C17759" s="36"/>
      <c r="E17759" s="1"/>
      <c r="F17759" s="1"/>
      <c r="G17759" s="1"/>
    </row>
    <row r="17760">
      <c r="B17760" s="36"/>
      <c r="C17760" s="36"/>
      <c r="E17760" s="1"/>
      <c r="F17760" s="1"/>
      <c r="G17760" s="1"/>
    </row>
    <row r="17761">
      <c r="B17761" s="36"/>
      <c r="C17761" s="36"/>
      <c r="E17761" s="1"/>
      <c r="F17761" s="1"/>
      <c r="G17761" s="1"/>
    </row>
    <row r="17762">
      <c r="B17762" s="36"/>
      <c r="C17762" s="36"/>
      <c r="E17762" s="1"/>
      <c r="F17762" s="1"/>
      <c r="G17762" s="1"/>
    </row>
    <row r="17763">
      <c r="B17763" s="36"/>
      <c r="C17763" s="36"/>
      <c r="E17763" s="1"/>
      <c r="F17763" s="1"/>
      <c r="G17763" s="1"/>
    </row>
    <row r="17764">
      <c r="B17764" s="36"/>
      <c r="C17764" s="36"/>
      <c r="E17764" s="1"/>
      <c r="F17764" s="1"/>
      <c r="G17764" s="1"/>
    </row>
    <row r="17765">
      <c r="B17765" s="36"/>
      <c r="C17765" s="36"/>
      <c r="E17765" s="1"/>
      <c r="F17765" s="1"/>
      <c r="G17765" s="1"/>
    </row>
    <row r="17766">
      <c r="B17766" s="36"/>
      <c r="C17766" s="36"/>
      <c r="E17766" s="1"/>
      <c r="F17766" s="1"/>
      <c r="G17766" s="1"/>
    </row>
    <row r="17767">
      <c r="B17767" s="36"/>
      <c r="C17767" s="36"/>
      <c r="E17767" s="1"/>
      <c r="F17767" s="1"/>
      <c r="G17767" s="1"/>
    </row>
    <row r="17768">
      <c r="B17768" s="36"/>
      <c r="C17768" s="36"/>
      <c r="E17768" s="1"/>
      <c r="F17768" s="1"/>
      <c r="G17768" s="1"/>
    </row>
    <row r="17769">
      <c r="B17769" s="36"/>
      <c r="C17769" s="36"/>
      <c r="E17769" s="1"/>
      <c r="F17769" s="1"/>
      <c r="G17769" s="1"/>
    </row>
    <row r="17770">
      <c r="B17770" s="36"/>
      <c r="C17770" s="36"/>
      <c r="E17770" s="1"/>
      <c r="F17770" s="1"/>
      <c r="G17770" s="1"/>
    </row>
    <row r="17771">
      <c r="B17771" s="36"/>
      <c r="C17771" s="36"/>
      <c r="E17771" s="1"/>
      <c r="F17771" s="1"/>
      <c r="G17771" s="1"/>
    </row>
    <row r="17772">
      <c r="B17772" s="36"/>
      <c r="C17772" s="36"/>
      <c r="E17772" s="1"/>
      <c r="F17772" s="1"/>
      <c r="G17772" s="1"/>
    </row>
    <row r="17773">
      <c r="B17773" s="36"/>
      <c r="C17773" s="36"/>
      <c r="E17773" s="1"/>
      <c r="F17773" s="1"/>
      <c r="G17773" s="1"/>
    </row>
    <row r="17774">
      <c r="B17774" s="36"/>
      <c r="C17774" s="36"/>
      <c r="E17774" s="1"/>
      <c r="F17774" s="1"/>
      <c r="G17774" s="1"/>
    </row>
    <row r="17775">
      <c r="B17775" s="36"/>
      <c r="C17775" s="36"/>
      <c r="E17775" s="1"/>
      <c r="F17775" s="1"/>
      <c r="G17775" s="1"/>
    </row>
    <row r="17776">
      <c r="B17776" s="36"/>
      <c r="C17776" s="36"/>
      <c r="E17776" s="1"/>
      <c r="F17776" s="1"/>
      <c r="G17776" s="1"/>
    </row>
    <row r="17777">
      <c r="B17777" s="36"/>
      <c r="C17777" s="36"/>
      <c r="E17777" s="1"/>
      <c r="F17777" s="1"/>
      <c r="G17777" s="1"/>
    </row>
    <row r="17778">
      <c r="B17778" s="36"/>
      <c r="C17778" s="36"/>
      <c r="E17778" s="1"/>
      <c r="F17778" s="1"/>
      <c r="G17778" s="1"/>
    </row>
    <row r="17779">
      <c r="B17779" s="36"/>
      <c r="C17779" s="36"/>
      <c r="E17779" s="1"/>
      <c r="F17779" s="1"/>
      <c r="G17779" s="1"/>
    </row>
    <row r="17780">
      <c r="B17780" s="36"/>
      <c r="C17780" s="36"/>
      <c r="E17780" s="1"/>
      <c r="F17780" s="1"/>
      <c r="G17780" s="1"/>
    </row>
    <row r="17781">
      <c r="B17781" s="36"/>
      <c r="C17781" s="36"/>
      <c r="E17781" s="1"/>
      <c r="F17781" s="1"/>
      <c r="G17781" s="1"/>
    </row>
    <row r="17782">
      <c r="B17782" s="36"/>
      <c r="C17782" s="36"/>
      <c r="E17782" s="1"/>
      <c r="F17782" s="1"/>
      <c r="G17782" s="1"/>
    </row>
    <row r="17783">
      <c r="B17783" s="36"/>
      <c r="C17783" s="36"/>
      <c r="E17783" s="1"/>
      <c r="F17783" s="1"/>
      <c r="G17783" s="1"/>
    </row>
    <row r="17784">
      <c r="B17784" s="36"/>
      <c r="C17784" s="36"/>
      <c r="E17784" s="1"/>
      <c r="F17784" s="1"/>
      <c r="G17784" s="1"/>
    </row>
    <row r="17785">
      <c r="B17785" s="36"/>
      <c r="C17785" s="36"/>
      <c r="E17785" s="1"/>
      <c r="F17785" s="1"/>
      <c r="G17785" s="1"/>
    </row>
    <row r="17786">
      <c r="B17786" s="36"/>
      <c r="C17786" s="36"/>
      <c r="E17786" s="1"/>
      <c r="F17786" s="1"/>
      <c r="G17786" s="1"/>
    </row>
    <row r="17787">
      <c r="B17787" s="36"/>
      <c r="C17787" s="36"/>
      <c r="E17787" s="1"/>
      <c r="F17787" s="1"/>
      <c r="G17787" s="1"/>
    </row>
    <row r="17788">
      <c r="B17788" s="36"/>
      <c r="C17788" s="36"/>
      <c r="E17788" s="1"/>
      <c r="F17788" s="1"/>
      <c r="G17788" s="1"/>
    </row>
    <row r="17789">
      <c r="B17789" s="36"/>
      <c r="C17789" s="36"/>
      <c r="E17789" s="1"/>
      <c r="F17789" s="1"/>
      <c r="G17789" s="1"/>
    </row>
    <row r="17790">
      <c r="B17790" s="36"/>
      <c r="C17790" s="36"/>
      <c r="E17790" s="1"/>
      <c r="F17790" s="1"/>
      <c r="G17790" s="1"/>
    </row>
    <row r="17791">
      <c r="B17791" s="36"/>
      <c r="C17791" s="36"/>
      <c r="E17791" s="1"/>
      <c r="F17791" s="1"/>
      <c r="G17791" s="1"/>
    </row>
    <row r="17792">
      <c r="B17792" s="36"/>
      <c r="C17792" s="36"/>
      <c r="E17792" s="1"/>
      <c r="F17792" s="1"/>
      <c r="G17792" s="1"/>
    </row>
    <row r="17793">
      <c r="B17793" s="36"/>
      <c r="C17793" s="36"/>
      <c r="E17793" s="1"/>
      <c r="F17793" s="1"/>
      <c r="G17793" s="1"/>
    </row>
    <row r="17794">
      <c r="B17794" s="36"/>
      <c r="C17794" s="36"/>
      <c r="E17794" s="1"/>
      <c r="F17794" s="1"/>
      <c r="G17794" s="1"/>
    </row>
    <row r="17795">
      <c r="B17795" s="36"/>
      <c r="C17795" s="36"/>
      <c r="E17795" s="1"/>
      <c r="F17795" s="1"/>
      <c r="G17795" s="1"/>
    </row>
    <row r="17796">
      <c r="B17796" s="36"/>
      <c r="C17796" s="36"/>
      <c r="E17796" s="1"/>
      <c r="F17796" s="1"/>
      <c r="G17796" s="1"/>
    </row>
    <row r="17797">
      <c r="B17797" s="36"/>
      <c r="C17797" s="36"/>
      <c r="E17797" s="1"/>
      <c r="F17797" s="1"/>
      <c r="G17797" s="1"/>
    </row>
    <row r="17798">
      <c r="B17798" s="36"/>
      <c r="C17798" s="36"/>
      <c r="E17798" s="1"/>
      <c r="F17798" s="1"/>
      <c r="G17798" s="1"/>
    </row>
    <row r="17799">
      <c r="B17799" s="36"/>
      <c r="C17799" s="36"/>
      <c r="E17799" s="1"/>
      <c r="F17799" s="1"/>
      <c r="G17799" s="1"/>
    </row>
    <row r="17800">
      <c r="B17800" s="36"/>
      <c r="C17800" s="36"/>
      <c r="E17800" s="1"/>
      <c r="F17800" s="1"/>
      <c r="G17800" s="1"/>
    </row>
    <row r="17801">
      <c r="B17801" s="36"/>
      <c r="C17801" s="36"/>
      <c r="E17801" s="1"/>
      <c r="F17801" s="1"/>
      <c r="G17801" s="1"/>
    </row>
    <row r="17802">
      <c r="B17802" s="36"/>
      <c r="C17802" s="36"/>
      <c r="E17802" s="1"/>
      <c r="F17802" s="1"/>
      <c r="G17802" s="1"/>
    </row>
    <row r="17803">
      <c r="B17803" s="36"/>
      <c r="C17803" s="36"/>
      <c r="E17803" s="1"/>
      <c r="F17803" s="1"/>
      <c r="G17803" s="1"/>
    </row>
    <row r="17804">
      <c r="B17804" s="36"/>
      <c r="C17804" s="36"/>
      <c r="E17804" s="1"/>
      <c r="F17804" s="1"/>
      <c r="G17804" s="1"/>
    </row>
    <row r="17805">
      <c r="B17805" s="36"/>
      <c r="C17805" s="36"/>
      <c r="E17805" s="1"/>
      <c r="F17805" s="1"/>
      <c r="G17805" s="1"/>
    </row>
    <row r="17806">
      <c r="B17806" s="36"/>
      <c r="C17806" s="36"/>
      <c r="E17806" s="1"/>
      <c r="F17806" s="1"/>
      <c r="G17806" s="1"/>
    </row>
    <row r="17807">
      <c r="B17807" s="36"/>
      <c r="C17807" s="36"/>
      <c r="E17807" s="1"/>
      <c r="F17807" s="1"/>
      <c r="G17807" s="1"/>
    </row>
    <row r="17808">
      <c r="B17808" s="36"/>
      <c r="C17808" s="36"/>
      <c r="E17808" s="1"/>
      <c r="F17808" s="1"/>
      <c r="G17808" s="1"/>
    </row>
    <row r="17809">
      <c r="B17809" s="36"/>
      <c r="C17809" s="36"/>
      <c r="E17809" s="1"/>
      <c r="F17809" s="1"/>
      <c r="G17809" s="1"/>
    </row>
    <row r="17810">
      <c r="B17810" s="36"/>
      <c r="C17810" s="36"/>
      <c r="E17810" s="1"/>
      <c r="F17810" s="1"/>
      <c r="G17810" s="1"/>
    </row>
    <row r="17811">
      <c r="B17811" s="36"/>
      <c r="C17811" s="36"/>
      <c r="E17811" s="1"/>
      <c r="F17811" s="1"/>
      <c r="G17811" s="1"/>
    </row>
    <row r="17812">
      <c r="B17812" s="36"/>
      <c r="C17812" s="36"/>
      <c r="E17812" s="1"/>
      <c r="F17812" s="1"/>
      <c r="G17812" s="1"/>
    </row>
    <row r="17813">
      <c r="B17813" s="36"/>
      <c r="C17813" s="36"/>
      <c r="E17813" s="1"/>
      <c r="F17813" s="1"/>
      <c r="G17813" s="1"/>
    </row>
    <row r="17814">
      <c r="B17814" s="36"/>
      <c r="C17814" s="36"/>
      <c r="E17814" s="1"/>
      <c r="F17814" s="1"/>
      <c r="G17814" s="1"/>
    </row>
    <row r="17815">
      <c r="B17815" s="36"/>
      <c r="C17815" s="36"/>
      <c r="E17815" s="1"/>
      <c r="F17815" s="1"/>
      <c r="G17815" s="1"/>
    </row>
    <row r="17816">
      <c r="B17816" s="36"/>
      <c r="C17816" s="36"/>
      <c r="E17816" s="1"/>
      <c r="F17816" s="1"/>
      <c r="G17816" s="1"/>
    </row>
    <row r="17817">
      <c r="B17817" s="36"/>
      <c r="C17817" s="36"/>
      <c r="E17817" s="1"/>
      <c r="F17817" s="1"/>
      <c r="G17817" s="1"/>
    </row>
    <row r="17818">
      <c r="B17818" s="36"/>
      <c r="C17818" s="36"/>
      <c r="E17818" s="1"/>
      <c r="F17818" s="1"/>
      <c r="G17818" s="1"/>
    </row>
    <row r="17819">
      <c r="B17819" s="36"/>
      <c r="C17819" s="36"/>
      <c r="E17819" s="1"/>
      <c r="F17819" s="1"/>
      <c r="G17819" s="1"/>
    </row>
    <row r="17820">
      <c r="B17820" s="36"/>
      <c r="C17820" s="36"/>
      <c r="E17820" s="1"/>
      <c r="F17820" s="1"/>
      <c r="G17820" s="1"/>
    </row>
    <row r="17821">
      <c r="B17821" s="36"/>
      <c r="C17821" s="36"/>
      <c r="E17821" s="1"/>
      <c r="F17821" s="1"/>
      <c r="G17821" s="1"/>
    </row>
    <row r="17822">
      <c r="B17822" s="36"/>
      <c r="C17822" s="36"/>
      <c r="E17822" s="1"/>
      <c r="F17822" s="1"/>
      <c r="G17822" s="1"/>
    </row>
    <row r="17823">
      <c r="B17823" s="36"/>
      <c r="C17823" s="36"/>
      <c r="E17823" s="1"/>
      <c r="F17823" s="1"/>
      <c r="G17823" s="1"/>
    </row>
    <row r="17824">
      <c r="B17824" s="36"/>
      <c r="C17824" s="36"/>
      <c r="E17824" s="1"/>
      <c r="F17824" s="1"/>
      <c r="G17824" s="1"/>
    </row>
    <row r="17825">
      <c r="B17825" s="36"/>
      <c r="C17825" s="36"/>
      <c r="E17825" s="1"/>
      <c r="F17825" s="1"/>
      <c r="G17825" s="1"/>
    </row>
    <row r="17826">
      <c r="B17826" s="36"/>
      <c r="C17826" s="36"/>
      <c r="E17826" s="1"/>
      <c r="F17826" s="1"/>
      <c r="G17826" s="1"/>
    </row>
    <row r="17827">
      <c r="B17827" s="36"/>
      <c r="C17827" s="36"/>
      <c r="E17827" s="1"/>
      <c r="F17827" s="1"/>
      <c r="G17827" s="1"/>
    </row>
    <row r="17828">
      <c r="B17828" s="36"/>
      <c r="C17828" s="36"/>
      <c r="E17828" s="1"/>
      <c r="F17828" s="1"/>
      <c r="G17828" s="1"/>
    </row>
    <row r="17829">
      <c r="B17829" s="36"/>
      <c r="C17829" s="36"/>
      <c r="E17829" s="1"/>
      <c r="F17829" s="1"/>
      <c r="G17829" s="1"/>
    </row>
    <row r="17830">
      <c r="B17830" s="36"/>
      <c r="C17830" s="36"/>
      <c r="E17830" s="1"/>
      <c r="F17830" s="1"/>
      <c r="G17830" s="1"/>
    </row>
    <row r="17831">
      <c r="B17831" s="36"/>
      <c r="C17831" s="36"/>
      <c r="E17831" s="1"/>
      <c r="F17831" s="1"/>
      <c r="G17831" s="1"/>
    </row>
    <row r="17832">
      <c r="B17832" s="36"/>
      <c r="C17832" s="36"/>
      <c r="E17832" s="1"/>
      <c r="F17832" s="1"/>
      <c r="G17832" s="1"/>
    </row>
    <row r="17833">
      <c r="B17833" s="36"/>
      <c r="C17833" s="36"/>
      <c r="E17833" s="1"/>
      <c r="F17833" s="1"/>
      <c r="G17833" s="1"/>
    </row>
    <row r="17834">
      <c r="B17834" s="36"/>
      <c r="C17834" s="36"/>
      <c r="E17834" s="1"/>
      <c r="F17834" s="1"/>
      <c r="G17834" s="1"/>
    </row>
    <row r="17835">
      <c r="B17835" s="36"/>
      <c r="C17835" s="36"/>
      <c r="E17835" s="1"/>
      <c r="F17835" s="1"/>
      <c r="G17835" s="1"/>
    </row>
    <row r="17836">
      <c r="B17836" s="36"/>
      <c r="C17836" s="36"/>
      <c r="E17836" s="1"/>
      <c r="F17836" s="1"/>
      <c r="G17836" s="1"/>
    </row>
    <row r="17837">
      <c r="B17837" s="36"/>
      <c r="C17837" s="36"/>
      <c r="E17837" s="1"/>
      <c r="F17837" s="1"/>
      <c r="G17837" s="1"/>
    </row>
    <row r="17838">
      <c r="B17838" s="36"/>
      <c r="C17838" s="36"/>
      <c r="E17838" s="1"/>
      <c r="F17838" s="1"/>
      <c r="G17838" s="1"/>
    </row>
    <row r="17839">
      <c r="B17839" s="36"/>
      <c r="C17839" s="36"/>
      <c r="E17839" s="1"/>
      <c r="F17839" s="1"/>
      <c r="G17839" s="1"/>
    </row>
    <row r="17840">
      <c r="B17840" s="36"/>
      <c r="C17840" s="36"/>
      <c r="E17840" s="1"/>
      <c r="F17840" s="1"/>
      <c r="G17840" s="1"/>
    </row>
    <row r="17841">
      <c r="B17841" s="36"/>
      <c r="C17841" s="36"/>
      <c r="E17841" s="1"/>
      <c r="F17841" s="1"/>
      <c r="G17841" s="1"/>
    </row>
    <row r="17842">
      <c r="B17842" s="36"/>
      <c r="C17842" s="36"/>
      <c r="E17842" s="1"/>
      <c r="F17842" s="1"/>
      <c r="G17842" s="1"/>
    </row>
    <row r="17843">
      <c r="B17843" s="36"/>
      <c r="C17843" s="36"/>
      <c r="E17843" s="1"/>
      <c r="F17843" s="1"/>
      <c r="G17843" s="1"/>
    </row>
    <row r="17844">
      <c r="B17844" s="36"/>
      <c r="C17844" s="36"/>
      <c r="E17844" s="1"/>
      <c r="F17844" s="1"/>
      <c r="G17844" s="1"/>
    </row>
    <row r="17845">
      <c r="B17845" s="36"/>
      <c r="C17845" s="36"/>
      <c r="E17845" s="1"/>
      <c r="F17845" s="1"/>
      <c r="G17845" s="1"/>
    </row>
    <row r="17846">
      <c r="B17846" s="36"/>
      <c r="C17846" s="36"/>
      <c r="E17846" s="1"/>
      <c r="F17846" s="1"/>
      <c r="G17846" s="1"/>
    </row>
    <row r="17847">
      <c r="B17847" s="36"/>
      <c r="C17847" s="36"/>
      <c r="E17847" s="1"/>
      <c r="F17847" s="1"/>
      <c r="G17847" s="1"/>
    </row>
    <row r="17848">
      <c r="B17848" s="36"/>
      <c r="C17848" s="36"/>
      <c r="E17848" s="1"/>
      <c r="F17848" s="1"/>
      <c r="G17848" s="1"/>
    </row>
    <row r="17849">
      <c r="B17849" s="36"/>
      <c r="C17849" s="36"/>
      <c r="E17849" s="1"/>
      <c r="F17849" s="1"/>
      <c r="G17849" s="1"/>
    </row>
    <row r="17850">
      <c r="B17850" s="36"/>
      <c r="C17850" s="36"/>
      <c r="E17850" s="1"/>
      <c r="F17850" s="1"/>
      <c r="G17850" s="1"/>
    </row>
    <row r="17851">
      <c r="B17851" s="36"/>
      <c r="C17851" s="36"/>
      <c r="E17851" s="1"/>
      <c r="F17851" s="1"/>
      <c r="G17851" s="1"/>
    </row>
    <row r="17852">
      <c r="B17852" s="36"/>
      <c r="C17852" s="36"/>
      <c r="E17852" s="1"/>
      <c r="F17852" s="1"/>
      <c r="G17852" s="1"/>
    </row>
    <row r="17853">
      <c r="B17853" s="36"/>
      <c r="C17853" s="36"/>
      <c r="E17853" s="1"/>
      <c r="F17853" s="1"/>
      <c r="G17853" s="1"/>
    </row>
    <row r="17854">
      <c r="B17854" s="36"/>
      <c r="C17854" s="36"/>
      <c r="E17854" s="1"/>
      <c r="F17854" s="1"/>
      <c r="G17854" s="1"/>
    </row>
    <row r="17855">
      <c r="B17855" s="36"/>
      <c r="C17855" s="36"/>
      <c r="E17855" s="1"/>
      <c r="F17855" s="1"/>
      <c r="G17855" s="1"/>
    </row>
    <row r="17856">
      <c r="B17856" s="36"/>
      <c r="C17856" s="36"/>
      <c r="E17856" s="1"/>
      <c r="F17856" s="1"/>
      <c r="G17856" s="1"/>
    </row>
    <row r="17857">
      <c r="B17857" s="36"/>
      <c r="C17857" s="36"/>
      <c r="E17857" s="1"/>
      <c r="F17857" s="1"/>
      <c r="G17857" s="1"/>
    </row>
    <row r="17858">
      <c r="B17858" s="36"/>
      <c r="C17858" s="36"/>
      <c r="E17858" s="1"/>
      <c r="F17858" s="1"/>
      <c r="G17858" s="1"/>
    </row>
    <row r="17859">
      <c r="B17859" s="36"/>
      <c r="C17859" s="36"/>
      <c r="E17859" s="1"/>
      <c r="F17859" s="1"/>
      <c r="G17859" s="1"/>
    </row>
    <row r="17860">
      <c r="B17860" s="36"/>
      <c r="C17860" s="36"/>
      <c r="E17860" s="1"/>
      <c r="F17860" s="1"/>
      <c r="G17860" s="1"/>
    </row>
    <row r="17861">
      <c r="B17861" s="36"/>
      <c r="C17861" s="36"/>
      <c r="E17861" s="1"/>
      <c r="F17861" s="1"/>
      <c r="G17861" s="1"/>
    </row>
    <row r="17862">
      <c r="B17862" s="36"/>
      <c r="C17862" s="36"/>
      <c r="E17862" s="1"/>
      <c r="F17862" s="1"/>
      <c r="G17862" s="1"/>
    </row>
    <row r="17863">
      <c r="B17863" s="36"/>
      <c r="C17863" s="36"/>
      <c r="E17863" s="1"/>
      <c r="F17863" s="1"/>
      <c r="G17863" s="1"/>
    </row>
    <row r="17864">
      <c r="B17864" s="36"/>
      <c r="C17864" s="36"/>
      <c r="E17864" s="1"/>
      <c r="F17864" s="1"/>
      <c r="G17864" s="1"/>
    </row>
    <row r="17865">
      <c r="B17865" s="36"/>
      <c r="C17865" s="36"/>
      <c r="E17865" s="1"/>
      <c r="F17865" s="1"/>
      <c r="G17865" s="1"/>
    </row>
    <row r="17866">
      <c r="B17866" s="36"/>
      <c r="C17866" s="36"/>
      <c r="E17866" s="1"/>
      <c r="F17866" s="1"/>
      <c r="G17866" s="1"/>
    </row>
    <row r="17867">
      <c r="B17867" s="36"/>
      <c r="C17867" s="36"/>
      <c r="E17867" s="1"/>
      <c r="F17867" s="1"/>
      <c r="G17867" s="1"/>
    </row>
    <row r="17868">
      <c r="B17868" s="36"/>
      <c r="C17868" s="36"/>
      <c r="E17868" s="1"/>
      <c r="F17868" s="1"/>
      <c r="G17868" s="1"/>
    </row>
    <row r="17869">
      <c r="B17869" s="36"/>
      <c r="C17869" s="36"/>
      <c r="E17869" s="1"/>
      <c r="F17869" s="1"/>
      <c r="G17869" s="1"/>
    </row>
    <row r="17870">
      <c r="B17870" s="36"/>
      <c r="C17870" s="36"/>
      <c r="E17870" s="1"/>
      <c r="F17870" s="1"/>
      <c r="G17870" s="1"/>
    </row>
    <row r="17871">
      <c r="B17871" s="36"/>
      <c r="C17871" s="36"/>
      <c r="E17871" s="1"/>
      <c r="F17871" s="1"/>
      <c r="G17871" s="1"/>
    </row>
    <row r="17872">
      <c r="B17872" s="36"/>
      <c r="C17872" s="36"/>
      <c r="E17872" s="1"/>
      <c r="F17872" s="1"/>
      <c r="G17872" s="1"/>
    </row>
    <row r="17873">
      <c r="B17873" s="36"/>
      <c r="C17873" s="36"/>
      <c r="E17873" s="1"/>
      <c r="F17873" s="1"/>
      <c r="G17873" s="1"/>
    </row>
    <row r="17874">
      <c r="B17874" s="36"/>
      <c r="C17874" s="36"/>
      <c r="E17874" s="1"/>
      <c r="F17874" s="1"/>
      <c r="G17874" s="1"/>
    </row>
    <row r="17875">
      <c r="B17875" s="36"/>
      <c r="C17875" s="36"/>
      <c r="E17875" s="1"/>
      <c r="F17875" s="1"/>
      <c r="G17875" s="1"/>
    </row>
    <row r="17876">
      <c r="B17876" s="36"/>
      <c r="C17876" s="36"/>
      <c r="E17876" s="1"/>
      <c r="F17876" s="1"/>
      <c r="G17876" s="1"/>
    </row>
    <row r="17877">
      <c r="B17877" s="36"/>
      <c r="C17877" s="36"/>
      <c r="E17877" s="1"/>
      <c r="F17877" s="1"/>
      <c r="G17877" s="1"/>
    </row>
    <row r="17878">
      <c r="B17878" s="36"/>
      <c r="C17878" s="36"/>
      <c r="E17878" s="1"/>
      <c r="F17878" s="1"/>
      <c r="G17878" s="1"/>
    </row>
    <row r="17879">
      <c r="B17879" s="36"/>
      <c r="C17879" s="36"/>
      <c r="E17879" s="1"/>
      <c r="F17879" s="1"/>
      <c r="G17879" s="1"/>
    </row>
    <row r="17880">
      <c r="B17880" s="36"/>
      <c r="C17880" s="36"/>
      <c r="E17880" s="1"/>
      <c r="F17880" s="1"/>
      <c r="G17880" s="1"/>
    </row>
    <row r="17881">
      <c r="B17881" s="36"/>
      <c r="C17881" s="36"/>
      <c r="E17881" s="1"/>
      <c r="F17881" s="1"/>
      <c r="G17881" s="1"/>
    </row>
    <row r="17882">
      <c r="B17882" s="36"/>
      <c r="C17882" s="36"/>
      <c r="E17882" s="1"/>
      <c r="F17882" s="1"/>
      <c r="G17882" s="1"/>
    </row>
    <row r="17883">
      <c r="B17883" s="36"/>
      <c r="C17883" s="36"/>
      <c r="E17883" s="1"/>
      <c r="F17883" s="1"/>
      <c r="G17883" s="1"/>
    </row>
    <row r="17884">
      <c r="B17884" s="36"/>
      <c r="C17884" s="36"/>
      <c r="E17884" s="1"/>
      <c r="F17884" s="1"/>
      <c r="G17884" s="1"/>
    </row>
    <row r="17885">
      <c r="B17885" s="36"/>
      <c r="C17885" s="36"/>
      <c r="E17885" s="1"/>
      <c r="F17885" s="1"/>
      <c r="G17885" s="1"/>
    </row>
    <row r="17886">
      <c r="B17886" s="36"/>
      <c r="C17886" s="36"/>
      <c r="E17886" s="1"/>
      <c r="F17886" s="1"/>
      <c r="G17886" s="1"/>
    </row>
    <row r="17887">
      <c r="B17887" s="36"/>
      <c r="C17887" s="36"/>
      <c r="E17887" s="1"/>
      <c r="F17887" s="1"/>
      <c r="G17887" s="1"/>
    </row>
    <row r="17888">
      <c r="B17888" s="36"/>
      <c r="C17888" s="36"/>
      <c r="E17888" s="1"/>
      <c r="F17888" s="1"/>
      <c r="G17888" s="1"/>
    </row>
    <row r="17889">
      <c r="B17889" s="36"/>
      <c r="C17889" s="36"/>
      <c r="E17889" s="1"/>
      <c r="F17889" s="1"/>
      <c r="G17889" s="1"/>
    </row>
    <row r="17890">
      <c r="B17890" s="36"/>
      <c r="C17890" s="36"/>
      <c r="E17890" s="1"/>
      <c r="F17890" s="1"/>
      <c r="G17890" s="1"/>
    </row>
    <row r="17891">
      <c r="B17891" s="36"/>
      <c r="C17891" s="36"/>
      <c r="E17891" s="1"/>
      <c r="F17891" s="1"/>
      <c r="G17891" s="1"/>
    </row>
    <row r="17892">
      <c r="B17892" s="36"/>
      <c r="C17892" s="36"/>
      <c r="E17892" s="1"/>
      <c r="F17892" s="1"/>
      <c r="G17892" s="1"/>
    </row>
    <row r="17893">
      <c r="B17893" s="36"/>
      <c r="C17893" s="36"/>
      <c r="E17893" s="1"/>
      <c r="F17893" s="1"/>
      <c r="G17893" s="1"/>
    </row>
    <row r="17894">
      <c r="B17894" s="36"/>
      <c r="C17894" s="36"/>
      <c r="E17894" s="1"/>
      <c r="F17894" s="1"/>
      <c r="G17894" s="1"/>
    </row>
    <row r="17895">
      <c r="B17895" s="36"/>
      <c r="C17895" s="36"/>
      <c r="E17895" s="1"/>
      <c r="F17895" s="1"/>
      <c r="G17895" s="1"/>
    </row>
    <row r="17896">
      <c r="B17896" s="36"/>
      <c r="C17896" s="36"/>
      <c r="E17896" s="1"/>
      <c r="F17896" s="1"/>
      <c r="G17896" s="1"/>
    </row>
    <row r="17897">
      <c r="B17897" s="36"/>
      <c r="C17897" s="36"/>
      <c r="E17897" s="1"/>
      <c r="F17897" s="1"/>
      <c r="G17897" s="1"/>
    </row>
    <row r="17898">
      <c r="B17898" s="36"/>
      <c r="C17898" s="36"/>
      <c r="E17898" s="1"/>
      <c r="F17898" s="1"/>
      <c r="G17898" s="1"/>
    </row>
    <row r="17899">
      <c r="B17899" s="36"/>
      <c r="C17899" s="36"/>
      <c r="E17899" s="1"/>
      <c r="F17899" s="1"/>
      <c r="G17899" s="1"/>
    </row>
    <row r="17900">
      <c r="B17900" s="36"/>
      <c r="C17900" s="36"/>
      <c r="E17900" s="1"/>
      <c r="F17900" s="1"/>
      <c r="G17900" s="1"/>
    </row>
    <row r="17901">
      <c r="B17901" s="36"/>
      <c r="C17901" s="36"/>
      <c r="E17901" s="1"/>
      <c r="F17901" s="1"/>
      <c r="G17901" s="1"/>
    </row>
    <row r="17902">
      <c r="B17902" s="36"/>
      <c r="C17902" s="36"/>
      <c r="E17902" s="1"/>
      <c r="F17902" s="1"/>
      <c r="G17902" s="1"/>
    </row>
    <row r="17903">
      <c r="B17903" s="36"/>
      <c r="C17903" s="36"/>
      <c r="E17903" s="1"/>
      <c r="F17903" s="1"/>
      <c r="G17903" s="1"/>
    </row>
    <row r="17904">
      <c r="B17904" s="36"/>
      <c r="C17904" s="36"/>
      <c r="E17904" s="1"/>
      <c r="F17904" s="1"/>
      <c r="G17904" s="1"/>
    </row>
    <row r="17905">
      <c r="B17905" s="36"/>
      <c r="C17905" s="36"/>
      <c r="E17905" s="1"/>
      <c r="F17905" s="1"/>
      <c r="G17905" s="1"/>
    </row>
    <row r="17906">
      <c r="B17906" s="36"/>
      <c r="C17906" s="36"/>
      <c r="E17906" s="1"/>
      <c r="F17906" s="1"/>
      <c r="G17906" s="1"/>
    </row>
    <row r="17907">
      <c r="B17907" s="36"/>
      <c r="C17907" s="36"/>
      <c r="E17907" s="1"/>
      <c r="F17907" s="1"/>
      <c r="G17907" s="1"/>
    </row>
    <row r="17908">
      <c r="B17908" s="36"/>
      <c r="C17908" s="36"/>
      <c r="E17908" s="1"/>
      <c r="F17908" s="1"/>
      <c r="G17908" s="1"/>
    </row>
    <row r="17909">
      <c r="B17909" s="36"/>
      <c r="C17909" s="36"/>
      <c r="E17909" s="1"/>
      <c r="F17909" s="1"/>
      <c r="G17909" s="1"/>
    </row>
    <row r="17910">
      <c r="B17910" s="36"/>
      <c r="C17910" s="36"/>
      <c r="E17910" s="1"/>
      <c r="F17910" s="1"/>
      <c r="G17910" s="1"/>
    </row>
    <row r="17911">
      <c r="B17911" s="36"/>
      <c r="C17911" s="36"/>
      <c r="E17911" s="1"/>
      <c r="F17911" s="1"/>
      <c r="G17911" s="1"/>
    </row>
    <row r="17912">
      <c r="B17912" s="36"/>
      <c r="C17912" s="36"/>
      <c r="E17912" s="1"/>
      <c r="F17912" s="1"/>
      <c r="G17912" s="1"/>
    </row>
    <row r="17913">
      <c r="B17913" s="36"/>
      <c r="C17913" s="36"/>
      <c r="E17913" s="1"/>
      <c r="F17913" s="1"/>
      <c r="G17913" s="1"/>
    </row>
    <row r="17914">
      <c r="B17914" s="36"/>
      <c r="C17914" s="36"/>
      <c r="E17914" s="1"/>
      <c r="F17914" s="1"/>
      <c r="G17914" s="1"/>
    </row>
    <row r="17915">
      <c r="B17915" s="36"/>
      <c r="C17915" s="36"/>
      <c r="E17915" s="1"/>
      <c r="F17915" s="1"/>
      <c r="G17915" s="1"/>
    </row>
    <row r="17916">
      <c r="B17916" s="36"/>
      <c r="C17916" s="36"/>
      <c r="E17916" s="1"/>
      <c r="F17916" s="1"/>
      <c r="G17916" s="1"/>
    </row>
    <row r="17917">
      <c r="B17917" s="36"/>
      <c r="C17917" s="36"/>
      <c r="E17917" s="1"/>
      <c r="F17917" s="1"/>
      <c r="G17917" s="1"/>
    </row>
    <row r="17918">
      <c r="B17918" s="36"/>
      <c r="C17918" s="36"/>
      <c r="E17918" s="1"/>
      <c r="F17918" s="1"/>
      <c r="G17918" s="1"/>
    </row>
    <row r="17919">
      <c r="B17919" s="36"/>
      <c r="C17919" s="36"/>
      <c r="E17919" s="1"/>
      <c r="F17919" s="1"/>
      <c r="G17919" s="1"/>
    </row>
    <row r="17920">
      <c r="B17920" s="36"/>
      <c r="C17920" s="36"/>
      <c r="E17920" s="1"/>
      <c r="F17920" s="1"/>
      <c r="G17920" s="1"/>
    </row>
    <row r="17921">
      <c r="B17921" s="36"/>
      <c r="C17921" s="36"/>
      <c r="E17921" s="1"/>
      <c r="F17921" s="1"/>
      <c r="G17921" s="1"/>
    </row>
    <row r="17922">
      <c r="B17922" s="36"/>
      <c r="C17922" s="36"/>
      <c r="E17922" s="1"/>
      <c r="F17922" s="1"/>
      <c r="G17922" s="1"/>
    </row>
    <row r="17923">
      <c r="B17923" s="36"/>
      <c r="C17923" s="36"/>
      <c r="E17923" s="1"/>
      <c r="F17923" s="1"/>
      <c r="G17923" s="1"/>
    </row>
    <row r="17924">
      <c r="B17924" s="36"/>
      <c r="C17924" s="36"/>
      <c r="E17924" s="1"/>
      <c r="F17924" s="1"/>
      <c r="G17924" s="1"/>
    </row>
    <row r="17925">
      <c r="B17925" s="36"/>
      <c r="C17925" s="36"/>
      <c r="E17925" s="1"/>
      <c r="F17925" s="1"/>
      <c r="G17925" s="1"/>
    </row>
    <row r="17926">
      <c r="B17926" s="36"/>
      <c r="C17926" s="36"/>
      <c r="E17926" s="1"/>
      <c r="F17926" s="1"/>
      <c r="G17926" s="1"/>
    </row>
    <row r="17927">
      <c r="B17927" s="36"/>
      <c r="C17927" s="36"/>
      <c r="E17927" s="1"/>
      <c r="F17927" s="1"/>
      <c r="G17927" s="1"/>
    </row>
    <row r="17928">
      <c r="B17928" s="36"/>
      <c r="C17928" s="36"/>
      <c r="E17928" s="1"/>
      <c r="F17928" s="1"/>
      <c r="G17928" s="1"/>
    </row>
    <row r="17929">
      <c r="B17929" s="36"/>
      <c r="C17929" s="36"/>
      <c r="E17929" s="1"/>
      <c r="F17929" s="1"/>
      <c r="G17929" s="1"/>
    </row>
    <row r="17930">
      <c r="B17930" s="36"/>
      <c r="C17930" s="36"/>
      <c r="E17930" s="1"/>
      <c r="F17930" s="1"/>
      <c r="G17930" s="1"/>
    </row>
    <row r="17931">
      <c r="B17931" s="36"/>
      <c r="C17931" s="36"/>
      <c r="E17931" s="1"/>
      <c r="F17931" s="1"/>
      <c r="G17931" s="1"/>
    </row>
    <row r="17932">
      <c r="B17932" s="36"/>
      <c r="C17932" s="36"/>
      <c r="E17932" s="1"/>
      <c r="F17932" s="1"/>
      <c r="G17932" s="1"/>
    </row>
    <row r="17933">
      <c r="B17933" s="36"/>
      <c r="C17933" s="36"/>
      <c r="E17933" s="1"/>
      <c r="F17933" s="1"/>
      <c r="G17933" s="1"/>
    </row>
    <row r="17934">
      <c r="B17934" s="36"/>
      <c r="C17934" s="36"/>
      <c r="E17934" s="1"/>
      <c r="F17934" s="1"/>
      <c r="G17934" s="1"/>
    </row>
    <row r="17935">
      <c r="B17935" s="36"/>
      <c r="C17935" s="36"/>
      <c r="E17935" s="1"/>
      <c r="F17935" s="1"/>
      <c r="G17935" s="1"/>
    </row>
    <row r="17936">
      <c r="B17936" s="36"/>
      <c r="C17936" s="36"/>
      <c r="E17936" s="1"/>
      <c r="F17936" s="1"/>
      <c r="G17936" s="1"/>
    </row>
    <row r="17937">
      <c r="B17937" s="36"/>
      <c r="C17937" s="36"/>
      <c r="E17937" s="1"/>
      <c r="F17937" s="1"/>
      <c r="G17937" s="1"/>
    </row>
    <row r="17938">
      <c r="B17938" s="36"/>
      <c r="C17938" s="36"/>
      <c r="E17938" s="1"/>
      <c r="F17938" s="1"/>
      <c r="G17938" s="1"/>
    </row>
    <row r="17939">
      <c r="B17939" s="36"/>
      <c r="C17939" s="36"/>
      <c r="E17939" s="1"/>
      <c r="F17939" s="1"/>
      <c r="G17939" s="1"/>
    </row>
    <row r="17940">
      <c r="B17940" s="36"/>
      <c r="C17940" s="36"/>
      <c r="E17940" s="1"/>
      <c r="F17940" s="1"/>
      <c r="G17940" s="1"/>
    </row>
    <row r="17941">
      <c r="B17941" s="36"/>
      <c r="C17941" s="36"/>
      <c r="E17941" s="1"/>
      <c r="F17941" s="1"/>
      <c r="G17941" s="1"/>
    </row>
    <row r="17942">
      <c r="B17942" s="36"/>
      <c r="C17942" s="36"/>
      <c r="E17942" s="1"/>
      <c r="F17942" s="1"/>
      <c r="G17942" s="1"/>
    </row>
    <row r="17943">
      <c r="B17943" s="36"/>
      <c r="C17943" s="36"/>
      <c r="E17943" s="1"/>
      <c r="F17943" s="1"/>
      <c r="G17943" s="1"/>
    </row>
    <row r="17944">
      <c r="B17944" s="36"/>
      <c r="C17944" s="36"/>
      <c r="E17944" s="1"/>
      <c r="F17944" s="1"/>
      <c r="G17944" s="1"/>
    </row>
    <row r="17945">
      <c r="B17945" s="36"/>
      <c r="C17945" s="36"/>
      <c r="E17945" s="1"/>
      <c r="F17945" s="1"/>
      <c r="G17945" s="1"/>
    </row>
    <row r="17946">
      <c r="B17946" s="36"/>
      <c r="C17946" s="36"/>
      <c r="E17946" s="1"/>
      <c r="F17946" s="1"/>
      <c r="G17946" s="1"/>
    </row>
    <row r="17947">
      <c r="B17947" s="36"/>
      <c r="C17947" s="36"/>
      <c r="E17947" s="1"/>
      <c r="F17947" s="1"/>
      <c r="G17947" s="1"/>
    </row>
    <row r="17948">
      <c r="B17948" s="36"/>
      <c r="C17948" s="36"/>
      <c r="E17948" s="1"/>
      <c r="F17948" s="1"/>
      <c r="G17948" s="1"/>
    </row>
    <row r="17949">
      <c r="B17949" s="36"/>
      <c r="C17949" s="36"/>
      <c r="E17949" s="1"/>
      <c r="F17949" s="1"/>
      <c r="G17949" s="1"/>
    </row>
    <row r="17950">
      <c r="B17950" s="36"/>
      <c r="C17950" s="36"/>
      <c r="E17950" s="1"/>
      <c r="F17950" s="1"/>
      <c r="G17950" s="1"/>
    </row>
    <row r="17951">
      <c r="B17951" s="36"/>
      <c r="C17951" s="36"/>
      <c r="E17951" s="1"/>
      <c r="F17951" s="1"/>
      <c r="G17951" s="1"/>
    </row>
    <row r="17952">
      <c r="B17952" s="36"/>
      <c r="C17952" s="36"/>
      <c r="E17952" s="1"/>
      <c r="F17952" s="1"/>
      <c r="G17952" s="1"/>
    </row>
    <row r="17953">
      <c r="B17953" s="36"/>
      <c r="C17953" s="36"/>
      <c r="E17953" s="1"/>
      <c r="F17953" s="1"/>
      <c r="G17953" s="1"/>
    </row>
    <row r="17954">
      <c r="B17954" s="36"/>
      <c r="C17954" s="36"/>
      <c r="E17954" s="1"/>
      <c r="F17954" s="1"/>
      <c r="G17954" s="1"/>
    </row>
    <row r="17955">
      <c r="B17955" s="36"/>
      <c r="C17955" s="36"/>
      <c r="E17955" s="1"/>
      <c r="F17955" s="1"/>
      <c r="G17955" s="1"/>
    </row>
    <row r="17956">
      <c r="B17956" s="36"/>
      <c r="C17956" s="36"/>
      <c r="E17956" s="1"/>
      <c r="F17956" s="1"/>
      <c r="G17956" s="1"/>
    </row>
    <row r="17957">
      <c r="B17957" s="36"/>
      <c r="C17957" s="36"/>
      <c r="E17957" s="1"/>
      <c r="F17957" s="1"/>
      <c r="G17957" s="1"/>
    </row>
    <row r="17958">
      <c r="B17958" s="36"/>
      <c r="C17958" s="36"/>
      <c r="E17958" s="1"/>
      <c r="F17958" s="1"/>
      <c r="G17958" s="1"/>
    </row>
    <row r="17959">
      <c r="B17959" s="36"/>
      <c r="C17959" s="36"/>
      <c r="E17959" s="1"/>
      <c r="F17959" s="1"/>
      <c r="G17959" s="1"/>
    </row>
    <row r="17960">
      <c r="B17960" s="36"/>
      <c r="C17960" s="36"/>
      <c r="E17960" s="1"/>
      <c r="F17960" s="1"/>
      <c r="G17960" s="1"/>
    </row>
    <row r="17961">
      <c r="B17961" s="36"/>
      <c r="C17961" s="36"/>
      <c r="E17961" s="1"/>
      <c r="F17961" s="1"/>
      <c r="G17961" s="1"/>
    </row>
    <row r="17962">
      <c r="B17962" s="36"/>
      <c r="C17962" s="36"/>
      <c r="E17962" s="1"/>
      <c r="F17962" s="1"/>
      <c r="G17962" s="1"/>
    </row>
    <row r="17963">
      <c r="B17963" s="36"/>
      <c r="C17963" s="36"/>
      <c r="E17963" s="1"/>
      <c r="F17963" s="1"/>
      <c r="G17963" s="1"/>
    </row>
    <row r="17964">
      <c r="B17964" s="36"/>
      <c r="C17964" s="36"/>
      <c r="E17964" s="1"/>
      <c r="F17964" s="1"/>
      <c r="G17964" s="1"/>
    </row>
    <row r="17965">
      <c r="B17965" s="36"/>
      <c r="C17965" s="36"/>
      <c r="E17965" s="1"/>
      <c r="F17965" s="1"/>
      <c r="G17965" s="1"/>
    </row>
    <row r="17966">
      <c r="B17966" s="36"/>
      <c r="C17966" s="36"/>
      <c r="E17966" s="1"/>
      <c r="F17966" s="1"/>
      <c r="G17966" s="1"/>
    </row>
    <row r="17967">
      <c r="B17967" s="36"/>
      <c r="C17967" s="36"/>
      <c r="E17967" s="1"/>
      <c r="F17967" s="1"/>
      <c r="G17967" s="1"/>
    </row>
    <row r="17968">
      <c r="B17968" s="36"/>
      <c r="C17968" s="36"/>
      <c r="E17968" s="1"/>
      <c r="F17968" s="1"/>
      <c r="G17968" s="1"/>
    </row>
    <row r="17969">
      <c r="B17969" s="36"/>
      <c r="C17969" s="36"/>
      <c r="E17969" s="1"/>
      <c r="F17969" s="1"/>
      <c r="G17969" s="1"/>
    </row>
    <row r="17970">
      <c r="B17970" s="36"/>
      <c r="C17970" s="36"/>
      <c r="E17970" s="1"/>
      <c r="F17970" s="1"/>
      <c r="G17970" s="1"/>
    </row>
    <row r="17971">
      <c r="B17971" s="36"/>
      <c r="C17971" s="36"/>
      <c r="E17971" s="1"/>
      <c r="F17971" s="1"/>
      <c r="G17971" s="1"/>
    </row>
    <row r="17972">
      <c r="B17972" s="36"/>
      <c r="C17972" s="36"/>
      <c r="E17972" s="1"/>
      <c r="F17972" s="1"/>
      <c r="G17972" s="1"/>
    </row>
    <row r="17973">
      <c r="B17973" s="36"/>
      <c r="C17973" s="36"/>
      <c r="E17973" s="1"/>
      <c r="F17973" s="1"/>
      <c r="G17973" s="1"/>
    </row>
    <row r="17974">
      <c r="B17974" s="36"/>
      <c r="C17974" s="36"/>
      <c r="E17974" s="1"/>
      <c r="F17974" s="1"/>
      <c r="G17974" s="1"/>
    </row>
    <row r="17975">
      <c r="B17975" s="36"/>
      <c r="C17975" s="36"/>
      <c r="E17975" s="1"/>
      <c r="F17975" s="1"/>
      <c r="G17975" s="1"/>
    </row>
    <row r="17976">
      <c r="B17976" s="36"/>
      <c r="C17976" s="36"/>
      <c r="E17976" s="1"/>
      <c r="F17976" s="1"/>
      <c r="G17976" s="1"/>
    </row>
    <row r="17977">
      <c r="B17977" s="36"/>
      <c r="C17977" s="36"/>
      <c r="E17977" s="1"/>
      <c r="F17977" s="1"/>
      <c r="G17977" s="1"/>
    </row>
    <row r="17978">
      <c r="B17978" s="36"/>
      <c r="C17978" s="36"/>
      <c r="E17978" s="1"/>
      <c r="F17978" s="1"/>
      <c r="G17978" s="1"/>
    </row>
    <row r="17979">
      <c r="B17979" s="36"/>
      <c r="C17979" s="36"/>
      <c r="E17979" s="1"/>
      <c r="F17979" s="1"/>
      <c r="G17979" s="1"/>
    </row>
    <row r="17980">
      <c r="B17980" s="36"/>
      <c r="C17980" s="36"/>
      <c r="E17980" s="1"/>
      <c r="F17980" s="1"/>
      <c r="G17980" s="1"/>
    </row>
    <row r="17981">
      <c r="B17981" s="36"/>
      <c r="C17981" s="36"/>
      <c r="E17981" s="1"/>
      <c r="F17981" s="1"/>
      <c r="G17981" s="1"/>
    </row>
    <row r="17982">
      <c r="B17982" s="36"/>
      <c r="C17982" s="36"/>
      <c r="E17982" s="1"/>
      <c r="F17982" s="1"/>
      <c r="G17982" s="1"/>
    </row>
    <row r="17983">
      <c r="B17983" s="36"/>
      <c r="C17983" s="36"/>
      <c r="E17983" s="1"/>
      <c r="F17983" s="1"/>
      <c r="G17983" s="1"/>
    </row>
    <row r="17984">
      <c r="B17984" s="36"/>
      <c r="C17984" s="36"/>
      <c r="E17984" s="1"/>
      <c r="F17984" s="1"/>
      <c r="G17984" s="1"/>
    </row>
    <row r="17985">
      <c r="B17985" s="36"/>
      <c r="C17985" s="36"/>
      <c r="E17985" s="1"/>
      <c r="F17985" s="1"/>
      <c r="G17985" s="1"/>
    </row>
    <row r="17986">
      <c r="B17986" s="36"/>
      <c r="C17986" s="36"/>
      <c r="E17986" s="1"/>
      <c r="F17986" s="1"/>
      <c r="G17986" s="1"/>
    </row>
    <row r="17987">
      <c r="B17987" s="36"/>
      <c r="C17987" s="36"/>
      <c r="E17987" s="1"/>
      <c r="F17987" s="1"/>
      <c r="G17987" s="1"/>
    </row>
    <row r="17988">
      <c r="B17988" s="36"/>
      <c r="C17988" s="36"/>
      <c r="E17988" s="1"/>
      <c r="F17988" s="1"/>
      <c r="G17988" s="1"/>
    </row>
    <row r="17989">
      <c r="B17989" s="36"/>
      <c r="C17989" s="36"/>
      <c r="E17989" s="1"/>
      <c r="F17989" s="1"/>
      <c r="G17989" s="1"/>
    </row>
    <row r="17990">
      <c r="B17990" s="36"/>
      <c r="C17990" s="36"/>
      <c r="E17990" s="1"/>
      <c r="F17990" s="1"/>
      <c r="G17990" s="1"/>
    </row>
    <row r="17991">
      <c r="B17991" s="36"/>
      <c r="C17991" s="36"/>
      <c r="E17991" s="1"/>
      <c r="F17991" s="1"/>
      <c r="G17991" s="1"/>
    </row>
    <row r="17992">
      <c r="B17992" s="36"/>
      <c r="C17992" s="36"/>
      <c r="E17992" s="1"/>
      <c r="F17992" s="1"/>
      <c r="G17992" s="1"/>
    </row>
    <row r="17993">
      <c r="B17993" s="36"/>
      <c r="C17993" s="36"/>
      <c r="E17993" s="1"/>
      <c r="F17993" s="1"/>
      <c r="G17993" s="1"/>
    </row>
    <row r="17994">
      <c r="B17994" s="36"/>
      <c r="C17994" s="36"/>
      <c r="E17994" s="1"/>
      <c r="F17994" s="1"/>
      <c r="G17994" s="1"/>
    </row>
    <row r="17995">
      <c r="B17995" s="36"/>
      <c r="C17995" s="36"/>
      <c r="E17995" s="1"/>
      <c r="F17995" s="1"/>
      <c r="G17995" s="1"/>
    </row>
    <row r="17996">
      <c r="B17996" s="36"/>
      <c r="C17996" s="36"/>
      <c r="E17996" s="1"/>
      <c r="F17996" s="1"/>
      <c r="G17996" s="1"/>
    </row>
    <row r="17997">
      <c r="B17997" s="36"/>
      <c r="C17997" s="36"/>
      <c r="E17997" s="1"/>
      <c r="F17997" s="1"/>
      <c r="G17997" s="1"/>
    </row>
    <row r="17998">
      <c r="B17998" s="36"/>
      <c r="C17998" s="36"/>
      <c r="E17998" s="1"/>
      <c r="F17998" s="1"/>
      <c r="G17998" s="1"/>
    </row>
    <row r="17999">
      <c r="B17999" s="36"/>
      <c r="C17999" s="36"/>
      <c r="E17999" s="1"/>
      <c r="F17999" s="1"/>
      <c r="G17999" s="1"/>
    </row>
    <row r="18000">
      <c r="B18000" s="36"/>
      <c r="C18000" s="36"/>
      <c r="E18000" s="1"/>
      <c r="F18000" s="1"/>
      <c r="G18000" s="1"/>
    </row>
    <row r="18001">
      <c r="B18001" s="36"/>
      <c r="C18001" s="36"/>
      <c r="E18001" s="1"/>
      <c r="F18001" s="1"/>
      <c r="G18001" s="1"/>
    </row>
    <row r="18002">
      <c r="B18002" s="36"/>
      <c r="C18002" s="36"/>
      <c r="E18002" s="1"/>
      <c r="F18002" s="1"/>
      <c r="G18002" s="1"/>
    </row>
    <row r="18003">
      <c r="B18003" s="36"/>
      <c r="C18003" s="36"/>
      <c r="E18003" s="1"/>
      <c r="F18003" s="1"/>
      <c r="G18003" s="1"/>
    </row>
    <row r="18004">
      <c r="B18004" s="36"/>
      <c r="C18004" s="36"/>
      <c r="E18004" s="1"/>
      <c r="F18004" s="1"/>
      <c r="G18004" s="1"/>
    </row>
    <row r="18005">
      <c r="B18005" s="36"/>
      <c r="C18005" s="36"/>
      <c r="E18005" s="1"/>
      <c r="F18005" s="1"/>
      <c r="G18005" s="1"/>
    </row>
    <row r="18006">
      <c r="B18006" s="36"/>
      <c r="C18006" s="36"/>
      <c r="E18006" s="1"/>
      <c r="F18006" s="1"/>
      <c r="G18006" s="1"/>
    </row>
    <row r="18007">
      <c r="B18007" s="36"/>
      <c r="C18007" s="36"/>
      <c r="E18007" s="1"/>
      <c r="F18007" s="1"/>
      <c r="G18007" s="1"/>
    </row>
    <row r="18008">
      <c r="B18008" s="36"/>
      <c r="C18008" s="36"/>
      <c r="E18008" s="1"/>
      <c r="F18008" s="1"/>
      <c r="G18008" s="1"/>
    </row>
    <row r="18009">
      <c r="B18009" s="36"/>
      <c r="C18009" s="36"/>
      <c r="E18009" s="1"/>
      <c r="F18009" s="1"/>
      <c r="G18009" s="1"/>
    </row>
    <row r="18010">
      <c r="B18010" s="36"/>
      <c r="C18010" s="36"/>
      <c r="E18010" s="1"/>
      <c r="F18010" s="1"/>
      <c r="G18010" s="1"/>
    </row>
    <row r="18011">
      <c r="B18011" s="36"/>
      <c r="C18011" s="36"/>
      <c r="E18011" s="1"/>
      <c r="F18011" s="1"/>
      <c r="G18011" s="1"/>
    </row>
    <row r="18012">
      <c r="B18012" s="36"/>
      <c r="C18012" s="36"/>
      <c r="E18012" s="1"/>
      <c r="F18012" s="1"/>
      <c r="G18012" s="1"/>
    </row>
    <row r="18013">
      <c r="B18013" s="36"/>
      <c r="C18013" s="36"/>
      <c r="E18013" s="1"/>
      <c r="F18013" s="1"/>
      <c r="G18013" s="1"/>
    </row>
    <row r="18014">
      <c r="B18014" s="36"/>
      <c r="C18014" s="36"/>
      <c r="E18014" s="1"/>
      <c r="F18014" s="1"/>
      <c r="G18014" s="1"/>
    </row>
    <row r="18015">
      <c r="B18015" s="36"/>
      <c r="C18015" s="36"/>
      <c r="E18015" s="1"/>
      <c r="F18015" s="1"/>
      <c r="G18015" s="1"/>
    </row>
    <row r="18016">
      <c r="B18016" s="36"/>
      <c r="C18016" s="36"/>
      <c r="E18016" s="1"/>
      <c r="F18016" s="1"/>
      <c r="G18016" s="1"/>
    </row>
    <row r="18017">
      <c r="B18017" s="36"/>
      <c r="C18017" s="36"/>
      <c r="E18017" s="1"/>
      <c r="F18017" s="1"/>
      <c r="G18017" s="1"/>
    </row>
    <row r="18018">
      <c r="B18018" s="36"/>
      <c r="C18018" s="36"/>
      <c r="E18018" s="1"/>
      <c r="F18018" s="1"/>
      <c r="G18018" s="1"/>
    </row>
    <row r="18019">
      <c r="B18019" s="36"/>
      <c r="C18019" s="36"/>
      <c r="E18019" s="1"/>
      <c r="F18019" s="1"/>
      <c r="G18019" s="1"/>
    </row>
    <row r="18020">
      <c r="B18020" s="36"/>
      <c r="C18020" s="36"/>
      <c r="E18020" s="1"/>
      <c r="F18020" s="1"/>
      <c r="G18020" s="1"/>
    </row>
    <row r="18021">
      <c r="B18021" s="36"/>
      <c r="C18021" s="36"/>
      <c r="E18021" s="1"/>
      <c r="F18021" s="1"/>
      <c r="G18021" s="1"/>
    </row>
    <row r="18022">
      <c r="B18022" s="36"/>
      <c r="C18022" s="36"/>
      <c r="E18022" s="1"/>
      <c r="F18022" s="1"/>
      <c r="G18022" s="1"/>
    </row>
    <row r="18023">
      <c r="B18023" s="36"/>
      <c r="C18023" s="36"/>
      <c r="E18023" s="1"/>
      <c r="F18023" s="1"/>
      <c r="G18023" s="1"/>
    </row>
    <row r="18024">
      <c r="B18024" s="36"/>
      <c r="C18024" s="36"/>
      <c r="E18024" s="1"/>
      <c r="F18024" s="1"/>
      <c r="G18024" s="1"/>
    </row>
    <row r="18025">
      <c r="B18025" s="36"/>
      <c r="C18025" s="36"/>
      <c r="E18025" s="1"/>
      <c r="F18025" s="1"/>
      <c r="G18025" s="1"/>
    </row>
    <row r="18026">
      <c r="B18026" s="36"/>
      <c r="C18026" s="36"/>
      <c r="E18026" s="1"/>
      <c r="F18026" s="1"/>
      <c r="G18026" s="1"/>
    </row>
    <row r="18027">
      <c r="B18027" s="36"/>
      <c r="C18027" s="36"/>
      <c r="E18027" s="1"/>
      <c r="F18027" s="1"/>
      <c r="G18027" s="1"/>
    </row>
    <row r="18028">
      <c r="B18028" s="36"/>
      <c r="C18028" s="36"/>
      <c r="E18028" s="1"/>
      <c r="F18028" s="1"/>
      <c r="G18028" s="1"/>
    </row>
    <row r="18029">
      <c r="B18029" s="36"/>
      <c r="C18029" s="36"/>
      <c r="E18029" s="1"/>
      <c r="F18029" s="1"/>
      <c r="G18029" s="1"/>
    </row>
    <row r="18030">
      <c r="B18030" s="36"/>
      <c r="C18030" s="36"/>
      <c r="E18030" s="1"/>
      <c r="F18030" s="1"/>
      <c r="G18030" s="1"/>
    </row>
    <row r="18031">
      <c r="B18031" s="36"/>
      <c r="C18031" s="36"/>
      <c r="E18031" s="1"/>
      <c r="F18031" s="1"/>
      <c r="G18031" s="1"/>
    </row>
    <row r="18032">
      <c r="B18032" s="36"/>
      <c r="C18032" s="36"/>
      <c r="E18032" s="1"/>
      <c r="F18032" s="1"/>
      <c r="G18032" s="1"/>
    </row>
    <row r="18033">
      <c r="B18033" s="36"/>
      <c r="C18033" s="36"/>
      <c r="E18033" s="1"/>
      <c r="F18033" s="1"/>
      <c r="G18033" s="1"/>
    </row>
    <row r="18034">
      <c r="B18034" s="36"/>
      <c r="C18034" s="36"/>
      <c r="E18034" s="1"/>
      <c r="F18034" s="1"/>
      <c r="G18034" s="1"/>
    </row>
    <row r="18035">
      <c r="B18035" s="36"/>
      <c r="C18035" s="36"/>
      <c r="E18035" s="1"/>
      <c r="F18035" s="1"/>
      <c r="G18035" s="1"/>
    </row>
    <row r="18036">
      <c r="B18036" s="36"/>
      <c r="C18036" s="36"/>
      <c r="E18036" s="1"/>
      <c r="F18036" s="1"/>
      <c r="G18036" s="1"/>
    </row>
    <row r="18037">
      <c r="B18037" s="36"/>
      <c r="C18037" s="36"/>
      <c r="E18037" s="1"/>
      <c r="F18037" s="1"/>
      <c r="G18037" s="1"/>
    </row>
    <row r="18038">
      <c r="B18038" s="36"/>
      <c r="C18038" s="36"/>
      <c r="E18038" s="1"/>
      <c r="F18038" s="1"/>
      <c r="G18038" s="1"/>
    </row>
    <row r="18039">
      <c r="B18039" s="36"/>
      <c r="C18039" s="36"/>
      <c r="E18039" s="1"/>
      <c r="F18039" s="1"/>
      <c r="G18039" s="1"/>
    </row>
    <row r="18040">
      <c r="B18040" s="36"/>
      <c r="C18040" s="36"/>
      <c r="E18040" s="1"/>
      <c r="F18040" s="1"/>
      <c r="G18040" s="1"/>
    </row>
    <row r="18041">
      <c r="B18041" s="36"/>
      <c r="C18041" s="36"/>
      <c r="E18041" s="1"/>
      <c r="F18041" s="1"/>
      <c r="G18041" s="1"/>
    </row>
    <row r="18042">
      <c r="B18042" s="36"/>
      <c r="C18042" s="36"/>
      <c r="E18042" s="1"/>
      <c r="F18042" s="1"/>
      <c r="G18042" s="1"/>
    </row>
    <row r="18043">
      <c r="B18043" s="36"/>
      <c r="C18043" s="36"/>
      <c r="E18043" s="1"/>
      <c r="F18043" s="1"/>
      <c r="G18043" s="1"/>
    </row>
    <row r="18044">
      <c r="B18044" s="36"/>
      <c r="C18044" s="36"/>
      <c r="E18044" s="1"/>
      <c r="F18044" s="1"/>
      <c r="G18044" s="1"/>
    </row>
    <row r="18045">
      <c r="B18045" s="36"/>
      <c r="C18045" s="36"/>
      <c r="E18045" s="1"/>
      <c r="F18045" s="1"/>
      <c r="G18045" s="1"/>
    </row>
    <row r="18046">
      <c r="B18046" s="36"/>
      <c r="C18046" s="36"/>
      <c r="E18046" s="1"/>
      <c r="F18046" s="1"/>
      <c r="G18046" s="1"/>
    </row>
    <row r="18047">
      <c r="B18047" s="36"/>
      <c r="C18047" s="36"/>
      <c r="E18047" s="1"/>
      <c r="F18047" s="1"/>
      <c r="G18047" s="1"/>
    </row>
    <row r="18048">
      <c r="B18048" s="36"/>
      <c r="C18048" s="36"/>
      <c r="E18048" s="1"/>
      <c r="F18048" s="1"/>
      <c r="G18048" s="1"/>
    </row>
    <row r="18049">
      <c r="B18049" s="36"/>
      <c r="C18049" s="36"/>
      <c r="E18049" s="1"/>
      <c r="F18049" s="1"/>
      <c r="G18049" s="1"/>
    </row>
    <row r="18050">
      <c r="B18050" s="36"/>
      <c r="C18050" s="36"/>
      <c r="E18050" s="1"/>
      <c r="F18050" s="1"/>
      <c r="G18050" s="1"/>
    </row>
    <row r="18051">
      <c r="B18051" s="36"/>
      <c r="C18051" s="36"/>
      <c r="E18051" s="1"/>
      <c r="F18051" s="1"/>
      <c r="G18051" s="1"/>
    </row>
    <row r="18052">
      <c r="B18052" s="36"/>
      <c r="C18052" s="36"/>
      <c r="E18052" s="1"/>
      <c r="F18052" s="1"/>
      <c r="G18052" s="1"/>
    </row>
    <row r="18053">
      <c r="B18053" s="36"/>
      <c r="C18053" s="36"/>
      <c r="E18053" s="1"/>
      <c r="F18053" s="1"/>
      <c r="G18053" s="1"/>
    </row>
    <row r="18054">
      <c r="B18054" s="36"/>
      <c r="C18054" s="36"/>
      <c r="E18054" s="1"/>
      <c r="F18054" s="1"/>
      <c r="G18054" s="1"/>
    </row>
    <row r="18055">
      <c r="B18055" s="36"/>
      <c r="C18055" s="36"/>
      <c r="E18055" s="1"/>
      <c r="F18055" s="1"/>
      <c r="G18055" s="1"/>
    </row>
    <row r="18056">
      <c r="B18056" s="36"/>
      <c r="C18056" s="36"/>
      <c r="E18056" s="1"/>
      <c r="F18056" s="1"/>
      <c r="G18056" s="1"/>
    </row>
    <row r="18057">
      <c r="B18057" s="36"/>
      <c r="C18057" s="36"/>
      <c r="E18057" s="1"/>
      <c r="F18057" s="1"/>
      <c r="G18057" s="1"/>
    </row>
    <row r="18058">
      <c r="B18058" s="36"/>
      <c r="C18058" s="36"/>
      <c r="E18058" s="1"/>
      <c r="F18058" s="1"/>
      <c r="G18058" s="1"/>
    </row>
    <row r="18059">
      <c r="B18059" s="36"/>
      <c r="C18059" s="36"/>
      <c r="E18059" s="1"/>
      <c r="F18059" s="1"/>
      <c r="G18059" s="1"/>
    </row>
    <row r="18060">
      <c r="B18060" s="36"/>
      <c r="C18060" s="36"/>
      <c r="E18060" s="1"/>
      <c r="F18060" s="1"/>
      <c r="G18060" s="1"/>
    </row>
    <row r="18061">
      <c r="B18061" s="36"/>
      <c r="C18061" s="36"/>
      <c r="E18061" s="1"/>
      <c r="F18061" s="1"/>
      <c r="G18061" s="1"/>
    </row>
    <row r="18062">
      <c r="B18062" s="36"/>
      <c r="C18062" s="36"/>
      <c r="E18062" s="1"/>
      <c r="F18062" s="1"/>
      <c r="G18062" s="1"/>
    </row>
    <row r="18063">
      <c r="B18063" s="36"/>
      <c r="C18063" s="36"/>
      <c r="E18063" s="1"/>
      <c r="F18063" s="1"/>
      <c r="G18063" s="1"/>
    </row>
    <row r="18064">
      <c r="B18064" s="36"/>
      <c r="C18064" s="36"/>
      <c r="E18064" s="1"/>
      <c r="F18064" s="1"/>
      <c r="G18064" s="1"/>
    </row>
    <row r="18065">
      <c r="B18065" s="36"/>
      <c r="C18065" s="36"/>
      <c r="E18065" s="1"/>
      <c r="F18065" s="1"/>
      <c r="G18065" s="1"/>
    </row>
    <row r="18066">
      <c r="B18066" s="36"/>
      <c r="C18066" s="36"/>
      <c r="E18066" s="1"/>
      <c r="F18066" s="1"/>
      <c r="G18066" s="1"/>
    </row>
    <row r="18067">
      <c r="B18067" s="36"/>
      <c r="C18067" s="36"/>
      <c r="E18067" s="1"/>
      <c r="F18067" s="1"/>
      <c r="G18067" s="1"/>
    </row>
    <row r="18068">
      <c r="B18068" s="36"/>
      <c r="C18068" s="36"/>
      <c r="E18068" s="1"/>
      <c r="F18068" s="1"/>
      <c r="G18068" s="1"/>
    </row>
    <row r="18069">
      <c r="B18069" s="36"/>
      <c r="C18069" s="36"/>
      <c r="E18069" s="1"/>
      <c r="F18069" s="1"/>
      <c r="G18069" s="1"/>
    </row>
    <row r="18070">
      <c r="B18070" s="36"/>
      <c r="C18070" s="36"/>
      <c r="E18070" s="1"/>
      <c r="F18070" s="1"/>
      <c r="G18070" s="1"/>
    </row>
    <row r="18071">
      <c r="B18071" s="36"/>
      <c r="C18071" s="36"/>
      <c r="E18071" s="1"/>
      <c r="F18071" s="1"/>
      <c r="G18071" s="1"/>
    </row>
    <row r="18072">
      <c r="B18072" s="36"/>
      <c r="C18072" s="36"/>
      <c r="E18072" s="1"/>
      <c r="F18072" s="1"/>
      <c r="G18072" s="1"/>
    </row>
    <row r="18073">
      <c r="B18073" s="36"/>
      <c r="C18073" s="36"/>
      <c r="E18073" s="1"/>
      <c r="F18073" s="1"/>
      <c r="G18073" s="1"/>
    </row>
    <row r="18074">
      <c r="B18074" s="36"/>
      <c r="C18074" s="36"/>
      <c r="E18074" s="1"/>
      <c r="F18074" s="1"/>
      <c r="G18074" s="1"/>
    </row>
    <row r="18075">
      <c r="B18075" s="36"/>
      <c r="C18075" s="36"/>
      <c r="E18075" s="1"/>
      <c r="F18075" s="1"/>
      <c r="G18075" s="1"/>
    </row>
    <row r="18076">
      <c r="B18076" s="36"/>
      <c r="C18076" s="36"/>
      <c r="E18076" s="1"/>
      <c r="F18076" s="1"/>
      <c r="G18076" s="1"/>
    </row>
    <row r="18077">
      <c r="B18077" s="36"/>
      <c r="C18077" s="36"/>
      <c r="E18077" s="1"/>
      <c r="F18077" s="1"/>
      <c r="G18077" s="1"/>
    </row>
    <row r="18078">
      <c r="B18078" s="36"/>
      <c r="C18078" s="36"/>
      <c r="E18078" s="1"/>
      <c r="F18078" s="1"/>
      <c r="G18078" s="1"/>
    </row>
    <row r="18079">
      <c r="B18079" s="36"/>
      <c r="C18079" s="36"/>
      <c r="E18079" s="1"/>
      <c r="F18079" s="1"/>
      <c r="G18079" s="1"/>
    </row>
    <row r="18080">
      <c r="B18080" s="36"/>
      <c r="C18080" s="36"/>
      <c r="E18080" s="1"/>
      <c r="F18080" s="1"/>
      <c r="G18080" s="1"/>
    </row>
    <row r="18081">
      <c r="B18081" s="36"/>
      <c r="C18081" s="36"/>
      <c r="E18081" s="1"/>
      <c r="F18081" s="1"/>
      <c r="G18081" s="1"/>
    </row>
    <row r="18082">
      <c r="B18082" s="36"/>
      <c r="C18082" s="36"/>
      <c r="E18082" s="1"/>
      <c r="F18082" s="1"/>
      <c r="G18082" s="1"/>
    </row>
    <row r="18083">
      <c r="B18083" s="36"/>
      <c r="C18083" s="36"/>
      <c r="E18083" s="1"/>
      <c r="F18083" s="1"/>
      <c r="G18083" s="1"/>
    </row>
    <row r="18084">
      <c r="B18084" s="36"/>
      <c r="C18084" s="36"/>
      <c r="E18084" s="1"/>
      <c r="F18084" s="1"/>
      <c r="G18084" s="1"/>
    </row>
    <row r="18085">
      <c r="B18085" s="36"/>
      <c r="C18085" s="36"/>
      <c r="E18085" s="1"/>
      <c r="F18085" s="1"/>
      <c r="G18085" s="1"/>
    </row>
    <row r="18086">
      <c r="B18086" s="36"/>
      <c r="C18086" s="36"/>
      <c r="E18086" s="1"/>
      <c r="F18086" s="1"/>
      <c r="G18086" s="1"/>
    </row>
    <row r="18087">
      <c r="B18087" s="36"/>
      <c r="C18087" s="36"/>
      <c r="E18087" s="1"/>
      <c r="F18087" s="1"/>
      <c r="G18087" s="1"/>
    </row>
    <row r="18088">
      <c r="B18088" s="36"/>
      <c r="C18088" s="36"/>
      <c r="E18088" s="1"/>
      <c r="F18088" s="1"/>
      <c r="G18088" s="1"/>
    </row>
    <row r="18089">
      <c r="B18089" s="36"/>
      <c r="C18089" s="36"/>
      <c r="E18089" s="1"/>
      <c r="F18089" s="1"/>
      <c r="G18089" s="1"/>
    </row>
    <row r="18090">
      <c r="B18090" s="36"/>
      <c r="C18090" s="36"/>
      <c r="E18090" s="1"/>
      <c r="F18090" s="1"/>
      <c r="G18090" s="1"/>
    </row>
    <row r="18091">
      <c r="B18091" s="36"/>
      <c r="C18091" s="36"/>
      <c r="E18091" s="1"/>
      <c r="F18091" s="1"/>
      <c r="G18091" s="1"/>
    </row>
    <row r="18092">
      <c r="B18092" s="36"/>
      <c r="C18092" s="36"/>
      <c r="E18092" s="1"/>
      <c r="F18092" s="1"/>
      <c r="G18092" s="1"/>
    </row>
    <row r="18093">
      <c r="B18093" s="36"/>
      <c r="C18093" s="36"/>
      <c r="E18093" s="1"/>
      <c r="F18093" s="1"/>
      <c r="G18093" s="1"/>
    </row>
    <row r="18094">
      <c r="B18094" s="36"/>
      <c r="C18094" s="36"/>
      <c r="E18094" s="1"/>
      <c r="F18094" s="1"/>
      <c r="G18094" s="1"/>
    </row>
    <row r="18095">
      <c r="B18095" s="36"/>
      <c r="C18095" s="36"/>
      <c r="E18095" s="1"/>
      <c r="F18095" s="1"/>
      <c r="G18095" s="1"/>
    </row>
    <row r="18096">
      <c r="B18096" s="36"/>
      <c r="C18096" s="36"/>
      <c r="E18096" s="1"/>
      <c r="F18096" s="1"/>
      <c r="G18096" s="1"/>
    </row>
    <row r="18097">
      <c r="B18097" s="36"/>
      <c r="C18097" s="36"/>
      <c r="E18097" s="1"/>
      <c r="F18097" s="1"/>
      <c r="G18097" s="1"/>
    </row>
    <row r="18098">
      <c r="B18098" s="36"/>
      <c r="C18098" s="36"/>
      <c r="E18098" s="1"/>
      <c r="F18098" s="1"/>
      <c r="G18098" s="1"/>
    </row>
    <row r="18099">
      <c r="B18099" s="36"/>
      <c r="C18099" s="36"/>
      <c r="E18099" s="1"/>
      <c r="F18099" s="1"/>
      <c r="G18099" s="1"/>
    </row>
    <row r="18100">
      <c r="B18100" s="36"/>
      <c r="C18100" s="36"/>
      <c r="E18100" s="1"/>
      <c r="F18100" s="1"/>
      <c r="G18100" s="1"/>
    </row>
    <row r="18101">
      <c r="B18101" s="36"/>
      <c r="C18101" s="36"/>
      <c r="E18101" s="1"/>
      <c r="F18101" s="1"/>
      <c r="G18101" s="1"/>
    </row>
    <row r="18102">
      <c r="B18102" s="36"/>
      <c r="C18102" s="36"/>
      <c r="E18102" s="1"/>
      <c r="F18102" s="1"/>
      <c r="G18102" s="1"/>
    </row>
    <row r="18103">
      <c r="B18103" s="36"/>
      <c r="C18103" s="36"/>
      <c r="E18103" s="1"/>
      <c r="F18103" s="1"/>
      <c r="G18103" s="1"/>
    </row>
    <row r="18104">
      <c r="B18104" s="36"/>
      <c r="C18104" s="36"/>
      <c r="E18104" s="1"/>
      <c r="F18104" s="1"/>
      <c r="G18104" s="1"/>
    </row>
    <row r="18105">
      <c r="B18105" s="36"/>
      <c r="C18105" s="36"/>
      <c r="E18105" s="1"/>
      <c r="F18105" s="1"/>
      <c r="G18105" s="1"/>
    </row>
    <row r="18106">
      <c r="B18106" s="36"/>
      <c r="C18106" s="36"/>
      <c r="E18106" s="1"/>
      <c r="F18106" s="1"/>
      <c r="G18106" s="1"/>
    </row>
    <row r="18107">
      <c r="B18107" s="36"/>
      <c r="C18107" s="36"/>
      <c r="E18107" s="1"/>
      <c r="F18107" s="1"/>
      <c r="G18107" s="1"/>
    </row>
    <row r="18108">
      <c r="B18108" s="36"/>
      <c r="C18108" s="36"/>
      <c r="E18108" s="1"/>
      <c r="F18108" s="1"/>
      <c r="G18108" s="1"/>
    </row>
    <row r="18109">
      <c r="B18109" s="36"/>
      <c r="C18109" s="36"/>
      <c r="E18109" s="1"/>
      <c r="F18109" s="1"/>
      <c r="G18109" s="1"/>
    </row>
    <row r="18110">
      <c r="B18110" s="36"/>
      <c r="C18110" s="36"/>
      <c r="E18110" s="1"/>
      <c r="F18110" s="1"/>
      <c r="G18110" s="1"/>
    </row>
    <row r="18111">
      <c r="B18111" s="36"/>
      <c r="C18111" s="36"/>
      <c r="E18111" s="1"/>
      <c r="F18111" s="1"/>
      <c r="G18111" s="1"/>
    </row>
    <row r="18112">
      <c r="B18112" s="36"/>
      <c r="C18112" s="36"/>
      <c r="E18112" s="1"/>
      <c r="F18112" s="1"/>
      <c r="G18112" s="1"/>
    </row>
    <row r="18113">
      <c r="B18113" s="36"/>
      <c r="C18113" s="36"/>
      <c r="E18113" s="1"/>
      <c r="F18113" s="1"/>
      <c r="G18113" s="1"/>
    </row>
    <row r="18114">
      <c r="B18114" s="36"/>
      <c r="C18114" s="36"/>
      <c r="E18114" s="1"/>
      <c r="F18114" s="1"/>
      <c r="G18114" s="1"/>
    </row>
    <row r="18115">
      <c r="B18115" s="36"/>
      <c r="C18115" s="36"/>
      <c r="E18115" s="1"/>
      <c r="F18115" s="1"/>
      <c r="G18115" s="1"/>
    </row>
    <row r="18116">
      <c r="B18116" s="36"/>
      <c r="C18116" s="36"/>
      <c r="E18116" s="1"/>
      <c r="F18116" s="1"/>
      <c r="G18116" s="1"/>
    </row>
    <row r="18117">
      <c r="B18117" s="36"/>
      <c r="C18117" s="36"/>
      <c r="E18117" s="1"/>
      <c r="F18117" s="1"/>
      <c r="G18117" s="1"/>
    </row>
    <row r="18118">
      <c r="B18118" s="36"/>
      <c r="C18118" s="36"/>
      <c r="E18118" s="1"/>
      <c r="F18118" s="1"/>
      <c r="G18118" s="1"/>
    </row>
    <row r="18119">
      <c r="B18119" s="36"/>
      <c r="C18119" s="36"/>
      <c r="E18119" s="1"/>
      <c r="F18119" s="1"/>
      <c r="G18119" s="1"/>
    </row>
    <row r="18120">
      <c r="B18120" s="36"/>
      <c r="C18120" s="36"/>
      <c r="E18120" s="1"/>
      <c r="F18120" s="1"/>
      <c r="G18120" s="1"/>
    </row>
    <row r="18121">
      <c r="B18121" s="36"/>
      <c r="C18121" s="36"/>
      <c r="E18121" s="1"/>
      <c r="F18121" s="1"/>
      <c r="G18121" s="1"/>
    </row>
    <row r="18122">
      <c r="B18122" s="36"/>
      <c r="C18122" s="36"/>
      <c r="E18122" s="1"/>
      <c r="F18122" s="1"/>
      <c r="G18122" s="1"/>
    </row>
    <row r="18123">
      <c r="B18123" s="36"/>
      <c r="C18123" s="36"/>
      <c r="E18123" s="1"/>
      <c r="F18123" s="1"/>
      <c r="G18123" s="1"/>
    </row>
    <row r="18124">
      <c r="B18124" s="36"/>
      <c r="C18124" s="36"/>
      <c r="E18124" s="1"/>
      <c r="F18124" s="1"/>
      <c r="G18124" s="1"/>
    </row>
    <row r="18125">
      <c r="B18125" s="36"/>
      <c r="C18125" s="36"/>
      <c r="E18125" s="1"/>
      <c r="F18125" s="1"/>
      <c r="G18125" s="1"/>
    </row>
    <row r="18126">
      <c r="B18126" s="36"/>
      <c r="C18126" s="36"/>
      <c r="E18126" s="1"/>
      <c r="F18126" s="1"/>
      <c r="G18126" s="1"/>
    </row>
    <row r="18127">
      <c r="B18127" s="36"/>
      <c r="C18127" s="36"/>
      <c r="E18127" s="1"/>
      <c r="F18127" s="1"/>
      <c r="G18127" s="1"/>
    </row>
    <row r="18128">
      <c r="B18128" s="36"/>
      <c r="C18128" s="36"/>
      <c r="E18128" s="1"/>
      <c r="F18128" s="1"/>
      <c r="G18128" s="1"/>
    </row>
    <row r="18129">
      <c r="B18129" s="36"/>
      <c r="C18129" s="36"/>
      <c r="E18129" s="1"/>
      <c r="F18129" s="1"/>
      <c r="G18129" s="1"/>
    </row>
    <row r="18130">
      <c r="B18130" s="36"/>
      <c r="C18130" s="36"/>
      <c r="E18130" s="1"/>
      <c r="F18130" s="1"/>
      <c r="G18130" s="1"/>
    </row>
    <row r="18131">
      <c r="B18131" s="36"/>
      <c r="C18131" s="36"/>
      <c r="E18131" s="1"/>
      <c r="F18131" s="1"/>
      <c r="G18131" s="1"/>
    </row>
    <row r="18132">
      <c r="B18132" s="36"/>
      <c r="C18132" s="36"/>
      <c r="E18132" s="1"/>
      <c r="F18132" s="1"/>
      <c r="G18132" s="1"/>
    </row>
    <row r="18133">
      <c r="B18133" s="36"/>
      <c r="C18133" s="36"/>
      <c r="E18133" s="1"/>
      <c r="F18133" s="1"/>
      <c r="G18133" s="1"/>
    </row>
    <row r="18134">
      <c r="B18134" s="36"/>
      <c r="C18134" s="36"/>
      <c r="E18134" s="1"/>
      <c r="F18134" s="1"/>
      <c r="G18134" s="1"/>
    </row>
    <row r="18135">
      <c r="B18135" s="36"/>
      <c r="C18135" s="36"/>
      <c r="E18135" s="1"/>
      <c r="F18135" s="1"/>
      <c r="G18135" s="1"/>
    </row>
    <row r="18136">
      <c r="B18136" s="36"/>
      <c r="C18136" s="36"/>
      <c r="E18136" s="1"/>
      <c r="F18136" s="1"/>
      <c r="G18136" s="1"/>
    </row>
    <row r="18137">
      <c r="B18137" s="36"/>
      <c r="C18137" s="36"/>
      <c r="E18137" s="1"/>
      <c r="F18137" s="1"/>
      <c r="G18137" s="1"/>
    </row>
    <row r="18138">
      <c r="B18138" s="36"/>
      <c r="C18138" s="36"/>
      <c r="E18138" s="1"/>
      <c r="F18138" s="1"/>
      <c r="G18138" s="1"/>
    </row>
    <row r="18139">
      <c r="B18139" s="36"/>
      <c r="C18139" s="36"/>
      <c r="E18139" s="1"/>
      <c r="F18139" s="1"/>
      <c r="G18139" s="1"/>
    </row>
    <row r="18140">
      <c r="B18140" s="36"/>
      <c r="C18140" s="36"/>
      <c r="E18140" s="1"/>
      <c r="F18140" s="1"/>
      <c r="G18140" s="1"/>
    </row>
    <row r="18141">
      <c r="B18141" s="36"/>
      <c r="C18141" s="36"/>
      <c r="E18141" s="1"/>
      <c r="F18141" s="1"/>
      <c r="G18141" s="1"/>
    </row>
    <row r="18142">
      <c r="B18142" s="36"/>
      <c r="C18142" s="36"/>
      <c r="E18142" s="1"/>
      <c r="F18142" s="1"/>
      <c r="G18142" s="1"/>
    </row>
    <row r="18143">
      <c r="B18143" s="36"/>
      <c r="C18143" s="36"/>
      <c r="E18143" s="1"/>
      <c r="F18143" s="1"/>
      <c r="G18143" s="1"/>
    </row>
    <row r="18144">
      <c r="B18144" s="36"/>
      <c r="C18144" s="36"/>
      <c r="E18144" s="1"/>
      <c r="F18144" s="1"/>
      <c r="G18144" s="1"/>
    </row>
    <row r="18145">
      <c r="B18145" s="36"/>
      <c r="C18145" s="36"/>
      <c r="E18145" s="1"/>
      <c r="F18145" s="1"/>
      <c r="G18145" s="1"/>
    </row>
    <row r="18146">
      <c r="B18146" s="36"/>
      <c r="C18146" s="36"/>
      <c r="E18146" s="1"/>
      <c r="F18146" s="1"/>
      <c r="G18146" s="1"/>
    </row>
    <row r="18147">
      <c r="B18147" s="36"/>
      <c r="C18147" s="36"/>
      <c r="E18147" s="1"/>
      <c r="F18147" s="1"/>
      <c r="G18147" s="1"/>
    </row>
    <row r="18148">
      <c r="B18148" s="36"/>
      <c r="C18148" s="36"/>
      <c r="E18148" s="1"/>
      <c r="F18148" s="1"/>
      <c r="G18148" s="1"/>
    </row>
    <row r="18149">
      <c r="B18149" s="36"/>
      <c r="C18149" s="36"/>
      <c r="E18149" s="1"/>
      <c r="F18149" s="1"/>
      <c r="G18149" s="1"/>
    </row>
    <row r="18150">
      <c r="B18150" s="36"/>
      <c r="C18150" s="36"/>
      <c r="E18150" s="1"/>
      <c r="F18150" s="1"/>
      <c r="G18150" s="1"/>
    </row>
    <row r="18151">
      <c r="B18151" s="36"/>
      <c r="C18151" s="36"/>
      <c r="E18151" s="1"/>
      <c r="F18151" s="1"/>
      <c r="G18151" s="1"/>
    </row>
    <row r="18152">
      <c r="B18152" s="36"/>
      <c r="C18152" s="36"/>
      <c r="E18152" s="1"/>
      <c r="F18152" s="1"/>
      <c r="G18152" s="1"/>
    </row>
    <row r="18153">
      <c r="B18153" s="36"/>
      <c r="C18153" s="36"/>
      <c r="E18153" s="1"/>
      <c r="F18153" s="1"/>
      <c r="G18153" s="1"/>
    </row>
    <row r="18154">
      <c r="B18154" s="36"/>
      <c r="C18154" s="36"/>
      <c r="E18154" s="1"/>
      <c r="F18154" s="1"/>
      <c r="G18154" s="1"/>
    </row>
    <row r="18155">
      <c r="B18155" s="36"/>
      <c r="C18155" s="36"/>
      <c r="E18155" s="1"/>
      <c r="F18155" s="1"/>
      <c r="G18155" s="1"/>
    </row>
    <row r="18156">
      <c r="B18156" s="36"/>
      <c r="C18156" s="36"/>
      <c r="E18156" s="1"/>
      <c r="F18156" s="1"/>
      <c r="G18156" s="1"/>
    </row>
    <row r="18157">
      <c r="B18157" s="36"/>
      <c r="C18157" s="36"/>
      <c r="E18157" s="1"/>
      <c r="F18157" s="1"/>
      <c r="G18157" s="1"/>
    </row>
    <row r="18158">
      <c r="B18158" s="36"/>
      <c r="C18158" s="36"/>
      <c r="E18158" s="1"/>
      <c r="F18158" s="1"/>
      <c r="G18158" s="1"/>
    </row>
    <row r="18159">
      <c r="B18159" s="36"/>
      <c r="C18159" s="36"/>
      <c r="E18159" s="1"/>
      <c r="F18159" s="1"/>
      <c r="G18159" s="1"/>
    </row>
    <row r="18160">
      <c r="B18160" s="36"/>
      <c r="C18160" s="36"/>
      <c r="E18160" s="1"/>
      <c r="F18160" s="1"/>
      <c r="G18160" s="1"/>
    </row>
    <row r="18161">
      <c r="B18161" s="36"/>
      <c r="C18161" s="36"/>
      <c r="E18161" s="1"/>
      <c r="F18161" s="1"/>
      <c r="G18161" s="1"/>
    </row>
    <row r="18162">
      <c r="B18162" s="36"/>
      <c r="C18162" s="36"/>
      <c r="E18162" s="1"/>
      <c r="F18162" s="1"/>
      <c r="G18162" s="1"/>
    </row>
    <row r="18163">
      <c r="B18163" s="36"/>
      <c r="C18163" s="36"/>
      <c r="E18163" s="1"/>
      <c r="F18163" s="1"/>
      <c r="G18163" s="1"/>
    </row>
    <row r="18164">
      <c r="B18164" s="36"/>
      <c r="C18164" s="36"/>
      <c r="E18164" s="1"/>
      <c r="F18164" s="1"/>
      <c r="G18164" s="1"/>
    </row>
    <row r="18165">
      <c r="B18165" s="36"/>
      <c r="C18165" s="36"/>
      <c r="E18165" s="1"/>
      <c r="F18165" s="1"/>
      <c r="G18165" s="1"/>
    </row>
    <row r="18166">
      <c r="B18166" s="36"/>
      <c r="C18166" s="36"/>
      <c r="E18166" s="1"/>
      <c r="F18166" s="1"/>
      <c r="G18166" s="1"/>
    </row>
    <row r="18167">
      <c r="B18167" s="36"/>
      <c r="C18167" s="36"/>
      <c r="E18167" s="1"/>
      <c r="F18167" s="1"/>
      <c r="G18167" s="1"/>
    </row>
    <row r="18168">
      <c r="B18168" s="36"/>
      <c r="C18168" s="36"/>
      <c r="E18168" s="1"/>
      <c r="F18168" s="1"/>
      <c r="G18168" s="1"/>
    </row>
    <row r="18169">
      <c r="B18169" s="36"/>
      <c r="C18169" s="36"/>
      <c r="E18169" s="1"/>
      <c r="F18169" s="1"/>
      <c r="G18169" s="1"/>
    </row>
    <row r="18170">
      <c r="B18170" s="36"/>
      <c r="C18170" s="36"/>
      <c r="E18170" s="1"/>
      <c r="F18170" s="1"/>
      <c r="G18170" s="1"/>
    </row>
    <row r="18171">
      <c r="B18171" s="36"/>
      <c r="C18171" s="36"/>
      <c r="E18171" s="1"/>
      <c r="F18171" s="1"/>
      <c r="G18171" s="1"/>
    </row>
    <row r="18172">
      <c r="B18172" s="36"/>
      <c r="C18172" s="36"/>
      <c r="E18172" s="1"/>
      <c r="F18172" s="1"/>
      <c r="G18172" s="1"/>
    </row>
    <row r="18173">
      <c r="B18173" s="36"/>
      <c r="C18173" s="36"/>
      <c r="E18173" s="1"/>
      <c r="F18173" s="1"/>
      <c r="G18173" s="1"/>
    </row>
    <row r="18174">
      <c r="B18174" s="36"/>
      <c r="C18174" s="36"/>
      <c r="E18174" s="1"/>
      <c r="F18174" s="1"/>
      <c r="G18174" s="1"/>
    </row>
    <row r="18175">
      <c r="B18175" s="36"/>
      <c r="C18175" s="36"/>
      <c r="E18175" s="1"/>
      <c r="F18175" s="1"/>
      <c r="G18175" s="1"/>
    </row>
    <row r="18176">
      <c r="B18176" s="36"/>
      <c r="C18176" s="36"/>
      <c r="E18176" s="1"/>
      <c r="F18176" s="1"/>
      <c r="G18176" s="1"/>
    </row>
    <row r="18177">
      <c r="B18177" s="36"/>
      <c r="C18177" s="36"/>
      <c r="E18177" s="1"/>
      <c r="F18177" s="1"/>
      <c r="G18177" s="1"/>
    </row>
    <row r="18178">
      <c r="B18178" s="36"/>
      <c r="C18178" s="36"/>
      <c r="E18178" s="1"/>
      <c r="F18178" s="1"/>
      <c r="G18178" s="1"/>
    </row>
    <row r="18179">
      <c r="B18179" s="36"/>
      <c r="C18179" s="36"/>
      <c r="E18179" s="1"/>
      <c r="F18179" s="1"/>
      <c r="G18179" s="1"/>
    </row>
    <row r="18180">
      <c r="B18180" s="36"/>
      <c r="C18180" s="36"/>
      <c r="E18180" s="1"/>
      <c r="F18180" s="1"/>
      <c r="G18180" s="1"/>
    </row>
    <row r="18181">
      <c r="B18181" s="36"/>
      <c r="C18181" s="36"/>
      <c r="E18181" s="1"/>
      <c r="F18181" s="1"/>
      <c r="G18181" s="1"/>
    </row>
    <row r="18182">
      <c r="B18182" s="36"/>
      <c r="C18182" s="36"/>
      <c r="E18182" s="1"/>
      <c r="F18182" s="1"/>
      <c r="G18182" s="1"/>
    </row>
    <row r="18183">
      <c r="B18183" s="36"/>
      <c r="C18183" s="36"/>
      <c r="E18183" s="1"/>
      <c r="F18183" s="1"/>
      <c r="G18183" s="1"/>
    </row>
    <row r="18184">
      <c r="B18184" s="36"/>
      <c r="C18184" s="36"/>
      <c r="E18184" s="1"/>
      <c r="F18184" s="1"/>
      <c r="G18184" s="1"/>
    </row>
    <row r="18185">
      <c r="B18185" s="36"/>
      <c r="C18185" s="36"/>
      <c r="E18185" s="1"/>
      <c r="F18185" s="1"/>
      <c r="G18185" s="1"/>
    </row>
    <row r="18186">
      <c r="B18186" s="36"/>
      <c r="C18186" s="36"/>
      <c r="E18186" s="1"/>
      <c r="F18186" s="1"/>
      <c r="G18186" s="1"/>
    </row>
    <row r="18187">
      <c r="B18187" s="36"/>
      <c r="C18187" s="36"/>
      <c r="E18187" s="1"/>
      <c r="F18187" s="1"/>
      <c r="G18187" s="1"/>
    </row>
    <row r="18188">
      <c r="B18188" s="36"/>
      <c r="C18188" s="36"/>
      <c r="E18188" s="1"/>
      <c r="F18188" s="1"/>
      <c r="G18188" s="1"/>
    </row>
    <row r="18189">
      <c r="B18189" s="36"/>
      <c r="C18189" s="36"/>
      <c r="E18189" s="1"/>
      <c r="F18189" s="1"/>
      <c r="G18189" s="1"/>
    </row>
    <row r="18190">
      <c r="B18190" s="36"/>
      <c r="C18190" s="36"/>
      <c r="E18190" s="1"/>
      <c r="F18190" s="1"/>
      <c r="G18190" s="1"/>
    </row>
    <row r="18191">
      <c r="B18191" s="36"/>
      <c r="C18191" s="36"/>
      <c r="E18191" s="1"/>
      <c r="F18191" s="1"/>
      <c r="G18191" s="1"/>
    </row>
    <row r="18192">
      <c r="B18192" s="36"/>
      <c r="C18192" s="36"/>
      <c r="E18192" s="1"/>
      <c r="F18192" s="1"/>
      <c r="G18192" s="1"/>
    </row>
    <row r="18193">
      <c r="B18193" s="36"/>
      <c r="C18193" s="36"/>
      <c r="E18193" s="1"/>
      <c r="F18193" s="1"/>
      <c r="G18193" s="1"/>
    </row>
    <row r="18194">
      <c r="B18194" s="36"/>
      <c r="C18194" s="36"/>
      <c r="E18194" s="1"/>
      <c r="F18194" s="1"/>
      <c r="G18194" s="1"/>
    </row>
    <row r="18195">
      <c r="B18195" s="36"/>
      <c r="C18195" s="36"/>
      <c r="E18195" s="1"/>
      <c r="F18195" s="1"/>
      <c r="G18195" s="1"/>
    </row>
    <row r="18196">
      <c r="B18196" s="36"/>
      <c r="C18196" s="36"/>
      <c r="E18196" s="1"/>
      <c r="F18196" s="1"/>
      <c r="G18196" s="1"/>
    </row>
    <row r="18197">
      <c r="B18197" s="36"/>
      <c r="C18197" s="36"/>
      <c r="E18197" s="1"/>
      <c r="F18197" s="1"/>
      <c r="G18197" s="1"/>
    </row>
    <row r="18198">
      <c r="B18198" s="36"/>
      <c r="C18198" s="36"/>
      <c r="E18198" s="1"/>
      <c r="F18198" s="1"/>
      <c r="G18198" s="1"/>
    </row>
    <row r="18199">
      <c r="B18199" s="36"/>
      <c r="C18199" s="36"/>
      <c r="E18199" s="1"/>
      <c r="F18199" s="1"/>
      <c r="G18199" s="1"/>
    </row>
    <row r="18200">
      <c r="B18200" s="36"/>
      <c r="C18200" s="36"/>
      <c r="E18200" s="1"/>
      <c r="F18200" s="1"/>
      <c r="G18200" s="1"/>
    </row>
    <row r="18201">
      <c r="B18201" s="36"/>
      <c r="C18201" s="36"/>
      <c r="E18201" s="1"/>
      <c r="F18201" s="1"/>
      <c r="G18201" s="1"/>
    </row>
    <row r="18202">
      <c r="B18202" s="36"/>
      <c r="C18202" s="36"/>
      <c r="E18202" s="1"/>
      <c r="F18202" s="1"/>
      <c r="G18202" s="1"/>
    </row>
    <row r="18203">
      <c r="B18203" s="36"/>
      <c r="C18203" s="36"/>
      <c r="E18203" s="1"/>
      <c r="F18203" s="1"/>
      <c r="G18203" s="1"/>
    </row>
    <row r="18204">
      <c r="B18204" s="36"/>
      <c r="C18204" s="36"/>
      <c r="E18204" s="1"/>
      <c r="F18204" s="1"/>
      <c r="G18204" s="1"/>
    </row>
    <row r="18205">
      <c r="B18205" s="36"/>
      <c r="C18205" s="36"/>
      <c r="E18205" s="1"/>
      <c r="F18205" s="1"/>
      <c r="G18205" s="1"/>
    </row>
    <row r="18206">
      <c r="B18206" s="36"/>
      <c r="C18206" s="36"/>
      <c r="E18206" s="1"/>
      <c r="F18206" s="1"/>
      <c r="G18206" s="1"/>
    </row>
    <row r="18207">
      <c r="B18207" s="36"/>
      <c r="C18207" s="36"/>
      <c r="E18207" s="1"/>
      <c r="F18207" s="1"/>
      <c r="G18207" s="1"/>
    </row>
    <row r="18208">
      <c r="B18208" s="36"/>
      <c r="C18208" s="36"/>
      <c r="E18208" s="1"/>
      <c r="F18208" s="1"/>
      <c r="G18208" s="1"/>
    </row>
    <row r="18209">
      <c r="B18209" s="36"/>
      <c r="C18209" s="36"/>
      <c r="E18209" s="1"/>
      <c r="F18209" s="1"/>
      <c r="G18209" s="1"/>
    </row>
    <row r="18210">
      <c r="B18210" s="36"/>
      <c r="C18210" s="36"/>
      <c r="E18210" s="1"/>
      <c r="F18210" s="1"/>
      <c r="G18210" s="1"/>
    </row>
    <row r="18211">
      <c r="B18211" s="36"/>
      <c r="C18211" s="36"/>
      <c r="E18211" s="1"/>
      <c r="F18211" s="1"/>
      <c r="G18211" s="1"/>
    </row>
    <row r="18212">
      <c r="B18212" s="36"/>
      <c r="C18212" s="36"/>
      <c r="E18212" s="1"/>
      <c r="F18212" s="1"/>
      <c r="G18212" s="1"/>
    </row>
    <row r="18213">
      <c r="B18213" s="36"/>
      <c r="C18213" s="36"/>
      <c r="E18213" s="1"/>
      <c r="F18213" s="1"/>
      <c r="G18213" s="1"/>
    </row>
    <row r="18214">
      <c r="B18214" s="36"/>
      <c r="C18214" s="36"/>
      <c r="E18214" s="1"/>
      <c r="F18214" s="1"/>
      <c r="G18214" s="1"/>
    </row>
    <row r="18215">
      <c r="B18215" s="36"/>
      <c r="C18215" s="36"/>
      <c r="E18215" s="1"/>
      <c r="F18215" s="1"/>
      <c r="G18215" s="1"/>
    </row>
    <row r="18216">
      <c r="B18216" s="36"/>
      <c r="C18216" s="36"/>
      <c r="E18216" s="1"/>
      <c r="F18216" s="1"/>
      <c r="G18216" s="1"/>
    </row>
    <row r="18217">
      <c r="B18217" s="36"/>
      <c r="C18217" s="36"/>
      <c r="E18217" s="1"/>
      <c r="F18217" s="1"/>
      <c r="G18217" s="1"/>
    </row>
    <row r="18218">
      <c r="B18218" s="36"/>
      <c r="C18218" s="36"/>
      <c r="E18218" s="1"/>
      <c r="F18218" s="1"/>
      <c r="G18218" s="1"/>
    </row>
    <row r="18219">
      <c r="B18219" s="36"/>
      <c r="C18219" s="36"/>
      <c r="E18219" s="1"/>
      <c r="F18219" s="1"/>
      <c r="G18219" s="1"/>
    </row>
    <row r="18220">
      <c r="B18220" s="36"/>
      <c r="C18220" s="36"/>
      <c r="E18220" s="1"/>
      <c r="F18220" s="1"/>
      <c r="G18220" s="1"/>
    </row>
    <row r="18221">
      <c r="B18221" s="36"/>
      <c r="C18221" s="36"/>
      <c r="E18221" s="1"/>
      <c r="F18221" s="1"/>
      <c r="G18221" s="1"/>
    </row>
    <row r="18222">
      <c r="B18222" s="36"/>
      <c r="C18222" s="36"/>
      <c r="E18222" s="1"/>
      <c r="F18222" s="1"/>
      <c r="G18222" s="1"/>
    </row>
    <row r="18223">
      <c r="B18223" s="36"/>
      <c r="C18223" s="36"/>
      <c r="E18223" s="1"/>
      <c r="F18223" s="1"/>
      <c r="G18223" s="1"/>
    </row>
    <row r="18224">
      <c r="B18224" s="36"/>
      <c r="C18224" s="36"/>
      <c r="E18224" s="1"/>
      <c r="F18224" s="1"/>
      <c r="G18224" s="1"/>
    </row>
    <row r="18225">
      <c r="B18225" s="36"/>
      <c r="C18225" s="36"/>
      <c r="E18225" s="1"/>
      <c r="F18225" s="1"/>
      <c r="G18225" s="1"/>
    </row>
    <row r="18226">
      <c r="B18226" s="36"/>
      <c r="C18226" s="36"/>
      <c r="E18226" s="1"/>
      <c r="F18226" s="1"/>
      <c r="G18226" s="1"/>
    </row>
    <row r="18227">
      <c r="B18227" s="36"/>
      <c r="C18227" s="36"/>
      <c r="E18227" s="1"/>
      <c r="F18227" s="1"/>
      <c r="G18227" s="1"/>
    </row>
    <row r="18228">
      <c r="B18228" s="36"/>
      <c r="C18228" s="36"/>
      <c r="E18228" s="1"/>
      <c r="F18228" s="1"/>
      <c r="G18228" s="1"/>
    </row>
    <row r="18229">
      <c r="B18229" s="36"/>
      <c r="C18229" s="36"/>
      <c r="E18229" s="1"/>
      <c r="F18229" s="1"/>
      <c r="G18229" s="1"/>
    </row>
    <row r="18230">
      <c r="B18230" s="36"/>
      <c r="C18230" s="36"/>
      <c r="E18230" s="1"/>
      <c r="F18230" s="1"/>
      <c r="G18230" s="1"/>
    </row>
    <row r="18231">
      <c r="B18231" s="36"/>
      <c r="C18231" s="36"/>
      <c r="E18231" s="1"/>
      <c r="F18231" s="1"/>
      <c r="G18231" s="1"/>
    </row>
    <row r="18232">
      <c r="B18232" s="36"/>
      <c r="C18232" s="36"/>
      <c r="E18232" s="1"/>
      <c r="F18232" s="1"/>
      <c r="G18232" s="1"/>
    </row>
    <row r="18233">
      <c r="B18233" s="36"/>
      <c r="C18233" s="36"/>
      <c r="E18233" s="1"/>
      <c r="F18233" s="1"/>
      <c r="G18233" s="1"/>
    </row>
    <row r="18234">
      <c r="B18234" s="36"/>
      <c r="C18234" s="36"/>
      <c r="E18234" s="1"/>
      <c r="F18234" s="1"/>
      <c r="G18234" s="1"/>
    </row>
    <row r="18235">
      <c r="B18235" s="36"/>
      <c r="C18235" s="36"/>
      <c r="E18235" s="1"/>
      <c r="F18235" s="1"/>
      <c r="G18235" s="1"/>
    </row>
    <row r="18236">
      <c r="B18236" s="36"/>
      <c r="C18236" s="36"/>
      <c r="E18236" s="1"/>
      <c r="F18236" s="1"/>
      <c r="G18236" s="1"/>
    </row>
    <row r="18237">
      <c r="B18237" s="36"/>
      <c r="C18237" s="36"/>
      <c r="E18237" s="1"/>
      <c r="F18237" s="1"/>
      <c r="G18237" s="1"/>
    </row>
    <row r="18238">
      <c r="B18238" s="36"/>
      <c r="C18238" s="36"/>
      <c r="E18238" s="1"/>
      <c r="F18238" s="1"/>
      <c r="G18238" s="1"/>
    </row>
    <row r="18239">
      <c r="B18239" s="36"/>
      <c r="C18239" s="36"/>
      <c r="E18239" s="1"/>
      <c r="F18239" s="1"/>
      <c r="G18239" s="1"/>
    </row>
    <row r="18240">
      <c r="B18240" s="36"/>
      <c r="C18240" s="36"/>
      <c r="E18240" s="1"/>
      <c r="F18240" s="1"/>
      <c r="G18240" s="1"/>
    </row>
    <row r="18241">
      <c r="B18241" s="36"/>
      <c r="C18241" s="36"/>
      <c r="E18241" s="1"/>
      <c r="F18241" s="1"/>
      <c r="G18241" s="1"/>
    </row>
    <row r="18242">
      <c r="B18242" s="36"/>
      <c r="C18242" s="36"/>
      <c r="E18242" s="1"/>
      <c r="F18242" s="1"/>
      <c r="G18242" s="1"/>
    </row>
    <row r="18243">
      <c r="B18243" s="36"/>
      <c r="C18243" s="36"/>
      <c r="E18243" s="1"/>
      <c r="F18243" s="1"/>
      <c r="G18243" s="1"/>
    </row>
    <row r="18244">
      <c r="B18244" s="36"/>
      <c r="C18244" s="36"/>
      <c r="E18244" s="1"/>
      <c r="F18244" s="1"/>
      <c r="G18244" s="1"/>
    </row>
    <row r="18245">
      <c r="B18245" s="36"/>
      <c r="C18245" s="36"/>
      <c r="E18245" s="1"/>
      <c r="F18245" s="1"/>
      <c r="G18245" s="1"/>
    </row>
    <row r="18246">
      <c r="B18246" s="36"/>
      <c r="C18246" s="36"/>
      <c r="E18246" s="1"/>
      <c r="F18246" s="1"/>
      <c r="G18246" s="1"/>
    </row>
    <row r="18247">
      <c r="B18247" s="36"/>
      <c r="C18247" s="36"/>
      <c r="E18247" s="1"/>
      <c r="F18247" s="1"/>
      <c r="G18247" s="1"/>
    </row>
    <row r="18248">
      <c r="B18248" s="36"/>
      <c r="C18248" s="36"/>
      <c r="E18248" s="1"/>
      <c r="F18248" s="1"/>
      <c r="G18248" s="1"/>
    </row>
    <row r="18249">
      <c r="B18249" s="36"/>
      <c r="C18249" s="36"/>
      <c r="E18249" s="1"/>
      <c r="F18249" s="1"/>
      <c r="G18249" s="1"/>
    </row>
    <row r="18250">
      <c r="B18250" s="36"/>
      <c r="C18250" s="36"/>
      <c r="E18250" s="1"/>
      <c r="F18250" s="1"/>
      <c r="G18250" s="1"/>
    </row>
    <row r="18251">
      <c r="B18251" s="36"/>
      <c r="C18251" s="36"/>
      <c r="E18251" s="1"/>
      <c r="F18251" s="1"/>
      <c r="G18251" s="1"/>
    </row>
    <row r="18252">
      <c r="B18252" s="36"/>
      <c r="C18252" s="36"/>
      <c r="E18252" s="1"/>
      <c r="F18252" s="1"/>
      <c r="G18252" s="1"/>
    </row>
    <row r="18253">
      <c r="B18253" s="36"/>
      <c r="C18253" s="36"/>
      <c r="E18253" s="1"/>
      <c r="F18253" s="1"/>
      <c r="G18253" s="1"/>
    </row>
    <row r="18254">
      <c r="B18254" s="36"/>
      <c r="C18254" s="36"/>
      <c r="E18254" s="1"/>
      <c r="F18254" s="1"/>
      <c r="G18254" s="1"/>
    </row>
    <row r="18255">
      <c r="B18255" s="36"/>
      <c r="C18255" s="36"/>
      <c r="E18255" s="1"/>
      <c r="F18255" s="1"/>
      <c r="G18255" s="1"/>
    </row>
    <row r="18256">
      <c r="B18256" s="36"/>
      <c r="C18256" s="36"/>
      <c r="E18256" s="1"/>
      <c r="F18256" s="1"/>
      <c r="G18256" s="1"/>
    </row>
    <row r="18257">
      <c r="B18257" s="36"/>
      <c r="C18257" s="36"/>
      <c r="E18257" s="1"/>
      <c r="F18257" s="1"/>
      <c r="G18257" s="1"/>
    </row>
    <row r="18258">
      <c r="B18258" s="36"/>
      <c r="C18258" s="36"/>
      <c r="E18258" s="1"/>
      <c r="F18258" s="1"/>
      <c r="G18258" s="1"/>
    </row>
    <row r="18259">
      <c r="B18259" s="36"/>
      <c r="C18259" s="36"/>
      <c r="E18259" s="1"/>
      <c r="F18259" s="1"/>
      <c r="G18259" s="1"/>
    </row>
    <row r="18260">
      <c r="B18260" s="36"/>
      <c r="C18260" s="36"/>
      <c r="E18260" s="1"/>
      <c r="F18260" s="1"/>
      <c r="G18260" s="1"/>
    </row>
    <row r="18261">
      <c r="B18261" s="36"/>
      <c r="C18261" s="36"/>
      <c r="E18261" s="1"/>
      <c r="F18261" s="1"/>
      <c r="G18261" s="1"/>
    </row>
    <row r="18262">
      <c r="B18262" s="36"/>
      <c r="C18262" s="36"/>
      <c r="E18262" s="1"/>
      <c r="F18262" s="1"/>
      <c r="G18262" s="1"/>
    </row>
    <row r="18263">
      <c r="B18263" s="36"/>
      <c r="C18263" s="36"/>
      <c r="E18263" s="1"/>
      <c r="F18263" s="1"/>
      <c r="G18263" s="1"/>
    </row>
    <row r="18264">
      <c r="B18264" s="36"/>
      <c r="C18264" s="36"/>
      <c r="E18264" s="1"/>
      <c r="F18264" s="1"/>
      <c r="G18264" s="1"/>
    </row>
    <row r="18265">
      <c r="B18265" s="36"/>
      <c r="C18265" s="36"/>
      <c r="E18265" s="1"/>
      <c r="F18265" s="1"/>
      <c r="G18265" s="1"/>
    </row>
    <row r="18266">
      <c r="B18266" s="36"/>
      <c r="C18266" s="36"/>
      <c r="E18266" s="1"/>
      <c r="F18266" s="1"/>
      <c r="G18266" s="1"/>
    </row>
    <row r="18267">
      <c r="B18267" s="36"/>
      <c r="C18267" s="36"/>
      <c r="E18267" s="1"/>
      <c r="F18267" s="1"/>
      <c r="G18267" s="1"/>
    </row>
    <row r="18268">
      <c r="B18268" s="36"/>
      <c r="C18268" s="36"/>
      <c r="E18268" s="1"/>
      <c r="F18268" s="1"/>
      <c r="G18268" s="1"/>
    </row>
    <row r="18269">
      <c r="B18269" s="36"/>
      <c r="C18269" s="36"/>
      <c r="E18269" s="1"/>
      <c r="F18269" s="1"/>
      <c r="G18269" s="1"/>
    </row>
    <row r="18270">
      <c r="B18270" s="36"/>
      <c r="C18270" s="36"/>
      <c r="E18270" s="1"/>
      <c r="F18270" s="1"/>
      <c r="G18270" s="1"/>
    </row>
    <row r="18271">
      <c r="B18271" s="36"/>
      <c r="C18271" s="36"/>
      <c r="E18271" s="1"/>
      <c r="F18271" s="1"/>
      <c r="G18271" s="1"/>
    </row>
    <row r="18272">
      <c r="B18272" s="36"/>
      <c r="C18272" s="36"/>
      <c r="E18272" s="1"/>
      <c r="F18272" s="1"/>
      <c r="G18272" s="1"/>
    </row>
    <row r="18273">
      <c r="B18273" s="36"/>
      <c r="C18273" s="36"/>
      <c r="E18273" s="1"/>
      <c r="F18273" s="1"/>
      <c r="G18273" s="1"/>
    </row>
    <row r="18274">
      <c r="B18274" s="36"/>
      <c r="C18274" s="36"/>
      <c r="E18274" s="1"/>
      <c r="F18274" s="1"/>
      <c r="G18274" s="1"/>
    </row>
    <row r="18275">
      <c r="B18275" s="36"/>
      <c r="C18275" s="36"/>
      <c r="E18275" s="1"/>
      <c r="F18275" s="1"/>
      <c r="G18275" s="1"/>
    </row>
    <row r="18276">
      <c r="B18276" s="36"/>
      <c r="C18276" s="36"/>
      <c r="E18276" s="1"/>
      <c r="F18276" s="1"/>
      <c r="G18276" s="1"/>
    </row>
    <row r="18277">
      <c r="B18277" s="36"/>
      <c r="C18277" s="36"/>
      <c r="E18277" s="1"/>
      <c r="F18277" s="1"/>
      <c r="G18277" s="1"/>
    </row>
    <row r="18278">
      <c r="B18278" s="36"/>
      <c r="C18278" s="36"/>
      <c r="E18278" s="1"/>
      <c r="F18278" s="1"/>
      <c r="G18278" s="1"/>
    </row>
    <row r="18279">
      <c r="B18279" s="36"/>
      <c r="C18279" s="36"/>
      <c r="E18279" s="1"/>
      <c r="F18279" s="1"/>
      <c r="G18279" s="1"/>
    </row>
    <row r="18280">
      <c r="B18280" s="36"/>
      <c r="C18280" s="36"/>
      <c r="E18280" s="1"/>
      <c r="F18280" s="1"/>
      <c r="G18280" s="1"/>
    </row>
    <row r="18281">
      <c r="B18281" s="36"/>
      <c r="C18281" s="36"/>
      <c r="E18281" s="1"/>
      <c r="F18281" s="1"/>
      <c r="G18281" s="1"/>
    </row>
    <row r="18282">
      <c r="B18282" s="36"/>
      <c r="C18282" s="36"/>
      <c r="E18282" s="1"/>
      <c r="F18282" s="1"/>
      <c r="G18282" s="1"/>
    </row>
    <row r="18283">
      <c r="B18283" s="36"/>
      <c r="C18283" s="36"/>
      <c r="E18283" s="1"/>
      <c r="F18283" s="1"/>
      <c r="G18283" s="1"/>
    </row>
    <row r="18284">
      <c r="B18284" s="36"/>
      <c r="C18284" s="36"/>
      <c r="E18284" s="1"/>
      <c r="F18284" s="1"/>
      <c r="G18284" s="1"/>
    </row>
    <row r="18285">
      <c r="B18285" s="36"/>
      <c r="C18285" s="36"/>
      <c r="E18285" s="1"/>
      <c r="F18285" s="1"/>
      <c r="G18285" s="1"/>
    </row>
    <row r="18286">
      <c r="B18286" s="36"/>
      <c r="C18286" s="36"/>
      <c r="E18286" s="1"/>
      <c r="F18286" s="1"/>
      <c r="G18286" s="1"/>
    </row>
    <row r="18287">
      <c r="B18287" s="36"/>
      <c r="C18287" s="36"/>
      <c r="E18287" s="1"/>
      <c r="F18287" s="1"/>
      <c r="G18287" s="1"/>
    </row>
    <row r="18288">
      <c r="B18288" s="36"/>
      <c r="C18288" s="36"/>
      <c r="E18288" s="1"/>
      <c r="F18288" s="1"/>
      <c r="G18288" s="1"/>
    </row>
    <row r="18289">
      <c r="B18289" s="36"/>
      <c r="C18289" s="36"/>
      <c r="E18289" s="1"/>
      <c r="F18289" s="1"/>
      <c r="G18289" s="1"/>
    </row>
    <row r="18290">
      <c r="B18290" s="36"/>
      <c r="C18290" s="36"/>
      <c r="E18290" s="1"/>
      <c r="F18290" s="1"/>
      <c r="G18290" s="1"/>
    </row>
    <row r="18291">
      <c r="B18291" s="36"/>
      <c r="C18291" s="36"/>
      <c r="E18291" s="1"/>
      <c r="F18291" s="1"/>
      <c r="G18291" s="1"/>
    </row>
    <row r="18292">
      <c r="B18292" s="36"/>
      <c r="C18292" s="36"/>
      <c r="E18292" s="1"/>
      <c r="F18292" s="1"/>
      <c r="G18292" s="1"/>
    </row>
    <row r="18293">
      <c r="B18293" s="36"/>
      <c r="C18293" s="36"/>
      <c r="E18293" s="1"/>
      <c r="F18293" s="1"/>
      <c r="G18293" s="1"/>
    </row>
    <row r="18294">
      <c r="B18294" s="36"/>
      <c r="C18294" s="36"/>
      <c r="E18294" s="1"/>
      <c r="F18294" s="1"/>
      <c r="G18294" s="1"/>
    </row>
    <row r="18295">
      <c r="B18295" s="36"/>
      <c r="C18295" s="36"/>
      <c r="E18295" s="1"/>
      <c r="F18295" s="1"/>
      <c r="G18295" s="1"/>
    </row>
    <row r="18296">
      <c r="B18296" s="36"/>
      <c r="C18296" s="36"/>
      <c r="E18296" s="1"/>
      <c r="F18296" s="1"/>
      <c r="G18296" s="1"/>
    </row>
    <row r="18297">
      <c r="B18297" s="36"/>
      <c r="C18297" s="36"/>
      <c r="E18297" s="1"/>
      <c r="F18297" s="1"/>
      <c r="G18297" s="1"/>
    </row>
    <row r="18298">
      <c r="B18298" s="36"/>
      <c r="C18298" s="36"/>
      <c r="E18298" s="1"/>
      <c r="F18298" s="1"/>
      <c r="G18298" s="1"/>
    </row>
    <row r="18299">
      <c r="B18299" s="36"/>
      <c r="C18299" s="36"/>
      <c r="E18299" s="1"/>
      <c r="F18299" s="1"/>
      <c r="G18299" s="1"/>
    </row>
    <row r="18300">
      <c r="B18300" s="36"/>
      <c r="C18300" s="36"/>
      <c r="E18300" s="1"/>
      <c r="F18300" s="1"/>
      <c r="G18300" s="1"/>
    </row>
    <row r="18301">
      <c r="B18301" s="36"/>
      <c r="C18301" s="36"/>
      <c r="E18301" s="1"/>
      <c r="F18301" s="1"/>
      <c r="G18301" s="1"/>
    </row>
    <row r="18302">
      <c r="B18302" s="36"/>
      <c r="C18302" s="36"/>
      <c r="E18302" s="1"/>
      <c r="F18302" s="1"/>
      <c r="G18302" s="1"/>
    </row>
    <row r="18303">
      <c r="B18303" s="36"/>
      <c r="C18303" s="36"/>
      <c r="E18303" s="1"/>
      <c r="F18303" s="1"/>
      <c r="G18303" s="1"/>
    </row>
    <row r="18304">
      <c r="B18304" s="36"/>
      <c r="C18304" s="36"/>
      <c r="E18304" s="1"/>
      <c r="F18304" s="1"/>
      <c r="G18304" s="1"/>
    </row>
    <row r="18305">
      <c r="B18305" s="36"/>
      <c r="C18305" s="36"/>
      <c r="E18305" s="1"/>
      <c r="F18305" s="1"/>
      <c r="G18305" s="1"/>
    </row>
    <row r="18306">
      <c r="B18306" s="36"/>
      <c r="C18306" s="36"/>
      <c r="E18306" s="1"/>
      <c r="F18306" s="1"/>
      <c r="G18306" s="1"/>
    </row>
    <row r="18307">
      <c r="B18307" s="36"/>
      <c r="C18307" s="36"/>
      <c r="E18307" s="1"/>
      <c r="F18307" s="1"/>
      <c r="G18307" s="1"/>
    </row>
    <row r="18308">
      <c r="B18308" s="36"/>
      <c r="C18308" s="36"/>
      <c r="E18308" s="1"/>
      <c r="F18308" s="1"/>
      <c r="G18308" s="1"/>
    </row>
    <row r="18309">
      <c r="B18309" s="36"/>
      <c r="C18309" s="36"/>
      <c r="E18309" s="1"/>
      <c r="F18309" s="1"/>
      <c r="G18309" s="1"/>
    </row>
    <row r="18310">
      <c r="B18310" s="36"/>
      <c r="C18310" s="36"/>
      <c r="E18310" s="1"/>
      <c r="F18310" s="1"/>
      <c r="G18310" s="1"/>
    </row>
    <row r="18311">
      <c r="B18311" s="36"/>
      <c r="C18311" s="36"/>
      <c r="E18311" s="1"/>
      <c r="F18311" s="1"/>
      <c r="G18311" s="1"/>
    </row>
    <row r="18312">
      <c r="B18312" s="36"/>
      <c r="C18312" s="36"/>
      <c r="E18312" s="1"/>
      <c r="F18312" s="1"/>
      <c r="G18312" s="1"/>
    </row>
    <row r="18313">
      <c r="B18313" s="36"/>
      <c r="C18313" s="36"/>
      <c r="E18313" s="1"/>
      <c r="F18313" s="1"/>
      <c r="G18313" s="1"/>
    </row>
    <row r="18314">
      <c r="B18314" s="36"/>
      <c r="C18314" s="36"/>
      <c r="E18314" s="1"/>
      <c r="F18314" s="1"/>
      <c r="G18314" s="1"/>
    </row>
    <row r="18315">
      <c r="B18315" s="36"/>
      <c r="C18315" s="36"/>
      <c r="E18315" s="1"/>
      <c r="F18315" s="1"/>
      <c r="G18315" s="1"/>
    </row>
    <row r="18316">
      <c r="B18316" s="36"/>
      <c r="C18316" s="36"/>
      <c r="E18316" s="1"/>
      <c r="F18316" s="1"/>
      <c r="G18316" s="1"/>
    </row>
    <row r="18317">
      <c r="B18317" s="36"/>
      <c r="C18317" s="36"/>
      <c r="E18317" s="1"/>
      <c r="F18317" s="1"/>
      <c r="G18317" s="1"/>
    </row>
    <row r="18318">
      <c r="B18318" s="36"/>
      <c r="C18318" s="36"/>
      <c r="E18318" s="1"/>
      <c r="F18318" s="1"/>
      <c r="G18318" s="1"/>
    </row>
    <row r="18319">
      <c r="B18319" s="36"/>
      <c r="C18319" s="36"/>
      <c r="E18319" s="1"/>
      <c r="F18319" s="1"/>
      <c r="G18319" s="1"/>
    </row>
    <row r="18320">
      <c r="B18320" s="36"/>
      <c r="C18320" s="36"/>
      <c r="E18320" s="1"/>
      <c r="F18320" s="1"/>
      <c r="G18320" s="1"/>
    </row>
    <row r="18321">
      <c r="B18321" s="36"/>
      <c r="C18321" s="36"/>
      <c r="E18321" s="1"/>
      <c r="F18321" s="1"/>
      <c r="G18321" s="1"/>
    </row>
    <row r="18322">
      <c r="B18322" s="36"/>
      <c r="C18322" s="36"/>
      <c r="E18322" s="1"/>
      <c r="F18322" s="1"/>
      <c r="G18322" s="1"/>
    </row>
    <row r="18323">
      <c r="B18323" s="36"/>
      <c r="C18323" s="36"/>
      <c r="E18323" s="1"/>
      <c r="F18323" s="1"/>
      <c r="G18323" s="1"/>
    </row>
    <row r="18324">
      <c r="B18324" s="36"/>
      <c r="C18324" s="36"/>
      <c r="E18324" s="1"/>
      <c r="F18324" s="1"/>
      <c r="G18324" s="1"/>
    </row>
    <row r="18325">
      <c r="B18325" s="36"/>
      <c r="C18325" s="36"/>
      <c r="E18325" s="1"/>
      <c r="F18325" s="1"/>
      <c r="G18325" s="1"/>
    </row>
    <row r="18326">
      <c r="B18326" s="36"/>
      <c r="C18326" s="36"/>
      <c r="E18326" s="1"/>
      <c r="F18326" s="1"/>
      <c r="G18326" s="1"/>
    </row>
    <row r="18327">
      <c r="B18327" s="36"/>
      <c r="C18327" s="36"/>
      <c r="E18327" s="1"/>
      <c r="F18327" s="1"/>
      <c r="G18327" s="1"/>
    </row>
    <row r="18328">
      <c r="B18328" s="36"/>
      <c r="C18328" s="36"/>
      <c r="E18328" s="1"/>
      <c r="F18328" s="1"/>
      <c r="G18328" s="1"/>
    </row>
    <row r="18329">
      <c r="B18329" s="36"/>
      <c r="C18329" s="36"/>
      <c r="E18329" s="1"/>
      <c r="F18329" s="1"/>
      <c r="G18329" s="1"/>
    </row>
    <row r="18330">
      <c r="B18330" s="36"/>
      <c r="C18330" s="36"/>
      <c r="E18330" s="1"/>
      <c r="F18330" s="1"/>
      <c r="G18330" s="1"/>
    </row>
    <row r="18331">
      <c r="B18331" s="36"/>
      <c r="C18331" s="36"/>
      <c r="E18331" s="1"/>
      <c r="F18331" s="1"/>
      <c r="G18331" s="1"/>
    </row>
    <row r="18332">
      <c r="B18332" s="36"/>
      <c r="C18332" s="36"/>
      <c r="E18332" s="1"/>
      <c r="F18332" s="1"/>
      <c r="G18332" s="1"/>
    </row>
    <row r="18333">
      <c r="B18333" s="36"/>
      <c r="C18333" s="36"/>
      <c r="E18333" s="1"/>
      <c r="F18333" s="1"/>
      <c r="G18333" s="1"/>
    </row>
    <row r="18334">
      <c r="B18334" s="36"/>
      <c r="C18334" s="36"/>
      <c r="E18334" s="1"/>
      <c r="F18334" s="1"/>
      <c r="G18334" s="1"/>
    </row>
    <row r="18335">
      <c r="B18335" s="36"/>
      <c r="C18335" s="36"/>
      <c r="E18335" s="1"/>
      <c r="F18335" s="1"/>
      <c r="G18335" s="1"/>
    </row>
    <row r="18336">
      <c r="B18336" s="36"/>
      <c r="C18336" s="36"/>
      <c r="E18336" s="1"/>
      <c r="F18336" s="1"/>
      <c r="G18336" s="1"/>
    </row>
    <row r="18337">
      <c r="B18337" s="36"/>
      <c r="C18337" s="36"/>
      <c r="E18337" s="1"/>
      <c r="F18337" s="1"/>
      <c r="G18337" s="1"/>
    </row>
    <row r="18338">
      <c r="B18338" s="36"/>
      <c r="C18338" s="36"/>
      <c r="E18338" s="1"/>
      <c r="F18338" s="1"/>
      <c r="G18338" s="1"/>
    </row>
    <row r="18339">
      <c r="B18339" s="36"/>
      <c r="C18339" s="36"/>
      <c r="E18339" s="1"/>
      <c r="F18339" s="1"/>
      <c r="G18339" s="1"/>
    </row>
    <row r="18340">
      <c r="B18340" s="36"/>
      <c r="C18340" s="36"/>
      <c r="E18340" s="1"/>
      <c r="F18340" s="1"/>
      <c r="G18340" s="1"/>
    </row>
    <row r="18341">
      <c r="B18341" s="36"/>
      <c r="C18341" s="36"/>
      <c r="E18341" s="1"/>
      <c r="F18341" s="1"/>
      <c r="G18341" s="1"/>
    </row>
    <row r="18342">
      <c r="B18342" s="36"/>
      <c r="C18342" s="36"/>
      <c r="E18342" s="1"/>
      <c r="F18342" s="1"/>
      <c r="G18342" s="1"/>
    </row>
    <row r="18343">
      <c r="B18343" s="36"/>
      <c r="C18343" s="36"/>
      <c r="E18343" s="1"/>
      <c r="F18343" s="1"/>
      <c r="G18343" s="1"/>
    </row>
    <row r="18344">
      <c r="B18344" s="36"/>
      <c r="C18344" s="36"/>
      <c r="E18344" s="1"/>
      <c r="F18344" s="1"/>
      <c r="G18344" s="1"/>
    </row>
    <row r="18345">
      <c r="B18345" s="36"/>
      <c r="C18345" s="36"/>
      <c r="E18345" s="1"/>
      <c r="F18345" s="1"/>
      <c r="G18345" s="1"/>
    </row>
    <row r="18346">
      <c r="B18346" s="36"/>
      <c r="C18346" s="36"/>
      <c r="E18346" s="1"/>
      <c r="F18346" s="1"/>
      <c r="G18346" s="1"/>
    </row>
    <row r="18347">
      <c r="B18347" s="36"/>
      <c r="C18347" s="36"/>
      <c r="E18347" s="1"/>
      <c r="F18347" s="1"/>
      <c r="G18347" s="1"/>
    </row>
    <row r="18348">
      <c r="B18348" s="36"/>
      <c r="C18348" s="36"/>
      <c r="E18348" s="1"/>
      <c r="F18348" s="1"/>
      <c r="G18348" s="1"/>
    </row>
    <row r="18349">
      <c r="B18349" s="36"/>
      <c r="C18349" s="36"/>
      <c r="E18349" s="1"/>
      <c r="F18349" s="1"/>
      <c r="G18349" s="1"/>
    </row>
    <row r="18350">
      <c r="B18350" s="36"/>
      <c r="C18350" s="36"/>
      <c r="E18350" s="1"/>
      <c r="F18350" s="1"/>
      <c r="G18350" s="1"/>
    </row>
    <row r="18351">
      <c r="B18351" s="36"/>
      <c r="C18351" s="36"/>
      <c r="E18351" s="1"/>
      <c r="F18351" s="1"/>
      <c r="G18351" s="1"/>
    </row>
    <row r="18352">
      <c r="B18352" s="36"/>
      <c r="C18352" s="36"/>
      <c r="E18352" s="1"/>
      <c r="F18352" s="1"/>
      <c r="G18352" s="1"/>
    </row>
    <row r="18353">
      <c r="B18353" s="36"/>
      <c r="C18353" s="36"/>
      <c r="E18353" s="1"/>
      <c r="F18353" s="1"/>
      <c r="G18353" s="1"/>
    </row>
    <row r="18354">
      <c r="B18354" s="36"/>
      <c r="C18354" s="36"/>
      <c r="E18354" s="1"/>
      <c r="F18354" s="1"/>
      <c r="G18354" s="1"/>
    </row>
    <row r="18355">
      <c r="B18355" s="36"/>
      <c r="C18355" s="36"/>
      <c r="E18355" s="1"/>
      <c r="F18355" s="1"/>
      <c r="G18355" s="1"/>
    </row>
    <row r="18356">
      <c r="B18356" s="36"/>
      <c r="C18356" s="36"/>
      <c r="E18356" s="1"/>
      <c r="F18356" s="1"/>
      <c r="G18356" s="1"/>
    </row>
    <row r="18357">
      <c r="B18357" s="36"/>
      <c r="C18357" s="36"/>
      <c r="E18357" s="1"/>
      <c r="F18357" s="1"/>
      <c r="G18357" s="1"/>
    </row>
    <row r="18358">
      <c r="B18358" s="36"/>
      <c r="C18358" s="36"/>
      <c r="E18358" s="1"/>
      <c r="F18358" s="1"/>
      <c r="G18358" s="1"/>
    </row>
    <row r="18359">
      <c r="B18359" s="36"/>
      <c r="C18359" s="36"/>
      <c r="E18359" s="1"/>
      <c r="F18359" s="1"/>
      <c r="G18359" s="1"/>
    </row>
    <row r="18360">
      <c r="B18360" s="36"/>
      <c r="C18360" s="36"/>
      <c r="E18360" s="1"/>
      <c r="F18360" s="1"/>
      <c r="G18360" s="1"/>
    </row>
    <row r="18361">
      <c r="B18361" s="36"/>
      <c r="C18361" s="36"/>
      <c r="E18361" s="1"/>
      <c r="F18361" s="1"/>
      <c r="G18361" s="1"/>
    </row>
    <row r="18362">
      <c r="B18362" s="36"/>
      <c r="C18362" s="36"/>
      <c r="E18362" s="1"/>
      <c r="F18362" s="1"/>
      <c r="G18362" s="1"/>
    </row>
    <row r="18363">
      <c r="B18363" s="36"/>
      <c r="C18363" s="36"/>
      <c r="E18363" s="1"/>
      <c r="F18363" s="1"/>
      <c r="G18363" s="1"/>
    </row>
    <row r="18364">
      <c r="B18364" s="36"/>
      <c r="C18364" s="36"/>
      <c r="E18364" s="1"/>
      <c r="F18364" s="1"/>
      <c r="G18364" s="1"/>
    </row>
    <row r="18365">
      <c r="B18365" s="36"/>
      <c r="C18365" s="36"/>
      <c r="E18365" s="1"/>
      <c r="F18365" s="1"/>
      <c r="G18365" s="1"/>
    </row>
    <row r="18366">
      <c r="B18366" s="36"/>
      <c r="C18366" s="36"/>
      <c r="E18366" s="1"/>
      <c r="F18366" s="1"/>
      <c r="G18366" s="1"/>
    </row>
    <row r="18367">
      <c r="B18367" s="36"/>
      <c r="C18367" s="36"/>
      <c r="E18367" s="1"/>
      <c r="F18367" s="1"/>
      <c r="G18367" s="1"/>
    </row>
    <row r="18368">
      <c r="B18368" s="36"/>
      <c r="C18368" s="36"/>
      <c r="E18368" s="1"/>
      <c r="F18368" s="1"/>
      <c r="G18368" s="1"/>
    </row>
    <row r="18369">
      <c r="B18369" s="36"/>
      <c r="C18369" s="36"/>
      <c r="E18369" s="1"/>
      <c r="F18369" s="1"/>
      <c r="G18369" s="1"/>
    </row>
    <row r="18370">
      <c r="B18370" s="36"/>
      <c r="C18370" s="36"/>
      <c r="E18370" s="1"/>
      <c r="F18370" s="1"/>
      <c r="G18370" s="1"/>
    </row>
    <row r="18371">
      <c r="B18371" s="36"/>
      <c r="C18371" s="36"/>
      <c r="E18371" s="1"/>
      <c r="F18371" s="1"/>
      <c r="G18371" s="1"/>
    </row>
    <row r="18372">
      <c r="B18372" s="36"/>
      <c r="C18372" s="36"/>
      <c r="E18372" s="1"/>
      <c r="F18372" s="1"/>
      <c r="G18372" s="1"/>
    </row>
    <row r="18373">
      <c r="B18373" s="36"/>
      <c r="C18373" s="36"/>
      <c r="E18373" s="1"/>
      <c r="F18373" s="1"/>
      <c r="G18373" s="1"/>
    </row>
    <row r="18374">
      <c r="B18374" s="36"/>
      <c r="C18374" s="36"/>
      <c r="E18374" s="1"/>
      <c r="F18374" s="1"/>
      <c r="G18374" s="1"/>
    </row>
    <row r="18375">
      <c r="B18375" s="36"/>
      <c r="C18375" s="36"/>
      <c r="E18375" s="1"/>
      <c r="F18375" s="1"/>
      <c r="G18375" s="1"/>
    </row>
    <row r="18376">
      <c r="B18376" s="36"/>
      <c r="C18376" s="36"/>
      <c r="E18376" s="1"/>
      <c r="F18376" s="1"/>
      <c r="G18376" s="1"/>
    </row>
    <row r="18377">
      <c r="B18377" s="36"/>
      <c r="C18377" s="36"/>
      <c r="E18377" s="1"/>
      <c r="F18377" s="1"/>
      <c r="G18377" s="1"/>
    </row>
    <row r="18378">
      <c r="B18378" s="36"/>
      <c r="C18378" s="36"/>
      <c r="E18378" s="1"/>
      <c r="F18378" s="1"/>
      <c r="G18378" s="1"/>
    </row>
    <row r="18379">
      <c r="B18379" s="36"/>
      <c r="C18379" s="36"/>
      <c r="E18379" s="1"/>
      <c r="F18379" s="1"/>
      <c r="G18379" s="1"/>
    </row>
    <row r="18380">
      <c r="B18380" s="36"/>
      <c r="C18380" s="36"/>
      <c r="E18380" s="1"/>
      <c r="F18380" s="1"/>
      <c r="G18380" s="1"/>
    </row>
    <row r="18381">
      <c r="B18381" s="36"/>
      <c r="C18381" s="36"/>
      <c r="E18381" s="1"/>
      <c r="F18381" s="1"/>
      <c r="G18381" s="1"/>
    </row>
    <row r="18382">
      <c r="B18382" s="36"/>
      <c r="C18382" s="36"/>
      <c r="E18382" s="1"/>
      <c r="F18382" s="1"/>
      <c r="G18382" s="1"/>
    </row>
    <row r="18383">
      <c r="B18383" s="36"/>
      <c r="C18383" s="36"/>
      <c r="E18383" s="1"/>
      <c r="F18383" s="1"/>
      <c r="G18383" s="1"/>
    </row>
    <row r="18384">
      <c r="B18384" s="36"/>
      <c r="C18384" s="36"/>
      <c r="E18384" s="1"/>
      <c r="F18384" s="1"/>
      <c r="G18384" s="1"/>
    </row>
    <row r="18385">
      <c r="B18385" s="36"/>
      <c r="C18385" s="36"/>
      <c r="E18385" s="1"/>
      <c r="F18385" s="1"/>
      <c r="G18385" s="1"/>
    </row>
    <row r="18386">
      <c r="B18386" s="36"/>
      <c r="C18386" s="36"/>
      <c r="E18386" s="1"/>
      <c r="F18386" s="1"/>
      <c r="G18386" s="1"/>
    </row>
    <row r="18387">
      <c r="B18387" s="36"/>
      <c r="C18387" s="36"/>
      <c r="E18387" s="1"/>
      <c r="F18387" s="1"/>
      <c r="G18387" s="1"/>
    </row>
    <row r="18388">
      <c r="B18388" s="36"/>
      <c r="C18388" s="36"/>
      <c r="E18388" s="1"/>
      <c r="F18388" s="1"/>
      <c r="G18388" s="1"/>
    </row>
    <row r="18389">
      <c r="B18389" s="36"/>
      <c r="C18389" s="36"/>
      <c r="E18389" s="1"/>
      <c r="F18389" s="1"/>
      <c r="G18389" s="1"/>
    </row>
    <row r="18390">
      <c r="B18390" s="36"/>
      <c r="C18390" s="36"/>
      <c r="E18390" s="1"/>
      <c r="F18390" s="1"/>
      <c r="G18390" s="1"/>
    </row>
    <row r="18391">
      <c r="B18391" s="36"/>
      <c r="C18391" s="36"/>
      <c r="E18391" s="1"/>
      <c r="F18391" s="1"/>
      <c r="G18391" s="1"/>
    </row>
    <row r="18392">
      <c r="B18392" s="36"/>
      <c r="C18392" s="36"/>
      <c r="E18392" s="1"/>
      <c r="F18392" s="1"/>
      <c r="G18392" s="1"/>
    </row>
    <row r="18393">
      <c r="B18393" s="36"/>
      <c r="C18393" s="36"/>
      <c r="E18393" s="1"/>
      <c r="F18393" s="1"/>
      <c r="G18393" s="1"/>
    </row>
    <row r="18394">
      <c r="B18394" s="36"/>
      <c r="C18394" s="36"/>
      <c r="E18394" s="1"/>
      <c r="F18394" s="1"/>
      <c r="G18394" s="1"/>
    </row>
    <row r="18395">
      <c r="B18395" s="36"/>
      <c r="C18395" s="36"/>
      <c r="E18395" s="1"/>
      <c r="F18395" s="1"/>
      <c r="G18395" s="1"/>
    </row>
    <row r="18396">
      <c r="B18396" s="36"/>
      <c r="C18396" s="36"/>
      <c r="E18396" s="1"/>
      <c r="F18396" s="1"/>
      <c r="G18396" s="1"/>
    </row>
    <row r="18397">
      <c r="B18397" s="36"/>
      <c r="C18397" s="36"/>
      <c r="E18397" s="1"/>
      <c r="F18397" s="1"/>
      <c r="G18397" s="1"/>
    </row>
    <row r="18398">
      <c r="B18398" s="36"/>
      <c r="C18398" s="36"/>
      <c r="E18398" s="1"/>
      <c r="F18398" s="1"/>
      <c r="G18398" s="1"/>
    </row>
    <row r="18399">
      <c r="B18399" s="36"/>
      <c r="C18399" s="36"/>
      <c r="E18399" s="1"/>
      <c r="F18399" s="1"/>
      <c r="G18399" s="1"/>
    </row>
    <row r="18400">
      <c r="B18400" s="36"/>
      <c r="C18400" s="36"/>
      <c r="E18400" s="1"/>
      <c r="F18400" s="1"/>
      <c r="G18400" s="1"/>
    </row>
    <row r="18401">
      <c r="B18401" s="36"/>
      <c r="C18401" s="36"/>
      <c r="E18401" s="1"/>
      <c r="F18401" s="1"/>
      <c r="G18401" s="1"/>
    </row>
    <row r="18402">
      <c r="B18402" s="36"/>
      <c r="C18402" s="36"/>
      <c r="E18402" s="1"/>
      <c r="F18402" s="1"/>
      <c r="G18402" s="1"/>
    </row>
    <row r="18403">
      <c r="B18403" s="36"/>
      <c r="C18403" s="36"/>
      <c r="E18403" s="1"/>
      <c r="F18403" s="1"/>
      <c r="G18403" s="1"/>
    </row>
    <row r="18404">
      <c r="B18404" s="36"/>
      <c r="C18404" s="36"/>
      <c r="E18404" s="1"/>
      <c r="F18404" s="1"/>
      <c r="G18404" s="1"/>
    </row>
    <row r="18405">
      <c r="B18405" s="36"/>
      <c r="C18405" s="36"/>
      <c r="E18405" s="1"/>
      <c r="F18405" s="1"/>
      <c r="G18405" s="1"/>
    </row>
    <row r="18406">
      <c r="B18406" s="36"/>
      <c r="C18406" s="36"/>
      <c r="E18406" s="1"/>
      <c r="F18406" s="1"/>
      <c r="G18406" s="1"/>
    </row>
    <row r="18407">
      <c r="B18407" s="36"/>
      <c r="C18407" s="36"/>
      <c r="E18407" s="1"/>
      <c r="F18407" s="1"/>
      <c r="G18407" s="1"/>
    </row>
    <row r="18408">
      <c r="B18408" s="36"/>
      <c r="C18408" s="36"/>
      <c r="E18408" s="1"/>
      <c r="F18408" s="1"/>
      <c r="G18408" s="1"/>
    </row>
    <row r="18409">
      <c r="B18409" s="36"/>
      <c r="C18409" s="36"/>
      <c r="E18409" s="1"/>
      <c r="F18409" s="1"/>
      <c r="G18409" s="1"/>
    </row>
    <row r="18410">
      <c r="B18410" s="36"/>
      <c r="C18410" s="36"/>
      <c r="E18410" s="1"/>
      <c r="F18410" s="1"/>
      <c r="G18410" s="1"/>
    </row>
    <row r="18411">
      <c r="B18411" s="36"/>
      <c r="C18411" s="36"/>
      <c r="E18411" s="1"/>
      <c r="F18411" s="1"/>
      <c r="G18411" s="1"/>
    </row>
    <row r="18412">
      <c r="B18412" s="36"/>
      <c r="C18412" s="36"/>
      <c r="E18412" s="1"/>
      <c r="F18412" s="1"/>
      <c r="G18412" s="1"/>
    </row>
    <row r="18413">
      <c r="B18413" s="36"/>
      <c r="C18413" s="36"/>
      <c r="E18413" s="1"/>
      <c r="F18413" s="1"/>
      <c r="G18413" s="1"/>
    </row>
    <row r="18414">
      <c r="B18414" s="36"/>
      <c r="C18414" s="36"/>
      <c r="E18414" s="1"/>
      <c r="F18414" s="1"/>
      <c r="G18414" s="1"/>
    </row>
    <row r="18415">
      <c r="B18415" s="36"/>
      <c r="C18415" s="36"/>
      <c r="E18415" s="1"/>
      <c r="F18415" s="1"/>
      <c r="G18415" s="1"/>
    </row>
    <row r="18416">
      <c r="B18416" s="36"/>
      <c r="C18416" s="36"/>
      <c r="E18416" s="1"/>
      <c r="F18416" s="1"/>
      <c r="G18416" s="1"/>
    </row>
    <row r="18417">
      <c r="B18417" s="36"/>
      <c r="C18417" s="36"/>
      <c r="E18417" s="1"/>
      <c r="F18417" s="1"/>
      <c r="G18417" s="1"/>
    </row>
    <row r="18418">
      <c r="B18418" s="36"/>
      <c r="C18418" s="36"/>
      <c r="E18418" s="1"/>
      <c r="F18418" s="1"/>
      <c r="G18418" s="1"/>
    </row>
    <row r="18419">
      <c r="B18419" s="36"/>
      <c r="C18419" s="36"/>
      <c r="E18419" s="1"/>
      <c r="F18419" s="1"/>
      <c r="G18419" s="1"/>
    </row>
    <row r="18420">
      <c r="B18420" s="36"/>
      <c r="C18420" s="36"/>
      <c r="E18420" s="1"/>
      <c r="F18420" s="1"/>
      <c r="G18420" s="1"/>
    </row>
    <row r="18421">
      <c r="B18421" s="36"/>
      <c r="C18421" s="36"/>
      <c r="E18421" s="1"/>
      <c r="F18421" s="1"/>
      <c r="G18421" s="1"/>
    </row>
    <row r="18422">
      <c r="B18422" s="36"/>
      <c r="C18422" s="36"/>
      <c r="E18422" s="1"/>
      <c r="F18422" s="1"/>
      <c r="G18422" s="1"/>
    </row>
    <row r="18423">
      <c r="B18423" s="36"/>
      <c r="C18423" s="36"/>
      <c r="E18423" s="1"/>
      <c r="F18423" s="1"/>
      <c r="G18423" s="1"/>
    </row>
    <row r="18424">
      <c r="B18424" s="36"/>
      <c r="C18424" s="36"/>
      <c r="E18424" s="1"/>
      <c r="F18424" s="1"/>
      <c r="G18424" s="1"/>
    </row>
    <row r="18425">
      <c r="B18425" s="36"/>
      <c r="C18425" s="36"/>
      <c r="E18425" s="1"/>
      <c r="F18425" s="1"/>
      <c r="G18425" s="1"/>
    </row>
    <row r="18426">
      <c r="B18426" s="36"/>
      <c r="C18426" s="36"/>
      <c r="E18426" s="1"/>
      <c r="F18426" s="1"/>
      <c r="G18426" s="1"/>
    </row>
    <row r="18427">
      <c r="B18427" s="36"/>
      <c r="C18427" s="36"/>
      <c r="E18427" s="1"/>
      <c r="F18427" s="1"/>
      <c r="G18427" s="1"/>
    </row>
    <row r="18428">
      <c r="B18428" s="36"/>
      <c r="C18428" s="36"/>
      <c r="E18428" s="1"/>
      <c r="F18428" s="1"/>
      <c r="G18428" s="1"/>
    </row>
    <row r="18429">
      <c r="B18429" s="36"/>
      <c r="C18429" s="36"/>
      <c r="E18429" s="1"/>
      <c r="F18429" s="1"/>
      <c r="G18429" s="1"/>
    </row>
    <row r="18430">
      <c r="B18430" s="36"/>
      <c r="C18430" s="36"/>
      <c r="E18430" s="1"/>
      <c r="F18430" s="1"/>
      <c r="G18430" s="1"/>
    </row>
    <row r="18431">
      <c r="B18431" s="36"/>
      <c r="C18431" s="36"/>
      <c r="E18431" s="1"/>
      <c r="F18431" s="1"/>
      <c r="G18431" s="1"/>
    </row>
    <row r="18432">
      <c r="B18432" s="36"/>
      <c r="C18432" s="36"/>
      <c r="E18432" s="1"/>
      <c r="F18432" s="1"/>
      <c r="G18432" s="1"/>
    </row>
    <row r="18433">
      <c r="B18433" s="36"/>
      <c r="C18433" s="36"/>
      <c r="E18433" s="1"/>
      <c r="F18433" s="1"/>
      <c r="G18433" s="1"/>
    </row>
    <row r="18434">
      <c r="B18434" s="36"/>
      <c r="C18434" s="36"/>
      <c r="E18434" s="1"/>
      <c r="F18434" s="1"/>
      <c r="G18434" s="1"/>
    </row>
    <row r="18435">
      <c r="B18435" s="36"/>
      <c r="C18435" s="36"/>
      <c r="E18435" s="1"/>
      <c r="F18435" s="1"/>
      <c r="G18435" s="1"/>
    </row>
    <row r="18436">
      <c r="B18436" s="36"/>
      <c r="C18436" s="36"/>
      <c r="E18436" s="1"/>
      <c r="F18436" s="1"/>
      <c r="G18436" s="1"/>
    </row>
    <row r="18437">
      <c r="B18437" s="36"/>
      <c r="C18437" s="36"/>
      <c r="E18437" s="1"/>
      <c r="F18437" s="1"/>
      <c r="G18437" s="1"/>
    </row>
    <row r="18438">
      <c r="B18438" s="36"/>
      <c r="C18438" s="36"/>
      <c r="E18438" s="1"/>
      <c r="F18438" s="1"/>
      <c r="G18438" s="1"/>
    </row>
    <row r="18439">
      <c r="B18439" s="36"/>
      <c r="C18439" s="36"/>
      <c r="E18439" s="1"/>
      <c r="F18439" s="1"/>
      <c r="G18439" s="1"/>
    </row>
    <row r="18440">
      <c r="B18440" s="36"/>
      <c r="C18440" s="36"/>
      <c r="E18440" s="1"/>
      <c r="F18440" s="1"/>
      <c r="G18440" s="1"/>
    </row>
    <row r="18441">
      <c r="B18441" s="36"/>
      <c r="C18441" s="36"/>
      <c r="E18441" s="1"/>
      <c r="F18441" s="1"/>
      <c r="G18441" s="1"/>
    </row>
    <row r="18442">
      <c r="B18442" s="36"/>
      <c r="C18442" s="36"/>
      <c r="E18442" s="1"/>
      <c r="F18442" s="1"/>
      <c r="G18442" s="1"/>
    </row>
    <row r="18443">
      <c r="B18443" s="36"/>
      <c r="C18443" s="36"/>
      <c r="E18443" s="1"/>
      <c r="F18443" s="1"/>
      <c r="G18443" s="1"/>
    </row>
    <row r="18444">
      <c r="B18444" s="36"/>
      <c r="C18444" s="36"/>
      <c r="E18444" s="1"/>
      <c r="F18444" s="1"/>
      <c r="G18444" s="1"/>
    </row>
    <row r="18445">
      <c r="B18445" s="36"/>
      <c r="C18445" s="36"/>
      <c r="E18445" s="1"/>
      <c r="F18445" s="1"/>
      <c r="G18445" s="1"/>
    </row>
    <row r="18446">
      <c r="B18446" s="36"/>
      <c r="C18446" s="36"/>
      <c r="E18446" s="1"/>
      <c r="F18446" s="1"/>
      <c r="G18446" s="1"/>
    </row>
    <row r="18447">
      <c r="B18447" s="36"/>
      <c r="C18447" s="36"/>
      <c r="E18447" s="1"/>
      <c r="F18447" s="1"/>
      <c r="G18447" s="1"/>
    </row>
    <row r="18448">
      <c r="B18448" s="36"/>
      <c r="C18448" s="36"/>
      <c r="E18448" s="1"/>
      <c r="F18448" s="1"/>
      <c r="G18448" s="1"/>
    </row>
    <row r="18449">
      <c r="B18449" s="36"/>
      <c r="C18449" s="36"/>
      <c r="E18449" s="1"/>
      <c r="F18449" s="1"/>
      <c r="G18449" s="1"/>
    </row>
    <row r="18450">
      <c r="B18450" s="36"/>
      <c r="C18450" s="36"/>
      <c r="E18450" s="1"/>
      <c r="F18450" s="1"/>
      <c r="G18450" s="1"/>
    </row>
    <row r="18451">
      <c r="B18451" s="36"/>
      <c r="C18451" s="36"/>
      <c r="E18451" s="1"/>
      <c r="F18451" s="1"/>
      <c r="G18451" s="1"/>
    </row>
    <row r="18452">
      <c r="B18452" s="36"/>
      <c r="C18452" s="36"/>
      <c r="E18452" s="1"/>
      <c r="F18452" s="1"/>
      <c r="G18452" s="1"/>
    </row>
    <row r="18453">
      <c r="B18453" s="36"/>
      <c r="C18453" s="36"/>
      <c r="E18453" s="1"/>
      <c r="F18453" s="1"/>
      <c r="G18453" s="1"/>
    </row>
    <row r="18454">
      <c r="B18454" s="36"/>
      <c r="C18454" s="36"/>
      <c r="E18454" s="1"/>
      <c r="F18454" s="1"/>
      <c r="G18454" s="1"/>
    </row>
    <row r="18455">
      <c r="B18455" s="36"/>
      <c r="C18455" s="36"/>
      <c r="E18455" s="1"/>
      <c r="F18455" s="1"/>
      <c r="G18455" s="1"/>
    </row>
    <row r="18456">
      <c r="B18456" s="36"/>
      <c r="C18456" s="36"/>
      <c r="E18456" s="1"/>
      <c r="F18456" s="1"/>
      <c r="G18456" s="1"/>
    </row>
    <row r="18457">
      <c r="B18457" s="36"/>
      <c r="C18457" s="36"/>
      <c r="E18457" s="1"/>
      <c r="F18457" s="1"/>
      <c r="G18457" s="1"/>
    </row>
    <row r="18458">
      <c r="B18458" s="36"/>
      <c r="C18458" s="36"/>
      <c r="E18458" s="1"/>
      <c r="F18458" s="1"/>
      <c r="G18458" s="1"/>
    </row>
    <row r="18459">
      <c r="B18459" s="36"/>
      <c r="C18459" s="36"/>
      <c r="E18459" s="1"/>
      <c r="F18459" s="1"/>
      <c r="G18459" s="1"/>
    </row>
    <row r="18460">
      <c r="B18460" s="36"/>
      <c r="C18460" s="36"/>
      <c r="E18460" s="1"/>
      <c r="F18460" s="1"/>
      <c r="G18460" s="1"/>
    </row>
    <row r="18461">
      <c r="B18461" s="36"/>
      <c r="C18461" s="36"/>
      <c r="E18461" s="1"/>
      <c r="F18461" s="1"/>
      <c r="G18461" s="1"/>
    </row>
    <row r="18462">
      <c r="B18462" s="36"/>
      <c r="C18462" s="36"/>
      <c r="E18462" s="1"/>
      <c r="F18462" s="1"/>
      <c r="G18462" s="1"/>
    </row>
    <row r="18463">
      <c r="B18463" s="36"/>
      <c r="C18463" s="36"/>
      <c r="E18463" s="1"/>
      <c r="F18463" s="1"/>
      <c r="G18463" s="1"/>
    </row>
    <row r="18464">
      <c r="B18464" s="36"/>
      <c r="C18464" s="36"/>
      <c r="E18464" s="1"/>
      <c r="F18464" s="1"/>
      <c r="G18464" s="1"/>
    </row>
    <row r="18465">
      <c r="B18465" s="36"/>
      <c r="C18465" s="36"/>
      <c r="E18465" s="1"/>
      <c r="F18465" s="1"/>
      <c r="G18465" s="1"/>
    </row>
    <row r="18466">
      <c r="B18466" s="36"/>
      <c r="C18466" s="36"/>
      <c r="E18466" s="1"/>
      <c r="F18466" s="1"/>
      <c r="G18466" s="1"/>
    </row>
    <row r="18467">
      <c r="B18467" s="36"/>
      <c r="C18467" s="36"/>
      <c r="E18467" s="1"/>
      <c r="F18467" s="1"/>
      <c r="G18467" s="1"/>
    </row>
    <row r="18468">
      <c r="B18468" s="36"/>
      <c r="C18468" s="36"/>
      <c r="E18468" s="1"/>
      <c r="F18468" s="1"/>
      <c r="G18468" s="1"/>
    </row>
    <row r="18469">
      <c r="B18469" s="36"/>
      <c r="C18469" s="36"/>
      <c r="E18469" s="1"/>
      <c r="F18469" s="1"/>
      <c r="G18469" s="1"/>
    </row>
    <row r="18470">
      <c r="B18470" s="36"/>
      <c r="C18470" s="36"/>
      <c r="E18470" s="1"/>
      <c r="F18470" s="1"/>
      <c r="G18470" s="1"/>
    </row>
    <row r="18471">
      <c r="B18471" s="36"/>
      <c r="C18471" s="36"/>
      <c r="E18471" s="1"/>
      <c r="F18471" s="1"/>
      <c r="G18471" s="1"/>
    </row>
    <row r="18472">
      <c r="B18472" s="36"/>
      <c r="C18472" s="36"/>
      <c r="E18472" s="1"/>
      <c r="F18472" s="1"/>
      <c r="G18472" s="1"/>
    </row>
    <row r="18473">
      <c r="B18473" s="36"/>
      <c r="C18473" s="36"/>
      <c r="E18473" s="1"/>
      <c r="F18473" s="1"/>
      <c r="G18473" s="1"/>
    </row>
    <row r="18474">
      <c r="B18474" s="36"/>
      <c r="C18474" s="36"/>
      <c r="E18474" s="1"/>
      <c r="F18474" s="1"/>
      <c r="G18474" s="1"/>
    </row>
    <row r="18475">
      <c r="B18475" s="36"/>
      <c r="C18475" s="36"/>
      <c r="E18475" s="1"/>
      <c r="F18475" s="1"/>
      <c r="G18475" s="1"/>
    </row>
    <row r="18476">
      <c r="B18476" s="36"/>
      <c r="C18476" s="36"/>
      <c r="E18476" s="1"/>
      <c r="F18476" s="1"/>
      <c r="G18476" s="1"/>
    </row>
    <row r="18477">
      <c r="B18477" s="36"/>
      <c r="C18477" s="36"/>
      <c r="E18477" s="1"/>
      <c r="F18477" s="1"/>
      <c r="G18477" s="1"/>
    </row>
    <row r="18478">
      <c r="B18478" s="36"/>
      <c r="C18478" s="36"/>
      <c r="E18478" s="1"/>
      <c r="F18478" s="1"/>
      <c r="G18478" s="1"/>
    </row>
    <row r="18479">
      <c r="B18479" s="36"/>
      <c r="C18479" s="36"/>
      <c r="E18479" s="1"/>
      <c r="F18479" s="1"/>
      <c r="G18479" s="1"/>
    </row>
    <row r="18480">
      <c r="B18480" s="36"/>
      <c r="C18480" s="36"/>
      <c r="E18480" s="1"/>
      <c r="F18480" s="1"/>
      <c r="G18480" s="1"/>
    </row>
    <row r="18481">
      <c r="B18481" s="36"/>
      <c r="C18481" s="36"/>
      <c r="E18481" s="1"/>
      <c r="F18481" s="1"/>
      <c r="G18481" s="1"/>
    </row>
    <row r="18482">
      <c r="B18482" s="36"/>
      <c r="C18482" s="36"/>
      <c r="E18482" s="1"/>
      <c r="F18482" s="1"/>
      <c r="G18482" s="1"/>
    </row>
    <row r="18483">
      <c r="B18483" s="36"/>
      <c r="C18483" s="36"/>
      <c r="E18483" s="1"/>
      <c r="F18483" s="1"/>
      <c r="G18483" s="1"/>
    </row>
    <row r="18484">
      <c r="B18484" s="36"/>
      <c r="C18484" s="36"/>
      <c r="E18484" s="1"/>
      <c r="F18484" s="1"/>
      <c r="G18484" s="1"/>
    </row>
    <row r="18485">
      <c r="B18485" s="36"/>
      <c r="C18485" s="36"/>
      <c r="E18485" s="1"/>
      <c r="F18485" s="1"/>
      <c r="G18485" s="1"/>
    </row>
    <row r="18486">
      <c r="B18486" s="36"/>
      <c r="C18486" s="36"/>
      <c r="E18486" s="1"/>
      <c r="F18486" s="1"/>
      <c r="G18486" s="1"/>
    </row>
    <row r="18487">
      <c r="B18487" s="36"/>
      <c r="C18487" s="36"/>
      <c r="E18487" s="1"/>
      <c r="F18487" s="1"/>
      <c r="G18487" s="1"/>
    </row>
    <row r="18488">
      <c r="B18488" s="36"/>
      <c r="C18488" s="36"/>
      <c r="E18488" s="1"/>
      <c r="F18488" s="1"/>
      <c r="G18488" s="1"/>
    </row>
    <row r="18489">
      <c r="B18489" s="36"/>
      <c r="C18489" s="36"/>
      <c r="E18489" s="1"/>
      <c r="F18489" s="1"/>
      <c r="G18489" s="1"/>
    </row>
    <row r="18490">
      <c r="B18490" s="36"/>
      <c r="C18490" s="36"/>
      <c r="E18490" s="1"/>
      <c r="F18490" s="1"/>
      <c r="G18490" s="1"/>
    </row>
    <row r="18491">
      <c r="B18491" s="36"/>
      <c r="C18491" s="36"/>
      <c r="E18491" s="1"/>
      <c r="F18491" s="1"/>
      <c r="G18491" s="1"/>
    </row>
    <row r="18492">
      <c r="B18492" s="36"/>
      <c r="C18492" s="36"/>
      <c r="E18492" s="1"/>
      <c r="F18492" s="1"/>
      <c r="G18492" s="1"/>
    </row>
    <row r="18493">
      <c r="B18493" s="36"/>
      <c r="C18493" s="36"/>
      <c r="E18493" s="1"/>
      <c r="F18493" s="1"/>
      <c r="G18493" s="1"/>
    </row>
    <row r="18494">
      <c r="B18494" s="36"/>
      <c r="C18494" s="36"/>
      <c r="E18494" s="1"/>
      <c r="F18494" s="1"/>
      <c r="G18494" s="1"/>
    </row>
    <row r="18495">
      <c r="B18495" s="36"/>
      <c r="C18495" s="36"/>
      <c r="E18495" s="1"/>
      <c r="F18495" s="1"/>
      <c r="G18495" s="1"/>
    </row>
    <row r="18496">
      <c r="B18496" s="36"/>
      <c r="C18496" s="36"/>
      <c r="E18496" s="1"/>
      <c r="F18496" s="1"/>
      <c r="G18496" s="1"/>
    </row>
    <row r="18497">
      <c r="B18497" s="36"/>
      <c r="C18497" s="36"/>
      <c r="E18497" s="1"/>
      <c r="F18497" s="1"/>
      <c r="G18497" s="1"/>
    </row>
    <row r="18498">
      <c r="B18498" s="36"/>
      <c r="C18498" s="36"/>
      <c r="E18498" s="1"/>
      <c r="F18498" s="1"/>
      <c r="G18498" s="1"/>
    </row>
    <row r="18499">
      <c r="B18499" s="36"/>
      <c r="C18499" s="36"/>
      <c r="E18499" s="1"/>
      <c r="F18499" s="1"/>
      <c r="G18499" s="1"/>
    </row>
    <row r="18500">
      <c r="B18500" s="36"/>
      <c r="C18500" s="36"/>
      <c r="E18500" s="1"/>
      <c r="F18500" s="1"/>
      <c r="G18500" s="1"/>
    </row>
    <row r="18501">
      <c r="B18501" s="36"/>
      <c r="C18501" s="36"/>
      <c r="E18501" s="1"/>
      <c r="F18501" s="1"/>
      <c r="G18501" s="1"/>
    </row>
    <row r="18502">
      <c r="B18502" s="36"/>
      <c r="C18502" s="36"/>
      <c r="E18502" s="1"/>
      <c r="F18502" s="1"/>
      <c r="G18502" s="1"/>
    </row>
    <row r="18503">
      <c r="B18503" s="36"/>
      <c r="C18503" s="36"/>
      <c r="E18503" s="1"/>
      <c r="F18503" s="1"/>
      <c r="G18503" s="1"/>
    </row>
    <row r="18504">
      <c r="B18504" s="36"/>
      <c r="C18504" s="36"/>
      <c r="E18504" s="1"/>
      <c r="F18504" s="1"/>
      <c r="G18504" s="1"/>
    </row>
    <row r="18505">
      <c r="B18505" s="36"/>
      <c r="C18505" s="36"/>
      <c r="E18505" s="1"/>
      <c r="F18505" s="1"/>
      <c r="G18505" s="1"/>
    </row>
    <row r="18506">
      <c r="B18506" s="36"/>
      <c r="C18506" s="36"/>
      <c r="E18506" s="1"/>
      <c r="F18506" s="1"/>
      <c r="G18506" s="1"/>
    </row>
    <row r="18507">
      <c r="B18507" s="36"/>
      <c r="C18507" s="36"/>
      <c r="E18507" s="1"/>
      <c r="F18507" s="1"/>
      <c r="G18507" s="1"/>
    </row>
    <row r="18508">
      <c r="B18508" s="36"/>
      <c r="C18508" s="36"/>
      <c r="E18508" s="1"/>
      <c r="F18508" s="1"/>
      <c r="G18508" s="1"/>
    </row>
    <row r="18509">
      <c r="B18509" s="36"/>
      <c r="C18509" s="36"/>
      <c r="E18509" s="1"/>
      <c r="F18509" s="1"/>
      <c r="G18509" s="1"/>
    </row>
    <row r="18510">
      <c r="B18510" s="36"/>
      <c r="C18510" s="36"/>
      <c r="E18510" s="1"/>
      <c r="F18510" s="1"/>
      <c r="G18510" s="1"/>
    </row>
    <row r="18511">
      <c r="B18511" s="36"/>
      <c r="C18511" s="36"/>
      <c r="E18511" s="1"/>
      <c r="F18511" s="1"/>
      <c r="G18511" s="1"/>
    </row>
    <row r="18512">
      <c r="B18512" s="36"/>
      <c r="C18512" s="36"/>
      <c r="E18512" s="1"/>
      <c r="F18512" s="1"/>
      <c r="G18512" s="1"/>
    </row>
    <row r="18513">
      <c r="B18513" s="36"/>
      <c r="C18513" s="36"/>
      <c r="E18513" s="1"/>
      <c r="F18513" s="1"/>
      <c r="G18513" s="1"/>
    </row>
    <row r="18514">
      <c r="B18514" s="36"/>
      <c r="C18514" s="36"/>
      <c r="E18514" s="1"/>
      <c r="F18514" s="1"/>
      <c r="G18514" s="1"/>
    </row>
    <row r="18515">
      <c r="B18515" s="36"/>
      <c r="C18515" s="36"/>
      <c r="E18515" s="1"/>
      <c r="F18515" s="1"/>
      <c r="G18515" s="1"/>
    </row>
    <row r="18516">
      <c r="B18516" s="36"/>
      <c r="C18516" s="36"/>
      <c r="E18516" s="1"/>
      <c r="F18516" s="1"/>
      <c r="G18516" s="1"/>
    </row>
    <row r="18517">
      <c r="B18517" s="36"/>
      <c r="C18517" s="36"/>
      <c r="E18517" s="1"/>
      <c r="F18517" s="1"/>
      <c r="G18517" s="1"/>
    </row>
    <row r="18518">
      <c r="B18518" s="36"/>
      <c r="C18518" s="36"/>
      <c r="E18518" s="1"/>
      <c r="F18518" s="1"/>
      <c r="G18518" s="1"/>
    </row>
    <row r="18519">
      <c r="B18519" s="36"/>
      <c r="C18519" s="36"/>
      <c r="E18519" s="1"/>
      <c r="F18519" s="1"/>
      <c r="G18519" s="1"/>
    </row>
    <row r="18520">
      <c r="B18520" s="36"/>
      <c r="C18520" s="36"/>
      <c r="E18520" s="1"/>
      <c r="F18520" s="1"/>
      <c r="G18520" s="1"/>
    </row>
    <row r="18521">
      <c r="B18521" s="36"/>
      <c r="C18521" s="36"/>
      <c r="E18521" s="1"/>
      <c r="F18521" s="1"/>
      <c r="G18521" s="1"/>
    </row>
    <row r="18522">
      <c r="B18522" s="36"/>
      <c r="C18522" s="36"/>
      <c r="E18522" s="1"/>
      <c r="F18522" s="1"/>
      <c r="G18522" s="1"/>
    </row>
    <row r="18523">
      <c r="B18523" s="36"/>
      <c r="C18523" s="36"/>
      <c r="E18523" s="1"/>
      <c r="F18523" s="1"/>
      <c r="G18523" s="1"/>
    </row>
    <row r="18524">
      <c r="B18524" s="36"/>
      <c r="C18524" s="36"/>
      <c r="E18524" s="1"/>
      <c r="F18524" s="1"/>
      <c r="G18524" s="1"/>
    </row>
    <row r="18525">
      <c r="B18525" s="36"/>
      <c r="C18525" s="36"/>
      <c r="E18525" s="1"/>
      <c r="F18525" s="1"/>
      <c r="G18525" s="1"/>
    </row>
    <row r="18526">
      <c r="B18526" s="36"/>
      <c r="C18526" s="36"/>
      <c r="E18526" s="1"/>
      <c r="F18526" s="1"/>
      <c r="G18526" s="1"/>
    </row>
    <row r="18527">
      <c r="B18527" s="36"/>
      <c r="C18527" s="36"/>
      <c r="E18527" s="1"/>
      <c r="F18527" s="1"/>
      <c r="G18527" s="1"/>
    </row>
    <row r="18528">
      <c r="B18528" s="36"/>
      <c r="C18528" s="36"/>
      <c r="E18528" s="1"/>
      <c r="F18528" s="1"/>
      <c r="G18528" s="1"/>
    </row>
    <row r="18529">
      <c r="B18529" s="36"/>
      <c r="C18529" s="36"/>
      <c r="E18529" s="1"/>
      <c r="F18529" s="1"/>
      <c r="G18529" s="1"/>
    </row>
    <row r="18530">
      <c r="B18530" s="36"/>
      <c r="C18530" s="36"/>
      <c r="E18530" s="1"/>
      <c r="F18530" s="1"/>
      <c r="G18530" s="1"/>
    </row>
    <row r="18531">
      <c r="B18531" s="36"/>
      <c r="C18531" s="36"/>
      <c r="E18531" s="1"/>
      <c r="F18531" s="1"/>
      <c r="G18531" s="1"/>
    </row>
    <row r="18532">
      <c r="B18532" s="36"/>
      <c r="C18532" s="36"/>
      <c r="E18532" s="1"/>
      <c r="F18532" s="1"/>
      <c r="G18532" s="1"/>
    </row>
    <row r="18533">
      <c r="B18533" s="36"/>
      <c r="C18533" s="36"/>
      <c r="E18533" s="1"/>
      <c r="F18533" s="1"/>
      <c r="G18533" s="1"/>
    </row>
    <row r="18534">
      <c r="B18534" s="36"/>
      <c r="C18534" s="36"/>
      <c r="E18534" s="1"/>
      <c r="F18534" s="1"/>
      <c r="G18534" s="1"/>
    </row>
    <row r="18535">
      <c r="B18535" s="36"/>
      <c r="C18535" s="36"/>
      <c r="E18535" s="1"/>
      <c r="F18535" s="1"/>
      <c r="G18535" s="1"/>
    </row>
    <row r="18536">
      <c r="B18536" s="36"/>
      <c r="C18536" s="36"/>
      <c r="E18536" s="1"/>
      <c r="F18536" s="1"/>
      <c r="G18536" s="1"/>
    </row>
    <row r="18537">
      <c r="B18537" s="36"/>
      <c r="C18537" s="36"/>
      <c r="E18537" s="1"/>
      <c r="F18537" s="1"/>
      <c r="G18537" s="1"/>
    </row>
    <row r="18538">
      <c r="B18538" s="36"/>
      <c r="C18538" s="36"/>
      <c r="E18538" s="1"/>
      <c r="F18538" s="1"/>
      <c r="G18538" s="1"/>
    </row>
    <row r="18539">
      <c r="B18539" s="36"/>
      <c r="C18539" s="36"/>
      <c r="E18539" s="1"/>
      <c r="F18539" s="1"/>
      <c r="G18539" s="1"/>
    </row>
    <row r="18540">
      <c r="B18540" s="36"/>
      <c r="C18540" s="36"/>
      <c r="E18540" s="1"/>
      <c r="F18540" s="1"/>
      <c r="G18540" s="1"/>
    </row>
    <row r="18541">
      <c r="B18541" s="36"/>
      <c r="C18541" s="36"/>
      <c r="E18541" s="1"/>
      <c r="F18541" s="1"/>
      <c r="G18541" s="1"/>
    </row>
    <row r="18542">
      <c r="B18542" s="36"/>
      <c r="C18542" s="36"/>
      <c r="E18542" s="1"/>
      <c r="F18542" s="1"/>
      <c r="G18542" s="1"/>
    </row>
    <row r="18543">
      <c r="B18543" s="36"/>
      <c r="C18543" s="36"/>
      <c r="E18543" s="1"/>
      <c r="F18543" s="1"/>
      <c r="G18543" s="1"/>
    </row>
    <row r="18544">
      <c r="B18544" s="36"/>
      <c r="C18544" s="36"/>
      <c r="E18544" s="1"/>
      <c r="F18544" s="1"/>
      <c r="G18544" s="1"/>
    </row>
    <row r="18545">
      <c r="B18545" s="36"/>
      <c r="C18545" s="36"/>
      <c r="E18545" s="1"/>
      <c r="F18545" s="1"/>
      <c r="G18545" s="1"/>
    </row>
    <row r="18546">
      <c r="B18546" s="36"/>
      <c r="C18546" s="36"/>
      <c r="E18546" s="1"/>
      <c r="F18546" s="1"/>
      <c r="G18546" s="1"/>
    </row>
    <row r="18547">
      <c r="B18547" s="36"/>
      <c r="C18547" s="36"/>
      <c r="E18547" s="1"/>
      <c r="F18547" s="1"/>
      <c r="G18547" s="1"/>
    </row>
    <row r="18548">
      <c r="B18548" s="36"/>
      <c r="C18548" s="36"/>
      <c r="E18548" s="1"/>
      <c r="F18548" s="1"/>
      <c r="G18548" s="1"/>
    </row>
    <row r="18549">
      <c r="B18549" s="36"/>
      <c r="C18549" s="36"/>
      <c r="E18549" s="1"/>
      <c r="F18549" s="1"/>
      <c r="G18549" s="1"/>
    </row>
    <row r="18550">
      <c r="B18550" s="36"/>
      <c r="C18550" s="36"/>
      <c r="E18550" s="1"/>
      <c r="F18550" s="1"/>
      <c r="G18550" s="1"/>
    </row>
    <row r="18551">
      <c r="B18551" s="36"/>
      <c r="C18551" s="36"/>
      <c r="E18551" s="1"/>
      <c r="F18551" s="1"/>
      <c r="G18551" s="1"/>
    </row>
    <row r="18552">
      <c r="B18552" s="36"/>
      <c r="C18552" s="36"/>
      <c r="E18552" s="1"/>
      <c r="F18552" s="1"/>
      <c r="G18552" s="1"/>
    </row>
    <row r="18553">
      <c r="B18553" s="36"/>
      <c r="C18553" s="36"/>
      <c r="E18553" s="1"/>
      <c r="F18553" s="1"/>
      <c r="G18553" s="1"/>
    </row>
    <row r="18554">
      <c r="B18554" s="36"/>
      <c r="C18554" s="36"/>
      <c r="E18554" s="1"/>
      <c r="F18554" s="1"/>
      <c r="G18554" s="1"/>
    </row>
    <row r="18555">
      <c r="B18555" s="36"/>
      <c r="C18555" s="36"/>
      <c r="E18555" s="1"/>
      <c r="F18555" s="1"/>
      <c r="G18555" s="1"/>
    </row>
    <row r="18556">
      <c r="B18556" s="36"/>
      <c r="C18556" s="36"/>
      <c r="E18556" s="1"/>
      <c r="F18556" s="1"/>
      <c r="G18556" s="1"/>
    </row>
    <row r="18557">
      <c r="B18557" s="36"/>
      <c r="C18557" s="36"/>
      <c r="E18557" s="1"/>
      <c r="F18557" s="1"/>
      <c r="G18557" s="1"/>
    </row>
    <row r="18558">
      <c r="B18558" s="36"/>
      <c r="C18558" s="36"/>
      <c r="E18558" s="1"/>
      <c r="F18558" s="1"/>
      <c r="G18558" s="1"/>
    </row>
    <row r="18559">
      <c r="B18559" s="36"/>
      <c r="C18559" s="36"/>
      <c r="E18559" s="1"/>
      <c r="F18559" s="1"/>
      <c r="G18559" s="1"/>
    </row>
    <row r="18560">
      <c r="B18560" s="36"/>
      <c r="C18560" s="36"/>
      <c r="E18560" s="1"/>
      <c r="F18560" s="1"/>
      <c r="G18560" s="1"/>
    </row>
    <row r="18561">
      <c r="B18561" s="36"/>
      <c r="C18561" s="36"/>
      <c r="E18561" s="1"/>
      <c r="F18561" s="1"/>
      <c r="G18561" s="1"/>
    </row>
    <row r="18562">
      <c r="B18562" s="36"/>
      <c r="C18562" s="36"/>
      <c r="E18562" s="1"/>
      <c r="F18562" s="1"/>
      <c r="G18562" s="1"/>
    </row>
    <row r="18563">
      <c r="B18563" s="36"/>
      <c r="C18563" s="36"/>
      <c r="E18563" s="1"/>
      <c r="F18563" s="1"/>
      <c r="G18563" s="1"/>
    </row>
    <row r="18564">
      <c r="B18564" s="36"/>
      <c r="C18564" s="36"/>
      <c r="E18564" s="1"/>
      <c r="F18564" s="1"/>
      <c r="G18564" s="1"/>
    </row>
    <row r="18565">
      <c r="B18565" s="36"/>
      <c r="C18565" s="36"/>
      <c r="E18565" s="1"/>
      <c r="F18565" s="1"/>
      <c r="G18565" s="1"/>
    </row>
    <row r="18566">
      <c r="B18566" s="36"/>
      <c r="C18566" s="36"/>
      <c r="E18566" s="1"/>
      <c r="F18566" s="1"/>
      <c r="G18566" s="1"/>
    </row>
    <row r="18567">
      <c r="B18567" s="36"/>
      <c r="C18567" s="36"/>
      <c r="E18567" s="1"/>
      <c r="F18567" s="1"/>
      <c r="G18567" s="1"/>
    </row>
    <row r="18568">
      <c r="B18568" s="36"/>
      <c r="C18568" s="36"/>
      <c r="E18568" s="1"/>
      <c r="F18568" s="1"/>
      <c r="G18568" s="1"/>
    </row>
    <row r="18569">
      <c r="B18569" s="36"/>
      <c r="C18569" s="36"/>
      <c r="E18569" s="1"/>
      <c r="F18569" s="1"/>
      <c r="G18569" s="1"/>
    </row>
    <row r="18570">
      <c r="B18570" s="36"/>
      <c r="C18570" s="36"/>
      <c r="E18570" s="1"/>
      <c r="F18570" s="1"/>
      <c r="G18570" s="1"/>
    </row>
    <row r="18571">
      <c r="B18571" s="36"/>
      <c r="C18571" s="36"/>
      <c r="E18571" s="1"/>
      <c r="F18571" s="1"/>
      <c r="G18571" s="1"/>
    </row>
    <row r="18572">
      <c r="B18572" s="36"/>
      <c r="C18572" s="36"/>
      <c r="E18572" s="1"/>
      <c r="F18572" s="1"/>
      <c r="G18572" s="1"/>
    </row>
    <row r="18573">
      <c r="B18573" s="36"/>
      <c r="C18573" s="36"/>
      <c r="E18573" s="1"/>
      <c r="F18573" s="1"/>
      <c r="G18573" s="1"/>
    </row>
    <row r="18574">
      <c r="B18574" s="36"/>
      <c r="C18574" s="36"/>
      <c r="E18574" s="1"/>
      <c r="F18574" s="1"/>
      <c r="G18574" s="1"/>
    </row>
    <row r="18575">
      <c r="B18575" s="36"/>
      <c r="C18575" s="36"/>
      <c r="E18575" s="1"/>
      <c r="F18575" s="1"/>
      <c r="G18575" s="1"/>
    </row>
    <row r="18576">
      <c r="B18576" s="36"/>
      <c r="C18576" s="36"/>
      <c r="E18576" s="1"/>
      <c r="F18576" s="1"/>
      <c r="G18576" s="1"/>
    </row>
    <row r="18577">
      <c r="B18577" s="36"/>
      <c r="C18577" s="36"/>
      <c r="E18577" s="1"/>
      <c r="F18577" s="1"/>
      <c r="G18577" s="1"/>
    </row>
    <row r="18578">
      <c r="B18578" s="36"/>
      <c r="C18578" s="36"/>
      <c r="E18578" s="1"/>
      <c r="F18578" s="1"/>
      <c r="G18578" s="1"/>
    </row>
    <row r="18579">
      <c r="B18579" s="36"/>
      <c r="C18579" s="36"/>
      <c r="E18579" s="1"/>
      <c r="F18579" s="1"/>
      <c r="G18579" s="1"/>
    </row>
    <row r="18580">
      <c r="B18580" s="36"/>
      <c r="C18580" s="36"/>
      <c r="E18580" s="1"/>
      <c r="F18580" s="1"/>
      <c r="G18580" s="1"/>
    </row>
    <row r="18581">
      <c r="B18581" s="36"/>
      <c r="C18581" s="36"/>
      <c r="E18581" s="1"/>
      <c r="F18581" s="1"/>
      <c r="G18581" s="1"/>
    </row>
    <row r="18582">
      <c r="B18582" s="36"/>
      <c r="C18582" s="36"/>
      <c r="E18582" s="1"/>
      <c r="F18582" s="1"/>
      <c r="G18582" s="1"/>
    </row>
    <row r="18583">
      <c r="B18583" s="36"/>
      <c r="C18583" s="36"/>
      <c r="E18583" s="1"/>
      <c r="F18583" s="1"/>
      <c r="G18583" s="1"/>
    </row>
    <row r="18584">
      <c r="B18584" s="36"/>
      <c r="C18584" s="36"/>
      <c r="E18584" s="1"/>
      <c r="F18584" s="1"/>
      <c r="G18584" s="1"/>
    </row>
    <row r="18585">
      <c r="B18585" s="36"/>
      <c r="C18585" s="36"/>
      <c r="E18585" s="1"/>
      <c r="F18585" s="1"/>
      <c r="G18585" s="1"/>
    </row>
    <row r="18586">
      <c r="B18586" s="36"/>
      <c r="C18586" s="36"/>
      <c r="E18586" s="1"/>
      <c r="F18586" s="1"/>
      <c r="G18586" s="1"/>
    </row>
    <row r="18587">
      <c r="B18587" s="36"/>
      <c r="C18587" s="36"/>
      <c r="E18587" s="1"/>
      <c r="F18587" s="1"/>
      <c r="G18587" s="1"/>
    </row>
    <row r="18588">
      <c r="B18588" s="36"/>
      <c r="C18588" s="36"/>
      <c r="E18588" s="1"/>
      <c r="F18588" s="1"/>
      <c r="G18588" s="1"/>
    </row>
    <row r="18589">
      <c r="B18589" s="36"/>
      <c r="C18589" s="36"/>
      <c r="E18589" s="1"/>
      <c r="F18589" s="1"/>
      <c r="G18589" s="1"/>
    </row>
    <row r="18590">
      <c r="B18590" s="36"/>
      <c r="C18590" s="36"/>
      <c r="E18590" s="1"/>
      <c r="F18590" s="1"/>
      <c r="G18590" s="1"/>
    </row>
    <row r="18591">
      <c r="B18591" s="36"/>
      <c r="C18591" s="36"/>
      <c r="E18591" s="1"/>
      <c r="F18591" s="1"/>
      <c r="G18591" s="1"/>
    </row>
    <row r="18592">
      <c r="B18592" s="36"/>
      <c r="C18592" s="36"/>
      <c r="E18592" s="1"/>
      <c r="F18592" s="1"/>
      <c r="G18592" s="1"/>
    </row>
    <row r="18593">
      <c r="B18593" s="36"/>
      <c r="C18593" s="36"/>
      <c r="E18593" s="1"/>
      <c r="F18593" s="1"/>
      <c r="G18593" s="1"/>
    </row>
    <row r="18594">
      <c r="B18594" s="36"/>
      <c r="C18594" s="36"/>
      <c r="E18594" s="1"/>
      <c r="F18594" s="1"/>
      <c r="G18594" s="1"/>
    </row>
    <row r="18595">
      <c r="B18595" s="36"/>
      <c r="C18595" s="36"/>
      <c r="E18595" s="1"/>
      <c r="F18595" s="1"/>
      <c r="G18595" s="1"/>
    </row>
    <row r="18596">
      <c r="B18596" s="36"/>
      <c r="C18596" s="36"/>
      <c r="E18596" s="1"/>
      <c r="F18596" s="1"/>
      <c r="G18596" s="1"/>
    </row>
    <row r="18597">
      <c r="B18597" s="36"/>
      <c r="C18597" s="36"/>
      <c r="E18597" s="1"/>
      <c r="F18597" s="1"/>
      <c r="G18597" s="1"/>
    </row>
    <row r="18598">
      <c r="B18598" s="36"/>
      <c r="C18598" s="36"/>
      <c r="E18598" s="1"/>
      <c r="F18598" s="1"/>
      <c r="G18598" s="1"/>
    </row>
    <row r="18599">
      <c r="B18599" s="36"/>
      <c r="C18599" s="36"/>
      <c r="E18599" s="1"/>
      <c r="F18599" s="1"/>
      <c r="G18599" s="1"/>
    </row>
    <row r="18600">
      <c r="B18600" s="36"/>
      <c r="C18600" s="36"/>
      <c r="E18600" s="1"/>
      <c r="F18600" s="1"/>
      <c r="G18600" s="1"/>
    </row>
    <row r="18601">
      <c r="B18601" s="36"/>
      <c r="C18601" s="36"/>
      <c r="E18601" s="1"/>
      <c r="F18601" s="1"/>
      <c r="G18601" s="1"/>
    </row>
    <row r="18602">
      <c r="B18602" s="36"/>
      <c r="C18602" s="36"/>
      <c r="E18602" s="1"/>
      <c r="F18602" s="1"/>
      <c r="G18602" s="1"/>
    </row>
    <row r="18603">
      <c r="B18603" s="36"/>
      <c r="C18603" s="36"/>
      <c r="E18603" s="1"/>
      <c r="F18603" s="1"/>
      <c r="G18603" s="1"/>
    </row>
    <row r="18604">
      <c r="B18604" s="36"/>
      <c r="C18604" s="36"/>
      <c r="E18604" s="1"/>
      <c r="F18604" s="1"/>
      <c r="G18604" s="1"/>
    </row>
    <row r="18605">
      <c r="B18605" s="36"/>
      <c r="C18605" s="36"/>
      <c r="E18605" s="1"/>
      <c r="F18605" s="1"/>
      <c r="G18605" s="1"/>
    </row>
    <row r="18606">
      <c r="B18606" s="36"/>
      <c r="C18606" s="36"/>
      <c r="E18606" s="1"/>
      <c r="F18606" s="1"/>
      <c r="G18606" s="1"/>
    </row>
    <row r="18607">
      <c r="B18607" s="36"/>
      <c r="C18607" s="36"/>
      <c r="E18607" s="1"/>
      <c r="F18607" s="1"/>
      <c r="G18607" s="1"/>
    </row>
    <row r="18608">
      <c r="B18608" s="36"/>
      <c r="C18608" s="36"/>
      <c r="E18608" s="1"/>
      <c r="F18608" s="1"/>
      <c r="G18608" s="1"/>
    </row>
    <row r="18609">
      <c r="B18609" s="36"/>
      <c r="C18609" s="36"/>
      <c r="E18609" s="1"/>
      <c r="F18609" s="1"/>
      <c r="G18609" s="1"/>
    </row>
    <row r="18610">
      <c r="B18610" s="36"/>
      <c r="C18610" s="36"/>
      <c r="E18610" s="1"/>
      <c r="F18610" s="1"/>
      <c r="G18610" s="1"/>
    </row>
    <row r="18611">
      <c r="B18611" s="36"/>
      <c r="C18611" s="36"/>
      <c r="E18611" s="1"/>
      <c r="F18611" s="1"/>
      <c r="G18611" s="1"/>
    </row>
    <row r="18612">
      <c r="B18612" s="36"/>
      <c r="C18612" s="36"/>
      <c r="E18612" s="1"/>
      <c r="F18612" s="1"/>
      <c r="G18612" s="1"/>
    </row>
    <row r="18613">
      <c r="B18613" s="36"/>
      <c r="C18613" s="36"/>
      <c r="E18613" s="1"/>
      <c r="F18613" s="1"/>
      <c r="G18613" s="1"/>
    </row>
    <row r="18614">
      <c r="B18614" s="36"/>
      <c r="C18614" s="36"/>
      <c r="E18614" s="1"/>
      <c r="F18614" s="1"/>
      <c r="G18614" s="1"/>
    </row>
    <row r="18615">
      <c r="B18615" s="36"/>
      <c r="C18615" s="36"/>
      <c r="E18615" s="1"/>
      <c r="F18615" s="1"/>
      <c r="G18615" s="1"/>
    </row>
    <row r="18616">
      <c r="B18616" s="36"/>
      <c r="C18616" s="36"/>
      <c r="E18616" s="1"/>
      <c r="F18616" s="1"/>
      <c r="G18616" s="1"/>
    </row>
    <row r="18617">
      <c r="B18617" s="36"/>
      <c r="C18617" s="36"/>
      <c r="E18617" s="1"/>
      <c r="F18617" s="1"/>
      <c r="G18617" s="1"/>
    </row>
    <row r="18618">
      <c r="B18618" s="36"/>
      <c r="C18618" s="36"/>
      <c r="E18618" s="1"/>
      <c r="F18618" s="1"/>
      <c r="G18618" s="1"/>
    </row>
    <row r="18619">
      <c r="B18619" s="36"/>
      <c r="C18619" s="36"/>
      <c r="E18619" s="1"/>
      <c r="F18619" s="1"/>
      <c r="G18619" s="1"/>
    </row>
    <row r="18620">
      <c r="B18620" s="36"/>
      <c r="C18620" s="36"/>
      <c r="E18620" s="1"/>
      <c r="F18620" s="1"/>
      <c r="G18620" s="1"/>
    </row>
    <row r="18621">
      <c r="B18621" s="36"/>
      <c r="C18621" s="36"/>
      <c r="E18621" s="1"/>
      <c r="F18621" s="1"/>
      <c r="G18621" s="1"/>
    </row>
    <row r="18622">
      <c r="B18622" s="36"/>
      <c r="C18622" s="36"/>
      <c r="E18622" s="1"/>
      <c r="F18622" s="1"/>
      <c r="G18622" s="1"/>
    </row>
    <row r="18623">
      <c r="B18623" s="36"/>
      <c r="C18623" s="36"/>
      <c r="E18623" s="1"/>
      <c r="F18623" s="1"/>
      <c r="G18623" s="1"/>
    </row>
    <row r="18624">
      <c r="B18624" s="36"/>
      <c r="C18624" s="36"/>
      <c r="E18624" s="1"/>
      <c r="F18624" s="1"/>
      <c r="G18624" s="1"/>
    </row>
    <row r="18625">
      <c r="B18625" s="36"/>
      <c r="C18625" s="36"/>
      <c r="E18625" s="1"/>
      <c r="F18625" s="1"/>
      <c r="G18625" s="1"/>
    </row>
    <row r="18626">
      <c r="B18626" s="36"/>
      <c r="C18626" s="36"/>
      <c r="E18626" s="1"/>
      <c r="F18626" s="1"/>
      <c r="G18626" s="1"/>
    </row>
    <row r="18627">
      <c r="B18627" s="36"/>
      <c r="C18627" s="36"/>
      <c r="E18627" s="1"/>
      <c r="F18627" s="1"/>
      <c r="G18627" s="1"/>
    </row>
    <row r="18628">
      <c r="B18628" s="36"/>
      <c r="C18628" s="36"/>
      <c r="E18628" s="1"/>
      <c r="F18628" s="1"/>
      <c r="G18628" s="1"/>
    </row>
    <row r="18629">
      <c r="B18629" s="36"/>
      <c r="C18629" s="36"/>
      <c r="E18629" s="1"/>
      <c r="F18629" s="1"/>
      <c r="G18629" s="1"/>
    </row>
    <row r="18630">
      <c r="B18630" s="36"/>
      <c r="C18630" s="36"/>
      <c r="E18630" s="1"/>
      <c r="F18630" s="1"/>
      <c r="G18630" s="1"/>
    </row>
    <row r="18631">
      <c r="B18631" s="36"/>
      <c r="C18631" s="36"/>
      <c r="E18631" s="1"/>
      <c r="F18631" s="1"/>
      <c r="G18631" s="1"/>
    </row>
    <row r="18632">
      <c r="B18632" s="36"/>
      <c r="C18632" s="36"/>
      <c r="E18632" s="1"/>
      <c r="F18632" s="1"/>
      <c r="G18632" s="1"/>
    </row>
    <row r="18633">
      <c r="B18633" s="36"/>
      <c r="C18633" s="36"/>
      <c r="E18633" s="1"/>
      <c r="F18633" s="1"/>
      <c r="G18633" s="1"/>
    </row>
    <row r="18634">
      <c r="B18634" s="36"/>
      <c r="C18634" s="36"/>
      <c r="E18634" s="1"/>
      <c r="F18634" s="1"/>
      <c r="G18634" s="1"/>
    </row>
    <row r="18635">
      <c r="B18635" s="36"/>
      <c r="C18635" s="36"/>
      <c r="E18635" s="1"/>
      <c r="F18635" s="1"/>
      <c r="G18635" s="1"/>
    </row>
    <row r="18636">
      <c r="B18636" s="36"/>
      <c r="C18636" s="36"/>
      <c r="E18636" s="1"/>
      <c r="F18636" s="1"/>
      <c r="G18636" s="1"/>
    </row>
    <row r="18637">
      <c r="B18637" s="36"/>
      <c r="C18637" s="36"/>
      <c r="E18637" s="1"/>
      <c r="F18637" s="1"/>
      <c r="G18637" s="1"/>
    </row>
    <row r="18638">
      <c r="B18638" s="36"/>
      <c r="C18638" s="36"/>
      <c r="E18638" s="1"/>
      <c r="F18638" s="1"/>
      <c r="G18638" s="1"/>
    </row>
    <row r="18639">
      <c r="B18639" s="36"/>
      <c r="C18639" s="36"/>
      <c r="E18639" s="1"/>
      <c r="F18639" s="1"/>
      <c r="G18639" s="1"/>
    </row>
    <row r="18640">
      <c r="B18640" s="36"/>
      <c r="C18640" s="36"/>
      <c r="E18640" s="1"/>
      <c r="F18640" s="1"/>
      <c r="G18640" s="1"/>
    </row>
    <row r="18641">
      <c r="B18641" s="36"/>
      <c r="C18641" s="36"/>
      <c r="E18641" s="1"/>
      <c r="F18641" s="1"/>
      <c r="G18641" s="1"/>
    </row>
    <row r="18642">
      <c r="B18642" s="36"/>
      <c r="C18642" s="36"/>
      <c r="E18642" s="1"/>
      <c r="F18642" s="1"/>
      <c r="G18642" s="1"/>
    </row>
    <row r="18643">
      <c r="B18643" s="36"/>
      <c r="C18643" s="36"/>
      <c r="E18643" s="1"/>
      <c r="F18643" s="1"/>
      <c r="G18643" s="1"/>
    </row>
    <row r="18644">
      <c r="B18644" s="36"/>
      <c r="C18644" s="36"/>
      <c r="E18644" s="1"/>
      <c r="F18644" s="1"/>
      <c r="G18644" s="1"/>
    </row>
    <row r="18645">
      <c r="B18645" s="36"/>
      <c r="C18645" s="36"/>
      <c r="E18645" s="1"/>
      <c r="F18645" s="1"/>
      <c r="G18645" s="1"/>
    </row>
    <row r="18646">
      <c r="B18646" s="36"/>
      <c r="C18646" s="36"/>
      <c r="E18646" s="1"/>
      <c r="F18646" s="1"/>
      <c r="G18646" s="1"/>
    </row>
    <row r="18647">
      <c r="B18647" s="36"/>
      <c r="C18647" s="36"/>
      <c r="E18647" s="1"/>
      <c r="F18647" s="1"/>
      <c r="G18647" s="1"/>
    </row>
    <row r="18648">
      <c r="B18648" s="36"/>
      <c r="C18648" s="36"/>
      <c r="E18648" s="1"/>
      <c r="F18648" s="1"/>
      <c r="G18648" s="1"/>
    </row>
    <row r="18649">
      <c r="B18649" s="36"/>
      <c r="C18649" s="36"/>
      <c r="E18649" s="1"/>
      <c r="F18649" s="1"/>
      <c r="G18649" s="1"/>
    </row>
    <row r="18650">
      <c r="B18650" s="36"/>
      <c r="C18650" s="36"/>
      <c r="E18650" s="1"/>
      <c r="F18650" s="1"/>
      <c r="G18650" s="1"/>
    </row>
    <row r="18651">
      <c r="B18651" s="36"/>
      <c r="C18651" s="36"/>
      <c r="E18651" s="1"/>
      <c r="F18651" s="1"/>
      <c r="G18651" s="1"/>
    </row>
    <row r="18652">
      <c r="B18652" s="36"/>
      <c r="C18652" s="36"/>
      <c r="E18652" s="1"/>
      <c r="F18652" s="1"/>
      <c r="G18652" s="1"/>
    </row>
    <row r="18653">
      <c r="B18653" s="36"/>
      <c r="C18653" s="36"/>
      <c r="E18653" s="1"/>
      <c r="F18653" s="1"/>
      <c r="G18653" s="1"/>
    </row>
    <row r="18654">
      <c r="B18654" s="36"/>
      <c r="C18654" s="36"/>
      <c r="E18654" s="1"/>
      <c r="F18654" s="1"/>
      <c r="G18654" s="1"/>
    </row>
    <row r="18655">
      <c r="B18655" s="36"/>
      <c r="C18655" s="36"/>
      <c r="E18655" s="1"/>
      <c r="F18655" s="1"/>
      <c r="G18655" s="1"/>
    </row>
    <row r="18656">
      <c r="B18656" s="36"/>
      <c r="C18656" s="36"/>
      <c r="E18656" s="1"/>
      <c r="F18656" s="1"/>
      <c r="G18656" s="1"/>
    </row>
    <row r="18657">
      <c r="B18657" s="36"/>
      <c r="C18657" s="36"/>
      <c r="E18657" s="1"/>
      <c r="F18657" s="1"/>
      <c r="G18657" s="1"/>
    </row>
    <row r="18658">
      <c r="B18658" s="36"/>
      <c r="C18658" s="36"/>
      <c r="E18658" s="1"/>
      <c r="F18658" s="1"/>
      <c r="G18658" s="1"/>
    </row>
    <row r="18659">
      <c r="B18659" s="36"/>
      <c r="C18659" s="36"/>
      <c r="E18659" s="1"/>
      <c r="F18659" s="1"/>
      <c r="G18659" s="1"/>
    </row>
    <row r="18660">
      <c r="B18660" s="36"/>
      <c r="C18660" s="36"/>
      <c r="E18660" s="1"/>
      <c r="F18660" s="1"/>
      <c r="G18660" s="1"/>
    </row>
    <row r="18661">
      <c r="B18661" s="36"/>
      <c r="C18661" s="36"/>
      <c r="E18661" s="1"/>
      <c r="F18661" s="1"/>
      <c r="G18661" s="1"/>
    </row>
    <row r="18662">
      <c r="B18662" s="36"/>
      <c r="C18662" s="36"/>
      <c r="E18662" s="1"/>
      <c r="F18662" s="1"/>
      <c r="G18662" s="1"/>
    </row>
    <row r="18663">
      <c r="B18663" s="36"/>
      <c r="C18663" s="36"/>
      <c r="E18663" s="1"/>
      <c r="F18663" s="1"/>
      <c r="G18663" s="1"/>
    </row>
    <row r="18664">
      <c r="B18664" s="36"/>
      <c r="C18664" s="36"/>
      <c r="E18664" s="1"/>
      <c r="F18664" s="1"/>
      <c r="G18664" s="1"/>
    </row>
    <row r="18665">
      <c r="B18665" s="36"/>
      <c r="C18665" s="36"/>
      <c r="E18665" s="1"/>
      <c r="F18665" s="1"/>
      <c r="G18665" s="1"/>
    </row>
    <row r="18666">
      <c r="B18666" s="36"/>
      <c r="C18666" s="36"/>
      <c r="E18666" s="1"/>
      <c r="F18666" s="1"/>
      <c r="G18666" s="1"/>
    </row>
    <row r="18667">
      <c r="B18667" s="36"/>
      <c r="C18667" s="36"/>
      <c r="E18667" s="1"/>
      <c r="F18667" s="1"/>
      <c r="G18667" s="1"/>
    </row>
    <row r="18668">
      <c r="B18668" s="36"/>
      <c r="C18668" s="36"/>
      <c r="E18668" s="1"/>
      <c r="F18668" s="1"/>
      <c r="G18668" s="1"/>
    </row>
    <row r="18669">
      <c r="B18669" s="36"/>
      <c r="C18669" s="36"/>
      <c r="E18669" s="1"/>
      <c r="F18669" s="1"/>
      <c r="G18669" s="1"/>
    </row>
    <row r="18670">
      <c r="B18670" s="36"/>
      <c r="C18670" s="36"/>
      <c r="E18670" s="1"/>
      <c r="F18670" s="1"/>
      <c r="G18670" s="1"/>
    </row>
    <row r="18671">
      <c r="B18671" s="36"/>
      <c r="C18671" s="36"/>
      <c r="E18671" s="1"/>
      <c r="F18671" s="1"/>
      <c r="G18671" s="1"/>
    </row>
    <row r="18672">
      <c r="B18672" s="36"/>
      <c r="C18672" s="36"/>
      <c r="E18672" s="1"/>
      <c r="F18672" s="1"/>
      <c r="G18672" s="1"/>
    </row>
    <row r="18673">
      <c r="B18673" s="36"/>
      <c r="C18673" s="36"/>
      <c r="E18673" s="1"/>
      <c r="F18673" s="1"/>
      <c r="G18673" s="1"/>
    </row>
    <row r="18674">
      <c r="B18674" s="36"/>
      <c r="C18674" s="36"/>
      <c r="E18674" s="1"/>
      <c r="F18674" s="1"/>
      <c r="G18674" s="1"/>
    </row>
    <row r="18675">
      <c r="B18675" s="36"/>
      <c r="C18675" s="36"/>
      <c r="E18675" s="1"/>
      <c r="F18675" s="1"/>
      <c r="G18675" s="1"/>
    </row>
    <row r="18676">
      <c r="B18676" s="36"/>
      <c r="C18676" s="36"/>
      <c r="E18676" s="1"/>
      <c r="F18676" s="1"/>
      <c r="G18676" s="1"/>
    </row>
    <row r="18677">
      <c r="B18677" s="36"/>
      <c r="C18677" s="36"/>
      <c r="E18677" s="1"/>
      <c r="F18677" s="1"/>
      <c r="G18677" s="1"/>
    </row>
    <row r="18678">
      <c r="B18678" s="36"/>
      <c r="C18678" s="36"/>
      <c r="E18678" s="1"/>
      <c r="F18678" s="1"/>
      <c r="G18678" s="1"/>
    </row>
    <row r="18679">
      <c r="B18679" s="36"/>
      <c r="C18679" s="36"/>
      <c r="E18679" s="1"/>
      <c r="F18679" s="1"/>
      <c r="G18679" s="1"/>
    </row>
    <row r="18680">
      <c r="B18680" s="36"/>
      <c r="C18680" s="36"/>
      <c r="E18680" s="1"/>
      <c r="F18680" s="1"/>
      <c r="G18680" s="1"/>
    </row>
    <row r="18681">
      <c r="B18681" s="36"/>
      <c r="C18681" s="36"/>
      <c r="E18681" s="1"/>
      <c r="F18681" s="1"/>
      <c r="G18681" s="1"/>
    </row>
    <row r="18682">
      <c r="B18682" s="36"/>
      <c r="C18682" s="36"/>
      <c r="E18682" s="1"/>
      <c r="F18682" s="1"/>
      <c r="G18682" s="1"/>
    </row>
    <row r="18683">
      <c r="B18683" s="36"/>
      <c r="C18683" s="36"/>
      <c r="E18683" s="1"/>
      <c r="F18683" s="1"/>
      <c r="G18683" s="1"/>
    </row>
    <row r="18684">
      <c r="B18684" s="36"/>
      <c r="C18684" s="36"/>
      <c r="E18684" s="1"/>
      <c r="F18684" s="1"/>
      <c r="G18684" s="1"/>
    </row>
    <row r="18685">
      <c r="B18685" s="36"/>
      <c r="C18685" s="36"/>
      <c r="E18685" s="1"/>
      <c r="F18685" s="1"/>
      <c r="G18685" s="1"/>
    </row>
    <row r="18686">
      <c r="B18686" s="36"/>
      <c r="C18686" s="36"/>
      <c r="E18686" s="1"/>
      <c r="F18686" s="1"/>
      <c r="G18686" s="1"/>
    </row>
    <row r="18687">
      <c r="B18687" s="36"/>
      <c r="C18687" s="36"/>
      <c r="E18687" s="1"/>
      <c r="F18687" s="1"/>
      <c r="G18687" s="1"/>
    </row>
    <row r="18688">
      <c r="B18688" s="36"/>
      <c r="C18688" s="36"/>
      <c r="E18688" s="1"/>
      <c r="F18688" s="1"/>
      <c r="G18688" s="1"/>
    </row>
    <row r="18689">
      <c r="B18689" s="36"/>
      <c r="C18689" s="36"/>
      <c r="E18689" s="1"/>
      <c r="F18689" s="1"/>
      <c r="G18689" s="1"/>
    </row>
    <row r="18690">
      <c r="B18690" s="36"/>
      <c r="C18690" s="36"/>
      <c r="E18690" s="1"/>
      <c r="F18690" s="1"/>
      <c r="G18690" s="1"/>
    </row>
    <row r="18691">
      <c r="B18691" s="36"/>
      <c r="C18691" s="36"/>
      <c r="E18691" s="1"/>
      <c r="F18691" s="1"/>
      <c r="G18691" s="1"/>
    </row>
    <row r="18692">
      <c r="B18692" s="36"/>
      <c r="C18692" s="36"/>
      <c r="E18692" s="1"/>
      <c r="F18692" s="1"/>
      <c r="G18692" s="1"/>
    </row>
    <row r="18693">
      <c r="B18693" s="36"/>
      <c r="C18693" s="36"/>
      <c r="E18693" s="1"/>
      <c r="F18693" s="1"/>
      <c r="G18693" s="1"/>
    </row>
    <row r="18694">
      <c r="B18694" s="36"/>
      <c r="C18694" s="36"/>
      <c r="E18694" s="1"/>
      <c r="F18694" s="1"/>
      <c r="G18694" s="1"/>
    </row>
    <row r="18695">
      <c r="B18695" s="36"/>
      <c r="C18695" s="36"/>
      <c r="E18695" s="1"/>
      <c r="F18695" s="1"/>
      <c r="G18695" s="1"/>
    </row>
    <row r="18696">
      <c r="B18696" s="36"/>
      <c r="C18696" s="36"/>
      <c r="E18696" s="1"/>
      <c r="F18696" s="1"/>
      <c r="G18696" s="1"/>
    </row>
    <row r="18697">
      <c r="B18697" s="36"/>
      <c r="C18697" s="36"/>
      <c r="E18697" s="1"/>
      <c r="F18697" s="1"/>
      <c r="G18697" s="1"/>
    </row>
    <row r="18698">
      <c r="B18698" s="36"/>
      <c r="C18698" s="36"/>
      <c r="E18698" s="1"/>
      <c r="F18698" s="1"/>
      <c r="G18698" s="1"/>
    </row>
    <row r="18699">
      <c r="B18699" s="36"/>
      <c r="C18699" s="36"/>
      <c r="E18699" s="1"/>
      <c r="F18699" s="1"/>
      <c r="G18699" s="1"/>
    </row>
    <row r="18700">
      <c r="B18700" s="36"/>
      <c r="C18700" s="36"/>
      <c r="E18700" s="1"/>
      <c r="F18700" s="1"/>
      <c r="G18700" s="1"/>
    </row>
    <row r="18701">
      <c r="B18701" s="36"/>
      <c r="C18701" s="36"/>
      <c r="E18701" s="1"/>
      <c r="F18701" s="1"/>
      <c r="G18701" s="1"/>
    </row>
    <row r="18702">
      <c r="B18702" s="36"/>
      <c r="C18702" s="36"/>
      <c r="E18702" s="1"/>
      <c r="F18702" s="1"/>
      <c r="G18702" s="1"/>
    </row>
    <row r="18703">
      <c r="B18703" s="36"/>
      <c r="C18703" s="36"/>
      <c r="E18703" s="1"/>
      <c r="F18703" s="1"/>
      <c r="G18703" s="1"/>
    </row>
    <row r="18704">
      <c r="B18704" s="36"/>
      <c r="C18704" s="36"/>
      <c r="E18704" s="1"/>
      <c r="F18704" s="1"/>
      <c r="G18704" s="1"/>
    </row>
    <row r="18705">
      <c r="B18705" s="36"/>
      <c r="C18705" s="36"/>
      <c r="E18705" s="1"/>
      <c r="F18705" s="1"/>
      <c r="G18705" s="1"/>
    </row>
    <row r="18706">
      <c r="B18706" s="36"/>
      <c r="C18706" s="36"/>
      <c r="E18706" s="1"/>
      <c r="F18706" s="1"/>
      <c r="G18706" s="1"/>
    </row>
    <row r="18707">
      <c r="B18707" s="36"/>
      <c r="C18707" s="36"/>
      <c r="E18707" s="1"/>
      <c r="F18707" s="1"/>
      <c r="G18707" s="1"/>
    </row>
    <row r="18708">
      <c r="B18708" s="36"/>
      <c r="C18708" s="36"/>
      <c r="E18708" s="1"/>
      <c r="F18708" s="1"/>
      <c r="G18708" s="1"/>
    </row>
    <row r="18709">
      <c r="B18709" s="36"/>
      <c r="C18709" s="36"/>
      <c r="E18709" s="1"/>
      <c r="F18709" s="1"/>
      <c r="G18709" s="1"/>
    </row>
    <row r="18710">
      <c r="B18710" s="36"/>
      <c r="C18710" s="36"/>
      <c r="E18710" s="1"/>
      <c r="F18710" s="1"/>
      <c r="G18710" s="1"/>
    </row>
    <row r="18711">
      <c r="B18711" s="36"/>
      <c r="C18711" s="36"/>
      <c r="E18711" s="1"/>
      <c r="F18711" s="1"/>
      <c r="G18711" s="1"/>
    </row>
    <row r="18712">
      <c r="B18712" s="36"/>
      <c r="C18712" s="36"/>
      <c r="E18712" s="1"/>
      <c r="F18712" s="1"/>
      <c r="G18712" s="1"/>
    </row>
    <row r="18713">
      <c r="B18713" s="36"/>
      <c r="C18713" s="36"/>
      <c r="E18713" s="1"/>
      <c r="F18713" s="1"/>
      <c r="G18713" s="1"/>
    </row>
    <row r="18714">
      <c r="B18714" s="36"/>
      <c r="C18714" s="36"/>
      <c r="E18714" s="1"/>
      <c r="F18714" s="1"/>
      <c r="G18714" s="1"/>
    </row>
    <row r="18715">
      <c r="B18715" s="36"/>
      <c r="C18715" s="36"/>
      <c r="E18715" s="1"/>
      <c r="F18715" s="1"/>
      <c r="G18715" s="1"/>
    </row>
    <row r="18716">
      <c r="B18716" s="36"/>
      <c r="C18716" s="36"/>
      <c r="E18716" s="1"/>
      <c r="F18716" s="1"/>
      <c r="G18716" s="1"/>
    </row>
    <row r="18717">
      <c r="B18717" s="36"/>
      <c r="C18717" s="36"/>
      <c r="E18717" s="1"/>
      <c r="F18717" s="1"/>
      <c r="G18717" s="1"/>
    </row>
    <row r="18718">
      <c r="B18718" s="36"/>
      <c r="C18718" s="36"/>
      <c r="E18718" s="1"/>
      <c r="F18718" s="1"/>
      <c r="G18718" s="1"/>
    </row>
    <row r="18719">
      <c r="B18719" s="36"/>
      <c r="C18719" s="36"/>
      <c r="E18719" s="1"/>
      <c r="F18719" s="1"/>
      <c r="G18719" s="1"/>
    </row>
    <row r="18720">
      <c r="B18720" s="36"/>
      <c r="C18720" s="36"/>
      <c r="E18720" s="1"/>
      <c r="F18720" s="1"/>
      <c r="G18720" s="1"/>
    </row>
    <row r="18721">
      <c r="B18721" s="36"/>
      <c r="C18721" s="36"/>
      <c r="E18721" s="1"/>
      <c r="F18721" s="1"/>
      <c r="G18721" s="1"/>
    </row>
    <row r="18722">
      <c r="B18722" s="36"/>
      <c r="C18722" s="36"/>
      <c r="E18722" s="1"/>
      <c r="F18722" s="1"/>
      <c r="G18722" s="1"/>
    </row>
    <row r="18723">
      <c r="B18723" s="36"/>
      <c r="C18723" s="36"/>
      <c r="E18723" s="1"/>
      <c r="F18723" s="1"/>
      <c r="G18723" s="1"/>
    </row>
    <row r="18724">
      <c r="B18724" s="36"/>
      <c r="C18724" s="36"/>
      <c r="E18724" s="1"/>
      <c r="F18724" s="1"/>
      <c r="G18724" s="1"/>
    </row>
    <row r="18725">
      <c r="B18725" s="36"/>
      <c r="C18725" s="36"/>
      <c r="E18725" s="1"/>
      <c r="F18725" s="1"/>
      <c r="G18725" s="1"/>
    </row>
    <row r="18726">
      <c r="B18726" s="36"/>
      <c r="C18726" s="36"/>
      <c r="E18726" s="1"/>
      <c r="F18726" s="1"/>
      <c r="G18726" s="1"/>
    </row>
    <row r="18727">
      <c r="B18727" s="36"/>
      <c r="C18727" s="36"/>
      <c r="E18727" s="1"/>
      <c r="F18727" s="1"/>
      <c r="G18727" s="1"/>
    </row>
    <row r="18728">
      <c r="B18728" s="36"/>
      <c r="C18728" s="36"/>
      <c r="E18728" s="1"/>
      <c r="F18728" s="1"/>
      <c r="G18728" s="1"/>
    </row>
    <row r="18729">
      <c r="B18729" s="36"/>
      <c r="C18729" s="36"/>
      <c r="E18729" s="1"/>
      <c r="F18729" s="1"/>
      <c r="G18729" s="1"/>
    </row>
    <row r="18730">
      <c r="B18730" s="36"/>
      <c r="C18730" s="36"/>
      <c r="E18730" s="1"/>
      <c r="F18730" s="1"/>
      <c r="G18730" s="1"/>
    </row>
    <row r="18731">
      <c r="B18731" s="36"/>
      <c r="C18731" s="36"/>
      <c r="E18731" s="1"/>
      <c r="F18731" s="1"/>
      <c r="G18731" s="1"/>
    </row>
    <row r="18732">
      <c r="B18732" s="36"/>
      <c r="C18732" s="36"/>
      <c r="E18732" s="1"/>
      <c r="F18732" s="1"/>
      <c r="G18732" s="1"/>
    </row>
    <row r="18733">
      <c r="B18733" s="36"/>
      <c r="C18733" s="36"/>
      <c r="E18733" s="1"/>
      <c r="F18733" s="1"/>
      <c r="G18733" s="1"/>
    </row>
    <row r="18734">
      <c r="B18734" s="36"/>
      <c r="C18734" s="36"/>
      <c r="E18734" s="1"/>
      <c r="F18734" s="1"/>
      <c r="G18734" s="1"/>
    </row>
    <row r="18735">
      <c r="B18735" s="36"/>
      <c r="C18735" s="36"/>
      <c r="E18735" s="1"/>
      <c r="F18735" s="1"/>
      <c r="G18735" s="1"/>
    </row>
    <row r="18736">
      <c r="B18736" s="36"/>
      <c r="C18736" s="36"/>
      <c r="E18736" s="1"/>
      <c r="F18736" s="1"/>
      <c r="G18736" s="1"/>
    </row>
    <row r="18737">
      <c r="B18737" s="36"/>
      <c r="C18737" s="36"/>
      <c r="E18737" s="1"/>
      <c r="F18737" s="1"/>
      <c r="G18737" s="1"/>
    </row>
    <row r="18738">
      <c r="B18738" s="36"/>
      <c r="C18738" s="36"/>
      <c r="E18738" s="1"/>
      <c r="F18738" s="1"/>
      <c r="G18738" s="1"/>
    </row>
    <row r="18739">
      <c r="B18739" s="36"/>
      <c r="C18739" s="36"/>
      <c r="E18739" s="1"/>
      <c r="F18739" s="1"/>
      <c r="G18739" s="1"/>
    </row>
    <row r="18740">
      <c r="B18740" s="36"/>
      <c r="C18740" s="36"/>
      <c r="E18740" s="1"/>
      <c r="F18740" s="1"/>
      <c r="G18740" s="1"/>
    </row>
    <row r="18741">
      <c r="B18741" s="36"/>
      <c r="C18741" s="36"/>
      <c r="E18741" s="1"/>
      <c r="F18741" s="1"/>
      <c r="G18741" s="1"/>
    </row>
    <row r="18742">
      <c r="B18742" s="36"/>
      <c r="C18742" s="36"/>
      <c r="E18742" s="1"/>
      <c r="F18742" s="1"/>
      <c r="G18742" s="1"/>
    </row>
    <row r="18743">
      <c r="B18743" s="36"/>
      <c r="C18743" s="36"/>
      <c r="E18743" s="1"/>
      <c r="F18743" s="1"/>
      <c r="G18743" s="1"/>
    </row>
    <row r="18744">
      <c r="B18744" s="36"/>
      <c r="C18744" s="36"/>
      <c r="E18744" s="1"/>
      <c r="F18744" s="1"/>
      <c r="G18744" s="1"/>
    </row>
    <row r="18745">
      <c r="B18745" s="36"/>
      <c r="C18745" s="36"/>
      <c r="E18745" s="1"/>
      <c r="F18745" s="1"/>
      <c r="G18745" s="1"/>
    </row>
    <row r="18746">
      <c r="B18746" s="36"/>
      <c r="C18746" s="36"/>
      <c r="E18746" s="1"/>
      <c r="F18746" s="1"/>
      <c r="G18746" s="1"/>
    </row>
    <row r="18747">
      <c r="B18747" s="36"/>
      <c r="C18747" s="36"/>
      <c r="E18747" s="1"/>
      <c r="F18747" s="1"/>
      <c r="G18747" s="1"/>
    </row>
    <row r="18748">
      <c r="B18748" s="36"/>
      <c r="C18748" s="36"/>
      <c r="E18748" s="1"/>
      <c r="F18748" s="1"/>
      <c r="G18748" s="1"/>
    </row>
    <row r="18749">
      <c r="B18749" s="36"/>
      <c r="C18749" s="36"/>
      <c r="E18749" s="1"/>
      <c r="F18749" s="1"/>
      <c r="G18749" s="1"/>
    </row>
    <row r="18750">
      <c r="B18750" s="36"/>
      <c r="C18750" s="36"/>
      <c r="E18750" s="1"/>
      <c r="F18750" s="1"/>
      <c r="G18750" s="1"/>
    </row>
    <row r="18751">
      <c r="B18751" s="36"/>
      <c r="C18751" s="36"/>
      <c r="E18751" s="1"/>
      <c r="F18751" s="1"/>
      <c r="G18751" s="1"/>
    </row>
    <row r="18752">
      <c r="B18752" s="36"/>
      <c r="C18752" s="36"/>
      <c r="E18752" s="1"/>
      <c r="F18752" s="1"/>
      <c r="G18752" s="1"/>
    </row>
    <row r="18753">
      <c r="B18753" s="36"/>
      <c r="C18753" s="36"/>
      <c r="E18753" s="1"/>
      <c r="F18753" s="1"/>
      <c r="G18753" s="1"/>
    </row>
    <row r="18754">
      <c r="B18754" s="36"/>
      <c r="C18754" s="36"/>
      <c r="E18754" s="1"/>
      <c r="F18754" s="1"/>
      <c r="G18754" s="1"/>
    </row>
    <row r="18755">
      <c r="B18755" s="36"/>
      <c r="C18755" s="36"/>
      <c r="E18755" s="1"/>
      <c r="F18755" s="1"/>
      <c r="G18755" s="1"/>
    </row>
    <row r="18756">
      <c r="B18756" s="36"/>
      <c r="C18756" s="36"/>
      <c r="E18756" s="1"/>
      <c r="F18756" s="1"/>
      <c r="G18756" s="1"/>
    </row>
    <row r="18757">
      <c r="B18757" s="36"/>
      <c r="C18757" s="36"/>
      <c r="E18757" s="1"/>
      <c r="F18757" s="1"/>
      <c r="G18757" s="1"/>
    </row>
    <row r="18758">
      <c r="B18758" s="36"/>
      <c r="C18758" s="36"/>
      <c r="E18758" s="1"/>
      <c r="F18758" s="1"/>
      <c r="G18758" s="1"/>
    </row>
    <row r="18759">
      <c r="B18759" s="36"/>
      <c r="C18759" s="36"/>
      <c r="E18759" s="1"/>
      <c r="F18759" s="1"/>
      <c r="G18759" s="1"/>
    </row>
    <row r="18760">
      <c r="B18760" s="36"/>
      <c r="C18760" s="36"/>
      <c r="E18760" s="1"/>
      <c r="F18760" s="1"/>
      <c r="G18760" s="1"/>
    </row>
    <row r="18761">
      <c r="B18761" s="36"/>
      <c r="C18761" s="36"/>
      <c r="E18761" s="1"/>
      <c r="F18761" s="1"/>
      <c r="G18761" s="1"/>
    </row>
    <row r="18762">
      <c r="B18762" s="36"/>
      <c r="C18762" s="36"/>
      <c r="E18762" s="1"/>
      <c r="F18762" s="1"/>
      <c r="G18762" s="1"/>
    </row>
    <row r="18763">
      <c r="B18763" s="36"/>
      <c r="C18763" s="36"/>
      <c r="E18763" s="1"/>
      <c r="F18763" s="1"/>
      <c r="G18763" s="1"/>
    </row>
    <row r="18764">
      <c r="B18764" s="36"/>
      <c r="C18764" s="36"/>
      <c r="E18764" s="1"/>
      <c r="F18764" s="1"/>
      <c r="G18764" s="1"/>
    </row>
    <row r="18765">
      <c r="B18765" s="36"/>
      <c r="C18765" s="36"/>
      <c r="E18765" s="1"/>
      <c r="F18765" s="1"/>
      <c r="G18765" s="1"/>
    </row>
    <row r="18766">
      <c r="B18766" s="36"/>
      <c r="C18766" s="36"/>
      <c r="E18766" s="1"/>
      <c r="F18766" s="1"/>
      <c r="G18766" s="1"/>
    </row>
    <row r="18767">
      <c r="B18767" s="36"/>
      <c r="C18767" s="36"/>
      <c r="E18767" s="1"/>
      <c r="F18767" s="1"/>
      <c r="G18767" s="1"/>
    </row>
    <row r="18768">
      <c r="B18768" s="36"/>
      <c r="C18768" s="36"/>
      <c r="E18768" s="1"/>
      <c r="F18768" s="1"/>
      <c r="G18768" s="1"/>
    </row>
    <row r="18769">
      <c r="B18769" s="36"/>
      <c r="C18769" s="36"/>
      <c r="E18769" s="1"/>
      <c r="F18769" s="1"/>
      <c r="G18769" s="1"/>
    </row>
    <row r="18770">
      <c r="B18770" s="36"/>
      <c r="C18770" s="36"/>
      <c r="E18770" s="1"/>
      <c r="F18770" s="1"/>
      <c r="G18770" s="1"/>
    </row>
    <row r="18771">
      <c r="B18771" s="36"/>
      <c r="C18771" s="36"/>
      <c r="E18771" s="1"/>
      <c r="F18771" s="1"/>
      <c r="G18771" s="1"/>
    </row>
    <row r="18772">
      <c r="B18772" s="36"/>
      <c r="C18772" s="36"/>
      <c r="E18772" s="1"/>
      <c r="F18772" s="1"/>
      <c r="G18772" s="1"/>
    </row>
    <row r="18773">
      <c r="B18773" s="36"/>
      <c r="C18773" s="36"/>
      <c r="E18773" s="1"/>
      <c r="F18773" s="1"/>
      <c r="G18773" s="1"/>
    </row>
    <row r="18774">
      <c r="B18774" s="36"/>
      <c r="C18774" s="36"/>
      <c r="E18774" s="1"/>
      <c r="F18774" s="1"/>
      <c r="G18774" s="1"/>
    </row>
    <row r="18775">
      <c r="B18775" s="36"/>
      <c r="C18775" s="36"/>
      <c r="E18775" s="1"/>
      <c r="F18775" s="1"/>
      <c r="G18775" s="1"/>
    </row>
    <row r="18776">
      <c r="B18776" s="36"/>
      <c r="C18776" s="36"/>
      <c r="E18776" s="1"/>
      <c r="F18776" s="1"/>
      <c r="G18776" s="1"/>
    </row>
    <row r="18777">
      <c r="B18777" s="36"/>
      <c r="C18777" s="36"/>
      <c r="E18777" s="1"/>
      <c r="F18777" s="1"/>
      <c r="G18777" s="1"/>
    </row>
    <row r="18778">
      <c r="B18778" s="36"/>
      <c r="C18778" s="36"/>
      <c r="E18778" s="1"/>
      <c r="F18778" s="1"/>
      <c r="G18778" s="1"/>
    </row>
    <row r="18779">
      <c r="B18779" s="36"/>
      <c r="C18779" s="36"/>
      <c r="E18779" s="1"/>
      <c r="F18779" s="1"/>
      <c r="G18779" s="1"/>
    </row>
    <row r="18780">
      <c r="B18780" s="36"/>
      <c r="C18780" s="36"/>
      <c r="E18780" s="1"/>
      <c r="F18780" s="1"/>
      <c r="G18780" s="1"/>
    </row>
    <row r="18781">
      <c r="B18781" s="36"/>
      <c r="C18781" s="36"/>
      <c r="E18781" s="1"/>
      <c r="F18781" s="1"/>
      <c r="G18781" s="1"/>
    </row>
    <row r="18782">
      <c r="B18782" s="36"/>
      <c r="C18782" s="36"/>
      <c r="E18782" s="1"/>
      <c r="F18782" s="1"/>
      <c r="G18782" s="1"/>
    </row>
    <row r="18783">
      <c r="B18783" s="36"/>
      <c r="C18783" s="36"/>
      <c r="E18783" s="1"/>
      <c r="F18783" s="1"/>
      <c r="G18783" s="1"/>
    </row>
    <row r="18784">
      <c r="B18784" s="36"/>
      <c r="C18784" s="36"/>
      <c r="E18784" s="1"/>
      <c r="F18784" s="1"/>
      <c r="G18784" s="1"/>
    </row>
    <row r="18785">
      <c r="B18785" s="36"/>
      <c r="C18785" s="36"/>
      <c r="E18785" s="1"/>
      <c r="F18785" s="1"/>
      <c r="G18785" s="1"/>
    </row>
    <row r="18786">
      <c r="B18786" s="36"/>
      <c r="C18786" s="36"/>
      <c r="E18786" s="1"/>
      <c r="F18786" s="1"/>
      <c r="G18786" s="1"/>
    </row>
    <row r="18787">
      <c r="B18787" s="36"/>
      <c r="C18787" s="36"/>
      <c r="E18787" s="1"/>
      <c r="F18787" s="1"/>
      <c r="G18787" s="1"/>
    </row>
    <row r="18788">
      <c r="B18788" s="36"/>
      <c r="C18788" s="36"/>
      <c r="E18788" s="1"/>
      <c r="F18788" s="1"/>
      <c r="G18788" s="1"/>
    </row>
    <row r="18789">
      <c r="B18789" s="36"/>
      <c r="C18789" s="36"/>
      <c r="E18789" s="1"/>
      <c r="F18789" s="1"/>
      <c r="G18789" s="1"/>
    </row>
    <row r="18790">
      <c r="B18790" s="36"/>
      <c r="C18790" s="36"/>
      <c r="E18790" s="1"/>
      <c r="F18790" s="1"/>
      <c r="G18790" s="1"/>
    </row>
    <row r="18791">
      <c r="B18791" s="36"/>
      <c r="C18791" s="36"/>
      <c r="E18791" s="1"/>
      <c r="F18791" s="1"/>
      <c r="G18791" s="1"/>
    </row>
    <row r="18792">
      <c r="B18792" s="36"/>
      <c r="C18792" s="36"/>
      <c r="E18792" s="1"/>
      <c r="F18792" s="1"/>
      <c r="G18792" s="1"/>
    </row>
    <row r="18793">
      <c r="B18793" s="36"/>
      <c r="C18793" s="36"/>
      <c r="E18793" s="1"/>
      <c r="F18793" s="1"/>
      <c r="G18793" s="1"/>
    </row>
    <row r="18794">
      <c r="B18794" s="36"/>
      <c r="C18794" s="36"/>
      <c r="E18794" s="1"/>
      <c r="F18794" s="1"/>
      <c r="G18794" s="1"/>
    </row>
    <row r="18795">
      <c r="B18795" s="36"/>
      <c r="C18795" s="36"/>
      <c r="E18795" s="1"/>
      <c r="F18795" s="1"/>
      <c r="G18795" s="1"/>
    </row>
    <row r="18796">
      <c r="B18796" s="36"/>
      <c r="C18796" s="36"/>
      <c r="E18796" s="1"/>
      <c r="F18796" s="1"/>
      <c r="G18796" s="1"/>
    </row>
    <row r="18797">
      <c r="B18797" s="36"/>
      <c r="C18797" s="36"/>
      <c r="E18797" s="1"/>
      <c r="F18797" s="1"/>
      <c r="G18797" s="1"/>
    </row>
    <row r="18798">
      <c r="B18798" s="36"/>
      <c r="C18798" s="36"/>
      <c r="E18798" s="1"/>
      <c r="F18798" s="1"/>
      <c r="G18798" s="1"/>
    </row>
    <row r="18799">
      <c r="B18799" s="36"/>
      <c r="C18799" s="36"/>
      <c r="E18799" s="1"/>
      <c r="F18799" s="1"/>
      <c r="G18799" s="1"/>
    </row>
    <row r="18800">
      <c r="B18800" s="36"/>
      <c r="C18800" s="36"/>
      <c r="E18800" s="1"/>
      <c r="F18800" s="1"/>
      <c r="G18800" s="1"/>
    </row>
    <row r="18801">
      <c r="B18801" s="36"/>
      <c r="C18801" s="36"/>
      <c r="E18801" s="1"/>
      <c r="F18801" s="1"/>
      <c r="G18801" s="1"/>
    </row>
    <row r="18802">
      <c r="B18802" s="36"/>
      <c r="C18802" s="36"/>
      <c r="E18802" s="1"/>
      <c r="F18802" s="1"/>
      <c r="G18802" s="1"/>
    </row>
    <row r="18803">
      <c r="B18803" s="36"/>
      <c r="C18803" s="36"/>
      <c r="E18803" s="1"/>
      <c r="F18803" s="1"/>
      <c r="G18803" s="1"/>
    </row>
    <row r="18804">
      <c r="B18804" s="36"/>
      <c r="C18804" s="36"/>
      <c r="E18804" s="1"/>
      <c r="F18804" s="1"/>
      <c r="G18804" s="1"/>
    </row>
    <row r="18805">
      <c r="B18805" s="36"/>
      <c r="C18805" s="36"/>
      <c r="E18805" s="1"/>
      <c r="F18805" s="1"/>
      <c r="G18805" s="1"/>
    </row>
    <row r="18806">
      <c r="B18806" s="36"/>
      <c r="C18806" s="36"/>
      <c r="E18806" s="1"/>
      <c r="F18806" s="1"/>
      <c r="G18806" s="1"/>
    </row>
    <row r="18807">
      <c r="B18807" s="36"/>
      <c r="C18807" s="36"/>
      <c r="E18807" s="1"/>
      <c r="F18807" s="1"/>
      <c r="G18807" s="1"/>
    </row>
    <row r="18808">
      <c r="B18808" s="36"/>
      <c r="C18808" s="36"/>
      <c r="E18808" s="1"/>
      <c r="F18808" s="1"/>
      <c r="G18808" s="1"/>
    </row>
    <row r="18809">
      <c r="B18809" s="36"/>
      <c r="C18809" s="36"/>
      <c r="E18809" s="1"/>
      <c r="F18809" s="1"/>
      <c r="G18809" s="1"/>
    </row>
    <row r="18810">
      <c r="B18810" s="36"/>
      <c r="C18810" s="36"/>
      <c r="E18810" s="1"/>
      <c r="F18810" s="1"/>
      <c r="G18810" s="1"/>
    </row>
    <row r="18811">
      <c r="B18811" s="36"/>
      <c r="C18811" s="36"/>
      <c r="E18811" s="1"/>
      <c r="F18811" s="1"/>
      <c r="G18811" s="1"/>
    </row>
    <row r="18812">
      <c r="B18812" s="36"/>
      <c r="C18812" s="36"/>
      <c r="E18812" s="1"/>
      <c r="F18812" s="1"/>
      <c r="G18812" s="1"/>
    </row>
    <row r="18813">
      <c r="B18813" s="36"/>
      <c r="C18813" s="36"/>
      <c r="E18813" s="1"/>
      <c r="F18813" s="1"/>
      <c r="G18813" s="1"/>
    </row>
    <row r="18814">
      <c r="B18814" s="36"/>
      <c r="C18814" s="36"/>
      <c r="E18814" s="1"/>
      <c r="F18814" s="1"/>
      <c r="G18814" s="1"/>
    </row>
    <row r="18815">
      <c r="B18815" s="36"/>
      <c r="C18815" s="36"/>
      <c r="E18815" s="1"/>
      <c r="F18815" s="1"/>
      <c r="G18815" s="1"/>
    </row>
    <row r="18816">
      <c r="B18816" s="36"/>
      <c r="C18816" s="36"/>
      <c r="E18816" s="1"/>
      <c r="F18816" s="1"/>
      <c r="G18816" s="1"/>
    </row>
    <row r="18817">
      <c r="B18817" s="36"/>
      <c r="C18817" s="36"/>
      <c r="E18817" s="1"/>
      <c r="F18817" s="1"/>
      <c r="G18817" s="1"/>
    </row>
    <row r="18818">
      <c r="B18818" s="36"/>
      <c r="C18818" s="36"/>
      <c r="E18818" s="1"/>
      <c r="F18818" s="1"/>
      <c r="G18818" s="1"/>
    </row>
    <row r="18819">
      <c r="B18819" s="36"/>
      <c r="C18819" s="36"/>
      <c r="E18819" s="1"/>
      <c r="F18819" s="1"/>
      <c r="G18819" s="1"/>
    </row>
    <row r="18820">
      <c r="B18820" s="36"/>
      <c r="C18820" s="36"/>
      <c r="E18820" s="1"/>
      <c r="F18820" s="1"/>
      <c r="G18820" s="1"/>
    </row>
    <row r="18821">
      <c r="B18821" s="36"/>
      <c r="C18821" s="36"/>
      <c r="E18821" s="1"/>
      <c r="F18821" s="1"/>
      <c r="G18821" s="1"/>
    </row>
    <row r="18822">
      <c r="B18822" s="36"/>
      <c r="C18822" s="36"/>
      <c r="E18822" s="1"/>
      <c r="F18822" s="1"/>
      <c r="G18822" s="1"/>
    </row>
    <row r="18823">
      <c r="B18823" s="36"/>
      <c r="C18823" s="36"/>
      <c r="E18823" s="1"/>
      <c r="F18823" s="1"/>
      <c r="G18823" s="1"/>
    </row>
    <row r="18824">
      <c r="B18824" s="36"/>
      <c r="C18824" s="36"/>
      <c r="E18824" s="1"/>
      <c r="F18824" s="1"/>
      <c r="G18824" s="1"/>
    </row>
    <row r="18825">
      <c r="B18825" s="36"/>
      <c r="C18825" s="36"/>
      <c r="E18825" s="1"/>
      <c r="F18825" s="1"/>
      <c r="G18825" s="1"/>
    </row>
    <row r="18826">
      <c r="B18826" s="36"/>
      <c r="C18826" s="36"/>
      <c r="E18826" s="1"/>
      <c r="F18826" s="1"/>
      <c r="G18826" s="1"/>
    </row>
    <row r="18827">
      <c r="B18827" s="36"/>
      <c r="C18827" s="36"/>
      <c r="E18827" s="1"/>
      <c r="F18827" s="1"/>
      <c r="G18827" s="1"/>
    </row>
    <row r="18828">
      <c r="B18828" s="36"/>
      <c r="C18828" s="36"/>
      <c r="E18828" s="1"/>
      <c r="F18828" s="1"/>
      <c r="G18828" s="1"/>
    </row>
    <row r="18829">
      <c r="B18829" s="36"/>
      <c r="C18829" s="36"/>
      <c r="E18829" s="1"/>
      <c r="F18829" s="1"/>
      <c r="G18829" s="1"/>
    </row>
    <row r="18830">
      <c r="B18830" s="36"/>
      <c r="C18830" s="36"/>
      <c r="E18830" s="1"/>
      <c r="F18830" s="1"/>
      <c r="G18830" s="1"/>
    </row>
    <row r="18831">
      <c r="B18831" s="36"/>
      <c r="C18831" s="36"/>
      <c r="E18831" s="1"/>
      <c r="F18831" s="1"/>
      <c r="G18831" s="1"/>
    </row>
    <row r="18832">
      <c r="B18832" s="36"/>
      <c r="C18832" s="36"/>
      <c r="E18832" s="1"/>
      <c r="F18832" s="1"/>
      <c r="G18832" s="1"/>
    </row>
    <row r="18833">
      <c r="B18833" s="36"/>
      <c r="C18833" s="36"/>
      <c r="E18833" s="1"/>
      <c r="F18833" s="1"/>
      <c r="G18833" s="1"/>
    </row>
    <row r="18834">
      <c r="B18834" s="36"/>
      <c r="C18834" s="36"/>
      <c r="E18834" s="1"/>
      <c r="F18834" s="1"/>
      <c r="G18834" s="1"/>
    </row>
    <row r="18835">
      <c r="B18835" s="36"/>
      <c r="C18835" s="36"/>
      <c r="E18835" s="1"/>
      <c r="F18835" s="1"/>
      <c r="G18835" s="1"/>
    </row>
    <row r="18836">
      <c r="B18836" s="36"/>
      <c r="C18836" s="36"/>
      <c r="E18836" s="1"/>
      <c r="F18836" s="1"/>
      <c r="G18836" s="1"/>
    </row>
    <row r="18837">
      <c r="B18837" s="36"/>
      <c r="C18837" s="36"/>
      <c r="E18837" s="1"/>
      <c r="F18837" s="1"/>
      <c r="G18837" s="1"/>
    </row>
    <row r="18838">
      <c r="B18838" s="36"/>
      <c r="C18838" s="36"/>
      <c r="E18838" s="1"/>
      <c r="F18838" s="1"/>
      <c r="G18838" s="1"/>
    </row>
    <row r="18839">
      <c r="B18839" s="36"/>
      <c r="C18839" s="36"/>
      <c r="E18839" s="1"/>
      <c r="F18839" s="1"/>
      <c r="G18839" s="1"/>
    </row>
    <row r="18840">
      <c r="B18840" s="36"/>
      <c r="C18840" s="36"/>
      <c r="E18840" s="1"/>
      <c r="F18840" s="1"/>
      <c r="G18840" s="1"/>
    </row>
    <row r="18841">
      <c r="B18841" s="36"/>
      <c r="C18841" s="36"/>
      <c r="E18841" s="1"/>
      <c r="F18841" s="1"/>
      <c r="G18841" s="1"/>
    </row>
    <row r="18842">
      <c r="B18842" s="36"/>
      <c r="C18842" s="36"/>
      <c r="E18842" s="1"/>
      <c r="F18842" s="1"/>
      <c r="G18842" s="1"/>
    </row>
    <row r="18843">
      <c r="B18843" s="36"/>
      <c r="C18843" s="36"/>
      <c r="E18843" s="1"/>
      <c r="F18843" s="1"/>
      <c r="G18843" s="1"/>
    </row>
    <row r="18844">
      <c r="B18844" s="36"/>
      <c r="C18844" s="36"/>
      <c r="E18844" s="1"/>
      <c r="F18844" s="1"/>
      <c r="G18844" s="1"/>
    </row>
    <row r="18845">
      <c r="B18845" s="36"/>
      <c r="C18845" s="36"/>
      <c r="E18845" s="1"/>
      <c r="F18845" s="1"/>
      <c r="G18845" s="1"/>
    </row>
    <row r="18846">
      <c r="B18846" s="36"/>
      <c r="C18846" s="36"/>
      <c r="E18846" s="1"/>
      <c r="F18846" s="1"/>
      <c r="G18846" s="1"/>
    </row>
    <row r="18847">
      <c r="B18847" s="36"/>
      <c r="C18847" s="36"/>
      <c r="E18847" s="1"/>
      <c r="F18847" s="1"/>
      <c r="G18847" s="1"/>
    </row>
    <row r="18848">
      <c r="B18848" s="36"/>
      <c r="C18848" s="36"/>
      <c r="E18848" s="1"/>
      <c r="F18848" s="1"/>
      <c r="G18848" s="1"/>
    </row>
    <row r="18849">
      <c r="B18849" s="36"/>
      <c r="C18849" s="36"/>
      <c r="E18849" s="1"/>
      <c r="F18849" s="1"/>
      <c r="G18849" s="1"/>
    </row>
    <row r="18850">
      <c r="B18850" s="36"/>
      <c r="C18850" s="36"/>
      <c r="E18850" s="1"/>
      <c r="F18850" s="1"/>
      <c r="G18850" s="1"/>
    </row>
    <row r="18851">
      <c r="B18851" s="36"/>
      <c r="C18851" s="36"/>
      <c r="E18851" s="1"/>
      <c r="F18851" s="1"/>
      <c r="G18851" s="1"/>
    </row>
    <row r="18852">
      <c r="B18852" s="36"/>
      <c r="C18852" s="36"/>
      <c r="E18852" s="1"/>
      <c r="F18852" s="1"/>
      <c r="G18852" s="1"/>
    </row>
    <row r="18853">
      <c r="B18853" s="36"/>
      <c r="C18853" s="36"/>
      <c r="E18853" s="1"/>
      <c r="F18853" s="1"/>
      <c r="G18853" s="1"/>
    </row>
    <row r="18854">
      <c r="B18854" s="36"/>
      <c r="C18854" s="36"/>
      <c r="E18854" s="1"/>
      <c r="F18854" s="1"/>
      <c r="G18854" s="1"/>
    </row>
    <row r="18855">
      <c r="B18855" s="36"/>
      <c r="C18855" s="36"/>
      <c r="E18855" s="1"/>
      <c r="F18855" s="1"/>
      <c r="G18855" s="1"/>
    </row>
    <row r="18856">
      <c r="B18856" s="36"/>
      <c r="C18856" s="36"/>
      <c r="E18856" s="1"/>
      <c r="F18856" s="1"/>
      <c r="G18856" s="1"/>
    </row>
    <row r="18857">
      <c r="B18857" s="36"/>
      <c r="C18857" s="36"/>
      <c r="E18857" s="1"/>
      <c r="F18857" s="1"/>
      <c r="G18857" s="1"/>
    </row>
    <row r="18858">
      <c r="B18858" s="36"/>
      <c r="C18858" s="36"/>
      <c r="E18858" s="1"/>
      <c r="F18858" s="1"/>
      <c r="G18858" s="1"/>
    </row>
    <row r="18859">
      <c r="B18859" s="36"/>
      <c r="C18859" s="36"/>
      <c r="E18859" s="1"/>
      <c r="F18859" s="1"/>
      <c r="G18859" s="1"/>
    </row>
    <row r="18860">
      <c r="B18860" s="36"/>
      <c r="C18860" s="36"/>
      <c r="E18860" s="1"/>
      <c r="F18860" s="1"/>
      <c r="G18860" s="1"/>
    </row>
    <row r="18861">
      <c r="B18861" s="36"/>
      <c r="C18861" s="36"/>
      <c r="E18861" s="1"/>
      <c r="F18861" s="1"/>
      <c r="G18861" s="1"/>
    </row>
    <row r="18862">
      <c r="B18862" s="36"/>
      <c r="C18862" s="36"/>
      <c r="E18862" s="1"/>
      <c r="F18862" s="1"/>
      <c r="G18862" s="1"/>
    </row>
    <row r="18863">
      <c r="B18863" s="36"/>
      <c r="C18863" s="36"/>
      <c r="E18863" s="1"/>
      <c r="F18863" s="1"/>
      <c r="G18863" s="1"/>
    </row>
    <row r="18864">
      <c r="B18864" s="36"/>
      <c r="C18864" s="36"/>
      <c r="E18864" s="1"/>
      <c r="F18864" s="1"/>
      <c r="G18864" s="1"/>
    </row>
    <row r="18865">
      <c r="B18865" s="36"/>
      <c r="C18865" s="36"/>
      <c r="E18865" s="1"/>
      <c r="F18865" s="1"/>
      <c r="G18865" s="1"/>
    </row>
    <row r="18866">
      <c r="B18866" s="36"/>
      <c r="C18866" s="36"/>
      <c r="E18866" s="1"/>
      <c r="F18866" s="1"/>
      <c r="G18866" s="1"/>
    </row>
    <row r="18867">
      <c r="B18867" s="36"/>
      <c r="C18867" s="36"/>
      <c r="E18867" s="1"/>
      <c r="F18867" s="1"/>
      <c r="G18867" s="1"/>
    </row>
    <row r="18868">
      <c r="B18868" s="36"/>
      <c r="C18868" s="36"/>
      <c r="E18868" s="1"/>
      <c r="F18868" s="1"/>
      <c r="G18868" s="1"/>
    </row>
    <row r="18869">
      <c r="B18869" s="36"/>
      <c r="C18869" s="36"/>
      <c r="E18869" s="1"/>
      <c r="F18869" s="1"/>
      <c r="G18869" s="1"/>
    </row>
    <row r="18870">
      <c r="B18870" s="36"/>
      <c r="C18870" s="36"/>
      <c r="E18870" s="1"/>
      <c r="F18870" s="1"/>
      <c r="G18870" s="1"/>
    </row>
    <row r="18871">
      <c r="B18871" s="36"/>
      <c r="C18871" s="36"/>
      <c r="E18871" s="1"/>
      <c r="F18871" s="1"/>
      <c r="G18871" s="1"/>
    </row>
    <row r="18872">
      <c r="B18872" s="36"/>
      <c r="C18872" s="36"/>
      <c r="E18872" s="1"/>
      <c r="F18872" s="1"/>
      <c r="G18872" s="1"/>
    </row>
    <row r="18873">
      <c r="B18873" s="36"/>
      <c r="C18873" s="36"/>
      <c r="E18873" s="1"/>
      <c r="F18873" s="1"/>
      <c r="G18873" s="1"/>
    </row>
    <row r="18874">
      <c r="B18874" s="36"/>
      <c r="C18874" s="36"/>
      <c r="E18874" s="1"/>
      <c r="F18874" s="1"/>
      <c r="G18874" s="1"/>
    </row>
    <row r="18875">
      <c r="B18875" s="36"/>
      <c r="C18875" s="36"/>
      <c r="E18875" s="1"/>
      <c r="F18875" s="1"/>
      <c r="G18875" s="1"/>
    </row>
    <row r="18876">
      <c r="B18876" s="36"/>
      <c r="C18876" s="36"/>
      <c r="E18876" s="1"/>
      <c r="F18876" s="1"/>
      <c r="G18876" s="1"/>
    </row>
    <row r="18877">
      <c r="B18877" s="36"/>
      <c r="C18877" s="36"/>
      <c r="E18877" s="1"/>
      <c r="F18877" s="1"/>
      <c r="G18877" s="1"/>
    </row>
    <row r="18878">
      <c r="B18878" s="36"/>
      <c r="C18878" s="36"/>
      <c r="E18878" s="1"/>
      <c r="F18878" s="1"/>
      <c r="G18878" s="1"/>
    </row>
    <row r="18879">
      <c r="B18879" s="36"/>
      <c r="C18879" s="36"/>
      <c r="E18879" s="1"/>
      <c r="F18879" s="1"/>
      <c r="G18879" s="1"/>
    </row>
    <row r="18880">
      <c r="B18880" s="36"/>
      <c r="C18880" s="36"/>
      <c r="E18880" s="1"/>
      <c r="F18880" s="1"/>
      <c r="G18880" s="1"/>
    </row>
    <row r="18881">
      <c r="B18881" s="36"/>
      <c r="C18881" s="36"/>
      <c r="E18881" s="1"/>
      <c r="F18881" s="1"/>
      <c r="G18881" s="1"/>
    </row>
    <row r="18882">
      <c r="B18882" s="36"/>
      <c r="C18882" s="36"/>
      <c r="E18882" s="1"/>
      <c r="F18882" s="1"/>
      <c r="G18882" s="1"/>
    </row>
    <row r="18883">
      <c r="B18883" s="36"/>
      <c r="C18883" s="36"/>
      <c r="E18883" s="1"/>
      <c r="F18883" s="1"/>
      <c r="G18883" s="1"/>
    </row>
    <row r="18884">
      <c r="B18884" s="36"/>
      <c r="C18884" s="36"/>
      <c r="E18884" s="1"/>
      <c r="F18884" s="1"/>
      <c r="G18884" s="1"/>
    </row>
    <row r="18885">
      <c r="B18885" s="36"/>
      <c r="C18885" s="36"/>
      <c r="E18885" s="1"/>
      <c r="F18885" s="1"/>
      <c r="G18885" s="1"/>
    </row>
    <row r="18886">
      <c r="B18886" s="36"/>
      <c r="C18886" s="36"/>
      <c r="E18886" s="1"/>
      <c r="F18886" s="1"/>
      <c r="G18886" s="1"/>
    </row>
    <row r="18887">
      <c r="B18887" s="36"/>
      <c r="C18887" s="36"/>
      <c r="E18887" s="1"/>
      <c r="F18887" s="1"/>
      <c r="G18887" s="1"/>
    </row>
    <row r="18888">
      <c r="B18888" s="36"/>
      <c r="C18888" s="36"/>
      <c r="E18888" s="1"/>
      <c r="F18888" s="1"/>
      <c r="G18888" s="1"/>
    </row>
    <row r="18889">
      <c r="B18889" s="36"/>
      <c r="C18889" s="36"/>
      <c r="E18889" s="1"/>
      <c r="F18889" s="1"/>
      <c r="G18889" s="1"/>
    </row>
    <row r="18890">
      <c r="B18890" s="36"/>
      <c r="C18890" s="36"/>
      <c r="E18890" s="1"/>
      <c r="F18890" s="1"/>
      <c r="G18890" s="1"/>
    </row>
    <row r="18891">
      <c r="B18891" s="36"/>
      <c r="C18891" s="36"/>
      <c r="E18891" s="1"/>
      <c r="F18891" s="1"/>
      <c r="G18891" s="1"/>
    </row>
    <row r="18892">
      <c r="B18892" s="36"/>
      <c r="C18892" s="36"/>
      <c r="E18892" s="1"/>
      <c r="F18892" s="1"/>
      <c r="G18892" s="1"/>
    </row>
    <row r="18893">
      <c r="B18893" s="36"/>
      <c r="C18893" s="36"/>
      <c r="E18893" s="1"/>
      <c r="F18893" s="1"/>
      <c r="G18893" s="1"/>
    </row>
    <row r="18894">
      <c r="B18894" s="36"/>
      <c r="C18894" s="36"/>
      <c r="E18894" s="1"/>
      <c r="F18894" s="1"/>
      <c r="G18894" s="1"/>
    </row>
    <row r="18895">
      <c r="B18895" s="36"/>
      <c r="C18895" s="36"/>
      <c r="E18895" s="1"/>
      <c r="F18895" s="1"/>
      <c r="G18895" s="1"/>
    </row>
    <row r="18896">
      <c r="B18896" s="36"/>
      <c r="C18896" s="36"/>
      <c r="E18896" s="1"/>
      <c r="F18896" s="1"/>
      <c r="G18896" s="1"/>
    </row>
    <row r="18897">
      <c r="B18897" s="36"/>
      <c r="C18897" s="36"/>
      <c r="E18897" s="1"/>
      <c r="F18897" s="1"/>
      <c r="G18897" s="1"/>
    </row>
    <row r="18898">
      <c r="B18898" s="36"/>
      <c r="C18898" s="36"/>
      <c r="E18898" s="1"/>
      <c r="F18898" s="1"/>
      <c r="G18898" s="1"/>
    </row>
    <row r="18899">
      <c r="B18899" s="36"/>
      <c r="C18899" s="36"/>
      <c r="E18899" s="1"/>
      <c r="F18899" s="1"/>
      <c r="G18899" s="1"/>
    </row>
    <row r="18900">
      <c r="B18900" s="36"/>
      <c r="C18900" s="36"/>
      <c r="E18900" s="1"/>
      <c r="F18900" s="1"/>
      <c r="G18900" s="1"/>
    </row>
    <row r="18901">
      <c r="B18901" s="36"/>
      <c r="C18901" s="36"/>
      <c r="E18901" s="1"/>
      <c r="F18901" s="1"/>
      <c r="G18901" s="1"/>
    </row>
    <row r="18902">
      <c r="B18902" s="36"/>
      <c r="C18902" s="36"/>
      <c r="E18902" s="1"/>
      <c r="F18902" s="1"/>
      <c r="G18902" s="1"/>
    </row>
    <row r="18903">
      <c r="B18903" s="36"/>
      <c r="C18903" s="36"/>
      <c r="E18903" s="1"/>
      <c r="F18903" s="1"/>
      <c r="G18903" s="1"/>
    </row>
    <row r="18904">
      <c r="B18904" s="36"/>
      <c r="C18904" s="36"/>
      <c r="E18904" s="1"/>
      <c r="F18904" s="1"/>
      <c r="G18904" s="1"/>
    </row>
    <row r="18905">
      <c r="B18905" s="36"/>
      <c r="C18905" s="36"/>
      <c r="E18905" s="1"/>
      <c r="F18905" s="1"/>
      <c r="G18905" s="1"/>
    </row>
    <row r="18906">
      <c r="B18906" s="36"/>
      <c r="C18906" s="36"/>
      <c r="E18906" s="1"/>
      <c r="F18906" s="1"/>
      <c r="G18906" s="1"/>
    </row>
    <row r="18907">
      <c r="B18907" s="36"/>
      <c r="C18907" s="36"/>
      <c r="E18907" s="1"/>
      <c r="F18907" s="1"/>
      <c r="G18907" s="1"/>
    </row>
    <row r="18908">
      <c r="B18908" s="36"/>
      <c r="C18908" s="36"/>
      <c r="E18908" s="1"/>
      <c r="F18908" s="1"/>
      <c r="G18908" s="1"/>
    </row>
    <row r="18909">
      <c r="B18909" s="36"/>
      <c r="C18909" s="36"/>
      <c r="E18909" s="1"/>
      <c r="F18909" s="1"/>
      <c r="G18909" s="1"/>
    </row>
    <row r="18910">
      <c r="B18910" s="36"/>
      <c r="C18910" s="36"/>
      <c r="E18910" s="1"/>
      <c r="F18910" s="1"/>
      <c r="G18910" s="1"/>
    </row>
    <row r="18911">
      <c r="B18911" s="36"/>
      <c r="C18911" s="36"/>
      <c r="E18911" s="1"/>
      <c r="F18911" s="1"/>
      <c r="G18911" s="1"/>
    </row>
    <row r="18912">
      <c r="B18912" s="36"/>
      <c r="C18912" s="36"/>
      <c r="E18912" s="1"/>
      <c r="F18912" s="1"/>
      <c r="G18912" s="1"/>
    </row>
    <row r="18913">
      <c r="B18913" s="36"/>
      <c r="C18913" s="36"/>
      <c r="E18913" s="1"/>
      <c r="F18913" s="1"/>
      <c r="G18913" s="1"/>
    </row>
    <row r="18914">
      <c r="B18914" s="36"/>
      <c r="C18914" s="36"/>
      <c r="E18914" s="1"/>
      <c r="F18914" s="1"/>
      <c r="G18914" s="1"/>
    </row>
    <row r="18915">
      <c r="B18915" s="36"/>
      <c r="C18915" s="36"/>
      <c r="E18915" s="1"/>
      <c r="F18915" s="1"/>
      <c r="G18915" s="1"/>
    </row>
    <row r="18916">
      <c r="B18916" s="36"/>
      <c r="C18916" s="36"/>
      <c r="E18916" s="1"/>
      <c r="F18916" s="1"/>
      <c r="G18916" s="1"/>
    </row>
    <row r="18917">
      <c r="B18917" s="36"/>
      <c r="C18917" s="36"/>
      <c r="E18917" s="1"/>
      <c r="F18917" s="1"/>
      <c r="G18917" s="1"/>
    </row>
    <row r="18918">
      <c r="B18918" s="36"/>
      <c r="C18918" s="36"/>
      <c r="E18918" s="1"/>
      <c r="F18918" s="1"/>
      <c r="G18918" s="1"/>
    </row>
    <row r="18919">
      <c r="B18919" s="36"/>
      <c r="C18919" s="36"/>
      <c r="E18919" s="1"/>
      <c r="F18919" s="1"/>
      <c r="G18919" s="1"/>
    </row>
    <row r="18920">
      <c r="B18920" s="36"/>
      <c r="C18920" s="36"/>
      <c r="E18920" s="1"/>
      <c r="F18920" s="1"/>
      <c r="G18920" s="1"/>
    </row>
    <row r="18921">
      <c r="B18921" s="36"/>
      <c r="C18921" s="36"/>
      <c r="E18921" s="1"/>
      <c r="F18921" s="1"/>
      <c r="G18921" s="1"/>
    </row>
    <row r="18922">
      <c r="B18922" s="36"/>
      <c r="C18922" s="36"/>
      <c r="E18922" s="1"/>
      <c r="F18922" s="1"/>
      <c r="G18922" s="1"/>
    </row>
    <row r="18923">
      <c r="B18923" s="36"/>
      <c r="C18923" s="36"/>
      <c r="E18923" s="1"/>
      <c r="F18923" s="1"/>
      <c r="G18923" s="1"/>
    </row>
    <row r="18924">
      <c r="B18924" s="36"/>
      <c r="C18924" s="36"/>
      <c r="E18924" s="1"/>
      <c r="F18924" s="1"/>
      <c r="G18924" s="1"/>
    </row>
    <row r="18925">
      <c r="B18925" s="36"/>
      <c r="C18925" s="36"/>
      <c r="E18925" s="1"/>
      <c r="F18925" s="1"/>
      <c r="G18925" s="1"/>
    </row>
    <row r="18926">
      <c r="B18926" s="36"/>
      <c r="C18926" s="36"/>
      <c r="E18926" s="1"/>
      <c r="F18926" s="1"/>
      <c r="G18926" s="1"/>
    </row>
    <row r="18927">
      <c r="B18927" s="36"/>
      <c r="C18927" s="36"/>
      <c r="E18927" s="1"/>
      <c r="F18927" s="1"/>
      <c r="G18927" s="1"/>
    </row>
    <row r="18928">
      <c r="B18928" s="36"/>
      <c r="C18928" s="36"/>
      <c r="E18928" s="1"/>
      <c r="F18928" s="1"/>
      <c r="G18928" s="1"/>
    </row>
    <row r="18929">
      <c r="B18929" s="36"/>
      <c r="C18929" s="36"/>
      <c r="E18929" s="1"/>
      <c r="F18929" s="1"/>
      <c r="G18929" s="1"/>
    </row>
    <row r="18930">
      <c r="B18930" s="36"/>
      <c r="C18930" s="36"/>
      <c r="E18930" s="1"/>
      <c r="F18930" s="1"/>
      <c r="G18930" s="1"/>
    </row>
    <row r="18931">
      <c r="B18931" s="36"/>
      <c r="C18931" s="36"/>
      <c r="E18931" s="1"/>
      <c r="F18931" s="1"/>
      <c r="G18931" s="1"/>
    </row>
    <row r="18932">
      <c r="B18932" s="36"/>
      <c r="C18932" s="36"/>
      <c r="E18932" s="1"/>
      <c r="F18932" s="1"/>
      <c r="G18932" s="1"/>
    </row>
    <row r="18933">
      <c r="B18933" s="36"/>
      <c r="C18933" s="36"/>
      <c r="E18933" s="1"/>
      <c r="F18933" s="1"/>
      <c r="G18933" s="1"/>
    </row>
    <row r="18934">
      <c r="B18934" s="36"/>
      <c r="C18934" s="36"/>
      <c r="E18934" s="1"/>
      <c r="F18934" s="1"/>
      <c r="G18934" s="1"/>
    </row>
    <row r="18935">
      <c r="B18935" s="36"/>
      <c r="C18935" s="36"/>
      <c r="E18935" s="1"/>
      <c r="F18935" s="1"/>
      <c r="G18935" s="1"/>
    </row>
    <row r="18936">
      <c r="B18936" s="36"/>
      <c r="C18936" s="36"/>
      <c r="E18936" s="1"/>
      <c r="F18936" s="1"/>
      <c r="G18936" s="1"/>
    </row>
    <row r="18937">
      <c r="B18937" s="36"/>
      <c r="C18937" s="36"/>
      <c r="E18937" s="1"/>
      <c r="F18937" s="1"/>
      <c r="G18937" s="1"/>
    </row>
    <row r="18938">
      <c r="B18938" s="36"/>
      <c r="C18938" s="36"/>
      <c r="E18938" s="1"/>
      <c r="F18938" s="1"/>
      <c r="G18938" s="1"/>
    </row>
    <row r="18939">
      <c r="B18939" s="36"/>
      <c r="C18939" s="36"/>
      <c r="E18939" s="1"/>
      <c r="F18939" s="1"/>
      <c r="G18939" s="1"/>
    </row>
    <row r="18940">
      <c r="B18940" s="36"/>
      <c r="C18940" s="36"/>
      <c r="E18940" s="1"/>
      <c r="F18940" s="1"/>
      <c r="G18940" s="1"/>
    </row>
    <row r="18941">
      <c r="B18941" s="36"/>
      <c r="C18941" s="36"/>
      <c r="E18941" s="1"/>
      <c r="F18941" s="1"/>
      <c r="G18941" s="1"/>
    </row>
    <row r="18942">
      <c r="B18942" s="36"/>
      <c r="C18942" s="36"/>
      <c r="E18942" s="1"/>
      <c r="F18942" s="1"/>
      <c r="G18942" s="1"/>
    </row>
    <row r="18943">
      <c r="B18943" s="36"/>
      <c r="C18943" s="36"/>
      <c r="E18943" s="1"/>
      <c r="F18943" s="1"/>
      <c r="G18943" s="1"/>
    </row>
    <row r="18944">
      <c r="B18944" s="36"/>
      <c r="C18944" s="36"/>
      <c r="E18944" s="1"/>
      <c r="F18944" s="1"/>
      <c r="G18944" s="1"/>
    </row>
    <row r="18945">
      <c r="B18945" s="36"/>
      <c r="C18945" s="36"/>
      <c r="E18945" s="1"/>
      <c r="F18945" s="1"/>
      <c r="G18945" s="1"/>
    </row>
    <row r="18946">
      <c r="B18946" s="36"/>
      <c r="C18946" s="36"/>
      <c r="E18946" s="1"/>
      <c r="F18946" s="1"/>
      <c r="G18946" s="1"/>
    </row>
    <row r="18947">
      <c r="B18947" s="36"/>
      <c r="C18947" s="36"/>
      <c r="E18947" s="1"/>
      <c r="F18947" s="1"/>
      <c r="G18947" s="1"/>
    </row>
    <row r="18948">
      <c r="B18948" s="36"/>
      <c r="C18948" s="36"/>
      <c r="E18948" s="1"/>
      <c r="F18948" s="1"/>
      <c r="G18948" s="1"/>
    </row>
    <row r="18949">
      <c r="B18949" s="36"/>
      <c r="C18949" s="36"/>
      <c r="E18949" s="1"/>
      <c r="F18949" s="1"/>
      <c r="G18949" s="1"/>
    </row>
    <row r="18950">
      <c r="B18950" s="36"/>
      <c r="C18950" s="36"/>
      <c r="E18950" s="1"/>
      <c r="F18950" s="1"/>
      <c r="G18950" s="1"/>
    </row>
    <row r="18951">
      <c r="B18951" s="36"/>
      <c r="C18951" s="36"/>
      <c r="E18951" s="1"/>
      <c r="F18951" s="1"/>
      <c r="G18951" s="1"/>
    </row>
    <row r="18952">
      <c r="B18952" s="36"/>
      <c r="C18952" s="36"/>
      <c r="E18952" s="1"/>
      <c r="F18952" s="1"/>
      <c r="G18952" s="1"/>
    </row>
    <row r="18953">
      <c r="B18953" s="36"/>
      <c r="C18953" s="36"/>
      <c r="E18953" s="1"/>
      <c r="F18953" s="1"/>
      <c r="G18953" s="1"/>
    </row>
    <row r="18954">
      <c r="B18954" s="36"/>
      <c r="C18954" s="36"/>
      <c r="E18954" s="1"/>
      <c r="F18954" s="1"/>
      <c r="G18954" s="1"/>
    </row>
    <row r="18955">
      <c r="B18955" s="36"/>
      <c r="C18955" s="36"/>
      <c r="E18955" s="1"/>
      <c r="F18955" s="1"/>
      <c r="G18955" s="1"/>
    </row>
    <row r="18956">
      <c r="B18956" s="36"/>
      <c r="C18956" s="36"/>
      <c r="E18956" s="1"/>
      <c r="F18956" s="1"/>
      <c r="G18956" s="1"/>
    </row>
    <row r="18957">
      <c r="B18957" s="36"/>
      <c r="C18957" s="36"/>
      <c r="E18957" s="1"/>
      <c r="F18957" s="1"/>
      <c r="G18957" s="1"/>
    </row>
    <row r="18958">
      <c r="B18958" s="36"/>
      <c r="C18958" s="36"/>
      <c r="E18958" s="1"/>
      <c r="F18958" s="1"/>
      <c r="G18958" s="1"/>
    </row>
    <row r="18959">
      <c r="B18959" s="36"/>
      <c r="C18959" s="36"/>
      <c r="E18959" s="1"/>
      <c r="F18959" s="1"/>
      <c r="G18959" s="1"/>
    </row>
    <row r="18960">
      <c r="B18960" s="36"/>
      <c r="C18960" s="36"/>
      <c r="E18960" s="1"/>
      <c r="F18960" s="1"/>
      <c r="G18960" s="1"/>
    </row>
    <row r="18961">
      <c r="B18961" s="36"/>
      <c r="C18961" s="36"/>
      <c r="E18961" s="1"/>
      <c r="F18961" s="1"/>
      <c r="G18961" s="1"/>
    </row>
    <row r="18962">
      <c r="B18962" s="36"/>
      <c r="C18962" s="36"/>
      <c r="E18962" s="1"/>
      <c r="F18962" s="1"/>
      <c r="G18962" s="1"/>
    </row>
    <row r="18963">
      <c r="B18963" s="36"/>
      <c r="C18963" s="36"/>
      <c r="E18963" s="1"/>
      <c r="F18963" s="1"/>
      <c r="G18963" s="1"/>
    </row>
    <row r="18964">
      <c r="B18964" s="36"/>
      <c r="C18964" s="36"/>
      <c r="E18964" s="1"/>
      <c r="F18964" s="1"/>
      <c r="G18964" s="1"/>
    </row>
    <row r="18965">
      <c r="B18965" s="36"/>
      <c r="C18965" s="36"/>
      <c r="E18965" s="1"/>
      <c r="F18965" s="1"/>
      <c r="G18965" s="1"/>
    </row>
    <row r="18966">
      <c r="B18966" s="36"/>
      <c r="C18966" s="36"/>
      <c r="E18966" s="1"/>
      <c r="F18966" s="1"/>
      <c r="G18966" s="1"/>
    </row>
    <row r="18967">
      <c r="B18967" s="36"/>
      <c r="C18967" s="36"/>
      <c r="E18967" s="1"/>
      <c r="F18967" s="1"/>
      <c r="G18967" s="1"/>
    </row>
    <row r="18968">
      <c r="B18968" s="36"/>
      <c r="C18968" s="36"/>
      <c r="E18968" s="1"/>
      <c r="F18968" s="1"/>
      <c r="G18968" s="1"/>
    </row>
    <row r="18969">
      <c r="B18969" s="36"/>
      <c r="C18969" s="36"/>
      <c r="E18969" s="1"/>
      <c r="F18969" s="1"/>
      <c r="G18969" s="1"/>
    </row>
    <row r="18970">
      <c r="B18970" s="36"/>
      <c r="C18970" s="36"/>
      <c r="E18970" s="1"/>
      <c r="F18970" s="1"/>
      <c r="G18970" s="1"/>
    </row>
    <row r="18971">
      <c r="B18971" s="36"/>
      <c r="C18971" s="36"/>
      <c r="E18971" s="1"/>
      <c r="F18971" s="1"/>
      <c r="G18971" s="1"/>
    </row>
    <row r="18972">
      <c r="B18972" s="36"/>
      <c r="C18972" s="36"/>
      <c r="E18972" s="1"/>
      <c r="F18972" s="1"/>
      <c r="G18972" s="1"/>
    </row>
    <row r="18973">
      <c r="B18973" s="36"/>
      <c r="C18973" s="36"/>
      <c r="E18973" s="1"/>
      <c r="F18973" s="1"/>
      <c r="G18973" s="1"/>
    </row>
    <row r="18974">
      <c r="B18974" s="36"/>
      <c r="C18974" s="36"/>
      <c r="E18974" s="1"/>
      <c r="F18974" s="1"/>
      <c r="G18974" s="1"/>
    </row>
    <row r="18975">
      <c r="B18975" s="36"/>
      <c r="C18975" s="36"/>
      <c r="E18975" s="1"/>
      <c r="F18975" s="1"/>
      <c r="G18975" s="1"/>
    </row>
    <row r="18976">
      <c r="B18976" s="36"/>
      <c r="C18976" s="36"/>
      <c r="E18976" s="1"/>
      <c r="F18976" s="1"/>
      <c r="G18976" s="1"/>
    </row>
    <row r="18977">
      <c r="B18977" s="36"/>
      <c r="C18977" s="36"/>
      <c r="E18977" s="1"/>
      <c r="F18977" s="1"/>
      <c r="G18977" s="1"/>
    </row>
    <row r="18978">
      <c r="B18978" s="36"/>
      <c r="C18978" s="36"/>
      <c r="E18978" s="1"/>
      <c r="F18978" s="1"/>
      <c r="G18978" s="1"/>
    </row>
    <row r="18979">
      <c r="B18979" s="36"/>
      <c r="C18979" s="36"/>
      <c r="E18979" s="1"/>
      <c r="F18979" s="1"/>
      <c r="G18979" s="1"/>
    </row>
    <row r="18980">
      <c r="B18980" s="36"/>
      <c r="C18980" s="36"/>
      <c r="E18980" s="1"/>
      <c r="F18980" s="1"/>
      <c r="G18980" s="1"/>
    </row>
    <row r="18981">
      <c r="B18981" s="36"/>
      <c r="C18981" s="36"/>
      <c r="E18981" s="1"/>
      <c r="F18981" s="1"/>
      <c r="G18981" s="1"/>
    </row>
    <row r="18982">
      <c r="B18982" s="36"/>
      <c r="C18982" s="36"/>
      <c r="E18982" s="1"/>
      <c r="F18982" s="1"/>
      <c r="G18982" s="1"/>
    </row>
    <row r="18983">
      <c r="B18983" s="36"/>
      <c r="C18983" s="36"/>
      <c r="E18983" s="1"/>
      <c r="F18983" s="1"/>
      <c r="G18983" s="1"/>
    </row>
    <row r="18984">
      <c r="B18984" s="36"/>
      <c r="C18984" s="36"/>
      <c r="E18984" s="1"/>
      <c r="F18984" s="1"/>
      <c r="G18984" s="1"/>
    </row>
    <row r="18985">
      <c r="B18985" s="36"/>
      <c r="C18985" s="36"/>
      <c r="E18985" s="1"/>
      <c r="F18985" s="1"/>
      <c r="G18985" s="1"/>
    </row>
    <row r="18986">
      <c r="B18986" s="36"/>
      <c r="C18986" s="36"/>
      <c r="E18986" s="1"/>
      <c r="F18986" s="1"/>
      <c r="G18986" s="1"/>
    </row>
    <row r="18987">
      <c r="B18987" s="36"/>
      <c r="C18987" s="36"/>
      <c r="E18987" s="1"/>
      <c r="F18987" s="1"/>
      <c r="G18987" s="1"/>
    </row>
    <row r="18988">
      <c r="B18988" s="36"/>
      <c r="C18988" s="36"/>
      <c r="E18988" s="1"/>
      <c r="F18988" s="1"/>
      <c r="G18988" s="1"/>
    </row>
    <row r="18989">
      <c r="B18989" s="36"/>
      <c r="C18989" s="36"/>
      <c r="E18989" s="1"/>
      <c r="F18989" s="1"/>
      <c r="G18989" s="1"/>
    </row>
    <row r="18990">
      <c r="B18990" s="36"/>
      <c r="C18990" s="36"/>
      <c r="E18990" s="1"/>
      <c r="F18990" s="1"/>
      <c r="G18990" s="1"/>
    </row>
    <row r="18991">
      <c r="B18991" s="36"/>
      <c r="C18991" s="36"/>
      <c r="E18991" s="1"/>
      <c r="F18991" s="1"/>
      <c r="G18991" s="1"/>
    </row>
    <row r="18992">
      <c r="B18992" s="36"/>
      <c r="C18992" s="36"/>
      <c r="E18992" s="1"/>
      <c r="F18992" s="1"/>
      <c r="G18992" s="1"/>
    </row>
    <row r="18993">
      <c r="B18993" s="36"/>
      <c r="C18993" s="36"/>
      <c r="E18993" s="1"/>
      <c r="F18993" s="1"/>
      <c r="G18993" s="1"/>
    </row>
    <row r="18994">
      <c r="B18994" s="36"/>
      <c r="C18994" s="36"/>
      <c r="E18994" s="1"/>
      <c r="F18994" s="1"/>
      <c r="G18994" s="1"/>
    </row>
    <row r="18995">
      <c r="B18995" s="36"/>
      <c r="C18995" s="36"/>
      <c r="E18995" s="1"/>
      <c r="F18995" s="1"/>
      <c r="G18995" s="1"/>
    </row>
    <row r="18996">
      <c r="B18996" s="36"/>
      <c r="C18996" s="36"/>
      <c r="E18996" s="1"/>
      <c r="F18996" s="1"/>
      <c r="G18996" s="1"/>
    </row>
    <row r="18997">
      <c r="B18997" s="36"/>
      <c r="C18997" s="36"/>
      <c r="E18997" s="1"/>
      <c r="F18997" s="1"/>
      <c r="G18997" s="1"/>
    </row>
    <row r="18998">
      <c r="B18998" s="36"/>
      <c r="C18998" s="36"/>
      <c r="E18998" s="1"/>
      <c r="F18998" s="1"/>
      <c r="G18998" s="1"/>
    </row>
    <row r="18999">
      <c r="B18999" s="36"/>
      <c r="C18999" s="36"/>
      <c r="E18999" s="1"/>
      <c r="F18999" s="1"/>
      <c r="G18999" s="1"/>
    </row>
    <row r="19000">
      <c r="B19000" s="36"/>
      <c r="C19000" s="36"/>
      <c r="E19000" s="1"/>
      <c r="F19000" s="1"/>
      <c r="G19000" s="1"/>
    </row>
    <row r="19001">
      <c r="B19001" s="36"/>
      <c r="C19001" s="36"/>
      <c r="E19001" s="1"/>
      <c r="F19001" s="1"/>
      <c r="G19001" s="1"/>
    </row>
    <row r="19002">
      <c r="B19002" s="36"/>
      <c r="C19002" s="36"/>
      <c r="E19002" s="1"/>
      <c r="F19002" s="1"/>
      <c r="G19002" s="1"/>
    </row>
    <row r="19003">
      <c r="B19003" s="36"/>
      <c r="C19003" s="36"/>
      <c r="E19003" s="1"/>
      <c r="F19003" s="1"/>
      <c r="G19003" s="1"/>
    </row>
    <row r="19004">
      <c r="B19004" s="36"/>
      <c r="C19004" s="36"/>
      <c r="E19004" s="1"/>
      <c r="F19004" s="1"/>
      <c r="G19004" s="1"/>
    </row>
    <row r="19005">
      <c r="B19005" s="36"/>
      <c r="C19005" s="36"/>
      <c r="E19005" s="1"/>
      <c r="F19005" s="1"/>
      <c r="G19005" s="1"/>
    </row>
    <row r="19006">
      <c r="B19006" s="36"/>
      <c r="C19006" s="36"/>
      <c r="E19006" s="1"/>
      <c r="F19006" s="1"/>
      <c r="G19006" s="1"/>
    </row>
    <row r="19007">
      <c r="B19007" s="36"/>
      <c r="C19007" s="36"/>
      <c r="E19007" s="1"/>
      <c r="F19007" s="1"/>
      <c r="G19007" s="1"/>
    </row>
    <row r="19008">
      <c r="B19008" s="36"/>
      <c r="C19008" s="36"/>
      <c r="E19008" s="1"/>
      <c r="F19008" s="1"/>
      <c r="G19008" s="1"/>
    </row>
    <row r="19009">
      <c r="B19009" s="36"/>
      <c r="C19009" s="36"/>
      <c r="E19009" s="1"/>
      <c r="F19009" s="1"/>
      <c r="G19009" s="1"/>
    </row>
    <row r="19010">
      <c r="B19010" s="36"/>
      <c r="C19010" s="36"/>
      <c r="E19010" s="1"/>
      <c r="F19010" s="1"/>
      <c r="G19010" s="1"/>
    </row>
    <row r="19011">
      <c r="B19011" s="36"/>
      <c r="C19011" s="36"/>
      <c r="E19011" s="1"/>
      <c r="F19011" s="1"/>
      <c r="G19011" s="1"/>
    </row>
    <row r="19012">
      <c r="B19012" s="36"/>
      <c r="C19012" s="36"/>
      <c r="E19012" s="1"/>
      <c r="F19012" s="1"/>
      <c r="G19012" s="1"/>
    </row>
    <row r="19013">
      <c r="B19013" s="36"/>
      <c r="C19013" s="36"/>
      <c r="E19013" s="1"/>
      <c r="F19013" s="1"/>
      <c r="G19013" s="1"/>
    </row>
    <row r="19014">
      <c r="B19014" s="36"/>
      <c r="C19014" s="36"/>
      <c r="E19014" s="1"/>
      <c r="F19014" s="1"/>
      <c r="G19014" s="1"/>
    </row>
    <row r="19015">
      <c r="B19015" s="36"/>
      <c r="C19015" s="36"/>
      <c r="E19015" s="1"/>
      <c r="F19015" s="1"/>
      <c r="G19015" s="1"/>
    </row>
    <row r="19016">
      <c r="B19016" s="36"/>
      <c r="C19016" s="36"/>
      <c r="E19016" s="1"/>
      <c r="F19016" s="1"/>
      <c r="G19016" s="1"/>
    </row>
    <row r="19017">
      <c r="B19017" s="36"/>
      <c r="C19017" s="36"/>
      <c r="E19017" s="1"/>
      <c r="F19017" s="1"/>
      <c r="G19017" s="1"/>
    </row>
    <row r="19018">
      <c r="B19018" s="36"/>
      <c r="C19018" s="36"/>
      <c r="E19018" s="1"/>
      <c r="F19018" s="1"/>
      <c r="G19018" s="1"/>
    </row>
    <row r="19019">
      <c r="B19019" s="36"/>
      <c r="C19019" s="36"/>
      <c r="E19019" s="1"/>
      <c r="F19019" s="1"/>
      <c r="G19019" s="1"/>
    </row>
    <row r="19020">
      <c r="B19020" s="36"/>
      <c r="C19020" s="36"/>
      <c r="E19020" s="1"/>
      <c r="F19020" s="1"/>
      <c r="G19020" s="1"/>
    </row>
    <row r="19021">
      <c r="B19021" s="36"/>
      <c r="C19021" s="36"/>
      <c r="E19021" s="1"/>
      <c r="F19021" s="1"/>
      <c r="G19021" s="1"/>
    </row>
    <row r="19022">
      <c r="B19022" s="36"/>
      <c r="C19022" s="36"/>
      <c r="E19022" s="1"/>
      <c r="F19022" s="1"/>
      <c r="G19022" s="1"/>
    </row>
    <row r="19023">
      <c r="B19023" s="36"/>
      <c r="C19023" s="36"/>
      <c r="E19023" s="1"/>
      <c r="F19023" s="1"/>
      <c r="G19023" s="1"/>
    </row>
    <row r="19024">
      <c r="B19024" s="36"/>
      <c r="C19024" s="36"/>
      <c r="E19024" s="1"/>
      <c r="F19024" s="1"/>
      <c r="G19024" s="1"/>
    </row>
    <row r="19025">
      <c r="B19025" s="36"/>
      <c r="C19025" s="36"/>
      <c r="E19025" s="1"/>
      <c r="F19025" s="1"/>
      <c r="G19025" s="1"/>
    </row>
    <row r="19026">
      <c r="B19026" s="36"/>
      <c r="C19026" s="36"/>
      <c r="E19026" s="1"/>
      <c r="F19026" s="1"/>
      <c r="G19026" s="1"/>
    </row>
    <row r="19027">
      <c r="B19027" s="36"/>
      <c r="C19027" s="36"/>
      <c r="E19027" s="1"/>
      <c r="F19027" s="1"/>
      <c r="G19027" s="1"/>
    </row>
    <row r="19028">
      <c r="B19028" s="36"/>
      <c r="C19028" s="36"/>
      <c r="E19028" s="1"/>
      <c r="F19028" s="1"/>
      <c r="G19028" s="1"/>
    </row>
    <row r="19029">
      <c r="B19029" s="36"/>
      <c r="C19029" s="36"/>
      <c r="E19029" s="1"/>
      <c r="F19029" s="1"/>
      <c r="G19029" s="1"/>
    </row>
    <row r="19030">
      <c r="B19030" s="36"/>
      <c r="C19030" s="36"/>
      <c r="E19030" s="1"/>
      <c r="F19030" s="1"/>
      <c r="G19030" s="1"/>
    </row>
    <row r="19031">
      <c r="B19031" s="36"/>
      <c r="C19031" s="36"/>
      <c r="E19031" s="1"/>
      <c r="F19031" s="1"/>
      <c r="G19031" s="1"/>
    </row>
    <row r="19032">
      <c r="B19032" s="36"/>
      <c r="C19032" s="36"/>
      <c r="E19032" s="1"/>
      <c r="F19032" s="1"/>
      <c r="G19032" s="1"/>
    </row>
    <row r="19033">
      <c r="B19033" s="36"/>
      <c r="C19033" s="36"/>
      <c r="E19033" s="1"/>
      <c r="F19033" s="1"/>
      <c r="G19033" s="1"/>
    </row>
    <row r="19034">
      <c r="B19034" s="36"/>
      <c r="C19034" s="36"/>
      <c r="E19034" s="1"/>
      <c r="F19034" s="1"/>
      <c r="G19034" s="1"/>
    </row>
    <row r="19035">
      <c r="B19035" s="36"/>
      <c r="C19035" s="36"/>
      <c r="E19035" s="1"/>
      <c r="F19035" s="1"/>
      <c r="G19035" s="1"/>
    </row>
    <row r="19036">
      <c r="B19036" s="36"/>
      <c r="C19036" s="36"/>
      <c r="E19036" s="1"/>
      <c r="F19036" s="1"/>
      <c r="G19036" s="1"/>
    </row>
    <row r="19037">
      <c r="B19037" s="36"/>
      <c r="C19037" s="36"/>
      <c r="E19037" s="1"/>
      <c r="F19037" s="1"/>
      <c r="G19037" s="1"/>
    </row>
    <row r="19038">
      <c r="B19038" s="36"/>
      <c r="C19038" s="36"/>
      <c r="E19038" s="1"/>
      <c r="F19038" s="1"/>
      <c r="G19038" s="1"/>
    </row>
    <row r="19039">
      <c r="B19039" s="36"/>
      <c r="C19039" s="36"/>
      <c r="E19039" s="1"/>
      <c r="F19039" s="1"/>
      <c r="G19039" s="1"/>
    </row>
    <row r="19040">
      <c r="B19040" s="36"/>
      <c r="C19040" s="36"/>
      <c r="E19040" s="1"/>
      <c r="F19040" s="1"/>
      <c r="G19040" s="1"/>
    </row>
    <row r="19041">
      <c r="B19041" s="36"/>
      <c r="C19041" s="36"/>
      <c r="E19041" s="1"/>
      <c r="F19041" s="1"/>
      <c r="G19041" s="1"/>
    </row>
    <row r="19042">
      <c r="B19042" s="36"/>
      <c r="C19042" s="36"/>
      <c r="E19042" s="1"/>
      <c r="F19042" s="1"/>
      <c r="G19042" s="1"/>
    </row>
    <row r="19043">
      <c r="B19043" s="36"/>
      <c r="C19043" s="36"/>
      <c r="E19043" s="1"/>
      <c r="F19043" s="1"/>
      <c r="G19043" s="1"/>
    </row>
    <row r="19044">
      <c r="B19044" s="36"/>
      <c r="C19044" s="36"/>
      <c r="E19044" s="1"/>
      <c r="F19044" s="1"/>
      <c r="G19044" s="1"/>
    </row>
    <row r="19045">
      <c r="B19045" s="36"/>
      <c r="C19045" s="36"/>
      <c r="E19045" s="1"/>
      <c r="F19045" s="1"/>
      <c r="G19045" s="1"/>
    </row>
    <row r="19046">
      <c r="B19046" s="36"/>
      <c r="C19046" s="36"/>
      <c r="E19046" s="1"/>
      <c r="F19046" s="1"/>
      <c r="G19046" s="1"/>
    </row>
    <row r="19047">
      <c r="B19047" s="36"/>
      <c r="C19047" s="36"/>
      <c r="E19047" s="1"/>
      <c r="F19047" s="1"/>
      <c r="G19047" s="1"/>
    </row>
    <row r="19048">
      <c r="B19048" s="36"/>
      <c r="C19048" s="36"/>
      <c r="E19048" s="1"/>
      <c r="F19048" s="1"/>
      <c r="G19048" s="1"/>
    </row>
    <row r="19049">
      <c r="B19049" s="36"/>
      <c r="C19049" s="36"/>
      <c r="E19049" s="1"/>
      <c r="F19049" s="1"/>
      <c r="G19049" s="1"/>
    </row>
    <row r="19050">
      <c r="B19050" s="36"/>
      <c r="C19050" s="36"/>
      <c r="E19050" s="1"/>
      <c r="F19050" s="1"/>
      <c r="G19050" s="1"/>
    </row>
    <row r="19051">
      <c r="B19051" s="36"/>
      <c r="C19051" s="36"/>
      <c r="E19051" s="1"/>
      <c r="F19051" s="1"/>
      <c r="G19051" s="1"/>
    </row>
    <row r="19052">
      <c r="B19052" s="36"/>
      <c r="C19052" s="36"/>
      <c r="E19052" s="1"/>
      <c r="F19052" s="1"/>
      <c r="G19052" s="1"/>
    </row>
    <row r="19053">
      <c r="B19053" s="36"/>
      <c r="C19053" s="36"/>
      <c r="E19053" s="1"/>
      <c r="F19053" s="1"/>
      <c r="G19053" s="1"/>
    </row>
    <row r="19054">
      <c r="B19054" s="36"/>
      <c r="C19054" s="36"/>
      <c r="E19054" s="1"/>
      <c r="F19054" s="1"/>
      <c r="G19054" s="1"/>
    </row>
    <row r="19055">
      <c r="B19055" s="36"/>
      <c r="C19055" s="36"/>
      <c r="E19055" s="1"/>
      <c r="F19055" s="1"/>
      <c r="G19055" s="1"/>
    </row>
    <row r="19056">
      <c r="B19056" s="36"/>
      <c r="C19056" s="36"/>
      <c r="E19056" s="1"/>
      <c r="F19056" s="1"/>
      <c r="G19056" s="1"/>
    </row>
    <row r="19057">
      <c r="B19057" s="36"/>
      <c r="C19057" s="36"/>
      <c r="E19057" s="1"/>
      <c r="F19057" s="1"/>
      <c r="G19057" s="1"/>
    </row>
    <row r="19058">
      <c r="B19058" s="36"/>
      <c r="C19058" s="36"/>
      <c r="E19058" s="1"/>
      <c r="F19058" s="1"/>
      <c r="G19058" s="1"/>
    </row>
    <row r="19059">
      <c r="B19059" s="36"/>
      <c r="C19059" s="36"/>
      <c r="E19059" s="1"/>
      <c r="F19059" s="1"/>
      <c r="G19059" s="1"/>
    </row>
    <row r="19060">
      <c r="B19060" s="36"/>
      <c r="C19060" s="36"/>
      <c r="E19060" s="1"/>
      <c r="F19060" s="1"/>
      <c r="G19060" s="1"/>
    </row>
    <row r="19061">
      <c r="B19061" s="36"/>
      <c r="C19061" s="36"/>
      <c r="E19061" s="1"/>
      <c r="F19061" s="1"/>
      <c r="G19061" s="1"/>
    </row>
    <row r="19062">
      <c r="B19062" s="36"/>
      <c r="C19062" s="36"/>
      <c r="E19062" s="1"/>
      <c r="F19062" s="1"/>
      <c r="G19062" s="1"/>
    </row>
    <row r="19063">
      <c r="B19063" s="36"/>
      <c r="C19063" s="36"/>
      <c r="E19063" s="1"/>
      <c r="F19063" s="1"/>
      <c r="G19063" s="1"/>
    </row>
    <row r="19064">
      <c r="B19064" s="36"/>
      <c r="C19064" s="36"/>
      <c r="E19064" s="1"/>
      <c r="F19064" s="1"/>
      <c r="G19064" s="1"/>
    </row>
    <row r="19065">
      <c r="B19065" s="36"/>
      <c r="C19065" s="36"/>
      <c r="E19065" s="1"/>
      <c r="F19065" s="1"/>
      <c r="G19065" s="1"/>
    </row>
    <row r="19066">
      <c r="B19066" s="36"/>
      <c r="C19066" s="36"/>
      <c r="E19066" s="1"/>
      <c r="F19066" s="1"/>
      <c r="G19066" s="1"/>
    </row>
    <row r="19067">
      <c r="B19067" s="36"/>
      <c r="C19067" s="36"/>
      <c r="E19067" s="1"/>
      <c r="F19067" s="1"/>
      <c r="G19067" s="1"/>
    </row>
    <row r="19068">
      <c r="B19068" s="36"/>
      <c r="C19068" s="36"/>
      <c r="E19068" s="1"/>
      <c r="F19068" s="1"/>
      <c r="G19068" s="1"/>
    </row>
    <row r="19069">
      <c r="B19069" s="36"/>
      <c r="C19069" s="36"/>
      <c r="E19069" s="1"/>
      <c r="F19069" s="1"/>
      <c r="G19069" s="1"/>
    </row>
    <row r="19070">
      <c r="B19070" s="36"/>
      <c r="C19070" s="36"/>
      <c r="E19070" s="1"/>
      <c r="F19070" s="1"/>
      <c r="G19070" s="1"/>
    </row>
    <row r="19071">
      <c r="B19071" s="36"/>
      <c r="C19071" s="36"/>
      <c r="E19071" s="1"/>
      <c r="F19071" s="1"/>
      <c r="G19071" s="1"/>
    </row>
    <row r="19072">
      <c r="B19072" s="36"/>
      <c r="C19072" s="36"/>
      <c r="E19072" s="1"/>
      <c r="F19072" s="1"/>
      <c r="G19072" s="1"/>
    </row>
    <row r="19073">
      <c r="B19073" s="36"/>
      <c r="C19073" s="36"/>
      <c r="E19073" s="1"/>
      <c r="F19073" s="1"/>
      <c r="G19073" s="1"/>
    </row>
    <row r="19074">
      <c r="B19074" s="36"/>
      <c r="C19074" s="36"/>
      <c r="E19074" s="1"/>
      <c r="F19074" s="1"/>
      <c r="G19074" s="1"/>
    </row>
    <row r="19075">
      <c r="B19075" s="36"/>
      <c r="C19075" s="36"/>
      <c r="E19075" s="1"/>
      <c r="F19075" s="1"/>
      <c r="G19075" s="1"/>
    </row>
    <row r="19076">
      <c r="B19076" s="36"/>
      <c r="C19076" s="36"/>
      <c r="E19076" s="1"/>
      <c r="F19076" s="1"/>
      <c r="G19076" s="1"/>
    </row>
    <row r="19077">
      <c r="B19077" s="36"/>
      <c r="C19077" s="36"/>
      <c r="E19077" s="1"/>
      <c r="F19077" s="1"/>
      <c r="G19077" s="1"/>
    </row>
    <row r="19078">
      <c r="B19078" s="36"/>
      <c r="C19078" s="36"/>
      <c r="E19078" s="1"/>
      <c r="F19078" s="1"/>
      <c r="G19078" s="1"/>
    </row>
    <row r="19079">
      <c r="B19079" s="36"/>
      <c r="C19079" s="36"/>
      <c r="E19079" s="1"/>
      <c r="F19079" s="1"/>
      <c r="G19079" s="1"/>
    </row>
    <row r="19080">
      <c r="B19080" s="36"/>
      <c r="C19080" s="36"/>
      <c r="E19080" s="1"/>
      <c r="F19080" s="1"/>
      <c r="G19080" s="1"/>
    </row>
    <row r="19081">
      <c r="B19081" s="36"/>
      <c r="C19081" s="36"/>
      <c r="E19081" s="1"/>
      <c r="F19081" s="1"/>
      <c r="G19081" s="1"/>
    </row>
    <row r="19082">
      <c r="B19082" s="36"/>
      <c r="C19082" s="36"/>
      <c r="E19082" s="1"/>
      <c r="F19082" s="1"/>
      <c r="G19082" s="1"/>
    </row>
    <row r="19083">
      <c r="B19083" s="36"/>
      <c r="C19083" s="36"/>
      <c r="E19083" s="1"/>
      <c r="F19083" s="1"/>
      <c r="G19083" s="1"/>
    </row>
    <row r="19084">
      <c r="B19084" s="36"/>
      <c r="C19084" s="36"/>
      <c r="E19084" s="1"/>
      <c r="F19084" s="1"/>
      <c r="G19084" s="1"/>
    </row>
    <row r="19085">
      <c r="B19085" s="36"/>
      <c r="C19085" s="36"/>
      <c r="E19085" s="1"/>
      <c r="F19085" s="1"/>
      <c r="G19085" s="1"/>
    </row>
    <row r="19086">
      <c r="B19086" s="36"/>
      <c r="C19086" s="36"/>
      <c r="E19086" s="1"/>
      <c r="F19086" s="1"/>
      <c r="G19086" s="1"/>
    </row>
    <row r="19087">
      <c r="B19087" s="36"/>
      <c r="C19087" s="36"/>
      <c r="E19087" s="1"/>
      <c r="F19087" s="1"/>
      <c r="G19087" s="1"/>
    </row>
    <row r="19088">
      <c r="B19088" s="36"/>
      <c r="C19088" s="36"/>
      <c r="E19088" s="1"/>
      <c r="F19088" s="1"/>
      <c r="G19088" s="1"/>
    </row>
    <row r="19089">
      <c r="B19089" s="36"/>
      <c r="C19089" s="36"/>
      <c r="E19089" s="1"/>
      <c r="F19089" s="1"/>
      <c r="G19089" s="1"/>
    </row>
    <row r="19090">
      <c r="B19090" s="36"/>
      <c r="C19090" s="36"/>
      <c r="E19090" s="1"/>
      <c r="F19090" s="1"/>
      <c r="G19090" s="1"/>
    </row>
    <row r="19091">
      <c r="B19091" s="36"/>
      <c r="C19091" s="36"/>
      <c r="E19091" s="1"/>
      <c r="F19091" s="1"/>
      <c r="G19091" s="1"/>
    </row>
    <row r="19092">
      <c r="B19092" s="36"/>
      <c r="C19092" s="36"/>
      <c r="E19092" s="1"/>
      <c r="F19092" s="1"/>
      <c r="G19092" s="1"/>
    </row>
    <row r="19093">
      <c r="B19093" s="36"/>
      <c r="C19093" s="36"/>
      <c r="E19093" s="1"/>
      <c r="F19093" s="1"/>
      <c r="G19093" s="1"/>
    </row>
    <row r="19094">
      <c r="B19094" s="36"/>
      <c r="C19094" s="36"/>
      <c r="E19094" s="1"/>
      <c r="F19094" s="1"/>
      <c r="G19094" s="1"/>
    </row>
    <row r="19095">
      <c r="B19095" s="36"/>
      <c r="C19095" s="36"/>
      <c r="E19095" s="1"/>
      <c r="F19095" s="1"/>
      <c r="G19095" s="1"/>
    </row>
    <row r="19096">
      <c r="B19096" s="36"/>
      <c r="C19096" s="36"/>
      <c r="E19096" s="1"/>
      <c r="F19096" s="1"/>
      <c r="G19096" s="1"/>
    </row>
    <row r="19097">
      <c r="B19097" s="36"/>
      <c r="C19097" s="36"/>
      <c r="E19097" s="1"/>
      <c r="F19097" s="1"/>
      <c r="G19097" s="1"/>
    </row>
    <row r="19098">
      <c r="B19098" s="36"/>
      <c r="C19098" s="36"/>
      <c r="E19098" s="1"/>
      <c r="F19098" s="1"/>
      <c r="G19098" s="1"/>
    </row>
    <row r="19099">
      <c r="B19099" s="36"/>
      <c r="C19099" s="36"/>
      <c r="E19099" s="1"/>
      <c r="F19099" s="1"/>
      <c r="G19099" s="1"/>
    </row>
    <row r="19100">
      <c r="B19100" s="36"/>
      <c r="C19100" s="36"/>
      <c r="E19100" s="1"/>
      <c r="F19100" s="1"/>
      <c r="G19100" s="1"/>
    </row>
    <row r="19101">
      <c r="B19101" s="36"/>
      <c r="C19101" s="36"/>
      <c r="E19101" s="1"/>
      <c r="F19101" s="1"/>
      <c r="G19101" s="1"/>
    </row>
    <row r="19102">
      <c r="B19102" s="36"/>
      <c r="C19102" s="36"/>
      <c r="E19102" s="1"/>
      <c r="F19102" s="1"/>
      <c r="G19102" s="1"/>
    </row>
    <row r="19103">
      <c r="B19103" s="36"/>
      <c r="C19103" s="36"/>
      <c r="E19103" s="1"/>
      <c r="F19103" s="1"/>
      <c r="G19103" s="1"/>
    </row>
    <row r="19104">
      <c r="B19104" s="36"/>
      <c r="C19104" s="36"/>
      <c r="E19104" s="1"/>
      <c r="F19104" s="1"/>
      <c r="G19104" s="1"/>
    </row>
    <row r="19105">
      <c r="B19105" s="36"/>
      <c r="C19105" s="36"/>
      <c r="E19105" s="1"/>
      <c r="F19105" s="1"/>
      <c r="G19105" s="1"/>
    </row>
    <row r="19106">
      <c r="B19106" s="36"/>
      <c r="C19106" s="36"/>
      <c r="E19106" s="1"/>
      <c r="F19106" s="1"/>
      <c r="G19106" s="1"/>
    </row>
    <row r="19107">
      <c r="B19107" s="36"/>
      <c r="C19107" s="36"/>
      <c r="E19107" s="1"/>
      <c r="F19107" s="1"/>
      <c r="G19107" s="1"/>
    </row>
    <row r="19108">
      <c r="B19108" s="36"/>
      <c r="C19108" s="36"/>
      <c r="E19108" s="1"/>
      <c r="F19108" s="1"/>
      <c r="G19108" s="1"/>
    </row>
    <row r="19109">
      <c r="B19109" s="36"/>
      <c r="C19109" s="36"/>
      <c r="E19109" s="1"/>
      <c r="F19109" s="1"/>
      <c r="G19109" s="1"/>
    </row>
    <row r="19110">
      <c r="B19110" s="36"/>
      <c r="C19110" s="36"/>
      <c r="E19110" s="1"/>
      <c r="F19110" s="1"/>
      <c r="G19110" s="1"/>
    </row>
    <row r="19111">
      <c r="B19111" s="36"/>
      <c r="C19111" s="36"/>
      <c r="E19111" s="1"/>
      <c r="F19111" s="1"/>
      <c r="G19111" s="1"/>
    </row>
    <row r="19112">
      <c r="B19112" s="36"/>
      <c r="C19112" s="36"/>
      <c r="E19112" s="1"/>
      <c r="F19112" s="1"/>
      <c r="G19112" s="1"/>
    </row>
    <row r="19113">
      <c r="B19113" s="36"/>
      <c r="C19113" s="36"/>
      <c r="E19113" s="1"/>
      <c r="F19113" s="1"/>
      <c r="G19113" s="1"/>
    </row>
    <row r="19114">
      <c r="B19114" s="36"/>
      <c r="C19114" s="36"/>
      <c r="E19114" s="1"/>
      <c r="F19114" s="1"/>
      <c r="G19114" s="1"/>
    </row>
    <row r="19115">
      <c r="B19115" s="36"/>
      <c r="C19115" s="36"/>
      <c r="E19115" s="1"/>
      <c r="F19115" s="1"/>
      <c r="G19115" s="1"/>
    </row>
    <row r="19116">
      <c r="B19116" s="36"/>
      <c r="C19116" s="36"/>
      <c r="E19116" s="1"/>
      <c r="F19116" s="1"/>
      <c r="G19116" s="1"/>
    </row>
    <row r="19117">
      <c r="B19117" s="36"/>
      <c r="C19117" s="36"/>
      <c r="E19117" s="1"/>
      <c r="F19117" s="1"/>
      <c r="G19117" s="1"/>
    </row>
    <row r="19118">
      <c r="B19118" s="36"/>
      <c r="C19118" s="36"/>
      <c r="E19118" s="1"/>
      <c r="F19118" s="1"/>
      <c r="G19118" s="1"/>
    </row>
    <row r="19119">
      <c r="B19119" s="36"/>
      <c r="C19119" s="36"/>
      <c r="E19119" s="1"/>
      <c r="F19119" s="1"/>
      <c r="G19119" s="1"/>
    </row>
    <row r="19120">
      <c r="B19120" s="36"/>
      <c r="C19120" s="36"/>
      <c r="E19120" s="1"/>
      <c r="F19120" s="1"/>
      <c r="G19120" s="1"/>
    </row>
    <row r="19121">
      <c r="B19121" s="36"/>
      <c r="C19121" s="36"/>
      <c r="E19121" s="1"/>
      <c r="F19121" s="1"/>
      <c r="G19121" s="1"/>
    </row>
    <row r="19122">
      <c r="B19122" s="36"/>
      <c r="C19122" s="36"/>
      <c r="E19122" s="1"/>
      <c r="F19122" s="1"/>
      <c r="G19122" s="1"/>
    </row>
    <row r="19123">
      <c r="B19123" s="36"/>
      <c r="C19123" s="36"/>
      <c r="E19123" s="1"/>
      <c r="F19123" s="1"/>
      <c r="G19123" s="1"/>
    </row>
    <row r="19124">
      <c r="B19124" s="36"/>
      <c r="C19124" s="36"/>
      <c r="E19124" s="1"/>
      <c r="F19124" s="1"/>
      <c r="G19124" s="1"/>
    </row>
    <row r="19125">
      <c r="B19125" s="36"/>
      <c r="C19125" s="36"/>
      <c r="E19125" s="1"/>
      <c r="F19125" s="1"/>
      <c r="G19125" s="1"/>
    </row>
    <row r="19126">
      <c r="B19126" s="36"/>
      <c r="C19126" s="36"/>
      <c r="E19126" s="1"/>
      <c r="F19126" s="1"/>
      <c r="G19126" s="1"/>
    </row>
    <row r="19127">
      <c r="B19127" s="36"/>
      <c r="C19127" s="36"/>
      <c r="E19127" s="1"/>
      <c r="F19127" s="1"/>
      <c r="G19127" s="1"/>
    </row>
    <row r="19128">
      <c r="B19128" s="36"/>
      <c r="C19128" s="36"/>
      <c r="E19128" s="1"/>
      <c r="F19128" s="1"/>
      <c r="G19128" s="1"/>
    </row>
    <row r="19129">
      <c r="B19129" s="36"/>
      <c r="C19129" s="36"/>
      <c r="E19129" s="1"/>
      <c r="F19129" s="1"/>
      <c r="G19129" s="1"/>
    </row>
    <row r="19130">
      <c r="B19130" s="36"/>
      <c r="C19130" s="36"/>
      <c r="E19130" s="1"/>
      <c r="F19130" s="1"/>
      <c r="G19130" s="1"/>
    </row>
    <row r="19131">
      <c r="B19131" s="36"/>
      <c r="C19131" s="36"/>
      <c r="E19131" s="1"/>
      <c r="F19131" s="1"/>
      <c r="G19131" s="1"/>
    </row>
    <row r="19132">
      <c r="B19132" s="36"/>
      <c r="C19132" s="36"/>
      <c r="E19132" s="1"/>
      <c r="F19132" s="1"/>
      <c r="G19132" s="1"/>
    </row>
    <row r="19133">
      <c r="B19133" s="36"/>
      <c r="C19133" s="36"/>
      <c r="E19133" s="1"/>
      <c r="F19133" s="1"/>
      <c r="G19133" s="1"/>
    </row>
    <row r="19134">
      <c r="B19134" s="36"/>
      <c r="C19134" s="36"/>
      <c r="E19134" s="1"/>
      <c r="F19134" s="1"/>
      <c r="G19134" s="1"/>
    </row>
    <row r="19135">
      <c r="B19135" s="36"/>
      <c r="C19135" s="36"/>
      <c r="E19135" s="1"/>
      <c r="F19135" s="1"/>
      <c r="G19135" s="1"/>
    </row>
    <row r="19136">
      <c r="B19136" s="36"/>
      <c r="C19136" s="36"/>
      <c r="E19136" s="1"/>
      <c r="F19136" s="1"/>
      <c r="G19136" s="1"/>
    </row>
    <row r="19137">
      <c r="B19137" s="36"/>
      <c r="C19137" s="36"/>
      <c r="E19137" s="1"/>
      <c r="F19137" s="1"/>
      <c r="G19137" s="1"/>
    </row>
    <row r="19138">
      <c r="B19138" s="36"/>
      <c r="C19138" s="36"/>
      <c r="E19138" s="1"/>
      <c r="F19138" s="1"/>
      <c r="G19138" s="1"/>
    </row>
    <row r="19139">
      <c r="B19139" s="36"/>
      <c r="C19139" s="36"/>
      <c r="E19139" s="1"/>
      <c r="F19139" s="1"/>
      <c r="G19139" s="1"/>
    </row>
    <row r="19140">
      <c r="B19140" s="36"/>
      <c r="C19140" s="36"/>
      <c r="E19140" s="1"/>
      <c r="F19140" s="1"/>
      <c r="G19140" s="1"/>
    </row>
    <row r="19141">
      <c r="B19141" s="36"/>
      <c r="C19141" s="36"/>
      <c r="E19141" s="1"/>
      <c r="F19141" s="1"/>
      <c r="G19141" s="1"/>
    </row>
    <row r="19142">
      <c r="B19142" s="36"/>
      <c r="C19142" s="36"/>
      <c r="E19142" s="1"/>
      <c r="F19142" s="1"/>
      <c r="G19142" s="1"/>
    </row>
    <row r="19143">
      <c r="B19143" s="36"/>
      <c r="C19143" s="36"/>
      <c r="E19143" s="1"/>
      <c r="F19143" s="1"/>
      <c r="G19143" s="1"/>
    </row>
    <row r="19144">
      <c r="B19144" s="36"/>
      <c r="C19144" s="36"/>
      <c r="E19144" s="1"/>
      <c r="F19144" s="1"/>
      <c r="G19144" s="1"/>
    </row>
    <row r="19145">
      <c r="B19145" s="36"/>
      <c r="C19145" s="36"/>
      <c r="E19145" s="1"/>
      <c r="F19145" s="1"/>
      <c r="G19145" s="1"/>
    </row>
    <row r="19146">
      <c r="B19146" s="36"/>
      <c r="C19146" s="36"/>
      <c r="E19146" s="1"/>
      <c r="F19146" s="1"/>
      <c r="G19146" s="1"/>
    </row>
    <row r="19147">
      <c r="B19147" s="36"/>
      <c r="C19147" s="36"/>
      <c r="E19147" s="1"/>
      <c r="F19147" s="1"/>
      <c r="G19147" s="1"/>
    </row>
    <row r="19148">
      <c r="B19148" s="36"/>
      <c r="C19148" s="36"/>
      <c r="E19148" s="1"/>
      <c r="F19148" s="1"/>
      <c r="G19148" s="1"/>
    </row>
    <row r="19149">
      <c r="B19149" s="36"/>
      <c r="C19149" s="36"/>
      <c r="E19149" s="1"/>
      <c r="F19149" s="1"/>
      <c r="G19149" s="1"/>
    </row>
    <row r="19150">
      <c r="B19150" s="36"/>
      <c r="C19150" s="36"/>
      <c r="E19150" s="1"/>
      <c r="F19150" s="1"/>
      <c r="G19150" s="1"/>
    </row>
    <row r="19151">
      <c r="B19151" s="36"/>
      <c r="C19151" s="36"/>
      <c r="E19151" s="1"/>
      <c r="F19151" s="1"/>
      <c r="G19151" s="1"/>
    </row>
    <row r="19152">
      <c r="B19152" s="36"/>
      <c r="C19152" s="36"/>
      <c r="E19152" s="1"/>
      <c r="F19152" s="1"/>
      <c r="G19152" s="1"/>
    </row>
    <row r="19153">
      <c r="B19153" s="36"/>
      <c r="C19153" s="36"/>
      <c r="E19153" s="1"/>
      <c r="F19153" s="1"/>
      <c r="G19153" s="1"/>
    </row>
    <row r="19154">
      <c r="B19154" s="36"/>
      <c r="C19154" s="36"/>
      <c r="E19154" s="1"/>
      <c r="F19154" s="1"/>
      <c r="G19154" s="1"/>
    </row>
    <row r="19155">
      <c r="B19155" s="36"/>
      <c r="C19155" s="36"/>
      <c r="E19155" s="1"/>
      <c r="F19155" s="1"/>
      <c r="G19155" s="1"/>
    </row>
    <row r="19156">
      <c r="B19156" s="36"/>
      <c r="C19156" s="36"/>
      <c r="E19156" s="1"/>
      <c r="F19156" s="1"/>
      <c r="G19156" s="1"/>
    </row>
    <row r="19157">
      <c r="B19157" s="36"/>
      <c r="C19157" s="36"/>
      <c r="E19157" s="1"/>
      <c r="F19157" s="1"/>
      <c r="G19157" s="1"/>
    </row>
    <row r="19158">
      <c r="B19158" s="36"/>
      <c r="C19158" s="36"/>
      <c r="E19158" s="1"/>
      <c r="F19158" s="1"/>
      <c r="G19158" s="1"/>
    </row>
    <row r="19159">
      <c r="B19159" s="36"/>
      <c r="C19159" s="36"/>
      <c r="E19159" s="1"/>
      <c r="F19159" s="1"/>
      <c r="G19159" s="1"/>
    </row>
    <row r="19160">
      <c r="B19160" s="36"/>
      <c r="C19160" s="36"/>
      <c r="E19160" s="1"/>
      <c r="F19160" s="1"/>
      <c r="G19160" s="1"/>
    </row>
    <row r="19161">
      <c r="B19161" s="36"/>
      <c r="C19161" s="36"/>
      <c r="E19161" s="1"/>
      <c r="F19161" s="1"/>
      <c r="G19161" s="1"/>
    </row>
    <row r="19162">
      <c r="B19162" s="36"/>
      <c r="C19162" s="36"/>
      <c r="E19162" s="1"/>
      <c r="F19162" s="1"/>
      <c r="G19162" s="1"/>
    </row>
    <row r="19163">
      <c r="B19163" s="36"/>
      <c r="C19163" s="36"/>
      <c r="E19163" s="1"/>
      <c r="F19163" s="1"/>
      <c r="G19163" s="1"/>
    </row>
    <row r="19164">
      <c r="B19164" s="36"/>
      <c r="C19164" s="36"/>
      <c r="E19164" s="1"/>
      <c r="F19164" s="1"/>
      <c r="G19164" s="1"/>
    </row>
    <row r="19165">
      <c r="B19165" s="36"/>
      <c r="C19165" s="36"/>
      <c r="E19165" s="1"/>
      <c r="F19165" s="1"/>
      <c r="G19165" s="1"/>
    </row>
    <row r="19166">
      <c r="B19166" s="36"/>
      <c r="C19166" s="36"/>
      <c r="E19166" s="1"/>
      <c r="F19166" s="1"/>
      <c r="G19166" s="1"/>
    </row>
    <row r="19167">
      <c r="B19167" s="36"/>
      <c r="C19167" s="36"/>
      <c r="E19167" s="1"/>
      <c r="F19167" s="1"/>
      <c r="G19167" s="1"/>
    </row>
    <row r="19168">
      <c r="B19168" s="36"/>
      <c r="C19168" s="36"/>
      <c r="E19168" s="1"/>
      <c r="F19168" s="1"/>
      <c r="G19168" s="1"/>
    </row>
    <row r="19169">
      <c r="B19169" s="36"/>
      <c r="C19169" s="36"/>
      <c r="E19169" s="1"/>
      <c r="F19169" s="1"/>
      <c r="G19169" s="1"/>
    </row>
    <row r="19170">
      <c r="B19170" s="36"/>
      <c r="C19170" s="36"/>
      <c r="E19170" s="1"/>
      <c r="F19170" s="1"/>
      <c r="G19170" s="1"/>
    </row>
    <row r="19171">
      <c r="B19171" s="36"/>
      <c r="C19171" s="36"/>
      <c r="E19171" s="1"/>
      <c r="F19171" s="1"/>
      <c r="G19171" s="1"/>
    </row>
    <row r="19172">
      <c r="B19172" s="36"/>
      <c r="C19172" s="36"/>
      <c r="E19172" s="1"/>
      <c r="F19172" s="1"/>
      <c r="G19172" s="1"/>
    </row>
    <row r="19173">
      <c r="B19173" s="36"/>
      <c r="C19173" s="36"/>
      <c r="E19173" s="1"/>
      <c r="F19173" s="1"/>
      <c r="G19173" s="1"/>
    </row>
    <row r="19174">
      <c r="B19174" s="36"/>
      <c r="C19174" s="36"/>
      <c r="E19174" s="1"/>
      <c r="F19174" s="1"/>
      <c r="G19174" s="1"/>
    </row>
    <row r="19175">
      <c r="B19175" s="36"/>
      <c r="C19175" s="36"/>
      <c r="E19175" s="1"/>
      <c r="F19175" s="1"/>
      <c r="G19175" s="1"/>
    </row>
    <row r="19176">
      <c r="B19176" s="36"/>
      <c r="C19176" s="36"/>
      <c r="E19176" s="1"/>
      <c r="F19176" s="1"/>
      <c r="G19176" s="1"/>
    </row>
    <row r="19177">
      <c r="B19177" s="36"/>
      <c r="C19177" s="36"/>
      <c r="E19177" s="1"/>
      <c r="F19177" s="1"/>
      <c r="G19177" s="1"/>
    </row>
    <row r="19178">
      <c r="B19178" s="36"/>
      <c r="C19178" s="36"/>
      <c r="E19178" s="1"/>
      <c r="F19178" s="1"/>
      <c r="G19178" s="1"/>
    </row>
    <row r="19179">
      <c r="B19179" s="36"/>
      <c r="C19179" s="36"/>
      <c r="E19179" s="1"/>
      <c r="F19179" s="1"/>
      <c r="G19179" s="1"/>
    </row>
    <row r="19180">
      <c r="B19180" s="36"/>
      <c r="C19180" s="36"/>
      <c r="E19180" s="1"/>
      <c r="F19180" s="1"/>
      <c r="G19180" s="1"/>
    </row>
    <row r="19181">
      <c r="B19181" s="36"/>
      <c r="C19181" s="36"/>
      <c r="E19181" s="1"/>
      <c r="F19181" s="1"/>
      <c r="G19181" s="1"/>
    </row>
    <row r="19182">
      <c r="B19182" s="36"/>
      <c r="C19182" s="36"/>
      <c r="E19182" s="1"/>
      <c r="F19182" s="1"/>
      <c r="G19182" s="1"/>
    </row>
    <row r="19183">
      <c r="B19183" s="36"/>
      <c r="C19183" s="36"/>
      <c r="E19183" s="1"/>
      <c r="F19183" s="1"/>
      <c r="G19183" s="1"/>
    </row>
    <row r="19184">
      <c r="B19184" s="36"/>
      <c r="C19184" s="36"/>
      <c r="E19184" s="1"/>
      <c r="F19184" s="1"/>
      <c r="G19184" s="1"/>
    </row>
    <row r="19185">
      <c r="B19185" s="36"/>
      <c r="C19185" s="36"/>
      <c r="E19185" s="1"/>
      <c r="F19185" s="1"/>
      <c r="G19185" s="1"/>
    </row>
    <row r="19186">
      <c r="B19186" s="36"/>
      <c r="C19186" s="36"/>
      <c r="E19186" s="1"/>
      <c r="F19186" s="1"/>
      <c r="G19186" s="1"/>
    </row>
    <row r="19187">
      <c r="B19187" s="36"/>
      <c r="C19187" s="36"/>
      <c r="E19187" s="1"/>
      <c r="F19187" s="1"/>
      <c r="G19187" s="1"/>
    </row>
    <row r="19188">
      <c r="B19188" s="36"/>
      <c r="C19188" s="36"/>
      <c r="E19188" s="1"/>
      <c r="F19188" s="1"/>
      <c r="G19188" s="1"/>
    </row>
    <row r="19189">
      <c r="B19189" s="36"/>
      <c r="C19189" s="36"/>
      <c r="E19189" s="1"/>
      <c r="F19189" s="1"/>
      <c r="G19189" s="1"/>
    </row>
    <row r="19190">
      <c r="B19190" s="36"/>
      <c r="C19190" s="36"/>
      <c r="E19190" s="1"/>
      <c r="F19190" s="1"/>
      <c r="G19190" s="1"/>
    </row>
    <row r="19191">
      <c r="B19191" s="36"/>
      <c r="C19191" s="36"/>
      <c r="E19191" s="1"/>
      <c r="F19191" s="1"/>
      <c r="G19191" s="1"/>
    </row>
    <row r="19192">
      <c r="B19192" s="36"/>
      <c r="C19192" s="36"/>
      <c r="E19192" s="1"/>
      <c r="F19192" s="1"/>
      <c r="G19192" s="1"/>
    </row>
    <row r="19193">
      <c r="B19193" s="36"/>
      <c r="C19193" s="36"/>
      <c r="E19193" s="1"/>
      <c r="F19193" s="1"/>
      <c r="G19193" s="1"/>
    </row>
    <row r="19194">
      <c r="B19194" s="36"/>
      <c r="C19194" s="36"/>
      <c r="E19194" s="1"/>
      <c r="F19194" s="1"/>
      <c r="G19194" s="1"/>
    </row>
    <row r="19195">
      <c r="B19195" s="36"/>
      <c r="C19195" s="36"/>
      <c r="E19195" s="1"/>
      <c r="F19195" s="1"/>
      <c r="G19195" s="1"/>
    </row>
    <row r="19196">
      <c r="B19196" s="36"/>
      <c r="C19196" s="36"/>
      <c r="E19196" s="1"/>
      <c r="F19196" s="1"/>
      <c r="G19196" s="1"/>
    </row>
    <row r="19197">
      <c r="B19197" s="36"/>
      <c r="C19197" s="36"/>
      <c r="E19197" s="1"/>
      <c r="F19197" s="1"/>
      <c r="G19197" s="1"/>
    </row>
    <row r="19198">
      <c r="B19198" s="36"/>
      <c r="C19198" s="36"/>
      <c r="E19198" s="1"/>
      <c r="F19198" s="1"/>
      <c r="G19198" s="1"/>
    </row>
    <row r="19199">
      <c r="B19199" s="36"/>
      <c r="C19199" s="36"/>
      <c r="E19199" s="1"/>
      <c r="F19199" s="1"/>
      <c r="G19199" s="1"/>
    </row>
    <row r="19200">
      <c r="B19200" s="36"/>
      <c r="C19200" s="36"/>
      <c r="E19200" s="1"/>
      <c r="F19200" s="1"/>
      <c r="G19200" s="1"/>
    </row>
    <row r="19201">
      <c r="B19201" s="36"/>
      <c r="C19201" s="36"/>
      <c r="E19201" s="1"/>
      <c r="F19201" s="1"/>
      <c r="G19201" s="1"/>
    </row>
    <row r="19202">
      <c r="B19202" s="36"/>
      <c r="C19202" s="36"/>
      <c r="E19202" s="1"/>
      <c r="F19202" s="1"/>
      <c r="G19202" s="1"/>
    </row>
    <row r="19203">
      <c r="B19203" s="36"/>
      <c r="C19203" s="36"/>
      <c r="E19203" s="1"/>
      <c r="F19203" s="1"/>
      <c r="G19203" s="1"/>
    </row>
    <row r="19204">
      <c r="B19204" s="36"/>
      <c r="C19204" s="36"/>
      <c r="E19204" s="1"/>
      <c r="F19204" s="1"/>
      <c r="G19204" s="1"/>
    </row>
    <row r="19205">
      <c r="B19205" s="36"/>
      <c r="C19205" s="36"/>
      <c r="E19205" s="1"/>
      <c r="F19205" s="1"/>
      <c r="G19205" s="1"/>
    </row>
    <row r="19206">
      <c r="B19206" s="36"/>
      <c r="C19206" s="36"/>
      <c r="E19206" s="1"/>
      <c r="F19206" s="1"/>
      <c r="G19206" s="1"/>
    </row>
    <row r="19207">
      <c r="B19207" s="36"/>
      <c r="C19207" s="36"/>
      <c r="E19207" s="1"/>
      <c r="F19207" s="1"/>
      <c r="G19207" s="1"/>
    </row>
    <row r="19208">
      <c r="B19208" s="36"/>
      <c r="C19208" s="36"/>
      <c r="E19208" s="1"/>
      <c r="F19208" s="1"/>
      <c r="G19208" s="1"/>
    </row>
    <row r="19209">
      <c r="B19209" s="36"/>
      <c r="C19209" s="36"/>
      <c r="E19209" s="1"/>
      <c r="F19209" s="1"/>
      <c r="G19209" s="1"/>
    </row>
    <row r="19210">
      <c r="B19210" s="36"/>
      <c r="C19210" s="36"/>
      <c r="E19210" s="1"/>
      <c r="F19210" s="1"/>
      <c r="G19210" s="1"/>
    </row>
    <row r="19211">
      <c r="B19211" s="36"/>
      <c r="C19211" s="36"/>
      <c r="E19211" s="1"/>
      <c r="F19211" s="1"/>
      <c r="G19211" s="1"/>
    </row>
    <row r="19212">
      <c r="B19212" s="36"/>
      <c r="C19212" s="36"/>
      <c r="E19212" s="1"/>
      <c r="F19212" s="1"/>
      <c r="G19212" s="1"/>
    </row>
    <row r="19213">
      <c r="B19213" s="36"/>
      <c r="C19213" s="36"/>
      <c r="E19213" s="1"/>
      <c r="F19213" s="1"/>
      <c r="G19213" s="1"/>
    </row>
    <row r="19214">
      <c r="B19214" s="36"/>
      <c r="C19214" s="36"/>
      <c r="E19214" s="1"/>
      <c r="F19214" s="1"/>
      <c r="G19214" s="1"/>
    </row>
    <row r="19215">
      <c r="B19215" s="36"/>
      <c r="C19215" s="36"/>
      <c r="E19215" s="1"/>
      <c r="F19215" s="1"/>
      <c r="G19215" s="1"/>
    </row>
    <row r="19216">
      <c r="B19216" s="36"/>
      <c r="C19216" s="36"/>
      <c r="E19216" s="1"/>
      <c r="F19216" s="1"/>
      <c r="G19216" s="1"/>
    </row>
    <row r="19217">
      <c r="B19217" s="36"/>
      <c r="C19217" s="36"/>
      <c r="E19217" s="1"/>
      <c r="F19217" s="1"/>
      <c r="G19217" s="1"/>
    </row>
    <row r="19218">
      <c r="B19218" s="36"/>
      <c r="C19218" s="36"/>
      <c r="E19218" s="1"/>
      <c r="F19218" s="1"/>
      <c r="G19218" s="1"/>
    </row>
    <row r="19219">
      <c r="B19219" s="36"/>
      <c r="C19219" s="36"/>
      <c r="E19219" s="1"/>
      <c r="F19219" s="1"/>
      <c r="G19219" s="1"/>
    </row>
    <row r="19220">
      <c r="B19220" s="36"/>
      <c r="C19220" s="36"/>
      <c r="E19220" s="1"/>
      <c r="F19220" s="1"/>
      <c r="G19220" s="1"/>
    </row>
    <row r="19221">
      <c r="B19221" s="36"/>
      <c r="C19221" s="36"/>
      <c r="E19221" s="1"/>
      <c r="F19221" s="1"/>
      <c r="G19221" s="1"/>
    </row>
    <row r="19222">
      <c r="B19222" s="36"/>
      <c r="C19222" s="36"/>
      <c r="E19222" s="1"/>
      <c r="F19222" s="1"/>
      <c r="G19222" s="1"/>
    </row>
    <row r="19223">
      <c r="B19223" s="36"/>
      <c r="C19223" s="36"/>
      <c r="E19223" s="1"/>
      <c r="F19223" s="1"/>
      <c r="G19223" s="1"/>
    </row>
    <row r="19224">
      <c r="B19224" s="36"/>
      <c r="C19224" s="36"/>
      <c r="E19224" s="1"/>
      <c r="F19224" s="1"/>
      <c r="G19224" s="1"/>
    </row>
    <row r="19225">
      <c r="B19225" s="36"/>
      <c r="C19225" s="36"/>
      <c r="E19225" s="1"/>
      <c r="F19225" s="1"/>
      <c r="G19225" s="1"/>
    </row>
    <row r="19226">
      <c r="B19226" s="36"/>
      <c r="C19226" s="36"/>
      <c r="E19226" s="1"/>
      <c r="F19226" s="1"/>
      <c r="G19226" s="1"/>
    </row>
    <row r="19227">
      <c r="B19227" s="36"/>
      <c r="C19227" s="36"/>
      <c r="E19227" s="1"/>
      <c r="F19227" s="1"/>
      <c r="G19227" s="1"/>
    </row>
    <row r="19228">
      <c r="B19228" s="36"/>
      <c r="C19228" s="36"/>
      <c r="E19228" s="1"/>
      <c r="F19228" s="1"/>
      <c r="G19228" s="1"/>
    </row>
    <row r="19229">
      <c r="B19229" s="36"/>
      <c r="C19229" s="36"/>
      <c r="E19229" s="1"/>
      <c r="F19229" s="1"/>
      <c r="G19229" s="1"/>
    </row>
    <row r="19230">
      <c r="B19230" s="36"/>
      <c r="C19230" s="36"/>
      <c r="E19230" s="1"/>
      <c r="F19230" s="1"/>
      <c r="G19230" s="1"/>
    </row>
    <row r="19231">
      <c r="B19231" s="36"/>
      <c r="C19231" s="36"/>
      <c r="E19231" s="1"/>
      <c r="F19231" s="1"/>
      <c r="G19231" s="1"/>
    </row>
    <row r="19232">
      <c r="B19232" s="36"/>
      <c r="C19232" s="36"/>
      <c r="E19232" s="1"/>
      <c r="F19232" s="1"/>
      <c r="G19232" s="1"/>
    </row>
    <row r="19233">
      <c r="B19233" s="36"/>
      <c r="C19233" s="36"/>
      <c r="E19233" s="1"/>
      <c r="F19233" s="1"/>
      <c r="G19233" s="1"/>
    </row>
    <row r="19234">
      <c r="B19234" s="36"/>
      <c r="C19234" s="36"/>
      <c r="E19234" s="1"/>
      <c r="F19234" s="1"/>
      <c r="G19234" s="1"/>
    </row>
    <row r="19235">
      <c r="B19235" s="36"/>
      <c r="C19235" s="36"/>
      <c r="E19235" s="1"/>
      <c r="F19235" s="1"/>
      <c r="G19235" s="1"/>
    </row>
    <row r="19236">
      <c r="B19236" s="36"/>
      <c r="C19236" s="36"/>
      <c r="E19236" s="1"/>
      <c r="F19236" s="1"/>
      <c r="G19236" s="1"/>
    </row>
    <row r="19237">
      <c r="B19237" s="36"/>
      <c r="C19237" s="36"/>
      <c r="E19237" s="1"/>
      <c r="F19237" s="1"/>
      <c r="G19237" s="1"/>
    </row>
    <row r="19238">
      <c r="B19238" s="36"/>
      <c r="C19238" s="36"/>
      <c r="E19238" s="1"/>
      <c r="F19238" s="1"/>
      <c r="G19238" s="1"/>
    </row>
    <row r="19239">
      <c r="B19239" s="36"/>
      <c r="C19239" s="36"/>
      <c r="E19239" s="1"/>
      <c r="F19239" s="1"/>
      <c r="G19239" s="1"/>
    </row>
    <row r="19240">
      <c r="B19240" s="36"/>
      <c r="C19240" s="36"/>
      <c r="E19240" s="1"/>
      <c r="F19240" s="1"/>
      <c r="G19240" s="1"/>
    </row>
    <row r="19241">
      <c r="B19241" s="36"/>
      <c r="C19241" s="36"/>
      <c r="E19241" s="1"/>
      <c r="F19241" s="1"/>
      <c r="G19241" s="1"/>
    </row>
    <row r="19242">
      <c r="B19242" s="36"/>
      <c r="C19242" s="36"/>
      <c r="E19242" s="1"/>
      <c r="F19242" s="1"/>
      <c r="G19242" s="1"/>
    </row>
    <row r="19243">
      <c r="B19243" s="36"/>
      <c r="C19243" s="36"/>
      <c r="E19243" s="1"/>
      <c r="F19243" s="1"/>
      <c r="G19243" s="1"/>
    </row>
    <row r="19244">
      <c r="B19244" s="36"/>
      <c r="C19244" s="36"/>
      <c r="E19244" s="1"/>
      <c r="F19244" s="1"/>
      <c r="G19244" s="1"/>
    </row>
    <row r="19245">
      <c r="B19245" s="36"/>
      <c r="C19245" s="36"/>
      <c r="E19245" s="1"/>
      <c r="F19245" s="1"/>
      <c r="G19245" s="1"/>
    </row>
    <row r="19246">
      <c r="B19246" s="36"/>
      <c r="C19246" s="36"/>
      <c r="E19246" s="1"/>
      <c r="F19246" s="1"/>
      <c r="G19246" s="1"/>
    </row>
    <row r="19247">
      <c r="B19247" s="36"/>
      <c r="C19247" s="36"/>
      <c r="E19247" s="1"/>
      <c r="F19247" s="1"/>
      <c r="G19247" s="1"/>
    </row>
    <row r="19248">
      <c r="B19248" s="36"/>
      <c r="C19248" s="36"/>
      <c r="E19248" s="1"/>
      <c r="F19248" s="1"/>
      <c r="G19248" s="1"/>
    </row>
    <row r="19249">
      <c r="B19249" s="36"/>
      <c r="C19249" s="36"/>
      <c r="E19249" s="1"/>
      <c r="F19249" s="1"/>
      <c r="G19249" s="1"/>
    </row>
    <row r="19250">
      <c r="B19250" s="36"/>
      <c r="C19250" s="36"/>
      <c r="E19250" s="1"/>
      <c r="F19250" s="1"/>
      <c r="G19250" s="1"/>
    </row>
    <row r="19251">
      <c r="B19251" s="36"/>
      <c r="C19251" s="36"/>
      <c r="E19251" s="1"/>
      <c r="F19251" s="1"/>
      <c r="G19251" s="1"/>
    </row>
    <row r="19252">
      <c r="B19252" s="36"/>
      <c r="C19252" s="36"/>
      <c r="E19252" s="1"/>
      <c r="F19252" s="1"/>
      <c r="G19252" s="1"/>
    </row>
    <row r="19253">
      <c r="B19253" s="36"/>
      <c r="C19253" s="36"/>
      <c r="E19253" s="1"/>
      <c r="F19253" s="1"/>
      <c r="G19253" s="1"/>
    </row>
    <row r="19254">
      <c r="B19254" s="36"/>
      <c r="C19254" s="36"/>
      <c r="E19254" s="1"/>
      <c r="F19254" s="1"/>
      <c r="G19254" s="1"/>
    </row>
    <row r="19255">
      <c r="B19255" s="36"/>
      <c r="C19255" s="36"/>
      <c r="E19255" s="1"/>
      <c r="F19255" s="1"/>
      <c r="G19255" s="1"/>
    </row>
    <row r="19256">
      <c r="B19256" s="36"/>
      <c r="C19256" s="36"/>
      <c r="E19256" s="1"/>
      <c r="F19256" s="1"/>
      <c r="G19256" s="1"/>
    </row>
    <row r="19257">
      <c r="B19257" s="36"/>
      <c r="C19257" s="36"/>
      <c r="E19257" s="1"/>
      <c r="F19257" s="1"/>
      <c r="G19257" s="1"/>
    </row>
    <row r="19258">
      <c r="B19258" s="36"/>
      <c r="C19258" s="36"/>
      <c r="E19258" s="1"/>
      <c r="F19258" s="1"/>
      <c r="G19258" s="1"/>
    </row>
    <row r="19259">
      <c r="B19259" s="36"/>
      <c r="C19259" s="36"/>
      <c r="E19259" s="1"/>
      <c r="F19259" s="1"/>
      <c r="G19259" s="1"/>
    </row>
    <row r="19260">
      <c r="B19260" s="36"/>
      <c r="C19260" s="36"/>
      <c r="E19260" s="1"/>
      <c r="F19260" s="1"/>
      <c r="G19260" s="1"/>
    </row>
    <row r="19261">
      <c r="B19261" s="36"/>
      <c r="C19261" s="36"/>
      <c r="E19261" s="1"/>
      <c r="F19261" s="1"/>
      <c r="G19261" s="1"/>
    </row>
    <row r="19262">
      <c r="B19262" s="36"/>
      <c r="C19262" s="36"/>
      <c r="E19262" s="1"/>
      <c r="F19262" s="1"/>
      <c r="G19262" s="1"/>
    </row>
    <row r="19263">
      <c r="B19263" s="36"/>
      <c r="C19263" s="36"/>
      <c r="E19263" s="1"/>
      <c r="F19263" s="1"/>
      <c r="G19263" s="1"/>
    </row>
    <row r="19264">
      <c r="B19264" s="36"/>
      <c r="C19264" s="36"/>
      <c r="E19264" s="1"/>
      <c r="F19264" s="1"/>
      <c r="G19264" s="1"/>
    </row>
    <row r="19265">
      <c r="B19265" s="36"/>
      <c r="C19265" s="36"/>
      <c r="E19265" s="1"/>
      <c r="F19265" s="1"/>
      <c r="G19265" s="1"/>
    </row>
    <row r="19266">
      <c r="B19266" s="36"/>
      <c r="C19266" s="36"/>
      <c r="E19266" s="1"/>
      <c r="F19266" s="1"/>
      <c r="G19266" s="1"/>
    </row>
    <row r="19267">
      <c r="B19267" s="36"/>
      <c r="C19267" s="36"/>
      <c r="E19267" s="1"/>
      <c r="F19267" s="1"/>
      <c r="G19267" s="1"/>
    </row>
    <row r="19268">
      <c r="B19268" s="36"/>
      <c r="C19268" s="36"/>
      <c r="E19268" s="1"/>
      <c r="F19268" s="1"/>
      <c r="G19268" s="1"/>
    </row>
    <row r="19269">
      <c r="B19269" s="36"/>
      <c r="C19269" s="36"/>
      <c r="E19269" s="1"/>
      <c r="F19269" s="1"/>
      <c r="G19269" s="1"/>
    </row>
    <row r="19270">
      <c r="B19270" s="36"/>
      <c r="C19270" s="36"/>
      <c r="E19270" s="1"/>
      <c r="F19270" s="1"/>
      <c r="G19270" s="1"/>
    </row>
    <row r="19271">
      <c r="B19271" s="36"/>
      <c r="C19271" s="36"/>
      <c r="E19271" s="1"/>
      <c r="F19271" s="1"/>
      <c r="G19271" s="1"/>
    </row>
    <row r="19272">
      <c r="B19272" s="36"/>
      <c r="C19272" s="36"/>
      <c r="E19272" s="1"/>
      <c r="F19272" s="1"/>
      <c r="G19272" s="1"/>
    </row>
    <row r="19273">
      <c r="B19273" s="36"/>
      <c r="C19273" s="36"/>
      <c r="E19273" s="1"/>
      <c r="F19273" s="1"/>
      <c r="G19273" s="1"/>
    </row>
    <row r="19274">
      <c r="B19274" s="36"/>
      <c r="C19274" s="36"/>
      <c r="E19274" s="1"/>
      <c r="F19274" s="1"/>
      <c r="G19274" s="1"/>
    </row>
    <row r="19275">
      <c r="B19275" s="36"/>
      <c r="C19275" s="36"/>
      <c r="E19275" s="1"/>
      <c r="F19275" s="1"/>
      <c r="G19275" s="1"/>
    </row>
    <row r="19276">
      <c r="B19276" s="36"/>
      <c r="C19276" s="36"/>
      <c r="E19276" s="1"/>
      <c r="F19276" s="1"/>
      <c r="G19276" s="1"/>
    </row>
    <row r="19277">
      <c r="B19277" s="36"/>
      <c r="C19277" s="36"/>
      <c r="E19277" s="1"/>
      <c r="F19277" s="1"/>
      <c r="G19277" s="1"/>
    </row>
    <row r="19278">
      <c r="B19278" s="36"/>
      <c r="C19278" s="36"/>
      <c r="E19278" s="1"/>
      <c r="F19278" s="1"/>
      <c r="G19278" s="1"/>
    </row>
    <row r="19279">
      <c r="B19279" s="36"/>
      <c r="C19279" s="36"/>
      <c r="E19279" s="1"/>
      <c r="F19279" s="1"/>
      <c r="G19279" s="1"/>
    </row>
    <row r="19280">
      <c r="B19280" s="36"/>
      <c r="C19280" s="36"/>
      <c r="E19280" s="1"/>
      <c r="F19280" s="1"/>
      <c r="G19280" s="1"/>
    </row>
    <row r="19281">
      <c r="B19281" s="36"/>
      <c r="C19281" s="36"/>
      <c r="E19281" s="1"/>
      <c r="F19281" s="1"/>
      <c r="G19281" s="1"/>
    </row>
    <row r="19282">
      <c r="B19282" s="36"/>
      <c r="C19282" s="36"/>
      <c r="E19282" s="1"/>
      <c r="F19282" s="1"/>
      <c r="G19282" s="1"/>
    </row>
    <row r="19283">
      <c r="B19283" s="36"/>
      <c r="C19283" s="36"/>
      <c r="E19283" s="1"/>
      <c r="F19283" s="1"/>
      <c r="G19283" s="1"/>
    </row>
    <row r="19284">
      <c r="B19284" s="36"/>
      <c r="C19284" s="36"/>
      <c r="E19284" s="1"/>
      <c r="F19284" s="1"/>
      <c r="G19284" s="1"/>
    </row>
    <row r="19285">
      <c r="B19285" s="36"/>
      <c r="C19285" s="36"/>
      <c r="E19285" s="1"/>
      <c r="F19285" s="1"/>
      <c r="G19285" s="1"/>
    </row>
    <row r="19286">
      <c r="B19286" s="36"/>
      <c r="C19286" s="36"/>
      <c r="E19286" s="1"/>
      <c r="F19286" s="1"/>
      <c r="G19286" s="1"/>
    </row>
    <row r="19287">
      <c r="B19287" s="36"/>
      <c r="C19287" s="36"/>
      <c r="E19287" s="1"/>
      <c r="F19287" s="1"/>
      <c r="G19287" s="1"/>
    </row>
    <row r="19288">
      <c r="B19288" s="36"/>
      <c r="C19288" s="36"/>
      <c r="E19288" s="1"/>
      <c r="F19288" s="1"/>
      <c r="G19288" s="1"/>
    </row>
    <row r="19289">
      <c r="B19289" s="36"/>
      <c r="C19289" s="36"/>
      <c r="E19289" s="1"/>
      <c r="F19289" s="1"/>
      <c r="G19289" s="1"/>
    </row>
    <row r="19290">
      <c r="B19290" s="36"/>
      <c r="C19290" s="36"/>
      <c r="E19290" s="1"/>
      <c r="F19290" s="1"/>
      <c r="G19290" s="1"/>
    </row>
    <row r="19291">
      <c r="B19291" s="36"/>
      <c r="C19291" s="36"/>
      <c r="E19291" s="1"/>
      <c r="F19291" s="1"/>
      <c r="G19291" s="1"/>
    </row>
    <row r="19292">
      <c r="B19292" s="36"/>
      <c r="C19292" s="36"/>
      <c r="E19292" s="1"/>
      <c r="F19292" s="1"/>
      <c r="G19292" s="1"/>
    </row>
    <row r="19293">
      <c r="B19293" s="36"/>
      <c r="C19293" s="36"/>
      <c r="E19293" s="1"/>
      <c r="F19293" s="1"/>
      <c r="G19293" s="1"/>
    </row>
    <row r="19294">
      <c r="B19294" s="36"/>
      <c r="C19294" s="36"/>
      <c r="E19294" s="1"/>
      <c r="F19294" s="1"/>
      <c r="G19294" s="1"/>
    </row>
    <row r="19295">
      <c r="B19295" s="36"/>
      <c r="C19295" s="36"/>
      <c r="E19295" s="1"/>
      <c r="F19295" s="1"/>
      <c r="G19295" s="1"/>
    </row>
    <row r="19296">
      <c r="B19296" s="36"/>
      <c r="C19296" s="36"/>
      <c r="E19296" s="1"/>
      <c r="F19296" s="1"/>
      <c r="G19296" s="1"/>
    </row>
    <row r="19297">
      <c r="B19297" s="36"/>
      <c r="C19297" s="36"/>
      <c r="E19297" s="1"/>
      <c r="F19297" s="1"/>
      <c r="G19297" s="1"/>
    </row>
    <row r="19298">
      <c r="B19298" s="36"/>
      <c r="C19298" s="36"/>
      <c r="E19298" s="1"/>
      <c r="F19298" s="1"/>
      <c r="G19298" s="1"/>
    </row>
    <row r="19299">
      <c r="B19299" s="36"/>
      <c r="C19299" s="36"/>
      <c r="E19299" s="1"/>
      <c r="F19299" s="1"/>
      <c r="G19299" s="1"/>
    </row>
    <row r="19300">
      <c r="B19300" s="36"/>
      <c r="C19300" s="36"/>
      <c r="E19300" s="1"/>
      <c r="F19300" s="1"/>
      <c r="G19300" s="1"/>
    </row>
    <row r="19301">
      <c r="B19301" s="36"/>
      <c r="C19301" s="36"/>
      <c r="E19301" s="1"/>
      <c r="F19301" s="1"/>
      <c r="G19301" s="1"/>
    </row>
    <row r="19302">
      <c r="B19302" s="36"/>
      <c r="C19302" s="36"/>
      <c r="E19302" s="1"/>
      <c r="F19302" s="1"/>
      <c r="G19302" s="1"/>
    </row>
    <row r="19303">
      <c r="B19303" s="36"/>
      <c r="C19303" s="36"/>
      <c r="E19303" s="1"/>
      <c r="F19303" s="1"/>
      <c r="G19303" s="1"/>
    </row>
    <row r="19304">
      <c r="B19304" s="36"/>
      <c r="C19304" s="36"/>
      <c r="E19304" s="1"/>
      <c r="F19304" s="1"/>
      <c r="G19304" s="1"/>
    </row>
    <row r="19305">
      <c r="B19305" s="36"/>
      <c r="C19305" s="36"/>
      <c r="E19305" s="1"/>
      <c r="F19305" s="1"/>
      <c r="G19305" s="1"/>
    </row>
    <row r="19306">
      <c r="B19306" s="36"/>
      <c r="C19306" s="36"/>
      <c r="E19306" s="1"/>
      <c r="F19306" s="1"/>
      <c r="G19306" s="1"/>
    </row>
    <row r="19307">
      <c r="B19307" s="36"/>
      <c r="C19307" s="36"/>
      <c r="E19307" s="1"/>
      <c r="F19307" s="1"/>
      <c r="G19307" s="1"/>
    </row>
    <row r="19308">
      <c r="B19308" s="36"/>
      <c r="C19308" s="36"/>
      <c r="E19308" s="1"/>
      <c r="F19308" s="1"/>
      <c r="G19308" s="1"/>
    </row>
    <row r="19309">
      <c r="B19309" s="36"/>
      <c r="C19309" s="36"/>
      <c r="E19309" s="1"/>
      <c r="F19309" s="1"/>
      <c r="G19309" s="1"/>
    </row>
    <row r="19310">
      <c r="B19310" s="36"/>
      <c r="C19310" s="36"/>
      <c r="E19310" s="1"/>
      <c r="F19310" s="1"/>
      <c r="G19310" s="1"/>
    </row>
    <row r="19311">
      <c r="B19311" s="36"/>
      <c r="C19311" s="36"/>
      <c r="E19311" s="1"/>
      <c r="F19311" s="1"/>
      <c r="G19311" s="1"/>
    </row>
    <row r="19312">
      <c r="B19312" s="36"/>
      <c r="C19312" s="36"/>
      <c r="E19312" s="1"/>
      <c r="F19312" s="1"/>
      <c r="G19312" s="1"/>
    </row>
    <row r="19313">
      <c r="B19313" s="36"/>
      <c r="C19313" s="36"/>
      <c r="E19313" s="1"/>
      <c r="F19313" s="1"/>
      <c r="G19313" s="1"/>
    </row>
    <row r="19314">
      <c r="B19314" s="36"/>
      <c r="C19314" s="36"/>
      <c r="E19314" s="1"/>
      <c r="F19314" s="1"/>
      <c r="G19314" s="1"/>
    </row>
    <row r="19315">
      <c r="B19315" s="36"/>
      <c r="C19315" s="36"/>
      <c r="E19315" s="1"/>
      <c r="F19315" s="1"/>
      <c r="G19315" s="1"/>
    </row>
    <row r="19316">
      <c r="B19316" s="36"/>
      <c r="C19316" s="36"/>
      <c r="E19316" s="1"/>
      <c r="F19316" s="1"/>
      <c r="G19316" s="1"/>
    </row>
    <row r="19317">
      <c r="B19317" s="36"/>
      <c r="C19317" s="36"/>
      <c r="E19317" s="1"/>
      <c r="F19317" s="1"/>
      <c r="G19317" s="1"/>
    </row>
    <row r="19318">
      <c r="B19318" s="36"/>
      <c r="C19318" s="36"/>
      <c r="E19318" s="1"/>
      <c r="F19318" s="1"/>
      <c r="G19318" s="1"/>
    </row>
    <row r="19319">
      <c r="B19319" s="36"/>
      <c r="C19319" s="36"/>
      <c r="E19319" s="1"/>
      <c r="F19319" s="1"/>
      <c r="G19319" s="1"/>
    </row>
    <row r="19320">
      <c r="B19320" s="36"/>
      <c r="C19320" s="36"/>
      <c r="E19320" s="1"/>
      <c r="F19320" s="1"/>
      <c r="G19320" s="1"/>
    </row>
    <row r="19321">
      <c r="B19321" s="36"/>
      <c r="C19321" s="36"/>
      <c r="E19321" s="1"/>
      <c r="F19321" s="1"/>
      <c r="G19321" s="1"/>
    </row>
    <row r="19322">
      <c r="B19322" s="36"/>
      <c r="C19322" s="36"/>
      <c r="E19322" s="1"/>
      <c r="F19322" s="1"/>
      <c r="G19322" s="1"/>
    </row>
    <row r="19323">
      <c r="B19323" s="36"/>
      <c r="C19323" s="36"/>
      <c r="E19323" s="1"/>
      <c r="F19323" s="1"/>
      <c r="G19323" s="1"/>
    </row>
    <row r="19324">
      <c r="B19324" s="36"/>
      <c r="C19324" s="36"/>
      <c r="E19324" s="1"/>
      <c r="F19324" s="1"/>
      <c r="G19324" s="1"/>
    </row>
    <row r="19325">
      <c r="B19325" s="36"/>
      <c r="C19325" s="36"/>
      <c r="E19325" s="1"/>
      <c r="F19325" s="1"/>
      <c r="G19325" s="1"/>
    </row>
    <row r="19326">
      <c r="B19326" s="36"/>
      <c r="C19326" s="36"/>
      <c r="E19326" s="1"/>
      <c r="F19326" s="1"/>
      <c r="G19326" s="1"/>
    </row>
    <row r="19327">
      <c r="B19327" s="36"/>
      <c r="C19327" s="36"/>
      <c r="E19327" s="1"/>
      <c r="F19327" s="1"/>
      <c r="G19327" s="1"/>
    </row>
    <row r="19328">
      <c r="B19328" s="36"/>
      <c r="C19328" s="36"/>
      <c r="E19328" s="1"/>
      <c r="F19328" s="1"/>
      <c r="G19328" s="1"/>
    </row>
    <row r="19329">
      <c r="B19329" s="36"/>
      <c r="C19329" s="36"/>
      <c r="E19329" s="1"/>
      <c r="F19329" s="1"/>
      <c r="G19329" s="1"/>
    </row>
    <row r="19330">
      <c r="B19330" s="36"/>
      <c r="C19330" s="36"/>
      <c r="E19330" s="1"/>
      <c r="F19330" s="1"/>
      <c r="G19330" s="1"/>
    </row>
    <row r="19331">
      <c r="B19331" s="36"/>
      <c r="C19331" s="36"/>
      <c r="E19331" s="1"/>
      <c r="F19331" s="1"/>
      <c r="G19331" s="1"/>
    </row>
    <row r="19332">
      <c r="B19332" s="36"/>
      <c r="C19332" s="36"/>
      <c r="E19332" s="1"/>
      <c r="F19332" s="1"/>
      <c r="G19332" s="1"/>
    </row>
    <row r="19333">
      <c r="B19333" s="36"/>
      <c r="C19333" s="36"/>
      <c r="E19333" s="1"/>
      <c r="F19333" s="1"/>
      <c r="G19333" s="1"/>
    </row>
    <row r="19334">
      <c r="B19334" s="36"/>
      <c r="C19334" s="36"/>
      <c r="E19334" s="1"/>
      <c r="F19334" s="1"/>
      <c r="G19334" s="1"/>
    </row>
    <row r="19335">
      <c r="B19335" s="36"/>
      <c r="C19335" s="36"/>
      <c r="E19335" s="1"/>
      <c r="F19335" s="1"/>
      <c r="G19335" s="1"/>
    </row>
    <row r="19336">
      <c r="B19336" s="36"/>
      <c r="C19336" s="36"/>
      <c r="E19336" s="1"/>
      <c r="F19336" s="1"/>
      <c r="G19336" s="1"/>
    </row>
    <row r="19337">
      <c r="B19337" s="36"/>
      <c r="C19337" s="36"/>
      <c r="E19337" s="1"/>
      <c r="F19337" s="1"/>
      <c r="G19337" s="1"/>
    </row>
    <row r="19338">
      <c r="B19338" s="36"/>
      <c r="C19338" s="36"/>
      <c r="E19338" s="1"/>
      <c r="F19338" s="1"/>
      <c r="G19338" s="1"/>
    </row>
    <row r="19339">
      <c r="B19339" s="36"/>
      <c r="C19339" s="36"/>
      <c r="E19339" s="1"/>
      <c r="F19339" s="1"/>
      <c r="G19339" s="1"/>
    </row>
    <row r="19340">
      <c r="B19340" s="36"/>
      <c r="C19340" s="36"/>
      <c r="E19340" s="1"/>
      <c r="F19340" s="1"/>
      <c r="G19340" s="1"/>
    </row>
    <row r="19341">
      <c r="B19341" s="36"/>
      <c r="C19341" s="36"/>
      <c r="E19341" s="1"/>
      <c r="F19341" s="1"/>
      <c r="G19341" s="1"/>
    </row>
    <row r="19342">
      <c r="B19342" s="36"/>
      <c r="C19342" s="36"/>
      <c r="E19342" s="1"/>
      <c r="F19342" s="1"/>
      <c r="G19342" s="1"/>
    </row>
    <row r="19343">
      <c r="B19343" s="36"/>
      <c r="C19343" s="36"/>
      <c r="E19343" s="1"/>
      <c r="F19343" s="1"/>
      <c r="G19343" s="1"/>
    </row>
    <row r="19344">
      <c r="B19344" s="36"/>
      <c r="C19344" s="36"/>
      <c r="E19344" s="1"/>
      <c r="F19344" s="1"/>
      <c r="G19344" s="1"/>
    </row>
    <row r="19345">
      <c r="B19345" s="36"/>
      <c r="C19345" s="36"/>
      <c r="E19345" s="1"/>
      <c r="F19345" s="1"/>
      <c r="G19345" s="1"/>
    </row>
    <row r="19346">
      <c r="B19346" s="36"/>
      <c r="C19346" s="36"/>
      <c r="E19346" s="1"/>
      <c r="F19346" s="1"/>
      <c r="G19346" s="1"/>
    </row>
    <row r="19347">
      <c r="B19347" s="36"/>
      <c r="C19347" s="36"/>
      <c r="E19347" s="1"/>
      <c r="F19347" s="1"/>
      <c r="G19347" s="1"/>
    </row>
    <row r="19348">
      <c r="B19348" s="36"/>
      <c r="C19348" s="36"/>
      <c r="E19348" s="1"/>
      <c r="F19348" s="1"/>
      <c r="G19348" s="1"/>
    </row>
    <row r="19349">
      <c r="B19349" s="36"/>
      <c r="C19349" s="36"/>
      <c r="E19349" s="1"/>
      <c r="F19349" s="1"/>
      <c r="G19349" s="1"/>
    </row>
    <row r="19350">
      <c r="B19350" s="36"/>
      <c r="C19350" s="36"/>
      <c r="E19350" s="1"/>
      <c r="F19350" s="1"/>
      <c r="G19350" s="1"/>
    </row>
    <row r="19351">
      <c r="B19351" s="36"/>
      <c r="C19351" s="36"/>
      <c r="E19351" s="1"/>
      <c r="F19351" s="1"/>
      <c r="G19351" s="1"/>
    </row>
    <row r="19352">
      <c r="B19352" s="36"/>
      <c r="C19352" s="36"/>
      <c r="E19352" s="1"/>
      <c r="F19352" s="1"/>
      <c r="G19352" s="1"/>
    </row>
    <row r="19353">
      <c r="B19353" s="36"/>
      <c r="C19353" s="36"/>
      <c r="E19353" s="1"/>
      <c r="F19353" s="1"/>
      <c r="G19353" s="1"/>
    </row>
    <row r="19354">
      <c r="B19354" s="36"/>
      <c r="C19354" s="36"/>
      <c r="E19354" s="1"/>
      <c r="F19354" s="1"/>
      <c r="G19354" s="1"/>
    </row>
    <row r="19355">
      <c r="B19355" s="36"/>
      <c r="C19355" s="36"/>
      <c r="E19355" s="1"/>
      <c r="F19355" s="1"/>
      <c r="G19355" s="1"/>
    </row>
    <row r="19356">
      <c r="B19356" s="36"/>
      <c r="C19356" s="36"/>
      <c r="E19356" s="1"/>
      <c r="F19356" s="1"/>
      <c r="G19356" s="1"/>
    </row>
    <row r="19357">
      <c r="B19357" s="36"/>
      <c r="C19357" s="36"/>
      <c r="E19357" s="1"/>
      <c r="F19357" s="1"/>
      <c r="G19357" s="1"/>
    </row>
    <row r="19358">
      <c r="B19358" s="36"/>
      <c r="C19358" s="36"/>
      <c r="E19358" s="1"/>
      <c r="F19358" s="1"/>
      <c r="G19358" s="1"/>
    </row>
    <row r="19359">
      <c r="B19359" s="36"/>
      <c r="C19359" s="36"/>
      <c r="E19359" s="1"/>
      <c r="F19359" s="1"/>
      <c r="G19359" s="1"/>
    </row>
    <row r="19360">
      <c r="B19360" s="36"/>
      <c r="C19360" s="36"/>
      <c r="E19360" s="1"/>
      <c r="F19360" s="1"/>
      <c r="G19360" s="1"/>
    </row>
    <row r="19361">
      <c r="B19361" s="36"/>
      <c r="C19361" s="36"/>
      <c r="E19361" s="1"/>
      <c r="F19361" s="1"/>
      <c r="G19361" s="1"/>
    </row>
    <row r="19362">
      <c r="B19362" s="36"/>
      <c r="C19362" s="36"/>
      <c r="E19362" s="1"/>
      <c r="F19362" s="1"/>
      <c r="G19362" s="1"/>
    </row>
    <row r="19363">
      <c r="B19363" s="36"/>
      <c r="C19363" s="36"/>
      <c r="E19363" s="1"/>
      <c r="F19363" s="1"/>
      <c r="G19363" s="1"/>
    </row>
    <row r="19364">
      <c r="B19364" s="36"/>
      <c r="C19364" s="36"/>
      <c r="E19364" s="1"/>
      <c r="F19364" s="1"/>
      <c r="G19364" s="1"/>
    </row>
    <row r="19365">
      <c r="B19365" s="36"/>
      <c r="C19365" s="36"/>
      <c r="E19365" s="1"/>
      <c r="F19365" s="1"/>
      <c r="G19365" s="1"/>
    </row>
    <row r="19366">
      <c r="B19366" s="36"/>
      <c r="C19366" s="36"/>
      <c r="E19366" s="1"/>
      <c r="F19366" s="1"/>
      <c r="G19366" s="1"/>
    </row>
    <row r="19367">
      <c r="B19367" s="36"/>
      <c r="C19367" s="36"/>
      <c r="E19367" s="1"/>
      <c r="F19367" s="1"/>
      <c r="G19367" s="1"/>
    </row>
    <row r="19368">
      <c r="B19368" s="36"/>
      <c r="C19368" s="36"/>
      <c r="E19368" s="1"/>
      <c r="F19368" s="1"/>
      <c r="G19368" s="1"/>
    </row>
    <row r="19369">
      <c r="B19369" s="36"/>
      <c r="C19369" s="36"/>
      <c r="E19369" s="1"/>
      <c r="F19369" s="1"/>
      <c r="G19369" s="1"/>
    </row>
    <row r="19370">
      <c r="B19370" s="36"/>
      <c r="C19370" s="36"/>
      <c r="E19370" s="1"/>
      <c r="F19370" s="1"/>
      <c r="G19370" s="1"/>
    </row>
    <row r="19371">
      <c r="B19371" s="36"/>
      <c r="C19371" s="36"/>
      <c r="E19371" s="1"/>
      <c r="F19371" s="1"/>
      <c r="G19371" s="1"/>
    </row>
    <row r="19372">
      <c r="B19372" s="36"/>
      <c r="C19372" s="36"/>
      <c r="E19372" s="1"/>
      <c r="F19372" s="1"/>
      <c r="G19372" s="1"/>
    </row>
    <row r="19373">
      <c r="B19373" s="36"/>
      <c r="C19373" s="36"/>
      <c r="E19373" s="1"/>
      <c r="F19373" s="1"/>
      <c r="G19373" s="1"/>
    </row>
    <row r="19374">
      <c r="B19374" s="36"/>
      <c r="C19374" s="36"/>
      <c r="E19374" s="1"/>
      <c r="F19374" s="1"/>
      <c r="G19374" s="1"/>
    </row>
    <row r="19375">
      <c r="B19375" s="36"/>
      <c r="C19375" s="36"/>
      <c r="E19375" s="1"/>
      <c r="F19375" s="1"/>
      <c r="G19375" s="1"/>
    </row>
    <row r="19376">
      <c r="B19376" s="36"/>
      <c r="C19376" s="36"/>
      <c r="E19376" s="1"/>
      <c r="F19376" s="1"/>
      <c r="G19376" s="1"/>
    </row>
    <row r="19377">
      <c r="B19377" s="36"/>
      <c r="C19377" s="36"/>
      <c r="E19377" s="1"/>
      <c r="F19377" s="1"/>
      <c r="G19377" s="1"/>
    </row>
    <row r="19378">
      <c r="B19378" s="36"/>
      <c r="C19378" s="36"/>
      <c r="E19378" s="1"/>
      <c r="F19378" s="1"/>
      <c r="G19378" s="1"/>
    </row>
    <row r="19379">
      <c r="B19379" s="36"/>
      <c r="C19379" s="36"/>
      <c r="E19379" s="1"/>
      <c r="F19379" s="1"/>
      <c r="G19379" s="1"/>
    </row>
    <row r="19380">
      <c r="B19380" s="36"/>
      <c r="C19380" s="36"/>
      <c r="E19380" s="1"/>
      <c r="F19380" s="1"/>
      <c r="G19380" s="1"/>
    </row>
    <row r="19381">
      <c r="B19381" s="36"/>
      <c r="C19381" s="36"/>
      <c r="E19381" s="1"/>
      <c r="F19381" s="1"/>
      <c r="G19381" s="1"/>
    </row>
    <row r="19382">
      <c r="B19382" s="36"/>
      <c r="C19382" s="36"/>
      <c r="E19382" s="1"/>
      <c r="F19382" s="1"/>
      <c r="G19382" s="1"/>
    </row>
    <row r="19383">
      <c r="B19383" s="36"/>
      <c r="C19383" s="36"/>
      <c r="E19383" s="1"/>
      <c r="F19383" s="1"/>
      <c r="G19383" s="1"/>
    </row>
    <row r="19384">
      <c r="B19384" s="36"/>
      <c r="C19384" s="36"/>
      <c r="E19384" s="1"/>
      <c r="F19384" s="1"/>
      <c r="G19384" s="1"/>
    </row>
    <row r="19385">
      <c r="B19385" s="36"/>
      <c r="C19385" s="36"/>
      <c r="E19385" s="1"/>
      <c r="F19385" s="1"/>
      <c r="G19385" s="1"/>
    </row>
    <row r="19386">
      <c r="B19386" s="36"/>
      <c r="C19386" s="36"/>
      <c r="E19386" s="1"/>
      <c r="F19386" s="1"/>
      <c r="G19386" s="1"/>
    </row>
    <row r="19387">
      <c r="B19387" s="36"/>
      <c r="C19387" s="36"/>
      <c r="E19387" s="1"/>
      <c r="F19387" s="1"/>
      <c r="G19387" s="1"/>
    </row>
    <row r="19388">
      <c r="B19388" s="36"/>
      <c r="C19388" s="36"/>
      <c r="E19388" s="1"/>
      <c r="F19388" s="1"/>
      <c r="G19388" s="1"/>
    </row>
    <row r="19389">
      <c r="B19389" s="36"/>
      <c r="C19389" s="36"/>
      <c r="E19389" s="1"/>
      <c r="F19389" s="1"/>
      <c r="G19389" s="1"/>
    </row>
    <row r="19390">
      <c r="B19390" s="36"/>
      <c r="C19390" s="36"/>
      <c r="E19390" s="1"/>
      <c r="F19390" s="1"/>
      <c r="G19390" s="1"/>
    </row>
    <row r="19391">
      <c r="B19391" s="36"/>
      <c r="C19391" s="36"/>
      <c r="E19391" s="1"/>
      <c r="F19391" s="1"/>
      <c r="G19391" s="1"/>
    </row>
    <row r="19392">
      <c r="B19392" s="36"/>
      <c r="C19392" s="36"/>
      <c r="E19392" s="1"/>
      <c r="F19392" s="1"/>
      <c r="G19392" s="1"/>
    </row>
    <row r="19393">
      <c r="B19393" s="36"/>
      <c r="C19393" s="36"/>
      <c r="E19393" s="1"/>
      <c r="F19393" s="1"/>
      <c r="G19393" s="1"/>
    </row>
    <row r="19394">
      <c r="B19394" s="36"/>
      <c r="C19394" s="36"/>
      <c r="E19394" s="1"/>
      <c r="F19394" s="1"/>
      <c r="G19394" s="1"/>
    </row>
    <row r="19395">
      <c r="B19395" s="36"/>
      <c r="C19395" s="36"/>
      <c r="E19395" s="1"/>
      <c r="F19395" s="1"/>
      <c r="G19395" s="1"/>
    </row>
    <row r="19396">
      <c r="B19396" s="36"/>
      <c r="C19396" s="36"/>
      <c r="E19396" s="1"/>
      <c r="F19396" s="1"/>
      <c r="G19396" s="1"/>
    </row>
    <row r="19397">
      <c r="B19397" s="36"/>
      <c r="C19397" s="36"/>
      <c r="E19397" s="1"/>
      <c r="F19397" s="1"/>
      <c r="G19397" s="1"/>
    </row>
    <row r="19398">
      <c r="B19398" s="36"/>
      <c r="C19398" s="36"/>
      <c r="E19398" s="1"/>
      <c r="F19398" s="1"/>
      <c r="G19398" s="1"/>
    </row>
    <row r="19399">
      <c r="B19399" s="36"/>
      <c r="C19399" s="36"/>
      <c r="E19399" s="1"/>
      <c r="F19399" s="1"/>
      <c r="G19399" s="1"/>
    </row>
    <row r="19400">
      <c r="B19400" s="36"/>
      <c r="C19400" s="36"/>
      <c r="E19400" s="1"/>
      <c r="F19400" s="1"/>
      <c r="G19400" s="1"/>
    </row>
    <row r="19401">
      <c r="B19401" s="36"/>
      <c r="C19401" s="36"/>
      <c r="E19401" s="1"/>
      <c r="F19401" s="1"/>
      <c r="G19401" s="1"/>
    </row>
    <row r="19402">
      <c r="B19402" s="36"/>
      <c r="C19402" s="36"/>
      <c r="E19402" s="1"/>
      <c r="F19402" s="1"/>
      <c r="G19402" s="1"/>
    </row>
    <row r="19403">
      <c r="B19403" s="36"/>
      <c r="C19403" s="36"/>
      <c r="E19403" s="1"/>
      <c r="F19403" s="1"/>
      <c r="G19403" s="1"/>
    </row>
    <row r="19404">
      <c r="B19404" s="36"/>
      <c r="C19404" s="36"/>
      <c r="E19404" s="1"/>
      <c r="F19404" s="1"/>
      <c r="G19404" s="1"/>
    </row>
    <row r="19405">
      <c r="B19405" s="36"/>
      <c r="C19405" s="36"/>
      <c r="E19405" s="1"/>
      <c r="F19405" s="1"/>
      <c r="G19405" s="1"/>
    </row>
    <row r="19406">
      <c r="B19406" s="36"/>
      <c r="C19406" s="36"/>
      <c r="E19406" s="1"/>
      <c r="F19406" s="1"/>
      <c r="G19406" s="1"/>
    </row>
    <row r="19407">
      <c r="B19407" s="36"/>
      <c r="C19407" s="36"/>
      <c r="E19407" s="1"/>
      <c r="F19407" s="1"/>
      <c r="G19407" s="1"/>
    </row>
    <row r="19408">
      <c r="B19408" s="36"/>
      <c r="C19408" s="36"/>
      <c r="E19408" s="1"/>
      <c r="F19408" s="1"/>
      <c r="G19408" s="1"/>
    </row>
    <row r="19409">
      <c r="B19409" s="36"/>
      <c r="C19409" s="36"/>
      <c r="E19409" s="1"/>
      <c r="F19409" s="1"/>
      <c r="G19409" s="1"/>
    </row>
    <row r="19410">
      <c r="B19410" s="36"/>
      <c r="C19410" s="36"/>
      <c r="E19410" s="1"/>
      <c r="F19410" s="1"/>
      <c r="G19410" s="1"/>
    </row>
    <row r="19411">
      <c r="B19411" s="36"/>
      <c r="C19411" s="36"/>
      <c r="E19411" s="1"/>
      <c r="F19411" s="1"/>
      <c r="G19411" s="1"/>
    </row>
    <row r="19412">
      <c r="B19412" s="36"/>
      <c r="C19412" s="36"/>
      <c r="E19412" s="1"/>
      <c r="F19412" s="1"/>
      <c r="G19412" s="1"/>
    </row>
    <row r="19413">
      <c r="B19413" s="36"/>
      <c r="C19413" s="36"/>
      <c r="E19413" s="1"/>
      <c r="F19413" s="1"/>
      <c r="G19413" s="1"/>
    </row>
    <row r="19414">
      <c r="B19414" s="36"/>
      <c r="C19414" s="36"/>
      <c r="E19414" s="1"/>
      <c r="F19414" s="1"/>
      <c r="G19414" s="1"/>
    </row>
    <row r="19415">
      <c r="B19415" s="36"/>
      <c r="C19415" s="36"/>
      <c r="E19415" s="1"/>
      <c r="F19415" s="1"/>
      <c r="G19415" s="1"/>
    </row>
    <row r="19416">
      <c r="B19416" s="36"/>
      <c r="C19416" s="36"/>
      <c r="E19416" s="1"/>
      <c r="F19416" s="1"/>
      <c r="G19416" s="1"/>
    </row>
    <row r="19417">
      <c r="B19417" s="36"/>
      <c r="C19417" s="36"/>
      <c r="E19417" s="1"/>
      <c r="F19417" s="1"/>
      <c r="G19417" s="1"/>
    </row>
    <row r="19418">
      <c r="B19418" s="36"/>
      <c r="C19418" s="36"/>
      <c r="E19418" s="1"/>
      <c r="F19418" s="1"/>
      <c r="G19418" s="1"/>
    </row>
    <row r="19419">
      <c r="B19419" s="36"/>
      <c r="C19419" s="36"/>
      <c r="E19419" s="1"/>
      <c r="F19419" s="1"/>
      <c r="G19419" s="1"/>
    </row>
    <row r="19420">
      <c r="B19420" s="36"/>
      <c r="C19420" s="36"/>
      <c r="E19420" s="1"/>
      <c r="F19420" s="1"/>
      <c r="G19420" s="1"/>
    </row>
    <row r="19421">
      <c r="B19421" s="36"/>
      <c r="C19421" s="36"/>
      <c r="E19421" s="1"/>
      <c r="F19421" s="1"/>
      <c r="G19421" s="1"/>
    </row>
    <row r="19422">
      <c r="B19422" s="36"/>
      <c r="C19422" s="36"/>
      <c r="E19422" s="1"/>
      <c r="F19422" s="1"/>
      <c r="G19422" s="1"/>
    </row>
    <row r="19423">
      <c r="B19423" s="36"/>
      <c r="C19423" s="36"/>
      <c r="E19423" s="1"/>
      <c r="F19423" s="1"/>
      <c r="G19423" s="1"/>
    </row>
    <row r="19424">
      <c r="B19424" s="36"/>
      <c r="C19424" s="36"/>
      <c r="E19424" s="1"/>
      <c r="F19424" s="1"/>
      <c r="G19424" s="1"/>
    </row>
    <row r="19425">
      <c r="B19425" s="36"/>
      <c r="C19425" s="36"/>
      <c r="E19425" s="1"/>
      <c r="F19425" s="1"/>
      <c r="G19425" s="1"/>
    </row>
    <row r="19426">
      <c r="B19426" s="36"/>
      <c r="C19426" s="36"/>
      <c r="E19426" s="1"/>
      <c r="F19426" s="1"/>
      <c r="G19426" s="1"/>
    </row>
    <row r="19427">
      <c r="B19427" s="36"/>
      <c r="C19427" s="36"/>
      <c r="E19427" s="1"/>
      <c r="F19427" s="1"/>
      <c r="G19427" s="1"/>
    </row>
    <row r="19428">
      <c r="B19428" s="36"/>
      <c r="C19428" s="36"/>
      <c r="E19428" s="1"/>
      <c r="F19428" s="1"/>
      <c r="G19428" s="1"/>
    </row>
    <row r="19429">
      <c r="B19429" s="36"/>
      <c r="C19429" s="36"/>
      <c r="E19429" s="1"/>
      <c r="F19429" s="1"/>
      <c r="G19429" s="1"/>
    </row>
    <row r="19430">
      <c r="B19430" s="36"/>
      <c r="C19430" s="36"/>
      <c r="E19430" s="1"/>
      <c r="F19430" s="1"/>
      <c r="G19430" s="1"/>
    </row>
    <row r="19431">
      <c r="B19431" s="36"/>
      <c r="C19431" s="36"/>
      <c r="E19431" s="1"/>
      <c r="F19431" s="1"/>
      <c r="G19431" s="1"/>
    </row>
    <row r="19432">
      <c r="B19432" s="36"/>
      <c r="C19432" s="36"/>
      <c r="E19432" s="1"/>
      <c r="F19432" s="1"/>
      <c r="G19432" s="1"/>
    </row>
    <row r="19433">
      <c r="B19433" s="36"/>
      <c r="C19433" s="36"/>
      <c r="E19433" s="1"/>
      <c r="F19433" s="1"/>
      <c r="G19433" s="1"/>
    </row>
    <row r="19434">
      <c r="B19434" s="36"/>
      <c r="C19434" s="36"/>
      <c r="E19434" s="1"/>
      <c r="F19434" s="1"/>
      <c r="G19434" s="1"/>
    </row>
    <row r="19435">
      <c r="B19435" s="36"/>
      <c r="C19435" s="36"/>
      <c r="E19435" s="1"/>
      <c r="F19435" s="1"/>
      <c r="G19435" s="1"/>
    </row>
    <row r="19436">
      <c r="B19436" s="36"/>
      <c r="C19436" s="36"/>
      <c r="E19436" s="1"/>
      <c r="F19436" s="1"/>
      <c r="G19436" s="1"/>
    </row>
    <row r="19437">
      <c r="B19437" s="36"/>
      <c r="C19437" s="36"/>
      <c r="E19437" s="1"/>
      <c r="F19437" s="1"/>
      <c r="G19437" s="1"/>
    </row>
    <row r="19438">
      <c r="B19438" s="36"/>
      <c r="C19438" s="36"/>
      <c r="E19438" s="1"/>
      <c r="F19438" s="1"/>
      <c r="G19438" s="1"/>
    </row>
    <row r="19439">
      <c r="B19439" s="36"/>
      <c r="C19439" s="36"/>
      <c r="E19439" s="1"/>
      <c r="F19439" s="1"/>
      <c r="G19439" s="1"/>
    </row>
    <row r="19440">
      <c r="B19440" s="36"/>
      <c r="C19440" s="36"/>
      <c r="E19440" s="1"/>
      <c r="F19440" s="1"/>
      <c r="G19440" s="1"/>
    </row>
    <row r="19441">
      <c r="B19441" s="36"/>
      <c r="C19441" s="36"/>
      <c r="E19441" s="1"/>
      <c r="F19441" s="1"/>
      <c r="G19441" s="1"/>
    </row>
    <row r="19442">
      <c r="B19442" s="36"/>
      <c r="C19442" s="36"/>
      <c r="E19442" s="1"/>
      <c r="F19442" s="1"/>
      <c r="G19442" s="1"/>
    </row>
    <row r="19443">
      <c r="B19443" s="36"/>
      <c r="C19443" s="36"/>
      <c r="E19443" s="1"/>
      <c r="F19443" s="1"/>
      <c r="G19443" s="1"/>
    </row>
    <row r="19444">
      <c r="B19444" s="36"/>
      <c r="C19444" s="36"/>
      <c r="E19444" s="1"/>
      <c r="F19444" s="1"/>
      <c r="G19444" s="1"/>
    </row>
    <row r="19445">
      <c r="B19445" s="36"/>
      <c r="C19445" s="36"/>
      <c r="E19445" s="1"/>
      <c r="F19445" s="1"/>
      <c r="G19445" s="1"/>
    </row>
    <row r="19446">
      <c r="B19446" s="36"/>
      <c r="C19446" s="36"/>
      <c r="E19446" s="1"/>
      <c r="F19446" s="1"/>
      <c r="G19446" s="1"/>
    </row>
    <row r="19447">
      <c r="B19447" s="36"/>
      <c r="C19447" s="36"/>
      <c r="E19447" s="1"/>
      <c r="F19447" s="1"/>
      <c r="G19447" s="1"/>
    </row>
    <row r="19448">
      <c r="B19448" s="36"/>
      <c r="C19448" s="36"/>
      <c r="E19448" s="1"/>
      <c r="F19448" s="1"/>
      <c r="G19448" s="1"/>
    </row>
    <row r="19449">
      <c r="B19449" s="36"/>
      <c r="C19449" s="36"/>
      <c r="E19449" s="1"/>
      <c r="F19449" s="1"/>
      <c r="G19449" s="1"/>
    </row>
    <row r="19450">
      <c r="B19450" s="36"/>
      <c r="C19450" s="36"/>
      <c r="E19450" s="1"/>
      <c r="F19450" s="1"/>
      <c r="G19450" s="1"/>
    </row>
    <row r="19451">
      <c r="B19451" s="36"/>
      <c r="C19451" s="36"/>
      <c r="E19451" s="1"/>
      <c r="F19451" s="1"/>
      <c r="G19451" s="1"/>
    </row>
    <row r="19452">
      <c r="B19452" s="36"/>
      <c r="C19452" s="36"/>
      <c r="E19452" s="1"/>
      <c r="F19452" s="1"/>
      <c r="G19452" s="1"/>
    </row>
    <row r="19453">
      <c r="B19453" s="36"/>
      <c r="C19453" s="36"/>
      <c r="E19453" s="1"/>
      <c r="F19453" s="1"/>
      <c r="G19453" s="1"/>
    </row>
    <row r="19454">
      <c r="B19454" s="36"/>
      <c r="C19454" s="36"/>
      <c r="E19454" s="1"/>
      <c r="F19454" s="1"/>
      <c r="G19454" s="1"/>
    </row>
    <row r="19455">
      <c r="B19455" s="36"/>
      <c r="C19455" s="36"/>
      <c r="E19455" s="1"/>
      <c r="F19455" s="1"/>
      <c r="G19455" s="1"/>
    </row>
    <row r="19456">
      <c r="B19456" s="36"/>
      <c r="C19456" s="36"/>
      <c r="E19456" s="1"/>
      <c r="F19456" s="1"/>
      <c r="G19456" s="1"/>
    </row>
    <row r="19457">
      <c r="B19457" s="36"/>
      <c r="C19457" s="36"/>
      <c r="E19457" s="1"/>
      <c r="F19457" s="1"/>
      <c r="G19457" s="1"/>
    </row>
    <row r="19458">
      <c r="B19458" s="36"/>
      <c r="C19458" s="36"/>
      <c r="E19458" s="1"/>
      <c r="F19458" s="1"/>
      <c r="G19458" s="1"/>
    </row>
    <row r="19459">
      <c r="B19459" s="36"/>
      <c r="C19459" s="36"/>
      <c r="E19459" s="1"/>
      <c r="F19459" s="1"/>
      <c r="G19459" s="1"/>
    </row>
    <row r="19460">
      <c r="B19460" s="36"/>
      <c r="C19460" s="36"/>
      <c r="E19460" s="1"/>
      <c r="F19460" s="1"/>
      <c r="G19460" s="1"/>
    </row>
    <row r="19461">
      <c r="B19461" s="36"/>
      <c r="C19461" s="36"/>
      <c r="E19461" s="1"/>
      <c r="F19461" s="1"/>
      <c r="G19461" s="1"/>
    </row>
    <row r="19462">
      <c r="B19462" s="36"/>
      <c r="C19462" s="36"/>
      <c r="E19462" s="1"/>
      <c r="F19462" s="1"/>
      <c r="G19462" s="1"/>
    </row>
    <row r="19463">
      <c r="B19463" s="36"/>
      <c r="C19463" s="36"/>
      <c r="E19463" s="1"/>
      <c r="F19463" s="1"/>
      <c r="G19463" s="1"/>
    </row>
    <row r="19464">
      <c r="B19464" s="36"/>
      <c r="C19464" s="36"/>
      <c r="E19464" s="1"/>
      <c r="F19464" s="1"/>
      <c r="G19464" s="1"/>
    </row>
    <row r="19465">
      <c r="B19465" s="36"/>
      <c r="C19465" s="36"/>
      <c r="E19465" s="1"/>
      <c r="F19465" s="1"/>
      <c r="G19465" s="1"/>
    </row>
    <row r="19466">
      <c r="B19466" s="36"/>
      <c r="C19466" s="36"/>
      <c r="E19466" s="1"/>
      <c r="F19466" s="1"/>
      <c r="G19466" s="1"/>
    </row>
    <row r="19467">
      <c r="B19467" s="36"/>
      <c r="C19467" s="36"/>
      <c r="E19467" s="1"/>
      <c r="F19467" s="1"/>
      <c r="G19467" s="1"/>
    </row>
    <row r="19468">
      <c r="B19468" s="36"/>
      <c r="C19468" s="36"/>
      <c r="E19468" s="1"/>
      <c r="F19468" s="1"/>
      <c r="G19468" s="1"/>
    </row>
    <row r="19469">
      <c r="B19469" s="36"/>
      <c r="C19469" s="36"/>
      <c r="E19469" s="1"/>
      <c r="F19469" s="1"/>
      <c r="G19469" s="1"/>
    </row>
    <row r="19470">
      <c r="B19470" s="36"/>
      <c r="C19470" s="36"/>
      <c r="E19470" s="1"/>
      <c r="F19470" s="1"/>
      <c r="G19470" s="1"/>
    </row>
    <row r="19471">
      <c r="B19471" s="36"/>
      <c r="C19471" s="36"/>
      <c r="E19471" s="1"/>
      <c r="F19471" s="1"/>
      <c r="G19471" s="1"/>
    </row>
    <row r="19472">
      <c r="B19472" s="36"/>
      <c r="C19472" s="36"/>
      <c r="E19472" s="1"/>
      <c r="F19472" s="1"/>
      <c r="G19472" s="1"/>
    </row>
    <row r="19473">
      <c r="B19473" s="36"/>
      <c r="C19473" s="36"/>
      <c r="E19473" s="1"/>
      <c r="F19473" s="1"/>
      <c r="G19473" s="1"/>
    </row>
    <row r="19474">
      <c r="B19474" s="36"/>
      <c r="C19474" s="36"/>
      <c r="E19474" s="1"/>
      <c r="F19474" s="1"/>
      <c r="G19474" s="1"/>
    </row>
    <row r="19475">
      <c r="B19475" s="36"/>
      <c r="C19475" s="36"/>
      <c r="E19475" s="1"/>
      <c r="F19475" s="1"/>
      <c r="G19475" s="1"/>
    </row>
    <row r="19476">
      <c r="B19476" s="36"/>
      <c r="C19476" s="36"/>
      <c r="E19476" s="1"/>
      <c r="F19476" s="1"/>
      <c r="G19476" s="1"/>
    </row>
    <row r="19477">
      <c r="B19477" s="36"/>
      <c r="C19477" s="36"/>
      <c r="E19477" s="1"/>
      <c r="F19477" s="1"/>
      <c r="G19477" s="1"/>
    </row>
    <row r="19478">
      <c r="B19478" s="36"/>
      <c r="C19478" s="36"/>
      <c r="E19478" s="1"/>
      <c r="F19478" s="1"/>
      <c r="G19478" s="1"/>
    </row>
    <row r="19479">
      <c r="B19479" s="36"/>
      <c r="C19479" s="36"/>
      <c r="E19479" s="1"/>
      <c r="F19479" s="1"/>
      <c r="G19479" s="1"/>
    </row>
    <row r="19480">
      <c r="B19480" s="36"/>
      <c r="C19480" s="36"/>
      <c r="E19480" s="1"/>
      <c r="F19480" s="1"/>
      <c r="G19480" s="1"/>
    </row>
    <row r="19481">
      <c r="B19481" s="36"/>
      <c r="C19481" s="36"/>
      <c r="E19481" s="1"/>
      <c r="F19481" s="1"/>
      <c r="G19481" s="1"/>
    </row>
    <row r="19482">
      <c r="B19482" s="36"/>
      <c r="C19482" s="36"/>
      <c r="E19482" s="1"/>
      <c r="F19482" s="1"/>
      <c r="G19482" s="1"/>
    </row>
    <row r="19483">
      <c r="B19483" s="36"/>
      <c r="C19483" s="36"/>
      <c r="E19483" s="1"/>
      <c r="F19483" s="1"/>
      <c r="G19483" s="1"/>
    </row>
    <row r="19484">
      <c r="B19484" s="36"/>
      <c r="C19484" s="36"/>
      <c r="E19484" s="1"/>
      <c r="F19484" s="1"/>
      <c r="G19484" s="1"/>
    </row>
    <row r="19485">
      <c r="B19485" s="36"/>
      <c r="C19485" s="36"/>
      <c r="E19485" s="1"/>
      <c r="F19485" s="1"/>
      <c r="G19485" s="1"/>
    </row>
    <row r="19486">
      <c r="B19486" s="36"/>
      <c r="C19486" s="36"/>
      <c r="E19486" s="1"/>
      <c r="F19486" s="1"/>
      <c r="G19486" s="1"/>
    </row>
    <row r="19487">
      <c r="B19487" s="36"/>
      <c r="C19487" s="36"/>
      <c r="E19487" s="1"/>
      <c r="F19487" s="1"/>
      <c r="G19487" s="1"/>
    </row>
    <row r="19488">
      <c r="B19488" s="36"/>
      <c r="C19488" s="36"/>
      <c r="E19488" s="1"/>
      <c r="F19488" s="1"/>
      <c r="G19488" s="1"/>
    </row>
    <row r="19489">
      <c r="B19489" s="36"/>
      <c r="C19489" s="36"/>
      <c r="E19489" s="1"/>
      <c r="F19489" s="1"/>
      <c r="G19489" s="1"/>
    </row>
    <row r="19490">
      <c r="B19490" s="36"/>
      <c r="C19490" s="36"/>
      <c r="E19490" s="1"/>
      <c r="F19490" s="1"/>
      <c r="G19490" s="1"/>
    </row>
    <row r="19491">
      <c r="B19491" s="36"/>
      <c r="C19491" s="36"/>
      <c r="E19491" s="1"/>
      <c r="F19491" s="1"/>
      <c r="G19491" s="1"/>
    </row>
    <row r="19492">
      <c r="B19492" s="36"/>
      <c r="C19492" s="36"/>
      <c r="E19492" s="1"/>
      <c r="F19492" s="1"/>
      <c r="G19492" s="1"/>
    </row>
    <row r="19493">
      <c r="B19493" s="36"/>
      <c r="C19493" s="36"/>
      <c r="E19493" s="1"/>
      <c r="F19493" s="1"/>
      <c r="G19493" s="1"/>
    </row>
    <row r="19494">
      <c r="B19494" s="36"/>
      <c r="C19494" s="36"/>
      <c r="E19494" s="1"/>
      <c r="F19494" s="1"/>
      <c r="G19494" s="1"/>
    </row>
    <row r="19495">
      <c r="B19495" s="36"/>
      <c r="C19495" s="36"/>
      <c r="E19495" s="1"/>
      <c r="F19495" s="1"/>
      <c r="G19495" s="1"/>
    </row>
    <row r="19496">
      <c r="B19496" s="36"/>
      <c r="C19496" s="36"/>
      <c r="E19496" s="1"/>
      <c r="F19496" s="1"/>
      <c r="G19496" s="1"/>
    </row>
    <row r="19497">
      <c r="B19497" s="36"/>
      <c r="C19497" s="36"/>
      <c r="E19497" s="1"/>
      <c r="F19497" s="1"/>
      <c r="G19497" s="1"/>
    </row>
    <row r="19498">
      <c r="B19498" s="36"/>
      <c r="C19498" s="36"/>
      <c r="E19498" s="1"/>
      <c r="F19498" s="1"/>
      <c r="G19498" s="1"/>
    </row>
    <row r="19499">
      <c r="B19499" s="36"/>
      <c r="C19499" s="36"/>
      <c r="E19499" s="1"/>
      <c r="F19499" s="1"/>
      <c r="G19499" s="1"/>
    </row>
    <row r="19500">
      <c r="B19500" s="36"/>
      <c r="C19500" s="36"/>
      <c r="E19500" s="1"/>
      <c r="F19500" s="1"/>
      <c r="G19500" s="1"/>
    </row>
    <row r="19501">
      <c r="B19501" s="36"/>
      <c r="C19501" s="36"/>
      <c r="E19501" s="1"/>
      <c r="F19501" s="1"/>
      <c r="G19501" s="1"/>
    </row>
    <row r="19502">
      <c r="B19502" s="36"/>
      <c r="C19502" s="36"/>
      <c r="E19502" s="1"/>
      <c r="F19502" s="1"/>
      <c r="G19502" s="1"/>
    </row>
    <row r="19503">
      <c r="B19503" s="36"/>
      <c r="C19503" s="36"/>
      <c r="E19503" s="1"/>
      <c r="F19503" s="1"/>
      <c r="G19503" s="1"/>
    </row>
    <row r="19504">
      <c r="B19504" s="36"/>
      <c r="C19504" s="36"/>
      <c r="E19504" s="1"/>
      <c r="F19504" s="1"/>
      <c r="G19504" s="1"/>
    </row>
    <row r="19505">
      <c r="B19505" s="36"/>
      <c r="C19505" s="36"/>
      <c r="E19505" s="1"/>
      <c r="F19505" s="1"/>
      <c r="G19505" s="1"/>
    </row>
    <row r="19506">
      <c r="B19506" s="36"/>
      <c r="C19506" s="36"/>
      <c r="E19506" s="1"/>
      <c r="F19506" s="1"/>
      <c r="G19506" s="1"/>
    </row>
    <row r="19507">
      <c r="B19507" s="36"/>
      <c r="C19507" s="36"/>
      <c r="E19507" s="1"/>
      <c r="F19507" s="1"/>
      <c r="G19507" s="1"/>
    </row>
    <row r="19508">
      <c r="B19508" s="36"/>
      <c r="C19508" s="36"/>
      <c r="E19508" s="1"/>
      <c r="F19508" s="1"/>
      <c r="G19508" s="1"/>
    </row>
    <row r="19509">
      <c r="B19509" s="36"/>
      <c r="C19509" s="36"/>
      <c r="E19509" s="1"/>
      <c r="F19509" s="1"/>
      <c r="G19509" s="1"/>
    </row>
    <row r="19510">
      <c r="B19510" s="36"/>
      <c r="C19510" s="36"/>
      <c r="E19510" s="1"/>
      <c r="F19510" s="1"/>
      <c r="G19510" s="1"/>
    </row>
    <row r="19511">
      <c r="B19511" s="36"/>
      <c r="C19511" s="36"/>
      <c r="E19511" s="1"/>
      <c r="F19511" s="1"/>
      <c r="G19511" s="1"/>
    </row>
    <row r="19512">
      <c r="B19512" s="36"/>
      <c r="C19512" s="36"/>
      <c r="E19512" s="1"/>
      <c r="F19512" s="1"/>
      <c r="G19512" s="1"/>
    </row>
    <row r="19513">
      <c r="B19513" s="36"/>
      <c r="C19513" s="36"/>
      <c r="E19513" s="1"/>
      <c r="F19513" s="1"/>
      <c r="G19513" s="1"/>
    </row>
    <row r="19514">
      <c r="B19514" s="36"/>
      <c r="C19514" s="36"/>
      <c r="E19514" s="1"/>
      <c r="F19514" s="1"/>
      <c r="G19514" s="1"/>
    </row>
    <row r="19515">
      <c r="B19515" s="36"/>
      <c r="C19515" s="36"/>
      <c r="E19515" s="1"/>
      <c r="F19515" s="1"/>
      <c r="G19515" s="1"/>
    </row>
    <row r="19516">
      <c r="B19516" s="36"/>
      <c r="C19516" s="36"/>
      <c r="E19516" s="1"/>
      <c r="F19516" s="1"/>
      <c r="G19516" s="1"/>
    </row>
    <row r="19517">
      <c r="B19517" s="36"/>
      <c r="C19517" s="36"/>
      <c r="E19517" s="1"/>
      <c r="F19517" s="1"/>
      <c r="G19517" s="1"/>
    </row>
    <row r="19518">
      <c r="B19518" s="36"/>
      <c r="C19518" s="36"/>
      <c r="E19518" s="1"/>
      <c r="F19518" s="1"/>
      <c r="G19518" s="1"/>
    </row>
    <row r="19519">
      <c r="B19519" s="36"/>
      <c r="C19519" s="36"/>
      <c r="E19519" s="1"/>
      <c r="F19519" s="1"/>
      <c r="G19519" s="1"/>
    </row>
    <row r="19520">
      <c r="B19520" s="36"/>
      <c r="C19520" s="36"/>
      <c r="E19520" s="1"/>
      <c r="F19520" s="1"/>
      <c r="G19520" s="1"/>
    </row>
    <row r="19521">
      <c r="B19521" s="36"/>
      <c r="C19521" s="36"/>
      <c r="E19521" s="1"/>
      <c r="F19521" s="1"/>
      <c r="G19521" s="1"/>
    </row>
    <row r="19522">
      <c r="B19522" s="36"/>
      <c r="C19522" s="36"/>
      <c r="E19522" s="1"/>
      <c r="F19522" s="1"/>
      <c r="G19522" s="1"/>
    </row>
    <row r="19523">
      <c r="B19523" s="36"/>
      <c r="C19523" s="36"/>
      <c r="E19523" s="1"/>
      <c r="F19523" s="1"/>
      <c r="G19523" s="1"/>
    </row>
    <row r="19524">
      <c r="B19524" s="36"/>
      <c r="C19524" s="36"/>
      <c r="E19524" s="1"/>
      <c r="F19524" s="1"/>
      <c r="G19524" s="1"/>
    </row>
    <row r="19525">
      <c r="B19525" s="36"/>
      <c r="C19525" s="36"/>
      <c r="E19525" s="1"/>
      <c r="F19525" s="1"/>
      <c r="G19525" s="1"/>
    </row>
    <row r="19526">
      <c r="B19526" s="36"/>
      <c r="C19526" s="36"/>
      <c r="E19526" s="1"/>
      <c r="F19526" s="1"/>
      <c r="G19526" s="1"/>
    </row>
    <row r="19527">
      <c r="B19527" s="36"/>
      <c r="C19527" s="36"/>
      <c r="E19527" s="1"/>
      <c r="F19527" s="1"/>
      <c r="G19527" s="1"/>
    </row>
    <row r="19528">
      <c r="B19528" s="36"/>
      <c r="C19528" s="36"/>
      <c r="E19528" s="1"/>
      <c r="F19528" s="1"/>
      <c r="G19528" s="1"/>
    </row>
    <row r="19529">
      <c r="B19529" s="36"/>
      <c r="C19529" s="36"/>
      <c r="E19529" s="1"/>
      <c r="F19529" s="1"/>
      <c r="G19529" s="1"/>
    </row>
    <row r="19530">
      <c r="B19530" s="36"/>
      <c r="C19530" s="36"/>
      <c r="E19530" s="1"/>
      <c r="F19530" s="1"/>
      <c r="G19530" s="1"/>
    </row>
    <row r="19531">
      <c r="B19531" s="36"/>
      <c r="C19531" s="36"/>
      <c r="E19531" s="1"/>
      <c r="F19531" s="1"/>
      <c r="G19531" s="1"/>
    </row>
    <row r="19532">
      <c r="B19532" s="36"/>
      <c r="C19532" s="36"/>
      <c r="E19532" s="1"/>
      <c r="F19532" s="1"/>
      <c r="G19532" s="1"/>
    </row>
    <row r="19533">
      <c r="B19533" s="36"/>
      <c r="C19533" s="36"/>
      <c r="E19533" s="1"/>
      <c r="F19533" s="1"/>
      <c r="G19533" s="1"/>
    </row>
    <row r="19534">
      <c r="B19534" s="36"/>
      <c r="C19534" s="36"/>
      <c r="E19534" s="1"/>
      <c r="F19534" s="1"/>
      <c r="G19534" s="1"/>
    </row>
    <row r="19535">
      <c r="B19535" s="36"/>
      <c r="C19535" s="36"/>
      <c r="E19535" s="1"/>
      <c r="F19535" s="1"/>
      <c r="G19535" s="1"/>
    </row>
    <row r="19536">
      <c r="B19536" s="36"/>
      <c r="C19536" s="36"/>
      <c r="E19536" s="1"/>
      <c r="F19536" s="1"/>
      <c r="G19536" s="1"/>
    </row>
    <row r="19537">
      <c r="B19537" s="36"/>
      <c r="C19537" s="36"/>
      <c r="E19537" s="1"/>
      <c r="F19537" s="1"/>
      <c r="G19537" s="1"/>
    </row>
    <row r="19538">
      <c r="B19538" s="36"/>
      <c r="C19538" s="36"/>
      <c r="E19538" s="1"/>
      <c r="F19538" s="1"/>
      <c r="G19538" s="1"/>
    </row>
    <row r="19539">
      <c r="B19539" s="36"/>
      <c r="C19539" s="36"/>
      <c r="E19539" s="1"/>
      <c r="F19539" s="1"/>
      <c r="G19539" s="1"/>
    </row>
    <row r="19540">
      <c r="B19540" s="36"/>
      <c r="C19540" s="36"/>
      <c r="E19540" s="1"/>
      <c r="F19540" s="1"/>
      <c r="G19540" s="1"/>
    </row>
    <row r="19541">
      <c r="B19541" s="36"/>
      <c r="C19541" s="36"/>
      <c r="E19541" s="1"/>
      <c r="F19541" s="1"/>
      <c r="G19541" s="1"/>
    </row>
    <row r="19542">
      <c r="B19542" s="36"/>
      <c r="C19542" s="36"/>
      <c r="E19542" s="1"/>
      <c r="F19542" s="1"/>
      <c r="G19542" s="1"/>
    </row>
    <row r="19543">
      <c r="B19543" s="36"/>
      <c r="C19543" s="36"/>
      <c r="E19543" s="1"/>
      <c r="F19543" s="1"/>
      <c r="G19543" s="1"/>
    </row>
    <row r="19544">
      <c r="B19544" s="36"/>
      <c r="C19544" s="36"/>
      <c r="E19544" s="1"/>
      <c r="F19544" s="1"/>
      <c r="G19544" s="1"/>
    </row>
    <row r="19545">
      <c r="B19545" s="36"/>
      <c r="C19545" s="36"/>
      <c r="E19545" s="1"/>
      <c r="F19545" s="1"/>
      <c r="G19545" s="1"/>
    </row>
    <row r="19546">
      <c r="B19546" s="36"/>
      <c r="C19546" s="36"/>
      <c r="E19546" s="1"/>
      <c r="F19546" s="1"/>
      <c r="G19546" s="1"/>
    </row>
    <row r="19547">
      <c r="B19547" s="36"/>
      <c r="C19547" s="36"/>
      <c r="E19547" s="1"/>
      <c r="F19547" s="1"/>
      <c r="G19547" s="1"/>
    </row>
    <row r="19548">
      <c r="B19548" s="36"/>
      <c r="C19548" s="36"/>
      <c r="E19548" s="1"/>
      <c r="F19548" s="1"/>
      <c r="G19548" s="1"/>
    </row>
    <row r="19549">
      <c r="B19549" s="36"/>
      <c r="C19549" s="36"/>
      <c r="E19549" s="1"/>
      <c r="F19549" s="1"/>
      <c r="G19549" s="1"/>
    </row>
    <row r="19550">
      <c r="B19550" s="36"/>
      <c r="C19550" s="36"/>
      <c r="E19550" s="1"/>
      <c r="F19550" s="1"/>
      <c r="G19550" s="1"/>
    </row>
    <row r="19551">
      <c r="B19551" s="36"/>
      <c r="C19551" s="36"/>
      <c r="E19551" s="1"/>
      <c r="F19551" s="1"/>
      <c r="G19551" s="1"/>
    </row>
    <row r="19552">
      <c r="B19552" s="36"/>
      <c r="C19552" s="36"/>
      <c r="E19552" s="1"/>
      <c r="F19552" s="1"/>
      <c r="G19552" s="1"/>
    </row>
    <row r="19553">
      <c r="B19553" s="36"/>
      <c r="C19553" s="36"/>
      <c r="E19553" s="1"/>
      <c r="F19553" s="1"/>
      <c r="G19553" s="1"/>
    </row>
    <row r="19554">
      <c r="B19554" s="36"/>
      <c r="C19554" s="36"/>
      <c r="E19554" s="1"/>
      <c r="F19554" s="1"/>
      <c r="G19554" s="1"/>
    </row>
    <row r="19555">
      <c r="B19555" s="36"/>
      <c r="C19555" s="36"/>
      <c r="E19555" s="1"/>
      <c r="F19555" s="1"/>
      <c r="G19555" s="1"/>
    </row>
    <row r="19556">
      <c r="B19556" s="36"/>
      <c r="C19556" s="36"/>
      <c r="E19556" s="1"/>
      <c r="F19556" s="1"/>
      <c r="G19556" s="1"/>
    </row>
    <row r="19557">
      <c r="B19557" s="36"/>
      <c r="C19557" s="36"/>
      <c r="E19557" s="1"/>
      <c r="F19557" s="1"/>
      <c r="G19557" s="1"/>
    </row>
    <row r="19558">
      <c r="B19558" s="36"/>
      <c r="C19558" s="36"/>
      <c r="E19558" s="1"/>
      <c r="F19558" s="1"/>
      <c r="G19558" s="1"/>
    </row>
    <row r="19559">
      <c r="B19559" s="36"/>
      <c r="C19559" s="36"/>
      <c r="E19559" s="1"/>
      <c r="F19559" s="1"/>
      <c r="G19559" s="1"/>
    </row>
    <row r="19560">
      <c r="B19560" s="36"/>
      <c r="C19560" s="36"/>
      <c r="E19560" s="1"/>
      <c r="F19560" s="1"/>
      <c r="G19560" s="1"/>
    </row>
    <row r="19561">
      <c r="B19561" s="36"/>
      <c r="C19561" s="36"/>
      <c r="E19561" s="1"/>
      <c r="F19561" s="1"/>
      <c r="G19561" s="1"/>
    </row>
    <row r="19562">
      <c r="B19562" s="36"/>
      <c r="C19562" s="36"/>
      <c r="E19562" s="1"/>
      <c r="F19562" s="1"/>
      <c r="G19562" s="1"/>
    </row>
    <row r="19563">
      <c r="B19563" s="36"/>
      <c r="C19563" s="36"/>
      <c r="E19563" s="1"/>
      <c r="F19563" s="1"/>
      <c r="G19563" s="1"/>
    </row>
    <row r="19564">
      <c r="B19564" s="36"/>
      <c r="C19564" s="36"/>
      <c r="E19564" s="1"/>
      <c r="F19564" s="1"/>
      <c r="G19564" s="1"/>
    </row>
    <row r="19565">
      <c r="B19565" s="36"/>
      <c r="C19565" s="36"/>
      <c r="E19565" s="1"/>
      <c r="F19565" s="1"/>
      <c r="G19565" s="1"/>
    </row>
    <row r="19566">
      <c r="B19566" s="36"/>
      <c r="C19566" s="36"/>
      <c r="E19566" s="1"/>
      <c r="F19566" s="1"/>
      <c r="G19566" s="1"/>
    </row>
    <row r="19567">
      <c r="B19567" s="36"/>
      <c r="C19567" s="36"/>
      <c r="E19567" s="1"/>
      <c r="F19567" s="1"/>
      <c r="G19567" s="1"/>
    </row>
    <row r="19568">
      <c r="B19568" s="36"/>
      <c r="C19568" s="36"/>
      <c r="E19568" s="1"/>
      <c r="F19568" s="1"/>
      <c r="G19568" s="1"/>
    </row>
    <row r="19569">
      <c r="B19569" s="36"/>
      <c r="C19569" s="36"/>
      <c r="E19569" s="1"/>
      <c r="F19569" s="1"/>
      <c r="G19569" s="1"/>
    </row>
    <row r="19570">
      <c r="B19570" s="36"/>
      <c r="C19570" s="36"/>
      <c r="E19570" s="1"/>
      <c r="F19570" s="1"/>
      <c r="G19570" s="1"/>
    </row>
    <row r="19571">
      <c r="B19571" s="36"/>
      <c r="C19571" s="36"/>
      <c r="E19571" s="1"/>
      <c r="F19571" s="1"/>
      <c r="G19571" s="1"/>
    </row>
    <row r="19572">
      <c r="B19572" s="36"/>
      <c r="C19572" s="36"/>
      <c r="E19572" s="1"/>
      <c r="F19572" s="1"/>
      <c r="G19572" s="1"/>
    </row>
    <row r="19573">
      <c r="B19573" s="36"/>
      <c r="C19573" s="36"/>
      <c r="E19573" s="1"/>
      <c r="F19573" s="1"/>
      <c r="G19573" s="1"/>
    </row>
    <row r="19574">
      <c r="B19574" s="36"/>
      <c r="C19574" s="36"/>
      <c r="E19574" s="1"/>
      <c r="F19574" s="1"/>
      <c r="G19574" s="1"/>
    </row>
    <row r="19575">
      <c r="B19575" s="36"/>
      <c r="C19575" s="36"/>
      <c r="E19575" s="1"/>
      <c r="F19575" s="1"/>
      <c r="G19575" s="1"/>
    </row>
    <row r="19576">
      <c r="B19576" s="36"/>
      <c r="C19576" s="36"/>
      <c r="E19576" s="1"/>
      <c r="F19576" s="1"/>
      <c r="G19576" s="1"/>
    </row>
    <row r="19577">
      <c r="B19577" s="36"/>
      <c r="C19577" s="36"/>
      <c r="E19577" s="1"/>
      <c r="F19577" s="1"/>
      <c r="G19577" s="1"/>
    </row>
    <row r="19578">
      <c r="B19578" s="36"/>
      <c r="C19578" s="36"/>
      <c r="E19578" s="1"/>
      <c r="F19578" s="1"/>
      <c r="G19578" s="1"/>
    </row>
    <row r="19579">
      <c r="B19579" s="36"/>
      <c r="C19579" s="36"/>
      <c r="E19579" s="1"/>
      <c r="F19579" s="1"/>
      <c r="G19579" s="1"/>
    </row>
    <row r="19580">
      <c r="B19580" s="36"/>
      <c r="C19580" s="36"/>
      <c r="E19580" s="1"/>
      <c r="F19580" s="1"/>
      <c r="G19580" s="1"/>
    </row>
    <row r="19581">
      <c r="B19581" s="36"/>
      <c r="C19581" s="36"/>
      <c r="E19581" s="1"/>
      <c r="F19581" s="1"/>
      <c r="G19581" s="1"/>
    </row>
    <row r="19582">
      <c r="B19582" s="36"/>
      <c r="C19582" s="36"/>
      <c r="E19582" s="1"/>
      <c r="F19582" s="1"/>
      <c r="G19582" s="1"/>
    </row>
    <row r="19583">
      <c r="B19583" s="36"/>
      <c r="C19583" s="36"/>
      <c r="E19583" s="1"/>
      <c r="F19583" s="1"/>
      <c r="G19583" s="1"/>
    </row>
    <row r="19584">
      <c r="B19584" s="36"/>
      <c r="C19584" s="36"/>
      <c r="E19584" s="1"/>
      <c r="F19584" s="1"/>
      <c r="G19584" s="1"/>
    </row>
    <row r="19585">
      <c r="B19585" s="36"/>
      <c r="C19585" s="36"/>
      <c r="E19585" s="1"/>
      <c r="F19585" s="1"/>
      <c r="G19585" s="1"/>
    </row>
    <row r="19586">
      <c r="B19586" s="36"/>
      <c r="C19586" s="36"/>
      <c r="E19586" s="1"/>
      <c r="F19586" s="1"/>
      <c r="G19586" s="1"/>
    </row>
    <row r="19587">
      <c r="B19587" s="36"/>
      <c r="C19587" s="36"/>
      <c r="E19587" s="1"/>
      <c r="F19587" s="1"/>
      <c r="G19587" s="1"/>
    </row>
    <row r="19588">
      <c r="B19588" s="36"/>
      <c r="C19588" s="36"/>
      <c r="E19588" s="1"/>
      <c r="F19588" s="1"/>
      <c r="G19588" s="1"/>
    </row>
    <row r="19589">
      <c r="B19589" s="36"/>
      <c r="C19589" s="36"/>
      <c r="E19589" s="1"/>
      <c r="F19589" s="1"/>
      <c r="G19589" s="1"/>
    </row>
    <row r="19590">
      <c r="B19590" s="36"/>
      <c r="C19590" s="36"/>
      <c r="E19590" s="1"/>
      <c r="F19590" s="1"/>
      <c r="G19590" s="1"/>
    </row>
    <row r="19591">
      <c r="B19591" s="36"/>
      <c r="C19591" s="36"/>
      <c r="E19591" s="1"/>
      <c r="F19591" s="1"/>
      <c r="G19591" s="1"/>
    </row>
    <row r="19592">
      <c r="B19592" s="36"/>
      <c r="C19592" s="36"/>
      <c r="E19592" s="1"/>
      <c r="F19592" s="1"/>
      <c r="G19592" s="1"/>
    </row>
    <row r="19593">
      <c r="B19593" s="36"/>
      <c r="C19593" s="36"/>
      <c r="E19593" s="1"/>
      <c r="F19593" s="1"/>
      <c r="G19593" s="1"/>
    </row>
    <row r="19594">
      <c r="B19594" s="36"/>
      <c r="C19594" s="36"/>
      <c r="E19594" s="1"/>
      <c r="F19594" s="1"/>
      <c r="G19594" s="1"/>
    </row>
    <row r="19595">
      <c r="B19595" s="36"/>
      <c r="C19595" s="36"/>
      <c r="E19595" s="1"/>
      <c r="F19595" s="1"/>
      <c r="G19595" s="1"/>
    </row>
    <row r="19596">
      <c r="B19596" s="36"/>
      <c r="C19596" s="36"/>
      <c r="E19596" s="1"/>
      <c r="F19596" s="1"/>
      <c r="G19596" s="1"/>
    </row>
    <row r="19597">
      <c r="B19597" s="36"/>
      <c r="C19597" s="36"/>
      <c r="E19597" s="1"/>
      <c r="F19597" s="1"/>
      <c r="G19597" s="1"/>
    </row>
    <row r="19598">
      <c r="B19598" s="36"/>
      <c r="C19598" s="36"/>
      <c r="E19598" s="1"/>
      <c r="F19598" s="1"/>
      <c r="G19598" s="1"/>
    </row>
    <row r="19599">
      <c r="B19599" s="36"/>
      <c r="C19599" s="36"/>
      <c r="E19599" s="1"/>
      <c r="F19599" s="1"/>
      <c r="G19599" s="1"/>
    </row>
    <row r="19600">
      <c r="B19600" s="36"/>
      <c r="C19600" s="36"/>
      <c r="E19600" s="1"/>
      <c r="F19600" s="1"/>
      <c r="G19600" s="1"/>
    </row>
    <row r="19601">
      <c r="B19601" s="36"/>
      <c r="C19601" s="36"/>
      <c r="E19601" s="1"/>
      <c r="F19601" s="1"/>
      <c r="G19601" s="1"/>
    </row>
    <row r="19602">
      <c r="B19602" s="36"/>
      <c r="C19602" s="36"/>
      <c r="E19602" s="1"/>
      <c r="F19602" s="1"/>
      <c r="G19602" s="1"/>
    </row>
    <row r="19603">
      <c r="B19603" s="36"/>
      <c r="C19603" s="36"/>
      <c r="E19603" s="1"/>
      <c r="F19603" s="1"/>
      <c r="G19603" s="1"/>
    </row>
    <row r="19604">
      <c r="B19604" s="36"/>
      <c r="C19604" s="36"/>
      <c r="E19604" s="1"/>
      <c r="F19604" s="1"/>
      <c r="G19604" s="1"/>
    </row>
    <row r="19605">
      <c r="B19605" s="36"/>
      <c r="C19605" s="36"/>
      <c r="E19605" s="1"/>
      <c r="F19605" s="1"/>
      <c r="G19605" s="1"/>
    </row>
    <row r="19606">
      <c r="B19606" s="36"/>
      <c r="C19606" s="36"/>
      <c r="E19606" s="1"/>
      <c r="F19606" s="1"/>
      <c r="G19606" s="1"/>
    </row>
    <row r="19607">
      <c r="B19607" s="36"/>
      <c r="C19607" s="36"/>
      <c r="E19607" s="1"/>
      <c r="F19607" s="1"/>
      <c r="G19607" s="1"/>
    </row>
    <row r="19608">
      <c r="B19608" s="36"/>
      <c r="C19608" s="36"/>
      <c r="E19608" s="1"/>
      <c r="F19608" s="1"/>
      <c r="G19608" s="1"/>
    </row>
    <row r="19609">
      <c r="B19609" s="36"/>
      <c r="C19609" s="36"/>
      <c r="E19609" s="1"/>
      <c r="F19609" s="1"/>
      <c r="G19609" s="1"/>
    </row>
    <row r="19610">
      <c r="B19610" s="36"/>
      <c r="C19610" s="36"/>
      <c r="E19610" s="1"/>
      <c r="F19610" s="1"/>
      <c r="G19610" s="1"/>
    </row>
    <row r="19611">
      <c r="B19611" s="36"/>
      <c r="C19611" s="36"/>
      <c r="E19611" s="1"/>
      <c r="F19611" s="1"/>
      <c r="G19611" s="1"/>
    </row>
    <row r="19612">
      <c r="B19612" s="36"/>
      <c r="C19612" s="36"/>
      <c r="E19612" s="1"/>
      <c r="F19612" s="1"/>
      <c r="G19612" s="1"/>
    </row>
    <row r="19613">
      <c r="B19613" s="36"/>
      <c r="C19613" s="36"/>
      <c r="E19613" s="1"/>
      <c r="F19613" s="1"/>
      <c r="G19613" s="1"/>
    </row>
    <row r="19614">
      <c r="B19614" s="36"/>
      <c r="C19614" s="36"/>
      <c r="E19614" s="1"/>
      <c r="F19614" s="1"/>
      <c r="G19614" s="1"/>
    </row>
    <row r="19615">
      <c r="B19615" s="36"/>
      <c r="C19615" s="36"/>
      <c r="E19615" s="1"/>
      <c r="F19615" s="1"/>
      <c r="G19615" s="1"/>
    </row>
    <row r="19616">
      <c r="B19616" s="36"/>
      <c r="C19616" s="36"/>
      <c r="E19616" s="1"/>
      <c r="F19616" s="1"/>
      <c r="G19616" s="1"/>
    </row>
    <row r="19617">
      <c r="B19617" s="36"/>
      <c r="C19617" s="36"/>
      <c r="E19617" s="1"/>
      <c r="F19617" s="1"/>
      <c r="G19617" s="1"/>
    </row>
    <row r="19618">
      <c r="B19618" s="36"/>
      <c r="C19618" s="36"/>
      <c r="E19618" s="1"/>
      <c r="F19618" s="1"/>
      <c r="G19618" s="1"/>
    </row>
    <row r="19619">
      <c r="B19619" s="36"/>
      <c r="C19619" s="36"/>
      <c r="E19619" s="1"/>
      <c r="F19619" s="1"/>
      <c r="G19619" s="1"/>
    </row>
    <row r="19620">
      <c r="B19620" s="36"/>
      <c r="C19620" s="36"/>
      <c r="E19620" s="1"/>
      <c r="F19620" s="1"/>
      <c r="G19620" s="1"/>
    </row>
    <row r="19621">
      <c r="B19621" s="36"/>
      <c r="C19621" s="36"/>
      <c r="E19621" s="1"/>
      <c r="F19621" s="1"/>
      <c r="G19621" s="1"/>
    </row>
    <row r="19622">
      <c r="B19622" s="36"/>
      <c r="C19622" s="36"/>
      <c r="E19622" s="1"/>
      <c r="F19622" s="1"/>
      <c r="G19622" s="1"/>
    </row>
    <row r="19623">
      <c r="B19623" s="36"/>
      <c r="C19623" s="36"/>
      <c r="E19623" s="1"/>
      <c r="F19623" s="1"/>
      <c r="G19623" s="1"/>
    </row>
    <row r="19624">
      <c r="B19624" s="36"/>
      <c r="C19624" s="36"/>
      <c r="E19624" s="1"/>
      <c r="F19624" s="1"/>
      <c r="G19624" s="1"/>
    </row>
    <row r="19625">
      <c r="B19625" s="36"/>
      <c r="C19625" s="36"/>
      <c r="E19625" s="1"/>
      <c r="F19625" s="1"/>
      <c r="G19625" s="1"/>
    </row>
    <row r="19626">
      <c r="B19626" s="36"/>
      <c r="C19626" s="36"/>
      <c r="E19626" s="1"/>
      <c r="F19626" s="1"/>
      <c r="G19626" s="1"/>
    </row>
    <row r="19627">
      <c r="B19627" s="36"/>
      <c r="C19627" s="36"/>
      <c r="E19627" s="1"/>
      <c r="F19627" s="1"/>
      <c r="G19627" s="1"/>
    </row>
    <row r="19628">
      <c r="B19628" s="36"/>
      <c r="C19628" s="36"/>
      <c r="E19628" s="1"/>
      <c r="F19628" s="1"/>
      <c r="G19628" s="1"/>
    </row>
    <row r="19629">
      <c r="B19629" s="36"/>
      <c r="C19629" s="36"/>
      <c r="E19629" s="1"/>
      <c r="F19629" s="1"/>
      <c r="G19629" s="1"/>
    </row>
    <row r="19630">
      <c r="B19630" s="36"/>
      <c r="C19630" s="36"/>
      <c r="E19630" s="1"/>
      <c r="F19630" s="1"/>
      <c r="G19630" s="1"/>
    </row>
    <row r="19631">
      <c r="B19631" s="36"/>
      <c r="C19631" s="36"/>
      <c r="E19631" s="1"/>
      <c r="F19631" s="1"/>
      <c r="G19631" s="1"/>
    </row>
    <row r="19632">
      <c r="B19632" s="36"/>
      <c r="C19632" s="36"/>
      <c r="E19632" s="1"/>
      <c r="F19632" s="1"/>
      <c r="G19632" s="1"/>
    </row>
    <row r="19633">
      <c r="B19633" s="36"/>
      <c r="C19633" s="36"/>
      <c r="E19633" s="1"/>
      <c r="F19633" s="1"/>
      <c r="G19633" s="1"/>
    </row>
    <row r="19634">
      <c r="B19634" s="36"/>
      <c r="C19634" s="36"/>
      <c r="E19634" s="1"/>
      <c r="F19634" s="1"/>
      <c r="G19634" s="1"/>
    </row>
    <row r="19635">
      <c r="B19635" s="36"/>
      <c r="C19635" s="36"/>
      <c r="E19635" s="1"/>
      <c r="F19635" s="1"/>
      <c r="G19635" s="1"/>
    </row>
    <row r="19636">
      <c r="B19636" s="36"/>
      <c r="C19636" s="36"/>
      <c r="E19636" s="1"/>
      <c r="F19636" s="1"/>
      <c r="G19636" s="1"/>
    </row>
    <row r="19637">
      <c r="B19637" s="36"/>
      <c r="C19637" s="36"/>
      <c r="E19637" s="1"/>
      <c r="F19637" s="1"/>
      <c r="G19637" s="1"/>
    </row>
    <row r="19638">
      <c r="B19638" s="36"/>
      <c r="C19638" s="36"/>
      <c r="E19638" s="1"/>
      <c r="F19638" s="1"/>
      <c r="G19638" s="1"/>
    </row>
    <row r="19639">
      <c r="B19639" s="36"/>
      <c r="C19639" s="36"/>
      <c r="E19639" s="1"/>
      <c r="F19639" s="1"/>
      <c r="G19639" s="1"/>
    </row>
    <row r="19640">
      <c r="B19640" s="36"/>
      <c r="C19640" s="36"/>
      <c r="E19640" s="1"/>
      <c r="F19640" s="1"/>
      <c r="G19640" s="1"/>
    </row>
    <row r="19641">
      <c r="B19641" s="36"/>
      <c r="C19641" s="36"/>
      <c r="E19641" s="1"/>
      <c r="F19641" s="1"/>
      <c r="G19641" s="1"/>
    </row>
    <row r="19642">
      <c r="B19642" s="36"/>
      <c r="C19642" s="36"/>
      <c r="E19642" s="1"/>
      <c r="F19642" s="1"/>
      <c r="G19642" s="1"/>
    </row>
    <row r="19643">
      <c r="B19643" s="36"/>
      <c r="C19643" s="36"/>
      <c r="E19643" s="1"/>
      <c r="F19643" s="1"/>
      <c r="G19643" s="1"/>
    </row>
    <row r="19644">
      <c r="B19644" s="36"/>
      <c r="C19644" s="36"/>
      <c r="E19644" s="1"/>
      <c r="F19644" s="1"/>
      <c r="G19644" s="1"/>
    </row>
    <row r="19645">
      <c r="B19645" s="36"/>
      <c r="C19645" s="36"/>
      <c r="E19645" s="1"/>
      <c r="F19645" s="1"/>
      <c r="G19645" s="1"/>
    </row>
    <row r="19646">
      <c r="B19646" s="36"/>
      <c r="C19646" s="36"/>
      <c r="E19646" s="1"/>
      <c r="F19646" s="1"/>
      <c r="G19646" s="1"/>
    </row>
    <row r="19647">
      <c r="B19647" s="36"/>
      <c r="C19647" s="36"/>
      <c r="E19647" s="1"/>
      <c r="F19647" s="1"/>
      <c r="G19647" s="1"/>
    </row>
    <row r="19648">
      <c r="B19648" s="36"/>
      <c r="C19648" s="36"/>
      <c r="E19648" s="1"/>
      <c r="F19648" s="1"/>
      <c r="G19648" s="1"/>
    </row>
    <row r="19649">
      <c r="B19649" s="36"/>
      <c r="C19649" s="36"/>
      <c r="E19649" s="1"/>
      <c r="F19649" s="1"/>
      <c r="G19649" s="1"/>
    </row>
    <row r="19650">
      <c r="B19650" s="36"/>
      <c r="C19650" s="36"/>
      <c r="E19650" s="1"/>
      <c r="F19650" s="1"/>
      <c r="G19650" s="1"/>
    </row>
    <row r="19651">
      <c r="B19651" s="36"/>
      <c r="C19651" s="36"/>
      <c r="E19651" s="1"/>
      <c r="F19651" s="1"/>
      <c r="G19651" s="1"/>
    </row>
    <row r="19652">
      <c r="B19652" s="36"/>
      <c r="C19652" s="36"/>
      <c r="E19652" s="1"/>
      <c r="F19652" s="1"/>
      <c r="G19652" s="1"/>
    </row>
    <row r="19653">
      <c r="B19653" s="36"/>
      <c r="C19653" s="36"/>
      <c r="E19653" s="1"/>
      <c r="F19653" s="1"/>
      <c r="G19653" s="1"/>
    </row>
    <row r="19654">
      <c r="B19654" s="36"/>
      <c r="C19654" s="36"/>
      <c r="E19654" s="1"/>
      <c r="F19654" s="1"/>
      <c r="G19654" s="1"/>
    </row>
    <row r="19655">
      <c r="B19655" s="36"/>
      <c r="C19655" s="36"/>
      <c r="E19655" s="1"/>
      <c r="F19655" s="1"/>
      <c r="G19655" s="1"/>
    </row>
    <row r="19656">
      <c r="B19656" s="36"/>
      <c r="C19656" s="36"/>
      <c r="E19656" s="1"/>
      <c r="F19656" s="1"/>
      <c r="G19656" s="1"/>
    </row>
    <row r="19657">
      <c r="B19657" s="36"/>
      <c r="C19657" s="36"/>
      <c r="E19657" s="1"/>
      <c r="F19657" s="1"/>
      <c r="G19657" s="1"/>
    </row>
    <row r="19658">
      <c r="B19658" s="36"/>
      <c r="C19658" s="36"/>
      <c r="E19658" s="1"/>
      <c r="F19658" s="1"/>
      <c r="G19658" s="1"/>
    </row>
    <row r="19659">
      <c r="B19659" s="36"/>
      <c r="C19659" s="36"/>
      <c r="E19659" s="1"/>
      <c r="F19659" s="1"/>
      <c r="G19659" s="1"/>
    </row>
    <row r="19660">
      <c r="B19660" s="36"/>
      <c r="C19660" s="36"/>
      <c r="E19660" s="1"/>
      <c r="F19660" s="1"/>
      <c r="G19660" s="1"/>
    </row>
    <row r="19661">
      <c r="B19661" s="36"/>
      <c r="C19661" s="36"/>
      <c r="E19661" s="1"/>
      <c r="F19661" s="1"/>
      <c r="G19661" s="1"/>
    </row>
    <row r="19662">
      <c r="B19662" s="36"/>
      <c r="C19662" s="36"/>
      <c r="E19662" s="1"/>
      <c r="F19662" s="1"/>
      <c r="G19662" s="1"/>
    </row>
    <row r="19663">
      <c r="B19663" s="36"/>
      <c r="C19663" s="36"/>
      <c r="E19663" s="1"/>
      <c r="F19663" s="1"/>
      <c r="G19663" s="1"/>
    </row>
    <row r="19664">
      <c r="B19664" s="36"/>
      <c r="C19664" s="36"/>
      <c r="E19664" s="1"/>
      <c r="F19664" s="1"/>
      <c r="G19664" s="1"/>
    </row>
    <row r="19665">
      <c r="B19665" s="36"/>
      <c r="C19665" s="36"/>
      <c r="E19665" s="1"/>
      <c r="F19665" s="1"/>
      <c r="G19665" s="1"/>
    </row>
    <row r="19666">
      <c r="B19666" s="36"/>
      <c r="C19666" s="36"/>
      <c r="E19666" s="1"/>
      <c r="F19666" s="1"/>
      <c r="G19666" s="1"/>
    </row>
    <row r="19667">
      <c r="B19667" s="36"/>
      <c r="C19667" s="36"/>
      <c r="E19667" s="1"/>
      <c r="F19667" s="1"/>
      <c r="G19667" s="1"/>
    </row>
    <row r="19668">
      <c r="B19668" s="36"/>
      <c r="C19668" s="36"/>
      <c r="E19668" s="1"/>
      <c r="F19668" s="1"/>
      <c r="G19668" s="1"/>
    </row>
    <row r="19669">
      <c r="B19669" s="36"/>
      <c r="C19669" s="36"/>
      <c r="E19669" s="1"/>
      <c r="F19669" s="1"/>
      <c r="G19669" s="1"/>
    </row>
    <row r="19670">
      <c r="B19670" s="36"/>
      <c r="C19670" s="36"/>
      <c r="E19670" s="1"/>
      <c r="F19670" s="1"/>
      <c r="G19670" s="1"/>
    </row>
    <row r="19671">
      <c r="B19671" s="36"/>
      <c r="C19671" s="36"/>
      <c r="E19671" s="1"/>
      <c r="F19671" s="1"/>
      <c r="G19671" s="1"/>
    </row>
    <row r="19672">
      <c r="B19672" s="36"/>
      <c r="C19672" s="36"/>
      <c r="E19672" s="1"/>
      <c r="F19672" s="1"/>
      <c r="G19672" s="1"/>
    </row>
    <row r="19673">
      <c r="B19673" s="36"/>
      <c r="C19673" s="36"/>
      <c r="E19673" s="1"/>
      <c r="F19673" s="1"/>
      <c r="G19673" s="1"/>
    </row>
    <row r="19674">
      <c r="B19674" s="36"/>
      <c r="C19674" s="36"/>
      <c r="E19674" s="1"/>
      <c r="F19674" s="1"/>
      <c r="G19674" s="1"/>
    </row>
    <row r="19675">
      <c r="B19675" s="36"/>
      <c r="C19675" s="36"/>
      <c r="E19675" s="1"/>
      <c r="F19675" s="1"/>
      <c r="G19675" s="1"/>
    </row>
    <row r="19676">
      <c r="B19676" s="36"/>
      <c r="C19676" s="36"/>
      <c r="E19676" s="1"/>
      <c r="F19676" s="1"/>
      <c r="G19676" s="1"/>
    </row>
    <row r="19677">
      <c r="B19677" s="36"/>
      <c r="C19677" s="36"/>
      <c r="E19677" s="1"/>
      <c r="F19677" s="1"/>
      <c r="G19677" s="1"/>
    </row>
    <row r="19678">
      <c r="B19678" s="36"/>
      <c r="C19678" s="36"/>
      <c r="E19678" s="1"/>
      <c r="F19678" s="1"/>
      <c r="G19678" s="1"/>
    </row>
    <row r="19679">
      <c r="B19679" s="36"/>
      <c r="C19679" s="36"/>
      <c r="E19679" s="1"/>
      <c r="F19679" s="1"/>
      <c r="G19679" s="1"/>
    </row>
    <row r="19680">
      <c r="B19680" s="36"/>
      <c r="C19680" s="36"/>
      <c r="E19680" s="1"/>
      <c r="F19680" s="1"/>
      <c r="G19680" s="1"/>
    </row>
    <row r="19681">
      <c r="B19681" s="36"/>
      <c r="C19681" s="36"/>
      <c r="E19681" s="1"/>
      <c r="F19681" s="1"/>
      <c r="G19681" s="1"/>
    </row>
    <row r="19682">
      <c r="B19682" s="36"/>
      <c r="C19682" s="36"/>
      <c r="E19682" s="1"/>
      <c r="F19682" s="1"/>
      <c r="G19682" s="1"/>
    </row>
    <row r="19683">
      <c r="B19683" s="36"/>
      <c r="C19683" s="36"/>
      <c r="E19683" s="1"/>
      <c r="F19683" s="1"/>
      <c r="G19683" s="1"/>
    </row>
    <row r="19684">
      <c r="B19684" s="36"/>
      <c r="C19684" s="36"/>
      <c r="E19684" s="1"/>
      <c r="F19684" s="1"/>
      <c r="G19684" s="1"/>
    </row>
    <row r="19685">
      <c r="B19685" s="36"/>
      <c r="C19685" s="36"/>
      <c r="E19685" s="1"/>
      <c r="F19685" s="1"/>
      <c r="G19685" s="1"/>
    </row>
    <row r="19686">
      <c r="B19686" s="36"/>
      <c r="C19686" s="36"/>
      <c r="E19686" s="1"/>
      <c r="F19686" s="1"/>
      <c r="G19686" s="1"/>
    </row>
    <row r="19687">
      <c r="B19687" s="36"/>
      <c r="C19687" s="36"/>
      <c r="E19687" s="1"/>
      <c r="F19687" s="1"/>
      <c r="G19687" s="1"/>
    </row>
    <row r="19688">
      <c r="B19688" s="36"/>
      <c r="C19688" s="36"/>
      <c r="E19688" s="1"/>
      <c r="F19688" s="1"/>
      <c r="G19688" s="1"/>
    </row>
    <row r="19689">
      <c r="B19689" s="36"/>
      <c r="C19689" s="36"/>
      <c r="E19689" s="1"/>
      <c r="F19689" s="1"/>
      <c r="G19689" s="1"/>
    </row>
    <row r="19690">
      <c r="B19690" s="36"/>
      <c r="C19690" s="36"/>
      <c r="E19690" s="1"/>
      <c r="F19690" s="1"/>
      <c r="G19690" s="1"/>
    </row>
    <row r="19691">
      <c r="B19691" s="36"/>
      <c r="C19691" s="36"/>
      <c r="E19691" s="1"/>
      <c r="F19691" s="1"/>
      <c r="G19691" s="1"/>
    </row>
    <row r="19692">
      <c r="B19692" s="36"/>
      <c r="C19692" s="36"/>
      <c r="E19692" s="1"/>
      <c r="F19692" s="1"/>
      <c r="G19692" s="1"/>
    </row>
    <row r="19693">
      <c r="B19693" s="36"/>
      <c r="C19693" s="36"/>
      <c r="E19693" s="1"/>
      <c r="F19693" s="1"/>
      <c r="G19693" s="1"/>
    </row>
    <row r="19694">
      <c r="B19694" s="36"/>
      <c r="C19694" s="36"/>
      <c r="E19694" s="1"/>
      <c r="F19694" s="1"/>
      <c r="G19694" s="1"/>
    </row>
    <row r="19695">
      <c r="B19695" s="36"/>
      <c r="C19695" s="36"/>
      <c r="E19695" s="1"/>
      <c r="F19695" s="1"/>
      <c r="G19695" s="1"/>
    </row>
    <row r="19696">
      <c r="B19696" s="36"/>
      <c r="C19696" s="36"/>
      <c r="E19696" s="1"/>
      <c r="F19696" s="1"/>
      <c r="G19696" s="1"/>
    </row>
    <row r="19697">
      <c r="B19697" s="36"/>
      <c r="C19697" s="36"/>
      <c r="E19697" s="1"/>
      <c r="F19697" s="1"/>
      <c r="G19697" s="1"/>
    </row>
    <row r="19698">
      <c r="B19698" s="36"/>
      <c r="C19698" s="36"/>
      <c r="E19698" s="1"/>
      <c r="F19698" s="1"/>
      <c r="G19698" s="1"/>
    </row>
    <row r="19699">
      <c r="B19699" s="36"/>
      <c r="C19699" s="36"/>
      <c r="E19699" s="1"/>
      <c r="F19699" s="1"/>
      <c r="G19699" s="1"/>
    </row>
    <row r="19700">
      <c r="B19700" s="36"/>
      <c r="C19700" s="36"/>
      <c r="E19700" s="1"/>
      <c r="F19700" s="1"/>
      <c r="G19700" s="1"/>
    </row>
    <row r="19701">
      <c r="B19701" s="36"/>
      <c r="C19701" s="36"/>
      <c r="E19701" s="1"/>
      <c r="F19701" s="1"/>
      <c r="G19701" s="1"/>
    </row>
    <row r="19702">
      <c r="B19702" s="36"/>
      <c r="C19702" s="36"/>
      <c r="E19702" s="1"/>
      <c r="F19702" s="1"/>
      <c r="G19702" s="1"/>
    </row>
    <row r="19703">
      <c r="B19703" s="36"/>
      <c r="C19703" s="36"/>
      <c r="E19703" s="1"/>
      <c r="F19703" s="1"/>
      <c r="G19703" s="1"/>
    </row>
    <row r="19704">
      <c r="B19704" s="36"/>
      <c r="C19704" s="36"/>
      <c r="E19704" s="1"/>
      <c r="F19704" s="1"/>
      <c r="G19704" s="1"/>
    </row>
    <row r="19705">
      <c r="B19705" s="36"/>
      <c r="C19705" s="36"/>
      <c r="E19705" s="1"/>
      <c r="F19705" s="1"/>
      <c r="G19705" s="1"/>
    </row>
    <row r="19706">
      <c r="B19706" s="36"/>
      <c r="C19706" s="36"/>
      <c r="E19706" s="1"/>
      <c r="F19706" s="1"/>
      <c r="G19706" s="1"/>
    </row>
    <row r="19707">
      <c r="B19707" s="36"/>
      <c r="C19707" s="36"/>
      <c r="E19707" s="1"/>
      <c r="F19707" s="1"/>
      <c r="G19707" s="1"/>
    </row>
    <row r="19708">
      <c r="B19708" s="36"/>
      <c r="C19708" s="36"/>
      <c r="E19708" s="1"/>
      <c r="F19708" s="1"/>
      <c r="G19708" s="1"/>
    </row>
    <row r="19709">
      <c r="B19709" s="36"/>
      <c r="C19709" s="36"/>
      <c r="E19709" s="1"/>
      <c r="F19709" s="1"/>
      <c r="G19709" s="1"/>
    </row>
    <row r="19710">
      <c r="B19710" s="36"/>
      <c r="C19710" s="36"/>
      <c r="E19710" s="1"/>
      <c r="F19710" s="1"/>
      <c r="G19710" s="1"/>
    </row>
    <row r="19711">
      <c r="B19711" s="36"/>
      <c r="C19711" s="36"/>
      <c r="E19711" s="1"/>
      <c r="F19711" s="1"/>
      <c r="G19711" s="1"/>
    </row>
    <row r="19712">
      <c r="B19712" s="36"/>
      <c r="C19712" s="36"/>
      <c r="E19712" s="1"/>
      <c r="F19712" s="1"/>
      <c r="G19712" s="1"/>
    </row>
    <row r="19713">
      <c r="B19713" s="36"/>
      <c r="C19713" s="36"/>
      <c r="E19713" s="1"/>
      <c r="F19713" s="1"/>
      <c r="G19713" s="1"/>
    </row>
    <row r="19714">
      <c r="B19714" s="36"/>
      <c r="C19714" s="36"/>
      <c r="E19714" s="1"/>
      <c r="F19714" s="1"/>
      <c r="G19714" s="1"/>
    </row>
    <row r="19715">
      <c r="B19715" s="36"/>
      <c r="C19715" s="36"/>
      <c r="E19715" s="1"/>
      <c r="F19715" s="1"/>
      <c r="G19715" s="1"/>
    </row>
    <row r="19716">
      <c r="B19716" s="36"/>
      <c r="C19716" s="36"/>
      <c r="E19716" s="1"/>
      <c r="F19716" s="1"/>
      <c r="G19716" s="1"/>
    </row>
    <row r="19717">
      <c r="B19717" s="36"/>
      <c r="C19717" s="36"/>
      <c r="E19717" s="1"/>
      <c r="F19717" s="1"/>
      <c r="G19717" s="1"/>
    </row>
    <row r="19718">
      <c r="B19718" s="36"/>
      <c r="C19718" s="36"/>
      <c r="E19718" s="1"/>
      <c r="F19718" s="1"/>
      <c r="G19718" s="1"/>
    </row>
    <row r="19719">
      <c r="B19719" s="36"/>
      <c r="C19719" s="36"/>
      <c r="E19719" s="1"/>
      <c r="F19719" s="1"/>
      <c r="G19719" s="1"/>
    </row>
    <row r="19720">
      <c r="B19720" s="36"/>
      <c r="C19720" s="36"/>
      <c r="E19720" s="1"/>
      <c r="F19720" s="1"/>
      <c r="G19720" s="1"/>
    </row>
    <row r="19721">
      <c r="B19721" s="36"/>
      <c r="C19721" s="36"/>
      <c r="E19721" s="1"/>
      <c r="F19721" s="1"/>
      <c r="G19721" s="1"/>
    </row>
    <row r="19722">
      <c r="B19722" s="36"/>
      <c r="C19722" s="36"/>
      <c r="E19722" s="1"/>
      <c r="F19722" s="1"/>
      <c r="G19722" s="1"/>
    </row>
    <row r="19723">
      <c r="B19723" s="36"/>
      <c r="C19723" s="36"/>
      <c r="E19723" s="1"/>
      <c r="F19723" s="1"/>
      <c r="G19723" s="1"/>
    </row>
    <row r="19724">
      <c r="B19724" s="36"/>
      <c r="C19724" s="36"/>
      <c r="E19724" s="1"/>
      <c r="F19724" s="1"/>
      <c r="G19724" s="1"/>
    </row>
    <row r="19725">
      <c r="B19725" s="36"/>
      <c r="C19725" s="36"/>
      <c r="E19725" s="1"/>
      <c r="F19725" s="1"/>
      <c r="G19725" s="1"/>
    </row>
    <row r="19726">
      <c r="B19726" s="36"/>
      <c r="C19726" s="36"/>
      <c r="E19726" s="1"/>
      <c r="F19726" s="1"/>
      <c r="G19726" s="1"/>
    </row>
    <row r="19727">
      <c r="B19727" s="36"/>
      <c r="C19727" s="36"/>
      <c r="E19727" s="1"/>
      <c r="F19727" s="1"/>
      <c r="G19727" s="1"/>
    </row>
    <row r="19728">
      <c r="B19728" s="36"/>
      <c r="C19728" s="36"/>
      <c r="E19728" s="1"/>
      <c r="F19728" s="1"/>
      <c r="G19728" s="1"/>
    </row>
    <row r="19729">
      <c r="B19729" s="36"/>
      <c r="C19729" s="36"/>
      <c r="E19729" s="1"/>
      <c r="F19729" s="1"/>
      <c r="G19729" s="1"/>
    </row>
    <row r="19730">
      <c r="B19730" s="36"/>
      <c r="C19730" s="36"/>
      <c r="E19730" s="1"/>
      <c r="F19730" s="1"/>
      <c r="G19730" s="1"/>
    </row>
    <row r="19731">
      <c r="B19731" s="36"/>
      <c r="C19731" s="36"/>
      <c r="E19731" s="1"/>
      <c r="F19731" s="1"/>
      <c r="G19731" s="1"/>
    </row>
    <row r="19732">
      <c r="B19732" s="36"/>
      <c r="C19732" s="36"/>
      <c r="E19732" s="1"/>
      <c r="F19732" s="1"/>
      <c r="G19732" s="1"/>
    </row>
    <row r="19733">
      <c r="B19733" s="36"/>
      <c r="C19733" s="36"/>
      <c r="E19733" s="1"/>
      <c r="F19733" s="1"/>
      <c r="G19733" s="1"/>
    </row>
    <row r="19734">
      <c r="B19734" s="36"/>
      <c r="C19734" s="36"/>
      <c r="E19734" s="1"/>
      <c r="F19734" s="1"/>
      <c r="G19734" s="1"/>
    </row>
    <row r="19735">
      <c r="B19735" s="36"/>
      <c r="C19735" s="36"/>
      <c r="E19735" s="1"/>
      <c r="F19735" s="1"/>
      <c r="G19735" s="1"/>
    </row>
    <row r="19736">
      <c r="B19736" s="36"/>
      <c r="C19736" s="36"/>
      <c r="E19736" s="1"/>
      <c r="F19736" s="1"/>
      <c r="G19736" s="1"/>
    </row>
    <row r="19737">
      <c r="B19737" s="36"/>
      <c r="C19737" s="36"/>
      <c r="E19737" s="1"/>
      <c r="F19737" s="1"/>
      <c r="G19737" s="1"/>
    </row>
    <row r="19738">
      <c r="B19738" s="36"/>
      <c r="C19738" s="36"/>
      <c r="E19738" s="1"/>
      <c r="F19738" s="1"/>
      <c r="G19738" s="1"/>
    </row>
    <row r="19739">
      <c r="B19739" s="36"/>
      <c r="C19739" s="36"/>
      <c r="E19739" s="1"/>
      <c r="F19739" s="1"/>
      <c r="G19739" s="1"/>
    </row>
    <row r="19740">
      <c r="B19740" s="36"/>
      <c r="C19740" s="36"/>
      <c r="E19740" s="1"/>
      <c r="F19740" s="1"/>
      <c r="G19740" s="1"/>
    </row>
    <row r="19741">
      <c r="B19741" s="36"/>
      <c r="C19741" s="36"/>
      <c r="E19741" s="1"/>
      <c r="F19741" s="1"/>
      <c r="G19741" s="1"/>
    </row>
    <row r="19742">
      <c r="B19742" s="36"/>
      <c r="C19742" s="36"/>
      <c r="E19742" s="1"/>
      <c r="F19742" s="1"/>
      <c r="G19742" s="1"/>
    </row>
    <row r="19743">
      <c r="B19743" s="36"/>
      <c r="C19743" s="36"/>
      <c r="E19743" s="1"/>
      <c r="F19743" s="1"/>
      <c r="G19743" s="1"/>
    </row>
    <row r="19744">
      <c r="B19744" s="36"/>
      <c r="C19744" s="36"/>
      <c r="E19744" s="1"/>
      <c r="F19744" s="1"/>
      <c r="G19744" s="1"/>
    </row>
    <row r="19745">
      <c r="B19745" s="36"/>
      <c r="C19745" s="36"/>
      <c r="E19745" s="1"/>
      <c r="F19745" s="1"/>
      <c r="G19745" s="1"/>
    </row>
    <row r="19746">
      <c r="B19746" s="36"/>
      <c r="C19746" s="36"/>
      <c r="E19746" s="1"/>
      <c r="F19746" s="1"/>
      <c r="G19746" s="1"/>
    </row>
    <row r="19747">
      <c r="B19747" s="36"/>
      <c r="C19747" s="36"/>
      <c r="E19747" s="1"/>
      <c r="F19747" s="1"/>
      <c r="G19747" s="1"/>
    </row>
    <row r="19748">
      <c r="B19748" s="36"/>
      <c r="C19748" s="36"/>
      <c r="E19748" s="1"/>
      <c r="F19748" s="1"/>
      <c r="G19748" s="1"/>
    </row>
    <row r="19749">
      <c r="B19749" s="36"/>
      <c r="C19749" s="36"/>
      <c r="E19749" s="1"/>
      <c r="F19749" s="1"/>
      <c r="G19749" s="1"/>
    </row>
    <row r="19750">
      <c r="B19750" s="36"/>
      <c r="C19750" s="36"/>
      <c r="E19750" s="1"/>
      <c r="F19750" s="1"/>
      <c r="G19750" s="1"/>
    </row>
    <row r="19751">
      <c r="B19751" s="36"/>
      <c r="C19751" s="36"/>
      <c r="E19751" s="1"/>
      <c r="F19751" s="1"/>
      <c r="G19751" s="1"/>
    </row>
    <row r="19752">
      <c r="B19752" s="36"/>
      <c r="C19752" s="36"/>
      <c r="E19752" s="1"/>
      <c r="F19752" s="1"/>
      <c r="G19752" s="1"/>
    </row>
    <row r="19753">
      <c r="B19753" s="36"/>
      <c r="C19753" s="36"/>
      <c r="E19753" s="1"/>
      <c r="F19753" s="1"/>
      <c r="G19753" s="1"/>
    </row>
    <row r="19754">
      <c r="B19754" s="36"/>
      <c r="C19754" s="36"/>
      <c r="E19754" s="1"/>
      <c r="F19754" s="1"/>
      <c r="G19754" s="1"/>
    </row>
    <row r="19755">
      <c r="B19755" s="36"/>
      <c r="C19755" s="36"/>
      <c r="E19755" s="1"/>
      <c r="F19755" s="1"/>
      <c r="G19755" s="1"/>
    </row>
    <row r="19756">
      <c r="B19756" s="36"/>
      <c r="C19756" s="36"/>
      <c r="E19756" s="1"/>
      <c r="F19756" s="1"/>
      <c r="G19756" s="1"/>
    </row>
    <row r="19757">
      <c r="B19757" s="36"/>
      <c r="C19757" s="36"/>
      <c r="E19757" s="1"/>
      <c r="F19757" s="1"/>
      <c r="G19757" s="1"/>
    </row>
    <row r="19758">
      <c r="B19758" s="36"/>
      <c r="C19758" s="36"/>
      <c r="E19758" s="1"/>
      <c r="F19758" s="1"/>
      <c r="G19758" s="1"/>
    </row>
    <row r="19759">
      <c r="B19759" s="36"/>
      <c r="C19759" s="36"/>
      <c r="E19759" s="1"/>
      <c r="F19759" s="1"/>
      <c r="G19759" s="1"/>
    </row>
    <row r="19760">
      <c r="B19760" s="36"/>
      <c r="C19760" s="36"/>
      <c r="E19760" s="1"/>
      <c r="F19760" s="1"/>
      <c r="G19760" s="1"/>
    </row>
    <row r="19761">
      <c r="B19761" s="36"/>
      <c r="C19761" s="36"/>
      <c r="E19761" s="1"/>
      <c r="F19761" s="1"/>
      <c r="G19761" s="1"/>
    </row>
    <row r="19762">
      <c r="B19762" s="36"/>
      <c r="C19762" s="36"/>
      <c r="E19762" s="1"/>
      <c r="F19762" s="1"/>
      <c r="G19762" s="1"/>
    </row>
    <row r="19763">
      <c r="B19763" s="36"/>
      <c r="C19763" s="36"/>
      <c r="E19763" s="1"/>
      <c r="F19763" s="1"/>
      <c r="G19763" s="1"/>
    </row>
    <row r="19764">
      <c r="B19764" s="36"/>
      <c r="C19764" s="36"/>
      <c r="E19764" s="1"/>
      <c r="F19764" s="1"/>
      <c r="G19764" s="1"/>
    </row>
    <row r="19765">
      <c r="B19765" s="36"/>
      <c r="C19765" s="36"/>
      <c r="E19765" s="1"/>
      <c r="F19765" s="1"/>
      <c r="G19765" s="1"/>
    </row>
    <row r="19766">
      <c r="B19766" s="36"/>
      <c r="C19766" s="36"/>
      <c r="E19766" s="1"/>
      <c r="F19766" s="1"/>
      <c r="G19766" s="1"/>
    </row>
    <row r="19767">
      <c r="B19767" s="36"/>
      <c r="C19767" s="36"/>
      <c r="E19767" s="1"/>
      <c r="F19767" s="1"/>
      <c r="G19767" s="1"/>
    </row>
    <row r="19768">
      <c r="B19768" s="36"/>
      <c r="C19768" s="36"/>
      <c r="E19768" s="1"/>
      <c r="F19768" s="1"/>
      <c r="G19768" s="1"/>
    </row>
    <row r="19769">
      <c r="B19769" s="36"/>
      <c r="C19769" s="36"/>
      <c r="E19769" s="1"/>
      <c r="F19769" s="1"/>
      <c r="G19769" s="1"/>
    </row>
    <row r="19770">
      <c r="B19770" s="36"/>
      <c r="C19770" s="36"/>
      <c r="E19770" s="1"/>
      <c r="F19770" s="1"/>
      <c r="G19770" s="1"/>
    </row>
    <row r="19771">
      <c r="B19771" s="36"/>
      <c r="C19771" s="36"/>
      <c r="E19771" s="1"/>
      <c r="F19771" s="1"/>
      <c r="G19771" s="1"/>
    </row>
    <row r="19772">
      <c r="B19772" s="36"/>
      <c r="C19772" s="36"/>
      <c r="E19772" s="1"/>
      <c r="F19772" s="1"/>
      <c r="G19772" s="1"/>
    </row>
    <row r="19773">
      <c r="B19773" s="36"/>
      <c r="C19773" s="36"/>
      <c r="E19773" s="1"/>
      <c r="F19773" s="1"/>
      <c r="G19773" s="1"/>
    </row>
    <row r="19774">
      <c r="B19774" s="36"/>
      <c r="C19774" s="36"/>
      <c r="E19774" s="1"/>
      <c r="F19774" s="1"/>
      <c r="G19774" s="1"/>
    </row>
    <row r="19775">
      <c r="B19775" s="36"/>
      <c r="C19775" s="36"/>
      <c r="E19775" s="1"/>
      <c r="F19775" s="1"/>
      <c r="G19775" s="1"/>
    </row>
    <row r="19776">
      <c r="B19776" s="36"/>
      <c r="C19776" s="36"/>
      <c r="E19776" s="1"/>
      <c r="F19776" s="1"/>
      <c r="G19776" s="1"/>
    </row>
    <row r="19777">
      <c r="B19777" s="36"/>
      <c r="C19777" s="36"/>
      <c r="E19777" s="1"/>
      <c r="F19777" s="1"/>
      <c r="G19777" s="1"/>
    </row>
    <row r="19778">
      <c r="B19778" s="36"/>
      <c r="C19778" s="36"/>
      <c r="E19778" s="1"/>
      <c r="F19778" s="1"/>
      <c r="G19778" s="1"/>
    </row>
    <row r="19779">
      <c r="B19779" s="36"/>
      <c r="C19779" s="36"/>
      <c r="E19779" s="1"/>
      <c r="F19779" s="1"/>
      <c r="G19779" s="1"/>
    </row>
    <row r="19780">
      <c r="B19780" s="36"/>
      <c r="C19780" s="36"/>
      <c r="E19780" s="1"/>
      <c r="F19780" s="1"/>
      <c r="G19780" s="1"/>
    </row>
    <row r="19781">
      <c r="B19781" s="36"/>
      <c r="C19781" s="36"/>
      <c r="E19781" s="1"/>
      <c r="F19781" s="1"/>
      <c r="G19781" s="1"/>
    </row>
    <row r="19782">
      <c r="B19782" s="36"/>
      <c r="C19782" s="36"/>
      <c r="E19782" s="1"/>
      <c r="F19782" s="1"/>
      <c r="G19782" s="1"/>
    </row>
    <row r="19783">
      <c r="B19783" s="36"/>
      <c r="C19783" s="36"/>
      <c r="E19783" s="1"/>
      <c r="F19783" s="1"/>
      <c r="G19783" s="1"/>
    </row>
    <row r="19784">
      <c r="B19784" s="36"/>
      <c r="C19784" s="36"/>
      <c r="E19784" s="1"/>
      <c r="F19784" s="1"/>
      <c r="G19784" s="1"/>
    </row>
    <row r="19785">
      <c r="B19785" s="36"/>
      <c r="C19785" s="36"/>
      <c r="E19785" s="1"/>
      <c r="F19785" s="1"/>
      <c r="G19785" s="1"/>
    </row>
    <row r="19786">
      <c r="B19786" s="36"/>
      <c r="C19786" s="36"/>
      <c r="E19786" s="1"/>
      <c r="F19786" s="1"/>
      <c r="G19786" s="1"/>
    </row>
    <row r="19787">
      <c r="B19787" s="36"/>
      <c r="C19787" s="36"/>
      <c r="E19787" s="1"/>
      <c r="F19787" s="1"/>
      <c r="G19787" s="1"/>
    </row>
    <row r="19788">
      <c r="B19788" s="36"/>
      <c r="C19788" s="36"/>
      <c r="E19788" s="1"/>
      <c r="F19788" s="1"/>
      <c r="G19788" s="1"/>
    </row>
    <row r="19789">
      <c r="B19789" s="36"/>
      <c r="C19789" s="36"/>
      <c r="E19789" s="1"/>
      <c r="F19789" s="1"/>
      <c r="G19789" s="1"/>
    </row>
    <row r="19790">
      <c r="B19790" s="36"/>
      <c r="C19790" s="36"/>
      <c r="E19790" s="1"/>
      <c r="F19790" s="1"/>
      <c r="G19790" s="1"/>
    </row>
    <row r="19791">
      <c r="B19791" s="36"/>
      <c r="C19791" s="36"/>
      <c r="E19791" s="1"/>
      <c r="F19791" s="1"/>
      <c r="G19791" s="1"/>
    </row>
    <row r="19792">
      <c r="B19792" s="36"/>
      <c r="C19792" s="36"/>
      <c r="E19792" s="1"/>
      <c r="F19792" s="1"/>
      <c r="G19792" s="1"/>
    </row>
    <row r="19793">
      <c r="B19793" s="36"/>
      <c r="C19793" s="36"/>
      <c r="E19793" s="1"/>
      <c r="F19793" s="1"/>
      <c r="G19793" s="1"/>
    </row>
    <row r="19794">
      <c r="B19794" s="36"/>
      <c r="C19794" s="36"/>
      <c r="E19794" s="1"/>
      <c r="F19794" s="1"/>
      <c r="G19794" s="1"/>
    </row>
    <row r="19795">
      <c r="B19795" s="36"/>
      <c r="C19795" s="36"/>
      <c r="E19795" s="1"/>
      <c r="F19795" s="1"/>
      <c r="G19795" s="1"/>
    </row>
    <row r="19796">
      <c r="B19796" s="36"/>
      <c r="C19796" s="36"/>
      <c r="E19796" s="1"/>
      <c r="F19796" s="1"/>
      <c r="G19796" s="1"/>
    </row>
    <row r="19797">
      <c r="B19797" s="36"/>
      <c r="C19797" s="36"/>
      <c r="E19797" s="1"/>
      <c r="F19797" s="1"/>
      <c r="G19797" s="1"/>
    </row>
    <row r="19798">
      <c r="B19798" s="36"/>
      <c r="C19798" s="36"/>
      <c r="E19798" s="1"/>
      <c r="F19798" s="1"/>
      <c r="G19798" s="1"/>
    </row>
    <row r="19799">
      <c r="B19799" s="36"/>
      <c r="C19799" s="36"/>
      <c r="E19799" s="1"/>
      <c r="F19799" s="1"/>
      <c r="G19799" s="1"/>
    </row>
    <row r="19800">
      <c r="B19800" s="36"/>
      <c r="C19800" s="36"/>
      <c r="E19800" s="1"/>
      <c r="F19800" s="1"/>
      <c r="G19800" s="1"/>
    </row>
    <row r="19801">
      <c r="B19801" s="36"/>
      <c r="C19801" s="36"/>
      <c r="E19801" s="1"/>
      <c r="F19801" s="1"/>
      <c r="G19801" s="1"/>
    </row>
    <row r="19802">
      <c r="B19802" s="36"/>
      <c r="C19802" s="36"/>
      <c r="E19802" s="1"/>
      <c r="F19802" s="1"/>
      <c r="G19802" s="1"/>
    </row>
    <row r="19803">
      <c r="B19803" s="36"/>
      <c r="C19803" s="36"/>
      <c r="E19803" s="1"/>
      <c r="F19803" s="1"/>
      <c r="G19803" s="1"/>
    </row>
    <row r="19804">
      <c r="B19804" s="36"/>
      <c r="C19804" s="36"/>
      <c r="E19804" s="1"/>
      <c r="F19804" s="1"/>
      <c r="G19804" s="1"/>
    </row>
    <row r="19805">
      <c r="B19805" s="36"/>
      <c r="C19805" s="36"/>
      <c r="E19805" s="1"/>
      <c r="F19805" s="1"/>
      <c r="G19805" s="1"/>
    </row>
    <row r="19806">
      <c r="B19806" s="36"/>
      <c r="C19806" s="36"/>
      <c r="E19806" s="1"/>
      <c r="F19806" s="1"/>
      <c r="G19806" s="1"/>
    </row>
    <row r="19807">
      <c r="B19807" s="36"/>
      <c r="C19807" s="36"/>
      <c r="E19807" s="1"/>
      <c r="F19807" s="1"/>
      <c r="G19807" s="1"/>
    </row>
    <row r="19808">
      <c r="B19808" s="36"/>
      <c r="C19808" s="36"/>
      <c r="E19808" s="1"/>
      <c r="F19808" s="1"/>
      <c r="G19808" s="1"/>
    </row>
    <row r="19809">
      <c r="B19809" s="36"/>
      <c r="C19809" s="36"/>
      <c r="E19809" s="1"/>
      <c r="F19809" s="1"/>
      <c r="G19809" s="1"/>
    </row>
    <row r="19810">
      <c r="B19810" s="36"/>
      <c r="C19810" s="36"/>
      <c r="E19810" s="1"/>
      <c r="F19810" s="1"/>
      <c r="G19810" s="1"/>
    </row>
    <row r="19811">
      <c r="B19811" s="36"/>
      <c r="C19811" s="36"/>
      <c r="E19811" s="1"/>
      <c r="F19811" s="1"/>
      <c r="G19811" s="1"/>
    </row>
    <row r="19812">
      <c r="B19812" s="36"/>
      <c r="C19812" s="36"/>
      <c r="E19812" s="1"/>
      <c r="F19812" s="1"/>
      <c r="G19812" s="1"/>
    </row>
    <row r="19813">
      <c r="B19813" s="36"/>
      <c r="C19813" s="36"/>
      <c r="E19813" s="1"/>
      <c r="F19813" s="1"/>
      <c r="G19813" s="1"/>
    </row>
    <row r="19814">
      <c r="B19814" s="36"/>
      <c r="C19814" s="36"/>
      <c r="E19814" s="1"/>
      <c r="F19814" s="1"/>
      <c r="G19814" s="1"/>
    </row>
    <row r="19815">
      <c r="B19815" s="36"/>
      <c r="C19815" s="36"/>
      <c r="E19815" s="1"/>
      <c r="F19815" s="1"/>
      <c r="G19815" s="1"/>
    </row>
    <row r="19816">
      <c r="B19816" s="36"/>
      <c r="C19816" s="36"/>
      <c r="E19816" s="1"/>
      <c r="F19816" s="1"/>
      <c r="G19816" s="1"/>
    </row>
    <row r="19817">
      <c r="B19817" s="36"/>
      <c r="C19817" s="36"/>
      <c r="E19817" s="1"/>
      <c r="F19817" s="1"/>
      <c r="G19817" s="1"/>
    </row>
    <row r="19818">
      <c r="B19818" s="36"/>
      <c r="C19818" s="36"/>
      <c r="E19818" s="1"/>
      <c r="F19818" s="1"/>
      <c r="G19818" s="1"/>
    </row>
    <row r="19819">
      <c r="B19819" s="36"/>
      <c r="C19819" s="36"/>
      <c r="E19819" s="1"/>
      <c r="F19819" s="1"/>
      <c r="G19819" s="1"/>
    </row>
    <row r="19820">
      <c r="B19820" s="36"/>
      <c r="C19820" s="36"/>
      <c r="E19820" s="1"/>
      <c r="F19820" s="1"/>
      <c r="G19820" s="1"/>
    </row>
    <row r="19821">
      <c r="B19821" s="36"/>
      <c r="C19821" s="36"/>
      <c r="E19821" s="1"/>
      <c r="F19821" s="1"/>
      <c r="G19821" s="1"/>
    </row>
    <row r="19822">
      <c r="B19822" s="36"/>
      <c r="C19822" s="36"/>
      <c r="E19822" s="1"/>
      <c r="F19822" s="1"/>
      <c r="G19822" s="1"/>
    </row>
    <row r="19823">
      <c r="B19823" s="36"/>
      <c r="C19823" s="36"/>
      <c r="E19823" s="1"/>
      <c r="F19823" s="1"/>
      <c r="G19823" s="1"/>
    </row>
    <row r="19824">
      <c r="B19824" s="36"/>
      <c r="C19824" s="36"/>
      <c r="E19824" s="1"/>
      <c r="F19824" s="1"/>
      <c r="G19824" s="1"/>
    </row>
    <row r="19825">
      <c r="B19825" s="36"/>
      <c r="C19825" s="36"/>
      <c r="E19825" s="1"/>
      <c r="F19825" s="1"/>
      <c r="G19825" s="1"/>
    </row>
    <row r="19826">
      <c r="B19826" s="36"/>
      <c r="C19826" s="36"/>
      <c r="E19826" s="1"/>
      <c r="F19826" s="1"/>
      <c r="G19826" s="1"/>
    </row>
    <row r="19827">
      <c r="B19827" s="36"/>
      <c r="C19827" s="36"/>
      <c r="E19827" s="1"/>
      <c r="F19827" s="1"/>
      <c r="G19827" s="1"/>
    </row>
    <row r="19828">
      <c r="B19828" s="36"/>
      <c r="C19828" s="36"/>
      <c r="E19828" s="1"/>
      <c r="F19828" s="1"/>
      <c r="G19828" s="1"/>
    </row>
    <row r="19829">
      <c r="B19829" s="36"/>
      <c r="C19829" s="36"/>
      <c r="E19829" s="1"/>
      <c r="F19829" s="1"/>
      <c r="G19829" s="1"/>
    </row>
    <row r="19830">
      <c r="B19830" s="36"/>
      <c r="C19830" s="36"/>
      <c r="E19830" s="1"/>
      <c r="F19830" s="1"/>
      <c r="G19830" s="1"/>
    </row>
    <row r="19831">
      <c r="B19831" s="36"/>
      <c r="C19831" s="36"/>
      <c r="E19831" s="1"/>
      <c r="F19831" s="1"/>
      <c r="G19831" s="1"/>
    </row>
    <row r="19832">
      <c r="B19832" s="36"/>
      <c r="C19832" s="36"/>
      <c r="E19832" s="1"/>
      <c r="F19832" s="1"/>
      <c r="G19832" s="1"/>
    </row>
    <row r="19833">
      <c r="B19833" s="36"/>
      <c r="C19833" s="36"/>
      <c r="E19833" s="1"/>
      <c r="F19833" s="1"/>
      <c r="G19833" s="1"/>
    </row>
    <row r="19834">
      <c r="B19834" s="36"/>
      <c r="C19834" s="36"/>
      <c r="E19834" s="1"/>
      <c r="F19834" s="1"/>
      <c r="G19834" s="1"/>
    </row>
    <row r="19835">
      <c r="B19835" s="36"/>
      <c r="C19835" s="36"/>
      <c r="E19835" s="1"/>
      <c r="F19835" s="1"/>
      <c r="G19835" s="1"/>
    </row>
    <row r="19836">
      <c r="B19836" s="36"/>
      <c r="C19836" s="36"/>
      <c r="E19836" s="1"/>
      <c r="F19836" s="1"/>
      <c r="G19836" s="1"/>
    </row>
    <row r="19837">
      <c r="B19837" s="36"/>
      <c r="C19837" s="36"/>
      <c r="E19837" s="1"/>
      <c r="F19837" s="1"/>
      <c r="G19837" s="1"/>
    </row>
    <row r="19838">
      <c r="B19838" s="36"/>
      <c r="C19838" s="36"/>
      <c r="E19838" s="1"/>
      <c r="F19838" s="1"/>
      <c r="G19838" s="1"/>
    </row>
    <row r="19839">
      <c r="B19839" s="36"/>
      <c r="C19839" s="36"/>
      <c r="E19839" s="1"/>
      <c r="F19839" s="1"/>
      <c r="G19839" s="1"/>
    </row>
    <row r="19840">
      <c r="B19840" s="36"/>
      <c r="C19840" s="36"/>
      <c r="E19840" s="1"/>
      <c r="F19840" s="1"/>
      <c r="G19840" s="1"/>
    </row>
    <row r="19841">
      <c r="B19841" s="36"/>
      <c r="C19841" s="36"/>
      <c r="E19841" s="1"/>
      <c r="F19841" s="1"/>
      <c r="G19841" s="1"/>
    </row>
    <row r="19842">
      <c r="B19842" s="36"/>
      <c r="C19842" s="36"/>
      <c r="E19842" s="1"/>
      <c r="F19842" s="1"/>
      <c r="G19842" s="1"/>
    </row>
    <row r="19843">
      <c r="B19843" s="36"/>
      <c r="C19843" s="36"/>
      <c r="E19843" s="1"/>
      <c r="F19843" s="1"/>
      <c r="G19843" s="1"/>
    </row>
    <row r="19844">
      <c r="B19844" s="36"/>
      <c r="C19844" s="36"/>
      <c r="E19844" s="1"/>
      <c r="F19844" s="1"/>
      <c r="G19844" s="1"/>
    </row>
    <row r="19845">
      <c r="B19845" s="36"/>
      <c r="C19845" s="36"/>
      <c r="E19845" s="1"/>
      <c r="F19845" s="1"/>
      <c r="G19845" s="1"/>
    </row>
    <row r="19846">
      <c r="B19846" s="36"/>
      <c r="C19846" s="36"/>
      <c r="E19846" s="1"/>
      <c r="F19846" s="1"/>
      <c r="G19846" s="1"/>
    </row>
    <row r="19847">
      <c r="B19847" s="36"/>
      <c r="C19847" s="36"/>
      <c r="E19847" s="1"/>
      <c r="F19847" s="1"/>
      <c r="G19847" s="1"/>
    </row>
    <row r="19848">
      <c r="B19848" s="36"/>
      <c r="C19848" s="36"/>
      <c r="E19848" s="1"/>
      <c r="F19848" s="1"/>
      <c r="G19848" s="1"/>
    </row>
    <row r="19849">
      <c r="B19849" s="36"/>
      <c r="C19849" s="36"/>
      <c r="E19849" s="1"/>
      <c r="F19849" s="1"/>
      <c r="G19849" s="1"/>
    </row>
    <row r="19850">
      <c r="B19850" s="36"/>
      <c r="C19850" s="36"/>
      <c r="E19850" s="1"/>
      <c r="F19850" s="1"/>
      <c r="G19850" s="1"/>
    </row>
    <row r="19851">
      <c r="B19851" s="36"/>
      <c r="C19851" s="36"/>
      <c r="E19851" s="1"/>
      <c r="F19851" s="1"/>
      <c r="G19851" s="1"/>
    </row>
    <row r="19852">
      <c r="B19852" s="36"/>
      <c r="C19852" s="36"/>
      <c r="E19852" s="1"/>
      <c r="F19852" s="1"/>
      <c r="G19852" s="1"/>
    </row>
    <row r="19853">
      <c r="B19853" s="36"/>
      <c r="C19853" s="36"/>
      <c r="E19853" s="1"/>
      <c r="F19853" s="1"/>
      <c r="G19853" s="1"/>
    </row>
    <row r="19854">
      <c r="B19854" s="36"/>
      <c r="C19854" s="36"/>
      <c r="E19854" s="1"/>
      <c r="F19854" s="1"/>
      <c r="G19854" s="1"/>
    </row>
    <row r="19855">
      <c r="B19855" s="36"/>
      <c r="C19855" s="36"/>
      <c r="E19855" s="1"/>
      <c r="F19855" s="1"/>
      <c r="G19855" s="1"/>
    </row>
    <row r="19856">
      <c r="B19856" s="36"/>
      <c r="C19856" s="36"/>
      <c r="E19856" s="1"/>
      <c r="F19856" s="1"/>
      <c r="G19856" s="1"/>
    </row>
    <row r="19857">
      <c r="B19857" s="36"/>
      <c r="C19857" s="36"/>
      <c r="E19857" s="1"/>
      <c r="F19857" s="1"/>
      <c r="G19857" s="1"/>
    </row>
    <row r="19858">
      <c r="B19858" s="36"/>
      <c r="C19858" s="36"/>
      <c r="E19858" s="1"/>
      <c r="F19858" s="1"/>
      <c r="G19858" s="1"/>
    </row>
    <row r="19859">
      <c r="B19859" s="36"/>
      <c r="C19859" s="36"/>
      <c r="E19859" s="1"/>
      <c r="F19859" s="1"/>
      <c r="G19859" s="1"/>
    </row>
    <row r="19860">
      <c r="B19860" s="36"/>
      <c r="C19860" s="36"/>
      <c r="E19860" s="1"/>
      <c r="F19860" s="1"/>
      <c r="G19860" s="1"/>
    </row>
    <row r="19861">
      <c r="B19861" s="36"/>
      <c r="C19861" s="36"/>
      <c r="E19861" s="1"/>
      <c r="F19861" s="1"/>
      <c r="G19861" s="1"/>
    </row>
    <row r="19862">
      <c r="B19862" s="36"/>
      <c r="C19862" s="36"/>
      <c r="E19862" s="1"/>
      <c r="F19862" s="1"/>
      <c r="G19862" s="1"/>
    </row>
    <row r="19863">
      <c r="B19863" s="36"/>
      <c r="C19863" s="36"/>
      <c r="E19863" s="1"/>
      <c r="F19863" s="1"/>
      <c r="G19863" s="1"/>
    </row>
    <row r="19864">
      <c r="B19864" s="36"/>
      <c r="C19864" s="36"/>
      <c r="E19864" s="1"/>
      <c r="F19864" s="1"/>
      <c r="G19864" s="1"/>
    </row>
    <row r="19865">
      <c r="B19865" s="36"/>
      <c r="C19865" s="36"/>
      <c r="E19865" s="1"/>
      <c r="F19865" s="1"/>
      <c r="G19865" s="1"/>
    </row>
    <row r="19866">
      <c r="B19866" s="36"/>
      <c r="C19866" s="36"/>
      <c r="E19866" s="1"/>
      <c r="F19866" s="1"/>
      <c r="G19866" s="1"/>
    </row>
    <row r="19867">
      <c r="B19867" s="36"/>
      <c r="C19867" s="36"/>
      <c r="E19867" s="1"/>
      <c r="F19867" s="1"/>
      <c r="G19867" s="1"/>
    </row>
    <row r="19868">
      <c r="B19868" s="36"/>
      <c r="C19868" s="36"/>
      <c r="E19868" s="1"/>
      <c r="F19868" s="1"/>
      <c r="G19868" s="1"/>
    </row>
    <row r="19869">
      <c r="B19869" s="36"/>
      <c r="C19869" s="36"/>
      <c r="E19869" s="1"/>
      <c r="F19869" s="1"/>
      <c r="G19869" s="1"/>
    </row>
    <row r="19870">
      <c r="B19870" s="36"/>
      <c r="C19870" s="36"/>
      <c r="E19870" s="1"/>
      <c r="F19870" s="1"/>
      <c r="G19870" s="1"/>
    </row>
    <row r="19871">
      <c r="B19871" s="36"/>
      <c r="C19871" s="36"/>
      <c r="E19871" s="1"/>
      <c r="F19871" s="1"/>
      <c r="G19871" s="1"/>
    </row>
    <row r="19872">
      <c r="B19872" s="36"/>
      <c r="C19872" s="36"/>
      <c r="E19872" s="1"/>
      <c r="F19872" s="1"/>
      <c r="G19872" s="1"/>
    </row>
    <row r="19873">
      <c r="B19873" s="36"/>
      <c r="C19873" s="36"/>
      <c r="E19873" s="1"/>
      <c r="F19873" s="1"/>
      <c r="G19873" s="1"/>
    </row>
    <row r="19874">
      <c r="B19874" s="36"/>
      <c r="C19874" s="36"/>
      <c r="E19874" s="1"/>
      <c r="F19874" s="1"/>
      <c r="G19874" s="1"/>
    </row>
    <row r="19875">
      <c r="B19875" s="36"/>
      <c r="C19875" s="36"/>
      <c r="E19875" s="1"/>
      <c r="F19875" s="1"/>
      <c r="G19875" s="1"/>
    </row>
    <row r="19876">
      <c r="B19876" s="36"/>
      <c r="C19876" s="36"/>
      <c r="E19876" s="1"/>
      <c r="F19876" s="1"/>
      <c r="G19876" s="1"/>
    </row>
    <row r="19877">
      <c r="B19877" s="36"/>
      <c r="C19877" s="36"/>
      <c r="E19877" s="1"/>
      <c r="F19877" s="1"/>
      <c r="G19877" s="1"/>
    </row>
    <row r="19878">
      <c r="B19878" s="36"/>
      <c r="C19878" s="36"/>
      <c r="E19878" s="1"/>
      <c r="F19878" s="1"/>
      <c r="G19878" s="1"/>
    </row>
    <row r="19879">
      <c r="B19879" s="36"/>
      <c r="C19879" s="36"/>
      <c r="E19879" s="1"/>
      <c r="F19879" s="1"/>
      <c r="G19879" s="1"/>
    </row>
    <row r="19880">
      <c r="B19880" s="36"/>
      <c r="C19880" s="36"/>
      <c r="E19880" s="1"/>
      <c r="F19880" s="1"/>
      <c r="G19880" s="1"/>
    </row>
    <row r="19881">
      <c r="B19881" s="36"/>
      <c r="C19881" s="36"/>
      <c r="E19881" s="1"/>
      <c r="F19881" s="1"/>
      <c r="G19881" s="1"/>
    </row>
    <row r="19882">
      <c r="B19882" s="36"/>
      <c r="C19882" s="36"/>
      <c r="E19882" s="1"/>
      <c r="F19882" s="1"/>
      <c r="G19882" s="1"/>
    </row>
    <row r="19883">
      <c r="B19883" s="36"/>
      <c r="C19883" s="36"/>
      <c r="E19883" s="1"/>
      <c r="F19883" s="1"/>
      <c r="G19883" s="1"/>
    </row>
    <row r="19884">
      <c r="B19884" s="36"/>
      <c r="C19884" s="36"/>
      <c r="E19884" s="1"/>
      <c r="F19884" s="1"/>
      <c r="G19884" s="1"/>
    </row>
    <row r="19885">
      <c r="B19885" s="36"/>
      <c r="C19885" s="36"/>
      <c r="E19885" s="1"/>
      <c r="F19885" s="1"/>
      <c r="G19885" s="1"/>
    </row>
    <row r="19886">
      <c r="B19886" s="36"/>
      <c r="C19886" s="36"/>
      <c r="E19886" s="1"/>
      <c r="F19886" s="1"/>
      <c r="G19886" s="1"/>
    </row>
    <row r="19887">
      <c r="B19887" s="36"/>
      <c r="C19887" s="36"/>
      <c r="E19887" s="1"/>
      <c r="F19887" s="1"/>
      <c r="G19887" s="1"/>
    </row>
    <row r="19888">
      <c r="B19888" s="36"/>
      <c r="C19888" s="36"/>
      <c r="E19888" s="1"/>
      <c r="F19888" s="1"/>
      <c r="G19888" s="1"/>
    </row>
    <row r="19889">
      <c r="B19889" s="36"/>
      <c r="C19889" s="36"/>
      <c r="E19889" s="1"/>
      <c r="F19889" s="1"/>
      <c r="G19889" s="1"/>
    </row>
    <row r="19890">
      <c r="B19890" s="36"/>
      <c r="C19890" s="36"/>
      <c r="E19890" s="1"/>
      <c r="F19890" s="1"/>
      <c r="G19890" s="1"/>
    </row>
    <row r="19891">
      <c r="B19891" s="36"/>
      <c r="C19891" s="36"/>
      <c r="E19891" s="1"/>
      <c r="F19891" s="1"/>
      <c r="G19891" s="1"/>
    </row>
    <row r="19892">
      <c r="B19892" s="36"/>
      <c r="C19892" s="36"/>
      <c r="E19892" s="1"/>
      <c r="F19892" s="1"/>
      <c r="G19892" s="1"/>
    </row>
    <row r="19893">
      <c r="B19893" s="36"/>
      <c r="C19893" s="36"/>
      <c r="E19893" s="1"/>
      <c r="F19893" s="1"/>
      <c r="G19893" s="1"/>
    </row>
    <row r="19894">
      <c r="B19894" s="36"/>
      <c r="C19894" s="36"/>
      <c r="E19894" s="1"/>
      <c r="F19894" s="1"/>
      <c r="G19894" s="1"/>
    </row>
    <row r="19895">
      <c r="B19895" s="36"/>
      <c r="C19895" s="36"/>
      <c r="E19895" s="1"/>
      <c r="F19895" s="1"/>
      <c r="G19895" s="1"/>
    </row>
    <row r="19896">
      <c r="B19896" s="36"/>
      <c r="C19896" s="36"/>
      <c r="E19896" s="1"/>
      <c r="F19896" s="1"/>
      <c r="G19896" s="1"/>
    </row>
    <row r="19897">
      <c r="B19897" s="36"/>
      <c r="C19897" s="36"/>
      <c r="E19897" s="1"/>
      <c r="F19897" s="1"/>
      <c r="G19897" s="1"/>
    </row>
    <row r="19898">
      <c r="B19898" s="36"/>
      <c r="C19898" s="36"/>
      <c r="E19898" s="1"/>
      <c r="F19898" s="1"/>
      <c r="G19898" s="1"/>
    </row>
    <row r="19899">
      <c r="B19899" s="36"/>
      <c r="C19899" s="36"/>
      <c r="E19899" s="1"/>
      <c r="F19899" s="1"/>
      <c r="G19899" s="1"/>
    </row>
    <row r="19900">
      <c r="B19900" s="36"/>
      <c r="C19900" s="36"/>
      <c r="E19900" s="1"/>
      <c r="F19900" s="1"/>
      <c r="G19900" s="1"/>
    </row>
    <row r="19901">
      <c r="B19901" s="36"/>
      <c r="C19901" s="36"/>
      <c r="E19901" s="1"/>
      <c r="F19901" s="1"/>
      <c r="G19901" s="1"/>
    </row>
    <row r="19902">
      <c r="B19902" s="36"/>
      <c r="C19902" s="36"/>
      <c r="E19902" s="1"/>
      <c r="F19902" s="1"/>
      <c r="G19902" s="1"/>
    </row>
    <row r="19903">
      <c r="B19903" s="36"/>
      <c r="C19903" s="36"/>
      <c r="E19903" s="1"/>
      <c r="F19903" s="1"/>
      <c r="G19903" s="1"/>
    </row>
    <row r="19904">
      <c r="B19904" s="36"/>
      <c r="C19904" s="36"/>
      <c r="E19904" s="1"/>
      <c r="F19904" s="1"/>
      <c r="G19904" s="1"/>
    </row>
    <row r="19905">
      <c r="B19905" s="36"/>
      <c r="C19905" s="36"/>
      <c r="E19905" s="1"/>
      <c r="F19905" s="1"/>
      <c r="G19905" s="1"/>
    </row>
    <row r="19906">
      <c r="B19906" s="36"/>
      <c r="C19906" s="36"/>
      <c r="E19906" s="1"/>
      <c r="F19906" s="1"/>
      <c r="G19906" s="1"/>
    </row>
    <row r="19907">
      <c r="B19907" s="36"/>
      <c r="C19907" s="36"/>
      <c r="E19907" s="1"/>
      <c r="F19907" s="1"/>
      <c r="G19907" s="1"/>
    </row>
    <row r="19908">
      <c r="B19908" s="36"/>
      <c r="C19908" s="36"/>
      <c r="E19908" s="1"/>
      <c r="F19908" s="1"/>
      <c r="G19908" s="1"/>
    </row>
    <row r="19909">
      <c r="B19909" s="36"/>
      <c r="C19909" s="36"/>
      <c r="E19909" s="1"/>
      <c r="F19909" s="1"/>
      <c r="G19909" s="1"/>
    </row>
    <row r="19910">
      <c r="B19910" s="36"/>
      <c r="C19910" s="36"/>
      <c r="E19910" s="1"/>
      <c r="F19910" s="1"/>
      <c r="G19910" s="1"/>
    </row>
    <row r="19911">
      <c r="B19911" s="36"/>
      <c r="C19911" s="36"/>
      <c r="E19911" s="1"/>
      <c r="F19911" s="1"/>
      <c r="G19911" s="1"/>
    </row>
    <row r="19912">
      <c r="B19912" s="36"/>
      <c r="C19912" s="36"/>
      <c r="E19912" s="1"/>
      <c r="F19912" s="1"/>
      <c r="G19912" s="1"/>
    </row>
    <row r="19913">
      <c r="B19913" s="36"/>
      <c r="C19913" s="36"/>
      <c r="E19913" s="1"/>
      <c r="F19913" s="1"/>
      <c r="G19913" s="1"/>
    </row>
    <row r="19914">
      <c r="B19914" s="36"/>
      <c r="C19914" s="36"/>
      <c r="E19914" s="1"/>
      <c r="F19914" s="1"/>
      <c r="G19914" s="1"/>
    </row>
    <row r="19915">
      <c r="B19915" s="36"/>
      <c r="C19915" s="36"/>
      <c r="E19915" s="1"/>
      <c r="F19915" s="1"/>
      <c r="G19915" s="1"/>
    </row>
    <row r="19916">
      <c r="B19916" s="36"/>
      <c r="C19916" s="36"/>
      <c r="E19916" s="1"/>
      <c r="F19916" s="1"/>
      <c r="G19916" s="1"/>
    </row>
    <row r="19917">
      <c r="B19917" s="36"/>
      <c r="C19917" s="36"/>
      <c r="E19917" s="1"/>
      <c r="F19917" s="1"/>
      <c r="G19917" s="1"/>
    </row>
    <row r="19918">
      <c r="B19918" s="36"/>
      <c r="C19918" s="36"/>
      <c r="E19918" s="1"/>
      <c r="F19918" s="1"/>
      <c r="G19918" s="1"/>
    </row>
    <row r="19919">
      <c r="B19919" s="36"/>
      <c r="C19919" s="36"/>
      <c r="E19919" s="1"/>
      <c r="F19919" s="1"/>
      <c r="G19919" s="1"/>
    </row>
    <row r="19920">
      <c r="B19920" s="36"/>
      <c r="C19920" s="36"/>
      <c r="E19920" s="1"/>
      <c r="F19920" s="1"/>
      <c r="G19920" s="1"/>
    </row>
    <row r="19921">
      <c r="B19921" s="36"/>
      <c r="C19921" s="36"/>
      <c r="E19921" s="1"/>
      <c r="F19921" s="1"/>
      <c r="G19921" s="1"/>
    </row>
    <row r="19922">
      <c r="B19922" s="36"/>
      <c r="C19922" s="36"/>
      <c r="E19922" s="1"/>
      <c r="F19922" s="1"/>
      <c r="G19922" s="1"/>
    </row>
    <row r="19923">
      <c r="B19923" s="36"/>
      <c r="C19923" s="36"/>
      <c r="E19923" s="1"/>
      <c r="F19923" s="1"/>
      <c r="G19923" s="1"/>
    </row>
    <row r="19924">
      <c r="B19924" s="36"/>
      <c r="C19924" s="36"/>
      <c r="E19924" s="1"/>
      <c r="F19924" s="1"/>
      <c r="G19924" s="1"/>
    </row>
    <row r="19925">
      <c r="B19925" s="36"/>
      <c r="C19925" s="36"/>
      <c r="E19925" s="1"/>
      <c r="F19925" s="1"/>
      <c r="G19925" s="1"/>
    </row>
    <row r="19926">
      <c r="B19926" s="36"/>
      <c r="C19926" s="36"/>
      <c r="E19926" s="1"/>
      <c r="F19926" s="1"/>
      <c r="G19926" s="1"/>
    </row>
    <row r="19927">
      <c r="B19927" s="36"/>
      <c r="C19927" s="36"/>
      <c r="E19927" s="1"/>
      <c r="F19927" s="1"/>
      <c r="G19927" s="1"/>
    </row>
    <row r="19928">
      <c r="B19928" s="36"/>
      <c r="C19928" s="36"/>
      <c r="E19928" s="1"/>
      <c r="F19928" s="1"/>
      <c r="G19928" s="1"/>
    </row>
    <row r="19929">
      <c r="B19929" s="36"/>
      <c r="C19929" s="36"/>
      <c r="E19929" s="1"/>
      <c r="F19929" s="1"/>
      <c r="G19929" s="1"/>
    </row>
    <row r="19930">
      <c r="B19930" s="36"/>
      <c r="C19930" s="36"/>
      <c r="E19930" s="1"/>
      <c r="F19930" s="1"/>
      <c r="G19930" s="1"/>
    </row>
    <row r="19931">
      <c r="B19931" s="36"/>
      <c r="C19931" s="36"/>
      <c r="E19931" s="1"/>
      <c r="F19931" s="1"/>
      <c r="G19931" s="1"/>
    </row>
    <row r="19932">
      <c r="B19932" s="36"/>
      <c r="C19932" s="36"/>
      <c r="E19932" s="1"/>
      <c r="F19932" s="1"/>
      <c r="G19932" s="1"/>
    </row>
    <row r="19933">
      <c r="B19933" s="36"/>
      <c r="C19933" s="36"/>
      <c r="E19933" s="1"/>
      <c r="F19933" s="1"/>
      <c r="G19933" s="1"/>
    </row>
    <row r="19934">
      <c r="B19934" s="36"/>
      <c r="C19934" s="36"/>
      <c r="E19934" s="1"/>
      <c r="F19934" s="1"/>
      <c r="G19934" s="1"/>
    </row>
    <row r="19935">
      <c r="B19935" s="36"/>
      <c r="C19935" s="36"/>
      <c r="E19935" s="1"/>
      <c r="F19935" s="1"/>
      <c r="G19935" s="1"/>
    </row>
    <row r="19936">
      <c r="B19936" s="36"/>
      <c r="C19936" s="36"/>
      <c r="E19936" s="1"/>
      <c r="F19936" s="1"/>
      <c r="G19936" s="1"/>
    </row>
    <row r="19937">
      <c r="B19937" s="36"/>
      <c r="C19937" s="36"/>
      <c r="E19937" s="1"/>
      <c r="F19937" s="1"/>
      <c r="G19937" s="1"/>
    </row>
    <row r="19938">
      <c r="B19938" s="36"/>
      <c r="C19938" s="36"/>
      <c r="E19938" s="1"/>
      <c r="F19938" s="1"/>
      <c r="G19938" s="1"/>
    </row>
    <row r="19939">
      <c r="B19939" s="36"/>
      <c r="C19939" s="36"/>
      <c r="E19939" s="1"/>
      <c r="F19939" s="1"/>
      <c r="G19939" s="1"/>
    </row>
    <row r="19940">
      <c r="B19940" s="36"/>
      <c r="C19940" s="36"/>
      <c r="E19940" s="1"/>
      <c r="F19940" s="1"/>
      <c r="G19940" s="1"/>
    </row>
    <row r="19941">
      <c r="B19941" s="36"/>
      <c r="C19941" s="36"/>
      <c r="E19941" s="1"/>
      <c r="F19941" s="1"/>
      <c r="G19941" s="1"/>
    </row>
    <row r="19942">
      <c r="B19942" s="36"/>
      <c r="C19942" s="36"/>
      <c r="E19942" s="1"/>
      <c r="F19942" s="1"/>
      <c r="G19942" s="1"/>
    </row>
    <row r="19943">
      <c r="B19943" s="36"/>
      <c r="C19943" s="36"/>
      <c r="E19943" s="1"/>
      <c r="F19943" s="1"/>
      <c r="G19943" s="1"/>
    </row>
    <row r="19944">
      <c r="B19944" s="36"/>
      <c r="C19944" s="36"/>
      <c r="E19944" s="1"/>
      <c r="F19944" s="1"/>
      <c r="G19944" s="1"/>
    </row>
    <row r="19945">
      <c r="B19945" s="36"/>
      <c r="C19945" s="36"/>
      <c r="E19945" s="1"/>
      <c r="F19945" s="1"/>
      <c r="G19945" s="1"/>
    </row>
    <row r="19946">
      <c r="B19946" s="36"/>
      <c r="C19946" s="36"/>
      <c r="E19946" s="1"/>
      <c r="F19946" s="1"/>
      <c r="G19946" s="1"/>
    </row>
    <row r="19947">
      <c r="B19947" s="36"/>
      <c r="C19947" s="36"/>
      <c r="E19947" s="1"/>
      <c r="F19947" s="1"/>
      <c r="G19947" s="1"/>
    </row>
    <row r="19948">
      <c r="B19948" s="36"/>
      <c r="C19948" s="36"/>
      <c r="E19948" s="1"/>
      <c r="F19948" s="1"/>
      <c r="G19948" s="1"/>
    </row>
    <row r="19949">
      <c r="B19949" s="36"/>
      <c r="C19949" s="36"/>
      <c r="E19949" s="1"/>
      <c r="F19949" s="1"/>
      <c r="G19949" s="1"/>
    </row>
    <row r="19950">
      <c r="B19950" s="36"/>
      <c r="C19950" s="36"/>
      <c r="E19950" s="1"/>
      <c r="F19950" s="1"/>
      <c r="G19950" s="1"/>
    </row>
    <row r="19951">
      <c r="B19951" s="36"/>
      <c r="C19951" s="36"/>
      <c r="E19951" s="1"/>
      <c r="F19951" s="1"/>
      <c r="G19951" s="1"/>
    </row>
    <row r="19952">
      <c r="B19952" s="36"/>
      <c r="C19952" s="36"/>
      <c r="E19952" s="1"/>
      <c r="F19952" s="1"/>
      <c r="G19952" s="1"/>
    </row>
    <row r="19953">
      <c r="B19953" s="36"/>
      <c r="C19953" s="36"/>
      <c r="E19953" s="1"/>
      <c r="F19953" s="1"/>
      <c r="G19953" s="1"/>
    </row>
    <row r="19954">
      <c r="B19954" s="36"/>
      <c r="C19954" s="36"/>
      <c r="E19954" s="1"/>
      <c r="F19954" s="1"/>
      <c r="G19954" s="1"/>
    </row>
    <row r="19955">
      <c r="B19955" s="36"/>
      <c r="C19955" s="36"/>
      <c r="E19955" s="1"/>
      <c r="F19955" s="1"/>
      <c r="G19955" s="1"/>
    </row>
    <row r="19956">
      <c r="B19956" s="36"/>
      <c r="C19956" s="36"/>
      <c r="E19956" s="1"/>
      <c r="F19956" s="1"/>
      <c r="G19956" s="1"/>
    </row>
    <row r="19957">
      <c r="B19957" s="36"/>
      <c r="C19957" s="36"/>
      <c r="E19957" s="1"/>
      <c r="F19957" s="1"/>
      <c r="G19957" s="1"/>
    </row>
    <row r="19958">
      <c r="B19958" s="36"/>
      <c r="C19958" s="36"/>
      <c r="E19958" s="1"/>
      <c r="F19958" s="1"/>
      <c r="G19958" s="1"/>
    </row>
    <row r="19959">
      <c r="B19959" s="36"/>
      <c r="C19959" s="36"/>
      <c r="E19959" s="1"/>
      <c r="F19959" s="1"/>
      <c r="G19959" s="1"/>
    </row>
    <row r="19960">
      <c r="B19960" s="36"/>
      <c r="C19960" s="36"/>
      <c r="E19960" s="1"/>
      <c r="F19960" s="1"/>
      <c r="G19960" s="1"/>
    </row>
    <row r="19961">
      <c r="B19961" s="36"/>
      <c r="C19961" s="36"/>
      <c r="E19961" s="1"/>
      <c r="F19961" s="1"/>
      <c r="G19961" s="1"/>
    </row>
    <row r="19962">
      <c r="B19962" s="36"/>
      <c r="C19962" s="36"/>
      <c r="E19962" s="1"/>
      <c r="F19962" s="1"/>
      <c r="G19962" s="1"/>
    </row>
    <row r="19963">
      <c r="B19963" s="36"/>
      <c r="C19963" s="36"/>
      <c r="E19963" s="1"/>
      <c r="F19963" s="1"/>
      <c r="G19963" s="1"/>
    </row>
    <row r="19964">
      <c r="B19964" s="36"/>
      <c r="C19964" s="36"/>
      <c r="E19964" s="1"/>
      <c r="F19964" s="1"/>
      <c r="G19964" s="1"/>
    </row>
    <row r="19965">
      <c r="B19965" s="36"/>
      <c r="C19965" s="36"/>
      <c r="E19965" s="1"/>
      <c r="F19965" s="1"/>
      <c r="G19965" s="1"/>
    </row>
    <row r="19966">
      <c r="B19966" s="36"/>
      <c r="C19966" s="36"/>
      <c r="E19966" s="1"/>
      <c r="F19966" s="1"/>
      <c r="G19966" s="1"/>
    </row>
    <row r="19967">
      <c r="B19967" s="36"/>
      <c r="C19967" s="36"/>
      <c r="E19967" s="1"/>
      <c r="F19967" s="1"/>
      <c r="G19967" s="1"/>
    </row>
    <row r="19968">
      <c r="B19968" s="36"/>
      <c r="C19968" s="36"/>
      <c r="E19968" s="1"/>
      <c r="F19968" s="1"/>
      <c r="G19968" s="1"/>
    </row>
    <row r="19969">
      <c r="B19969" s="36"/>
      <c r="C19969" s="36"/>
      <c r="E19969" s="1"/>
      <c r="F19969" s="1"/>
      <c r="G19969" s="1"/>
    </row>
    <row r="19970">
      <c r="B19970" s="36"/>
      <c r="C19970" s="36"/>
      <c r="E19970" s="1"/>
      <c r="F19970" s="1"/>
      <c r="G19970" s="1"/>
    </row>
    <row r="19971">
      <c r="B19971" s="36"/>
      <c r="C19971" s="36"/>
      <c r="E19971" s="1"/>
      <c r="F19971" s="1"/>
      <c r="G19971" s="1"/>
    </row>
    <row r="19972">
      <c r="B19972" s="36"/>
      <c r="C19972" s="36"/>
      <c r="E19972" s="1"/>
      <c r="F19972" s="1"/>
      <c r="G19972" s="1"/>
    </row>
    <row r="19973">
      <c r="B19973" s="36"/>
      <c r="C19973" s="36"/>
      <c r="E19973" s="1"/>
      <c r="F19973" s="1"/>
      <c r="G19973" s="1"/>
    </row>
    <row r="19974">
      <c r="B19974" s="36"/>
      <c r="C19974" s="36"/>
      <c r="E19974" s="1"/>
      <c r="F19974" s="1"/>
      <c r="G19974" s="1"/>
    </row>
    <row r="19975">
      <c r="B19975" s="36"/>
      <c r="C19975" s="36"/>
      <c r="E19975" s="1"/>
      <c r="F19975" s="1"/>
      <c r="G19975" s="1"/>
    </row>
    <row r="19976">
      <c r="B19976" s="36"/>
      <c r="C19976" s="36"/>
      <c r="E19976" s="1"/>
      <c r="F19976" s="1"/>
      <c r="G19976" s="1"/>
    </row>
    <row r="19977">
      <c r="B19977" s="36"/>
      <c r="C19977" s="36"/>
      <c r="E19977" s="1"/>
      <c r="F19977" s="1"/>
      <c r="G19977" s="1"/>
    </row>
    <row r="19978">
      <c r="B19978" s="36"/>
      <c r="C19978" s="36"/>
      <c r="E19978" s="1"/>
      <c r="F19978" s="1"/>
      <c r="G19978" s="1"/>
    </row>
    <row r="19979">
      <c r="B19979" s="36"/>
      <c r="C19979" s="36"/>
      <c r="E19979" s="1"/>
      <c r="F19979" s="1"/>
      <c r="G19979" s="1"/>
    </row>
    <row r="19980">
      <c r="B19980" s="36"/>
      <c r="C19980" s="36"/>
      <c r="E19980" s="1"/>
      <c r="F19980" s="1"/>
      <c r="G19980" s="1"/>
    </row>
    <row r="19981">
      <c r="B19981" s="36"/>
      <c r="C19981" s="36"/>
      <c r="E19981" s="1"/>
      <c r="F19981" s="1"/>
      <c r="G19981" s="1"/>
    </row>
    <row r="19982">
      <c r="B19982" s="36"/>
      <c r="C19982" s="36"/>
      <c r="E19982" s="1"/>
      <c r="F19982" s="1"/>
      <c r="G19982" s="1"/>
    </row>
    <row r="19983">
      <c r="B19983" s="36"/>
      <c r="C19983" s="36"/>
      <c r="E19983" s="1"/>
      <c r="F19983" s="1"/>
      <c r="G19983" s="1"/>
    </row>
    <row r="19984">
      <c r="B19984" s="36"/>
      <c r="C19984" s="36"/>
      <c r="E19984" s="1"/>
      <c r="F19984" s="1"/>
      <c r="G19984" s="1"/>
    </row>
    <row r="19985">
      <c r="B19985" s="36"/>
      <c r="C19985" s="36"/>
      <c r="E19985" s="1"/>
      <c r="F19985" s="1"/>
      <c r="G19985" s="1"/>
    </row>
    <row r="19986">
      <c r="B19986" s="36"/>
      <c r="C19986" s="36"/>
      <c r="E19986" s="1"/>
      <c r="F19986" s="1"/>
      <c r="G19986" s="1"/>
    </row>
    <row r="19987">
      <c r="B19987" s="36"/>
      <c r="C19987" s="36"/>
      <c r="E19987" s="1"/>
      <c r="F19987" s="1"/>
      <c r="G19987" s="1"/>
    </row>
    <row r="19988">
      <c r="B19988" s="36"/>
      <c r="C19988" s="36"/>
      <c r="E19988" s="1"/>
      <c r="F19988" s="1"/>
      <c r="G19988" s="1"/>
    </row>
    <row r="19989">
      <c r="B19989" s="36"/>
      <c r="C19989" s="36"/>
      <c r="E19989" s="1"/>
      <c r="F19989" s="1"/>
      <c r="G19989" s="1"/>
    </row>
    <row r="19990">
      <c r="B19990" s="36"/>
      <c r="C19990" s="36"/>
      <c r="E19990" s="1"/>
      <c r="F19990" s="1"/>
      <c r="G19990" s="1"/>
    </row>
    <row r="19991">
      <c r="B19991" s="36"/>
      <c r="C19991" s="36"/>
      <c r="E19991" s="1"/>
      <c r="F19991" s="1"/>
      <c r="G19991" s="1"/>
    </row>
    <row r="19992">
      <c r="B19992" s="36"/>
      <c r="C19992" s="36"/>
      <c r="E19992" s="1"/>
      <c r="F19992" s="1"/>
      <c r="G19992" s="1"/>
    </row>
    <row r="19993">
      <c r="B19993" s="36"/>
      <c r="C19993" s="36"/>
      <c r="E19993" s="1"/>
      <c r="F19993" s="1"/>
      <c r="G19993" s="1"/>
    </row>
    <row r="19994">
      <c r="B19994" s="36"/>
      <c r="C19994" s="36"/>
      <c r="E19994" s="1"/>
      <c r="F19994" s="1"/>
      <c r="G19994" s="1"/>
    </row>
    <row r="19995">
      <c r="B19995" s="36"/>
      <c r="C19995" s="36"/>
      <c r="E19995" s="1"/>
      <c r="F19995" s="1"/>
      <c r="G19995" s="1"/>
    </row>
    <row r="19996">
      <c r="B19996" s="36"/>
      <c r="C19996" s="36"/>
      <c r="E19996" s="1"/>
      <c r="F19996" s="1"/>
      <c r="G19996" s="1"/>
    </row>
    <row r="19997">
      <c r="B19997" s="36"/>
      <c r="C19997" s="36"/>
      <c r="E19997" s="1"/>
      <c r="F19997" s="1"/>
      <c r="G19997" s="1"/>
    </row>
    <row r="19998">
      <c r="B19998" s="36"/>
      <c r="C19998" s="36"/>
      <c r="E19998" s="1"/>
      <c r="F19998" s="1"/>
      <c r="G19998" s="1"/>
    </row>
    <row r="19999">
      <c r="B19999" s="36"/>
      <c r="C19999" s="36"/>
      <c r="E19999" s="1"/>
      <c r="F19999" s="1"/>
      <c r="G19999" s="1"/>
    </row>
    <row r="20000">
      <c r="B20000" s="36"/>
      <c r="C20000" s="36"/>
      <c r="E20000" s="1"/>
      <c r="F20000" s="1"/>
      <c r="G20000" s="1"/>
    </row>
    <row r="20001">
      <c r="B20001" s="36"/>
      <c r="C20001" s="36"/>
      <c r="E20001" s="1"/>
      <c r="F20001" s="1"/>
      <c r="G20001" s="1"/>
    </row>
    <row r="20002">
      <c r="B20002" s="36"/>
      <c r="C20002" s="36"/>
      <c r="E20002" s="1"/>
      <c r="F20002" s="1"/>
      <c r="G20002" s="1"/>
    </row>
    <row r="20003">
      <c r="B20003" s="36"/>
      <c r="C20003" s="36"/>
      <c r="E20003" s="1"/>
      <c r="F20003" s="1"/>
      <c r="G20003" s="1"/>
    </row>
    <row r="20004">
      <c r="B20004" s="36"/>
      <c r="C20004" s="36"/>
      <c r="E20004" s="1"/>
      <c r="F20004" s="1"/>
      <c r="G20004" s="1"/>
    </row>
    <row r="20005">
      <c r="B20005" s="36"/>
      <c r="C20005" s="36"/>
      <c r="E20005" s="1"/>
      <c r="F20005" s="1"/>
      <c r="G20005" s="1"/>
    </row>
    <row r="20006">
      <c r="B20006" s="36"/>
      <c r="C20006" s="36"/>
      <c r="E20006" s="1"/>
      <c r="F20006" s="1"/>
      <c r="G20006" s="1"/>
    </row>
    <row r="20007">
      <c r="B20007" s="36"/>
      <c r="C20007" s="36"/>
      <c r="E20007" s="1"/>
      <c r="F20007" s="1"/>
      <c r="G20007" s="1"/>
    </row>
    <row r="20008">
      <c r="B20008" s="36"/>
      <c r="C20008" s="36"/>
      <c r="E20008" s="1"/>
      <c r="F20008" s="1"/>
      <c r="G20008" s="1"/>
    </row>
    <row r="20009">
      <c r="B20009" s="36"/>
      <c r="C20009" s="36"/>
      <c r="E20009" s="1"/>
      <c r="F20009" s="1"/>
      <c r="G20009" s="1"/>
    </row>
    <row r="20010">
      <c r="B20010" s="36"/>
      <c r="C20010" s="36"/>
      <c r="E20010" s="1"/>
      <c r="F20010" s="1"/>
      <c r="G20010" s="1"/>
    </row>
    <row r="20011">
      <c r="B20011" s="36"/>
      <c r="C20011" s="36"/>
      <c r="E20011" s="1"/>
      <c r="F20011" s="1"/>
      <c r="G20011" s="1"/>
    </row>
    <row r="20012">
      <c r="B20012" s="36"/>
      <c r="C20012" s="36"/>
      <c r="E20012" s="1"/>
      <c r="F20012" s="1"/>
      <c r="G20012" s="1"/>
    </row>
    <row r="20013">
      <c r="B20013" s="36"/>
      <c r="C20013" s="36"/>
      <c r="E20013" s="1"/>
      <c r="F20013" s="1"/>
      <c r="G20013" s="1"/>
    </row>
    <row r="20014">
      <c r="B20014" s="36"/>
      <c r="C20014" s="36"/>
      <c r="E20014" s="1"/>
      <c r="F20014" s="1"/>
      <c r="G20014" s="1"/>
    </row>
    <row r="20015">
      <c r="B20015" s="36"/>
      <c r="C20015" s="36"/>
      <c r="E20015" s="1"/>
      <c r="F20015" s="1"/>
      <c r="G20015" s="1"/>
    </row>
    <row r="20016">
      <c r="B20016" s="36"/>
      <c r="C20016" s="36"/>
      <c r="E20016" s="1"/>
      <c r="F20016" s="1"/>
      <c r="G20016" s="1"/>
    </row>
    <row r="20017">
      <c r="B20017" s="36"/>
      <c r="C20017" s="36"/>
      <c r="E20017" s="1"/>
      <c r="F20017" s="1"/>
      <c r="G20017" s="1"/>
    </row>
    <row r="20018">
      <c r="B20018" s="36"/>
      <c r="C20018" s="36"/>
      <c r="E20018" s="1"/>
      <c r="F20018" s="1"/>
      <c r="G20018" s="1"/>
    </row>
    <row r="20019">
      <c r="B20019" s="36"/>
      <c r="C20019" s="36"/>
      <c r="E20019" s="1"/>
      <c r="F20019" s="1"/>
      <c r="G20019" s="1"/>
    </row>
    <row r="20020">
      <c r="B20020" s="36"/>
      <c r="C20020" s="36"/>
      <c r="E20020" s="1"/>
      <c r="F20020" s="1"/>
      <c r="G20020" s="1"/>
    </row>
    <row r="20021">
      <c r="B20021" s="36"/>
      <c r="C20021" s="36"/>
      <c r="E20021" s="1"/>
      <c r="F20021" s="1"/>
      <c r="G20021" s="1"/>
    </row>
    <row r="20022">
      <c r="B20022" s="36"/>
      <c r="C20022" s="36"/>
      <c r="E20022" s="1"/>
      <c r="F20022" s="1"/>
      <c r="G20022" s="1"/>
    </row>
    <row r="20023">
      <c r="B20023" s="36"/>
      <c r="C20023" s="36"/>
      <c r="E20023" s="1"/>
      <c r="F20023" s="1"/>
      <c r="G20023" s="1"/>
    </row>
    <row r="20024">
      <c r="B20024" s="36"/>
      <c r="C20024" s="36"/>
      <c r="E20024" s="1"/>
      <c r="F20024" s="1"/>
      <c r="G20024" s="1"/>
    </row>
    <row r="20025">
      <c r="B20025" s="36"/>
      <c r="C20025" s="36"/>
      <c r="E20025" s="1"/>
      <c r="F20025" s="1"/>
      <c r="G20025" s="1"/>
    </row>
    <row r="20026">
      <c r="B20026" s="36"/>
      <c r="C20026" s="36"/>
      <c r="E20026" s="1"/>
      <c r="F20026" s="1"/>
      <c r="G20026" s="1"/>
    </row>
    <row r="20027">
      <c r="B20027" s="36"/>
      <c r="C20027" s="36"/>
      <c r="E20027" s="1"/>
      <c r="F20027" s="1"/>
      <c r="G20027" s="1"/>
    </row>
    <row r="20028">
      <c r="B20028" s="36"/>
      <c r="C20028" s="36"/>
      <c r="E20028" s="1"/>
      <c r="F20028" s="1"/>
      <c r="G20028" s="1"/>
    </row>
    <row r="20029">
      <c r="B20029" s="36"/>
      <c r="C20029" s="36"/>
      <c r="E20029" s="1"/>
      <c r="F20029" s="1"/>
      <c r="G20029" s="1"/>
    </row>
    <row r="20030">
      <c r="B20030" s="36"/>
      <c r="C20030" s="36"/>
      <c r="E20030" s="1"/>
      <c r="F20030" s="1"/>
      <c r="G20030" s="1"/>
    </row>
    <row r="20031">
      <c r="B20031" s="36"/>
      <c r="C20031" s="36"/>
      <c r="E20031" s="1"/>
      <c r="F20031" s="1"/>
      <c r="G20031" s="1"/>
    </row>
    <row r="20032">
      <c r="B20032" s="36"/>
      <c r="C20032" s="36"/>
      <c r="E20032" s="1"/>
      <c r="F20032" s="1"/>
      <c r="G20032" s="1"/>
    </row>
    <row r="20033">
      <c r="B20033" s="36"/>
      <c r="C20033" s="36"/>
      <c r="E20033" s="1"/>
      <c r="F20033" s="1"/>
      <c r="G20033" s="1"/>
    </row>
    <row r="20034">
      <c r="B20034" s="36"/>
      <c r="C20034" s="36"/>
      <c r="E20034" s="1"/>
      <c r="F20034" s="1"/>
      <c r="G20034" s="1"/>
    </row>
    <row r="20035">
      <c r="B20035" s="36"/>
      <c r="C20035" s="36"/>
      <c r="E20035" s="1"/>
      <c r="F20035" s="1"/>
      <c r="G20035" s="1"/>
    </row>
    <row r="20036">
      <c r="B20036" s="36"/>
      <c r="C20036" s="36"/>
      <c r="E20036" s="1"/>
      <c r="F20036" s="1"/>
      <c r="G20036" s="1"/>
    </row>
    <row r="20037">
      <c r="B20037" s="36"/>
      <c r="C20037" s="36"/>
      <c r="E20037" s="1"/>
      <c r="F20037" s="1"/>
      <c r="G20037" s="1"/>
    </row>
    <row r="20038">
      <c r="B20038" s="36"/>
      <c r="C20038" s="36"/>
      <c r="E20038" s="1"/>
      <c r="F20038" s="1"/>
      <c r="G20038" s="1"/>
    </row>
    <row r="20039">
      <c r="B20039" s="36"/>
      <c r="C20039" s="36"/>
      <c r="E20039" s="1"/>
      <c r="F20039" s="1"/>
      <c r="G20039" s="1"/>
    </row>
    <row r="20040">
      <c r="B20040" s="36"/>
      <c r="C20040" s="36"/>
      <c r="E20040" s="1"/>
      <c r="F20040" s="1"/>
      <c r="G20040" s="1"/>
    </row>
    <row r="20041">
      <c r="B20041" s="36"/>
      <c r="C20041" s="36"/>
      <c r="E20041" s="1"/>
      <c r="F20041" s="1"/>
      <c r="G20041" s="1"/>
    </row>
    <row r="20042">
      <c r="B20042" s="36"/>
      <c r="C20042" s="36"/>
      <c r="E20042" s="1"/>
      <c r="F20042" s="1"/>
      <c r="G20042" s="1"/>
    </row>
    <row r="20043">
      <c r="B20043" s="36"/>
      <c r="C20043" s="36"/>
      <c r="E20043" s="1"/>
      <c r="F20043" s="1"/>
      <c r="G20043" s="1"/>
    </row>
    <row r="20044">
      <c r="B20044" s="36"/>
      <c r="C20044" s="36"/>
      <c r="E20044" s="1"/>
      <c r="F20044" s="1"/>
      <c r="G20044" s="1"/>
    </row>
    <row r="20045">
      <c r="B20045" s="36"/>
      <c r="C20045" s="36"/>
      <c r="E20045" s="1"/>
      <c r="F20045" s="1"/>
      <c r="G20045" s="1"/>
    </row>
    <row r="20046">
      <c r="B20046" s="36"/>
      <c r="C20046" s="36"/>
      <c r="E20046" s="1"/>
      <c r="F20046" s="1"/>
      <c r="G20046" s="1"/>
    </row>
    <row r="20047">
      <c r="B20047" s="36"/>
      <c r="C20047" s="36"/>
      <c r="E20047" s="1"/>
      <c r="F20047" s="1"/>
      <c r="G20047" s="1"/>
    </row>
    <row r="20048">
      <c r="B20048" s="36"/>
      <c r="C20048" s="36"/>
      <c r="E20048" s="1"/>
      <c r="F20048" s="1"/>
      <c r="G20048" s="1"/>
    </row>
    <row r="20049">
      <c r="B20049" s="36"/>
      <c r="C20049" s="36"/>
      <c r="E20049" s="1"/>
      <c r="F20049" s="1"/>
      <c r="G20049" s="1"/>
    </row>
    <row r="20050">
      <c r="B20050" s="36"/>
      <c r="C20050" s="36"/>
      <c r="E20050" s="1"/>
      <c r="F20050" s="1"/>
      <c r="G20050" s="1"/>
    </row>
    <row r="20051">
      <c r="B20051" s="36"/>
      <c r="C20051" s="36"/>
      <c r="E20051" s="1"/>
      <c r="F20051" s="1"/>
      <c r="G20051" s="1"/>
    </row>
    <row r="20052">
      <c r="B20052" s="36"/>
      <c r="C20052" s="36"/>
      <c r="E20052" s="1"/>
      <c r="F20052" s="1"/>
      <c r="G20052" s="1"/>
    </row>
    <row r="20053">
      <c r="B20053" s="36"/>
      <c r="C20053" s="36"/>
      <c r="E20053" s="1"/>
      <c r="F20053" s="1"/>
      <c r="G20053" s="1"/>
    </row>
    <row r="20054">
      <c r="B20054" s="36"/>
      <c r="C20054" s="36"/>
      <c r="E20054" s="1"/>
      <c r="F20054" s="1"/>
      <c r="G20054" s="1"/>
    </row>
    <row r="20055">
      <c r="B20055" s="36"/>
      <c r="C20055" s="36"/>
      <c r="E20055" s="1"/>
      <c r="F20055" s="1"/>
      <c r="G20055" s="1"/>
    </row>
    <row r="20056">
      <c r="B20056" s="36"/>
      <c r="C20056" s="36"/>
      <c r="E20056" s="1"/>
      <c r="F20056" s="1"/>
      <c r="G20056" s="1"/>
    </row>
    <row r="20057">
      <c r="B20057" s="36"/>
      <c r="C20057" s="36"/>
      <c r="E20057" s="1"/>
      <c r="F20057" s="1"/>
      <c r="G20057" s="1"/>
    </row>
    <row r="20058">
      <c r="B20058" s="36"/>
      <c r="C20058" s="36"/>
      <c r="E20058" s="1"/>
      <c r="F20058" s="1"/>
      <c r="G20058" s="1"/>
    </row>
    <row r="20059">
      <c r="B20059" s="36"/>
      <c r="C20059" s="36"/>
      <c r="E20059" s="1"/>
      <c r="F20059" s="1"/>
      <c r="G20059" s="1"/>
    </row>
    <row r="20060">
      <c r="B20060" s="36"/>
      <c r="C20060" s="36"/>
      <c r="E20060" s="1"/>
      <c r="F20060" s="1"/>
      <c r="G20060" s="1"/>
    </row>
    <row r="20061">
      <c r="B20061" s="36"/>
      <c r="C20061" s="36"/>
      <c r="E20061" s="1"/>
      <c r="F20061" s="1"/>
      <c r="G20061" s="1"/>
    </row>
    <row r="20062">
      <c r="B20062" s="36"/>
      <c r="C20062" s="36"/>
      <c r="E20062" s="1"/>
      <c r="F20062" s="1"/>
      <c r="G20062" s="1"/>
    </row>
    <row r="20063">
      <c r="B20063" s="36"/>
      <c r="C20063" s="36"/>
      <c r="E20063" s="1"/>
      <c r="F20063" s="1"/>
      <c r="G20063" s="1"/>
    </row>
    <row r="20064">
      <c r="B20064" s="36"/>
      <c r="C20064" s="36"/>
      <c r="E20064" s="1"/>
      <c r="F20064" s="1"/>
      <c r="G20064" s="1"/>
    </row>
    <row r="20065">
      <c r="B20065" s="36"/>
      <c r="C20065" s="36"/>
      <c r="E20065" s="1"/>
      <c r="F20065" s="1"/>
      <c r="G20065" s="1"/>
    </row>
    <row r="20066">
      <c r="B20066" s="36"/>
      <c r="C20066" s="36"/>
      <c r="E20066" s="1"/>
      <c r="F20066" s="1"/>
      <c r="G20066" s="1"/>
    </row>
    <row r="20067">
      <c r="B20067" s="36"/>
      <c r="C20067" s="36"/>
      <c r="E20067" s="1"/>
      <c r="F20067" s="1"/>
      <c r="G20067" s="1"/>
    </row>
    <row r="20068">
      <c r="B20068" s="36"/>
      <c r="C20068" s="36"/>
      <c r="E20068" s="1"/>
      <c r="F20068" s="1"/>
      <c r="G20068" s="1"/>
    </row>
    <row r="20069">
      <c r="B20069" s="36"/>
      <c r="C20069" s="36"/>
      <c r="E20069" s="1"/>
      <c r="F20069" s="1"/>
      <c r="G20069" s="1"/>
    </row>
    <row r="20070">
      <c r="B20070" s="36"/>
      <c r="C20070" s="36"/>
      <c r="E20070" s="1"/>
      <c r="F20070" s="1"/>
      <c r="G20070" s="1"/>
    </row>
    <row r="20071">
      <c r="B20071" s="36"/>
      <c r="C20071" s="36"/>
      <c r="E20071" s="1"/>
      <c r="F20071" s="1"/>
      <c r="G20071" s="1"/>
    </row>
    <row r="20072">
      <c r="B20072" s="36"/>
      <c r="C20072" s="36"/>
      <c r="E20072" s="1"/>
      <c r="F20072" s="1"/>
      <c r="G20072" s="1"/>
    </row>
    <row r="20073">
      <c r="B20073" s="36"/>
      <c r="C20073" s="36"/>
      <c r="E20073" s="1"/>
      <c r="F20073" s="1"/>
      <c r="G20073" s="1"/>
    </row>
    <row r="20074">
      <c r="B20074" s="36"/>
      <c r="C20074" s="36"/>
      <c r="E20074" s="1"/>
      <c r="F20074" s="1"/>
      <c r="G20074" s="1"/>
    </row>
    <row r="20075">
      <c r="B20075" s="36"/>
      <c r="C20075" s="36"/>
      <c r="E20075" s="1"/>
      <c r="F20075" s="1"/>
      <c r="G20075" s="1"/>
    </row>
    <row r="20076">
      <c r="B20076" s="36"/>
      <c r="C20076" s="36"/>
      <c r="E20076" s="1"/>
      <c r="F20076" s="1"/>
      <c r="G20076" s="1"/>
    </row>
    <row r="20077">
      <c r="B20077" s="36"/>
      <c r="C20077" s="36"/>
      <c r="E20077" s="1"/>
      <c r="F20077" s="1"/>
      <c r="G20077" s="1"/>
    </row>
    <row r="20078">
      <c r="B20078" s="36"/>
      <c r="C20078" s="36"/>
      <c r="E20078" s="1"/>
      <c r="F20078" s="1"/>
      <c r="G20078" s="1"/>
    </row>
    <row r="20079">
      <c r="B20079" s="36"/>
      <c r="C20079" s="36"/>
      <c r="E20079" s="1"/>
      <c r="F20079" s="1"/>
      <c r="G20079" s="1"/>
    </row>
    <row r="20080">
      <c r="B20080" s="36"/>
      <c r="C20080" s="36"/>
      <c r="E20080" s="1"/>
      <c r="F20080" s="1"/>
      <c r="G20080" s="1"/>
    </row>
    <row r="20081">
      <c r="B20081" s="36"/>
      <c r="C20081" s="36"/>
      <c r="E20081" s="1"/>
      <c r="F20081" s="1"/>
      <c r="G20081" s="1"/>
    </row>
    <row r="20082">
      <c r="B20082" s="36"/>
      <c r="C20082" s="36"/>
      <c r="E20082" s="1"/>
      <c r="F20082" s="1"/>
      <c r="G20082" s="1"/>
    </row>
    <row r="20083">
      <c r="B20083" s="36"/>
      <c r="C20083" s="36"/>
      <c r="E20083" s="1"/>
      <c r="F20083" s="1"/>
      <c r="G20083" s="1"/>
    </row>
    <row r="20084">
      <c r="B20084" s="36"/>
      <c r="C20084" s="36"/>
      <c r="E20084" s="1"/>
      <c r="F20084" s="1"/>
      <c r="G20084" s="1"/>
    </row>
    <row r="20085">
      <c r="B20085" s="36"/>
      <c r="C20085" s="36"/>
      <c r="E20085" s="1"/>
      <c r="F20085" s="1"/>
      <c r="G20085" s="1"/>
    </row>
    <row r="20086">
      <c r="B20086" s="36"/>
      <c r="C20086" s="36"/>
      <c r="E20086" s="1"/>
      <c r="F20086" s="1"/>
      <c r="G20086" s="1"/>
    </row>
    <row r="20087">
      <c r="B20087" s="36"/>
      <c r="C20087" s="36"/>
      <c r="E20087" s="1"/>
      <c r="F20087" s="1"/>
      <c r="G20087" s="1"/>
    </row>
    <row r="20088">
      <c r="B20088" s="36"/>
      <c r="C20088" s="36"/>
      <c r="E20088" s="1"/>
      <c r="F20088" s="1"/>
      <c r="G20088" s="1"/>
    </row>
    <row r="20089">
      <c r="B20089" s="36"/>
      <c r="C20089" s="36"/>
      <c r="E20089" s="1"/>
      <c r="F20089" s="1"/>
      <c r="G20089" s="1"/>
    </row>
    <row r="20090">
      <c r="B20090" s="36"/>
      <c r="C20090" s="36"/>
      <c r="E20090" s="1"/>
      <c r="F20090" s="1"/>
      <c r="G20090" s="1"/>
    </row>
    <row r="20091">
      <c r="B20091" s="36"/>
      <c r="C20091" s="36"/>
      <c r="E20091" s="1"/>
      <c r="F20091" s="1"/>
      <c r="G20091" s="1"/>
    </row>
    <row r="20092">
      <c r="B20092" s="36"/>
      <c r="C20092" s="36"/>
      <c r="E20092" s="1"/>
      <c r="F20092" s="1"/>
      <c r="G20092" s="1"/>
    </row>
    <row r="20093">
      <c r="B20093" s="36"/>
      <c r="C20093" s="36"/>
      <c r="E20093" s="1"/>
      <c r="F20093" s="1"/>
      <c r="G20093" s="1"/>
    </row>
    <row r="20094">
      <c r="B20094" s="36"/>
      <c r="C20094" s="36"/>
      <c r="E20094" s="1"/>
      <c r="F20094" s="1"/>
      <c r="G20094" s="1"/>
    </row>
    <row r="20095">
      <c r="B20095" s="36"/>
      <c r="C20095" s="36"/>
      <c r="E20095" s="1"/>
      <c r="F20095" s="1"/>
      <c r="G20095" s="1"/>
    </row>
    <row r="20096">
      <c r="B20096" s="36"/>
      <c r="C20096" s="36"/>
      <c r="E20096" s="1"/>
      <c r="F20096" s="1"/>
      <c r="G20096" s="1"/>
    </row>
    <row r="20097">
      <c r="B20097" s="36"/>
      <c r="C20097" s="36"/>
      <c r="E20097" s="1"/>
      <c r="F20097" s="1"/>
      <c r="G20097" s="1"/>
    </row>
    <row r="20098">
      <c r="B20098" s="36"/>
      <c r="C20098" s="36"/>
      <c r="E20098" s="1"/>
      <c r="F20098" s="1"/>
      <c r="G20098" s="1"/>
    </row>
    <row r="20099">
      <c r="B20099" s="36"/>
      <c r="C20099" s="36"/>
      <c r="E20099" s="1"/>
      <c r="F20099" s="1"/>
      <c r="G20099" s="1"/>
    </row>
    <row r="20100">
      <c r="B20100" s="36"/>
      <c r="C20100" s="36"/>
      <c r="E20100" s="1"/>
      <c r="F20100" s="1"/>
      <c r="G20100" s="1"/>
    </row>
    <row r="20101">
      <c r="B20101" s="36"/>
      <c r="C20101" s="36"/>
      <c r="E20101" s="1"/>
      <c r="F20101" s="1"/>
      <c r="G20101" s="1"/>
    </row>
    <row r="20102">
      <c r="B20102" s="36"/>
      <c r="C20102" s="36"/>
      <c r="E20102" s="1"/>
      <c r="F20102" s="1"/>
      <c r="G20102" s="1"/>
    </row>
    <row r="20103">
      <c r="B20103" s="36"/>
      <c r="C20103" s="36"/>
      <c r="E20103" s="1"/>
      <c r="F20103" s="1"/>
      <c r="G20103" s="1"/>
    </row>
    <row r="20104">
      <c r="B20104" s="36"/>
      <c r="C20104" s="36"/>
      <c r="E20104" s="1"/>
      <c r="F20104" s="1"/>
      <c r="G20104" s="1"/>
    </row>
    <row r="20105">
      <c r="B20105" s="36"/>
      <c r="C20105" s="36"/>
      <c r="E20105" s="1"/>
      <c r="F20105" s="1"/>
      <c r="G20105" s="1"/>
    </row>
    <row r="20106">
      <c r="B20106" s="36"/>
      <c r="C20106" s="36"/>
      <c r="E20106" s="1"/>
      <c r="F20106" s="1"/>
      <c r="G20106" s="1"/>
    </row>
    <row r="20107">
      <c r="B20107" s="36"/>
      <c r="C20107" s="36"/>
      <c r="E20107" s="1"/>
      <c r="F20107" s="1"/>
      <c r="G20107" s="1"/>
    </row>
    <row r="20108">
      <c r="B20108" s="36"/>
      <c r="C20108" s="36"/>
      <c r="E20108" s="1"/>
      <c r="F20108" s="1"/>
      <c r="G20108" s="1"/>
    </row>
    <row r="20109">
      <c r="B20109" s="36"/>
      <c r="C20109" s="36"/>
      <c r="E20109" s="1"/>
      <c r="F20109" s="1"/>
      <c r="G20109" s="1"/>
    </row>
    <row r="20110">
      <c r="B20110" s="36"/>
      <c r="C20110" s="36"/>
      <c r="E20110" s="1"/>
      <c r="F20110" s="1"/>
      <c r="G20110" s="1"/>
    </row>
    <row r="20111">
      <c r="B20111" s="36"/>
      <c r="C20111" s="36"/>
      <c r="E20111" s="1"/>
      <c r="F20111" s="1"/>
      <c r="G20111" s="1"/>
    </row>
    <row r="20112">
      <c r="B20112" s="36"/>
      <c r="C20112" s="36"/>
      <c r="E20112" s="1"/>
      <c r="F20112" s="1"/>
      <c r="G20112" s="1"/>
    </row>
    <row r="20113">
      <c r="B20113" s="36"/>
      <c r="C20113" s="36"/>
      <c r="E20113" s="1"/>
      <c r="F20113" s="1"/>
      <c r="G20113" s="1"/>
    </row>
    <row r="20114">
      <c r="B20114" s="36"/>
      <c r="C20114" s="36"/>
      <c r="E20114" s="1"/>
      <c r="F20114" s="1"/>
      <c r="G20114" s="1"/>
    </row>
    <row r="20115">
      <c r="B20115" s="36"/>
      <c r="C20115" s="36"/>
      <c r="E20115" s="1"/>
      <c r="F20115" s="1"/>
      <c r="G20115" s="1"/>
    </row>
    <row r="20116">
      <c r="B20116" s="36"/>
      <c r="C20116" s="36"/>
      <c r="E20116" s="1"/>
      <c r="F20116" s="1"/>
      <c r="G20116" s="1"/>
    </row>
    <row r="20117">
      <c r="B20117" s="36"/>
      <c r="C20117" s="36"/>
      <c r="E20117" s="1"/>
      <c r="F20117" s="1"/>
      <c r="G20117" s="1"/>
    </row>
    <row r="20118">
      <c r="B20118" s="36"/>
      <c r="C20118" s="36"/>
      <c r="E20118" s="1"/>
      <c r="F20118" s="1"/>
      <c r="G20118" s="1"/>
    </row>
    <row r="20119">
      <c r="B20119" s="36"/>
      <c r="C20119" s="36"/>
      <c r="E20119" s="1"/>
      <c r="F20119" s="1"/>
      <c r="G20119" s="1"/>
    </row>
    <row r="20120">
      <c r="B20120" s="36"/>
      <c r="C20120" s="36"/>
      <c r="E20120" s="1"/>
      <c r="F20120" s="1"/>
      <c r="G20120" s="1"/>
    </row>
    <row r="20121">
      <c r="B20121" s="36"/>
      <c r="C20121" s="36"/>
      <c r="E20121" s="1"/>
      <c r="F20121" s="1"/>
      <c r="G20121" s="1"/>
    </row>
    <row r="20122">
      <c r="B20122" s="36"/>
      <c r="C20122" s="36"/>
      <c r="E20122" s="1"/>
      <c r="F20122" s="1"/>
      <c r="G20122" s="1"/>
    </row>
    <row r="20123">
      <c r="B20123" s="36"/>
      <c r="C20123" s="36"/>
      <c r="E20123" s="1"/>
      <c r="F20123" s="1"/>
      <c r="G20123" s="1"/>
    </row>
    <row r="20124">
      <c r="B20124" s="36"/>
      <c r="C20124" s="36"/>
      <c r="E20124" s="1"/>
      <c r="F20124" s="1"/>
      <c r="G20124" s="1"/>
    </row>
    <row r="20125">
      <c r="B20125" s="36"/>
      <c r="C20125" s="36"/>
      <c r="E20125" s="1"/>
      <c r="F20125" s="1"/>
      <c r="G20125" s="1"/>
    </row>
    <row r="20126">
      <c r="B20126" s="36"/>
      <c r="C20126" s="36"/>
      <c r="E20126" s="1"/>
      <c r="F20126" s="1"/>
      <c r="G20126" s="1"/>
    </row>
    <row r="20127">
      <c r="B20127" s="36"/>
      <c r="C20127" s="36"/>
      <c r="E20127" s="1"/>
      <c r="F20127" s="1"/>
      <c r="G20127" s="1"/>
    </row>
    <row r="20128">
      <c r="B20128" s="36"/>
      <c r="C20128" s="36"/>
      <c r="E20128" s="1"/>
      <c r="F20128" s="1"/>
      <c r="G20128" s="1"/>
    </row>
    <row r="20129">
      <c r="B20129" s="36"/>
      <c r="C20129" s="36"/>
      <c r="E20129" s="1"/>
      <c r="F20129" s="1"/>
      <c r="G20129" s="1"/>
    </row>
    <row r="20130">
      <c r="B20130" s="36"/>
      <c r="C20130" s="36"/>
      <c r="E20130" s="1"/>
      <c r="F20130" s="1"/>
      <c r="G20130" s="1"/>
    </row>
    <row r="20131">
      <c r="B20131" s="36"/>
      <c r="C20131" s="36"/>
      <c r="E20131" s="1"/>
      <c r="F20131" s="1"/>
      <c r="G20131" s="1"/>
    </row>
    <row r="20132">
      <c r="B20132" s="36"/>
      <c r="C20132" s="36"/>
      <c r="E20132" s="1"/>
      <c r="F20132" s="1"/>
      <c r="G20132" s="1"/>
    </row>
    <row r="20133">
      <c r="B20133" s="36"/>
      <c r="C20133" s="36"/>
      <c r="E20133" s="1"/>
      <c r="F20133" s="1"/>
      <c r="G20133" s="1"/>
    </row>
    <row r="20134">
      <c r="B20134" s="36"/>
      <c r="C20134" s="36"/>
      <c r="E20134" s="1"/>
      <c r="F20134" s="1"/>
      <c r="G20134" s="1"/>
    </row>
    <row r="20135">
      <c r="B20135" s="36"/>
      <c r="C20135" s="36"/>
      <c r="E20135" s="1"/>
      <c r="F20135" s="1"/>
      <c r="G20135" s="1"/>
    </row>
    <row r="20136">
      <c r="B20136" s="36"/>
      <c r="C20136" s="36"/>
      <c r="E20136" s="1"/>
      <c r="F20136" s="1"/>
      <c r="G20136" s="1"/>
    </row>
    <row r="20137">
      <c r="B20137" s="36"/>
      <c r="C20137" s="36"/>
      <c r="E20137" s="1"/>
      <c r="F20137" s="1"/>
      <c r="G20137" s="1"/>
    </row>
    <row r="20138">
      <c r="B20138" s="36"/>
      <c r="C20138" s="36"/>
      <c r="E20138" s="1"/>
      <c r="F20138" s="1"/>
      <c r="G20138" s="1"/>
    </row>
    <row r="20139">
      <c r="B20139" s="36"/>
      <c r="C20139" s="36"/>
      <c r="E20139" s="1"/>
      <c r="F20139" s="1"/>
      <c r="G20139" s="1"/>
    </row>
    <row r="20140">
      <c r="B20140" s="36"/>
      <c r="C20140" s="36"/>
      <c r="E20140" s="1"/>
      <c r="F20140" s="1"/>
      <c r="G20140" s="1"/>
    </row>
    <row r="20141">
      <c r="B20141" s="36"/>
      <c r="C20141" s="36"/>
      <c r="E20141" s="1"/>
      <c r="F20141" s="1"/>
      <c r="G20141" s="1"/>
    </row>
    <row r="20142">
      <c r="B20142" s="36"/>
      <c r="C20142" s="36"/>
      <c r="E20142" s="1"/>
      <c r="F20142" s="1"/>
      <c r="G20142" s="1"/>
    </row>
    <row r="20143">
      <c r="B20143" s="36"/>
      <c r="C20143" s="36"/>
      <c r="E20143" s="1"/>
      <c r="F20143" s="1"/>
      <c r="G20143" s="1"/>
    </row>
    <row r="20144">
      <c r="B20144" s="36"/>
      <c r="C20144" s="36"/>
      <c r="E20144" s="1"/>
      <c r="F20144" s="1"/>
      <c r="G20144" s="1"/>
    </row>
    <row r="20145">
      <c r="B20145" s="36"/>
      <c r="C20145" s="36"/>
      <c r="E20145" s="1"/>
      <c r="F20145" s="1"/>
      <c r="G20145" s="1"/>
    </row>
    <row r="20146">
      <c r="B20146" s="36"/>
      <c r="C20146" s="36"/>
      <c r="E20146" s="1"/>
      <c r="F20146" s="1"/>
      <c r="G20146" s="1"/>
    </row>
    <row r="20147">
      <c r="B20147" s="36"/>
      <c r="C20147" s="36"/>
      <c r="E20147" s="1"/>
      <c r="F20147" s="1"/>
      <c r="G20147" s="1"/>
    </row>
    <row r="20148">
      <c r="B20148" s="36"/>
      <c r="C20148" s="36"/>
      <c r="E20148" s="1"/>
      <c r="F20148" s="1"/>
      <c r="G20148" s="1"/>
    </row>
    <row r="20149">
      <c r="B20149" s="36"/>
      <c r="C20149" s="36"/>
      <c r="E20149" s="1"/>
      <c r="F20149" s="1"/>
      <c r="G20149" s="1"/>
    </row>
    <row r="20150">
      <c r="B20150" s="36"/>
      <c r="C20150" s="36"/>
      <c r="E20150" s="1"/>
      <c r="F20150" s="1"/>
      <c r="G20150" s="1"/>
    </row>
    <row r="20151">
      <c r="B20151" s="36"/>
      <c r="C20151" s="36"/>
      <c r="E20151" s="1"/>
      <c r="F20151" s="1"/>
      <c r="G20151" s="1"/>
    </row>
    <row r="20152">
      <c r="B20152" s="36"/>
      <c r="C20152" s="36"/>
      <c r="E20152" s="1"/>
      <c r="F20152" s="1"/>
      <c r="G20152" s="1"/>
    </row>
    <row r="20153">
      <c r="B20153" s="36"/>
      <c r="C20153" s="36"/>
      <c r="E20153" s="1"/>
      <c r="F20153" s="1"/>
      <c r="G20153" s="1"/>
    </row>
    <row r="20154">
      <c r="B20154" s="36"/>
      <c r="C20154" s="36"/>
      <c r="E20154" s="1"/>
      <c r="F20154" s="1"/>
      <c r="G20154" s="1"/>
    </row>
    <row r="20155">
      <c r="B20155" s="36"/>
      <c r="C20155" s="36"/>
      <c r="E20155" s="1"/>
      <c r="F20155" s="1"/>
      <c r="G20155" s="1"/>
    </row>
    <row r="20156">
      <c r="B20156" s="36"/>
      <c r="C20156" s="36"/>
      <c r="E20156" s="1"/>
      <c r="F20156" s="1"/>
      <c r="G20156" s="1"/>
    </row>
    <row r="20157">
      <c r="B20157" s="36"/>
      <c r="C20157" s="36"/>
      <c r="E20157" s="1"/>
      <c r="F20157" s="1"/>
      <c r="G20157" s="1"/>
    </row>
    <row r="20158">
      <c r="B20158" s="36"/>
      <c r="C20158" s="36"/>
      <c r="E20158" s="1"/>
      <c r="F20158" s="1"/>
      <c r="G20158" s="1"/>
    </row>
    <row r="20159">
      <c r="B20159" s="36"/>
      <c r="C20159" s="36"/>
      <c r="E20159" s="1"/>
      <c r="F20159" s="1"/>
      <c r="G20159" s="1"/>
    </row>
    <row r="20160">
      <c r="B20160" s="36"/>
      <c r="C20160" s="36"/>
      <c r="E20160" s="1"/>
      <c r="F20160" s="1"/>
      <c r="G20160" s="1"/>
    </row>
    <row r="20161">
      <c r="B20161" s="36"/>
      <c r="C20161" s="36"/>
      <c r="E20161" s="1"/>
      <c r="F20161" s="1"/>
      <c r="G20161" s="1"/>
    </row>
    <row r="20162">
      <c r="B20162" s="36"/>
      <c r="C20162" s="36"/>
      <c r="E20162" s="1"/>
      <c r="F20162" s="1"/>
      <c r="G20162" s="1"/>
    </row>
    <row r="20163">
      <c r="B20163" s="36"/>
      <c r="C20163" s="36"/>
      <c r="E20163" s="1"/>
      <c r="F20163" s="1"/>
      <c r="G20163" s="1"/>
    </row>
    <row r="20164">
      <c r="B20164" s="36"/>
      <c r="C20164" s="36"/>
      <c r="E20164" s="1"/>
      <c r="F20164" s="1"/>
      <c r="G20164" s="1"/>
    </row>
    <row r="20165">
      <c r="B20165" s="36"/>
      <c r="C20165" s="36"/>
      <c r="E20165" s="1"/>
      <c r="F20165" s="1"/>
      <c r="G20165" s="1"/>
    </row>
    <row r="20166">
      <c r="B20166" s="36"/>
      <c r="C20166" s="36"/>
      <c r="E20166" s="1"/>
      <c r="F20166" s="1"/>
      <c r="G20166" s="1"/>
    </row>
    <row r="20167">
      <c r="B20167" s="36"/>
      <c r="C20167" s="36"/>
      <c r="E20167" s="1"/>
      <c r="F20167" s="1"/>
      <c r="G20167" s="1"/>
    </row>
    <row r="20168">
      <c r="B20168" s="36"/>
      <c r="C20168" s="36"/>
      <c r="E20168" s="1"/>
      <c r="F20168" s="1"/>
      <c r="G20168" s="1"/>
    </row>
    <row r="20169">
      <c r="B20169" s="36"/>
      <c r="C20169" s="36"/>
      <c r="E20169" s="1"/>
      <c r="F20169" s="1"/>
      <c r="G20169" s="1"/>
    </row>
    <row r="20170">
      <c r="B20170" s="36"/>
      <c r="C20170" s="36"/>
      <c r="E20170" s="1"/>
      <c r="F20170" s="1"/>
      <c r="G20170" s="1"/>
    </row>
    <row r="20171">
      <c r="B20171" s="36"/>
      <c r="C20171" s="36"/>
      <c r="E20171" s="1"/>
      <c r="F20171" s="1"/>
      <c r="G20171" s="1"/>
    </row>
    <row r="20172">
      <c r="B20172" s="36"/>
      <c r="C20172" s="36"/>
      <c r="E20172" s="1"/>
      <c r="F20172" s="1"/>
      <c r="G20172" s="1"/>
    </row>
    <row r="20173">
      <c r="B20173" s="36"/>
      <c r="C20173" s="36"/>
      <c r="E20173" s="1"/>
      <c r="F20173" s="1"/>
      <c r="G20173" s="1"/>
    </row>
    <row r="20174">
      <c r="B20174" s="36"/>
      <c r="C20174" s="36"/>
      <c r="E20174" s="1"/>
      <c r="F20174" s="1"/>
      <c r="G20174" s="1"/>
    </row>
    <row r="20175">
      <c r="B20175" s="36"/>
      <c r="C20175" s="36"/>
      <c r="E20175" s="1"/>
      <c r="F20175" s="1"/>
      <c r="G20175" s="1"/>
    </row>
    <row r="20176">
      <c r="B20176" s="36"/>
      <c r="C20176" s="36"/>
      <c r="E20176" s="1"/>
      <c r="F20176" s="1"/>
      <c r="G20176" s="1"/>
    </row>
    <row r="20177">
      <c r="B20177" s="36"/>
      <c r="C20177" s="36"/>
      <c r="E20177" s="1"/>
      <c r="F20177" s="1"/>
      <c r="G20177" s="1"/>
    </row>
    <row r="20178">
      <c r="B20178" s="36"/>
      <c r="C20178" s="36"/>
      <c r="E20178" s="1"/>
      <c r="F20178" s="1"/>
      <c r="G20178" s="1"/>
    </row>
    <row r="20179">
      <c r="B20179" s="36"/>
      <c r="C20179" s="36"/>
      <c r="E20179" s="1"/>
      <c r="F20179" s="1"/>
      <c r="G20179" s="1"/>
    </row>
    <row r="20180">
      <c r="B20180" s="36"/>
      <c r="C20180" s="36"/>
      <c r="E20180" s="1"/>
      <c r="F20180" s="1"/>
      <c r="G20180" s="1"/>
    </row>
    <row r="20181">
      <c r="B20181" s="36"/>
      <c r="C20181" s="36"/>
      <c r="E20181" s="1"/>
      <c r="F20181" s="1"/>
      <c r="G20181" s="1"/>
    </row>
    <row r="20182">
      <c r="B20182" s="36"/>
      <c r="C20182" s="36"/>
      <c r="E20182" s="1"/>
      <c r="F20182" s="1"/>
      <c r="G20182" s="1"/>
    </row>
    <row r="20183">
      <c r="B20183" s="36"/>
      <c r="C20183" s="36"/>
      <c r="E20183" s="1"/>
      <c r="F20183" s="1"/>
      <c r="G20183" s="1"/>
    </row>
    <row r="20184">
      <c r="B20184" s="36"/>
      <c r="C20184" s="36"/>
      <c r="E20184" s="1"/>
      <c r="F20184" s="1"/>
      <c r="G20184" s="1"/>
    </row>
    <row r="20185">
      <c r="B20185" s="36"/>
      <c r="C20185" s="36"/>
      <c r="E20185" s="1"/>
      <c r="F20185" s="1"/>
      <c r="G20185" s="1"/>
    </row>
    <row r="20186">
      <c r="B20186" s="36"/>
      <c r="C20186" s="36"/>
      <c r="E20186" s="1"/>
      <c r="F20186" s="1"/>
      <c r="G20186" s="1"/>
    </row>
    <row r="20187">
      <c r="B20187" s="36"/>
      <c r="C20187" s="36"/>
      <c r="E20187" s="1"/>
      <c r="F20187" s="1"/>
      <c r="G20187" s="1"/>
    </row>
    <row r="20188">
      <c r="B20188" s="36"/>
      <c r="C20188" s="36"/>
      <c r="E20188" s="1"/>
      <c r="F20188" s="1"/>
      <c r="G20188" s="1"/>
    </row>
    <row r="20189">
      <c r="B20189" s="36"/>
      <c r="C20189" s="36"/>
      <c r="E20189" s="1"/>
      <c r="F20189" s="1"/>
      <c r="G20189" s="1"/>
    </row>
    <row r="20190">
      <c r="B20190" s="36"/>
      <c r="C20190" s="36"/>
      <c r="E20190" s="1"/>
      <c r="F20190" s="1"/>
      <c r="G20190" s="1"/>
    </row>
    <row r="20191">
      <c r="B20191" s="36"/>
      <c r="C20191" s="36"/>
      <c r="E20191" s="1"/>
      <c r="F20191" s="1"/>
      <c r="G20191" s="1"/>
    </row>
    <row r="20192">
      <c r="B20192" s="36"/>
      <c r="C20192" s="36"/>
      <c r="E20192" s="1"/>
      <c r="F20192" s="1"/>
      <c r="G20192" s="1"/>
    </row>
    <row r="20193">
      <c r="B20193" s="36"/>
      <c r="C20193" s="36"/>
      <c r="E20193" s="1"/>
      <c r="F20193" s="1"/>
      <c r="G20193" s="1"/>
    </row>
    <row r="20194">
      <c r="B20194" s="36"/>
      <c r="C20194" s="36"/>
      <c r="E20194" s="1"/>
      <c r="F20194" s="1"/>
      <c r="G20194" s="1"/>
    </row>
    <row r="20195">
      <c r="B20195" s="36"/>
      <c r="C20195" s="36"/>
      <c r="E20195" s="1"/>
      <c r="F20195" s="1"/>
      <c r="G20195" s="1"/>
    </row>
    <row r="20196">
      <c r="B20196" s="36"/>
      <c r="C20196" s="36"/>
      <c r="E20196" s="1"/>
      <c r="F20196" s="1"/>
      <c r="G20196" s="1"/>
    </row>
    <row r="20197">
      <c r="B20197" s="36"/>
      <c r="C20197" s="36"/>
      <c r="E20197" s="1"/>
      <c r="F20197" s="1"/>
      <c r="G20197" s="1"/>
    </row>
    <row r="20198">
      <c r="B20198" s="36"/>
      <c r="C20198" s="36"/>
      <c r="E20198" s="1"/>
      <c r="F20198" s="1"/>
      <c r="G20198" s="1"/>
    </row>
    <row r="20199">
      <c r="B20199" s="36"/>
      <c r="C20199" s="36"/>
      <c r="E20199" s="1"/>
      <c r="F20199" s="1"/>
      <c r="G20199" s="1"/>
    </row>
    <row r="20200">
      <c r="B20200" s="36"/>
      <c r="C20200" s="36"/>
      <c r="E20200" s="1"/>
      <c r="F20200" s="1"/>
      <c r="G20200" s="1"/>
    </row>
    <row r="20201">
      <c r="B20201" s="36"/>
      <c r="C20201" s="36"/>
      <c r="E20201" s="1"/>
      <c r="F20201" s="1"/>
      <c r="G20201" s="1"/>
    </row>
    <row r="20202">
      <c r="B20202" s="36"/>
      <c r="C20202" s="36"/>
      <c r="E20202" s="1"/>
      <c r="F20202" s="1"/>
      <c r="G20202" s="1"/>
    </row>
    <row r="20203">
      <c r="B20203" s="36"/>
      <c r="C20203" s="36"/>
      <c r="E20203" s="1"/>
      <c r="F20203" s="1"/>
      <c r="G20203" s="1"/>
    </row>
    <row r="20204">
      <c r="B20204" s="36"/>
      <c r="C20204" s="36"/>
      <c r="E20204" s="1"/>
      <c r="F20204" s="1"/>
      <c r="G20204" s="1"/>
    </row>
    <row r="20205">
      <c r="B20205" s="36"/>
      <c r="C20205" s="36"/>
      <c r="E20205" s="1"/>
      <c r="F20205" s="1"/>
      <c r="G20205" s="1"/>
    </row>
    <row r="20206">
      <c r="B20206" s="36"/>
      <c r="C20206" s="36"/>
      <c r="E20206" s="1"/>
      <c r="F20206" s="1"/>
      <c r="G20206" s="1"/>
    </row>
    <row r="20207">
      <c r="B20207" s="36"/>
      <c r="C20207" s="36"/>
      <c r="E20207" s="1"/>
      <c r="F20207" s="1"/>
      <c r="G20207" s="1"/>
    </row>
    <row r="20208">
      <c r="B20208" s="36"/>
      <c r="C20208" s="36"/>
      <c r="E20208" s="1"/>
      <c r="F20208" s="1"/>
      <c r="G20208" s="1"/>
    </row>
    <row r="20209">
      <c r="B20209" s="36"/>
      <c r="C20209" s="36"/>
      <c r="E20209" s="1"/>
      <c r="F20209" s="1"/>
      <c r="G20209" s="1"/>
    </row>
    <row r="20210">
      <c r="B20210" s="36"/>
      <c r="C20210" s="36"/>
      <c r="E20210" s="1"/>
      <c r="F20210" s="1"/>
      <c r="G20210" s="1"/>
    </row>
    <row r="20211">
      <c r="B20211" s="36"/>
      <c r="C20211" s="36"/>
      <c r="E20211" s="1"/>
      <c r="F20211" s="1"/>
      <c r="G20211" s="1"/>
    </row>
    <row r="20212">
      <c r="B20212" s="36"/>
      <c r="C20212" s="36"/>
      <c r="E20212" s="1"/>
      <c r="F20212" s="1"/>
      <c r="G20212" s="1"/>
    </row>
    <row r="20213">
      <c r="B20213" s="36"/>
      <c r="C20213" s="36"/>
      <c r="E20213" s="1"/>
      <c r="F20213" s="1"/>
      <c r="G20213" s="1"/>
    </row>
    <row r="20214">
      <c r="B20214" s="36"/>
      <c r="C20214" s="36"/>
      <c r="E20214" s="1"/>
      <c r="F20214" s="1"/>
      <c r="G20214" s="1"/>
    </row>
    <row r="20215">
      <c r="B20215" s="36"/>
      <c r="C20215" s="36"/>
      <c r="E20215" s="1"/>
      <c r="F20215" s="1"/>
      <c r="G20215" s="1"/>
    </row>
    <row r="20216">
      <c r="B20216" s="36"/>
      <c r="C20216" s="36"/>
      <c r="E20216" s="1"/>
      <c r="F20216" s="1"/>
      <c r="G20216" s="1"/>
    </row>
    <row r="20217">
      <c r="B20217" s="36"/>
      <c r="C20217" s="36"/>
      <c r="E20217" s="1"/>
      <c r="F20217" s="1"/>
      <c r="G20217" s="1"/>
    </row>
    <row r="20218">
      <c r="B20218" s="36"/>
      <c r="C20218" s="36"/>
      <c r="E20218" s="1"/>
      <c r="F20218" s="1"/>
      <c r="G20218" s="1"/>
    </row>
    <row r="20219">
      <c r="B20219" s="36"/>
      <c r="C20219" s="36"/>
      <c r="E20219" s="1"/>
      <c r="F20219" s="1"/>
      <c r="G20219" s="1"/>
    </row>
    <row r="20220">
      <c r="B20220" s="36"/>
      <c r="C20220" s="36"/>
      <c r="E20220" s="1"/>
      <c r="F20220" s="1"/>
      <c r="G20220" s="1"/>
    </row>
    <row r="20221">
      <c r="B20221" s="36"/>
      <c r="C20221" s="36"/>
      <c r="E20221" s="1"/>
      <c r="F20221" s="1"/>
      <c r="G20221" s="1"/>
    </row>
    <row r="20222">
      <c r="B20222" s="36"/>
      <c r="C20222" s="36"/>
      <c r="E20222" s="1"/>
      <c r="F20222" s="1"/>
      <c r="G20222" s="1"/>
    </row>
    <row r="20223">
      <c r="B20223" s="36"/>
      <c r="C20223" s="36"/>
      <c r="E20223" s="1"/>
      <c r="F20223" s="1"/>
      <c r="G20223" s="1"/>
    </row>
    <row r="20224">
      <c r="B20224" s="36"/>
      <c r="C20224" s="36"/>
      <c r="E20224" s="1"/>
      <c r="F20224" s="1"/>
      <c r="G20224" s="1"/>
    </row>
    <row r="20225">
      <c r="B20225" s="36"/>
      <c r="C20225" s="36"/>
      <c r="E20225" s="1"/>
      <c r="F20225" s="1"/>
      <c r="G20225" s="1"/>
    </row>
    <row r="20226">
      <c r="B20226" s="36"/>
      <c r="C20226" s="36"/>
      <c r="E20226" s="1"/>
      <c r="F20226" s="1"/>
      <c r="G20226" s="1"/>
    </row>
    <row r="20227">
      <c r="B20227" s="36"/>
      <c r="C20227" s="36"/>
      <c r="E20227" s="1"/>
      <c r="F20227" s="1"/>
      <c r="G20227" s="1"/>
    </row>
    <row r="20228">
      <c r="B20228" s="36"/>
      <c r="C20228" s="36"/>
      <c r="E20228" s="1"/>
      <c r="F20228" s="1"/>
      <c r="G20228" s="1"/>
    </row>
    <row r="20229">
      <c r="B20229" s="36"/>
      <c r="C20229" s="36"/>
      <c r="E20229" s="1"/>
      <c r="F20229" s="1"/>
      <c r="G20229" s="1"/>
    </row>
    <row r="20230">
      <c r="B20230" s="36"/>
      <c r="C20230" s="36"/>
      <c r="E20230" s="1"/>
      <c r="F20230" s="1"/>
      <c r="G20230" s="1"/>
    </row>
    <row r="20231">
      <c r="B20231" s="36"/>
      <c r="C20231" s="36"/>
      <c r="E20231" s="1"/>
      <c r="F20231" s="1"/>
      <c r="G20231" s="1"/>
    </row>
    <row r="20232">
      <c r="B20232" s="36"/>
      <c r="C20232" s="36"/>
      <c r="E20232" s="1"/>
      <c r="F20232" s="1"/>
      <c r="G20232" s="1"/>
    </row>
    <row r="20233">
      <c r="B20233" s="36"/>
      <c r="C20233" s="36"/>
      <c r="E20233" s="1"/>
      <c r="F20233" s="1"/>
      <c r="G20233" s="1"/>
    </row>
    <row r="20234">
      <c r="B20234" s="36"/>
      <c r="C20234" s="36"/>
      <c r="E20234" s="1"/>
      <c r="F20234" s="1"/>
      <c r="G20234" s="1"/>
    </row>
    <row r="20235">
      <c r="B20235" s="36"/>
      <c r="C20235" s="36"/>
      <c r="E20235" s="1"/>
      <c r="F20235" s="1"/>
      <c r="G20235" s="1"/>
    </row>
    <row r="20236">
      <c r="B20236" s="36"/>
      <c r="C20236" s="36"/>
      <c r="E20236" s="1"/>
      <c r="F20236" s="1"/>
      <c r="G20236" s="1"/>
    </row>
    <row r="20237">
      <c r="B20237" s="36"/>
      <c r="C20237" s="36"/>
      <c r="E20237" s="1"/>
      <c r="F20237" s="1"/>
      <c r="G20237" s="1"/>
    </row>
    <row r="20238">
      <c r="B20238" s="36"/>
      <c r="C20238" s="36"/>
      <c r="E20238" s="1"/>
      <c r="F20238" s="1"/>
      <c r="G20238" s="1"/>
    </row>
    <row r="20239">
      <c r="B20239" s="36"/>
      <c r="C20239" s="36"/>
      <c r="E20239" s="1"/>
      <c r="F20239" s="1"/>
      <c r="G20239" s="1"/>
    </row>
    <row r="20240">
      <c r="B20240" s="36"/>
      <c r="C20240" s="36"/>
      <c r="E20240" s="1"/>
      <c r="F20240" s="1"/>
      <c r="G20240" s="1"/>
    </row>
    <row r="20241">
      <c r="B20241" s="36"/>
      <c r="C20241" s="36"/>
      <c r="E20241" s="1"/>
      <c r="F20241" s="1"/>
      <c r="G20241" s="1"/>
    </row>
    <row r="20242">
      <c r="B20242" s="36"/>
      <c r="C20242" s="36"/>
      <c r="E20242" s="1"/>
      <c r="F20242" s="1"/>
      <c r="G20242" s="1"/>
    </row>
    <row r="20243">
      <c r="B20243" s="36"/>
      <c r="C20243" s="36"/>
      <c r="E20243" s="1"/>
      <c r="F20243" s="1"/>
      <c r="G20243" s="1"/>
    </row>
    <row r="20244">
      <c r="B20244" s="36"/>
      <c r="C20244" s="36"/>
      <c r="E20244" s="1"/>
      <c r="F20244" s="1"/>
      <c r="G20244" s="1"/>
    </row>
    <row r="20245">
      <c r="B20245" s="36"/>
      <c r="C20245" s="36"/>
      <c r="E20245" s="1"/>
      <c r="F20245" s="1"/>
      <c r="G20245" s="1"/>
    </row>
    <row r="20246">
      <c r="B20246" s="36"/>
      <c r="C20246" s="36"/>
      <c r="E20246" s="1"/>
      <c r="F20246" s="1"/>
      <c r="G20246" s="1"/>
    </row>
    <row r="20247">
      <c r="B20247" s="36"/>
      <c r="C20247" s="36"/>
      <c r="E20247" s="1"/>
      <c r="F20247" s="1"/>
      <c r="G20247" s="1"/>
    </row>
    <row r="20248">
      <c r="B20248" s="36"/>
      <c r="C20248" s="36"/>
      <c r="E20248" s="1"/>
      <c r="F20248" s="1"/>
      <c r="G20248" s="1"/>
    </row>
    <row r="20249">
      <c r="B20249" s="36"/>
      <c r="C20249" s="36"/>
      <c r="E20249" s="1"/>
      <c r="F20249" s="1"/>
      <c r="G20249" s="1"/>
    </row>
    <row r="20250">
      <c r="B20250" s="36"/>
      <c r="C20250" s="36"/>
      <c r="E20250" s="1"/>
      <c r="F20250" s="1"/>
      <c r="G20250" s="1"/>
    </row>
    <row r="20251">
      <c r="B20251" s="36"/>
      <c r="C20251" s="36"/>
      <c r="E20251" s="1"/>
      <c r="F20251" s="1"/>
      <c r="G20251" s="1"/>
    </row>
    <row r="20252">
      <c r="B20252" s="36"/>
      <c r="C20252" s="36"/>
      <c r="E20252" s="1"/>
      <c r="F20252" s="1"/>
      <c r="G20252" s="1"/>
    </row>
    <row r="20253">
      <c r="B20253" s="36"/>
      <c r="C20253" s="36"/>
      <c r="E20253" s="1"/>
      <c r="F20253" s="1"/>
      <c r="G20253" s="1"/>
    </row>
    <row r="20254">
      <c r="B20254" s="36"/>
      <c r="C20254" s="36"/>
      <c r="E20254" s="1"/>
      <c r="F20254" s="1"/>
      <c r="G20254" s="1"/>
    </row>
    <row r="20255">
      <c r="B20255" s="36"/>
      <c r="C20255" s="36"/>
      <c r="E20255" s="1"/>
      <c r="F20255" s="1"/>
      <c r="G20255" s="1"/>
    </row>
    <row r="20256">
      <c r="B20256" s="36"/>
      <c r="C20256" s="36"/>
      <c r="E20256" s="1"/>
      <c r="F20256" s="1"/>
      <c r="G20256" s="1"/>
    </row>
    <row r="20257">
      <c r="B20257" s="36"/>
      <c r="C20257" s="36"/>
      <c r="E20257" s="1"/>
      <c r="F20257" s="1"/>
      <c r="G20257" s="1"/>
    </row>
    <row r="20258">
      <c r="B20258" s="36"/>
      <c r="C20258" s="36"/>
      <c r="E20258" s="1"/>
      <c r="F20258" s="1"/>
      <c r="G20258" s="1"/>
    </row>
    <row r="20259">
      <c r="B20259" s="36"/>
      <c r="C20259" s="36"/>
      <c r="E20259" s="1"/>
      <c r="F20259" s="1"/>
      <c r="G20259" s="1"/>
    </row>
    <row r="20260">
      <c r="B20260" s="36"/>
      <c r="C20260" s="36"/>
      <c r="E20260" s="1"/>
      <c r="F20260" s="1"/>
      <c r="G20260" s="1"/>
    </row>
    <row r="20261">
      <c r="B20261" s="36"/>
      <c r="C20261" s="36"/>
      <c r="E20261" s="1"/>
      <c r="F20261" s="1"/>
      <c r="G20261" s="1"/>
    </row>
    <row r="20262">
      <c r="B20262" s="36"/>
      <c r="C20262" s="36"/>
      <c r="E20262" s="1"/>
      <c r="F20262" s="1"/>
      <c r="G20262" s="1"/>
    </row>
    <row r="20263">
      <c r="B20263" s="36"/>
      <c r="C20263" s="36"/>
      <c r="E20263" s="1"/>
      <c r="F20263" s="1"/>
      <c r="G20263" s="1"/>
    </row>
    <row r="20264">
      <c r="B20264" s="36"/>
      <c r="C20264" s="36"/>
      <c r="E20264" s="1"/>
      <c r="F20264" s="1"/>
      <c r="G20264" s="1"/>
    </row>
    <row r="20265">
      <c r="B20265" s="36"/>
      <c r="C20265" s="36"/>
      <c r="E20265" s="1"/>
      <c r="F20265" s="1"/>
      <c r="G20265" s="1"/>
    </row>
    <row r="20266">
      <c r="B20266" s="36"/>
      <c r="C20266" s="36"/>
      <c r="E20266" s="1"/>
      <c r="F20266" s="1"/>
      <c r="G20266" s="1"/>
    </row>
    <row r="20267">
      <c r="B20267" s="36"/>
      <c r="C20267" s="36"/>
      <c r="E20267" s="1"/>
      <c r="F20267" s="1"/>
      <c r="G20267" s="1"/>
    </row>
    <row r="20268">
      <c r="B20268" s="36"/>
      <c r="C20268" s="36"/>
      <c r="E20268" s="1"/>
      <c r="F20268" s="1"/>
      <c r="G20268" s="1"/>
    </row>
    <row r="20269">
      <c r="B20269" s="36"/>
      <c r="C20269" s="36"/>
      <c r="E20269" s="1"/>
      <c r="F20269" s="1"/>
      <c r="G20269" s="1"/>
    </row>
    <row r="20270">
      <c r="B20270" s="36"/>
      <c r="C20270" s="36"/>
      <c r="E20270" s="1"/>
      <c r="F20270" s="1"/>
      <c r="G20270" s="1"/>
    </row>
    <row r="20271">
      <c r="B20271" s="36"/>
      <c r="C20271" s="36"/>
      <c r="E20271" s="1"/>
      <c r="F20271" s="1"/>
      <c r="G20271" s="1"/>
    </row>
    <row r="20272">
      <c r="B20272" s="36"/>
      <c r="C20272" s="36"/>
      <c r="E20272" s="1"/>
      <c r="F20272" s="1"/>
      <c r="G20272" s="1"/>
    </row>
    <row r="20273">
      <c r="B20273" s="36"/>
      <c r="C20273" s="36"/>
      <c r="E20273" s="1"/>
      <c r="F20273" s="1"/>
      <c r="G20273" s="1"/>
    </row>
    <row r="20274">
      <c r="B20274" s="36"/>
      <c r="C20274" s="36"/>
      <c r="E20274" s="1"/>
      <c r="F20274" s="1"/>
      <c r="G20274" s="1"/>
    </row>
    <row r="20275">
      <c r="B20275" s="36"/>
      <c r="C20275" s="36"/>
      <c r="E20275" s="1"/>
      <c r="F20275" s="1"/>
      <c r="G20275" s="1"/>
    </row>
    <row r="20276">
      <c r="B20276" s="36"/>
      <c r="C20276" s="36"/>
      <c r="E20276" s="1"/>
      <c r="F20276" s="1"/>
      <c r="G20276" s="1"/>
    </row>
    <row r="20277">
      <c r="B20277" s="36"/>
      <c r="C20277" s="36"/>
      <c r="E20277" s="1"/>
      <c r="F20277" s="1"/>
      <c r="G20277" s="1"/>
    </row>
    <row r="20278">
      <c r="B20278" s="36"/>
      <c r="C20278" s="36"/>
      <c r="E20278" s="1"/>
      <c r="F20278" s="1"/>
      <c r="G20278" s="1"/>
    </row>
    <row r="20279">
      <c r="B20279" s="36"/>
      <c r="C20279" s="36"/>
      <c r="E20279" s="1"/>
      <c r="F20279" s="1"/>
      <c r="G20279" s="1"/>
    </row>
    <row r="20280">
      <c r="B20280" s="36"/>
      <c r="C20280" s="36"/>
      <c r="E20280" s="1"/>
      <c r="F20280" s="1"/>
      <c r="G20280" s="1"/>
    </row>
    <row r="20281">
      <c r="B20281" s="36"/>
      <c r="C20281" s="36"/>
      <c r="E20281" s="1"/>
      <c r="F20281" s="1"/>
      <c r="G20281" s="1"/>
    </row>
    <row r="20282">
      <c r="B20282" s="36"/>
      <c r="C20282" s="36"/>
      <c r="E20282" s="1"/>
      <c r="F20282" s="1"/>
      <c r="G20282" s="1"/>
    </row>
    <row r="20283">
      <c r="B20283" s="36"/>
      <c r="C20283" s="36"/>
      <c r="E20283" s="1"/>
      <c r="F20283" s="1"/>
      <c r="G20283" s="1"/>
    </row>
    <row r="20284">
      <c r="B20284" s="36"/>
      <c r="C20284" s="36"/>
      <c r="E20284" s="1"/>
      <c r="F20284" s="1"/>
      <c r="G20284" s="1"/>
    </row>
    <row r="20285">
      <c r="B20285" s="36"/>
      <c r="C20285" s="36"/>
      <c r="E20285" s="1"/>
      <c r="F20285" s="1"/>
      <c r="G20285" s="1"/>
    </row>
    <row r="20286">
      <c r="B20286" s="36"/>
      <c r="C20286" s="36"/>
      <c r="E20286" s="1"/>
      <c r="F20286" s="1"/>
      <c r="G20286" s="1"/>
    </row>
    <row r="20287">
      <c r="B20287" s="36"/>
      <c r="C20287" s="36"/>
      <c r="E20287" s="1"/>
      <c r="F20287" s="1"/>
      <c r="G20287" s="1"/>
    </row>
    <row r="20288">
      <c r="B20288" s="36"/>
      <c r="C20288" s="36"/>
      <c r="E20288" s="1"/>
      <c r="F20288" s="1"/>
      <c r="G20288" s="1"/>
    </row>
    <row r="20289">
      <c r="B20289" s="36"/>
      <c r="C20289" s="36"/>
      <c r="E20289" s="1"/>
      <c r="F20289" s="1"/>
      <c r="G20289" s="1"/>
    </row>
    <row r="20290">
      <c r="B20290" s="36"/>
      <c r="C20290" s="36"/>
      <c r="E20290" s="1"/>
      <c r="F20290" s="1"/>
      <c r="G20290" s="1"/>
    </row>
    <row r="20291">
      <c r="B20291" s="36"/>
      <c r="C20291" s="36"/>
      <c r="E20291" s="1"/>
      <c r="F20291" s="1"/>
      <c r="G20291" s="1"/>
    </row>
    <row r="20292">
      <c r="B20292" s="36"/>
      <c r="C20292" s="36"/>
      <c r="E20292" s="1"/>
      <c r="F20292" s="1"/>
      <c r="G20292" s="1"/>
    </row>
    <row r="20293">
      <c r="B20293" s="36"/>
      <c r="C20293" s="36"/>
      <c r="E20293" s="1"/>
      <c r="F20293" s="1"/>
      <c r="G20293" s="1"/>
    </row>
    <row r="20294">
      <c r="B20294" s="36"/>
      <c r="C20294" s="36"/>
      <c r="E20294" s="1"/>
      <c r="F20294" s="1"/>
      <c r="G20294" s="1"/>
    </row>
    <row r="20295">
      <c r="B20295" s="36"/>
      <c r="C20295" s="36"/>
      <c r="E20295" s="1"/>
      <c r="F20295" s="1"/>
      <c r="G20295" s="1"/>
    </row>
    <row r="20296">
      <c r="B20296" s="36"/>
      <c r="C20296" s="36"/>
      <c r="E20296" s="1"/>
      <c r="F20296" s="1"/>
      <c r="G20296" s="1"/>
    </row>
    <row r="20297">
      <c r="B20297" s="36"/>
      <c r="C20297" s="36"/>
      <c r="E20297" s="1"/>
      <c r="F20297" s="1"/>
      <c r="G20297" s="1"/>
    </row>
    <row r="20298">
      <c r="B20298" s="36"/>
      <c r="C20298" s="36"/>
      <c r="E20298" s="1"/>
      <c r="F20298" s="1"/>
      <c r="G20298" s="1"/>
    </row>
    <row r="20299">
      <c r="B20299" s="36"/>
      <c r="C20299" s="36"/>
      <c r="E20299" s="1"/>
      <c r="F20299" s="1"/>
      <c r="G20299" s="1"/>
    </row>
    <row r="20300">
      <c r="B20300" s="36"/>
      <c r="C20300" s="36"/>
      <c r="E20300" s="1"/>
      <c r="F20300" s="1"/>
      <c r="G20300" s="1"/>
    </row>
    <row r="20301">
      <c r="B20301" s="36"/>
      <c r="C20301" s="36"/>
      <c r="E20301" s="1"/>
      <c r="F20301" s="1"/>
      <c r="G20301" s="1"/>
    </row>
    <row r="20302">
      <c r="B20302" s="36"/>
      <c r="C20302" s="36"/>
      <c r="E20302" s="1"/>
      <c r="F20302" s="1"/>
      <c r="G20302" s="1"/>
    </row>
    <row r="20303">
      <c r="B20303" s="36"/>
      <c r="C20303" s="36"/>
      <c r="E20303" s="1"/>
      <c r="F20303" s="1"/>
      <c r="G20303" s="1"/>
    </row>
    <row r="20304">
      <c r="B20304" s="36"/>
      <c r="C20304" s="36"/>
      <c r="E20304" s="1"/>
      <c r="F20304" s="1"/>
      <c r="G20304" s="1"/>
    </row>
    <row r="20305">
      <c r="B20305" s="36"/>
      <c r="C20305" s="36"/>
      <c r="E20305" s="1"/>
      <c r="F20305" s="1"/>
      <c r="G20305" s="1"/>
    </row>
    <row r="20306">
      <c r="B20306" s="36"/>
      <c r="C20306" s="36"/>
      <c r="E20306" s="1"/>
      <c r="F20306" s="1"/>
      <c r="G20306" s="1"/>
    </row>
    <row r="20307">
      <c r="B20307" s="36"/>
      <c r="C20307" s="36"/>
      <c r="E20307" s="1"/>
      <c r="F20307" s="1"/>
      <c r="G20307" s="1"/>
    </row>
    <row r="20308">
      <c r="B20308" s="36"/>
      <c r="C20308" s="36"/>
      <c r="E20308" s="1"/>
      <c r="F20308" s="1"/>
      <c r="G20308" s="1"/>
    </row>
    <row r="20309">
      <c r="B20309" s="36"/>
      <c r="C20309" s="36"/>
      <c r="E20309" s="1"/>
      <c r="F20309" s="1"/>
      <c r="G20309" s="1"/>
    </row>
    <row r="20310">
      <c r="B20310" s="36"/>
      <c r="C20310" s="36"/>
      <c r="E20310" s="1"/>
      <c r="F20310" s="1"/>
      <c r="G20310" s="1"/>
    </row>
    <row r="20311">
      <c r="B20311" s="36"/>
      <c r="C20311" s="36"/>
      <c r="E20311" s="1"/>
      <c r="F20311" s="1"/>
      <c r="G20311" s="1"/>
    </row>
    <row r="20312">
      <c r="B20312" s="36"/>
      <c r="C20312" s="36"/>
      <c r="E20312" s="1"/>
      <c r="F20312" s="1"/>
      <c r="G20312" s="1"/>
    </row>
    <row r="20313">
      <c r="B20313" s="36"/>
      <c r="C20313" s="36"/>
      <c r="E20313" s="1"/>
      <c r="F20313" s="1"/>
      <c r="G20313" s="1"/>
    </row>
    <row r="20314">
      <c r="B20314" s="36"/>
      <c r="C20314" s="36"/>
      <c r="E20314" s="1"/>
      <c r="F20314" s="1"/>
      <c r="G20314" s="1"/>
    </row>
    <row r="20315">
      <c r="B20315" s="36"/>
      <c r="C20315" s="36"/>
      <c r="E20315" s="1"/>
      <c r="F20315" s="1"/>
      <c r="G20315" s="1"/>
    </row>
    <row r="20316">
      <c r="B20316" s="36"/>
      <c r="C20316" s="36"/>
      <c r="E20316" s="1"/>
      <c r="F20316" s="1"/>
      <c r="G20316" s="1"/>
    </row>
    <row r="20317">
      <c r="B20317" s="36"/>
      <c r="C20317" s="36"/>
      <c r="E20317" s="1"/>
      <c r="F20317" s="1"/>
      <c r="G20317" s="1"/>
    </row>
    <row r="20318">
      <c r="B20318" s="36"/>
      <c r="C20318" s="36"/>
      <c r="E20318" s="1"/>
      <c r="F20318" s="1"/>
      <c r="G20318" s="1"/>
    </row>
    <row r="20319">
      <c r="B20319" s="36"/>
      <c r="C20319" s="36"/>
      <c r="E20319" s="1"/>
      <c r="F20319" s="1"/>
      <c r="G20319" s="1"/>
    </row>
    <row r="20320">
      <c r="B20320" s="36"/>
      <c r="C20320" s="36"/>
      <c r="E20320" s="1"/>
      <c r="F20320" s="1"/>
      <c r="G20320" s="1"/>
    </row>
    <row r="20321">
      <c r="B20321" s="36"/>
      <c r="C20321" s="36"/>
      <c r="E20321" s="1"/>
      <c r="F20321" s="1"/>
      <c r="G20321" s="1"/>
    </row>
    <row r="20322">
      <c r="B20322" s="36"/>
      <c r="C20322" s="36"/>
      <c r="E20322" s="1"/>
      <c r="F20322" s="1"/>
      <c r="G20322" s="1"/>
    </row>
    <row r="20323">
      <c r="B20323" s="36"/>
      <c r="C20323" s="36"/>
      <c r="E20323" s="1"/>
      <c r="F20323" s="1"/>
      <c r="G20323" s="1"/>
    </row>
    <row r="20324">
      <c r="B20324" s="36"/>
      <c r="C20324" s="36"/>
      <c r="E20324" s="1"/>
      <c r="F20324" s="1"/>
      <c r="G20324" s="1"/>
    </row>
    <row r="20325">
      <c r="B20325" s="36"/>
      <c r="C20325" s="36"/>
      <c r="E20325" s="1"/>
      <c r="F20325" s="1"/>
      <c r="G20325" s="1"/>
    </row>
    <row r="20326">
      <c r="B20326" s="36"/>
      <c r="C20326" s="36"/>
      <c r="E20326" s="1"/>
      <c r="F20326" s="1"/>
      <c r="G20326" s="1"/>
    </row>
    <row r="20327">
      <c r="B20327" s="36"/>
      <c r="C20327" s="36"/>
      <c r="E20327" s="1"/>
      <c r="F20327" s="1"/>
      <c r="G20327" s="1"/>
    </row>
    <row r="20328">
      <c r="B20328" s="36"/>
      <c r="C20328" s="36"/>
      <c r="E20328" s="1"/>
      <c r="F20328" s="1"/>
      <c r="G20328" s="1"/>
    </row>
    <row r="20329">
      <c r="B20329" s="36"/>
      <c r="C20329" s="36"/>
      <c r="E20329" s="1"/>
      <c r="F20329" s="1"/>
      <c r="G20329" s="1"/>
    </row>
    <row r="20330">
      <c r="B20330" s="36"/>
      <c r="C20330" s="36"/>
      <c r="E20330" s="1"/>
      <c r="F20330" s="1"/>
      <c r="G20330" s="1"/>
    </row>
    <row r="20331">
      <c r="B20331" s="36"/>
      <c r="C20331" s="36"/>
      <c r="E20331" s="1"/>
      <c r="F20331" s="1"/>
      <c r="G20331" s="1"/>
    </row>
    <row r="20332">
      <c r="B20332" s="36"/>
      <c r="C20332" s="36"/>
      <c r="E20332" s="1"/>
      <c r="F20332" s="1"/>
      <c r="G20332" s="1"/>
    </row>
    <row r="20333">
      <c r="B20333" s="36"/>
      <c r="C20333" s="36"/>
      <c r="E20333" s="1"/>
      <c r="F20333" s="1"/>
      <c r="G20333" s="1"/>
    </row>
    <row r="20334">
      <c r="B20334" s="36"/>
      <c r="C20334" s="36"/>
      <c r="E20334" s="1"/>
      <c r="F20334" s="1"/>
      <c r="G20334" s="1"/>
    </row>
    <row r="20335">
      <c r="B20335" s="36"/>
      <c r="C20335" s="36"/>
      <c r="E20335" s="1"/>
      <c r="F20335" s="1"/>
      <c r="G20335" s="1"/>
    </row>
    <row r="20336">
      <c r="B20336" s="36"/>
      <c r="C20336" s="36"/>
      <c r="E20336" s="1"/>
      <c r="F20336" s="1"/>
      <c r="G20336" s="1"/>
    </row>
    <row r="20337">
      <c r="B20337" s="36"/>
      <c r="C20337" s="36"/>
      <c r="E20337" s="1"/>
      <c r="F20337" s="1"/>
      <c r="G20337" s="1"/>
    </row>
    <row r="20338">
      <c r="B20338" s="36"/>
      <c r="C20338" s="36"/>
      <c r="E20338" s="1"/>
      <c r="F20338" s="1"/>
      <c r="G20338" s="1"/>
    </row>
    <row r="20339">
      <c r="B20339" s="36"/>
      <c r="C20339" s="36"/>
      <c r="E20339" s="1"/>
      <c r="F20339" s="1"/>
      <c r="G20339" s="1"/>
    </row>
    <row r="20340">
      <c r="B20340" s="36"/>
      <c r="C20340" s="36"/>
      <c r="E20340" s="1"/>
      <c r="F20340" s="1"/>
      <c r="G20340" s="1"/>
    </row>
    <row r="20341">
      <c r="B20341" s="36"/>
      <c r="C20341" s="36"/>
      <c r="E20341" s="1"/>
      <c r="F20341" s="1"/>
      <c r="G20341" s="1"/>
    </row>
    <row r="20342">
      <c r="B20342" s="36"/>
      <c r="C20342" s="36"/>
      <c r="E20342" s="1"/>
      <c r="F20342" s="1"/>
      <c r="G20342" s="1"/>
    </row>
    <row r="20343">
      <c r="B20343" s="36"/>
      <c r="C20343" s="36"/>
      <c r="E20343" s="1"/>
      <c r="F20343" s="1"/>
      <c r="G20343" s="1"/>
    </row>
    <row r="20344">
      <c r="B20344" s="36"/>
      <c r="C20344" s="36"/>
      <c r="E20344" s="1"/>
      <c r="F20344" s="1"/>
      <c r="G20344" s="1"/>
    </row>
    <row r="20345">
      <c r="B20345" s="36"/>
      <c r="C20345" s="36"/>
      <c r="E20345" s="1"/>
      <c r="F20345" s="1"/>
      <c r="G20345" s="1"/>
    </row>
    <row r="20346">
      <c r="B20346" s="36"/>
      <c r="C20346" s="36"/>
      <c r="E20346" s="1"/>
      <c r="F20346" s="1"/>
      <c r="G20346" s="1"/>
    </row>
    <row r="20347">
      <c r="B20347" s="36"/>
      <c r="C20347" s="36"/>
      <c r="E20347" s="1"/>
      <c r="F20347" s="1"/>
      <c r="G20347" s="1"/>
    </row>
    <row r="20348">
      <c r="B20348" s="36"/>
      <c r="C20348" s="36"/>
      <c r="E20348" s="1"/>
      <c r="F20348" s="1"/>
      <c r="G20348" s="1"/>
    </row>
    <row r="20349">
      <c r="B20349" s="36"/>
      <c r="C20349" s="36"/>
      <c r="E20349" s="1"/>
      <c r="F20349" s="1"/>
      <c r="G20349" s="1"/>
    </row>
    <row r="20350">
      <c r="B20350" s="36"/>
      <c r="C20350" s="36"/>
      <c r="E20350" s="1"/>
      <c r="F20350" s="1"/>
      <c r="G20350" s="1"/>
    </row>
    <row r="20351">
      <c r="B20351" s="36"/>
      <c r="C20351" s="36"/>
      <c r="E20351" s="1"/>
      <c r="F20351" s="1"/>
      <c r="G20351" s="1"/>
    </row>
    <row r="20352">
      <c r="B20352" s="36"/>
      <c r="C20352" s="36"/>
      <c r="E20352" s="1"/>
      <c r="F20352" s="1"/>
      <c r="G20352" s="1"/>
    </row>
    <row r="20353">
      <c r="B20353" s="36"/>
      <c r="C20353" s="36"/>
      <c r="E20353" s="1"/>
      <c r="F20353" s="1"/>
      <c r="G20353" s="1"/>
    </row>
    <row r="20354">
      <c r="B20354" s="36"/>
      <c r="C20354" s="36"/>
      <c r="E20354" s="1"/>
      <c r="F20354" s="1"/>
      <c r="G20354" s="1"/>
    </row>
    <row r="20355">
      <c r="B20355" s="36"/>
      <c r="C20355" s="36"/>
      <c r="E20355" s="1"/>
      <c r="F20355" s="1"/>
      <c r="G20355" s="1"/>
    </row>
    <row r="20356">
      <c r="B20356" s="36"/>
      <c r="C20356" s="36"/>
      <c r="E20356" s="1"/>
      <c r="F20356" s="1"/>
      <c r="G20356" s="1"/>
    </row>
    <row r="20357">
      <c r="B20357" s="36"/>
      <c r="C20357" s="36"/>
      <c r="E20357" s="1"/>
      <c r="F20357" s="1"/>
      <c r="G20357" s="1"/>
    </row>
    <row r="20358">
      <c r="B20358" s="36"/>
      <c r="C20358" s="36"/>
      <c r="E20358" s="1"/>
      <c r="F20358" s="1"/>
      <c r="G20358" s="1"/>
    </row>
    <row r="20359">
      <c r="B20359" s="36"/>
      <c r="C20359" s="36"/>
      <c r="E20359" s="1"/>
      <c r="F20359" s="1"/>
      <c r="G20359" s="1"/>
    </row>
    <row r="20360">
      <c r="B20360" s="36"/>
      <c r="C20360" s="36"/>
      <c r="E20360" s="1"/>
      <c r="F20360" s="1"/>
      <c r="G20360" s="1"/>
    </row>
    <row r="20361">
      <c r="B20361" s="36"/>
      <c r="C20361" s="36"/>
      <c r="E20361" s="1"/>
      <c r="F20361" s="1"/>
      <c r="G20361" s="1"/>
    </row>
    <row r="20362">
      <c r="B20362" s="36"/>
      <c r="C20362" s="36"/>
      <c r="E20362" s="1"/>
      <c r="F20362" s="1"/>
      <c r="G20362" s="1"/>
    </row>
    <row r="20363">
      <c r="B20363" s="36"/>
      <c r="C20363" s="36"/>
      <c r="E20363" s="1"/>
      <c r="F20363" s="1"/>
      <c r="G20363" s="1"/>
    </row>
    <row r="20364">
      <c r="B20364" s="36"/>
      <c r="C20364" s="36"/>
      <c r="E20364" s="1"/>
      <c r="F20364" s="1"/>
      <c r="G20364" s="1"/>
    </row>
    <row r="20365">
      <c r="B20365" s="36"/>
      <c r="C20365" s="36"/>
      <c r="E20365" s="1"/>
      <c r="F20365" s="1"/>
      <c r="G20365" s="1"/>
    </row>
    <row r="20366">
      <c r="B20366" s="36"/>
      <c r="C20366" s="36"/>
      <c r="E20366" s="1"/>
      <c r="F20366" s="1"/>
      <c r="G20366" s="1"/>
    </row>
    <row r="20367">
      <c r="B20367" s="36"/>
      <c r="C20367" s="36"/>
      <c r="E20367" s="1"/>
      <c r="F20367" s="1"/>
      <c r="G20367" s="1"/>
    </row>
    <row r="20368">
      <c r="B20368" s="36"/>
      <c r="C20368" s="36"/>
      <c r="E20368" s="1"/>
      <c r="F20368" s="1"/>
      <c r="G20368" s="1"/>
    </row>
    <row r="20369">
      <c r="B20369" s="36"/>
      <c r="C20369" s="36"/>
      <c r="E20369" s="1"/>
      <c r="F20369" s="1"/>
      <c r="G20369" s="1"/>
    </row>
    <row r="20370">
      <c r="B20370" s="36"/>
      <c r="C20370" s="36"/>
      <c r="E20370" s="1"/>
      <c r="F20370" s="1"/>
      <c r="G20370" s="1"/>
    </row>
    <row r="20371">
      <c r="B20371" s="36"/>
      <c r="C20371" s="36"/>
      <c r="E20371" s="1"/>
      <c r="F20371" s="1"/>
      <c r="G20371" s="1"/>
    </row>
    <row r="20372">
      <c r="B20372" s="36"/>
      <c r="C20372" s="36"/>
      <c r="E20372" s="1"/>
      <c r="F20372" s="1"/>
      <c r="G20372" s="1"/>
    </row>
    <row r="20373">
      <c r="B20373" s="36"/>
      <c r="C20373" s="36"/>
      <c r="E20373" s="1"/>
      <c r="F20373" s="1"/>
      <c r="G20373" s="1"/>
    </row>
    <row r="20374">
      <c r="B20374" s="36"/>
      <c r="C20374" s="36"/>
      <c r="E20374" s="1"/>
      <c r="F20374" s="1"/>
      <c r="G20374" s="1"/>
    </row>
    <row r="20375">
      <c r="B20375" s="36"/>
      <c r="C20375" s="36"/>
      <c r="E20375" s="1"/>
      <c r="F20375" s="1"/>
      <c r="G20375" s="1"/>
    </row>
    <row r="20376">
      <c r="B20376" s="36"/>
      <c r="C20376" s="36"/>
      <c r="E20376" s="1"/>
      <c r="F20376" s="1"/>
      <c r="G20376" s="1"/>
    </row>
    <row r="20377">
      <c r="B20377" s="36"/>
      <c r="C20377" s="36"/>
      <c r="E20377" s="1"/>
      <c r="F20377" s="1"/>
      <c r="G20377" s="1"/>
    </row>
    <row r="20378">
      <c r="B20378" s="36"/>
      <c r="C20378" s="36"/>
      <c r="E20378" s="1"/>
      <c r="F20378" s="1"/>
      <c r="G20378" s="1"/>
    </row>
    <row r="20379">
      <c r="B20379" s="36"/>
      <c r="C20379" s="36"/>
      <c r="E20379" s="1"/>
      <c r="F20379" s="1"/>
      <c r="G20379" s="1"/>
    </row>
    <row r="20380">
      <c r="B20380" s="36"/>
      <c r="C20380" s="36"/>
      <c r="E20380" s="1"/>
      <c r="F20380" s="1"/>
      <c r="G20380" s="1"/>
    </row>
    <row r="20381">
      <c r="B20381" s="36"/>
      <c r="C20381" s="36"/>
      <c r="E20381" s="1"/>
      <c r="F20381" s="1"/>
      <c r="G20381" s="1"/>
    </row>
    <row r="20382">
      <c r="B20382" s="36"/>
      <c r="C20382" s="36"/>
      <c r="E20382" s="1"/>
      <c r="F20382" s="1"/>
      <c r="G20382" s="1"/>
    </row>
    <row r="20383">
      <c r="B20383" s="36"/>
      <c r="C20383" s="36"/>
      <c r="E20383" s="1"/>
      <c r="F20383" s="1"/>
      <c r="G20383" s="1"/>
    </row>
    <row r="20384">
      <c r="B20384" s="36"/>
      <c r="C20384" s="36"/>
      <c r="E20384" s="1"/>
      <c r="F20384" s="1"/>
      <c r="G20384" s="1"/>
    </row>
    <row r="20385">
      <c r="B20385" s="36"/>
      <c r="C20385" s="36"/>
      <c r="E20385" s="1"/>
      <c r="F20385" s="1"/>
      <c r="G20385" s="1"/>
    </row>
    <row r="20386">
      <c r="B20386" s="36"/>
      <c r="C20386" s="36"/>
      <c r="E20386" s="1"/>
      <c r="F20386" s="1"/>
      <c r="G20386" s="1"/>
    </row>
    <row r="20387">
      <c r="B20387" s="36"/>
      <c r="C20387" s="36"/>
      <c r="E20387" s="1"/>
      <c r="F20387" s="1"/>
      <c r="G20387" s="1"/>
    </row>
    <row r="20388">
      <c r="B20388" s="36"/>
      <c r="C20388" s="36"/>
      <c r="E20388" s="1"/>
      <c r="F20388" s="1"/>
      <c r="G20388" s="1"/>
    </row>
    <row r="20389">
      <c r="B20389" s="36"/>
      <c r="C20389" s="36"/>
      <c r="E20389" s="1"/>
      <c r="F20389" s="1"/>
      <c r="G20389" s="1"/>
    </row>
    <row r="20390">
      <c r="B20390" s="36"/>
      <c r="C20390" s="36"/>
      <c r="E20390" s="1"/>
      <c r="F20390" s="1"/>
      <c r="G20390" s="1"/>
    </row>
    <row r="20391">
      <c r="B20391" s="36"/>
      <c r="C20391" s="36"/>
      <c r="E20391" s="1"/>
      <c r="F20391" s="1"/>
      <c r="G20391" s="1"/>
    </row>
    <row r="20392">
      <c r="B20392" s="36"/>
      <c r="C20392" s="36"/>
      <c r="E20392" s="1"/>
      <c r="F20392" s="1"/>
      <c r="G20392" s="1"/>
    </row>
    <row r="20393">
      <c r="B20393" s="36"/>
      <c r="C20393" s="36"/>
      <c r="E20393" s="1"/>
      <c r="F20393" s="1"/>
      <c r="G20393" s="1"/>
    </row>
    <row r="20394">
      <c r="B20394" s="36"/>
      <c r="C20394" s="36"/>
      <c r="E20394" s="1"/>
      <c r="F20394" s="1"/>
      <c r="G20394" s="1"/>
    </row>
    <row r="20395">
      <c r="B20395" s="36"/>
      <c r="C20395" s="36"/>
      <c r="E20395" s="1"/>
      <c r="F20395" s="1"/>
      <c r="G20395" s="1"/>
    </row>
    <row r="20396">
      <c r="B20396" s="36"/>
      <c r="C20396" s="36"/>
      <c r="E20396" s="1"/>
      <c r="F20396" s="1"/>
      <c r="G20396" s="1"/>
    </row>
    <row r="20397">
      <c r="B20397" s="36"/>
      <c r="C20397" s="36"/>
      <c r="E20397" s="1"/>
      <c r="F20397" s="1"/>
      <c r="G20397" s="1"/>
    </row>
    <row r="20398">
      <c r="B20398" s="36"/>
      <c r="C20398" s="36"/>
      <c r="E20398" s="1"/>
      <c r="F20398" s="1"/>
      <c r="G20398" s="1"/>
    </row>
    <row r="20399">
      <c r="B20399" s="36"/>
      <c r="C20399" s="36"/>
      <c r="E20399" s="1"/>
      <c r="F20399" s="1"/>
      <c r="G20399" s="1"/>
    </row>
    <row r="20400">
      <c r="B20400" s="36"/>
      <c r="C20400" s="36"/>
      <c r="E20400" s="1"/>
      <c r="F20400" s="1"/>
      <c r="G20400" s="1"/>
    </row>
    <row r="20401">
      <c r="B20401" s="36"/>
      <c r="C20401" s="36"/>
      <c r="E20401" s="1"/>
      <c r="F20401" s="1"/>
      <c r="G20401" s="1"/>
    </row>
    <row r="20402">
      <c r="B20402" s="36"/>
      <c r="C20402" s="36"/>
      <c r="E20402" s="1"/>
      <c r="F20402" s="1"/>
      <c r="G20402" s="1"/>
    </row>
    <row r="20403">
      <c r="B20403" s="36"/>
      <c r="C20403" s="36"/>
      <c r="E20403" s="1"/>
      <c r="F20403" s="1"/>
      <c r="G20403" s="1"/>
    </row>
    <row r="20404">
      <c r="B20404" s="36"/>
      <c r="C20404" s="36"/>
      <c r="E20404" s="1"/>
      <c r="F20404" s="1"/>
      <c r="G20404" s="1"/>
    </row>
    <row r="20405">
      <c r="B20405" s="36"/>
      <c r="C20405" s="36"/>
      <c r="E20405" s="1"/>
      <c r="F20405" s="1"/>
      <c r="G20405" s="1"/>
    </row>
    <row r="20406">
      <c r="B20406" s="36"/>
      <c r="C20406" s="36"/>
      <c r="E20406" s="1"/>
      <c r="F20406" s="1"/>
      <c r="G20406" s="1"/>
    </row>
    <row r="20407">
      <c r="B20407" s="36"/>
      <c r="C20407" s="36"/>
      <c r="E20407" s="1"/>
      <c r="F20407" s="1"/>
      <c r="G20407" s="1"/>
    </row>
    <row r="20408">
      <c r="B20408" s="36"/>
      <c r="C20408" s="36"/>
      <c r="E20408" s="1"/>
      <c r="F20408" s="1"/>
      <c r="G20408" s="1"/>
    </row>
    <row r="20409">
      <c r="B20409" s="36"/>
      <c r="C20409" s="36"/>
      <c r="E20409" s="1"/>
      <c r="F20409" s="1"/>
      <c r="G20409" s="1"/>
    </row>
    <row r="20410">
      <c r="B20410" s="36"/>
      <c r="C20410" s="36"/>
      <c r="E20410" s="1"/>
      <c r="F20410" s="1"/>
      <c r="G20410" s="1"/>
    </row>
    <row r="20411">
      <c r="B20411" s="36"/>
      <c r="C20411" s="36"/>
      <c r="E20411" s="1"/>
      <c r="F20411" s="1"/>
      <c r="G20411" s="1"/>
    </row>
    <row r="20412">
      <c r="B20412" s="36"/>
      <c r="C20412" s="36"/>
      <c r="E20412" s="1"/>
      <c r="F20412" s="1"/>
      <c r="G20412" s="1"/>
    </row>
    <row r="20413">
      <c r="B20413" s="36"/>
      <c r="C20413" s="36"/>
      <c r="E20413" s="1"/>
      <c r="F20413" s="1"/>
      <c r="G20413" s="1"/>
    </row>
    <row r="20414">
      <c r="B20414" s="36"/>
      <c r="C20414" s="36"/>
      <c r="E20414" s="1"/>
      <c r="F20414" s="1"/>
      <c r="G20414" s="1"/>
    </row>
    <row r="20415">
      <c r="B20415" s="36"/>
      <c r="C20415" s="36"/>
      <c r="E20415" s="1"/>
      <c r="F20415" s="1"/>
      <c r="G20415" s="1"/>
    </row>
    <row r="20416">
      <c r="B20416" s="36"/>
      <c r="C20416" s="36"/>
      <c r="E20416" s="1"/>
      <c r="F20416" s="1"/>
      <c r="G20416" s="1"/>
    </row>
    <row r="20417">
      <c r="B20417" s="36"/>
      <c r="C20417" s="36"/>
      <c r="E20417" s="1"/>
      <c r="F20417" s="1"/>
      <c r="G20417" s="1"/>
    </row>
    <row r="20418">
      <c r="B20418" s="36"/>
      <c r="C20418" s="36"/>
      <c r="E20418" s="1"/>
      <c r="F20418" s="1"/>
      <c r="G20418" s="1"/>
    </row>
    <row r="20419">
      <c r="B20419" s="36"/>
      <c r="C20419" s="36"/>
      <c r="E20419" s="1"/>
      <c r="F20419" s="1"/>
      <c r="G20419" s="1"/>
    </row>
    <row r="20420">
      <c r="B20420" s="36"/>
      <c r="C20420" s="36"/>
      <c r="E20420" s="1"/>
      <c r="F20420" s="1"/>
      <c r="G20420" s="1"/>
    </row>
    <row r="20421">
      <c r="B20421" s="36"/>
      <c r="C20421" s="36"/>
      <c r="E20421" s="1"/>
      <c r="F20421" s="1"/>
      <c r="G20421" s="1"/>
    </row>
    <row r="20422">
      <c r="B20422" s="36"/>
      <c r="C20422" s="36"/>
      <c r="E20422" s="1"/>
      <c r="F20422" s="1"/>
      <c r="G20422" s="1"/>
    </row>
    <row r="20423">
      <c r="B20423" s="36"/>
      <c r="C20423" s="36"/>
      <c r="E20423" s="1"/>
      <c r="F20423" s="1"/>
      <c r="G20423" s="1"/>
    </row>
    <row r="20424">
      <c r="B20424" s="36"/>
      <c r="C20424" s="36"/>
      <c r="E20424" s="1"/>
      <c r="F20424" s="1"/>
      <c r="G20424" s="1"/>
    </row>
    <row r="20425">
      <c r="B20425" s="36"/>
      <c r="C20425" s="36"/>
      <c r="E20425" s="1"/>
      <c r="F20425" s="1"/>
      <c r="G20425" s="1"/>
    </row>
    <row r="20426">
      <c r="B20426" s="36"/>
      <c r="C20426" s="36"/>
      <c r="E20426" s="1"/>
      <c r="F20426" s="1"/>
      <c r="G20426" s="1"/>
    </row>
    <row r="20427">
      <c r="B20427" s="36"/>
      <c r="C20427" s="36"/>
      <c r="E20427" s="1"/>
      <c r="F20427" s="1"/>
      <c r="G20427" s="1"/>
    </row>
    <row r="20428">
      <c r="B20428" s="36"/>
      <c r="C20428" s="36"/>
      <c r="E20428" s="1"/>
      <c r="F20428" s="1"/>
      <c r="G20428" s="1"/>
    </row>
    <row r="20429">
      <c r="B20429" s="36"/>
      <c r="C20429" s="36"/>
      <c r="E20429" s="1"/>
      <c r="F20429" s="1"/>
      <c r="G20429" s="1"/>
    </row>
    <row r="20430">
      <c r="B20430" s="36"/>
      <c r="C20430" s="36"/>
      <c r="E20430" s="1"/>
      <c r="F20430" s="1"/>
      <c r="G20430" s="1"/>
    </row>
    <row r="20431">
      <c r="B20431" s="36"/>
      <c r="C20431" s="36"/>
      <c r="E20431" s="1"/>
      <c r="F20431" s="1"/>
      <c r="G20431" s="1"/>
    </row>
    <row r="20432">
      <c r="B20432" s="36"/>
      <c r="C20432" s="36"/>
      <c r="E20432" s="1"/>
      <c r="F20432" s="1"/>
      <c r="G20432" s="1"/>
    </row>
    <row r="20433">
      <c r="B20433" s="36"/>
      <c r="C20433" s="36"/>
      <c r="E20433" s="1"/>
      <c r="F20433" s="1"/>
      <c r="G20433" s="1"/>
    </row>
    <row r="20434">
      <c r="B20434" s="36"/>
      <c r="C20434" s="36"/>
      <c r="E20434" s="1"/>
      <c r="F20434" s="1"/>
      <c r="G20434" s="1"/>
    </row>
    <row r="20435">
      <c r="B20435" s="36"/>
      <c r="C20435" s="36"/>
      <c r="E20435" s="1"/>
      <c r="F20435" s="1"/>
      <c r="G20435" s="1"/>
    </row>
    <row r="20436">
      <c r="B20436" s="36"/>
      <c r="C20436" s="36"/>
      <c r="E20436" s="1"/>
      <c r="F20436" s="1"/>
      <c r="G20436" s="1"/>
    </row>
    <row r="20437">
      <c r="B20437" s="36"/>
      <c r="C20437" s="36"/>
      <c r="E20437" s="1"/>
      <c r="F20437" s="1"/>
      <c r="G20437" s="1"/>
    </row>
    <row r="20438">
      <c r="B20438" s="36"/>
      <c r="C20438" s="36"/>
      <c r="E20438" s="1"/>
      <c r="F20438" s="1"/>
      <c r="G20438" s="1"/>
    </row>
    <row r="20439">
      <c r="B20439" s="36"/>
      <c r="C20439" s="36"/>
      <c r="E20439" s="1"/>
      <c r="F20439" s="1"/>
      <c r="G20439" s="1"/>
    </row>
    <row r="20440">
      <c r="B20440" s="36"/>
      <c r="C20440" s="36"/>
      <c r="E20440" s="1"/>
      <c r="F20440" s="1"/>
      <c r="G20440" s="1"/>
    </row>
    <row r="20441">
      <c r="B20441" s="36"/>
      <c r="C20441" s="36"/>
      <c r="E20441" s="1"/>
      <c r="F20441" s="1"/>
      <c r="G20441" s="1"/>
    </row>
    <row r="20442">
      <c r="B20442" s="36"/>
      <c r="C20442" s="36"/>
      <c r="E20442" s="1"/>
      <c r="F20442" s="1"/>
      <c r="G20442" s="1"/>
    </row>
    <row r="20443">
      <c r="B20443" s="36"/>
      <c r="C20443" s="36"/>
      <c r="E20443" s="1"/>
      <c r="F20443" s="1"/>
      <c r="G20443" s="1"/>
    </row>
    <row r="20444">
      <c r="B20444" s="36"/>
      <c r="C20444" s="36"/>
      <c r="E20444" s="1"/>
      <c r="F20444" s="1"/>
      <c r="G20444" s="1"/>
    </row>
    <row r="20445">
      <c r="B20445" s="36"/>
      <c r="C20445" s="36"/>
      <c r="E20445" s="1"/>
      <c r="F20445" s="1"/>
      <c r="G20445" s="1"/>
    </row>
    <row r="20446">
      <c r="B20446" s="36"/>
      <c r="C20446" s="36"/>
      <c r="E20446" s="1"/>
      <c r="F20446" s="1"/>
      <c r="G20446" s="1"/>
    </row>
    <row r="20447">
      <c r="B20447" s="36"/>
      <c r="C20447" s="36"/>
      <c r="E20447" s="1"/>
      <c r="F20447" s="1"/>
      <c r="G20447" s="1"/>
    </row>
    <row r="20448">
      <c r="B20448" s="36"/>
      <c r="C20448" s="36"/>
      <c r="E20448" s="1"/>
      <c r="F20448" s="1"/>
      <c r="G20448" s="1"/>
    </row>
    <row r="20449">
      <c r="B20449" s="36"/>
      <c r="C20449" s="36"/>
      <c r="E20449" s="1"/>
      <c r="F20449" s="1"/>
      <c r="G20449" s="1"/>
    </row>
    <row r="20450">
      <c r="B20450" s="36"/>
      <c r="C20450" s="36"/>
      <c r="E20450" s="1"/>
      <c r="F20450" s="1"/>
      <c r="G20450" s="1"/>
    </row>
    <row r="20451">
      <c r="B20451" s="36"/>
      <c r="C20451" s="36"/>
      <c r="E20451" s="1"/>
      <c r="F20451" s="1"/>
      <c r="G20451" s="1"/>
    </row>
    <row r="20452">
      <c r="B20452" s="36"/>
      <c r="C20452" s="36"/>
      <c r="E20452" s="1"/>
      <c r="F20452" s="1"/>
      <c r="G20452" s="1"/>
    </row>
    <row r="20453">
      <c r="B20453" s="36"/>
      <c r="C20453" s="36"/>
      <c r="E20453" s="1"/>
      <c r="F20453" s="1"/>
      <c r="G20453" s="1"/>
    </row>
    <row r="20454">
      <c r="B20454" s="36"/>
      <c r="C20454" s="36"/>
      <c r="E20454" s="1"/>
      <c r="F20454" s="1"/>
      <c r="G20454" s="1"/>
    </row>
    <row r="20455">
      <c r="B20455" s="36"/>
      <c r="C20455" s="36"/>
      <c r="E20455" s="1"/>
      <c r="F20455" s="1"/>
      <c r="G20455" s="1"/>
    </row>
    <row r="20456">
      <c r="B20456" s="36"/>
      <c r="C20456" s="36"/>
      <c r="E20456" s="1"/>
      <c r="F20456" s="1"/>
      <c r="G20456" s="1"/>
    </row>
    <row r="20457">
      <c r="B20457" s="36"/>
      <c r="C20457" s="36"/>
      <c r="E20457" s="1"/>
      <c r="F20457" s="1"/>
      <c r="G20457" s="1"/>
    </row>
    <row r="20458">
      <c r="B20458" s="36"/>
      <c r="C20458" s="36"/>
      <c r="E20458" s="1"/>
      <c r="F20458" s="1"/>
      <c r="G20458" s="1"/>
    </row>
    <row r="20459">
      <c r="B20459" s="36"/>
      <c r="C20459" s="36"/>
      <c r="E20459" s="1"/>
      <c r="F20459" s="1"/>
      <c r="G20459" s="1"/>
    </row>
    <row r="20460">
      <c r="B20460" s="36"/>
      <c r="C20460" s="36"/>
      <c r="E20460" s="1"/>
      <c r="F20460" s="1"/>
      <c r="G20460" s="1"/>
    </row>
    <row r="20461">
      <c r="B20461" s="36"/>
      <c r="C20461" s="36"/>
      <c r="E20461" s="1"/>
      <c r="F20461" s="1"/>
      <c r="G20461" s="1"/>
    </row>
    <row r="20462">
      <c r="B20462" s="36"/>
      <c r="C20462" s="36"/>
      <c r="E20462" s="1"/>
      <c r="F20462" s="1"/>
      <c r="G20462" s="1"/>
    </row>
    <row r="20463">
      <c r="B20463" s="36"/>
      <c r="C20463" s="36"/>
      <c r="E20463" s="1"/>
      <c r="F20463" s="1"/>
      <c r="G20463" s="1"/>
    </row>
    <row r="20464">
      <c r="B20464" s="36"/>
      <c r="C20464" s="36"/>
      <c r="E20464" s="1"/>
      <c r="F20464" s="1"/>
      <c r="G20464" s="1"/>
    </row>
    <row r="20465">
      <c r="B20465" s="36"/>
      <c r="C20465" s="36"/>
      <c r="E20465" s="1"/>
      <c r="F20465" s="1"/>
      <c r="G20465" s="1"/>
    </row>
    <row r="20466">
      <c r="B20466" s="36"/>
      <c r="C20466" s="36"/>
      <c r="E20466" s="1"/>
      <c r="F20466" s="1"/>
      <c r="G20466" s="1"/>
    </row>
    <row r="20467">
      <c r="B20467" s="36"/>
      <c r="C20467" s="36"/>
      <c r="E20467" s="1"/>
      <c r="F20467" s="1"/>
      <c r="G20467" s="1"/>
    </row>
    <row r="20468">
      <c r="B20468" s="36"/>
      <c r="C20468" s="36"/>
      <c r="E20468" s="1"/>
      <c r="F20468" s="1"/>
      <c r="G20468" s="1"/>
    </row>
    <row r="20469">
      <c r="B20469" s="36"/>
      <c r="C20469" s="36"/>
      <c r="E20469" s="1"/>
      <c r="F20469" s="1"/>
      <c r="G20469" s="1"/>
    </row>
    <row r="20470">
      <c r="B20470" s="36"/>
      <c r="C20470" s="36"/>
      <c r="E20470" s="1"/>
      <c r="F20470" s="1"/>
      <c r="G20470" s="1"/>
    </row>
    <row r="20471">
      <c r="B20471" s="36"/>
      <c r="C20471" s="36"/>
      <c r="E20471" s="1"/>
      <c r="F20471" s="1"/>
      <c r="G20471" s="1"/>
    </row>
    <row r="20472">
      <c r="B20472" s="36"/>
      <c r="C20472" s="36"/>
      <c r="E20472" s="1"/>
      <c r="F20472" s="1"/>
      <c r="G20472" s="1"/>
    </row>
    <row r="20473">
      <c r="B20473" s="36"/>
      <c r="C20473" s="36"/>
      <c r="E20473" s="1"/>
      <c r="F20473" s="1"/>
      <c r="G20473" s="1"/>
    </row>
    <row r="20474">
      <c r="B20474" s="36"/>
      <c r="C20474" s="36"/>
      <c r="E20474" s="1"/>
      <c r="F20474" s="1"/>
      <c r="G20474" s="1"/>
    </row>
    <row r="20475">
      <c r="B20475" s="36"/>
      <c r="C20475" s="36"/>
      <c r="E20475" s="1"/>
      <c r="F20475" s="1"/>
      <c r="G20475" s="1"/>
    </row>
    <row r="20476">
      <c r="B20476" s="36"/>
      <c r="C20476" s="36"/>
      <c r="E20476" s="1"/>
      <c r="F20476" s="1"/>
      <c r="G20476" s="1"/>
    </row>
    <row r="20477">
      <c r="B20477" s="36"/>
      <c r="C20477" s="36"/>
      <c r="E20477" s="1"/>
      <c r="F20477" s="1"/>
      <c r="G20477" s="1"/>
    </row>
    <row r="20478">
      <c r="B20478" s="36"/>
      <c r="C20478" s="36"/>
      <c r="E20478" s="1"/>
      <c r="F20478" s="1"/>
      <c r="G20478" s="1"/>
    </row>
    <row r="20479">
      <c r="B20479" s="36"/>
      <c r="C20479" s="36"/>
      <c r="E20479" s="1"/>
      <c r="F20479" s="1"/>
      <c r="G20479" s="1"/>
    </row>
    <row r="20480">
      <c r="B20480" s="36"/>
      <c r="C20480" s="36"/>
      <c r="E20480" s="1"/>
      <c r="F20480" s="1"/>
      <c r="G20480" s="1"/>
    </row>
    <row r="20481">
      <c r="B20481" s="36"/>
      <c r="C20481" s="36"/>
      <c r="E20481" s="1"/>
      <c r="F20481" s="1"/>
      <c r="G20481" s="1"/>
    </row>
    <row r="20482">
      <c r="B20482" s="36"/>
      <c r="C20482" s="36"/>
      <c r="E20482" s="1"/>
      <c r="F20482" s="1"/>
      <c r="G20482" s="1"/>
    </row>
    <row r="20483">
      <c r="B20483" s="36"/>
      <c r="C20483" s="36"/>
      <c r="E20483" s="1"/>
      <c r="F20483" s="1"/>
      <c r="G20483" s="1"/>
    </row>
    <row r="20484">
      <c r="B20484" s="36"/>
      <c r="C20484" s="36"/>
      <c r="E20484" s="1"/>
      <c r="F20484" s="1"/>
      <c r="G20484" s="1"/>
    </row>
    <row r="20485">
      <c r="B20485" s="36"/>
      <c r="C20485" s="36"/>
      <c r="E20485" s="1"/>
      <c r="F20485" s="1"/>
      <c r="G20485" s="1"/>
    </row>
    <row r="20486">
      <c r="B20486" s="36"/>
      <c r="C20486" s="36"/>
      <c r="E20486" s="1"/>
      <c r="F20486" s="1"/>
      <c r="G20486" s="1"/>
    </row>
    <row r="20487">
      <c r="B20487" s="36"/>
      <c r="C20487" s="36"/>
      <c r="E20487" s="1"/>
      <c r="F20487" s="1"/>
      <c r="G20487" s="1"/>
    </row>
    <row r="20488">
      <c r="B20488" s="36"/>
      <c r="C20488" s="36"/>
      <c r="E20488" s="1"/>
      <c r="F20488" s="1"/>
      <c r="G20488" s="1"/>
    </row>
    <row r="20489">
      <c r="B20489" s="36"/>
      <c r="C20489" s="36"/>
      <c r="E20489" s="1"/>
      <c r="F20489" s="1"/>
      <c r="G20489" s="1"/>
    </row>
    <row r="20490">
      <c r="B20490" s="36"/>
      <c r="C20490" s="36"/>
      <c r="E20490" s="1"/>
      <c r="F20490" s="1"/>
      <c r="G20490" s="1"/>
    </row>
    <row r="20491">
      <c r="B20491" s="36"/>
      <c r="C20491" s="36"/>
      <c r="E20491" s="1"/>
      <c r="F20491" s="1"/>
      <c r="G20491" s="1"/>
    </row>
    <row r="20492">
      <c r="B20492" s="36"/>
      <c r="C20492" s="36"/>
      <c r="E20492" s="1"/>
      <c r="F20492" s="1"/>
      <c r="G20492" s="1"/>
    </row>
    <row r="20493">
      <c r="B20493" s="36"/>
      <c r="C20493" s="36"/>
      <c r="E20493" s="1"/>
      <c r="F20493" s="1"/>
      <c r="G20493" s="1"/>
    </row>
    <row r="20494">
      <c r="B20494" s="36"/>
      <c r="C20494" s="36"/>
      <c r="E20494" s="1"/>
      <c r="F20494" s="1"/>
      <c r="G20494" s="1"/>
    </row>
    <row r="20495">
      <c r="B20495" s="36"/>
      <c r="C20495" s="36"/>
      <c r="E20495" s="1"/>
      <c r="F20495" s="1"/>
      <c r="G20495" s="1"/>
    </row>
    <row r="20496">
      <c r="B20496" s="36"/>
      <c r="C20496" s="36"/>
      <c r="E20496" s="1"/>
      <c r="F20496" s="1"/>
      <c r="G20496" s="1"/>
    </row>
    <row r="20497">
      <c r="B20497" s="36"/>
      <c r="C20497" s="36"/>
      <c r="E20497" s="1"/>
      <c r="F20497" s="1"/>
      <c r="G20497" s="1"/>
    </row>
    <row r="20498">
      <c r="B20498" s="36"/>
      <c r="C20498" s="36"/>
      <c r="E20498" s="1"/>
      <c r="F20498" s="1"/>
      <c r="G20498" s="1"/>
    </row>
    <row r="20499">
      <c r="B20499" s="36"/>
      <c r="C20499" s="36"/>
      <c r="E20499" s="1"/>
      <c r="F20499" s="1"/>
      <c r="G20499" s="1"/>
    </row>
    <row r="20500">
      <c r="B20500" s="36"/>
      <c r="C20500" s="36"/>
      <c r="E20500" s="1"/>
      <c r="F20500" s="1"/>
      <c r="G20500" s="1"/>
    </row>
    <row r="20501">
      <c r="B20501" s="36"/>
      <c r="C20501" s="36"/>
      <c r="E20501" s="1"/>
      <c r="F20501" s="1"/>
      <c r="G20501" s="1"/>
    </row>
    <row r="20502">
      <c r="B20502" s="36"/>
      <c r="C20502" s="36"/>
      <c r="E20502" s="1"/>
      <c r="F20502" s="1"/>
      <c r="G20502" s="1"/>
    </row>
    <row r="20503">
      <c r="B20503" s="36"/>
      <c r="C20503" s="36"/>
      <c r="E20503" s="1"/>
      <c r="F20503" s="1"/>
      <c r="G20503" s="1"/>
    </row>
    <row r="20504">
      <c r="B20504" s="36"/>
      <c r="C20504" s="36"/>
      <c r="E20504" s="1"/>
      <c r="F20504" s="1"/>
      <c r="G20504" s="1"/>
    </row>
    <row r="20505">
      <c r="B20505" s="36"/>
      <c r="C20505" s="36"/>
      <c r="E20505" s="1"/>
      <c r="F20505" s="1"/>
      <c r="G20505" s="1"/>
    </row>
    <row r="20506">
      <c r="B20506" s="36"/>
      <c r="C20506" s="36"/>
      <c r="E20506" s="1"/>
      <c r="F20506" s="1"/>
      <c r="G20506" s="1"/>
    </row>
    <row r="20507">
      <c r="B20507" s="36"/>
      <c r="C20507" s="36"/>
      <c r="E20507" s="1"/>
      <c r="F20507" s="1"/>
      <c r="G20507" s="1"/>
    </row>
    <row r="20508">
      <c r="B20508" s="36"/>
      <c r="C20508" s="36"/>
      <c r="E20508" s="1"/>
      <c r="F20508" s="1"/>
      <c r="G20508" s="1"/>
    </row>
    <row r="20509">
      <c r="B20509" s="36"/>
      <c r="C20509" s="36"/>
      <c r="E20509" s="1"/>
      <c r="F20509" s="1"/>
      <c r="G20509" s="1"/>
    </row>
    <row r="20510">
      <c r="B20510" s="36"/>
      <c r="C20510" s="36"/>
      <c r="E20510" s="1"/>
      <c r="F20510" s="1"/>
      <c r="G20510" s="1"/>
    </row>
    <row r="20511">
      <c r="B20511" s="36"/>
      <c r="C20511" s="36"/>
      <c r="E20511" s="1"/>
      <c r="F20511" s="1"/>
      <c r="G20511" s="1"/>
    </row>
    <row r="20512">
      <c r="B20512" s="36"/>
      <c r="C20512" s="36"/>
      <c r="E20512" s="1"/>
      <c r="F20512" s="1"/>
      <c r="G20512" s="1"/>
    </row>
    <row r="20513">
      <c r="B20513" s="36"/>
      <c r="C20513" s="36"/>
      <c r="E20513" s="1"/>
      <c r="F20513" s="1"/>
      <c r="G20513" s="1"/>
    </row>
    <row r="20514">
      <c r="B20514" s="36"/>
      <c r="C20514" s="36"/>
      <c r="E20514" s="1"/>
      <c r="F20514" s="1"/>
      <c r="G20514" s="1"/>
    </row>
    <row r="20515">
      <c r="B20515" s="36"/>
      <c r="C20515" s="36"/>
      <c r="E20515" s="1"/>
      <c r="F20515" s="1"/>
      <c r="G20515" s="1"/>
    </row>
    <row r="20516">
      <c r="B20516" s="36"/>
      <c r="C20516" s="36"/>
      <c r="E20516" s="1"/>
      <c r="F20516" s="1"/>
      <c r="G20516" s="1"/>
    </row>
    <row r="20517">
      <c r="B20517" s="36"/>
      <c r="C20517" s="36"/>
      <c r="E20517" s="1"/>
      <c r="F20517" s="1"/>
      <c r="G20517" s="1"/>
    </row>
    <row r="20518">
      <c r="B20518" s="36"/>
      <c r="C20518" s="36"/>
      <c r="E20518" s="1"/>
      <c r="F20518" s="1"/>
      <c r="G20518" s="1"/>
    </row>
    <row r="20519">
      <c r="B20519" s="36"/>
      <c r="C20519" s="36"/>
      <c r="E20519" s="1"/>
      <c r="F20519" s="1"/>
      <c r="G20519" s="1"/>
    </row>
    <row r="20520">
      <c r="B20520" s="36"/>
      <c r="C20520" s="36"/>
      <c r="E20520" s="1"/>
      <c r="F20520" s="1"/>
      <c r="G20520" s="1"/>
    </row>
    <row r="20521">
      <c r="B20521" s="36"/>
      <c r="C20521" s="36"/>
      <c r="E20521" s="1"/>
      <c r="F20521" s="1"/>
      <c r="G20521" s="1"/>
    </row>
    <row r="20522">
      <c r="B20522" s="36"/>
      <c r="C20522" s="36"/>
      <c r="E20522" s="1"/>
      <c r="F20522" s="1"/>
      <c r="G20522" s="1"/>
    </row>
    <row r="20523">
      <c r="B20523" s="36"/>
      <c r="C20523" s="36"/>
      <c r="E20523" s="1"/>
      <c r="F20523" s="1"/>
      <c r="G20523" s="1"/>
    </row>
    <row r="20524">
      <c r="B20524" s="36"/>
      <c r="C20524" s="36"/>
      <c r="E20524" s="1"/>
      <c r="F20524" s="1"/>
      <c r="G20524" s="1"/>
    </row>
    <row r="20525">
      <c r="B20525" s="36"/>
      <c r="C20525" s="36"/>
      <c r="E20525" s="1"/>
      <c r="F20525" s="1"/>
      <c r="G20525" s="1"/>
    </row>
    <row r="20526">
      <c r="B20526" s="36"/>
      <c r="C20526" s="36"/>
      <c r="E20526" s="1"/>
      <c r="F20526" s="1"/>
      <c r="G20526" s="1"/>
    </row>
    <row r="20527">
      <c r="B20527" s="36"/>
      <c r="C20527" s="36"/>
      <c r="E20527" s="1"/>
      <c r="F20527" s="1"/>
      <c r="G20527" s="1"/>
    </row>
    <row r="20528">
      <c r="B20528" s="36"/>
      <c r="C20528" s="36"/>
      <c r="E20528" s="1"/>
      <c r="F20528" s="1"/>
      <c r="G20528" s="1"/>
    </row>
    <row r="20529">
      <c r="B20529" s="36"/>
      <c r="C20529" s="36"/>
      <c r="E20529" s="1"/>
      <c r="F20529" s="1"/>
      <c r="G20529" s="1"/>
    </row>
    <row r="20530">
      <c r="B20530" s="36"/>
      <c r="C20530" s="36"/>
      <c r="E20530" s="1"/>
      <c r="F20530" s="1"/>
      <c r="G20530" s="1"/>
    </row>
    <row r="20531">
      <c r="B20531" s="36"/>
      <c r="C20531" s="36"/>
      <c r="E20531" s="1"/>
      <c r="F20531" s="1"/>
      <c r="G20531" s="1"/>
    </row>
    <row r="20532">
      <c r="B20532" s="36"/>
      <c r="C20532" s="36"/>
      <c r="E20532" s="1"/>
      <c r="F20532" s="1"/>
      <c r="G20532" s="1"/>
    </row>
    <row r="20533">
      <c r="B20533" s="36"/>
      <c r="C20533" s="36"/>
      <c r="E20533" s="1"/>
      <c r="F20533" s="1"/>
      <c r="G20533" s="1"/>
    </row>
    <row r="20534">
      <c r="B20534" s="36"/>
      <c r="C20534" s="36"/>
      <c r="E20534" s="1"/>
      <c r="F20534" s="1"/>
      <c r="G20534" s="1"/>
    </row>
    <row r="20535">
      <c r="B20535" s="36"/>
      <c r="C20535" s="36"/>
      <c r="E20535" s="1"/>
      <c r="F20535" s="1"/>
      <c r="G20535" s="1"/>
    </row>
    <row r="20536">
      <c r="B20536" s="36"/>
      <c r="C20536" s="36"/>
      <c r="E20536" s="1"/>
      <c r="F20536" s="1"/>
      <c r="G20536" s="1"/>
    </row>
    <row r="20537">
      <c r="B20537" s="36"/>
      <c r="C20537" s="36"/>
      <c r="E20537" s="1"/>
      <c r="F20537" s="1"/>
      <c r="G20537" s="1"/>
    </row>
    <row r="20538">
      <c r="B20538" s="36"/>
      <c r="C20538" s="36"/>
      <c r="E20538" s="1"/>
      <c r="F20538" s="1"/>
      <c r="G20538" s="1"/>
    </row>
    <row r="20539">
      <c r="B20539" s="36"/>
      <c r="C20539" s="36"/>
      <c r="E20539" s="1"/>
      <c r="F20539" s="1"/>
      <c r="G20539" s="1"/>
    </row>
    <row r="20540">
      <c r="B20540" s="36"/>
      <c r="C20540" s="36"/>
      <c r="E20540" s="1"/>
      <c r="F20540" s="1"/>
      <c r="G20540" s="1"/>
    </row>
    <row r="20541">
      <c r="B20541" s="36"/>
      <c r="C20541" s="36"/>
      <c r="E20541" s="1"/>
      <c r="F20541" s="1"/>
      <c r="G20541" s="1"/>
    </row>
    <row r="20542">
      <c r="B20542" s="36"/>
      <c r="C20542" s="36"/>
      <c r="E20542" s="1"/>
      <c r="F20542" s="1"/>
      <c r="G20542" s="1"/>
    </row>
    <row r="20543">
      <c r="B20543" s="36"/>
      <c r="C20543" s="36"/>
      <c r="E20543" s="1"/>
      <c r="F20543" s="1"/>
      <c r="G20543" s="1"/>
    </row>
    <row r="20544">
      <c r="B20544" s="36"/>
      <c r="C20544" s="36"/>
      <c r="E20544" s="1"/>
      <c r="F20544" s="1"/>
      <c r="G20544" s="1"/>
    </row>
    <row r="20545">
      <c r="B20545" s="36"/>
      <c r="C20545" s="36"/>
      <c r="E20545" s="1"/>
      <c r="F20545" s="1"/>
      <c r="G20545" s="1"/>
    </row>
    <row r="20546">
      <c r="B20546" s="36"/>
      <c r="C20546" s="36"/>
      <c r="E20546" s="1"/>
      <c r="F20546" s="1"/>
      <c r="G20546" s="1"/>
    </row>
    <row r="20547">
      <c r="B20547" s="36"/>
      <c r="C20547" s="36"/>
      <c r="E20547" s="1"/>
      <c r="F20547" s="1"/>
      <c r="G20547" s="1"/>
    </row>
    <row r="20548">
      <c r="B20548" s="36"/>
      <c r="C20548" s="36"/>
      <c r="E20548" s="1"/>
      <c r="F20548" s="1"/>
      <c r="G20548" s="1"/>
    </row>
    <row r="20549">
      <c r="B20549" s="36"/>
      <c r="C20549" s="36"/>
      <c r="E20549" s="1"/>
      <c r="F20549" s="1"/>
      <c r="G20549" s="1"/>
    </row>
    <row r="20550">
      <c r="B20550" s="36"/>
      <c r="C20550" s="36"/>
      <c r="E20550" s="1"/>
      <c r="F20550" s="1"/>
      <c r="G20550" s="1"/>
    </row>
    <row r="20551">
      <c r="B20551" s="36"/>
      <c r="C20551" s="36"/>
      <c r="E20551" s="1"/>
      <c r="F20551" s="1"/>
      <c r="G20551" s="1"/>
    </row>
    <row r="20552">
      <c r="B20552" s="36"/>
      <c r="C20552" s="36"/>
      <c r="E20552" s="1"/>
      <c r="F20552" s="1"/>
      <c r="G20552" s="1"/>
    </row>
    <row r="20553">
      <c r="B20553" s="36"/>
      <c r="C20553" s="36"/>
      <c r="E20553" s="1"/>
      <c r="F20553" s="1"/>
      <c r="G20553" s="1"/>
    </row>
    <row r="20554">
      <c r="B20554" s="36"/>
      <c r="C20554" s="36"/>
      <c r="E20554" s="1"/>
      <c r="F20554" s="1"/>
      <c r="G20554" s="1"/>
    </row>
    <row r="20555">
      <c r="B20555" s="36"/>
      <c r="C20555" s="36"/>
      <c r="E20555" s="1"/>
      <c r="F20555" s="1"/>
      <c r="G20555" s="1"/>
    </row>
    <row r="20556">
      <c r="B20556" s="36"/>
      <c r="C20556" s="36"/>
      <c r="E20556" s="1"/>
      <c r="F20556" s="1"/>
      <c r="G20556" s="1"/>
    </row>
    <row r="20557">
      <c r="B20557" s="36"/>
      <c r="C20557" s="36"/>
      <c r="E20557" s="1"/>
      <c r="F20557" s="1"/>
      <c r="G20557" s="1"/>
    </row>
    <row r="20558">
      <c r="B20558" s="36"/>
      <c r="C20558" s="36"/>
      <c r="E20558" s="1"/>
      <c r="F20558" s="1"/>
      <c r="G20558" s="1"/>
    </row>
    <row r="20559">
      <c r="B20559" s="36"/>
      <c r="C20559" s="36"/>
      <c r="E20559" s="1"/>
      <c r="F20559" s="1"/>
      <c r="G20559" s="1"/>
    </row>
    <row r="20560">
      <c r="B20560" s="36"/>
      <c r="C20560" s="36"/>
      <c r="E20560" s="1"/>
      <c r="F20560" s="1"/>
      <c r="G20560" s="1"/>
    </row>
    <row r="20561">
      <c r="B20561" s="36"/>
      <c r="C20561" s="36"/>
      <c r="E20561" s="1"/>
      <c r="F20561" s="1"/>
      <c r="G20561" s="1"/>
    </row>
    <row r="20562">
      <c r="B20562" s="36"/>
      <c r="C20562" s="36"/>
      <c r="E20562" s="1"/>
      <c r="F20562" s="1"/>
      <c r="G20562" s="1"/>
    </row>
    <row r="20563">
      <c r="B20563" s="36"/>
      <c r="C20563" s="36"/>
      <c r="E20563" s="1"/>
      <c r="F20563" s="1"/>
      <c r="G20563" s="1"/>
    </row>
    <row r="20564">
      <c r="B20564" s="36"/>
      <c r="C20564" s="36"/>
      <c r="E20564" s="1"/>
      <c r="F20564" s="1"/>
      <c r="G20564" s="1"/>
    </row>
    <row r="20565">
      <c r="B20565" s="36"/>
      <c r="C20565" s="36"/>
      <c r="E20565" s="1"/>
      <c r="F20565" s="1"/>
      <c r="G20565" s="1"/>
    </row>
    <row r="20566">
      <c r="B20566" s="36"/>
      <c r="C20566" s="36"/>
      <c r="E20566" s="1"/>
      <c r="F20566" s="1"/>
      <c r="G20566" s="1"/>
    </row>
    <row r="20567">
      <c r="B20567" s="36"/>
      <c r="C20567" s="36"/>
      <c r="E20567" s="1"/>
      <c r="F20567" s="1"/>
      <c r="G20567" s="1"/>
    </row>
    <row r="20568">
      <c r="B20568" s="36"/>
      <c r="C20568" s="36"/>
      <c r="E20568" s="1"/>
      <c r="F20568" s="1"/>
      <c r="G20568" s="1"/>
    </row>
    <row r="20569">
      <c r="B20569" s="36"/>
      <c r="C20569" s="36"/>
      <c r="E20569" s="1"/>
      <c r="F20569" s="1"/>
      <c r="G20569" s="1"/>
    </row>
    <row r="20570">
      <c r="B20570" s="36"/>
      <c r="C20570" s="36"/>
      <c r="E20570" s="1"/>
      <c r="F20570" s="1"/>
      <c r="G20570" s="1"/>
    </row>
    <row r="20571">
      <c r="B20571" s="36"/>
      <c r="C20571" s="36"/>
      <c r="E20571" s="1"/>
      <c r="F20571" s="1"/>
      <c r="G20571" s="1"/>
    </row>
    <row r="20572">
      <c r="B20572" s="36"/>
      <c r="C20572" s="36"/>
      <c r="E20572" s="1"/>
      <c r="F20572" s="1"/>
      <c r="G20572" s="1"/>
    </row>
    <row r="20573">
      <c r="B20573" s="36"/>
      <c r="C20573" s="36"/>
      <c r="E20573" s="1"/>
      <c r="F20573" s="1"/>
      <c r="G20573" s="1"/>
    </row>
    <row r="20574">
      <c r="B20574" s="36"/>
      <c r="C20574" s="36"/>
      <c r="E20574" s="1"/>
      <c r="F20574" s="1"/>
      <c r="G20574" s="1"/>
    </row>
    <row r="20575">
      <c r="B20575" s="36"/>
      <c r="C20575" s="36"/>
      <c r="E20575" s="1"/>
      <c r="F20575" s="1"/>
      <c r="G20575" s="1"/>
    </row>
    <row r="20576">
      <c r="B20576" s="36"/>
      <c r="C20576" s="36"/>
      <c r="E20576" s="1"/>
      <c r="F20576" s="1"/>
      <c r="G20576" s="1"/>
    </row>
    <row r="20577">
      <c r="B20577" s="36"/>
      <c r="C20577" s="36"/>
      <c r="E20577" s="1"/>
      <c r="F20577" s="1"/>
      <c r="G20577" s="1"/>
    </row>
    <row r="20578">
      <c r="B20578" s="36"/>
      <c r="C20578" s="36"/>
      <c r="E20578" s="1"/>
      <c r="F20578" s="1"/>
      <c r="G20578" s="1"/>
    </row>
    <row r="20579">
      <c r="B20579" s="36"/>
      <c r="C20579" s="36"/>
      <c r="E20579" s="1"/>
      <c r="F20579" s="1"/>
      <c r="G20579" s="1"/>
    </row>
    <row r="20580">
      <c r="B20580" s="36"/>
      <c r="C20580" s="36"/>
      <c r="E20580" s="1"/>
      <c r="F20580" s="1"/>
      <c r="G20580" s="1"/>
    </row>
    <row r="20581">
      <c r="B20581" s="36"/>
      <c r="C20581" s="36"/>
      <c r="E20581" s="1"/>
      <c r="F20581" s="1"/>
      <c r="G20581" s="1"/>
    </row>
    <row r="20582">
      <c r="B20582" s="36"/>
      <c r="C20582" s="36"/>
      <c r="E20582" s="1"/>
      <c r="F20582" s="1"/>
      <c r="G20582" s="1"/>
    </row>
    <row r="20583">
      <c r="B20583" s="36"/>
      <c r="C20583" s="36"/>
      <c r="E20583" s="1"/>
      <c r="F20583" s="1"/>
      <c r="G20583" s="1"/>
    </row>
    <row r="20584">
      <c r="B20584" s="36"/>
      <c r="C20584" s="36"/>
      <c r="E20584" s="1"/>
      <c r="F20584" s="1"/>
      <c r="G20584" s="1"/>
    </row>
    <row r="20585">
      <c r="B20585" s="36"/>
      <c r="C20585" s="36"/>
      <c r="E20585" s="1"/>
      <c r="F20585" s="1"/>
      <c r="G20585" s="1"/>
    </row>
    <row r="20586">
      <c r="B20586" s="36"/>
      <c r="C20586" s="36"/>
      <c r="E20586" s="1"/>
      <c r="F20586" s="1"/>
      <c r="G20586" s="1"/>
    </row>
    <row r="20587">
      <c r="B20587" s="36"/>
      <c r="C20587" s="36"/>
      <c r="E20587" s="1"/>
      <c r="F20587" s="1"/>
      <c r="G20587" s="1"/>
    </row>
    <row r="20588">
      <c r="B20588" s="36"/>
      <c r="C20588" s="36"/>
      <c r="E20588" s="1"/>
      <c r="F20588" s="1"/>
      <c r="G20588" s="1"/>
    </row>
    <row r="20589">
      <c r="B20589" s="36"/>
      <c r="C20589" s="36"/>
      <c r="E20589" s="1"/>
      <c r="F20589" s="1"/>
      <c r="G20589" s="1"/>
    </row>
    <row r="20590">
      <c r="B20590" s="36"/>
      <c r="C20590" s="36"/>
      <c r="E20590" s="1"/>
      <c r="F20590" s="1"/>
      <c r="G20590" s="1"/>
    </row>
    <row r="20591">
      <c r="B20591" s="36"/>
      <c r="C20591" s="36"/>
      <c r="E20591" s="1"/>
      <c r="F20591" s="1"/>
      <c r="G20591" s="1"/>
    </row>
    <row r="20592">
      <c r="B20592" s="36"/>
      <c r="C20592" s="36"/>
      <c r="E20592" s="1"/>
      <c r="F20592" s="1"/>
      <c r="G20592" s="1"/>
    </row>
    <row r="20593">
      <c r="B20593" s="36"/>
      <c r="C20593" s="36"/>
      <c r="E20593" s="1"/>
      <c r="F20593" s="1"/>
      <c r="G20593" s="1"/>
    </row>
    <row r="20594">
      <c r="B20594" s="36"/>
      <c r="C20594" s="36"/>
      <c r="E20594" s="1"/>
      <c r="F20594" s="1"/>
      <c r="G20594" s="1"/>
    </row>
    <row r="20595">
      <c r="B20595" s="36"/>
      <c r="C20595" s="36"/>
      <c r="E20595" s="1"/>
      <c r="F20595" s="1"/>
      <c r="G20595" s="1"/>
    </row>
    <row r="20596">
      <c r="B20596" s="36"/>
      <c r="C20596" s="36"/>
      <c r="E20596" s="1"/>
      <c r="F20596" s="1"/>
      <c r="G20596" s="1"/>
    </row>
    <row r="20597">
      <c r="B20597" s="36"/>
      <c r="C20597" s="36"/>
      <c r="E20597" s="1"/>
      <c r="F20597" s="1"/>
      <c r="G20597" s="1"/>
    </row>
    <row r="20598">
      <c r="B20598" s="36"/>
      <c r="C20598" s="36"/>
      <c r="E20598" s="1"/>
      <c r="F20598" s="1"/>
      <c r="G20598" s="1"/>
    </row>
    <row r="20599">
      <c r="B20599" s="36"/>
      <c r="C20599" s="36"/>
      <c r="E20599" s="1"/>
      <c r="F20599" s="1"/>
      <c r="G20599" s="1"/>
    </row>
    <row r="20600">
      <c r="B20600" s="36"/>
      <c r="C20600" s="36"/>
      <c r="E20600" s="1"/>
      <c r="F20600" s="1"/>
      <c r="G20600" s="1"/>
    </row>
    <row r="20601">
      <c r="B20601" s="36"/>
      <c r="C20601" s="36"/>
      <c r="E20601" s="1"/>
      <c r="F20601" s="1"/>
      <c r="G20601" s="1"/>
    </row>
    <row r="20602">
      <c r="B20602" s="36"/>
      <c r="C20602" s="36"/>
      <c r="E20602" s="1"/>
      <c r="F20602" s="1"/>
      <c r="G20602" s="1"/>
    </row>
    <row r="20603">
      <c r="B20603" s="36"/>
      <c r="C20603" s="36"/>
      <c r="E20603" s="1"/>
      <c r="F20603" s="1"/>
      <c r="G20603" s="1"/>
    </row>
    <row r="20604">
      <c r="B20604" s="36"/>
      <c r="C20604" s="36"/>
      <c r="E20604" s="1"/>
      <c r="F20604" s="1"/>
      <c r="G20604" s="1"/>
    </row>
    <row r="20605">
      <c r="B20605" s="36"/>
      <c r="C20605" s="36"/>
      <c r="E20605" s="1"/>
      <c r="F20605" s="1"/>
      <c r="G20605" s="1"/>
    </row>
    <row r="20606">
      <c r="B20606" s="36"/>
      <c r="C20606" s="36"/>
      <c r="E20606" s="1"/>
      <c r="F20606" s="1"/>
      <c r="G20606" s="1"/>
    </row>
    <row r="20607">
      <c r="B20607" s="36"/>
      <c r="C20607" s="36"/>
      <c r="E20607" s="1"/>
      <c r="F20607" s="1"/>
      <c r="G20607" s="1"/>
    </row>
    <row r="20608">
      <c r="B20608" s="36"/>
      <c r="C20608" s="36"/>
      <c r="E20608" s="1"/>
      <c r="F20608" s="1"/>
      <c r="G20608" s="1"/>
    </row>
    <row r="20609">
      <c r="B20609" s="36"/>
      <c r="C20609" s="36"/>
      <c r="E20609" s="1"/>
      <c r="F20609" s="1"/>
      <c r="G20609" s="1"/>
    </row>
    <row r="20610">
      <c r="B20610" s="36"/>
      <c r="C20610" s="36"/>
      <c r="E20610" s="1"/>
      <c r="F20610" s="1"/>
      <c r="G20610" s="1"/>
    </row>
    <row r="20611">
      <c r="B20611" s="36"/>
      <c r="C20611" s="36"/>
      <c r="E20611" s="1"/>
      <c r="F20611" s="1"/>
      <c r="G20611" s="1"/>
    </row>
    <row r="20612">
      <c r="B20612" s="36"/>
      <c r="C20612" s="36"/>
      <c r="E20612" s="1"/>
      <c r="F20612" s="1"/>
      <c r="G20612" s="1"/>
    </row>
    <row r="20613">
      <c r="B20613" s="36"/>
      <c r="C20613" s="36"/>
      <c r="E20613" s="1"/>
      <c r="F20613" s="1"/>
      <c r="G20613" s="1"/>
    </row>
    <row r="20614">
      <c r="B20614" s="36"/>
      <c r="C20614" s="36"/>
      <c r="E20614" s="1"/>
      <c r="F20614" s="1"/>
      <c r="G20614" s="1"/>
    </row>
    <row r="20615">
      <c r="B20615" s="36"/>
      <c r="C20615" s="36"/>
      <c r="E20615" s="1"/>
      <c r="F20615" s="1"/>
      <c r="G20615" s="1"/>
    </row>
    <row r="20616">
      <c r="B20616" s="36"/>
      <c r="C20616" s="36"/>
      <c r="E20616" s="1"/>
      <c r="F20616" s="1"/>
      <c r="G20616" s="1"/>
    </row>
    <row r="20617">
      <c r="B20617" s="36"/>
      <c r="C20617" s="36"/>
      <c r="E20617" s="1"/>
      <c r="F20617" s="1"/>
      <c r="G20617" s="1"/>
    </row>
    <row r="20618">
      <c r="B20618" s="36"/>
      <c r="C20618" s="36"/>
      <c r="E20618" s="1"/>
      <c r="F20618" s="1"/>
      <c r="G20618" s="1"/>
    </row>
    <row r="20619">
      <c r="B20619" s="36"/>
      <c r="C20619" s="36"/>
      <c r="E20619" s="1"/>
      <c r="F20619" s="1"/>
      <c r="G20619" s="1"/>
    </row>
    <row r="20620">
      <c r="B20620" s="36"/>
      <c r="C20620" s="36"/>
      <c r="E20620" s="1"/>
      <c r="F20620" s="1"/>
      <c r="G20620" s="1"/>
    </row>
    <row r="20621">
      <c r="B20621" s="36"/>
      <c r="C20621" s="36"/>
      <c r="E20621" s="1"/>
      <c r="F20621" s="1"/>
      <c r="G20621" s="1"/>
    </row>
    <row r="20622">
      <c r="B20622" s="36"/>
      <c r="C20622" s="36"/>
      <c r="E20622" s="1"/>
      <c r="F20622" s="1"/>
      <c r="G20622" s="1"/>
    </row>
    <row r="20623">
      <c r="B20623" s="36"/>
      <c r="C20623" s="36"/>
      <c r="E20623" s="1"/>
      <c r="F20623" s="1"/>
      <c r="G20623" s="1"/>
    </row>
    <row r="20624">
      <c r="B20624" s="36"/>
      <c r="C20624" s="36"/>
      <c r="E20624" s="1"/>
      <c r="F20624" s="1"/>
      <c r="G20624" s="1"/>
    </row>
    <row r="20625">
      <c r="B20625" s="36"/>
      <c r="C20625" s="36"/>
      <c r="E20625" s="1"/>
      <c r="F20625" s="1"/>
      <c r="G20625" s="1"/>
    </row>
    <row r="20626">
      <c r="B20626" s="36"/>
      <c r="C20626" s="36"/>
      <c r="E20626" s="1"/>
      <c r="F20626" s="1"/>
      <c r="G20626" s="1"/>
    </row>
    <row r="20627">
      <c r="B20627" s="36"/>
      <c r="C20627" s="36"/>
      <c r="E20627" s="1"/>
      <c r="F20627" s="1"/>
      <c r="G20627" s="1"/>
    </row>
    <row r="20628">
      <c r="B20628" s="36"/>
      <c r="C20628" s="36"/>
      <c r="E20628" s="1"/>
      <c r="F20628" s="1"/>
      <c r="G20628" s="1"/>
    </row>
    <row r="20629">
      <c r="B20629" s="36"/>
      <c r="C20629" s="36"/>
      <c r="E20629" s="1"/>
      <c r="F20629" s="1"/>
      <c r="G20629" s="1"/>
    </row>
    <row r="20630">
      <c r="B20630" s="36"/>
      <c r="C20630" s="36"/>
      <c r="E20630" s="1"/>
      <c r="F20630" s="1"/>
      <c r="G20630" s="1"/>
    </row>
    <row r="20631">
      <c r="B20631" s="36"/>
      <c r="C20631" s="36"/>
      <c r="E20631" s="1"/>
      <c r="F20631" s="1"/>
      <c r="G20631" s="1"/>
    </row>
    <row r="20632">
      <c r="B20632" s="36"/>
      <c r="C20632" s="36"/>
      <c r="E20632" s="1"/>
      <c r="F20632" s="1"/>
      <c r="G20632" s="1"/>
    </row>
    <row r="20633">
      <c r="B20633" s="36"/>
      <c r="C20633" s="36"/>
      <c r="E20633" s="1"/>
      <c r="F20633" s="1"/>
      <c r="G20633" s="1"/>
    </row>
    <row r="20634">
      <c r="B20634" s="36"/>
      <c r="C20634" s="36"/>
      <c r="E20634" s="1"/>
      <c r="F20634" s="1"/>
      <c r="G20634" s="1"/>
    </row>
    <row r="20635">
      <c r="B20635" s="36"/>
      <c r="C20635" s="36"/>
      <c r="E20635" s="1"/>
      <c r="F20635" s="1"/>
      <c r="G20635" s="1"/>
    </row>
    <row r="20636">
      <c r="B20636" s="36"/>
      <c r="C20636" s="36"/>
      <c r="E20636" s="1"/>
      <c r="F20636" s="1"/>
      <c r="G20636" s="1"/>
    </row>
    <row r="20637">
      <c r="B20637" s="36"/>
      <c r="C20637" s="36"/>
      <c r="E20637" s="1"/>
      <c r="F20637" s="1"/>
      <c r="G20637" s="1"/>
    </row>
    <row r="20638">
      <c r="B20638" s="36"/>
      <c r="C20638" s="36"/>
      <c r="E20638" s="1"/>
      <c r="F20638" s="1"/>
      <c r="G20638" s="1"/>
    </row>
    <row r="20639">
      <c r="B20639" s="36"/>
      <c r="C20639" s="36"/>
      <c r="E20639" s="1"/>
      <c r="F20639" s="1"/>
      <c r="G20639" s="1"/>
    </row>
    <row r="20640">
      <c r="B20640" s="36"/>
      <c r="C20640" s="36"/>
      <c r="E20640" s="1"/>
      <c r="F20640" s="1"/>
      <c r="G20640" s="1"/>
    </row>
    <row r="20641">
      <c r="B20641" s="36"/>
      <c r="C20641" s="36"/>
      <c r="E20641" s="1"/>
      <c r="F20641" s="1"/>
      <c r="G20641" s="1"/>
    </row>
    <row r="20642">
      <c r="B20642" s="36"/>
      <c r="C20642" s="36"/>
      <c r="E20642" s="1"/>
      <c r="F20642" s="1"/>
      <c r="G20642" s="1"/>
    </row>
    <row r="20643">
      <c r="B20643" s="36"/>
      <c r="C20643" s="36"/>
      <c r="E20643" s="1"/>
      <c r="F20643" s="1"/>
      <c r="G20643" s="1"/>
    </row>
    <row r="20644">
      <c r="B20644" s="36"/>
      <c r="C20644" s="36"/>
      <c r="E20644" s="1"/>
      <c r="F20644" s="1"/>
      <c r="G20644" s="1"/>
    </row>
    <row r="20645">
      <c r="B20645" s="36"/>
      <c r="C20645" s="36"/>
      <c r="E20645" s="1"/>
      <c r="F20645" s="1"/>
      <c r="G20645" s="1"/>
    </row>
    <row r="20646">
      <c r="B20646" s="36"/>
      <c r="C20646" s="36"/>
      <c r="E20646" s="1"/>
      <c r="F20646" s="1"/>
      <c r="G20646" s="1"/>
    </row>
    <row r="20647">
      <c r="B20647" s="36"/>
      <c r="C20647" s="36"/>
      <c r="E20647" s="1"/>
      <c r="F20647" s="1"/>
      <c r="G20647" s="1"/>
    </row>
    <row r="20648">
      <c r="B20648" s="36"/>
      <c r="C20648" s="36"/>
      <c r="E20648" s="1"/>
      <c r="F20648" s="1"/>
      <c r="G20648" s="1"/>
    </row>
    <row r="20649">
      <c r="B20649" s="36"/>
      <c r="C20649" s="36"/>
      <c r="E20649" s="1"/>
      <c r="F20649" s="1"/>
      <c r="G20649" s="1"/>
    </row>
    <row r="20650">
      <c r="B20650" s="36"/>
      <c r="C20650" s="36"/>
      <c r="E20650" s="1"/>
      <c r="F20650" s="1"/>
      <c r="G20650" s="1"/>
    </row>
    <row r="20651">
      <c r="B20651" s="36"/>
      <c r="C20651" s="36"/>
      <c r="E20651" s="1"/>
      <c r="F20651" s="1"/>
      <c r="G20651" s="1"/>
    </row>
    <row r="20652">
      <c r="B20652" s="36"/>
      <c r="C20652" s="36"/>
      <c r="E20652" s="1"/>
      <c r="F20652" s="1"/>
      <c r="G20652" s="1"/>
    </row>
    <row r="20653">
      <c r="B20653" s="36"/>
      <c r="C20653" s="36"/>
      <c r="E20653" s="1"/>
      <c r="F20653" s="1"/>
      <c r="G20653" s="1"/>
    </row>
    <row r="20654">
      <c r="B20654" s="36"/>
      <c r="C20654" s="36"/>
      <c r="E20654" s="1"/>
      <c r="F20654" s="1"/>
      <c r="G20654" s="1"/>
    </row>
    <row r="20655">
      <c r="B20655" s="36"/>
      <c r="C20655" s="36"/>
      <c r="E20655" s="1"/>
      <c r="F20655" s="1"/>
      <c r="G20655" s="1"/>
    </row>
    <row r="20656">
      <c r="B20656" s="36"/>
      <c r="C20656" s="36"/>
      <c r="E20656" s="1"/>
      <c r="F20656" s="1"/>
      <c r="G20656" s="1"/>
    </row>
    <row r="20657">
      <c r="B20657" s="36"/>
      <c r="C20657" s="36"/>
      <c r="E20657" s="1"/>
      <c r="F20657" s="1"/>
      <c r="G20657" s="1"/>
    </row>
    <row r="20658">
      <c r="B20658" s="36"/>
      <c r="C20658" s="36"/>
      <c r="E20658" s="1"/>
      <c r="F20658" s="1"/>
      <c r="G20658" s="1"/>
    </row>
    <row r="20659">
      <c r="B20659" s="36"/>
      <c r="C20659" s="36"/>
      <c r="E20659" s="1"/>
      <c r="F20659" s="1"/>
      <c r="G20659" s="1"/>
    </row>
    <row r="20660">
      <c r="B20660" s="36"/>
      <c r="C20660" s="36"/>
      <c r="E20660" s="1"/>
      <c r="F20660" s="1"/>
      <c r="G20660" s="1"/>
    </row>
    <row r="20661">
      <c r="B20661" s="36"/>
      <c r="C20661" s="36"/>
      <c r="E20661" s="1"/>
      <c r="F20661" s="1"/>
      <c r="G20661" s="1"/>
    </row>
    <row r="20662">
      <c r="B20662" s="36"/>
      <c r="C20662" s="36"/>
      <c r="E20662" s="1"/>
      <c r="F20662" s="1"/>
      <c r="G20662" s="1"/>
    </row>
    <row r="20663">
      <c r="B20663" s="36"/>
      <c r="C20663" s="36"/>
      <c r="E20663" s="1"/>
      <c r="F20663" s="1"/>
      <c r="G20663" s="1"/>
    </row>
    <row r="20664">
      <c r="B20664" s="36"/>
      <c r="C20664" s="36"/>
      <c r="E20664" s="1"/>
      <c r="F20664" s="1"/>
      <c r="G20664" s="1"/>
    </row>
    <row r="20665">
      <c r="B20665" s="36"/>
      <c r="C20665" s="36"/>
      <c r="E20665" s="1"/>
      <c r="F20665" s="1"/>
      <c r="G20665" s="1"/>
    </row>
    <row r="20666">
      <c r="B20666" s="36"/>
      <c r="C20666" s="36"/>
      <c r="E20666" s="1"/>
      <c r="F20666" s="1"/>
      <c r="G20666" s="1"/>
    </row>
    <row r="20667">
      <c r="B20667" s="36"/>
      <c r="C20667" s="36"/>
      <c r="E20667" s="1"/>
      <c r="F20667" s="1"/>
      <c r="G20667" s="1"/>
    </row>
    <row r="20668">
      <c r="B20668" s="36"/>
      <c r="C20668" s="36"/>
      <c r="E20668" s="1"/>
      <c r="F20668" s="1"/>
      <c r="G20668" s="1"/>
    </row>
    <row r="20669">
      <c r="B20669" s="36"/>
      <c r="C20669" s="36"/>
      <c r="E20669" s="1"/>
      <c r="F20669" s="1"/>
      <c r="G20669" s="1"/>
    </row>
    <row r="20670">
      <c r="B20670" s="36"/>
      <c r="C20670" s="36"/>
      <c r="E20670" s="1"/>
      <c r="F20670" s="1"/>
      <c r="G20670" s="1"/>
    </row>
    <row r="20671">
      <c r="B20671" s="36"/>
      <c r="C20671" s="36"/>
      <c r="E20671" s="1"/>
      <c r="F20671" s="1"/>
      <c r="G20671" s="1"/>
    </row>
    <row r="20672">
      <c r="B20672" s="36"/>
      <c r="C20672" s="36"/>
      <c r="E20672" s="1"/>
      <c r="F20672" s="1"/>
      <c r="G20672" s="1"/>
    </row>
    <row r="20673">
      <c r="B20673" s="36"/>
      <c r="C20673" s="36"/>
      <c r="E20673" s="1"/>
      <c r="F20673" s="1"/>
      <c r="G20673" s="1"/>
    </row>
    <row r="20674">
      <c r="B20674" s="36"/>
      <c r="C20674" s="36"/>
      <c r="E20674" s="1"/>
      <c r="F20674" s="1"/>
      <c r="G20674" s="1"/>
    </row>
    <row r="20675">
      <c r="B20675" s="36"/>
      <c r="C20675" s="36"/>
      <c r="E20675" s="1"/>
      <c r="F20675" s="1"/>
      <c r="G20675" s="1"/>
    </row>
    <row r="20676">
      <c r="B20676" s="36"/>
      <c r="C20676" s="36"/>
      <c r="E20676" s="1"/>
      <c r="F20676" s="1"/>
      <c r="G20676" s="1"/>
    </row>
    <row r="20677">
      <c r="B20677" s="36"/>
      <c r="C20677" s="36"/>
      <c r="E20677" s="1"/>
      <c r="F20677" s="1"/>
      <c r="G20677" s="1"/>
    </row>
    <row r="20678">
      <c r="B20678" s="36"/>
      <c r="C20678" s="36"/>
      <c r="E20678" s="1"/>
      <c r="F20678" s="1"/>
      <c r="G20678" s="1"/>
    </row>
    <row r="20679">
      <c r="B20679" s="36"/>
      <c r="C20679" s="36"/>
      <c r="E20679" s="1"/>
      <c r="F20679" s="1"/>
      <c r="G20679" s="1"/>
    </row>
    <row r="20680">
      <c r="B20680" s="36"/>
      <c r="C20680" s="36"/>
      <c r="E20680" s="1"/>
      <c r="F20680" s="1"/>
      <c r="G20680" s="1"/>
    </row>
    <row r="20681">
      <c r="B20681" s="36"/>
      <c r="C20681" s="36"/>
      <c r="E20681" s="1"/>
      <c r="F20681" s="1"/>
      <c r="G20681" s="1"/>
    </row>
    <row r="20682">
      <c r="B20682" s="36"/>
      <c r="C20682" s="36"/>
      <c r="E20682" s="1"/>
      <c r="F20682" s="1"/>
      <c r="G20682" s="1"/>
    </row>
    <row r="20683">
      <c r="B20683" s="36"/>
      <c r="C20683" s="36"/>
      <c r="E20683" s="1"/>
      <c r="F20683" s="1"/>
      <c r="G20683" s="1"/>
    </row>
    <row r="20684">
      <c r="B20684" s="36"/>
      <c r="C20684" s="36"/>
      <c r="E20684" s="1"/>
      <c r="F20684" s="1"/>
      <c r="G20684" s="1"/>
    </row>
    <row r="20685">
      <c r="B20685" s="36"/>
      <c r="C20685" s="36"/>
      <c r="E20685" s="1"/>
      <c r="F20685" s="1"/>
      <c r="G20685" s="1"/>
    </row>
    <row r="20686">
      <c r="B20686" s="36"/>
      <c r="C20686" s="36"/>
      <c r="E20686" s="1"/>
      <c r="F20686" s="1"/>
      <c r="G20686" s="1"/>
    </row>
    <row r="20687">
      <c r="B20687" s="36"/>
      <c r="C20687" s="36"/>
      <c r="E20687" s="1"/>
      <c r="F20687" s="1"/>
      <c r="G20687" s="1"/>
    </row>
    <row r="20688">
      <c r="B20688" s="36"/>
      <c r="C20688" s="36"/>
      <c r="E20688" s="1"/>
      <c r="F20688" s="1"/>
      <c r="G20688" s="1"/>
    </row>
    <row r="20689">
      <c r="B20689" s="36"/>
      <c r="C20689" s="36"/>
      <c r="E20689" s="1"/>
      <c r="F20689" s="1"/>
      <c r="G20689" s="1"/>
    </row>
    <row r="20690">
      <c r="B20690" s="36"/>
      <c r="C20690" s="36"/>
      <c r="E20690" s="1"/>
      <c r="F20690" s="1"/>
      <c r="G20690" s="1"/>
    </row>
    <row r="20691">
      <c r="B20691" s="36"/>
      <c r="C20691" s="36"/>
      <c r="E20691" s="1"/>
      <c r="F20691" s="1"/>
      <c r="G20691" s="1"/>
    </row>
    <row r="20692">
      <c r="B20692" s="36"/>
      <c r="C20692" s="36"/>
      <c r="E20692" s="1"/>
      <c r="F20692" s="1"/>
      <c r="G20692" s="1"/>
    </row>
    <row r="20693">
      <c r="B20693" s="36"/>
      <c r="C20693" s="36"/>
      <c r="E20693" s="1"/>
      <c r="F20693" s="1"/>
      <c r="G20693" s="1"/>
    </row>
    <row r="20694">
      <c r="B20694" s="36"/>
      <c r="C20694" s="36"/>
      <c r="E20694" s="1"/>
      <c r="F20694" s="1"/>
      <c r="G20694" s="1"/>
    </row>
    <row r="20695">
      <c r="B20695" s="36"/>
      <c r="C20695" s="36"/>
      <c r="E20695" s="1"/>
      <c r="F20695" s="1"/>
      <c r="G20695" s="1"/>
    </row>
    <row r="20696">
      <c r="B20696" s="36"/>
      <c r="C20696" s="36"/>
      <c r="E20696" s="1"/>
      <c r="F20696" s="1"/>
      <c r="G20696" s="1"/>
    </row>
    <row r="20697">
      <c r="B20697" s="36"/>
      <c r="C20697" s="36"/>
      <c r="E20697" s="1"/>
      <c r="F20697" s="1"/>
      <c r="G20697" s="1"/>
    </row>
    <row r="20698">
      <c r="B20698" s="36"/>
      <c r="C20698" s="36"/>
      <c r="E20698" s="1"/>
      <c r="F20698" s="1"/>
      <c r="G20698" s="1"/>
    </row>
    <row r="20699">
      <c r="B20699" s="36"/>
      <c r="C20699" s="36"/>
      <c r="E20699" s="1"/>
      <c r="F20699" s="1"/>
      <c r="G20699" s="1"/>
    </row>
    <row r="20700">
      <c r="B20700" s="36"/>
      <c r="C20700" s="36"/>
      <c r="E20700" s="1"/>
      <c r="F20700" s="1"/>
      <c r="G20700" s="1"/>
    </row>
    <row r="20701">
      <c r="B20701" s="36"/>
      <c r="C20701" s="36"/>
      <c r="E20701" s="1"/>
      <c r="F20701" s="1"/>
      <c r="G20701" s="1"/>
    </row>
    <row r="20702">
      <c r="B20702" s="36"/>
      <c r="C20702" s="36"/>
      <c r="E20702" s="1"/>
      <c r="F20702" s="1"/>
      <c r="G20702" s="1"/>
    </row>
    <row r="20703">
      <c r="B20703" s="36"/>
      <c r="C20703" s="36"/>
      <c r="E20703" s="1"/>
      <c r="F20703" s="1"/>
      <c r="G20703" s="1"/>
    </row>
    <row r="20704">
      <c r="B20704" s="36"/>
      <c r="C20704" s="36"/>
      <c r="E20704" s="1"/>
      <c r="F20704" s="1"/>
      <c r="G20704" s="1"/>
    </row>
    <row r="20705">
      <c r="B20705" s="36"/>
      <c r="C20705" s="36"/>
      <c r="E20705" s="1"/>
      <c r="F20705" s="1"/>
      <c r="G20705" s="1"/>
    </row>
    <row r="20706">
      <c r="B20706" s="36"/>
      <c r="C20706" s="36"/>
      <c r="E20706" s="1"/>
      <c r="F20706" s="1"/>
      <c r="G20706" s="1"/>
    </row>
    <row r="20707">
      <c r="B20707" s="36"/>
      <c r="C20707" s="36"/>
      <c r="E20707" s="1"/>
      <c r="F20707" s="1"/>
      <c r="G20707" s="1"/>
    </row>
    <row r="20708">
      <c r="B20708" s="36"/>
      <c r="C20708" s="36"/>
      <c r="E20708" s="1"/>
      <c r="F20708" s="1"/>
      <c r="G20708" s="1"/>
    </row>
    <row r="20709">
      <c r="B20709" s="36"/>
      <c r="C20709" s="36"/>
      <c r="E20709" s="1"/>
      <c r="F20709" s="1"/>
      <c r="G20709" s="1"/>
    </row>
    <row r="20710">
      <c r="B20710" s="36"/>
      <c r="C20710" s="36"/>
      <c r="E20710" s="1"/>
      <c r="F20710" s="1"/>
      <c r="G20710" s="1"/>
    </row>
    <row r="20711">
      <c r="B20711" s="36"/>
      <c r="C20711" s="36"/>
      <c r="E20711" s="1"/>
      <c r="F20711" s="1"/>
      <c r="G20711" s="1"/>
    </row>
    <row r="20712">
      <c r="B20712" s="36"/>
      <c r="C20712" s="36"/>
      <c r="E20712" s="1"/>
      <c r="F20712" s="1"/>
      <c r="G20712" s="1"/>
    </row>
    <row r="20713">
      <c r="B20713" s="36"/>
      <c r="C20713" s="36"/>
      <c r="E20713" s="1"/>
      <c r="F20713" s="1"/>
      <c r="G20713" s="1"/>
    </row>
    <row r="20714">
      <c r="B20714" s="36"/>
      <c r="C20714" s="36"/>
      <c r="E20714" s="1"/>
      <c r="F20714" s="1"/>
      <c r="G20714" s="1"/>
    </row>
    <row r="20715">
      <c r="B20715" s="36"/>
      <c r="C20715" s="36"/>
      <c r="E20715" s="1"/>
      <c r="F20715" s="1"/>
      <c r="G20715" s="1"/>
    </row>
    <row r="20716">
      <c r="B20716" s="36"/>
      <c r="C20716" s="36"/>
      <c r="E20716" s="1"/>
      <c r="F20716" s="1"/>
      <c r="G20716" s="1"/>
    </row>
    <row r="20717">
      <c r="B20717" s="36"/>
      <c r="C20717" s="36"/>
      <c r="E20717" s="1"/>
      <c r="F20717" s="1"/>
      <c r="G20717" s="1"/>
    </row>
    <row r="20718">
      <c r="B20718" s="36"/>
      <c r="C20718" s="36"/>
      <c r="E20718" s="1"/>
      <c r="F20718" s="1"/>
      <c r="G20718" s="1"/>
    </row>
    <row r="20719">
      <c r="B20719" s="36"/>
      <c r="C20719" s="36"/>
      <c r="E20719" s="1"/>
      <c r="F20719" s="1"/>
      <c r="G20719" s="1"/>
    </row>
    <row r="20720">
      <c r="B20720" s="36"/>
      <c r="C20720" s="36"/>
      <c r="E20720" s="1"/>
      <c r="F20720" s="1"/>
      <c r="G20720" s="1"/>
    </row>
    <row r="20721">
      <c r="B20721" s="36"/>
      <c r="C20721" s="36"/>
      <c r="E20721" s="1"/>
      <c r="F20721" s="1"/>
      <c r="G20721" s="1"/>
    </row>
    <row r="20722">
      <c r="B20722" s="36"/>
      <c r="C20722" s="36"/>
      <c r="E20722" s="1"/>
      <c r="F20722" s="1"/>
      <c r="G20722" s="1"/>
    </row>
    <row r="20723">
      <c r="B20723" s="36"/>
      <c r="C20723" s="36"/>
      <c r="E20723" s="1"/>
      <c r="F20723" s="1"/>
      <c r="G20723" s="1"/>
    </row>
    <row r="20724">
      <c r="B20724" s="36"/>
      <c r="C20724" s="36"/>
      <c r="E20724" s="1"/>
      <c r="F20724" s="1"/>
      <c r="G20724" s="1"/>
    </row>
    <row r="20725">
      <c r="B20725" s="36"/>
      <c r="C20725" s="36"/>
      <c r="E20725" s="1"/>
      <c r="F20725" s="1"/>
      <c r="G20725" s="1"/>
    </row>
    <row r="20726">
      <c r="B20726" s="36"/>
      <c r="C20726" s="36"/>
      <c r="E20726" s="1"/>
      <c r="F20726" s="1"/>
      <c r="G20726" s="1"/>
    </row>
    <row r="20727">
      <c r="B20727" s="36"/>
      <c r="C20727" s="36"/>
      <c r="E20727" s="1"/>
      <c r="F20727" s="1"/>
      <c r="G20727" s="1"/>
    </row>
    <row r="20728">
      <c r="B20728" s="36"/>
      <c r="C20728" s="36"/>
      <c r="E20728" s="1"/>
      <c r="F20728" s="1"/>
      <c r="G20728" s="1"/>
    </row>
    <row r="20729">
      <c r="B20729" s="36"/>
      <c r="C20729" s="36"/>
      <c r="E20729" s="1"/>
      <c r="F20729" s="1"/>
      <c r="G20729" s="1"/>
    </row>
    <row r="20730">
      <c r="B20730" s="36"/>
      <c r="C20730" s="36"/>
      <c r="E20730" s="1"/>
      <c r="F20730" s="1"/>
      <c r="G20730" s="1"/>
    </row>
    <row r="20731">
      <c r="B20731" s="36"/>
      <c r="C20731" s="36"/>
      <c r="E20731" s="1"/>
      <c r="F20731" s="1"/>
      <c r="G20731" s="1"/>
    </row>
    <row r="20732">
      <c r="B20732" s="36"/>
      <c r="C20732" s="36"/>
      <c r="E20732" s="1"/>
      <c r="F20732" s="1"/>
      <c r="G20732" s="1"/>
    </row>
    <row r="20733">
      <c r="B20733" s="36"/>
      <c r="C20733" s="36"/>
      <c r="E20733" s="1"/>
      <c r="F20733" s="1"/>
      <c r="G20733" s="1"/>
    </row>
    <row r="20734">
      <c r="B20734" s="36"/>
      <c r="C20734" s="36"/>
      <c r="E20734" s="1"/>
      <c r="F20734" s="1"/>
      <c r="G20734" s="1"/>
    </row>
    <row r="20735">
      <c r="B20735" s="36"/>
      <c r="C20735" s="36"/>
      <c r="E20735" s="1"/>
      <c r="F20735" s="1"/>
      <c r="G20735" s="1"/>
    </row>
    <row r="20736">
      <c r="B20736" s="36"/>
      <c r="C20736" s="36"/>
      <c r="E20736" s="1"/>
      <c r="F20736" s="1"/>
      <c r="G20736" s="1"/>
    </row>
    <row r="20737">
      <c r="B20737" s="36"/>
      <c r="C20737" s="36"/>
      <c r="E20737" s="1"/>
      <c r="F20737" s="1"/>
      <c r="G20737" s="1"/>
    </row>
    <row r="20738">
      <c r="B20738" s="36"/>
      <c r="C20738" s="36"/>
      <c r="E20738" s="1"/>
      <c r="F20738" s="1"/>
      <c r="G20738" s="1"/>
    </row>
    <row r="20739">
      <c r="B20739" s="36"/>
      <c r="C20739" s="36"/>
      <c r="E20739" s="1"/>
      <c r="F20739" s="1"/>
      <c r="G20739" s="1"/>
    </row>
    <row r="20740">
      <c r="B20740" s="36"/>
      <c r="C20740" s="36"/>
      <c r="E20740" s="1"/>
      <c r="F20740" s="1"/>
      <c r="G20740" s="1"/>
    </row>
    <row r="20741">
      <c r="B20741" s="36"/>
      <c r="C20741" s="36"/>
      <c r="E20741" s="1"/>
      <c r="F20741" s="1"/>
      <c r="G20741" s="1"/>
    </row>
    <row r="20742">
      <c r="B20742" s="36"/>
      <c r="C20742" s="36"/>
      <c r="E20742" s="1"/>
      <c r="F20742" s="1"/>
      <c r="G20742" s="1"/>
    </row>
    <row r="20743">
      <c r="B20743" s="36"/>
      <c r="C20743" s="36"/>
      <c r="E20743" s="1"/>
      <c r="F20743" s="1"/>
      <c r="G20743" s="1"/>
    </row>
    <row r="20744">
      <c r="B20744" s="36"/>
      <c r="C20744" s="36"/>
      <c r="E20744" s="1"/>
      <c r="F20744" s="1"/>
      <c r="G20744" s="1"/>
    </row>
    <row r="20745">
      <c r="B20745" s="36"/>
      <c r="C20745" s="36"/>
      <c r="E20745" s="1"/>
      <c r="F20745" s="1"/>
      <c r="G20745" s="1"/>
    </row>
    <row r="20746">
      <c r="B20746" s="36"/>
      <c r="C20746" s="36"/>
      <c r="E20746" s="1"/>
      <c r="F20746" s="1"/>
      <c r="G20746" s="1"/>
    </row>
    <row r="20747">
      <c r="B20747" s="36"/>
      <c r="C20747" s="36"/>
      <c r="E20747" s="1"/>
      <c r="F20747" s="1"/>
      <c r="G20747" s="1"/>
    </row>
    <row r="20748">
      <c r="B20748" s="36"/>
      <c r="C20748" s="36"/>
      <c r="E20748" s="1"/>
      <c r="F20748" s="1"/>
      <c r="G20748" s="1"/>
    </row>
    <row r="20749">
      <c r="B20749" s="36"/>
      <c r="C20749" s="36"/>
      <c r="E20749" s="1"/>
      <c r="F20749" s="1"/>
      <c r="G20749" s="1"/>
    </row>
    <row r="20750">
      <c r="B20750" s="36"/>
      <c r="C20750" s="36"/>
      <c r="E20750" s="1"/>
      <c r="F20750" s="1"/>
      <c r="G20750" s="1"/>
    </row>
    <row r="20751">
      <c r="B20751" s="36"/>
      <c r="C20751" s="36"/>
      <c r="E20751" s="1"/>
      <c r="F20751" s="1"/>
      <c r="G20751" s="1"/>
    </row>
    <row r="20752">
      <c r="B20752" s="36"/>
      <c r="C20752" s="36"/>
      <c r="E20752" s="1"/>
      <c r="F20752" s="1"/>
      <c r="G20752" s="1"/>
    </row>
    <row r="20753">
      <c r="B20753" s="36"/>
      <c r="C20753" s="36"/>
      <c r="E20753" s="1"/>
      <c r="F20753" s="1"/>
      <c r="G20753" s="1"/>
    </row>
    <row r="20754">
      <c r="B20754" s="36"/>
      <c r="C20754" s="36"/>
      <c r="E20754" s="1"/>
      <c r="F20754" s="1"/>
      <c r="G20754" s="1"/>
    </row>
    <row r="20755">
      <c r="B20755" s="36"/>
      <c r="C20755" s="36"/>
      <c r="E20755" s="1"/>
      <c r="F20755" s="1"/>
      <c r="G20755" s="1"/>
    </row>
    <row r="20756">
      <c r="B20756" s="36"/>
      <c r="C20756" s="36"/>
      <c r="E20756" s="1"/>
      <c r="F20756" s="1"/>
      <c r="G20756" s="1"/>
    </row>
    <row r="20757">
      <c r="B20757" s="36"/>
      <c r="C20757" s="36"/>
      <c r="E20757" s="1"/>
      <c r="F20757" s="1"/>
      <c r="G20757" s="1"/>
    </row>
    <row r="20758">
      <c r="B20758" s="36"/>
      <c r="C20758" s="36"/>
      <c r="E20758" s="1"/>
      <c r="F20758" s="1"/>
      <c r="G20758" s="1"/>
    </row>
    <row r="20759">
      <c r="B20759" s="36"/>
      <c r="C20759" s="36"/>
      <c r="E20759" s="1"/>
      <c r="F20759" s="1"/>
      <c r="G20759" s="1"/>
    </row>
    <row r="20760">
      <c r="B20760" s="36"/>
      <c r="C20760" s="36"/>
      <c r="E20760" s="1"/>
      <c r="F20760" s="1"/>
      <c r="G20760" s="1"/>
    </row>
    <row r="20761">
      <c r="B20761" s="36"/>
      <c r="C20761" s="36"/>
      <c r="E20761" s="1"/>
      <c r="F20761" s="1"/>
      <c r="G20761" s="1"/>
    </row>
    <row r="20762">
      <c r="B20762" s="36"/>
      <c r="C20762" s="36"/>
      <c r="E20762" s="1"/>
      <c r="F20762" s="1"/>
      <c r="G20762" s="1"/>
    </row>
    <row r="20763">
      <c r="B20763" s="36"/>
      <c r="C20763" s="36"/>
      <c r="E20763" s="1"/>
      <c r="F20763" s="1"/>
      <c r="G20763" s="1"/>
    </row>
    <row r="20764">
      <c r="B20764" s="36"/>
      <c r="C20764" s="36"/>
      <c r="E20764" s="1"/>
      <c r="F20764" s="1"/>
      <c r="G20764" s="1"/>
    </row>
    <row r="20765">
      <c r="B20765" s="36"/>
      <c r="C20765" s="36"/>
      <c r="E20765" s="1"/>
      <c r="F20765" s="1"/>
      <c r="G20765" s="1"/>
    </row>
    <row r="20766">
      <c r="B20766" s="36"/>
      <c r="C20766" s="36"/>
      <c r="E20766" s="1"/>
      <c r="F20766" s="1"/>
      <c r="G20766" s="1"/>
    </row>
    <row r="20767">
      <c r="B20767" s="36"/>
      <c r="C20767" s="36"/>
      <c r="E20767" s="1"/>
      <c r="F20767" s="1"/>
      <c r="G20767" s="1"/>
    </row>
    <row r="20768">
      <c r="B20768" s="36"/>
      <c r="C20768" s="36"/>
      <c r="E20768" s="1"/>
      <c r="F20768" s="1"/>
      <c r="G20768" s="1"/>
    </row>
    <row r="20769">
      <c r="B20769" s="36"/>
      <c r="C20769" s="36"/>
      <c r="E20769" s="1"/>
      <c r="F20769" s="1"/>
      <c r="G20769" s="1"/>
    </row>
    <row r="20770">
      <c r="B20770" s="36"/>
      <c r="C20770" s="36"/>
      <c r="E20770" s="1"/>
      <c r="F20770" s="1"/>
      <c r="G20770" s="1"/>
    </row>
    <row r="20771">
      <c r="B20771" s="36"/>
      <c r="C20771" s="36"/>
      <c r="E20771" s="1"/>
      <c r="F20771" s="1"/>
      <c r="G20771" s="1"/>
    </row>
    <row r="20772">
      <c r="B20772" s="36"/>
      <c r="C20772" s="36"/>
      <c r="E20772" s="1"/>
      <c r="F20772" s="1"/>
      <c r="G20772" s="1"/>
    </row>
    <row r="20773">
      <c r="B20773" s="36"/>
      <c r="C20773" s="36"/>
      <c r="E20773" s="1"/>
      <c r="F20773" s="1"/>
      <c r="G20773" s="1"/>
    </row>
    <row r="20774">
      <c r="B20774" s="36"/>
      <c r="C20774" s="36"/>
      <c r="E20774" s="1"/>
      <c r="F20774" s="1"/>
      <c r="G20774" s="1"/>
    </row>
    <row r="20775">
      <c r="B20775" s="36"/>
      <c r="C20775" s="36"/>
      <c r="E20775" s="1"/>
      <c r="F20775" s="1"/>
      <c r="G20775" s="1"/>
    </row>
    <row r="20776">
      <c r="B20776" s="36"/>
      <c r="C20776" s="36"/>
      <c r="E20776" s="1"/>
      <c r="F20776" s="1"/>
      <c r="G20776" s="1"/>
    </row>
    <row r="20777">
      <c r="B20777" s="36"/>
      <c r="C20777" s="36"/>
      <c r="E20777" s="1"/>
      <c r="F20777" s="1"/>
      <c r="G20777" s="1"/>
    </row>
    <row r="20778">
      <c r="B20778" s="36"/>
      <c r="C20778" s="36"/>
      <c r="E20778" s="1"/>
      <c r="F20778" s="1"/>
      <c r="G20778" s="1"/>
    </row>
    <row r="20779">
      <c r="B20779" s="36"/>
      <c r="C20779" s="36"/>
      <c r="E20779" s="1"/>
      <c r="F20779" s="1"/>
      <c r="G20779" s="1"/>
    </row>
    <row r="20780">
      <c r="B20780" s="36"/>
      <c r="C20780" s="36"/>
      <c r="E20780" s="1"/>
      <c r="F20780" s="1"/>
      <c r="G20780" s="1"/>
    </row>
    <row r="20781">
      <c r="B20781" s="36"/>
      <c r="C20781" s="36"/>
      <c r="E20781" s="1"/>
      <c r="F20781" s="1"/>
      <c r="G20781" s="1"/>
    </row>
    <row r="20782">
      <c r="B20782" s="36"/>
      <c r="C20782" s="36"/>
      <c r="E20782" s="1"/>
      <c r="F20782" s="1"/>
      <c r="G20782" s="1"/>
    </row>
    <row r="20783">
      <c r="B20783" s="36"/>
      <c r="C20783" s="36"/>
      <c r="E20783" s="1"/>
      <c r="F20783" s="1"/>
      <c r="G20783" s="1"/>
    </row>
    <row r="20784">
      <c r="B20784" s="36"/>
      <c r="C20784" s="36"/>
      <c r="E20784" s="1"/>
      <c r="F20784" s="1"/>
      <c r="G20784" s="1"/>
    </row>
    <row r="20785">
      <c r="B20785" s="36"/>
      <c r="C20785" s="36"/>
      <c r="E20785" s="1"/>
      <c r="F20785" s="1"/>
      <c r="G20785" s="1"/>
    </row>
    <row r="20786">
      <c r="B20786" s="36"/>
      <c r="C20786" s="36"/>
      <c r="E20786" s="1"/>
      <c r="F20786" s="1"/>
      <c r="G20786" s="1"/>
    </row>
    <row r="20787">
      <c r="B20787" s="36"/>
      <c r="C20787" s="36"/>
      <c r="E20787" s="1"/>
      <c r="F20787" s="1"/>
      <c r="G20787" s="1"/>
    </row>
    <row r="20788">
      <c r="B20788" s="36"/>
      <c r="C20788" s="36"/>
      <c r="E20788" s="1"/>
      <c r="F20788" s="1"/>
      <c r="G20788" s="1"/>
    </row>
    <row r="20789">
      <c r="B20789" s="36"/>
      <c r="C20789" s="36"/>
      <c r="E20789" s="1"/>
      <c r="F20789" s="1"/>
      <c r="G20789" s="1"/>
    </row>
    <row r="20790">
      <c r="B20790" s="36"/>
      <c r="C20790" s="36"/>
      <c r="E20790" s="1"/>
      <c r="F20790" s="1"/>
      <c r="G20790" s="1"/>
    </row>
    <row r="20791">
      <c r="B20791" s="36"/>
      <c r="C20791" s="36"/>
      <c r="E20791" s="1"/>
      <c r="F20791" s="1"/>
      <c r="G20791" s="1"/>
    </row>
    <row r="20792">
      <c r="B20792" s="36"/>
      <c r="C20792" s="36"/>
      <c r="E20792" s="1"/>
      <c r="F20792" s="1"/>
      <c r="G20792" s="1"/>
    </row>
    <row r="20793">
      <c r="B20793" s="36"/>
      <c r="C20793" s="36"/>
      <c r="E20793" s="1"/>
      <c r="F20793" s="1"/>
      <c r="G20793" s="1"/>
    </row>
    <row r="20794">
      <c r="B20794" s="36"/>
      <c r="C20794" s="36"/>
      <c r="E20794" s="1"/>
      <c r="F20794" s="1"/>
      <c r="G20794" s="1"/>
    </row>
    <row r="20795">
      <c r="B20795" s="36"/>
      <c r="C20795" s="36"/>
      <c r="E20795" s="1"/>
      <c r="F20795" s="1"/>
      <c r="G20795" s="1"/>
    </row>
    <row r="20796">
      <c r="B20796" s="36"/>
      <c r="C20796" s="36"/>
      <c r="E20796" s="1"/>
      <c r="F20796" s="1"/>
      <c r="G20796" s="1"/>
    </row>
    <row r="20797">
      <c r="B20797" s="36"/>
      <c r="C20797" s="36"/>
      <c r="E20797" s="1"/>
      <c r="F20797" s="1"/>
      <c r="G20797" s="1"/>
    </row>
    <row r="20798">
      <c r="B20798" s="36"/>
      <c r="C20798" s="36"/>
      <c r="E20798" s="1"/>
      <c r="F20798" s="1"/>
      <c r="G20798" s="1"/>
    </row>
    <row r="20799">
      <c r="B20799" s="36"/>
      <c r="C20799" s="36"/>
      <c r="E20799" s="1"/>
      <c r="F20799" s="1"/>
      <c r="G20799" s="1"/>
    </row>
    <row r="20800">
      <c r="B20800" s="36"/>
      <c r="C20800" s="36"/>
      <c r="E20800" s="1"/>
      <c r="F20800" s="1"/>
      <c r="G20800" s="1"/>
    </row>
    <row r="20801">
      <c r="B20801" s="36"/>
      <c r="C20801" s="36"/>
      <c r="E20801" s="1"/>
      <c r="F20801" s="1"/>
      <c r="G20801" s="1"/>
    </row>
    <row r="20802">
      <c r="B20802" s="36"/>
      <c r="C20802" s="36"/>
      <c r="E20802" s="1"/>
      <c r="F20802" s="1"/>
      <c r="G20802" s="1"/>
    </row>
    <row r="20803">
      <c r="B20803" s="36"/>
      <c r="C20803" s="36"/>
      <c r="E20803" s="1"/>
      <c r="F20803" s="1"/>
      <c r="G20803" s="1"/>
    </row>
    <row r="20804">
      <c r="B20804" s="36"/>
      <c r="C20804" s="36"/>
      <c r="E20804" s="1"/>
      <c r="F20804" s="1"/>
      <c r="G20804" s="1"/>
    </row>
    <row r="20805">
      <c r="B20805" s="36"/>
      <c r="C20805" s="36"/>
      <c r="E20805" s="1"/>
      <c r="F20805" s="1"/>
      <c r="G20805" s="1"/>
    </row>
    <row r="20806">
      <c r="B20806" s="36"/>
      <c r="C20806" s="36"/>
      <c r="E20806" s="1"/>
      <c r="F20806" s="1"/>
      <c r="G20806" s="1"/>
    </row>
    <row r="20807">
      <c r="B20807" s="36"/>
      <c r="C20807" s="36"/>
      <c r="E20807" s="1"/>
      <c r="F20807" s="1"/>
      <c r="G20807" s="1"/>
    </row>
    <row r="20808">
      <c r="B20808" s="36"/>
      <c r="C20808" s="36"/>
      <c r="E20808" s="1"/>
      <c r="F20808" s="1"/>
      <c r="G20808" s="1"/>
    </row>
    <row r="20809">
      <c r="B20809" s="36"/>
      <c r="C20809" s="36"/>
      <c r="E20809" s="1"/>
      <c r="F20809" s="1"/>
      <c r="G20809" s="1"/>
    </row>
    <row r="20810">
      <c r="B20810" s="36"/>
      <c r="C20810" s="36"/>
      <c r="E20810" s="1"/>
      <c r="F20810" s="1"/>
      <c r="G20810" s="1"/>
    </row>
    <row r="20811">
      <c r="B20811" s="36"/>
      <c r="C20811" s="36"/>
      <c r="E20811" s="1"/>
      <c r="F20811" s="1"/>
      <c r="G20811" s="1"/>
    </row>
    <row r="20812">
      <c r="B20812" s="36"/>
      <c r="C20812" s="36"/>
      <c r="E20812" s="1"/>
      <c r="F20812" s="1"/>
      <c r="G20812" s="1"/>
    </row>
    <row r="20813">
      <c r="B20813" s="36"/>
      <c r="C20813" s="36"/>
      <c r="E20813" s="1"/>
      <c r="F20813" s="1"/>
      <c r="G20813" s="1"/>
    </row>
    <row r="20814">
      <c r="B20814" s="36"/>
      <c r="C20814" s="36"/>
      <c r="E20814" s="1"/>
      <c r="F20814" s="1"/>
      <c r="G20814" s="1"/>
    </row>
    <row r="20815">
      <c r="B20815" s="36"/>
      <c r="C20815" s="36"/>
      <c r="E20815" s="1"/>
      <c r="F20815" s="1"/>
      <c r="G20815" s="1"/>
    </row>
    <row r="20816">
      <c r="B20816" s="36"/>
      <c r="C20816" s="36"/>
      <c r="E20816" s="1"/>
      <c r="F20816" s="1"/>
      <c r="G20816" s="1"/>
    </row>
    <row r="20817">
      <c r="B20817" s="36"/>
      <c r="C20817" s="36"/>
      <c r="E20817" s="1"/>
      <c r="F20817" s="1"/>
      <c r="G20817" s="1"/>
    </row>
    <row r="20818">
      <c r="B20818" s="36"/>
      <c r="C20818" s="36"/>
      <c r="E20818" s="1"/>
      <c r="F20818" s="1"/>
      <c r="G20818" s="1"/>
    </row>
    <row r="20819">
      <c r="B20819" s="36"/>
      <c r="C20819" s="36"/>
      <c r="E20819" s="1"/>
      <c r="F20819" s="1"/>
      <c r="G20819" s="1"/>
    </row>
    <row r="20820">
      <c r="B20820" s="36"/>
      <c r="C20820" s="36"/>
      <c r="E20820" s="1"/>
      <c r="F20820" s="1"/>
      <c r="G20820" s="1"/>
    </row>
    <row r="20821">
      <c r="B20821" s="36"/>
      <c r="C20821" s="36"/>
      <c r="E20821" s="1"/>
      <c r="F20821" s="1"/>
      <c r="G20821" s="1"/>
    </row>
    <row r="20822">
      <c r="B20822" s="36"/>
      <c r="C20822" s="36"/>
      <c r="E20822" s="1"/>
      <c r="F20822" s="1"/>
      <c r="G20822" s="1"/>
    </row>
    <row r="20823">
      <c r="B20823" s="36"/>
      <c r="C20823" s="36"/>
      <c r="E20823" s="1"/>
      <c r="F20823" s="1"/>
      <c r="G20823" s="1"/>
    </row>
    <row r="20824">
      <c r="B20824" s="36"/>
      <c r="C20824" s="36"/>
      <c r="E20824" s="1"/>
      <c r="F20824" s="1"/>
      <c r="G20824" s="1"/>
    </row>
    <row r="20825">
      <c r="B20825" s="36"/>
      <c r="C20825" s="36"/>
      <c r="E20825" s="1"/>
      <c r="F20825" s="1"/>
      <c r="G20825" s="1"/>
    </row>
    <row r="20826">
      <c r="B20826" s="36"/>
      <c r="C20826" s="36"/>
      <c r="E20826" s="1"/>
      <c r="F20826" s="1"/>
      <c r="G20826" s="1"/>
    </row>
    <row r="20827">
      <c r="B20827" s="36"/>
      <c r="C20827" s="36"/>
      <c r="E20827" s="1"/>
      <c r="F20827" s="1"/>
      <c r="G20827" s="1"/>
    </row>
    <row r="20828">
      <c r="B20828" s="36"/>
      <c r="C20828" s="36"/>
      <c r="E20828" s="1"/>
      <c r="F20828" s="1"/>
      <c r="G20828" s="1"/>
    </row>
    <row r="20829">
      <c r="B20829" s="36"/>
      <c r="C20829" s="36"/>
      <c r="E20829" s="1"/>
      <c r="F20829" s="1"/>
      <c r="G20829" s="1"/>
    </row>
    <row r="20830">
      <c r="B20830" s="36"/>
      <c r="C20830" s="36"/>
      <c r="E20830" s="1"/>
      <c r="F20830" s="1"/>
      <c r="G20830" s="1"/>
    </row>
    <row r="20831">
      <c r="B20831" s="36"/>
      <c r="C20831" s="36"/>
      <c r="E20831" s="1"/>
      <c r="F20831" s="1"/>
      <c r="G20831" s="1"/>
    </row>
    <row r="20832">
      <c r="B20832" s="36"/>
      <c r="C20832" s="36"/>
      <c r="E20832" s="1"/>
      <c r="F20832" s="1"/>
      <c r="G20832" s="1"/>
    </row>
    <row r="20833">
      <c r="B20833" s="36"/>
      <c r="C20833" s="36"/>
      <c r="E20833" s="1"/>
      <c r="F20833" s="1"/>
      <c r="G20833" s="1"/>
    </row>
    <row r="20834">
      <c r="B20834" s="36"/>
      <c r="C20834" s="36"/>
      <c r="E20834" s="1"/>
      <c r="F20834" s="1"/>
      <c r="G20834" s="1"/>
    </row>
    <row r="20835">
      <c r="B20835" s="36"/>
      <c r="C20835" s="36"/>
      <c r="E20835" s="1"/>
      <c r="F20835" s="1"/>
      <c r="G20835" s="1"/>
    </row>
    <row r="20836">
      <c r="B20836" s="36"/>
      <c r="C20836" s="36"/>
      <c r="E20836" s="1"/>
      <c r="F20836" s="1"/>
      <c r="G20836" s="1"/>
    </row>
    <row r="20837">
      <c r="B20837" s="36"/>
      <c r="C20837" s="36"/>
      <c r="E20837" s="1"/>
      <c r="F20837" s="1"/>
      <c r="G20837" s="1"/>
    </row>
    <row r="20838">
      <c r="B20838" s="36"/>
      <c r="C20838" s="36"/>
      <c r="E20838" s="1"/>
      <c r="F20838" s="1"/>
      <c r="G20838" s="1"/>
    </row>
    <row r="20839">
      <c r="B20839" s="36"/>
      <c r="C20839" s="36"/>
      <c r="E20839" s="1"/>
      <c r="F20839" s="1"/>
      <c r="G20839" s="1"/>
    </row>
    <row r="20840">
      <c r="B20840" s="36"/>
      <c r="C20840" s="36"/>
      <c r="E20840" s="1"/>
      <c r="F20840" s="1"/>
      <c r="G20840" s="1"/>
    </row>
    <row r="20841">
      <c r="B20841" s="36"/>
      <c r="C20841" s="36"/>
      <c r="E20841" s="1"/>
      <c r="F20841" s="1"/>
      <c r="G20841" s="1"/>
    </row>
    <row r="20842">
      <c r="B20842" s="36"/>
      <c r="C20842" s="36"/>
      <c r="E20842" s="1"/>
      <c r="F20842" s="1"/>
      <c r="G20842" s="1"/>
    </row>
    <row r="20843">
      <c r="B20843" s="36"/>
      <c r="C20843" s="36"/>
      <c r="E20843" s="1"/>
      <c r="F20843" s="1"/>
      <c r="G20843" s="1"/>
    </row>
    <row r="20844">
      <c r="B20844" s="36"/>
      <c r="C20844" s="36"/>
      <c r="E20844" s="1"/>
      <c r="F20844" s="1"/>
      <c r="G20844" s="1"/>
    </row>
    <row r="20845">
      <c r="B20845" s="36"/>
      <c r="C20845" s="36"/>
      <c r="E20845" s="1"/>
      <c r="F20845" s="1"/>
      <c r="G20845" s="1"/>
    </row>
    <row r="20846">
      <c r="B20846" s="36"/>
      <c r="C20846" s="36"/>
      <c r="E20846" s="1"/>
      <c r="F20846" s="1"/>
      <c r="G20846" s="1"/>
    </row>
    <row r="20847">
      <c r="B20847" s="36"/>
      <c r="C20847" s="36"/>
      <c r="E20847" s="1"/>
      <c r="F20847" s="1"/>
      <c r="G20847" s="1"/>
    </row>
    <row r="20848">
      <c r="B20848" s="36"/>
      <c r="C20848" s="36"/>
      <c r="E20848" s="1"/>
      <c r="F20848" s="1"/>
      <c r="G20848" s="1"/>
    </row>
    <row r="20849">
      <c r="B20849" s="36"/>
      <c r="C20849" s="36"/>
      <c r="E20849" s="1"/>
      <c r="F20849" s="1"/>
      <c r="G20849" s="1"/>
    </row>
    <row r="20850">
      <c r="B20850" s="36"/>
      <c r="C20850" s="36"/>
      <c r="E20850" s="1"/>
      <c r="F20850" s="1"/>
      <c r="G20850" s="1"/>
    </row>
    <row r="20851">
      <c r="B20851" s="36"/>
      <c r="C20851" s="36"/>
      <c r="E20851" s="1"/>
      <c r="F20851" s="1"/>
      <c r="G20851" s="1"/>
    </row>
    <row r="20852">
      <c r="B20852" s="36"/>
      <c r="C20852" s="36"/>
      <c r="E20852" s="1"/>
      <c r="F20852" s="1"/>
      <c r="G20852" s="1"/>
    </row>
    <row r="20853">
      <c r="B20853" s="36"/>
      <c r="C20853" s="36"/>
      <c r="E20853" s="1"/>
      <c r="F20853" s="1"/>
      <c r="G20853" s="1"/>
    </row>
    <row r="20854">
      <c r="B20854" s="36"/>
      <c r="C20854" s="36"/>
      <c r="E20854" s="1"/>
      <c r="F20854" s="1"/>
      <c r="G20854" s="1"/>
    </row>
    <row r="20855">
      <c r="B20855" s="36"/>
      <c r="C20855" s="36"/>
      <c r="E20855" s="1"/>
      <c r="F20855" s="1"/>
      <c r="G20855" s="1"/>
    </row>
    <row r="20856">
      <c r="B20856" s="36"/>
      <c r="C20856" s="36"/>
      <c r="E20856" s="1"/>
      <c r="F20856" s="1"/>
      <c r="G20856" s="1"/>
    </row>
    <row r="20857">
      <c r="B20857" s="36"/>
      <c r="C20857" s="36"/>
      <c r="E20857" s="1"/>
      <c r="F20857" s="1"/>
      <c r="G20857" s="1"/>
    </row>
    <row r="20858">
      <c r="B20858" s="36"/>
      <c r="C20858" s="36"/>
      <c r="E20858" s="1"/>
      <c r="F20858" s="1"/>
      <c r="G20858" s="1"/>
    </row>
    <row r="20859">
      <c r="B20859" s="36"/>
      <c r="C20859" s="36"/>
      <c r="E20859" s="1"/>
      <c r="F20859" s="1"/>
      <c r="G20859" s="1"/>
    </row>
    <row r="20860">
      <c r="B20860" s="36"/>
      <c r="C20860" s="36"/>
      <c r="E20860" s="1"/>
      <c r="F20860" s="1"/>
      <c r="G20860" s="1"/>
    </row>
    <row r="20861">
      <c r="B20861" s="36"/>
      <c r="C20861" s="36"/>
      <c r="E20861" s="1"/>
      <c r="F20861" s="1"/>
      <c r="G20861" s="1"/>
    </row>
    <row r="20862">
      <c r="B20862" s="36"/>
      <c r="C20862" s="36"/>
      <c r="E20862" s="1"/>
      <c r="F20862" s="1"/>
      <c r="G20862" s="1"/>
    </row>
    <row r="20863">
      <c r="B20863" s="36"/>
      <c r="C20863" s="36"/>
      <c r="E20863" s="1"/>
      <c r="F20863" s="1"/>
      <c r="G20863" s="1"/>
    </row>
    <row r="20864">
      <c r="B20864" s="36"/>
      <c r="C20864" s="36"/>
      <c r="E20864" s="1"/>
      <c r="F20864" s="1"/>
      <c r="G20864" s="1"/>
    </row>
    <row r="20865">
      <c r="B20865" s="36"/>
      <c r="C20865" s="36"/>
      <c r="E20865" s="1"/>
      <c r="F20865" s="1"/>
      <c r="G20865" s="1"/>
    </row>
    <row r="20866">
      <c r="B20866" s="36"/>
      <c r="C20866" s="36"/>
      <c r="E20866" s="1"/>
      <c r="F20866" s="1"/>
      <c r="G20866" s="1"/>
    </row>
    <row r="20867">
      <c r="B20867" s="36"/>
      <c r="C20867" s="36"/>
      <c r="E20867" s="1"/>
      <c r="F20867" s="1"/>
      <c r="G20867" s="1"/>
    </row>
    <row r="20868">
      <c r="B20868" s="36"/>
      <c r="C20868" s="36"/>
      <c r="E20868" s="1"/>
      <c r="F20868" s="1"/>
      <c r="G20868" s="1"/>
    </row>
    <row r="20869">
      <c r="B20869" s="36"/>
      <c r="C20869" s="36"/>
      <c r="E20869" s="1"/>
      <c r="F20869" s="1"/>
      <c r="G20869" s="1"/>
    </row>
    <row r="20870">
      <c r="B20870" s="36"/>
      <c r="C20870" s="36"/>
      <c r="E20870" s="1"/>
      <c r="F20870" s="1"/>
      <c r="G20870" s="1"/>
    </row>
    <row r="20871">
      <c r="B20871" s="36"/>
      <c r="C20871" s="36"/>
      <c r="E20871" s="1"/>
      <c r="F20871" s="1"/>
      <c r="G20871" s="1"/>
    </row>
    <row r="20872">
      <c r="B20872" s="36"/>
      <c r="C20872" s="36"/>
      <c r="E20872" s="1"/>
      <c r="F20872" s="1"/>
      <c r="G20872" s="1"/>
    </row>
    <row r="20873">
      <c r="B20873" s="36"/>
      <c r="C20873" s="36"/>
      <c r="E20873" s="1"/>
      <c r="F20873" s="1"/>
      <c r="G20873" s="1"/>
    </row>
    <row r="20874">
      <c r="B20874" s="36"/>
      <c r="C20874" s="36"/>
      <c r="E20874" s="1"/>
      <c r="F20874" s="1"/>
      <c r="G20874" s="1"/>
    </row>
    <row r="20875">
      <c r="B20875" s="36"/>
      <c r="C20875" s="36"/>
      <c r="E20875" s="1"/>
      <c r="F20875" s="1"/>
      <c r="G20875" s="1"/>
    </row>
    <row r="20876">
      <c r="B20876" s="36"/>
      <c r="C20876" s="36"/>
      <c r="E20876" s="1"/>
      <c r="F20876" s="1"/>
      <c r="G20876" s="1"/>
    </row>
    <row r="20877">
      <c r="B20877" s="36"/>
      <c r="C20877" s="36"/>
      <c r="E20877" s="1"/>
      <c r="F20877" s="1"/>
      <c r="G20877" s="1"/>
    </row>
    <row r="20878">
      <c r="B20878" s="36"/>
      <c r="C20878" s="36"/>
      <c r="E20878" s="1"/>
      <c r="F20878" s="1"/>
      <c r="G20878" s="1"/>
    </row>
    <row r="20879">
      <c r="B20879" s="36"/>
      <c r="C20879" s="36"/>
      <c r="E20879" s="1"/>
      <c r="F20879" s="1"/>
      <c r="G20879" s="1"/>
    </row>
    <row r="20880">
      <c r="B20880" s="36"/>
      <c r="C20880" s="36"/>
      <c r="E20880" s="1"/>
      <c r="F20880" s="1"/>
      <c r="G20880" s="1"/>
    </row>
    <row r="20881">
      <c r="B20881" s="36"/>
      <c r="C20881" s="36"/>
      <c r="E20881" s="1"/>
      <c r="F20881" s="1"/>
      <c r="G20881" s="1"/>
    </row>
    <row r="20882">
      <c r="B20882" s="36"/>
      <c r="C20882" s="36"/>
      <c r="E20882" s="1"/>
      <c r="F20882" s="1"/>
      <c r="G20882" s="1"/>
    </row>
    <row r="20883">
      <c r="B20883" s="36"/>
      <c r="C20883" s="36"/>
      <c r="E20883" s="1"/>
      <c r="F20883" s="1"/>
      <c r="G20883" s="1"/>
    </row>
    <row r="20884">
      <c r="B20884" s="36"/>
      <c r="C20884" s="36"/>
      <c r="E20884" s="1"/>
      <c r="F20884" s="1"/>
      <c r="G20884" s="1"/>
    </row>
    <row r="20885">
      <c r="B20885" s="36"/>
      <c r="C20885" s="36"/>
      <c r="E20885" s="1"/>
      <c r="F20885" s="1"/>
      <c r="G20885" s="1"/>
    </row>
    <row r="20886">
      <c r="B20886" s="36"/>
      <c r="C20886" s="36"/>
      <c r="E20886" s="1"/>
      <c r="F20886" s="1"/>
      <c r="G20886" s="1"/>
    </row>
    <row r="20887">
      <c r="B20887" s="36"/>
      <c r="C20887" s="36"/>
      <c r="E20887" s="1"/>
      <c r="F20887" s="1"/>
      <c r="G20887" s="1"/>
    </row>
    <row r="20888">
      <c r="B20888" s="36"/>
      <c r="C20888" s="36"/>
      <c r="E20888" s="1"/>
      <c r="F20888" s="1"/>
      <c r="G20888" s="1"/>
    </row>
    <row r="20889">
      <c r="B20889" s="36"/>
      <c r="C20889" s="36"/>
      <c r="E20889" s="1"/>
      <c r="F20889" s="1"/>
      <c r="G20889" s="1"/>
    </row>
    <row r="20890">
      <c r="B20890" s="36"/>
      <c r="C20890" s="36"/>
      <c r="E20890" s="1"/>
      <c r="F20890" s="1"/>
      <c r="G20890" s="1"/>
    </row>
    <row r="20891">
      <c r="B20891" s="36"/>
      <c r="C20891" s="36"/>
      <c r="E20891" s="1"/>
      <c r="F20891" s="1"/>
      <c r="G20891" s="1"/>
    </row>
    <row r="20892">
      <c r="B20892" s="36"/>
      <c r="C20892" s="36"/>
      <c r="E20892" s="1"/>
      <c r="F20892" s="1"/>
      <c r="G20892" s="1"/>
    </row>
    <row r="20893">
      <c r="B20893" s="36"/>
      <c r="C20893" s="36"/>
      <c r="E20893" s="1"/>
      <c r="F20893" s="1"/>
      <c r="G20893" s="1"/>
    </row>
    <row r="20894">
      <c r="B20894" s="36"/>
      <c r="C20894" s="36"/>
      <c r="E20894" s="1"/>
      <c r="F20894" s="1"/>
      <c r="G20894" s="1"/>
    </row>
    <row r="20895">
      <c r="B20895" s="36"/>
      <c r="C20895" s="36"/>
      <c r="E20895" s="1"/>
      <c r="F20895" s="1"/>
      <c r="G20895" s="1"/>
    </row>
    <row r="20896">
      <c r="B20896" s="36"/>
      <c r="C20896" s="36"/>
      <c r="E20896" s="1"/>
      <c r="F20896" s="1"/>
      <c r="G20896" s="1"/>
    </row>
    <row r="20897">
      <c r="B20897" s="36"/>
      <c r="C20897" s="36"/>
      <c r="E20897" s="1"/>
      <c r="F20897" s="1"/>
      <c r="G20897" s="1"/>
    </row>
    <row r="20898">
      <c r="B20898" s="36"/>
      <c r="C20898" s="36"/>
      <c r="E20898" s="1"/>
      <c r="F20898" s="1"/>
      <c r="G20898" s="1"/>
    </row>
    <row r="20899">
      <c r="B20899" s="36"/>
      <c r="C20899" s="36"/>
      <c r="E20899" s="1"/>
      <c r="F20899" s="1"/>
      <c r="G20899" s="1"/>
    </row>
    <row r="20900">
      <c r="B20900" s="36"/>
      <c r="C20900" s="36"/>
      <c r="E20900" s="1"/>
      <c r="F20900" s="1"/>
      <c r="G20900" s="1"/>
    </row>
    <row r="20901">
      <c r="B20901" s="36"/>
      <c r="C20901" s="36"/>
      <c r="E20901" s="1"/>
      <c r="F20901" s="1"/>
      <c r="G20901" s="1"/>
    </row>
    <row r="20902">
      <c r="B20902" s="36"/>
      <c r="C20902" s="36"/>
      <c r="E20902" s="1"/>
      <c r="F20902" s="1"/>
      <c r="G20902" s="1"/>
    </row>
    <row r="20903">
      <c r="B20903" s="36"/>
      <c r="C20903" s="36"/>
      <c r="E20903" s="1"/>
      <c r="F20903" s="1"/>
      <c r="G20903" s="1"/>
    </row>
    <row r="20904">
      <c r="B20904" s="36"/>
      <c r="C20904" s="36"/>
      <c r="E20904" s="1"/>
      <c r="F20904" s="1"/>
      <c r="G20904" s="1"/>
    </row>
    <row r="20905">
      <c r="B20905" s="36"/>
      <c r="C20905" s="36"/>
      <c r="E20905" s="1"/>
      <c r="F20905" s="1"/>
      <c r="G20905" s="1"/>
    </row>
    <row r="20906">
      <c r="B20906" s="36"/>
      <c r="C20906" s="36"/>
      <c r="E20906" s="1"/>
      <c r="F20906" s="1"/>
      <c r="G20906" s="1"/>
    </row>
    <row r="20907">
      <c r="B20907" s="36"/>
      <c r="C20907" s="36"/>
      <c r="E20907" s="1"/>
      <c r="F20907" s="1"/>
      <c r="G20907" s="1"/>
    </row>
    <row r="20908">
      <c r="B20908" s="36"/>
      <c r="C20908" s="36"/>
      <c r="E20908" s="1"/>
      <c r="F20908" s="1"/>
      <c r="G20908" s="1"/>
    </row>
    <row r="20909">
      <c r="B20909" s="36"/>
      <c r="C20909" s="36"/>
      <c r="E20909" s="1"/>
      <c r="F20909" s="1"/>
      <c r="G20909" s="1"/>
    </row>
    <row r="20910">
      <c r="B20910" s="36"/>
      <c r="C20910" s="36"/>
      <c r="E20910" s="1"/>
      <c r="F20910" s="1"/>
      <c r="G20910" s="1"/>
    </row>
    <row r="20911">
      <c r="B20911" s="36"/>
      <c r="C20911" s="36"/>
      <c r="E20911" s="1"/>
      <c r="F20911" s="1"/>
      <c r="G20911" s="1"/>
    </row>
    <row r="20912">
      <c r="B20912" s="36"/>
      <c r="C20912" s="36"/>
      <c r="E20912" s="1"/>
      <c r="F20912" s="1"/>
      <c r="G20912" s="1"/>
    </row>
    <row r="20913">
      <c r="B20913" s="36"/>
      <c r="C20913" s="36"/>
      <c r="E20913" s="1"/>
      <c r="F20913" s="1"/>
      <c r="G20913" s="1"/>
    </row>
    <row r="20914">
      <c r="B20914" s="36"/>
      <c r="C20914" s="36"/>
      <c r="E20914" s="1"/>
      <c r="F20914" s="1"/>
      <c r="G20914" s="1"/>
    </row>
    <row r="20915">
      <c r="B20915" s="36"/>
      <c r="C20915" s="36"/>
      <c r="E20915" s="1"/>
      <c r="F20915" s="1"/>
      <c r="G20915" s="1"/>
    </row>
    <row r="20916">
      <c r="B20916" s="36"/>
      <c r="C20916" s="36"/>
      <c r="E20916" s="1"/>
      <c r="F20916" s="1"/>
      <c r="G20916" s="1"/>
    </row>
    <row r="20917">
      <c r="B20917" s="36"/>
      <c r="C20917" s="36"/>
      <c r="E20917" s="1"/>
      <c r="F20917" s="1"/>
      <c r="G20917" s="1"/>
    </row>
    <row r="20918">
      <c r="B20918" s="36"/>
      <c r="C20918" s="36"/>
      <c r="E20918" s="1"/>
      <c r="F20918" s="1"/>
      <c r="G20918" s="1"/>
    </row>
    <row r="20919">
      <c r="B20919" s="36"/>
      <c r="C20919" s="36"/>
      <c r="E20919" s="1"/>
      <c r="F20919" s="1"/>
      <c r="G20919" s="1"/>
    </row>
    <row r="20920">
      <c r="B20920" s="36"/>
      <c r="C20920" s="36"/>
      <c r="E20920" s="1"/>
      <c r="F20920" s="1"/>
      <c r="G20920" s="1"/>
    </row>
    <row r="20921">
      <c r="B20921" s="36"/>
      <c r="C20921" s="36"/>
      <c r="E20921" s="1"/>
      <c r="F20921" s="1"/>
      <c r="G20921" s="1"/>
    </row>
    <row r="20922">
      <c r="B20922" s="36"/>
      <c r="C20922" s="36"/>
      <c r="E20922" s="1"/>
      <c r="F20922" s="1"/>
      <c r="G20922" s="1"/>
    </row>
    <row r="20923">
      <c r="B20923" s="36"/>
      <c r="C20923" s="36"/>
      <c r="E20923" s="1"/>
      <c r="F20923" s="1"/>
      <c r="G20923" s="1"/>
    </row>
    <row r="20924">
      <c r="B20924" s="36"/>
      <c r="C20924" s="36"/>
      <c r="E20924" s="1"/>
      <c r="F20924" s="1"/>
      <c r="G20924" s="1"/>
    </row>
    <row r="20925">
      <c r="B20925" s="36"/>
      <c r="C20925" s="36"/>
      <c r="E20925" s="1"/>
      <c r="F20925" s="1"/>
      <c r="G20925" s="1"/>
    </row>
    <row r="20926">
      <c r="B20926" s="36"/>
      <c r="C20926" s="36"/>
      <c r="E20926" s="1"/>
      <c r="F20926" s="1"/>
      <c r="G20926" s="1"/>
    </row>
    <row r="20927">
      <c r="B20927" s="36"/>
      <c r="C20927" s="36"/>
      <c r="E20927" s="1"/>
      <c r="F20927" s="1"/>
      <c r="G20927" s="1"/>
    </row>
    <row r="20928">
      <c r="B20928" s="36"/>
      <c r="C20928" s="36"/>
      <c r="E20928" s="1"/>
      <c r="F20928" s="1"/>
      <c r="G20928" s="1"/>
    </row>
    <row r="20929">
      <c r="B20929" s="36"/>
      <c r="C20929" s="36"/>
      <c r="E20929" s="1"/>
      <c r="F20929" s="1"/>
      <c r="G20929" s="1"/>
    </row>
    <row r="20930">
      <c r="B20930" s="36"/>
      <c r="C20930" s="36"/>
      <c r="E20930" s="1"/>
      <c r="F20930" s="1"/>
      <c r="G20930" s="1"/>
    </row>
    <row r="20931">
      <c r="B20931" s="36"/>
      <c r="C20931" s="36"/>
      <c r="E20931" s="1"/>
      <c r="F20931" s="1"/>
      <c r="G20931" s="1"/>
    </row>
    <row r="20932">
      <c r="B20932" s="36"/>
      <c r="C20932" s="36"/>
      <c r="E20932" s="1"/>
      <c r="F20932" s="1"/>
      <c r="G20932" s="1"/>
    </row>
    <row r="20933">
      <c r="B20933" s="36"/>
      <c r="C20933" s="36"/>
      <c r="E20933" s="1"/>
      <c r="F20933" s="1"/>
      <c r="G20933" s="1"/>
    </row>
    <row r="20934">
      <c r="B20934" s="36"/>
      <c r="C20934" s="36"/>
      <c r="E20934" s="1"/>
      <c r="F20934" s="1"/>
      <c r="G20934" s="1"/>
    </row>
    <row r="20935">
      <c r="B20935" s="36"/>
      <c r="C20935" s="36"/>
      <c r="E20935" s="1"/>
      <c r="F20935" s="1"/>
      <c r="G20935" s="1"/>
    </row>
    <row r="20936">
      <c r="B20936" s="36"/>
      <c r="C20936" s="36"/>
      <c r="E20936" s="1"/>
      <c r="F20936" s="1"/>
      <c r="G20936" s="1"/>
    </row>
    <row r="20937">
      <c r="B20937" s="36"/>
      <c r="C20937" s="36"/>
      <c r="E20937" s="1"/>
      <c r="F20937" s="1"/>
      <c r="G20937" s="1"/>
    </row>
    <row r="20938">
      <c r="B20938" s="36"/>
      <c r="C20938" s="36"/>
      <c r="E20938" s="1"/>
      <c r="F20938" s="1"/>
      <c r="G20938" s="1"/>
    </row>
    <row r="20939">
      <c r="B20939" s="36"/>
      <c r="C20939" s="36"/>
      <c r="E20939" s="1"/>
      <c r="F20939" s="1"/>
      <c r="G20939" s="1"/>
    </row>
    <row r="20940">
      <c r="B20940" s="36"/>
      <c r="C20940" s="36"/>
      <c r="E20940" s="1"/>
      <c r="F20940" s="1"/>
      <c r="G20940" s="1"/>
    </row>
    <row r="20941">
      <c r="B20941" s="36"/>
      <c r="C20941" s="36"/>
      <c r="E20941" s="1"/>
      <c r="F20941" s="1"/>
      <c r="G20941" s="1"/>
    </row>
    <row r="20942">
      <c r="B20942" s="36"/>
      <c r="C20942" s="36"/>
      <c r="E20942" s="1"/>
      <c r="F20942" s="1"/>
      <c r="G20942" s="1"/>
    </row>
    <row r="20943">
      <c r="B20943" s="36"/>
      <c r="C20943" s="36"/>
      <c r="E20943" s="1"/>
      <c r="F20943" s="1"/>
      <c r="G20943" s="1"/>
    </row>
    <row r="20944">
      <c r="B20944" s="36"/>
      <c r="C20944" s="36"/>
      <c r="E20944" s="1"/>
      <c r="F20944" s="1"/>
      <c r="G20944" s="1"/>
    </row>
    <row r="20945">
      <c r="B20945" s="36"/>
      <c r="C20945" s="36"/>
      <c r="E20945" s="1"/>
      <c r="F20945" s="1"/>
      <c r="G20945" s="1"/>
    </row>
    <row r="20946">
      <c r="B20946" s="36"/>
      <c r="C20946" s="36"/>
      <c r="E20946" s="1"/>
      <c r="F20946" s="1"/>
      <c r="G20946" s="1"/>
    </row>
    <row r="20947">
      <c r="B20947" s="36"/>
      <c r="C20947" s="36"/>
      <c r="E20947" s="1"/>
      <c r="F20947" s="1"/>
      <c r="G20947" s="1"/>
    </row>
    <row r="20948">
      <c r="B20948" s="36"/>
      <c r="C20948" s="36"/>
      <c r="E20948" s="1"/>
      <c r="F20948" s="1"/>
      <c r="G20948" s="1"/>
    </row>
    <row r="20949">
      <c r="B20949" s="36"/>
      <c r="C20949" s="36"/>
      <c r="E20949" s="1"/>
      <c r="F20949" s="1"/>
      <c r="G20949" s="1"/>
    </row>
    <row r="20950">
      <c r="B20950" s="36"/>
      <c r="C20950" s="36"/>
      <c r="E20950" s="1"/>
      <c r="F20950" s="1"/>
      <c r="G20950" s="1"/>
    </row>
    <row r="20951">
      <c r="B20951" s="36"/>
      <c r="C20951" s="36"/>
      <c r="E20951" s="1"/>
      <c r="F20951" s="1"/>
      <c r="G20951" s="1"/>
    </row>
    <row r="20952">
      <c r="B20952" s="36"/>
      <c r="C20952" s="36"/>
      <c r="E20952" s="1"/>
      <c r="F20952" s="1"/>
      <c r="G20952" s="1"/>
    </row>
    <row r="20953">
      <c r="B20953" s="36"/>
      <c r="C20953" s="36"/>
      <c r="E20953" s="1"/>
      <c r="F20953" s="1"/>
      <c r="G20953" s="1"/>
    </row>
    <row r="20954">
      <c r="B20954" s="36"/>
      <c r="C20954" s="36"/>
      <c r="E20954" s="1"/>
      <c r="F20954" s="1"/>
      <c r="G20954" s="1"/>
    </row>
    <row r="20955">
      <c r="B20955" s="36"/>
      <c r="C20955" s="36"/>
      <c r="E20955" s="1"/>
      <c r="F20955" s="1"/>
      <c r="G20955" s="1"/>
    </row>
    <row r="20956">
      <c r="B20956" s="36"/>
      <c r="C20956" s="36"/>
      <c r="E20956" s="1"/>
      <c r="F20956" s="1"/>
      <c r="G20956" s="1"/>
    </row>
    <row r="20957">
      <c r="B20957" s="36"/>
      <c r="C20957" s="36"/>
      <c r="E20957" s="1"/>
      <c r="F20957" s="1"/>
      <c r="G20957" s="1"/>
    </row>
    <row r="20958">
      <c r="B20958" s="36"/>
      <c r="C20958" s="36"/>
      <c r="E20958" s="1"/>
      <c r="F20958" s="1"/>
      <c r="G20958" s="1"/>
    </row>
    <row r="20959">
      <c r="B20959" s="36"/>
      <c r="C20959" s="36"/>
      <c r="E20959" s="1"/>
      <c r="F20959" s="1"/>
      <c r="G20959" s="1"/>
    </row>
    <row r="20960">
      <c r="B20960" s="36"/>
      <c r="C20960" s="36"/>
      <c r="E20960" s="1"/>
      <c r="F20960" s="1"/>
      <c r="G20960" s="1"/>
    </row>
    <row r="20961">
      <c r="B20961" s="36"/>
      <c r="C20961" s="36"/>
      <c r="E20961" s="1"/>
      <c r="F20961" s="1"/>
      <c r="G20961" s="1"/>
    </row>
    <row r="20962">
      <c r="B20962" s="36"/>
      <c r="C20962" s="36"/>
      <c r="E20962" s="1"/>
      <c r="F20962" s="1"/>
      <c r="G20962" s="1"/>
    </row>
    <row r="20963">
      <c r="B20963" s="36"/>
      <c r="C20963" s="36"/>
      <c r="E20963" s="1"/>
      <c r="F20963" s="1"/>
      <c r="G20963" s="1"/>
    </row>
    <row r="20964">
      <c r="B20964" s="36"/>
      <c r="C20964" s="36"/>
      <c r="E20964" s="1"/>
      <c r="F20964" s="1"/>
      <c r="G20964" s="1"/>
    </row>
    <row r="20965">
      <c r="B20965" s="36"/>
      <c r="C20965" s="36"/>
      <c r="E20965" s="1"/>
      <c r="F20965" s="1"/>
      <c r="G20965" s="1"/>
    </row>
    <row r="20966">
      <c r="B20966" s="36"/>
      <c r="C20966" s="36"/>
      <c r="E20966" s="1"/>
      <c r="F20966" s="1"/>
      <c r="G20966" s="1"/>
    </row>
    <row r="20967">
      <c r="B20967" s="36"/>
      <c r="C20967" s="36"/>
      <c r="E20967" s="1"/>
      <c r="F20967" s="1"/>
      <c r="G20967" s="1"/>
    </row>
    <row r="20968">
      <c r="B20968" s="36"/>
      <c r="C20968" s="36"/>
      <c r="E20968" s="1"/>
      <c r="F20968" s="1"/>
      <c r="G20968" s="1"/>
    </row>
    <row r="20969">
      <c r="B20969" s="36"/>
      <c r="C20969" s="36"/>
      <c r="E20969" s="1"/>
      <c r="F20969" s="1"/>
      <c r="G20969" s="1"/>
    </row>
    <row r="20970">
      <c r="B20970" s="36"/>
      <c r="C20970" s="36"/>
      <c r="E20970" s="1"/>
      <c r="F20970" s="1"/>
      <c r="G20970" s="1"/>
    </row>
    <row r="20971">
      <c r="B20971" s="36"/>
      <c r="C20971" s="36"/>
      <c r="E20971" s="1"/>
      <c r="F20971" s="1"/>
      <c r="G20971" s="1"/>
    </row>
    <row r="20972">
      <c r="B20972" s="36"/>
      <c r="C20972" s="36"/>
      <c r="E20972" s="1"/>
      <c r="F20972" s="1"/>
      <c r="G20972" s="1"/>
    </row>
    <row r="20973">
      <c r="B20973" s="36"/>
      <c r="C20973" s="36"/>
      <c r="E20973" s="1"/>
      <c r="F20973" s="1"/>
      <c r="G20973" s="1"/>
    </row>
    <row r="20974">
      <c r="B20974" s="36"/>
      <c r="C20974" s="36"/>
      <c r="E20974" s="1"/>
      <c r="F20974" s="1"/>
      <c r="G20974" s="1"/>
    </row>
    <row r="20975">
      <c r="B20975" s="36"/>
      <c r="C20975" s="36"/>
      <c r="E20975" s="1"/>
      <c r="F20975" s="1"/>
      <c r="G20975" s="1"/>
    </row>
    <row r="20976">
      <c r="B20976" s="36"/>
      <c r="C20976" s="36"/>
      <c r="E20976" s="1"/>
      <c r="F20976" s="1"/>
      <c r="G20976" s="1"/>
    </row>
    <row r="20977">
      <c r="B20977" s="36"/>
      <c r="C20977" s="36"/>
      <c r="E20977" s="1"/>
      <c r="F20977" s="1"/>
      <c r="G20977" s="1"/>
    </row>
    <row r="20978">
      <c r="B20978" s="36"/>
      <c r="C20978" s="36"/>
      <c r="E20978" s="1"/>
      <c r="F20978" s="1"/>
      <c r="G20978" s="1"/>
    </row>
    <row r="20979">
      <c r="B20979" s="36"/>
      <c r="C20979" s="36"/>
      <c r="E20979" s="1"/>
      <c r="F20979" s="1"/>
      <c r="G20979" s="1"/>
    </row>
    <row r="20980">
      <c r="B20980" s="36"/>
      <c r="C20980" s="36"/>
      <c r="E20980" s="1"/>
      <c r="F20980" s="1"/>
      <c r="G20980" s="1"/>
    </row>
    <row r="20981">
      <c r="B20981" s="36"/>
      <c r="C20981" s="36"/>
      <c r="E20981" s="1"/>
      <c r="F20981" s="1"/>
      <c r="G20981" s="1"/>
    </row>
    <row r="20982">
      <c r="B20982" s="36"/>
      <c r="C20982" s="36"/>
      <c r="E20982" s="1"/>
      <c r="F20982" s="1"/>
      <c r="G20982" s="1"/>
    </row>
    <row r="20983">
      <c r="B20983" s="36"/>
      <c r="C20983" s="36"/>
      <c r="E20983" s="1"/>
      <c r="F20983" s="1"/>
      <c r="G20983" s="1"/>
    </row>
    <row r="20984">
      <c r="B20984" s="36"/>
      <c r="C20984" s="36"/>
      <c r="E20984" s="1"/>
      <c r="F20984" s="1"/>
      <c r="G20984" s="1"/>
    </row>
    <row r="20985">
      <c r="B20985" s="36"/>
      <c r="C20985" s="36"/>
      <c r="E20985" s="1"/>
      <c r="F20985" s="1"/>
      <c r="G20985" s="1"/>
    </row>
    <row r="20986">
      <c r="B20986" s="36"/>
      <c r="C20986" s="36"/>
      <c r="E20986" s="1"/>
      <c r="F20986" s="1"/>
      <c r="G20986" s="1"/>
    </row>
    <row r="20987">
      <c r="B20987" s="36"/>
      <c r="C20987" s="36"/>
      <c r="E20987" s="1"/>
      <c r="F20987" s="1"/>
      <c r="G20987" s="1"/>
    </row>
    <row r="20988">
      <c r="B20988" s="36"/>
      <c r="C20988" s="36"/>
      <c r="E20988" s="1"/>
      <c r="F20988" s="1"/>
      <c r="G20988" s="1"/>
    </row>
    <row r="20989">
      <c r="B20989" s="36"/>
      <c r="C20989" s="36"/>
      <c r="E20989" s="1"/>
      <c r="F20989" s="1"/>
      <c r="G20989" s="1"/>
    </row>
    <row r="20990">
      <c r="B20990" s="36"/>
      <c r="C20990" s="36"/>
      <c r="E20990" s="1"/>
      <c r="F20990" s="1"/>
      <c r="G20990" s="1"/>
    </row>
    <row r="20991">
      <c r="B20991" s="36"/>
      <c r="C20991" s="36"/>
      <c r="E20991" s="1"/>
      <c r="F20991" s="1"/>
      <c r="G20991" s="1"/>
    </row>
    <row r="20992">
      <c r="B20992" s="36"/>
      <c r="C20992" s="36"/>
      <c r="E20992" s="1"/>
      <c r="F20992" s="1"/>
      <c r="G20992" s="1"/>
    </row>
    <row r="20993">
      <c r="B20993" s="36"/>
      <c r="C20993" s="36"/>
      <c r="E20993" s="1"/>
      <c r="F20993" s="1"/>
      <c r="G20993" s="1"/>
    </row>
    <row r="20994">
      <c r="B20994" s="36"/>
      <c r="C20994" s="36"/>
      <c r="E20994" s="1"/>
      <c r="F20994" s="1"/>
      <c r="G20994" s="1"/>
    </row>
    <row r="20995">
      <c r="B20995" s="36"/>
      <c r="C20995" s="36"/>
      <c r="E20995" s="1"/>
      <c r="F20995" s="1"/>
      <c r="G20995" s="1"/>
    </row>
    <row r="20996">
      <c r="B20996" s="36"/>
      <c r="C20996" s="36"/>
      <c r="E20996" s="1"/>
      <c r="F20996" s="1"/>
      <c r="G20996" s="1"/>
    </row>
    <row r="20997">
      <c r="B20997" s="36"/>
      <c r="C20997" s="36"/>
      <c r="E20997" s="1"/>
      <c r="F20997" s="1"/>
      <c r="G20997" s="1"/>
    </row>
    <row r="20998">
      <c r="B20998" s="36"/>
      <c r="C20998" s="36"/>
      <c r="E20998" s="1"/>
      <c r="F20998" s="1"/>
      <c r="G20998" s="1"/>
    </row>
    <row r="20999">
      <c r="B20999" s="36"/>
      <c r="C20999" s="36"/>
      <c r="E20999" s="1"/>
      <c r="F20999" s="1"/>
      <c r="G20999" s="1"/>
    </row>
    <row r="21000">
      <c r="B21000" s="36"/>
      <c r="C21000" s="36"/>
      <c r="E21000" s="1"/>
      <c r="F21000" s="1"/>
      <c r="G21000" s="1"/>
    </row>
    <row r="21001">
      <c r="B21001" s="36"/>
      <c r="C21001" s="36"/>
      <c r="E21001" s="1"/>
      <c r="F21001" s="1"/>
      <c r="G21001" s="1"/>
    </row>
    <row r="21002">
      <c r="B21002" s="36"/>
      <c r="C21002" s="36"/>
      <c r="E21002" s="1"/>
      <c r="F21002" s="1"/>
      <c r="G21002" s="1"/>
    </row>
    <row r="21003">
      <c r="B21003" s="36"/>
      <c r="C21003" s="36"/>
      <c r="E21003" s="1"/>
      <c r="F21003" s="1"/>
      <c r="G21003" s="1"/>
    </row>
    <row r="21004">
      <c r="B21004" s="36"/>
      <c r="C21004" s="36"/>
      <c r="E21004" s="1"/>
      <c r="F21004" s="1"/>
      <c r="G21004" s="1"/>
    </row>
    <row r="21005">
      <c r="B21005" s="36"/>
      <c r="C21005" s="36"/>
      <c r="E21005" s="1"/>
      <c r="F21005" s="1"/>
      <c r="G21005" s="1"/>
    </row>
    <row r="21006">
      <c r="B21006" s="36"/>
      <c r="C21006" s="36"/>
      <c r="E21006" s="1"/>
      <c r="F21006" s="1"/>
      <c r="G21006" s="1"/>
    </row>
    <row r="21007">
      <c r="B21007" s="36"/>
      <c r="C21007" s="36"/>
      <c r="E21007" s="1"/>
      <c r="F21007" s="1"/>
      <c r="G21007" s="1"/>
    </row>
    <row r="21008">
      <c r="B21008" s="36"/>
      <c r="C21008" s="36"/>
      <c r="E21008" s="1"/>
      <c r="F21008" s="1"/>
      <c r="G21008" s="1"/>
    </row>
    <row r="21009">
      <c r="B21009" s="36"/>
      <c r="C21009" s="36"/>
      <c r="E21009" s="1"/>
      <c r="F21009" s="1"/>
      <c r="G21009" s="1"/>
    </row>
    <row r="21010">
      <c r="B21010" s="36"/>
      <c r="C21010" s="36"/>
      <c r="E21010" s="1"/>
      <c r="F21010" s="1"/>
      <c r="G21010" s="1"/>
    </row>
    <row r="21011">
      <c r="B21011" s="36"/>
      <c r="C21011" s="36"/>
      <c r="E21011" s="1"/>
      <c r="F21011" s="1"/>
      <c r="G21011" s="1"/>
    </row>
    <row r="21012">
      <c r="B21012" s="36"/>
      <c r="C21012" s="36"/>
      <c r="E21012" s="1"/>
      <c r="F21012" s="1"/>
      <c r="G21012" s="1"/>
    </row>
    <row r="21013">
      <c r="B21013" s="36"/>
      <c r="C21013" s="36"/>
      <c r="E21013" s="1"/>
      <c r="F21013" s="1"/>
      <c r="G21013" s="1"/>
    </row>
    <row r="21014">
      <c r="B21014" s="36"/>
      <c r="C21014" s="36"/>
      <c r="E21014" s="1"/>
      <c r="F21014" s="1"/>
      <c r="G21014" s="1"/>
    </row>
    <row r="21015">
      <c r="B21015" s="36"/>
      <c r="C21015" s="36"/>
      <c r="E21015" s="1"/>
      <c r="F21015" s="1"/>
      <c r="G21015" s="1"/>
    </row>
    <row r="21016">
      <c r="B21016" s="36"/>
      <c r="C21016" s="36"/>
      <c r="E21016" s="1"/>
      <c r="F21016" s="1"/>
      <c r="G21016" s="1"/>
    </row>
    <row r="21017">
      <c r="B21017" s="36"/>
      <c r="C21017" s="36"/>
      <c r="E21017" s="1"/>
      <c r="F21017" s="1"/>
      <c r="G21017" s="1"/>
    </row>
    <row r="21018">
      <c r="B21018" s="36"/>
      <c r="C21018" s="36"/>
      <c r="E21018" s="1"/>
      <c r="F21018" s="1"/>
      <c r="G21018" s="1"/>
    </row>
    <row r="21019">
      <c r="B21019" s="36"/>
      <c r="C21019" s="36"/>
      <c r="E21019" s="1"/>
      <c r="F21019" s="1"/>
      <c r="G21019" s="1"/>
    </row>
    <row r="21020">
      <c r="B21020" s="36"/>
      <c r="C21020" s="36"/>
      <c r="E21020" s="1"/>
      <c r="F21020" s="1"/>
      <c r="G21020" s="1"/>
    </row>
    <row r="21021">
      <c r="B21021" s="36"/>
      <c r="C21021" s="36"/>
      <c r="E21021" s="1"/>
      <c r="F21021" s="1"/>
      <c r="G21021" s="1"/>
    </row>
    <row r="21022">
      <c r="B21022" s="36"/>
      <c r="C21022" s="36"/>
      <c r="E21022" s="1"/>
      <c r="F21022" s="1"/>
      <c r="G21022" s="1"/>
    </row>
    <row r="21023">
      <c r="B21023" s="36"/>
      <c r="C21023" s="36"/>
      <c r="E21023" s="1"/>
      <c r="F21023" s="1"/>
      <c r="G21023" s="1"/>
    </row>
    <row r="21024">
      <c r="B21024" s="36"/>
      <c r="C21024" s="36"/>
      <c r="E21024" s="1"/>
      <c r="F21024" s="1"/>
      <c r="G21024" s="1"/>
    </row>
    <row r="21025">
      <c r="B21025" s="36"/>
      <c r="C21025" s="36"/>
      <c r="E21025" s="1"/>
      <c r="F21025" s="1"/>
      <c r="G21025" s="1"/>
    </row>
    <row r="21026">
      <c r="B21026" s="36"/>
      <c r="C21026" s="36"/>
      <c r="E21026" s="1"/>
      <c r="F21026" s="1"/>
      <c r="G21026" s="1"/>
    </row>
    <row r="21027">
      <c r="B21027" s="36"/>
      <c r="C21027" s="36"/>
      <c r="E21027" s="1"/>
      <c r="F21027" s="1"/>
      <c r="G21027" s="1"/>
    </row>
    <row r="21028">
      <c r="B21028" s="36"/>
      <c r="C21028" s="36"/>
      <c r="E21028" s="1"/>
      <c r="F21028" s="1"/>
      <c r="G21028" s="1"/>
    </row>
    <row r="21029">
      <c r="B21029" s="36"/>
      <c r="C21029" s="36"/>
      <c r="E21029" s="1"/>
      <c r="F21029" s="1"/>
      <c r="G21029" s="1"/>
    </row>
    <row r="21030">
      <c r="B21030" s="36"/>
      <c r="C21030" s="36"/>
      <c r="E21030" s="1"/>
      <c r="F21030" s="1"/>
      <c r="G21030" s="1"/>
    </row>
    <row r="21031">
      <c r="B21031" s="36"/>
      <c r="C21031" s="36"/>
      <c r="E21031" s="1"/>
      <c r="F21031" s="1"/>
      <c r="G21031" s="1"/>
    </row>
    <row r="21032">
      <c r="B21032" s="36"/>
      <c r="C21032" s="36"/>
      <c r="E21032" s="1"/>
      <c r="F21032" s="1"/>
      <c r="G21032" s="1"/>
    </row>
    <row r="21033">
      <c r="B21033" s="36"/>
      <c r="C21033" s="36"/>
      <c r="E21033" s="1"/>
      <c r="F21033" s="1"/>
      <c r="G21033" s="1"/>
    </row>
    <row r="21034">
      <c r="B21034" s="36"/>
      <c r="C21034" s="36"/>
      <c r="E21034" s="1"/>
      <c r="F21034" s="1"/>
      <c r="G21034" s="1"/>
    </row>
    <row r="21035">
      <c r="B21035" s="36"/>
      <c r="C21035" s="36"/>
      <c r="E21035" s="1"/>
      <c r="F21035" s="1"/>
      <c r="G21035" s="1"/>
    </row>
    <row r="21036">
      <c r="B21036" s="36"/>
      <c r="C21036" s="36"/>
      <c r="E21036" s="1"/>
      <c r="F21036" s="1"/>
      <c r="G21036" s="1"/>
    </row>
    <row r="21037">
      <c r="B21037" s="36"/>
      <c r="C21037" s="36"/>
      <c r="E21037" s="1"/>
      <c r="F21037" s="1"/>
      <c r="G21037" s="1"/>
    </row>
    <row r="21038">
      <c r="B21038" s="36"/>
      <c r="C21038" s="36"/>
      <c r="E21038" s="1"/>
      <c r="F21038" s="1"/>
      <c r="G21038" s="1"/>
    </row>
    <row r="21039">
      <c r="B21039" s="36"/>
      <c r="C21039" s="36"/>
      <c r="E21039" s="1"/>
      <c r="F21039" s="1"/>
      <c r="G21039" s="1"/>
    </row>
    <row r="21040">
      <c r="B21040" s="36"/>
      <c r="C21040" s="36"/>
      <c r="E21040" s="1"/>
      <c r="F21040" s="1"/>
      <c r="G21040" s="1"/>
    </row>
    <row r="21041">
      <c r="B21041" s="36"/>
      <c r="C21041" s="36"/>
      <c r="E21041" s="1"/>
      <c r="F21041" s="1"/>
      <c r="G21041" s="1"/>
    </row>
    <row r="21042">
      <c r="B21042" s="36"/>
      <c r="C21042" s="36"/>
      <c r="E21042" s="1"/>
      <c r="F21042" s="1"/>
      <c r="G21042" s="1"/>
    </row>
    <row r="21043">
      <c r="B21043" s="36"/>
      <c r="C21043" s="36"/>
      <c r="E21043" s="1"/>
      <c r="F21043" s="1"/>
      <c r="G21043" s="1"/>
    </row>
    <row r="21044">
      <c r="B21044" s="36"/>
      <c r="C21044" s="36"/>
      <c r="E21044" s="1"/>
      <c r="F21044" s="1"/>
      <c r="G21044" s="1"/>
    </row>
    <row r="21045">
      <c r="B21045" s="36"/>
      <c r="C21045" s="36"/>
      <c r="E21045" s="1"/>
      <c r="F21045" s="1"/>
      <c r="G21045" s="1"/>
    </row>
    <row r="21046">
      <c r="B21046" s="36"/>
      <c r="C21046" s="36"/>
      <c r="E21046" s="1"/>
      <c r="F21046" s="1"/>
      <c r="G21046" s="1"/>
    </row>
    <row r="21047">
      <c r="B21047" s="36"/>
      <c r="C21047" s="36"/>
      <c r="E21047" s="1"/>
      <c r="F21047" s="1"/>
      <c r="G21047" s="1"/>
    </row>
    <row r="21048">
      <c r="B21048" s="36"/>
      <c r="C21048" s="36"/>
      <c r="E21048" s="1"/>
      <c r="F21048" s="1"/>
      <c r="G21048" s="1"/>
    </row>
    <row r="21049">
      <c r="B21049" s="36"/>
      <c r="C21049" s="36"/>
      <c r="E21049" s="1"/>
      <c r="F21049" s="1"/>
      <c r="G21049" s="1"/>
    </row>
    <row r="21050">
      <c r="B21050" s="36"/>
      <c r="C21050" s="36"/>
      <c r="E21050" s="1"/>
      <c r="F21050" s="1"/>
      <c r="G21050" s="1"/>
    </row>
    <row r="21051">
      <c r="B21051" s="36"/>
      <c r="C21051" s="36"/>
      <c r="E21051" s="1"/>
      <c r="F21051" s="1"/>
      <c r="G21051" s="1"/>
    </row>
    <row r="21052">
      <c r="B21052" s="36"/>
      <c r="C21052" s="36"/>
      <c r="E21052" s="1"/>
      <c r="F21052" s="1"/>
      <c r="G21052" s="1"/>
    </row>
    <row r="21053">
      <c r="B21053" s="36"/>
      <c r="C21053" s="36"/>
      <c r="E21053" s="1"/>
      <c r="F21053" s="1"/>
      <c r="G21053" s="1"/>
    </row>
    <row r="21054">
      <c r="B21054" s="36"/>
      <c r="C21054" s="36"/>
      <c r="E21054" s="1"/>
      <c r="F21054" s="1"/>
      <c r="G21054" s="1"/>
    </row>
    <row r="21055">
      <c r="B21055" s="36"/>
      <c r="C21055" s="36"/>
      <c r="E21055" s="1"/>
      <c r="F21055" s="1"/>
      <c r="G21055" s="1"/>
    </row>
    <row r="21056">
      <c r="B21056" s="36"/>
      <c r="C21056" s="36"/>
      <c r="E21056" s="1"/>
      <c r="F21056" s="1"/>
      <c r="G21056" s="1"/>
    </row>
    <row r="21057">
      <c r="B21057" s="36"/>
      <c r="C21057" s="36"/>
      <c r="E21057" s="1"/>
      <c r="F21057" s="1"/>
      <c r="G21057" s="1"/>
    </row>
    <row r="21058">
      <c r="B21058" s="36"/>
      <c r="C21058" s="36"/>
      <c r="E21058" s="1"/>
      <c r="F21058" s="1"/>
      <c r="G21058" s="1"/>
    </row>
    <row r="21059">
      <c r="B21059" s="36"/>
      <c r="C21059" s="36"/>
      <c r="E21059" s="1"/>
      <c r="F21059" s="1"/>
      <c r="G21059" s="1"/>
    </row>
    <row r="21060">
      <c r="B21060" s="36"/>
      <c r="C21060" s="36"/>
      <c r="E21060" s="1"/>
      <c r="F21060" s="1"/>
      <c r="G21060" s="1"/>
    </row>
    <row r="21061">
      <c r="B21061" s="36"/>
      <c r="C21061" s="36"/>
      <c r="E21061" s="1"/>
      <c r="F21061" s="1"/>
      <c r="G21061" s="1"/>
    </row>
    <row r="21062">
      <c r="B21062" s="36"/>
      <c r="C21062" s="36"/>
      <c r="E21062" s="1"/>
      <c r="F21062" s="1"/>
      <c r="G21062" s="1"/>
    </row>
    <row r="21063">
      <c r="B21063" s="36"/>
      <c r="C21063" s="36"/>
      <c r="E21063" s="1"/>
      <c r="F21063" s="1"/>
      <c r="G21063" s="1"/>
    </row>
    <row r="21064">
      <c r="B21064" s="36"/>
      <c r="C21064" s="36"/>
      <c r="E21064" s="1"/>
      <c r="F21064" s="1"/>
      <c r="G21064" s="1"/>
    </row>
    <row r="21065">
      <c r="B21065" s="36"/>
      <c r="C21065" s="36"/>
      <c r="E21065" s="1"/>
      <c r="F21065" s="1"/>
      <c r="G21065" s="1"/>
    </row>
    <row r="21066">
      <c r="B21066" s="36"/>
      <c r="C21066" s="36"/>
      <c r="E21066" s="1"/>
      <c r="F21066" s="1"/>
      <c r="G21066" s="1"/>
    </row>
    <row r="21067">
      <c r="B21067" s="36"/>
      <c r="C21067" s="36"/>
      <c r="E21067" s="1"/>
      <c r="F21067" s="1"/>
      <c r="G21067" s="1"/>
    </row>
    <row r="21068">
      <c r="B21068" s="36"/>
      <c r="C21068" s="36"/>
      <c r="E21068" s="1"/>
      <c r="F21068" s="1"/>
      <c r="G21068" s="1"/>
    </row>
    <row r="21069">
      <c r="B21069" s="36"/>
      <c r="C21069" s="36"/>
      <c r="E21069" s="1"/>
      <c r="F21069" s="1"/>
      <c r="G21069" s="1"/>
    </row>
    <row r="21070">
      <c r="B21070" s="36"/>
      <c r="C21070" s="36"/>
      <c r="E21070" s="1"/>
      <c r="F21070" s="1"/>
      <c r="G21070" s="1"/>
    </row>
    <row r="21071">
      <c r="B21071" s="36"/>
      <c r="C21071" s="36"/>
      <c r="E21071" s="1"/>
      <c r="F21071" s="1"/>
      <c r="G21071" s="1"/>
    </row>
    <row r="21072">
      <c r="B21072" s="36"/>
      <c r="C21072" s="36"/>
      <c r="E21072" s="1"/>
      <c r="F21072" s="1"/>
      <c r="G21072" s="1"/>
    </row>
    <row r="21073">
      <c r="B21073" s="36"/>
      <c r="C21073" s="36"/>
      <c r="E21073" s="1"/>
      <c r="F21073" s="1"/>
      <c r="G21073" s="1"/>
    </row>
    <row r="21074">
      <c r="B21074" s="36"/>
      <c r="C21074" s="36"/>
      <c r="E21074" s="1"/>
      <c r="F21074" s="1"/>
      <c r="G21074" s="1"/>
    </row>
    <row r="21075">
      <c r="B21075" s="36"/>
      <c r="C21075" s="36"/>
      <c r="E21075" s="1"/>
      <c r="F21075" s="1"/>
      <c r="G21075" s="1"/>
    </row>
    <row r="21076">
      <c r="B21076" s="36"/>
      <c r="C21076" s="36"/>
      <c r="E21076" s="1"/>
      <c r="F21076" s="1"/>
      <c r="G21076" s="1"/>
    </row>
    <row r="21077">
      <c r="B21077" s="36"/>
      <c r="C21077" s="36"/>
      <c r="E21077" s="1"/>
      <c r="F21077" s="1"/>
      <c r="G21077" s="1"/>
    </row>
    <row r="21078">
      <c r="B21078" s="36"/>
      <c r="C21078" s="36"/>
      <c r="E21078" s="1"/>
      <c r="F21078" s="1"/>
      <c r="G21078" s="1"/>
    </row>
    <row r="21079">
      <c r="B21079" s="36"/>
      <c r="C21079" s="36"/>
      <c r="E21079" s="1"/>
      <c r="F21079" s="1"/>
      <c r="G21079" s="1"/>
    </row>
    <row r="21080">
      <c r="B21080" s="36"/>
      <c r="C21080" s="36"/>
      <c r="E21080" s="1"/>
      <c r="F21080" s="1"/>
      <c r="G21080" s="1"/>
    </row>
    <row r="21081">
      <c r="B21081" s="36"/>
      <c r="C21081" s="36"/>
      <c r="E21081" s="1"/>
      <c r="F21081" s="1"/>
      <c r="G21081" s="1"/>
    </row>
    <row r="21082">
      <c r="B21082" s="36"/>
      <c r="C21082" s="36"/>
      <c r="E21082" s="1"/>
      <c r="F21082" s="1"/>
      <c r="G21082" s="1"/>
    </row>
    <row r="21083">
      <c r="B21083" s="36"/>
      <c r="C21083" s="36"/>
      <c r="E21083" s="1"/>
      <c r="F21083" s="1"/>
      <c r="G21083" s="1"/>
    </row>
    <row r="21084">
      <c r="B21084" s="36"/>
      <c r="C21084" s="36"/>
      <c r="E21084" s="1"/>
      <c r="F21084" s="1"/>
      <c r="G21084" s="1"/>
    </row>
    <row r="21085">
      <c r="B21085" s="36"/>
      <c r="C21085" s="36"/>
      <c r="E21085" s="1"/>
      <c r="F21085" s="1"/>
      <c r="G21085" s="1"/>
    </row>
    <row r="21086">
      <c r="B21086" s="36"/>
      <c r="C21086" s="36"/>
      <c r="E21086" s="1"/>
      <c r="F21086" s="1"/>
      <c r="G21086" s="1"/>
    </row>
    <row r="21087">
      <c r="B21087" s="36"/>
      <c r="C21087" s="36"/>
      <c r="E21087" s="1"/>
      <c r="F21087" s="1"/>
      <c r="G21087" s="1"/>
    </row>
    <row r="21088">
      <c r="B21088" s="36"/>
      <c r="C21088" s="36"/>
      <c r="E21088" s="1"/>
      <c r="F21088" s="1"/>
      <c r="G21088" s="1"/>
    </row>
    <row r="21089">
      <c r="B21089" s="36"/>
      <c r="C21089" s="36"/>
      <c r="E21089" s="1"/>
      <c r="F21089" s="1"/>
      <c r="G21089" s="1"/>
    </row>
    <row r="21090">
      <c r="B21090" s="36"/>
      <c r="C21090" s="36"/>
      <c r="E21090" s="1"/>
      <c r="F21090" s="1"/>
      <c r="G21090" s="1"/>
    </row>
    <row r="21091">
      <c r="B21091" s="36"/>
      <c r="C21091" s="36"/>
      <c r="E21091" s="1"/>
      <c r="F21091" s="1"/>
      <c r="G21091" s="1"/>
    </row>
    <row r="21092">
      <c r="B21092" s="36"/>
      <c r="C21092" s="36"/>
      <c r="E21092" s="1"/>
      <c r="F21092" s="1"/>
      <c r="G21092" s="1"/>
    </row>
    <row r="21093">
      <c r="B21093" s="36"/>
      <c r="C21093" s="36"/>
      <c r="E21093" s="1"/>
      <c r="F21093" s="1"/>
      <c r="G21093" s="1"/>
    </row>
    <row r="21094">
      <c r="B21094" s="36"/>
      <c r="C21094" s="36"/>
      <c r="E21094" s="1"/>
      <c r="F21094" s="1"/>
      <c r="G21094" s="1"/>
    </row>
    <row r="21095">
      <c r="B21095" s="36"/>
      <c r="C21095" s="36"/>
      <c r="E21095" s="1"/>
      <c r="F21095" s="1"/>
      <c r="G21095" s="1"/>
    </row>
    <row r="21096">
      <c r="B21096" s="36"/>
      <c r="C21096" s="36"/>
      <c r="E21096" s="1"/>
      <c r="F21096" s="1"/>
      <c r="G21096" s="1"/>
    </row>
    <row r="21097">
      <c r="B21097" s="36"/>
      <c r="C21097" s="36"/>
      <c r="E21097" s="1"/>
      <c r="F21097" s="1"/>
      <c r="G21097" s="1"/>
    </row>
    <row r="21098">
      <c r="B21098" s="36"/>
      <c r="C21098" s="36"/>
      <c r="E21098" s="1"/>
      <c r="F21098" s="1"/>
      <c r="G21098" s="1"/>
    </row>
    <row r="21099">
      <c r="B21099" s="36"/>
      <c r="C21099" s="36"/>
      <c r="E21099" s="1"/>
      <c r="F21099" s="1"/>
      <c r="G21099" s="1"/>
    </row>
    <row r="21100">
      <c r="B21100" s="36"/>
      <c r="C21100" s="36"/>
      <c r="E21100" s="1"/>
      <c r="F21100" s="1"/>
      <c r="G21100" s="1"/>
    </row>
    <row r="21101">
      <c r="B21101" s="36"/>
      <c r="C21101" s="36"/>
      <c r="E21101" s="1"/>
      <c r="F21101" s="1"/>
      <c r="G21101" s="1"/>
    </row>
    <row r="21102">
      <c r="B21102" s="36"/>
      <c r="C21102" s="36"/>
      <c r="E21102" s="1"/>
      <c r="F21102" s="1"/>
      <c r="G21102" s="1"/>
    </row>
    <row r="21103">
      <c r="B21103" s="36"/>
      <c r="C21103" s="36"/>
      <c r="E21103" s="1"/>
      <c r="F21103" s="1"/>
      <c r="G21103" s="1"/>
    </row>
    <row r="21104">
      <c r="B21104" s="36"/>
      <c r="C21104" s="36"/>
      <c r="E21104" s="1"/>
      <c r="F21104" s="1"/>
      <c r="G21104" s="1"/>
    </row>
    <row r="21105">
      <c r="B21105" s="36"/>
      <c r="C21105" s="36"/>
      <c r="E21105" s="1"/>
      <c r="F21105" s="1"/>
      <c r="G21105" s="1"/>
    </row>
    <row r="21106">
      <c r="B21106" s="36"/>
      <c r="C21106" s="36"/>
      <c r="E21106" s="1"/>
      <c r="F21106" s="1"/>
      <c r="G21106" s="1"/>
    </row>
    <row r="21107">
      <c r="B21107" s="36"/>
      <c r="C21107" s="36"/>
      <c r="E21107" s="1"/>
      <c r="F21107" s="1"/>
      <c r="G21107" s="1"/>
    </row>
    <row r="21108">
      <c r="B21108" s="36"/>
      <c r="C21108" s="36"/>
      <c r="E21108" s="1"/>
      <c r="F21108" s="1"/>
      <c r="G21108" s="1"/>
    </row>
    <row r="21109">
      <c r="B21109" s="36"/>
      <c r="C21109" s="36"/>
      <c r="E21109" s="1"/>
      <c r="F21109" s="1"/>
      <c r="G21109" s="1"/>
    </row>
    <row r="21110">
      <c r="B21110" s="36"/>
      <c r="C21110" s="36"/>
      <c r="E21110" s="1"/>
      <c r="F21110" s="1"/>
      <c r="G21110" s="1"/>
    </row>
    <row r="21111">
      <c r="B21111" s="36"/>
      <c r="C21111" s="36"/>
      <c r="E21111" s="1"/>
      <c r="F21111" s="1"/>
      <c r="G21111" s="1"/>
    </row>
    <row r="21112">
      <c r="B21112" s="36"/>
      <c r="C21112" s="36"/>
      <c r="E21112" s="1"/>
      <c r="F21112" s="1"/>
      <c r="G21112" s="1"/>
    </row>
    <row r="21113">
      <c r="B21113" s="36"/>
      <c r="C21113" s="36"/>
      <c r="E21113" s="1"/>
      <c r="F21113" s="1"/>
      <c r="G21113" s="1"/>
    </row>
    <row r="21114">
      <c r="B21114" s="36"/>
      <c r="C21114" s="36"/>
      <c r="E21114" s="1"/>
      <c r="F21114" s="1"/>
      <c r="G21114" s="1"/>
    </row>
    <row r="21115">
      <c r="B21115" s="36"/>
      <c r="C21115" s="36"/>
      <c r="E21115" s="1"/>
      <c r="F21115" s="1"/>
      <c r="G21115" s="1"/>
    </row>
    <row r="21116">
      <c r="B21116" s="36"/>
      <c r="C21116" s="36"/>
      <c r="E21116" s="1"/>
      <c r="F21116" s="1"/>
      <c r="G21116" s="1"/>
    </row>
    <row r="21117">
      <c r="B21117" s="36"/>
      <c r="C21117" s="36"/>
      <c r="E21117" s="1"/>
      <c r="F21117" s="1"/>
      <c r="G21117" s="1"/>
    </row>
    <row r="21118">
      <c r="B21118" s="36"/>
      <c r="C21118" s="36"/>
      <c r="E21118" s="1"/>
      <c r="F21118" s="1"/>
      <c r="G21118" s="1"/>
    </row>
    <row r="21119">
      <c r="B21119" s="36"/>
      <c r="C21119" s="36"/>
      <c r="E21119" s="1"/>
      <c r="F21119" s="1"/>
      <c r="G21119" s="1"/>
    </row>
    <row r="21120">
      <c r="B21120" s="36"/>
      <c r="C21120" s="36"/>
      <c r="E21120" s="1"/>
      <c r="F21120" s="1"/>
      <c r="G21120" s="1"/>
    </row>
    <row r="21121">
      <c r="B21121" s="36"/>
      <c r="C21121" s="36"/>
      <c r="E21121" s="1"/>
      <c r="F21121" s="1"/>
      <c r="G21121" s="1"/>
    </row>
    <row r="21122">
      <c r="B21122" s="36"/>
      <c r="C21122" s="36"/>
      <c r="E21122" s="1"/>
      <c r="F21122" s="1"/>
      <c r="G21122" s="1"/>
    </row>
    <row r="21123">
      <c r="B21123" s="36"/>
      <c r="C21123" s="36"/>
      <c r="E21123" s="1"/>
      <c r="F21123" s="1"/>
      <c r="G21123" s="1"/>
    </row>
    <row r="21124">
      <c r="B21124" s="36"/>
      <c r="C21124" s="36"/>
      <c r="E21124" s="1"/>
      <c r="F21124" s="1"/>
      <c r="G21124" s="1"/>
    </row>
    <row r="21125">
      <c r="B21125" s="36"/>
      <c r="C21125" s="36"/>
      <c r="E21125" s="1"/>
      <c r="F21125" s="1"/>
      <c r="G21125" s="1"/>
    </row>
    <row r="21126">
      <c r="B21126" s="36"/>
      <c r="C21126" s="36"/>
      <c r="E21126" s="1"/>
      <c r="F21126" s="1"/>
      <c r="G21126" s="1"/>
    </row>
    <row r="21127">
      <c r="B21127" s="36"/>
      <c r="C21127" s="36"/>
      <c r="E21127" s="1"/>
      <c r="F21127" s="1"/>
      <c r="G21127" s="1"/>
    </row>
    <row r="21128">
      <c r="B21128" s="36"/>
      <c r="C21128" s="36"/>
      <c r="E21128" s="1"/>
      <c r="F21128" s="1"/>
      <c r="G21128" s="1"/>
    </row>
    <row r="21129">
      <c r="B21129" s="36"/>
      <c r="C21129" s="36"/>
      <c r="E21129" s="1"/>
      <c r="F21129" s="1"/>
      <c r="G21129" s="1"/>
    </row>
    <row r="21130">
      <c r="B21130" s="36"/>
      <c r="C21130" s="36"/>
      <c r="E21130" s="1"/>
      <c r="F21130" s="1"/>
      <c r="G21130" s="1"/>
    </row>
    <row r="21131">
      <c r="B21131" s="36"/>
      <c r="C21131" s="36"/>
      <c r="E21131" s="1"/>
      <c r="F21131" s="1"/>
      <c r="G21131" s="1"/>
    </row>
    <row r="21132">
      <c r="B21132" s="36"/>
      <c r="C21132" s="36"/>
      <c r="E21132" s="1"/>
      <c r="F21132" s="1"/>
      <c r="G21132" s="1"/>
    </row>
    <row r="21133">
      <c r="B21133" s="36"/>
      <c r="C21133" s="36"/>
      <c r="E21133" s="1"/>
      <c r="F21133" s="1"/>
      <c r="G21133" s="1"/>
    </row>
    <row r="21134">
      <c r="B21134" s="36"/>
      <c r="C21134" s="36"/>
      <c r="E21134" s="1"/>
      <c r="F21134" s="1"/>
      <c r="G21134" s="1"/>
    </row>
    <row r="21135">
      <c r="B21135" s="36"/>
      <c r="C21135" s="36"/>
      <c r="E21135" s="1"/>
      <c r="F21135" s="1"/>
      <c r="G21135" s="1"/>
    </row>
    <row r="21136">
      <c r="B21136" s="36"/>
      <c r="C21136" s="36"/>
      <c r="E21136" s="1"/>
      <c r="F21136" s="1"/>
      <c r="G21136" s="1"/>
    </row>
    <row r="21137">
      <c r="B21137" s="36"/>
      <c r="C21137" s="36"/>
      <c r="E21137" s="1"/>
      <c r="F21137" s="1"/>
      <c r="G21137" s="1"/>
    </row>
    <row r="21138">
      <c r="B21138" s="36"/>
      <c r="C21138" s="36"/>
      <c r="E21138" s="1"/>
      <c r="F21138" s="1"/>
      <c r="G21138" s="1"/>
    </row>
    <row r="21139">
      <c r="B21139" s="36"/>
      <c r="C21139" s="36"/>
      <c r="E21139" s="1"/>
      <c r="F21139" s="1"/>
      <c r="G21139" s="1"/>
    </row>
    <row r="21140">
      <c r="B21140" s="36"/>
      <c r="C21140" s="36"/>
      <c r="E21140" s="1"/>
      <c r="F21140" s="1"/>
      <c r="G21140" s="1"/>
    </row>
    <row r="21141">
      <c r="B21141" s="36"/>
      <c r="C21141" s="36"/>
      <c r="E21141" s="1"/>
      <c r="F21141" s="1"/>
      <c r="G21141" s="1"/>
    </row>
    <row r="21142">
      <c r="B21142" s="36"/>
      <c r="C21142" s="36"/>
      <c r="E21142" s="1"/>
      <c r="F21142" s="1"/>
      <c r="G21142" s="1"/>
    </row>
    <row r="21143">
      <c r="B21143" s="36"/>
      <c r="C21143" s="36"/>
      <c r="E21143" s="1"/>
      <c r="F21143" s="1"/>
      <c r="G21143" s="1"/>
    </row>
    <row r="21144">
      <c r="B21144" s="36"/>
      <c r="C21144" s="36"/>
      <c r="E21144" s="1"/>
      <c r="F21144" s="1"/>
      <c r="G21144" s="1"/>
    </row>
    <row r="21145">
      <c r="B21145" s="36"/>
      <c r="C21145" s="36"/>
      <c r="E21145" s="1"/>
      <c r="F21145" s="1"/>
      <c r="G21145" s="1"/>
    </row>
    <row r="21146">
      <c r="B21146" s="36"/>
      <c r="C21146" s="36"/>
      <c r="E21146" s="1"/>
      <c r="F21146" s="1"/>
      <c r="G21146" s="1"/>
    </row>
    <row r="21147">
      <c r="B21147" s="36"/>
      <c r="C21147" s="36"/>
      <c r="E21147" s="1"/>
      <c r="F21147" s="1"/>
      <c r="G21147" s="1"/>
    </row>
    <row r="21148">
      <c r="B21148" s="36"/>
      <c r="C21148" s="36"/>
      <c r="E21148" s="1"/>
      <c r="F21148" s="1"/>
      <c r="G21148" s="1"/>
    </row>
    <row r="21149">
      <c r="B21149" s="36"/>
      <c r="C21149" s="36"/>
      <c r="E21149" s="1"/>
      <c r="F21149" s="1"/>
      <c r="G21149" s="1"/>
    </row>
    <row r="21150">
      <c r="B21150" s="36"/>
      <c r="C21150" s="36"/>
      <c r="E21150" s="1"/>
      <c r="F21150" s="1"/>
      <c r="G21150" s="1"/>
    </row>
    <row r="21151">
      <c r="B21151" s="36"/>
      <c r="C21151" s="36"/>
      <c r="E21151" s="1"/>
      <c r="F21151" s="1"/>
      <c r="G21151" s="1"/>
    </row>
    <row r="21152">
      <c r="B21152" s="36"/>
      <c r="C21152" s="36"/>
      <c r="E21152" s="1"/>
      <c r="F21152" s="1"/>
      <c r="G21152" s="1"/>
    </row>
    <row r="21153">
      <c r="B21153" s="36"/>
      <c r="C21153" s="36"/>
      <c r="E21153" s="1"/>
      <c r="F21153" s="1"/>
      <c r="G21153" s="1"/>
    </row>
    <row r="21154">
      <c r="B21154" s="36"/>
      <c r="C21154" s="36"/>
      <c r="E21154" s="1"/>
      <c r="F21154" s="1"/>
      <c r="G21154" s="1"/>
    </row>
    <row r="21155">
      <c r="B21155" s="36"/>
      <c r="C21155" s="36"/>
      <c r="E21155" s="1"/>
      <c r="F21155" s="1"/>
      <c r="G21155" s="1"/>
    </row>
    <row r="21156">
      <c r="B21156" s="36"/>
      <c r="C21156" s="36"/>
      <c r="E21156" s="1"/>
      <c r="F21156" s="1"/>
      <c r="G21156" s="1"/>
    </row>
    <row r="21157">
      <c r="B21157" s="36"/>
      <c r="C21157" s="36"/>
      <c r="E21157" s="1"/>
      <c r="F21157" s="1"/>
      <c r="G21157" s="1"/>
    </row>
    <row r="21158">
      <c r="B21158" s="36"/>
      <c r="C21158" s="36"/>
      <c r="E21158" s="1"/>
      <c r="F21158" s="1"/>
      <c r="G21158" s="1"/>
    </row>
    <row r="21159">
      <c r="B21159" s="36"/>
      <c r="C21159" s="36"/>
      <c r="E21159" s="1"/>
      <c r="F21159" s="1"/>
      <c r="G21159" s="1"/>
    </row>
    <row r="21160">
      <c r="B21160" s="36"/>
      <c r="C21160" s="36"/>
      <c r="E21160" s="1"/>
      <c r="F21160" s="1"/>
      <c r="G21160" s="1"/>
    </row>
    <row r="21161">
      <c r="B21161" s="36"/>
      <c r="C21161" s="36"/>
      <c r="E21161" s="1"/>
      <c r="F21161" s="1"/>
      <c r="G21161" s="1"/>
    </row>
    <row r="21162">
      <c r="B21162" s="36"/>
      <c r="C21162" s="36"/>
      <c r="E21162" s="1"/>
      <c r="F21162" s="1"/>
      <c r="G21162" s="1"/>
    </row>
    <row r="21163">
      <c r="B21163" s="36"/>
      <c r="C21163" s="36"/>
      <c r="E21163" s="1"/>
      <c r="F21163" s="1"/>
      <c r="G21163" s="1"/>
    </row>
    <row r="21164">
      <c r="B21164" s="36"/>
      <c r="C21164" s="36"/>
      <c r="E21164" s="1"/>
      <c r="F21164" s="1"/>
      <c r="G21164" s="1"/>
    </row>
    <row r="21165">
      <c r="B21165" s="36"/>
      <c r="C21165" s="36"/>
      <c r="E21165" s="1"/>
      <c r="F21165" s="1"/>
      <c r="G21165" s="1"/>
    </row>
    <row r="21166">
      <c r="B21166" s="36"/>
      <c r="C21166" s="36"/>
      <c r="E21166" s="1"/>
      <c r="F21166" s="1"/>
      <c r="G21166" s="1"/>
    </row>
    <row r="21167">
      <c r="B21167" s="36"/>
      <c r="C21167" s="36"/>
      <c r="E21167" s="1"/>
      <c r="F21167" s="1"/>
      <c r="G21167" s="1"/>
    </row>
    <row r="21168">
      <c r="B21168" s="36"/>
      <c r="C21168" s="36"/>
      <c r="E21168" s="1"/>
      <c r="F21168" s="1"/>
      <c r="G21168" s="1"/>
    </row>
    <row r="21169">
      <c r="B21169" s="36"/>
      <c r="C21169" s="36"/>
      <c r="E21169" s="1"/>
      <c r="F21169" s="1"/>
      <c r="G21169" s="1"/>
    </row>
    <row r="21170">
      <c r="B21170" s="36"/>
      <c r="C21170" s="36"/>
      <c r="E21170" s="1"/>
      <c r="F21170" s="1"/>
      <c r="G21170" s="1"/>
    </row>
    <row r="21171">
      <c r="B21171" s="36"/>
      <c r="C21171" s="36"/>
      <c r="E21171" s="1"/>
      <c r="F21171" s="1"/>
      <c r="G21171" s="1"/>
    </row>
    <row r="21172">
      <c r="B21172" s="36"/>
      <c r="C21172" s="36"/>
      <c r="E21172" s="1"/>
      <c r="F21172" s="1"/>
      <c r="G21172" s="1"/>
    </row>
    <row r="21173">
      <c r="B21173" s="36"/>
      <c r="C21173" s="36"/>
      <c r="E21173" s="1"/>
      <c r="F21173" s="1"/>
      <c r="G21173" s="1"/>
    </row>
    <row r="21174">
      <c r="B21174" s="36"/>
      <c r="C21174" s="36"/>
      <c r="E21174" s="1"/>
      <c r="F21174" s="1"/>
      <c r="G21174" s="1"/>
    </row>
    <row r="21175">
      <c r="B21175" s="36"/>
      <c r="C21175" s="36"/>
      <c r="E21175" s="1"/>
      <c r="F21175" s="1"/>
      <c r="G21175" s="1"/>
    </row>
    <row r="21176">
      <c r="B21176" s="36"/>
      <c r="C21176" s="36"/>
      <c r="E21176" s="1"/>
      <c r="F21176" s="1"/>
      <c r="G21176" s="1"/>
    </row>
    <row r="21177">
      <c r="B21177" s="36"/>
      <c r="C21177" s="36"/>
      <c r="E21177" s="1"/>
      <c r="F21177" s="1"/>
      <c r="G21177" s="1"/>
    </row>
    <row r="21178">
      <c r="B21178" s="36"/>
      <c r="C21178" s="36"/>
      <c r="E21178" s="1"/>
      <c r="F21178" s="1"/>
      <c r="G21178" s="1"/>
    </row>
    <row r="21179">
      <c r="B21179" s="36"/>
      <c r="C21179" s="36"/>
      <c r="E21179" s="1"/>
      <c r="F21179" s="1"/>
      <c r="G21179" s="1"/>
    </row>
    <row r="21180">
      <c r="B21180" s="36"/>
      <c r="C21180" s="36"/>
      <c r="E21180" s="1"/>
      <c r="F21180" s="1"/>
      <c r="G21180" s="1"/>
    </row>
    <row r="21181">
      <c r="B21181" s="36"/>
      <c r="C21181" s="36"/>
      <c r="E21181" s="1"/>
      <c r="F21181" s="1"/>
      <c r="G21181" s="1"/>
    </row>
    <row r="21182">
      <c r="B21182" s="36"/>
      <c r="C21182" s="36"/>
      <c r="E21182" s="1"/>
      <c r="F21182" s="1"/>
      <c r="G21182" s="1"/>
    </row>
    <row r="21183">
      <c r="B21183" s="36"/>
      <c r="C21183" s="36"/>
      <c r="E21183" s="1"/>
      <c r="F21183" s="1"/>
      <c r="G21183" s="1"/>
    </row>
    <row r="21184">
      <c r="B21184" s="36"/>
      <c r="C21184" s="36"/>
      <c r="E21184" s="1"/>
      <c r="F21184" s="1"/>
      <c r="G21184" s="1"/>
    </row>
    <row r="21185">
      <c r="B21185" s="36"/>
      <c r="C21185" s="36"/>
      <c r="E21185" s="1"/>
      <c r="F21185" s="1"/>
      <c r="G21185" s="1"/>
    </row>
    <row r="21186">
      <c r="B21186" s="36"/>
      <c r="C21186" s="36"/>
      <c r="E21186" s="1"/>
      <c r="F21186" s="1"/>
      <c r="G21186" s="1"/>
    </row>
    <row r="21187">
      <c r="B21187" s="36"/>
      <c r="C21187" s="36"/>
      <c r="E21187" s="1"/>
      <c r="F21187" s="1"/>
      <c r="G21187" s="1"/>
    </row>
    <row r="21188">
      <c r="B21188" s="36"/>
      <c r="C21188" s="36"/>
      <c r="E21188" s="1"/>
      <c r="F21188" s="1"/>
      <c r="G21188" s="1"/>
    </row>
    <row r="21189">
      <c r="B21189" s="36"/>
      <c r="C21189" s="36"/>
      <c r="E21189" s="1"/>
      <c r="F21189" s="1"/>
      <c r="G21189" s="1"/>
    </row>
    <row r="21190">
      <c r="B21190" s="36"/>
      <c r="C21190" s="36"/>
      <c r="E21190" s="1"/>
      <c r="F21190" s="1"/>
      <c r="G21190" s="1"/>
    </row>
    <row r="21191">
      <c r="B21191" s="36"/>
      <c r="C21191" s="36"/>
      <c r="E21191" s="1"/>
      <c r="F21191" s="1"/>
      <c r="G21191" s="1"/>
    </row>
    <row r="21192">
      <c r="B21192" s="36"/>
      <c r="C21192" s="36"/>
      <c r="E21192" s="1"/>
      <c r="F21192" s="1"/>
      <c r="G21192" s="1"/>
    </row>
    <row r="21193">
      <c r="B21193" s="36"/>
      <c r="C21193" s="36"/>
      <c r="E21193" s="1"/>
      <c r="F21193" s="1"/>
      <c r="G21193" s="1"/>
    </row>
    <row r="21194">
      <c r="B21194" s="36"/>
      <c r="C21194" s="36"/>
      <c r="E21194" s="1"/>
      <c r="F21194" s="1"/>
      <c r="G21194" s="1"/>
    </row>
    <row r="21195">
      <c r="B21195" s="36"/>
      <c r="C21195" s="36"/>
      <c r="E21195" s="1"/>
      <c r="F21195" s="1"/>
      <c r="G21195" s="1"/>
    </row>
    <row r="21196">
      <c r="B21196" s="36"/>
      <c r="C21196" s="36"/>
      <c r="E21196" s="1"/>
      <c r="F21196" s="1"/>
      <c r="G21196" s="1"/>
    </row>
    <row r="21197">
      <c r="B21197" s="36"/>
      <c r="C21197" s="36"/>
      <c r="E21197" s="1"/>
      <c r="F21197" s="1"/>
      <c r="G21197" s="1"/>
    </row>
    <row r="21198">
      <c r="B21198" s="36"/>
      <c r="C21198" s="36"/>
      <c r="E21198" s="1"/>
      <c r="F21198" s="1"/>
      <c r="G21198" s="1"/>
    </row>
    <row r="21199">
      <c r="B21199" s="36"/>
      <c r="C21199" s="36"/>
      <c r="E21199" s="1"/>
      <c r="F21199" s="1"/>
      <c r="G21199" s="1"/>
    </row>
    <row r="21200">
      <c r="B21200" s="36"/>
      <c r="C21200" s="36"/>
      <c r="E21200" s="1"/>
      <c r="F21200" s="1"/>
      <c r="G21200" s="1"/>
    </row>
    <row r="21201">
      <c r="B21201" s="36"/>
      <c r="C21201" s="36"/>
      <c r="E21201" s="1"/>
      <c r="F21201" s="1"/>
      <c r="G21201" s="1"/>
    </row>
    <row r="21202">
      <c r="B21202" s="36"/>
      <c r="C21202" s="36"/>
      <c r="E21202" s="1"/>
      <c r="F21202" s="1"/>
      <c r="G21202" s="1"/>
    </row>
    <row r="21203">
      <c r="B21203" s="36"/>
      <c r="C21203" s="36"/>
      <c r="E21203" s="1"/>
      <c r="F21203" s="1"/>
      <c r="G21203" s="1"/>
    </row>
    <row r="21204">
      <c r="B21204" s="36"/>
      <c r="C21204" s="36"/>
      <c r="E21204" s="1"/>
      <c r="F21204" s="1"/>
      <c r="G21204" s="1"/>
    </row>
    <row r="21205">
      <c r="B21205" s="36"/>
      <c r="C21205" s="36"/>
      <c r="E21205" s="1"/>
      <c r="F21205" s="1"/>
      <c r="G21205" s="1"/>
    </row>
    <row r="21206">
      <c r="B21206" s="36"/>
      <c r="C21206" s="36"/>
      <c r="E21206" s="1"/>
      <c r="F21206" s="1"/>
      <c r="G21206" s="1"/>
    </row>
    <row r="21207">
      <c r="B21207" s="36"/>
      <c r="C21207" s="36"/>
      <c r="E21207" s="1"/>
      <c r="F21207" s="1"/>
      <c r="G21207" s="1"/>
    </row>
    <row r="21208">
      <c r="B21208" s="36"/>
      <c r="C21208" s="36"/>
      <c r="E21208" s="1"/>
      <c r="F21208" s="1"/>
      <c r="G21208" s="1"/>
    </row>
    <row r="21209">
      <c r="B21209" s="36"/>
      <c r="C21209" s="36"/>
      <c r="E21209" s="1"/>
      <c r="F21209" s="1"/>
      <c r="G21209" s="1"/>
    </row>
    <row r="21210">
      <c r="B21210" s="36"/>
      <c r="C21210" s="36"/>
      <c r="E21210" s="1"/>
      <c r="F21210" s="1"/>
      <c r="G21210" s="1"/>
    </row>
    <row r="21211">
      <c r="B21211" s="36"/>
      <c r="C21211" s="36"/>
      <c r="E21211" s="1"/>
      <c r="F21211" s="1"/>
      <c r="G21211" s="1"/>
    </row>
    <row r="21212">
      <c r="B21212" s="36"/>
      <c r="C21212" s="36"/>
      <c r="E21212" s="1"/>
      <c r="F21212" s="1"/>
      <c r="G21212" s="1"/>
    </row>
    <row r="21213">
      <c r="B21213" s="36"/>
      <c r="C21213" s="36"/>
      <c r="E21213" s="1"/>
      <c r="F21213" s="1"/>
      <c r="G21213" s="1"/>
    </row>
    <row r="21214">
      <c r="B21214" s="36"/>
      <c r="C21214" s="36"/>
      <c r="E21214" s="1"/>
      <c r="F21214" s="1"/>
      <c r="G21214" s="1"/>
    </row>
    <row r="21215">
      <c r="B21215" s="36"/>
      <c r="C21215" s="36"/>
      <c r="E21215" s="1"/>
      <c r="F21215" s="1"/>
      <c r="G21215" s="1"/>
    </row>
    <row r="21216">
      <c r="B21216" s="36"/>
      <c r="C21216" s="36"/>
      <c r="E21216" s="1"/>
      <c r="F21216" s="1"/>
      <c r="G21216" s="1"/>
    </row>
    <row r="21217">
      <c r="B21217" s="36"/>
      <c r="C21217" s="36"/>
      <c r="E21217" s="1"/>
      <c r="F21217" s="1"/>
      <c r="G21217" s="1"/>
    </row>
    <row r="21218">
      <c r="B21218" s="36"/>
      <c r="C21218" s="36"/>
      <c r="E21218" s="1"/>
      <c r="F21218" s="1"/>
      <c r="G21218" s="1"/>
    </row>
    <row r="21219">
      <c r="B21219" s="36"/>
      <c r="C21219" s="36"/>
      <c r="E21219" s="1"/>
      <c r="F21219" s="1"/>
      <c r="G21219" s="1"/>
    </row>
    <row r="21220">
      <c r="B21220" s="36"/>
      <c r="C21220" s="36"/>
      <c r="E21220" s="1"/>
      <c r="F21220" s="1"/>
      <c r="G21220" s="1"/>
    </row>
    <row r="21221">
      <c r="B21221" s="36"/>
      <c r="C21221" s="36"/>
      <c r="E21221" s="1"/>
      <c r="F21221" s="1"/>
      <c r="G21221" s="1"/>
    </row>
    <row r="21222">
      <c r="B21222" s="36"/>
      <c r="C21222" s="36"/>
      <c r="E21222" s="1"/>
      <c r="F21222" s="1"/>
      <c r="G21222" s="1"/>
    </row>
    <row r="21223">
      <c r="B21223" s="36"/>
      <c r="C21223" s="36"/>
      <c r="E21223" s="1"/>
      <c r="F21223" s="1"/>
      <c r="G21223" s="1"/>
    </row>
    <row r="21224">
      <c r="B21224" s="36"/>
      <c r="C21224" s="36"/>
      <c r="E21224" s="1"/>
      <c r="F21224" s="1"/>
      <c r="G21224" s="1"/>
    </row>
    <row r="21225">
      <c r="B21225" s="36"/>
      <c r="C21225" s="36"/>
      <c r="E21225" s="1"/>
      <c r="F21225" s="1"/>
      <c r="G21225" s="1"/>
    </row>
    <row r="21226">
      <c r="B21226" s="36"/>
      <c r="C21226" s="36"/>
      <c r="E21226" s="1"/>
      <c r="F21226" s="1"/>
      <c r="G21226" s="1"/>
    </row>
    <row r="21227">
      <c r="B21227" s="36"/>
      <c r="C21227" s="36"/>
      <c r="E21227" s="1"/>
      <c r="F21227" s="1"/>
      <c r="G21227" s="1"/>
    </row>
    <row r="21228">
      <c r="B21228" s="36"/>
      <c r="C21228" s="36"/>
      <c r="E21228" s="1"/>
      <c r="F21228" s="1"/>
      <c r="G21228" s="1"/>
    </row>
    <row r="21229">
      <c r="B21229" s="36"/>
      <c r="C21229" s="36"/>
      <c r="E21229" s="1"/>
      <c r="F21229" s="1"/>
      <c r="G21229" s="1"/>
    </row>
    <row r="21230">
      <c r="B21230" s="36"/>
      <c r="C21230" s="36"/>
      <c r="E21230" s="1"/>
      <c r="F21230" s="1"/>
      <c r="G21230" s="1"/>
    </row>
    <row r="21231">
      <c r="B21231" s="36"/>
      <c r="C21231" s="36"/>
      <c r="E21231" s="1"/>
      <c r="F21231" s="1"/>
      <c r="G21231" s="1"/>
    </row>
    <row r="21232">
      <c r="B21232" s="36"/>
      <c r="C21232" s="36"/>
      <c r="E21232" s="1"/>
      <c r="F21232" s="1"/>
      <c r="G21232" s="1"/>
    </row>
    <row r="21233">
      <c r="B21233" s="36"/>
      <c r="C21233" s="36"/>
      <c r="E21233" s="1"/>
      <c r="F21233" s="1"/>
      <c r="G21233" s="1"/>
    </row>
    <row r="21234">
      <c r="B21234" s="36"/>
      <c r="C21234" s="36"/>
      <c r="E21234" s="1"/>
      <c r="F21234" s="1"/>
      <c r="G21234" s="1"/>
    </row>
    <row r="21235">
      <c r="B21235" s="36"/>
      <c r="C21235" s="36"/>
      <c r="E21235" s="1"/>
      <c r="F21235" s="1"/>
      <c r="G21235" s="1"/>
    </row>
    <row r="21236">
      <c r="B21236" s="36"/>
      <c r="C21236" s="36"/>
      <c r="E21236" s="1"/>
      <c r="F21236" s="1"/>
      <c r="G21236" s="1"/>
    </row>
    <row r="21237">
      <c r="B21237" s="36"/>
      <c r="C21237" s="36"/>
      <c r="E21237" s="1"/>
      <c r="F21237" s="1"/>
      <c r="G21237" s="1"/>
    </row>
    <row r="21238">
      <c r="B21238" s="36"/>
      <c r="C21238" s="36"/>
      <c r="E21238" s="1"/>
      <c r="F21238" s="1"/>
      <c r="G21238" s="1"/>
    </row>
    <row r="21239">
      <c r="B21239" s="36"/>
      <c r="C21239" s="36"/>
      <c r="E21239" s="1"/>
      <c r="F21239" s="1"/>
      <c r="G21239" s="1"/>
    </row>
    <row r="21240">
      <c r="B21240" s="36"/>
      <c r="C21240" s="36"/>
      <c r="E21240" s="1"/>
      <c r="F21240" s="1"/>
      <c r="G21240" s="1"/>
    </row>
    <row r="21241">
      <c r="B21241" s="36"/>
      <c r="C21241" s="36"/>
      <c r="E21241" s="1"/>
      <c r="F21241" s="1"/>
      <c r="G21241" s="1"/>
    </row>
    <row r="21242">
      <c r="B21242" s="36"/>
      <c r="C21242" s="36"/>
      <c r="E21242" s="1"/>
      <c r="F21242" s="1"/>
      <c r="G21242" s="1"/>
    </row>
    <row r="21243">
      <c r="B21243" s="36"/>
      <c r="C21243" s="36"/>
      <c r="E21243" s="1"/>
      <c r="F21243" s="1"/>
      <c r="G21243" s="1"/>
    </row>
    <row r="21244">
      <c r="B21244" s="36"/>
      <c r="C21244" s="36"/>
      <c r="E21244" s="1"/>
      <c r="F21244" s="1"/>
      <c r="G21244" s="1"/>
    </row>
    <row r="21245">
      <c r="B21245" s="36"/>
      <c r="C21245" s="36"/>
      <c r="E21245" s="1"/>
      <c r="F21245" s="1"/>
      <c r="G21245" s="1"/>
    </row>
    <row r="21246">
      <c r="B21246" s="36"/>
      <c r="C21246" s="36"/>
      <c r="E21246" s="1"/>
      <c r="F21246" s="1"/>
      <c r="G21246" s="1"/>
    </row>
    <row r="21247">
      <c r="B21247" s="36"/>
      <c r="C21247" s="36"/>
      <c r="E21247" s="1"/>
      <c r="F21247" s="1"/>
      <c r="G21247" s="1"/>
    </row>
    <row r="21248">
      <c r="B21248" s="36"/>
      <c r="C21248" s="36"/>
      <c r="E21248" s="1"/>
      <c r="F21248" s="1"/>
      <c r="G21248" s="1"/>
    </row>
    <row r="21249">
      <c r="B21249" s="36"/>
      <c r="C21249" s="36"/>
      <c r="E21249" s="1"/>
      <c r="F21249" s="1"/>
      <c r="G21249" s="1"/>
    </row>
    <row r="21250">
      <c r="B21250" s="36"/>
      <c r="C21250" s="36"/>
      <c r="E21250" s="1"/>
      <c r="F21250" s="1"/>
      <c r="G21250" s="1"/>
    </row>
    <row r="21251">
      <c r="B21251" s="36"/>
      <c r="C21251" s="36"/>
      <c r="E21251" s="1"/>
      <c r="F21251" s="1"/>
      <c r="G21251" s="1"/>
    </row>
    <row r="21252">
      <c r="B21252" s="36"/>
      <c r="C21252" s="36"/>
      <c r="E21252" s="1"/>
      <c r="F21252" s="1"/>
      <c r="G21252" s="1"/>
    </row>
    <row r="21253">
      <c r="B21253" s="36"/>
      <c r="C21253" s="36"/>
      <c r="E21253" s="1"/>
      <c r="F21253" s="1"/>
      <c r="G21253" s="1"/>
    </row>
    <row r="21254">
      <c r="B21254" s="36"/>
      <c r="C21254" s="36"/>
      <c r="E21254" s="1"/>
      <c r="F21254" s="1"/>
      <c r="G21254" s="1"/>
    </row>
    <row r="21255">
      <c r="B21255" s="36"/>
      <c r="C21255" s="36"/>
      <c r="E21255" s="1"/>
      <c r="F21255" s="1"/>
      <c r="G21255" s="1"/>
    </row>
    <row r="21256">
      <c r="B21256" s="36"/>
      <c r="C21256" s="36"/>
      <c r="E21256" s="1"/>
      <c r="F21256" s="1"/>
      <c r="G21256" s="1"/>
    </row>
    <row r="21257">
      <c r="B21257" s="36"/>
      <c r="C21257" s="36"/>
      <c r="E21257" s="1"/>
      <c r="F21257" s="1"/>
      <c r="G21257" s="1"/>
    </row>
    <row r="21258">
      <c r="B21258" s="36"/>
      <c r="C21258" s="36"/>
      <c r="E21258" s="1"/>
      <c r="F21258" s="1"/>
      <c r="G21258" s="1"/>
    </row>
    <row r="21259">
      <c r="B21259" s="36"/>
      <c r="C21259" s="36"/>
      <c r="E21259" s="1"/>
      <c r="F21259" s="1"/>
      <c r="G21259" s="1"/>
    </row>
    <row r="21260">
      <c r="B21260" s="36"/>
      <c r="C21260" s="36"/>
      <c r="E21260" s="1"/>
      <c r="F21260" s="1"/>
      <c r="G21260" s="1"/>
    </row>
    <row r="21261">
      <c r="B21261" s="36"/>
      <c r="C21261" s="36"/>
      <c r="E21261" s="1"/>
      <c r="F21261" s="1"/>
      <c r="G21261" s="1"/>
    </row>
    <row r="21262">
      <c r="B21262" s="36"/>
      <c r="C21262" s="36"/>
      <c r="E21262" s="1"/>
      <c r="F21262" s="1"/>
      <c r="G21262" s="1"/>
    </row>
    <row r="21263">
      <c r="B21263" s="36"/>
      <c r="C21263" s="36"/>
      <c r="E21263" s="1"/>
      <c r="F21263" s="1"/>
      <c r="G21263" s="1"/>
    </row>
    <row r="21264">
      <c r="B21264" s="36"/>
      <c r="C21264" s="36"/>
      <c r="E21264" s="1"/>
      <c r="F21264" s="1"/>
      <c r="G21264" s="1"/>
    </row>
    <row r="21265">
      <c r="B21265" s="36"/>
      <c r="C21265" s="36"/>
      <c r="E21265" s="1"/>
      <c r="F21265" s="1"/>
      <c r="G21265" s="1"/>
    </row>
    <row r="21266">
      <c r="B21266" s="36"/>
      <c r="C21266" s="36"/>
      <c r="E21266" s="1"/>
      <c r="F21266" s="1"/>
      <c r="G21266" s="1"/>
    </row>
    <row r="21267">
      <c r="B21267" s="36"/>
      <c r="C21267" s="36"/>
      <c r="E21267" s="1"/>
      <c r="F21267" s="1"/>
      <c r="G21267" s="1"/>
    </row>
    <row r="21268">
      <c r="B21268" s="36"/>
      <c r="C21268" s="36"/>
      <c r="E21268" s="1"/>
      <c r="F21268" s="1"/>
      <c r="G21268" s="1"/>
    </row>
    <row r="21269">
      <c r="B21269" s="36"/>
      <c r="C21269" s="36"/>
      <c r="E21269" s="1"/>
      <c r="F21269" s="1"/>
      <c r="G21269" s="1"/>
    </row>
    <row r="21270">
      <c r="B21270" s="36"/>
      <c r="C21270" s="36"/>
      <c r="E21270" s="1"/>
      <c r="F21270" s="1"/>
      <c r="G21270" s="1"/>
    </row>
    <row r="21271">
      <c r="B21271" s="36"/>
      <c r="C21271" s="36"/>
      <c r="E21271" s="1"/>
      <c r="F21271" s="1"/>
      <c r="G21271" s="1"/>
    </row>
    <row r="21272">
      <c r="B21272" s="36"/>
      <c r="C21272" s="36"/>
      <c r="E21272" s="1"/>
      <c r="F21272" s="1"/>
      <c r="G21272" s="1"/>
    </row>
    <row r="21273">
      <c r="B21273" s="36"/>
      <c r="C21273" s="36"/>
      <c r="E21273" s="1"/>
      <c r="F21273" s="1"/>
      <c r="G21273" s="1"/>
    </row>
    <row r="21274">
      <c r="B21274" s="36"/>
      <c r="C21274" s="36"/>
      <c r="E21274" s="1"/>
      <c r="F21274" s="1"/>
      <c r="G21274" s="1"/>
    </row>
    <row r="21275">
      <c r="B21275" s="36"/>
      <c r="C21275" s="36"/>
      <c r="E21275" s="1"/>
      <c r="F21275" s="1"/>
      <c r="G21275" s="1"/>
    </row>
    <row r="21276">
      <c r="B21276" s="36"/>
      <c r="C21276" s="36"/>
      <c r="E21276" s="1"/>
      <c r="F21276" s="1"/>
      <c r="G21276" s="1"/>
    </row>
    <row r="21277">
      <c r="B21277" s="36"/>
      <c r="C21277" s="36"/>
      <c r="E21277" s="1"/>
      <c r="F21277" s="1"/>
      <c r="G21277" s="1"/>
    </row>
    <row r="21278">
      <c r="B21278" s="36"/>
      <c r="C21278" s="36"/>
      <c r="E21278" s="1"/>
      <c r="F21278" s="1"/>
      <c r="G21278" s="1"/>
    </row>
    <row r="21279">
      <c r="B21279" s="36"/>
      <c r="C21279" s="36"/>
      <c r="E21279" s="1"/>
      <c r="F21279" s="1"/>
      <c r="G21279" s="1"/>
    </row>
    <row r="21280">
      <c r="B21280" s="36"/>
      <c r="C21280" s="36"/>
      <c r="E21280" s="1"/>
      <c r="F21280" s="1"/>
      <c r="G21280" s="1"/>
    </row>
    <row r="21281">
      <c r="B21281" s="36"/>
      <c r="C21281" s="36"/>
      <c r="E21281" s="1"/>
      <c r="F21281" s="1"/>
      <c r="G21281" s="1"/>
    </row>
    <row r="21282">
      <c r="B21282" s="36"/>
      <c r="C21282" s="36"/>
      <c r="E21282" s="1"/>
      <c r="F21282" s="1"/>
      <c r="G21282" s="1"/>
    </row>
    <row r="21283">
      <c r="B21283" s="36"/>
      <c r="C21283" s="36"/>
      <c r="E21283" s="1"/>
      <c r="F21283" s="1"/>
      <c r="G21283" s="1"/>
    </row>
    <row r="21284">
      <c r="B21284" s="36"/>
      <c r="C21284" s="36"/>
      <c r="E21284" s="1"/>
      <c r="F21284" s="1"/>
      <c r="G21284" s="1"/>
    </row>
    <row r="21285">
      <c r="B21285" s="36"/>
      <c r="C21285" s="36"/>
      <c r="E21285" s="1"/>
      <c r="F21285" s="1"/>
      <c r="G21285" s="1"/>
    </row>
    <row r="21286">
      <c r="B21286" s="36"/>
      <c r="C21286" s="36"/>
      <c r="E21286" s="1"/>
      <c r="F21286" s="1"/>
      <c r="G21286" s="1"/>
    </row>
    <row r="21287">
      <c r="B21287" s="36"/>
      <c r="C21287" s="36"/>
      <c r="E21287" s="1"/>
      <c r="F21287" s="1"/>
      <c r="G21287" s="1"/>
    </row>
    <row r="21288">
      <c r="B21288" s="36"/>
      <c r="C21288" s="36"/>
      <c r="E21288" s="1"/>
      <c r="F21288" s="1"/>
      <c r="G21288" s="1"/>
    </row>
    <row r="21289">
      <c r="B21289" s="36"/>
      <c r="C21289" s="36"/>
      <c r="E21289" s="1"/>
      <c r="F21289" s="1"/>
      <c r="G21289" s="1"/>
    </row>
    <row r="21290">
      <c r="B21290" s="36"/>
      <c r="C21290" s="36"/>
      <c r="E21290" s="1"/>
      <c r="F21290" s="1"/>
      <c r="G21290" s="1"/>
    </row>
    <row r="21291">
      <c r="B21291" s="36"/>
      <c r="C21291" s="36"/>
      <c r="E21291" s="1"/>
      <c r="F21291" s="1"/>
      <c r="G21291" s="1"/>
    </row>
    <row r="21292">
      <c r="B21292" s="36"/>
      <c r="C21292" s="36"/>
      <c r="E21292" s="1"/>
      <c r="F21292" s="1"/>
      <c r="G21292" s="1"/>
    </row>
    <row r="21293">
      <c r="B21293" s="36"/>
      <c r="C21293" s="36"/>
      <c r="E21293" s="1"/>
      <c r="F21293" s="1"/>
      <c r="G21293" s="1"/>
    </row>
    <row r="21294">
      <c r="B21294" s="36"/>
      <c r="C21294" s="36"/>
      <c r="E21294" s="1"/>
      <c r="F21294" s="1"/>
      <c r="G21294" s="1"/>
    </row>
    <row r="21295">
      <c r="B21295" s="36"/>
      <c r="C21295" s="36"/>
      <c r="E21295" s="1"/>
      <c r="F21295" s="1"/>
      <c r="G21295" s="1"/>
    </row>
    <row r="21296">
      <c r="B21296" s="36"/>
      <c r="C21296" s="36"/>
      <c r="E21296" s="1"/>
      <c r="F21296" s="1"/>
      <c r="G21296" s="1"/>
    </row>
    <row r="21297">
      <c r="B21297" s="36"/>
      <c r="C21297" s="36"/>
      <c r="E21297" s="1"/>
      <c r="F21297" s="1"/>
      <c r="G21297" s="1"/>
    </row>
    <row r="21298">
      <c r="B21298" s="36"/>
      <c r="C21298" s="36"/>
      <c r="E21298" s="1"/>
      <c r="F21298" s="1"/>
      <c r="G21298" s="1"/>
    </row>
    <row r="21299">
      <c r="B21299" s="36"/>
      <c r="C21299" s="36"/>
      <c r="E21299" s="1"/>
      <c r="F21299" s="1"/>
      <c r="G21299" s="1"/>
    </row>
    <row r="21300">
      <c r="B21300" s="36"/>
      <c r="C21300" s="36"/>
      <c r="E21300" s="1"/>
      <c r="F21300" s="1"/>
      <c r="G21300" s="1"/>
    </row>
    <row r="21301">
      <c r="B21301" s="36"/>
      <c r="C21301" s="36"/>
      <c r="E21301" s="1"/>
      <c r="F21301" s="1"/>
      <c r="G21301" s="1"/>
    </row>
    <row r="21302">
      <c r="B21302" s="36"/>
      <c r="C21302" s="36"/>
      <c r="E21302" s="1"/>
      <c r="F21302" s="1"/>
      <c r="G21302" s="1"/>
    </row>
    <row r="21303">
      <c r="B21303" s="36"/>
      <c r="C21303" s="36"/>
      <c r="E21303" s="1"/>
      <c r="F21303" s="1"/>
      <c r="G21303" s="1"/>
    </row>
    <row r="21304">
      <c r="B21304" s="36"/>
      <c r="C21304" s="36"/>
      <c r="E21304" s="1"/>
      <c r="F21304" s="1"/>
      <c r="G21304" s="1"/>
    </row>
    <row r="21305">
      <c r="B21305" s="36"/>
      <c r="C21305" s="36"/>
      <c r="E21305" s="1"/>
      <c r="F21305" s="1"/>
      <c r="G21305" s="1"/>
    </row>
    <row r="21306">
      <c r="B21306" s="36"/>
      <c r="C21306" s="36"/>
      <c r="E21306" s="1"/>
      <c r="F21306" s="1"/>
      <c r="G21306" s="1"/>
    </row>
    <row r="21307">
      <c r="B21307" s="36"/>
      <c r="C21307" s="36"/>
      <c r="E21307" s="1"/>
      <c r="F21307" s="1"/>
      <c r="G21307" s="1"/>
    </row>
    <row r="21308">
      <c r="B21308" s="36"/>
      <c r="C21308" s="36"/>
      <c r="E21308" s="1"/>
      <c r="F21308" s="1"/>
      <c r="G21308" s="1"/>
    </row>
    <row r="21309">
      <c r="B21309" s="36"/>
      <c r="C21309" s="36"/>
      <c r="E21309" s="1"/>
      <c r="F21309" s="1"/>
      <c r="G21309" s="1"/>
    </row>
    <row r="21310">
      <c r="B21310" s="36"/>
      <c r="C21310" s="36"/>
      <c r="E21310" s="1"/>
      <c r="F21310" s="1"/>
      <c r="G21310" s="1"/>
    </row>
    <row r="21311">
      <c r="B21311" s="36"/>
      <c r="C21311" s="36"/>
      <c r="E21311" s="1"/>
      <c r="F21311" s="1"/>
      <c r="G21311" s="1"/>
    </row>
    <row r="21312">
      <c r="B21312" s="36"/>
      <c r="C21312" s="36"/>
      <c r="E21312" s="1"/>
      <c r="F21312" s="1"/>
      <c r="G21312" s="1"/>
    </row>
    <row r="21313">
      <c r="B21313" s="36"/>
      <c r="C21313" s="36"/>
      <c r="E21313" s="1"/>
      <c r="F21313" s="1"/>
      <c r="G21313" s="1"/>
    </row>
    <row r="21314">
      <c r="B21314" s="36"/>
      <c r="C21314" s="36"/>
      <c r="E21314" s="1"/>
      <c r="F21314" s="1"/>
      <c r="G21314" s="1"/>
    </row>
    <row r="21315">
      <c r="B21315" s="36"/>
      <c r="C21315" s="36"/>
      <c r="E21315" s="1"/>
      <c r="F21315" s="1"/>
      <c r="G21315" s="1"/>
    </row>
    <row r="21316">
      <c r="B21316" s="36"/>
      <c r="C21316" s="36"/>
      <c r="E21316" s="1"/>
      <c r="F21316" s="1"/>
      <c r="G21316" s="1"/>
    </row>
    <row r="21317">
      <c r="B21317" s="36"/>
      <c r="C21317" s="36"/>
      <c r="E21317" s="1"/>
      <c r="F21317" s="1"/>
      <c r="G21317" s="1"/>
    </row>
    <row r="21318">
      <c r="B21318" s="36"/>
      <c r="C21318" s="36"/>
      <c r="E21318" s="1"/>
      <c r="F21318" s="1"/>
      <c r="G21318" s="1"/>
    </row>
    <row r="21319">
      <c r="B21319" s="36"/>
      <c r="C21319" s="36"/>
      <c r="E21319" s="1"/>
      <c r="F21319" s="1"/>
      <c r="G21319" s="1"/>
    </row>
    <row r="21320">
      <c r="B21320" s="36"/>
      <c r="C21320" s="36"/>
      <c r="E21320" s="1"/>
      <c r="F21320" s="1"/>
      <c r="G21320" s="1"/>
    </row>
    <row r="21321">
      <c r="B21321" s="36"/>
      <c r="C21321" s="36"/>
      <c r="E21321" s="1"/>
      <c r="F21321" s="1"/>
      <c r="G21321" s="1"/>
    </row>
    <row r="21322">
      <c r="B21322" s="36"/>
      <c r="C21322" s="36"/>
      <c r="E21322" s="1"/>
      <c r="F21322" s="1"/>
      <c r="G21322" s="1"/>
    </row>
    <row r="21323">
      <c r="B21323" s="36"/>
      <c r="C21323" s="36"/>
      <c r="E21323" s="1"/>
      <c r="F21323" s="1"/>
      <c r="G21323" s="1"/>
    </row>
    <row r="21324">
      <c r="B21324" s="36"/>
      <c r="C21324" s="36"/>
      <c r="E21324" s="1"/>
      <c r="F21324" s="1"/>
      <c r="G21324" s="1"/>
    </row>
    <row r="21325">
      <c r="B21325" s="36"/>
      <c r="C21325" s="36"/>
      <c r="E21325" s="1"/>
      <c r="F21325" s="1"/>
      <c r="G21325" s="1"/>
    </row>
    <row r="21326">
      <c r="B21326" s="36"/>
      <c r="C21326" s="36"/>
      <c r="E21326" s="1"/>
      <c r="F21326" s="1"/>
      <c r="G21326" s="1"/>
    </row>
    <row r="21327">
      <c r="B21327" s="36"/>
      <c r="C21327" s="36"/>
      <c r="E21327" s="1"/>
      <c r="F21327" s="1"/>
      <c r="G21327" s="1"/>
    </row>
    <row r="21328">
      <c r="B21328" s="36"/>
      <c r="C21328" s="36"/>
      <c r="E21328" s="1"/>
      <c r="F21328" s="1"/>
      <c r="G21328" s="1"/>
    </row>
    <row r="21329">
      <c r="B21329" s="36"/>
      <c r="C21329" s="36"/>
      <c r="E21329" s="1"/>
      <c r="F21329" s="1"/>
      <c r="G21329" s="1"/>
    </row>
    <row r="21330">
      <c r="B21330" s="36"/>
      <c r="C21330" s="36"/>
      <c r="E21330" s="1"/>
      <c r="F21330" s="1"/>
      <c r="G21330" s="1"/>
    </row>
    <row r="21331">
      <c r="B21331" s="36"/>
      <c r="C21331" s="36"/>
      <c r="E21331" s="1"/>
      <c r="F21331" s="1"/>
      <c r="G21331" s="1"/>
    </row>
    <row r="21332">
      <c r="B21332" s="36"/>
      <c r="C21332" s="36"/>
      <c r="E21332" s="1"/>
      <c r="F21332" s="1"/>
      <c r="G21332" s="1"/>
    </row>
    <row r="21333">
      <c r="B21333" s="36"/>
      <c r="C21333" s="36"/>
      <c r="E21333" s="1"/>
      <c r="F21333" s="1"/>
      <c r="G21333" s="1"/>
    </row>
    <row r="21334">
      <c r="B21334" s="36"/>
      <c r="C21334" s="36"/>
      <c r="E21334" s="1"/>
      <c r="F21334" s="1"/>
      <c r="G21334" s="1"/>
    </row>
    <row r="21335">
      <c r="B21335" s="36"/>
      <c r="C21335" s="36"/>
      <c r="E21335" s="1"/>
      <c r="F21335" s="1"/>
      <c r="G21335" s="1"/>
    </row>
    <row r="21336">
      <c r="B21336" s="36"/>
      <c r="C21336" s="36"/>
      <c r="E21336" s="1"/>
      <c r="F21336" s="1"/>
      <c r="G21336" s="1"/>
    </row>
    <row r="21337">
      <c r="B21337" s="36"/>
      <c r="C21337" s="36"/>
      <c r="E21337" s="1"/>
      <c r="F21337" s="1"/>
      <c r="G21337" s="1"/>
    </row>
    <row r="21338">
      <c r="B21338" s="36"/>
      <c r="C21338" s="36"/>
      <c r="E21338" s="1"/>
      <c r="F21338" s="1"/>
      <c r="G21338" s="1"/>
    </row>
    <row r="21339">
      <c r="B21339" s="36"/>
      <c r="C21339" s="36"/>
      <c r="E21339" s="1"/>
      <c r="F21339" s="1"/>
      <c r="G21339" s="1"/>
    </row>
    <row r="21340">
      <c r="B21340" s="36"/>
      <c r="C21340" s="36"/>
      <c r="E21340" s="1"/>
      <c r="F21340" s="1"/>
      <c r="G21340" s="1"/>
    </row>
    <row r="21341">
      <c r="B21341" s="36"/>
      <c r="C21341" s="36"/>
      <c r="E21341" s="1"/>
      <c r="F21341" s="1"/>
      <c r="G21341" s="1"/>
    </row>
    <row r="21342">
      <c r="B21342" s="36"/>
      <c r="C21342" s="36"/>
      <c r="E21342" s="1"/>
      <c r="F21342" s="1"/>
      <c r="G21342" s="1"/>
    </row>
    <row r="21343">
      <c r="B21343" s="36"/>
      <c r="C21343" s="36"/>
      <c r="E21343" s="1"/>
      <c r="F21343" s="1"/>
      <c r="G21343" s="1"/>
    </row>
    <row r="21344">
      <c r="B21344" s="36"/>
      <c r="C21344" s="36"/>
      <c r="E21344" s="1"/>
      <c r="F21344" s="1"/>
      <c r="G21344" s="1"/>
    </row>
    <row r="21345">
      <c r="B21345" s="36"/>
      <c r="C21345" s="36"/>
      <c r="E21345" s="1"/>
      <c r="F21345" s="1"/>
      <c r="G21345" s="1"/>
    </row>
    <row r="21346">
      <c r="B21346" s="36"/>
      <c r="C21346" s="36"/>
      <c r="E21346" s="1"/>
      <c r="F21346" s="1"/>
      <c r="G21346" s="1"/>
    </row>
    <row r="21347">
      <c r="B21347" s="36"/>
      <c r="C21347" s="36"/>
      <c r="E21347" s="1"/>
      <c r="F21347" s="1"/>
      <c r="G21347" s="1"/>
    </row>
    <row r="21348">
      <c r="B21348" s="36"/>
      <c r="C21348" s="36"/>
      <c r="E21348" s="1"/>
      <c r="F21348" s="1"/>
      <c r="G21348" s="1"/>
    </row>
    <row r="21349">
      <c r="B21349" s="36"/>
      <c r="C21349" s="36"/>
      <c r="E21349" s="1"/>
      <c r="F21349" s="1"/>
      <c r="G21349" s="1"/>
    </row>
    <row r="21350">
      <c r="B21350" s="36"/>
      <c r="C21350" s="36"/>
      <c r="E21350" s="1"/>
      <c r="F21350" s="1"/>
      <c r="G21350" s="1"/>
    </row>
    <row r="21351">
      <c r="B21351" s="36"/>
      <c r="C21351" s="36"/>
      <c r="E21351" s="1"/>
      <c r="F21351" s="1"/>
      <c r="G21351" s="1"/>
    </row>
    <row r="21352">
      <c r="B21352" s="36"/>
      <c r="C21352" s="36"/>
      <c r="E21352" s="1"/>
      <c r="F21352" s="1"/>
      <c r="G21352" s="1"/>
    </row>
    <row r="21353">
      <c r="B21353" s="36"/>
      <c r="C21353" s="36"/>
      <c r="E21353" s="1"/>
      <c r="F21353" s="1"/>
      <c r="G21353" s="1"/>
    </row>
    <row r="21354">
      <c r="B21354" s="36"/>
      <c r="C21354" s="36"/>
      <c r="E21354" s="1"/>
      <c r="F21354" s="1"/>
      <c r="G21354" s="1"/>
    </row>
    <row r="21355">
      <c r="B21355" s="36"/>
      <c r="C21355" s="36"/>
      <c r="E21355" s="1"/>
      <c r="F21355" s="1"/>
      <c r="G21355" s="1"/>
    </row>
    <row r="21356">
      <c r="B21356" s="36"/>
      <c r="C21356" s="36"/>
      <c r="E21356" s="1"/>
      <c r="F21356" s="1"/>
      <c r="G21356" s="1"/>
    </row>
    <row r="21357">
      <c r="B21357" s="36"/>
      <c r="C21357" s="36"/>
      <c r="E21357" s="1"/>
      <c r="F21357" s="1"/>
      <c r="G21357" s="1"/>
    </row>
    <row r="21358">
      <c r="B21358" s="36"/>
      <c r="C21358" s="36"/>
      <c r="E21358" s="1"/>
      <c r="F21358" s="1"/>
      <c r="G21358" s="1"/>
    </row>
    <row r="21359">
      <c r="B21359" s="36"/>
      <c r="C21359" s="36"/>
      <c r="E21359" s="1"/>
      <c r="F21359" s="1"/>
      <c r="G21359" s="1"/>
    </row>
    <row r="21360">
      <c r="B21360" s="36"/>
      <c r="C21360" s="36"/>
      <c r="E21360" s="1"/>
      <c r="F21360" s="1"/>
      <c r="G21360" s="1"/>
    </row>
    <row r="21361">
      <c r="B21361" s="36"/>
      <c r="C21361" s="36"/>
      <c r="E21361" s="1"/>
      <c r="F21361" s="1"/>
      <c r="G21361" s="1"/>
    </row>
    <row r="21362">
      <c r="B21362" s="36"/>
      <c r="C21362" s="36"/>
      <c r="E21362" s="1"/>
      <c r="F21362" s="1"/>
      <c r="G21362" s="1"/>
    </row>
    <row r="21363">
      <c r="B21363" s="36"/>
      <c r="C21363" s="36"/>
      <c r="E21363" s="1"/>
      <c r="F21363" s="1"/>
      <c r="G21363" s="1"/>
    </row>
    <row r="21364">
      <c r="B21364" s="36"/>
      <c r="C21364" s="36"/>
      <c r="E21364" s="1"/>
      <c r="F21364" s="1"/>
      <c r="G21364" s="1"/>
    </row>
    <row r="21365">
      <c r="B21365" s="36"/>
      <c r="C21365" s="36"/>
      <c r="E21365" s="1"/>
      <c r="F21365" s="1"/>
      <c r="G21365" s="1"/>
    </row>
    <row r="21366">
      <c r="B21366" s="36"/>
      <c r="C21366" s="36"/>
      <c r="E21366" s="1"/>
      <c r="F21366" s="1"/>
      <c r="G21366" s="1"/>
    </row>
    <row r="21367">
      <c r="B21367" s="36"/>
      <c r="C21367" s="36"/>
      <c r="E21367" s="1"/>
      <c r="F21367" s="1"/>
      <c r="G21367" s="1"/>
    </row>
    <row r="21368">
      <c r="B21368" s="36"/>
      <c r="C21368" s="36"/>
      <c r="E21368" s="1"/>
      <c r="F21368" s="1"/>
      <c r="G21368" s="1"/>
    </row>
    <row r="21369">
      <c r="B21369" s="36"/>
      <c r="C21369" s="36"/>
      <c r="E21369" s="1"/>
      <c r="F21369" s="1"/>
      <c r="G21369" s="1"/>
    </row>
    <row r="21370">
      <c r="B21370" s="36"/>
      <c r="C21370" s="36"/>
      <c r="E21370" s="1"/>
      <c r="F21370" s="1"/>
      <c r="G21370" s="1"/>
    </row>
    <row r="21371">
      <c r="B21371" s="36"/>
      <c r="C21371" s="36"/>
      <c r="E21371" s="1"/>
      <c r="F21371" s="1"/>
      <c r="G21371" s="1"/>
    </row>
    <row r="21372">
      <c r="B21372" s="36"/>
      <c r="C21372" s="36"/>
      <c r="E21372" s="1"/>
      <c r="F21372" s="1"/>
      <c r="G21372" s="1"/>
    </row>
    <row r="21373">
      <c r="B21373" s="36"/>
      <c r="C21373" s="36"/>
      <c r="E21373" s="1"/>
      <c r="F21373" s="1"/>
      <c r="G21373" s="1"/>
    </row>
    <row r="21374">
      <c r="B21374" s="36"/>
      <c r="C21374" s="36"/>
      <c r="E21374" s="1"/>
      <c r="F21374" s="1"/>
      <c r="G21374" s="1"/>
    </row>
    <row r="21375">
      <c r="B21375" s="36"/>
      <c r="C21375" s="36"/>
      <c r="E21375" s="1"/>
      <c r="F21375" s="1"/>
      <c r="G21375" s="1"/>
    </row>
    <row r="21376">
      <c r="B21376" s="36"/>
      <c r="C21376" s="36"/>
      <c r="E21376" s="1"/>
      <c r="F21376" s="1"/>
      <c r="G21376" s="1"/>
    </row>
    <row r="21377">
      <c r="B21377" s="36"/>
      <c r="C21377" s="36"/>
      <c r="E21377" s="1"/>
      <c r="F21377" s="1"/>
      <c r="G21377" s="1"/>
    </row>
    <row r="21378">
      <c r="B21378" s="36"/>
      <c r="C21378" s="36"/>
      <c r="E21378" s="1"/>
      <c r="F21378" s="1"/>
      <c r="G21378" s="1"/>
    </row>
    <row r="21379">
      <c r="B21379" s="36"/>
      <c r="C21379" s="36"/>
      <c r="E21379" s="1"/>
      <c r="F21379" s="1"/>
      <c r="G21379" s="1"/>
    </row>
    <row r="21380">
      <c r="B21380" s="36"/>
      <c r="C21380" s="36"/>
      <c r="E21380" s="1"/>
      <c r="F21380" s="1"/>
      <c r="G21380" s="1"/>
    </row>
    <row r="21381">
      <c r="B21381" s="36"/>
      <c r="C21381" s="36"/>
      <c r="E21381" s="1"/>
      <c r="F21381" s="1"/>
      <c r="G21381" s="1"/>
    </row>
    <row r="21382">
      <c r="B21382" s="36"/>
      <c r="C21382" s="36"/>
      <c r="E21382" s="1"/>
      <c r="F21382" s="1"/>
      <c r="G21382" s="1"/>
    </row>
    <row r="21383">
      <c r="B21383" s="36"/>
      <c r="C21383" s="36"/>
      <c r="E21383" s="1"/>
      <c r="F21383" s="1"/>
      <c r="G21383" s="1"/>
    </row>
    <row r="21384">
      <c r="B21384" s="36"/>
      <c r="C21384" s="36"/>
      <c r="E21384" s="1"/>
      <c r="F21384" s="1"/>
      <c r="G21384" s="1"/>
    </row>
    <row r="21385">
      <c r="B21385" s="36"/>
      <c r="C21385" s="36"/>
      <c r="E21385" s="1"/>
      <c r="F21385" s="1"/>
      <c r="G21385" s="1"/>
    </row>
    <row r="21386">
      <c r="B21386" s="36"/>
      <c r="C21386" s="36"/>
      <c r="E21386" s="1"/>
      <c r="F21386" s="1"/>
      <c r="G21386" s="1"/>
    </row>
    <row r="21387">
      <c r="B21387" s="36"/>
      <c r="C21387" s="36"/>
      <c r="E21387" s="1"/>
      <c r="F21387" s="1"/>
      <c r="G21387" s="1"/>
    </row>
    <row r="21388">
      <c r="B21388" s="36"/>
      <c r="C21388" s="36"/>
      <c r="E21388" s="1"/>
      <c r="F21388" s="1"/>
      <c r="G21388" s="1"/>
    </row>
    <row r="21389">
      <c r="B21389" s="36"/>
      <c r="C21389" s="36"/>
      <c r="E21389" s="1"/>
      <c r="F21389" s="1"/>
      <c r="G21389" s="1"/>
    </row>
    <row r="21390">
      <c r="B21390" s="36"/>
      <c r="C21390" s="36"/>
      <c r="E21390" s="1"/>
      <c r="F21390" s="1"/>
      <c r="G21390" s="1"/>
    </row>
    <row r="21391">
      <c r="B21391" s="36"/>
      <c r="C21391" s="36"/>
      <c r="E21391" s="1"/>
      <c r="F21391" s="1"/>
      <c r="G21391" s="1"/>
    </row>
    <row r="21392">
      <c r="B21392" s="36"/>
      <c r="C21392" s="36"/>
      <c r="E21392" s="1"/>
      <c r="F21392" s="1"/>
      <c r="G21392" s="1"/>
    </row>
    <row r="21393">
      <c r="B21393" s="36"/>
      <c r="C21393" s="36"/>
      <c r="E21393" s="1"/>
      <c r="F21393" s="1"/>
      <c r="G21393" s="1"/>
    </row>
    <row r="21394">
      <c r="B21394" s="36"/>
      <c r="C21394" s="36"/>
      <c r="E21394" s="1"/>
      <c r="F21394" s="1"/>
      <c r="G21394" s="1"/>
    </row>
    <row r="21395">
      <c r="B21395" s="36"/>
      <c r="C21395" s="36"/>
      <c r="E21395" s="1"/>
      <c r="F21395" s="1"/>
      <c r="G21395" s="1"/>
    </row>
    <row r="21396">
      <c r="B21396" s="36"/>
      <c r="C21396" s="36"/>
      <c r="E21396" s="1"/>
      <c r="F21396" s="1"/>
      <c r="G21396" s="1"/>
    </row>
    <row r="21397">
      <c r="B21397" s="36"/>
      <c r="C21397" s="36"/>
      <c r="E21397" s="1"/>
      <c r="F21397" s="1"/>
      <c r="G21397" s="1"/>
    </row>
    <row r="21398">
      <c r="B21398" s="36"/>
      <c r="C21398" s="36"/>
      <c r="E21398" s="1"/>
      <c r="F21398" s="1"/>
      <c r="G21398" s="1"/>
    </row>
    <row r="21399">
      <c r="B21399" s="36"/>
      <c r="C21399" s="36"/>
      <c r="E21399" s="1"/>
      <c r="F21399" s="1"/>
      <c r="G21399" s="1"/>
    </row>
    <row r="21400">
      <c r="B21400" s="36"/>
      <c r="C21400" s="36"/>
      <c r="E21400" s="1"/>
      <c r="F21400" s="1"/>
      <c r="G21400" s="1"/>
    </row>
    <row r="21401">
      <c r="B21401" s="36"/>
      <c r="C21401" s="36"/>
      <c r="E21401" s="1"/>
      <c r="F21401" s="1"/>
      <c r="G21401" s="1"/>
    </row>
    <row r="21402">
      <c r="B21402" s="36"/>
      <c r="C21402" s="36"/>
      <c r="E21402" s="1"/>
      <c r="F21402" s="1"/>
      <c r="G21402" s="1"/>
    </row>
    <row r="21403">
      <c r="B21403" s="36"/>
      <c r="C21403" s="36"/>
      <c r="E21403" s="1"/>
      <c r="F21403" s="1"/>
      <c r="G21403" s="1"/>
    </row>
    <row r="21404">
      <c r="B21404" s="36"/>
      <c r="C21404" s="36"/>
      <c r="E21404" s="1"/>
      <c r="F21404" s="1"/>
      <c r="G21404" s="1"/>
    </row>
    <row r="21405">
      <c r="B21405" s="36"/>
      <c r="C21405" s="36"/>
      <c r="E21405" s="1"/>
      <c r="F21405" s="1"/>
      <c r="G21405" s="1"/>
    </row>
    <row r="21406">
      <c r="B21406" s="36"/>
      <c r="C21406" s="36"/>
      <c r="E21406" s="1"/>
      <c r="F21406" s="1"/>
      <c r="G21406" s="1"/>
    </row>
    <row r="21407">
      <c r="B21407" s="36"/>
      <c r="C21407" s="36"/>
      <c r="E21407" s="1"/>
      <c r="F21407" s="1"/>
      <c r="G21407" s="1"/>
    </row>
    <row r="21408">
      <c r="B21408" s="36"/>
      <c r="C21408" s="36"/>
      <c r="E21408" s="1"/>
      <c r="F21408" s="1"/>
      <c r="G21408" s="1"/>
    </row>
    <row r="21409">
      <c r="B21409" s="36"/>
      <c r="C21409" s="36"/>
      <c r="E21409" s="1"/>
      <c r="F21409" s="1"/>
      <c r="G21409" s="1"/>
    </row>
    <row r="21410">
      <c r="B21410" s="36"/>
      <c r="C21410" s="36"/>
      <c r="E21410" s="1"/>
      <c r="F21410" s="1"/>
      <c r="G21410" s="1"/>
    </row>
    <row r="21411">
      <c r="B21411" s="36"/>
      <c r="C21411" s="36"/>
      <c r="E21411" s="1"/>
      <c r="F21411" s="1"/>
      <c r="G21411" s="1"/>
    </row>
    <row r="21412">
      <c r="B21412" s="36"/>
      <c r="C21412" s="36"/>
      <c r="E21412" s="1"/>
      <c r="F21412" s="1"/>
      <c r="G21412" s="1"/>
    </row>
    <row r="21413">
      <c r="B21413" s="36"/>
      <c r="C21413" s="36"/>
      <c r="E21413" s="1"/>
      <c r="F21413" s="1"/>
      <c r="G21413" s="1"/>
    </row>
    <row r="21414">
      <c r="B21414" s="36"/>
      <c r="C21414" s="36"/>
      <c r="E21414" s="1"/>
      <c r="F21414" s="1"/>
      <c r="G21414" s="1"/>
    </row>
    <row r="21415">
      <c r="B21415" s="36"/>
      <c r="C21415" s="36"/>
      <c r="E21415" s="1"/>
      <c r="F21415" s="1"/>
      <c r="G21415" s="1"/>
    </row>
    <row r="21416">
      <c r="B21416" s="36"/>
      <c r="C21416" s="36"/>
      <c r="E21416" s="1"/>
      <c r="F21416" s="1"/>
      <c r="G21416" s="1"/>
    </row>
    <row r="21417">
      <c r="B21417" s="36"/>
      <c r="C21417" s="36"/>
      <c r="E21417" s="1"/>
      <c r="F21417" s="1"/>
      <c r="G21417" s="1"/>
    </row>
    <row r="21418">
      <c r="B21418" s="36"/>
      <c r="C21418" s="36"/>
      <c r="E21418" s="1"/>
      <c r="F21418" s="1"/>
      <c r="G21418" s="1"/>
    </row>
    <row r="21419">
      <c r="B21419" s="36"/>
      <c r="C21419" s="36"/>
      <c r="E21419" s="1"/>
      <c r="F21419" s="1"/>
      <c r="G21419" s="1"/>
    </row>
    <row r="21420">
      <c r="B21420" s="36"/>
      <c r="C21420" s="36"/>
      <c r="E21420" s="1"/>
      <c r="F21420" s="1"/>
      <c r="G21420" s="1"/>
    </row>
    <row r="21421">
      <c r="B21421" s="36"/>
      <c r="C21421" s="36"/>
      <c r="E21421" s="1"/>
      <c r="F21421" s="1"/>
      <c r="G21421" s="1"/>
    </row>
    <row r="21422">
      <c r="B21422" s="36"/>
      <c r="C21422" s="36"/>
      <c r="E21422" s="1"/>
      <c r="F21422" s="1"/>
      <c r="G21422" s="1"/>
    </row>
    <row r="21423">
      <c r="B21423" s="36"/>
      <c r="C21423" s="36"/>
      <c r="E21423" s="1"/>
      <c r="F21423" s="1"/>
      <c r="G21423" s="1"/>
    </row>
    <row r="21424">
      <c r="B21424" s="36"/>
      <c r="C21424" s="36"/>
      <c r="E21424" s="1"/>
      <c r="F21424" s="1"/>
      <c r="G21424" s="1"/>
    </row>
    <row r="21425">
      <c r="B21425" s="36"/>
      <c r="C21425" s="36"/>
      <c r="E21425" s="1"/>
      <c r="F21425" s="1"/>
      <c r="G21425" s="1"/>
    </row>
    <row r="21426">
      <c r="B21426" s="36"/>
      <c r="C21426" s="36"/>
      <c r="E21426" s="1"/>
      <c r="F21426" s="1"/>
      <c r="G21426" s="1"/>
    </row>
    <row r="21427">
      <c r="B21427" s="36"/>
      <c r="C21427" s="36"/>
      <c r="E21427" s="1"/>
      <c r="F21427" s="1"/>
      <c r="G21427" s="1"/>
    </row>
    <row r="21428">
      <c r="B21428" s="36"/>
      <c r="C21428" s="36"/>
      <c r="E21428" s="1"/>
      <c r="F21428" s="1"/>
      <c r="G21428" s="1"/>
    </row>
    <row r="21429">
      <c r="B21429" s="36"/>
      <c r="C21429" s="36"/>
      <c r="E21429" s="1"/>
      <c r="F21429" s="1"/>
      <c r="G21429" s="1"/>
    </row>
    <row r="21430">
      <c r="B21430" s="36"/>
      <c r="C21430" s="36"/>
      <c r="E21430" s="1"/>
      <c r="F21430" s="1"/>
      <c r="G21430" s="1"/>
    </row>
    <row r="21431">
      <c r="B21431" s="36"/>
      <c r="C21431" s="36"/>
      <c r="E21431" s="1"/>
      <c r="F21431" s="1"/>
      <c r="G21431" s="1"/>
    </row>
    <row r="21432">
      <c r="B21432" s="36"/>
      <c r="C21432" s="36"/>
      <c r="E21432" s="1"/>
      <c r="F21432" s="1"/>
      <c r="G21432" s="1"/>
    </row>
    <row r="21433">
      <c r="B21433" s="36"/>
      <c r="C21433" s="36"/>
      <c r="E21433" s="1"/>
      <c r="F21433" s="1"/>
      <c r="G21433" s="1"/>
    </row>
    <row r="21434">
      <c r="B21434" s="36"/>
      <c r="C21434" s="36"/>
      <c r="E21434" s="1"/>
      <c r="F21434" s="1"/>
      <c r="G21434" s="1"/>
    </row>
    <row r="21435">
      <c r="B21435" s="36"/>
      <c r="C21435" s="36"/>
      <c r="E21435" s="1"/>
      <c r="F21435" s="1"/>
      <c r="G21435" s="1"/>
    </row>
    <row r="21436">
      <c r="B21436" s="36"/>
      <c r="C21436" s="36"/>
      <c r="E21436" s="1"/>
      <c r="F21436" s="1"/>
      <c r="G21436" s="1"/>
    </row>
    <row r="21437">
      <c r="B21437" s="36"/>
      <c r="C21437" s="36"/>
      <c r="E21437" s="1"/>
      <c r="F21437" s="1"/>
      <c r="G21437" s="1"/>
    </row>
    <row r="21438">
      <c r="B21438" s="36"/>
      <c r="C21438" s="36"/>
      <c r="E21438" s="1"/>
      <c r="F21438" s="1"/>
      <c r="G21438" s="1"/>
    </row>
    <row r="21439">
      <c r="B21439" s="36"/>
      <c r="C21439" s="36"/>
      <c r="E21439" s="1"/>
      <c r="F21439" s="1"/>
      <c r="G21439" s="1"/>
    </row>
    <row r="21440">
      <c r="B21440" s="36"/>
      <c r="C21440" s="36"/>
      <c r="E21440" s="1"/>
      <c r="F21440" s="1"/>
      <c r="G21440" s="1"/>
    </row>
    <row r="21441">
      <c r="B21441" s="36"/>
      <c r="C21441" s="36"/>
      <c r="E21441" s="1"/>
      <c r="F21441" s="1"/>
      <c r="G21441" s="1"/>
    </row>
    <row r="21442">
      <c r="B21442" s="36"/>
      <c r="C21442" s="36"/>
      <c r="E21442" s="1"/>
      <c r="F21442" s="1"/>
      <c r="G21442" s="1"/>
    </row>
    <row r="21443">
      <c r="B21443" s="36"/>
      <c r="C21443" s="36"/>
      <c r="E21443" s="1"/>
      <c r="F21443" s="1"/>
      <c r="G21443" s="1"/>
    </row>
    <row r="21444">
      <c r="B21444" s="36"/>
      <c r="C21444" s="36"/>
      <c r="E21444" s="1"/>
      <c r="F21444" s="1"/>
      <c r="G21444" s="1"/>
    </row>
    <row r="21445">
      <c r="B21445" s="36"/>
      <c r="C21445" s="36"/>
      <c r="E21445" s="1"/>
      <c r="F21445" s="1"/>
      <c r="G21445" s="1"/>
    </row>
    <row r="21446">
      <c r="B21446" s="36"/>
      <c r="C21446" s="36"/>
      <c r="E21446" s="1"/>
      <c r="F21446" s="1"/>
      <c r="G21446" s="1"/>
    </row>
    <row r="21447">
      <c r="B21447" s="36"/>
      <c r="C21447" s="36"/>
      <c r="E21447" s="1"/>
      <c r="F21447" s="1"/>
      <c r="G21447" s="1"/>
    </row>
    <row r="21448">
      <c r="B21448" s="36"/>
      <c r="C21448" s="36"/>
      <c r="E21448" s="1"/>
      <c r="F21448" s="1"/>
      <c r="G21448" s="1"/>
    </row>
    <row r="21449">
      <c r="B21449" s="36"/>
      <c r="C21449" s="36"/>
      <c r="E21449" s="1"/>
      <c r="F21449" s="1"/>
      <c r="G21449" s="1"/>
    </row>
    <row r="21450">
      <c r="B21450" s="36"/>
      <c r="C21450" s="36"/>
      <c r="E21450" s="1"/>
      <c r="F21450" s="1"/>
      <c r="G21450" s="1"/>
    </row>
    <row r="21451">
      <c r="B21451" s="36"/>
      <c r="C21451" s="36"/>
      <c r="E21451" s="1"/>
      <c r="F21451" s="1"/>
      <c r="G21451" s="1"/>
    </row>
    <row r="21452">
      <c r="B21452" s="36"/>
      <c r="C21452" s="36"/>
      <c r="E21452" s="1"/>
      <c r="F21452" s="1"/>
      <c r="G21452" s="1"/>
    </row>
    <row r="21453">
      <c r="B21453" s="36"/>
      <c r="C21453" s="36"/>
      <c r="E21453" s="1"/>
      <c r="F21453" s="1"/>
      <c r="G21453" s="1"/>
    </row>
    <row r="21454">
      <c r="B21454" s="36"/>
      <c r="C21454" s="36"/>
      <c r="E21454" s="1"/>
      <c r="F21454" s="1"/>
      <c r="G21454" s="1"/>
    </row>
    <row r="21455">
      <c r="B21455" s="36"/>
      <c r="C21455" s="36"/>
      <c r="E21455" s="1"/>
      <c r="F21455" s="1"/>
      <c r="G21455" s="1"/>
    </row>
    <row r="21456">
      <c r="B21456" s="36"/>
      <c r="C21456" s="36"/>
      <c r="E21456" s="1"/>
      <c r="F21456" s="1"/>
      <c r="G21456" s="1"/>
    </row>
    <row r="21457">
      <c r="B21457" s="36"/>
      <c r="C21457" s="36"/>
      <c r="E21457" s="1"/>
      <c r="F21457" s="1"/>
      <c r="G21457" s="1"/>
    </row>
    <row r="21458">
      <c r="B21458" s="36"/>
      <c r="C21458" s="36"/>
      <c r="E21458" s="1"/>
      <c r="F21458" s="1"/>
      <c r="G21458" s="1"/>
    </row>
    <row r="21459">
      <c r="B21459" s="36"/>
      <c r="C21459" s="36"/>
      <c r="E21459" s="1"/>
      <c r="F21459" s="1"/>
      <c r="G21459" s="1"/>
    </row>
    <row r="21460">
      <c r="B21460" s="36"/>
      <c r="C21460" s="36"/>
      <c r="E21460" s="1"/>
      <c r="F21460" s="1"/>
      <c r="G21460" s="1"/>
    </row>
    <row r="21461">
      <c r="B21461" s="36"/>
      <c r="C21461" s="36"/>
      <c r="E21461" s="1"/>
      <c r="F21461" s="1"/>
      <c r="G21461" s="1"/>
    </row>
    <row r="21462">
      <c r="B21462" s="36"/>
      <c r="C21462" s="36"/>
      <c r="E21462" s="1"/>
      <c r="F21462" s="1"/>
      <c r="G21462" s="1"/>
    </row>
    <row r="21463">
      <c r="B21463" s="36"/>
      <c r="C21463" s="36"/>
      <c r="E21463" s="1"/>
      <c r="F21463" s="1"/>
      <c r="G21463" s="1"/>
    </row>
    <row r="21464">
      <c r="B21464" s="36"/>
      <c r="C21464" s="36"/>
      <c r="E21464" s="1"/>
      <c r="F21464" s="1"/>
      <c r="G21464" s="1"/>
    </row>
    <row r="21465">
      <c r="B21465" s="36"/>
      <c r="C21465" s="36"/>
      <c r="E21465" s="1"/>
      <c r="F21465" s="1"/>
      <c r="G21465" s="1"/>
    </row>
    <row r="21466">
      <c r="B21466" s="36"/>
      <c r="C21466" s="36"/>
      <c r="E21466" s="1"/>
      <c r="F21466" s="1"/>
      <c r="G21466" s="1"/>
    </row>
    <row r="21467">
      <c r="B21467" s="36"/>
      <c r="C21467" s="36"/>
      <c r="E21467" s="1"/>
      <c r="F21467" s="1"/>
      <c r="G21467" s="1"/>
    </row>
    <row r="21468">
      <c r="B21468" s="36"/>
      <c r="C21468" s="36"/>
      <c r="E21468" s="1"/>
      <c r="F21468" s="1"/>
      <c r="G21468" s="1"/>
    </row>
    <row r="21469">
      <c r="B21469" s="36"/>
      <c r="C21469" s="36"/>
      <c r="E21469" s="1"/>
      <c r="F21469" s="1"/>
      <c r="G21469" s="1"/>
    </row>
    <row r="21470">
      <c r="B21470" s="36"/>
      <c r="C21470" s="36"/>
      <c r="E21470" s="1"/>
      <c r="F21470" s="1"/>
      <c r="G21470" s="1"/>
    </row>
    <row r="21471">
      <c r="B21471" s="36"/>
      <c r="C21471" s="36"/>
      <c r="E21471" s="1"/>
      <c r="F21471" s="1"/>
      <c r="G21471" s="1"/>
    </row>
    <row r="21472">
      <c r="B21472" s="36"/>
      <c r="C21472" s="36"/>
      <c r="E21472" s="1"/>
      <c r="F21472" s="1"/>
      <c r="G21472" s="1"/>
    </row>
    <row r="21473">
      <c r="B21473" s="36"/>
      <c r="C21473" s="36"/>
      <c r="E21473" s="1"/>
      <c r="F21473" s="1"/>
      <c r="G21473" s="1"/>
    </row>
    <row r="21474">
      <c r="B21474" s="36"/>
      <c r="C21474" s="36"/>
      <c r="E21474" s="1"/>
      <c r="F21474" s="1"/>
      <c r="G21474" s="1"/>
    </row>
    <row r="21475">
      <c r="B21475" s="36"/>
      <c r="C21475" s="36"/>
      <c r="E21475" s="1"/>
      <c r="F21475" s="1"/>
      <c r="G21475" s="1"/>
    </row>
    <row r="21476">
      <c r="B21476" s="36"/>
      <c r="C21476" s="36"/>
      <c r="E21476" s="1"/>
      <c r="F21476" s="1"/>
      <c r="G21476" s="1"/>
    </row>
    <row r="21477">
      <c r="B21477" s="36"/>
      <c r="C21477" s="36"/>
      <c r="E21477" s="1"/>
      <c r="F21477" s="1"/>
      <c r="G21477" s="1"/>
    </row>
    <row r="21478">
      <c r="B21478" s="36"/>
      <c r="C21478" s="36"/>
      <c r="E21478" s="1"/>
      <c r="F21478" s="1"/>
      <c r="G21478" s="1"/>
    </row>
    <row r="21479">
      <c r="B21479" s="36"/>
      <c r="C21479" s="36"/>
      <c r="E21479" s="1"/>
      <c r="F21479" s="1"/>
      <c r="G21479" s="1"/>
    </row>
    <row r="21480">
      <c r="B21480" s="36"/>
      <c r="C21480" s="36"/>
      <c r="E21480" s="1"/>
      <c r="F21480" s="1"/>
      <c r="G21480" s="1"/>
    </row>
    <row r="21481">
      <c r="B21481" s="36"/>
      <c r="C21481" s="36"/>
      <c r="E21481" s="1"/>
      <c r="F21481" s="1"/>
      <c r="G21481" s="1"/>
    </row>
    <row r="21482">
      <c r="B21482" s="36"/>
      <c r="C21482" s="36"/>
      <c r="E21482" s="1"/>
      <c r="F21482" s="1"/>
      <c r="G21482" s="1"/>
    </row>
    <row r="21483">
      <c r="B21483" s="36"/>
      <c r="C21483" s="36"/>
      <c r="E21483" s="1"/>
      <c r="F21483" s="1"/>
      <c r="G21483" s="1"/>
    </row>
    <row r="21484">
      <c r="B21484" s="36"/>
      <c r="C21484" s="36"/>
      <c r="E21484" s="1"/>
      <c r="F21484" s="1"/>
      <c r="G21484" s="1"/>
    </row>
    <row r="21485">
      <c r="B21485" s="36"/>
      <c r="C21485" s="36"/>
      <c r="E21485" s="1"/>
      <c r="F21485" s="1"/>
      <c r="G21485" s="1"/>
    </row>
    <row r="21486">
      <c r="B21486" s="36"/>
      <c r="C21486" s="36"/>
      <c r="E21486" s="1"/>
      <c r="F21486" s="1"/>
      <c r="G21486" s="1"/>
    </row>
    <row r="21487">
      <c r="B21487" s="36"/>
      <c r="C21487" s="36"/>
      <c r="E21487" s="1"/>
      <c r="F21487" s="1"/>
      <c r="G21487" s="1"/>
    </row>
    <row r="21488">
      <c r="B21488" s="36"/>
      <c r="C21488" s="36"/>
      <c r="E21488" s="1"/>
      <c r="F21488" s="1"/>
      <c r="G21488" s="1"/>
    </row>
    <row r="21489">
      <c r="B21489" s="36"/>
      <c r="C21489" s="36"/>
      <c r="E21489" s="1"/>
      <c r="F21489" s="1"/>
      <c r="G21489" s="1"/>
    </row>
    <row r="21490">
      <c r="B21490" s="36"/>
      <c r="C21490" s="36"/>
      <c r="E21490" s="1"/>
      <c r="F21490" s="1"/>
      <c r="G21490" s="1"/>
    </row>
    <row r="21491">
      <c r="B21491" s="36"/>
      <c r="C21491" s="36"/>
      <c r="E21491" s="1"/>
      <c r="F21491" s="1"/>
      <c r="G21491" s="1"/>
    </row>
    <row r="21492">
      <c r="B21492" s="36"/>
      <c r="C21492" s="36"/>
      <c r="E21492" s="1"/>
      <c r="F21492" s="1"/>
      <c r="G21492" s="1"/>
    </row>
    <row r="21493">
      <c r="B21493" s="36"/>
      <c r="C21493" s="36"/>
      <c r="E21493" s="1"/>
      <c r="F21493" s="1"/>
      <c r="G21493" s="1"/>
    </row>
    <row r="21494">
      <c r="B21494" s="36"/>
      <c r="C21494" s="36"/>
      <c r="E21494" s="1"/>
      <c r="F21494" s="1"/>
      <c r="G21494" s="1"/>
    </row>
    <row r="21495">
      <c r="B21495" s="36"/>
      <c r="C21495" s="36"/>
      <c r="E21495" s="1"/>
      <c r="F21495" s="1"/>
      <c r="G21495" s="1"/>
    </row>
    <row r="21496">
      <c r="B21496" s="36"/>
      <c r="C21496" s="36"/>
      <c r="E21496" s="1"/>
      <c r="F21496" s="1"/>
      <c r="G21496" s="1"/>
    </row>
    <row r="21497">
      <c r="B21497" s="36"/>
      <c r="C21497" s="36"/>
      <c r="E21497" s="1"/>
      <c r="F21497" s="1"/>
      <c r="G21497" s="1"/>
    </row>
    <row r="21498">
      <c r="B21498" s="36"/>
      <c r="C21498" s="36"/>
      <c r="E21498" s="1"/>
      <c r="F21498" s="1"/>
      <c r="G21498" s="1"/>
    </row>
    <row r="21499">
      <c r="B21499" s="36"/>
      <c r="C21499" s="36"/>
      <c r="E21499" s="1"/>
      <c r="F21499" s="1"/>
      <c r="G21499" s="1"/>
    </row>
    <row r="21500">
      <c r="B21500" s="36"/>
      <c r="C21500" s="36"/>
      <c r="E21500" s="1"/>
      <c r="F21500" s="1"/>
      <c r="G21500" s="1"/>
    </row>
    <row r="21501">
      <c r="B21501" s="36"/>
      <c r="C21501" s="36"/>
      <c r="E21501" s="1"/>
      <c r="F21501" s="1"/>
      <c r="G21501" s="1"/>
    </row>
    <row r="21502">
      <c r="B21502" s="36"/>
      <c r="C21502" s="36"/>
      <c r="E21502" s="1"/>
      <c r="F21502" s="1"/>
      <c r="G21502" s="1"/>
    </row>
    <row r="21503">
      <c r="B21503" s="36"/>
      <c r="C21503" s="36"/>
      <c r="E21503" s="1"/>
      <c r="F21503" s="1"/>
      <c r="G21503" s="1"/>
    </row>
    <row r="21504">
      <c r="B21504" s="36"/>
      <c r="C21504" s="36"/>
      <c r="E21504" s="1"/>
      <c r="F21504" s="1"/>
      <c r="G21504" s="1"/>
    </row>
    <row r="21505">
      <c r="B21505" s="36"/>
      <c r="C21505" s="36"/>
      <c r="E21505" s="1"/>
      <c r="F21505" s="1"/>
      <c r="G21505" s="1"/>
    </row>
    <row r="21506">
      <c r="B21506" s="36"/>
      <c r="C21506" s="36"/>
      <c r="E21506" s="1"/>
      <c r="F21506" s="1"/>
      <c r="G21506" s="1"/>
    </row>
    <row r="21507">
      <c r="B21507" s="36"/>
      <c r="C21507" s="36"/>
      <c r="E21507" s="1"/>
      <c r="F21507" s="1"/>
      <c r="G21507" s="1"/>
    </row>
    <row r="21508">
      <c r="B21508" s="36"/>
      <c r="C21508" s="36"/>
      <c r="E21508" s="1"/>
      <c r="F21508" s="1"/>
      <c r="G21508" s="1"/>
    </row>
    <row r="21509">
      <c r="B21509" s="36"/>
      <c r="C21509" s="36"/>
      <c r="E21509" s="1"/>
      <c r="F21509" s="1"/>
      <c r="G21509" s="1"/>
    </row>
    <row r="21510">
      <c r="B21510" s="36"/>
      <c r="C21510" s="36"/>
      <c r="E21510" s="1"/>
      <c r="F21510" s="1"/>
      <c r="G21510" s="1"/>
    </row>
    <row r="21511">
      <c r="B21511" s="36"/>
      <c r="C21511" s="36"/>
      <c r="E21511" s="1"/>
      <c r="F21511" s="1"/>
      <c r="G21511" s="1"/>
    </row>
    <row r="21512">
      <c r="B21512" s="36"/>
      <c r="C21512" s="36"/>
      <c r="E21512" s="1"/>
      <c r="F21512" s="1"/>
      <c r="G21512" s="1"/>
    </row>
    <row r="21513">
      <c r="B21513" s="36"/>
      <c r="C21513" s="36"/>
      <c r="E21513" s="1"/>
      <c r="F21513" s="1"/>
      <c r="G21513" s="1"/>
    </row>
    <row r="21514">
      <c r="B21514" s="36"/>
      <c r="C21514" s="36"/>
      <c r="E21514" s="1"/>
      <c r="F21514" s="1"/>
      <c r="G21514" s="1"/>
    </row>
    <row r="21515">
      <c r="B21515" s="36"/>
      <c r="C21515" s="36"/>
      <c r="E21515" s="1"/>
      <c r="F21515" s="1"/>
      <c r="G21515" s="1"/>
    </row>
    <row r="21516">
      <c r="B21516" s="36"/>
      <c r="C21516" s="36"/>
      <c r="E21516" s="1"/>
      <c r="F21516" s="1"/>
      <c r="G21516" s="1"/>
    </row>
    <row r="21517">
      <c r="B21517" s="36"/>
      <c r="C21517" s="36"/>
      <c r="E21517" s="1"/>
      <c r="F21517" s="1"/>
      <c r="G21517" s="1"/>
    </row>
    <row r="21518">
      <c r="B21518" s="36"/>
      <c r="C21518" s="36"/>
      <c r="E21518" s="1"/>
      <c r="F21518" s="1"/>
      <c r="G21518" s="1"/>
    </row>
    <row r="21519">
      <c r="B21519" s="36"/>
      <c r="C21519" s="36"/>
      <c r="E21519" s="1"/>
      <c r="F21519" s="1"/>
      <c r="G21519" s="1"/>
    </row>
    <row r="21520">
      <c r="B21520" s="36"/>
      <c r="C21520" s="36"/>
      <c r="E21520" s="1"/>
      <c r="F21520" s="1"/>
      <c r="G21520" s="1"/>
    </row>
    <row r="21521">
      <c r="B21521" s="36"/>
      <c r="C21521" s="36"/>
      <c r="E21521" s="1"/>
      <c r="F21521" s="1"/>
      <c r="G21521" s="1"/>
    </row>
    <row r="21522">
      <c r="B21522" s="36"/>
      <c r="C21522" s="36"/>
      <c r="E21522" s="1"/>
      <c r="F21522" s="1"/>
      <c r="G21522" s="1"/>
    </row>
    <row r="21523">
      <c r="B21523" s="36"/>
      <c r="C21523" s="36"/>
      <c r="E21523" s="1"/>
      <c r="F21523" s="1"/>
      <c r="G21523" s="1"/>
    </row>
    <row r="21524">
      <c r="B21524" s="36"/>
      <c r="C21524" s="36"/>
      <c r="E21524" s="1"/>
      <c r="F21524" s="1"/>
      <c r="G21524" s="1"/>
    </row>
    <row r="21525">
      <c r="B21525" s="36"/>
      <c r="C21525" s="36"/>
      <c r="E21525" s="1"/>
      <c r="F21525" s="1"/>
      <c r="G21525" s="1"/>
    </row>
    <row r="21526">
      <c r="B21526" s="36"/>
      <c r="C21526" s="36"/>
      <c r="E21526" s="1"/>
      <c r="F21526" s="1"/>
      <c r="G21526" s="1"/>
    </row>
    <row r="21527">
      <c r="B21527" s="36"/>
      <c r="C21527" s="36"/>
      <c r="E21527" s="1"/>
      <c r="F21527" s="1"/>
      <c r="G21527" s="1"/>
    </row>
    <row r="21528">
      <c r="B21528" s="36"/>
      <c r="C21528" s="36"/>
      <c r="E21528" s="1"/>
      <c r="F21528" s="1"/>
      <c r="G21528" s="1"/>
    </row>
    <row r="21529">
      <c r="B21529" s="36"/>
      <c r="C21529" s="36"/>
      <c r="E21529" s="1"/>
      <c r="F21529" s="1"/>
      <c r="G21529" s="1"/>
    </row>
    <row r="21530">
      <c r="B21530" s="36"/>
      <c r="C21530" s="36"/>
      <c r="E21530" s="1"/>
      <c r="F21530" s="1"/>
      <c r="G21530" s="1"/>
    </row>
    <row r="21531">
      <c r="B21531" s="36"/>
      <c r="C21531" s="36"/>
      <c r="E21531" s="1"/>
      <c r="F21531" s="1"/>
      <c r="G21531" s="1"/>
    </row>
    <row r="21532">
      <c r="B21532" s="36"/>
      <c r="C21532" s="36"/>
      <c r="E21532" s="1"/>
      <c r="F21532" s="1"/>
      <c r="G21532" s="1"/>
    </row>
    <row r="21533">
      <c r="B21533" s="36"/>
      <c r="C21533" s="36"/>
      <c r="E21533" s="1"/>
      <c r="F21533" s="1"/>
      <c r="G21533" s="1"/>
    </row>
    <row r="21534">
      <c r="B21534" s="36"/>
      <c r="C21534" s="36"/>
      <c r="E21534" s="1"/>
      <c r="F21534" s="1"/>
      <c r="G21534" s="1"/>
    </row>
    <row r="21535">
      <c r="B21535" s="36"/>
      <c r="C21535" s="36"/>
      <c r="E21535" s="1"/>
      <c r="F21535" s="1"/>
      <c r="G21535" s="1"/>
    </row>
    <row r="21536">
      <c r="B21536" s="36"/>
      <c r="C21536" s="36"/>
      <c r="E21536" s="1"/>
      <c r="F21536" s="1"/>
      <c r="G21536" s="1"/>
    </row>
    <row r="21537">
      <c r="B21537" s="36"/>
      <c r="C21537" s="36"/>
      <c r="E21537" s="1"/>
      <c r="F21537" s="1"/>
      <c r="G21537" s="1"/>
    </row>
    <row r="21538">
      <c r="B21538" s="36"/>
      <c r="C21538" s="36"/>
      <c r="E21538" s="1"/>
      <c r="F21538" s="1"/>
      <c r="G21538" s="1"/>
    </row>
    <row r="21539">
      <c r="B21539" s="36"/>
      <c r="C21539" s="36"/>
      <c r="E21539" s="1"/>
      <c r="F21539" s="1"/>
      <c r="G21539" s="1"/>
    </row>
    <row r="21540">
      <c r="B21540" s="36"/>
      <c r="C21540" s="36"/>
      <c r="E21540" s="1"/>
      <c r="F21540" s="1"/>
      <c r="G21540" s="1"/>
    </row>
    <row r="21541">
      <c r="B21541" s="36"/>
      <c r="C21541" s="36"/>
      <c r="E21541" s="1"/>
      <c r="F21541" s="1"/>
      <c r="G21541" s="1"/>
    </row>
    <row r="21542">
      <c r="B21542" s="36"/>
      <c r="C21542" s="36"/>
      <c r="E21542" s="1"/>
      <c r="F21542" s="1"/>
      <c r="G21542" s="1"/>
    </row>
    <row r="21543">
      <c r="B21543" s="36"/>
      <c r="C21543" s="36"/>
      <c r="E21543" s="1"/>
      <c r="F21543" s="1"/>
      <c r="G21543" s="1"/>
    </row>
    <row r="21544">
      <c r="B21544" s="36"/>
      <c r="C21544" s="36"/>
      <c r="E21544" s="1"/>
      <c r="F21544" s="1"/>
      <c r="G21544" s="1"/>
    </row>
    <row r="21545">
      <c r="B21545" s="36"/>
      <c r="C21545" s="36"/>
      <c r="E21545" s="1"/>
      <c r="F21545" s="1"/>
      <c r="G21545" s="1"/>
    </row>
    <row r="21546">
      <c r="B21546" s="36"/>
      <c r="C21546" s="36"/>
      <c r="E21546" s="1"/>
      <c r="F21546" s="1"/>
      <c r="G21546" s="1"/>
    </row>
    <row r="21547">
      <c r="B21547" s="36"/>
      <c r="C21547" s="36"/>
      <c r="E21547" s="1"/>
      <c r="F21547" s="1"/>
      <c r="G21547" s="1"/>
    </row>
    <row r="21548">
      <c r="B21548" s="36"/>
      <c r="C21548" s="36"/>
      <c r="E21548" s="1"/>
      <c r="F21548" s="1"/>
      <c r="G21548" s="1"/>
    </row>
    <row r="21549">
      <c r="B21549" s="36"/>
      <c r="C21549" s="36"/>
      <c r="E21549" s="1"/>
      <c r="F21549" s="1"/>
      <c r="G21549" s="1"/>
    </row>
    <row r="21550">
      <c r="B21550" s="36"/>
      <c r="C21550" s="36"/>
      <c r="E21550" s="1"/>
      <c r="F21550" s="1"/>
      <c r="G21550" s="1"/>
    </row>
    <row r="21551">
      <c r="B21551" s="36"/>
      <c r="C21551" s="36"/>
      <c r="E21551" s="1"/>
      <c r="F21551" s="1"/>
      <c r="G21551" s="1"/>
    </row>
    <row r="21552">
      <c r="B21552" s="36"/>
      <c r="C21552" s="36"/>
      <c r="E21552" s="1"/>
      <c r="F21552" s="1"/>
      <c r="G21552" s="1"/>
    </row>
    <row r="21553">
      <c r="B21553" s="36"/>
      <c r="C21553" s="36"/>
      <c r="E21553" s="1"/>
      <c r="F21553" s="1"/>
      <c r="G21553" s="1"/>
    </row>
    <row r="21554">
      <c r="B21554" s="36"/>
      <c r="C21554" s="36"/>
      <c r="E21554" s="1"/>
      <c r="F21554" s="1"/>
      <c r="G21554" s="1"/>
    </row>
    <row r="21555">
      <c r="B21555" s="36"/>
      <c r="C21555" s="36"/>
      <c r="E21555" s="1"/>
      <c r="F21555" s="1"/>
      <c r="G21555" s="1"/>
    </row>
    <row r="21556">
      <c r="B21556" s="36"/>
      <c r="C21556" s="36"/>
      <c r="E21556" s="1"/>
      <c r="F21556" s="1"/>
      <c r="G21556" s="1"/>
    </row>
    <row r="21557">
      <c r="B21557" s="36"/>
      <c r="C21557" s="36"/>
      <c r="E21557" s="1"/>
      <c r="F21557" s="1"/>
      <c r="G21557" s="1"/>
    </row>
    <row r="21558">
      <c r="B21558" s="36"/>
      <c r="C21558" s="36"/>
      <c r="E21558" s="1"/>
      <c r="F21558" s="1"/>
      <c r="G21558" s="1"/>
    </row>
    <row r="21559">
      <c r="B21559" s="36"/>
      <c r="C21559" s="36"/>
      <c r="E21559" s="1"/>
      <c r="F21559" s="1"/>
      <c r="G21559" s="1"/>
    </row>
    <row r="21560">
      <c r="B21560" s="36"/>
      <c r="C21560" s="36"/>
      <c r="E21560" s="1"/>
      <c r="F21560" s="1"/>
      <c r="G21560" s="1"/>
    </row>
    <row r="21561">
      <c r="B21561" s="36"/>
      <c r="C21561" s="36"/>
      <c r="E21561" s="1"/>
      <c r="F21561" s="1"/>
      <c r="G21561" s="1"/>
    </row>
    <row r="21562">
      <c r="B21562" s="36"/>
      <c r="C21562" s="36"/>
      <c r="E21562" s="1"/>
      <c r="F21562" s="1"/>
      <c r="G21562" s="1"/>
    </row>
    <row r="21563">
      <c r="B21563" s="36"/>
      <c r="C21563" s="36"/>
      <c r="E21563" s="1"/>
      <c r="F21563" s="1"/>
      <c r="G21563" s="1"/>
    </row>
    <row r="21564">
      <c r="B21564" s="36"/>
      <c r="C21564" s="36"/>
      <c r="E21564" s="1"/>
      <c r="F21564" s="1"/>
      <c r="G21564" s="1"/>
    </row>
    <row r="21565">
      <c r="B21565" s="36"/>
      <c r="C21565" s="36"/>
      <c r="E21565" s="1"/>
      <c r="F21565" s="1"/>
      <c r="G21565" s="1"/>
    </row>
    <row r="21566">
      <c r="B21566" s="36"/>
      <c r="C21566" s="36"/>
      <c r="E21566" s="1"/>
      <c r="F21566" s="1"/>
      <c r="G21566" s="1"/>
    </row>
    <row r="21567">
      <c r="B21567" s="36"/>
      <c r="C21567" s="36"/>
      <c r="E21567" s="1"/>
      <c r="F21567" s="1"/>
      <c r="G21567" s="1"/>
    </row>
    <row r="21568">
      <c r="B21568" s="36"/>
      <c r="C21568" s="36"/>
      <c r="E21568" s="1"/>
      <c r="F21568" s="1"/>
      <c r="G21568" s="1"/>
    </row>
    <row r="21569">
      <c r="B21569" s="36"/>
      <c r="C21569" s="36"/>
      <c r="E21569" s="1"/>
      <c r="F21569" s="1"/>
      <c r="G21569" s="1"/>
    </row>
    <row r="21570">
      <c r="B21570" s="36"/>
      <c r="C21570" s="36"/>
      <c r="E21570" s="1"/>
      <c r="F21570" s="1"/>
      <c r="G21570" s="1"/>
    </row>
    <row r="21571">
      <c r="B21571" s="36"/>
      <c r="C21571" s="36"/>
      <c r="E21571" s="1"/>
      <c r="F21571" s="1"/>
      <c r="G21571" s="1"/>
    </row>
    <row r="21572">
      <c r="B21572" s="36"/>
      <c r="C21572" s="36"/>
      <c r="E21572" s="1"/>
      <c r="F21572" s="1"/>
      <c r="G21572" s="1"/>
    </row>
    <row r="21573">
      <c r="B21573" s="36"/>
      <c r="C21573" s="36"/>
      <c r="E21573" s="1"/>
      <c r="F21573" s="1"/>
      <c r="G21573" s="1"/>
    </row>
    <row r="21574">
      <c r="B21574" s="36"/>
      <c r="C21574" s="36"/>
      <c r="E21574" s="1"/>
      <c r="F21574" s="1"/>
      <c r="G21574" s="1"/>
    </row>
    <row r="21575">
      <c r="B21575" s="36"/>
      <c r="C21575" s="36"/>
      <c r="E21575" s="1"/>
      <c r="F21575" s="1"/>
      <c r="G21575" s="1"/>
    </row>
    <row r="21576">
      <c r="B21576" s="36"/>
      <c r="C21576" s="36"/>
      <c r="E21576" s="1"/>
      <c r="F21576" s="1"/>
      <c r="G21576" s="1"/>
    </row>
    <row r="21577">
      <c r="B21577" s="36"/>
      <c r="C21577" s="36"/>
      <c r="E21577" s="1"/>
      <c r="F21577" s="1"/>
      <c r="G21577" s="1"/>
    </row>
    <row r="21578">
      <c r="B21578" s="36"/>
      <c r="C21578" s="36"/>
      <c r="E21578" s="1"/>
      <c r="F21578" s="1"/>
      <c r="G21578" s="1"/>
    </row>
    <row r="21579">
      <c r="B21579" s="36"/>
      <c r="C21579" s="36"/>
      <c r="E21579" s="1"/>
      <c r="F21579" s="1"/>
      <c r="G21579" s="1"/>
    </row>
    <row r="21580">
      <c r="B21580" s="36"/>
      <c r="C21580" s="36"/>
      <c r="E21580" s="1"/>
      <c r="F21580" s="1"/>
      <c r="G21580" s="1"/>
    </row>
    <row r="21581">
      <c r="B21581" s="36"/>
      <c r="C21581" s="36"/>
      <c r="E21581" s="1"/>
      <c r="F21581" s="1"/>
      <c r="G21581" s="1"/>
    </row>
    <row r="21582">
      <c r="B21582" s="36"/>
      <c r="C21582" s="36"/>
      <c r="E21582" s="1"/>
      <c r="F21582" s="1"/>
      <c r="G21582" s="1"/>
    </row>
    <row r="21583">
      <c r="B21583" s="36"/>
      <c r="C21583" s="36"/>
      <c r="E21583" s="1"/>
      <c r="F21583" s="1"/>
      <c r="G21583" s="1"/>
    </row>
    <row r="21584">
      <c r="B21584" s="36"/>
      <c r="C21584" s="36"/>
      <c r="E21584" s="1"/>
      <c r="F21584" s="1"/>
      <c r="G21584" s="1"/>
    </row>
    <row r="21585">
      <c r="B21585" s="36"/>
      <c r="C21585" s="36"/>
      <c r="E21585" s="1"/>
      <c r="F21585" s="1"/>
      <c r="G21585" s="1"/>
    </row>
    <row r="21586">
      <c r="B21586" s="36"/>
      <c r="C21586" s="36"/>
      <c r="E21586" s="1"/>
      <c r="F21586" s="1"/>
      <c r="G21586" s="1"/>
    </row>
    <row r="21587">
      <c r="B21587" s="36"/>
      <c r="C21587" s="36"/>
      <c r="E21587" s="1"/>
      <c r="F21587" s="1"/>
      <c r="G21587" s="1"/>
    </row>
    <row r="21588">
      <c r="B21588" s="36"/>
      <c r="C21588" s="36"/>
      <c r="E21588" s="1"/>
      <c r="F21588" s="1"/>
      <c r="G21588" s="1"/>
    </row>
    <row r="21589">
      <c r="B21589" s="36"/>
      <c r="C21589" s="36"/>
      <c r="E21589" s="1"/>
      <c r="F21589" s="1"/>
      <c r="G21589" s="1"/>
    </row>
    <row r="21590">
      <c r="B21590" s="36"/>
      <c r="C21590" s="36"/>
      <c r="E21590" s="1"/>
      <c r="F21590" s="1"/>
      <c r="G21590" s="1"/>
    </row>
    <row r="21591">
      <c r="B21591" s="36"/>
      <c r="C21591" s="36"/>
      <c r="E21591" s="1"/>
      <c r="F21591" s="1"/>
      <c r="G21591" s="1"/>
    </row>
    <row r="21592">
      <c r="B21592" s="36"/>
      <c r="C21592" s="36"/>
      <c r="E21592" s="1"/>
      <c r="F21592" s="1"/>
      <c r="G21592" s="1"/>
    </row>
    <row r="21593">
      <c r="B21593" s="36"/>
      <c r="C21593" s="36"/>
      <c r="E21593" s="1"/>
      <c r="F21593" s="1"/>
      <c r="G21593" s="1"/>
    </row>
    <row r="21594">
      <c r="B21594" s="36"/>
      <c r="C21594" s="36"/>
      <c r="E21594" s="1"/>
      <c r="F21594" s="1"/>
      <c r="G21594" s="1"/>
    </row>
    <row r="21595">
      <c r="B21595" s="36"/>
      <c r="C21595" s="36"/>
      <c r="E21595" s="1"/>
      <c r="F21595" s="1"/>
      <c r="G21595" s="1"/>
    </row>
    <row r="21596">
      <c r="B21596" s="36"/>
      <c r="C21596" s="36"/>
      <c r="E21596" s="1"/>
      <c r="F21596" s="1"/>
      <c r="G21596" s="1"/>
    </row>
    <row r="21597">
      <c r="B21597" s="36"/>
      <c r="C21597" s="36"/>
      <c r="E21597" s="1"/>
      <c r="F21597" s="1"/>
      <c r="G21597" s="1"/>
    </row>
    <row r="21598">
      <c r="B21598" s="36"/>
      <c r="C21598" s="36"/>
      <c r="E21598" s="1"/>
      <c r="F21598" s="1"/>
      <c r="G21598" s="1"/>
    </row>
    <row r="21599">
      <c r="B21599" s="36"/>
      <c r="C21599" s="36"/>
      <c r="E21599" s="1"/>
      <c r="F21599" s="1"/>
      <c r="G21599" s="1"/>
    </row>
    <row r="21600">
      <c r="B21600" s="36"/>
      <c r="C21600" s="36"/>
      <c r="E21600" s="1"/>
      <c r="F21600" s="1"/>
      <c r="G21600" s="1"/>
    </row>
    <row r="21601">
      <c r="B21601" s="36"/>
      <c r="C21601" s="36"/>
      <c r="E21601" s="1"/>
      <c r="F21601" s="1"/>
      <c r="G21601" s="1"/>
    </row>
    <row r="21602">
      <c r="B21602" s="36"/>
      <c r="C21602" s="36"/>
      <c r="E21602" s="1"/>
      <c r="F21602" s="1"/>
      <c r="G21602" s="1"/>
    </row>
    <row r="21603">
      <c r="B21603" s="36"/>
      <c r="C21603" s="36"/>
      <c r="E21603" s="1"/>
      <c r="F21603" s="1"/>
      <c r="G21603" s="1"/>
    </row>
    <row r="21604">
      <c r="B21604" s="36"/>
      <c r="C21604" s="36"/>
      <c r="E21604" s="1"/>
      <c r="F21604" s="1"/>
      <c r="G21604" s="1"/>
    </row>
    <row r="21605">
      <c r="B21605" s="36"/>
      <c r="C21605" s="36"/>
      <c r="E21605" s="1"/>
      <c r="F21605" s="1"/>
      <c r="G21605" s="1"/>
    </row>
    <row r="21606">
      <c r="B21606" s="36"/>
      <c r="C21606" s="36"/>
      <c r="E21606" s="1"/>
      <c r="F21606" s="1"/>
      <c r="G21606" s="1"/>
    </row>
    <row r="21607">
      <c r="B21607" s="36"/>
      <c r="C21607" s="36"/>
      <c r="E21607" s="1"/>
      <c r="F21607" s="1"/>
      <c r="G21607" s="1"/>
    </row>
    <row r="21608">
      <c r="B21608" s="36"/>
      <c r="C21608" s="36"/>
      <c r="E21608" s="1"/>
      <c r="F21608" s="1"/>
      <c r="G21608" s="1"/>
    </row>
    <row r="21609">
      <c r="B21609" s="36"/>
      <c r="C21609" s="36"/>
      <c r="E21609" s="1"/>
      <c r="F21609" s="1"/>
      <c r="G21609" s="1"/>
    </row>
    <row r="21610">
      <c r="B21610" s="36"/>
      <c r="C21610" s="36"/>
      <c r="E21610" s="1"/>
      <c r="F21610" s="1"/>
      <c r="G21610" s="1"/>
    </row>
    <row r="21611">
      <c r="B21611" s="36"/>
      <c r="C21611" s="36"/>
      <c r="E21611" s="1"/>
      <c r="F21611" s="1"/>
      <c r="G21611" s="1"/>
    </row>
    <row r="21612">
      <c r="B21612" s="36"/>
      <c r="C21612" s="36"/>
      <c r="E21612" s="1"/>
      <c r="F21612" s="1"/>
      <c r="G21612" s="1"/>
    </row>
    <row r="21613">
      <c r="B21613" s="36"/>
      <c r="C21613" s="36"/>
      <c r="E21613" s="1"/>
      <c r="F21613" s="1"/>
      <c r="G21613" s="1"/>
    </row>
    <row r="21614">
      <c r="B21614" s="36"/>
      <c r="C21614" s="36"/>
      <c r="E21614" s="1"/>
      <c r="F21614" s="1"/>
      <c r="G21614" s="1"/>
    </row>
    <row r="21615">
      <c r="B21615" s="36"/>
      <c r="C21615" s="36"/>
      <c r="E21615" s="1"/>
      <c r="F21615" s="1"/>
      <c r="G21615" s="1"/>
    </row>
    <row r="21616">
      <c r="B21616" s="36"/>
      <c r="C21616" s="36"/>
      <c r="E21616" s="1"/>
      <c r="F21616" s="1"/>
      <c r="G21616" s="1"/>
    </row>
    <row r="21617">
      <c r="B21617" s="36"/>
      <c r="C21617" s="36"/>
      <c r="E21617" s="1"/>
      <c r="F21617" s="1"/>
      <c r="G21617" s="1"/>
    </row>
    <row r="21618">
      <c r="B21618" s="36"/>
      <c r="C21618" s="36"/>
      <c r="E21618" s="1"/>
      <c r="F21618" s="1"/>
      <c r="G21618" s="1"/>
    </row>
    <row r="21619">
      <c r="B21619" s="36"/>
      <c r="C21619" s="36"/>
      <c r="E21619" s="1"/>
      <c r="F21619" s="1"/>
      <c r="G21619" s="1"/>
    </row>
    <row r="21620">
      <c r="B21620" s="36"/>
      <c r="C21620" s="36"/>
      <c r="E21620" s="1"/>
      <c r="F21620" s="1"/>
      <c r="G21620" s="1"/>
    </row>
    <row r="21621">
      <c r="B21621" s="36"/>
      <c r="C21621" s="36"/>
      <c r="E21621" s="1"/>
      <c r="F21621" s="1"/>
      <c r="G21621" s="1"/>
    </row>
    <row r="21622">
      <c r="B21622" s="36"/>
      <c r="C21622" s="36"/>
      <c r="E21622" s="1"/>
      <c r="F21622" s="1"/>
      <c r="G21622" s="1"/>
    </row>
    <row r="21623">
      <c r="B21623" s="36"/>
      <c r="C21623" s="36"/>
      <c r="E21623" s="1"/>
      <c r="F21623" s="1"/>
      <c r="G21623" s="1"/>
    </row>
    <row r="21624">
      <c r="B21624" s="36"/>
      <c r="C21624" s="36"/>
      <c r="E21624" s="1"/>
      <c r="F21624" s="1"/>
      <c r="G21624" s="1"/>
    </row>
    <row r="21625">
      <c r="B21625" s="36"/>
      <c r="C21625" s="36"/>
      <c r="E21625" s="1"/>
      <c r="F21625" s="1"/>
      <c r="G21625" s="1"/>
    </row>
    <row r="21626">
      <c r="B21626" s="36"/>
      <c r="C21626" s="36"/>
      <c r="E21626" s="1"/>
      <c r="F21626" s="1"/>
      <c r="G21626" s="1"/>
    </row>
    <row r="21627">
      <c r="B21627" s="36"/>
      <c r="C21627" s="36"/>
      <c r="E21627" s="1"/>
      <c r="F21627" s="1"/>
      <c r="G21627" s="1"/>
    </row>
    <row r="21628">
      <c r="B21628" s="36"/>
      <c r="C21628" s="36"/>
      <c r="E21628" s="1"/>
      <c r="F21628" s="1"/>
      <c r="G21628" s="1"/>
    </row>
    <row r="21629">
      <c r="B21629" s="36"/>
      <c r="C21629" s="36"/>
      <c r="E21629" s="1"/>
      <c r="F21629" s="1"/>
      <c r="G21629" s="1"/>
    </row>
    <row r="21630">
      <c r="B21630" s="36"/>
      <c r="C21630" s="36"/>
      <c r="E21630" s="1"/>
      <c r="F21630" s="1"/>
      <c r="G21630" s="1"/>
    </row>
    <row r="21631">
      <c r="B21631" s="36"/>
      <c r="C21631" s="36"/>
      <c r="E21631" s="1"/>
      <c r="F21631" s="1"/>
      <c r="G21631" s="1"/>
    </row>
    <row r="21632">
      <c r="B21632" s="36"/>
      <c r="C21632" s="36"/>
      <c r="E21632" s="1"/>
      <c r="F21632" s="1"/>
      <c r="G21632" s="1"/>
    </row>
    <row r="21633">
      <c r="B21633" s="36"/>
      <c r="C21633" s="36"/>
      <c r="E21633" s="1"/>
      <c r="F21633" s="1"/>
      <c r="G21633" s="1"/>
    </row>
    <row r="21634">
      <c r="B21634" s="36"/>
      <c r="C21634" s="36"/>
      <c r="E21634" s="1"/>
      <c r="F21634" s="1"/>
      <c r="G21634" s="1"/>
    </row>
    <row r="21635">
      <c r="B21635" s="36"/>
      <c r="C21635" s="36"/>
      <c r="E21635" s="1"/>
      <c r="F21635" s="1"/>
      <c r="G21635" s="1"/>
    </row>
    <row r="21636">
      <c r="B21636" s="36"/>
      <c r="C21636" s="36"/>
      <c r="E21636" s="1"/>
      <c r="F21636" s="1"/>
      <c r="G21636" s="1"/>
    </row>
    <row r="21637">
      <c r="B21637" s="36"/>
      <c r="C21637" s="36"/>
      <c r="E21637" s="1"/>
      <c r="F21637" s="1"/>
      <c r="G21637" s="1"/>
    </row>
    <row r="21638">
      <c r="B21638" s="36"/>
      <c r="C21638" s="36"/>
      <c r="E21638" s="1"/>
      <c r="F21638" s="1"/>
      <c r="G21638" s="1"/>
    </row>
    <row r="21639">
      <c r="B21639" s="36"/>
      <c r="C21639" s="36"/>
      <c r="E21639" s="1"/>
      <c r="F21639" s="1"/>
      <c r="G21639" s="1"/>
    </row>
    <row r="21640">
      <c r="B21640" s="36"/>
      <c r="C21640" s="36"/>
      <c r="E21640" s="1"/>
      <c r="F21640" s="1"/>
      <c r="G21640" s="1"/>
    </row>
    <row r="21641">
      <c r="B21641" s="36"/>
      <c r="C21641" s="36"/>
      <c r="E21641" s="1"/>
      <c r="F21641" s="1"/>
      <c r="G21641" s="1"/>
    </row>
    <row r="21642">
      <c r="B21642" s="36"/>
      <c r="C21642" s="36"/>
      <c r="E21642" s="1"/>
      <c r="F21642" s="1"/>
      <c r="G21642" s="1"/>
    </row>
    <row r="21643">
      <c r="B21643" s="36"/>
      <c r="C21643" s="36"/>
      <c r="E21643" s="1"/>
      <c r="F21643" s="1"/>
      <c r="G21643" s="1"/>
    </row>
    <row r="21644">
      <c r="B21644" s="36"/>
      <c r="C21644" s="36"/>
      <c r="E21644" s="1"/>
      <c r="F21644" s="1"/>
      <c r="G21644" s="1"/>
    </row>
    <row r="21645">
      <c r="B21645" s="36"/>
      <c r="C21645" s="36"/>
      <c r="E21645" s="1"/>
      <c r="F21645" s="1"/>
      <c r="G21645" s="1"/>
    </row>
    <row r="21646">
      <c r="B21646" s="36"/>
      <c r="C21646" s="36"/>
      <c r="E21646" s="1"/>
      <c r="F21646" s="1"/>
      <c r="G21646" s="1"/>
    </row>
    <row r="21647">
      <c r="B21647" s="36"/>
      <c r="C21647" s="36"/>
      <c r="E21647" s="1"/>
      <c r="F21647" s="1"/>
      <c r="G21647" s="1"/>
    </row>
    <row r="21648">
      <c r="B21648" s="36"/>
      <c r="C21648" s="36"/>
      <c r="E21648" s="1"/>
      <c r="F21648" s="1"/>
      <c r="G21648" s="1"/>
    </row>
    <row r="21649">
      <c r="B21649" s="36"/>
      <c r="C21649" s="36"/>
      <c r="E21649" s="1"/>
      <c r="F21649" s="1"/>
      <c r="G21649" s="1"/>
    </row>
    <row r="21650">
      <c r="B21650" s="36"/>
      <c r="C21650" s="36"/>
      <c r="E21650" s="1"/>
      <c r="F21650" s="1"/>
      <c r="G21650" s="1"/>
    </row>
    <row r="21651">
      <c r="B21651" s="36"/>
      <c r="C21651" s="36"/>
      <c r="E21651" s="1"/>
      <c r="F21651" s="1"/>
      <c r="G21651" s="1"/>
    </row>
    <row r="21652">
      <c r="B21652" s="36"/>
      <c r="C21652" s="36"/>
      <c r="E21652" s="1"/>
      <c r="F21652" s="1"/>
      <c r="G21652" s="1"/>
    </row>
    <row r="21653">
      <c r="B21653" s="36"/>
      <c r="C21653" s="36"/>
      <c r="E21653" s="1"/>
      <c r="F21653" s="1"/>
      <c r="G21653" s="1"/>
    </row>
    <row r="21654">
      <c r="B21654" s="36"/>
      <c r="C21654" s="36"/>
      <c r="E21654" s="1"/>
      <c r="F21654" s="1"/>
      <c r="G21654" s="1"/>
    </row>
    <row r="21655">
      <c r="B21655" s="36"/>
      <c r="C21655" s="36"/>
      <c r="E21655" s="1"/>
      <c r="F21655" s="1"/>
      <c r="G21655" s="1"/>
    </row>
    <row r="21656">
      <c r="B21656" s="36"/>
      <c r="C21656" s="36"/>
      <c r="E21656" s="1"/>
      <c r="F21656" s="1"/>
      <c r="G21656" s="1"/>
    </row>
    <row r="21657">
      <c r="B21657" s="36"/>
      <c r="C21657" s="36"/>
      <c r="E21657" s="1"/>
      <c r="F21657" s="1"/>
      <c r="G21657" s="1"/>
    </row>
    <row r="21658">
      <c r="B21658" s="36"/>
      <c r="C21658" s="36"/>
      <c r="E21658" s="1"/>
      <c r="F21658" s="1"/>
      <c r="G21658" s="1"/>
    </row>
    <row r="21659">
      <c r="B21659" s="36"/>
      <c r="C21659" s="36"/>
      <c r="E21659" s="1"/>
      <c r="F21659" s="1"/>
      <c r="G21659" s="1"/>
    </row>
    <row r="21660">
      <c r="B21660" s="36"/>
      <c r="C21660" s="36"/>
      <c r="E21660" s="1"/>
      <c r="F21660" s="1"/>
      <c r="G21660" s="1"/>
    </row>
    <row r="21661">
      <c r="B21661" s="36"/>
      <c r="C21661" s="36"/>
      <c r="E21661" s="1"/>
      <c r="F21661" s="1"/>
      <c r="G21661" s="1"/>
    </row>
    <row r="21662">
      <c r="B21662" s="36"/>
      <c r="C21662" s="36"/>
      <c r="E21662" s="1"/>
      <c r="F21662" s="1"/>
      <c r="G21662" s="1"/>
    </row>
    <row r="21663">
      <c r="B21663" s="36"/>
      <c r="C21663" s="36"/>
      <c r="E21663" s="1"/>
      <c r="F21663" s="1"/>
      <c r="G21663" s="1"/>
    </row>
    <row r="21664">
      <c r="B21664" s="36"/>
      <c r="C21664" s="36"/>
      <c r="E21664" s="1"/>
      <c r="F21664" s="1"/>
      <c r="G21664" s="1"/>
    </row>
    <row r="21665">
      <c r="B21665" s="36"/>
      <c r="C21665" s="36"/>
      <c r="E21665" s="1"/>
      <c r="F21665" s="1"/>
      <c r="G21665" s="1"/>
    </row>
    <row r="21666">
      <c r="B21666" s="36"/>
      <c r="C21666" s="36"/>
      <c r="E21666" s="1"/>
      <c r="F21666" s="1"/>
      <c r="G21666" s="1"/>
    </row>
    <row r="21667">
      <c r="B21667" s="36"/>
      <c r="C21667" s="36"/>
      <c r="E21667" s="1"/>
      <c r="F21667" s="1"/>
      <c r="G21667" s="1"/>
    </row>
    <row r="21668">
      <c r="B21668" s="36"/>
      <c r="C21668" s="36"/>
      <c r="E21668" s="1"/>
      <c r="F21668" s="1"/>
      <c r="G21668" s="1"/>
    </row>
    <row r="21669">
      <c r="B21669" s="36"/>
      <c r="C21669" s="36"/>
      <c r="E21669" s="1"/>
      <c r="F21669" s="1"/>
      <c r="G21669" s="1"/>
    </row>
    <row r="21670">
      <c r="B21670" s="36"/>
      <c r="C21670" s="36"/>
      <c r="E21670" s="1"/>
      <c r="F21670" s="1"/>
      <c r="G21670" s="1"/>
    </row>
    <row r="21671">
      <c r="B21671" s="36"/>
      <c r="C21671" s="36"/>
      <c r="E21671" s="1"/>
      <c r="F21671" s="1"/>
      <c r="G21671" s="1"/>
    </row>
    <row r="21672">
      <c r="B21672" s="36"/>
      <c r="C21672" s="36"/>
      <c r="E21672" s="1"/>
      <c r="F21672" s="1"/>
      <c r="G21672" s="1"/>
    </row>
    <row r="21673">
      <c r="B21673" s="36"/>
      <c r="C21673" s="36"/>
      <c r="E21673" s="1"/>
      <c r="F21673" s="1"/>
      <c r="G21673" s="1"/>
    </row>
    <row r="21674">
      <c r="B21674" s="36"/>
      <c r="C21674" s="36"/>
      <c r="E21674" s="1"/>
      <c r="F21674" s="1"/>
      <c r="G21674" s="1"/>
    </row>
    <row r="21675">
      <c r="B21675" s="36"/>
      <c r="C21675" s="36"/>
      <c r="E21675" s="1"/>
      <c r="F21675" s="1"/>
      <c r="G21675" s="1"/>
    </row>
    <row r="21676">
      <c r="B21676" s="36"/>
      <c r="C21676" s="36"/>
      <c r="E21676" s="1"/>
      <c r="F21676" s="1"/>
      <c r="G21676" s="1"/>
    </row>
    <row r="21677">
      <c r="B21677" s="36"/>
      <c r="C21677" s="36"/>
      <c r="E21677" s="1"/>
      <c r="F21677" s="1"/>
      <c r="G21677" s="1"/>
    </row>
    <row r="21678">
      <c r="B21678" s="36"/>
      <c r="C21678" s="36"/>
      <c r="E21678" s="1"/>
      <c r="F21678" s="1"/>
      <c r="G21678" s="1"/>
    </row>
    <row r="21679">
      <c r="B21679" s="36"/>
      <c r="C21679" s="36"/>
      <c r="E21679" s="1"/>
      <c r="F21679" s="1"/>
      <c r="G21679" s="1"/>
    </row>
    <row r="21680">
      <c r="B21680" s="36"/>
      <c r="C21680" s="36"/>
      <c r="E21680" s="1"/>
      <c r="F21680" s="1"/>
      <c r="G21680" s="1"/>
    </row>
    <row r="21681">
      <c r="B21681" s="36"/>
      <c r="C21681" s="36"/>
      <c r="E21681" s="1"/>
      <c r="F21681" s="1"/>
      <c r="G21681" s="1"/>
    </row>
    <row r="21682">
      <c r="B21682" s="36"/>
      <c r="C21682" s="36"/>
      <c r="E21682" s="1"/>
      <c r="F21682" s="1"/>
      <c r="G21682" s="1"/>
    </row>
    <row r="21683">
      <c r="B21683" s="36"/>
      <c r="C21683" s="36"/>
      <c r="E21683" s="1"/>
      <c r="F21683" s="1"/>
      <c r="G21683" s="1"/>
    </row>
    <row r="21684">
      <c r="B21684" s="36"/>
      <c r="C21684" s="36"/>
      <c r="E21684" s="1"/>
      <c r="F21684" s="1"/>
      <c r="G21684" s="1"/>
    </row>
    <row r="21685">
      <c r="B21685" s="36"/>
      <c r="C21685" s="36"/>
      <c r="E21685" s="1"/>
      <c r="F21685" s="1"/>
      <c r="G21685" s="1"/>
    </row>
    <row r="21686">
      <c r="B21686" s="36"/>
      <c r="C21686" s="36"/>
      <c r="E21686" s="1"/>
      <c r="F21686" s="1"/>
      <c r="G21686" s="1"/>
    </row>
    <row r="21687">
      <c r="B21687" s="36"/>
      <c r="C21687" s="36"/>
      <c r="E21687" s="1"/>
      <c r="F21687" s="1"/>
      <c r="G21687" s="1"/>
    </row>
    <row r="21688">
      <c r="B21688" s="36"/>
      <c r="C21688" s="36"/>
      <c r="E21688" s="1"/>
      <c r="F21688" s="1"/>
      <c r="G21688" s="1"/>
    </row>
    <row r="21689">
      <c r="B21689" s="36"/>
      <c r="C21689" s="36"/>
      <c r="E21689" s="1"/>
      <c r="F21689" s="1"/>
      <c r="G21689" s="1"/>
    </row>
    <row r="21690">
      <c r="B21690" s="36"/>
      <c r="C21690" s="36"/>
      <c r="E21690" s="1"/>
      <c r="F21690" s="1"/>
      <c r="G21690" s="1"/>
    </row>
    <row r="21691">
      <c r="B21691" s="36"/>
      <c r="C21691" s="36"/>
      <c r="E21691" s="1"/>
      <c r="F21691" s="1"/>
      <c r="G21691" s="1"/>
    </row>
    <row r="21692">
      <c r="B21692" s="36"/>
      <c r="C21692" s="36"/>
      <c r="E21692" s="1"/>
      <c r="F21692" s="1"/>
      <c r="G21692" s="1"/>
    </row>
    <row r="21693">
      <c r="B21693" s="36"/>
      <c r="C21693" s="36"/>
      <c r="E21693" s="1"/>
      <c r="F21693" s="1"/>
      <c r="G21693" s="1"/>
    </row>
    <row r="21694">
      <c r="B21694" s="36"/>
      <c r="C21694" s="36"/>
      <c r="E21694" s="1"/>
      <c r="F21694" s="1"/>
      <c r="G21694" s="1"/>
    </row>
    <row r="21695">
      <c r="B21695" s="36"/>
      <c r="C21695" s="36"/>
      <c r="E21695" s="1"/>
      <c r="F21695" s="1"/>
      <c r="G21695" s="1"/>
    </row>
    <row r="21696">
      <c r="B21696" s="36"/>
      <c r="C21696" s="36"/>
      <c r="E21696" s="1"/>
      <c r="F21696" s="1"/>
      <c r="G21696" s="1"/>
    </row>
    <row r="21697">
      <c r="B21697" s="36"/>
      <c r="C21697" s="36"/>
      <c r="E21697" s="1"/>
      <c r="F21697" s="1"/>
      <c r="G21697" s="1"/>
    </row>
    <row r="21698">
      <c r="B21698" s="36"/>
      <c r="C21698" s="36"/>
      <c r="E21698" s="1"/>
      <c r="F21698" s="1"/>
      <c r="G21698" s="1"/>
    </row>
    <row r="21699">
      <c r="B21699" s="36"/>
      <c r="C21699" s="36"/>
      <c r="E21699" s="1"/>
      <c r="F21699" s="1"/>
      <c r="G21699" s="1"/>
    </row>
    <row r="21700">
      <c r="B21700" s="36"/>
      <c r="C21700" s="36"/>
      <c r="E21700" s="1"/>
      <c r="F21700" s="1"/>
      <c r="G21700" s="1"/>
    </row>
    <row r="21701">
      <c r="B21701" s="36"/>
      <c r="C21701" s="36"/>
      <c r="E21701" s="1"/>
      <c r="F21701" s="1"/>
      <c r="G21701" s="1"/>
    </row>
    <row r="21702">
      <c r="B21702" s="36"/>
      <c r="C21702" s="36"/>
      <c r="E21702" s="1"/>
      <c r="F21702" s="1"/>
      <c r="G21702" s="1"/>
    </row>
    <row r="21703">
      <c r="B21703" s="36"/>
      <c r="C21703" s="36"/>
      <c r="E21703" s="1"/>
      <c r="F21703" s="1"/>
      <c r="G21703" s="1"/>
    </row>
    <row r="21704">
      <c r="B21704" s="36"/>
      <c r="C21704" s="36"/>
      <c r="E21704" s="1"/>
      <c r="F21704" s="1"/>
      <c r="G21704" s="1"/>
    </row>
    <row r="21705">
      <c r="B21705" s="36"/>
      <c r="C21705" s="36"/>
      <c r="E21705" s="1"/>
      <c r="F21705" s="1"/>
      <c r="G21705" s="1"/>
    </row>
    <row r="21706">
      <c r="B21706" s="36"/>
      <c r="C21706" s="36"/>
      <c r="E21706" s="1"/>
      <c r="F21706" s="1"/>
      <c r="G21706" s="1"/>
    </row>
    <row r="21707">
      <c r="B21707" s="36"/>
      <c r="C21707" s="36"/>
      <c r="E21707" s="1"/>
      <c r="F21707" s="1"/>
      <c r="G21707" s="1"/>
    </row>
    <row r="21708">
      <c r="B21708" s="36"/>
      <c r="C21708" s="36"/>
      <c r="E21708" s="1"/>
      <c r="F21708" s="1"/>
      <c r="G21708" s="1"/>
    </row>
    <row r="21709">
      <c r="B21709" s="36"/>
      <c r="C21709" s="36"/>
      <c r="E21709" s="1"/>
      <c r="F21709" s="1"/>
      <c r="G21709" s="1"/>
    </row>
    <row r="21710">
      <c r="B21710" s="36"/>
      <c r="C21710" s="36"/>
      <c r="E21710" s="1"/>
      <c r="F21710" s="1"/>
      <c r="G21710" s="1"/>
    </row>
    <row r="21711">
      <c r="B21711" s="36"/>
      <c r="C21711" s="36"/>
      <c r="E21711" s="1"/>
      <c r="F21711" s="1"/>
      <c r="G21711" s="1"/>
    </row>
    <row r="21712">
      <c r="B21712" s="36"/>
      <c r="C21712" s="36"/>
      <c r="E21712" s="1"/>
      <c r="F21712" s="1"/>
      <c r="G21712" s="1"/>
    </row>
    <row r="21713">
      <c r="B21713" s="36"/>
      <c r="C21713" s="36"/>
      <c r="E21713" s="1"/>
      <c r="F21713" s="1"/>
      <c r="G21713" s="1"/>
    </row>
    <row r="21714">
      <c r="B21714" s="36"/>
      <c r="C21714" s="36"/>
      <c r="E21714" s="1"/>
      <c r="F21714" s="1"/>
      <c r="G21714" s="1"/>
    </row>
    <row r="21715">
      <c r="B21715" s="36"/>
      <c r="C21715" s="36"/>
      <c r="E21715" s="1"/>
      <c r="F21715" s="1"/>
      <c r="G21715" s="1"/>
    </row>
    <row r="21716">
      <c r="B21716" s="36"/>
      <c r="C21716" s="36"/>
      <c r="E21716" s="1"/>
      <c r="F21716" s="1"/>
      <c r="G21716" s="1"/>
    </row>
    <row r="21717">
      <c r="B21717" s="36"/>
      <c r="C21717" s="36"/>
      <c r="E21717" s="1"/>
      <c r="F21717" s="1"/>
      <c r="G21717" s="1"/>
    </row>
    <row r="21718">
      <c r="B21718" s="36"/>
      <c r="C21718" s="36"/>
      <c r="E21718" s="1"/>
      <c r="F21718" s="1"/>
      <c r="G21718" s="1"/>
    </row>
    <row r="21719">
      <c r="B21719" s="36"/>
      <c r="C21719" s="36"/>
      <c r="E21719" s="1"/>
      <c r="F21719" s="1"/>
      <c r="G21719" s="1"/>
    </row>
    <row r="21720">
      <c r="B21720" s="36"/>
      <c r="C21720" s="36"/>
      <c r="E21720" s="1"/>
      <c r="F21720" s="1"/>
      <c r="G21720" s="1"/>
    </row>
    <row r="21721">
      <c r="B21721" s="36"/>
      <c r="C21721" s="36"/>
      <c r="E21721" s="1"/>
      <c r="F21721" s="1"/>
      <c r="G21721" s="1"/>
    </row>
    <row r="21722">
      <c r="B21722" s="36"/>
      <c r="C21722" s="36"/>
      <c r="E21722" s="1"/>
      <c r="F21722" s="1"/>
      <c r="G21722" s="1"/>
    </row>
    <row r="21723">
      <c r="B21723" s="36"/>
      <c r="C21723" s="36"/>
      <c r="E21723" s="1"/>
      <c r="F21723" s="1"/>
      <c r="G21723" s="1"/>
    </row>
    <row r="21724">
      <c r="B21724" s="36"/>
      <c r="C21724" s="36"/>
      <c r="E21724" s="1"/>
      <c r="F21724" s="1"/>
      <c r="G21724" s="1"/>
    </row>
    <row r="21725">
      <c r="B21725" s="36"/>
      <c r="C21725" s="36"/>
      <c r="E21725" s="1"/>
      <c r="F21725" s="1"/>
      <c r="G21725" s="1"/>
    </row>
    <row r="21726">
      <c r="B21726" s="36"/>
      <c r="C21726" s="36"/>
      <c r="E21726" s="1"/>
      <c r="F21726" s="1"/>
      <c r="G21726" s="1"/>
    </row>
    <row r="21727">
      <c r="B21727" s="36"/>
      <c r="C21727" s="36"/>
      <c r="E21727" s="1"/>
      <c r="F21727" s="1"/>
      <c r="G21727" s="1"/>
    </row>
    <row r="21728">
      <c r="B21728" s="36"/>
      <c r="C21728" s="36"/>
      <c r="E21728" s="1"/>
      <c r="F21728" s="1"/>
      <c r="G21728" s="1"/>
    </row>
    <row r="21729">
      <c r="B21729" s="36"/>
      <c r="C21729" s="36"/>
      <c r="E21729" s="1"/>
      <c r="F21729" s="1"/>
      <c r="G21729" s="1"/>
    </row>
    <row r="21730">
      <c r="B21730" s="36"/>
      <c r="C21730" s="36"/>
      <c r="E21730" s="1"/>
      <c r="F21730" s="1"/>
      <c r="G21730" s="1"/>
    </row>
    <row r="21731">
      <c r="B21731" s="36"/>
      <c r="C21731" s="36"/>
      <c r="E21731" s="1"/>
      <c r="F21731" s="1"/>
      <c r="G21731" s="1"/>
    </row>
    <row r="21732">
      <c r="B21732" s="36"/>
      <c r="C21732" s="36"/>
      <c r="E21732" s="1"/>
      <c r="F21732" s="1"/>
      <c r="G21732" s="1"/>
    </row>
    <row r="21733">
      <c r="B21733" s="36"/>
      <c r="C21733" s="36"/>
      <c r="E21733" s="1"/>
      <c r="F21733" s="1"/>
      <c r="G21733" s="1"/>
    </row>
    <row r="21734">
      <c r="B21734" s="36"/>
      <c r="C21734" s="36"/>
      <c r="E21734" s="1"/>
      <c r="F21734" s="1"/>
      <c r="G21734" s="1"/>
    </row>
    <row r="21735">
      <c r="B21735" s="36"/>
      <c r="C21735" s="36"/>
      <c r="E21735" s="1"/>
      <c r="F21735" s="1"/>
      <c r="G21735" s="1"/>
    </row>
    <row r="21736">
      <c r="B21736" s="36"/>
      <c r="C21736" s="36"/>
      <c r="E21736" s="1"/>
      <c r="F21736" s="1"/>
      <c r="G21736" s="1"/>
    </row>
    <row r="21737">
      <c r="B21737" s="36"/>
      <c r="C21737" s="36"/>
      <c r="E21737" s="1"/>
      <c r="F21737" s="1"/>
      <c r="G21737" s="1"/>
    </row>
    <row r="21738">
      <c r="B21738" s="36"/>
      <c r="C21738" s="36"/>
      <c r="E21738" s="1"/>
      <c r="F21738" s="1"/>
      <c r="G21738" s="1"/>
    </row>
    <row r="21739">
      <c r="B21739" s="36"/>
      <c r="C21739" s="36"/>
      <c r="E21739" s="1"/>
      <c r="F21739" s="1"/>
      <c r="G21739" s="1"/>
    </row>
    <row r="21740">
      <c r="B21740" s="36"/>
      <c r="C21740" s="36"/>
      <c r="E21740" s="1"/>
      <c r="F21740" s="1"/>
      <c r="G21740" s="1"/>
    </row>
    <row r="21741">
      <c r="B21741" s="36"/>
      <c r="C21741" s="36"/>
      <c r="E21741" s="1"/>
      <c r="F21741" s="1"/>
      <c r="G21741" s="1"/>
    </row>
    <row r="21742">
      <c r="B21742" s="36"/>
      <c r="C21742" s="36"/>
      <c r="E21742" s="1"/>
      <c r="F21742" s="1"/>
      <c r="G21742" s="1"/>
    </row>
    <row r="21743">
      <c r="B21743" s="36"/>
      <c r="C21743" s="36"/>
      <c r="E21743" s="1"/>
      <c r="F21743" s="1"/>
      <c r="G21743" s="1"/>
    </row>
    <row r="21744">
      <c r="B21744" s="36"/>
      <c r="C21744" s="36"/>
      <c r="E21744" s="1"/>
      <c r="F21744" s="1"/>
      <c r="G21744" s="1"/>
    </row>
    <row r="21745">
      <c r="B21745" s="36"/>
      <c r="C21745" s="36"/>
      <c r="E21745" s="1"/>
      <c r="F21745" s="1"/>
      <c r="G21745" s="1"/>
    </row>
    <row r="21746">
      <c r="B21746" s="36"/>
      <c r="C21746" s="36"/>
      <c r="E21746" s="1"/>
      <c r="F21746" s="1"/>
      <c r="G21746" s="1"/>
    </row>
    <row r="21747">
      <c r="B21747" s="36"/>
      <c r="C21747" s="36"/>
      <c r="E21747" s="1"/>
      <c r="F21747" s="1"/>
      <c r="G21747" s="1"/>
    </row>
    <row r="21748">
      <c r="B21748" s="36"/>
      <c r="C21748" s="36"/>
      <c r="E21748" s="1"/>
      <c r="F21748" s="1"/>
      <c r="G21748" s="1"/>
    </row>
    <row r="21749">
      <c r="B21749" s="36"/>
      <c r="C21749" s="36"/>
      <c r="E21749" s="1"/>
      <c r="F21749" s="1"/>
      <c r="G21749" s="1"/>
    </row>
    <row r="21750">
      <c r="B21750" s="36"/>
      <c r="C21750" s="36"/>
      <c r="E21750" s="1"/>
      <c r="F21750" s="1"/>
      <c r="G21750" s="1"/>
    </row>
    <row r="21751">
      <c r="B21751" s="36"/>
      <c r="C21751" s="36"/>
      <c r="E21751" s="1"/>
      <c r="F21751" s="1"/>
      <c r="G21751" s="1"/>
    </row>
    <row r="21752">
      <c r="B21752" s="36"/>
      <c r="C21752" s="36"/>
      <c r="E21752" s="1"/>
      <c r="F21752" s="1"/>
      <c r="G21752" s="1"/>
    </row>
    <row r="21753">
      <c r="B21753" s="36"/>
      <c r="C21753" s="36"/>
      <c r="E21753" s="1"/>
      <c r="F21753" s="1"/>
      <c r="G21753" s="1"/>
    </row>
    <row r="21754">
      <c r="B21754" s="36"/>
      <c r="C21754" s="36"/>
      <c r="E21754" s="1"/>
      <c r="F21754" s="1"/>
      <c r="G21754" s="1"/>
    </row>
    <row r="21755">
      <c r="B21755" s="36"/>
      <c r="C21755" s="36"/>
      <c r="E21755" s="1"/>
      <c r="F21755" s="1"/>
      <c r="G21755" s="1"/>
    </row>
    <row r="21756">
      <c r="B21756" s="36"/>
      <c r="C21756" s="36"/>
      <c r="E21756" s="1"/>
      <c r="F21756" s="1"/>
      <c r="G21756" s="1"/>
    </row>
    <row r="21757">
      <c r="B21757" s="36"/>
      <c r="C21757" s="36"/>
      <c r="E21757" s="1"/>
      <c r="F21757" s="1"/>
      <c r="G21757" s="1"/>
    </row>
    <row r="21758">
      <c r="B21758" s="36"/>
      <c r="C21758" s="36"/>
      <c r="E21758" s="1"/>
      <c r="F21758" s="1"/>
      <c r="G21758" s="1"/>
    </row>
    <row r="21759">
      <c r="B21759" s="36"/>
      <c r="C21759" s="36"/>
      <c r="E21759" s="1"/>
      <c r="F21759" s="1"/>
      <c r="G21759" s="1"/>
    </row>
    <row r="21760">
      <c r="B21760" s="36"/>
      <c r="C21760" s="36"/>
      <c r="E21760" s="1"/>
      <c r="F21760" s="1"/>
      <c r="G21760" s="1"/>
    </row>
    <row r="21761">
      <c r="B21761" s="36"/>
      <c r="C21761" s="36"/>
      <c r="E21761" s="1"/>
      <c r="F21761" s="1"/>
      <c r="G21761" s="1"/>
    </row>
    <row r="21762">
      <c r="B21762" s="36"/>
      <c r="C21762" s="36"/>
      <c r="E21762" s="1"/>
      <c r="F21762" s="1"/>
      <c r="G21762" s="1"/>
    </row>
    <row r="21763">
      <c r="B21763" s="36"/>
      <c r="C21763" s="36"/>
      <c r="E21763" s="1"/>
      <c r="F21763" s="1"/>
      <c r="G21763" s="1"/>
    </row>
    <row r="21764">
      <c r="B21764" s="36"/>
      <c r="C21764" s="36"/>
      <c r="E21764" s="1"/>
      <c r="F21764" s="1"/>
      <c r="G21764" s="1"/>
    </row>
    <row r="21765">
      <c r="B21765" s="36"/>
      <c r="C21765" s="36"/>
      <c r="E21765" s="1"/>
      <c r="F21765" s="1"/>
      <c r="G21765" s="1"/>
    </row>
    <row r="21766">
      <c r="B21766" s="36"/>
      <c r="C21766" s="36"/>
      <c r="E21766" s="1"/>
      <c r="F21766" s="1"/>
      <c r="G21766" s="1"/>
    </row>
    <row r="21767">
      <c r="B21767" s="36"/>
      <c r="C21767" s="36"/>
      <c r="E21767" s="1"/>
      <c r="F21767" s="1"/>
      <c r="G21767" s="1"/>
    </row>
    <row r="21768">
      <c r="B21768" s="36"/>
      <c r="C21768" s="36"/>
      <c r="E21768" s="1"/>
      <c r="F21768" s="1"/>
      <c r="G21768" s="1"/>
    </row>
    <row r="21769">
      <c r="B21769" s="36"/>
      <c r="C21769" s="36"/>
      <c r="E21769" s="1"/>
      <c r="F21769" s="1"/>
      <c r="G21769" s="1"/>
    </row>
    <row r="21770">
      <c r="B21770" s="36"/>
      <c r="C21770" s="36"/>
      <c r="E21770" s="1"/>
      <c r="F21770" s="1"/>
      <c r="G21770" s="1"/>
    </row>
    <row r="21771">
      <c r="B21771" s="36"/>
      <c r="C21771" s="36"/>
      <c r="E21771" s="1"/>
      <c r="F21771" s="1"/>
      <c r="G21771" s="1"/>
    </row>
    <row r="21772">
      <c r="B21772" s="36"/>
      <c r="C21772" s="36"/>
      <c r="E21772" s="1"/>
      <c r="F21772" s="1"/>
      <c r="G21772" s="1"/>
    </row>
    <row r="21773">
      <c r="B21773" s="36"/>
      <c r="C21773" s="36"/>
      <c r="E21773" s="1"/>
      <c r="F21773" s="1"/>
      <c r="G21773" s="1"/>
    </row>
    <row r="21774">
      <c r="B21774" s="36"/>
      <c r="C21774" s="36"/>
      <c r="E21774" s="1"/>
      <c r="F21774" s="1"/>
      <c r="G21774" s="1"/>
    </row>
    <row r="21775">
      <c r="B21775" s="36"/>
      <c r="C21775" s="36"/>
      <c r="E21775" s="1"/>
      <c r="F21775" s="1"/>
      <c r="G21775" s="1"/>
    </row>
    <row r="21776">
      <c r="B21776" s="36"/>
      <c r="C21776" s="36"/>
      <c r="E21776" s="1"/>
      <c r="F21776" s="1"/>
      <c r="G21776" s="1"/>
    </row>
    <row r="21777">
      <c r="B21777" s="36"/>
      <c r="C21777" s="36"/>
      <c r="E21777" s="1"/>
      <c r="F21777" s="1"/>
      <c r="G21777" s="1"/>
    </row>
    <row r="21778">
      <c r="B21778" s="36"/>
      <c r="C21778" s="36"/>
      <c r="E21778" s="1"/>
      <c r="F21778" s="1"/>
      <c r="G21778" s="1"/>
    </row>
    <row r="21779">
      <c r="B21779" s="36"/>
      <c r="C21779" s="36"/>
      <c r="E21779" s="1"/>
      <c r="F21779" s="1"/>
      <c r="G21779" s="1"/>
    </row>
    <row r="21780">
      <c r="B21780" s="36"/>
      <c r="C21780" s="36"/>
      <c r="E21780" s="1"/>
      <c r="F21780" s="1"/>
      <c r="G21780" s="1"/>
    </row>
    <row r="21781">
      <c r="B21781" s="36"/>
      <c r="C21781" s="36"/>
      <c r="E21781" s="1"/>
      <c r="F21781" s="1"/>
      <c r="G21781" s="1"/>
    </row>
    <row r="21782">
      <c r="B21782" s="36"/>
      <c r="C21782" s="36"/>
      <c r="E21782" s="1"/>
      <c r="F21782" s="1"/>
      <c r="G21782" s="1"/>
    </row>
    <row r="21783">
      <c r="B21783" s="36"/>
      <c r="C21783" s="36"/>
      <c r="E21783" s="1"/>
      <c r="F21783" s="1"/>
      <c r="G21783" s="1"/>
    </row>
    <row r="21784">
      <c r="B21784" s="36"/>
      <c r="C21784" s="36"/>
      <c r="E21784" s="1"/>
      <c r="F21784" s="1"/>
      <c r="G21784" s="1"/>
    </row>
    <row r="21785">
      <c r="B21785" s="36"/>
      <c r="C21785" s="36"/>
      <c r="E21785" s="1"/>
      <c r="F21785" s="1"/>
      <c r="G21785" s="1"/>
    </row>
    <row r="21786">
      <c r="B21786" s="36"/>
      <c r="C21786" s="36"/>
      <c r="E21786" s="1"/>
      <c r="F21786" s="1"/>
      <c r="G21786" s="1"/>
    </row>
    <row r="21787">
      <c r="B21787" s="36"/>
      <c r="C21787" s="36"/>
      <c r="E21787" s="1"/>
      <c r="F21787" s="1"/>
      <c r="G21787" s="1"/>
    </row>
    <row r="21788">
      <c r="B21788" s="36"/>
      <c r="C21788" s="36"/>
      <c r="E21788" s="1"/>
      <c r="F21788" s="1"/>
      <c r="G21788" s="1"/>
    </row>
    <row r="21789">
      <c r="B21789" s="36"/>
      <c r="C21789" s="36"/>
      <c r="E21789" s="1"/>
      <c r="F21789" s="1"/>
      <c r="G21789" s="1"/>
    </row>
    <row r="21790">
      <c r="B21790" s="36"/>
      <c r="C21790" s="36"/>
      <c r="E21790" s="1"/>
      <c r="F21790" s="1"/>
      <c r="G21790" s="1"/>
    </row>
    <row r="21791">
      <c r="B21791" s="36"/>
      <c r="C21791" s="36"/>
      <c r="E21791" s="1"/>
      <c r="F21791" s="1"/>
      <c r="G21791" s="1"/>
    </row>
    <row r="21792">
      <c r="B21792" s="36"/>
      <c r="C21792" s="36"/>
      <c r="E21792" s="1"/>
      <c r="F21792" s="1"/>
      <c r="G21792" s="1"/>
    </row>
    <row r="21793">
      <c r="B21793" s="36"/>
      <c r="C21793" s="36"/>
      <c r="E21793" s="1"/>
      <c r="F21793" s="1"/>
      <c r="G21793" s="1"/>
    </row>
    <row r="21794">
      <c r="B21794" s="36"/>
      <c r="C21794" s="36"/>
      <c r="E21794" s="1"/>
      <c r="F21794" s="1"/>
      <c r="G21794" s="1"/>
    </row>
    <row r="21795">
      <c r="B21795" s="36"/>
      <c r="C21795" s="36"/>
      <c r="E21795" s="1"/>
      <c r="F21795" s="1"/>
      <c r="G21795" s="1"/>
    </row>
    <row r="21796">
      <c r="B21796" s="36"/>
      <c r="C21796" s="36"/>
      <c r="E21796" s="1"/>
      <c r="F21796" s="1"/>
      <c r="G21796" s="1"/>
    </row>
    <row r="21797">
      <c r="B21797" s="36"/>
      <c r="C21797" s="36"/>
      <c r="E21797" s="1"/>
      <c r="F21797" s="1"/>
      <c r="G21797" s="1"/>
    </row>
    <row r="21798">
      <c r="B21798" s="36"/>
      <c r="C21798" s="36"/>
      <c r="E21798" s="1"/>
      <c r="F21798" s="1"/>
      <c r="G21798" s="1"/>
    </row>
    <row r="21799">
      <c r="B21799" s="36"/>
      <c r="C21799" s="36"/>
      <c r="E21799" s="1"/>
      <c r="F21799" s="1"/>
      <c r="G21799" s="1"/>
    </row>
    <row r="21800">
      <c r="B21800" s="36"/>
      <c r="C21800" s="36"/>
      <c r="E21800" s="1"/>
      <c r="F21800" s="1"/>
      <c r="G21800" s="1"/>
    </row>
    <row r="21801">
      <c r="B21801" s="36"/>
      <c r="C21801" s="36"/>
      <c r="E21801" s="1"/>
      <c r="F21801" s="1"/>
      <c r="G21801" s="1"/>
    </row>
    <row r="21802">
      <c r="B21802" s="36"/>
      <c r="C21802" s="36"/>
      <c r="E21802" s="1"/>
      <c r="F21802" s="1"/>
      <c r="G21802" s="1"/>
    </row>
    <row r="21803">
      <c r="B21803" s="36"/>
      <c r="C21803" s="36"/>
      <c r="E21803" s="1"/>
      <c r="F21803" s="1"/>
      <c r="G21803" s="1"/>
    </row>
    <row r="21804">
      <c r="B21804" s="36"/>
      <c r="C21804" s="36"/>
      <c r="E21804" s="1"/>
      <c r="F21804" s="1"/>
      <c r="G21804" s="1"/>
    </row>
    <row r="21805">
      <c r="B21805" s="36"/>
      <c r="C21805" s="36"/>
      <c r="E21805" s="1"/>
      <c r="F21805" s="1"/>
      <c r="G21805" s="1"/>
    </row>
    <row r="21806">
      <c r="B21806" s="36"/>
      <c r="C21806" s="36"/>
      <c r="E21806" s="1"/>
      <c r="F21806" s="1"/>
      <c r="G21806" s="1"/>
    </row>
    <row r="21807">
      <c r="B21807" s="36"/>
      <c r="C21807" s="36"/>
      <c r="E21807" s="1"/>
      <c r="F21807" s="1"/>
      <c r="G21807" s="1"/>
    </row>
    <row r="21808">
      <c r="B21808" s="36"/>
      <c r="C21808" s="36"/>
      <c r="E21808" s="1"/>
      <c r="F21808" s="1"/>
      <c r="G21808" s="1"/>
    </row>
    <row r="21809">
      <c r="B21809" s="36"/>
      <c r="C21809" s="36"/>
      <c r="E21809" s="1"/>
      <c r="F21809" s="1"/>
      <c r="G21809" s="1"/>
    </row>
    <row r="21810">
      <c r="B21810" s="36"/>
      <c r="C21810" s="36"/>
      <c r="E21810" s="1"/>
      <c r="F21810" s="1"/>
      <c r="G21810" s="1"/>
    </row>
    <row r="21811">
      <c r="B21811" s="36"/>
      <c r="C21811" s="36"/>
      <c r="E21811" s="1"/>
      <c r="F21811" s="1"/>
      <c r="G21811" s="1"/>
    </row>
    <row r="21812">
      <c r="B21812" s="36"/>
      <c r="C21812" s="36"/>
      <c r="E21812" s="1"/>
      <c r="F21812" s="1"/>
      <c r="G21812" s="1"/>
    </row>
    <row r="21813">
      <c r="B21813" s="36"/>
      <c r="C21813" s="36"/>
      <c r="E21813" s="1"/>
      <c r="F21813" s="1"/>
      <c r="G21813" s="1"/>
    </row>
    <row r="21814">
      <c r="B21814" s="36"/>
      <c r="C21814" s="36"/>
      <c r="E21814" s="1"/>
      <c r="F21814" s="1"/>
      <c r="G21814" s="1"/>
    </row>
    <row r="21815">
      <c r="B21815" s="36"/>
      <c r="C21815" s="36"/>
      <c r="E21815" s="1"/>
      <c r="F21815" s="1"/>
      <c r="G21815" s="1"/>
    </row>
    <row r="21816">
      <c r="B21816" s="36"/>
      <c r="C21816" s="36"/>
      <c r="E21816" s="1"/>
      <c r="F21816" s="1"/>
      <c r="G21816" s="1"/>
    </row>
    <row r="21817">
      <c r="B21817" s="36"/>
      <c r="C21817" s="36"/>
      <c r="E21817" s="1"/>
      <c r="F21817" s="1"/>
      <c r="G21817" s="1"/>
    </row>
    <row r="21818">
      <c r="B21818" s="36"/>
      <c r="C21818" s="36"/>
      <c r="E21818" s="1"/>
      <c r="F21818" s="1"/>
      <c r="G21818" s="1"/>
    </row>
    <row r="21819">
      <c r="B21819" s="36"/>
      <c r="C21819" s="36"/>
      <c r="E21819" s="1"/>
      <c r="F21819" s="1"/>
      <c r="G21819" s="1"/>
    </row>
    <row r="21820">
      <c r="B21820" s="36"/>
      <c r="C21820" s="36"/>
      <c r="E21820" s="1"/>
      <c r="F21820" s="1"/>
      <c r="G21820" s="1"/>
    </row>
    <row r="21821">
      <c r="B21821" s="36"/>
      <c r="C21821" s="36"/>
      <c r="E21821" s="1"/>
      <c r="F21821" s="1"/>
      <c r="G21821" s="1"/>
    </row>
    <row r="21822">
      <c r="B21822" s="36"/>
      <c r="C21822" s="36"/>
      <c r="E21822" s="1"/>
      <c r="F21822" s="1"/>
      <c r="G21822" s="1"/>
    </row>
    <row r="21823">
      <c r="B21823" s="36"/>
      <c r="C21823" s="36"/>
      <c r="E21823" s="1"/>
      <c r="F21823" s="1"/>
      <c r="G21823" s="1"/>
    </row>
    <row r="21824">
      <c r="B21824" s="36"/>
      <c r="C21824" s="36"/>
      <c r="E21824" s="1"/>
      <c r="F21824" s="1"/>
      <c r="G21824" s="1"/>
    </row>
    <row r="21825">
      <c r="B21825" s="36"/>
      <c r="C21825" s="36"/>
      <c r="E21825" s="1"/>
      <c r="F21825" s="1"/>
      <c r="G21825" s="1"/>
    </row>
    <row r="21826">
      <c r="B21826" s="36"/>
      <c r="C21826" s="36"/>
      <c r="E21826" s="1"/>
      <c r="F21826" s="1"/>
      <c r="G21826" s="1"/>
    </row>
    <row r="21827">
      <c r="B21827" s="36"/>
      <c r="C21827" s="36"/>
      <c r="E21827" s="1"/>
      <c r="F21827" s="1"/>
      <c r="G21827" s="1"/>
    </row>
    <row r="21828">
      <c r="B21828" s="36"/>
      <c r="C21828" s="36"/>
      <c r="E21828" s="1"/>
      <c r="F21828" s="1"/>
      <c r="G21828" s="1"/>
    </row>
    <row r="21829">
      <c r="B21829" s="36"/>
      <c r="C21829" s="36"/>
      <c r="E21829" s="1"/>
      <c r="F21829" s="1"/>
      <c r="G21829" s="1"/>
    </row>
    <row r="21830">
      <c r="B21830" s="36"/>
      <c r="C21830" s="36"/>
      <c r="E21830" s="1"/>
      <c r="F21830" s="1"/>
      <c r="G21830" s="1"/>
    </row>
    <row r="21831">
      <c r="B21831" s="36"/>
      <c r="C21831" s="36"/>
      <c r="E21831" s="1"/>
      <c r="F21831" s="1"/>
      <c r="G21831" s="1"/>
    </row>
    <row r="21832">
      <c r="B21832" s="36"/>
      <c r="C21832" s="36"/>
      <c r="E21832" s="1"/>
      <c r="F21832" s="1"/>
      <c r="G21832" s="1"/>
    </row>
    <row r="21833">
      <c r="B21833" s="36"/>
      <c r="C21833" s="36"/>
      <c r="E21833" s="1"/>
      <c r="F21833" s="1"/>
      <c r="G21833" s="1"/>
    </row>
    <row r="21834">
      <c r="B21834" s="36"/>
      <c r="C21834" s="36"/>
      <c r="E21834" s="1"/>
      <c r="F21834" s="1"/>
      <c r="G21834" s="1"/>
    </row>
    <row r="21835">
      <c r="B21835" s="36"/>
      <c r="C21835" s="36"/>
      <c r="E21835" s="1"/>
      <c r="F21835" s="1"/>
      <c r="G21835" s="1"/>
    </row>
    <row r="21836">
      <c r="B21836" s="36"/>
      <c r="C21836" s="36"/>
      <c r="E21836" s="1"/>
      <c r="F21836" s="1"/>
      <c r="G21836" s="1"/>
    </row>
    <row r="21837">
      <c r="B21837" s="36"/>
      <c r="C21837" s="36"/>
      <c r="E21837" s="1"/>
      <c r="F21837" s="1"/>
      <c r="G21837" s="1"/>
    </row>
    <row r="21838">
      <c r="B21838" s="36"/>
      <c r="C21838" s="36"/>
      <c r="E21838" s="1"/>
      <c r="F21838" s="1"/>
      <c r="G21838" s="1"/>
    </row>
    <row r="21839">
      <c r="B21839" s="36"/>
      <c r="C21839" s="36"/>
      <c r="E21839" s="1"/>
      <c r="F21839" s="1"/>
      <c r="G21839" s="1"/>
    </row>
    <row r="21840">
      <c r="B21840" s="36"/>
      <c r="C21840" s="36"/>
      <c r="E21840" s="1"/>
      <c r="F21840" s="1"/>
      <c r="G21840" s="1"/>
    </row>
    <row r="21841">
      <c r="B21841" s="36"/>
      <c r="C21841" s="36"/>
      <c r="E21841" s="1"/>
      <c r="F21841" s="1"/>
      <c r="G21841" s="1"/>
    </row>
    <row r="21842">
      <c r="B21842" s="36"/>
      <c r="C21842" s="36"/>
      <c r="E21842" s="1"/>
      <c r="F21842" s="1"/>
      <c r="G21842" s="1"/>
    </row>
    <row r="21843">
      <c r="B21843" s="36"/>
      <c r="C21843" s="36"/>
      <c r="E21843" s="1"/>
      <c r="F21843" s="1"/>
      <c r="G21843" s="1"/>
    </row>
    <row r="21844">
      <c r="B21844" s="36"/>
      <c r="C21844" s="36"/>
      <c r="E21844" s="1"/>
      <c r="F21844" s="1"/>
      <c r="G21844" s="1"/>
    </row>
    <row r="21845">
      <c r="B21845" s="36"/>
      <c r="C21845" s="36"/>
      <c r="E21845" s="1"/>
      <c r="F21845" s="1"/>
      <c r="G21845" s="1"/>
    </row>
    <row r="21846">
      <c r="B21846" s="36"/>
      <c r="C21846" s="36"/>
      <c r="E21846" s="1"/>
      <c r="F21846" s="1"/>
      <c r="G21846" s="1"/>
    </row>
    <row r="21847">
      <c r="B21847" s="36"/>
      <c r="C21847" s="36"/>
      <c r="E21847" s="1"/>
      <c r="F21847" s="1"/>
      <c r="G21847" s="1"/>
    </row>
    <row r="21848">
      <c r="B21848" s="36"/>
      <c r="C21848" s="36"/>
      <c r="E21848" s="1"/>
      <c r="F21848" s="1"/>
      <c r="G21848" s="1"/>
    </row>
    <row r="21849">
      <c r="B21849" s="36"/>
      <c r="C21849" s="36"/>
      <c r="E21849" s="1"/>
      <c r="F21849" s="1"/>
      <c r="G21849" s="1"/>
    </row>
    <row r="21850">
      <c r="B21850" s="36"/>
      <c r="C21850" s="36"/>
      <c r="E21850" s="1"/>
      <c r="F21850" s="1"/>
      <c r="G21850" s="1"/>
    </row>
    <row r="21851">
      <c r="B21851" s="36"/>
      <c r="C21851" s="36"/>
      <c r="E21851" s="1"/>
      <c r="F21851" s="1"/>
      <c r="G21851" s="1"/>
    </row>
    <row r="21852">
      <c r="B21852" s="36"/>
      <c r="C21852" s="36"/>
      <c r="E21852" s="1"/>
      <c r="F21852" s="1"/>
      <c r="G21852" s="1"/>
    </row>
    <row r="21853">
      <c r="B21853" s="36"/>
      <c r="C21853" s="36"/>
      <c r="E21853" s="1"/>
      <c r="F21853" s="1"/>
      <c r="G21853" s="1"/>
    </row>
    <row r="21854">
      <c r="B21854" s="36"/>
      <c r="C21854" s="36"/>
      <c r="E21854" s="1"/>
      <c r="F21854" s="1"/>
      <c r="G21854" s="1"/>
    </row>
    <row r="21855">
      <c r="B21855" s="36"/>
      <c r="C21855" s="36"/>
      <c r="E21855" s="1"/>
      <c r="F21855" s="1"/>
      <c r="G21855" s="1"/>
    </row>
    <row r="21856">
      <c r="B21856" s="36"/>
      <c r="C21856" s="36"/>
      <c r="E21856" s="1"/>
      <c r="F21856" s="1"/>
      <c r="G21856" s="1"/>
    </row>
    <row r="21857">
      <c r="B21857" s="36"/>
      <c r="C21857" s="36"/>
      <c r="E21857" s="1"/>
      <c r="F21857" s="1"/>
      <c r="G21857" s="1"/>
    </row>
    <row r="21858">
      <c r="B21858" s="36"/>
      <c r="C21858" s="36"/>
      <c r="E21858" s="1"/>
      <c r="F21858" s="1"/>
      <c r="G21858" s="1"/>
    </row>
    <row r="21859">
      <c r="B21859" s="36"/>
      <c r="C21859" s="36"/>
      <c r="E21859" s="1"/>
      <c r="F21859" s="1"/>
      <c r="G21859" s="1"/>
    </row>
    <row r="21860">
      <c r="B21860" s="36"/>
      <c r="C21860" s="36"/>
      <c r="E21860" s="1"/>
      <c r="F21860" s="1"/>
      <c r="G21860" s="1"/>
    </row>
    <row r="21861">
      <c r="B21861" s="36"/>
      <c r="C21861" s="36"/>
      <c r="E21861" s="1"/>
      <c r="F21861" s="1"/>
      <c r="G21861" s="1"/>
    </row>
    <row r="21862">
      <c r="B21862" s="36"/>
      <c r="C21862" s="36"/>
      <c r="E21862" s="1"/>
      <c r="F21862" s="1"/>
      <c r="G21862" s="1"/>
    </row>
    <row r="21863">
      <c r="B21863" s="36"/>
      <c r="C21863" s="36"/>
      <c r="E21863" s="1"/>
      <c r="F21863" s="1"/>
      <c r="G21863" s="1"/>
    </row>
    <row r="21864">
      <c r="B21864" s="36"/>
      <c r="C21864" s="36"/>
      <c r="E21864" s="1"/>
      <c r="F21864" s="1"/>
      <c r="G21864" s="1"/>
    </row>
    <row r="21865">
      <c r="B21865" s="36"/>
      <c r="C21865" s="36"/>
      <c r="E21865" s="1"/>
      <c r="F21865" s="1"/>
      <c r="G21865" s="1"/>
    </row>
    <row r="21866">
      <c r="B21866" s="36"/>
      <c r="C21866" s="36"/>
      <c r="E21866" s="1"/>
      <c r="F21866" s="1"/>
      <c r="G21866" s="1"/>
    </row>
    <row r="21867">
      <c r="B21867" s="36"/>
      <c r="C21867" s="36"/>
      <c r="E21867" s="1"/>
      <c r="F21867" s="1"/>
      <c r="G21867" s="1"/>
    </row>
    <row r="21868">
      <c r="B21868" s="36"/>
      <c r="C21868" s="36"/>
      <c r="E21868" s="1"/>
      <c r="F21868" s="1"/>
      <c r="G21868" s="1"/>
    </row>
    <row r="21869">
      <c r="B21869" s="36"/>
      <c r="C21869" s="36"/>
      <c r="E21869" s="1"/>
      <c r="F21869" s="1"/>
      <c r="G21869" s="1"/>
    </row>
    <row r="21870">
      <c r="B21870" s="36"/>
      <c r="C21870" s="36"/>
      <c r="E21870" s="1"/>
      <c r="F21870" s="1"/>
      <c r="G21870" s="1"/>
    </row>
    <row r="21871">
      <c r="B21871" s="36"/>
      <c r="C21871" s="36"/>
      <c r="E21871" s="1"/>
      <c r="F21871" s="1"/>
      <c r="G21871" s="1"/>
    </row>
    <row r="21872">
      <c r="B21872" s="36"/>
      <c r="C21872" s="36"/>
      <c r="E21872" s="1"/>
      <c r="F21872" s="1"/>
      <c r="G21872" s="1"/>
    </row>
    <row r="21873">
      <c r="B21873" s="36"/>
      <c r="C21873" s="36"/>
      <c r="E21873" s="1"/>
      <c r="F21873" s="1"/>
      <c r="G21873" s="1"/>
    </row>
    <row r="21874">
      <c r="B21874" s="36"/>
      <c r="C21874" s="36"/>
      <c r="E21874" s="1"/>
      <c r="F21874" s="1"/>
      <c r="G21874" s="1"/>
    </row>
    <row r="21875">
      <c r="B21875" s="36"/>
      <c r="C21875" s="36"/>
      <c r="E21875" s="1"/>
      <c r="F21875" s="1"/>
      <c r="G21875" s="1"/>
    </row>
    <row r="21876">
      <c r="B21876" s="36"/>
      <c r="C21876" s="36"/>
      <c r="E21876" s="1"/>
      <c r="F21876" s="1"/>
      <c r="G21876" s="1"/>
    </row>
    <row r="21877">
      <c r="B21877" s="36"/>
      <c r="C21877" s="36"/>
      <c r="E21877" s="1"/>
      <c r="F21877" s="1"/>
      <c r="G21877" s="1"/>
    </row>
    <row r="21878">
      <c r="B21878" s="36"/>
      <c r="C21878" s="36"/>
      <c r="E21878" s="1"/>
      <c r="F21878" s="1"/>
      <c r="G21878" s="1"/>
    </row>
    <row r="21879">
      <c r="B21879" s="36"/>
      <c r="C21879" s="36"/>
      <c r="E21879" s="1"/>
      <c r="F21879" s="1"/>
      <c r="G21879" s="1"/>
    </row>
    <row r="21880">
      <c r="B21880" s="36"/>
      <c r="C21880" s="36"/>
      <c r="E21880" s="1"/>
      <c r="F21880" s="1"/>
      <c r="G21880" s="1"/>
    </row>
    <row r="21881">
      <c r="B21881" s="36"/>
      <c r="C21881" s="36"/>
      <c r="E21881" s="1"/>
      <c r="F21881" s="1"/>
      <c r="G21881" s="1"/>
    </row>
    <row r="21882">
      <c r="B21882" s="36"/>
      <c r="C21882" s="36"/>
      <c r="E21882" s="1"/>
      <c r="F21882" s="1"/>
      <c r="G21882" s="1"/>
    </row>
    <row r="21883">
      <c r="B21883" s="36"/>
      <c r="C21883" s="36"/>
      <c r="E21883" s="1"/>
      <c r="F21883" s="1"/>
      <c r="G21883" s="1"/>
    </row>
    <row r="21884">
      <c r="B21884" s="36"/>
      <c r="C21884" s="36"/>
      <c r="E21884" s="1"/>
      <c r="F21884" s="1"/>
      <c r="G21884" s="1"/>
    </row>
    <row r="21885">
      <c r="B21885" s="36"/>
      <c r="C21885" s="36"/>
      <c r="E21885" s="1"/>
      <c r="F21885" s="1"/>
      <c r="G21885" s="1"/>
    </row>
    <row r="21886">
      <c r="B21886" s="36"/>
      <c r="C21886" s="36"/>
      <c r="E21886" s="1"/>
      <c r="F21886" s="1"/>
      <c r="G21886" s="1"/>
    </row>
    <row r="21887">
      <c r="B21887" s="36"/>
      <c r="C21887" s="36"/>
      <c r="E21887" s="1"/>
      <c r="F21887" s="1"/>
      <c r="G21887" s="1"/>
    </row>
    <row r="21888">
      <c r="B21888" s="36"/>
      <c r="C21888" s="36"/>
      <c r="E21888" s="1"/>
      <c r="F21888" s="1"/>
      <c r="G21888" s="1"/>
    </row>
    <row r="21889">
      <c r="B21889" s="36"/>
      <c r="C21889" s="36"/>
      <c r="E21889" s="1"/>
      <c r="F21889" s="1"/>
      <c r="G21889" s="1"/>
    </row>
    <row r="21890">
      <c r="B21890" s="36"/>
      <c r="C21890" s="36"/>
      <c r="E21890" s="1"/>
      <c r="F21890" s="1"/>
      <c r="G21890" s="1"/>
    </row>
    <row r="21891">
      <c r="B21891" s="36"/>
      <c r="C21891" s="36"/>
      <c r="E21891" s="1"/>
      <c r="F21891" s="1"/>
      <c r="G21891" s="1"/>
    </row>
    <row r="21892">
      <c r="B21892" s="36"/>
      <c r="C21892" s="36"/>
      <c r="E21892" s="1"/>
      <c r="F21892" s="1"/>
      <c r="G21892" s="1"/>
    </row>
    <row r="21893">
      <c r="B21893" s="36"/>
      <c r="C21893" s="36"/>
      <c r="E21893" s="1"/>
      <c r="F21893" s="1"/>
      <c r="G21893" s="1"/>
    </row>
    <row r="21894">
      <c r="B21894" s="36"/>
      <c r="C21894" s="36"/>
      <c r="E21894" s="1"/>
      <c r="F21894" s="1"/>
      <c r="G21894" s="1"/>
    </row>
    <row r="21895">
      <c r="B21895" s="36"/>
      <c r="C21895" s="36"/>
      <c r="E21895" s="1"/>
      <c r="F21895" s="1"/>
      <c r="G21895" s="1"/>
    </row>
    <row r="21896">
      <c r="B21896" s="36"/>
      <c r="C21896" s="36"/>
      <c r="E21896" s="1"/>
      <c r="F21896" s="1"/>
      <c r="G21896" s="1"/>
    </row>
    <row r="21897">
      <c r="B21897" s="36"/>
      <c r="C21897" s="36"/>
      <c r="E21897" s="1"/>
      <c r="F21897" s="1"/>
      <c r="G21897" s="1"/>
    </row>
    <row r="21898">
      <c r="B21898" s="36"/>
      <c r="C21898" s="36"/>
      <c r="E21898" s="1"/>
      <c r="F21898" s="1"/>
      <c r="G21898" s="1"/>
    </row>
    <row r="21899">
      <c r="B21899" s="36"/>
      <c r="C21899" s="36"/>
      <c r="E21899" s="1"/>
      <c r="F21899" s="1"/>
      <c r="G21899" s="1"/>
    </row>
    <row r="21900">
      <c r="B21900" s="36"/>
      <c r="C21900" s="36"/>
      <c r="E21900" s="1"/>
      <c r="F21900" s="1"/>
      <c r="G21900" s="1"/>
    </row>
    <row r="21901">
      <c r="B21901" s="36"/>
      <c r="C21901" s="36"/>
      <c r="E21901" s="1"/>
      <c r="F21901" s="1"/>
      <c r="G21901" s="1"/>
    </row>
    <row r="21902">
      <c r="B21902" s="36"/>
      <c r="C21902" s="36"/>
      <c r="E21902" s="1"/>
      <c r="F21902" s="1"/>
      <c r="G21902" s="1"/>
    </row>
    <row r="21903">
      <c r="B21903" s="36"/>
      <c r="C21903" s="36"/>
      <c r="E21903" s="1"/>
      <c r="F21903" s="1"/>
      <c r="G21903" s="1"/>
    </row>
    <row r="21904">
      <c r="B21904" s="36"/>
      <c r="C21904" s="36"/>
      <c r="E21904" s="1"/>
      <c r="F21904" s="1"/>
      <c r="G21904" s="1"/>
    </row>
    <row r="21905">
      <c r="B21905" s="36"/>
      <c r="C21905" s="36"/>
      <c r="E21905" s="1"/>
      <c r="F21905" s="1"/>
      <c r="G21905" s="1"/>
    </row>
    <row r="21906">
      <c r="B21906" s="36"/>
      <c r="C21906" s="36"/>
      <c r="E21906" s="1"/>
      <c r="F21906" s="1"/>
      <c r="G21906" s="1"/>
    </row>
    <row r="21907">
      <c r="B21907" s="36"/>
      <c r="C21907" s="36"/>
      <c r="E21907" s="1"/>
      <c r="F21907" s="1"/>
      <c r="G21907" s="1"/>
    </row>
    <row r="21908">
      <c r="B21908" s="36"/>
      <c r="C21908" s="36"/>
      <c r="E21908" s="1"/>
      <c r="F21908" s="1"/>
      <c r="G21908" s="1"/>
    </row>
    <row r="21909">
      <c r="B21909" s="36"/>
      <c r="C21909" s="36"/>
      <c r="E21909" s="1"/>
      <c r="F21909" s="1"/>
      <c r="G21909" s="1"/>
    </row>
    <row r="21910">
      <c r="B21910" s="36"/>
      <c r="C21910" s="36"/>
      <c r="E21910" s="1"/>
      <c r="F21910" s="1"/>
      <c r="G21910" s="1"/>
    </row>
    <row r="21911">
      <c r="B21911" s="36"/>
      <c r="C21911" s="36"/>
      <c r="E21911" s="1"/>
      <c r="F21911" s="1"/>
      <c r="G21911" s="1"/>
    </row>
    <row r="21912">
      <c r="B21912" s="36"/>
      <c r="C21912" s="36"/>
      <c r="E21912" s="1"/>
      <c r="F21912" s="1"/>
      <c r="G21912" s="1"/>
    </row>
    <row r="21913">
      <c r="B21913" s="36"/>
      <c r="C21913" s="36"/>
      <c r="E21913" s="1"/>
      <c r="F21913" s="1"/>
      <c r="G21913" s="1"/>
    </row>
    <row r="21914">
      <c r="B21914" s="36"/>
      <c r="C21914" s="36"/>
      <c r="E21914" s="1"/>
      <c r="F21914" s="1"/>
      <c r="G21914" s="1"/>
    </row>
    <row r="21915">
      <c r="B21915" s="36"/>
      <c r="C21915" s="36"/>
      <c r="E21915" s="1"/>
      <c r="F21915" s="1"/>
      <c r="G21915" s="1"/>
    </row>
    <row r="21916">
      <c r="B21916" s="36"/>
      <c r="C21916" s="36"/>
      <c r="E21916" s="1"/>
      <c r="F21916" s="1"/>
      <c r="G21916" s="1"/>
    </row>
    <row r="21917">
      <c r="B21917" s="36"/>
      <c r="C21917" s="36"/>
      <c r="E21917" s="1"/>
      <c r="F21917" s="1"/>
      <c r="G21917" s="1"/>
    </row>
    <row r="21918">
      <c r="B21918" s="36"/>
      <c r="C21918" s="36"/>
      <c r="E21918" s="1"/>
      <c r="F21918" s="1"/>
      <c r="G21918" s="1"/>
    </row>
    <row r="21919">
      <c r="B21919" s="36"/>
      <c r="C21919" s="36"/>
      <c r="E21919" s="1"/>
      <c r="F21919" s="1"/>
      <c r="G21919" s="1"/>
    </row>
    <row r="21920">
      <c r="B21920" s="36"/>
      <c r="C21920" s="36"/>
      <c r="E21920" s="1"/>
      <c r="F21920" s="1"/>
      <c r="G21920" s="1"/>
    </row>
    <row r="21921">
      <c r="B21921" s="36"/>
      <c r="C21921" s="36"/>
      <c r="E21921" s="1"/>
      <c r="F21921" s="1"/>
      <c r="G21921" s="1"/>
    </row>
    <row r="21922">
      <c r="B21922" s="36"/>
      <c r="C21922" s="36"/>
      <c r="E21922" s="1"/>
      <c r="F21922" s="1"/>
      <c r="G21922" s="1"/>
    </row>
    <row r="21923">
      <c r="B21923" s="36"/>
      <c r="C21923" s="36"/>
      <c r="E21923" s="1"/>
      <c r="F21923" s="1"/>
      <c r="G21923" s="1"/>
    </row>
    <row r="21924">
      <c r="B21924" s="36"/>
      <c r="C21924" s="36"/>
      <c r="E21924" s="1"/>
      <c r="F21924" s="1"/>
      <c r="G21924" s="1"/>
    </row>
    <row r="21925">
      <c r="B21925" s="36"/>
      <c r="C21925" s="36"/>
      <c r="E21925" s="1"/>
      <c r="F21925" s="1"/>
      <c r="G21925" s="1"/>
    </row>
    <row r="21926">
      <c r="B21926" s="36"/>
      <c r="C21926" s="36"/>
      <c r="E21926" s="1"/>
      <c r="F21926" s="1"/>
      <c r="G21926" s="1"/>
    </row>
    <row r="21927">
      <c r="B21927" s="36"/>
      <c r="C21927" s="36"/>
      <c r="E21927" s="1"/>
      <c r="F21927" s="1"/>
      <c r="G21927" s="1"/>
    </row>
    <row r="21928">
      <c r="B21928" s="36"/>
      <c r="C21928" s="36"/>
      <c r="E21928" s="1"/>
      <c r="F21928" s="1"/>
      <c r="G21928" s="1"/>
    </row>
    <row r="21929">
      <c r="B21929" s="36"/>
      <c r="C21929" s="36"/>
      <c r="E21929" s="1"/>
      <c r="F21929" s="1"/>
      <c r="G21929" s="1"/>
    </row>
    <row r="21930">
      <c r="B21930" s="36"/>
      <c r="C21930" s="36"/>
      <c r="E21930" s="1"/>
      <c r="F21930" s="1"/>
      <c r="G21930" s="1"/>
    </row>
    <row r="21931">
      <c r="B21931" s="36"/>
      <c r="C21931" s="36"/>
      <c r="E21931" s="1"/>
      <c r="F21931" s="1"/>
      <c r="G21931" s="1"/>
    </row>
    <row r="21932">
      <c r="B21932" s="36"/>
      <c r="C21932" s="36"/>
      <c r="E21932" s="1"/>
      <c r="F21932" s="1"/>
      <c r="G21932" s="1"/>
    </row>
    <row r="21933">
      <c r="B21933" s="36"/>
      <c r="C21933" s="36"/>
      <c r="E21933" s="1"/>
      <c r="F21933" s="1"/>
      <c r="G21933" s="1"/>
    </row>
    <row r="21934">
      <c r="B21934" s="36"/>
      <c r="C21934" s="36"/>
      <c r="E21934" s="1"/>
      <c r="F21934" s="1"/>
      <c r="G21934" s="1"/>
    </row>
    <row r="21935">
      <c r="B21935" s="36"/>
      <c r="C21935" s="36"/>
      <c r="E21935" s="1"/>
      <c r="F21935" s="1"/>
      <c r="G21935" s="1"/>
    </row>
    <row r="21936">
      <c r="B21936" s="36"/>
      <c r="C21936" s="36"/>
      <c r="E21936" s="1"/>
      <c r="F21936" s="1"/>
      <c r="G21936" s="1"/>
    </row>
    <row r="21937">
      <c r="B21937" s="36"/>
      <c r="C21937" s="36"/>
      <c r="E21937" s="1"/>
      <c r="F21937" s="1"/>
      <c r="G21937" s="1"/>
    </row>
    <row r="21938">
      <c r="B21938" s="36"/>
      <c r="C21938" s="36"/>
      <c r="E21938" s="1"/>
      <c r="F21938" s="1"/>
      <c r="G21938" s="1"/>
    </row>
    <row r="21939">
      <c r="B21939" s="36"/>
      <c r="C21939" s="36"/>
      <c r="E21939" s="1"/>
      <c r="F21939" s="1"/>
      <c r="G21939" s="1"/>
    </row>
    <row r="21940">
      <c r="B21940" s="36"/>
      <c r="C21940" s="36"/>
      <c r="E21940" s="1"/>
      <c r="F21940" s="1"/>
      <c r="G21940" s="1"/>
    </row>
    <row r="21941">
      <c r="B21941" s="36"/>
      <c r="C21941" s="36"/>
      <c r="E21941" s="1"/>
      <c r="F21941" s="1"/>
      <c r="G21941" s="1"/>
    </row>
    <row r="21942">
      <c r="B21942" s="36"/>
      <c r="C21942" s="36"/>
      <c r="E21942" s="1"/>
      <c r="F21942" s="1"/>
      <c r="G21942" s="1"/>
    </row>
    <row r="21943">
      <c r="B21943" s="36"/>
      <c r="C21943" s="36"/>
      <c r="E21943" s="1"/>
      <c r="F21943" s="1"/>
      <c r="G21943" s="1"/>
    </row>
    <row r="21944">
      <c r="B21944" s="36"/>
      <c r="C21944" s="36"/>
      <c r="E21944" s="1"/>
      <c r="F21944" s="1"/>
      <c r="G21944" s="1"/>
    </row>
    <row r="21945">
      <c r="B21945" s="36"/>
      <c r="C21945" s="36"/>
      <c r="E21945" s="1"/>
      <c r="F21945" s="1"/>
      <c r="G21945" s="1"/>
    </row>
    <row r="21946">
      <c r="B21946" s="36"/>
      <c r="C21946" s="36"/>
      <c r="E21946" s="1"/>
      <c r="F21946" s="1"/>
      <c r="G21946" s="1"/>
    </row>
    <row r="21947">
      <c r="B21947" s="36"/>
      <c r="C21947" s="36"/>
      <c r="E21947" s="1"/>
      <c r="F21947" s="1"/>
      <c r="G21947" s="1"/>
    </row>
    <row r="21948">
      <c r="B21948" s="36"/>
      <c r="C21948" s="36"/>
      <c r="E21948" s="1"/>
      <c r="F21948" s="1"/>
      <c r="G21948" s="1"/>
    </row>
    <row r="21949">
      <c r="B21949" s="36"/>
      <c r="C21949" s="36"/>
      <c r="E21949" s="1"/>
      <c r="F21949" s="1"/>
      <c r="G21949" s="1"/>
    </row>
    <row r="21950">
      <c r="B21950" s="36"/>
      <c r="C21950" s="36"/>
      <c r="E21950" s="1"/>
      <c r="F21950" s="1"/>
      <c r="G21950" s="1"/>
    </row>
    <row r="21951">
      <c r="B21951" s="36"/>
      <c r="C21951" s="36"/>
      <c r="E21951" s="1"/>
      <c r="F21951" s="1"/>
      <c r="G21951" s="1"/>
    </row>
    <row r="21952">
      <c r="B21952" s="36"/>
      <c r="C21952" s="36"/>
      <c r="E21952" s="1"/>
      <c r="F21952" s="1"/>
      <c r="G21952" s="1"/>
    </row>
    <row r="21953">
      <c r="B21953" s="36"/>
      <c r="C21953" s="36"/>
      <c r="E21953" s="1"/>
      <c r="F21953" s="1"/>
      <c r="G21953" s="1"/>
    </row>
    <row r="21954">
      <c r="B21954" s="36"/>
      <c r="C21954" s="36"/>
      <c r="E21954" s="1"/>
      <c r="F21954" s="1"/>
      <c r="G21954" s="1"/>
    </row>
    <row r="21955">
      <c r="B21955" s="36"/>
      <c r="C21955" s="36"/>
      <c r="E21955" s="1"/>
      <c r="F21955" s="1"/>
      <c r="G21955" s="1"/>
    </row>
    <row r="21956">
      <c r="B21956" s="36"/>
      <c r="C21956" s="36"/>
      <c r="E21956" s="1"/>
      <c r="F21956" s="1"/>
      <c r="G21956" s="1"/>
    </row>
    <row r="21957">
      <c r="B21957" s="36"/>
      <c r="C21957" s="36"/>
      <c r="E21957" s="1"/>
      <c r="F21957" s="1"/>
      <c r="G21957" s="1"/>
    </row>
    <row r="21958">
      <c r="B21958" s="36"/>
      <c r="C21958" s="36"/>
      <c r="E21958" s="1"/>
      <c r="F21958" s="1"/>
      <c r="G21958" s="1"/>
    </row>
    <row r="21959">
      <c r="B21959" s="36"/>
      <c r="C21959" s="36"/>
      <c r="E21959" s="1"/>
      <c r="F21959" s="1"/>
      <c r="G21959" s="1"/>
    </row>
    <row r="21960">
      <c r="B21960" s="36"/>
      <c r="C21960" s="36"/>
      <c r="E21960" s="1"/>
      <c r="F21960" s="1"/>
      <c r="G21960" s="1"/>
    </row>
    <row r="21961">
      <c r="B21961" s="36"/>
      <c r="C21961" s="36"/>
      <c r="E21961" s="1"/>
      <c r="F21961" s="1"/>
      <c r="G21961" s="1"/>
    </row>
    <row r="21962">
      <c r="B21962" s="36"/>
      <c r="C21962" s="36"/>
      <c r="E21962" s="1"/>
      <c r="F21962" s="1"/>
      <c r="G21962" s="1"/>
    </row>
    <row r="21963">
      <c r="B21963" s="36"/>
      <c r="C21963" s="36"/>
      <c r="E21963" s="1"/>
      <c r="F21963" s="1"/>
      <c r="G21963" s="1"/>
    </row>
    <row r="21964">
      <c r="B21964" s="36"/>
      <c r="C21964" s="36"/>
      <c r="E21964" s="1"/>
      <c r="F21964" s="1"/>
      <c r="G21964" s="1"/>
    </row>
    <row r="21965">
      <c r="B21965" s="36"/>
      <c r="C21965" s="36"/>
      <c r="E21965" s="1"/>
      <c r="F21965" s="1"/>
      <c r="G21965" s="1"/>
    </row>
    <row r="21966">
      <c r="B21966" s="36"/>
      <c r="C21966" s="36"/>
      <c r="E21966" s="1"/>
      <c r="F21966" s="1"/>
      <c r="G21966" s="1"/>
    </row>
    <row r="21967">
      <c r="B21967" s="36"/>
      <c r="C21967" s="36"/>
      <c r="E21967" s="1"/>
      <c r="F21967" s="1"/>
      <c r="G21967" s="1"/>
    </row>
    <row r="21968">
      <c r="B21968" s="36"/>
      <c r="C21968" s="36"/>
      <c r="E21968" s="1"/>
      <c r="F21968" s="1"/>
      <c r="G21968" s="1"/>
    </row>
    <row r="21969">
      <c r="B21969" s="36"/>
      <c r="C21969" s="36"/>
      <c r="E21969" s="1"/>
      <c r="F21969" s="1"/>
      <c r="G21969" s="1"/>
    </row>
    <row r="21970">
      <c r="B21970" s="36"/>
      <c r="C21970" s="36"/>
      <c r="E21970" s="1"/>
      <c r="F21970" s="1"/>
      <c r="G21970" s="1"/>
    </row>
    <row r="21971">
      <c r="B21971" s="36"/>
      <c r="C21971" s="36"/>
      <c r="E21971" s="1"/>
      <c r="F21971" s="1"/>
      <c r="G21971" s="1"/>
    </row>
    <row r="21972">
      <c r="B21972" s="36"/>
      <c r="C21972" s="36"/>
      <c r="E21972" s="1"/>
      <c r="F21972" s="1"/>
      <c r="G21972" s="1"/>
    </row>
    <row r="21973">
      <c r="B21973" s="36"/>
      <c r="C21973" s="36"/>
      <c r="E21973" s="1"/>
      <c r="F21973" s="1"/>
      <c r="G21973" s="1"/>
    </row>
    <row r="21974">
      <c r="B21974" s="36"/>
      <c r="C21974" s="36"/>
      <c r="E21974" s="1"/>
      <c r="F21974" s="1"/>
      <c r="G21974" s="1"/>
    </row>
    <row r="21975">
      <c r="B21975" s="36"/>
      <c r="C21975" s="36"/>
      <c r="E21975" s="1"/>
      <c r="F21975" s="1"/>
      <c r="G21975" s="1"/>
    </row>
    <row r="21976">
      <c r="B21976" s="36"/>
      <c r="C21976" s="36"/>
      <c r="E21976" s="1"/>
      <c r="F21976" s="1"/>
      <c r="G21976" s="1"/>
    </row>
    <row r="21977">
      <c r="B21977" s="36"/>
      <c r="C21977" s="36"/>
      <c r="E21977" s="1"/>
      <c r="F21977" s="1"/>
      <c r="G21977" s="1"/>
    </row>
    <row r="21978">
      <c r="B21978" s="36"/>
      <c r="C21978" s="36"/>
      <c r="E21978" s="1"/>
      <c r="F21978" s="1"/>
      <c r="G21978" s="1"/>
    </row>
    <row r="21979">
      <c r="B21979" s="36"/>
      <c r="C21979" s="36"/>
      <c r="E21979" s="1"/>
      <c r="F21979" s="1"/>
      <c r="G21979" s="1"/>
    </row>
    <row r="21980">
      <c r="B21980" s="36"/>
      <c r="C21980" s="36"/>
      <c r="E21980" s="1"/>
      <c r="F21980" s="1"/>
      <c r="G21980" s="1"/>
    </row>
    <row r="21981">
      <c r="B21981" s="36"/>
      <c r="C21981" s="36"/>
      <c r="E21981" s="1"/>
      <c r="F21981" s="1"/>
      <c r="G21981" s="1"/>
    </row>
    <row r="21982">
      <c r="B21982" s="36"/>
      <c r="C21982" s="36"/>
      <c r="E21982" s="1"/>
      <c r="F21982" s="1"/>
      <c r="G21982" s="1"/>
    </row>
    <row r="21983">
      <c r="B21983" s="36"/>
      <c r="C21983" s="36"/>
      <c r="E21983" s="1"/>
      <c r="F21983" s="1"/>
      <c r="G21983" s="1"/>
    </row>
    <row r="21984">
      <c r="B21984" s="36"/>
      <c r="C21984" s="36"/>
      <c r="E21984" s="1"/>
      <c r="F21984" s="1"/>
      <c r="G21984" s="1"/>
    </row>
    <row r="21985">
      <c r="B21985" s="36"/>
      <c r="C21985" s="36"/>
      <c r="E21985" s="1"/>
      <c r="F21985" s="1"/>
      <c r="G21985" s="1"/>
    </row>
    <row r="21986">
      <c r="B21986" s="36"/>
      <c r="C21986" s="36"/>
      <c r="E21986" s="1"/>
      <c r="F21986" s="1"/>
      <c r="G21986" s="1"/>
    </row>
    <row r="21987">
      <c r="B21987" s="36"/>
      <c r="C21987" s="36"/>
      <c r="E21987" s="1"/>
      <c r="F21987" s="1"/>
      <c r="G21987" s="1"/>
    </row>
    <row r="21988">
      <c r="B21988" s="36"/>
      <c r="C21988" s="36"/>
      <c r="E21988" s="1"/>
      <c r="F21988" s="1"/>
      <c r="G21988" s="1"/>
    </row>
    <row r="21989">
      <c r="B21989" s="36"/>
      <c r="C21989" s="36"/>
      <c r="E21989" s="1"/>
      <c r="F21989" s="1"/>
      <c r="G21989" s="1"/>
    </row>
    <row r="21990">
      <c r="B21990" s="36"/>
      <c r="C21990" s="36"/>
      <c r="E21990" s="1"/>
      <c r="F21990" s="1"/>
      <c r="G21990" s="1"/>
    </row>
    <row r="21991">
      <c r="B21991" s="36"/>
      <c r="C21991" s="36"/>
      <c r="E21991" s="1"/>
      <c r="F21991" s="1"/>
      <c r="G21991" s="1"/>
    </row>
    <row r="21992">
      <c r="B21992" s="36"/>
      <c r="C21992" s="36"/>
      <c r="E21992" s="1"/>
      <c r="F21992" s="1"/>
      <c r="G21992" s="1"/>
    </row>
    <row r="21993">
      <c r="B21993" s="36"/>
      <c r="C21993" s="36"/>
      <c r="E21993" s="1"/>
      <c r="F21993" s="1"/>
      <c r="G21993" s="1"/>
    </row>
    <row r="21994">
      <c r="B21994" s="36"/>
      <c r="C21994" s="36"/>
      <c r="E21994" s="1"/>
      <c r="F21994" s="1"/>
      <c r="G21994" s="1"/>
    </row>
    <row r="21995">
      <c r="B21995" s="36"/>
      <c r="C21995" s="36"/>
      <c r="E21995" s="1"/>
      <c r="F21995" s="1"/>
      <c r="G21995" s="1"/>
    </row>
    <row r="21996">
      <c r="B21996" s="36"/>
      <c r="C21996" s="36"/>
      <c r="E21996" s="1"/>
      <c r="F21996" s="1"/>
      <c r="G21996" s="1"/>
    </row>
    <row r="21997">
      <c r="B21997" s="36"/>
      <c r="C21997" s="36"/>
      <c r="E21997" s="1"/>
      <c r="F21997" s="1"/>
      <c r="G21997" s="1"/>
    </row>
    <row r="21998">
      <c r="B21998" s="36"/>
      <c r="C21998" s="36"/>
      <c r="E21998" s="1"/>
      <c r="F21998" s="1"/>
      <c r="G21998" s="1"/>
    </row>
    <row r="21999">
      <c r="B21999" s="36"/>
      <c r="C21999" s="36"/>
      <c r="E21999" s="1"/>
      <c r="F21999" s="1"/>
      <c r="G21999" s="1"/>
    </row>
    <row r="22000">
      <c r="B22000" s="36"/>
      <c r="C22000" s="36"/>
      <c r="E22000" s="1"/>
      <c r="F22000" s="1"/>
      <c r="G22000" s="1"/>
    </row>
    <row r="22001">
      <c r="B22001" s="36"/>
      <c r="C22001" s="36"/>
      <c r="E22001" s="1"/>
      <c r="F22001" s="1"/>
      <c r="G22001" s="1"/>
    </row>
    <row r="22002">
      <c r="B22002" s="36"/>
      <c r="C22002" s="36"/>
      <c r="E22002" s="1"/>
      <c r="F22002" s="1"/>
      <c r="G22002" s="1"/>
    </row>
    <row r="22003">
      <c r="B22003" s="36"/>
      <c r="C22003" s="36"/>
      <c r="E22003" s="1"/>
      <c r="F22003" s="1"/>
      <c r="G22003" s="1"/>
    </row>
    <row r="22004">
      <c r="B22004" s="36"/>
      <c r="C22004" s="36"/>
      <c r="E22004" s="1"/>
      <c r="F22004" s="1"/>
      <c r="G22004" s="1"/>
    </row>
    <row r="22005">
      <c r="B22005" s="36"/>
      <c r="C22005" s="36"/>
      <c r="E22005" s="1"/>
      <c r="F22005" s="1"/>
      <c r="G22005" s="1"/>
    </row>
    <row r="22006">
      <c r="B22006" s="36"/>
      <c r="C22006" s="36"/>
      <c r="E22006" s="1"/>
      <c r="F22006" s="1"/>
      <c r="G22006" s="1"/>
    </row>
    <row r="22007">
      <c r="B22007" s="36"/>
      <c r="C22007" s="36"/>
      <c r="E22007" s="1"/>
      <c r="F22007" s="1"/>
      <c r="G22007" s="1"/>
    </row>
    <row r="22008">
      <c r="B22008" s="36"/>
      <c r="C22008" s="36"/>
      <c r="E22008" s="1"/>
      <c r="F22008" s="1"/>
      <c r="G22008" s="1"/>
    </row>
    <row r="22009">
      <c r="B22009" s="36"/>
      <c r="C22009" s="36"/>
      <c r="E22009" s="1"/>
      <c r="F22009" s="1"/>
      <c r="G22009" s="1"/>
    </row>
    <row r="22010">
      <c r="B22010" s="36"/>
      <c r="C22010" s="36"/>
      <c r="E22010" s="1"/>
      <c r="F22010" s="1"/>
      <c r="G22010" s="1"/>
    </row>
    <row r="22011">
      <c r="B22011" s="36"/>
      <c r="C22011" s="36"/>
      <c r="E22011" s="1"/>
      <c r="F22011" s="1"/>
      <c r="G22011" s="1"/>
    </row>
    <row r="22012">
      <c r="B22012" s="36"/>
      <c r="C22012" s="36"/>
      <c r="E22012" s="1"/>
      <c r="F22012" s="1"/>
      <c r="G22012" s="1"/>
    </row>
    <row r="22013">
      <c r="B22013" s="36"/>
      <c r="C22013" s="36"/>
      <c r="E22013" s="1"/>
      <c r="F22013" s="1"/>
      <c r="G22013" s="1"/>
    </row>
    <row r="22014">
      <c r="B22014" s="36"/>
      <c r="C22014" s="36"/>
      <c r="E22014" s="1"/>
      <c r="F22014" s="1"/>
      <c r="G22014" s="1"/>
    </row>
    <row r="22015">
      <c r="B22015" s="36"/>
      <c r="C22015" s="36"/>
      <c r="E22015" s="1"/>
      <c r="F22015" s="1"/>
      <c r="G22015" s="1"/>
    </row>
    <row r="22016">
      <c r="B22016" s="36"/>
      <c r="C22016" s="36"/>
      <c r="E22016" s="1"/>
      <c r="F22016" s="1"/>
      <c r="G22016" s="1"/>
    </row>
    <row r="22017">
      <c r="B22017" s="36"/>
      <c r="C22017" s="36"/>
      <c r="E22017" s="1"/>
      <c r="F22017" s="1"/>
      <c r="G22017" s="1"/>
    </row>
    <row r="22018">
      <c r="B22018" s="36"/>
      <c r="C22018" s="36"/>
      <c r="E22018" s="1"/>
      <c r="F22018" s="1"/>
      <c r="G22018" s="1"/>
    </row>
    <row r="22019">
      <c r="B22019" s="36"/>
      <c r="C22019" s="36"/>
      <c r="E22019" s="1"/>
      <c r="F22019" s="1"/>
      <c r="G22019" s="1"/>
    </row>
    <row r="22020">
      <c r="B22020" s="36"/>
      <c r="C22020" s="36"/>
      <c r="E22020" s="1"/>
      <c r="F22020" s="1"/>
      <c r="G22020" s="1"/>
    </row>
    <row r="22021">
      <c r="B22021" s="36"/>
      <c r="C22021" s="36"/>
      <c r="E22021" s="1"/>
      <c r="F22021" s="1"/>
      <c r="G22021" s="1"/>
    </row>
    <row r="22022">
      <c r="B22022" s="36"/>
      <c r="C22022" s="36"/>
      <c r="E22022" s="1"/>
      <c r="F22022" s="1"/>
      <c r="G22022" s="1"/>
    </row>
    <row r="22023">
      <c r="B22023" s="36"/>
      <c r="C22023" s="36"/>
      <c r="E22023" s="1"/>
      <c r="F22023" s="1"/>
      <c r="G22023" s="1"/>
    </row>
    <row r="22024">
      <c r="B22024" s="36"/>
      <c r="C22024" s="36"/>
      <c r="E22024" s="1"/>
      <c r="F22024" s="1"/>
      <c r="G22024" s="1"/>
    </row>
    <row r="22025">
      <c r="B22025" s="36"/>
      <c r="C22025" s="36"/>
      <c r="E22025" s="1"/>
      <c r="F22025" s="1"/>
      <c r="G22025" s="1"/>
    </row>
    <row r="22026">
      <c r="B22026" s="36"/>
      <c r="C22026" s="36"/>
      <c r="E22026" s="1"/>
      <c r="F22026" s="1"/>
      <c r="G22026" s="1"/>
    </row>
    <row r="22027">
      <c r="B22027" s="36"/>
      <c r="C22027" s="36"/>
      <c r="E22027" s="1"/>
      <c r="F22027" s="1"/>
      <c r="G22027" s="1"/>
    </row>
    <row r="22028">
      <c r="B22028" s="36"/>
      <c r="C22028" s="36"/>
      <c r="E22028" s="1"/>
      <c r="F22028" s="1"/>
      <c r="G22028" s="1"/>
    </row>
    <row r="22029">
      <c r="B22029" s="36"/>
      <c r="C22029" s="36"/>
      <c r="E22029" s="1"/>
      <c r="F22029" s="1"/>
      <c r="G22029" s="1"/>
    </row>
    <row r="22030">
      <c r="B22030" s="36"/>
      <c r="C22030" s="36"/>
      <c r="E22030" s="1"/>
      <c r="F22030" s="1"/>
      <c r="G22030" s="1"/>
    </row>
    <row r="22031">
      <c r="B22031" s="36"/>
      <c r="C22031" s="36"/>
      <c r="E22031" s="1"/>
      <c r="F22031" s="1"/>
      <c r="G22031" s="1"/>
    </row>
    <row r="22032">
      <c r="B22032" s="36"/>
      <c r="C22032" s="36"/>
      <c r="E22032" s="1"/>
      <c r="F22032" s="1"/>
      <c r="G22032" s="1"/>
    </row>
    <row r="22033">
      <c r="B22033" s="36"/>
      <c r="C22033" s="36"/>
      <c r="E22033" s="1"/>
      <c r="F22033" s="1"/>
      <c r="G22033" s="1"/>
    </row>
    <row r="22034">
      <c r="B22034" s="36"/>
      <c r="C22034" s="36"/>
      <c r="E22034" s="1"/>
      <c r="F22034" s="1"/>
      <c r="G22034" s="1"/>
    </row>
    <row r="22035">
      <c r="B22035" s="36"/>
      <c r="C22035" s="36"/>
      <c r="E22035" s="1"/>
      <c r="F22035" s="1"/>
      <c r="G22035" s="1"/>
    </row>
    <row r="22036">
      <c r="B22036" s="36"/>
      <c r="C22036" s="36"/>
      <c r="E22036" s="1"/>
      <c r="F22036" s="1"/>
      <c r="G22036" s="1"/>
    </row>
    <row r="22037">
      <c r="B22037" s="36"/>
      <c r="C22037" s="36"/>
      <c r="E22037" s="1"/>
      <c r="F22037" s="1"/>
      <c r="G22037" s="1"/>
    </row>
    <row r="22038">
      <c r="B22038" s="36"/>
      <c r="C22038" s="36"/>
      <c r="E22038" s="1"/>
      <c r="F22038" s="1"/>
      <c r="G22038" s="1"/>
    </row>
    <row r="22039">
      <c r="B22039" s="36"/>
      <c r="C22039" s="36"/>
      <c r="E22039" s="1"/>
      <c r="F22039" s="1"/>
      <c r="G22039" s="1"/>
    </row>
    <row r="22040">
      <c r="B22040" s="36"/>
      <c r="C22040" s="36"/>
      <c r="E22040" s="1"/>
      <c r="F22040" s="1"/>
      <c r="G22040" s="1"/>
    </row>
    <row r="22041">
      <c r="B22041" s="36"/>
      <c r="C22041" s="36"/>
      <c r="E22041" s="1"/>
      <c r="F22041" s="1"/>
      <c r="G22041" s="1"/>
    </row>
    <row r="22042">
      <c r="B22042" s="36"/>
      <c r="C22042" s="36"/>
      <c r="E22042" s="1"/>
      <c r="F22042" s="1"/>
      <c r="G22042" s="1"/>
    </row>
    <row r="22043">
      <c r="B22043" s="36"/>
      <c r="C22043" s="36"/>
      <c r="E22043" s="1"/>
      <c r="F22043" s="1"/>
      <c r="G22043" s="1"/>
    </row>
    <row r="22044">
      <c r="B22044" s="36"/>
      <c r="C22044" s="36"/>
      <c r="E22044" s="1"/>
      <c r="F22044" s="1"/>
      <c r="G22044" s="1"/>
    </row>
    <row r="22045">
      <c r="B22045" s="36"/>
      <c r="C22045" s="36"/>
      <c r="E22045" s="1"/>
      <c r="F22045" s="1"/>
      <c r="G22045" s="1"/>
    </row>
    <row r="22046">
      <c r="B22046" s="36"/>
      <c r="C22046" s="36"/>
      <c r="E22046" s="1"/>
      <c r="F22046" s="1"/>
      <c r="G22046" s="1"/>
    </row>
    <row r="22047">
      <c r="B22047" s="36"/>
      <c r="C22047" s="36"/>
      <c r="E22047" s="1"/>
      <c r="F22047" s="1"/>
      <c r="G22047" s="1"/>
    </row>
    <row r="22048">
      <c r="B22048" s="36"/>
      <c r="C22048" s="36"/>
      <c r="E22048" s="1"/>
      <c r="F22048" s="1"/>
      <c r="G22048" s="1"/>
    </row>
    <row r="22049">
      <c r="B22049" s="36"/>
      <c r="C22049" s="36"/>
      <c r="E22049" s="1"/>
      <c r="F22049" s="1"/>
      <c r="G22049" s="1"/>
    </row>
    <row r="22050">
      <c r="B22050" s="36"/>
      <c r="C22050" s="36"/>
      <c r="E22050" s="1"/>
      <c r="F22050" s="1"/>
      <c r="G22050" s="1"/>
    </row>
    <row r="22051">
      <c r="B22051" s="36"/>
      <c r="C22051" s="36"/>
      <c r="E22051" s="1"/>
      <c r="F22051" s="1"/>
      <c r="G22051" s="1"/>
    </row>
    <row r="22052">
      <c r="B22052" s="36"/>
      <c r="C22052" s="36"/>
      <c r="E22052" s="1"/>
      <c r="F22052" s="1"/>
      <c r="G22052" s="1"/>
    </row>
    <row r="22053">
      <c r="B22053" s="36"/>
      <c r="C22053" s="36"/>
      <c r="E22053" s="1"/>
      <c r="F22053" s="1"/>
      <c r="G22053" s="1"/>
    </row>
    <row r="22054">
      <c r="B22054" s="36"/>
      <c r="C22054" s="36"/>
      <c r="E22054" s="1"/>
      <c r="F22054" s="1"/>
      <c r="G22054" s="1"/>
    </row>
    <row r="22055">
      <c r="B22055" s="36"/>
      <c r="C22055" s="36"/>
      <c r="E22055" s="1"/>
      <c r="F22055" s="1"/>
      <c r="G22055" s="1"/>
    </row>
    <row r="22056">
      <c r="B22056" s="36"/>
      <c r="C22056" s="36"/>
      <c r="E22056" s="1"/>
      <c r="F22056" s="1"/>
      <c r="G22056" s="1"/>
    </row>
    <row r="22057">
      <c r="B22057" s="36"/>
      <c r="C22057" s="36"/>
      <c r="E22057" s="1"/>
      <c r="F22057" s="1"/>
      <c r="G22057" s="1"/>
    </row>
    <row r="22058">
      <c r="B22058" s="36"/>
      <c r="C22058" s="36"/>
      <c r="E22058" s="1"/>
      <c r="F22058" s="1"/>
      <c r="G22058" s="1"/>
    </row>
    <row r="22059">
      <c r="B22059" s="36"/>
      <c r="C22059" s="36"/>
      <c r="E22059" s="1"/>
      <c r="F22059" s="1"/>
      <c r="G22059" s="1"/>
    </row>
    <row r="22060">
      <c r="B22060" s="36"/>
      <c r="C22060" s="36"/>
      <c r="E22060" s="1"/>
      <c r="F22060" s="1"/>
      <c r="G22060" s="1"/>
    </row>
    <row r="22061">
      <c r="B22061" s="36"/>
      <c r="C22061" s="36"/>
      <c r="E22061" s="1"/>
      <c r="F22061" s="1"/>
      <c r="G22061" s="1"/>
    </row>
    <row r="22062">
      <c r="B22062" s="36"/>
      <c r="C22062" s="36"/>
      <c r="E22062" s="1"/>
      <c r="F22062" s="1"/>
      <c r="G22062" s="1"/>
    </row>
    <row r="22063">
      <c r="B22063" s="36"/>
      <c r="C22063" s="36"/>
      <c r="E22063" s="1"/>
      <c r="F22063" s="1"/>
      <c r="G22063" s="1"/>
    </row>
    <row r="22064">
      <c r="B22064" s="36"/>
      <c r="C22064" s="36"/>
      <c r="E22064" s="1"/>
      <c r="F22064" s="1"/>
      <c r="G22064" s="1"/>
    </row>
    <row r="22065">
      <c r="B22065" s="36"/>
      <c r="C22065" s="36"/>
      <c r="E22065" s="1"/>
      <c r="F22065" s="1"/>
      <c r="G22065" s="1"/>
    </row>
    <row r="22066">
      <c r="B22066" s="36"/>
      <c r="C22066" s="36"/>
      <c r="E22066" s="1"/>
      <c r="F22066" s="1"/>
      <c r="G22066" s="1"/>
    </row>
    <row r="22067">
      <c r="B22067" s="36"/>
      <c r="C22067" s="36"/>
      <c r="E22067" s="1"/>
      <c r="F22067" s="1"/>
      <c r="G22067" s="1"/>
    </row>
    <row r="22068">
      <c r="B22068" s="36"/>
      <c r="C22068" s="36"/>
      <c r="E22068" s="1"/>
      <c r="F22068" s="1"/>
      <c r="G22068" s="1"/>
    </row>
    <row r="22069">
      <c r="B22069" s="36"/>
      <c r="C22069" s="36"/>
      <c r="E22069" s="1"/>
      <c r="F22069" s="1"/>
      <c r="G22069" s="1"/>
    </row>
    <row r="22070">
      <c r="B22070" s="36"/>
      <c r="C22070" s="36"/>
      <c r="E22070" s="1"/>
      <c r="F22070" s="1"/>
      <c r="G22070" s="1"/>
    </row>
    <row r="22071">
      <c r="B22071" s="36"/>
      <c r="C22071" s="36"/>
      <c r="E22071" s="1"/>
      <c r="F22071" s="1"/>
      <c r="G22071" s="1"/>
    </row>
    <row r="22072">
      <c r="B22072" s="36"/>
      <c r="C22072" s="36"/>
      <c r="E22072" s="1"/>
      <c r="F22072" s="1"/>
      <c r="G22072" s="1"/>
    </row>
    <row r="22073">
      <c r="B22073" s="36"/>
      <c r="C22073" s="36"/>
      <c r="E22073" s="1"/>
      <c r="F22073" s="1"/>
      <c r="G22073" s="1"/>
    </row>
    <row r="22074">
      <c r="B22074" s="36"/>
      <c r="C22074" s="36"/>
      <c r="E22074" s="1"/>
      <c r="F22074" s="1"/>
      <c r="G22074" s="1"/>
    </row>
    <row r="22075">
      <c r="B22075" s="36"/>
      <c r="C22075" s="36"/>
      <c r="E22075" s="1"/>
      <c r="F22075" s="1"/>
      <c r="G22075" s="1"/>
    </row>
    <row r="22076">
      <c r="B22076" s="36"/>
      <c r="C22076" s="36"/>
      <c r="E22076" s="1"/>
      <c r="F22076" s="1"/>
      <c r="G22076" s="1"/>
    </row>
    <row r="22077">
      <c r="B22077" s="36"/>
      <c r="C22077" s="36"/>
      <c r="E22077" s="1"/>
      <c r="F22077" s="1"/>
      <c r="G22077" s="1"/>
    </row>
    <row r="22078">
      <c r="B22078" s="36"/>
      <c r="C22078" s="36"/>
      <c r="E22078" s="1"/>
      <c r="F22078" s="1"/>
      <c r="G22078" s="1"/>
    </row>
    <row r="22079">
      <c r="B22079" s="36"/>
      <c r="C22079" s="36"/>
      <c r="E22079" s="1"/>
      <c r="F22079" s="1"/>
      <c r="G22079" s="1"/>
    </row>
    <row r="22080">
      <c r="B22080" s="36"/>
      <c r="C22080" s="36"/>
      <c r="E22080" s="1"/>
      <c r="F22080" s="1"/>
      <c r="G22080" s="1"/>
    </row>
    <row r="22081">
      <c r="B22081" s="36"/>
      <c r="C22081" s="36"/>
      <c r="E22081" s="1"/>
      <c r="F22081" s="1"/>
      <c r="G22081" s="1"/>
    </row>
    <row r="22082">
      <c r="B22082" s="36"/>
      <c r="C22082" s="36"/>
      <c r="E22082" s="1"/>
      <c r="F22082" s="1"/>
      <c r="G22082" s="1"/>
    </row>
    <row r="22083">
      <c r="B22083" s="36"/>
      <c r="C22083" s="36"/>
      <c r="E22083" s="1"/>
      <c r="F22083" s="1"/>
      <c r="G22083" s="1"/>
    </row>
    <row r="22084">
      <c r="B22084" s="36"/>
      <c r="C22084" s="36"/>
      <c r="E22084" s="1"/>
      <c r="F22084" s="1"/>
      <c r="G22084" s="1"/>
    </row>
    <row r="22085">
      <c r="B22085" s="36"/>
      <c r="C22085" s="36"/>
      <c r="E22085" s="1"/>
      <c r="F22085" s="1"/>
      <c r="G22085" s="1"/>
    </row>
    <row r="22086">
      <c r="B22086" s="36"/>
      <c r="C22086" s="36"/>
      <c r="E22086" s="1"/>
      <c r="F22086" s="1"/>
      <c r="G22086" s="1"/>
    </row>
    <row r="22087">
      <c r="B22087" s="36"/>
      <c r="C22087" s="36"/>
      <c r="E22087" s="1"/>
      <c r="F22087" s="1"/>
      <c r="G22087" s="1"/>
    </row>
    <row r="22088">
      <c r="B22088" s="36"/>
      <c r="C22088" s="36"/>
      <c r="E22088" s="1"/>
      <c r="F22088" s="1"/>
      <c r="G22088" s="1"/>
    </row>
    <row r="22089">
      <c r="B22089" s="36"/>
      <c r="C22089" s="36"/>
      <c r="E22089" s="1"/>
      <c r="F22089" s="1"/>
      <c r="G22089" s="1"/>
    </row>
    <row r="22090">
      <c r="B22090" s="36"/>
      <c r="C22090" s="36"/>
      <c r="E22090" s="1"/>
      <c r="F22090" s="1"/>
      <c r="G22090" s="1"/>
    </row>
    <row r="22091">
      <c r="B22091" s="36"/>
      <c r="C22091" s="36"/>
      <c r="E22091" s="1"/>
      <c r="F22091" s="1"/>
      <c r="G22091" s="1"/>
    </row>
    <row r="22092">
      <c r="B22092" s="36"/>
      <c r="C22092" s="36"/>
      <c r="E22092" s="1"/>
      <c r="F22092" s="1"/>
      <c r="G22092" s="1"/>
    </row>
    <row r="22093">
      <c r="B22093" s="36"/>
      <c r="C22093" s="36"/>
      <c r="E22093" s="1"/>
      <c r="F22093" s="1"/>
      <c r="G22093" s="1"/>
    </row>
    <row r="22094">
      <c r="B22094" s="36"/>
      <c r="C22094" s="36"/>
      <c r="E22094" s="1"/>
      <c r="F22094" s="1"/>
      <c r="G22094" s="1"/>
    </row>
    <row r="22095">
      <c r="B22095" s="36"/>
      <c r="C22095" s="36"/>
      <c r="E22095" s="1"/>
      <c r="F22095" s="1"/>
      <c r="G22095" s="1"/>
    </row>
    <row r="22096">
      <c r="B22096" s="36"/>
      <c r="C22096" s="36"/>
      <c r="E22096" s="1"/>
      <c r="F22096" s="1"/>
      <c r="G22096" s="1"/>
    </row>
    <row r="22097">
      <c r="B22097" s="36"/>
      <c r="C22097" s="36"/>
      <c r="E22097" s="1"/>
      <c r="F22097" s="1"/>
      <c r="G22097" s="1"/>
    </row>
    <row r="22098">
      <c r="B22098" s="36"/>
      <c r="C22098" s="36"/>
      <c r="E22098" s="1"/>
      <c r="F22098" s="1"/>
      <c r="G22098" s="1"/>
    </row>
    <row r="22099">
      <c r="B22099" s="36"/>
      <c r="C22099" s="36"/>
      <c r="E22099" s="1"/>
      <c r="F22099" s="1"/>
      <c r="G22099" s="1"/>
    </row>
    <row r="22100">
      <c r="B22100" s="36"/>
      <c r="C22100" s="36"/>
      <c r="E22100" s="1"/>
      <c r="F22100" s="1"/>
      <c r="G22100" s="1"/>
    </row>
    <row r="22101">
      <c r="B22101" s="36"/>
      <c r="C22101" s="36"/>
      <c r="E22101" s="1"/>
      <c r="F22101" s="1"/>
      <c r="G22101" s="1"/>
    </row>
    <row r="22102">
      <c r="B22102" s="36"/>
      <c r="C22102" s="36"/>
      <c r="E22102" s="1"/>
      <c r="F22102" s="1"/>
      <c r="G22102" s="1"/>
    </row>
    <row r="22103">
      <c r="B22103" s="36"/>
      <c r="C22103" s="36"/>
      <c r="E22103" s="1"/>
      <c r="F22103" s="1"/>
      <c r="G22103" s="1"/>
    </row>
    <row r="22104">
      <c r="B22104" s="36"/>
      <c r="C22104" s="36"/>
      <c r="E22104" s="1"/>
      <c r="F22104" s="1"/>
      <c r="G22104" s="1"/>
    </row>
    <row r="22105">
      <c r="B22105" s="36"/>
      <c r="C22105" s="36"/>
      <c r="E22105" s="1"/>
      <c r="F22105" s="1"/>
      <c r="G22105" s="1"/>
    </row>
    <row r="22106">
      <c r="B22106" s="36"/>
      <c r="C22106" s="36"/>
      <c r="E22106" s="1"/>
      <c r="F22106" s="1"/>
      <c r="G22106" s="1"/>
    </row>
    <row r="22107">
      <c r="B22107" s="36"/>
      <c r="C22107" s="36"/>
      <c r="E22107" s="1"/>
      <c r="F22107" s="1"/>
      <c r="G22107" s="1"/>
    </row>
    <row r="22108">
      <c r="B22108" s="36"/>
      <c r="C22108" s="36"/>
      <c r="E22108" s="1"/>
      <c r="F22108" s="1"/>
      <c r="G22108" s="1"/>
    </row>
    <row r="22109">
      <c r="B22109" s="36"/>
      <c r="C22109" s="36"/>
      <c r="E22109" s="1"/>
      <c r="F22109" s="1"/>
      <c r="G22109" s="1"/>
    </row>
    <row r="22110">
      <c r="B22110" s="36"/>
      <c r="C22110" s="36"/>
      <c r="E22110" s="1"/>
      <c r="F22110" s="1"/>
      <c r="G22110" s="1"/>
    </row>
    <row r="22111">
      <c r="B22111" s="36"/>
      <c r="C22111" s="36"/>
      <c r="E22111" s="1"/>
      <c r="F22111" s="1"/>
      <c r="G22111" s="1"/>
    </row>
    <row r="22112">
      <c r="B22112" s="36"/>
      <c r="C22112" s="36"/>
      <c r="E22112" s="1"/>
      <c r="F22112" s="1"/>
      <c r="G22112" s="1"/>
    </row>
    <row r="22113">
      <c r="B22113" s="36"/>
      <c r="C22113" s="36"/>
      <c r="E22113" s="1"/>
      <c r="F22113" s="1"/>
      <c r="G22113" s="1"/>
    </row>
    <row r="22114">
      <c r="B22114" s="36"/>
      <c r="C22114" s="36"/>
      <c r="E22114" s="1"/>
      <c r="F22114" s="1"/>
      <c r="G22114" s="1"/>
    </row>
    <row r="22115">
      <c r="B22115" s="36"/>
      <c r="C22115" s="36"/>
      <c r="E22115" s="1"/>
      <c r="F22115" s="1"/>
      <c r="G22115" s="1"/>
    </row>
    <row r="22116">
      <c r="B22116" s="36"/>
      <c r="C22116" s="36"/>
      <c r="E22116" s="1"/>
      <c r="F22116" s="1"/>
      <c r="G22116" s="1"/>
    </row>
    <row r="22117">
      <c r="B22117" s="36"/>
      <c r="C22117" s="36"/>
      <c r="E22117" s="1"/>
      <c r="F22117" s="1"/>
      <c r="G22117" s="1"/>
    </row>
    <row r="22118">
      <c r="B22118" s="36"/>
      <c r="C22118" s="36"/>
      <c r="E22118" s="1"/>
      <c r="F22118" s="1"/>
      <c r="G22118" s="1"/>
    </row>
    <row r="22119">
      <c r="B22119" s="36"/>
      <c r="C22119" s="36"/>
      <c r="E22119" s="1"/>
      <c r="F22119" s="1"/>
      <c r="G22119" s="1"/>
    </row>
    <row r="22120">
      <c r="B22120" s="36"/>
      <c r="C22120" s="36"/>
      <c r="E22120" s="1"/>
      <c r="F22120" s="1"/>
      <c r="G22120" s="1"/>
    </row>
    <row r="22121">
      <c r="B22121" s="36"/>
      <c r="C22121" s="36"/>
      <c r="E22121" s="1"/>
      <c r="F22121" s="1"/>
      <c r="G22121" s="1"/>
    </row>
    <row r="22122">
      <c r="B22122" s="36"/>
      <c r="C22122" s="36"/>
      <c r="E22122" s="1"/>
      <c r="F22122" s="1"/>
      <c r="G22122" s="1"/>
    </row>
    <row r="22123">
      <c r="B22123" s="36"/>
      <c r="C22123" s="36"/>
      <c r="E22123" s="1"/>
      <c r="F22123" s="1"/>
      <c r="G22123" s="1"/>
    </row>
    <row r="22124">
      <c r="B22124" s="36"/>
      <c r="C22124" s="36"/>
      <c r="E22124" s="1"/>
      <c r="F22124" s="1"/>
      <c r="G22124" s="1"/>
    </row>
    <row r="22125">
      <c r="B22125" s="36"/>
      <c r="C22125" s="36"/>
      <c r="E22125" s="1"/>
      <c r="F22125" s="1"/>
      <c r="G22125" s="1"/>
    </row>
    <row r="22126">
      <c r="B22126" s="36"/>
      <c r="C22126" s="36"/>
      <c r="E22126" s="1"/>
      <c r="F22126" s="1"/>
      <c r="G22126" s="1"/>
    </row>
    <row r="22127">
      <c r="B22127" s="36"/>
      <c r="C22127" s="36"/>
      <c r="E22127" s="1"/>
      <c r="F22127" s="1"/>
      <c r="G22127" s="1"/>
    </row>
    <row r="22128">
      <c r="B22128" s="36"/>
      <c r="C22128" s="36"/>
      <c r="E22128" s="1"/>
      <c r="F22128" s="1"/>
      <c r="G22128" s="1"/>
    </row>
    <row r="22129">
      <c r="B22129" s="36"/>
      <c r="C22129" s="36"/>
      <c r="E22129" s="1"/>
      <c r="F22129" s="1"/>
      <c r="G22129" s="1"/>
    </row>
    <row r="22130">
      <c r="B22130" s="36"/>
      <c r="C22130" s="36"/>
      <c r="E22130" s="1"/>
      <c r="F22130" s="1"/>
      <c r="G22130" s="1"/>
    </row>
    <row r="22131">
      <c r="B22131" s="36"/>
      <c r="C22131" s="36"/>
      <c r="E22131" s="1"/>
      <c r="F22131" s="1"/>
      <c r="G22131" s="1"/>
    </row>
    <row r="22132">
      <c r="B22132" s="36"/>
      <c r="C22132" s="36"/>
      <c r="E22132" s="1"/>
      <c r="F22132" s="1"/>
      <c r="G22132" s="1"/>
    </row>
    <row r="22133">
      <c r="B22133" s="36"/>
      <c r="C22133" s="36"/>
      <c r="E22133" s="1"/>
      <c r="F22133" s="1"/>
      <c r="G22133" s="1"/>
    </row>
    <row r="22134">
      <c r="B22134" s="36"/>
      <c r="C22134" s="36"/>
      <c r="E22134" s="1"/>
      <c r="F22134" s="1"/>
      <c r="G22134" s="1"/>
    </row>
    <row r="22135">
      <c r="B22135" s="36"/>
      <c r="C22135" s="36"/>
      <c r="E22135" s="1"/>
      <c r="F22135" s="1"/>
      <c r="G22135" s="1"/>
    </row>
    <row r="22136">
      <c r="B22136" s="36"/>
      <c r="C22136" s="36"/>
      <c r="E22136" s="1"/>
      <c r="F22136" s="1"/>
      <c r="G22136" s="1"/>
    </row>
    <row r="22137">
      <c r="B22137" s="36"/>
      <c r="C22137" s="36"/>
      <c r="E22137" s="1"/>
      <c r="F22137" s="1"/>
      <c r="G22137" s="1"/>
    </row>
    <row r="22138">
      <c r="B22138" s="36"/>
      <c r="C22138" s="36"/>
      <c r="E22138" s="1"/>
      <c r="F22138" s="1"/>
      <c r="G22138" s="1"/>
    </row>
    <row r="22139">
      <c r="B22139" s="36"/>
      <c r="C22139" s="36"/>
      <c r="E22139" s="1"/>
      <c r="F22139" s="1"/>
      <c r="G22139" s="1"/>
    </row>
    <row r="22140">
      <c r="B22140" s="36"/>
      <c r="C22140" s="36"/>
      <c r="E22140" s="1"/>
      <c r="F22140" s="1"/>
      <c r="G22140" s="1"/>
    </row>
    <row r="22141">
      <c r="B22141" s="36"/>
      <c r="C22141" s="36"/>
      <c r="E22141" s="1"/>
      <c r="F22141" s="1"/>
      <c r="G22141" s="1"/>
    </row>
    <row r="22142">
      <c r="B22142" s="36"/>
      <c r="C22142" s="36"/>
      <c r="E22142" s="1"/>
      <c r="F22142" s="1"/>
      <c r="G22142" s="1"/>
    </row>
    <row r="22143">
      <c r="B22143" s="36"/>
      <c r="C22143" s="36"/>
      <c r="E22143" s="1"/>
      <c r="F22143" s="1"/>
      <c r="G22143" s="1"/>
    </row>
    <row r="22144">
      <c r="B22144" s="36"/>
      <c r="C22144" s="36"/>
      <c r="E22144" s="1"/>
      <c r="F22144" s="1"/>
      <c r="G22144" s="1"/>
    </row>
    <row r="22145">
      <c r="B22145" s="36"/>
      <c r="C22145" s="36"/>
      <c r="E22145" s="1"/>
      <c r="F22145" s="1"/>
      <c r="G22145" s="1"/>
    </row>
    <row r="22146">
      <c r="B22146" s="36"/>
      <c r="C22146" s="36"/>
      <c r="E22146" s="1"/>
      <c r="F22146" s="1"/>
      <c r="G22146" s="1"/>
    </row>
    <row r="22147">
      <c r="B22147" s="36"/>
      <c r="C22147" s="36"/>
      <c r="E22147" s="1"/>
      <c r="F22147" s="1"/>
      <c r="G22147" s="1"/>
    </row>
    <row r="22148">
      <c r="B22148" s="36"/>
      <c r="C22148" s="36"/>
      <c r="E22148" s="1"/>
      <c r="F22148" s="1"/>
      <c r="G22148" s="1"/>
    </row>
    <row r="22149">
      <c r="B22149" s="36"/>
      <c r="C22149" s="36"/>
      <c r="E22149" s="1"/>
      <c r="F22149" s="1"/>
      <c r="G22149" s="1"/>
    </row>
    <row r="22150">
      <c r="B22150" s="36"/>
      <c r="C22150" s="36"/>
      <c r="E22150" s="1"/>
      <c r="F22150" s="1"/>
      <c r="G22150" s="1"/>
    </row>
    <row r="22151">
      <c r="B22151" s="36"/>
      <c r="C22151" s="36"/>
      <c r="E22151" s="1"/>
      <c r="F22151" s="1"/>
      <c r="G22151" s="1"/>
    </row>
    <row r="22152">
      <c r="B22152" s="36"/>
      <c r="C22152" s="36"/>
      <c r="E22152" s="1"/>
      <c r="F22152" s="1"/>
      <c r="G22152" s="1"/>
    </row>
    <row r="22153">
      <c r="B22153" s="36"/>
      <c r="C22153" s="36"/>
      <c r="E22153" s="1"/>
      <c r="F22153" s="1"/>
      <c r="G22153" s="1"/>
    </row>
    <row r="22154">
      <c r="B22154" s="36"/>
      <c r="C22154" s="36"/>
      <c r="E22154" s="1"/>
      <c r="F22154" s="1"/>
      <c r="G22154" s="1"/>
    </row>
    <row r="22155">
      <c r="B22155" s="36"/>
      <c r="C22155" s="36"/>
      <c r="E22155" s="1"/>
      <c r="F22155" s="1"/>
      <c r="G22155" s="1"/>
    </row>
    <row r="22156">
      <c r="B22156" s="36"/>
      <c r="C22156" s="36"/>
      <c r="E22156" s="1"/>
      <c r="F22156" s="1"/>
      <c r="G22156" s="1"/>
    </row>
    <row r="22157">
      <c r="B22157" s="36"/>
      <c r="C22157" s="36"/>
      <c r="E22157" s="1"/>
      <c r="F22157" s="1"/>
      <c r="G22157" s="1"/>
    </row>
    <row r="22158">
      <c r="B22158" s="36"/>
      <c r="C22158" s="36"/>
      <c r="E22158" s="1"/>
      <c r="F22158" s="1"/>
      <c r="G22158" s="1"/>
    </row>
    <row r="22159">
      <c r="B22159" s="36"/>
      <c r="C22159" s="36"/>
      <c r="E22159" s="1"/>
      <c r="F22159" s="1"/>
      <c r="G22159" s="1"/>
    </row>
    <row r="22160">
      <c r="B22160" s="36"/>
      <c r="C22160" s="36"/>
      <c r="E22160" s="1"/>
      <c r="F22160" s="1"/>
      <c r="G22160" s="1"/>
    </row>
    <row r="22161">
      <c r="B22161" s="36"/>
      <c r="C22161" s="36"/>
      <c r="E22161" s="1"/>
      <c r="F22161" s="1"/>
      <c r="G22161" s="1"/>
    </row>
    <row r="22162">
      <c r="B22162" s="36"/>
      <c r="C22162" s="36"/>
      <c r="E22162" s="1"/>
      <c r="F22162" s="1"/>
      <c r="G22162" s="1"/>
    </row>
    <row r="22163">
      <c r="B22163" s="36"/>
      <c r="C22163" s="36"/>
      <c r="E22163" s="1"/>
      <c r="F22163" s="1"/>
      <c r="G22163" s="1"/>
    </row>
    <row r="22164">
      <c r="B22164" s="36"/>
      <c r="C22164" s="36"/>
      <c r="E22164" s="1"/>
      <c r="F22164" s="1"/>
      <c r="G22164" s="1"/>
    </row>
    <row r="22165">
      <c r="B22165" s="36"/>
      <c r="C22165" s="36"/>
      <c r="E22165" s="1"/>
      <c r="F22165" s="1"/>
      <c r="G22165" s="1"/>
    </row>
    <row r="22166">
      <c r="B22166" s="36"/>
      <c r="C22166" s="36"/>
      <c r="E22166" s="1"/>
      <c r="F22166" s="1"/>
      <c r="G22166" s="1"/>
    </row>
    <row r="22167">
      <c r="B22167" s="36"/>
      <c r="C22167" s="36"/>
      <c r="E22167" s="1"/>
      <c r="F22167" s="1"/>
      <c r="G22167" s="1"/>
    </row>
    <row r="22168">
      <c r="B22168" s="36"/>
      <c r="C22168" s="36"/>
      <c r="E22168" s="1"/>
      <c r="F22168" s="1"/>
      <c r="G22168" s="1"/>
    </row>
    <row r="22169">
      <c r="B22169" s="36"/>
      <c r="C22169" s="36"/>
      <c r="E22169" s="1"/>
      <c r="F22169" s="1"/>
      <c r="G22169" s="1"/>
    </row>
    <row r="22170">
      <c r="B22170" s="36"/>
      <c r="C22170" s="36"/>
      <c r="E22170" s="1"/>
      <c r="F22170" s="1"/>
      <c r="G22170" s="1"/>
    </row>
    <row r="22171">
      <c r="B22171" s="36"/>
      <c r="C22171" s="36"/>
      <c r="E22171" s="1"/>
      <c r="F22171" s="1"/>
      <c r="G22171" s="1"/>
    </row>
    <row r="22172">
      <c r="B22172" s="36"/>
      <c r="C22172" s="36"/>
      <c r="E22172" s="1"/>
      <c r="F22172" s="1"/>
      <c r="G22172" s="1"/>
    </row>
    <row r="22173">
      <c r="B22173" s="36"/>
      <c r="C22173" s="36"/>
      <c r="E22173" s="1"/>
      <c r="F22173" s="1"/>
      <c r="G22173" s="1"/>
    </row>
    <row r="22174">
      <c r="B22174" s="36"/>
      <c r="C22174" s="36"/>
      <c r="E22174" s="1"/>
      <c r="F22174" s="1"/>
      <c r="G22174" s="1"/>
    </row>
    <row r="22175">
      <c r="B22175" s="36"/>
      <c r="C22175" s="36"/>
      <c r="E22175" s="1"/>
      <c r="F22175" s="1"/>
      <c r="G22175" s="1"/>
    </row>
    <row r="22176">
      <c r="B22176" s="36"/>
      <c r="C22176" s="36"/>
      <c r="E22176" s="1"/>
      <c r="F22176" s="1"/>
      <c r="G22176" s="1"/>
    </row>
    <row r="22177">
      <c r="B22177" s="36"/>
      <c r="C22177" s="36"/>
      <c r="E22177" s="1"/>
      <c r="F22177" s="1"/>
      <c r="G22177" s="1"/>
    </row>
    <row r="22178">
      <c r="B22178" s="36"/>
      <c r="C22178" s="36"/>
      <c r="E22178" s="1"/>
      <c r="F22178" s="1"/>
      <c r="G22178" s="1"/>
    </row>
    <row r="22179">
      <c r="B22179" s="36"/>
      <c r="C22179" s="36"/>
      <c r="E22179" s="1"/>
      <c r="F22179" s="1"/>
      <c r="G22179" s="1"/>
    </row>
    <row r="22180">
      <c r="B22180" s="36"/>
      <c r="C22180" s="36"/>
      <c r="E22180" s="1"/>
      <c r="F22180" s="1"/>
      <c r="G22180" s="1"/>
    </row>
    <row r="22181">
      <c r="B22181" s="36"/>
      <c r="C22181" s="36"/>
      <c r="E22181" s="1"/>
      <c r="F22181" s="1"/>
      <c r="G22181" s="1"/>
    </row>
    <row r="22182">
      <c r="B22182" s="36"/>
      <c r="C22182" s="36"/>
      <c r="E22182" s="1"/>
      <c r="F22182" s="1"/>
      <c r="G22182" s="1"/>
    </row>
    <row r="22183">
      <c r="B22183" s="36"/>
      <c r="C22183" s="36"/>
      <c r="E22183" s="1"/>
      <c r="F22183" s="1"/>
      <c r="G22183" s="1"/>
    </row>
    <row r="22184">
      <c r="B22184" s="36"/>
      <c r="C22184" s="36"/>
      <c r="E22184" s="1"/>
      <c r="F22184" s="1"/>
      <c r="G22184" s="1"/>
    </row>
    <row r="22185">
      <c r="B22185" s="36"/>
      <c r="C22185" s="36"/>
      <c r="E22185" s="1"/>
      <c r="F22185" s="1"/>
      <c r="G22185" s="1"/>
    </row>
    <row r="22186">
      <c r="B22186" s="36"/>
      <c r="C22186" s="36"/>
      <c r="E22186" s="1"/>
      <c r="F22186" s="1"/>
      <c r="G22186" s="1"/>
    </row>
    <row r="22187">
      <c r="B22187" s="36"/>
      <c r="C22187" s="36"/>
      <c r="E22187" s="1"/>
      <c r="F22187" s="1"/>
      <c r="G22187" s="1"/>
    </row>
    <row r="22188">
      <c r="B22188" s="36"/>
      <c r="C22188" s="36"/>
      <c r="E22188" s="1"/>
      <c r="F22188" s="1"/>
      <c r="G22188" s="1"/>
    </row>
    <row r="22189">
      <c r="B22189" s="36"/>
      <c r="C22189" s="36"/>
      <c r="E22189" s="1"/>
      <c r="F22189" s="1"/>
      <c r="G22189" s="1"/>
    </row>
    <row r="22190">
      <c r="B22190" s="36"/>
      <c r="C22190" s="36"/>
      <c r="E22190" s="1"/>
      <c r="F22190" s="1"/>
      <c r="G22190" s="1"/>
    </row>
    <row r="22191">
      <c r="B22191" s="36"/>
      <c r="C22191" s="36"/>
      <c r="E22191" s="1"/>
      <c r="F22191" s="1"/>
      <c r="G22191" s="1"/>
    </row>
    <row r="22192">
      <c r="B22192" s="36"/>
      <c r="C22192" s="36"/>
      <c r="E22192" s="1"/>
      <c r="F22192" s="1"/>
      <c r="G22192" s="1"/>
    </row>
    <row r="22193">
      <c r="B22193" s="36"/>
      <c r="C22193" s="36"/>
      <c r="E22193" s="1"/>
      <c r="F22193" s="1"/>
      <c r="G22193" s="1"/>
    </row>
    <row r="22194">
      <c r="B22194" s="36"/>
      <c r="C22194" s="36"/>
      <c r="E22194" s="1"/>
      <c r="F22194" s="1"/>
      <c r="G22194" s="1"/>
    </row>
    <row r="22195">
      <c r="B22195" s="36"/>
      <c r="C22195" s="36"/>
      <c r="E22195" s="1"/>
      <c r="F22195" s="1"/>
      <c r="G22195" s="1"/>
    </row>
    <row r="22196">
      <c r="B22196" s="36"/>
      <c r="C22196" s="36"/>
      <c r="E22196" s="1"/>
      <c r="F22196" s="1"/>
      <c r="G22196" s="1"/>
    </row>
    <row r="22197">
      <c r="B22197" s="36"/>
      <c r="C22197" s="36"/>
      <c r="E22197" s="1"/>
      <c r="F22197" s="1"/>
      <c r="G22197" s="1"/>
    </row>
    <row r="22198">
      <c r="B22198" s="36"/>
      <c r="C22198" s="36"/>
      <c r="E22198" s="1"/>
      <c r="F22198" s="1"/>
      <c r="G22198" s="1"/>
    </row>
    <row r="22199">
      <c r="B22199" s="36"/>
      <c r="C22199" s="36"/>
      <c r="E22199" s="1"/>
      <c r="F22199" s="1"/>
      <c r="G22199" s="1"/>
    </row>
    <row r="22200">
      <c r="B22200" s="36"/>
      <c r="C22200" s="36"/>
      <c r="E22200" s="1"/>
      <c r="F22200" s="1"/>
      <c r="G22200" s="1"/>
    </row>
    <row r="22201">
      <c r="B22201" s="36"/>
      <c r="C22201" s="36"/>
      <c r="E22201" s="1"/>
      <c r="F22201" s="1"/>
      <c r="G22201" s="1"/>
    </row>
    <row r="22202">
      <c r="B22202" s="36"/>
      <c r="C22202" s="36"/>
      <c r="E22202" s="1"/>
      <c r="F22202" s="1"/>
      <c r="G22202" s="1"/>
    </row>
    <row r="22203">
      <c r="B22203" s="36"/>
      <c r="C22203" s="36"/>
      <c r="E22203" s="1"/>
      <c r="F22203" s="1"/>
      <c r="G22203" s="1"/>
    </row>
    <row r="22204">
      <c r="B22204" s="36"/>
      <c r="C22204" s="36"/>
      <c r="E22204" s="1"/>
      <c r="F22204" s="1"/>
      <c r="G22204" s="1"/>
    </row>
    <row r="22205">
      <c r="B22205" s="36"/>
      <c r="C22205" s="36"/>
      <c r="E22205" s="1"/>
      <c r="F22205" s="1"/>
      <c r="G22205" s="1"/>
    </row>
    <row r="22206">
      <c r="B22206" s="36"/>
      <c r="C22206" s="36"/>
      <c r="E22206" s="1"/>
      <c r="F22206" s="1"/>
      <c r="G22206" s="1"/>
    </row>
    <row r="22207">
      <c r="B22207" s="36"/>
      <c r="C22207" s="36"/>
      <c r="E22207" s="1"/>
      <c r="F22207" s="1"/>
      <c r="G22207" s="1"/>
    </row>
    <row r="22208">
      <c r="B22208" s="36"/>
      <c r="C22208" s="36"/>
      <c r="E22208" s="1"/>
      <c r="F22208" s="1"/>
      <c r="G22208" s="1"/>
    </row>
    <row r="22209">
      <c r="B22209" s="36"/>
      <c r="C22209" s="36"/>
      <c r="E22209" s="1"/>
      <c r="F22209" s="1"/>
      <c r="G22209" s="1"/>
    </row>
    <row r="22210">
      <c r="B22210" s="36"/>
      <c r="C22210" s="36"/>
      <c r="E22210" s="1"/>
      <c r="F22210" s="1"/>
      <c r="G22210" s="1"/>
    </row>
    <row r="22211">
      <c r="B22211" s="36"/>
      <c r="C22211" s="36"/>
      <c r="E22211" s="1"/>
      <c r="F22211" s="1"/>
      <c r="G22211" s="1"/>
    </row>
    <row r="22212">
      <c r="B22212" s="36"/>
      <c r="C22212" s="36"/>
      <c r="E22212" s="1"/>
      <c r="F22212" s="1"/>
      <c r="G22212" s="1"/>
    </row>
    <row r="22213">
      <c r="B22213" s="36"/>
      <c r="C22213" s="36"/>
      <c r="E22213" s="1"/>
      <c r="F22213" s="1"/>
      <c r="G22213" s="1"/>
    </row>
    <row r="22214">
      <c r="B22214" s="36"/>
      <c r="C22214" s="36"/>
      <c r="E22214" s="1"/>
      <c r="F22214" s="1"/>
      <c r="G22214" s="1"/>
    </row>
    <row r="22215">
      <c r="B22215" s="36"/>
      <c r="C22215" s="36"/>
      <c r="E22215" s="1"/>
      <c r="F22215" s="1"/>
      <c r="G22215" s="1"/>
    </row>
    <row r="22216">
      <c r="B22216" s="36"/>
      <c r="C22216" s="36"/>
      <c r="E22216" s="1"/>
      <c r="F22216" s="1"/>
      <c r="G22216" s="1"/>
    </row>
    <row r="22217">
      <c r="B22217" s="36"/>
      <c r="C22217" s="36"/>
      <c r="E22217" s="1"/>
      <c r="F22217" s="1"/>
      <c r="G22217" s="1"/>
    </row>
    <row r="22218">
      <c r="B22218" s="36"/>
      <c r="C22218" s="36"/>
      <c r="E22218" s="1"/>
      <c r="F22218" s="1"/>
      <c r="G22218" s="1"/>
    </row>
    <row r="22219">
      <c r="B22219" s="36"/>
      <c r="C22219" s="36"/>
      <c r="E22219" s="1"/>
      <c r="F22219" s="1"/>
      <c r="G22219" s="1"/>
    </row>
    <row r="22220">
      <c r="B22220" s="36"/>
      <c r="C22220" s="36"/>
      <c r="E22220" s="1"/>
      <c r="F22220" s="1"/>
      <c r="G22220" s="1"/>
    </row>
    <row r="22221">
      <c r="B22221" s="36"/>
      <c r="C22221" s="36"/>
      <c r="E22221" s="1"/>
      <c r="F22221" s="1"/>
      <c r="G22221" s="1"/>
    </row>
    <row r="22222">
      <c r="B22222" s="36"/>
      <c r="C22222" s="36"/>
      <c r="E22222" s="1"/>
      <c r="F22222" s="1"/>
      <c r="G22222" s="1"/>
    </row>
    <row r="22223">
      <c r="B22223" s="36"/>
      <c r="C22223" s="36"/>
      <c r="E22223" s="1"/>
      <c r="F22223" s="1"/>
      <c r="G22223" s="1"/>
    </row>
    <row r="22224">
      <c r="B22224" s="36"/>
      <c r="C22224" s="36"/>
      <c r="E22224" s="1"/>
      <c r="F22224" s="1"/>
      <c r="G22224" s="1"/>
    </row>
    <row r="22225">
      <c r="B22225" s="36"/>
      <c r="C22225" s="36"/>
      <c r="E22225" s="1"/>
      <c r="F22225" s="1"/>
      <c r="G22225" s="1"/>
    </row>
    <row r="22226">
      <c r="B22226" s="36"/>
      <c r="C22226" s="36"/>
      <c r="E22226" s="1"/>
      <c r="F22226" s="1"/>
      <c r="G22226" s="1"/>
    </row>
    <row r="22227">
      <c r="B22227" s="36"/>
      <c r="C22227" s="36"/>
      <c r="E22227" s="1"/>
      <c r="F22227" s="1"/>
      <c r="G22227" s="1"/>
    </row>
    <row r="22228">
      <c r="B22228" s="36"/>
      <c r="C22228" s="36"/>
      <c r="E22228" s="1"/>
      <c r="F22228" s="1"/>
      <c r="G22228" s="1"/>
    </row>
    <row r="22229">
      <c r="B22229" s="36"/>
      <c r="C22229" s="36"/>
      <c r="E22229" s="1"/>
      <c r="F22229" s="1"/>
      <c r="G22229" s="1"/>
    </row>
    <row r="22230">
      <c r="B22230" s="36"/>
      <c r="C22230" s="36"/>
      <c r="E22230" s="1"/>
      <c r="F22230" s="1"/>
      <c r="G22230" s="1"/>
    </row>
    <row r="22231">
      <c r="B22231" s="36"/>
      <c r="C22231" s="36"/>
      <c r="E22231" s="1"/>
      <c r="F22231" s="1"/>
      <c r="G22231" s="1"/>
    </row>
    <row r="22232">
      <c r="B22232" s="36"/>
      <c r="C22232" s="36"/>
      <c r="E22232" s="1"/>
      <c r="F22232" s="1"/>
      <c r="G22232" s="1"/>
    </row>
    <row r="22233">
      <c r="B22233" s="36"/>
      <c r="C22233" s="36"/>
      <c r="E22233" s="1"/>
      <c r="F22233" s="1"/>
      <c r="G22233" s="1"/>
    </row>
    <row r="22234">
      <c r="B22234" s="36"/>
      <c r="C22234" s="36"/>
      <c r="E22234" s="1"/>
      <c r="F22234" s="1"/>
      <c r="G22234" s="1"/>
    </row>
    <row r="22235">
      <c r="B22235" s="36"/>
      <c r="C22235" s="36"/>
      <c r="E22235" s="1"/>
      <c r="F22235" s="1"/>
      <c r="G22235" s="1"/>
    </row>
    <row r="22236">
      <c r="B22236" s="36"/>
      <c r="C22236" s="36"/>
      <c r="E22236" s="1"/>
      <c r="F22236" s="1"/>
      <c r="G22236" s="1"/>
    </row>
    <row r="22237">
      <c r="B22237" s="36"/>
      <c r="C22237" s="36"/>
      <c r="E22237" s="1"/>
      <c r="F22237" s="1"/>
      <c r="G22237" s="1"/>
    </row>
    <row r="22238">
      <c r="B22238" s="36"/>
      <c r="C22238" s="36"/>
      <c r="E22238" s="1"/>
      <c r="F22238" s="1"/>
      <c r="G22238" s="1"/>
    </row>
    <row r="22239">
      <c r="B22239" s="36"/>
      <c r="C22239" s="36"/>
      <c r="E22239" s="1"/>
      <c r="F22239" s="1"/>
      <c r="G22239" s="1"/>
    </row>
    <row r="22240">
      <c r="B22240" s="36"/>
      <c r="C22240" s="36"/>
      <c r="E22240" s="1"/>
      <c r="F22240" s="1"/>
      <c r="G22240" s="1"/>
    </row>
    <row r="22241">
      <c r="B22241" s="36"/>
      <c r="C22241" s="36"/>
      <c r="E22241" s="1"/>
      <c r="F22241" s="1"/>
      <c r="G22241" s="1"/>
    </row>
    <row r="22242">
      <c r="B22242" s="36"/>
      <c r="C22242" s="36"/>
      <c r="E22242" s="1"/>
      <c r="F22242" s="1"/>
      <c r="G22242" s="1"/>
    </row>
    <row r="22243">
      <c r="B22243" s="36"/>
      <c r="C22243" s="36"/>
      <c r="E22243" s="1"/>
      <c r="F22243" s="1"/>
      <c r="G22243" s="1"/>
    </row>
    <row r="22244">
      <c r="B22244" s="36"/>
      <c r="C22244" s="36"/>
      <c r="E22244" s="1"/>
      <c r="F22244" s="1"/>
      <c r="G22244" s="1"/>
    </row>
    <row r="22245">
      <c r="B22245" s="36"/>
      <c r="C22245" s="36"/>
      <c r="E22245" s="1"/>
      <c r="F22245" s="1"/>
      <c r="G22245" s="1"/>
    </row>
    <row r="22246">
      <c r="B22246" s="36"/>
      <c r="C22246" s="36"/>
      <c r="E22246" s="1"/>
      <c r="F22246" s="1"/>
      <c r="G22246" s="1"/>
    </row>
    <row r="22247">
      <c r="B22247" s="36"/>
      <c r="C22247" s="36"/>
      <c r="E22247" s="1"/>
      <c r="F22247" s="1"/>
      <c r="G22247" s="1"/>
    </row>
    <row r="22248">
      <c r="B22248" s="36"/>
      <c r="C22248" s="36"/>
      <c r="E22248" s="1"/>
      <c r="F22248" s="1"/>
      <c r="G22248" s="1"/>
    </row>
    <row r="22249">
      <c r="B22249" s="36"/>
      <c r="C22249" s="36"/>
      <c r="E22249" s="1"/>
      <c r="F22249" s="1"/>
      <c r="G22249" s="1"/>
    </row>
    <row r="22250">
      <c r="B22250" s="36"/>
      <c r="C22250" s="36"/>
      <c r="E22250" s="1"/>
      <c r="F22250" s="1"/>
      <c r="G22250" s="1"/>
    </row>
    <row r="22251">
      <c r="B22251" s="36"/>
      <c r="C22251" s="36"/>
      <c r="E22251" s="1"/>
      <c r="F22251" s="1"/>
      <c r="G22251" s="1"/>
    </row>
    <row r="22252">
      <c r="B22252" s="36"/>
      <c r="C22252" s="36"/>
      <c r="E22252" s="1"/>
      <c r="F22252" s="1"/>
      <c r="G22252" s="1"/>
    </row>
    <row r="22253">
      <c r="B22253" s="36"/>
      <c r="C22253" s="36"/>
      <c r="E22253" s="1"/>
      <c r="F22253" s="1"/>
      <c r="G22253" s="1"/>
    </row>
    <row r="22254">
      <c r="B22254" s="36"/>
      <c r="C22254" s="36"/>
      <c r="E22254" s="1"/>
      <c r="F22254" s="1"/>
      <c r="G22254" s="1"/>
    </row>
    <row r="22255">
      <c r="B22255" s="36"/>
      <c r="C22255" s="36"/>
      <c r="E22255" s="1"/>
      <c r="F22255" s="1"/>
      <c r="G22255" s="1"/>
    </row>
    <row r="22256">
      <c r="B22256" s="36"/>
      <c r="C22256" s="36"/>
      <c r="E22256" s="1"/>
      <c r="F22256" s="1"/>
      <c r="G22256" s="1"/>
    </row>
    <row r="22257">
      <c r="B22257" s="36"/>
      <c r="C22257" s="36"/>
      <c r="E22257" s="1"/>
      <c r="F22257" s="1"/>
      <c r="G22257" s="1"/>
    </row>
    <row r="22258">
      <c r="B22258" s="36"/>
      <c r="C22258" s="36"/>
      <c r="E22258" s="1"/>
      <c r="F22258" s="1"/>
      <c r="G22258" s="1"/>
    </row>
    <row r="22259">
      <c r="B22259" s="36"/>
      <c r="C22259" s="36"/>
      <c r="E22259" s="1"/>
      <c r="F22259" s="1"/>
      <c r="G22259" s="1"/>
    </row>
    <row r="22260">
      <c r="B22260" s="36"/>
      <c r="C22260" s="36"/>
      <c r="E22260" s="1"/>
      <c r="F22260" s="1"/>
      <c r="G22260" s="1"/>
    </row>
    <row r="22261">
      <c r="B22261" s="36"/>
      <c r="C22261" s="36"/>
      <c r="E22261" s="1"/>
      <c r="F22261" s="1"/>
      <c r="G22261" s="1"/>
    </row>
    <row r="22262">
      <c r="B22262" s="36"/>
      <c r="C22262" s="36"/>
      <c r="E22262" s="1"/>
      <c r="F22262" s="1"/>
      <c r="G22262" s="1"/>
    </row>
    <row r="22263">
      <c r="B22263" s="36"/>
      <c r="C22263" s="36"/>
      <c r="E22263" s="1"/>
      <c r="F22263" s="1"/>
      <c r="G22263" s="1"/>
    </row>
    <row r="22264">
      <c r="B22264" s="36"/>
      <c r="C22264" s="36"/>
      <c r="E22264" s="1"/>
      <c r="F22264" s="1"/>
      <c r="G22264" s="1"/>
    </row>
    <row r="22265">
      <c r="B22265" s="36"/>
      <c r="C22265" s="36"/>
      <c r="E22265" s="1"/>
      <c r="F22265" s="1"/>
      <c r="G22265" s="1"/>
    </row>
    <row r="22266">
      <c r="B22266" s="36"/>
      <c r="C22266" s="36"/>
      <c r="E22266" s="1"/>
      <c r="F22266" s="1"/>
      <c r="G22266" s="1"/>
    </row>
    <row r="22267">
      <c r="B22267" s="36"/>
      <c r="C22267" s="36"/>
      <c r="E22267" s="1"/>
      <c r="F22267" s="1"/>
      <c r="G22267" s="1"/>
    </row>
    <row r="22268">
      <c r="B22268" s="36"/>
      <c r="C22268" s="36"/>
      <c r="E22268" s="1"/>
      <c r="F22268" s="1"/>
      <c r="G22268" s="1"/>
    </row>
    <row r="22269">
      <c r="B22269" s="36"/>
      <c r="C22269" s="36"/>
      <c r="E22269" s="1"/>
      <c r="F22269" s="1"/>
      <c r="G22269" s="1"/>
    </row>
    <row r="22270">
      <c r="B22270" s="36"/>
      <c r="C22270" s="36"/>
      <c r="E22270" s="1"/>
      <c r="F22270" s="1"/>
      <c r="G22270" s="1"/>
    </row>
    <row r="22271">
      <c r="B22271" s="36"/>
      <c r="C22271" s="36"/>
      <c r="E22271" s="1"/>
      <c r="F22271" s="1"/>
      <c r="G22271" s="1"/>
    </row>
    <row r="22272">
      <c r="B22272" s="36"/>
      <c r="C22272" s="36"/>
      <c r="E22272" s="1"/>
      <c r="F22272" s="1"/>
      <c r="G22272" s="1"/>
    </row>
    <row r="22273">
      <c r="B22273" s="36"/>
      <c r="C22273" s="36"/>
      <c r="E22273" s="1"/>
      <c r="F22273" s="1"/>
      <c r="G22273" s="1"/>
    </row>
    <row r="22274">
      <c r="B22274" s="36"/>
      <c r="C22274" s="36"/>
      <c r="E22274" s="1"/>
      <c r="F22274" s="1"/>
      <c r="G22274" s="1"/>
    </row>
    <row r="22275">
      <c r="B22275" s="36"/>
      <c r="C22275" s="36"/>
      <c r="E22275" s="1"/>
      <c r="F22275" s="1"/>
      <c r="G22275" s="1"/>
    </row>
    <row r="22276">
      <c r="B22276" s="36"/>
      <c r="C22276" s="36"/>
      <c r="E22276" s="1"/>
      <c r="F22276" s="1"/>
      <c r="G22276" s="1"/>
    </row>
    <row r="22277">
      <c r="B22277" s="36"/>
      <c r="C22277" s="36"/>
      <c r="E22277" s="1"/>
      <c r="F22277" s="1"/>
      <c r="G22277" s="1"/>
    </row>
    <row r="22278">
      <c r="B22278" s="36"/>
      <c r="C22278" s="36"/>
      <c r="E22278" s="1"/>
      <c r="F22278" s="1"/>
      <c r="G22278" s="1"/>
    </row>
    <row r="22279">
      <c r="B22279" s="36"/>
      <c r="C22279" s="36"/>
      <c r="E22279" s="1"/>
      <c r="F22279" s="1"/>
      <c r="G22279" s="1"/>
    </row>
    <row r="22280">
      <c r="B22280" s="36"/>
      <c r="C22280" s="36"/>
      <c r="E22280" s="1"/>
      <c r="F22280" s="1"/>
      <c r="G22280" s="1"/>
    </row>
    <row r="22281">
      <c r="B22281" s="36"/>
      <c r="C22281" s="36"/>
      <c r="E22281" s="1"/>
      <c r="F22281" s="1"/>
      <c r="G22281" s="1"/>
    </row>
    <row r="22282">
      <c r="B22282" s="36"/>
      <c r="C22282" s="36"/>
      <c r="E22282" s="1"/>
      <c r="F22282" s="1"/>
      <c r="G22282" s="1"/>
    </row>
    <row r="22283">
      <c r="B22283" s="36"/>
      <c r="C22283" s="36"/>
      <c r="E22283" s="1"/>
      <c r="F22283" s="1"/>
      <c r="G22283" s="1"/>
    </row>
    <row r="22284">
      <c r="B22284" s="36"/>
      <c r="C22284" s="36"/>
      <c r="E22284" s="1"/>
      <c r="F22284" s="1"/>
      <c r="G22284" s="1"/>
    </row>
    <row r="22285">
      <c r="B22285" s="36"/>
      <c r="C22285" s="36"/>
      <c r="E22285" s="1"/>
      <c r="F22285" s="1"/>
      <c r="G22285" s="1"/>
    </row>
    <row r="22286">
      <c r="B22286" s="36"/>
      <c r="C22286" s="36"/>
      <c r="E22286" s="1"/>
      <c r="F22286" s="1"/>
      <c r="G22286" s="1"/>
    </row>
    <row r="22287">
      <c r="B22287" s="36"/>
      <c r="C22287" s="36"/>
      <c r="E22287" s="1"/>
      <c r="F22287" s="1"/>
      <c r="G22287" s="1"/>
    </row>
    <row r="22288">
      <c r="B22288" s="36"/>
      <c r="C22288" s="36"/>
      <c r="E22288" s="1"/>
      <c r="F22288" s="1"/>
      <c r="G22288" s="1"/>
    </row>
    <row r="22289">
      <c r="B22289" s="36"/>
      <c r="C22289" s="36"/>
      <c r="E22289" s="1"/>
      <c r="F22289" s="1"/>
      <c r="G22289" s="1"/>
    </row>
    <row r="22290">
      <c r="B22290" s="36"/>
      <c r="C22290" s="36"/>
      <c r="E22290" s="1"/>
      <c r="F22290" s="1"/>
      <c r="G22290" s="1"/>
    </row>
    <row r="22291">
      <c r="B22291" s="36"/>
      <c r="C22291" s="36"/>
      <c r="E22291" s="1"/>
      <c r="F22291" s="1"/>
      <c r="G22291" s="1"/>
    </row>
    <row r="22292">
      <c r="B22292" s="36"/>
      <c r="C22292" s="36"/>
      <c r="E22292" s="1"/>
      <c r="F22292" s="1"/>
      <c r="G22292" s="1"/>
    </row>
    <row r="22293">
      <c r="B22293" s="36"/>
      <c r="C22293" s="36"/>
      <c r="E22293" s="1"/>
      <c r="F22293" s="1"/>
      <c r="G22293" s="1"/>
    </row>
    <row r="22294">
      <c r="B22294" s="36"/>
      <c r="C22294" s="36"/>
      <c r="E22294" s="1"/>
      <c r="F22294" s="1"/>
      <c r="G22294" s="1"/>
    </row>
    <row r="22295">
      <c r="B22295" s="36"/>
      <c r="C22295" s="36"/>
      <c r="E22295" s="1"/>
      <c r="F22295" s="1"/>
      <c r="G22295" s="1"/>
    </row>
    <row r="22296">
      <c r="B22296" s="36"/>
      <c r="C22296" s="36"/>
      <c r="E22296" s="1"/>
      <c r="F22296" s="1"/>
      <c r="G22296" s="1"/>
    </row>
    <row r="22297">
      <c r="B22297" s="36"/>
      <c r="C22297" s="36"/>
      <c r="E22297" s="1"/>
      <c r="F22297" s="1"/>
      <c r="G22297" s="1"/>
    </row>
    <row r="22298">
      <c r="B22298" s="36"/>
      <c r="C22298" s="36"/>
      <c r="E22298" s="1"/>
      <c r="F22298" s="1"/>
      <c r="G22298" s="1"/>
    </row>
    <row r="22299">
      <c r="B22299" s="36"/>
      <c r="C22299" s="36"/>
      <c r="E22299" s="1"/>
      <c r="F22299" s="1"/>
      <c r="G22299" s="1"/>
    </row>
    <row r="22300">
      <c r="B22300" s="36"/>
      <c r="C22300" s="36"/>
      <c r="E22300" s="1"/>
      <c r="F22300" s="1"/>
      <c r="G22300" s="1"/>
    </row>
    <row r="22301">
      <c r="B22301" s="36"/>
      <c r="C22301" s="36"/>
      <c r="E22301" s="1"/>
      <c r="F22301" s="1"/>
      <c r="G22301" s="1"/>
    </row>
    <row r="22302">
      <c r="B22302" s="36"/>
      <c r="C22302" s="36"/>
      <c r="E22302" s="1"/>
      <c r="F22302" s="1"/>
      <c r="G22302" s="1"/>
    </row>
    <row r="22303">
      <c r="B22303" s="36"/>
      <c r="C22303" s="36"/>
      <c r="E22303" s="1"/>
      <c r="F22303" s="1"/>
      <c r="G22303" s="1"/>
    </row>
    <row r="22304">
      <c r="B22304" s="36"/>
      <c r="C22304" s="36"/>
      <c r="E22304" s="1"/>
      <c r="F22304" s="1"/>
      <c r="G22304" s="1"/>
    </row>
    <row r="22305">
      <c r="B22305" s="36"/>
      <c r="C22305" s="36"/>
      <c r="E22305" s="1"/>
      <c r="F22305" s="1"/>
      <c r="G22305" s="1"/>
    </row>
    <row r="22306">
      <c r="B22306" s="36"/>
      <c r="C22306" s="36"/>
      <c r="E22306" s="1"/>
      <c r="F22306" s="1"/>
      <c r="G22306" s="1"/>
    </row>
    <row r="22307">
      <c r="B22307" s="36"/>
      <c r="C22307" s="36"/>
      <c r="E22307" s="1"/>
      <c r="F22307" s="1"/>
      <c r="G22307" s="1"/>
    </row>
    <row r="22308">
      <c r="B22308" s="36"/>
      <c r="C22308" s="36"/>
      <c r="E22308" s="1"/>
      <c r="F22308" s="1"/>
      <c r="G22308" s="1"/>
    </row>
    <row r="22309">
      <c r="B22309" s="36"/>
      <c r="C22309" s="36"/>
      <c r="E22309" s="1"/>
      <c r="F22309" s="1"/>
      <c r="G22309" s="1"/>
    </row>
    <row r="22310">
      <c r="B22310" s="36"/>
      <c r="C22310" s="36"/>
      <c r="E22310" s="1"/>
      <c r="F22310" s="1"/>
      <c r="G22310" s="1"/>
    </row>
    <row r="22311">
      <c r="B22311" s="36"/>
      <c r="C22311" s="36"/>
      <c r="E22311" s="1"/>
      <c r="F22311" s="1"/>
      <c r="G22311" s="1"/>
    </row>
    <row r="22312">
      <c r="B22312" s="36"/>
      <c r="C22312" s="36"/>
      <c r="E22312" s="1"/>
      <c r="F22312" s="1"/>
      <c r="G22312" s="1"/>
    </row>
    <row r="22313">
      <c r="B22313" s="36"/>
      <c r="C22313" s="36"/>
      <c r="E22313" s="1"/>
      <c r="F22313" s="1"/>
      <c r="G22313" s="1"/>
    </row>
    <row r="22314">
      <c r="B22314" s="36"/>
      <c r="C22314" s="36"/>
      <c r="E22314" s="1"/>
      <c r="F22314" s="1"/>
      <c r="G22314" s="1"/>
    </row>
    <row r="22315">
      <c r="B22315" s="36"/>
      <c r="C22315" s="36"/>
      <c r="E22315" s="1"/>
      <c r="F22315" s="1"/>
      <c r="G22315" s="1"/>
    </row>
    <row r="22316">
      <c r="B22316" s="36"/>
      <c r="C22316" s="36"/>
      <c r="E22316" s="1"/>
      <c r="F22316" s="1"/>
      <c r="G22316" s="1"/>
    </row>
    <row r="22317">
      <c r="B22317" s="36"/>
      <c r="C22317" s="36"/>
      <c r="E22317" s="1"/>
      <c r="F22317" s="1"/>
      <c r="G22317" s="1"/>
    </row>
    <row r="22318">
      <c r="B22318" s="36"/>
      <c r="C22318" s="36"/>
      <c r="E22318" s="1"/>
      <c r="F22318" s="1"/>
      <c r="G22318" s="1"/>
    </row>
    <row r="22319">
      <c r="B22319" s="36"/>
      <c r="C22319" s="36"/>
      <c r="E22319" s="1"/>
      <c r="F22319" s="1"/>
      <c r="G22319" s="1"/>
    </row>
    <row r="22320">
      <c r="B22320" s="36"/>
      <c r="C22320" s="36"/>
      <c r="E22320" s="1"/>
      <c r="F22320" s="1"/>
      <c r="G22320" s="1"/>
    </row>
    <row r="22321">
      <c r="B22321" s="36"/>
      <c r="C22321" s="36"/>
      <c r="E22321" s="1"/>
      <c r="F22321" s="1"/>
      <c r="G22321" s="1"/>
    </row>
    <row r="22322">
      <c r="B22322" s="36"/>
      <c r="C22322" s="36"/>
      <c r="E22322" s="1"/>
      <c r="F22322" s="1"/>
      <c r="G22322" s="1"/>
    </row>
    <row r="22323">
      <c r="B22323" s="36"/>
      <c r="C22323" s="36"/>
      <c r="E22323" s="1"/>
      <c r="F22323" s="1"/>
      <c r="G22323" s="1"/>
    </row>
    <row r="22324">
      <c r="B22324" s="36"/>
      <c r="C22324" s="36"/>
      <c r="E22324" s="1"/>
      <c r="F22324" s="1"/>
      <c r="G22324" s="1"/>
    </row>
    <row r="22325">
      <c r="B22325" s="36"/>
      <c r="C22325" s="36"/>
      <c r="E22325" s="1"/>
      <c r="F22325" s="1"/>
      <c r="G22325" s="1"/>
    </row>
    <row r="22326">
      <c r="B22326" s="36"/>
      <c r="C22326" s="36"/>
      <c r="E22326" s="1"/>
      <c r="F22326" s="1"/>
      <c r="G22326" s="1"/>
    </row>
    <row r="22327">
      <c r="B22327" s="36"/>
      <c r="C22327" s="36"/>
      <c r="E22327" s="1"/>
      <c r="F22327" s="1"/>
      <c r="G22327" s="1"/>
    </row>
    <row r="22328">
      <c r="B22328" s="36"/>
      <c r="C22328" s="36"/>
      <c r="E22328" s="1"/>
      <c r="F22328" s="1"/>
      <c r="G22328" s="1"/>
    </row>
    <row r="22329">
      <c r="B22329" s="36"/>
      <c r="C22329" s="36"/>
      <c r="E22329" s="1"/>
      <c r="F22329" s="1"/>
      <c r="G22329" s="1"/>
    </row>
    <row r="22330">
      <c r="B22330" s="36"/>
      <c r="C22330" s="36"/>
      <c r="E22330" s="1"/>
      <c r="F22330" s="1"/>
      <c r="G22330" s="1"/>
    </row>
    <row r="22331">
      <c r="B22331" s="36"/>
      <c r="C22331" s="36"/>
      <c r="E22331" s="1"/>
      <c r="F22331" s="1"/>
      <c r="G22331" s="1"/>
    </row>
    <row r="22332">
      <c r="B22332" s="36"/>
      <c r="C22332" s="36"/>
      <c r="E22332" s="1"/>
      <c r="F22332" s="1"/>
      <c r="G22332" s="1"/>
    </row>
    <row r="22333">
      <c r="B22333" s="36"/>
      <c r="C22333" s="36"/>
      <c r="E22333" s="1"/>
      <c r="F22333" s="1"/>
      <c r="G22333" s="1"/>
    </row>
    <row r="22334">
      <c r="B22334" s="36"/>
      <c r="C22334" s="36"/>
      <c r="E22334" s="1"/>
      <c r="F22334" s="1"/>
      <c r="G22334" s="1"/>
    </row>
    <row r="22335">
      <c r="B22335" s="36"/>
      <c r="C22335" s="36"/>
      <c r="E22335" s="1"/>
      <c r="F22335" s="1"/>
      <c r="G22335" s="1"/>
    </row>
    <row r="22336">
      <c r="B22336" s="36"/>
      <c r="C22336" s="36"/>
      <c r="E22336" s="1"/>
      <c r="F22336" s="1"/>
      <c r="G22336" s="1"/>
    </row>
    <row r="22337">
      <c r="B22337" s="36"/>
      <c r="C22337" s="36"/>
      <c r="E22337" s="1"/>
      <c r="F22337" s="1"/>
      <c r="G22337" s="1"/>
    </row>
    <row r="22338">
      <c r="B22338" s="36"/>
      <c r="C22338" s="36"/>
      <c r="E22338" s="1"/>
      <c r="F22338" s="1"/>
      <c r="G22338" s="1"/>
    </row>
    <row r="22339">
      <c r="B22339" s="36"/>
      <c r="C22339" s="36"/>
      <c r="E22339" s="1"/>
      <c r="F22339" s="1"/>
      <c r="G22339" s="1"/>
    </row>
    <row r="22340">
      <c r="B22340" s="36"/>
      <c r="C22340" s="36"/>
      <c r="E22340" s="1"/>
      <c r="F22340" s="1"/>
      <c r="G22340" s="1"/>
    </row>
    <row r="22341">
      <c r="B22341" s="36"/>
      <c r="C22341" s="36"/>
      <c r="E22341" s="1"/>
      <c r="F22341" s="1"/>
      <c r="G22341" s="1"/>
    </row>
    <row r="22342">
      <c r="B22342" s="36"/>
      <c r="C22342" s="36"/>
      <c r="E22342" s="1"/>
      <c r="F22342" s="1"/>
      <c r="G22342" s="1"/>
    </row>
    <row r="22343">
      <c r="B22343" s="36"/>
      <c r="C22343" s="36"/>
      <c r="E22343" s="1"/>
      <c r="F22343" s="1"/>
      <c r="G22343" s="1"/>
    </row>
    <row r="22344">
      <c r="B22344" s="36"/>
      <c r="C22344" s="36"/>
      <c r="E22344" s="1"/>
      <c r="F22344" s="1"/>
      <c r="G22344" s="1"/>
    </row>
    <row r="22345">
      <c r="B22345" s="36"/>
      <c r="C22345" s="36"/>
      <c r="E22345" s="1"/>
      <c r="F22345" s="1"/>
      <c r="G22345" s="1"/>
    </row>
    <row r="22346">
      <c r="B22346" s="36"/>
      <c r="C22346" s="36"/>
      <c r="E22346" s="1"/>
      <c r="F22346" s="1"/>
      <c r="G22346" s="1"/>
    </row>
    <row r="22347">
      <c r="B22347" s="36"/>
      <c r="C22347" s="36"/>
      <c r="E22347" s="1"/>
      <c r="F22347" s="1"/>
      <c r="G22347" s="1"/>
    </row>
    <row r="22348">
      <c r="B22348" s="36"/>
      <c r="C22348" s="36"/>
      <c r="E22348" s="1"/>
      <c r="F22348" s="1"/>
      <c r="G22348" s="1"/>
    </row>
    <row r="22349">
      <c r="B22349" s="36"/>
      <c r="C22349" s="36"/>
      <c r="E22349" s="1"/>
      <c r="F22349" s="1"/>
      <c r="G22349" s="1"/>
    </row>
    <row r="22350">
      <c r="B22350" s="36"/>
      <c r="C22350" s="36"/>
      <c r="E22350" s="1"/>
      <c r="F22350" s="1"/>
      <c r="G22350" s="1"/>
    </row>
    <row r="22351">
      <c r="B22351" s="36"/>
      <c r="C22351" s="36"/>
      <c r="E22351" s="1"/>
      <c r="F22351" s="1"/>
      <c r="G22351" s="1"/>
    </row>
    <row r="22352">
      <c r="B22352" s="36"/>
      <c r="C22352" s="36"/>
      <c r="E22352" s="1"/>
      <c r="F22352" s="1"/>
      <c r="G22352" s="1"/>
    </row>
    <row r="22353">
      <c r="B22353" s="36"/>
      <c r="C22353" s="36"/>
      <c r="E22353" s="1"/>
      <c r="F22353" s="1"/>
      <c r="G22353" s="1"/>
    </row>
    <row r="22354">
      <c r="B22354" s="36"/>
      <c r="C22354" s="36"/>
      <c r="E22354" s="1"/>
      <c r="F22354" s="1"/>
      <c r="G22354" s="1"/>
    </row>
    <row r="22355">
      <c r="B22355" s="36"/>
      <c r="C22355" s="36"/>
      <c r="E22355" s="1"/>
      <c r="F22355" s="1"/>
      <c r="G22355" s="1"/>
    </row>
    <row r="22356">
      <c r="B22356" s="36"/>
      <c r="C22356" s="36"/>
      <c r="E22356" s="1"/>
      <c r="F22356" s="1"/>
      <c r="G22356" s="1"/>
    </row>
    <row r="22357">
      <c r="B22357" s="36"/>
      <c r="C22357" s="36"/>
      <c r="E22357" s="1"/>
      <c r="F22357" s="1"/>
      <c r="G22357" s="1"/>
    </row>
    <row r="22358">
      <c r="B22358" s="36"/>
      <c r="C22358" s="36"/>
      <c r="E22358" s="1"/>
      <c r="F22358" s="1"/>
      <c r="G22358" s="1"/>
    </row>
    <row r="22359">
      <c r="B22359" s="36"/>
      <c r="C22359" s="36"/>
      <c r="E22359" s="1"/>
      <c r="F22359" s="1"/>
      <c r="G22359" s="1"/>
    </row>
    <row r="22360">
      <c r="B22360" s="36"/>
      <c r="C22360" s="36"/>
      <c r="E22360" s="1"/>
      <c r="F22360" s="1"/>
      <c r="G22360" s="1"/>
    </row>
    <row r="22361">
      <c r="B22361" s="36"/>
      <c r="C22361" s="36"/>
      <c r="E22361" s="1"/>
      <c r="F22361" s="1"/>
      <c r="G22361" s="1"/>
    </row>
    <row r="22362">
      <c r="B22362" s="36"/>
      <c r="C22362" s="36"/>
      <c r="E22362" s="1"/>
      <c r="F22362" s="1"/>
      <c r="G22362" s="1"/>
    </row>
    <row r="22363">
      <c r="B22363" s="36"/>
      <c r="C22363" s="36"/>
      <c r="E22363" s="1"/>
      <c r="F22363" s="1"/>
      <c r="G22363" s="1"/>
    </row>
    <row r="22364">
      <c r="B22364" s="36"/>
      <c r="C22364" s="36"/>
      <c r="E22364" s="1"/>
      <c r="F22364" s="1"/>
      <c r="G22364" s="1"/>
    </row>
    <row r="22365">
      <c r="B22365" s="36"/>
      <c r="C22365" s="36"/>
      <c r="E22365" s="1"/>
      <c r="F22365" s="1"/>
      <c r="G22365" s="1"/>
    </row>
    <row r="22366">
      <c r="B22366" s="36"/>
      <c r="C22366" s="36"/>
      <c r="E22366" s="1"/>
      <c r="F22366" s="1"/>
      <c r="G22366" s="1"/>
    </row>
    <row r="22367">
      <c r="B22367" s="36"/>
      <c r="C22367" s="36"/>
      <c r="E22367" s="1"/>
      <c r="F22367" s="1"/>
      <c r="G22367" s="1"/>
    </row>
    <row r="22368">
      <c r="B22368" s="36"/>
      <c r="C22368" s="36"/>
      <c r="E22368" s="1"/>
      <c r="F22368" s="1"/>
      <c r="G22368" s="1"/>
    </row>
    <row r="22369">
      <c r="B22369" s="36"/>
      <c r="C22369" s="36"/>
      <c r="E22369" s="1"/>
      <c r="F22369" s="1"/>
      <c r="G22369" s="1"/>
    </row>
    <row r="22370">
      <c r="B22370" s="36"/>
      <c r="C22370" s="36"/>
      <c r="E22370" s="1"/>
      <c r="F22370" s="1"/>
      <c r="G22370" s="1"/>
    </row>
    <row r="22371">
      <c r="B22371" s="36"/>
      <c r="C22371" s="36"/>
      <c r="E22371" s="1"/>
      <c r="F22371" s="1"/>
      <c r="G22371" s="1"/>
    </row>
    <row r="22372">
      <c r="B22372" s="36"/>
      <c r="C22372" s="36"/>
      <c r="E22372" s="1"/>
      <c r="F22372" s="1"/>
      <c r="G22372" s="1"/>
    </row>
    <row r="22373">
      <c r="B22373" s="36"/>
      <c r="C22373" s="36"/>
      <c r="E22373" s="1"/>
      <c r="F22373" s="1"/>
      <c r="G22373" s="1"/>
    </row>
    <row r="22374">
      <c r="B22374" s="36"/>
      <c r="C22374" s="36"/>
      <c r="E22374" s="1"/>
      <c r="F22374" s="1"/>
      <c r="G22374" s="1"/>
    </row>
    <row r="22375">
      <c r="B22375" s="36"/>
      <c r="C22375" s="36"/>
      <c r="E22375" s="1"/>
      <c r="F22375" s="1"/>
      <c r="G22375" s="1"/>
    </row>
    <row r="22376">
      <c r="B22376" s="36"/>
      <c r="C22376" s="36"/>
      <c r="E22376" s="1"/>
      <c r="F22376" s="1"/>
      <c r="G22376" s="1"/>
    </row>
    <row r="22377">
      <c r="B22377" s="36"/>
      <c r="C22377" s="36"/>
      <c r="E22377" s="1"/>
      <c r="F22377" s="1"/>
      <c r="G22377" s="1"/>
    </row>
    <row r="22378">
      <c r="B22378" s="36"/>
      <c r="C22378" s="36"/>
      <c r="E22378" s="1"/>
      <c r="F22378" s="1"/>
      <c r="G22378" s="1"/>
    </row>
    <row r="22379">
      <c r="B22379" s="36"/>
      <c r="C22379" s="36"/>
      <c r="E22379" s="1"/>
      <c r="F22379" s="1"/>
      <c r="G22379" s="1"/>
    </row>
    <row r="22380">
      <c r="B22380" s="36"/>
      <c r="C22380" s="36"/>
      <c r="E22380" s="1"/>
      <c r="F22380" s="1"/>
      <c r="G22380" s="1"/>
    </row>
    <row r="22381">
      <c r="B22381" s="36"/>
      <c r="C22381" s="36"/>
      <c r="E22381" s="1"/>
      <c r="F22381" s="1"/>
      <c r="G22381" s="1"/>
    </row>
    <row r="22382">
      <c r="B22382" s="36"/>
      <c r="C22382" s="36"/>
      <c r="E22382" s="1"/>
      <c r="F22382" s="1"/>
      <c r="G22382" s="1"/>
    </row>
    <row r="22383">
      <c r="B22383" s="36"/>
      <c r="C22383" s="36"/>
      <c r="E22383" s="1"/>
      <c r="F22383" s="1"/>
      <c r="G22383" s="1"/>
    </row>
    <row r="22384">
      <c r="B22384" s="36"/>
      <c r="C22384" s="36"/>
      <c r="E22384" s="1"/>
      <c r="F22384" s="1"/>
      <c r="G22384" s="1"/>
    </row>
    <row r="22385">
      <c r="B22385" s="36"/>
      <c r="C22385" s="36"/>
      <c r="E22385" s="1"/>
      <c r="F22385" s="1"/>
      <c r="G22385" s="1"/>
    </row>
    <row r="22386">
      <c r="B22386" s="36"/>
      <c r="C22386" s="36"/>
      <c r="E22386" s="1"/>
      <c r="F22386" s="1"/>
      <c r="G22386" s="1"/>
    </row>
    <row r="22387">
      <c r="B22387" s="36"/>
      <c r="C22387" s="36"/>
      <c r="E22387" s="1"/>
      <c r="F22387" s="1"/>
      <c r="G22387" s="1"/>
    </row>
    <row r="22388">
      <c r="B22388" s="36"/>
      <c r="C22388" s="36"/>
      <c r="E22388" s="1"/>
      <c r="F22388" s="1"/>
      <c r="G22388" s="1"/>
    </row>
    <row r="22389">
      <c r="B22389" s="36"/>
      <c r="C22389" s="36"/>
      <c r="E22389" s="1"/>
      <c r="F22389" s="1"/>
      <c r="G22389" s="1"/>
    </row>
    <row r="22390">
      <c r="B22390" s="36"/>
      <c r="C22390" s="36"/>
      <c r="E22390" s="1"/>
      <c r="F22390" s="1"/>
      <c r="G22390" s="1"/>
    </row>
    <row r="22391">
      <c r="B22391" s="36"/>
      <c r="C22391" s="36"/>
      <c r="E22391" s="1"/>
      <c r="F22391" s="1"/>
      <c r="G22391" s="1"/>
    </row>
    <row r="22392">
      <c r="B22392" s="36"/>
      <c r="C22392" s="36"/>
      <c r="E22392" s="1"/>
      <c r="F22392" s="1"/>
      <c r="G22392" s="1"/>
    </row>
    <row r="22393">
      <c r="B22393" s="36"/>
      <c r="C22393" s="36"/>
      <c r="E22393" s="1"/>
      <c r="F22393" s="1"/>
      <c r="G22393" s="1"/>
    </row>
    <row r="22394">
      <c r="B22394" s="36"/>
      <c r="C22394" s="36"/>
      <c r="E22394" s="1"/>
      <c r="F22394" s="1"/>
      <c r="G22394" s="1"/>
    </row>
    <row r="22395">
      <c r="B22395" s="36"/>
      <c r="C22395" s="36"/>
      <c r="E22395" s="1"/>
      <c r="F22395" s="1"/>
      <c r="G22395" s="1"/>
    </row>
    <row r="22396">
      <c r="B22396" s="36"/>
      <c r="C22396" s="36"/>
      <c r="E22396" s="1"/>
      <c r="F22396" s="1"/>
      <c r="G22396" s="1"/>
    </row>
    <row r="22397">
      <c r="B22397" s="36"/>
      <c r="C22397" s="36"/>
      <c r="E22397" s="1"/>
      <c r="F22397" s="1"/>
      <c r="G22397" s="1"/>
    </row>
    <row r="22398">
      <c r="B22398" s="36"/>
      <c r="C22398" s="36"/>
      <c r="E22398" s="1"/>
      <c r="F22398" s="1"/>
      <c r="G22398" s="1"/>
    </row>
    <row r="22399">
      <c r="B22399" s="36"/>
      <c r="C22399" s="36"/>
      <c r="E22399" s="1"/>
      <c r="F22399" s="1"/>
      <c r="G22399" s="1"/>
    </row>
    <row r="22400">
      <c r="B22400" s="36"/>
      <c r="C22400" s="36"/>
      <c r="E22400" s="1"/>
      <c r="F22400" s="1"/>
      <c r="G22400" s="1"/>
    </row>
    <row r="22401">
      <c r="B22401" s="36"/>
      <c r="C22401" s="36"/>
      <c r="E22401" s="1"/>
      <c r="F22401" s="1"/>
      <c r="G22401" s="1"/>
    </row>
    <row r="22402">
      <c r="B22402" s="36"/>
      <c r="C22402" s="36"/>
      <c r="E22402" s="1"/>
      <c r="F22402" s="1"/>
      <c r="G22402" s="1"/>
    </row>
    <row r="22403">
      <c r="B22403" s="36"/>
      <c r="C22403" s="36"/>
      <c r="E22403" s="1"/>
      <c r="F22403" s="1"/>
      <c r="G22403" s="1"/>
    </row>
    <row r="22404">
      <c r="B22404" s="36"/>
      <c r="C22404" s="36"/>
      <c r="E22404" s="1"/>
      <c r="F22404" s="1"/>
      <c r="G22404" s="1"/>
    </row>
    <row r="22405">
      <c r="B22405" s="36"/>
      <c r="C22405" s="36"/>
      <c r="E22405" s="1"/>
      <c r="F22405" s="1"/>
      <c r="G22405" s="1"/>
    </row>
    <row r="22406">
      <c r="B22406" s="36"/>
      <c r="C22406" s="36"/>
      <c r="E22406" s="1"/>
      <c r="F22406" s="1"/>
      <c r="G22406" s="1"/>
    </row>
    <row r="22407">
      <c r="B22407" s="36"/>
      <c r="C22407" s="36"/>
      <c r="E22407" s="1"/>
      <c r="F22407" s="1"/>
      <c r="G22407" s="1"/>
    </row>
    <row r="22408">
      <c r="B22408" s="36"/>
      <c r="C22408" s="36"/>
      <c r="E22408" s="1"/>
      <c r="F22408" s="1"/>
      <c r="G22408" s="1"/>
    </row>
    <row r="22409">
      <c r="B22409" s="36"/>
      <c r="C22409" s="36"/>
      <c r="E22409" s="1"/>
      <c r="F22409" s="1"/>
      <c r="G22409" s="1"/>
    </row>
    <row r="22410">
      <c r="B22410" s="36"/>
      <c r="C22410" s="36"/>
      <c r="E22410" s="1"/>
      <c r="F22410" s="1"/>
      <c r="G22410" s="1"/>
    </row>
    <row r="22411">
      <c r="B22411" s="36"/>
      <c r="C22411" s="36"/>
      <c r="E22411" s="1"/>
      <c r="F22411" s="1"/>
      <c r="G22411" s="1"/>
    </row>
    <row r="22412">
      <c r="B22412" s="36"/>
      <c r="C22412" s="36"/>
      <c r="E22412" s="1"/>
      <c r="F22412" s="1"/>
      <c r="G22412" s="1"/>
    </row>
    <row r="22413">
      <c r="B22413" s="36"/>
      <c r="C22413" s="36"/>
      <c r="E22413" s="1"/>
      <c r="F22413" s="1"/>
      <c r="G22413" s="1"/>
    </row>
    <row r="22414">
      <c r="B22414" s="36"/>
      <c r="C22414" s="36"/>
      <c r="E22414" s="1"/>
      <c r="F22414" s="1"/>
      <c r="G22414" s="1"/>
    </row>
    <row r="22415">
      <c r="B22415" s="36"/>
      <c r="C22415" s="36"/>
      <c r="E22415" s="1"/>
      <c r="F22415" s="1"/>
      <c r="G22415" s="1"/>
    </row>
    <row r="22416">
      <c r="B22416" s="36"/>
      <c r="C22416" s="36"/>
      <c r="E22416" s="1"/>
      <c r="F22416" s="1"/>
      <c r="G22416" s="1"/>
    </row>
    <row r="22417">
      <c r="B22417" s="36"/>
      <c r="C22417" s="36"/>
      <c r="E22417" s="1"/>
      <c r="F22417" s="1"/>
      <c r="G22417" s="1"/>
    </row>
    <row r="22418">
      <c r="B22418" s="36"/>
      <c r="C22418" s="36"/>
      <c r="E22418" s="1"/>
      <c r="F22418" s="1"/>
      <c r="G22418" s="1"/>
    </row>
    <row r="22419">
      <c r="B22419" s="36"/>
      <c r="C22419" s="36"/>
      <c r="E22419" s="1"/>
      <c r="F22419" s="1"/>
      <c r="G22419" s="1"/>
    </row>
    <row r="22420">
      <c r="B22420" s="36"/>
      <c r="C22420" s="36"/>
      <c r="E22420" s="1"/>
      <c r="F22420" s="1"/>
      <c r="G22420" s="1"/>
    </row>
    <row r="22421">
      <c r="B22421" s="36"/>
      <c r="C22421" s="36"/>
      <c r="E22421" s="1"/>
      <c r="F22421" s="1"/>
      <c r="G22421" s="1"/>
    </row>
    <row r="22422">
      <c r="B22422" s="36"/>
      <c r="C22422" s="36"/>
      <c r="E22422" s="1"/>
      <c r="F22422" s="1"/>
      <c r="G22422" s="1"/>
    </row>
    <row r="22423">
      <c r="B22423" s="36"/>
      <c r="C22423" s="36"/>
      <c r="E22423" s="1"/>
      <c r="F22423" s="1"/>
      <c r="G22423" s="1"/>
    </row>
    <row r="22424">
      <c r="B22424" s="36"/>
      <c r="C22424" s="36"/>
      <c r="E22424" s="1"/>
      <c r="F22424" s="1"/>
      <c r="G22424" s="1"/>
    </row>
    <row r="22425">
      <c r="B22425" s="36"/>
      <c r="C22425" s="36"/>
      <c r="E22425" s="1"/>
      <c r="F22425" s="1"/>
      <c r="G22425" s="1"/>
    </row>
    <row r="22426">
      <c r="B22426" s="36"/>
      <c r="C22426" s="36"/>
      <c r="E22426" s="1"/>
      <c r="F22426" s="1"/>
      <c r="G22426" s="1"/>
    </row>
    <row r="22427">
      <c r="B22427" s="36"/>
      <c r="C22427" s="36"/>
      <c r="E22427" s="1"/>
      <c r="F22427" s="1"/>
      <c r="G22427" s="1"/>
    </row>
    <row r="22428">
      <c r="B22428" s="36"/>
      <c r="C22428" s="36"/>
      <c r="E22428" s="1"/>
      <c r="F22428" s="1"/>
      <c r="G22428" s="1"/>
    </row>
    <row r="22429">
      <c r="B22429" s="36"/>
      <c r="C22429" s="36"/>
      <c r="E22429" s="1"/>
      <c r="F22429" s="1"/>
      <c r="G22429" s="1"/>
    </row>
    <row r="22430">
      <c r="B22430" s="36"/>
      <c r="C22430" s="36"/>
      <c r="E22430" s="1"/>
      <c r="F22430" s="1"/>
      <c r="G22430" s="1"/>
    </row>
    <row r="22431">
      <c r="B22431" s="36"/>
      <c r="C22431" s="36"/>
      <c r="E22431" s="1"/>
      <c r="F22431" s="1"/>
      <c r="G22431" s="1"/>
    </row>
    <row r="22432">
      <c r="B22432" s="36"/>
      <c r="C22432" s="36"/>
      <c r="E22432" s="1"/>
      <c r="F22432" s="1"/>
      <c r="G22432" s="1"/>
    </row>
    <row r="22433">
      <c r="B22433" s="36"/>
      <c r="C22433" s="36"/>
      <c r="E22433" s="1"/>
      <c r="F22433" s="1"/>
      <c r="G22433" s="1"/>
    </row>
    <row r="22434">
      <c r="B22434" s="36"/>
      <c r="C22434" s="36"/>
      <c r="E22434" s="1"/>
      <c r="F22434" s="1"/>
      <c r="G22434" s="1"/>
    </row>
    <row r="22435">
      <c r="B22435" s="36"/>
      <c r="C22435" s="36"/>
      <c r="E22435" s="1"/>
      <c r="F22435" s="1"/>
      <c r="G22435" s="1"/>
    </row>
    <row r="22436">
      <c r="B22436" s="36"/>
      <c r="C22436" s="36"/>
      <c r="E22436" s="1"/>
      <c r="F22436" s="1"/>
      <c r="G22436" s="1"/>
    </row>
    <row r="22437">
      <c r="B22437" s="36"/>
      <c r="C22437" s="36"/>
      <c r="E22437" s="1"/>
      <c r="F22437" s="1"/>
      <c r="G22437" s="1"/>
    </row>
    <row r="22438">
      <c r="B22438" s="36"/>
      <c r="C22438" s="36"/>
      <c r="E22438" s="1"/>
      <c r="F22438" s="1"/>
      <c r="G22438" s="1"/>
    </row>
    <row r="22439">
      <c r="B22439" s="36"/>
      <c r="C22439" s="36"/>
      <c r="E22439" s="1"/>
      <c r="F22439" s="1"/>
      <c r="G22439" s="1"/>
    </row>
    <row r="22440">
      <c r="B22440" s="36"/>
      <c r="C22440" s="36"/>
      <c r="E22440" s="1"/>
      <c r="F22440" s="1"/>
      <c r="G22440" s="1"/>
    </row>
    <row r="22441">
      <c r="B22441" s="36"/>
      <c r="C22441" s="36"/>
      <c r="E22441" s="1"/>
      <c r="F22441" s="1"/>
      <c r="G22441" s="1"/>
    </row>
    <row r="22442">
      <c r="B22442" s="36"/>
      <c r="C22442" s="36"/>
      <c r="E22442" s="1"/>
      <c r="F22442" s="1"/>
      <c r="G22442" s="1"/>
    </row>
    <row r="22443">
      <c r="B22443" s="36"/>
      <c r="C22443" s="36"/>
      <c r="E22443" s="1"/>
      <c r="F22443" s="1"/>
      <c r="G22443" s="1"/>
    </row>
    <row r="22444">
      <c r="B22444" s="36"/>
      <c r="C22444" s="36"/>
      <c r="E22444" s="1"/>
      <c r="F22444" s="1"/>
      <c r="G22444" s="1"/>
    </row>
    <row r="22445">
      <c r="B22445" s="36"/>
      <c r="C22445" s="36"/>
      <c r="E22445" s="1"/>
      <c r="F22445" s="1"/>
      <c r="G22445" s="1"/>
    </row>
    <row r="22446">
      <c r="B22446" s="36"/>
      <c r="C22446" s="36"/>
      <c r="E22446" s="1"/>
      <c r="F22446" s="1"/>
      <c r="G22446" s="1"/>
    </row>
    <row r="22447">
      <c r="B22447" s="36"/>
      <c r="C22447" s="36"/>
      <c r="E22447" s="1"/>
      <c r="F22447" s="1"/>
      <c r="G22447" s="1"/>
    </row>
    <row r="22448">
      <c r="B22448" s="36"/>
      <c r="C22448" s="36"/>
      <c r="E22448" s="1"/>
      <c r="F22448" s="1"/>
      <c r="G22448" s="1"/>
    </row>
    <row r="22449">
      <c r="B22449" s="36"/>
      <c r="C22449" s="36"/>
      <c r="E22449" s="1"/>
      <c r="F22449" s="1"/>
      <c r="G22449" s="1"/>
    </row>
    <row r="22450">
      <c r="B22450" s="36"/>
      <c r="C22450" s="36"/>
      <c r="E22450" s="1"/>
      <c r="F22450" s="1"/>
      <c r="G22450" s="1"/>
    </row>
    <row r="22451">
      <c r="B22451" s="36"/>
      <c r="C22451" s="36"/>
      <c r="E22451" s="1"/>
      <c r="F22451" s="1"/>
      <c r="G22451" s="1"/>
    </row>
    <row r="22452">
      <c r="B22452" s="36"/>
      <c r="C22452" s="36"/>
      <c r="E22452" s="1"/>
      <c r="F22452" s="1"/>
      <c r="G22452" s="1"/>
    </row>
    <row r="22453">
      <c r="B22453" s="36"/>
      <c r="C22453" s="36"/>
      <c r="E22453" s="1"/>
      <c r="F22453" s="1"/>
      <c r="G22453" s="1"/>
    </row>
    <row r="22454">
      <c r="B22454" s="36"/>
      <c r="C22454" s="36"/>
      <c r="E22454" s="1"/>
      <c r="F22454" s="1"/>
      <c r="G22454" s="1"/>
    </row>
    <row r="22455">
      <c r="B22455" s="36"/>
      <c r="C22455" s="36"/>
      <c r="E22455" s="1"/>
      <c r="F22455" s="1"/>
      <c r="G22455" s="1"/>
    </row>
    <row r="22456">
      <c r="B22456" s="36"/>
      <c r="C22456" s="36"/>
      <c r="E22456" s="1"/>
      <c r="F22456" s="1"/>
      <c r="G22456" s="1"/>
    </row>
    <row r="22457">
      <c r="B22457" s="36"/>
      <c r="C22457" s="36"/>
      <c r="E22457" s="1"/>
      <c r="F22457" s="1"/>
      <c r="G22457" s="1"/>
    </row>
    <row r="22458">
      <c r="B22458" s="36"/>
      <c r="C22458" s="36"/>
      <c r="E22458" s="1"/>
      <c r="F22458" s="1"/>
      <c r="G22458" s="1"/>
    </row>
    <row r="22459">
      <c r="B22459" s="36"/>
      <c r="C22459" s="36"/>
      <c r="E22459" s="1"/>
      <c r="F22459" s="1"/>
      <c r="G22459" s="1"/>
    </row>
    <row r="22460">
      <c r="B22460" s="36"/>
      <c r="C22460" s="36"/>
      <c r="E22460" s="1"/>
      <c r="F22460" s="1"/>
      <c r="G22460" s="1"/>
    </row>
    <row r="22461">
      <c r="B22461" s="36"/>
      <c r="C22461" s="36"/>
      <c r="E22461" s="1"/>
      <c r="F22461" s="1"/>
      <c r="G22461" s="1"/>
    </row>
    <row r="22462">
      <c r="B22462" s="36"/>
      <c r="C22462" s="36"/>
      <c r="E22462" s="1"/>
      <c r="F22462" s="1"/>
      <c r="G22462" s="1"/>
    </row>
    <row r="22463">
      <c r="B22463" s="36"/>
      <c r="C22463" s="36"/>
      <c r="E22463" s="1"/>
      <c r="F22463" s="1"/>
      <c r="G22463" s="1"/>
    </row>
    <row r="22464">
      <c r="B22464" s="36"/>
      <c r="C22464" s="36"/>
      <c r="E22464" s="1"/>
      <c r="F22464" s="1"/>
      <c r="G22464" s="1"/>
    </row>
    <row r="22465">
      <c r="B22465" s="36"/>
      <c r="C22465" s="36"/>
      <c r="E22465" s="1"/>
      <c r="F22465" s="1"/>
      <c r="G22465" s="1"/>
    </row>
    <row r="22466">
      <c r="B22466" s="36"/>
      <c r="C22466" s="36"/>
      <c r="E22466" s="1"/>
      <c r="F22466" s="1"/>
      <c r="G22466" s="1"/>
    </row>
    <row r="22467">
      <c r="B22467" s="36"/>
      <c r="C22467" s="36"/>
      <c r="E22467" s="1"/>
      <c r="F22467" s="1"/>
      <c r="G22467" s="1"/>
    </row>
    <row r="22468">
      <c r="B22468" s="36"/>
      <c r="C22468" s="36"/>
      <c r="E22468" s="1"/>
      <c r="F22468" s="1"/>
      <c r="G22468" s="1"/>
    </row>
    <row r="22469">
      <c r="B22469" s="36"/>
      <c r="C22469" s="36"/>
      <c r="E22469" s="1"/>
      <c r="F22469" s="1"/>
      <c r="G22469" s="1"/>
    </row>
    <row r="22470">
      <c r="B22470" s="36"/>
      <c r="C22470" s="36"/>
      <c r="E22470" s="1"/>
      <c r="F22470" s="1"/>
      <c r="G22470" s="1"/>
    </row>
    <row r="22471">
      <c r="B22471" s="36"/>
      <c r="C22471" s="36"/>
      <c r="E22471" s="1"/>
      <c r="F22471" s="1"/>
      <c r="G22471" s="1"/>
    </row>
    <row r="22472">
      <c r="B22472" s="36"/>
      <c r="C22472" s="36"/>
      <c r="E22472" s="1"/>
      <c r="F22472" s="1"/>
      <c r="G22472" s="1"/>
    </row>
    <row r="22473">
      <c r="B22473" s="36"/>
      <c r="C22473" s="36"/>
      <c r="E22473" s="1"/>
      <c r="F22473" s="1"/>
      <c r="G22473" s="1"/>
    </row>
    <row r="22474">
      <c r="B22474" s="36"/>
      <c r="C22474" s="36"/>
      <c r="E22474" s="1"/>
      <c r="F22474" s="1"/>
      <c r="G22474" s="1"/>
    </row>
    <row r="22475">
      <c r="B22475" s="36"/>
      <c r="C22475" s="36"/>
      <c r="E22475" s="1"/>
      <c r="F22475" s="1"/>
      <c r="G22475" s="1"/>
    </row>
    <row r="22476">
      <c r="B22476" s="36"/>
      <c r="C22476" s="36"/>
      <c r="E22476" s="1"/>
      <c r="F22476" s="1"/>
      <c r="G22476" s="1"/>
    </row>
    <row r="22477">
      <c r="B22477" s="36"/>
      <c r="C22477" s="36"/>
      <c r="E22477" s="1"/>
      <c r="F22477" s="1"/>
      <c r="G22477" s="1"/>
    </row>
    <row r="22478">
      <c r="B22478" s="36"/>
      <c r="C22478" s="36"/>
      <c r="E22478" s="1"/>
      <c r="F22478" s="1"/>
      <c r="G22478" s="1"/>
    </row>
    <row r="22479">
      <c r="B22479" s="36"/>
      <c r="C22479" s="36"/>
      <c r="E22479" s="1"/>
      <c r="F22479" s="1"/>
      <c r="G22479" s="1"/>
    </row>
    <row r="22480">
      <c r="B22480" s="36"/>
      <c r="C22480" s="36"/>
      <c r="E22480" s="1"/>
      <c r="F22480" s="1"/>
      <c r="G22480" s="1"/>
    </row>
    <row r="22481">
      <c r="B22481" s="36"/>
      <c r="C22481" s="36"/>
      <c r="E22481" s="1"/>
      <c r="F22481" s="1"/>
      <c r="G22481" s="1"/>
    </row>
    <row r="22482">
      <c r="B22482" s="36"/>
      <c r="C22482" s="36"/>
      <c r="E22482" s="1"/>
      <c r="F22482" s="1"/>
      <c r="G22482" s="1"/>
    </row>
    <row r="22483">
      <c r="B22483" s="36"/>
      <c r="C22483" s="36"/>
      <c r="E22483" s="1"/>
      <c r="F22483" s="1"/>
      <c r="G22483" s="1"/>
    </row>
    <row r="22484">
      <c r="B22484" s="36"/>
      <c r="C22484" s="36"/>
      <c r="E22484" s="1"/>
      <c r="F22484" s="1"/>
      <c r="G22484" s="1"/>
    </row>
    <row r="22485">
      <c r="B22485" s="36"/>
      <c r="C22485" s="36"/>
      <c r="E22485" s="1"/>
      <c r="F22485" s="1"/>
      <c r="G22485" s="1"/>
    </row>
    <row r="22486">
      <c r="B22486" s="36"/>
      <c r="C22486" s="36"/>
      <c r="E22486" s="1"/>
      <c r="F22486" s="1"/>
      <c r="G22486" s="1"/>
    </row>
    <row r="22487">
      <c r="B22487" s="36"/>
      <c r="C22487" s="36"/>
      <c r="E22487" s="1"/>
      <c r="F22487" s="1"/>
      <c r="G22487" s="1"/>
    </row>
    <row r="22488">
      <c r="B22488" s="36"/>
      <c r="C22488" s="36"/>
      <c r="E22488" s="1"/>
      <c r="F22488" s="1"/>
      <c r="G22488" s="1"/>
    </row>
    <row r="22489">
      <c r="B22489" s="36"/>
      <c r="C22489" s="36"/>
      <c r="E22489" s="1"/>
      <c r="F22489" s="1"/>
      <c r="G22489" s="1"/>
    </row>
    <row r="22490">
      <c r="B22490" s="36"/>
      <c r="C22490" s="36"/>
      <c r="E22490" s="1"/>
      <c r="F22490" s="1"/>
      <c r="G22490" s="1"/>
    </row>
    <row r="22491">
      <c r="B22491" s="36"/>
      <c r="C22491" s="36"/>
      <c r="E22491" s="1"/>
      <c r="F22491" s="1"/>
      <c r="G22491" s="1"/>
    </row>
    <row r="22492">
      <c r="B22492" s="36"/>
      <c r="C22492" s="36"/>
      <c r="E22492" s="1"/>
      <c r="F22492" s="1"/>
      <c r="G22492" s="1"/>
    </row>
    <row r="22493">
      <c r="B22493" s="36"/>
      <c r="C22493" s="36"/>
      <c r="E22493" s="1"/>
      <c r="F22493" s="1"/>
      <c r="G22493" s="1"/>
    </row>
    <row r="22494">
      <c r="B22494" s="36"/>
      <c r="C22494" s="36"/>
      <c r="E22494" s="1"/>
      <c r="F22494" s="1"/>
      <c r="G22494" s="1"/>
    </row>
    <row r="22495">
      <c r="B22495" s="36"/>
      <c r="C22495" s="36"/>
      <c r="E22495" s="1"/>
      <c r="F22495" s="1"/>
      <c r="G22495" s="1"/>
    </row>
    <row r="22496">
      <c r="B22496" s="36"/>
      <c r="C22496" s="36"/>
      <c r="E22496" s="1"/>
      <c r="F22496" s="1"/>
      <c r="G22496" s="1"/>
    </row>
    <row r="22497">
      <c r="B22497" s="36"/>
      <c r="C22497" s="36"/>
      <c r="E22497" s="1"/>
      <c r="F22497" s="1"/>
      <c r="G22497" s="1"/>
    </row>
    <row r="22498">
      <c r="B22498" s="36"/>
      <c r="C22498" s="36"/>
      <c r="E22498" s="1"/>
      <c r="F22498" s="1"/>
      <c r="G22498" s="1"/>
    </row>
    <row r="22499">
      <c r="B22499" s="36"/>
      <c r="C22499" s="36"/>
      <c r="E22499" s="1"/>
      <c r="F22499" s="1"/>
      <c r="G22499" s="1"/>
    </row>
    <row r="22500">
      <c r="B22500" s="36"/>
      <c r="C22500" s="36"/>
      <c r="E22500" s="1"/>
      <c r="F22500" s="1"/>
      <c r="G22500" s="1"/>
    </row>
    <row r="22501">
      <c r="B22501" s="36"/>
      <c r="C22501" s="36"/>
      <c r="E22501" s="1"/>
      <c r="F22501" s="1"/>
      <c r="G22501" s="1"/>
    </row>
    <row r="22502">
      <c r="B22502" s="36"/>
      <c r="C22502" s="36"/>
      <c r="E22502" s="1"/>
      <c r="F22502" s="1"/>
      <c r="G22502" s="1"/>
    </row>
    <row r="22503">
      <c r="B22503" s="36"/>
      <c r="C22503" s="36"/>
      <c r="E22503" s="1"/>
      <c r="F22503" s="1"/>
      <c r="G22503" s="1"/>
    </row>
    <row r="22504">
      <c r="B22504" s="36"/>
      <c r="C22504" s="36"/>
      <c r="E22504" s="1"/>
      <c r="F22504" s="1"/>
      <c r="G22504" s="1"/>
    </row>
    <row r="22505">
      <c r="B22505" s="36"/>
      <c r="C22505" s="36"/>
      <c r="E22505" s="1"/>
      <c r="F22505" s="1"/>
      <c r="G22505" s="1"/>
    </row>
    <row r="22506">
      <c r="B22506" s="36"/>
      <c r="C22506" s="36"/>
      <c r="E22506" s="1"/>
      <c r="F22506" s="1"/>
      <c r="G22506" s="1"/>
    </row>
    <row r="22507">
      <c r="B22507" s="36"/>
      <c r="C22507" s="36"/>
      <c r="E22507" s="1"/>
      <c r="F22507" s="1"/>
      <c r="G22507" s="1"/>
    </row>
    <row r="22508">
      <c r="B22508" s="36"/>
      <c r="C22508" s="36"/>
      <c r="E22508" s="1"/>
      <c r="F22508" s="1"/>
      <c r="G22508" s="1"/>
    </row>
    <row r="22509">
      <c r="B22509" s="36"/>
      <c r="C22509" s="36"/>
      <c r="E22509" s="1"/>
      <c r="F22509" s="1"/>
      <c r="G22509" s="1"/>
    </row>
    <row r="22510">
      <c r="B22510" s="36"/>
      <c r="C22510" s="36"/>
      <c r="E22510" s="1"/>
      <c r="F22510" s="1"/>
      <c r="G22510" s="1"/>
    </row>
    <row r="22511">
      <c r="B22511" s="36"/>
      <c r="C22511" s="36"/>
      <c r="E22511" s="1"/>
      <c r="F22511" s="1"/>
      <c r="G22511" s="1"/>
    </row>
    <row r="22512">
      <c r="B22512" s="36"/>
      <c r="C22512" s="36"/>
      <c r="E22512" s="1"/>
      <c r="F22512" s="1"/>
      <c r="G22512" s="1"/>
    </row>
    <row r="22513">
      <c r="B22513" s="36"/>
      <c r="C22513" s="36"/>
      <c r="E22513" s="1"/>
      <c r="F22513" s="1"/>
      <c r="G22513" s="1"/>
    </row>
    <row r="22514">
      <c r="B22514" s="36"/>
      <c r="C22514" s="36"/>
      <c r="E22514" s="1"/>
      <c r="F22514" s="1"/>
      <c r="G22514" s="1"/>
    </row>
    <row r="22515">
      <c r="B22515" s="36"/>
      <c r="C22515" s="36"/>
      <c r="E22515" s="1"/>
      <c r="F22515" s="1"/>
      <c r="G22515" s="1"/>
    </row>
    <row r="22516">
      <c r="B22516" s="36"/>
      <c r="C22516" s="36"/>
      <c r="E22516" s="1"/>
      <c r="F22516" s="1"/>
      <c r="G22516" s="1"/>
    </row>
    <row r="22517">
      <c r="B22517" s="36"/>
      <c r="C22517" s="36"/>
      <c r="E22517" s="1"/>
      <c r="F22517" s="1"/>
      <c r="G22517" s="1"/>
    </row>
    <row r="22518">
      <c r="B22518" s="36"/>
      <c r="C22518" s="36"/>
      <c r="E22518" s="1"/>
      <c r="F22518" s="1"/>
      <c r="G22518" s="1"/>
    </row>
    <row r="22519">
      <c r="B22519" s="36"/>
      <c r="C22519" s="36"/>
      <c r="E22519" s="1"/>
      <c r="F22519" s="1"/>
      <c r="G22519" s="1"/>
    </row>
    <row r="22520">
      <c r="B22520" s="36"/>
      <c r="C22520" s="36"/>
      <c r="E22520" s="1"/>
      <c r="F22520" s="1"/>
      <c r="G22520" s="1"/>
    </row>
    <row r="22521">
      <c r="B22521" s="36"/>
      <c r="C22521" s="36"/>
      <c r="E22521" s="1"/>
      <c r="F22521" s="1"/>
      <c r="G22521" s="1"/>
    </row>
    <row r="22522">
      <c r="B22522" s="36"/>
      <c r="C22522" s="36"/>
      <c r="E22522" s="1"/>
      <c r="F22522" s="1"/>
      <c r="G22522" s="1"/>
    </row>
    <row r="22523">
      <c r="B22523" s="36"/>
      <c r="C22523" s="36"/>
      <c r="E22523" s="1"/>
      <c r="F22523" s="1"/>
      <c r="G22523" s="1"/>
    </row>
    <row r="22524">
      <c r="B22524" s="36"/>
      <c r="C22524" s="36"/>
      <c r="E22524" s="1"/>
      <c r="F22524" s="1"/>
      <c r="G22524" s="1"/>
    </row>
    <row r="22525">
      <c r="B22525" s="36"/>
      <c r="C22525" s="36"/>
      <c r="E22525" s="1"/>
      <c r="F22525" s="1"/>
      <c r="G22525" s="1"/>
    </row>
    <row r="22526">
      <c r="B22526" s="36"/>
      <c r="C22526" s="36"/>
      <c r="E22526" s="1"/>
      <c r="F22526" s="1"/>
      <c r="G22526" s="1"/>
    </row>
    <row r="22527">
      <c r="B22527" s="36"/>
      <c r="C22527" s="36"/>
      <c r="E22527" s="1"/>
      <c r="F22527" s="1"/>
      <c r="G22527" s="1"/>
    </row>
    <row r="22528">
      <c r="B22528" s="36"/>
      <c r="C22528" s="36"/>
      <c r="E22528" s="1"/>
      <c r="F22528" s="1"/>
      <c r="G22528" s="1"/>
    </row>
    <row r="22529">
      <c r="B22529" s="36"/>
      <c r="C22529" s="36"/>
      <c r="E22529" s="1"/>
      <c r="F22529" s="1"/>
      <c r="G22529" s="1"/>
    </row>
    <row r="22530">
      <c r="B22530" s="36"/>
      <c r="C22530" s="36"/>
      <c r="E22530" s="1"/>
      <c r="F22530" s="1"/>
      <c r="G22530" s="1"/>
    </row>
    <row r="22531">
      <c r="B22531" s="36"/>
      <c r="C22531" s="36"/>
      <c r="E22531" s="1"/>
      <c r="F22531" s="1"/>
      <c r="G22531" s="1"/>
    </row>
    <row r="22532">
      <c r="B22532" s="36"/>
      <c r="C22532" s="36"/>
      <c r="E22532" s="1"/>
      <c r="F22532" s="1"/>
      <c r="G22532" s="1"/>
    </row>
    <row r="22533">
      <c r="B22533" s="36"/>
      <c r="C22533" s="36"/>
      <c r="E22533" s="1"/>
      <c r="F22533" s="1"/>
      <c r="G22533" s="1"/>
    </row>
    <row r="22534">
      <c r="B22534" s="36"/>
      <c r="C22534" s="36"/>
      <c r="E22534" s="1"/>
      <c r="F22534" s="1"/>
      <c r="G22534" s="1"/>
    </row>
    <row r="22535">
      <c r="B22535" s="36"/>
      <c r="C22535" s="36"/>
      <c r="E22535" s="1"/>
      <c r="F22535" s="1"/>
      <c r="G22535" s="1"/>
    </row>
    <row r="22536">
      <c r="B22536" s="36"/>
      <c r="C22536" s="36"/>
      <c r="E22536" s="1"/>
      <c r="F22536" s="1"/>
      <c r="G22536" s="1"/>
    </row>
    <row r="22537">
      <c r="B22537" s="36"/>
      <c r="C22537" s="36"/>
      <c r="E22537" s="1"/>
      <c r="F22537" s="1"/>
      <c r="G22537" s="1"/>
    </row>
    <row r="22538">
      <c r="B22538" s="36"/>
      <c r="C22538" s="36"/>
      <c r="E22538" s="1"/>
      <c r="F22538" s="1"/>
      <c r="G22538" s="1"/>
    </row>
    <row r="22539">
      <c r="B22539" s="36"/>
      <c r="C22539" s="36"/>
      <c r="E22539" s="1"/>
      <c r="F22539" s="1"/>
      <c r="G22539" s="1"/>
    </row>
    <row r="22540">
      <c r="B22540" s="36"/>
      <c r="C22540" s="36"/>
      <c r="E22540" s="1"/>
      <c r="F22540" s="1"/>
      <c r="G22540" s="1"/>
    </row>
    <row r="22541">
      <c r="B22541" s="36"/>
      <c r="C22541" s="36"/>
      <c r="E22541" s="1"/>
      <c r="F22541" s="1"/>
      <c r="G22541" s="1"/>
    </row>
    <row r="22542">
      <c r="B22542" s="36"/>
      <c r="C22542" s="36"/>
      <c r="E22542" s="1"/>
      <c r="F22542" s="1"/>
      <c r="G22542" s="1"/>
    </row>
    <row r="22543">
      <c r="B22543" s="36"/>
      <c r="C22543" s="36"/>
      <c r="E22543" s="1"/>
      <c r="F22543" s="1"/>
      <c r="G22543" s="1"/>
    </row>
    <row r="22544">
      <c r="B22544" s="36"/>
      <c r="C22544" s="36"/>
      <c r="E22544" s="1"/>
      <c r="F22544" s="1"/>
      <c r="G22544" s="1"/>
    </row>
    <row r="22545">
      <c r="B22545" s="36"/>
      <c r="C22545" s="36"/>
      <c r="E22545" s="1"/>
      <c r="F22545" s="1"/>
      <c r="G22545" s="1"/>
    </row>
    <row r="22546">
      <c r="B22546" s="36"/>
      <c r="C22546" s="36"/>
      <c r="E22546" s="1"/>
      <c r="F22546" s="1"/>
      <c r="G22546" s="1"/>
    </row>
    <row r="22547">
      <c r="B22547" s="36"/>
      <c r="C22547" s="36"/>
      <c r="E22547" s="1"/>
      <c r="F22547" s="1"/>
      <c r="G22547" s="1"/>
    </row>
    <row r="22548">
      <c r="B22548" s="36"/>
      <c r="C22548" s="36"/>
      <c r="E22548" s="1"/>
      <c r="F22548" s="1"/>
      <c r="G22548" s="1"/>
    </row>
    <row r="22549">
      <c r="B22549" s="36"/>
      <c r="C22549" s="36"/>
      <c r="E22549" s="1"/>
      <c r="F22549" s="1"/>
      <c r="G22549" s="1"/>
    </row>
    <row r="22550">
      <c r="B22550" s="36"/>
      <c r="C22550" s="36"/>
      <c r="E22550" s="1"/>
      <c r="F22550" s="1"/>
      <c r="G22550" s="1"/>
    </row>
    <row r="22551">
      <c r="B22551" s="36"/>
      <c r="C22551" s="36"/>
      <c r="E22551" s="1"/>
      <c r="F22551" s="1"/>
      <c r="G22551" s="1"/>
    </row>
    <row r="22552">
      <c r="B22552" s="36"/>
      <c r="C22552" s="36"/>
      <c r="E22552" s="1"/>
      <c r="F22552" s="1"/>
      <c r="G22552" s="1"/>
    </row>
    <row r="22553">
      <c r="B22553" s="36"/>
      <c r="C22553" s="36"/>
      <c r="E22553" s="1"/>
      <c r="F22553" s="1"/>
      <c r="G22553" s="1"/>
    </row>
    <row r="22554">
      <c r="B22554" s="36"/>
      <c r="C22554" s="36"/>
      <c r="E22554" s="1"/>
      <c r="F22554" s="1"/>
      <c r="G22554" s="1"/>
    </row>
    <row r="22555">
      <c r="B22555" s="36"/>
      <c r="C22555" s="36"/>
      <c r="E22555" s="1"/>
      <c r="F22555" s="1"/>
      <c r="G22555" s="1"/>
    </row>
    <row r="22556">
      <c r="B22556" s="36"/>
      <c r="C22556" s="36"/>
      <c r="E22556" s="1"/>
      <c r="F22556" s="1"/>
      <c r="G22556" s="1"/>
    </row>
    <row r="22557">
      <c r="B22557" s="36"/>
      <c r="C22557" s="36"/>
      <c r="E22557" s="1"/>
      <c r="F22557" s="1"/>
      <c r="G22557" s="1"/>
    </row>
    <row r="22558">
      <c r="B22558" s="36"/>
      <c r="C22558" s="36"/>
      <c r="E22558" s="1"/>
      <c r="F22558" s="1"/>
      <c r="G22558" s="1"/>
    </row>
    <row r="22559">
      <c r="B22559" s="36"/>
      <c r="C22559" s="36"/>
      <c r="E22559" s="1"/>
      <c r="F22559" s="1"/>
      <c r="G22559" s="1"/>
    </row>
    <row r="22560">
      <c r="B22560" s="36"/>
      <c r="C22560" s="36"/>
      <c r="E22560" s="1"/>
      <c r="F22560" s="1"/>
      <c r="G22560" s="1"/>
    </row>
    <row r="22561">
      <c r="B22561" s="36"/>
      <c r="C22561" s="36"/>
      <c r="E22561" s="1"/>
      <c r="F22561" s="1"/>
      <c r="G22561" s="1"/>
    </row>
    <row r="22562">
      <c r="B22562" s="36"/>
      <c r="C22562" s="36"/>
      <c r="E22562" s="1"/>
      <c r="F22562" s="1"/>
      <c r="G22562" s="1"/>
    </row>
    <row r="22563">
      <c r="B22563" s="36"/>
      <c r="C22563" s="36"/>
      <c r="E22563" s="1"/>
      <c r="F22563" s="1"/>
      <c r="G22563" s="1"/>
    </row>
    <row r="22564">
      <c r="B22564" s="36"/>
      <c r="C22564" s="36"/>
      <c r="E22564" s="1"/>
      <c r="F22564" s="1"/>
      <c r="G22564" s="1"/>
    </row>
    <row r="22565">
      <c r="B22565" s="36"/>
      <c r="C22565" s="36"/>
      <c r="E22565" s="1"/>
      <c r="F22565" s="1"/>
      <c r="G22565" s="1"/>
    </row>
    <row r="22566">
      <c r="B22566" s="36"/>
      <c r="C22566" s="36"/>
      <c r="E22566" s="1"/>
      <c r="F22566" s="1"/>
      <c r="G22566" s="1"/>
    </row>
    <row r="22567">
      <c r="B22567" s="36"/>
      <c r="C22567" s="36"/>
      <c r="E22567" s="1"/>
      <c r="F22567" s="1"/>
      <c r="G22567" s="1"/>
    </row>
    <row r="22568">
      <c r="B22568" s="36"/>
      <c r="C22568" s="36"/>
      <c r="E22568" s="1"/>
      <c r="F22568" s="1"/>
      <c r="G22568" s="1"/>
    </row>
    <row r="22569">
      <c r="B22569" s="36"/>
      <c r="C22569" s="36"/>
      <c r="E22569" s="1"/>
      <c r="F22569" s="1"/>
      <c r="G22569" s="1"/>
    </row>
    <row r="22570">
      <c r="B22570" s="36"/>
      <c r="C22570" s="36"/>
      <c r="E22570" s="1"/>
      <c r="F22570" s="1"/>
      <c r="G22570" s="1"/>
    </row>
    <row r="22571">
      <c r="B22571" s="36"/>
      <c r="C22571" s="36"/>
      <c r="E22571" s="1"/>
      <c r="F22571" s="1"/>
      <c r="G22571" s="1"/>
    </row>
    <row r="22572">
      <c r="B22572" s="36"/>
      <c r="C22572" s="36"/>
      <c r="E22572" s="1"/>
      <c r="F22572" s="1"/>
      <c r="G22572" s="1"/>
    </row>
    <row r="22573">
      <c r="B22573" s="36"/>
      <c r="C22573" s="36"/>
      <c r="E22573" s="1"/>
      <c r="F22573" s="1"/>
      <c r="G22573" s="1"/>
    </row>
    <row r="22574">
      <c r="B22574" s="36"/>
      <c r="C22574" s="36"/>
      <c r="E22574" s="1"/>
      <c r="F22574" s="1"/>
      <c r="G22574" s="1"/>
    </row>
    <row r="22575">
      <c r="B22575" s="36"/>
      <c r="C22575" s="36"/>
      <c r="E22575" s="1"/>
      <c r="F22575" s="1"/>
      <c r="G22575" s="1"/>
    </row>
    <row r="22576">
      <c r="B22576" s="36"/>
      <c r="C22576" s="36"/>
      <c r="E22576" s="1"/>
      <c r="F22576" s="1"/>
      <c r="G22576" s="1"/>
    </row>
    <row r="22577">
      <c r="B22577" s="36"/>
      <c r="C22577" s="36"/>
      <c r="E22577" s="1"/>
      <c r="F22577" s="1"/>
      <c r="G22577" s="1"/>
    </row>
    <row r="22578">
      <c r="B22578" s="36"/>
      <c r="C22578" s="36"/>
      <c r="E22578" s="1"/>
      <c r="F22578" s="1"/>
      <c r="G22578" s="1"/>
    </row>
    <row r="22579">
      <c r="B22579" s="36"/>
      <c r="C22579" s="36"/>
      <c r="E22579" s="1"/>
      <c r="F22579" s="1"/>
      <c r="G22579" s="1"/>
    </row>
    <row r="22580">
      <c r="B22580" s="36"/>
      <c r="C22580" s="36"/>
      <c r="E22580" s="1"/>
      <c r="F22580" s="1"/>
      <c r="G22580" s="1"/>
    </row>
    <row r="22581">
      <c r="B22581" s="36"/>
      <c r="C22581" s="36"/>
      <c r="E22581" s="1"/>
      <c r="F22581" s="1"/>
      <c r="G22581" s="1"/>
    </row>
    <row r="22582">
      <c r="B22582" s="36"/>
      <c r="C22582" s="36"/>
      <c r="E22582" s="1"/>
      <c r="F22582" s="1"/>
      <c r="G22582" s="1"/>
    </row>
    <row r="22583">
      <c r="B22583" s="36"/>
      <c r="C22583" s="36"/>
      <c r="E22583" s="1"/>
      <c r="F22583" s="1"/>
      <c r="G22583" s="1"/>
    </row>
    <row r="22584">
      <c r="B22584" s="36"/>
      <c r="C22584" s="36"/>
      <c r="E22584" s="1"/>
      <c r="F22584" s="1"/>
      <c r="G22584" s="1"/>
    </row>
    <row r="22585">
      <c r="B22585" s="36"/>
      <c r="C22585" s="36"/>
      <c r="E22585" s="1"/>
      <c r="F22585" s="1"/>
      <c r="G22585" s="1"/>
    </row>
    <row r="22586">
      <c r="B22586" s="36"/>
      <c r="C22586" s="36"/>
      <c r="E22586" s="1"/>
      <c r="F22586" s="1"/>
      <c r="G22586" s="1"/>
    </row>
    <row r="22587">
      <c r="B22587" s="36"/>
      <c r="C22587" s="36"/>
      <c r="E22587" s="1"/>
      <c r="F22587" s="1"/>
      <c r="G22587" s="1"/>
    </row>
    <row r="22588">
      <c r="B22588" s="36"/>
      <c r="C22588" s="36"/>
      <c r="E22588" s="1"/>
      <c r="F22588" s="1"/>
      <c r="G22588" s="1"/>
    </row>
    <row r="22589">
      <c r="B22589" s="36"/>
      <c r="C22589" s="36"/>
      <c r="E22589" s="1"/>
      <c r="F22589" s="1"/>
      <c r="G22589" s="1"/>
    </row>
    <row r="22590">
      <c r="B22590" s="36"/>
      <c r="C22590" s="36"/>
      <c r="E22590" s="1"/>
      <c r="F22590" s="1"/>
      <c r="G22590" s="1"/>
    </row>
    <row r="22591">
      <c r="B22591" s="36"/>
      <c r="C22591" s="36"/>
      <c r="E22591" s="1"/>
      <c r="F22591" s="1"/>
      <c r="G22591" s="1"/>
    </row>
    <row r="22592">
      <c r="B22592" s="36"/>
      <c r="C22592" s="36"/>
      <c r="E22592" s="1"/>
      <c r="F22592" s="1"/>
      <c r="G22592" s="1"/>
    </row>
    <row r="22593">
      <c r="B22593" s="36"/>
      <c r="C22593" s="36"/>
      <c r="E22593" s="1"/>
      <c r="F22593" s="1"/>
      <c r="G22593" s="1"/>
    </row>
    <row r="22594">
      <c r="B22594" s="36"/>
      <c r="C22594" s="36"/>
      <c r="E22594" s="1"/>
      <c r="F22594" s="1"/>
      <c r="G22594" s="1"/>
    </row>
    <row r="22595">
      <c r="B22595" s="36"/>
      <c r="C22595" s="36"/>
      <c r="E22595" s="1"/>
      <c r="F22595" s="1"/>
      <c r="G22595" s="1"/>
    </row>
    <row r="22596">
      <c r="B22596" s="36"/>
      <c r="C22596" s="36"/>
      <c r="E22596" s="1"/>
      <c r="F22596" s="1"/>
      <c r="G22596" s="1"/>
    </row>
    <row r="22597">
      <c r="B22597" s="36"/>
      <c r="C22597" s="36"/>
      <c r="E22597" s="1"/>
      <c r="F22597" s="1"/>
      <c r="G22597" s="1"/>
    </row>
    <row r="22598">
      <c r="B22598" s="36"/>
      <c r="C22598" s="36"/>
      <c r="E22598" s="1"/>
      <c r="F22598" s="1"/>
      <c r="G22598" s="1"/>
    </row>
    <row r="22599">
      <c r="B22599" s="36"/>
      <c r="C22599" s="36"/>
      <c r="E22599" s="1"/>
      <c r="F22599" s="1"/>
      <c r="G22599" s="1"/>
    </row>
    <row r="22600">
      <c r="B22600" s="36"/>
      <c r="C22600" s="36"/>
      <c r="E22600" s="1"/>
      <c r="F22600" s="1"/>
      <c r="G22600" s="1"/>
    </row>
    <row r="22601">
      <c r="B22601" s="36"/>
      <c r="C22601" s="36"/>
      <c r="E22601" s="1"/>
      <c r="F22601" s="1"/>
      <c r="G22601" s="1"/>
    </row>
    <row r="22602">
      <c r="B22602" s="36"/>
      <c r="C22602" s="36"/>
      <c r="E22602" s="1"/>
      <c r="F22602" s="1"/>
      <c r="G22602" s="1"/>
    </row>
    <row r="22603">
      <c r="B22603" s="36"/>
      <c r="C22603" s="36"/>
      <c r="E22603" s="1"/>
      <c r="F22603" s="1"/>
      <c r="G22603" s="1"/>
    </row>
    <row r="22604">
      <c r="B22604" s="36"/>
      <c r="C22604" s="36"/>
      <c r="E22604" s="1"/>
      <c r="F22604" s="1"/>
      <c r="G22604" s="1"/>
    </row>
    <row r="22605">
      <c r="B22605" s="36"/>
      <c r="C22605" s="36"/>
      <c r="E22605" s="1"/>
      <c r="F22605" s="1"/>
      <c r="G22605" s="1"/>
    </row>
    <row r="22606">
      <c r="B22606" s="36"/>
      <c r="C22606" s="36"/>
      <c r="E22606" s="1"/>
      <c r="F22606" s="1"/>
      <c r="G22606" s="1"/>
    </row>
    <row r="22607">
      <c r="B22607" s="36"/>
      <c r="C22607" s="36"/>
      <c r="E22607" s="1"/>
      <c r="F22607" s="1"/>
      <c r="G22607" s="1"/>
    </row>
    <row r="22608">
      <c r="B22608" s="36"/>
      <c r="C22608" s="36"/>
      <c r="E22608" s="1"/>
      <c r="F22608" s="1"/>
      <c r="G22608" s="1"/>
    </row>
    <row r="22609">
      <c r="B22609" s="36"/>
      <c r="C22609" s="36"/>
      <c r="E22609" s="1"/>
      <c r="F22609" s="1"/>
      <c r="G22609" s="1"/>
    </row>
    <row r="22610">
      <c r="B22610" s="36"/>
      <c r="C22610" s="36"/>
      <c r="E22610" s="1"/>
      <c r="F22610" s="1"/>
      <c r="G22610" s="1"/>
    </row>
    <row r="22611">
      <c r="B22611" s="36"/>
      <c r="C22611" s="36"/>
      <c r="E22611" s="1"/>
      <c r="F22611" s="1"/>
      <c r="G22611" s="1"/>
    </row>
    <row r="22612">
      <c r="B22612" s="36"/>
      <c r="C22612" s="36"/>
      <c r="E22612" s="1"/>
      <c r="F22612" s="1"/>
      <c r="G22612" s="1"/>
    </row>
    <row r="22613">
      <c r="B22613" s="36"/>
      <c r="C22613" s="36"/>
      <c r="E22613" s="1"/>
      <c r="F22613" s="1"/>
      <c r="G22613" s="1"/>
    </row>
    <row r="22614">
      <c r="B22614" s="36"/>
      <c r="C22614" s="36"/>
      <c r="E22614" s="1"/>
      <c r="F22614" s="1"/>
      <c r="G22614" s="1"/>
    </row>
    <row r="22615">
      <c r="B22615" s="36"/>
      <c r="C22615" s="36"/>
      <c r="E22615" s="1"/>
      <c r="F22615" s="1"/>
      <c r="G22615" s="1"/>
    </row>
    <row r="22616">
      <c r="B22616" s="36"/>
      <c r="C22616" s="36"/>
      <c r="E22616" s="1"/>
      <c r="F22616" s="1"/>
      <c r="G22616" s="1"/>
    </row>
    <row r="22617">
      <c r="B22617" s="36"/>
      <c r="C22617" s="36"/>
      <c r="E22617" s="1"/>
      <c r="F22617" s="1"/>
      <c r="G22617" s="1"/>
    </row>
    <row r="22618">
      <c r="B22618" s="36"/>
      <c r="C22618" s="36"/>
      <c r="E22618" s="1"/>
      <c r="F22618" s="1"/>
      <c r="G22618" s="1"/>
    </row>
    <row r="22619">
      <c r="B22619" s="36"/>
      <c r="C22619" s="36"/>
      <c r="E22619" s="1"/>
      <c r="F22619" s="1"/>
      <c r="G22619" s="1"/>
    </row>
    <row r="22620">
      <c r="B22620" s="36"/>
      <c r="C22620" s="36"/>
      <c r="E22620" s="1"/>
      <c r="F22620" s="1"/>
      <c r="G22620" s="1"/>
    </row>
    <row r="22621">
      <c r="B22621" s="36"/>
      <c r="C22621" s="36"/>
      <c r="E22621" s="1"/>
      <c r="F22621" s="1"/>
      <c r="G22621" s="1"/>
    </row>
    <row r="22622">
      <c r="B22622" s="36"/>
      <c r="C22622" s="36"/>
      <c r="E22622" s="1"/>
      <c r="F22622" s="1"/>
      <c r="G22622" s="1"/>
    </row>
    <row r="22623">
      <c r="B22623" s="36"/>
      <c r="C22623" s="36"/>
      <c r="E22623" s="1"/>
      <c r="F22623" s="1"/>
      <c r="G22623" s="1"/>
    </row>
    <row r="22624">
      <c r="B22624" s="36"/>
      <c r="C22624" s="36"/>
      <c r="E22624" s="1"/>
      <c r="F22624" s="1"/>
      <c r="G22624" s="1"/>
    </row>
    <row r="22625">
      <c r="B22625" s="36"/>
      <c r="C22625" s="36"/>
      <c r="E22625" s="1"/>
      <c r="F22625" s="1"/>
      <c r="G22625" s="1"/>
    </row>
    <row r="22626">
      <c r="B22626" s="36"/>
      <c r="C22626" s="36"/>
      <c r="E22626" s="1"/>
      <c r="F22626" s="1"/>
      <c r="G22626" s="1"/>
    </row>
    <row r="22627">
      <c r="B22627" s="36"/>
      <c r="C22627" s="36"/>
      <c r="E22627" s="1"/>
      <c r="F22627" s="1"/>
      <c r="G22627" s="1"/>
    </row>
    <row r="22628">
      <c r="B22628" s="36"/>
      <c r="C22628" s="36"/>
      <c r="E22628" s="1"/>
      <c r="F22628" s="1"/>
      <c r="G22628" s="1"/>
    </row>
    <row r="22629">
      <c r="B22629" s="36"/>
      <c r="C22629" s="36"/>
      <c r="E22629" s="1"/>
      <c r="F22629" s="1"/>
      <c r="G22629" s="1"/>
    </row>
    <row r="22630">
      <c r="B22630" s="36"/>
      <c r="C22630" s="36"/>
      <c r="E22630" s="1"/>
      <c r="F22630" s="1"/>
      <c r="G22630" s="1"/>
    </row>
    <row r="22631">
      <c r="B22631" s="36"/>
      <c r="C22631" s="36"/>
      <c r="E22631" s="1"/>
      <c r="F22631" s="1"/>
      <c r="G22631" s="1"/>
    </row>
    <row r="22632">
      <c r="B22632" s="36"/>
      <c r="C22632" s="36"/>
      <c r="E22632" s="1"/>
      <c r="F22632" s="1"/>
      <c r="G22632" s="1"/>
    </row>
    <row r="22633">
      <c r="B22633" s="36"/>
      <c r="C22633" s="36"/>
      <c r="E22633" s="1"/>
      <c r="F22633" s="1"/>
      <c r="G22633" s="1"/>
    </row>
    <row r="22634">
      <c r="B22634" s="36"/>
      <c r="C22634" s="36"/>
      <c r="E22634" s="1"/>
      <c r="F22634" s="1"/>
      <c r="G22634" s="1"/>
    </row>
    <row r="22635">
      <c r="B22635" s="36"/>
      <c r="C22635" s="36"/>
      <c r="E22635" s="1"/>
      <c r="F22635" s="1"/>
      <c r="G22635" s="1"/>
    </row>
    <row r="22636">
      <c r="B22636" s="36"/>
      <c r="C22636" s="36"/>
      <c r="E22636" s="1"/>
      <c r="F22636" s="1"/>
      <c r="G22636" s="1"/>
    </row>
    <row r="22637">
      <c r="B22637" s="36"/>
      <c r="C22637" s="36"/>
      <c r="E22637" s="1"/>
      <c r="F22637" s="1"/>
      <c r="G22637" s="1"/>
    </row>
    <row r="22638">
      <c r="B22638" s="36"/>
      <c r="C22638" s="36"/>
      <c r="E22638" s="1"/>
      <c r="F22638" s="1"/>
      <c r="G22638" s="1"/>
    </row>
    <row r="22639">
      <c r="B22639" s="36"/>
      <c r="C22639" s="36"/>
      <c r="E22639" s="1"/>
      <c r="F22639" s="1"/>
      <c r="G22639" s="1"/>
    </row>
    <row r="22640">
      <c r="B22640" s="36"/>
      <c r="C22640" s="36"/>
      <c r="E22640" s="1"/>
      <c r="F22640" s="1"/>
      <c r="G22640" s="1"/>
    </row>
    <row r="22641">
      <c r="B22641" s="36"/>
      <c r="C22641" s="36"/>
      <c r="E22641" s="1"/>
      <c r="F22641" s="1"/>
      <c r="G22641" s="1"/>
    </row>
    <row r="22642">
      <c r="B22642" s="36"/>
      <c r="C22642" s="36"/>
      <c r="E22642" s="1"/>
      <c r="F22642" s="1"/>
      <c r="G22642" s="1"/>
    </row>
    <row r="22643">
      <c r="B22643" s="36"/>
      <c r="C22643" s="36"/>
      <c r="E22643" s="1"/>
      <c r="F22643" s="1"/>
      <c r="G22643" s="1"/>
    </row>
    <row r="22644">
      <c r="B22644" s="36"/>
      <c r="C22644" s="36"/>
      <c r="E22644" s="1"/>
      <c r="F22644" s="1"/>
      <c r="G22644" s="1"/>
    </row>
    <row r="22645">
      <c r="B22645" s="36"/>
      <c r="C22645" s="36"/>
      <c r="E22645" s="1"/>
      <c r="F22645" s="1"/>
      <c r="G22645" s="1"/>
    </row>
    <row r="22646">
      <c r="B22646" s="36"/>
      <c r="C22646" s="36"/>
      <c r="E22646" s="1"/>
      <c r="F22646" s="1"/>
      <c r="G22646" s="1"/>
    </row>
    <row r="22647">
      <c r="B22647" s="36"/>
      <c r="C22647" s="36"/>
      <c r="E22647" s="1"/>
      <c r="F22647" s="1"/>
      <c r="G22647" s="1"/>
    </row>
    <row r="22648">
      <c r="B22648" s="36"/>
      <c r="C22648" s="36"/>
      <c r="E22648" s="1"/>
      <c r="F22648" s="1"/>
      <c r="G22648" s="1"/>
    </row>
    <row r="22649">
      <c r="B22649" s="36"/>
      <c r="C22649" s="36"/>
      <c r="E22649" s="1"/>
      <c r="F22649" s="1"/>
      <c r="G22649" s="1"/>
    </row>
    <row r="22650">
      <c r="B22650" s="36"/>
      <c r="C22650" s="36"/>
      <c r="E22650" s="1"/>
      <c r="F22650" s="1"/>
      <c r="G22650" s="1"/>
    </row>
    <row r="22651">
      <c r="B22651" s="36"/>
      <c r="C22651" s="36"/>
      <c r="E22651" s="1"/>
      <c r="F22651" s="1"/>
      <c r="G22651" s="1"/>
    </row>
    <row r="22652">
      <c r="B22652" s="36"/>
      <c r="C22652" s="36"/>
      <c r="E22652" s="1"/>
      <c r="F22652" s="1"/>
      <c r="G22652" s="1"/>
    </row>
    <row r="22653">
      <c r="B22653" s="36"/>
      <c r="C22653" s="36"/>
      <c r="E22653" s="1"/>
      <c r="F22653" s="1"/>
      <c r="G22653" s="1"/>
    </row>
    <row r="22654">
      <c r="B22654" s="36"/>
      <c r="C22654" s="36"/>
      <c r="E22654" s="1"/>
      <c r="F22654" s="1"/>
      <c r="G22654" s="1"/>
    </row>
    <row r="22655">
      <c r="B22655" s="36"/>
      <c r="C22655" s="36"/>
      <c r="E22655" s="1"/>
      <c r="F22655" s="1"/>
      <c r="G22655" s="1"/>
    </row>
    <row r="22656">
      <c r="B22656" s="36"/>
      <c r="C22656" s="36"/>
      <c r="E22656" s="1"/>
      <c r="F22656" s="1"/>
      <c r="G22656" s="1"/>
    </row>
    <row r="22657">
      <c r="B22657" s="36"/>
      <c r="C22657" s="36"/>
      <c r="E22657" s="1"/>
      <c r="F22657" s="1"/>
      <c r="G22657" s="1"/>
    </row>
    <row r="22658">
      <c r="B22658" s="36"/>
      <c r="C22658" s="36"/>
      <c r="E22658" s="1"/>
      <c r="F22658" s="1"/>
      <c r="G22658" s="1"/>
    </row>
    <row r="22659">
      <c r="B22659" s="36"/>
      <c r="C22659" s="36"/>
      <c r="E22659" s="1"/>
      <c r="F22659" s="1"/>
      <c r="G22659" s="1"/>
    </row>
    <row r="22660">
      <c r="B22660" s="36"/>
      <c r="C22660" s="36"/>
      <c r="E22660" s="1"/>
      <c r="F22660" s="1"/>
      <c r="G22660" s="1"/>
    </row>
    <row r="22661">
      <c r="B22661" s="36"/>
      <c r="C22661" s="36"/>
      <c r="E22661" s="1"/>
      <c r="F22661" s="1"/>
      <c r="G22661" s="1"/>
    </row>
    <row r="22662">
      <c r="B22662" s="36"/>
      <c r="C22662" s="36"/>
      <c r="E22662" s="1"/>
      <c r="F22662" s="1"/>
      <c r="G22662" s="1"/>
    </row>
    <row r="22663">
      <c r="B22663" s="36"/>
      <c r="C22663" s="36"/>
      <c r="E22663" s="1"/>
      <c r="F22663" s="1"/>
      <c r="G22663" s="1"/>
    </row>
    <row r="22664">
      <c r="B22664" s="36"/>
      <c r="C22664" s="36"/>
      <c r="E22664" s="1"/>
      <c r="F22664" s="1"/>
      <c r="G22664" s="1"/>
    </row>
    <row r="22665">
      <c r="B22665" s="36"/>
      <c r="C22665" s="36"/>
      <c r="E22665" s="1"/>
      <c r="F22665" s="1"/>
      <c r="G22665" s="1"/>
    </row>
    <row r="22666">
      <c r="B22666" s="36"/>
      <c r="C22666" s="36"/>
      <c r="E22666" s="1"/>
      <c r="F22666" s="1"/>
      <c r="G22666" s="1"/>
    </row>
    <row r="22667">
      <c r="B22667" s="36"/>
      <c r="C22667" s="36"/>
      <c r="E22667" s="1"/>
      <c r="F22667" s="1"/>
      <c r="G22667" s="1"/>
    </row>
    <row r="22668">
      <c r="B22668" s="36"/>
      <c r="C22668" s="36"/>
      <c r="E22668" s="1"/>
      <c r="F22668" s="1"/>
      <c r="G22668" s="1"/>
    </row>
    <row r="22669">
      <c r="B22669" s="36"/>
      <c r="C22669" s="36"/>
      <c r="E22669" s="1"/>
      <c r="F22669" s="1"/>
      <c r="G22669" s="1"/>
    </row>
    <row r="22670">
      <c r="B22670" s="36"/>
      <c r="C22670" s="36"/>
      <c r="E22670" s="1"/>
      <c r="F22670" s="1"/>
      <c r="G22670" s="1"/>
    </row>
    <row r="22671">
      <c r="B22671" s="36"/>
      <c r="C22671" s="36"/>
      <c r="E22671" s="1"/>
      <c r="F22671" s="1"/>
      <c r="G22671" s="1"/>
    </row>
    <row r="22672">
      <c r="B22672" s="36"/>
      <c r="C22672" s="36"/>
      <c r="E22672" s="1"/>
      <c r="F22672" s="1"/>
      <c r="G22672" s="1"/>
    </row>
    <row r="22673">
      <c r="B22673" s="36"/>
      <c r="C22673" s="36"/>
      <c r="E22673" s="1"/>
      <c r="F22673" s="1"/>
      <c r="G22673" s="1"/>
    </row>
    <row r="22674">
      <c r="B22674" s="36"/>
      <c r="C22674" s="36"/>
      <c r="E22674" s="1"/>
      <c r="F22674" s="1"/>
      <c r="G22674" s="1"/>
    </row>
    <row r="22675">
      <c r="B22675" s="36"/>
      <c r="C22675" s="36"/>
      <c r="E22675" s="1"/>
      <c r="F22675" s="1"/>
      <c r="G22675" s="1"/>
    </row>
    <row r="22676">
      <c r="B22676" s="36"/>
      <c r="C22676" s="36"/>
      <c r="E22676" s="1"/>
      <c r="F22676" s="1"/>
      <c r="G22676" s="1"/>
    </row>
    <row r="22677">
      <c r="B22677" s="36"/>
      <c r="C22677" s="36"/>
      <c r="E22677" s="1"/>
      <c r="F22677" s="1"/>
      <c r="G22677" s="1"/>
    </row>
    <row r="22678">
      <c r="B22678" s="36"/>
      <c r="C22678" s="36"/>
      <c r="E22678" s="1"/>
      <c r="F22678" s="1"/>
      <c r="G22678" s="1"/>
    </row>
    <row r="22679">
      <c r="B22679" s="36"/>
      <c r="C22679" s="36"/>
      <c r="E22679" s="1"/>
      <c r="F22679" s="1"/>
      <c r="G22679" s="1"/>
    </row>
    <row r="22680">
      <c r="B22680" s="36"/>
      <c r="C22680" s="36"/>
      <c r="E22680" s="1"/>
      <c r="F22680" s="1"/>
      <c r="G22680" s="1"/>
    </row>
    <row r="22681">
      <c r="B22681" s="36"/>
      <c r="C22681" s="36"/>
      <c r="E22681" s="1"/>
      <c r="F22681" s="1"/>
      <c r="G22681" s="1"/>
    </row>
    <row r="22682">
      <c r="B22682" s="36"/>
      <c r="C22682" s="36"/>
      <c r="E22682" s="1"/>
      <c r="F22682" s="1"/>
      <c r="G22682" s="1"/>
    </row>
    <row r="22683">
      <c r="B22683" s="36"/>
      <c r="C22683" s="36"/>
      <c r="E22683" s="1"/>
      <c r="F22683" s="1"/>
      <c r="G22683" s="1"/>
    </row>
    <row r="22684">
      <c r="B22684" s="36"/>
      <c r="C22684" s="36"/>
      <c r="E22684" s="1"/>
      <c r="F22684" s="1"/>
      <c r="G22684" s="1"/>
    </row>
    <row r="22685">
      <c r="B22685" s="36"/>
      <c r="C22685" s="36"/>
      <c r="E22685" s="1"/>
      <c r="F22685" s="1"/>
      <c r="G22685" s="1"/>
    </row>
    <row r="22686">
      <c r="B22686" s="36"/>
      <c r="C22686" s="36"/>
      <c r="E22686" s="1"/>
      <c r="F22686" s="1"/>
      <c r="G22686" s="1"/>
    </row>
    <row r="22687">
      <c r="B22687" s="36"/>
      <c r="C22687" s="36"/>
      <c r="E22687" s="1"/>
      <c r="F22687" s="1"/>
      <c r="G22687" s="1"/>
    </row>
    <row r="22688">
      <c r="B22688" s="36"/>
      <c r="C22688" s="36"/>
      <c r="E22688" s="1"/>
      <c r="F22688" s="1"/>
      <c r="G22688" s="1"/>
    </row>
    <row r="22689">
      <c r="B22689" s="36"/>
      <c r="C22689" s="36"/>
      <c r="E22689" s="1"/>
      <c r="F22689" s="1"/>
      <c r="G22689" s="1"/>
    </row>
    <row r="22690">
      <c r="B22690" s="36"/>
      <c r="C22690" s="36"/>
      <c r="E22690" s="1"/>
      <c r="F22690" s="1"/>
      <c r="G22690" s="1"/>
    </row>
    <row r="22691">
      <c r="B22691" s="36"/>
      <c r="C22691" s="36"/>
      <c r="E22691" s="1"/>
      <c r="F22691" s="1"/>
      <c r="G22691" s="1"/>
    </row>
    <row r="22692">
      <c r="B22692" s="36"/>
      <c r="C22692" s="36"/>
      <c r="E22692" s="1"/>
      <c r="F22692" s="1"/>
      <c r="G22692" s="1"/>
    </row>
    <row r="22693">
      <c r="B22693" s="36"/>
      <c r="C22693" s="36"/>
      <c r="E22693" s="1"/>
      <c r="F22693" s="1"/>
      <c r="G22693" s="1"/>
    </row>
    <row r="22694">
      <c r="B22694" s="36"/>
      <c r="C22694" s="36"/>
      <c r="E22694" s="1"/>
      <c r="F22694" s="1"/>
      <c r="G22694" s="1"/>
    </row>
    <row r="22695">
      <c r="B22695" s="36"/>
      <c r="C22695" s="36"/>
      <c r="E22695" s="1"/>
      <c r="F22695" s="1"/>
      <c r="G22695" s="1"/>
    </row>
    <row r="22696">
      <c r="B22696" s="36"/>
      <c r="C22696" s="36"/>
      <c r="E22696" s="1"/>
      <c r="F22696" s="1"/>
      <c r="G22696" s="1"/>
    </row>
    <row r="22697">
      <c r="B22697" s="36"/>
      <c r="C22697" s="36"/>
      <c r="E22697" s="1"/>
      <c r="F22697" s="1"/>
      <c r="G22697" s="1"/>
    </row>
    <row r="22698">
      <c r="B22698" s="36"/>
      <c r="C22698" s="36"/>
      <c r="E22698" s="1"/>
      <c r="F22698" s="1"/>
      <c r="G22698" s="1"/>
    </row>
    <row r="22699">
      <c r="B22699" s="36"/>
      <c r="C22699" s="36"/>
      <c r="E22699" s="1"/>
      <c r="F22699" s="1"/>
      <c r="G22699" s="1"/>
    </row>
    <row r="22700">
      <c r="B22700" s="36"/>
      <c r="C22700" s="36"/>
      <c r="E22700" s="1"/>
      <c r="F22700" s="1"/>
      <c r="G22700" s="1"/>
    </row>
    <row r="22701">
      <c r="B22701" s="36"/>
      <c r="C22701" s="36"/>
      <c r="E22701" s="1"/>
      <c r="F22701" s="1"/>
      <c r="G22701" s="1"/>
    </row>
    <row r="22702">
      <c r="B22702" s="36"/>
      <c r="C22702" s="36"/>
      <c r="E22702" s="1"/>
      <c r="F22702" s="1"/>
      <c r="G22702" s="1"/>
    </row>
    <row r="22703">
      <c r="B22703" s="36"/>
      <c r="C22703" s="36"/>
      <c r="E22703" s="1"/>
      <c r="F22703" s="1"/>
      <c r="G22703" s="1"/>
    </row>
    <row r="22704">
      <c r="B22704" s="36"/>
      <c r="C22704" s="36"/>
      <c r="E22704" s="1"/>
      <c r="F22704" s="1"/>
      <c r="G22704" s="1"/>
    </row>
    <row r="22705">
      <c r="B22705" s="36"/>
      <c r="C22705" s="36"/>
      <c r="E22705" s="1"/>
      <c r="F22705" s="1"/>
      <c r="G22705" s="1"/>
    </row>
    <row r="22706">
      <c r="B22706" s="36"/>
      <c r="C22706" s="36"/>
      <c r="E22706" s="1"/>
      <c r="F22706" s="1"/>
      <c r="G22706" s="1"/>
    </row>
    <row r="22707">
      <c r="B22707" s="36"/>
      <c r="C22707" s="36"/>
      <c r="E22707" s="1"/>
      <c r="F22707" s="1"/>
      <c r="G22707" s="1"/>
    </row>
    <row r="22708">
      <c r="B22708" s="36"/>
      <c r="C22708" s="36"/>
      <c r="E22708" s="1"/>
      <c r="F22708" s="1"/>
      <c r="G22708" s="1"/>
    </row>
    <row r="22709">
      <c r="B22709" s="36"/>
      <c r="C22709" s="36"/>
      <c r="E22709" s="1"/>
      <c r="F22709" s="1"/>
      <c r="G22709" s="1"/>
    </row>
    <row r="22710">
      <c r="B22710" s="36"/>
      <c r="C22710" s="36"/>
      <c r="E22710" s="1"/>
      <c r="F22710" s="1"/>
      <c r="G22710" s="1"/>
    </row>
    <row r="22711">
      <c r="B22711" s="36"/>
      <c r="C22711" s="36"/>
      <c r="E22711" s="1"/>
      <c r="F22711" s="1"/>
      <c r="G22711" s="1"/>
    </row>
    <row r="22712">
      <c r="B22712" s="36"/>
      <c r="C22712" s="36"/>
      <c r="E22712" s="1"/>
      <c r="F22712" s="1"/>
      <c r="G22712" s="1"/>
    </row>
    <row r="22713">
      <c r="B22713" s="36"/>
      <c r="C22713" s="36"/>
      <c r="E22713" s="1"/>
      <c r="F22713" s="1"/>
      <c r="G22713" s="1"/>
    </row>
    <row r="22714">
      <c r="B22714" s="36"/>
      <c r="C22714" s="36"/>
      <c r="E22714" s="1"/>
      <c r="F22714" s="1"/>
      <c r="G22714" s="1"/>
    </row>
    <row r="22715">
      <c r="B22715" s="36"/>
      <c r="C22715" s="36"/>
      <c r="E22715" s="1"/>
      <c r="F22715" s="1"/>
      <c r="G22715" s="1"/>
    </row>
    <row r="22716">
      <c r="B22716" s="36"/>
      <c r="C22716" s="36"/>
      <c r="E22716" s="1"/>
      <c r="F22716" s="1"/>
      <c r="G22716" s="1"/>
    </row>
    <row r="22717">
      <c r="B22717" s="36"/>
      <c r="C22717" s="36"/>
      <c r="E22717" s="1"/>
      <c r="F22717" s="1"/>
      <c r="G22717" s="1"/>
    </row>
    <row r="22718">
      <c r="B22718" s="36"/>
      <c r="C22718" s="36"/>
      <c r="E22718" s="1"/>
      <c r="F22718" s="1"/>
      <c r="G22718" s="1"/>
    </row>
    <row r="22719">
      <c r="B22719" s="36"/>
      <c r="C22719" s="36"/>
      <c r="E22719" s="1"/>
      <c r="F22719" s="1"/>
      <c r="G22719" s="1"/>
    </row>
    <row r="22720">
      <c r="B22720" s="36"/>
      <c r="C22720" s="36"/>
      <c r="E22720" s="1"/>
      <c r="F22720" s="1"/>
      <c r="G22720" s="1"/>
    </row>
    <row r="22721">
      <c r="B22721" s="36"/>
      <c r="C22721" s="36"/>
      <c r="E22721" s="1"/>
      <c r="F22721" s="1"/>
      <c r="G22721" s="1"/>
    </row>
    <row r="22722">
      <c r="B22722" s="36"/>
      <c r="C22722" s="36"/>
      <c r="E22722" s="1"/>
      <c r="F22722" s="1"/>
      <c r="G22722" s="1"/>
    </row>
    <row r="22723">
      <c r="B22723" s="36"/>
      <c r="C22723" s="36"/>
      <c r="E22723" s="1"/>
      <c r="F22723" s="1"/>
      <c r="G22723" s="1"/>
    </row>
    <row r="22724">
      <c r="B22724" s="36"/>
      <c r="C22724" s="36"/>
      <c r="E22724" s="1"/>
      <c r="F22724" s="1"/>
      <c r="G22724" s="1"/>
    </row>
    <row r="22725">
      <c r="B22725" s="36"/>
      <c r="C22725" s="36"/>
      <c r="E22725" s="1"/>
      <c r="F22725" s="1"/>
      <c r="G22725" s="1"/>
    </row>
    <row r="22726">
      <c r="B22726" s="36"/>
      <c r="C22726" s="36"/>
      <c r="E22726" s="1"/>
      <c r="F22726" s="1"/>
      <c r="G22726" s="1"/>
    </row>
    <row r="22727">
      <c r="B22727" s="36"/>
      <c r="C22727" s="36"/>
      <c r="E22727" s="1"/>
      <c r="F22727" s="1"/>
      <c r="G22727" s="1"/>
    </row>
    <row r="22728">
      <c r="B22728" s="36"/>
      <c r="C22728" s="36"/>
      <c r="E22728" s="1"/>
      <c r="F22728" s="1"/>
      <c r="G22728" s="1"/>
    </row>
    <row r="22729">
      <c r="B22729" s="36"/>
      <c r="C22729" s="36"/>
      <c r="E22729" s="1"/>
      <c r="F22729" s="1"/>
      <c r="G22729" s="1"/>
    </row>
    <row r="22730">
      <c r="B22730" s="36"/>
      <c r="C22730" s="36"/>
      <c r="E22730" s="1"/>
      <c r="F22730" s="1"/>
      <c r="G22730" s="1"/>
    </row>
    <row r="22731">
      <c r="B22731" s="36"/>
      <c r="C22731" s="36"/>
      <c r="E22731" s="1"/>
      <c r="F22731" s="1"/>
      <c r="G22731" s="1"/>
    </row>
    <row r="22732">
      <c r="B22732" s="36"/>
      <c r="C22732" s="36"/>
      <c r="E22732" s="1"/>
      <c r="F22732" s="1"/>
      <c r="G22732" s="1"/>
    </row>
    <row r="22733">
      <c r="B22733" s="36"/>
      <c r="C22733" s="36"/>
      <c r="E22733" s="1"/>
      <c r="F22733" s="1"/>
      <c r="G22733" s="1"/>
    </row>
    <row r="22734">
      <c r="B22734" s="36"/>
      <c r="C22734" s="36"/>
      <c r="E22734" s="1"/>
      <c r="F22734" s="1"/>
      <c r="G22734" s="1"/>
    </row>
    <row r="22735">
      <c r="B22735" s="36"/>
      <c r="C22735" s="36"/>
      <c r="E22735" s="1"/>
      <c r="F22735" s="1"/>
      <c r="G22735" s="1"/>
    </row>
    <row r="22736">
      <c r="B22736" s="36"/>
      <c r="C22736" s="36"/>
      <c r="E22736" s="1"/>
      <c r="F22736" s="1"/>
      <c r="G22736" s="1"/>
    </row>
    <row r="22737">
      <c r="B22737" s="36"/>
      <c r="C22737" s="36"/>
      <c r="E22737" s="1"/>
      <c r="F22737" s="1"/>
      <c r="G22737" s="1"/>
    </row>
    <row r="22738">
      <c r="B22738" s="36"/>
      <c r="C22738" s="36"/>
      <c r="E22738" s="1"/>
      <c r="F22738" s="1"/>
      <c r="G22738" s="1"/>
    </row>
    <row r="22739">
      <c r="B22739" s="36"/>
      <c r="C22739" s="36"/>
      <c r="E22739" s="1"/>
      <c r="F22739" s="1"/>
      <c r="G22739" s="1"/>
    </row>
    <row r="22740">
      <c r="B22740" s="36"/>
      <c r="C22740" s="36"/>
      <c r="E22740" s="1"/>
      <c r="F22740" s="1"/>
      <c r="G22740" s="1"/>
    </row>
    <row r="22741">
      <c r="B22741" s="36"/>
      <c r="C22741" s="36"/>
      <c r="E22741" s="1"/>
      <c r="F22741" s="1"/>
      <c r="G22741" s="1"/>
    </row>
    <row r="22742">
      <c r="B22742" s="36"/>
      <c r="C22742" s="36"/>
      <c r="E22742" s="1"/>
      <c r="F22742" s="1"/>
      <c r="G22742" s="1"/>
    </row>
    <row r="22743">
      <c r="B22743" s="36"/>
      <c r="C22743" s="36"/>
      <c r="E22743" s="1"/>
      <c r="F22743" s="1"/>
      <c r="G22743" s="1"/>
    </row>
    <row r="22744">
      <c r="B22744" s="36"/>
      <c r="C22744" s="36"/>
      <c r="E22744" s="1"/>
      <c r="F22744" s="1"/>
      <c r="G22744" s="1"/>
    </row>
    <row r="22745">
      <c r="B22745" s="36"/>
      <c r="C22745" s="36"/>
      <c r="E22745" s="1"/>
      <c r="F22745" s="1"/>
      <c r="G22745" s="1"/>
    </row>
    <row r="22746">
      <c r="B22746" s="36"/>
      <c r="C22746" s="36"/>
      <c r="E22746" s="1"/>
      <c r="F22746" s="1"/>
      <c r="G22746" s="1"/>
    </row>
    <row r="22747">
      <c r="B22747" s="36"/>
      <c r="C22747" s="36"/>
      <c r="E22747" s="1"/>
      <c r="F22747" s="1"/>
      <c r="G22747" s="1"/>
    </row>
    <row r="22748">
      <c r="B22748" s="36"/>
      <c r="C22748" s="36"/>
      <c r="E22748" s="1"/>
      <c r="F22748" s="1"/>
      <c r="G22748" s="1"/>
    </row>
    <row r="22749">
      <c r="B22749" s="36"/>
      <c r="C22749" s="36"/>
      <c r="E22749" s="1"/>
      <c r="F22749" s="1"/>
      <c r="G22749" s="1"/>
    </row>
    <row r="22750">
      <c r="B22750" s="36"/>
      <c r="C22750" s="36"/>
      <c r="E22750" s="1"/>
      <c r="F22750" s="1"/>
      <c r="G22750" s="1"/>
    </row>
    <row r="22751">
      <c r="B22751" s="36"/>
      <c r="C22751" s="36"/>
      <c r="E22751" s="1"/>
      <c r="F22751" s="1"/>
      <c r="G22751" s="1"/>
    </row>
    <row r="22752">
      <c r="B22752" s="36"/>
      <c r="C22752" s="36"/>
      <c r="E22752" s="1"/>
      <c r="F22752" s="1"/>
      <c r="G22752" s="1"/>
    </row>
    <row r="22753">
      <c r="B22753" s="36"/>
      <c r="C22753" s="36"/>
      <c r="E22753" s="1"/>
      <c r="F22753" s="1"/>
      <c r="G22753" s="1"/>
    </row>
    <row r="22754">
      <c r="B22754" s="36"/>
      <c r="C22754" s="36"/>
      <c r="E22754" s="1"/>
      <c r="F22754" s="1"/>
      <c r="G22754" s="1"/>
    </row>
    <row r="22755">
      <c r="B22755" s="36"/>
      <c r="C22755" s="36"/>
      <c r="E22755" s="1"/>
      <c r="F22755" s="1"/>
      <c r="G22755" s="1"/>
    </row>
    <row r="22756">
      <c r="B22756" s="36"/>
      <c r="C22756" s="36"/>
      <c r="E22756" s="1"/>
      <c r="F22756" s="1"/>
      <c r="G22756" s="1"/>
    </row>
    <row r="22757">
      <c r="B22757" s="36"/>
      <c r="C22757" s="36"/>
      <c r="E22757" s="1"/>
      <c r="F22757" s="1"/>
      <c r="G22757" s="1"/>
    </row>
    <row r="22758">
      <c r="B22758" s="36"/>
      <c r="C22758" s="36"/>
      <c r="E22758" s="1"/>
      <c r="F22758" s="1"/>
      <c r="G22758" s="1"/>
    </row>
    <row r="22759">
      <c r="B22759" s="36"/>
      <c r="C22759" s="36"/>
      <c r="E22759" s="1"/>
      <c r="F22759" s="1"/>
      <c r="G22759" s="1"/>
    </row>
    <row r="22760">
      <c r="B22760" s="36"/>
      <c r="C22760" s="36"/>
      <c r="E22760" s="1"/>
      <c r="F22760" s="1"/>
      <c r="G22760" s="1"/>
    </row>
    <row r="22761">
      <c r="B22761" s="36"/>
      <c r="C22761" s="36"/>
      <c r="E22761" s="1"/>
      <c r="F22761" s="1"/>
      <c r="G22761" s="1"/>
    </row>
    <row r="22762">
      <c r="B22762" s="36"/>
      <c r="C22762" s="36"/>
      <c r="E22762" s="1"/>
      <c r="F22762" s="1"/>
      <c r="G22762" s="1"/>
    </row>
    <row r="22763">
      <c r="B22763" s="36"/>
      <c r="C22763" s="36"/>
      <c r="E22763" s="1"/>
      <c r="F22763" s="1"/>
      <c r="G22763" s="1"/>
    </row>
    <row r="22764">
      <c r="B22764" s="36"/>
      <c r="C22764" s="36"/>
      <c r="E22764" s="1"/>
      <c r="F22764" s="1"/>
      <c r="G22764" s="1"/>
    </row>
    <row r="22765">
      <c r="B22765" s="36"/>
      <c r="C22765" s="36"/>
      <c r="E22765" s="1"/>
      <c r="F22765" s="1"/>
      <c r="G22765" s="1"/>
    </row>
    <row r="22766">
      <c r="B22766" s="36"/>
      <c r="C22766" s="36"/>
      <c r="E22766" s="1"/>
      <c r="F22766" s="1"/>
      <c r="G22766" s="1"/>
    </row>
    <row r="22767">
      <c r="B22767" s="36"/>
      <c r="C22767" s="36"/>
      <c r="E22767" s="1"/>
      <c r="F22767" s="1"/>
      <c r="G22767" s="1"/>
    </row>
    <row r="22768">
      <c r="B22768" s="36"/>
      <c r="C22768" s="36"/>
      <c r="E22768" s="1"/>
      <c r="F22768" s="1"/>
      <c r="G22768" s="1"/>
    </row>
    <row r="22769">
      <c r="B22769" s="36"/>
      <c r="C22769" s="36"/>
      <c r="E22769" s="1"/>
      <c r="F22769" s="1"/>
      <c r="G22769" s="1"/>
    </row>
    <row r="22770">
      <c r="B22770" s="36"/>
      <c r="C22770" s="36"/>
      <c r="E22770" s="1"/>
      <c r="F22770" s="1"/>
      <c r="G22770" s="1"/>
    </row>
    <row r="22771">
      <c r="B22771" s="36"/>
      <c r="C22771" s="36"/>
      <c r="E22771" s="1"/>
      <c r="F22771" s="1"/>
      <c r="G22771" s="1"/>
    </row>
    <row r="22772">
      <c r="B22772" s="36"/>
      <c r="C22772" s="36"/>
      <c r="E22772" s="1"/>
      <c r="F22772" s="1"/>
      <c r="G22772" s="1"/>
    </row>
    <row r="22773">
      <c r="B22773" s="36"/>
      <c r="C22773" s="36"/>
      <c r="E22773" s="1"/>
      <c r="F22773" s="1"/>
      <c r="G22773" s="1"/>
    </row>
    <row r="22774">
      <c r="B22774" s="36"/>
      <c r="C22774" s="36"/>
      <c r="E22774" s="1"/>
      <c r="F22774" s="1"/>
      <c r="G22774" s="1"/>
    </row>
    <row r="22775">
      <c r="B22775" s="36"/>
      <c r="C22775" s="36"/>
      <c r="E22775" s="1"/>
      <c r="F22775" s="1"/>
      <c r="G22775" s="1"/>
    </row>
    <row r="22776">
      <c r="B22776" s="36"/>
      <c r="C22776" s="36"/>
      <c r="E22776" s="1"/>
      <c r="F22776" s="1"/>
      <c r="G22776" s="1"/>
    </row>
    <row r="22777">
      <c r="B22777" s="36"/>
      <c r="C22777" s="36"/>
      <c r="E22777" s="1"/>
      <c r="F22777" s="1"/>
      <c r="G22777" s="1"/>
    </row>
    <row r="22778">
      <c r="B22778" s="36"/>
      <c r="C22778" s="36"/>
      <c r="E22778" s="1"/>
      <c r="F22778" s="1"/>
      <c r="G22778" s="1"/>
    </row>
    <row r="22779">
      <c r="B22779" s="36"/>
      <c r="C22779" s="36"/>
      <c r="E22779" s="1"/>
      <c r="F22779" s="1"/>
      <c r="G22779" s="1"/>
    </row>
    <row r="22780">
      <c r="B22780" s="36"/>
      <c r="C22780" s="36"/>
      <c r="E22780" s="1"/>
      <c r="F22780" s="1"/>
      <c r="G22780" s="1"/>
    </row>
    <row r="22781">
      <c r="B22781" s="36"/>
      <c r="C22781" s="36"/>
      <c r="E22781" s="1"/>
      <c r="F22781" s="1"/>
      <c r="G22781" s="1"/>
    </row>
    <row r="22782">
      <c r="B22782" s="36"/>
      <c r="C22782" s="36"/>
      <c r="E22782" s="1"/>
      <c r="F22782" s="1"/>
      <c r="G22782" s="1"/>
    </row>
    <row r="22783">
      <c r="B22783" s="36"/>
      <c r="C22783" s="36"/>
      <c r="E22783" s="1"/>
      <c r="F22783" s="1"/>
      <c r="G22783" s="1"/>
    </row>
    <row r="22784">
      <c r="B22784" s="36"/>
      <c r="C22784" s="36"/>
      <c r="E22784" s="1"/>
      <c r="F22784" s="1"/>
      <c r="G22784" s="1"/>
    </row>
    <row r="22785">
      <c r="B22785" s="36"/>
      <c r="C22785" s="36"/>
      <c r="E22785" s="1"/>
      <c r="F22785" s="1"/>
      <c r="G22785" s="1"/>
    </row>
    <row r="22786">
      <c r="B22786" s="36"/>
      <c r="C22786" s="36"/>
      <c r="E22786" s="1"/>
      <c r="F22786" s="1"/>
      <c r="G22786" s="1"/>
    </row>
    <row r="22787">
      <c r="B22787" s="36"/>
      <c r="C22787" s="36"/>
      <c r="E22787" s="1"/>
      <c r="F22787" s="1"/>
      <c r="G22787" s="1"/>
    </row>
    <row r="22788">
      <c r="B22788" s="36"/>
      <c r="C22788" s="36"/>
      <c r="E22788" s="1"/>
      <c r="F22788" s="1"/>
      <c r="G22788" s="1"/>
    </row>
    <row r="22789">
      <c r="B22789" s="36"/>
      <c r="C22789" s="36"/>
      <c r="E22789" s="1"/>
      <c r="F22789" s="1"/>
      <c r="G22789" s="1"/>
    </row>
    <row r="22790">
      <c r="B22790" s="36"/>
      <c r="C22790" s="36"/>
      <c r="E22790" s="1"/>
      <c r="F22790" s="1"/>
      <c r="G22790" s="1"/>
    </row>
    <row r="22791">
      <c r="B22791" s="36"/>
      <c r="C22791" s="36"/>
      <c r="E22791" s="1"/>
      <c r="F22791" s="1"/>
      <c r="G22791" s="1"/>
    </row>
    <row r="22792">
      <c r="B22792" s="36"/>
      <c r="C22792" s="36"/>
      <c r="E22792" s="1"/>
      <c r="F22792" s="1"/>
      <c r="G22792" s="1"/>
    </row>
    <row r="22793">
      <c r="B22793" s="36"/>
      <c r="C22793" s="36"/>
      <c r="E22793" s="1"/>
      <c r="F22793" s="1"/>
      <c r="G22793" s="1"/>
    </row>
    <row r="22794">
      <c r="B22794" s="36"/>
      <c r="C22794" s="36"/>
      <c r="E22794" s="1"/>
      <c r="F22794" s="1"/>
      <c r="G22794" s="1"/>
    </row>
    <row r="22795">
      <c r="B22795" s="36"/>
      <c r="C22795" s="36"/>
      <c r="E22795" s="1"/>
      <c r="F22795" s="1"/>
      <c r="G22795" s="1"/>
    </row>
    <row r="22796">
      <c r="B22796" s="36"/>
      <c r="C22796" s="36"/>
      <c r="E22796" s="1"/>
      <c r="F22796" s="1"/>
      <c r="G22796" s="1"/>
    </row>
    <row r="22797">
      <c r="B22797" s="36"/>
      <c r="C22797" s="36"/>
      <c r="E22797" s="1"/>
      <c r="F22797" s="1"/>
      <c r="G22797" s="1"/>
    </row>
    <row r="22798">
      <c r="B22798" s="36"/>
      <c r="C22798" s="36"/>
      <c r="E22798" s="1"/>
      <c r="F22798" s="1"/>
      <c r="G22798" s="1"/>
    </row>
    <row r="22799">
      <c r="B22799" s="36"/>
      <c r="C22799" s="36"/>
      <c r="E22799" s="1"/>
      <c r="F22799" s="1"/>
      <c r="G22799" s="1"/>
    </row>
    <row r="22800">
      <c r="B22800" s="36"/>
      <c r="C22800" s="36"/>
      <c r="E22800" s="1"/>
      <c r="F22800" s="1"/>
      <c r="G22800" s="1"/>
    </row>
    <row r="22801">
      <c r="B22801" s="36"/>
      <c r="C22801" s="36"/>
      <c r="E22801" s="1"/>
      <c r="F22801" s="1"/>
      <c r="G22801" s="1"/>
    </row>
    <row r="22802">
      <c r="B22802" s="36"/>
      <c r="C22802" s="36"/>
      <c r="E22802" s="1"/>
      <c r="F22802" s="1"/>
      <c r="G22802" s="1"/>
    </row>
    <row r="22803">
      <c r="B22803" s="36"/>
      <c r="C22803" s="36"/>
      <c r="E22803" s="1"/>
      <c r="F22803" s="1"/>
      <c r="G22803" s="1"/>
    </row>
    <row r="22804">
      <c r="B22804" s="36"/>
      <c r="C22804" s="36"/>
      <c r="E22804" s="1"/>
      <c r="F22804" s="1"/>
      <c r="G22804" s="1"/>
    </row>
    <row r="22805">
      <c r="B22805" s="36"/>
      <c r="C22805" s="36"/>
      <c r="E22805" s="1"/>
      <c r="F22805" s="1"/>
      <c r="G22805" s="1"/>
    </row>
    <row r="22806">
      <c r="B22806" s="36"/>
      <c r="C22806" s="36"/>
      <c r="E22806" s="1"/>
      <c r="F22806" s="1"/>
      <c r="G22806" s="1"/>
    </row>
    <row r="22807">
      <c r="B22807" s="36"/>
      <c r="C22807" s="36"/>
      <c r="E22807" s="1"/>
      <c r="F22807" s="1"/>
      <c r="G22807" s="1"/>
    </row>
    <row r="22808">
      <c r="B22808" s="36"/>
      <c r="C22808" s="36"/>
      <c r="E22808" s="1"/>
      <c r="F22808" s="1"/>
      <c r="G22808" s="1"/>
    </row>
    <row r="22809">
      <c r="B22809" s="36"/>
      <c r="C22809" s="36"/>
      <c r="E22809" s="1"/>
      <c r="F22809" s="1"/>
      <c r="G22809" s="1"/>
    </row>
    <row r="22810">
      <c r="B22810" s="36"/>
      <c r="C22810" s="36"/>
      <c r="E22810" s="1"/>
      <c r="F22810" s="1"/>
      <c r="G22810" s="1"/>
    </row>
    <row r="22811">
      <c r="B22811" s="36"/>
      <c r="C22811" s="36"/>
      <c r="E22811" s="1"/>
      <c r="F22811" s="1"/>
      <c r="G22811" s="1"/>
    </row>
    <row r="22812">
      <c r="B22812" s="36"/>
      <c r="C22812" s="36"/>
      <c r="E22812" s="1"/>
      <c r="F22812" s="1"/>
      <c r="G22812" s="1"/>
    </row>
    <row r="22813">
      <c r="B22813" s="36"/>
      <c r="C22813" s="36"/>
      <c r="E22813" s="1"/>
      <c r="F22813" s="1"/>
      <c r="G22813" s="1"/>
    </row>
    <row r="22814">
      <c r="B22814" s="36"/>
      <c r="C22814" s="36"/>
      <c r="E22814" s="1"/>
      <c r="F22814" s="1"/>
      <c r="G22814" s="1"/>
    </row>
    <row r="22815">
      <c r="B22815" s="36"/>
      <c r="C22815" s="36"/>
      <c r="E22815" s="1"/>
      <c r="F22815" s="1"/>
      <c r="G22815" s="1"/>
    </row>
    <row r="22816">
      <c r="B22816" s="36"/>
      <c r="C22816" s="36"/>
      <c r="E22816" s="1"/>
      <c r="F22816" s="1"/>
      <c r="G22816" s="1"/>
    </row>
    <row r="22817">
      <c r="B22817" s="36"/>
      <c r="C22817" s="36"/>
      <c r="E22817" s="1"/>
      <c r="F22817" s="1"/>
      <c r="G22817" s="1"/>
    </row>
    <row r="22818">
      <c r="B22818" s="36"/>
      <c r="C22818" s="36"/>
      <c r="E22818" s="1"/>
      <c r="F22818" s="1"/>
      <c r="G22818" s="1"/>
    </row>
    <row r="22819">
      <c r="B22819" s="36"/>
      <c r="C22819" s="36"/>
      <c r="E22819" s="1"/>
      <c r="F22819" s="1"/>
      <c r="G22819" s="1"/>
    </row>
    <row r="22820">
      <c r="B22820" s="36"/>
      <c r="C22820" s="36"/>
      <c r="E22820" s="1"/>
      <c r="F22820" s="1"/>
      <c r="G22820" s="1"/>
    </row>
    <row r="22821">
      <c r="B22821" s="36"/>
      <c r="C22821" s="36"/>
      <c r="E22821" s="1"/>
      <c r="F22821" s="1"/>
      <c r="G22821" s="1"/>
    </row>
    <row r="22822">
      <c r="B22822" s="36"/>
      <c r="C22822" s="36"/>
      <c r="E22822" s="1"/>
      <c r="F22822" s="1"/>
      <c r="G22822" s="1"/>
    </row>
    <row r="22823">
      <c r="B22823" s="36"/>
      <c r="C22823" s="36"/>
      <c r="E22823" s="1"/>
      <c r="F22823" s="1"/>
      <c r="G22823" s="1"/>
    </row>
    <row r="22824">
      <c r="B22824" s="36"/>
      <c r="C22824" s="36"/>
      <c r="E22824" s="1"/>
      <c r="F22824" s="1"/>
      <c r="G22824" s="1"/>
    </row>
    <row r="22825">
      <c r="B22825" s="36"/>
      <c r="C22825" s="36"/>
      <c r="E22825" s="1"/>
      <c r="F22825" s="1"/>
      <c r="G22825" s="1"/>
    </row>
    <row r="22826">
      <c r="B22826" s="36"/>
      <c r="C22826" s="36"/>
      <c r="E22826" s="1"/>
      <c r="F22826" s="1"/>
      <c r="G22826" s="1"/>
    </row>
    <row r="22827">
      <c r="B22827" s="36"/>
      <c r="C22827" s="36"/>
      <c r="E22827" s="1"/>
      <c r="F22827" s="1"/>
      <c r="G22827" s="1"/>
    </row>
    <row r="22828">
      <c r="B22828" s="36"/>
      <c r="C22828" s="36"/>
      <c r="E22828" s="1"/>
      <c r="F22828" s="1"/>
      <c r="G22828" s="1"/>
    </row>
    <row r="22829">
      <c r="B22829" s="36"/>
      <c r="C22829" s="36"/>
      <c r="E22829" s="1"/>
      <c r="F22829" s="1"/>
      <c r="G22829" s="1"/>
    </row>
    <row r="22830">
      <c r="B22830" s="36"/>
      <c r="C22830" s="36"/>
      <c r="E22830" s="1"/>
      <c r="F22830" s="1"/>
      <c r="G22830" s="1"/>
    </row>
    <row r="22831">
      <c r="B22831" s="36"/>
      <c r="C22831" s="36"/>
      <c r="E22831" s="1"/>
      <c r="F22831" s="1"/>
      <c r="G22831" s="1"/>
    </row>
    <row r="22832">
      <c r="B22832" s="36"/>
      <c r="C22832" s="36"/>
      <c r="E22832" s="1"/>
      <c r="F22832" s="1"/>
      <c r="G22832" s="1"/>
    </row>
    <row r="22833">
      <c r="B22833" s="36"/>
      <c r="C22833" s="36"/>
      <c r="E22833" s="1"/>
      <c r="F22833" s="1"/>
      <c r="G22833" s="1"/>
    </row>
    <row r="22834">
      <c r="B22834" s="36"/>
      <c r="C22834" s="36"/>
      <c r="E22834" s="1"/>
      <c r="F22834" s="1"/>
      <c r="G22834" s="1"/>
    </row>
    <row r="22835">
      <c r="B22835" s="36"/>
      <c r="C22835" s="36"/>
      <c r="E22835" s="1"/>
      <c r="F22835" s="1"/>
      <c r="G22835" s="1"/>
    </row>
    <row r="22836">
      <c r="B22836" s="36"/>
      <c r="C22836" s="36"/>
      <c r="E22836" s="1"/>
      <c r="F22836" s="1"/>
      <c r="G22836" s="1"/>
    </row>
    <row r="22837">
      <c r="B22837" s="36"/>
      <c r="C22837" s="36"/>
      <c r="E22837" s="1"/>
      <c r="F22837" s="1"/>
      <c r="G22837" s="1"/>
    </row>
    <row r="22838">
      <c r="B22838" s="36"/>
      <c r="C22838" s="36"/>
      <c r="E22838" s="1"/>
      <c r="F22838" s="1"/>
      <c r="G22838" s="1"/>
    </row>
    <row r="22839">
      <c r="B22839" s="36"/>
      <c r="C22839" s="36"/>
      <c r="E22839" s="1"/>
      <c r="F22839" s="1"/>
      <c r="G22839" s="1"/>
    </row>
    <row r="22840">
      <c r="B22840" s="36"/>
      <c r="C22840" s="36"/>
      <c r="E22840" s="1"/>
      <c r="F22840" s="1"/>
      <c r="G22840" s="1"/>
    </row>
    <row r="22841">
      <c r="B22841" s="36"/>
      <c r="C22841" s="36"/>
      <c r="E22841" s="1"/>
      <c r="F22841" s="1"/>
      <c r="G22841" s="1"/>
    </row>
    <row r="22842">
      <c r="B22842" s="36"/>
      <c r="C22842" s="36"/>
      <c r="E22842" s="1"/>
      <c r="F22842" s="1"/>
      <c r="G22842" s="1"/>
    </row>
    <row r="22843">
      <c r="B22843" s="36"/>
      <c r="C22843" s="36"/>
      <c r="E22843" s="1"/>
      <c r="F22843" s="1"/>
      <c r="G22843" s="1"/>
    </row>
    <row r="22844">
      <c r="B22844" s="36"/>
      <c r="C22844" s="36"/>
      <c r="E22844" s="1"/>
      <c r="F22844" s="1"/>
      <c r="G22844" s="1"/>
    </row>
    <row r="22845">
      <c r="B22845" s="36"/>
      <c r="C22845" s="36"/>
      <c r="E22845" s="1"/>
      <c r="F22845" s="1"/>
      <c r="G22845" s="1"/>
    </row>
    <row r="22846">
      <c r="B22846" s="36"/>
      <c r="C22846" s="36"/>
      <c r="E22846" s="1"/>
      <c r="F22846" s="1"/>
      <c r="G22846" s="1"/>
    </row>
    <row r="22847">
      <c r="B22847" s="36"/>
      <c r="C22847" s="36"/>
      <c r="E22847" s="1"/>
      <c r="F22847" s="1"/>
      <c r="G22847" s="1"/>
    </row>
    <row r="22848">
      <c r="B22848" s="36"/>
      <c r="C22848" s="36"/>
      <c r="E22848" s="1"/>
      <c r="F22848" s="1"/>
      <c r="G22848" s="1"/>
    </row>
    <row r="22849">
      <c r="B22849" s="36"/>
      <c r="C22849" s="36"/>
      <c r="E22849" s="1"/>
      <c r="F22849" s="1"/>
      <c r="G22849" s="1"/>
    </row>
    <row r="22850">
      <c r="B22850" s="36"/>
      <c r="C22850" s="36"/>
      <c r="E22850" s="1"/>
      <c r="F22850" s="1"/>
      <c r="G22850" s="1"/>
    </row>
    <row r="22851">
      <c r="B22851" s="36"/>
      <c r="C22851" s="36"/>
      <c r="E22851" s="1"/>
      <c r="F22851" s="1"/>
      <c r="G22851" s="1"/>
    </row>
    <row r="22852">
      <c r="B22852" s="36"/>
      <c r="C22852" s="36"/>
      <c r="E22852" s="1"/>
      <c r="F22852" s="1"/>
      <c r="G22852" s="1"/>
    </row>
    <row r="22853">
      <c r="B22853" s="36"/>
      <c r="C22853" s="36"/>
      <c r="E22853" s="1"/>
      <c r="F22853" s="1"/>
      <c r="G22853" s="1"/>
    </row>
    <row r="22854">
      <c r="B22854" s="36"/>
      <c r="C22854" s="36"/>
      <c r="E22854" s="1"/>
      <c r="F22854" s="1"/>
      <c r="G22854" s="1"/>
    </row>
    <row r="22855">
      <c r="B22855" s="36"/>
      <c r="C22855" s="36"/>
      <c r="E22855" s="1"/>
      <c r="F22855" s="1"/>
      <c r="G22855" s="1"/>
    </row>
    <row r="22856">
      <c r="B22856" s="36"/>
      <c r="C22856" s="36"/>
      <c r="E22856" s="1"/>
      <c r="F22856" s="1"/>
      <c r="G22856" s="1"/>
    </row>
    <row r="22857">
      <c r="B22857" s="36"/>
      <c r="C22857" s="36"/>
      <c r="E22857" s="1"/>
      <c r="F22857" s="1"/>
      <c r="G22857" s="1"/>
    </row>
    <row r="22858">
      <c r="B22858" s="36"/>
      <c r="C22858" s="36"/>
      <c r="E22858" s="1"/>
      <c r="F22858" s="1"/>
      <c r="G22858" s="1"/>
    </row>
    <row r="22859">
      <c r="B22859" s="36"/>
      <c r="C22859" s="36"/>
      <c r="E22859" s="1"/>
      <c r="F22859" s="1"/>
      <c r="G22859" s="1"/>
    </row>
    <row r="22860">
      <c r="B22860" s="36"/>
      <c r="C22860" s="36"/>
      <c r="E22860" s="1"/>
      <c r="F22860" s="1"/>
      <c r="G22860" s="1"/>
    </row>
    <row r="22861">
      <c r="B22861" s="36"/>
      <c r="C22861" s="36"/>
      <c r="E22861" s="1"/>
      <c r="F22861" s="1"/>
      <c r="G22861" s="1"/>
    </row>
    <row r="22862">
      <c r="B22862" s="36"/>
      <c r="C22862" s="36"/>
      <c r="E22862" s="1"/>
      <c r="F22862" s="1"/>
      <c r="G22862" s="1"/>
    </row>
    <row r="22863">
      <c r="B22863" s="36"/>
      <c r="C22863" s="36"/>
      <c r="E22863" s="1"/>
      <c r="F22863" s="1"/>
      <c r="G22863" s="1"/>
    </row>
    <row r="22864">
      <c r="B22864" s="36"/>
      <c r="C22864" s="36"/>
      <c r="E22864" s="1"/>
      <c r="F22864" s="1"/>
      <c r="G22864" s="1"/>
    </row>
    <row r="22865">
      <c r="B22865" s="36"/>
      <c r="C22865" s="36"/>
      <c r="E22865" s="1"/>
      <c r="F22865" s="1"/>
      <c r="G22865" s="1"/>
    </row>
    <row r="22866">
      <c r="B22866" s="36"/>
      <c r="C22866" s="36"/>
      <c r="E22866" s="1"/>
      <c r="F22866" s="1"/>
      <c r="G22866" s="1"/>
    </row>
    <row r="22867">
      <c r="B22867" s="36"/>
      <c r="C22867" s="36"/>
      <c r="E22867" s="1"/>
      <c r="F22867" s="1"/>
      <c r="G22867" s="1"/>
    </row>
    <row r="22868">
      <c r="B22868" s="36"/>
      <c r="C22868" s="36"/>
      <c r="E22868" s="1"/>
      <c r="F22868" s="1"/>
      <c r="G22868" s="1"/>
    </row>
    <row r="22869">
      <c r="B22869" s="36"/>
      <c r="C22869" s="36"/>
      <c r="E22869" s="1"/>
      <c r="F22869" s="1"/>
      <c r="G22869" s="1"/>
    </row>
    <row r="22870">
      <c r="B22870" s="36"/>
      <c r="C22870" s="36"/>
      <c r="E22870" s="1"/>
      <c r="F22870" s="1"/>
      <c r="G22870" s="1"/>
    </row>
    <row r="22871">
      <c r="B22871" s="36"/>
      <c r="C22871" s="36"/>
      <c r="E22871" s="1"/>
      <c r="F22871" s="1"/>
      <c r="G22871" s="1"/>
    </row>
    <row r="22872">
      <c r="B22872" s="36"/>
      <c r="C22872" s="36"/>
      <c r="E22872" s="1"/>
      <c r="F22872" s="1"/>
      <c r="G22872" s="1"/>
    </row>
    <row r="22873">
      <c r="B22873" s="36"/>
      <c r="C22873" s="36"/>
      <c r="E22873" s="1"/>
      <c r="F22873" s="1"/>
      <c r="G22873" s="1"/>
    </row>
    <row r="22874">
      <c r="B22874" s="36"/>
      <c r="C22874" s="36"/>
      <c r="E22874" s="1"/>
      <c r="F22874" s="1"/>
      <c r="G22874" s="1"/>
    </row>
    <row r="22875">
      <c r="B22875" s="36"/>
      <c r="C22875" s="36"/>
      <c r="E22875" s="1"/>
      <c r="F22875" s="1"/>
      <c r="G22875" s="1"/>
    </row>
    <row r="22876">
      <c r="B22876" s="36"/>
      <c r="C22876" s="36"/>
      <c r="E22876" s="1"/>
      <c r="F22876" s="1"/>
      <c r="G22876" s="1"/>
    </row>
    <row r="22877">
      <c r="B22877" s="36"/>
      <c r="C22877" s="36"/>
      <c r="E22877" s="1"/>
      <c r="F22877" s="1"/>
      <c r="G22877" s="1"/>
    </row>
    <row r="22878">
      <c r="B22878" s="36"/>
      <c r="C22878" s="36"/>
      <c r="E22878" s="1"/>
      <c r="F22878" s="1"/>
      <c r="G22878" s="1"/>
    </row>
    <row r="22879">
      <c r="B22879" s="36"/>
      <c r="C22879" s="36"/>
      <c r="E22879" s="1"/>
      <c r="F22879" s="1"/>
      <c r="G22879" s="1"/>
    </row>
    <row r="22880">
      <c r="B22880" s="36"/>
      <c r="C22880" s="36"/>
      <c r="E22880" s="1"/>
      <c r="F22880" s="1"/>
      <c r="G22880" s="1"/>
    </row>
    <row r="22881">
      <c r="B22881" s="36"/>
      <c r="C22881" s="36"/>
      <c r="E22881" s="1"/>
      <c r="F22881" s="1"/>
      <c r="G22881" s="1"/>
    </row>
    <row r="22882">
      <c r="B22882" s="36"/>
      <c r="C22882" s="36"/>
      <c r="E22882" s="1"/>
      <c r="F22882" s="1"/>
      <c r="G22882" s="1"/>
    </row>
    <row r="22883">
      <c r="B22883" s="36"/>
      <c r="C22883" s="36"/>
      <c r="E22883" s="1"/>
      <c r="F22883" s="1"/>
      <c r="G22883" s="1"/>
    </row>
    <row r="22884">
      <c r="B22884" s="36"/>
      <c r="C22884" s="36"/>
      <c r="E22884" s="1"/>
      <c r="F22884" s="1"/>
      <c r="G22884" s="1"/>
    </row>
    <row r="22885">
      <c r="B22885" s="36"/>
      <c r="C22885" s="36"/>
      <c r="E22885" s="1"/>
      <c r="F22885" s="1"/>
      <c r="G22885" s="1"/>
    </row>
    <row r="22886">
      <c r="B22886" s="36"/>
      <c r="C22886" s="36"/>
      <c r="E22886" s="1"/>
      <c r="F22886" s="1"/>
      <c r="G22886" s="1"/>
    </row>
    <row r="22887">
      <c r="B22887" s="36"/>
      <c r="C22887" s="36"/>
      <c r="E22887" s="1"/>
      <c r="F22887" s="1"/>
      <c r="G22887" s="1"/>
    </row>
    <row r="22888">
      <c r="B22888" s="36"/>
      <c r="C22888" s="36"/>
      <c r="E22888" s="1"/>
      <c r="F22888" s="1"/>
      <c r="G22888" s="1"/>
    </row>
    <row r="22889">
      <c r="B22889" s="36"/>
      <c r="C22889" s="36"/>
      <c r="E22889" s="1"/>
      <c r="F22889" s="1"/>
      <c r="G22889" s="1"/>
    </row>
    <row r="22890">
      <c r="B22890" s="36"/>
      <c r="C22890" s="36"/>
      <c r="E22890" s="1"/>
      <c r="F22890" s="1"/>
      <c r="G22890" s="1"/>
    </row>
    <row r="22891">
      <c r="B22891" s="36"/>
      <c r="C22891" s="36"/>
      <c r="E22891" s="1"/>
      <c r="F22891" s="1"/>
      <c r="G22891" s="1"/>
    </row>
    <row r="22892">
      <c r="B22892" s="36"/>
      <c r="C22892" s="36"/>
      <c r="E22892" s="1"/>
      <c r="F22892" s="1"/>
      <c r="G22892" s="1"/>
    </row>
    <row r="22893">
      <c r="B22893" s="36"/>
      <c r="C22893" s="36"/>
      <c r="E22893" s="1"/>
      <c r="F22893" s="1"/>
      <c r="G22893" s="1"/>
    </row>
    <row r="22894">
      <c r="B22894" s="36"/>
      <c r="C22894" s="36"/>
      <c r="E22894" s="1"/>
      <c r="F22894" s="1"/>
      <c r="G22894" s="1"/>
    </row>
    <row r="22895">
      <c r="B22895" s="36"/>
      <c r="C22895" s="36"/>
      <c r="E22895" s="1"/>
      <c r="F22895" s="1"/>
      <c r="G22895" s="1"/>
    </row>
    <row r="22896">
      <c r="B22896" s="36"/>
      <c r="C22896" s="36"/>
      <c r="E22896" s="1"/>
      <c r="F22896" s="1"/>
      <c r="G22896" s="1"/>
    </row>
    <row r="22897">
      <c r="B22897" s="36"/>
      <c r="C22897" s="36"/>
      <c r="E22897" s="1"/>
      <c r="F22897" s="1"/>
      <c r="G22897" s="1"/>
    </row>
    <row r="22898">
      <c r="B22898" s="36"/>
      <c r="C22898" s="36"/>
      <c r="E22898" s="1"/>
      <c r="F22898" s="1"/>
      <c r="G22898" s="1"/>
    </row>
    <row r="22899">
      <c r="B22899" s="36"/>
      <c r="C22899" s="36"/>
      <c r="E22899" s="1"/>
      <c r="F22899" s="1"/>
      <c r="G22899" s="1"/>
    </row>
    <row r="22900">
      <c r="B22900" s="36"/>
      <c r="C22900" s="36"/>
      <c r="E22900" s="1"/>
      <c r="F22900" s="1"/>
      <c r="G22900" s="1"/>
    </row>
    <row r="22901">
      <c r="B22901" s="36"/>
      <c r="C22901" s="36"/>
      <c r="E22901" s="1"/>
      <c r="F22901" s="1"/>
      <c r="G22901" s="1"/>
    </row>
    <row r="22902">
      <c r="B22902" s="36"/>
      <c r="C22902" s="36"/>
      <c r="E22902" s="1"/>
      <c r="F22902" s="1"/>
      <c r="G22902" s="1"/>
    </row>
    <row r="22903">
      <c r="B22903" s="36"/>
      <c r="C22903" s="36"/>
      <c r="E22903" s="1"/>
      <c r="F22903" s="1"/>
      <c r="G22903" s="1"/>
    </row>
    <row r="22904">
      <c r="B22904" s="36"/>
      <c r="C22904" s="36"/>
      <c r="E22904" s="1"/>
      <c r="F22904" s="1"/>
      <c r="G22904" s="1"/>
    </row>
    <row r="22905">
      <c r="B22905" s="36"/>
      <c r="C22905" s="36"/>
      <c r="E22905" s="1"/>
      <c r="F22905" s="1"/>
      <c r="G22905" s="1"/>
    </row>
    <row r="22906">
      <c r="B22906" s="36"/>
      <c r="C22906" s="36"/>
      <c r="E22906" s="1"/>
      <c r="F22906" s="1"/>
      <c r="G22906" s="1"/>
    </row>
    <row r="22907">
      <c r="B22907" s="36"/>
      <c r="C22907" s="36"/>
      <c r="E22907" s="1"/>
      <c r="F22907" s="1"/>
      <c r="G22907" s="1"/>
    </row>
    <row r="22908">
      <c r="B22908" s="36"/>
      <c r="C22908" s="36"/>
      <c r="E22908" s="1"/>
      <c r="F22908" s="1"/>
      <c r="G22908" s="1"/>
    </row>
    <row r="22909">
      <c r="B22909" s="36"/>
      <c r="C22909" s="36"/>
      <c r="E22909" s="1"/>
      <c r="F22909" s="1"/>
      <c r="G22909" s="1"/>
    </row>
    <row r="22910">
      <c r="B22910" s="36"/>
      <c r="C22910" s="36"/>
      <c r="E22910" s="1"/>
      <c r="F22910" s="1"/>
      <c r="G22910" s="1"/>
    </row>
    <row r="22911">
      <c r="B22911" s="36"/>
      <c r="C22911" s="36"/>
      <c r="E22911" s="1"/>
      <c r="F22911" s="1"/>
      <c r="G22911" s="1"/>
    </row>
    <row r="22912">
      <c r="B22912" s="36"/>
      <c r="C22912" s="36"/>
      <c r="E22912" s="1"/>
      <c r="F22912" s="1"/>
      <c r="G22912" s="1"/>
    </row>
    <row r="22913">
      <c r="B22913" s="36"/>
      <c r="C22913" s="36"/>
      <c r="E22913" s="1"/>
      <c r="F22913" s="1"/>
      <c r="G22913" s="1"/>
    </row>
    <row r="22914">
      <c r="B22914" s="36"/>
      <c r="C22914" s="36"/>
      <c r="E22914" s="1"/>
      <c r="F22914" s="1"/>
      <c r="G22914" s="1"/>
    </row>
    <row r="22915">
      <c r="B22915" s="36"/>
      <c r="C22915" s="36"/>
      <c r="E22915" s="1"/>
      <c r="F22915" s="1"/>
      <c r="G22915" s="1"/>
    </row>
    <row r="22916">
      <c r="B22916" s="36"/>
      <c r="C22916" s="36"/>
      <c r="E22916" s="1"/>
      <c r="F22916" s="1"/>
      <c r="G22916" s="1"/>
    </row>
    <row r="22917">
      <c r="B22917" s="36"/>
      <c r="C22917" s="36"/>
      <c r="E22917" s="1"/>
      <c r="F22917" s="1"/>
      <c r="G22917" s="1"/>
    </row>
    <row r="22918">
      <c r="B22918" s="36"/>
      <c r="C22918" s="36"/>
      <c r="E22918" s="1"/>
      <c r="F22918" s="1"/>
      <c r="G22918" s="1"/>
    </row>
    <row r="22919">
      <c r="B22919" s="36"/>
      <c r="C22919" s="36"/>
      <c r="E22919" s="1"/>
      <c r="F22919" s="1"/>
      <c r="G22919" s="1"/>
    </row>
    <row r="22920">
      <c r="B22920" s="36"/>
      <c r="C22920" s="36"/>
      <c r="E22920" s="1"/>
      <c r="F22920" s="1"/>
      <c r="G22920" s="1"/>
    </row>
    <row r="22921">
      <c r="B22921" s="36"/>
      <c r="C22921" s="36"/>
      <c r="E22921" s="1"/>
      <c r="F22921" s="1"/>
      <c r="G22921" s="1"/>
    </row>
    <row r="22922">
      <c r="B22922" s="36"/>
      <c r="C22922" s="36"/>
      <c r="E22922" s="1"/>
      <c r="F22922" s="1"/>
      <c r="G22922" s="1"/>
    </row>
    <row r="22923">
      <c r="B22923" s="36"/>
      <c r="C22923" s="36"/>
      <c r="E22923" s="1"/>
      <c r="F22923" s="1"/>
      <c r="G22923" s="1"/>
    </row>
    <row r="22924">
      <c r="B22924" s="36"/>
      <c r="C22924" s="36"/>
      <c r="E22924" s="1"/>
      <c r="F22924" s="1"/>
      <c r="G22924" s="1"/>
    </row>
    <row r="22925">
      <c r="B22925" s="36"/>
      <c r="C22925" s="36"/>
      <c r="E22925" s="1"/>
      <c r="F22925" s="1"/>
      <c r="G22925" s="1"/>
    </row>
    <row r="22926">
      <c r="B22926" s="36"/>
      <c r="C22926" s="36"/>
      <c r="E22926" s="1"/>
      <c r="F22926" s="1"/>
      <c r="G22926" s="1"/>
    </row>
    <row r="22927">
      <c r="B22927" s="36"/>
      <c r="C22927" s="36"/>
      <c r="E22927" s="1"/>
      <c r="F22927" s="1"/>
      <c r="G22927" s="1"/>
    </row>
    <row r="22928">
      <c r="B22928" s="36"/>
      <c r="C22928" s="36"/>
      <c r="E22928" s="1"/>
      <c r="F22928" s="1"/>
      <c r="G22928" s="1"/>
    </row>
    <row r="22929">
      <c r="B22929" s="36"/>
      <c r="C22929" s="36"/>
      <c r="E22929" s="1"/>
      <c r="F22929" s="1"/>
      <c r="G22929" s="1"/>
    </row>
    <row r="22930">
      <c r="B22930" s="36"/>
      <c r="C22930" s="36"/>
      <c r="E22930" s="1"/>
      <c r="F22930" s="1"/>
      <c r="G22930" s="1"/>
    </row>
    <row r="22931">
      <c r="B22931" s="36"/>
      <c r="C22931" s="36"/>
      <c r="E22931" s="1"/>
      <c r="F22931" s="1"/>
      <c r="G22931" s="1"/>
    </row>
    <row r="22932">
      <c r="B22932" s="36"/>
      <c r="C22932" s="36"/>
      <c r="E22932" s="1"/>
      <c r="F22932" s="1"/>
      <c r="G22932" s="1"/>
    </row>
    <row r="22933">
      <c r="B22933" s="36"/>
      <c r="C22933" s="36"/>
      <c r="E22933" s="1"/>
      <c r="F22933" s="1"/>
      <c r="G22933" s="1"/>
    </row>
    <row r="22934">
      <c r="B22934" s="36"/>
      <c r="C22934" s="36"/>
      <c r="E22934" s="1"/>
      <c r="F22934" s="1"/>
      <c r="G22934" s="1"/>
    </row>
    <row r="22935">
      <c r="B22935" s="36"/>
      <c r="C22935" s="36"/>
      <c r="E22935" s="1"/>
      <c r="F22935" s="1"/>
      <c r="G22935" s="1"/>
    </row>
    <row r="22936">
      <c r="B22936" s="36"/>
      <c r="C22936" s="36"/>
      <c r="E22936" s="1"/>
      <c r="F22936" s="1"/>
      <c r="G22936" s="1"/>
    </row>
    <row r="22937">
      <c r="B22937" s="36"/>
      <c r="C22937" s="36"/>
      <c r="E22937" s="1"/>
      <c r="F22937" s="1"/>
      <c r="G22937" s="1"/>
    </row>
    <row r="22938">
      <c r="B22938" s="36"/>
      <c r="C22938" s="36"/>
      <c r="E22938" s="1"/>
      <c r="F22938" s="1"/>
      <c r="G22938" s="1"/>
    </row>
    <row r="22939">
      <c r="B22939" s="36"/>
      <c r="C22939" s="36"/>
      <c r="E22939" s="1"/>
      <c r="F22939" s="1"/>
      <c r="G22939" s="1"/>
    </row>
    <row r="22940">
      <c r="B22940" s="36"/>
      <c r="C22940" s="36"/>
      <c r="E22940" s="1"/>
      <c r="F22940" s="1"/>
      <c r="G22940" s="1"/>
    </row>
    <row r="22941">
      <c r="B22941" s="36"/>
      <c r="C22941" s="36"/>
      <c r="E22941" s="1"/>
      <c r="F22941" s="1"/>
      <c r="G22941" s="1"/>
    </row>
    <row r="22942">
      <c r="B22942" s="36"/>
      <c r="C22942" s="36"/>
      <c r="E22942" s="1"/>
      <c r="F22942" s="1"/>
      <c r="G22942" s="1"/>
    </row>
    <row r="22943">
      <c r="B22943" s="36"/>
      <c r="C22943" s="36"/>
      <c r="E22943" s="1"/>
      <c r="F22943" s="1"/>
      <c r="G22943" s="1"/>
    </row>
    <row r="22944">
      <c r="B22944" s="36"/>
      <c r="C22944" s="36"/>
      <c r="E22944" s="1"/>
      <c r="F22944" s="1"/>
      <c r="G22944" s="1"/>
    </row>
    <row r="22945">
      <c r="B22945" s="36"/>
      <c r="C22945" s="36"/>
      <c r="E22945" s="1"/>
      <c r="F22945" s="1"/>
      <c r="G22945" s="1"/>
    </row>
    <row r="22946">
      <c r="B22946" s="36"/>
      <c r="C22946" s="36"/>
      <c r="E22946" s="1"/>
      <c r="F22946" s="1"/>
      <c r="G22946" s="1"/>
    </row>
    <row r="22947">
      <c r="B22947" s="36"/>
      <c r="C22947" s="36"/>
      <c r="E22947" s="1"/>
      <c r="F22947" s="1"/>
      <c r="G22947" s="1"/>
    </row>
    <row r="22948">
      <c r="B22948" s="36"/>
      <c r="C22948" s="36"/>
      <c r="E22948" s="1"/>
      <c r="F22948" s="1"/>
      <c r="G22948" s="1"/>
    </row>
    <row r="22949">
      <c r="B22949" s="36"/>
      <c r="C22949" s="36"/>
      <c r="E22949" s="1"/>
      <c r="F22949" s="1"/>
      <c r="G22949" s="1"/>
    </row>
    <row r="22950">
      <c r="B22950" s="36"/>
      <c r="C22950" s="36"/>
      <c r="E22950" s="1"/>
      <c r="F22950" s="1"/>
      <c r="G22950" s="1"/>
    </row>
    <row r="22951">
      <c r="B22951" s="36"/>
      <c r="C22951" s="36"/>
      <c r="E22951" s="1"/>
      <c r="F22951" s="1"/>
      <c r="G22951" s="1"/>
    </row>
    <row r="22952">
      <c r="B22952" s="36"/>
      <c r="C22952" s="36"/>
      <c r="E22952" s="1"/>
      <c r="F22952" s="1"/>
      <c r="G22952" s="1"/>
    </row>
    <row r="22953">
      <c r="B22953" s="36"/>
      <c r="C22953" s="36"/>
      <c r="E22953" s="1"/>
      <c r="F22953" s="1"/>
      <c r="G22953" s="1"/>
    </row>
    <row r="22954">
      <c r="B22954" s="36"/>
      <c r="C22954" s="36"/>
      <c r="E22954" s="1"/>
      <c r="F22954" s="1"/>
      <c r="G22954" s="1"/>
    </row>
    <row r="22955">
      <c r="B22955" s="36"/>
      <c r="C22955" s="36"/>
      <c r="E22955" s="1"/>
      <c r="F22955" s="1"/>
      <c r="G22955" s="1"/>
    </row>
    <row r="22956">
      <c r="B22956" s="36"/>
      <c r="C22956" s="36"/>
      <c r="E22956" s="1"/>
      <c r="F22956" s="1"/>
      <c r="G22956" s="1"/>
    </row>
    <row r="22957">
      <c r="B22957" s="36"/>
      <c r="C22957" s="36"/>
      <c r="E22957" s="1"/>
      <c r="F22957" s="1"/>
      <c r="G22957" s="1"/>
    </row>
    <row r="22958">
      <c r="B22958" s="36"/>
      <c r="C22958" s="36"/>
      <c r="E22958" s="1"/>
      <c r="F22958" s="1"/>
      <c r="G22958" s="1"/>
    </row>
    <row r="22959">
      <c r="B22959" s="36"/>
      <c r="C22959" s="36"/>
      <c r="E22959" s="1"/>
      <c r="F22959" s="1"/>
      <c r="G22959" s="1"/>
    </row>
    <row r="22960">
      <c r="B22960" s="36"/>
      <c r="C22960" s="36"/>
      <c r="E22960" s="1"/>
      <c r="F22960" s="1"/>
      <c r="G22960" s="1"/>
    </row>
    <row r="22961">
      <c r="B22961" s="36"/>
      <c r="C22961" s="36"/>
      <c r="E22961" s="1"/>
      <c r="F22961" s="1"/>
      <c r="G22961" s="1"/>
    </row>
    <row r="22962">
      <c r="B22962" s="36"/>
      <c r="C22962" s="36"/>
      <c r="E22962" s="1"/>
      <c r="F22962" s="1"/>
      <c r="G22962" s="1"/>
    </row>
    <row r="22963">
      <c r="B22963" s="36"/>
      <c r="C22963" s="36"/>
      <c r="E22963" s="1"/>
      <c r="F22963" s="1"/>
      <c r="G22963" s="1"/>
    </row>
    <row r="22964">
      <c r="B22964" s="36"/>
      <c r="C22964" s="36"/>
      <c r="E22964" s="1"/>
      <c r="F22964" s="1"/>
      <c r="G22964" s="1"/>
    </row>
    <row r="22965">
      <c r="B22965" s="36"/>
      <c r="C22965" s="36"/>
      <c r="E22965" s="1"/>
      <c r="F22965" s="1"/>
      <c r="G22965" s="1"/>
    </row>
    <row r="22966">
      <c r="B22966" s="36"/>
      <c r="C22966" s="36"/>
      <c r="E22966" s="1"/>
      <c r="F22966" s="1"/>
      <c r="G22966" s="1"/>
    </row>
    <row r="22967">
      <c r="B22967" s="36"/>
      <c r="C22967" s="36"/>
      <c r="E22967" s="1"/>
      <c r="F22967" s="1"/>
      <c r="G22967" s="1"/>
    </row>
    <row r="22968">
      <c r="B22968" s="36"/>
      <c r="C22968" s="36"/>
      <c r="E22968" s="1"/>
      <c r="F22968" s="1"/>
      <c r="G22968" s="1"/>
    </row>
    <row r="22969">
      <c r="B22969" s="36"/>
      <c r="C22969" s="36"/>
      <c r="E22969" s="1"/>
      <c r="F22969" s="1"/>
      <c r="G22969" s="1"/>
    </row>
    <row r="22970">
      <c r="B22970" s="36"/>
      <c r="C22970" s="36"/>
      <c r="E22970" s="1"/>
      <c r="F22970" s="1"/>
      <c r="G22970" s="1"/>
    </row>
    <row r="22971">
      <c r="B22971" s="36"/>
      <c r="C22971" s="36"/>
      <c r="E22971" s="1"/>
      <c r="F22971" s="1"/>
      <c r="G22971" s="1"/>
    </row>
    <row r="22972">
      <c r="B22972" s="36"/>
      <c r="C22972" s="36"/>
      <c r="E22972" s="1"/>
      <c r="F22972" s="1"/>
      <c r="G22972" s="1"/>
    </row>
    <row r="22973">
      <c r="B22973" s="36"/>
      <c r="C22973" s="36"/>
      <c r="E22973" s="1"/>
      <c r="F22973" s="1"/>
      <c r="G22973" s="1"/>
    </row>
    <row r="22974">
      <c r="B22974" s="36"/>
      <c r="C22974" s="36"/>
      <c r="E22974" s="1"/>
      <c r="F22974" s="1"/>
      <c r="G22974" s="1"/>
    </row>
    <row r="22975">
      <c r="B22975" s="36"/>
      <c r="C22975" s="36"/>
      <c r="E22975" s="1"/>
      <c r="F22975" s="1"/>
      <c r="G22975" s="1"/>
    </row>
    <row r="22976">
      <c r="B22976" s="36"/>
      <c r="C22976" s="36"/>
      <c r="E22976" s="1"/>
      <c r="F22976" s="1"/>
      <c r="G22976" s="1"/>
    </row>
    <row r="22977">
      <c r="B22977" s="36"/>
      <c r="C22977" s="36"/>
      <c r="E22977" s="1"/>
      <c r="F22977" s="1"/>
      <c r="G22977" s="1"/>
    </row>
    <row r="22978">
      <c r="B22978" s="36"/>
      <c r="C22978" s="36"/>
      <c r="E22978" s="1"/>
      <c r="F22978" s="1"/>
      <c r="G22978" s="1"/>
    </row>
    <row r="22979">
      <c r="B22979" s="36"/>
      <c r="C22979" s="36"/>
      <c r="E22979" s="1"/>
      <c r="F22979" s="1"/>
      <c r="G22979" s="1"/>
    </row>
    <row r="22980">
      <c r="B22980" s="36"/>
      <c r="C22980" s="36"/>
      <c r="E22980" s="1"/>
      <c r="F22980" s="1"/>
      <c r="G22980" s="1"/>
    </row>
    <row r="22981">
      <c r="B22981" s="36"/>
      <c r="C22981" s="36"/>
      <c r="E22981" s="1"/>
      <c r="F22981" s="1"/>
      <c r="G22981" s="1"/>
    </row>
    <row r="22982">
      <c r="B22982" s="36"/>
      <c r="C22982" s="36"/>
      <c r="E22982" s="1"/>
      <c r="F22982" s="1"/>
      <c r="G22982" s="1"/>
    </row>
    <row r="22983">
      <c r="B22983" s="36"/>
      <c r="C22983" s="36"/>
      <c r="E22983" s="1"/>
      <c r="F22983" s="1"/>
      <c r="G22983" s="1"/>
    </row>
    <row r="22984">
      <c r="B22984" s="36"/>
      <c r="C22984" s="36"/>
      <c r="E22984" s="1"/>
      <c r="F22984" s="1"/>
      <c r="G22984" s="1"/>
    </row>
    <row r="22985">
      <c r="B22985" s="36"/>
      <c r="C22985" s="36"/>
      <c r="E22985" s="1"/>
      <c r="F22985" s="1"/>
      <c r="G22985" s="1"/>
    </row>
    <row r="22986">
      <c r="B22986" s="36"/>
      <c r="C22986" s="36"/>
      <c r="E22986" s="1"/>
      <c r="F22986" s="1"/>
      <c r="G22986" s="1"/>
    </row>
    <row r="22987">
      <c r="B22987" s="36"/>
      <c r="C22987" s="36"/>
      <c r="E22987" s="1"/>
      <c r="F22987" s="1"/>
      <c r="G22987" s="1"/>
    </row>
    <row r="22988">
      <c r="B22988" s="36"/>
      <c r="C22988" s="36"/>
      <c r="E22988" s="1"/>
      <c r="F22988" s="1"/>
      <c r="G22988" s="1"/>
    </row>
    <row r="22989">
      <c r="B22989" s="36"/>
      <c r="C22989" s="36"/>
      <c r="E22989" s="1"/>
      <c r="F22989" s="1"/>
      <c r="G22989" s="1"/>
    </row>
    <row r="22990">
      <c r="B22990" s="36"/>
      <c r="C22990" s="36"/>
      <c r="E22990" s="1"/>
      <c r="F22990" s="1"/>
      <c r="G22990" s="1"/>
    </row>
    <row r="22991">
      <c r="B22991" s="36"/>
      <c r="C22991" s="36"/>
      <c r="E22991" s="1"/>
      <c r="F22991" s="1"/>
      <c r="G22991" s="1"/>
    </row>
    <row r="22992">
      <c r="B22992" s="36"/>
      <c r="C22992" s="36"/>
      <c r="E22992" s="1"/>
      <c r="F22992" s="1"/>
      <c r="G22992" s="1"/>
    </row>
    <row r="22993">
      <c r="B22993" s="36"/>
      <c r="C22993" s="36"/>
      <c r="E22993" s="1"/>
      <c r="F22993" s="1"/>
      <c r="G22993" s="1"/>
    </row>
    <row r="22994">
      <c r="B22994" s="36"/>
      <c r="C22994" s="36"/>
      <c r="E22994" s="1"/>
      <c r="F22994" s="1"/>
      <c r="G22994" s="1"/>
    </row>
    <row r="22995">
      <c r="B22995" s="36"/>
      <c r="C22995" s="36"/>
      <c r="E22995" s="1"/>
      <c r="F22995" s="1"/>
      <c r="G22995" s="1"/>
    </row>
    <row r="22996">
      <c r="B22996" s="36"/>
      <c r="C22996" s="36"/>
      <c r="E22996" s="1"/>
      <c r="F22996" s="1"/>
      <c r="G22996" s="1"/>
    </row>
    <row r="22997">
      <c r="B22997" s="36"/>
      <c r="C22997" s="36"/>
      <c r="E22997" s="1"/>
      <c r="F22997" s="1"/>
      <c r="G22997" s="1"/>
    </row>
    <row r="22998">
      <c r="B22998" s="36"/>
      <c r="C22998" s="36"/>
      <c r="E22998" s="1"/>
      <c r="F22998" s="1"/>
      <c r="G22998" s="1"/>
    </row>
    <row r="22999">
      <c r="B22999" s="36"/>
      <c r="C22999" s="36"/>
      <c r="E22999" s="1"/>
      <c r="F22999" s="1"/>
      <c r="G22999" s="1"/>
    </row>
    <row r="23000">
      <c r="B23000" s="36"/>
      <c r="C23000" s="36"/>
      <c r="E23000" s="1"/>
      <c r="F23000" s="1"/>
      <c r="G23000" s="1"/>
    </row>
    <row r="23001">
      <c r="B23001" s="36"/>
      <c r="C23001" s="36"/>
      <c r="E23001" s="1"/>
      <c r="F23001" s="1"/>
      <c r="G23001" s="1"/>
    </row>
    <row r="23002">
      <c r="B23002" s="36"/>
      <c r="C23002" s="36"/>
      <c r="E23002" s="1"/>
      <c r="F23002" s="1"/>
      <c r="G23002" s="1"/>
    </row>
    <row r="23003">
      <c r="B23003" s="36"/>
      <c r="C23003" s="36"/>
      <c r="E23003" s="1"/>
      <c r="F23003" s="1"/>
      <c r="G23003" s="1"/>
    </row>
    <row r="23004">
      <c r="B23004" s="36"/>
      <c r="C23004" s="36"/>
      <c r="E23004" s="1"/>
      <c r="F23004" s="1"/>
      <c r="G23004" s="1"/>
    </row>
    <row r="23005">
      <c r="B23005" s="36"/>
      <c r="C23005" s="36"/>
      <c r="E23005" s="1"/>
      <c r="F23005" s="1"/>
      <c r="G23005" s="1"/>
    </row>
    <row r="23006">
      <c r="B23006" s="36"/>
      <c r="C23006" s="36"/>
      <c r="E23006" s="1"/>
      <c r="F23006" s="1"/>
      <c r="G23006" s="1"/>
    </row>
    <row r="23007">
      <c r="B23007" s="36"/>
      <c r="C23007" s="36"/>
      <c r="E23007" s="1"/>
      <c r="F23007" s="1"/>
      <c r="G23007" s="1"/>
    </row>
    <row r="23008">
      <c r="B23008" s="36"/>
      <c r="C23008" s="36"/>
      <c r="E23008" s="1"/>
      <c r="F23008" s="1"/>
      <c r="G23008" s="1"/>
    </row>
    <row r="23009">
      <c r="B23009" s="36"/>
      <c r="C23009" s="36"/>
      <c r="E23009" s="1"/>
      <c r="F23009" s="1"/>
      <c r="G23009" s="1"/>
    </row>
    <row r="23010">
      <c r="B23010" s="36"/>
      <c r="C23010" s="36"/>
      <c r="E23010" s="1"/>
      <c r="F23010" s="1"/>
      <c r="G23010" s="1"/>
    </row>
    <row r="23011">
      <c r="B23011" s="36"/>
      <c r="C23011" s="36"/>
      <c r="E23011" s="1"/>
      <c r="F23011" s="1"/>
      <c r="G23011" s="1"/>
    </row>
    <row r="23012">
      <c r="B23012" s="36"/>
      <c r="C23012" s="36"/>
      <c r="E23012" s="1"/>
      <c r="F23012" s="1"/>
      <c r="G23012" s="1"/>
    </row>
    <row r="23013">
      <c r="B23013" s="36"/>
      <c r="C23013" s="36"/>
      <c r="E23013" s="1"/>
      <c r="F23013" s="1"/>
      <c r="G23013" s="1"/>
    </row>
    <row r="23014">
      <c r="B23014" s="36"/>
      <c r="C23014" s="36"/>
      <c r="E23014" s="1"/>
      <c r="F23014" s="1"/>
      <c r="G23014" s="1"/>
    </row>
    <row r="23015">
      <c r="B23015" s="36"/>
      <c r="C23015" s="36"/>
      <c r="E23015" s="1"/>
      <c r="F23015" s="1"/>
      <c r="G23015" s="1"/>
    </row>
    <row r="23016">
      <c r="B23016" s="36"/>
      <c r="C23016" s="36"/>
      <c r="E23016" s="1"/>
      <c r="F23016" s="1"/>
      <c r="G23016" s="1"/>
    </row>
    <row r="23017">
      <c r="B23017" s="36"/>
      <c r="C23017" s="36"/>
      <c r="E23017" s="1"/>
      <c r="F23017" s="1"/>
      <c r="G23017" s="1"/>
    </row>
    <row r="23018">
      <c r="B23018" s="36"/>
      <c r="C23018" s="36"/>
      <c r="E23018" s="1"/>
      <c r="F23018" s="1"/>
      <c r="G23018" s="1"/>
    </row>
    <row r="23019">
      <c r="B23019" s="36"/>
      <c r="C23019" s="36"/>
      <c r="E23019" s="1"/>
      <c r="F23019" s="1"/>
      <c r="G23019" s="1"/>
    </row>
    <row r="23020">
      <c r="B23020" s="36"/>
      <c r="C23020" s="36"/>
      <c r="E23020" s="1"/>
      <c r="F23020" s="1"/>
      <c r="G23020" s="1"/>
    </row>
    <row r="23021">
      <c r="B23021" s="36"/>
      <c r="C23021" s="36"/>
      <c r="E23021" s="1"/>
      <c r="F23021" s="1"/>
      <c r="G23021" s="1"/>
    </row>
    <row r="23022">
      <c r="B23022" s="36"/>
      <c r="C23022" s="36"/>
      <c r="E23022" s="1"/>
      <c r="F23022" s="1"/>
      <c r="G23022" s="1"/>
    </row>
    <row r="23023">
      <c r="B23023" s="36"/>
      <c r="C23023" s="36"/>
      <c r="E23023" s="1"/>
      <c r="F23023" s="1"/>
      <c r="G23023" s="1"/>
    </row>
    <row r="23024">
      <c r="B23024" s="36"/>
      <c r="C23024" s="36"/>
      <c r="E23024" s="1"/>
      <c r="F23024" s="1"/>
      <c r="G23024" s="1"/>
    </row>
    <row r="23025">
      <c r="B23025" s="36"/>
      <c r="C23025" s="36"/>
      <c r="E23025" s="1"/>
      <c r="F23025" s="1"/>
      <c r="G23025" s="1"/>
    </row>
    <row r="23026">
      <c r="B23026" s="36"/>
      <c r="C23026" s="36"/>
      <c r="E23026" s="1"/>
      <c r="F23026" s="1"/>
      <c r="G23026" s="1"/>
    </row>
    <row r="23027">
      <c r="B23027" s="36"/>
      <c r="C23027" s="36"/>
      <c r="E23027" s="1"/>
      <c r="F23027" s="1"/>
      <c r="G23027" s="1"/>
    </row>
    <row r="23028">
      <c r="B23028" s="36"/>
      <c r="C23028" s="36"/>
      <c r="E23028" s="1"/>
      <c r="F23028" s="1"/>
      <c r="G23028" s="1"/>
    </row>
    <row r="23029">
      <c r="B23029" s="36"/>
      <c r="C23029" s="36"/>
      <c r="E23029" s="1"/>
      <c r="F23029" s="1"/>
      <c r="G23029" s="1"/>
    </row>
    <row r="23030">
      <c r="B23030" s="36"/>
      <c r="C23030" s="36"/>
      <c r="E23030" s="1"/>
      <c r="F23030" s="1"/>
      <c r="G23030" s="1"/>
    </row>
    <row r="23031">
      <c r="B23031" s="36"/>
      <c r="C23031" s="36"/>
      <c r="E23031" s="1"/>
      <c r="F23031" s="1"/>
      <c r="G23031" s="1"/>
    </row>
    <row r="23032">
      <c r="B23032" s="36"/>
      <c r="C23032" s="36"/>
      <c r="E23032" s="1"/>
      <c r="F23032" s="1"/>
      <c r="G23032" s="1"/>
    </row>
    <row r="23033">
      <c r="B23033" s="36"/>
      <c r="C23033" s="36"/>
      <c r="E23033" s="1"/>
      <c r="F23033" s="1"/>
      <c r="G23033" s="1"/>
    </row>
    <row r="23034">
      <c r="B23034" s="36"/>
      <c r="C23034" s="36"/>
      <c r="E23034" s="1"/>
      <c r="F23034" s="1"/>
      <c r="G23034" s="1"/>
    </row>
    <row r="23035">
      <c r="B23035" s="36"/>
      <c r="C23035" s="36"/>
      <c r="E23035" s="1"/>
      <c r="F23035" s="1"/>
      <c r="G23035" s="1"/>
    </row>
    <row r="23036">
      <c r="B23036" s="36"/>
      <c r="C23036" s="36"/>
      <c r="E23036" s="1"/>
      <c r="F23036" s="1"/>
      <c r="G23036" s="1"/>
    </row>
    <row r="23037">
      <c r="B23037" s="36"/>
      <c r="C23037" s="36"/>
      <c r="E23037" s="1"/>
      <c r="F23037" s="1"/>
      <c r="G23037" s="1"/>
    </row>
    <row r="23038">
      <c r="B23038" s="36"/>
      <c r="C23038" s="36"/>
      <c r="E23038" s="1"/>
      <c r="F23038" s="1"/>
      <c r="G23038" s="1"/>
    </row>
    <row r="23039">
      <c r="B23039" s="36"/>
      <c r="C23039" s="36"/>
      <c r="E23039" s="1"/>
      <c r="F23039" s="1"/>
      <c r="G23039" s="1"/>
    </row>
    <row r="23040">
      <c r="B23040" s="36"/>
      <c r="C23040" s="36"/>
      <c r="E23040" s="1"/>
      <c r="F23040" s="1"/>
      <c r="G23040" s="1"/>
    </row>
    <row r="23041">
      <c r="B23041" s="36"/>
      <c r="C23041" s="36"/>
      <c r="E23041" s="1"/>
      <c r="F23041" s="1"/>
      <c r="G23041" s="1"/>
    </row>
    <row r="23042">
      <c r="B23042" s="36"/>
      <c r="C23042" s="36"/>
      <c r="E23042" s="1"/>
      <c r="F23042" s="1"/>
      <c r="G23042" s="1"/>
    </row>
    <row r="23043">
      <c r="B23043" s="36"/>
      <c r="C23043" s="36"/>
      <c r="E23043" s="1"/>
      <c r="F23043" s="1"/>
      <c r="G23043" s="1"/>
    </row>
    <row r="23044">
      <c r="B23044" s="36"/>
      <c r="C23044" s="36"/>
      <c r="E23044" s="1"/>
      <c r="F23044" s="1"/>
      <c r="G23044" s="1"/>
    </row>
    <row r="23045">
      <c r="B23045" s="36"/>
      <c r="C23045" s="36"/>
      <c r="E23045" s="1"/>
      <c r="F23045" s="1"/>
      <c r="G23045" s="1"/>
    </row>
    <row r="23046">
      <c r="B23046" s="36"/>
      <c r="C23046" s="36"/>
      <c r="E23046" s="1"/>
      <c r="F23046" s="1"/>
      <c r="G23046" s="1"/>
    </row>
    <row r="23047">
      <c r="B23047" s="36"/>
      <c r="C23047" s="36"/>
      <c r="E23047" s="1"/>
      <c r="F23047" s="1"/>
      <c r="G23047" s="1"/>
    </row>
    <row r="23048">
      <c r="B23048" s="36"/>
      <c r="C23048" s="36"/>
      <c r="E23048" s="1"/>
      <c r="F23048" s="1"/>
      <c r="G23048" s="1"/>
    </row>
    <row r="23049">
      <c r="B23049" s="36"/>
      <c r="C23049" s="36"/>
      <c r="E23049" s="1"/>
      <c r="F23049" s="1"/>
      <c r="G23049" s="1"/>
    </row>
    <row r="23050">
      <c r="B23050" s="36"/>
      <c r="C23050" s="36"/>
      <c r="E23050" s="1"/>
      <c r="F23050" s="1"/>
      <c r="G23050" s="1"/>
    </row>
    <row r="23051">
      <c r="B23051" s="36"/>
      <c r="C23051" s="36"/>
      <c r="E23051" s="1"/>
      <c r="F23051" s="1"/>
      <c r="G23051" s="1"/>
    </row>
    <row r="23052">
      <c r="B23052" s="36"/>
      <c r="C23052" s="36"/>
      <c r="E23052" s="1"/>
      <c r="F23052" s="1"/>
      <c r="G23052" s="1"/>
    </row>
    <row r="23053">
      <c r="B23053" s="36"/>
      <c r="C23053" s="36"/>
      <c r="E23053" s="1"/>
      <c r="F23053" s="1"/>
      <c r="G23053" s="1"/>
    </row>
    <row r="23054">
      <c r="B23054" s="36"/>
      <c r="C23054" s="36"/>
      <c r="E23054" s="1"/>
      <c r="F23054" s="1"/>
      <c r="G23054" s="1"/>
    </row>
    <row r="23055">
      <c r="B23055" s="36"/>
      <c r="C23055" s="36"/>
      <c r="E23055" s="1"/>
      <c r="F23055" s="1"/>
      <c r="G23055" s="1"/>
    </row>
    <row r="23056">
      <c r="B23056" s="36"/>
      <c r="C23056" s="36"/>
      <c r="E23056" s="1"/>
      <c r="F23056" s="1"/>
      <c r="G23056" s="1"/>
    </row>
    <row r="23057">
      <c r="B23057" s="36"/>
      <c r="C23057" s="36"/>
      <c r="E23057" s="1"/>
      <c r="F23057" s="1"/>
      <c r="G23057" s="1"/>
    </row>
    <row r="23058">
      <c r="B23058" s="36"/>
      <c r="C23058" s="36"/>
      <c r="E23058" s="1"/>
      <c r="F23058" s="1"/>
      <c r="G23058" s="1"/>
    </row>
    <row r="23059">
      <c r="B23059" s="36"/>
      <c r="C23059" s="36"/>
      <c r="E23059" s="1"/>
      <c r="F23059" s="1"/>
      <c r="G23059" s="1"/>
    </row>
    <row r="23060">
      <c r="B23060" s="36"/>
      <c r="C23060" s="36"/>
      <c r="E23060" s="1"/>
      <c r="F23060" s="1"/>
      <c r="G23060" s="1"/>
    </row>
    <row r="23061">
      <c r="B23061" s="36"/>
      <c r="C23061" s="36"/>
      <c r="E23061" s="1"/>
      <c r="F23061" s="1"/>
      <c r="G23061" s="1"/>
    </row>
    <row r="23062">
      <c r="B23062" s="36"/>
      <c r="C23062" s="36"/>
      <c r="E23062" s="1"/>
      <c r="F23062" s="1"/>
      <c r="G23062" s="1"/>
    </row>
    <row r="23063">
      <c r="B23063" s="36"/>
      <c r="C23063" s="36"/>
      <c r="E23063" s="1"/>
      <c r="F23063" s="1"/>
      <c r="G23063" s="1"/>
    </row>
    <row r="23064">
      <c r="B23064" s="36"/>
      <c r="C23064" s="36"/>
      <c r="E23064" s="1"/>
      <c r="F23064" s="1"/>
      <c r="G23064" s="1"/>
    </row>
    <row r="23065">
      <c r="B23065" s="36"/>
      <c r="C23065" s="36"/>
      <c r="E23065" s="1"/>
      <c r="F23065" s="1"/>
      <c r="G23065" s="1"/>
    </row>
    <row r="23066">
      <c r="B23066" s="36"/>
      <c r="C23066" s="36"/>
      <c r="E23066" s="1"/>
      <c r="F23066" s="1"/>
      <c r="G23066" s="1"/>
    </row>
    <row r="23067">
      <c r="B23067" s="36"/>
      <c r="C23067" s="36"/>
      <c r="E23067" s="1"/>
      <c r="F23067" s="1"/>
      <c r="G23067" s="1"/>
    </row>
    <row r="23068">
      <c r="B23068" s="36"/>
      <c r="C23068" s="36"/>
      <c r="E23068" s="1"/>
      <c r="F23068" s="1"/>
      <c r="G23068" s="1"/>
    </row>
    <row r="23069">
      <c r="B23069" s="36"/>
      <c r="C23069" s="36"/>
      <c r="E23069" s="1"/>
      <c r="F23069" s="1"/>
      <c r="G23069" s="1"/>
    </row>
    <row r="23070">
      <c r="B23070" s="36"/>
      <c r="C23070" s="36"/>
      <c r="E23070" s="1"/>
      <c r="F23070" s="1"/>
      <c r="G23070" s="1"/>
    </row>
    <row r="23071">
      <c r="B23071" s="36"/>
      <c r="C23071" s="36"/>
      <c r="E23071" s="1"/>
      <c r="F23071" s="1"/>
      <c r="G23071" s="1"/>
    </row>
    <row r="23072">
      <c r="B23072" s="36"/>
      <c r="C23072" s="36"/>
      <c r="E23072" s="1"/>
      <c r="F23072" s="1"/>
      <c r="G23072" s="1"/>
    </row>
    <row r="23073">
      <c r="B23073" s="36"/>
      <c r="C23073" s="36"/>
      <c r="E23073" s="1"/>
      <c r="F23073" s="1"/>
      <c r="G23073" s="1"/>
    </row>
    <row r="23074">
      <c r="B23074" s="36"/>
      <c r="C23074" s="36"/>
      <c r="E23074" s="1"/>
      <c r="F23074" s="1"/>
      <c r="G23074" s="1"/>
    </row>
    <row r="23075">
      <c r="B23075" s="36"/>
      <c r="C23075" s="36"/>
      <c r="E23075" s="1"/>
      <c r="F23075" s="1"/>
      <c r="G23075" s="1"/>
    </row>
    <row r="23076">
      <c r="B23076" s="36"/>
      <c r="C23076" s="36"/>
      <c r="E23076" s="1"/>
      <c r="F23076" s="1"/>
      <c r="G23076" s="1"/>
    </row>
    <row r="23077">
      <c r="B23077" s="36"/>
      <c r="C23077" s="36"/>
      <c r="E23077" s="1"/>
      <c r="F23077" s="1"/>
      <c r="G23077" s="1"/>
    </row>
    <row r="23078">
      <c r="B23078" s="36"/>
      <c r="C23078" s="36"/>
      <c r="E23078" s="1"/>
      <c r="F23078" s="1"/>
      <c r="G23078" s="1"/>
    </row>
    <row r="23079">
      <c r="B23079" s="36"/>
      <c r="C23079" s="36"/>
      <c r="E23079" s="1"/>
      <c r="F23079" s="1"/>
      <c r="G23079" s="1"/>
    </row>
    <row r="23080">
      <c r="B23080" s="36"/>
      <c r="C23080" s="36"/>
      <c r="E23080" s="1"/>
      <c r="F23080" s="1"/>
      <c r="G23080" s="1"/>
    </row>
    <row r="23081">
      <c r="B23081" s="36"/>
      <c r="C23081" s="36"/>
      <c r="E23081" s="1"/>
      <c r="F23081" s="1"/>
      <c r="G23081" s="1"/>
    </row>
    <row r="23082">
      <c r="B23082" s="36"/>
      <c r="C23082" s="36"/>
      <c r="E23082" s="1"/>
      <c r="F23082" s="1"/>
      <c r="G23082" s="1"/>
    </row>
    <row r="23083">
      <c r="B23083" s="36"/>
      <c r="C23083" s="36"/>
      <c r="E23083" s="1"/>
      <c r="F23083" s="1"/>
      <c r="G23083" s="1"/>
    </row>
    <row r="23084">
      <c r="B23084" s="36"/>
      <c r="C23084" s="36"/>
      <c r="E23084" s="1"/>
      <c r="F23084" s="1"/>
      <c r="G23084" s="1"/>
    </row>
    <row r="23085">
      <c r="B23085" s="36"/>
      <c r="C23085" s="36"/>
      <c r="E23085" s="1"/>
      <c r="F23085" s="1"/>
      <c r="G23085" s="1"/>
    </row>
    <row r="23086">
      <c r="B23086" s="36"/>
      <c r="C23086" s="36"/>
      <c r="E23086" s="1"/>
      <c r="F23086" s="1"/>
      <c r="G23086" s="1"/>
    </row>
    <row r="23087">
      <c r="B23087" s="36"/>
      <c r="C23087" s="36"/>
      <c r="E23087" s="1"/>
      <c r="F23087" s="1"/>
      <c r="G23087" s="1"/>
    </row>
    <row r="23088">
      <c r="B23088" s="36"/>
      <c r="C23088" s="36"/>
      <c r="E23088" s="1"/>
      <c r="F23088" s="1"/>
      <c r="G23088" s="1"/>
    </row>
    <row r="23089">
      <c r="B23089" s="36"/>
      <c r="C23089" s="36"/>
      <c r="E23089" s="1"/>
      <c r="F23089" s="1"/>
      <c r="G23089" s="1"/>
    </row>
    <row r="23090">
      <c r="B23090" s="36"/>
      <c r="C23090" s="36"/>
      <c r="E23090" s="1"/>
      <c r="F23090" s="1"/>
      <c r="G23090" s="1"/>
    </row>
    <row r="23091">
      <c r="B23091" s="36"/>
      <c r="C23091" s="36"/>
      <c r="E23091" s="1"/>
      <c r="F23091" s="1"/>
      <c r="G23091" s="1"/>
    </row>
    <row r="23092">
      <c r="B23092" s="36"/>
      <c r="C23092" s="36"/>
      <c r="E23092" s="1"/>
      <c r="F23092" s="1"/>
      <c r="G23092" s="1"/>
    </row>
    <row r="23093">
      <c r="B23093" s="36"/>
      <c r="C23093" s="36"/>
      <c r="E23093" s="1"/>
      <c r="F23093" s="1"/>
      <c r="G23093" s="1"/>
    </row>
    <row r="23094">
      <c r="B23094" s="36"/>
      <c r="C23094" s="36"/>
      <c r="E23094" s="1"/>
      <c r="F23094" s="1"/>
      <c r="G23094" s="1"/>
    </row>
    <row r="23095">
      <c r="B23095" s="36"/>
      <c r="C23095" s="36"/>
      <c r="E23095" s="1"/>
      <c r="F23095" s="1"/>
      <c r="G23095" s="1"/>
    </row>
    <row r="23096">
      <c r="B23096" s="36"/>
      <c r="C23096" s="36"/>
      <c r="E23096" s="1"/>
      <c r="F23096" s="1"/>
      <c r="G23096" s="1"/>
    </row>
    <row r="23097">
      <c r="B23097" s="36"/>
      <c r="C23097" s="36"/>
      <c r="E23097" s="1"/>
      <c r="F23097" s="1"/>
      <c r="G23097" s="1"/>
    </row>
    <row r="23098">
      <c r="B23098" s="36"/>
      <c r="C23098" s="36"/>
      <c r="E23098" s="1"/>
      <c r="F23098" s="1"/>
      <c r="G23098" s="1"/>
    </row>
    <row r="23099">
      <c r="B23099" s="36"/>
      <c r="C23099" s="36"/>
      <c r="E23099" s="1"/>
      <c r="F23099" s="1"/>
      <c r="G23099" s="1"/>
    </row>
    <row r="23100">
      <c r="B23100" s="36"/>
      <c r="C23100" s="36"/>
      <c r="E23100" s="1"/>
      <c r="F23100" s="1"/>
      <c r="G23100" s="1"/>
    </row>
    <row r="23101">
      <c r="B23101" s="36"/>
      <c r="C23101" s="36"/>
      <c r="E23101" s="1"/>
      <c r="F23101" s="1"/>
      <c r="G23101" s="1"/>
    </row>
    <row r="23102">
      <c r="B23102" s="36"/>
      <c r="C23102" s="36"/>
      <c r="E23102" s="1"/>
      <c r="F23102" s="1"/>
      <c r="G23102" s="1"/>
    </row>
    <row r="23103">
      <c r="B23103" s="36"/>
      <c r="C23103" s="36"/>
      <c r="E23103" s="1"/>
      <c r="F23103" s="1"/>
      <c r="G23103" s="1"/>
    </row>
    <row r="23104">
      <c r="B23104" s="36"/>
      <c r="C23104" s="36"/>
      <c r="E23104" s="1"/>
      <c r="F23104" s="1"/>
      <c r="G23104" s="1"/>
    </row>
    <row r="23105">
      <c r="B23105" s="36"/>
      <c r="C23105" s="36"/>
      <c r="E23105" s="1"/>
      <c r="F23105" s="1"/>
      <c r="G23105" s="1"/>
    </row>
    <row r="23106">
      <c r="B23106" s="36"/>
      <c r="C23106" s="36"/>
      <c r="E23106" s="1"/>
      <c r="F23106" s="1"/>
      <c r="G23106" s="1"/>
    </row>
    <row r="23107">
      <c r="B23107" s="36"/>
      <c r="C23107" s="36"/>
      <c r="E23107" s="1"/>
      <c r="F23107" s="1"/>
      <c r="G23107" s="1"/>
    </row>
    <row r="23108">
      <c r="B23108" s="36"/>
      <c r="C23108" s="36"/>
      <c r="E23108" s="1"/>
      <c r="F23108" s="1"/>
      <c r="G23108" s="1"/>
    </row>
    <row r="23109">
      <c r="B23109" s="36"/>
      <c r="C23109" s="36"/>
      <c r="E23109" s="1"/>
      <c r="F23109" s="1"/>
      <c r="G23109" s="1"/>
    </row>
    <row r="23110">
      <c r="B23110" s="36"/>
      <c r="C23110" s="36"/>
      <c r="E23110" s="1"/>
      <c r="F23110" s="1"/>
      <c r="G23110" s="1"/>
    </row>
    <row r="23111">
      <c r="B23111" s="36"/>
      <c r="C23111" s="36"/>
      <c r="E23111" s="1"/>
      <c r="F23111" s="1"/>
      <c r="G23111" s="1"/>
    </row>
    <row r="23112">
      <c r="B23112" s="36"/>
      <c r="C23112" s="36"/>
      <c r="E23112" s="1"/>
      <c r="F23112" s="1"/>
      <c r="G23112" s="1"/>
    </row>
    <row r="23113">
      <c r="B23113" s="36"/>
      <c r="C23113" s="36"/>
      <c r="E23113" s="1"/>
      <c r="F23113" s="1"/>
      <c r="G23113" s="1"/>
    </row>
    <row r="23114">
      <c r="B23114" s="36"/>
      <c r="C23114" s="36"/>
      <c r="E23114" s="1"/>
      <c r="F23114" s="1"/>
      <c r="G23114" s="1"/>
    </row>
    <row r="23115">
      <c r="B23115" s="36"/>
      <c r="C23115" s="36"/>
      <c r="E23115" s="1"/>
      <c r="F23115" s="1"/>
      <c r="G23115" s="1"/>
    </row>
    <row r="23116">
      <c r="B23116" s="36"/>
      <c r="C23116" s="36"/>
      <c r="E23116" s="1"/>
      <c r="F23116" s="1"/>
      <c r="G23116" s="1"/>
    </row>
    <row r="23117">
      <c r="B23117" s="36"/>
      <c r="C23117" s="36"/>
      <c r="E23117" s="1"/>
      <c r="F23117" s="1"/>
      <c r="G23117" s="1"/>
    </row>
    <row r="23118">
      <c r="B23118" s="36"/>
      <c r="C23118" s="36"/>
      <c r="E23118" s="1"/>
      <c r="F23118" s="1"/>
      <c r="G23118" s="1"/>
    </row>
    <row r="23119">
      <c r="B23119" s="36"/>
      <c r="C23119" s="36"/>
      <c r="E23119" s="1"/>
      <c r="F23119" s="1"/>
      <c r="G23119" s="1"/>
    </row>
    <row r="23120">
      <c r="B23120" s="36"/>
      <c r="C23120" s="36"/>
      <c r="E23120" s="1"/>
      <c r="F23120" s="1"/>
      <c r="G23120" s="1"/>
    </row>
    <row r="23121">
      <c r="B23121" s="36"/>
      <c r="C23121" s="36"/>
      <c r="E23121" s="1"/>
      <c r="F23121" s="1"/>
      <c r="G23121" s="1"/>
    </row>
    <row r="23122">
      <c r="B23122" s="36"/>
      <c r="C23122" s="36"/>
      <c r="E23122" s="1"/>
      <c r="F23122" s="1"/>
      <c r="G23122" s="1"/>
    </row>
    <row r="23123">
      <c r="B23123" s="36"/>
      <c r="C23123" s="36"/>
      <c r="E23123" s="1"/>
      <c r="F23123" s="1"/>
      <c r="G23123" s="1"/>
    </row>
    <row r="23124">
      <c r="B23124" s="36"/>
      <c r="C23124" s="36"/>
      <c r="E23124" s="1"/>
      <c r="F23124" s="1"/>
      <c r="G23124" s="1"/>
    </row>
    <row r="23125">
      <c r="B23125" s="36"/>
      <c r="C23125" s="36"/>
      <c r="E23125" s="1"/>
      <c r="F23125" s="1"/>
      <c r="G23125" s="1"/>
    </row>
    <row r="23126">
      <c r="B23126" s="36"/>
      <c r="C23126" s="36"/>
      <c r="E23126" s="1"/>
      <c r="F23126" s="1"/>
      <c r="G23126" s="1"/>
    </row>
    <row r="23127">
      <c r="B23127" s="36"/>
      <c r="C23127" s="36"/>
      <c r="E23127" s="1"/>
      <c r="F23127" s="1"/>
      <c r="G23127" s="1"/>
    </row>
    <row r="23128">
      <c r="B23128" s="36"/>
      <c r="C23128" s="36"/>
      <c r="E23128" s="1"/>
      <c r="F23128" s="1"/>
      <c r="G23128" s="1"/>
    </row>
    <row r="23129">
      <c r="B23129" s="36"/>
      <c r="C23129" s="36"/>
      <c r="E23129" s="1"/>
      <c r="F23129" s="1"/>
      <c r="G23129" s="1"/>
    </row>
    <row r="23130">
      <c r="B23130" s="36"/>
      <c r="C23130" s="36"/>
      <c r="E23130" s="1"/>
      <c r="F23130" s="1"/>
      <c r="G23130" s="1"/>
    </row>
    <row r="23131">
      <c r="B23131" s="36"/>
      <c r="C23131" s="36"/>
      <c r="E23131" s="1"/>
      <c r="F23131" s="1"/>
      <c r="G23131" s="1"/>
    </row>
    <row r="23132">
      <c r="B23132" s="36"/>
      <c r="C23132" s="36"/>
      <c r="E23132" s="1"/>
      <c r="F23132" s="1"/>
      <c r="G23132" s="1"/>
    </row>
    <row r="23133">
      <c r="B23133" s="36"/>
      <c r="C23133" s="36"/>
      <c r="E23133" s="1"/>
      <c r="F23133" s="1"/>
      <c r="G23133" s="1"/>
    </row>
    <row r="23134">
      <c r="B23134" s="36"/>
      <c r="C23134" s="36"/>
      <c r="E23134" s="1"/>
      <c r="F23134" s="1"/>
      <c r="G23134" s="1"/>
    </row>
    <row r="23135">
      <c r="B23135" s="36"/>
      <c r="C23135" s="36"/>
      <c r="E23135" s="1"/>
      <c r="F23135" s="1"/>
      <c r="G23135" s="1"/>
    </row>
    <row r="23136">
      <c r="B23136" s="36"/>
      <c r="C23136" s="36"/>
      <c r="E23136" s="1"/>
      <c r="F23136" s="1"/>
      <c r="G23136" s="1"/>
    </row>
    <row r="23137">
      <c r="B23137" s="36"/>
      <c r="C23137" s="36"/>
      <c r="E23137" s="1"/>
      <c r="F23137" s="1"/>
      <c r="G23137" s="1"/>
    </row>
    <row r="23138">
      <c r="B23138" s="36"/>
      <c r="C23138" s="36"/>
      <c r="E23138" s="1"/>
      <c r="F23138" s="1"/>
      <c r="G23138" s="1"/>
    </row>
    <row r="23139">
      <c r="B23139" s="36"/>
      <c r="C23139" s="36"/>
      <c r="E23139" s="1"/>
      <c r="F23139" s="1"/>
      <c r="G23139" s="1"/>
    </row>
    <row r="23140">
      <c r="B23140" s="36"/>
      <c r="C23140" s="36"/>
      <c r="E23140" s="1"/>
      <c r="F23140" s="1"/>
      <c r="G23140" s="1"/>
    </row>
    <row r="23141">
      <c r="B23141" s="36"/>
      <c r="C23141" s="36"/>
      <c r="E23141" s="1"/>
      <c r="F23141" s="1"/>
      <c r="G23141" s="1"/>
    </row>
    <row r="23142">
      <c r="B23142" s="36"/>
      <c r="C23142" s="36"/>
      <c r="E23142" s="1"/>
      <c r="F23142" s="1"/>
      <c r="G23142" s="1"/>
    </row>
    <row r="23143">
      <c r="B23143" s="36"/>
      <c r="C23143" s="36"/>
      <c r="E23143" s="1"/>
      <c r="F23143" s="1"/>
      <c r="G23143" s="1"/>
    </row>
    <row r="23144">
      <c r="B23144" s="36"/>
      <c r="C23144" s="36"/>
      <c r="E23144" s="1"/>
      <c r="F23144" s="1"/>
      <c r="G23144" s="1"/>
    </row>
    <row r="23145">
      <c r="B23145" s="36"/>
      <c r="C23145" s="36"/>
      <c r="E23145" s="1"/>
      <c r="F23145" s="1"/>
      <c r="G23145" s="1"/>
    </row>
    <row r="23146">
      <c r="B23146" s="36"/>
      <c r="C23146" s="36"/>
      <c r="E23146" s="1"/>
      <c r="F23146" s="1"/>
      <c r="G23146" s="1"/>
    </row>
    <row r="23147">
      <c r="B23147" s="36"/>
      <c r="C23147" s="36"/>
      <c r="E23147" s="1"/>
      <c r="F23147" s="1"/>
      <c r="G23147" s="1"/>
    </row>
    <row r="23148">
      <c r="B23148" s="36"/>
      <c r="C23148" s="36"/>
      <c r="E23148" s="1"/>
      <c r="F23148" s="1"/>
      <c r="G23148" s="1"/>
    </row>
    <row r="23149">
      <c r="B23149" s="36"/>
      <c r="C23149" s="36"/>
      <c r="E23149" s="1"/>
      <c r="F23149" s="1"/>
      <c r="G23149" s="1"/>
    </row>
    <row r="23150">
      <c r="B23150" s="36"/>
      <c r="C23150" s="36"/>
      <c r="E23150" s="1"/>
      <c r="F23150" s="1"/>
      <c r="G23150" s="1"/>
    </row>
    <row r="23151">
      <c r="B23151" s="36"/>
      <c r="C23151" s="36"/>
      <c r="E23151" s="1"/>
      <c r="F23151" s="1"/>
      <c r="G23151" s="1"/>
    </row>
    <row r="23152">
      <c r="B23152" s="36"/>
      <c r="C23152" s="36"/>
      <c r="E23152" s="1"/>
      <c r="F23152" s="1"/>
      <c r="G23152" s="1"/>
    </row>
    <row r="23153">
      <c r="B23153" s="36"/>
      <c r="C23153" s="36"/>
      <c r="E23153" s="1"/>
      <c r="F23153" s="1"/>
      <c r="G23153" s="1"/>
    </row>
    <row r="23154">
      <c r="B23154" s="36"/>
      <c r="C23154" s="36"/>
      <c r="E23154" s="1"/>
      <c r="F23154" s="1"/>
      <c r="G23154" s="1"/>
    </row>
    <row r="23155">
      <c r="B23155" s="36"/>
      <c r="C23155" s="36"/>
      <c r="E23155" s="1"/>
      <c r="F23155" s="1"/>
      <c r="G23155" s="1"/>
    </row>
    <row r="23156">
      <c r="B23156" s="36"/>
      <c r="C23156" s="36"/>
      <c r="E23156" s="1"/>
      <c r="F23156" s="1"/>
      <c r="G23156" s="1"/>
    </row>
    <row r="23157">
      <c r="B23157" s="36"/>
      <c r="C23157" s="36"/>
      <c r="E23157" s="1"/>
      <c r="F23157" s="1"/>
      <c r="G23157" s="1"/>
    </row>
    <row r="23158">
      <c r="B23158" s="36"/>
      <c r="C23158" s="36"/>
      <c r="E23158" s="1"/>
      <c r="F23158" s="1"/>
      <c r="G23158" s="1"/>
    </row>
    <row r="23159">
      <c r="B23159" s="36"/>
      <c r="C23159" s="36"/>
      <c r="E23159" s="1"/>
      <c r="F23159" s="1"/>
      <c r="G23159" s="1"/>
    </row>
    <row r="23160">
      <c r="B23160" s="36"/>
      <c r="C23160" s="36"/>
      <c r="E23160" s="1"/>
      <c r="F23160" s="1"/>
      <c r="G23160" s="1"/>
    </row>
    <row r="23161">
      <c r="B23161" s="36"/>
      <c r="C23161" s="36"/>
      <c r="E23161" s="1"/>
      <c r="F23161" s="1"/>
      <c r="G23161" s="1"/>
    </row>
    <row r="23162">
      <c r="B23162" s="36"/>
      <c r="C23162" s="36"/>
      <c r="E23162" s="1"/>
      <c r="F23162" s="1"/>
      <c r="G23162" s="1"/>
    </row>
    <row r="23163">
      <c r="B23163" s="36"/>
      <c r="C23163" s="36"/>
      <c r="E23163" s="1"/>
      <c r="F23163" s="1"/>
      <c r="G23163" s="1"/>
    </row>
    <row r="23164">
      <c r="B23164" s="36"/>
      <c r="C23164" s="36"/>
      <c r="E23164" s="1"/>
      <c r="F23164" s="1"/>
      <c r="G23164" s="1"/>
    </row>
    <row r="23165">
      <c r="B23165" s="36"/>
      <c r="C23165" s="36"/>
      <c r="E23165" s="1"/>
      <c r="F23165" s="1"/>
      <c r="G23165" s="1"/>
    </row>
    <row r="23166">
      <c r="B23166" s="36"/>
      <c r="C23166" s="36"/>
      <c r="E23166" s="1"/>
      <c r="F23166" s="1"/>
      <c r="G23166" s="1"/>
    </row>
    <row r="23167">
      <c r="B23167" s="36"/>
      <c r="C23167" s="36"/>
      <c r="E23167" s="1"/>
      <c r="F23167" s="1"/>
      <c r="G23167" s="1"/>
    </row>
    <row r="23168">
      <c r="B23168" s="36"/>
      <c r="C23168" s="36"/>
      <c r="E23168" s="1"/>
      <c r="F23168" s="1"/>
      <c r="G23168" s="1"/>
    </row>
    <row r="23169">
      <c r="B23169" s="36"/>
      <c r="C23169" s="36"/>
      <c r="E23169" s="1"/>
      <c r="F23169" s="1"/>
      <c r="G23169" s="1"/>
    </row>
    <row r="23170">
      <c r="B23170" s="36"/>
      <c r="C23170" s="36"/>
      <c r="E23170" s="1"/>
      <c r="F23170" s="1"/>
      <c r="G23170" s="1"/>
    </row>
    <row r="23171">
      <c r="B23171" s="36"/>
      <c r="C23171" s="36"/>
      <c r="E23171" s="1"/>
      <c r="F23171" s="1"/>
      <c r="G23171" s="1"/>
    </row>
    <row r="23172">
      <c r="B23172" s="36"/>
      <c r="C23172" s="36"/>
      <c r="E23172" s="1"/>
      <c r="F23172" s="1"/>
      <c r="G23172" s="1"/>
    </row>
    <row r="23173">
      <c r="B23173" s="36"/>
      <c r="C23173" s="36"/>
      <c r="E23173" s="1"/>
      <c r="F23173" s="1"/>
      <c r="G23173" s="1"/>
    </row>
    <row r="23174">
      <c r="B23174" s="36"/>
      <c r="C23174" s="36"/>
      <c r="E23174" s="1"/>
      <c r="F23174" s="1"/>
      <c r="G23174" s="1"/>
    </row>
    <row r="23175">
      <c r="B23175" s="36"/>
      <c r="C23175" s="36"/>
      <c r="E23175" s="1"/>
      <c r="F23175" s="1"/>
      <c r="G23175" s="1"/>
    </row>
    <row r="23176">
      <c r="B23176" s="36"/>
      <c r="C23176" s="36"/>
      <c r="E23176" s="1"/>
      <c r="F23176" s="1"/>
      <c r="G23176" s="1"/>
    </row>
    <row r="23177">
      <c r="B23177" s="36"/>
      <c r="C23177" s="36"/>
      <c r="E23177" s="1"/>
      <c r="F23177" s="1"/>
      <c r="G23177" s="1"/>
    </row>
    <row r="23178">
      <c r="B23178" s="36"/>
      <c r="C23178" s="36"/>
      <c r="E23178" s="1"/>
      <c r="F23178" s="1"/>
      <c r="G23178" s="1"/>
    </row>
    <row r="23179">
      <c r="B23179" s="36"/>
      <c r="C23179" s="36"/>
      <c r="E23179" s="1"/>
      <c r="F23179" s="1"/>
      <c r="G23179" s="1"/>
    </row>
    <row r="23180">
      <c r="B23180" s="36"/>
      <c r="C23180" s="36"/>
      <c r="E23180" s="1"/>
      <c r="F23180" s="1"/>
      <c r="G23180" s="1"/>
    </row>
    <row r="23181">
      <c r="B23181" s="36"/>
      <c r="C23181" s="36"/>
      <c r="E23181" s="1"/>
      <c r="F23181" s="1"/>
      <c r="G23181" s="1"/>
    </row>
    <row r="23182">
      <c r="B23182" s="36"/>
      <c r="C23182" s="36"/>
      <c r="E23182" s="1"/>
      <c r="F23182" s="1"/>
      <c r="G23182" s="1"/>
    </row>
    <row r="23183">
      <c r="B23183" s="36"/>
      <c r="C23183" s="36"/>
      <c r="E23183" s="1"/>
      <c r="F23183" s="1"/>
      <c r="G23183" s="1"/>
    </row>
    <row r="23184">
      <c r="B23184" s="36"/>
      <c r="C23184" s="36"/>
      <c r="E23184" s="1"/>
      <c r="F23184" s="1"/>
      <c r="G23184" s="1"/>
    </row>
    <row r="23185">
      <c r="B23185" s="36"/>
      <c r="C23185" s="36"/>
      <c r="E23185" s="1"/>
      <c r="F23185" s="1"/>
      <c r="G23185" s="1"/>
    </row>
    <row r="23186">
      <c r="B23186" s="36"/>
      <c r="C23186" s="36"/>
      <c r="E23186" s="1"/>
      <c r="F23186" s="1"/>
      <c r="G23186" s="1"/>
    </row>
    <row r="23187">
      <c r="B23187" s="36"/>
      <c r="C23187" s="36"/>
      <c r="E23187" s="1"/>
      <c r="F23187" s="1"/>
      <c r="G23187" s="1"/>
    </row>
    <row r="23188">
      <c r="B23188" s="36"/>
      <c r="C23188" s="36"/>
      <c r="E23188" s="1"/>
      <c r="F23188" s="1"/>
      <c r="G23188" s="1"/>
    </row>
    <row r="23189">
      <c r="B23189" s="36"/>
      <c r="C23189" s="36"/>
      <c r="E23189" s="1"/>
      <c r="F23189" s="1"/>
      <c r="G23189" s="1"/>
    </row>
    <row r="23190">
      <c r="B23190" s="36"/>
      <c r="C23190" s="36"/>
      <c r="E23190" s="1"/>
      <c r="F23190" s="1"/>
      <c r="G23190" s="1"/>
    </row>
    <row r="23191">
      <c r="B23191" s="36"/>
      <c r="C23191" s="36"/>
      <c r="E23191" s="1"/>
      <c r="F23191" s="1"/>
      <c r="G23191" s="1"/>
    </row>
    <row r="23192">
      <c r="B23192" s="36"/>
      <c r="C23192" s="36"/>
      <c r="E23192" s="1"/>
      <c r="F23192" s="1"/>
      <c r="G23192" s="1"/>
    </row>
    <row r="23193">
      <c r="B23193" s="36"/>
      <c r="C23193" s="36"/>
      <c r="E23193" s="1"/>
      <c r="F23193" s="1"/>
      <c r="G23193" s="1"/>
    </row>
    <row r="23194">
      <c r="B23194" s="36"/>
      <c r="C23194" s="36"/>
      <c r="E23194" s="1"/>
      <c r="F23194" s="1"/>
      <c r="G23194" s="1"/>
    </row>
    <row r="23195">
      <c r="B23195" s="36"/>
      <c r="C23195" s="36"/>
      <c r="E23195" s="1"/>
      <c r="F23195" s="1"/>
      <c r="G23195" s="1"/>
    </row>
    <row r="23196">
      <c r="B23196" s="36"/>
      <c r="C23196" s="36"/>
      <c r="E23196" s="1"/>
      <c r="F23196" s="1"/>
      <c r="G23196" s="1"/>
    </row>
    <row r="23197">
      <c r="B23197" s="36"/>
      <c r="C23197" s="36"/>
      <c r="E23197" s="1"/>
      <c r="F23197" s="1"/>
      <c r="G23197" s="1"/>
    </row>
    <row r="23198">
      <c r="B23198" s="36"/>
      <c r="C23198" s="36"/>
      <c r="E23198" s="1"/>
      <c r="F23198" s="1"/>
      <c r="G23198" s="1"/>
    </row>
    <row r="23199">
      <c r="B23199" s="36"/>
      <c r="C23199" s="36"/>
      <c r="E23199" s="1"/>
      <c r="F23199" s="1"/>
      <c r="G23199" s="1"/>
    </row>
    <row r="23200">
      <c r="B23200" s="36"/>
      <c r="C23200" s="36"/>
      <c r="E23200" s="1"/>
      <c r="F23200" s="1"/>
      <c r="G23200" s="1"/>
    </row>
    <row r="23201">
      <c r="B23201" s="36"/>
      <c r="C23201" s="36"/>
      <c r="E23201" s="1"/>
      <c r="F23201" s="1"/>
      <c r="G23201" s="1"/>
    </row>
    <row r="23202">
      <c r="B23202" s="36"/>
      <c r="C23202" s="36"/>
      <c r="E23202" s="1"/>
      <c r="F23202" s="1"/>
      <c r="G23202" s="1"/>
    </row>
    <row r="23203">
      <c r="B23203" s="36"/>
      <c r="C23203" s="36"/>
      <c r="E23203" s="1"/>
      <c r="F23203" s="1"/>
      <c r="G23203" s="1"/>
    </row>
    <row r="23204">
      <c r="B23204" s="36"/>
      <c r="C23204" s="36"/>
      <c r="E23204" s="1"/>
      <c r="F23204" s="1"/>
      <c r="G23204" s="1"/>
    </row>
    <row r="23205">
      <c r="B23205" s="36"/>
      <c r="C23205" s="36"/>
      <c r="E23205" s="1"/>
      <c r="F23205" s="1"/>
      <c r="G23205" s="1"/>
    </row>
    <row r="23206">
      <c r="B23206" s="36"/>
      <c r="C23206" s="36"/>
      <c r="E23206" s="1"/>
      <c r="F23206" s="1"/>
      <c r="G23206" s="1"/>
    </row>
    <row r="23207">
      <c r="B23207" s="36"/>
      <c r="C23207" s="36"/>
      <c r="E23207" s="1"/>
      <c r="F23207" s="1"/>
      <c r="G23207" s="1"/>
    </row>
    <row r="23208">
      <c r="B23208" s="36"/>
      <c r="C23208" s="36"/>
      <c r="E23208" s="1"/>
      <c r="F23208" s="1"/>
      <c r="G23208" s="1"/>
    </row>
    <row r="23209">
      <c r="B23209" s="36"/>
      <c r="C23209" s="36"/>
      <c r="E23209" s="1"/>
      <c r="F23209" s="1"/>
      <c r="G23209" s="1"/>
    </row>
    <row r="23210">
      <c r="B23210" s="36"/>
      <c r="C23210" s="36"/>
      <c r="E23210" s="1"/>
      <c r="F23210" s="1"/>
      <c r="G23210" s="1"/>
    </row>
    <row r="23211">
      <c r="B23211" s="36"/>
      <c r="C23211" s="36"/>
      <c r="E23211" s="1"/>
      <c r="F23211" s="1"/>
      <c r="G23211" s="1"/>
    </row>
    <row r="23212">
      <c r="B23212" s="36"/>
      <c r="C23212" s="36"/>
      <c r="E23212" s="1"/>
      <c r="F23212" s="1"/>
      <c r="G23212" s="1"/>
    </row>
    <row r="23213">
      <c r="B23213" s="36"/>
      <c r="C23213" s="36"/>
      <c r="E23213" s="1"/>
      <c r="F23213" s="1"/>
      <c r="G23213" s="1"/>
    </row>
    <row r="23214">
      <c r="B23214" s="36"/>
      <c r="C23214" s="36"/>
      <c r="E23214" s="1"/>
      <c r="F23214" s="1"/>
      <c r="G23214" s="1"/>
    </row>
    <row r="23215">
      <c r="B23215" s="36"/>
      <c r="C23215" s="36"/>
      <c r="E23215" s="1"/>
      <c r="F23215" s="1"/>
      <c r="G23215" s="1"/>
    </row>
    <row r="23216">
      <c r="B23216" s="36"/>
      <c r="C23216" s="36"/>
      <c r="E23216" s="1"/>
      <c r="F23216" s="1"/>
      <c r="G23216" s="1"/>
    </row>
    <row r="23217">
      <c r="B23217" s="36"/>
      <c r="C23217" s="36"/>
      <c r="E23217" s="1"/>
      <c r="F23217" s="1"/>
      <c r="G23217" s="1"/>
    </row>
    <row r="23218">
      <c r="B23218" s="36"/>
      <c r="C23218" s="36"/>
      <c r="E23218" s="1"/>
      <c r="F23218" s="1"/>
      <c r="G23218" s="1"/>
    </row>
    <row r="23219">
      <c r="B23219" s="36"/>
      <c r="C23219" s="36"/>
      <c r="E23219" s="1"/>
      <c r="F23219" s="1"/>
      <c r="G23219" s="1"/>
    </row>
    <row r="23220">
      <c r="B23220" s="36"/>
      <c r="C23220" s="36"/>
      <c r="E23220" s="1"/>
      <c r="F23220" s="1"/>
      <c r="G23220" s="1"/>
    </row>
    <row r="23221">
      <c r="B23221" s="36"/>
      <c r="C23221" s="36"/>
      <c r="E23221" s="1"/>
      <c r="F23221" s="1"/>
      <c r="G23221" s="1"/>
    </row>
    <row r="23222">
      <c r="B23222" s="36"/>
      <c r="C23222" s="36"/>
      <c r="E23222" s="1"/>
      <c r="F23222" s="1"/>
      <c r="G23222" s="1"/>
    </row>
    <row r="23223">
      <c r="B23223" s="36"/>
      <c r="C23223" s="36"/>
      <c r="E23223" s="1"/>
      <c r="F23223" s="1"/>
      <c r="G23223" s="1"/>
    </row>
    <row r="23224">
      <c r="B23224" s="36"/>
      <c r="C23224" s="36"/>
      <c r="E23224" s="1"/>
      <c r="F23224" s="1"/>
      <c r="G23224" s="1"/>
    </row>
    <row r="23225">
      <c r="B23225" s="36"/>
      <c r="C23225" s="36"/>
      <c r="E23225" s="1"/>
      <c r="F23225" s="1"/>
      <c r="G23225" s="1"/>
    </row>
    <row r="23226">
      <c r="B23226" s="36"/>
      <c r="C23226" s="36"/>
      <c r="E23226" s="1"/>
      <c r="F23226" s="1"/>
      <c r="G23226" s="1"/>
    </row>
    <row r="23227">
      <c r="B23227" s="36"/>
      <c r="C23227" s="36"/>
      <c r="E23227" s="1"/>
      <c r="F23227" s="1"/>
      <c r="G23227" s="1"/>
    </row>
    <row r="23228">
      <c r="B23228" s="36"/>
      <c r="C23228" s="36"/>
      <c r="E23228" s="1"/>
      <c r="F23228" s="1"/>
      <c r="G23228" s="1"/>
    </row>
    <row r="23229">
      <c r="B23229" s="36"/>
      <c r="C23229" s="36"/>
      <c r="E23229" s="1"/>
      <c r="F23229" s="1"/>
      <c r="G23229" s="1"/>
    </row>
    <row r="23230">
      <c r="B23230" s="36"/>
      <c r="C23230" s="36"/>
      <c r="E23230" s="1"/>
      <c r="F23230" s="1"/>
      <c r="G23230" s="1"/>
    </row>
    <row r="23231">
      <c r="B23231" s="36"/>
      <c r="C23231" s="36"/>
      <c r="E23231" s="1"/>
      <c r="F23231" s="1"/>
      <c r="G23231" s="1"/>
    </row>
    <row r="23232">
      <c r="B23232" s="36"/>
      <c r="C23232" s="36"/>
      <c r="E23232" s="1"/>
      <c r="F23232" s="1"/>
      <c r="G23232" s="1"/>
    </row>
    <row r="23233">
      <c r="B23233" s="36"/>
      <c r="C23233" s="36"/>
      <c r="E23233" s="1"/>
      <c r="F23233" s="1"/>
      <c r="G23233" s="1"/>
    </row>
    <row r="23234">
      <c r="B23234" s="36"/>
      <c r="C23234" s="36"/>
      <c r="E23234" s="1"/>
      <c r="F23234" s="1"/>
      <c r="G23234" s="1"/>
    </row>
    <row r="23235">
      <c r="B23235" s="36"/>
      <c r="C23235" s="36"/>
      <c r="E23235" s="1"/>
      <c r="F23235" s="1"/>
      <c r="G23235" s="1"/>
    </row>
    <row r="23236">
      <c r="B23236" s="36"/>
      <c r="C23236" s="36"/>
      <c r="E23236" s="1"/>
      <c r="F23236" s="1"/>
      <c r="G23236" s="1"/>
    </row>
    <row r="23237">
      <c r="B23237" s="36"/>
      <c r="C23237" s="36"/>
      <c r="E23237" s="1"/>
      <c r="F23237" s="1"/>
      <c r="G23237" s="1"/>
    </row>
    <row r="23238">
      <c r="B23238" s="36"/>
      <c r="C23238" s="36"/>
      <c r="E23238" s="1"/>
      <c r="F23238" s="1"/>
      <c r="G23238" s="1"/>
    </row>
    <row r="23239">
      <c r="B23239" s="36"/>
      <c r="C23239" s="36"/>
      <c r="E23239" s="1"/>
      <c r="F23239" s="1"/>
      <c r="G23239" s="1"/>
    </row>
    <row r="23240">
      <c r="B23240" s="36"/>
      <c r="C23240" s="36"/>
      <c r="E23240" s="1"/>
      <c r="F23240" s="1"/>
      <c r="G23240" s="1"/>
    </row>
    <row r="23241">
      <c r="B23241" s="36"/>
      <c r="C23241" s="36"/>
      <c r="E23241" s="1"/>
      <c r="F23241" s="1"/>
      <c r="G23241" s="1"/>
    </row>
    <row r="23242">
      <c r="B23242" s="36"/>
      <c r="C23242" s="36"/>
      <c r="E23242" s="1"/>
      <c r="F23242" s="1"/>
      <c r="G23242" s="1"/>
    </row>
    <row r="23243">
      <c r="B23243" s="36"/>
      <c r="C23243" s="36"/>
      <c r="E23243" s="1"/>
      <c r="F23243" s="1"/>
      <c r="G23243" s="1"/>
    </row>
    <row r="23244">
      <c r="B23244" s="36"/>
      <c r="C23244" s="36"/>
      <c r="E23244" s="1"/>
      <c r="F23244" s="1"/>
      <c r="G23244" s="1"/>
    </row>
    <row r="23245">
      <c r="B23245" s="36"/>
      <c r="C23245" s="36"/>
      <c r="E23245" s="1"/>
      <c r="F23245" s="1"/>
      <c r="G23245" s="1"/>
    </row>
    <row r="23246">
      <c r="B23246" s="36"/>
      <c r="C23246" s="36"/>
      <c r="E23246" s="1"/>
      <c r="F23246" s="1"/>
      <c r="G23246" s="1"/>
    </row>
    <row r="23247">
      <c r="B23247" s="36"/>
      <c r="C23247" s="36"/>
      <c r="E23247" s="1"/>
      <c r="F23247" s="1"/>
      <c r="G23247" s="1"/>
    </row>
    <row r="23248">
      <c r="B23248" s="36"/>
      <c r="C23248" s="36"/>
      <c r="E23248" s="1"/>
      <c r="F23248" s="1"/>
      <c r="G23248" s="1"/>
    </row>
    <row r="23249">
      <c r="B23249" s="36"/>
      <c r="C23249" s="36"/>
      <c r="E23249" s="1"/>
      <c r="F23249" s="1"/>
      <c r="G23249" s="1"/>
    </row>
    <row r="23250">
      <c r="B23250" s="36"/>
      <c r="C23250" s="36"/>
      <c r="E23250" s="1"/>
      <c r="F23250" s="1"/>
      <c r="G23250" s="1"/>
    </row>
    <row r="23251">
      <c r="B23251" s="36"/>
      <c r="C23251" s="36"/>
      <c r="E23251" s="1"/>
      <c r="F23251" s="1"/>
      <c r="G23251" s="1"/>
    </row>
    <row r="23252">
      <c r="B23252" s="36"/>
      <c r="C23252" s="36"/>
      <c r="E23252" s="1"/>
      <c r="F23252" s="1"/>
      <c r="G23252" s="1"/>
    </row>
    <row r="23253">
      <c r="B23253" s="36"/>
      <c r="C23253" s="36"/>
      <c r="E23253" s="1"/>
      <c r="F23253" s="1"/>
      <c r="G23253" s="1"/>
    </row>
    <row r="23254">
      <c r="B23254" s="36"/>
      <c r="C23254" s="36"/>
      <c r="E23254" s="1"/>
      <c r="F23254" s="1"/>
      <c r="G23254" s="1"/>
    </row>
    <row r="23255">
      <c r="B23255" s="36"/>
      <c r="C23255" s="36"/>
      <c r="E23255" s="1"/>
      <c r="F23255" s="1"/>
      <c r="G23255" s="1"/>
    </row>
    <row r="23256">
      <c r="B23256" s="36"/>
      <c r="C23256" s="36"/>
      <c r="E23256" s="1"/>
      <c r="F23256" s="1"/>
      <c r="G23256" s="1"/>
    </row>
    <row r="23257">
      <c r="B23257" s="36"/>
      <c r="C23257" s="36"/>
      <c r="E23257" s="1"/>
      <c r="F23257" s="1"/>
      <c r="G23257" s="1"/>
    </row>
    <row r="23258">
      <c r="B23258" s="36"/>
      <c r="C23258" s="36"/>
      <c r="E23258" s="1"/>
      <c r="F23258" s="1"/>
      <c r="G23258" s="1"/>
    </row>
    <row r="23259">
      <c r="B23259" s="36"/>
      <c r="C23259" s="36"/>
      <c r="E23259" s="1"/>
      <c r="F23259" s="1"/>
      <c r="G23259" s="1"/>
    </row>
    <row r="23260">
      <c r="B23260" s="36"/>
      <c r="C23260" s="36"/>
      <c r="E23260" s="1"/>
      <c r="F23260" s="1"/>
      <c r="G23260" s="1"/>
    </row>
    <row r="23261">
      <c r="B23261" s="36"/>
      <c r="C23261" s="36"/>
      <c r="E23261" s="1"/>
      <c r="F23261" s="1"/>
      <c r="G23261" s="1"/>
    </row>
    <row r="23262">
      <c r="B23262" s="36"/>
      <c r="C23262" s="36"/>
      <c r="E23262" s="1"/>
      <c r="F23262" s="1"/>
      <c r="G23262" s="1"/>
    </row>
    <row r="23263">
      <c r="B23263" s="36"/>
      <c r="C23263" s="36"/>
      <c r="E23263" s="1"/>
      <c r="F23263" s="1"/>
      <c r="G23263" s="1"/>
    </row>
    <row r="23264">
      <c r="B23264" s="36"/>
      <c r="C23264" s="36"/>
      <c r="E23264" s="1"/>
      <c r="F23264" s="1"/>
      <c r="G23264" s="1"/>
    </row>
    <row r="23265">
      <c r="B23265" s="36"/>
      <c r="C23265" s="36"/>
      <c r="E23265" s="1"/>
      <c r="F23265" s="1"/>
      <c r="G23265" s="1"/>
    </row>
    <row r="23266">
      <c r="B23266" s="36"/>
      <c r="C23266" s="36"/>
      <c r="E23266" s="1"/>
      <c r="F23266" s="1"/>
      <c r="G23266" s="1"/>
    </row>
    <row r="23267">
      <c r="B23267" s="36"/>
      <c r="C23267" s="36"/>
      <c r="E23267" s="1"/>
      <c r="F23267" s="1"/>
      <c r="G23267" s="1"/>
    </row>
    <row r="23268">
      <c r="B23268" s="36"/>
      <c r="C23268" s="36"/>
      <c r="E23268" s="1"/>
      <c r="F23268" s="1"/>
      <c r="G23268" s="1"/>
    </row>
    <row r="23269">
      <c r="B23269" s="36"/>
      <c r="C23269" s="36"/>
      <c r="E23269" s="1"/>
      <c r="F23269" s="1"/>
      <c r="G23269" s="1"/>
    </row>
    <row r="23270">
      <c r="B23270" s="36"/>
      <c r="C23270" s="36"/>
      <c r="E23270" s="1"/>
      <c r="F23270" s="1"/>
      <c r="G23270" s="1"/>
    </row>
    <row r="23271">
      <c r="B23271" s="36"/>
      <c r="C23271" s="36"/>
      <c r="E23271" s="1"/>
      <c r="F23271" s="1"/>
      <c r="G23271" s="1"/>
    </row>
    <row r="23272">
      <c r="B23272" s="36"/>
      <c r="C23272" s="36"/>
      <c r="E23272" s="1"/>
      <c r="F23272" s="1"/>
      <c r="G23272" s="1"/>
    </row>
    <row r="23273">
      <c r="B23273" s="36"/>
      <c r="C23273" s="36"/>
      <c r="E23273" s="1"/>
      <c r="F23273" s="1"/>
      <c r="G23273" s="1"/>
    </row>
    <row r="23274">
      <c r="B23274" s="36"/>
      <c r="C23274" s="36"/>
      <c r="E23274" s="1"/>
      <c r="F23274" s="1"/>
      <c r="G23274" s="1"/>
    </row>
    <row r="23275">
      <c r="B23275" s="36"/>
      <c r="C23275" s="36"/>
      <c r="E23275" s="1"/>
      <c r="F23275" s="1"/>
      <c r="G23275" s="1"/>
    </row>
    <row r="23276">
      <c r="B23276" s="36"/>
      <c r="C23276" s="36"/>
      <c r="E23276" s="1"/>
      <c r="F23276" s="1"/>
      <c r="G23276" s="1"/>
    </row>
    <row r="23277">
      <c r="B23277" s="36"/>
      <c r="C23277" s="36"/>
      <c r="E23277" s="1"/>
      <c r="F23277" s="1"/>
      <c r="G23277" s="1"/>
    </row>
    <row r="23278">
      <c r="B23278" s="36"/>
      <c r="C23278" s="36"/>
      <c r="E23278" s="1"/>
      <c r="F23278" s="1"/>
      <c r="G23278" s="1"/>
    </row>
    <row r="23279">
      <c r="B23279" s="36"/>
      <c r="C23279" s="36"/>
      <c r="E23279" s="1"/>
      <c r="F23279" s="1"/>
      <c r="G23279" s="1"/>
    </row>
    <row r="23280">
      <c r="B23280" s="36"/>
      <c r="C23280" s="36"/>
      <c r="E23280" s="1"/>
      <c r="F23280" s="1"/>
      <c r="G23280" s="1"/>
    </row>
    <row r="23281">
      <c r="B23281" s="36"/>
      <c r="C23281" s="36"/>
      <c r="E23281" s="1"/>
      <c r="F23281" s="1"/>
      <c r="G23281" s="1"/>
    </row>
    <row r="23282">
      <c r="B23282" s="36"/>
      <c r="C23282" s="36"/>
      <c r="E23282" s="1"/>
      <c r="F23282" s="1"/>
      <c r="G23282" s="1"/>
    </row>
    <row r="23283">
      <c r="B23283" s="36"/>
      <c r="C23283" s="36"/>
      <c r="E23283" s="1"/>
      <c r="F23283" s="1"/>
      <c r="G23283" s="1"/>
    </row>
    <row r="23284">
      <c r="B23284" s="36"/>
      <c r="C23284" s="36"/>
      <c r="E23284" s="1"/>
      <c r="F23284" s="1"/>
      <c r="G23284" s="1"/>
    </row>
    <row r="23285">
      <c r="B23285" s="36"/>
      <c r="C23285" s="36"/>
      <c r="E23285" s="1"/>
      <c r="F23285" s="1"/>
      <c r="G23285" s="1"/>
    </row>
    <row r="23286">
      <c r="B23286" s="36"/>
      <c r="C23286" s="36"/>
      <c r="E23286" s="1"/>
      <c r="F23286" s="1"/>
      <c r="G23286" s="1"/>
    </row>
    <row r="23287">
      <c r="B23287" s="36"/>
      <c r="C23287" s="36"/>
      <c r="E23287" s="1"/>
      <c r="F23287" s="1"/>
      <c r="G23287" s="1"/>
    </row>
    <row r="23288">
      <c r="B23288" s="36"/>
      <c r="C23288" s="36"/>
      <c r="E23288" s="1"/>
      <c r="F23288" s="1"/>
      <c r="G23288" s="1"/>
    </row>
    <row r="23289">
      <c r="B23289" s="36"/>
      <c r="C23289" s="36"/>
      <c r="E23289" s="1"/>
      <c r="F23289" s="1"/>
      <c r="G23289" s="1"/>
    </row>
    <row r="23290">
      <c r="B23290" s="36"/>
      <c r="C23290" s="36"/>
      <c r="E23290" s="1"/>
      <c r="F23290" s="1"/>
      <c r="G23290" s="1"/>
    </row>
    <row r="23291">
      <c r="B23291" s="36"/>
      <c r="C23291" s="36"/>
      <c r="E23291" s="1"/>
      <c r="F23291" s="1"/>
      <c r="G23291" s="1"/>
    </row>
    <row r="23292">
      <c r="B23292" s="36"/>
      <c r="C23292" s="36"/>
      <c r="E23292" s="1"/>
      <c r="F23292" s="1"/>
      <c r="G23292" s="1"/>
    </row>
    <row r="23293">
      <c r="B23293" s="36"/>
      <c r="C23293" s="36"/>
      <c r="E23293" s="1"/>
      <c r="F23293" s="1"/>
      <c r="G23293" s="1"/>
    </row>
    <row r="23294">
      <c r="B23294" s="36"/>
      <c r="C23294" s="36"/>
      <c r="E23294" s="1"/>
      <c r="F23294" s="1"/>
      <c r="G23294" s="1"/>
    </row>
    <row r="23295">
      <c r="B23295" s="36"/>
      <c r="C23295" s="36"/>
      <c r="E23295" s="1"/>
      <c r="F23295" s="1"/>
      <c r="G23295" s="1"/>
    </row>
    <row r="23296">
      <c r="B23296" s="36"/>
      <c r="C23296" s="36"/>
      <c r="E23296" s="1"/>
      <c r="F23296" s="1"/>
      <c r="G23296" s="1"/>
    </row>
    <row r="23297">
      <c r="B23297" s="36"/>
      <c r="C23297" s="36"/>
      <c r="E23297" s="1"/>
      <c r="F23297" s="1"/>
      <c r="G23297" s="1"/>
    </row>
    <row r="23298">
      <c r="B23298" s="36"/>
      <c r="C23298" s="36"/>
      <c r="E23298" s="1"/>
      <c r="F23298" s="1"/>
      <c r="G23298" s="1"/>
    </row>
    <row r="23299">
      <c r="B23299" s="36"/>
      <c r="C23299" s="36"/>
      <c r="E23299" s="1"/>
      <c r="F23299" s="1"/>
      <c r="G23299" s="1"/>
    </row>
    <row r="23300">
      <c r="B23300" s="36"/>
      <c r="C23300" s="36"/>
      <c r="E23300" s="1"/>
      <c r="F23300" s="1"/>
      <c r="G23300" s="1"/>
    </row>
    <row r="23301">
      <c r="B23301" s="36"/>
      <c r="C23301" s="36"/>
      <c r="E23301" s="1"/>
      <c r="F23301" s="1"/>
      <c r="G23301" s="1"/>
    </row>
    <row r="23302">
      <c r="B23302" s="36"/>
      <c r="C23302" s="36"/>
      <c r="E23302" s="1"/>
      <c r="F23302" s="1"/>
      <c r="G23302" s="1"/>
    </row>
    <row r="23303">
      <c r="B23303" s="36"/>
      <c r="C23303" s="36"/>
      <c r="E23303" s="1"/>
      <c r="F23303" s="1"/>
      <c r="G23303" s="1"/>
    </row>
    <row r="23304">
      <c r="B23304" s="36"/>
      <c r="C23304" s="36"/>
      <c r="E23304" s="1"/>
      <c r="F23304" s="1"/>
      <c r="G23304" s="1"/>
    </row>
    <row r="23305">
      <c r="B23305" s="36"/>
      <c r="C23305" s="36"/>
      <c r="E23305" s="1"/>
      <c r="F23305" s="1"/>
      <c r="G23305" s="1"/>
    </row>
    <row r="23306">
      <c r="B23306" s="36"/>
      <c r="C23306" s="36"/>
      <c r="E23306" s="1"/>
      <c r="F23306" s="1"/>
      <c r="G23306" s="1"/>
    </row>
    <row r="23307">
      <c r="B23307" s="36"/>
      <c r="C23307" s="36"/>
      <c r="E23307" s="1"/>
      <c r="F23307" s="1"/>
      <c r="G23307" s="1"/>
    </row>
    <row r="23308">
      <c r="B23308" s="36"/>
      <c r="C23308" s="36"/>
      <c r="E23308" s="1"/>
      <c r="F23308" s="1"/>
      <c r="G23308" s="1"/>
    </row>
    <row r="23309">
      <c r="B23309" s="36"/>
      <c r="C23309" s="36"/>
      <c r="E23309" s="1"/>
      <c r="F23309" s="1"/>
      <c r="G23309" s="1"/>
    </row>
    <row r="23310">
      <c r="B23310" s="36"/>
      <c r="C23310" s="36"/>
      <c r="E23310" s="1"/>
      <c r="F23310" s="1"/>
      <c r="G23310" s="1"/>
    </row>
    <row r="23311">
      <c r="B23311" s="36"/>
      <c r="C23311" s="36"/>
      <c r="E23311" s="1"/>
      <c r="F23311" s="1"/>
      <c r="G23311" s="1"/>
    </row>
    <row r="23312">
      <c r="B23312" s="36"/>
      <c r="C23312" s="36"/>
      <c r="E23312" s="1"/>
      <c r="F23312" s="1"/>
      <c r="G23312" s="1"/>
    </row>
    <row r="23313">
      <c r="B23313" s="36"/>
      <c r="C23313" s="36"/>
      <c r="E23313" s="1"/>
      <c r="F23313" s="1"/>
      <c r="G23313" s="1"/>
    </row>
    <row r="23314">
      <c r="B23314" s="36"/>
      <c r="C23314" s="36"/>
      <c r="E23314" s="1"/>
      <c r="F23314" s="1"/>
      <c r="G23314" s="1"/>
    </row>
    <row r="23315">
      <c r="B23315" s="36"/>
      <c r="C23315" s="36"/>
      <c r="E23315" s="1"/>
      <c r="F23315" s="1"/>
      <c r="G23315" s="1"/>
    </row>
    <row r="23316">
      <c r="B23316" s="36"/>
      <c r="C23316" s="36"/>
      <c r="E23316" s="1"/>
      <c r="F23316" s="1"/>
      <c r="G23316" s="1"/>
    </row>
    <row r="23317">
      <c r="B23317" s="36"/>
      <c r="C23317" s="36"/>
      <c r="E23317" s="1"/>
      <c r="F23317" s="1"/>
      <c r="G23317" s="1"/>
    </row>
    <row r="23318">
      <c r="B23318" s="36"/>
      <c r="C23318" s="36"/>
      <c r="E23318" s="1"/>
      <c r="F23318" s="1"/>
      <c r="G23318" s="1"/>
    </row>
    <row r="23319">
      <c r="B23319" s="36"/>
      <c r="C23319" s="36"/>
      <c r="E23319" s="1"/>
      <c r="F23319" s="1"/>
      <c r="G23319" s="1"/>
    </row>
    <row r="23320">
      <c r="B23320" s="36"/>
      <c r="C23320" s="36"/>
      <c r="E23320" s="1"/>
      <c r="F23320" s="1"/>
      <c r="G23320" s="1"/>
    </row>
    <row r="23321">
      <c r="B23321" s="36"/>
      <c r="C23321" s="36"/>
      <c r="E23321" s="1"/>
      <c r="F23321" s="1"/>
      <c r="G23321" s="1"/>
    </row>
    <row r="23322">
      <c r="B23322" s="36"/>
      <c r="C23322" s="36"/>
      <c r="E23322" s="1"/>
      <c r="F23322" s="1"/>
      <c r="G23322" s="1"/>
    </row>
    <row r="23323">
      <c r="B23323" s="36"/>
      <c r="C23323" s="36"/>
      <c r="E23323" s="1"/>
      <c r="F23323" s="1"/>
      <c r="G23323" s="1"/>
    </row>
    <row r="23324">
      <c r="B23324" s="36"/>
      <c r="C23324" s="36"/>
      <c r="E23324" s="1"/>
      <c r="F23324" s="1"/>
      <c r="G23324" s="1"/>
    </row>
    <row r="23325">
      <c r="B23325" s="36"/>
      <c r="C23325" s="36"/>
      <c r="E23325" s="1"/>
      <c r="F23325" s="1"/>
      <c r="G23325" s="1"/>
    </row>
    <row r="23326">
      <c r="B23326" s="36"/>
      <c r="C23326" s="36"/>
      <c r="E23326" s="1"/>
      <c r="F23326" s="1"/>
      <c r="G23326" s="1"/>
    </row>
    <row r="23327">
      <c r="B23327" s="36"/>
      <c r="C23327" s="36"/>
      <c r="E23327" s="1"/>
      <c r="F23327" s="1"/>
      <c r="G23327" s="1"/>
    </row>
    <row r="23328">
      <c r="B23328" s="36"/>
      <c r="C23328" s="36"/>
      <c r="E23328" s="1"/>
      <c r="F23328" s="1"/>
      <c r="G23328" s="1"/>
    </row>
    <row r="23329">
      <c r="B23329" s="36"/>
      <c r="C23329" s="36"/>
      <c r="E23329" s="1"/>
      <c r="F23329" s="1"/>
      <c r="G23329" s="1"/>
    </row>
    <row r="23330">
      <c r="B23330" s="36"/>
      <c r="C23330" s="36"/>
      <c r="E23330" s="1"/>
      <c r="F23330" s="1"/>
      <c r="G23330" s="1"/>
    </row>
    <row r="23331">
      <c r="B23331" s="36"/>
      <c r="C23331" s="36"/>
      <c r="E23331" s="1"/>
      <c r="F23331" s="1"/>
      <c r="G23331" s="1"/>
    </row>
    <row r="23332">
      <c r="B23332" s="36"/>
      <c r="C23332" s="36"/>
      <c r="E23332" s="1"/>
      <c r="F23332" s="1"/>
      <c r="G23332" s="1"/>
    </row>
    <row r="23333">
      <c r="B23333" s="36"/>
      <c r="C23333" s="36"/>
      <c r="E23333" s="1"/>
      <c r="F23333" s="1"/>
      <c r="G23333" s="1"/>
    </row>
    <row r="23334">
      <c r="B23334" s="36"/>
      <c r="C23334" s="36"/>
      <c r="E23334" s="1"/>
      <c r="F23334" s="1"/>
      <c r="G23334" s="1"/>
    </row>
    <row r="23335">
      <c r="B23335" s="36"/>
      <c r="C23335" s="36"/>
      <c r="E23335" s="1"/>
      <c r="F23335" s="1"/>
      <c r="G23335" s="1"/>
    </row>
    <row r="23336">
      <c r="B23336" s="36"/>
      <c r="C23336" s="36"/>
      <c r="E23336" s="1"/>
      <c r="F23336" s="1"/>
      <c r="G23336" s="1"/>
    </row>
    <row r="23337">
      <c r="B23337" s="36"/>
      <c r="C23337" s="36"/>
      <c r="E23337" s="1"/>
      <c r="F23337" s="1"/>
      <c r="G23337" s="1"/>
    </row>
    <row r="23338">
      <c r="B23338" s="36"/>
      <c r="C23338" s="36"/>
      <c r="E23338" s="1"/>
      <c r="F23338" s="1"/>
      <c r="G23338" s="1"/>
    </row>
    <row r="23339">
      <c r="B23339" s="36"/>
      <c r="C23339" s="36"/>
      <c r="E23339" s="1"/>
      <c r="F23339" s="1"/>
      <c r="G23339" s="1"/>
    </row>
    <row r="23340">
      <c r="B23340" s="36"/>
      <c r="C23340" s="36"/>
      <c r="E23340" s="1"/>
      <c r="F23340" s="1"/>
      <c r="G23340" s="1"/>
    </row>
    <row r="23341">
      <c r="B23341" s="36"/>
      <c r="C23341" s="36"/>
      <c r="E23341" s="1"/>
      <c r="F23341" s="1"/>
      <c r="G23341" s="1"/>
    </row>
    <row r="23342">
      <c r="B23342" s="36"/>
      <c r="C23342" s="36"/>
      <c r="E23342" s="1"/>
      <c r="F23342" s="1"/>
      <c r="G23342" s="1"/>
    </row>
    <row r="23343">
      <c r="B23343" s="36"/>
      <c r="C23343" s="36"/>
      <c r="E23343" s="1"/>
      <c r="F23343" s="1"/>
      <c r="G23343" s="1"/>
    </row>
    <row r="23344">
      <c r="B23344" s="36"/>
      <c r="C23344" s="36"/>
      <c r="E23344" s="1"/>
      <c r="F23344" s="1"/>
      <c r="G23344" s="1"/>
    </row>
    <row r="23345">
      <c r="B23345" s="36"/>
      <c r="C23345" s="36"/>
      <c r="E23345" s="1"/>
      <c r="F23345" s="1"/>
      <c r="G23345" s="1"/>
    </row>
    <row r="23346">
      <c r="B23346" s="36"/>
      <c r="C23346" s="36"/>
      <c r="E23346" s="1"/>
      <c r="F23346" s="1"/>
      <c r="G23346" s="1"/>
    </row>
    <row r="23347">
      <c r="B23347" s="36"/>
      <c r="C23347" s="36"/>
      <c r="E23347" s="1"/>
      <c r="F23347" s="1"/>
      <c r="G23347" s="1"/>
    </row>
    <row r="23348">
      <c r="B23348" s="36"/>
      <c r="C23348" s="36"/>
      <c r="E23348" s="1"/>
      <c r="F23348" s="1"/>
      <c r="G23348" s="1"/>
    </row>
    <row r="23349">
      <c r="B23349" s="36"/>
      <c r="C23349" s="36"/>
      <c r="E23349" s="1"/>
      <c r="F23349" s="1"/>
      <c r="G23349" s="1"/>
    </row>
    <row r="23350">
      <c r="B23350" s="36"/>
      <c r="C23350" s="36"/>
      <c r="E23350" s="1"/>
      <c r="F23350" s="1"/>
      <c r="G23350" s="1"/>
    </row>
    <row r="23351">
      <c r="B23351" s="36"/>
      <c r="C23351" s="36"/>
      <c r="E23351" s="1"/>
      <c r="F23351" s="1"/>
      <c r="G23351" s="1"/>
    </row>
    <row r="23352">
      <c r="B23352" s="36"/>
      <c r="C23352" s="36"/>
      <c r="E23352" s="1"/>
      <c r="F23352" s="1"/>
      <c r="G23352" s="1"/>
    </row>
    <row r="23353">
      <c r="B23353" s="36"/>
      <c r="C23353" s="36"/>
      <c r="E23353" s="1"/>
      <c r="F23353" s="1"/>
      <c r="G23353" s="1"/>
    </row>
    <row r="23354">
      <c r="B23354" s="36"/>
      <c r="C23354" s="36"/>
      <c r="E23354" s="1"/>
      <c r="F23354" s="1"/>
      <c r="G23354" s="1"/>
    </row>
    <row r="23355">
      <c r="B23355" s="36"/>
      <c r="C23355" s="36"/>
      <c r="E23355" s="1"/>
      <c r="F23355" s="1"/>
      <c r="G23355" s="1"/>
    </row>
    <row r="23356">
      <c r="B23356" s="36"/>
      <c r="C23356" s="36"/>
      <c r="E23356" s="1"/>
      <c r="F23356" s="1"/>
      <c r="G23356" s="1"/>
    </row>
    <row r="23357">
      <c r="B23357" s="36"/>
      <c r="C23357" s="36"/>
      <c r="E23357" s="1"/>
      <c r="F23357" s="1"/>
      <c r="G23357" s="1"/>
    </row>
    <row r="23358">
      <c r="B23358" s="36"/>
      <c r="C23358" s="36"/>
      <c r="E23358" s="1"/>
      <c r="F23358" s="1"/>
      <c r="G23358" s="1"/>
    </row>
    <row r="23359">
      <c r="B23359" s="36"/>
      <c r="C23359" s="36"/>
      <c r="E23359" s="1"/>
      <c r="F23359" s="1"/>
      <c r="G23359" s="1"/>
    </row>
    <row r="23360">
      <c r="B23360" s="36"/>
      <c r="C23360" s="36"/>
      <c r="E23360" s="1"/>
      <c r="F23360" s="1"/>
      <c r="G23360" s="1"/>
    </row>
    <row r="23361">
      <c r="B23361" s="36"/>
      <c r="C23361" s="36"/>
      <c r="E23361" s="1"/>
      <c r="F23361" s="1"/>
      <c r="G23361" s="1"/>
    </row>
    <row r="23362">
      <c r="B23362" s="36"/>
      <c r="C23362" s="36"/>
      <c r="E23362" s="1"/>
      <c r="F23362" s="1"/>
      <c r="G23362" s="1"/>
    </row>
    <row r="23363">
      <c r="B23363" s="36"/>
      <c r="C23363" s="36"/>
      <c r="E23363" s="1"/>
      <c r="F23363" s="1"/>
      <c r="G23363" s="1"/>
    </row>
    <row r="23364">
      <c r="B23364" s="36"/>
      <c r="C23364" s="36"/>
      <c r="E23364" s="1"/>
      <c r="F23364" s="1"/>
      <c r="G23364" s="1"/>
    </row>
    <row r="23365">
      <c r="B23365" s="36"/>
      <c r="C23365" s="36"/>
      <c r="E23365" s="1"/>
      <c r="F23365" s="1"/>
      <c r="G23365" s="1"/>
    </row>
    <row r="23366">
      <c r="B23366" s="36"/>
      <c r="C23366" s="36"/>
      <c r="E23366" s="1"/>
      <c r="F23366" s="1"/>
      <c r="G23366" s="1"/>
    </row>
    <row r="23367">
      <c r="B23367" s="36"/>
      <c r="C23367" s="36"/>
      <c r="E23367" s="1"/>
      <c r="F23367" s="1"/>
      <c r="G23367" s="1"/>
    </row>
    <row r="23368">
      <c r="B23368" s="36"/>
      <c r="C23368" s="36"/>
      <c r="E23368" s="1"/>
      <c r="F23368" s="1"/>
      <c r="G23368" s="1"/>
    </row>
    <row r="23369">
      <c r="B23369" s="36"/>
      <c r="C23369" s="36"/>
      <c r="E23369" s="1"/>
      <c r="F23369" s="1"/>
      <c r="G23369" s="1"/>
    </row>
    <row r="23370">
      <c r="B23370" s="36"/>
      <c r="C23370" s="36"/>
      <c r="E23370" s="1"/>
      <c r="F23370" s="1"/>
      <c r="G23370" s="1"/>
    </row>
    <row r="23371">
      <c r="B23371" s="36"/>
      <c r="C23371" s="36"/>
      <c r="E23371" s="1"/>
      <c r="F23371" s="1"/>
      <c r="G23371" s="1"/>
    </row>
    <row r="23372">
      <c r="B23372" s="36"/>
      <c r="C23372" s="36"/>
      <c r="E23372" s="1"/>
      <c r="F23372" s="1"/>
      <c r="G23372" s="1"/>
    </row>
    <row r="23373">
      <c r="B23373" s="36"/>
      <c r="C23373" s="36"/>
      <c r="E23373" s="1"/>
      <c r="F23373" s="1"/>
      <c r="G23373" s="1"/>
    </row>
    <row r="23374">
      <c r="B23374" s="36"/>
      <c r="C23374" s="36"/>
      <c r="E23374" s="1"/>
      <c r="F23374" s="1"/>
      <c r="G23374" s="1"/>
    </row>
    <row r="23375">
      <c r="B23375" s="36"/>
      <c r="C23375" s="36"/>
      <c r="E23375" s="1"/>
      <c r="F23375" s="1"/>
      <c r="G23375" s="1"/>
    </row>
    <row r="23376">
      <c r="B23376" s="36"/>
      <c r="C23376" s="36"/>
      <c r="E23376" s="1"/>
      <c r="F23376" s="1"/>
      <c r="G23376" s="1"/>
    </row>
    <row r="23377">
      <c r="B23377" s="36"/>
      <c r="C23377" s="36"/>
      <c r="E23377" s="1"/>
      <c r="F23377" s="1"/>
      <c r="G23377" s="1"/>
    </row>
    <row r="23378">
      <c r="B23378" s="36"/>
      <c r="C23378" s="36"/>
      <c r="E23378" s="1"/>
      <c r="F23378" s="1"/>
      <c r="G23378" s="1"/>
    </row>
    <row r="23379">
      <c r="B23379" s="36"/>
      <c r="C23379" s="36"/>
      <c r="E23379" s="1"/>
      <c r="F23379" s="1"/>
      <c r="G23379" s="1"/>
    </row>
    <row r="23380">
      <c r="B23380" s="36"/>
      <c r="C23380" s="36"/>
      <c r="E23380" s="1"/>
      <c r="F23380" s="1"/>
      <c r="G23380" s="1"/>
    </row>
    <row r="23381">
      <c r="B23381" s="36"/>
      <c r="C23381" s="36"/>
      <c r="E23381" s="1"/>
      <c r="F23381" s="1"/>
      <c r="G23381" s="1"/>
    </row>
    <row r="23382">
      <c r="B23382" s="36"/>
      <c r="C23382" s="36"/>
      <c r="E23382" s="1"/>
      <c r="F23382" s="1"/>
      <c r="G23382" s="1"/>
    </row>
    <row r="23383">
      <c r="B23383" s="36"/>
      <c r="C23383" s="36"/>
      <c r="E23383" s="1"/>
      <c r="F23383" s="1"/>
      <c r="G23383" s="1"/>
    </row>
    <row r="23384">
      <c r="B23384" s="36"/>
      <c r="C23384" s="36"/>
      <c r="E23384" s="1"/>
      <c r="F23384" s="1"/>
      <c r="G23384" s="1"/>
    </row>
    <row r="23385">
      <c r="B23385" s="36"/>
      <c r="C23385" s="36"/>
      <c r="E23385" s="1"/>
      <c r="F23385" s="1"/>
      <c r="G23385" s="1"/>
    </row>
    <row r="23386">
      <c r="B23386" s="36"/>
      <c r="C23386" s="36"/>
      <c r="E23386" s="1"/>
      <c r="F23386" s="1"/>
      <c r="G23386" s="1"/>
    </row>
    <row r="23387">
      <c r="B23387" s="36"/>
      <c r="C23387" s="36"/>
      <c r="E23387" s="1"/>
      <c r="F23387" s="1"/>
      <c r="G23387" s="1"/>
    </row>
    <row r="23388">
      <c r="B23388" s="36"/>
      <c r="C23388" s="36"/>
      <c r="E23388" s="1"/>
      <c r="F23388" s="1"/>
      <c r="G23388" s="1"/>
    </row>
    <row r="23389">
      <c r="B23389" s="36"/>
      <c r="C23389" s="36"/>
      <c r="E23389" s="1"/>
      <c r="F23389" s="1"/>
      <c r="G23389" s="1"/>
    </row>
    <row r="23390">
      <c r="B23390" s="36"/>
      <c r="C23390" s="36"/>
      <c r="E23390" s="1"/>
      <c r="F23390" s="1"/>
      <c r="G23390" s="1"/>
    </row>
    <row r="23391">
      <c r="B23391" s="36"/>
      <c r="C23391" s="36"/>
      <c r="E23391" s="1"/>
      <c r="F23391" s="1"/>
      <c r="G23391" s="1"/>
    </row>
    <row r="23392">
      <c r="B23392" s="36"/>
      <c r="C23392" s="36"/>
      <c r="E23392" s="1"/>
      <c r="F23392" s="1"/>
      <c r="G23392" s="1"/>
    </row>
    <row r="23393">
      <c r="B23393" s="36"/>
      <c r="C23393" s="36"/>
      <c r="E23393" s="1"/>
      <c r="F23393" s="1"/>
      <c r="G23393" s="1"/>
    </row>
    <row r="23394">
      <c r="B23394" s="36"/>
      <c r="C23394" s="36"/>
      <c r="E23394" s="1"/>
      <c r="F23394" s="1"/>
      <c r="G23394" s="1"/>
    </row>
    <row r="23395">
      <c r="B23395" s="36"/>
      <c r="C23395" s="36"/>
      <c r="E23395" s="1"/>
      <c r="F23395" s="1"/>
      <c r="G23395" s="1"/>
    </row>
    <row r="23396">
      <c r="B23396" s="36"/>
      <c r="C23396" s="36"/>
      <c r="E23396" s="1"/>
      <c r="F23396" s="1"/>
      <c r="G23396" s="1"/>
    </row>
    <row r="23397">
      <c r="B23397" s="36"/>
      <c r="C23397" s="36"/>
      <c r="E23397" s="1"/>
      <c r="F23397" s="1"/>
      <c r="G23397" s="1"/>
    </row>
    <row r="23398">
      <c r="B23398" s="36"/>
      <c r="C23398" s="36"/>
      <c r="E23398" s="1"/>
      <c r="F23398" s="1"/>
      <c r="G23398" s="1"/>
    </row>
    <row r="23399">
      <c r="B23399" s="36"/>
      <c r="C23399" s="36"/>
      <c r="E23399" s="1"/>
      <c r="F23399" s="1"/>
      <c r="G23399" s="1"/>
    </row>
    <row r="23400">
      <c r="B23400" s="36"/>
      <c r="C23400" s="36"/>
      <c r="E23400" s="1"/>
      <c r="F23400" s="1"/>
      <c r="G23400" s="1"/>
    </row>
    <row r="23401">
      <c r="B23401" s="36"/>
      <c r="C23401" s="36"/>
      <c r="E23401" s="1"/>
      <c r="F23401" s="1"/>
      <c r="G23401" s="1"/>
    </row>
    <row r="23402">
      <c r="B23402" s="36"/>
      <c r="C23402" s="36"/>
      <c r="E23402" s="1"/>
      <c r="F23402" s="1"/>
      <c r="G23402" s="1"/>
    </row>
    <row r="23403">
      <c r="B23403" s="36"/>
      <c r="C23403" s="36"/>
      <c r="E23403" s="1"/>
      <c r="F23403" s="1"/>
      <c r="G23403" s="1"/>
    </row>
    <row r="23404">
      <c r="B23404" s="36"/>
      <c r="C23404" s="36"/>
      <c r="E23404" s="1"/>
      <c r="F23404" s="1"/>
      <c r="G23404" s="1"/>
    </row>
    <row r="23405">
      <c r="B23405" s="36"/>
      <c r="C23405" s="36"/>
      <c r="E23405" s="1"/>
      <c r="F23405" s="1"/>
      <c r="G23405" s="1"/>
    </row>
    <row r="23406">
      <c r="B23406" s="36"/>
      <c r="C23406" s="36"/>
      <c r="E23406" s="1"/>
      <c r="F23406" s="1"/>
      <c r="G23406" s="1"/>
    </row>
    <row r="23407">
      <c r="B23407" s="36"/>
      <c r="C23407" s="36"/>
      <c r="E23407" s="1"/>
      <c r="F23407" s="1"/>
      <c r="G23407" s="1"/>
    </row>
    <row r="23408">
      <c r="B23408" s="36"/>
      <c r="C23408" s="36"/>
      <c r="E23408" s="1"/>
      <c r="F23408" s="1"/>
      <c r="G23408" s="1"/>
    </row>
    <row r="23409">
      <c r="B23409" s="36"/>
      <c r="C23409" s="36"/>
      <c r="E23409" s="1"/>
      <c r="F23409" s="1"/>
      <c r="G23409" s="1"/>
    </row>
    <row r="23410">
      <c r="B23410" s="36"/>
      <c r="C23410" s="36"/>
      <c r="E23410" s="1"/>
      <c r="F23410" s="1"/>
      <c r="G23410" s="1"/>
    </row>
    <row r="23411">
      <c r="B23411" s="36"/>
      <c r="C23411" s="36"/>
      <c r="E23411" s="1"/>
      <c r="F23411" s="1"/>
      <c r="G23411" s="1"/>
    </row>
    <row r="23412">
      <c r="B23412" s="36"/>
      <c r="C23412" s="36"/>
      <c r="E23412" s="1"/>
      <c r="F23412" s="1"/>
      <c r="G23412" s="1"/>
    </row>
    <row r="23413">
      <c r="B23413" s="36"/>
      <c r="C23413" s="36"/>
      <c r="E23413" s="1"/>
      <c r="F23413" s="1"/>
      <c r="G23413" s="1"/>
    </row>
    <row r="23414">
      <c r="B23414" s="36"/>
      <c r="C23414" s="36"/>
      <c r="E23414" s="1"/>
      <c r="F23414" s="1"/>
      <c r="G23414" s="1"/>
    </row>
    <row r="23415">
      <c r="B23415" s="36"/>
      <c r="C23415" s="36"/>
      <c r="E23415" s="1"/>
      <c r="F23415" s="1"/>
      <c r="G23415" s="1"/>
    </row>
    <row r="23416">
      <c r="B23416" s="36"/>
      <c r="C23416" s="36"/>
      <c r="E23416" s="1"/>
      <c r="F23416" s="1"/>
      <c r="G23416" s="1"/>
    </row>
    <row r="23417">
      <c r="B23417" s="36"/>
      <c r="C23417" s="36"/>
      <c r="E23417" s="1"/>
      <c r="F23417" s="1"/>
      <c r="G23417" s="1"/>
    </row>
    <row r="23418">
      <c r="B23418" s="36"/>
      <c r="C23418" s="36"/>
      <c r="E23418" s="1"/>
      <c r="F23418" s="1"/>
      <c r="G23418" s="1"/>
    </row>
    <row r="23419">
      <c r="B23419" s="36"/>
      <c r="C23419" s="36"/>
      <c r="E23419" s="1"/>
      <c r="F23419" s="1"/>
      <c r="G23419" s="1"/>
    </row>
    <row r="23420">
      <c r="B23420" s="36"/>
      <c r="C23420" s="36"/>
      <c r="E23420" s="1"/>
      <c r="F23420" s="1"/>
      <c r="G23420" s="1"/>
    </row>
    <row r="23421">
      <c r="B23421" s="36"/>
      <c r="C23421" s="36"/>
      <c r="E23421" s="1"/>
      <c r="F23421" s="1"/>
      <c r="G23421" s="1"/>
    </row>
    <row r="23422">
      <c r="B23422" s="36"/>
      <c r="C23422" s="36"/>
      <c r="E23422" s="1"/>
      <c r="F23422" s="1"/>
      <c r="G23422" s="1"/>
    </row>
    <row r="23423">
      <c r="B23423" s="36"/>
      <c r="C23423" s="36"/>
      <c r="E23423" s="1"/>
      <c r="F23423" s="1"/>
      <c r="G23423" s="1"/>
    </row>
    <row r="23424">
      <c r="B23424" s="36"/>
      <c r="C23424" s="36"/>
      <c r="E23424" s="1"/>
      <c r="F23424" s="1"/>
      <c r="G23424" s="1"/>
    </row>
    <row r="23425">
      <c r="B23425" s="36"/>
      <c r="C23425" s="36"/>
      <c r="E23425" s="1"/>
      <c r="F23425" s="1"/>
      <c r="G23425" s="1"/>
    </row>
    <row r="23426">
      <c r="B23426" s="36"/>
      <c r="C23426" s="36"/>
      <c r="E23426" s="1"/>
      <c r="F23426" s="1"/>
      <c r="G23426" s="1"/>
    </row>
    <row r="23427">
      <c r="B23427" s="36"/>
      <c r="C23427" s="36"/>
      <c r="E23427" s="1"/>
      <c r="F23427" s="1"/>
      <c r="G23427" s="1"/>
    </row>
    <row r="23428">
      <c r="B23428" s="36"/>
      <c r="C23428" s="36"/>
      <c r="E23428" s="1"/>
      <c r="F23428" s="1"/>
      <c r="G23428" s="1"/>
    </row>
    <row r="23429">
      <c r="B23429" s="36"/>
      <c r="C23429" s="36"/>
      <c r="E23429" s="1"/>
      <c r="F23429" s="1"/>
      <c r="G23429" s="1"/>
    </row>
    <row r="23430">
      <c r="B23430" s="36"/>
      <c r="C23430" s="36"/>
      <c r="E23430" s="1"/>
      <c r="F23430" s="1"/>
      <c r="G23430" s="1"/>
    </row>
    <row r="23431">
      <c r="B23431" s="36"/>
      <c r="C23431" s="36"/>
      <c r="E23431" s="1"/>
      <c r="F23431" s="1"/>
      <c r="G23431" s="1"/>
    </row>
    <row r="23432">
      <c r="B23432" s="36"/>
      <c r="C23432" s="36"/>
      <c r="E23432" s="1"/>
      <c r="F23432" s="1"/>
      <c r="G23432" s="1"/>
    </row>
    <row r="23433">
      <c r="B23433" s="36"/>
      <c r="C23433" s="36"/>
      <c r="E23433" s="1"/>
      <c r="F23433" s="1"/>
      <c r="G23433" s="1"/>
    </row>
    <row r="23434">
      <c r="B23434" s="36"/>
      <c r="C23434" s="36"/>
      <c r="E23434" s="1"/>
      <c r="F23434" s="1"/>
      <c r="G23434" s="1"/>
    </row>
    <row r="23435">
      <c r="B23435" s="36"/>
      <c r="C23435" s="36"/>
      <c r="E23435" s="1"/>
      <c r="F23435" s="1"/>
      <c r="G23435" s="1"/>
    </row>
    <row r="23436">
      <c r="B23436" s="36"/>
      <c r="C23436" s="36"/>
      <c r="E23436" s="1"/>
      <c r="F23436" s="1"/>
      <c r="G23436" s="1"/>
    </row>
    <row r="23437">
      <c r="B23437" s="36"/>
      <c r="C23437" s="36"/>
      <c r="E23437" s="1"/>
      <c r="F23437" s="1"/>
      <c r="G23437" s="1"/>
    </row>
    <row r="23438">
      <c r="B23438" s="36"/>
      <c r="C23438" s="36"/>
      <c r="E23438" s="1"/>
      <c r="F23438" s="1"/>
      <c r="G23438" s="1"/>
    </row>
    <row r="23439">
      <c r="B23439" s="36"/>
      <c r="C23439" s="36"/>
      <c r="E23439" s="1"/>
      <c r="F23439" s="1"/>
      <c r="G23439" s="1"/>
    </row>
    <row r="23440">
      <c r="B23440" s="36"/>
      <c r="C23440" s="36"/>
      <c r="E23440" s="1"/>
      <c r="F23440" s="1"/>
      <c r="G23440" s="1"/>
    </row>
    <row r="23441">
      <c r="B23441" s="36"/>
      <c r="C23441" s="36"/>
      <c r="E23441" s="1"/>
      <c r="F23441" s="1"/>
      <c r="G23441" s="1"/>
    </row>
    <row r="23442">
      <c r="B23442" s="36"/>
      <c r="C23442" s="36"/>
      <c r="E23442" s="1"/>
      <c r="F23442" s="1"/>
      <c r="G23442" s="1"/>
    </row>
    <row r="23443">
      <c r="B23443" s="36"/>
      <c r="C23443" s="36"/>
      <c r="E23443" s="1"/>
      <c r="F23443" s="1"/>
      <c r="G23443" s="1"/>
    </row>
    <row r="23444">
      <c r="B23444" s="36"/>
      <c r="C23444" s="36"/>
      <c r="E23444" s="1"/>
      <c r="F23444" s="1"/>
      <c r="G23444" s="1"/>
    </row>
    <row r="23445">
      <c r="B23445" s="36"/>
      <c r="C23445" s="36"/>
      <c r="E23445" s="1"/>
      <c r="F23445" s="1"/>
      <c r="G23445" s="1"/>
    </row>
    <row r="23446">
      <c r="B23446" s="36"/>
      <c r="C23446" s="36"/>
      <c r="E23446" s="1"/>
      <c r="F23446" s="1"/>
      <c r="G23446" s="1"/>
    </row>
    <row r="23447">
      <c r="B23447" s="36"/>
      <c r="C23447" s="36"/>
      <c r="E23447" s="1"/>
      <c r="F23447" s="1"/>
      <c r="G23447" s="1"/>
    </row>
    <row r="23448">
      <c r="B23448" s="36"/>
      <c r="C23448" s="36"/>
      <c r="E23448" s="1"/>
      <c r="F23448" s="1"/>
      <c r="G23448" s="1"/>
    </row>
    <row r="23449">
      <c r="B23449" s="36"/>
      <c r="C23449" s="36"/>
      <c r="E23449" s="1"/>
      <c r="F23449" s="1"/>
      <c r="G23449" s="1"/>
    </row>
    <row r="23450">
      <c r="B23450" s="36"/>
      <c r="C23450" s="36"/>
      <c r="E23450" s="1"/>
      <c r="F23450" s="1"/>
      <c r="G23450" s="1"/>
    </row>
    <row r="23451">
      <c r="B23451" s="36"/>
      <c r="C23451" s="36"/>
      <c r="E23451" s="1"/>
      <c r="F23451" s="1"/>
      <c r="G23451" s="1"/>
    </row>
    <row r="23452">
      <c r="B23452" s="36"/>
      <c r="C23452" s="36"/>
      <c r="E23452" s="1"/>
      <c r="F23452" s="1"/>
      <c r="G23452" s="1"/>
    </row>
    <row r="23453">
      <c r="B23453" s="36"/>
      <c r="C23453" s="36"/>
      <c r="E23453" s="1"/>
      <c r="F23453" s="1"/>
      <c r="G23453" s="1"/>
    </row>
    <row r="23454">
      <c r="B23454" s="36"/>
      <c r="C23454" s="36"/>
      <c r="E23454" s="1"/>
      <c r="F23454" s="1"/>
      <c r="G23454" s="1"/>
    </row>
    <row r="23455">
      <c r="B23455" s="36"/>
      <c r="C23455" s="36"/>
      <c r="E23455" s="1"/>
      <c r="F23455" s="1"/>
      <c r="G23455" s="1"/>
    </row>
    <row r="23456">
      <c r="B23456" s="36"/>
      <c r="C23456" s="36"/>
      <c r="E23456" s="1"/>
      <c r="F23456" s="1"/>
      <c r="G23456" s="1"/>
    </row>
    <row r="23457">
      <c r="B23457" s="36"/>
      <c r="C23457" s="36"/>
      <c r="E23457" s="1"/>
      <c r="F23457" s="1"/>
      <c r="G23457" s="1"/>
    </row>
    <row r="23458">
      <c r="B23458" s="36"/>
      <c r="C23458" s="36"/>
      <c r="E23458" s="1"/>
      <c r="F23458" s="1"/>
      <c r="G23458" s="1"/>
    </row>
    <row r="23459">
      <c r="B23459" s="36"/>
      <c r="C23459" s="36"/>
      <c r="E23459" s="1"/>
      <c r="F23459" s="1"/>
      <c r="G23459" s="1"/>
    </row>
    <row r="23460">
      <c r="B23460" s="36"/>
      <c r="C23460" s="36"/>
      <c r="E23460" s="1"/>
      <c r="F23460" s="1"/>
      <c r="G23460" s="1"/>
    </row>
    <row r="23461">
      <c r="B23461" s="36"/>
      <c r="C23461" s="36"/>
      <c r="E23461" s="1"/>
      <c r="F23461" s="1"/>
      <c r="G23461" s="1"/>
    </row>
    <row r="23462">
      <c r="B23462" s="36"/>
      <c r="C23462" s="36"/>
      <c r="E23462" s="1"/>
      <c r="F23462" s="1"/>
      <c r="G23462" s="1"/>
    </row>
    <row r="23463">
      <c r="B23463" s="36"/>
      <c r="C23463" s="36"/>
      <c r="E23463" s="1"/>
      <c r="F23463" s="1"/>
      <c r="G23463" s="1"/>
    </row>
    <row r="23464">
      <c r="B23464" s="36"/>
      <c r="C23464" s="36"/>
      <c r="E23464" s="1"/>
      <c r="F23464" s="1"/>
      <c r="G23464" s="1"/>
    </row>
    <row r="23465">
      <c r="B23465" s="36"/>
      <c r="C23465" s="36"/>
      <c r="E23465" s="1"/>
      <c r="F23465" s="1"/>
      <c r="G23465" s="1"/>
    </row>
    <row r="23466">
      <c r="B23466" s="36"/>
      <c r="C23466" s="36"/>
      <c r="E23466" s="1"/>
      <c r="F23466" s="1"/>
      <c r="G23466" s="1"/>
    </row>
    <row r="23467">
      <c r="B23467" s="36"/>
      <c r="C23467" s="36"/>
      <c r="E23467" s="1"/>
      <c r="F23467" s="1"/>
      <c r="G23467" s="1"/>
    </row>
    <row r="23468">
      <c r="B23468" s="36"/>
      <c r="C23468" s="36"/>
      <c r="E23468" s="1"/>
      <c r="F23468" s="1"/>
      <c r="G23468" s="1"/>
    </row>
    <row r="23469">
      <c r="B23469" s="36"/>
      <c r="C23469" s="36"/>
      <c r="E23469" s="1"/>
      <c r="F23469" s="1"/>
      <c r="G23469" s="1"/>
    </row>
    <row r="23470">
      <c r="B23470" s="36"/>
      <c r="C23470" s="36"/>
      <c r="E23470" s="1"/>
      <c r="F23470" s="1"/>
      <c r="G23470" s="1"/>
    </row>
    <row r="23471">
      <c r="B23471" s="36"/>
      <c r="C23471" s="36"/>
      <c r="E23471" s="1"/>
      <c r="F23471" s="1"/>
      <c r="G23471" s="1"/>
    </row>
    <row r="23472">
      <c r="B23472" s="36"/>
      <c r="C23472" s="36"/>
      <c r="E23472" s="1"/>
      <c r="F23472" s="1"/>
      <c r="G23472" s="1"/>
    </row>
    <row r="23473">
      <c r="B23473" s="36"/>
      <c r="C23473" s="36"/>
      <c r="E23473" s="1"/>
      <c r="F23473" s="1"/>
      <c r="G23473" s="1"/>
    </row>
    <row r="23474">
      <c r="B23474" s="36"/>
      <c r="C23474" s="36"/>
      <c r="E23474" s="1"/>
      <c r="F23474" s="1"/>
      <c r="G23474" s="1"/>
    </row>
    <row r="23475">
      <c r="B23475" s="36"/>
      <c r="C23475" s="36"/>
      <c r="E23475" s="1"/>
      <c r="F23475" s="1"/>
      <c r="G23475" s="1"/>
    </row>
    <row r="23476">
      <c r="B23476" s="36"/>
      <c r="C23476" s="36"/>
      <c r="E23476" s="1"/>
      <c r="F23476" s="1"/>
      <c r="G23476" s="1"/>
    </row>
    <row r="23477">
      <c r="B23477" s="36"/>
      <c r="C23477" s="36"/>
      <c r="E23477" s="1"/>
      <c r="F23477" s="1"/>
      <c r="G23477" s="1"/>
    </row>
    <row r="23478">
      <c r="B23478" s="36"/>
      <c r="C23478" s="36"/>
      <c r="E23478" s="1"/>
      <c r="F23478" s="1"/>
      <c r="G23478" s="1"/>
    </row>
    <row r="23479">
      <c r="B23479" s="36"/>
      <c r="C23479" s="36"/>
      <c r="E23479" s="1"/>
      <c r="F23479" s="1"/>
      <c r="G23479" s="1"/>
    </row>
    <row r="23480">
      <c r="B23480" s="36"/>
      <c r="C23480" s="36"/>
      <c r="E23480" s="1"/>
      <c r="F23480" s="1"/>
      <c r="G23480" s="1"/>
    </row>
    <row r="23481">
      <c r="B23481" s="36"/>
      <c r="C23481" s="36"/>
      <c r="E23481" s="1"/>
      <c r="F23481" s="1"/>
      <c r="G23481" s="1"/>
    </row>
    <row r="23482">
      <c r="B23482" s="36"/>
      <c r="C23482" s="36"/>
      <c r="E23482" s="1"/>
      <c r="F23482" s="1"/>
      <c r="G23482" s="1"/>
    </row>
    <row r="23483">
      <c r="B23483" s="36"/>
      <c r="C23483" s="36"/>
      <c r="E23483" s="1"/>
      <c r="F23483" s="1"/>
      <c r="G23483" s="1"/>
    </row>
    <row r="23484">
      <c r="B23484" s="36"/>
      <c r="C23484" s="36"/>
      <c r="E23484" s="1"/>
      <c r="F23484" s="1"/>
      <c r="G23484" s="1"/>
    </row>
    <row r="23485">
      <c r="B23485" s="36"/>
      <c r="C23485" s="36"/>
      <c r="E23485" s="1"/>
      <c r="F23485" s="1"/>
      <c r="G23485" s="1"/>
    </row>
    <row r="23486">
      <c r="B23486" s="36"/>
      <c r="C23486" s="36"/>
      <c r="E23486" s="1"/>
      <c r="F23486" s="1"/>
      <c r="G23486" s="1"/>
    </row>
    <row r="23487">
      <c r="B23487" s="36"/>
      <c r="C23487" s="36"/>
      <c r="E23487" s="1"/>
      <c r="F23487" s="1"/>
      <c r="G23487" s="1"/>
    </row>
    <row r="23488">
      <c r="B23488" s="36"/>
      <c r="C23488" s="36"/>
      <c r="E23488" s="1"/>
      <c r="F23488" s="1"/>
      <c r="G23488" s="1"/>
    </row>
    <row r="23489">
      <c r="B23489" s="36"/>
      <c r="C23489" s="36"/>
      <c r="E23489" s="1"/>
      <c r="F23489" s="1"/>
      <c r="G23489" s="1"/>
    </row>
    <row r="23490">
      <c r="B23490" s="36"/>
      <c r="C23490" s="36"/>
      <c r="E23490" s="1"/>
      <c r="F23490" s="1"/>
      <c r="G23490" s="1"/>
    </row>
    <row r="23491">
      <c r="B23491" s="36"/>
      <c r="C23491" s="36"/>
      <c r="E23491" s="1"/>
      <c r="F23491" s="1"/>
      <c r="G23491" s="1"/>
    </row>
    <row r="23492">
      <c r="B23492" s="36"/>
      <c r="C23492" s="36"/>
      <c r="E23492" s="1"/>
      <c r="F23492" s="1"/>
      <c r="G23492" s="1"/>
    </row>
    <row r="23493">
      <c r="B23493" s="36"/>
      <c r="C23493" s="36"/>
      <c r="E23493" s="1"/>
      <c r="F23493" s="1"/>
      <c r="G23493" s="1"/>
    </row>
    <row r="23494">
      <c r="B23494" s="36"/>
      <c r="C23494" s="36"/>
      <c r="E23494" s="1"/>
      <c r="F23494" s="1"/>
      <c r="G23494" s="1"/>
    </row>
    <row r="23495">
      <c r="B23495" s="36"/>
      <c r="C23495" s="36"/>
      <c r="E23495" s="1"/>
      <c r="F23495" s="1"/>
      <c r="G23495" s="1"/>
    </row>
    <row r="23496">
      <c r="B23496" s="36"/>
      <c r="C23496" s="36"/>
      <c r="E23496" s="1"/>
      <c r="F23496" s="1"/>
      <c r="G23496" s="1"/>
    </row>
    <row r="23497">
      <c r="B23497" s="36"/>
      <c r="C23497" s="36"/>
      <c r="E23497" s="1"/>
      <c r="F23497" s="1"/>
      <c r="G23497" s="1"/>
    </row>
    <row r="23498">
      <c r="B23498" s="36"/>
      <c r="C23498" s="36"/>
      <c r="E23498" s="1"/>
      <c r="F23498" s="1"/>
      <c r="G23498" s="1"/>
    </row>
    <row r="23499">
      <c r="B23499" s="36"/>
      <c r="C23499" s="36"/>
      <c r="E23499" s="1"/>
      <c r="F23499" s="1"/>
      <c r="G23499" s="1"/>
    </row>
    <row r="23500">
      <c r="B23500" s="36"/>
      <c r="C23500" s="36"/>
      <c r="E23500" s="1"/>
      <c r="F23500" s="1"/>
      <c r="G23500" s="1"/>
    </row>
    <row r="23501">
      <c r="B23501" s="36"/>
      <c r="C23501" s="36"/>
      <c r="E23501" s="1"/>
      <c r="F23501" s="1"/>
      <c r="G23501" s="1"/>
    </row>
    <row r="23502">
      <c r="B23502" s="36"/>
      <c r="C23502" s="36"/>
      <c r="E23502" s="1"/>
      <c r="F23502" s="1"/>
      <c r="G23502" s="1"/>
    </row>
    <row r="23503">
      <c r="B23503" s="36"/>
      <c r="C23503" s="36"/>
      <c r="E23503" s="1"/>
      <c r="F23503" s="1"/>
      <c r="G23503" s="1"/>
    </row>
    <row r="23504">
      <c r="B23504" s="36"/>
      <c r="C23504" s="36"/>
      <c r="E23504" s="1"/>
      <c r="F23504" s="1"/>
      <c r="G23504" s="1"/>
    </row>
    <row r="23505">
      <c r="B23505" s="36"/>
      <c r="C23505" s="36"/>
      <c r="E23505" s="1"/>
      <c r="F23505" s="1"/>
      <c r="G23505" s="1"/>
    </row>
    <row r="23506">
      <c r="B23506" s="36"/>
      <c r="C23506" s="36"/>
      <c r="E23506" s="1"/>
      <c r="F23506" s="1"/>
      <c r="G23506" s="1"/>
    </row>
    <row r="23507">
      <c r="B23507" s="36"/>
      <c r="C23507" s="36"/>
      <c r="E23507" s="1"/>
      <c r="F23507" s="1"/>
      <c r="G23507" s="1"/>
    </row>
    <row r="23508">
      <c r="B23508" s="36"/>
      <c r="C23508" s="36"/>
      <c r="E23508" s="1"/>
      <c r="F23508" s="1"/>
      <c r="G23508" s="1"/>
    </row>
    <row r="23509">
      <c r="B23509" s="36"/>
      <c r="C23509" s="36"/>
      <c r="E23509" s="1"/>
      <c r="F23509" s="1"/>
      <c r="G23509" s="1"/>
    </row>
    <row r="23510">
      <c r="B23510" s="36"/>
      <c r="C23510" s="36"/>
      <c r="E23510" s="1"/>
      <c r="F23510" s="1"/>
      <c r="G23510" s="1"/>
    </row>
    <row r="23511">
      <c r="B23511" s="36"/>
      <c r="C23511" s="36"/>
      <c r="E23511" s="1"/>
      <c r="F23511" s="1"/>
      <c r="G23511" s="1"/>
    </row>
    <row r="23512">
      <c r="B23512" s="36"/>
      <c r="C23512" s="36"/>
      <c r="E23512" s="1"/>
      <c r="F23512" s="1"/>
      <c r="G23512" s="1"/>
    </row>
    <row r="23513">
      <c r="B23513" s="36"/>
      <c r="C23513" s="36"/>
      <c r="E23513" s="1"/>
      <c r="F23513" s="1"/>
      <c r="G23513" s="1"/>
    </row>
    <row r="23514">
      <c r="B23514" s="36"/>
      <c r="C23514" s="36"/>
      <c r="E23514" s="1"/>
      <c r="F23514" s="1"/>
      <c r="G23514" s="1"/>
    </row>
    <row r="23515">
      <c r="B23515" s="36"/>
      <c r="C23515" s="36"/>
      <c r="E23515" s="1"/>
      <c r="F23515" s="1"/>
      <c r="G23515" s="1"/>
    </row>
    <row r="23516">
      <c r="B23516" s="36"/>
      <c r="C23516" s="36"/>
      <c r="E23516" s="1"/>
      <c r="F23516" s="1"/>
      <c r="G23516" s="1"/>
    </row>
    <row r="23517">
      <c r="B23517" s="36"/>
      <c r="C23517" s="36"/>
      <c r="E23517" s="1"/>
      <c r="F23517" s="1"/>
      <c r="G23517" s="1"/>
    </row>
    <row r="23518">
      <c r="B23518" s="36"/>
      <c r="C23518" s="36"/>
      <c r="E23518" s="1"/>
      <c r="F23518" s="1"/>
      <c r="G23518" s="1"/>
    </row>
    <row r="23519">
      <c r="B23519" s="36"/>
      <c r="C23519" s="36"/>
      <c r="E23519" s="1"/>
      <c r="F23519" s="1"/>
      <c r="G23519" s="1"/>
    </row>
    <row r="23520">
      <c r="B23520" s="36"/>
      <c r="C23520" s="36"/>
      <c r="E23520" s="1"/>
      <c r="F23520" s="1"/>
      <c r="G23520" s="1"/>
    </row>
    <row r="23521">
      <c r="B23521" s="36"/>
      <c r="C23521" s="36"/>
      <c r="E23521" s="1"/>
      <c r="F23521" s="1"/>
      <c r="G23521" s="1"/>
    </row>
    <row r="23522">
      <c r="B23522" s="36"/>
      <c r="C23522" s="36"/>
      <c r="E23522" s="1"/>
      <c r="F23522" s="1"/>
      <c r="G23522" s="1"/>
    </row>
    <row r="23523">
      <c r="B23523" s="36"/>
      <c r="C23523" s="36"/>
      <c r="E23523" s="1"/>
      <c r="F23523" s="1"/>
      <c r="G23523" s="1"/>
    </row>
    <row r="23524">
      <c r="B23524" s="36"/>
      <c r="C23524" s="36"/>
      <c r="E23524" s="1"/>
      <c r="F23524" s="1"/>
      <c r="G23524" s="1"/>
    </row>
    <row r="23525">
      <c r="B23525" s="36"/>
      <c r="C23525" s="36"/>
      <c r="E23525" s="1"/>
      <c r="F23525" s="1"/>
      <c r="G23525" s="1"/>
    </row>
    <row r="23526">
      <c r="B23526" s="36"/>
      <c r="C23526" s="36"/>
      <c r="E23526" s="1"/>
      <c r="F23526" s="1"/>
      <c r="G23526" s="1"/>
    </row>
    <row r="23527">
      <c r="B23527" s="36"/>
      <c r="C23527" s="36"/>
      <c r="E23527" s="1"/>
      <c r="F23527" s="1"/>
      <c r="G23527" s="1"/>
    </row>
    <row r="23528">
      <c r="B23528" s="36"/>
      <c r="C23528" s="36"/>
      <c r="E23528" s="1"/>
      <c r="F23528" s="1"/>
      <c r="G23528" s="1"/>
    </row>
    <row r="23529">
      <c r="B23529" s="36"/>
      <c r="C23529" s="36"/>
      <c r="E23529" s="1"/>
      <c r="F23529" s="1"/>
      <c r="G23529" s="1"/>
    </row>
    <row r="23530">
      <c r="B23530" s="36"/>
      <c r="C23530" s="36"/>
      <c r="E23530" s="1"/>
      <c r="F23530" s="1"/>
      <c r="G23530" s="1"/>
    </row>
    <row r="23531">
      <c r="B23531" s="36"/>
      <c r="C23531" s="36"/>
      <c r="E23531" s="1"/>
      <c r="F23531" s="1"/>
      <c r="G23531" s="1"/>
    </row>
    <row r="23532">
      <c r="B23532" s="36"/>
      <c r="C23532" s="36"/>
      <c r="E23532" s="1"/>
      <c r="F23532" s="1"/>
      <c r="G23532" s="1"/>
    </row>
    <row r="23533">
      <c r="B23533" s="36"/>
      <c r="C23533" s="36"/>
      <c r="E23533" s="1"/>
      <c r="F23533" s="1"/>
      <c r="G23533" s="1"/>
    </row>
    <row r="23534">
      <c r="B23534" s="36"/>
      <c r="C23534" s="36"/>
      <c r="E23534" s="1"/>
      <c r="F23534" s="1"/>
      <c r="G23534" s="1"/>
    </row>
    <row r="23535">
      <c r="B23535" s="36"/>
      <c r="C23535" s="36"/>
      <c r="E23535" s="1"/>
      <c r="F23535" s="1"/>
      <c r="G23535" s="1"/>
    </row>
    <row r="23536">
      <c r="B23536" s="36"/>
      <c r="C23536" s="36"/>
      <c r="E23536" s="1"/>
      <c r="F23536" s="1"/>
      <c r="G23536" s="1"/>
    </row>
    <row r="23537">
      <c r="B23537" s="36"/>
      <c r="C23537" s="36"/>
      <c r="E23537" s="1"/>
      <c r="F23537" s="1"/>
      <c r="G23537" s="1"/>
    </row>
    <row r="23538">
      <c r="B23538" s="36"/>
      <c r="C23538" s="36"/>
      <c r="E23538" s="1"/>
      <c r="F23538" s="1"/>
      <c r="G23538" s="1"/>
    </row>
    <row r="23539">
      <c r="B23539" s="36"/>
      <c r="C23539" s="36"/>
      <c r="E23539" s="1"/>
      <c r="F23539" s="1"/>
      <c r="G23539" s="1"/>
    </row>
    <row r="23540">
      <c r="B23540" s="36"/>
      <c r="C23540" s="36"/>
      <c r="E23540" s="1"/>
      <c r="F23540" s="1"/>
      <c r="G23540" s="1"/>
    </row>
    <row r="23541">
      <c r="B23541" s="36"/>
      <c r="C23541" s="36"/>
      <c r="E23541" s="1"/>
      <c r="F23541" s="1"/>
      <c r="G23541" s="1"/>
    </row>
    <row r="23542">
      <c r="B23542" s="36"/>
      <c r="C23542" s="36"/>
      <c r="E23542" s="1"/>
      <c r="F23542" s="1"/>
      <c r="G23542" s="1"/>
    </row>
    <row r="23543">
      <c r="B23543" s="36"/>
      <c r="C23543" s="36"/>
      <c r="E23543" s="1"/>
      <c r="F23543" s="1"/>
      <c r="G23543" s="1"/>
    </row>
    <row r="23544">
      <c r="B23544" s="36"/>
      <c r="C23544" s="36"/>
      <c r="E23544" s="1"/>
      <c r="F23544" s="1"/>
      <c r="G23544" s="1"/>
    </row>
    <row r="23545">
      <c r="B23545" s="36"/>
      <c r="C23545" s="36"/>
      <c r="E23545" s="1"/>
      <c r="F23545" s="1"/>
      <c r="G23545" s="1"/>
    </row>
    <row r="23546">
      <c r="B23546" s="36"/>
      <c r="C23546" s="36"/>
      <c r="E23546" s="1"/>
      <c r="F23546" s="1"/>
      <c r="G23546" s="1"/>
    </row>
    <row r="23547">
      <c r="B23547" s="36"/>
      <c r="C23547" s="36"/>
      <c r="E23547" s="1"/>
      <c r="F23547" s="1"/>
      <c r="G23547" s="1"/>
    </row>
    <row r="23548">
      <c r="B23548" s="36"/>
      <c r="C23548" s="36"/>
      <c r="E23548" s="1"/>
      <c r="F23548" s="1"/>
      <c r="G23548" s="1"/>
    </row>
    <row r="23549">
      <c r="B23549" s="36"/>
      <c r="C23549" s="36"/>
      <c r="E23549" s="1"/>
      <c r="F23549" s="1"/>
      <c r="G23549" s="1"/>
    </row>
    <row r="23550">
      <c r="B23550" s="36"/>
      <c r="C23550" s="36"/>
      <c r="E23550" s="1"/>
      <c r="F23550" s="1"/>
      <c r="G23550" s="1"/>
    </row>
    <row r="23551">
      <c r="B23551" s="36"/>
      <c r="C23551" s="36"/>
      <c r="E23551" s="1"/>
      <c r="F23551" s="1"/>
      <c r="G23551" s="1"/>
    </row>
    <row r="23552">
      <c r="B23552" s="36"/>
      <c r="C23552" s="36"/>
      <c r="E23552" s="1"/>
      <c r="F23552" s="1"/>
      <c r="G23552" s="1"/>
    </row>
    <row r="23553">
      <c r="B23553" s="36"/>
      <c r="C23553" s="36"/>
      <c r="E23553" s="1"/>
      <c r="F23553" s="1"/>
      <c r="G23553" s="1"/>
    </row>
    <row r="23554">
      <c r="B23554" s="36"/>
      <c r="C23554" s="36"/>
      <c r="E23554" s="1"/>
      <c r="F23554" s="1"/>
      <c r="G23554" s="1"/>
    </row>
    <row r="23555">
      <c r="B23555" s="36"/>
      <c r="C23555" s="36"/>
      <c r="E23555" s="1"/>
      <c r="F23555" s="1"/>
      <c r="G23555" s="1"/>
    </row>
    <row r="23556">
      <c r="B23556" s="36"/>
      <c r="C23556" s="36"/>
      <c r="E23556" s="1"/>
      <c r="F23556" s="1"/>
      <c r="G23556" s="1"/>
    </row>
    <row r="23557">
      <c r="B23557" s="36"/>
      <c r="C23557" s="36"/>
      <c r="E23557" s="1"/>
      <c r="F23557" s="1"/>
      <c r="G23557" s="1"/>
    </row>
    <row r="23558">
      <c r="B23558" s="36"/>
      <c r="C23558" s="36"/>
      <c r="E23558" s="1"/>
      <c r="F23558" s="1"/>
      <c r="G23558" s="1"/>
    </row>
    <row r="23559">
      <c r="B23559" s="36"/>
      <c r="C23559" s="36"/>
      <c r="E23559" s="1"/>
      <c r="F23559" s="1"/>
      <c r="G23559" s="1"/>
    </row>
    <row r="23560">
      <c r="B23560" s="36"/>
      <c r="C23560" s="36"/>
      <c r="E23560" s="1"/>
      <c r="F23560" s="1"/>
      <c r="G23560" s="1"/>
    </row>
    <row r="23561">
      <c r="B23561" s="36"/>
      <c r="C23561" s="36"/>
      <c r="E23561" s="1"/>
      <c r="F23561" s="1"/>
      <c r="G23561" s="1"/>
    </row>
    <row r="23562">
      <c r="B23562" s="36"/>
      <c r="C23562" s="36"/>
      <c r="E23562" s="1"/>
      <c r="F23562" s="1"/>
      <c r="G23562" s="1"/>
    </row>
    <row r="23563">
      <c r="B23563" s="36"/>
      <c r="C23563" s="36"/>
      <c r="E23563" s="1"/>
      <c r="F23563" s="1"/>
      <c r="G23563" s="1"/>
    </row>
    <row r="23564">
      <c r="B23564" s="36"/>
      <c r="C23564" s="36"/>
      <c r="E23564" s="1"/>
      <c r="F23564" s="1"/>
      <c r="G23564" s="1"/>
    </row>
    <row r="23565">
      <c r="B23565" s="36"/>
      <c r="C23565" s="36"/>
      <c r="E23565" s="1"/>
      <c r="F23565" s="1"/>
      <c r="G23565" s="1"/>
    </row>
    <row r="23566">
      <c r="B23566" s="36"/>
      <c r="C23566" s="36"/>
      <c r="E23566" s="1"/>
      <c r="F23566" s="1"/>
      <c r="G23566" s="1"/>
    </row>
    <row r="23567">
      <c r="B23567" s="36"/>
      <c r="C23567" s="36"/>
      <c r="E23567" s="1"/>
      <c r="F23567" s="1"/>
      <c r="G23567" s="1"/>
    </row>
    <row r="23568">
      <c r="B23568" s="36"/>
      <c r="C23568" s="36"/>
      <c r="E23568" s="1"/>
      <c r="F23568" s="1"/>
      <c r="G23568" s="1"/>
    </row>
    <row r="23569">
      <c r="B23569" s="36"/>
      <c r="C23569" s="36"/>
      <c r="E23569" s="1"/>
      <c r="F23569" s="1"/>
      <c r="G23569" s="1"/>
    </row>
    <row r="23570">
      <c r="B23570" s="36"/>
      <c r="C23570" s="36"/>
      <c r="E23570" s="1"/>
      <c r="F23570" s="1"/>
      <c r="G23570" s="1"/>
    </row>
    <row r="23571">
      <c r="B23571" s="36"/>
      <c r="C23571" s="36"/>
      <c r="E23571" s="1"/>
      <c r="F23571" s="1"/>
      <c r="G23571" s="1"/>
    </row>
    <row r="23572">
      <c r="B23572" s="36"/>
      <c r="C23572" s="36"/>
      <c r="E23572" s="1"/>
      <c r="F23572" s="1"/>
      <c r="G23572" s="1"/>
    </row>
    <row r="23573">
      <c r="B23573" s="36"/>
      <c r="C23573" s="36"/>
      <c r="E23573" s="1"/>
      <c r="F23573" s="1"/>
      <c r="G23573" s="1"/>
    </row>
    <row r="23574">
      <c r="B23574" s="36"/>
      <c r="C23574" s="36"/>
      <c r="E23574" s="1"/>
      <c r="F23574" s="1"/>
      <c r="G23574" s="1"/>
    </row>
    <row r="23575">
      <c r="B23575" s="36"/>
      <c r="C23575" s="36"/>
      <c r="E23575" s="1"/>
      <c r="F23575" s="1"/>
      <c r="G23575" s="1"/>
    </row>
    <row r="23576">
      <c r="B23576" s="36"/>
      <c r="C23576" s="36"/>
      <c r="E23576" s="1"/>
      <c r="F23576" s="1"/>
      <c r="G23576" s="1"/>
    </row>
    <row r="23577">
      <c r="B23577" s="36"/>
      <c r="C23577" s="36"/>
      <c r="E23577" s="1"/>
      <c r="F23577" s="1"/>
      <c r="G23577" s="1"/>
    </row>
    <row r="23578">
      <c r="B23578" s="36"/>
      <c r="C23578" s="36"/>
      <c r="E23578" s="1"/>
      <c r="F23578" s="1"/>
      <c r="G23578" s="1"/>
    </row>
    <row r="23579">
      <c r="B23579" s="36"/>
      <c r="C23579" s="36"/>
      <c r="E23579" s="1"/>
      <c r="F23579" s="1"/>
      <c r="G23579" s="1"/>
    </row>
    <row r="23580">
      <c r="B23580" s="36"/>
      <c r="C23580" s="36"/>
      <c r="E23580" s="1"/>
      <c r="F23580" s="1"/>
      <c r="G23580" s="1"/>
    </row>
    <row r="23581">
      <c r="B23581" s="36"/>
      <c r="C23581" s="36"/>
      <c r="E23581" s="1"/>
      <c r="F23581" s="1"/>
      <c r="G23581" s="1"/>
    </row>
    <row r="23582">
      <c r="B23582" s="36"/>
      <c r="C23582" s="36"/>
      <c r="E23582" s="1"/>
      <c r="F23582" s="1"/>
      <c r="G23582" s="1"/>
    </row>
    <row r="23583">
      <c r="B23583" s="36"/>
      <c r="C23583" s="36"/>
      <c r="E23583" s="1"/>
      <c r="F23583" s="1"/>
      <c r="G23583" s="1"/>
    </row>
    <row r="23584">
      <c r="B23584" s="36"/>
      <c r="C23584" s="36"/>
      <c r="E23584" s="1"/>
      <c r="F23584" s="1"/>
      <c r="G23584" s="1"/>
    </row>
    <row r="23585">
      <c r="B23585" s="36"/>
      <c r="C23585" s="36"/>
      <c r="E23585" s="1"/>
      <c r="F23585" s="1"/>
      <c r="G23585" s="1"/>
    </row>
    <row r="23586">
      <c r="B23586" s="36"/>
      <c r="C23586" s="36"/>
      <c r="E23586" s="1"/>
      <c r="F23586" s="1"/>
      <c r="G23586" s="1"/>
    </row>
    <row r="23587">
      <c r="B23587" s="36"/>
      <c r="C23587" s="36"/>
      <c r="E23587" s="1"/>
      <c r="F23587" s="1"/>
      <c r="G23587" s="1"/>
    </row>
    <row r="23588">
      <c r="B23588" s="36"/>
      <c r="C23588" s="36"/>
      <c r="E23588" s="1"/>
      <c r="F23588" s="1"/>
      <c r="G23588" s="1"/>
    </row>
    <row r="23589">
      <c r="B23589" s="36"/>
      <c r="C23589" s="36"/>
      <c r="E23589" s="1"/>
      <c r="F23589" s="1"/>
      <c r="G23589" s="1"/>
    </row>
    <row r="23590">
      <c r="B23590" s="36"/>
      <c r="C23590" s="36"/>
      <c r="E23590" s="1"/>
      <c r="F23590" s="1"/>
      <c r="G23590" s="1"/>
    </row>
    <row r="23591">
      <c r="B23591" s="36"/>
      <c r="C23591" s="36"/>
      <c r="E23591" s="1"/>
      <c r="F23591" s="1"/>
      <c r="G23591" s="1"/>
    </row>
    <row r="23592">
      <c r="B23592" s="36"/>
      <c r="C23592" s="36"/>
      <c r="E23592" s="1"/>
      <c r="F23592" s="1"/>
      <c r="G23592" s="1"/>
    </row>
    <row r="23593">
      <c r="B23593" s="36"/>
      <c r="C23593" s="36"/>
      <c r="E23593" s="1"/>
      <c r="F23593" s="1"/>
      <c r="G23593" s="1"/>
    </row>
    <row r="23594">
      <c r="B23594" s="36"/>
      <c r="C23594" s="36"/>
      <c r="E23594" s="1"/>
      <c r="F23594" s="1"/>
      <c r="G23594" s="1"/>
    </row>
    <row r="23595">
      <c r="B23595" s="36"/>
      <c r="C23595" s="36"/>
      <c r="E23595" s="1"/>
      <c r="F23595" s="1"/>
      <c r="G23595" s="1"/>
    </row>
    <row r="23596">
      <c r="B23596" s="36"/>
      <c r="C23596" s="36"/>
      <c r="E23596" s="1"/>
      <c r="F23596" s="1"/>
      <c r="G23596" s="1"/>
    </row>
    <row r="23597">
      <c r="B23597" s="36"/>
      <c r="C23597" s="36"/>
      <c r="E23597" s="1"/>
      <c r="F23597" s="1"/>
      <c r="G23597" s="1"/>
    </row>
    <row r="23598">
      <c r="B23598" s="36"/>
      <c r="C23598" s="36"/>
      <c r="E23598" s="1"/>
      <c r="F23598" s="1"/>
      <c r="G23598" s="1"/>
    </row>
    <row r="23599">
      <c r="B23599" s="36"/>
      <c r="C23599" s="36"/>
      <c r="E23599" s="1"/>
      <c r="F23599" s="1"/>
      <c r="G23599" s="1"/>
    </row>
    <row r="23600">
      <c r="B23600" s="36"/>
      <c r="C23600" s="36"/>
      <c r="E23600" s="1"/>
      <c r="F23600" s="1"/>
      <c r="G23600" s="1"/>
    </row>
    <row r="23601">
      <c r="B23601" s="36"/>
      <c r="C23601" s="36"/>
      <c r="E23601" s="1"/>
      <c r="F23601" s="1"/>
      <c r="G23601" s="1"/>
    </row>
    <row r="23602">
      <c r="B23602" s="36"/>
      <c r="C23602" s="36"/>
      <c r="E23602" s="1"/>
      <c r="F23602" s="1"/>
      <c r="G23602" s="1"/>
    </row>
    <row r="23603">
      <c r="B23603" s="36"/>
      <c r="C23603" s="36"/>
      <c r="E23603" s="1"/>
      <c r="F23603" s="1"/>
      <c r="G23603" s="1"/>
    </row>
    <row r="23604">
      <c r="B23604" s="36"/>
      <c r="C23604" s="36"/>
      <c r="E23604" s="1"/>
      <c r="F23604" s="1"/>
      <c r="G23604" s="1"/>
    </row>
    <row r="23605">
      <c r="B23605" s="36"/>
      <c r="C23605" s="36"/>
      <c r="E23605" s="1"/>
      <c r="F23605" s="1"/>
      <c r="G23605" s="1"/>
    </row>
    <row r="23606">
      <c r="B23606" s="36"/>
      <c r="C23606" s="36"/>
      <c r="E23606" s="1"/>
      <c r="F23606" s="1"/>
      <c r="G23606" s="1"/>
    </row>
    <row r="23607">
      <c r="B23607" s="36"/>
      <c r="C23607" s="36"/>
      <c r="E23607" s="1"/>
      <c r="F23607" s="1"/>
      <c r="G23607" s="1"/>
    </row>
    <row r="23608">
      <c r="B23608" s="36"/>
      <c r="C23608" s="36"/>
      <c r="E23608" s="1"/>
      <c r="F23608" s="1"/>
      <c r="G23608" s="1"/>
    </row>
    <row r="23609">
      <c r="B23609" s="36"/>
      <c r="C23609" s="36"/>
      <c r="E23609" s="1"/>
      <c r="F23609" s="1"/>
      <c r="G23609" s="1"/>
    </row>
    <row r="23610">
      <c r="B23610" s="36"/>
      <c r="C23610" s="36"/>
      <c r="E23610" s="1"/>
      <c r="F23610" s="1"/>
      <c r="G23610" s="1"/>
    </row>
    <row r="23611">
      <c r="B23611" s="36"/>
      <c r="C23611" s="36"/>
      <c r="E23611" s="1"/>
      <c r="F23611" s="1"/>
      <c r="G23611" s="1"/>
    </row>
    <row r="23612">
      <c r="B23612" s="36"/>
      <c r="C23612" s="36"/>
      <c r="E23612" s="1"/>
      <c r="F23612" s="1"/>
      <c r="G23612" s="1"/>
    </row>
    <row r="23613">
      <c r="B23613" s="36"/>
      <c r="C23613" s="36"/>
      <c r="E23613" s="1"/>
      <c r="F23613" s="1"/>
      <c r="G23613" s="1"/>
    </row>
    <row r="23614">
      <c r="B23614" s="36"/>
      <c r="C23614" s="36"/>
      <c r="E23614" s="1"/>
      <c r="F23614" s="1"/>
      <c r="G23614" s="1"/>
    </row>
    <row r="23615">
      <c r="B23615" s="36"/>
      <c r="C23615" s="36"/>
      <c r="E23615" s="1"/>
      <c r="F23615" s="1"/>
      <c r="G23615" s="1"/>
    </row>
    <row r="23616">
      <c r="B23616" s="36"/>
      <c r="C23616" s="36"/>
      <c r="E23616" s="1"/>
      <c r="F23616" s="1"/>
      <c r="G23616" s="1"/>
    </row>
    <row r="23617">
      <c r="B23617" s="36"/>
      <c r="C23617" s="36"/>
      <c r="E23617" s="1"/>
      <c r="F23617" s="1"/>
      <c r="G23617" s="1"/>
    </row>
    <row r="23618">
      <c r="B23618" s="36"/>
      <c r="C23618" s="36"/>
      <c r="E23618" s="1"/>
      <c r="F23618" s="1"/>
      <c r="G23618" s="1"/>
    </row>
    <row r="23619">
      <c r="B23619" s="36"/>
      <c r="C23619" s="36"/>
      <c r="E23619" s="1"/>
      <c r="F23619" s="1"/>
      <c r="G23619" s="1"/>
    </row>
    <row r="23620">
      <c r="B23620" s="36"/>
      <c r="C23620" s="36"/>
      <c r="E23620" s="1"/>
      <c r="F23620" s="1"/>
      <c r="G23620" s="1"/>
    </row>
    <row r="23621">
      <c r="B23621" s="36"/>
      <c r="C23621" s="36"/>
      <c r="E23621" s="1"/>
      <c r="F23621" s="1"/>
      <c r="G23621" s="1"/>
    </row>
    <row r="23622">
      <c r="B23622" s="36"/>
      <c r="C23622" s="36"/>
      <c r="E23622" s="1"/>
      <c r="F23622" s="1"/>
      <c r="G23622" s="1"/>
    </row>
    <row r="23623">
      <c r="B23623" s="36"/>
      <c r="C23623" s="36"/>
      <c r="E23623" s="1"/>
      <c r="F23623" s="1"/>
      <c r="G23623" s="1"/>
    </row>
    <row r="23624">
      <c r="B23624" s="36"/>
      <c r="C23624" s="36"/>
      <c r="E23624" s="1"/>
      <c r="F23624" s="1"/>
      <c r="G23624" s="1"/>
    </row>
    <row r="23625">
      <c r="B23625" s="36"/>
      <c r="C23625" s="36"/>
      <c r="E23625" s="1"/>
      <c r="F23625" s="1"/>
      <c r="G23625" s="1"/>
    </row>
    <row r="23626">
      <c r="B23626" s="36"/>
      <c r="C23626" s="36"/>
      <c r="E23626" s="1"/>
      <c r="F23626" s="1"/>
      <c r="G23626" s="1"/>
    </row>
    <row r="23627">
      <c r="B23627" s="36"/>
      <c r="C23627" s="36"/>
      <c r="E23627" s="1"/>
      <c r="F23627" s="1"/>
      <c r="G23627" s="1"/>
    </row>
    <row r="23628">
      <c r="B23628" s="36"/>
      <c r="C23628" s="36"/>
      <c r="E23628" s="1"/>
      <c r="F23628" s="1"/>
      <c r="G23628" s="1"/>
    </row>
    <row r="23629">
      <c r="B23629" s="36"/>
      <c r="C23629" s="36"/>
      <c r="E23629" s="1"/>
      <c r="F23629" s="1"/>
      <c r="G23629" s="1"/>
    </row>
    <row r="23630">
      <c r="B23630" s="36"/>
      <c r="C23630" s="36"/>
      <c r="E23630" s="1"/>
      <c r="F23630" s="1"/>
      <c r="G23630" s="1"/>
    </row>
    <row r="23631">
      <c r="B23631" s="36"/>
      <c r="C23631" s="36"/>
      <c r="E23631" s="1"/>
      <c r="F23631" s="1"/>
      <c r="G23631" s="1"/>
    </row>
    <row r="23632">
      <c r="B23632" s="36"/>
      <c r="C23632" s="36"/>
      <c r="E23632" s="1"/>
      <c r="F23632" s="1"/>
      <c r="G23632" s="1"/>
    </row>
    <row r="23633">
      <c r="B23633" s="36"/>
      <c r="C23633" s="36"/>
      <c r="E23633" s="1"/>
      <c r="F23633" s="1"/>
      <c r="G23633" s="1"/>
    </row>
    <row r="23634">
      <c r="B23634" s="36"/>
      <c r="C23634" s="36"/>
      <c r="E23634" s="1"/>
      <c r="F23634" s="1"/>
      <c r="G23634" s="1"/>
    </row>
    <row r="23635">
      <c r="B23635" s="36"/>
      <c r="C23635" s="36"/>
      <c r="E23635" s="1"/>
      <c r="F23635" s="1"/>
      <c r="G23635" s="1"/>
    </row>
    <row r="23636">
      <c r="B23636" s="36"/>
      <c r="C23636" s="36"/>
      <c r="E23636" s="1"/>
      <c r="F23636" s="1"/>
      <c r="G23636" s="1"/>
    </row>
    <row r="23637">
      <c r="B23637" s="36"/>
      <c r="C23637" s="36"/>
      <c r="E23637" s="1"/>
      <c r="F23637" s="1"/>
      <c r="G23637" s="1"/>
    </row>
    <row r="23638">
      <c r="B23638" s="36"/>
      <c r="C23638" s="36"/>
      <c r="E23638" s="1"/>
      <c r="F23638" s="1"/>
      <c r="G23638" s="1"/>
    </row>
    <row r="23639">
      <c r="B23639" s="36"/>
      <c r="C23639" s="36"/>
      <c r="E23639" s="1"/>
      <c r="F23639" s="1"/>
      <c r="G23639" s="1"/>
    </row>
    <row r="23640">
      <c r="B23640" s="36"/>
      <c r="C23640" s="36"/>
      <c r="E23640" s="1"/>
      <c r="F23640" s="1"/>
      <c r="G23640" s="1"/>
    </row>
    <row r="23641">
      <c r="B23641" s="36"/>
      <c r="C23641" s="36"/>
      <c r="E23641" s="1"/>
      <c r="F23641" s="1"/>
      <c r="G23641" s="1"/>
    </row>
    <row r="23642">
      <c r="B23642" s="36"/>
      <c r="C23642" s="36"/>
      <c r="E23642" s="1"/>
      <c r="F23642" s="1"/>
      <c r="G23642" s="1"/>
    </row>
    <row r="23643">
      <c r="B23643" s="36"/>
      <c r="C23643" s="36"/>
      <c r="E23643" s="1"/>
      <c r="F23643" s="1"/>
      <c r="G23643" s="1"/>
    </row>
    <row r="23644">
      <c r="B23644" s="36"/>
      <c r="C23644" s="36"/>
      <c r="E23644" s="1"/>
      <c r="F23644" s="1"/>
      <c r="G23644" s="1"/>
    </row>
    <row r="23645">
      <c r="B23645" s="36"/>
      <c r="C23645" s="36"/>
      <c r="E23645" s="1"/>
      <c r="F23645" s="1"/>
      <c r="G23645" s="1"/>
    </row>
    <row r="23646">
      <c r="B23646" s="36"/>
      <c r="C23646" s="36"/>
      <c r="E23646" s="1"/>
      <c r="F23646" s="1"/>
      <c r="G23646" s="1"/>
    </row>
    <row r="23647">
      <c r="B23647" s="36"/>
      <c r="C23647" s="36"/>
      <c r="E23647" s="1"/>
      <c r="F23647" s="1"/>
      <c r="G23647" s="1"/>
    </row>
    <row r="23648">
      <c r="B23648" s="36"/>
      <c r="C23648" s="36"/>
      <c r="E23648" s="1"/>
      <c r="F23648" s="1"/>
      <c r="G23648" s="1"/>
    </row>
    <row r="23649">
      <c r="B23649" s="36"/>
      <c r="C23649" s="36"/>
      <c r="E23649" s="1"/>
      <c r="F23649" s="1"/>
      <c r="G23649" s="1"/>
    </row>
    <row r="23650">
      <c r="B23650" s="36"/>
      <c r="C23650" s="36"/>
      <c r="E23650" s="1"/>
      <c r="F23650" s="1"/>
      <c r="G23650" s="1"/>
    </row>
    <row r="23651">
      <c r="B23651" s="36"/>
      <c r="C23651" s="36"/>
      <c r="E23651" s="1"/>
      <c r="F23651" s="1"/>
      <c r="G23651" s="1"/>
    </row>
    <row r="23652">
      <c r="B23652" s="36"/>
      <c r="C23652" s="36"/>
      <c r="E23652" s="1"/>
      <c r="F23652" s="1"/>
      <c r="G23652" s="1"/>
    </row>
    <row r="23653">
      <c r="B23653" s="36"/>
      <c r="C23653" s="36"/>
      <c r="E23653" s="1"/>
      <c r="F23653" s="1"/>
      <c r="G23653" s="1"/>
    </row>
    <row r="23654">
      <c r="B23654" s="36"/>
      <c r="C23654" s="36"/>
      <c r="E23654" s="1"/>
      <c r="F23654" s="1"/>
      <c r="G23654" s="1"/>
    </row>
    <row r="23655">
      <c r="B23655" s="36"/>
      <c r="C23655" s="36"/>
      <c r="E23655" s="1"/>
      <c r="F23655" s="1"/>
      <c r="G23655" s="1"/>
    </row>
    <row r="23656">
      <c r="B23656" s="36"/>
      <c r="C23656" s="36"/>
      <c r="E23656" s="1"/>
      <c r="F23656" s="1"/>
      <c r="G23656" s="1"/>
    </row>
    <row r="23657">
      <c r="B23657" s="36"/>
      <c r="C23657" s="36"/>
      <c r="E23657" s="1"/>
      <c r="F23657" s="1"/>
      <c r="G23657" s="1"/>
    </row>
    <row r="23658">
      <c r="B23658" s="36"/>
      <c r="C23658" s="36"/>
      <c r="E23658" s="1"/>
      <c r="F23658" s="1"/>
      <c r="G23658" s="1"/>
    </row>
    <row r="23659">
      <c r="B23659" s="36"/>
      <c r="C23659" s="36"/>
      <c r="E23659" s="1"/>
      <c r="F23659" s="1"/>
      <c r="G23659" s="1"/>
    </row>
    <row r="23660">
      <c r="B23660" s="36"/>
      <c r="C23660" s="36"/>
      <c r="E23660" s="1"/>
      <c r="F23660" s="1"/>
      <c r="G23660" s="1"/>
    </row>
    <row r="23661">
      <c r="B23661" s="36"/>
      <c r="C23661" s="36"/>
      <c r="E23661" s="1"/>
      <c r="F23661" s="1"/>
      <c r="G23661" s="1"/>
    </row>
    <row r="23662">
      <c r="B23662" s="36"/>
      <c r="C23662" s="36"/>
      <c r="E23662" s="1"/>
      <c r="F23662" s="1"/>
      <c r="G23662" s="1"/>
    </row>
    <row r="23663">
      <c r="B23663" s="36"/>
      <c r="C23663" s="36"/>
      <c r="E23663" s="1"/>
      <c r="F23663" s="1"/>
      <c r="G23663" s="1"/>
    </row>
    <row r="23664">
      <c r="B23664" s="36"/>
      <c r="C23664" s="36"/>
      <c r="E23664" s="1"/>
      <c r="F23664" s="1"/>
      <c r="G23664" s="1"/>
    </row>
    <row r="23665">
      <c r="B23665" s="36"/>
      <c r="C23665" s="36"/>
      <c r="E23665" s="1"/>
      <c r="F23665" s="1"/>
      <c r="G23665" s="1"/>
    </row>
    <row r="23666">
      <c r="B23666" s="36"/>
      <c r="C23666" s="36"/>
      <c r="E23666" s="1"/>
      <c r="F23666" s="1"/>
      <c r="G23666" s="1"/>
    </row>
    <row r="23667">
      <c r="B23667" s="36"/>
      <c r="C23667" s="36"/>
      <c r="E23667" s="1"/>
      <c r="F23667" s="1"/>
      <c r="G23667" s="1"/>
    </row>
    <row r="23668">
      <c r="B23668" s="36"/>
      <c r="C23668" s="36"/>
      <c r="E23668" s="1"/>
      <c r="F23668" s="1"/>
      <c r="G23668" s="1"/>
    </row>
    <row r="23669">
      <c r="B23669" s="36"/>
      <c r="C23669" s="36"/>
      <c r="E23669" s="1"/>
      <c r="F23669" s="1"/>
      <c r="G23669" s="1"/>
    </row>
    <row r="23670">
      <c r="B23670" s="36"/>
      <c r="C23670" s="36"/>
      <c r="E23670" s="1"/>
      <c r="F23670" s="1"/>
      <c r="G23670" s="1"/>
    </row>
    <row r="23671">
      <c r="B23671" s="36"/>
      <c r="C23671" s="36"/>
      <c r="E23671" s="1"/>
      <c r="F23671" s="1"/>
      <c r="G23671" s="1"/>
    </row>
    <row r="23672">
      <c r="B23672" s="36"/>
      <c r="C23672" s="36"/>
      <c r="E23672" s="1"/>
      <c r="F23672" s="1"/>
      <c r="G23672" s="1"/>
    </row>
    <row r="23673">
      <c r="B23673" s="36"/>
      <c r="C23673" s="36"/>
      <c r="E23673" s="1"/>
      <c r="F23673" s="1"/>
      <c r="G23673" s="1"/>
    </row>
    <row r="23674">
      <c r="B23674" s="36"/>
      <c r="C23674" s="36"/>
      <c r="E23674" s="1"/>
      <c r="F23674" s="1"/>
      <c r="G23674" s="1"/>
    </row>
    <row r="23675">
      <c r="B23675" s="36"/>
      <c r="C23675" s="36"/>
      <c r="E23675" s="1"/>
      <c r="F23675" s="1"/>
      <c r="G23675" s="1"/>
    </row>
    <row r="23676">
      <c r="B23676" s="36"/>
      <c r="C23676" s="36"/>
      <c r="E23676" s="1"/>
      <c r="F23676" s="1"/>
      <c r="G23676" s="1"/>
    </row>
    <row r="23677">
      <c r="B23677" s="36"/>
      <c r="C23677" s="36"/>
      <c r="E23677" s="1"/>
      <c r="F23677" s="1"/>
      <c r="G23677" s="1"/>
    </row>
    <row r="23678">
      <c r="B23678" s="36"/>
      <c r="C23678" s="36"/>
      <c r="E23678" s="1"/>
      <c r="F23678" s="1"/>
      <c r="G23678" s="1"/>
    </row>
    <row r="23679">
      <c r="B23679" s="36"/>
      <c r="C23679" s="36"/>
      <c r="E23679" s="1"/>
      <c r="F23679" s="1"/>
      <c r="G23679" s="1"/>
    </row>
    <row r="23680">
      <c r="B23680" s="36"/>
      <c r="C23680" s="36"/>
      <c r="E23680" s="1"/>
      <c r="F23680" s="1"/>
      <c r="G23680" s="1"/>
    </row>
    <row r="23681">
      <c r="B23681" s="36"/>
      <c r="C23681" s="36"/>
      <c r="E23681" s="1"/>
      <c r="F23681" s="1"/>
      <c r="G23681" s="1"/>
    </row>
    <row r="23682">
      <c r="B23682" s="36"/>
      <c r="C23682" s="36"/>
      <c r="E23682" s="1"/>
      <c r="F23682" s="1"/>
      <c r="G23682" s="1"/>
    </row>
    <row r="23683">
      <c r="B23683" s="36"/>
      <c r="C23683" s="36"/>
      <c r="E23683" s="1"/>
      <c r="F23683" s="1"/>
      <c r="G23683" s="1"/>
    </row>
    <row r="23684">
      <c r="B23684" s="36"/>
      <c r="C23684" s="36"/>
      <c r="E23684" s="1"/>
      <c r="F23684" s="1"/>
      <c r="G23684" s="1"/>
    </row>
    <row r="23685">
      <c r="B23685" s="36"/>
      <c r="C23685" s="36"/>
      <c r="E23685" s="1"/>
      <c r="F23685" s="1"/>
      <c r="G23685" s="1"/>
    </row>
    <row r="23686">
      <c r="B23686" s="36"/>
      <c r="C23686" s="36"/>
      <c r="E23686" s="1"/>
      <c r="F23686" s="1"/>
      <c r="G23686" s="1"/>
    </row>
    <row r="23687">
      <c r="B23687" s="36"/>
      <c r="C23687" s="36"/>
      <c r="E23687" s="1"/>
      <c r="F23687" s="1"/>
      <c r="G23687" s="1"/>
    </row>
    <row r="23688">
      <c r="B23688" s="36"/>
      <c r="C23688" s="36"/>
      <c r="E23688" s="1"/>
      <c r="F23688" s="1"/>
      <c r="G23688" s="1"/>
    </row>
    <row r="23689">
      <c r="B23689" s="36"/>
      <c r="C23689" s="36"/>
      <c r="E23689" s="1"/>
      <c r="F23689" s="1"/>
      <c r="G23689" s="1"/>
    </row>
    <row r="23690">
      <c r="B23690" s="36"/>
      <c r="C23690" s="36"/>
      <c r="E23690" s="1"/>
      <c r="F23690" s="1"/>
      <c r="G23690" s="1"/>
    </row>
    <row r="23691">
      <c r="B23691" s="36"/>
      <c r="C23691" s="36"/>
      <c r="E23691" s="1"/>
      <c r="F23691" s="1"/>
      <c r="G23691" s="1"/>
    </row>
    <row r="23692">
      <c r="B23692" s="36"/>
      <c r="C23692" s="36"/>
      <c r="E23692" s="1"/>
      <c r="F23692" s="1"/>
      <c r="G23692" s="1"/>
    </row>
    <row r="23693">
      <c r="B23693" s="36"/>
      <c r="C23693" s="36"/>
      <c r="E23693" s="1"/>
      <c r="F23693" s="1"/>
      <c r="G23693" s="1"/>
    </row>
    <row r="23694">
      <c r="B23694" s="36"/>
      <c r="C23694" s="36"/>
      <c r="E23694" s="1"/>
      <c r="F23694" s="1"/>
      <c r="G23694" s="1"/>
    </row>
    <row r="23695">
      <c r="B23695" s="36"/>
      <c r="C23695" s="36"/>
      <c r="E23695" s="1"/>
      <c r="F23695" s="1"/>
      <c r="G23695" s="1"/>
    </row>
    <row r="23696">
      <c r="B23696" s="36"/>
      <c r="C23696" s="36"/>
      <c r="E23696" s="1"/>
      <c r="F23696" s="1"/>
      <c r="G23696" s="1"/>
    </row>
    <row r="23697">
      <c r="B23697" s="36"/>
      <c r="C23697" s="36"/>
      <c r="E23697" s="1"/>
      <c r="F23697" s="1"/>
      <c r="G23697" s="1"/>
    </row>
    <row r="23698">
      <c r="B23698" s="36"/>
      <c r="C23698" s="36"/>
      <c r="E23698" s="1"/>
      <c r="F23698" s="1"/>
      <c r="G23698" s="1"/>
    </row>
    <row r="23699">
      <c r="B23699" s="36"/>
      <c r="C23699" s="36"/>
      <c r="E23699" s="1"/>
      <c r="F23699" s="1"/>
      <c r="G23699" s="1"/>
    </row>
    <row r="23700">
      <c r="B23700" s="36"/>
      <c r="C23700" s="36"/>
      <c r="E23700" s="1"/>
      <c r="F23700" s="1"/>
      <c r="G23700" s="1"/>
    </row>
    <row r="23701">
      <c r="B23701" s="36"/>
      <c r="C23701" s="36"/>
      <c r="E23701" s="1"/>
      <c r="F23701" s="1"/>
      <c r="G23701" s="1"/>
    </row>
    <row r="23702">
      <c r="B23702" s="36"/>
      <c r="C23702" s="36"/>
      <c r="E23702" s="1"/>
      <c r="F23702" s="1"/>
      <c r="G23702" s="1"/>
    </row>
    <row r="23703">
      <c r="B23703" s="36"/>
      <c r="C23703" s="36"/>
      <c r="E23703" s="1"/>
      <c r="F23703" s="1"/>
      <c r="G23703" s="1"/>
    </row>
    <row r="23704">
      <c r="B23704" s="36"/>
      <c r="C23704" s="36"/>
      <c r="E23704" s="1"/>
      <c r="F23704" s="1"/>
      <c r="G23704" s="1"/>
    </row>
    <row r="23705">
      <c r="B23705" s="36"/>
      <c r="C23705" s="36"/>
      <c r="E23705" s="1"/>
      <c r="F23705" s="1"/>
      <c r="G23705" s="1"/>
    </row>
    <row r="23706">
      <c r="B23706" s="36"/>
      <c r="C23706" s="36"/>
      <c r="E23706" s="1"/>
      <c r="F23706" s="1"/>
      <c r="G23706" s="1"/>
    </row>
    <row r="23707">
      <c r="B23707" s="36"/>
      <c r="C23707" s="36"/>
      <c r="E23707" s="1"/>
      <c r="F23707" s="1"/>
      <c r="G23707" s="1"/>
    </row>
    <row r="23708">
      <c r="B23708" s="36"/>
      <c r="C23708" s="36"/>
      <c r="E23708" s="1"/>
      <c r="F23708" s="1"/>
      <c r="G23708" s="1"/>
    </row>
    <row r="23709">
      <c r="B23709" s="36"/>
      <c r="C23709" s="36"/>
      <c r="E23709" s="1"/>
      <c r="F23709" s="1"/>
      <c r="G23709" s="1"/>
    </row>
    <row r="23710">
      <c r="B23710" s="36"/>
      <c r="C23710" s="36"/>
      <c r="E23710" s="1"/>
      <c r="F23710" s="1"/>
      <c r="G23710" s="1"/>
    </row>
    <row r="23711">
      <c r="B23711" s="36"/>
      <c r="C23711" s="36"/>
      <c r="E23711" s="1"/>
      <c r="F23711" s="1"/>
      <c r="G23711" s="1"/>
    </row>
    <row r="23712">
      <c r="B23712" s="36"/>
      <c r="C23712" s="36"/>
      <c r="E23712" s="1"/>
      <c r="F23712" s="1"/>
      <c r="G23712" s="1"/>
    </row>
    <row r="23713">
      <c r="B23713" s="36"/>
      <c r="C23713" s="36"/>
      <c r="E23713" s="1"/>
      <c r="F23713" s="1"/>
      <c r="G23713" s="1"/>
    </row>
    <row r="23714">
      <c r="B23714" s="36"/>
      <c r="C23714" s="36"/>
      <c r="E23714" s="1"/>
      <c r="F23714" s="1"/>
      <c r="G23714" s="1"/>
    </row>
    <row r="23715">
      <c r="B23715" s="36"/>
      <c r="C23715" s="36"/>
      <c r="E23715" s="1"/>
      <c r="F23715" s="1"/>
      <c r="G23715" s="1"/>
    </row>
    <row r="23716">
      <c r="B23716" s="36"/>
      <c r="C23716" s="36"/>
      <c r="E23716" s="1"/>
      <c r="F23716" s="1"/>
      <c r="G23716" s="1"/>
    </row>
    <row r="23717">
      <c r="B23717" s="36"/>
      <c r="C23717" s="36"/>
      <c r="E23717" s="1"/>
      <c r="F23717" s="1"/>
      <c r="G23717" s="1"/>
    </row>
    <row r="23718">
      <c r="B23718" s="36"/>
      <c r="C23718" s="36"/>
      <c r="E23718" s="1"/>
      <c r="F23718" s="1"/>
      <c r="G23718" s="1"/>
    </row>
    <row r="23719">
      <c r="B23719" s="36"/>
      <c r="C23719" s="36"/>
      <c r="E23719" s="1"/>
      <c r="F23719" s="1"/>
      <c r="G23719" s="1"/>
    </row>
    <row r="23720">
      <c r="B23720" s="36"/>
      <c r="C23720" s="36"/>
      <c r="E23720" s="1"/>
      <c r="F23720" s="1"/>
      <c r="G23720" s="1"/>
    </row>
    <row r="23721">
      <c r="B23721" s="36"/>
      <c r="C23721" s="36"/>
      <c r="E23721" s="1"/>
      <c r="F23721" s="1"/>
      <c r="G23721" s="1"/>
    </row>
    <row r="23722">
      <c r="B23722" s="36"/>
      <c r="C23722" s="36"/>
      <c r="E23722" s="1"/>
      <c r="F23722" s="1"/>
      <c r="G23722" s="1"/>
    </row>
    <row r="23723">
      <c r="B23723" s="36"/>
      <c r="C23723" s="36"/>
      <c r="E23723" s="1"/>
      <c r="F23723" s="1"/>
      <c r="G23723" s="1"/>
    </row>
    <row r="23724">
      <c r="B23724" s="36"/>
      <c r="C23724" s="36"/>
      <c r="E23724" s="1"/>
      <c r="F23724" s="1"/>
      <c r="G23724" s="1"/>
    </row>
    <row r="23725">
      <c r="B23725" s="36"/>
      <c r="C23725" s="36"/>
      <c r="E23725" s="1"/>
      <c r="F23725" s="1"/>
      <c r="G23725" s="1"/>
    </row>
    <row r="23726">
      <c r="B23726" s="36"/>
      <c r="C23726" s="36"/>
      <c r="E23726" s="1"/>
      <c r="F23726" s="1"/>
      <c r="G23726" s="1"/>
    </row>
    <row r="23727">
      <c r="B23727" s="36"/>
      <c r="C23727" s="36"/>
      <c r="E23727" s="1"/>
      <c r="F23727" s="1"/>
      <c r="G23727" s="1"/>
    </row>
    <row r="23728">
      <c r="B23728" s="36"/>
      <c r="C23728" s="36"/>
      <c r="E23728" s="1"/>
      <c r="F23728" s="1"/>
      <c r="G23728" s="1"/>
    </row>
    <row r="23729">
      <c r="B23729" s="36"/>
      <c r="C23729" s="36"/>
      <c r="E23729" s="1"/>
      <c r="F23729" s="1"/>
      <c r="G23729" s="1"/>
    </row>
    <row r="23730">
      <c r="B23730" s="36"/>
      <c r="C23730" s="36"/>
      <c r="E23730" s="1"/>
      <c r="F23730" s="1"/>
      <c r="G23730" s="1"/>
    </row>
    <row r="23731">
      <c r="B23731" s="36"/>
      <c r="C23731" s="36"/>
      <c r="E23731" s="1"/>
      <c r="F23731" s="1"/>
      <c r="G23731" s="1"/>
    </row>
    <row r="23732">
      <c r="B23732" s="36"/>
      <c r="C23732" s="36"/>
      <c r="E23732" s="1"/>
      <c r="F23732" s="1"/>
      <c r="G23732" s="1"/>
    </row>
    <row r="23733">
      <c r="B23733" s="36"/>
      <c r="C23733" s="36"/>
      <c r="E23733" s="1"/>
      <c r="F23733" s="1"/>
      <c r="G23733" s="1"/>
    </row>
    <row r="23734">
      <c r="B23734" s="36"/>
      <c r="C23734" s="36"/>
      <c r="E23734" s="1"/>
      <c r="F23734" s="1"/>
      <c r="G23734" s="1"/>
    </row>
    <row r="23735">
      <c r="B23735" s="36"/>
      <c r="C23735" s="36"/>
      <c r="E23735" s="1"/>
      <c r="F23735" s="1"/>
      <c r="G23735" s="1"/>
    </row>
    <row r="23736">
      <c r="B23736" s="36"/>
      <c r="C23736" s="36"/>
      <c r="E23736" s="1"/>
      <c r="F23736" s="1"/>
      <c r="G23736" s="1"/>
    </row>
    <row r="23737">
      <c r="B23737" s="36"/>
      <c r="C23737" s="36"/>
      <c r="E23737" s="1"/>
      <c r="F23737" s="1"/>
      <c r="G23737" s="1"/>
    </row>
    <row r="23738">
      <c r="B23738" s="36"/>
      <c r="C23738" s="36"/>
      <c r="E23738" s="1"/>
      <c r="F23738" s="1"/>
      <c r="G23738" s="1"/>
    </row>
    <row r="23739">
      <c r="B23739" s="36"/>
      <c r="C23739" s="36"/>
      <c r="E23739" s="1"/>
      <c r="F23739" s="1"/>
      <c r="G23739" s="1"/>
    </row>
    <row r="23740">
      <c r="B23740" s="36"/>
      <c r="C23740" s="36"/>
      <c r="E23740" s="1"/>
      <c r="F23740" s="1"/>
      <c r="G23740" s="1"/>
    </row>
    <row r="23741">
      <c r="B23741" s="36"/>
      <c r="C23741" s="36"/>
      <c r="E23741" s="1"/>
      <c r="F23741" s="1"/>
      <c r="G23741" s="1"/>
    </row>
    <row r="23742">
      <c r="B23742" s="36"/>
      <c r="C23742" s="36"/>
      <c r="E23742" s="1"/>
      <c r="F23742" s="1"/>
      <c r="G23742" s="1"/>
    </row>
    <row r="23743">
      <c r="B23743" s="36"/>
      <c r="C23743" s="36"/>
      <c r="E23743" s="1"/>
      <c r="F23743" s="1"/>
      <c r="G23743" s="1"/>
    </row>
    <row r="23744">
      <c r="B23744" s="36"/>
      <c r="C23744" s="36"/>
      <c r="E23744" s="1"/>
      <c r="F23744" s="1"/>
      <c r="G23744" s="1"/>
    </row>
    <row r="23745">
      <c r="B23745" s="36"/>
      <c r="C23745" s="36"/>
      <c r="E23745" s="1"/>
      <c r="F23745" s="1"/>
      <c r="G23745" s="1"/>
    </row>
    <row r="23746">
      <c r="B23746" s="36"/>
      <c r="C23746" s="36"/>
      <c r="E23746" s="1"/>
      <c r="F23746" s="1"/>
      <c r="G23746" s="1"/>
    </row>
    <row r="23747">
      <c r="B23747" s="36"/>
      <c r="C23747" s="36"/>
      <c r="E23747" s="1"/>
      <c r="F23747" s="1"/>
      <c r="G23747" s="1"/>
    </row>
    <row r="23748">
      <c r="B23748" s="36"/>
      <c r="C23748" s="36"/>
      <c r="E23748" s="1"/>
      <c r="F23748" s="1"/>
      <c r="G23748" s="1"/>
    </row>
    <row r="23749">
      <c r="B23749" s="36"/>
      <c r="C23749" s="36"/>
      <c r="E23749" s="1"/>
      <c r="F23749" s="1"/>
      <c r="G23749" s="1"/>
    </row>
    <row r="23750">
      <c r="B23750" s="36"/>
      <c r="C23750" s="36"/>
      <c r="E23750" s="1"/>
      <c r="F23750" s="1"/>
      <c r="G23750" s="1"/>
    </row>
    <row r="23751">
      <c r="B23751" s="36"/>
      <c r="C23751" s="36"/>
      <c r="E23751" s="1"/>
      <c r="F23751" s="1"/>
      <c r="G23751" s="1"/>
    </row>
    <row r="23752">
      <c r="B23752" s="36"/>
      <c r="C23752" s="36"/>
      <c r="E23752" s="1"/>
      <c r="F23752" s="1"/>
      <c r="G23752" s="1"/>
    </row>
    <row r="23753">
      <c r="B23753" s="36"/>
      <c r="C23753" s="36"/>
      <c r="E23753" s="1"/>
      <c r="F23753" s="1"/>
      <c r="G23753" s="1"/>
    </row>
    <row r="23754">
      <c r="B23754" s="36"/>
      <c r="C23754" s="36"/>
      <c r="E23754" s="1"/>
      <c r="F23754" s="1"/>
      <c r="G23754" s="1"/>
    </row>
    <row r="23755">
      <c r="B23755" s="36"/>
      <c r="C23755" s="36"/>
      <c r="E23755" s="1"/>
      <c r="F23755" s="1"/>
      <c r="G23755" s="1"/>
    </row>
    <row r="23756">
      <c r="B23756" s="36"/>
      <c r="C23756" s="36"/>
      <c r="E23756" s="1"/>
      <c r="F23756" s="1"/>
      <c r="G23756" s="1"/>
    </row>
    <row r="23757">
      <c r="B23757" s="36"/>
      <c r="C23757" s="36"/>
      <c r="E23757" s="1"/>
      <c r="F23757" s="1"/>
      <c r="G23757" s="1"/>
    </row>
    <row r="23758">
      <c r="B23758" s="36"/>
      <c r="C23758" s="36"/>
      <c r="E23758" s="1"/>
      <c r="F23758" s="1"/>
      <c r="G23758" s="1"/>
    </row>
    <row r="23759">
      <c r="B23759" s="36"/>
      <c r="C23759" s="36"/>
      <c r="E23759" s="1"/>
      <c r="F23759" s="1"/>
      <c r="G23759" s="1"/>
    </row>
    <row r="23760">
      <c r="B23760" s="36"/>
      <c r="C23760" s="36"/>
      <c r="E23760" s="1"/>
      <c r="F23760" s="1"/>
      <c r="G23760" s="1"/>
    </row>
    <row r="23761">
      <c r="B23761" s="36"/>
      <c r="C23761" s="36"/>
      <c r="E23761" s="1"/>
      <c r="F23761" s="1"/>
      <c r="G23761" s="1"/>
    </row>
    <row r="23762">
      <c r="B23762" s="36"/>
      <c r="C23762" s="36"/>
      <c r="E23762" s="1"/>
      <c r="F23762" s="1"/>
      <c r="G23762" s="1"/>
    </row>
    <row r="23763">
      <c r="B23763" s="36"/>
      <c r="C23763" s="36"/>
      <c r="E23763" s="1"/>
      <c r="F23763" s="1"/>
      <c r="G23763" s="1"/>
    </row>
    <row r="23764">
      <c r="B23764" s="36"/>
      <c r="C23764" s="36"/>
      <c r="E23764" s="1"/>
      <c r="F23764" s="1"/>
      <c r="G23764" s="1"/>
    </row>
    <row r="23765">
      <c r="B23765" s="36"/>
      <c r="C23765" s="36"/>
      <c r="E23765" s="1"/>
      <c r="F23765" s="1"/>
      <c r="G23765" s="1"/>
    </row>
    <row r="23766">
      <c r="B23766" s="36"/>
      <c r="C23766" s="36"/>
      <c r="E23766" s="1"/>
      <c r="F23766" s="1"/>
      <c r="G23766" s="1"/>
    </row>
    <row r="23767">
      <c r="B23767" s="36"/>
      <c r="C23767" s="36"/>
      <c r="E23767" s="1"/>
      <c r="F23767" s="1"/>
      <c r="G23767" s="1"/>
    </row>
    <row r="23768">
      <c r="B23768" s="36"/>
      <c r="C23768" s="36"/>
      <c r="E23768" s="1"/>
      <c r="F23768" s="1"/>
      <c r="G23768" s="1"/>
    </row>
    <row r="23769">
      <c r="B23769" s="36"/>
      <c r="C23769" s="36"/>
      <c r="E23769" s="1"/>
      <c r="F23769" s="1"/>
      <c r="G23769" s="1"/>
    </row>
    <row r="23770">
      <c r="B23770" s="36"/>
      <c r="C23770" s="36"/>
      <c r="E23770" s="1"/>
      <c r="F23770" s="1"/>
      <c r="G23770" s="1"/>
    </row>
    <row r="23771">
      <c r="B23771" s="36"/>
      <c r="C23771" s="36"/>
      <c r="E23771" s="1"/>
      <c r="F23771" s="1"/>
      <c r="G23771" s="1"/>
    </row>
    <row r="23772">
      <c r="B23772" s="36"/>
      <c r="C23772" s="36"/>
      <c r="E23772" s="1"/>
      <c r="F23772" s="1"/>
      <c r="G23772" s="1"/>
    </row>
    <row r="23773">
      <c r="B23773" s="36"/>
      <c r="C23773" s="36"/>
      <c r="E23773" s="1"/>
      <c r="F23773" s="1"/>
      <c r="G23773" s="1"/>
    </row>
    <row r="23774">
      <c r="B23774" s="36"/>
      <c r="C23774" s="36"/>
      <c r="E23774" s="1"/>
      <c r="F23774" s="1"/>
      <c r="G23774" s="1"/>
    </row>
    <row r="23775">
      <c r="B23775" s="36"/>
      <c r="C23775" s="36"/>
      <c r="E23775" s="1"/>
      <c r="F23775" s="1"/>
      <c r="G23775" s="1"/>
    </row>
    <row r="23776">
      <c r="B23776" s="36"/>
      <c r="C23776" s="36"/>
      <c r="E23776" s="1"/>
      <c r="F23776" s="1"/>
      <c r="G23776" s="1"/>
    </row>
    <row r="23777">
      <c r="B23777" s="36"/>
      <c r="C23777" s="36"/>
      <c r="E23777" s="1"/>
      <c r="F23777" s="1"/>
      <c r="G23777" s="1"/>
    </row>
    <row r="23778">
      <c r="B23778" s="36"/>
      <c r="C23778" s="36"/>
      <c r="E23778" s="1"/>
      <c r="F23778" s="1"/>
      <c r="G23778" s="1"/>
    </row>
    <row r="23779">
      <c r="B23779" s="36"/>
      <c r="C23779" s="36"/>
      <c r="E23779" s="1"/>
      <c r="F23779" s="1"/>
      <c r="G23779" s="1"/>
    </row>
    <row r="23780">
      <c r="B23780" s="36"/>
      <c r="C23780" s="36"/>
      <c r="E23780" s="1"/>
      <c r="F23780" s="1"/>
      <c r="G23780" s="1"/>
    </row>
    <row r="23781">
      <c r="B23781" s="36"/>
      <c r="C23781" s="36"/>
      <c r="E23781" s="1"/>
      <c r="F23781" s="1"/>
      <c r="G23781" s="1"/>
    </row>
    <row r="23782">
      <c r="B23782" s="36"/>
      <c r="C23782" s="36"/>
      <c r="E23782" s="1"/>
      <c r="F23782" s="1"/>
      <c r="G23782" s="1"/>
    </row>
    <row r="23783">
      <c r="B23783" s="36"/>
      <c r="C23783" s="36"/>
      <c r="E23783" s="1"/>
      <c r="F23783" s="1"/>
      <c r="G23783" s="1"/>
    </row>
    <row r="23784">
      <c r="B23784" s="36"/>
      <c r="C23784" s="36"/>
      <c r="E23784" s="1"/>
      <c r="F23784" s="1"/>
      <c r="G23784" s="1"/>
    </row>
    <row r="23785">
      <c r="B23785" s="36"/>
      <c r="C23785" s="36"/>
      <c r="E23785" s="1"/>
      <c r="F23785" s="1"/>
      <c r="G23785" s="1"/>
    </row>
    <row r="23786">
      <c r="B23786" s="36"/>
      <c r="C23786" s="36"/>
      <c r="E23786" s="1"/>
      <c r="F23786" s="1"/>
      <c r="G23786" s="1"/>
    </row>
    <row r="23787">
      <c r="B23787" s="36"/>
      <c r="C23787" s="36"/>
      <c r="E23787" s="1"/>
      <c r="F23787" s="1"/>
      <c r="G23787" s="1"/>
    </row>
    <row r="23788">
      <c r="B23788" s="36"/>
      <c r="C23788" s="36"/>
      <c r="E23788" s="1"/>
      <c r="F23788" s="1"/>
      <c r="G23788" s="1"/>
    </row>
    <row r="23789">
      <c r="B23789" s="36"/>
      <c r="C23789" s="36"/>
      <c r="E23789" s="1"/>
      <c r="F23789" s="1"/>
      <c r="G23789" s="1"/>
    </row>
    <row r="23790">
      <c r="B23790" s="36"/>
      <c r="C23790" s="36"/>
      <c r="E23790" s="1"/>
      <c r="F23790" s="1"/>
      <c r="G23790" s="1"/>
    </row>
    <row r="23791">
      <c r="B23791" s="36"/>
      <c r="C23791" s="36"/>
      <c r="E23791" s="1"/>
      <c r="F23791" s="1"/>
      <c r="G23791" s="1"/>
    </row>
    <row r="23792">
      <c r="B23792" s="36"/>
      <c r="C23792" s="36"/>
      <c r="E23792" s="1"/>
      <c r="F23792" s="1"/>
      <c r="G23792" s="1"/>
    </row>
    <row r="23793">
      <c r="B23793" s="36"/>
      <c r="C23793" s="36"/>
      <c r="E23793" s="1"/>
      <c r="F23793" s="1"/>
      <c r="G23793" s="1"/>
    </row>
    <row r="23794">
      <c r="B23794" s="36"/>
      <c r="C23794" s="36"/>
      <c r="E23794" s="1"/>
      <c r="F23794" s="1"/>
      <c r="G23794" s="1"/>
    </row>
    <row r="23795">
      <c r="B23795" s="36"/>
      <c r="C23795" s="36"/>
      <c r="E23795" s="1"/>
      <c r="F23795" s="1"/>
      <c r="G23795" s="1"/>
    </row>
    <row r="23796">
      <c r="B23796" s="36"/>
      <c r="C23796" s="36"/>
      <c r="E23796" s="1"/>
      <c r="F23796" s="1"/>
      <c r="G23796" s="1"/>
    </row>
    <row r="23797">
      <c r="B23797" s="36"/>
      <c r="C23797" s="36"/>
      <c r="E23797" s="1"/>
      <c r="F23797" s="1"/>
      <c r="G23797" s="1"/>
    </row>
    <row r="23798">
      <c r="B23798" s="36"/>
      <c r="C23798" s="36"/>
      <c r="E23798" s="1"/>
      <c r="F23798" s="1"/>
      <c r="G23798" s="1"/>
    </row>
    <row r="23799">
      <c r="B23799" s="36"/>
      <c r="C23799" s="36"/>
      <c r="E23799" s="1"/>
      <c r="F23799" s="1"/>
      <c r="G23799" s="1"/>
    </row>
    <row r="23800">
      <c r="B23800" s="36"/>
      <c r="C23800" s="36"/>
      <c r="E23800" s="1"/>
      <c r="F23800" s="1"/>
      <c r="G23800" s="1"/>
    </row>
    <row r="23801">
      <c r="B23801" s="36"/>
      <c r="C23801" s="36"/>
      <c r="E23801" s="1"/>
      <c r="F23801" s="1"/>
      <c r="G23801" s="1"/>
    </row>
    <row r="23802">
      <c r="B23802" s="36"/>
      <c r="C23802" s="36"/>
      <c r="E23802" s="1"/>
      <c r="F23802" s="1"/>
      <c r="G23802" s="1"/>
    </row>
    <row r="23803">
      <c r="B23803" s="36"/>
      <c r="C23803" s="36"/>
      <c r="E23803" s="1"/>
      <c r="F23803" s="1"/>
      <c r="G23803" s="1"/>
    </row>
    <row r="23804">
      <c r="B23804" s="36"/>
      <c r="C23804" s="36"/>
      <c r="E23804" s="1"/>
      <c r="F23804" s="1"/>
      <c r="G23804" s="1"/>
    </row>
    <row r="23805">
      <c r="B23805" s="36"/>
      <c r="C23805" s="36"/>
      <c r="E23805" s="1"/>
      <c r="F23805" s="1"/>
      <c r="G23805" s="1"/>
    </row>
    <row r="23806">
      <c r="B23806" s="36"/>
      <c r="C23806" s="36"/>
      <c r="E23806" s="1"/>
      <c r="F23806" s="1"/>
      <c r="G23806" s="1"/>
    </row>
    <row r="23807">
      <c r="B23807" s="36"/>
      <c r="C23807" s="36"/>
      <c r="E23807" s="1"/>
      <c r="F23807" s="1"/>
      <c r="G23807" s="1"/>
    </row>
    <row r="23808">
      <c r="B23808" s="36"/>
      <c r="C23808" s="36"/>
      <c r="E23808" s="1"/>
      <c r="F23808" s="1"/>
      <c r="G23808" s="1"/>
    </row>
    <row r="23809">
      <c r="B23809" s="36"/>
      <c r="C23809" s="36"/>
      <c r="E23809" s="1"/>
      <c r="F23809" s="1"/>
      <c r="G23809" s="1"/>
    </row>
    <row r="23810">
      <c r="B23810" s="36"/>
      <c r="C23810" s="36"/>
      <c r="E23810" s="1"/>
      <c r="F23810" s="1"/>
      <c r="G23810" s="1"/>
    </row>
    <row r="23811">
      <c r="B23811" s="36"/>
      <c r="C23811" s="36"/>
      <c r="E23811" s="1"/>
      <c r="F23811" s="1"/>
      <c r="G23811" s="1"/>
    </row>
    <row r="23812">
      <c r="B23812" s="36"/>
      <c r="C23812" s="36"/>
      <c r="E23812" s="1"/>
      <c r="F23812" s="1"/>
      <c r="G23812" s="1"/>
    </row>
    <row r="23813">
      <c r="B23813" s="36"/>
      <c r="C23813" s="36"/>
      <c r="E23813" s="1"/>
      <c r="F23813" s="1"/>
      <c r="G23813" s="1"/>
    </row>
    <row r="23814">
      <c r="B23814" s="36"/>
      <c r="C23814" s="36"/>
      <c r="E23814" s="1"/>
      <c r="F23814" s="1"/>
      <c r="G23814" s="1"/>
    </row>
    <row r="23815">
      <c r="B23815" s="36"/>
      <c r="C23815" s="36"/>
      <c r="E23815" s="1"/>
      <c r="F23815" s="1"/>
      <c r="G23815" s="1"/>
    </row>
    <row r="23816">
      <c r="B23816" s="36"/>
      <c r="C23816" s="36"/>
      <c r="E23816" s="1"/>
      <c r="F23816" s="1"/>
      <c r="G23816" s="1"/>
    </row>
    <row r="23817">
      <c r="B23817" s="36"/>
      <c r="C23817" s="36"/>
      <c r="E23817" s="1"/>
      <c r="F23817" s="1"/>
      <c r="G23817" s="1"/>
    </row>
    <row r="23818">
      <c r="B23818" s="36"/>
      <c r="C23818" s="36"/>
      <c r="E23818" s="1"/>
      <c r="F23818" s="1"/>
      <c r="G23818" s="1"/>
    </row>
    <row r="23819">
      <c r="B23819" s="36"/>
      <c r="C23819" s="36"/>
      <c r="E23819" s="1"/>
      <c r="F23819" s="1"/>
      <c r="G23819" s="1"/>
    </row>
    <row r="23820">
      <c r="B23820" s="36"/>
      <c r="C23820" s="36"/>
      <c r="E23820" s="1"/>
      <c r="F23820" s="1"/>
      <c r="G23820" s="1"/>
    </row>
    <row r="23821">
      <c r="B23821" s="36"/>
      <c r="C23821" s="36"/>
      <c r="E23821" s="1"/>
      <c r="F23821" s="1"/>
      <c r="G23821" s="1"/>
    </row>
    <row r="23822">
      <c r="B23822" s="36"/>
      <c r="C23822" s="36"/>
      <c r="E23822" s="1"/>
      <c r="F23822" s="1"/>
      <c r="G23822" s="1"/>
    </row>
    <row r="23823">
      <c r="B23823" s="36"/>
      <c r="C23823" s="36"/>
      <c r="E23823" s="1"/>
      <c r="F23823" s="1"/>
      <c r="G23823" s="1"/>
    </row>
    <row r="23824">
      <c r="B23824" s="36"/>
      <c r="C23824" s="36"/>
      <c r="E23824" s="1"/>
      <c r="F23824" s="1"/>
      <c r="G23824" s="1"/>
    </row>
    <row r="23825">
      <c r="B23825" s="36"/>
      <c r="C23825" s="36"/>
      <c r="E23825" s="1"/>
      <c r="F23825" s="1"/>
      <c r="G23825" s="1"/>
    </row>
    <row r="23826">
      <c r="B23826" s="36"/>
      <c r="C23826" s="36"/>
      <c r="E23826" s="1"/>
      <c r="F23826" s="1"/>
      <c r="G23826" s="1"/>
    </row>
    <row r="23827">
      <c r="B23827" s="36"/>
      <c r="C23827" s="36"/>
      <c r="E23827" s="1"/>
      <c r="F23827" s="1"/>
      <c r="G23827" s="1"/>
    </row>
    <row r="23828">
      <c r="B23828" s="36"/>
      <c r="C23828" s="36"/>
      <c r="E23828" s="1"/>
      <c r="F23828" s="1"/>
      <c r="G23828" s="1"/>
    </row>
    <row r="23829">
      <c r="B23829" s="36"/>
      <c r="C23829" s="36"/>
      <c r="E23829" s="1"/>
      <c r="F23829" s="1"/>
      <c r="G23829" s="1"/>
    </row>
    <row r="23830">
      <c r="B23830" s="36"/>
      <c r="C23830" s="36"/>
      <c r="E23830" s="1"/>
      <c r="F23830" s="1"/>
      <c r="G23830" s="1"/>
    </row>
    <row r="23831">
      <c r="B23831" s="36"/>
      <c r="C23831" s="36"/>
      <c r="E23831" s="1"/>
      <c r="F23831" s="1"/>
      <c r="G23831" s="1"/>
    </row>
    <row r="23832">
      <c r="B23832" s="36"/>
      <c r="C23832" s="36"/>
      <c r="E23832" s="1"/>
      <c r="F23832" s="1"/>
      <c r="G23832" s="1"/>
    </row>
    <row r="23833">
      <c r="B23833" s="36"/>
      <c r="C23833" s="36"/>
      <c r="E23833" s="1"/>
      <c r="F23833" s="1"/>
      <c r="G23833" s="1"/>
    </row>
    <row r="23834">
      <c r="B23834" s="36"/>
      <c r="C23834" s="36"/>
      <c r="E23834" s="1"/>
      <c r="F23834" s="1"/>
      <c r="G23834" s="1"/>
    </row>
    <row r="23835">
      <c r="B23835" s="36"/>
      <c r="C23835" s="36"/>
      <c r="E23835" s="1"/>
      <c r="F23835" s="1"/>
      <c r="G23835" s="1"/>
    </row>
    <row r="23836">
      <c r="B23836" s="36"/>
      <c r="C23836" s="36"/>
      <c r="E23836" s="1"/>
      <c r="F23836" s="1"/>
      <c r="G23836" s="1"/>
    </row>
    <row r="23837">
      <c r="B23837" s="36"/>
      <c r="C23837" s="36"/>
      <c r="E23837" s="1"/>
      <c r="F23837" s="1"/>
      <c r="G23837" s="1"/>
    </row>
    <row r="23838">
      <c r="B23838" s="36"/>
      <c r="C23838" s="36"/>
      <c r="E23838" s="1"/>
      <c r="F23838" s="1"/>
      <c r="G23838" s="1"/>
    </row>
    <row r="23839">
      <c r="B23839" s="36"/>
      <c r="C23839" s="36"/>
      <c r="E23839" s="1"/>
      <c r="F23839" s="1"/>
      <c r="G23839" s="1"/>
    </row>
    <row r="23840">
      <c r="B23840" s="36"/>
      <c r="C23840" s="36"/>
      <c r="E23840" s="1"/>
      <c r="F23840" s="1"/>
      <c r="G23840" s="1"/>
    </row>
    <row r="23841">
      <c r="B23841" s="36"/>
      <c r="C23841" s="36"/>
      <c r="E23841" s="1"/>
      <c r="F23841" s="1"/>
      <c r="G23841" s="1"/>
    </row>
    <row r="23842">
      <c r="B23842" s="36"/>
      <c r="C23842" s="36"/>
      <c r="E23842" s="1"/>
      <c r="F23842" s="1"/>
      <c r="G23842" s="1"/>
    </row>
    <row r="23843">
      <c r="B23843" s="36"/>
      <c r="C23843" s="36"/>
      <c r="E23843" s="1"/>
      <c r="F23843" s="1"/>
      <c r="G23843" s="1"/>
    </row>
    <row r="23844">
      <c r="B23844" s="36"/>
      <c r="C23844" s="36"/>
      <c r="E23844" s="1"/>
      <c r="F23844" s="1"/>
      <c r="G23844" s="1"/>
    </row>
    <row r="23845">
      <c r="B23845" s="36"/>
      <c r="C23845" s="36"/>
      <c r="E23845" s="1"/>
      <c r="F23845" s="1"/>
      <c r="G23845" s="1"/>
    </row>
    <row r="23846">
      <c r="B23846" s="36"/>
      <c r="C23846" s="36"/>
      <c r="E23846" s="1"/>
      <c r="F23846" s="1"/>
      <c r="G23846" s="1"/>
    </row>
    <row r="23847">
      <c r="B23847" s="36"/>
      <c r="C23847" s="36"/>
      <c r="E23847" s="1"/>
      <c r="F23847" s="1"/>
      <c r="G23847" s="1"/>
    </row>
    <row r="23848">
      <c r="B23848" s="36"/>
      <c r="C23848" s="36"/>
      <c r="E23848" s="1"/>
      <c r="F23848" s="1"/>
      <c r="G23848" s="1"/>
    </row>
    <row r="23849">
      <c r="B23849" s="36"/>
      <c r="C23849" s="36"/>
      <c r="E23849" s="1"/>
      <c r="F23849" s="1"/>
      <c r="G23849" s="1"/>
    </row>
    <row r="23850">
      <c r="B23850" s="36"/>
      <c r="C23850" s="36"/>
      <c r="E23850" s="1"/>
      <c r="F23850" s="1"/>
      <c r="G23850" s="1"/>
    </row>
    <row r="23851">
      <c r="B23851" s="36"/>
      <c r="C23851" s="36"/>
      <c r="E23851" s="1"/>
      <c r="F23851" s="1"/>
      <c r="G23851" s="1"/>
    </row>
    <row r="23852">
      <c r="B23852" s="36"/>
      <c r="C23852" s="36"/>
      <c r="E23852" s="1"/>
      <c r="F23852" s="1"/>
      <c r="G23852" s="1"/>
    </row>
    <row r="23853">
      <c r="B23853" s="36"/>
      <c r="C23853" s="36"/>
      <c r="E23853" s="1"/>
      <c r="F23853" s="1"/>
      <c r="G23853" s="1"/>
    </row>
    <row r="23854">
      <c r="B23854" s="36"/>
      <c r="C23854" s="36"/>
      <c r="E23854" s="1"/>
      <c r="F23854" s="1"/>
      <c r="G23854" s="1"/>
    </row>
    <row r="23855">
      <c r="B23855" s="36"/>
      <c r="C23855" s="36"/>
      <c r="E23855" s="1"/>
      <c r="F23855" s="1"/>
      <c r="G23855" s="1"/>
    </row>
    <row r="23856">
      <c r="B23856" s="36"/>
      <c r="C23856" s="36"/>
      <c r="E23856" s="1"/>
      <c r="F23856" s="1"/>
      <c r="G23856" s="1"/>
    </row>
    <row r="23857">
      <c r="B23857" s="36"/>
      <c r="C23857" s="36"/>
      <c r="E23857" s="1"/>
      <c r="F23857" s="1"/>
      <c r="G23857" s="1"/>
    </row>
    <row r="23858">
      <c r="B23858" s="36"/>
      <c r="C23858" s="36"/>
      <c r="E23858" s="1"/>
      <c r="F23858" s="1"/>
      <c r="G23858" s="1"/>
    </row>
    <row r="23859">
      <c r="B23859" s="36"/>
      <c r="C23859" s="36"/>
      <c r="E23859" s="1"/>
      <c r="F23859" s="1"/>
      <c r="G23859" s="1"/>
    </row>
    <row r="23860">
      <c r="B23860" s="36"/>
      <c r="C23860" s="36"/>
      <c r="E23860" s="1"/>
      <c r="F23860" s="1"/>
      <c r="G23860" s="1"/>
    </row>
    <row r="23861">
      <c r="B23861" s="36"/>
      <c r="C23861" s="36"/>
      <c r="E23861" s="1"/>
      <c r="F23861" s="1"/>
      <c r="G23861" s="1"/>
    </row>
    <row r="23862">
      <c r="B23862" s="36"/>
      <c r="C23862" s="36"/>
      <c r="E23862" s="1"/>
      <c r="F23862" s="1"/>
      <c r="G23862" s="1"/>
    </row>
    <row r="23863">
      <c r="B23863" s="36"/>
      <c r="C23863" s="36"/>
      <c r="E23863" s="1"/>
      <c r="F23863" s="1"/>
      <c r="G23863" s="1"/>
    </row>
    <row r="23864">
      <c r="B23864" s="36"/>
      <c r="C23864" s="36"/>
      <c r="E23864" s="1"/>
      <c r="F23864" s="1"/>
      <c r="G23864" s="1"/>
    </row>
    <row r="23865">
      <c r="B23865" s="36"/>
      <c r="C23865" s="36"/>
      <c r="E23865" s="1"/>
      <c r="F23865" s="1"/>
      <c r="G23865" s="1"/>
    </row>
    <row r="23866">
      <c r="B23866" s="36"/>
      <c r="C23866" s="36"/>
      <c r="E23866" s="1"/>
      <c r="F23866" s="1"/>
      <c r="G23866" s="1"/>
    </row>
    <row r="23867">
      <c r="B23867" s="36"/>
      <c r="C23867" s="36"/>
      <c r="E23867" s="1"/>
      <c r="F23867" s="1"/>
      <c r="G23867" s="1"/>
    </row>
    <row r="23868">
      <c r="B23868" s="36"/>
      <c r="C23868" s="36"/>
      <c r="E23868" s="1"/>
      <c r="F23868" s="1"/>
      <c r="G23868" s="1"/>
    </row>
    <row r="23869">
      <c r="B23869" s="36"/>
      <c r="C23869" s="36"/>
      <c r="E23869" s="1"/>
      <c r="F23869" s="1"/>
      <c r="G23869" s="1"/>
    </row>
    <row r="23870">
      <c r="B23870" s="36"/>
      <c r="C23870" s="36"/>
      <c r="E23870" s="1"/>
      <c r="F23870" s="1"/>
      <c r="G23870" s="1"/>
    </row>
    <row r="23871">
      <c r="B23871" s="36"/>
      <c r="C23871" s="36"/>
      <c r="E23871" s="1"/>
      <c r="F23871" s="1"/>
      <c r="G23871" s="1"/>
    </row>
    <row r="23872">
      <c r="B23872" s="36"/>
      <c r="C23872" s="36"/>
      <c r="E23872" s="1"/>
      <c r="F23872" s="1"/>
      <c r="G23872" s="1"/>
    </row>
    <row r="23873">
      <c r="B23873" s="36"/>
      <c r="C23873" s="36"/>
      <c r="E23873" s="1"/>
      <c r="F23873" s="1"/>
      <c r="G23873" s="1"/>
    </row>
    <row r="23874">
      <c r="B23874" s="36"/>
      <c r="C23874" s="36"/>
      <c r="E23874" s="1"/>
      <c r="F23874" s="1"/>
      <c r="G23874" s="1"/>
    </row>
    <row r="23875">
      <c r="B23875" s="36"/>
      <c r="C23875" s="36"/>
      <c r="E23875" s="1"/>
      <c r="F23875" s="1"/>
      <c r="G23875" s="1"/>
    </row>
    <row r="23876">
      <c r="B23876" s="36"/>
      <c r="C23876" s="36"/>
      <c r="E23876" s="1"/>
      <c r="F23876" s="1"/>
      <c r="G23876" s="1"/>
    </row>
    <row r="23877">
      <c r="B23877" s="36"/>
      <c r="C23877" s="36"/>
      <c r="E23877" s="1"/>
      <c r="F23877" s="1"/>
      <c r="G23877" s="1"/>
    </row>
    <row r="23878">
      <c r="B23878" s="36"/>
      <c r="C23878" s="36"/>
      <c r="E23878" s="1"/>
      <c r="F23878" s="1"/>
      <c r="G23878" s="1"/>
    </row>
    <row r="23879">
      <c r="B23879" s="36"/>
      <c r="C23879" s="36"/>
      <c r="E23879" s="1"/>
      <c r="F23879" s="1"/>
      <c r="G23879" s="1"/>
    </row>
    <row r="23880">
      <c r="B23880" s="36"/>
      <c r="C23880" s="36"/>
      <c r="E23880" s="1"/>
      <c r="F23880" s="1"/>
      <c r="G23880" s="1"/>
    </row>
    <row r="23881">
      <c r="B23881" s="36"/>
      <c r="C23881" s="36"/>
      <c r="E23881" s="1"/>
      <c r="F23881" s="1"/>
      <c r="G23881" s="1"/>
    </row>
    <row r="23882">
      <c r="B23882" s="36"/>
      <c r="C23882" s="36"/>
      <c r="E23882" s="1"/>
      <c r="F23882" s="1"/>
      <c r="G23882" s="1"/>
    </row>
    <row r="23883">
      <c r="B23883" s="36"/>
      <c r="C23883" s="36"/>
      <c r="E23883" s="1"/>
      <c r="F23883" s="1"/>
      <c r="G23883" s="1"/>
    </row>
    <row r="23884">
      <c r="B23884" s="36"/>
      <c r="C23884" s="36"/>
      <c r="E23884" s="1"/>
      <c r="F23884" s="1"/>
      <c r="G23884" s="1"/>
    </row>
    <row r="23885">
      <c r="B23885" s="36"/>
      <c r="C23885" s="36"/>
      <c r="E23885" s="1"/>
      <c r="F23885" s="1"/>
      <c r="G23885" s="1"/>
    </row>
    <row r="23886">
      <c r="B23886" s="36"/>
      <c r="C23886" s="36"/>
      <c r="E23886" s="1"/>
      <c r="F23886" s="1"/>
      <c r="G23886" s="1"/>
    </row>
    <row r="23887">
      <c r="B23887" s="36"/>
      <c r="C23887" s="36"/>
      <c r="E23887" s="1"/>
      <c r="F23887" s="1"/>
      <c r="G23887" s="1"/>
    </row>
    <row r="23888">
      <c r="B23888" s="36"/>
      <c r="C23888" s="36"/>
      <c r="E23888" s="1"/>
      <c r="F23888" s="1"/>
      <c r="G23888" s="1"/>
    </row>
    <row r="23889">
      <c r="B23889" s="36"/>
      <c r="C23889" s="36"/>
      <c r="E23889" s="1"/>
      <c r="F23889" s="1"/>
      <c r="G23889" s="1"/>
    </row>
    <row r="23890">
      <c r="B23890" s="36"/>
      <c r="C23890" s="36"/>
      <c r="E23890" s="1"/>
      <c r="F23890" s="1"/>
      <c r="G23890" s="1"/>
    </row>
    <row r="23891">
      <c r="B23891" s="36"/>
      <c r="C23891" s="36"/>
      <c r="E23891" s="1"/>
      <c r="F23891" s="1"/>
      <c r="G23891" s="1"/>
    </row>
    <row r="23892">
      <c r="B23892" s="36"/>
      <c r="C23892" s="36"/>
      <c r="E23892" s="1"/>
      <c r="F23892" s="1"/>
      <c r="G23892" s="1"/>
    </row>
    <row r="23893">
      <c r="B23893" s="36"/>
      <c r="C23893" s="36"/>
      <c r="E23893" s="1"/>
      <c r="F23893" s="1"/>
      <c r="G23893" s="1"/>
    </row>
    <row r="23894">
      <c r="B23894" s="36"/>
      <c r="C23894" s="36"/>
      <c r="E23894" s="1"/>
      <c r="F23894" s="1"/>
      <c r="G23894" s="1"/>
    </row>
    <row r="23895">
      <c r="B23895" s="36"/>
      <c r="C23895" s="36"/>
      <c r="E23895" s="1"/>
      <c r="F23895" s="1"/>
      <c r="G23895" s="1"/>
    </row>
    <row r="23896">
      <c r="B23896" s="36"/>
      <c r="C23896" s="36"/>
      <c r="E23896" s="1"/>
      <c r="F23896" s="1"/>
      <c r="G23896" s="1"/>
    </row>
    <row r="23897">
      <c r="B23897" s="36"/>
      <c r="C23897" s="36"/>
      <c r="E23897" s="1"/>
      <c r="F23897" s="1"/>
      <c r="G23897" s="1"/>
    </row>
    <row r="23898">
      <c r="B23898" s="36"/>
      <c r="C23898" s="36"/>
      <c r="E23898" s="1"/>
      <c r="F23898" s="1"/>
      <c r="G23898" s="1"/>
    </row>
    <row r="23899">
      <c r="B23899" s="36"/>
      <c r="C23899" s="36"/>
      <c r="E23899" s="1"/>
      <c r="F23899" s="1"/>
      <c r="G23899" s="1"/>
    </row>
    <row r="23900">
      <c r="B23900" s="36"/>
      <c r="C23900" s="36"/>
      <c r="E23900" s="1"/>
      <c r="F23900" s="1"/>
      <c r="G23900" s="1"/>
    </row>
    <row r="23901">
      <c r="B23901" s="36"/>
      <c r="C23901" s="36"/>
      <c r="E23901" s="1"/>
      <c r="F23901" s="1"/>
      <c r="G23901" s="1"/>
    </row>
    <row r="23902">
      <c r="B23902" s="36"/>
      <c r="C23902" s="36"/>
      <c r="E23902" s="1"/>
      <c r="F23902" s="1"/>
      <c r="G23902" s="1"/>
    </row>
    <row r="23903">
      <c r="B23903" s="36"/>
      <c r="C23903" s="36"/>
      <c r="E23903" s="1"/>
      <c r="F23903" s="1"/>
      <c r="G23903" s="1"/>
    </row>
    <row r="23904">
      <c r="B23904" s="36"/>
      <c r="C23904" s="36"/>
      <c r="E23904" s="1"/>
      <c r="F23904" s="1"/>
      <c r="G23904" s="1"/>
    </row>
    <row r="23905">
      <c r="B23905" s="36"/>
      <c r="C23905" s="36"/>
      <c r="E23905" s="1"/>
      <c r="F23905" s="1"/>
      <c r="G23905" s="1"/>
    </row>
    <row r="23906">
      <c r="B23906" s="36"/>
      <c r="C23906" s="36"/>
      <c r="E23906" s="1"/>
      <c r="F23906" s="1"/>
      <c r="G23906" s="1"/>
    </row>
    <row r="23907">
      <c r="B23907" s="36"/>
      <c r="C23907" s="36"/>
      <c r="E23907" s="1"/>
      <c r="F23907" s="1"/>
      <c r="G23907" s="1"/>
    </row>
    <row r="23908">
      <c r="B23908" s="36"/>
      <c r="C23908" s="36"/>
      <c r="E23908" s="1"/>
      <c r="F23908" s="1"/>
      <c r="G23908" s="1"/>
    </row>
    <row r="23909">
      <c r="B23909" s="36"/>
      <c r="C23909" s="36"/>
      <c r="E23909" s="1"/>
      <c r="F23909" s="1"/>
      <c r="G23909" s="1"/>
    </row>
    <row r="23910">
      <c r="B23910" s="36"/>
      <c r="C23910" s="36"/>
      <c r="E23910" s="1"/>
      <c r="F23910" s="1"/>
      <c r="G23910" s="1"/>
    </row>
    <row r="23911">
      <c r="B23911" s="36"/>
      <c r="C23911" s="36"/>
      <c r="E23911" s="1"/>
      <c r="F23911" s="1"/>
      <c r="G23911" s="1"/>
    </row>
    <row r="23912">
      <c r="B23912" s="36"/>
      <c r="C23912" s="36"/>
      <c r="E23912" s="1"/>
      <c r="F23912" s="1"/>
      <c r="G23912" s="1"/>
    </row>
    <row r="23913">
      <c r="B23913" s="36"/>
      <c r="C23913" s="36"/>
      <c r="E23913" s="1"/>
      <c r="F23913" s="1"/>
      <c r="G23913" s="1"/>
    </row>
    <row r="23914">
      <c r="B23914" s="36"/>
      <c r="C23914" s="36"/>
      <c r="E23914" s="1"/>
      <c r="F23914" s="1"/>
      <c r="G23914" s="1"/>
    </row>
    <row r="23915">
      <c r="B23915" s="36"/>
      <c r="C23915" s="36"/>
      <c r="E23915" s="1"/>
      <c r="F23915" s="1"/>
      <c r="G23915" s="1"/>
    </row>
    <row r="23916">
      <c r="B23916" s="36"/>
      <c r="C23916" s="36"/>
      <c r="E23916" s="1"/>
      <c r="F23916" s="1"/>
      <c r="G23916" s="1"/>
    </row>
    <row r="23917">
      <c r="B23917" s="36"/>
      <c r="C23917" s="36"/>
      <c r="E23917" s="1"/>
      <c r="F23917" s="1"/>
      <c r="G23917" s="1"/>
    </row>
    <row r="23918">
      <c r="B23918" s="36"/>
      <c r="C23918" s="36"/>
      <c r="E23918" s="1"/>
      <c r="F23918" s="1"/>
      <c r="G23918" s="1"/>
    </row>
    <row r="23919">
      <c r="B23919" s="36"/>
      <c r="C23919" s="36"/>
      <c r="E23919" s="1"/>
      <c r="F23919" s="1"/>
      <c r="G23919" s="1"/>
    </row>
    <row r="23920">
      <c r="B23920" s="36"/>
      <c r="C23920" s="36"/>
      <c r="E23920" s="1"/>
      <c r="F23920" s="1"/>
      <c r="G23920" s="1"/>
    </row>
    <row r="23921">
      <c r="B23921" s="36"/>
      <c r="C23921" s="36"/>
      <c r="E23921" s="1"/>
      <c r="F23921" s="1"/>
      <c r="G23921" s="1"/>
    </row>
    <row r="23922">
      <c r="B23922" s="36"/>
      <c r="C23922" s="36"/>
      <c r="E23922" s="1"/>
      <c r="F23922" s="1"/>
      <c r="G23922" s="1"/>
    </row>
    <row r="23923">
      <c r="B23923" s="36"/>
      <c r="C23923" s="36"/>
      <c r="E23923" s="1"/>
      <c r="F23923" s="1"/>
      <c r="G23923" s="1"/>
    </row>
    <row r="23924">
      <c r="B23924" s="36"/>
      <c r="C23924" s="36"/>
      <c r="E23924" s="1"/>
      <c r="F23924" s="1"/>
      <c r="G23924" s="1"/>
    </row>
    <row r="23925">
      <c r="B23925" s="36"/>
      <c r="C23925" s="36"/>
      <c r="E23925" s="1"/>
      <c r="F23925" s="1"/>
      <c r="G23925" s="1"/>
    </row>
    <row r="23926">
      <c r="B23926" s="36"/>
      <c r="C23926" s="36"/>
      <c r="E23926" s="1"/>
      <c r="F23926" s="1"/>
      <c r="G23926" s="1"/>
    </row>
    <row r="23927">
      <c r="B23927" s="36"/>
      <c r="C23927" s="36"/>
      <c r="E23927" s="1"/>
      <c r="F23927" s="1"/>
      <c r="G23927" s="1"/>
    </row>
    <row r="23928">
      <c r="B23928" s="36"/>
      <c r="C23928" s="36"/>
      <c r="E23928" s="1"/>
      <c r="F23928" s="1"/>
      <c r="G23928" s="1"/>
    </row>
    <row r="23929">
      <c r="B23929" s="36"/>
      <c r="C23929" s="36"/>
      <c r="E23929" s="1"/>
      <c r="F23929" s="1"/>
      <c r="G23929" s="1"/>
    </row>
    <row r="23930">
      <c r="B23930" s="36"/>
      <c r="C23930" s="36"/>
      <c r="E23930" s="1"/>
      <c r="F23930" s="1"/>
      <c r="G23930" s="1"/>
    </row>
    <row r="23931">
      <c r="B23931" s="36"/>
      <c r="C23931" s="36"/>
      <c r="E23931" s="1"/>
      <c r="F23931" s="1"/>
      <c r="G23931" s="1"/>
    </row>
    <row r="23932">
      <c r="B23932" s="36"/>
      <c r="C23932" s="36"/>
      <c r="E23932" s="1"/>
      <c r="F23932" s="1"/>
      <c r="G23932" s="1"/>
    </row>
    <row r="23933">
      <c r="B23933" s="36"/>
      <c r="C23933" s="36"/>
      <c r="E23933" s="1"/>
      <c r="F23933" s="1"/>
      <c r="G23933" s="1"/>
    </row>
    <row r="23934">
      <c r="B23934" s="36"/>
      <c r="C23934" s="36"/>
      <c r="E23934" s="1"/>
      <c r="F23934" s="1"/>
      <c r="G23934" s="1"/>
    </row>
    <row r="23935">
      <c r="B23935" s="36"/>
      <c r="C23935" s="36"/>
      <c r="E23935" s="1"/>
      <c r="F23935" s="1"/>
      <c r="G23935" s="1"/>
    </row>
    <row r="23936">
      <c r="B23936" s="36"/>
      <c r="C23936" s="36"/>
      <c r="E23936" s="1"/>
      <c r="F23936" s="1"/>
      <c r="G23936" s="1"/>
    </row>
    <row r="23937">
      <c r="B23937" s="36"/>
      <c r="C23937" s="36"/>
      <c r="E23937" s="1"/>
      <c r="F23937" s="1"/>
      <c r="G23937" s="1"/>
    </row>
    <row r="23938">
      <c r="B23938" s="36"/>
      <c r="C23938" s="36"/>
      <c r="E23938" s="1"/>
      <c r="F23938" s="1"/>
      <c r="G23938" s="1"/>
    </row>
    <row r="23939">
      <c r="B23939" s="36"/>
      <c r="C23939" s="36"/>
      <c r="E23939" s="1"/>
      <c r="F23939" s="1"/>
      <c r="G23939" s="1"/>
    </row>
    <row r="23940">
      <c r="B23940" s="36"/>
      <c r="C23940" s="36"/>
      <c r="E23940" s="1"/>
      <c r="F23940" s="1"/>
      <c r="G23940" s="1"/>
    </row>
    <row r="23941">
      <c r="B23941" s="36"/>
      <c r="C23941" s="36"/>
      <c r="E23941" s="1"/>
      <c r="F23941" s="1"/>
      <c r="G23941" s="1"/>
    </row>
    <row r="23942">
      <c r="B23942" s="36"/>
      <c r="C23942" s="36"/>
      <c r="E23942" s="1"/>
      <c r="F23942" s="1"/>
      <c r="G23942" s="1"/>
    </row>
    <row r="23943">
      <c r="B23943" s="36"/>
      <c r="C23943" s="36"/>
      <c r="E23943" s="1"/>
      <c r="F23943" s="1"/>
      <c r="G23943" s="1"/>
    </row>
    <row r="23944">
      <c r="B23944" s="36"/>
      <c r="C23944" s="36"/>
      <c r="E23944" s="1"/>
      <c r="F23944" s="1"/>
      <c r="G23944" s="1"/>
    </row>
    <row r="23945">
      <c r="B23945" s="36"/>
      <c r="C23945" s="36"/>
      <c r="E23945" s="1"/>
      <c r="F23945" s="1"/>
      <c r="G23945" s="1"/>
    </row>
    <row r="23946">
      <c r="B23946" s="36"/>
      <c r="C23946" s="36"/>
      <c r="E23946" s="1"/>
      <c r="F23946" s="1"/>
      <c r="G23946" s="1"/>
    </row>
    <row r="23947">
      <c r="B23947" s="36"/>
      <c r="C23947" s="36"/>
      <c r="E23947" s="1"/>
      <c r="F23947" s="1"/>
      <c r="G23947" s="1"/>
    </row>
    <row r="23948">
      <c r="B23948" s="36"/>
      <c r="C23948" s="36"/>
      <c r="E23948" s="1"/>
      <c r="F23948" s="1"/>
      <c r="G23948" s="1"/>
    </row>
    <row r="23949">
      <c r="B23949" s="36"/>
      <c r="C23949" s="36"/>
      <c r="E23949" s="1"/>
      <c r="F23949" s="1"/>
      <c r="G23949" s="1"/>
    </row>
    <row r="23950">
      <c r="B23950" s="36"/>
      <c r="C23950" s="36"/>
      <c r="E23950" s="1"/>
      <c r="F23950" s="1"/>
      <c r="G23950" s="1"/>
    </row>
    <row r="23951">
      <c r="B23951" s="36"/>
      <c r="C23951" s="36"/>
      <c r="E23951" s="1"/>
      <c r="F23951" s="1"/>
      <c r="G23951" s="1"/>
    </row>
    <row r="23952">
      <c r="B23952" s="36"/>
      <c r="C23952" s="36"/>
      <c r="E23952" s="1"/>
      <c r="F23952" s="1"/>
      <c r="G23952" s="1"/>
    </row>
    <row r="23953">
      <c r="B23953" s="36"/>
      <c r="C23953" s="36"/>
      <c r="E23953" s="1"/>
      <c r="F23953" s="1"/>
      <c r="G23953" s="1"/>
    </row>
    <row r="23954">
      <c r="B23954" s="36"/>
      <c r="C23954" s="36"/>
      <c r="E23954" s="1"/>
      <c r="F23954" s="1"/>
      <c r="G23954" s="1"/>
    </row>
    <row r="23955">
      <c r="B23955" s="36"/>
      <c r="C23955" s="36"/>
      <c r="E23955" s="1"/>
      <c r="F23955" s="1"/>
      <c r="G23955" s="1"/>
    </row>
    <row r="23956">
      <c r="B23956" s="36"/>
      <c r="C23956" s="36"/>
      <c r="E23956" s="1"/>
      <c r="F23956" s="1"/>
      <c r="G23956" s="1"/>
    </row>
    <row r="23957">
      <c r="B23957" s="36"/>
      <c r="C23957" s="36"/>
      <c r="E23957" s="1"/>
      <c r="F23957" s="1"/>
      <c r="G23957" s="1"/>
    </row>
    <row r="23958">
      <c r="B23958" s="36"/>
      <c r="C23958" s="36"/>
      <c r="E23958" s="1"/>
      <c r="F23958" s="1"/>
      <c r="G23958" s="1"/>
    </row>
    <row r="23959">
      <c r="B23959" s="36"/>
      <c r="C23959" s="36"/>
      <c r="E23959" s="1"/>
      <c r="F23959" s="1"/>
      <c r="G23959" s="1"/>
    </row>
    <row r="23960">
      <c r="B23960" s="36"/>
      <c r="C23960" s="36"/>
      <c r="E23960" s="1"/>
      <c r="F23960" s="1"/>
      <c r="G23960" s="1"/>
    </row>
    <row r="23961">
      <c r="B23961" s="36"/>
      <c r="C23961" s="36"/>
      <c r="E23961" s="1"/>
      <c r="F23961" s="1"/>
      <c r="G23961" s="1"/>
    </row>
    <row r="23962">
      <c r="B23962" s="36"/>
      <c r="C23962" s="36"/>
      <c r="E23962" s="1"/>
      <c r="F23962" s="1"/>
      <c r="G23962" s="1"/>
    </row>
    <row r="23963">
      <c r="B23963" s="36"/>
      <c r="C23963" s="36"/>
      <c r="E23963" s="1"/>
      <c r="F23963" s="1"/>
      <c r="G23963" s="1"/>
    </row>
    <row r="23964">
      <c r="B23964" s="36"/>
      <c r="C23964" s="36"/>
      <c r="E23964" s="1"/>
      <c r="F23964" s="1"/>
      <c r="G23964" s="1"/>
    </row>
    <row r="23965">
      <c r="B23965" s="36"/>
      <c r="C23965" s="36"/>
      <c r="E23965" s="1"/>
      <c r="F23965" s="1"/>
      <c r="G23965" s="1"/>
    </row>
    <row r="23966">
      <c r="B23966" s="36"/>
      <c r="C23966" s="36"/>
      <c r="E23966" s="1"/>
      <c r="F23966" s="1"/>
      <c r="G23966" s="1"/>
    </row>
    <row r="23967">
      <c r="B23967" s="36"/>
      <c r="C23967" s="36"/>
      <c r="E23967" s="1"/>
      <c r="F23967" s="1"/>
      <c r="G23967" s="1"/>
    </row>
    <row r="23968">
      <c r="B23968" s="36"/>
      <c r="C23968" s="36"/>
      <c r="E23968" s="1"/>
      <c r="F23968" s="1"/>
      <c r="G23968" s="1"/>
    </row>
    <row r="23969">
      <c r="B23969" s="36"/>
      <c r="C23969" s="36"/>
      <c r="E23969" s="1"/>
      <c r="F23969" s="1"/>
      <c r="G23969" s="1"/>
    </row>
    <row r="23970">
      <c r="B23970" s="36"/>
      <c r="C23970" s="36"/>
      <c r="E23970" s="1"/>
      <c r="F23970" s="1"/>
      <c r="G23970" s="1"/>
    </row>
    <row r="23971">
      <c r="B23971" s="36"/>
      <c r="C23971" s="36"/>
      <c r="E23971" s="1"/>
      <c r="F23971" s="1"/>
      <c r="G23971" s="1"/>
    </row>
    <row r="23972">
      <c r="B23972" s="36"/>
      <c r="C23972" s="36"/>
      <c r="E23972" s="1"/>
      <c r="F23972" s="1"/>
      <c r="G23972" s="1"/>
    </row>
    <row r="23973">
      <c r="B23973" s="36"/>
      <c r="C23973" s="36"/>
      <c r="E23973" s="1"/>
      <c r="F23973" s="1"/>
      <c r="G23973" s="1"/>
    </row>
    <row r="23974">
      <c r="B23974" s="36"/>
      <c r="C23974" s="36"/>
      <c r="E23974" s="1"/>
      <c r="F23974" s="1"/>
      <c r="G23974" s="1"/>
    </row>
    <row r="23975">
      <c r="B23975" s="36"/>
      <c r="C23975" s="36"/>
      <c r="E23975" s="1"/>
      <c r="F23975" s="1"/>
      <c r="G23975" s="1"/>
    </row>
    <row r="23976">
      <c r="B23976" s="36"/>
      <c r="C23976" s="36"/>
      <c r="E23976" s="1"/>
      <c r="F23976" s="1"/>
      <c r="G23976" s="1"/>
    </row>
    <row r="23977">
      <c r="B23977" s="36"/>
      <c r="C23977" s="36"/>
      <c r="E23977" s="1"/>
      <c r="F23977" s="1"/>
      <c r="G23977" s="1"/>
    </row>
    <row r="23978">
      <c r="B23978" s="36"/>
      <c r="C23978" s="36"/>
      <c r="E23978" s="1"/>
      <c r="F23978" s="1"/>
      <c r="G23978" s="1"/>
    </row>
    <row r="23979">
      <c r="B23979" s="36"/>
      <c r="C23979" s="36"/>
      <c r="E23979" s="1"/>
      <c r="F23979" s="1"/>
      <c r="G23979" s="1"/>
    </row>
    <row r="23980">
      <c r="B23980" s="36"/>
      <c r="C23980" s="36"/>
      <c r="E23980" s="1"/>
      <c r="F23980" s="1"/>
      <c r="G23980" s="1"/>
    </row>
    <row r="23981">
      <c r="B23981" s="36"/>
      <c r="C23981" s="36"/>
      <c r="E23981" s="1"/>
      <c r="F23981" s="1"/>
      <c r="G23981" s="1"/>
    </row>
    <row r="23982">
      <c r="B23982" s="36"/>
      <c r="C23982" s="36"/>
      <c r="E23982" s="1"/>
      <c r="F23982" s="1"/>
      <c r="G23982" s="1"/>
    </row>
    <row r="23983">
      <c r="B23983" s="36"/>
      <c r="C23983" s="36"/>
      <c r="E23983" s="1"/>
      <c r="F23983" s="1"/>
      <c r="G23983" s="1"/>
    </row>
    <row r="23984">
      <c r="B23984" s="36"/>
      <c r="C23984" s="36"/>
      <c r="E23984" s="1"/>
      <c r="F23984" s="1"/>
      <c r="G23984" s="1"/>
    </row>
    <row r="23985">
      <c r="B23985" s="36"/>
      <c r="C23985" s="36"/>
      <c r="E23985" s="1"/>
      <c r="F23985" s="1"/>
      <c r="G23985" s="1"/>
    </row>
    <row r="23986">
      <c r="B23986" s="36"/>
      <c r="C23986" s="36"/>
      <c r="E23986" s="1"/>
      <c r="F23986" s="1"/>
      <c r="G23986" s="1"/>
    </row>
    <row r="23987">
      <c r="B23987" s="36"/>
      <c r="C23987" s="36"/>
      <c r="E23987" s="1"/>
      <c r="F23987" s="1"/>
      <c r="G23987" s="1"/>
    </row>
    <row r="23988">
      <c r="B23988" s="36"/>
      <c r="C23988" s="36"/>
      <c r="E23988" s="1"/>
      <c r="F23988" s="1"/>
      <c r="G23988" s="1"/>
    </row>
    <row r="23989">
      <c r="B23989" s="36"/>
      <c r="C23989" s="36"/>
      <c r="E23989" s="1"/>
      <c r="F23989" s="1"/>
      <c r="G23989" s="1"/>
    </row>
    <row r="23990">
      <c r="B23990" s="36"/>
      <c r="C23990" s="36"/>
      <c r="E23990" s="1"/>
      <c r="F23990" s="1"/>
      <c r="G23990" s="1"/>
    </row>
    <row r="23991">
      <c r="B23991" s="36"/>
      <c r="C23991" s="36"/>
      <c r="E23991" s="1"/>
      <c r="F23991" s="1"/>
      <c r="G23991" s="1"/>
    </row>
    <row r="23992">
      <c r="B23992" s="36"/>
      <c r="C23992" s="36"/>
      <c r="E23992" s="1"/>
      <c r="F23992" s="1"/>
      <c r="G23992" s="1"/>
    </row>
    <row r="23993">
      <c r="B23993" s="36"/>
      <c r="C23993" s="36"/>
      <c r="E23993" s="1"/>
      <c r="F23993" s="1"/>
      <c r="G23993" s="1"/>
    </row>
    <row r="23994">
      <c r="B23994" s="36"/>
      <c r="C23994" s="36"/>
      <c r="E23994" s="1"/>
      <c r="F23994" s="1"/>
      <c r="G23994" s="1"/>
    </row>
    <row r="23995">
      <c r="B23995" s="36"/>
      <c r="C23995" s="36"/>
      <c r="E23995" s="1"/>
      <c r="F23995" s="1"/>
      <c r="G23995" s="1"/>
    </row>
    <row r="23996">
      <c r="B23996" s="36"/>
      <c r="C23996" s="36"/>
      <c r="E23996" s="1"/>
      <c r="F23996" s="1"/>
      <c r="G23996" s="1"/>
    </row>
    <row r="23997">
      <c r="B23997" s="36"/>
      <c r="C23997" s="36"/>
      <c r="E23997" s="1"/>
      <c r="F23997" s="1"/>
      <c r="G23997" s="1"/>
    </row>
    <row r="23998">
      <c r="B23998" s="36"/>
      <c r="C23998" s="36"/>
      <c r="E23998" s="1"/>
      <c r="F23998" s="1"/>
      <c r="G23998" s="1"/>
    </row>
    <row r="23999">
      <c r="B23999" s="36"/>
      <c r="C23999" s="36"/>
      <c r="E23999" s="1"/>
      <c r="F23999" s="1"/>
      <c r="G23999" s="1"/>
    </row>
    <row r="24000">
      <c r="B24000" s="36"/>
      <c r="C24000" s="36"/>
      <c r="E24000" s="1"/>
      <c r="F24000" s="1"/>
      <c r="G24000" s="1"/>
    </row>
    <row r="24001">
      <c r="B24001" s="36"/>
      <c r="C24001" s="36"/>
      <c r="E24001" s="1"/>
      <c r="F24001" s="1"/>
      <c r="G24001" s="1"/>
    </row>
    <row r="24002">
      <c r="B24002" s="36"/>
      <c r="C24002" s="36"/>
      <c r="E24002" s="1"/>
      <c r="F24002" s="1"/>
      <c r="G24002" s="1"/>
    </row>
    <row r="24003">
      <c r="B24003" s="36"/>
      <c r="C24003" s="36"/>
      <c r="E24003" s="1"/>
      <c r="F24003" s="1"/>
      <c r="G24003" s="1"/>
    </row>
    <row r="24004">
      <c r="B24004" s="36"/>
      <c r="C24004" s="36"/>
      <c r="E24004" s="1"/>
      <c r="F24004" s="1"/>
      <c r="G24004" s="1"/>
    </row>
    <row r="24005">
      <c r="B24005" s="36"/>
      <c r="C24005" s="36"/>
      <c r="E24005" s="1"/>
      <c r="F24005" s="1"/>
      <c r="G24005" s="1"/>
    </row>
    <row r="24006">
      <c r="B24006" s="36"/>
      <c r="C24006" s="36"/>
      <c r="E24006" s="1"/>
      <c r="F24006" s="1"/>
      <c r="G24006" s="1"/>
    </row>
    <row r="24007">
      <c r="B24007" s="36"/>
      <c r="C24007" s="36"/>
      <c r="E24007" s="1"/>
      <c r="F24007" s="1"/>
      <c r="G24007" s="1"/>
    </row>
    <row r="24008">
      <c r="B24008" s="36"/>
      <c r="C24008" s="36"/>
      <c r="E24008" s="1"/>
      <c r="F24008" s="1"/>
      <c r="G24008" s="1"/>
    </row>
    <row r="24009">
      <c r="B24009" s="36"/>
      <c r="C24009" s="36"/>
      <c r="E24009" s="1"/>
      <c r="F24009" s="1"/>
      <c r="G24009" s="1"/>
    </row>
    <row r="24010">
      <c r="B24010" s="36"/>
      <c r="C24010" s="36"/>
      <c r="E24010" s="1"/>
      <c r="F24010" s="1"/>
      <c r="G24010" s="1"/>
    </row>
    <row r="24011">
      <c r="B24011" s="36"/>
      <c r="C24011" s="36"/>
      <c r="E24011" s="1"/>
      <c r="F24011" s="1"/>
      <c r="G24011" s="1"/>
    </row>
    <row r="24012">
      <c r="B24012" s="36"/>
      <c r="C24012" s="36"/>
      <c r="E24012" s="1"/>
      <c r="F24012" s="1"/>
      <c r="G24012" s="1"/>
    </row>
    <row r="24013">
      <c r="B24013" s="36"/>
      <c r="C24013" s="36"/>
      <c r="E24013" s="1"/>
      <c r="F24013" s="1"/>
      <c r="G24013" s="1"/>
    </row>
    <row r="24014">
      <c r="B24014" s="36"/>
      <c r="C24014" s="36"/>
      <c r="E24014" s="1"/>
      <c r="F24014" s="1"/>
      <c r="G24014" s="1"/>
    </row>
    <row r="24015">
      <c r="B24015" s="36"/>
      <c r="C24015" s="36"/>
      <c r="E24015" s="1"/>
      <c r="F24015" s="1"/>
      <c r="G24015" s="1"/>
    </row>
    <row r="24016">
      <c r="B24016" s="36"/>
      <c r="C24016" s="36"/>
      <c r="E24016" s="1"/>
      <c r="F24016" s="1"/>
      <c r="G24016" s="1"/>
    </row>
    <row r="24017">
      <c r="B24017" s="36"/>
      <c r="C24017" s="36"/>
      <c r="E24017" s="1"/>
      <c r="F24017" s="1"/>
      <c r="G24017" s="1"/>
    </row>
    <row r="24018">
      <c r="B24018" s="36"/>
      <c r="C24018" s="36"/>
      <c r="E24018" s="1"/>
      <c r="F24018" s="1"/>
      <c r="G24018" s="1"/>
    </row>
    <row r="24019">
      <c r="B24019" s="36"/>
      <c r="C24019" s="36"/>
      <c r="E24019" s="1"/>
      <c r="F24019" s="1"/>
      <c r="G24019" s="1"/>
    </row>
    <row r="24020">
      <c r="B24020" s="36"/>
      <c r="C24020" s="36"/>
      <c r="E24020" s="1"/>
      <c r="F24020" s="1"/>
      <c r="G24020" s="1"/>
    </row>
    <row r="24021">
      <c r="B24021" s="36"/>
      <c r="C24021" s="36"/>
      <c r="E24021" s="1"/>
      <c r="F24021" s="1"/>
      <c r="G24021" s="1"/>
    </row>
    <row r="24022">
      <c r="B24022" s="36"/>
      <c r="C24022" s="36"/>
      <c r="E24022" s="1"/>
      <c r="F24022" s="1"/>
      <c r="G24022" s="1"/>
    </row>
    <row r="24023">
      <c r="B24023" s="36"/>
      <c r="C24023" s="36"/>
      <c r="E24023" s="1"/>
      <c r="F24023" s="1"/>
      <c r="G24023" s="1"/>
    </row>
    <row r="24024">
      <c r="B24024" s="36"/>
      <c r="C24024" s="36"/>
      <c r="E24024" s="1"/>
      <c r="F24024" s="1"/>
      <c r="G24024" s="1"/>
    </row>
    <row r="24025">
      <c r="B24025" s="36"/>
      <c r="C24025" s="36"/>
      <c r="E24025" s="1"/>
      <c r="F24025" s="1"/>
      <c r="G24025" s="1"/>
    </row>
    <row r="24026">
      <c r="B24026" s="36"/>
      <c r="C24026" s="36"/>
      <c r="E24026" s="1"/>
      <c r="F24026" s="1"/>
      <c r="G24026" s="1"/>
    </row>
    <row r="24027">
      <c r="B24027" s="36"/>
      <c r="C24027" s="36"/>
      <c r="E24027" s="1"/>
      <c r="F24027" s="1"/>
      <c r="G24027" s="1"/>
    </row>
    <row r="24028">
      <c r="B24028" s="36"/>
      <c r="C24028" s="36"/>
      <c r="E24028" s="1"/>
      <c r="F24028" s="1"/>
      <c r="G24028" s="1"/>
    </row>
    <row r="24029">
      <c r="B24029" s="36"/>
      <c r="C24029" s="36"/>
      <c r="E24029" s="1"/>
      <c r="F24029" s="1"/>
      <c r="G24029" s="1"/>
    </row>
    <row r="24030">
      <c r="B24030" s="36"/>
      <c r="C24030" s="36"/>
      <c r="E24030" s="1"/>
      <c r="F24030" s="1"/>
      <c r="G24030" s="1"/>
    </row>
    <row r="24031">
      <c r="B24031" s="36"/>
      <c r="C24031" s="36"/>
      <c r="E24031" s="1"/>
      <c r="F24031" s="1"/>
      <c r="G24031" s="1"/>
    </row>
    <row r="24032">
      <c r="B24032" s="36"/>
      <c r="C24032" s="36"/>
      <c r="E24032" s="1"/>
      <c r="F24032" s="1"/>
      <c r="G24032" s="1"/>
    </row>
    <row r="24033">
      <c r="B24033" s="36"/>
      <c r="C24033" s="36"/>
      <c r="E24033" s="1"/>
      <c r="F24033" s="1"/>
      <c r="G24033" s="1"/>
    </row>
    <row r="24034">
      <c r="B24034" s="36"/>
      <c r="C24034" s="36"/>
      <c r="E24034" s="1"/>
      <c r="F24034" s="1"/>
      <c r="G24034" s="1"/>
    </row>
    <row r="24035">
      <c r="B24035" s="36"/>
      <c r="C24035" s="36"/>
      <c r="E24035" s="1"/>
      <c r="F24035" s="1"/>
      <c r="G24035" s="1"/>
    </row>
    <row r="24036">
      <c r="B24036" s="36"/>
      <c r="C24036" s="36"/>
      <c r="E24036" s="1"/>
      <c r="F24036" s="1"/>
      <c r="G24036" s="1"/>
    </row>
    <row r="24037">
      <c r="B24037" s="36"/>
      <c r="C24037" s="36"/>
      <c r="E24037" s="1"/>
      <c r="F24037" s="1"/>
      <c r="G24037" s="1"/>
    </row>
    <row r="24038">
      <c r="B24038" s="36"/>
      <c r="C24038" s="36"/>
      <c r="E24038" s="1"/>
      <c r="F24038" s="1"/>
      <c r="G24038" s="1"/>
    </row>
    <row r="24039">
      <c r="B24039" s="36"/>
      <c r="C24039" s="36"/>
      <c r="E24039" s="1"/>
      <c r="F24039" s="1"/>
      <c r="G24039" s="1"/>
    </row>
    <row r="24040">
      <c r="B24040" s="36"/>
      <c r="C24040" s="36"/>
      <c r="E24040" s="1"/>
      <c r="F24040" s="1"/>
      <c r="G24040" s="1"/>
    </row>
    <row r="24041">
      <c r="B24041" s="36"/>
      <c r="C24041" s="36"/>
      <c r="E24041" s="1"/>
      <c r="F24041" s="1"/>
      <c r="G24041" s="1"/>
    </row>
    <row r="24042">
      <c r="B24042" s="36"/>
      <c r="C24042" s="36"/>
      <c r="E24042" s="1"/>
      <c r="F24042" s="1"/>
      <c r="G24042" s="1"/>
    </row>
    <row r="24043">
      <c r="B24043" s="36"/>
      <c r="C24043" s="36"/>
      <c r="E24043" s="1"/>
      <c r="F24043" s="1"/>
      <c r="G24043" s="1"/>
    </row>
    <row r="24044">
      <c r="B24044" s="36"/>
      <c r="C24044" s="36"/>
      <c r="E24044" s="1"/>
      <c r="F24044" s="1"/>
      <c r="G24044" s="1"/>
    </row>
    <row r="24045">
      <c r="B24045" s="36"/>
      <c r="C24045" s="36"/>
      <c r="E24045" s="1"/>
      <c r="F24045" s="1"/>
      <c r="G24045" s="1"/>
    </row>
    <row r="24046">
      <c r="B24046" s="36"/>
      <c r="C24046" s="36"/>
      <c r="E24046" s="1"/>
      <c r="F24046" s="1"/>
      <c r="G24046" s="1"/>
    </row>
    <row r="24047">
      <c r="B24047" s="36"/>
      <c r="C24047" s="36"/>
      <c r="E24047" s="1"/>
      <c r="F24047" s="1"/>
      <c r="G24047" s="1"/>
    </row>
    <row r="24048">
      <c r="B24048" s="36"/>
      <c r="C24048" s="36"/>
      <c r="E24048" s="1"/>
      <c r="F24048" s="1"/>
      <c r="G24048" s="1"/>
    </row>
    <row r="24049">
      <c r="B24049" s="36"/>
      <c r="C24049" s="36"/>
      <c r="E24049" s="1"/>
      <c r="F24049" s="1"/>
      <c r="G24049" s="1"/>
    </row>
    <row r="24050">
      <c r="B24050" s="36"/>
      <c r="C24050" s="36"/>
      <c r="E24050" s="1"/>
      <c r="F24050" s="1"/>
      <c r="G24050" s="1"/>
    </row>
    <row r="24051">
      <c r="B24051" s="36"/>
      <c r="C24051" s="36"/>
      <c r="E24051" s="1"/>
      <c r="F24051" s="1"/>
      <c r="G24051" s="1"/>
    </row>
    <row r="24052">
      <c r="B24052" s="36"/>
      <c r="C24052" s="36"/>
      <c r="E24052" s="1"/>
      <c r="F24052" s="1"/>
      <c r="G24052" s="1"/>
    </row>
    <row r="24053">
      <c r="B24053" s="36"/>
      <c r="C24053" s="36"/>
      <c r="E24053" s="1"/>
      <c r="F24053" s="1"/>
      <c r="G24053" s="1"/>
    </row>
    <row r="24054">
      <c r="B24054" s="36"/>
      <c r="C24054" s="36"/>
      <c r="E24054" s="1"/>
      <c r="F24054" s="1"/>
      <c r="G24054" s="1"/>
    </row>
    <row r="24055">
      <c r="B24055" s="36"/>
      <c r="C24055" s="36"/>
      <c r="E24055" s="1"/>
      <c r="F24055" s="1"/>
      <c r="G24055" s="1"/>
    </row>
    <row r="24056">
      <c r="B24056" s="36"/>
      <c r="C24056" s="36"/>
      <c r="E24056" s="1"/>
      <c r="F24056" s="1"/>
      <c r="G24056" s="1"/>
    </row>
    <row r="24057">
      <c r="B24057" s="36"/>
      <c r="C24057" s="36"/>
      <c r="E24057" s="1"/>
      <c r="F24057" s="1"/>
      <c r="G24057" s="1"/>
    </row>
    <row r="24058">
      <c r="B24058" s="36"/>
      <c r="C24058" s="36"/>
      <c r="E24058" s="1"/>
      <c r="F24058" s="1"/>
      <c r="G24058" s="1"/>
    </row>
    <row r="24059">
      <c r="B24059" s="36"/>
      <c r="C24059" s="36"/>
      <c r="E24059" s="1"/>
      <c r="F24059" s="1"/>
      <c r="G24059" s="1"/>
    </row>
    <row r="24060">
      <c r="B24060" s="36"/>
      <c r="C24060" s="36"/>
      <c r="E24060" s="1"/>
      <c r="F24060" s="1"/>
      <c r="G24060" s="1"/>
    </row>
    <row r="24061">
      <c r="B24061" s="36"/>
      <c r="C24061" s="36"/>
      <c r="E24061" s="1"/>
      <c r="F24061" s="1"/>
      <c r="G24061" s="1"/>
    </row>
    <row r="24062">
      <c r="B24062" s="36"/>
      <c r="C24062" s="36"/>
      <c r="E24062" s="1"/>
      <c r="F24062" s="1"/>
      <c r="G24062" s="1"/>
    </row>
    <row r="24063">
      <c r="B24063" s="36"/>
      <c r="C24063" s="36"/>
      <c r="E24063" s="1"/>
      <c r="F24063" s="1"/>
      <c r="G24063" s="1"/>
    </row>
    <row r="24064">
      <c r="B24064" s="36"/>
      <c r="C24064" s="36"/>
      <c r="E24064" s="1"/>
      <c r="F24064" s="1"/>
      <c r="G24064" s="1"/>
    </row>
    <row r="24065">
      <c r="B24065" s="36"/>
      <c r="C24065" s="36"/>
      <c r="E24065" s="1"/>
      <c r="F24065" s="1"/>
      <c r="G24065" s="1"/>
    </row>
    <row r="24066">
      <c r="B24066" s="36"/>
      <c r="C24066" s="36"/>
      <c r="E24066" s="1"/>
      <c r="F24066" s="1"/>
      <c r="G24066" s="1"/>
    </row>
    <row r="24067">
      <c r="B24067" s="36"/>
      <c r="C24067" s="36"/>
      <c r="E24067" s="1"/>
      <c r="F24067" s="1"/>
      <c r="G24067" s="1"/>
    </row>
    <row r="24068">
      <c r="B24068" s="36"/>
      <c r="C24068" s="36"/>
      <c r="E24068" s="1"/>
      <c r="F24068" s="1"/>
      <c r="G24068" s="1"/>
    </row>
    <row r="24069">
      <c r="B24069" s="36"/>
      <c r="C24069" s="36"/>
      <c r="E24069" s="1"/>
      <c r="F24069" s="1"/>
      <c r="G24069" s="1"/>
    </row>
    <row r="24070">
      <c r="B24070" s="36"/>
      <c r="C24070" s="36"/>
      <c r="E24070" s="1"/>
      <c r="F24070" s="1"/>
      <c r="G24070" s="1"/>
    </row>
    <row r="24071">
      <c r="B24071" s="36"/>
      <c r="C24071" s="36"/>
      <c r="E24071" s="1"/>
      <c r="F24071" s="1"/>
      <c r="G24071" s="1"/>
    </row>
    <row r="24072">
      <c r="B24072" s="36"/>
      <c r="C24072" s="36"/>
      <c r="E24072" s="1"/>
      <c r="F24072" s="1"/>
      <c r="G24072" s="1"/>
    </row>
    <row r="24073">
      <c r="B24073" s="36"/>
      <c r="C24073" s="36"/>
      <c r="E24073" s="1"/>
      <c r="F24073" s="1"/>
      <c r="G24073" s="1"/>
    </row>
    <row r="24074">
      <c r="B24074" s="36"/>
      <c r="C24074" s="36"/>
      <c r="E24074" s="1"/>
      <c r="F24074" s="1"/>
      <c r="G24074" s="1"/>
    </row>
    <row r="24075">
      <c r="B24075" s="36"/>
      <c r="C24075" s="36"/>
      <c r="E24075" s="1"/>
      <c r="F24075" s="1"/>
      <c r="G24075" s="1"/>
    </row>
    <row r="24076">
      <c r="B24076" s="36"/>
      <c r="C24076" s="36"/>
      <c r="E24076" s="1"/>
      <c r="F24076" s="1"/>
      <c r="G24076" s="1"/>
    </row>
    <row r="24077">
      <c r="B24077" s="36"/>
      <c r="C24077" s="36"/>
      <c r="E24077" s="1"/>
      <c r="F24077" s="1"/>
      <c r="G24077" s="1"/>
    </row>
    <row r="24078">
      <c r="B24078" s="36"/>
      <c r="C24078" s="36"/>
      <c r="E24078" s="1"/>
      <c r="F24078" s="1"/>
      <c r="G24078" s="1"/>
    </row>
    <row r="24079">
      <c r="B24079" s="36"/>
      <c r="C24079" s="36"/>
      <c r="E24079" s="1"/>
      <c r="F24079" s="1"/>
      <c r="G24079" s="1"/>
    </row>
    <row r="24080">
      <c r="B24080" s="36"/>
      <c r="C24080" s="36"/>
      <c r="E24080" s="1"/>
      <c r="F24080" s="1"/>
      <c r="G24080" s="1"/>
    </row>
    <row r="24081">
      <c r="B24081" s="36"/>
      <c r="C24081" s="36"/>
      <c r="E24081" s="1"/>
      <c r="F24081" s="1"/>
      <c r="G24081" s="1"/>
    </row>
    <row r="24082">
      <c r="B24082" s="36"/>
      <c r="C24082" s="36"/>
      <c r="E24082" s="1"/>
      <c r="F24082" s="1"/>
      <c r="G24082" s="1"/>
    </row>
    <row r="24083">
      <c r="B24083" s="36"/>
      <c r="C24083" s="36"/>
      <c r="E24083" s="1"/>
      <c r="F24083" s="1"/>
      <c r="G24083" s="1"/>
    </row>
    <row r="24084">
      <c r="B24084" s="36"/>
      <c r="C24084" s="36"/>
      <c r="E24084" s="1"/>
      <c r="F24084" s="1"/>
      <c r="G24084" s="1"/>
    </row>
    <row r="24085">
      <c r="B24085" s="36"/>
      <c r="C24085" s="36"/>
      <c r="E24085" s="1"/>
      <c r="F24085" s="1"/>
      <c r="G24085" s="1"/>
    </row>
    <row r="24086">
      <c r="B24086" s="36"/>
      <c r="C24086" s="36"/>
      <c r="E24086" s="1"/>
      <c r="F24086" s="1"/>
      <c r="G24086" s="1"/>
    </row>
    <row r="24087">
      <c r="B24087" s="36"/>
      <c r="C24087" s="36"/>
      <c r="E24087" s="1"/>
      <c r="F24087" s="1"/>
      <c r="G24087" s="1"/>
    </row>
    <row r="24088">
      <c r="B24088" s="36"/>
      <c r="C24088" s="36"/>
      <c r="E24088" s="1"/>
      <c r="F24088" s="1"/>
      <c r="G24088" s="1"/>
    </row>
    <row r="24089">
      <c r="B24089" s="36"/>
      <c r="C24089" s="36"/>
      <c r="E24089" s="1"/>
      <c r="F24089" s="1"/>
      <c r="G24089" s="1"/>
    </row>
    <row r="24090">
      <c r="B24090" s="36"/>
      <c r="C24090" s="36"/>
      <c r="E24090" s="1"/>
      <c r="F24090" s="1"/>
      <c r="G24090" s="1"/>
    </row>
    <row r="24091">
      <c r="B24091" s="36"/>
      <c r="C24091" s="36"/>
      <c r="E24091" s="1"/>
      <c r="F24091" s="1"/>
      <c r="G24091" s="1"/>
    </row>
    <row r="24092">
      <c r="B24092" s="36"/>
      <c r="C24092" s="36"/>
      <c r="E24092" s="1"/>
      <c r="F24092" s="1"/>
      <c r="G24092" s="1"/>
    </row>
    <row r="24093">
      <c r="B24093" s="36"/>
      <c r="C24093" s="36"/>
      <c r="E24093" s="1"/>
      <c r="F24093" s="1"/>
      <c r="G24093" s="1"/>
    </row>
    <row r="24094">
      <c r="B24094" s="36"/>
      <c r="C24094" s="36"/>
      <c r="E24094" s="1"/>
      <c r="F24094" s="1"/>
      <c r="G24094" s="1"/>
    </row>
    <row r="24095">
      <c r="B24095" s="36"/>
      <c r="C24095" s="36"/>
      <c r="E24095" s="1"/>
      <c r="F24095" s="1"/>
      <c r="G24095" s="1"/>
    </row>
    <row r="24096">
      <c r="B24096" s="36"/>
      <c r="C24096" s="36"/>
      <c r="E24096" s="1"/>
      <c r="F24096" s="1"/>
      <c r="G24096" s="1"/>
    </row>
    <row r="24097">
      <c r="B24097" s="36"/>
      <c r="C24097" s="36"/>
      <c r="E24097" s="1"/>
      <c r="F24097" s="1"/>
      <c r="G24097" s="1"/>
    </row>
    <row r="24098">
      <c r="B24098" s="36"/>
      <c r="C24098" s="36"/>
      <c r="E24098" s="1"/>
      <c r="F24098" s="1"/>
      <c r="G24098" s="1"/>
    </row>
    <row r="24099">
      <c r="B24099" s="36"/>
      <c r="C24099" s="36"/>
      <c r="E24099" s="1"/>
      <c r="F24099" s="1"/>
      <c r="G24099" s="1"/>
    </row>
    <row r="24100">
      <c r="B24100" s="36"/>
      <c r="C24100" s="36"/>
      <c r="E24100" s="1"/>
      <c r="F24100" s="1"/>
      <c r="G24100" s="1"/>
    </row>
    <row r="24101">
      <c r="B24101" s="36"/>
      <c r="C24101" s="36"/>
      <c r="E24101" s="1"/>
      <c r="F24101" s="1"/>
      <c r="G24101" s="1"/>
    </row>
    <row r="24102">
      <c r="B24102" s="36"/>
      <c r="C24102" s="36"/>
      <c r="E24102" s="1"/>
      <c r="F24102" s="1"/>
      <c r="G24102" s="1"/>
    </row>
    <row r="24103">
      <c r="B24103" s="36"/>
      <c r="C24103" s="36"/>
      <c r="E24103" s="1"/>
      <c r="F24103" s="1"/>
      <c r="G24103" s="1"/>
    </row>
    <row r="24104">
      <c r="B24104" s="36"/>
      <c r="C24104" s="36"/>
      <c r="E24104" s="1"/>
      <c r="F24104" s="1"/>
      <c r="G24104" s="1"/>
    </row>
    <row r="24105">
      <c r="B24105" s="36"/>
      <c r="C24105" s="36"/>
      <c r="E24105" s="1"/>
      <c r="F24105" s="1"/>
      <c r="G24105" s="1"/>
    </row>
    <row r="24106">
      <c r="B24106" s="36"/>
      <c r="C24106" s="36"/>
      <c r="E24106" s="1"/>
      <c r="F24106" s="1"/>
      <c r="G24106" s="1"/>
    </row>
    <row r="24107">
      <c r="B24107" s="36"/>
      <c r="C24107" s="36"/>
      <c r="E24107" s="1"/>
      <c r="F24107" s="1"/>
      <c r="G24107" s="1"/>
    </row>
    <row r="24108">
      <c r="B24108" s="36"/>
      <c r="C24108" s="36"/>
      <c r="E24108" s="1"/>
      <c r="F24108" s="1"/>
      <c r="G24108" s="1"/>
    </row>
    <row r="24109">
      <c r="B24109" s="36"/>
      <c r="C24109" s="36"/>
      <c r="E24109" s="1"/>
      <c r="F24109" s="1"/>
      <c r="G24109" s="1"/>
    </row>
    <row r="24110">
      <c r="B24110" s="36"/>
      <c r="C24110" s="36"/>
      <c r="E24110" s="1"/>
      <c r="F24110" s="1"/>
      <c r="G24110" s="1"/>
    </row>
    <row r="24111">
      <c r="B24111" s="36"/>
      <c r="C24111" s="36"/>
      <c r="E24111" s="1"/>
      <c r="F24111" s="1"/>
      <c r="G24111" s="1"/>
    </row>
    <row r="24112">
      <c r="B24112" s="36"/>
      <c r="C24112" s="36"/>
      <c r="E24112" s="1"/>
      <c r="F24112" s="1"/>
      <c r="G24112" s="1"/>
    </row>
    <row r="24113">
      <c r="B24113" s="36"/>
      <c r="C24113" s="36"/>
      <c r="E24113" s="1"/>
      <c r="F24113" s="1"/>
      <c r="G24113" s="1"/>
    </row>
    <row r="24114">
      <c r="B24114" s="36"/>
      <c r="C24114" s="36"/>
      <c r="E24114" s="1"/>
      <c r="F24114" s="1"/>
      <c r="G24114" s="1"/>
    </row>
    <row r="24115">
      <c r="B24115" s="36"/>
      <c r="C24115" s="36"/>
      <c r="E24115" s="1"/>
      <c r="F24115" s="1"/>
      <c r="G24115" s="1"/>
    </row>
    <row r="24116">
      <c r="B24116" s="36"/>
      <c r="C24116" s="36"/>
      <c r="E24116" s="1"/>
      <c r="F24116" s="1"/>
      <c r="G24116" s="1"/>
    </row>
    <row r="24117">
      <c r="B24117" s="36"/>
      <c r="C24117" s="36"/>
      <c r="E24117" s="1"/>
      <c r="F24117" s="1"/>
      <c r="G24117" s="1"/>
    </row>
    <row r="24118">
      <c r="B24118" s="36"/>
      <c r="C24118" s="36"/>
      <c r="E24118" s="1"/>
      <c r="F24118" s="1"/>
      <c r="G24118" s="1"/>
    </row>
    <row r="24119">
      <c r="B24119" s="36"/>
      <c r="C24119" s="36"/>
      <c r="E24119" s="1"/>
      <c r="F24119" s="1"/>
      <c r="G24119" s="1"/>
    </row>
    <row r="24120">
      <c r="B24120" s="36"/>
      <c r="C24120" s="36"/>
      <c r="E24120" s="1"/>
      <c r="F24120" s="1"/>
      <c r="G24120" s="1"/>
    </row>
    <row r="24121">
      <c r="B24121" s="36"/>
      <c r="C24121" s="36"/>
      <c r="E24121" s="1"/>
      <c r="F24121" s="1"/>
      <c r="G24121" s="1"/>
    </row>
    <row r="24122">
      <c r="B24122" s="36"/>
      <c r="C24122" s="36"/>
      <c r="E24122" s="1"/>
      <c r="F24122" s="1"/>
      <c r="G24122" s="1"/>
    </row>
    <row r="24123">
      <c r="B24123" s="36"/>
      <c r="C24123" s="36"/>
      <c r="E24123" s="1"/>
      <c r="F24123" s="1"/>
      <c r="G24123" s="1"/>
    </row>
    <row r="24124">
      <c r="B24124" s="36"/>
      <c r="C24124" s="36"/>
      <c r="E24124" s="1"/>
      <c r="F24124" s="1"/>
      <c r="G24124" s="1"/>
    </row>
    <row r="24125">
      <c r="B24125" s="36"/>
      <c r="C24125" s="36"/>
      <c r="E24125" s="1"/>
      <c r="F24125" s="1"/>
      <c r="G24125" s="1"/>
    </row>
    <row r="24126">
      <c r="B24126" s="36"/>
      <c r="C24126" s="36"/>
      <c r="E24126" s="1"/>
      <c r="F24126" s="1"/>
      <c r="G24126" s="1"/>
    </row>
    <row r="24127">
      <c r="B24127" s="36"/>
      <c r="C24127" s="36"/>
      <c r="E24127" s="1"/>
      <c r="F24127" s="1"/>
      <c r="G24127" s="1"/>
    </row>
    <row r="24128">
      <c r="B24128" s="36"/>
      <c r="C24128" s="36"/>
      <c r="E24128" s="1"/>
      <c r="F24128" s="1"/>
      <c r="G24128" s="1"/>
    </row>
    <row r="24129">
      <c r="B24129" s="36"/>
      <c r="C24129" s="36"/>
      <c r="E24129" s="1"/>
      <c r="F24129" s="1"/>
      <c r="G24129" s="1"/>
    </row>
    <row r="24130">
      <c r="B24130" s="36"/>
      <c r="C24130" s="36"/>
      <c r="E24130" s="1"/>
      <c r="F24130" s="1"/>
      <c r="G24130" s="1"/>
    </row>
    <row r="24131">
      <c r="B24131" s="36"/>
      <c r="C24131" s="36"/>
      <c r="E24131" s="1"/>
      <c r="F24131" s="1"/>
      <c r="G24131" s="1"/>
    </row>
    <row r="24132">
      <c r="B24132" s="36"/>
      <c r="C24132" s="36"/>
      <c r="E24132" s="1"/>
      <c r="F24132" s="1"/>
      <c r="G24132" s="1"/>
    </row>
    <row r="24133">
      <c r="B24133" s="36"/>
      <c r="C24133" s="36"/>
      <c r="E24133" s="1"/>
      <c r="F24133" s="1"/>
      <c r="G24133" s="1"/>
    </row>
    <row r="24134">
      <c r="B24134" s="36"/>
      <c r="C24134" s="36"/>
      <c r="E24134" s="1"/>
      <c r="F24134" s="1"/>
      <c r="G24134" s="1"/>
    </row>
    <row r="24135">
      <c r="B24135" s="36"/>
      <c r="C24135" s="36"/>
      <c r="E24135" s="1"/>
      <c r="F24135" s="1"/>
      <c r="G24135" s="1"/>
    </row>
    <row r="24136">
      <c r="B24136" s="36"/>
      <c r="C24136" s="36"/>
      <c r="E24136" s="1"/>
      <c r="F24136" s="1"/>
      <c r="G24136" s="1"/>
    </row>
    <row r="24137">
      <c r="B24137" s="36"/>
      <c r="C24137" s="36"/>
      <c r="E24137" s="1"/>
      <c r="F24137" s="1"/>
      <c r="G24137" s="1"/>
    </row>
    <row r="24138">
      <c r="B24138" s="36"/>
      <c r="C24138" s="36"/>
      <c r="E24138" s="1"/>
      <c r="F24138" s="1"/>
      <c r="G24138" s="1"/>
    </row>
    <row r="24139">
      <c r="B24139" s="36"/>
      <c r="C24139" s="36"/>
      <c r="E24139" s="1"/>
      <c r="F24139" s="1"/>
      <c r="G24139" s="1"/>
    </row>
    <row r="24140">
      <c r="B24140" s="36"/>
      <c r="C24140" s="36"/>
      <c r="E24140" s="1"/>
      <c r="F24140" s="1"/>
      <c r="G24140" s="1"/>
    </row>
    <row r="24141">
      <c r="B24141" s="36"/>
      <c r="C24141" s="36"/>
      <c r="E24141" s="1"/>
      <c r="F24141" s="1"/>
      <c r="G24141" s="1"/>
    </row>
    <row r="24142">
      <c r="B24142" s="36"/>
      <c r="C24142" s="36"/>
      <c r="E24142" s="1"/>
      <c r="F24142" s="1"/>
      <c r="G24142" s="1"/>
    </row>
    <row r="24143">
      <c r="B24143" s="36"/>
      <c r="C24143" s="36"/>
      <c r="E24143" s="1"/>
      <c r="F24143" s="1"/>
      <c r="G24143" s="1"/>
    </row>
    <row r="24144">
      <c r="B24144" s="36"/>
      <c r="C24144" s="36"/>
      <c r="E24144" s="1"/>
      <c r="F24144" s="1"/>
      <c r="G24144" s="1"/>
    </row>
    <row r="24145">
      <c r="B24145" s="36"/>
      <c r="C24145" s="36"/>
      <c r="E24145" s="1"/>
      <c r="F24145" s="1"/>
      <c r="G24145" s="1"/>
    </row>
    <row r="24146">
      <c r="B24146" s="36"/>
      <c r="C24146" s="36"/>
      <c r="E24146" s="1"/>
      <c r="F24146" s="1"/>
      <c r="G24146" s="1"/>
    </row>
    <row r="24147">
      <c r="B24147" s="36"/>
      <c r="C24147" s="36"/>
      <c r="E24147" s="1"/>
      <c r="F24147" s="1"/>
      <c r="G24147" s="1"/>
    </row>
    <row r="24148">
      <c r="B24148" s="36"/>
      <c r="C24148" s="36"/>
      <c r="E24148" s="1"/>
      <c r="F24148" s="1"/>
      <c r="G24148" s="1"/>
    </row>
    <row r="24149">
      <c r="B24149" s="36"/>
      <c r="C24149" s="36"/>
      <c r="E24149" s="1"/>
      <c r="F24149" s="1"/>
      <c r="G24149" s="1"/>
    </row>
    <row r="24150">
      <c r="B24150" s="36"/>
      <c r="C24150" s="36"/>
      <c r="E24150" s="1"/>
      <c r="F24150" s="1"/>
      <c r="G24150" s="1"/>
    </row>
    <row r="24151">
      <c r="B24151" s="36"/>
      <c r="C24151" s="36"/>
      <c r="E24151" s="1"/>
      <c r="F24151" s="1"/>
      <c r="G24151" s="1"/>
    </row>
    <row r="24152">
      <c r="B24152" s="36"/>
      <c r="C24152" s="36"/>
      <c r="E24152" s="1"/>
      <c r="F24152" s="1"/>
      <c r="G24152" s="1"/>
    </row>
    <row r="24153">
      <c r="B24153" s="36"/>
      <c r="C24153" s="36"/>
      <c r="E24153" s="1"/>
      <c r="F24153" s="1"/>
      <c r="G24153" s="1"/>
    </row>
    <row r="24154">
      <c r="B24154" s="36"/>
      <c r="C24154" s="36"/>
      <c r="E24154" s="1"/>
      <c r="F24154" s="1"/>
      <c r="G24154" s="1"/>
    </row>
    <row r="24155">
      <c r="B24155" s="36"/>
      <c r="C24155" s="36"/>
      <c r="E24155" s="1"/>
      <c r="F24155" s="1"/>
      <c r="G24155" s="1"/>
    </row>
    <row r="24156">
      <c r="B24156" s="36"/>
      <c r="C24156" s="36"/>
      <c r="E24156" s="1"/>
      <c r="F24156" s="1"/>
      <c r="G24156" s="1"/>
    </row>
    <row r="24157">
      <c r="B24157" s="36"/>
      <c r="C24157" s="36"/>
      <c r="E24157" s="1"/>
      <c r="F24157" s="1"/>
      <c r="G24157" s="1"/>
    </row>
    <row r="24158">
      <c r="B24158" s="36"/>
      <c r="C24158" s="36"/>
      <c r="E24158" s="1"/>
      <c r="F24158" s="1"/>
      <c r="G24158" s="1"/>
    </row>
    <row r="24159">
      <c r="B24159" s="36"/>
      <c r="C24159" s="36"/>
      <c r="E24159" s="1"/>
      <c r="F24159" s="1"/>
      <c r="G24159" s="1"/>
    </row>
    <row r="24160">
      <c r="B24160" s="36"/>
      <c r="C24160" s="36"/>
      <c r="E24160" s="1"/>
      <c r="F24160" s="1"/>
      <c r="G24160" s="1"/>
    </row>
    <row r="24161">
      <c r="B24161" s="36"/>
      <c r="C24161" s="36"/>
      <c r="E24161" s="1"/>
      <c r="F24161" s="1"/>
      <c r="G24161" s="1"/>
    </row>
    <row r="24162">
      <c r="B24162" s="36"/>
      <c r="C24162" s="36"/>
      <c r="E24162" s="1"/>
      <c r="F24162" s="1"/>
      <c r="G24162" s="1"/>
    </row>
    <row r="24163">
      <c r="B24163" s="36"/>
      <c r="C24163" s="36"/>
      <c r="E24163" s="1"/>
      <c r="F24163" s="1"/>
      <c r="G24163" s="1"/>
    </row>
    <row r="24164">
      <c r="B24164" s="36"/>
      <c r="C24164" s="36"/>
      <c r="E24164" s="1"/>
      <c r="F24164" s="1"/>
      <c r="G24164" s="1"/>
    </row>
    <row r="24165">
      <c r="B24165" s="36"/>
      <c r="C24165" s="36"/>
      <c r="E24165" s="1"/>
      <c r="F24165" s="1"/>
      <c r="G24165" s="1"/>
    </row>
    <row r="24166">
      <c r="B24166" s="36"/>
      <c r="C24166" s="36"/>
      <c r="E24166" s="1"/>
      <c r="F24166" s="1"/>
      <c r="G24166" s="1"/>
    </row>
    <row r="24167">
      <c r="B24167" s="36"/>
      <c r="C24167" s="36"/>
      <c r="E24167" s="1"/>
      <c r="F24167" s="1"/>
      <c r="G24167" s="1"/>
    </row>
    <row r="24168">
      <c r="B24168" s="36"/>
      <c r="C24168" s="36"/>
      <c r="E24168" s="1"/>
      <c r="F24168" s="1"/>
      <c r="G24168" s="1"/>
    </row>
    <row r="24169">
      <c r="B24169" s="36"/>
      <c r="C24169" s="36"/>
      <c r="E24169" s="1"/>
      <c r="F24169" s="1"/>
      <c r="G24169" s="1"/>
    </row>
    <row r="24170">
      <c r="B24170" s="36"/>
      <c r="C24170" s="36"/>
      <c r="E24170" s="1"/>
      <c r="F24170" s="1"/>
      <c r="G24170" s="1"/>
    </row>
    <row r="24171">
      <c r="B24171" s="36"/>
      <c r="C24171" s="36"/>
      <c r="E24171" s="1"/>
      <c r="F24171" s="1"/>
      <c r="G24171" s="1"/>
    </row>
    <row r="24172">
      <c r="B24172" s="36"/>
      <c r="C24172" s="36"/>
      <c r="E24172" s="1"/>
      <c r="F24172" s="1"/>
      <c r="G24172" s="1"/>
    </row>
    <row r="24173">
      <c r="B24173" s="36"/>
      <c r="C24173" s="36"/>
      <c r="E24173" s="1"/>
      <c r="F24173" s="1"/>
      <c r="G24173" s="1"/>
    </row>
    <row r="24174">
      <c r="B24174" s="36"/>
      <c r="C24174" s="36"/>
      <c r="E24174" s="1"/>
      <c r="F24174" s="1"/>
      <c r="G24174" s="1"/>
    </row>
    <row r="24175">
      <c r="B24175" s="36"/>
      <c r="C24175" s="36"/>
      <c r="E24175" s="1"/>
      <c r="F24175" s="1"/>
      <c r="G24175" s="1"/>
    </row>
    <row r="24176">
      <c r="B24176" s="36"/>
      <c r="C24176" s="36"/>
      <c r="E24176" s="1"/>
      <c r="F24176" s="1"/>
      <c r="G24176" s="1"/>
    </row>
    <row r="24177">
      <c r="B24177" s="36"/>
      <c r="C24177" s="36"/>
      <c r="E24177" s="1"/>
      <c r="F24177" s="1"/>
      <c r="G24177" s="1"/>
    </row>
    <row r="24178">
      <c r="B24178" s="36"/>
      <c r="C24178" s="36"/>
      <c r="E24178" s="1"/>
      <c r="F24178" s="1"/>
      <c r="G24178" s="1"/>
    </row>
    <row r="24179">
      <c r="B24179" s="36"/>
      <c r="C24179" s="36"/>
      <c r="E24179" s="1"/>
      <c r="F24179" s="1"/>
      <c r="G24179" s="1"/>
    </row>
    <row r="24180">
      <c r="B24180" s="36"/>
      <c r="C24180" s="36"/>
      <c r="E24180" s="1"/>
      <c r="F24180" s="1"/>
      <c r="G24180" s="1"/>
    </row>
    <row r="24181">
      <c r="B24181" s="36"/>
      <c r="C24181" s="36"/>
      <c r="E24181" s="1"/>
      <c r="F24181" s="1"/>
      <c r="G24181" s="1"/>
    </row>
    <row r="24182">
      <c r="B24182" s="36"/>
      <c r="C24182" s="36"/>
      <c r="E24182" s="1"/>
      <c r="F24182" s="1"/>
      <c r="G24182" s="1"/>
    </row>
    <row r="24183">
      <c r="B24183" s="36"/>
      <c r="C24183" s="36"/>
      <c r="E24183" s="1"/>
      <c r="F24183" s="1"/>
      <c r="G24183" s="1"/>
    </row>
    <row r="24184">
      <c r="B24184" s="36"/>
      <c r="C24184" s="36"/>
      <c r="E24184" s="1"/>
      <c r="F24184" s="1"/>
      <c r="G24184" s="1"/>
    </row>
    <row r="24185">
      <c r="B24185" s="36"/>
      <c r="C24185" s="36"/>
      <c r="E24185" s="1"/>
      <c r="F24185" s="1"/>
      <c r="G24185" s="1"/>
    </row>
    <row r="24186">
      <c r="B24186" s="36"/>
      <c r="C24186" s="36"/>
      <c r="E24186" s="1"/>
      <c r="F24186" s="1"/>
      <c r="G24186" s="1"/>
    </row>
    <row r="24187">
      <c r="B24187" s="36"/>
      <c r="C24187" s="36"/>
      <c r="E24187" s="1"/>
      <c r="F24187" s="1"/>
      <c r="G24187" s="1"/>
    </row>
    <row r="24188">
      <c r="B24188" s="36"/>
      <c r="C24188" s="36"/>
      <c r="E24188" s="1"/>
      <c r="F24188" s="1"/>
      <c r="G24188" s="1"/>
    </row>
    <row r="24189">
      <c r="B24189" s="36"/>
      <c r="C24189" s="36"/>
      <c r="E24189" s="1"/>
      <c r="F24189" s="1"/>
      <c r="G24189" s="1"/>
    </row>
    <row r="24190">
      <c r="B24190" s="36"/>
      <c r="C24190" s="36"/>
      <c r="E24190" s="1"/>
      <c r="F24190" s="1"/>
      <c r="G24190" s="1"/>
    </row>
    <row r="24191">
      <c r="B24191" s="36"/>
      <c r="C24191" s="36"/>
      <c r="E24191" s="1"/>
      <c r="F24191" s="1"/>
      <c r="G24191" s="1"/>
    </row>
    <row r="24192">
      <c r="B24192" s="36"/>
      <c r="C24192" s="36"/>
      <c r="E24192" s="1"/>
      <c r="F24192" s="1"/>
      <c r="G24192" s="1"/>
    </row>
    <row r="24193">
      <c r="B24193" s="36"/>
      <c r="C24193" s="36"/>
      <c r="E24193" s="1"/>
      <c r="F24193" s="1"/>
      <c r="G24193" s="1"/>
    </row>
    <row r="24194">
      <c r="B24194" s="36"/>
      <c r="C24194" s="36"/>
      <c r="E24194" s="1"/>
      <c r="F24194" s="1"/>
      <c r="G24194" s="1"/>
    </row>
    <row r="24195">
      <c r="B24195" s="36"/>
      <c r="C24195" s="36"/>
      <c r="E24195" s="1"/>
      <c r="F24195" s="1"/>
      <c r="G24195" s="1"/>
    </row>
    <row r="24196">
      <c r="B24196" s="36"/>
      <c r="C24196" s="36"/>
      <c r="E24196" s="1"/>
      <c r="F24196" s="1"/>
      <c r="G24196" s="1"/>
    </row>
    <row r="24197">
      <c r="B24197" s="36"/>
      <c r="C24197" s="36"/>
      <c r="E24197" s="1"/>
      <c r="F24197" s="1"/>
      <c r="G24197" s="1"/>
    </row>
    <row r="24198">
      <c r="B24198" s="36"/>
      <c r="C24198" s="36"/>
      <c r="E24198" s="1"/>
      <c r="F24198" s="1"/>
      <c r="G24198" s="1"/>
    </row>
    <row r="24199">
      <c r="B24199" s="36"/>
      <c r="C24199" s="36"/>
      <c r="E24199" s="1"/>
      <c r="F24199" s="1"/>
      <c r="G24199" s="1"/>
    </row>
    <row r="24200">
      <c r="B24200" s="36"/>
      <c r="C24200" s="36"/>
      <c r="E24200" s="1"/>
      <c r="F24200" s="1"/>
      <c r="G24200" s="1"/>
    </row>
    <row r="24201">
      <c r="B24201" s="36"/>
      <c r="C24201" s="36"/>
      <c r="E24201" s="1"/>
      <c r="F24201" s="1"/>
      <c r="G24201" s="1"/>
    </row>
    <row r="24202">
      <c r="B24202" s="36"/>
      <c r="C24202" s="36"/>
      <c r="E24202" s="1"/>
      <c r="F24202" s="1"/>
      <c r="G24202" s="1"/>
    </row>
    <row r="24203">
      <c r="B24203" s="36"/>
      <c r="C24203" s="36"/>
      <c r="E24203" s="1"/>
      <c r="F24203" s="1"/>
      <c r="G24203" s="1"/>
    </row>
    <row r="24204">
      <c r="B24204" s="36"/>
      <c r="C24204" s="36"/>
      <c r="E24204" s="1"/>
      <c r="F24204" s="1"/>
      <c r="G24204" s="1"/>
    </row>
    <row r="24205">
      <c r="B24205" s="36"/>
      <c r="C24205" s="36"/>
      <c r="E24205" s="1"/>
      <c r="F24205" s="1"/>
      <c r="G24205" s="1"/>
    </row>
    <row r="24206">
      <c r="B24206" s="36"/>
      <c r="C24206" s="36"/>
      <c r="E24206" s="1"/>
      <c r="F24206" s="1"/>
      <c r="G24206" s="1"/>
    </row>
    <row r="24207">
      <c r="B24207" s="36"/>
      <c r="C24207" s="36"/>
      <c r="E24207" s="1"/>
      <c r="F24207" s="1"/>
      <c r="G24207" s="1"/>
    </row>
    <row r="24208">
      <c r="B24208" s="36"/>
      <c r="C24208" s="36"/>
      <c r="E24208" s="1"/>
      <c r="F24208" s="1"/>
      <c r="G24208" s="1"/>
    </row>
    <row r="24209">
      <c r="B24209" s="36"/>
      <c r="C24209" s="36"/>
      <c r="E24209" s="1"/>
      <c r="F24209" s="1"/>
      <c r="G24209" s="1"/>
    </row>
    <row r="24210">
      <c r="B24210" s="36"/>
      <c r="C24210" s="36"/>
      <c r="E24210" s="1"/>
      <c r="F24210" s="1"/>
      <c r="G24210" s="1"/>
    </row>
    <row r="24211">
      <c r="B24211" s="36"/>
      <c r="C24211" s="36"/>
      <c r="E24211" s="1"/>
      <c r="F24211" s="1"/>
      <c r="G24211" s="1"/>
    </row>
    <row r="24212">
      <c r="B24212" s="36"/>
      <c r="C24212" s="36"/>
      <c r="E24212" s="1"/>
      <c r="F24212" s="1"/>
      <c r="G24212" s="1"/>
    </row>
    <row r="24213">
      <c r="B24213" s="36"/>
      <c r="C24213" s="36"/>
      <c r="E24213" s="1"/>
      <c r="F24213" s="1"/>
      <c r="G24213" s="1"/>
    </row>
    <row r="24214">
      <c r="B24214" s="36"/>
      <c r="C24214" s="36"/>
      <c r="E24214" s="1"/>
      <c r="F24214" s="1"/>
      <c r="G24214" s="1"/>
    </row>
    <row r="24215">
      <c r="B24215" s="36"/>
      <c r="C24215" s="36"/>
      <c r="E24215" s="1"/>
      <c r="F24215" s="1"/>
      <c r="G24215" s="1"/>
    </row>
    <row r="24216">
      <c r="B24216" s="36"/>
      <c r="C24216" s="36"/>
      <c r="E24216" s="1"/>
      <c r="F24216" s="1"/>
      <c r="G24216" s="1"/>
    </row>
    <row r="24217">
      <c r="B24217" s="36"/>
      <c r="C24217" s="36"/>
      <c r="E24217" s="1"/>
      <c r="F24217" s="1"/>
      <c r="G24217" s="1"/>
    </row>
    <row r="24218">
      <c r="B24218" s="36"/>
      <c r="C24218" s="36"/>
      <c r="E24218" s="1"/>
      <c r="F24218" s="1"/>
      <c r="G24218" s="1"/>
    </row>
    <row r="24219">
      <c r="B24219" s="36"/>
      <c r="C24219" s="36"/>
      <c r="E24219" s="1"/>
      <c r="F24219" s="1"/>
      <c r="G24219" s="1"/>
    </row>
    <row r="24220">
      <c r="B24220" s="36"/>
      <c r="C24220" s="36"/>
      <c r="E24220" s="1"/>
      <c r="F24220" s="1"/>
      <c r="G24220" s="1"/>
    </row>
    <row r="24221">
      <c r="B24221" s="36"/>
      <c r="C24221" s="36"/>
      <c r="E24221" s="1"/>
      <c r="F24221" s="1"/>
      <c r="G24221" s="1"/>
    </row>
    <row r="24222">
      <c r="B24222" s="36"/>
      <c r="C24222" s="36"/>
      <c r="E24222" s="1"/>
      <c r="F24222" s="1"/>
      <c r="G24222" s="1"/>
    </row>
    <row r="24223">
      <c r="B24223" s="36"/>
      <c r="C24223" s="36"/>
      <c r="E24223" s="1"/>
      <c r="F24223" s="1"/>
      <c r="G24223" s="1"/>
    </row>
    <row r="24224">
      <c r="B24224" s="36"/>
      <c r="C24224" s="36"/>
      <c r="E24224" s="1"/>
      <c r="F24224" s="1"/>
      <c r="G24224" s="1"/>
    </row>
    <row r="24225">
      <c r="B24225" s="36"/>
      <c r="C24225" s="36"/>
      <c r="E24225" s="1"/>
      <c r="F24225" s="1"/>
      <c r="G24225" s="1"/>
    </row>
    <row r="24226">
      <c r="B24226" s="36"/>
      <c r="C24226" s="36"/>
      <c r="E24226" s="1"/>
      <c r="F24226" s="1"/>
      <c r="G24226" s="1"/>
    </row>
    <row r="24227">
      <c r="B24227" s="36"/>
      <c r="C24227" s="36"/>
      <c r="E24227" s="1"/>
      <c r="F24227" s="1"/>
      <c r="G24227" s="1"/>
    </row>
    <row r="24228">
      <c r="B24228" s="36"/>
      <c r="C24228" s="36"/>
      <c r="E24228" s="1"/>
      <c r="F24228" s="1"/>
      <c r="G24228" s="1"/>
    </row>
    <row r="24229">
      <c r="B24229" s="36"/>
      <c r="C24229" s="36"/>
      <c r="E24229" s="1"/>
      <c r="F24229" s="1"/>
      <c r="G24229" s="1"/>
    </row>
    <row r="24230">
      <c r="B24230" s="36"/>
      <c r="C24230" s="36"/>
      <c r="E24230" s="1"/>
      <c r="F24230" s="1"/>
      <c r="G24230" s="1"/>
    </row>
    <row r="24231">
      <c r="B24231" s="36"/>
      <c r="C24231" s="36"/>
      <c r="E24231" s="1"/>
      <c r="F24231" s="1"/>
      <c r="G24231" s="1"/>
    </row>
    <row r="24232">
      <c r="B24232" s="36"/>
      <c r="C24232" s="36"/>
      <c r="E24232" s="1"/>
      <c r="F24232" s="1"/>
      <c r="G24232" s="1"/>
    </row>
    <row r="24233">
      <c r="B24233" s="36"/>
      <c r="C24233" s="36"/>
      <c r="E24233" s="1"/>
      <c r="F24233" s="1"/>
      <c r="G24233" s="1"/>
    </row>
    <row r="24234">
      <c r="B24234" s="36"/>
      <c r="C24234" s="36"/>
      <c r="E24234" s="1"/>
      <c r="F24234" s="1"/>
      <c r="G24234" s="1"/>
    </row>
    <row r="24235">
      <c r="B24235" s="36"/>
      <c r="C24235" s="36"/>
      <c r="E24235" s="1"/>
      <c r="F24235" s="1"/>
      <c r="G24235" s="1"/>
    </row>
    <row r="24236">
      <c r="B24236" s="36"/>
      <c r="C24236" s="36"/>
      <c r="E24236" s="1"/>
      <c r="F24236" s="1"/>
      <c r="G24236" s="1"/>
    </row>
    <row r="24237">
      <c r="B24237" s="36"/>
      <c r="C24237" s="36"/>
      <c r="E24237" s="1"/>
      <c r="F24237" s="1"/>
      <c r="G24237" s="1"/>
    </row>
    <row r="24238">
      <c r="B24238" s="36"/>
      <c r="C24238" s="36"/>
      <c r="E24238" s="1"/>
      <c r="F24238" s="1"/>
      <c r="G24238" s="1"/>
    </row>
    <row r="24239">
      <c r="B24239" s="36"/>
      <c r="C24239" s="36"/>
      <c r="E24239" s="1"/>
      <c r="F24239" s="1"/>
      <c r="G24239" s="1"/>
    </row>
    <row r="24240">
      <c r="B24240" s="36"/>
      <c r="C24240" s="36"/>
      <c r="E24240" s="1"/>
      <c r="F24240" s="1"/>
      <c r="G24240" s="1"/>
    </row>
    <row r="24241">
      <c r="B24241" s="36"/>
      <c r="C24241" s="36"/>
      <c r="E24241" s="1"/>
      <c r="F24241" s="1"/>
      <c r="G24241" s="1"/>
    </row>
    <row r="24242">
      <c r="B24242" s="36"/>
      <c r="C24242" s="36"/>
      <c r="E24242" s="1"/>
      <c r="F24242" s="1"/>
      <c r="G24242" s="1"/>
    </row>
    <row r="24243">
      <c r="B24243" s="36"/>
      <c r="C24243" s="36"/>
      <c r="E24243" s="1"/>
      <c r="F24243" s="1"/>
      <c r="G24243" s="1"/>
    </row>
    <row r="24244">
      <c r="B24244" s="36"/>
      <c r="C24244" s="36"/>
      <c r="E24244" s="1"/>
      <c r="F24244" s="1"/>
      <c r="G24244" s="1"/>
    </row>
    <row r="24245">
      <c r="B24245" s="36"/>
      <c r="C24245" s="36"/>
      <c r="E24245" s="1"/>
      <c r="F24245" s="1"/>
      <c r="G24245" s="1"/>
    </row>
    <row r="24246">
      <c r="B24246" s="36"/>
      <c r="C24246" s="36"/>
      <c r="E24246" s="1"/>
      <c r="F24246" s="1"/>
      <c r="G24246" s="1"/>
    </row>
    <row r="24247">
      <c r="B24247" s="36"/>
      <c r="C24247" s="36"/>
      <c r="E24247" s="1"/>
      <c r="F24247" s="1"/>
      <c r="G24247" s="1"/>
    </row>
    <row r="24248">
      <c r="B24248" s="36"/>
      <c r="C24248" s="36"/>
      <c r="E24248" s="1"/>
      <c r="F24248" s="1"/>
      <c r="G24248" s="1"/>
    </row>
    <row r="24249">
      <c r="B24249" s="36"/>
      <c r="C24249" s="36"/>
      <c r="E24249" s="1"/>
      <c r="F24249" s="1"/>
      <c r="G24249" s="1"/>
    </row>
    <row r="24250">
      <c r="B24250" s="36"/>
      <c r="C24250" s="36"/>
      <c r="E24250" s="1"/>
      <c r="F24250" s="1"/>
      <c r="G24250" s="1"/>
    </row>
    <row r="24251">
      <c r="B24251" s="36"/>
      <c r="C24251" s="36"/>
      <c r="E24251" s="1"/>
      <c r="F24251" s="1"/>
      <c r="G24251" s="1"/>
    </row>
    <row r="24252">
      <c r="B24252" s="36"/>
      <c r="C24252" s="36"/>
      <c r="E24252" s="1"/>
      <c r="F24252" s="1"/>
      <c r="G24252" s="1"/>
    </row>
    <row r="24253">
      <c r="B24253" s="36"/>
      <c r="C24253" s="36"/>
      <c r="E24253" s="1"/>
      <c r="F24253" s="1"/>
      <c r="G24253" s="1"/>
    </row>
    <row r="24254">
      <c r="B24254" s="36"/>
      <c r="C24254" s="36"/>
      <c r="E24254" s="1"/>
      <c r="F24254" s="1"/>
      <c r="G24254" s="1"/>
    </row>
    <row r="24255">
      <c r="B24255" s="36"/>
      <c r="C24255" s="36"/>
      <c r="E24255" s="1"/>
      <c r="F24255" s="1"/>
      <c r="G24255" s="1"/>
    </row>
    <row r="24256">
      <c r="B24256" s="36"/>
      <c r="C24256" s="36"/>
      <c r="E24256" s="1"/>
      <c r="F24256" s="1"/>
      <c r="G24256" s="1"/>
    </row>
    <row r="24257">
      <c r="B24257" s="36"/>
      <c r="C24257" s="36"/>
      <c r="E24257" s="1"/>
      <c r="F24257" s="1"/>
      <c r="G24257" s="1"/>
    </row>
    <row r="24258">
      <c r="B24258" s="36"/>
      <c r="C24258" s="36"/>
      <c r="E24258" s="1"/>
      <c r="F24258" s="1"/>
      <c r="G24258" s="1"/>
    </row>
    <row r="24259">
      <c r="B24259" s="36"/>
      <c r="C24259" s="36"/>
      <c r="E24259" s="1"/>
      <c r="F24259" s="1"/>
      <c r="G24259" s="1"/>
    </row>
    <row r="24260">
      <c r="B24260" s="36"/>
      <c r="C24260" s="36"/>
      <c r="E24260" s="1"/>
      <c r="F24260" s="1"/>
      <c r="G24260" s="1"/>
    </row>
    <row r="24261">
      <c r="B24261" s="36"/>
      <c r="C24261" s="36"/>
      <c r="E24261" s="1"/>
      <c r="F24261" s="1"/>
      <c r="G24261" s="1"/>
    </row>
    <row r="24262">
      <c r="B24262" s="36"/>
      <c r="C24262" s="36"/>
      <c r="E24262" s="1"/>
      <c r="F24262" s="1"/>
      <c r="G24262" s="1"/>
    </row>
    <row r="24263">
      <c r="B24263" s="36"/>
      <c r="C24263" s="36"/>
      <c r="E24263" s="1"/>
      <c r="F24263" s="1"/>
      <c r="G24263" s="1"/>
    </row>
    <row r="24264">
      <c r="B24264" s="36"/>
      <c r="C24264" s="36"/>
      <c r="E24264" s="1"/>
      <c r="F24264" s="1"/>
      <c r="G24264" s="1"/>
    </row>
    <row r="24265">
      <c r="B24265" s="36"/>
      <c r="C24265" s="36"/>
      <c r="E24265" s="1"/>
      <c r="F24265" s="1"/>
      <c r="G24265" s="1"/>
    </row>
    <row r="24266">
      <c r="B24266" s="36"/>
      <c r="C24266" s="36"/>
      <c r="E24266" s="1"/>
      <c r="F24266" s="1"/>
      <c r="G24266" s="1"/>
    </row>
    <row r="24267">
      <c r="B24267" s="36"/>
      <c r="C24267" s="36"/>
      <c r="E24267" s="1"/>
      <c r="F24267" s="1"/>
      <c r="G24267" s="1"/>
    </row>
    <row r="24268">
      <c r="B24268" s="36"/>
      <c r="C24268" s="36"/>
      <c r="E24268" s="1"/>
      <c r="F24268" s="1"/>
      <c r="G24268" s="1"/>
    </row>
    <row r="24269">
      <c r="B24269" s="36"/>
      <c r="C24269" s="36"/>
      <c r="E24269" s="1"/>
      <c r="F24269" s="1"/>
      <c r="G24269" s="1"/>
    </row>
    <row r="24270">
      <c r="B24270" s="36"/>
      <c r="C24270" s="36"/>
      <c r="E24270" s="1"/>
      <c r="F24270" s="1"/>
      <c r="G24270" s="1"/>
    </row>
    <row r="24271">
      <c r="B24271" s="36"/>
      <c r="C24271" s="36"/>
      <c r="E24271" s="1"/>
      <c r="F24271" s="1"/>
      <c r="G24271" s="1"/>
    </row>
    <row r="24272">
      <c r="B24272" s="36"/>
      <c r="C24272" s="36"/>
      <c r="E24272" s="1"/>
      <c r="F24272" s="1"/>
      <c r="G24272" s="1"/>
    </row>
    <row r="24273">
      <c r="B24273" s="36"/>
      <c r="C24273" s="36"/>
      <c r="E24273" s="1"/>
      <c r="F24273" s="1"/>
      <c r="G24273" s="1"/>
    </row>
    <row r="24274">
      <c r="B24274" s="36"/>
      <c r="C24274" s="36"/>
      <c r="E24274" s="1"/>
      <c r="F24274" s="1"/>
      <c r="G24274" s="1"/>
    </row>
    <row r="24275">
      <c r="B24275" s="36"/>
      <c r="C24275" s="36"/>
      <c r="E24275" s="1"/>
      <c r="F24275" s="1"/>
      <c r="G24275" s="1"/>
    </row>
    <row r="24276">
      <c r="B24276" s="36"/>
      <c r="C24276" s="36"/>
      <c r="E24276" s="1"/>
      <c r="F24276" s="1"/>
      <c r="G24276" s="1"/>
    </row>
    <row r="24277">
      <c r="B24277" s="36"/>
      <c r="C24277" s="36"/>
      <c r="E24277" s="1"/>
      <c r="F24277" s="1"/>
      <c r="G24277" s="1"/>
    </row>
    <row r="24278">
      <c r="B24278" s="36"/>
      <c r="C24278" s="36"/>
      <c r="E24278" s="1"/>
      <c r="F24278" s="1"/>
      <c r="G24278" s="1"/>
    </row>
    <row r="24279">
      <c r="B24279" s="36"/>
      <c r="C24279" s="36"/>
      <c r="E24279" s="1"/>
      <c r="F24279" s="1"/>
      <c r="G24279" s="1"/>
    </row>
    <row r="24280">
      <c r="B24280" s="36"/>
      <c r="C24280" s="36"/>
      <c r="E24280" s="1"/>
      <c r="F24280" s="1"/>
      <c r="G24280" s="1"/>
    </row>
    <row r="24281">
      <c r="B24281" s="36"/>
      <c r="C24281" s="36"/>
      <c r="E24281" s="1"/>
      <c r="F24281" s="1"/>
      <c r="G24281" s="1"/>
    </row>
    <row r="24282">
      <c r="B24282" s="36"/>
      <c r="C24282" s="36"/>
      <c r="E24282" s="1"/>
      <c r="F24282" s="1"/>
      <c r="G24282" s="1"/>
    </row>
    <row r="24283">
      <c r="B24283" s="36"/>
      <c r="C24283" s="36"/>
      <c r="E24283" s="1"/>
      <c r="F24283" s="1"/>
      <c r="G24283" s="1"/>
    </row>
    <row r="24284">
      <c r="B24284" s="36"/>
      <c r="C24284" s="36"/>
      <c r="E24284" s="1"/>
      <c r="F24284" s="1"/>
      <c r="G24284" s="1"/>
    </row>
    <row r="24285">
      <c r="B24285" s="36"/>
      <c r="C24285" s="36"/>
      <c r="E24285" s="1"/>
      <c r="F24285" s="1"/>
      <c r="G24285" s="1"/>
    </row>
    <row r="24286">
      <c r="B24286" s="36"/>
      <c r="C24286" s="36"/>
      <c r="E24286" s="1"/>
      <c r="F24286" s="1"/>
      <c r="G24286" s="1"/>
    </row>
    <row r="24287">
      <c r="B24287" s="36"/>
      <c r="C24287" s="36"/>
      <c r="E24287" s="1"/>
      <c r="F24287" s="1"/>
      <c r="G24287" s="1"/>
    </row>
    <row r="24288">
      <c r="B24288" s="36"/>
      <c r="C24288" s="36"/>
      <c r="E24288" s="1"/>
      <c r="F24288" s="1"/>
      <c r="G24288" s="1"/>
    </row>
    <row r="24289">
      <c r="B24289" s="36"/>
      <c r="C24289" s="36"/>
      <c r="E24289" s="1"/>
      <c r="F24289" s="1"/>
      <c r="G24289" s="1"/>
    </row>
    <row r="24290">
      <c r="B24290" s="36"/>
      <c r="C24290" s="36"/>
      <c r="E24290" s="1"/>
      <c r="F24290" s="1"/>
      <c r="G24290" s="1"/>
    </row>
    <row r="24291">
      <c r="B24291" s="36"/>
      <c r="C24291" s="36"/>
      <c r="E24291" s="1"/>
      <c r="F24291" s="1"/>
      <c r="G24291" s="1"/>
    </row>
    <row r="24292">
      <c r="B24292" s="36"/>
      <c r="C24292" s="36"/>
      <c r="E24292" s="1"/>
      <c r="F24292" s="1"/>
      <c r="G24292" s="1"/>
    </row>
    <row r="24293">
      <c r="B24293" s="36"/>
      <c r="C24293" s="36"/>
      <c r="E24293" s="1"/>
      <c r="F24293" s="1"/>
      <c r="G24293" s="1"/>
    </row>
    <row r="24294">
      <c r="B24294" s="36"/>
      <c r="C24294" s="36"/>
      <c r="E24294" s="1"/>
      <c r="F24294" s="1"/>
      <c r="G24294" s="1"/>
    </row>
    <row r="24295">
      <c r="B24295" s="36"/>
      <c r="C24295" s="36"/>
      <c r="E24295" s="1"/>
      <c r="F24295" s="1"/>
      <c r="G24295" s="1"/>
    </row>
    <row r="24296">
      <c r="B24296" s="36"/>
      <c r="C24296" s="36"/>
      <c r="E24296" s="1"/>
      <c r="F24296" s="1"/>
      <c r="G24296" s="1"/>
    </row>
    <row r="24297">
      <c r="B24297" s="36"/>
      <c r="C24297" s="36"/>
      <c r="E24297" s="1"/>
      <c r="F24297" s="1"/>
      <c r="G24297" s="1"/>
    </row>
    <row r="24298">
      <c r="B24298" s="36"/>
      <c r="C24298" s="36"/>
      <c r="E24298" s="1"/>
      <c r="F24298" s="1"/>
      <c r="G24298" s="1"/>
    </row>
    <row r="24299">
      <c r="B24299" s="36"/>
      <c r="C24299" s="36"/>
      <c r="E24299" s="1"/>
      <c r="F24299" s="1"/>
      <c r="G24299" s="1"/>
    </row>
    <row r="24300">
      <c r="B24300" s="36"/>
      <c r="C24300" s="36"/>
      <c r="E24300" s="1"/>
      <c r="F24300" s="1"/>
      <c r="G24300" s="1"/>
    </row>
    <row r="24301">
      <c r="B24301" s="36"/>
      <c r="C24301" s="36"/>
      <c r="E24301" s="1"/>
      <c r="F24301" s="1"/>
      <c r="G24301" s="1"/>
    </row>
    <row r="24302">
      <c r="B24302" s="36"/>
      <c r="C24302" s="36"/>
      <c r="E24302" s="1"/>
      <c r="F24302" s="1"/>
      <c r="G24302" s="1"/>
    </row>
    <row r="24303">
      <c r="B24303" s="36"/>
      <c r="C24303" s="36"/>
      <c r="E24303" s="1"/>
      <c r="F24303" s="1"/>
      <c r="G24303" s="1"/>
    </row>
    <row r="24304">
      <c r="B24304" s="36"/>
      <c r="C24304" s="36"/>
      <c r="E24304" s="1"/>
      <c r="F24304" s="1"/>
      <c r="G24304" s="1"/>
    </row>
    <row r="24305">
      <c r="B24305" s="36"/>
      <c r="C24305" s="36"/>
      <c r="E24305" s="1"/>
      <c r="F24305" s="1"/>
      <c r="G24305" s="1"/>
    </row>
    <row r="24306">
      <c r="B24306" s="36"/>
      <c r="C24306" s="36"/>
      <c r="E24306" s="1"/>
      <c r="F24306" s="1"/>
      <c r="G24306" s="1"/>
    </row>
    <row r="24307">
      <c r="B24307" s="36"/>
      <c r="C24307" s="36"/>
      <c r="E24307" s="1"/>
      <c r="F24307" s="1"/>
      <c r="G24307" s="1"/>
    </row>
    <row r="24308">
      <c r="B24308" s="36"/>
      <c r="C24308" s="36"/>
      <c r="E24308" s="1"/>
      <c r="F24308" s="1"/>
      <c r="G24308" s="1"/>
    </row>
    <row r="24309">
      <c r="B24309" s="36"/>
      <c r="C24309" s="36"/>
      <c r="E24309" s="1"/>
      <c r="F24309" s="1"/>
      <c r="G24309" s="1"/>
    </row>
    <row r="24310">
      <c r="B24310" s="36"/>
      <c r="C24310" s="36"/>
      <c r="E24310" s="1"/>
      <c r="F24310" s="1"/>
      <c r="G24310" s="1"/>
    </row>
    <row r="24311">
      <c r="B24311" s="36"/>
      <c r="C24311" s="36"/>
      <c r="E24311" s="1"/>
      <c r="F24311" s="1"/>
      <c r="G24311" s="1"/>
    </row>
    <row r="24312">
      <c r="B24312" s="36"/>
      <c r="C24312" s="36"/>
      <c r="E24312" s="1"/>
      <c r="F24312" s="1"/>
      <c r="G24312" s="1"/>
    </row>
    <row r="24313">
      <c r="B24313" s="36"/>
      <c r="C24313" s="36"/>
      <c r="E24313" s="1"/>
      <c r="F24313" s="1"/>
      <c r="G24313" s="1"/>
    </row>
    <row r="24314">
      <c r="B24314" s="36"/>
      <c r="C24314" s="36"/>
      <c r="E24314" s="1"/>
      <c r="F24314" s="1"/>
      <c r="G24314" s="1"/>
    </row>
    <row r="24315">
      <c r="B24315" s="36"/>
      <c r="C24315" s="36"/>
      <c r="E24315" s="1"/>
      <c r="F24315" s="1"/>
      <c r="G24315" s="1"/>
    </row>
    <row r="24316">
      <c r="B24316" s="36"/>
      <c r="C24316" s="36"/>
      <c r="E24316" s="1"/>
      <c r="F24316" s="1"/>
      <c r="G24316" s="1"/>
    </row>
    <row r="24317">
      <c r="B24317" s="36"/>
      <c r="C24317" s="36"/>
      <c r="E24317" s="1"/>
      <c r="F24317" s="1"/>
      <c r="G24317" s="1"/>
    </row>
    <row r="24318">
      <c r="B24318" s="36"/>
      <c r="C24318" s="36"/>
      <c r="E24318" s="1"/>
      <c r="F24318" s="1"/>
      <c r="G24318" s="1"/>
    </row>
    <row r="24319">
      <c r="B24319" s="36"/>
      <c r="C24319" s="36"/>
      <c r="E24319" s="1"/>
      <c r="F24319" s="1"/>
      <c r="G24319" s="1"/>
    </row>
    <row r="24320">
      <c r="B24320" s="36"/>
      <c r="C24320" s="36"/>
      <c r="E24320" s="1"/>
      <c r="F24320" s="1"/>
      <c r="G24320" s="1"/>
    </row>
    <row r="24321">
      <c r="B24321" s="36"/>
      <c r="C24321" s="36"/>
      <c r="E24321" s="1"/>
      <c r="F24321" s="1"/>
      <c r="G24321" s="1"/>
    </row>
    <row r="24322">
      <c r="B24322" s="36"/>
      <c r="C24322" s="36"/>
      <c r="E24322" s="1"/>
      <c r="F24322" s="1"/>
      <c r="G24322" s="1"/>
    </row>
    <row r="24323">
      <c r="B24323" s="36"/>
      <c r="C24323" s="36"/>
      <c r="E24323" s="1"/>
      <c r="F24323" s="1"/>
      <c r="G24323" s="1"/>
    </row>
    <row r="24324">
      <c r="B24324" s="36"/>
      <c r="C24324" s="36"/>
      <c r="E24324" s="1"/>
      <c r="F24324" s="1"/>
      <c r="G24324" s="1"/>
    </row>
    <row r="24325">
      <c r="B24325" s="36"/>
      <c r="C24325" s="36"/>
      <c r="E24325" s="1"/>
      <c r="F24325" s="1"/>
      <c r="G24325" s="1"/>
    </row>
    <row r="24326">
      <c r="B24326" s="36"/>
      <c r="C24326" s="36"/>
      <c r="E24326" s="1"/>
      <c r="F24326" s="1"/>
      <c r="G24326" s="1"/>
    </row>
    <row r="24327">
      <c r="B24327" s="36"/>
      <c r="C24327" s="36"/>
      <c r="E24327" s="1"/>
      <c r="F24327" s="1"/>
      <c r="G24327" s="1"/>
    </row>
    <row r="24328">
      <c r="B24328" s="36"/>
      <c r="C24328" s="36"/>
      <c r="E24328" s="1"/>
      <c r="F24328" s="1"/>
      <c r="G24328" s="1"/>
    </row>
    <row r="24329">
      <c r="B24329" s="36"/>
      <c r="C24329" s="36"/>
      <c r="E24329" s="1"/>
      <c r="F24329" s="1"/>
      <c r="G24329" s="1"/>
    </row>
    <row r="24330">
      <c r="B24330" s="36"/>
      <c r="C24330" s="36"/>
      <c r="E24330" s="1"/>
      <c r="F24330" s="1"/>
      <c r="G24330" s="1"/>
    </row>
    <row r="24331">
      <c r="B24331" s="36"/>
      <c r="C24331" s="36"/>
      <c r="E24331" s="1"/>
      <c r="F24331" s="1"/>
      <c r="G24331" s="1"/>
    </row>
    <row r="24332">
      <c r="B24332" s="36"/>
      <c r="C24332" s="36"/>
      <c r="E24332" s="1"/>
      <c r="F24332" s="1"/>
      <c r="G24332" s="1"/>
    </row>
    <row r="24333">
      <c r="B24333" s="36"/>
      <c r="C24333" s="36"/>
      <c r="E24333" s="1"/>
      <c r="F24333" s="1"/>
      <c r="G24333" s="1"/>
    </row>
    <row r="24334">
      <c r="B24334" s="36"/>
      <c r="C24334" s="36"/>
      <c r="E24334" s="1"/>
      <c r="F24334" s="1"/>
      <c r="G24334" s="1"/>
    </row>
    <row r="24335">
      <c r="B24335" s="36"/>
      <c r="C24335" s="36"/>
      <c r="E24335" s="1"/>
      <c r="F24335" s="1"/>
      <c r="G24335" s="1"/>
    </row>
    <row r="24336">
      <c r="B24336" s="36"/>
      <c r="C24336" s="36"/>
      <c r="E24336" s="1"/>
      <c r="F24336" s="1"/>
      <c r="G24336" s="1"/>
    </row>
    <row r="24337">
      <c r="B24337" s="36"/>
      <c r="C24337" s="36"/>
      <c r="E24337" s="1"/>
      <c r="F24337" s="1"/>
      <c r="G24337" s="1"/>
    </row>
    <row r="24338">
      <c r="B24338" s="36"/>
      <c r="C24338" s="36"/>
      <c r="E24338" s="1"/>
      <c r="F24338" s="1"/>
      <c r="G24338" s="1"/>
    </row>
    <row r="24339">
      <c r="B24339" s="36"/>
      <c r="C24339" s="36"/>
      <c r="E24339" s="1"/>
      <c r="F24339" s="1"/>
      <c r="G24339" s="1"/>
    </row>
    <row r="24340">
      <c r="B24340" s="36"/>
      <c r="C24340" s="36"/>
      <c r="E24340" s="1"/>
      <c r="F24340" s="1"/>
      <c r="G24340" s="1"/>
    </row>
    <row r="24341">
      <c r="B24341" s="36"/>
      <c r="C24341" s="36"/>
      <c r="E24341" s="1"/>
      <c r="F24341" s="1"/>
      <c r="G24341" s="1"/>
    </row>
    <row r="24342">
      <c r="B24342" s="36"/>
      <c r="C24342" s="36"/>
      <c r="E24342" s="1"/>
      <c r="F24342" s="1"/>
      <c r="G24342" s="1"/>
    </row>
    <row r="24343">
      <c r="B24343" s="36"/>
      <c r="C24343" s="36"/>
      <c r="E24343" s="1"/>
      <c r="F24343" s="1"/>
      <c r="G24343" s="1"/>
    </row>
    <row r="24344">
      <c r="B24344" s="36"/>
      <c r="C24344" s="36"/>
      <c r="E24344" s="1"/>
      <c r="F24344" s="1"/>
      <c r="G24344" s="1"/>
    </row>
    <row r="24345">
      <c r="B24345" s="36"/>
      <c r="C24345" s="36"/>
      <c r="E24345" s="1"/>
      <c r="F24345" s="1"/>
      <c r="G24345" s="1"/>
    </row>
    <row r="24346">
      <c r="B24346" s="36"/>
      <c r="C24346" s="36"/>
      <c r="E24346" s="1"/>
      <c r="F24346" s="1"/>
      <c r="G24346" s="1"/>
    </row>
    <row r="24347">
      <c r="B24347" s="36"/>
      <c r="C24347" s="36"/>
      <c r="E24347" s="1"/>
      <c r="F24347" s="1"/>
      <c r="G24347" s="1"/>
    </row>
    <row r="24348">
      <c r="B24348" s="36"/>
      <c r="C24348" s="36"/>
      <c r="E24348" s="1"/>
      <c r="F24348" s="1"/>
      <c r="G24348" s="1"/>
    </row>
    <row r="24349">
      <c r="B24349" s="36"/>
      <c r="C24349" s="36"/>
      <c r="E24349" s="1"/>
      <c r="F24349" s="1"/>
      <c r="G24349" s="1"/>
    </row>
    <row r="24350">
      <c r="B24350" s="36"/>
      <c r="C24350" s="36"/>
      <c r="E24350" s="1"/>
      <c r="F24350" s="1"/>
      <c r="G24350" s="1"/>
    </row>
    <row r="24351">
      <c r="B24351" s="36"/>
      <c r="C24351" s="36"/>
      <c r="E24351" s="1"/>
      <c r="F24351" s="1"/>
      <c r="G24351" s="1"/>
    </row>
    <row r="24352">
      <c r="B24352" s="36"/>
      <c r="C24352" s="36"/>
      <c r="E24352" s="1"/>
      <c r="F24352" s="1"/>
      <c r="G24352" s="1"/>
    </row>
    <row r="24353">
      <c r="B24353" s="36"/>
      <c r="C24353" s="36"/>
      <c r="E24353" s="1"/>
      <c r="F24353" s="1"/>
      <c r="G24353" s="1"/>
    </row>
    <row r="24354">
      <c r="B24354" s="36"/>
      <c r="C24354" s="36"/>
      <c r="E24354" s="1"/>
      <c r="F24354" s="1"/>
      <c r="G24354" s="1"/>
    </row>
    <row r="24355">
      <c r="B24355" s="36"/>
      <c r="C24355" s="36"/>
      <c r="E24355" s="1"/>
      <c r="F24355" s="1"/>
      <c r="G24355" s="1"/>
    </row>
    <row r="24356">
      <c r="B24356" s="36"/>
      <c r="C24356" s="36"/>
      <c r="E24356" s="1"/>
      <c r="F24356" s="1"/>
      <c r="G24356" s="1"/>
    </row>
    <row r="24357">
      <c r="B24357" s="36"/>
      <c r="C24357" s="36"/>
      <c r="E24357" s="1"/>
      <c r="F24357" s="1"/>
      <c r="G24357" s="1"/>
    </row>
    <row r="24358">
      <c r="B24358" s="36"/>
      <c r="C24358" s="36"/>
      <c r="E24358" s="1"/>
      <c r="F24358" s="1"/>
      <c r="G24358" s="1"/>
    </row>
    <row r="24359">
      <c r="B24359" s="36"/>
      <c r="C24359" s="36"/>
      <c r="E24359" s="1"/>
      <c r="F24359" s="1"/>
      <c r="G24359" s="1"/>
    </row>
    <row r="24360">
      <c r="B24360" s="36"/>
      <c r="C24360" s="36"/>
      <c r="E24360" s="1"/>
      <c r="F24360" s="1"/>
      <c r="G24360" s="1"/>
    </row>
    <row r="24361">
      <c r="B24361" s="36"/>
      <c r="C24361" s="36"/>
      <c r="E24361" s="1"/>
      <c r="F24361" s="1"/>
      <c r="G24361" s="1"/>
    </row>
    <row r="24362">
      <c r="B24362" s="36"/>
      <c r="C24362" s="36"/>
      <c r="E24362" s="1"/>
      <c r="F24362" s="1"/>
      <c r="G24362" s="1"/>
    </row>
    <row r="24363">
      <c r="B24363" s="36"/>
      <c r="C24363" s="36"/>
      <c r="E24363" s="1"/>
      <c r="F24363" s="1"/>
      <c r="G24363" s="1"/>
    </row>
    <row r="24364">
      <c r="B24364" s="36"/>
      <c r="C24364" s="36"/>
      <c r="E24364" s="1"/>
      <c r="F24364" s="1"/>
      <c r="G24364" s="1"/>
    </row>
    <row r="24365">
      <c r="B24365" s="36"/>
      <c r="C24365" s="36"/>
      <c r="E24365" s="1"/>
      <c r="F24365" s="1"/>
      <c r="G24365" s="1"/>
    </row>
    <row r="24366">
      <c r="B24366" s="36"/>
      <c r="C24366" s="36"/>
      <c r="E24366" s="1"/>
      <c r="F24366" s="1"/>
      <c r="G24366" s="1"/>
    </row>
    <row r="24367">
      <c r="B24367" s="36"/>
      <c r="C24367" s="36"/>
      <c r="E24367" s="1"/>
      <c r="F24367" s="1"/>
      <c r="G24367" s="1"/>
    </row>
    <row r="24368">
      <c r="B24368" s="36"/>
      <c r="C24368" s="36"/>
      <c r="E24368" s="1"/>
      <c r="F24368" s="1"/>
      <c r="G24368" s="1"/>
    </row>
    <row r="24369">
      <c r="B24369" s="36"/>
      <c r="C24369" s="36"/>
      <c r="E24369" s="1"/>
      <c r="F24369" s="1"/>
      <c r="G24369" s="1"/>
    </row>
    <row r="24370">
      <c r="B24370" s="36"/>
      <c r="C24370" s="36"/>
      <c r="E24370" s="1"/>
      <c r="F24370" s="1"/>
      <c r="G24370" s="1"/>
    </row>
    <row r="24371">
      <c r="B24371" s="36"/>
      <c r="C24371" s="36"/>
      <c r="E24371" s="1"/>
      <c r="F24371" s="1"/>
      <c r="G24371" s="1"/>
    </row>
    <row r="24372">
      <c r="B24372" s="36"/>
      <c r="C24372" s="36"/>
      <c r="E24372" s="1"/>
      <c r="F24372" s="1"/>
      <c r="G24372" s="1"/>
    </row>
    <row r="24373">
      <c r="B24373" s="36"/>
      <c r="C24373" s="36"/>
      <c r="E24373" s="1"/>
      <c r="F24373" s="1"/>
      <c r="G24373" s="1"/>
    </row>
    <row r="24374">
      <c r="B24374" s="36"/>
      <c r="C24374" s="36"/>
      <c r="E24374" s="1"/>
      <c r="F24374" s="1"/>
      <c r="G24374" s="1"/>
    </row>
    <row r="24375">
      <c r="B24375" s="36"/>
      <c r="C24375" s="36"/>
      <c r="E24375" s="1"/>
      <c r="F24375" s="1"/>
      <c r="G24375" s="1"/>
    </row>
    <row r="24376">
      <c r="B24376" s="36"/>
      <c r="C24376" s="36"/>
      <c r="E24376" s="1"/>
      <c r="F24376" s="1"/>
      <c r="G24376" s="1"/>
    </row>
    <row r="24377">
      <c r="B24377" s="36"/>
      <c r="C24377" s="36"/>
      <c r="E24377" s="1"/>
      <c r="F24377" s="1"/>
      <c r="G24377" s="1"/>
    </row>
    <row r="24378">
      <c r="B24378" s="36"/>
      <c r="C24378" s="36"/>
      <c r="E24378" s="1"/>
      <c r="F24378" s="1"/>
      <c r="G24378" s="1"/>
    </row>
    <row r="24379">
      <c r="B24379" s="36"/>
      <c r="C24379" s="36"/>
      <c r="E24379" s="1"/>
      <c r="F24379" s="1"/>
      <c r="G24379" s="1"/>
    </row>
    <row r="24380">
      <c r="B24380" s="36"/>
      <c r="C24380" s="36"/>
      <c r="E24380" s="1"/>
      <c r="F24380" s="1"/>
      <c r="G24380" s="1"/>
    </row>
    <row r="24381">
      <c r="B24381" s="36"/>
      <c r="C24381" s="36"/>
      <c r="E24381" s="1"/>
      <c r="F24381" s="1"/>
      <c r="G24381" s="1"/>
    </row>
    <row r="24382">
      <c r="B24382" s="36"/>
      <c r="C24382" s="36"/>
      <c r="E24382" s="1"/>
      <c r="F24382" s="1"/>
      <c r="G24382" s="1"/>
    </row>
    <row r="24383">
      <c r="B24383" s="36"/>
      <c r="C24383" s="36"/>
      <c r="E24383" s="1"/>
      <c r="F24383" s="1"/>
      <c r="G24383" s="1"/>
    </row>
    <row r="24384">
      <c r="B24384" s="36"/>
      <c r="C24384" s="36"/>
      <c r="E24384" s="1"/>
      <c r="F24384" s="1"/>
      <c r="G24384" s="1"/>
    </row>
    <row r="24385">
      <c r="B24385" s="36"/>
      <c r="C24385" s="36"/>
      <c r="E24385" s="1"/>
      <c r="F24385" s="1"/>
      <c r="G24385" s="1"/>
    </row>
    <row r="24386">
      <c r="B24386" s="36"/>
      <c r="C24386" s="36"/>
      <c r="E24386" s="1"/>
      <c r="F24386" s="1"/>
      <c r="G24386" s="1"/>
    </row>
    <row r="24387">
      <c r="B24387" s="36"/>
      <c r="C24387" s="36"/>
      <c r="E24387" s="1"/>
      <c r="F24387" s="1"/>
      <c r="G24387" s="1"/>
    </row>
    <row r="24388">
      <c r="B24388" s="36"/>
      <c r="C24388" s="36"/>
      <c r="E24388" s="1"/>
      <c r="F24388" s="1"/>
      <c r="G24388" s="1"/>
    </row>
    <row r="24389">
      <c r="B24389" s="36"/>
      <c r="C24389" s="36"/>
      <c r="E24389" s="1"/>
      <c r="F24389" s="1"/>
      <c r="G24389" s="1"/>
    </row>
    <row r="24390">
      <c r="B24390" s="36"/>
      <c r="C24390" s="36"/>
      <c r="E24390" s="1"/>
      <c r="F24390" s="1"/>
      <c r="G24390" s="1"/>
    </row>
    <row r="24391">
      <c r="B24391" s="36"/>
      <c r="C24391" s="36"/>
      <c r="E24391" s="1"/>
      <c r="F24391" s="1"/>
      <c r="G24391" s="1"/>
    </row>
    <row r="24392">
      <c r="B24392" s="36"/>
      <c r="C24392" s="36"/>
      <c r="E24392" s="1"/>
      <c r="F24392" s="1"/>
      <c r="G24392" s="1"/>
    </row>
    <row r="24393">
      <c r="B24393" s="36"/>
      <c r="C24393" s="36"/>
      <c r="E24393" s="1"/>
      <c r="F24393" s="1"/>
      <c r="G24393" s="1"/>
    </row>
    <row r="24394">
      <c r="B24394" s="36"/>
      <c r="C24394" s="36"/>
      <c r="E24394" s="1"/>
      <c r="F24394" s="1"/>
      <c r="G24394" s="1"/>
    </row>
    <row r="24395">
      <c r="B24395" s="36"/>
      <c r="C24395" s="36"/>
      <c r="E24395" s="1"/>
      <c r="F24395" s="1"/>
      <c r="G24395" s="1"/>
    </row>
    <row r="24396">
      <c r="B24396" s="36"/>
      <c r="C24396" s="36"/>
      <c r="E24396" s="1"/>
      <c r="F24396" s="1"/>
      <c r="G24396" s="1"/>
    </row>
    <row r="24397">
      <c r="B24397" s="36"/>
      <c r="C24397" s="36"/>
      <c r="E24397" s="1"/>
      <c r="F24397" s="1"/>
      <c r="G24397" s="1"/>
    </row>
    <row r="24398">
      <c r="B24398" s="36"/>
      <c r="C24398" s="36"/>
      <c r="E24398" s="1"/>
      <c r="F24398" s="1"/>
      <c r="G24398" s="1"/>
    </row>
    <row r="24399">
      <c r="B24399" s="36"/>
      <c r="C24399" s="36"/>
      <c r="E24399" s="1"/>
      <c r="F24399" s="1"/>
      <c r="G24399" s="1"/>
    </row>
    <row r="24400">
      <c r="B24400" s="36"/>
      <c r="C24400" s="36"/>
      <c r="E24400" s="1"/>
      <c r="F24400" s="1"/>
      <c r="G24400" s="1"/>
    </row>
    <row r="24401">
      <c r="B24401" s="36"/>
      <c r="C24401" s="36"/>
      <c r="E24401" s="1"/>
      <c r="F24401" s="1"/>
      <c r="G24401" s="1"/>
    </row>
    <row r="24402">
      <c r="B24402" s="36"/>
      <c r="C24402" s="36"/>
      <c r="E24402" s="1"/>
      <c r="F24402" s="1"/>
      <c r="G24402" s="1"/>
    </row>
    <row r="24403">
      <c r="B24403" s="36"/>
      <c r="C24403" s="36"/>
      <c r="E24403" s="1"/>
      <c r="F24403" s="1"/>
      <c r="G24403" s="1"/>
    </row>
    <row r="24404">
      <c r="B24404" s="36"/>
      <c r="C24404" s="36"/>
      <c r="E24404" s="1"/>
      <c r="F24404" s="1"/>
      <c r="G24404" s="1"/>
    </row>
    <row r="24405">
      <c r="B24405" s="36"/>
      <c r="C24405" s="36"/>
      <c r="E24405" s="1"/>
      <c r="F24405" s="1"/>
      <c r="G24405" s="1"/>
    </row>
    <row r="24406">
      <c r="B24406" s="36"/>
      <c r="C24406" s="36"/>
      <c r="E24406" s="1"/>
      <c r="F24406" s="1"/>
      <c r="G24406" s="1"/>
    </row>
    <row r="24407">
      <c r="B24407" s="36"/>
      <c r="C24407" s="36"/>
      <c r="E24407" s="1"/>
      <c r="F24407" s="1"/>
      <c r="G24407" s="1"/>
    </row>
    <row r="24408">
      <c r="B24408" s="36"/>
      <c r="C24408" s="36"/>
      <c r="E24408" s="1"/>
      <c r="F24408" s="1"/>
      <c r="G24408" s="1"/>
    </row>
    <row r="24409">
      <c r="B24409" s="36"/>
      <c r="C24409" s="36"/>
      <c r="E24409" s="1"/>
      <c r="F24409" s="1"/>
      <c r="G24409" s="1"/>
    </row>
    <row r="24410">
      <c r="B24410" s="36"/>
      <c r="C24410" s="36"/>
      <c r="E24410" s="1"/>
      <c r="F24410" s="1"/>
      <c r="G24410" s="1"/>
    </row>
    <row r="24411">
      <c r="B24411" s="36"/>
      <c r="C24411" s="36"/>
      <c r="E24411" s="1"/>
      <c r="F24411" s="1"/>
      <c r="G24411" s="1"/>
    </row>
    <row r="24412">
      <c r="B24412" s="36"/>
      <c r="C24412" s="36"/>
      <c r="E24412" s="1"/>
      <c r="F24412" s="1"/>
      <c r="G24412" s="1"/>
    </row>
    <row r="24413">
      <c r="B24413" s="36"/>
      <c r="C24413" s="36"/>
      <c r="E24413" s="1"/>
      <c r="F24413" s="1"/>
      <c r="G24413" s="1"/>
    </row>
    <row r="24414">
      <c r="B24414" s="36"/>
      <c r="C24414" s="36"/>
      <c r="E24414" s="1"/>
      <c r="F24414" s="1"/>
      <c r="G24414" s="1"/>
    </row>
    <row r="24415">
      <c r="B24415" s="36"/>
      <c r="C24415" s="36"/>
      <c r="E24415" s="1"/>
      <c r="F24415" s="1"/>
      <c r="G24415" s="1"/>
    </row>
    <row r="24416">
      <c r="B24416" s="36"/>
      <c r="C24416" s="36"/>
      <c r="E24416" s="1"/>
      <c r="F24416" s="1"/>
      <c r="G24416" s="1"/>
    </row>
    <row r="24417">
      <c r="B24417" s="36"/>
      <c r="C24417" s="36"/>
      <c r="E24417" s="1"/>
      <c r="F24417" s="1"/>
      <c r="G24417" s="1"/>
    </row>
    <row r="24418">
      <c r="B24418" s="36"/>
      <c r="C24418" s="36"/>
      <c r="E24418" s="1"/>
      <c r="F24418" s="1"/>
      <c r="G24418" s="1"/>
    </row>
    <row r="24419">
      <c r="B24419" s="36"/>
      <c r="C24419" s="36"/>
      <c r="E24419" s="1"/>
      <c r="F24419" s="1"/>
      <c r="G24419" s="1"/>
    </row>
    <row r="24420">
      <c r="B24420" s="36"/>
      <c r="C24420" s="36"/>
      <c r="E24420" s="1"/>
      <c r="F24420" s="1"/>
      <c r="G24420" s="1"/>
    </row>
    <row r="24421">
      <c r="B24421" s="36"/>
      <c r="C24421" s="36"/>
      <c r="E24421" s="1"/>
      <c r="F24421" s="1"/>
      <c r="G24421" s="1"/>
    </row>
    <row r="24422">
      <c r="B24422" s="36"/>
      <c r="C24422" s="36"/>
      <c r="E24422" s="1"/>
      <c r="F24422" s="1"/>
      <c r="G24422" s="1"/>
    </row>
    <row r="24423">
      <c r="B24423" s="36"/>
      <c r="C24423" s="36"/>
      <c r="E24423" s="1"/>
      <c r="F24423" s="1"/>
      <c r="G24423" s="1"/>
    </row>
    <row r="24424">
      <c r="B24424" s="36"/>
      <c r="C24424" s="36"/>
      <c r="E24424" s="1"/>
      <c r="F24424" s="1"/>
      <c r="G24424" s="1"/>
    </row>
    <row r="24425">
      <c r="B24425" s="36"/>
      <c r="C24425" s="36"/>
      <c r="E24425" s="1"/>
      <c r="F24425" s="1"/>
      <c r="G24425" s="1"/>
    </row>
    <row r="24426">
      <c r="B24426" s="36"/>
      <c r="C24426" s="36"/>
      <c r="E24426" s="1"/>
      <c r="F24426" s="1"/>
      <c r="G24426" s="1"/>
    </row>
    <row r="24427">
      <c r="B24427" s="36"/>
      <c r="C24427" s="36"/>
      <c r="E24427" s="1"/>
      <c r="F24427" s="1"/>
      <c r="G24427" s="1"/>
    </row>
    <row r="24428">
      <c r="B24428" s="36"/>
      <c r="C24428" s="36"/>
      <c r="E24428" s="1"/>
      <c r="F24428" s="1"/>
      <c r="G24428" s="1"/>
    </row>
    <row r="24429">
      <c r="B24429" s="36"/>
      <c r="C24429" s="36"/>
      <c r="E24429" s="1"/>
      <c r="F24429" s="1"/>
      <c r="G24429" s="1"/>
    </row>
    <row r="24430">
      <c r="B24430" s="36"/>
      <c r="C24430" s="36"/>
      <c r="E24430" s="1"/>
      <c r="F24430" s="1"/>
      <c r="G24430" s="1"/>
    </row>
    <row r="24431">
      <c r="B24431" s="36"/>
      <c r="C24431" s="36"/>
      <c r="E24431" s="1"/>
      <c r="F24431" s="1"/>
      <c r="G24431" s="1"/>
    </row>
    <row r="24432">
      <c r="B24432" s="36"/>
      <c r="C24432" s="36"/>
      <c r="E24432" s="1"/>
      <c r="F24432" s="1"/>
      <c r="G24432" s="1"/>
    </row>
    <row r="24433">
      <c r="B24433" s="36"/>
      <c r="C24433" s="36"/>
      <c r="E24433" s="1"/>
      <c r="F24433" s="1"/>
      <c r="G24433" s="1"/>
    </row>
    <row r="24434">
      <c r="B24434" s="36"/>
      <c r="C24434" s="36"/>
      <c r="E24434" s="1"/>
      <c r="F24434" s="1"/>
      <c r="G24434" s="1"/>
    </row>
    <row r="24435">
      <c r="B24435" s="36"/>
      <c r="C24435" s="36"/>
      <c r="E24435" s="1"/>
      <c r="F24435" s="1"/>
      <c r="G24435" s="1"/>
    </row>
    <row r="24436">
      <c r="B24436" s="36"/>
      <c r="C24436" s="36"/>
      <c r="E24436" s="1"/>
      <c r="F24436" s="1"/>
      <c r="G24436" s="1"/>
    </row>
    <row r="24437">
      <c r="B24437" s="36"/>
      <c r="C24437" s="36"/>
      <c r="E24437" s="1"/>
      <c r="F24437" s="1"/>
      <c r="G24437" s="1"/>
    </row>
    <row r="24438">
      <c r="B24438" s="36"/>
      <c r="C24438" s="36"/>
      <c r="E24438" s="1"/>
      <c r="F24438" s="1"/>
      <c r="G24438" s="1"/>
    </row>
    <row r="24439">
      <c r="B24439" s="36"/>
      <c r="C24439" s="36"/>
      <c r="E24439" s="1"/>
      <c r="F24439" s="1"/>
      <c r="G24439" s="1"/>
    </row>
    <row r="24440">
      <c r="B24440" s="36"/>
      <c r="C24440" s="36"/>
      <c r="E24440" s="1"/>
      <c r="F24440" s="1"/>
      <c r="G24440" s="1"/>
    </row>
    <row r="24441">
      <c r="B24441" s="36"/>
      <c r="C24441" s="36"/>
      <c r="E24441" s="1"/>
      <c r="F24441" s="1"/>
      <c r="G24441" s="1"/>
    </row>
    <row r="24442">
      <c r="B24442" s="36"/>
      <c r="C24442" s="36"/>
      <c r="E24442" s="1"/>
      <c r="F24442" s="1"/>
      <c r="G24442" s="1"/>
    </row>
    <row r="24443">
      <c r="B24443" s="36"/>
      <c r="C24443" s="36"/>
      <c r="E24443" s="1"/>
      <c r="F24443" s="1"/>
      <c r="G24443" s="1"/>
    </row>
    <row r="24444">
      <c r="B24444" s="36"/>
      <c r="C24444" s="36"/>
      <c r="E24444" s="1"/>
      <c r="F24444" s="1"/>
      <c r="G24444" s="1"/>
    </row>
    <row r="24445">
      <c r="B24445" s="36"/>
      <c r="C24445" s="36"/>
      <c r="E24445" s="1"/>
      <c r="F24445" s="1"/>
      <c r="G24445" s="1"/>
    </row>
    <row r="24446">
      <c r="B24446" s="36"/>
      <c r="C24446" s="36"/>
      <c r="E24446" s="1"/>
      <c r="F24446" s="1"/>
      <c r="G24446" s="1"/>
    </row>
    <row r="24447">
      <c r="B24447" s="36"/>
      <c r="C24447" s="36"/>
      <c r="E24447" s="1"/>
      <c r="F24447" s="1"/>
      <c r="G24447" s="1"/>
    </row>
    <row r="24448">
      <c r="B24448" s="36"/>
      <c r="C24448" s="36"/>
      <c r="E24448" s="1"/>
      <c r="F24448" s="1"/>
      <c r="G24448" s="1"/>
    </row>
    <row r="24449">
      <c r="B24449" s="36"/>
      <c r="C24449" s="36"/>
      <c r="E24449" s="1"/>
      <c r="F24449" s="1"/>
      <c r="G24449" s="1"/>
    </row>
    <row r="24450">
      <c r="B24450" s="36"/>
      <c r="C24450" s="36"/>
      <c r="E24450" s="1"/>
      <c r="F24450" s="1"/>
      <c r="G24450" s="1"/>
    </row>
    <row r="24451">
      <c r="B24451" s="36"/>
      <c r="C24451" s="36"/>
      <c r="E24451" s="1"/>
      <c r="F24451" s="1"/>
      <c r="G24451" s="1"/>
    </row>
    <row r="24452">
      <c r="B24452" s="36"/>
      <c r="C24452" s="36"/>
      <c r="E24452" s="1"/>
      <c r="F24452" s="1"/>
      <c r="G24452" s="1"/>
    </row>
    <row r="24453">
      <c r="B24453" s="36"/>
      <c r="C24453" s="36"/>
      <c r="E24453" s="1"/>
      <c r="F24453" s="1"/>
      <c r="G24453" s="1"/>
    </row>
    <row r="24454">
      <c r="B24454" s="36"/>
      <c r="C24454" s="36"/>
      <c r="E24454" s="1"/>
      <c r="F24454" s="1"/>
      <c r="G24454" s="1"/>
    </row>
    <row r="24455">
      <c r="B24455" s="36"/>
      <c r="C24455" s="36"/>
      <c r="E24455" s="1"/>
      <c r="F24455" s="1"/>
      <c r="G24455" s="1"/>
    </row>
    <row r="24456">
      <c r="B24456" s="36"/>
      <c r="C24456" s="36"/>
      <c r="E24456" s="1"/>
      <c r="F24456" s="1"/>
      <c r="G24456" s="1"/>
    </row>
    <row r="24457">
      <c r="B24457" s="36"/>
      <c r="C24457" s="36"/>
      <c r="E24457" s="1"/>
      <c r="F24457" s="1"/>
      <c r="G24457" s="1"/>
    </row>
    <row r="24458">
      <c r="B24458" s="36"/>
      <c r="C24458" s="36"/>
      <c r="E24458" s="1"/>
      <c r="F24458" s="1"/>
      <c r="G24458" s="1"/>
    </row>
    <row r="24459">
      <c r="B24459" s="36"/>
      <c r="C24459" s="36"/>
      <c r="E24459" s="1"/>
      <c r="F24459" s="1"/>
      <c r="G24459" s="1"/>
    </row>
    <row r="24460">
      <c r="B24460" s="36"/>
      <c r="C24460" s="36"/>
      <c r="E24460" s="1"/>
      <c r="F24460" s="1"/>
      <c r="G24460" s="1"/>
    </row>
    <row r="24461">
      <c r="B24461" s="36"/>
      <c r="C24461" s="36"/>
      <c r="E24461" s="1"/>
      <c r="F24461" s="1"/>
      <c r="G24461" s="1"/>
    </row>
    <row r="24462">
      <c r="B24462" s="36"/>
      <c r="C24462" s="36"/>
      <c r="E24462" s="1"/>
      <c r="F24462" s="1"/>
      <c r="G24462" s="1"/>
    </row>
    <row r="24463">
      <c r="B24463" s="36"/>
      <c r="C24463" s="36"/>
      <c r="E24463" s="1"/>
      <c r="F24463" s="1"/>
      <c r="G24463" s="1"/>
    </row>
    <row r="24464">
      <c r="B24464" s="36"/>
      <c r="C24464" s="36"/>
      <c r="E24464" s="1"/>
      <c r="F24464" s="1"/>
      <c r="G24464" s="1"/>
    </row>
    <row r="24465">
      <c r="B24465" s="36"/>
      <c r="C24465" s="36"/>
      <c r="E24465" s="1"/>
      <c r="F24465" s="1"/>
      <c r="G24465" s="1"/>
    </row>
    <row r="24466">
      <c r="B24466" s="36"/>
      <c r="C24466" s="36"/>
      <c r="E24466" s="1"/>
      <c r="F24466" s="1"/>
      <c r="G24466" s="1"/>
    </row>
    <row r="24467">
      <c r="B24467" s="36"/>
      <c r="C24467" s="36"/>
      <c r="E24467" s="1"/>
      <c r="F24467" s="1"/>
      <c r="G24467" s="1"/>
    </row>
    <row r="24468">
      <c r="B24468" s="36"/>
      <c r="C24468" s="36"/>
      <c r="E24468" s="1"/>
      <c r="F24468" s="1"/>
      <c r="G24468" s="1"/>
    </row>
    <row r="24469">
      <c r="B24469" s="36"/>
      <c r="C24469" s="36"/>
      <c r="E24469" s="1"/>
      <c r="F24469" s="1"/>
      <c r="G24469" s="1"/>
    </row>
    <row r="24470">
      <c r="B24470" s="36"/>
      <c r="C24470" s="36"/>
      <c r="E24470" s="1"/>
      <c r="F24470" s="1"/>
      <c r="G24470" s="1"/>
    </row>
    <row r="24471">
      <c r="B24471" s="36"/>
      <c r="C24471" s="36"/>
      <c r="E24471" s="1"/>
      <c r="F24471" s="1"/>
      <c r="G24471" s="1"/>
    </row>
    <row r="24472">
      <c r="B24472" s="36"/>
      <c r="C24472" s="36"/>
      <c r="E24472" s="1"/>
      <c r="F24472" s="1"/>
      <c r="G24472" s="1"/>
    </row>
    <row r="24473">
      <c r="B24473" s="36"/>
      <c r="C24473" s="36"/>
      <c r="E24473" s="1"/>
      <c r="F24473" s="1"/>
      <c r="G24473" s="1"/>
    </row>
    <row r="24474">
      <c r="B24474" s="36"/>
      <c r="C24474" s="36"/>
      <c r="E24474" s="1"/>
      <c r="F24474" s="1"/>
      <c r="G24474" s="1"/>
    </row>
    <row r="24475">
      <c r="B24475" s="36"/>
      <c r="C24475" s="36"/>
      <c r="E24475" s="1"/>
      <c r="F24475" s="1"/>
      <c r="G24475" s="1"/>
    </row>
    <row r="24476">
      <c r="B24476" s="36"/>
      <c r="C24476" s="36"/>
      <c r="E24476" s="1"/>
      <c r="F24476" s="1"/>
      <c r="G24476" s="1"/>
    </row>
    <row r="24477">
      <c r="B24477" s="36"/>
      <c r="C24477" s="36"/>
      <c r="E24477" s="1"/>
      <c r="F24477" s="1"/>
      <c r="G24477" s="1"/>
    </row>
    <row r="24478">
      <c r="B24478" s="36"/>
      <c r="C24478" s="36"/>
      <c r="E24478" s="1"/>
      <c r="F24478" s="1"/>
      <c r="G24478" s="1"/>
    </row>
    <row r="24479">
      <c r="B24479" s="36"/>
      <c r="C24479" s="36"/>
      <c r="E24479" s="1"/>
      <c r="F24479" s="1"/>
      <c r="G24479" s="1"/>
    </row>
    <row r="24480">
      <c r="B24480" s="36"/>
      <c r="C24480" s="36"/>
      <c r="E24480" s="1"/>
      <c r="F24480" s="1"/>
      <c r="G24480" s="1"/>
    </row>
    <row r="24481">
      <c r="B24481" s="36"/>
      <c r="C24481" s="36"/>
      <c r="E24481" s="1"/>
      <c r="F24481" s="1"/>
      <c r="G24481" s="1"/>
    </row>
    <row r="24482">
      <c r="B24482" s="36"/>
      <c r="C24482" s="36"/>
      <c r="E24482" s="1"/>
      <c r="F24482" s="1"/>
      <c r="G24482" s="1"/>
    </row>
    <row r="24483">
      <c r="B24483" s="36"/>
      <c r="C24483" s="36"/>
      <c r="E24483" s="1"/>
      <c r="F24483" s="1"/>
      <c r="G24483" s="1"/>
    </row>
    <row r="24484">
      <c r="B24484" s="36"/>
      <c r="C24484" s="36"/>
      <c r="E24484" s="1"/>
      <c r="F24484" s="1"/>
      <c r="G24484" s="1"/>
    </row>
    <row r="24485">
      <c r="B24485" s="36"/>
      <c r="C24485" s="36"/>
      <c r="E24485" s="1"/>
      <c r="F24485" s="1"/>
      <c r="G24485" s="1"/>
    </row>
    <row r="24486">
      <c r="B24486" s="36"/>
      <c r="C24486" s="36"/>
      <c r="E24486" s="1"/>
      <c r="F24486" s="1"/>
      <c r="G24486" s="1"/>
    </row>
    <row r="24487">
      <c r="B24487" s="36"/>
      <c r="C24487" s="36"/>
      <c r="E24487" s="1"/>
      <c r="F24487" s="1"/>
      <c r="G24487" s="1"/>
    </row>
    <row r="24488">
      <c r="B24488" s="36"/>
      <c r="C24488" s="36"/>
      <c r="E24488" s="1"/>
      <c r="F24488" s="1"/>
      <c r="G24488" s="1"/>
    </row>
    <row r="24489">
      <c r="B24489" s="36"/>
      <c r="C24489" s="36"/>
      <c r="E24489" s="1"/>
      <c r="F24489" s="1"/>
      <c r="G24489" s="1"/>
    </row>
    <row r="24490">
      <c r="B24490" s="36"/>
      <c r="C24490" s="36"/>
      <c r="E24490" s="1"/>
      <c r="F24490" s="1"/>
      <c r="G24490" s="1"/>
    </row>
    <row r="24491">
      <c r="B24491" s="36"/>
      <c r="C24491" s="36"/>
      <c r="E24491" s="1"/>
      <c r="F24491" s="1"/>
      <c r="G24491" s="1"/>
    </row>
    <row r="24492">
      <c r="B24492" s="36"/>
      <c r="C24492" s="36"/>
      <c r="E24492" s="1"/>
      <c r="F24492" s="1"/>
      <c r="G24492" s="1"/>
    </row>
    <row r="24493">
      <c r="B24493" s="36"/>
      <c r="C24493" s="36"/>
      <c r="E24493" s="1"/>
      <c r="F24493" s="1"/>
      <c r="G24493" s="1"/>
    </row>
    <row r="24494">
      <c r="B24494" s="36"/>
      <c r="C24494" s="36"/>
      <c r="E24494" s="1"/>
      <c r="F24494" s="1"/>
      <c r="G24494" s="1"/>
    </row>
    <row r="24495">
      <c r="B24495" s="36"/>
      <c r="C24495" s="36"/>
      <c r="E24495" s="1"/>
      <c r="F24495" s="1"/>
      <c r="G24495" s="1"/>
    </row>
    <row r="24496">
      <c r="B24496" s="36"/>
      <c r="C24496" s="36"/>
      <c r="E24496" s="1"/>
      <c r="F24496" s="1"/>
      <c r="G24496" s="1"/>
    </row>
    <row r="24497">
      <c r="B24497" s="36"/>
      <c r="C24497" s="36"/>
      <c r="E24497" s="1"/>
      <c r="F24497" s="1"/>
      <c r="G24497" s="1"/>
    </row>
    <row r="24498">
      <c r="B24498" s="36"/>
      <c r="C24498" s="36"/>
      <c r="E24498" s="1"/>
      <c r="F24498" s="1"/>
      <c r="G24498" s="1"/>
    </row>
    <row r="24499">
      <c r="B24499" s="36"/>
      <c r="C24499" s="36"/>
      <c r="E24499" s="1"/>
      <c r="F24499" s="1"/>
      <c r="G24499" s="1"/>
    </row>
    <row r="24500">
      <c r="B24500" s="36"/>
      <c r="C24500" s="36"/>
      <c r="E24500" s="1"/>
      <c r="F24500" s="1"/>
      <c r="G24500" s="1"/>
    </row>
    <row r="24501">
      <c r="B24501" s="36"/>
      <c r="C24501" s="36"/>
      <c r="E24501" s="1"/>
      <c r="F24501" s="1"/>
      <c r="G24501" s="1"/>
    </row>
    <row r="24502">
      <c r="B24502" s="36"/>
      <c r="C24502" s="36"/>
      <c r="E24502" s="1"/>
      <c r="F24502" s="1"/>
      <c r="G24502" s="1"/>
    </row>
    <row r="24503">
      <c r="B24503" s="36"/>
      <c r="C24503" s="36"/>
      <c r="E24503" s="1"/>
      <c r="F24503" s="1"/>
      <c r="G24503" s="1"/>
    </row>
    <row r="24504">
      <c r="B24504" s="36"/>
      <c r="C24504" s="36"/>
      <c r="E24504" s="1"/>
      <c r="F24504" s="1"/>
      <c r="G24504" s="1"/>
    </row>
    <row r="24505">
      <c r="B24505" s="36"/>
      <c r="C24505" s="36"/>
      <c r="E24505" s="1"/>
      <c r="F24505" s="1"/>
      <c r="G24505" s="1"/>
    </row>
    <row r="24506">
      <c r="B24506" s="36"/>
      <c r="C24506" s="36"/>
      <c r="E24506" s="1"/>
      <c r="F24506" s="1"/>
      <c r="G24506" s="1"/>
    </row>
    <row r="24507">
      <c r="B24507" s="36"/>
      <c r="C24507" s="36"/>
      <c r="E24507" s="1"/>
      <c r="F24507" s="1"/>
      <c r="G24507" s="1"/>
    </row>
    <row r="24508">
      <c r="B24508" s="36"/>
      <c r="C24508" s="36"/>
      <c r="E24508" s="1"/>
      <c r="F24508" s="1"/>
      <c r="G24508" s="1"/>
    </row>
    <row r="24509">
      <c r="B24509" s="36"/>
      <c r="C24509" s="36"/>
      <c r="E24509" s="1"/>
      <c r="F24509" s="1"/>
      <c r="G24509" s="1"/>
    </row>
    <row r="24510">
      <c r="B24510" s="36"/>
      <c r="C24510" s="36"/>
      <c r="E24510" s="1"/>
      <c r="F24510" s="1"/>
      <c r="G24510" s="1"/>
    </row>
    <row r="24511">
      <c r="B24511" s="36"/>
      <c r="C24511" s="36"/>
      <c r="E24511" s="1"/>
      <c r="F24511" s="1"/>
      <c r="G24511" s="1"/>
    </row>
    <row r="24512">
      <c r="B24512" s="36"/>
      <c r="C24512" s="36"/>
      <c r="E24512" s="1"/>
      <c r="F24512" s="1"/>
      <c r="G24512" s="1"/>
    </row>
    <row r="24513">
      <c r="B24513" s="36"/>
      <c r="C24513" s="36"/>
      <c r="E24513" s="1"/>
      <c r="F24513" s="1"/>
      <c r="G24513" s="1"/>
    </row>
    <row r="24514">
      <c r="B24514" s="36"/>
      <c r="C24514" s="36"/>
      <c r="E24514" s="1"/>
      <c r="F24514" s="1"/>
      <c r="G24514" s="1"/>
    </row>
    <row r="24515">
      <c r="B24515" s="36"/>
      <c r="C24515" s="36"/>
      <c r="E24515" s="1"/>
      <c r="F24515" s="1"/>
      <c r="G24515" s="1"/>
    </row>
    <row r="24516">
      <c r="B24516" s="36"/>
      <c r="C24516" s="36"/>
      <c r="E24516" s="1"/>
      <c r="F24516" s="1"/>
      <c r="G24516" s="1"/>
    </row>
    <row r="24517">
      <c r="B24517" s="36"/>
      <c r="C24517" s="36"/>
      <c r="E24517" s="1"/>
      <c r="F24517" s="1"/>
      <c r="G24517" s="1"/>
    </row>
    <row r="24518">
      <c r="B24518" s="36"/>
      <c r="C24518" s="36"/>
      <c r="E24518" s="1"/>
      <c r="F24518" s="1"/>
      <c r="G24518" s="1"/>
    </row>
    <row r="24519">
      <c r="B24519" s="36"/>
      <c r="C24519" s="36"/>
      <c r="E24519" s="1"/>
      <c r="F24519" s="1"/>
      <c r="G24519" s="1"/>
    </row>
    <row r="24520">
      <c r="B24520" s="36"/>
      <c r="C24520" s="36"/>
      <c r="E24520" s="1"/>
      <c r="F24520" s="1"/>
      <c r="G24520" s="1"/>
    </row>
    <row r="24521">
      <c r="B24521" s="36"/>
      <c r="C24521" s="36"/>
      <c r="E24521" s="1"/>
      <c r="F24521" s="1"/>
      <c r="G24521" s="1"/>
    </row>
    <row r="24522">
      <c r="B24522" s="36"/>
      <c r="C24522" s="36"/>
      <c r="E24522" s="1"/>
      <c r="F24522" s="1"/>
      <c r="G24522" s="1"/>
    </row>
    <row r="24523">
      <c r="B24523" s="36"/>
      <c r="C24523" s="36"/>
      <c r="E24523" s="1"/>
      <c r="F24523" s="1"/>
      <c r="G24523" s="1"/>
    </row>
    <row r="24524">
      <c r="B24524" s="36"/>
      <c r="C24524" s="36"/>
      <c r="E24524" s="1"/>
      <c r="F24524" s="1"/>
      <c r="G24524" s="1"/>
    </row>
    <row r="24525">
      <c r="B24525" s="36"/>
      <c r="C24525" s="36"/>
      <c r="E24525" s="1"/>
      <c r="F24525" s="1"/>
      <c r="G24525" s="1"/>
    </row>
    <row r="24526">
      <c r="B24526" s="36"/>
      <c r="C24526" s="36"/>
      <c r="E24526" s="1"/>
      <c r="F24526" s="1"/>
      <c r="G24526" s="1"/>
    </row>
    <row r="24527">
      <c r="B24527" s="36"/>
      <c r="C24527" s="36"/>
      <c r="E24527" s="1"/>
      <c r="F24527" s="1"/>
      <c r="G24527" s="1"/>
    </row>
    <row r="24528">
      <c r="B24528" s="36"/>
      <c r="C24528" s="36"/>
      <c r="E24528" s="1"/>
      <c r="F24528" s="1"/>
      <c r="G24528" s="1"/>
    </row>
    <row r="24529">
      <c r="B24529" s="36"/>
      <c r="C24529" s="36"/>
      <c r="E24529" s="1"/>
      <c r="F24529" s="1"/>
      <c r="G24529" s="1"/>
    </row>
    <row r="24530">
      <c r="B24530" s="36"/>
      <c r="C24530" s="36"/>
      <c r="E24530" s="1"/>
      <c r="F24530" s="1"/>
      <c r="G24530" s="1"/>
    </row>
    <row r="24531">
      <c r="B24531" s="36"/>
      <c r="C24531" s="36"/>
      <c r="E24531" s="1"/>
      <c r="F24531" s="1"/>
      <c r="G24531" s="1"/>
    </row>
    <row r="24532">
      <c r="B24532" s="36"/>
      <c r="C24532" s="36"/>
      <c r="E24532" s="1"/>
      <c r="F24532" s="1"/>
      <c r="G24532" s="1"/>
    </row>
    <row r="24533">
      <c r="B24533" s="36"/>
      <c r="C24533" s="36"/>
      <c r="E24533" s="1"/>
      <c r="F24533" s="1"/>
      <c r="G24533" s="1"/>
    </row>
    <row r="24534">
      <c r="B24534" s="36"/>
      <c r="C24534" s="36"/>
      <c r="E24534" s="1"/>
      <c r="F24534" s="1"/>
      <c r="G24534" s="1"/>
    </row>
    <row r="24535">
      <c r="B24535" s="36"/>
      <c r="C24535" s="36"/>
      <c r="E24535" s="1"/>
      <c r="F24535" s="1"/>
      <c r="G24535" s="1"/>
    </row>
    <row r="24536">
      <c r="B24536" s="36"/>
      <c r="C24536" s="36"/>
      <c r="E24536" s="1"/>
      <c r="F24536" s="1"/>
      <c r="G24536" s="1"/>
    </row>
    <row r="24537">
      <c r="B24537" s="36"/>
      <c r="C24537" s="36"/>
      <c r="E24537" s="1"/>
      <c r="F24537" s="1"/>
      <c r="G24537" s="1"/>
    </row>
    <row r="24538">
      <c r="B24538" s="36"/>
      <c r="C24538" s="36"/>
      <c r="E24538" s="1"/>
      <c r="F24538" s="1"/>
      <c r="G24538" s="1"/>
    </row>
    <row r="24539">
      <c r="B24539" s="36"/>
      <c r="C24539" s="36"/>
      <c r="E24539" s="1"/>
      <c r="F24539" s="1"/>
      <c r="G24539" s="1"/>
    </row>
    <row r="24540">
      <c r="B24540" s="36"/>
      <c r="C24540" s="36"/>
      <c r="E24540" s="1"/>
      <c r="F24540" s="1"/>
      <c r="G24540" s="1"/>
    </row>
    <row r="24541">
      <c r="B24541" s="36"/>
      <c r="C24541" s="36"/>
      <c r="E24541" s="1"/>
      <c r="F24541" s="1"/>
      <c r="G24541" s="1"/>
    </row>
    <row r="24542">
      <c r="B24542" s="36"/>
      <c r="C24542" s="36"/>
      <c r="E24542" s="1"/>
      <c r="F24542" s="1"/>
      <c r="G24542" s="1"/>
    </row>
    <row r="24543">
      <c r="B24543" s="36"/>
      <c r="C24543" s="36"/>
      <c r="E24543" s="1"/>
      <c r="F24543" s="1"/>
      <c r="G24543" s="1"/>
    </row>
    <row r="24544">
      <c r="B24544" s="36"/>
      <c r="C24544" s="36"/>
      <c r="E24544" s="1"/>
      <c r="F24544" s="1"/>
      <c r="G24544" s="1"/>
    </row>
    <row r="24545">
      <c r="B24545" s="36"/>
      <c r="C24545" s="36"/>
      <c r="E24545" s="1"/>
      <c r="F24545" s="1"/>
      <c r="G24545" s="1"/>
    </row>
    <row r="24546">
      <c r="B24546" s="36"/>
      <c r="C24546" s="36"/>
      <c r="E24546" s="1"/>
      <c r="F24546" s="1"/>
      <c r="G24546" s="1"/>
    </row>
    <row r="24547">
      <c r="B24547" s="36"/>
      <c r="C24547" s="36"/>
      <c r="E24547" s="1"/>
      <c r="F24547" s="1"/>
      <c r="G24547" s="1"/>
    </row>
    <row r="24548">
      <c r="B24548" s="36"/>
      <c r="C24548" s="36"/>
      <c r="E24548" s="1"/>
      <c r="F24548" s="1"/>
      <c r="G24548" s="1"/>
    </row>
    <row r="24549">
      <c r="B24549" s="36"/>
      <c r="C24549" s="36"/>
      <c r="E24549" s="1"/>
      <c r="F24549" s="1"/>
      <c r="G24549" s="1"/>
    </row>
    <row r="24550">
      <c r="B24550" s="36"/>
      <c r="C24550" s="36"/>
      <c r="E24550" s="1"/>
      <c r="F24550" s="1"/>
      <c r="G24550" s="1"/>
    </row>
    <row r="24551">
      <c r="B24551" s="36"/>
      <c r="C24551" s="36"/>
      <c r="E24551" s="1"/>
      <c r="F24551" s="1"/>
      <c r="G24551" s="1"/>
    </row>
    <row r="24552">
      <c r="B24552" s="36"/>
      <c r="C24552" s="36"/>
      <c r="E24552" s="1"/>
      <c r="F24552" s="1"/>
      <c r="G24552" s="1"/>
    </row>
    <row r="24553">
      <c r="B24553" s="36"/>
      <c r="C24553" s="36"/>
      <c r="E24553" s="1"/>
      <c r="F24553" s="1"/>
      <c r="G24553" s="1"/>
    </row>
    <row r="24554">
      <c r="B24554" s="36"/>
      <c r="C24554" s="36"/>
      <c r="E24554" s="1"/>
      <c r="F24554" s="1"/>
      <c r="G24554" s="1"/>
    </row>
    <row r="24555">
      <c r="B24555" s="36"/>
      <c r="C24555" s="36"/>
      <c r="E24555" s="1"/>
      <c r="F24555" s="1"/>
      <c r="G24555" s="1"/>
    </row>
    <row r="24556">
      <c r="B24556" s="36"/>
      <c r="C24556" s="36"/>
      <c r="E24556" s="1"/>
      <c r="F24556" s="1"/>
      <c r="G24556" s="1"/>
    </row>
    <row r="24557">
      <c r="B24557" s="36"/>
      <c r="C24557" s="36"/>
      <c r="E24557" s="1"/>
      <c r="F24557" s="1"/>
      <c r="G24557" s="1"/>
    </row>
    <row r="24558">
      <c r="B24558" s="36"/>
      <c r="C24558" s="36"/>
      <c r="E24558" s="1"/>
      <c r="F24558" s="1"/>
      <c r="G24558" s="1"/>
    </row>
    <row r="24559">
      <c r="B24559" s="36"/>
      <c r="C24559" s="36"/>
      <c r="E24559" s="1"/>
      <c r="F24559" s="1"/>
      <c r="G24559" s="1"/>
    </row>
    <row r="24560">
      <c r="B24560" s="36"/>
      <c r="C24560" s="36"/>
      <c r="E24560" s="1"/>
      <c r="F24560" s="1"/>
      <c r="G24560" s="1"/>
    </row>
    <row r="24561">
      <c r="B24561" s="36"/>
      <c r="C24561" s="36"/>
      <c r="E24561" s="1"/>
      <c r="F24561" s="1"/>
      <c r="G24561" s="1"/>
    </row>
    <row r="24562">
      <c r="B24562" s="36"/>
      <c r="C24562" s="36"/>
      <c r="E24562" s="1"/>
      <c r="F24562" s="1"/>
      <c r="G24562" s="1"/>
    </row>
    <row r="24563">
      <c r="B24563" s="36"/>
      <c r="C24563" s="36"/>
      <c r="E24563" s="1"/>
      <c r="F24563" s="1"/>
      <c r="G24563" s="1"/>
    </row>
    <row r="24564">
      <c r="B24564" s="36"/>
      <c r="C24564" s="36"/>
      <c r="E24564" s="1"/>
      <c r="F24564" s="1"/>
      <c r="G24564" s="1"/>
    </row>
    <row r="24565">
      <c r="B24565" s="36"/>
      <c r="C24565" s="36"/>
      <c r="E24565" s="1"/>
      <c r="F24565" s="1"/>
      <c r="G24565" s="1"/>
    </row>
    <row r="24566">
      <c r="B24566" s="36"/>
      <c r="C24566" s="36"/>
      <c r="E24566" s="1"/>
      <c r="F24566" s="1"/>
      <c r="G24566" s="1"/>
    </row>
    <row r="24567">
      <c r="B24567" s="36"/>
      <c r="C24567" s="36"/>
      <c r="E24567" s="1"/>
      <c r="F24567" s="1"/>
      <c r="G24567" s="1"/>
    </row>
    <row r="24568">
      <c r="B24568" s="36"/>
      <c r="C24568" s="36"/>
      <c r="E24568" s="1"/>
      <c r="F24568" s="1"/>
      <c r="G24568" s="1"/>
    </row>
    <row r="24569">
      <c r="B24569" s="36"/>
      <c r="C24569" s="36"/>
      <c r="E24569" s="1"/>
      <c r="F24569" s="1"/>
      <c r="G24569" s="1"/>
    </row>
    <row r="24570">
      <c r="B24570" s="36"/>
      <c r="C24570" s="36"/>
      <c r="E24570" s="1"/>
      <c r="F24570" s="1"/>
      <c r="G24570" s="1"/>
    </row>
    <row r="24571">
      <c r="B24571" s="36"/>
      <c r="C24571" s="36"/>
      <c r="E24571" s="1"/>
      <c r="F24571" s="1"/>
      <c r="G24571" s="1"/>
    </row>
    <row r="24572">
      <c r="B24572" s="36"/>
      <c r="C24572" s="36"/>
      <c r="E24572" s="1"/>
      <c r="F24572" s="1"/>
      <c r="G24572" s="1"/>
    </row>
    <row r="24573">
      <c r="B24573" s="36"/>
      <c r="C24573" s="36"/>
      <c r="E24573" s="1"/>
      <c r="F24573" s="1"/>
      <c r="G24573" s="1"/>
    </row>
    <row r="24574">
      <c r="B24574" s="36"/>
      <c r="C24574" s="36"/>
      <c r="E24574" s="1"/>
      <c r="F24574" s="1"/>
      <c r="G24574" s="1"/>
    </row>
    <row r="24575">
      <c r="B24575" s="36"/>
      <c r="C24575" s="36"/>
      <c r="E24575" s="1"/>
      <c r="F24575" s="1"/>
      <c r="G24575" s="1"/>
    </row>
    <row r="24576">
      <c r="B24576" s="36"/>
      <c r="C24576" s="36"/>
      <c r="E24576" s="1"/>
      <c r="F24576" s="1"/>
      <c r="G24576" s="1"/>
    </row>
    <row r="24577">
      <c r="B24577" s="36"/>
      <c r="C24577" s="36"/>
      <c r="E24577" s="1"/>
      <c r="F24577" s="1"/>
      <c r="G24577" s="1"/>
    </row>
    <row r="24578">
      <c r="B24578" s="36"/>
      <c r="C24578" s="36"/>
      <c r="E24578" s="1"/>
      <c r="F24578" s="1"/>
      <c r="G24578" s="1"/>
    </row>
    <row r="24579">
      <c r="B24579" s="36"/>
      <c r="C24579" s="36"/>
      <c r="E24579" s="1"/>
      <c r="F24579" s="1"/>
      <c r="G24579" s="1"/>
    </row>
    <row r="24580">
      <c r="B24580" s="36"/>
      <c r="C24580" s="36"/>
      <c r="E24580" s="1"/>
      <c r="F24580" s="1"/>
      <c r="G24580" s="1"/>
    </row>
    <row r="24581">
      <c r="B24581" s="36"/>
      <c r="C24581" s="36"/>
      <c r="E24581" s="1"/>
      <c r="F24581" s="1"/>
      <c r="G24581" s="1"/>
    </row>
    <row r="24582">
      <c r="B24582" s="36"/>
      <c r="C24582" s="36"/>
      <c r="E24582" s="1"/>
      <c r="F24582" s="1"/>
      <c r="G24582" s="1"/>
    </row>
    <row r="24583">
      <c r="B24583" s="36"/>
      <c r="C24583" s="36"/>
      <c r="E24583" s="1"/>
      <c r="F24583" s="1"/>
      <c r="G24583" s="1"/>
    </row>
    <row r="24584">
      <c r="B24584" s="36"/>
      <c r="C24584" s="36"/>
      <c r="E24584" s="1"/>
      <c r="F24584" s="1"/>
      <c r="G24584" s="1"/>
    </row>
    <row r="24585">
      <c r="B24585" s="36"/>
      <c r="C24585" s="36"/>
      <c r="E24585" s="1"/>
      <c r="F24585" s="1"/>
      <c r="G24585" s="1"/>
    </row>
    <row r="24586">
      <c r="B24586" s="36"/>
      <c r="C24586" s="36"/>
      <c r="E24586" s="1"/>
      <c r="F24586" s="1"/>
      <c r="G24586" s="1"/>
    </row>
    <row r="24587">
      <c r="B24587" s="36"/>
      <c r="C24587" s="36"/>
      <c r="E24587" s="1"/>
      <c r="F24587" s="1"/>
      <c r="G24587" s="1"/>
    </row>
    <row r="24588">
      <c r="B24588" s="36"/>
      <c r="C24588" s="36"/>
      <c r="E24588" s="1"/>
      <c r="F24588" s="1"/>
      <c r="G24588" s="1"/>
    </row>
    <row r="24589">
      <c r="B24589" s="36"/>
      <c r="C24589" s="36"/>
      <c r="E24589" s="1"/>
      <c r="F24589" s="1"/>
      <c r="G24589" s="1"/>
    </row>
    <row r="24590">
      <c r="B24590" s="36"/>
      <c r="C24590" s="36"/>
      <c r="E24590" s="1"/>
      <c r="F24590" s="1"/>
      <c r="G24590" s="1"/>
    </row>
    <row r="24591">
      <c r="B24591" s="36"/>
      <c r="C24591" s="36"/>
      <c r="E24591" s="1"/>
      <c r="F24591" s="1"/>
      <c r="G24591" s="1"/>
    </row>
    <row r="24592">
      <c r="B24592" s="36"/>
      <c r="C24592" s="36"/>
      <c r="E24592" s="1"/>
      <c r="F24592" s="1"/>
      <c r="G24592" s="1"/>
    </row>
    <row r="24593">
      <c r="B24593" s="36"/>
      <c r="C24593" s="36"/>
      <c r="E24593" s="1"/>
      <c r="F24593" s="1"/>
      <c r="G24593" s="1"/>
    </row>
    <row r="24594">
      <c r="B24594" s="36"/>
      <c r="C24594" s="36"/>
      <c r="E24594" s="1"/>
      <c r="F24594" s="1"/>
      <c r="G24594" s="1"/>
    </row>
    <row r="24595">
      <c r="B24595" s="36"/>
      <c r="C24595" s="36"/>
      <c r="E24595" s="1"/>
      <c r="F24595" s="1"/>
      <c r="G24595" s="1"/>
    </row>
    <row r="24596">
      <c r="B24596" s="36"/>
      <c r="C24596" s="36"/>
      <c r="E24596" s="1"/>
      <c r="F24596" s="1"/>
      <c r="G24596" s="1"/>
    </row>
    <row r="24597">
      <c r="B24597" s="36"/>
      <c r="C24597" s="36"/>
      <c r="E24597" s="1"/>
      <c r="F24597" s="1"/>
      <c r="G24597" s="1"/>
    </row>
    <row r="24598">
      <c r="B24598" s="36"/>
      <c r="C24598" s="36"/>
      <c r="E24598" s="1"/>
      <c r="F24598" s="1"/>
      <c r="G24598" s="1"/>
    </row>
    <row r="24599">
      <c r="B24599" s="36"/>
      <c r="C24599" s="36"/>
      <c r="E24599" s="1"/>
      <c r="F24599" s="1"/>
      <c r="G24599" s="1"/>
    </row>
    <row r="24600">
      <c r="B24600" s="36"/>
      <c r="C24600" s="36"/>
      <c r="E24600" s="1"/>
      <c r="F24600" s="1"/>
      <c r="G24600" s="1"/>
    </row>
    <row r="24601">
      <c r="B24601" s="36"/>
      <c r="C24601" s="36"/>
      <c r="E24601" s="1"/>
      <c r="F24601" s="1"/>
      <c r="G24601" s="1"/>
    </row>
    <row r="24602">
      <c r="B24602" s="36"/>
      <c r="C24602" s="36"/>
      <c r="E24602" s="1"/>
      <c r="F24602" s="1"/>
      <c r="G24602" s="1"/>
    </row>
    <row r="24603">
      <c r="B24603" s="36"/>
      <c r="C24603" s="36"/>
      <c r="E24603" s="1"/>
      <c r="F24603" s="1"/>
      <c r="G24603" s="1"/>
    </row>
    <row r="24604">
      <c r="B24604" s="36"/>
      <c r="C24604" s="36"/>
      <c r="E24604" s="1"/>
      <c r="F24604" s="1"/>
      <c r="G24604" s="1"/>
    </row>
    <row r="24605">
      <c r="B24605" s="36"/>
      <c r="C24605" s="36"/>
      <c r="E24605" s="1"/>
      <c r="F24605" s="1"/>
      <c r="G24605" s="1"/>
    </row>
    <row r="24606">
      <c r="B24606" s="36"/>
      <c r="C24606" s="36"/>
      <c r="E24606" s="1"/>
      <c r="F24606" s="1"/>
      <c r="G24606" s="1"/>
    </row>
    <row r="24607">
      <c r="B24607" s="36"/>
      <c r="C24607" s="36"/>
      <c r="E24607" s="1"/>
      <c r="F24607" s="1"/>
      <c r="G24607" s="1"/>
    </row>
    <row r="24608">
      <c r="B24608" s="36"/>
      <c r="C24608" s="36"/>
      <c r="E24608" s="1"/>
      <c r="F24608" s="1"/>
      <c r="G24608" s="1"/>
    </row>
    <row r="24609">
      <c r="B24609" s="36"/>
      <c r="C24609" s="36"/>
      <c r="E24609" s="1"/>
      <c r="F24609" s="1"/>
      <c r="G24609" s="1"/>
    </row>
    <row r="24610">
      <c r="B24610" s="36"/>
      <c r="C24610" s="36"/>
      <c r="E24610" s="1"/>
      <c r="F24610" s="1"/>
      <c r="G24610" s="1"/>
    </row>
    <row r="24611">
      <c r="B24611" s="36"/>
      <c r="C24611" s="36"/>
      <c r="E24611" s="1"/>
      <c r="F24611" s="1"/>
      <c r="G24611" s="1"/>
    </row>
    <row r="24612">
      <c r="B24612" s="36"/>
      <c r="C24612" s="36"/>
      <c r="E24612" s="1"/>
      <c r="F24612" s="1"/>
      <c r="G24612" s="1"/>
    </row>
    <row r="24613">
      <c r="B24613" s="36"/>
      <c r="C24613" s="36"/>
      <c r="E24613" s="1"/>
      <c r="F24613" s="1"/>
      <c r="G24613" s="1"/>
    </row>
    <row r="24614">
      <c r="B24614" s="36"/>
      <c r="C24614" s="36"/>
      <c r="E24614" s="1"/>
      <c r="F24614" s="1"/>
      <c r="G24614" s="1"/>
    </row>
    <row r="24615">
      <c r="B24615" s="36"/>
      <c r="C24615" s="36"/>
      <c r="E24615" s="1"/>
      <c r="F24615" s="1"/>
      <c r="G24615" s="1"/>
    </row>
    <row r="24616">
      <c r="B24616" s="36"/>
      <c r="C24616" s="36"/>
      <c r="E24616" s="1"/>
      <c r="F24616" s="1"/>
      <c r="G24616" s="1"/>
    </row>
    <row r="24617">
      <c r="B24617" s="36"/>
      <c r="C24617" s="36"/>
      <c r="E24617" s="1"/>
      <c r="F24617" s="1"/>
      <c r="G24617" s="1"/>
    </row>
    <row r="24618">
      <c r="B24618" s="36"/>
      <c r="C24618" s="36"/>
      <c r="E24618" s="1"/>
      <c r="F24618" s="1"/>
      <c r="G24618" s="1"/>
    </row>
    <row r="24619">
      <c r="B24619" s="36"/>
      <c r="C24619" s="36"/>
      <c r="E24619" s="1"/>
      <c r="F24619" s="1"/>
      <c r="G24619" s="1"/>
    </row>
    <row r="24620">
      <c r="B24620" s="36"/>
      <c r="C24620" s="36"/>
      <c r="E24620" s="1"/>
      <c r="F24620" s="1"/>
      <c r="G24620" s="1"/>
    </row>
    <row r="24621">
      <c r="B24621" s="36"/>
      <c r="C24621" s="36"/>
      <c r="E24621" s="1"/>
      <c r="F24621" s="1"/>
      <c r="G24621" s="1"/>
    </row>
    <row r="24622">
      <c r="B24622" s="36"/>
      <c r="C24622" s="36"/>
      <c r="E24622" s="1"/>
      <c r="F24622" s="1"/>
      <c r="G24622" s="1"/>
    </row>
    <row r="24623">
      <c r="B24623" s="36"/>
      <c r="C24623" s="36"/>
      <c r="E24623" s="1"/>
      <c r="F24623" s="1"/>
      <c r="G24623" s="1"/>
    </row>
    <row r="24624">
      <c r="B24624" s="36"/>
      <c r="C24624" s="36"/>
      <c r="E24624" s="1"/>
      <c r="F24624" s="1"/>
      <c r="G24624" s="1"/>
    </row>
    <row r="24625">
      <c r="B24625" s="36"/>
      <c r="C24625" s="36"/>
      <c r="E24625" s="1"/>
      <c r="F24625" s="1"/>
      <c r="G24625" s="1"/>
    </row>
    <row r="24626">
      <c r="B24626" s="36"/>
      <c r="C24626" s="36"/>
      <c r="E24626" s="1"/>
      <c r="F24626" s="1"/>
      <c r="G24626" s="1"/>
    </row>
    <row r="24627">
      <c r="B24627" s="36"/>
      <c r="C24627" s="36"/>
      <c r="E24627" s="1"/>
      <c r="F24627" s="1"/>
      <c r="G24627" s="1"/>
    </row>
    <row r="24628">
      <c r="B24628" s="36"/>
      <c r="C24628" s="36"/>
      <c r="E24628" s="1"/>
      <c r="F24628" s="1"/>
      <c r="G24628" s="1"/>
    </row>
    <row r="24629">
      <c r="B24629" s="36"/>
      <c r="C24629" s="36"/>
      <c r="E24629" s="1"/>
      <c r="F24629" s="1"/>
      <c r="G24629" s="1"/>
    </row>
    <row r="24630">
      <c r="B24630" s="36"/>
      <c r="C24630" s="36"/>
      <c r="E24630" s="1"/>
      <c r="F24630" s="1"/>
      <c r="G24630" s="1"/>
    </row>
    <row r="24631">
      <c r="B24631" s="36"/>
      <c r="C24631" s="36"/>
      <c r="E24631" s="1"/>
      <c r="F24631" s="1"/>
      <c r="G24631" s="1"/>
    </row>
    <row r="24632">
      <c r="B24632" s="36"/>
      <c r="C24632" s="36"/>
      <c r="E24632" s="1"/>
      <c r="F24632" s="1"/>
      <c r="G24632" s="1"/>
    </row>
    <row r="24633">
      <c r="B24633" s="36"/>
      <c r="C24633" s="36"/>
      <c r="E24633" s="1"/>
      <c r="F24633" s="1"/>
      <c r="G24633" s="1"/>
    </row>
    <row r="24634">
      <c r="B24634" s="36"/>
      <c r="C24634" s="36"/>
      <c r="E24634" s="1"/>
      <c r="F24634" s="1"/>
      <c r="G24634" s="1"/>
    </row>
    <row r="24635">
      <c r="B24635" s="36"/>
      <c r="C24635" s="36"/>
      <c r="E24635" s="1"/>
      <c r="F24635" s="1"/>
      <c r="G24635" s="1"/>
    </row>
    <row r="24636">
      <c r="B24636" s="36"/>
      <c r="C24636" s="36"/>
      <c r="E24636" s="1"/>
      <c r="F24636" s="1"/>
      <c r="G24636" s="1"/>
    </row>
    <row r="24637">
      <c r="B24637" s="36"/>
      <c r="C24637" s="36"/>
      <c r="E24637" s="1"/>
      <c r="F24637" s="1"/>
      <c r="G24637" s="1"/>
    </row>
    <row r="24638">
      <c r="B24638" s="36"/>
      <c r="C24638" s="36"/>
      <c r="E24638" s="1"/>
      <c r="F24638" s="1"/>
      <c r="G24638" s="1"/>
    </row>
    <row r="24639">
      <c r="B24639" s="36"/>
      <c r="C24639" s="36"/>
      <c r="E24639" s="1"/>
      <c r="F24639" s="1"/>
      <c r="G24639" s="1"/>
    </row>
    <row r="24640">
      <c r="B24640" s="36"/>
      <c r="C24640" s="36"/>
      <c r="E24640" s="1"/>
      <c r="F24640" s="1"/>
      <c r="G24640" s="1"/>
    </row>
    <row r="24641">
      <c r="B24641" s="36"/>
      <c r="C24641" s="36"/>
      <c r="E24641" s="1"/>
      <c r="F24641" s="1"/>
      <c r="G24641" s="1"/>
    </row>
    <row r="24642">
      <c r="B24642" s="36"/>
      <c r="C24642" s="36"/>
      <c r="E24642" s="1"/>
      <c r="F24642" s="1"/>
      <c r="G24642" s="1"/>
    </row>
    <row r="24643">
      <c r="B24643" s="36"/>
      <c r="C24643" s="36"/>
      <c r="E24643" s="1"/>
      <c r="F24643" s="1"/>
      <c r="G24643" s="1"/>
    </row>
    <row r="24644">
      <c r="B24644" s="36"/>
      <c r="C24644" s="36"/>
      <c r="E24644" s="1"/>
      <c r="F24644" s="1"/>
      <c r="G24644" s="1"/>
    </row>
    <row r="24645">
      <c r="B24645" s="36"/>
      <c r="C24645" s="36"/>
      <c r="E24645" s="1"/>
      <c r="F24645" s="1"/>
      <c r="G24645" s="1"/>
    </row>
    <row r="24646">
      <c r="B24646" s="36"/>
      <c r="C24646" s="36"/>
      <c r="E24646" s="1"/>
      <c r="F24646" s="1"/>
      <c r="G24646" s="1"/>
    </row>
    <row r="24647">
      <c r="B24647" s="36"/>
      <c r="C24647" s="36"/>
      <c r="E24647" s="1"/>
      <c r="F24647" s="1"/>
      <c r="G24647" s="1"/>
    </row>
    <row r="24648">
      <c r="B24648" s="36"/>
      <c r="C24648" s="36"/>
      <c r="E24648" s="1"/>
      <c r="F24648" s="1"/>
      <c r="G24648" s="1"/>
    </row>
    <row r="24649">
      <c r="B24649" s="36"/>
      <c r="C24649" s="36"/>
      <c r="E24649" s="1"/>
      <c r="F24649" s="1"/>
      <c r="G24649" s="1"/>
    </row>
    <row r="24650">
      <c r="B24650" s="36"/>
      <c r="C24650" s="36"/>
      <c r="E24650" s="1"/>
      <c r="F24650" s="1"/>
      <c r="G24650" s="1"/>
    </row>
    <row r="24651">
      <c r="B24651" s="36"/>
      <c r="C24651" s="36"/>
      <c r="E24651" s="1"/>
      <c r="F24651" s="1"/>
      <c r="G24651" s="1"/>
    </row>
    <row r="24652">
      <c r="B24652" s="36"/>
      <c r="C24652" s="36"/>
      <c r="E24652" s="1"/>
      <c r="F24652" s="1"/>
      <c r="G24652" s="1"/>
    </row>
    <row r="24653">
      <c r="B24653" s="36"/>
      <c r="C24653" s="36"/>
      <c r="E24653" s="1"/>
      <c r="F24653" s="1"/>
      <c r="G24653" s="1"/>
    </row>
    <row r="24654">
      <c r="B24654" s="36"/>
      <c r="C24654" s="36"/>
      <c r="E24654" s="1"/>
      <c r="F24654" s="1"/>
      <c r="G24654" s="1"/>
    </row>
    <row r="24655">
      <c r="B24655" s="36"/>
      <c r="C24655" s="36"/>
      <c r="E24655" s="1"/>
      <c r="F24655" s="1"/>
      <c r="G24655" s="1"/>
    </row>
    <row r="24656">
      <c r="B24656" s="36"/>
      <c r="C24656" s="36"/>
      <c r="E24656" s="1"/>
      <c r="F24656" s="1"/>
      <c r="G24656" s="1"/>
    </row>
    <row r="24657">
      <c r="B24657" s="36"/>
      <c r="C24657" s="36"/>
      <c r="E24657" s="1"/>
      <c r="F24657" s="1"/>
      <c r="G24657" s="1"/>
    </row>
    <row r="24658">
      <c r="B24658" s="36"/>
      <c r="C24658" s="36"/>
      <c r="E24658" s="1"/>
      <c r="F24658" s="1"/>
      <c r="G24658" s="1"/>
    </row>
    <row r="24659">
      <c r="B24659" s="36"/>
      <c r="C24659" s="36"/>
      <c r="E24659" s="1"/>
      <c r="F24659" s="1"/>
      <c r="G24659" s="1"/>
    </row>
    <row r="24660">
      <c r="B24660" s="36"/>
      <c r="C24660" s="36"/>
      <c r="E24660" s="1"/>
      <c r="F24660" s="1"/>
      <c r="G24660" s="1"/>
    </row>
    <row r="24661">
      <c r="B24661" s="36"/>
      <c r="C24661" s="36"/>
      <c r="E24661" s="1"/>
      <c r="F24661" s="1"/>
      <c r="G24661" s="1"/>
    </row>
    <row r="24662">
      <c r="B24662" s="36"/>
      <c r="C24662" s="36"/>
      <c r="E24662" s="1"/>
      <c r="F24662" s="1"/>
      <c r="G24662" s="1"/>
    </row>
    <row r="24663">
      <c r="B24663" s="36"/>
      <c r="C24663" s="36"/>
      <c r="E24663" s="1"/>
      <c r="F24663" s="1"/>
      <c r="G24663" s="1"/>
    </row>
    <row r="24664">
      <c r="B24664" s="36"/>
      <c r="C24664" s="36"/>
      <c r="E24664" s="1"/>
      <c r="F24664" s="1"/>
      <c r="G24664" s="1"/>
    </row>
    <row r="24665">
      <c r="B24665" s="36"/>
      <c r="C24665" s="36"/>
      <c r="E24665" s="1"/>
      <c r="F24665" s="1"/>
      <c r="G24665" s="1"/>
    </row>
    <row r="24666">
      <c r="B24666" s="36"/>
      <c r="C24666" s="36"/>
      <c r="E24666" s="1"/>
      <c r="F24666" s="1"/>
      <c r="G24666" s="1"/>
    </row>
    <row r="24667">
      <c r="B24667" s="36"/>
      <c r="C24667" s="36"/>
      <c r="E24667" s="1"/>
      <c r="F24667" s="1"/>
      <c r="G24667" s="1"/>
    </row>
    <row r="24668">
      <c r="B24668" s="36"/>
      <c r="C24668" s="36"/>
      <c r="E24668" s="1"/>
      <c r="F24668" s="1"/>
      <c r="G24668" s="1"/>
    </row>
    <row r="24669">
      <c r="B24669" s="36"/>
      <c r="C24669" s="36"/>
      <c r="E24669" s="1"/>
      <c r="F24669" s="1"/>
      <c r="G24669" s="1"/>
    </row>
    <row r="24670">
      <c r="B24670" s="36"/>
      <c r="C24670" s="36"/>
      <c r="E24670" s="1"/>
      <c r="F24670" s="1"/>
      <c r="G24670" s="1"/>
    </row>
    <row r="24671">
      <c r="B24671" s="36"/>
      <c r="C24671" s="36"/>
      <c r="E24671" s="1"/>
      <c r="F24671" s="1"/>
      <c r="G24671" s="1"/>
    </row>
    <row r="24672">
      <c r="B24672" s="36"/>
      <c r="C24672" s="36"/>
      <c r="E24672" s="1"/>
      <c r="F24672" s="1"/>
      <c r="G24672" s="1"/>
    </row>
    <row r="24673">
      <c r="B24673" s="36"/>
      <c r="C24673" s="36"/>
      <c r="E24673" s="1"/>
      <c r="F24673" s="1"/>
      <c r="G24673" s="1"/>
    </row>
    <row r="24674">
      <c r="B24674" s="36"/>
      <c r="C24674" s="36"/>
      <c r="E24674" s="1"/>
      <c r="F24674" s="1"/>
      <c r="G24674" s="1"/>
    </row>
    <row r="24675">
      <c r="B24675" s="36"/>
      <c r="C24675" s="36"/>
      <c r="E24675" s="1"/>
      <c r="F24675" s="1"/>
      <c r="G24675" s="1"/>
    </row>
    <row r="24676">
      <c r="B24676" s="36"/>
      <c r="C24676" s="36"/>
      <c r="E24676" s="1"/>
      <c r="F24676" s="1"/>
      <c r="G24676" s="1"/>
    </row>
    <row r="24677">
      <c r="B24677" s="36"/>
      <c r="C24677" s="36"/>
      <c r="E24677" s="1"/>
      <c r="F24677" s="1"/>
      <c r="G24677" s="1"/>
    </row>
    <row r="24678">
      <c r="B24678" s="36"/>
      <c r="C24678" s="36"/>
      <c r="E24678" s="1"/>
      <c r="F24678" s="1"/>
      <c r="G24678" s="1"/>
    </row>
    <row r="24679">
      <c r="B24679" s="36"/>
      <c r="C24679" s="36"/>
      <c r="E24679" s="1"/>
      <c r="F24679" s="1"/>
      <c r="G24679" s="1"/>
    </row>
    <row r="24680">
      <c r="B24680" s="36"/>
      <c r="C24680" s="36"/>
      <c r="E24680" s="1"/>
      <c r="F24680" s="1"/>
      <c r="G24680" s="1"/>
    </row>
    <row r="24681">
      <c r="B24681" s="36"/>
      <c r="C24681" s="36"/>
      <c r="E24681" s="1"/>
      <c r="F24681" s="1"/>
      <c r="G24681" s="1"/>
    </row>
    <row r="24682">
      <c r="B24682" s="36"/>
      <c r="C24682" s="36"/>
      <c r="E24682" s="1"/>
      <c r="F24682" s="1"/>
      <c r="G24682" s="1"/>
    </row>
    <row r="24683">
      <c r="B24683" s="36"/>
      <c r="C24683" s="36"/>
      <c r="E24683" s="1"/>
      <c r="F24683" s="1"/>
      <c r="G24683" s="1"/>
    </row>
    <row r="24684">
      <c r="B24684" s="36"/>
      <c r="C24684" s="36"/>
      <c r="E24684" s="1"/>
      <c r="F24684" s="1"/>
      <c r="G24684" s="1"/>
    </row>
    <row r="24685">
      <c r="B24685" s="36"/>
      <c r="C24685" s="36"/>
      <c r="E24685" s="1"/>
      <c r="F24685" s="1"/>
      <c r="G24685" s="1"/>
    </row>
    <row r="24686">
      <c r="B24686" s="36"/>
      <c r="C24686" s="36"/>
      <c r="E24686" s="1"/>
      <c r="F24686" s="1"/>
      <c r="G24686" s="1"/>
    </row>
    <row r="24687">
      <c r="B24687" s="36"/>
      <c r="C24687" s="36"/>
      <c r="E24687" s="1"/>
      <c r="F24687" s="1"/>
      <c r="G24687" s="1"/>
    </row>
    <row r="24688">
      <c r="B24688" s="36"/>
      <c r="C24688" s="36"/>
      <c r="E24688" s="1"/>
      <c r="F24688" s="1"/>
      <c r="G24688" s="1"/>
    </row>
    <row r="24689">
      <c r="B24689" s="36"/>
      <c r="C24689" s="36"/>
      <c r="E24689" s="1"/>
      <c r="F24689" s="1"/>
      <c r="G24689" s="1"/>
    </row>
    <row r="24690">
      <c r="B24690" s="36"/>
      <c r="C24690" s="36"/>
      <c r="E24690" s="1"/>
      <c r="F24690" s="1"/>
      <c r="G24690" s="1"/>
    </row>
    <row r="24691">
      <c r="B24691" s="36"/>
      <c r="C24691" s="36"/>
      <c r="E24691" s="1"/>
      <c r="F24691" s="1"/>
      <c r="G24691" s="1"/>
    </row>
    <row r="24692">
      <c r="B24692" s="36"/>
      <c r="C24692" s="36"/>
      <c r="E24692" s="1"/>
      <c r="F24692" s="1"/>
      <c r="G24692" s="1"/>
    </row>
    <row r="24693">
      <c r="B24693" s="36"/>
      <c r="C24693" s="36"/>
      <c r="E24693" s="1"/>
      <c r="F24693" s="1"/>
      <c r="G24693" s="1"/>
    </row>
    <row r="24694">
      <c r="B24694" s="36"/>
      <c r="C24694" s="36"/>
      <c r="E24694" s="1"/>
      <c r="F24694" s="1"/>
      <c r="G24694" s="1"/>
    </row>
    <row r="24695">
      <c r="B24695" s="36"/>
      <c r="C24695" s="36"/>
      <c r="E24695" s="1"/>
      <c r="F24695" s="1"/>
      <c r="G24695" s="1"/>
    </row>
    <row r="24696">
      <c r="B24696" s="36"/>
      <c r="C24696" s="36"/>
      <c r="E24696" s="1"/>
      <c r="F24696" s="1"/>
      <c r="G24696" s="1"/>
    </row>
    <row r="24697">
      <c r="B24697" s="36"/>
      <c r="C24697" s="36"/>
      <c r="E24697" s="1"/>
      <c r="F24697" s="1"/>
      <c r="G24697" s="1"/>
    </row>
    <row r="24698">
      <c r="B24698" s="36"/>
      <c r="C24698" s="36"/>
      <c r="E24698" s="1"/>
      <c r="F24698" s="1"/>
      <c r="G24698" s="1"/>
    </row>
    <row r="24699">
      <c r="B24699" s="36"/>
      <c r="C24699" s="36"/>
      <c r="E24699" s="1"/>
      <c r="F24699" s="1"/>
      <c r="G24699" s="1"/>
    </row>
    <row r="24700">
      <c r="B24700" s="36"/>
      <c r="C24700" s="36"/>
      <c r="E24700" s="1"/>
      <c r="F24700" s="1"/>
      <c r="G24700" s="1"/>
    </row>
    <row r="24701">
      <c r="B24701" s="36"/>
      <c r="C24701" s="36"/>
      <c r="E24701" s="1"/>
      <c r="F24701" s="1"/>
      <c r="G24701" s="1"/>
    </row>
    <row r="24702">
      <c r="B24702" s="36"/>
      <c r="C24702" s="36"/>
      <c r="E24702" s="1"/>
      <c r="F24702" s="1"/>
      <c r="G24702" s="1"/>
    </row>
    <row r="24703">
      <c r="B24703" s="36"/>
      <c r="C24703" s="36"/>
      <c r="E24703" s="1"/>
      <c r="F24703" s="1"/>
      <c r="G24703" s="1"/>
    </row>
    <row r="24704">
      <c r="B24704" s="36"/>
      <c r="C24704" s="36"/>
      <c r="E24704" s="1"/>
      <c r="F24704" s="1"/>
      <c r="G24704" s="1"/>
    </row>
    <row r="24705">
      <c r="B24705" s="36"/>
      <c r="C24705" s="36"/>
      <c r="E24705" s="1"/>
      <c r="F24705" s="1"/>
      <c r="G24705" s="1"/>
    </row>
    <row r="24706">
      <c r="B24706" s="36"/>
      <c r="C24706" s="36"/>
      <c r="E24706" s="1"/>
      <c r="F24706" s="1"/>
      <c r="G24706" s="1"/>
    </row>
    <row r="24707">
      <c r="B24707" s="36"/>
      <c r="C24707" s="36"/>
      <c r="E24707" s="1"/>
      <c r="F24707" s="1"/>
      <c r="G24707" s="1"/>
    </row>
    <row r="24708">
      <c r="B24708" s="36"/>
      <c r="C24708" s="36"/>
      <c r="E24708" s="1"/>
      <c r="F24708" s="1"/>
      <c r="G24708" s="1"/>
    </row>
    <row r="24709">
      <c r="B24709" s="36"/>
      <c r="C24709" s="36"/>
      <c r="E24709" s="1"/>
      <c r="F24709" s="1"/>
      <c r="G24709" s="1"/>
    </row>
    <row r="24710">
      <c r="B24710" s="36"/>
      <c r="C24710" s="36"/>
      <c r="E24710" s="1"/>
      <c r="F24710" s="1"/>
      <c r="G24710" s="1"/>
    </row>
    <row r="24711">
      <c r="B24711" s="36"/>
      <c r="C24711" s="36"/>
      <c r="E24711" s="1"/>
      <c r="F24711" s="1"/>
      <c r="G24711" s="1"/>
    </row>
    <row r="24712">
      <c r="B24712" s="36"/>
      <c r="C24712" s="36"/>
      <c r="E24712" s="1"/>
      <c r="F24712" s="1"/>
      <c r="G24712" s="1"/>
    </row>
    <row r="24713">
      <c r="B24713" s="36"/>
      <c r="C24713" s="36"/>
      <c r="E24713" s="1"/>
      <c r="F24713" s="1"/>
      <c r="G24713" s="1"/>
    </row>
    <row r="24714">
      <c r="B24714" s="36"/>
      <c r="C24714" s="36"/>
      <c r="E24714" s="1"/>
      <c r="F24714" s="1"/>
      <c r="G24714" s="1"/>
    </row>
    <row r="24715">
      <c r="B24715" s="36"/>
      <c r="C24715" s="36"/>
      <c r="E24715" s="1"/>
      <c r="F24715" s="1"/>
      <c r="G24715" s="1"/>
    </row>
    <row r="24716">
      <c r="B24716" s="36"/>
      <c r="C24716" s="36"/>
      <c r="E24716" s="1"/>
      <c r="F24716" s="1"/>
      <c r="G24716" s="1"/>
    </row>
    <row r="24717">
      <c r="B24717" s="36"/>
      <c r="C24717" s="36"/>
      <c r="E24717" s="1"/>
      <c r="F24717" s="1"/>
      <c r="G24717" s="1"/>
    </row>
    <row r="24718">
      <c r="B24718" s="36"/>
      <c r="C24718" s="36"/>
      <c r="E24718" s="1"/>
      <c r="F24718" s="1"/>
      <c r="G24718" s="1"/>
    </row>
    <row r="24719">
      <c r="B24719" s="36"/>
      <c r="C24719" s="36"/>
      <c r="E24719" s="1"/>
      <c r="F24719" s="1"/>
      <c r="G24719" s="1"/>
    </row>
    <row r="24720">
      <c r="B24720" s="36"/>
      <c r="C24720" s="36"/>
      <c r="E24720" s="1"/>
      <c r="F24720" s="1"/>
      <c r="G24720" s="1"/>
    </row>
    <row r="24721">
      <c r="B24721" s="36"/>
      <c r="C24721" s="36"/>
      <c r="E24721" s="1"/>
      <c r="F24721" s="1"/>
      <c r="G24721" s="1"/>
    </row>
    <row r="24722">
      <c r="B24722" s="36"/>
      <c r="C24722" s="36"/>
      <c r="E24722" s="1"/>
      <c r="F24722" s="1"/>
      <c r="G24722" s="1"/>
    </row>
    <row r="24723">
      <c r="B24723" s="36"/>
      <c r="C24723" s="36"/>
      <c r="E24723" s="1"/>
      <c r="F24723" s="1"/>
      <c r="G24723" s="1"/>
    </row>
    <row r="24724">
      <c r="B24724" s="36"/>
      <c r="C24724" s="36"/>
      <c r="E24724" s="1"/>
      <c r="F24724" s="1"/>
      <c r="G24724" s="1"/>
    </row>
    <row r="24725">
      <c r="B24725" s="36"/>
      <c r="C24725" s="36"/>
      <c r="E24725" s="1"/>
      <c r="F24725" s="1"/>
      <c r="G24725" s="1"/>
    </row>
    <row r="24726">
      <c r="B24726" s="36"/>
      <c r="C24726" s="36"/>
      <c r="E24726" s="1"/>
      <c r="F24726" s="1"/>
      <c r="G24726" s="1"/>
    </row>
    <row r="24727">
      <c r="B24727" s="36"/>
      <c r="C24727" s="36"/>
      <c r="E24727" s="1"/>
      <c r="F24727" s="1"/>
      <c r="G24727" s="1"/>
    </row>
    <row r="24728">
      <c r="B24728" s="36"/>
      <c r="C24728" s="36"/>
      <c r="E24728" s="1"/>
      <c r="F24728" s="1"/>
      <c r="G24728" s="1"/>
    </row>
    <row r="24729">
      <c r="B24729" s="36"/>
      <c r="C24729" s="36"/>
      <c r="E24729" s="1"/>
      <c r="F24729" s="1"/>
      <c r="G24729" s="1"/>
    </row>
    <row r="24730">
      <c r="B24730" s="36"/>
      <c r="C24730" s="36"/>
      <c r="E24730" s="1"/>
      <c r="F24730" s="1"/>
      <c r="G24730" s="1"/>
    </row>
    <row r="24731">
      <c r="B24731" s="36"/>
      <c r="C24731" s="36"/>
      <c r="E24731" s="1"/>
      <c r="F24731" s="1"/>
      <c r="G24731" s="1"/>
    </row>
    <row r="24732">
      <c r="B24732" s="36"/>
      <c r="C24732" s="36"/>
      <c r="E24732" s="1"/>
      <c r="F24732" s="1"/>
      <c r="G24732" s="1"/>
    </row>
    <row r="24733">
      <c r="B24733" s="36"/>
      <c r="C24733" s="36"/>
      <c r="E24733" s="1"/>
      <c r="F24733" s="1"/>
      <c r="G24733" s="1"/>
    </row>
    <row r="24734">
      <c r="B24734" s="36"/>
      <c r="C24734" s="36"/>
      <c r="E24734" s="1"/>
      <c r="F24734" s="1"/>
      <c r="G24734" s="1"/>
    </row>
    <row r="24735">
      <c r="B24735" s="36"/>
      <c r="C24735" s="36"/>
      <c r="E24735" s="1"/>
      <c r="F24735" s="1"/>
      <c r="G24735" s="1"/>
    </row>
    <row r="24736">
      <c r="B24736" s="36"/>
      <c r="C24736" s="36"/>
      <c r="E24736" s="1"/>
      <c r="F24736" s="1"/>
      <c r="G24736" s="1"/>
    </row>
    <row r="24737">
      <c r="B24737" s="36"/>
      <c r="C24737" s="36"/>
      <c r="E24737" s="1"/>
      <c r="F24737" s="1"/>
      <c r="G24737" s="1"/>
    </row>
    <row r="24738">
      <c r="B24738" s="36"/>
      <c r="C24738" s="36"/>
      <c r="E24738" s="1"/>
      <c r="F24738" s="1"/>
      <c r="G24738" s="1"/>
    </row>
    <row r="24739">
      <c r="B24739" s="36"/>
      <c r="C24739" s="36"/>
      <c r="E24739" s="1"/>
      <c r="F24739" s="1"/>
      <c r="G24739" s="1"/>
    </row>
    <row r="24740">
      <c r="B24740" s="36"/>
      <c r="C24740" s="36"/>
      <c r="E24740" s="1"/>
      <c r="F24740" s="1"/>
      <c r="G24740" s="1"/>
    </row>
    <row r="24741">
      <c r="B24741" s="36"/>
      <c r="C24741" s="36"/>
      <c r="E24741" s="1"/>
      <c r="F24741" s="1"/>
      <c r="G24741" s="1"/>
    </row>
    <row r="24742">
      <c r="B24742" s="36"/>
      <c r="C24742" s="36"/>
      <c r="E24742" s="1"/>
      <c r="F24742" s="1"/>
      <c r="G24742" s="1"/>
    </row>
    <row r="24743">
      <c r="B24743" s="36"/>
      <c r="C24743" s="36"/>
      <c r="E24743" s="1"/>
      <c r="F24743" s="1"/>
      <c r="G24743" s="1"/>
    </row>
    <row r="24744">
      <c r="B24744" s="36"/>
      <c r="C24744" s="36"/>
      <c r="E24744" s="1"/>
      <c r="F24744" s="1"/>
      <c r="G24744" s="1"/>
    </row>
    <row r="24745">
      <c r="B24745" s="36"/>
      <c r="C24745" s="36"/>
      <c r="E24745" s="1"/>
      <c r="F24745" s="1"/>
      <c r="G24745" s="1"/>
    </row>
    <row r="24746">
      <c r="B24746" s="36"/>
      <c r="C24746" s="36"/>
      <c r="E24746" s="1"/>
      <c r="F24746" s="1"/>
      <c r="G24746" s="1"/>
    </row>
    <row r="24747">
      <c r="B24747" s="36"/>
      <c r="C24747" s="36"/>
      <c r="E24747" s="1"/>
      <c r="F24747" s="1"/>
      <c r="G24747" s="1"/>
    </row>
    <row r="24748">
      <c r="B24748" s="36"/>
      <c r="C24748" s="36"/>
      <c r="E24748" s="1"/>
      <c r="F24748" s="1"/>
      <c r="G24748" s="1"/>
    </row>
    <row r="24749">
      <c r="B24749" s="36"/>
      <c r="C24749" s="36"/>
      <c r="E24749" s="1"/>
      <c r="F24749" s="1"/>
      <c r="G24749" s="1"/>
    </row>
    <row r="24750">
      <c r="B24750" s="36"/>
      <c r="C24750" s="36"/>
      <c r="E24750" s="1"/>
      <c r="F24750" s="1"/>
      <c r="G24750" s="1"/>
    </row>
    <row r="24751">
      <c r="B24751" s="36"/>
      <c r="C24751" s="36"/>
      <c r="E24751" s="1"/>
      <c r="F24751" s="1"/>
      <c r="G24751" s="1"/>
    </row>
    <row r="24752">
      <c r="B24752" s="36"/>
      <c r="C24752" s="36"/>
      <c r="E24752" s="1"/>
      <c r="F24752" s="1"/>
      <c r="G24752" s="1"/>
    </row>
    <row r="24753">
      <c r="B24753" s="36"/>
      <c r="C24753" s="36"/>
      <c r="E24753" s="1"/>
      <c r="F24753" s="1"/>
      <c r="G24753" s="1"/>
    </row>
    <row r="24754">
      <c r="B24754" s="36"/>
      <c r="C24754" s="36"/>
      <c r="E24754" s="1"/>
      <c r="F24754" s="1"/>
      <c r="G24754" s="1"/>
    </row>
    <row r="24755">
      <c r="B24755" s="36"/>
      <c r="C24755" s="36"/>
      <c r="E24755" s="1"/>
      <c r="F24755" s="1"/>
      <c r="G24755" s="1"/>
    </row>
    <row r="24756">
      <c r="B24756" s="36"/>
      <c r="C24756" s="36"/>
      <c r="E24756" s="1"/>
      <c r="F24756" s="1"/>
      <c r="G24756" s="1"/>
    </row>
    <row r="24757">
      <c r="B24757" s="36"/>
      <c r="C24757" s="36"/>
      <c r="E24757" s="1"/>
      <c r="F24757" s="1"/>
      <c r="G24757" s="1"/>
    </row>
    <row r="24758">
      <c r="B24758" s="36"/>
      <c r="C24758" s="36"/>
      <c r="E24758" s="1"/>
      <c r="F24758" s="1"/>
      <c r="G24758" s="1"/>
    </row>
    <row r="24759">
      <c r="B24759" s="36"/>
      <c r="C24759" s="36"/>
      <c r="E24759" s="1"/>
      <c r="F24759" s="1"/>
      <c r="G24759" s="1"/>
    </row>
    <row r="24760">
      <c r="B24760" s="36"/>
      <c r="C24760" s="36"/>
      <c r="E24760" s="1"/>
      <c r="F24760" s="1"/>
      <c r="G24760" s="1"/>
    </row>
    <row r="24761">
      <c r="B24761" s="36"/>
      <c r="C24761" s="36"/>
      <c r="E24761" s="1"/>
      <c r="F24761" s="1"/>
      <c r="G24761" s="1"/>
    </row>
    <row r="24762">
      <c r="B24762" s="36"/>
      <c r="C24762" s="36"/>
      <c r="E24762" s="1"/>
      <c r="F24762" s="1"/>
      <c r="G24762" s="1"/>
    </row>
    <row r="24763">
      <c r="B24763" s="36"/>
      <c r="C24763" s="36"/>
      <c r="E24763" s="1"/>
      <c r="F24763" s="1"/>
      <c r="G24763" s="1"/>
    </row>
    <row r="24764">
      <c r="B24764" s="36"/>
      <c r="C24764" s="36"/>
      <c r="E24764" s="1"/>
      <c r="F24764" s="1"/>
      <c r="G24764" s="1"/>
    </row>
    <row r="24765">
      <c r="B24765" s="36"/>
      <c r="C24765" s="36"/>
      <c r="E24765" s="1"/>
      <c r="F24765" s="1"/>
      <c r="G24765" s="1"/>
    </row>
    <row r="24766">
      <c r="B24766" s="36"/>
      <c r="C24766" s="36"/>
      <c r="E24766" s="1"/>
      <c r="F24766" s="1"/>
      <c r="G24766" s="1"/>
    </row>
    <row r="24767">
      <c r="B24767" s="36"/>
      <c r="C24767" s="36"/>
      <c r="E24767" s="1"/>
      <c r="F24767" s="1"/>
      <c r="G24767" s="1"/>
    </row>
    <row r="24768">
      <c r="B24768" s="36"/>
      <c r="C24768" s="36"/>
      <c r="E24768" s="1"/>
      <c r="F24768" s="1"/>
      <c r="G24768" s="1"/>
    </row>
    <row r="24769">
      <c r="B24769" s="36"/>
      <c r="C24769" s="36"/>
      <c r="E24769" s="1"/>
      <c r="F24769" s="1"/>
      <c r="G24769" s="1"/>
    </row>
    <row r="24770">
      <c r="B24770" s="36"/>
      <c r="C24770" s="36"/>
      <c r="E24770" s="1"/>
      <c r="F24770" s="1"/>
      <c r="G24770" s="1"/>
    </row>
    <row r="24771">
      <c r="B24771" s="36"/>
      <c r="C24771" s="36"/>
      <c r="E24771" s="1"/>
      <c r="F24771" s="1"/>
      <c r="G24771" s="1"/>
    </row>
    <row r="24772">
      <c r="B24772" s="36"/>
      <c r="C24772" s="36"/>
      <c r="E24772" s="1"/>
      <c r="F24772" s="1"/>
      <c r="G24772" s="1"/>
    </row>
    <row r="24773">
      <c r="B24773" s="36"/>
      <c r="C24773" s="36"/>
      <c r="E24773" s="1"/>
      <c r="F24773" s="1"/>
      <c r="G24773" s="1"/>
    </row>
    <row r="24774">
      <c r="B24774" s="36"/>
      <c r="C24774" s="36"/>
      <c r="E24774" s="1"/>
      <c r="F24774" s="1"/>
      <c r="G24774" s="1"/>
    </row>
    <row r="24775">
      <c r="B24775" s="36"/>
      <c r="C24775" s="36"/>
      <c r="E24775" s="1"/>
      <c r="F24775" s="1"/>
      <c r="G24775" s="1"/>
    </row>
    <row r="24776">
      <c r="B24776" s="36"/>
      <c r="C24776" s="36"/>
      <c r="E24776" s="1"/>
      <c r="F24776" s="1"/>
      <c r="G24776" s="1"/>
    </row>
    <row r="24777">
      <c r="B24777" s="36"/>
      <c r="C24777" s="36"/>
      <c r="E24777" s="1"/>
      <c r="F24777" s="1"/>
      <c r="G24777" s="1"/>
    </row>
    <row r="24778">
      <c r="B24778" s="36"/>
      <c r="C24778" s="36"/>
      <c r="E24778" s="1"/>
      <c r="F24778" s="1"/>
      <c r="G24778" s="1"/>
    </row>
    <row r="24779">
      <c r="B24779" s="36"/>
      <c r="C24779" s="36"/>
      <c r="E24779" s="1"/>
      <c r="F24779" s="1"/>
      <c r="G24779" s="1"/>
    </row>
    <row r="24780">
      <c r="B24780" s="36"/>
      <c r="C24780" s="36"/>
      <c r="E24780" s="1"/>
      <c r="F24780" s="1"/>
      <c r="G24780" s="1"/>
    </row>
    <row r="24781">
      <c r="B24781" s="36"/>
      <c r="C24781" s="36"/>
      <c r="E24781" s="1"/>
      <c r="F24781" s="1"/>
      <c r="G24781" s="1"/>
    </row>
    <row r="24782">
      <c r="B24782" s="36"/>
      <c r="C24782" s="36"/>
      <c r="E24782" s="1"/>
      <c r="F24782" s="1"/>
      <c r="G24782" s="1"/>
    </row>
    <row r="24783">
      <c r="B24783" s="36"/>
      <c r="C24783" s="36"/>
      <c r="E24783" s="1"/>
      <c r="F24783" s="1"/>
      <c r="G24783" s="1"/>
    </row>
    <row r="24784">
      <c r="B24784" s="36"/>
      <c r="C24784" s="36"/>
      <c r="E24784" s="1"/>
      <c r="F24784" s="1"/>
      <c r="G24784" s="1"/>
    </row>
    <row r="24785">
      <c r="B24785" s="36"/>
      <c r="C24785" s="36"/>
      <c r="E24785" s="1"/>
      <c r="F24785" s="1"/>
      <c r="G24785" s="1"/>
    </row>
    <row r="24786">
      <c r="B24786" s="36"/>
      <c r="C24786" s="36"/>
      <c r="E24786" s="1"/>
      <c r="F24786" s="1"/>
      <c r="G24786" s="1"/>
    </row>
    <row r="24787">
      <c r="B24787" s="36"/>
      <c r="C24787" s="36"/>
      <c r="E24787" s="1"/>
      <c r="F24787" s="1"/>
      <c r="G24787" s="1"/>
    </row>
    <row r="24788">
      <c r="B24788" s="36"/>
      <c r="C24788" s="36"/>
      <c r="E24788" s="1"/>
      <c r="F24788" s="1"/>
      <c r="G24788" s="1"/>
    </row>
    <row r="24789">
      <c r="B24789" s="36"/>
      <c r="C24789" s="36"/>
      <c r="E24789" s="1"/>
      <c r="F24789" s="1"/>
      <c r="G24789" s="1"/>
    </row>
    <row r="24790">
      <c r="B24790" s="36"/>
      <c r="C24790" s="36"/>
      <c r="E24790" s="1"/>
      <c r="F24790" s="1"/>
      <c r="G24790" s="1"/>
    </row>
    <row r="24791">
      <c r="B24791" s="36"/>
      <c r="C24791" s="36"/>
      <c r="E24791" s="1"/>
      <c r="F24791" s="1"/>
      <c r="G24791" s="1"/>
    </row>
    <row r="24792">
      <c r="B24792" s="36"/>
      <c r="C24792" s="36"/>
      <c r="E24792" s="1"/>
      <c r="F24792" s="1"/>
      <c r="G24792" s="1"/>
    </row>
    <row r="24793">
      <c r="B24793" s="36"/>
      <c r="C24793" s="36"/>
      <c r="E24793" s="1"/>
      <c r="F24793" s="1"/>
      <c r="G24793" s="1"/>
    </row>
    <row r="24794">
      <c r="B24794" s="36"/>
      <c r="C24794" s="36"/>
      <c r="E24794" s="1"/>
      <c r="F24794" s="1"/>
      <c r="G24794" s="1"/>
    </row>
    <row r="24795">
      <c r="B24795" s="36"/>
      <c r="C24795" s="36"/>
      <c r="E24795" s="1"/>
      <c r="F24795" s="1"/>
      <c r="G24795" s="1"/>
    </row>
    <row r="24796">
      <c r="B24796" s="36"/>
      <c r="C24796" s="36"/>
      <c r="E24796" s="1"/>
      <c r="F24796" s="1"/>
      <c r="G24796" s="1"/>
    </row>
    <row r="24797">
      <c r="B24797" s="36"/>
      <c r="C24797" s="36"/>
      <c r="E24797" s="1"/>
      <c r="F24797" s="1"/>
      <c r="G24797" s="1"/>
    </row>
    <row r="24798">
      <c r="B24798" s="36"/>
      <c r="C24798" s="36"/>
      <c r="E24798" s="1"/>
      <c r="F24798" s="1"/>
      <c r="G24798" s="1"/>
    </row>
    <row r="24799">
      <c r="B24799" s="36"/>
      <c r="C24799" s="36"/>
      <c r="E24799" s="1"/>
      <c r="F24799" s="1"/>
      <c r="G24799" s="1"/>
    </row>
    <row r="24800">
      <c r="B24800" s="36"/>
      <c r="C24800" s="36"/>
      <c r="E24800" s="1"/>
      <c r="F24800" s="1"/>
      <c r="G24800" s="1"/>
    </row>
    <row r="24801">
      <c r="B24801" s="36"/>
      <c r="C24801" s="36"/>
      <c r="E24801" s="1"/>
      <c r="F24801" s="1"/>
      <c r="G24801" s="1"/>
    </row>
    <row r="24802">
      <c r="B24802" s="36"/>
      <c r="C24802" s="36"/>
      <c r="E24802" s="1"/>
      <c r="F24802" s="1"/>
      <c r="G24802" s="1"/>
    </row>
    <row r="24803">
      <c r="B24803" s="36"/>
      <c r="C24803" s="36"/>
      <c r="E24803" s="1"/>
      <c r="F24803" s="1"/>
      <c r="G24803" s="1"/>
    </row>
    <row r="24804">
      <c r="B24804" s="36"/>
      <c r="C24804" s="36"/>
      <c r="E24804" s="1"/>
      <c r="F24804" s="1"/>
      <c r="G24804" s="1"/>
    </row>
    <row r="24805">
      <c r="B24805" s="36"/>
      <c r="C24805" s="36"/>
      <c r="E24805" s="1"/>
      <c r="F24805" s="1"/>
      <c r="G24805" s="1"/>
    </row>
    <row r="24806">
      <c r="B24806" s="36"/>
      <c r="C24806" s="36"/>
      <c r="E24806" s="1"/>
      <c r="F24806" s="1"/>
      <c r="G24806" s="1"/>
    </row>
    <row r="24807">
      <c r="B24807" s="36"/>
      <c r="C24807" s="36"/>
      <c r="E24807" s="1"/>
      <c r="F24807" s="1"/>
      <c r="G24807" s="1"/>
    </row>
    <row r="24808">
      <c r="B24808" s="36"/>
      <c r="C24808" s="36"/>
      <c r="E24808" s="1"/>
      <c r="F24808" s="1"/>
      <c r="G24808" s="1"/>
    </row>
    <row r="24809">
      <c r="B24809" s="36"/>
      <c r="C24809" s="36"/>
      <c r="E24809" s="1"/>
      <c r="F24809" s="1"/>
      <c r="G24809" s="1"/>
    </row>
    <row r="24810">
      <c r="B24810" s="36"/>
      <c r="C24810" s="36"/>
      <c r="E24810" s="1"/>
      <c r="F24810" s="1"/>
      <c r="G24810" s="1"/>
    </row>
    <row r="24811">
      <c r="B24811" s="36"/>
      <c r="C24811" s="36"/>
      <c r="E24811" s="1"/>
      <c r="F24811" s="1"/>
      <c r="G24811" s="1"/>
    </row>
    <row r="24812">
      <c r="B24812" s="36"/>
      <c r="C24812" s="36"/>
      <c r="E24812" s="1"/>
      <c r="F24812" s="1"/>
      <c r="G24812" s="1"/>
    </row>
    <row r="24813">
      <c r="B24813" s="36"/>
      <c r="C24813" s="36"/>
      <c r="E24813" s="1"/>
      <c r="F24813" s="1"/>
      <c r="G24813" s="1"/>
    </row>
    <row r="24814">
      <c r="B24814" s="36"/>
      <c r="C24814" s="36"/>
      <c r="E24814" s="1"/>
      <c r="F24814" s="1"/>
      <c r="G24814" s="1"/>
    </row>
    <row r="24815">
      <c r="B24815" s="36"/>
      <c r="C24815" s="36"/>
      <c r="E24815" s="1"/>
      <c r="F24815" s="1"/>
      <c r="G24815" s="1"/>
    </row>
    <row r="24816">
      <c r="B24816" s="36"/>
      <c r="C24816" s="36"/>
      <c r="E24816" s="1"/>
      <c r="F24816" s="1"/>
      <c r="G24816" s="1"/>
    </row>
    <row r="24817">
      <c r="B24817" s="36"/>
      <c r="C24817" s="36"/>
      <c r="E24817" s="1"/>
      <c r="F24817" s="1"/>
      <c r="G24817" s="1"/>
    </row>
    <row r="24818">
      <c r="B24818" s="36"/>
      <c r="C24818" s="36"/>
      <c r="E24818" s="1"/>
      <c r="F24818" s="1"/>
      <c r="G24818" s="1"/>
    </row>
    <row r="24819">
      <c r="B24819" s="36"/>
      <c r="C24819" s="36"/>
      <c r="E24819" s="1"/>
      <c r="F24819" s="1"/>
      <c r="G24819" s="1"/>
    </row>
    <row r="24820">
      <c r="B24820" s="36"/>
      <c r="C24820" s="36"/>
      <c r="E24820" s="1"/>
      <c r="F24820" s="1"/>
      <c r="G24820" s="1"/>
    </row>
    <row r="24821">
      <c r="B24821" s="36"/>
      <c r="C24821" s="36"/>
      <c r="E24821" s="1"/>
      <c r="F24821" s="1"/>
      <c r="G24821" s="1"/>
    </row>
    <row r="24822">
      <c r="B24822" s="36"/>
      <c r="C24822" s="36"/>
      <c r="E24822" s="1"/>
      <c r="F24822" s="1"/>
      <c r="G24822" s="1"/>
    </row>
    <row r="24823">
      <c r="B24823" s="36"/>
      <c r="C24823" s="36"/>
      <c r="E24823" s="1"/>
      <c r="F24823" s="1"/>
      <c r="G24823" s="1"/>
    </row>
    <row r="24824">
      <c r="B24824" s="36"/>
      <c r="C24824" s="36"/>
      <c r="E24824" s="1"/>
      <c r="F24824" s="1"/>
      <c r="G24824" s="1"/>
    </row>
    <row r="24825">
      <c r="B24825" s="36"/>
      <c r="C24825" s="36"/>
      <c r="E24825" s="1"/>
      <c r="F24825" s="1"/>
      <c r="G24825" s="1"/>
    </row>
    <row r="24826">
      <c r="B24826" s="36"/>
      <c r="C24826" s="36"/>
      <c r="E24826" s="1"/>
      <c r="F24826" s="1"/>
      <c r="G24826" s="1"/>
    </row>
    <row r="24827">
      <c r="B24827" s="36"/>
      <c r="C24827" s="36"/>
      <c r="E24827" s="1"/>
      <c r="F24827" s="1"/>
      <c r="G24827" s="1"/>
    </row>
    <row r="24828">
      <c r="B24828" s="36"/>
      <c r="C24828" s="36"/>
      <c r="E24828" s="1"/>
      <c r="F24828" s="1"/>
      <c r="G24828" s="1"/>
    </row>
    <row r="24829">
      <c r="B24829" s="36"/>
      <c r="C24829" s="36"/>
      <c r="E24829" s="1"/>
      <c r="F24829" s="1"/>
      <c r="G24829" s="1"/>
    </row>
    <row r="24830">
      <c r="B24830" s="36"/>
      <c r="C24830" s="36"/>
      <c r="E24830" s="1"/>
      <c r="F24830" s="1"/>
      <c r="G24830" s="1"/>
    </row>
    <row r="24831">
      <c r="B24831" s="36"/>
      <c r="C24831" s="36"/>
      <c r="E24831" s="1"/>
      <c r="F24831" s="1"/>
      <c r="G24831" s="1"/>
    </row>
    <row r="24832">
      <c r="B24832" s="36"/>
      <c r="C24832" s="36"/>
      <c r="E24832" s="1"/>
      <c r="F24832" s="1"/>
      <c r="G24832" s="1"/>
    </row>
    <row r="24833">
      <c r="B24833" s="36"/>
      <c r="C24833" s="36"/>
      <c r="E24833" s="1"/>
      <c r="F24833" s="1"/>
      <c r="G24833" s="1"/>
    </row>
    <row r="24834">
      <c r="B24834" s="36"/>
      <c r="C24834" s="36"/>
      <c r="E24834" s="1"/>
      <c r="F24834" s="1"/>
      <c r="G24834" s="1"/>
    </row>
    <row r="24835">
      <c r="B24835" s="36"/>
      <c r="C24835" s="36"/>
      <c r="E24835" s="1"/>
      <c r="F24835" s="1"/>
      <c r="G24835" s="1"/>
    </row>
    <row r="24836">
      <c r="B24836" s="36"/>
      <c r="C24836" s="36"/>
      <c r="E24836" s="1"/>
      <c r="F24836" s="1"/>
      <c r="G24836" s="1"/>
    </row>
    <row r="24837">
      <c r="B24837" s="36"/>
      <c r="C24837" s="36"/>
      <c r="E24837" s="1"/>
      <c r="F24837" s="1"/>
      <c r="G24837" s="1"/>
    </row>
    <row r="24838">
      <c r="B24838" s="36"/>
      <c r="C24838" s="36"/>
      <c r="E24838" s="1"/>
      <c r="F24838" s="1"/>
      <c r="G24838" s="1"/>
    </row>
    <row r="24839">
      <c r="B24839" s="36"/>
      <c r="C24839" s="36"/>
      <c r="E24839" s="1"/>
      <c r="F24839" s="1"/>
      <c r="G24839" s="1"/>
    </row>
    <row r="24840">
      <c r="B24840" s="36"/>
      <c r="C24840" s="36"/>
      <c r="E24840" s="1"/>
      <c r="F24840" s="1"/>
      <c r="G24840" s="1"/>
    </row>
    <row r="24841">
      <c r="B24841" s="36"/>
      <c r="C24841" s="36"/>
      <c r="E24841" s="1"/>
      <c r="F24841" s="1"/>
      <c r="G24841" s="1"/>
    </row>
    <row r="24842">
      <c r="B24842" s="36"/>
      <c r="C24842" s="36"/>
      <c r="E24842" s="1"/>
      <c r="F24842" s="1"/>
      <c r="G24842" s="1"/>
    </row>
    <row r="24843">
      <c r="B24843" s="36"/>
      <c r="C24843" s="36"/>
      <c r="E24843" s="1"/>
      <c r="F24843" s="1"/>
      <c r="G24843" s="1"/>
    </row>
    <row r="24844">
      <c r="B24844" s="36"/>
      <c r="C24844" s="36"/>
      <c r="E24844" s="1"/>
      <c r="F24844" s="1"/>
      <c r="G24844" s="1"/>
    </row>
    <row r="24845">
      <c r="B24845" s="36"/>
      <c r="C24845" s="36"/>
      <c r="E24845" s="1"/>
      <c r="F24845" s="1"/>
      <c r="G24845" s="1"/>
    </row>
    <row r="24846">
      <c r="B24846" s="36"/>
      <c r="C24846" s="36"/>
      <c r="E24846" s="1"/>
      <c r="F24846" s="1"/>
      <c r="G24846" s="1"/>
    </row>
    <row r="24847">
      <c r="B24847" s="36"/>
      <c r="C24847" s="36"/>
      <c r="E24847" s="1"/>
      <c r="F24847" s="1"/>
      <c r="G24847" s="1"/>
    </row>
    <row r="24848">
      <c r="B24848" s="36"/>
      <c r="C24848" s="36"/>
      <c r="E24848" s="1"/>
      <c r="F24848" s="1"/>
      <c r="G24848" s="1"/>
    </row>
    <row r="24849">
      <c r="B24849" s="36"/>
      <c r="C24849" s="36"/>
      <c r="E24849" s="1"/>
      <c r="F24849" s="1"/>
      <c r="G24849" s="1"/>
    </row>
    <row r="24850">
      <c r="B24850" s="36"/>
      <c r="C24850" s="36"/>
      <c r="E24850" s="1"/>
      <c r="F24850" s="1"/>
      <c r="G24850" s="1"/>
    </row>
    <row r="24851">
      <c r="B24851" s="36"/>
      <c r="C24851" s="36"/>
      <c r="E24851" s="1"/>
      <c r="F24851" s="1"/>
      <c r="G24851" s="1"/>
    </row>
    <row r="24852">
      <c r="B24852" s="36"/>
      <c r="C24852" s="36"/>
      <c r="E24852" s="1"/>
      <c r="F24852" s="1"/>
      <c r="G24852" s="1"/>
    </row>
    <row r="24853">
      <c r="B24853" s="36"/>
      <c r="C24853" s="36"/>
      <c r="E24853" s="1"/>
      <c r="F24853" s="1"/>
      <c r="G24853" s="1"/>
    </row>
    <row r="24854">
      <c r="B24854" s="36"/>
      <c r="C24854" s="36"/>
      <c r="E24854" s="1"/>
      <c r="F24854" s="1"/>
      <c r="G24854" s="1"/>
    </row>
    <row r="24855">
      <c r="B24855" s="36"/>
      <c r="C24855" s="36"/>
      <c r="E24855" s="1"/>
      <c r="F24855" s="1"/>
      <c r="G24855" s="1"/>
    </row>
    <row r="24856">
      <c r="B24856" s="36"/>
      <c r="C24856" s="36"/>
      <c r="E24856" s="1"/>
      <c r="F24856" s="1"/>
      <c r="G24856" s="1"/>
    </row>
    <row r="24857">
      <c r="B24857" s="36"/>
      <c r="C24857" s="36"/>
      <c r="E24857" s="1"/>
      <c r="F24857" s="1"/>
      <c r="G24857" s="1"/>
    </row>
    <row r="24858">
      <c r="B24858" s="36"/>
      <c r="C24858" s="36"/>
      <c r="E24858" s="1"/>
      <c r="F24858" s="1"/>
      <c r="G24858" s="1"/>
    </row>
    <row r="24859">
      <c r="B24859" s="36"/>
      <c r="C24859" s="36"/>
      <c r="E24859" s="1"/>
      <c r="F24859" s="1"/>
      <c r="G24859" s="1"/>
    </row>
    <row r="24860">
      <c r="B24860" s="36"/>
      <c r="C24860" s="36"/>
      <c r="E24860" s="1"/>
      <c r="F24860" s="1"/>
      <c r="G24860" s="1"/>
    </row>
    <row r="24861">
      <c r="B24861" s="36"/>
      <c r="C24861" s="36"/>
      <c r="E24861" s="1"/>
      <c r="F24861" s="1"/>
      <c r="G24861" s="1"/>
    </row>
    <row r="24862">
      <c r="B24862" s="36"/>
      <c r="C24862" s="36"/>
      <c r="E24862" s="1"/>
      <c r="F24862" s="1"/>
      <c r="G24862" s="1"/>
    </row>
    <row r="24863">
      <c r="B24863" s="36"/>
      <c r="C24863" s="36"/>
      <c r="E24863" s="1"/>
      <c r="F24863" s="1"/>
      <c r="G24863" s="1"/>
    </row>
    <row r="24864">
      <c r="B24864" s="36"/>
      <c r="C24864" s="36"/>
      <c r="E24864" s="1"/>
      <c r="F24864" s="1"/>
      <c r="G24864" s="1"/>
    </row>
    <row r="24865">
      <c r="B24865" s="36"/>
      <c r="C24865" s="36"/>
      <c r="E24865" s="1"/>
      <c r="F24865" s="1"/>
      <c r="G24865" s="1"/>
    </row>
    <row r="24866">
      <c r="B24866" s="36"/>
      <c r="C24866" s="36"/>
      <c r="E24866" s="1"/>
      <c r="F24866" s="1"/>
      <c r="G24866" s="1"/>
    </row>
    <row r="24867">
      <c r="B24867" s="36"/>
      <c r="C24867" s="36"/>
      <c r="E24867" s="1"/>
      <c r="F24867" s="1"/>
      <c r="G24867" s="1"/>
    </row>
    <row r="24868">
      <c r="B24868" s="36"/>
      <c r="C24868" s="36"/>
      <c r="E24868" s="1"/>
      <c r="F24868" s="1"/>
      <c r="G24868" s="1"/>
    </row>
    <row r="24869">
      <c r="B24869" s="36"/>
      <c r="C24869" s="36"/>
      <c r="E24869" s="1"/>
      <c r="F24869" s="1"/>
      <c r="G24869" s="1"/>
    </row>
    <row r="24870">
      <c r="B24870" s="36"/>
      <c r="C24870" s="36"/>
      <c r="E24870" s="1"/>
      <c r="F24870" s="1"/>
      <c r="G24870" s="1"/>
    </row>
    <row r="24871">
      <c r="B24871" s="36"/>
      <c r="C24871" s="36"/>
      <c r="E24871" s="1"/>
      <c r="F24871" s="1"/>
      <c r="G24871" s="1"/>
    </row>
    <row r="24872">
      <c r="B24872" s="36"/>
      <c r="C24872" s="36"/>
      <c r="E24872" s="1"/>
      <c r="F24872" s="1"/>
      <c r="G24872" s="1"/>
    </row>
    <row r="24873">
      <c r="B24873" s="36"/>
      <c r="C24873" s="36"/>
      <c r="E24873" s="1"/>
      <c r="F24873" s="1"/>
      <c r="G24873" s="1"/>
    </row>
    <row r="24874">
      <c r="B24874" s="36"/>
      <c r="C24874" s="36"/>
      <c r="E24874" s="1"/>
      <c r="F24874" s="1"/>
      <c r="G24874" s="1"/>
    </row>
    <row r="24875">
      <c r="B24875" s="36"/>
      <c r="C24875" s="36"/>
      <c r="E24875" s="1"/>
      <c r="F24875" s="1"/>
      <c r="G24875" s="1"/>
    </row>
    <row r="24876">
      <c r="B24876" s="36"/>
      <c r="C24876" s="36"/>
      <c r="E24876" s="1"/>
      <c r="F24876" s="1"/>
      <c r="G24876" s="1"/>
    </row>
    <row r="24877">
      <c r="B24877" s="36"/>
      <c r="C24877" s="36"/>
      <c r="E24877" s="1"/>
      <c r="F24877" s="1"/>
      <c r="G24877" s="1"/>
    </row>
    <row r="24878">
      <c r="B24878" s="36"/>
      <c r="C24878" s="36"/>
      <c r="E24878" s="1"/>
      <c r="F24878" s="1"/>
      <c r="G24878" s="1"/>
    </row>
    <row r="24879">
      <c r="B24879" s="36"/>
      <c r="C24879" s="36"/>
      <c r="E24879" s="1"/>
      <c r="F24879" s="1"/>
      <c r="G24879" s="1"/>
    </row>
    <row r="24880">
      <c r="B24880" s="36"/>
      <c r="C24880" s="36"/>
      <c r="E24880" s="1"/>
      <c r="F24880" s="1"/>
      <c r="G24880" s="1"/>
    </row>
    <row r="24881">
      <c r="B24881" s="36"/>
      <c r="C24881" s="36"/>
      <c r="E24881" s="1"/>
      <c r="F24881" s="1"/>
      <c r="G24881" s="1"/>
    </row>
    <row r="24882">
      <c r="B24882" s="36"/>
      <c r="C24882" s="36"/>
      <c r="E24882" s="1"/>
      <c r="F24882" s="1"/>
      <c r="G24882" s="1"/>
    </row>
    <row r="24883">
      <c r="B24883" s="36"/>
      <c r="C24883" s="36"/>
      <c r="E24883" s="1"/>
      <c r="F24883" s="1"/>
      <c r="G24883" s="1"/>
    </row>
    <row r="24884">
      <c r="B24884" s="36"/>
      <c r="C24884" s="36"/>
      <c r="E24884" s="1"/>
      <c r="F24884" s="1"/>
      <c r="G24884" s="1"/>
    </row>
    <row r="24885">
      <c r="B24885" s="36"/>
      <c r="C24885" s="36"/>
      <c r="E24885" s="1"/>
      <c r="F24885" s="1"/>
      <c r="G24885" s="1"/>
    </row>
    <row r="24886">
      <c r="B24886" s="36"/>
      <c r="C24886" s="36"/>
      <c r="E24886" s="1"/>
      <c r="F24886" s="1"/>
      <c r="G24886" s="1"/>
    </row>
    <row r="24887">
      <c r="B24887" s="36"/>
      <c r="C24887" s="36"/>
      <c r="E24887" s="1"/>
      <c r="F24887" s="1"/>
      <c r="G24887" s="1"/>
    </row>
    <row r="24888">
      <c r="B24888" s="36"/>
      <c r="C24888" s="36"/>
      <c r="E24888" s="1"/>
      <c r="F24888" s="1"/>
      <c r="G24888" s="1"/>
    </row>
    <row r="24889">
      <c r="B24889" s="36"/>
      <c r="C24889" s="36"/>
      <c r="E24889" s="1"/>
      <c r="F24889" s="1"/>
      <c r="G24889" s="1"/>
    </row>
    <row r="24890">
      <c r="B24890" s="36"/>
      <c r="C24890" s="36"/>
      <c r="E24890" s="1"/>
      <c r="F24890" s="1"/>
      <c r="G24890" s="1"/>
    </row>
    <row r="24891">
      <c r="B24891" s="36"/>
      <c r="C24891" s="36"/>
      <c r="E24891" s="1"/>
      <c r="F24891" s="1"/>
      <c r="G24891" s="1"/>
    </row>
    <row r="24892">
      <c r="B24892" s="36"/>
      <c r="C24892" s="36"/>
      <c r="E24892" s="1"/>
      <c r="F24892" s="1"/>
      <c r="G24892" s="1"/>
    </row>
    <row r="24893">
      <c r="B24893" s="36"/>
      <c r="C24893" s="36"/>
      <c r="E24893" s="1"/>
      <c r="F24893" s="1"/>
      <c r="G24893" s="1"/>
    </row>
    <row r="24894">
      <c r="B24894" s="36"/>
      <c r="C24894" s="36"/>
      <c r="E24894" s="1"/>
      <c r="F24894" s="1"/>
      <c r="G24894" s="1"/>
    </row>
    <row r="24895">
      <c r="B24895" s="36"/>
      <c r="C24895" s="36"/>
      <c r="E24895" s="1"/>
      <c r="F24895" s="1"/>
      <c r="G24895" s="1"/>
    </row>
    <row r="24896">
      <c r="B24896" s="36"/>
      <c r="C24896" s="36"/>
      <c r="E24896" s="1"/>
      <c r="F24896" s="1"/>
      <c r="G24896" s="1"/>
    </row>
    <row r="24897">
      <c r="B24897" s="36"/>
      <c r="C24897" s="36"/>
      <c r="E24897" s="1"/>
      <c r="F24897" s="1"/>
      <c r="G24897" s="1"/>
    </row>
    <row r="24898">
      <c r="B24898" s="36"/>
      <c r="C24898" s="36"/>
      <c r="E24898" s="1"/>
      <c r="F24898" s="1"/>
      <c r="G24898" s="1"/>
    </row>
    <row r="24899">
      <c r="B24899" s="36"/>
      <c r="C24899" s="36"/>
      <c r="E24899" s="1"/>
      <c r="F24899" s="1"/>
      <c r="G24899" s="1"/>
    </row>
    <row r="24900">
      <c r="B24900" s="36"/>
      <c r="C24900" s="36"/>
      <c r="E24900" s="1"/>
      <c r="F24900" s="1"/>
      <c r="G24900" s="1"/>
    </row>
    <row r="24901">
      <c r="B24901" s="36"/>
      <c r="C24901" s="36"/>
      <c r="E24901" s="1"/>
      <c r="F24901" s="1"/>
      <c r="G24901" s="1"/>
    </row>
    <row r="24902">
      <c r="B24902" s="36"/>
      <c r="C24902" s="36"/>
      <c r="E24902" s="1"/>
      <c r="F24902" s="1"/>
      <c r="G24902" s="1"/>
    </row>
    <row r="24903">
      <c r="B24903" s="36"/>
      <c r="C24903" s="36"/>
      <c r="E24903" s="1"/>
      <c r="F24903" s="1"/>
      <c r="G24903" s="1"/>
    </row>
    <row r="24904">
      <c r="B24904" s="36"/>
      <c r="C24904" s="36"/>
      <c r="E24904" s="1"/>
      <c r="F24904" s="1"/>
      <c r="G24904" s="1"/>
    </row>
    <row r="24905">
      <c r="B24905" s="36"/>
      <c r="C24905" s="36"/>
      <c r="E24905" s="1"/>
      <c r="F24905" s="1"/>
      <c r="G24905" s="1"/>
    </row>
    <row r="24906">
      <c r="B24906" s="36"/>
      <c r="C24906" s="36"/>
      <c r="E24906" s="1"/>
      <c r="F24906" s="1"/>
      <c r="G24906" s="1"/>
    </row>
    <row r="24907">
      <c r="B24907" s="36"/>
      <c r="C24907" s="36"/>
      <c r="E24907" s="1"/>
      <c r="F24907" s="1"/>
      <c r="G24907" s="1"/>
    </row>
    <row r="24908">
      <c r="B24908" s="36"/>
      <c r="C24908" s="36"/>
      <c r="E24908" s="1"/>
      <c r="F24908" s="1"/>
      <c r="G24908" s="1"/>
    </row>
    <row r="24909">
      <c r="B24909" s="36"/>
      <c r="C24909" s="36"/>
      <c r="E24909" s="1"/>
      <c r="F24909" s="1"/>
      <c r="G24909" s="1"/>
    </row>
    <row r="24910">
      <c r="B24910" s="36"/>
      <c r="C24910" s="36"/>
      <c r="E24910" s="1"/>
      <c r="F24910" s="1"/>
      <c r="G24910" s="1"/>
    </row>
    <row r="24911">
      <c r="B24911" s="36"/>
      <c r="C24911" s="36"/>
      <c r="E24911" s="1"/>
      <c r="F24911" s="1"/>
      <c r="G24911" s="1"/>
    </row>
    <row r="24912">
      <c r="B24912" s="36"/>
      <c r="C24912" s="36"/>
      <c r="E24912" s="1"/>
      <c r="F24912" s="1"/>
      <c r="G24912" s="1"/>
    </row>
    <row r="24913">
      <c r="B24913" s="36"/>
      <c r="C24913" s="36"/>
      <c r="E24913" s="1"/>
      <c r="F24913" s="1"/>
      <c r="G24913" s="1"/>
    </row>
    <row r="24914">
      <c r="B24914" s="36"/>
      <c r="C24914" s="36"/>
      <c r="E24914" s="1"/>
      <c r="F24914" s="1"/>
      <c r="G24914" s="1"/>
    </row>
    <row r="24915">
      <c r="B24915" s="36"/>
      <c r="C24915" s="36"/>
      <c r="E24915" s="1"/>
      <c r="F24915" s="1"/>
      <c r="G24915" s="1"/>
    </row>
    <row r="24916">
      <c r="B24916" s="36"/>
      <c r="C24916" s="36"/>
      <c r="E24916" s="1"/>
      <c r="F24916" s="1"/>
      <c r="G24916" s="1"/>
    </row>
    <row r="24917">
      <c r="B24917" s="36"/>
      <c r="C24917" s="36"/>
      <c r="E24917" s="1"/>
      <c r="F24917" s="1"/>
      <c r="G24917" s="1"/>
    </row>
    <row r="24918">
      <c r="B24918" s="36"/>
      <c r="C24918" s="36"/>
      <c r="E24918" s="1"/>
      <c r="F24918" s="1"/>
      <c r="G24918" s="1"/>
    </row>
    <row r="24919">
      <c r="B24919" s="36"/>
      <c r="C24919" s="36"/>
      <c r="E24919" s="1"/>
      <c r="F24919" s="1"/>
      <c r="G24919" s="1"/>
    </row>
    <row r="24920">
      <c r="B24920" s="36"/>
      <c r="C24920" s="36"/>
      <c r="E24920" s="1"/>
      <c r="F24920" s="1"/>
      <c r="G24920" s="1"/>
    </row>
    <row r="24921">
      <c r="B24921" s="36"/>
      <c r="C24921" s="36"/>
      <c r="E24921" s="1"/>
      <c r="F24921" s="1"/>
      <c r="G24921" s="1"/>
    </row>
    <row r="24922">
      <c r="B24922" s="36"/>
      <c r="C24922" s="36"/>
      <c r="E24922" s="1"/>
      <c r="F24922" s="1"/>
      <c r="G24922" s="1"/>
    </row>
    <row r="24923">
      <c r="B24923" s="36"/>
      <c r="C24923" s="36"/>
      <c r="E24923" s="1"/>
      <c r="F24923" s="1"/>
      <c r="G24923" s="1"/>
    </row>
    <row r="24924">
      <c r="B24924" s="36"/>
      <c r="C24924" s="36"/>
      <c r="E24924" s="1"/>
      <c r="F24924" s="1"/>
      <c r="G24924" s="1"/>
    </row>
    <row r="24925">
      <c r="B24925" s="36"/>
      <c r="C24925" s="36"/>
      <c r="E24925" s="1"/>
      <c r="F24925" s="1"/>
      <c r="G24925" s="1"/>
    </row>
    <row r="24926">
      <c r="B24926" s="36"/>
      <c r="C24926" s="36"/>
      <c r="E24926" s="1"/>
      <c r="F24926" s="1"/>
      <c r="G24926" s="1"/>
    </row>
    <row r="24927">
      <c r="B24927" s="36"/>
      <c r="C24927" s="36"/>
      <c r="E24927" s="1"/>
      <c r="F24927" s="1"/>
      <c r="G24927" s="1"/>
    </row>
    <row r="24928">
      <c r="B24928" s="36"/>
      <c r="C24928" s="36"/>
      <c r="E24928" s="1"/>
      <c r="F24928" s="1"/>
      <c r="G24928" s="1"/>
    </row>
    <row r="24929">
      <c r="B24929" s="36"/>
      <c r="C24929" s="36"/>
      <c r="E24929" s="1"/>
      <c r="F24929" s="1"/>
      <c r="G24929" s="1"/>
    </row>
    <row r="24930">
      <c r="B24930" s="36"/>
      <c r="C24930" s="36"/>
      <c r="E24930" s="1"/>
      <c r="F24930" s="1"/>
      <c r="G24930" s="1"/>
    </row>
    <row r="24931">
      <c r="B24931" s="36"/>
      <c r="C24931" s="36"/>
      <c r="E24931" s="1"/>
      <c r="F24931" s="1"/>
      <c r="G24931" s="1"/>
    </row>
    <row r="24932">
      <c r="B24932" s="36"/>
      <c r="C24932" s="36"/>
      <c r="E24932" s="1"/>
      <c r="F24932" s="1"/>
      <c r="G24932" s="1"/>
    </row>
    <row r="24933">
      <c r="B24933" s="36"/>
      <c r="C24933" s="36"/>
      <c r="E24933" s="1"/>
      <c r="F24933" s="1"/>
      <c r="G24933" s="1"/>
    </row>
    <row r="24934">
      <c r="B24934" s="36"/>
      <c r="C24934" s="36"/>
      <c r="E24934" s="1"/>
      <c r="F24934" s="1"/>
      <c r="G24934" s="1"/>
    </row>
    <row r="24935">
      <c r="B24935" s="36"/>
      <c r="C24935" s="36"/>
      <c r="E24935" s="1"/>
      <c r="F24935" s="1"/>
      <c r="G24935" s="1"/>
    </row>
    <row r="24936">
      <c r="B24936" s="36"/>
      <c r="C24936" s="36"/>
      <c r="E24936" s="1"/>
      <c r="F24936" s="1"/>
      <c r="G24936" s="1"/>
    </row>
    <row r="24937">
      <c r="B24937" s="36"/>
      <c r="C24937" s="36"/>
      <c r="E24937" s="1"/>
      <c r="F24937" s="1"/>
      <c r="G24937" s="1"/>
    </row>
    <row r="24938">
      <c r="B24938" s="36"/>
      <c r="C24938" s="36"/>
      <c r="E24938" s="1"/>
      <c r="F24938" s="1"/>
      <c r="G24938" s="1"/>
    </row>
    <row r="24939">
      <c r="B24939" s="36"/>
      <c r="C24939" s="36"/>
      <c r="E24939" s="1"/>
      <c r="F24939" s="1"/>
      <c r="G24939" s="1"/>
    </row>
    <row r="24940">
      <c r="B24940" s="36"/>
      <c r="C24940" s="36"/>
      <c r="E24940" s="1"/>
      <c r="F24940" s="1"/>
      <c r="G24940" s="1"/>
    </row>
    <row r="24941">
      <c r="B24941" s="36"/>
      <c r="C24941" s="36"/>
      <c r="E24941" s="1"/>
      <c r="F24941" s="1"/>
      <c r="G24941" s="1"/>
    </row>
    <row r="24942">
      <c r="B24942" s="36"/>
      <c r="C24942" s="36"/>
      <c r="E24942" s="1"/>
      <c r="F24942" s="1"/>
      <c r="G24942" s="1"/>
    </row>
    <row r="24943">
      <c r="B24943" s="36"/>
      <c r="C24943" s="36"/>
      <c r="E24943" s="1"/>
      <c r="F24943" s="1"/>
      <c r="G24943" s="1"/>
    </row>
    <row r="24944">
      <c r="B24944" s="36"/>
      <c r="C24944" s="36"/>
      <c r="E24944" s="1"/>
      <c r="F24944" s="1"/>
      <c r="G24944" s="1"/>
    </row>
    <row r="24945">
      <c r="B24945" s="36"/>
      <c r="C24945" s="36"/>
      <c r="E24945" s="1"/>
      <c r="F24945" s="1"/>
      <c r="G24945" s="1"/>
    </row>
    <row r="24946">
      <c r="B24946" s="36"/>
      <c r="C24946" s="36"/>
      <c r="E24946" s="1"/>
      <c r="F24946" s="1"/>
      <c r="G24946" s="1"/>
    </row>
    <row r="24947">
      <c r="B24947" s="36"/>
      <c r="C24947" s="36"/>
      <c r="E24947" s="1"/>
      <c r="F24947" s="1"/>
      <c r="G24947" s="1"/>
    </row>
    <row r="24948">
      <c r="B24948" s="36"/>
      <c r="C24948" s="36"/>
      <c r="E24948" s="1"/>
      <c r="F24948" s="1"/>
      <c r="G24948" s="1"/>
    </row>
    <row r="24949">
      <c r="B24949" s="36"/>
      <c r="C24949" s="36"/>
      <c r="E24949" s="1"/>
      <c r="F24949" s="1"/>
      <c r="G24949" s="1"/>
    </row>
    <row r="24950">
      <c r="B24950" s="36"/>
      <c r="C24950" s="36"/>
      <c r="E24950" s="1"/>
      <c r="F24950" s="1"/>
      <c r="G24950" s="1"/>
    </row>
    <row r="24951">
      <c r="B24951" s="36"/>
      <c r="C24951" s="36"/>
      <c r="E24951" s="1"/>
      <c r="F24951" s="1"/>
      <c r="G24951" s="1"/>
    </row>
    <row r="24952">
      <c r="B24952" s="36"/>
      <c r="C24952" s="36"/>
      <c r="E24952" s="1"/>
      <c r="F24952" s="1"/>
      <c r="G24952" s="1"/>
    </row>
    <row r="24953">
      <c r="B24953" s="36"/>
      <c r="C24953" s="36"/>
      <c r="E24953" s="1"/>
      <c r="F24953" s="1"/>
      <c r="G24953" s="1"/>
    </row>
    <row r="24954">
      <c r="B24954" s="36"/>
      <c r="C24954" s="36"/>
      <c r="E24954" s="1"/>
      <c r="F24954" s="1"/>
      <c r="G24954" s="1"/>
    </row>
    <row r="24955">
      <c r="B24955" s="36"/>
      <c r="C24955" s="36"/>
      <c r="E24955" s="1"/>
      <c r="F24955" s="1"/>
      <c r="G24955" s="1"/>
    </row>
    <row r="24956">
      <c r="B24956" s="36"/>
      <c r="C24956" s="36"/>
      <c r="E24956" s="1"/>
      <c r="F24956" s="1"/>
      <c r="G24956" s="1"/>
    </row>
    <row r="24957">
      <c r="B24957" s="36"/>
      <c r="C24957" s="36"/>
      <c r="E24957" s="1"/>
      <c r="F24957" s="1"/>
      <c r="G24957" s="1"/>
    </row>
    <row r="24958">
      <c r="B24958" s="36"/>
      <c r="C24958" s="36"/>
      <c r="E24958" s="1"/>
      <c r="F24958" s="1"/>
      <c r="G24958" s="1"/>
    </row>
    <row r="24959">
      <c r="B24959" s="36"/>
      <c r="C24959" s="36"/>
      <c r="E24959" s="1"/>
      <c r="F24959" s="1"/>
      <c r="G24959" s="1"/>
    </row>
    <row r="24960">
      <c r="B24960" s="36"/>
      <c r="C24960" s="36"/>
      <c r="E24960" s="1"/>
      <c r="F24960" s="1"/>
      <c r="G24960" s="1"/>
    </row>
    <row r="24961">
      <c r="B24961" s="36"/>
      <c r="C24961" s="36"/>
      <c r="E24961" s="1"/>
      <c r="F24961" s="1"/>
      <c r="G24961" s="1"/>
    </row>
    <row r="24962">
      <c r="B24962" s="36"/>
      <c r="C24962" s="36"/>
      <c r="E24962" s="1"/>
      <c r="F24962" s="1"/>
      <c r="G24962" s="1"/>
    </row>
    <row r="24963">
      <c r="B24963" s="36"/>
      <c r="C24963" s="36"/>
      <c r="E24963" s="1"/>
      <c r="F24963" s="1"/>
      <c r="G24963" s="1"/>
    </row>
    <row r="24964">
      <c r="B24964" s="36"/>
      <c r="C24964" s="36"/>
      <c r="E24964" s="1"/>
      <c r="F24964" s="1"/>
      <c r="G24964" s="1"/>
    </row>
    <row r="24965">
      <c r="B24965" s="36"/>
      <c r="C24965" s="36"/>
      <c r="E24965" s="1"/>
      <c r="F24965" s="1"/>
      <c r="G24965" s="1"/>
    </row>
    <row r="24966">
      <c r="B24966" s="36"/>
      <c r="C24966" s="36"/>
      <c r="E24966" s="1"/>
      <c r="F24966" s="1"/>
      <c r="G24966" s="1"/>
    </row>
    <row r="24967">
      <c r="B24967" s="36"/>
      <c r="C24967" s="36"/>
      <c r="E24967" s="1"/>
      <c r="F24967" s="1"/>
      <c r="G24967" s="1"/>
    </row>
    <row r="24968">
      <c r="B24968" s="36"/>
      <c r="C24968" s="36"/>
      <c r="E24968" s="1"/>
      <c r="F24968" s="1"/>
      <c r="G24968" s="1"/>
    </row>
    <row r="24969">
      <c r="B24969" s="36"/>
      <c r="C24969" s="36"/>
      <c r="E24969" s="1"/>
      <c r="F24969" s="1"/>
      <c r="G24969" s="1"/>
    </row>
    <row r="24970">
      <c r="B24970" s="36"/>
      <c r="C24970" s="36"/>
      <c r="E24970" s="1"/>
      <c r="F24970" s="1"/>
      <c r="G24970" s="1"/>
    </row>
    <row r="24971">
      <c r="B24971" s="36"/>
      <c r="C24971" s="36"/>
      <c r="E24971" s="1"/>
      <c r="F24971" s="1"/>
      <c r="G24971" s="1"/>
    </row>
    <row r="24972">
      <c r="B24972" s="36"/>
      <c r="C24972" s="36"/>
      <c r="E24972" s="1"/>
      <c r="F24972" s="1"/>
      <c r="G24972" s="1"/>
    </row>
    <row r="24973">
      <c r="B24973" s="36"/>
      <c r="C24973" s="36"/>
      <c r="E24973" s="1"/>
      <c r="F24973" s="1"/>
      <c r="G24973" s="1"/>
    </row>
    <row r="24974">
      <c r="B24974" s="36"/>
      <c r="C24974" s="36"/>
      <c r="E24974" s="1"/>
      <c r="F24974" s="1"/>
      <c r="G24974" s="1"/>
    </row>
    <row r="24975">
      <c r="B24975" s="36"/>
      <c r="C24975" s="36"/>
      <c r="E24975" s="1"/>
      <c r="F24975" s="1"/>
      <c r="G24975" s="1"/>
    </row>
    <row r="24976">
      <c r="B24976" s="36"/>
      <c r="C24976" s="36"/>
      <c r="E24976" s="1"/>
      <c r="F24976" s="1"/>
      <c r="G24976" s="1"/>
    </row>
    <row r="24977">
      <c r="B24977" s="36"/>
      <c r="C24977" s="36"/>
      <c r="E24977" s="1"/>
      <c r="F24977" s="1"/>
      <c r="G24977" s="1"/>
    </row>
    <row r="24978">
      <c r="B24978" s="36"/>
      <c r="C24978" s="36"/>
      <c r="E24978" s="1"/>
      <c r="F24978" s="1"/>
      <c r="G24978" s="1"/>
    </row>
    <row r="24979">
      <c r="B24979" s="36"/>
      <c r="C24979" s="36"/>
      <c r="E24979" s="1"/>
      <c r="F24979" s="1"/>
      <c r="G24979" s="1"/>
    </row>
    <row r="24980">
      <c r="B24980" s="36"/>
      <c r="C24980" s="36"/>
      <c r="E24980" s="1"/>
      <c r="F24980" s="1"/>
      <c r="G24980" s="1"/>
    </row>
    <row r="24981">
      <c r="B24981" s="36"/>
      <c r="C24981" s="36"/>
      <c r="E24981" s="1"/>
      <c r="F24981" s="1"/>
      <c r="G24981" s="1"/>
    </row>
    <row r="24982">
      <c r="B24982" s="36"/>
      <c r="C24982" s="36"/>
      <c r="E24982" s="1"/>
      <c r="F24982" s="1"/>
      <c r="G24982" s="1"/>
    </row>
    <row r="24983">
      <c r="B24983" s="36"/>
      <c r="C24983" s="36"/>
      <c r="E24983" s="1"/>
      <c r="F24983" s="1"/>
      <c r="G24983" s="1"/>
    </row>
    <row r="24984">
      <c r="B24984" s="36"/>
      <c r="C24984" s="36"/>
      <c r="E24984" s="1"/>
      <c r="F24984" s="1"/>
      <c r="G24984" s="1"/>
    </row>
    <row r="24985">
      <c r="B24985" s="36"/>
      <c r="C24985" s="36"/>
      <c r="E24985" s="1"/>
      <c r="F24985" s="1"/>
      <c r="G24985" s="1"/>
    </row>
    <row r="24986">
      <c r="B24986" s="36"/>
      <c r="C24986" s="36"/>
      <c r="E24986" s="1"/>
      <c r="F24986" s="1"/>
      <c r="G24986" s="1"/>
    </row>
    <row r="24987">
      <c r="B24987" s="36"/>
      <c r="C24987" s="36"/>
      <c r="E24987" s="1"/>
      <c r="F24987" s="1"/>
      <c r="G24987" s="1"/>
    </row>
    <row r="24988">
      <c r="B24988" s="36"/>
      <c r="C24988" s="36"/>
      <c r="E24988" s="1"/>
      <c r="F24988" s="1"/>
      <c r="G24988" s="1"/>
    </row>
    <row r="24989">
      <c r="B24989" s="36"/>
      <c r="C24989" s="36"/>
      <c r="E24989" s="1"/>
      <c r="F24989" s="1"/>
      <c r="G24989" s="1"/>
    </row>
    <row r="24990">
      <c r="B24990" s="36"/>
      <c r="C24990" s="36"/>
      <c r="E24990" s="1"/>
      <c r="F24990" s="1"/>
      <c r="G24990" s="1"/>
    </row>
    <row r="24991">
      <c r="B24991" s="36"/>
      <c r="C24991" s="36"/>
      <c r="E24991" s="1"/>
      <c r="F24991" s="1"/>
      <c r="G24991" s="1"/>
    </row>
    <row r="24992">
      <c r="B24992" s="36"/>
      <c r="C24992" s="36"/>
      <c r="E24992" s="1"/>
      <c r="F24992" s="1"/>
      <c r="G24992" s="1"/>
    </row>
    <row r="24993">
      <c r="B24993" s="36"/>
      <c r="C24993" s="36"/>
      <c r="E24993" s="1"/>
      <c r="F24993" s="1"/>
      <c r="G24993" s="1"/>
    </row>
    <row r="24994">
      <c r="B24994" s="36"/>
      <c r="C24994" s="36"/>
      <c r="E24994" s="1"/>
      <c r="F24994" s="1"/>
      <c r="G24994" s="1"/>
    </row>
    <row r="24995">
      <c r="B24995" s="36"/>
      <c r="C24995" s="36"/>
      <c r="E24995" s="1"/>
      <c r="F24995" s="1"/>
      <c r="G24995" s="1"/>
    </row>
    <row r="24996">
      <c r="B24996" s="36"/>
      <c r="C24996" s="36"/>
      <c r="E24996" s="1"/>
      <c r="F24996" s="1"/>
      <c r="G24996" s="1"/>
    </row>
    <row r="24997">
      <c r="B24997" s="36"/>
      <c r="C24997" s="36"/>
      <c r="E24997" s="1"/>
      <c r="F24997" s="1"/>
      <c r="G24997" s="1"/>
    </row>
    <row r="24998">
      <c r="B24998" s="36"/>
      <c r="C24998" s="36"/>
      <c r="E24998" s="1"/>
      <c r="F24998" s="1"/>
      <c r="G24998" s="1"/>
    </row>
    <row r="24999">
      <c r="B24999" s="36"/>
      <c r="C24999" s="36"/>
      <c r="E24999" s="1"/>
      <c r="F24999" s="1"/>
      <c r="G24999" s="1"/>
    </row>
    <row r="25000">
      <c r="B25000" s="36"/>
      <c r="C25000" s="36"/>
      <c r="E25000" s="1"/>
      <c r="F25000" s="1"/>
      <c r="G25000" s="1"/>
    </row>
    <row r="25001">
      <c r="B25001" s="36"/>
      <c r="C25001" s="36"/>
      <c r="E25001" s="1"/>
      <c r="F25001" s="1"/>
      <c r="G25001" s="1"/>
    </row>
    <row r="25002">
      <c r="B25002" s="36"/>
      <c r="C25002" s="36"/>
      <c r="E25002" s="1"/>
      <c r="F25002" s="1"/>
      <c r="G25002" s="1"/>
    </row>
    <row r="25003">
      <c r="B25003" s="36"/>
      <c r="C25003" s="36"/>
      <c r="E25003" s="1"/>
      <c r="F25003" s="1"/>
      <c r="G25003" s="1"/>
    </row>
    <row r="25004">
      <c r="B25004" s="36"/>
      <c r="C25004" s="36"/>
      <c r="E25004" s="1"/>
      <c r="F25004" s="1"/>
      <c r="G25004" s="1"/>
    </row>
    <row r="25005">
      <c r="B25005" s="36"/>
      <c r="C25005" s="36"/>
      <c r="E25005" s="1"/>
      <c r="F25005" s="1"/>
      <c r="G25005" s="1"/>
    </row>
    <row r="25006">
      <c r="B25006" s="36"/>
      <c r="C25006" s="36"/>
      <c r="E25006" s="1"/>
      <c r="F25006" s="1"/>
      <c r="G25006" s="1"/>
    </row>
    <row r="25007">
      <c r="B25007" s="36"/>
      <c r="C25007" s="36"/>
      <c r="E25007" s="1"/>
      <c r="F25007" s="1"/>
      <c r="G25007" s="1"/>
    </row>
    <row r="25008">
      <c r="B25008" s="36"/>
      <c r="C25008" s="36"/>
      <c r="E25008" s="1"/>
      <c r="F25008" s="1"/>
      <c r="G25008" s="1"/>
    </row>
    <row r="25009">
      <c r="B25009" s="36"/>
      <c r="C25009" s="36"/>
      <c r="E25009" s="1"/>
      <c r="F25009" s="1"/>
      <c r="G25009" s="1"/>
    </row>
    <row r="25010">
      <c r="B25010" s="36"/>
      <c r="C25010" s="36"/>
      <c r="E25010" s="1"/>
      <c r="F25010" s="1"/>
      <c r="G25010" s="1"/>
    </row>
    <row r="25011">
      <c r="B25011" s="36"/>
      <c r="C25011" s="36"/>
      <c r="E25011" s="1"/>
      <c r="F25011" s="1"/>
      <c r="G25011" s="1"/>
    </row>
    <row r="25012">
      <c r="B25012" s="36"/>
      <c r="C25012" s="36"/>
      <c r="E25012" s="1"/>
      <c r="F25012" s="1"/>
      <c r="G25012" s="1"/>
    </row>
    <row r="25013">
      <c r="B25013" s="36"/>
      <c r="C25013" s="36"/>
      <c r="E25013" s="1"/>
      <c r="F25013" s="1"/>
      <c r="G25013" s="1"/>
    </row>
    <row r="25014">
      <c r="B25014" s="36"/>
      <c r="C25014" s="36"/>
      <c r="E25014" s="1"/>
      <c r="F25014" s="1"/>
      <c r="G25014" s="1"/>
    </row>
    <row r="25015">
      <c r="B25015" s="36"/>
      <c r="C25015" s="36"/>
      <c r="E25015" s="1"/>
      <c r="F25015" s="1"/>
      <c r="G25015" s="1"/>
    </row>
    <row r="25016">
      <c r="B25016" s="36"/>
      <c r="C25016" s="36"/>
      <c r="E25016" s="1"/>
      <c r="F25016" s="1"/>
      <c r="G25016" s="1"/>
    </row>
    <row r="25017">
      <c r="B25017" s="36"/>
      <c r="C25017" s="36"/>
      <c r="E25017" s="1"/>
      <c r="F25017" s="1"/>
      <c r="G25017" s="1"/>
    </row>
    <row r="25018">
      <c r="B25018" s="36"/>
      <c r="C25018" s="36"/>
      <c r="E25018" s="1"/>
      <c r="F25018" s="1"/>
      <c r="G25018" s="1"/>
    </row>
    <row r="25019">
      <c r="B25019" s="36"/>
      <c r="C25019" s="36"/>
      <c r="E25019" s="1"/>
      <c r="F25019" s="1"/>
      <c r="G25019" s="1"/>
    </row>
    <row r="25020">
      <c r="B25020" s="36"/>
      <c r="C25020" s="36"/>
      <c r="E25020" s="1"/>
      <c r="F25020" s="1"/>
      <c r="G25020" s="1"/>
    </row>
    <row r="25021">
      <c r="B25021" s="36"/>
      <c r="C25021" s="36"/>
      <c r="E25021" s="1"/>
      <c r="F25021" s="1"/>
      <c r="G25021" s="1"/>
    </row>
    <row r="25022">
      <c r="B25022" s="36"/>
      <c r="C25022" s="36"/>
      <c r="E25022" s="1"/>
      <c r="F25022" s="1"/>
      <c r="G25022" s="1"/>
    </row>
    <row r="25023">
      <c r="B25023" s="36"/>
      <c r="C25023" s="36"/>
      <c r="E25023" s="1"/>
      <c r="F25023" s="1"/>
      <c r="G25023" s="1"/>
    </row>
    <row r="25024">
      <c r="B25024" s="36"/>
      <c r="C25024" s="36"/>
      <c r="E25024" s="1"/>
      <c r="F25024" s="1"/>
      <c r="G25024" s="1"/>
    </row>
    <row r="25025">
      <c r="B25025" s="36"/>
      <c r="C25025" s="36"/>
      <c r="E25025" s="1"/>
      <c r="F25025" s="1"/>
      <c r="G25025" s="1"/>
    </row>
    <row r="25026">
      <c r="B25026" s="36"/>
      <c r="C25026" s="36"/>
      <c r="E25026" s="1"/>
      <c r="F25026" s="1"/>
      <c r="G25026" s="1"/>
    </row>
    <row r="25027">
      <c r="B25027" s="36"/>
      <c r="C25027" s="36"/>
      <c r="E25027" s="1"/>
      <c r="F25027" s="1"/>
      <c r="G25027" s="1"/>
    </row>
    <row r="25028">
      <c r="B25028" s="36"/>
      <c r="C25028" s="36"/>
      <c r="E25028" s="1"/>
      <c r="F25028" s="1"/>
      <c r="G25028" s="1"/>
    </row>
    <row r="25029">
      <c r="B25029" s="36"/>
      <c r="C25029" s="36"/>
      <c r="E25029" s="1"/>
      <c r="F25029" s="1"/>
      <c r="G25029" s="1"/>
    </row>
    <row r="25030">
      <c r="B25030" s="36"/>
      <c r="C25030" s="36"/>
      <c r="E25030" s="1"/>
      <c r="F25030" s="1"/>
      <c r="G25030" s="1"/>
    </row>
    <row r="25031">
      <c r="B25031" s="36"/>
      <c r="C25031" s="36"/>
      <c r="E25031" s="1"/>
      <c r="F25031" s="1"/>
      <c r="G25031" s="1"/>
    </row>
    <row r="25032">
      <c r="B25032" s="36"/>
      <c r="C25032" s="36"/>
      <c r="E25032" s="1"/>
      <c r="F25032" s="1"/>
      <c r="G25032" s="1"/>
    </row>
    <row r="25033">
      <c r="B25033" s="36"/>
      <c r="C25033" s="36"/>
      <c r="E25033" s="1"/>
      <c r="F25033" s="1"/>
      <c r="G25033" s="1"/>
    </row>
    <row r="25034">
      <c r="B25034" s="36"/>
      <c r="C25034" s="36"/>
      <c r="E25034" s="1"/>
      <c r="F25034" s="1"/>
      <c r="G25034" s="1"/>
    </row>
    <row r="25035">
      <c r="B25035" s="36"/>
      <c r="C25035" s="36"/>
      <c r="E25035" s="1"/>
      <c r="F25035" s="1"/>
      <c r="G25035" s="1"/>
    </row>
    <row r="25036">
      <c r="B25036" s="36"/>
      <c r="C25036" s="36"/>
      <c r="E25036" s="1"/>
      <c r="F25036" s="1"/>
      <c r="G25036" s="1"/>
    </row>
    <row r="25037">
      <c r="B25037" s="36"/>
      <c r="C25037" s="36"/>
      <c r="E25037" s="1"/>
      <c r="F25037" s="1"/>
      <c r="G25037" s="1"/>
    </row>
    <row r="25038">
      <c r="B25038" s="36"/>
      <c r="C25038" s="36"/>
      <c r="E25038" s="1"/>
      <c r="F25038" s="1"/>
      <c r="G25038" s="1"/>
    </row>
    <row r="25039">
      <c r="B25039" s="36"/>
      <c r="C25039" s="36"/>
      <c r="E25039" s="1"/>
      <c r="F25039" s="1"/>
      <c r="G25039" s="1"/>
    </row>
    <row r="25040">
      <c r="B25040" s="36"/>
      <c r="C25040" s="36"/>
      <c r="E25040" s="1"/>
      <c r="F25040" s="1"/>
      <c r="G25040" s="1"/>
    </row>
    <row r="25041">
      <c r="B25041" s="36"/>
      <c r="C25041" s="36"/>
      <c r="E25041" s="1"/>
      <c r="F25041" s="1"/>
      <c r="G25041" s="1"/>
    </row>
    <row r="25042">
      <c r="B25042" s="36"/>
      <c r="C25042" s="36"/>
      <c r="E25042" s="1"/>
      <c r="F25042" s="1"/>
      <c r="G25042" s="1"/>
    </row>
    <row r="25043">
      <c r="B25043" s="36"/>
      <c r="C25043" s="36"/>
      <c r="E25043" s="1"/>
      <c r="F25043" s="1"/>
      <c r="G25043" s="1"/>
    </row>
    <row r="25044">
      <c r="B25044" s="36"/>
      <c r="C25044" s="36"/>
      <c r="E25044" s="1"/>
      <c r="F25044" s="1"/>
      <c r="G25044" s="1"/>
    </row>
    <row r="25045">
      <c r="B25045" s="36"/>
      <c r="C25045" s="36"/>
      <c r="E25045" s="1"/>
      <c r="F25045" s="1"/>
      <c r="G25045" s="1"/>
    </row>
    <row r="25046">
      <c r="B25046" s="36"/>
      <c r="C25046" s="36"/>
      <c r="E25046" s="1"/>
      <c r="F25046" s="1"/>
      <c r="G25046" s="1"/>
    </row>
    <row r="25047">
      <c r="B25047" s="36"/>
      <c r="C25047" s="36"/>
      <c r="E25047" s="1"/>
      <c r="F25047" s="1"/>
      <c r="G25047" s="1"/>
    </row>
    <row r="25048">
      <c r="B25048" s="36"/>
      <c r="C25048" s="36"/>
      <c r="E25048" s="1"/>
      <c r="F25048" s="1"/>
      <c r="G25048" s="1"/>
    </row>
    <row r="25049">
      <c r="B25049" s="36"/>
      <c r="C25049" s="36"/>
      <c r="E25049" s="1"/>
      <c r="F25049" s="1"/>
      <c r="G25049" s="1"/>
    </row>
    <row r="25050">
      <c r="B25050" s="36"/>
      <c r="C25050" s="36"/>
      <c r="E25050" s="1"/>
      <c r="F25050" s="1"/>
      <c r="G25050" s="1"/>
    </row>
    <row r="25051">
      <c r="B25051" s="36"/>
      <c r="C25051" s="36"/>
      <c r="E25051" s="1"/>
      <c r="F25051" s="1"/>
      <c r="G25051" s="1"/>
    </row>
    <row r="25052">
      <c r="B25052" s="36"/>
      <c r="C25052" s="36"/>
      <c r="E25052" s="1"/>
      <c r="F25052" s="1"/>
      <c r="G25052" s="1"/>
    </row>
    <row r="25053">
      <c r="B25053" s="36"/>
      <c r="C25053" s="36"/>
      <c r="E25053" s="1"/>
      <c r="F25053" s="1"/>
      <c r="G25053" s="1"/>
    </row>
    <row r="25054">
      <c r="B25054" s="36"/>
      <c r="C25054" s="36"/>
      <c r="E25054" s="1"/>
      <c r="F25054" s="1"/>
      <c r="G25054" s="1"/>
    </row>
    <row r="25055">
      <c r="B25055" s="36"/>
      <c r="C25055" s="36"/>
      <c r="E25055" s="1"/>
      <c r="F25055" s="1"/>
      <c r="G25055" s="1"/>
    </row>
    <row r="25056">
      <c r="B25056" s="36"/>
      <c r="C25056" s="36"/>
      <c r="E25056" s="1"/>
      <c r="F25056" s="1"/>
      <c r="G25056" s="1"/>
    </row>
    <row r="25057">
      <c r="B25057" s="36"/>
      <c r="C25057" s="36"/>
      <c r="E25057" s="1"/>
      <c r="F25057" s="1"/>
      <c r="G25057" s="1"/>
    </row>
    <row r="25058">
      <c r="B25058" s="36"/>
      <c r="C25058" s="36"/>
      <c r="E25058" s="1"/>
      <c r="F25058" s="1"/>
      <c r="G25058" s="1"/>
    </row>
    <row r="25059">
      <c r="B25059" s="36"/>
      <c r="C25059" s="36"/>
      <c r="E25059" s="1"/>
      <c r="F25059" s="1"/>
      <c r="G25059" s="1"/>
    </row>
    <row r="25060">
      <c r="B25060" s="36"/>
      <c r="C25060" s="36"/>
      <c r="E25060" s="1"/>
      <c r="F25060" s="1"/>
      <c r="G25060" s="1"/>
    </row>
    <row r="25061">
      <c r="B25061" s="36"/>
      <c r="C25061" s="36"/>
      <c r="E25061" s="1"/>
      <c r="F25061" s="1"/>
      <c r="G25061" s="1"/>
    </row>
    <row r="25062">
      <c r="B25062" s="36"/>
      <c r="C25062" s="36"/>
      <c r="E25062" s="1"/>
      <c r="F25062" s="1"/>
      <c r="G25062" s="1"/>
    </row>
    <row r="25063">
      <c r="B25063" s="36"/>
      <c r="C25063" s="36"/>
      <c r="E25063" s="1"/>
      <c r="F25063" s="1"/>
      <c r="G25063" s="1"/>
    </row>
    <row r="25064">
      <c r="B25064" s="36"/>
      <c r="C25064" s="36"/>
      <c r="E25064" s="1"/>
      <c r="F25064" s="1"/>
      <c r="G25064" s="1"/>
    </row>
    <row r="25065">
      <c r="B25065" s="36"/>
      <c r="C25065" s="36"/>
      <c r="E25065" s="1"/>
      <c r="F25065" s="1"/>
      <c r="G25065" s="1"/>
    </row>
    <row r="25066">
      <c r="B25066" s="36"/>
      <c r="C25066" s="36"/>
      <c r="E25066" s="1"/>
      <c r="F25066" s="1"/>
      <c r="G25066" s="1"/>
    </row>
    <row r="25067">
      <c r="B25067" s="36"/>
      <c r="C25067" s="36"/>
      <c r="E25067" s="1"/>
      <c r="F25067" s="1"/>
      <c r="G25067" s="1"/>
    </row>
    <row r="25068">
      <c r="B25068" s="36"/>
      <c r="C25068" s="36"/>
      <c r="E25068" s="1"/>
      <c r="F25068" s="1"/>
      <c r="G25068" s="1"/>
    </row>
    <row r="25069">
      <c r="B25069" s="36"/>
      <c r="C25069" s="36"/>
      <c r="E25069" s="1"/>
      <c r="F25069" s="1"/>
      <c r="G25069" s="1"/>
    </row>
    <row r="25070">
      <c r="B25070" s="36"/>
      <c r="C25070" s="36"/>
      <c r="E25070" s="1"/>
      <c r="F25070" s="1"/>
      <c r="G25070" s="1"/>
    </row>
    <row r="25071">
      <c r="B25071" s="36"/>
      <c r="C25071" s="36"/>
      <c r="E25071" s="1"/>
      <c r="F25071" s="1"/>
      <c r="G25071" s="1"/>
    </row>
    <row r="25072">
      <c r="B25072" s="36"/>
      <c r="C25072" s="36"/>
      <c r="E25072" s="1"/>
      <c r="F25072" s="1"/>
      <c r="G25072" s="1"/>
    </row>
    <row r="25073">
      <c r="B25073" s="36"/>
      <c r="C25073" s="36"/>
      <c r="E25073" s="1"/>
      <c r="F25073" s="1"/>
      <c r="G25073" s="1"/>
    </row>
    <row r="25074">
      <c r="B25074" s="36"/>
      <c r="C25074" s="36"/>
      <c r="E25074" s="1"/>
      <c r="F25074" s="1"/>
      <c r="G25074" s="1"/>
    </row>
    <row r="25075">
      <c r="B25075" s="36"/>
      <c r="C25075" s="36"/>
      <c r="E25075" s="1"/>
      <c r="F25075" s="1"/>
      <c r="G25075" s="1"/>
    </row>
    <row r="25076">
      <c r="B25076" s="36"/>
      <c r="C25076" s="36"/>
      <c r="E25076" s="1"/>
      <c r="F25076" s="1"/>
      <c r="G25076" s="1"/>
    </row>
    <row r="25077">
      <c r="B25077" s="36"/>
      <c r="C25077" s="36"/>
      <c r="E25077" s="1"/>
      <c r="F25077" s="1"/>
      <c r="G25077" s="1"/>
    </row>
    <row r="25078">
      <c r="B25078" s="36"/>
      <c r="C25078" s="36"/>
      <c r="E25078" s="1"/>
      <c r="F25078" s="1"/>
      <c r="G25078" s="1"/>
    </row>
    <row r="25079">
      <c r="B25079" s="36"/>
      <c r="C25079" s="36"/>
      <c r="E25079" s="1"/>
      <c r="F25079" s="1"/>
      <c r="G25079" s="1"/>
    </row>
    <row r="25080">
      <c r="B25080" s="36"/>
      <c r="C25080" s="36"/>
      <c r="E25080" s="1"/>
      <c r="F25080" s="1"/>
      <c r="G25080" s="1"/>
    </row>
    <row r="25081">
      <c r="B25081" s="36"/>
      <c r="C25081" s="36"/>
      <c r="E25081" s="1"/>
      <c r="F25081" s="1"/>
      <c r="G25081" s="1"/>
    </row>
    <row r="25082">
      <c r="B25082" s="36"/>
      <c r="C25082" s="36"/>
      <c r="E25082" s="1"/>
      <c r="F25082" s="1"/>
      <c r="G25082" s="1"/>
    </row>
    <row r="25083">
      <c r="B25083" s="36"/>
      <c r="C25083" s="36"/>
      <c r="E25083" s="1"/>
      <c r="F25083" s="1"/>
      <c r="G25083" s="1"/>
    </row>
    <row r="25084">
      <c r="B25084" s="36"/>
      <c r="C25084" s="36"/>
      <c r="E25084" s="1"/>
      <c r="F25084" s="1"/>
      <c r="G25084" s="1"/>
    </row>
    <row r="25085">
      <c r="B25085" s="36"/>
      <c r="C25085" s="36"/>
      <c r="E25085" s="1"/>
      <c r="F25085" s="1"/>
      <c r="G25085" s="1"/>
    </row>
    <row r="25086">
      <c r="B25086" s="36"/>
      <c r="C25086" s="36"/>
      <c r="E25086" s="1"/>
      <c r="F25086" s="1"/>
      <c r="G25086" s="1"/>
    </row>
    <row r="25087">
      <c r="B25087" s="36"/>
      <c r="C25087" s="36"/>
      <c r="E25087" s="1"/>
      <c r="F25087" s="1"/>
      <c r="G25087" s="1"/>
    </row>
    <row r="25088">
      <c r="B25088" s="36"/>
      <c r="C25088" s="36"/>
      <c r="E25088" s="1"/>
      <c r="F25088" s="1"/>
      <c r="G25088" s="1"/>
    </row>
    <row r="25089">
      <c r="B25089" s="36"/>
      <c r="C25089" s="36"/>
      <c r="E25089" s="1"/>
      <c r="F25089" s="1"/>
      <c r="G25089" s="1"/>
    </row>
    <row r="25090">
      <c r="B25090" s="36"/>
      <c r="C25090" s="36"/>
      <c r="E25090" s="1"/>
      <c r="F25090" s="1"/>
      <c r="G25090" s="1"/>
    </row>
    <row r="25091">
      <c r="B25091" s="36"/>
      <c r="C25091" s="36"/>
      <c r="E25091" s="1"/>
      <c r="F25091" s="1"/>
      <c r="G25091" s="1"/>
    </row>
    <row r="25092">
      <c r="B25092" s="36"/>
      <c r="C25092" s="36"/>
      <c r="E25092" s="1"/>
      <c r="F25092" s="1"/>
      <c r="G25092" s="1"/>
    </row>
    <row r="25093">
      <c r="B25093" s="36"/>
      <c r="C25093" s="36"/>
      <c r="E25093" s="1"/>
      <c r="F25093" s="1"/>
      <c r="G25093" s="1"/>
    </row>
    <row r="25094">
      <c r="B25094" s="36"/>
      <c r="C25094" s="36"/>
      <c r="E25094" s="1"/>
      <c r="F25094" s="1"/>
      <c r="G25094" s="1"/>
    </row>
    <row r="25095">
      <c r="B25095" s="36"/>
      <c r="C25095" s="36"/>
      <c r="E25095" s="1"/>
      <c r="F25095" s="1"/>
      <c r="G25095" s="1"/>
    </row>
    <row r="25096">
      <c r="B25096" s="36"/>
      <c r="C25096" s="36"/>
      <c r="E25096" s="1"/>
      <c r="F25096" s="1"/>
      <c r="G25096" s="1"/>
    </row>
    <row r="25097">
      <c r="B25097" s="36"/>
      <c r="C25097" s="36"/>
      <c r="E25097" s="1"/>
      <c r="F25097" s="1"/>
      <c r="G25097" s="1"/>
    </row>
    <row r="25098">
      <c r="B25098" s="36"/>
      <c r="C25098" s="36"/>
      <c r="E25098" s="1"/>
      <c r="F25098" s="1"/>
      <c r="G25098" s="1"/>
    </row>
    <row r="25099">
      <c r="B25099" s="36"/>
      <c r="C25099" s="36"/>
      <c r="E25099" s="1"/>
      <c r="F25099" s="1"/>
      <c r="G25099" s="1"/>
    </row>
    <row r="25100">
      <c r="B25100" s="36"/>
      <c r="C25100" s="36"/>
      <c r="E25100" s="1"/>
      <c r="F25100" s="1"/>
      <c r="G25100" s="1"/>
    </row>
    <row r="25101">
      <c r="B25101" s="36"/>
      <c r="C25101" s="36"/>
      <c r="E25101" s="1"/>
      <c r="F25101" s="1"/>
      <c r="G25101" s="1"/>
    </row>
    <row r="25102">
      <c r="B25102" s="36"/>
      <c r="C25102" s="36"/>
      <c r="E25102" s="1"/>
      <c r="F25102" s="1"/>
      <c r="G25102" s="1"/>
    </row>
    <row r="25103">
      <c r="B25103" s="36"/>
      <c r="C25103" s="36"/>
      <c r="E25103" s="1"/>
      <c r="F25103" s="1"/>
      <c r="G25103" s="1"/>
    </row>
    <row r="25104">
      <c r="B25104" s="36"/>
      <c r="C25104" s="36"/>
      <c r="E25104" s="1"/>
      <c r="F25104" s="1"/>
      <c r="G25104" s="1"/>
    </row>
    <row r="25105">
      <c r="B25105" s="36"/>
      <c r="C25105" s="36"/>
      <c r="E25105" s="1"/>
      <c r="F25105" s="1"/>
      <c r="G25105" s="1"/>
    </row>
    <row r="25106">
      <c r="B25106" s="36"/>
      <c r="C25106" s="36"/>
      <c r="E25106" s="1"/>
      <c r="F25106" s="1"/>
      <c r="G25106" s="1"/>
    </row>
    <row r="25107">
      <c r="B25107" s="36"/>
      <c r="C25107" s="36"/>
      <c r="E25107" s="1"/>
      <c r="F25107" s="1"/>
      <c r="G25107" s="1"/>
    </row>
    <row r="25108">
      <c r="B25108" s="36"/>
      <c r="C25108" s="36"/>
      <c r="E25108" s="1"/>
      <c r="F25108" s="1"/>
      <c r="G25108" s="1"/>
    </row>
    <row r="25109">
      <c r="B25109" s="36"/>
      <c r="C25109" s="36"/>
      <c r="E25109" s="1"/>
      <c r="F25109" s="1"/>
      <c r="G25109" s="1"/>
    </row>
    <row r="25110">
      <c r="B25110" s="36"/>
      <c r="C25110" s="36"/>
      <c r="E25110" s="1"/>
      <c r="F25110" s="1"/>
      <c r="G25110" s="1"/>
    </row>
    <row r="25111">
      <c r="B25111" s="36"/>
      <c r="C25111" s="36"/>
      <c r="E25111" s="1"/>
      <c r="F25111" s="1"/>
      <c r="G25111" s="1"/>
    </row>
    <row r="25112">
      <c r="B25112" s="36"/>
      <c r="C25112" s="36"/>
      <c r="E25112" s="1"/>
      <c r="F25112" s="1"/>
      <c r="G25112" s="1"/>
    </row>
    <row r="25113">
      <c r="B25113" s="36"/>
      <c r="C25113" s="36"/>
      <c r="E25113" s="1"/>
      <c r="F25113" s="1"/>
      <c r="G25113" s="1"/>
    </row>
    <row r="25114">
      <c r="B25114" s="36"/>
      <c r="C25114" s="36"/>
      <c r="E25114" s="1"/>
      <c r="F25114" s="1"/>
      <c r="G25114" s="1"/>
    </row>
    <row r="25115">
      <c r="B25115" s="36"/>
      <c r="C25115" s="36"/>
      <c r="E25115" s="1"/>
      <c r="F25115" s="1"/>
      <c r="G25115" s="1"/>
    </row>
    <row r="25116">
      <c r="B25116" s="36"/>
      <c r="C25116" s="36"/>
      <c r="E25116" s="1"/>
      <c r="F25116" s="1"/>
      <c r="G25116" s="1"/>
    </row>
    <row r="25117">
      <c r="B25117" s="36"/>
      <c r="C25117" s="36"/>
      <c r="E25117" s="1"/>
      <c r="F25117" s="1"/>
      <c r="G25117" s="1"/>
    </row>
    <row r="25118">
      <c r="B25118" s="36"/>
      <c r="C25118" s="36"/>
      <c r="E25118" s="1"/>
      <c r="F25118" s="1"/>
      <c r="G25118" s="1"/>
    </row>
    <row r="25119">
      <c r="B25119" s="36"/>
      <c r="C25119" s="36"/>
      <c r="E25119" s="1"/>
      <c r="F25119" s="1"/>
      <c r="G25119" s="1"/>
    </row>
    <row r="25120">
      <c r="B25120" s="36"/>
      <c r="C25120" s="36"/>
      <c r="E25120" s="1"/>
      <c r="F25120" s="1"/>
      <c r="G25120" s="1"/>
    </row>
    <row r="25121">
      <c r="B25121" s="36"/>
      <c r="C25121" s="36"/>
      <c r="E25121" s="1"/>
      <c r="F25121" s="1"/>
      <c r="G25121" s="1"/>
    </row>
    <row r="25122">
      <c r="B25122" s="36"/>
      <c r="C25122" s="36"/>
      <c r="E25122" s="1"/>
      <c r="F25122" s="1"/>
      <c r="G25122" s="1"/>
    </row>
    <row r="25123">
      <c r="B25123" s="36"/>
      <c r="C25123" s="36"/>
      <c r="E25123" s="1"/>
      <c r="F25123" s="1"/>
      <c r="G25123" s="1"/>
    </row>
    <row r="25124">
      <c r="B25124" s="36"/>
      <c r="C25124" s="36"/>
      <c r="E25124" s="1"/>
      <c r="F25124" s="1"/>
      <c r="G25124" s="1"/>
    </row>
    <row r="25125">
      <c r="B25125" s="36"/>
      <c r="C25125" s="36"/>
      <c r="E25125" s="1"/>
      <c r="F25125" s="1"/>
      <c r="G25125" s="1"/>
    </row>
    <row r="25126">
      <c r="B25126" s="36"/>
      <c r="C25126" s="36"/>
      <c r="E25126" s="1"/>
      <c r="F25126" s="1"/>
      <c r="G25126" s="1"/>
    </row>
    <row r="25127">
      <c r="B25127" s="36"/>
      <c r="C25127" s="36"/>
      <c r="E25127" s="1"/>
      <c r="F25127" s="1"/>
      <c r="G25127" s="1"/>
    </row>
    <row r="25128">
      <c r="B25128" s="36"/>
      <c r="C25128" s="36"/>
      <c r="E25128" s="1"/>
      <c r="F25128" s="1"/>
      <c r="G25128" s="1"/>
    </row>
    <row r="25129">
      <c r="B25129" s="36"/>
      <c r="C25129" s="36"/>
      <c r="E25129" s="1"/>
      <c r="F25129" s="1"/>
      <c r="G25129" s="1"/>
    </row>
    <row r="25130">
      <c r="B25130" s="36"/>
      <c r="C25130" s="36"/>
      <c r="E25130" s="1"/>
      <c r="F25130" s="1"/>
      <c r="G25130" s="1"/>
    </row>
    <row r="25131">
      <c r="B25131" s="36"/>
      <c r="C25131" s="36"/>
      <c r="E25131" s="1"/>
      <c r="F25131" s="1"/>
      <c r="G25131" s="1"/>
    </row>
    <row r="25132">
      <c r="B25132" s="36"/>
      <c r="C25132" s="36"/>
      <c r="E25132" s="1"/>
      <c r="F25132" s="1"/>
      <c r="G25132" s="1"/>
    </row>
    <row r="25133">
      <c r="B25133" s="36"/>
      <c r="C25133" s="36"/>
      <c r="E25133" s="1"/>
      <c r="F25133" s="1"/>
      <c r="G25133" s="1"/>
    </row>
    <row r="25134">
      <c r="B25134" s="36"/>
      <c r="C25134" s="36"/>
      <c r="E25134" s="1"/>
      <c r="F25134" s="1"/>
      <c r="G25134" s="1"/>
    </row>
    <row r="25135">
      <c r="B25135" s="36"/>
      <c r="C25135" s="36"/>
      <c r="E25135" s="1"/>
      <c r="F25135" s="1"/>
      <c r="G25135" s="1"/>
    </row>
    <row r="25136">
      <c r="B25136" s="36"/>
      <c r="C25136" s="36"/>
      <c r="E25136" s="1"/>
      <c r="F25136" s="1"/>
      <c r="G25136" s="1"/>
    </row>
    <row r="25137">
      <c r="B25137" s="36"/>
      <c r="C25137" s="36"/>
      <c r="E25137" s="1"/>
      <c r="F25137" s="1"/>
      <c r="G25137" s="1"/>
    </row>
    <row r="25138">
      <c r="B25138" s="36"/>
      <c r="C25138" s="36"/>
      <c r="E25138" s="1"/>
      <c r="F25138" s="1"/>
      <c r="G25138" s="1"/>
    </row>
    <row r="25139">
      <c r="B25139" s="36"/>
      <c r="C25139" s="36"/>
      <c r="E25139" s="1"/>
      <c r="F25139" s="1"/>
      <c r="G25139" s="1"/>
    </row>
    <row r="25140">
      <c r="B25140" s="36"/>
      <c r="C25140" s="36"/>
      <c r="E25140" s="1"/>
      <c r="F25140" s="1"/>
      <c r="G25140" s="1"/>
    </row>
    <row r="25141">
      <c r="B25141" s="36"/>
      <c r="C25141" s="36"/>
      <c r="E25141" s="1"/>
      <c r="F25141" s="1"/>
      <c r="G25141" s="1"/>
    </row>
    <row r="25142">
      <c r="B25142" s="36"/>
      <c r="C25142" s="36"/>
      <c r="E25142" s="1"/>
      <c r="F25142" s="1"/>
      <c r="G25142" s="1"/>
    </row>
    <row r="25143">
      <c r="B25143" s="36"/>
      <c r="C25143" s="36"/>
      <c r="E25143" s="1"/>
      <c r="F25143" s="1"/>
      <c r="G25143" s="1"/>
    </row>
    <row r="25144">
      <c r="B25144" s="36"/>
      <c r="C25144" s="36"/>
      <c r="E25144" s="1"/>
      <c r="F25144" s="1"/>
      <c r="G25144" s="1"/>
    </row>
    <row r="25145">
      <c r="B25145" s="36"/>
      <c r="C25145" s="36"/>
      <c r="E25145" s="1"/>
      <c r="F25145" s="1"/>
      <c r="G25145" s="1"/>
    </row>
    <row r="25146">
      <c r="B25146" s="36"/>
      <c r="C25146" s="36"/>
      <c r="E25146" s="1"/>
      <c r="F25146" s="1"/>
      <c r="G25146" s="1"/>
    </row>
    <row r="25147">
      <c r="B25147" s="36"/>
      <c r="C25147" s="36"/>
      <c r="E25147" s="1"/>
      <c r="F25147" s="1"/>
      <c r="G25147" s="1"/>
    </row>
    <row r="25148">
      <c r="B25148" s="36"/>
      <c r="C25148" s="36"/>
      <c r="E25148" s="1"/>
      <c r="F25148" s="1"/>
      <c r="G25148" s="1"/>
    </row>
    <row r="25149">
      <c r="B25149" s="36"/>
      <c r="C25149" s="36"/>
      <c r="E25149" s="1"/>
      <c r="F25149" s="1"/>
      <c r="G25149" s="1"/>
    </row>
    <row r="25150">
      <c r="B25150" s="36"/>
      <c r="C25150" s="36"/>
      <c r="E25150" s="1"/>
      <c r="F25150" s="1"/>
      <c r="G25150" s="1"/>
    </row>
    <row r="25151">
      <c r="B25151" s="36"/>
      <c r="C25151" s="36"/>
      <c r="E25151" s="1"/>
      <c r="F25151" s="1"/>
      <c r="G25151" s="1"/>
    </row>
    <row r="25152">
      <c r="B25152" s="36"/>
      <c r="C25152" s="36"/>
      <c r="E25152" s="1"/>
      <c r="F25152" s="1"/>
      <c r="G25152" s="1"/>
    </row>
    <row r="25153">
      <c r="B25153" s="36"/>
      <c r="C25153" s="36"/>
      <c r="E25153" s="1"/>
      <c r="F25153" s="1"/>
      <c r="G25153" s="1"/>
    </row>
    <row r="25154">
      <c r="B25154" s="36"/>
      <c r="C25154" s="36"/>
      <c r="E25154" s="1"/>
      <c r="F25154" s="1"/>
      <c r="G25154" s="1"/>
    </row>
    <row r="25155">
      <c r="B25155" s="36"/>
      <c r="C25155" s="36"/>
      <c r="E25155" s="1"/>
      <c r="F25155" s="1"/>
      <c r="G25155" s="1"/>
    </row>
    <row r="25156">
      <c r="B25156" s="36"/>
      <c r="C25156" s="36"/>
      <c r="E25156" s="1"/>
      <c r="F25156" s="1"/>
      <c r="G25156" s="1"/>
    </row>
    <row r="25157">
      <c r="B25157" s="36"/>
      <c r="C25157" s="36"/>
      <c r="E25157" s="1"/>
      <c r="F25157" s="1"/>
      <c r="G25157" s="1"/>
    </row>
    <row r="25158">
      <c r="B25158" s="36"/>
      <c r="C25158" s="36"/>
      <c r="E25158" s="1"/>
      <c r="F25158" s="1"/>
      <c r="G25158" s="1"/>
    </row>
    <row r="25159">
      <c r="B25159" s="36"/>
      <c r="C25159" s="36"/>
      <c r="E25159" s="1"/>
      <c r="F25159" s="1"/>
      <c r="G25159" s="1"/>
    </row>
    <row r="25160">
      <c r="B25160" s="36"/>
      <c r="C25160" s="36"/>
      <c r="E25160" s="1"/>
      <c r="F25160" s="1"/>
      <c r="G25160" s="1"/>
    </row>
    <row r="25161">
      <c r="B25161" s="36"/>
      <c r="C25161" s="36"/>
      <c r="E25161" s="1"/>
      <c r="F25161" s="1"/>
      <c r="G25161" s="1"/>
    </row>
    <row r="25162">
      <c r="B25162" s="36"/>
      <c r="C25162" s="36"/>
      <c r="E25162" s="1"/>
      <c r="F25162" s="1"/>
      <c r="G25162" s="1"/>
    </row>
    <row r="25163">
      <c r="B25163" s="36"/>
      <c r="C25163" s="36"/>
      <c r="E25163" s="1"/>
      <c r="F25163" s="1"/>
      <c r="G25163" s="1"/>
    </row>
    <row r="25164">
      <c r="B25164" s="36"/>
      <c r="C25164" s="36"/>
      <c r="E25164" s="1"/>
      <c r="F25164" s="1"/>
      <c r="G25164" s="1"/>
    </row>
    <row r="25165">
      <c r="B25165" s="36"/>
      <c r="C25165" s="36"/>
      <c r="E25165" s="1"/>
      <c r="F25165" s="1"/>
      <c r="G25165" s="1"/>
    </row>
    <row r="25166">
      <c r="B25166" s="36"/>
      <c r="C25166" s="36"/>
      <c r="E25166" s="1"/>
      <c r="F25166" s="1"/>
      <c r="G25166" s="1"/>
    </row>
    <row r="25167">
      <c r="B25167" s="36"/>
      <c r="C25167" s="36"/>
      <c r="E25167" s="1"/>
      <c r="F25167" s="1"/>
      <c r="G25167" s="1"/>
    </row>
    <row r="25168">
      <c r="B25168" s="36"/>
      <c r="C25168" s="36"/>
      <c r="E25168" s="1"/>
      <c r="F25168" s="1"/>
      <c r="G25168" s="1"/>
    </row>
    <row r="25169">
      <c r="B25169" s="36"/>
      <c r="C25169" s="36"/>
      <c r="E25169" s="1"/>
      <c r="F25169" s="1"/>
      <c r="G25169" s="1"/>
    </row>
    <row r="25170">
      <c r="B25170" s="36"/>
      <c r="C25170" s="36"/>
      <c r="E25170" s="1"/>
      <c r="F25170" s="1"/>
      <c r="G25170" s="1"/>
    </row>
    <row r="25171">
      <c r="B25171" s="36"/>
      <c r="C25171" s="36"/>
      <c r="E25171" s="1"/>
      <c r="F25171" s="1"/>
      <c r="G25171" s="1"/>
    </row>
    <row r="25172">
      <c r="B25172" s="36"/>
      <c r="C25172" s="36"/>
      <c r="E25172" s="1"/>
      <c r="F25172" s="1"/>
      <c r="G25172" s="1"/>
    </row>
    <row r="25173">
      <c r="B25173" s="36"/>
      <c r="C25173" s="36"/>
      <c r="E25173" s="1"/>
      <c r="F25173" s="1"/>
      <c r="G25173" s="1"/>
    </row>
    <row r="25174">
      <c r="B25174" s="36"/>
      <c r="C25174" s="36"/>
      <c r="E25174" s="1"/>
      <c r="F25174" s="1"/>
      <c r="G25174" s="1"/>
    </row>
    <row r="25175">
      <c r="B25175" s="36"/>
      <c r="C25175" s="36"/>
      <c r="E25175" s="1"/>
      <c r="F25175" s="1"/>
      <c r="G25175" s="1"/>
    </row>
    <row r="25176">
      <c r="B25176" s="36"/>
      <c r="C25176" s="36"/>
      <c r="E25176" s="1"/>
      <c r="F25176" s="1"/>
      <c r="G25176" s="1"/>
    </row>
    <row r="25177">
      <c r="B25177" s="36"/>
      <c r="C25177" s="36"/>
      <c r="E25177" s="1"/>
      <c r="F25177" s="1"/>
      <c r="G25177" s="1"/>
    </row>
    <row r="25178">
      <c r="B25178" s="36"/>
      <c r="C25178" s="36"/>
      <c r="E25178" s="1"/>
      <c r="F25178" s="1"/>
      <c r="G25178" s="1"/>
    </row>
    <row r="25179">
      <c r="B25179" s="36"/>
      <c r="C25179" s="36"/>
      <c r="E25179" s="1"/>
      <c r="F25179" s="1"/>
      <c r="G25179" s="1"/>
    </row>
    <row r="25180">
      <c r="B25180" s="36"/>
      <c r="C25180" s="36"/>
      <c r="E25180" s="1"/>
      <c r="F25180" s="1"/>
      <c r="G25180" s="1"/>
    </row>
    <row r="25181">
      <c r="B25181" s="36"/>
      <c r="C25181" s="36"/>
      <c r="E25181" s="1"/>
      <c r="F25181" s="1"/>
      <c r="G25181" s="1"/>
    </row>
    <row r="25182">
      <c r="B25182" s="36"/>
      <c r="C25182" s="36"/>
      <c r="E25182" s="1"/>
      <c r="F25182" s="1"/>
      <c r="G25182" s="1"/>
    </row>
    <row r="25183">
      <c r="B25183" s="36"/>
      <c r="C25183" s="36"/>
      <c r="E25183" s="1"/>
      <c r="F25183" s="1"/>
      <c r="G25183" s="1"/>
    </row>
    <row r="25184">
      <c r="B25184" s="36"/>
      <c r="C25184" s="36"/>
      <c r="E25184" s="1"/>
      <c r="F25184" s="1"/>
      <c r="G25184" s="1"/>
    </row>
    <row r="25185">
      <c r="B25185" s="36"/>
      <c r="C25185" s="36"/>
      <c r="E25185" s="1"/>
      <c r="F25185" s="1"/>
      <c r="G25185" s="1"/>
    </row>
    <row r="25186">
      <c r="B25186" s="36"/>
      <c r="C25186" s="36"/>
      <c r="E25186" s="1"/>
      <c r="F25186" s="1"/>
      <c r="G25186" s="1"/>
    </row>
    <row r="25187">
      <c r="B25187" s="36"/>
      <c r="C25187" s="36"/>
      <c r="E25187" s="1"/>
      <c r="F25187" s="1"/>
      <c r="G25187" s="1"/>
    </row>
    <row r="25188">
      <c r="B25188" s="36"/>
      <c r="C25188" s="36"/>
      <c r="E25188" s="1"/>
      <c r="F25188" s="1"/>
      <c r="G25188" s="1"/>
    </row>
    <row r="25189">
      <c r="B25189" s="36"/>
      <c r="C25189" s="36"/>
      <c r="E25189" s="1"/>
      <c r="F25189" s="1"/>
      <c r="G25189" s="1"/>
    </row>
    <row r="25190">
      <c r="B25190" s="36"/>
      <c r="C25190" s="36"/>
      <c r="E25190" s="1"/>
      <c r="F25190" s="1"/>
      <c r="G25190" s="1"/>
    </row>
    <row r="25191">
      <c r="B25191" s="36"/>
      <c r="C25191" s="36"/>
      <c r="E25191" s="1"/>
      <c r="F25191" s="1"/>
      <c r="G25191" s="1"/>
    </row>
    <row r="25192">
      <c r="B25192" s="36"/>
      <c r="C25192" s="36"/>
      <c r="E25192" s="1"/>
      <c r="F25192" s="1"/>
      <c r="G25192" s="1"/>
    </row>
    <row r="25193">
      <c r="B25193" s="36"/>
      <c r="C25193" s="36"/>
      <c r="E25193" s="1"/>
      <c r="F25193" s="1"/>
      <c r="G25193" s="1"/>
    </row>
    <row r="25194">
      <c r="B25194" s="36"/>
      <c r="C25194" s="36"/>
      <c r="E25194" s="1"/>
      <c r="F25194" s="1"/>
      <c r="G25194" s="1"/>
    </row>
    <row r="25195">
      <c r="B25195" s="36"/>
      <c r="C25195" s="36"/>
      <c r="E25195" s="1"/>
      <c r="F25195" s="1"/>
      <c r="G25195" s="1"/>
    </row>
    <row r="25196">
      <c r="B25196" s="36"/>
      <c r="C25196" s="36"/>
      <c r="E25196" s="1"/>
      <c r="F25196" s="1"/>
      <c r="G25196" s="1"/>
    </row>
    <row r="25197">
      <c r="B25197" s="36"/>
      <c r="C25197" s="36"/>
      <c r="E25197" s="1"/>
      <c r="F25197" s="1"/>
      <c r="G25197" s="1"/>
    </row>
    <row r="25198">
      <c r="B25198" s="36"/>
      <c r="C25198" s="36"/>
      <c r="E25198" s="1"/>
      <c r="F25198" s="1"/>
      <c r="G25198" s="1"/>
    </row>
    <row r="25199">
      <c r="B25199" s="36"/>
      <c r="C25199" s="36"/>
      <c r="E25199" s="1"/>
      <c r="F25199" s="1"/>
      <c r="G25199" s="1"/>
    </row>
    <row r="25200">
      <c r="B25200" s="36"/>
      <c r="C25200" s="36"/>
      <c r="E25200" s="1"/>
      <c r="F25200" s="1"/>
      <c r="G25200" s="1"/>
    </row>
    <row r="25201">
      <c r="B25201" s="36"/>
      <c r="C25201" s="36"/>
      <c r="E25201" s="1"/>
      <c r="F25201" s="1"/>
      <c r="G25201" s="1"/>
    </row>
    <row r="25202">
      <c r="B25202" s="36"/>
      <c r="C25202" s="36"/>
      <c r="E25202" s="1"/>
      <c r="F25202" s="1"/>
      <c r="G25202" s="1"/>
    </row>
    <row r="25203">
      <c r="B25203" s="36"/>
      <c r="C25203" s="36"/>
      <c r="E25203" s="1"/>
      <c r="F25203" s="1"/>
      <c r="G25203" s="1"/>
    </row>
    <row r="25204">
      <c r="B25204" s="36"/>
      <c r="C25204" s="36"/>
      <c r="E25204" s="1"/>
      <c r="F25204" s="1"/>
      <c r="G25204" s="1"/>
    </row>
    <row r="25205">
      <c r="B25205" s="36"/>
      <c r="C25205" s="36"/>
      <c r="E25205" s="1"/>
      <c r="F25205" s="1"/>
      <c r="G25205" s="1"/>
    </row>
    <row r="25206">
      <c r="B25206" s="36"/>
      <c r="C25206" s="36"/>
      <c r="E25206" s="1"/>
      <c r="F25206" s="1"/>
      <c r="G25206" s="1"/>
    </row>
    <row r="25207">
      <c r="B25207" s="36"/>
      <c r="C25207" s="36"/>
      <c r="E25207" s="1"/>
      <c r="F25207" s="1"/>
      <c r="G25207" s="1"/>
    </row>
    <row r="25208">
      <c r="B25208" s="36"/>
      <c r="C25208" s="36"/>
      <c r="E25208" s="1"/>
      <c r="F25208" s="1"/>
      <c r="G25208" s="1"/>
    </row>
    <row r="25209">
      <c r="B25209" s="36"/>
      <c r="C25209" s="36"/>
      <c r="E25209" s="1"/>
      <c r="F25209" s="1"/>
      <c r="G25209" s="1"/>
    </row>
    <row r="25210">
      <c r="B25210" s="36"/>
      <c r="C25210" s="36"/>
      <c r="E25210" s="1"/>
      <c r="F25210" s="1"/>
      <c r="G25210" s="1"/>
    </row>
    <row r="25211">
      <c r="B25211" s="36"/>
      <c r="C25211" s="36"/>
      <c r="E25211" s="1"/>
      <c r="F25211" s="1"/>
      <c r="G25211" s="1"/>
    </row>
    <row r="25212">
      <c r="B25212" s="36"/>
      <c r="C25212" s="36"/>
      <c r="E25212" s="1"/>
      <c r="F25212" s="1"/>
      <c r="G25212" s="1"/>
    </row>
    <row r="25213">
      <c r="B25213" s="36"/>
      <c r="C25213" s="36"/>
      <c r="E25213" s="1"/>
      <c r="F25213" s="1"/>
      <c r="G25213" s="1"/>
    </row>
    <row r="25214">
      <c r="B25214" s="36"/>
      <c r="C25214" s="36"/>
      <c r="E25214" s="1"/>
      <c r="F25214" s="1"/>
      <c r="G25214" s="1"/>
    </row>
    <row r="25215">
      <c r="B25215" s="36"/>
      <c r="C25215" s="36"/>
      <c r="E25215" s="1"/>
      <c r="F25215" s="1"/>
      <c r="G25215" s="1"/>
    </row>
    <row r="25216">
      <c r="B25216" s="36"/>
      <c r="C25216" s="36"/>
      <c r="E25216" s="1"/>
      <c r="F25216" s="1"/>
      <c r="G25216" s="1"/>
    </row>
    <row r="25217">
      <c r="B25217" s="36"/>
      <c r="C25217" s="36"/>
      <c r="E25217" s="1"/>
      <c r="F25217" s="1"/>
      <c r="G25217" s="1"/>
    </row>
    <row r="25218">
      <c r="B25218" s="36"/>
      <c r="C25218" s="36"/>
      <c r="E25218" s="1"/>
      <c r="F25218" s="1"/>
      <c r="G25218" s="1"/>
    </row>
    <row r="25219">
      <c r="B25219" s="36"/>
      <c r="C25219" s="36"/>
      <c r="E25219" s="1"/>
      <c r="F25219" s="1"/>
      <c r="G25219" s="1"/>
    </row>
    <row r="25220">
      <c r="B25220" s="36"/>
      <c r="C25220" s="36"/>
      <c r="E25220" s="1"/>
      <c r="F25220" s="1"/>
      <c r="G25220" s="1"/>
    </row>
    <row r="25221">
      <c r="B25221" s="36"/>
      <c r="C25221" s="36"/>
      <c r="E25221" s="1"/>
      <c r="F25221" s="1"/>
      <c r="G25221" s="1"/>
    </row>
    <row r="25222">
      <c r="B25222" s="36"/>
      <c r="C25222" s="36"/>
      <c r="E25222" s="1"/>
      <c r="F25222" s="1"/>
      <c r="G25222" s="1"/>
    </row>
    <row r="25223">
      <c r="B25223" s="36"/>
      <c r="C25223" s="36"/>
      <c r="E25223" s="1"/>
      <c r="F25223" s="1"/>
      <c r="G25223" s="1"/>
    </row>
    <row r="25224">
      <c r="B25224" s="36"/>
      <c r="C25224" s="36"/>
      <c r="E25224" s="1"/>
      <c r="F25224" s="1"/>
      <c r="G25224" s="1"/>
    </row>
    <row r="25225">
      <c r="B25225" s="36"/>
      <c r="C25225" s="36"/>
      <c r="E25225" s="1"/>
      <c r="F25225" s="1"/>
      <c r="G25225" s="1"/>
    </row>
    <row r="25226">
      <c r="B25226" s="36"/>
      <c r="C25226" s="36"/>
      <c r="E25226" s="1"/>
      <c r="F25226" s="1"/>
      <c r="G25226" s="1"/>
    </row>
    <row r="25227">
      <c r="B25227" s="36"/>
      <c r="C25227" s="36"/>
      <c r="E25227" s="1"/>
      <c r="F25227" s="1"/>
      <c r="G25227" s="1"/>
    </row>
    <row r="25228">
      <c r="B25228" s="36"/>
      <c r="C25228" s="36"/>
      <c r="E25228" s="1"/>
      <c r="F25228" s="1"/>
      <c r="G25228" s="1"/>
    </row>
    <row r="25229">
      <c r="B25229" s="36"/>
      <c r="C25229" s="36"/>
      <c r="E25229" s="1"/>
      <c r="F25229" s="1"/>
      <c r="G25229" s="1"/>
    </row>
    <row r="25230">
      <c r="B25230" s="36"/>
      <c r="C25230" s="36"/>
      <c r="E25230" s="1"/>
      <c r="F25230" s="1"/>
      <c r="G25230" s="1"/>
    </row>
    <row r="25231">
      <c r="B25231" s="36"/>
      <c r="C25231" s="36"/>
      <c r="E25231" s="1"/>
      <c r="F25231" s="1"/>
      <c r="G25231" s="1"/>
    </row>
    <row r="25232">
      <c r="B25232" s="36"/>
      <c r="C25232" s="36"/>
      <c r="E25232" s="1"/>
      <c r="F25232" s="1"/>
      <c r="G25232" s="1"/>
    </row>
    <row r="25233">
      <c r="B25233" s="36"/>
      <c r="C25233" s="36"/>
      <c r="E25233" s="1"/>
      <c r="F25233" s="1"/>
      <c r="G25233" s="1"/>
    </row>
    <row r="25234">
      <c r="B25234" s="36"/>
      <c r="C25234" s="36"/>
      <c r="E25234" s="1"/>
      <c r="F25234" s="1"/>
      <c r="G25234" s="1"/>
    </row>
    <row r="25235">
      <c r="B25235" s="36"/>
      <c r="C25235" s="36"/>
      <c r="E25235" s="1"/>
      <c r="F25235" s="1"/>
      <c r="G25235" s="1"/>
    </row>
    <row r="25236">
      <c r="B25236" s="36"/>
      <c r="C25236" s="36"/>
      <c r="E25236" s="1"/>
      <c r="F25236" s="1"/>
      <c r="G25236" s="1"/>
    </row>
    <row r="25237">
      <c r="B25237" s="36"/>
      <c r="C25237" s="36"/>
      <c r="E25237" s="1"/>
      <c r="F25237" s="1"/>
      <c r="G25237" s="1"/>
    </row>
    <row r="25238">
      <c r="B25238" s="36"/>
      <c r="C25238" s="36"/>
      <c r="E25238" s="1"/>
      <c r="F25238" s="1"/>
      <c r="G25238" s="1"/>
    </row>
    <row r="25239">
      <c r="B25239" s="36"/>
      <c r="C25239" s="36"/>
      <c r="E25239" s="1"/>
      <c r="F25239" s="1"/>
      <c r="G25239" s="1"/>
    </row>
    <row r="25240">
      <c r="B25240" s="36"/>
      <c r="C25240" s="36"/>
      <c r="E25240" s="1"/>
      <c r="F25240" s="1"/>
      <c r="G25240" s="1"/>
    </row>
    <row r="25241">
      <c r="B25241" s="36"/>
      <c r="C25241" s="36"/>
      <c r="E25241" s="1"/>
      <c r="F25241" s="1"/>
      <c r="G25241" s="1"/>
    </row>
    <row r="25242">
      <c r="B25242" s="36"/>
      <c r="C25242" s="36"/>
      <c r="E25242" s="1"/>
      <c r="F25242" s="1"/>
      <c r="G25242" s="1"/>
    </row>
    <row r="25243">
      <c r="B25243" s="36"/>
      <c r="C25243" s="36"/>
      <c r="E25243" s="1"/>
      <c r="F25243" s="1"/>
      <c r="G25243" s="1"/>
    </row>
    <row r="25244">
      <c r="B25244" s="36"/>
      <c r="C25244" s="36"/>
      <c r="E25244" s="1"/>
      <c r="F25244" s="1"/>
      <c r="G25244" s="1"/>
    </row>
    <row r="25245">
      <c r="B25245" s="36"/>
      <c r="C25245" s="36"/>
      <c r="E25245" s="1"/>
      <c r="F25245" s="1"/>
      <c r="G25245" s="1"/>
    </row>
    <row r="25246">
      <c r="B25246" s="36"/>
      <c r="C25246" s="36"/>
      <c r="E25246" s="1"/>
      <c r="F25246" s="1"/>
      <c r="G25246" s="1"/>
    </row>
    <row r="25247">
      <c r="B25247" s="36"/>
      <c r="C25247" s="36"/>
      <c r="E25247" s="1"/>
      <c r="F25247" s="1"/>
      <c r="G25247" s="1"/>
    </row>
    <row r="25248">
      <c r="B25248" s="36"/>
      <c r="C25248" s="36"/>
      <c r="E25248" s="1"/>
      <c r="F25248" s="1"/>
      <c r="G25248" s="1"/>
    </row>
    <row r="25249">
      <c r="B25249" s="36"/>
      <c r="C25249" s="36"/>
      <c r="E25249" s="1"/>
      <c r="F25249" s="1"/>
      <c r="G25249" s="1"/>
    </row>
    <row r="25250">
      <c r="B25250" s="36"/>
      <c r="C25250" s="36"/>
      <c r="E25250" s="1"/>
      <c r="F25250" s="1"/>
      <c r="G25250" s="1"/>
    </row>
    <row r="25251">
      <c r="B25251" s="36"/>
      <c r="C25251" s="36"/>
      <c r="E25251" s="1"/>
      <c r="F25251" s="1"/>
      <c r="G25251" s="1"/>
    </row>
    <row r="25252">
      <c r="B25252" s="36"/>
      <c r="C25252" s="36"/>
      <c r="E25252" s="1"/>
      <c r="F25252" s="1"/>
      <c r="G25252" s="1"/>
    </row>
    <row r="25253">
      <c r="B25253" s="36"/>
      <c r="C25253" s="36"/>
      <c r="E25253" s="1"/>
      <c r="F25253" s="1"/>
      <c r="G25253" s="1"/>
    </row>
    <row r="25254">
      <c r="B25254" s="36"/>
      <c r="C25254" s="36"/>
      <c r="E25254" s="1"/>
      <c r="F25254" s="1"/>
      <c r="G25254" s="1"/>
    </row>
    <row r="25255">
      <c r="B25255" s="36"/>
      <c r="C25255" s="36"/>
      <c r="E25255" s="1"/>
      <c r="F25255" s="1"/>
      <c r="G25255" s="1"/>
    </row>
    <row r="25256">
      <c r="B25256" s="36"/>
      <c r="C25256" s="36"/>
      <c r="E25256" s="1"/>
      <c r="F25256" s="1"/>
      <c r="G25256" s="1"/>
    </row>
    <row r="25257">
      <c r="B25257" s="36"/>
      <c r="C25257" s="36"/>
      <c r="E25257" s="1"/>
      <c r="F25257" s="1"/>
      <c r="G25257" s="1"/>
    </row>
    <row r="25258">
      <c r="B25258" s="36"/>
      <c r="C25258" s="36"/>
      <c r="E25258" s="1"/>
      <c r="F25258" s="1"/>
      <c r="G25258" s="1"/>
    </row>
    <row r="25259">
      <c r="B25259" s="36"/>
      <c r="C25259" s="36"/>
      <c r="E25259" s="1"/>
      <c r="F25259" s="1"/>
      <c r="G25259" s="1"/>
    </row>
    <row r="25260">
      <c r="B25260" s="36"/>
      <c r="C25260" s="36"/>
      <c r="E25260" s="1"/>
      <c r="F25260" s="1"/>
      <c r="G25260" s="1"/>
    </row>
    <row r="25261">
      <c r="B25261" s="36"/>
      <c r="C25261" s="36"/>
      <c r="E25261" s="1"/>
      <c r="F25261" s="1"/>
      <c r="G25261" s="1"/>
    </row>
    <row r="25262">
      <c r="B25262" s="36"/>
      <c r="C25262" s="36"/>
      <c r="E25262" s="1"/>
      <c r="F25262" s="1"/>
      <c r="G25262" s="1"/>
    </row>
    <row r="25263">
      <c r="B25263" s="36"/>
      <c r="C25263" s="36"/>
      <c r="E25263" s="1"/>
      <c r="F25263" s="1"/>
      <c r="G25263" s="1"/>
    </row>
    <row r="25264">
      <c r="B25264" s="36"/>
      <c r="C25264" s="36"/>
      <c r="E25264" s="1"/>
      <c r="F25264" s="1"/>
      <c r="G25264" s="1"/>
    </row>
    <row r="25265">
      <c r="B25265" s="36"/>
      <c r="C25265" s="36"/>
      <c r="E25265" s="1"/>
      <c r="F25265" s="1"/>
      <c r="G25265" s="1"/>
    </row>
    <row r="25266">
      <c r="B25266" s="36"/>
      <c r="C25266" s="36"/>
      <c r="E25266" s="1"/>
      <c r="F25266" s="1"/>
      <c r="G25266" s="1"/>
    </row>
    <row r="25267">
      <c r="B25267" s="36"/>
      <c r="C25267" s="36"/>
      <c r="E25267" s="1"/>
      <c r="F25267" s="1"/>
      <c r="G25267" s="1"/>
    </row>
    <row r="25268">
      <c r="B25268" s="36"/>
      <c r="C25268" s="36"/>
      <c r="E25268" s="1"/>
      <c r="F25268" s="1"/>
      <c r="G25268" s="1"/>
    </row>
    <row r="25269">
      <c r="B25269" s="36"/>
      <c r="C25269" s="36"/>
      <c r="E25269" s="1"/>
      <c r="F25269" s="1"/>
      <c r="G25269" s="1"/>
    </row>
    <row r="25270">
      <c r="B25270" s="36"/>
      <c r="C25270" s="36"/>
      <c r="E25270" s="1"/>
      <c r="F25270" s="1"/>
      <c r="G25270" s="1"/>
    </row>
    <row r="25271">
      <c r="B25271" s="36"/>
      <c r="C25271" s="36"/>
      <c r="E25271" s="1"/>
      <c r="F25271" s="1"/>
      <c r="G25271" s="1"/>
    </row>
    <row r="25272">
      <c r="B25272" s="36"/>
      <c r="C25272" s="36"/>
      <c r="E25272" s="1"/>
      <c r="F25272" s="1"/>
      <c r="G25272" s="1"/>
    </row>
    <row r="25273">
      <c r="B25273" s="36"/>
      <c r="C25273" s="36"/>
      <c r="E25273" s="1"/>
      <c r="F25273" s="1"/>
      <c r="G25273" s="1"/>
    </row>
    <row r="25274">
      <c r="B25274" s="36"/>
      <c r="C25274" s="36"/>
      <c r="E25274" s="1"/>
      <c r="F25274" s="1"/>
      <c r="G25274" s="1"/>
    </row>
    <row r="25275">
      <c r="B25275" s="36"/>
      <c r="C25275" s="36"/>
      <c r="E25275" s="1"/>
      <c r="F25275" s="1"/>
      <c r="G25275" s="1"/>
    </row>
    <row r="25276">
      <c r="B25276" s="36"/>
      <c r="C25276" s="36"/>
      <c r="E25276" s="1"/>
      <c r="F25276" s="1"/>
      <c r="G25276" s="1"/>
    </row>
    <row r="25277">
      <c r="B25277" s="36"/>
      <c r="C25277" s="36"/>
      <c r="E25277" s="1"/>
      <c r="F25277" s="1"/>
      <c r="G25277" s="1"/>
    </row>
    <row r="25278">
      <c r="B25278" s="36"/>
      <c r="C25278" s="36"/>
      <c r="E25278" s="1"/>
      <c r="F25278" s="1"/>
      <c r="G25278" s="1"/>
    </row>
    <row r="25279">
      <c r="B25279" s="36"/>
      <c r="C25279" s="36"/>
      <c r="E25279" s="1"/>
      <c r="F25279" s="1"/>
      <c r="G25279" s="1"/>
    </row>
    <row r="25280">
      <c r="B25280" s="36"/>
      <c r="C25280" s="36"/>
      <c r="E25280" s="1"/>
      <c r="F25280" s="1"/>
      <c r="G25280" s="1"/>
    </row>
    <row r="25281">
      <c r="B25281" s="36"/>
      <c r="C25281" s="36"/>
      <c r="E25281" s="1"/>
      <c r="F25281" s="1"/>
      <c r="G25281" s="1"/>
    </row>
    <row r="25282">
      <c r="B25282" s="36"/>
      <c r="C25282" s="36"/>
      <c r="E25282" s="1"/>
      <c r="F25282" s="1"/>
      <c r="G25282" s="1"/>
    </row>
    <row r="25283">
      <c r="B25283" s="36"/>
      <c r="C25283" s="36"/>
      <c r="E25283" s="1"/>
      <c r="F25283" s="1"/>
      <c r="G25283" s="1"/>
    </row>
    <row r="25284">
      <c r="B25284" s="36"/>
      <c r="C25284" s="36"/>
      <c r="E25284" s="1"/>
      <c r="F25284" s="1"/>
      <c r="G25284" s="1"/>
    </row>
    <row r="25285">
      <c r="B25285" s="36"/>
      <c r="C25285" s="36"/>
      <c r="E25285" s="1"/>
      <c r="F25285" s="1"/>
      <c r="G25285" s="1"/>
    </row>
    <row r="25286">
      <c r="B25286" s="36"/>
      <c r="C25286" s="36"/>
      <c r="E25286" s="1"/>
      <c r="F25286" s="1"/>
      <c r="G25286" s="1"/>
    </row>
    <row r="25287">
      <c r="B25287" s="36"/>
      <c r="C25287" s="36"/>
      <c r="E25287" s="1"/>
      <c r="F25287" s="1"/>
      <c r="G25287" s="1"/>
    </row>
    <row r="25288">
      <c r="B25288" s="36"/>
      <c r="C25288" s="36"/>
      <c r="E25288" s="1"/>
      <c r="F25288" s="1"/>
      <c r="G25288" s="1"/>
    </row>
    <row r="25289">
      <c r="B25289" s="36"/>
      <c r="C25289" s="36"/>
      <c r="E25289" s="1"/>
      <c r="F25289" s="1"/>
      <c r="G25289" s="1"/>
    </row>
    <row r="25290">
      <c r="B25290" s="36"/>
      <c r="C25290" s="36"/>
      <c r="E25290" s="1"/>
      <c r="F25290" s="1"/>
      <c r="G25290" s="1"/>
    </row>
    <row r="25291">
      <c r="B25291" s="36"/>
      <c r="C25291" s="36"/>
      <c r="E25291" s="1"/>
      <c r="F25291" s="1"/>
      <c r="G25291" s="1"/>
    </row>
    <row r="25292">
      <c r="B25292" s="36"/>
      <c r="C25292" s="36"/>
      <c r="E25292" s="1"/>
      <c r="F25292" s="1"/>
      <c r="G25292" s="1"/>
    </row>
    <row r="25293">
      <c r="B25293" s="36"/>
      <c r="C25293" s="36"/>
      <c r="E25293" s="1"/>
      <c r="F25293" s="1"/>
      <c r="G25293" s="1"/>
    </row>
    <row r="25294">
      <c r="B25294" s="36"/>
      <c r="C25294" s="36"/>
      <c r="E25294" s="1"/>
      <c r="F25294" s="1"/>
      <c r="G25294" s="1"/>
    </row>
    <row r="25295">
      <c r="B25295" s="36"/>
      <c r="C25295" s="36"/>
      <c r="E25295" s="1"/>
      <c r="F25295" s="1"/>
      <c r="G25295" s="1"/>
    </row>
    <row r="25296">
      <c r="B25296" s="36"/>
      <c r="C25296" s="36"/>
      <c r="E25296" s="1"/>
      <c r="F25296" s="1"/>
      <c r="G25296" s="1"/>
    </row>
    <row r="25297">
      <c r="B25297" s="36"/>
      <c r="C25297" s="36"/>
      <c r="E25297" s="1"/>
      <c r="F25297" s="1"/>
      <c r="G25297" s="1"/>
    </row>
    <row r="25298">
      <c r="B25298" s="36"/>
      <c r="C25298" s="36"/>
      <c r="E25298" s="1"/>
      <c r="F25298" s="1"/>
      <c r="G25298" s="1"/>
    </row>
    <row r="25299">
      <c r="B25299" s="36"/>
      <c r="C25299" s="36"/>
      <c r="E25299" s="1"/>
      <c r="F25299" s="1"/>
      <c r="G25299" s="1"/>
    </row>
    <row r="25300">
      <c r="B25300" s="36"/>
      <c r="C25300" s="36"/>
      <c r="E25300" s="1"/>
      <c r="F25300" s="1"/>
      <c r="G25300" s="1"/>
    </row>
    <row r="25301">
      <c r="B25301" s="36"/>
      <c r="C25301" s="36"/>
      <c r="E25301" s="1"/>
      <c r="F25301" s="1"/>
      <c r="G25301" s="1"/>
    </row>
    <row r="25302">
      <c r="B25302" s="36"/>
      <c r="C25302" s="36"/>
      <c r="E25302" s="1"/>
      <c r="F25302" s="1"/>
      <c r="G25302" s="1"/>
    </row>
    <row r="25303">
      <c r="B25303" s="36"/>
      <c r="C25303" s="36"/>
      <c r="E25303" s="1"/>
      <c r="F25303" s="1"/>
      <c r="G25303" s="1"/>
    </row>
    <row r="25304">
      <c r="B25304" s="36"/>
      <c r="C25304" s="36"/>
      <c r="E25304" s="1"/>
      <c r="F25304" s="1"/>
      <c r="G25304" s="1"/>
    </row>
    <row r="25305">
      <c r="B25305" s="36"/>
      <c r="C25305" s="36"/>
      <c r="E25305" s="1"/>
      <c r="F25305" s="1"/>
      <c r="G25305" s="1"/>
    </row>
    <row r="25306">
      <c r="B25306" s="36"/>
      <c r="C25306" s="36"/>
      <c r="E25306" s="1"/>
      <c r="F25306" s="1"/>
      <c r="G25306" s="1"/>
    </row>
    <row r="25307">
      <c r="B25307" s="36"/>
      <c r="C25307" s="36"/>
      <c r="E25307" s="1"/>
      <c r="F25307" s="1"/>
      <c r="G25307" s="1"/>
    </row>
    <row r="25308">
      <c r="B25308" s="36"/>
      <c r="C25308" s="36"/>
      <c r="E25308" s="1"/>
      <c r="F25308" s="1"/>
      <c r="G25308" s="1"/>
    </row>
    <row r="25309">
      <c r="B25309" s="36"/>
      <c r="C25309" s="36"/>
      <c r="E25309" s="1"/>
      <c r="F25309" s="1"/>
      <c r="G25309" s="1"/>
    </row>
    <row r="25310">
      <c r="B25310" s="36"/>
      <c r="C25310" s="36"/>
      <c r="E25310" s="1"/>
      <c r="F25310" s="1"/>
      <c r="G25310" s="1"/>
    </row>
    <row r="25311">
      <c r="B25311" s="36"/>
      <c r="C25311" s="36"/>
      <c r="E25311" s="1"/>
      <c r="F25311" s="1"/>
      <c r="G25311" s="1"/>
    </row>
    <row r="25312">
      <c r="B25312" s="36"/>
      <c r="C25312" s="36"/>
      <c r="E25312" s="1"/>
      <c r="F25312" s="1"/>
      <c r="G25312" s="1"/>
    </row>
    <row r="25313">
      <c r="B25313" s="36"/>
      <c r="C25313" s="36"/>
      <c r="E25313" s="1"/>
      <c r="F25313" s="1"/>
      <c r="G25313" s="1"/>
    </row>
    <row r="25314">
      <c r="B25314" s="36"/>
      <c r="C25314" s="36"/>
      <c r="E25314" s="1"/>
      <c r="F25314" s="1"/>
      <c r="G25314" s="1"/>
    </row>
    <row r="25315">
      <c r="B25315" s="36"/>
      <c r="C25315" s="36"/>
      <c r="E25315" s="1"/>
      <c r="F25315" s="1"/>
      <c r="G25315" s="1"/>
    </row>
    <row r="25316">
      <c r="B25316" s="36"/>
      <c r="C25316" s="36"/>
      <c r="E25316" s="1"/>
      <c r="F25316" s="1"/>
      <c r="G25316" s="1"/>
    </row>
    <row r="25317">
      <c r="B25317" s="36"/>
      <c r="C25317" s="36"/>
      <c r="E25317" s="1"/>
      <c r="F25317" s="1"/>
      <c r="G25317" s="1"/>
    </row>
    <row r="25318">
      <c r="B25318" s="36"/>
      <c r="C25318" s="36"/>
      <c r="E25318" s="1"/>
      <c r="F25318" s="1"/>
      <c r="G25318" s="1"/>
    </row>
    <row r="25319">
      <c r="B25319" s="36"/>
      <c r="C25319" s="36"/>
      <c r="E25319" s="1"/>
      <c r="F25319" s="1"/>
      <c r="G25319" s="1"/>
    </row>
    <row r="25320">
      <c r="B25320" s="36"/>
      <c r="C25320" s="36"/>
      <c r="E25320" s="1"/>
      <c r="F25320" s="1"/>
      <c r="G25320" s="1"/>
    </row>
    <row r="25321">
      <c r="B25321" s="36"/>
      <c r="C25321" s="36"/>
      <c r="E25321" s="1"/>
      <c r="F25321" s="1"/>
      <c r="G25321" s="1"/>
    </row>
    <row r="25322">
      <c r="B25322" s="36"/>
      <c r="C25322" s="36"/>
      <c r="E25322" s="1"/>
      <c r="F25322" s="1"/>
      <c r="G25322" s="1"/>
    </row>
    <row r="25323">
      <c r="B25323" s="36"/>
      <c r="C25323" s="36"/>
      <c r="E25323" s="1"/>
      <c r="F25323" s="1"/>
      <c r="G25323" s="1"/>
    </row>
    <row r="25324">
      <c r="B25324" s="36"/>
      <c r="C25324" s="36"/>
      <c r="E25324" s="1"/>
      <c r="F25324" s="1"/>
      <c r="G25324" s="1"/>
    </row>
    <row r="25325">
      <c r="B25325" s="36"/>
      <c r="C25325" s="36"/>
      <c r="E25325" s="1"/>
      <c r="F25325" s="1"/>
      <c r="G25325" s="1"/>
    </row>
    <row r="25326">
      <c r="B25326" s="36"/>
      <c r="C25326" s="36"/>
      <c r="E25326" s="1"/>
      <c r="F25326" s="1"/>
      <c r="G25326" s="1"/>
    </row>
    <row r="25327">
      <c r="B25327" s="36"/>
      <c r="C25327" s="36"/>
      <c r="E25327" s="1"/>
      <c r="F25327" s="1"/>
      <c r="G25327" s="1"/>
    </row>
    <row r="25328">
      <c r="B25328" s="36"/>
      <c r="C25328" s="36"/>
      <c r="E25328" s="1"/>
      <c r="F25328" s="1"/>
      <c r="G25328" s="1"/>
    </row>
    <row r="25329">
      <c r="B25329" s="36"/>
      <c r="C25329" s="36"/>
      <c r="E25329" s="1"/>
      <c r="F25329" s="1"/>
      <c r="G25329" s="1"/>
    </row>
    <row r="25330">
      <c r="B25330" s="36"/>
      <c r="C25330" s="36"/>
      <c r="E25330" s="1"/>
      <c r="F25330" s="1"/>
      <c r="G25330" s="1"/>
    </row>
    <row r="25331">
      <c r="B25331" s="36"/>
      <c r="C25331" s="36"/>
      <c r="E25331" s="1"/>
      <c r="F25331" s="1"/>
      <c r="G25331" s="1"/>
    </row>
    <row r="25332">
      <c r="B25332" s="36"/>
      <c r="C25332" s="36"/>
      <c r="E25332" s="1"/>
      <c r="F25332" s="1"/>
      <c r="G25332" s="1"/>
    </row>
    <row r="25333">
      <c r="B25333" s="36"/>
      <c r="C25333" s="36"/>
      <c r="E25333" s="1"/>
      <c r="F25333" s="1"/>
      <c r="G25333" s="1"/>
    </row>
    <row r="25334">
      <c r="B25334" s="36"/>
      <c r="C25334" s="36"/>
      <c r="E25334" s="1"/>
      <c r="F25334" s="1"/>
      <c r="G25334" s="1"/>
    </row>
    <row r="25335">
      <c r="B25335" s="36"/>
      <c r="C25335" s="36"/>
      <c r="E25335" s="1"/>
      <c r="F25335" s="1"/>
      <c r="G25335" s="1"/>
    </row>
    <row r="25336">
      <c r="B25336" s="36"/>
      <c r="C25336" s="36"/>
      <c r="E25336" s="1"/>
      <c r="F25336" s="1"/>
      <c r="G25336" s="1"/>
    </row>
    <row r="25337">
      <c r="B25337" s="36"/>
      <c r="C25337" s="36"/>
      <c r="E25337" s="1"/>
      <c r="F25337" s="1"/>
      <c r="G25337" s="1"/>
    </row>
    <row r="25338">
      <c r="B25338" s="36"/>
      <c r="C25338" s="36"/>
      <c r="E25338" s="1"/>
      <c r="F25338" s="1"/>
      <c r="G25338" s="1"/>
    </row>
    <row r="25339">
      <c r="B25339" s="36"/>
      <c r="C25339" s="36"/>
      <c r="E25339" s="1"/>
      <c r="F25339" s="1"/>
      <c r="G25339" s="1"/>
    </row>
    <row r="25340">
      <c r="B25340" s="36"/>
      <c r="C25340" s="36"/>
      <c r="E25340" s="1"/>
      <c r="F25340" s="1"/>
      <c r="G25340" s="1"/>
    </row>
    <row r="25341">
      <c r="B25341" s="36"/>
      <c r="C25341" s="36"/>
      <c r="E25341" s="1"/>
      <c r="F25341" s="1"/>
      <c r="G25341" s="1"/>
    </row>
    <row r="25342">
      <c r="B25342" s="36"/>
      <c r="C25342" s="36"/>
      <c r="E25342" s="1"/>
      <c r="F25342" s="1"/>
      <c r="G25342" s="1"/>
    </row>
    <row r="25343">
      <c r="B25343" s="36"/>
      <c r="C25343" s="36"/>
      <c r="E25343" s="1"/>
      <c r="F25343" s="1"/>
      <c r="G25343" s="1"/>
    </row>
    <row r="25344">
      <c r="B25344" s="36"/>
      <c r="C25344" s="36"/>
      <c r="E25344" s="1"/>
      <c r="F25344" s="1"/>
      <c r="G25344" s="1"/>
    </row>
    <row r="25345">
      <c r="B25345" s="36"/>
      <c r="C25345" s="36"/>
      <c r="E25345" s="1"/>
      <c r="F25345" s="1"/>
      <c r="G25345" s="1"/>
    </row>
    <row r="25346">
      <c r="B25346" s="36"/>
      <c r="C25346" s="36"/>
      <c r="E25346" s="1"/>
      <c r="F25346" s="1"/>
      <c r="G25346" s="1"/>
    </row>
    <row r="25347">
      <c r="B25347" s="36"/>
      <c r="C25347" s="36"/>
      <c r="E25347" s="1"/>
      <c r="F25347" s="1"/>
      <c r="G25347" s="1"/>
    </row>
    <row r="25348">
      <c r="B25348" s="36"/>
      <c r="C25348" s="36"/>
      <c r="E25348" s="1"/>
      <c r="F25348" s="1"/>
      <c r="G25348" s="1"/>
    </row>
    <row r="25349">
      <c r="B25349" s="36"/>
      <c r="C25349" s="36"/>
      <c r="E25349" s="1"/>
      <c r="F25349" s="1"/>
      <c r="G25349" s="1"/>
    </row>
    <row r="25350">
      <c r="B25350" s="36"/>
      <c r="C25350" s="36"/>
      <c r="E25350" s="1"/>
      <c r="F25350" s="1"/>
      <c r="G25350" s="1"/>
    </row>
    <row r="25351">
      <c r="B25351" s="36"/>
      <c r="C25351" s="36"/>
      <c r="E25351" s="1"/>
      <c r="F25351" s="1"/>
      <c r="G25351" s="1"/>
    </row>
    <row r="25352">
      <c r="B25352" s="36"/>
      <c r="C25352" s="36"/>
      <c r="E25352" s="1"/>
      <c r="F25352" s="1"/>
      <c r="G25352" s="1"/>
    </row>
    <row r="25353">
      <c r="B25353" s="36"/>
      <c r="C25353" s="36"/>
      <c r="E25353" s="1"/>
      <c r="F25353" s="1"/>
      <c r="G25353" s="1"/>
    </row>
    <row r="25354">
      <c r="B25354" s="36"/>
      <c r="C25354" s="36"/>
      <c r="E25354" s="1"/>
      <c r="F25354" s="1"/>
      <c r="G25354" s="1"/>
    </row>
    <row r="25355">
      <c r="B25355" s="36"/>
      <c r="C25355" s="36"/>
      <c r="E25355" s="1"/>
      <c r="F25355" s="1"/>
      <c r="G25355" s="1"/>
    </row>
    <row r="25356">
      <c r="B25356" s="36"/>
      <c r="C25356" s="36"/>
      <c r="E25356" s="1"/>
      <c r="F25356" s="1"/>
      <c r="G25356" s="1"/>
    </row>
    <row r="25357">
      <c r="B25357" s="36"/>
      <c r="C25357" s="36"/>
      <c r="E25357" s="1"/>
      <c r="F25357" s="1"/>
      <c r="G25357" s="1"/>
    </row>
    <row r="25358">
      <c r="B25358" s="36"/>
      <c r="C25358" s="36"/>
      <c r="E25358" s="1"/>
      <c r="F25358" s="1"/>
      <c r="G25358" s="1"/>
    </row>
    <row r="25359">
      <c r="B25359" s="36"/>
      <c r="C25359" s="36"/>
      <c r="E25359" s="1"/>
      <c r="F25359" s="1"/>
      <c r="G25359" s="1"/>
    </row>
    <row r="25360">
      <c r="B25360" s="36"/>
      <c r="C25360" s="36"/>
      <c r="E25360" s="1"/>
      <c r="F25360" s="1"/>
      <c r="G25360" s="1"/>
    </row>
    <row r="25361">
      <c r="B25361" s="36"/>
      <c r="C25361" s="36"/>
      <c r="E25361" s="1"/>
      <c r="F25361" s="1"/>
      <c r="G25361" s="1"/>
    </row>
    <row r="25362">
      <c r="B25362" s="36"/>
      <c r="C25362" s="36"/>
      <c r="E25362" s="1"/>
      <c r="F25362" s="1"/>
      <c r="G25362" s="1"/>
    </row>
    <row r="25363">
      <c r="B25363" s="36"/>
      <c r="C25363" s="36"/>
      <c r="E25363" s="1"/>
      <c r="F25363" s="1"/>
      <c r="G25363" s="1"/>
    </row>
    <row r="25364">
      <c r="B25364" s="36"/>
      <c r="C25364" s="36"/>
      <c r="E25364" s="1"/>
      <c r="F25364" s="1"/>
      <c r="G25364" s="1"/>
    </row>
    <row r="25365">
      <c r="B25365" s="36"/>
      <c r="C25365" s="36"/>
      <c r="E25365" s="1"/>
      <c r="F25365" s="1"/>
      <c r="G25365" s="1"/>
    </row>
    <row r="25366">
      <c r="B25366" s="36"/>
      <c r="C25366" s="36"/>
      <c r="E25366" s="1"/>
      <c r="F25366" s="1"/>
      <c r="G25366" s="1"/>
    </row>
    <row r="25367">
      <c r="B25367" s="36"/>
      <c r="C25367" s="36"/>
      <c r="E25367" s="1"/>
      <c r="F25367" s="1"/>
      <c r="G25367" s="1"/>
    </row>
    <row r="25368">
      <c r="B25368" s="36"/>
      <c r="C25368" s="36"/>
      <c r="E25368" s="1"/>
      <c r="F25368" s="1"/>
      <c r="G25368" s="1"/>
    </row>
    <row r="25369">
      <c r="B25369" s="36"/>
      <c r="C25369" s="36"/>
      <c r="E25369" s="1"/>
      <c r="F25369" s="1"/>
      <c r="G25369" s="1"/>
    </row>
    <row r="25370">
      <c r="B25370" s="36"/>
      <c r="C25370" s="36"/>
      <c r="E25370" s="1"/>
      <c r="F25370" s="1"/>
      <c r="G25370" s="1"/>
    </row>
    <row r="25371">
      <c r="B25371" s="36"/>
      <c r="C25371" s="36"/>
      <c r="E25371" s="1"/>
      <c r="F25371" s="1"/>
      <c r="G25371" s="1"/>
    </row>
    <row r="25372">
      <c r="B25372" s="36"/>
      <c r="C25372" s="36"/>
      <c r="E25372" s="1"/>
      <c r="F25372" s="1"/>
      <c r="G25372" s="1"/>
    </row>
    <row r="25373">
      <c r="B25373" s="36"/>
      <c r="C25373" s="36"/>
      <c r="E25373" s="1"/>
      <c r="F25373" s="1"/>
      <c r="G25373" s="1"/>
    </row>
    <row r="25374">
      <c r="B25374" s="36"/>
      <c r="C25374" s="36"/>
      <c r="E25374" s="1"/>
      <c r="F25374" s="1"/>
      <c r="G25374" s="1"/>
    </row>
    <row r="25375">
      <c r="B25375" s="36"/>
      <c r="C25375" s="36"/>
      <c r="E25375" s="1"/>
      <c r="F25375" s="1"/>
      <c r="G25375" s="1"/>
    </row>
    <row r="25376">
      <c r="B25376" s="36"/>
      <c r="C25376" s="36"/>
      <c r="E25376" s="1"/>
      <c r="F25376" s="1"/>
      <c r="G25376" s="1"/>
    </row>
    <row r="25377">
      <c r="B25377" s="36"/>
      <c r="C25377" s="36"/>
      <c r="E25377" s="1"/>
      <c r="F25377" s="1"/>
      <c r="G25377" s="1"/>
    </row>
    <row r="25378">
      <c r="B25378" s="36"/>
      <c r="C25378" s="36"/>
      <c r="E25378" s="1"/>
      <c r="F25378" s="1"/>
      <c r="G25378" s="1"/>
    </row>
    <row r="25379">
      <c r="B25379" s="36"/>
      <c r="C25379" s="36"/>
      <c r="E25379" s="1"/>
      <c r="F25379" s="1"/>
      <c r="G25379" s="1"/>
    </row>
    <row r="25380">
      <c r="B25380" s="36"/>
      <c r="C25380" s="36"/>
      <c r="E25380" s="1"/>
      <c r="F25380" s="1"/>
      <c r="G25380" s="1"/>
    </row>
    <row r="25381">
      <c r="B25381" s="36"/>
      <c r="C25381" s="36"/>
      <c r="E25381" s="1"/>
      <c r="F25381" s="1"/>
      <c r="G25381" s="1"/>
    </row>
    <row r="25382">
      <c r="B25382" s="36"/>
      <c r="C25382" s="36"/>
      <c r="E25382" s="1"/>
      <c r="F25382" s="1"/>
      <c r="G25382" s="1"/>
    </row>
    <row r="25383">
      <c r="B25383" s="36"/>
      <c r="C25383" s="36"/>
      <c r="E25383" s="1"/>
      <c r="F25383" s="1"/>
      <c r="G25383" s="1"/>
    </row>
    <row r="25384">
      <c r="B25384" s="36"/>
      <c r="C25384" s="36"/>
      <c r="E25384" s="1"/>
      <c r="F25384" s="1"/>
      <c r="G25384" s="1"/>
    </row>
    <row r="25385">
      <c r="B25385" s="36"/>
      <c r="C25385" s="36"/>
      <c r="E25385" s="1"/>
      <c r="F25385" s="1"/>
      <c r="G25385" s="1"/>
    </row>
    <row r="25386">
      <c r="B25386" s="36"/>
      <c r="C25386" s="36"/>
      <c r="E25386" s="1"/>
      <c r="F25386" s="1"/>
      <c r="G25386" s="1"/>
    </row>
    <row r="25387">
      <c r="B25387" s="36"/>
      <c r="C25387" s="36"/>
      <c r="E25387" s="1"/>
      <c r="F25387" s="1"/>
      <c r="G25387" s="1"/>
    </row>
    <row r="25388">
      <c r="B25388" s="36"/>
      <c r="C25388" s="36"/>
      <c r="E25388" s="1"/>
      <c r="F25388" s="1"/>
      <c r="G25388" s="1"/>
    </row>
    <row r="25389">
      <c r="B25389" s="36"/>
      <c r="C25389" s="36"/>
      <c r="E25389" s="1"/>
      <c r="F25389" s="1"/>
      <c r="G25389" s="1"/>
    </row>
    <row r="25390">
      <c r="B25390" s="36"/>
      <c r="C25390" s="36"/>
      <c r="E25390" s="1"/>
      <c r="F25390" s="1"/>
      <c r="G25390" s="1"/>
    </row>
    <row r="25391">
      <c r="B25391" s="36"/>
      <c r="C25391" s="36"/>
      <c r="E25391" s="1"/>
      <c r="F25391" s="1"/>
      <c r="G25391" s="1"/>
    </row>
    <row r="25392">
      <c r="B25392" s="36"/>
      <c r="C25392" s="36"/>
      <c r="E25392" s="1"/>
      <c r="F25392" s="1"/>
      <c r="G25392" s="1"/>
    </row>
    <row r="25393">
      <c r="B25393" s="36"/>
      <c r="C25393" s="36"/>
      <c r="E25393" s="1"/>
      <c r="F25393" s="1"/>
      <c r="G25393" s="1"/>
    </row>
    <row r="25394">
      <c r="B25394" s="36"/>
      <c r="C25394" s="36"/>
      <c r="E25394" s="1"/>
      <c r="F25394" s="1"/>
      <c r="G25394" s="1"/>
    </row>
    <row r="25395">
      <c r="B25395" s="36"/>
      <c r="C25395" s="36"/>
      <c r="E25395" s="1"/>
      <c r="F25395" s="1"/>
      <c r="G25395" s="1"/>
    </row>
    <row r="25396">
      <c r="B25396" s="36"/>
      <c r="C25396" s="36"/>
      <c r="E25396" s="1"/>
      <c r="F25396" s="1"/>
      <c r="G25396" s="1"/>
    </row>
    <row r="25397">
      <c r="B25397" s="36"/>
      <c r="C25397" s="36"/>
      <c r="E25397" s="1"/>
      <c r="F25397" s="1"/>
      <c r="G25397" s="1"/>
    </row>
    <row r="25398">
      <c r="B25398" s="36"/>
      <c r="C25398" s="36"/>
      <c r="E25398" s="1"/>
      <c r="F25398" s="1"/>
      <c r="G25398" s="1"/>
    </row>
    <row r="25399">
      <c r="B25399" s="36"/>
      <c r="C25399" s="36"/>
      <c r="E25399" s="1"/>
      <c r="F25399" s="1"/>
      <c r="G25399" s="1"/>
    </row>
    <row r="25400">
      <c r="B25400" s="36"/>
      <c r="C25400" s="36"/>
      <c r="E25400" s="1"/>
      <c r="F25400" s="1"/>
      <c r="G25400" s="1"/>
    </row>
    <row r="25401">
      <c r="B25401" s="36"/>
      <c r="C25401" s="36"/>
      <c r="E25401" s="1"/>
      <c r="F25401" s="1"/>
      <c r="G25401" s="1"/>
    </row>
    <row r="25402">
      <c r="B25402" s="36"/>
      <c r="C25402" s="36"/>
      <c r="E25402" s="1"/>
      <c r="F25402" s="1"/>
      <c r="G25402" s="1"/>
    </row>
    <row r="25403">
      <c r="B25403" s="36"/>
      <c r="C25403" s="36"/>
      <c r="E25403" s="1"/>
      <c r="F25403" s="1"/>
      <c r="G25403" s="1"/>
    </row>
    <row r="25404">
      <c r="B25404" s="36"/>
      <c r="C25404" s="36"/>
      <c r="E25404" s="1"/>
      <c r="F25404" s="1"/>
      <c r="G25404" s="1"/>
    </row>
    <row r="25405">
      <c r="B25405" s="36"/>
      <c r="C25405" s="36"/>
      <c r="E25405" s="1"/>
      <c r="F25405" s="1"/>
      <c r="G25405" s="1"/>
    </row>
    <row r="25406">
      <c r="B25406" s="36"/>
      <c r="C25406" s="36"/>
      <c r="E25406" s="1"/>
      <c r="F25406" s="1"/>
      <c r="G25406" s="1"/>
    </row>
    <row r="25407">
      <c r="B25407" s="36"/>
      <c r="C25407" s="36"/>
      <c r="E25407" s="1"/>
      <c r="F25407" s="1"/>
      <c r="G25407" s="1"/>
    </row>
    <row r="25408">
      <c r="B25408" s="36"/>
      <c r="C25408" s="36"/>
      <c r="E25408" s="1"/>
      <c r="F25408" s="1"/>
      <c r="G25408" s="1"/>
    </row>
    <row r="25409">
      <c r="B25409" s="36"/>
      <c r="C25409" s="36"/>
      <c r="E25409" s="1"/>
      <c r="F25409" s="1"/>
      <c r="G25409" s="1"/>
    </row>
    <row r="25410">
      <c r="B25410" s="36"/>
      <c r="C25410" s="36"/>
      <c r="E25410" s="1"/>
      <c r="F25410" s="1"/>
      <c r="G25410" s="1"/>
    </row>
    <row r="25411">
      <c r="B25411" s="36"/>
      <c r="C25411" s="36"/>
      <c r="E25411" s="1"/>
      <c r="F25411" s="1"/>
      <c r="G25411" s="1"/>
    </row>
    <row r="25412">
      <c r="B25412" s="36"/>
      <c r="C25412" s="36"/>
      <c r="E25412" s="1"/>
      <c r="F25412" s="1"/>
      <c r="G25412" s="1"/>
    </row>
    <row r="25413">
      <c r="B25413" s="36"/>
      <c r="C25413" s="36"/>
      <c r="E25413" s="1"/>
      <c r="F25413" s="1"/>
      <c r="G25413" s="1"/>
    </row>
    <row r="25414">
      <c r="B25414" s="36"/>
      <c r="C25414" s="36"/>
      <c r="E25414" s="1"/>
      <c r="F25414" s="1"/>
      <c r="G25414" s="1"/>
    </row>
    <row r="25415">
      <c r="B25415" s="36"/>
      <c r="C25415" s="36"/>
      <c r="E25415" s="1"/>
      <c r="F25415" s="1"/>
      <c r="G25415" s="1"/>
    </row>
    <row r="25416">
      <c r="B25416" s="36"/>
      <c r="C25416" s="36"/>
      <c r="E25416" s="1"/>
      <c r="F25416" s="1"/>
      <c r="G25416" s="1"/>
    </row>
    <row r="25417">
      <c r="B25417" s="36"/>
      <c r="C25417" s="36"/>
      <c r="E25417" s="1"/>
      <c r="F25417" s="1"/>
      <c r="G25417" s="1"/>
    </row>
    <row r="25418">
      <c r="B25418" s="36"/>
      <c r="C25418" s="36"/>
      <c r="E25418" s="1"/>
      <c r="F25418" s="1"/>
      <c r="G25418" s="1"/>
    </row>
    <row r="25419">
      <c r="B25419" s="36"/>
      <c r="C25419" s="36"/>
      <c r="E25419" s="1"/>
      <c r="F25419" s="1"/>
      <c r="G25419" s="1"/>
    </row>
    <row r="25420">
      <c r="B25420" s="36"/>
      <c r="C25420" s="36"/>
      <c r="E25420" s="1"/>
      <c r="F25420" s="1"/>
      <c r="G25420" s="1"/>
    </row>
    <row r="25421">
      <c r="B25421" s="36"/>
      <c r="C25421" s="36"/>
      <c r="E25421" s="1"/>
      <c r="F25421" s="1"/>
      <c r="G25421" s="1"/>
    </row>
    <row r="25422">
      <c r="B25422" s="36"/>
      <c r="C25422" s="36"/>
      <c r="E25422" s="1"/>
      <c r="F25422" s="1"/>
      <c r="G25422" s="1"/>
    </row>
    <row r="25423">
      <c r="B25423" s="36"/>
      <c r="C25423" s="36"/>
      <c r="E25423" s="1"/>
      <c r="F25423" s="1"/>
      <c r="G25423" s="1"/>
    </row>
    <row r="25424">
      <c r="B25424" s="36"/>
      <c r="C25424" s="36"/>
      <c r="E25424" s="1"/>
      <c r="F25424" s="1"/>
      <c r="G25424" s="1"/>
    </row>
    <row r="25425">
      <c r="B25425" s="36"/>
      <c r="C25425" s="36"/>
      <c r="E25425" s="1"/>
      <c r="F25425" s="1"/>
      <c r="G25425" s="1"/>
    </row>
    <row r="25426">
      <c r="B25426" s="36"/>
      <c r="C25426" s="36"/>
      <c r="E25426" s="1"/>
      <c r="F25426" s="1"/>
      <c r="G25426" s="1"/>
    </row>
    <row r="25427">
      <c r="B25427" s="36"/>
      <c r="C25427" s="36"/>
      <c r="E25427" s="1"/>
      <c r="F25427" s="1"/>
      <c r="G25427" s="1"/>
    </row>
    <row r="25428">
      <c r="B25428" s="36"/>
      <c r="C25428" s="36"/>
      <c r="E25428" s="1"/>
      <c r="F25428" s="1"/>
      <c r="G25428" s="1"/>
    </row>
    <row r="25429">
      <c r="B25429" s="36"/>
      <c r="C25429" s="36"/>
      <c r="E25429" s="1"/>
      <c r="F25429" s="1"/>
      <c r="G25429" s="1"/>
    </row>
    <row r="25430">
      <c r="B25430" s="36"/>
      <c r="C25430" s="36"/>
      <c r="E25430" s="1"/>
      <c r="F25430" s="1"/>
      <c r="G25430" s="1"/>
    </row>
    <row r="25431">
      <c r="B25431" s="36"/>
      <c r="C25431" s="36"/>
      <c r="E25431" s="1"/>
      <c r="F25431" s="1"/>
      <c r="G25431" s="1"/>
    </row>
    <row r="25432">
      <c r="B25432" s="36"/>
      <c r="C25432" s="36"/>
      <c r="E25432" s="1"/>
      <c r="F25432" s="1"/>
      <c r="G25432" s="1"/>
    </row>
    <row r="25433">
      <c r="B25433" s="36"/>
      <c r="C25433" s="36"/>
      <c r="E25433" s="1"/>
      <c r="F25433" s="1"/>
      <c r="G25433" s="1"/>
    </row>
    <row r="25434">
      <c r="B25434" s="36"/>
      <c r="C25434" s="36"/>
      <c r="E25434" s="1"/>
      <c r="F25434" s="1"/>
      <c r="G25434" s="1"/>
    </row>
    <row r="25435">
      <c r="B25435" s="36"/>
      <c r="C25435" s="36"/>
      <c r="E25435" s="1"/>
      <c r="F25435" s="1"/>
      <c r="G25435" s="1"/>
    </row>
    <row r="25436">
      <c r="B25436" s="36"/>
      <c r="C25436" s="36"/>
      <c r="E25436" s="1"/>
      <c r="F25436" s="1"/>
      <c r="G25436" s="1"/>
    </row>
    <row r="25437">
      <c r="B25437" s="36"/>
      <c r="C25437" s="36"/>
      <c r="E25437" s="1"/>
      <c r="F25437" s="1"/>
      <c r="G25437" s="1"/>
    </row>
    <row r="25438">
      <c r="B25438" s="36"/>
      <c r="C25438" s="36"/>
      <c r="E25438" s="1"/>
      <c r="F25438" s="1"/>
      <c r="G25438" s="1"/>
    </row>
    <row r="25439">
      <c r="B25439" s="36"/>
      <c r="C25439" s="36"/>
      <c r="E25439" s="1"/>
      <c r="F25439" s="1"/>
      <c r="G25439" s="1"/>
    </row>
    <row r="25440">
      <c r="B25440" s="36"/>
      <c r="C25440" s="36"/>
      <c r="E25440" s="1"/>
      <c r="F25440" s="1"/>
      <c r="G25440" s="1"/>
    </row>
    <row r="25441">
      <c r="B25441" s="36"/>
      <c r="C25441" s="36"/>
      <c r="E25441" s="1"/>
      <c r="F25441" s="1"/>
      <c r="G25441" s="1"/>
    </row>
    <row r="25442">
      <c r="B25442" s="36"/>
      <c r="C25442" s="36"/>
      <c r="E25442" s="1"/>
      <c r="F25442" s="1"/>
      <c r="G25442" s="1"/>
    </row>
    <row r="25443">
      <c r="B25443" s="36"/>
      <c r="C25443" s="36"/>
      <c r="E25443" s="1"/>
      <c r="F25443" s="1"/>
      <c r="G25443" s="1"/>
    </row>
    <row r="25444">
      <c r="B25444" s="36"/>
      <c r="C25444" s="36"/>
      <c r="E25444" s="1"/>
      <c r="F25444" s="1"/>
      <c r="G25444" s="1"/>
    </row>
    <row r="25445">
      <c r="B25445" s="36"/>
      <c r="C25445" s="36"/>
      <c r="E25445" s="1"/>
      <c r="F25445" s="1"/>
      <c r="G25445" s="1"/>
    </row>
    <row r="25446">
      <c r="B25446" s="36"/>
      <c r="C25446" s="36"/>
      <c r="E25446" s="1"/>
      <c r="F25446" s="1"/>
      <c r="G25446" s="1"/>
    </row>
    <row r="25447">
      <c r="B25447" s="36"/>
      <c r="C25447" s="36"/>
      <c r="E25447" s="1"/>
      <c r="F25447" s="1"/>
      <c r="G25447" s="1"/>
    </row>
    <row r="25448">
      <c r="B25448" s="36"/>
      <c r="C25448" s="36"/>
      <c r="E25448" s="1"/>
      <c r="F25448" s="1"/>
      <c r="G25448" s="1"/>
    </row>
    <row r="25449">
      <c r="B25449" s="36"/>
      <c r="C25449" s="36"/>
      <c r="E25449" s="1"/>
      <c r="F25449" s="1"/>
      <c r="G25449" s="1"/>
    </row>
    <row r="25450">
      <c r="B25450" s="36"/>
      <c r="C25450" s="36"/>
      <c r="E25450" s="1"/>
      <c r="F25450" s="1"/>
      <c r="G25450" s="1"/>
    </row>
    <row r="25451">
      <c r="B25451" s="36"/>
      <c r="C25451" s="36"/>
      <c r="E25451" s="1"/>
      <c r="F25451" s="1"/>
      <c r="G25451" s="1"/>
    </row>
    <row r="25452">
      <c r="B25452" s="36"/>
      <c r="C25452" s="36"/>
      <c r="E25452" s="1"/>
      <c r="F25452" s="1"/>
      <c r="G25452" s="1"/>
    </row>
    <row r="25453">
      <c r="B25453" s="36"/>
      <c r="C25453" s="36"/>
      <c r="E25453" s="1"/>
      <c r="F25453" s="1"/>
      <c r="G25453" s="1"/>
    </row>
    <row r="25454">
      <c r="B25454" s="36"/>
      <c r="C25454" s="36"/>
      <c r="E25454" s="1"/>
      <c r="F25454" s="1"/>
      <c r="G25454" s="1"/>
    </row>
    <row r="25455">
      <c r="B25455" s="36"/>
      <c r="C25455" s="36"/>
      <c r="E25455" s="1"/>
      <c r="F25455" s="1"/>
      <c r="G25455" s="1"/>
    </row>
    <row r="25456">
      <c r="B25456" s="36"/>
      <c r="C25456" s="36"/>
      <c r="E25456" s="1"/>
      <c r="F25456" s="1"/>
      <c r="G25456" s="1"/>
    </row>
    <row r="25457">
      <c r="B25457" s="36"/>
      <c r="C25457" s="36"/>
      <c r="E25457" s="1"/>
      <c r="F25457" s="1"/>
      <c r="G25457" s="1"/>
    </row>
    <row r="25458">
      <c r="B25458" s="36"/>
      <c r="C25458" s="36"/>
      <c r="E25458" s="1"/>
      <c r="F25458" s="1"/>
      <c r="G25458" s="1"/>
    </row>
    <row r="25459">
      <c r="B25459" s="36"/>
      <c r="C25459" s="36"/>
      <c r="E25459" s="1"/>
      <c r="F25459" s="1"/>
      <c r="G25459" s="1"/>
    </row>
    <row r="25460">
      <c r="B25460" s="36"/>
      <c r="C25460" s="36"/>
      <c r="E25460" s="1"/>
      <c r="F25460" s="1"/>
      <c r="G25460" s="1"/>
    </row>
    <row r="25461">
      <c r="B25461" s="36"/>
      <c r="C25461" s="36"/>
      <c r="E25461" s="1"/>
      <c r="F25461" s="1"/>
      <c r="G25461" s="1"/>
    </row>
    <row r="25462">
      <c r="B25462" s="36"/>
      <c r="C25462" s="36"/>
      <c r="E25462" s="1"/>
      <c r="F25462" s="1"/>
      <c r="G25462" s="1"/>
    </row>
    <row r="25463">
      <c r="B25463" s="36"/>
      <c r="C25463" s="36"/>
      <c r="E25463" s="1"/>
      <c r="F25463" s="1"/>
      <c r="G25463" s="1"/>
    </row>
    <row r="25464">
      <c r="B25464" s="36"/>
      <c r="C25464" s="36"/>
      <c r="E25464" s="1"/>
      <c r="F25464" s="1"/>
      <c r="G25464" s="1"/>
    </row>
    <row r="25465">
      <c r="B25465" s="36"/>
      <c r="C25465" s="36"/>
      <c r="E25465" s="1"/>
      <c r="F25465" s="1"/>
      <c r="G25465" s="1"/>
    </row>
    <row r="25466">
      <c r="B25466" s="36"/>
      <c r="C25466" s="36"/>
      <c r="E25466" s="1"/>
      <c r="F25466" s="1"/>
      <c r="G25466" s="1"/>
    </row>
    <row r="25467">
      <c r="B25467" s="36"/>
      <c r="C25467" s="36"/>
      <c r="E25467" s="1"/>
      <c r="F25467" s="1"/>
      <c r="G25467" s="1"/>
    </row>
    <row r="25468">
      <c r="B25468" s="36"/>
      <c r="C25468" s="36"/>
      <c r="E25468" s="1"/>
      <c r="F25468" s="1"/>
      <c r="G25468" s="1"/>
    </row>
    <row r="25469">
      <c r="B25469" s="36"/>
      <c r="C25469" s="36"/>
      <c r="E25469" s="1"/>
      <c r="F25469" s="1"/>
      <c r="G25469" s="1"/>
    </row>
    <row r="25470">
      <c r="B25470" s="36"/>
      <c r="C25470" s="36"/>
      <c r="E25470" s="1"/>
      <c r="F25470" s="1"/>
      <c r="G25470" s="1"/>
    </row>
    <row r="25471">
      <c r="B25471" s="36"/>
      <c r="C25471" s="36"/>
      <c r="E25471" s="1"/>
      <c r="F25471" s="1"/>
      <c r="G25471" s="1"/>
    </row>
    <row r="25472">
      <c r="B25472" s="36"/>
      <c r="C25472" s="36"/>
      <c r="E25472" s="1"/>
      <c r="F25472" s="1"/>
      <c r="G25472" s="1"/>
    </row>
    <row r="25473">
      <c r="B25473" s="36"/>
      <c r="C25473" s="36"/>
      <c r="E25473" s="1"/>
      <c r="F25473" s="1"/>
      <c r="G25473" s="1"/>
    </row>
    <row r="25474">
      <c r="B25474" s="36"/>
      <c r="C25474" s="36"/>
      <c r="E25474" s="1"/>
      <c r="F25474" s="1"/>
      <c r="G25474" s="1"/>
    </row>
    <row r="25475">
      <c r="B25475" s="36"/>
      <c r="C25475" s="36"/>
      <c r="E25475" s="1"/>
      <c r="F25475" s="1"/>
      <c r="G25475" s="1"/>
    </row>
    <row r="25476">
      <c r="B25476" s="36"/>
      <c r="C25476" s="36"/>
      <c r="E25476" s="1"/>
      <c r="F25476" s="1"/>
      <c r="G25476" s="1"/>
    </row>
    <row r="25477">
      <c r="B25477" s="36"/>
      <c r="C25477" s="36"/>
      <c r="E25477" s="1"/>
      <c r="F25477" s="1"/>
      <c r="G25477" s="1"/>
    </row>
    <row r="25478">
      <c r="B25478" s="36"/>
      <c r="C25478" s="36"/>
      <c r="E25478" s="1"/>
      <c r="F25478" s="1"/>
      <c r="G25478" s="1"/>
    </row>
    <row r="25479">
      <c r="B25479" s="36"/>
      <c r="C25479" s="36"/>
      <c r="E25479" s="1"/>
      <c r="F25479" s="1"/>
      <c r="G25479" s="1"/>
    </row>
    <row r="25480">
      <c r="B25480" s="36"/>
      <c r="C25480" s="36"/>
      <c r="E25480" s="1"/>
      <c r="F25480" s="1"/>
      <c r="G25480" s="1"/>
    </row>
    <row r="25481">
      <c r="B25481" s="36"/>
      <c r="C25481" s="36"/>
      <c r="E25481" s="1"/>
      <c r="F25481" s="1"/>
      <c r="G25481" s="1"/>
    </row>
    <row r="25482">
      <c r="B25482" s="36"/>
      <c r="C25482" s="36"/>
      <c r="E25482" s="1"/>
      <c r="F25482" s="1"/>
      <c r="G25482" s="1"/>
    </row>
    <row r="25483">
      <c r="B25483" s="36"/>
      <c r="C25483" s="36"/>
      <c r="E25483" s="1"/>
      <c r="F25483" s="1"/>
      <c r="G25483" s="1"/>
    </row>
    <row r="25484">
      <c r="B25484" s="36"/>
      <c r="C25484" s="36"/>
      <c r="E25484" s="1"/>
      <c r="F25484" s="1"/>
      <c r="G25484" s="1"/>
    </row>
    <row r="25485">
      <c r="B25485" s="36"/>
      <c r="C25485" s="36"/>
      <c r="E25485" s="1"/>
      <c r="F25485" s="1"/>
      <c r="G25485" s="1"/>
    </row>
    <row r="25486">
      <c r="B25486" s="36"/>
      <c r="C25486" s="36"/>
      <c r="E25486" s="1"/>
      <c r="F25486" s="1"/>
      <c r="G25486" s="1"/>
    </row>
    <row r="25487">
      <c r="B25487" s="36"/>
      <c r="C25487" s="36"/>
      <c r="E25487" s="1"/>
      <c r="F25487" s="1"/>
      <c r="G25487" s="1"/>
    </row>
    <row r="25488">
      <c r="B25488" s="36"/>
      <c r="C25488" s="36"/>
      <c r="E25488" s="1"/>
      <c r="F25488" s="1"/>
      <c r="G25488" s="1"/>
    </row>
    <row r="25489">
      <c r="B25489" s="36"/>
      <c r="C25489" s="36"/>
      <c r="E25489" s="1"/>
      <c r="F25489" s="1"/>
      <c r="G25489" s="1"/>
    </row>
    <row r="25490">
      <c r="B25490" s="36"/>
      <c r="C25490" s="36"/>
      <c r="E25490" s="1"/>
      <c r="F25490" s="1"/>
      <c r="G25490" s="1"/>
    </row>
    <row r="25491">
      <c r="B25491" s="36"/>
      <c r="C25491" s="36"/>
      <c r="E25491" s="1"/>
      <c r="F25491" s="1"/>
      <c r="G25491" s="1"/>
    </row>
    <row r="25492">
      <c r="B25492" s="36"/>
      <c r="C25492" s="36"/>
      <c r="E25492" s="1"/>
      <c r="F25492" s="1"/>
      <c r="G25492" s="1"/>
    </row>
    <row r="25493">
      <c r="B25493" s="36"/>
      <c r="C25493" s="36"/>
      <c r="E25493" s="1"/>
      <c r="F25493" s="1"/>
      <c r="G25493" s="1"/>
    </row>
    <row r="25494">
      <c r="B25494" s="36"/>
      <c r="C25494" s="36"/>
      <c r="E25494" s="1"/>
      <c r="F25494" s="1"/>
      <c r="G25494" s="1"/>
    </row>
    <row r="25495">
      <c r="B25495" s="36"/>
      <c r="C25495" s="36"/>
      <c r="E25495" s="1"/>
      <c r="F25495" s="1"/>
      <c r="G25495" s="1"/>
    </row>
    <row r="25496">
      <c r="B25496" s="36"/>
      <c r="C25496" s="36"/>
      <c r="E25496" s="1"/>
      <c r="F25496" s="1"/>
      <c r="G25496" s="1"/>
    </row>
    <row r="25497">
      <c r="B25497" s="36"/>
      <c r="C25497" s="36"/>
      <c r="E25497" s="1"/>
      <c r="F25497" s="1"/>
      <c r="G25497" s="1"/>
    </row>
    <row r="25498">
      <c r="B25498" s="36"/>
      <c r="C25498" s="36"/>
      <c r="E25498" s="1"/>
      <c r="F25498" s="1"/>
      <c r="G25498" s="1"/>
    </row>
    <row r="25499">
      <c r="B25499" s="36"/>
      <c r="C25499" s="36"/>
      <c r="E25499" s="1"/>
      <c r="F25499" s="1"/>
      <c r="G25499" s="1"/>
    </row>
    <row r="25500">
      <c r="B25500" s="36"/>
      <c r="C25500" s="36"/>
      <c r="E25500" s="1"/>
      <c r="F25500" s="1"/>
      <c r="G25500" s="1"/>
    </row>
    <row r="25501">
      <c r="B25501" s="36"/>
      <c r="C25501" s="36"/>
      <c r="E25501" s="1"/>
      <c r="F25501" s="1"/>
      <c r="G25501" s="1"/>
    </row>
    <row r="25502">
      <c r="B25502" s="36"/>
      <c r="C25502" s="36"/>
      <c r="E25502" s="1"/>
      <c r="F25502" s="1"/>
      <c r="G25502" s="1"/>
    </row>
    <row r="25503">
      <c r="B25503" s="36"/>
      <c r="C25503" s="36"/>
      <c r="E25503" s="1"/>
      <c r="F25503" s="1"/>
      <c r="G25503" s="1"/>
    </row>
    <row r="25504">
      <c r="B25504" s="36"/>
      <c r="C25504" s="36"/>
      <c r="E25504" s="1"/>
      <c r="F25504" s="1"/>
      <c r="G25504" s="1"/>
    </row>
    <row r="25505">
      <c r="B25505" s="36"/>
      <c r="C25505" s="36"/>
      <c r="E25505" s="1"/>
      <c r="F25505" s="1"/>
      <c r="G25505" s="1"/>
    </row>
    <row r="25506">
      <c r="B25506" s="36"/>
      <c r="C25506" s="36"/>
      <c r="E25506" s="1"/>
      <c r="F25506" s="1"/>
      <c r="G25506" s="1"/>
    </row>
    <row r="25507">
      <c r="B25507" s="36"/>
      <c r="C25507" s="36"/>
      <c r="E25507" s="1"/>
      <c r="F25507" s="1"/>
      <c r="G25507" s="1"/>
    </row>
    <row r="25508">
      <c r="B25508" s="36"/>
      <c r="C25508" s="36"/>
      <c r="E25508" s="1"/>
      <c r="F25508" s="1"/>
      <c r="G25508" s="1"/>
    </row>
    <row r="25509">
      <c r="B25509" s="36"/>
      <c r="C25509" s="36"/>
      <c r="E25509" s="1"/>
      <c r="F25509" s="1"/>
      <c r="G25509" s="1"/>
    </row>
    <row r="25510">
      <c r="B25510" s="36"/>
      <c r="C25510" s="36"/>
      <c r="E25510" s="1"/>
      <c r="F25510" s="1"/>
      <c r="G25510" s="1"/>
    </row>
    <row r="25511">
      <c r="B25511" s="36"/>
      <c r="C25511" s="36"/>
      <c r="E25511" s="1"/>
      <c r="F25511" s="1"/>
      <c r="G25511" s="1"/>
    </row>
    <row r="25512">
      <c r="B25512" s="36"/>
      <c r="C25512" s="36"/>
      <c r="E25512" s="1"/>
      <c r="F25512" s="1"/>
      <c r="G25512" s="1"/>
    </row>
    <row r="25513">
      <c r="B25513" s="36"/>
      <c r="C25513" s="36"/>
      <c r="E25513" s="1"/>
      <c r="F25513" s="1"/>
      <c r="G25513" s="1"/>
    </row>
    <row r="25514">
      <c r="B25514" s="36"/>
      <c r="C25514" s="36"/>
      <c r="E25514" s="1"/>
      <c r="F25514" s="1"/>
      <c r="G25514" s="1"/>
    </row>
    <row r="25515">
      <c r="B25515" s="36"/>
      <c r="C25515" s="36"/>
      <c r="E25515" s="1"/>
      <c r="F25515" s="1"/>
      <c r="G25515" s="1"/>
    </row>
    <row r="25516">
      <c r="B25516" s="36"/>
      <c r="C25516" s="36"/>
      <c r="E25516" s="1"/>
      <c r="F25516" s="1"/>
      <c r="G25516" s="1"/>
    </row>
    <row r="25517">
      <c r="B25517" s="36"/>
      <c r="C25517" s="36"/>
      <c r="E25517" s="1"/>
      <c r="F25517" s="1"/>
      <c r="G25517" s="1"/>
    </row>
    <row r="25518">
      <c r="B25518" s="36"/>
      <c r="C25518" s="36"/>
      <c r="E25518" s="1"/>
      <c r="F25518" s="1"/>
      <c r="G25518" s="1"/>
    </row>
    <row r="25519">
      <c r="B25519" s="36"/>
      <c r="C25519" s="36"/>
      <c r="E25519" s="1"/>
      <c r="F25519" s="1"/>
      <c r="G25519" s="1"/>
    </row>
    <row r="25520">
      <c r="B25520" s="36"/>
      <c r="C25520" s="36"/>
      <c r="E25520" s="1"/>
      <c r="F25520" s="1"/>
      <c r="G25520" s="1"/>
    </row>
    <row r="25521">
      <c r="B25521" s="36"/>
      <c r="C25521" s="36"/>
      <c r="E25521" s="1"/>
      <c r="F25521" s="1"/>
      <c r="G25521" s="1"/>
    </row>
    <row r="25522">
      <c r="B25522" s="36"/>
      <c r="C25522" s="36"/>
      <c r="E25522" s="1"/>
      <c r="F25522" s="1"/>
      <c r="G25522" s="1"/>
    </row>
    <row r="25523">
      <c r="B25523" s="36"/>
      <c r="C25523" s="36"/>
      <c r="E25523" s="1"/>
      <c r="F25523" s="1"/>
      <c r="G25523" s="1"/>
    </row>
    <row r="25524">
      <c r="B25524" s="36"/>
      <c r="C25524" s="36"/>
      <c r="E25524" s="1"/>
      <c r="F25524" s="1"/>
      <c r="G25524" s="1"/>
    </row>
    <row r="25525">
      <c r="B25525" s="36"/>
      <c r="C25525" s="36"/>
      <c r="E25525" s="1"/>
      <c r="F25525" s="1"/>
      <c r="G25525" s="1"/>
    </row>
    <row r="25526">
      <c r="B25526" s="36"/>
      <c r="C25526" s="36"/>
      <c r="E25526" s="1"/>
      <c r="F25526" s="1"/>
      <c r="G25526" s="1"/>
    </row>
    <row r="25527">
      <c r="B25527" s="36"/>
      <c r="C25527" s="36"/>
      <c r="E25527" s="1"/>
      <c r="F25527" s="1"/>
      <c r="G25527" s="1"/>
    </row>
    <row r="25528">
      <c r="B25528" s="36"/>
      <c r="C25528" s="36"/>
      <c r="E25528" s="1"/>
      <c r="F25528" s="1"/>
      <c r="G25528" s="1"/>
    </row>
    <row r="25529">
      <c r="B25529" s="36"/>
      <c r="C25529" s="36"/>
      <c r="E25529" s="1"/>
      <c r="F25529" s="1"/>
      <c r="G25529" s="1"/>
    </row>
    <row r="25530">
      <c r="B25530" s="36"/>
      <c r="C25530" s="36"/>
      <c r="E25530" s="1"/>
      <c r="F25530" s="1"/>
      <c r="G25530" s="1"/>
    </row>
    <row r="25531">
      <c r="B25531" s="36"/>
      <c r="C25531" s="36"/>
      <c r="E25531" s="1"/>
      <c r="F25531" s="1"/>
      <c r="G25531" s="1"/>
    </row>
    <row r="25532">
      <c r="B25532" s="36"/>
      <c r="C25532" s="36"/>
      <c r="E25532" s="1"/>
      <c r="F25532" s="1"/>
      <c r="G25532" s="1"/>
    </row>
    <row r="25533">
      <c r="B25533" s="36"/>
      <c r="C25533" s="36"/>
      <c r="E25533" s="1"/>
      <c r="F25533" s="1"/>
      <c r="G25533" s="1"/>
    </row>
    <row r="25534">
      <c r="B25534" s="36"/>
      <c r="C25534" s="36"/>
      <c r="E25534" s="1"/>
      <c r="F25534" s="1"/>
      <c r="G25534" s="1"/>
    </row>
    <row r="25535">
      <c r="B25535" s="36"/>
      <c r="C25535" s="36"/>
      <c r="E25535" s="1"/>
      <c r="F25535" s="1"/>
      <c r="G25535" s="1"/>
    </row>
    <row r="25536">
      <c r="B25536" s="36"/>
      <c r="C25536" s="36"/>
      <c r="E25536" s="1"/>
      <c r="F25536" s="1"/>
      <c r="G25536" s="1"/>
    </row>
    <row r="25537">
      <c r="B25537" s="36"/>
      <c r="C25537" s="36"/>
      <c r="E25537" s="1"/>
      <c r="F25537" s="1"/>
      <c r="G25537" s="1"/>
    </row>
    <row r="25538">
      <c r="B25538" s="36"/>
      <c r="C25538" s="36"/>
      <c r="E25538" s="1"/>
      <c r="F25538" s="1"/>
      <c r="G25538" s="1"/>
    </row>
    <row r="25539">
      <c r="B25539" s="36"/>
      <c r="C25539" s="36"/>
      <c r="E25539" s="1"/>
      <c r="F25539" s="1"/>
      <c r="G25539" s="1"/>
    </row>
    <row r="25540">
      <c r="B25540" s="36"/>
      <c r="C25540" s="36"/>
      <c r="E25540" s="1"/>
      <c r="F25540" s="1"/>
      <c r="G25540" s="1"/>
    </row>
    <row r="25541">
      <c r="B25541" s="36"/>
      <c r="C25541" s="36"/>
      <c r="E25541" s="1"/>
      <c r="F25541" s="1"/>
      <c r="G25541" s="1"/>
    </row>
    <row r="25542">
      <c r="B25542" s="36"/>
      <c r="C25542" s="36"/>
      <c r="E25542" s="1"/>
      <c r="F25542" s="1"/>
      <c r="G25542" s="1"/>
    </row>
    <row r="25543">
      <c r="B25543" s="36"/>
      <c r="C25543" s="36"/>
      <c r="E25543" s="1"/>
      <c r="F25543" s="1"/>
      <c r="G25543" s="1"/>
    </row>
    <row r="25544">
      <c r="B25544" s="36"/>
      <c r="C25544" s="36"/>
      <c r="E25544" s="1"/>
      <c r="F25544" s="1"/>
      <c r="G25544" s="1"/>
    </row>
    <row r="25545">
      <c r="B25545" s="36"/>
      <c r="C25545" s="36"/>
      <c r="E25545" s="1"/>
      <c r="F25545" s="1"/>
      <c r="G25545" s="1"/>
    </row>
    <row r="25546">
      <c r="B25546" s="36"/>
      <c r="C25546" s="36"/>
      <c r="E25546" s="1"/>
      <c r="F25546" s="1"/>
      <c r="G25546" s="1"/>
    </row>
    <row r="25547">
      <c r="B25547" s="36"/>
      <c r="C25547" s="36"/>
      <c r="E25547" s="1"/>
      <c r="F25547" s="1"/>
      <c r="G25547" s="1"/>
    </row>
    <row r="25548">
      <c r="B25548" s="36"/>
      <c r="C25548" s="36"/>
      <c r="E25548" s="1"/>
      <c r="F25548" s="1"/>
      <c r="G25548" s="1"/>
    </row>
    <row r="25549">
      <c r="B25549" s="36"/>
      <c r="C25549" s="36"/>
      <c r="E25549" s="1"/>
      <c r="F25549" s="1"/>
      <c r="G25549" s="1"/>
    </row>
    <row r="25550">
      <c r="B25550" s="36"/>
      <c r="C25550" s="36"/>
      <c r="E25550" s="1"/>
      <c r="F25550" s="1"/>
      <c r="G25550" s="1"/>
    </row>
    <row r="25551">
      <c r="B25551" s="36"/>
      <c r="C25551" s="36"/>
      <c r="E25551" s="1"/>
      <c r="F25551" s="1"/>
      <c r="G25551" s="1"/>
    </row>
    <row r="25552">
      <c r="B25552" s="36"/>
      <c r="C25552" s="36"/>
      <c r="E25552" s="1"/>
      <c r="F25552" s="1"/>
      <c r="G25552" s="1"/>
    </row>
    <row r="25553">
      <c r="B25553" s="36"/>
      <c r="C25553" s="36"/>
      <c r="E25553" s="1"/>
      <c r="F25553" s="1"/>
      <c r="G25553" s="1"/>
    </row>
    <row r="25554">
      <c r="B25554" s="36"/>
      <c r="C25554" s="36"/>
      <c r="E25554" s="1"/>
      <c r="F25554" s="1"/>
      <c r="G25554" s="1"/>
    </row>
    <row r="25555">
      <c r="B25555" s="36"/>
      <c r="C25555" s="36"/>
      <c r="E25555" s="1"/>
      <c r="F25555" s="1"/>
      <c r="G25555" s="1"/>
    </row>
    <row r="25556">
      <c r="B25556" s="36"/>
      <c r="C25556" s="36"/>
      <c r="E25556" s="1"/>
      <c r="F25556" s="1"/>
      <c r="G25556" s="1"/>
    </row>
    <row r="25557">
      <c r="B25557" s="36"/>
      <c r="C25557" s="36"/>
      <c r="E25557" s="1"/>
      <c r="F25557" s="1"/>
      <c r="G25557" s="1"/>
    </row>
    <row r="25558">
      <c r="B25558" s="36"/>
      <c r="C25558" s="36"/>
      <c r="E25558" s="1"/>
      <c r="F25558" s="1"/>
      <c r="G25558" s="1"/>
    </row>
    <row r="25559">
      <c r="B25559" s="36"/>
      <c r="C25559" s="36"/>
      <c r="E25559" s="1"/>
      <c r="F25559" s="1"/>
      <c r="G25559" s="1"/>
    </row>
    <row r="25560">
      <c r="B25560" s="36"/>
      <c r="C25560" s="36"/>
      <c r="E25560" s="1"/>
      <c r="F25560" s="1"/>
      <c r="G25560" s="1"/>
    </row>
    <row r="25561">
      <c r="B25561" s="36"/>
      <c r="C25561" s="36"/>
      <c r="E25561" s="1"/>
      <c r="F25561" s="1"/>
      <c r="G25561" s="1"/>
    </row>
    <row r="25562">
      <c r="B25562" s="36"/>
      <c r="C25562" s="36"/>
      <c r="E25562" s="1"/>
      <c r="F25562" s="1"/>
      <c r="G25562" s="1"/>
    </row>
    <row r="25563">
      <c r="B25563" s="36"/>
      <c r="C25563" s="36"/>
      <c r="E25563" s="1"/>
      <c r="F25563" s="1"/>
      <c r="G25563" s="1"/>
    </row>
    <row r="25564">
      <c r="B25564" s="36"/>
      <c r="C25564" s="36"/>
      <c r="E25564" s="1"/>
      <c r="F25564" s="1"/>
      <c r="G25564" s="1"/>
    </row>
    <row r="25565">
      <c r="B25565" s="36"/>
      <c r="C25565" s="36"/>
      <c r="E25565" s="1"/>
      <c r="F25565" s="1"/>
      <c r="G25565" s="1"/>
    </row>
    <row r="25566">
      <c r="B25566" s="36"/>
      <c r="C25566" s="36"/>
      <c r="E25566" s="1"/>
      <c r="F25566" s="1"/>
      <c r="G25566" s="1"/>
    </row>
    <row r="25567">
      <c r="B25567" s="36"/>
      <c r="C25567" s="36"/>
      <c r="E25567" s="1"/>
      <c r="F25567" s="1"/>
      <c r="G25567" s="1"/>
    </row>
    <row r="25568">
      <c r="B25568" s="36"/>
      <c r="C25568" s="36"/>
      <c r="E25568" s="1"/>
      <c r="F25568" s="1"/>
      <c r="G25568" s="1"/>
    </row>
    <row r="25569">
      <c r="B25569" s="36"/>
      <c r="C25569" s="36"/>
      <c r="E25569" s="1"/>
      <c r="F25569" s="1"/>
      <c r="G25569" s="1"/>
    </row>
    <row r="25570">
      <c r="B25570" s="36"/>
      <c r="C25570" s="36"/>
      <c r="E25570" s="1"/>
      <c r="F25570" s="1"/>
      <c r="G25570" s="1"/>
    </row>
    <row r="25571">
      <c r="B25571" s="36"/>
      <c r="C25571" s="36"/>
      <c r="E25571" s="1"/>
      <c r="F25571" s="1"/>
      <c r="G25571" s="1"/>
    </row>
    <row r="25572">
      <c r="B25572" s="36"/>
      <c r="C25572" s="36"/>
      <c r="E25572" s="1"/>
      <c r="F25572" s="1"/>
      <c r="G25572" s="1"/>
    </row>
    <row r="25573">
      <c r="B25573" s="36"/>
      <c r="C25573" s="36"/>
      <c r="E25573" s="1"/>
      <c r="F25573" s="1"/>
      <c r="G25573" s="1"/>
    </row>
    <row r="25574">
      <c r="B25574" s="36"/>
      <c r="C25574" s="36"/>
      <c r="E25574" s="1"/>
      <c r="F25574" s="1"/>
      <c r="G25574" s="1"/>
    </row>
    <row r="25575">
      <c r="B25575" s="36"/>
      <c r="C25575" s="36"/>
      <c r="E25575" s="1"/>
      <c r="F25575" s="1"/>
      <c r="G25575" s="1"/>
    </row>
    <row r="25576">
      <c r="B25576" s="36"/>
      <c r="C25576" s="36"/>
      <c r="E25576" s="1"/>
      <c r="F25576" s="1"/>
      <c r="G25576" s="1"/>
    </row>
    <row r="25577">
      <c r="B25577" s="36"/>
      <c r="C25577" s="36"/>
      <c r="E25577" s="1"/>
      <c r="F25577" s="1"/>
      <c r="G25577" s="1"/>
    </row>
    <row r="25578">
      <c r="B25578" s="36"/>
      <c r="C25578" s="36"/>
      <c r="E25578" s="1"/>
      <c r="F25578" s="1"/>
      <c r="G25578" s="1"/>
    </row>
    <row r="25579">
      <c r="B25579" s="36"/>
      <c r="C25579" s="36"/>
      <c r="E25579" s="1"/>
      <c r="F25579" s="1"/>
      <c r="G25579" s="1"/>
    </row>
    <row r="25580">
      <c r="B25580" s="36"/>
      <c r="C25580" s="36"/>
      <c r="E25580" s="1"/>
      <c r="F25580" s="1"/>
      <c r="G25580" s="1"/>
    </row>
    <row r="25581">
      <c r="B25581" s="36"/>
      <c r="C25581" s="36"/>
      <c r="E25581" s="1"/>
      <c r="F25581" s="1"/>
      <c r="G25581" s="1"/>
    </row>
    <row r="25582">
      <c r="B25582" s="36"/>
      <c r="C25582" s="36"/>
      <c r="E25582" s="1"/>
      <c r="F25582" s="1"/>
      <c r="G25582" s="1"/>
    </row>
    <row r="25583">
      <c r="B25583" s="36"/>
      <c r="C25583" s="36"/>
      <c r="E25583" s="1"/>
      <c r="F25583" s="1"/>
      <c r="G25583" s="1"/>
    </row>
    <row r="25584">
      <c r="B25584" s="36"/>
      <c r="C25584" s="36"/>
      <c r="E25584" s="1"/>
      <c r="F25584" s="1"/>
      <c r="G25584" s="1"/>
    </row>
    <row r="25585">
      <c r="B25585" s="36"/>
      <c r="C25585" s="36"/>
      <c r="E25585" s="1"/>
      <c r="F25585" s="1"/>
      <c r="G25585" s="1"/>
    </row>
    <row r="25586">
      <c r="B25586" s="36"/>
      <c r="C25586" s="36"/>
      <c r="E25586" s="1"/>
      <c r="F25586" s="1"/>
      <c r="G25586" s="1"/>
    </row>
    <row r="25587">
      <c r="B25587" s="36"/>
      <c r="C25587" s="36"/>
      <c r="E25587" s="1"/>
      <c r="F25587" s="1"/>
      <c r="G25587" s="1"/>
    </row>
    <row r="25588">
      <c r="B25588" s="36"/>
      <c r="C25588" s="36"/>
      <c r="E25588" s="1"/>
      <c r="F25588" s="1"/>
      <c r="G25588" s="1"/>
    </row>
    <row r="25589">
      <c r="B25589" s="36"/>
      <c r="C25589" s="36"/>
      <c r="E25589" s="1"/>
      <c r="F25589" s="1"/>
      <c r="G25589" s="1"/>
    </row>
    <row r="25590">
      <c r="B25590" s="36"/>
      <c r="C25590" s="36"/>
      <c r="E25590" s="1"/>
      <c r="F25590" s="1"/>
      <c r="G25590" s="1"/>
    </row>
    <row r="25591">
      <c r="B25591" s="36"/>
      <c r="C25591" s="36"/>
      <c r="E25591" s="1"/>
      <c r="F25591" s="1"/>
      <c r="G25591" s="1"/>
    </row>
    <row r="25592">
      <c r="B25592" s="36"/>
      <c r="C25592" s="36"/>
      <c r="E25592" s="1"/>
      <c r="F25592" s="1"/>
      <c r="G25592" s="1"/>
    </row>
    <row r="25593">
      <c r="B25593" s="36"/>
      <c r="C25593" s="36"/>
      <c r="E25593" s="1"/>
      <c r="F25593" s="1"/>
      <c r="G25593" s="1"/>
    </row>
    <row r="25594">
      <c r="B25594" s="36"/>
      <c r="C25594" s="36"/>
      <c r="E25594" s="1"/>
      <c r="F25594" s="1"/>
      <c r="G25594" s="1"/>
    </row>
    <row r="25595">
      <c r="B25595" s="36"/>
      <c r="C25595" s="36"/>
      <c r="E25595" s="1"/>
      <c r="F25595" s="1"/>
      <c r="G25595" s="1"/>
    </row>
    <row r="25596">
      <c r="B25596" s="36"/>
      <c r="C25596" s="36"/>
      <c r="E25596" s="1"/>
      <c r="F25596" s="1"/>
      <c r="G25596" s="1"/>
    </row>
    <row r="25597">
      <c r="B25597" s="36"/>
      <c r="C25597" s="36"/>
      <c r="E25597" s="1"/>
      <c r="F25597" s="1"/>
      <c r="G25597" s="1"/>
    </row>
    <row r="25598">
      <c r="B25598" s="36"/>
      <c r="C25598" s="36"/>
      <c r="E25598" s="1"/>
      <c r="F25598" s="1"/>
      <c r="G25598" s="1"/>
    </row>
    <row r="25599">
      <c r="B25599" s="36"/>
      <c r="C25599" s="36"/>
      <c r="E25599" s="1"/>
      <c r="F25599" s="1"/>
      <c r="G25599" s="1"/>
    </row>
    <row r="25600">
      <c r="B25600" s="36"/>
      <c r="C25600" s="36"/>
      <c r="E25600" s="1"/>
      <c r="F25600" s="1"/>
      <c r="G25600" s="1"/>
    </row>
    <row r="25601">
      <c r="B25601" s="36"/>
      <c r="C25601" s="36"/>
      <c r="E25601" s="1"/>
      <c r="F25601" s="1"/>
      <c r="G25601" s="1"/>
    </row>
    <row r="25602">
      <c r="B25602" s="36"/>
      <c r="C25602" s="36"/>
      <c r="E25602" s="1"/>
      <c r="F25602" s="1"/>
      <c r="G25602" s="1"/>
    </row>
    <row r="25603">
      <c r="B25603" s="36"/>
      <c r="C25603" s="36"/>
      <c r="E25603" s="1"/>
      <c r="F25603" s="1"/>
      <c r="G25603" s="1"/>
    </row>
    <row r="25604">
      <c r="B25604" s="36"/>
      <c r="C25604" s="36"/>
      <c r="E25604" s="1"/>
      <c r="F25604" s="1"/>
      <c r="G25604" s="1"/>
    </row>
    <row r="25605">
      <c r="B25605" s="36"/>
      <c r="C25605" s="36"/>
      <c r="E25605" s="1"/>
      <c r="F25605" s="1"/>
      <c r="G25605" s="1"/>
    </row>
    <row r="25606">
      <c r="B25606" s="36"/>
      <c r="C25606" s="36"/>
      <c r="E25606" s="1"/>
      <c r="F25606" s="1"/>
      <c r="G25606" s="1"/>
    </row>
    <row r="25607">
      <c r="B25607" s="36"/>
      <c r="C25607" s="36"/>
      <c r="E25607" s="1"/>
      <c r="F25607" s="1"/>
      <c r="G25607" s="1"/>
    </row>
    <row r="25608">
      <c r="B25608" s="36"/>
      <c r="C25608" s="36"/>
      <c r="E25608" s="1"/>
      <c r="F25608" s="1"/>
      <c r="G25608" s="1"/>
    </row>
    <row r="25609">
      <c r="B25609" s="36"/>
      <c r="C25609" s="36"/>
      <c r="E25609" s="1"/>
      <c r="F25609" s="1"/>
      <c r="G25609" s="1"/>
    </row>
    <row r="25610">
      <c r="B25610" s="36"/>
      <c r="C25610" s="36"/>
      <c r="E25610" s="1"/>
      <c r="F25610" s="1"/>
      <c r="G25610" s="1"/>
    </row>
    <row r="25611">
      <c r="B25611" s="36"/>
      <c r="C25611" s="36"/>
      <c r="E25611" s="1"/>
      <c r="F25611" s="1"/>
      <c r="G25611" s="1"/>
    </row>
    <row r="25612">
      <c r="B25612" s="36"/>
      <c r="C25612" s="36"/>
      <c r="E25612" s="1"/>
      <c r="F25612" s="1"/>
      <c r="G25612" s="1"/>
    </row>
    <row r="25613">
      <c r="B25613" s="36"/>
      <c r="C25613" s="36"/>
      <c r="E25613" s="1"/>
      <c r="F25613" s="1"/>
      <c r="G25613" s="1"/>
    </row>
    <row r="25614">
      <c r="B25614" s="36"/>
      <c r="C25614" s="36"/>
      <c r="E25614" s="1"/>
      <c r="F25614" s="1"/>
      <c r="G25614" s="1"/>
    </row>
    <row r="25615">
      <c r="B25615" s="36"/>
      <c r="C25615" s="36"/>
      <c r="E25615" s="1"/>
      <c r="F25615" s="1"/>
      <c r="G25615" s="1"/>
    </row>
    <row r="25616">
      <c r="B25616" s="36"/>
      <c r="C25616" s="36"/>
      <c r="E25616" s="1"/>
      <c r="F25616" s="1"/>
      <c r="G25616" s="1"/>
    </row>
    <row r="25617">
      <c r="B25617" s="36"/>
      <c r="C25617" s="36"/>
      <c r="E25617" s="1"/>
      <c r="F25617" s="1"/>
      <c r="G25617" s="1"/>
    </row>
    <row r="25618">
      <c r="B25618" s="36"/>
      <c r="C25618" s="36"/>
      <c r="E25618" s="1"/>
      <c r="F25618" s="1"/>
      <c r="G25618" s="1"/>
    </row>
    <row r="25619">
      <c r="B25619" s="36"/>
      <c r="C25619" s="36"/>
      <c r="E25619" s="1"/>
      <c r="F25619" s="1"/>
      <c r="G25619" s="1"/>
    </row>
    <row r="25620">
      <c r="B25620" s="36"/>
      <c r="C25620" s="36"/>
      <c r="E25620" s="1"/>
      <c r="F25620" s="1"/>
      <c r="G25620" s="1"/>
    </row>
    <row r="25621">
      <c r="B25621" s="36"/>
      <c r="C25621" s="36"/>
      <c r="E25621" s="1"/>
      <c r="F25621" s="1"/>
      <c r="G25621" s="1"/>
    </row>
    <row r="25622">
      <c r="B25622" s="36"/>
      <c r="C25622" s="36"/>
      <c r="E25622" s="1"/>
      <c r="F25622" s="1"/>
      <c r="G25622" s="1"/>
    </row>
    <row r="25623">
      <c r="B25623" s="36"/>
      <c r="C25623" s="36"/>
      <c r="E25623" s="1"/>
      <c r="F25623" s="1"/>
      <c r="G25623" s="1"/>
    </row>
    <row r="25624">
      <c r="B25624" s="36"/>
      <c r="C25624" s="36"/>
      <c r="E25624" s="1"/>
      <c r="F25624" s="1"/>
      <c r="G25624" s="1"/>
    </row>
    <row r="25625">
      <c r="B25625" s="36"/>
      <c r="C25625" s="36"/>
      <c r="E25625" s="1"/>
      <c r="F25625" s="1"/>
      <c r="G25625" s="1"/>
    </row>
    <row r="25626">
      <c r="B25626" s="36"/>
      <c r="C25626" s="36"/>
      <c r="E25626" s="1"/>
      <c r="F25626" s="1"/>
      <c r="G25626" s="1"/>
    </row>
    <row r="25627">
      <c r="B25627" s="36"/>
      <c r="C25627" s="36"/>
      <c r="E25627" s="1"/>
      <c r="F25627" s="1"/>
      <c r="G25627" s="1"/>
    </row>
    <row r="25628">
      <c r="B25628" s="36"/>
      <c r="C25628" s="36"/>
      <c r="E25628" s="1"/>
      <c r="F25628" s="1"/>
      <c r="G25628" s="1"/>
    </row>
    <row r="25629">
      <c r="B25629" s="36"/>
      <c r="C25629" s="36"/>
      <c r="E25629" s="1"/>
      <c r="F25629" s="1"/>
      <c r="G25629" s="1"/>
    </row>
    <row r="25630">
      <c r="B25630" s="36"/>
      <c r="C25630" s="36"/>
      <c r="E25630" s="1"/>
      <c r="F25630" s="1"/>
      <c r="G25630" s="1"/>
    </row>
    <row r="25631">
      <c r="B25631" s="36"/>
      <c r="C25631" s="36"/>
      <c r="E25631" s="1"/>
      <c r="F25631" s="1"/>
      <c r="G25631" s="1"/>
    </row>
    <row r="25632">
      <c r="B25632" s="36"/>
      <c r="C25632" s="36"/>
      <c r="E25632" s="1"/>
      <c r="F25632" s="1"/>
      <c r="G25632" s="1"/>
    </row>
    <row r="25633">
      <c r="B25633" s="36"/>
      <c r="C25633" s="36"/>
      <c r="E25633" s="1"/>
      <c r="F25633" s="1"/>
      <c r="G25633" s="1"/>
    </row>
    <row r="25634">
      <c r="B25634" s="36"/>
      <c r="C25634" s="36"/>
      <c r="E25634" s="1"/>
      <c r="F25634" s="1"/>
      <c r="G25634" s="1"/>
    </row>
    <row r="25635">
      <c r="B25635" s="36"/>
      <c r="C25635" s="36"/>
      <c r="E25635" s="1"/>
      <c r="F25635" s="1"/>
      <c r="G25635" s="1"/>
    </row>
    <row r="25636">
      <c r="B25636" s="36"/>
      <c r="C25636" s="36"/>
      <c r="E25636" s="1"/>
      <c r="F25636" s="1"/>
      <c r="G25636" s="1"/>
    </row>
    <row r="25637">
      <c r="B25637" s="36"/>
      <c r="C25637" s="36"/>
      <c r="E25637" s="1"/>
      <c r="F25637" s="1"/>
      <c r="G25637" s="1"/>
    </row>
    <row r="25638">
      <c r="B25638" s="36"/>
      <c r="C25638" s="36"/>
      <c r="E25638" s="1"/>
      <c r="F25638" s="1"/>
      <c r="G25638" s="1"/>
    </row>
    <row r="25639">
      <c r="B25639" s="36"/>
      <c r="C25639" s="36"/>
      <c r="E25639" s="1"/>
      <c r="F25639" s="1"/>
      <c r="G25639" s="1"/>
    </row>
    <row r="25640">
      <c r="B25640" s="36"/>
      <c r="C25640" s="36"/>
      <c r="E25640" s="1"/>
      <c r="F25640" s="1"/>
      <c r="G25640" s="1"/>
    </row>
    <row r="25641">
      <c r="B25641" s="36"/>
      <c r="C25641" s="36"/>
      <c r="E25641" s="1"/>
      <c r="F25641" s="1"/>
      <c r="G25641" s="1"/>
    </row>
    <row r="25642">
      <c r="B25642" s="36"/>
      <c r="C25642" s="36"/>
      <c r="E25642" s="1"/>
      <c r="F25642" s="1"/>
      <c r="G25642" s="1"/>
    </row>
    <row r="25643">
      <c r="B25643" s="36"/>
      <c r="C25643" s="36"/>
      <c r="E25643" s="1"/>
      <c r="F25643" s="1"/>
      <c r="G25643" s="1"/>
    </row>
    <row r="25644">
      <c r="B25644" s="36"/>
      <c r="C25644" s="36"/>
      <c r="E25644" s="1"/>
      <c r="F25644" s="1"/>
      <c r="G25644" s="1"/>
    </row>
    <row r="25645">
      <c r="B25645" s="36"/>
      <c r="C25645" s="36"/>
      <c r="E25645" s="1"/>
      <c r="F25645" s="1"/>
      <c r="G25645" s="1"/>
    </row>
    <row r="25646">
      <c r="B25646" s="36"/>
      <c r="C25646" s="36"/>
      <c r="E25646" s="1"/>
      <c r="F25646" s="1"/>
      <c r="G25646" s="1"/>
    </row>
    <row r="25647">
      <c r="B25647" s="36"/>
      <c r="C25647" s="36"/>
      <c r="E25647" s="1"/>
      <c r="F25647" s="1"/>
      <c r="G25647" s="1"/>
    </row>
    <row r="25648">
      <c r="B25648" s="36"/>
      <c r="C25648" s="36"/>
      <c r="E25648" s="1"/>
      <c r="F25648" s="1"/>
      <c r="G25648" s="1"/>
    </row>
    <row r="25649">
      <c r="B25649" s="36"/>
      <c r="C25649" s="36"/>
      <c r="E25649" s="1"/>
      <c r="F25649" s="1"/>
      <c r="G25649" s="1"/>
    </row>
    <row r="25650">
      <c r="B25650" s="36"/>
      <c r="C25650" s="36"/>
      <c r="E25650" s="1"/>
      <c r="F25650" s="1"/>
      <c r="G25650" s="1"/>
    </row>
    <row r="25651">
      <c r="B25651" s="36"/>
      <c r="C25651" s="36"/>
      <c r="E25651" s="1"/>
      <c r="F25651" s="1"/>
      <c r="G25651" s="1"/>
    </row>
    <row r="25652">
      <c r="B25652" s="36"/>
      <c r="C25652" s="36"/>
      <c r="E25652" s="1"/>
      <c r="F25652" s="1"/>
      <c r="G25652" s="1"/>
    </row>
    <row r="25653">
      <c r="B25653" s="36"/>
      <c r="C25653" s="36"/>
      <c r="E25653" s="1"/>
      <c r="F25653" s="1"/>
      <c r="G25653" s="1"/>
    </row>
    <row r="25654">
      <c r="B25654" s="36"/>
      <c r="C25654" s="36"/>
      <c r="E25654" s="1"/>
      <c r="F25654" s="1"/>
      <c r="G25654" s="1"/>
    </row>
    <row r="25655">
      <c r="B25655" s="36"/>
      <c r="C25655" s="36"/>
      <c r="E25655" s="1"/>
      <c r="F25655" s="1"/>
      <c r="G25655" s="1"/>
    </row>
    <row r="25656">
      <c r="B25656" s="36"/>
      <c r="C25656" s="36"/>
      <c r="E25656" s="1"/>
      <c r="F25656" s="1"/>
      <c r="G25656" s="1"/>
    </row>
    <row r="25657">
      <c r="B25657" s="36"/>
      <c r="C25657" s="36"/>
      <c r="E25657" s="1"/>
      <c r="F25657" s="1"/>
      <c r="G25657" s="1"/>
    </row>
    <row r="25658">
      <c r="B25658" s="36"/>
      <c r="C25658" s="36"/>
      <c r="E25658" s="1"/>
      <c r="F25658" s="1"/>
      <c r="G25658" s="1"/>
    </row>
    <row r="25659">
      <c r="B25659" s="36"/>
      <c r="C25659" s="36"/>
      <c r="E25659" s="1"/>
      <c r="F25659" s="1"/>
      <c r="G25659" s="1"/>
    </row>
    <row r="25660">
      <c r="B25660" s="36"/>
      <c r="C25660" s="36"/>
      <c r="E25660" s="1"/>
      <c r="F25660" s="1"/>
      <c r="G25660" s="1"/>
    </row>
    <row r="25661">
      <c r="B25661" s="36"/>
      <c r="C25661" s="36"/>
      <c r="E25661" s="1"/>
      <c r="F25661" s="1"/>
      <c r="G25661" s="1"/>
    </row>
    <row r="25662">
      <c r="B25662" s="36"/>
      <c r="C25662" s="36"/>
      <c r="E25662" s="1"/>
      <c r="F25662" s="1"/>
      <c r="G25662" s="1"/>
    </row>
    <row r="25663">
      <c r="B25663" s="36"/>
      <c r="C25663" s="36"/>
      <c r="E25663" s="1"/>
      <c r="F25663" s="1"/>
      <c r="G25663" s="1"/>
    </row>
    <row r="25664">
      <c r="B25664" s="36"/>
      <c r="C25664" s="36"/>
      <c r="E25664" s="1"/>
      <c r="F25664" s="1"/>
      <c r="G25664" s="1"/>
    </row>
    <row r="25665">
      <c r="B25665" s="36"/>
      <c r="C25665" s="36"/>
      <c r="E25665" s="1"/>
      <c r="F25665" s="1"/>
      <c r="G25665" s="1"/>
    </row>
    <row r="25666">
      <c r="B25666" s="36"/>
      <c r="C25666" s="36"/>
      <c r="E25666" s="1"/>
      <c r="F25666" s="1"/>
      <c r="G25666" s="1"/>
    </row>
    <row r="25667">
      <c r="B25667" s="36"/>
      <c r="C25667" s="36"/>
      <c r="E25667" s="1"/>
      <c r="F25667" s="1"/>
      <c r="G25667" s="1"/>
    </row>
    <row r="25668">
      <c r="B25668" s="36"/>
      <c r="C25668" s="36"/>
      <c r="E25668" s="1"/>
      <c r="F25668" s="1"/>
      <c r="G25668" s="1"/>
    </row>
    <row r="25669">
      <c r="B25669" s="36"/>
      <c r="C25669" s="36"/>
      <c r="E25669" s="1"/>
      <c r="F25669" s="1"/>
      <c r="G25669" s="1"/>
    </row>
    <row r="25670">
      <c r="B25670" s="36"/>
      <c r="C25670" s="36"/>
      <c r="E25670" s="1"/>
      <c r="F25670" s="1"/>
      <c r="G25670" s="1"/>
    </row>
    <row r="25671">
      <c r="B25671" s="36"/>
      <c r="C25671" s="36"/>
      <c r="E25671" s="1"/>
      <c r="F25671" s="1"/>
      <c r="G25671" s="1"/>
    </row>
    <row r="25672">
      <c r="B25672" s="36"/>
      <c r="C25672" s="36"/>
      <c r="E25672" s="1"/>
      <c r="F25672" s="1"/>
      <c r="G25672" s="1"/>
    </row>
    <row r="25673">
      <c r="B25673" s="36"/>
      <c r="C25673" s="36"/>
      <c r="E25673" s="1"/>
      <c r="F25673" s="1"/>
      <c r="G25673" s="1"/>
    </row>
    <row r="25674">
      <c r="B25674" s="36"/>
      <c r="C25674" s="36"/>
      <c r="E25674" s="1"/>
      <c r="F25674" s="1"/>
      <c r="G25674" s="1"/>
    </row>
    <row r="25675">
      <c r="B25675" s="36"/>
      <c r="C25675" s="36"/>
      <c r="E25675" s="1"/>
      <c r="F25675" s="1"/>
      <c r="G25675" s="1"/>
    </row>
    <row r="25676">
      <c r="B25676" s="36"/>
      <c r="C25676" s="36"/>
      <c r="E25676" s="1"/>
      <c r="F25676" s="1"/>
      <c r="G25676" s="1"/>
    </row>
    <row r="25677">
      <c r="B25677" s="36"/>
      <c r="C25677" s="36"/>
      <c r="E25677" s="1"/>
      <c r="F25677" s="1"/>
      <c r="G25677" s="1"/>
    </row>
    <row r="25678">
      <c r="B25678" s="36"/>
      <c r="C25678" s="36"/>
      <c r="E25678" s="1"/>
      <c r="F25678" s="1"/>
      <c r="G25678" s="1"/>
    </row>
    <row r="25679">
      <c r="B25679" s="36"/>
      <c r="C25679" s="36"/>
      <c r="E25679" s="1"/>
      <c r="F25679" s="1"/>
      <c r="G25679" s="1"/>
    </row>
    <row r="25680">
      <c r="B25680" s="36"/>
      <c r="C25680" s="36"/>
      <c r="E25680" s="1"/>
      <c r="F25680" s="1"/>
      <c r="G25680" s="1"/>
    </row>
    <row r="25681">
      <c r="B25681" s="36"/>
      <c r="C25681" s="36"/>
      <c r="E25681" s="1"/>
      <c r="F25681" s="1"/>
      <c r="G25681" s="1"/>
    </row>
    <row r="25682">
      <c r="B25682" s="36"/>
      <c r="C25682" s="36"/>
      <c r="E25682" s="1"/>
      <c r="F25682" s="1"/>
      <c r="G25682" s="1"/>
    </row>
    <row r="25683">
      <c r="B25683" s="36"/>
      <c r="C25683" s="36"/>
      <c r="E25683" s="1"/>
      <c r="F25683" s="1"/>
      <c r="G25683" s="1"/>
    </row>
    <row r="25684">
      <c r="B25684" s="36"/>
      <c r="C25684" s="36"/>
      <c r="E25684" s="1"/>
      <c r="F25684" s="1"/>
      <c r="G25684" s="1"/>
    </row>
    <row r="25685">
      <c r="B25685" s="36"/>
      <c r="C25685" s="36"/>
      <c r="E25685" s="1"/>
      <c r="F25685" s="1"/>
      <c r="G25685" s="1"/>
    </row>
    <row r="25686">
      <c r="B25686" s="36"/>
      <c r="C25686" s="36"/>
      <c r="E25686" s="1"/>
      <c r="F25686" s="1"/>
      <c r="G25686" s="1"/>
    </row>
    <row r="25687">
      <c r="B25687" s="36"/>
      <c r="C25687" s="36"/>
      <c r="E25687" s="1"/>
      <c r="F25687" s="1"/>
      <c r="G25687" s="1"/>
    </row>
    <row r="25688">
      <c r="B25688" s="36"/>
      <c r="C25688" s="36"/>
      <c r="E25688" s="1"/>
      <c r="F25688" s="1"/>
      <c r="G25688" s="1"/>
    </row>
    <row r="25689">
      <c r="B25689" s="36"/>
      <c r="C25689" s="36"/>
      <c r="E25689" s="1"/>
      <c r="F25689" s="1"/>
      <c r="G25689" s="1"/>
    </row>
    <row r="25690">
      <c r="B25690" s="36"/>
      <c r="C25690" s="36"/>
      <c r="E25690" s="1"/>
      <c r="F25690" s="1"/>
      <c r="G25690" s="1"/>
    </row>
    <row r="25691">
      <c r="B25691" s="36"/>
      <c r="C25691" s="36"/>
      <c r="E25691" s="1"/>
      <c r="F25691" s="1"/>
      <c r="G25691" s="1"/>
    </row>
    <row r="25692">
      <c r="B25692" s="36"/>
      <c r="C25692" s="36"/>
      <c r="E25692" s="1"/>
      <c r="F25692" s="1"/>
      <c r="G25692" s="1"/>
    </row>
    <row r="25693">
      <c r="B25693" s="36"/>
      <c r="C25693" s="36"/>
      <c r="E25693" s="1"/>
      <c r="F25693" s="1"/>
      <c r="G25693" s="1"/>
    </row>
    <row r="25694">
      <c r="B25694" s="36"/>
      <c r="C25694" s="36"/>
      <c r="E25694" s="1"/>
      <c r="F25694" s="1"/>
      <c r="G25694" s="1"/>
    </row>
    <row r="25695">
      <c r="B25695" s="36"/>
      <c r="C25695" s="36"/>
      <c r="E25695" s="1"/>
      <c r="F25695" s="1"/>
      <c r="G25695" s="1"/>
    </row>
    <row r="25696">
      <c r="B25696" s="36"/>
      <c r="C25696" s="36"/>
      <c r="E25696" s="1"/>
      <c r="F25696" s="1"/>
      <c r="G25696" s="1"/>
    </row>
    <row r="25697">
      <c r="B25697" s="36"/>
      <c r="C25697" s="36"/>
      <c r="E25697" s="1"/>
      <c r="F25697" s="1"/>
      <c r="G25697" s="1"/>
    </row>
    <row r="25698">
      <c r="B25698" s="36"/>
      <c r="C25698" s="36"/>
      <c r="E25698" s="1"/>
      <c r="F25698" s="1"/>
      <c r="G25698" s="1"/>
    </row>
    <row r="25699">
      <c r="B25699" s="36"/>
      <c r="C25699" s="36"/>
      <c r="E25699" s="1"/>
      <c r="F25699" s="1"/>
      <c r="G25699" s="1"/>
    </row>
    <row r="25700">
      <c r="B25700" s="36"/>
      <c r="C25700" s="36"/>
      <c r="E25700" s="1"/>
      <c r="F25700" s="1"/>
      <c r="G25700" s="1"/>
    </row>
    <row r="25701">
      <c r="B25701" s="36"/>
      <c r="C25701" s="36"/>
      <c r="E25701" s="1"/>
      <c r="F25701" s="1"/>
      <c r="G25701" s="1"/>
    </row>
    <row r="25702">
      <c r="B25702" s="36"/>
      <c r="C25702" s="36"/>
      <c r="E25702" s="1"/>
      <c r="F25702" s="1"/>
      <c r="G25702" s="1"/>
    </row>
    <row r="25703">
      <c r="B25703" s="36"/>
      <c r="C25703" s="36"/>
      <c r="E25703" s="1"/>
      <c r="F25703" s="1"/>
      <c r="G25703" s="1"/>
    </row>
    <row r="25704">
      <c r="B25704" s="36"/>
      <c r="C25704" s="36"/>
      <c r="E25704" s="1"/>
      <c r="F25704" s="1"/>
      <c r="G25704" s="1"/>
    </row>
    <row r="25705">
      <c r="B25705" s="36"/>
      <c r="C25705" s="36"/>
      <c r="E25705" s="1"/>
      <c r="F25705" s="1"/>
      <c r="G25705" s="1"/>
    </row>
    <row r="25706">
      <c r="B25706" s="36"/>
      <c r="C25706" s="36"/>
      <c r="E25706" s="1"/>
      <c r="F25706" s="1"/>
      <c r="G25706" s="1"/>
    </row>
    <row r="25707">
      <c r="B25707" s="36"/>
      <c r="C25707" s="36"/>
      <c r="E25707" s="1"/>
      <c r="F25707" s="1"/>
      <c r="G25707" s="1"/>
    </row>
    <row r="25708">
      <c r="B25708" s="36"/>
      <c r="C25708" s="36"/>
      <c r="E25708" s="1"/>
      <c r="F25708" s="1"/>
      <c r="G25708" s="1"/>
    </row>
    <row r="25709">
      <c r="B25709" s="36"/>
      <c r="C25709" s="36"/>
      <c r="E25709" s="1"/>
      <c r="F25709" s="1"/>
      <c r="G25709" s="1"/>
    </row>
    <row r="25710">
      <c r="B25710" s="36"/>
      <c r="C25710" s="36"/>
      <c r="E25710" s="1"/>
      <c r="F25710" s="1"/>
      <c r="G25710" s="1"/>
    </row>
    <row r="25711">
      <c r="B25711" s="36"/>
      <c r="C25711" s="36"/>
      <c r="E25711" s="1"/>
      <c r="F25711" s="1"/>
      <c r="G25711" s="1"/>
    </row>
    <row r="25712">
      <c r="B25712" s="36"/>
      <c r="C25712" s="36"/>
      <c r="E25712" s="1"/>
      <c r="F25712" s="1"/>
      <c r="G25712" s="1"/>
    </row>
    <row r="25713">
      <c r="B25713" s="36"/>
      <c r="C25713" s="36"/>
      <c r="E25713" s="1"/>
      <c r="F25713" s="1"/>
      <c r="G25713" s="1"/>
    </row>
    <row r="25714">
      <c r="B25714" s="36"/>
      <c r="C25714" s="36"/>
      <c r="E25714" s="1"/>
      <c r="F25714" s="1"/>
      <c r="G25714" s="1"/>
    </row>
    <row r="25715">
      <c r="B25715" s="36"/>
      <c r="C25715" s="36"/>
      <c r="E25715" s="1"/>
      <c r="F25715" s="1"/>
      <c r="G25715" s="1"/>
    </row>
    <row r="25716">
      <c r="B25716" s="36"/>
      <c r="C25716" s="36"/>
      <c r="E25716" s="1"/>
      <c r="F25716" s="1"/>
      <c r="G25716" s="1"/>
    </row>
    <row r="25717">
      <c r="B25717" s="36"/>
      <c r="C25717" s="36"/>
      <c r="E25717" s="1"/>
      <c r="F25717" s="1"/>
      <c r="G25717" s="1"/>
    </row>
    <row r="25718">
      <c r="B25718" s="36"/>
      <c r="C25718" s="36"/>
      <c r="E25718" s="1"/>
      <c r="F25718" s="1"/>
      <c r="G25718" s="1"/>
    </row>
    <row r="25719">
      <c r="B25719" s="36"/>
      <c r="C25719" s="36"/>
      <c r="E25719" s="1"/>
      <c r="F25719" s="1"/>
      <c r="G25719" s="1"/>
    </row>
    <row r="25720">
      <c r="B25720" s="36"/>
      <c r="C25720" s="36"/>
      <c r="E25720" s="1"/>
      <c r="F25720" s="1"/>
      <c r="G25720" s="1"/>
    </row>
    <row r="25721">
      <c r="B25721" s="36"/>
      <c r="C25721" s="36"/>
      <c r="E25721" s="1"/>
      <c r="F25721" s="1"/>
      <c r="G25721" s="1"/>
    </row>
    <row r="25722">
      <c r="B25722" s="36"/>
      <c r="C25722" s="36"/>
      <c r="E25722" s="1"/>
      <c r="F25722" s="1"/>
      <c r="G25722" s="1"/>
    </row>
    <row r="25723">
      <c r="B25723" s="36"/>
      <c r="C25723" s="36"/>
      <c r="E25723" s="1"/>
      <c r="F25723" s="1"/>
      <c r="G25723" s="1"/>
    </row>
    <row r="25724">
      <c r="B25724" s="36"/>
      <c r="C25724" s="36"/>
      <c r="E25724" s="1"/>
      <c r="F25724" s="1"/>
      <c r="G25724" s="1"/>
    </row>
    <row r="25725">
      <c r="B25725" s="36"/>
      <c r="C25725" s="36"/>
      <c r="E25725" s="1"/>
      <c r="F25725" s="1"/>
      <c r="G25725" s="1"/>
    </row>
    <row r="25726">
      <c r="B25726" s="36"/>
      <c r="C25726" s="36"/>
      <c r="E25726" s="1"/>
      <c r="F25726" s="1"/>
      <c r="G25726" s="1"/>
    </row>
    <row r="25727">
      <c r="B25727" s="36"/>
      <c r="C25727" s="36"/>
      <c r="E25727" s="1"/>
      <c r="F25727" s="1"/>
      <c r="G25727" s="1"/>
    </row>
    <row r="25728">
      <c r="B25728" s="36"/>
      <c r="C25728" s="36"/>
      <c r="E25728" s="1"/>
      <c r="F25728" s="1"/>
      <c r="G25728" s="1"/>
    </row>
    <row r="25729">
      <c r="B25729" s="36"/>
      <c r="C25729" s="36"/>
      <c r="E25729" s="1"/>
      <c r="F25729" s="1"/>
      <c r="G25729" s="1"/>
    </row>
    <row r="25730">
      <c r="B25730" s="36"/>
      <c r="C25730" s="36"/>
      <c r="E25730" s="1"/>
      <c r="F25730" s="1"/>
      <c r="G25730" s="1"/>
    </row>
    <row r="25731">
      <c r="B25731" s="36"/>
      <c r="C25731" s="36"/>
      <c r="E25731" s="1"/>
      <c r="F25731" s="1"/>
      <c r="G25731" s="1"/>
    </row>
    <row r="25732">
      <c r="B25732" s="36"/>
      <c r="C25732" s="36"/>
      <c r="E25732" s="1"/>
      <c r="F25732" s="1"/>
      <c r="G25732" s="1"/>
    </row>
    <row r="25733">
      <c r="B25733" s="36"/>
      <c r="C25733" s="36"/>
      <c r="E25733" s="1"/>
      <c r="F25733" s="1"/>
      <c r="G25733" s="1"/>
    </row>
    <row r="25734">
      <c r="B25734" s="36"/>
      <c r="C25734" s="36"/>
      <c r="E25734" s="1"/>
      <c r="F25734" s="1"/>
      <c r="G25734" s="1"/>
    </row>
    <row r="25735">
      <c r="B25735" s="36"/>
      <c r="C25735" s="36"/>
      <c r="E25735" s="1"/>
      <c r="F25735" s="1"/>
      <c r="G25735" s="1"/>
    </row>
    <row r="25736">
      <c r="B25736" s="36"/>
      <c r="C25736" s="36"/>
      <c r="E25736" s="1"/>
      <c r="F25736" s="1"/>
      <c r="G25736" s="1"/>
    </row>
    <row r="25737">
      <c r="B25737" s="36"/>
      <c r="C25737" s="36"/>
      <c r="E25737" s="1"/>
      <c r="F25737" s="1"/>
      <c r="G25737" s="1"/>
    </row>
    <row r="25738">
      <c r="B25738" s="36"/>
      <c r="C25738" s="36"/>
      <c r="E25738" s="1"/>
      <c r="F25738" s="1"/>
      <c r="G25738" s="1"/>
    </row>
    <row r="25739">
      <c r="B25739" s="36"/>
      <c r="C25739" s="36"/>
      <c r="E25739" s="1"/>
      <c r="F25739" s="1"/>
      <c r="G25739" s="1"/>
    </row>
    <row r="25740">
      <c r="B25740" s="36"/>
      <c r="C25740" s="36"/>
      <c r="E25740" s="1"/>
      <c r="F25740" s="1"/>
      <c r="G25740" s="1"/>
    </row>
    <row r="25741">
      <c r="B25741" s="36"/>
      <c r="C25741" s="36"/>
      <c r="E25741" s="1"/>
      <c r="F25741" s="1"/>
      <c r="G25741" s="1"/>
    </row>
    <row r="25742">
      <c r="B25742" s="36"/>
      <c r="C25742" s="36"/>
      <c r="E25742" s="1"/>
      <c r="F25742" s="1"/>
      <c r="G25742" s="1"/>
    </row>
    <row r="25743">
      <c r="B25743" s="36"/>
      <c r="C25743" s="36"/>
      <c r="E25743" s="1"/>
      <c r="F25743" s="1"/>
      <c r="G25743" s="1"/>
    </row>
    <row r="25744">
      <c r="B25744" s="36"/>
      <c r="C25744" s="36"/>
      <c r="E25744" s="1"/>
      <c r="F25744" s="1"/>
      <c r="G25744" s="1"/>
    </row>
    <row r="25745">
      <c r="B25745" s="36"/>
      <c r="C25745" s="36"/>
      <c r="E25745" s="1"/>
      <c r="F25745" s="1"/>
      <c r="G25745" s="1"/>
    </row>
    <row r="25746">
      <c r="B25746" s="36"/>
      <c r="C25746" s="36"/>
      <c r="E25746" s="1"/>
      <c r="F25746" s="1"/>
      <c r="G25746" s="1"/>
    </row>
    <row r="25747">
      <c r="B25747" s="36"/>
      <c r="C25747" s="36"/>
      <c r="E25747" s="1"/>
      <c r="F25747" s="1"/>
      <c r="G25747" s="1"/>
    </row>
    <row r="25748">
      <c r="B25748" s="36"/>
      <c r="C25748" s="36"/>
      <c r="E25748" s="1"/>
      <c r="F25748" s="1"/>
      <c r="G25748" s="1"/>
    </row>
    <row r="25749">
      <c r="B25749" s="36"/>
      <c r="C25749" s="36"/>
      <c r="E25749" s="1"/>
      <c r="F25749" s="1"/>
      <c r="G25749" s="1"/>
    </row>
    <row r="25750">
      <c r="B25750" s="36"/>
      <c r="C25750" s="36"/>
      <c r="E25750" s="1"/>
      <c r="F25750" s="1"/>
      <c r="G25750" s="1"/>
    </row>
    <row r="25751">
      <c r="B25751" s="36"/>
      <c r="C25751" s="36"/>
      <c r="E25751" s="1"/>
      <c r="F25751" s="1"/>
      <c r="G25751" s="1"/>
    </row>
    <row r="25752">
      <c r="B25752" s="36"/>
      <c r="C25752" s="36"/>
      <c r="E25752" s="1"/>
      <c r="F25752" s="1"/>
      <c r="G25752" s="1"/>
    </row>
    <row r="25753">
      <c r="B25753" s="36"/>
      <c r="C25753" s="36"/>
      <c r="E25753" s="1"/>
      <c r="F25753" s="1"/>
      <c r="G25753" s="1"/>
    </row>
    <row r="25754">
      <c r="B25754" s="36"/>
      <c r="C25754" s="36"/>
      <c r="E25754" s="1"/>
      <c r="F25754" s="1"/>
      <c r="G25754" s="1"/>
    </row>
    <row r="25755">
      <c r="B25755" s="36"/>
      <c r="C25755" s="36"/>
      <c r="E25755" s="1"/>
      <c r="F25755" s="1"/>
      <c r="G25755" s="1"/>
    </row>
    <row r="25756">
      <c r="B25756" s="36"/>
      <c r="C25756" s="36"/>
      <c r="E25756" s="1"/>
      <c r="F25756" s="1"/>
      <c r="G25756" s="1"/>
    </row>
    <row r="25757">
      <c r="B25757" s="36"/>
      <c r="C25757" s="36"/>
      <c r="E25757" s="1"/>
      <c r="F25757" s="1"/>
      <c r="G25757" s="1"/>
    </row>
    <row r="25758">
      <c r="B25758" s="36"/>
      <c r="C25758" s="36"/>
      <c r="E25758" s="1"/>
      <c r="F25758" s="1"/>
      <c r="G25758" s="1"/>
    </row>
    <row r="25759">
      <c r="B25759" s="36"/>
      <c r="C25759" s="36"/>
      <c r="E25759" s="1"/>
      <c r="F25759" s="1"/>
      <c r="G25759" s="1"/>
    </row>
    <row r="25760">
      <c r="B25760" s="36"/>
      <c r="C25760" s="36"/>
      <c r="E25760" s="1"/>
      <c r="F25760" s="1"/>
      <c r="G25760" s="1"/>
    </row>
    <row r="25761">
      <c r="B25761" s="36"/>
      <c r="C25761" s="36"/>
      <c r="E25761" s="1"/>
      <c r="F25761" s="1"/>
      <c r="G25761" s="1"/>
    </row>
    <row r="25762">
      <c r="B25762" s="36"/>
      <c r="C25762" s="36"/>
      <c r="E25762" s="1"/>
      <c r="F25762" s="1"/>
      <c r="G25762" s="1"/>
    </row>
    <row r="25763">
      <c r="B25763" s="36"/>
      <c r="C25763" s="36"/>
      <c r="E25763" s="1"/>
      <c r="F25763" s="1"/>
      <c r="G25763" s="1"/>
    </row>
    <row r="25764">
      <c r="B25764" s="36"/>
      <c r="C25764" s="36"/>
      <c r="E25764" s="1"/>
      <c r="F25764" s="1"/>
      <c r="G25764" s="1"/>
    </row>
    <row r="25765">
      <c r="B25765" s="36"/>
      <c r="C25765" s="36"/>
      <c r="E25765" s="1"/>
      <c r="F25765" s="1"/>
      <c r="G25765" s="1"/>
    </row>
    <row r="25766">
      <c r="B25766" s="36"/>
      <c r="C25766" s="36"/>
      <c r="E25766" s="1"/>
      <c r="F25766" s="1"/>
      <c r="G25766" s="1"/>
    </row>
    <row r="25767">
      <c r="B25767" s="36"/>
      <c r="C25767" s="36"/>
      <c r="E25767" s="1"/>
      <c r="F25767" s="1"/>
      <c r="G25767" s="1"/>
    </row>
    <row r="25768">
      <c r="B25768" s="36"/>
      <c r="C25768" s="36"/>
      <c r="E25768" s="1"/>
      <c r="F25768" s="1"/>
      <c r="G25768" s="1"/>
    </row>
    <row r="25769">
      <c r="B25769" s="36"/>
      <c r="C25769" s="36"/>
      <c r="E25769" s="1"/>
      <c r="F25769" s="1"/>
      <c r="G25769" s="1"/>
    </row>
    <row r="25770">
      <c r="B25770" s="36"/>
      <c r="C25770" s="36"/>
      <c r="E25770" s="1"/>
      <c r="F25770" s="1"/>
      <c r="G25770" s="1"/>
    </row>
    <row r="25771">
      <c r="B25771" s="36"/>
      <c r="C25771" s="36"/>
      <c r="E25771" s="1"/>
      <c r="F25771" s="1"/>
      <c r="G25771" s="1"/>
    </row>
    <row r="25772">
      <c r="B25772" s="36"/>
      <c r="C25772" s="36"/>
      <c r="E25772" s="1"/>
      <c r="F25772" s="1"/>
      <c r="G25772" s="1"/>
    </row>
    <row r="25773">
      <c r="B25773" s="36"/>
      <c r="C25773" s="36"/>
      <c r="E25773" s="1"/>
      <c r="F25773" s="1"/>
      <c r="G25773" s="1"/>
    </row>
    <row r="25774">
      <c r="B25774" s="36"/>
      <c r="C25774" s="36"/>
      <c r="E25774" s="1"/>
      <c r="F25774" s="1"/>
      <c r="G25774" s="1"/>
    </row>
    <row r="25775">
      <c r="B25775" s="36"/>
      <c r="C25775" s="36"/>
      <c r="E25775" s="1"/>
      <c r="F25775" s="1"/>
      <c r="G25775" s="1"/>
    </row>
    <row r="25776">
      <c r="B25776" s="36"/>
      <c r="C25776" s="36"/>
      <c r="E25776" s="1"/>
      <c r="F25776" s="1"/>
      <c r="G25776" s="1"/>
    </row>
    <row r="25777">
      <c r="B25777" s="36"/>
      <c r="C25777" s="36"/>
      <c r="E25777" s="1"/>
      <c r="F25777" s="1"/>
      <c r="G25777" s="1"/>
    </row>
    <row r="25778">
      <c r="B25778" s="36"/>
      <c r="C25778" s="36"/>
      <c r="E25778" s="1"/>
      <c r="F25778" s="1"/>
      <c r="G25778" s="1"/>
    </row>
    <row r="25779">
      <c r="B25779" s="36"/>
      <c r="C25779" s="36"/>
      <c r="E25779" s="1"/>
      <c r="F25779" s="1"/>
      <c r="G25779" s="1"/>
    </row>
    <row r="25780">
      <c r="B25780" s="36"/>
      <c r="C25780" s="36"/>
      <c r="E25780" s="1"/>
      <c r="F25780" s="1"/>
      <c r="G25780" s="1"/>
    </row>
    <row r="25781">
      <c r="B25781" s="36"/>
      <c r="C25781" s="36"/>
      <c r="E25781" s="1"/>
      <c r="F25781" s="1"/>
      <c r="G25781" s="1"/>
    </row>
    <row r="25782">
      <c r="B25782" s="36"/>
      <c r="C25782" s="36"/>
      <c r="E25782" s="1"/>
      <c r="F25782" s="1"/>
      <c r="G25782" s="1"/>
    </row>
    <row r="25783">
      <c r="B25783" s="36"/>
      <c r="C25783" s="36"/>
      <c r="E25783" s="1"/>
      <c r="F25783" s="1"/>
      <c r="G25783" s="1"/>
    </row>
    <row r="25784">
      <c r="B25784" s="36"/>
      <c r="C25784" s="36"/>
      <c r="E25784" s="1"/>
      <c r="F25784" s="1"/>
      <c r="G25784" s="1"/>
    </row>
    <row r="25785">
      <c r="B25785" s="36"/>
      <c r="C25785" s="36"/>
      <c r="E25785" s="1"/>
      <c r="F25785" s="1"/>
      <c r="G25785" s="1"/>
    </row>
    <row r="25786">
      <c r="B25786" s="36"/>
      <c r="C25786" s="36"/>
      <c r="E25786" s="1"/>
      <c r="F25786" s="1"/>
      <c r="G25786" s="1"/>
    </row>
    <row r="25787">
      <c r="B25787" s="36"/>
      <c r="C25787" s="36"/>
      <c r="E25787" s="1"/>
      <c r="F25787" s="1"/>
      <c r="G25787" s="1"/>
    </row>
    <row r="25788">
      <c r="B25788" s="36"/>
      <c r="C25788" s="36"/>
      <c r="E25788" s="1"/>
      <c r="F25788" s="1"/>
      <c r="G25788" s="1"/>
    </row>
    <row r="25789">
      <c r="B25789" s="36"/>
      <c r="C25789" s="36"/>
      <c r="E25789" s="1"/>
      <c r="F25789" s="1"/>
      <c r="G25789" s="1"/>
    </row>
    <row r="25790">
      <c r="B25790" s="36"/>
      <c r="C25790" s="36"/>
      <c r="E25790" s="1"/>
      <c r="F25790" s="1"/>
      <c r="G25790" s="1"/>
    </row>
    <row r="25791">
      <c r="B25791" s="36"/>
      <c r="C25791" s="36"/>
      <c r="E25791" s="1"/>
      <c r="F25791" s="1"/>
      <c r="G25791" s="1"/>
    </row>
    <row r="25792">
      <c r="B25792" s="36"/>
      <c r="C25792" s="36"/>
      <c r="E25792" s="1"/>
      <c r="F25792" s="1"/>
      <c r="G25792" s="1"/>
    </row>
    <row r="25793">
      <c r="B25793" s="36"/>
      <c r="C25793" s="36"/>
      <c r="E25793" s="1"/>
      <c r="F25793" s="1"/>
      <c r="G25793" s="1"/>
    </row>
    <row r="25794">
      <c r="B25794" s="36"/>
      <c r="C25794" s="36"/>
      <c r="E25794" s="1"/>
      <c r="F25794" s="1"/>
      <c r="G25794" s="1"/>
    </row>
    <row r="25795">
      <c r="B25795" s="36"/>
      <c r="C25795" s="36"/>
      <c r="E25795" s="1"/>
      <c r="F25795" s="1"/>
      <c r="G25795" s="1"/>
    </row>
    <row r="25796">
      <c r="B25796" s="36"/>
      <c r="C25796" s="36"/>
      <c r="E25796" s="1"/>
      <c r="F25796" s="1"/>
      <c r="G25796" s="1"/>
    </row>
    <row r="25797">
      <c r="B25797" s="36"/>
      <c r="C25797" s="36"/>
      <c r="E25797" s="1"/>
      <c r="F25797" s="1"/>
      <c r="G25797" s="1"/>
    </row>
    <row r="25798">
      <c r="B25798" s="36"/>
      <c r="C25798" s="36"/>
      <c r="E25798" s="1"/>
      <c r="F25798" s="1"/>
      <c r="G25798" s="1"/>
    </row>
    <row r="25799">
      <c r="B25799" s="36"/>
      <c r="C25799" s="36"/>
      <c r="E25799" s="1"/>
      <c r="F25799" s="1"/>
      <c r="G25799" s="1"/>
    </row>
    <row r="25800">
      <c r="B25800" s="36"/>
      <c r="C25800" s="36"/>
      <c r="E25800" s="1"/>
      <c r="F25800" s="1"/>
      <c r="G25800" s="1"/>
    </row>
    <row r="25801">
      <c r="B25801" s="36"/>
      <c r="C25801" s="36"/>
      <c r="E25801" s="1"/>
      <c r="F25801" s="1"/>
      <c r="G25801" s="1"/>
    </row>
    <row r="25802">
      <c r="B25802" s="36"/>
      <c r="C25802" s="36"/>
      <c r="E25802" s="1"/>
      <c r="F25802" s="1"/>
      <c r="G25802" s="1"/>
    </row>
    <row r="25803">
      <c r="B25803" s="36"/>
      <c r="C25803" s="36"/>
      <c r="E25803" s="1"/>
      <c r="F25803" s="1"/>
      <c r="G25803" s="1"/>
    </row>
    <row r="25804">
      <c r="B25804" s="36"/>
      <c r="C25804" s="36"/>
      <c r="E25804" s="1"/>
      <c r="F25804" s="1"/>
      <c r="G25804" s="1"/>
    </row>
    <row r="25805">
      <c r="B25805" s="36"/>
      <c r="C25805" s="36"/>
      <c r="E25805" s="1"/>
      <c r="F25805" s="1"/>
      <c r="G25805" s="1"/>
    </row>
    <row r="25806">
      <c r="B25806" s="36"/>
      <c r="C25806" s="36"/>
      <c r="E25806" s="1"/>
      <c r="F25806" s="1"/>
      <c r="G25806" s="1"/>
    </row>
    <row r="25807">
      <c r="B25807" s="36"/>
      <c r="C25807" s="36"/>
      <c r="E25807" s="1"/>
      <c r="F25807" s="1"/>
      <c r="G25807" s="1"/>
    </row>
    <row r="25808">
      <c r="B25808" s="36"/>
      <c r="C25808" s="36"/>
      <c r="E25808" s="1"/>
      <c r="F25808" s="1"/>
      <c r="G25808" s="1"/>
    </row>
    <row r="25809">
      <c r="B25809" s="36"/>
      <c r="C25809" s="36"/>
      <c r="E25809" s="1"/>
      <c r="F25809" s="1"/>
      <c r="G25809" s="1"/>
    </row>
    <row r="25810">
      <c r="B25810" s="36"/>
      <c r="C25810" s="36"/>
      <c r="E25810" s="1"/>
      <c r="F25810" s="1"/>
      <c r="G25810" s="1"/>
    </row>
    <row r="25811">
      <c r="B25811" s="36"/>
      <c r="C25811" s="36"/>
      <c r="E25811" s="1"/>
      <c r="F25811" s="1"/>
      <c r="G25811" s="1"/>
    </row>
    <row r="25812">
      <c r="B25812" s="36"/>
      <c r="C25812" s="36"/>
      <c r="E25812" s="1"/>
      <c r="F25812" s="1"/>
      <c r="G25812" s="1"/>
    </row>
    <row r="25813">
      <c r="B25813" s="36"/>
      <c r="C25813" s="36"/>
      <c r="E25813" s="1"/>
      <c r="F25813" s="1"/>
      <c r="G25813" s="1"/>
    </row>
    <row r="25814">
      <c r="B25814" s="36"/>
      <c r="C25814" s="36"/>
      <c r="E25814" s="1"/>
      <c r="F25814" s="1"/>
      <c r="G25814" s="1"/>
    </row>
    <row r="25815">
      <c r="B25815" s="36"/>
      <c r="C25815" s="36"/>
      <c r="E25815" s="1"/>
      <c r="F25815" s="1"/>
      <c r="G25815" s="1"/>
    </row>
    <row r="25816">
      <c r="B25816" s="36"/>
      <c r="C25816" s="36"/>
      <c r="E25816" s="1"/>
      <c r="F25816" s="1"/>
      <c r="G25816" s="1"/>
    </row>
    <row r="25817">
      <c r="B25817" s="36"/>
      <c r="C25817" s="36"/>
      <c r="E25817" s="1"/>
      <c r="F25817" s="1"/>
      <c r="G25817" s="1"/>
    </row>
    <row r="25818">
      <c r="B25818" s="36"/>
      <c r="C25818" s="36"/>
      <c r="E25818" s="1"/>
      <c r="F25818" s="1"/>
      <c r="G25818" s="1"/>
    </row>
    <row r="25819">
      <c r="B25819" s="36"/>
      <c r="C25819" s="36"/>
      <c r="E25819" s="1"/>
      <c r="F25819" s="1"/>
      <c r="G25819" s="1"/>
    </row>
    <row r="25820">
      <c r="B25820" s="36"/>
      <c r="C25820" s="36"/>
      <c r="E25820" s="1"/>
      <c r="F25820" s="1"/>
      <c r="G25820" s="1"/>
    </row>
    <row r="25821">
      <c r="B25821" s="36"/>
      <c r="C25821" s="36"/>
      <c r="E25821" s="1"/>
      <c r="F25821" s="1"/>
      <c r="G25821" s="1"/>
    </row>
    <row r="25822">
      <c r="B25822" s="36"/>
      <c r="C25822" s="36"/>
      <c r="E25822" s="1"/>
      <c r="F25822" s="1"/>
      <c r="G25822" s="1"/>
    </row>
    <row r="25823">
      <c r="B25823" s="36"/>
      <c r="C25823" s="36"/>
      <c r="E25823" s="1"/>
      <c r="F25823" s="1"/>
      <c r="G25823" s="1"/>
    </row>
    <row r="25824">
      <c r="B25824" s="36"/>
      <c r="C25824" s="36"/>
      <c r="E25824" s="1"/>
      <c r="F25824" s="1"/>
      <c r="G25824" s="1"/>
    </row>
    <row r="25825">
      <c r="B25825" s="36"/>
      <c r="C25825" s="36"/>
      <c r="E25825" s="1"/>
      <c r="F25825" s="1"/>
      <c r="G25825" s="1"/>
    </row>
    <row r="25826">
      <c r="B25826" s="36"/>
      <c r="C25826" s="36"/>
      <c r="E25826" s="1"/>
      <c r="F25826" s="1"/>
      <c r="G25826" s="1"/>
    </row>
    <row r="25827">
      <c r="B25827" s="36"/>
      <c r="C25827" s="36"/>
      <c r="E25827" s="1"/>
      <c r="F25827" s="1"/>
      <c r="G25827" s="1"/>
    </row>
    <row r="25828">
      <c r="B25828" s="36"/>
      <c r="C25828" s="36"/>
      <c r="E25828" s="1"/>
      <c r="F25828" s="1"/>
      <c r="G25828" s="1"/>
    </row>
    <row r="25829">
      <c r="B25829" s="36"/>
      <c r="C25829" s="36"/>
      <c r="E25829" s="1"/>
      <c r="F25829" s="1"/>
      <c r="G25829" s="1"/>
    </row>
    <row r="25830">
      <c r="B25830" s="36"/>
      <c r="C25830" s="36"/>
      <c r="E25830" s="1"/>
      <c r="F25830" s="1"/>
      <c r="G25830" s="1"/>
    </row>
    <row r="25831">
      <c r="B25831" s="36"/>
      <c r="C25831" s="36"/>
      <c r="E25831" s="1"/>
      <c r="F25831" s="1"/>
      <c r="G25831" s="1"/>
    </row>
    <row r="25832">
      <c r="B25832" s="36"/>
      <c r="C25832" s="36"/>
      <c r="E25832" s="1"/>
      <c r="F25832" s="1"/>
      <c r="G25832" s="1"/>
    </row>
    <row r="25833">
      <c r="B25833" s="36"/>
      <c r="C25833" s="36"/>
      <c r="E25833" s="1"/>
      <c r="F25833" s="1"/>
      <c r="G25833" s="1"/>
    </row>
    <row r="25834">
      <c r="B25834" s="36"/>
      <c r="C25834" s="36"/>
      <c r="E25834" s="1"/>
      <c r="F25834" s="1"/>
      <c r="G25834" s="1"/>
    </row>
    <row r="25835">
      <c r="B25835" s="36"/>
      <c r="C25835" s="36"/>
      <c r="E25835" s="1"/>
      <c r="F25835" s="1"/>
      <c r="G25835" s="1"/>
    </row>
    <row r="25836">
      <c r="B25836" s="36"/>
      <c r="C25836" s="36"/>
      <c r="E25836" s="1"/>
      <c r="F25836" s="1"/>
      <c r="G25836" s="1"/>
    </row>
    <row r="25837">
      <c r="B25837" s="36"/>
      <c r="C25837" s="36"/>
      <c r="E25837" s="1"/>
      <c r="F25837" s="1"/>
      <c r="G25837" s="1"/>
    </row>
    <row r="25838">
      <c r="B25838" s="36"/>
      <c r="C25838" s="36"/>
      <c r="E25838" s="1"/>
      <c r="F25838" s="1"/>
      <c r="G25838" s="1"/>
    </row>
    <row r="25839">
      <c r="B25839" s="36"/>
      <c r="C25839" s="36"/>
      <c r="E25839" s="1"/>
      <c r="F25839" s="1"/>
      <c r="G25839" s="1"/>
    </row>
    <row r="25840">
      <c r="B25840" s="36"/>
      <c r="C25840" s="36"/>
      <c r="E25840" s="1"/>
      <c r="F25840" s="1"/>
      <c r="G25840" s="1"/>
    </row>
    <row r="25841">
      <c r="B25841" s="36"/>
      <c r="C25841" s="36"/>
      <c r="E25841" s="1"/>
      <c r="F25841" s="1"/>
      <c r="G25841" s="1"/>
    </row>
    <row r="25842">
      <c r="B25842" s="36"/>
      <c r="C25842" s="36"/>
      <c r="E25842" s="1"/>
      <c r="F25842" s="1"/>
      <c r="G25842" s="1"/>
    </row>
    <row r="25843">
      <c r="B25843" s="36"/>
      <c r="C25843" s="36"/>
      <c r="E25843" s="1"/>
      <c r="F25843" s="1"/>
      <c r="G25843" s="1"/>
    </row>
    <row r="25844">
      <c r="B25844" s="36"/>
      <c r="C25844" s="36"/>
      <c r="E25844" s="1"/>
      <c r="F25844" s="1"/>
      <c r="G25844" s="1"/>
    </row>
    <row r="25845">
      <c r="B25845" s="36"/>
      <c r="C25845" s="36"/>
      <c r="E25845" s="1"/>
      <c r="F25845" s="1"/>
      <c r="G25845" s="1"/>
    </row>
    <row r="25846">
      <c r="B25846" s="36"/>
      <c r="C25846" s="36"/>
      <c r="E25846" s="1"/>
      <c r="F25846" s="1"/>
      <c r="G25846" s="1"/>
    </row>
    <row r="25847">
      <c r="B25847" s="36"/>
      <c r="C25847" s="36"/>
      <c r="E25847" s="1"/>
      <c r="F25847" s="1"/>
      <c r="G25847" s="1"/>
    </row>
    <row r="25848">
      <c r="B25848" s="36"/>
      <c r="C25848" s="36"/>
      <c r="E25848" s="1"/>
      <c r="F25848" s="1"/>
      <c r="G25848" s="1"/>
    </row>
    <row r="25849">
      <c r="B25849" s="36"/>
      <c r="C25849" s="36"/>
      <c r="E25849" s="1"/>
      <c r="F25849" s="1"/>
      <c r="G25849" s="1"/>
    </row>
    <row r="25850">
      <c r="B25850" s="36"/>
      <c r="C25850" s="36"/>
      <c r="E25850" s="1"/>
      <c r="F25850" s="1"/>
      <c r="G25850" s="1"/>
    </row>
    <row r="25851">
      <c r="B25851" s="36"/>
      <c r="C25851" s="36"/>
      <c r="E25851" s="1"/>
      <c r="F25851" s="1"/>
      <c r="G25851" s="1"/>
    </row>
    <row r="25852">
      <c r="B25852" s="36"/>
      <c r="C25852" s="36"/>
      <c r="E25852" s="1"/>
      <c r="F25852" s="1"/>
      <c r="G25852" s="1"/>
    </row>
    <row r="25853">
      <c r="B25853" s="36"/>
      <c r="C25853" s="36"/>
      <c r="E25853" s="1"/>
      <c r="F25853" s="1"/>
      <c r="G25853" s="1"/>
    </row>
    <row r="25854">
      <c r="B25854" s="36"/>
      <c r="C25854" s="36"/>
      <c r="E25854" s="1"/>
      <c r="F25854" s="1"/>
      <c r="G25854" s="1"/>
    </row>
    <row r="25855">
      <c r="B25855" s="36"/>
      <c r="C25855" s="36"/>
      <c r="E25855" s="1"/>
      <c r="F25855" s="1"/>
      <c r="G25855" s="1"/>
    </row>
    <row r="25856">
      <c r="B25856" s="36"/>
      <c r="C25856" s="36"/>
      <c r="E25856" s="1"/>
      <c r="F25856" s="1"/>
      <c r="G25856" s="1"/>
    </row>
    <row r="25857">
      <c r="B25857" s="36"/>
      <c r="C25857" s="36"/>
      <c r="E25857" s="1"/>
      <c r="F25857" s="1"/>
      <c r="G25857" s="1"/>
    </row>
    <row r="25858">
      <c r="B25858" s="36"/>
      <c r="C25858" s="36"/>
      <c r="E25858" s="1"/>
      <c r="F25858" s="1"/>
      <c r="G25858" s="1"/>
    </row>
    <row r="25859">
      <c r="B25859" s="36"/>
      <c r="C25859" s="36"/>
      <c r="E25859" s="1"/>
      <c r="F25859" s="1"/>
      <c r="G25859" s="1"/>
    </row>
    <row r="25860">
      <c r="B25860" s="36"/>
      <c r="C25860" s="36"/>
      <c r="E25860" s="1"/>
      <c r="F25860" s="1"/>
      <c r="G25860" s="1"/>
    </row>
    <row r="25861">
      <c r="B25861" s="36"/>
      <c r="C25861" s="36"/>
      <c r="E25861" s="1"/>
      <c r="F25861" s="1"/>
      <c r="G25861" s="1"/>
    </row>
    <row r="25862">
      <c r="B25862" s="36"/>
      <c r="C25862" s="36"/>
      <c r="E25862" s="1"/>
      <c r="F25862" s="1"/>
      <c r="G25862" s="1"/>
    </row>
    <row r="25863">
      <c r="B25863" s="36"/>
      <c r="C25863" s="36"/>
      <c r="E25863" s="1"/>
      <c r="F25863" s="1"/>
      <c r="G25863" s="1"/>
    </row>
    <row r="25864">
      <c r="B25864" s="36"/>
      <c r="C25864" s="36"/>
      <c r="E25864" s="1"/>
      <c r="F25864" s="1"/>
      <c r="G25864" s="1"/>
    </row>
    <row r="25865">
      <c r="B25865" s="36"/>
      <c r="C25865" s="36"/>
      <c r="E25865" s="1"/>
      <c r="F25865" s="1"/>
      <c r="G25865" s="1"/>
    </row>
    <row r="25866">
      <c r="B25866" s="36"/>
      <c r="C25866" s="36"/>
      <c r="E25866" s="1"/>
      <c r="F25866" s="1"/>
      <c r="G25866" s="1"/>
    </row>
    <row r="25867">
      <c r="B25867" s="36"/>
      <c r="C25867" s="36"/>
      <c r="E25867" s="1"/>
      <c r="F25867" s="1"/>
      <c r="G25867" s="1"/>
    </row>
    <row r="25868">
      <c r="B25868" s="36"/>
      <c r="C25868" s="36"/>
      <c r="E25868" s="1"/>
      <c r="F25868" s="1"/>
      <c r="G25868" s="1"/>
    </row>
    <row r="25869">
      <c r="B25869" s="36"/>
      <c r="C25869" s="36"/>
      <c r="E25869" s="1"/>
      <c r="F25869" s="1"/>
      <c r="G25869" s="1"/>
    </row>
    <row r="25870">
      <c r="B25870" s="36"/>
      <c r="C25870" s="36"/>
      <c r="E25870" s="1"/>
      <c r="F25870" s="1"/>
      <c r="G25870" s="1"/>
    </row>
    <row r="25871">
      <c r="B25871" s="36"/>
      <c r="C25871" s="36"/>
      <c r="E25871" s="1"/>
      <c r="F25871" s="1"/>
      <c r="G25871" s="1"/>
    </row>
    <row r="25872">
      <c r="B25872" s="36"/>
      <c r="C25872" s="36"/>
      <c r="E25872" s="1"/>
      <c r="F25872" s="1"/>
      <c r="G25872" s="1"/>
    </row>
    <row r="25873">
      <c r="B25873" s="36"/>
      <c r="C25873" s="36"/>
      <c r="E25873" s="1"/>
      <c r="F25873" s="1"/>
      <c r="G25873" s="1"/>
    </row>
    <row r="25874">
      <c r="B25874" s="36"/>
      <c r="C25874" s="36"/>
      <c r="E25874" s="1"/>
      <c r="F25874" s="1"/>
      <c r="G25874" s="1"/>
    </row>
    <row r="25875">
      <c r="B25875" s="36"/>
      <c r="C25875" s="36"/>
      <c r="E25875" s="1"/>
      <c r="F25875" s="1"/>
      <c r="G25875" s="1"/>
    </row>
    <row r="25876">
      <c r="B25876" s="36"/>
      <c r="C25876" s="36"/>
      <c r="E25876" s="1"/>
      <c r="F25876" s="1"/>
      <c r="G25876" s="1"/>
    </row>
    <row r="25877">
      <c r="B25877" s="36"/>
      <c r="C25877" s="36"/>
      <c r="E25877" s="1"/>
      <c r="F25877" s="1"/>
      <c r="G25877" s="1"/>
    </row>
    <row r="25878">
      <c r="B25878" s="36"/>
      <c r="C25878" s="36"/>
      <c r="E25878" s="1"/>
      <c r="F25878" s="1"/>
      <c r="G25878" s="1"/>
    </row>
    <row r="25879">
      <c r="B25879" s="36"/>
      <c r="C25879" s="36"/>
      <c r="E25879" s="1"/>
      <c r="F25879" s="1"/>
      <c r="G25879" s="1"/>
    </row>
    <row r="25880">
      <c r="B25880" s="36"/>
      <c r="C25880" s="36"/>
      <c r="E25880" s="1"/>
      <c r="F25880" s="1"/>
      <c r="G25880" s="1"/>
    </row>
    <row r="25881">
      <c r="B25881" s="36"/>
      <c r="C25881" s="36"/>
      <c r="E25881" s="1"/>
      <c r="F25881" s="1"/>
      <c r="G25881" s="1"/>
    </row>
    <row r="25882">
      <c r="B25882" s="36"/>
      <c r="C25882" s="36"/>
      <c r="E25882" s="1"/>
      <c r="F25882" s="1"/>
      <c r="G25882" s="1"/>
    </row>
    <row r="25883">
      <c r="B25883" s="36"/>
      <c r="C25883" s="36"/>
      <c r="E25883" s="1"/>
      <c r="F25883" s="1"/>
      <c r="G25883" s="1"/>
    </row>
    <row r="25884">
      <c r="B25884" s="36"/>
      <c r="C25884" s="36"/>
      <c r="E25884" s="1"/>
      <c r="F25884" s="1"/>
      <c r="G25884" s="1"/>
    </row>
    <row r="25885">
      <c r="B25885" s="36"/>
      <c r="C25885" s="36"/>
      <c r="E25885" s="1"/>
      <c r="F25885" s="1"/>
      <c r="G25885" s="1"/>
    </row>
    <row r="25886">
      <c r="B25886" s="36"/>
      <c r="C25886" s="36"/>
      <c r="E25886" s="1"/>
      <c r="F25886" s="1"/>
      <c r="G25886" s="1"/>
    </row>
    <row r="25887">
      <c r="B25887" s="36"/>
      <c r="C25887" s="36"/>
      <c r="E25887" s="1"/>
      <c r="F25887" s="1"/>
      <c r="G25887" s="1"/>
    </row>
    <row r="25888">
      <c r="B25888" s="36"/>
      <c r="C25888" s="36"/>
      <c r="E25888" s="1"/>
      <c r="F25888" s="1"/>
      <c r="G25888" s="1"/>
    </row>
    <row r="25889">
      <c r="B25889" s="36"/>
      <c r="C25889" s="36"/>
      <c r="E25889" s="1"/>
      <c r="F25889" s="1"/>
      <c r="G25889" s="1"/>
    </row>
    <row r="25890">
      <c r="B25890" s="36"/>
      <c r="C25890" s="36"/>
      <c r="E25890" s="1"/>
      <c r="F25890" s="1"/>
      <c r="G25890" s="1"/>
    </row>
    <row r="25891">
      <c r="B25891" s="36"/>
      <c r="C25891" s="36"/>
      <c r="E25891" s="1"/>
      <c r="F25891" s="1"/>
      <c r="G25891" s="1"/>
    </row>
    <row r="25892">
      <c r="B25892" s="36"/>
      <c r="C25892" s="36"/>
      <c r="E25892" s="1"/>
      <c r="F25892" s="1"/>
      <c r="G25892" s="1"/>
    </row>
    <row r="25893">
      <c r="B25893" s="36"/>
      <c r="C25893" s="36"/>
      <c r="E25893" s="1"/>
      <c r="F25893" s="1"/>
      <c r="G25893" s="1"/>
    </row>
    <row r="25894">
      <c r="B25894" s="36"/>
      <c r="C25894" s="36"/>
      <c r="E25894" s="1"/>
      <c r="F25894" s="1"/>
      <c r="G25894" s="1"/>
    </row>
    <row r="25895">
      <c r="B25895" s="36"/>
      <c r="C25895" s="36"/>
      <c r="E25895" s="1"/>
      <c r="F25895" s="1"/>
      <c r="G25895" s="1"/>
    </row>
    <row r="25896">
      <c r="B25896" s="36"/>
      <c r="C25896" s="36"/>
      <c r="E25896" s="1"/>
      <c r="F25896" s="1"/>
      <c r="G25896" s="1"/>
    </row>
    <row r="25897">
      <c r="B25897" s="36"/>
      <c r="C25897" s="36"/>
      <c r="E25897" s="1"/>
      <c r="F25897" s="1"/>
      <c r="G25897" s="1"/>
    </row>
    <row r="25898">
      <c r="B25898" s="36"/>
      <c r="C25898" s="36"/>
      <c r="E25898" s="1"/>
      <c r="F25898" s="1"/>
      <c r="G25898" s="1"/>
    </row>
    <row r="25899">
      <c r="B25899" s="36"/>
      <c r="C25899" s="36"/>
      <c r="E25899" s="1"/>
      <c r="F25899" s="1"/>
      <c r="G25899" s="1"/>
    </row>
    <row r="25900">
      <c r="B25900" s="36"/>
      <c r="C25900" s="36"/>
      <c r="E25900" s="1"/>
      <c r="F25900" s="1"/>
      <c r="G25900" s="1"/>
    </row>
    <row r="25901">
      <c r="B25901" s="36"/>
      <c r="C25901" s="36"/>
      <c r="E25901" s="1"/>
      <c r="F25901" s="1"/>
      <c r="G25901" s="1"/>
    </row>
    <row r="25902">
      <c r="B25902" s="36"/>
      <c r="C25902" s="36"/>
      <c r="E25902" s="1"/>
      <c r="F25902" s="1"/>
      <c r="G25902" s="1"/>
    </row>
    <row r="25903">
      <c r="B25903" s="36"/>
      <c r="C25903" s="36"/>
      <c r="E25903" s="1"/>
      <c r="F25903" s="1"/>
      <c r="G25903" s="1"/>
    </row>
    <row r="25904">
      <c r="B25904" s="36"/>
      <c r="C25904" s="36"/>
      <c r="E25904" s="1"/>
      <c r="F25904" s="1"/>
      <c r="G25904" s="1"/>
    </row>
    <row r="25905">
      <c r="B25905" s="36"/>
      <c r="C25905" s="36"/>
      <c r="E25905" s="1"/>
      <c r="F25905" s="1"/>
      <c r="G25905" s="1"/>
    </row>
    <row r="25906">
      <c r="B25906" s="36"/>
      <c r="C25906" s="36"/>
      <c r="E25906" s="1"/>
      <c r="F25906" s="1"/>
      <c r="G25906" s="1"/>
    </row>
    <row r="25907">
      <c r="B25907" s="36"/>
      <c r="C25907" s="36"/>
      <c r="E25907" s="1"/>
      <c r="F25907" s="1"/>
      <c r="G25907" s="1"/>
    </row>
    <row r="25908">
      <c r="B25908" s="36"/>
      <c r="C25908" s="36"/>
      <c r="E25908" s="1"/>
      <c r="F25908" s="1"/>
      <c r="G25908" s="1"/>
    </row>
    <row r="25909">
      <c r="B25909" s="36"/>
      <c r="C25909" s="36"/>
      <c r="E25909" s="1"/>
      <c r="F25909" s="1"/>
      <c r="G25909" s="1"/>
    </row>
    <row r="25910">
      <c r="B25910" s="36"/>
      <c r="C25910" s="36"/>
      <c r="E25910" s="1"/>
      <c r="F25910" s="1"/>
      <c r="G25910" s="1"/>
    </row>
    <row r="25911">
      <c r="B25911" s="36"/>
      <c r="C25911" s="36"/>
      <c r="E25911" s="1"/>
      <c r="F25911" s="1"/>
      <c r="G25911" s="1"/>
    </row>
    <row r="25912">
      <c r="B25912" s="36"/>
      <c r="C25912" s="36"/>
      <c r="E25912" s="1"/>
      <c r="F25912" s="1"/>
      <c r="G25912" s="1"/>
    </row>
    <row r="25913">
      <c r="B25913" s="36"/>
      <c r="C25913" s="36"/>
      <c r="E25913" s="1"/>
      <c r="F25913" s="1"/>
      <c r="G25913" s="1"/>
    </row>
    <row r="25914">
      <c r="B25914" s="36"/>
      <c r="C25914" s="36"/>
      <c r="E25914" s="1"/>
      <c r="F25914" s="1"/>
      <c r="G25914" s="1"/>
    </row>
    <row r="25915">
      <c r="B25915" s="36"/>
      <c r="C25915" s="36"/>
      <c r="E25915" s="1"/>
      <c r="F25915" s="1"/>
      <c r="G25915" s="1"/>
    </row>
    <row r="25916">
      <c r="B25916" s="36"/>
      <c r="C25916" s="36"/>
      <c r="E25916" s="1"/>
      <c r="F25916" s="1"/>
      <c r="G25916" s="1"/>
    </row>
    <row r="25917">
      <c r="B25917" s="36"/>
      <c r="C25917" s="36"/>
      <c r="E25917" s="1"/>
      <c r="F25917" s="1"/>
      <c r="G25917" s="1"/>
    </row>
    <row r="25918">
      <c r="B25918" s="36"/>
      <c r="C25918" s="36"/>
      <c r="E25918" s="1"/>
      <c r="F25918" s="1"/>
      <c r="G25918" s="1"/>
    </row>
    <row r="25919">
      <c r="B25919" s="36"/>
      <c r="C25919" s="36"/>
      <c r="E25919" s="1"/>
      <c r="F25919" s="1"/>
      <c r="G25919" s="1"/>
    </row>
    <row r="25920">
      <c r="B25920" s="36"/>
      <c r="C25920" s="36"/>
      <c r="E25920" s="1"/>
      <c r="F25920" s="1"/>
      <c r="G25920" s="1"/>
    </row>
    <row r="25921">
      <c r="B25921" s="36"/>
      <c r="C25921" s="36"/>
      <c r="E25921" s="1"/>
      <c r="F25921" s="1"/>
      <c r="G25921" s="1"/>
    </row>
    <row r="25922">
      <c r="B25922" s="36"/>
      <c r="C25922" s="36"/>
      <c r="E25922" s="1"/>
      <c r="F25922" s="1"/>
      <c r="G25922" s="1"/>
    </row>
    <row r="25923">
      <c r="B25923" s="36"/>
      <c r="C25923" s="36"/>
      <c r="E25923" s="1"/>
      <c r="F25923" s="1"/>
      <c r="G25923" s="1"/>
    </row>
    <row r="25924">
      <c r="B25924" s="36"/>
      <c r="C25924" s="36"/>
      <c r="E25924" s="1"/>
      <c r="F25924" s="1"/>
      <c r="G25924" s="1"/>
    </row>
    <row r="25925">
      <c r="B25925" s="36"/>
      <c r="C25925" s="36"/>
      <c r="E25925" s="1"/>
      <c r="F25925" s="1"/>
      <c r="G25925" s="1"/>
    </row>
    <row r="25926">
      <c r="B25926" s="36"/>
      <c r="C25926" s="36"/>
      <c r="E25926" s="1"/>
      <c r="F25926" s="1"/>
      <c r="G25926" s="1"/>
    </row>
    <row r="25927">
      <c r="B25927" s="36"/>
      <c r="C25927" s="36"/>
      <c r="E25927" s="1"/>
      <c r="F25927" s="1"/>
      <c r="G25927" s="1"/>
    </row>
    <row r="25928">
      <c r="B25928" s="36"/>
      <c r="C25928" s="36"/>
      <c r="E25928" s="1"/>
      <c r="F25928" s="1"/>
      <c r="G25928" s="1"/>
    </row>
    <row r="25929">
      <c r="B25929" s="36"/>
      <c r="C25929" s="36"/>
      <c r="E25929" s="1"/>
      <c r="F25929" s="1"/>
      <c r="G25929" s="1"/>
    </row>
    <row r="25930">
      <c r="B25930" s="36"/>
      <c r="C25930" s="36"/>
      <c r="E25930" s="1"/>
      <c r="F25930" s="1"/>
      <c r="G25930" s="1"/>
    </row>
    <row r="25931">
      <c r="B25931" s="36"/>
      <c r="C25931" s="36"/>
      <c r="E25931" s="1"/>
      <c r="F25931" s="1"/>
      <c r="G25931" s="1"/>
    </row>
    <row r="25932">
      <c r="B25932" s="36"/>
      <c r="C25932" s="36"/>
      <c r="E25932" s="1"/>
      <c r="F25932" s="1"/>
      <c r="G25932" s="1"/>
    </row>
    <row r="25933">
      <c r="B25933" s="36"/>
      <c r="C25933" s="36"/>
      <c r="E25933" s="1"/>
      <c r="F25933" s="1"/>
      <c r="G25933" s="1"/>
    </row>
    <row r="25934">
      <c r="B25934" s="36"/>
      <c r="C25934" s="36"/>
      <c r="E25934" s="1"/>
      <c r="F25934" s="1"/>
      <c r="G25934" s="1"/>
    </row>
    <row r="25935">
      <c r="B25935" s="36"/>
      <c r="C25935" s="36"/>
      <c r="E25935" s="1"/>
      <c r="F25935" s="1"/>
      <c r="G25935" s="1"/>
    </row>
    <row r="25936">
      <c r="B25936" s="36"/>
      <c r="C25936" s="36"/>
      <c r="E25936" s="1"/>
      <c r="F25936" s="1"/>
      <c r="G25936" s="1"/>
    </row>
    <row r="25937">
      <c r="B25937" s="36"/>
      <c r="C25937" s="36"/>
      <c r="E25937" s="1"/>
      <c r="F25937" s="1"/>
      <c r="G25937" s="1"/>
    </row>
    <row r="25938">
      <c r="B25938" s="36"/>
      <c r="C25938" s="36"/>
      <c r="E25938" s="1"/>
      <c r="F25938" s="1"/>
      <c r="G25938" s="1"/>
    </row>
    <row r="25939">
      <c r="B25939" s="36"/>
      <c r="C25939" s="36"/>
      <c r="E25939" s="1"/>
      <c r="F25939" s="1"/>
      <c r="G25939" s="1"/>
    </row>
    <row r="25940">
      <c r="B25940" s="36"/>
      <c r="C25940" s="36"/>
      <c r="E25940" s="1"/>
      <c r="F25940" s="1"/>
      <c r="G25940" s="1"/>
    </row>
    <row r="25941">
      <c r="B25941" s="36"/>
      <c r="C25941" s="36"/>
      <c r="E25941" s="1"/>
      <c r="F25941" s="1"/>
      <c r="G25941" s="1"/>
    </row>
    <row r="25942">
      <c r="B25942" s="36"/>
      <c r="C25942" s="36"/>
      <c r="E25942" s="1"/>
      <c r="F25942" s="1"/>
      <c r="G25942" s="1"/>
    </row>
    <row r="25943">
      <c r="B25943" s="36"/>
      <c r="C25943" s="36"/>
      <c r="E25943" s="1"/>
      <c r="F25943" s="1"/>
      <c r="G25943" s="1"/>
    </row>
    <row r="25944">
      <c r="B25944" s="36"/>
      <c r="C25944" s="36"/>
      <c r="E25944" s="1"/>
      <c r="F25944" s="1"/>
      <c r="G25944" s="1"/>
    </row>
    <row r="25945">
      <c r="B25945" s="36"/>
      <c r="C25945" s="36"/>
      <c r="E25945" s="1"/>
      <c r="F25945" s="1"/>
      <c r="G25945" s="1"/>
    </row>
    <row r="25946">
      <c r="B25946" s="36"/>
      <c r="C25946" s="36"/>
      <c r="E25946" s="1"/>
      <c r="F25946" s="1"/>
      <c r="G25946" s="1"/>
    </row>
    <row r="25947">
      <c r="B25947" s="36"/>
      <c r="C25947" s="36"/>
      <c r="E25947" s="1"/>
      <c r="F25947" s="1"/>
      <c r="G25947" s="1"/>
    </row>
    <row r="25948">
      <c r="B25948" s="36"/>
      <c r="C25948" s="36"/>
      <c r="E25948" s="1"/>
      <c r="F25948" s="1"/>
      <c r="G25948" s="1"/>
    </row>
    <row r="25949">
      <c r="B25949" s="36"/>
      <c r="C25949" s="36"/>
      <c r="E25949" s="1"/>
      <c r="F25949" s="1"/>
      <c r="G25949" s="1"/>
    </row>
    <row r="25950">
      <c r="B25950" s="36"/>
      <c r="C25950" s="36"/>
      <c r="E25950" s="1"/>
      <c r="F25950" s="1"/>
      <c r="G25950" s="1"/>
    </row>
    <row r="25951">
      <c r="B25951" s="36"/>
      <c r="C25951" s="36"/>
      <c r="E25951" s="1"/>
      <c r="F25951" s="1"/>
      <c r="G25951" s="1"/>
    </row>
    <row r="25952">
      <c r="B25952" s="36"/>
      <c r="C25952" s="36"/>
      <c r="E25952" s="1"/>
      <c r="F25952" s="1"/>
      <c r="G25952" s="1"/>
    </row>
    <row r="25953">
      <c r="B25953" s="36"/>
      <c r="C25953" s="36"/>
      <c r="E25953" s="1"/>
      <c r="F25953" s="1"/>
      <c r="G25953" s="1"/>
    </row>
    <row r="25954">
      <c r="B25954" s="36"/>
      <c r="C25954" s="36"/>
      <c r="E25954" s="1"/>
      <c r="F25954" s="1"/>
      <c r="G25954" s="1"/>
    </row>
    <row r="25955">
      <c r="B25955" s="36"/>
      <c r="C25955" s="36"/>
      <c r="E25955" s="1"/>
      <c r="F25955" s="1"/>
      <c r="G25955" s="1"/>
    </row>
    <row r="25956">
      <c r="B25956" s="36"/>
      <c r="C25956" s="36"/>
      <c r="E25956" s="1"/>
      <c r="F25956" s="1"/>
      <c r="G25956" s="1"/>
    </row>
    <row r="25957">
      <c r="B25957" s="36"/>
      <c r="C25957" s="36"/>
      <c r="E25957" s="1"/>
      <c r="F25957" s="1"/>
      <c r="G25957" s="1"/>
    </row>
    <row r="25958">
      <c r="B25958" s="36"/>
      <c r="C25958" s="36"/>
      <c r="E25958" s="1"/>
      <c r="F25958" s="1"/>
      <c r="G25958" s="1"/>
    </row>
    <row r="25959">
      <c r="B25959" s="36"/>
      <c r="C25959" s="36"/>
      <c r="E25959" s="1"/>
      <c r="F25959" s="1"/>
      <c r="G25959" s="1"/>
    </row>
    <row r="25960">
      <c r="B25960" s="36"/>
      <c r="C25960" s="36"/>
      <c r="E25960" s="1"/>
      <c r="F25960" s="1"/>
      <c r="G25960" s="1"/>
    </row>
    <row r="25961">
      <c r="B25961" s="36"/>
      <c r="C25961" s="36"/>
      <c r="E25961" s="1"/>
      <c r="F25961" s="1"/>
      <c r="G25961" s="1"/>
    </row>
    <row r="25962">
      <c r="B25962" s="36"/>
      <c r="C25962" s="36"/>
      <c r="E25962" s="1"/>
      <c r="F25962" s="1"/>
      <c r="G25962" s="1"/>
    </row>
    <row r="25963">
      <c r="B25963" s="36"/>
      <c r="C25963" s="36"/>
      <c r="E25963" s="1"/>
      <c r="F25963" s="1"/>
      <c r="G25963" s="1"/>
    </row>
    <row r="25964">
      <c r="B25964" s="36"/>
      <c r="C25964" s="36"/>
      <c r="E25964" s="1"/>
      <c r="F25964" s="1"/>
      <c r="G25964" s="1"/>
    </row>
    <row r="25965">
      <c r="B25965" s="36"/>
      <c r="C25965" s="36"/>
      <c r="E25965" s="1"/>
      <c r="F25965" s="1"/>
      <c r="G25965" s="1"/>
    </row>
    <row r="25966">
      <c r="B25966" s="36"/>
      <c r="C25966" s="36"/>
      <c r="E25966" s="1"/>
      <c r="F25966" s="1"/>
      <c r="G25966" s="1"/>
    </row>
    <row r="25967">
      <c r="B25967" s="36"/>
      <c r="C25967" s="36"/>
      <c r="E25967" s="1"/>
      <c r="F25967" s="1"/>
      <c r="G25967" s="1"/>
    </row>
    <row r="25968">
      <c r="B25968" s="36"/>
      <c r="C25968" s="36"/>
      <c r="E25968" s="1"/>
      <c r="F25968" s="1"/>
      <c r="G25968" s="1"/>
    </row>
    <row r="25969">
      <c r="B25969" s="36"/>
      <c r="C25969" s="36"/>
      <c r="E25969" s="1"/>
      <c r="F25969" s="1"/>
      <c r="G25969" s="1"/>
    </row>
    <row r="25970">
      <c r="B25970" s="36"/>
      <c r="C25970" s="36"/>
      <c r="E25970" s="1"/>
      <c r="F25970" s="1"/>
      <c r="G25970" s="1"/>
    </row>
    <row r="25971">
      <c r="B25971" s="36"/>
      <c r="C25971" s="36"/>
      <c r="E25971" s="1"/>
      <c r="F25971" s="1"/>
      <c r="G25971" s="1"/>
    </row>
    <row r="25972">
      <c r="B25972" s="36"/>
      <c r="C25972" s="36"/>
      <c r="E25972" s="1"/>
      <c r="F25972" s="1"/>
      <c r="G25972" s="1"/>
    </row>
    <row r="25973">
      <c r="B25973" s="36"/>
      <c r="C25973" s="36"/>
      <c r="E25973" s="1"/>
      <c r="F25973" s="1"/>
      <c r="G25973" s="1"/>
    </row>
    <row r="25974">
      <c r="B25974" s="36"/>
      <c r="C25974" s="36"/>
      <c r="E25974" s="1"/>
      <c r="F25974" s="1"/>
      <c r="G25974" s="1"/>
    </row>
    <row r="25975">
      <c r="B25975" s="36"/>
      <c r="C25975" s="36"/>
      <c r="E25975" s="1"/>
      <c r="F25975" s="1"/>
      <c r="G25975" s="1"/>
    </row>
    <row r="25976">
      <c r="B25976" s="36"/>
      <c r="C25976" s="36"/>
      <c r="E25976" s="1"/>
      <c r="F25976" s="1"/>
      <c r="G25976" s="1"/>
    </row>
    <row r="25977">
      <c r="B25977" s="36"/>
      <c r="C25977" s="36"/>
      <c r="E25977" s="1"/>
      <c r="F25977" s="1"/>
      <c r="G25977" s="1"/>
    </row>
    <row r="25978">
      <c r="B25978" s="36"/>
      <c r="C25978" s="36"/>
      <c r="E25978" s="1"/>
      <c r="F25978" s="1"/>
      <c r="G25978" s="1"/>
    </row>
    <row r="25979">
      <c r="B25979" s="36"/>
      <c r="C25979" s="36"/>
      <c r="E25979" s="1"/>
      <c r="F25979" s="1"/>
      <c r="G25979" s="1"/>
    </row>
    <row r="25980">
      <c r="B25980" s="36"/>
      <c r="C25980" s="36"/>
      <c r="E25980" s="1"/>
      <c r="F25980" s="1"/>
      <c r="G25980" s="1"/>
    </row>
    <row r="25981">
      <c r="B25981" s="36"/>
      <c r="C25981" s="36"/>
      <c r="E25981" s="1"/>
      <c r="F25981" s="1"/>
      <c r="G25981" s="1"/>
    </row>
    <row r="25982">
      <c r="B25982" s="36"/>
      <c r="C25982" s="36"/>
      <c r="E25982" s="1"/>
      <c r="F25982" s="1"/>
      <c r="G25982" s="1"/>
    </row>
    <row r="25983">
      <c r="B25983" s="36"/>
      <c r="C25983" s="36"/>
      <c r="E25983" s="1"/>
      <c r="F25983" s="1"/>
      <c r="G25983" s="1"/>
    </row>
    <row r="25984">
      <c r="B25984" s="36"/>
      <c r="C25984" s="36"/>
      <c r="E25984" s="1"/>
      <c r="F25984" s="1"/>
      <c r="G25984" s="1"/>
    </row>
    <row r="25985">
      <c r="B25985" s="36"/>
      <c r="C25985" s="36"/>
      <c r="E25985" s="1"/>
      <c r="F25985" s="1"/>
      <c r="G25985" s="1"/>
    </row>
    <row r="25986">
      <c r="B25986" s="36"/>
      <c r="C25986" s="36"/>
      <c r="E25986" s="1"/>
      <c r="F25986" s="1"/>
      <c r="G25986" s="1"/>
    </row>
    <row r="25987">
      <c r="B25987" s="36"/>
      <c r="C25987" s="36"/>
      <c r="E25987" s="1"/>
      <c r="F25987" s="1"/>
      <c r="G25987" s="1"/>
    </row>
    <row r="25988">
      <c r="B25988" s="36"/>
      <c r="C25988" s="36"/>
      <c r="E25988" s="1"/>
      <c r="F25988" s="1"/>
      <c r="G25988" s="1"/>
    </row>
    <row r="25989">
      <c r="B25989" s="36"/>
      <c r="C25989" s="36"/>
      <c r="E25989" s="1"/>
      <c r="F25989" s="1"/>
      <c r="G25989" s="1"/>
    </row>
    <row r="25990">
      <c r="B25990" s="36"/>
      <c r="C25990" s="36"/>
      <c r="E25990" s="1"/>
      <c r="F25990" s="1"/>
      <c r="G25990" s="1"/>
    </row>
    <row r="25991">
      <c r="B25991" s="36"/>
      <c r="C25991" s="36"/>
      <c r="E25991" s="1"/>
      <c r="F25991" s="1"/>
      <c r="G25991" s="1"/>
    </row>
    <row r="25992">
      <c r="B25992" s="36"/>
      <c r="C25992" s="36"/>
      <c r="E25992" s="1"/>
      <c r="F25992" s="1"/>
      <c r="G25992" s="1"/>
    </row>
    <row r="25993">
      <c r="B25993" s="36"/>
      <c r="C25993" s="36"/>
      <c r="E25993" s="1"/>
      <c r="F25993" s="1"/>
      <c r="G25993" s="1"/>
    </row>
    <row r="25994">
      <c r="B25994" s="36"/>
      <c r="C25994" s="36"/>
      <c r="E25994" s="1"/>
      <c r="F25994" s="1"/>
      <c r="G25994" s="1"/>
    </row>
    <row r="25995">
      <c r="B25995" s="36"/>
      <c r="C25995" s="36"/>
      <c r="E25995" s="1"/>
      <c r="F25995" s="1"/>
      <c r="G25995" s="1"/>
    </row>
    <row r="25996">
      <c r="B25996" s="36"/>
      <c r="C25996" s="36"/>
      <c r="E25996" s="1"/>
      <c r="F25996" s="1"/>
      <c r="G25996" s="1"/>
    </row>
    <row r="25997">
      <c r="B25997" s="36"/>
      <c r="C25997" s="36"/>
      <c r="E25997" s="1"/>
      <c r="F25997" s="1"/>
      <c r="G25997" s="1"/>
    </row>
    <row r="25998">
      <c r="B25998" s="36"/>
      <c r="C25998" s="36"/>
      <c r="E25998" s="1"/>
      <c r="F25998" s="1"/>
      <c r="G25998" s="1"/>
    </row>
    <row r="25999">
      <c r="B25999" s="36"/>
      <c r="C25999" s="36"/>
      <c r="E25999" s="1"/>
      <c r="F25999" s="1"/>
      <c r="G25999" s="1"/>
    </row>
    <row r="26000">
      <c r="B26000" s="36"/>
      <c r="C26000" s="36"/>
      <c r="E26000" s="1"/>
      <c r="F26000" s="1"/>
      <c r="G26000" s="1"/>
    </row>
    <row r="26001">
      <c r="B26001" s="36"/>
      <c r="C26001" s="36"/>
      <c r="E26001" s="1"/>
      <c r="F26001" s="1"/>
      <c r="G26001" s="1"/>
    </row>
    <row r="26002">
      <c r="B26002" s="36"/>
      <c r="C26002" s="36"/>
      <c r="E26002" s="1"/>
      <c r="F26002" s="1"/>
      <c r="G26002" s="1"/>
    </row>
    <row r="26003">
      <c r="B26003" s="36"/>
      <c r="C26003" s="36"/>
      <c r="E26003" s="1"/>
      <c r="F26003" s="1"/>
      <c r="G26003" s="1"/>
    </row>
    <row r="26004">
      <c r="B26004" s="36"/>
      <c r="C26004" s="36"/>
      <c r="E26004" s="1"/>
      <c r="F26004" s="1"/>
      <c r="G26004" s="1"/>
    </row>
    <row r="26005">
      <c r="B26005" s="36"/>
      <c r="C26005" s="36"/>
      <c r="E26005" s="1"/>
      <c r="F26005" s="1"/>
      <c r="G26005" s="1"/>
    </row>
    <row r="26006">
      <c r="B26006" s="36"/>
      <c r="C26006" s="36"/>
      <c r="E26006" s="1"/>
      <c r="F26006" s="1"/>
      <c r="G26006" s="1"/>
    </row>
    <row r="26007">
      <c r="B26007" s="36"/>
      <c r="C26007" s="36"/>
      <c r="E26007" s="1"/>
      <c r="F26007" s="1"/>
      <c r="G26007" s="1"/>
    </row>
    <row r="26008">
      <c r="B26008" s="36"/>
      <c r="C26008" s="36"/>
      <c r="E26008" s="1"/>
      <c r="F26008" s="1"/>
      <c r="G26008" s="1"/>
    </row>
    <row r="26009">
      <c r="B26009" s="36"/>
      <c r="C26009" s="36"/>
      <c r="E26009" s="1"/>
      <c r="F26009" s="1"/>
      <c r="G26009" s="1"/>
    </row>
    <row r="26010">
      <c r="B26010" s="36"/>
      <c r="C26010" s="36"/>
      <c r="E26010" s="1"/>
      <c r="F26010" s="1"/>
      <c r="G26010" s="1"/>
    </row>
    <row r="26011">
      <c r="B26011" s="36"/>
      <c r="C26011" s="36"/>
      <c r="E26011" s="1"/>
      <c r="F26011" s="1"/>
      <c r="G26011" s="1"/>
    </row>
    <row r="26012">
      <c r="B26012" s="36"/>
      <c r="C26012" s="36"/>
      <c r="E26012" s="1"/>
      <c r="F26012" s="1"/>
      <c r="G26012" s="1"/>
    </row>
    <row r="26013">
      <c r="B26013" s="36"/>
      <c r="C26013" s="36"/>
      <c r="E26013" s="1"/>
      <c r="F26013" s="1"/>
      <c r="G26013" s="1"/>
    </row>
    <row r="26014">
      <c r="B26014" s="36"/>
      <c r="C26014" s="36"/>
      <c r="E26014" s="1"/>
      <c r="F26014" s="1"/>
      <c r="G26014" s="1"/>
    </row>
    <row r="26015">
      <c r="B26015" s="36"/>
      <c r="C26015" s="36"/>
      <c r="E26015" s="1"/>
      <c r="F26015" s="1"/>
      <c r="G26015" s="1"/>
    </row>
    <row r="26016">
      <c r="B26016" s="36"/>
      <c r="C26016" s="36"/>
      <c r="E26016" s="1"/>
      <c r="F26016" s="1"/>
      <c r="G26016" s="1"/>
    </row>
    <row r="26017">
      <c r="B26017" s="36"/>
      <c r="C26017" s="36"/>
      <c r="E26017" s="1"/>
      <c r="F26017" s="1"/>
      <c r="G26017" s="1"/>
    </row>
    <row r="26018">
      <c r="B26018" s="36"/>
      <c r="C26018" s="36"/>
      <c r="E26018" s="1"/>
      <c r="F26018" s="1"/>
      <c r="G26018" s="1"/>
    </row>
    <row r="26019">
      <c r="B26019" s="36"/>
      <c r="C26019" s="36"/>
      <c r="E26019" s="1"/>
      <c r="F26019" s="1"/>
      <c r="G26019" s="1"/>
    </row>
    <row r="26020">
      <c r="B26020" s="36"/>
      <c r="C26020" s="36"/>
      <c r="E26020" s="1"/>
      <c r="F26020" s="1"/>
      <c r="G26020" s="1"/>
    </row>
    <row r="26021">
      <c r="B26021" s="36"/>
      <c r="C26021" s="36"/>
      <c r="E26021" s="1"/>
      <c r="F26021" s="1"/>
      <c r="G26021" s="1"/>
    </row>
    <row r="26022">
      <c r="B26022" s="36"/>
      <c r="C26022" s="36"/>
      <c r="E26022" s="1"/>
      <c r="F26022" s="1"/>
      <c r="G26022" s="1"/>
    </row>
    <row r="26023">
      <c r="B26023" s="36"/>
      <c r="C26023" s="36"/>
      <c r="E26023" s="1"/>
      <c r="F26023" s="1"/>
      <c r="G26023" s="1"/>
    </row>
    <row r="26024">
      <c r="B26024" s="36"/>
      <c r="C26024" s="36"/>
      <c r="E26024" s="1"/>
      <c r="F26024" s="1"/>
      <c r="G26024" s="1"/>
    </row>
    <row r="26025">
      <c r="B26025" s="36"/>
      <c r="C26025" s="36"/>
      <c r="E26025" s="1"/>
      <c r="F26025" s="1"/>
      <c r="G26025" s="1"/>
    </row>
    <row r="26026">
      <c r="B26026" s="36"/>
      <c r="C26026" s="36"/>
      <c r="E26026" s="1"/>
      <c r="F26026" s="1"/>
      <c r="G26026" s="1"/>
    </row>
    <row r="26027">
      <c r="B26027" s="36"/>
      <c r="C26027" s="36"/>
      <c r="E26027" s="1"/>
      <c r="F26027" s="1"/>
      <c r="G26027" s="1"/>
    </row>
    <row r="26028">
      <c r="B26028" s="36"/>
      <c r="C26028" s="36"/>
      <c r="E26028" s="1"/>
      <c r="F26028" s="1"/>
      <c r="G26028" s="1"/>
    </row>
    <row r="26029">
      <c r="B26029" s="36"/>
      <c r="C26029" s="36"/>
      <c r="E26029" s="1"/>
      <c r="F26029" s="1"/>
      <c r="G26029" s="1"/>
    </row>
    <row r="26030">
      <c r="B26030" s="36"/>
      <c r="C26030" s="36"/>
      <c r="E26030" s="1"/>
      <c r="F26030" s="1"/>
      <c r="G26030" s="1"/>
    </row>
    <row r="26031">
      <c r="B26031" s="36"/>
      <c r="C26031" s="36"/>
      <c r="E26031" s="1"/>
      <c r="F26031" s="1"/>
      <c r="G26031" s="1"/>
    </row>
    <row r="26032">
      <c r="B26032" s="36"/>
      <c r="C26032" s="36"/>
      <c r="E26032" s="1"/>
      <c r="F26032" s="1"/>
      <c r="G26032" s="1"/>
    </row>
    <row r="26033">
      <c r="B26033" s="36"/>
      <c r="C26033" s="36"/>
      <c r="E26033" s="1"/>
      <c r="F26033" s="1"/>
      <c r="G26033" s="1"/>
    </row>
    <row r="26034">
      <c r="B26034" s="36"/>
      <c r="C26034" s="36"/>
      <c r="E26034" s="1"/>
      <c r="F26034" s="1"/>
      <c r="G26034" s="1"/>
    </row>
    <row r="26035">
      <c r="B26035" s="36"/>
      <c r="C26035" s="36"/>
      <c r="E26035" s="1"/>
      <c r="F26035" s="1"/>
      <c r="G26035" s="1"/>
    </row>
    <row r="26036">
      <c r="B26036" s="36"/>
      <c r="C26036" s="36"/>
      <c r="E26036" s="1"/>
      <c r="F26036" s="1"/>
      <c r="G26036" s="1"/>
    </row>
    <row r="26037">
      <c r="B26037" s="36"/>
      <c r="C26037" s="36"/>
      <c r="E26037" s="1"/>
      <c r="F26037" s="1"/>
      <c r="G26037" s="1"/>
    </row>
    <row r="26038">
      <c r="B26038" s="36"/>
      <c r="C26038" s="36"/>
      <c r="E26038" s="1"/>
      <c r="F26038" s="1"/>
      <c r="G26038" s="1"/>
    </row>
    <row r="26039">
      <c r="B26039" s="36"/>
      <c r="C26039" s="36"/>
      <c r="E26039" s="1"/>
      <c r="F26039" s="1"/>
      <c r="G26039" s="1"/>
    </row>
    <row r="26040">
      <c r="B26040" s="36"/>
      <c r="C26040" s="36"/>
      <c r="E26040" s="1"/>
      <c r="F26040" s="1"/>
      <c r="G26040" s="1"/>
    </row>
    <row r="26041">
      <c r="B26041" s="36"/>
      <c r="C26041" s="36"/>
      <c r="E26041" s="1"/>
      <c r="F26041" s="1"/>
      <c r="G26041" s="1"/>
    </row>
    <row r="26042">
      <c r="B26042" s="36"/>
      <c r="C26042" s="36"/>
      <c r="E26042" s="1"/>
      <c r="F26042" s="1"/>
      <c r="G26042" s="1"/>
    </row>
    <row r="26043">
      <c r="B26043" s="36"/>
      <c r="C26043" s="36"/>
      <c r="E26043" s="1"/>
      <c r="F26043" s="1"/>
      <c r="G26043" s="1"/>
    </row>
    <row r="26044">
      <c r="B26044" s="36"/>
      <c r="C26044" s="36"/>
      <c r="E26044" s="1"/>
      <c r="F26044" s="1"/>
      <c r="G26044" s="1"/>
    </row>
    <row r="26045">
      <c r="B26045" s="36"/>
      <c r="C26045" s="36"/>
      <c r="E26045" s="1"/>
      <c r="F26045" s="1"/>
      <c r="G26045" s="1"/>
    </row>
    <row r="26046">
      <c r="B26046" s="36"/>
      <c r="C26046" s="36"/>
      <c r="E26046" s="1"/>
      <c r="F26046" s="1"/>
      <c r="G26046" s="1"/>
    </row>
    <row r="26047">
      <c r="B26047" s="36"/>
      <c r="C26047" s="36"/>
      <c r="E26047" s="1"/>
      <c r="F26047" s="1"/>
      <c r="G26047" s="1"/>
    </row>
    <row r="26048">
      <c r="B26048" s="36"/>
      <c r="C26048" s="36"/>
      <c r="E26048" s="1"/>
      <c r="F26048" s="1"/>
      <c r="G26048" s="1"/>
    </row>
    <row r="26049">
      <c r="B26049" s="36"/>
      <c r="C26049" s="36"/>
      <c r="E26049" s="1"/>
      <c r="F26049" s="1"/>
      <c r="G26049" s="1"/>
    </row>
    <row r="26050">
      <c r="B26050" s="36"/>
      <c r="C26050" s="36"/>
      <c r="E26050" s="1"/>
      <c r="F26050" s="1"/>
      <c r="G26050" s="1"/>
    </row>
    <row r="26051">
      <c r="B26051" s="36"/>
      <c r="C26051" s="36"/>
      <c r="E26051" s="1"/>
      <c r="F26051" s="1"/>
      <c r="G26051" s="1"/>
    </row>
    <row r="26052">
      <c r="B26052" s="36"/>
      <c r="C26052" s="36"/>
      <c r="E26052" s="1"/>
      <c r="F26052" s="1"/>
      <c r="G26052" s="1"/>
    </row>
    <row r="26053">
      <c r="B26053" s="36"/>
      <c r="C26053" s="36"/>
      <c r="E26053" s="1"/>
      <c r="F26053" s="1"/>
      <c r="G26053" s="1"/>
    </row>
    <row r="26054">
      <c r="B26054" s="36"/>
      <c r="C26054" s="36"/>
      <c r="E26054" s="1"/>
      <c r="F26054" s="1"/>
      <c r="G26054" s="1"/>
    </row>
    <row r="26055">
      <c r="B26055" s="36"/>
      <c r="C26055" s="36"/>
      <c r="E26055" s="1"/>
      <c r="F26055" s="1"/>
      <c r="G26055" s="1"/>
    </row>
    <row r="26056">
      <c r="B26056" s="36"/>
      <c r="C26056" s="36"/>
      <c r="E26056" s="1"/>
      <c r="F26056" s="1"/>
      <c r="G26056" s="1"/>
    </row>
    <row r="26057">
      <c r="B26057" s="36"/>
      <c r="C26057" s="36"/>
      <c r="E26057" s="1"/>
      <c r="F26057" s="1"/>
      <c r="G26057" s="1"/>
    </row>
    <row r="26058">
      <c r="B26058" s="36"/>
      <c r="C26058" s="36"/>
      <c r="E26058" s="1"/>
      <c r="F26058" s="1"/>
      <c r="G26058" s="1"/>
    </row>
    <row r="26059">
      <c r="B26059" s="36"/>
      <c r="C26059" s="36"/>
      <c r="E26059" s="1"/>
      <c r="F26059" s="1"/>
      <c r="G26059" s="1"/>
    </row>
    <row r="26060">
      <c r="B26060" s="36"/>
      <c r="C26060" s="36"/>
      <c r="E26060" s="1"/>
      <c r="F26060" s="1"/>
      <c r="G26060" s="1"/>
    </row>
    <row r="26061">
      <c r="B26061" s="36"/>
      <c r="C26061" s="36"/>
      <c r="E26061" s="1"/>
      <c r="F26061" s="1"/>
      <c r="G26061" s="1"/>
    </row>
    <row r="26062">
      <c r="B26062" s="36"/>
      <c r="C26062" s="36"/>
      <c r="E26062" s="1"/>
      <c r="F26062" s="1"/>
      <c r="G26062" s="1"/>
    </row>
    <row r="26063">
      <c r="B26063" s="36"/>
      <c r="C26063" s="36"/>
      <c r="E26063" s="1"/>
      <c r="F26063" s="1"/>
      <c r="G26063" s="1"/>
    </row>
    <row r="26064">
      <c r="B26064" s="36"/>
      <c r="C26064" s="36"/>
      <c r="E26064" s="1"/>
      <c r="F26064" s="1"/>
      <c r="G26064" s="1"/>
    </row>
    <row r="26065">
      <c r="B26065" s="36"/>
      <c r="C26065" s="36"/>
      <c r="E26065" s="1"/>
      <c r="F26065" s="1"/>
      <c r="G26065" s="1"/>
    </row>
    <row r="26066">
      <c r="B26066" s="36"/>
      <c r="C26066" s="36"/>
      <c r="E26066" s="1"/>
      <c r="F26066" s="1"/>
      <c r="G26066" s="1"/>
    </row>
    <row r="26067">
      <c r="B26067" s="36"/>
      <c r="C26067" s="36"/>
      <c r="E26067" s="1"/>
      <c r="F26067" s="1"/>
      <c r="G26067" s="1"/>
    </row>
    <row r="26068">
      <c r="B26068" s="36"/>
      <c r="C26068" s="36"/>
      <c r="E26068" s="1"/>
      <c r="F26068" s="1"/>
      <c r="G26068" s="1"/>
    </row>
    <row r="26069">
      <c r="B26069" s="36"/>
      <c r="C26069" s="36"/>
      <c r="E26069" s="1"/>
      <c r="F26069" s="1"/>
      <c r="G26069" s="1"/>
    </row>
    <row r="26070">
      <c r="B26070" s="36"/>
      <c r="C26070" s="36"/>
      <c r="E26070" s="1"/>
      <c r="F26070" s="1"/>
      <c r="G26070" s="1"/>
    </row>
    <row r="26071">
      <c r="B26071" s="36"/>
      <c r="C26071" s="36"/>
      <c r="E26071" s="1"/>
      <c r="F26071" s="1"/>
      <c r="G26071" s="1"/>
    </row>
    <row r="26072">
      <c r="B26072" s="36"/>
      <c r="C26072" s="36"/>
      <c r="E26072" s="1"/>
      <c r="F26072" s="1"/>
      <c r="G26072" s="1"/>
    </row>
    <row r="26073">
      <c r="B26073" s="36"/>
      <c r="C26073" s="36"/>
      <c r="E26073" s="1"/>
      <c r="F26073" s="1"/>
      <c r="G26073" s="1"/>
    </row>
    <row r="26074">
      <c r="B26074" s="36"/>
      <c r="C26074" s="36"/>
      <c r="E26074" s="1"/>
      <c r="F26074" s="1"/>
      <c r="G26074" s="1"/>
    </row>
    <row r="26075">
      <c r="B26075" s="36"/>
      <c r="C26075" s="36"/>
      <c r="E26075" s="1"/>
      <c r="F26075" s="1"/>
      <c r="G26075" s="1"/>
    </row>
    <row r="26076">
      <c r="B26076" s="36"/>
      <c r="C26076" s="36"/>
      <c r="E26076" s="1"/>
      <c r="F26076" s="1"/>
      <c r="G26076" s="1"/>
    </row>
    <row r="26077">
      <c r="B26077" s="36"/>
      <c r="C26077" s="36"/>
      <c r="E26077" s="1"/>
      <c r="F26077" s="1"/>
      <c r="G26077" s="1"/>
    </row>
    <row r="26078">
      <c r="B26078" s="36"/>
      <c r="C26078" s="36"/>
      <c r="E26078" s="1"/>
      <c r="F26078" s="1"/>
      <c r="G26078" s="1"/>
    </row>
    <row r="26079">
      <c r="B26079" s="36"/>
      <c r="C26079" s="36"/>
      <c r="E26079" s="1"/>
      <c r="F26079" s="1"/>
      <c r="G26079" s="1"/>
    </row>
    <row r="26080">
      <c r="B26080" s="36"/>
      <c r="C26080" s="36"/>
      <c r="E26080" s="1"/>
      <c r="F26080" s="1"/>
      <c r="G26080" s="1"/>
    </row>
    <row r="26081">
      <c r="B26081" s="36"/>
      <c r="C26081" s="36"/>
      <c r="E26081" s="1"/>
      <c r="F26081" s="1"/>
      <c r="G26081" s="1"/>
    </row>
    <row r="26082">
      <c r="B26082" s="36"/>
      <c r="C26082" s="36"/>
      <c r="E26082" s="1"/>
      <c r="F26082" s="1"/>
      <c r="G26082" s="1"/>
    </row>
    <row r="26083">
      <c r="B26083" s="36"/>
      <c r="C26083" s="36"/>
      <c r="E26083" s="1"/>
      <c r="F26083" s="1"/>
      <c r="G26083" s="1"/>
    </row>
    <row r="26084">
      <c r="B26084" s="36"/>
      <c r="C26084" s="36"/>
      <c r="E26084" s="1"/>
      <c r="F26084" s="1"/>
      <c r="G26084" s="1"/>
    </row>
    <row r="26085">
      <c r="B26085" s="36"/>
      <c r="C26085" s="36"/>
      <c r="E26085" s="1"/>
      <c r="F26085" s="1"/>
      <c r="G26085" s="1"/>
    </row>
    <row r="26086">
      <c r="B26086" s="36"/>
      <c r="C26086" s="36"/>
      <c r="E26086" s="1"/>
      <c r="F26086" s="1"/>
      <c r="G26086" s="1"/>
    </row>
    <row r="26087">
      <c r="B26087" s="36"/>
      <c r="C26087" s="36"/>
      <c r="E26087" s="1"/>
      <c r="F26087" s="1"/>
      <c r="G26087" s="1"/>
    </row>
    <row r="26088">
      <c r="B26088" s="36"/>
      <c r="C26088" s="36"/>
      <c r="E26088" s="1"/>
      <c r="F26088" s="1"/>
      <c r="G26088" s="1"/>
    </row>
    <row r="26089">
      <c r="B26089" s="36"/>
      <c r="C26089" s="36"/>
      <c r="E26089" s="1"/>
      <c r="F26089" s="1"/>
      <c r="G26089" s="1"/>
    </row>
    <row r="26090">
      <c r="B26090" s="36"/>
      <c r="C26090" s="36"/>
      <c r="E26090" s="1"/>
      <c r="F26090" s="1"/>
      <c r="G26090" s="1"/>
    </row>
    <row r="26091">
      <c r="B26091" s="36"/>
      <c r="C26091" s="36"/>
      <c r="E26091" s="1"/>
      <c r="F26091" s="1"/>
      <c r="G26091" s="1"/>
    </row>
    <row r="26092">
      <c r="B26092" s="36"/>
      <c r="C26092" s="36"/>
      <c r="E26092" s="1"/>
      <c r="F26092" s="1"/>
      <c r="G26092" s="1"/>
    </row>
    <row r="26093">
      <c r="B26093" s="36"/>
      <c r="C26093" s="36"/>
      <c r="E26093" s="1"/>
      <c r="F26093" s="1"/>
      <c r="G26093" s="1"/>
    </row>
    <row r="26094">
      <c r="B26094" s="36"/>
      <c r="C26094" s="36"/>
      <c r="E26094" s="1"/>
      <c r="F26094" s="1"/>
      <c r="G26094" s="1"/>
    </row>
    <row r="26095">
      <c r="B26095" s="36"/>
      <c r="C26095" s="36"/>
      <c r="E26095" s="1"/>
      <c r="F26095" s="1"/>
      <c r="G26095" s="1"/>
    </row>
    <row r="26096">
      <c r="B26096" s="36"/>
      <c r="C26096" s="36"/>
      <c r="E26096" s="1"/>
      <c r="F26096" s="1"/>
      <c r="G26096" s="1"/>
    </row>
    <row r="26097">
      <c r="B26097" s="36"/>
      <c r="C26097" s="36"/>
      <c r="E26097" s="1"/>
      <c r="F26097" s="1"/>
      <c r="G26097" s="1"/>
    </row>
    <row r="26098">
      <c r="B26098" s="36"/>
      <c r="C26098" s="36"/>
      <c r="E26098" s="1"/>
      <c r="F26098" s="1"/>
      <c r="G26098" s="1"/>
    </row>
    <row r="26099">
      <c r="B26099" s="36"/>
      <c r="C26099" s="36"/>
      <c r="E26099" s="1"/>
      <c r="F26099" s="1"/>
      <c r="G26099" s="1"/>
    </row>
    <row r="26100">
      <c r="B26100" s="36"/>
      <c r="C26100" s="36"/>
      <c r="E26100" s="1"/>
      <c r="F26100" s="1"/>
      <c r="G26100" s="1"/>
    </row>
    <row r="26101">
      <c r="B26101" s="36"/>
      <c r="C26101" s="36"/>
      <c r="E26101" s="1"/>
      <c r="F26101" s="1"/>
      <c r="G26101" s="1"/>
    </row>
    <row r="26102">
      <c r="B26102" s="36"/>
      <c r="C26102" s="36"/>
      <c r="E26102" s="1"/>
      <c r="F26102" s="1"/>
      <c r="G26102" s="1"/>
    </row>
    <row r="26103">
      <c r="B26103" s="36"/>
      <c r="C26103" s="36"/>
      <c r="E26103" s="1"/>
      <c r="F26103" s="1"/>
      <c r="G26103" s="1"/>
    </row>
    <row r="26104">
      <c r="B26104" s="36"/>
      <c r="C26104" s="36"/>
      <c r="E26104" s="1"/>
      <c r="F26104" s="1"/>
      <c r="G26104" s="1"/>
    </row>
    <row r="26105">
      <c r="B26105" s="36"/>
      <c r="C26105" s="36"/>
      <c r="E26105" s="1"/>
      <c r="F26105" s="1"/>
      <c r="G26105" s="1"/>
    </row>
    <row r="26106">
      <c r="B26106" s="36"/>
      <c r="C26106" s="36"/>
      <c r="E26106" s="1"/>
      <c r="F26106" s="1"/>
      <c r="G26106" s="1"/>
    </row>
    <row r="26107">
      <c r="B26107" s="36"/>
      <c r="C26107" s="36"/>
      <c r="E26107" s="1"/>
      <c r="F26107" s="1"/>
      <c r="G26107" s="1"/>
    </row>
    <row r="26108">
      <c r="B26108" s="36"/>
      <c r="C26108" s="36"/>
      <c r="E26108" s="1"/>
      <c r="F26108" s="1"/>
      <c r="G26108" s="1"/>
    </row>
    <row r="26109">
      <c r="B26109" s="36"/>
      <c r="C26109" s="36"/>
      <c r="E26109" s="1"/>
      <c r="F26109" s="1"/>
      <c r="G26109" s="1"/>
    </row>
    <row r="26110">
      <c r="B26110" s="36"/>
      <c r="C26110" s="36"/>
      <c r="E26110" s="1"/>
      <c r="F26110" s="1"/>
      <c r="G26110" s="1"/>
    </row>
    <row r="26111">
      <c r="B26111" s="36"/>
      <c r="C26111" s="36"/>
      <c r="E26111" s="1"/>
      <c r="F26111" s="1"/>
      <c r="G26111" s="1"/>
    </row>
    <row r="26112">
      <c r="B26112" s="36"/>
      <c r="C26112" s="36"/>
      <c r="E26112" s="1"/>
      <c r="F26112" s="1"/>
      <c r="G26112" s="1"/>
    </row>
    <row r="26113">
      <c r="B26113" s="36"/>
      <c r="C26113" s="36"/>
      <c r="E26113" s="1"/>
      <c r="F26113" s="1"/>
      <c r="G26113" s="1"/>
    </row>
    <row r="26114">
      <c r="B26114" s="36"/>
      <c r="C26114" s="36"/>
      <c r="E26114" s="1"/>
      <c r="F26114" s="1"/>
      <c r="G26114" s="1"/>
    </row>
    <row r="26115">
      <c r="B26115" s="36"/>
      <c r="C26115" s="36"/>
      <c r="E26115" s="1"/>
      <c r="F26115" s="1"/>
      <c r="G26115" s="1"/>
    </row>
    <row r="26116">
      <c r="B26116" s="36"/>
      <c r="C26116" s="36"/>
      <c r="E26116" s="1"/>
      <c r="F26116" s="1"/>
      <c r="G26116" s="1"/>
    </row>
    <row r="26117">
      <c r="B26117" s="36"/>
      <c r="C26117" s="36"/>
      <c r="E26117" s="1"/>
      <c r="F26117" s="1"/>
      <c r="G26117" s="1"/>
    </row>
    <row r="26118">
      <c r="B26118" s="36"/>
      <c r="C26118" s="36"/>
      <c r="E26118" s="1"/>
      <c r="F26118" s="1"/>
      <c r="G26118" s="1"/>
    </row>
    <row r="26119">
      <c r="B26119" s="36"/>
      <c r="C26119" s="36"/>
      <c r="E26119" s="1"/>
      <c r="F26119" s="1"/>
      <c r="G26119" s="1"/>
    </row>
    <row r="26120">
      <c r="B26120" s="36"/>
      <c r="C26120" s="36"/>
      <c r="E26120" s="1"/>
      <c r="F26120" s="1"/>
      <c r="G26120" s="1"/>
    </row>
    <row r="26121">
      <c r="B26121" s="36"/>
      <c r="C26121" s="36"/>
      <c r="E26121" s="1"/>
      <c r="F26121" s="1"/>
      <c r="G26121" s="1"/>
    </row>
    <row r="26122">
      <c r="B26122" s="36"/>
      <c r="C26122" s="36"/>
      <c r="E26122" s="1"/>
      <c r="F26122" s="1"/>
      <c r="G26122" s="1"/>
    </row>
    <row r="26123">
      <c r="B26123" s="36"/>
      <c r="C26123" s="36"/>
      <c r="E26123" s="1"/>
      <c r="F26123" s="1"/>
      <c r="G26123" s="1"/>
    </row>
    <row r="26124">
      <c r="B26124" s="36"/>
      <c r="C26124" s="36"/>
      <c r="E26124" s="1"/>
      <c r="F26124" s="1"/>
      <c r="G26124" s="1"/>
    </row>
    <row r="26125">
      <c r="B26125" s="36"/>
      <c r="C26125" s="36"/>
      <c r="E26125" s="1"/>
      <c r="F26125" s="1"/>
      <c r="G26125" s="1"/>
    </row>
    <row r="26126">
      <c r="B26126" s="36"/>
      <c r="C26126" s="36"/>
      <c r="E26126" s="1"/>
      <c r="F26126" s="1"/>
      <c r="G26126" s="1"/>
    </row>
    <row r="26127">
      <c r="B26127" s="36"/>
      <c r="C26127" s="36"/>
      <c r="E26127" s="1"/>
      <c r="F26127" s="1"/>
      <c r="G26127" s="1"/>
    </row>
    <row r="26128">
      <c r="B26128" s="36"/>
      <c r="C26128" s="36"/>
      <c r="E26128" s="1"/>
      <c r="F26128" s="1"/>
      <c r="G26128" s="1"/>
    </row>
    <row r="26129">
      <c r="B26129" s="36"/>
      <c r="C26129" s="36"/>
      <c r="E26129" s="1"/>
      <c r="F26129" s="1"/>
      <c r="G26129" s="1"/>
    </row>
    <row r="26130">
      <c r="B26130" s="36"/>
      <c r="C26130" s="36"/>
      <c r="E26130" s="1"/>
      <c r="F26130" s="1"/>
      <c r="G26130" s="1"/>
    </row>
    <row r="26131">
      <c r="B26131" s="36"/>
      <c r="C26131" s="36"/>
      <c r="E26131" s="1"/>
      <c r="F26131" s="1"/>
      <c r="G26131" s="1"/>
    </row>
    <row r="26132">
      <c r="B26132" s="36"/>
      <c r="C26132" s="36"/>
      <c r="E26132" s="1"/>
      <c r="F26132" s="1"/>
      <c r="G26132" s="1"/>
    </row>
    <row r="26133">
      <c r="B26133" s="36"/>
      <c r="C26133" s="36"/>
      <c r="E26133" s="1"/>
      <c r="F26133" s="1"/>
      <c r="G26133" s="1"/>
    </row>
    <row r="26134">
      <c r="B26134" s="36"/>
      <c r="C26134" s="36"/>
      <c r="E26134" s="1"/>
      <c r="F26134" s="1"/>
      <c r="G26134" s="1"/>
    </row>
    <row r="26135">
      <c r="B26135" s="36"/>
      <c r="C26135" s="36"/>
      <c r="E26135" s="1"/>
      <c r="F26135" s="1"/>
      <c r="G26135" s="1"/>
    </row>
    <row r="26136">
      <c r="B26136" s="36"/>
      <c r="C26136" s="36"/>
      <c r="E26136" s="1"/>
      <c r="F26136" s="1"/>
      <c r="G26136" s="1"/>
    </row>
    <row r="26137">
      <c r="B26137" s="36"/>
      <c r="C26137" s="36"/>
      <c r="E26137" s="1"/>
      <c r="F26137" s="1"/>
      <c r="G26137" s="1"/>
    </row>
    <row r="26138">
      <c r="B26138" s="36"/>
      <c r="C26138" s="36"/>
      <c r="E26138" s="1"/>
      <c r="F26138" s="1"/>
      <c r="G26138" s="1"/>
    </row>
    <row r="26139">
      <c r="B26139" s="36"/>
      <c r="C26139" s="36"/>
      <c r="E26139" s="1"/>
      <c r="F26139" s="1"/>
      <c r="G26139" s="1"/>
    </row>
    <row r="26140">
      <c r="B26140" s="36"/>
      <c r="C26140" s="36"/>
      <c r="E26140" s="1"/>
      <c r="F26140" s="1"/>
      <c r="G26140" s="1"/>
    </row>
    <row r="26141">
      <c r="B26141" s="36"/>
      <c r="C26141" s="36"/>
      <c r="E26141" s="1"/>
      <c r="F26141" s="1"/>
      <c r="G26141" s="1"/>
    </row>
    <row r="26142">
      <c r="B26142" s="36"/>
      <c r="C26142" s="36"/>
      <c r="E26142" s="1"/>
      <c r="F26142" s="1"/>
      <c r="G26142" s="1"/>
    </row>
    <row r="26143">
      <c r="B26143" s="36"/>
      <c r="C26143" s="36"/>
      <c r="E26143" s="1"/>
      <c r="F26143" s="1"/>
      <c r="G26143" s="1"/>
    </row>
    <row r="26144">
      <c r="B26144" s="36"/>
      <c r="C26144" s="36"/>
      <c r="E26144" s="1"/>
      <c r="F26144" s="1"/>
      <c r="G26144" s="1"/>
    </row>
    <row r="26145">
      <c r="B26145" s="36"/>
      <c r="C26145" s="36"/>
      <c r="E26145" s="1"/>
      <c r="F26145" s="1"/>
      <c r="G26145" s="1"/>
    </row>
    <row r="26146">
      <c r="B26146" s="36"/>
      <c r="C26146" s="36"/>
      <c r="E26146" s="1"/>
      <c r="F26146" s="1"/>
      <c r="G26146" s="1"/>
    </row>
    <row r="26147">
      <c r="B26147" s="36"/>
      <c r="C26147" s="36"/>
      <c r="E26147" s="1"/>
      <c r="F26147" s="1"/>
      <c r="G26147" s="1"/>
    </row>
    <row r="26148">
      <c r="B26148" s="36"/>
      <c r="C26148" s="36"/>
      <c r="E26148" s="1"/>
      <c r="F26148" s="1"/>
      <c r="G26148" s="1"/>
    </row>
    <row r="26149">
      <c r="B26149" s="36"/>
      <c r="C26149" s="36"/>
      <c r="E26149" s="1"/>
      <c r="F26149" s="1"/>
      <c r="G26149" s="1"/>
    </row>
    <row r="26150">
      <c r="B26150" s="36"/>
      <c r="C26150" s="36"/>
      <c r="E26150" s="1"/>
      <c r="F26150" s="1"/>
      <c r="G26150" s="1"/>
    </row>
    <row r="26151">
      <c r="B26151" s="36"/>
      <c r="C26151" s="36"/>
      <c r="E26151" s="1"/>
      <c r="F26151" s="1"/>
      <c r="G26151" s="1"/>
    </row>
    <row r="26152">
      <c r="B26152" s="36"/>
      <c r="C26152" s="36"/>
      <c r="E26152" s="1"/>
      <c r="F26152" s="1"/>
      <c r="G26152" s="1"/>
    </row>
    <row r="26153">
      <c r="B26153" s="36"/>
      <c r="C26153" s="36"/>
      <c r="E26153" s="1"/>
      <c r="F26153" s="1"/>
      <c r="G26153" s="1"/>
    </row>
    <row r="26154">
      <c r="B26154" s="36"/>
      <c r="C26154" s="36"/>
      <c r="E26154" s="1"/>
      <c r="F26154" s="1"/>
      <c r="G26154" s="1"/>
    </row>
    <row r="26155">
      <c r="B26155" s="36"/>
      <c r="C26155" s="36"/>
      <c r="E26155" s="1"/>
      <c r="F26155" s="1"/>
      <c r="G26155" s="1"/>
    </row>
    <row r="26156">
      <c r="B26156" s="36"/>
      <c r="C26156" s="36"/>
      <c r="E26156" s="1"/>
      <c r="F26156" s="1"/>
      <c r="G26156" s="1"/>
    </row>
    <row r="26157">
      <c r="B26157" s="36"/>
      <c r="C26157" s="36"/>
      <c r="E26157" s="1"/>
      <c r="F26157" s="1"/>
      <c r="G26157" s="1"/>
    </row>
    <row r="26158">
      <c r="B26158" s="36"/>
      <c r="C26158" s="36"/>
      <c r="E26158" s="1"/>
      <c r="F26158" s="1"/>
      <c r="G26158" s="1"/>
    </row>
    <row r="26159">
      <c r="B26159" s="36"/>
      <c r="C26159" s="36"/>
      <c r="E26159" s="1"/>
      <c r="F26159" s="1"/>
      <c r="G26159" s="1"/>
    </row>
    <row r="26160">
      <c r="B26160" s="36"/>
      <c r="C26160" s="36"/>
      <c r="E26160" s="1"/>
      <c r="F26160" s="1"/>
      <c r="G26160" s="1"/>
    </row>
    <row r="26161">
      <c r="B26161" s="36"/>
      <c r="C26161" s="36"/>
      <c r="E26161" s="1"/>
      <c r="F26161" s="1"/>
      <c r="G26161" s="1"/>
    </row>
    <row r="26162">
      <c r="B26162" s="36"/>
      <c r="C26162" s="36"/>
      <c r="E26162" s="1"/>
      <c r="F26162" s="1"/>
      <c r="G26162" s="1"/>
    </row>
    <row r="26163">
      <c r="B26163" s="36"/>
      <c r="C26163" s="36"/>
      <c r="E26163" s="1"/>
      <c r="F26163" s="1"/>
      <c r="G26163" s="1"/>
    </row>
    <row r="26164">
      <c r="B26164" s="36"/>
      <c r="C26164" s="36"/>
      <c r="E26164" s="1"/>
      <c r="F26164" s="1"/>
      <c r="G26164" s="1"/>
    </row>
    <row r="26165">
      <c r="B26165" s="36"/>
      <c r="C26165" s="36"/>
      <c r="E26165" s="1"/>
      <c r="F26165" s="1"/>
      <c r="G26165" s="1"/>
    </row>
    <row r="26166">
      <c r="B26166" s="36"/>
      <c r="C26166" s="36"/>
      <c r="E26166" s="1"/>
      <c r="F26166" s="1"/>
      <c r="G26166" s="1"/>
    </row>
    <row r="26167">
      <c r="B26167" s="36"/>
      <c r="C26167" s="36"/>
      <c r="E26167" s="1"/>
      <c r="F26167" s="1"/>
      <c r="G26167" s="1"/>
    </row>
    <row r="26168">
      <c r="B26168" s="36"/>
      <c r="C26168" s="36"/>
      <c r="E26168" s="1"/>
      <c r="F26168" s="1"/>
      <c r="G26168" s="1"/>
    </row>
    <row r="26169">
      <c r="B26169" s="36"/>
      <c r="C26169" s="36"/>
      <c r="E26169" s="1"/>
      <c r="F26169" s="1"/>
      <c r="G26169" s="1"/>
    </row>
    <row r="26170">
      <c r="B26170" s="36"/>
      <c r="C26170" s="36"/>
      <c r="E26170" s="1"/>
      <c r="F26170" s="1"/>
      <c r="G26170" s="1"/>
    </row>
    <row r="26171">
      <c r="B26171" s="36"/>
      <c r="C26171" s="36"/>
      <c r="E26171" s="1"/>
      <c r="F26171" s="1"/>
      <c r="G26171" s="1"/>
    </row>
    <row r="26172">
      <c r="B26172" s="36"/>
      <c r="C26172" s="36"/>
      <c r="E26172" s="1"/>
      <c r="F26172" s="1"/>
      <c r="G26172" s="1"/>
    </row>
    <row r="26173">
      <c r="B26173" s="36"/>
      <c r="C26173" s="36"/>
      <c r="E26173" s="1"/>
      <c r="F26173" s="1"/>
      <c r="G26173" s="1"/>
    </row>
    <row r="26174">
      <c r="B26174" s="36"/>
      <c r="C26174" s="36"/>
      <c r="E26174" s="1"/>
      <c r="F26174" s="1"/>
      <c r="G26174" s="1"/>
    </row>
    <row r="26175">
      <c r="B26175" s="36"/>
      <c r="C26175" s="36"/>
      <c r="E26175" s="1"/>
      <c r="F26175" s="1"/>
      <c r="G26175" s="1"/>
    </row>
    <row r="26176">
      <c r="B26176" s="36"/>
      <c r="C26176" s="36"/>
      <c r="E26176" s="1"/>
      <c r="F26176" s="1"/>
      <c r="G26176" s="1"/>
    </row>
    <row r="26177">
      <c r="B26177" s="36"/>
      <c r="C26177" s="36"/>
      <c r="E26177" s="1"/>
      <c r="F26177" s="1"/>
      <c r="G26177" s="1"/>
    </row>
    <row r="26178">
      <c r="B26178" s="36"/>
      <c r="C26178" s="36"/>
      <c r="E26178" s="1"/>
      <c r="F26178" s="1"/>
      <c r="G26178" s="1"/>
    </row>
    <row r="26179">
      <c r="B26179" s="36"/>
      <c r="C26179" s="36"/>
      <c r="E26179" s="1"/>
      <c r="F26179" s="1"/>
      <c r="G26179" s="1"/>
    </row>
    <row r="26180">
      <c r="B26180" s="36"/>
      <c r="C26180" s="36"/>
      <c r="E26180" s="1"/>
      <c r="F26180" s="1"/>
      <c r="G26180" s="1"/>
    </row>
    <row r="26181">
      <c r="B26181" s="36"/>
      <c r="C26181" s="36"/>
      <c r="E26181" s="1"/>
      <c r="F26181" s="1"/>
      <c r="G26181" s="1"/>
    </row>
    <row r="26182">
      <c r="B26182" s="36"/>
      <c r="C26182" s="36"/>
      <c r="E26182" s="1"/>
      <c r="F26182" s="1"/>
      <c r="G26182" s="1"/>
    </row>
    <row r="26183">
      <c r="B26183" s="36"/>
      <c r="C26183" s="36"/>
      <c r="E26183" s="1"/>
      <c r="F26183" s="1"/>
      <c r="G26183" s="1"/>
    </row>
    <row r="26184">
      <c r="B26184" s="36"/>
      <c r="C26184" s="36"/>
      <c r="E26184" s="1"/>
      <c r="F26184" s="1"/>
      <c r="G26184" s="1"/>
    </row>
    <row r="26185">
      <c r="B26185" s="36"/>
      <c r="C26185" s="36"/>
      <c r="E26185" s="1"/>
      <c r="F26185" s="1"/>
      <c r="G26185" s="1"/>
    </row>
    <row r="26186">
      <c r="B26186" s="36"/>
      <c r="C26186" s="36"/>
      <c r="E26186" s="1"/>
      <c r="F26186" s="1"/>
      <c r="G26186" s="1"/>
    </row>
    <row r="26187">
      <c r="B26187" s="36"/>
      <c r="C26187" s="36"/>
      <c r="E26187" s="1"/>
      <c r="F26187" s="1"/>
      <c r="G26187" s="1"/>
    </row>
    <row r="26188">
      <c r="B26188" s="36"/>
      <c r="C26188" s="36"/>
      <c r="E26188" s="1"/>
      <c r="F26188" s="1"/>
      <c r="G26188" s="1"/>
    </row>
    <row r="26189">
      <c r="B26189" s="36"/>
      <c r="C26189" s="36"/>
      <c r="E26189" s="1"/>
      <c r="F26189" s="1"/>
      <c r="G26189" s="1"/>
    </row>
    <row r="26190">
      <c r="B26190" s="36"/>
      <c r="C26190" s="36"/>
      <c r="E26190" s="1"/>
      <c r="F26190" s="1"/>
      <c r="G26190" s="1"/>
    </row>
    <row r="26191">
      <c r="B26191" s="36"/>
      <c r="C26191" s="36"/>
      <c r="E26191" s="1"/>
      <c r="F26191" s="1"/>
      <c r="G26191" s="1"/>
    </row>
    <row r="26192">
      <c r="B26192" s="36"/>
      <c r="C26192" s="36"/>
      <c r="E26192" s="1"/>
      <c r="F26192" s="1"/>
      <c r="G26192" s="1"/>
    </row>
    <row r="26193">
      <c r="B26193" s="36"/>
      <c r="C26193" s="36"/>
      <c r="E26193" s="1"/>
      <c r="F26193" s="1"/>
      <c r="G26193" s="1"/>
    </row>
    <row r="26194">
      <c r="B26194" s="36"/>
      <c r="C26194" s="36"/>
      <c r="E26194" s="1"/>
      <c r="F26194" s="1"/>
      <c r="G26194" s="1"/>
    </row>
    <row r="26195">
      <c r="B26195" s="36"/>
      <c r="C26195" s="36"/>
      <c r="E26195" s="1"/>
      <c r="F26195" s="1"/>
      <c r="G26195" s="1"/>
    </row>
    <row r="26196">
      <c r="B26196" s="36"/>
      <c r="C26196" s="36"/>
      <c r="E26196" s="1"/>
      <c r="F26196" s="1"/>
      <c r="G26196" s="1"/>
    </row>
    <row r="26197">
      <c r="B26197" s="36"/>
      <c r="C26197" s="36"/>
      <c r="E26197" s="1"/>
      <c r="F26197" s="1"/>
      <c r="G26197" s="1"/>
    </row>
    <row r="26198">
      <c r="B26198" s="36"/>
      <c r="C26198" s="36"/>
      <c r="E26198" s="1"/>
      <c r="F26198" s="1"/>
      <c r="G26198" s="1"/>
    </row>
    <row r="26199">
      <c r="B26199" s="36"/>
      <c r="C26199" s="36"/>
      <c r="E26199" s="1"/>
      <c r="F26199" s="1"/>
      <c r="G26199" s="1"/>
    </row>
    <row r="26200">
      <c r="B26200" s="36"/>
      <c r="C26200" s="36"/>
      <c r="E26200" s="1"/>
      <c r="F26200" s="1"/>
      <c r="G26200" s="1"/>
    </row>
    <row r="26201">
      <c r="B26201" s="36"/>
      <c r="C26201" s="36"/>
      <c r="E26201" s="1"/>
      <c r="F26201" s="1"/>
      <c r="G26201" s="1"/>
    </row>
    <row r="26202">
      <c r="B26202" s="36"/>
      <c r="C26202" s="36"/>
      <c r="E26202" s="1"/>
      <c r="F26202" s="1"/>
      <c r="G26202" s="1"/>
    </row>
    <row r="26203">
      <c r="B26203" s="36"/>
      <c r="C26203" s="36"/>
      <c r="E26203" s="1"/>
      <c r="F26203" s="1"/>
      <c r="G26203" s="1"/>
    </row>
    <row r="26204">
      <c r="B26204" s="36"/>
      <c r="C26204" s="36"/>
      <c r="E26204" s="1"/>
      <c r="F26204" s="1"/>
      <c r="G26204" s="1"/>
    </row>
    <row r="26205">
      <c r="B26205" s="36"/>
      <c r="C26205" s="36"/>
      <c r="E26205" s="1"/>
      <c r="F26205" s="1"/>
      <c r="G26205" s="1"/>
    </row>
    <row r="26206">
      <c r="B26206" s="36"/>
      <c r="C26206" s="36"/>
      <c r="E26206" s="1"/>
      <c r="F26206" s="1"/>
      <c r="G26206" s="1"/>
    </row>
    <row r="26207">
      <c r="B26207" s="36"/>
      <c r="C26207" s="36"/>
      <c r="E26207" s="1"/>
      <c r="F26207" s="1"/>
      <c r="G26207" s="1"/>
    </row>
    <row r="26208">
      <c r="B26208" s="36"/>
      <c r="C26208" s="36"/>
      <c r="E26208" s="1"/>
      <c r="F26208" s="1"/>
      <c r="G26208" s="1"/>
    </row>
    <row r="26209">
      <c r="B26209" s="36"/>
      <c r="C26209" s="36"/>
      <c r="E26209" s="1"/>
      <c r="F26209" s="1"/>
      <c r="G26209" s="1"/>
    </row>
    <row r="26210">
      <c r="B26210" s="36"/>
      <c r="C26210" s="36"/>
      <c r="E26210" s="1"/>
      <c r="F26210" s="1"/>
      <c r="G26210" s="1"/>
    </row>
    <row r="26211">
      <c r="B26211" s="36"/>
      <c r="C26211" s="36"/>
      <c r="E26211" s="1"/>
      <c r="F26211" s="1"/>
      <c r="G26211" s="1"/>
    </row>
    <row r="26212">
      <c r="B26212" s="36"/>
      <c r="C26212" s="36"/>
      <c r="E26212" s="1"/>
      <c r="F26212" s="1"/>
      <c r="G26212" s="1"/>
    </row>
    <row r="26213">
      <c r="B26213" s="36"/>
      <c r="C26213" s="36"/>
      <c r="E26213" s="1"/>
      <c r="F26213" s="1"/>
      <c r="G26213" s="1"/>
    </row>
    <row r="26214">
      <c r="B26214" s="36"/>
      <c r="C26214" s="36"/>
      <c r="E26214" s="1"/>
      <c r="F26214" s="1"/>
      <c r="G26214" s="1"/>
    </row>
    <row r="26215">
      <c r="B26215" s="36"/>
      <c r="C26215" s="36"/>
      <c r="E26215" s="1"/>
      <c r="F26215" s="1"/>
      <c r="G26215" s="1"/>
    </row>
    <row r="26216">
      <c r="B26216" s="36"/>
      <c r="C26216" s="36"/>
      <c r="E26216" s="1"/>
      <c r="F26216" s="1"/>
      <c r="G26216" s="1"/>
    </row>
    <row r="26217">
      <c r="B26217" s="36"/>
      <c r="C26217" s="36"/>
      <c r="E26217" s="1"/>
      <c r="F26217" s="1"/>
      <c r="G26217" s="1"/>
    </row>
    <row r="26218">
      <c r="B26218" s="36"/>
      <c r="C26218" s="36"/>
      <c r="E26218" s="1"/>
      <c r="F26218" s="1"/>
      <c r="G26218" s="1"/>
    </row>
    <row r="26219">
      <c r="B26219" s="36"/>
      <c r="C26219" s="36"/>
      <c r="E26219" s="1"/>
      <c r="F26219" s="1"/>
      <c r="G26219" s="1"/>
    </row>
    <row r="26220">
      <c r="B26220" s="36"/>
      <c r="C26220" s="36"/>
      <c r="E26220" s="1"/>
      <c r="F26220" s="1"/>
      <c r="G26220" s="1"/>
    </row>
    <row r="26221">
      <c r="B26221" s="36"/>
      <c r="C26221" s="36"/>
      <c r="E26221" s="1"/>
      <c r="F26221" s="1"/>
      <c r="G26221" s="1"/>
    </row>
    <row r="26222">
      <c r="B26222" s="36"/>
      <c r="C26222" s="36"/>
      <c r="E26222" s="1"/>
      <c r="F26222" s="1"/>
      <c r="G26222" s="1"/>
    </row>
    <row r="26223">
      <c r="B26223" s="36"/>
      <c r="C26223" s="36"/>
      <c r="E26223" s="1"/>
      <c r="F26223" s="1"/>
      <c r="G26223" s="1"/>
    </row>
    <row r="26224">
      <c r="B26224" s="36"/>
      <c r="C26224" s="36"/>
      <c r="E26224" s="1"/>
      <c r="F26224" s="1"/>
      <c r="G26224" s="1"/>
    </row>
    <row r="26225">
      <c r="B26225" s="36"/>
      <c r="C26225" s="36"/>
      <c r="E26225" s="1"/>
      <c r="F26225" s="1"/>
      <c r="G26225" s="1"/>
    </row>
    <row r="26226">
      <c r="B26226" s="36"/>
      <c r="C26226" s="36"/>
      <c r="E26226" s="1"/>
      <c r="F26226" s="1"/>
      <c r="G26226" s="1"/>
    </row>
    <row r="26227">
      <c r="B26227" s="36"/>
      <c r="C26227" s="36"/>
      <c r="E26227" s="1"/>
      <c r="F26227" s="1"/>
      <c r="G26227" s="1"/>
    </row>
    <row r="26228">
      <c r="B26228" s="36"/>
      <c r="C26228" s="36"/>
      <c r="E26228" s="1"/>
      <c r="F26228" s="1"/>
      <c r="G26228" s="1"/>
    </row>
    <row r="26229">
      <c r="B26229" s="36"/>
      <c r="C26229" s="36"/>
      <c r="E26229" s="1"/>
      <c r="F26229" s="1"/>
      <c r="G26229" s="1"/>
    </row>
    <row r="26230">
      <c r="B26230" s="36"/>
      <c r="C26230" s="36"/>
      <c r="E26230" s="1"/>
      <c r="F26230" s="1"/>
      <c r="G26230" s="1"/>
    </row>
    <row r="26231">
      <c r="B26231" s="36"/>
      <c r="C26231" s="36"/>
      <c r="E26231" s="1"/>
      <c r="F26231" s="1"/>
      <c r="G26231" s="1"/>
    </row>
    <row r="26232">
      <c r="B26232" s="36"/>
      <c r="C26232" s="36"/>
      <c r="E26232" s="1"/>
      <c r="F26232" s="1"/>
      <c r="G26232" s="1"/>
    </row>
    <row r="26233">
      <c r="B26233" s="36"/>
      <c r="C26233" s="36"/>
      <c r="E26233" s="1"/>
      <c r="F26233" s="1"/>
      <c r="G26233" s="1"/>
    </row>
    <row r="26234">
      <c r="B26234" s="36"/>
      <c r="C26234" s="36"/>
      <c r="E26234" s="1"/>
      <c r="F26234" s="1"/>
      <c r="G26234" s="1"/>
    </row>
    <row r="26235">
      <c r="B26235" s="36"/>
      <c r="C26235" s="36"/>
      <c r="E26235" s="1"/>
      <c r="F26235" s="1"/>
      <c r="G26235" s="1"/>
    </row>
    <row r="26236">
      <c r="B26236" s="36"/>
      <c r="C26236" s="36"/>
      <c r="E26236" s="1"/>
      <c r="F26236" s="1"/>
      <c r="G26236" s="1"/>
    </row>
    <row r="26237">
      <c r="B26237" s="36"/>
      <c r="C26237" s="36"/>
      <c r="E26237" s="1"/>
      <c r="F26237" s="1"/>
      <c r="G26237" s="1"/>
    </row>
    <row r="26238">
      <c r="B26238" s="36"/>
      <c r="C26238" s="36"/>
      <c r="E26238" s="1"/>
      <c r="F26238" s="1"/>
      <c r="G26238" s="1"/>
    </row>
    <row r="26239">
      <c r="B26239" s="36"/>
      <c r="C26239" s="36"/>
      <c r="E26239" s="1"/>
      <c r="F26239" s="1"/>
      <c r="G26239" s="1"/>
    </row>
    <row r="26240">
      <c r="B26240" s="36"/>
      <c r="C26240" s="36"/>
      <c r="E26240" s="1"/>
      <c r="F26240" s="1"/>
      <c r="G26240" s="1"/>
    </row>
    <row r="26241">
      <c r="B26241" s="36"/>
      <c r="C26241" s="36"/>
      <c r="E26241" s="1"/>
      <c r="F26241" s="1"/>
      <c r="G26241" s="1"/>
    </row>
    <row r="26242">
      <c r="B26242" s="36"/>
      <c r="C26242" s="36"/>
      <c r="E26242" s="1"/>
      <c r="F26242" s="1"/>
      <c r="G26242" s="1"/>
    </row>
    <row r="26243">
      <c r="B26243" s="36"/>
      <c r="C26243" s="36"/>
      <c r="E26243" s="1"/>
      <c r="F26243" s="1"/>
      <c r="G26243" s="1"/>
    </row>
    <row r="26244">
      <c r="B26244" s="36"/>
      <c r="C26244" s="36"/>
      <c r="E26244" s="1"/>
      <c r="F26244" s="1"/>
      <c r="G26244" s="1"/>
    </row>
    <row r="26245">
      <c r="B26245" s="36"/>
      <c r="C26245" s="36"/>
      <c r="E26245" s="1"/>
      <c r="F26245" s="1"/>
      <c r="G26245" s="1"/>
    </row>
    <row r="26246">
      <c r="B26246" s="36"/>
      <c r="C26246" s="36"/>
      <c r="E26246" s="1"/>
      <c r="F26246" s="1"/>
      <c r="G26246" s="1"/>
    </row>
    <row r="26247">
      <c r="B26247" s="36"/>
      <c r="C26247" s="36"/>
      <c r="E26247" s="1"/>
      <c r="F26247" s="1"/>
      <c r="G26247" s="1"/>
    </row>
    <row r="26248">
      <c r="B26248" s="36"/>
      <c r="C26248" s="36"/>
      <c r="E26248" s="1"/>
      <c r="F26248" s="1"/>
      <c r="G26248" s="1"/>
    </row>
    <row r="26249">
      <c r="B26249" s="36"/>
      <c r="C26249" s="36"/>
      <c r="E26249" s="1"/>
      <c r="F26249" s="1"/>
      <c r="G26249" s="1"/>
    </row>
    <row r="26250">
      <c r="B26250" s="36"/>
      <c r="C26250" s="36"/>
      <c r="E26250" s="1"/>
      <c r="F26250" s="1"/>
      <c r="G26250" s="1"/>
    </row>
    <row r="26251">
      <c r="B26251" s="36"/>
      <c r="C26251" s="36"/>
      <c r="E26251" s="1"/>
      <c r="F26251" s="1"/>
      <c r="G26251" s="1"/>
    </row>
    <row r="26252">
      <c r="B26252" s="36"/>
      <c r="C26252" s="36"/>
      <c r="E26252" s="1"/>
      <c r="F26252" s="1"/>
      <c r="G26252" s="1"/>
    </row>
    <row r="26253">
      <c r="B26253" s="36"/>
      <c r="C26253" s="36"/>
      <c r="E26253" s="1"/>
      <c r="F26253" s="1"/>
      <c r="G26253" s="1"/>
    </row>
    <row r="26254">
      <c r="B26254" s="36"/>
      <c r="C26254" s="36"/>
      <c r="E26254" s="1"/>
      <c r="F26254" s="1"/>
      <c r="G26254" s="1"/>
    </row>
    <row r="26255">
      <c r="B26255" s="36"/>
      <c r="C26255" s="36"/>
      <c r="E26255" s="1"/>
      <c r="F26255" s="1"/>
      <c r="G26255" s="1"/>
    </row>
    <row r="26256">
      <c r="B26256" s="36"/>
      <c r="C26256" s="36"/>
      <c r="E26256" s="1"/>
      <c r="F26256" s="1"/>
      <c r="G26256" s="1"/>
    </row>
    <row r="26257">
      <c r="B26257" s="36"/>
      <c r="C26257" s="36"/>
      <c r="E26257" s="1"/>
      <c r="F26257" s="1"/>
      <c r="G26257" s="1"/>
    </row>
    <row r="26258">
      <c r="B26258" s="36"/>
      <c r="C26258" s="36"/>
      <c r="E26258" s="1"/>
      <c r="F26258" s="1"/>
      <c r="G26258" s="1"/>
    </row>
    <row r="26259">
      <c r="B26259" s="36"/>
      <c r="C26259" s="36"/>
      <c r="E26259" s="1"/>
      <c r="F26259" s="1"/>
      <c r="G26259" s="1"/>
    </row>
    <row r="26260">
      <c r="B26260" s="36"/>
      <c r="C26260" s="36"/>
      <c r="E26260" s="1"/>
      <c r="F26260" s="1"/>
      <c r="G26260" s="1"/>
    </row>
    <row r="26261">
      <c r="B26261" s="36"/>
      <c r="C26261" s="36"/>
      <c r="E26261" s="1"/>
      <c r="F26261" s="1"/>
      <c r="G26261" s="1"/>
    </row>
    <row r="26262">
      <c r="B26262" s="36"/>
      <c r="C26262" s="36"/>
      <c r="E26262" s="1"/>
      <c r="F26262" s="1"/>
      <c r="G26262" s="1"/>
    </row>
    <row r="26263">
      <c r="B26263" s="36"/>
      <c r="C26263" s="36"/>
      <c r="E26263" s="1"/>
      <c r="F26263" s="1"/>
      <c r="G26263" s="1"/>
    </row>
    <row r="26264">
      <c r="B26264" s="36"/>
      <c r="C26264" s="36"/>
      <c r="E26264" s="1"/>
      <c r="F26264" s="1"/>
      <c r="G26264" s="1"/>
    </row>
    <row r="26265">
      <c r="B26265" s="36"/>
      <c r="C26265" s="36"/>
      <c r="E26265" s="1"/>
      <c r="F26265" s="1"/>
      <c r="G26265" s="1"/>
    </row>
    <row r="26266">
      <c r="B26266" s="36"/>
      <c r="C26266" s="36"/>
      <c r="E26266" s="1"/>
      <c r="F26266" s="1"/>
      <c r="G26266" s="1"/>
    </row>
    <row r="26267">
      <c r="B26267" s="36"/>
      <c r="C26267" s="36"/>
      <c r="E26267" s="1"/>
      <c r="F26267" s="1"/>
      <c r="G26267" s="1"/>
    </row>
    <row r="26268">
      <c r="B26268" s="36"/>
      <c r="C26268" s="36"/>
      <c r="E26268" s="1"/>
      <c r="F26268" s="1"/>
      <c r="G26268" s="1"/>
    </row>
    <row r="26269">
      <c r="B26269" s="36"/>
      <c r="C26269" s="36"/>
      <c r="E26269" s="1"/>
      <c r="F26269" s="1"/>
      <c r="G26269" s="1"/>
    </row>
    <row r="26270">
      <c r="B26270" s="36"/>
      <c r="C26270" s="36"/>
      <c r="E26270" s="1"/>
      <c r="F26270" s="1"/>
      <c r="G26270" s="1"/>
    </row>
    <row r="26271">
      <c r="B26271" s="36"/>
      <c r="C26271" s="36"/>
      <c r="E26271" s="1"/>
      <c r="F26271" s="1"/>
      <c r="G26271" s="1"/>
    </row>
    <row r="26272">
      <c r="B26272" s="36"/>
      <c r="C26272" s="36"/>
      <c r="E26272" s="1"/>
      <c r="F26272" s="1"/>
      <c r="G26272" s="1"/>
    </row>
    <row r="26273">
      <c r="B26273" s="36"/>
      <c r="C26273" s="36"/>
      <c r="E26273" s="1"/>
      <c r="F26273" s="1"/>
      <c r="G26273" s="1"/>
    </row>
    <row r="26274">
      <c r="B26274" s="36"/>
      <c r="C26274" s="36"/>
      <c r="E26274" s="1"/>
      <c r="F26274" s="1"/>
      <c r="G26274" s="1"/>
    </row>
    <row r="26275">
      <c r="B26275" s="36"/>
      <c r="C26275" s="36"/>
      <c r="E26275" s="1"/>
      <c r="F26275" s="1"/>
      <c r="G26275" s="1"/>
    </row>
    <row r="26276">
      <c r="B26276" s="36"/>
      <c r="C26276" s="36"/>
      <c r="E26276" s="1"/>
      <c r="F26276" s="1"/>
      <c r="G26276" s="1"/>
    </row>
    <row r="26277">
      <c r="B26277" s="36"/>
      <c r="C26277" s="36"/>
      <c r="E26277" s="1"/>
      <c r="F26277" s="1"/>
      <c r="G26277" s="1"/>
    </row>
    <row r="26278">
      <c r="B26278" s="36"/>
      <c r="C26278" s="36"/>
      <c r="E26278" s="1"/>
      <c r="F26278" s="1"/>
      <c r="G26278" s="1"/>
    </row>
    <row r="26279">
      <c r="B26279" s="36"/>
      <c r="C26279" s="36"/>
      <c r="E26279" s="1"/>
      <c r="F26279" s="1"/>
      <c r="G26279" s="1"/>
    </row>
    <row r="26280">
      <c r="B26280" s="36"/>
      <c r="C26280" s="36"/>
      <c r="E26280" s="1"/>
      <c r="F26280" s="1"/>
      <c r="G26280" s="1"/>
    </row>
    <row r="26281">
      <c r="B26281" s="36"/>
      <c r="C26281" s="36"/>
      <c r="E26281" s="1"/>
      <c r="F26281" s="1"/>
      <c r="G26281" s="1"/>
    </row>
    <row r="26282">
      <c r="B26282" s="36"/>
      <c r="C26282" s="36"/>
      <c r="E26282" s="1"/>
      <c r="F26282" s="1"/>
      <c r="G26282" s="1"/>
    </row>
    <row r="26283">
      <c r="B26283" s="36"/>
      <c r="C26283" s="36"/>
      <c r="E26283" s="1"/>
      <c r="F26283" s="1"/>
      <c r="G26283" s="1"/>
    </row>
    <row r="26284">
      <c r="B26284" s="36"/>
      <c r="C26284" s="36"/>
      <c r="E26284" s="1"/>
      <c r="F26284" s="1"/>
      <c r="G26284" s="1"/>
    </row>
    <row r="26285">
      <c r="B26285" s="36"/>
      <c r="C26285" s="36"/>
      <c r="E26285" s="1"/>
      <c r="F26285" s="1"/>
      <c r="G26285" s="1"/>
    </row>
    <row r="26286">
      <c r="B26286" s="36"/>
      <c r="C26286" s="36"/>
      <c r="E26286" s="1"/>
      <c r="F26286" s="1"/>
      <c r="G26286" s="1"/>
    </row>
    <row r="26287">
      <c r="B26287" s="36"/>
      <c r="C26287" s="36"/>
      <c r="E26287" s="1"/>
      <c r="F26287" s="1"/>
      <c r="G26287" s="1"/>
    </row>
    <row r="26288">
      <c r="B26288" s="36"/>
      <c r="C26288" s="36"/>
      <c r="E26288" s="1"/>
      <c r="F26288" s="1"/>
      <c r="G26288" s="1"/>
    </row>
    <row r="26289">
      <c r="B26289" s="36"/>
      <c r="C26289" s="36"/>
      <c r="E26289" s="1"/>
      <c r="F26289" s="1"/>
      <c r="G26289" s="1"/>
    </row>
    <row r="26290">
      <c r="B26290" s="36"/>
      <c r="C26290" s="36"/>
      <c r="E26290" s="1"/>
      <c r="F26290" s="1"/>
      <c r="G26290" s="1"/>
    </row>
    <row r="26291">
      <c r="B26291" s="36"/>
      <c r="C26291" s="36"/>
      <c r="E26291" s="1"/>
      <c r="F26291" s="1"/>
      <c r="G26291" s="1"/>
    </row>
    <row r="26292">
      <c r="B26292" s="36"/>
      <c r="C26292" s="36"/>
      <c r="E26292" s="1"/>
      <c r="F26292" s="1"/>
      <c r="G26292" s="1"/>
    </row>
    <row r="26293">
      <c r="B26293" s="36"/>
      <c r="C26293" s="36"/>
      <c r="E26293" s="1"/>
      <c r="F26293" s="1"/>
      <c r="G26293" s="1"/>
    </row>
    <row r="26294">
      <c r="B26294" s="36"/>
      <c r="C26294" s="36"/>
      <c r="E26294" s="1"/>
      <c r="F26294" s="1"/>
      <c r="G26294" s="1"/>
    </row>
    <row r="26295">
      <c r="B26295" s="36"/>
      <c r="C26295" s="36"/>
      <c r="E26295" s="1"/>
      <c r="F26295" s="1"/>
      <c r="G26295" s="1"/>
    </row>
    <row r="26296">
      <c r="B26296" s="36"/>
      <c r="C26296" s="36"/>
      <c r="E26296" s="1"/>
      <c r="F26296" s="1"/>
      <c r="G26296" s="1"/>
    </row>
    <row r="26297">
      <c r="B26297" s="36"/>
      <c r="C26297" s="36"/>
      <c r="E26297" s="1"/>
      <c r="F26297" s="1"/>
      <c r="G26297" s="1"/>
    </row>
    <row r="26298">
      <c r="B26298" s="36"/>
      <c r="C26298" s="36"/>
      <c r="E26298" s="1"/>
      <c r="F26298" s="1"/>
      <c r="G26298" s="1"/>
    </row>
    <row r="26299">
      <c r="B26299" s="36"/>
      <c r="C26299" s="36"/>
      <c r="E26299" s="1"/>
      <c r="F26299" s="1"/>
      <c r="G26299" s="1"/>
    </row>
    <row r="26300">
      <c r="B26300" s="36"/>
      <c r="C26300" s="36"/>
      <c r="E26300" s="1"/>
      <c r="F26300" s="1"/>
      <c r="G26300" s="1"/>
    </row>
    <row r="26301">
      <c r="B26301" s="36"/>
      <c r="C26301" s="36"/>
      <c r="E26301" s="1"/>
      <c r="F26301" s="1"/>
      <c r="G26301" s="1"/>
    </row>
    <row r="26302">
      <c r="B26302" s="36"/>
      <c r="C26302" s="36"/>
      <c r="E26302" s="1"/>
      <c r="F26302" s="1"/>
      <c r="G26302" s="1"/>
    </row>
    <row r="26303">
      <c r="B26303" s="36"/>
      <c r="C26303" s="36"/>
      <c r="E26303" s="1"/>
      <c r="F26303" s="1"/>
      <c r="G26303" s="1"/>
    </row>
    <row r="26304">
      <c r="B26304" s="36"/>
      <c r="C26304" s="36"/>
      <c r="E26304" s="1"/>
      <c r="F26304" s="1"/>
      <c r="G26304" s="1"/>
    </row>
    <row r="26305">
      <c r="B26305" s="36"/>
      <c r="C26305" s="36"/>
      <c r="E26305" s="1"/>
      <c r="F26305" s="1"/>
      <c r="G26305" s="1"/>
    </row>
    <row r="26306">
      <c r="B26306" s="36"/>
      <c r="C26306" s="36"/>
      <c r="E26306" s="1"/>
      <c r="F26306" s="1"/>
      <c r="G26306" s="1"/>
    </row>
    <row r="26307">
      <c r="B26307" s="36"/>
      <c r="C26307" s="36"/>
      <c r="E26307" s="1"/>
      <c r="F26307" s="1"/>
      <c r="G26307" s="1"/>
    </row>
    <row r="26308">
      <c r="B26308" s="36"/>
      <c r="C26308" s="36"/>
      <c r="E26308" s="1"/>
      <c r="F26308" s="1"/>
      <c r="G26308" s="1"/>
    </row>
    <row r="26309">
      <c r="B26309" s="36"/>
      <c r="C26309" s="36"/>
      <c r="E26309" s="1"/>
      <c r="F26309" s="1"/>
      <c r="G26309" s="1"/>
    </row>
    <row r="26310">
      <c r="B26310" s="36"/>
      <c r="C26310" s="36"/>
      <c r="E26310" s="1"/>
      <c r="F26310" s="1"/>
      <c r="G26310" s="1"/>
    </row>
    <row r="26311">
      <c r="B26311" s="36"/>
      <c r="C26311" s="36"/>
      <c r="E26311" s="1"/>
      <c r="F26311" s="1"/>
      <c r="G26311" s="1"/>
    </row>
    <row r="26312">
      <c r="B26312" s="36"/>
      <c r="C26312" s="36"/>
      <c r="E26312" s="1"/>
      <c r="F26312" s="1"/>
      <c r="G26312" s="1"/>
    </row>
    <row r="26313">
      <c r="B26313" s="36"/>
      <c r="C26313" s="36"/>
      <c r="E26313" s="1"/>
      <c r="F26313" s="1"/>
      <c r="G26313" s="1"/>
    </row>
    <row r="26314">
      <c r="B26314" s="36"/>
      <c r="C26314" s="36"/>
      <c r="E26314" s="1"/>
      <c r="F26314" s="1"/>
      <c r="G26314" s="1"/>
    </row>
    <row r="26315">
      <c r="B26315" s="36"/>
      <c r="C26315" s="36"/>
      <c r="E26315" s="1"/>
      <c r="F26315" s="1"/>
      <c r="G26315" s="1"/>
    </row>
    <row r="26316">
      <c r="B26316" s="36"/>
      <c r="C26316" s="36"/>
      <c r="E26316" s="1"/>
      <c r="F26316" s="1"/>
      <c r="G26316" s="1"/>
    </row>
    <row r="26317">
      <c r="B26317" s="36"/>
      <c r="C26317" s="36"/>
      <c r="E26317" s="1"/>
      <c r="F26317" s="1"/>
      <c r="G26317" s="1"/>
    </row>
    <row r="26318">
      <c r="B26318" s="36"/>
      <c r="C26318" s="36"/>
      <c r="E26318" s="1"/>
      <c r="F26318" s="1"/>
      <c r="G26318" s="1"/>
    </row>
    <row r="26319">
      <c r="B26319" s="36"/>
      <c r="C26319" s="36"/>
      <c r="E26319" s="1"/>
      <c r="F26319" s="1"/>
      <c r="G26319" s="1"/>
    </row>
    <row r="26320">
      <c r="B26320" s="36"/>
      <c r="C26320" s="36"/>
      <c r="E26320" s="1"/>
      <c r="F26320" s="1"/>
      <c r="G26320" s="1"/>
    </row>
    <row r="26321">
      <c r="B26321" s="36"/>
      <c r="C26321" s="36"/>
      <c r="E26321" s="1"/>
      <c r="F26321" s="1"/>
      <c r="G26321" s="1"/>
    </row>
    <row r="26322">
      <c r="B26322" s="36"/>
      <c r="C26322" s="36"/>
      <c r="E26322" s="1"/>
      <c r="F26322" s="1"/>
      <c r="G26322" s="1"/>
    </row>
    <row r="26323">
      <c r="B26323" s="36"/>
      <c r="C26323" s="36"/>
      <c r="E26323" s="1"/>
      <c r="F26323" s="1"/>
      <c r="G26323" s="1"/>
    </row>
    <row r="26324">
      <c r="B26324" s="36"/>
      <c r="C26324" s="36"/>
      <c r="E26324" s="1"/>
      <c r="F26324" s="1"/>
      <c r="G26324" s="1"/>
    </row>
    <row r="26325">
      <c r="B26325" s="36"/>
      <c r="C26325" s="36"/>
      <c r="E26325" s="1"/>
      <c r="F26325" s="1"/>
      <c r="G26325" s="1"/>
    </row>
    <row r="26326">
      <c r="B26326" s="36"/>
      <c r="C26326" s="36"/>
      <c r="E26326" s="1"/>
      <c r="F26326" s="1"/>
      <c r="G26326" s="1"/>
    </row>
    <row r="26327">
      <c r="B26327" s="36"/>
      <c r="C26327" s="36"/>
      <c r="E26327" s="1"/>
      <c r="F26327" s="1"/>
      <c r="G26327" s="1"/>
    </row>
    <row r="26328">
      <c r="B26328" s="36"/>
      <c r="C26328" s="36"/>
      <c r="E26328" s="1"/>
      <c r="F26328" s="1"/>
      <c r="G26328" s="1"/>
    </row>
    <row r="26329">
      <c r="B26329" s="36"/>
      <c r="C26329" s="36"/>
      <c r="E26329" s="1"/>
      <c r="F26329" s="1"/>
      <c r="G26329" s="1"/>
    </row>
    <row r="26330">
      <c r="B26330" s="36"/>
      <c r="C26330" s="36"/>
      <c r="E26330" s="1"/>
      <c r="F26330" s="1"/>
      <c r="G26330" s="1"/>
    </row>
    <row r="26331">
      <c r="B26331" s="36"/>
      <c r="C26331" s="36"/>
      <c r="E26331" s="1"/>
      <c r="F26331" s="1"/>
      <c r="G26331" s="1"/>
    </row>
    <row r="26332">
      <c r="B26332" s="36"/>
      <c r="C26332" s="36"/>
      <c r="E26332" s="1"/>
      <c r="F26332" s="1"/>
      <c r="G26332" s="1"/>
    </row>
    <row r="26333">
      <c r="B26333" s="36"/>
      <c r="C26333" s="36"/>
      <c r="E26333" s="1"/>
      <c r="F26333" s="1"/>
      <c r="G26333" s="1"/>
    </row>
    <row r="26334">
      <c r="B26334" s="36"/>
      <c r="C26334" s="36"/>
      <c r="E26334" s="1"/>
      <c r="F26334" s="1"/>
      <c r="G26334" s="1"/>
    </row>
    <row r="26335">
      <c r="B26335" s="36"/>
      <c r="C26335" s="36"/>
      <c r="E26335" s="1"/>
      <c r="F26335" s="1"/>
      <c r="G26335" s="1"/>
    </row>
    <row r="26336">
      <c r="B26336" s="36"/>
      <c r="C26336" s="36"/>
      <c r="E26336" s="1"/>
      <c r="F26336" s="1"/>
      <c r="G26336" s="1"/>
    </row>
    <row r="26337">
      <c r="B26337" s="36"/>
      <c r="C26337" s="36"/>
      <c r="E26337" s="1"/>
      <c r="F26337" s="1"/>
      <c r="G26337" s="1"/>
    </row>
    <row r="26338">
      <c r="B26338" s="36"/>
      <c r="C26338" s="36"/>
      <c r="E26338" s="1"/>
      <c r="F26338" s="1"/>
      <c r="G26338" s="1"/>
    </row>
    <row r="26339">
      <c r="B26339" s="36"/>
      <c r="C26339" s="36"/>
      <c r="E26339" s="1"/>
      <c r="F26339" s="1"/>
      <c r="G26339" s="1"/>
    </row>
    <row r="26340">
      <c r="B26340" s="36"/>
      <c r="C26340" s="36"/>
      <c r="E26340" s="1"/>
      <c r="F26340" s="1"/>
      <c r="G26340" s="1"/>
    </row>
    <row r="26341">
      <c r="B26341" s="36"/>
      <c r="C26341" s="36"/>
      <c r="E26341" s="1"/>
      <c r="F26341" s="1"/>
      <c r="G26341" s="1"/>
    </row>
    <row r="26342">
      <c r="B26342" s="36"/>
      <c r="C26342" s="36"/>
      <c r="E26342" s="1"/>
      <c r="F26342" s="1"/>
      <c r="G26342" s="1"/>
    </row>
    <row r="26343">
      <c r="B26343" s="36"/>
      <c r="C26343" s="36"/>
      <c r="E26343" s="1"/>
      <c r="F26343" s="1"/>
      <c r="G26343" s="1"/>
    </row>
    <row r="26344">
      <c r="B26344" s="36"/>
      <c r="C26344" s="36"/>
      <c r="E26344" s="1"/>
      <c r="F26344" s="1"/>
      <c r="G26344" s="1"/>
    </row>
    <row r="26345">
      <c r="B26345" s="36"/>
      <c r="C26345" s="36"/>
      <c r="E26345" s="1"/>
      <c r="F26345" s="1"/>
      <c r="G26345" s="1"/>
    </row>
    <row r="26346">
      <c r="B26346" s="36"/>
      <c r="C26346" s="36"/>
      <c r="E26346" s="1"/>
      <c r="F26346" s="1"/>
      <c r="G26346" s="1"/>
    </row>
    <row r="26347">
      <c r="B26347" s="36"/>
      <c r="C26347" s="36"/>
      <c r="E26347" s="1"/>
      <c r="F26347" s="1"/>
      <c r="G26347" s="1"/>
    </row>
    <row r="26348">
      <c r="B26348" s="36"/>
      <c r="C26348" s="36"/>
      <c r="E26348" s="1"/>
      <c r="F26348" s="1"/>
      <c r="G26348" s="1"/>
    </row>
    <row r="26349">
      <c r="B26349" s="36"/>
      <c r="C26349" s="36"/>
      <c r="E26349" s="1"/>
      <c r="F26349" s="1"/>
      <c r="G26349" s="1"/>
    </row>
    <row r="26350">
      <c r="B26350" s="36"/>
      <c r="C26350" s="36"/>
      <c r="E26350" s="1"/>
      <c r="F26350" s="1"/>
      <c r="G26350" s="1"/>
    </row>
    <row r="26351">
      <c r="B26351" s="36"/>
      <c r="C26351" s="36"/>
      <c r="E26351" s="1"/>
      <c r="F26351" s="1"/>
      <c r="G26351" s="1"/>
    </row>
    <row r="26352">
      <c r="B26352" s="36"/>
      <c r="C26352" s="36"/>
      <c r="E26352" s="1"/>
      <c r="F26352" s="1"/>
      <c r="G26352" s="1"/>
    </row>
    <row r="26353">
      <c r="B26353" s="36"/>
      <c r="C26353" s="36"/>
      <c r="E26353" s="1"/>
      <c r="F26353" s="1"/>
      <c r="G26353" s="1"/>
    </row>
    <row r="26354">
      <c r="B26354" s="36"/>
      <c r="C26354" s="36"/>
      <c r="E26354" s="1"/>
      <c r="F26354" s="1"/>
      <c r="G26354" s="1"/>
    </row>
    <row r="26355">
      <c r="B26355" s="36"/>
      <c r="C26355" s="36"/>
      <c r="E26355" s="1"/>
      <c r="F26355" s="1"/>
      <c r="G26355" s="1"/>
    </row>
    <row r="26356">
      <c r="B26356" s="36"/>
      <c r="C26356" s="36"/>
      <c r="E26356" s="1"/>
      <c r="F26356" s="1"/>
      <c r="G26356" s="1"/>
    </row>
    <row r="26357">
      <c r="B26357" s="36"/>
      <c r="C26357" s="36"/>
      <c r="E26357" s="1"/>
      <c r="F26357" s="1"/>
      <c r="G26357" s="1"/>
    </row>
    <row r="26358">
      <c r="B26358" s="36"/>
      <c r="C26358" s="36"/>
      <c r="E26358" s="1"/>
      <c r="F26358" s="1"/>
      <c r="G26358" s="1"/>
    </row>
    <row r="26359">
      <c r="B26359" s="36"/>
      <c r="C26359" s="36"/>
      <c r="E26359" s="1"/>
      <c r="F26359" s="1"/>
      <c r="G26359" s="1"/>
    </row>
    <row r="26360">
      <c r="B26360" s="36"/>
      <c r="C26360" s="36"/>
      <c r="E26360" s="1"/>
      <c r="F26360" s="1"/>
      <c r="G26360" s="1"/>
    </row>
    <row r="26361">
      <c r="B26361" s="36"/>
      <c r="C26361" s="36"/>
      <c r="E26361" s="1"/>
      <c r="F26361" s="1"/>
      <c r="G26361" s="1"/>
    </row>
    <row r="26362">
      <c r="B26362" s="36"/>
      <c r="C26362" s="36"/>
      <c r="E26362" s="1"/>
      <c r="F26362" s="1"/>
      <c r="G26362" s="1"/>
    </row>
    <row r="26363">
      <c r="B26363" s="36"/>
      <c r="C26363" s="36"/>
      <c r="E26363" s="1"/>
      <c r="F26363" s="1"/>
      <c r="G26363" s="1"/>
    </row>
    <row r="26364">
      <c r="B26364" s="36"/>
      <c r="C26364" s="36"/>
      <c r="E26364" s="1"/>
      <c r="F26364" s="1"/>
      <c r="G26364" s="1"/>
    </row>
    <row r="26365">
      <c r="B26365" s="36"/>
      <c r="C26365" s="36"/>
      <c r="E26365" s="1"/>
      <c r="F26365" s="1"/>
      <c r="G26365" s="1"/>
    </row>
    <row r="26366">
      <c r="B26366" s="36"/>
      <c r="C26366" s="36"/>
      <c r="E26366" s="1"/>
      <c r="F26366" s="1"/>
      <c r="G26366" s="1"/>
    </row>
    <row r="26367">
      <c r="B26367" s="36"/>
      <c r="C26367" s="36"/>
      <c r="E26367" s="1"/>
      <c r="F26367" s="1"/>
      <c r="G26367" s="1"/>
    </row>
    <row r="26368">
      <c r="B26368" s="36"/>
      <c r="C26368" s="36"/>
      <c r="E26368" s="1"/>
      <c r="F26368" s="1"/>
      <c r="G26368" s="1"/>
    </row>
    <row r="26369">
      <c r="B26369" s="36"/>
      <c r="C26369" s="36"/>
      <c r="E26369" s="1"/>
      <c r="F26369" s="1"/>
      <c r="G26369" s="1"/>
    </row>
    <row r="26370">
      <c r="B26370" s="36"/>
      <c r="C26370" s="36"/>
      <c r="E26370" s="1"/>
      <c r="F26370" s="1"/>
      <c r="G26370" s="1"/>
    </row>
    <row r="26371">
      <c r="B26371" s="36"/>
      <c r="C26371" s="36"/>
      <c r="E26371" s="1"/>
      <c r="F26371" s="1"/>
      <c r="G26371" s="1"/>
    </row>
    <row r="26372">
      <c r="B26372" s="36"/>
      <c r="C26372" s="36"/>
      <c r="E26372" s="1"/>
      <c r="F26372" s="1"/>
      <c r="G26372" s="1"/>
    </row>
    <row r="26373">
      <c r="B26373" s="36"/>
      <c r="C26373" s="36"/>
      <c r="E26373" s="1"/>
      <c r="F26373" s="1"/>
      <c r="G26373" s="1"/>
    </row>
    <row r="26374">
      <c r="B26374" s="36"/>
      <c r="C26374" s="36"/>
      <c r="E26374" s="1"/>
      <c r="F26374" s="1"/>
      <c r="G26374" s="1"/>
    </row>
    <row r="26375">
      <c r="B26375" s="36"/>
      <c r="C26375" s="36"/>
      <c r="E26375" s="1"/>
      <c r="F26375" s="1"/>
      <c r="G26375" s="1"/>
    </row>
    <row r="26376">
      <c r="B26376" s="36"/>
      <c r="C26376" s="36"/>
      <c r="E26376" s="1"/>
      <c r="F26376" s="1"/>
      <c r="G26376" s="1"/>
    </row>
    <row r="26377">
      <c r="B26377" s="36"/>
      <c r="C26377" s="36"/>
      <c r="E26377" s="1"/>
      <c r="F26377" s="1"/>
      <c r="G26377" s="1"/>
    </row>
    <row r="26378">
      <c r="B26378" s="36"/>
      <c r="C26378" s="36"/>
      <c r="E26378" s="1"/>
      <c r="F26378" s="1"/>
      <c r="G26378" s="1"/>
    </row>
    <row r="26379">
      <c r="B26379" s="36"/>
      <c r="C26379" s="36"/>
      <c r="E26379" s="1"/>
      <c r="F26379" s="1"/>
      <c r="G26379" s="1"/>
    </row>
    <row r="26380">
      <c r="B26380" s="36"/>
      <c r="C26380" s="36"/>
      <c r="E26380" s="1"/>
      <c r="F26380" s="1"/>
      <c r="G26380" s="1"/>
    </row>
    <row r="26381">
      <c r="B26381" s="36"/>
      <c r="C26381" s="36"/>
      <c r="E26381" s="1"/>
      <c r="F26381" s="1"/>
      <c r="G26381" s="1"/>
    </row>
    <row r="26382">
      <c r="B26382" s="36"/>
      <c r="C26382" s="36"/>
      <c r="E26382" s="1"/>
      <c r="F26382" s="1"/>
      <c r="G26382" s="1"/>
    </row>
    <row r="26383">
      <c r="B26383" s="36"/>
      <c r="C26383" s="36"/>
      <c r="E26383" s="1"/>
      <c r="F26383" s="1"/>
      <c r="G26383" s="1"/>
    </row>
    <row r="26384">
      <c r="B26384" s="36"/>
      <c r="C26384" s="36"/>
      <c r="E26384" s="1"/>
      <c r="F26384" s="1"/>
      <c r="G26384" s="1"/>
    </row>
    <row r="26385">
      <c r="B26385" s="36"/>
      <c r="C26385" s="36"/>
      <c r="E26385" s="1"/>
      <c r="F26385" s="1"/>
      <c r="G26385" s="1"/>
    </row>
    <row r="26386">
      <c r="B26386" s="36"/>
      <c r="C26386" s="36"/>
      <c r="E26386" s="1"/>
      <c r="F26386" s="1"/>
      <c r="G26386" s="1"/>
    </row>
    <row r="26387">
      <c r="B26387" s="36"/>
      <c r="C26387" s="36"/>
      <c r="E26387" s="1"/>
      <c r="F26387" s="1"/>
      <c r="G26387" s="1"/>
    </row>
    <row r="26388">
      <c r="B26388" s="36"/>
      <c r="C26388" s="36"/>
      <c r="E26388" s="1"/>
      <c r="F26388" s="1"/>
      <c r="G26388" s="1"/>
    </row>
    <row r="26389">
      <c r="B26389" s="36"/>
      <c r="C26389" s="36"/>
      <c r="E26389" s="1"/>
      <c r="F26389" s="1"/>
      <c r="G26389" s="1"/>
    </row>
    <row r="26390">
      <c r="B26390" s="36"/>
      <c r="C26390" s="36"/>
      <c r="E26390" s="1"/>
      <c r="F26390" s="1"/>
      <c r="G26390" s="1"/>
    </row>
    <row r="26391">
      <c r="B26391" s="36"/>
      <c r="C26391" s="36"/>
      <c r="E26391" s="1"/>
      <c r="F26391" s="1"/>
      <c r="G26391" s="1"/>
    </row>
    <row r="26392">
      <c r="B26392" s="36"/>
      <c r="C26392" s="36"/>
      <c r="E26392" s="1"/>
      <c r="F26392" s="1"/>
      <c r="G26392" s="1"/>
    </row>
    <row r="26393">
      <c r="B26393" s="36"/>
      <c r="C26393" s="36"/>
      <c r="E26393" s="1"/>
      <c r="F26393" s="1"/>
      <c r="G26393" s="1"/>
    </row>
    <row r="26394">
      <c r="B26394" s="36"/>
      <c r="C26394" s="36"/>
      <c r="E26394" s="1"/>
      <c r="F26394" s="1"/>
      <c r="G26394" s="1"/>
    </row>
    <row r="26395">
      <c r="B26395" s="36"/>
      <c r="C26395" s="36"/>
      <c r="E26395" s="1"/>
      <c r="F26395" s="1"/>
      <c r="G26395" s="1"/>
    </row>
    <row r="26396">
      <c r="B26396" s="36"/>
      <c r="C26396" s="36"/>
      <c r="E26396" s="1"/>
      <c r="F26396" s="1"/>
      <c r="G26396" s="1"/>
    </row>
    <row r="26397">
      <c r="B26397" s="36"/>
      <c r="C26397" s="36"/>
      <c r="E26397" s="1"/>
      <c r="F26397" s="1"/>
      <c r="G26397" s="1"/>
    </row>
    <row r="26398">
      <c r="B26398" s="36"/>
      <c r="C26398" s="36"/>
      <c r="E26398" s="1"/>
      <c r="F26398" s="1"/>
      <c r="G26398" s="1"/>
    </row>
    <row r="26399">
      <c r="B26399" s="36"/>
      <c r="C26399" s="36"/>
      <c r="E26399" s="1"/>
      <c r="F26399" s="1"/>
      <c r="G26399" s="1"/>
    </row>
    <row r="26400">
      <c r="B26400" s="36"/>
      <c r="C26400" s="36"/>
      <c r="E26400" s="1"/>
      <c r="F26400" s="1"/>
      <c r="G26400" s="1"/>
    </row>
    <row r="26401">
      <c r="B26401" s="36"/>
      <c r="C26401" s="36"/>
      <c r="E26401" s="1"/>
      <c r="F26401" s="1"/>
      <c r="G26401" s="1"/>
    </row>
    <row r="26402">
      <c r="B26402" s="36"/>
      <c r="C26402" s="36"/>
      <c r="E26402" s="1"/>
      <c r="F26402" s="1"/>
      <c r="G26402" s="1"/>
    </row>
    <row r="26403">
      <c r="B26403" s="36"/>
      <c r="C26403" s="36"/>
      <c r="E26403" s="1"/>
      <c r="F26403" s="1"/>
      <c r="G26403" s="1"/>
    </row>
    <row r="26404">
      <c r="B26404" s="36"/>
      <c r="C26404" s="36"/>
      <c r="E26404" s="1"/>
      <c r="F26404" s="1"/>
      <c r="G26404" s="1"/>
    </row>
    <row r="26405">
      <c r="B26405" s="36"/>
      <c r="C26405" s="36"/>
      <c r="E26405" s="1"/>
      <c r="F26405" s="1"/>
      <c r="G26405" s="1"/>
    </row>
    <row r="26406">
      <c r="B26406" s="36"/>
      <c r="C26406" s="36"/>
      <c r="E26406" s="1"/>
      <c r="F26406" s="1"/>
      <c r="G26406" s="1"/>
    </row>
    <row r="26407">
      <c r="B26407" s="36"/>
      <c r="C26407" s="36"/>
      <c r="E26407" s="1"/>
      <c r="F26407" s="1"/>
      <c r="G26407" s="1"/>
    </row>
    <row r="26408">
      <c r="B26408" s="36"/>
      <c r="C26408" s="36"/>
      <c r="E26408" s="1"/>
      <c r="F26408" s="1"/>
      <c r="G26408" s="1"/>
    </row>
    <row r="26409">
      <c r="B26409" s="36"/>
      <c r="C26409" s="36"/>
      <c r="E26409" s="1"/>
      <c r="F26409" s="1"/>
      <c r="G26409" s="1"/>
    </row>
    <row r="26410">
      <c r="B26410" s="36"/>
      <c r="C26410" s="36"/>
      <c r="E26410" s="1"/>
      <c r="F26410" s="1"/>
      <c r="G26410" s="1"/>
    </row>
    <row r="26411">
      <c r="B26411" s="36"/>
      <c r="C26411" s="36"/>
      <c r="E26411" s="1"/>
      <c r="F26411" s="1"/>
      <c r="G26411" s="1"/>
    </row>
    <row r="26412">
      <c r="B26412" s="36"/>
      <c r="C26412" s="36"/>
      <c r="E26412" s="1"/>
      <c r="F26412" s="1"/>
      <c r="G26412" s="1"/>
    </row>
    <row r="26413">
      <c r="B26413" s="36"/>
      <c r="C26413" s="36"/>
      <c r="E26413" s="1"/>
      <c r="F26413" s="1"/>
      <c r="G26413" s="1"/>
    </row>
    <row r="26414">
      <c r="B26414" s="36"/>
      <c r="C26414" s="36"/>
      <c r="E26414" s="1"/>
      <c r="F26414" s="1"/>
      <c r="G26414" s="1"/>
    </row>
    <row r="26415">
      <c r="B26415" s="36"/>
      <c r="C26415" s="36"/>
      <c r="E26415" s="1"/>
      <c r="F26415" s="1"/>
      <c r="G26415" s="1"/>
    </row>
    <row r="26416">
      <c r="B26416" s="36"/>
      <c r="C26416" s="36"/>
      <c r="E26416" s="1"/>
      <c r="F26416" s="1"/>
      <c r="G26416" s="1"/>
    </row>
    <row r="26417">
      <c r="B26417" s="36"/>
      <c r="C26417" s="36"/>
      <c r="E26417" s="1"/>
      <c r="F26417" s="1"/>
      <c r="G26417" s="1"/>
    </row>
    <row r="26418">
      <c r="B26418" s="36"/>
      <c r="C26418" s="36"/>
      <c r="E26418" s="1"/>
      <c r="F26418" s="1"/>
      <c r="G26418" s="1"/>
    </row>
    <row r="26419">
      <c r="B26419" s="36"/>
      <c r="C26419" s="36"/>
      <c r="E26419" s="1"/>
      <c r="F26419" s="1"/>
      <c r="G26419" s="1"/>
    </row>
    <row r="26420">
      <c r="B26420" s="36"/>
      <c r="C26420" s="36"/>
      <c r="E26420" s="1"/>
      <c r="F26420" s="1"/>
      <c r="G26420" s="1"/>
    </row>
    <row r="26421">
      <c r="B26421" s="36"/>
      <c r="C26421" s="36"/>
      <c r="E26421" s="1"/>
      <c r="F26421" s="1"/>
      <c r="G26421" s="1"/>
    </row>
    <row r="26422">
      <c r="B26422" s="36"/>
      <c r="C26422" s="36"/>
      <c r="E26422" s="1"/>
      <c r="F26422" s="1"/>
      <c r="G26422" s="1"/>
    </row>
    <row r="26423">
      <c r="B26423" s="36"/>
      <c r="C26423" s="36"/>
      <c r="E26423" s="1"/>
      <c r="F26423" s="1"/>
      <c r="G26423" s="1"/>
    </row>
    <row r="26424">
      <c r="B26424" s="36"/>
      <c r="C26424" s="36"/>
      <c r="E26424" s="1"/>
      <c r="F26424" s="1"/>
      <c r="G26424" s="1"/>
    </row>
    <row r="26425">
      <c r="B26425" s="36"/>
      <c r="C26425" s="36"/>
      <c r="E26425" s="1"/>
      <c r="F26425" s="1"/>
      <c r="G26425" s="1"/>
    </row>
    <row r="26426">
      <c r="B26426" s="36"/>
      <c r="C26426" s="36"/>
      <c r="E26426" s="1"/>
      <c r="F26426" s="1"/>
      <c r="G26426" s="1"/>
    </row>
    <row r="26427">
      <c r="B26427" s="36"/>
      <c r="C26427" s="36"/>
      <c r="E26427" s="1"/>
      <c r="F26427" s="1"/>
      <c r="G26427" s="1"/>
    </row>
    <row r="26428">
      <c r="B26428" s="36"/>
      <c r="C26428" s="36"/>
      <c r="E26428" s="1"/>
      <c r="F26428" s="1"/>
      <c r="G26428" s="1"/>
    </row>
    <row r="26429">
      <c r="B26429" s="36"/>
      <c r="C26429" s="36"/>
      <c r="E26429" s="1"/>
      <c r="F26429" s="1"/>
      <c r="G26429" s="1"/>
    </row>
    <row r="26430">
      <c r="B26430" s="36"/>
      <c r="C26430" s="36"/>
      <c r="E26430" s="1"/>
      <c r="F26430" s="1"/>
      <c r="G26430" s="1"/>
    </row>
    <row r="26431">
      <c r="B26431" s="36"/>
      <c r="C26431" s="36"/>
      <c r="E26431" s="1"/>
      <c r="F26431" s="1"/>
      <c r="G26431" s="1"/>
    </row>
    <row r="26432">
      <c r="B26432" s="36"/>
      <c r="C26432" s="36"/>
      <c r="E26432" s="1"/>
      <c r="F26432" s="1"/>
      <c r="G26432" s="1"/>
    </row>
    <row r="26433">
      <c r="B26433" s="36"/>
      <c r="C26433" s="36"/>
      <c r="E26433" s="1"/>
      <c r="F26433" s="1"/>
      <c r="G26433" s="1"/>
    </row>
    <row r="26434">
      <c r="B26434" s="36"/>
      <c r="C26434" s="36"/>
      <c r="E26434" s="1"/>
      <c r="F26434" s="1"/>
      <c r="G26434" s="1"/>
    </row>
    <row r="26435">
      <c r="B26435" s="36"/>
      <c r="C26435" s="36"/>
      <c r="E26435" s="1"/>
      <c r="F26435" s="1"/>
      <c r="G26435" s="1"/>
    </row>
    <row r="26436">
      <c r="B26436" s="36"/>
      <c r="C26436" s="36"/>
      <c r="E26436" s="1"/>
      <c r="F26436" s="1"/>
      <c r="G26436" s="1"/>
    </row>
    <row r="26437">
      <c r="B26437" s="36"/>
      <c r="C26437" s="36"/>
      <c r="E26437" s="1"/>
      <c r="F26437" s="1"/>
      <c r="G26437" s="1"/>
    </row>
    <row r="26438">
      <c r="B26438" s="36"/>
      <c r="C26438" s="36"/>
      <c r="E26438" s="1"/>
      <c r="F26438" s="1"/>
      <c r="G26438" s="1"/>
    </row>
    <row r="26439">
      <c r="B26439" s="36"/>
      <c r="C26439" s="36"/>
      <c r="E26439" s="1"/>
      <c r="F26439" s="1"/>
      <c r="G26439" s="1"/>
    </row>
    <row r="26440">
      <c r="B26440" s="36"/>
      <c r="C26440" s="36"/>
      <c r="E26440" s="1"/>
      <c r="F26440" s="1"/>
      <c r="G26440" s="1"/>
    </row>
    <row r="26441">
      <c r="B26441" s="36"/>
      <c r="C26441" s="36"/>
      <c r="E26441" s="1"/>
      <c r="F26441" s="1"/>
      <c r="G26441" s="1"/>
    </row>
    <row r="26442">
      <c r="B26442" s="36"/>
      <c r="C26442" s="36"/>
      <c r="E26442" s="1"/>
      <c r="F26442" s="1"/>
      <c r="G26442" s="1"/>
    </row>
    <row r="26443">
      <c r="B26443" s="36"/>
      <c r="C26443" s="36"/>
      <c r="E26443" s="1"/>
      <c r="F26443" s="1"/>
      <c r="G26443" s="1"/>
    </row>
    <row r="26444">
      <c r="B26444" s="36"/>
      <c r="C26444" s="36"/>
      <c r="E26444" s="1"/>
      <c r="F26444" s="1"/>
      <c r="G26444" s="1"/>
    </row>
    <row r="26445">
      <c r="B26445" s="36"/>
      <c r="C26445" s="36"/>
      <c r="E26445" s="1"/>
      <c r="F26445" s="1"/>
      <c r="G26445" s="1"/>
    </row>
    <row r="26446">
      <c r="B26446" s="36"/>
      <c r="C26446" s="36"/>
      <c r="E26446" s="1"/>
      <c r="F26446" s="1"/>
      <c r="G26446" s="1"/>
    </row>
    <row r="26447">
      <c r="B26447" s="36"/>
      <c r="C26447" s="36"/>
      <c r="E26447" s="1"/>
      <c r="F26447" s="1"/>
      <c r="G26447" s="1"/>
    </row>
    <row r="26448">
      <c r="B26448" s="36"/>
      <c r="C26448" s="36"/>
      <c r="E26448" s="1"/>
      <c r="F26448" s="1"/>
      <c r="G26448" s="1"/>
    </row>
    <row r="26449">
      <c r="B26449" s="36"/>
      <c r="C26449" s="36"/>
      <c r="E26449" s="1"/>
      <c r="F26449" s="1"/>
      <c r="G26449" s="1"/>
    </row>
    <row r="26450">
      <c r="B26450" s="36"/>
      <c r="C26450" s="36"/>
      <c r="E26450" s="1"/>
      <c r="F26450" s="1"/>
      <c r="G26450" s="1"/>
    </row>
    <row r="26451">
      <c r="B26451" s="36"/>
      <c r="C26451" s="36"/>
      <c r="E26451" s="1"/>
      <c r="F26451" s="1"/>
      <c r="G26451" s="1"/>
    </row>
    <row r="26452">
      <c r="B26452" s="36"/>
      <c r="C26452" s="36"/>
      <c r="E26452" s="1"/>
      <c r="F26452" s="1"/>
      <c r="G26452" s="1"/>
    </row>
    <row r="26453">
      <c r="B26453" s="36"/>
      <c r="C26453" s="36"/>
      <c r="E26453" s="1"/>
      <c r="F26453" s="1"/>
      <c r="G26453" s="1"/>
    </row>
    <row r="26454">
      <c r="B26454" s="36"/>
      <c r="C26454" s="36"/>
      <c r="E26454" s="1"/>
      <c r="F26454" s="1"/>
      <c r="G26454" s="1"/>
    </row>
    <row r="26455">
      <c r="B26455" s="36"/>
      <c r="C26455" s="36"/>
      <c r="E26455" s="1"/>
      <c r="F26455" s="1"/>
      <c r="G26455" s="1"/>
    </row>
    <row r="26456">
      <c r="B26456" s="36"/>
      <c r="C26456" s="36"/>
      <c r="E26456" s="1"/>
      <c r="F26456" s="1"/>
      <c r="G26456" s="1"/>
    </row>
    <row r="26457">
      <c r="B26457" s="36"/>
      <c r="C26457" s="36"/>
      <c r="E26457" s="1"/>
      <c r="F26457" s="1"/>
      <c r="G26457" s="1"/>
    </row>
    <row r="26458">
      <c r="B26458" s="36"/>
      <c r="C26458" s="36"/>
      <c r="E26458" s="1"/>
      <c r="F26458" s="1"/>
      <c r="G26458" s="1"/>
    </row>
    <row r="26459">
      <c r="B26459" s="36"/>
      <c r="C26459" s="36"/>
      <c r="E26459" s="1"/>
      <c r="F26459" s="1"/>
      <c r="G26459" s="1"/>
    </row>
    <row r="26460">
      <c r="B26460" s="36"/>
      <c r="C26460" s="36"/>
      <c r="E26460" s="1"/>
      <c r="F26460" s="1"/>
      <c r="G26460" s="1"/>
    </row>
    <row r="26461">
      <c r="B26461" s="36"/>
      <c r="C26461" s="36"/>
      <c r="E26461" s="1"/>
      <c r="F26461" s="1"/>
      <c r="G26461" s="1"/>
    </row>
    <row r="26462">
      <c r="B26462" s="36"/>
      <c r="C26462" s="36"/>
      <c r="E26462" s="1"/>
      <c r="F26462" s="1"/>
      <c r="G26462" s="1"/>
    </row>
    <row r="26463">
      <c r="B26463" s="36"/>
      <c r="C26463" s="36"/>
      <c r="E26463" s="1"/>
      <c r="F26463" s="1"/>
      <c r="G26463" s="1"/>
    </row>
    <row r="26464">
      <c r="B26464" s="36"/>
      <c r="C26464" s="36"/>
      <c r="E26464" s="1"/>
      <c r="F26464" s="1"/>
      <c r="G26464" s="1"/>
    </row>
    <row r="26465">
      <c r="B26465" s="36"/>
      <c r="C26465" s="36"/>
      <c r="E26465" s="1"/>
      <c r="F26465" s="1"/>
      <c r="G26465" s="1"/>
    </row>
    <row r="26466">
      <c r="B26466" s="36"/>
      <c r="C26466" s="36"/>
      <c r="E26466" s="1"/>
      <c r="F26466" s="1"/>
      <c r="G26466" s="1"/>
    </row>
    <row r="26467">
      <c r="B26467" s="36"/>
      <c r="C26467" s="36"/>
      <c r="E26467" s="1"/>
      <c r="F26467" s="1"/>
      <c r="G26467" s="1"/>
    </row>
    <row r="26468">
      <c r="B26468" s="36"/>
      <c r="C26468" s="36"/>
      <c r="E26468" s="1"/>
      <c r="F26468" s="1"/>
      <c r="G26468" s="1"/>
    </row>
    <row r="26469">
      <c r="B26469" s="36"/>
      <c r="C26469" s="36"/>
      <c r="E26469" s="1"/>
      <c r="F26469" s="1"/>
      <c r="G26469" s="1"/>
    </row>
    <row r="26470">
      <c r="B26470" s="36"/>
      <c r="C26470" s="36"/>
      <c r="E26470" s="1"/>
      <c r="F26470" s="1"/>
      <c r="G26470" s="1"/>
    </row>
    <row r="26471">
      <c r="B26471" s="36"/>
      <c r="C26471" s="36"/>
      <c r="E26471" s="1"/>
      <c r="F26471" s="1"/>
      <c r="G26471" s="1"/>
    </row>
    <row r="26472">
      <c r="B26472" s="36"/>
      <c r="C26472" s="36"/>
      <c r="E26472" s="1"/>
      <c r="F26472" s="1"/>
      <c r="G26472" s="1"/>
    </row>
    <row r="26473">
      <c r="B26473" s="36"/>
      <c r="C26473" s="36"/>
      <c r="E26473" s="1"/>
      <c r="F26473" s="1"/>
      <c r="G26473" s="1"/>
    </row>
    <row r="26474">
      <c r="B26474" s="36"/>
      <c r="C26474" s="36"/>
      <c r="E26474" s="1"/>
      <c r="F26474" s="1"/>
      <c r="G26474" s="1"/>
    </row>
    <row r="26475">
      <c r="B26475" s="36"/>
      <c r="C26475" s="36"/>
      <c r="E26475" s="1"/>
      <c r="F26475" s="1"/>
      <c r="G26475" s="1"/>
    </row>
    <row r="26476">
      <c r="B26476" s="36"/>
      <c r="C26476" s="36"/>
      <c r="E26476" s="1"/>
      <c r="F26476" s="1"/>
      <c r="G26476" s="1"/>
    </row>
    <row r="26477">
      <c r="B26477" s="36"/>
      <c r="C26477" s="36"/>
      <c r="E26477" s="1"/>
      <c r="F26477" s="1"/>
      <c r="G26477" s="1"/>
    </row>
    <row r="26478">
      <c r="B26478" s="36"/>
      <c r="C26478" s="36"/>
      <c r="E26478" s="1"/>
      <c r="F26478" s="1"/>
      <c r="G26478" s="1"/>
    </row>
    <row r="26479">
      <c r="B26479" s="36"/>
      <c r="C26479" s="36"/>
      <c r="E26479" s="1"/>
      <c r="F26479" s="1"/>
      <c r="G26479" s="1"/>
    </row>
    <row r="26480">
      <c r="B26480" s="36"/>
      <c r="C26480" s="36"/>
      <c r="E26480" s="1"/>
      <c r="F26480" s="1"/>
      <c r="G26480" s="1"/>
    </row>
    <row r="26481">
      <c r="B26481" s="36"/>
      <c r="C26481" s="36"/>
      <c r="E26481" s="1"/>
      <c r="F26481" s="1"/>
      <c r="G26481" s="1"/>
    </row>
    <row r="26482">
      <c r="B26482" s="36"/>
      <c r="C26482" s="36"/>
      <c r="E26482" s="1"/>
      <c r="F26482" s="1"/>
      <c r="G26482" s="1"/>
    </row>
    <row r="26483">
      <c r="B26483" s="36"/>
      <c r="C26483" s="36"/>
      <c r="E26483" s="1"/>
      <c r="F26483" s="1"/>
      <c r="G26483" s="1"/>
    </row>
    <row r="26484">
      <c r="B26484" s="36"/>
      <c r="C26484" s="36"/>
      <c r="E26484" s="1"/>
      <c r="F26484" s="1"/>
      <c r="G26484" s="1"/>
    </row>
    <row r="26485">
      <c r="B26485" s="36"/>
      <c r="C26485" s="36"/>
      <c r="E26485" s="1"/>
      <c r="F26485" s="1"/>
      <c r="G26485" s="1"/>
    </row>
    <row r="26486">
      <c r="B26486" s="36"/>
      <c r="C26486" s="36"/>
      <c r="E26486" s="1"/>
      <c r="F26486" s="1"/>
      <c r="G26486" s="1"/>
    </row>
    <row r="26487">
      <c r="B26487" s="36"/>
      <c r="C26487" s="36"/>
      <c r="E26487" s="1"/>
      <c r="F26487" s="1"/>
      <c r="G26487" s="1"/>
    </row>
    <row r="26488">
      <c r="B26488" s="36"/>
      <c r="C26488" s="36"/>
      <c r="E26488" s="1"/>
      <c r="F26488" s="1"/>
      <c r="G26488" s="1"/>
    </row>
    <row r="26489">
      <c r="B26489" s="36"/>
      <c r="C26489" s="36"/>
      <c r="E26489" s="1"/>
      <c r="F26489" s="1"/>
      <c r="G26489" s="1"/>
    </row>
    <row r="26490">
      <c r="B26490" s="36"/>
      <c r="C26490" s="36"/>
      <c r="E26490" s="1"/>
      <c r="F26490" s="1"/>
      <c r="G26490" s="1"/>
    </row>
    <row r="26491">
      <c r="B26491" s="36"/>
      <c r="C26491" s="36"/>
      <c r="E26491" s="1"/>
      <c r="F26491" s="1"/>
      <c r="G26491" s="1"/>
    </row>
    <row r="26492">
      <c r="B26492" s="36"/>
      <c r="C26492" s="36"/>
      <c r="E26492" s="1"/>
      <c r="F26492" s="1"/>
      <c r="G26492" s="1"/>
    </row>
    <row r="26493">
      <c r="B26493" s="36"/>
      <c r="C26493" s="36"/>
      <c r="E26493" s="1"/>
      <c r="F26493" s="1"/>
      <c r="G26493" s="1"/>
    </row>
    <row r="26494">
      <c r="B26494" s="36"/>
      <c r="C26494" s="36"/>
      <c r="E26494" s="1"/>
      <c r="F26494" s="1"/>
      <c r="G26494" s="1"/>
    </row>
    <row r="26495">
      <c r="B26495" s="36"/>
      <c r="C26495" s="36"/>
      <c r="E26495" s="1"/>
      <c r="F26495" s="1"/>
      <c r="G26495" s="1"/>
    </row>
    <row r="26496">
      <c r="B26496" s="36"/>
      <c r="C26496" s="36"/>
      <c r="E26496" s="1"/>
      <c r="F26496" s="1"/>
      <c r="G26496" s="1"/>
    </row>
    <row r="26497">
      <c r="B26497" s="36"/>
      <c r="C26497" s="36"/>
      <c r="E26497" s="1"/>
      <c r="F26497" s="1"/>
      <c r="G26497" s="1"/>
    </row>
    <row r="26498">
      <c r="B26498" s="36"/>
      <c r="C26498" s="36"/>
      <c r="E26498" s="1"/>
      <c r="F26498" s="1"/>
      <c r="G26498" s="1"/>
    </row>
    <row r="26499">
      <c r="B26499" s="36"/>
      <c r="C26499" s="36"/>
      <c r="E26499" s="1"/>
      <c r="F26499" s="1"/>
      <c r="G26499" s="1"/>
    </row>
    <row r="26500">
      <c r="B26500" s="36"/>
      <c r="C26500" s="36"/>
      <c r="E26500" s="1"/>
      <c r="F26500" s="1"/>
      <c r="G26500" s="1"/>
    </row>
    <row r="26501">
      <c r="B26501" s="36"/>
      <c r="C26501" s="36"/>
      <c r="E26501" s="1"/>
      <c r="F26501" s="1"/>
      <c r="G26501" s="1"/>
    </row>
    <row r="26502">
      <c r="B26502" s="36"/>
      <c r="C26502" s="36"/>
      <c r="E26502" s="1"/>
      <c r="F26502" s="1"/>
      <c r="G26502" s="1"/>
    </row>
    <row r="26503">
      <c r="B26503" s="36"/>
      <c r="C26503" s="36"/>
      <c r="E26503" s="1"/>
      <c r="F26503" s="1"/>
      <c r="G26503" s="1"/>
    </row>
    <row r="26504">
      <c r="B26504" s="36"/>
      <c r="C26504" s="36"/>
      <c r="E26504" s="1"/>
      <c r="F26504" s="1"/>
      <c r="G26504" s="1"/>
    </row>
    <row r="26505">
      <c r="B26505" s="36"/>
      <c r="C26505" s="36"/>
      <c r="E26505" s="1"/>
      <c r="F26505" s="1"/>
      <c r="G26505" s="1"/>
    </row>
    <row r="26506">
      <c r="B26506" s="36"/>
      <c r="C26506" s="36"/>
      <c r="E26506" s="1"/>
      <c r="F26506" s="1"/>
      <c r="G26506" s="1"/>
    </row>
    <row r="26507">
      <c r="B26507" s="36"/>
      <c r="C26507" s="36"/>
      <c r="E26507" s="1"/>
      <c r="F26507" s="1"/>
      <c r="G26507" s="1"/>
    </row>
    <row r="26508">
      <c r="B26508" s="36"/>
      <c r="C26508" s="36"/>
      <c r="E26508" s="1"/>
      <c r="F26508" s="1"/>
      <c r="G26508" s="1"/>
    </row>
    <row r="26509">
      <c r="B26509" s="36"/>
      <c r="C26509" s="36"/>
      <c r="E26509" s="1"/>
      <c r="F26509" s="1"/>
      <c r="G26509" s="1"/>
    </row>
    <row r="26510">
      <c r="B26510" s="36"/>
      <c r="C26510" s="36"/>
      <c r="E26510" s="1"/>
      <c r="F26510" s="1"/>
      <c r="G26510" s="1"/>
    </row>
    <row r="26511">
      <c r="B26511" s="36"/>
      <c r="C26511" s="36"/>
      <c r="E26511" s="1"/>
      <c r="F26511" s="1"/>
      <c r="G26511" s="1"/>
    </row>
    <row r="26512">
      <c r="B26512" s="36"/>
      <c r="C26512" s="36"/>
      <c r="E26512" s="1"/>
      <c r="F26512" s="1"/>
      <c r="G26512" s="1"/>
    </row>
    <row r="26513">
      <c r="B26513" s="36"/>
      <c r="C26513" s="36"/>
      <c r="E26513" s="1"/>
      <c r="F26513" s="1"/>
      <c r="G26513" s="1"/>
    </row>
    <row r="26514">
      <c r="B26514" s="36"/>
      <c r="C26514" s="36"/>
      <c r="E26514" s="1"/>
      <c r="F26514" s="1"/>
      <c r="G26514" s="1"/>
    </row>
    <row r="26515">
      <c r="B26515" s="36"/>
      <c r="C26515" s="36"/>
      <c r="E26515" s="1"/>
      <c r="F26515" s="1"/>
      <c r="G26515" s="1"/>
    </row>
    <row r="26516">
      <c r="B26516" s="36"/>
      <c r="C26516" s="36"/>
      <c r="E26516" s="1"/>
      <c r="F26516" s="1"/>
      <c r="G26516" s="1"/>
    </row>
    <row r="26517">
      <c r="B26517" s="36"/>
      <c r="C26517" s="36"/>
      <c r="E26517" s="1"/>
      <c r="F26517" s="1"/>
      <c r="G26517" s="1"/>
    </row>
    <row r="26518">
      <c r="B26518" s="36"/>
      <c r="C26518" s="36"/>
      <c r="E26518" s="1"/>
      <c r="F26518" s="1"/>
      <c r="G26518" s="1"/>
    </row>
    <row r="26519">
      <c r="B26519" s="36"/>
      <c r="C26519" s="36"/>
      <c r="E26519" s="1"/>
      <c r="F26519" s="1"/>
      <c r="G26519" s="1"/>
    </row>
    <row r="26520">
      <c r="B26520" s="36"/>
      <c r="C26520" s="36"/>
      <c r="E26520" s="1"/>
      <c r="F26520" s="1"/>
      <c r="G26520" s="1"/>
    </row>
    <row r="26521">
      <c r="B26521" s="36"/>
      <c r="C26521" s="36"/>
      <c r="E26521" s="1"/>
      <c r="F26521" s="1"/>
      <c r="G26521" s="1"/>
    </row>
    <row r="26522">
      <c r="B26522" s="36"/>
      <c r="C26522" s="36"/>
      <c r="E26522" s="1"/>
      <c r="F26522" s="1"/>
      <c r="G26522" s="1"/>
    </row>
    <row r="26523">
      <c r="B26523" s="36"/>
      <c r="C26523" s="36"/>
      <c r="E26523" s="1"/>
      <c r="F26523" s="1"/>
      <c r="G26523" s="1"/>
    </row>
    <row r="26524">
      <c r="B26524" s="36"/>
      <c r="C26524" s="36"/>
      <c r="E26524" s="1"/>
      <c r="F26524" s="1"/>
      <c r="G26524" s="1"/>
    </row>
    <row r="26525">
      <c r="B26525" s="36"/>
      <c r="C26525" s="36"/>
      <c r="E26525" s="1"/>
      <c r="F26525" s="1"/>
      <c r="G26525" s="1"/>
    </row>
    <row r="26526">
      <c r="B26526" s="36"/>
      <c r="C26526" s="36"/>
      <c r="E26526" s="1"/>
      <c r="F26526" s="1"/>
      <c r="G26526" s="1"/>
    </row>
    <row r="26527">
      <c r="B26527" s="36"/>
      <c r="C26527" s="36"/>
      <c r="E26527" s="1"/>
      <c r="F26527" s="1"/>
      <c r="G26527" s="1"/>
    </row>
    <row r="26528">
      <c r="B26528" s="36"/>
      <c r="C26528" s="36"/>
      <c r="E26528" s="1"/>
      <c r="F26528" s="1"/>
      <c r="G26528" s="1"/>
    </row>
    <row r="26529">
      <c r="B26529" s="36"/>
      <c r="C26529" s="36"/>
      <c r="E26529" s="1"/>
      <c r="F26529" s="1"/>
      <c r="G26529" s="1"/>
    </row>
    <row r="26530">
      <c r="B26530" s="36"/>
      <c r="C26530" s="36"/>
      <c r="E26530" s="1"/>
      <c r="F26530" s="1"/>
      <c r="G26530" s="1"/>
    </row>
    <row r="26531">
      <c r="B26531" s="36"/>
      <c r="C26531" s="36"/>
      <c r="E26531" s="1"/>
      <c r="F26531" s="1"/>
      <c r="G26531" s="1"/>
    </row>
    <row r="26532">
      <c r="B26532" s="36"/>
      <c r="C26532" s="36"/>
      <c r="E26532" s="1"/>
      <c r="F26532" s="1"/>
      <c r="G26532" s="1"/>
    </row>
    <row r="26533">
      <c r="B26533" s="36"/>
      <c r="C26533" s="36"/>
      <c r="E26533" s="1"/>
      <c r="F26533" s="1"/>
      <c r="G26533" s="1"/>
    </row>
    <row r="26534">
      <c r="B26534" s="36"/>
      <c r="C26534" s="36"/>
      <c r="E26534" s="1"/>
      <c r="F26534" s="1"/>
      <c r="G26534" s="1"/>
    </row>
    <row r="26535">
      <c r="B26535" s="36"/>
      <c r="C26535" s="36"/>
      <c r="E26535" s="1"/>
      <c r="F26535" s="1"/>
      <c r="G26535" s="1"/>
    </row>
    <row r="26536">
      <c r="B26536" s="36"/>
      <c r="C26536" s="36"/>
      <c r="E26536" s="1"/>
      <c r="F26536" s="1"/>
      <c r="G26536" s="1"/>
    </row>
    <row r="26537">
      <c r="B26537" s="36"/>
      <c r="C26537" s="36"/>
      <c r="E26537" s="1"/>
      <c r="F26537" s="1"/>
      <c r="G26537" s="1"/>
    </row>
    <row r="26538">
      <c r="B26538" s="36"/>
      <c r="C26538" s="36"/>
      <c r="E26538" s="1"/>
      <c r="F26538" s="1"/>
      <c r="G26538" s="1"/>
    </row>
    <row r="26539">
      <c r="B26539" s="36"/>
      <c r="C26539" s="36"/>
      <c r="E26539" s="1"/>
      <c r="F26539" s="1"/>
      <c r="G26539" s="1"/>
    </row>
    <row r="26540">
      <c r="B26540" s="36"/>
      <c r="C26540" s="36"/>
      <c r="E26540" s="1"/>
      <c r="F26540" s="1"/>
      <c r="G26540" s="1"/>
    </row>
    <row r="26541">
      <c r="B26541" s="36"/>
      <c r="C26541" s="36"/>
      <c r="E26541" s="1"/>
      <c r="F26541" s="1"/>
      <c r="G26541" s="1"/>
    </row>
    <row r="26542">
      <c r="B26542" s="36"/>
      <c r="C26542" s="36"/>
      <c r="E26542" s="1"/>
      <c r="F26542" s="1"/>
      <c r="G26542" s="1"/>
    </row>
    <row r="26543">
      <c r="B26543" s="36"/>
      <c r="C26543" s="36"/>
      <c r="E26543" s="1"/>
      <c r="F26543" s="1"/>
      <c r="G26543" s="1"/>
    </row>
    <row r="26544">
      <c r="B26544" s="36"/>
      <c r="C26544" s="36"/>
      <c r="E26544" s="1"/>
      <c r="F26544" s="1"/>
      <c r="G26544" s="1"/>
    </row>
    <row r="26545">
      <c r="B26545" s="36"/>
      <c r="C26545" s="36"/>
      <c r="E26545" s="1"/>
      <c r="F26545" s="1"/>
      <c r="G26545" s="1"/>
    </row>
    <row r="26546">
      <c r="B26546" s="36"/>
      <c r="C26546" s="36"/>
      <c r="E26546" s="1"/>
      <c r="F26546" s="1"/>
      <c r="G26546" s="1"/>
    </row>
    <row r="26547">
      <c r="B26547" s="36"/>
      <c r="C26547" s="36"/>
      <c r="E26547" s="1"/>
      <c r="F26547" s="1"/>
      <c r="G26547" s="1"/>
    </row>
    <row r="26548">
      <c r="B26548" s="36"/>
      <c r="C26548" s="36"/>
      <c r="E26548" s="1"/>
      <c r="F26548" s="1"/>
      <c r="G26548" s="1"/>
    </row>
    <row r="26549">
      <c r="B26549" s="36"/>
      <c r="C26549" s="36"/>
      <c r="E26549" s="1"/>
      <c r="F26549" s="1"/>
      <c r="G26549" s="1"/>
    </row>
    <row r="26550">
      <c r="B26550" s="36"/>
      <c r="C26550" s="36"/>
      <c r="E26550" s="1"/>
      <c r="F26550" s="1"/>
      <c r="G26550" s="1"/>
    </row>
    <row r="26551">
      <c r="B26551" s="36"/>
      <c r="C26551" s="36"/>
      <c r="E26551" s="1"/>
      <c r="F26551" s="1"/>
      <c r="G26551" s="1"/>
    </row>
    <row r="26552">
      <c r="B26552" s="36"/>
      <c r="C26552" s="36"/>
      <c r="E26552" s="1"/>
      <c r="F26552" s="1"/>
      <c r="G26552" s="1"/>
    </row>
    <row r="26553">
      <c r="B26553" s="36"/>
      <c r="C26553" s="36"/>
      <c r="E26553" s="1"/>
      <c r="F26553" s="1"/>
      <c r="G26553" s="1"/>
    </row>
    <row r="26554">
      <c r="B26554" s="36"/>
      <c r="C26554" s="36"/>
      <c r="E26554" s="1"/>
      <c r="F26554" s="1"/>
      <c r="G26554" s="1"/>
    </row>
    <row r="26555">
      <c r="B26555" s="36"/>
      <c r="C26555" s="36"/>
      <c r="E26555" s="1"/>
      <c r="F26555" s="1"/>
      <c r="G26555" s="1"/>
    </row>
    <row r="26556">
      <c r="B26556" s="36"/>
      <c r="C26556" s="36"/>
      <c r="E26556" s="1"/>
      <c r="F26556" s="1"/>
      <c r="G26556" s="1"/>
    </row>
    <row r="26557">
      <c r="B26557" s="36"/>
      <c r="C26557" s="36"/>
      <c r="E26557" s="1"/>
      <c r="F26557" s="1"/>
      <c r="G26557" s="1"/>
    </row>
    <row r="26558">
      <c r="B26558" s="36"/>
      <c r="C26558" s="36"/>
      <c r="E26558" s="1"/>
      <c r="F26558" s="1"/>
      <c r="G26558" s="1"/>
    </row>
    <row r="26559">
      <c r="B26559" s="36"/>
      <c r="C26559" s="36"/>
      <c r="E26559" s="1"/>
      <c r="F26559" s="1"/>
      <c r="G26559" s="1"/>
    </row>
    <row r="26560">
      <c r="B26560" s="36"/>
      <c r="C26560" s="36"/>
      <c r="E26560" s="1"/>
      <c r="F26560" s="1"/>
      <c r="G26560" s="1"/>
    </row>
    <row r="26561">
      <c r="B26561" s="36"/>
      <c r="C26561" s="36"/>
      <c r="E26561" s="1"/>
      <c r="F26561" s="1"/>
      <c r="G26561" s="1"/>
    </row>
    <row r="26562">
      <c r="B26562" s="36"/>
      <c r="C26562" s="36"/>
      <c r="E26562" s="1"/>
      <c r="F26562" s="1"/>
      <c r="G26562" s="1"/>
    </row>
    <row r="26563">
      <c r="B26563" s="36"/>
      <c r="C26563" s="36"/>
      <c r="E26563" s="1"/>
      <c r="F26563" s="1"/>
      <c r="G26563" s="1"/>
    </row>
    <row r="26564">
      <c r="B26564" s="36"/>
      <c r="C26564" s="36"/>
      <c r="E26564" s="1"/>
      <c r="F26564" s="1"/>
      <c r="G26564" s="1"/>
    </row>
    <row r="26565">
      <c r="B26565" s="36"/>
      <c r="C26565" s="36"/>
      <c r="E26565" s="1"/>
      <c r="F26565" s="1"/>
      <c r="G26565" s="1"/>
    </row>
    <row r="26566">
      <c r="B26566" s="36"/>
      <c r="C26566" s="36"/>
      <c r="E26566" s="1"/>
      <c r="F26566" s="1"/>
      <c r="G26566" s="1"/>
    </row>
    <row r="26567">
      <c r="B26567" s="36"/>
      <c r="C26567" s="36"/>
      <c r="E26567" s="1"/>
      <c r="F26567" s="1"/>
      <c r="G26567" s="1"/>
    </row>
    <row r="26568">
      <c r="B26568" s="36"/>
      <c r="C26568" s="36"/>
      <c r="E26568" s="1"/>
      <c r="F26568" s="1"/>
      <c r="G26568" s="1"/>
    </row>
    <row r="26569">
      <c r="B26569" s="36"/>
      <c r="C26569" s="36"/>
      <c r="E26569" s="1"/>
      <c r="F26569" s="1"/>
      <c r="G26569" s="1"/>
    </row>
    <row r="26570">
      <c r="B26570" s="36"/>
      <c r="C26570" s="36"/>
      <c r="E26570" s="1"/>
      <c r="F26570" s="1"/>
      <c r="G26570" s="1"/>
    </row>
    <row r="26571">
      <c r="B26571" s="36"/>
      <c r="C26571" s="36"/>
      <c r="E26571" s="1"/>
      <c r="F26571" s="1"/>
      <c r="G26571" s="1"/>
    </row>
    <row r="26572">
      <c r="B26572" s="36"/>
      <c r="C26572" s="36"/>
      <c r="E26572" s="1"/>
      <c r="F26572" s="1"/>
      <c r="G26572" s="1"/>
    </row>
    <row r="26573">
      <c r="B26573" s="36"/>
      <c r="C26573" s="36"/>
      <c r="E26573" s="1"/>
      <c r="F26573" s="1"/>
      <c r="G26573" s="1"/>
    </row>
    <row r="26574">
      <c r="B26574" s="36"/>
      <c r="C26574" s="36"/>
      <c r="E26574" s="1"/>
      <c r="F26574" s="1"/>
      <c r="G26574" s="1"/>
    </row>
    <row r="26575">
      <c r="B26575" s="36"/>
      <c r="C26575" s="36"/>
      <c r="E26575" s="1"/>
      <c r="F26575" s="1"/>
      <c r="G26575" s="1"/>
    </row>
    <row r="26576">
      <c r="B26576" s="36"/>
      <c r="C26576" s="36"/>
      <c r="E26576" s="1"/>
      <c r="F26576" s="1"/>
      <c r="G26576" s="1"/>
    </row>
    <row r="26577">
      <c r="B26577" s="36"/>
      <c r="C26577" s="36"/>
      <c r="E26577" s="1"/>
      <c r="F26577" s="1"/>
      <c r="G26577" s="1"/>
    </row>
    <row r="26578">
      <c r="B26578" s="36"/>
      <c r="C26578" s="36"/>
      <c r="E26578" s="1"/>
      <c r="F26578" s="1"/>
      <c r="G26578" s="1"/>
    </row>
    <row r="26579">
      <c r="B26579" s="36"/>
      <c r="C26579" s="36"/>
      <c r="E26579" s="1"/>
      <c r="F26579" s="1"/>
      <c r="G26579" s="1"/>
    </row>
    <row r="26580">
      <c r="B26580" s="36"/>
      <c r="C26580" s="36"/>
      <c r="E26580" s="1"/>
      <c r="F26580" s="1"/>
      <c r="G26580" s="1"/>
    </row>
    <row r="26581">
      <c r="B26581" s="36"/>
      <c r="C26581" s="36"/>
      <c r="E26581" s="1"/>
      <c r="F26581" s="1"/>
      <c r="G26581" s="1"/>
    </row>
    <row r="26582">
      <c r="B26582" s="36"/>
      <c r="C26582" s="36"/>
      <c r="E26582" s="1"/>
      <c r="F26582" s="1"/>
      <c r="G26582" s="1"/>
    </row>
    <row r="26583">
      <c r="B26583" s="36"/>
      <c r="C26583" s="36"/>
      <c r="E26583" s="1"/>
      <c r="F26583" s="1"/>
      <c r="G26583" s="1"/>
    </row>
    <row r="26584">
      <c r="B26584" s="36"/>
      <c r="C26584" s="36"/>
      <c r="E26584" s="1"/>
      <c r="F26584" s="1"/>
      <c r="G26584" s="1"/>
    </row>
    <row r="26585">
      <c r="B26585" s="36"/>
      <c r="C26585" s="36"/>
      <c r="E26585" s="1"/>
      <c r="F26585" s="1"/>
      <c r="G26585" s="1"/>
    </row>
    <row r="26586">
      <c r="B26586" s="36"/>
      <c r="C26586" s="36"/>
      <c r="E26586" s="1"/>
      <c r="F26586" s="1"/>
      <c r="G26586" s="1"/>
    </row>
    <row r="26587">
      <c r="B26587" s="36"/>
      <c r="C26587" s="36"/>
      <c r="E26587" s="1"/>
      <c r="F26587" s="1"/>
      <c r="G26587" s="1"/>
    </row>
    <row r="26588">
      <c r="B26588" s="36"/>
      <c r="C26588" s="36"/>
      <c r="E26588" s="1"/>
      <c r="F26588" s="1"/>
      <c r="G26588" s="1"/>
    </row>
    <row r="26589">
      <c r="B26589" s="36"/>
      <c r="C26589" s="36"/>
      <c r="E26589" s="1"/>
      <c r="F26589" s="1"/>
      <c r="G26589" s="1"/>
    </row>
    <row r="26590">
      <c r="B26590" s="36"/>
      <c r="C26590" s="36"/>
      <c r="E26590" s="1"/>
      <c r="F26590" s="1"/>
      <c r="G26590" s="1"/>
    </row>
    <row r="26591">
      <c r="B26591" s="36"/>
      <c r="C26591" s="36"/>
      <c r="E26591" s="1"/>
      <c r="F26591" s="1"/>
      <c r="G26591" s="1"/>
    </row>
    <row r="26592">
      <c r="B26592" s="36"/>
      <c r="C26592" s="36"/>
      <c r="E26592" s="1"/>
      <c r="F26592" s="1"/>
      <c r="G26592" s="1"/>
    </row>
    <row r="26593">
      <c r="B26593" s="36"/>
      <c r="C26593" s="36"/>
      <c r="E26593" s="1"/>
      <c r="F26593" s="1"/>
      <c r="G26593" s="1"/>
    </row>
    <row r="26594">
      <c r="B26594" s="36"/>
      <c r="C26594" s="36"/>
      <c r="E26594" s="1"/>
      <c r="F26594" s="1"/>
      <c r="G26594" s="1"/>
    </row>
    <row r="26595">
      <c r="B26595" s="36"/>
      <c r="C26595" s="36"/>
      <c r="E26595" s="1"/>
      <c r="F26595" s="1"/>
      <c r="G26595" s="1"/>
    </row>
    <row r="26596">
      <c r="B26596" s="36"/>
      <c r="C26596" s="36"/>
      <c r="E26596" s="1"/>
      <c r="F26596" s="1"/>
      <c r="G26596" s="1"/>
    </row>
    <row r="26597">
      <c r="B26597" s="36"/>
      <c r="C26597" s="36"/>
      <c r="E26597" s="1"/>
      <c r="F26597" s="1"/>
      <c r="G26597" s="1"/>
    </row>
    <row r="26598">
      <c r="B26598" s="36"/>
      <c r="C26598" s="36"/>
      <c r="E26598" s="1"/>
      <c r="F26598" s="1"/>
      <c r="G26598" s="1"/>
    </row>
    <row r="26599">
      <c r="B26599" s="36"/>
      <c r="C26599" s="36"/>
      <c r="E26599" s="1"/>
      <c r="F26599" s="1"/>
      <c r="G26599" s="1"/>
    </row>
    <row r="26600">
      <c r="B26600" s="36"/>
      <c r="C26600" s="36"/>
      <c r="E26600" s="1"/>
      <c r="F26600" s="1"/>
      <c r="G26600" s="1"/>
    </row>
    <row r="26601">
      <c r="B26601" s="36"/>
      <c r="C26601" s="36"/>
      <c r="E26601" s="1"/>
      <c r="F26601" s="1"/>
      <c r="G26601" s="1"/>
    </row>
    <row r="26602">
      <c r="B26602" s="36"/>
      <c r="C26602" s="36"/>
      <c r="E26602" s="1"/>
      <c r="F26602" s="1"/>
      <c r="G26602" s="1"/>
    </row>
    <row r="26603">
      <c r="B26603" s="36"/>
      <c r="C26603" s="36"/>
      <c r="E26603" s="1"/>
      <c r="F26603" s="1"/>
      <c r="G26603" s="1"/>
    </row>
    <row r="26604">
      <c r="B26604" s="36"/>
      <c r="C26604" s="36"/>
      <c r="E26604" s="1"/>
      <c r="F26604" s="1"/>
      <c r="G26604" s="1"/>
    </row>
    <row r="26605">
      <c r="B26605" s="36"/>
      <c r="C26605" s="36"/>
      <c r="E26605" s="1"/>
      <c r="F26605" s="1"/>
      <c r="G26605" s="1"/>
    </row>
    <row r="26606">
      <c r="B26606" s="36"/>
      <c r="C26606" s="36"/>
      <c r="E26606" s="1"/>
      <c r="F26606" s="1"/>
      <c r="G26606" s="1"/>
    </row>
    <row r="26607">
      <c r="B26607" s="36"/>
      <c r="C26607" s="36"/>
      <c r="E26607" s="1"/>
      <c r="F26607" s="1"/>
      <c r="G26607" s="1"/>
    </row>
    <row r="26608">
      <c r="B26608" s="36"/>
      <c r="C26608" s="36"/>
      <c r="E26608" s="1"/>
      <c r="F26608" s="1"/>
      <c r="G26608" s="1"/>
    </row>
    <row r="26609">
      <c r="B26609" s="36"/>
      <c r="C26609" s="36"/>
      <c r="E26609" s="1"/>
      <c r="F26609" s="1"/>
      <c r="G26609" s="1"/>
    </row>
    <row r="26610">
      <c r="B26610" s="36"/>
      <c r="C26610" s="36"/>
      <c r="E26610" s="1"/>
      <c r="F26610" s="1"/>
      <c r="G26610" s="1"/>
    </row>
    <row r="26611">
      <c r="B26611" s="36"/>
      <c r="C26611" s="36"/>
      <c r="E26611" s="1"/>
      <c r="F26611" s="1"/>
      <c r="G26611" s="1"/>
    </row>
    <row r="26612">
      <c r="B26612" s="36"/>
      <c r="C26612" s="36"/>
      <c r="E26612" s="1"/>
      <c r="F26612" s="1"/>
      <c r="G26612" s="1"/>
    </row>
    <row r="26613">
      <c r="B26613" s="36"/>
      <c r="C26613" s="36"/>
      <c r="E26613" s="1"/>
      <c r="F26613" s="1"/>
      <c r="G26613" s="1"/>
    </row>
    <row r="26614">
      <c r="B26614" s="36"/>
      <c r="C26614" s="36"/>
      <c r="E26614" s="1"/>
      <c r="F26614" s="1"/>
      <c r="G26614" s="1"/>
    </row>
    <row r="26615">
      <c r="B26615" s="36"/>
      <c r="C26615" s="36"/>
      <c r="E26615" s="1"/>
      <c r="F26615" s="1"/>
      <c r="G26615" s="1"/>
    </row>
    <row r="26616">
      <c r="B26616" s="36"/>
      <c r="C26616" s="36"/>
      <c r="E26616" s="1"/>
      <c r="F26616" s="1"/>
      <c r="G26616" s="1"/>
    </row>
    <row r="26617">
      <c r="B26617" s="36"/>
      <c r="C26617" s="36"/>
      <c r="E26617" s="1"/>
      <c r="F26617" s="1"/>
      <c r="G26617" s="1"/>
    </row>
    <row r="26618">
      <c r="B26618" s="36"/>
      <c r="C26618" s="36"/>
      <c r="E26618" s="1"/>
      <c r="F26618" s="1"/>
      <c r="G26618" s="1"/>
    </row>
    <row r="26619">
      <c r="B26619" s="36"/>
      <c r="C26619" s="36"/>
      <c r="E26619" s="1"/>
      <c r="F26619" s="1"/>
      <c r="G26619" s="1"/>
    </row>
    <row r="26620">
      <c r="B26620" s="36"/>
      <c r="C26620" s="36"/>
      <c r="E26620" s="1"/>
      <c r="F26620" s="1"/>
      <c r="G26620" s="1"/>
    </row>
    <row r="26621">
      <c r="B26621" s="36"/>
      <c r="C26621" s="36"/>
      <c r="E26621" s="1"/>
      <c r="F26621" s="1"/>
      <c r="G26621" s="1"/>
    </row>
    <row r="26622">
      <c r="B26622" s="36"/>
      <c r="C26622" s="36"/>
      <c r="E26622" s="1"/>
      <c r="F26622" s="1"/>
      <c r="G26622" s="1"/>
    </row>
    <row r="26623">
      <c r="B26623" s="36"/>
      <c r="C26623" s="36"/>
      <c r="E26623" s="1"/>
      <c r="F26623" s="1"/>
      <c r="G26623" s="1"/>
    </row>
    <row r="26624">
      <c r="B26624" s="36"/>
      <c r="C26624" s="36"/>
      <c r="E26624" s="1"/>
      <c r="F26624" s="1"/>
      <c r="G26624" s="1"/>
    </row>
    <row r="26625">
      <c r="B26625" s="36"/>
      <c r="C26625" s="36"/>
      <c r="E26625" s="1"/>
      <c r="F26625" s="1"/>
      <c r="G26625" s="1"/>
    </row>
    <row r="26626">
      <c r="B26626" s="36"/>
      <c r="C26626" s="36"/>
      <c r="E26626" s="1"/>
      <c r="F26626" s="1"/>
      <c r="G26626" s="1"/>
    </row>
    <row r="26627">
      <c r="B26627" s="36"/>
      <c r="C26627" s="36"/>
      <c r="E26627" s="1"/>
      <c r="F26627" s="1"/>
      <c r="G26627" s="1"/>
    </row>
    <row r="26628">
      <c r="B26628" s="36"/>
      <c r="C26628" s="36"/>
      <c r="E26628" s="1"/>
      <c r="F26628" s="1"/>
      <c r="G26628" s="1"/>
    </row>
    <row r="26629">
      <c r="B26629" s="36"/>
      <c r="C26629" s="36"/>
      <c r="E26629" s="1"/>
      <c r="F26629" s="1"/>
      <c r="G26629" s="1"/>
    </row>
    <row r="26630">
      <c r="B26630" s="36"/>
      <c r="C26630" s="36"/>
      <c r="E26630" s="1"/>
      <c r="F26630" s="1"/>
      <c r="G26630" s="1"/>
    </row>
    <row r="26631">
      <c r="B26631" s="36"/>
      <c r="C26631" s="36"/>
      <c r="E26631" s="1"/>
      <c r="F26631" s="1"/>
      <c r="G26631" s="1"/>
    </row>
    <row r="26632">
      <c r="B26632" s="36"/>
      <c r="C26632" s="36"/>
      <c r="E26632" s="1"/>
      <c r="F26632" s="1"/>
      <c r="G26632" s="1"/>
    </row>
    <row r="26633">
      <c r="B26633" s="36"/>
      <c r="C26633" s="36"/>
      <c r="E26633" s="1"/>
      <c r="F26633" s="1"/>
      <c r="G26633" s="1"/>
    </row>
    <row r="26634">
      <c r="B26634" s="36"/>
      <c r="C26634" s="36"/>
      <c r="E26634" s="1"/>
      <c r="F26634" s="1"/>
      <c r="G26634" s="1"/>
    </row>
    <row r="26635">
      <c r="B26635" s="36"/>
      <c r="C26635" s="36"/>
      <c r="E26635" s="1"/>
      <c r="F26635" s="1"/>
      <c r="G26635" s="1"/>
    </row>
    <row r="26636">
      <c r="B26636" s="36"/>
      <c r="C26636" s="36"/>
      <c r="E26636" s="1"/>
      <c r="F26636" s="1"/>
      <c r="G26636" s="1"/>
    </row>
    <row r="26637">
      <c r="B26637" s="36"/>
      <c r="C26637" s="36"/>
      <c r="E26637" s="1"/>
      <c r="F26637" s="1"/>
      <c r="G26637" s="1"/>
    </row>
    <row r="26638">
      <c r="B26638" s="36"/>
      <c r="C26638" s="36"/>
      <c r="E26638" s="1"/>
      <c r="F26638" s="1"/>
      <c r="G26638" s="1"/>
    </row>
    <row r="26639">
      <c r="B26639" s="36"/>
      <c r="C26639" s="36"/>
      <c r="E26639" s="1"/>
      <c r="F26639" s="1"/>
      <c r="G26639" s="1"/>
    </row>
    <row r="26640">
      <c r="B26640" s="36"/>
      <c r="C26640" s="36"/>
      <c r="E26640" s="1"/>
      <c r="F26640" s="1"/>
      <c r="G26640" s="1"/>
    </row>
    <row r="26641">
      <c r="B26641" s="36"/>
      <c r="C26641" s="36"/>
      <c r="E26641" s="1"/>
      <c r="F26641" s="1"/>
      <c r="G26641" s="1"/>
    </row>
    <row r="26642">
      <c r="B26642" s="36"/>
      <c r="C26642" s="36"/>
      <c r="E26642" s="1"/>
      <c r="F26642" s="1"/>
      <c r="G26642" s="1"/>
    </row>
    <row r="26643">
      <c r="B26643" s="36"/>
      <c r="C26643" s="36"/>
      <c r="E26643" s="1"/>
      <c r="F26643" s="1"/>
      <c r="G26643" s="1"/>
    </row>
    <row r="26644">
      <c r="B26644" s="36"/>
      <c r="C26644" s="36"/>
      <c r="E26644" s="1"/>
      <c r="F26644" s="1"/>
      <c r="G26644" s="1"/>
    </row>
    <row r="26645">
      <c r="B26645" s="36"/>
      <c r="C26645" s="36"/>
      <c r="E26645" s="1"/>
      <c r="F26645" s="1"/>
      <c r="G26645" s="1"/>
    </row>
    <row r="26646">
      <c r="B26646" s="36"/>
      <c r="C26646" s="36"/>
      <c r="E26646" s="1"/>
      <c r="F26646" s="1"/>
      <c r="G26646" s="1"/>
    </row>
    <row r="26647">
      <c r="B26647" s="36"/>
      <c r="C26647" s="36"/>
      <c r="E26647" s="1"/>
      <c r="F26647" s="1"/>
      <c r="G26647" s="1"/>
    </row>
    <row r="26648">
      <c r="B26648" s="36"/>
      <c r="C26648" s="36"/>
      <c r="E26648" s="1"/>
      <c r="F26648" s="1"/>
      <c r="G26648" s="1"/>
    </row>
    <row r="26649">
      <c r="B26649" s="36"/>
      <c r="C26649" s="36"/>
      <c r="E26649" s="1"/>
      <c r="F26649" s="1"/>
      <c r="G26649" s="1"/>
    </row>
    <row r="26650">
      <c r="B26650" s="36"/>
      <c r="C26650" s="36"/>
      <c r="E26650" s="1"/>
      <c r="F26650" s="1"/>
      <c r="G26650" s="1"/>
    </row>
    <row r="26651">
      <c r="B26651" s="36"/>
      <c r="C26651" s="36"/>
      <c r="E26651" s="1"/>
      <c r="F26651" s="1"/>
      <c r="G26651" s="1"/>
    </row>
    <row r="26652">
      <c r="B26652" s="36"/>
      <c r="C26652" s="36"/>
      <c r="E26652" s="1"/>
      <c r="F26652" s="1"/>
      <c r="G26652" s="1"/>
    </row>
    <row r="26653">
      <c r="B26653" s="36"/>
      <c r="C26653" s="36"/>
      <c r="E26653" s="1"/>
      <c r="F26653" s="1"/>
      <c r="G26653" s="1"/>
    </row>
    <row r="26654">
      <c r="B26654" s="36"/>
      <c r="C26654" s="36"/>
      <c r="E26654" s="1"/>
      <c r="F26654" s="1"/>
      <c r="G26654" s="1"/>
    </row>
    <row r="26655">
      <c r="B26655" s="36"/>
      <c r="C26655" s="36"/>
      <c r="E26655" s="1"/>
      <c r="F26655" s="1"/>
      <c r="G26655" s="1"/>
    </row>
    <row r="26656">
      <c r="B26656" s="36"/>
      <c r="C26656" s="36"/>
      <c r="E26656" s="1"/>
      <c r="F26656" s="1"/>
      <c r="G26656" s="1"/>
    </row>
    <row r="26657">
      <c r="B26657" s="36"/>
      <c r="C26657" s="36"/>
      <c r="E26657" s="1"/>
      <c r="F26657" s="1"/>
      <c r="G26657" s="1"/>
    </row>
    <row r="26658">
      <c r="B26658" s="36"/>
      <c r="C26658" s="36"/>
      <c r="E26658" s="1"/>
      <c r="F26658" s="1"/>
      <c r="G26658" s="1"/>
    </row>
    <row r="26659">
      <c r="B26659" s="36"/>
      <c r="C26659" s="36"/>
      <c r="E26659" s="1"/>
      <c r="F26659" s="1"/>
      <c r="G26659" s="1"/>
    </row>
    <row r="26660">
      <c r="B26660" s="36"/>
      <c r="C26660" s="36"/>
      <c r="E26660" s="1"/>
      <c r="F26660" s="1"/>
      <c r="G26660" s="1"/>
    </row>
    <row r="26661">
      <c r="B26661" s="36"/>
      <c r="C26661" s="36"/>
      <c r="E26661" s="1"/>
      <c r="F26661" s="1"/>
      <c r="G26661" s="1"/>
    </row>
    <row r="26662">
      <c r="B26662" s="36"/>
      <c r="C26662" s="36"/>
      <c r="E26662" s="1"/>
      <c r="F26662" s="1"/>
      <c r="G26662" s="1"/>
    </row>
    <row r="26663">
      <c r="B26663" s="36"/>
      <c r="C26663" s="36"/>
      <c r="E26663" s="1"/>
      <c r="F26663" s="1"/>
      <c r="G26663" s="1"/>
    </row>
    <row r="26664">
      <c r="B26664" s="36"/>
      <c r="C26664" s="36"/>
      <c r="E26664" s="1"/>
      <c r="F26664" s="1"/>
      <c r="G26664" s="1"/>
    </row>
    <row r="26665">
      <c r="B26665" s="36"/>
      <c r="C26665" s="36"/>
      <c r="E26665" s="1"/>
      <c r="F26665" s="1"/>
      <c r="G26665" s="1"/>
    </row>
    <row r="26666">
      <c r="B26666" s="36"/>
      <c r="C26666" s="36"/>
      <c r="E26666" s="1"/>
      <c r="F26666" s="1"/>
      <c r="G26666" s="1"/>
    </row>
    <row r="26667">
      <c r="B26667" s="36"/>
      <c r="C26667" s="36"/>
      <c r="E26667" s="1"/>
      <c r="F26667" s="1"/>
      <c r="G26667" s="1"/>
    </row>
    <row r="26668">
      <c r="B26668" s="36"/>
      <c r="C26668" s="36"/>
      <c r="E26668" s="1"/>
      <c r="F26668" s="1"/>
      <c r="G26668" s="1"/>
    </row>
    <row r="26669">
      <c r="B26669" s="36"/>
      <c r="C26669" s="36"/>
      <c r="E26669" s="1"/>
      <c r="F26669" s="1"/>
      <c r="G26669" s="1"/>
    </row>
    <row r="26670">
      <c r="B26670" s="36"/>
      <c r="C26670" s="36"/>
      <c r="E26670" s="1"/>
      <c r="F26670" s="1"/>
      <c r="G26670" s="1"/>
    </row>
    <row r="26671">
      <c r="B26671" s="36"/>
      <c r="C26671" s="36"/>
      <c r="E26671" s="1"/>
      <c r="F26671" s="1"/>
      <c r="G26671" s="1"/>
    </row>
    <row r="26672">
      <c r="B26672" s="36"/>
      <c r="C26672" s="36"/>
      <c r="E26672" s="1"/>
      <c r="F26672" s="1"/>
      <c r="G26672" s="1"/>
    </row>
    <row r="26673">
      <c r="B26673" s="36"/>
      <c r="C26673" s="36"/>
      <c r="E26673" s="1"/>
      <c r="F26673" s="1"/>
      <c r="G26673" s="1"/>
    </row>
    <row r="26674">
      <c r="B26674" s="36"/>
      <c r="C26674" s="36"/>
      <c r="E26674" s="1"/>
      <c r="F26674" s="1"/>
      <c r="G26674" s="1"/>
    </row>
    <row r="26675">
      <c r="B26675" s="36"/>
      <c r="C26675" s="36"/>
      <c r="E26675" s="1"/>
      <c r="F26675" s="1"/>
      <c r="G26675" s="1"/>
    </row>
    <row r="26676">
      <c r="B26676" s="36"/>
      <c r="C26676" s="36"/>
      <c r="E26676" s="1"/>
      <c r="F26676" s="1"/>
      <c r="G26676" s="1"/>
    </row>
    <row r="26677">
      <c r="B26677" s="36"/>
      <c r="C26677" s="36"/>
      <c r="E26677" s="1"/>
      <c r="F26677" s="1"/>
      <c r="G26677" s="1"/>
    </row>
    <row r="26678">
      <c r="B26678" s="36"/>
      <c r="C26678" s="36"/>
      <c r="E26678" s="1"/>
      <c r="F26678" s="1"/>
      <c r="G26678" s="1"/>
    </row>
    <row r="26679">
      <c r="B26679" s="36"/>
      <c r="C26679" s="36"/>
      <c r="E26679" s="1"/>
      <c r="F26679" s="1"/>
      <c r="G26679" s="1"/>
    </row>
    <row r="26680">
      <c r="B26680" s="36"/>
      <c r="C26680" s="36"/>
      <c r="E26680" s="1"/>
      <c r="F26680" s="1"/>
      <c r="G26680" s="1"/>
    </row>
    <row r="26681">
      <c r="B26681" s="36"/>
      <c r="C26681" s="36"/>
      <c r="E26681" s="1"/>
      <c r="F26681" s="1"/>
      <c r="G26681" s="1"/>
    </row>
    <row r="26682">
      <c r="B26682" s="36"/>
      <c r="C26682" s="36"/>
      <c r="E26682" s="1"/>
      <c r="F26682" s="1"/>
      <c r="G26682" s="1"/>
    </row>
    <row r="26683">
      <c r="B26683" s="36"/>
      <c r="C26683" s="36"/>
      <c r="E26683" s="1"/>
      <c r="F26683" s="1"/>
      <c r="G26683" s="1"/>
    </row>
    <row r="26684">
      <c r="B26684" s="36"/>
      <c r="C26684" s="36"/>
      <c r="E26684" s="1"/>
      <c r="F26684" s="1"/>
      <c r="G26684" s="1"/>
    </row>
    <row r="26685">
      <c r="B26685" s="36"/>
      <c r="C26685" s="36"/>
      <c r="E26685" s="1"/>
      <c r="F26685" s="1"/>
      <c r="G26685" s="1"/>
    </row>
    <row r="26686">
      <c r="B26686" s="36"/>
      <c r="C26686" s="36"/>
      <c r="E26686" s="1"/>
      <c r="F26686" s="1"/>
      <c r="G26686" s="1"/>
    </row>
    <row r="26687">
      <c r="B26687" s="36"/>
      <c r="C26687" s="36"/>
      <c r="E26687" s="1"/>
      <c r="F26687" s="1"/>
      <c r="G26687" s="1"/>
    </row>
    <row r="26688">
      <c r="B26688" s="36"/>
      <c r="C26688" s="36"/>
      <c r="E26688" s="1"/>
      <c r="F26688" s="1"/>
      <c r="G26688" s="1"/>
    </row>
    <row r="26689">
      <c r="B26689" s="36"/>
      <c r="C26689" s="36"/>
      <c r="E26689" s="1"/>
      <c r="F26689" s="1"/>
      <c r="G26689" s="1"/>
    </row>
    <row r="26690">
      <c r="B26690" s="36"/>
      <c r="C26690" s="36"/>
      <c r="E26690" s="1"/>
      <c r="F26690" s="1"/>
      <c r="G26690" s="1"/>
    </row>
    <row r="26691">
      <c r="B26691" s="36"/>
      <c r="C26691" s="36"/>
      <c r="E26691" s="1"/>
      <c r="F26691" s="1"/>
      <c r="G26691" s="1"/>
    </row>
    <row r="26692">
      <c r="B26692" s="36"/>
      <c r="C26692" s="36"/>
      <c r="E26692" s="1"/>
      <c r="F26692" s="1"/>
      <c r="G26692" s="1"/>
    </row>
    <row r="26693">
      <c r="B26693" s="36"/>
      <c r="C26693" s="36"/>
      <c r="E26693" s="1"/>
      <c r="F26693" s="1"/>
      <c r="G26693" s="1"/>
    </row>
    <row r="26694">
      <c r="B26694" s="36"/>
      <c r="C26694" s="36"/>
      <c r="E26694" s="1"/>
      <c r="F26694" s="1"/>
      <c r="G26694" s="1"/>
    </row>
    <row r="26695">
      <c r="B26695" s="36"/>
      <c r="C26695" s="36"/>
      <c r="E26695" s="1"/>
      <c r="F26695" s="1"/>
      <c r="G26695" s="1"/>
    </row>
    <row r="26696">
      <c r="B26696" s="36"/>
      <c r="C26696" s="36"/>
      <c r="E26696" s="1"/>
      <c r="F26696" s="1"/>
      <c r="G26696" s="1"/>
    </row>
    <row r="26697">
      <c r="B26697" s="36"/>
      <c r="C26697" s="36"/>
      <c r="E26697" s="1"/>
      <c r="F26697" s="1"/>
      <c r="G26697" s="1"/>
    </row>
    <row r="26698">
      <c r="B26698" s="36"/>
      <c r="C26698" s="36"/>
      <c r="E26698" s="1"/>
      <c r="F26698" s="1"/>
      <c r="G26698" s="1"/>
    </row>
    <row r="26699">
      <c r="B26699" s="36"/>
      <c r="C26699" s="36"/>
      <c r="E26699" s="1"/>
      <c r="F26699" s="1"/>
      <c r="G26699" s="1"/>
    </row>
    <row r="26700">
      <c r="B26700" s="36"/>
      <c r="C26700" s="36"/>
      <c r="E26700" s="1"/>
      <c r="F26700" s="1"/>
      <c r="G26700" s="1"/>
    </row>
    <row r="26701">
      <c r="B26701" s="36"/>
      <c r="C26701" s="36"/>
      <c r="E26701" s="1"/>
      <c r="F26701" s="1"/>
      <c r="G26701" s="1"/>
    </row>
    <row r="26702">
      <c r="B26702" s="36"/>
      <c r="C26702" s="36"/>
      <c r="E26702" s="1"/>
      <c r="F26702" s="1"/>
      <c r="G26702" s="1"/>
    </row>
    <row r="26703">
      <c r="B26703" s="36"/>
      <c r="C26703" s="36"/>
      <c r="E26703" s="1"/>
      <c r="F26703" s="1"/>
      <c r="G26703" s="1"/>
    </row>
    <row r="26704">
      <c r="B26704" s="36"/>
      <c r="C26704" s="36"/>
      <c r="E26704" s="1"/>
      <c r="F26704" s="1"/>
      <c r="G26704" s="1"/>
    </row>
    <row r="26705">
      <c r="B26705" s="36"/>
      <c r="C26705" s="36"/>
      <c r="E26705" s="1"/>
      <c r="F26705" s="1"/>
      <c r="G26705" s="1"/>
    </row>
    <row r="26706">
      <c r="B26706" s="36"/>
      <c r="C26706" s="36"/>
      <c r="E26706" s="1"/>
      <c r="F26706" s="1"/>
      <c r="G26706" s="1"/>
    </row>
    <row r="26707">
      <c r="B26707" s="36"/>
      <c r="C26707" s="36"/>
      <c r="E26707" s="1"/>
      <c r="F26707" s="1"/>
      <c r="G26707" s="1"/>
    </row>
    <row r="26708">
      <c r="B26708" s="36"/>
      <c r="C26708" s="36"/>
      <c r="E26708" s="1"/>
      <c r="F26708" s="1"/>
      <c r="G26708" s="1"/>
    </row>
    <row r="26709">
      <c r="B26709" s="36"/>
      <c r="C26709" s="36"/>
      <c r="E26709" s="1"/>
      <c r="F26709" s="1"/>
      <c r="G26709" s="1"/>
    </row>
    <row r="26710">
      <c r="B26710" s="36"/>
      <c r="C26710" s="36"/>
      <c r="E26710" s="1"/>
      <c r="F26710" s="1"/>
      <c r="G26710" s="1"/>
    </row>
    <row r="26711">
      <c r="B26711" s="36"/>
      <c r="C26711" s="36"/>
      <c r="E26711" s="1"/>
      <c r="F26711" s="1"/>
      <c r="G26711" s="1"/>
    </row>
    <row r="26712">
      <c r="B26712" s="36"/>
      <c r="C26712" s="36"/>
      <c r="E26712" s="1"/>
      <c r="F26712" s="1"/>
      <c r="G26712" s="1"/>
    </row>
    <row r="26713">
      <c r="B26713" s="36"/>
      <c r="C26713" s="36"/>
      <c r="E26713" s="1"/>
      <c r="F26713" s="1"/>
      <c r="G26713" s="1"/>
    </row>
    <row r="26714">
      <c r="B26714" s="36"/>
      <c r="C26714" s="36"/>
      <c r="E26714" s="1"/>
      <c r="F26714" s="1"/>
      <c r="G26714" s="1"/>
    </row>
    <row r="26715">
      <c r="B26715" s="36"/>
      <c r="C26715" s="36"/>
      <c r="E26715" s="1"/>
      <c r="F26715" s="1"/>
      <c r="G26715" s="1"/>
    </row>
    <row r="26716">
      <c r="B26716" s="36"/>
      <c r="C26716" s="36"/>
      <c r="E26716" s="1"/>
      <c r="F26716" s="1"/>
      <c r="G26716" s="1"/>
    </row>
    <row r="26717">
      <c r="B26717" s="36"/>
      <c r="C26717" s="36"/>
      <c r="E26717" s="1"/>
      <c r="F26717" s="1"/>
      <c r="G26717" s="1"/>
    </row>
    <row r="26718">
      <c r="B26718" s="36"/>
      <c r="C26718" s="36"/>
      <c r="E26718" s="1"/>
      <c r="F26718" s="1"/>
      <c r="G26718" s="1"/>
    </row>
    <row r="26719">
      <c r="B26719" s="36"/>
      <c r="C26719" s="36"/>
      <c r="E26719" s="1"/>
      <c r="F26719" s="1"/>
      <c r="G26719" s="1"/>
    </row>
    <row r="26720">
      <c r="B26720" s="36"/>
      <c r="C26720" s="36"/>
      <c r="E26720" s="1"/>
      <c r="F26720" s="1"/>
      <c r="G26720" s="1"/>
    </row>
    <row r="26721">
      <c r="B26721" s="36"/>
      <c r="C26721" s="36"/>
      <c r="E26721" s="1"/>
      <c r="F26721" s="1"/>
      <c r="G26721" s="1"/>
    </row>
    <row r="26722">
      <c r="B26722" s="36"/>
      <c r="C26722" s="36"/>
      <c r="E26722" s="1"/>
      <c r="F26722" s="1"/>
      <c r="G26722" s="1"/>
    </row>
    <row r="26723">
      <c r="B26723" s="36"/>
      <c r="C26723" s="36"/>
      <c r="E26723" s="1"/>
      <c r="F26723" s="1"/>
      <c r="G26723" s="1"/>
    </row>
    <row r="26724">
      <c r="B26724" s="36"/>
      <c r="C26724" s="36"/>
      <c r="E26724" s="1"/>
      <c r="F26724" s="1"/>
      <c r="G26724" s="1"/>
    </row>
    <row r="26725">
      <c r="B26725" s="36"/>
      <c r="C26725" s="36"/>
      <c r="E26725" s="1"/>
      <c r="F26725" s="1"/>
      <c r="G26725" s="1"/>
    </row>
    <row r="26726">
      <c r="B26726" s="36"/>
      <c r="C26726" s="36"/>
      <c r="E26726" s="1"/>
      <c r="F26726" s="1"/>
      <c r="G26726" s="1"/>
    </row>
    <row r="26727">
      <c r="B26727" s="36"/>
      <c r="C26727" s="36"/>
      <c r="E26727" s="1"/>
      <c r="F26727" s="1"/>
      <c r="G26727" s="1"/>
    </row>
    <row r="26728">
      <c r="B26728" s="36"/>
      <c r="C26728" s="36"/>
      <c r="E26728" s="1"/>
      <c r="F26728" s="1"/>
      <c r="G26728" s="1"/>
    </row>
    <row r="26729">
      <c r="B26729" s="36"/>
      <c r="C26729" s="36"/>
      <c r="E26729" s="1"/>
      <c r="F26729" s="1"/>
      <c r="G26729" s="1"/>
    </row>
    <row r="26730">
      <c r="B26730" s="36"/>
      <c r="C26730" s="36"/>
      <c r="E26730" s="1"/>
      <c r="F26730" s="1"/>
      <c r="G26730" s="1"/>
    </row>
    <row r="26731">
      <c r="B26731" s="36"/>
      <c r="C26731" s="36"/>
      <c r="E26731" s="1"/>
      <c r="F26731" s="1"/>
      <c r="G26731" s="1"/>
    </row>
    <row r="26732">
      <c r="B26732" s="36"/>
      <c r="C26732" s="36"/>
      <c r="E26732" s="1"/>
      <c r="F26732" s="1"/>
      <c r="G26732" s="1"/>
    </row>
    <row r="26733">
      <c r="B26733" s="36"/>
      <c r="C26733" s="36"/>
      <c r="E26733" s="1"/>
      <c r="F26733" s="1"/>
      <c r="G26733" s="1"/>
    </row>
    <row r="26734">
      <c r="B26734" s="36"/>
      <c r="C26734" s="36"/>
      <c r="E26734" s="1"/>
      <c r="F26734" s="1"/>
      <c r="G26734" s="1"/>
    </row>
    <row r="26735">
      <c r="B26735" s="36"/>
      <c r="C26735" s="36"/>
      <c r="E26735" s="1"/>
      <c r="F26735" s="1"/>
      <c r="G26735" s="1"/>
    </row>
    <row r="26736">
      <c r="B26736" s="36"/>
      <c r="C26736" s="36"/>
      <c r="E26736" s="1"/>
      <c r="F26736" s="1"/>
      <c r="G26736" s="1"/>
    </row>
    <row r="26737">
      <c r="B26737" s="36"/>
      <c r="C26737" s="36"/>
      <c r="E26737" s="1"/>
      <c r="F26737" s="1"/>
      <c r="G26737" s="1"/>
    </row>
    <row r="26738">
      <c r="B26738" s="36"/>
      <c r="C26738" s="36"/>
      <c r="E26738" s="1"/>
      <c r="F26738" s="1"/>
      <c r="G26738" s="1"/>
    </row>
    <row r="26739">
      <c r="B26739" s="36"/>
      <c r="C26739" s="36"/>
      <c r="E26739" s="1"/>
      <c r="F26739" s="1"/>
      <c r="G26739" s="1"/>
    </row>
    <row r="26740">
      <c r="B26740" s="36"/>
      <c r="C26740" s="36"/>
      <c r="E26740" s="1"/>
      <c r="F26740" s="1"/>
      <c r="G26740" s="1"/>
    </row>
    <row r="26741">
      <c r="B26741" s="36"/>
      <c r="C26741" s="36"/>
      <c r="E26741" s="1"/>
      <c r="F26741" s="1"/>
      <c r="G26741" s="1"/>
    </row>
    <row r="26742">
      <c r="B26742" s="36"/>
      <c r="C26742" s="36"/>
      <c r="E26742" s="1"/>
      <c r="F26742" s="1"/>
      <c r="G26742" s="1"/>
    </row>
    <row r="26743">
      <c r="B26743" s="36"/>
      <c r="C26743" s="36"/>
      <c r="E26743" s="1"/>
      <c r="F26743" s="1"/>
      <c r="G26743" s="1"/>
    </row>
    <row r="26744">
      <c r="B26744" s="36"/>
      <c r="C26744" s="36"/>
      <c r="E26744" s="1"/>
      <c r="F26744" s="1"/>
      <c r="G26744" s="1"/>
    </row>
    <row r="26745">
      <c r="B26745" s="36"/>
      <c r="C26745" s="36"/>
      <c r="E26745" s="1"/>
      <c r="F26745" s="1"/>
      <c r="G26745" s="1"/>
    </row>
    <row r="26746">
      <c r="B26746" s="36"/>
      <c r="C26746" s="36"/>
      <c r="E26746" s="1"/>
      <c r="F26746" s="1"/>
      <c r="G26746" s="1"/>
    </row>
    <row r="26747">
      <c r="B26747" s="36"/>
      <c r="C26747" s="36"/>
      <c r="E26747" s="1"/>
      <c r="F26747" s="1"/>
      <c r="G26747" s="1"/>
    </row>
    <row r="26748">
      <c r="B26748" s="36"/>
      <c r="C26748" s="36"/>
      <c r="E26748" s="1"/>
      <c r="F26748" s="1"/>
      <c r="G26748" s="1"/>
    </row>
    <row r="26749">
      <c r="B26749" s="36"/>
      <c r="C26749" s="36"/>
      <c r="E26749" s="1"/>
      <c r="F26749" s="1"/>
      <c r="G26749" s="1"/>
    </row>
    <row r="26750">
      <c r="B26750" s="36"/>
      <c r="C26750" s="36"/>
      <c r="E26750" s="1"/>
      <c r="F26750" s="1"/>
      <c r="G26750" s="1"/>
    </row>
    <row r="26751">
      <c r="B26751" s="36"/>
      <c r="C26751" s="36"/>
      <c r="E26751" s="1"/>
      <c r="F26751" s="1"/>
      <c r="G26751" s="1"/>
    </row>
    <row r="26752">
      <c r="B26752" s="36"/>
      <c r="C26752" s="36"/>
      <c r="E26752" s="1"/>
      <c r="F26752" s="1"/>
      <c r="G26752" s="1"/>
    </row>
    <row r="26753">
      <c r="B26753" s="36"/>
      <c r="C26753" s="36"/>
      <c r="E26753" s="1"/>
      <c r="F26753" s="1"/>
      <c r="G26753" s="1"/>
    </row>
    <row r="26754">
      <c r="B26754" s="36"/>
      <c r="C26754" s="36"/>
      <c r="E26754" s="1"/>
      <c r="F26754" s="1"/>
      <c r="G26754" s="1"/>
    </row>
    <row r="26755">
      <c r="B26755" s="36"/>
      <c r="C26755" s="36"/>
      <c r="E26755" s="1"/>
      <c r="F26755" s="1"/>
      <c r="G26755" s="1"/>
    </row>
    <row r="26756">
      <c r="B26756" s="36"/>
      <c r="C26756" s="36"/>
      <c r="E26756" s="1"/>
      <c r="F26756" s="1"/>
      <c r="G26756" s="1"/>
    </row>
    <row r="26757">
      <c r="B26757" s="36"/>
      <c r="C26757" s="36"/>
      <c r="E26757" s="1"/>
      <c r="F26757" s="1"/>
      <c r="G26757" s="1"/>
    </row>
    <row r="26758">
      <c r="B26758" s="36"/>
      <c r="C26758" s="36"/>
      <c r="E26758" s="1"/>
      <c r="F26758" s="1"/>
      <c r="G26758" s="1"/>
    </row>
    <row r="26759">
      <c r="B26759" s="36"/>
      <c r="C26759" s="36"/>
      <c r="E26759" s="1"/>
      <c r="F26759" s="1"/>
      <c r="G26759" s="1"/>
    </row>
    <row r="26760">
      <c r="B26760" s="36"/>
      <c r="C26760" s="36"/>
      <c r="E26760" s="1"/>
      <c r="F26760" s="1"/>
      <c r="G26760" s="1"/>
    </row>
    <row r="26761">
      <c r="B26761" s="36"/>
      <c r="C26761" s="36"/>
      <c r="E26761" s="1"/>
      <c r="F26761" s="1"/>
      <c r="G26761" s="1"/>
    </row>
    <row r="26762">
      <c r="B26762" s="36"/>
      <c r="C26762" s="36"/>
      <c r="E26762" s="1"/>
      <c r="F26762" s="1"/>
      <c r="G26762" s="1"/>
    </row>
    <row r="26763">
      <c r="B26763" s="36"/>
      <c r="C26763" s="36"/>
      <c r="E26763" s="1"/>
      <c r="F26763" s="1"/>
      <c r="G26763" s="1"/>
    </row>
    <row r="26764">
      <c r="B26764" s="36"/>
      <c r="C26764" s="36"/>
      <c r="E26764" s="1"/>
      <c r="F26764" s="1"/>
      <c r="G26764" s="1"/>
    </row>
    <row r="26765">
      <c r="B26765" s="36"/>
      <c r="C26765" s="36"/>
      <c r="E26765" s="1"/>
      <c r="F26765" s="1"/>
      <c r="G26765" s="1"/>
    </row>
    <row r="26766">
      <c r="B26766" s="36"/>
      <c r="C26766" s="36"/>
      <c r="E26766" s="1"/>
      <c r="F26766" s="1"/>
      <c r="G26766" s="1"/>
    </row>
    <row r="26767">
      <c r="B26767" s="36"/>
      <c r="C26767" s="36"/>
      <c r="E26767" s="1"/>
      <c r="F26767" s="1"/>
      <c r="G26767" s="1"/>
    </row>
    <row r="26768">
      <c r="B26768" s="36"/>
      <c r="C26768" s="36"/>
      <c r="E26768" s="1"/>
      <c r="F26768" s="1"/>
      <c r="G26768" s="1"/>
    </row>
    <row r="26769">
      <c r="B26769" s="36"/>
      <c r="C26769" s="36"/>
      <c r="E26769" s="1"/>
      <c r="F26769" s="1"/>
      <c r="G26769" s="1"/>
    </row>
    <row r="26770">
      <c r="B26770" s="36"/>
      <c r="C26770" s="36"/>
      <c r="E26770" s="1"/>
      <c r="F26770" s="1"/>
      <c r="G26770" s="1"/>
    </row>
    <row r="26771">
      <c r="B26771" s="36"/>
      <c r="C26771" s="36"/>
      <c r="E26771" s="1"/>
      <c r="F26771" s="1"/>
      <c r="G26771" s="1"/>
    </row>
    <row r="26772">
      <c r="B26772" s="36"/>
      <c r="C26772" s="36"/>
      <c r="E26772" s="1"/>
      <c r="F26772" s="1"/>
      <c r="G26772" s="1"/>
    </row>
    <row r="26773">
      <c r="B26773" s="36"/>
      <c r="C26773" s="36"/>
      <c r="E26773" s="1"/>
      <c r="F26773" s="1"/>
      <c r="G26773" s="1"/>
    </row>
    <row r="26774">
      <c r="B26774" s="36"/>
      <c r="C26774" s="36"/>
      <c r="E26774" s="1"/>
      <c r="F26774" s="1"/>
      <c r="G26774" s="1"/>
    </row>
    <row r="26775">
      <c r="B26775" s="36"/>
      <c r="C26775" s="36"/>
      <c r="E26775" s="1"/>
      <c r="F26775" s="1"/>
      <c r="G26775" s="1"/>
    </row>
    <row r="26776">
      <c r="B26776" s="36"/>
      <c r="C26776" s="36"/>
      <c r="E26776" s="1"/>
      <c r="F26776" s="1"/>
      <c r="G26776" s="1"/>
    </row>
    <row r="26777">
      <c r="B26777" s="36"/>
      <c r="C26777" s="36"/>
      <c r="E26777" s="1"/>
      <c r="F26777" s="1"/>
      <c r="G26777" s="1"/>
    </row>
    <row r="26778">
      <c r="B26778" s="36"/>
      <c r="C26778" s="36"/>
      <c r="E26778" s="1"/>
      <c r="F26778" s="1"/>
      <c r="G26778" s="1"/>
    </row>
    <row r="26779">
      <c r="B26779" s="36"/>
      <c r="C26779" s="36"/>
      <c r="E26779" s="1"/>
      <c r="F26779" s="1"/>
      <c r="G26779" s="1"/>
    </row>
    <row r="26780">
      <c r="B26780" s="36"/>
      <c r="C26780" s="36"/>
      <c r="E26780" s="1"/>
      <c r="F26780" s="1"/>
      <c r="G26780" s="1"/>
    </row>
    <row r="26781">
      <c r="B26781" s="36"/>
      <c r="C26781" s="36"/>
      <c r="E26781" s="1"/>
      <c r="F26781" s="1"/>
      <c r="G26781" s="1"/>
    </row>
    <row r="26782">
      <c r="B26782" s="36"/>
      <c r="C26782" s="36"/>
      <c r="E26782" s="1"/>
      <c r="F26782" s="1"/>
      <c r="G26782" s="1"/>
    </row>
    <row r="26783">
      <c r="B26783" s="36"/>
      <c r="C26783" s="36"/>
      <c r="E26783" s="1"/>
      <c r="F26783" s="1"/>
      <c r="G26783" s="1"/>
    </row>
    <row r="26784">
      <c r="B26784" s="36"/>
      <c r="C26784" s="36"/>
      <c r="E26784" s="1"/>
      <c r="F26784" s="1"/>
      <c r="G26784" s="1"/>
    </row>
    <row r="26785">
      <c r="B26785" s="36"/>
      <c r="C26785" s="36"/>
      <c r="E26785" s="1"/>
      <c r="F26785" s="1"/>
      <c r="G26785" s="1"/>
    </row>
    <row r="26786">
      <c r="B26786" s="36"/>
      <c r="C26786" s="36"/>
      <c r="E26786" s="1"/>
      <c r="F26786" s="1"/>
      <c r="G26786" s="1"/>
    </row>
    <row r="26787">
      <c r="B26787" s="36"/>
      <c r="C26787" s="36"/>
      <c r="E26787" s="1"/>
      <c r="F26787" s="1"/>
      <c r="G26787" s="1"/>
    </row>
    <row r="26788">
      <c r="B26788" s="36"/>
      <c r="C26788" s="36"/>
      <c r="E26788" s="1"/>
      <c r="F26788" s="1"/>
      <c r="G26788" s="1"/>
    </row>
    <row r="26789">
      <c r="B26789" s="36"/>
      <c r="C26789" s="36"/>
      <c r="E26789" s="1"/>
      <c r="F26789" s="1"/>
      <c r="G26789" s="1"/>
    </row>
    <row r="26790">
      <c r="B26790" s="36"/>
      <c r="C26790" s="36"/>
      <c r="E26790" s="1"/>
      <c r="F26790" s="1"/>
      <c r="G26790" s="1"/>
    </row>
    <row r="26791">
      <c r="B26791" s="36"/>
      <c r="C26791" s="36"/>
      <c r="E26791" s="1"/>
      <c r="F26791" s="1"/>
      <c r="G26791" s="1"/>
    </row>
    <row r="26792">
      <c r="B26792" s="36"/>
      <c r="C26792" s="36"/>
      <c r="E26792" s="1"/>
      <c r="F26792" s="1"/>
      <c r="G26792" s="1"/>
    </row>
    <row r="26793">
      <c r="B26793" s="36"/>
      <c r="C26793" s="36"/>
      <c r="E26793" s="1"/>
      <c r="F26793" s="1"/>
      <c r="G26793" s="1"/>
    </row>
    <row r="26794">
      <c r="B26794" s="36"/>
      <c r="C26794" s="36"/>
      <c r="E26794" s="1"/>
      <c r="F26794" s="1"/>
      <c r="G26794" s="1"/>
    </row>
    <row r="26795">
      <c r="B26795" s="36"/>
      <c r="C26795" s="36"/>
      <c r="E26795" s="1"/>
      <c r="F26795" s="1"/>
      <c r="G26795" s="1"/>
    </row>
    <row r="26796">
      <c r="B26796" s="36"/>
      <c r="C26796" s="36"/>
      <c r="E26796" s="1"/>
      <c r="F26796" s="1"/>
      <c r="G26796" s="1"/>
    </row>
    <row r="26797">
      <c r="B26797" s="36"/>
      <c r="C26797" s="36"/>
      <c r="E26797" s="1"/>
      <c r="F26797" s="1"/>
      <c r="G26797" s="1"/>
    </row>
    <row r="26798">
      <c r="B26798" s="36"/>
      <c r="C26798" s="36"/>
      <c r="E26798" s="1"/>
      <c r="F26798" s="1"/>
      <c r="G26798" s="1"/>
    </row>
    <row r="26799">
      <c r="B26799" s="36"/>
      <c r="C26799" s="36"/>
      <c r="E26799" s="1"/>
      <c r="F26799" s="1"/>
      <c r="G26799" s="1"/>
    </row>
    <row r="26800">
      <c r="B26800" s="36"/>
      <c r="C26800" s="36"/>
      <c r="E26800" s="1"/>
      <c r="F26800" s="1"/>
      <c r="G26800" s="1"/>
    </row>
    <row r="26801">
      <c r="B26801" s="36"/>
      <c r="C26801" s="36"/>
      <c r="E26801" s="1"/>
      <c r="F26801" s="1"/>
      <c r="G26801" s="1"/>
    </row>
    <row r="26802">
      <c r="B26802" s="36"/>
      <c r="C26802" s="36"/>
      <c r="E26802" s="1"/>
      <c r="F26802" s="1"/>
      <c r="G26802" s="1"/>
    </row>
    <row r="26803">
      <c r="B26803" s="36"/>
      <c r="C26803" s="36"/>
      <c r="E26803" s="1"/>
      <c r="F26803" s="1"/>
      <c r="G26803" s="1"/>
    </row>
    <row r="26804">
      <c r="B26804" s="36"/>
      <c r="C26804" s="36"/>
      <c r="E26804" s="1"/>
      <c r="F26804" s="1"/>
      <c r="G26804" s="1"/>
    </row>
    <row r="26805">
      <c r="B26805" s="36"/>
      <c r="C26805" s="36"/>
      <c r="E26805" s="1"/>
      <c r="F26805" s="1"/>
      <c r="G26805" s="1"/>
    </row>
    <row r="26806">
      <c r="B26806" s="36"/>
      <c r="C26806" s="36"/>
      <c r="E26806" s="1"/>
      <c r="F26806" s="1"/>
      <c r="G26806" s="1"/>
    </row>
    <row r="26807">
      <c r="B26807" s="36"/>
      <c r="C26807" s="36"/>
      <c r="E26807" s="1"/>
      <c r="F26807" s="1"/>
      <c r="G26807" s="1"/>
    </row>
    <row r="26808">
      <c r="B26808" s="36"/>
      <c r="C26808" s="36"/>
      <c r="E26808" s="1"/>
      <c r="F26808" s="1"/>
      <c r="G26808" s="1"/>
    </row>
    <row r="26809">
      <c r="B26809" s="36"/>
      <c r="C26809" s="36"/>
      <c r="E26809" s="1"/>
      <c r="F26809" s="1"/>
      <c r="G26809" s="1"/>
    </row>
    <row r="26810">
      <c r="B26810" s="36"/>
      <c r="C26810" s="36"/>
      <c r="E26810" s="1"/>
      <c r="F26810" s="1"/>
      <c r="G26810" s="1"/>
    </row>
    <row r="26811">
      <c r="B26811" s="36"/>
      <c r="C26811" s="36"/>
      <c r="E26811" s="1"/>
      <c r="F26811" s="1"/>
      <c r="G26811" s="1"/>
    </row>
    <row r="26812">
      <c r="B26812" s="36"/>
      <c r="C26812" s="36"/>
      <c r="E26812" s="1"/>
      <c r="F26812" s="1"/>
      <c r="G26812" s="1"/>
    </row>
    <row r="26813">
      <c r="B26813" s="36"/>
      <c r="C26813" s="36"/>
      <c r="E26813" s="1"/>
      <c r="F26813" s="1"/>
      <c r="G26813" s="1"/>
    </row>
    <row r="26814">
      <c r="B26814" s="36"/>
      <c r="C26814" s="36"/>
      <c r="E26814" s="1"/>
      <c r="F26814" s="1"/>
      <c r="G26814" s="1"/>
    </row>
    <row r="26815">
      <c r="B26815" s="36"/>
      <c r="C26815" s="36"/>
      <c r="E26815" s="1"/>
      <c r="F26815" s="1"/>
      <c r="G26815" s="1"/>
    </row>
    <row r="26816">
      <c r="B26816" s="36"/>
      <c r="C26816" s="36"/>
      <c r="E26816" s="1"/>
      <c r="F26816" s="1"/>
      <c r="G26816" s="1"/>
    </row>
    <row r="26817">
      <c r="B26817" s="36"/>
      <c r="C26817" s="36"/>
      <c r="E26817" s="1"/>
      <c r="F26817" s="1"/>
      <c r="G26817" s="1"/>
    </row>
    <row r="26818">
      <c r="B26818" s="36"/>
      <c r="C26818" s="36"/>
      <c r="E26818" s="1"/>
      <c r="F26818" s="1"/>
      <c r="G26818" s="1"/>
    </row>
    <row r="26819">
      <c r="B26819" s="36"/>
      <c r="C26819" s="36"/>
      <c r="E26819" s="1"/>
      <c r="F26819" s="1"/>
      <c r="G26819" s="1"/>
    </row>
    <row r="26820">
      <c r="B26820" s="36"/>
      <c r="C26820" s="36"/>
      <c r="E26820" s="1"/>
      <c r="F26820" s="1"/>
      <c r="G26820" s="1"/>
    </row>
    <row r="26821">
      <c r="B26821" s="36"/>
      <c r="C26821" s="36"/>
      <c r="E26821" s="1"/>
      <c r="F26821" s="1"/>
      <c r="G26821" s="1"/>
    </row>
    <row r="26822">
      <c r="B26822" s="36"/>
      <c r="C26822" s="36"/>
      <c r="E26822" s="1"/>
      <c r="F26822" s="1"/>
      <c r="G26822" s="1"/>
    </row>
    <row r="26823">
      <c r="B26823" s="36"/>
      <c r="C26823" s="36"/>
      <c r="E26823" s="1"/>
      <c r="F26823" s="1"/>
      <c r="G26823" s="1"/>
    </row>
    <row r="26824">
      <c r="B26824" s="36"/>
      <c r="C26824" s="36"/>
      <c r="E26824" s="1"/>
      <c r="F26824" s="1"/>
      <c r="G26824" s="1"/>
    </row>
    <row r="26825">
      <c r="B26825" s="36"/>
      <c r="C26825" s="36"/>
      <c r="E26825" s="1"/>
      <c r="F26825" s="1"/>
      <c r="G26825" s="1"/>
    </row>
    <row r="26826">
      <c r="B26826" s="36"/>
      <c r="C26826" s="36"/>
      <c r="E26826" s="1"/>
      <c r="F26826" s="1"/>
      <c r="G26826" s="1"/>
    </row>
    <row r="26827">
      <c r="B26827" s="36"/>
      <c r="C26827" s="36"/>
      <c r="E26827" s="1"/>
      <c r="F26827" s="1"/>
      <c r="G26827" s="1"/>
    </row>
    <row r="26828">
      <c r="B26828" s="36"/>
      <c r="C26828" s="36"/>
      <c r="E26828" s="1"/>
      <c r="F26828" s="1"/>
      <c r="G26828" s="1"/>
    </row>
    <row r="26829">
      <c r="B26829" s="36"/>
      <c r="C26829" s="36"/>
      <c r="E26829" s="1"/>
      <c r="F26829" s="1"/>
      <c r="G26829" s="1"/>
    </row>
    <row r="26830">
      <c r="B26830" s="36"/>
      <c r="C26830" s="36"/>
      <c r="E26830" s="1"/>
      <c r="F26830" s="1"/>
      <c r="G26830" s="1"/>
    </row>
    <row r="26831">
      <c r="B26831" s="36"/>
      <c r="C26831" s="36"/>
      <c r="E26831" s="1"/>
      <c r="F26831" s="1"/>
      <c r="G26831" s="1"/>
    </row>
    <row r="26832">
      <c r="B26832" s="36"/>
      <c r="C26832" s="36"/>
      <c r="E26832" s="1"/>
      <c r="F26832" s="1"/>
      <c r="G26832" s="1"/>
    </row>
    <row r="26833">
      <c r="B26833" s="36"/>
      <c r="C26833" s="36"/>
      <c r="E26833" s="1"/>
      <c r="F26833" s="1"/>
      <c r="G26833" s="1"/>
    </row>
    <row r="26834">
      <c r="B26834" s="36"/>
      <c r="C26834" s="36"/>
      <c r="E26834" s="1"/>
      <c r="F26834" s="1"/>
      <c r="G26834" s="1"/>
    </row>
    <row r="26835">
      <c r="B26835" s="36"/>
      <c r="C26835" s="36"/>
      <c r="E26835" s="1"/>
      <c r="F26835" s="1"/>
      <c r="G26835" s="1"/>
    </row>
    <row r="26836">
      <c r="B26836" s="36"/>
      <c r="C26836" s="36"/>
      <c r="E26836" s="1"/>
      <c r="F26836" s="1"/>
      <c r="G26836" s="1"/>
    </row>
    <row r="26837">
      <c r="B26837" s="36"/>
      <c r="C26837" s="36"/>
      <c r="E26837" s="1"/>
      <c r="F26837" s="1"/>
      <c r="G26837" s="1"/>
    </row>
    <row r="26838">
      <c r="B26838" s="36"/>
      <c r="C26838" s="36"/>
      <c r="E26838" s="1"/>
      <c r="F26838" s="1"/>
      <c r="G26838" s="1"/>
    </row>
    <row r="26839">
      <c r="B26839" s="36"/>
      <c r="C26839" s="36"/>
      <c r="E26839" s="1"/>
      <c r="F26839" s="1"/>
      <c r="G26839" s="1"/>
    </row>
    <row r="26840">
      <c r="B26840" s="36"/>
      <c r="C26840" s="36"/>
      <c r="E26840" s="1"/>
      <c r="F26840" s="1"/>
      <c r="G26840" s="1"/>
    </row>
    <row r="26841">
      <c r="B26841" s="36"/>
      <c r="C26841" s="36"/>
      <c r="E26841" s="1"/>
      <c r="F26841" s="1"/>
      <c r="G26841" s="1"/>
    </row>
    <row r="26842">
      <c r="B26842" s="36"/>
      <c r="C26842" s="36"/>
      <c r="E26842" s="1"/>
      <c r="F26842" s="1"/>
      <c r="G26842" s="1"/>
    </row>
    <row r="26843">
      <c r="B26843" s="36"/>
      <c r="C26843" s="36"/>
      <c r="E26843" s="1"/>
      <c r="F26843" s="1"/>
      <c r="G26843" s="1"/>
    </row>
    <row r="26844">
      <c r="B26844" s="36"/>
      <c r="C26844" s="36"/>
      <c r="E26844" s="1"/>
      <c r="F26844" s="1"/>
      <c r="G26844" s="1"/>
    </row>
    <row r="26845">
      <c r="B26845" s="36"/>
      <c r="C26845" s="36"/>
      <c r="E26845" s="1"/>
      <c r="F26845" s="1"/>
      <c r="G26845" s="1"/>
    </row>
    <row r="26846">
      <c r="B26846" s="36"/>
      <c r="C26846" s="36"/>
      <c r="E26846" s="1"/>
      <c r="F26846" s="1"/>
      <c r="G26846" s="1"/>
    </row>
    <row r="26847">
      <c r="B26847" s="36"/>
      <c r="C26847" s="36"/>
      <c r="E26847" s="1"/>
      <c r="F26847" s="1"/>
      <c r="G26847" s="1"/>
    </row>
    <row r="26848">
      <c r="B26848" s="36"/>
      <c r="C26848" s="36"/>
      <c r="E26848" s="1"/>
      <c r="F26848" s="1"/>
      <c r="G26848" s="1"/>
    </row>
    <row r="26849">
      <c r="B26849" s="36"/>
      <c r="C26849" s="36"/>
      <c r="E26849" s="1"/>
      <c r="F26849" s="1"/>
      <c r="G26849" s="1"/>
    </row>
    <row r="26850">
      <c r="B26850" s="36"/>
      <c r="C26850" s="36"/>
      <c r="E26850" s="1"/>
      <c r="F26850" s="1"/>
      <c r="G26850" s="1"/>
    </row>
    <row r="26851">
      <c r="B26851" s="36"/>
      <c r="C26851" s="36"/>
      <c r="E26851" s="1"/>
      <c r="F26851" s="1"/>
      <c r="G26851" s="1"/>
    </row>
    <row r="26852">
      <c r="B26852" s="36"/>
      <c r="C26852" s="36"/>
      <c r="E26852" s="1"/>
      <c r="F26852" s="1"/>
      <c r="G26852" s="1"/>
    </row>
    <row r="26853">
      <c r="B26853" s="36"/>
      <c r="C26853" s="36"/>
      <c r="E26853" s="1"/>
      <c r="F26853" s="1"/>
      <c r="G26853" s="1"/>
    </row>
    <row r="26854">
      <c r="B26854" s="36"/>
      <c r="C26854" s="36"/>
      <c r="E26854" s="1"/>
      <c r="F26854" s="1"/>
      <c r="G26854" s="1"/>
    </row>
    <row r="26855">
      <c r="B26855" s="36"/>
      <c r="C26855" s="36"/>
      <c r="E26855" s="1"/>
      <c r="F26855" s="1"/>
      <c r="G26855" s="1"/>
    </row>
    <row r="26856">
      <c r="B26856" s="36"/>
      <c r="C26856" s="36"/>
      <c r="E26856" s="1"/>
      <c r="F26856" s="1"/>
      <c r="G26856" s="1"/>
    </row>
    <row r="26857">
      <c r="B26857" s="36"/>
      <c r="C26857" s="36"/>
      <c r="E26857" s="1"/>
      <c r="F26857" s="1"/>
      <c r="G26857" s="1"/>
    </row>
    <row r="26858">
      <c r="B26858" s="36"/>
      <c r="C26858" s="36"/>
      <c r="E26858" s="1"/>
      <c r="F26858" s="1"/>
      <c r="G26858" s="1"/>
    </row>
    <row r="26859">
      <c r="B26859" s="36"/>
      <c r="C26859" s="36"/>
      <c r="E26859" s="1"/>
      <c r="F26859" s="1"/>
      <c r="G26859" s="1"/>
    </row>
    <row r="26860">
      <c r="B26860" s="36"/>
      <c r="C26860" s="36"/>
      <c r="E26860" s="1"/>
      <c r="F26860" s="1"/>
      <c r="G26860" s="1"/>
    </row>
    <row r="26861">
      <c r="B26861" s="36"/>
      <c r="C26861" s="36"/>
      <c r="E26861" s="1"/>
      <c r="F26861" s="1"/>
      <c r="G26861" s="1"/>
    </row>
    <row r="26862">
      <c r="B26862" s="36"/>
      <c r="C26862" s="36"/>
      <c r="E26862" s="1"/>
      <c r="F26862" s="1"/>
      <c r="G26862" s="1"/>
    </row>
    <row r="26863">
      <c r="B26863" s="36"/>
      <c r="C26863" s="36"/>
      <c r="E26863" s="1"/>
      <c r="F26863" s="1"/>
      <c r="G26863" s="1"/>
    </row>
    <row r="26864">
      <c r="B26864" s="36"/>
      <c r="C26864" s="36"/>
      <c r="E26864" s="1"/>
      <c r="F26864" s="1"/>
      <c r="G26864" s="1"/>
    </row>
    <row r="26865">
      <c r="B26865" s="36"/>
      <c r="C26865" s="36"/>
      <c r="E26865" s="1"/>
      <c r="F26865" s="1"/>
      <c r="G26865" s="1"/>
    </row>
    <row r="26866">
      <c r="B26866" s="36"/>
      <c r="C26866" s="36"/>
      <c r="E26866" s="1"/>
      <c r="F26866" s="1"/>
      <c r="G26866" s="1"/>
    </row>
    <row r="26867">
      <c r="B26867" s="36"/>
      <c r="C26867" s="36"/>
      <c r="E26867" s="1"/>
      <c r="F26867" s="1"/>
      <c r="G26867" s="1"/>
    </row>
    <row r="26868">
      <c r="B26868" s="36"/>
      <c r="C26868" s="36"/>
      <c r="E26868" s="1"/>
      <c r="F26868" s="1"/>
      <c r="G26868" s="1"/>
    </row>
    <row r="26869">
      <c r="B26869" s="36"/>
      <c r="C26869" s="36"/>
      <c r="E26869" s="1"/>
      <c r="F26869" s="1"/>
      <c r="G26869" s="1"/>
    </row>
    <row r="26870">
      <c r="B26870" s="36"/>
      <c r="C26870" s="36"/>
      <c r="E26870" s="1"/>
      <c r="F26870" s="1"/>
      <c r="G26870" s="1"/>
    </row>
    <row r="26871">
      <c r="B26871" s="36"/>
      <c r="C26871" s="36"/>
      <c r="E26871" s="1"/>
      <c r="F26871" s="1"/>
      <c r="G26871" s="1"/>
    </row>
    <row r="26872">
      <c r="B26872" s="36"/>
      <c r="C26872" s="36"/>
      <c r="E26872" s="1"/>
      <c r="F26872" s="1"/>
      <c r="G26872" s="1"/>
    </row>
    <row r="26873">
      <c r="B26873" s="36"/>
      <c r="C26873" s="36"/>
      <c r="E26873" s="1"/>
      <c r="F26873" s="1"/>
      <c r="G26873" s="1"/>
    </row>
    <row r="26874">
      <c r="B26874" s="36"/>
      <c r="C26874" s="36"/>
      <c r="E26874" s="1"/>
      <c r="F26874" s="1"/>
      <c r="G26874" s="1"/>
    </row>
    <row r="26875">
      <c r="B26875" s="36"/>
      <c r="C26875" s="36"/>
      <c r="E26875" s="1"/>
      <c r="F26875" s="1"/>
      <c r="G26875" s="1"/>
    </row>
    <row r="26876">
      <c r="B26876" s="36"/>
      <c r="C26876" s="36"/>
      <c r="E26876" s="1"/>
      <c r="F26876" s="1"/>
      <c r="G26876" s="1"/>
    </row>
    <row r="26877">
      <c r="B26877" s="36"/>
      <c r="C26877" s="36"/>
      <c r="E26877" s="1"/>
      <c r="F26877" s="1"/>
      <c r="G26877" s="1"/>
    </row>
    <row r="26878">
      <c r="B26878" s="36"/>
      <c r="C26878" s="36"/>
      <c r="E26878" s="1"/>
      <c r="F26878" s="1"/>
      <c r="G26878" s="1"/>
    </row>
    <row r="26879">
      <c r="B26879" s="36"/>
      <c r="C26879" s="36"/>
      <c r="E26879" s="1"/>
      <c r="F26879" s="1"/>
      <c r="G26879" s="1"/>
    </row>
    <row r="26880">
      <c r="B26880" s="36"/>
      <c r="C26880" s="36"/>
      <c r="E26880" s="1"/>
      <c r="F26880" s="1"/>
      <c r="G26880" s="1"/>
    </row>
    <row r="26881">
      <c r="B26881" s="36"/>
      <c r="C26881" s="36"/>
      <c r="E26881" s="1"/>
      <c r="F26881" s="1"/>
      <c r="G26881" s="1"/>
    </row>
    <row r="26882">
      <c r="B26882" s="36"/>
      <c r="C26882" s="36"/>
      <c r="E26882" s="1"/>
      <c r="F26882" s="1"/>
      <c r="G26882" s="1"/>
    </row>
    <row r="26883">
      <c r="B26883" s="36"/>
      <c r="C26883" s="36"/>
      <c r="E26883" s="1"/>
      <c r="F26883" s="1"/>
      <c r="G26883" s="1"/>
    </row>
    <row r="26884">
      <c r="B26884" s="36"/>
      <c r="C26884" s="36"/>
      <c r="E26884" s="1"/>
      <c r="F26884" s="1"/>
      <c r="G26884" s="1"/>
    </row>
    <row r="26885">
      <c r="B26885" s="36"/>
      <c r="C26885" s="36"/>
      <c r="E26885" s="1"/>
      <c r="F26885" s="1"/>
      <c r="G26885" s="1"/>
    </row>
    <row r="26886">
      <c r="B26886" s="36"/>
      <c r="C26886" s="36"/>
      <c r="E26886" s="1"/>
      <c r="F26886" s="1"/>
      <c r="G26886" s="1"/>
    </row>
    <row r="26887">
      <c r="B26887" s="36"/>
      <c r="C26887" s="36"/>
      <c r="E26887" s="1"/>
      <c r="F26887" s="1"/>
      <c r="G26887" s="1"/>
    </row>
    <row r="26888">
      <c r="B26888" s="36"/>
      <c r="C26888" s="36"/>
      <c r="E26888" s="1"/>
      <c r="F26888" s="1"/>
      <c r="G26888" s="1"/>
    </row>
    <row r="26889">
      <c r="B26889" s="36"/>
      <c r="C26889" s="36"/>
      <c r="E26889" s="1"/>
      <c r="F26889" s="1"/>
      <c r="G26889" s="1"/>
    </row>
    <row r="26890">
      <c r="B26890" s="36"/>
      <c r="C26890" s="36"/>
      <c r="E26890" s="1"/>
      <c r="F26890" s="1"/>
      <c r="G26890" s="1"/>
    </row>
    <row r="26891">
      <c r="B26891" s="36"/>
      <c r="C26891" s="36"/>
      <c r="E26891" s="1"/>
      <c r="F26891" s="1"/>
      <c r="G26891" s="1"/>
    </row>
    <row r="26892">
      <c r="B26892" s="36"/>
      <c r="C26892" s="36"/>
      <c r="E26892" s="1"/>
      <c r="F26892" s="1"/>
      <c r="G26892" s="1"/>
    </row>
    <row r="26893">
      <c r="B26893" s="36"/>
      <c r="C26893" s="36"/>
      <c r="E26893" s="1"/>
      <c r="F26893" s="1"/>
      <c r="G26893" s="1"/>
    </row>
    <row r="26894">
      <c r="B26894" s="36"/>
      <c r="C26894" s="36"/>
      <c r="E26894" s="1"/>
      <c r="F26894" s="1"/>
      <c r="G26894" s="1"/>
    </row>
    <row r="26895">
      <c r="B26895" s="36"/>
      <c r="C26895" s="36"/>
      <c r="E26895" s="1"/>
      <c r="F26895" s="1"/>
      <c r="G26895" s="1"/>
    </row>
    <row r="26896">
      <c r="B26896" s="36"/>
      <c r="C26896" s="36"/>
      <c r="E26896" s="1"/>
      <c r="F26896" s="1"/>
      <c r="G26896" s="1"/>
    </row>
    <row r="26897">
      <c r="B26897" s="36"/>
      <c r="C26897" s="36"/>
      <c r="E26897" s="1"/>
      <c r="F26897" s="1"/>
      <c r="G26897" s="1"/>
    </row>
    <row r="26898">
      <c r="B26898" s="36"/>
      <c r="C26898" s="36"/>
      <c r="E26898" s="1"/>
      <c r="F26898" s="1"/>
      <c r="G26898" s="1"/>
    </row>
    <row r="26899">
      <c r="B26899" s="36"/>
      <c r="C26899" s="36"/>
      <c r="E26899" s="1"/>
      <c r="F26899" s="1"/>
      <c r="G26899" s="1"/>
    </row>
    <row r="26900">
      <c r="B26900" s="36"/>
      <c r="C26900" s="36"/>
      <c r="E26900" s="1"/>
      <c r="F26900" s="1"/>
      <c r="G26900" s="1"/>
    </row>
    <row r="26901">
      <c r="B26901" s="36"/>
      <c r="C26901" s="36"/>
      <c r="E26901" s="1"/>
      <c r="F26901" s="1"/>
      <c r="G26901" s="1"/>
    </row>
    <row r="26902">
      <c r="B26902" s="36"/>
      <c r="C26902" s="36"/>
      <c r="E26902" s="1"/>
      <c r="F26902" s="1"/>
      <c r="G26902" s="1"/>
    </row>
    <row r="26903">
      <c r="B26903" s="36"/>
      <c r="C26903" s="36"/>
      <c r="E26903" s="1"/>
      <c r="F26903" s="1"/>
      <c r="G26903" s="1"/>
    </row>
    <row r="26904">
      <c r="B26904" s="36"/>
      <c r="C26904" s="36"/>
      <c r="E26904" s="1"/>
      <c r="F26904" s="1"/>
      <c r="G26904" s="1"/>
    </row>
    <row r="26905">
      <c r="B26905" s="36"/>
      <c r="C26905" s="36"/>
      <c r="E26905" s="1"/>
      <c r="F26905" s="1"/>
      <c r="G26905" s="1"/>
    </row>
    <row r="26906">
      <c r="B26906" s="36"/>
      <c r="C26906" s="36"/>
      <c r="E26906" s="1"/>
      <c r="F26906" s="1"/>
      <c r="G26906" s="1"/>
    </row>
    <row r="26907">
      <c r="B26907" s="36"/>
      <c r="C26907" s="36"/>
      <c r="E26907" s="1"/>
      <c r="F26907" s="1"/>
      <c r="G26907" s="1"/>
    </row>
    <row r="26908">
      <c r="B26908" s="36"/>
      <c r="C26908" s="36"/>
      <c r="E26908" s="1"/>
      <c r="F26908" s="1"/>
      <c r="G26908" s="1"/>
    </row>
    <row r="26909">
      <c r="B26909" s="36"/>
      <c r="C26909" s="36"/>
      <c r="E26909" s="1"/>
      <c r="F26909" s="1"/>
      <c r="G26909" s="1"/>
    </row>
    <row r="26910">
      <c r="B26910" s="36"/>
      <c r="C26910" s="36"/>
      <c r="E26910" s="1"/>
      <c r="F26910" s="1"/>
      <c r="G26910" s="1"/>
    </row>
    <row r="26911">
      <c r="B26911" s="36"/>
      <c r="C26911" s="36"/>
      <c r="E26911" s="1"/>
      <c r="F26911" s="1"/>
      <c r="G26911" s="1"/>
    </row>
    <row r="26912">
      <c r="B26912" s="36"/>
      <c r="C26912" s="36"/>
      <c r="E26912" s="1"/>
      <c r="F26912" s="1"/>
      <c r="G26912" s="1"/>
    </row>
    <row r="26913">
      <c r="B26913" s="36"/>
      <c r="C26913" s="36"/>
      <c r="E26913" s="1"/>
      <c r="F26913" s="1"/>
      <c r="G26913" s="1"/>
    </row>
    <row r="26914">
      <c r="B26914" s="36"/>
      <c r="C26914" s="36"/>
      <c r="E26914" s="1"/>
      <c r="F26914" s="1"/>
      <c r="G26914" s="1"/>
    </row>
    <row r="26915">
      <c r="B26915" s="36"/>
      <c r="C26915" s="36"/>
      <c r="E26915" s="1"/>
      <c r="F26915" s="1"/>
      <c r="G26915" s="1"/>
    </row>
    <row r="26916">
      <c r="B26916" s="36"/>
      <c r="C26916" s="36"/>
      <c r="E26916" s="1"/>
      <c r="F26916" s="1"/>
      <c r="G26916" s="1"/>
    </row>
    <row r="26917">
      <c r="B26917" s="36"/>
      <c r="C26917" s="36"/>
      <c r="E26917" s="1"/>
      <c r="F26917" s="1"/>
      <c r="G26917" s="1"/>
    </row>
    <row r="26918">
      <c r="B26918" s="36"/>
      <c r="C26918" s="36"/>
      <c r="E26918" s="1"/>
      <c r="F26918" s="1"/>
      <c r="G26918" s="1"/>
    </row>
    <row r="26919">
      <c r="B26919" s="36"/>
      <c r="C26919" s="36"/>
      <c r="E26919" s="1"/>
      <c r="F26919" s="1"/>
      <c r="G26919" s="1"/>
    </row>
    <row r="26920">
      <c r="B26920" s="36"/>
      <c r="C26920" s="36"/>
      <c r="E26920" s="1"/>
      <c r="F26920" s="1"/>
      <c r="G26920" s="1"/>
    </row>
    <row r="26921">
      <c r="B26921" s="36"/>
      <c r="C26921" s="36"/>
      <c r="E26921" s="1"/>
      <c r="F26921" s="1"/>
      <c r="G26921" s="1"/>
    </row>
    <row r="26922">
      <c r="B26922" s="36"/>
      <c r="C26922" s="36"/>
      <c r="E26922" s="1"/>
      <c r="F26922" s="1"/>
      <c r="G26922" s="1"/>
    </row>
    <row r="26923">
      <c r="B26923" s="36"/>
      <c r="C26923" s="36"/>
      <c r="E26923" s="1"/>
      <c r="F26923" s="1"/>
      <c r="G26923" s="1"/>
    </row>
    <row r="26924">
      <c r="B26924" s="36"/>
      <c r="C26924" s="36"/>
      <c r="E26924" s="1"/>
      <c r="F26924" s="1"/>
      <c r="G26924" s="1"/>
    </row>
    <row r="26925">
      <c r="B26925" s="36"/>
      <c r="C26925" s="36"/>
      <c r="E26925" s="1"/>
      <c r="F26925" s="1"/>
      <c r="G26925" s="1"/>
    </row>
    <row r="26926">
      <c r="B26926" s="36"/>
      <c r="C26926" s="36"/>
      <c r="E26926" s="1"/>
      <c r="F26926" s="1"/>
      <c r="G26926" s="1"/>
    </row>
    <row r="26927">
      <c r="B26927" s="36"/>
      <c r="C26927" s="36"/>
      <c r="E26927" s="1"/>
      <c r="F26927" s="1"/>
      <c r="G26927" s="1"/>
    </row>
    <row r="26928">
      <c r="B26928" s="36"/>
      <c r="C26928" s="36"/>
      <c r="E26928" s="1"/>
      <c r="F26928" s="1"/>
      <c r="G26928" s="1"/>
    </row>
    <row r="26929">
      <c r="B26929" s="36"/>
      <c r="C26929" s="36"/>
      <c r="E26929" s="1"/>
      <c r="F26929" s="1"/>
      <c r="G26929" s="1"/>
    </row>
    <row r="26930">
      <c r="B26930" s="36"/>
      <c r="C26930" s="36"/>
      <c r="E26930" s="1"/>
      <c r="F26930" s="1"/>
      <c r="G26930" s="1"/>
    </row>
    <row r="26931">
      <c r="B26931" s="36"/>
      <c r="C26931" s="36"/>
      <c r="E26931" s="1"/>
      <c r="F26931" s="1"/>
      <c r="G26931" s="1"/>
    </row>
    <row r="26932">
      <c r="B26932" s="36"/>
      <c r="C26932" s="36"/>
      <c r="E26932" s="1"/>
      <c r="F26932" s="1"/>
      <c r="G26932" s="1"/>
    </row>
    <row r="26933">
      <c r="B26933" s="36"/>
      <c r="C26933" s="36"/>
      <c r="E26933" s="1"/>
      <c r="F26933" s="1"/>
      <c r="G26933" s="1"/>
    </row>
    <row r="26934">
      <c r="B26934" s="36"/>
      <c r="C26934" s="36"/>
      <c r="E26934" s="1"/>
      <c r="F26934" s="1"/>
      <c r="G26934" s="1"/>
    </row>
    <row r="26935">
      <c r="B26935" s="36"/>
      <c r="C26935" s="36"/>
      <c r="E26935" s="1"/>
      <c r="F26935" s="1"/>
      <c r="G26935" s="1"/>
    </row>
    <row r="26936">
      <c r="B26936" s="36"/>
      <c r="C26936" s="36"/>
      <c r="E26936" s="1"/>
      <c r="F26936" s="1"/>
      <c r="G26936" s="1"/>
    </row>
    <row r="26937">
      <c r="B26937" s="36"/>
      <c r="C26937" s="36"/>
      <c r="E26937" s="1"/>
      <c r="F26937" s="1"/>
      <c r="G26937" s="1"/>
    </row>
    <row r="26938">
      <c r="B26938" s="36"/>
      <c r="C26938" s="36"/>
      <c r="E26938" s="1"/>
      <c r="F26938" s="1"/>
      <c r="G26938" s="1"/>
    </row>
    <row r="26939">
      <c r="B26939" s="36"/>
      <c r="C26939" s="36"/>
      <c r="E26939" s="1"/>
      <c r="F26939" s="1"/>
      <c r="G26939" s="1"/>
    </row>
    <row r="26940">
      <c r="B26940" s="36"/>
      <c r="C26940" s="36"/>
      <c r="E26940" s="1"/>
      <c r="F26940" s="1"/>
      <c r="G26940" s="1"/>
    </row>
    <row r="26941">
      <c r="B26941" s="36"/>
      <c r="C26941" s="36"/>
      <c r="E26941" s="1"/>
      <c r="F26941" s="1"/>
      <c r="G26941" s="1"/>
    </row>
    <row r="26942">
      <c r="B26942" s="36"/>
      <c r="C26942" s="36"/>
      <c r="E26942" s="1"/>
      <c r="F26942" s="1"/>
      <c r="G26942" s="1"/>
    </row>
    <row r="26943">
      <c r="B26943" s="36"/>
      <c r="C26943" s="36"/>
      <c r="E26943" s="1"/>
      <c r="F26943" s="1"/>
      <c r="G26943" s="1"/>
    </row>
    <row r="26944">
      <c r="B26944" s="36"/>
      <c r="C26944" s="36"/>
      <c r="E26944" s="1"/>
      <c r="F26944" s="1"/>
      <c r="G26944" s="1"/>
    </row>
    <row r="26945">
      <c r="B26945" s="36"/>
      <c r="C26945" s="36"/>
      <c r="E26945" s="1"/>
      <c r="F26945" s="1"/>
      <c r="G26945" s="1"/>
    </row>
    <row r="26946">
      <c r="B26946" s="36"/>
      <c r="C26946" s="36"/>
      <c r="E26946" s="1"/>
      <c r="F26946" s="1"/>
      <c r="G26946" s="1"/>
    </row>
    <row r="26947">
      <c r="B26947" s="36"/>
      <c r="C26947" s="36"/>
      <c r="E26947" s="1"/>
      <c r="F26947" s="1"/>
      <c r="G26947" s="1"/>
    </row>
    <row r="26948">
      <c r="B26948" s="36"/>
      <c r="C26948" s="36"/>
      <c r="E26948" s="1"/>
      <c r="F26948" s="1"/>
      <c r="G26948" s="1"/>
    </row>
    <row r="26949">
      <c r="B26949" s="36"/>
      <c r="C26949" s="36"/>
      <c r="E26949" s="1"/>
      <c r="F26949" s="1"/>
      <c r="G26949" s="1"/>
    </row>
    <row r="26950">
      <c r="B26950" s="36"/>
      <c r="C26950" s="36"/>
      <c r="E26950" s="1"/>
      <c r="F26950" s="1"/>
      <c r="G26950" s="1"/>
    </row>
    <row r="26951">
      <c r="B26951" s="36"/>
      <c r="C26951" s="36"/>
      <c r="E26951" s="1"/>
      <c r="F26951" s="1"/>
      <c r="G26951" s="1"/>
    </row>
    <row r="26952">
      <c r="B26952" s="36"/>
      <c r="C26952" s="36"/>
      <c r="E26952" s="1"/>
      <c r="F26952" s="1"/>
      <c r="G26952" s="1"/>
    </row>
    <row r="26953">
      <c r="B26953" s="36"/>
      <c r="C26953" s="36"/>
      <c r="E26953" s="1"/>
      <c r="F26953" s="1"/>
      <c r="G26953" s="1"/>
    </row>
    <row r="26954">
      <c r="B26954" s="36"/>
      <c r="C26954" s="36"/>
      <c r="E26954" s="1"/>
      <c r="F26954" s="1"/>
      <c r="G26954" s="1"/>
    </row>
    <row r="26955">
      <c r="B26955" s="36"/>
      <c r="C26955" s="36"/>
      <c r="E26955" s="1"/>
      <c r="F26955" s="1"/>
      <c r="G26955" s="1"/>
    </row>
    <row r="26956">
      <c r="B26956" s="36"/>
      <c r="C26956" s="36"/>
      <c r="E26956" s="1"/>
      <c r="F26956" s="1"/>
      <c r="G26956" s="1"/>
    </row>
    <row r="26957">
      <c r="B26957" s="36"/>
      <c r="C26957" s="36"/>
      <c r="E26957" s="1"/>
      <c r="F26957" s="1"/>
      <c r="G26957" s="1"/>
    </row>
    <row r="26958">
      <c r="B26958" s="36"/>
      <c r="C26958" s="36"/>
      <c r="E26958" s="1"/>
      <c r="F26958" s="1"/>
      <c r="G26958" s="1"/>
    </row>
    <row r="26959">
      <c r="B26959" s="36"/>
      <c r="C26959" s="36"/>
      <c r="E26959" s="1"/>
      <c r="F26959" s="1"/>
      <c r="G26959" s="1"/>
    </row>
    <row r="26960">
      <c r="B26960" s="36"/>
      <c r="C26960" s="36"/>
      <c r="E26960" s="1"/>
      <c r="F26960" s="1"/>
      <c r="G26960" s="1"/>
    </row>
    <row r="26961">
      <c r="B26961" s="36"/>
      <c r="C26961" s="36"/>
      <c r="E26961" s="1"/>
      <c r="F26961" s="1"/>
      <c r="G26961" s="1"/>
    </row>
    <row r="26962">
      <c r="B26962" s="36"/>
      <c r="C26962" s="36"/>
      <c r="E26962" s="1"/>
      <c r="F26962" s="1"/>
      <c r="G26962" s="1"/>
    </row>
    <row r="26963">
      <c r="B26963" s="36"/>
      <c r="C26963" s="36"/>
      <c r="E26963" s="1"/>
      <c r="F26963" s="1"/>
      <c r="G26963" s="1"/>
    </row>
    <row r="26964">
      <c r="B26964" s="36"/>
      <c r="C26964" s="36"/>
      <c r="E26964" s="1"/>
      <c r="F26964" s="1"/>
      <c r="G26964" s="1"/>
    </row>
    <row r="26965">
      <c r="B26965" s="36"/>
      <c r="C26965" s="36"/>
      <c r="E26965" s="1"/>
      <c r="F26965" s="1"/>
      <c r="G26965" s="1"/>
    </row>
    <row r="26966">
      <c r="B26966" s="36"/>
      <c r="C26966" s="36"/>
      <c r="E26966" s="1"/>
      <c r="F26966" s="1"/>
      <c r="G26966" s="1"/>
    </row>
    <row r="26967">
      <c r="B26967" s="36"/>
      <c r="C26967" s="36"/>
      <c r="E26967" s="1"/>
      <c r="F26967" s="1"/>
      <c r="G26967" s="1"/>
    </row>
    <row r="26968">
      <c r="B26968" s="36"/>
      <c r="C26968" s="36"/>
      <c r="E26968" s="1"/>
      <c r="F26968" s="1"/>
      <c r="G26968" s="1"/>
    </row>
    <row r="26969">
      <c r="B26969" s="36"/>
      <c r="C26969" s="36"/>
      <c r="E26969" s="1"/>
      <c r="F26969" s="1"/>
      <c r="G26969" s="1"/>
    </row>
    <row r="26970">
      <c r="B26970" s="36"/>
      <c r="C26970" s="36"/>
      <c r="E26970" s="1"/>
      <c r="F26970" s="1"/>
      <c r="G26970" s="1"/>
    </row>
    <row r="26971">
      <c r="B26971" s="36"/>
      <c r="C26971" s="36"/>
      <c r="E26971" s="1"/>
      <c r="F26971" s="1"/>
      <c r="G26971" s="1"/>
    </row>
    <row r="26972">
      <c r="B26972" s="36"/>
      <c r="C26972" s="36"/>
      <c r="E26972" s="1"/>
      <c r="F26972" s="1"/>
      <c r="G26972" s="1"/>
    </row>
    <row r="26973">
      <c r="B26973" s="36"/>
      <c r="C26973" s="36"/>
      <c r="E26973" s="1"/>
      <c r="F26973" s="1"/>
      <c r="G26973" s="1"/>
    </row>
    <row r="26974">
      <c r="B26974" s="36"/>
      <c r="C26974" s="36"/>
      <c r="E26974" s="1"/>
      <c r="F26974" s="1"/>
      <c r="G26974" s="1"/>
    </row>
    <row r="26975">
      <c r="B26975" s="36"/>
      <c r="C26975" s="36"/>
      <c r="E26975" s="1"/>
      <c r="F26975" s="1"/>
      <c r="G26975" s="1"/>
    </row>
    <row r="26976">
      <c r="B26976" s="36"/>
      <c r="C26976" s="36"/>
      <c r="E26976" s="1"/>
      <c r="F26976" s="1"/>
      <c r="G26976" s="1"/>
    </row>
    <row r="26977">
      <c r="B26977" s="36"/>
      <c r="C26977" s="36"/>
      <c r="E26977" s="1"/>
      <c r="F26977" s="1"/>
      <c r="G26977" s="1"/>
    </row>
    <row r="26978">
      <c r="B26978" s="36"/>
      <c r="C26978" s="36"/>
      <c r="E26978" s="1"/>
      <c r="F26978" s="1"/>
      <c r="G26978" s="1"/>
    </row>
    <row r="26979">
      <c r="B26979" s="36"/>
      <c r="C26979" s="36"/>
      <c r="E26979" s="1"/>
      <c r="F26979" s="1"/>
      <c r="G26979" s="1"/>
    </row>
    <row r="26980">
      <c r="B26980" s="36"/>
      <c r="C26980" s="36"/>
      <c r="E26980" s="1"/>
      <c r="F26980" s="1"/>
      <c r="G26980" s="1"/>
    </row>
    <row r="26981">
      <c r="B26981" s="36"/>
      <c r="C26981" s="36"/>
      <c r="E26981" s="1"/>
      <c r="F26981" s="1"/>
      <c r="G26981" s="1"/>
    </row>
    <row r="26982">
      <c r="B26982" s="36"/>
      <c r="C26982" s="36"/>
      <c r="E26982" s="1"/>
      <c r="F26982" s="1"/>
      <c r="G26982" s="1"/>
    </row>
    <row r="26983">
      <c r="B26983" s="36"/>
      <c r="C26983" s="36"/>
      <c r="E26983" s="1"/>
      <c r="F26983" s="1"/>
      <c r="G26983" s="1"/>
    </row>
    <row r="26984">
      <c r="B26984" s="36"/>
      <c r="C26984" s="36"/>
      <c r="E26984" s="1"/>
      <c r="F26984" s="1"/>
      <c r="G26984" s="1"/>
    </row>
    <row r="26985">
      <c r="B26985" s="36"/>
      <c r="C26985" s="36"/>
      <c r="E26985" s="1"/>
      <c r="F26985" s="1"/>
      <c r="G26985" s="1"/>
    </row>
    <row r="26986">
      <c r="B26986" s="36"/>
      <c r="C26986" s="36"/>
      <c r="E26986" s="1"/>
      <c r="F26986" s="1"/>
      <c r="G26986" s="1"/>
    </row>
    <row r="26987">
      <c r="B26987" s="36"/>
      <c r="C26987" s="36"/>
      <c r="E26987" s="1"/>
      <c r="F26987" s="1"/>
      <c r="G26987" s="1"/>
    </row>
    <row r="26988">
      <c r="B26988" s="36"/>
      <c r="C26988" s="36"/>
      <c r="E26988" s="1"/>
      <c r="F26988" s="1"/>
      <c r="G26988" s="1"/>
    </row>
    <row r="26989">
      <c r="B26989" s="36"/>
      <c r="C26989" s="36"/>
      <c r="E26989" s="1"/>
      <c r="F26989" s="1"/>
      <c r="G26989" s="1"/>
    </row>
    <row r="26990">
      <c r="B26990" s="36"/>
      <c r="C26990" s="36"/>
      <c r="E26990" s="1"/>
      <c r="F26990" s="1"/>
      <c r="G26990" s="1"/>
    </row>
    <row r="26991">
      <c r="B26991" s="36"/>
      <c r="C26991" s="36"/>
      <c r="E26991" s="1"/>
      <c r="F26991" s="1"/>
      <c r="G26991" s="1"/>
    </row>
    <row r="26992">
      <c r="B26992" s="36"/>
      <c r="C26992" s="36"/>
      <c r="E26992" s="1"/>
      <c r="F26992" s="1"/>
      <c r="G26992" s="1"/>
    </row>
    <row r="26993">
      <c r="B26993" s="36"/>
      <c r="C26993" s="36"/>
      <c r="E26993" s="1"/>
      <c r="F26993" s="1"/>
      <c r="G26993" s="1"/>
    </row>
    <row r="26994">
      <c r="B26994" s="36"/>
      <c r="C26994" s="36"/>
      <c r="E26994" s="1"/>
      <c r="F26994" s="1"/>
      <c r="G26994" s="1"/>
    </row>
    <row r="26995">
      <c r="B26995" s="36"/>
      <c r="C26995" s="36"/>
      <c r="E26995" s="1"/>
      <c r="F26995" s="1"/>
      <c r="G26995" s="1"/>
    </row>
    <row r="26996">
      <c r="B26996" s="36"/>
      <c r="C26996" s="36"/>
      <c r="E26996" s="1"/>
      <c r="F26996" s="1"/>
      <c r="G26996" s="1"/>
    </row>
    <row r="26997">
      <c r="B26997" s="36"/>
      <c r="C26997" s="36"/>
      <c r="E26997" s="1"/>
      <c r="F26997" s="1"/>
      <c r="G26997" s="1"/>
    </row>
    <row r="26998">
      <c r="B26998" s="36"/>
      <c r="C26998" s="36"/>
      <c r="E26998" s="1"/>
      <c r="F26998" s="1"/>
      <c r="G26998" s="1"/>
    </row>
    <row r="26999">
      <c r="B26999" s="36"/>
      <c r="C26999" s="36"/>
      <c r="E26999" s="1"/>
      <c r="F26999" s="1"/>
      <c r="G26999" s="1"/>
    </row>
    <row r="27000">
      <c r="B27000" s="36"/>
      <c r="C27000" s="36"/>
      <c r="E27000" s="1"/>
      <c r="F27000" s="1"/>
      <c r="G27000" s="1"/>
    </row>
    <row r="27001">
      <c r="B27001" s="36"/>
      <c r="C27001" s="36"/>
      <c r="E27001" s="1"/>
      <c r="F27001" s="1"/>
      <c r="G27001" s="1"/>
    </row>
    <row r="27002">
      <c r="B27002" s="36"/>
      <c r="C27002" s="36"/>
      <c r="E27002" s="1"/>
      <c r="F27002" s="1"/>
      <c r="G27002" s="1"/>
    </row>
    <row r="27003">
      <c r="B27003" s="36"/>
      <c r="C27003" s="36"/>
      <c r="E27003" s="1"/>
      <c r="F27003" s="1"/>
      <c r="G27003" s="1"/>
    </row>
    <row r="27004">
      <c r="B27004" s="36"/>
      <c r="C27004" s="36"/>
      <c r="E27004" s="1"/>
      <c r="F27004" s="1"/>
      <c r="G27004" s="1"/>
    </row>
    <row r="27005">
      <c r="B27005" s="36"/>
      <c r="C27005" s="36"/>
      <c r="E27005" s="1"/>
      <c r="F27005" s="1"/>
      <c r="G27005" s="1"/>
    </row>
    <row r="27006">
      <c r="B27006" s="36"/>
      <c r="C27006" s="36"/>
      <c r="E27006" s="1"/>
      <c r="F27006" s="1"/>
      <c r="G27006" s="1"/>
    </row>
    <row r="27007">
      <c r="B27007" s="36"/>
      <c r="C27007" s="36"/>
      <c r="E27007" s="1"/>
      <c r="F27007" s="1"/>
      <c r="G27007" s="1"/>
    </row>
    <row r="27008">
      <c r="B27008" s="36"/>
      <c r="C27008" s="36"/>
      <c r="E27008" s="1"/>
      <c r="F27008" s="1"/>
      <c r="G27008" s="1"/>
    </row>
    <row r="27009">
      <c r="B27009" s="36"/>
      <c r="C27009" s="36"/>
      <c r="E27009" s="1"/>
      <c r="F27009" s="1"/>
      <c r="G27009" s="1"/>
    </row>
    <row r="27010">
      <c r="B27010" s="36"/>
      <c r="C27010" s="36"/>
      <c r="E27010" s="1"/>
      <c r="F27010" s="1"/>
      <c r="G27010" s="1"/>
    </row>
    <row r="27011">
      <c r="B27011" s="36"/>
      <c r="C27011" s="36"/>
      <c r="E27011" s="1"/>
      <c r="F27011" s="1"/>
      <c r="G27011" s="1"/>
    </row>
    <row r="27012">
      <c r="B27012" s="36"/>
      <c r="C27012" s="36"/>
      <c r="E27012" s="1"/>
      <c r="F27012" s="1"/>
      <c r="G27012" s="1"/>
    </row>
    <row r="27013">
      <c r="B27013" s="36"/>
      <c r="C27013" s="36"/>
      <c r="E27013" s="1"/>
      <c r="F27013" s="1"/>
      <c r="G27013" s="1"/>
    </row>
    <row r="27014">
      <c r="B27014" s="36"/>
      <c r="C27014" s="36"/>
      <c r="E27014" s="1"/>
      <c r="F27014" s="1"/>
      <c r="G27014" s="1"/>
    </row>
    <row r="27015">
      <c r="B27015" s="36"/>
      <c r="C27015" s="36"/>
      <c r="E27015" s="1"/>
      <c r="F27015" s="1"/>
      <c r="G27015" s="1"/>
    </row>
    <row r="27016">
      <c r="B27016" s="36"/>
      <c r="C27016" s="36"/>
      <c r="E27016" s="1"/>
      <c r="F27016" s="1"/>
      <c r="G27016" s="1"/>
    </row>
    <row r="27017">
      <c r="B27017" s="36"/>
      <c r="C27017" s="36"/>
      <c r="E27017" s="1"/>
      <c r="F27017" s="1"/>
      <c r="G27017" s="1"/>
    </row>
    <row r="27018">
      <c r="B27018" s="36"/>
      <c r="C27018" s="36"/>
      <c r="E27018" s="1"/>
      <c r="F27018" s="1"/>
      <c r="G27018" s="1"/>
    </row>
    <row r="27019">
      <c r="B27019" s="36"/>
      <c r="C27019" s="36"/>
      <c r="E27019" s="1"/>
      <c r="F27019" s="1"/>
      <c r="G27019" s="1"/>
    </row>
    <row r="27020">
      <c r="B27020" s="36"/>
      <c r="C27020" s="36"/>
      <c r="E27020" s="1"/>
      <c r="F27020" s="1"/>
      <c r="G27020" s="1"/>
    </row>
    <row r="27021">
      <c r="B27021" s="36"/>
      <c r="C27021" s="36"/>
      <c r="E27021" s="1"/>
      <c r="F27021" s="1"/>
      <c r="G27021" s="1"/>
    </row>
    <row r="27022">
      <c r="B27022" s="36"/>
      <c r="C27022" s="36"/>
      <c r="E27022" s="1"/>
      <c r="F27022" s="1"/>
      <c r="G27022" s="1"/>
    </row>
    <row r="27023">
      <c r="B27023" s="36"/>
      <c r="C27023" s="36"/>
      <c r="E27023" s="1"/>
      <c r="F27023" s="1"/>
      <c r="G27023" s="1"/>
    </row>
    <row r="27024">
      <c r="B27024" s="36"/>
      <c r="C27024" s="36"/>
      <c r="E27024" s="1"/>
      <c r="F27024" s="1"/>
      <c r="G27024" s="1"/>
    </row>
    <row r="27025">
      <c r="B27025" s="36"/>
      <c r="C27025" s="36"/>
      <c r="E27025" s="1"/>
      <c r="F27025" s="1"/>
      <c r="G27025" s="1"/>
    </row>
    <row r="27026">
      <c r="B27026" s="36"/>
      <c r="C27026" s="36"/>
      <c r="E27026" s="1"/>
      <c r="F27026" s="1"/>
      <c r="G27026" s="1"/>
    </row>
    <row r="27027">
      <c r="B27027" s="36"/>
      <c r="C27027" s="36"/>
      <c r="E27027" s="1"/>
      <c r="F27027" s="1"/>
      <c r="G27027" s="1"/>
    </row>
    <row r="27028">
      <c r="B27028" s="36"/>
      <c r="C27028" s="36"/>
      <c r="E27028" s="1"/>
      <c r="F27028" s="1"/>
      <c r="G27028" s="1"/>
    </row>
    <row r="27029">
      <c r="B27029" s="36"/>
      <c r="C27029" s="36"/>
      <c r="E27029" s="1"/>
      <c r="F27029" s="1"/>
      <c r="G27029" s="1"/>
    </row>
    <row r="27030">
      <c r="B27030" s="36"/>
      <c r="C27030" s="36"/>
      <c r="E27030" s="1"/>
      <c r="F27030" s="1"/>
      <c r="G27030" s="1"/>
    </row>
    <row r="27031">
      <c r="B27031" s="36"/>
      <c r="C27031" s="36"/>
      <c r="E27031" s="1"/>
      <c r="F27031" s="1"/>
      <c r="G27031" s="1"/>
    </row>
    <row r="27032">
      <c r="B27032" s="36"/>
      <c r="C27032" s="36"/>
      <c r="E27032" s="1"/>
      <c r="F27032" s="1"/>
      <c r="G27032" s="1"/>
    </row>
    <row r="27033">
      <c r="B27033" s="36"/>
      <c r="C27033" s="36"/>
      <c r="E27033" s="1"/>
      <c r="F27033" s="1"/>
      <c r="G27033" s="1"/>
    </row>
    <row r="27034">
      <c r="B27034" s="36"/>
      <c r="C27034" s="36"/>
      <c r="E27034" s="1"/>
      <c r="F27034" s="1"/>
      <c r="G27034" s="1"/>
    </row>
    <row r="27035">
      <c r="B27035" s="36"/>
      <c r="C27035" s="36"/>
      <c r="E27035" s="1"/>
      <c r="F27035" s="1"/>
      <c r="G27035" s="1"/>
    </row>
    <row r="27036">
      <c r="B27036" s="36"/>
      <c r="C27036" s="36"/>
      <c r="E27036" s="1"/>
      <c r="F27036" s="1"/>
      <c r="G27036" s="1"/>
    </row>
    <row r="27037">
      <c r="B27037" s="36"/>
      <c r="C27037" s="36"/>
      <c r="E27037" s="1"/>
      <c r="F27037" s="1"/>
      <c r="G27037" s="1"/>
    </row>
    <row r="27038">
      <c r="B27038" s="36"/>
      <c r="C27038" s="36"/>
      <c r="E27038" s="1"/>
      <c r="F27038" s="1"/>
      <c r="G27038" s="1"/>
    </row>
    <row r="27039">
      <c r="B27039" s="36"/>
      <c r="C27039" s="36"/>
      <c r="E27039" s="1"/>
      <c r="F27039" s="1"/>
      <c r="G27039" s="1"/>
    </row>
    <row r="27040">
      <c r="B27040" s="36"/>
      <c r="C27040" s="36"/>
      <c r="E27040" s="1"/>
      <c r="F27040" s="1"/>
      <c r="G27040" s="1"/>
    </row>
    <row r="27041">
      <c r="B27041" s="36"/>
      <c r="C27041" s="36"/>
      <c r="E27041" s="1"/>
      <c r="F27041" s="1"/>
      <c r="G27041" s="1"/>
    </row>
    <row r="27042">
      <c r="B27042" s="36"/>
      <c r="C27042" s="36"/>
      <c r="E27042" s="1"/>
      <c r="F27042" s="1"/>
      <c r="G27042" s="1"/>
    </row>
    <row r="27043">
      <c r="B27043" s="36"/>
      <c r="C27043" s="36"/>
      <c r="E27043" s="1"/>
      <c r="F27043" s="1"/>
      <c r="G27043" s="1"/>
    </row>
    <row r="27044">
      <c r="B27044" s="36"/>
      <c r="C27044" s="36"/>
      <c r="E27044" s="1"/>
      <c r="F27044" s="1"/>
      <c r="G27044" s="1"/>
    </row>
    <row r="27045">
      <c r="B27045" s="36"/>
      <c r="C27045" s="36"/>
      <c r="E27045" s="1"/>
      <c r="F27045" s="1"/>
      <c r="G27045" s="1"/>
    </row>
    <row r="27046">
      <c r="B27046" s="36"/>
      <c r="C27046" s="36"/>
      <c r="E27046" s="1"/>
      <c r="F27046" s="1"/>
      <c r="G27046" s="1"/>
    </row>
    <row r="27047">
      <c r="B27047" s="36"/>
      <c r="C27047" s="36"/>
      <c r="E27047" s="1"/>
      <c r="F27047" s="1"/>
      <c r="G27047" s="1"/>
    </row>
    <row r="27048">
      <c r="B27048" s="36"/>
      <c r="C27048" s="36"/>
      <c r="E27048" s="1"/>
      <c r="F27048" s="1"/>
      <c r="G27048" s="1"/>
    </row>
    <row r="27049">
      <c r="B27049" s="36"/>
      <c r="C27049" s="36"/>
      <c r="E27049" s="1"/>
      <c r="F27049" s="1"/>
      <c r="G27049" s="1"/>
    </row>
    <row r="27050">
      <c r="B27050" s="36"/>
      <c r="C27050" s="36"/>
      <c r="E27050" s="1"/>
      <c r="F27050" s="1"/>
      <c r="G27050" s="1"/>
    </row>
    <row r="27051">
      <c r="B27051" s="36"/>
      <c r="C27051" s="36"/>
      <c r="E27051" s="1"/>
      <c r="F27051" s="1"/>
      <c r="G27051" s="1"/>
    </row>
    <row r="27052">
      <c r="B27052" s="36"/>
      <c r="C27052" s="36"/>
      <c r="E27052" s="1"/>
      <c r="F27052" s="1"/>
      <c r="G27052" s="1"/>
    </row>
    <row r="27053">
      <c r="B27053" s="36"/>
      <c r="C27053" s="36"/>
      <c r="E27053" s="1"/>
      <c r="F27053" s="1"/>
      <c r="G27053" s="1"/>
    </row>
    <row r="27054">
      <c r="B27054" s="36"/>
      <c r="C27054" s="36"/>
      <c r="E27054" s="1"/>
      <c r="F27054" s="1"/>
      <c r="G27054" s="1"/>
    </row>
    <row r="27055">
      <c r="B27055" s="36"/>
      <c r="C27055" s="36"/>
      <c r="E27055" s="1"/>
      <c r="F27055" s="1"/>
      <c r="G27055" s="1"/>
    </row>
    <row r="27056">
      <c r="B27056" s="36"/>
      <c r="C27056" s="36"/>
      <c r="E27056" s="1"/>
      <c r="F27056" s="1"/>
      <c r="G27056" s="1"/>
    </row>
    <row r="27057">
      <c r="B27057" s="36"/>
      <c r="C27057" s="36"/>
      <c r="E27057" s="1"/>
      <c r="F27057" s="1"/>
      <c r="G27057" s="1"/>
    </row>
    <row r="27058">
      <c r="B27058" s="36"/>
      <c r="C27058" s="36"/>
      <c r="E27058" s="1"/>
      <c r="F27058" s="1"/>
      <c r="G27058" s="1"/>
    </row>
    <row r="27059">
      <c r="B27059" s="36"/>
      <c r="C27059" s="36"/>
      <c r="E27059" s="1"/>
      <c r="F27059" s="1"/>
      <c r="G27059" s="1"/>
    </row>
    <row r="27060">
      <c r="B27060" s="36"/>
      <c r="C27060" s="36"/>
      <c r="E27060" s="1"/>
      <c r="F27060" s="1"/>
      <c r="G27060" s="1"/>
    </row>
    <row r="27061">
      <c r="B27061" s="36"/>
      <c r="C27061" s="36"/>
      <c r="E27061" s="1"/>
      <c r="F27061" s="1"/>
      <c r="G27061" s="1"/>
    </row>
    <row r="27062">
      <c r="B27062" s="36"/>
      <c r="C27062" s="36"/>
      <c r="E27062" s="1"/>
      <c r="F27062" s="1"/>
      <c r="G27062" s="1"/>
    </row>
    <row r="27063">
      <c r="B27063" s="36"/>
      <c r="C27063" s="36"/>
      <c r="E27063" s="1"/>
      <c r="F27063" s="1"/>
      <c r="G27063" s="1"/>
    </row>
    <row r="27064">
      <c r="B27064" s="36"/>
      <c r="C27064" s="36"/>
      <c r="E27064" s="1"/>
      <c r="F27064" s="1"/>
      <c r="G27064" s="1"/>
    </row>
    <row r="27065">
      <c r="B27065" s="36"/>
      <c r="C27065" s="36"/>
      <c r="E27065" s="1"/>
      <c r="F27065" s="1"/>
      <c r="G27065" s="1"/>
    </row>
    <row r="27066">
      <c r="B27066" s="36"/>
      <c r="C27066" s="36"/>
      <c r="E27066" s="1"/>
      <c r="F27066" s="1"/>
      <c r="G27066" s="1"/>
    </row>
    <row r="27067">
      <c r="B27067" s="36"/>
      <c r="C27067" s="36"/>
      <c r="E27067" s="1"/>
      <c r="F27067" s="1"/>
      <c r="G27067" s="1"/>
    </row>
    <row r="27068">
      <c r="B27068" s="36"/>
      <c r="C27068" s="36"/>
      <c r="E27068" s="1"/>
      <c r="F27068" s="1"/>
      <c r="G27068" s="1"/>
    </row>
    <row r="27069">
      <c r="B27069" s="36"/>
      <c r="C27069" s="36"/>
      <c r="E27069" s="1"/>
      <c r="F27069" s="1"/>
      <c r="G27069" s="1"/>
    </row>
    <row r="27070">
      <c r="B27070" s="36"/>
      <c r="C27070" s="36"/>
      <c r="E27070" s="1"/>
      <c r="F27070" s="1"/>
      <c r="G27070" s="1"/>
    </row>
    <row r="27071">
      <c r="B27071" s="36"/>
      <c r="C27071" s="36"/>
      <c r="E27071" s="1"/>
      <c r="F27071" s="1"/>
      <c r="G27071" s="1"/>
    </row>
    <row r="27072">
      <c r="B27072" s="36"/>
      <c r="C27072" s="36"/>
      <c r="E27072" s="1"/>
      <c r="F27072" s="1"/>
      <c r="G27072" s="1"/>
    </row>
    <row r="27073">
      <c r="B27073" s="36"/>
      <c r="C27073" s="36"/>
      <c r="E27073" s="1"/>
      <c r="F27073" s="1"/>
      <c r="G27073" s="1"/>
    </row>
    <row r="27074">
      <c r="B27074" s="36"/>
      <c r="C27074" s="36"/>
      <c r="E27074" s="1"/>
      <c r="F27074" s="1"/>
      <c r="G27074" s="1"/>
    </row>
    <row r="27075">
      <c r="B27075" s="36"/>
      <c r="C27075" s="36"/>
      <c r="E27075" s="1"/>
      <c r="F27075" s="1"/>
      <c r="G27075" s="1"/>
    </row>
    <row r="27076">
      <c r="B27076" s="36"/>
      <c r="C27076" s="36"/>
      <c r="E27076" s="1"/>
      <c r="F27076" s="1"/>
      <c r="G27076" s="1"/>
    </row>
    <row r="27077">
      <c r="B27077" s="36"/>
      <c r="C27077" s="36"/>
      <c r="E27077" s="1"/>
      <c r="F27077" s="1"/>
      <c r="G27077" s="1"/>
    </row>
    <row r="27078">
      <c r="B27078" s="36"/>
      <c r="C27078" s="36"/>
      <c r="E27078" s="1"/>
      <c r="F27078" s="1"/>
      <c r="G27078" s="1"/>
    </row>
    <row r="27079">
      <c r="B27079" s="36"/>
      <c r="C27079" s="36"/>
      <c r="E27079" s="1"/>
      <c r="F27079" s="1"/>
      <c r="G27079" s="1"/>
    </row>
    <row r="27080">
      <c r="B27080" s="36"/>
      <c r="C27080" s="36"/>
      <c r="E27080" s="1"/>
      <c r="F27080" s="1"/>
      <c r="G27080" s="1"/>
    </row>
    <row r="27081">
      <c r="B27081" s="36"/>
      <c r="C27081" s="36"/>
      <c r="E27081" s="1"/>
      <c r="F27081" s="1"/>
      <c r="G27081" s="1"/>
    </row>
    <row r="27082">
      <c r="B27082" s="36"/>
      <c r="C27082" s="36"/>
      <c r="E27082" s="1"/>
      <c r="F27082" s="1"/>
      <c r="G27082" s="1"/>
    </row>
    <row r="27083">
      <c r="B27083" s="36"/>
      <c r="C27083" s="36"/>
      <c r="E27083" s="1"/>
      <c r="F27083" s="1"/>
      <c r="G27083" s="1"/>
    </row>
    <row r="27084">
      <c r="B27084" s="36"/>
      <c r="C27084" s="36"/>
      <c r="E27084" s="1"/>
      <c r="F27084" s="1"/>
      <c r="G27084" s="1"/>
    </row>
    <row r="27085">
      <c r="B27085" s="36"/>
      <c r="C27085" s="36"/>
      <c r="E27085" s="1"/>
      <c r="F27085" s="1"/>
      <c r="G27085" s="1"/>
    </row>
    <row r="27086">
      <c r="B27086" s="36"/>
      <c r="C27086" s="36"/>
      <c r="E27086" s="1"/>
      <c r="F27086" s="1"/>
      <c r="G27086" s="1"/>
    </row>
    <row r="27087">
      <c r="B27087" s="36"/>
      <c r="C27087" s="36"/>
      <c r="E27087" s="1"/>
      <c r="F27087" s="1"/>
      <c r="G27087" s="1"/>
    </row>
    <row r="27088">
      <c r="B27088" s="36"/>
      <c r="C27088" s="36"/>
      <c r="E27088" s="1"/>
      <c r="F27088" s="1"/>
      <c r="G27088" s="1"/>
    </row>
    <row r="27089">
      <c r="B27089" s="36"/>
      <c r="C27089" s="36"/>
      <c r="E27089" s="1"/>
      <c r="F27089" s="1"/>
      <c r="G27089" s="1"/>
    </row>
    <row r="27090">
      <c r="B27090" s="36"/>
      <c r="C27090" s="36"/>
      <c r="E27090" s="1"/>
      <c r="F27090" s="1"/>
      <c r="G27090" s="1"/>
    </row>
    <row r="27091">
      <c r="B27091" s="36"/>
      <c r="C27091" s="36"/>
      <c r="E27091" s="1"/>
      <c r="F27091" s="1"/>
      <c r="G27091" s="1"/>
    </row>
    <row r="27092">
      <c r="B27092" s="36"/>
      <c r="C27092" s="36"/>
      <c r="E27092" s="1"/>
      <c r="F27092" s="1"/>
      <c r="G27092" s="1"/>
    </row>
    <row r="27093">
      <c r="B27093" s="36"/>
      <c r="C27093" s="36"/>
      <c r="E27093" s="1"/>
      <c r="F27093" s="1"/>
      <c r="G27093" s="1"/>
    </row>
    <row r="27094">
      <c r="B27094" s="36"/>
      <c r="C27094" s="36"/>
      <c r="E27094" s="1"/>
      <c r="F27094" s="1"/>
      <c r="G27094" s="1"/>
    </row>
    <row r="27095">
      <c r="B27095" s="36"/>
      <c r="C27095" s="36"/>
      <c r="E27095" s="1"/>
      <c r="F27095" s="1"/>
      <c r="G27095" s="1"/>
    </row>
    <row r="27096">
      <c r="B27096" s="36"/>
      <c r="C27096" s="36"/>
      <c r="E27096" s="1"/>
      <c r="F27096" s="1"/>
      <c r="G27096" s="1"/>
    </row>
    <row r="27097">
      <c r="B27097" s="36"/>
      <c r="C27097" s="36"/>
      <c r="E27097" s="1"/>
      <c r="F27097" s="1"/>
      <c r="G27097" s="1"/>
    </row>
    <row r="27098">
      <c r="B27098" s="36"/>
      <c r="C27098" s="36"/>
      <c r="E27098" s="1"/>
      <c r="F27098" s="1"/>
      <c r="G27098" s="1"/>
    </row>
    <row r="27099">
      <c r="B27099" s="36"/>
      <c r="C27099" s="36"/>
      <c r="E27099" s="1"/>
      <c r="F27099" s="1"/>
      <c r="G27099" s="1"/>
    </row>
    <row r="27100">
      <c r="B27100" s="36"/>
      <c r="C27100" s="36"/>
      <c r="E27100" s="1"/>
      <c r="F27100" s="1"/>
      <c r="G27100" s="1"/>
    </row>
    <row r="27101">
      <c r="B27101" s="36"/>
      <c r="C27101" s="36"/>
      <c r="E27101" s="1"/>
      <c r="F27101" s="1"/>
      <c r="G27101" s="1"/>
    </row>
    <row r="27102">
      <c r="B27102" s="36"/>
      <c r="C27102" s="36"/>
      <c r="E27102" s="1"/>
      <c r="F27102" s="1"/>
      <c r="G27102" s="1"/>
    </row>
    <row r="27103">
      <c r="B27103" s="36"/>
      <c r="C27103" s="36"/>
      <c r="E27103" s="1"/>
      <c r="F27103" s="1"/>
      <c r="G27103" s="1"/>
    </row>
    <row r="27104">
      <c r="B27104" s="36"/>
      <c r="C27104" s="36"/>
      <c r="E27104" s="1"/>
      <c r="F27104" s="1"/>
      <c r="G27104" s="1"/>
    </row>
    <row r="27105">
      <c r="B27105" s="36"/>
      <c r="C27105" s="36"/>
      <c r="E27105" s="1"/>
      <c r="F27105" s="1"/>
      <c r="G27105" s="1"/>
    </row>
    <row r="27106">
      <c r="B27106" s="36"/>
      <c r="C27106" s="36"/>
      <c r="E27106" s="1"/>
      <c r="F27106" s="1"/>
      <c r="G27106" s="1"/>
    </row>
    <row r="27107">
      <c r="B27107" s="36"/>
      <c r="C27107" s="36"/>
      <c r="E27107" s="1"/>
      <c r="F27107" s="1"/>
      <c r="G27107" s="1"/>
    </row>
    <row r="27108">
      <c r="B27108" s="36"/>
      <c r="C27108" s="36"/>
      <c r="E27108" s="1"/>
      <c r="F27108" s="1"/>
      <c r="G27108" s="1"/>
    </row>
    <row r="27109">
      <c r="B27109" s="36"/>
      <c r="C27109" s="36"/>
      <c r="E27109" s="1"/>
      <c r="F27109" s="1"/>
      <c r="G27109" s="1"/>
    </row>
    <row r="27110">
      <c r="B27110" s="36"/>
      <c r="C27110" s="36"/>
      <c r="E27110" s="1"/>
      <c r="F27110" s="1"/>
      <c r="G27110" s="1"/>
    </row>
    <row r="27111">
      <c r="B27111" s="36"/>
      <c r="C27111" s="36"/>
      <c r="E27111" s="1"/>
      <c r="F27111" s="1"/>
      <c r="G27111" s="1"/>
    </row>
    <row r="27112">
      <c r="B27112" s="36"/>
      <c r="C27112" s="36"/>
      <c r="E27112" s="1"/>
      <c r="F27112" s="1"/>
      <c r="G27112" s="1"/>
    </row>
    <row r="27113">
      <c r="B27113" s="36"/>
      <c r="C27113" s="36"/>
      <c r="E27113" s="1"/>
      <c r="F27113" s="1"/>
      <c r="G27113" s="1"/>
    </row>
    <row r="27114">
      <c r="B27114" s="36"/>
      <c r="C27114" s="36"/>
      <c r="E27114" s="1"/>
      <c r="F27114" s="1"/>
      <c r="G27114" s="1"/>
    </row>
    <row r="27115">
      <c r="B27115" s="36"/>
      <c r="C27115" s="36"/>
      <c r="E27115" s="1"/>
      <c r="F27115" s="1"/>
      <c r="G27115" s="1"/>
    </row>
    <row r="27116">
      <c r="B27116" s="36"/>
      <c r="C27116" s="36"/>
      <c r="E27116" s="1"/>
      <c r="F27116" s="1"/>
      <c r="G27116" s="1"/>
    </row>
    <row r="27117">
      <c r="B27117" s="36"/>
      <c r="C27117" s="36"/>
      <c r="E27117" s="1"/>
      <c r="F27117" s="1"/>
      <c r="G27117" s="1"/>
    </row>
    <row r="27118">
      <c r="B27118" s="36"/>
      <c r="C27118" s="36"/>
      <c r="E27118" s="1"/>
      <c r="F27118" s="1"/>
      <c r="G27118" s="1"/>
    </row>
    <row r="27119">
      <c r="B27119" s="36"/>
      <c r="C27119" s="36"/>
      <c r="E27119" s="1"/>
      <c r="F27119" s="1"/>
      <c r="G27119" s="1"/>
    </row>
    <row r="27120">
      <c r="B27120" s="36"/>
      <c r="C27120" s="36"/>
      <c r="E27120" s="1"/>
      <c r="F27120" s="1"/>
      <c r="G27120" s="1"/>
    </row>
    <row r="27121">
      <c r="B27121" s="36"/>
      <c r="C27121" s="36"/>
      <c r="E27121" s="1"/>
      <c r="F27121" s="1"/>
      <c r="G27121" s="1"/>
    </row>
    <row r="27122">
      <c r="B27122" s="36"/>
      <c r="C27122" s="36"/>
      <c r="E27122" s="1"/>
      <c r="F27122" s="1"/>
      <c r="G27122" s="1"/>
    </row>
    <row r="27123">
      <c r="B27123" s="36"/>
      <c r="C27123" s="36"/>
      <c r="E27123" s="1"/>
      <c r="F27123" s="1"/>
      <c r="G27123" s="1"/>
    </row>
    <row r="27124">
      <c r="B27124" s="36"/>
      <c r="C27124" s="36"/>
      <c r="E27124" s="1"/>
      <c r="F27124" s="1"/>
      <c r="G27124" s="1"/>
    </row>
    <row r="27125">
      <c r="B27125" s="36"/>
      <c r="C27125" s="36"/>
      <c r="E27125" s="1"/>
      <c r="F27125" s="1"/>
      <c r="G27125" s="1"/>
    </row>
    <row r="27126">
      <c r="B27126" s="36"/>
      <c r="C27126" s="36"/>
      <c r="E27126" s="1"/>
      <c r="F27126" s="1"/>
      <c r="G27126" s="1"/>
    </row>
    <row r="27127">
      <c r="B27127" s="36"/>
      <c r="C27127" s="36"/>
      <c r="E27127" s="1"/>
      <c r="F27127" s="1"/>
      <c r="G27127" s="1"/>
    </row>
    <row r="27128">
      <c r="B27128" s="36"/>
      <c r="C27128" s="36"/>
      <c r="E27128" s="1"/>
      <c r="F27128" s="1"/>
      <c r="G27128" s="1"/>
    </row>
    <row r="27129">
      <c r="B27129" s="36"/>
      <c r="C27129" s="36"/>
      <c r="E27129" s="1"/>
      <c r="F27129" s="1"/>
      <c r="G27129" s="1"/>
    </row>
    <row r="27130">
      <c r="B27130" s="36"/>
      <c r="C27130" s="36"/>
      <c r="E27130" s="1"/>
      <c r="F27130" s="1"/>
      <c r="G27130" s="1"/>
    </row>
    <row r="27131">
      <c r="B27131" s="36"/>
      <c r="C27131" s="36"/>
      <c r="E27131" s="1"/>
      <c r="F27131" s="1"/>
      <c r="G27131" s="1"/>
    </row>
    <row r="27132">
      <c r="B27132" s="36"/>
      <c r="C27132" s="36"/>
      <c r="E27132" s="1"/>
      <c r="F27132" s="1"/>
      <c r="G27132" s="1"/>
    </row>
    <row r="27133">
      <c r="B27133" s="36"/>
      <c r="C27133" s="36"/>
      <c r="E27133" s="1"/>
      <c r="F27133" s="1"/>
      <c r="G27133" s="1"/>
    </row>
    <row r="27134">
      <c r="B27134" s="36"/>
      <c r="C27134" s="36"/>
      <c r="E27134" s="1"/>
      <c r="F27134" s="1"/>
      <c r="G27134" s="1"/>
    </row>
    <row r="27135">
      <c r="B27135" s="36"/>
      <c r="C27135" s="36"/>
      <c r="E27135" s="1"/>
      <c r="F27135" s="1"/>
      <c r="G27135" s="1"/>
    </row>
    <row r="27136">
      <c r="B27136" s="36"/>
      <c r="C27136" s="36"/>
      <c r="E27136" s="1"/>
      <c r="F27136" s="1"/>
      <c r="G27136" s="1"/>
    </row>
    <row r="27137">
      <c r="B27137" s="36"/>
      <c r="C27137" s="36"/>
      <c r="E27137" s="1"/>
      <c r="F27137" s="1"/>
      <c r="G27137" s="1"/>
    </row>
    <row r="27138">
      <c r="B27138" s="36"/>
      <c r="C27138" s="36"/>
      <c r="E27138" s="1"/>
      <c r="F27138" s="1"/>
      <c r="G27138" s="1"/>
    </row>
    <row r="27139">
      <c r="B27139" s="36"/>
      <c r="C27139" s="36"/>
      <c r="E27139" s="1"/>
      <c r="F27139" s="1"/>
      <c r="G27139" s="1"/>
    </row>
    <row r="27140">
      <c r="B27140" s="36"/>
      <c r="C27140" s="36"/>
      <c r="E27140" s="1"/>
      <c r="F27140" s="1"/>
      <c r="G27140" s="1"/>
    </row>
    <row r="27141">
      <c r="B27141" s="36"/>
      <c r="C27141" s="36"/>
      <c r="E27141" s="1"/>
      <c r="F27141" s="1"/>
      <c r="G27141" s="1"/>
    </row>
    <row r="27142">
      <c r="B27142" s="36"/>
      <c r="C27142" s="36"/>
      <c r="E27142" s="1"/>
      <c r="F27142" s="1"/>
      <c r="G27142" s="1"/>
    </row>
    <row r="27143">
      <c r="B27143" s="36"/>
      <c r="C27143" s="36"/>
      <c r="E27143" s="1"/>
      <c r="F27143" s="1"/>
      <c r="G27143" s="1"/>
    </row>
    <row r="27144">
      <c r="B27144" s="36"/>
      <c r="C27144" s="36"/>
      <c r="E27144" s="1"/>
      <c r="F27144" s="1"/>
      <c r="G27144" s="1"/>
    </row>
    <row r="27145">
      <c r="B27145" s="36"/>
      <c r="C27145" s="36"/>
      <c r="E27145" s="1"/>
      <c r="F27145" s="1"/>
      <c r="G27145" s="1"/>
    </row>
    <row r="27146">
      <c r="B27146" s="36"/>
      <c r="C27146" s="36"/>
      <c r="E27146" s="1"/>
      <c r="F27146" s="1"/>
      <c r="G27146" s="1"/>
    </row>
    <row r="27147">
      <c r="B27147" s="36"/>
      <c r="C27147" s="36"/>
      <c r="E27147" s="1"/>
      <c r="F27147" s="1"/>
      <c r="G27147" s="1"/>
    </row>
    <row r="27148">
      <c r="B27148" s="36"/>
      <c r="C27148" s="36"/>
      <c r="E27148" s="1"/>
      <c r="F27148" s="1"/>
      <c r="G27148" s="1"/>
    </row>
    <row r="27149">
      <c r="B27149" s="36"/>
      <c r="C27149" s="36"/>
      <c r="E27149" s="1"/>
      <c r="F27149" s="1"/>
      <c r="G27149" s="1"/>
    </row>
    <row r="27150">
      <c r="B27150" s="36"/>
      <c r="C27150" s="36"/>
      <c r="E27150" s="1"/>
      <c r="F27150" s="1"/>
      <c r="G27150" s="1"/>
    </row>
    <row r="27151">
      <c r="B27151" s="36"/>
      <c r="C27151" s="36"/>
      <c r="E27151" s="1"/>
      <c r="F27151" s="1"/>
      <c r="G27151" s="1"/>
    </row>
    <row r="27152">
      <c r="B27152" s="36"/>
      <c r="C27152" s="36"/>
      <c r="E27152" s="1"/>
      <c r="F27152" s="1"/>
      <c r="G27152" s="1"/>
    </row>
    <row r="27153">
      <c r="B27153" s="36"/>
      <c r="C27153" s="36"/>
      <c r="E27153" s="1"/>
      <c r="F27153" s="1"/>
      <c r="G27153" s="1"/>
    </row>
    <row r="27154">
      <c r="B27154" s="36"/>
      <c r="C27154" s="36"/>
      <c r="E27154" s="1"/>
      <c r="F27154" s="1"/>
      <c r="G27154" s="1"/>
    </row>
    <row r="27155">
      <c r="B27155" s="36"/>
      <c r="C27155" s="36"/>
      <c r="E27155" s="1"/>
      <c r="F27155" s="1"/>
      <c r="G27155" s="1"/>
    </row>
    <row r="27156">
      <c r="B27156" s="36"/>
      <c r="C27156" s="36"/>
      <c r="E27156" s="1"/>
      <c r="F27156" s="1"/>
      <c r="G27156" s="1"/>
    </row>
    <row r="27157">
      <c r="B27157" s="36"/>
      <c r="C27157" s="36"/>
      <c r="E27157" s="1"/>
      <c r="F27157" s="1"/>
      <c r="G27157" s="1"/>
    </row>
    <row r="27158">
      <c r="B27158" s="36"/>
      <c r="C27158" s="36"/>
      <c r="E27158" s="1"/>
      <c r="F27158" s="1"/>
      <c r="G27158" s="1"/>
    </row>
    <row r="27159">
      <c r="B27159" s="36"/>
      <c r="C27159" s="36"/>
      <c r="E27159" s="1"/>
      <c r="F27159" s="1"/>
      <c r="G27159" s="1"/>
    </row>
    <row r="27160">
      <c r="B27160" s="36"/>
      <c r="C27160" s="36"/>
      <c r="E27160" s="1"/>
      <c r="F27160" s="1"/>
      <c r="G27160" s="1"/>
    </row>
    <row r="27161">
      <c r="B27161" s="36"/>
      <c r="C27161" s="36"/>
      <c r="E27161" s="1"/>
      <c r="F27161" s="1"/>
      <c r="G27161" s="1"/>
    </row>
    <row r="27162">
      <c r="B27162" s="36"/>
      <c r="C27162" s="36"/>
      <c r="E27162" s="1"/>
      <c r="F27162" s="1"/>
      <c r="G27162" s="1"/>
    </row>
    <row r="27163">
      <c r="B27163" s="36"/>
      <c r="C27163" s="36"/>
      <c r="E27163" s="1"/>
      <c r="F27163" s="1"/>
      <c r="G27163" s="1"/>
    </row>
    <row r="27164">
      <c r="B27164" s="36"/>
      <c r="C27164" s="36"/>
      <c r="E27164" s="1"/>
      <c r="F27164" s="1"/>
      <c r="G27164" s="1"/>
    </row>
    <row r="27165">
      <c r="B27165" s="36"/>
      <c r="C27165" s="36"/>
      <c r="E27165" s="1"/>
      <c r="F27165" s="1"/>
      <c r="G27165" s="1"/>
    </row>
    <row r="27166">
      <c r="B27166" s="36"/>
      <c r="C27166" s="36"/>
      <c r="E27166" s="1"/>
      <c r="F27166" s="1"/>
      <c r="G27166" s="1"/>
    </row>
    <row r="27167">
      <c r="B27167" s="36"/>
      <c r="C27167" s="36"/>
      <c r="E27167" s="1"/>
      <c r="F27167" s="1"/>
      <c r="G27167" s="1"/>
    </row>
    <row r="27168">
      <c r="B27168" s="36"/>
      <c r="C27168" s="36"/>
      <c r="E27168" s="1"/>
      <c r="F27168" s="1"/>
      <c r="G27168" s="1"/>
    </row>
    <row r="27169">
      <c r="B27169" s="36"/>
      <c r="C27169" s="36"/>
      <c r="E27169" s="1"/>
      <c r="F27169" s="1"/>
      <c r="G27169" s="1"/>
    </row>
    <row r="27170">
      <c r="B27170" s="36"/>
      <c r="C27170" s="36"/>
      <c r="E27170" s="1"/>
      <c r="F27170" s="1"/>
      <c r="G27170" s="1"/>
    </row>
    <row r="27171">
      <c r="B27171" s="36"/>
      <c r="C27171" s="36"/>
      <c r="E27171" s="1"/>
      <c r="F27171" s="1"/>
      <c r="G27171" s="1"/>
    </row>
    <row r="27172">
      <c r="B27172" s="36"/>
      <c r="C27172" s="36"/>
      <c r="E27172" s="1"/>
      <c r="F27172" s="1"/>
      <c r="G27172" s="1"/>
    </row>
    <row r="27173">
      <c r="B27173" s="36"/>
      <c r="C27173" s="36"/>
      <c r="E27173" s="1"/>
      <c r="F27173" s="1"/>
      <c r="G27173" s="1"/>
    </row>
    <row r="27174">
      <c r="B27174" s="36"/>
      <c r="C27174" s="36"/>
      <c r="E27174" s="1"/>
      <c r="F27174" s="1"/>
      <c r="G27174" s="1"/>
    </row>
    <row r="27175">
      <c r="B27175" s="36"/>
      <c r="C27175" s="36"/>
      <c r="E27175" s="1"/>
      <c r="F27175" s="1"/>
      <c r="G27175" s="1"/>
    </row>
    <row r="27176">
      <c r="B27176" s="36"/>
      <c r="C27176" s="36"/>
      <c r="E27176" s="1"/>
      <c r="F27176" s="1"/>
      <c r="G27176" s="1"/>
    </row>
    <row r="27177">
      <c r="B27177" s="36"/>
      <c r="C27177" s="36"/>
      <c r="E27177" s="1"/>
      <c r="F27177" s="1"/>
      <c r="G27177" s="1"/>
    </row>
    <row r="27178">
      <c r="B27178" s="36"/>
      <c r="C27178" s="36"/>
      <c r="E27178" s="1"/>
      <c r="F27178" s="1"/>
      <c r="G27178" s="1"/>
    </row>
    <row r="27179">
      <c r="B27179" s="36"/>
      <c r="C27179" s="36"/>
      <c r="E27179" s="1"/>
      <c r="F27179" s="1"/>
      <c r="G27179" s="1"/>
    </row>
    <row r="27180">
      <c r="B27180" s="36"/>
      <c r="C27180" s="36"/>
      <c r="E27180" s="1"/>
      <c r="F27180" s="1"/>
      <c r="G27180" s="1"/>
    </row>
    <row r="27181">
      <c r="B27181" s="36"/>
      <c r="C27181" s="36"/>
      <c r="E27181" s="1"/>
      <c r="F27181" s="1"/>
      <c r="G27181" s="1"/>
    </row>
    <row r="27182">
      <c r="B27182" s="36"/>
      <c r="C27182" s="36"/>
      <c r="E27182" s="1"/>
      <c r="F27182" s="1"/>
      <c r="G27182" s="1"/>
    </row>
    <row r="27183">
      <c r="B27183" s="36"/>
      <c r="C27183" s="36"/>
      <c r="E27183" s="1"/>
      <c r="F27183" s="1"/>
      <c r="G27183" s="1"/>
    </row>
    <row r="27184">
      <c r="B27184" s="36"/>
      <c r="C27184" s="36"/>
      <c r="E27184" s="1"/>
      <c r="F27184" s="1"/>
      <c r="G27184" s="1"/>
    </row>
    <row r="27185">
      <c r="B27185" s="36"/>
      <c r="C27185" s="36"/>
      <c r="E27185" s="1"/>
      <c r="F27185" s="1"/>
      <c r="G27185" s="1"/>
    </row>
    <row r="27186">
      <c r="B27186" s="36"/>
      <c r="C27186" s="36"/>
      <c r="E27186" s="1"/>
      <c r="F27186" s="1"/>
      <c r="G27186" s="1"/>
    </row>
    <row r="27187">
      <c r="B27187" s="36"/>
      <c r="C27187" s="36"/>
      <c r="E27187" s="1"/>
      <c r="F27187" s="1"/>
      <c r="G27187" s="1"/>
    </row>
    <row r="27188">
      <c r="B27188" s="36"/>
      <c r="C27188" s="36"/>
      <c r="E27188" s="1"/>
      <c r="F27188" s="1"/>
      <c r="G27188" s="1"/>
    </row>
    <row r="27189">
      <c r="B27189" s="36"/>
      <c r="C27189" s="36"/>
      <c r="E27189" s="1"/>
      <c r="F27189" s="1"/>
      <c r="G27189" s="1"/>
    </row>
    <row r="27190">
      <c r="B27190" s="36"/>
      <c r="C27190" s="36"/>
      <c r="E27190" s="1"/>
      <c r="F27190" s="1"/>
      <c r="G27190" s="1"/>
    </row>
    <row r="27191">
      <c r="B27191" s="36"/>
      <c r="C27191" s="36"/>
      <c r="E27191" s="1"/>
      <c r="F27191" s="1"/>
      <c r="G27191" s="1"/>
    </row>
    <row r="27192">
      <c r="B27192" s="36"/>
      <c r="C27192" s="36"/>
      <c r="E27192" s="1"/>
      <c r="F27192" s="1"/>
      <c r="G27192" s="1"/>
    </row>
    <row r="27193">
      <c r="B27193" s="36"/>
      <c r="C27193" s="36"/>
      <c r="E27193" s="1"/>
      <c r="F27193" s="1"/>
      <c r="G27193" s="1"/>
    </row>
    <row r="27194">
      <c r="B27194" s="36"/>
      <c r="C27194" s="36"/>
      <c r="E27194" s="1"/>
      <c r="F27194" s="1"/>
      <c r="G27194" s="1"/>
    </row>
    <row r="27195">
      <c r="B27195" s="36"/>
      <c r="C27195" s="36"/>
      <c r="E27195" s="1"/>
      <c r="F27195" s="1"/>
      <c r="G27195" s="1"/>
    </row>
    <row r="27196">
      <c r="B27196" s="36"/>
      <c r="C27196" s="36"/>
      <c r="E27196" s="1"/>
      <c r="F27196" s="1"/>
      <c r="G27196" s="1"/>
    </row>
    <row r="27197">
      <c r="B27197" s="36"/>
      <c r="C27197" s="36"/>
      <c r="E27197" s="1"/>
      <c r="F27197" s="1"/>
      <c r="G27197" s="1"/>
    </row>
    <row r="27198">
      <c r="B27198" s="36"/>
      <c r="C27198" s="36"/>
      <c r="E27198" s="1"/>
      <c r="F27198" s="1"/>
      <c r="G27198" s="1"/>
    </row>
    <row r="27199">
      <c r="B27199" s="36"/>
      <c r="C27199" s="36"/>
      <c r="E27199" s="1"/>
      <c r="F27199" s="1"/>
      <c r="G27199" s="1"/>
    </row>
    <row r="27200">
      <c r="B27200" s="36"/>
      <c r="C27200" s="36"/>
      <c r="E27200" s="1"/>
      <c r="F27200" s="1"/>
      <c r="G27200" s="1"/>
    </row>
    <row r="27201">
      <c r="B27201" s="36"/>
      <c r="C27201" s="36"/>
      <c r="E27201" s="1"/>
      <c r="F27201" s="1"/>
      <c r="G27201" s="1"/>
    </row>
    <row r="27202">
      <c r="B27202" s="36"/>
      <c r="C27202" s="36"/>
      <c r="E27202" s="1"/>
      <c r="F27202" s="1"/>
      <c r="G27202" s="1"/>
    </row>
    <row r="27203">
      <c r="B27203" s="36"/>
      <c r="C27203" s="36"/>
      <c r="E27203" s="1"/>
      <c r="F27203" s="1"/>
      <c r="G27203" s="1"/>
    </row>
    <row r="27204">
      <c r="B27204" s="36"/>
      <c r="C27204" s="36"/>
      <c r="E27204" s="1"/>
      <c r="F27204" s="1"/>
      <c r="G27204" s="1"/>
    </row>
    <row r="27205">
      <c r="B27205" s="36"/>
      <c r="C27205" s="36"/>
      <c r="E27205" s="1"/>
      <c r="F27205" s="1"/>
      <c r="G27205" s="1"/>
    </row>
    <row r="27206">
      <c r="B27206" s="36"/>
      <c r="C27206" s="36"/>
      <c r="E27206" s="1"/>
      <c r="F27206" s="1"/>
      <c r="G27206" s="1"/>
    </row>
    <row r="27207">
      <c r="B27207" s="36"/>
      <c r="C27207" s="36"/>
      <c r="E27207" s="1"/>
      <c r="F27207" s="1"/>
      <c r="G27207" s="1"/>
    </row>
    <row r="27208">
      <c r="B27208" s="36"/>
      <c r="C27208" s="36"/>
      <c r="E27208" s="1"/>
      <c r="F27208" s="1"/>
      <c r="G27208" s="1"/>
    </row>
    <row r="27209">
      <c r="B27209" s="36"/>
      <c r="C27209" s="36"/>
      <c r="E27209" s="1"/>
      <c r="F27209" s="1"/>
      <c r="G27209" s="1"/>
    </row>
    <row r="27210">
      <c r="B27210" s="36"/>
      <c r="C27210" s="36"/>
      <c r="E27210" s="1"/>
      <c r="F27210" s="1"/>
      <c r="G27210" s="1"/>
    </row>
    <row r="27211">
      <c r="B27211" s="36"/>
      <c r="C27211" s="36"/>
      <c r="E27211" s="1"/>
      <c r="F27211" s="1"/>
      <c r="G27211" s="1"/>
    </row>
    <row r="27212">
      <c r="B27212" s="36"/>
      <c r="C27212" s="36"/>
      <c r="E27212" s="1"/>
      <c r="F27212" s="1"/>
      <c r="G27212" s="1"/>
    </row>
    <row r="27213">
      <c r="B27213" s="36"/>
      <c r="C27213" s="36"/>
      <c r="E27213" s="1"/>
      <c r="F27213" s="1"/>
      <c r="G27213" s="1"/>
    </row>
    <row r="27214">
      <c r="B27214" s="36"/>
      <c r="C27214" s="36"/>
      <c r="E27214" s="1"/>
      <c r="F27214" s="1"/>
      <c r="G27214" s="1"/>
    </row>
    <row r="27215">
      <c r="B27215" s="36"/>
      <c r="C27215" s="36"/>
      <c r="E27215" s="1"/>
      <c r="F27215" s="1"/>
      <c r="G27215" s="1"/>
    </row>
    <row r="27216">
      <c r="B27216" s="36"/>
      <c r="C27216" s="36"/>
      <c r="E27216" s="1"/>
      <c r="F27216" s="1"/>
      <c r="G27216" s="1"/>
    </row>
    <row r="27217">
      <c r="B27217" s="36"/>
      <c r="C27217" s="36"/>
      <c r="E27217" s="1"/>
      <c r="F27217" s="1"/>
      <c r="G27217" s="1"/>
    </row>
    <row r="27218">
      <c r="B27218" s="36"/>
      <c r="C27218" s="36"/>
      <c r="E27218" s="1"/>
      <c r="F27218" s="1"/>
      <c r="G27218" s="1"/>
    </row>
    <row r="27219">
      <c r="B27219" s="36"/>
      <c r="C27219" s="36"/>
      <c r="E27219" s="1"/>
      <c r="F27219" s="1"/>
      <c r="G27219" s="1"/>
    </row>
    <row r="27220">
      <c r="B27220" s="36"/>
      <c r="C27220" s="36"/>
      <c r="E27220" s="1"/>
      <c r="F27220" s="1"/>
      <c r="G27220" s="1"/>
    </row>
    <row r="27221">
      <c r="B27221" s="36"/>
      <c r="C27221" s="36"/>
      <c r="E27221" s="1"/>
      <c r="F27221" s="1"/>
      <c r="G27221" s="1"/>
    </row>
    <row r="27222">
      <c r="B27222" s="36"/>
      <c r="C27222" s="36"/>
      <c r="E27222" s="1"/>
      <c r="F27222" s="1"/>
      <c r="G27222" s="1"/>
    </row>
    <row r="27223">
      <c r="B27223" s="36"/>
      <c r="C27223" s="36"/>
      <c r="E27223" s="1"/>
      <c r="F27223" s="1"/>
      <c r="G27223" s="1"/>
    </row>
    <row r="27224">
      <c r="B27224" s="36"/>
      <c r="C27224" s="36"/>
      <c r="E27224" s="1"/>
      <c r="F27224" s="1"/>
      <c r="G27224" s="1"/>
    </row>
    <row r="27225">
      <c r="B27225" s="36"/>
      <c r="C27225" s="36"/>
      <c r="E27225" s="1"/>
      <c r="F27225" s="1"/>
      <c r="G27225" s="1"/>
    </row>
    <row r="27226">
      <c r="B27226" s="36"/>
      <c r="C27226" s="36"/>
      <c r="E27226" s="1"/>
      <c r="F27226" s="1"/>
      <c r="G27226" s="1"/>
    </row>
    <row r="27227">
      <c r="B27227" s="36"/>
      <c r="C27227" s="36"/>
      <c r="E27227" s="1"/>
      <c r="F27227" s="1"/>
      <c r="G27227" s="1"/>
    </row>
    <row r="27228">
      <c r="B27228" s="36"/>
      <c r="C27228" s="36"/>
      <c r="E27228" s="1"/>
      <c r="F27228" s="1"/>
      <c r="G27228" s="1"/>
    </row>
    <row r="27229">
      <c r="B27229" s="36"/>
      <c r="C27229" s="36"/>
      <c r="E27229" s="1"/>
      <c r="F27229" s="1"/>
      <c r="G27229" s="1"/>
    </row>
    <row r="27230">
      <c r="B27230" s="36"/>
      <c r="C27230" s="36"/>
      <c r="E27230" s="1"/>
      <c r="F27230" s="1"/>
      <c r="G27230" s="1"/>
    </row>
    <row r="27231">
      <c r="B27231" s="36"/>
      <c r="C27231" s="36"/>
      <c r="E27231" s="1"/>
      <c r="F27231" s="1"/>
      <c r="G27231" s="1"/>
    </row>
    <row r="27232">
      <c r="B27232" s="36"/>
      <c r="C27232" s="36"/>
      <c r="E27232" s="1"/>
      <c r="F27232" s="1"/>
      <c r="G27232" s="1"/>
    </row>
    <row r="27233">
      <c r="B27233" s="36"/>
      <c r="C27233" s="36"/>
      <c r="E27233" s="1"/>
      <c r="F27233" s="1"/>
      <c r="G27233" s="1"/>
    </row>
    <row r="27234">
      <c r="B27234" s="36"/>
      <c r="C27234" s="36"/>
      <c r="E27234" s="1"/>
      <c r="F27234" s="1"/>
      <c r="G27234" s="1"/>
    </row>
    <row r="27235">
      <c r="B27235" s="36"/>
      <c r="C27235" s="36"/>
      <c r="E27235" s="1"/>
      <c r="F27235" s="1"/>
      <c r="G27235" s="1"/>
    </row>
    <row r="27236">
      <c r="B27236" s="36"/>
      <c r="C27236" s="36"/>
      <c r="E27236" s="1"/>
      <c r="F27236" s="1"/>
      <c r="G27236" s="1"/>
    </row>
    <row r="27237">
      <c r="B27237" s="36"/>
      <c r="C27237" s="36"/>
      <c r="E27237" s="1"/>
      <c r="F27237" s="1"/>
      <c r="G27237" s="1"/>
    </row>
    <row r="27238">
      <c r="B27238" s="36"/>
      <c r="C27238" s="36"/>
      <c r="E27238" s="1"/>
      <c r="F27238" s="1"/>
      <c r="G27238" s="1"/>
    </row>
    <row r="27239">
      <c r="B27239" s="36"/>
      <c r="C27239" s="36"/>
      <c r="E27239" s="1"/>
      <c r="F27239" s="1"/>
      <c r="G27239" s="1"/>
    </row>
    <row r="27240">
      <c r="B27240" s="36"/>
      <c r="C27240" s="36"/>
      <c r="E27240" s="1"/>
      <c r="F27240" s="1"/>
      <c r="G27240" s="1"/>
    </row>
    <row r="27241">
      <c r="B27241" s="36"/>
      <c r="C27241" s="36"/>
      <c r="E27241" s="1"/>
      <c r="F27241" s="1"/>
      <c r="G27241" s="1"/>
    </row>
    <row r="27242">
      <c r="B27242" s="36"/>
      <c r="C27242" s="36"/>
      <c r="E27242" s="1"/>
      <c r="F27242" s="1"/>
      <c r="G27242" s="1"/>
    </row>
    <row r="27243">
      <c r="B27243" s="36"/>
      <c r="C27243" s="36"/>
      <c r="E27243" s="1"/>
      <c r="F27243" s="1"/>
      <c r="G27243" s="1"/>
    </row>
    <row r="27244">
      <c r="B27244" s="36"/>
      <c r="C27244" s="36"/>
      <c r="E27244" s="1"/>
      <c r="F27244" s="1"/>
      <c r="G27244" s="1"/>
    </row>
    <row r="27245">
      <c r="B27245" s="36"/>
      <c r="C27245" s="36"/>
      <c r="E27245" s="1"/>
      <c r="F27245" s="1"/>
      <c r="G27245" s="1"/>
    </row>
    <row r="27246">
      <c r="B27246" s="36"/>
      <c r="C27246" s="36"/>
      <c r="E27246" s="1"/>
      <c r="F27246" s="1"/>
      <c r="G27246" s="1"/>
    </row>
    <row r="27247">
      <c r="B27247" s="36"/>
      <c r="C27247" s="36"/>
      <c r="E27247" s="1"/>
      <c r="F27247" s="1"/>
      <c r="G27247" s="1"/>
    </row>
    <row r="27248">
      <c r="B27248" s="36"/>
      <c r="C27248" s="36"/>
      <c r="E27248" s="1"/>
      <c r="F27248" s="1"/>
      <c r="G27248" s="1"/>
    </row>
    <row r="27249">
      <c r="B27249" s="36"/>
      <c r="C27249" s="36"/>
      <c r="E27249" s="1"/>
      <c r="F27249" s="1"/>
      <c r="G27249" s="1"/>
    </row>
    <row r="27250">
      <c r="B27250" s="36"/>
      <c r="C27250" s="36"/>
      <c r="E27250" s="1"/>
      <c r="F27250" s="1"/>
      <c r="G27250" s="1"/>
    </row>
    <row r="27251">
      <c r="B27251" s="36"/>
      <c r="C27251" s="36"/>
      <c r="E27251" s="1"/>
      <c r="F27251" s="1"/>
      <c r="G27251" s="1"/>
    </row>
    <row r="27252">
      <c r="B27252" s="36"/>
      <c r="C27252" s="36"/>
      <c r="E27252" s="1"/>
      <c r="F27252" s="1"/>
      <c r="G27252" s="1"/>
    </row>
    <row r="27253">
      <c r="B27253" s="36"/>
      <c r="C27253" s="36"/>
      <c r="E27253" s="1"/>
      <c r="F27253" s="1"/>
      <c r="G27253" s="1"/>
    </row>
    <row r="27254">
      <c r="B27254" s="36"/>
      <c r="C27254" s="36"/>
      <c r="E27254" s="1"/>
      <c r="F27254" s="1"/>
      <c r="G27254" s="1"/>
    </row>
    <row r="27255">
      <c r="B27255" s="36"/>
      <c r="C27255" s="36"/>
      <c r="E27255" s="1"/>
      <c r="F27255" s="1"/>
      <c r="G27255" s="1"/>
    </row>
    <row r="27256">
      <c r="B27256" s="36"/>
      <c r="C27256" s="36"/>
      <c r="E27256" s="1"/>
      <c r="F27256" s="1"/>
      <c r="G27256" s="1"/>
    </row>
    <row r="27257">
      <c r="B27257" s="36"/>
      <c r="C27257" s="36"/>
      <c r="E27257" s="1"/>
      <c r="F27257" s="1"/>
      <c r="G27257" s="1"/>
    </row>
    <row r="27258">
      <c r="B27258" s="36"/>
      <c r="C27258" s="36"/>
      <c r="E27258" s="1"/>
      <c r="F27258" s="1"/>
      <c r="G27258" s="1"/>
    </row>
    <row r="27259">
      <c r="B27259" s="36"/>
      <c r="C27259" s="36"/>
      <c r="E27259" s="1"/>
      <c r="F27259" s="1"/>
      <c r="G27259" s="1"/>
    </row>
    <row r="27260">
      <c r="B27260" s="36"/>
      <c r="C27260" s="36"/>
      <c r="E27260" s="1"/>
      <c r="F27260" s="1"/>
      <c r="G27260" s="1"/>
    </row>
    <row r="27261">
      <c r="B27261" s="36"/>
      <c r="C27261" s="36"/>
      <c r="E27261" s="1"/>
      <c r="F27261" s="1"/>
      <c r="G27261" s="1"/>
    </row>
    <row r="27262">
      <c r="B27262" s="36"/>
      <c r="C27262" s="36"/>
      <c r="E27262" s="1"/>
      <c r="F27262" s="1"/>
      <c r="G27262" s="1"/>
    </row>
    <row r="27263">
      <c r="B27263" s="36"/>
      <c r="C27263" s="36"/>
      <c r="E27263" s="1"/>
      <c r="F27263" s="1"/>
      <c r="G27263" s="1"/>
    </row>
    <row r="27264">
      <c r="B27264" s="36"/>
      <c r="C27264" s="36"/>
      <c r="E27264" s="1"/>
      <c r="F27264" s="1"/>
      <c r="G27264" s="1"/>
    </row>
    <row r="27265">
      <c r="B27265" s="36"/>
      <c r="C27265" s="36"/>
      <c r="E27265" s="1"/>
      <c r="F27265" s="1"/>
      <c r="G27265" s="1"/>
    </row>
    <row r="27266">
      <c r="B27266" s="36"/>
      <c r="C27266" s="36"/>
      <c r="E27266" s="1"/>
      <c r="F27266" s="1"/>
      <c r="G27266" s="1"/>
    </row>
    <row r="27267">
      <c r="B27267" s="36"/>
      <c r="C27267" s="36"/>
      <c r="E27267" s="1"/>
      <c r="F27267" s="1"/>
      <c r="G27267" s="1"/>
    </row>
    <row r="27268">
      <c r="B27268" s="36"/>
      <c r="C27268" s="36"/>
      <c r="E27268" s="1"/>
      <c r="F27268" s="1"/>
      <c r="G27268" s="1"/>
    </row>
    <row r="27269">
      <c r="B27269" s="36"/>
      <c r="C27269" s="36"/>
      <c r="E27269" s="1"/>
      <c r="F27269" s="1"/>
      <c r="G27269" s="1"/>
    </row>
    <row r="27270">
      <c r="B27270" s="36"/>
      <c r="C27270" s="36"/>
      <c r="E27270" s="1"/>
      <c r="F27270" s="1"/>
      <c r="G27270" s="1"/>
    </row>
    <row r="27271">
      <c r="B27271" s="36"/>
      <c r="C27271" s="36"/>
      <c r="E27271" s="1"/>
      <c r="F27271" s="1"/>
      <c r="G27271" s="1"/>
    </row>
    <row r="27272">
      <c r="B27272" s="36"/>
      <c r="C27272" s="36"/>
      <c r="E27272" s="1"/>
      <c r="F27272" s="1"/>
      <c r="G27272" s="1"/>
    </row>
    <row r="27273">
      <c r="B27273" s="36"/>
      <c r="C27273" s="36"/>
      <c r="E27273" s="1"/>
      <c r="F27273" s="1"/>
      <c r="G27273" s="1"/>
    </row>
    <row r="27274">
      <c r="B27274" s="36"/>
      <c r="C27274" s="36"/>
      <c r="E27274" s="1"/>
      <c r="F27274" s="1"/>
      <c r="G27274" s="1"/>
    </row>
    <row r="27275">
      <c r="B27275" s="36"/>
      <c r="C27275" s="36"/>
      <c r="E27275" s="1"/>
      <c r="F27275" s="1"/>
      <c r="G27275" s="1"/>
    </row>
    <row r="27276">
      <c r="B27276" s="36"/>
      <c r="C27276" s="36"/>
      <c r="E27276" s="1"/>
      <c r="F27276" s="1"/>
      <c r="G27276" s="1"/>
    </row>
    <row r="27277">
      <c r="B27277" s="36"/>
      <c r="C27277" s="36"/>
      <c r="E27277" s="1"/>
      <c r="F27277" s="1"/>
      <c r="G27277" s="1"/>
    </row>
    <row r="27278">
      <c r="B27278" s="36"/>
      <c r="C27278" s="36"/>
      <c r="E27278" s="1"/>
      <c r="F27278" s="1"/>
      <c r="G27278" s="1"/>
    </row>
    <row r="27279">
      <c r="B27279" s="36"/>
      <c r="C27279" s="36"/>
      <c r="E27279" s="1"/>
      <c r="F27279" s="1"/>
      <c r="G27279" s="1"/>
    </row>
    <row r="27280">
      <c r="B27280" s="36"/>
      <c r="C27280" s="36"/>
      <c r="E27280" s="1"/>
      <c r="F27280" s="1"/>
      <c r="G27280" s="1"/>
    </row>
    <row r="27281">
      <c r="B27281" s="36"/>
      <c r="C27281" s="36"/>
      <c r="E27281" s="1"/>
      <c r="F27281" s="1"/>
      <c r="G27281" s="1"/>
    </row>
    <row r="27282">
      <c r="B27282" s="36"/>
      <c r="C27282" s="36"/>
      <c r="E27282" s="1"/>
      <c r="F27282" s="1"/>
      <c r="G27282" s="1"/>
    </row>
    <row r="27283">
      <c r="B27283" s="36"/>
      <c r="C27283" s="36"/>
      <c r="E27283" s="1"/>
      <c r="F27283" s="1"/>
      <c r="G27283" s="1"/>
    </row>
    <row r="27284">
      <c r="B27284" s="36"/>
      <c r="C27284" s="36"/>
      <c r="E27284" s="1"/>
      <c r="F27284" s="1"/>
      <c r="G27284" s="1"/>
    </row>
    <row r="27285">
      <c r="B27285" s="36"/>
      <c r="C27285" s="36"/>
      <c r="E27285" s="1"/>
      <c r="F27285" s="1"/>
      <c r="G27285" s="1"/>
    </row>
    <row r="27286">
      <c r="B27286" s="36"/>
      <c r="C27286" s="36"/>
      <c r="E27286" s="1"/>
      <c r="F27286" s="1"/>
      <c r="G27286" s="1"/>
    </row>
    <row r="27287">
      <c r="B27287" s="36"/>
      <c r="C27287" s="36"/>
      <c r="E27287" s="1"/>
      <c r="F27287" s="1"/>
      <c r="G27287" s="1"/>
    </row>
    <row r="27288">
      <c r="B27288" s="36"/>
      <c r="C27288" s="36"/>
      <c r="E27288" s="1"/>
      <c r="F27288" s="1"/>
      <c r="G27288" s="1"/>
    </row>
    <row r="27289">
      <c r="B27289" s="36"/>
      <c r="C27289" s="36"/>
      <c r="E27289" s="1"/>
      <c r="F27289" s="1"/>
      <c r="G27289" s="1"/>
    </row>
    <row r="27290">
      <c r="B27290" s="36"/>
      <c r="C27290" s="36"/>
      <c r="E27290" s="1"/>
      <c r="F27290" s="1"/>
      <c r="G27290" s="1"/>
    </row>
    <row r="27291">
      <c r="B27291" s="36"/>
      <c r="C27291" s="36"/>
      <c r="E27291" s="1"/>
      <c r="F27291" s="1"/>
      <c r="G27291" s="1"/>
    </row>
    <row r="27292">
      <c r="B27292" s="36"/>
      <c r="C27292" s="36"/>
      <c r="E27292" s="1"/>
      <c r="F27292" s="1"/>
      <c r="G27292" s="1"/>
    </row>
    <row r="27293">
      <c r="B27293" s="36"/>
      <c r="C27293" s="36"/>
      <c r="E27293" s="1"/>
      <c r="F27293" s="1"/>
      <c r="G27293" s="1"/>
    </row>
    <row r="27294">
      <c r="B27294" s="36"/>
      <c r="C27294" s="36"/>
      <c r="E27294" s="1"/>
      <c r="F27294" s="1"/>
      <c r="G27294" s="1"/>
    </row>
    <row r="27295">
      <c r="B27295" s="36"/>
      <c r="C27295" s="36"/>
      <c r="E27295" s="1"/>
      <c r="F27295" s="1"/>
      <c r="G27295" s="1"/>
    </row>
    <row r="27296">
      <c r="B27296" s="36"/>
      <c r="C27296" s="36"/>
      <c r="E27296" s="1"/>
      <c r="F27296" s="1"/>
      <c r="G27296" s="1"/>
    </row>
    <row r="27297">
      <c r="B27297" s="36"/>
      <c r="C27297" s="36"/>
      <c r="E27297" s="1"/>
      <c r="F27297" s="1"/>
      <c r="G27297" s="1"/>
    </row>
    <row r="27298">
      <c r="B27298" s="36"/>
      <c r="C27298" s="36"/>
      <c r="E27298" s="1"/>
      <c r="F27298" s="1"/>
      <c r="G27298" s="1"/>
    </row>
    <row r="27299">
      <c r="B27299" s="36"/>
      <c r="C27299" s="36"/>
      <c r="E27299" s="1"/>
      <c r="F27299" s="1"/>
      <c r="G27299" s="1"/>
    </row>
    <row r="27300">
      <c r="B27300" s="36"/>
      <c r="C27300" s="36"/>
      <c r="E27300" s="1"/>
      <c r="F27300" s="1"/>
      <c r="G27300" s="1"/>
    </row>
    <row r="27301">
      <c r="B27301" s="36"/>
      <c r="C27301" s="36"/>
      <c r="E27301" s="1"/>
      <c r="F27301" s="1"/>
      <c r="G27301" s="1"/>
    </row>
    <row r="27302">
      <c r="B27302" s="36"/>
      <c r="C27302" s="36"/>
      <c r="E27302" s="1"/>
      <c r="F27302" s="1"/>
      <c r="G27302" s="1"/>
    </row>
    <row r="27303">
      <c r="B27303" s="36"/>
      <c r="C27303" s="36"/>
      <c r="E27303" s="1"/>
      <c r="F27303" s="1"/>
      <c r="G27303" s="1"/>
    </row>
    <row r="27304">
      <c r="B27304" s="36"/>
      <c r="C27304" s="36"/>
      <c r="E27304" s="1"/>
      <c r="F27304" s="1"/>
      <c r="G27304" s="1"/>
    </row>
    <row r="27305">
      <c r="B27305" s="36"/>
      <c r="C27305" s="36"/>
      <c r="E27305" s="1"/>
      <c r="F27305" s="1"/>
      <c r="G27305" s="1"/>
    </row>
    <row r="27306">
      <c r="B27306" s="36"/>
      <c r="C27306" s="36"/>
      <c r="E27306" s="1"/>
      <c r="F27306" s="1"/>
      <c r="G27306" s="1"/>
    </row>
    <row r="27307">
      <c r="B27307" s="36"/>
      <c r="C27307" s="36"/>
      <c r="E27307" s="1"/>
      <c r="F27307" s="1"/>
      <c r="G27307" s="1"/>
    </row>
    <row r="27308">
      <c r="B27308" s="36"/>
      <c r="C27308" s="36"/>
      <c r="E27308" s="1"/>
      <c r="F27308" s="1"/>
      <c r="G27308" s="1"/>
    </row>
    <row r="27309">
      <c r="B27309" s="36"/>
      <c r="C27309" s="36"/>
      <c r="E27309" s="1"/>
      <c r="F27309" s="1"/>
      <c r="G27309" s="1"/>
    </row>
    <row r="27310">
      <c r="B27310" s="36"/>
      <c r="C27310" s="36"/>
      <c r="E27310" s="1"/>
      <c r="F27310" s="1"/>
      <c r="G27310" s="1"/>
    </row>
    <row r="27311">
      <c r="B27311" s="36"/>
      <c r="C27311" s="36"/>
      <c r="E27311" s="1"/>
      <c r="F27311" s="1"/>
      <c r="G27311" s="1"/>
    </row>
    <row r="27312">
      <c r="B27312" s="36"/>
      <c r="C27312" s="36"/>
      <c r="E27312" s="1"/>
      <c r="F27312" s="1"/>
      <c r="G27312" s="1"/>
    </row>
    <row r="27313">
      <c r="B27313" s="36"/>
      <c r="C27313" s="36"/>
      <c r="E27313" s="1"/>
      <c r="F27313" s="1"/>
      <c r="G27313" s="1"/>
    </row>
    <row r="27314">
      <c r="B27314" s="36"/>
      <c r="C27314" s="36"/>
      <c r="E27314" s="1"/>
      <c r="F27314" s="1"/>
      <c r="G27314" s="1"/>
    </row>
    <row r="27315">
      <c r="B27315" s="36"/>
      <c r="C27315" s="36"/>
      <c r="E27315" s="1"/>
      <c r="F27315" s="1"/>
      <c r="G27315" s="1"/>
    </row>
    <row r="27316">
      <c r="B27316" s="36"/>
      <c r="C27316" s="36"/>
      <c r="E27316" s="1"/>
      <c r="F27316" s="1"/>
      <c r="G27316" s="1"/>
    </row>
    <row r="27317">
      <c r="B27317" s="36"/>
      <c r="C27317" s="36"/>
      <c r="E27317" s="1"/>
      <c r="F27317" s="1"/>
      <c r="G27317" s="1"/>
    </row>
    <row r="27318">
      <c r="B27318" s="36"/>
      <c r="C27318" s="36"/>
      <c r="E27318" s="1"/>
      <c r="F27318" s="1"/>
      <c r="G27318" s="1"/>
    </row>
    <row r="27319">
      <c r="B27319" s="36"/>
      <c r="C27319" s="36"/>
      <c r="E27319" s="1"/>
      <c r="F27319" s="1"/>
      <c r="G27319" s="1"/>
    </row>
    <row r="27320">
      <c r="B27320" s="36"/>
      <c r="C27320" s="36"/>
      <c r="E27320" s="1"/>
      <c r="F27320" s="1"/>
      <c r="G27320" s="1"/>
    </row>
    <row r="27321">
      <c r="B27321" s="36"/>
      <c r="C27321" s="36"/>
      <c r="E27321" s="1"/>
      <c r="F27321" s="1"/>
      <c r="G27321" s="1"/>
    </row>
    <row r="27322">
      <c r="B27322" s="36"/>
      <c r="C27322" s="36"/>
      <c r="E27322" s="1"/>
      <c r="F27322" s="1"/>
      <c r="G27322" s="1"/>
    </row>
    <row r="27323">
      <c r="B27323" s="36"/>
      <c r="C27323" s="36"/>
      <c r="E27323" s="1"/>
      <c r="F27323" s="1"/>
      <c r="G27323" s="1"/>
    </row>
    <row r="27324">
      <c r="B27324" s="36"/>
      <c r="C27324" s="36"/>
      <c r="E27324" s="1"/>
      <c r="F27324" s="1"/>
      <c r="G27324" s="1"/>
    </row>
    <row r="27325">
      <c r="B27325" s="36"/>
      <c r="C27325" s="36"/>
      <c r="E27325" s="1"/>
      <c r="F27325" s="1"/>
      <c r="G27325" s="1"/>
    </row>
    <row r="27326">
      <c r="B27326" s="36"/>
      <c r="C27326" s="36"/>
      <c r="E27326" s="1"/>
      <c r="F27326" s="1"/>
      <c r="G27326" s="1"/>
    </row>
    <row r="27327">
      <c r="B27327" s="36"/>
      <c r="C27327" s="36"/>
      <c r="E27327" s="1"/>
      <c r="F27327" s="1"/>
      <c r="G27327" s="1"/>
    </row>
    <row r="27328">
      <c r="B27328" s="36"/>
      <c r="C27328" s="36"/>
      <c r="E27328" s="1"/>
      <c r="F27328" s="1"/>
      <c r="G27328" s="1"/>
    </row>
    <row r="27329">
      <c r="B27329" s="36"/>
      <c r="C27329" s="36"/>
      <c r="E27329" s="1"/>
      <c r="F27329" s="1"/>
      <c r="G27329" s="1"/>
    </row>
    <row r="27330">
      <c r="B27330" s="36"/>
      <c r="C27330" s="36"/>
      <c r="E27330" s="1"/>
      <c r="F27330" s="1"/>
      <c r="G27330" s="1"/>
    </row>
    <row r="27331">
      <c r="B27331" s="36"/>
      <c r="C27331" s="36"/>
      <c r="E27331" s="1"/>
      <c r="F27331" s="1"/>
      <c r="G27331" s="1"/>
    </row>
    <row r="27332">
      <c r="B27332" s="36"/>
      <c r="C27332" s="36"/>
      <c r="E27332" s="1"/>
      <c r="F27332" s="1"/>
      <c r="G27332" s="1"/>
    </row>
    <row r="27333">
      <c r="B27333" s="36"/>
      <c r="C27333" s="36"/>
      <c r="E27333" s="1"/>
      <c r="F27333" s="1"/>
      <c r="G27333" s="1"/>
    </row>
    <row r="27334">
      <c r="B27334" s="36"/>
      <c r="C27334" s="36"/>
      <c r="E27334" s="1"/>
      <c r="F27334" s="1"/>
      <c r="G27334" s="1"/>
    </row>
    <row r="27335">
      <c r="B27335" s="36"/>
      <c r="C27335" s="36"/>
      <c r="E27335" s="1"/>
      <c r="F27335" s="1"/>
      <c r="G27335" s="1"/>
    </row>
    <row r="27336">
      <c r="B27336" s="36"/>
      <c r="C27336" s="36"/>
      <c r="E27336" s="1"/>
      <c r="F27336" s="1"/>
      <c r="G27336" s="1"/>
    </row>
    <row r="27337">
      <c r="B27337" s="36"/>
      <c r="C27337" s="36"/>
      <c r="E27337" s="1"/>
      <c r="F27337" s="1"/>
      <c r="G27337" s="1"/>
    </row>
    <row r="27338">
      <c r="B27338" s="36"/>
      <c r="C27338" s="36"/>
      <c r="E27338" s="1"/>
      <c r="F27338" s="1"/>
      <c r="G27338" s="1"/>
    </row>
    <row r="27339">
      <c r="B27339" s="36"/>
      <c r="C27339" s="36"/>
      <c r="E27339" s="1"/>
      <c r="F27339" s="1"/>
      <c r="G27339" s="1"/>
    </row>
    <row r="27340">
      <c r="B27340" s="36"/>
      <c r="C27340" s="36"/>
      <c r="E27340" s="1"/>
      <c r="F27340" s="1"/>
      <c r="G27340" s="1"/>
    </row>
    <row r="27341">
      <c r="B27341" s="36"/>
      <c r="C27341" s="36"/>
      <c r="E27341" s="1"/>
      <c r="F27341" s="1"/>
      <c r="G27341" s="1"/>
    </row>
    <row r="27342">
      <c r="B27342" s="36"/>
      <c r="C27342" s="36"/>
      <c r="E27342" s="1"/>
      <c r="F27342" s="1"/>
      <c r="G27342" s="1"/>
    </row>
    <row r="27343">
      <c r="B27343" s="36"/>
      <c r="C27343" s="36"/>
      <c r="E27343" s="1"/>
      <c r="F27343" s="1"/>
      <c r="G27343" s="1"/>
    </row>
    <row r="27344">
      <c r="B27344" s="36"/>
      <c r="C27344" s="36"/>
      <c r="E27344" s="1"/>
      <c r="F27344" s="1"/>
      <c r="G27344" s="1"/>
    </row>
    <row r="27345">
      <c r="B27345" s="36"/>
      <c r="C27345" s="36"/>
      <c r="E27345" s="1"/>
      <c r="F27345" s="1"/>
      <c r="G27345" s="1"/>
    </row>
    <row r="27346">
      <c r="B27346" s="36"/>
      <c r="C27346" s="36"/>
      <c r="E27346" s="1"/>
      <c r="F27346" s="1"/>
      <c r="G27346" s="1"/>
    </row>
    <row r="27347">
      <c r="B27347" s="36"/>
      <c r="C27347" s="36"/>
      <c r="E27347" s="1"/>
      <c r="F27347" s="1"/>
      <c r="G27347" s="1"/>
    </row>
    <row r="27348">
      <c r="B27348" s="36"/>
      <c r="C27348" s="36"/>
      <c r="E27348" s="1"/>
      <c r="F27348" s="1"/>
      <c r="G27348" s="1"/>
    </row>
    <row r="27349">
      <c r="B27349" s="36"/>
      <c r="C27349" s="36"/>
      <c r="E27349" s="1"/>
      <c r="F27349" s="1"/>
      <c r="G27349" s="1"/>
    </row>
    <row r="27350">
      <c r="B27350" s="36"/>
      <c r="C27350" s="36"/>
      <c r="E27350" s="1"/>
      <c r="F27350" s="1"/>
      <c r="G27350" s="1"/>
    </row>
    <row r="27351">
      <c r="B27351" s="36"/>
      <c r="C27351" s="36"/>
      <c r="E27351" s="1"/>
      <c r="F27351" s="1"/>
      <c r="G27351" s="1"/>
    </row>
    <row r="27352">
      <c r="B27352" s="36"/>
      <c r="C27352" s="36"/>
      <c r="E27352" s="1"/>
      <c r="F27352" s="1"/>
      <c r="G27352" s="1"/>
    </row>
    <row r="27353">
      <c r="B27353" s="36"/>
      <c r="C27353" s="36"/>
      <c r="E27353" s="1"/>
      <c r="F27353" s="1"/>
      <c r="G27353" s="1"/>
    </row>
    <row r="27354">
      <c r="B27354" s="36"/>
      <c r="C27354" s="36"/>
      <c r="E27354" s="1"/>
      <c r="F27354" s="1"/>
      <c r="G27354" s="1"/>
    </row>
    <row r="27355">
      <c r="B27355" s="36"/>
      <c r="C27355" s="36"/>
      <c r="E27355" s="1"/>
      <c r="F27355" s="1"/>
      <c r="G27355" s="1"/>
    </row>
    <row r="27356">
      <c r="B27356" s="36"/>
      <c r="C27356" s="36"/>
      <c r="E27356" s="1"/>
      <c r="F27356" s="1"/>
      <c r="G27356" s="1"/>
    </row>
    <row r="27357">
      <c r="B27357" s="36"/>
      <c r="C27357" s="36"/>
      <c r="E27357" s="1"/>
      <c r="F27357" s="1"/>
      <c r="G27357" s="1"/>
    </row>
    <row r="27358">
      <c r="B27358" s="36"/>
      <c r="C27358" s="36"/>
      <c r="E27358" s="1"/>
      <c r="F27358" s="1"/>
      <c r="G27358" s="1"/>
    </row>
    <row r="27359">
      <c r="B27359" s="36"/>
      <c r="C27359" s="36"/>
      <c r="E27359" s="1"/>
      <c r="F27359" s="1"/>
      <c r="G27359" s="1"/>
    </row>
    <row r="27360">
      <c r="B27360" s="36"/>
      <c r="C27360" s="36"/>
      <c r="E27360" s="1"/>
      <c r="F27360" s="1"/>
      <c r="G27360" s="1"/>
    </row>
    <row r="27361">
      <c r="B27361" s="36"/>
      <c r="C27361" s="36"/>
      <c r="E27361" s="1"/>
      <c r="F27361" s="1"/>
      <c r="G27361" s="1"/>
    </row>
    <row r="27362">
      <c r="B27362" s="36"/>
      <c r="C27362" s="36"/>
      <c r="E27362" s="1"/>
      <c r="F27362" s="1"/>
      <c r="G27362" s="1"/>
    </row>
    <row r="27363">
      <c r="B27363" s="36"/>
      <c r="C27363" s="36"/>
      <c r="E27363" s="1"/>
      <c r="F27363" s="1"/>
      <c r="G27363" s="1"/>
    </row>
    <row r="27364">
      <c r="B27364" s="36"/>
      <c r="C27364" s="36"/>
      <c r="E27364" s="1"/>
      <c r="F27364" s="1"/>
      <c r="G27364" s="1"/>
    </row>
    <row r="27365">
      <c r="B27365" s="36"/>
      <c r="C27365" s="36"/>
      <c r="E27365" s="1"/>
      <c r="F27365" s="1"/>
      <c r="G27365" s="1"/>
    </row>
    <row r="27366">
      <c r="B27366" s="36"/>
      <c r="C27366" s="36"/>
      <c r="E27366" s="1"/>
      <c r="F27366" s="1"/>
      <c r="G27366" s="1"/>
    </row>
    <row r="27367">
      <c r="B27367" s="36"/>
      <c r="C27367" s="36"/>
      <c r="E27367" s="1"/>
      <c r="F27367" s="1"/>
      <c r="G27367" s="1"/>
    </row>
    <row r="27368">
      <c r="B27368" s="36"/>
      <c r="C27368" s="36"/>
      <c r="E27368" s="1"/>
      <c r="F27368" s="1"/>
      <c r="G27368" s="1"/>
    </row>
    <row r="27369">
      <c r="B27369" s="36"/>
      <c r="C27369" s="36"/>
      <c r="E27369" s="1"/>
      <c r="F27369" s="1"/>
      <c r="G27369" s="1"/>
    </row>
    <row r="27370">
      <c r="B27370" s="36"/>
      <c r="C27370" s="36"/>
      <c r="E27370" s="1"/>
      <c r="F27370" s="1"/>
      <c r="G27370" s="1"/>
    </row>
    <row r="27371">
      <c r="B27371" s="36"/>
      <c r="C27371" s="36"/>
      <c r="E27371" s="1"/>
      <c r="F27371" s="1"/>
      <c r="G27371" s="1"/>
    </row>
    <row r="27372">
      <c r="B27372" s="36"/>
      <c r="C27372" s="36"/>
      <c r="E27372" s="1"/>
      <c r="F27372" s="1"/>
      <c r="G27372" s="1"/>
    </row>
    <row r="27373">
      <c r="B27373" s="36"/>
      <c r="C27373" s="36"/>
      <c r="E27373" s="1"/>
      <c r="F27373" s="1"/>
      <c r="G27373" s="1"/>
    </row>
    <row r="27374">
      <c r="B27374" s="36"/>
      <c r="C27374" s="36"/>
      <c r="E27374" s="1"/>
      <c r="F27374" s="1"/>
      <c r="G27374" s="1"/>
    </row>
    <row r="27375">
      <c r="B27375" s="36"/>
      <c r="C27375" s="36"/>
      <c r="E27375" s="1"/>
      <c r="F27375" s="1"/>
      <c r="G27375" s="1"/>
    </row>
    <row r="27376">
      <c r="B27376" s="36"/>
      <c r="C27376" s="36"/>
      <c r="E27376" s="1"/>
      <c r="F27376" s="1"/>
      <c r="G27376" s="1"/>
    </row>
    <row r="27377">
      <c r="B27377" s="36"/>
      <c r="C27377" s="36"/>
      <c r="E27377" s="1"/>
      <c r="F27377" s="1"/>
      <c r="G27377" s="1"/>
    </row>
    <row r="27378">
      <c r="B27378" s="36"/>
      <c r="C27378" s="36"/>
      <c r="E27378" s="1"/>
      <c r="F27378" s="1"/>
      <c r="G27378" s="1"/>
    </row>
    <row r="27379">
      <c r="B27379" s="36"/>
      <c r="C27379" s="36"/>
      <c r="E27379" s="1"/>
      <c r="F27379" s="1"/>
      <c r="G27379" s="1"/>
    </row>
    <row r="27380">
      <c r="B27380" s="36"/>
      <c r="C27380" s="36"/>
      <c r="E27380" s="1"/>
      <c r="F27380" s="1"/>
      <c r="G27380" s="1"/>
    </row>
    <row r="27381">
      <c r="B27381" s="36"/>
      <c r="C27381" s="36"/>
      <c r="E27381" s="1"/>
      <c r="F27381" s="1"/>
      <c r="G27381" s="1"/>
    </row>
    <row r="27382">
      <c r="B27382" s="36"/>
      <c r="C27382" s="36"/>
      <c r="E27382" s="1"/>
      <c r="F27382" s="1"/>
      <c r="G27382" s="1"/>
    </row>
    <row r="27383">
      <c r="B27383" s="36"/>
      <c r="C27383" s="36"/>
      <c r="E27383" s="1"/>
      <c r="F27383" s="1"/>
      <c r="G27383" s="1"/>
    </row>
    <row r="27384">
      <c r="B27384" s="36"/>
      <c r="C27384" s="36"/>
      <c r="E27384" s="1"/>
      <c r="F27384" s="1"/>
      <c r="G27384" s="1"/>
    </row>
    <row r="27385">
      <c r="B27385" s="36"/>
      <c r="C27385" s="36"/>
      <c r="E27385" s="1"/>
      <c r="F27385" s="1"/>
      <c r="G27385" s="1"/>
    </row>
    <row r="27386">
      <c r="B27386" s="36"/>
      <c r="C27386" s="36"/>
      <c r="E27386" s="1"/>
      <c r="F27386" s="1"/>
      <c r="G27386" s="1"/>
    </row>
    <row r="27387">
      <c r="B27387" s="36"/>
      <c r="C27387" s="36"/>
      <c r="E27387" s="1"/>
      <c r="F27387" s="1"/>
      <c r="G27387" s="1"/>
    </row>
    <row r="27388">
      <c r="B27388" s="36"/>
      <c r="C27388" s="36"/>
      <c r="E27388" s="1"/>
      <c r="F27388" s="1"/>
      <c r="G27388" s="1"/>
    </row>
    <row r="27389">
      <c r="B27389" s="36"/>
      <c r="C27389" s="36"/>
      <c r="E27389" s="1"/>
      <c r="F27389" s="1"/>
      <c r="G27389" s="1"/>
    </row>
    <row r="27390">
      <c r="B27390" s="36"/>
      <c r="C27390" s="36"/>
      <c r="E27390" s="1"/>
      <c r="F27390" s="1"/>
      <c r="G27390" s="1"/>
    </row>
    <row r="27391">
      <c r="B27391" s="36"/>
      <c r="C27391" s="36"/>
      <c r="E27391" s="1"/>
      <c r="F27391" s="1"/>
      <c r="G27391" s="1"/>
    </row>
    <row r="27392">
      <c r="B27392" s="36"/>
      <c r="C27392" s="36"/>
      <c r="E27392" s="1"/>
      <c r="F27392" s="1"/>
      <c r="G27392" s="1"/>
    </row>
    <row r="27393">
      <c r="B27393" s="36"/>
      <c r="C27393" s="36"/>
      <c r="E27393" s="1"/>
      <c r="F27393" s="1"/>
      <c r="G27393" s="1"/>
    </row>
    <row r="27394">
      <c r="B27394" s="36"/>
      <c r="C27394" s="36"/>
      <c r="E27394" s="1"/>
      <c r="F27394" s="1"/>
      <c r="G27394" s="1"/>
    </row>
    <row r="27395">
      <c r="B27395" s="36"/>
      <c r="C27395" s="36"/>
      <c r="E27395" s="1"/>
      <c r="F27395" s="1"/>
      <c r="G27395" s="1"/>
    </row>
    <row r="27396">
      <c r="B27396" s="36"/>
      <c r="C27396" s="36"/>
      <c r="E27396" s="1"/>
      <c r="F27396" s="1"/>
      <c r="G27396" s="1"/>
    </row>
    <row r="27397">
      <c r="B27397" s="36"/>
      <c r="C27397" s="36"/>
      <c r="E27397" s="1"/>
      <c r="F27397" s="1"/>
      <c r="G27397" s="1"/>
    </row>
    <row r="27398">
      <c r="B27398" s="36"/>
      <c r="C27398" s="36"/>
      <c r="E27398" s="1"/>
      <c r="F27398" s="1"/>
      <c r="G27398" s="1"/>
    </row>
    <row r="27399">
      <c r="B27399" s="36"/>
      <c r="C27399" s="36"/>
      <c r="E27399" s="1"/>
      <c r="F27399" s="1"/>
      <c r="G27399" s="1"/>
    </row>
    <row r="27400">
      <c r="B27400" s="36"/>
      <c r="C27400" s="36"/>
      <c r="E27400" s="1"/>
      <c r="F27400" s="1"/>
      <c r="G27400" s="1"/>
    </row>
    <row r="27401">
      <c r="B27401" s="36"/>
      <c r="C27401" s="36"/>
      <c r="E27401" s="1"/>
      <c r="F27401" s="1"/>
      <c r="G27401" s="1"/>
    </row>
    <row r="27402">
      <c r="B27402" s="36"/>
      <c r="C27402" s="36"/>
      <c r="E27402" s="1"/>
      <c r="F27402" s="1"/>
      <c r="G27402" s="1"/>
    </row>
    <row r="27403">
      <c r="B27403" s="36"/>
      <c r="C27403" s="36"/>
      <c r="E27403" s="1"/>
      <c r="F27403" s="1"/>
      <c r="G27403" s="1"/>
    </row>
    <row r="27404">
      <c r="B27404" s="36"/>
      <c r="C27404" s="36"/>
      <c r="E27404" s="1"/>
      <c r="F27404" s="1"/>
      <c r="G27404" s="1"/>
    </row>
    <row r="27405">
      <c r="B27405" s="36"/>
      <c r="C27405" s="36"/>
      <c r="E27405" s="1"/>
      <c r="F27405" s="1"/>
      <c r="G27405" s="1"/>
    </row>
    <row r="27406">
      <c r="B27406" s="36"/>
      <c r="C27406" s="36"/>
      <c r="E27406" s="1"/>
      <c r="F27406" s="1"/>
      <c r="G27406" s="1"/>
    </row>
    <row r="27407">
      <c r="B27407" s="36"/>
      <c r="C27407" s="36"/>
      <c r="E27407" s="1"/>
      <c r="F27407" s="1"/>
      <c r="G27407" s="1"/>
    </row>
    <row r="27408">
      <c r="B27408" s="36"/>
      <c r="C27408" s="36"/>
      <c r="E27408" s="1"/>
      <c r="F27408" s="1"/>
      <c r="G27408" s="1"/>
    </row>
    <row r="27409">
      <c r="B27409" s="36"/>
      <c r="C27409" s="36"/>
      <c r="E27409" s="1"/>
      <c r="F27409" s="1"/>
      <c r="G27409" s="1"/>
    </row>
    <row r="27410">
      <c r="B27410" s="36"/>
      <c r="C27410" s="36"/>
      <c r="E27410" s="1"/>
      <c r="F27410" s="1"/>
      <c r="G27410" s="1"/>
    </row>
    <row r="27411">
      <c r="B27411" s="36"/>
      <c r="C27411" s="36"/>
      <c r="E27411" s="1"/>
      <c r="F27411" s="1"/>
      <c r="G27411" s="1"/>
    </row>
    <row r="27412">
      <c r="B27412" s="36"/>
      <c r="C27412" s="36"/>
      <c r="E27412" s="1"/>
      <c r="F27412" s="1"/>
      <c r="G27412" s="1"/>
    </row>
    <row r="27413">
      <c r="B27413" s="36"/>
      <c r="C27413" s="36"/>
      <c r="E27413" s="1"/>
      <c r="F27413" s="1"/>
      <c r="G27413" s="1"/>
    </row>
    <row r="27414">
      <c r="B27414" s="36"/>
      <c r="C27414" s="36"/>
      <c r="E27414" s="1"/>
      <c r="F27414" s="1"/>
      <c r="G27414" s="1"/>
    </row>
    <row r="27415">
      <c r="B27415" s="36"/>
      <c r="C27415" s="36"/>
      <c r="E27415" s="1"/>
      <c r="F27415" s="1"/>
      <c r="G27415" s="1"/>
    </row>
    <row r="27416">
      <c r="B27416" s="36"/>
      <c r="C27416" s="36"/>
      <c r="E27416" s="1"/>
      <c r="F27416" s="1"/>
      <c r="G27416" s="1"/>
    </row>
    <row r="27417">
      <c r="B27417" s="36"/>
      <c r="C27417" s="36"/>
      <c r="E27417" s="1"/>
      <c r="F27417" s="1"/>
      <c r="G27417" s="1"/>
    </row>
    <row r="27418">
      <c r="B27418" s="36"/>
      <c r="C27418" s="36"/>
      <c r="E27418" s="1"/>
      <c r="F27418" s="1"/>
      <c r="G27418" s="1"/>
    </row>
    <row r="27419">
      <c r="B27419" s="36"/>
      <c r="C27419" s="36"/>
      <c r="E27419" s="1"/>
      <c r="F27419" s="1"/>
      <c r="G27419" s="1"/>
    </row>
    <row r="27420">
      <c r="B27420" s="36"/>
      <c r="C27420" s="36"/>
      <c r="E27420" s="1"/>
      <c r="F27420" s="1"/>
      <c r="G27420" s="1"/>
    </row>
    <row r="27421">
      <c r="B27421" s="36"/>
      <c r="C27421" s="36"/>
      <c r="E27421" s="1"/>
      <c r="F27421" s="1"/>
      <c r="G27421" s="1"/>
    </row>
    <row r="27422">
      <c r="B27422" s="36"/>
      <c r="C27422" s="36"/>
      <c r="E27422" s="1"/>
      <c r="F27422" s="1"/>
      <c r="G27422" s="1"/>
    </row>
    <row r="27423">
      <c r="B27423" s="36"/>
      <c r="C27423" s="36"/>
      <c r="E27423" s="1"/>
      <c r="F27423" s="1"/>
      <c r="G27423" s="1"/>
    </row>
    <row r="27424">
      <c r="B27424" s="36"/>
      <c r="C27424" s="36"/>
      <c r="E27424" s="1"/>
      <c r="F27424" s="1"/>
      <c r="G27424" s="1"/>
    </row>
    <row r="27425">
      <c r="B27425" s="36"/>
      <c r="C27425" s="36"/>
      <c r="E27425" s="1"/>
      <c r="F27425" s="1"/>
      <c r="G27425" s="1"/>
    </row>
    <row r="27426">
      <c r="B27426" s="36"/>
      <c r="C27426" s="36"/>
      <c r="E27426" s="1"/>
      <c r="F27426" s="1"/>
      <c r="G27426" s="1"/>
    </row>
    <row r="27427">
      <c r="B27427" s="36"/>
      <c r="C27427" s="36"/>
      <c r="E27427" s="1"/>
      <c r="F27427" s="1"/>
      <c r="G27427" s="1"/>
    </row>
    <row r="27428">
      <c r="B27428" s="36"/>
      <c r="C27428" s="36"/>
      <c r="E27428" s="1"/>
      <c r="F27428" s="1"/>
      <c r="G27428" s="1"/>
    </row>
    <row r="27429">
      <c r="B27429" s="36"/>
      <c r="C27429" s="36"/>
      <c r="E27429" s="1"/>
      <c r="F27429" s="1"/>
      <c r="G27429" s="1"/>
    </row>
    <row r="27430">
      <c r="B27430" s="36"/>
      <c r="C27430" s="36"/>
      <c r="E27430" s="1"/>
      <c r="F27430" s="1"/>
      <c r="G27430" s="1"/>
    </row>
    <row r="27431">
      <c r="B27431" s="36"/>
      <c r="C27431" s="36"/>
      <c r="E27431" s="1"/>
      <c r="F27431" s="1"/>
      <c r="G27431" s="1"/>
    </row>
    <row r="27432">
      <c r="B27432" s="36"/>
      <c r="C27432" s="36"/>
      <c r="E27432" s="1"/>
      <c r="F27432" s="1"/>
      <c r="G27432" s="1"/>
    </row>
    <row r="27433">
      <c r="B27433" s="36"/>
      <c r="C27433" s="36"/>
      <c r="E27433" s="1"/>
      <c r="F27433" s="1"/>
      <c r="G27433" s="1"/>
    </row>
    <row r="27434">
      <c r="B27434" s="36"/>
      <c r="C27434" s="36"/>
      <c r="E27434" s="1"/>
      <c r="F27434" s="1"/>
      <c r="G27434" s="1"/>
    </row>
    <row r="27435">
      <c r="B27435" s="36"/>
      <c r="C27435" s="36"/>
      <c r="E27435" s="1"/>
      <c r="F27435" s="1"/>
      <c r="G27435" s="1"/>
    </row>
    <row r="27436">
      <c r="B27436" s="36"/>
      <c r="C27436" s="36"/>
      <c r="E27436" s="1"/>
      <c r="F27436" s="1"/>
      <c r="G27436" s="1"/>
    </row>
    <row r="27437">
      <c r="B27437" s="36"/>
      <c r="C27437" s="36"/>
      <c r="E27437" s="1"/>
      <c r="F27437" s="1"/>
      <c r="G27437" s="1"/>
    </row>
    <row r="27438">
      <c r="B27438" s="36"/>
      <c r="C27438" s="36"/>
      <c r="E27438" s="1"/>
      <c r="F27438" s="1"/>
      <c r="G27438" s="1"/>
    </row>
    <row r="27439">
      <c r="B27439" s="36"/>
      <c r="C27439" s="36"/>
      <c r="E27439" s="1"/>
      <c r="F27439" s="1"/>
      <c r="G27439" s="1"/>
    </row>
    <row r="27440">
      <c r="B27440" s="36"/>
      <c r="C27440" s="36"/>
      <c r="E27440" s="1"/>
      <c r="F27440" s="1"/>
      <c r="G27440" s="1"/>
    </row>
    <row r="27441">
      <c r="B27441" s="36"/>
      <c r="C27441" s="36"/>
      <c r="E27441" s="1"/>
      <c r="F27441" s="1"/>
      <c r="G27441" s="1"/>
    </row>
    <row r="27442">
      <c r="B27442" s="36"/>
      <c r="C27442" s="36"/>
      <c r="E27442" s="1"/>
      <c r="F27442" s="1"/>
      <c r="G27442" s="1"/>
    </row>
    <row r="27443">
      <c r="B27443" s="36"/>
      <c r="C27443" s="36"/>
      <c r="E27443" s="1"/>
      <c r="F27443" s="1"/>
      <c r="G27443" s="1"/>
    </row>
    <row r="27444">
      <c r="B27444" s="36"/>
      <c r="C27444" s="36"/>
      <c r="E27444" s="1"/>
      <c r="F27444" s="1"/>
      <c r="G27444" s="1"/>
    </row>
    <row r="27445">
      <c r="B27445" s="36"/>
      <c r="C27445" s="36"/>
      <c r="E27445" s="1"/>
      <c r="F27445" s="1"/>
      <c r="G27445" s="1"/>
    </row>
    <row r="27446">
      <c r="B27446" s="36"/>
      <c r="C27446" s="36"/>
      <c r="E27446" s="1"/>
      <c r="F27446" s="1"/>
      <c r="G27446" s="1"/>
    </row>
    <row r="27447">
      <c r="B27447" s="36"/>
      <c r="C27447" s="36"/>
      <c r="E27447" s="1"/>
      <c r="F27447" s="1"/>
      <c r="G27447" s="1"/>
    </row>
    <row r="27448">
      <c r="B27448" s="36"/>
      <c r="C27448" s="36"/>
      <c r="E27448" s="1"/>
      <c r="F27448" s="1"/>
      <c r="G27448" s="1"/>
    </row>
    <row r="27449">
      <c r="B27449" s="36"/>
      <c r="C27449" s="36"/>
      <c r="E27449" s="1"/>
      <c r="F27449" s="1"/>
      <c r="G27449" s="1"/>
    </row>
    <row r="27450">
      <c r="B27450" s="36"/>
      <c r="C27450" s="36"/>
      <c r="E27450" s="1"/>
      <c r="F27450" s="1"/>
      <c r="G27450" s="1"/>
    </row>
    <row r="27451">
      <c r="B27451" s="36"/>
      <c r="C27451" s="36"/>
      <c r="E27451" s="1"/>
      <c r="F27451" s="1"/>
      <c r="G27451" s="1"/>
    </row>
    <row r="27452">
      <c r="B27452" s="36"/>
      <c r="C27452" s="36"/>
      <c r="E27452" s="1"/>
      <c r="F27452" s="1"/>
      <c r="G27452" s="1"/>
    </row>
    <row r="27453">
      <c r="B27453" s="36"/>
      <c r="C27453" s="36"/>
      <c r="E27453" s="1"/>
      <c r="F27453" s="1"/>
      <c r="G27453" s="1"/>
    </row>
    <row r="27454">
      <c r="B27454" s="36"/>
      <c r="C27454" s="36"/>
      <c r="E27454" s="1"/>
      <c r="F27454" s="1"/>
      <c r="G27454" s="1"/>
    </row>
    <row r="27455">
      <c r="B27455" s="36"/>
      <c r="C27455" s="36"/>
      <c r="E27455" s="1"/>
      <c r="F27455" s="1"/>
      <c r="G27455" s="1"/>
    </row>
    <row r="27456">
      <c r="B27456" s="36"/>
      <c r="C27456" s="36"/>
      <c r="E27456" s="1"/>
      <c r="F27456" s="1"/>
      <c r="G27456" s="1"/>
    </row>
    <row r="27457">
      <c r="B27457" s="36"/>
      <c r="C27457" s="36"/>
      <c r="E27457" s="1"/>
      <c r="F27457" s="1"/>
      <c r="G27457" s="1"/>
    </row>
    <row r="27458">
      <c r="B27458" s="36"/>
      <c r="C27458" s="36"/>
      <c r="E27458" s="1"/>
      <c r="F27458" s="1"/>
      <c r="G27458" s="1"/>
    </row>
    <row r="27459">
      <c r="B27459" s="36"/>
      <c r="C27459" s="36"/>
      <c r="E27459" s="1"/>
      <c r="F27459" s="1"/>
      <c r="G27459" s="1"/>
    </row>
    <row r="27460">
      <c r="B27460" s="36"/>
      <c r="C27460" s="36"/>
      <c r="E27460" s="1"/>
      <c r="F27460" s="1"/>
      <c r="G27460" s="1"/>
    </row>
    <row r="27461">
      <c r="B27461" s="36"/>
      <c r="C27461" s="36"/>
      <c r="E27461" s="1"/>
      <c r="F27461" s="1"/>
      <c r="G27461" s="1"/>
    </row>
    <row r="27462">
      <c r="B27462" s="36"/>
      <c r="C27462" s="36"/>
      <c r="E27462" s="1"/>
      <c r="F27462" s="1"/>
      <c r="G27462" s="1"/>
    </row>
    <row r="27463">
      <c r="B27463" s="36"/>
      <c r="C27463" s="36"/>
      <c r="E27463" s="1"/>
      <c r="F27463" s="1"/>
      <c r="G27463" s="1"/>
    </row>
    <row r="27464">
      <c r="B27464" s="36"/>
      <c r="C27464" s="36"/>
      <c r="E27464" s="1"/>
      <c r="F27464" s="1"/>
      <c r="G27464" s="1"/>
    </row>
    <row r="27465">
      <c r="B27465" s="36"/>
      <c r="C27465" s="36"/>
      <c r="E27465" s="1"/>
      <c r="F27465" s="1"/>
      <c r="G27465" s="1"/>
    </row>
    <row r="27466">
      <c r="B27466" s="36"/>
      <c r="C27466" s="36"/>
      <c r="E27466" s="1"/>
      <c r="F27466" s="1"/>
      <c r="G27466" s="1"/>
    </row>
    <row r="27467">
      <c r="B27467" s="36"/>
      <c r="C27467" s="36"/>
      <c r="E27467" s="1"/>
      <c r="F27467" s="1"/>
      <c r="G27467" s="1"/>
    </row>
    <row r="27468">
      <c r="B27468" s="36"/>
      <c r="C27468" s="36"/>
      <c r="E27468" s="1"/>
      <c r="F27468" s="1"/>
      <c r="G27468" s="1"/>
    </row>
    <row r="27469">
      <c r="B27469" s="36"/>
      <c r="C27469" s="36"/>
      <c r="E27469" s="1"/>
      <c r="F27469" s="1"/>
      <c r="G27469" s="1"/>
    </row>
    <row r="27470">
      <c r="B27470" s="36"/>
      <c r="C27470" s="36"/>
      <c r="E27470" s="1"/>
      <c r="F27470" s="1"/>
      <c r="G27470" s="1"/>
    </row>
    <row r="27471">
      <c r="B27471" s="36"/>
      <c r="C27471" s="36"/>
      <c r="E27471" s="1"/>
      <c r="F27471" s="1"/>
      <c r="G27471" s="1"/>
    </row>
    <row r="27472">
      <c r="B27472" s="36"/>
      <c r="C27472" s="36"/>
      <c r="E27472" s="1"/>
      <c r="F27472" s="1"/>
      <c r="G27472" s="1"/>
    </row>
    <row r="27473">
      <c r="B27473" s="36"/>
      <c r="C27473" s="36"/>
      <c r="E27473" s="1"/>
      <c r="F27473" s="1"/>
      <c r="G27473" s="1"/>
    </row>
    <row r="27474">
      <c r="B27474" s="36"/>
      <c r="C27474" s="36"/>
      <c r="E27474" s="1"/>
      <c r="F27474" s="1"/>
      <c r="G27474" s="1"/>
    </row>
    <row r="27475">
      <c r="B27475" s="36"/>
      <c r="C27475" s="36"/>
      <c r="E27475" s="1"/>
      <c r="F27475" s="1"/>
      <c r="G27475" s="1"/>
    </row>
    <row r="27476">
      <c r="B27476" s="36"/>
      <c r="C27476" s="36"/>
      <c r="E27476" s="1"/>
      <c r="F27476" s="1"/>
      <c r="G27476" s="1"/>
    </row>
    <row r="27477">
      <c r="B27477" s="36"/>
      <c r="C27477" s="36"/>
      <c r="E27477" s="1"/>
      <c r="F27477" s="1"/>
      <c r="G27477" s="1"/>
    </row>
    <row r="27478">
      <c r="B27478" s="36"/>
      <c r="C27478" s="36"/>
      <c r="E27478" s="1"/>
      <c r="F27478" s="1"/>
      <c r="G27478" s="1"/>
    </row>
    <row r="27479">
      <c r="B27479" s="36"/>
      <c r="C27479" s="36"/>
      <c r="E27479" s="1"/>
      <c r="F27479" s="1"/>
      <c r="G27479" s="1"/>
    </row>
    <row r="27480">
      <c r="B27480" s="36"/>
      <c r="C27480" s="36"/>
      <c r="E27480" s="1"/>
      <c r="F27480" s="1"/>
      <c r="G27480" s="1"/>
    </row>
    <row r="27481">
      <c r="B27481" s="36"/>
      <c r="C27481" s="36"/>
      <c r="E27481" s="1"/>
      <c r="F27481" s="1"/>
      <c r="G27481" s="1"/>
    </row>
    <row r="27482">
      <c r="B27482" s="36"/>
      <c r="C27482" s="36"/>
      <c r="E27482" s="1"/>
      <c r="F27482" s="1"/>
      <c r="G27482" s="1"/>
    </row>
    <row r="27483">
      <c r="B27483" s="36"/>
      <c r="C27483" s="36"/>
      <c r="E27483" s="1"/>
      <c r="F27483" s="1"/>
      <c r="G27483" s="1"/>
    </row>
    <row r="27484">
      <c r="B27484" s="36"/>
      <c r="C27484" s="36"/>
      <c r="E27484" s="1"/>
      <c r="F27484" s="1"/>
      <c r="G27484" s="1"/>
    </row>
    <row r="27485">
      <c r="B27485" s="36"/>
      <c r="C27485" s="36"/>
      <c r="E27485" s="1"/>
      <c r="F27485" s="1"/>
      <c r="G27485" s="1"/>
    </row>
    <row r="27486">
      <c r="B27486" s="36"/>
      <c r="C27486" s="36"/>
      <c r="E27486" s="1"/>
      <c r="F27486" s="1"/>
      <c r="G27486" s="1"/>
    </row>
    <row r="27487">
      <c r="B27487" s="36"/>
      <c r="C27487" s="36"/>
      <c r="E27487" s="1"/>
      <c r="F27487" s="1"/>
      <c r="G27487" s="1"/>
    </row>
    <row r="27488">
      <c r="B27488" s="36"/>
      <c r="C27488" s="36"/>
      <c r="E27488" s="1"/>
      <c r="F27488" s="1"/>
      <c r="G27488" s="1"/>
    </row>
    <row r="27489">
      <c r="B27489" s="36"/>
      <c r="C27489" s="36"/>
      <c r="E27489" s="1"/>
      <c r="F27489" s="1"/>
      <c r="G27489" s="1"/>
    </row>
    <row r="27490">
      <c r="B27490" s="36"/>
      <c r="C27490" s="36"/>
      <c r="E27490" s="1"/>
      <c r="F27490" s="1"/>
      <c r="G27490" s="1"/>
    </row>
    <row r="27491">
      <c r="B27491" s="36"/>
      <c r="C27491" s="36"/>
      <c r="E27491" s="1"/>
      <c r="F27491" s="1"/>
      <c r="G27491" s="1"/>
    </row>
    <row r="27492">
      <c r="B27492" s="36"/>
      <c r="C27492" s="36"/>
      <c r="E27492" s="1"/>
      <c r="F27492" s="1"/>
      <c r="G27492" s="1"/>
    </row>
    <row r="27493">
      <c r="B27493" s="36"/>
      <c r="C27493" s="36"/>
      <c r="E27493" s="1"/>
      <c r="F27493" s="1"/>
      <c r="G27493" s="1"/>
    </row>
    <row r="27494">
      <c r="B27494" s="36"/>
      <c r="C27494" s="36"/>
      <c r="E27494" s="1"/>
      <c r="F27494" s="1"/>
      <c r="G27494" s="1"/>
    </row>
    <row r="27495">
      <c r="B27495" s="36"/>
      <c r="C27495" s="36"/>
      <c r="E27495" s="1"/>
      <c r="F27495" s="1"/>
      <c r="G27495" s="1"/>
    </row>
    <row r="27496">
      <c r="B27496" s="36"/>
      <c r="C27496" s="36"/>
      <c r="E27496" s="1"/>
      <c r="F27496" s="1"/>
      <c r="G27496" s="1"/>
    </row>
    <row r="27497">
      <c r="B27497" s="36"/>
      <c r="C27497" s="36"/>
      <c r="E27497" s="1"/>
      <c r="F27497" s="1"/>
      <c r="G27497" s="1"/>
    </row>
    <row r="27498">
      <c r="B27498" s="36"/>
      <c r="C27498" s="36"/>
      <c r="E27498" s="1"/>
      <c r="F27498" s="1"/>
      <c r="G27498" s="1"/>
    </row>
    <row r="27499">
      <c r="B27499" s="36"/>
      <c r="C27499" s="36"/>
      <c r="E27499" s="1"/>
      <c r="F27499" s="1"/>
      <c r="G27499" s="1"/>
    </row>
    <row r="27500">
      <c r="B27500" s="36"/>
      <c r="C27500" s="36"/>
      <c r="E27500" s="1"/>
      <c r="F27500" s="1"/>
      <c r="G27500" s="1"/>
    </row>
    <row r="27501">
      <c r="B27501" s="36"/>
      <c r="C27501" s="36"/>
      <c r="E27501" s="1"/>
      <c r="F27501" s="1"/>
      <c r="G27501" s="1"/>
    </row>
    <row r="27502">
      <c r="B27502" s="36"/>
      <c r="C27502" s="36"/>
      <c r="E27502" s="1"/>
      <c r="F27502" s="1"/>
      <c r="G27502" s="1"/>
    </row>
    <row r="27503">
      <c r="B27503" s="36"/>
      <c r="C27503" s="36"/>
      <c r="E27503" s="1"/>
      <c r="F27503" s="1"/>
      <c r="G27503" s="1"/>
    </row>
    <row r="27504">
      <c r="B27504" s="36"/>
      <c r="C27504" s="36"/>
      <c r="E27504" s="1"/>
      <c r="F27504" s="1"/>
      <c r="G27504" s="1"/>
    </row>
    <row r="27505">
      <c r="B27505" s="36"/>
      <c r="C27505" s="36"/>
      <c r="E27505" s="1"/>
      <c r="F27505" s="1"/>
      <c r="G27505" s="1"/>
    </row>
    <row r="27506">
      <c r="B27506" s="36"/>
      <c r="C27506" s="36"/>
      <c r="E27506" s="1"/>
      <c r="F27506" s="1"/>
      <c r="G27506" s="1"/>
    </row>
    <row r="27507">
      <c r="B27507" s="36"/>
      <c r="C27507" s="36"/>
      <c r="E27507" s="1"/>
      <c r="F27507" s="1"/>
      <c r="G27507" s="1"/>
    </row>
    <row r="27508">
      <c r="B27508" s="36"/>
      <c r="C27508" s="36"/>
      <c r="E27508" s="1"/>
      <c r="F27508" s="1"/>
      <c r="G27508" s="1"/>
    </row>
    <row r="27509">
      <c r="B27509" s="36"/>
      <c r="C27509" s="36"/>
      <c r="E27509" s="1"/>
      <c r="F27509" s="1"/>
      <c r="G27509" s="1"/>
    </row>
    <row r="27510">
      <c r="B27510" s="36"/>
      <c r="C27510" s="36"/>
      <c r="E27510" s="1"/>
      <c r="F27510" s="1"/>
      <c r="G27510" s="1"/>
    </row>
    <row r="27511">
      <c r="B27511" s="36"/>
      <c r="C27511" s="36"/>
      <c r="E27511" s="1"/>
      <c r="F27511" s="1"/>
      <c r="G27511" s="1"/>
    </row>
    <row r="27512">
      <c r="B27512" s="36"/>
      <c r="C27512" s="36"/>
      <c r="E27512" s="1"/>
      <c r="F27512" s="1"/>
      <c r="G27512" s="1"/>
    </row>
    <row r="27513">
      <c r="B27513" s="36"/>
      <c r="C27513" s="36"/>
      <c r="E27513" s="1"/>
      <c r="F27513" s="1"/>
      <c r="G27513" s="1"/>
    </row>
    <row r="27514">
      <c r="B27514" s="36"/>
      <c r="C27514" s="36"/>
      <c r="E27514" s="1"/>
      <c r="F27514" s="1"/>
      <c r="G27514" s="1"/>
    </row>
    <row r="27515">
      <c r="B27515" s="36"/>
      <c r="C27515" s="36"/>
      <c r="E27515" s="1"/>
      <c r="F27515" s="1"/>
      <c r="G27515" s="1"/>
    </row>
    <row r="27516">
      <c r="B27516" s="36"/>
      <c r="C27516" s="36"/>
      <c r="E27516" s="1"/>
      <c r="F27516" s="1"/>
      <c r="G27516" s="1"/>
    </row>
    <row r="27517">
      <c r="B27517" s="36"/>
      <c r="C27517" s="36"/>
      <c r="E27517" s="1"/>
      <c r="F27517" s="1"/>
      <c r="G27517" s="1"/>
    </row>
    <row r="27518">
      <c r="B27518" s="36"/>
      <c r="C27518" s="36"/>
      <c r="E27518" s="1"/>
      <c r="F27518" s="1"/>
      <c r="G27518" s="1"/>
    </row>
    <row r="27519">
      <c r="B27519" s="36"/>
      <c r="C27519" s="36"/>
      <c r="E27519" s="1"/>
      <c r="F27519" s="1"/>
      <c r="G27519" s="1"/>
    </row>
    <row r="27520">
      <c r="B27520" s="36"/>
      <c r="C27520" s="36"/>
      <c r="E27520" s="1"/>
      <c r="F27520" s="1"/>
      <c r="G27520" s="1"/>
    </row>
    <row r="27521">
      <c r="B27521" s="36"/>
      <c r="C27521" s="36"/>
      <c r="E27521" s="1"/>
      <c r="F27521" s="1"/>
      <c r="G27521" s="1"/>
    </row>
    <row r="27522">
      <c r="B27522" s="36"/>
      <c r="C27522" s="36"/>
      <c r="E27522" s="1"/>
      <c r="F27522" s="1"/>
      <c r="G27522" s="1"/>
    </row>
    <row r="27523">
      <c r="B27523" s="36"/>
      <c r="C27523" s="36"/>
      <c r="E27523" s="1"/>
      <c r="F27523" s="1"/>
      <c r="G27523" s="1"/>
    </row>
    <row r="27524">
      <c r="B27524" s="36"/>
      <c r="C27524" s="36"/>
      <c r="E27524" s="1"/>
      <c r="F27524" s="1"/>
      <c r="G27524" s="1"/>
    </row>
    <row r="27525">
      <c r="B27525" s="36"/>
      <c r="C27525" s="36"/>
      <c r="E27525" s="1"/>
      <c r="F27525" s="1"/>
      <c r="G27525" s="1"/>
    </row>
    <row r="27526">
      <c r="B27526" s="36"/>
      <c r="C27526" s="36"/>
      <c r="E27526" s="1"/>
      <c r="F27526" s="1"/>
      <c r="G27526" s="1"/>
    </row>
    <row r="27527">
      <c r="B27527" s="36"/>
      <c r="C27527" s="36"/>
      <c r="E27527" s="1"/>
      <c r="F27527" s="1"/>
      <c r="G27527" s="1"/>
    </row>
    <row r="27528">
      <c r="B27528" s="36"/>
      <c r="C27528" s="36"/>
      <c r="E27528" s="1"/>
      <c r="F27528" s="1"/>
      <c r="G27528" s="1"/>
    </row>
    <row r="27529">
      <c r="B27529" s="36"/>
      <c r="C27529" s="36"/>
      <c r="E27529" s="1"/>
      <c r="F27529" s="1"/>
      <c r="G27529" s="1"/>
    </row>
    <row r="27530">
      <c r="B27530" s="36"/>
      <c r="C27530" s="36"/>
      <c r="E27530" s="1"/>
      <c r="F27530" s="1"/>
      <c r="G27530" s="1"/>
    </row>
    <row r="27531">
      <c r="B27531" s="36"/>
      <c r="C27531" s="36"/>
      <c r="E27531" s="1"/>
      <c r="F27531" s="1"/>
      <c r="G27531" s="1"/>
    </row>
    <row r="27532">
      <c r="B27532" s="36"/>
      <c r="C27532" s="36"/>
      <c r="E27532" s="1"/>
      <c r="F27532" s="1"/>
      <c r="G27532" s="1"/>
    </row>
    <row r="27533">
      <c r="B27533" s="36"/>
      <c r="C27533" s="36"/>
      <c r="E27533" s="1"/>
      <c r="F27533" s="1"/>
      <c r="G27533" s="1"/>
    </row>
    <row r="27534">
      <c r="B27534" s="36"/>
      <c r="C27534" s="36"/>
      <c r="E27534" s="1"/>
      <c r="F27534" s="1"/>
      <c r="G27534" s="1"/>
    </row>
    <row r="27535">
      <c r="B27535" s="36"/>
      <c r="C27535" s="36"/>
      <c r="E27535" s="1"/>
      <c r="F27535" s="1"/>
      <c r="G27535" s="1"/>
    </row>
    <row r="27536">
      <c r="B27536" s="36"/>
      <c r="C27536" s="36"/>
      <c r="E27536" s="1"/>
      <c r="F27536" s="1"/>
      <c r="G27536" s="1"/>
    </row>
    <row r="27537">
      <c r="B27537" s="36"/>
      <c r="C27537" s="36"/>
      <c r="E27537" s="1"/>
      <c r="F27537" s="1"/>
      <c r="G27537" s="1"/>
    </row>
    <row r="27538">
      <c r="B27538" s="36"/>
      <c r="C27538" s="36"/>
      <c r="E27538" s="1"/>
      <c r="F27538" s="1"/>
      <c r="G27538" s="1"/>
    </row>
    <row r="27539">
      <c r="B27539" s="36"/>
      <c r="C27539" s="36"/>
      <c r="E27539" s="1"/>
      <c r="F27539" s="1"/>
      <c r="G27539" s="1"/>
    </row>
    <row r="27540">
      <c r="B27540" s="36"/>
      <c r="C27540" s="36"/>
      <c r="E27540" s="1"/>
      <c r="F27540" s="1"/>
      <c r="G27540" s="1"/>
    </row>
    <row r="27541">
      <c r="B27541" s="36"/>
      <c r="C27541" s="36"/>
      <c r="E27541" s="1"/>
      <c r="F27541" s="1"/>
      <c r="G27541" s="1"/>
    </row>
    <row r="27542">
      <c r="B27542" s="36"/>
      <c r="C27542" s="36"/>
      <c r="E27542" s="1"/>
      <c r="F27542" s="1"/>
      <c r="G27542" s="1"/>
    </row>
    <row r="27543">
      <c r="B27543" s="36"/>
      <c r="C27543" s="36"/>
      <c r="E27543" s="1"/>
      <c r="F27543" s="1"/>
      <c r="G27543" s="1"/>
    </row>
    <row r="27544">
      <c r="B27544" s="36"/>
      <c r="C27544" s="36"/>
      <c r="E27544" s="1"/>
      <c r="F27544" s="1"/>
      <c r="G27544" s="1"/>
    </row>
    <row r="27545">
      <c r="B27545" s="36"/>
      <c r="C27545" s="36"/>
      <c r="E27545" s="1"/>
      <c r="F27545" s="1"/>
      <c r="G27545" s="1"/>
    </row>
    <row r="27546">
      <c r="B27546" s="36"/>
      <c r="C27546" s="36"/>
      <c r="E27546" s="1"/>
      <c r="F27546" s="1"/>
      <c r="G27546" s="1"/>
    </row>
    <row r="27547">
      <c r="B27547" s="36"/>
      <c r="C27547" s="36"/>
      <c r="E27547" s="1"/>
      <c r="F27547" s="1"/>
      <c r="G27547" s="1"/>
    </row>
    <row r="27548">
      <c r="B27548" s="36"/>
      <c r="C27548" s="36"/>
      <c r="E27548" s="1"/>
      <c r="F27548" s="1"/>
      <c r="G27548" s="1"/>
    </row>
    <row r="27549">
      <c r="B27549" s="36"/>
      <c r="C27549" s="36"/>
      <c r="E27549" s="1"/>
      <c r="F27549" s="1"/>
      <c r="G27549" s="1"/>
    </row>
    <row r="27550">
      <c r="B27550" s="36"/>
      <c r="C27550" s="36"/>
      <c r="E27550" s="1"/>
      <c r="F27550" s="1"/>
      <c r="G27550" s="1"/>
    </row>
    <row r="27551">
      <c r="B27551" s="36"/>
      <c r="C27551" s="36"/>
      <c r="E27551" s="1"/>
      <c r="F27551" s="1"/>
      <c r="G27551" s="1"/>
    </row>
    <row r="27552">
      <c r="B27552" s="36"/>
      <c r="C27552" s="36"/>
      <c r="E27552" s="1"/>
      <c r="F27552" s="1"/>
      <c r="G27552" s="1"/>
    </row>
    <row r="27553">
      <c r="B27553" s="36"/>
      <c r="C27553" s="36"/>
      <c r="E27553" s="1"/>
      <c r="F27553" s="1"/>
      <c r="G27553" s="1"/>
    </row>
    <row r="27554">
      <c r="B27554" s="36"/>
      <c r="C27554" s="36"/>
      <c r="E27554" s="1"/>
      <c r="F27554" s="1"/>
      <c r="G27554" s="1"/>
    </row>
    <row r="27555">
      <c r="B27555" s="36"/>
      <c r="C27555" s="36"/>
      <c r="E27555" s="1"/>
      <c r="F27555" s="1"/>
      <c r="G27555" s="1"/>
    </row>
    <row r="27556">
      <c r="B27556" s="36"/>
      <c r="C27556" s="36"/>
      <c r="E27556" s="1"/>
      <c r="F27556" s="1"/>
      <c r="G27556" s="1"/>
    </row>
    <row r="27557">
      <c r="B27557" s="36"/>
      <c r="C27557" s="36"/>
      <c r="E27557" s="1"/>
      <c r="F27557" s="1"/>
      <c r="G27557" s="1"/>
    </row>
    <row r="27558">
      <c r="B27558" s="36"/>
      <c r="C27558" s="36"/>
      <c r="E27558" s="1"/>
      <c r="F27558" s="1"/>
      <c r="G27558" s="1"/>
    </row>
    <row r="27559">
      <c r="B27559" s="36"/>
      <c r="C27559" s="36"/>
      <c r="E27559" s="1"/>
      <c r="F27559" s="1"/>
      <c r="G27559" s="1"/>
    </row>
    <row r="27560">
      <c r="B27560" s="36"/>
      <c r="C27560" s="36"/>
      <c r="E27560" s="1"/>
      <c r="F27560" s="1"/>
      <c r="G27560" s="1"/>
    </row>
    <row r="27561">
      <c r="B27561" s="36"/>
      <c r="C27561" s="36"/>
      <c r="E27561" s="1"/>
      <c r="F27561" s="1"/>
      <c r="G27561" s="1"/>
    </row>
    <row r="27562">
      <c r="B27562" s="36"/>
      <c r="C27562" s="36"/>
      <c r="E27562" s="1"/>
      <c r="F27562" s="1"/>
      <c r="G27562" s="1"/>
    </row>
    <row r="27563">
      <c r="B27563" s="36"/>
      <c r="C27563" s="36"/>
      <c r="E27563" s="1"/>
      <c r="F27563" s="1"/>
      <c r="G27563" s="1"/>
    </row>
    <row r="27564">
      <c r="B27564" s="36"/>
      <c r="C27564" s="36"/>
      <c r="E27564" s="1"/>
      <c r="F27564" s="1"/>
      <c r="G27564" s="1"/>
    </row>
    <row r="27565">
      <c r="B27565" s="36"/>
      <c r="C27565" s="36"/>
      <c r="E27565" s="1"/>
      <c r="F27565" s="1"/>
      <c r="G27565" s="1"/>
    </row>
    <row r="27566">
      <c r="B27566" s="36"/>
      <c r="C27566" s="36"/>
      <c r="E27566" s="1"/>
      <c r="F27566" s="1"/>
      <c r="G27566" s="1"/>
    </row>
    <row r="27567">
      <c r="B27567" s="36"/>
      <c r="C27567" s="36"/>
      <c r="E27567" s="1"/>
      <c r="F27567" s="1"/>
      <c r="G27567" s="1"/>
    </row>
    <row r="27568">
      <c r="B27568" s="36"/>
      <c r="C27568" s="36"/>
      <c r="E27568" s="1"/>
      <c r="F27568" s="1"/>
      <c r="G27568" s="1"/>
    </row>
    <row r="27569">
      <c r="B27569" s="36"/>
      <c r="C27569" s="36"/>
      <c r="E27569" s="1"/>
      <c r="F27569" s="1"/>
      <c r="G27569" s="1"/>
    </row>
    <row r="27570">
      <c r="B27570" s="36"/>
      <c r="C27570" s="36"/>
      <c r="E27570" s="1"/>
      <c r="F27570" s="1"/>
      <c r="G27570" s="1"/>
    </row>
    <row r="27571">
      <c r="B27571" s="36"/>
      <c r="C27571" s="36"/>
      <c r="E27571" s="1"/>
      <c r="F27571" s="1"/>
      <c r="G27571" s="1"/>
    </row>
    <row r="27572">
      <c r="B27572" s="36"/>
      <c r="C27572" s="36"/>
      <c r="E27572" s="1"/>
      <c r="F27572" s="1"/>
      <c r="G27572" s="1"/>
    </row>
    <row r="27573">
      <c r="B27573" s="36"/>
      <c r="C27573" s="36"/>
      <c r="E27573" s="1"/>
      <c r="F27573" s="1"/>
      <c r="G27573" s="1"/>
    </row>
    <row r="27574">
      <c r="B27574" s="36"/>
      <c r="C27574" s="36"/>
      <c r="E27574" s="1"/>
      <c r="F27574" s="1"/>
      <c r="G27574" s="1"/>
    </row>
    <row r="27575">
      <c r="B27575" s="36"/>
      <c r="C27575" s="36"/>
      <c r="E27575" s="1"/>
      <c r="F27575" s="1"/>
      <c r="G27575" s="1"/>
    </row>
    <row r="27576">
      <c r="B27576" s="36"/>
      <c r="C27576" s="36"/>
      <c r="E27576" s="1"/>
      <c r="F27576" s="1"/>
      <c r="G27576" s="1"/>
    </row>
    <row r="27577">
      <c r="B27577" s="36"/>
      <c r="C27577" s="36"/>
      <c r="E27577" s="1"/>
      <c r="F27577" s="1"/>
      <c r="G27577" s="1"/>
    </row>
    <row r="27578">
      <c r="B27578" s="36"/>
      <c r="C27578" s="36"/>
      <c r="E27578" s="1"/>
      <c r="F27578" s="1"/>
      <c r="G27578" s="1"/>
    </row>
    <row r="27579">
      <c r="B27579" s="36"/>
      <c r="C27579" s="36"/>
      <c r="E27579" s="1"/>
      <c r="F27579" s="1"/>
      <c r="G27579" s="1"/>
    </row>
    <row r="27580">
      <c r="B27580" s="36"/>
      <c r="C27580" s="36"/>
      <c r="E27580" s="1"/>
      <c r="F27580" s="1"/>
      <c r="G27580" s="1"/>
    </row>
    <row r="27581">
      <c r="B27581" s="36"/>
      <c r="C27581" s="36"/>
      <c r="E27581" s="1"/>
      <c r="F27581" s="1"/>
      <c r="G27581" s="1"/>
    </row>
    <row r="27582">
      <c r="B27582" s="36"/>
      <c r="C27582" s="36"/>
      <c r="E27582" s="1"/>
      <c r="F27582" s="1"/>
      <c r="G27582" s="1"/>
    </row>
    <row r="27583">
      <c r="B27583" s="36"/>
      <c r="C27583" s="36"/>
      <c r="E27583" s="1"/>
      <c r="F27583" s="1"/>
      <c r="G27583" s="1"/>
    </row>
    <row r="27584">
      <c r="B27584" s="36"/>
      <c r="C27584" s="36"/>
      <c r="E27584" s="1"/>
      <c r="F27584" s="1"/>
      <c r="G27584" s="1"/>
    </row>
    <row r="27585">
      <c r="B27585" s="36"/>
      <c r="C27585" s="36"/>
      <c r="E27585" s="1"/>
      <c r="F27585" s="1"/>
      <c r="G27585" s="1"/>
    </row>
    <row r="27586">
      <c r="B27586" s="36"/>
      <c r="C27586" s="36"/>
      <c r="E27586" s="1"/>
      <c r="F27586" s="1"/>
      <c r="G27586" s="1"/>
    </row>
    <row r="27587">
      <c r="B27587" s="36"/>
      <c r="C27587" s="36"/>
      <c r="E27587" s="1"/>
      <c r="F27587" s="1"/>
      <c r="G27587" s="1"/>
    </row>
    <row r="27588">
      <c r="B27588" s="36"/>
      <c r="C27588" s="36"/>
      <c r="E27588" s="1"/>
      <c r="F27588" s="1"/>
      <c r="G27588" s="1"/>
    </row>
    <row r="27589">
      <c r="B27589" s="36"/>
      <c r="C27589" s="36"/>
      <c r="E27589" s="1"/>
      <c r="F27589" s="1"/>
      <c r="G27589" s="1"/>
    </row>
    <row r="27590">
      <c r="B27590" s="36"/>
      <c r="C27590" s="36"/>
      <c r="E27590" s="1"/>
      <c r="F27590" s="1"/>
      <c r="G27590" s="1"/>
    </row>
    <row r="27591">
      <c r="B27591" s="36"/>
      <c r="C27591" s="36"/>
      <c r="E27591" s="1"/>
      <c r="F27591" s="1"/>
      <c r="G27591" s="1"/>
    </row>
    <row r="27592">
      <c r="B27592" s="36"/>
      <c r="C27592" s="36"/>
      <c r="E27592" s="1"/>
      <c r="F27592" s="1"/>
      <c r="G27592" s="1"/>
    </row>
    <row r="27593">
      <c r="B27593" s="36"/>
      <c r="C27593" s="36"/>
      <c r="E27593" s="1"/>
      <c r="F27593" s="1"/>
      <c r="G27593" s="1"/>
    </row>
    <row r="27594">
      <c r="B27594" s="36"/>
      <c r="C27594" s="36"/>
      <c r="E27594" s="1"/>
      <c r="F27594" s="1"/>
      <c r="G27594" s="1"/>
    </row>
    <row r="27595">
      <c r="B27595" s="36"/>
      <c r="C27595" s="36"/>
      <c r="E27595" s="1"/>
      <c r="F27595" s="1"/>
      <c r="G27595" s="1"/>
    </row>
    <row r="27596">
      <c r="B27596" s="36"/>
      <c r="C27596" s="36"/>
      <c r="E27596" s="1"/>
      <c r="F27596" s="1"/>
      <c r="G27596" s="1"/>
    </row>
    <row r="27597">
      <c r="B27597" s="36"/>
      <c r="C27597" s="36"/>
      <c r="E27597" s="1"/>
      <c r="F27597" s="1"/>
      <c r="G27597" s="1"/>
    </row>
    <row r="27598">
      <c r="B27598" s="36"/>
      <c r="C27598" s="36"/>
      <c r="E27598" s="1"/>
      <c r="F27598" s="1"/>
      <c r="G27598" s="1"/>
    </row>
    <row r="27599">
      <c r="B27599" s="36"/>
      <c r="C27599" s="36"/>
      <c r="E27599" s="1"/>
      <c r="F27599" s="1"/>
      <c r="G27599" s="1"/>
    </row>
    <row r="27600">
      <c r="B27600" s="36"/>
      <c r="C27600" s="36"/>
      <c r="E27600" s="1"/>
      <c r="F27600" s="1"/>
      <c r="G27600" s="1"/>
    </row>
    <row r="27601">
      <c r="B27601" s="36"/>
      <c r="C27601" s="36"/>
      <c r="E27601" s="1"/>
      <c r="F27601" s="1"/>
      <c r="G27601" s="1"/>
    </row>
    <row r="27602">
      <c r="B27602" s="36"/>
      <c r="C27602" s="36"/>
      <c r="E27602" s="1"/>
      <c r="F27602" s="1"/>
      <c r="G27602" s="1"/>
    </row>
    <row r="27603">
      <c r="B27603" s="36"/>
      <c r="C27603" s="36"/>
      <c r="E27603" s="1"/>
      <c r="F27603" s="1"/>
      <c r="G27603" s="1"/>
    </row>
    <row r="27604">
      <c r="B27604" s="36"/>
      <c r="C27604" s="36"/>
      <c r="E27604" s="1"/>
      <c r="F27604" s="1"/>
      <c r="G27604" s="1"/>
    </row>
    <row r="27605">
      <c r="B27605" s="36"/>
      <c r="C27605" s="36"/>
      <c r="E27605" s="1"/>
      <c r="F27605" s="1"/>
      <c r="G27605" s="1"/>
    </row>
    <row r="27606">
      <c r="B27606" s="36"/>
      <c r="C27606" s="36"/>
      <c r="E27606" s="1"/>
      <c r="F27606" s="1"/>
      <c r="G27606" s="1"/>
    </row>
    <row r="27607">
      <c r="B27607" s="36"/>
      <c r="C27607" s="36"/>
      <c r="E27607" s="1"/>
      <c r="F27607" s="1"/>
      <c r="G27607" s="1"/>
    </row>
    <row r="27608">
      <c r="B27608" s="36"/>
      <c r="C27608" s="36"/>
      <c r="E27608" s="1"/>
      <c r="F27608" s="1"/>
      <c r="G27608" s="1"/>
    </row>
    <row r="27609">
      <c r="B27609" s="36"/>
      <c r="C27609" s="36"/>
      <c r="E27609" s="1"/>
      <c r="F27609" s="1"/>
      <c r="G27609" s="1"/>
    </row>
    <row r="27610">
      <c r="B27610" s="36"/>
      <c r="C27610" s="36"/>
      <c r="E27610" s="1"/>
      <c r="F27610" s="1"/>
      <c r="G27610" s="1"/>
    </row>
    <row r="27611">
      <c r="B27611" s="36"/>
      <c r="C27611" s="36"/>
      <c r="E27611" s="1"/>
      <c r="F27611" s="1"/>
      <c r="G27611" s="1"/>
    </row>
    <row r="27612">
      <c r="B27612" s="36"/>
      <c r="C27612" s="36"/>
      <c r="E27612" s="1"/>
      <c r="F27612" s="1"/>
      <c r="G27612" s="1"/>
    </row>
    <row r="27613">
      <c r="B27613" s="36"/>
      <c r="C27613" s="36"/>
      <c r="E27613" s="1"/>
      <c r="F27613" s="1"/>
      <c r="G27613" s="1"/>
    </row>
    <row r="27614">
      <c r="B27614" s="36"/>
      <c r="C27614" s="36"/>
      <c r="E27614" s="1"/>
      <c r="F27614" s="1"/>
      <c r="G27614" s="1"/>
    </row>
    <row r="27615">
      <c r="B27615" s="36"/>
      <c r="C27615" s="36"/>
      <c r="E27615" s="1"/>
      <c r="F27615" s="1"/>
      <c r="G27615" s="1"/>
    </row>
    <row r="27616">
      <c r="B27616" s="36"/>
      <c r="C27616" s="36"/>
      <c r="E27616" s="1"/>
      <c r="F27616" s="1"/>
      <c r="G27616" s="1"/>
    </row>
    <row r="27617">
      <c r="B27617" s="36"/>
      <c r="C27617" s="36"/>
      <c r="E27617" s="1"/>
      <c r="F27617" s="1"/>
      <c r="G27617" s="1"/>
    </row>
    <row r="27618">
      <c r="B27618" s="36"/>
      <c r="C27618" s="36"/>
      <c r="E27618" s="1"/>
      <c r="F27618" s="1"/>
      <c r="G27618" s="1"/>
    </row>
    <row r="27619">
      <c r="B27619" s="36"/>
      <c r="C27619" s="36"/>
      <c r="E27619" s="1"/>
      <c r="F27619" s="1"/>
      <c r="G27619" s="1"/>
    </row>
    <row r="27620">
      <c r="B27620" s="36"/>
      <c r="C27620" s="36"/>
      <c r="E27620" s="1"/>
      <c r="F27620" s="1"/>
      <c r="G27620" s="1"/>
    </row>
    <row r="27621">
      <c r="B27621" s="36"/>
      <c r="C27621" s="36"/>
      <c r="E27621" s="1"/>
      <c r="F27621" s="1"/>
      <c r="G27621" s="1"/>
    </row>
    <row r="27622">
      <c r="B27622" s="36"/>
      <c r="C27622" s="36"/>
      <c r="E27622" s="1"/>
      <c r="F27622" s="1"/>
      <c r="G27622" s="1"/>
    </row>
    <row r="27623">
      <c r="B27623" s="36"/>
      <c r="C27623" s="36"/>
      <c r="E27623" s="1"/>
      <c r="F27623" s="1"/>
      <c r="G27623" s="1"/>
    </row>
    <row r="27624">
      <c r="B27624" s="36"/>
      <c r="C27624" s="36"/>
      <c r="E27624" s="1"/>
      <c r="F27624" s="1"/>
      <c r="G27624" s="1"/>
    </row>
    <row r="27625">
      <c r="B27625" s="36"/>
      <c r="C27625" s="36"/>
      <c r="E27625" s="1"/>
      <c r="F27625" s="1"/>
      <c r="G27625" s="1"/>
    </row>
    <row r="27626">
      <c r="B27626" s="36"/>
      <c r="C27626" s="36"/>
      <c r="E27626" s="1"/>
      <c r="F27626" s="1"/>
      <c r="G27626" s="1"/>
    </row>
    <row r="27627">
      <c r="B27627" s="36"/>
      <c r="C27627" s="36"/>
      <c r="E27627" s="1"/>
      <c r="F27627" s="1"/>
      <c r="G27627" s="1"/>
    </row>
    <row r="27628">
      <c r="B27628" s="36"/>
      <c r="C27628" s="36"/>
      <c r="E27628" s="1"/>
      <c r="F27628" s="1"/>
      <c r="G27628" s="1"/>
    </row>
    <row r="27629">
      <c r="B27629" s="36"/>
      <c r="C27629" s="36"/>
      <c r="E27629" s="1"/>
      <c r="F27629" s="1"/>
      <c r="G27629" s="1"/>
    </row>
    <row r="27630">
      <c r="B27630" s="36"/>
      <c r="C27630" s="36"/>
      <c r="E27630" s="1"/>
      <c r="F27630" s="1"/>
      <c r="G27630" s="1"/>
    </row>
    <row r="27631">
      <c r="B27631" s="36"/>
      <c r="C27631" s="36"/>
      <c r="E27631" s="1"/>
      <c r="F27631" s="1"/>
      <c r="G27631" s="1"/>
    </row>
    <row r="27632">
      <c r="B27632" s="36"/>
      <c r="C27632" s="36"/>
      <c r="E27632" s="1"/>
      <c r="F27632" s="1"/>
      <c r="G27632" s="1"/>
    </row>
    <row r="27633">
      <c r="B27633" s="36"/>
      <c r="C27633" s="36"/>
      <c r="E27633" s="1"/>
      <c r="F27633" s="1"/>
      <c r="G27633" s="1"/>
    </row>
    <row r="27634">
      <c r="B27634" s="36"/>
      <c r="C27634" s="36"/>
      <c r="E27634" s="1"/>
      <c r="F27634" s="1"/>
      <c r="G27634" s="1"/>
    </row>
    <row r="27635">
      <c r="B27635" s="36"/>
      <c r="C27635" s="36"/>
      <c r="E27635" s="1"/>
      <c r="F27635" s="1"/>
      <c r="G27635" s="1"/>
    </row>
    <row r="27636">
      <c r="B27636" s="36"/>
      <c r="C27636" s="36"/>
      <c r="E27636" s="1"/>
      <c r="F27636" s="1"/>
      <c r="G27636" s="1"/>
    </row>
    <row r="27637">
      <c r="B27637" s="36"/>
      <c r="C27637" s="36"/>
      <c r="E27637" s="1"/>
      <c r="F27637" s="1"/>
      <c r="G27637" s="1"/>
    </row>
    <row r="27638">
      <c r="B27638" s="36"/>
      <c r="C27638" s="36"/>
      <c r="E27638" s="1"/>
      <c r="F27638" s="1"/>
      <c r="G27638" s="1"/>
    </row>
    <row r="27639">
      <c r="B27639" s="36"/>
      <c r="C27639" s="36"/>
      <c r="E27639" s="1"/>
      <c r="F27639" s="1"/>
      <c r="G27639" s="1"/>
    </row>
    <row r="27640">
      <c r="B27640" s="36"/>
      <c r="C27640" s="36"/>
      <c r="E27640" s="1"/>
      <c r="F27640" s="1"/>
      <c r="G27640" s="1"/>
    </row>
    <row r="27641">
      <c r="B27641" s="36"/>
      <c r="C27641" s="36"/>
      <c r="E27641" s="1"/>
      <c r="F27641" s="1"/>
      <c r="G27641" s="1"/>
    </row>
    <row r="27642">
      <c r="B27642" s="36"/>
      <c r="C27642" s="36"/>
      <c r="E27642" s="1"/>
      <c r="F27642" s="1"/>
      <c r="G27642" s="1"/>
    </row>
    <row r="27643">
      <c r="B27643" s="36"/>
      <c r="C27643" s="36"/>
      <c r="E27643" s="1"/>
      <c r="F27643" s="1"/>
      <c r="G27643" s="1"/>
    </row>
    <row r="27644">
      <c r="B27644" s="36"/>
      <c r="C27644" s="36"/>
      <c r="E27644" s="1"/>
      <c r="F27644" s="1"/>
      <c r="G27644" s="1"/>
    </row>
    <row r="27645">
      <c r="B27645" s="36"/>
      <c r="C27645" s="36"/>
      <c r="E27645" s="1"/>
      <c r="F27645" s="1"/>
      <c r="G27645" s="1"/>
    </row>
    <row r="27646">
      <c r="B27646" s="36"/>
      <c r="C27646" s="36"/>
      <c r="E27646" s="1"/>
      <c r="F27646" s="1"/>
      <c r="G27646" s="1"/>
    </row>
    <row r="27647">
      <c r="B27647" s="36"/>
      <c r="C27647" s="36"/>
      <c r="E27647" s="1"/>
      <c r="F27647" s="1"/>
      <c r="G27647" s="1"/>
    </row>
    <row r="27648">
      <c r="B27648" s="36"/>
      <c r="C27648" s="36"/>
      <c r="E27648" s="1"/>
      <c r="F27648" s="1"/>
      <c r="G27648" s="1"/>
    </row>
    <row r="27649">
      <c r="B27649" s="36"/>
      <c r="C27649" s="36"/>
      <c r="E27649" s="1"/>
      <c r="F27649" s="1"/>
      <c r="G27649" s="1"/>
    </row>
    <row r="27650">
      <c r="B27650" s="36"/>
      <c r="C27650" s="36"/>
      <c r="E27650" s="1"/>
      <c r="F27650" s="1"/>
      <c r="G27650" s="1"/>
    </row>
    <row r="27651">
      <c r="B27651" s="36"/>
      <c r="C27651" s="36"/>
      <c r="E27651" s="1"/>
      <c r="F27651" s="1"/>
      <c r="G27651" s="1"/>
    </row>
    <row r="27652">
      <c r="B27652" s="36"/>
      <c r="C27652" s="36"/>
      <c r="E27652" s="1"/>
      <c r="F27652" s="1"/>
      <c r="G27652" s="1"/>
    </row>
    <row r="27653">
      <c r="B27653" s="36"/>
      <c r="C27653" s="36"/>
      <c r="E27653" s="1"/>
      <c r="F27653" s="1"/>
      <c r="G27653" s="1"/>
    </row>
    <row r="27654">
      <c r="B27654" s="36"/>
      <c r="C27654" s="36"/>
      <c r="E27654" s="1"/>
      <c r="F27654" s="1"/>
      <c r="G27654" s="1"/>
    </row>
    <row r="27655">
      <c r="B27655" s="36"/>
      <c r="C27655" s="36"/>
      <c r="E27655" s="1"/>
      <c r="F27655" s="1"/>
      <c r="G27655" s="1"/>
    </row>
    <row r="27656">
      <c r="B27656" s="36"/>
      <c r="C27656" s="36"/>
      <c r="E27656" s="1"/>
      <c r="F27656" s="1"/>
      <c r="G27656" s="1"/>
    </row>
    <row r="27657">
      <c r="B27657" s="36"/>
      <c r="C27657" s="36"/>
      <c r="E27657" s="1"/>
      <c r="F27657" s="1"/>
      <c r="G27657" s="1"/>
    </row>
    <row r="27658">
      <c r="B27658" s="36"/>
      <c r="C27658" s="36"/>
      <c r="E27658" s="1"/>
      <c r="F27658" s="1"/>
      <c r="G27658" s="1"/>
    </row>
    <row r="27659">
      <c r="B27659" s="36"/>
      <c r="C27659" s="36"/>
      <c r="E27659" s="1"/>
      <c r="F27659" s="1"/>
      <c r="G27659" s="1"/>
    </row>
    <row r="27660">
      <c r="B27660" s="36"/>
      <c r="C27660" s="36"/>
      <c r="E27660" s="1"/>
      <c r="F27660" s="1"/>
      <c r="G27660" s="1"/>
    </row>
    <row r="27661">
      <c r="B27661" s="36"/>
      <c r="C27661" s="36"/>
      <c r="E27661" s="1"/>
      <c r="F27661" s="1"/>
      <c r="G27661" s="1"/>
    </row>
    <row r="27662">
      <c r="B27662" s="36"/>
      <c r="C27662" s="36"/>
      <c r="E27662" s="1"/>
      <c r="F27662" s="1"/>
      <c r="G27662" s="1"/>
    </row>
    <row r="27663">
      <c r="B27663" s="36"/>
      <c r="C27663" s="36"/>
      <c r="E27663" s="1"/>
      <c r="F27663" s="1"/>
      <c r="G27663" s="1"/>
    </row>
    <row r="27664">
      <c r="B27664" s="36"/>
      <c r="C27664" s="36"/>
      <c r="E27664" s="1"/>
      <c r="F27664" s="1"/>
      <c r="G27664" s="1"/>
    </row>
    <row r="27665">
      <c r="B27665" s="36"/>
      <c r="C27665" s="36"/>
      <c r="E27665" s="1"/>
      <c r="F27665" s="1"/>
      <c r="G27665" s="1"/>
    </row>
    <row r="27666">
      <c r="B27666" s="36"/>
      <c r="C27666" s="36"/>
      <c r="E27666" s="1"/>
      <c r="F27666" s="1"/>
      <c r="G27666" s="1"/>
    </row>
    <row r="27667">
      <c r="B27667" s="36"/>
      <c r="C27667" s="36"/>
      <c r="E27667" s="1"/>
      <c r="F27667" s="1"/>
      <c r="G27667" s="1"/>
    </row>
    <row r="27668">
      <c r="B27668" s="36"/>
      <c r="C27668" s="36"/>
      <c r="E27668" s="1"/>
      <c r="F27668" s="1"/>
      <c r="G27668" s="1"/>
    </row>
    <row r="27669">
      <c r="B27669" s="36"/>
      <c r="C27669" s="36"/>
      <c r="E27669" s="1"/>
      <c r="F27669" s="1"/>
      <c r="G27669" s="1"/>
    </row>
    <row r="27670">
      <c r="B27670" s="36"/>
      <c r="C27670" s="36"/>
      <c r="E27670" s="1"/>
      <c r="F27670" s="1"/>
      <c r="G27670" s="1"/>
    </row>
    <row r="27671">
      <c r="B27671" s="36"/>
      <c r="C27671" s="36"/>
      <c r="E27671" s="1"/>
      <c r="F27671" s="1"/>
      <c r="G27671" s="1"/>
    </row>
    <row r="27672">
      <c r="B27672" s="36"/>
      <c r="C27672" s="36"/>
      <c r="E27672" s="1"/>
      <c r="F27672" s="1"/>
      <c r="G27672" s="1"/>
    </row>
    <row r="27673">
      <c r="B27673" s="36"/>
      <c r="C27673" s="36"/>
      <c r="E27673" s="1"/>
      <c r="F27673" s="1"/>
      <c r="G27673" s="1"/>
    </row>
    <row r="27674">
      <c r="B27674" s="36"/>
      <c r="C27674" s="36"/>
      <c r="E27674" s="1"/>
      <c r="F27674" s="1"/>
      <c r="G27674" s="1"/>
    </row>
    <row r="27675">
      <c r="B27675" s="36"/>
      <c r="C27675" s="36"/>
      <c r="E27675" s="1"/>
      <c r="F27675" s="1"/>
      <c r="G27675" s="1"/>
    </row>
    <row r="27676">
      <c r="B27676" s="36"/>
      <c r="C27676" s="36"/>
      <c r="E27676" s="1"/>
      <c r="F27676" s="1"/>
      <c r="G27676" s="1"/>
    </row>
    <row r="27677">
      <c r="B27677" s="36"/>
      <c r="C27677" s="36"/>
      <c r="E27677" s="1"/>
      <c r="F27677" s="1"/>
      <c r="G27677" s="1"/>
    </row>
    <row r="27678">
      <c r="B27678" s="36"/>
      <c r="C27678" s="36"/>
      <c r="E27678" s="1"/>
      <c r="F27678" s="1"/>
      <c r="G27678" s="1"/>
    </row>
    <row r="27679">
      <c r="B27679" s="36"/>
      <c r="C27679" s="36"/>
      <c r="E27679" s="1"/>
      <c r="F27679" s="1"/>
      <c r="G27679" s="1"/>
    </row>
    <row r="27680">
      <c r="B27680" s="36"/>
      <c r="C27680" s="36"/>
      <c r="E27680" s="1"/>
      <c r="F27680" s="1"/>
      <c r="G27680" s="1"/>
    </row>
    <row r="27681">
      <c r="B27681" s="36"/>
      <c r="C27681" s="36"/>
      <c r="E27681" s="1"/>
      <c r="F27681" s="1"/>
      <c r="G27681" s="1"/>
    </row>
    <row r="27682">
      <c r="B27682" s="36"/>
      <c r="C27682" s="36"/>
      <c r="E27682" s="1"/>
      <c r="F27682" s="1"/>
      <c r="G27682" s="1"/>
    </row>
    <row r="27683">
      <c r="B27683" s="36"/>
      <c r="C27683" s="36"/>
      <c r="E27683" s="1"/>
      <c r="F27683" s="1"/>
      <c r="G27683" s="1"/>
    </row>
    <row r="27684">
      <c r="B27684" s="36"/>
      <c r="C27684" s="36"/>
      <c r="E27684" s="1"/>
      <c r="F27684" s="1"/>
      <c r="G27684" s="1"/>
    </row>
    <row r="27685">
      <c r="B27685" s="36"/>
      <c r="C27685" s="36"/>
      <c r="E27685" s="1"/>
      <c r="F27685" s="1"/>
      <c r="G27685" s="1"/>
    </row>
    <row r="27686">
      <c r="B27686" s="36"/>
      <c r="C27686" s="36"/>
      <c r="E27686" s="1"/>
      <c r="F27686" s="1"/>
      <c r="G27686" s="1"/>
    </row>
    <row r="27687">
      <c r="B27687" s="36"/>
      <c r="C27687" s="36"/>
      <c r="E27687" s="1"/>
      <c r="F27687" s="1"/>
      <c r="G27687" s="1"/>
    </row>
    <row r="27688">
      <c r="B27688" s="36"/>
      <c r="C27688" s="36"/>
      <c r="E27688" s="1"/>
      <c r="F27688" s="1"/>
      <c r="G27688" s="1"/>
    </row>
    <row r="27689">
      <c r="B27689" s="36"/>
      <c r="C27689" s="36"/>
      <c r="E27689" s="1"/>
      <c r="F27689" s="1"/>
      <c r="G27689" s="1"/>
    </row>
    <row r="27690">
      <c r="B27690" s="36"/>
      <c r="C27690" s="36"/>
      <c r="E27690" s="1"/>
      <c r="F27690" s="1"/>
      <c r="G27690" s="1"/>
    </row>
    <row r="27691">
      <c r="B27691" s="36"/>
      <c r="C27691" s="36"/>
      <c r="E27691" s="1"/>
      <c r="F27691" s="1"/>
      <c r="G27691" s="1"/>
    </row>
    <row r="27692">
      <c r="B27692" s="36"/>
      <c r="C27692" s="36"/>
      <c r="E27692" s="1"/>
      <c r="F27692" s="1"/>
      <c r="G27692" s="1"/>
    </row>
    <row r="27693">
      <c r="B27693" s="36"/>
      <c r="C27693" s="36"/>
      <c r="E27693" s="1"/>
      <c r="F27693" s="1"/>
      <c r="G27693" s="1"/>
    </row>
    <row r="27694">
      <c r="B27694" s="36"/>
      <c r="C27694" s="36"/>
      <c r="E27694" s="1"/>
      <c r="F27694" s="1"/>
      <c r="G27694" s="1"/>
    </row>
    <row r="27695">
      <c r="B27695" s="36"/>
      <c r="C27695" s="36"/>
      <c r="E27695" s="1"/>
      <c r="F27695" s="1"/>
      <c r="G27695" s="1"/>
    </row>
    <row r="27696">
      <c r="B27696" s="36"/>
      <c r="C27696" s="36"/>
      <c r="E27696" s="1"/>
      <c r="F27696" s="1"/>
      <c r="G27696" s="1"/>
    </row>
    <row r="27697">
      <c r="B27697" s="36"/>
      <c r="C27697" s="36"/>
      <c r="E27697" s="1"/>
      <c r="F27697" s="1"/>
      <c r="G27697" s="1"/>
    </row>
    <row r="27698">
      <c r="B27698" s="36"/>
      <c r="C27698" s="36"/>
      <c r="E27698" s="1"/>
      <c r="F27698" s="1"/>
      <c r="G27698" s="1"/>
    </row>
    <row r="27699">
      <c r="B27699" s="36"/>
      <c r="C27699" s="36"/>
      <c r="E27699" s="1"/>
      <c r="F27699" s="1"/>
      <c r="G27699" s="1"/>
    </row>
    <row r="27700">
      <c r="B27700" s="36"/>
      <c r="C27700" s="36"/>
      <c r="E27700" s="1"/>
      <c r="F27700" s="1"/>
      <c r="G27700" s="1"/>
    </row>
    <row r="27701">
      <c r="B27701" s="36"/>
      <c r="C27701" s="36"/>
      <c r="E27701" s="1"/>
      <c r="F27701" s="1"/>
      <c r="G27701" s="1"/>
    </row>
    <row r="27702">
      <c r="B27702" s="36"/>
      <c r="C27702" s="36"/>
      <c r="E27702" s="1"/>
      <c r="F27702" s="1"/>
      <c r="G27702" s="1"/>
    </row>
    <row r="27703">
      <c r="B27703" s="36"/>
      <c r="C27703" s="36"/>
      <c r="E27703" s="1"/>
      <c r="F27703" s="1"/>
      <c r="G27703" s="1"/>
    </row>
    <row r="27704">
      <c r="B27704" s="36"/>
      <c r="C27704" s="36"/>
      <c r="E27704" s="1"/>
      <c r="F27704" s="1"/>
      <c r="G27704" s="1"/>
    </row>
    <row r="27705">
      <c r="B27705" s="36"/>
      <c r="C27705" s="36"/>
      <c r="E27705" s="1"/>
      <c r="F27705" s="1"/>
      <c r="G27705" s="1"/>
    </row>
    <row r="27706">
      <c r="B27706" s="36"/>
      <c r="C27706" s="36"/>
      <c r="E27706" s="1"/>
      <c r="F27706" s="1"/>
      <c r="G27706" s="1"/>
    </row>
    <row r="27707">
      <c r="B27707" s="36"/>
      <c r="C27707" s="36"/>
      <c r="E27707" s="1"/>
      <c r="F27707" s="1"/>
      <c r="G27707" s="1"/>
    </row>
    <row r="27708">
      <c r="B27708" s="36"/>
      <c r="C27708" s="36"/>
      <c r="E27708" s="1"/>
      <c r="F27708" s="1"/>
      <c r="G27708" s="1"/>
    </row>
    <row r="27709">
      <c r="B27709" s="36"/>
      <c r="C27709" s="36"/>
      <c r="E27709" s="1"/>
      <c r="F27709" s="1"/>
      <c r="G27709" s="1"/>
    </row>
    <row r="27710">
      <c r="B27710" s="36"/>
      <c r="C27710" s="36"/>
      <c r="E27710" s="1"/>
      <c r="F27710" s="1"/>
      <c r="G27710" s="1"/>
    </row>
    <row r="27711">
      <c r="B27711" s="36"/>
      <c r="C27711" s="36"/>
      <c r="E27711" s="1"/>
      <c r="F27711" s="1"/>
      <c r="G27711" s="1"/>
    </row>
    <row r="27712">
      <c r="B27712" s="36"/>
      <c r="C27712" s="36"/>
      <c r="E27712" s="1"/>
      <c r="F27712" s="1"/>
      <c r="G27712" s="1"/>
    </row>
    <row r="27713">
      <c r="B27713" s="36"/>
      <c r="C27713" s="36"/>
      <c r="E27713" s="1"/>
      <c r="F27713" s="1"/>
      <c r="G27713" s="1"/>
    </row>
    <row r="27714">
      <c r="B27714" s="36"/>
      <c r="C27714" s="36"/>
      <c r="E27714" s="1"/>
      <c r="F27714" s="1"/>
      <c r="G27714" s="1"/>
    </row>
    <row r="27715">
      <c r="B27715" s="36"/>
      <c r="C27715" s="36"/>
      <c r="E27715" s="1"/>
      <c r="F27715" s="1"/>
      <c r="G27715" s="1"/>
    </row>
    <row r="27716">
      <c r="B27716" s="36"/>
      <c r="C27716" s="36"/>
      <c r="E27716" s="1"/>
      <c r="F27716" s="1"/>
      <c r="G27716" s="1"/>
    </row>
    <row r="27717">
      <c r="B27717" s="36"/>
      <c r="C27717" s="36"/>
      <c r="E27717" s="1"/>
      <c r="F27717" s="1"/>
      <c r="G27717" s="1"/>
    </row>
    <row r="27718">
      <c r="B27718" s="36"/>
      <c r="C27718" s="36"/>
      <c r="E27718" s="1"/>
      <c r="F27718" s="1"/>
      <c r="G27718" s="1"/>
    </row>
    <row r="27719">
      <c r="B27719" s="36"/>
      <c r="C27719" s="36"/>
      <c r="E27719" s="1"/>
      <c r="F27719" s="1"/>
      <c r="G27719" s="1"/>
    </row>
    <row r="27720">
      <c r="B27720" s="36"/>
      <c r="C27720" s="36"/>
      <c r="E27720" s="1"/>
      <c r="F27720" s="1"/>
      <c r="G27720" s="1"/>
    </row>
    <row r="27721">
      <c r="B27721" s="36"/>
      <c r="C27721" s="36"/>
      <c r="E27721" s="1"/>
      <c r="F27721" s="1"/>
      <c r="G27721" s="1"/>
    </row>
    <row r="27722">
      <c r="B27722" s="36"/>
      <c r="C27722" s="36"/>
      <c r="E27722" s="1"/>
      <c r="F27722" s="1"/>
      <c r="G27722" s="1"/>
    </row>
    <row r="27723">
      <c r="B27723" s="36"/>
      <c r="C27723" s="36"/>
      <c r="E27723" s="1"/>
      <c r="F27723" s="1"/>
      <c r="G27723" s="1"/>
    </row>
    <row r="27724">
      <c r="B27724" s="36"/>
      <c r="C27724" s="36"/>
      <c r="E27724" s="1"/>
      <c r="F27724" s="1"/>
      <c r="G27724" s="1"/>
    </row>
    <row r="27725">
      <c r="B27725" s="36"/>
      <c r="C27725" s="36"/>
      <c r="E27725" s="1"/>
      <c r="F27725" s="1"/>
      <c r="G27725" s="1"/>
    </row>
    <row r="27726">
      <c r="B27726" s="36"/>
      <c r="C27726" s="36"/>
      <c r="E27726" s="1"/>
      <c r="F27726" s="1"/>
      <c r="G27726" s="1"/>
    </row>
    <row r="27727">
      <c r="B27727" s="36"/>
      <c r="C27727" s="36"/>
      <c r="E27727" s="1"/>
      <c r="F27727" s="1"/>
      <c r="G27727" s="1"/>
    </row>
    <row r="27728">
      <c r="B27728" s="36"/>
      <c r="C27728" s="36"/>
      <c r="E27728" s="1"/>
      <c r="F27728" s="1"/>
      <c r="G27728" s="1"/>
    </row>
    <row r="27729">
      <c r="B27729" s="36"/>
      <c r="C27729" s="36"/>
      <c r="E27729" s="1"/>
      <c r="F27729" s="1"/>
      <c r="G27729" s="1"/>
    </row>
    <row r="27730">
      <c r="B27730" s="36"/>
      <c r="C27730" s="36"/>
      <c r="E27730" s="1"/>
      <c r="F27730" s="1"/>
      <c r="G27730" s="1"/>
    </row>
    <row r="27731">
      <c r="B27731" s="36"/>
      <c r="C27731" s="36"/>
      <c r="E27731" s="1"/>
      <c r="F27731" s="1"/>
      <c r="G27731" s="1"/>
    </row>
    <row r="27732">
      <c r="B27732" s="36"/>
      <c r="C27732" s="36"/>
      <c r="E27732" s="1"/>
      <c r="F27732" s="1"/>
      <c r="G27732" s="1"/>
    </row>
    <row r="27733">
      <c r="B27733" s="36"/>
      <c r="C27733" s="36"/>
      <c r="E27733" s="1"/>
      <c r="F27733" s="1"/>
      <c r="G27733" s="1"/>
    </row>
    <row r="27734">
      <c r="B27734" s="36"/>
      <c r="C27734" s="36"/>
      <c r="E27734" s="1"/>
      <c r="F27734" s="1"/>
      <c r="G27734" s="1"/>
    </row>
    <row r="27735">
      <c r="B27735" s="36"/>
      <c r="C27735" s="36"/>
      <c r="E27735" s="1"/>
      <c r="F27735" s="1"/>
      <c r="G27735" s="1"/>
    </row>
    <row r="27736">
      <c r="B27736" s="36"/>
      <c r="C27736" s="36"/>
      <c r="E27736" s="1"/>
      <c r="F27736" s="1"/>
      <c r="G27736" s="1"/>
    </row>
    <row r="27737">
      <c r="B27737" s="36"/>
      <c r="C27737" s="36"/>
      <c r="E27737" s="1"/>
      <c r="F27737" s="1"/>
      <c r="G27737" s="1"/>
    </row>
    <row r="27738">
      <c r="B27738" s="36"/>
      <c r="C27738" s="36"/>
      <c r="E27738" s="1"/>
      <c r="F27738" s="1"/>
      <c r="G27738" s="1"/>
    </row>
    <row r="27739">
      <c r="B27739" s="36"/>
      <c r="C27739" s="36"/>
      <c r="E27739" s="1"/>
      <c r="F27739" s="1"/>
      <c r="G27739" s="1"/>
    </row>
    <row r="27740">
      <c r="B27740" s="36"/>
      <c r="C27740" s="36"/>
      <c r="E27740" s="1"/>
      <c r="F27740" s="1"/>
      <c r="G27740" s="1"/>
    </row>
    <row r="27741">
      <c r="B27741" s="36"/>
      <c r="C27741" s="36"/>
      <c r="E27741" s="1"/>
      <c r="F27741" s="1"/>
      <c r="G27741" s="1"/>
    </row>
    <row r="27742">
      <c r="B27742" s="36"/>
      <c r="C27742" s="36"/>
      <c r="E27742" s="1"/>
      <c r="F27742" s="1"/>
      <c r="G27742" s="1"/>
    </row>
    <row r="27743">
      <c r="B27743" s="36"/>
      <c r="C27743" s="36"/>
      <c r="E27743" s="1"/>
      <c r="F27743" s="1"/>
      <c r="G27743" s="1"/>
    </row>
    <row r="27744">
      <c r="B27744" s="36"/>
      <c r="C27744" s="36"/>
      <c r="E27744" s="1"/>
      <c r="F27744" s="1"/>
      <c r="G27744" s="1"/>
    </row>
    <row r="27745">
      <c r="B27745" s="36"/>
      <c r="C27745" s="36"/>
      <c r="E27745" s="1"/>
      <c r="F27745" s="1"/>
      <c r="G27745" s="1"/>
    </row>
    <row r="27746">
      <c r="B27746" s="36"/>
      <c r="C27746" s="36"/>
      <c r="E27746" s="1"/>
      <c r="F27746" s="1"/>
      <c r="G27746" s="1"/>
    </row>
    <row r="27747">
      <c r="B27747" s="36"/>
      <c r="C27747" s="36"/>
      <c r="E27747" s="1"/>
      <c r="F27747" s="1"/>
      <c r="G27747" s="1"/>
    </row>
    <row r="27748">
      <c r="B27748" s="36"/>
      <c r="C27748" s="36"/>
      <c r="E27748" s="1"/>
      <c r="F27748" s="1"/>
      <c r="G27748" s="1"/>
    </row>
    <row r="27749">
      <c r="B27749" s="36"/>
      <c r="C27749" s="36"/>
      <c r="E27749" s="1"/>
      <c r="F27749" s="1"/>
      <c r="G27749" s="1"/>
    </row>
    <row r="27750">
      <c r="B27750" s="36"/>
      <c r="C27750" s="36"/>
      <c r="E27750" s="1"/>
      <c r="F27750" s="1"/>
      <c r="G27750" s="1"/>
    </row>
    <row r="27751">
      <c r="B27751" s="36"/>
      <c r="C27751" s="36"/>
      <c r="E27751" s="1"/>
      <c r="F27751" s="1"/>
      <c r="G27751" s="1"/>
    </row>
    <row r="27752">
      <c r="B27752" s="36"/>
      <c r="C27752" s="36"/>
      <c r="E27752" s="1"/>
      <c r="F27752" s="1"/>
      <c r="G27752" s="1"/>
    </row>
    <row r="27753">
      <c r="B27753" s="36"/>
      <c r="C27753" s="36"/>
      <c r="E27753" s="1"/>
      <c r="F27753" s="1"/>
      <c r="G27753" s="1"/>
    </row>
    <row r="27754">
      <c r="B27754" s="36"/>
      <c r="C27754" s="36"/>
      <c r="E27754" s="1"/>
      <c r="F27754" s="1"/>
      <c r="G27754" s="1"/>
    </row>
    <row r="27755">
      <c r="B27755" s="36"/>
      <c r="C27755" s="36"/>
      <c r="E27755" s="1"/>
      <c r="F27755" s="1"/>
      <c r="G27755" s="1"/>
    </row>
    <row r="27756">
      <c r="B27756" s="36"/>
      <c r="C27756" s="36"/>
      <c r="E27756" s="1"/>
      <c r="F27756" s="1"/>
      <c r="G27756" s="1"/>
    </row>
    <row r="27757">
      <c r="B27757" s="36"/>
      <c r="C27757" s="36"/>
      <c r="E27757" s="1"/>
      <c r="F27757" s="1"/>
      <c r="G27757" s="1"/>
    </row>
    <row r="27758">
      <c r="B27758" s="36"/>
      <c r="C27758" s="36"/>
      <c r="E27758" s="1"/>
      <c r="F27758" s="1"/>
      <c r="G27758" s="1"/>
    </row>
    <row r="27759">
      <c r="B27759" s="36"/>
      <c r="C27759" s="36"/>
      <c r="E27759" s="1"/>
      <c r="F27759" s="1"/>
      <c r="G27759" s="1"/>
    </row>
    <row r="27760">
      <c r="B27760" s="36"/>
      <c r="C27760" s="36"/>
      <c r="E27760" s="1"/>
      <c r="F27760" s="1"/>
      <c r="G27760" s="1"/>
    </row>
    <row r="27761">
      <c r="B27761" s="36"/>
      <c r="C27761" s="36"/>
      <c r="E27761" s="1"/>
      <c r="F27761" s="1"/>
      <c r="G27761" s="1"/>
    </row>
    <row r="27762">
      <c r="B27762" s="36"/>
      <c r="C27762" s="36"/>
      <c r="E27762" s="1"/>
      <c r="F27762" s="1"/>
      <c r="G27762" s="1"/>
    </row>
    <row r="27763">
      <c r="B27763" s="36"/>
      <c r="C27763" s="36"/>
      <c r="E27763" s="1"/>
      <c r="F27763" s="1"/>
      <c r="G27763" s="1"/>
    </row>
    <row r="27764">
      <c r="B27764" s="36"/>
      <c r="C27764" s="36"/>
      <c r="E27764" s="1"/>
      <c r="F27764" s="1"/>
      <c r="G27764" s="1"/>
    </row>
    <row r="27765">
      <c r="B27765" s="36"/>
      <c r="C27765" s="36"/>
      <c r="E27765" s="1"/>
      <c r="F27765" s="1"/>
      <c r="G27765" s="1"/>
    </row>
    <row r="27766">
      <c r="B27766" s="36"/>
      <c r="C27766" s="36"/>
      <c r="E27766" s="1"/>
      <c r="F27766" s="1"/>
      <c r="G27766" s="1"/>
    </row>
    <row r="27767">
      <c r="B27767" s="36"/>
      <c r="C27767" s="36"/>
      <c r="E27767" s="1"/>
      <c r="F27767" s="1"/>
      <c r="G27767" s="1"/>
    </row>
    <row r="27768">
      <c r="B27768" s="36"/>
      <c r="C27768" s="36"/>
      <c r="E27768" s="1"/>
      <c r="F27768" s="1"/>
      <c r="G27768" s="1"/>
    </row>
    <row r="27769">
      <c r="B27769" s="36"/>
      <c r="C27769" s="36"/>
      <c r="E27769" s="1"/>
      <c r="F27769" s="1"/>
      <c r="G27769" s="1"/>
    </row>
    <row r="27770">
      <c r="B27770" s="36"/>
      <c r="C27770" s="36"/>
      <c r="E27770" s="1"/>
      <c r="F27770" s="1"/>
      <c r="G27770" s="1"/>
    </row>
    <row r="27771">
      <c r="B27771" s="36"/>
      <c r="C27771" s="36"/>
      <c r="E27771" s="1"/>
      <c r="F27771" s="1"/>
      <c r="G27771" s="1"/>
    </row>
    <row r="27772">
      <c r="B27772" s="36"/>
      <c r="C27772" s="36"/>
      <c r="E27772" s="1"/>
      <c r="F27772" s="1"/>
      <c r="G27772" s="1"/>
    </row>
    <row r="27773">
      <c r="B27773" s="36"/>
      <c r="C27773" s="36"/>
      <c r="E27773" s="1"/>
      <c r="F27773" s="1"/>
      <c r="G27773" s="1"/>
    </row>
    <row r="27774">
      <c r="B27774" s="36"/>
      <c r="C27774" s="36"/>
      <c r="E27774" s="1"/>
      <c r="F27774" s="1"/>
      <c r="G27774" s="1"/>
    </row>
    <row r="27775">
      <c r="B27775" s="36"/>
      <c r="C27775" s="36"/>
      <c r="E27775" s="1"/>
      <c r="F27775" s="1"/>
      <c r="G27775" s="1"/>
    </row>
    <row r="27776">
      <c r="B27776" s="36"/>
      <c r="C27776" s="36"/>
      <c r="E27776" s="1"/>
      <c r="F27776" s="1"/>
      <c r="G27776" s="1"/>
    </row>
    <row r="27777">
      <c r="B27777" s="36"/>
      <c r="C27777" s="36"/>
      <c r="E27777" s="1"/>
      <c r="F27777" s="1"/>
      <c r="G27777" s="1"/>
    </row>
    <row r="27778">
      <c r="B27778" s="36"/>
      <c r="C27778" s="36"/>
      <c r="E27778" s="1"/>
      <c r="F27778" s="1"/>
      <c r="G27778" s="1"/>
    </row>
    <row r="27779">
      <c r="B27779" s="36"/>
      <c r="C27779" s="36"/>
      <c r="E27779" s="1"/>
      <c r="F27779" s="1"/>
      <c r="G27779" s="1"/>
    </row>
    <row r="27780">
      <c r="B27780" s="36"/>
      <c r="C27780" s="36"/>
      <c r="E27780" s="1"/>
      <c r="F27780" s="1"/>
      <c r="G27780" s="1"/>
    </row>
    <row r="27781">
      <c r="B27781" s="36"/>
      <c r="C27781" s="36"/>
      <c r="E27781" s="1"/>
      <c r="F27781" s="1"/>
      <c r="G27781" s="1"/>
    </row>
    <row r="27782">
      <c r="B27782" s="36"/>
      <c r="C27782" s="36"/>
      <c r="E27782" s="1"/>
      <c r="F27782" s="1"/>
      <c r="G27782" s="1"/>
    </row>
    <row r="27783">
      <c r="B27783" s="36"/>
      <c r="C27783" s="36"/>
      <c r="E27783" s="1"/>
      <c r="F27783" s="1"/>
      <c r="G27783" s="1"/>
    </row>
    <row r="27784">
      <c r="B27784" s="36"/>
      <c r="C27784" s="36"/>
      <c r="E27784" s="1"/>
      <c r="F27784" s="1"/>
      <c r="G27784" s="1"/>
    </row>
    <row r="27785">
      <c r="B27785" s="36"/>
      <c r="C27785" s="36"/>
      <c r="E27785" s="1"/>
      <c r="F27785" s="1"/>
      <c r="G27785" s="1"/>
    </row>
    <row r="27786">
      <c r="B27786" s="36"/>
      <c r="C27786" s="36"/>
      <c r="E27786" s="1"/>
      <c r="F27786" s="1"/>
      <c r="G27786" s="1"/>
    </row>
    <row r="27787">
      <c r="B27787" s="36"/>
      <c r="C27787" s="36"/>
      <c r="E27787" s="1"/>
      <c r="F27787" s="1"/>
      <c r="G27787" s="1"/>
    </row>
    <row r="27788">
      <c r="B27788" s="36"/>
      <c r="C27788" s="36"/>
      <c r="E27788" s="1"/>
      <c r="F27788" s="1"/>
      <c r="G27788" s="1"/>
    </row>
    <row r="27789">
      <c r="B27789" s="36"/>
      <c r="C27789" s="36"/>
      <c r="E27789" s="1"/>
      <c r="F27789" s="1"/>
      <c r="G27789" s="1"/>
    </row>
    <row r="27790">
      <c r="B27790" s="36"/>
      <c r="C27790" s="36"/>
      <c r="E27790" s="1"/>
      <c r="F27790" s="1"/>
      <c r="G27790" s="1"/>
    </row>
    <row r="27791">
      <c r="B27791" s="36"/>
      <c r="C27791" s="36"/>
      <c r="E27791" s="1"/>
      <c r="F27791" s="1"/>
      <c r="G27791" s="1"/>
    </row>
    <row r="27792">
      <c r="B27792" s="36"/>
      <c r="C27792" s="36"/>
      <c r="E27792" s="1"/>
      <c r="F27792" s="1"/>
      <c r="G27792" s="1"/>
    </row>
    <row r="27793">
      <c r="B27793" s="36"/>
      <c r="C27793" s="36"/>
      <c r="E27793" s="1"/>
      <c r="F27793" s="1"/>
      <c r="G27793" s="1"/>
    </row>
    <row r="27794">
      <c r="B27794" s="36"/>
      <c r="C27794" s="36"/>
      <c r="E27794" s="1"/>
      <c r="F27794" s="1"/>
      <c r="G27794" s="1"/>
    </row>
    <row r="27795">
      <c r="B27795" s="36"/>
      <c r="C27795" s="36"/>
      <c r="E27795" s="1"/>
      <c r="F27795" s="1"/>
      <c r="G27795" s="1"/>
    </row>
    <row r="27796">
      <c r="B27796" s="36"/>
      <c r="C27796" s="36"/>
      <c r="E27796" s="1"/>
      <c r="F27796" s="1"/>
      <c r="G27796" s="1"/>
    </row>
    <row r="27797">
      <c r="B27797" s="36"/>
      <c r="C27797" s="36"/>
      <c r="E27797" s="1"/>
      <c r="F27797" s="1"/>
      <c r="G27797" s="1"/>
    </row>
    <row r="27798">
      <c r="B27798" s="36"/>
      <c r="C27798" s="36"/>
      <c r="E27798" s="1"/>
      <c r="F27798" s="1"/>
      <c r="G27798" s="1"/>
    </row>
    <row r="27799">
      <c r="B27799" s="36"/>
      <c r="C27799" s="36"/>
      <c r="E27799" s="1"/>
      <c r="F27799" s="1"/>
      <c r="G27799" s="1"/>
    </row>
    <row r="27800">
      <c r="B27800" s="36"/>
      <c r="C27800" s="36"/>
      <c r="E27800" s="1"/>
      <c r="F27800" s="1"/>
      <c r="G27800" s="1"/>
    </row>
    <row r="27801">
      <c r="B27801" s="36"/>
      <c r="C27801" s="36"/>
      <c r="E27801" s="1"/>
      <c r="F27801" s="1"/>
      <c r="G27801" s="1"/>
    </row>
    <row r="27802">
      <c r="B27802" s="36"/>
      <c r="C27802" s="36"/>
      <c r="E27802" s="1"/>
      <c r="F27802" s="1"/>
      <c r="G27802" s="1"/>
    </row>
    <row r="27803">
      <c r="B27803" s="36"/>
      <c r="C27803" s="36"/>
      <c r="E27803" s="1"/>
      <c r="F27803" s="1"/>
      <c r="G27803" s="1"/>
    </row>
    <row r="27804">
      <c r="B27804" s="36"/>
      <c r="C27804" s="36"/>
      <c r="E27804" s="1"/>
      <c r="F27804" s="1"/>
      <c r="G27804" s="1"/>
    </row>
    <row r="27805">
      <c r="B27805" s="36"/>
      <c r="C27805" s="36"/>
      <c r="E27805" s="1"/>
      <c r="F27805" s="1"/>
      <c r="G27805" s="1"/>
    </row>
    <row r="27806">
      <c r="B27806" s="36"/>
      <c r="C27806" s="36"/>
      <c r="E27806" s="1"/>
      <c r="F27806" s="1"/>
      <c r="G27806" s="1"/>
    </row>
    <row r="27807">
      <c r="B27807" s="36"/>
      <c r="C27807" s="36"/>
      <c r="E27807" s="1"/>
      <c r="F27807" s="1"/>
      <c r="G27807" s="1"/>
    </row>
    <row r="27808">
      <c r="B27808" s="36"/>
      <c r="C27808" s="36"/>
      <c r="E27808" s="1"/>
      <c r="F27808" s="1"/>
      <c r="G27808" s="1"/>
    </row>
    <row r="27809">
      <c r="B27809" s="36"/>
      <c r="C27809" s="36"/>
      <c r="E27809" s="1"/>
      <c r="F27809" s="1"/>
      <c r="G27809" s="1"/>
    </row>
    <row r="27810">
      <c r="B27810" s="36"/>
      <c r="C27810" s="36"/>
      <c r="E27810" s="1"/>
      <c r="F27810" s="1"/>
      <c r="G27810" s="1"/>
    </row>
    <row r="27811">
      <c r="B27811" s="36"/>
      <c r="C27811" s="36"/>
      <c r="E27811" s="1"/>
      <c r="F27811" s="1"/>
      <c r="G27811" s="1"/>
    </row>
    <row r="27812">
      <c r="B27812" s="36"/>
      <c r="C27812" s="36"/>
      <c r="E27812" s="1"/>
      <c r="F27812" s="1"/>
      <c r="G27812" s="1"/>
    </row>
    <row r="27813">
      <c r="B27813" s="36"/>
      <c r="C27813" s="36"/>
      <c r="E27813" s="1"/>
      <c r="F27813" s="1"/>
      <c r="G27813" s="1"/>
    </row>
    <row r="27814">
      <c r="B27814" s="36"/>
      <c r="C27814" s="36"/>
      <c r="E27814" s="1"/>
      <c r="F27814" s="1"/>
      <c r="G27814" s="1"/>
    </row>
    <row r="27815">
      <c r="B27815" s="36"/>
      <c r="C27815" s="36"/>
      <c r="E27815" s="1"/>
      <c r="F27815" s="1"/>
      <c r="G27815" s="1"/>
    </row>
    <row r="27816">
      <c r="B27816" s="36"/>
      <c r="C27816" s="36"/>
      <c r="E27816" s="1"/>
      <c r="F27816" s="1"/>
      <c r="G27816" s="1"/>
    </row>
    <row r="27817">
      <c r="B27817" s="36"/>
      <c r="C27817" s="36"/>
      <c r="E27817" s="1"/>
      <c r="F27817" s="1"/>
      <c r="G27817" s="1"/>
    </row>
    <row r="27818">
      <c r="B27818" s="36"/>
      <c r="C27818" s="36"/>
      <c r="E27818" s="1"/>
      <c r="F27818" s="1"/>
      <c r="G27818" s="1"/>
    </row>
    <row r="27819">
      <c r="B27819" s="36"/>
      <c r="C27819" s="36"/>
      <c r="E27819" s="1"/>
      <c r="F27819" s="1"/>
      <c r="G27819" s="1"/>
    </row>
    <row r="27820">
      <c r="B27820" s="36"/>
      <c r="C27820" s="36"/>
      <c r="E27820" s="1"/>
      <c r="F27820" s="1"/>
      <c r="G27820" s="1"/>
    </row>
    <row r="27821">
      <c r="B27821" s="36"/>
      <c r="C27821" s="36"/>
      <c r="E27821" s="1"/>
      <c r="F27821" s="1"/>
      <c r="G27821" s="1"/>
    </row>
    <row r="27822">
      <c r="B27822" s="36"/>
      <c r="C27822" s="36"/>
      <c r="E27822" s="1"/>
      <c r="F27822" s="1"/>
      <c r="G27822" s="1"/>
    </row>
    <row r="27823">
      <c r="B27823" s="36"/>
      <c r="C27823" s="36"/>
      <c r="E27823" s="1"/>
      <c r="F27823" s="1"/>
      <c r="G27823" s="1"/>
    </row>
    <row r="27824">
      <c r="B27824" s="36"/>
      <c r="C27824" s="36"/>
      <c r="E27824" s="1"/>
      <c r="F27824" s="1"/>
      <c r="G27824" s="1"/>
    </row>
    <row r="27825">
      <c r="B27825" s="36"/>
      <c r="C27825" s="36"/>
      <c r="E27825" s="1"/>
      <c r="F27825" s="1"/>
      <c r="G27825" s="1"/>
    </row>
    <row r="27826">
      <c r="B27826" s="36"/>
      <c r="C27826" s="36"/>
      <c r="E27826" s="1"/>
      <c r="F27826" s="1"/>
      <c r="G27826" s="1"/>
    </row>
    <row r="27827">
      <c r="B27827" s="36"/>
      <c r="C27827" s="36"/>
      <c r="E27827" s="1"/>
      <c r="F27827" s="1"/>
      <c r="G27827" s="1"/>
    </row>
    <row r="27828">
      <c r="B27828" s="36"/>
      <c r="C27828" s="36"/>
      <c r="E27828" s="1"/>
      <c r="F27828" s="1"/>
      <c r="G27828" s="1"/>
    </row>
    <row r="27829">
      <c r="B27829" s="36"/>
      <c r="C27829" s="36"/>
      <c r="E27829" s="1"/>
      <c r="F27829" s="1"/>
      <c r="G27829" s="1"/>
    </row>
    <row r="27830">
      <c r="B27830" s="36"/>
      <c r="C27830" s="36"/>
      <c r="E27830" s="1"/>
      <c r="F27830" s="1"/>
      <c r="G27830" s="1"/>
    </row>
    <row r="27831">
      <c r="B27831" s="36"/>
      <c r="C27831" s="36"/>
      <c r="E27831" s="1"/>
      <c r="F27831" s="1"/>
      <c r="G27831" s="1"/>
    </row>
    <row r="27832">
      <c r="B27832" s="36"/>
      <c r="C27832" s="36"/>
      <c r="E27832" s="1"/>
      <c r="F27832" s="1"/>
      <c r="G27832" s="1"/>
    </row>
    <row r="27833">
      <c r="B27833" s="36"/>
      <c r="C27833" s="36"/>
      <c r="E27833" s="1"/>
      <c r="F27833" s="1"/>
      <c r="G27833" s="1"/>
    </row>
    <row r="27834">
      <c r="B27834" s="36"/>
      <c r="C27834" s="36"/>
      <c r="E27834" s="1"/>
      <c r="F27834" s="1"/>
      <c r="G27834" s="1"/>
    </row>
    <row r="27835">
      <c r="B27835" s="36"/>
      <c r="C27835" s="36"/>
      <c r="E27835" s="1"/>
      <c r="F27835" s="1"/>
      <c r="G27835" s="1"/>
    </row>
    <row r="27836">
      <c r="B27836" s="36"/>
      <c r="C27836" s="36"/>
      <c r="E27836" s="1"/>
      <c r="F27836" s="1"/>
      <c r="G27836" s="1"/>
    </row>
    <row r="27837">
      <c r="B27837" s="36"/>
      <c r="C27837" s="36"/>
      <c r="E27837" s="1"/>
      <c r="F27837" s="1"/>
      <c r="G27837" s="1"/>
    </row>
    <row r="27838">
      <c r="B27838" s="36"/>
      <c r="C27838" s="36"/>
      <c r="E27838" s="1"/>
      <c r="F27838" s="1"/>
      <c r="G27838" s="1"/>
    </row>
    <row r="27839">
      <c r="B27839" s="36"/>
      <c r="C27839" s="36"/>
      <c r="E27839" s="1"/>
      <c r="F27839" s="1"/>
      <c r="G27839" s="1"/>
    </row>
    <row r="27840">
      <c r="B27840" s="36"/>
      <c r="C27840" s="36"/>
      <c r="E27840" s="1"/>
      <c r="F27840" s="1"/>
      <c r="G27840" s="1"/>
    </row>
    <row r="27841">
      <c r="B27841" s="36"/>
      <c r="C27841" s="36"/>
      <c r="E27841" s="1"/>
      <c r="F27841" s="1"/>
      <c r="G27841" s="1"/>
    </row>
    <row r="27842">
      <c r="B27842" s="36"/>
      <c r="C27842" s="36"/>
      <c r="E27842" s="1"/>
      <c r="F27842" s="1"/>
      <c r="G27842" s="1"/>
    </row>
    <row r="27843">
      <c r="B27843" s="36"/>
      <c r="C27843" s="36"/>
      <c r="E27843" s="1"/>
      <c r="F27843" s="1"/>
      <c r="G27843" s="1"/>
    </row>
    <row r="27844">
      <c r="B27844" s="36"/>
      <c r="C27844" s="36"/>
      <c r="E27844" s="1"/>
      <c r="F27844" s="1"/>
      <c r="G27844" s="1"/>
    </row>
    <row r="27845">
      <c r="B27845" s="36"/>
      <c r="C27845" s="36"/>
      <c r="E27845" s="1"/>
      <c r="F27845" s="1"/>
      <c r="G27845" s="1"/>
    </row>
    <row r="27846">
      <c r="B27846" s="36"/>
      <c r="C27846" s="36"/>
      <c r="E27846" s="1"/>
      <c r="F27846" s="1"/>
      <c r="G27846" s="1"/>
    </row>
    <row r="27847">
      <c r="B27847" s="36"/>
      <c r="C27847" s="36"/>
      <c r="E27847" s="1"/>
      <c r="F27847" s="1"/>
      <c r="G27847" s="1"/>
    </row>
    <row r="27848">
      <c r="B27848" s="36"/>
      <c r="C27848" s="36"/>
      <c r="E27848" s="1"/>
      <c r="F27848" s="1"/>
      <c r="G27848" s="1"/>
    </row>
    <row r="27849">
      <c r="B27849" s="36"/>
      <c r="C27849" s="36"/>
      <c r="E27849" s="1"/>
      <c r="F27849" s="1"/>
      <c r="G27849" s="1"/>
    </row>
    <row r="27850">
      <c r="B27850" s="36"/>
      <c r="C27850" s="36"/>
      <c r="E27850" s="1"/>
      <c r="F27850" s="1"/>
      <c r="G27850" s="1"/>
    </row>
    <row r="27851">
      <c r="B27851" s="36"/>
      <c r="C27851" s="36"/>
      <c r="E27851" s="1"/>
      <c r="F27851" s="1"/>
      <c r="G27851" s="1"/>
    </row>
    <row r="27852">
      <c r="B27852" s="36"/>
      <c r="C27852" s="36"/>
      <c r="E27852" s="1"/>
      <c r="F27852" s="1"/>
      <c r="G27852" s="1"/>
    </row>
    <row r="27853">
      <c r="B27853" s="36"/>
      <c r="C27853" s="36"/>
      <c r="E27853" s="1"/>
      <c r="F27853" s="1"/>
      <c r="G27853" s="1"/>
    </row>
    <row r="27854">
      <c r="B27854" s="36"/>
      <c r="C27854" s="36"/>
      <c r="E27854" s="1"/>
      <c r="F27854" s="1"/>
      <c r="G27854" s="1"/>
    </row>
    <row r="27855">
      <c r="B27855" s="36"/>
      <c r="C27855" s="36"/>
      <c r="E27855" s="1"/>
      <c r="F27855" s="1"/>
      <c r="G27855" s="1"/>
    </row>
    <row r="27856">
      <c r="B27856" s="36"/>
      <c r="C27856" s="36"/>
      <c r="E27856" s="1"/>
      <c r="F27856" s="1"/>
      <c r="G27856" s="1"/>
    </row>
    <row r="27857">
      <c r="B27857" s="36"/>
      <c r="C27857" s="36"/>
      <c r="E27857" s="1"/>
      <c r="F27857" s="1"/>
      <c r="G27857" s="1"/>
    </row>
    <row r="27858">
      <c r="B27858" s="36"/>
      <c r="C27858" s="36"/>
      <c r="E27858" s="1"/>
      <c r="F27858" s="1"/>
      <c r="G27858" s="1"/>
    </row>
    <row r="27859">
      <c r="B27859" s="36"/>
      <c r="C27859" s="36"/>
      <c r="E27859" s="1"/>
      <c r="F27859" s="1"/>
      <c r="G27859" s="1"/>
    </row>
    <row r="27860">
      <c r="B27860" s="36"/>
      <c r="C27860" s="36"/>
      <c r="E27860" s="1"/>
      <c r="F27860" s="1"/>
      <c r="G27860" s="1"/>
    </row>
    <row r="27861">
      <c r="B27861" s="36"/>
      <c r="C27861" s="36"/>
      <c r="E27861" s="1"/>
      <c r="F27861" s="1"/>
      <c r="G27861" s="1"/>
    </row>
    <row r="27862">
      <c r="B27862" s="36"/>
      <c r="C27862" s="36"/>
      <c r="E27862" s="1"/>
      <c r="F27862" s="1"/>
      <c r="G27862" s="1"/>
    </row>
    <row r="27863">
      <c r="B27863" s="36"/>
      <c r="C27863" s="36"/>
      <c r="E27863" s="1"/>
      <c r="F27863" s="1"/>
      <c r="G27863" s="1"/>
    </row>
    <row r="27864">
      <c r="B27864" s="36"/>
      <c r="C27864" s="36"/>
      <c r="E27864" s="1"/>
      <c r="F27864" s="1"/>
      <c r="G27864" s="1"/>
    </row>
    <row r="27865">
      <c r="B27865" s="36"/>
      <c r="C27865" s="36"/>
      <c r="E27865" s="1"/>
      <c r="F27865" s="1"/>
      <c r="G27865" s="1"/>
    </row>
    <row r="27866">
      <c r="B27866" s="36"/>
      <c r="C27866" s="36"/>
      <c r="E27866" s="1"/>
      <c r="F27866" s="1"/>
      <c r="G27866" s="1"/>
    </row>
    <row r="27867">
      <c r="B27867" s="36"/>
      <c r="C27867" s="36"/>
      <c r="E27867" s="1"/>
      <c r="F27867" s="1"/>
      <c r="G27867" s="1"/>
    </row>
    <row r="27868">
      <c r="B27868" s="36"/>
      <c r="C27868" s="36"/>
      <c r="E27868" s="1"/>
      <c r="F27868" s="1"/>
      <c r="G27868" s="1"/>
    </row>
    <row r="27869">
      <c r="B27869" s="36"/>
      <c r="C27869" s="36"/>
      <c r="E27869" s="1"/>
      <c r="F27869" s="1"/>
      <c r="G27869" s="1"/>
    </row>
    <row r="27870">
      <c r="B27870" s="36"/>
      <c r="C27870" s="36"/>
      <c r="E27870" s="1"/>
      <c r="F27870" s="1"/>
      <c r="G27870" s="1"/>
    </row>
    <row r="27871">
      <c r="B27871" s="36"/>
      <c r="C27871" s="36"/>
      <c r="E27871" s="1"/>
      <c r="F27871" s="1"/>
      <c r="G27871" s="1"/>
    </row>
    <row r="27872">
      <c r="B27872" s="36"/>
      <c r="C27872" s="36"/>
      <c r="E27872" s="1"/>
      <c r="F27872" s="1"/>
      <c r="G27872" s="1"/>
    </row>
    <row r="27873">
      <c r="B27873" s="36"/>
      <c r="C27873" s="36"/>
      <c r="E27873" s="1"/>
      <c r="F27873" s="1"/>
      <c r="G27873" s="1"/>
    </row>
    <row r="27874">
      <c r="B27874" s="36"/>
      <c r="C27874" s="36"/>
      <c r="E27874" s="1"/>
      <c r="F27874" s="1"/>
      <c r="G27874" s="1"/>
    </row>
    <row r="27875">
      <c r="B27875" s="36"/>
      <c r="C27875" s="36"/>
      <c r="E27875" s="1"/>
      <c r="F27875" s="1"/>
      <c r="G27875" s="1"/>
    </row>
    <row r="27876">
      <c r="B27876" s="36"/>
      <c r="C27876" s="36"/>
      <c r="E27876" s="1"/>
      <c r="F27876" s="1"/>
      <c r="G27876" s="1"/>
    </row>
    <row r="27877">
      <c r="B27877" s="36"/>
      <c r="C27877" s="36"/>
      <c r="E27877" s="1"/>
      <c r="F27877" s="1"/>
      <c r="G27877" s="1"/>
    </row>
    <row r="27878">
      <c r="B27878" s="36"/>
      <c r="C27878" s="36"/>
      <c r="E27878" s="1"/>
      <c r="F27878" s="1"/>
      <c r="G27878" s="1"/>
    </row>
    <row r="27879">
      <c r="B27879" s="36"/>
      <c r="C27879" s="36"/>
      <c r="E27879" s="1"/>
      <c r="F27879" s="1"/>
      <c r="G27879" s="1"/>
    </row>
    <row r="27880">
      <c r="B27880" s="36"/>
      <c r="C27880" s="36"/>
      <c r="E27880" s="1"/>
      <c r="F27880" s="1"/>
      <c r="G27880" s="1"/>
    </row>
    <row r="27881">
      <c r="B27881" s="36"/>
      <c r="C27881" s="36"/>
      <c r="E27881" s="1"/>
      <c r="F27881" s="1"/>
      <c r="G27881" s="1"/>
    </row>
    <row r="27882">
      <c r="B27882" s="36"/>
      <c r="C27882" s="36"/>
      <c r="E27882" s="1"/>
      <c r="F27882" s="1"/>
      <c r="G27882" s="1"/>
    </row>
    <row r="27883">
      <c r="B27883" s="36"/>
      <c r="C27883" s="36"/>
      <c r="E27883" s="1"/>
      <c r="F27883" s="1"/>
      <c r="G27883" s="1"/>
    </row>
    <row r="27884">
      <c r="B27884" s="36"/>
      <c r="C27884" s="36"/>
      <c r="E27884" s="1"/>
      <c r="F27884" s="1"/>
      <c r="G27884" s="1"/>
    </row>
    <row r="27885">
      <c r="B27885" s="36"/>
      <c r="C27885" s="36"/>
      <c r="E27885" s="1"/>
      <c r="F27885" s="1"/>
      <c r="G27885" s="1"/>
    </row>
    <row r="27886">
      <c r="B27886" s="36"/>
      <c r="C27886" s="36"/>
      <c r="E27886" s="1"/>
      <c r="F27886" s="1"/>
      <c r="G27886" s="1"/>
    </row>
    <row r="27887">
      <c r="B27887" s="36"/>
      <c r="C27887" s="36"/>
      <c r="E27887" s="1"/>
      <c r="F27887" s="1"/>
      <c r="G27887" s="1"/>
    </row>
    <row r="27888">
      <c r="B27888" s="36"/>
      <c r="C27888" s="36"/>
      <c r="E27888" s="1"/>
      <c r="F27888" s="1"/>
      <c r="G27888" s="1"/>
    </row>
    <row r="27889">
      <c r="B27889" s="36"/>
      <c r="C27889" s="36"/>
      <c r="E27889" s="1"/>
      <c r="F27889" s="1"/>
      <c r="G27889" s="1"/>
    </row>
    <row r="27890">
      <c r="B27890" s="36"/>
      <c r="C27890" s="36"/>
      <c r="E27890" s="1"/>
      <c r="F27890" s="1"/>
      <c r="G27890" s="1"/>
    </row>
    <row r="27891">
      <c r="B27891" s="36"/>
      <c r="C27891" s="36"/>
      <c r="E27891" s="1"/>
      <c r="F27891" s="1"/>
      <c r="G27891" s="1"/>
    </row>
    <row r="27892">
      <c r="B27892" s="36"/>
      <c r="C27892" s="36"/>
      <c r="E27892" s="1"/>
      <c r="F27892" s="1"/>
      <c r="G27892" s="1"/>
    </row>
    <row r="27893">
      <c r="B27893" s="36"/>
      <c r="C27893" s="36"/>
      <c r="E27893" s="1"/>
      <c r="F27893" s="1"/>
      <c r="G27893" s="1"/>
    </row>
    <row r="27894">
      <c r="B27894" s="36"/>
      <c r="C27894" s="36"/>
      <c r="E27894" s="1"/>
      <c r="F27894" s="1"/>
      <c r="G27894" s="1"/>
    </row>
    <row r="27895">
      <c r="B27895" s="36"/>
      <c r="C27895" s="36"/>
      <c r="E27895" s="1"/>
      <c r="F27895" s="1"/>
      <c r="G27895" s="1"/>
    </row>
    <row r="27896">
      <c r="B27896" s="36"/>
      <c r="C27896" s="36"/>
      <c r="E27896" s="1"/>
      <c r="F27896" s="1"/>
      <c r="G27896" s="1"/>
    </row>
    <row r="27897">
      <c r="B27897" s="36"/>
      <c r="C27897" s="36"/>
      <c r="E27897" s="1"/>
      <c r="F27897" s="1"/>
      <c r="G27897" s="1"/>
    </row>
    <row r="27898">
      <c r="B27898" s="36"/>
      <c r="C27898" s="36"/>
      <c r="E27898" s="1"/>
      <c r="F27898" s="1"/>
      <c r="G27898" s="1"/>
    </row>
    <row r="27899">
      <c r="B27899" s="36"/>
      <c r="C27899" s="36"/>
      <c r="E27899" s="1"/>
      <c r="F27899" s="1"/>
      <c r="G27899" s="1"/>
    </row>
    <row r="27900">
      <c r="B27900" s="36"/>
      <c r="C27900" s="36"/>
      <c r="E27900" s="1"/>
      <c r="F27900" s="1"/>
      <c r="G27900" s="1"/>
    </row>
    <row r="27901">
      <c r="B27901" s="36"/>
      <c r="C27901" s="36"/>
      <c r="E27901" s="1"/>
      <c r="F27901" s="1"/>
      <c r="G27901" s="1"/>
    </row>
    <row r="27902">
      <c r="B27902" s="36"/>
      <c r="C27902" s="36"/>
      <c r="E27902" s="1"/>
      <c r="F27902" s="1"/>
      <c r="G27902" s="1"/>
    </row>
    <row r="27903">
      <c r="B27903" s="36"/>
      <c r="C27903" s="36"/>
      <c r="E27903" s="1"/>
      <c r="F27903" s="1"/>
      <c r="G27903" s="1"/>
    </row>
    <row r="27904">
      <c r="B27904" s="36"/>
      <c r="C27904" s="36"/>
      <c r="E27904" s="1"/>
      <c r="F27904" s="1"/>
      <c r="G27904" s="1"/>
    </row>
    <row r="27905">
      <c r="B27905" s="36"/>
      <c r="C27905" s="36"/>
      <c r="E27905" s="1"/>
      <c r="F27905" s="1"/>
      <c r="G27905" s="1"/>
    </row>
    <row r="27906">
      <c r="B27906" s="36"/>
      <c r="C27906" s="36"/>
      <c r="E27906" s="1"/>
      <c r="F27906" s="1"/>
      <c r="G27906" s="1"/>
    </row>
    <row r="27907">
      <c r="B27907" s="36"/>
      <c r="C27907" s="36"/>
      <c r="E27907" s="1"/>
      <c r="F27907" s="1"/>
      <c r="G27907" s="1"/>
    </row>
    <row r="27908">
      <c r="B27908" s="36"/>
      <c r="C27908" s="36"/>
      <c r="E27908" s="1"/>
      <c r="F27908" s="1"/>
      <c r="G27908" s="1"/>
    </row>
    <row r="27909">
      <c r="B27909" s="36"/>
      <c r="C27909" s="36"/>
      <c r="E27909" s="1"/>
      <c r="F27909" s="1"/>
      <c r="G27909" s="1"/>
    </row>
    <row r="27910">
      <c r="B27910" s="36"/>
      <c r="C27910" s="36"/>
      <c r="E27910" s="1"/>
      <c r="F27910" s="1"/>
      <c r="G27910" s="1"/>
    </row>
    <row r="27911">
      <c r="B27911" s="36"/>
      <c r="C27911" s="36"/>
      <c r="E27911" s="1"/>
      <c r="F27911" s="1"/>
      <c r="G27911" s="1"/>
    </row>
    <row r="27912">
      <c r="B27912" s="36"/>
      <c r="C27912" s="36"/>
      <c r="E27912" s="1"/>
      <c r="F27912" s="1"/>
      <c r="G27912" s="1"/>
    </row>
    <row r="27913">
      <c r="B27913" s="36"/>
      <c r="C27913" s="36"/>
      <c r="E27913" s="1"/>
      <c r="F27913" s="1"/>
      <c r="G27913" s="1"/>
    </row>
    <row r="27914">
      <c r="B27914" s="36"/>
      <c r="C27914" s="36"/>
      <c r="E27914" s="1"/>
      <c r="F27914" s="1"/>
      <c r="G27914" s="1"/>
    </row>
    <row r="27915">
      <c r="B27915" s="36"/>
      <c r="C27915" s="36"/>
      <c r="E27915" s="1"/>
      <c r="F27915" s="1"/>
      <c r="G27915" s="1"/>
    </row>
    <row r="27916">
      <c r="B27916" s="36"/>
      <c r="C27916" s="36"/>
      <c r="E27916" s="1"/>
      <c r="F27916" s="1"/>
      <c r="G27916" s="1"/>
    </row>
    <row r="27917">
      <c r="B27917" s="36"/>
      <c r="C27917" s="36"/>
      <c r="E27917" s="1"/>
      <c r="F27917" s="1"/>
      <c r="G27917" s="1"/>
    </row>
    <row r="27918">
      <c r="B27918" s="36"/>
      <c r="C27918" s="36"/>
      <c r="E27918" s="1"/>
      <c r="F27918" s="1"/>
      <c r="G27918" s="1"/>
    </row>
    <row r="27919">
      <c r="B27919" s="36"/>
      <c r="C27919" s="36"/>
      <c r="E27919" s="1"/>
      <c r="F27919" s="1"/>
      <c r="G27919" s="1"/>
    </row>
    <row r="27920">
      <c r="B27920" s="36"/>
      <c r="C27920" s="36"/>
      <c r="E27920" s="1"/>
      <c r="F27920" s="1"/>
      <c r="G27920" s="1"/>
    </row>
    <row r="27921">
      <c r="B27921" s="36"/>
      <c r="C27921" s="36"/>
      <c r="E27921" s="1"/>
      <c r="F27921" s="1"/>
      <c r="G27921" s="1"/>
    </row>
    <row r="27922">
      <c r="B27922" s="36"/>
      <c r="C27922" s="36"/>
      <c r="E27922" s="1"/>
      <c r="F27922" s="1"/>
      <c r="G27922" s="1"/>
    </row>
    <row r="27923">
      <c r="B27923" s="36"/>
      <c r="C27923" s="36"/>
      <c r="E27923" s="1"/>
      <c r="F27923" s="1"/>
      <c r="G27923" s="1"/>
    </row>
    <row r="27924">
      <c r="B27924" s="36"/>
      <c r="C27924" s="36"/>
      <c r="E27924" s="1"/>
      <c r="F27924" s="1"/>
      <c r="G27924" s="1"/>
    </row>
    <row r="27925">
      <c r="B27925" s="36"/>
      <c r="C27925" s="36"/>
      <c r="E27925" s="1"/>
      <c r="F27925" s="1"/>
      <c r="G27925" s="1"/>
    </row>
    <row r="27926">
      <c r="B27926" s="36"/>
      <c r="C27926" s="36"/>
      <c r="E27926" s="1"/>
      <c r="F27926" s="1"/>
      <c r="G27926" s="1"/>
    </row>
    <row r="27927">
      <c r="B27927" s="36"/>
      <c r="C27927" s="36"/>
      <c r="E27927" s="1"/>
      <c r="F27927" s="1"/>
      <c r="G27927" s="1"/>
    </row>
    <row r="27928">
      <c r="B27928" s="36"/>
      <c r="C27928" s="36"/>
      <c r="E27928" s="1"/>
      <c r="F27928" s="1"/>
      <c r="G27928" s="1"/>
    </row>
    <row r="27929">
      <c r="B27929" s="36"/>
      <c r="C27929" s="36"/>
      <c r="E27929" s="1"/>
      <c r="F27929" s="1"/>
      <c r="G27929" s="1"/>
    </row>
    <row r="27930">
      <c r="B27930" s="36"/>
      <c r="C27930" s="36"/>
      <c r="E27930" s="1"/>
      <c r="F27930" s="1"/>
      <c r="G27930" s="1"/>
    </row>
    <row r="27931">
      <c r="B27931" s="36"/>
      <c r="C27931" s="36"/>
      <c r="E27931" s="1"/>
      <c r="F27931" s="1"/>
      <c r="G27931" s="1"/>
    </row>
    <row r="27932">
      <c r="B27932" s="36"/>
      <c r="C27932" s="36"/>
      <c r="E27932" s="1"/>
      <c r="F27932" s="1"/>
      <c r="G27932" s="1"/>
    </row>
    <row r="27933">
      <c r="B27933" s="36"/>
      <c r="C27933" s="36"/>
      <c r="E27933" s="1"/>
      <c r="F27933" s="1"/>
      <c r="G27933" s="1"/>
    </row>
    <row r="27934">
      <c r="B27934" s="36"/>
      <c r="C27934" s="36"/>
      <c r="E27934" s="1"/>
      <c r="F27934" s="1"/>
      <c r="G27934" s="1"/>
    </row>
    <row r="27935">
      <c r="B27935" s="36"/>
      <c r="C27935" s="36"/>
      <c r="E27935" s="1"/>
      <c r="F27935" s="1"/>
      <c r="G27935" s="1"/>
    </row>
    <row r="27936">
      <c r="B27936" s="36"/>
      <c r="C27936" s="36"/>
      <c r="E27936" s="1"/>
      <c r="F27936" s="1"/>
      <c r="G27936" s="1"/>
    </row>
    <row r="27937">
      <c r="B27937" s="36"/>
      <c r="C27937" s="36"/>
      <c r="E27937" s="1"/>
      <c r="F27937" s="1"/>
      <c r="G27937" s="1"/>
    </row>
    <row r="27938">
      <c r="B27938" s="36"/>
      <c r="C27938" s="36"/>
      <c r="E27938" s="1"/>
      <c r="F27938" s="1"/>
      <c r="G27938" s="1"/>
    </row>
    <row r="27939">
      <c r="B27939" s="36"/>
      <c r="C27939" s="36"/>
      <c r="E27939" s="1"/>
      <c r="F27939" s="1"/>
      <c r="G27939" s="1"/>
    </row>
    <row r="27940">
      <c r="B27940" s="36"/>
      <c r="C27940" s="36"/>
      <c r="E27940" s="1"/>
      <c r="F27940" s="1"/>
      <c r="G27940" s="1"/>
    </row>
    <row r="27941">
      <c r="B27941" s="36"/>
      <c r="C27941" s="36"/>
      <c r="E27941" s="1"/>
      <c r="F27941" s="1"/>
      <c r="G27941" s="1"/>
    </row>
    <row r="27942">
      <c r="B27942" s="36"/>
      <c r="C27942" s="36"/>
      <c r="E27942" s="1"/>
      <c r="F27942" s="1"/>
      <c r="G27942" s="1"/>
    </row>
    <row r="27943">
      <c r="B27943" s="36"/>
      <c r="C27943" s="36"/>
      <c r="E27943" s="1"/>
      <c r="F27943" s="1"/>
      <c r="G27943" s="1"/>
    </row>
    <row r="27944">
      <c r="B27944" s="36"/>
      <c r="C27944" s="36"/>
      <c r="E27944" s="1"/>
      <c r="F27944" s="1"/>
      <c r="G27944" s="1"/>
    </row>
    <row r="27945">
      <c r="B27945" s="36"/>
      <c r="C27945" s="36"/>
      <c r="E27945" s="1"/>
      <c r="F27945" s="1"/>
      <c r="G27945" s="1"/>
    </row>
    <row r="27946">
      <c r="B27946" s="36"/>
      <c r="C27946" s="36"/>
      <c r="E27946" s="1"/>
      <c r="F27946" s="1"/>
      <c r="G27946" s="1"/>
    </row>
    <row r="27947">
      <c r="B27947" s="36"/>
      <c r="C27947" s="36"/>
      <c r="E27947" s="1"/>
      <c r="F27947" s="1"/>
      <c r="G27947" s="1"/>
    </row>
    <row r="27948">
      <c r="B27948" s="36"/>
      <c r="C27948" s="36"/>
      <c r="E27948" s="1"/>
      <c r="F27948" s="1"/>
      <c r="G27948" s="1"/>
    </row>
    <row r="27949">
      <c r="B27949" s="36"/>
      <c r="C27949" s="36"/>
      <c r="E27949" s="1"/>
      <c r="F27949" s="1"/>
      <c r="G27949" s="1"/>
    </row>
    <row r="27950">
      <c r="B27950" s="36"/>
      <c r="C27950" s="36"/>
      <c r="E27950" s="1"/>
      <c r="F27950" s="1"/>
      <c r="G27950" s="1"/>
    </row>
    <row r="27951">
      <c r="B27951" s="36"/>
      <c r="C27951" s="36"/>
      <c r="E27951" s="1"/>
      <c r="F27951" s="1"/>
      <c r="G27951" s="1"/>
    </row>
    <row r="27952">
      <c r="B27952" s="36"/>
      <c r="C27952" s="36"/>
      <c r="E27952" s="1"/>
      <c r="F27952" s="1"/>
      <c r="G27952" s="1"/>
    </row>
    <row r="27953">
      <c r="B27953" s="36"/>
      <c r="C27953" s="36"/>
      <c r="E27953" s="1"/>
      <c r="F27953" s="1"/>
      <c r="G27953" s="1"/>
    </row>
    <row r="27954">
      <c r="B27954" s="36"/>
      <c r="C27954" s="36"/>
      <c r="E27954" s="1"/>
      <c r="F27954" s="1"/>
      <c r="G27954" s="1"/>
    </row>
    <row r="27955">
      <c r="B27955" s="36"/>
      <c r="C27955" s="36"/>
      <c r="E27955" s="1"/>
      <c r="F27955" s="1"/>
      <c r="G27955" s="1"/>
    </row>
    <row r="27956">
      <c r="B27956" s="36"/>
      <c r="C27956" s="36"/>
      <c r="E27956" s="1"/>
      <c r="F27956" s="1"/>
      <c r="G27956" s="1"/>
    </row>
    <row r="27957">
      <c r="B27957" s="36"/>
      <c r="C27957" s="36"/>
      <c r="E27957" s="1"/>
      <c r="F27957" s="1"/>
      <c r="G27957" s="1"/>
    </row>
    <row r="27958">
      <c r="B27958" s="36"/>
      <c r="C27958" s="36"/>
      <c r="E27958" s="1"/>
      <c r="F27958" s="1"/>
      <c r="G27958" s="1"/>
    </row>
    <row r="27959">
      <c r="B27959" s="36"/>
      <c r="C27959" s="36"/>
      <c r="E27959" s="1"/>
      <c r="F27959" s="1"/>
      <c r="G27959" s="1"/>
    </row>
    <row r="27960">
      <c r="B27960" s="36"/>
      <c r="C27960" s="36"/>
      <c r="E27960" s="1"/>
      <c r="F27960" s="1"/>
      <c r="G27960" s="1"/>
    </row>
    <row r="27961">
      <c r="B27961" s="36"/>
      <c r="C27961" s="36"/>
      <c r="E27961" s="1"/>
      <c r="F27961" s="1"/>
      <c r="G27961" s="1"/>
    </row>
    <row r="27962">
      <c r="B27962" s="36"/>
      <c r="C27962" s="36"/>
      <c r="E27962" s="1"/>
      <c r="F27962" s="1"/>
      <c r="G27962" s="1"/>
    </row>
    <row r="27963">
      <c r="B27963" s="36"/>
      <c r="C27963" s="36"/>
      <c r="E27963" s="1"/>
      <c r="F27963" s="1"/>
      <c r="G27963" s="1"/>
    </row>
    <row r="27964">
      <c r="B27964" s="36"/>
      <c r="C27964" s="36"/>
      <c r="E27964" s="1"/>
      <c r="F27964" s="1"/>
      <c r="G27964" s="1"/>
    </row>
    <row r="27965">
      <c r="B27965" s="36"/>
      <c r="C27965" s="36"/>
      <c r="E27965" s="1"/>
      <c r="F27965" s="1"/>
      <c r="G27965" s="1"/>
    </row>
    <row r="27966">
      <c r="B27966" s="36"/>
      <c r="C27966" s="36"/>
      <c r="E27966" s="1"/>
      <c r="F27966" s="1"/>
      <c r="G27966" s="1"/>
    </row>
    <row r="27967">
      <c r="B27967" s="36"/>
      <c r="C27967" s="36"/>
      <c r="E27967" s="1"/>
      <c r="F27967" s="1"/>
      <c r="G27967" s="1"/>
    </row>
    <row r="27968">
      <c r="B27968" s="36"/>
      <c r="C27968" s="36"/>
      <c r="E27968" s="1"/>
      <c r="F27968" s="1"/>
      <c r="G27968" s="1"/>
    </row>
    <row r="27969">
      <c r="B27969" s="36"/>
      <c r="C27969" s="36"/>
      <c r="E27969" s="1"/>
      <c r="F27969" s="1"/>
      <c r="G27969" s="1"/>
    </row>
    <row r="27970">
      <c r="B27970" s="36"/>
      <c r="C27970" s="36"/>
      <c r="E27970" s="1"/>
      <c r="F27970" s="1"/>
      <c r="G27970" s="1"/>
    </row>
    <row r="27971">
      <c r="B27971" s="36"/>
      <c r="C27971" s="36"/>
      <c r="E27971" s="1"/>
      <c r="F27971" s="1"/>
      <c r="G27971" s="1"/>
    </row>
    <row r="27972">
      <c r="B27972" s="36"/>
      <c r="C27972" s="36"/>
      <c r="E27972" s="1"/>
      <c r="F27972" s="1"/>
      <c r="G27972" s="1"/>
    </row>
    <row r="27973">
      <c r="B27973" s="36"/>
      <c r="C27973" s="36"/>
      <c r="E27973" s="1"/>
      <c r="F27973" s="1"/>
      <c r="G27973" s="1"/>
    </row>
    <row r="27974">
      <c r="B27974" s="36"/>
      <c r="C27974" s="36"/>
      <c r="E27974" s="1"/>
      <c r="F27974" s="1"/>
      <c r="G27974" s="1"/>
    </row>
    <row r="27975">
      <c r="B27975" s="36"/>
      <c r="C27975" s="36"/>
      <c r="E27975" s="1"/>
      <c r="F27975" s="1"/>
      <c r="G27975" s="1"/>
    </row>
    <row r="27976">
      <c r="B27976" s="36"/>
      <c r="C27976" s="36"/>
      <c r="E27976" s="1"/>
      <c r="F27976" s="1"/>
      <c r="G27976" s="1"/>
    </row>
    <row r="27977">
      <c r="B27977" s="36"/>
      <c r="C27977" s="36"/>
      <c r="E27977" s="1"/>
      <c r="F27977" s="1"/>
      <c r="G27977" s="1"/>
    </row>
    <row r="27978">
      <c r="B27978" s="36"/>
      <c r="C27978" s="36"/>
      <c r="E27978" s="1"/>
      <c r="F27978" s="1"/>
      <c r="G27978" s="1"/>
    </row>
    <row r="27979">
      <c r="B27979" s="36"/>
      <c r="C27979" s="36"/>
      <c r="E27979" s="1"/>
      <c r="F27979" s="1"/>
      <c r="G27979" s="1"/>
    </row>
    <row r="27980">
      <c r="B27980" s="36"/>
      <c r="C27980" s="36"/>
      <c r="E27980" s="1"/>
      <c r="F27980" s="1"/>
      <c r="G27980" s="1"/>
    </row>
    <row r="27981">
      <c r="B27981" s="36"/>
      <c r="C27981" s="36"/>
      <c r="E27981" s="1"/>
      <c r="F27981" s="1"/>
      <c r="G27981" s="1"/>
    </row>
    <row r="27982">
      <c r="B27982" s="36"/>
      <c r="C27982" s="36"/>
      <c r="E27982" s="1"/>
      <c r="F27982" s="1"/>
      <c r="G27982" s="1"/>
    </row>
    <row r="27983">
      <c r="B27983" s="36"/>
      <c r="C27983" s="36"/>
      <c r="E27983" s="1"/>
      <c r="F27983" s="1"/>
      <c r="G27983" s="1"/>
    </row>
    <row r="27984">
      <c r="B27984" s="36"/>
      <c r="C27984" s="36"/>
      <c r="E27984" s="1"/>
      <c r="F27984" s="1"/>
      <c r="G27984" s="1"/>
    </row>
    <row r="27985">
      <c r="B27985" s="36"/>
      <c r="C27985" s="36"/>
      <c r="E27985" s="1"/>
      <c r="F27985" s="1"/>
      <c r="G27985" s="1"/>
    </row>
    <row r="27986">
      <c r="B27986" s="36"/>
      <c r="C27986" s="36"/>
      <c r="E27986" s="1"/>
      <c r="F27986" s="1"/>
      <c r="G27986" s="1"/>
    </row>
    <row r="27987">
      <c r="B27987" s="36"/>
      <c r="C27987" s="36"/>
      <c r="E27987" s="1"/>
      <c r="F27987" s="1"/>
      <c r="G27987" s="1"/>
    </row>
    <row r="27988">
      <c r="B27988" s="36"/>
      <c r="C27988" s="36"/>
      <c r="E27988" s="1"/>
      <c r="F27988" s="1"/>
      <c r="G27988" s="1"/>
    </row>
    <row r="27989">
      <c r="B27989" s="36"/>
      <c r="C27989" s="36"/>
      <c r="E27989" s="1"/>
      <c r="F27989" s="1"/>
      <c r="G27989" s="1"/>
    </row>
    <row r="27990">
      <c r="B27990" s="36"/>
      <c r="C27990" s="36"/>
      <c r="E27990" s="1"/>
      <c r="F27990" s="1"/>
      <c r="G27990" s="1"/>
    </row>
    <row r="27991">
      <c r="B27991" s="36"/>
      <c r="C27991" s="36"/>
      <c r="E27991" s="1"/>
      <c r="F27991" s="1"/>
      <c r="G27991" s="1"/>
    </row>
    <row r="27992">
      <c r="B27992" s="36"/>
      <c r="C27992" s="36"/>
      <c r="E27992" s="1"/>
      <c r="F27992" s="1"/>
      <c r="G27992" s="1"/>
    </row>
    <row r="27993">
      <c r="B27993" s="36"/>
      <c r="C27993" s="36"/>
      <c r="E27993" s="1"/>
      <c r="F27993" s="1"/>
      <c r="G27993" s="1"/>
    </row>
    <row r="27994">
      <c r="B27994" s="36"/>
      <c r="C27994" s="36"/>
      <c r="E27994" s="1"/>
      <c r="F27994" s="1"/>
      <c r="G27994" s="1"/>
    </row>
    <row r="27995">
      <c r="B27995" s="36"/>
      <c r="C27995" s="36"/>
      <c r="E27995" s="1"/>
      <c r="F27995" s="1"/>
      <c r="G27995" s="1"/>
    </row>
    <row r="27996">
      <c r="B27996" s="36"/>
      <c r="C27996" s="36"/>
      <c r="E27996" s="1"/>
      <c r="F27996" s="1"/>
      <c r="G27996" s="1"/>
    </row>
    <row r="27997">
      <c r="B27997" s="36"/>
      <c r="C27997" s="36"/>
      <c r="E27997" s="1"/>
      <c r="F27997" s="1"/>
      <c r="G27997" s="1"/>
    </row>
    <row r="27998">
      <c r="B27998" s="36"/>
      <c r="C27998" s="36"/>
      <c r="E27998" s="1"/>
      <c r="F27998" s="1"/>
      <c r="G27998" s="1"/>
    </row>
    <row r="27999">
      <c r="B27999" s="36"/>
      <c r="C27999" s="36"/>
      <c r="E27999" s="1"/>
      <c r="F27999" s="1"/>
      <c r="G27999" s="1"/>
    </row>
    <row r="28000">
      <c r="B28000" s="36"/>
      <c r="C28000" s="36"/>
      <c r="E28000" s="1"/>
      <c r="F28000" s="1"/>
      <c r="G28000" s="1"/>
    </row>
    <row r="28001">
      <c r="B28001" s="36"/>
      <c r="C28001" s="36"/>
      <c r="E28001" s="1"/>
      <c r="F28001" s="1"/>
      <c r="G28001" s="1"/>
    </row>
    <row r="28002">
      <c r="B28002" s="36"/>
      <c r="C28002" s="36"/>
      <c r="E28002" s="1"/>
      <c r="F28002" s="1"/>
      <c r="G28002" s="1"/>
    </row>
    <row r="28003">
      <c r="B28003" s="36"/>
      <c r="C28003" s="36"/>
      <c r="E28003" s="1"/>
      <c r="F28003" s="1"/>
      <c r="G28003" s="1"/>
    </row>
    <row r="28004">
      <c r="B28004" s="36"/>
      <c r="C28004" s="36"/>
      <c r="E28004" s="1"/>
      <c r="F28004" s="1"/>
      <c r="G28004" s="1"/>
    </row>
    <row r="28005">
      <c r="B28005" s="36"/>
      <c r="C28005" s="36"/>
      <c r="E28005" s="1"/>
      <c r="F28005" s="1"/>
      <c r="G28005" s="1"/>
    </row>
    <row r="28006">
      <c r="B28006" s="36"/>
      <c r="C28006" s="36"/>
      <c r="E28006" s="1"/>
      <c r="F28006" s="1"/>
      <c r="G28006" s="1"/>
    </row>
    <row r="28007">
      <c r="B28007" s="36"/>
      <c r="C28007" s="36"/>
      <c r="E28007" s="1"/>
      <c r="F28007" s="1"/>
      <c r="G28007" s="1"/>
    </row>
    <row r="28008">
      <c r="B28008" s="36"/>
      <c r="C28008" s="36"/>
      <c r="E28008" s="1"/>
      <c r="F28008" s="1"/>
      <c r="G28008" s="1"/>
    </row>
    <row r="28009">
      <c r="B28009" s="36"/>
      <c r="C28009" s="36"/>
      <c r="E28009" s="1"/>
      <c r="F28009" s="1"/>
      <c r="G28009" s="1"/>
    </row>
    <row r="28010">
      <c r="B28010" s="36"/>
      <c r="C28010" s="36"/>
      <c r="E28010" s="1"/>
      <c r="F28010" s="1"/>
      <c r="G28010" s="1"/>
    </row>
    <row r="28011">
      <c r="B28011" s="36"/>
      <c r="C28011" s="36"/>
      <c r="E28011" s="1"/>
      <c r="F28011" s="1"/>
      <c r="G28011" s="1"/>
    </row>
    <row r="28012">
      <c r="B28012" s="36"/>
      <c r="C28012" s="36"/>
      <c r="E28012" s="1"/>
      <c r="F28012" s="1"/>
      <c r="G28012" s="1"/>
    </row>
    <row r="28013">
      <c r="B28013" s="36"/>
      <c r="C28013" s="36"/>
      <c r="E28013" s="1"/>
      <c r="F28013" s="1"/>
      <c r="G28013" s="1"/>
    </row>
    <row r="28014">
      <c r="B28014" s="36"/>
      <c r="C28014" s="36"/>
      <c r="E28014" s="1"/>
      <c r="F28014" s="1"/>
      <c r="G28014" s="1"/>
    </row>
    <row r="28015">
      <c r="B28015" s="36"/>
      <c r="C28015" s="36"/>
      <c r="E28015" s="1"/>
      <c r="F28015" s="1"/>
      <c r="G28015" s="1"/>
    </row>
    <row r="28016">
      <c r="B28016" s="36"/>
      <c r="C28016" s="36"/>
      <c r="E28016" s="1"/>
      <c r="F28016" s="1"/>
      <c r="G28016" s="1"/>
    </row>
    <row r="28017">
      <c r="B28017" s="36"/>
      <c r="C28017" s="36"/>
      <c r="E28017" s="1"/>
      <c r="F28017" s="1"/>
      <c r="G28017" s="1"/>
    </row>
    <row r="28018">
      <c r="B28018" s="36"/>
      <c r="C28018" s="36"/>
      <c r="E28018" s="1"/>
      <c r="F28018" s="1"/>
      <c r="G28018" s="1"/>
    </row>
    <row r="28019">
      <c r="B28019" s="36"/>
      <c r="C28019" s="36"/>
      <c r="E28019" s="1"/>
      <c r="F28019" s="1"/>
      <c r="G28019" s="1"/>
    </row>
    <row r="28020">
      <c r="B28020" s="36"/>
      <c r="C28020" s="36"/>
      <c r="E28020" s="1"/>
      <c r="F28020" s="1"/>
      <c r="G28020" s="1"/>
    </row>
    <row r="28021">
      <c r="B28021" s="36"/>
      <c r="C28021" s="36"/>
      <c r="E28021" s="1"/>
      <c r="F28021" s="1"/>
      <c r="G28021" s="1"/>
    </row>
    <row r="28022">
      <c r="B28022" s="36"/>
      <c r="C28022" s="36"/>
      <c r="E28022" s="1"/>
      <c r="F28022" s="1"/>
      <c r="G28022" s="1"/>
    </row>
    <row r="28023">
      <c r="B28023" s="36"/>
      <c r="C28023" s="36"/>
      <c r="E28023" s="1"/>
      <c r="F28023" s="1"/>
      <c r="G28023" s="1"/>
    </row>
    <row r="28024">
      <c r="B28024" s="36"/>
      <c r="C28024" s="36"/>
      <c r="E28024" s="1"/>
      <c r="F28024" s="1"/>
      <c r="G28024" s="1"/>
    </row>
    <row r="28025">
      <c r="B28025" s="36"/>
      <c r="C28025" s="36"/>
      <c r="E28025" s="1"/>
      <c r="F28025" s="1"/>
      <c r="G28025" s="1"/>
    </row>
    <row r="28026">
      <c r="B28026" s="36"/>
      <c r="C28026" s="36"/>
      <c r="E28026" s="1"/>
      <c r="F28026" s="1"/>
      <c r="G28026" s="1"/>
    </row>
    <row r="28027">
      <c r="B28027" s="36"/>
      <c r="C28027" s="36"/>
      <c r="E28027" s="1"/>
      <c r="F28027" s="1"/>
      <c r="G28027" s="1"/>
    </row>
    <row r="28028">
      <c r="B28028" s="36"/>
      <c r="C28028" s="36"/>
      <c r="E28028" s="1"/>
      <c r="F28028" s="1"/>
      <c r="G28028" s="1"/>
    </row>
    <row r="28029">
      <c r="B28029" s="36"/>
      <c r="C28029" s="36"/>
      <c r="E28029" s="1"/>
      <c r="F28029" s="1"/>
      <c r="G28029" s="1"/>
    </row>
    <row r="28030">
      <c r="B28030" s="36"/>
      <c r="C28030" s="36"/>
      <c r="E28030" s="1"/>
      <c r="F28030" s="1"/>
      <c r="G28030" s="1"/>
    </row>
    <row r="28031">
      <c r="B28031" s="36"/>
      <c r="C28031" s="36"/>
      <c r="E28031" s="1"/>
      <c r="F28031" s="1"/>
      <c r="G28031" s="1"/>
    </row>
    <row r="28032">
      <c r="B28032" s="36"/>
      <c r="C28032" s="36"/>
      <c r="E28032" s="1"/>
      <c r="F28032" s="1"/>
      <c r="G28032" s="1"/>
    </row>
    <row r="28033">
      <c r="B28033" s="36"/>
      <c r="C28033" s="36"/>
      <c r="E28033" s="1"/>
      <c r="F28033" s="1"/>
      <c r="G28033" s="1"/>
    </row>
    <row r="28034">
      <c r="B28034" s="36"/>
      <c r="C28034" s="36"/>
      <c r="E28034" s="1"/>
      <c r="F28034" s="1"/>
      <c r="G28034" s="1"/>
    </row>
    <row r="28035">
      <c r="B28035" s="36"/>
      <c r="C28035" s="36"/>
      <c r="E28035" s="1"/>
      <c r="F28035" s="1"/>
      <c r="G28035" s="1"/>
    </row>
    <row r="28036">
      <c r="B28036" s="36"/>
      <c r="C28036" s="36"/>
      <c r="E28036" s="1"/>
      <c r="F28036" s="1"/>
      <c r="G28036" s="1"/>
    </row>
    <row r="28037">
      <c r="B28037" s="36"/>
      <c r="C28037" s="36"/>
      <c r="E28037" s="1"/>
      <c r="F28037" s="1"/>
      <c r="G28037" s="1"/>
    </row>
    <row r="28038">
      <c r="B28038" s="36"/>
      <c r="C28038" s="36"/>
      <c r="E28038" s="1"/>
      <c r="F28038" s="1"/>
      <c r="G28038" s="1"/>
    </row>
    <row r="28039">
      <c r="B28039" s="36"/>
      <c r="C28039" s="36"/>
      <c r="E28039" s="1"/>
      <c r="F28039" s="1"/>
      <c r="G28039" s="1"/>
    </row>
    <row r="28040">
      <c r="B28040" s="36"/>
      <c r="C28040" s="36"/>
      <c r="E28040" s="1"/>
      <c r="F28040" s="1"/>
      <c r="G28040" s="1"/>
    </row>
    <row r="28041">
      <c r="B28041" s="36"/>
      <c r="C28041" s="36"/>
      <c r="E28041" s="1"/>
      <c r="F28041" s="1"/>
      <c r="G28041" s="1"/>
    </row>
    <row r="28042">
      <c r="B28042" s="36"/>
      <c r="C28042" s="36"/>
      <c r="E28042" s="1"/>
      <c r="F28042" s="1"/>
      <c r="G28042" s="1"/>
    </row>
    <row r="28043">
      <c r="B28043" s="36"/>
      <c r="C28043" s="36"/>
      <c r="E28043" s="1"/>
      <c r="F28043" s="1"/>
      <c r="G28043" s="1"/>
    </row>
    <row r="28044">
      <c r="B28044" s="36"/>
      <c r="C28044" s="36"/>
      <c r="E28044" s="1"/>
      <c r="F28044" s="1"/>
      <c r="G28044" s="1"/>
    </row>
    <row r="28045">
      <c r="B28045" s="36"/>
      <c r="C28045" s="36"/>
      <c r="E28045" s="1"/>
      <c r="F28045" s="1"/>
      <c r="G28045" s="1"/>
    </row>
    <row r="28046">
      <c r="B28046" s="36"/>
      <c r="C28046" s="36"/>
      <c r="E28046" s="1"/>
      <c r="F28046" s="1"/>
      <c r="G28046" s="1"/>
    </row>
    <row r="28047">
      <c r="B28047" s="36"/>
      <c r="C28047" s="36"/>
      <c r="E28047" s="1"/>
      <c r="F28047" s="1"/>
      <c r="G28047" s="1"/>
    </row>
    <row r="28048">
      <c r="B28048" s="36"/>
      <c r="C28048" s="36"/>
      <c r="E28048" s="1"/>
      <c r="F28048" s="1"/>
      <c r="G28048" s="1"/>
    </row>
    <row r="28049">
      <c r="B28049" s="36"/>
      <c r="C28049" s="36"/>
      <c r="E28049" s="1"/>
      <c r="F28049" s="1"/>
      <c r="G28049" s="1"/>
    </row>
    <row r="28050">
      <c r="B28050" s="36"/>
      <c r="C28050" s="36"/>
      <c r="E28050" s="1"/>
      <c r="F28050" s="1"/>
      <c r="G28050" s="1"/>
    </row>
    <row r="28051">
      <c r="B28051" s="36"/>
      <c r="C28051" s="36"/>
      <c r="E28051" s="1"/>
      <c r="F28051" s="1"/>
      <c r="G28051" s="1"/>
    </row>
    <row r="28052">
      <c r="B28052" s="36"/>
      <c r="C28052" s="36"/>
      <c r="E28052" s="1"/>
      <c r="F28052" s="1"/>
      <c r="G28052" s="1"/>
    </row>
    <row r="28053">
      <c r="B28053" s="36"/>
      <c r="C28053" s="36"/>
      <c r="E28053" s="1"/>
      <c r="F28053" s="1"/>
      <c r="G28053" s="1"/>
    </row>
    <row r="28054">
      <c r="B28054" s="36"/>
      <c r="C28054" s="36"/>
      <c r="E28054" s="1"/>
      <c r="F28054" s="1"/>
      <c r="G28054" s="1"/>
    </row>
    <row r="28055">
      <c r="B28055" s="36"/>
      <c r="C28055" s="36"/>
      <c r="E28055" s="1"/>
      <c r="F28055" s="1"/>
      <c r="G28055" s="1"/>
    </row>
    <row r="28056">
      <c r="B28056" s="36"/>
      <c r="C28056" s="36"/>
      <c r="E28056" s="1"/>
      <c r="F28056" s="1"/>
      <c r="G28056" s="1"/>
    </row>
    <row r="28057">
      <c r="B28057" s="36"/>
      <c r="C28057" s="36"/>
      <c r="E28057" s="1"/>
      <c r="F28057" s="1"/>
      <c r="G28057" s="1"/>
    </row>
    <row r="28058">
      <c r="B28058" s="36"/>
      <c r="C28058" s="36"/>
      <c r="E28058" s="1"/>
      <c r="F28058" s="1"/>
      <c r="G28058" s="1"/>
    </row>
    <row r="28059">
      <c r="B28059" s="36"/>
      <c r="C28059" s="36"/>
      <c r="E28059" s="1"/>
      <c r="F28059" s="1"/>
      <c r="G28059" s="1"/>
    </row>
    <row r="28060">
      <c r="B28060" s="36"/>
      <c r="C28060" s="36"/>
      <c r="E28060" s="1"/>
      <c r="F28060" s="1"/>
      <c r="G28060" s="1"/>
    </row>
    <row r="28061">
      <c r="B28061" s="36"/>
      <c r="C28061" s="36"/>
      <c r="E28061" s="1"/>
      <c r="F28061" s="1"/>
      <c r="G28061" s="1"/>
    </row>
    <row r="28062">
      <c r="B28062" s="36"/>
      <c r="C28062" s="36"/>
      <c r="E28062" s="1"/>
      <c r="F28062" s="1"/>
      <c r="G28062" s="1"/>
    </row>
    <row r="28063">
      <c r="B28063" s="36"/>
      <c r="C28063" s="36"/>
      <c r="E28063" s="1"/>
      <c r="F28063" s="1"/>
      <c r="G28063" s="1"/>
    </row>
    <row r="28064">
      <c r="B28064" s="36"/>
      <c r="C28064" s="36"/>
      <c r="E28064" s="1"/>
      <c r="F28064" s="1"/>
      <c r="G28064" s="1"/>
    </row>
    <row r="28065">
      <c r="B28065" s="36"/>
      <c r="C28065" s="36"/>
      <c r="E28065" s="1"/>
      <c r="F28065" s="1"/>
      <c r="G28065" s="1"/>
    </row>
    <row r="28066">
      <c r="B28066" s="36"/>
      <c r="C28066" s="36"/>
      <c r="E28066" s="1"/>
      <c r="F28066" s="1"/>
      <c r="G28066" s="1"/>
    </row>
    <row r="28067">
      <c r="B28067" s="36"/>
      <c r="C28067" s="36"/>
      <c r="E28067" s="1"/>
      <c r="F28067" s="1"/>
      <c r="G28067" s="1"/>
    </row>
    <row r="28068">
      <c r="B28068" s="36"/>
      <c r="C28068" s="36"/>
      <c r="E28068" s="1"/>
      <c r="F28068" s="1"/>
      <c r="G28068" s="1"/>
    </row>
    <row r="28069">
      <c r="B28069" s="36"/>
      <c r="C28069" s="36"/>
      <c r="E28069" s="1"/>
      <c r="F28069" s="1"/>
      <c r="G28069" s="1"/>
    </row>
    <row r="28070">
      <c r="B28070" s="36"/>
      <c r="C28070" s="36"/>
      <c r="E28070" s="1"/>
      <c r="F28070" s="1"/>
      <c r="G28070" s="1"/>
    </row>
    <row r="28071">
      <c r="B28071" s="36"/>
      <c r="C28071" s="36"/>
      <c r="E28071" s="1"/>
      <c r="F28071" s="1"/>
      <c r="G28071" s="1"/>
    </row>
    <row r="28072">
      <c r="B28072" s="36"/>
      <c r="C28072" s="36"/>
      <c r="E28072" s="1"/>
      <c r="F28072" s="1"/>
      <c r="G28072" s="1"/>
    </row>
    <row r="28073">
      <c r="B28073" s="36"/>
      <c r="C28073" s="36"/>
      <c r="E28073" s="1"/>
      <c r="F28073" s="1"/>
      <c r="G28073" s="1"/>
    </row>
    <row r="28074">
      <c r="B28074" s="36"/>
      <c r="C28074" s="36"/>
      <c r="E28074" s="1"/>
      <c r="F28074" s="1"/>
      <c r="G28074" s="1"/>
    </row>
    <row r="28075">
      <c r="B28075" s="36"/>
      <c r="C28075" s="36"/>
      <c r="E28075" s="1"/>
      <c r="F28075" s="1"/>
      <c r="G28075" s="1"/>
    </row>
    <row r="28076">
      <c r="B28076" s="36"/>
      <c r="C28076" s="36"/>
      <c r="E28076" s="1"/>
      <c r="F28076" s="1"/>
      <c r="G28076" s="1"/>
    </row>
    <row r="28077">
      <c r="B28077" s="36"/>
      <c r="C28077" s="36"/>
      <c r="E28077" s="1"/>
      <c r="F28077" s="1"/>
      <c r="G28077" s="1"/>
    </row>
    <row r="28078">
      <c r="B28078" s="36"/>
      <c r="C28078" s="36"/>
      <c r="E28078" s="1"/>
      <c r="F28078" s="1"/>
      <c r="G28078" s="1"/>
    </row>
    <row r="28079">
      <c r="B28079" s="36"/>
      <c r="C28079" s="36"/>
      <c r="E28079" s="1"/>
      <c r="F28079" s="1"/>
      <c r="G28079" s="1"/>
    </row>
    <row r="28080">
      <c r="B28080" s="36"/>
      <c r="C28080" s="36"/>
      <c r="E28080" s="1"/>
      <c r="F28080" s="1"/>
      <c r="G28080" s="1"/>
    </row>
    <row r="28081">
      <c r="B28081" s="36"/>
      <c r="C28081" s="36"/>
      <c r="E28081" s="1"/>
      <c r="F28081" s="1"/>
      <c r="G28081" s="1"/>
    </row>
    <row r="28082">
      <c r="B28082" s="36"/>
      <c r="C28082" s="36"/>
      <c r="E28082" s="1"/>
      <c r="F28082" s="1"/>
      <c r="G28082" s="1"/>
    </row>
    <row r="28083">
      <c r="B28083" s="36"/>
      <c r="C28083" s="36"/>
      <c r="E28083" s="1"/>
      <c r="F28083" s="1"/>
      <c r="G28083" s="1"/>
    </row>
    <row r="28084">
      <c r="B28084" s="36"/>
      <c r="C28084" s="36"/>
      <c r="E28084" s="1"/>
      <c r="F28084" s="1"/>
      <c r="G28084" s="1"/>
    </row>
    <row r="28085">
      <c r="B28085" s="36"/>
      <c r="C28085" s="36"/>
      <c r="E28085" s="1"/>
      <c r="F28085" s="1"/>
      <c r="G28085" s="1"/>
    </row>
    <row r="28086">
      <c r="B28086" s="36"/>
      <c r="C28086" s="36"/>
      <c r="E28086" s="1"/>
      <c r="F28086" s="1"/>
      <c r="G28086" s="1"/>
    </row>
    <row r="28087">
      <c r="B28087" s="36"/>
      <c r="C28087" s="36"/>
      <c r="E28087" s="1"/>
      <c r="F28087" s="1"/>
      <c r="G28087" s="1"/>
    </row>
    <row r="28088">
      <c r="B28088" s="36"/>
      <c r="C28088" s="36"/>
      <c r="E28088" s="1"/>
      <c r="F28088" s="1"/>
      <c r="G28088" s="1"/>
    </row>
    <row r="28089">
      <c r="B28089" s="36"/>
      <c r="C28089" s="36"/>
      <c r="E28089" s="1"/>
      <c r="F28089" s="1"/>
      <c r="G28089" s="1"/>
    </row>
    <row r="28090">
      <c r="B28090" s="36"/>
      <c r="C28090" s="36"/>
      <c r="E28090" s="1"/>
      <c r="F28090" s="1"/>
      <c r="G28090" s="1"/>
    </row>
    <row r="28091">
      <c r="B28091" s="36"/>
      <c r="C28091" s="36"/>
      <c r="E28091" s="1"/>
      <c r="F28091" s="1"/>
      <c r="G28091" s="1"/>
    </row>
    <row r="28092">
      <c r="B28092" s="36"/>
      <c r="C28092" s="36"/>
      <c r="E28092" s="1"/>
      <c r="F28092" s="1"/>
      <c r="G28092" s="1"/>
    </row>
    <row r="28093">
      <c r="B28093" s="36"/>
      <c r="C28093" s="36"/>
      <c r="E28093" s="1"/>
      <c r="F28093" s="1"/>
      <c r="G28093" s="1"/>
    </row>
    <row r="28094">
      <c r="B28094" s="36"/>
      <c r="C28094" s="36"/>
      <c r="E28094" s="1"/>
      <c r="F28094" s="1"/>
      <c r="G28094" s="1"/>
    </row>
    <row r="28095">
      <c r="B28095" s="36"/>
      <c r="C28095" s="36"/>
      <c r="E28095" s="1"/>
      <c r="F28095" s="1"/>
      <c r="G28095" s="1"/>
    </row>
    <row r="28096">
      <c r="B28096" s="36"/>
      <c r="C28096" s="36"/>
      <c r="E28096" s="1"/>
      <c r="F28096" s="1"/>
      <c r="G28096" s="1"/>
    </row>
    <row r="28097">
      <c r="B28097" s="36"/>
      <c r="C28097" s="36"/>
      <c r="E28097" s="1"/>
      <c r="F28097" s="1"/>
      <c r="G28097" s="1"/>
    </row>
    <row r="28098">
      <c r="B28098" s="36"/>
      <c r="C28098" s="36"/>
      <c r="E28098" s="1"/>
      <c r="F28098" s="1"/>
      <c r="G28098" s="1"/>
    </row>
    <row r="28099">
      <c r="B28099" s="36"/>
      <c r="C28099" s="36"/>
      <c r="E28099" s="1"/>
      <c r="F28099" s="1"/>
      <c r="G28099" s="1"/>
    </row>
    <row r="28100">
      <c r="B28100" s="36"/>
      <c r="C28100" s="36"/>
      <c r="E28100" s="1"/>
      <c r="F28100" s="1"/>
      <c r="G28100" s="1"/>
    </row>
    <row r="28101">
      <c r="B28101" s="36"/>
      <c r="C28101" s="36"/>
      <c r="E28101" s="1"/>
      <c r="F28101" s="1"/>
      <c r="G28101" s="1"/>
    </row>
    <row r="28102">
      <c r="B28102" s="36"/>
      <c r="C28102" s="36"/>
      <c r="E28102" s="1"/>
      <c r="F28102" s="1"/>
      <c r="G28102" s="1"/>
    </row>
    <row r="28103">
      <c r="B28103" s="36"/>
      <c r="C28103" s="36"/>
      <c r="E28103" s="1"/>
      <c r="F28103" s="1"/>
      <c r="G28103" s="1"/>
    </row>
    <row r="28104">
      <c r="B28104" s="36"/>
      <c r="C28104" s="36"/>
      <c r="E28104" s="1"/>
      <c r="F28104" s="1"/>
      <c r="G28104" s="1"/>
    </row>
    <row r="28105">
      <c r="B28105" s="36"/>
      <c r="C28105" s="36"/>
      <c r="E28105" s="1"/>
      <c r="F28105" s="1"/>
      <c r="G28105" s="1"/>
    </row>
    <row r="28106">
      <c r="B28106" s="36"/>
      <c r="C28106" s="36"/>
      <c r="E28106" s="1"/>
      <c r="F28106" s="1"/>
      <c r="G28106" s="1"/>
    </row>
    <row r="28107">
      <c r="B28107" s="36"/>
      <c r="C28107" s="36"/>
      <c r="E28107" s="1"/>
      <c r="F28107" s="1"/>
      <c r="G28107" s="1"/>
    </row>
    <row r="28108">
      <c r="B28108" s="36"/>
      <c r="C28108" s="36"/>
      <c r="E28108" s="1"/>
      <c r="F28108" s="1"/>
      <c r="G28108" s="1"/>
    </row>
    <row r="28109">
      <c r="B28109" s="36"/>
      <c r="C28109" s="36"/>
      <c r="E28109" s="1"/>
      <c r="F28109" s="1"/>
      <c r="G28109" s="1"/>
    </row>
    <row r="28110">
      <c r="B28110" s="36"/>
      <c r="C28110" s="36"/>
      <c r="E28110" s="1"/>
      <c r="F28110" s="1"/>
      <c r="G28110" s="1"/>
    </row>
    <row r="28111">
      <c r="B28111" s="36"/>
      <c r="C28111" s="36"/>
      <c r="E28111" s="1"/>
      <c r="F28111" s="1"/>
      <c r="G28111" s="1"/>
    </row>
    <row r="28112">
      <c r="B28112" s="36"/>
      <c r="C28112" s="36"/>
      <c r="E28112" s="1"/>
      <c r="F28112" s="1"/>
      <c r="G28112" s="1"/>
    </row>
    <row r="28113">
      <c r="B28113" s="36"/>
      <c r="C28113" s="36"/>
      <c r="E28113" s="1"/>
      <c r="F28113" s="1"/>
      <c r="G28113" s="1"/>
    </row>
    <row r="28114">
      <c r="B28114" s="36"/>
      <c r="C28114" s="36"/>
      <c r="E28114" s="1"/>
      <c r="F28114" s="1"/>
      <c r="G28114" s="1"/>
    </row>
    <row r="28115">
      <c r="B28115" s="36"/>
      <c r="C28115" s="36"/>
      <c r="E28115" s="1"/>
      <c r="F28115" s="1"/>
      <c r="G28115" s="1"/>
    </row>
    <row r="28116">
      <c r="B28116" s="36"/>
      <c r="C28116" s="36"/>
      <c r="E28116" s="1"/>
      <c r="F28116" s="1"/>
      <c r="G28116" s="1"/>
    </row>
    <row r="28117">
      <c r="B28117" s="36"/>
      <c r="C28117" s="36"/>
      <c r="E28117" s="1"/>
      <c r="F28117" s="1"/>
      <c r="G28117" s="1"/>
    </row>
    <row r="28118">
      <c r="B28118" s="36"/>
      <c r="C28118" s="36"/>
      <c r="E28118" s="1"/>
      <c r="F28118" s="1"/>
      <c r="G28118" s="1"/>
    </row>
    <row r="28119">
      <c r="B28119" s="36"/>
      <c r="C28119" s="36"/>
      <c r="E28119" s="1"/>
      <c r="F28119" s="1"/>
      <c r="G28119" s="1"/>
    </row>
    <row r="28120">
      <c r="B28120" s="36"/>
      <c r="C28120" s="36"/>
      <c r="E28120" s="1"/>
      <c r="F28120" s="1"/>
      <c r="G28120" s="1"/>
    </row>
    <row r="28121">
      <c r="B28121" s="36"/>
      <c r="C28121" s="36"/>
      <c r="E28121" s="1"/>
      <c r="F28121" s="1"/>
      <c r="G28121" s="1"/>
    </row>
    <row r="28122">
      <c r="B28122" s="36"/>
      <c r="C28122" s="36"/>
      <c r="E28122" s="1"/>
      <c r="F28122" s="1"/>
      <c r="G28122" s="1"/>
    </row>
    <row r="28123">
      <c r="B28123" s="36"/>
      <c r="C28123" s="36"/>
      <c r="E28123" s="1"/>
      <c r="F28123" s="1"/>
      <c r="G28123" s="1"/>
    </row>
    <row r="28124">
      <c r="B28124" s="36"/>
      <c r="C28124" s="36"/>
      <c r="E28124" s="1"/>
      <c r="F28124" s="1"/>
      <c r="G28124" s="1"/>
    </row>
    <row r="28125">
      <c r="B28125" s="36"/>
      <c r="C28125" s="36"/>
      <c r="E28125" s="1"/>
      <c r="F28125" s="1"/>
      <c r="G28125" s="1"/>
    </row>
    <row r="28126">
      <c r="B28126" s="36"/>
      <c r="C28126" s="36"/>
      <c r="E28126" s="1"/>
      <c r="F28126" s="1"/>
      <c r="G28126" s="1"/>
    </row>
    <row r="28127">
      <c r="B28127" s="36"/>
      <c r="C28127" s="36"/>
      <c r="E28127" s="1"/>
      <c r="F28127" s="1"/>
      <c r="G28127" s="1"/>
    </row>
    <row r="28128">
      <c r="B28128" s="36"/>
      <c r="C28128" s="36"/>
      <c r="E28128" s="1"/>
      <c r="F28128" s="1"/>
      <c r="G28128" s="1"/>
    </row>
    <row r="28129">
      <c r="B28129" s="36"/>
      <c r="C28129" s="36"/>
      <c r="E28129" s="1"/>
      <c r="F28129" s="1"/>
      <c r="G28129" s="1"/>
    </row>
    <row r="28130">
      <c r="B28130" s="36"/>
      <c r="C28130" s="36"/>
      <c r="E28130" s="1"/>
      <c r="F28130" s="1"/>
      <c r="G28130" s="1"/>
    </row>
    <row r="28131">
      <c r="B28131" s="36"/>
      <c r="C28131" s="36"/>
      <c r="E28131" s="1"/>
      <c r="F28131" s="1"/>
      <c r="G28131" s="1"/>
    </row>
    <row r="28132">
      <c r="B28132" s="36"/>
      <c r="C28132" s="36"/>
      <c r="E28132" s="1"/>
      <c r="F28132" s="1"/>
      <c r="G28132" s="1"/>
    </row>
    <row r="28133">
      <c r="B28133" s="36"/>
      <c r="C28133" s="36"/>
      <c r="E28133" s="1"/>
      <c r="F28133" s="1"/>
      <c r="G28133" s="1"/>
    </row>
    <row r="28134">
      <c r="B28134" s="36"/>
      <c r="C28134" s="36"/>
      <c r="E28134" s="1"/>
      <c r="F28134" s="1"/>
      <c r="G28134" s="1"/>
    </row>
    <row r="28135">
      <c r="B28135" s="36"/>
      <c r="C28135" s="36"/>
      <c r="E28135" s="1"/>
      <c r="F28135" s="1"/>
      <c r="G28135" s="1"/>
    </row>
    <row r="28136">
      <c r="B28136" s="36"/>
      <c r="C28136" s="36"/>
      <c r="E28136" s="1"/>
      <c r="F28136" s="1"/>
      <c r="G28136" s="1"/>
    </row>
    <row r="28137">
      <c r="B28137" s="36"/>
      <c r="C28137" s="36"/>
      <c r="E28137" s="1"/>
      <c r="F28137" s="1"/>
      <c r="G28137" s="1"/>
    </row>
    <row r="28138">
      <c r="B28138" s="36"/>
      <c r="C28138" s="36"/>
      <c r="E28138" s="1"/>
      <c r="F28138" s="1"/>
      <c r="G28138" s="1"/>
    </row>
    <row r="28139">
      <c r="B28139" s="36"/>
      <c r="C28139" s="36"/>
      <c r="E28139" s="1"/>
      <c r="F28139" s="1"/>
      <c r="G28139" s="1"/>
    </row>
    <row r="28140">
      <c r="B28140" s="36"/>
      <c r="C28140" s="36"/>
      <c r="E28140" s="1"/>
      <c r="F28140" s="1"/>
      <c r="G28140" s="1"/>
    </row>
    <row r="28141">
      <c r="B28141" s="36"/>
      <c r="C28141" s="36"/>
      <c r="E28141" s="1"/>
      <c r="F28141" s="1"/>
      <c r="G28141" s="1"/>
    </row>
    <row r="28142">
      <c r="B28142" s="36"/>
      <c r="C28142" s="36"/>
      <c r="E28142" s="1"/>
      <c r="F28142" s="1"/>
      <c r="G28142" s="1"/>
    </row>
    <row r="28143">
      <c r="B28143" s="36"/>
      <c r="C28143" s="36"/>
      <c r="E28143" s="1"/>
      <c r="F28143" s="1"/>
      <c r="G28143" s="1"/>
    </row>
    <row r="28144">
      <c r="B28144" s="36"/>
      <c r="C28144" s="36"/>
      <c r="E28144" s="1"/>
      <c r="F28144" s="1"/>
      <c r="G28144" s="1"/>
    </row>
    <row r="28145">
      <c r="B28145" s="36"/>
      <c r="C28145" s="36"/>
      <c r="E28145" s="1"/>
      <c r="F28145" s="1"/>
      <c r="G28145" s="1"/>
    </row>
    <row r="28146">
      <c r="B28146" s="36"/>
      <c r="C28146" s="36"/>
      <c r="E28146" s="1"/>
      <c r="F28146" s="1"/>
      <c r="G28146" s="1"/>
    </row>
    <row r="28147">
      <c r="B28147" s="36"/>
      <c r="C28147" s="36"/>
      <c r="E28147" s="1"/>
      <c r="F28147" s="1"/>
      <c r="G28147" s="1"/>
    </row>
    <row r="28148">
      <c r="B28148" s="36"/>
      <c r="C28148" s="36"/>
      <c r="E28148" s="1"/>
      <c r="F28148" s="1"/>
      <c r="G28148" s="1"/>
    </row>
    <row r="28149">
      <c r="B28149" s="36"/>
      <c r="C28149" s="36"/>
      <c r="E28149" s="1"/>
      <c r="F28149" s="1"/>
      <c r="G28149" s="1"/>
    </row>
    <row r="28150">
      <c r="B28150" s="36"/>
      <c r="C28150" s="36"/>
      <c r="E28150" s="1"/>
      <c r="F28150" s="1"/>
      <c r="G28150" s="1"/>
    </row>
    <row r="28151">
      <c r="B28151" s="36"/>
      <c r="C28151" s="36"/>
      <c r="E28151" s="1"/>
      <c r="F28151" s="1"/>
      <c r="G28151" s="1"/>
    </row>
    <row r="28152">
      <c r="B28152" s="36"/>
      <c r="C28152" s="36"/>
      <c r="E28152" s="1"/>
      <c r="F28152" s="1"/>
      <c r="G28152" s="1"/>
    </row>
    <row r="28153">
      <c r="B28153" s="36"/>
      <c r="C28153" s="36"/>
      <c r="E28153" s="1"/>
      <c r="F28153" s="1"/>
      <c r="G28153" s="1"/>
    </row>
    <row r="28154">
      <c r="B28154" s="36"/>
      <c r="C28154" s="36"/>
      <c r="E28154" s="1"/>
      <c r="F28154" s="1"/>
      <c r="G28154" s="1"/>
    </row>
    <row r="28155">
      <c r="B28155" s="36"/>
      <c r="C28155" s="36"/>
      <c r="E28155" s="1"/>
      <c r="F28155" s="1"/>
      <c r="G28155" s="1"/>
    </row>
    <row r="28156">
      <c r="B28156" s="36"/>
      <c r="C28156" s="36"/>
      <c r="E28156" s="1"/>
      <c r="F28156" s="1"/>
      <c r="G28156" s="1"/>
    </row>
    <row r="28157">
      <c r="B28157" s="36"/>
      <c r="C28157" s="36"/>
      <c r="E28157" s="1"/>
      <c r="F28157" s="1"/>
      <c r="G28157" s="1"/>
    </row>
    <row r="28158">
      <c r="B28158" s="36"/>
      <c r="C28158" s="36"/>
      <c r="E28158" s="1"/>
      <c r="F28158" s="1"/>
      <c r="G28158" s="1"/>
    </row>
    <row r="28159">
      <c r="B28159" s="36"/>
      <c r="C28159" s="36"/>
      <c r="E28159" s="1"/>
      <c r="F28159" s="1"/>
      <c r="G28159" s="1"/>
    </row>
    <row r="28160">
      <c r="B28160" s="36"/>
      <c r="C28160" s="36"/>
      <c r="E28160" s="1"/>
      <c r="F28160" s="1"/>
      <c r="G28160" s="1"/>
    </row>
    <row r="28161">
      <c r="B28161" s="36"/>
      <c r="C28161" s="36"/>
      <c r="E28161" s="1"/>
      <c r="F28161" s="1"/>
      <c r="G28161" s="1"/>
    </row>
    <row r="28162">
      <c r="B28162" s="36"/>
      <c r="C28162" s="36"/>
      <c r="E28162" s="1"/>
      <c r="F28162" s="1"/>
      <c r="G28162" s="1"/>
    </row>
    <row r="28163">
      <c r="B28163" s="36"/>
      <c r="C28163" s="36"/>
      <c r="E28163" s="1"/>
      <c r="F28163" s="1"/>
      <c r="G28163" s="1"/>
    </row>
    <row r="28164">
      <c r="B28164" s="36"/>
      <c r="C28164" s="36"/>
      <c r="E28164" s="1"/>
      <c r="F28164" s="1"/>
      <c r="G28164" s="1"/>
    </row>
    <row r="28165">
      <c r="B28165" s="36"/>
      <c r="C28165" s="36"/>
      <c r="E28165" s="1"/>
      <c r="F28165" s="1"/>
      <c r="G28165" s="1"/>
    </row>
    <row r="28166">
      <c r="B28166" s="36"/>
      <c r="C28166" s="36"/>
      <c r="E28166" s="1"/>
      <c r="F28166" s="1"/>
      <c r="G28166" s="1"/>
    </row>
    <row r="28167">
      <c r="B28167" s="36"/>
      <c r="C28167" s="36"/>
      <c r="E28167" s="1"/>
      <c r="F28167" s="1"/>
      <c r="G28167" s="1"/>
    </row>
    <row r="28168">
      <c r="B28168" s="36"/>
      <c r="C28168" s="36"/>
      <c r="E28168" s="1"/>
      <c r="F28168" s="1"/>
      <c r="G28168" s="1"/>
    </row>
    <row r="28169">
      <c r="B28169" s="36"/>
      <c r="C28169" s="36"/>
      <c r="E28169" s="1"/>
      <c r="F28169" s="1"/>
      <c r="G28169" s="1"/>
    </row>
    <row r="28170">
      <c r="B28170" s="36"/>
      <c r="C28170" s="36"/>
      <c r="E28170" s="1"/>
      <c r="F28170" s="1"/>
      <c r="G28170" s="1"/>
    </row>
    <row r="28171">
      <c r="B28171" s="36"/>
      <c r="C28171" s="36"/>
      <c r="E28171" s="1"/>
      <c r="F28171" s="1"/>
      <c r="G28171" s="1"/>
    </row>
    <row r="28172">
      <c r="B28172" s="36"/>
      <c r="C28172" s="36"/>
      <c r="E28172" s="1"/>
      <c r="F28172" s="1"/>
      <c r="G28172" s="1"/>
    </row>
    <row r="28173">
      <c r="B28173" s="36"/>
      <c r="C28173" s="36"/>
      <c r="E28173" s="1"/>
      <c r="F28173" s="1"/>
      <c r="G28173" s="1"/>
    </row>
    <row r="28174">
      <c r="B28174" s="36"/>
      <c r="C28174" s="36"/>
      <c r="E28174" s="1"/>
      <c r="F28174" s="1"/>
      <c r="G28174" s="1"/>
    </row>
    <row r="28175">
      <c r="B28175" s="36"/>
      <c r="C28175" s="36"/>
      <c r="E28175" s="1"/>
      <c r="F28175" s="1"/>
      <c r="G28175" s="1"/>
    </row>
    <row r="28176">
      <c r="B28176" s="36"/>
      <c r="C28176" s="36"/>
      <c r="E28176" s="1"/>
      <c r="F28176" s="1"/>
      <c r="G28176" s="1"/>
    </row>
    <row r="28177">
      <c r="B28177" s="36"/>
      <c r="C28177" s="36"/>
      <c r="E28177" s="1"/>
      <c r="F28177" s="1"/>
      <c r="G28177" s="1"/>
    </row>
    <row r="28178">
      <c r="B28178" s="36"/>
      <c r="C28178" s="36"/>
      <c r="E28178" s="1"/>
      <c r="F28178" s="1"/>
      <c r="G28178" s="1"/>
    </row>
    <row r="28179">
      <c r="B28179" s="36"/>
      <c r="C28179" s="36"/>
      <c r="E28179" s="1"/>
      <c r="F28179" s="1"/>
      <c r="G28179" s="1"/>
    </row>
    <row r="28180">
      <c r="B28180" s="36"/>
      <c r="C28180" s="36"/>
      <c r="E28180" s="1"/>
      <c r="F28180" s="1"/>
      <c r="G28180" s="1"/>
    </row>
    <row r="28181">
      <c r="B28181" s="36"/>
      <c r="C28181" s="36"/>
      <c r="E28181" s="1"/>
      <c r="F28181" s="1"/>
      <c r="G28181" s="1"/>
    </row>
    <row r="28182">
      <c r="B28182" s="36"/>
      <c r="C28182" s="36"/>
      <c r="E28182" s="1"/>
      <c r="F28182" s="1"/>
      <c r="G28182" s="1"/>
    </row>
    <row r="28183">
      <c r="B28183" s="36"/>
      <c r="C28183" s="36"/>
      <c r="E28183" s="1"/>
      <c r="F28183" s="1"/>
      <c r="G28183" s="1"/>
    </row>
    <row r="28184">
      <c r="B28184" s="36"/>
      <c r="C28184" s="36"/>
      <c r="E28184" s="1"/>
      <c r="F28184" s="1"/>
      <c r="G28184" s="1"/>
    </row>
    <row r="28185">
      <c r="B28185" s="36"/>
      <c r="C28185" s="36"/>
      <c r="E28185" s="1"/>
      <c r="F28185" s="1"/>
      <c r="G28185" s="1"/>
    </row>
    <row r="28186">
      <c r="B28186" s="36"/>
      <c r="C28186" s="36"/>
      <c r="E28186" s="1"/>
      <c r="F28186" s="1"/>
      <c r="G28186" s="1"/>
    </row>
    <row r="28187">
      <c r="B28187" s="36"/>
      <c r="C28187" s="36"/>
      <c r="E28187" s="1"/>
      <c r="F28187" s="1"/>
      <c r="G28187" s="1"/>
    </row>
    <row r="28188">
      <c r="B28188" s="36"/>
      <c r="C28188" s="36"/>
      <c r="E28188" s="1"/>
      <c r="F28188" s="1"/>
      <c r="G28188" s="1"/>
    </row>
    <row r="28189">
      <c r="B28189" s="36"/>
      <c r="C28189" s="36"/>
      <c r="E28189" s="1"/>
      <c r="F28189" s="1"/>
      <c r="G28189" s="1"/>
    </row>
    <row r="28190">
      <c r="B28190" s="36"/>
      <c r="C28190" s="36"/>
      <c r="E28190" s="1"/>
      <c r="F28190" s="1"/>
      <c r="G28190" s="1"/>
    </row>
    <row r="28191">
      <c r="B28191" s="36"/>
      <c r="C28191" s="36"/>
      <c r="E28191" s="1"/>
      <c r="F28191" s="1"/>
      <c r="G28191" s="1"/>
    </row>
    <row r="28192">
      <c r="B28192" s="36"/>
      <c r="C28192" s="36"/>
      <c r="E28192" s="1"/>
      <c r="F28192" s="1"/>
      <c r="G28192" s="1"/>
    </row>
    <row r="28193">
      <c r="B28193" s="36"/>
      <c r="C28193" s="36"/>
      <c r="E28193" s="1"/>
      <c r="F28193" s="1"/>
      <c r="G28193" s="1"/>
    </row>
    <row r="28194">
      <c r="B28194" s="36"/>
      <c r="C28194" s="36"/>
      <c r="E28194" s="1"/>
      <c r="F28194" s="1"/>
      <c r="G28194" s="1"/>
    </row>
    <row r="28195">
      <c r="B28195" s="36"/>
      <c r="C28195" s="36"/>
      <c r="E28195" s="1"/>
      <c r="F28195" s="1"/>
      <c r="G28195" s="1"/>
    </row>
    <row r="28196">
      <c r="B28196" s="36"/>
      <c r="C28196" s="36"/>
      <c r="E28196" s="1"/>
      <c r="F28196" s="1"/>
      <c r="G28196" s="1"/>
    </row>
    <row r="28197">
      <c r="B28197" s="36"/>
      <c r="C28197" s="36"/>
      <c r="E28197" s="1"/>
      <c r="F28197" s="1"/>
      <c r="G28197" s="1"/>
    </row>
    <row r="28198">
      <c r="B28198" s="36"/>
      <c r="C28198" s="36"/>
      <c r="E28198" s="1"/>
      <c r="F28198" s="1"/>
      <c r="G28198" s="1"/>
    </row>
    <row r="28199">
      <c r="B28199" s="36"/>
      <c r="C28199" s="36"/>
      <c r="E28199" s="1"/>
      <c r="F28199" s="1"/>
      <c r="G28199" s="1"/>
    </row>
    <row r="28200">
      <c r="B28200" s="36"/>
      <c r="C28200" s="36"/>
      <c r="E28200" s="1"/>
      <c r="F28200" s="1"/>
      <c r="G28200" s="1"/>
    </row>
    <row r="28201">
      <c r="B28201" s="36"/>
      <c r="C28201" s="36"/>
      <c r="E28201" s="1"/>
      <c r="F28201" s="1"/>
      <c r="G28201" s="1"/>
    </row>
    <row r="28202">
      <c r="B28202" s="36"/>
      <c r="C28202" s="36"/>
      <c r="E28202" s="1"/>
      <c r="F28202" s="1"/>
      <c r="G28202" s="1"/>
    </row>
    <row r="28203">
      <c r="B28203" s="36"/>
      <c r="C28203" s="36"/>
      <c r="E28203" s="1"/>
      <c r="F28203" s="1"/>
      <c r="G28203" s="1"/>
    </row>
    <row r="28204">
      <c r="B28204" s="36"/>
      <c r="C28204" s="36"/>
      <c r="E28204" s="1"/>
      <c r="F28204" s="1"/>
      <c r="G28204" s="1"/>
    </row>
    <row r="28205">
      <c r="B28205" s="36"/>
      <c r="C28205" s="36"/>
      <c r="E28205" s="1"/>
      <c r="F28205" s="1"/>
      <c r="G28205" s="1"/>
    </row>
    <row r="28206">
      <c r="B28206" s="36"/>
      <c r="C28206" s="36"/>
      <c r="E28206" s="1"/>
      <c r="F28206" s="1"/>
      <c r="G28206" s="1"/>
    </row>
    <row r="28207">
      <c r="B28207" s="36"/>
      <c r="C28207" s="36"/>
      <c r="E28207" s="1"/>
      <c r="F28207" s="1"/>
      <c r="G28207" s="1"/>
    </row>
    <row r="28208">
      <c r="B28208" s="36"/>
      <c r="C28208" s="36"/>
      <c r="E28208" s="1"/>
      <c r="F28208" s="1"/>
      <c r="G28208" s="1"/>
    </row>
    <row r="28209">
      <c r="B28209" s="36"/>
      <c r="C28209" s="36"/>
      <c r="E28209" s="1"/>
      <c r="F28209" s="1"/>
      <c r="G28209" s="1"/>
    </row>
    <row r="28210">
      <c r="B28210" s="36"/>
      <c r="C28210" s="36"/>
      <c r="E28210" s="1"/>
      <c r="F28210" s="1"/>
      <c r="G28210" s="1"/>
    </row>
    <row r="28211">
      <c r="B28211" s="36"/>
      <c r="C28211" s="36"/>
      <c r="E28211" s="1"/>
      <c r="F28211" s="1"/>
      <c r="G28211" s="1"/>
    </row>
    <row r="28212">
      <c r="B28212" s="36"/>
      <c r="C28212" s="36"/>
      <c r="E28212" s="1"/>
      <c r="F28212" s="1"/>
      <c r="G28212" s="1"/>
    </row>
    <row r="28213">
      <c r="B28213" s="36"/>
      <c r="C28213" s="36"/>
      <c r="E28213" s="1"/>
      <c r="F28213" s="1"/>
      <c r="G28213" s="1"/>
    </row>
    <row r="28214">
      <c r="B28214" s="36"/>
      <c r="C28214" s="36"/>
      <c r="E28214" s="1"/>
      <c r="F28214" s="1"/>
      <c r="G28214" s="1"/>
    </row>
    <row r="28215">
      <c r="B28215" s="36"/>
      <c r="C28215" s="36"/>
      <c r="E28215" s="1"/>
      <c r="F28215" s="1"/>
      <c r="G28215" s="1"/>
    </row>
    <row r="28216">
      <c r="B28216" s="36"/>
      <c r="C28216" s="36"/>
      <c r="E28216" s="1"/>
      <c r="F28216" s="1"/>
      <c r="G28216" s="1"/>
    </row>
    <row r="28217">
      <c r="B28217" s="36"/>
      <c r="C28217" s="36"/>
      <c r="E28217" s="1"/>
      <c r="F28217" s="1"/>
      <c r="G28217" s="1"/>
    </row>
    <row r="28218">
      <c r="B28218" s="36"/>
      <c r="C28218" s="36"/>
      <c r="E28218" s="1"/>
      <c r="F28218" s="1"/>
      <c r="G28218" s="1"/>
    </row>
    <row r="28219">
      <c r="B28219" s="36"/>
      <c r="C28219" s="36"/>
      <c r="E28219" s="1"/>
      <c r="F28219" s="1"/>
      <c r="G28219" s="1"/>
    </row>
    <row r="28220">
      <c r="B28220" s="36"/>
      <c r="C28220" s="36"/>
      <c r="E28220" s="1"/>
      <c r="F28220" s="1"/>
      <c r="G28220" s="1"/>
    </row>
    <row r="28221">
      <c r="B28221" s="36"/>
      <c r="C28221" s="36"/>
      <c r="E28221" s="1"/>
      <c r="F28221" s="1"/>
      <c r="G28221" s="1"/>
    </row>
    <row r="28222">
      <c r="B28222" s="36"/>
      <c r="C28222" s="36"/>
      <c r="E28222" s="1"/>
      <c r="F28222" s="1"/>
      <c r="G28222" s="1"/>
    </row>
    <row r="28223">
      <c r="B28223" s="36"/>
      <c r="C28223" s="36"/>
      <c r="E28223" s="1"/>
      <c r="F28223" s="1"/>
      <c r="G28223" s="1"/>
    </row>
    <row r="28224">
      <c r="B28224" s="36"/>
      <c r="C28224" s="36"/>
      <c r="E28224" s="1"/>
      <c r="F28224" s="1"/>
      <c r="G28224" s="1"/>
    </row>
    <row r="28225">
      <c r="B28225" s="36"/>
      <c r="C28225" s="36"/>
      <c r="E28225" s="1"/>
      <c r="F28225" s="1"/>
      <c r="G28225" s="1"/>
    </row>
    <row r="28226">
      <c r="B28226" s="36"/>
      <c r="C28226" s="36"/>
      <c r="E28226" s="1"/>
      <c r="F28226" s="1"/>
      <c r="G28226" s="1"/>
    </row>
    <row r="28227">
      <c r="B28227" s="36"/>
      <c r="C28227" s="36"/>
      <c r="E28227" s="1"/>
      <c r="F28227" s="1"/>
      <c r="G28227" s="1"/>
    </row>
    <row r="28228">
      <c r="B28228" s="36"/>
      <c r="C28228" s="36"/>
      <c r="E28228" s="1"/>
      <c r="F28228" s="1"/>
      <c r="G28228" s="1"/>
    </row>
    <row r="28229">
      <c r="B28229" s="36"/>
      <c r="C28229" s="36"/>
      <c r="E28229" s="1"/>
      <c r="F28229" s="1"/>
      <c r="G28229" s="1"/>
    </row>
    <row r="28230">
      <c r="B28230" s="36"/>
      <c r="C28230" s="36"/>
      <c r="E28230" s="1"/>
      <c r="F28230" s="1"/>
      <c r="G28230" s="1"/>
    </row>
    <row r="28231">
      <c r="B28231" s="36"/>
      <c r="C28231" s="36"/>
      <c r="E28231" s="1"/>
      <c r="F28231" s="1"/>
      <c r="G28231" s="1"/>
    </row>
    <row r="28232">
      <c r="B28232" s="36"/>
      <c r="C28232" s="36"/>
      <c r="E28232" s="1"/>
      <c r="F28232" s="1"/>
      <c r="G28232" s="1"/>
    </row>
    <row r="28233">
      <c r="B28233" s="36"/>
      <c r="C28233" s="36"/>
      <c r="E28233" s="1"/>
      <c r="F28233" s="1"/>
      <c r="G28233" s="1"/>
    </row>
    <row r="28234">
      <c r="B28234" s="36"/>
      <c r="C28234" s="36"/>
      <c r="E28234" s="1"/>
      <c r="F28234" s="1"/>
      <c r="G28234" s="1"/>
    </row>
    <row r="28235">
      <c r="B28235" s="36"/>
      <c r="C28235" s="36"/>
      <c r="E28235" s="1"/>
      <c r="F28235" s="1"/>
      <c r="G28235" s="1"/>
    </row>
    <row r="28236">
      <c r="B28236" s="36"/>
      <c r="C28236" s="36"/>
      <c r="E28236" s="1"/>
      <c r="F28236" s="1"/>
      <c r="G28236" s="1"/>
    </row>
    <row r="28237">
      <c r="B28237" s="36"/>
      <c r="C28237" s="36"/>
      <c r="E28237" s="1"/>
      <c r="F28237" s="1"/>
      <c r="G28237" s="1"/>
    </row>
    <row r="28238">
      <c r="B28238" s="36"/>
      <c r="C28238" s="36"/>
      <c r="E28238" s="1"/>
      <c r="F28238" s="1"/>
      <c r="G28238" s="1"/>
    </row>
    <row r="28239">
      <c r="B28239" s="36"/>
      <c r="C28239" s="36"/>
      <c r="E28239" s="1"/>
      <c r="F28239" s="1"/>
      <c r="G28239" s="1"/>
    </row>
    <row r="28240">
      <c r="B28240" s="36"/>
      <c r="C28240" s="36"/>
      <c r="E28240" s="1"/>
      <c r="F28240" s="1"/>
      <c r="G28240" s="1"/>
    </row>
    <row r="28241">
      <c r="B28241" s="36"/>
      <c r="C28241" s="36"/>
      <c r="E28241" s="1"/>
      <c r="F28241" s="1"/>
      <c r="G28241" s="1"/>
    </row>
    <row r="28242">
      <c r="B28242" s="36"/>
      <c r="C28242" s="36"/>
      <c r="E28242" s="1"/>
      <c r="F28242" s="1"/>
      <c r="G28242" s="1"/>
    </row>
    <row r="28243">
      <c r="B28243" s="36"/>
      <c r="C28243" s="36"/>
      <c r="E28243" s="1"/>
      <c r="F28243" s="1"/>
      <c r="G28243" s="1"/>
    </row>
    <row r="28244">
      <c r="B28244" s="36"/>
      <c r="C28244" s="36"/>
      <c r="E28244" s="1"/>
      <c r="F28244" s="1"/>
      <c r="G28244" s="1"/>
    </row>
    <row r="28245">
      <c r="B28245" s="36"/>
      <c r="C28245" s="36"/>
      <c r="E28245" s="1"/>
      <c r="F28245" s="1"/>
      <c r="G28245" s="1"/>
    </row>
    <row r="28246">
      <c r="B28246" s="36"/>
      <c r="C28246" s="36"/>
      <c r="E28246" s="1"/>
      <c r="F28246" s="1"/>
      <c r="G28246" s="1"/>
    </row>
    <row r="28247">
      <c r="B28247" s="36"/>
      <c r="C28247" s="36"/>
      <c r="E28247" s="1"/>
      <c r="F28247" s="1"/>
      <c r="G28247" s="1"/>
    </row>
    <row r="28248">
      <c r="B28248" s="36"/>
      <c r="C28248" s="36"/>
      <c r="E28248" s="1"/>
      <c r="F28248" s="1"/>
      <c r="G28248" s="1"/>
    </row>
    <row r="28249">
      <c r="B28249" s="36"/>
      <c r="C28249" s="36"/>
      <c r="E28249" s="1"/>
      <c r="F28249" s="1"/>
      <c r="G28249" s="1"/>
    </row>
    <row r="28250">
      <c r="B28250" s="36"/>
      <c r="C28250" s="36"/>
      <c r="E28250" s="1"/>
      <c r="F28250" s="1"/>
      <c r="G28250" s="1"/>
    </row>
    <row r="28251">
      <c r="B28251" s="36"/>
      <c r="C28251" s="36"/>
      <c r="E28251" s="1"/>
      <c r="F28251" s="1"/>
      <c r="G28251" s="1"/>
    </row>
    <row r="28252">
      <c r="B28252" s="36"/>
      <c r="C28252" s="36"/>
      <c r="E28252" s="1"/>
      <c r="F28252" s="1"/>
      <c r="G28252" s="1"/>
    </row>
    <row r="28253">
      <c r="B28253" s="36"/>
      <c r="C28253" s="36"/>
      <c r="E28253" s="1"/>
      <c r="F28253" s="1"/>
      <c r="G28253" s="1"/>
    </row>
    <row r="28254">
      <c r="B28254" s="36"/>
      <c r="C28254" s="36"/>
      <c r="E28254" s="1"/>
      <c r="F28254" s="1"/>
      <c r="G28254" s="1"/>
    </row>
    <row r="28255">
      <c r="B28255" s="36"/>
      <c r="C28255" s="36"/>
      <c r="E28255" s="1"/>
      <c r="F28255" s="1"/>
      <c r="G28255" s="1"/>
    </row>
    <row r="28256">
      <c r="B28256" s="36"/>
      <c r="C28256" s="36"/>
      <c r="E28256" s="1"/>
      <c r="F28256" s="1"/>
      <c r="G28256" s="1"/>
    </row>
    <row r="28257">
      <c r="B28257" s="36"/>
      <c r="C28257" s="36"/>
      <c r="E28257" s="1"/>
      <c r="F28257" s="1"/>
      <c r="G28257" s="1"/>
    </row>
    <row r="28258">
      <c r="B28258" s="36"/>
      <c r="C28258" s="36"/>
      <c r="E28258" s="1"/>
      <c r="F28258" s="1"/>
      <c r="G28258" s="1"/>
    </row>
    <row r="28259">
      <c r="B28259" s="36"/>
      <c r="C28259" s="36"/>
      <c r="E28259" s="1"/>
      <c r="F28259" s="1"/>
      <c r="G28259" s="1"/>
    </row>
    <row r="28260">
      <c r="B28260" s="36"/>
      <c r="C28260" s="36"/>
      <c r="E28260" s="1"/>
      <c r="F28260" s="1"/>
      <c r="G28260" s="1"/>
    </row>
    <row r="28261">
      <c r="B28261" s="36"/>
      <c r="C28261" s="36"/>
      <c r="E28261" s="1"/>
      <c r="F28261" s="1"/>
      <c r="G28261" s="1"/>
    </row>
    <row r="28262">
      <c r="B28262" s="36"/>
      <c r="C28262" s="36"/>
      <c r="E28262" s="1"/>
      <c r="F28262" s="1"/>
      <c r="G28262" s="1"/>
    </row>
    <row r="28263">
      <c r="B28263" s="36"/>
      <c r="C28263" s="36"/>
      <c r="E28263" s="1"/>
      <c r="F28263" s="1"/>
      <c r="G28263" s="1"/>
    </row>
    <row r="28264">
      <c r="B28264" s="36"/>
      <c r="C28264" s="36"/>
      <c r="E28264" s="1"/>
      <c r="F28264" s="1"/>
      <c r="G28264" s="1"/>
    </row>
    <row r="28265">
      <c r="B28265" s="36"/>
      <c r="C28265" s="36"/>
      <c r="E28265" s="1"/>
      <c r="F28265" s="1"/>
      <c r="G28265" s="1"/>
    </row>
    <row r="28266">
      <c r="B28266" s="36"/>
      <c r="C28266" s="36"/>
      <c r="E28266" s="1"/>
      <c r="F28266" s="1"/>
      <c r="G28266" s="1"/>
    </row>
    <row r="28267">
      <c r="B28267" s="36"/>
      <c r="C28267" s="36"/>
      <c r="E28267" s="1"/>
      <c r="F28267" s="1"/>
      <c r="G28267" s="1"/>
    </row>
    <row r="28268">
      <c r="B28268" s="36"/>
      <c r="C28268" s="36"/>
      <c r="E28268" s="1"/>
      <c r="F28268" s="1"/>
      <c r="G28268" s="1"/>
    </row>
    <row r="28269">
      <c r="B28269" s="36"/>
      <c r="C28269" s="36"/>
      <c r="E28269" s="1"/>
      <c r="F28269" s="1"/>
      <c r="G28269" s="1"/>
    </row>
    <row r="28270">
      <c r="B28270" s="36"/>
      <c r="C28270" s="36"/>
      <c r="E28270" s="1"/>
      <c r="F28270" s="1"/>
      <c r="G28270" s="1"/>
    </row>
    <row r="28271">
      <c r="B28271" s="36"/>
      <c r="C28271" s="36"/>
      <c r="E28271" s="1"/>
      <c r="F28271" s="1"/>
      <c r="G28271" s="1"/>
    </row>
    <row r="28272">
      <c r="B28272" s="36"/>
      <c r="C28272" s="36"/>
      <c r="E28272" s="1"/>
      <c r="F28272" s="1"/>
      <c r="G28272" s="1"/>
    </row>
    <row r="28273">
      <c r="B28273" s="36"/>
      <c r="C28273" s="36"/>
      <c r="E28273" s="1"/>
      <c r="F28273" s="1"/>
      <c r="G28273" s="1"/>
    </row>
    <row r="28274">
      <c r="B28274" s="36"/>
      <c r="C28274" s="36"/>
      <c r="E28274" s="1"/>
      <c r="F28274" s="1"/>
      <c r="G28274" s="1"/>
    </row>
    <row r="28275">
      <c r="B28275" s="36"/>
      <c r="C28275" s="36"/>
      <c r="E28275" s="1"/>
      <c r="F28275" s="1"/>
      <c r="G28275" s="1"/>
    </row>
    <row r="28276">
      <c r="B28276" s="36"/>
      <c r="C28276" s="36"/>
      <c r="E28276" s="1"/>
      <c r="F28276" s="1"/>
      <c r="G28276" s="1"/>
    </row>
    <row r="28277">
      <c r="B28277" s="36"/>
      <c r="C28277" s="36"/>
      <c r="E28277" s="1"/>
      <c r="F28277" s="1"/>
      <c r="G28277" s="1"/>
    </row>
    <row r="28278">
      <c r="B28278" s="36"/>
      <c r="C28278" s="36"/>
      <c r="E28278" s="1"/>
      <c r="F28278" s="1"/>
      <c r="G28278" s="1"/>
    </row>
    <row r="28279">
      <c r="B28279" s="36"/>
      <c r="C28279" s="36"/>
      <c r="E28279" s="1"/>
      <c r="F28279" s="1"/>
      <c r="G28279" s="1"/>
    </row>
    <row r="28280">
      <c r="B28280" s="36"/>
      <c r="C28280" s="36"/>
      <c r="E28280" s="1"/>
      <c r="F28280" s="1"/>
      <c r="G28280" s="1"/>
    </row>
    <row r="28281">
      <c r="B28281" s="36"/>
      <c r="C28281" s="36"/>
      <c r="E28281" s="1"/>
      <c r="F28281" s="1"/>
      <c r="G28281" s="1"/>
    </row>
    <row r="28282">
      <c r="B28282" s="36"/>
      <c r="C28282" s="36"/>
      <c r="E28282" s="1"/>
      <c r="F28282" s="1"/>
      <c r="G28282" s="1"/>
    </row>
    <row r="28283">
      <c r="B28283" s="36"/>
      <c r="C28283" s="36"/>
      <c r="E28283" s="1"/>
      <c r="F28283" s="1"/>
      <c r="G28283" s="1"/>
    </row>
    <row r="28284">
      <c r="B28284" s="36"/>
      <c r="C28284" s="36"/>
      <c r="E28284" s="1"/>
      <c r="F28284" s="1"/>
      <c r="G28284" s="1"/>
    </row>
    <row r="28285">
      <c r="B28285" s="36"/>
      <c r="C28285" s="36"/>
      <c r="E28285" s="1"/>
      <c r="F28285" s="1"/>
      <c r="G28285" s="1"/>
    </row>
    <row r="28286">
      <c r="B28286" s="36"/>
      <c r="C28286" s="36"/>
      <c r="E28286" s="1"/>
      <c r="F28286" s="1"/>
      <c r="G28286" s="1"/>
    </row>
    <row r="28287">
      <c r="B28287" s="36"/>
      <c r="C28287" s="36"/>
      <c r="E28287" s="1"/>
      <c r="F28287" s="1"/>
      <c r="G28287" s="1"/>
    </row>
    <row r="28288">
      <c r="B28288" s="36"/>
      <c r="C28288" s="36"/>
      <c r="E28288" s="1"/>
      <c r="F28288" s="1"/>
      <c r="G28288" s="1"/>
    </row>
    <row r="28289">
      <c r="B28289" s="36"/>
      <c r="C28289" s="36"/>
      <c r="E28289" s="1"/>
      <c r="F28289" s="1"/>
      <c r="G28289" s="1"/>
    </row>
    <row r="28290">
      <c r="B28290" s="36"/>
      <c r="C28290" s="36"/>
      <c r="E28290" s="1"/>
      <c r="F28290" s="1"/>
      <c r="G28290" s="1"/>
    </row>
    <row r="28291">
      <c r="B28291" s="36"/>
      <c r="C28291" s="36"/>
      <c r="E28291" s="1"/>
      <c r="F28291" s="1"/>
      <c r="G28291" s="1"/>
    </row>
    <row r="28292">
      <c r="B28292" s="36"/>
      <c r="C28292" s="36"/>
      <c r="E28292" s="1"/>
      <c r="F28292" s="1"/>
      <c r="G28292" s="1"/>
    </row>
    <row r="28293">
      <c r="B28293" s="36"/>
      <c r="C28293" s="36"/>
      <c r="E28293" s="1"/>
      <c r="F28293" s="1"/>
      <c r="G28293" s="1"/>
    </row>
    <row r="28294">
      <c r="B28294" s="36"/>
      <c r="C28294" s="36"/>
      <c r="E28294" s="1"/>
      <c r="F28294" s="1"/>
      <c r="G28294" s="1"/>
    </row>
    <row r="28295">
      <c r="B28295" s="36"/>
      <c r="C28295" s="36"/>
      <c r="E28295" s="1"/>
      <c r="F28295" s="1"/>
      <c r="G28295" s="1"/>
    </row>
    <row r="28296">
      <c r="B28296" s="36"/>
      <c r="C28296" s="36"/>
      <c r="E28296" s="1"/>
      <c r="F28296" s="1"/>
      <c r="G28296" s="1"/>
    </row>
    <row r="28297">
      <c r="B28297" s="36"/>
      <c r="C28297" s="36"/>
      <c r="E28297" s="1"/>
      <c r="F28297" s="1"/>
      <c r="G28297" s="1"/>
    </row>
    <row r="28298">
      <c r="B28298" s="36"/>
      <c r="C28298" s="36"/>
      <c r="E28298" s="1"/>
      <c r="F28298" s="1"/>
      <c r="G28298" s="1"/>
    </row>
    <row r="28299">
      <c r="B28299" s="36"/>
      <c r="C28299" s="36"/>
      <c r="E28299" s="1"/>
      <c r="F28299" s="1"/>
      <c r="G28299" s="1"/>
    </row>
    <row r="28300">
      <c r="B28300" s="36"/>
      <c r="C28300" s="36"/>
      <c r="E28300" s="1"/>
      <c r="F28300" s="1"/>
      <c r="G28300" s="1"/>
    </row>
    <row r="28301">
      <c r="B28301" s="36"/>
      <c r="C28301" s="36"/>
      <c r="E28301" s="1"/>
      <c r="F28301" s="1"/>
      <c r="G28301" s="1"/>
    </row>
    <row r="28302">
      <c r="B28302" s="36"/>
      <c r="C28302" s="36"/>
      <c r="E28302" s="1"/>
      <c r="F28302" s="1"/>
      <c r="G28302" s="1"/>
    </row>
    <row r="28303">
      <c r="B28303" s="36"/>
      <c r="C28303" s="36"/>
      <c r="E28303" s="1"/>
      <c r="F28303" s="1"/>
      <c r="G28303" s="1"/>
    </row>
    <row r="28304">
      <c r="B28304" s="36"/>
      <c r="C28304" s="36"/>
      <c r="E28304" s="1"/>
      <c r="F28304" s="1"/>
      <c r="G28304" s="1"/>
    </row>
    <row r="28305">
      <c r="B28305" s="36"/>
      <c r="C28305" s="36"/>
      <c r="E28305" s="1"/>
      <c r="F28305" s="1"/>
      <c r="G28305" s="1"/>
    </row>
    <row r="28306">
      <c r="B28306" s="36"/>
      <c r="C28306" s="36"/>
      <c r="E28306" s="1"/>
      <c r="F28306" s="1"/>
      <c r="G28306" s="1"/>
    </row>
    <row r="28307">
      <c r="B28307" s="36"/>
      <c r="C28307" s="36"/>
      <c r="E28307" s="1"/>
      <c r="F28307" s="1"/>
      <c r="G28307" s="1"/>
    </row>
    <row r="28308">
      <c r="B28308" s="36"/>
      <c r="C28308" s="36"/>
      <c r="E28308" s="1"/>
      <c r="F28308" s="1"/>
      <c r="G28308" s="1"/>
    </row>
    <row r="28309">
      <c r="B28309" s="36"/>
      <c r="C28309" s="36"/>
      <c r="E28309" s="1"/>
      <c r="F28309" s="1"/>
      <c r="G28309" s="1"/>
    </row>
    <row r="28310">
      <c r="B28310" s="36"/>
      <c r="C28310" s="36"/>
      <c r="E28310" s="1"/>
      <c r="F28310" s="1"/>
      <c r="G28310" s="1"/>
    </row>
    <row r="28311">
      <c r="B28311" s="36"/>
      <c r="C28311" s="36"/>
      <c r="E28311" s="1"/>
      <c r="F28311" s="1"/>
      <c r="G28311" s="1"/>
    </row>
    <row r="28312">
      <c r="B28312" s="36"/>
      <c r="C28312" s="36"/>
      <c r="E28312" s="1"/>
      <c r="F28312" s="1"/>
      <c r="G28312" s="1"/>
    </row>
    <row r="28313">
      <c r="B28313" s="36"/>
      <c r="C28313" s="36"/>
      <c r="E28313" s="1"/>
      <c r="F28313" s="1"/>
      <c r="G28313" s="1"/>
    </row>
    <row r="28314">
      <c r="B28314" s="36"/>
      <c r="C28314" s="36"/>
      <c r="E28314" s="1"/>
      <c r="F28314" s="1"/>
      <c r="G28314" s="1"/>
    </row>
    <row r="28315">
      <c r="B28315" s="36"/>
      <c r="C28315" s="36"/>
      <c r="E28315" s="1"/>
      <c r="F28315" s="1"/>
      <c r="G28315" s="1"/>
    </row>
    <row r="28316">
      <c r="B28316" s="36"/>
      <c r="C28316" s="36"/>
      <c r="E28316" s="1"/>
      <c r="F28316" s="1"/>
      <c r="G28316" s="1"/>
    </row>
    <row r="28317">
      <c r="B28317" s="36"/>
      <c r="C28317" s="36"/>
      <c r="E28317" s="1"/>
      <c r="F28317" s="1"/>
      <c r="G28317" s="1"/>
    </row>
    <row r="28318">
      <c r="B28318" s="36"/>
      <c r="C28318" s="36"/>
      <c r="E28318" s="1"/>
      <c r="F28318" s="1"/>
      <c r="G28318" s="1"/>
    </row>
    <row r="28319">
      <c r="B28319" s="36"/>
      <c r="C28319" s="36"/>
      <c r="E28319" s="1"/>
      <c r="F28319" s="1"/>
      <c r="G28319" s="1"/>
    </row>
    <row r="28320">
      <c r="B28320" s="36"/>
      <c r="C28320" s="36"/>
      <c r="E28320" s="1"/>
      <c r="F28320" s="1"/>
      <c r="G28320" s="1"/>
    </row>
    <row r="28321">
      <c r="B28321" s="36"/>
      <c r="C28321" s="36"/>
      <c r="E28321" s="1"/>
      <c r="F28321" s="1"/>
      <c r="G28321" s="1"/>
    </row>
    <row r="28322">
      <c r="B28322" s="36"/>
      <c r="C28322" s="36"/>
      <c r="E28322" s="1"/>
      <c r="F28322" s="1"/>
      <c r="G28322" s="1"/>
    </row>
    <row r="28323">
      <c r="B28323" s="36"/>
      <c r="C28323" s="36"/>
      <c r="E28323" s="1"/>
      <c r="F28323" s="1"/>
      <c r="G28323" s="1"/>
    </row>
    <row r="28324">
      <c r="B28324" s="36"/>
      <c r="C28324" s="36"/>
      <c r="E28324" s="1"/>
      <c r="F28324" s="1"/>
      <c r="G28324" s="1"/>
    </row>
    <row r="28325">
      <c r="B28325" s="36"/>
      <c r="C28325" s="36"/>
      <c r="E28325" s="1"/>
      <c r="F28325" s="1"/>
      <c r="G28325" s="1"/>
    </row>
    <row r="28326">
      <c r="B28326" s="36"/>
      <c r="C28326" s="36"/>
      <c r="E28326" s="1"/>
      <c r="F28326" s="1"/>
      <c r="G28326" s="1"/>
    </row>
    <row r="28327">
      <c r="B28327" s="36"/>
      <c r="C28327" s="36"/>
      <c r="E28327" s="1"/>
      <c r="F28327" s="1"/>
      <c r="G28327" s="1"/>
    </row>
    <row r="28328">
      <c r="B28328" s="36"/>
      <c r="C28328" s="36"/>
      <c r="E28328" s="1"/>
      <c r="F28328" s="1"/>
      <c r="G28328" s="1"/>
    </row>
    <row r="28329">
      <c r="B28329" s="36"/>
      <c r="C28329" s="36"/>
      <c r="E28329" s="1"/>
      <c r="F28329" s="1"/>
      <c r="G28329" s="1"/>
    </row>
    <row r="28330">
      <c r="B28330" s="36"/>
      <c r="C28330" s="36"/>
      <c r="E28330" s="1"/>
      <c r="F28330" s="1"/>
      <c r="G28330" s="1"/>
    </row>
    <row r="28331">
      <c r="B28331" s="36"/>
      <c r="C28331" s="36"/>
      <c r="E28331" s="1"/>
      <c r="F28331" s="1"/>
      <c r="G28331" s="1"/>
    </row>
    <row r="28332">
      <c r="B28332" s="36"/>
      <c r="C28332" s="36"/>
      <c r="E28332" s="1"/>
      <c r="F28332" s="1"/>
      <c r="G28332" s="1"/>
    </row>
    <row r="28333">
      <c r="B28333" s="36"/>
      <c r="C28333" s="36"/>
      <c r="E28333" s="1"/>
      <c r="F28333" s="1"/>
      <c r="G28333" s="1"/>
    </row>
    <row r="28334">
      <c r="B28334" s="36"/>
      <c r="C28334" s="36"/>
      <c r="E28334" s="1"/>
      <c r="F28334" s="1"/>
      <c r="G28334" s="1"/>
    </row>
    <row r="28335">
      <c r="B28335" s="36"/>
      <c r="C28335" s="36"/>
      <c r="E28335" s="1"/>
      <c r="F28335" s="1"/>
      <c r="G28335" s="1"/>
    </row>
    <row r="28336">
      <c r="B28336" s="36"/>
      <c r="C28336" s="36"/>
      <c r="E28336" s="1"/>
      <c r="F28336" s="1"/>
      <c r="G28336" s="1"/>
    </row>
    <row r="28337">
      <c r="B28337" s="36"/>
      <c r="C28337" s="36"/>
      <c r="E28337" s="1"/>
      <c r="F28337" s="1"/>
      <c r="G28337" s="1"/>
    </row>
    <row r="28338">
      <c r="B28338" s="36"/>
      <c r="C28338" s="36"/>
      <c r="E28338" s="1"/>
      <c r="F28338" s="1"/>
      <c r="G28338" s="1"/>
    </row>
    <row r="28339">
      <c r="B28339" s="36"/>
      <c r="C28339" s="36"/>
      <c r="E28339" s="1"/>
      <c r="F28339" s="1"/>
      <c r="G28339" s="1"/>
    </row>
    <row r="28340">
      <c r="B28340" s="36"/>
      <c r="C28340" s="36"/>
      <c r="E28340" s="1"/>
      <c r="F28340" s="1"/>
      <c r="G28340" s="1"/>
    </row>
    <row r="28341">
      <c r="B28341" s="36"/>
      <c r="C28341" s="36"/>
      <c r="E28341" s="1"/>
      <c r="F28341" s="1"/>
      <c r="G28341" s="1"/>
    </row>
    <row r="28342">
      <c r="B28342" s="36"/>
      <c r="C28342" s="36"/>
      <c r="E28342" s="1"/>
      <c r="F28342" s="1"/>
      <c r="G28342" s="1"/>
    </row>
    <row r="28343">
      <c r="B28343" s="36"/>
      <c r="C28343" s="36"/>
      <c r="E28343" s="1"/>
      <c r="F28343" s="1"/>
      <c r="G28343" s="1"/>
    </row>
    <row r="28344">
      <c r="B28344" s="36"/>
      <c r="C28344" s="36"/>
      <c r="E28344" s="1"/>
      <c r="F28344" s="1"/>
      <c r="G28344" s="1"/>
    </row>
    <row r="28345">
      <c r="B28345" s="36"/>
      <c r="C28345" s="36"/>
      <c r="E28345" s="1"/>
      <c r="F28345" s="1"/>
      <c r="G28345" s="1"/>
    </row>
    <row r="28346">
      <c r="B28346" s="36"/>
      <c r="C28346" s="36"/>
      <c r="E28346" s="1"/>
      <c r="F28346" s="1"/>
      <c r="G28346" s="1"/>
    </row>
    <row r="28347">
      <c r="B28347" s="36"/>
      <c r="C28347" s="36"/>
      <c r="E28347" s="1"/>
      <c r="F28347" s="1"/>
      <c r="G28347" s="1"/>
    </row>
    <row r="28348">
      <c r="B28348" s="36"/>
      <c r="C28348" s="36"/>
      <c r="E28348" s="1"/>
      <c r="F28348" s="1"/>
      <c r="G28348" s="1"/>
    </row>
    <row r="28349">
      <c r="B28349" s="36"/>
      <c r="C28349" s="36"/>
      <c r="E28349" s="1"/>
      <c r="F28349" s="1"/>
      <c r="G28349" s="1"/>
    </row>
    <row r="28350">
      <c r="B28350" s="36"/>
      <c r="C28350" s="36"/>
      <c r="E28350" s="1"/>
      <c r="F28350" s="1"/>
      <c r="G28350" s="1"/>
    </row>
    <row r="28351">
      <c r="B28351" s="36"/>
      <c r="C28351" s="36"/>
      <c r="E28351" s="1"/>
      <c r="F28351" s="1"/>
      <c r="G28351" s="1"/>
    </row>
    <row r="28352">
      <c r="B28352" s="36"/>
      <c r="C28352" s="36"/>
      <c r="E28352" s="1"/>
      <c r="F28352" s="1"/>
      <c r="G28352" s="1"/>
    </row>
    <row r="28353">
      <c r="B28353" s="36"/>
      <c r="C28353" s="36"/>
      <c r="E28353" s="1"/>
      <c r="F28353" s="1"/>
      <c r="G28353" s="1"/>
    </row>
    <row r="28354">
      <c r="B28354" s="36"/>
      <c r="C28354" s="36"/>
      <c r="E28354" s="1"/>
      <c r="F28354" s="1"/>
      <c r="G28354" s="1"/>
    </row>
    <row r="28355">
      <c r="B28355" s="36"/>
      <c r="C28355" s="36"/>
      <c r="E28355" s="1"/>
      <c r="F28355" s="1"/>
      <c r="G28355" s="1"/>
    </row>
    <row r="28356">
      <c r="B28356" s="36"/>
      <c r="C28356" s="36"/>
      <c r="E28356" s="1"/>
      <c r="F28356" s="1"/>
      <c r="G28356" s="1"/>
    </row>
    <row r="28357">
      <c r="B28357" s="36"/>
      <c r="C28357" s="36"/>
      <c r="E28357" s="1"/>
      <c r="F28357" s="1"/>
      <c r="G28357" s="1"/>
    </row>
    <row r="28358">
      <c r="B28358" s="36"/>
      <c r="C28358" s="36"/>
      <c r="E28358" s="1"/>
      <c r="F28358" s="1"/>
      <c r="G28358" s="1"/>
    </row>
    <row r="28359">
      <c r="B28359" s="36"/>
      <c r="C28359" s="36"/>
      <c r="E28359" s="1"/>
      <c r="F28359" s="1"/>
      <c r="G28359" s="1"/>
    </row>
    <row r="28360">
      <c r="B28360" s="36"/>
      <c r="C28360" s="36"/>
      <c r="E28360" s="1"/>
      <c r="F28360" s="1"/>
      <c r="G28360" s="1"/>
    </row>
    <row r="28361">
      <c r="B28361" s="36"/>
      <c r="C28361" s="36"/>
      <c r="E28361" s="1"/>
      <c r="F28361" s="1"/>
      <c r="G28361" s="1"/>
    </row>
    <row r="28362">
      <c r="B28362" s="36"/>
      <c r="C28362" s="36"/>
      <c r="E28362" s="1"/>
      <c r="F28362" s="1"/>
      <c r="G28362" s="1"/>
    </row>
    <row r="28363">
      <c r="B28363" s="36"/>
      <c r="C28363" s="36"/>
      <c r="E28363" s="1"/>
      <c r="F28363" s="1"/>
      <c r="G28363" s="1"/>
    </row>
    <row r="28364">
      <c r="B28364" s="36"/>
      <c r="C28364" s="36"/>
      <c r="E28364" s="1"/>
      <c r="F28364" s="1"/>
      <c r="G28364" s="1"/>
    </row>
    <row r="28365">
      <c r="B28365" s="36"/>
      <c r="C28365" s="36"/>
      <c r="E28365" s="1"/>
      <c r="F28365" s="1"/>
      <c r="G28365" s="1"/>
    </row>
    <row r="28366">
      <c r="B28366" s="36"/>
      <c r="C28366" s="36"/>
      <c r="E28366" s="1"/>
      <c r="F28366" s="1"/>
      <c r="G28366" s="1"/>
    </row>
    <row r="28367">
      <c r="B28367" s="36"/>
      <c r="C28367" s="36"/>
      <c r="E28367" s="1"/>
      <c r="F28367" s="1"/>
      <c r="G28367" s="1"/>
    </row>
    <row r="28368">
      <c r="B28368" s="36"/>
      <c r="C28368" s="36"/>
      <c r="E28368" s="1"/>
      <c r="F28368" s="1"/>
      <c r="G28368" s="1"/>
    </row>
    <row r="28369">
      <c r="B28369" s="36"/>
      <c r="C28369" s="36"/>
      <c r="E28369" s="1"/>
      <c r="F28369" s="1"/>
      <c r="G28369" s="1"/>
    </row>
    <row r="28370">
      <c r="B28370" s="36"/>
      <c r="C28370" s="36"/>
      <c r="E28370" s="1"/>
      <c r="F28370" s="1"/>
      <c r="G28370" s="1"/>
    </row>
    <row r="28371">
      <c r="B28371" s="36"/>
      <c r="C28371" s="36"/>
      <c r="E28371" s="1"/>
      <c r="F28371" s="1"/>
      <c r="G28371" s="1"/>
    </row>
    <row r="28372">
      <c r="B28372" s="36"/>
      <c r="C28372" s="36"/>
      <c r="E28372" s="1"/>
      <c r="F28372" s="1"/>
      <c r="G28372" s="1"/>
    </row>
    <row r="28373">
      <c r="B28373" s="36"/>
      <c r="C28373" s="36"/>
      <c r="E28373" s="1"/>
      <c r="F28373" s="1"/>
      <c r="G28373" s="1"/>
    </row>
    <row r="28374">
      <c r="B28374" s="36"/>
      <c r="C28374" s="36"/>
      <c r="E28374" s="1"/>
      <c r="F28374" s="1"/>
      <c r="G28374" s="1"/>
    </row>
    <row r="28375">
      <c r="B28375" s="36"/>
      <c r="C28375" s="36"/>
      <c r="E28375" s="1"/>
      <c r="F28375" s="1"/>
      <c r="G28375" s="1"/>
    </row>
    <row r="28376">
      <c r="B28376" s="36"/>
      <c r="C28376" s="36"/>
      <c r="E28376" s="1"/>
      <c r="F28376" s="1"/>
      <c r="G28376" s="1"/>
    </row>
    <row r="28377">
      <c r="B28377" s="36"/>
      <c r="C28377" s="36"/>
      <c r="E28377" s="1"/>
      <c r="F28377" s="1"/>
      <c r="G28377" s="1"/>
    </row>
    <row r="28378">
      <c r="B28378" s="36"/>
      <c r="C28378" s="36"/>
      <c r="E28378" s="1"/>
      <c r="F28378" s="1"/>
      <c r="G28378" s="1"/>
    </row>
    <row r="28379">
      <c r="B28379" s="36"/>
      <c r="C28379" s="36"/>
      <c r="E28379" s="1"/>
      <c r="F28379" s="1"/>
      <c r="G28379" s="1"/>
    </row>
    <row r="28380">
      <c r="B28380" s="36"/>
      <c r="C28380" s="36"/>
      <c r="E28380" s="1"/>
      <c r="F28380" s="1"/>
      <c r="G28380" s="1"/>
    </row>
    <row r="28381">
      <c r="B28381" s="36"/>
      <c r="C28381" s="36"/>
      <c r="E28381" s="1"/>
      <c r="F28381" s="1"/>
      <c r="G28381" s="1"/>
    </row>
    <row r="28382">
      <c r="B28382" s="36"/>
      <c r="C28382" s="36"/>
      <c r="E28382" s="1"/>
      <c r="F28382" s="1"/>
      <c r="G28382" s="1"/>
    </row>
    <row r="28383">
      <c r="B28383" s="36"/>
      <c r="C28383" s="36"/>
      <c r="E28383" s="1"/>
      <c r="F28383" s="1"/>
      <c r="G28383" s="1"/>
    </row>
    <row r="28384">
      <c r="B28384" s="36"/>
      <c r="C28384" s="36"/>
      <c r="E28384" s="1"/>
      <c r="F28384" s="1"/>
      <c r="G28384" s="1"/>
    </row>
    <row r="28385">
      <c r="B28385" s="36"/>
      <c r="C28385" s="36"/>
      <c r="E28385" s="1"/>
      <c r="F28385" s="1"/>
      <c r="G28385" s="1"/>
    </row>
    <row r="28386">
      <c r="B28386" s="36"/>
      <c r="C28386" s="36"/>
      <c r="E28386" s="1"/>
      <c r="F28386" s="1"/>
      <c r="G28386" s="1"/>
    </row>
    <row r="28387">
      <c r="B28387" s="36"/>
      <c r="C28387" s="36"/>
      <c r="E28387" s="1"/>
      <c r="F28387" s="1"/>
      <c r="G28387" s="1"/>
    </row>
    <row r="28388">
      <c r="B28388" s="36"/>
      <c r="C28388" s="36"/>
      <c r="E28388" s="1"/>
      <c r="F28388" s="1"/>
      <c r="G28388" s="1"/>
    </row>
    <row r="28389">
      <c r="B28389" s="36"/>
      <c r="C28389" s="36"/>
      <c r="E28389" s="1"/>
      <c r="F28389" s="1"/>
      <c r="G28389" s="1"/>
    </row>
    <row r="28390">
      <c r="B28390" s="36"/>
      <c r="C28390" s="36"/>
      <c r="E28390" s="1"/>
      <c r="F28390" s="1"/>
      <c r="G28390" s="1"/>
    </row>
    <row r="28391">
      <c r="B28391" s="36"/>
      <c r="C28391" s="36"/>
      <c r="E28391" s="1"/>
      <c r="F28391" s="1"/>
      <c r="G28391" s="1"/>
    </row>
    <row r="28392">
      <c r="B28392" s="36"/>
      <c r="C28392" s="36"/>
      <c r="E28392" s="1"/>
      <c r="F28392" s="1"/>
      <c r="G28392" s="1"/>
    </row>
    <row r="28393">
      <c r="B28393" s="36"/>
      <c r="C28393" s="36"/>
      <c r="E28393" s="1"/>
      <c r="F28393" s="1"/>
      <c r="G28393" s="1"/>
    </row>
    <row r="28394">
      <c r="B28394" s="36"/>
      <c r="C28394" s="36"/>
      <c r="E28394" s="1"/>
      <c r="F28394" s="1"/>
      <c r="G28394" s="1"/>
    </row>
    <row r="28395">
      <c r="B28395" s="36"/>
      <c r="C28395" s="36"/>
      <c r="E28395" s="1"/>
      <c r="F28395" s="1"/>
      <c r="G28395" s="1"/>
    </row>
    <row r="28396">
      <c r="B28396" s="36"/>
      <c r="C28396" s="36"/>
      <c r="E28396" s="1"/>
      <c r="F28396" s="1"/>
      <c r="G28396" s="1"/>
    </row>
    <row r="28397">
      <c r="B28397" s="36"/>
      <c r="C28397" s="36"/>
      <c r="E28397" s="1"/>
      <c r="F28397" s="1"/>
      <c r="G28397" s="1"/>
    </row>
    <row r="28398">
      <c r="B28398" s="36"/>
      <c r="C28398" s="36"/>
      <c r="E28398" s="1"/>
      <c r="F28398" s="1"/>
      <c r="G28398" s="1"/>
    </row>
    <row r="28399">
      <c r="B28399" s="36"/>
      <c r="C28399" s="36"/>
      <c r="E28399" s="1"/>
      <c r="F28399" s="1"/>
      <c r="G28399" s="1"/>
    </row>
    <row r="28400">
      <c r="B28400" s="36"/>
      <c r="C28400" s="36"/>
      <c r="E28400" s="1"/>
      <c r="F28400" s="1"/>
      <c r="G28400" s="1"/>
    </row>
    <row r="28401">
      <c r="B28401" s="36"/>
      <c r="C28401" s="36"/>
      <c r="E28401" s="1"/>
      <c r="F28401" s="1"/>
      <c r="G28401" s="1"/>
    </row>
    <row r="28402">
      <c r="B28402" s="36"/>
      <c r="C28402" s="36"/>
      <c r="E28402" s="1"/>
      <c r="F28402" s="1"/>
      <c r="G28402" s="1"/>
    </row>
    <row r="28403">
      <c r="B28403" s="36"/>
      <c r="C28403" s="36"/>
      <c r="E28403" s="1"/>
      <c r="F28403" s="1"/>
      <c r="G28403" s="1"/>
    </row>
    <row r="28404">
      <c r="B28404" s="36"/>
      <c r="C28404" s="36"/>
      <c r="E28404" s="1"/>
      <c r="F28404" s="1"/>
      <c r="G28404" s="1"/>
    </row>
    <row r="28405">
      <c r="B28405" s="36"/>
      <c r="C28405" s="36"/>
      <c r="E28405" s="1"/>
      <c r="F28405" s="1"/>
      <c r="G28405" s="1"/>
    </row>
    <row r="28406">
      <c r="B28406" s="36"/>
      <c r="C28406" s="36"/>
      <c r="E28406" s="1"/>
      <c r="F28406" s="1"/>
      <c r="G28406" s="1"/>
    </row>
    <row r="28407">
      <c r="B28407" s="36"/>
      <c r="C28407" s="36"/>
      <c r="E28407" s="1"/>
      <c r="F28407" s="1"/>
      <c r="G28407" s="1"/>
    </row>
    <row r="28408">
      <c r="B28408" s="36"/>
      <c r="C28408" s="36"/>
      <c r="E28408" s="1"/>
      <c r="F28408" s="1"/>
      <c r="G28408" s="1"/>
    </row>
    <row r="28409">
      <c r="B28409" s="36"/>
      <c r="C28409" s="36"/>
      <c r="E28409" s="1"/>
      <c r="F28409" s="1"/>
      <c r="G28409" s="1"/>
    </row>
    <row r="28410">
      <c r="B28410" s="36"/>
      <c r="C28410" s="36"/>
      <c r="E28410" s="1"/>
      <c r="F28410" s="1"/>
      <c r="G28410" s="1"/>
    </row>
    <row r="28411">
      <c r="B28411" s="36"/>
      <c r="C28411" s="36"/>
      <c r="E28411" s="1"/>
      <c r="F28411" s="1"/>
      <c r="G28411" s="1"/>
    </row>
    <row r="28412">
      <c r="B28412" s="36"/>
      <c r="C28412" s="36"/>
      <c r="E28412" s="1"/>
      <c r="F28412" s="1"/>
      <c r="G28412" s="1"/>
    </row>
    <row r="28413">
      <c r="B28413" s="36"/>
      <c r="C28413" s="36"/>
      <c r="E28413" s="1"/>
      <c r="F28413" s="1"/>
      <c r="G28413" s="1"/>
    </row>
    <row r="28414">
      <c r="B28414" s="36"/>
      <c r="C28414" s="36"/>
      <c r="E28414" s="1"/>
      <c r="F28414" s="1"/>
      <c r="G28414" s="1"/>
    </row>
    <row r="28415">
      <c r="B28415" s="36"/>
      <c r="C28415" s="36"/>
      <c r="E28415" s="1"/>
      <c r="F28415" s="1"/>
      <c r="G28415" s="1"/>
    </row>
    <row r="28416">
      <c r="B28416" s="36"/>
      <c r="C28416" s="36"/>
      <c r="E28416" s="1"/>
      <c r="F28416" s="1"/>
      <c r="G28416" s="1"/>
    </row>
    <row r="28417">
      <c r="B28417" s="36"/>
      <c r="C28417" s="36"/>
      <c r="E28417" s="1"/>
      <c r="F28417" s="1"/>
      <c r="G28417" s="1"/>
    </row>
    <row r="28418">
      <c r="B28418" s="36"/>
      <c r="C28418" s="36"/>
      <c r="E28418" s="1"/>
      <c r="F28418" s="1"/>
      <c r="G28418" s="1"/>
    </row>
    <row r="28419">
      <c r="B28419" s="36"/>
      <c r="C28419" s="36"/>
      <c r="E28419" s="1"/>
      <c r="F28419" s="1"/>
      <c r="G28419" s="1"/>
    </row>
    <row r="28420">
      <c r="B28420" s="36"/>
      <c r="C28420" s="36"/>
      <c r="E28420" s="1"/>
      <c r="F28420" s="1"/>
      <c r="G28420" s="1"/>
    </row>
    <row r="28421">
      <c r="B28421" s="36"/>
      <c r="C28421" s="36"/>
      <c r="E28421" s="1"/>
      <c r="F28421" s="1"/>
      <c r="G28421" s="1"/>
    </row>
    <row r="28422">
      <c r="B28422" s="36"/>
      <c r="C28422" s="36"/>
      <c r="E28422" s="1"/>
      <c r="F28422" s="1"/>
      <c r="G28422" s="1"/>
    </row>
    <row r="28423">
      <c r="B28423" s="36"/>
      <c r="C28423" s="36"/>
      <c r="E28423" s="1"/>
      <c r="F28423" s="1"/>
      <c r="G28423" s="1"/>
    </row>
    <row r="28424">
      <c r="B28424" s="36"/>
      <c r="C28424" s="36"/>
      <c r="E28424" s="1"/>
      <c r="F28424" s="1"/>
      <c r="G28424" s="1"/>
    </row>
    <row r="28425">
      <c r="B28425" s="36"/>
      <c r="C28425" s="36"/>
      <c r="E28425" s="1"/>
      <c r="F28425" s="1"/>
      <c r="G28425" s="1"/>
    </row>
    <row r="28426">
      <c r="B28426" s="36"/>
      <c r="C28426" s="36"/>
      <c r="E28426" s="1"/>
      <c r="F28426" s="1"/>
      <c r="G28426" s="1"/>
    </row>
    <row r="28427">
      <c r="B28427" s="36"/>
      <c r="C28427" s="36"/>
      <c r="E28427" s="1"/>
      <c r="F28427" s="1"/>
      <c r="G28427" s="1"/>
    </row>
    <row r="28428">
      <c r="B28428" s="36"/>
      <c r="C28428" s="36"/>
      <c r="E28428" s="1"/>
      <c r="F28428" s="1"/>
      <c r="G28428" s="1"/>
    </row>
    <row r="28429">
      <c r="B28429" s="36"/>
      <c r="C28429" s="36"/>
      <c r="E28429" s="1"/>
      <c r="F28429" s="1"/>
      <c r="G28429" s="1"/>
    </row>
    <row r="28430">
      <c r="B28430" s="36"/>
      <c r="C28430" s="36"/>
      <c r="E28430" s="1"/>
      <c r="F28430" s="1"/>
      <c r="G28430" s="1"/>
    </row>
    <row r="28431">
      <c r="B28431" s="36"/>
      <c r="C28431" s="36"/>
      <c r="E28431" s="1"/>
      <c r="F28431" s="1"/>
      <c r="G28431" s="1"/>
    </row>
    <row r="28432">
      <c r="B28432" s="36"/>
      <c r="C28432" s="36"/>
      <c r="E28432" s="1"/>
      <c r="F28432" s="1"/>
      <c r="G28432" s="1"/>
    </row>
    <row r="28433">
      <c r="B28433" s="36"/>
      <c r="C28433" s="36"/>
      <c r="E28433" s="1"/>
      <c r="F28433" s="1"/>
      <c r="G28433" s="1"/>
    </row>
    <row r="28434">
      <c r="B28434" s="36"/>
      <c r="C28434" s="36"/>
      <c r="E28434" s="1"/>
      <c r="F28434" s="1"/>
      <c r="G28434" s="1"/>
    </row>
    <row r="28435">
      <c r="B28435" s="36"/>
      <c r="C28435" s="36"/>
      <c r="E28435" s="1"/>
      <c r="F28435" s="1"/>
      <c r="G28435" s="1"/>
    </row>
    <row r="28436">
      <c r="B28436" s="36"/>
      <c r="C28436" s="36"/>
      <c r="E28436" s="1"/>
      <c r="F28436" s="1"/>
      <c r="G28436" s="1"/>
    </row>
    <row r="28437">
      <c r="B28437" s="36"/>
      <c r="C28437" s="36"/>
      <c r="E28437" s="1"/>
      <c r="F28437" s="1"/>
      <c r="G28437" s="1"/>
    </row>
    <row r="28438">
      <c r="B28438" s="36"/>
      <c r="C28438" s="36"/>
      <c r="E28438" s="1"/>
      <c r="F28438" s="1"/>
      <c r="G28438" s="1"/>
    </row>
    <row r="28439">
      <c r="B28439" s="36"/>
      <c r="C28439" s="36"/>
      <c r="E28439" s="1"/>
      <c r="F28439" s="1"/>
      <c r="G28439" s="1"/>
    </row>
    <row r="28440">
      <c r="B28440" s="36"/>
      <c r="C28440" s="36"/>
      <c r="E28440" s="1"/>
      <c r="F28440" s="1"/>
      <c r="G28440" s="1"/>
    </row>
    <row r="28441">
      <c r="B28441" s="36"/>
      <c r="C28441" s="36"/>
      <c r="E28441" s="1"/>
      <c r="F28441" s="1"/>
      <c r="G28441" s="1"/>
    </row>
    <row r="28442">
      <c r="B28442" s="36"/>
      <c r="C28442" s="36"/>
      <c r="E28442" s="1"/>
      <c r="F28442" s="1"/>
      <c r="G28442" s="1"/>
    </row>
    <row r="28443">
      <c r="B28443" s="36"/>
      <c r="C28443" s="36"/>
      <c r="E28443" s="1"/>
      <c r="F28443" s="1"/>
      <c r="G28443" s="1"/>
    </row>
    <row r="28444">
      <c r="B28444" s="36"/>
      <c r="C28444" s="36"/>
      <c r="E28444" s="1"/>
      <c r="F28444" s="1"/>
      <c r="G28444" s="1"/>
    </row>
    <row r="28445">
      <c r="B28445" s="36"/>
      <c r="C28445" s="36"/>
      <c r="E28445" s="1"/>
      <c r="F28445" s="1"/>
      <c r="G28445" s="1"/>
    </row>
    <row r="28446">
      <c r="B28446" s="36"/>
      <c r="C28446" s="36"/>
      <c r="E28446" s="1"/>
      <c r="F28446" s="1"/>
      <c r="G28446" s="1"/>
    </row>
    <row r="28447">
      <c r="B28447" s="36"/>
      <c r="C28447" s="36"/>
      <c r="E28447" s="1"/>
      <c r="F28447" s="1"/>
      <c r="G28447" s="1"/>
    </row>
    <row r="28448">
      <c r="B28448" s="36"/>
      <c r="C28448" s="36"/>
      <c r="E28448" s="1"/>
      <c r="F28448" s="1"/>
      <c r="G28448" s="1"/>
    </row>
    <row r="28449">
      <c r="B28449" s="36"/>
      <c r="C28449" s="36"/>
      <c r="E28449" s="1"/>
      <c r="F28449" s="1"/>
      <c r="G28449" s="1"/>
    </row>
    <row r="28450">
      <c r="B28450" s="36"/>
      <c r="C28450" s="36"/>
      <c r="E28450" s="1"/>
      <c r="F28450" s="1"/>
      <c r="G28450" s="1"/>
    </row>
    <row r="28451">
      <c r="B28451" s="36"/>
      <c r="C28451" s="36"/>
      <c r="E28451" s="1"/>
      <c r="F28451" s="1"/>
      <c r="G28451" s="1"/>
    </row>
    <row r="28452">
      <c r="B28452" s="36"/>
      <c r="C28452" s="36"/>
      <c r="E28452" s="1"/>
      <c r="F28452" s="1"/>
      <c r="G28452" s="1"/>
    </row>
    <row r="28453">
      <c r="B28453" s="36"/>
      <c r="C28453" s="36"/>
      <c r="E28453" s="1"/>
      <c r="F28453" s="1"/>
      <c r="G28453" s="1"/>
    </row>
    <row r="28454">
      <c r="B28454" s="36"/>
      <c r="C28454" s="36"/>
      <c r="E28454" s="1"/>
      <c r="F28454" s="1"/>
      <c r="G28454" s="1"/>
    </row>
    <row r="28455">
      <c r="B28455" s="36"/>
      <c r="C28455" s="36"/>
      <c r="E28455" s="1"/>
      <c r="F28455" s="1"/>
      <c r="G28455" s="1"/>
    </row>
    <row r="28456">
      <c r="B28456" s="36"/>
      <c r="C28456" s="36"/>
      <c r="E28456" s="1"/>
      <c r="F28456" s="1"/>
      <c r="G28456" s="1"/>
    </row>
    <row r="28457">
      <c r="B28457" s="36"/>
      <c r="C28457" s="36"/>
      <c r="E28457" s="1"/>
      <c r="F28457" s="1"/>
      <c r="G28457" s="1"/>
    </row>
    <row r="28458">
      <c r="B28458" s="36"/>
      <c r="C28458" s="36"/>
      <c r="E28458" s="1"/>
      <c r="F28458" s="1"/>
      <c r="G28458" s="1"/>
    </row>
    <row r="28459">
      <c r="B28459" s="36"/>
      <c r="C28459" s="36"/>
      <c r="E28459" s="1"/>
      <c r="F28459" s="1"/>
      <c r="G28459" s="1"/>
    </row>
    <row r="28460">
      <c r="B28460" s="36"/>
      <c r="C28460" s="36"/>
      <c r="E28460" s="1"/>
      <c r="F28460" s="1"/>
      <c r="G28460" s="1"/>
    </row>
    <row r="28461">
      <c r="B28461" s="36"/>
      <c r="C28461" s="36"/>
      <c r="E28461" s="1"/>
      <c r="F28461" s="1"/>
      <c r="G28461" s="1"/>
    </row>
    <row r="28462">
      <c r="B28462" s="36"/>
      <c r="C28462" s="36"/>
      <c r="E28462" s="1"/>
      <c r="F28462" s="1"/>
      <c r="G28462" s="1"/>
    </row>
    <row r="28463">
      <c r="B28463" s="36"/>
      <c r="C28463" s="36"/>
      <c r="E28463" s="1"/>
      <c r="F28463" s="1"/>
      <c r="G28463" s="1"/>
    </row>
    <row r="28464">
      <c r="B28464" s="36"/>
      <c r="C28464" s="36"/>
      <c r="E28464" s="1"/>
      <c r="F28464" s="1"/>
      <c r="G28464" s="1"/>
    </row>
    <row r="28465">
      <c r="B28465" s="36"/>
      <c r="C28465" s="36"/>
      <c r="E28465" s="1"/>
      <c r="F28465" s="1"/>
      <c r="G28465" s="1"/>
    </row>
    <row r="28466">
      <c r="B28466" s="36"/>
      <c r="C28466" s="36"/>
      <c r="E28466" s="1"/>
      <c r="F28466" s="1"/>
      <c r="G28466" s="1"/>
    </row>
    <row r="28467">
      <c r="B28467" s="36"/>
      <c r="C28467" s="36"/>
      <c r="E28467" s="1"/>
      <c r="F28467" s="1"/>
      <c r="G28467" s="1"/>
    </row>
    <row r="28468">
      <c r="B28468" s="36"/>
      <c r="C28468" s="36"/>
      <c r="E28468" s="1"/>
      <c r="F28468" s="1"/>
      <c r="G28468" s="1"/>
    </row>
    <row r="28469">
      <c r="B28469" s="36"/>
      <c r="C28469" s="36"/>
      <c r="E28469" s="1"/>
      <c r="F28469" s="1"/>
      <c r="G28469" s="1"/>
    </row>
    <row r="28470">
      <c r="B28470" s="36"/>
      <c r="C28470" s="36"/>
      <c r="E28470" s="1"/>
      <c r="F28470" s="1"/>
      <c r="G28470" s="1"/>
    </row>
    <row r="28471">
      <c r="B28471" s="36"/>
      <c r="C28471" s="36"/>
      <c r="E28471" s="1"/>
      <c r="F28471" s="1"/>
      <c r="G28471" s="1"/>
    </row>
    <row r="28472">
      <c r="B28472" s="36"/>
      <c r="C28472" s="36"/>
      <c r="E28472" s="1"/>
      <c r="F28472" s="1"/>
      <c r="G28472" s="1"/>
    </row>
    <row r="28473">
      <c r="B28473" s="36"/>
      <c r="C28473" s="36"/>
      <c r="E28473" s="1"/>
      <c r="F28473" s="1"/>
      <c r="G28473" s="1"/>
    </row>
    <row r="28474">
      <c r="B28474" s="36"/>
      <c r="C28474" s="36"/>
      <c r="E28474" s="1"/>
      <c r="F28474" s="1"/>
      <c r="G28474" s="1"/>
    </row>
    <row r="28475">
      <c r="B28475" s="36"/>
      <c r="C28475" s="36"/>
      <c r="E28475" s="1"/>
      <c r="F28475" s="1"/>
      <c r="G28475" s="1"/>
    </row>
    <row r="28476">
      <c r="B28476" s="36"/>
      <c r="C28476" s="36"/>
      <c r="E28476" s="1"/>
      <c r="F28476" s="1"/>
      <c r="G28476" s="1"/>
    </row>
    <row r="28477">
      <c r="B28477" s="36"/>
      <c r="C28477" s="36"/>
      <c r="E28477" s="1"/>
      <c r="F28477" s="1"/>
      <c r="G28477" s="1"/>
    </row>
    <row r="28478">
      <c r="B28478" s="36"/>
      <c r="C28478" s="36"/>
      <c r="E28478" s="1"/>
      <c r="F28478" s="1"/>
      <c r="G28478" s="1"/>
    </row>
    <row r="28479">
      <c r="B28479" s="36"/>
      <c r="C28479" s="36"/>
      <c r="E28479" s="1"/>
      <c r="F28479" s="1"/>
      <c r="G28479" s="1"/>
    </row>
    <row r="28480">
      <c r="B28480" s="36"/>
      <c r="C28480" s="36"/>
      <c r="E28480" s="1"/>
      <c r="F28480" s="1"/>
      <c r="G28480" s="1"/>
    </row>
    <row r="28481">
      <c r="B28481" s="36"/>
      <c r="C28481" s="36"/>
      <c r="E28481" s="1"/>
      <c r="F28481" s="1"/>
      <c r="G28481" s="1"/>
    </row>
    <row r="28482">
      <c r="B28482" s="36"/>
      <c r="C28482" s="36"/>
      <c r="E28482" s="1"/>
      <c r="F28482" s="1"/>
      <c r="G28482" s="1"/>
    </row>
    <row r="28483">
      <c r="B28483" s="36"/>
      <c r="C28483" s="36"/>
      <c r="E28483" s="1"/>
      <c r="F28483" s="1"/>
      <c r="G28483" s="1"/>
    </row>
    <row r="28484">
      <c r="B28484" s="36"/>
      <c r="C28484" s="36"/>
      <c r="E28484" s="1"/>
      <c r="F28484" s="1"/>
      <c r="G28484" s="1"/>
    </row>
    <row r="28485">
      <c r="B28485" s="36"/>
      <c r="C28485" s="36"/>
      <c r="E28485" s="1"/>
      <c r="F28485" s="1"/>
      <c r="G28485" s="1"/>
    </row>
    <row r="28486">
      <c r="B28486" s="36"/>
      <c r="C28486" s="36"/>
      <c r="E28486" s="1"/>
      <c r="F28486" s="1"/>
      <c r="G28486" s="1"/>
    </row>
    <row r="28487">
      <c r="B28487" s="36"/>
      <c r="C28487" s="36"/>
      <c r="E28487" s="1"/>
      <c r="F28487" s="1"/>
      <c r="G28487" s="1"/>
    </row>
    <row r="28488">
      <c r="B28488" s="36"/>
      <c r="C28488" s="36"/>
      <c r="E28488" s="1"/>
      <c r="F28488" s="1"/>
      <c r="G28488" s="1"/>
    </row>
    <row r="28489">
      <c r="B28489" s="36"/>
      <c r="C28489" s="36"/>
      <c r="E28489" s="1"/>
      <c r="F28489" s="1"/>
      <c r="G28489" s="1"/>
    </row>
    <row r="28490">
      <c r="B28490" s="36"/>
      <c r="C28490" s="36"/>
      <c r="E28490" s="1"/>
      <c r="F28490" s="1"/>
      <c r="G28490" s="1"/>
    </row>
    <row r="28491">
      <c r="B28491" s="36"/>
      <c r="C28491" s="36"/>
      <c r="E28491" s="1"/>
      <c r="F28491" s="1"/>
      <c r="G28491" s="1"/>
    </row>
    <row r="28492">
      <c r="B28492" s="36"/>
      <c r="C28492" s="36"/>
      <c r="E28492" s="1"/>
      <c r="F28492" s="1"/>
      <c r="G28492" s="1"/>
    </row>
    <row r="28493">
      <c r="B28493" s="36"/>
      <c r="C28493" s="36"/>
      <c r="E28493" s="1"/>
      <c r="F28493" s="1"/>
      <c r="G28493" s="1"/>
    </row>
    <row r="28494">
      <c r="B28494" s="36"/>
      <c r="C28494" s="36"/>
      <c r="E28494" s="1"/>
      <c r="F28494" s="1"/>
      <c r="G28494" s="1"/>
    </row>
    <row r="28495">
      <c r="B28495" s="36"/>
      <c r="C28495" s="36"/>
      <c r="E28495" s="1"/>
      <c r="F28495" s="1"/>
      <c r="G28495" s="1"/>
    </row>
    <row r="28496">
      <c r="B28496" s="36"/>
      <c r="C28496" s="36"/>
      <c r="E28496" s="1"/>
      <c r="F28496" s="1"/>
      <c r="G28496" s="1"/>
    </row>
    <row r="28497">
      <c r="B28497" s="36"/>
      <c r="C28497" s="36"/>
      <c r="E28497" s="1"/>
      <c r="F28497" s="1"/>
      <c r="G28497" s="1"/>
    </row>
    <row r="28498">
      <c r="B28498" s="36"/>
      <c r="C28498" s="36"/>
      <c r="E28498" s="1"/>
      <c r="F28498" s="1"/>
      <c r="G28498" s="1"/>
    </row>
    <row r="28499">
      <c r="B28499" s="36"/>
      <c r="C28499" s="36"/>
      <c r="E28499" s="1"/>
      <c r="F28499" s="1"/>
      <c r="G28499" s="1"/>
    </row>
    <row r="28500">
      <c r="B28500" s="36"/>
      <c r="C28500" s="36"/>
      <c r="E28500" s="1"/>
      <c r="F28500" s="1"/>
      <c r="G28500" s="1"/>
    </row>
    <row r="28501">
      <c r="B28501" s="36"/>
      <c r="C28501" s="36"/>
      <c r="E28501" s="1"/>
      <c r="F28501" s="1"/>
      <c r="G28501" s="1"/>
    </row>
    <row r="28502">
      <c r="B28502" s="36"/>
      <c r="C28502" s="36"/>
      <c r="E28502" s="1"/>
      <c r="F28502" s="1"/>
      <c r="G28502" s="1"/>
    </row>
    <row r="28503">
      <c r="B28503" s="36"/>
      <c r="C28503" s="36"/>
      <c r="E28503" s="1"/>
      <c r="F28503" s="1"/>
      <c r="G28503" s="1"/>
    </row>
    <row r="28504">
      <c r="B28504" s="36"/>
      <c r="C28504" s="36"/>
      <c r="E28504" s="1"/>
      <c r="F28504" s="1"/>
      <c r="G28504" s="1"/>
    </row>
    <row r="28505">
      <c r="B28505" s="36"/>
      <c r="C28505" s="36"/>
      <c r="E28505" s="1"/>
      <c r="F28505" s="1"/>
      <c r="G28505" s="1"/>
    </row>
    <row r="28506">
      <c r="B28506" s="36"/>
      <c r="C28506" s="36"/>
      <c r="E28506" s="1"/>
      <c r="F28506" s="1"/>
      <c r="G28506" s="1"/>
    </row>
    <row r="28507">
      <c r="B28507" s="36"/>
      <c r="C28507" s="36"/>
      <c r="E28507" s="1"/>
      <c r="F28507" s="1"/>
      <c r="G28507" s="1"/>
    </row>
    <row r="28508">
      <c r="B28508" s="36"/>
      <c r="C28508" s="36"/>
      <c r="E28508" s="1"/>
      <c r="F28508" s="1"/>
      <c r="G28508" s="1"/>
    </row>
    <row r="28509">
      <c r="B28509" s="36"/>
      <c r="C28509" s="36"/>
      <c r="E28509" s="1"/>
      <c r="F28509" s="1"/>
      <c r="G28509" s="1"/>
    </row>
    <row r="28510">
      <c r="B28510" s="36"/>
      <c r="C28510" s="36"/>
      <c r="E28510" s="1"/>
      <c r="F28510" s="1"/>
      <c r="G28510" s="1"/>
    </row>
    <row r="28511">
      <c r="B28511" s="36"/>
      <c r="C28511" s="36"/>
      <c r="E28511" s="1"/>
      <c r="F28511" s="1"/>
      <c r="G28511" s="1"/>
    </row>
    <row r="28512">
      <c r="B28512" s="36"/>
      <c r="C28512" s="36"/>
      <c r="E28512" s="1"/>
      <c r="F28512" s="1"/>
      <c r="G28512" s="1"/>
    </row>
    <row r="28513">
      <c r="B28513" s="36"/>
      <c r="C28513" s="36"/>
      <c r="E28513" s="1"/>
      <c r="F28513" s="1"/>
      <c r="G28513" s="1"/>
    </row>
    <row r="28514">
      <c r="B28514" s="36"/>
      <c r="C28514" s="36"/>
      <c r="E28514" s="1"/>
      <c r="F28514" s="1"/>
      <c r="G28514" s="1"/>
    </row>
    <row r="28515">
      <c r="B28515" s="36"/>
      <c r="C28515" s="36"/>
      <c r="E28515" s="1"/>
      <c r="F28515" s="1"/>
      <c r="G28515" s="1"/>
    </row>
    <row r="28516">
      <c r="B28516" s="36"/>
      <c r="C28516" s="36"/>
      <c r="E28516" s="1"/>
      <c r="F28516" s="1"/>
      <c r="G28516" s="1"/>
    </row>
    <row r="28517">
      <c r="B28517" s="36"/>
      <c r="C28517" s="36"/>
      <c r="E28517" s="1"/>
      <c r="F28517" s="1"/>
      <c r="G28517" s="1"/>
    </row>
    <row r="28518">
      <c r="B28518" s="36"/>
      <c r="C28518" s="36"/>
      <c r="E28518" s="1"/>
      <c r="F28518" s="1"/>
      <c r="G28518" s="1"/>
    </row>
    <row r="28519">
      <c r="B28519" s="36"/>
      <c r="C28519" s="36"/>
      <c r="E28519" s="1"/>
      <c r="F28519" s="1"/>
      <c r="G28519" s="1"/>
    </row>
    <row r="28520">
      <c r="B28520" s="36"/>
      <c r="C28520" s="36"/>
      <c r="E28520" s="1"/>
      <c r="F28520" s="1"/>
      <c r="G28520" s="1"/>
    </row>
    <row r="28521">
      <c r="B28521" s="36"/>
      <c r="C28521" s="36"/>
      <c r="E28521" s="1"/>
      <c r="F28521" s="1"/>
      <c r="G28521" s="1"/>
    </row>
    <row r="28522">
      <c r="B28522" s="36"/>
      <c r="C28522" s="36"/>
      <c r="E28522" s="1"/>
      <c r="F28522" s="1"/>
      <c r="G28522" s="1"/>
    </row>
    <row r="28523">
      <c r="B28523" s="36"/>
      <c r="C28523" s="36"/>
      <c r="E28523" s="1"/>
      <c r="F28523" s="1"/>
      <c r="G28523" s="1"/>
    </row>
    <row r="28524">
      <c r="B28524" s="36"/>
      <c r="C28524" s="36"/>
      <c r="E28524" s="1"/>
      <c r="F28524" s="1"/>
      <c r="G28524" s="1"/>
    </row>
    <row r="28525">
      <c r="B28525" s="36"/>
      <c r="C28525" s="36"/>
      <c r="E28525" s="1"/>
      <c r="F28525" s="1"/>
      <c r="G28525" s="1"/>
    </row>
    <row r="28526">
      <c r="B28526" s="36"/>
      <c r="C28526" s="36"/>
      <c r="E28526" s="1"/>
      <c r="F28526" s="1"/>
      <c r="G28526" s="1"/>
    </row>
    <row r="28527">
      <c r="B28527" s="36"/>
      <c r="C28527" s="36"/>
      <c r="E28527" s="1"/>
      <c r="F28527" s="1"/>
      <c r="G28527" s="1"/>
    </row>
    <row r="28528">
      <c r="B28528" s="36"/>
      <c r="C28528" s="36"/>
      <c r="E28528" s="1"/>
      <c r="F28528" s="1"/>
      <c r="G28528" s="1"/>
    </row>
    <row r="28529">
      <c r="B28529" s="36"/>
      <c r="C28529" s="36"/>
      <c r="E28529" s="1"/>
      <c r="F28529" s="1"/>
      <c r="G28529" s="1"/>
    </row>
    <row r="28530">
      <c r="B28530" s="36"/>
      <c r="C28530" s="36"/>
      <c r="E28530" s="1"/>
      <c r="F28530" s="1"/>
      <c r="G28530" s="1"/>
    </row>
    <row r="28531">
      <c r="B28531" s="36"/>
      <c r="C28531" s="36"/>
      <c r="E28531" s="1"/>
      <c r="F28531" s="1"/>
      <c r="G28531" s="1"/>
    </row>
    <row r="28532">
      <c r="B28532" s="36"/>
      <c r="C28532" s="36"/>
      <c r="E28532" s="1"/>
      <c r="F28532" s="1"/>
      <c r="G28532" s="1"/>
    </row>
    <row r="28533">
      <c r="B28533" s="36"/>
      <c r="C28533" s="36"/>
      <c r="E28533" s="1"/>
      <c r="F28533" s="1"/>
      <c r="G28533" s="1"/>
    </row>
    <row r="28534">
      <c r="B28534" s="36"/>
      <c r="C28534" s="36"/>
      <c r="E28534" s="1"/>
      <c r="F28534" s="1"/>
      <c r="G28534" s="1"/>
    </row>
    <row r="28535">
      <c r="B28535" s="36"/>
      <c r="C28535" s="36"/>
      <c r="E28535" s="1"/>
      <c r="F28535" s="1"/>
      <c r="G28535" s="1"/>
    </row>
    <row r="28536">
      <c r="B28536" s="36"/>
      <c r="C28536" s="36"/>
      <c r="E28536" s="1"/>
      <c r="F28536" s="1"/>
      <c r="G28536" s="1"/>
    </row>
    <row r="28537">
      <c r="B28537" s="36"/>
      <c r="C28537" s="36"/>
      <c r="E28537" s="1"/>
      <c r="F28537" s="1"/>
      <c r="G28537" s="1"/>
    </row>
    <row r="28538">
      <c r="B28538" s="36"/>
      <c r="C28538" s="36"/>
      <c r="E28538" s="1"/>
      <c r="F28538" s="1"/>
      <c r="G28538" s="1"/>
    </row>
    <row r="28539">
      <c r="B28539" s="36"/>
      <c r="C28539" s="36"/>
      <c r="E28539" s="1"/>
      <c r="F28539" s="1"/>
      <c r="G28539" s="1"/>
    </row>
    <row r="28540">
      <c r="B28540" s="36"/>
      <c r="C28540" s="36"/>
      <c r="E28540" s="1"/>
      <c r="F28540" s="1"/>
      <c r="G28540" s="1"/>
    </row>
    <row r="28541">
      <c r="B28541" s="36"/>
      <c r="C28541" s="36"/>
      <c r="E28541" s="1"/>
      <c r="F28541" s="1"/>
      <c r="G28541" s="1"/>
    </row>
    <row r="28542">
      <c r="B28542" s="36"/>
      <c r="C28542" s="36"/>
      <c r="E28542" s="1"/>
      <c r="F28542" s="1"/>
      <c r="G28542" s="1"/>
    </row>
    <row r="28543">
      <c r="B28543" s="36"/>
      <c r="C28543" s="36"/>
      <c r="E28543" s="1"/>
      <c r="F28543" s="1"/>
      <c r="G28543" s="1"/>
    </row>
    <row r="28544">
      <c r="B28544" s="36"/>
      <c r="C28544" s="36"/>
      <c r="E28544" s="1"/>
      <c r="F28544" s="1"/>
      <c r="G28544" s="1"/>
    </row>
    <row r="28545">
      <c r="B28545" s="36"/>
      <c r="C28545" s="36"/>
      <c r="E28545" s="1"/>
      <c r="F28545" s="1"/>
      <c r="G28545" s="1"/>
    </row>
    <row r="28546">
      <c r="B28546" s="36"/>
      <c r="C28546" s="36"/>
      <c r="E28546" s="1"/>
      <c r="F28546" s="1"/>
      <c r="G28546" s="1"/>
    </row>
    <row r="28547">
      <c r="B28547" s="36"/>
      <c r="C28547" s="36"/>
      <c r="E28547" s="1"/>
      <c r="F28547" s="1"/>
      <c r="G28547" s="1"/>
    </row>
    <row r="28548">
      <c r="B28548" s="36"/>
      <c r="C28548" s="36"/>
      <c r="E28548" s="1"/>
      <c r="F28548" s="1"/>
      <c r="G28548" s="1"/>
    </row>
    <row r="28549">
      <c r="B28549" s="36"/>
      <c r="C28549" s="36"/>
      <c r="E28549" s="1"/>
      <c r="F28549" s="1"/>
      <c r="G28549" s="1"/>
    </row>
    <row r="28550">
      <c r="B28550" s="36"/>
      <c r="C28550" s="36"/>
      <c r="E28550" s="1"/>
      <c r="F28550" s="1"/>
      <c r="G28550" s="1"/>
    </row>
    <row r="28551">
      <c r="B28551" s="36"/>
      <c r="C28551" s="36"/>
      <c r="E28551" s="1"/>
      <c r="F28551" s="1"/>
      <c r="G28551" s="1"/>
    </row>
    <row r="28552">
      <c r="B28552" s="36"/>
      <c r="C28552" s="36"/>
      <c r="E28552" s="1"/>
      <c r="F28552" s="1"/>
      <c r="G28552" s="1"/>
    </row>
    <row r="28553">
      <c r="B28553" s="36"/>
      <c r="C28553" s="36"/>
      <c r="E28553" s="1"/>
      <c r="F28553" s="1"/>
      <c r="G28553" s="1"/>
    </row>
    <row r="28554">
      <c r="B28554" s="36"/>
      <c r="C28554" s="36"/>
      <c r="E28554" s="1"/>
      <c r="F28554" s="1"/>
      <c r="G28554" s="1"/>
    </row>
    <row r="28555">
      <c r="B28555" s="36"/>
      <c r="C28555" s="36"/>
      <c r="E28555" s="1"/>
      <c r="F28555" s="1"/>
      <c r="G28555" s="1"/>
    </row>
    <row r="28556">
      <c r="B28556" s="36"/>
      <c r="C28556" s="36"/>
      <c r="E28556" s="1"/>
      <c r="F28556" s="1"/>
      <c r="G28556" s="1"/>
    </row>
    <row r="28557">
      <c r="B28557" s="36"/>
      <c r="C28557" s="36"/>
      <c r="E28557" s="1"/>
      <c r="F28557" s="1"/>
      <c r="G28557" s="1"/>
    </row>
    <row r="28558">
      <c r="B28558" s="36"/>
      <c r="C28558" s="36"/>
      <c r="E28558" s="1"/>
      <c r="F28558" s="1"/>
      <c r="G28558" s="1"/>
    </row>
    <row r="28559">
      <c r="B28559" s="36"/>
      <c r="C28559" s="36"/>
      <c r="E28559" s="1"/>
      <c r="F28559" s="1"/>
      <c r="G28559" s="1"/>
    </row>
    <row r="28560">
      <c r="B28560" s="36"/>
      <c r="C28560" s="36"/>
      <c r="E28560" s="1"/>
      <c r="F28560" s="1"/>
      <c r="G28560" s="1"/>
    </row>
    <row r="28561">
      <c r="B28561" s="36"/>
      <c r="C28561" s="36"/>
      <c r="E28561" s="1"/>
      <c r="F28561" s="1"/>
      <c r="G28561" s="1"/>
    </row>
    <row r="28562">
      <c r="B28562" s="36"/>
      <c r="C28562" s="36"/>
      <c r="E28562" s="1"/>
      <c r="F28562" s="1"/>
      <c r="G28562" s="1"/>
    </row>
    <row r="28563">
      <c r="B28563" s="36"/>
      <c r="C28563" s="36"/>
      <c r="E28563" s="1"/>
      <c r="F28563" s="1"/>
      <c r="G28563" s="1"/>
    </row>
    <row r="28564">
      <c r="B28564" s="36"/>
      <c r="C28564" s="36"/>
      <c r="E28564" s="1"/>
      <c r="F28564" s="1"/>
      <c r="G28564" s="1"/>
    </row>
    <row r="28565">
      <c r="B28565" s="36"/>
      <c r="C28565" s="36"/>
      <c r="E28565" s="1"/>
      <c r="F28565" s="1"/>
      <c r="G28565" s="1"/>
    </row>
    <row r="28566">
      <c r="B28566" s="36"/>
      <c r="C28566" s="36"/>
      <c r="E28566" s="1"/>
      <c r="F28566" s="1"/>
      <c r="G28566" s="1"/>
    </row>
    <row r="28567">
      <c r="B28567" s="36"/>
      <c r="C28567" s="36"/>
      <c r="E28567" s="1"/>
      <c r="F28567" s="1"/>
      <c r="G28567" s="1"/>
    </row>
    <row r="28568">
      <c r="B28568" s="36"/>
      <c r="C28568" s="36"/>
      <c r="E28568" s="1"/>
      <c r="F28568" s="1"/>
      <c r="G28568" s="1"/>
    </row>
    <row r="28569">
      <c r="B28569" s="36"/>
      <c r="C28569" s="36"/>
      <c r="E28569" s="1"/>
      <c r="F28569" s="1"/>
      <c r="G28569" s="1"/>
    </row>
    <row r="28570">
      <c r="B28570" s="36"/>
      <c r="C28570" s="36"/>
      <c r="E28570" s="1"/>
      <c r="F28570" s="1"/>
      <c r="G28570" s="1"/>
    </row>
    <row r="28571">
      <c r="B28571" s="36"/>
      <c r="C28571" s="36"/>
      <c r="E28571" s="1"/>
      <c r="F28571" s="1"/>
      <c r="G28571" s="1"/>
    </row>
    <row r="28572">
      <c r="B28572" s="36"/>
      <c r="C28572" s="36"/>
      <c r="E28572" s="1"/>
      <c r="F28572" s="1"/>
      <c r="G28572" s="1"/>
    </row>
    <row r="28573">
      <c r="B28573" s="36"/>
      <c r="C28573" s="36"/>
      <c r="E28573" s="1"/>
      <c r="F28573" s="1"/>
      <c r="G28573" s="1"/>
    </row>
    <row r="28574">
      <c r="B28574" s="36"/>
      <c r="C28574" s="36"/>
      <c r="E28574" s="1"/>
      <c r="F28574" s="1"/>
      <c r="G28574" s="1"/>
    </row>
    <row r="28575">
      <c r="B28575" s="36"/>
      <c r="C28575" s="36"/>
      <c r="E28575" s="1"/>
      <c r="F28575" s="1"/>
      <c r="G28575" s="1"/>
    </row>
    <row r="28576">
      <c r="B28576" s="36"/>
      <c r="C28576" s="36"/>
      <c r="E28576" s="1"/>
      <c r="F28576" s="1"/>
      <c r="G28576" s="1"/>
    </row>
    <row r="28577">
      <c r="B28577" s="36"/>
      <c r="C28577" s="36"/>
      <c r="E28577" s="1"/>
      <c r="F28577" s="1"/>
      <c r="G28577" s="1"/>
    </row>
    <row r="28578">
      <c r="B28578" s="36"/>
      <c r="C28578" s="36"/>
      <c r="E28578" s="1"/>
      <c r="F28578" s="1"/>
      <c r="G28578" s="1"/>
    </row>
    <row r="28579">
      <c r="B28579" s="36"/>
      <c r="C28579" s="36"/>
      <c r="E28579" s="1"/>
      <c r="F28579" s="1"/>
      <c r="G28579" s="1"/>
    </row>
    <row r="28580">
      <c r="B28580" s="36"/>
      <c r="C28580" s="36"/>
      <c r="E28580" s="1"/>
      <c r="F28580" s="1"/>
      <c r="G28580" s="1"/>
    </row>
    <row r="28581">
      <c r="B28581" s="36"/>
      <c r="C28581" s="36"/>
      <c r="E28581" s="1"/>
      <c r="F28581" s="1"/>
      <c r="G28581" s="1"/>
    </row>
    <row r="28582">
      <c r="B28582" s="36"/>
      <c r="C28582" s="36"/>
      <c r="E28582" s="1"/>
      <c r="F28582" s="1"/>
      <c r="G28582" s="1"/>
    </row>
    <row r="28583">
      <c r="B28583" s="36"/>
      <c r="C28583" s="36"/>
      <c r="E28583" s="1"/>
      <c r="F28583" s="1"/>
      <c r="G28583" s="1"/>
    </row>
    <row r="28584">
      <c r="B28584" s="36"/>
      <c r="C28584" s="36"/>
      <c r="E28584" s="1"/>
      <c r="F28584" s="1"/>
      <c r="G28584" s="1"/>
    </row>
    <row r="28585">
      <c r="B28585" s="36"/>
      <c r="C28585" s="36"/>
      <c r="E28585" s="1"/>
      <c r="F28585" s="1"/>
      <c r="G28585" s="1"/>
    </row>
    <row r="28586">
      <c r="B28586" s="36"/>
      <c r="C28586" s="36"/>
      <c r="E28586" s="1"/>
      <c r="F28586" s="1"/>
      <c r="G28586" s="1"/>
    </row>
    <row r="28587">
      <c r="B28587" s="36"/>
      <c r="C28587" s="36"/>
      <c r="E28587" s="1"/>
      <c r="F28587" s="1"/>
      <c r="G28587" s="1"/>
    </row>
    <row r="28588">
      <c r="B28588" s="36"/>
      <c r="C28588" s="36"/>
      <c r="E28588" s="1"/>
      <c r="F28588" s="1"/>
      <c r="G28588" s="1"/>
    </row>
    <row r="28589">
      <c r="B28589" s="36"/>
      <c r="C28589" s="36"/>
      <c r="E28589" s="1"/>
      <c r="F28589" s="1"/>
      <c r="G28589" s="1"/>
    </row>
    <row r="28590">
      <c r="B28590" s="36"/>
      <c r="C28590" s="36"/>
      <c r="E28590" s="1"/>
      <c r="F28590" s="1"/>
      <c r="G28590" s="1"/>
    </row>
    <row r="28591">
      <c r="B28591" s="36"/>
      <c r="C28591" s="36"/>
      <c r="E28591" s="1"/>
      <c r="F28591" s="1"/>
      <c r="G28591" s="1"/>
    </row>
    <row r="28592">
      <c r="B28592" s="36"/>
      <c r="C28592" s="36"/>
      <c r="E28592" s="1"/>
      <c r="F28592" s="1"/>
      <c r="G28592" s="1"/>
    </row>
    <row r="28593">
      <c r="B28593" s="36"/>
      <c r="C28593" s="36"/>
      <c r="E28593" s="1"/>
      <c r="F28593" s="1"/>
      <c r="G28593" s="1"/>
    </row>
    <row r="28594">
      <c r="B28594" s="36"/>
      <c r="C28594" s="36"/>
      <c r="E28594" s="1"/>
      <c r="F28594" s="1"/>
      <c r="G28594" s="1"/>
    </row>
    <row r="28595">
      <c r="B28595" s="36"/>
      <c r="C28595" s="36"/>
      <c r="E28595" s="1"/>
      <c r="F28595" s="1"/>
      <c r="G28595" s="1"/>
    </row>
    <row r="28596">
      <c r="B28596" s="36"/>
      <c r="C28596" s="36"/>
      <c r="E28596" s="1"/>
      <c r="F28596" s="1"/>
      <c r="G28596" s="1"/>
    </row>
    <row r="28597">
      <c r="B28597" s="36"/>
      <c r="C28597" s="36"/>
      <c r="E28597" s="1"/>
      <c r="F28597" s="1"/>
      <c r="G28597" s="1"/>
    </row>
    <row r="28598">
      <c r="B28598" s="36"/>
      <c r="C28598" s="36"/>
      <c r="E28598" s="1"/>
      <c r="F28598" s="1"/>
      <c r="G28598" s="1"/>
    </row>
    <row r="28599">
      <c r="B28599" s="36"/>
      <c r="C28599" s="36"/>
      <c r="E28599" s="1"/>
      <c r="F28599" s="1"/>
      <c r="G28599" s="1"/>
    </row>
    <row r="28600">
      <c r="B28600" s="36"/>
      <c r="C28600" s="36"/>
      <c r="E28600" s="1"/>
      <c r="F28600" s="1"/>
      <c r="G28600" s="1"/>
    </row>
    <row r="28601">
      <c r="B28601" s="36"/>
      <c r="C28601" s="36"/>
      <c r="E28601" s="1"/>
      <c r="F28601" s="1"/>
      <c r="G28601" s="1"/>
    </row>
    <row r="28602">
      <c r="B28602" s="36"/>
      <c r="C28602" s="36"/>
      <c r="E28602" s="1"/>
      <c r="F28602" s="1"/>
      <c r="G28602" s="1"/>
    </row>
    <row r="28603">
      <c r="B28603" s="36"/>
      <c r="C28603" s="36"/>
      <c r="E28603" s="1"/>
      <c r="F28603" s="1"/>
      <c r="G28603" s="1"/>
    </row>
    <row r="28604">
      <c r="B28604" s="36"/>
      <c r="C28604" s="36"/>
      <c r="E28604" s="1"/>
      <c r="F28604" s="1"/>
      <c r="G28604" s="1"/>
    </row>
    <row r="28605">
      <c r="B28605" s="36"/>
      <c r="C28605" s="36"/>
      <c r="E28605" s="1"/>
      <c r="F28605" s="1"/>
      <c r="G28605" s="1"/>
    </row>
    <row r="28606">
      <c r="B28606" s="36"/>
      <c r="C28606" s="36"/>
      <c r="E28606" s="1"/>
      <c r="F28606" s="1"/>
      <c r="G28606" s="1"/>
    </row>
    <row r="28607">
      <c r="B28607" s="36"/>
      <c r="C28607" s="36"/>
      <c r="E28607" s="1"/>
      <c r="F28607" s="1"/>
      <c r="G28607" s="1"/>
    </row>
    <row r="28608">
      <c r="B28608" s="36"/>
      <c r="C28608" s="36"/>
      <c r="E28608" s="1"/>
      <c r="F28608" s="1"/>
      <c r="G28608" s="1"/>
    </row>
    <row r="28609">
      <c r="B28609" s="36"/>
      <c r="C28609" s="36"/>
      <c r="E28609" s="1"/>
      <c r="F28609" s="1"/>
      <c r="G28609" s="1"/>
    </row>
    <row r="28610">
      <c r="B28610" s="36"/>
      <c r="C28610" s="36"/>
      <c r="E28610" s="1"/>
      <c r="F28610" s="1"/>
      <c r="G28610" s="1"/>
    </row>
    <row r="28611">
      <c r="B28611" s="36"/>
      <c r="C28611" s="36"/>
      <c r="E28611" s="1"/>
      <c r="F28611" s="1"/>
      <c r="G28611" s="1"/>
    </row>
    <row r="28612">
      <c r="B28612" s="36"/>
      <c r="C28612" s="36"/>
      <c r="E28612" s="1"/>
      <c r="F28612" s="1"/>
      <c r="G28612" s="1"/>
    </row>
    <row r="28613">
      <c r="B28613" s="36"/>
      <c r="C28613" s="36"/>
      <c r="E28613" s="1"/>
      <c r="F28613" s="1"/>
      <c r="G28613" s="1"/>
    </row>
    <row r="28614">
      <c r="B28614" s="36"/>
      <c r="C28614" s="36"/>
      <c r="E28614" s="1"/>
      <c r="F28614" s="1"/>
      <c r="G28614" s="1"/>
    </row>
    <row r="28615">
      <c r="B28615" s="36"/>
      <c r="C28615" s="36"/>
      <c r="E28615" s="1"/>
      <c r="F28615" s="1"/>
      <c r="G28615" s="1"/>
    </row>
    <row r="28616">
      <c r="B28616" s="36"/>
      <c r="C28616" s="36"/>
      <c r="E28616" s="1"/>
      <c r="F28616" s="1"/>
      <c r="G28616" s="1"/>
    </row>
    <row r="28617">
      <c r="B28617" s="36"/>
      <c r="C28617" s="36"/>
      <c r="E28617" s="1"/>
      <c r="F28617" s="1"/>
      <c r="G28617" s="1"/>
    </row>
    <row r="28618">
      <c r="B28618" s="36"/>
      <c r="C28618" s="36"/>
      <c r="E28618" s="1"/>
      <c r="F28618" s="1"/>
      <c r="G28618" s="1"/>
    </row>
    <row r="28619">
      <c r="B28619" s="36"/>
      <c r="C28619" s="36"/>
      <c r="E28619" s="1"/>
      <c r="F28619" s="1"/>
      <c r="G28619" s="1"/>
    </row>
    <row r="28620">
      <c r="B28620" s="36"/>
      <c r="C28620" s="36"/>
      <c r="E28620" s="1"/>
      <c r="F28620" s="1"/>
      <c r="G28620" s="1"/>
    </row>
    <row r="28621">
      <c r="B28621" s="36"/>
      <c r="C28621" s="36"/>
      <c r="E28621" s="1"/>
      <c r="F28621" s="1"/>
      <c r="G28621" s="1"/>
    </row>
    <row r="28622">
      <c r="B28622" s="36"/>
      <c r="C28622" s="36"/>
      <c r="E28622" s="1"/>
      <c r="F28622" s="1"/>
      <c r="G28622" s="1"/>
    </row>
    <row r="28623">
      <c r="B28623" s="36"/>
      <c r="C28623" s="36"/>
      <c r="E28623" s="1"/>
      <c r="F28623" s="1"/>
      <c r="G28623" s="1"/>
    </row>
    <row r="28624">
      <c r="B28624" s="36"/>
      <c r="C28624" s="36"/>
      <c r="E28624" s="1"/>
      <c r="F28624" s="1"/>
      <c r="G28624" s="1"/>
    </row>
    <row r="28625">
      <c r="B28625" s="36"/>
      <c r="C28625" s="36"/>
      <c r="E28625" s="1"/>
      <c r="F28625" s="1"/>
      <c r="G28625" s="1"/>
    </row>
    <row r="28626">
      <c r="B28626" s="36"/>
      <c r="C28626" s="36"/>
      <c r="E28626" s="1"/>
      <c r="F28626" s="1"/>
      <c r="G28626" s="1"/>
    </row>
    <row r="28627">
      <c r="B28627" s="36"/>
      <c r="C28627" s="36"/>
      <c r="E28627" s="1"/>
      <c r="F28627" s="1"/>
      <c r="G28627" s="1"/>
    </row>
    <row r="28628">
      <c r="B28628" s="36"/>
      <c r="C28628" s="36"/>
      <c r="E28628" s="1"/>
      <c r="F28628" s="1"/>
      <c r="G28628" s="1"/>
    </row>
    <row r="28629">
      <c r="B28629" s="36"/>
      <c r="C28629" s="36"/>
      <c r="E28629" s="1"/>
      <c r="F28629" s="1"/>
      <c r="G28629" s="1"/>
    </row>
    <row r="28630">
      <c r="B28630" s="36"/>
      <c r="C28630" s="36"/>
      <c r="E28630" s="1"/>
      <c r="F28630" s="1"/>
      <c r="G28630" s="1"/>
    </row>
    <row r="28631">
      <c r="B28631" s="36"/>
      <c r="C28631" s="36"/>
      <c r="E28631" s="1"/>
      <c r="F28631" s="1"/>
      <c r="G28631" s="1"/>
    </row>
    <row r="28632">
      <c r="B28632" s="36"/>
      <c r="C28632" s="36"/>
      <c r="E28632" s="1"/>
      <c r="F28632" s="1"/>
      <c r="G28632" s="1"/>
    </row>
    <row r="28633">
      <c r="B28633" s="36"/>
      <c r="C28633" s="36"/>
      <c r="E28633" s="1"/>
      <c r="F28633" s="1"/>
      <c r="G28633" s="1"/>
    </row>
    <row r="28634">
      <c r="B28634" s="36"/>
      <c r="C28634" s="36"/>
      <c r="E28634" s="1"/>
      <c r="F28634" s="1"/>
      <c r="G28634" s="1"/>
    </row>
    <row r="28635">
      <c r="B28635" s="36"/>
      <c r="C28635" s="36"/>
      <c r="E28635" s="1"/>
      <c r="F28635" s="1"/>
      <c r="G28635" s="1"/>
    </row>
    <row r="28636">
      <c r="B28636" s="36"/>
      <c r="C28636" s="36"/>
      <c r="E28636" s="1"/>
      <c r="F28636" s="1"/>
      <c r="G28636" s="1"/>
    </row>
    <row r="28637">
      <c r="B28637" s="36"/>
      <c r="C28637" s="36"/>
      <c r="E28637" s="1"/>
      <c r="F28637" s="1"/>
      <c r="G28637" s="1"/>
    </row>
    <row r="28638">
      <c r="B28638" s="36"/>
      <c r="C28638" s="36"/>
      <c r="E28638" s="1"/>
      <c r="F28638" s="1"/>
      <c r="G28638" s="1"/>
    </row>
    <row r="28639">
      <c r="B28639" s="36"/>
      <c r="C28639" s="36"/>
      <c r="E28639" s="1"/>
      <c r="F28639" s="1"/>
      <c r="G28639" s="1"/>
    </row>
    <row r="28640">
      <c r="B28640" s="36"/>
      <c r="C28640" s="36"/>
      <c r="E28640" s="1"/>
      <c r="F28640" s="1"/>
      <c r="G28640" s="1"/>
    </row>
    <row r="28641">
      <c r="B28641" s="36"/>
      <c r="C28641" s="36"/>
      <c r="E28641" s="1"/>
      <c r="F28641" s="1"/>
      <c r="G28641" s="1"/>
    </row>
    <row r="28642">
      <c r="B28642" s="36"/>
      <c r="C28642" s="36"/>
      <c r="E28642" s="1"/>
      <c r="F28642" s="1"/>
      <c r="G28642" s="1"/>
    </row>
    <row r="28643">
      <c r="B28643" s="36"/>
      <c r="C28643" s="36"/>
      <c r="E28643" s="1"/>
      <c r="F28643" s="1"/>
      <c r="G28643" s="1"/>
    </row>
    <row r="28644">
      <c r="B28644" s="36"/>
      <c r="C28644" s="36"/>
      <c r="E28644" s="1"/>
      <c r="F28644" s="1"/>
      <c r="G28644" s="1"/>
    </row>
    <row r="28645">
      <c r="B28645" s="36"/>
      <c r="C28645" s="36"/>
      <c r="E28645" s="1"/>
      <c r="F28645" s="1"/>
      <c r="G28645" s="1"/>
    </row>
    <row r="28646">
      <c r="B28646" s="36"/>
      <c r="C28646" s="36"/>
      <c r="E28646" s="1"/>
      <c r="F28646" s="1"/>
      <c r="G28646" s="1"/>
    </row>
    <row r="28647">
      <c r="B28647" s="36"/>
      <c r="C28647" s="36"/>
      <c r="E28647" s="1"/>
      <c r="F28647" s="1"/>
      <c r="G28647" s="1"/>
    </row>
    <row r="28648">
      <c r="B28648" s="36"/>
      <c r="C28648" s="36"/>
      <c r="E28648" s="1"/>
      <c r="F28648" s="1"/>
      <c r="G28648" s="1"/>
    </row>
    <row r="28649">
      <c r="B28649" s="36"/>
      <c r="C28649" s="36"/>
      <c r="E28649" s="1"/>
      <c r="F28649" s="1"/>
      <c r="G28649" s="1"/>
    </row>
    <row r="28650">
      <c r="B28650" s="36"/>
      <c r="C28650" s="36"/>
      <c r="E28650" s="1"/>
      <c r="F28650" s="1"/>
      <c r="G28650" s="1"/>
    </row>
    <row r="28651">
      <c r="B28651" s="36"/>
      <c r="C28651" s="36"/>
      <c r="E28651" s="1"/>
      <c r="F28651" s="1"/>
      <c r="G28651" s="1"/>
    </row>
    <row r="28652">
      <c r="B28652" s="36"/>
      <c r="C28652" s="36"/>
      <c r="E28652" s="1"/>
      <c r="F28652" s="1"/>
      <c r="G28652" s="1"/>
    </row>
    <row r="28653">
      <c r="B28653" s="36"/>
      <c r="C28653" s="36"/>
      <c r="E28653" s="1"/>
      <c r="F28653" s="1"/>
      <c r="G28653" s="1"/>
    </row>
    <row r="28654">
      <c r="B28654" s="36"/>
      <c r="C28654" s="36"/>
      <c r="E28654" s="1"/>
      <c r="F28654" s="1"/>
      <c r="G28654" s="1"/>
    </row>
    <row r="28655">
      <c r="B28655" s="36"/>
      <c r="C28655" s="36"/>
      <c r="E28655" s="1"/>
      <c r="F28655" s="1"/>
      <c r="G28655" s="1"/>
    </row>
    <row r="28656">
      <c r="B28656" s="36"/>
      <c r="C28656" s="36"/>
      <c r="E28656" s="1"/>
      <c r="F28656" s="1"/>
      <c r="G28656" s="1"/>
    </row>
    <row r="28657">
      <c r="B28657" s="36"/>
      <c r="C28657" s="36"/>
      <c r="E28657" s="1"/>
      <c r="F28657" s="1"/>
      <c r="G28657" s="1"/>
    </row>
    <row r="28658">
      <c r="B28658" s="36"/>
      <c r="C28658" s="36"/>
      <c r="E28658" s="1"/>
      <c r="F28658" s="1"/>
      <c r="G28658" s="1"/>
    </row>
    <row r="28659">
      <c r="B28659" s="36"/>
      <c r="C28659" s="36"/>
      <c r="E28659" s="1"/>
      <c r="F28659" s="1"/>
      <c r="G28659" s="1"/>
    </row>
    <row r="28660">
      <c r="B28660" s="36"/>
      <c r="C28660" s="36"/>
      <c r="E28660" s="1"/>
      <c r="F28660" s="1"/>
      <c r="G28660" s="1"/>
    </row>
    <row r="28661">
      <c r="B28661" s="36"/>
      <c r="C28661" s="36"/>
      <c r="E28661" s="1"/>
      <c r="F28661" s="1"/>
      <c r="G28661" s="1"/>
    </row>
    <row r="28662">
      <c r="B28662" s="36"/>
      <c r="C28662" s="36"/>
      <c r="E28662" s="1"/>
      <c r="F28662" s="1"/>
      <c r="G28662" s="1"/>
    </row>
    <row r="28663">
      <c r="B28663" s="36"/>
      <c r="C28663" s="36"/>
      <c r="E28663" s="1"/>
      <c r="F28663" s="1"/>
      <c r="G28663" s="1"/>
    </row>
    <row r="28664">
      <c r="B28664" s="36"/>
      <c r="C28664" s="36"/>
      <c r="E28664" s="1"/>
      <c r="F28664" s="1"/>
      <c r="G28664" s="1"/>
    </row>
    <row r="28665">
      <c r="B28665" s="36"/>
      <c r="C28665" s="36"/>
      <c r="E28665" s="1"/>
      <c r="F28665" s="1"/>
      <c r="G28665" s="1"/>
    </row>
    <row r="28666">
      <c r="B28666" s="36"/>
      <c r="C28666" s="36"/>
      <c r="E28666" s="1"/>
      <c r="F28666" s="1"/>
      <c r="G28666" s="1"/>
    </row>
    <row r="28667">
      <c r="B28667" s="36"/>
      <c r="C28667" s="36"/>
      <c r="E28667" s="1"/>
      <c r="F28667" s="1"/>
      <c r="G28667" s="1"/>
    </row>
    <row r="28668">
      <c r="B28668" s="36"/>
      <c r="C28668" s="36"/>
      <c r="E28668" s="1"/>
      <c r="F28668" s="1"/>
      <c r="G28668" s="1"/>
    </row>
    <row r="28669">
      <c r="B28669" s="36"/>
      <c r="C28669" s="36"/>
      <c r="E28669" s="1"/>
      <c r="F28669" s="1"/>
      <c r="G28669" s="1"/>
    </row>
    <row r="28670">
      <c r="B28670" s="36"/>
      <c r="C28670" s="36"/>
      <c r="E28670" s="1"/>
      <c r="F28670" s="1"/>
      <c r="G28670" s="1"/>
    </row>
    <row r="28671">
      <c r="B28671" s="36"/>
      <c r="C28671" s="36"/>
      <c r="E28671" s="1"/>
      <c r="F28671" s="1"/>
      <c r="G28671" s="1"/>
    </row>
    <row r="28672">
      <c r="B28672" s="36"/>
      <c r="C28672" s="36"/>
      <c r="E28672" s="1"/>
      <c r="F28672" s="1"/>
      <c r="G28672" s="1"/>
    </row>
    <row r="28673">
      <c r="B28673" s="36"/>
      <c r="C28673" s="36"/>
      <c r="E28673" s="1"/>
      <c r="F28673" s="1"/>
      <c r="G28673" s="1"/>
    </row>
    <row r="28674">
      <c r="B28674" s="36"/>
      <c r="C28674" s="36"/>
      <c r="E28674" s="1"/>
      <c r="F28674" s="1"/>
      <c r="G28674" s="1"/>
    </row>
    <row r="28675">
      <c r="B28675" s="36"/>
      <c r="C28675" s="36"/>
      <c r="E28675" s="1"/>
      <c r="F28675" s="1"/>
      <c r="G28675" s="1"/>
    </row>
    <row r="28676">
      <c r="B28676" s="36"/>
      <c r="C28676" s="36"/>
      <c r="E28676" s="1"/>
      <c r="F28676" s="1"/>
      <c r="G28676" s="1"/>
    </row>
    <row r="28677">
      <c r="B28677" s="36"/>
      <c r="C28677" s="36"/>
      <c r="E28677" s="1"/>
      <c r="F28677" s="1"/>
      <c r="G28677" s="1"/>
    </row>
    <row r="28678">
      <c r="B28678" s="36"/>
      <c r="C28678" s="36"/>
      <c r="E28678" s="1"/>
      <c r="F28678" s="1"/>
      <c r="G28678" s="1"/>
    </row>
    <row r="28679">
      <c r="B28679" s="36"/>
      <c r="C28679" s="36"/>
      <c r="E28679" s="1"/>
      <c r="F28679" s="1"/>
      <c r="G28679" s="1"/>
    </row>
    <row r="28680">
      <c r="B28680" s="36"/>
      <c r="C28680" s="36"/>
      <c r="E28680" s="1"/>
      <c r="F28680" s="1"/>
      <c r="G28680" s="1"/>
    </row>
    <row r="28681">
      <c r="B28681" s="36"/>
      <c r="C28681" s="36"/>
      <c r="E28681" s="1"/>
      <c r="F28681" s="1"/>
      <c r="G28681" s="1"/>
    </row>
    <row r="28682">
      <c r="B28682" s="36"/>
      <c r="C28682" s="36"/>
      <c r="E28682" s="1"/>
      <c r="F28682" s="1"/>
      <c r="G28682" s="1"/>
    </row>
    <row r="28683">
      <c r="B28683" s="36"/>
      <c r="C28683" s="36"/>
      <c r="E28683" s="1"/>
      <c r="F28683" s="1"/>
      <c r="G28683" s="1"/>
    </row>
    <row r="28684">
      <c r="B28684" s="36"/>
      <c r="C28684" s="36"/>
      <c r="E28684" s="1"/>
      <c r="F28684" s="1"/>
      <c r="G28684" s="1"/>
    </row>
    <row r="28685">
      <c r="B28685" s="36"/>
      <c r="C28685" s="36"/>
      <c r="E28685" s="1"/>
      <c r="F28685" s="1"/>
      <c r="G28685" s="1"/>
    </row>
    <row r="28686">
      <c r="B28686" s="36"/>
      <c r="C28686" s="36"/>
      <c r="E28686" s="1"/>
      <c r="F28686" s="1"/>
      <c r="G28686" s="1"/>
    </row>
    <row r="28687">
      <c r="B28687" s="36"/>
      <c r="C28687" s="36"/>
      <c r="E28687" s="1"/>
      <c r="F28687" s="1"/>
      <c r="G28687" s="1"/>
    </row>
    <row r="28688">
      <c r="B28688" s="36"/>
      <c r="C28688" s="36"/>
      <c r="E28688" s="1"/>
      <c r="F28688" s="1"/>
      <c r="G28688" s="1"/>
    </row>
    <row r="28689">
      <c r="B28689" s="36"/>
      <c r="C28689" s="36"/>
      <c r="E28689" s="1"/>
      <c r="F28689" s="1"/>
      <c r="G28689" s="1"/>
    </row>
    <row r="28690">
      <c r="B28690" s="36"/>
      <c r="C28690" s="36"/>
      <c r="E28690" s="1"/>
      <c r="F28690" s="1"/>
      <c r="G28690" s="1"/>
    </row>
    <row r="28691">
      <c r="B28691" s="36"/>
      <c r="C28691" s="36"/>
      <c r="E28691" s="1"/>
      <c r="F28691" s="1"/>
      <c r="G28691" s="1"/>
    </row>
    <row r="28692">
      <c r="B28692" s="36"/>
      <c r="C28692" s="36"/>
      <c r="E28692" s="1"/>
      <c r="F28692" s="1"/>
      <c r="G28692" s="1"/>
    </row>
    <row r="28693">
      <c r="B28693" s="36"/>
      <c r="C28693" s="36"/>
      <c r="E28693" s="1"/>
      <c r="F28693" s="1"/>
      <c r="G28693" s="1"/>
    </row>
    <row r="28694">
      <c r="B28694" s="36"/>
      <c r="C28694" s="36"/>
      <c r="E28694" s="1"/>
      <c r="F28694" s="1"/>
      <c r="G28694" s="1"/>
    </row>
    <row r="28695">
      <c r="B28695" s="36"/>
      <c r="C28695" s="36"/>
      <c r="E28695" s="1"/>
      <c r="F28695" s="1"/>
      <c r="G28695" s="1"/>
    </row>
    <row r="28696">
      <c r="B28696" s="36"/>
      <c r="C28696" s="36"/>
      <c r="E28696" s="1"/>
      <c r="F28696" s="1"/>
      <c r="G28696" s="1"/>
    </row>
    <row r="28697">
      <c r="B28697" s="36"/>
      <c r="C28697" s="36"/>
      <c r="E28697" s="1"/>
      <c r="F28697" s="1"/>
      <c r="G28697" s="1"/>
    </row>
    <row r="28698">
      <c r="B28698" s="36"/>
      <c r="C28698" s="36"/>
      <c r="E28698" s="1"/>
      <c r="F28698" s="1"/>
      <c r="G28698" s="1"/>
    </row>
    <row r="28699">
      <c r="B28699" s="36"/>
      <c r="C28699" s="36"/>
      <c r="E28699" s="1"/>
      <c r="F28699" s="1"/>
      <c r="G28699" s="1"/>
    </row>
    <row r="28700">
      <c r="B28700" s="36"/>
      <c r="C28700" s="36"/>
      <c r="E28700" s="1"/>
      <c r="F28700" s="1"/>
      <c r="G28700" s="1"/>
    </row>
    <row r="28701">
      <c r="B28701" s="36"/>
      <c r="C28701" s="36"/>
      <c r="E28701" s="1"/>
      <c r="F28701" s="1"/>
      <c r="G28701" s="1"/>
    </row>
    <row r="28702">
      <c r="B28702" s="36"/>
      <c r="C28702" s="36"/>
      <c r="E28702" s="1"/>
      <c r="F28702" s="1"/>
      <c r="G28702" s="1"/>
    </row>
    <row r="28703">
      <c r="B28703" s="36"/>
      <c r="C28703" s="36"/>
      <c r="E28703" s="1"/>
      <c r="F28703" s="1"/>
      <c r="G28703" s="1"/>
    </row>
    <row r="28704">
      <c r="B28704" s="36"/>
      <c r="C28704" s="36"/>
      <c r="E28704" s="1"/>
      <c r="F28704" s="1"/>
      <c r="G28704" s="1"/>
    </row>
    <row r="28705">
      <c r="B28705" s="36"/>
      <c r="C28705" s="36"/>
      <c r="E28705" s="1"/>
      <c r="F28705" s="1"/>
      <c r="G28705" s="1"/>
    </row>
    <row r="28706">
      <c r="B28706" s="36"/>
      <c r="C28706" s="36"/>
      <c r="E28706" s="1"/>
      <c r="F28706" s="1"/>
      <c r="G28706" s="1"/>
    </row>
    <row r="28707">
      <c r="B28707" s="36"/>
      <c r="C28707" s="36"/>
      <c r="E28707" s="1"/>
      <c r="F28707" s="1"/>
      <c r="G28707" s="1"/>
    </row>
    <row r="28708">
      <c r="B28708" s="36"/>
      <c r="C28708" s="36"/>
      <c r="E28708" s="1"/>
      <c r="F28708" s="1"/>
      <c r="G28708" s="1"/>
    </row>
    <row r="28709">
      <c r="B28709" s="36"/>
      <c r="C28709" s="36"/>
      <c r="E28709" s="1"/>
      <c r="F28709" s="1"/>
      <c r="G28709" s="1"/>
    </row>
    <row r="28710">
      <c r="B28710" s="36"/>
      <c r="C28710" s="36"/>
      <c r="E28710" s="1"/>
      <c r="F28710" s="1"/>
      <c r="G28710" s="1"/>
    </row>
    <row r="28711">
      <c r="B28711" s="36"/>
      <c r="C28711" s="36"/>
      <c r="E28711" s="1"/>
      <c r="F28711" s="1"/>
      <c r="G28711" s="1"/>
    </row>
    <row r="28712">
      <c r="B28712" s="36"/>
      <c r="C28712" s="36"/>
      <c r="E28712" s="1"/>
      <c r="F28712" s="1"/>
      <c r="G28712" s="1"/>
    </row>
    <row r="28713">
      <c r="B28713" s="36"/>
      <c r="C28713" s="36"/>
      <c r="E28713" s="1"/>
      <c r="F28713" s="1"/>
      <c r="G28713" s="1"/>
    </row>
    <row r="28714">
      <c r="B28714" s="36"/>
      <c r="C28714" s="36"/>
      <c r="E28714" s="1"/>
      <c r="F28714" s="1"/>
      <c r="G28714" s="1"/>
    </row>
    <row r="28715">
      <c r="B28715" s="36"/>
      <c r="C28715" s="36"/>
      <c r="E28715" s="1"/>
      <c r="F28715" s="1"/>
      <c r="G28715" s="1"/>
    </row>
    <row r="28716">
      <c r="B28716" s="36"/>
      <c r="C28716" s="36"/>
      <c r="E28716" s="1"/>
      <c r="F28716" s="1"/>
      <c r="G28716" s="1"/>
    </row>
    <row r="28717">
      <c r="B28717" s="36"/>
      <c r="C28717" s="36"/>
      <c r="E28717" s="1"/>
      <c r="F28717" s="1"/>
      <c r="G28717" s="1"/>
    </row>
    <row r="28718">
      <c r="B28718" s="36"/>
      <c r="C28718" s="36"/>
      <c r="E28718" s="1"/>
      <c r="F28718" s="1"/>
      <c r="G28718" s="1"/>
    </row>
    <row r="28719">
      <c r="B28719" s="36"/>
      <c r="C28719" s="36"/>
      <c r="E28719" s="1"/>
      <c r="F28719" s="1"/>
      <c r="G28719" s="1"/>
    </row>
    <row r="28720">
      <c r="B28720" s="36"/>
      <c r="C28720" s="36"/>
      <c r="E28720" s="1"/>
      <c r="F28720" s="1"/>
      <c r="G28720" s="1"/>
    </row>
    <row r="28721">
      <c r="B28721" s="36"/>
      <c r="C28721" s="36"/>
      <c r="E28721" s="1"/>
      <c r="F28721" s="1"/>
      <c r="G28721" s="1"/>
    </row>
    <row r="28722">
      <c r="B28722" s="36"/>
      <c r="C28722" s="36"/>
      <c r="E28722" s="1"/>
      <c r="F28722" s="1"/>
      <c r="G28722" s="1"/>
    </row>
    <row r="28723">
      <c r="B28723" s="36"/>
      <c r="C28723" s="36"/>
      <c r="E28723" s="1"/>
      <c r="F28723" s="1"/>
      <c r="G28723" s="1"/>
    </row>
    <row r="28724">
      <c r="B28724" s="36"/>
      <c r="C28724" s="36"/>
      <c r="E28724" s="1"/>
      <c r="F28724" s="1"/>
      <c r="G28724" s="1"/>
    </row>
    <row r="28725">
      <c r="B28725" s="36"/>
      <c r="C28725" s="36"/>
      <c r="E28725" s="1"/>
      <c r="F28725" s="1"/>
      <c r="G28725" s="1"/>
    </row>
    <row r="28726">
      <c r="B28726" s="36"/>
      <c r="C28726" s="36"/>
      <c r="E28726" s="1"/>
      <c r="F28726" s="1"/>
      <c r="G28726" s="1"/>
    </row>
    <row r="28727">
      <c r="B28727" s="36"/>
      <c r="C28727" s="36"/>
      <c r="E28727" s="1"/>
      <c r="F28727" s="1"/>
      <c r="G28727" s="1"/>
    </row>
    <row r="28728">
      <c r="B28728" s="36"/>
      <c r="C28728" s="36"/>
      <c r="E28728" s="1"/>
      <c r="F28728" s="1"/>
      <c r="G28728" s="1"/>
    </row>
    <row r="28729">
      <c r="B28729" s="36"/>
      <c r="C28729" s="36"/>
      <c r="E28729" s="1"/>
      <c r="F28729" s="1"/>
      <c r="G28729" s="1"/>
    </row>
    <row r="28730">
      <c r="B28730" s="36"/>
      <c r="C28730" s="36"/>
      <c r="E28730" s="1"/>
      <c r="F28730" s="1"/>
      <c r="G28730" s="1"/>
    </row>
    <row r="28731">
      <c r="B28731" s="36"/>
      <c r="C28731" s="36"/>
      <c r="E28731" s="1"/>
      <c r="F28731" s="1"/>
      <c r="G28731" s="1"/>
    </row>
    <row r="28732">
      <c r="B28732" s="36"/>
      <c r="C28732" s="36"/>
      <c r="E28732" s="1"/>
      <c r="F28732" s="1"/>
      <c r="G28732" s="1"/>
    </row>
    <row r="28733">
      <c r="B28733" s="36"/>
      <c r="C28733" s="36"/>
      <c r="E28733" s="1"/>
      <c r="F28733" s="1"/>
      <c r="G28733" s="1"/>
    </row>
    <row r="28734">
      <c r="B28734" s="36"/>
      <c r="C28734" s="36"/>
      <c r="E28734" s="1"/>
      <c r="F28734" s="1"/>
      <c r="G28734" s="1"/>
    </row>
    <row r="28735">
      <c r="B28735" s="36"/>
      <c r="C28735" s="36"/>
      <c r="E28735" s="1"/>
      <c r="F28735" s="1"/>
      <c r="G28735" s="1"/>
    </row>
    <row r="28736">
      <c r="B28736" s="36"/>
      <c r="C28736" s="36"/>
      <c r="E28736" s="1"/>
      <c r="F28736" s="1"/>
      <c r="G28736" s="1"/>
    </row>
    <row r="28737">
      <c r="B28737" s="36"/>
      <c r="C28737" s="36"/>
      <c r="E28737" s="1"/>
      <c r="F28737" s="1"/>
      <c r="G28737" s="1"/>
    </row>
    <row r="28738">
      <c r="B28738" s="36"/>
      <c r="C28738" s="36"/>
      <c r="E28738" s="1"/>
      <c r="F28738" s="1"/>
      <c r="G28738" s="1"/>
    </row>
    <row r="28739">
      <c r="B28739" s="36"/>
      <c r="C28739" s="36"/>
      <c r="E28739" s="1"/>
      <c r="F28739" s="1"/>
      <c r="G28739" s="1"/>
    </row>
    <row r="28740">
      <c r="B28740" s="36"/>
      <c r="C28740" s="36"/>
      <c r="E28740" s="1"/>
      <c r="F28740" s="1"/>
      <c r="G28740" s="1"/>
    </row>
    <row r="28741">
      <c r="B28741" s="36"/>
      <c r="C28741" s="36"/>
      <c r="E28741" s="1"/>
      <c r="F28741" s="1"/>
      <c r="G28741" s="1"/>
    </row>
    <row r="28742">
      <c r="B28742" s="36"/>
      <c r="C28742" s="36"/>
      <c r="E28742" s="1"/>
      <c r="F28742" s="1"/>
      <c r="G28742" s="1"/>
    </row>
    <row r="28743">
      <c r="B28743" s="36"/>
      <c r="C28743" s="36"/>
      <c r="E28743" s="1"/>
      <c r="F28743" s="1"/>
      <c r="G28743" s="1"/>
    </row>
    <row r="28744">
      <c r="B28744" s="36"/>
      <c r="C28744" s="36"/>
      <c r="E28744" s="1"/>
      <c r="F28744" s="1"/>
      <c r="G28744" s="1"/>
    </row>
    <row r="28745">
      <c r="B28745" s="36"/>
      <c r="C28745" s="36"/>
      <c r="E28745" s="1"/>
      <c r="F28745" s="1"/>
      <c r="G28745" s="1"/>
    </row>
    <row r="28746">
      <c r="B28746" s="36"/>
      <c r="C28746" s="36"/>
      <c r="E28746" s="1"/>
      <c r="F28746" s="1"/>
      <c r="G28746" s="1"/>
    </row>
    <row r="28747">
      <c r="B28747" s="36"/>
      <c r="C28747" s="36"/>
      <c r="E28747" s="1"/>
      <c r="F28747" s="1"/>
      <c r="G28747" s="1"/>
    </row>
    <row r="28748">
      <c r="B28748" s="36"/>
      <c r="C28748" s="36"/>
      <c r="E28748" s="1"/>
      <c r="F28748" s="1"/>
      <c r="G28748" s="1"/>
    </row>
    <row r="28749">
      <c r="B28749" s="36"/>
      <c r="C28749" s="36"/>
      <c r="E28749" s="1"/>
      <c r="F28749" s="1"/>
      <c r="G28749" s="1"/>
    </row>
    <row r="28750">
      <c r="B28750" s="36"/>
      <c r="C28750" s="36"/>
      <c r="E28750" s="1"/>
      <c r="F28750" s="1"/>
      <c r="G28750" s="1"/>
    </row>
    <row r="28751">
      <c r="B28751" s="36"/>
      <c r="C28751" s="36"/>
      <c r="E28751" s="1"/>
      <c r="F28751" s="1"/>
      <c r="G28751" s="1"/>
    </row>
    <row r="28752">
      <c r="B28752" s="36"/>
      <c r="C28752" s="36"/>
      <c r="E28752" s="1"/>
      <c r="F28752" s="1"/>
      <c r="G28752" s="1"/>
    </row>
    <row r="28753">
      <c r="B28753" s="36"/>
      <c r="C28753" s="36"/>
      <c r="E28753" s="1"/>
      <c r="F28753" s="1"/>
      <c r="G28753" s="1"/>
    </row>
    <row r="28754">
      <c r="B28754" s="36"/>
      <c r="C28754" s="36"/>
      <c r="E28754" s="1"/>
      <c r="F28754" s="1"/>
      <c r="G28754" s="1"/>
    </row>
    <row r="28755">
      <c r="B28755" s="36"/>
      <c r="C28755" s="36"/>
      <c r="E28755" s="1"/>
      <c r="F28755" s="1"/>
      <c r="G28755" s="1"/>
    </row>
    <row r="28756">
      <c r="B28756" s="36"/>
      <c r="C28756" s="36"/>
      <c r="E28756" s="1"/>
      <c r="F28756" s="1"/>
      <c r="G28756" s="1"/>
    </row>
    <row r="28757">
      <c r="B28757" s="36"/>
      <c r="C28757" s="36"/>
      <c r="E28757" s="1"/>
      <c r="F28757" s="1"/>
      <c r="G28757" s="1"/>
    </row>
    <row r="28758">
      <c r="B28758" s="36"/>
      <c r="C28758" s="36"/>
      <c r="E28758" s="1"/>
      <c r="F28758" s="1"/>
      <c r="G28758" s="1"/>
    </row>
    <row r="28759">
      <c r="B28759" s="36"/>
      <c r="C28759" s="36"/>
      <c r="E28759" s="1"/>
      <c r="F28759" s="1"/>
      <c r="G28759" s="1"/>
    </row>
    <row r="28760">
      <c r="B28760" s="36"/>
      <c r="C28760" s="36"/>
      <c r="E28760" s="1"/>
      <c r="F28760" s="1"/>
      <c r="G28760" s="1"/>
    </row>
    <row r="28761">
      <c r="B28761" s="36"/>
      <c r="C28761" s="36"/>
      <c r="E28761" s="1"/>
      <c r="F28761" s="1"/>
      <c r="G28761" s="1"/>
    </row>
    <row r="28762">
      <c r="B28762" s="36"/>
      <c r="C28762" s="36"/>
      <c r="E28762" s="1"/>
      <c r="F28762" s="1"/>
      <c r="G28762" s="1"/>
    </row>
    <row r="28763">
      <c r="B28763" s="36"/>
      <c r="C28763" s="36"/>
      <c r="E28763" s="1"/>
      <c r="F28763" s="1"/>
      <c r="G28763" s="1"/>
    </row>
    <row r="28764">
      <c r="B28764" s="36"/>
      <c r="C28764" s="36"/>
      <c r="E28764" s="1"/>
      <c r="F28764" s="1"/>
      <c r="G28764" s="1"/>
    </row>
    <row r="28765">
      <c r="B28765" s="36"/>
      <c r="C28765" s="36"/>
      <c r="E28765" s="1"/>
      <c r="F28765" s="1"/>
      <c r="G28765" s="1"/>
    </row>
    <row r="28766">
      <c r="B28766" s="36"/>
      <c r="C28766" s="36"/>
      <c r="E28766" s="1"/>
      <c r="F28766" s="1"/>
      <c r="G28766" s="1"/>
    </row>
    <row r="28767">
      <c r="B28767" s="36"/>
      <c r="C28767" s="36"/>
      <c r="E28767" s="1"/>
      <c r="F28767" s="1"/>
      <c r="G28767" s="1"/>
    </row>
    <row r="28768">
      <c r="B28768" s="36"/>
      <c r="C28768" s="36"/>
      <c r="E28768" s="1"/>
      <c r="F28768" s="1"/>
      <c r="G28768" s="1"/>
    </row>
    <row r="28769">
      <c r="B28769" s="36"/>
      <c r="C28769" s="36"/>
      <c r="E28769" s="1"/>
      <c r="F28769" s="1"/>
      <c r="G28769" s="1"/>
    </row>
    <row r="28770">
      <c r="B28770" s="36"/>
      <c r="C28770" s="36"/>
      <c r="E28770" s="1"/>
      <c r="F28770" s="1"/>
      <c r="G28770" s="1"/>
    </row>
    <row r="28771">
      <c r="B28771" s="36"/>
      <c r="C28771" s="36"/>
      <c r="E28771" s="1"/>
      <c r="F28771" s="1"/>
      <c r="G28771" s="1"/>
    </row>
    <row r="28772">
      <c r="B28772" s="36"/>
      <c r="C28772" s="36"/>
      <c r="E28772" s="1"/>
      <c r="F28772" s="1"/>
      <c r="G28772" s="1"/>
    </row>
    <row r="28773">
      <c r="B28773" s="36"/>
      <c r="C28773" s="36"/>
      <c r="E28773" s="1"/>
      <c r="F28773" s="1"/>
      <c r="G28773" s="1"/>
    </row>
    <row r="28774">
      <c r="B28774" s="36"/>
      <c r="C28774" s="36"/>
      <c r="E28774" s="1"/>
      <c r="F28774" s="1"/>
      <c r="G28774" s="1"/>
    </row>
    <row r="28775">
      <c r="B28775" s="36"/>
      <c r="C28775" s="36"/>
      <c r="E28775" s="1"/>
      <c r="F28775" s="1"/>
      <c r="G28775" s="1"/>
    </row>
    <row r="28776">
      <c r="B28776" s="36"/>
      <c r="C28776" s="36"/>
      <c r="E28776" s="1"/>
      <c r="F28776" s="1"/>
      <c r="G28776" s="1"/>
    </row>
    <row r="28777">
      <c r="B28777" s="36"/>
      <c r="C28777" s="36"/>
      <c r="E28777" s="1"/>
      <c r="F28777" s="1"/>
      <c r="G28777" s="1"/>
    </row>
    <row r="28778">
      <c r="B28778" s="36"/>
      <c r="C28778" s="36"/>
      <c r="E28778" s="1"/>
      <c r="F28778" s="1"/>
      <c r="G28778" s="1"/>
    </row>
    <row r="28779">
      <c r="B28779" s="36"/>
      <c r="C28779" s="36"/>
      <c r="E28779" s="1"/>
      <c r="F28779" s="1"/>
      <c r="G28779" s="1"/>
    </row>
    <row r="28780">
      <c r="B28780" s="36"/>
      <c r="C28780" s="36"/>
      <c r="E28780" s="1"/>
      <c r="F28780" s="1"/>
      <c r="G28780" s="1"/>
    </row>
    <row r="28781">
      <c r="B28781" s="36"/>
      <c r="C28781" s="36"/>
      <c r="E28781" s="1"/>
      <c r="F28781" s="1"/>
      <c r="G28781" s="1"/>
    </row>
    <row r="28782">
      <c r="B28782" s="36"/>
      <c r="C28782" s="36"/>
      <c r="E28782" s="1"/>
      <c r="F28782" s="1"/>
      <c r="G28782" s="1"/>
    </row>
    <row r="28783">
      <c r="B28783" s="36"/>
      <c r="C28783" s="36"/>
      <c r="E28783" s="1"/>
      <c r="F28783" s="1"/>
      <c r="G28783" s="1"/>
    </row>
    <row r="28784">
      <c r="B28784" s="36"/>
      <c r="C28784" s="36"/>
      <c r="E28784" s="1"/>
      <c r="F28784" s="1"/>
      <c r="G28784" s="1"/>
    </row>
    <row r="28785">
      <c r="B28785" s="36"/>
      <c r="C28785" s="36"/>
      <c r="E28785" s="1"/>
      <c r="F28785" s="1"/>
      <c r="G28785" s="1"/>
    </row>
    <row r="28786">
      <c r="B28786" s="36"/>
      <c r="C28786" s="36"/>
      <c r="E28786" s="1"/>
      <c r="F28786" s="1"/>
      <c r="G28786" s="1"/>
    </row>
    <row r="28787">
      <c r="B28787" s="36"/>
      <c r="C28787" s="36"/>
      <c r="E28787" s="1"/>
      <c r="F28787" s="1"/>
      <c r="G28787" s="1"/>
    </row>
    <row r="28788">
      <c r="B28788" s="36"/>
      <c r="C28788" s="36"/>
      <c r="E28788" s="1"/>
      <c r="F28788" s="1"/>
      <c r="G28788" s="1"/>
    </row>
    <row r="28789">
      <c r="B28789" s="36"/>
      <c r="C28789" s="36"/>
      <c r="E28789" s="1"/>
      <c r="F28789" s="1"/>
      <c r="G28789" s="1"/>
    </row>
    <row r="28790">
      <c r="B28790" s="36"/>
      <c r="C28790" s="36"/>
      <c r="E28790" s="1"/>
      <c r="F28790" s="1"/>
      <c r="G28790" s="1"/>
    </row>
    <row r="28791">
      <c r="B28791" s="36"/>
      <c r="C28791" s="36"/>
      <c r="E28791" s="1"/>
      <c r="F28791" s="1"/>
      <c r="G28791" s="1"/>
    </row>
    <row r="28792">
      <c r="B28792" s="36"/>
      <c r="C28792" s="36"/>
      <c r="E28792" s="1"/>
      <c r="F28792" s="1"/>
      <c r="G28792" s="1"/>
    </row>
    <row r="28793">
      <c r="B28793" s="36"/>
      <c r="C28793" s="36"/>
      <c r="E28793" s="1"/>
      <c r="F28793" s="1"/>
      <c r="G28793" s="1"/>
    </row>
    <row r="28794">
      <c r="B28794" s="36"/>
      <c r="C28794" s="36"/>
      <c r="E28794" s="1"/>
      <c r="F28794" s="1"/>
      <c r="G28794" s="1"/>
    </row>
    <row r="28795">
      <c r="B28795" s="36"/>
      <c r="C28795" s="36"/>
      <c r="E28795" s="1"/>
      <c r="F28795" s="1"/>
      <c r="G28795" s="1"/>
    </row>
    <row r="28796">
      <c r="B28796" s="36"/>
      <c r="C28796" s="36"/>
      <c r="E28796" s="1"/>
      <c r="F28796" s="1"/>
      <c r="G28796" s="1"/>
    </row>
    <row r="28797">
      <c r="B28797" s="36"/>
      <c r="C28797" s="36"/>
      <c r="E28797" s="1"/>
      <c r="F28797" s="1"/>
      <c r="G28797" s="1"/>
    </row>
    <row r="28798">
      <c r="B28798" s="36"/>
      <c r="C28798" s="36"/>
      <c r="E28798" s="1"/>
      <c r="F28798" s="1"/>
      <c r="G28798" s="1"/>
    </row>
    <row r="28799">
      <c r="B28799" s="36"/>
      <c r="C28799" s="36"/>
      <c r="E28799" s="1"/>
      <c r="F28799" s="1"/>
      <c r="G28799" s="1"/>
    </row>
    <row r="28800">
      <c r="B28800" s="36"/>
      <c r="C28800" s="36"/>
      <c r="E28800" s="1"/>
      <c r="F28800" s="1"/>
      <c r="G28800" s="1"/>
    </row>
    <row r="28801">
      <c r="B28801" s="36"/>
      <c r="C28801" s="36"/>
      <c r="E28801" s="1"/>
      <c r="F28801" s="1"/>
      <c r="G28801" s="1"/>
    </row>
    <row r="28802">
      <c r="B28802" s="36"/>
      <c r="C28802" s="36"/>
      <c r="E28802" s="1"/>
      <c r="F28802" s="1"/>
      <c r="G28802" s="1"/>
    </row>
    <row r="28803">
      <c r="B28803" s="36"/>
      <c r="C28803" s="36"/>
      <c r="E28803" s="1"/>
      <c r="F28803" s="1"/>
      <c r="G28803" s="1"/>
    </row>
    <row r="28804">
      <c r="B28804" s="36"/>
      <c r="C28804" s="36"/>
      <c r="E28804" s="1"/>
      <c r="F28804" s="1"/>
      <c r="G28804" s="1"/>
    </row>
    <row r="28805">
      <c r="B28805" s="36"/>
      <c r="C28805" s="36"/>
      <c r="E28805" s="1"/>
      <c r="F28805" s="1"/>
      <c r="G28805" s="1"/>
    </row>
    <row r="28806">
      <c r="B28806" s="36"/>
      <c r="C28806" s="36"/>
      <c r="E28806" s="1"/>
      <c r="F28806" s="1"/>
      <c r="G28806" s="1"/>
    </row>
    <row r="28807">
      <c r="B28807" s="36"/>
      <c r="C28807" s="36"/>
      <c r="E28807" s="1"/>
      <c r="F28807" s="1"/>
      <c r="G28807" s="1"/>
    </row>
    <row r="28808">
      <c r="B28808" s="36"/>
      <c r="C28808" s="36"/>
      <c r="E28808" s="1"/>
      <c r="F28808" s="1"/>
      <c r="G28808" s="1"/>
    </row>
    <row r="28809">
      <c r="B28809" s="36"/>
      <c r="C28809" s="36"/>
      <c r="E28809" s="1"/>
      <c r="F28809" s="1"/>
      <c r="G28809" s="1"/>
    </row>
    <row r="28810">
      <c r="B28810" s="36"/>
      <c r="C28810" s="36"/>
      <c r="E28810" s="1"/>
      <c r="F28810" s="1"/>
      <c r="G28810" s="1"/>
    </row>
    <row r="28811">
      <c r="B28811" s="36"/>
      <c r="C28811" s="36"/>
      <c r="E28811" s="1"/>
      <c r="F28811" s="1"/>
      <c r="G28811" s="1"/>
    </row>
    <row r="28812">
      <c r="B28812" s="36"/>
      <c r="C28812" s="36"/>
      <c r="E28812" s="1"/>
      <c r="F28812" s="1"/>
      <c r="G28812" s="1"/>
    </row>
    <row r="28813">
      <c r="B28813" s="36"/>
      <c r="C28813" s="36"/>
      <c r="E28813" s="1"/>
      <c r="F28813" s="1"/>
      <c r="G28813" s="1"/>
    </row>
    <row r="28814">
      <c r="B28814" s="36"/>
      <c r="C28814" s="36"/>
      <c r="E28814" s="1"/>
      <c r="F28814" s="1"/>
      <c r="G28814" s="1"/>
    </row>
    <row r="28815">
      <c r="B28815" s="36"/>
      <c r="C28815" s="36"/>
      <c r="E28815" s="1"/>
      <c r="F28815" s="1"/>
      <c r="G28815" s="1"/>
    </row>
    <row r="28816">
      <c r="B28816" s="36"/>
      <c r="C28816" s="36"/>
      <c r="E28816" s="1"/>
      <c r="F28816" s="1"/>
      <c r="G28816" s="1"/>
    </row>
    <row r="28817">
      <c r="B28817" s="36"/>
      <c r="C28817" s="36"/>
      <c r="E28817" s="1"/>
      <c r="F28817" s="1"/>
      <c r="G28817" s="1"/>
    </row>
    <row r="28818">
      <c r="B28818" s="36"/>
      <c r="C28818" s="36"/>
      <c r="E28818" s="1"/>
      <c r="F28818" s="1"/>
      <c r="G28818" s="1"/>
    </row>
    <row r="28819">
      <c r="B28819" s="36"/>
      <c r="C28819" s="36"/>
      <c r="E28819" s="1"/>
      <c r="F28819" s="1"/>
      <c r="G28819" s="1"/>
    </row>
    <row r="28820">
      <c r="B28820" s="36"/>
      <c r="C28820" s="36"/>
      <c r="E28820" s="1"/>
      <c r="F28820" s="1"/>
      <c r="G28820" s="1"/>
    </row>
    <row r="28821">
      <c r="B28821" s="36"/>
      <c r="C28821" s="36"/>
      <c r="E28821" s="1"/>
      <c r="F28821" s="1"/>
      <c r="G28821" s="1"/>
    </row>
    <row r="28822">
      <c r="B28822" s="36"/>
      <c r="C28822" s="36"/>
      <c r="E28822" s="1"/>
      <c r="F28822" s="1"/>
      <c r="G28822" s="1"/>
    </row>
    <row r="28823">
      <c r="B28823" s="36"/>
      <c r="C28823" s="36"/>
      <c r="E28823" s="1"/>
      <c r="F28823" s="1"/>
      <c r="G28823" s="1"/>
    </row>
    <row r="28824">
      <c r="B28824" s="36"/>
      <c r="C28824" s="36"/>
      <c r="E28824" s="1"/>
      <c r="F28824" s="1"/>
      <c r="G28824" s="1"/>
    </row>
    <row r="28825">
      <c r="B28825" s="36"/>
      <c r="C28825" s="36"/>
      <c r="E28825" s="1"/>
      <c r="F28825" s="1"/>
      <c r="G28825" s="1"/>
    </row>
    <row r="28826">
      <c r="B28826" s="36"/>
      <c r="C28826" s="36"/>
      <c r="E28826" s="1"/>
      <c r="F28826" s="1"/>
      <c r="G28826" s="1"/>
    </row>
    <row r="28827">
      <c r="B28827" s="36"/>
      <c r="C28827" s="36"/>
      <c r="E28827" s="1"/>
      <c r="F28827" s="1"/>
      <c r="G28827" s="1"/>
    </row>
    <row r="28828">
      <c r="B28828" s="36"/>
      <c r="C28828" s="36"/>
      <c r="E28828" s="1"/>
      <c r="F28828" s="1"/>
      <c r="G28828" s="1"/>
    </row>
    <row r="28829">
      <c r="B28829" s="36"/>
      <c r="C28829" s="36"/>
      <c r="E28829" s="1"/>
      <c r="F28829" s="1"/>
      <c r="G28829" s="1"/>
    </row>
    <row r="28830">
      <c r="B28830" s="36"/>
      <c r="C28830" s="36"/>
      <c r="E28830" s="1"/>
      <c r="F28830" s="1"/>
      <c r="G28830" s="1"/>
    </row>
    <row r="28831">
      <c r="B28831" s="36"/>
      <c r="C28831" s="36"/>
      <c r="E28831" s="1"/>
      <c r="F28831" s="1"/>
      <c r="G28831" s="1"/>
    </row>
    <row r="28832">
      <c r="B28832" s="36"/>
      <c r="C28832" s="36"/>
      <c r="E28832" s="1"/>
      <c r="F28832" s="1"/>
      <c r="G28832" s="1"/>
    </row>
    <row r="28833">
      <c r="B28833" s="36"/>
      <c r="C28833" s="36"/>
      <c r="E28833" s="1"/>
      <c r="F28833" s="1"/>
      <c r="G28833" s="1"/>
    </row>
    <row r="28834">
      <c r="B28834" s="36"/>
      <c r="C28834" s="36"/>
      <c r="E28834" s="1"/>
      <c r="F28834" s="1"/>
      <c r="G28834" s="1"/>
    </row>
    <row r="28835">
      <c r="B28835" s="36"/>
      <c r="C28835" s="36"/>
      <c r="E28835" s="1"/>
      <c r="F28835" s="1"/>
      <c r="G28835" s="1"/>
    </row>
    <row r="28836">
      <c r="B28836" s="36"/>
      <c r="C28836" s="36"/>
      <c r="E28836" s="1"/>
      <c r="F28836" s="1"/>
      <c r="G28836" s="1"/>
    </row>
    <row r="28837">
      <c r="B28837" s="36"/>
      <c r="C28837" s="36"/>
      <c r="E28837" s="1"/>
      <c r="F28837" s="1"/>
      <c r="G28837" s="1"/>
    </row>
    <row r="28838">
      <c r="B28838" s="36"/>
      <c r="C28838" s="36"/>
      <c r="E28838" s="1"/>
      <c r="F28838" s="1"/>
      <c r="G28838" s="1"/>
    </row>
    <row r="28839">
      <c r="B28839" s="36"/>
      <c r="C28839" s="36"/>
      <c r="E28839" s="1"/>
      <c r="F28839" s="1"/>
      <c r="G28839" s="1"/>
    </row>
    <row r="28840">
      <c r="B28840" s="36"/>
      <c r="C28840" s="36"/>
      <c r="E28840" s="1"/>
      <c r="F28840" s="1"/>
      <c r="G28840" s="1"/>
    </row>
    <row r="28841">
      <c r="B28841" s="36"/>
      <c r="C28841" s="36"/>
      <c r="E28841" s="1"/>
      <c r="F28841" s="1"/>
      <c r="G28841" s="1"/>
    </row>
    <row r="28842">
      <c r="B28842" s="36"/>
      <c r="C28842" s="36"/>
      <c r="E28842" s="1"/>
      <c r="F28842" s="1"/>
      <c r="G28842" s="1"/>
    </row>
    <row r="28843">
      <c r="B28843" s="36"/>
      <c r="C28843" s="36"/>
      <c r="E28843" s="1"/>
      <c r="F28843" s="1"/>
      <c r="G28843" s="1"/>
    </row>
    <row r="28844">
      <c r="B28844" s="36"/>
      <c r="C28844" s="36"/>
      <c r="E28844" s="1"/>
      <c r="F28844" s="1"/>
      <c r="G28844" s="1"/>
    </row>
    <row r="28845">
      <c r="B28845" s="36"/>
      <c r="C28845" s="36"/>
      <c r="E28845" s="1"/>
      <c r="F28845" s="1"/>
      <c r="G28845" s="1"/>
    </row>
    <row r="28846">
      <c r="B28846" s="36"/>
      <c r="C28846" s="36"/>
      <c r="E28846" s="1"/>
      <c r="F28846" s="1"/>
      <c r="G28846" s="1"/>
    </row>
    <row r="28847">
      <c r="B28847" s="36"/>
      <c r="C28847" s="36"/>
      <c r="E28847" s="1"/>
      <c r="F28847" s="1"/>
      <c r="G28847" s="1"/>
    </row>
    <row r="28848">
      <c r="B28848" s="36"/>
      <c r="C28848" s="36"/>
      <c r="E28848" s="1"/>
      <c r="F28848" s="1"/>
      <c r="G28848" s="1"/>
    </row>
    <row r="28849">
      <c r="B28849" s="36"/>
      <c r="C28849" s="36"/>
      <c r="E28849" s="1"/>
      <c r="F28849" s="1"/>
      <c r="G28849" s="1"/>
    </row>
    <row r="28850">
      <c r="B28850" s="36"/>
      <c r="C28850" s="36"/>
      <c r="E28850" s="1"/>
      <c r="F28850" s="1"/>
      <c r="G28850" s="1"/>
    </row>
    <row r="28851">
      <c r="B28851" s="36"/>
      <c r="C28851" s="36"/>
      <c r="E28851" s="1"/>
      <c r="F28851" s="1"/>
      <c r="G28851" s="1"/>
    </row>
    <row r="28852">
      <c r="B28852" s="36"/>
      <c r="C28852" s="36"/>
      <c r="E28852" s="1"/>
      <c r="F28852" s="1"/>
      <c r="G28852" s="1"/>
    </row>
    <row r="28853">
      <c r="B28853" s="36"/>
      <c r="C28853" s="36"/>
      <c r="E28853" s="1"/>
      <c r="F28853" s="1"/>
      <c r="G28853" s="1"/>
    </row>
    <row r="28854">
      <c r="B28854" s="36"/>
      <c r="C28854" s="36"/>
      <c r="E28854" s="1"/>
      <c r="F28854" s="1"/>
      <c r="G28854" s="1"/>
    </row>
    <row r="28855">
      <c r="B28855" s="36"/>
      <c r="C28855" s="36"/>
      <c r="E28855" s="1"/>
      <c r="F28855" s="1"/>
      <c r="G28855" s="1"/>
    </row>
    <row r="28856">
      <c r="B28856" s="36"/>
      <c r="C28856" s="36"/>
      <c r="E28856" s="1"/>
      <c r="F28856" s="1"/>
      <c r="G28856" s="1"/>
    </row>
    <row r="28857">
      <c r="B28857" s="36"/>
      <c r="C28857" s="36"/>
      <c r="E28857" s="1"/>
      <c r="F28857" s="1"/>
      <c r="G28857" s="1"/>
    </row>
    <row r="28858">
      <c r="B28858" s="36"/>
      <c r="C28858" s="36"/>
      <c r="E28858" s="1"/>
      <c r="F28858" s="1"/>
      <c r="G28858" s="1"/>
    </row>
    <row r="28859">
      <c r="B28859" s="36"/>
      <c r="C28859" s="36"/>
      <c r="E28859" s="1"/>
      <c r="F28859" s="1"/>
      <c r="G28859" s="1"/>
    </row>
    <row r="28860">
      <c r="B28860" s="36"/>
      <c r="C28860" s="36"/>
      <c r="E28860" s="1"/>
      <c r="F28860" s="1"/>
      <c r="G28860" s="1"/>
    </row>
    <row r="28861">
      <c r="B28861" s="36"/>
      <c r="C28861" s="36"/>
      <c r="E28861" s="1"/>
      <c r="F28861" s="1"/>
      <c r="G28861" s="1"/>
    </row>
    <row r="28862">
      <c r="B28862" s="36"/>
      <c r="C28862" s="36"/>
      <c r="E28862" s="1"/>
      <c r="F28862" s="1"/>
      <c r="G28862" s="1"/>
    </row>
    <row r="28863">
      <c r="B28863" s="36"/>
      <c r="C28863" s="36"/>
      <c r="E28863" s="1"/>
      <c r="F28863" s="1"/>
      <c r="G28863" s="1"/>
    </row>
    <row r="28864">
      <c r="B28864" s="36"/>
      <c r="C28864" s="36"/>
      <c r="E28864" s="1"/>
      <c r="F28864" s="1"/>
      <c r="G28864" s="1"/>
    </row>
    <row r="28865">
      <c r="B28865" s="36"/>
      <c r="C28865" s="36"/>
      <c r="E28865" s="1"/>
      <c r="F28865" s="1"/>
      <c r="G28865" s="1"/>
    </row>
    <row r="28866">
      <c r="B28866" s="36"/>
      <c r="C28866" s="36"/>
      <c r="E28866" s="1"/>
      <c r="F28866" s="1"/>
      <c r="G28866" s="1"/>
    </row>
    <row r="28867">
      <c r="B28867" s="36"/>
      <c r="C28867" s="36"/>
      <c r="E28867" s="1"/>
      <c r="F28867" s="1"/>
      <c r="G28867" s="1"/>
    </row>
    <row r="28868">
      <c r="B28868" s="36"/>
      <c r="C28868" s="36"/>
      <c r="E28868" s="1"/>
      <c r="F28868" s="1"/>
      <c r="G28868" s="1"/>
    </row>
    <row r="28869">
      <c r="B28869" s="36"/>
      <c r="C28869" s="36"/>
      <c r="E28869" s="1"/>
      <c r="F28869" s="1"/>
      <c r="G28869" s="1"/>
    </row>
    <row r="28870">
      <c r="B28870" s="36"/>
      <c r="C28870" s="36"/>
      <c r="E28870" s="1"/>
      <c r="F28870" s="1"/>
      <c r="G28870" s="1"/>
    </row>
    <row r="28871">
      <c r="B28871" s="36"/>
      <c r="C28871" s="36"/>
      <c r="E28871" s="1"/>
      <c r="F28871" s="1"/>
      <c r="G28871" s="1"/>
    </row>
    <row r="28872">
      <c r="B28872" s="36"/>
      <c r="C28872" s="36"/>
      <c r="E28872" s="1"/>
      <c r="F28872" s="1"/>
      <c r="G28872" s="1"/>
    </row>
    <row r="28873">
      <c r="B28873" s="36"/>
      <c r="C28873" s="36"/>
      <c r="E28873" s="1"/>
      <c r="F28873" s="1"/>
      <c r="G28873" s="1"/>
    </row>
    <row r="28874">
      <c r="B28874" s="36"/>
      <c r="C28874" s="36"/>
      <c r="E28874" s="1"/>
      <c r="F28874" s="1"/>
      <c r="G28874" s="1"/>
    </row>
    <row r="28875">
      <c r="B28875" s="36"/>
      <c r="C28875" s="36"/>
      <c r="E28875" s="1"/>
      <c r="F28875" s="1"/>
      <c r="G28875" s="1"/>
    </row>
    <row r="28876">
      <c r="B28876" s="36"/>
      <c r="C28876" s="36"/>
      <c r="E28876" s="1"/>
      <c r="F28876" s="1"/>
      <c r="G28876" s="1"/>
    </row>
    <row r="28877">
      <c r="B28877" s="36"/>
      <c r="C28877" s="36"/>
      <c r="E28877" s="1"/>
      <c r="F28877" s="1"/>
      <c r="G28877" s="1"/>
    </row>
    <row r="28878">
      <c r="B28878" s="36"/>
      <c r="C28878" s="36"/>
      <c r="E28878" s="1"/>
      <c r="F28878" s="1"/>
      <c r="G28878" s="1"/>
    </row>
    <row r="28879">
      <c r="B28879" s="36"/>
      <c r="C28879" s="36"/>
      <c r="E28879" s="1"/>
      <c r="F28879" s="1"/>
      <c r="G28879" s="1"/>
    </row>
    <row r="28880">
      <c r="B28880" s="36"/>
      <c r="C28880" s="36"/>
      <c r="E28880" s="1"/>
      <c r="F28880" s="1"/>
      <c r="G28880" s="1"/>
    </row>
    <row r="28881">
      <c r="B28881" s="36"/>
      <c r="C28881" s="36"/>
      <c r="E28881" s="1"/>
      <c r="F28881" s="1"/>
      <c r="G28881" s="1"/>
    </row>
    <row r="28882">
      <c r="B28882" s="36"/>
      <c r="C28882" s="36"/>
      <c r="E28882" s="1"/>
      <c r="F28882" s="1"/>
      <c r="G28882" s="1"/>
    </row>
    <row r="28883">
      <c r="B28883" s="36"/>
      <c r="C28883" s="36"/>
      <c r="E28883" s="1"/>
      <c r="F28883" s="1"/>
      <c r="G28883" s="1"/>
    </row>
    <row r="28884">
      <c r="B28884" s="36"/>
      <c r="C28884" s="36"/>
      <c r="E28884" s="1"/>
      <c r="F28884" s="1"/>
      <c r="G28884" s="1"/>
    </row>
    <row r="28885">
      <c r="B28885" s="36"/>
      <c r="C28885" s="36"/>
      <c r="E28885" s="1"/>
      <c r="F28885" s="1"/>
      <c r="G28885" s="1"/>
    </row>
    <row r="28886">
      <c r="B28886" s="36"/>
      <c r="C28886" s="36"/>
      <c r="E28886" s="1"/>
      <c r="F28886" s="1"/>
      <c r="G28886" s="1"/>
    </row>
    <row r="28887">
      <c r="B28887" s="36"/>
      <c r="C28887" s="36"/>
      <c r="E28887" s="1"/>
      <c r="F28887" s="1"/>
      <c r="G28887" s="1"/>
    </row>
    <row r="28888">
      <c r="B28888" s="36"/>
      <c r="C28888" s="36"/>
      <c r="E28888" s="1"/>
      <c r="F28888" s="1"/>
      <c r="G28888" s="1"/>
    </row>
    <row r="28889">
      <c r="B28889" s="36"/>
      <c r="C28889" s="36"/>
      <c r="E28889" s="1"/>
      <c r="F28889" s="1"/>
      <c r="G28889" s="1"/>
    </row>
    <row r="28890">
      <c r="B28890" s="36"/>
      <c r="C28890" s="36"/>
      <c r="E28890" s="1"/>
      <c r="F28890" s="1"/>
      <c r="G28890" s="1"/>
    </row>
    <row r="28891">
      <c r="B28891" s="36"/>
      <c r="C28891" s="36"/>
      <c r="E28891" s="1"/>
      <c r="F28891" s="1"/>
      <c r="G28891" s="1"/>
    </row>
    <row r="28892">
      <c r="B28892" s="36"/>
      <c r="C28892" s="36"/>
      <c r="E28892" s="1"/>
      <c r="F28892" s="1"/>
      <c r="G28892" s="1"/>
    </row>
    <row r="28893">
      <c r="B28893" s="36"/>
      <c r="C28893" s="36"/>
      <c r="E28893" s="1"/>
      <c r="F28893" s="1"/>
      <c r="G28893" s="1"/>
    </row>
    <row r="28894">
      <c r="B28894" s="36"/>
      <c r="C28894" s="36"/>
      <c r="E28894" s="1"/>
      <c r="F28894" s="1"/>
      <c r="G28894" s="1"/>
    </row>
    <row r="28895">
      <c r="B28895" s="36"/>
      <c r="C28895" s="36"/>
      <c r="E28895" s="1"/>
      <c r="F28895" s="1"/>
      <c r="G28895" s="1"/>
    </row>
    <row r="28896">
      <c r="B28896" s="36"/>
      <c r="C28896" s="36"/>
      <c r="E28896" s="1"/>
      <c r="F28896" s="1"/>
      <c r="G28896" s="1"/>
    </row>
    <row r="28897">
      <c r="B28897" s="36"/>
      <c r="C28897" s="36"/>
      <c r="E28897" s="1"/>
      <c r="F28897" s="1"/>
      <c r="G28897" s="1"/>
    </row>
    <row r="28898">
      <c r="B28898" s="36"/>
      <c r="C28898" s="36"/>
      <c r="E28898" s="1"/>
      <c r="F28898" s="1"/>
      <c r="G28898" s="1"/>
    </row>
    <row r="28899">
      <c r="B28899" s="36"/>
      <c r="C28899" s="36"/>
      <c r="E28899" s="1"/>
      <c r="F28899" s="1"/>
      <c r="G28899" s="1"/>
    </row>
    <row r="28900">
      <c r="B28900" s="36"/>
      <c r="C28900" s="36"/>
      <c r="E28900" s="1"/>
      <c r="F28900" s="1"/>
      <c r="G28900" s="1"/>
    </row>
    <row r="28901">
      <c r="B28901" s="36"/>
      <c r="C28901" s="36"/>
      <c r="E28901" s="1"/>
      <c r="F28901" s="1"/>
      <c r="G28901" s="1"/>
    </row>
    <row r="28902">
      <c r="B28902" s="36"/>
      <c r="C28902" s="36"/>
      <c r="E28902" s="1"/>
      <c r="F28902" s="1"/>
      <c r="G28902" s="1"/>
    </row>
    <row r="28903">
      <c r="B28903" s="36"/>
      <c r="C28903" s="36"/>
      <c r="E28903" s="1"/>
      <c r="F28903" s="1"/>
      <c r="G28903" s="1"/>
    </row>
    <row r="28904">
      <c r="B28904" s="36"/>
      <c r="C28904" s="36"/>
      <c r="E28904" s="1"/>
      <c r="F28904" s="1"/>
      <c r="G28904" s="1"/>
    </row>
    <row r="28905">
      <c r="B28905" s="36"/>
      <c r="C28905" s="36"/>
      <c r="E28905" s="1"/>
      <c r="F28905" s="1"/>
      <c r="G28905" s="1"/>
    </row>
    <row r="28906">
      <c r="B28906" s="36"/>
      <c r="C28906" s="36"/>
      <c r="E28906" s="1"/>
      <c r="F28906" s="1"/>
      <c r="G28906" s="1"/>
    </row>
    <row r="28907">
      <c r="B28907" s="36"/>
      <c r="C28907" s="36"/>
      <c r="E28907" s="1"/>
      <c r="F28907" s="1"/>
      <c r="G28907" s="1"/>
    </row>
    <row r="28908">
      <c r="B28908" s="36"/>
      <c r="C28908" s="36"/>
      <c r="E28908" s="1"/>
      <c r="F28908" s="1"/>
      <c r="G28908" s="1"/>
    </row>
    <row r="28909">
      <c r="B28909" s="36"/>
      <c r="C28909" s="36"/>
      <c r="E28909" s="1"/>
      <c r="F28909" s="1"/>
      <c r="G28909" s="1"/>
    </row>
    <row r="28910">
      <c r="B28910" s="36"/>
      <c r="C28910" s="36"/>
      <c r="E28910" s="1"/>
      <c r="F28910" s="1"/>
      <c r="G28910" s="1"/>
    </row>
    <row r="28911">
      <c r="B28911" s="36"/>
      <c r="C28911" s="36"/>
      <c r="E28911" s="1"/>
      <c r="F28911" s="1"/>
      <c r="G28911" s="1"/>
    </row>
    <row r="28912">
      <c r="B28912" s="36"/>
      <c r="C28912" s="36"/>
      <c r="E28912" s="1"/>
      <c r="F28912" s="1"/>
      <c r="G28912" s="1"/>
    </row>
    <row r="28913">
      <c r="B28913" s="36"/>
      <c r="C28913" s="36"/>
      <c r="E28913" s="1"/>
      <c r="F28913" s="1"/>
      <c r="G28913" s="1"/>
    </row>
    <row r="28914">
      <c r="B28914" s="36"/>
      <c r="C28914" s="36"/>
      <c r="E28914" s="1"/>
      <c r="F28914" s="1"/>
      <c r="G28914" s="1"/>
    </row>
    <row r="28915">
      <c r="B28915" s="36"/>
      <c r="C28915" s="36"/>
      <c r="E28915" s="1"/>
      <c r="F28915" s="1"/>
      <c r="G28915" s="1"/>
    </row>
    <row r="28916">
      <c r="B28916" s="36"/>
      <c r="C28916" s="36"/>
      <c r="E28916" s="1"/>
      <c r="F28916" s="1"/>
      <c r="G28916" s="1"/>
    </row>
    <row r="28917">
      <c r="B28917" s="36"/>
      <c r="C28917" s="36"/>
      <c r="E28917" s="1"/>
      <c r="F28917" s="1"/>
      <c r="G28917" s="1"/>
    </row>
    <row r="28918">
      <c r="B28918" s="36"/>
      <c r="C28918" s="36"/>
      <c r="E28918" s="1"/>
      <c r="F28918" s="1"/>
      <c r="G28918" s="1"/>
    </row>
    <row r="28919">
      <c r="B28919" s="36"/>
      <c r="C28919" s="36"/>
      <c r="E28919" s="1"/>
      <c r="F28919" s="1"/>
      <c r="G28919" s="1"/>
    </row>
    <row r="28920">
      <c r="B28920" s="36"/>
      <c r="C28920" s="36"/>
      <c r="E28920" s="1"/>
      <c r="F28920" s="1"/>
      <c r="G28920" s="1"/>
    </row>
    <row r="28921">
      <c r="B28921" s="36"/>
      <c r="C28921" s="36"/>
      <c r="E28921" s="1"/>
      <c r="F28921" s="1"/>
      <c r="G28921" s="1"/>
    </row>
    <row r="28922">
      <c r="B28922" s="36"/>
      <c r="C28922" s="36"/>
      <c r="E28922" s="1"/>
      <c r="F28922" s="1"/>
      <c r="G28922" s="1"/>
    </row>
    <row r="28923">
      <c r="B28923" s="36"/>
      <c r="C28923" s="36"/>
      <c r="E28923" s="1"/>
      <c r="F28923" s="1"/>
      <c r="G28923" s="1"/>
    </row>
    <row r="28924">
      <c r="B28924" s="36"/>
      <c r="C28924" s="36"/>
      <c r="E28924" s="1"/>
      <c r="F28924" s="1"/>
      <c r="G28924" s="1"/>
    </row>
    <row r="28925">
      <c r="B28925" s="36"/>
      <c r="C28925" s="36"/>
      <c r="E28925" s="1"/>
      <c r="F28925" s="1"/>
      <c r="G28925" s="1"/>
    </row>
    <row r="28926">
      <c r="B28926" s="36"/>
      <c r="C28926" s="36"/>
      <c r="E28926" s="1"/>
      <c r="F28926" s="1"/>
      <c r="G28926" s="1"/>
    </row>
    <row r="28927">
      <c r="B28927" s="36"/>
      <c r="C28927" s="36"/>
      <c r="E28927" s="1"/>
      <c r="F28927" s="1"/>
      <c r="G28927" s="1"/>
    </row>
    <row r="28928">
      <c r="B28928" s="36"/>
      <c r="C28928" s="36"/>
      <c r="E28928" s="1"/>
      <c r="F28928" s="1"/>
      <c r="G28928" s="1"/>
    </row>
    <row r="28929">
      <c r="B28929" s="36"/>
      <c r="C28929" s="36"/>
      <c r="E28929" s="1"/>
      <c r="F28929" s="1"/>
      <c r="G28929" s="1"/>
    </row>
    <row r="28930">
      <c r="B28930" s="36"/>
      <c r="C28930" s="36"/>
      <c r="E28930" s="1"/>
      <c r="F28930" s="1"/>
      <c r="G28930" s="1"/>
    </row>
    <row r="28931">
      <c r="B28931" s="36"/>
      <c r="C28931" s="36"/>
      <c r="E28931" s="1"/>
      <c r="F28931" s="1"/>
      <c r="G28931" s="1"/>
    </row>
    <row r="28932">
      <c r="B28932" s="36"/>
      <c r="C28932" s="36"/>
      <c r="E28932" s="1"/>
      <c r="F28932" s="1"/>
      <c r="G28932" s="1"/>
    </row>
    <row r="28933">
      <c r="B28933" s="36"/>
      <c r="C28933" s="36"/>
      <c r="E28933" s="1"/>
      <c r="F28933" s="1"/>
      <c r="G28933" s="1"/>
    </row>
    <row r="28934">
      <c r="B28934" s="36"/>
      <c r="C28934" s="36"/>
      <c r="E28934" s="1"/>
      <c r="F28934" s="1"/>
      <c r="G28934" s="1"/>
    </row>
    <row r="28935">
      <c r="B28935" s="36"/>
      <c r="C28935" s="36"/>
      <c r="E28935" s="1"/>
      <c r="F28935" s="1"/>
      <c r="G28935" s="1"/>
    </row>
    <row r="28936">
      <c r="B28936" s="36"/>
      <c r="C28936" s="36"/>
      <c r="E28936" s="1"/>
      <c r="F28936" s="1"/>
      <c r="G28936" s="1"/>
    </row>
    <row r="28937">
      <c r="B28937" s="36"/>
      <c r="C28937" s="36"/>
      <c r="E28937" s="1"/>
      <c r="F28937" s="1"/>
      <c r="G28937" s="1"/>
    </row>
    <row r="28938">
      <c r="B28938" s="36"/>
      <c r="C28938" s="36"/>
      <c r="E28938" s="1"/>
      <c r="F28938" s="1"/>
      <c r="G28938" s="1"/>
    </row>
    <row r="28939">
      <c r="B28939" s="36"/>
      <c r="C28939" s="36"/>
      <c r="E28939" s="1"/>
      <c r="F28939" s="1"/>
      <c r="G28939" s="1"/>
    </row>
    <row r="28940">
      <c r="B28940" s="36"/>
      <c r="C28940" s="36"/>
      <c r="E28940" s="1"/>
      <c r="F28940" s="1"/>
      <c r="G28940" s="1"/>
    </row>
    <row r="28941">
      <c r="B28941" s="36"/>
      <c r="C28941" s="36"/>
      <c r="E28941" s="1"/>
      <c r="F28941" s="1"/>
      <c r="G28941" s="1"/>
    </row>
    <row r="28942">
      <c r="B28942" s="36"/>
      <c r="C28942" s="36"/>
      <c r="E28942" s="1"/>
      <c r="F28942" s="1"/>
      <c r="G28942" s="1"/>
    </row>
    <row r="28943">
      <c r="B28943" s="36"/>
      <c r="C28943" s="36"/>
      <c r="E28943" s="1"/>
      <c r="F28943" s="1"/>
      <c r="G28943" s="1"/>
    </row>
    <row r="28944">
      <c r="B28944" s="36"/>
      <c r="C28944" s="36"/>
      <c r="E28944" s="1"/>
      <c r="F28944" s="1"/>
      <c r="G28944" s="1"/>
    </row>
    <row r="28945">
      <c r="B28945" s="36"/>
      <c r="C28945" s="36"/>
      <c r="E28945" s="1"/>
      <c r="F28945" s="1"/>
      <c r="G28945" s="1"/>
    </row>
    <row r="28946">
      <c r="B28946" s="36"/>
      <c r="C28946" s="36"/>
      <c r="E28946" s="1"/>
      <c r="F28946" s="1"/>
      <c r="G28946" s="1"/>
    </row>
    <row r="28947">
      <c r="B28947" s="36"/>
      <c r="C28947" s="36"/>
      <c r="E28947" s="1"/>
      <c r="F28947" s="1"/>
      <c r="G28947" s="1"/>
    </row>
    <row r="28948">
      <c r="B28948" s="36"/>
      <c r="C28948" s="36"/>
      <c r="E28948" s="1"/>
      <c r="F28948" s="1"/>
      <c r="G28948" s="1"/>
    </row>
    <row r="28949">
      <c r="B28949" s="36"/>
      <c r="C28949" s="36"/>
      <c r="E28949" s="1"/>
      <c r="F28949" s="1"/>
      <c r="G28949" s="1"/>
    </row>
    <row r="28950">
      <c r="B28950" s="36"/>
      <c r="C28950" s="36"/>
      <c r="E28950" s="1"/>
      <c r="F28950" s="1"/>
      <c r="G28950" s="1"/>
    </row>
    <row r="28951">
      <c r="B28951" s="36"/>
      <c r="C28951" s="36"/>
      <c r="E28951" s="1"/>
      <c r="F28951" s="1"/>
      <c r="G28951" s="1"/>
    </row>
    <row r="28952">
      <c r="B28952" s="36"/>
      <c r="C28952" s="36"/>
      <c r="E28952" s="1"/>
      <c r="F28952" s="1"/>
      <c r="G28952" s="1"/>
    </row>
    <row r="28953">
      <c r="B28953" s="36"/>
      <c r="C28953" s="36"/>
      <c r="E28953" s="1"/>
      <c r="F28953" s="1"/>
      <c r="G28953" s="1"/>
    </row>
    <row r="28954">
      <c r="B28954" s="36"/>
      <c r="C28954" s="36"/>
      <c r="E28954" s="1"/>
      <c r="F28954" s="1"/>
      <c r="G28954" s="1"/>
    </row>
    <row r="28955">
      <c r="B28955" s="36"/>
      <c r="C28955" s="36"/>
      <c r="E28955" s="1"/>
      <c r="F28955" s="1"/>
      <c r="G28955" s="1"/>
    </row>
    <row r="28956">
      <c r="B28956" s="36"/>
      <c r="C28956" s="36"/>
      <c r="E28956" s="1"/>
      <c r="F28956" s="1"/>
      <c r="G28956" s="1"/>
    </row>
    <row r="28957">
      <c r="B28957" s="36"/>
      <c r="C28957" s="36"/>
      <c r="E28957" s="1"/>
      <c r="F28957" s="1"/>
      <c r="G28957" s="1"/>
    </row>
    <row r="28958">
      <c r="B28958" s="36"/>
      <c r="C28958" s="36"/>
      <c r="E28958" s="1"/>
      <c r="F28958" s="1"/>
      <c r="G28958" s="1"/>
    </row>
    <row r="28959">
      <c r="B28959" s="36"/>
      <c r="C28959" s="36"/>
      <c r="E28959" s="1"/>
      <c r="F28959" s="1"/>
      <c r="G28959" s="1"/>
    </row>
    <row r="28960">
      <c r="B28960" s="36"/>
      <c r="C28960" s="36"/>
      <c r="E28960" s="1"/>
      <c r="F28960" s="1"/>
      <c r="G28960" s="1"/>
    </row>
    <row r="28961">
      <c r="B28961" s="36"/>
      <c r="C28961" s="36"/>
      <c r="E28961" s="1"/>
      <c r="F28961" s="1"/>
      <c r="G28961" s="1"/>
    </row>
    <row r="28962">
      <c r="B28962" s="36"/>
      <c r="C28962" s="36"/>
      <c r="E28962" s="1"/>
      <c r="F28962" s="1"/>
      <c r="G28962" s="1"/>
    </row>
    <row r="28963">
      <c r="B28963" s="36"/>
      <c r="C28963" s="36"/>
      <c r="E28963" s="1"/>
      <c r="F28963" s="1"/>
      <c r="G28963" s="1"/>
    </row>
    <row r="28964">
      <c r="B28964" s="36"/>
      <c r="C28964" s="36"/>
      <c r="E28964" s="1"/>
      <c r="F28964" s="1"/>
      <c r="G28964" s="1"/>
    </row>
    <row r="28965">
      <c r="B28965" s="36"/>
      <c r="C28965" s="36"/>
      <c r="E28965" s="1"/>
      <c r="F28965" s="1"/>
      <c r="G28965" s="1"/>
    </row>
    <row r="28966">
      <c r="B28966" s="36"/>
      <c r="C28966" s="36"/>
      <c r="E28966" s="1"/>
      <c r="F28966" s="1"/>
      <c r="G28966" s="1"/>
    </row>
    <row r="28967">
      <c r="B28967" s="36"/>
      <c r="C28967" s="36"/>
      <c r="E28967" s="1"/>
      <c r="F28967" s="1"/>
      <c r="G28967" s="1"/>
    </row>
    <row r="28968">
      <c r="B28968" s="36"/>
      <c r="C28968" s="36"/>
      <c r="E28968" s="1"/>
      <c r="F28968" s="1"/>
      <c r="G28968" s="1"/>
    </row>
    <row r="28969">
      <c r="B28969" s="36"/>
      <c r="C28969" s="36"/>
      <c r="E28969" s="1"/>
      <c r="F28969" s="1"/>
      <c r="G28969" s="1"/>
    </row>
    <row r="28970">
      <c r="B28970" s="36"/>
      <c r="C28970" s="36"/>
      <c r="E28970" s="1"/>
      <c r="F28970" s="1"/>
      <c r="G28970" s="1"/>
    </row>
    <row r="28971">
      <c r="B28971" s="36"/>
      <c r="C28971" s="36"/>
      <c r="E28971" s="1"/>
      <c r="F28971" s="1"/>
      <c r="G28971" s="1"/>
    </row>
    <row r="28972">
      <c r="B28972" s="36"/>
      <c r="C28972" s="36"/>
      <c r="E28972" s="1"/>
      <c r="F28972" s="1"/>
      <c r="G28972" s="1"/>
    </row>
    <row r="28973">
      <c r="B28973" s="36"/>
      <c r="C28973" s="36"/>
      <c r="E28973" s="1"/>
      <c r="F28973" s="1"/>
      <c r="G28973" s="1"/>
    </row>
    <row r="28974">
      <c r="B28974" s="36"/>
      <c r="C28974" s="36"/>
      <c r="E28974" s="1"/>
      <c r="F28974" s="1"/>
      <c r="G28974" s="1"/>
    </row>
    <row r="28975">
      <c r="B28975" s="36"/>
      <c r="C28975" s="36"/>
      <c r="E28975" s="1"/>
      <c r="F28975" s="1"/>
      <c r="G28975" s="1"/>
    </row>
    <row r="28976">
      <c r="B28976" s="36"/>
      <c r="C28976" s="36"/>
      <c r="E28976" s="1"/>
      <c r="F28976" s="1"/>
      <c r="G28976" s="1"/>
    </row>
    <row r="28977">
      <c r="B28977" s="36"/>
      <c r="C28977" s="36"/>
      <c r="E28977" s="1"/>
      <c r="F28977" s="1"/>
      <c r="G28977" s="1"/>
    </row>
    <row r="28978">
      <c r="B28978" s="36"/>
      <c r="C28978" s="36"/>
      <c r="E28978" s="1"/>
      <c r="F28978" s="1"/>
      <c r="G28978" s="1"/>
    </row>
    <row r="28979">
      <c r="B28979" s="36"/>
      <c r="C28979" s="36"/>
      <c r="E28979" s="1"/>
      <c r="F28979" s="1"/>
      <c r="G28979" s="1"/>
    </row>
    <row r="28980">
      <c r="B28980" s="36"/>
      <c r="C28980" s="36"/>
      <c r="E28980" s="1"/>
      <c r="F28980" s="1"/>
      <c r="G28980" s="1"/>
    </row>
    <row r="28981">
      <c r="B28981" s="36"/>
      <c r="C28981" s="36"/>
      <c r="E28981" s="1"/>
      <c r="F28981" s="1"/>
      <c r="G28981" s="1"/>
    </row>
    <row r="28982">
      <c r="B28982" s="36"/>
      <c r="C28982" s="36"/>
      <c r="E28982" s="1"/>
      <c r="F28982" s="1"/>
      <c r="G28982" s="1"/>
    </row>
    <row r="28983">
      <c r="B28983" s="36"/>
      <c r="C28983" s="36"/>
      <c r="E28983" s="1"/>
      <c r="F28983" s="1"/>
      <c r="G28983" s="1"/>
    </row>
    <row r="28984">
      <c r="B28984" s="36"/>
      <c r="C28984" s="36"/>
      <c r="E28984" s="1"/>
      <c r="F28984" s="1"/>
      <c r="G28984" s="1"/>
    </row>
    <row r="28985">
      <c r="B28985" s="36"/>
      <c r="C28985" s="36"/>
      <c r="E28985" s="1"/>
      <c r="F28985" s="1"/>
      <c r="G28985" s="1"/>
    </row>
    <row r="28986">
      <c r="B28986" s="36"/>
      <c r="C28986" s="36"/>
      <c r="E28986" s="1"/>
      <c r="F28986" s="1"/>
      <c r="G28986" s="1"/>
    </row>
    <row r="28987">
      <c r="B28987" s="36"/>
      <c r="C28987" s="36"/>
      <c r="E28987" s="1"/>
      <c r="F28987" s="1"/>
      <c r="G28987" s="1"/>
    </row>
    <row r="28988">
      <c r="B28988" s="36"/>
      <c r="C28988" s="36"/>
      <c r="E28988" s="1"/>
      <c r="F28988" s="1"/>
      <c r="G28988" s="1"/>
    </row>
    <row r="28989">
      <c r="B28989" s="36"/>
      <c r="C28989" s="36"/>
      <c r="E28989" s="1"/>
      <c r="F28989" s="1"/>
      <c r="G28989" s="1"/>
    </row>
    <row r="28990">
      <c r="B28990" s="36"/>
      <c r="C28990" s="36"/>
      <c r="E28990" s="1"/>
      <c r="F28990" s="1"/>
      <c r="G28990" s="1"/>
    </row>
    <row r="28991">
      <c r="B28991" s="36"/>
      <c r="C28991" s="36"/>
      <c r="E28991" s="1"/>
      <c r="F28991" s="1"/>
      <c r="G28991" s="1"/>
    </row>
    <row r="28992">
      <c r="B28992" s="36"/>
      <c r="C28992" s="36"/>
      <c r="E28992" s="1"/>
      <c r="F28992" s="1"/>
      <c r="G28992" s="1"/>
    </row>
    <row r="28993">
      <c r="B28993" s="36"/>
      <c r="C28993" s="36"/>
      <c r="E28993" s="1"/>
      <c r="F28993" s="1"/>
      <c r="G28993" s="1"/>
    </row>
    <row r="28994">
      <c r="B28994" s="36"/>
      <c r="C28994" s="36"/>
      <c r="E28994" s="1"/>
      <c r="F28994" s="1"/>
      <c r="G28994" s="1"/>
    </row>
    <row r="28995">
      <c r="B28995" s="36"/>
      <c r="C28995" s="36"/>
      <c r="E28995" s="1"/>
      <c r="F28995" s="1"/>
      <c r="G28995" s="1"/>
    </row>
    <row r="28996">
      <c r="B28996" s="36"/>
      <c r="C28996" s="36"/>
      <c r="E28996" s="1"/>
      <c r="F28996" s="1"/>
      <c r="G28996" s="1"/>
    </row>
    <row r="28997">
      <c r="B28997" s="36"/>
      <c r="C28997" s="36"/>
      <c r="E28997" s="1"/>
      <c r="F28997" s="1"/>
      <c r="G28997" s="1"/>
    </row>
    <row r="28998">
      <c r="B28998" s="36"/>
      <c r="C28998" s="36"/>
      <c r="E28998" s="1"/>
      <c r="F28998" s="1"/>
      <c r="G28998" s="1"/>
    </row>
    <row r="28999">
      <c r="B28999" s="36"/>
      <c r="C28999" s="36"/>
      <c r="E28999" s="1"/>
      <c r="F28999" s="1"/>
      <c r="G28999" s="1"/>
    </row>
    <row r="29000">
      <c r="B29000" s="36"/>
      <c r="C29000" s="36"/>
      <c r="E29000" s="1"/>
      <c r="F29000" s="1"/>
      <c r="G29000" s="1"/>
    </row>
    <row r="29001">
      <c r="B29001" s="36"/>
      <c r="C29001" s="36"/>
      <c r="E29001" s="1"/>
      <c r="F29001" s="1"/>
      <c r="G29001" s="1"/>
    </row>
    <row r="29002">
      <c r="B29002" s="36"/>
      <c r="C29002" s="36"/>
      <c r="E29002" s="1"/>
      <c r="F29002" s="1"/>
      <c r="G29002" s="1"/>
    </row>
    <row r="29003">
      <c r="B29003" s="36"/>
      <c r="C29003" s="36"/>
      <c r="E29003" s="1"/>
      <c r="F29003" s="1"/>
      <c r="G29003" s="1"/>
    </row>
    <row r="29004">
      <c r="B29004" s="36"/>
      <c r="C29004" s="36"/>
      <c r="E29004" s="1"/>
      <c r="F29004" s="1"/>
      <c r="G29004" s="1"/>
    </row>
    <row r="29005">
      <c r="B29005" s="36"/>
      <c r="C29005" s="36"/>
      <c r="E29005" s="1"/>
      <c r="F29005" s="1"/>
      <c r="G29005" s="1"/>
    </row>
    <row r="29006">
      <c r="B29006" s="36"/>
      <c r="C29006" s="36"/>
      <c r="E29006" s="1"/>
      <c r="F29006" s="1"/>
      <c r="G29006" s="1"/>
    </row>
    <row r="29007">
      <c r="B29007" s="36"/>
      <c r="C29007" s="36"/>
      <c r="E29007" s="1"/>
      <c r="F29007" s="1"/>
      <c r="G29007" s="1"/>
    </row>
    <row r="29008">
      <c r="B29008" s="36"/>
      <c r="C29008" s="36"/>
      <c r="E29008" s="1"/>
      <c r="F29008" s="1"/>
      <c r="G29008" s="1"/>
    </row>
    <row r="29009">
      <c r="B29009" s="36"/>
      <c r="C29009" s="36"/>
      <c r="E29009" s="1"/>
      <c r="F29009" s="1"/>
      <c r="G29009" s="1"/>
    </row>
    <row r="29010">
      <c r="B29010" s="36"/>
      <c r="C29010" s="36"/>
      <c r="E29010" s="1"/>
      <c r="F29010" s="1"/>
      <c r="G29010" s="1"/>
    </row>
    <row r="29011">
      <c r="B29011" s="36"/>
      <c r="C29011" s="36"/>
      <c r="E29011" s="1"/>
      <c r="F29011" s="1"/>
      <c r="G29011" s="1"/>
    </row>
    <row r="29012">
      <c r="B29012" s="36"/>
      <c r="C29012" s="36"/>
      <c r="E29012" s="1"/>
      <c r="F29012" s="1"/>
      <c r="G29012" s="1"/>
    </row>
    <row r="29013">
      <c r="B29013" s="36"/>
      <c r="C29013" s="36"/>
      <c r="E29013" s="1"/>
      <c r="F29013" s="1"/>
      <c r="G29013" s="1"/>
    </row>
    <row r="29014">
      <c r="B29014" s="36"/>
      <c r="C29014" s="36"/>
      <c r="E29014" s="1"/>
      <c r="F29014" s="1"/>
      <c r="G29014" s="1"/>
    </row>
    <row r="29015">
      <c r="B29015" s="36"/>
      <c r="C29015" s="36"/>
      <c r="E29015" s="1"/>
      <c r="F29015" s="1"/>
      <c r="G29015" s="1"/>
    </row>
    <row r="29016">
      <c r="B29016" s="36"/>
      <c r="C29016" s="36"/>
      <c r="E29016" s="1"/>
      <c r="F29016" s="1"/>
      <c r="G29016" s="1"/>
    </row>
    <row r="29017">
      <c r="B29017" s="36"/>
      <c r="C29017" s="36"/>
      <c r="E29017" s="1"/>
      <c r="F29017" s="1"/>
      <c r="G29017" s="1"/>
    </row>
    <row r="29018">
      <c r="B29018" s="36"/>
      <c r="C29018" s="36"/>
      <c r="E29018" s="1"/>
      <c r="F29018" s="1"/>
      <c r="G29018" s="1"/>
    </row>
    <row r="29019">
      <c r="B29019" s="36"/>
      <c r="C29019" s="36"/>
      <c r="E29019" s="1"/>
      <c r="F29019" s="1"/>
      <c r="G29019" s="1"/>
    </row>
    <row r="29020">
      <c r="B29020" s="36"/>
      <c r="C29020" s="36"/>
      <c r="E29020" s="1"/>
      <c r="F29020" s="1"/>
      <c r="G29020" s="1"/>
    </row>
    <row r="29021">
      <c r="B29021" s="36"/>
      <c r="C29021" s="36"/>
      <c r="E29021" s="1"/>
      <c r="F29021" s="1"/>
      <c r="G29021" s="1"/>
    </row>
    <row r="29022">
      <c r="B29022" s="36"/>
      <c r="C29022" s="36"/>
      <c r="E29022" s="1"/>
      <c r="F29022" s="1"/>
      <c r="G29022" s="1"/>
    </row>
    <row r="29023">
      <c r="B29023" s="36"/>
      <c r="C29023" s="36"/>
      <c r="E29023" s="1"/>
      <c r="F29023" s="1"/>
      <c r="G29023" s="1"/>
    </row>
    <row r="29024">
      <c r="B29024" s="36"/>
      <c r="C29024" s="36"/>
      <c r="E29024" s="1"/>
      <c r="F29024" s="1"/>
      <c r="G29024" s="1"/>
    </row>
    <row r="29025">
      <c r="B29025" s="36"/>
      <c r="C29025" s="36"/>
      <c r="E29025" s="1"/>
      <c r="F29025" s="1"/>
      <c r="G29025" s="1"/>
    </row>
    <row r="29026">
      <c r="B29026" s="36"/>
      <c r="C29026" s="36"/>
      <c r="E29026" s="1"/>
      <c r="F29026" s="1"/>
      <c r="G29026" s="1"/>
    </row>
    <row r="29027">
      <c r="B29027" s="36"/>
      <c r="C29027" s="36"/>
      <c r="E29027" s="1"/>
      <c r="F29027" s="1"/>
      <c r="G29027" s="1"/>
    </row>
    <row r="29028">
      <c r="B29028" s="36"/>
      <c r="C29028" s="36"/>
      <c r="E29028" s="1"/>
      <c r="F29028" s="1"/>
      <c r="G29028" s="1"/>
    </row>
    <row r="29029">
      <c r="B29029" s="36"/>
      <c r="C29029" s="36"/>
      <c r="E29029" s="1"/>
      <c r="F29029" s="1"/>
      <c r="G29029" s="1"/>
    </row>
    <row r="29030">
      <c r="B29030" s="36"/>
      <c r="C29030" s="36"/>
      <c r="E29030" s="1"/>
      <c r="F29030" s="1"/>
      <c r="G29030" s="1"/>
    </row>
    <row r="29031">
      <c r="B29031" s="36"/>
      <c r="C29031" s="36"/>
      <c r="E29031" s="1"/>
      <c r="F29031" s="1"/>
      <c r="G29031" s="1"/>
    </row>
    <row r="29032">
      <c r="B29032" s="36"/>
      <c r="C29032" s="36"/>
      <c r="E29032" s="1"/>
      <c r="F29032" s="1"/>
      <c r="G29032" s="1"/>
    </row>
    <row r="29033">
      <c r="B29033" s="36"/>
      <c r="C29033" s="36"/>
      <c r="E29033" s="1"/>
      <c r="F29033" s="1"/>
      <c r="G29033" s="1"/>
    </row>
    <row r="29034">
      <c r="B29034" s="36"/>
      <c r="C29034" s="36"/>
      <c r="E29034" s="1"/>
      <c r="F29034" s="1"/>
      <c r="G29034" s="1"/>
    </row>
    <row r="29035">
      <c r="B29035" s="36"/>
      <c r="C29035" s="36"/>
      <c r="E29035" s="1"/>
      <c r="F29035" s="1"/>
      <c r="G29035" s="1"/>
    </row>
    <row r="29036">
      <c r="B29036" s="36"/>
      <c r="C29036" s="36"/>
      <c r="E29036" s="1"/>
      <c r="F29036" s="1"/>
      <c r="G29036" s="1"/>
    </row>
    <row r="29037">
      <c r="B29037" s="36"/>
      <c r="C29037" s="36"/>
      <c r="E29037" s="1"/>
      <c r="F29037" s="1"/>
      <c r="G29037" s="1"/>
    </row>
    <row r="29038">
      <c r="B29038" s="36"/>
      <c r="C29038" s="36"/>
      <c r="E29038" s="1"/>
      <c r="F29038" s="1"/>
      <c r="G29038" s="1"/>
    </row>
    <row r="29039">
      <c r="B29039" s="36"/>
      <c r="C29039" s="36"/>
      <c r="E29039" s="1"/>
      <c r="F29039" s="1"/>
      <c r="G29039" s="1"/>
    </row>
    <row r="29040">
      <c r="B29040" s="36"/>
      <c r="C29040" s="36"/>
      <c r="E29040" s="1"/>
      <c r="F29040" s="1"/>
      <c r="G29040" s="1"/>
    </row>
    <row r="29041">
      <c r="B29041" s="36"/>
      <c r="C29041" s="36"/>
      <c r="E29041" s="1"/>
      <c r="F29041" s="1"/>
      <c r="G29041" s="1"/>
    </row>
    <row r="29042">
      <c r="B29042" s="36"/>
      <c r="C29042" s="36"/>
      <c r="E29042" s="1"/>
      <c r="F29042" s="1"/>
      <c r="G29042" s="1"/>
    </row>
    <row r="29043">
      <c r="B29043" s="36"/>
      <c r="C29043" s="36"/>
      <c r="E29043" s="1"/>
      <c r="F29043" s="1"/>
      <c r="G29043" s="1"/>
    </row>
    <row r="29044">
      <c r="B29044" s="36"/>
      <c r="C29044" s="36"/>
      <c r="E29044" s="1"/>
      <c r="F29044" s="1"/>
      <c r="G29044" s="1"/>
    </row>
    <row r="29045">
      <c r="B29045" s="36"/>
      <c r="C29045" s="36"/>
      <c r="E29045" s="1"/>
      <c r="F29045" s="1"/>
      <c r="G29045" s="1"/>
    </row>
    <row r="29046">
      <c r="B29046" s="36"/>
      <c r="C29046" s="36"/>
      <c r="E29046" s="1"/>
      <c r="F29046" s="1"/>
      <c r="G29046" s="1"/>
    </row>
    <row r="29047">
      <c r="B29047" s="36"/>
      <c r="C29047" s="36"/>
      <c r="E29047" s="1"/>
      <c r="F29047" s="1"/>
      <c r="G29047" s="1"/>
    </row>
    <row r="29048">
      <c r="B29048" s="36"/>
      <c r="C29048" s="36"/>
      <c r="E29048" s="1"/>
      <c r="F29048" s="1"/>
      <c r="G29048" s="1"/>
    </row>
    <row r="29049">
      <c r="B29049" s="36"/>
      <c r="C29049" s="36"/>
      <c r="E29049" s="1"/>
      <c r="F29049" s="1"/>
      <c r="G29049" s="1"/>
    </row>
    <row r="29050">
      <c r="B29050" s="36"/>
      <c r="C29050" s="36"/>
      <c r="E29050" s="1"/>
      <c r="F29050" s="1"/>
      <c r="G29050" s="1"/>
    </row>
    <row r="29051">
      <c r="B29051" s="36"/>
      <c r="C29051" s="36"/>
      <c r="E29051" s="1"/>
      <c r="F29051" s="1"/>
      <c r="G29051" s="1"/>
    </row>
    <row r="29052">
      <c r="B29052" s="36"/>
      <c r="C29052" s="36"/>
      <c r="E29052" s="1"/>
      <c r="F29052" s="1"/>
      <c r="G29052" s="1"/>
    </row>
    <row r="29053">
      <c r="B29053" s="36"/>
      <c r="C29053" s="36"/>
      <c r="E29053" s="1"/>
      <c r="F29053" s="1"/>
      <c r="G29053" s="1"/>
    </row>
    <row r="29054">
      <c r="B29054" s="36"/>
      <c r="C29054" s="36"/>
      <c r="E29054" s="1"/>
      <c r="F29054" s="1"/>
      <c r="G29054" s="1"/>
    </row>
    <row r="29055">
      <c r="B29055" s="36"/>
      <c r="C29055" s="36"/>
      <c r="E29055" s="1"/>
      <c r="F29055" s="1"/>
      <c r="G29055" s="1"/>
    </row>
    <row r="29056">
      <c r="B29056" s="36"/>
      <c r="C29056" s="36"/>
      <c r="E29056" s="1"/>
      <c r="F29056" s="1"/>
      <c r="G29056" s="1"/>
    </row>
    <row r="29057">
      <c r="B29057" s="36"/>
      <c r="C29057" s="36"/>
      <c r="E29057" s="1"/>
      <c r="F29057" s="1"/>
      <c r="G29057" s="1"/>
    </row>
    <row r="29058">
      <c r="B29058" s="36"/>
      <c r="C29058" s="36"/>
      <c r="E29058" s="1"/>
      <c r="F29058" s="1"/>
      <c r="G29058" s="1"/>
    </row>
    <row r="29059">
      <c r="B29059" s="36"/>
      <c r="C29059" s="36"/>
      <c r="E29059" s="1"/>
      <c r="F29059" s="1"/>
      <c r="G29059" s="1"/>
    </row>
    <row r="29060">
      <c r="B29060" s="36"/>
      <c r="C29060" s="36"/>
      <c r="E29060" s="1"/>
      <c r="F29060" s="1"/>
      <c r="G29060" s="1"/>
    </row>
    <row r="29061">
      <c r="B29061" s="36"/>
      <c r="C29061" s="36"/>
      <c r="E29061" s="1"/>
      <c r="F29061" s="1"/>
      <c r="G29061" s="1"/>
    </row>
    <row r="29062">
      <c r="B29062" s="36"/>
      <c r="C29062" s="36"/>
      <c r="E29062" s="1"/>
      <c r="F29062" s="1"/>
      <c r="G29062" s="1"/>
    </row>
    <row r="29063">
      <c r="B29063" s="36"/>
      <c r="C29063" s="36"/>
      <c r="E29063" s="1"/>
      <c r="F29063" s="1"/>
      <c r="G29063" s="1"/>
    </row>
    <row r="29064">
      <c r="B29064" s="36"/>
      <c r="C29064" s="36"/>
      <c r="E29064" s="1"/>
      <c r="F29064" s="1"/>
      <c r="G29064" s="1"/>
    </row>
    <row r="29065">
      <c r="B29065" s="36"/>
      <c r="C29065" s="36"/>
      <c r="E29065" s="1"/>
      <c r="F29065" s="1"/>
      <c r="G29065" s="1"/>
    </row>
    <row r="29066">
      <c r="B29066" s="36"/>
      <c r="C29066" s="36"/>
      <c r="E29066" s="1"/>
      <c r="F29066" s="1"/>
      <c r="G29066" s="1"/>
    </row>
    <row r="29067">
      <c r="B29067" s="36"/>
      <c r="C29067" s="36"/>
      <c r="E29067" s="1"/>
      <c r="F29067" s="1"/>
      <c r="G29067" s="1"/>
    </row>
    <row r="29068">
      <c r="B29068" s="36"/>
      <c r="C29068" s="36"/>
      <c r="E29068" s="1"/>
      <c r="F29068" s="1"/>
      <c r="G29068" s="1"/>
    </row>
    <row r="29069">
      <c r="B29069" s="36"/>
      <c r="C29069" s="36"/>
      <c r="E29069" s="1"/>
      <c r="F29069" s="1"/>
      <c r="G29069" s="1"/>
    </row>
    <row r="29070">
      <c r="B29070" s="36"/>
      <c r="C29070" s="36"/>
      <c r="E29070" s="1"/>
      <c r="F29070" s="1"/>
      <c r="G29070" s="1"/>
    </row>
    <row r="29071">
      <c r="B29071" s="36"/>
      <c r="C29071" s="36"/>
      <c r="E29071" s="1"/>
      <c r="F29071" s="1"/>
      <c r="G29071" s="1"/>
    </row>
    <row r="29072">
      <c r="B29072" s="36"/>
      <c r="C29072" s="36"/>
      <c r="E29072" s="1"/>
      <c r="F29072" s="1"/>
      <c r="G29072" s="1"/>
    </row>
    <row r="29073">
      <c r="B29073" s="36"/>
      <c r="C29073" s="36"/>
      <c r="E29073" s="1"/>
      <c r="F29073" s="1"/>
      <c r="G29073" s="1"/>
    </row>
    <row r="29074">
      <c r="B29074" s="36"/>
      <c r="C29074" s="36"/>
      <c r="E29074" s="1"/>
      <c r="F29074" s="1"/>
      <c r="G29074" s="1"/>
    </row>
    <row r="29075">
      <c r="B29075" s="36"/>
      <c r="C29075" s="36"/>
      <c r="E29075" s="1"/>
      <c r="F29075" s="1"/>
      <c r="G29075" s="1"/>
    </row>
    <row r="29076">
      <c r="B29076" s="36"/>
      <c r="C29076" s="36"/>
      <c r="E29076" s="1"/>
      <c r="F29076" s="1"/>
      <c r="G29076" s="1"/>
    </row>
    <row r="29077">
      <c r="B29077" s="36"/>
      <c r="C29077" s="36"/>
      <c r="E29077" s="1"/>
      <c r="F29077" s="1"/>
      <c r="G29077" s="1"/>
    </row>
    <row r="29078">
      <c r="B29078" s="36"/>
      <c r="C29078" s="36"/>
      <c r="E29078" s="1"/>
      <c r="F29078" s="1"/>
      <c r="G29078" s="1"/>
    </row>
    <row r="29079">
      <c r="B29079" s="36"/>
      <c r="C29079" s="36"/>
      <c r="E29079" s="1"/>
      <c r="F29079" s="1"/>
      <c r="G29079" s="1"/>
    </row>
    <row r="29080">
      <c r="B29080" s="36"/>
      <c r="C29080" s="36"/>
      <c r="E29080" s="1"/>
      <c r="F29080" s="1"/>
      <c r="G29080" s="1"/>
    </row>
    <row r="29081">
      <c r="B29081" s="36"/>
      <c r="C29081" s="36"/>
      <c r="E29081" s="1"/>
      <c r="F29081" s="1"/>
      <c r="G29081" s="1"/>
    </row>
    <row r="29082">
      <c r="B29082" s="36"/>
      <c r="C29082" s="36"/>
      <c r="E29082" s="1"/>
      <c r="F29082" s="1"/>
      <c r="G29082" s="1"/>
    </row>
    <row r="29083">
      <c r="B29083" s="36"/>
      <c r="C29083" s="36"/>
      <c r="E29083" s="1"/>
      <c r="F29083" s="1"/>
      <c r="G29083" s="1"/>
    </row>
    <row r="29084">
      <c r="B29084" s="36"/>
      <c r="C29084" s="36"/>
      <c r="E29084" s="1"/>
      <c r="F29084" s="1"/>
      <c r="G29084" s="1"/>
    </row>
    <row r="29085">
      <c r="B29085" s="36"/>
      <c r="C29085" s="36"/>
      <c r="E29085" s="1"/>
      <c r="F29085" s="1"/>
      <c r="G29085" s="1"/>
    </row>
    <row r="29086">
      <c r="B29086" s="36"/>
      <c r="C29086" s="36"/>
      <c r="E29086" s="1"/>
      <c r="F29086" s="1"/>
      <c r="G29086" s="1"/>
    </row>
    <row r="29087">
      <c r="B29087" s="36"/>
      <c r="C29087" s="36"/>
      <c r="E29087" s="1"/>
      <c r="F29087" s="1"/>
      <c r="G29087" s="1"/>
    </row>
    <row r="29088">
      <c r="B29088" s="36"/>
      <c r="C29088" s="36"/>
      <c r="E29088" s="1"/>
      <c r="F29088" s="1"/>
      <c r="G29088" s="1"/>
    </row>
    <row r="29089">
      <c r="B29089" s="36"/>
      <c r="C29089" s="36"/>
      <c r="E29089" s="1"/>
      <c r="F29089" s="1"/>
      <c r="G29089" s="1"/>
    </row>
    <row r="29090">
      <c r="B29090" s="36"/>
      <c r="C29090" s="36"/>
      <c r="E29090" s="1"/>
      <c r="F29090" s="1"/>
      <c r="G29090" s="1"/>
    </row>
    <row r="29091">
      <c r="B29091" s="36"/>
      <c r="C29091" s="36"/>
      <c r="E29091" s="1"/>
      <c r="F29091" s="1"/>
      <c r="G29091" s="1"/>
    </row>
    <row r="29092">
      <c r="B29092" s="36"/>
      <c r="C29092" s="36"/>
      <c r="E29092" s="1"/>
      <c r="F29092" s="1"/>
      <c r="G29092" s="1"/>
    </row>
    <row r="29093">
      <c r="B29093" s="36"/>
      <c r="C29093" s="36"/>
      <c r="E29093" s="1"/>
      <c r="F29093" s="1"/>
      <c r="G29093" s="1"/>
    </row>
    <row r="29094">
      <c r="B29094" s="36"/>
      <c r="C29094" s="36"/>
      <c r="E29094" s="1"/>
      <c r="F29094" s="1"/>
      <c r="G29094" s="1"/>
    </row>
    <row r="29095">
      <c r="B29095" s="36"/>
      <c r="C29095" s="36"/>
      <c r="E29095" s="1"/>
      <c r="F29095" s="1"/>
      <c r="G29095" s="1"/>
    </row>
    <row r="29096">
      <c r="B29096" s="36"/>
      <c r="C29096" s="36"/>
      <c r="E29096" s="1"/>
      <c r="F29096" s="1"/>
      <c r="G29096" s="1"/>
    </row>
    <row r="29097">
      <c r="B29097" s="36"/>
      <c r="C29097" s="36"/>
      <c r="E29097" s="1"/>
      <c r="F29097" s="1"/>
      <c r="G29097" s="1"/>
    </row>
    <row r="29098">
      <c r="B29098" s="36"/>
      <c r="C29098" s="36"/>
      <c r="E29098" s="1"/>
      <c r="F29098" s="1"/>
      <c r="G29098" s="1"/>
    </row>
    <row r="29099">
      <c r="B29099" s="36"/>
      <c r="C29099" s="36"/>
      <c r="E29099" s="1"/>
      <c r="F29099" s="1"/>
      <c r="G29099" s="1"/>
    </row>
    <row r="29100">
      <c r="B29100" s="36"/>
      <c r="C29100" s="36"/>
      <c r="E29100" s="1"/>
      <c r="F29100" s="1"/>
      <c r="G29100" s="1"/>
    </row>
    <row r="29101">
      <c r="B29101" s="36"/>
      <c r="C29101" s="36"/>
      <c r="E29101" s="1"/>
      <c r="F29101" s="1"/>
      <c r="G29101" s="1"/>
    </row>
    <row r="29102">
      <c r="B29102" s="36"/>
      <c r="C29102" s="36"/>
      <c r="E29102" s="1"/>
      <c r="F29102" s="1"/>
      <c r="G29102" s="1"/>
    </row>
    <row r="29103">
      <c r="B29103" s="36"/>
      <c r="C29103" s="36"/>
      <c r="E29103" s="1"/>
      <c r="F29103" s="1"/>
      <c r="G29103" s="1"/>
    </row>
    <row r="29104">
      <c r="B29104" s="36"/>
      <c r="C29104" s="36"/>
      <c r="E29104" s="1"/>
      <c r="F29104" s="1"/>
      <c r="G29104" s="1"/>
    </row>
    <row r="29105">
      <c r="B29105" s="36"/>
      <c r="C29105" s="36"/>
      <c r="E29105" s="1"/>
      <c r="F29105" s="1"/>
      <c r="G29105" s="1"/>
    </row>
    <row r="29106">
      <c r="B29106" s="36"/>
      <c r="C29106" s="36"/>
      <c r="E29106" s="1"/>
      <c r="F29106" s="1"/>
      <c r="G29106" s="1"/>
    </row>
    <row r="29107">
      <c r="B29107" s="36"/>
      <c r="C29107" s="36"/>
      <c r="E29107" s="1"/>
      <c r="F29107" s="1"/>
      <c r="G29107" s="1"/>
    </row>
    <row r="29108">
      <c r="B29108" s="36"/>
      <c r="C29108" s="36"/>
      <c r="E29108" s="1"/>
      <c r="F29108" s="1"/>
      <c r="G29108" s="1"/>
    </row>
    <row r="29109">
      <c r="B29109" s="36"/>
      <c r="C29109" s="36"/>
      <c r="E29109" s="1"/>
      <c r="F29109" s="1"/>
      <c r="G29109" s="1"/>
    </row>
    <row r="29110">
      <c r="B29110" s="36"/>
      <c r="C29110" s="36"/>
      <c r="E29110" s="1"/>
      <c r="F29110" s="1"/>
      <c r="G29110" s="1"/>
    </row>
    <row r="29111">
      <c r="B29111" s="36"/>
      <c r="C29111" s="36"/>
      <c r="E29111" s="1"/>
      <c r="F29111" s="1"/>
      <c r="G29111" s="1"/>
    </row>
    <row r="29112">
      <c r="B29112" s="36"/>
      <c r="C29112" s="36"/>
      <c r="E29112" s="1"/>
      <c r="F29112" s="1"/>
      <c r="G29112" s="1"/>
    </row>
    <row r="29113">
      <c r="B29113" s="36"/>
      <c r="C29113" s="36"/>
      <c r="E29113" s="1"/>
      <c r="F29113" s="1"/>
      <c r="G29113" s="1"/>
    </row>
    <row r="29114">
      <c r="B29114" s="36"/>
      <c r="C29114" s="36"/>
      <c r="E29114" s="1"/>
      <c r="F29114" s="1"/>
      <c r="G29114" s="1"/>
    </row>
    <row r="29115">
      <c r="B29115" s="36"/>
      <c r="C29115" s="36"/>
      <c r="E29115" s="1"/>
      <c r="F29115" s="1"/>
      <c r="G29115" s="1"/>
    </row>
    <row r="29116">
      <c r="B29116" s="36"/>
      <c r="C29116" s="36"/>
      <c r="E29116" s="1"/>
      <c r="F29116" s="1"/>
      <c r="G29116" s="1"/>
    </row>
    <row r="29117">
      <c r="B29117" s="36"/>
      <c r="C29117" s="36"/>
      <c r="E29117" s="1"/>
      <c r="F29117" s="1"/>
      <c r="G29117" s="1"/>
    </row>
    <row r="29118">
      <c r="B29118" s="36"/>
      <c r="C29118" s="36"/>
      <c r="E29118" s="1"/>
      <c r="F29118" s="1"/>
      <c r="G29118" s="1"/>
    </row>
    <row r="29119">
      <c r="B29119" s="36"/>
      <c r="C29119" s="36"/>
      <c r="E29119" s="1"/>
      <c r="F29119" s="1"/>
      <c r="G29119" s="1"/>
    </row>
    <row r="29120">
      <c r="B29120" s="36"/>
      <c r="C29120" s="36"/>
      <c r="E29120" s="1"/>
      <c r="F29120" s="1"/>
      <c r="G29120" s="1"/>
    </row>
    <row r="29121">
      <c r="B29121" s="36"/>
      <c r="C29121" s="36"/>
      <c r="E29121" s="1"/>
      <c r="F29121" s="1"/>
      <c r="G29121" s="1"/>
    </row>
    <row r="29122">
      <c r="B29122" s="36"/>
      <c r="C29122" s="36"/>
      <c r="E29122" s="1"/>
      <c r="F29122" s="1"/>
      <c r="G29122" s="1"/>
    </row>
    <row r="29123">
      <c r="B29123" s="36"/>
      <c r="C29123" s="36"/>
      <c r="E29123" s="1"/>
      <c r="F29123" s="1"/>
      <c r="G29123" s="1"/>
    </row>
    <row r="29124">
      <c r="B29124" s="36"/>
      <c r="C29124" s="36"/>
      <c r="E29124" s="1"/>
      <c r="F29124" s="1"/>
      <c r="G29124" s="1"/>
    </row>
    <row r="29125">
      <c r="B29125" s="36"/>
      <c r="C29125" s="36"/>
      <c r="E29125" s="1"/>
      <c r="F29125" s="1"/>
      <c r="G29125" s="1"/>
    </row>
    <row r="29126">
      <c r="B29126" s="36"/>
      <c r="C29126" s="36"/>
      <c r="E29126" s="1"/>
      <c r="F29126" s="1"/>
      <c r="G29126" s="1"/>
    </row>
    <row r="29127">
      <c r="B29127" s="36"/>
      <c r="C29127" s="36"/>
      <c r="E29127" s="1"/>
      <c r="F29127" s="1"/>
      <c r="G29127" s="1"/>
    </row>
    <row r="29128">
      <c r="B29128" s="36"/>
      <c r="C29128" s="36"/>
      <c r="E29128" s="1"/>
      <c r="F29128" s="1"/>
      <c r="G29128" s="1"/>
    </row>
    <row r="29129">
      <c r="B29129" s="36"/>
      <c r="C29129" s="36"/>
      <c r="E29129" s="1"/>
      <c r="F29129" s="1"/>
      <c r="G29129" s="1"/>
    </row>
    <row r="29130">
      <c r="B29130" s="36"/>
      <c r="C29130" s="36"/>
      <c r="E29130" s="1"/>
      <c r="F29130" s="1"/>
      <c r="G29130" s="1"/>
    </row>
    <row r="29131">
      <c r="B29131" s="36"/>
      <c r="C29131" s="36"/>
      <c r="E29131" s="1"/>
      <c r="F29131" s="1"/>
      <c r="G29131" s="1"/>
    </row>
    <row r="29132">
      <c r="B29132" s="36"/>
      <c r="C29132" s="36"/>
      <c r="E29132" s="1"/>
      <c r="F29132" s="1"/>
      <c r="G29132" s="1"/>
    </row>
    <row r="29133">
      <c r="B29133" s="36"/>
      <c r="C29133" s="36"/>
      <c r="E29133" s="1"/>
      <c r="F29133" s="1"/>
      <c r="G29133" s="1"/>
    </row>
    <row r="29134">
      <c r="B29134" s="36"/>
      <c r="C29134" s="36"/>
      <c r="E29134" s="1"/>
      <c r="F29134" s="1"/>
      <c r="G29134" s="1"/>
    </row>
    <row r="29135">
      <c r="B29135" s="36"/>
      <c r="C29135" s="36"/>
      <c r="E29135" s="1"/>
      <c r="F29135" s="1"/>
      <c r="G29135" s="1"/>
    </row>
    <row r="29136">
      <c r="B29136" s="36"/>
      <c r="C29136" s="36"/>
      <c r="E29136" s="1"/>
      <c r="F29136" s="1"/>
      <c r="G29136" s="1"/>
    </row>
    <row r="29137">
      <c r="B29137" s="36"/>
      <c r="C29137" s="36"/>
      <c r="E29137" s="1"/>
      <c r="F29137" s="1"/>
      <c r="G29137" s="1"/>
    </row>
    <row r="29138">
      <c r="B29138" s="36"/>
      <c r="C29138" s="36"/>
      <c r="E29138" s="1"/>
      <c r="F29138" s="1"/>
      <c r="G29138" s="1"/>
    </row>
    <row r="29139">
      <c r="B29139" s="36"/>
      <c r="C29139" s="36"/>
      <c r="E29139" s="1"/>
      <c r="F29139" s="1"/>
      <c r="G29139" s="1"/>
    </row>
    <row r="29140">
      <c r="B29140" s="36"/>
      <c r="C29140" s="36"/>
      <c r="E29140" s="1"/>
      <c r="F29140" s="1"/>
      <c r="G29140" s="1"/>
    </row>
    <row r="29141">
      <c r="B29141" s="36"/>
      <c r="C29141" s="36"/>
      <c r="E29141" s="1"/>
      <c r="F29141" s="1"/>
      <c r="G29141" s="1"/>
    </row>
    <row r="29142">
      <c r="B29142" s="36"/>
      <c r="C29142" s="36"/>
      <c r="E29142" s="1"/>
      <c r="F29142" s="1"/>
      <c r="G29142" s="1"/>
    </row>
    <row r="29143">
      <c r="B29143" s="36"/>
      <c r="C29143" s="36"/>
      <c r="E29143" s="1"/>
      <c r="F29143" s="1"/>
      <c r="G29143" s="1"/>
    </row>
    <row r="29144">
      <c r="B29144" s="36"/>
      <c r="C29144" s="36"/>
      <c r="E29144" s="1"/>
      <c r="F29144" s="1"/>
      <c r="G29144" s="1"/>
    </row>
    <row r="29145">
      <c r="B29145" s="36"/>
      <c r="C29145" s="36"/>
      <c r="E29145" s="1"/>
      <c r="F29145" s="1"/>
      <c r="G29145" s="1"/>
    </row>
    <row r="29146">
      <c r="B29146" s="36"/>
      <c r="C29146" s="36"/>
      <c r="E29146" s="1"/>
      <c r="F29146" s="1"/>
      <c r="G29146" s="1"/>
    </row>
    <row r="29147">
      <c r="B29147" s="36"/>
      <c r="C29147" s="36"/>
      <c r="E29147" s="1"/>
      <c r="F29147" s="1"/>
      <c r="G29147" s="1"/>
    </row>
    <row r="29148">
      <c r="B29148" s="36"/>
      <c r="C29148" s="36"/>
      <c r="E29148" s="1"/>
      <c r="F29148" s="1"/>
      <c r="G29148" s="1"/>
    </row>
    <row r="29149">
      <c r="B29149" s="36"/>
      <c r="C29149" s="36"/>
      <c r="E29149" s="1"/>
      <c r="F29149" s="1"/>
      <c r="G29149" s="1"/>
    </row>
    <row r="29150">
      <c r="B29150" s="36"/>
      <c r="C29150" s="36"/>
      <c r="E29150" s="1"/>
      <c r="F29150" s="1"/>
      <c r="G29150" s="1"/>
    </row>
    <row r="29151">
      <c r="B29151" s="36"/>
      <c r="C29151" s="36"/>
      <c r="E29151" s="1"/>
      <c r="F29151" s="1"/>
      <c r="G29151" s="1"/>
    </row>
    <row r="29152">
      <c r="B29152" s="36"/>
      <c r="C29152" s="36"/>
      <c r="E29152" s="1"/>
      <c r="F29152" s="1"/>
      <c r="G29152" s="1"/>
    </row>
    <row r="29153">
      <c r="B29153" s="36"/>
      <c r="C29153" s="36"/>
      <c r="E29153" s="1"/>
      <c r="F29153" s="1"/>
      <c r="G29153" s="1"/>
    </row>
    <row r="29154">
      <c r="B29154" s="36"/>
      <c r="C29154" s="36"/>
      <c r="E29154" s="1"/>
      <c r="F29154" s="1"/>
      <c r="G29154" s="1"/>
    </row>
    <row r="29155">
      <c r="B29155" s="36"/>
      <c r="C29155" s="36"/>
      <c r="E29155" s="1"/>
      <c r="F29155" s="1"/>
      <c r="G29155" s="1"/>
    </row>
    <row r="29156">
      <c r="B29156" s="36"/>
      <c r="C29156" s="36"/>
      <c r="E29156" s="1"/>
      <c r="F29156" s="1"/>
      <c r="G29156" s="1"/>
    </row>
    <row r="29157">
      <c r="B29157" s="36"/>
      <c r="C29157" s="36"/>
      <c r="E29157" s="1"/>
      <c r="F29157" s="1"/>
      <c r="G29157" s="1"/>
    </row>
    <row r="29158">
      <c r="B29158" s="36"/>
      <c r="C29158" s="36"/>
      <c r="E29158" s="1"/>
      <c r="F29158" s="1"/>
      <c r="G29158" s="1"/>
    </row>
    <row r="29159">
      <c r="B29159" s="36"/>
      <c r="C29159" s="36"/>
      <c r="E29159" s="1"/>
      <c r="F29159" s="1"/>
      <c r="G29159" s="1"/>
    </row>
    <row r="29160">
      <c r="B29160" s="36"/>
      <c r="C29160" s="36"/>
      <c r="E29160" s="1"/>
      <c r="F29160" s="1"/>
      <c r="G29160" s="1"/>
    </row>
    <row r="29161">
      <c r="B29161" s="36"/>
      <c r="C29161" s="36"/>
      <c r="E29161" s="1"/>
      <c r="F29161" s="1"/>
      <c r="G29161" s="1"/>
    </row>
    <row r="29162">
      <c r="B29162" s="36"/>
      <c r="C29162" s="36"/>
      <c r="E29162" s="1"/>
      <c r="F29162" s="1"/>
      <c r="G29162" s="1"/>
    </row>
    <row r="29163">
      <c r="B29163" s="36"/>
      <c r="C29163" s="36"/>
      <c r="E29163" s="1"/>
      <c r="F29163" s="1"/>
      <c r="G29163" s="1"/>
    </row>
    <row r="29164">
      <c r="B29164" s="36"/>
      <c r="C29164" s="36"/>
      <c r="E29164" s="1"/>
      <c r="F29164" s="1"/>
      <c r="G29164" s="1"/>
    </row>
    <row r="29165">
      <c r="B29165" s="36"/>
      <c r="C29165" s="36"/>
      <c r="E29165" s="1"/>
      <c r="F29165" s="1"/>
      <c r="G29165" s="1"/>
    </row>
    <row r="29166">
      <c r="B29166" s="36"/>
      <c r="C29166" s="36"/>
      <c r="E29166" s="1"/>
      <c r="F29166" s="1"/>
      <c r="G29166" s="1"/>
    </row>
    <row r="29167">
      <c r="B29167" s="36"/>
      <c r="C29167" s="36"/>
      <c r="E29167" s="1"/>
      <c r="F29167" s="1"/>
      <c r="G29167" s="1"/>
    </row>
    <row r="29168">
      <c r="B29168" s="36"/>
      <c r="C29168" s="36"/>
      <c r="E29168" s="1"/>
      <c r="F29168" s="1"/>
      <c r="G29168" s="1"/>
    </row>
    <row r="29169">
      <c r="B29169" s="36"/>
      <c r="C29169" s="36"/>
      <c r="E29169" s="1"/>
      <c r="F29169" s="1"/>
      <c r="G29169" s="1"/>
    </row>
    <row r="29170">
      <c r="B29170" s="36"/>
      <c r="C29170" s="36"/>
      <c r="E29170" s="1"/>
      <c r="F29170" s="1"/>
      <c r="G29170" s="1"/>
    </row>
    <row r="29171">
      <c r="B29171" s="36"/>
      <c r="C29171" s="36"/>
      <c r="E29171" s="1"/>
      <c r="F29171" s="1"/>
      <c r="G29171" s="1"/>
    </row>
    <row r="29172">
      <c r="B29172" s="36"/>
      <c r="C29172" s="36"/>
      <c r="E29172" s="1"/>
      <c r="F29172" s="1"/>
      <c r="G29172" s="1"/>
    </row>
    <row r="29173">
      <c r="B29173" s="36"/>
      <c r="C29173" s="36"/>
      <c r="E29173" s="1"/>
      <c r="F29173" s="1"/>
      <c r="G29173" s="1"/>
    </row>
    <row r="29174">
      <c r="B29174" s="36"/>
      <c r="C29174" s="36"/>
      <c r="E29174" s="1"/>
      <c r="F29174" s="1"/>
      <c r="G29174" s="1"/>
    </row>
    <row r="29175">
      <c r="B29175" s="36"/>
      <c r="C29175" s="36"/>
      <c r="E29175" s="1"/>
      <c r="F29175" s="1"/>
      <c r="G29175" s="1"/>
    </row>
    <row r="29176">
      <c r="B29176" s="36"/>
      <c r="C29176" s="36"/>
      <c r="E29176" s="1"/>
      <c r="F29176" s="1"/>
      <c r="G29176" s="1"/>
    </row>
    <row r="29177">
      <c r="B29177" s="36"/>
      <c r="C29177" s="36"/>
      <c r="E29177" s="1"/>
      <c r="F29177" s="1"/>
      <c r="G29177" s="1"/>
    </row>
    <row r="29178">
      <c r="B29178" s="36"/>
      <c r="C29178" s="36"/>
      <c r="E29178" s="1"/>
      <c r="F29178" s="1"/>
      <c r="G29178" s="1"/>
    </row>
    <row r="29179">
      <c r="B29179" s="36"/>
      <c r="C29179" s="36"/>
      <c r="E29179" s="1"/>
      <c r="F29179" s="1"/>
      <c r="G29179" s="1"/>
    </row>
    <row r="29180">
      <c r="B29180" s="36"/>
      <c r="C29180" s="36"/>
      <c r="E29180" s="1"/>
      <c r="F29180" s="1"/>
      <c r="G29180" s="1"/>
    </row>
    <row r="29181">
      <c r="B29181" s="36"/>
      <c r="C29181" s="36"/>
      <c r="E29181" s="1"/>
      <c r="F29181" s="1"/>
      <c r="G29181" s="1"/>
    </row>
    <row r="29182">
      <c r="B29182" s="36"/>
      <c r="C29182" s="36"/>
      <c r="E29182" s="1"/>
      <c r="F29182" s="1"/>
      <c r="G29182" s="1"/>
    </row>
    <row r="29183">
      <c r="B29183" s="36"/>
      <c r="C29183" s="36"/>
      <c r="E29183" s="1"/>
      <c r="F29183" s="1"/>
      <c r="G29183" s="1"/>
    </row>
    <row r="29184">
      <c r="B29184" s="36"/>
      <c r="C29184" s="36"/>
      <c r="E29184" s="1"/>
      <c r="F29184" s="1"/>
      <c r="G29184" s="1"/>
    </row>
    <row r="29185">
      <c r="B29185" s="36"/>
      <c r="C29185" s="36"/>
      <c r="E29185" s="1"/>
      <c r="F29185" s="1"/>
      <c r="G29185" s="1"/>
    </row>
    <row r="29186">
      <c r="B29186" s="36"/>
      <c r="C29186" s="36"/>
      <c r="E29186" s="1"/>
      <c r="F29186" s="1"/>
      <c r="G29186" s="1"/>
    </row>
    <row r="29187">
      <c r="B29187" s="36"/>
      <c r="C29187" s="36"/>
      <c r="E29187" s="1"/>
      <c r="F29187" s="1"/>
      <c r="G29187" s="1"/>
    </row>
    <row r="29188">
      <c r="B29188" s="36"/>
      <c r="C29188" s="36"/>
      <c r="E29188" s="1"/>
      <c r="F29188" s="1"/>
      <c r="G29188" s="1"/>
    </row>
    <row r="29189">
      <c r="B29189" s="36"/>
      <c r="C29189" s="36"/>
      <c r="E29189" s="1"/>
      <c r="F29189" s="1"/>
      <c r="G29189" s="1"/>
    </row>
    <row r="29190">
      <c r="B29190" s="36"/>
      <c r="C29190" s="36"/>
      <c r="E29190" s="1"/>
      <c r="F29190" s="1"/>
      <c r="G29190" s="1"/>
    </row>
    <row r="29191">
      <c r="B29191" s="36"/>
      <c r="C29191" s="36"/>
      <c r="E29191" s="1"/>
      <c r="F29191" s="1"/>
      <c r="G29191" s="1"/>
    </row>
    <row r="29192">
      <c r="B29192" s="36"/>
      <c r="C29192" s="36"/>
      <c r="E29192" s="1"/>
      <c r="F29192" s="1"/>
      <c r="G29192" s="1"/>
    </row>
    <row r="29193">
      <c r="B29193" s="36"/>
      <c r="C29193" s="36"/>
      <c r="E29193" s="1"/>
      <c r="F29193" s="1"/>
      <c r="G29193" s="1"/>
    </row>
    <row r="29194">
      <c r="B29194" s="36"/>
      <c r="C29194" s="36"/>
      <c r="E29194" s="1"/>
      <c r="F29194" s="1"/>
      <c r="G29194" s="1"/>
    </row>
    <row r="29195">
      <c r="B29195" s="36"/>
      <c r="C29195" s="36"/>
      <c r="E29195" s="1"/>
      <c r="F29195" s="1"/>
      <c r="G29195" s="1"/>
    </row>
    <row r="29196">
      <c r="B29196" s="36"/>
      <c r="C29196" s="36"/>
      <c r="E29196" s="1"/>
      <c r="F29196" s="1"/>
      <c r="G29196" s="1"/>
    </row>
    <row r="29197">
      <c r="B29197" s="36"/>
      <c r="C29197" s="36"/>
      <c r="E29197" s="1"/>
      <c r="F29197" s="1"/>
      <c r="G29197" s="1"/>
    </row>
    <row r="29198">
      <c r="B29198" s="36"/>
      <c r="C29198" s="36"/>
      <c r="E29198" s="1"/>
      <c r="F29198" s="1"/>
      <c r="G29198" s="1"/>
    </row>
    <row r="29199">
      <c r="B29199" s="36"/>
      <c r="C29199" s="36"/>
      <c r="E29199" s="1"/>
      <c r="F29199" s="1"/>
      <c r="G29199" s="1"/>
    </row>
    <row r="29200">
      <c r="B29200" s="36"/>
      <c r="C29200" s="36"/>
      <c r="E29200" s="1"/>
      <c r="F29200" s="1"/>
      <c r="G29200" s="1"/>
    </row>
    <row r="29201">
      <c r="B29201" s="36"/>
      <c r="C29201" s="36"/>
      <c r="E29201" s="1"/>
      <c r="F29201" s="1"/>
      <c r="G29201" s="1"/>
    </row>
    <row r="29202">
      <c r="B29202" s="36"/>
      <c r="C29202" s="36"/>
      <c r="E29202" s="1"/>
      <c r="F29202" s="1"/>
      <c r="G29202" s="1"/>
    </row>
    <row r="29203">
      <c r="B29203" s="36"/>
      <c r="C29203" s="36"/>
      <c r="E29203" s="1"/>
      <c r="F29203" s="1"/>
      <c r="G29203" s="1"/>
    </row>
    <row r="29204">
      <c r="B29204" s="36"/>
      <c r="C29204" s="36"/>
      <c r="E29204" s="1"/>
      <c r="F29204" s="1"/>
      <c r="G29204" s="1"/>
    </row>
    <row r="29205">
      <c r="B29205" s="36"/>
      <c r="C29205" s="36"/>
      <c r="E29205" s="1"/>
      <c r="F29205" s="1"/>
      <c r="G29205" s="1"/>
    </row>
    <row r="29206">
      <c r="B29206" s="36"/>
      <c r="C29206" s="36"/>
      <c r="E29206" s="1"/>
      <c r="F29206" s="1"/>
      <c r="G29206" s="1"/>
    </row>
    <row r="29207">
      <c r="B29207" s="36"/>
      <c r="C29207" s="36"/>
      <c r="E29207" s="1"/>
      <c r="F29207" s="1"/>
      <c r="G29207" s="1"/>
    </row>
    <row r="29208">
      <c r="B29208" s="36"/>
      <c r="C29208" s="36"/>
      <c r="E29208" s="1"/>
      <c r="F29208" s="1"/>
      <c r="G29208" s="1"/>
    </row>
    <row r="29209">
      <c r="B29209" s="36"/>
      <c r="C29209" s="36"/>
      <c r="E29209" s="1"/>
      <c r="F29209" s="1"/>
      <c r="G29209" s="1"/>
    </row>
    <row r="29210">
      <c r="B29210" s="36"/>
      <c r="C29210" s="36"/>
      <c r="E29210" s="1"/>
      <c r="F29210" s="1"/>
      <c r="G29210" s="1"/>
    </row>
    <row r="29211">
      <c r="B29211" s="36"/>
      <c r="C29211" s="36"/>
      <c r="E29211" s="1"/>
      <c r="F29211" s="1"/>
      <c r="G29211" s="1"/>
    </row>
    <row r="29212">
      <c r="B29212" s="36"/>
      <c r="C29212" s="36"/>
      <c r="E29212" s="1"/>
      <c r="F29212" s="1"/>
      <c r="G29212" s="1"/>
    </row>
    <row r="29213">
      <c r="B29213" s="36"/>
      <c r="C29213" s="36"/>
      <c r="E29213" s="1"/>
      <c r="F29213" s="1"/>
      <c r="G29213" s="1"/>
    </row>
    <row r="29214">
      <c r="B29214" s="36"/>
      <c r="C29214" s="36"/>
      <c r="E29214" s="1"/>
      <c r="F29214" s="1"/>
      <c r="G29214" s="1"/>
    </row>
    <row r="29215">
      <c r="B29215" s="36"/>
      <c r="C29215" s="36"/>
      <c r="E29215" s="1"/>
      <c r="F29215" s="1"/>
      <c r="G29215" s="1"/>
    </row>
    <row r="29216">
      <c r="B29216" s="36"/>
      <c r="C29216" s="36"/>
      <c r="E29216" s="1"/>
      <c r="F29216" s="1"/>
      <c r="G29216" s="1"/>
    </row>
    <row r="29217">
      <c r="B29217" s="36"/>
      <c r="C29217" s="36"/>
      <c r="E29217" s="1"/>
      <c r="F29217" s="1"/>
      <c r="G29217" s="1"/>
    </row>
    <row r="29218">
      <c r="B29218" s="36"/>
      <c r="C29218" s="36"/>
      <c r="E29218" s="1"/>
      <c r="F29218" s="1"/>
      <c r="G29218" s="1"/>
    </row>
    <row r="29219">
      <c r="B29219" s="36"/>
      <c r="C29219" s="36"/>
      <c r="E29219" s="1"/>
      <c r="F29219" s="1"/>
      <c r="G29219" s="1"/>
    </row>
    <row r="29220">
      <c r="B29220" s="36"/>
      <c r="C29220" s="36"/>
      <c r="E29220" s="1"/>
      <c r="F29220" s="1"/>
      <c r="G29220" s="1"/>
    </row>
    <row r="29221">
      <c r="B29221" s="36"/>
      <c r="C29221" s="36"/>
      <c r="E29221" s="1"/>
      <c r="F29221" s="1"/>
      <c r="G29221" s="1"/>
    </row>
    <row r="29222">
      <c r="B29222" s="36"/>
      <c r="C29222" s="36"/>
      <c r="E29222" s="1"/>
      <c r="F29222" s="1"/>
      <c r="G29222" s="1"/>
    </row>
    <row r="29223">
      <c r="B29223" s="36"/>
      <c r="C29223" s="36"/>
      <c r="E29223" s="1"/>
      <c r="F29223" s="1"/>
      <c r="G29223" s="1"/>
    </row>
    <row r="29224">
      <c r="B29224" s="36"/>
      <c r="C29224" s="36"/>
      <c r="E29224" s="1"/>
      <c r="F29224" s="1"/>
      <c r="G29224" s="1"/>
    </row>
    <row r="29225">
      <c r="B29225" s="36"/>
      <c r="C29225" s="36"/>
      <c r="E29225" s="1"/>
      <c r="F29225" s="1"/>
      <c r="G29225" s="1"/>
    </row>
    <row r="29226">
      <c r="B29226" s="36"/>
      <c r="C29226" s="36"/>
      <c r="E29226" s="1"/>
      <c r="F29226" s="1"/>
      <c r="G29226" s="1"/>
    </row>
    <row r="29227">
      <c r="B29227" s="36"/>
      <c r="C29227" s="36"/>
      <c r="E29227" s="1"/>
      <c r="F29227" s="1"/>
      <c r="G29227" s="1"/>
    </row>
    <row r="29228">
      <c r="B29228" s="36"/>
      <c r="C29228" s="36"/>
      <c r="E29228" s="1"/>
      <c r="F29228" s="1"/>
      <c r="G29228" s="1"/>
    </row>
    <row r="29229">
      <c r="B29229" s="36"/>
      <c r="C29229" s="36"/>
      <c r="E29229" s="1"/>
      <c r="F29229" s="1"/>
      <c r="G29229" s="1"/>
    </row>
    <row r="29230">
      <c r="B29230" s="36"/>
      <c r="C29230" s="36"/>
      <c r="E29230" s="1"/>
      <c r="F29230" s="1"/>
      <c r="G29230" s="1"/>
    </row>
    <row r="29231">
      <c r="B29231" s="36"/>
      <c r="C29231" s="36"/>
      <c r="E29231" s="1"/>
      <c r="F29231" s="1"/>
      <c r="G29231" s="1"/>
    </row>
    <row r="29232">
      <c r="B29232" s="36"/>
      <c r="C29232" s="36"/>
      <c r="E29232" s="1"/>
      <c r="F29232" s="1"/>
      <c r="G29232" s="1"/>
    </row>
    <row r="29233">
      <c r="B29233" s="36"/>
      <c r="C29233" s="36"/>
      <c r="E29233" s="1"/>
      <c r="F29233" s="1"/>
      <c r="G29233" s="1"/>
    </row>
    <row r="29234">
      <c r="B29234" s="36"/>
      <c r="C29234" s="36"/>
      <c r="E29234" s="1"/>
      <c r="F29234" s="1"/>
      <c r="G29234" s="1"/>
    </row>
    <row r="29235">
      <c r="B29235" s="36"/>
      <c r="C29235" s="36"/>
      <c r="E29235" s="1"/>
      <c r="F29235" s="1"/>
      <c r="G29235" s="1"/>
    </row>
    <row r="29236">
      <c r="B29236" s="36"/>
      <c r="C29236" s="36"/>
      <c r="E29236" s="1"/>
      <c r="F29236" s="1"/>
      <c r="G29236" s="1"/>
    </row>
    <row r="29237">
      <c r="B29237" s="36"/>
      <c r="C29237" s="36"/>
      <c r="E29237" s="1"/>
      <c r="F29237" s="1"/>
      <c r="G29237" s="1"/>
    </row>
    <row r="29238">
      <c r="B29238" s="36"/>
      <c r="C29238" s="36"/>
      <c r="E29238" s="1"/>
      <c r="F29238" s="1"/>
      <c r="G29238" s="1"/>
    </row>
    <row r="29239">
      <c r="B29239" s="36"/>
      <c r="C29239" s="36"/>
      <c r="E29239" s="1"/>
      <c r="F29239" s="1"/>
      <c r="G29239" s="1"/>
    </row>
    <row r="29240">
      <c r="B29240" s="36"/>
      <c r="C29240" s="36"/>
      <c r="E29240" s="1"/>
      <c r="F29240" s="1"/>
      <c r="G29240" s="1"/>
    </row>
    <row r="29241">
      <c r="B29241" s="36"/>
      <c r="C29241" s="36"/>
      <c r="E29241" s="1"/>
      <c r="F29241" s="1"/>
      <c r="G29241" s="1"/>
    </row>
    <row r="29242">
      <c r="B29242" s="36"/>
      <c r="C29242" s="36"/>
      <c r="E29242" s="1"/>
      <c r="F29242" s="1"/>
      <c r="G29242" s="1"/>
    </row>
    <row r="29243">
      <c r="B29243" s="36"/>
      <c r="C29243" s="36"/>
      <c r="E29243" s="1"/>
      <c r="F29243" s="1"/>
      <c r="G29243" s="1"/>
    </row>
    <row r="29244">
      <c r="B29244" s="36"/>
      <c r="C29244" s="36"/>
      <c r="E29244" s="1"/>
      <c r="F29244" s="1"/>
      <c r="G29244" s="1"/>
    </row>
    <row r="29245">
      <c r="B29245" s="36"/>
      <c r="C29245" s="36"/>
      <c r="E29245" s="1"/>
      <c r="F29245" s="1"/>
      <c r="G29245" s="1"/>
    </row>
    <row r="29246">
      <c r="B29246" s="36"/>
      <c r="C29246" s="36"/>
      <c r="E29246" s="1"/>
      <c r="F29246" s="1"/>
      <c r="G29246" s="1"/>
    </row>
    <row r="29247">
      <c r="B29247" s="36"/>
      <c r="C29247" s="36"/>
      <c r="E29247" s="1"/>
      <c r="F29247" s="1"/>
      <c r="G29247" s="1"/>
    </row>
    <row r="29248">
      <c r="B29248" s="36"/>
      <c r="C29248" s="36"/>
      <c r="E29248" s="1"/>
      <c r="F29248" s="1"/>
      <c r="G29248" s="1"/>
    </row>
    <row r="29249">
      <c r="B29249" s="36"/>
      <c r="C29249" s="36"/>
      <c r="E29249" s="1"/>
      <c r="F29249" s="1"/>
      <c r="G29249" s="1"/>
    </row>
    <row r="29250">
      <c r="B29250" s="36"/>
      <c r="C29250" s="36"/>
      <c r="E29250" s="1"/>
      <c r="F29250" s="1"/>
      <c r="G29250" s="1"/>
    </row>
    <row r="29251">
      <c r="B29251" s="36"/>
      <c r="C29251" s="36"/>
      <c r="E29251" s="1"/>
      <c r="F29251" s="1"/>
      <c r="G29251" s="1"/>
    </row>
    <row r="29252">
      <c r="B29252" s="36"/>
      <c r="C29252" s="36"/>
      <c r="E29252" s="1"/>
      <c r="F29252" s="1"/>
      <c r="G29252" s="1"/>
    </row>
    <row r="29253">
      <c r="B29253" s="36"/>
      <c r="C29253" s="36"/>
      <c r="E29253" s="1"/>
      <c r="F29253" s="1"/>
      <c r="G29253" s="1"/>
    </row>
    <row r="29254">
      <c r="B29254" s="36"/>
      <c r="C29254" s="36"/>
      <c r="E29254" s="1"/>
      <c r="F29254" s="1"/>
      <c r="G29254" s="1"/>
    </row>
    <row r="29255">
      <c r="B29255" s="36"/>
      <c r="C29255" s="36"/>
      <c r="E29255" s="1"/>
      <c r="F29255" s="1"/>
      <c r="G29255" s="1"/>
    </row>
    <row r="29256">
      <c r="B29256" s="36"/>
      <c r="C29256" s="36"/>
      <c r="E29256" s="1"/>
      <c r="F29256" s="1"/>
      <c r="G29256" s="1"/>
    </row>
    <row r="29257">
      <c r="B29257" s="36"/>
      <c r="C29257" s="36"/>
      <c r="E29257" s="1"/>
      <c r="F29257" s="1"/>
      <c r="G29257" s="1"/>
    </row>
    <row r="29258">
      <c r="B29258" s="36"/>
      <c r="C29258" s="36"/>
      <c r="E29258" s="1"/>
      <c r="F29258" s="1"/>
      <c r="G29258" s="1"/>
    </row>
    <row r="29259">
      <c r="B29259" s="36"/>
      <c r="C29259" s="36"/>
      <c r="E29259" s="1"/>
      <c r="F29259" s="1"/>
      <c r="G29259" s="1"/>
    </row>
    <row r="29260">
      <c r="B29260" s="36"/>
      <c r="C29260" s="36"/>
      <c r="E29260" s="1"/>
      <c r="F29260" s="1"/>
      <c r="G29260" s="1"/>
    </row>
    <row r="29261">
      <c r="B29261" s="36"/>
      <c r="C29261" s="36"/>
      <c r="E29261" s="1"/>
      <c r="F29261" s="1"/>
      <c r="G29261" s="1"/>
    </row>
    <row r="29262">
      <c r="B29262" s="36"/>
      <c r="C29262" s="36"/>
      <c r="E29262" s="1"/>
      <c r="F29262" s="1"/>
      <c r="G29262" s="1"/>
    </row>
    <row r="29263">
      <c r="B29263" s="36"/>
      <c r="C29263" s="36"/>
      <c r="E29263" s="1"/>
      <c r="F29263" s="1"/>
      <c r="G29263" s="1"/>
    </row>
    <row r="29264">
      <c r="B29264" s="36"/>
      <c r="C29264" s="36"/>
      <c r="E29264" s="1"/>
      <c r="F29264" s="1"/>
      <c r="G29264" s="1"/>
    </row>
    <row r="29265">
      <c r="B29265" s="36"/>
      <c r="C29265" s="36"/>
      <c r="E29265" s="1"/>
      <c r="F29265" s="1"/>
      <c r="G29265" s="1"/>
    </row>
    <row r="29266">
      <c r="B29266" s="36"/>
      <c r="C29266" s="36"/>
      <c r="E29266" s="1"/>
      <c r="F29266" s="1"/>
      <c r="G29266" s="1"/>
    </row>
    <row r="29267">
      <c r="B29267" s="36"/>
      <c r="C29267" s="36"/>
      <c r="E29267" s="1"/>
      <c r="F29267" s="1"/>
      <c r="G29267" s="1"/>
    </row>
    <row r="29268">
      <c r="B29268" s="36"/>
      <c r="C29268" s="36"/>
      <c r="E29268" s="1"/>
      <c r="F29268" s="1"/>
      <c r="G29268" s="1"/>
    </row>
    <row r="29269">
      <c r="B29269" s="36"/>
      <c r="C29269" s="36"/>
      <c r="E29269" s="1"/>
      <c r="F29269" s="1"/>
      <c r="G29269" s="1"/>
    </row>
    <row r="29270">
      <c r="B29270" s="36"/>
      <c r="C29270" s="36"/>
      <c r="E29270" s="1"/>
      <c r="F29270" s="1"/>
      <c r="G29270" s="1"/>
    </row>
    <row r="29271">
      <c r="B29271" s="36"/>
      <c r="C29271" s="36"/>
      <c r="E29271" s="1"/>
      <c r="F29271" s="1"/>
      <c r="G29271" s="1"/>
    </row>
    <row r="29272">
      <c r="B29272" s="36"/>
      <c r="C29272" s="36"/>
      <c r="E29272" s="1"/>
      <c r="F29272" s="1"/>
      <c r="G29272" s="1"/>
    </row>
    <row r="29273">
      <c r="B29273" s="36"/>
      <c r="C29273" s="36"/>
      <c r="E29273" s="1"/>
      <c r="F29273" s="1"/>
      <c r="G29273" s="1"/>
    </row>
    <row r="29274">
      <c r="B29274" s="36"/>
      <c r="C29274" s="36"/>
      <c r="E29274" s="1"/>
      <c r="F29274" s="1"/>
      <c r="G29274" s="1"/>
    </row>
    <row r="29275">
      <c r="B29275" s="36"/>
      <c r="C29275" s="36"/>
      <c r="E29275" s="1"/>
      <c r="F29275" s="1"/>
      <c r="G29275" s="1"/>
    </row>
    <row r="29276">
      <c r="B29276" s="36"/>
      <c r="C29276" s="36"/>
      <c r="E29276" s="1"/>
      <c r="F29276" s="1"/>
      <c r="G29276" s="1"/>
    </row>
    <row r="29277">
      <c r="B29277" s="36"/>
      <c r="C29277" s="36"/>
      <c r="E29277" s="1"/>
      <c r="F29277" s="1"/>
      <c r="G29277" s="1"/>
    </row>
    <row r="29278">
      <c r="B29278" s="36"/>
      <c r="C29278" s="36"/>
      <c r="E29278" s="1"/>
      <c r="F29278" s="1"/>
      <c r="G29278" s="1"/>
    </row>
    <row r="29279">
      <c r="B29279" s="36"/>
      <c r="C29279" s="36"/>
      <c r="E29279" s="1"/>
      <c r="F29279" s="1"/>
      <c r="G29279" s="1"/>
    </row>
    <row r="29280">
      <c r="B29280" s="36"/>
      <c r="C29280" s="36"/>
      <c r="E29280" s="1"/>
      <c r="F29280" s="1"/>
      <c r="G29280" s="1"/>
    </row>
    <row r="29281">
      <c r="B29281" s="36"/>
      <c r="C29281" s="36"/>
      <c r="E29281" s="1"/>
      <c r="F29281" s="1"/>
      <c r="G29281" s="1"/>
    </row>
    <row r="29282">
      <c r="B29282" s="36"/>
      <c r="C29282" s="36"/>
      <c r="E29282" s="1"/>
      <c r="F29282" s="1"/>
      <c r="G29282" s="1"/>
    </row>
    <row r="29283">
      <c r="B29283" s="36"/>
      <c r="C29283" s="36"/>
      <c r="E29283" s="1"/>
      <c r="F29283" s="1"/>
      <c r="G29283" s="1"/>
    </row>
    <row r="29284">
      <c r="B29284" s="36"/>
      <c r="C29284" s="36"/>
      <c r="E29284" s="1"/>
      <c r="F29284" s="1"/>
      <c r="G29284" s="1"/>
    </row>
    <row r="29285">
      <c r="B29285" s="36"/>
      <c r="C29285" s="36"/>
      <c r="E29285" s="1"/>
      <c r="F29285" s="1"/>
      <c r="G29285" s="1"/>
    </row>
    <row r="29286">
      <c r="B29286" s="36"/>
      <c r="C29286" s="36"/>
      <c r="E29286" s="1"/>
      <c r="F29286" s="1"/>
      <c r="G29286" s="1"/>
    </row>
    <row r="29287">
      <c r="B29287" s="36"/>
      <c r="C29287" s="36"/>
      <c r="E29287" s="1"/>
      <c r="F29287" s="1"/>
      <c r="G29287" s="1"/>
    </row>
    <row r="29288">
      <c r="B29288" s="36"/>
      <c r="C29288" s="36"/>
      <c r="E29288" s="1"/>
      <c r="F29288" s="1"/>
      <c r="G29288" s="1"/>
    </row>
    <row r="29289">
      <c r="B29289" s="36"/>
      <c r="C29289" s="36"/>
      <c r="E29289" s="1"/>
      <c r="F29289" s="1"/>
      <c r="G29289" s="1"/>
    </row>
    <row r="29290">
      <c r="B29290" s="36"/>
      <c r="C29290" s="36"/>
      <c r="E29290" s="1"/>
      <c r="F29290" s="1"/>
      <c r="G29290" s="1"/>
    </row>
    <row r="29291">
      <c r="B29291" s="36"/>
      <c r="C29291" s="36"/>
      <c r="E29291" s="1"/>
      <c r="F29291" s="1"/>
      <c r="G29291" s="1"/>
    </row>
    <row r="29292">
      <c r="B29292" s="36"/>
      <c r="C29292" s="36"/>
      <c r="E29292" s="1"/>
      <c r="F29292" s="1"/>
      <c r="G29292" s="1"/>
    </row>
    <row r="29293">
      <c r="B29293" s="36"/>
      <c r="C29293" s="36"/>
      <c r="E29293" s="1"/>
      <c r="F29293" s="1"/>
      <c r="G29293" s="1"/>
    </row>
    <row r="29294">
      <c r="B29294" s="36"/>
      <c r="C29294" s="36"/>
      <c r="E29294" s="1"/>
      <c r="F29294" s="1"/>
      <c r="G29294" s="1"/>
    </row>
    <row r="29295">
      <c r="B29295" s="36"/>
      <c r="C29295" s="36"/>
      <c r="E29295" s="1"/>
      <c r="F29295" s="1"/>
      <c r="G29295" s="1"/>
    </row>
    <row r="29296">
      <c r="B29296" s="36"/>
      <c r="C29296" s="36"/>
      <c r="E29296" s="1"/>
      <c r="F29296" s="1"/>
      <c r="G29296" s="1"/>
    </row>
    <row r="29297">
      <c r="B29297" s="36"/>
      <c r="C29297" s="36"/>
      <c r="E29297" s="1"/>
      <c r="F29297" s="1"/>
      <c r="G29297" s="1"/>
    </row>
    <row r="29298">
      <c r="B29298" s="36"/>
      <c r="C29298" s="36"/>
      <c r="E29298" s="1"/>
      <c r="F29298" s="1"/>
      <c r="G29298" s="1"/>
    </row>
    <row r="29299">
      <c r="B29299" s="36"/>
      <c r="C29299" s="36"/>
      <c r="E29299" s="1"/>
      <c r="F29299" s="1"/>
      <c r="G29299" s="1"/>
    </row>
    <row r="29300">
      <c r="B29300" s="36"/>
      <c r="C29300" s="36"/>
      <c r="E29300" s="1"/>
      <c r="F29300" s="1"/>
      <c r="G29300" s="1"/>
    </row>
    <row r="29301">
      <c r="B29301" s="36"/>
      <c r="C29301" s="36"/>
      <c r="E29301" s="1"/>
      <c r="F29301" s="1"/>
      <c r="G29301" s="1"/>
    </row>
    <row r="29302">
      <c r="B29302" s="36"/>
      <c r="C29302" s="36"/>
      <c r="E29302" s="1"/>
      <c r="F29302" s="1"/>
      <c r="G29302" s="1"/>
    </row>
    <row r="29303">
      <c r="B29303" s="36"/>
      <c r="C29303" s="36"/>
      <c r="E29303" s="1"/>
      <c r="F29303" s="1"/>
      <c r="G29303" s="1"/>
    </row>
    <row r="29304">
      <c r="B29304" s="36"/>
      <c r="C29304" s="36"/>
      <c r="E29304" s="1"/>
      <c r="F29304" s="1"/>
      <c r="G29304" s="1"/>
    </row>
    <row r="29305">
      <c r="B29305" s="36"/>
      <c r="C29305" s="36"/>
      <c r="E29305" s="1"/>
      <c r="F29305" s="1"/>
      <c r="G29305" s="1"/>
    </row>
    <row r="29306">
      <c r="B29306" s="36"/>
      <c r="C29306" s="36"/>
      <c r="E29306" s="1"/>
      <c r="F29306" s="1"/>
      <c r="G29306" s="1"/>
    </row>
    <row r="29307">
      <c r="B29307" s="36"/>
      <c r="C29307" s="36"/>
      <c r="E29307" s="1"/>
      <c r="F29307" s="1"/>
      <c r="G29307" s="1"/>
    </row>
    <row r="29308">
      <c r="B29308" s="36"/>
      <c r="C29308" s="36"/>
      <c r="E29308" s="1"/>
      <c r="F29308" s="1"/>
      <c r="G29308" s="1"/>
    </row>
    <row r="29309">
      <c r="B29309" s="36"/>
      <c r="C29309" s="36"/>
      <c r="E29309" s="1"/>
      <c r="F29309" s="1"/>
      <c r="G29309" s="1"/>
    </row>
    <row r="29310">
      <c r="B29310" s="36"/>
      <c r="C29310" s="36"/>
      <c r="E29310" s="1"/>
      <c r="F29310" s="1"/>
      <c r="G29310" s="1"/>
    </row>
    <row r="29311">
      <c r="B29311" s="36"/>
      <c r="C29311" s="36"/>
      <c r="E29311" s="1"/>
      <c r="F29311" s="1"/>
      <c r="G29311" s="1"/>
    </row>
    <row r="29312">
      <c r="B29312" s="36"/>
      <c r="C29312" s="36"/>
      <c r="E29312" s="1"/>
      <c r="F29312" s="1"/>
      <c r="G29312" s="1"/>
    </row>
    <row r="29313">
      <c r="B29313" s="36"/>
      <c r="C29313" s="36"/>
      <c r="E29313" s="1"/>
      <c r="F29313" s="1"/>
      <c r="G29313" s="1"/>
    </row>
    <row r="29314">
      <c r="B29314" s="36"/>
      <c r="C29314" s="36"/>
      <c r="E29314" s="1"/>
      <c r="F29314" s="1"/>
      <c r="G29314" s="1"/>
    </row>
    <row r="29315">
      <c r="B29315" s="36"/>
      <c r="C29315" s="36"/>
      <c r="E29315" s="1"/>
      <c r="F29315" s="1"/>
      <c r="G29315" s="1"/>
    </row>
    <row r="29316">
      <c r="B29316" s="36"/>
      <c r="C29316" s="36"/>
      <c r="E29316" s="1"/>
      <c r="F29316" s="1"/>
      <c r="G29316" s="1"/>
    </row>
    <row r="29317">
      <c r="B29317" s="36"/>
      <c r="C29317" s="36"/>
      <c r="E29317" s="1"/>
      <c r="F29317" s="1"/>
      <c r="G29317" s="1"/>
    </row>
    <row r="29318">
      <c r="B29318" s="36"/>
      <c r="C29318" s="36"/>
      <c r="E29318" s="1"/>
      <c r="F29318" s="1"/>
      <c r="G29318" s="1"/>
    </row>
    <row r="29319">
      <c r="B29319" s="36"/>
      <c r="C29319" s="36"/>
      <c r="E29319" s="1"/>
      <c r="F29319" s="1"/>
      <c r="G29319" s="1"/>
    </row>
    <row r="29320">
      <c r="B29320" s="36"/>
      <c r="C29320" s="36"/>
      <c r="E29320" s="1"/>
      <c r="F29320" s="1"/>
      <c r="G29320" s="1"/>
    </row>
    <row r="29321">
      <c r="B29321" s="36"/>
      <c r="C29321" s="36"/>
      <c r="E29321" s="1"/>
      <c r="F29321" s="1"/>
      <c r="G29321" s="1"/>
    </row>
    <row r="29322">
      <c r="B29322" s="36"/>
      <c r="C29322" s="36"/>
      <c r="E29322" s="1"/>
      <c r="F29322" s="1"/>
      <c r="G29322" s="1"/>
    </row>
    <row r="29323">
      <c r="B29323" s="36"/>
      <c r="C29323" s="36"/>
      <c r="E29323" s="1"/>
      <c r="F29323" s="1"/>
      <c r="G29323" s="1"/>
    </row>
    <row r="29324">
      <c r="B29324" s="36"/>
      <c r="C29324" s="36"/>
      <c r="E29324" s="1"/>
      <c r="F29324" s="1"/>
      <c r="G29324" s="1"/>
    </row>
    <row r="29325">
      <c r="B29325" s="36"/>
      <c r="C29325" s="36"/>
      <c r="E29325" s="1"/>
      <c r="F29325" s="1"/>
      <c r="G29325" s="1"/>
    </row>
    <row r="29326">
      <c r="B29326" s="36"/>
      <c r="C29326" s="36"/>
      <c r="E29326" s="1"/>
      <c r="F29326" s="1"/>
      <c r="G29326" s="1"/>
    </row>
    <row r="29327">
      <c r="B29327" s="36"/>
      <c r="C29327" s="36"/>
      <c r="E29327" s="1"/>
      <c r="F29327" s="1"/>
      <c r="G29327" s="1"/>
    </row>
    <row r="29328">
      <c r="B29328" s="36"/>
      <c r="C29328" s="36"/>
      <c r="E29328" s="1"/>
      <c r="F29328" s="1"/>
      <c r="G29328" s="1"/>
    </row>
    <row r="29329">
      <c r="B29329" s="36"/>
      <c r="C29329" s="36"/>
      <c r="E29329" s="1"/>
      <c r="F29329" s="1"/>
      <c r="G29329" s="1"/>
    </row>
    <row r="29330">
      <c r="B29330" s="36"/>
      <c r="C29330" s="36"/>
      <c r="E29330" s="1"/>
      <c r="F29330" s="1"/>
      <c r="G29330" s="1"/>
    </row>
    <row r="29331">
      <c r="B29331" s="36"/>
      <c r="C29331" s="36"/>
      <c r="E29331" s="1"/>
      <c r="F29331" s="1"/>
      <c r="G29331" s="1"/>
    </row>
    <row r="29332">
      <c r="B29332" s="36"/>
      <c r="C29332" s="36"/>
      <c r="E29332" s="1"/>
      <c r="F29332" s="1"/>
      <c r="G29332" s="1"/>
    </row>
    <row r="29333">
      <c r="B29333" s="36"/>
      <c r="C29333" s="36"/>
      <c r="E29333" s="1"/>
      <c r="F29333" s="1"/>
      <c r="G29333" s="1"/>
    </row>
    <row r="29334">
      <c r="B29334" s="36"/>
      <c r="C29334" s="36"/>
      <c r="E29334" s="1"/>
      <c r="F29334" s="1"/>
      <c r="G29334" s="1"/>
    </row>
    <row r="29335">
      <c r="B29335" s="36"/>
      <c r="C29335" s="36"/>
      <c r="E29335" s="1"/>
      <c r="F29335" s="1"/>
      <c r="G29335" s="1"/>
    </row>
    <row r="29336">
      <c r="B29336" s="36"/>
      <c r="C29336" s="36"/>
      <c r="E29336" s="1"/>
      <c r="F29336" s="1"/>
      <c r="G29336" s="1"/>
    </row>
    <row r="29337">
      <c r="B29337" s="36"/>
      <c r="C29337" s="36"/>
      <c r="E29337" s="1"/>
      <c r="F29337" s="1"/>
      <c r="G29337" s="1"/>
    </row>
    <row r="29338">
      <c r="B29338" s="36"/>
      <c r="C29338" s="36"/>
      <c r="E29338" s="1"/>
      <c r="F29338" s="1"/>
      <c r="G29338" s="1"/>
    </row>
    <row r="29339">
      <c r="B29339" s="36"/>
      <c r="C29339" s="36"/>
      <c r="E29339" s="1"/>
      <c r="F29339" s="1"/>
      <c r="G29339" s="1"/>
    </row>
    <row r="29340">
      <c r="B29340" s="36"/>
      <c r="C29340" s="36"/>
      <c r="E29340" s="1"/>
      <c r="F29340" s="1"/>
      <c r="G29340" s="1"/>
    </row>
    <row r="29341">
      <c r="B29341" s="36"/>
      <c r="C29341" s="36"/>
      <c r="E29341" s="1"/>
      <c r="F29341" s="1"/>
      <c r="G29341" s="1"/>
    </row>
    <row r="29342">
      <c r="B29342" s="36"/>
      <c r="C29342" s="36"/>
      <c r="E29342" s="1"/>
      <c r="F29342" s="1"/>
      <c r="G29342" s="1"/>
    </row>
    <row r="29343">
      <c r="B29343" s="36"/>
      <c r="C29343" s="36"/>
      <c r="E29343" s="1"/>
      <c r="F29343" s="1"/>
      <c r="G29343" s="1"/>
    </row>
    <row r="29344">
      <c r="B29344" s="36"/>
      <c r="C29344" s="36"/>
      <c r="E29344" s="1"/>
      <c r="F29344" s="1"/>
      <c r="G29344" s="1"/>
    </row>
    <row r="29345">
      <c r="B29345" s="36"/>
      <c r="C29345" s="36"/>
      <c r="E29345" s="1"/>
      <c r="F29345" s="1"/>
      <c r="G29345" s="1"/>
    </row>
    <row r="29346">
      <c r="B29346" s="36"/>
      <c r="C29346" s="36"/>
      <c r="E29346" s="1"/>
      <c r="F29346" s="1"/>
      <c r="G29346" s="1"/>
    </row>
    <row r="29347">
      <c r="B29347" s="36"/>
      <c r="C29347" s="36"/>
      <c r="E29347" s="1"/>
      <c r="F29347" s="1"/>
      <c r="G29347" s="1"/>
    </row>
    <row r="29348">
      <c r="B29348" s="36"/>
      <c r="C29348" s="36"/>
      <c r="E29348" s="1"/>
      <c r="F29348" s="1"/>
      <c r="G29348" s="1"/>
    </row>
    <row r="29349">
      <c r="B29349" s="36"/>
      <c r="C29349" s="36"/>
      <c r="E29349" s="1"/>
      <c r="F29349" s="1"/>
      <c r="G29349" s="1"/>
    </row>
    <row r="29350">
      <c r="B29350" s="36"/>
      <c r="C29350" s="36"/>
      <c r="E29350" s="1"/>
      <c r="F29350" s="1"/>
      <c r="G29350" s="1"/>
    </row>
    <row r="29351">
      <c r="B29351" s="36"/>
      <c r="C29351" s="36"/>
      <c r="E29351" s="1"/>
      <c r="F29351" s="1"/>
      <c r="G29351" s="1"/>
    </row>
    <row r="29352">
      <c r="B29352" s="36"/>
      <c r="C29352" s="36"/>
      <c r="E29352" s="1"/>
      <c r="F29352" s="1"/>
      <c r="G29352" s="1"/>
    </row>
    <row r="29353">
      <c r="B29353" s="36"/>
      <c r="C29353" s="36"/>
      <c r="E29353" s="1"/>
      <c r="F29353" s="1"/>
      <c r="G29353" s="1"/>
    </row>
    <row r="29354">
      <c r="B29354" s="36"/>
      <c r="C29354" s="36"/>
      <c r="E29354" s="1"/>
      <c r="F29354" s="1"/>
      <c r="G29354" s="1"/>
    </row>
    <row r="29355">
      <c r="B29355" s="36"/>
      <c r="C29355" s="36"/>
      <c r="E29355" s="1"/>
      <c r="F29355" s="1"/>
      <c r="G29355" s="1"/>
    </row>
    <row r="29356">
      <c r="B29356" s="36"/>
      <c r="C29356" s="36"/>
      <c r="E29356" s="1"/>
      <c r="F29356" s="1"/>
      <c r="G29356" s="1"/>
    </row>
    <row r="29357">
      <c r="B29357" s="36"/>
      <c r="C29357" s="36"/>
      <c r="E29357" s="1"/>
      <c r="F29357" s="1"/>
      <c r="G29357" s="1"/>
    </row>
    <row r="29358">
      <c r="B29358" s="36"/>
      <c r="C29358" s="36"/>
      <c r="E29358" s="1"/>
      <c r="F29358" s="1"/>
      <c r="G29358" s="1"/>
    </row>
    <row r="29359">
      <c r="B29359" s="36"/>
      <c r="C29359" s="36"/>
      <c r="E29359" s="1"/>
      <c r="F29359" s="1"/>
      <c r="G29359" s="1"/>
    </row>
    <row r="29360">
      <c r="B29360" s="36"/>
      <c r="C29360" s="36"/>
      <c r="E29360" s="1"/>
      <c r="F29360" s="1"/>
      <c r="G29360" s="1"/>
    </row>
    <row r="29361">
      <c r="B29361" s="36"/>
      <c r="C29361" s="36"/>
      <c r="E29361" s="1"/>
      <c r="F29361" s="1"/>
      <c r="G29361" s="1"/>
    </row>
    <row r="29362">
      <c r="B29362" s="36"/>
      <c r="C29362" s="36"/>
      <c r="E29362" s="1"/>
      <c r="F29362" s="1"/>
      <c r="G29362" s="1"/>
    </row>
    <row r="29363">
      <c r="B29363" s="36"/>
      <c r="C29363" s="36"/>
      <c r="E29363" s="1"/>
      <c r="F29363" s="1"/>
      <c r="G29363" s="1"/>
    </row>
    <row r="29364">
      <c r="B29364" s="36"/>
      <c r="C29364" s="36"/>
      <c r="E29364" s="1"/>
      <c r="F29364" s="1"/>
      <c r="G29364" s="1"/>
    </row>
    <row r="29365">
      <c r="B29365" s="36"/>
      <c r="C29365" s="36"/>
      <c r="E29365" s="1"/>
      <c r="F29365" s="1"/>
      <c r="G29365" s="1"/>
    </row>
    <row r="29366">
      <c r="B29366" s="36"/>
      <c r="C29366" s="36"/>
      <c r="E29366" s="1"/>
      <c r="F29366" s="1"/>
      <c r="G29366" s="1"/>
    </row>
    <row r="29367">
      <c r="B29367" s="36"/>
      <c r="C29367" s="36"/>
      <c r="E29367" s="1"/>
      <c r="F29367" s="1"/>
      <c r="G29367" s="1"/>
    </row>
    <row r="29368">
      <c r="B29368" s="36"/>
      <c r="C29368" s="36"/>
      <c r="E29368" s="1"/>
      <c r="F29368" s="1"/>
      <c r="G29368" s="1"/>
    </row>
    <row r="29369">
      <c r="B29369" s="36"/>
      <c r="C29369" s="36"/>
      <c r="E29369" s="1"/>
      <c r="F29369" s="1"/>
      <c r="G29369" s="1"/>
    </row>
    <row r="29370">
      <c r="B29370" s="36"/>
      <c r="C29370" s="36"/>
      <c r="E29370" s="1"/>
      <c r="F29370" s="1"/>
      <c r="G29370" s="1"/>
    </row>
    <row r="29371">
      <c r="B29371" s="36"/>
      <c r="C29371" s="36"/>
      <c r="E29371" s="1"/>
      <c r="F29371" s="1"/>
      <c r="G29371" s="1"/>
    </row>
    <row r="29372">
      <c r="B29372" s="36"/>
      <c r="C29372" s="36"/>
      <c r="E29372" s="1"/>
      <c r="F29372" s="1"/>
      <c r="G29372" s="1"/>
    </row>
    <row r="29373">
      <c r="B29373" s="36"/>
      <c r="C29373" s="36"/>
      <c r="E29373" s="1"/>
      <c r="F29373" s="1"/>
      <c r="G29373" s="1"/>
    </row>
    <row r="29374">
      <c r="B29374" s="36"/>
      <c r="C29374" s="36"/>
      <c r="E29374" s="1"/>
      <c r="F29374" s="1"/>
      <c r="G29374" s="1"/>
    </row>
    <row r="29375">
      <c r="B29375" s="36"/>
      <c r="C29375" s="36"/>
      <c r="E29375" s="1"/>
      <c r="F29375" s="1"/>
      <c r="G29375" s="1"/>
    </row>
    <row r="29376">
      <c r="B29376" s="36"/>
      <c r="C29376" s="36"/>
      <c r="E29376" s="1"/>
      <c r="F29376" s="1"/>
      <c r="G29376" s="1"/>
    </row>
    <row r="29377">
      <c r="B29377" s="36"/>
      <c r="C29377" s="36"/>
      <c r="E29377" s="1"/>
      <c r="F29377" s="1"/>
      <c r="G29377" s="1"/>
    </row>
    <row r="29378">
      <c r="B29378" s="36"/>
      <c r="C29378" s="36"/>
      <c r="E29378" s="1"/>
      <c r="F29378" s="1"/>
      <c r="G29378" s="1"/>
    </row>
    <row r="29379">
      <c r="B29379" s="36"/>
      <c r="C29379" s="36"/>
      <c r="E29379" s="1"/>
      <c r="F29379" s="1"/>
      <c r="G29379" s="1"/>
    </row>
    <row r="29380">
      <c r="B29380" s="36"/>
      <c r="C29380" s="36"/>
      <c r="E29380" s="1"/>
      <c r="F29380" s="1"/>
      <c r="G29380" s="1"/>
    </row>
    <row r="29381">
      <c r="B29381" s="36"/>
      <c r="C29381" s="36"/>
      <c r="E29381" s="1"/>
      <c r="F29381" s="1"/>
      <c r="G29381" s="1"/>
    </row>
    <row r="29382">
      <c r="B29382" s="36"/>
      <c r="C29382" s="36"/>
      <c r="E29382" s="1"/>
      <c r="F29382" s="1"/>
      <c r="G29382" s="1"/>
    </row>
    <row r="29383">
      <c r="B29383" s="36"/>
      <c r="C29383" s="36"/>
      <c r="E29383" s="1"/>
      <c r="F29383" s="1"/>
      <c r="G29383" s="1"/>
    </row>
    <row r="29384">
      <c r="B29384" s="36"/>
      <c r="C29384" s="36"/>
      <c r="E29384" s="1"/>
      <c r="F29384" s="1"/>
      <c r="G29384" s="1"/>
    </row>
    <row r="29385">
      <c r="B29385" s="36"/>
      <c r="C29385" s="36"/>
      <c r="E29385" s="1"/>
      <c r="F29385" s="1"/>
      <c r="G29385" s="1"/>
    </row>
    <row r="29386">
      <c r="B29386" s="36"/>
      <c r="C29386" s="36"/>
      <c r="E29386" s="1"/>
      <c r="F29386" s="1"/>
      <c r="G29386" s="1"/>
    </row>
    <row r="29387">
      <c r="B29387" s="36"/>
      <c r="C29387" s="36"/>
      <c r="E29387" s="1"/>
      <c r="F29387" s="1"/>
      <c r="G29387" s="1"/>
    </row>
    <row r="29388">
      <c r="B29388" s="36"/>
      <c r="C29388" s="36"/>
      <c r="E29388" s="1"/>
      <c r="F29388" s="1"/>
      <c r="G29388" s="1"/>
    </row>
    <row r="29389">
      <c r="B29389" s="36"/>
      <c r="C29389" s="36"/>
      <c r="E29389" s="1"/>
      <c r="F29389" s="1"/>
      <c r="G29389" s="1"/>
    </row>
    <row r="29390">
      <c r="B29390" s="36"/>
      <c r="C29390" s="36"/>
      <c r="E29390" s="1"/>
      <c r="F29390" s="1"/>
      <c r="G29390" s="1"/>
    </row>
    <row r="29391">
      <c r="B29391" s="36"/>
      <c r="C29391" s="36"/>
      <c r="E29391" s="1"/>
      <c r="F29391" s="1"/>
      <c r="G29391" s="1"/>
    </row>
    <row r="29392">
      <c r="B29392" s="36"/>
      <c r="C29392" s="36"/>
      <c r="E29392" s="1"/>
      <c r="F29392" s="1"/>
      <c r="G29392" s="1"/>
    </row>
    <row r="29393">
      <c r="B29393" s="36"/>
      <c r="C29393" s="36"/>
      <c r="E29393" s="1"/>
      <c r="F29393" s="1"/>
      <c r="G29393" s="1"/>
    </row>
    <row r="29394">
      <c r="B29394" s="36"/>
      <c r="C29394" s="36"/>
      <c r="E29394" s="1"/>
      <c r="F29394" s="1"/>
      <c r="G29394" s="1"/>
    </row>
    <row r="29395">
      <c r="B29395" s="36"/>
      <c r="C29395" s="36"/>
      <c r="E29395" s="1"/>
      <c r="F29395" s="1"/>
      <c r="G29395" s="1"/>
    </row>
    <row r="29396">
      <c r="B29396" s="36"/>
      <c r="C29396" s="36"/>
      <c r="E29396" s="1"/>
      <c r="F29396" s="1"/>
      <c r="G29396" s="1"/>
    </row>
    <row r="29397">
      <c r="B29397" s="36"/>
      <c r="C29397" s="36"/>
      <c r="E29397" s="1"/>
      <c r="F29397" s="1"/>
      <c r="G29397" s="1"/>
    </row>
    <row r="29398">
      <c r="B29398" s="36"/>
      <c r="C29398" s="36"/>
      <c r="E29398" s="1"/>
      <c r="F29398" s="1"/>
      <c r="G29398" s="1"/>
    </row>
    <row r="29399">
      <c r="B29399" s="36"/>
      <c r="C29399" s="36"/>
      <c r="E29399" s="1"/>
      <c r="F29399" s="1"/>
      <c r="G29399" s="1"/>
    </row>
    <row r="29400">
      <c r="B29400" s="36"/>
      <c r="C29400" s="36"/>
      <c r="E29400" s="1"/>
      <c r="F29400" s="1"/>
      <c r="G29400" s="1"/>
    </row>
    <row r="29401">
      <c r="B29401" s="36"/>
      <c r="C29401" s="36"/>
      <c r="E29401" s="1"/>
      <c r="F29401" s="1"/>
      <c r="G29401" s="1"/>
    </row>
    <row r="29402">
      <c r="B29402" s="36"/>
      <c r="C29402" s="36"/>
      <c r="E29402" s="1"/>
      <c r="F29402" s="1"/>
      <c r="G29402" s="1"/>
    </row>
    <row r="29403">
      <c r="B29403" s="36"/>
      <c r="C29403" s="36"/>
      <c r="E29403" s="1"/>
      <c r="F29403" s="1"/>
      <c r="G29403" s="1"/>
    </row>
    <row r="29404">
      <c r="B29404" s="36"/>
      <c r="C29404" s="36"/>
      <c r="E29404" s="1"/>
      <c r="F29404" s="1"/>
      <c r="G29404" s="1"/>
    </row>
    <row r="29405">
      <c r="B29405" s="36"/>
      <c r="C29405" s="36"/>
      <c r="E29405" s="1"/>
      <c r="F29405" s="1"/>
      <c r="G29405" s="1"/>
    </row>
    <row r="29406">
      <c r="B29406" s="36"/>
      <c r="C29406" s="36"/>
      <c r="E29406" s="1"/>
      <c r="F29406" s="1"/>
      <c r="G29406" s="1"/>
    </row>
    <row r="29407">
      <c r="B29407" s="36"/>
      <c r="C29407" s="36"/>
      <c r="E29407" s="1"/>
      <c r="F29407" s="1"/>
      <c r="G29407" s="1"/>
    </row>
    <row r="29408">
      <c r="B29408" s="36"/>
      <c r="C29408" s="36"/>
      <c r="E29408" s="1"/>
      <c r="F29408" s="1"/>
      <c r="G29408" s="1"/>
    </row>
    <row r="29409">
      <c r="B29409" s="36"/>
      <c r="C29409" s="36"/>
      <c r="E29409" s="1"/>
      <c r="F29409" s="1"/>
      <c r="G29409" s="1"/>
    </row>
    <row r="29410">
      <c r="B29410" s="36"/>
      <c r="C29410" s="36"/>
      <c r="E29410" s="1"/>
      <c r="F29410" s="1"/>
      <c r="G29410" s="1"/>
    </row>
    <row r="29411">
      <c r="B29411" s="36"/>
      <c r="C29411" s="36"/>
      <c r="E29411" s="1"/>
      <c r="F29411" s="1"/>
      <c r="G29411" s="1"/>
    </row>
    <row r="29412">
      <c r="B29412" s="36"/>
      <c r="C29412" s="36"/>
      <c r="E29412" s="1"/>
      <c r="F29412" s="1"/>
      <c r="G29412" s="1"/>
    </row>
    <row r="29413">
      <c r="B29413" s="36"/>
      <c r="C29413" s="36"/>
      <c r="E29413" s="1"/>
      <c r="F29413" s="1"/>
      <c r="G29413" s="1"/>
    </row>
    <row r="29414">
      <c r="B29414" s="36"/>
      <c r="C29414" s="36"/>
      <c r="E29414" s="1"/>
      <c r="F29414" s="1"/>
      <c r="G29414" s="1"/>
    </row>
    <row r="29415">
      <c r="B29415" s="36"/>
      <c r="C29415" s="36"/>
      <c r="E29415" s="1"/>
      <c r="F29415" s="1"/>
      <c r="G29415" s="1"/>
    </row>
    <row r="29416">
      <c r="B29416" s="36"/>
      <c r="C29416" s="36"/>
      <c r="E29416" s="1"/>
      <c r="F29416" s="1"/>
      <c r="G29416" s="1"/>
    </row>
    <row r="29417">
      <c r="B29417" s="36"/>
      <c r="C29417" s="36"/>
      <c r="E29417" s="1"/>
      <c r="F29417" s="1"/>
      <c r="G29417" s="1"/>
    </row>
    <row r="29418">
      <c r="B29418" s="36"/>
      <c r="C29418" s="36"/>
      <c r="E29418" s="1"/>
      <c r="F29418" s="1"/>
      <c r="G29418" s="1"/>
    </row>
    <row r="29419">
      <c r="B29419" s="36"/>
      <c r="C29419" s="36"/>
      <c r="E29419" s="1"/>
      <c r="F29419" s="1"/>
      <c r="G29419" s="1"/>
    </row>
    <row r="29420">
      <c r="B29420" s="36"/>
      <c r="C29420" s="36"/>
      <c r="E29420" s="1"/>
      <c r="F29420" s="1"/>
      <c r="G29420" s="1"/>
    </row>
    <row r="29421">
      <c r="B29421" s="36"/>
      <c r="C29421" s="36"/>
      <c r="E29421" s="1"/>
      <c r="F29421" s="1"/>
      <c r="G29421" s="1"/>
    </row>
    <row r="29422">
      <c r="B29422" s="36"/>
      <c r="C29422" s="36"/>
      <c r="E29422" s="1"/>
      <c r="F29422" s="1"/>
      <c r="G29422" s="1"/>
    </row>
    <row r="29423">
      <c r="B29423" s="36"/>
      <c r="C29423" s="36"/>
      <c r="E29423" s="1"/>
      <c r="F29423" s="1"/>
      <c r="G29423" s="1"/>
    </row>
    <row r="29424">
      <c r="B29424" s="36"/>
      <c r="C29424" s="36"/>
      <c r="E29424" s="1"/>
      <c r="F29424" s="1"/>
      <c r="G29424" s="1"/>
    </row>
    <row r="29425">
      <c r="B29425" s="36"/>
      <c r="C29425" s="36"/>
      <c r="E29425" s="1"/>
      <c r="F29425" s="1"/>
      <c r="G29425" s="1"/>
    </row>
    <row r="29426">
      <c r="B29426" s="36"/>
      <c r="C29426" s="36"/>
      <c r="E29426" s="1"/>
      <c r="F29426" s="1"/>
      <c r="G29426" s="1"/>
    </row>
    <row r="29427">
      <c r="B29427" s="36"/>
      <c r="C29427" s="36"/>
      <c r="E29427" s="1"/>
      <c r="F29427" s="1"/>
      <c r="G29427" s="1"/>
    </row>
    <row r="29428">
      <c r="B29428" s="36"/>
      <c r="C29428" s="36"/>
      <c r="E29428" s="1"/>
      <c r="F29428" s="1"/>
      <c r="G29428" s="1"/>
    </row>
    <row r="29429">
      <c r="B29429" s="36"/>
      <c r="C29429" s="36"/>
      <c r="E29429" s="1"/>
      <c r="F29429" s="1"/>
      <c r="G29429" s="1"/>
    </row>
    <row r="29430">
      <c r="B29430" s="36"/>
      <c r="C29430" s="36"/>
      <c r="E29430" s="1"/>
      <c r="F29430" s="1"/>
      <c r="G29430" s="1"/>
    </row>
    <row r="29431">
      <c r="B29431" s="36"/>
      <c r="C29431" s="36"/>
      <c r="E29431" s="1"/>
      <c r="F29431" s="1"/>
      <c r="G29431" s="1"/>
    </row>
    <row r="29432">
      <c r="B29432" s="36"/>
      <c r="C29432" s="36"/>
      <c r="E29432" s="1"/>
      <c r="F29432" s="1"/>
      <c r="G29432" s="1"/>
    </row>
    <row r="29433">
      <c r="B29433" s="36"/>
      <c r="C29433" s="36"/>
      <c r="E29433" s="1"/>
      <c r="F29433" s="1"/>
      <c r="G29433" s="1"/>
    </row>
    <row r="29434">
      <c r="B29434" s="36"/>
      <c r="C29434" s="36"/>
      <c r="E29434" s="1"/>
      <c r="F29434" s="1"/>
      <c r="G29434" s="1"/>
    </row>
    <row r="29435">
      <c r="B29435" s="36"/>
      <c r="C29435" s="36"/>
      <c r="E29435" s="1"/>
      <c r="F29435" s="1"/>
      <c r="G29435" s="1"/>
    </row>
    <row r="29436">
      <c r="B29436" s="36"/>
      <c r="C29436" s="36"/>
      <c r="E29436" s="1"/>
      <c r="F29436" s="1"/>
      <c r="G29436" s="1"/>
    </row>
    <row r="29437">
      <c r="B29437" s="36"/>
      <c r="C29437" s="36"/>
      <c r="E29437" s="1"/>
      <c r="F29437" s="1"/>
      <c r="G29437" s="1"/>
    </row>
    <row r="29438">
      <c r="B29438" s="36"/>
      <c r="C29438" s="36"/>
      <c r="E29438" s="1"/>
      <c r="F29438" s="1"/>
      <c r="G29438" s="1"/>
    </row>
    <row r="29439">
      <c r="B29439" s="36"/>
      <c r="C29439" s="36"/>
      <c r="E29439" s="1"/>
      <c r="F29439" s="1"/>
      <c r="G29439" s="1"/>
    </row>
    <row r="29440">
      <c r="B29440" s="36"/>
      <c r="C29440" s="36"/>
      <c r="E29440" s="1"/>
      <c r="F29440" s="1"/>
      <c r="G29440" s="1"/>
    </row>
    <row r="29441">
      <c r="B29441" s="36"/>
      <c r="C29441" s="36"/>
      <c r="E29441" s="1"/>
      <c r="F29441" s="1"/>
      <c r="G29441" s="1"/>
    </row>
    <row r="29442">
      <c r="B29442" s="36"/>
      <c r="C29442" s="36"/>
      <c r="E29442" s="1"/>
      <c r="F29442" s="1"/>
      <c r="G29442" s="1"/>
    </row>
    <row r="29443">
      <c r="B29443" s="36"/>
      <c r="C29443" s="36"/>
      <c r="E29443" s="1"/>
      <c r="F29443" s="1"/>
      <c r="G29443" s="1"/>
    </row>
    <row r="29444">
      <c r="B29444" s="36"/>
      <c r="C29444" s="36"/>
      <c r="E29444" s="1"/>
      <c r="F29444" s="1"/>
      <c r="G29444" s="1"/>
    </row>
    <row r="29445">
      <c r="B29445" s="36"/>
      <c r="C29445" s="36"/>
      <c r="E29445" s="1"/>
      <c r="F29445" s="1"/>
      <c r="G29445" s="1"/>
    </row>
    <row r="29446">
      <c r="B29446" s="36"/>
      <c r="C29446" s="36"/>
      <c r="E29446" s="1"/>
      <c r="F29446" s="1"/>
      <c r="G29446" s="1"/>
    </row>
    <row r="29447">
      <c r="B29447" s="36"/>
      <c r="C29447" s="36"/>
      <c r="E29447" s="1"/>
      <c r="F29447" s="1"/>
      <c r="G29447" s="1"/>
    </row>
    <row r="29448">
      <c r="B29448" s="36"/>
      <c r="C29448" s="36"/>
      <c r="E29448" s="1"/>
      <c r="F29448" s="1"/>
      <c r="G29448" s="1"/>
    </row>
    <row r="29449">
      <c r="B29449" s="36"/>
      <c r="C29449" s="36"/>
      <c r="E29449" s="1"/>
      <c r="F29449" s="1"/>
      <c r="G29449" s="1"/>
    </row>
    <row r="29450">
      <c r="B29450" s="36"/>
      <c r="C29450" s="36"/>
      <c r="E29450" s="1"/>
      <c r="F29450" s="1"/>
      <c r="G29450" s="1"/>
    </row>
    <row r="29451">
      <c r="B29451" s="36"/>
      <c r="C29451" s="36"/>
      <c r="E29451" s="1"/>
      <c r="F29451" s="1"/>
      <c r="G29451" s="1"/>
    </row>
    <row r="29452">
      <c r="B29452" s="36"/>
      <c r="C29452" s="36"/>
      <c r="E29452" s="1"/>
      <c r="F29452" s="1"/>
      <c r="G29452" s="1"/>
    </row>
    <row r="29453">
      <c r="B29453" s="36"/>
      <c r="C29453" s="36"/>
      <c r="E29453" s="1"/>
      <c r="F29453" s="1"/>
      <c r="G29453" s="1"/>
    </row>
    <row r="29454">
      <c r="B29454" s="36"/>
      <c r="C29454" s="36"/>
      <c r="E29454" s="1"/>
      <c r="F29454" s="1"/>
      <c r="G29454" s="1"/>
    </row>
    <row r="29455">
      <c r="B29455" s="36"/>
      <c r="C29455" s="36"/>
      <c r="E29455" s="1"/>
      <c r="F29455" s="1"/>
      <c r="G29455" s="1"/>
    </row>
    <row r="29456">
      <c r="B29456" s="36"/>
      <c r="C29456" s="36"/>
      <c r="E29456" s="1"/>
      <c r="F29456" s="1"/>
      <c r="G29456" s="1"/>
    </row>
    <row r="29457">
      <c r="B29457" s="36"/>
      <c r="C29457" s="36"/>
      <c r="E29457" s="1"/>
      <c r="F29457" s="1"/>
      <c r="G29457" s="1"/>
    </row>
    <row r="29458">
      <c r="B29458" s="36"/>
      <c r="C29458" s="36"/>
      <c r="E29458" s="1"/>
      <c r="F29458" s="1"/>
      <c r="G29458" s="1"/>
    </row>
    <row r="29459">
      <c r="B29459" s="36"/>
      <c r="C29459" s="36"/>
      <c r="E29459" s="1"/>
      <c r="F29459" s="1"/>
      <c r="G29459" s="1"/>
    </row>
    <row r="29460">
      <c r="B29460" s="36"/>
      <c r="C29460" s="36"/>
      <c r="E29460" s="1"/>
      <c r="F29460" s="1"/>
      <c r="G29460" s="1"/>
    </row>
    <row r="29461">
      <c r="B29461" s="36"/>
      <c r="C29461" s="36"/>
      <c r="E29461" s="1"/>
      <c r="F29461" s="1"/>
      <c r="G29461" s="1"/>
    </row>
    <row r="29462">
      <c r="B29462" s="36"/>
      <c r="C29462" s="36"/>
      <c r="E29462" s="1"/>
      <c r="F29462" s="1"/>
      <c r="G29462" s="1"/>
    </row>
    <row r="29463">
      <c r="B29463" s="36"/>
      <c r="C29463" s="36"/>
      <c r="E29463" s="1"/>
      <c r="F29463" s="1"/>
      <c r="G29463" s="1"/>
    </row>
    <row r="29464">
      <c r="B29464" s="36"/>
      <c r="C29464" s="36"/>
      <c r="E29464" s="1"/>
      <c r="F29464" s="1"/>
      <c r="G29464" s="1"/>
    </row>
    <row r="29465">
      <c r="B29465" s="36"/>
      <c r="C29465" s="36"/>
      <c r="E29465" s="1"/>
      <c r="F29465" s="1"/>
      <c r="G29465" s="1"/>
    </row>
    <row r="29466">
      <c r="B29466" s="36"/>
      <c r="C29466" s="36"/>
      <c r="E29466" s="1"/>
      <c r="F29466" s="1"/>
      <c r="G29466" s="1"/>
    </row>
    <row r="29467">
      <c r="B29467" s="36"/>
      <c r="C29467" s="36"/>
      <c r="E29467" s="1"/>
      <c r="F29467" s="1"/>
      <c r="G29467" s="1"/>
    </row>
    <row r="29468">
      <c r="B29468" s="36"/>
      <c r="C29468" s="36"/>
      <c r="E29468" s="1"/>
      <c r="F29468" s="1"/>
      <c r="G29468" s="1"/>
    </row>
    <row r="29469">
      <c r="B29469" s="36"/>
      <c r="C29469" s="36"/>
      <c r="E29469" s="1"/>
      <c r="F29469" s="1"/>
      <c r="G29469" s="1"/>
    </row>
    <row r="29470">
      <c r="B29470" s="36"/>
      <c r="C29470" s="36"/>
      <c r="E29470" s="1"/>
      <c r="F29470" s="1"/>
      <c r="G29470" s="1"/>
    </row>
    <row r="29471">
      <c r="B29471" s="36"/>
      <c r="C29471" s="36"/>
      <c r="E29471" s="1"/>
      <c r="F29471" s="1"/>
      <c r="G29471" s="1"/>
    </row>
    <row r="29472">
      <c r="B29472" s="36"/>
      <c r="C29472" s="36"/>
      <c r="E29472" s="1"/>
      <c r="F29472" s="1"/>
      <c r="G29472" s="1"/>
    </row>
    <row r="29473">
      <c r="B29473" s="36"/>
      <c r="C29473" s="36"/>
      <c r="E29473" s="1"/>
      <c r="F29473" s="1"/>
      <c r="G29473" s="1"/>
    </row>
    <row r="29474">
      <c r="B29474" s="36"/>
      <c r="C29474" s="36"/>
      <c r="E29474" s="1"/>
      <c r="F29474" s="1"/>
      <c r="G29474" s="1"/>
    </row>
    <row r="29475">
      <c r="B29475" s="36"/>
      <c r="C29475" s="36"/>
      <c r="E29475" s="1"/>
      <c r="F29475" s="1"/>
      <c r="G29475" s="1"/>
    </row>
    <row r="29476">
      <c r="B29476" s="36"/>
      <c r="C29476" s="36"/>
      <c r="E29476" s="1"/>
      <c r="F29476" s="1"/>
      <c r="G29476" s="1"/>
    </row>
    <row r="29477">
      <c r="B29477" s="36"/>
      <c r="C29477" s="36"/>
      <c r="E29477" s="1"/>
      <c r="F29477" s="1"/>
      <c r="G29477" s="1"/>
    </row>
    <row r="29478">
      <c r="B29478" s="36"/>
      <c r="C29478" s="36"/>
      <c r="E29478" s="1"/>
      <c r="F29478" s="1"/>
      <c r="G29478" s="1"/>
    </row>
    <row r="29479">
      <c r="B29479" s="36"/>
      <c r="C29479" s="36"/>
      <c r="E29479" s="1"/>
      <c r="F29479" s="1"/>
      <c r="G29479" s="1"/>
    </row>
    <row r="29480">
      <c r="B29480" s="36"/>
      <c r="C29480" s="36"/>
      <c r="E29480" s="1"/>
      <c r="F29480" s="1"/>
      <c r="G29480" s="1"/>
    </row>
    <row r="29481">
      <c r="B29481" s="36"/>
      <c r="C29481" s="36"/>
      <c r="E29481" s="1"/>
      <c r="F29481" s="1"/>
      <c r="G29481" s="1"/>
    </row>
    <row r="29482">
      <c r="B29482" s="36"/>
      <c r="C29482" s="36"/>
      <c r="E29482" s="1"/>
      <c r="F29482" s="1"/>
      <c r="G29482" s="1"/>
    </row>
    <row r="29483">
      <c r="B29483" s="36"/>
      <c r="C29483" s="36"/>
      <c r="E29483" s="1"/>
      <c r="F29483" s="1"/>
      <c r="G29483" s="1"/>
    </row>
    <row r="29484">
      <c r="B29484" s="36"/>
      <c r="C29484" s="36"/>
      <c r="E29484" s="1"/>
      <c r="F29484" s="1"/>
      <c r="G29484" s="1"/>
    </row>
    <row r="29485">
      <c r="B29485" s="36"/>
      <c r="C29485" s="36"/>
      <c r="E29485" s="1"/>
      <c r="F29485" s="1"/>
      <c r="G29485" s="1"/>
    </row>
    <row r="29486">
      <c r="B29486" s="36"/>
      <c r="C29486" s="36"/>
      <c r="E29486" s="1"/>
      <c r="F29486" s="1"/>
      <c r="G29486" s="1"/>
    </row>
    <row r="29487">
      <c r="B29487" s="36"/>
      <c r="C29487" s="36"/>
      <c r="E29487" s="1"/>
      <c r="F29487" s="1"/>
      <c r="G29487" s="1"/>
    </row>
    <row r="29488">
      <c r="B29488" s="36"/>
      <c r="C29488" s="36"/>
      <c r="E29488" s="1"/>
      <c r="F29488" s="1"/>
      <c r="G29488" s="1"/>
    </row>
    <row r="29489">
      <c r="B29489" s="36"/>
      <c r="C29489" s="36"/>
      <c r="E29489" s="1"/>
      <c r="F29489" s="1"/>
      <c r="G29489" s="1"/>
    </row>
    <row r="29490">
      <c r="B29490" s="36"/>
      <c r="C29490" s="36"/>
      <c r="E29490" s="1"/>
      <c r="F29490" s="1"/>
      <c r="G29490" s="1"/>
    </row>
    <row r="29491">
      <c r="B29491" s="36"/>
      <c r="C29491" s="36"/>
      <c r="E29491" s="1"/>
      <c r="F29491" s="1"/>
      <c r="G29491" s="1"/>
    </row>
    <row r="29492">
      <c r="B29492" s="36"/>
      <c r="C29492" s="36"/>
      <c r="E29492" s="1"/>
      <c r="F29492" s="1"/>
      <c r="G29492" s="1"/>
    </row>
    <row r="29493">
      <c r="B29493" s="36"/>
      <c r="C29493" s="36"/>
      <c r="E29493" s="1"/>
      <c r="F29493" s="1"/>
      <c r="G29493" s="1"/>
    </row>
    <row r="29494">
      <c r="B29494" s="36"/>
      <c r="C29494" s="36"/>
      <c r="E29494" s="1"/>
      <c r="F29494" s="1"/>
      <c r="G29494" s="1"/>
    </row>
    <row r="29495">
      <c r="B29495" s="36"/>
      <c r="C29495" s="36"/>
      <c r="E29495" s="1"/>
      <c r="F29495" s="1"/>
      <c r="G29495" s="1"/>
    </row>
    <row r="29496">
      <c r="B29496" s="36"/>
      <c r="C29496" s="36"/>
      <c r="E29496" s="1"/>
      <c r="F29496" s="1"/>
      <c r="G29496" s="1"/>
    </row>
    <row r="29497">
      <c r="B29497" s="36"/>
      <c r="C29497" s="36"/>
      <c r="E29497" s="1"/>
      <c r="F29497" s="1"/>
      <c r="G29497" s="1"/>
    </row>
    <row r="29498">
      <c r="B29498" s="36"/>
      <c r="C29498" s="36"/>
      <c r="E29498" s="1"/>
      <c r="F29498" s="1"/>
      <c r="G29498" s="1"/>
    </row>
    <row r="29499">
      <c r="B29499" s="36"/>
      <c r="C29499" s="36"/>
      <c r="E29499" s="1"/>
      <c r="F29499" s="1"/>
      <c r="G29499" s="1"/>
    </row>
    <row r="29500">
      <c r="B29500" s="36"/>
      <c r="C29500" s="36"/>
      <c r="E29500" s="1"/>
      <c r="F29500" s="1"/>
      <c r="G29500" s="1"/>
    </row>
    <row r="29501">
      <c r="B29501" s="36"/>
      <c r="C29501" s="36"/>
      <c r="E29501" s="1"/>
      <c r="F29501" s="1"/>
      <c r="G29501" s="1"/>
    </row>
    <row r="29502">
      <c r="B29502" s="36"/>
      <c r="C29502" s="36"/>
      <c r="E29502" s="1"/>
      <c r="F29502" s="1"/>
      <c r="G29502" s="1"/>
    </row>
    <row r="29503">
      <c r="B29503" s="36"/>
      <c r="C29503" s="36"/>
      <c r="E29503" s="1"/>
      <c r="F29503" s="1"/>
      <c r="G29503" s="1"/>
    </row>
    <row r="29504">
      <c r="B29504" s="36"/>
      <c r="C29504" s="36"/>
      <c r="E29504" s="1"/>
      <c r="F29504" s="1"/>
      <c r="G29504" s="1"/>
    </row>
    <row r="29505">
      <c r="B29505" s="36"/>
      <c r="C29505" s="36"/>
      <c r="E29505" s="1"/>
      <c r="F29505" s="1"/>
      <c r="G29505" s="1"/>
    </row>
    <row r="29506">
      <c r="B29506" s="36"/>
      <c r="C29506" s="36"/>
      <c r="E29506" s="1"/>
      <c r="F29506" s="1"/>
      <c r="G29506" s="1"/>
    </row>
    <row r="29507">
      <c r="B29507" s="36"/>
      <c r="C29507" s="36"/>
      <c r="E29507" s="1"/>
      <c r="F29507" s="1"/>
      <c r="G29507" s="1"/>
    </row>
    <row r="29508">
      <c r="B29508" s="36"/>
      <c r="C29508" s="36"/>
      <c r="E29508" s="1"/>
      <c r="F29508" s="1"/>
      <c r="G29508" s="1"/>
    </row>
    <row r="29509">
      <c r="B29509" s="36"/>
      <c r="C29509" s="36"/>
      <c r="E29509" s="1"/>
      <c r="F29509" s="1"/>
      <c r="G29509" s="1"/>
    </row>
    <row r="29510">
      <c r="B29510" s="36"/>
      <c r="C29510" s="36"/>
      <c r="E29510" s="1"/>
      <c r="F29510" s="1"/>
      <c r="G29510" s="1"/>
    </row>
    <row r="29511">
      <c r="B29511" s="36"/>
      <c r="C29511" s="36"/>
      <c r="E29511" s="1"/>
      <c r="F29511" s="1"/>
      <c r="G29511" s="1"/>
    </row>
    <row r="29512">
      <c r="B29512" s="36"/>
      <c r="C29512" s="36"/>
      <c r="E29512" s="1"/>
      <c r="F29512" s="1"/>
      <c r="G29512" s="1"/>
    </row>
    <row r="29513">
      <c r="B29513" s="36"/>
      <c r="C29513" s="36"/>
      <c r="E29513" s="1"/>
      <c r="F29513" s="1"/>
      <c r="G29513" s="1"/>
    </row>
    <row r="29514">
      <c r="B29514" s="36"/>
      <c r="C29514" s="36"/>
      <c r="E29514" s="1"/>
      <c r="F29514" s="1"/>
      <c r="G29514" s="1"/>
    </row>
    <row r="29515">
      <c r="B29515" s="36"/>
      <c r="C29515" s="36"/>
      <c r="E29515" s="1"/>
      <c r="F29515" s="1"/>
      <c r="G29515" s="1"/>
    </row>
    <row r="29516">
      <c r="B29516" s="36"/>
      <c r="C29516" s="36"/>
      <c r="E29516" s="1"/>
      <c r="F29516" s="1"/>
      <c r="G29516" s="1"/>
    </row>
    <row r="29517">
      <c r="B29517" s="36"/>
      <c r="C29517" s="36"/>
      <c r="E29517" s="1"/>
      <c r="F29517" s="1"/>
      <c r="G29517" s="1"/>
    </row>
    <row r="29518">
      <c r="B29518" s="36"/>
      <c r="C29518" s="36"/>
      <c r="E29518" s="1"/>
      <c r="F29518" s="1"/>
      <c r="G29518" s="1"/>
    </row>
    <row r="29519">
      <c r="B29519" s="36"/>
      <c r="C29519" s="36"/>
      <c r="E29519" s="1"/>
      <c r="F29519" s="1"/>
      <c r="G29519" s="1"/>
    </row>
    <row r="29520">
      <c r="B29520" s="36"/>
      <c r="C29520" s="36"/>
      <c r="E29520" s="1"/>
      <c r="F29520" s="1"/>
      <c r="G29520" s="1"/>
    </row>
    <row r="29521">
      <c r="B29521" s="36"/>
      <c r="C29521" s="36"/>
      <c r="E29521" s="1"/>
      <c r="F29521" s="1"/>
      <c r="G29521" s="1"/>
    </row>
    <row r="29522">
      <c r="B29522" s="36"/>
      <c r="C29522" s="36"/>
      <c r="E29522" s="1"/>
      <c r="F29522" s="1"/>
      <c r="G29522" s="1"/>
    </row>
    <row r="29523">
      <c r="B29523" s="36"/>
      <c r="C29523" s="36"/>
      <c r="E29523" s="1"/>
      <c r="F29523" s="1"/>
      <c r="G29523" s="1"/>
    </row>
    <row r="29524">
      <c r="B29524" s="36"/>
      <c r="C29524" s="36"/>
      <c r="E29524" s="1"/>
      <c r="F29524" s="1"/>
      <c r="G29524" s="1"/>
    </row>
    <row r="29525">
      <c r="B29525" s="36"/>
      <c r="C29525" s="36"/>
      <c r="E29525" s="1"/>
      <c r="F29525" s="1"/>
      <c r="G29525" s="1"/>
    </row>
    <row r="29526">
      <c r="B29526" s="36"/>
      <c r="C29526" s="36"/>
      <c r="E29526" s="1"/>
      <c r="F29526" s="1"/>
      <c r="G29526" s="1"/>
    </row>
    <row r="29527">
      <c r="B29527" s="36"/>
      <c r="C29527" s="36"/>
      <c r="E29527" s="1"/>
      <c r="F29527" s="1"/>
      <c r="G29527" s="1"/>
    </row>
    <row r="29528">
      <c r="B29528" s="36"/>
      <c r="C29528" s="36"/>
      <c r="E29528" s="1"/>
      <c r="F29528" s="1"/>
      <c r="G29528" s="1"/>
    </row>
    <row r="29529">
      <c r="B29529" s="36"/>
      <c r="C29529" s="36"/>
      <c r="E29529" s="1"/>
      <c r="F29529" s="1"/>
      <c r="G29529" s="1"/>
    </row>
    <row r="29530">
      <c r="B29530" s="36"/>
      <c r="C29530" s="36"/>
      <c r="E29530" s="1"/>
      <c r="F29530" s="1"/>
      <c r="G29530" s="1"/>
    </row>
    <row r="29531">
      <c r="B29531" s="36"/>
      <c r="C29531" s="36"/>
      <c r="E29531" s="1"/>
      <c r="F29531" s="1"/>
      <c r="G29531" s="1"/>
    </row>
    <row r="29532">
      <c r="B29532" s="36"/>
      <c r="C29532" s="36"/>
      <c r="E29532" s="1"/>
      <c r="F29532" s="1"/>
      <c r="G29532" s="1"/>
    </row>
    <row r="29533">
      <c r="B29533" s="36"/>
      <c r="C29533" s="36"/>
      <c r="E29533" s="1"/>
      <c r="F29533" s="1"/>
      <c r="G29533" s="1"/>
    </row>
    <row r="29534">
      <c r="B29534" s="36"/>
      <c r="C29534" s="36"/>
      <c r="E29534" s="1"/>
      <c r="F29534" s="1"/>
      <c r="G29534" s="1"/>
    </row>
    <row r="29535">
      <c r="B29535" s="36"/>
      <c r="C29535" s="36"/>
      <c r="E29535" s="1"/>
      <c r="F29535" s="1"/>
      <c r="G29535" s="1"/>
    </row>
    <row r="29536">
      <c r="B29536" s="36"/>
      <c r="C29536" s="36"/>
      <c r="E29536" s="1"/>
      <c r="F29536" s="1"/>
      <c r="G29536" s="1"/>
    </row>
    <row r="29537">
      <c r="B29537" s="36"/>
      <c r="C29537" s="36"/>
      <c r="E29537" s="1"/>
      <c r="F29537" s="1"/>
      <c r="G29537" s="1"/>
    </row>
    <row r="29538">
      <c r="B29538" s="36"/>
      <c r="C29538" s="36"/>
      <c r="E29538" s="1"/>
      <c r="F29538" s="1"/>
      <c r="G29538" s="1"/>
    </row>
    <row r="29539">
      <c r="B29539" s="36"/>
      <c r="C29539" s="36"/>
      <c r="E29539" s="1"/>
      <c r="F29539" s="1"/>
      <c r="G29539" s="1"/>
    </row>
    <row r="29540">
      <c r="B29540" s="36"/>
      <c r="C29540" s="36"/>
      <c r="E29540" s="1"/>
      <c r="F29540" s="1"/>
      <c r="G29540" s="1"/>
    </row>
    <row r="29541">
      <c r="B29541" s="36"/>
      <c r="C29541" s="36"/>
      <c r="E29541" s="1"/>
      <c r="F29541" s="1"/>
      <c r="G29541" s="1"/>
    </row>
    <row r="29542">
      <c r="B29542" s="36"/>
      <c r="C29542" s="36"/>
      <c r="E29542" s="1"/>
      <c r="F29542" s="1"/>
      <c r="G29542" s="1"/>
    </row>
    <row r="29543">
      <c r="B29543" s="36"/>
      <c r="C29543" s="36"/>
      <c r="E29543" s="1"/>
      <c r="F29543" s="1"/>
      <c r="G29543" s="1"/>
    </row>
    <row r="29544">
      <c r="B29544" s="36"/>
      <c r="C29544" s="36"/>
      <c r="E29544" s="1"/>
      <c r="F29544" s="1"/>
      <c r="G29544" s="1"/>
    </row>
    <row r="29545">
      <c r="B29545" s="36"/>
      <c r="C29545" s="36"/>
      <c r="E29545" s="1"/>
      <c r="F29545" s="1"/>
      <c r="G29545" s="1"/>
    </row>
    <row r="29546">
      <c r="B29546" s="36"/>
      <c r="C29546" s="36"/>
      <c r="E29546" s="1"/>
      <c r="F29546" s="1"/>
      <c r="G29546" s="1"/>
    </row>
    <row r="29547">
      <c r="B29547" s="36"/>
      <c r="C29547" s="36"/>
      <c r="E29547" s="1"/>
      <c r="F29547" s="1"/>
      <c r="G29547" s="1"/>
    </row>
    <row r="29548">
      <c r="B29548" s="36"/>
      <c r="C29548" s="36"/>
      <c r="E29548" s="1"/>
      <c r="F29548" s="1"/>
      <c r="G29548" s="1"/>
    </row>
    <row r="29549">
      <c r="B29549" s="36"/>
      <c r="C29549" s="36"/>
      <c r="E29549" s="1"/>
      <c r="F29549" s="1"/>
      <c r="G29549" s="1"/>
    </row>
    <row r="29550">
      <c r="B29550" s="36"/>
      <c r="C29550" s="36"/>
      <c r="E29550" s="1"/>
      <c r="F29550" s="1"/>
      <c r="G29550" s="1"/>
    </row>
    <row r="29551">
      <c r="B29551" s="36"/>
      <c r="C29551" s="36"/>
      <c r="E29551" s="1"/>
      <c r="F29551" s="1"/>
      <c r="G29551" s="1"/>
    </row>
    <row r="29552">
      <c r="B29552" s="36"/>
      <c r="C29552" s="36"/>
      <c r="E29552" s="1"/>
      <c r="F29552" s="1"/>
      <c r="G29552" s="1"/>
    </row>
    <row r="29553">
      <c r="B29553" s="36"/>
      <c r="C29553" s="36"/>
      <c r="E29553" s="1"/>
      <c r="F29553" s="1"/>
      <c r="G29553" s="1"/>
    </row>
    <row r="29554">
      <c r="B29554" s="36"/>
      <c r="C29554" s="36"/>
      <c r="E29554" s="1"/>
      <c r="F29554" s="1"/>
      <c r="G29554" s="1"/>
    </row>
    <row r="29555">
      <c r="B29555" s="36"/>
      <c r="C29555" s="36"/>
      <c r="E29555" s="1"/>
      <c r="F29555" s="1"/>
      <c r="G29555" s="1"/>
    </row>
    <row r="29556">
      <c r="B29556" s="36"/>
      <c r="C29556" s="36"/>
      <c r="E29556" s="1"/>
      <c r="F29556" s="1"/>
      <c r="G29556" s="1"/>
    </row>
    <row r="29557">
      <c r="B29557" s="36"/>
      <c r="C29557" s="36"/>
      <c r="E29557" s="1"/>
      <c r="F29557" s="1"/>
      <c r="G29557" s="1"/>
    </row>
    <row r="29558">
      <c r="B29558" s="36"/>
      <c r="C29558" s="36"/>
      <c r="E29558" s="1"/>
      <c r="F29558" s="1"/>
      <c r="G29558" s="1"/>
    </row>
    <row r="29559">
      <c r="B29559" s="36"/>
      <c r="C29559" s="36"/>
      <c r="E29559" s="1"/>
      <c r="F29559" s="1"/>
      <c r="G29559" s="1"/>
    </row>
    <row r="29560">
      <c r="B29560" s="36"/>
      <c r="C29560" s="36"/>
      <c r="E29560" s="1"/>
      <c r="F29560" s="1"/>
      <c r="G29560" s="1"/>
    </row>
    <row r="29561">
      <c r="B29561" s="36"/>
      <c r="C29561" s="36"/>
      <c r="E29561" s="1"/>
      <c r="F29561" s="1"/>
      <c r="G29561" s="1"/>
    </row>
    <row r="29562">
      <c r="B29562" s="36"/>
      <c r="C29562" s="36"/>
      <c r="E29562" s="1"/>
      <c r="F29562" s="1"/>
      <c r="G29562" s="1"/>
    </row>
    <row r="29563">
      <c r="B29563" s="36"/>
      <c r="C29563" s="36"/>
      <c r="E29563" s="1"/>
      <c r="F29563" s="1"/>
      <c r="G29563" s="1"/>
    </row>
    <row r="29564">
      <c r="B29564" s="36"/>
      <c r="C29564" s="36"/>
      <c r="E29564" s="1"/>
      <c r="F29564" s="1"/>
      <c r="G29564" s="1"/>
    </row>
    <row r="29565">
      <c r="B29565" s="36"/>
      <c r="C29565" s="36"/>
      <c r="E29565" s="1"/>
      <c r="F29565" s="1"/>
      <c r="G29565" s="1"/>
    </row>
    <row r="29566">
      <c r="B29566" s="36"/>
      <c r="C29566" s="36"/>
      <c r="E29566" s="1"/>
      <c r="F29566" s="1"/>
      <c r="G29566" s="1"/>
    </row>
    <row r="29567">
      <c r="B29567" s="36"/>
      <c r="C29567" s="36"/>
      <c r="E29567" s="1"/>
      <c r="F29567" s="1"/>
      <c r="G29567" s="1"/>
    </row>
    <row r="29568">
      <c r="B29568" s="36"/>
      <c r="C29568" s="36"/>
      <c r="E29568" s="1"/>
      <c r="F29568" s="1"/>
      <c r="G29568" s="1"/>
    </row>
    <row r="29569">
      <c r="B29569" s="36"/>
      <c r="C29569" s="36"/>
      <c r="E29569" s="1"/>
      <c r="F29569" s="1"/>
      <c r="G29569" s="1"/>
    </row>
    <row r="29570">
      <c r="B29570" s="36"/>
      <c r="C29570" s="36"/>
      <c r="E29570" s="1"/>
      <c r="F29570" s="1"/>
      <c r="G29570" s="1"/>
    </row>
    <row r="29571">
      <c r="B29571" s="36"/>
      <c r="C29571" s="36"/>
      <c r="E29571" s="1"/>
      <c r="F29571" s="1"/>
      <c r="G29571" s="1"/>
    </row>
    <row r="29572">
      <c r="B29572" s="36"/>
      <c r="C29572" s="36"/>
      <c r="E29572" s="1"/>
      <c r="F29572" s="1"/>
      <c r="G29572" s="1"/>
    </row>
    <row r="29573">
      <c r="B29573" s="36"/>
      <c r="C29573" s="36"/>
      <c r="E29573" s="1"/>
      <c r="F29573" s="1"/>
      <c r="G29573" s="1"/>
    </row>
    <row r="29574">
      <c r="B29574" s="36"/>
      <c r="C29574" s="36"/>
      <c r="E29574" s="1"/>
      <c r="F29574" s="1"/>
      <c r="G29574" s="1"/>
    </row>
    <row r="29575">
      <c r="B29575" s="36"/>
      <c r="C29575" s="36"/>
      <c r="E29575" s="1"/>
      <c r="F29575" s="1"/>
      <c r="G29575" s="1"/>
    </row>
    <row r="29576">
      <c r="B29576" s="36"/>
      <c r="C29576" s="36"/>
      <c r="E29576" s="1"/>
      <c r="F29576" s="1"/>
      <c r="G29576" s="1"/>
    </row>
    <row r="29577">
      <c r="B29577" s="36"/>
      <c r="C29577" s="36"/>
      <c r="E29577" s="1"/>
      <c r="F29577" s="1"/>
      <c r="G29577" s="1"/>
    </row>
    <row r="29578">
      <c r="B29578" s="36"/>
      <c r="C29578" s="36"/>
      <c r="E29578" s="1"/>
      <c r="F29578" s="1"/>
      <c r="G29578" s="1"/>
    </row>
    <row r="29579">
      <c r="B29579" s="36"/>
      <c r="C29579" s="36"/>
      <c r="E29579" s="1"/>
      <c r="F29579" s="1"/>
      <c r="G29579" s="1"/>
    </row>
    <row r="29580">
      <c r="B29580" s="36"/>
      <c r="C29580" s="36"/>
      <c r="E29580" s="1"/>
      <c r="F29580" s="1"/>
      <c r="G29580" s="1"/>
    </row>
    <row r="29581">
      <c r="B29581" s="36"/>
      <c r="C29581" s="36"/>
      <c r="E29581" s="1"/>
      <c r="F29581" s="1"/>
      <c r="G29581" s="1"/>
    </row>
    <row r="29582">
      <c r="B29582" s="36"/>
      <c r="C29582" s="36"/>
      <c r="E29582" s="1"/>
      <c r="F29582" s="1"/>
      <c r="G29582" s="1"/>
    </row>
    <row r="29583">
      <c r="B29583" s="36"/>
      <c r="C29583" s="36"/>
      <c r="E29583" s="1"/>
      <c r="F29583" s="1"/>
      <c r="G29583" s="1"/>
    </row>
    <row r="29584">
      <c r="B29584" s="36"/>
      <c r="C29584" s="36"/>
      <c r="E29584" s="1"/>
      <c r="F29584" s="1"/>
      <c r="G29584" s="1"/>
    </row>
    <row r="29585">
      <c r="B29585" s="36"/>
      <c r="C29585" s="36"/>
      <c r="E29585" s="1"/>
      <c r="F29585" s="1"/>
      <c r="G29585" s="1"/>
    </row>
    <row r="29586">
      <c r="B29586" s="36"/>
      <c r="C29586" s="36"/>
      <c r="E29586" s="1"/>
      <c r="F29586" s="1"/>
      <c r="G29586" s="1"/>
    </row>
    <row r="29587">
      <c r="B29587" s="36"/>
      <c r="C29587" s="36"/>
      <c r="E29587" s="1"/>
      <c r="F29587" s="1"/>
      <c r="G29587" s="1"/>
    </row>
    <row r="29588">
      <c r="B29588" s="36"/>
      <c r="C29588" s="36"/>
      <c r="E29588" s="1"/>
      <c r="F29588" s="1"/>
      <c r="G29588" s="1"/>
    </row>
    <row r="29589">
      <c r="B29589" s="36"/>
      <c r="C29589" s="36"/>
      <c r="E29589" s="1"/>
      <c r="F29589" s="1"/>
      <c r="G29589" s="1"/>
    </row>
    <row r="29590">
      <c r="B29590" s="36"/>
      <c r="C29590" s="36"/>
      <c r="E29590" s="1"/>
      <c r="F29590" s="1"/>
      <c r="G29590" s="1"/>
    </row>
    <row r="29591">
      <c r="B29591" s="36"/>
      <c r="C29591" s="36"/>
      <c r="E29591" s="1"/>
      <c r="F29591" s="1"/>
      <c r="G29591" s="1"/>
    </row>
    <row r="29592">
      <c r="B29592" s="36"/>
      <c r="C29592" s="36"/>
      <c r="E29592" s="1"/>
      <c r="F29592" s="1"/>
      <c r="G29592" s="1"/>
    </row>
    <row r="29593">
      <c r="B29593" s="36"/>
      <c r="C29593" s="36"/>
      <c r="E29593" s="1"/>
      <c r="F29593" s="1"/>
      <c r="G29593" s="1"/>
    </row>
    <row r="29594">
      <c r="B29594" s="36"/>
      <c r="C29594" s="36"/>
      <c r="E29594" s="1"/>
      <c r="F29594" s="1"/>
      <c r="G29594" s="1"/>
    </row>
    <row r="29595">
      <c r="B29595" s="36"/>
      <c r="C29595" s="36"/>
      <c r="E29595" s="1"/>
      <c r="F29595" s="1"/>
      <c r="G29595" s="1"/>
    </row>
    <row r="29596">
      <c r="B29596" s="36"/>
      <c r="C29596" s="36"/>
      <c r="E29596" s="1"/>
      <c r="F29596" s="1"/>
      <c r="G29596" s="1"/>
    </row>
    <row r="29597">
      <c r="B29597" s="36"/>
      <c r="C29597" s="36"/>
      <c r="E29597" s="1"/>
      <c r="F29597" s="1"/>
      <c r="G29597" s="1"/>
    </row>
    <row r="29598">
      <c r="B29598" s="36"/>
      <c r="C29598" s="36"/>
      <c r="E29598" s="1"/>
      <c r="F29598" s="1"/>
      <c r="G29598" s="1"/>
    </row>
    <row r="29599">
      <c r="B29599" s="36"/>
      <c r="C29599" s="36"/>
      <c r="E29599" s="1"/>
      <c r="F29599" s="1"/>
      <c r="G29599" s="1"/>
    </row>
    <row r="29600">
      <c r="B29600" s="36"/>
      <c r="C29600" s="36"/>
      <c r="E29600" s="1"/>
      <c r="F29600" s="1"/>
      <c r="G29600" s="1"/>
    </row>
    <row r="29601">
      <c r="B29601" s="36"/>
      <c r="C29601" s="36"/>
      <c r="E29601" s="1"/>
      <c r="F29601" s="1"/>
      <c r="G29601" s="1"/>
    </row>
    <row r="29602">
      <c r="B29602" s="36"/>
      <c r="C29602" s="36"/>
      <c r="E29602" s="1"/>
      <c r="F29602" s="1"/>
      <c r="G29602" s="1"/>
    </row>
    <row r="29603">
      <c r="B29603" s="36"/>
      <c r="C29603" s="36"/>
      <c r="E29603" s="1"/>
      <c r="F29603" s="1"/>
      <c r="G29603" s="1"/>
    </row>
    <row r="29604">
      <c r="B29604" s="36"/>
      <c r="C29604" s="36"/>
      <c r="E29604" s="1"/>
      <c r="F29604" s="1"/>
      <c r="G29604" s="1"/>
    </row>
    <row r="29605">
      <c r="B29605" s="36"/>
      <c r="C29605" s="36"/>
      <c r="E29605" s="1"/>
      <c r="F29605" s="1"/>
      <c r="G29605" s="1"/>
    </row>
    <row r="29606">
      <c r="B29606" s="36"/>
      <c r="C29606" s="36"/>
      <c r="E29606" s="1"/>
      <c r="F29606" s="1"/>
      <c r="G29606" s="1"/>
    </row>
    <row r="29607">
      <c r="B29607" s="36"/>
      <c r="C29607" s="36"/>
      <c r="E29607" s="1"/>
      <c r="F29607" s="1"/>
      <c r="G29607" s="1"/>
    </row>
    <row r="29608">
      <c r="B29608" s="36"/>
      <c r="C29608" s="36"/>
      <c r="E29608" s="1"/>
      <c r="F29608" s="1"/>
      <c r="G29608" s="1"/>
    </row>
    <row r="29609">
      <c r="B29609" s="36"/>
      <c r="C29609" s="36"/>
      <c r="E29609" s="1"/>
      <c r="F29609" s="1"/>
      <c r="G29609" s="1"/>
    </row>
    <row r="29610">
      <c r="B29610" s="36"/>
      <c r="C29610" s="36"/>
      <c r="E29610" s="1"/>
      <c r="F29610" s="1"/>
      <c r="G29610" s="1"/>
    </row>
    <row r="29611">
      <c r="B29611" s="36"/>
      <c r="C29611" s="36"/>
      <c r="E29611" s="1"/>
      <c r="F29611" s="1"/>
      <c r="G29611" s="1"/>
    </row>
    <row r="29612">
      <c r="B29612" s="36"/>
      <c r="C29612" s="36"/>
      <c r="E29612" s="1"/>
      <c r="F29612" s="1"/>
      <c r="G29612" s="1"/>
    </row>
    <row r="29613">
      <c r="B29613" s="36"/>
      <c r="C29613" s="36"/>
      <c r="E29613" s="1"/>
      <c r="F29613" s="1"/>
      <c r="G29613" s="1"/>
    </row>
    <row r="29614">
      <c r="B29614" s="36"/>
      <c r="C29614" s="36"/>
      <c r="E29614" s="1"/>
      <c r="F29614" s="1"/>
      <c r="G29614" s="1"/>
    </row>
    <row r="29615">
      <c r="B29615" s="36"/>
      <c r="C29615" s="36"/>
      <c r="E29615" s="1"/>
      <c r="F29615" s="1"/>
      <c r="G29615" s="1"/>
    </row>
    <row r="29616">
      <c r="B29616" s="36"/>
      <c r="C29616" s="36"/>
      <c r="E29616" s="1"/>
      <c r="F29616" s="1"/>
      <c r="G29616" s="1"/>
    </row>
    <row r="29617">
      <c r="B29617" s="36"/>
      <c r="C29617" s="36"/>
      <c r="E29617" s="1"/>
      <c r="F29617" s="1"/>
      <c r="G29617" s="1"/>
    </row>
    <row r="29618">
      <c r="B29618" s="36"/>
      <c r="C29618" s="36"/>
      <c r="E29618" s="1"/>
      <c r="F29618" s="1"/>
      <c r="G29618" s="1"/>
    </row>
    <row r="29619">
      <c r="B29619" s="36"/>
      <c r="C29619" s="36"/>
      <c r="E29619" s="1"/>
      <c r="F29619" s="1"/>
      <c r="G29619" s="1"/>
    </row>
    <row r="29620">
      <c r="B29620" s="36"/>
      <c r="C29620" s="36"/>
      <c r="E29620" s="1"/>
      <c r="F29620" s="1"/>
      <c r="G29620" s="1"/>
    </row>
    <row r="29621">
      <c r="B29621" s="36"/>
      <c r="C29621" s="36"/>
      <c r="E29621" s="1"/>
      <c r="F29621" s="1"/>
      <c r="G29621" s="1"/>
    </row>
    <row r="29622">
      <c r="B29622" s="36"/>
      <c r="C29622" s="36"/>
      <c r="E29622" s="1"/>
      <c r="F29622" s="1"/>
      <c r="G29622" s="1"/>
    </row>
    <row r="29623">
      <c r="B29623" s="36"/>
      <c r="C29623" s="36"/>
      <c r="E29623" s="1"/>
      <c r="F29623" s="1"/>
      <c r="G29623" s="1"/>
    </row>
    <row r="29624">
      <c r="B29624" s="36"/>
      <c r="C29624" s="36"/>
      <c r="E29624" s="1"/>
      <c r="F29624" s="1"/>
      <c r="G29624" s="1"/>
    </row>
    <row r="29625">
      <c r="B29625" s="36"/>
      <c r="C29625" s="36"/>
      <c r="E29625" s="1"/>
      <c r="F29625" s="1"/>
      <c r="G29625" s="1"/>
    </row>
    <row r="29626">
      <c r="B29626" s="36"/>
      <c r="C29626" s="36"/>
      <c r="E29626" s="1"/>
      <c r="F29626" s="1"/>
      <c r="G29626" s="1"/>
    </row>
    <row r="29627">
      <c r="B29627" s="36"/>
      <c r="C29627" s="36"/>
      <c r="E29627" s="1"/>
      <c r="F29627" s="1"/>
      <c r="G29627" s="1"/>
    </row>
    <row r="29628">
      <c r="B29628" s="36"/>
      <c r="C29628" s="36"/>
      <c r="E29628" s="1"/>
      <c r="F29628" s="1"/>
      <c r="G29628" s="1"/>
    </row>
    <row r="29629">
      <c r="B29629" s="36"/>
      <c r="C29629" s="36"/>
      <c r="E29629" s="1"/>
      <c r="F29629" s="1"/>
      <c r="G29629" s="1"/>
    </row>
    <row r="29630">
      <c r="B29630" s="36"/>
      <c r="C29630" s="36"/>
      <c r="E29630" s="1"/>
      <c r="F29630" s="1"/>
      <c r="G29630" s="1"/>
    </row>
    <row r="29631">
      <c r="B29631" s="36"/>
      <c r="C29631" s="36"/>
      <c r="E29631" s="1"/>
      <c r="F29631" s="1"/>
      <c r="G29631" s="1"/>
    </row>
    <row r="29632">
      <c r="B29632" s="36"/>
      <c r="C29632" s="36"/>
      <c r="E29632" s="1"/>
      <c r="F29632" s="1"/>
      <c r="G29632" s="1"/>
    </row>
    <row r="29633">
      <c r="B29633" s="36"/>
      <c r="C29633" s="36"/>
      <c r="E29633" s="1"/>
      <c r="F29633" s="1"/>
      <c r="G29633" s="1"/>
    </row>
    <row r="29634">
      <c r="B29634" s="36"/>
      <c r="C29634" s="36"/>
      <c r="E29634" s="1"/>
      <c r="F29634" s="1"/>
      <c r="G29634" s="1"/>
    </row>
    <row r="29635">
      <c r="B29635" s="36"/>
      <c r="C29635" s="36"/>
      <c r="E29635" s="1"/>
      <c r="F29635" s="1"/>
      <c r="G29635" s="1"/>
    </row>
    <row r="29636">
      <c r="B29636" s="36"/>
      <c r="C29636" s="36"/>
      <c r="E29636" s="1"/>
      <c r="F29636" s="1"/>
      <c r="G29636" s="1"/>
    </row>
    <row r="29637">
      <c r="B29637" s="36"/>
      <c r="C29637" s="36"/>
      <c r="E29637" s="1"/>
      <c r="F29637" s="1"/>
      <c r="G29637" s="1"/>
    </row>
    <row r="29638">
      <c r="B29638" s="36"/>
      <c r="C29638" s="36"/>
      <c r="E29638" s="1"/>
      <c r="F29638" s="1"/>
      <c r="G29638" s="1"/>
    </row>
    <row r="29639">
      <c r="B29639" s="36"/>
      <c r="C29639" s="36"/>
      <c r="E29639" s="1"/>
      <c r="F29639" s="1"/>
      <c r="G29639" s="1"/>
    </row>
    <row r="29640">
      <c r="B29640" s="36"/>
      <c r="C29640" s="36"/>
      <c r="E29640" s="1"/>
      <c r="F29640" s="1"/>
      <c r="G29640" s="1"/>
    </row>
    <row r="29641">
      <c r="B29641" s="36"/>
      <c r="C29641" s="36"/>
      <c r="E29641" s="1"/>
      <c r="F29641" s="1"/>
      <c r="G29641" s="1"/>
    </row>
    <row r="29642">
      <c r="B29642" s="36"/>
      <c r="C29642" s="36"/>
      <c r="E29642" s="1"/>
      <c r="F29642" s="1"/>
      <c r="G29642" s="1"/>
    </row>
    <row r="29643">
      <c r="B29643" s="36"/>
      <c r="C29643" s="36"/>
      <c r="E29643" s="1"/>
      <c r="F29643" s="1"/>
      <c r="G29643" s="1"/>
    </row>
    <row r="29644">
      <c r="B29644" s="36"/>
      <c r="C29644" s="36"/>
      <c r="E29644" s="1"/>
      <c r="F29644" s="1"/>
      <c r="G29644" s="1"/>
    </row>
    <row r="29645">
      <c r="B29645" s="36"/>
      <c r="C29645" s="36"/>
      <c r="E29645" s="1"/>
      <c r="F29645" s="1"/>
      <c r="G29645" s="1"/>
    </row>
    <row r="29646">
      <c r="B29646" s="36"/>
      <c r="C29646" s="36"/>
      <c r="E29646" s="1"/>
      <c r="F29646" s="1"/>
      <c r="G29646" s="1"/>
    </row>
    <row r="29647">
      <c r="B29647" s="36"/>
      <c r="C29647" s="36"/>
      <c r="E29647" s="1"/>
      <c r="F29647" s="1"/>
      <c r="G29647" s="1"/>
    </row>
    <row r="29648">
      <c r="B29648" s="36"/>
      <c r="C29648" s="36"/>
      <c r="E29648" s="1"/>
      <c r="F29648" s="1"/>
      <c r="G29648" s="1"/>
    </row>
    <row r="29649">
      <c r="B29649" s="36"/>
      <c r="C29649" s="36"/>
      <c r="E29649" s="1"/>
      <c r="F29649" s="1"/>
      <c r="G29649" s="1"/>
    </row>
    <row r="29650">
      <c r="B29650" s="36"/>
      <c r="C29650" s="36"/>
      <c r="E29650" s="1"/>
      <c r="F29650" s="1"/>
      <c r="G29650" s="1"/>
    </row>
    <row r="29651">
      <c r="B29651" s="36"/>
      <c r="C29651" s="36"/>
      <c r="E29651" s="1"/>
      <c r="F29651" s="1"/>
      <c r="G29651" s="1"/>
    </row>
    <row r="29652">
      <c r="B29652" s="36"/>
      <c r="C29652" s="36"/>
      <c r="E29652" s="1"/>
      <c r="F29652" s="1"/>
      <c r="G29652" s="1"/>
    </row>
    <row r="29653">
      <c r="B29653" s="36"/>
      <c r="C29653" s="36"/>
      <c r="E29653" s="1"/>
      <c r="F29653" s="1"/>
      <c r="G29653" s="1"/>
    </row>
    <row r="29654">
      <c r="B29654" s="36"/>
      <c r="C29654" s="36"/>
      <c r="E29654" s="1"/>
      <c r="F29654" s="1"/>
      <c r="G29654" s="1"/>
    </row>
    <row r="29655">
      <c r="B29655" s="36"/>
      <c r="C29655" s="36"/>
      <c r="E29655" s="1"/>
      <c r="F29655" s="1"/>
      <c r="G29655" s="1"/>
    </row>
    <row r="29656">
      <c r="B29656" s="36"/>
      <c r="C29656" s="36"/>
      <c r="E29656" s="1"/>
      <c r="F29656" s="1"/>
      <c r="G29656" s="1"/>
    </row>
    <row r="29657">
      <c r="B29657" s="36"/>
      <c r="C29657" s="36"/>
      <c r="E29657" s="1"/>
      <c r="F29657" s="1"/>
      <c r="G29657" s="1"/>
    </row>
    <row r="29658">
      <c r="B29658" s="36"/>
      <c r="C29658" s="36"/>
      <c r="E29658" s="1"/>
      <c r="F29658" s="1"/>
      <c r="G29658" s="1"/>
    </row>
    <row r="29659">
      <c r="B29659" s="36"/>
      <c r="C29659" s="36"/>
      <c r="E29659" s="1"/>
      <c r="F29659" s="1"/>
      <c r="G29659" s="1"/>
    </row>
    <row r="29660">
      <c r="B29660" s="36"/>
      <c r="C29660" s="36"/>
      <c r="E29660" s="1"/>
      <c r="F29660" s="1"/>
      <c r="G29660" s="1"/>
    </row>
    <row r="29661">
      <c r="B29661" s="36"/>
      <c r="C29661" s="36"/>
      <c r="E29661" s="1"/>
      <c r="F29661" s="1"/>
      <c r="G29661" s="1"/>
    </row>
    <row r="29662">
      <c r="B29662" s="36"/>
      <c r="C29662" s="36"/>
      <c r="E29662" s="1"/>
      <c r="F29662" s="1"/>
      <c r="G29662" s="1"/>
    </row>
    <row r="29663">
      <c r="B29663" s="36"/>
      <c r="C29663" s="36"/>
      <c r="E29663" s="1"/>
      <c r="F29663" s="1"/>
      <c r="G29663" s="1"/>
    </row>
    <row r="29664">
      <c r="B29664" s="36"/>
      <c r="C29664" s="36"/>
      <c r="E29664" s="1"/>
      <c r="F29664" s="1"/>
      <c r="G29664" s="1"/>
    </row>
    <row r="29665">
      <c r="B29665" s="36"/>
      <c r="C29665" s="36"/>
      <c r="E29665" s="1"/>
      <c r="F29665" s="1"/>
      <c r="G29665" s="1"/>
    </row>
    <row r="29666">
      <c r="B29666" s="36"/>
      <c r="C29666" s="36"/>
      <c r="E29666" s="1"/>
      <c r="F29666" s="1"/>
      <c r="G29666" s="1"/>
    </row>
    <row r="29667">
      <c r="B29667" s="36"/>
      <c r="C29667" s="36"/>
      <c r="E29667" s="1"/>
      <c r="F29667" s="1"/>
      <c r="G29667" s="1"/>
    </row>
    <row r="29668">
      <c r="B29668" s="36"/>
      <c r="C29668" s="36"/>
      <c r="E29668" s="1"/>
      <c r="F29668" s="1"/>
      <c r="G29668" s="1"/>
    </row>
    <row r="29669">
      <c r="B29669" s="36"/>
      <c r="C29669" s="36"/>
      <c r="E29669" s="1"/>
      <c r="F29669" s="1"/>
      <c r="G29669" s="1"/>
    </row>
    <row r="29670">
      <c r="B29670" s="36"/>
      <c r="C29670" s="36"/>
      <c r="E29670" s="1"/>
      <c r="F29670" s="1"/>
      <c r="G29670" s="1"/>
    </row>
    <row r="29671">
      <c r="B29671" s="36"/>
      <c r="C29671" s="36"/>
      <c r="E29671" s="1"/>
      <c r="F29671" s="1"/>
      <c r="G29671" s="1"/>
    </row>
    <row r="29672">
      <c r="B29672" s="36"/>
      <c r="C29672" s="36"/>
      <c r="E29672" s="1"/>
      <c r="F29672" s="1"/>
      <c r="G29672" s="1"/>
    </row>
    <row r="29673">
      <c r="B29673" s="36"/>
      <c r="C29673" s="36"/>
      <c r="E29673" s="1"/>
      <c r="F29673" s="1"/>
      <c r="G29673" s="1"/>
    </row>
    <row r="29674">
      <c r="B29674" s="36"/>
      <c r="C29674" s="36"/>
      <c r="E29674" s="1"/>
      <c r="F29674" s="1"/>
      <c r="G29674" s="1"/>
    </row>
    <row r="29675">
      <c r="B29675" s="36"/>
      <c r="C29675" s="36"/>
      <c r="E29675" s="1"/>
      <c r="F29675" s="1"/>
      <c r="G29675" s="1"/>
    </row>
    <row r="29676">
      <c r="B29676" s="36"/>
      <c r="C29676" s="36"/>
      <c r="E29676" s="1"/>
      <c r="F29676" s="1"/>
      <c r="G29676" s="1"/>
    </row>
    <row r="29677">
      <c r="B29677" s="36"/>
      <c r="C29677" s="36"/>
      <c r="E29677" s="1"/>
      <c r="F29677" s="1"/>
      <c r="G29677" s="1"/>
    </row>
    <row r="29678">
      <c r="B29678" s="36"/>
      <c r="C29678" s="36"/>
      <c r="E29678" s="1"/>
      <c r="F29678" s="1"/>
      <c r="G29678" s="1"/>
    </row>
    <row r="29679">
      <c r="B29679" s="36"/>
      <c r="C29679" s="36"/>
      <c r="E29679" s="1"/>
      <c r="F29679" s="1"/>
      <c r="G29679" s="1"/>
    </row>
    <row r="29680">
      <c r="B29680" s="36"/>
      <c r="C29680" s="36"/>
      <c r="E29680" s="1"/>
      <c r="F29680" s="1"/>
      <c r="G29680" s="1"/>
    </row>
    <row r="29681">
      <c r="B29681" s="36"/>
      <c r="C29681" s="36"/>
      <c r="E29681" s="1"/>
      <c r="F29681" s="1"/>
      <c r="G29681" s="1"/>
    </row>
    <row r="29682">
      <c r="B29682" s="36"/>
      <c r="C29682" s="36"/>
      <c r="E29682" s="1"/>
      <c r="F29682" s="1"/>
      <c r="G29682" s="1"/>
    </row>
    <row r="29683">
      <c r="B29683" s="36"/>
      <c r="C29683" s="36"/>
      <c r="E29683" s="1"/>
      <c r="F29683" s="1"/>
      <c r="G29683" s="1"/>
    </row>
    <row r="29684">
      <c r="B29684" s="36"/>
      <c r="C29684" s="36"/>
      <c r="E29684" s="1"/>
      <c r="F29684" s="1"/>
      <c r="G29684" s="1"/>
    </row>
    <row r="29685">
      <c r="B29685" s="36"/>
      <c r="C29685" s="36"/>
      <c r="E29685" s="1"/>
      <c r="F29685" s="1"/>
      <c r="G29685" s="1"/>
    </row>
    <row r="29686">
      <c r="B29686" s="36"/>
      <c r="C29686" s="36"/>
      <c r="E29686" s="1"/>
      <c r="F29686" s="1"/>
      <c r="G29686" s="1"/>
    </row>
    <row r="29687">
      <c r="B29687" s="36"/>
      <c r="C29687" s="36"/>
      <c r="E29687" s="1"/>
      <c r="F29687" s="1"/>
      <c r="G29687" s="1"/>
    </row>
    <row r="29688">
      <c r="B29688" s="36"/>
      <c r="C29688" s="36"/>
      <c r="E29688" s="1"/>
      <c r="F29688" s="1"/>
      <c r="G29688" s="1"/>
    </row>
    <row r="29689">
      <c r="B29689" s="36"/>
      <c r="C29689" s="36"/>
      <c r="E29689" s="1"/>
      <c r="F29689" s="1"/>
      <c r="G29689" s="1"/>
    </row>
    <row r="29690">
      <c r="B29690" s="36"/>
      <c r="C29690" s="36"/>
      <c r="E29690" s="1"/>
      <c r="F29690" s="1"/>
      <c r="G29690" s="1"/>
    </row>
    <row r="29691">
      <c r="B29691" s="36"/>
      <c r="C29691" s="36"/>
      <c r="E29691" s="1"/>
      <c r="F29691" s="1"/>
      <c r="G29691" s="1"/>
    </row>
    <row r="29692">
      <c r="B29692" s="36"/>
      <c r="C29692" s="36"/>
      <c r="E29692" s="1"/>
      <c r="F29692" s="1"/>
      <c r="G29692" s="1"/>
    </row>
    <row r="29693">
      <c r="B29693" s="36"/>
      <c r="C29693" s="36"/>
      <c r="E29693" s="1"/>
      <c r="F29693" s="1"/>
      <c r="G29693" s="1"/>
    </row>
    <row r="29694">
      <c r="B29694" s="36"/>
      <c r="C29694" s="36"/>
      <c r="E29694" s="1"/>
      <c r="F29694" s="1"/>
      <c r="G29694" s="1"/>
    </row>
    <row r="29695">
      <c r="B29695" s="36"/>
      <c r="C29695" s="36"/>
      <c r="E29695" s="1"/>
      <c r="F29695" s="1"/>
      <c r="G29695" s="1"/>
    </row>
    <row r="29696">
      <c r="B29696" s="36"/>
      <c r="C29696" s="36"/>
      <c r="E29696" s="1"/>
      <c r="F29696" s="1"/>
      <c r="G29696" s="1"/>
    </row>
    <row r="29697">
      <c r="B29697" s="36"/>
      <c r="C29697" s="36"/>
      <c r="E29697" s="1"/>
      <c r="F29697" s="1"/>
      <c r="G29697" s="1"/>
    </row>
    <row r="29698">
      <c r="B29698" s="36"/>
      <c r="C29698" s="36"/>
      <c r="E29698" s="1"/>
      <c r="F29698" s="1"/>
      <c r="G29698" s="1"/>
    </row>
    <row r="29699">
      <c r="B29699" s="36"/>
      <c r="C29699" s="36"/>
      <c r="E29699" s="1"/>
      <c r="F29699" s="1"/>
      <c r="G29699" s="1"/>
    </row>
    <row r="29700">
      <c r="B29700" s="36"/>
      <c r="C29700" s="36"/>
      <c r="E29700" s="1"/>
      <c r="F29700" s="1"/>
      <c r="G29700" s="1"/>
    </row>
    <row r="29701">
      <c r="B29701" s="36"/>
      <c r="C29701" s="36"/>
      <c r="E29701" s="1"/>
      <c r="F29701" s="1"/>
      <c r="G29701" s="1"/>
    </row>
    <row r="29702">
      <c r="B29702" s="36"/>
      <c r="C29702" s="36"/>
      <c r="E29702" s="1"/>
      <c r="F29702" s="1"/>
      <c r="G29702" s="1"/>
    </row>
    <row r="29703">
      <c r="B29703" s="36"/>
      <c r="C29703" s="36"/>
      <c r="E29703" s="1"/>
      <c r="F29703" s="1"/>
      <c r="G29703" s="1"/>
    </row>
    <row r="29704">
      <c r="B29704" s="36"/>
      <c r="C29704" s="36"/>
      <c r="E29704" s="1"/>
      <c r="F29704" s="1"/>
      <c r="G29704" s="1"/>
    </row>
    <row r="29705">
      <c r="B29705" s="36"/>
      <c r="C29705" s="36"/>
      <c r="E29705" s="1"/>
      <c r="F29705" s="1"/>
      <c r="G29705" s="1"/>
    </row>
    <row r="29706">
      <c r="B29706" s="36"/>
      <c r="C29706" s="36"/>
      <c r="E29706" s="1"/>
      <c r="F29706" s="1"/>
      <c r="G29706" s="1"/>
    </row>
    <row r="29707">
      <c r="B29707" s="36"/>
      <c r="C29707" s="36"/>
      <c r="E29707" s="1"/>
      <c r="F29707" s="1"/>
      <c r="G29707" s="1"/>
    </row>
    <row r="29708">
      <c r="B29708" s="36"/>
      <c r="C29708" s="36"/>
      <c r="E29708" s="1"/>
      <c r="F29708" s="1"/>
      <c r="G29708" s="1"/>
    </row>
    <row r="29709">
      <c r="B29709" s="36"/>
      <c r="C29709" s="36"/>
      <c r="E29709" s="1"/>
      <c r="F29709" s="1"/>
      <c r="G29709" s="1"/>
    </row>
    <row r="29710">
      <c r="B29710" s="36"/>
      <c r="C29710" s="36"/>
      <c r="E29710" s="1"/>
      <c r="F29710" s="1"/>
      <c r="G29710" s="1"/>
    </row>
    <row r="29711">
      <c r="B29711" s="36"/>
      <c r="C29711" s="36"/>
      <c r="E29711" s="1"/>
      <c r="F29711" s="1"/>
      <c r="G29711" s="1"/>
    </row>
    <row r="29712">
      <c r="B29712" s="36"/>
      <c r="C29712" s="36"/>
      <c r="E29712" s="1"/>
      <c r="F29712" s="1"/>
      <c r="G29712" s="1"/>
    </row>
    <row r="29713">
      <c r="B29713" s="36"/>
      <c r="C29713" s="36"/>
      <c r="E29713" s="1"/>
      <c r="F29713" s="1"/>
      <c r="G29713" s="1"/>
    </row>
    <row r="29714">
      <c r="B29714" s="36"/>
      <c r="C29714" s="36"/>
      <c r="E29714" s="1"/>
      <c r="F29714" s="1"/>
      <c r="G29714" s="1"/>
    </row>
    <row r="29715">
      <c r="B29715" s="36"/>
      <c r="C29715" s="36"/>
      <c r="E29715" s="1"/>
      <c r="F29715" s="1"/>
      <c r="G29715" s="1"/>
    </row>
    <row r="29716">
      <c r="B29716" s="36"/>
      <c r="C29716" s="36"/>
      <c r="E29716" s="1"/>
      <c r="F29716" s="1"/>
      <c r="G29716" s="1"/>
    </row>
    <row r="29717">
      <c r="B29717" s="36"/>
      <c r="C29717" s="36"/>
      <c r="E29717" s="1"/>
      <c r="F29717" s="1"/>
      <c r="G29717" s="1"/>
    </row>
    <row r="29718">
      <c r="B29718" s="36"/>
      <c r="C29718" s="36"/>
      <c r="E29718" s="1"/>
      <c r="F29718" s="1"/>
      <c r="G29718" s="1"/>
    </row>
    <row r="29719">
      <c r="B29719" s="36"/>
      <c r="C29719" s="36"/>
      <c r="E29719" s="1"/>
      <c r="F29719" s="1"/>
      <c r="G29719" s="1"/>
    </row>
    <row r="29720">
      <c r="B29720" s="36"/>
      <c r="C29720" s="36"/>
      <c r="E29720" s="1"/>
      <c r="F29720" s="1"/>
      <c r="G29720" s="1"/>
    </row>
    <row r="29721">
      <c r="B29721" s="36"/>
      <c r="C29721" s="36"/>
      <c r="E29721" s="1"/>
      <c r="F29721" s="1"/>
      <c r="G29721" s="1"/>
    </row>
    <row r="29722">
      <c r="B29722" s="36"/>
      <c r="C29722" s="36"/>
      <c r="E29722" s="1"/>
      <c r="F29722" s="1"/>
      <c r="G29722" s="1"/>
    </row>
    <row r="29723">
      <c r="B29723" s="36"/>
      <c r="C29723" s="36"/>
      <c r="E29723" s="1"/>
      <c r="F29723" s="1"/>
      <c r="G29723" s="1"/>
    </row>
    <row r="29724">
      <c r="B29724" s="36"/>
      <c r="C29724" s="36"/>
      <c r="E29724" s="1"/>
      <c r="F29724" s="1"/>
      <c r="G29724" s="1"/>
    </row>
    <row r="29725">
      <c r="B29725" s="36"/>
      <c r="C29725" s="36"/>
      <c r="E29725" s="1"/>
      <c r="F29725" s="1"/>
      <c r="G29725" s="1"/>
    </row>
    <row r="29726">
      <c r="B29726" s="36"/>
      <c r="C29726" s="36"/>
      <c r="E29726" s="1"/>
      <c r="F29726" s="1"/>
      <c r="G29726" s="1"/>
    </row>
    <row r="29727">
      <c r="B29727" s="36"/>
      <c r="C29727" s="36"/>
      <c r="E29727" s="1"/>
      <c r="F29727" s="1"/>
      <c r="G29727" s="1"/>
    </row>
    <row r="29728">
      <c r="B29728" s="36"/>
      <c r="C29728" s="36"/>
      <c r="E29728" s="1"/>
      <c r="F29728" s="1"/>
      <c r="G29728" s="1"/>
    </row>
    <row r="29729">
      <c r="B29729" s="36"/>
      <c r="C29729" s="36"/>
      <c r="E29729" s="1"/>
      <c r="F29729" s="1"/>
      <c r="G29729" s="1"/>
    </row>
    <row r="29730">
      <c r="B29730" s="36"/>
      <c r="C29730" s="36"/>
      <c r="E29730" s="1"/>
      <c r="F29730" s="1"/>
      <c r="G29730" s="1"/>
    </row>
    <row r="29731">
      <c r="B29731" s="36"/>
      <c r="C29731" s="36"/>
      <c r="E29731" s="1"/>
      <c r="F29731" s="1"/>
      <c r="G29731" s="1"/>
    </row>
    <row r="29732">
      <c r="B29732" s="36"/>
      <c r="C29732" s="36"/>
      <c r="E29732" s="1"/>
      <c r="F29732" s="1"/>
      <c r="G29732" s="1"/>
    </row>
    <row r="29733">
      <c r="B29733" s="36"/>
      <c r="C29733" s="36"/>
      <c r="E29733" s="1"/>
      <c r="F29733" s="1"/>
      <c r="G29733" s="1"/>
    </row>
    <row r="29734">
      <c r="B29734" s="36"/>
      <c r="C29734" s="36"/>
      <c r="E29734" s="1"/>
      <c r="F29734" s="1"/>
      <c r="G29734" s="1"/>
    </row>
    <row r="29735">
      <c r="B29735" s="36"/>
      <c r="C29735" s="36"/>
      <c r="E29735" s="1"/>
      <c r="F29735" s="1"/>
      <c r="G29735" s="1"/>
    </row>
    <row r="29736">
      <c r="B29736" s="36"/>
      <c r="C29736" s="36"/>
      <c r="E29736" s="1"/>
      <c r="F29736" s="1"/>
      <c r="G29736" s="1"/>
    </row>
    <row r="29737">
      <c r="B29737" s="36"/>
      <c r="C29737" s="36"/>
      <c r="E29737" s="1"/>
      <c r="F29737" s="1"/>
      <c r="G29737" s="1"/>
    </row>
    <row r="29738">
      <c r="B29738" s="36"/>
      <c r="C29738" s="36"/>
      <c r="E29738" s="1"/>
      <c r="F29738" s="1"/>
      <c r="G29738" s="1"/>
    </row>
    <row r="29739">
      <c r="B29739" s="36"/>
      <c r="C29739" s="36"/>
      <c r="E29739" s="1"/>
      <c r="F29739" s="1"/>
      <c r="G29739" s="1"/>
    </row>
    <row r="29740">
      <c r="B29740" s="36"/>
      <c r="C29740" s="36"/>
      <c r="E29740" s="1"/>
      <c r="F29740" s="1"/>
      <c r="G29740" s="1"/>
    </row>
    <row r="29741">
      <c r="B29741" s="36"/>
      <c r="C29741" s="36"/>
      <c r="E29741" s="1"/>
      <c r="F29741" s="1"/>
      <c r="G29741" s="1"/>
    </row>
    <row r="29742">
      <c r="B29742" s="36"/>
      <c r="C29742" s="36"/>
      <c r="E29742" s="1"/>
      <c r="F29742" s="1"/>
      <c r="G29742" s="1"/>
    </row>
    <row r="29743">
      <c r="B29743" s="36"/>
      <c r="C29743" s="36"/>
      <c r="E29743" s="1"/>
      <c r="F29743" s="1"/>
      <c r="G29743" s="1"/>
    </row>
    <row r="29744">
      <c r="B29744" s="36"/>
      <c r="C29744" s="36"/>
      <c r="E29744" s="1"/>
      <c r="F29744" s="1"/>
      <c r="G29744" s="1"/>
    </row>
    <row r="29745">
      <c r="B29745" s="36"/>
      <c r="C29745" s="36"/>
      <c r="E29745" s="1"/>
      <c r="F29745" s="1"/>
      <c r="G29745" s="1"/>
    </row>
    <row r="29746">
      <c r="B29746" s="36"/>
      <c r="C29746" s="36"/>
      <c r="E29746" s="1"/>
      <c r="F29746" s="1"/>
      <c r="G29746" s="1"/>
    </row>
    <row r="29747">
      <c r="B29747" s="36"/>
      <c r="C29747" s="36"/>
      <c r="E29747" s="1"/>
      <c r="F29747" s="1"/>
      <c r="G29747" s="1"/>
    </row>
    <row r="29748">
      <c r="B29748" s="36"/>
      <c r="C29748" s="36"/>
      <c r="E29748" s="1"/>
      <c r="F29748" s="1"/>
      <c r="G29748" s="1"/>
    </row>
    <row r="29749">
      <c r="B29749" s="36"/>
      <c r="C29749" s="36"/>
      <c r="E29749" s="1"/>
      <c r="F29749" s="1"/>
      <c r="G29749" s="1"/>
    </row>
    <row r="29750">
      <c r="B29750" s="36"/>
      <c r="C29750" s="36"/>
      <c r="E29750" s="1"/>
      <c r="F29750" s="1"/>
      <c r="G29750" s="1"/>
    </row>
    <row r="29751">
      <c r="B29751" s="36"/>
      <c r="C29751" s="36"/>
      <c r="E29751" s="1"/>
      <c r="F29751" s="1"/>
      <c r="G29751" s="1"/>
    </row>
    <row r="29752">
      <c r="B29752" s="36"/>
      <c r="C29752" s="36"/>
      <c r="E29752" s="1"/>
      <c r="F29752" s="1"/>
      <c r="G29752" s="1"/>
    </row>
    <row r="29753">
      <c r="B29753" s="36"/>
      <c r="C29753" s="36"/>
      <c r="E29753" s="1"/>
      <c r="F29753" s="1"/>
      <c r="G29753" s="1"/>
    </row>
    <row r="29754">
      <c r="B29754" s="36"/>
      <c r="C29754" s="36"/>
      <c r="E29754" s="1"/>
      <c r="F29754" s="1"/>
      <c r="G29754" s="1"/>
    </row>
    <row r="29755">
      <c r="B29755" s="36"/>
      <c r="C29755" s="36"/>
      <c r="E29755" s="1"/>
      <c r="F29755" s="1"/>
      <c r="G29755" s="1"/>
    </row>
    <row r="29756">
      <c r="B29756" s="36"/>
      <c r="C29756" s="36"/>
      <c r="E29756" s="1"/>
      <c r="F29756" s="1"/>
      <c r="G29756" s="1"/>
    </row>
    <row r="29757">
      <c r="B29757" s="36"/>
      <c r="C29757" s="36"/>
      <c r="E29757" s="1"/>
      <c r="F29757" s="1"/>
      <c r="G29757" s="1"/>
    </row>
    <row r="29758">
      <c r="B29758" s="36"/>
      <c r="C29758" s="36"/>
      <c r="E29758" s="1"/>
      <c r="F29758" s="1"/>
      <c r="G29758" s="1"/>
    </row>
    <row r="29759">
      <c r="B29759" s="36"/>
      <c r="C29759" s="36"/>
      <c r="E29759" s="1"/>
      <c r="F29759" s="1"/>
      <c r="G29759" s="1"/>
    </row>
    <row r="29760">
      <c r="B29760" s="36"/>
      <c r="C29760" s="36"/>
      <c r="E29760" s="1"/>
      <c r="F29760" s="1"/>
      <c r="G29760" s="1"/>
    </row>
    <row r="29761">
      <c r="B29761" s="36"/>
      <c r="C29761" s="36"/>
      <c r="E29761" s="1"/>
      <c r="F29761" s="1"/>
      <c r="G29761" s="1"/>
    </row>
    <row r="29762">
      <c r="B29762" s="36"/>
      <c r="C29762" s="36"/>
      <c r="E29762" s="1"/>
      <c r="F29762" s="1"/>
      <c r="G29762" s="1"/>
    </row>
    <row r="29763">
      <c r="B29763" s="36"/>
      <c r="C29763" s="36"/>
      <c r="E29763" s="1"/>
      <c r="F29763" s="1"/>
      <c r="G29763" s="1"/>
    </row>
    <row r="29764">
      <c r="B29764" s="36"/>
      <c r="C29764" s="36"/>
      <c r="E29764" s="1"/>
      <c r="F29764" s="1"/>
      <c r="G29764" s="1"/>
    </row>
    <row r="29765">
      <c r="B29765" s="36"/>
      <c r="C29765" s="36"/>
      <c r="E29765" s="1"/>
      <c r="F29765" s="1"/>
      <c r="G29765" s="1"/>
    </row>
    <row r="29766">
      <c r="B29766" s="36"/>
      <c r="C29766" s="36"/>
      <c r="E29766" s="1"/>
      <c r="F29766" s="1"/>
      <c r="G29766" s="1"/>
    </row>
    <row r="29767">
      <c r="B29767" s="36"/>
      <c r="C29767" s="36"/>
      <c r="E29767" s="1"/>
      <c r="F29767" s="1"/>
      <c r="G29767" s="1"/>
    </row>
    <row r="29768">
      <c r="B29768" s="36"/>
      <c r="C29768" s="36"/>
      <c r="E29768" s="1"/>
      <c r="F29768" s="1"/>
      <c r="G29768" s="1"/>
    </row>
    <row r="29769">
      <c r="B29769" s="36"/>
      <c r="C29769" s="36"/>
      <c r="E29769" s="1"/>
      <c r="F29769" s="1"/>
      <c r="G29769" s="1"/>
    </row>
    <row r="29770">
      <c r="B29770" s="36"/>
      <c r="C29770" s="36"/>
      <c r="E29770" s="1"/>
      <c r="F29770" s="1"/>
      <c r="G29770" s="1"/>
    </row>
    <row r="29771">
      <c r="B29771" s="36"/>
      <c r="C29771" s="36"/>
      <c r="E29771" s="1"/>
      <c r="F29771" s="1"/>
      <c r="G29771" s="1"/>
    </row>
    <row r="29772">
      <c r="B29772" s="36"/>
      <c r="C29772" s="36"/>
      <c r="E29772" s="1"/>
      <c r="F29772" s="1"/>
      <c r="G29772" s="1"/>
    </row>
    <row r="29773">
      <c r="B29773" s="36"/>
      <c r="C29773" s="36"/>
      <c r="E29773" s="1"/>
      <c r="F29773" s="1"/>
      <c r="G29773" s="1"/>
    </row>
    <row r="29774">
      <c r="B29774" s="36"/>
      <c r="C29774" s="36"/>
      <c r="E29774" s="1"/>
      <c r="F29774" s="1"/>
      <c r="G29774" s="1"/>
    </row>
    <row r="29775">
      <c r="B29775" s="36"/>
      <c r="C29775" s="36"/>
      <c r="E29775" s="1"/>
      <c r="F29775" s="1"/>
      <c r="G29775" s="1"/>
    </row>
    <row r="29776">
      <c r="B29776" s="36"/>
      <c r="C29776" s="36"/>
      <c r="E29776" s="1"/>
      <c r="F29776" s="1"/>
      <c r="G29776" s="1"/>
    </row>
    <row r="29777">
      <c r="B29777" s="36"/>
      <c r="C29777" s="36"/>
      <c r="E29777" s="1"/>
      <c r="F29777" s="1"/>
      <c r="G29777" s="1"/>
    </row>
    <row r="29778">
      <c r="B29778" s="36"/>
      <c r="C29778" s="36"/>
      <c r="E29778" s="1"/>
      <c r="F29778" s="1"/>
      <c r="G29778" s="1"/>
    </row>
    <row r="29779">
      <c r="B29779" s="36"/>
      <c r="C29779" s="36"/>
      <c r="E29779" s="1"/>
      <c r="F29779" s="1"/>
      <c r="G29779" s="1"/>
    </row>
    <row r="29780">
      <c r="B29780" s="36"/>
      <c r="C29780" s="36"/>
      <c r="E29780" s="1"/>
      <c r="F29780" s="1"/>
      <c r="G29780" s="1"/>
    </row>
    <row r="29781">
      <c r="B29781" s="36"/>
      <c r="C29781" s="36"/>
      <c r="E29781" s="1"/>
      <c r="F29781" s="1"/>
      <c r="G29781" s="1"/>
    </row>
    <row r="29782">
      <c r="B29782" s="36"/>
      <c r="C29782" s="36"/>
      <c r="E29782" s="1"/>
      <c r="F29782" s="1"/>
      <c r="G29782" s="1"/>
    </row>
    <row r="29783">
      <c r="B29783" s="36"/>
      <c r="C29783" s="36"/>
      <c r="E29783" s="1"/>
      <c r="F29783" s="1"/>
      <c r="G29783" s="1"/>
    </row>
    <row r="29784">
      <c r="B29784" s="36"/>
      <c r="C29784" s="36"/>
      <c r="E29784" s="1"/>
      <c r="F29784" s="1"/>
      <c r="G29784" s="1"/>
    </row>
    <row r="29785">
      <c r="B29785" s="36"/>
      <c r="C29785" s="36"/>
      <c r="E29785" s="1"/>
      <c r="F29785" s="1"/>
      <c r="G29785" s="1"/>
    </row>
    <row r="29786">
      <c r="B29786" s="36"/>
      <c r="C29786" s="36"/>
      <c r="E29786" s="1"/>
      <c r="F29786" s="1"/>
      <c r="G29786" s="1"/>
    </row>
    <row r="29787">
      <c r="B29787" s="36"/>
      <c r="C29787" s="36"/>
      <c r="E29787" s="1"/>
      <c r="F29787" s="1"/>
      <c r="G29787" s="1"/>
    </row>
    <row r="29788">
      <c r="B29788" s="36"/>
      <c r="C29788" s="36"/>
      <c r="E29788" s="1"/>
      <c r="F29788" s="1"/>
      <c r="G29788" s="1"/>
    </row>
    <row r="29789">
      <c r="B29789" s="36"/>
      <c r="C29789" s="36"/>
      <c r="E29789" s="1"/>
      <c r="F29789" s="1"/>
      <c r="G29789" s="1"/>
    </row>
    <row r="29790">
      <c r="B29790" s="36"/>
      <c r="C29790" s="36"/>
      <c r="E29790" s="1"/>
      <c r="F29790" s="1"/>
      <c r="G29790" s="1"/>
    </row>
    <row r="29791">
      <c r="B29791" s="36"/>
      <c r="C29791" s="36"/>
      <c r="E29791" s="1"/>
      <c r="F29791" s="1"/>
      <c r="G29791" s="1"/>
    </row>
    <row r="29792">
      <c r="B29792" s="36"/>
      <c r="C29792" s="36"/>
      <c r="E29792" s="1"/>
      <c r="F29792" s="1"/>
      <c r="G29792" s="1"/>
    </row>
    <row r="29793">
      <c r="B29793" s="36"/>
      <c r="C29793" s="36"/>
      <c r="E29793" s="1"/>
      <c r="F29793" s="1"/>
      <c r="G29793" s="1"/>
    </row>
    <row r="29794">
      <c r="B29794" s="36"/>
      <c r="C29794" s="36"/>
      <c r="E29794" s="1"/>
      <c r="F29794" s="1"/>
      <c r="G29794" s="1"/>
    </row>
    <row r="29795">
      <c r="B29795" s="36"/>
      <c r="C29795" s="36"/>
      <c r="E29795" s="1"/>
      <c r="F29795" s="1"/>
      <c r="G29795" s="1"/>
    </row>
    <row r="29796">
      <c r="B29796" s="36"/>
      <c r="C29796" s="36"/>
      <c r="E29796" s="1"/>
      <c r="F29796" s="1"/>
      <c r="G29796" s="1"/>
    </row>
    <row r="29797">
      <c r="B29797" s="36"/>
      <c r="C29797" s="36"/>
      <c r="E29797" s="1"/>
      <c r="F29797" s="1"/>
      <c r="G29797" s="1"/>
    </row>
    <row r="29798">
      <c r="B29798" s="36"/>
      <c r="C29798" s="36"/>
      <c r="E29798" s="1"/>
      <c r="F29798" s="1"/>
      <c r="G29798" s="1"/>
    </row>
    <row r="29799">
      <c r="B29799" s="36"/>
      <c r="C29799" s="36"/>
      <c r="E29799" s="1"/>
      <c r="F29799" s="1"/>
      <c r="G29799" s="1"/>
    </row>
    <row r="29800">
      <c r="B29800" s="36"/>
      <c r="C29800" s="36"/>
      <c r="E29800" s="1"/>
      <c r="F29800" s="1"/>
      <c r="G29800" s="1"/>
    </row>
    <row r="29801">
      <c r="B29801" s="36"/>
      <c r="C29801" s="36"/>
      <c r="E29801" s="1"/>
      <c r="F29801" s="1"/>
      <c r="G29801" s="1"/>
    </row>
    <row r="29802">
      <c r="B29802" s="36"/>
      <c r="C29802" s="36"/>
      <c r="E29802" s="1"/>
      <c r="F29802" s="1"/>
      <c r="G29802" s="1"/>
    </row>
    <row r="29803">
      <c r="B29803" s="36"/>
      <c r="C29803" s="36"/>
      <c r="E29803" s="1"/>
      <c r="F29803" s="1"/>
      <c r="G29803" s="1"/>
    </row>
    <row r="29804">
      <c r="B29804" s="36"/>
      <c r="C29804" s="36"/>
      <c r="E29804" s="1"/>
      <c r="F29804" s="1"/>
      <c r="G29804" s="1"/>
    </row>
    <row r="29805">
      <c r="B29805" s="36"/>
      <c r="C29805" s="36"/>
      <c r="E29805" s="1"/>
      <c r="F29805" s="1"/>
      <c r="G29805" s="1"/>
    </row>
    <row r="29806">
      <c r="B29806" s="36"/>
      <c r="C29806" s="36"/>
      <c r="E29806" s="1"/>
      <c r="F29806" s="1"/>
      <c r="G29806" s="1"/>
    </row>
    <row r="29807">
      <c r="B29807" s="36"/>
      <c r="C29807" s="36"/>
      <c r="E29807" s="1"/>
      <c r="F29807" s="1"/>
      <c r="G29807" s="1"/>
    </row>
    <row r="29808">
      <c r="B29808" s="36"/>
      <c r="C29808" s="36"/>
      <c r="E29808" s="1"/>
      <c r="F29808" s="1"/>
      <c r="G29808" s="1"/>
    </row>
    <row r="29809">
      <c r="B29809" s="36"/>
      <c r="C29809" s="36"/>
      <c r="E29809" s="1"/>
      <c r="F29809" s="1"/>
      <c r="G29809" s="1"/>
    </row>
    <row r="29810">
      <c r="B29810" s="36"/>
      <c r="C29810" s="36"/>
      <c r="E29810" s="1"/>
      <c r="F29810" s="1"/>
      <c r="G29810" s="1"/>
    </row>
    <row r="29811">
      <c r="B29811" s="36"/>
      <c r="C29811" s="36"/>
      <c r="E29811" s="1"/>
      <c r="F29811" s="1"/>
      <c r="G29811" s="1"/>
    </row>
    <row r="29812">
      <c r="B29812" s="36"/>
      <c r="C29812" s="36"/>
      <c r="E29812" s="1"/>
      <c r="F29812" s="1"/>
      <c r="G29812" s="1"/>
    </row>
    <row r="29813">
      <c r="B29813" s="36"/>
      <c r="C29813" s="36"/>
      <c r="E29813" s="1"/>
      <c r="F29813" s="1"/>
      <c r="G29813" s="1"/>
    </row>
    <row r="29814">
      <c r="B29814" s="36"/>
      <c r="C29814" s="36"/>
      <c r="E29814" s="1"/>
      <c r="F29814" s="1"/>
      <c r="G29814" s="1"/>
    </row>
    <row r="29815">
      <c r="B29815" s="36"/>
      <c r="C29815" s="36"/>
      <c r="E29815" s="1"/>
      <c r="F29815" s="1"/>
      <c r="G29815" s="1"/>
    </row>
    <row r="29816">
      <c r="B29816" s="36"/>
      <c r="C29816" s="36"/>
      <c r="E29816" s="1"/>
      <c r="F29816" s="1"/>
      <c r="G29816" s="1"/>
    </row>
    <row r="29817">
      <c r="B29817" s="36"/>
      <c r="C29817" s="36"/>
      <c r="E29817" s="1"/>
      <c r="F29817" s="1"/>
      <c r="G29817" s="1"/>
    </row>
    <row r="29818">
      <c r="B29818" s="36"/>
      <c r="C29818" s="36"/>
      <c r="E29818" s="1"/>
      <c r="F29818" s="1"/>
      <c r="G29818" s="1"/>
    </row>
    <row r="29819">
      <c r="B29819" s="36"/>
      <c r="C29819" s="36"/>
      <c r="E29819" s="1"/>
      <c r="F29819" s="1"/>
      <c r="G29819" s="1"/>
    </row>
    <row r="29820">
      <c r="B29820" s="36"/>
      <c r="C29820" s="36"/>
      <c r="E29820" s="1"/>
      <c r="F29820" s="1"/>
      <c r="G29820" s="1"/>
    </row>
    <row r="29821">
      <c r="B29821" s="36"/>
      <c r="C29821" s="36"/>
      <c r="E29821" s="1"/>
      <c r="F29821" s="1"/>
      <c r="G29821" s="1"/>
    </row>
    <row r="29822">
      <c r="B29822" s="36"/>
      <c r="C29822" s="36"/>
      <c r="E29822" s="1"/>
      <c r="F29822" s="1"/>
      <c r="G29822" s="1"/>
    </row>
    <row r="29823">
      <c r="B29823" s="36"/>
      <c r="C29823" s="36"/>
      <c r="E29823" s="1"/>
      <c r="F29823" s="1"/>
      <c r="G29823" s="1"/>
    </row>
    <row r="29824">
      <c r="B29824" s="36"/>
      <c r="C29824" s="36"/>
      <c r="E29824" s="1"/>
      <c r="F29824" s="1"/>
      <c r="G29824" s="1"/>
    </row>
    <row r="29825">
      <c r="B29825" s="36"/>
      <c r="C29825" s="36"/>
      <c r="E29825" s="1"/>
      <c r="F29825" s="1"/>
      <c r="G29825" s="1"/>
    </row>
    <row r="29826">
      <c r="B29826" s="36"/>
      <c r="C29826" s="36"/>
      <c r="E29826" s="1"/>
      <c r="F29826" s="1"/>
      <c r="G29826" s="1"/>
    </row>
    <row r="29827">
      <c r="B29827" s="36"/>
      <c r="C29827" s="36"/>
      <c r="E29827" s="1"/>
      <c r="F29827" s="1"/>
      <c r="G29827" s="1"/>
    </row>
    <row r="29828">
      <c r="B29828" s="36"/>
      <c r="C29828" s="36"/>
      <c r="E29828" s="1"/>
      <c r="F29828" s="1"/>
      <c r="G29828" s="1"/>
    </row>
    <row r="29829">
      <c r="B29829" s="36"/>
      <c r="C29829" s="36"/>
      <c r="E29829" s="1"/>
      <c r="F29829" s="1"/>
      <c r="G29829" s="1"/>
    </row>
    <row r="29830">
      <c r="B29830" s="36"/>
      <c r="C29830" s="36"/>
      <c r="E29830" s="1"/>
      <c r="F29830" s="1"/>
      <c r="G29830" s="1"/>
    </row>
    <row r="29831">
      <c r="B29831" s="36"/>
      <c r="C29831" s="36"/>
      <c r="E29831" s="1"/>
      <c r="F29831" s="1"/>
      <c r="G29831" s="1"/>
    </row>
    <row r="29832">
      <c r="B29832" s="36"/>
      <c r="C29832" s="36"/>
      <c r="E29832" s="1"/>
      <c r="F29832" s="1"/>
      <c r="G29832" s="1"/>
    </row>
    <row r="29833">
      <c r="B29833" s="36"/>
      <c r="C29833" s="36"/>
      <c r="E29833" s="1"/>
      <c r="F29833" s="1"/>
      <c r="G29833" s="1"/>
    </row>
    <row r="29834">
      <c r="B29834" s="36"/>
      <c r="C29834" s="36"/>
      <c r="E29834" s="1"/>
      <c r="F29834" s="1"/>
      <c r="G29834" s="1"/>
    </row>
    <row r="29835">
      <c r="B29835" s="36"/>
      <c r="C29835" s="36"/>
      <c r="E29835" s="1"/>
      <c r="F29835" s="1"/>
      <c r="G29835" s="1"/>
    </row>
    <row r="29836">
      <c r="B29836" s="36"/>
      <c r="C29836" s="36"/>
      <c r="E29836" s="1"/>
      <c r="F29836" s="1"/>
      <c r="G29836" s="1"/>
    </row>
    <row r="29837">
      <c r="B29837" s="36"/>
      <c r="C29837" s="36"/>
      <c r="E29837" s="1"/>
      <c r="F29837" s="1"/>
      <c r="G29837" s="1"/>
    </row>
    <row r="29838">
      <c r="B29838" s="36"/>
      <c r="C29838" s="36"/>
      <c r="E29838" s="1"/>
      <c r="F29838" s="1"/>
      <c r="G29838" s="1"/>
    </row>
    <row r="29839">
      <c r="B29839" s="36"/>
      <c r="C29839" s="36"/>
      <c r="E29839" s="1"/>
      <c r="F29839" s="1"/>
      <c r="G29839" s="1"/>
    </row>
    <row r="29840">
      <c r="B29840" s="36"/>
      <c r="C29840" s="36"/>
      <c r="E29840" s="1"/>
      <c r="F29840" s="1"/>
      <c r="G29840" s="1"/>
    </row>
    <row r="29841">
      <c r="B29841" s="36"/>
      <c r="C29841" s="36"/>
      <c r="E29841" s="1"/>
      <c r="F29841" s="1"/>
      <c r="G29841" s="1"/>
    </row>
    <row r="29842">
      <c r="B29842" s="36"/>
      <c r="C29842" s="36"/>
      <c r="E29842" s="1"/>
      <c r="F29842" s="1"/>
      <c r="G29842" s="1"/>
    </row>
    <row r="29843">
      <c r="B29843" s="36"/>
      <c r="C29843" s="36"/>
      <c r="E29843" s="1"/>
      <c r="F29843" s="1"/>
      <c r="G29843" s="1"/>
    </row>
    <row r="29844">
      <c r="B29844" s="36"/>
      <c r="C29844" s="36"/>
      <c r="E29844" s="1"/>
      <c r="F29844" s="1"/>
      <c r="G29844" s="1"/>
    </row>
    <row r="29845">
      <c r="B29845" s="36"/>
      <c r="C29845" s="36"/>
      <c r="E29845" s="1"/>
      <c r="F29845" s="1"/>
      <c r="G29845" s="1"/>
    </row>
    <row r="29846">
      <c r="B29846" s="36"/>
      <c r="C29846" s="36"/>
      <c r="E29846" s="1"/>
      <c r="F29846" s="1"/>
      <c r="G29846" s="1"/>
    </row>
    <row r="29847">
      <c r="B29847" s="36"/>
      <c r="C29847" s="36"/>
      <c r="E29847" s="1"/>
      <c r="F29847" s="1"/>
      <c r="G29847" s="1"/>
    </row>
    <row r="29848">
      <c r="B29848" s="36"/>
      <c r="C29848" s="36"/>
      <c r="E29848" s="1"/>
      <c r="F29848" s="1"/>
      <c r="G29848" s="1"/>
    </row>
    <row r="29849">
      <c r="B29849" s="36"/>
      <c r="C29849" s="36"/>
      <c r="E29849" s="1"/>
      <c r="F29849" s="1"/>
      <c r="G29849" s="1"/>
    </row>
    <row r="29850">
      <c r="B29850" s="36"/>
      <c r="C29850" s="36"/>
      <c r="E29850" s="1"/>
      <c r="F29850" s="1"/>
      <c r="G29850" s="1"/>
    </row>
    <row r="29851">
      <c r="B29851" s="36"/>
      <c r="C29851" s="36"/>
      <c r="E29851" s="1"/>
      <c r="F29851" s="1"/>
      <c r="G29851" s="1"/>
    </row>
    <row r="29852">
      <c r="B29852" s="36"/>
      <c r="C29852" s="36"/>
      <c r="E29852" s="1"/>
      <c r="F29852" s="1"/>
      <c r="G29852" s="1"/>
    </row>
    <row r="29853">
      <c r="B29853" s="36"/>
      <c r="C29853" s="36"/>
      <c r="E29853" s="1"/>
      <c r="F29853" s="1"/>
      <c r="G29853" s="1"/>
    </row>
    <row r="29854">
      <c r="B29854" s="36"/>
      <c r="C29854" s="36"/>
      <c r="E29854" s="1"/>
      <c r="F29854" s="1"/>
      <c r="G29854" s="1"/>
    </row>
    <row r="29855">
      <c r="B29855" s="36"/>
      <c r="C29855" s="36"/>
      <c r="E29855" s="1"/>
      <c r="F29855" s="1"/>
      <c r="G29855" s="1"/>
    </row>
    <row r="29856">
      <c r="B29856" s="36"/>
      <c r="C29856" s="36"/>
      <c r="E29856" s="1"/>
      <c r="F29856" s="1"/>
      <c r="G29856" s="1"/>
    </row>
    <row r="29857">
      <c r="B29857" s="36"/>
      <c r="C29857" s="36"/>
      <c r="E29857" s="1"/>
      <c r="F29857" s="1"/>
      <c r="G29857" s="1"/>
    </row>
    <row r="29858">
      <c r="B29858" s="36"/>
      <c r="C29858" s="36"/>
      <c r="E29858" s="1"/>
      <c r="F29858" s="1"/>
      <c r="G29858" s="1"/>
    </row>
    <row r="29859">
      <c r="B29859" s="36"/>
      <c r="C29859" s="36"/>
      <c r="E29859" s="1"/>
      <c r="F29859" s="1"/>
      <c r="G29859" s="1"/>
    </row>
    <row r="29860">
      <c r="B29860" s="36"/>
      <c r="C29860" s="36"/>
      <c r="E29860" s="1"/>
      <c r="F29860" s="1"/>
      <c r="G29860" s="1"/>
    </row>
    <row r="29861">
      <c r="B29861" s="36"/>
      <c r="C29861" s="36"/>
      <c r="E29861" s="1"/>
      <c r="F29861" s="1"/>
      <c r="G29861" s="1"/>
    </row>
    <row r="29862">
      <c r="B29862" s="36"/>
      <c r="C29862" s="36"/>
      <c r="E29862" s="1"/>
      <c r="F29862" s="1"/>
      <c r="G29862" s="1"/>
    </row>
    <row r="29863">
      <c r="B29863" s="36"/>
      <c r="C29863" s="36"/>
      <c r="E29863" s="1"/>
      <c r="F29863" s="1"/>
      <c r="G29863" s="1"/>
    </row>
    <row r="29864">
      <c r="B29864" s="36"/>
      <c r="C29864" s="36"/>
      <c r="E29864" s="1"/>
      <c r="F29864" s="1"/>
      <c r="G29864" s="1"/>
    </row>
    <row r="29865">
      <c r="B29865" s="36"/>
      <c r="C29865" s="36"/>
      <c r="E29865" s="1"/>
      <c r="F29865" s="1"/>
      <c r="G29865" s="1"/>
    </row>
    <row r="29866">
      <c r="B29866" s="36"/>
      <c r="C29866" s="36"/>
      <c r="E29866" s="1"/>
      <c r="F29866" s="1"/>
      <c r="G29866" s="1"/>
    </row>
    <row r="29867">
      <c r="B29867" s="36"/>
      <c r="C29867" s="36"/>
      <c r="E29867" s="1"/>
      <c r="F29867" s="1"/>
      <c r="G29867" s="1"/>
    </row>
    <row r="29868">
      <c r="B29868" s="36"/>
      <c r="C29868" s="36"/>
      <c r="E29868" s="1"/>
      <c r="F29868" s="1"/>
      <c r="G29868" s="1"/>
    </row>
    <row r="29869">
      <c r="B29869" s="36"/>
      <c r="C29869" s="36"/>
      <c r="E29869" s="1"/>
      <c r="F29869" s="1"/>
      <c r="G29869" s="1"/>
    </row>
    <row r="29870">
      <c r="B29870" s="36"/>
      <c r="C29870" s="36"/>
      <c r="E29870" s="1"/>
      <c r="F29870" s="1"/>
      <c r="G29870" s="1"/>
    </row>
    <row r="29871">
      <c r="B29871" s="36"/>
      <c r="C29871" s="36"/>
      <c r="E29871" s="1"/>
      <c r="F29871" s="1"/>
      <c r="G29871" s="1"/>
    </row>
    <row r="29872">
      <c r="B29872" s="36"/>
      <c r="C29872" s="36"/>
      <c r="E29872" s="1"/>
      <c r="F29872" s="1"/>
      <c r="G29872" s="1"/>
    </row>
    <row r="29873">
      <c r="B29873" s="36"/>
      <c r="C29873" s="36"/>
      <c r="E29873" s="1"/>
      <c r="F29873" s="1"/>
      <c r="G29873" s="1"/>
    </row>
    <row r="29874">
      <c r="B29874" s="36"/>
      <c r="C29874" s="36"/>
      <c r="E29874" s="1"/>
      <c r="F29874" s="1"/>
      <c r="G29874" s="1"/>
    </row>
    <row r="29875">
      <c r="B29875" s="36"/>
      <c r="C29875" s="36"/>
      <c r="E29875" s="1"/>
      <c r="F29875" s="1"/>
      <c r="G29875" s="1"/>
    </row>
    <row r="29876">
      <c r="B29876" s="36"/>
      <c r="C29876" s="36"/>
      <c r="E29876" s="1"/>
      <c r="F29876" s="1"/>
      <c r="G29876" s="1"/>
    </row>
    <row r="29877">
      <c r="B29877" s="36"/>
      <c r="C29877" s="36"/>
      <c r="E29877" s="1"/>
      <c r="F29877" s="1"/>
      <c r="G29877" s="1"/>
    </row>
    <row r="29878">
      <c r="B29878" s="36"/>
      <c r="C29878" s="36"/>
      <c r="E29878" s="1"/>
      <c r="F29878" s="1"/>
      <c r="G29878" s="1"/>
    </row>
    <row r="29879">
      <c r="B29879" s="36"/>
      <c r="C29879" s="36"/>
      <c r="E29879" s="1"/>
      <c r="F29879" s="1"/>
      <c r="G29879" s="1"/>
    </row>
    <row r="29880">
      <c r="B29880" s="36"/>
      <c r="C29880" s="36"/>
      <c r="E29880" s="1"/>
      <c r="F29880" s="1"/>
      <c r="G29880" s="1"/>
    </row>
    <row r="29881">
      <c r="B29881" s="36"/>
      <c r="C29881" s="36"/>
      <c r="E29881" s="1"/>
      <c r="F29881" s="1"/>
      <c r="G29881" s="1"/>
    </row>
    <row r="29882">
      <c r="B29882" s="36"/>
      <c r="C29882" s="36"/>
      <c r="E29882" s="1"/>
      <c r="F29882" s="1"/>
      <c r="G29882" s="1"/>
    </row>
    <row r="29883">
      <c r="B29883" s="36"/>
      <c r="C29883" s="36"/>
      <c r="E29883" s="1"/>
      <c r="F29883" s="1"/>
      <c r="G29883" s="1"/>
    </row>
    <row r="29884">
      <c r="B29884" s="36"/>
      <c r="C29884" s="36"/>
      <c r="E29884" s="1"/>
      <c r="F29884" s="1"/>
      <c r="G29884" s="1"/>
    </row>
    <row r="29885">
      <c r="B29885" s="36"/>
      <c r="C29885" s="36"/>
      <c r="E29885" s="1"/>
      <c r="F29885" s="1"/>
      <c r="G29885" s="1"/>
    </row>
    <row r="29886">
      <c r="B29886" s="36"/>
      <c r="C29886" s="36"/>
      <c r="E29886" s="1"/>
      <c r="F29886" s="1"/>
      <c r="G29886" s="1"/>
    </row>
    <row r="29887">
      <c r="B29887" s="36"/>
      <c r="C29887" s="36"/>
      <c r="E29887" s="1"/>
      <c r="F29887" s="1"/>
      <c r="G29887" s="1"/>
    </row>
    <row r="29888">
      <c r="B29888" s="36"/>
      <c r="C29888" s="36"/>
      <c r="E29888" s="1"/>
      <c r="F29888" s="1"/>
      <c r="G29888" s="1"/>
    </row>
    <row r="29889">
      <c r="B29889" s="36"/>
      <c r="C29889" s="36"/>
      <c r="E29889" s="1"/>
      <c r="F29889" s="1"/>
      <c r="G29889" s="1"/>
    </row>
    <row r="29890">
      <c r="B29890" s="36"/>
      <c r="C29890" s="36"/>
      <c r="E29890" s="1"/>
      <c r="F29890" s="1"/>
      <c r="G29890" s="1"/>
    </row>
    <row r="29891">
      <c r="B29891" s="36"/>
      <c r="C29891" s="36"/>
      <c r="E29891" s="1"/>
      <c r="F29891" s="1"/>
      <c r="G29891" s="1"/>
    </row>
    <row r="29892">
      <c r="B29892" s="36"/>
      <c r="C29892" s="36"/>
      <c r="E29892" s="1"/>
      <c r="F29892" s="1"/>
      <c r="G29892" s="1"/>
    </row>
    <row r="29893">
      <c r="B29893" s="36"/>
      <c r="C29893" s="36"/>
      <c r="E29893" s="1"/>
      <c r="F29893" s="1"/>
      <c r="G29893" s="1"/>
    </row>
    <row r="29894">
      <c r="B29894" s="36"/>
      <c r="C29894" s="36"/>
      <c r="E29894" s="1"/>
      <c r="F29894" s="1"/>
      <c r="G29894" s="1"/>
    </row>
    <row r="29895">
      <c r="B29895" s="36"/>
      <c r="C29895" s="36"/>
      <c r="E29895" s="1"/>
      <c r="F29895" s="1"/>
      <c r="G29895" s="1"/>
    </row>
    <row r="29896">
      <c r="B29896" s="36"/>
      <c r="C29896" s="36"/>
      <c r="E29896" s="1"/>
      <c r="F29896" s="1"/>
      <c r="G29896" s="1"/>
    </row>
    <row r="29897">
      <c r="B29897" s="36"/>
      <c r="C29897" s="36"/>
      <c r="E29897" s="1"/>
      <c r="F29897" s="1"/>
      <c r="G29897" s="1"/>
    </row>
    <row r="29898">
      <c r="B29898" s="36"/>
      <c r="C29898" s="36"/>
      <c r="E29898" s="1"/>
      <c r="F29898" s="1"/>
      <c r="G29898" s="1"/>
    </row>
    <row r="29899">
      <c r="B29899" s="36"/>
      <c r="C29899" s="36"/>
      <c r="E29899" s="1"/>
      <c r="F29899" s="1"/>
      <c r="G29899" s="1"/>
    </row>
    <row r="29900">
      <c r="B29900" s="36"/>
      <c r="C29900" s="36"/>
      <c r="E29900" s="1"/>
      <c r="F29900" s="1"/>
      <c r="G29900" s="1"/>
    </row>
    <row r="29901">
      <c r="B29901" s="36"/>
      <c r="C29901" s="36"/>
      <c r="E29901" s="1"/>
      <c r="F29901" s="1"/>
      <c r="G29901" s="1"/>
    </row>
    <row r="29902">
      <c r="B29902" s="36"/>
      <c r="C29902" s="36"/>
      <c r="E29902" s="1"/>
      <c r="F29902" s="1"/>
      <c r="G29902" s="1"/>
    </row>
    <row r="29903">
      <c r="B29903" s="36"/>
      <c r="C29903" s="36"/>
      <c r="E29903" s="1"/>
      <c r="F29903" s="1"/>
      <c r="G29903" s="1"/>
    </row>
    <row r="29904">
      <c r="B29904" s="36"/>
      <c r="C29904" s="36"/>
      <c r="E29904" s="1"/>
      <c r="F29904" s="1"/>
      <c r="G29904" s="1"/>
    </row>
    <row r="29905">
      <c r="B29905" s="36"/>
      <c r="C29905" s="36"/>
      <c r="E29905" s="1"/>
      <c r="F29905" s="1"/>
      <c r="G29905" s="1"/>
    </row>
    <row r="29906">
      <c r="B29906" s="36"/>
      <c r="C29906" s="36"/>
      <c r="E29906" s="1"/>
      <c r="F29906" s="1"/>
      <c r="G29906" s="1"/>
    </row>
    <row r="29907">
      <c r="B29907" s="36"/>
      <c r="C29907" s="36"/>
      <c r="E29907" s="1"/>
      <c r="F29907" s="1"/>
      <c r="G29907" s="1"/>
    </row>
    <row r="29908">
      <c r="B29908" s="36"/>
      <c r="C29908" s="36"/>
      <c r="E29908" s="1"/>
      <c r="F29908" s="1"/>
      <c r="G29908" s="1"/>
    </row>
    <row r="29909">
      <c r="B29909" s="36"/>
      <c r="C29909" s="36"/>
      <c r="E29909" s="1"/>
      <c r="F29909" s="1"/>
      <c r="G29909" s="1"/>
    </row>
    <row r="29910">
      <c r="B29910" s="36"/>
      <c r="C29910" s="36"/>
      <c r="E29910" s="1"/>
      <c r="F29910" s="1"/>
      <c r="G29910" s="1"/>
    </row>
    <row r="29911">
      <c r="B29911" s="36"/>
      <c r="C29911" s="36"/>
      <c r="E29911" s="1"/>
      <c r="F29911" s="1"/>
      <c r="G29911" s="1"/>
    </row>
    <row r="29912">
      <c r="B29912" s="36"/>
      <c r="C29912" s="36"/>
      <c r="E29912" s="1"/>
      <c r="F29912" s="1"/>
      <c r="G29912" s="1"/>
    </row>
    <row r="29913">
      <c r="B29913" s="36"/>
      <c r="C29913" s="36"/>
      <c r="E29913" s="1"/>
      <c r="F29913" s="1"/>
      <c r="G29913" s="1"/>
    </row>
    <row r="29914">
      <c r="B29914" s="36"/>
      <c r="C29914" s="36"/>
      <c r="E29914" s="1"/>
      <c r="F29914" s="1"/>
      <c r="G29914" s="1"/>
    </row>
    <row r="29915">
      <c r="B29915" s="36"/>
      <c r="C29915" s="36"/>
      <c r="E29915" s="1"/>
      <c r="F29915" s="1"/>
      <c r="G29915" s="1"/>
    </row>
    <row r="29916">
      <c r="B29916" s="36"/>
      <c r="C29916" s="36"/>
      <c r="E29916" s="1"/>
      <c r="F29916" s="1"/>
      <c r="G29916" s="1"/>
    </row>
    <row r="29917">
      <c r="B29917" s="36"/>
      <c r="C29917" s="36"/>
      <c r="E29917" s="1"/>
      <c r="F29917" s="1"/>
      <c r="G29917" s="1"/>
    </row>
    <row r="29918">
      <c r="B29918" s="36"/>
      <c r="C29918" s="36"/>
      <c r="E29918" s="1"/>
      <c r="F29918" s="1"/>
      <c r="G29918" s="1"/>
    </row>
    <row r="29919">
      <c r="B29919" s="36"/>
      <c r="C29919" s="36"/>
      <c r="E29919" s="1"/>
      <c r="F29919" s="1"/>
      <c r="G29919" s="1"/>
    </row>
    <row r="29920">
      <c r="B29920" s="36"/>
      <c r="C29920" s="36"/>
      <c r="E29920" s="1"/>
      <c r="F29920" s="1"/>
      <c r="G29920" s="1"/>
    </row>
    <row r="29921">
      <c r="B29921" s="36"/>
      <c r="C29921" s="36"/>
      <c r="E29921" s="1"/>
      <c r="F29921" s="1"/>
      <c r="G29921" s="1"/>
    </row>
    <row r="29922">
      <c r="B29922" s="36"/>
      <c r="C29922" s="36"/>
      <c r="E29922" s="1"/>
      <c r="F29922" s="1"/>
      <c r="G29922" s="1"/>
    </row>
    <row r="29923">
      <c r="B29923" s="36"/>
      <c r="C29923" s="36"/>
      <c r="E29923" s="1"/>
      <c r="F29923" s="1"/>
      <c r="G29923" s="1"/>
    </row>
    <row r="29924">
      <c r="B29924" s="36"/>
      <c r="C29924" s="36"/>
      <c r="E29924" s="1"/>
      <c r="F29924" s="1"/>
      <c r="G29924" s="1"/>
    </row>
    <row r="29925">
      <c r="B29925" s="36"/>
      <c r="C29925" s="36"/>
      <c r="E29925" s="1"/>
      <c r="F29925" s="1"/>
      <c r="G29925" s="1"/>
    </row>
    <row r="29926">
      <c r="B29926" s="36"/>
      <c r="C29926" s="36"/>
      <c r="E29926" s="1"/>
      <c r="F29926" s="1"/>
      <c r="G29926" s="1"/>
    </row>
    <row r="29927">
      <c r="B29927" s="36"/>
      <c r="C29927" s="36"/>
      <c r="E29927" s="1"/>
      <c r="F29927" s="1"/>
      <c r="G29927" s="1"/>
    </row>
    <row r="29928">
      <c r="B29928" s="36"/>
      <c r="C29928" s="36"/>
      <c r="E29928" s="1"/>
      <c r="F29928" s="1"/>
      <c r="G29928" s="1"/>
    </row>
    <row r="29929">
      <c r="B29929" s="36"/>
      <c r="C29929" s="36"/>
      <c r="E29929" s="1"/>
      <c r="F29929" s="1"/>
      <c r="G29929" s="1"/>
    </row>
    <row r="29930">
      <c r="B29930" s="36"/>
      <c r="C29930" s="36"/>
      <c r="E29930" s="1"/>
      <c r="F29930" s="1"/>
      <c r="G29930" s="1"/>
    </row>
    <row r="29931">
      <c r="B29931" s="36"/>
      <c r="C29931" s="36"/>
      <c r="E29931" s="1"/>
      <c r="F29931" s="1"/>
      <c r="G29931" s="1"/>
    </row>
    <row r="29932">
      <c r="B29932" s="36"/>
      <c r="C29932" s="36"/>
      <c r="E29932" s="1"/>
      <c r="F29932" s="1"/>
      <c r="G29932" s="1"/>
    </row>
    <row r="29933">
      <c r="B29933" s="36"/>
      <c r="C29933" s="36"/>
      <c r="E29933" s="1"/>
      <c r="F29933" s="1"/>
      <c r="G29933" s="1"/>
    </row>
    <row r="29934">
      <c r="B29934" s="36"/>
      <c r="C29934" s="36"/>
      <c r="E29934" s="1"/>
      <c r="F29934" s="1"/>
      <c r="G29934" s="1"/>
    </row>
    <row r="29935">
      <c r="B29935" s="36"/>
      <c r="C29935" s="36"/>
      <c r="E29935" s="1"/>
      <c r="F29935" s="1"/>
      <c r="G29935" s="1"/>
    </row>
    <row r="29936">
      <c r="B29936" s="36"/>
      <c r="C29936" s="36"/>
      <c r="E29936" s="1"/>
      <c r="F29936" s="1"/>
      <c r="G29936" s="1"/>
    </row>
    <row r="29937">
      <c r="B29937" s="36"/>
      <c r="C29937" s="36"/>
      <c r="E29937" s="1"/>
      <c r="F29937" s="1"/>
      <c r="G29937" s="1"/>
    </row>
    <row r="29938">
      <c r="B29938" s="36"/>
      <c r="C29938" s="36"/>
      <c r="E29938" s="1"/>
      <c r="F29938" s="1"/>
      <c r="G29938" s="1"/>
    </row>
    <row r="29939">
      <c r="B29939" s="36"/>
      <c r="C29939" s="36"/>
      <c r="E29939" s="1"/>
      <c r="F29939" s="1"/>
      <c r="G29939" s="1"/>
    </row>
    <row r="29940">
      <c r="B29940" s="36"/>
      <c r="C29940" s="36"/>
      <c r="E29940" s="1"/>
      <c r="F29940" s="1"/>
      <c r="G29940" s="1"/>
    </row>
    <row r="29941">
      <c r="B29941" s="36"/>
      <c r="C29941" s="36"/>
      <c r="E29941" s="1"/>
      <c r="F29941" s="1"/>
      <c r="G29941" s="1"/>
    </row>
    <row r="29942">
      <c r="B29942" s="36"/>
      <c r="C29942" s="36"/>
      <c r="E29942" s="1"/>
      <c r="F29942" s="1"/>
      <c r="G29942" s="1"/>
    </row>
    <row r="29943">
      <c r="B29943" s="36"/>
      <c r="C29943" s="36"/>
      <c r="E29943" s="1"/>
      <c r="F29943" s="1"/>
      <c r="G29943" s="1"/>
    </row>
    <row r="29944">
      <c r="B29944" s="36"/>
      <c r="C29944" s="36"/>
      <c r="E29944" s="1"/>
      <c r="F29944" s="1"/>
      <c r="G29944" s="1"/>
    </row>
    <row r="29945">
      <c r="B29945" s="36"/>
      <c r="C29945" s="36"/>
      <c r="E29945" s="1"/>
      <c r="F29945" s="1"/>
      <c r="G29945" s="1"/>
    </row>
    <row r="29946">
      <c r="B29946" s="36"/>
      <c r="C29946" s="36"/>
      <c r="E29946" s="1"/>
      <c r="F29946" s="1"/>
      <c r="G29946" s="1"/>
    </row>
    <row r="29947">
      <c r="B29947" s="36"/>
      <c r="C29947" s="36"/>
      <c r="E29947" s="1"/>
      <c r="F29947" s="1"/>
      <c r="G29947" s="1"/>
    </row>
    <row r="29948">
      <c r="B29948" s="36"/>
      <c r="C29948" s="36"/>
      <c r="E29948" s="1"/>
      <c r="F29948" s="1"/>
      <c r="G29948" s="1"/>
    </row>
    <row r="29949">
      <c r="B29949" s="36"/>
      <c r="C29949" s="36"/>
      <c r="E29949" s="1"/>
      <c r="F29949" s="1"/>
      <c r="G29949" s="1"/>
    </row>
    <row r="29950">
      <c r="B29950" s="36"/>
      <c r="C29950" s="36"/>
      <c r="E29950" s="1"/>
      <c r="F29950" s="1"/>
      <c r="G29950" s="1"/>
    </row>
    <row r="29951">
      <c r="B29951" s="36"/>
      <c r="C29951" s="36"/>
      <c r="E29951" s="1"/>
      <c r="F29951" s="1"/>
      <c r="G29951" s="1"/>
    </row>
    <row r="29952">
      <c r="B29952" s="36"/>
      <c r="C29952" s="36"/>
      <c r="E29952" s="1"/>
      <c r="F29952" s="1"/>
      <c r="G29952" s="1"/>
    </row>
    <row r="29953">
      <c r="B29953" s="36"/>
      <c r="C29953" s="36"/>
      <c r="E29953" s="1"/>
      <c r="F29953" s="1"/>
      <c r="G29953" s="1"/>
    </row>
    <row r="29954">
      <c r="B29954" s="36"/>
      <c r="C29954" s="36"/>
      <c r="E29954" s="1"/>
      <c r="F29954" s="1"/>
      <c r="G29954" s="1"/>
    </row>
    <row r="29955">
      <c r="B29955" s="36"/>
      <c r="C29955" s="36"/>
      <c r="E29955" s="1"/>
      <c r="F29955" s="1"/>
      <c r="G29955" s="1"/>
    </row>
    <row r="29956">
      <c r="B29956" s="36"/>
      <c r="C29956" s="36"/>
      <c r="E29956" s="1"/>
      <c r="F29956" s="1"/>
      <c r="G29956" s="1"/>
    </row>
    <row r="29957">
      <c r="B29957" s="36"/>
      <c r="C29957" s="36"/>
      <c r="E29957" s="1"/>
      <c r="F29957" s="1"/>
      <c r="G29957" s="1"/>
    </row>
    <row r="29958">
      <c r="B29958" s="36"/>
      <c r="C29958" s="36"/>
      <c r="E29958" s="1"/>
      <c r="F29958" s="1"/>
      <c r="G29958" s="1"/>
    </row>
    <row r="29959">
      <c r="B29959" s="36"/>
      <c r="C29959" s="36"/>
      <c r="E29959" s="1"/>
      <c r="F29959" s="1"/>
      <c r="G29959" s="1"/>
    </row>
    <row r="29960">
      <c r="B29960" s="36"/>
      <c r="C29960" s="36"/>
      <c r="E29960" s="1"/>
      <c r="F29960" s="1"/>
      <c r="G29960" s="1"/>
    </row>
    <row r="29961">
      <c r="B29961" s="36"/>
      <c r="C29961" s="36"/>
      <c r="E29961" s="1"/>
      <c r="F29961" s="1"/>
      <c r="G29961" s="1"/>
    </row>
    <row r="29962">
      <c r="B29962" s="36"/>
      <c r="C29962" s="36"/>
      <c r="E29962" s="1"/>
      <c r="F29962" s="1"/>
      <c r="G29962" s="1"/>
    </row>
    <row r="29963">
      <c r="B29963" s="36"/>
      <c r="C29963" s="36"/>
      <c r="E29963" s="1"/>
      <c r="F29963" s="1"/>
      <c r="G29963" s="1"/>
    </row>
    <row r="29964">
      <c r="B29964" s="36"/>
      <c r="C29964" s="36"/>
      <c r="E29964" s="1"/>
      <c r="F29964" s="1"/>
      <c r="G29964" s="1"/>
    </row>
    <row r="29965">
      <c r="B29965" s="36"/>
      <c r="C29965" s="36"/>
      <c r="E29965" s="1"/>
      <c r="F29965" s="1"/>
      <c r="G29965" s="1"/>
    </row>
    <row r="29966">
      <c r="B29966" s="36"/>
      <c r="C29966" s="36"/>
      <c r="E29966" s="1"/>
      <c r="F29966" s="1"/>
      <c r="G29966" s="1"/>
    </row>
    <row r="29967">
      <c r="B29967" s="36"/>
      <c r="C29967" s="36"/>
      <c r="E29967" s="1"/>
      <c r="F29967" s="1"/>
      <c r="G29967" s="1"/>
    </row>
    <row r="29968">
      <c r="B29968" s="36"/>
      <c r="C29968" s="36"/>
      <c r="E29968" s="1"/>
      <c r="F29968" s="1"/>
      <c r="G29968" s="1"/>
    </row>
    <row r="29969">
      <c r="B29969" s="36"/>
      <c r="C29969" s="36"/>
      <c r="E29969" s="1"/>
      <c r="F29969" s="1"/>
      <c r="G29969" s="1"/>
    </row>
    <row r="29970">
      <c r="B29970" s="36"/>
      <c r="C29970" s="36"/>
      <c r="E29970" s="1"/>
      <c r="F29970" s="1"/>
      <c r="G29970" s="1"/>
    </row>
    <row r="29971">
      <c r="B29971" s="36"/>
      <c r="C29971" s="36"/>
      <c r="E29971" s="1"/>
      <c r="F29971" s="1"/>
      <c r="G29971" s="1"/>
    </row>
    <row r="29972">
      <c r="B29972" s="36"/>
      <c r="C29972" s="36"/>
      <c r="E29972" s="1"/>
      <c r="F29972" s="1"/>
      <c r="G29972" s="1"/>
    </row>
    <row r="29973">
      <c r="B29973" s="36"/>
      <c r="C29973" s="36"/>
      <c r="E29973" s="1"/>
      <c r="F29973" s="1"/>
      <c r="G29973" s="1"/>
    </row>
    <row r="29974">
      <c r="B29974" s="36"/>
      <c r="C29974" s="36"/>
      <c r="E29974" s="1"/>
      <c r="F29974" s="1"/>
      <c r="G29974" s="1"/>
    </row>
    <row r="29975">
      <c r="B29975" s="36"/>
      <c r="C29975" s="36"/>
      <c r="E29975" s="1"/>
      <c r="F29975" s="1"/>
      <c r="G29975" s="1"/>
    </row>
    <row r="29976">
      <c r="B29976" s="36"/>
      <c r="C29976" s="36"/>
      <c r="E29976" s="1"/>
      <c r="F29976" s="1"/>
      <c r="G29976" s="1"/>
    </row>
    <row r="29977">
      <c r="B29977" s="36"/>
      <c r="C29977" s="36"/>
      <c r="E29977" s="1"/>
      <c r="F29977" s="1"/>
      <c r="G29977" s="1"/>
    </row>
    <row r="29978">
      <c r="B29978" s="36"/>
      <c r="C29978" s="36"/>
      <c r="E29978" s="1"/>
      <c r="F29978" s="1"/>
      <c r="G29978" s="1"/>
    </row>
    <row r="29979">
      <c r="B29979" s="36"/>
      <c r="C29979" s="36"/>
      <c r="E29979" s="1"/>
      <c r="F29979" s="1"/>
      <c r="G29979" s="1"/>
    </row>
    <row r="29980">
      <c r="B29980" s="36"/>
      <c r="C29980" s="36"/>
      <c r="E29980" s="1"/>
      <c r="F29980" s="1"/>
      <c r="G29980" s="1"/>
    </row>
    <row r="29981">
      <c r="B29981" s="36"/>
      <c r="C29981" s="36"/>
      <c r="E29981" s="1"/>
      <c r="F29981" s="1"/>
      <c r="G29981" s="1"/>
    </row>
    <row r="29982">
      <c r="B29982" s="36"/>
      <c r="C29982" s="36"/>
      <c r="E29982" s="1"/>
      <c r="F29982" s="1"/>
      <c r="G29982" s="1"/>
    </row>
    <row r="29983">
      <c r="B29983" s="36"/>
      <c r="C29983" s="36"/>
      <c r="E29983" s="1"/>
      <c r="F29983" s="1"/>
      <c r="G29983" s="1"/>
    </row>
    <row r="29984">
      <c r="B29984" s="36"/>
      <c r="C29984" s="36"/>
      <c r="E29984" s="1"/>
      <c r="F29984" s="1"/>
      <c r="G29984" s="1"/>
    </row>
    <row r="29985">
      <c r="B29985" s="36"/>
      <c r="C29985" s="36"/>
      <c r="E29985" s="1"/>
      <c r="F29985" s="1"/>
      <c r="G29985" s="1"/>
    </row>
    <row r="29986">
      <c r="B29986" s="36"/>
      <c r="C29986" s="36"/>
      <c r="E29986" s="1"/>
      <c r="F29986" s="1"/>
      <c r="G29986" s="1"/>
    </row>
    <row r="29987">
      <c r="B29987" s="36"/>
      <c r="C29987" s="36"/>
      <c r="E29987" s="1"/>
      <c r="F29987" s="1"/>
      <c r="G29987" s="1"/>
    </row>
    <row r="29988">
      <c r="B29988" s="36"/>
      <c r="C29988" s="36"/>
      <c r="E29988" s="1"/>
      <c r="F29988" s="1"/>
      <c r="G29988" s="1"/>
    </row>
    <row r="29989">
      <c r="B29989" s="36"/>
      <c r="C29989" s="36"/>
      <c r="E29989" s="1"/>
      <c r="F29989" s="1"/>
      <c r="G29989" s="1"/>
    </row>
    <row r="29990">
      <c r="B29990" s="36"/>
      <c r="C29990" s="36"/>
      <c r="E29990" s="1"/>
      <c r="F29990" s="1"/>
      <c r="G29990" s="1"/>
    </row>
    <row r="29991">
      <c r="B29991" s="36"/>
      <c r="C29991" s="36"/>
      <c r="E29991" s="1"/>
      <c r="F29991" s="1"/>
      <c r="G29991" s="1"/>
    </row>
    <row r="29992">
      <c r="B29992" s="36"/>
      <c r="C29992" s="36"/>
      <c r="E29992" s="1"/>
      <c r="F29992" s="1"/>
      <c r="G29992" s="1"/>
    </row>
    <row r="29993">
      <c r="B29993" s="36"/>
      <c r="C29993" s="36"/>
      <c r="E29993" s="1"/>
      <c r="F29993" s="1"/>
      <c r="G29993" s="1"/>
    </row>
    <row r="29994">
      <c r="B29994" s="36"/>
      <c r="C29994" s="36"/>
      <c r="E29994" s="1"/>
      <c r="F29994" s="1"/>
      <c r="G29994" s="1"/>
    </row>
    <row r="29995">
      <c r="B29995" s="36"/>
      <c r="C29995" s="36"/>
      <c r="E29995" s="1"/>
      <c r="F29995" s="1"/>
      <c r="G29995" s="1"/>
    </row>
    <row r="29996">
      <c r="B29996" s="36"/>
      <c r="C29996" s="36"/>
      <c r="E29996" s="1"/>
      <c r="F29996" s="1"/>
      <c r="G29996" s="1"/>
    </row>
    <row r="29997">
      <c r="B29997" s="36"/>
      <c r="C29997" s="36"/>
      <c r="E29997" s="1"/>
      <c r="F29997" s="1"/>
      <c r="G29997" s="1"/>
    </row>
    <row r="29998">
      <c r="B29998" s="36"/>
      <c r="C29998" s="36"/>
      <c r="E29998" s="1"/>
      <c r="F29998" s="1"/>
      <c r="G29998" s="1"/>
    </row>
    <row r="29999">
      <c r="B29999" s="36"/>
      <c r="C29999" s="36"/>
      <c r="E29999" s="1"/>
      <c r="F29999" s="1"/>
      <c r="G29999" s="1"/>
    </row>
    <row r="30000">
      <c r="B30000" s="36"/>
      <c r="C30000" s="36"/>
      <c r="E30000" s="1"/>
      <c r="F30000" s="1"/>
      <c r="G30000" s="1"/>
    </row>
    <row r="30001">
      <c r="B30001" s="36"/>
      <c r="C30001" s="36"/>
      <c r="E30001" s="1"/>
      <c r="F30001" s="1"/>
      <c r="G30001" s="1"/>
    </row>
    <row r="30002">
      <c r="B30002" s="36"/>
      <c r="C30002" s="36"/>
      <c r="E30002" s="1"/>
      <c r="F30002" s="1"/>
      <c r="G30002" s="1"/>
    </row>
    <row r="30003">
      <c r="B30003" s="36"/>
      <c r="C30003" s="36"/>
      <c r="E30003" s="1"/>
      <c r="F30003" s="1"/>
      <c r="G30003" s="1"/>
    </row>
    <row r="30004">
      <c r="B30004" s="36"/>
      <c r="C30004" s="36"/>
      <c r="E30004" s="1"/>
      <c r="F30004" s="1"/>
      <c r="G30004" s="1"/>
    </row>
    <row r="30005">
      <c r="B30005" s="36"/>
      <c r="C30005" s="36"/>
      <c r="E30005" s="1"/>
      <c r="F30005" s="1"/>
      <c r="G30005" s="1"/>
    </row>
    <row r="30006">
      <c r="B30006" s="36"/>
      <c r="C30006" s="36"/>
      <c r="E30006" s="1"/>
      <c r="F30006" s="1"/>
      <c r="G30006" s="1"/>
    </row>
    <row r="30007">
      <c r="B30007" s="36"/>
      <c r="C30007" s="36"/>
      <c r="E30007" s="1"/>
      <c r="F30007" s="1"/>
      <c r="G30007" s="1"/>
    </row>
    <row r="30008">
      <c r="B30008" s="36"/>
      <c r="C30008" s="36"/>
      <c r="E30008" s="1"/>
      <c r="F30008" s="1"/>
      <c r="G30008" s="1"/>
    </row>
    <row r="30009">
      <c r="B30009" s="36"/>
      <c r="C30009" s="36"/>
      <c r="E30009" s="1"/>
      <c r="F30009" s="1"/>
      <c r="G30009" s="1"/>
    </row>
    <row r="30010">
      <c r="B30010" s="36"/>
      <c r="C30010" s="36"/>
      <c r="E30010" s="1"/>
      <c r="F30010" s="1"/>
      <c r="G30010" s="1"/>
    </row>
    <row r="30011">
      <c r="B30011" s="36"/>
      <c r="C30011" s="36"/>
      <c r="E30011" s="1"/>
      <c r="F30011" s="1"/>
      <c r="G30011" s="1"/>
    </row>
    <row r="30012">
      <c r="B30012" s="36"/>
      <c r="C30012" s="36"/>
      <c r="E30012" s="1"/>
      <c r="F30012" s="1"/>
      <c r="G30012" s="1"/>
    </row>
    <row r="30013">
      <c r="B30013" s="36"/>
      <c r="C30013" s="36"/>
      <c r="E30013" s="1"/>
      <c r="F30013" s="1"/>
      <c r="G30013" s="1"/>
    </row>
    <row r="30014">
      <c r="B30014" s="36"/>
      <c r="C30014" s="36"/>
      <c r="E30014" s="1"/>
      <c r="F30014" s="1"/>
      <c r="G30014" s="1"/>
    </row>
    <row r="30015">
      <c r="B30015" s="36"/>
      <c r="C30015" s="36"/>
      <c r="E30015" s="1"/>
      <c r="F30015" s="1"/>
      <c r="G30015" s="1"/>
    </row>
    <row r="30016">
      <c r="B30016" s="36"/>
      <c r="C30016" s="36"/>
      <c r="E30016" s="1"/>
      <c r="F30016" s="1"/>
      <c r="G30016" s="1"/>
    </row>
    <row r="30017">
      <c r="B30017" s="36"/>
      <c r="C30017" s="36"/>
      <c r="E30017" s="1"/>
      <c r="F30017" s="1"/>
      <c r="G30017" s="1"/>
    </row>
    <row r="30018">
      <c r="B30018" s="36"/>
      <c r="C30018" s="36"/>
      <c r="E30018" s="1"/>
      <c r="F30018" s="1"/>
      <c r="G30018" s="1"/>
    </row>
    <row r="30019">
      <c r="B30019" s="36"/>
      <c r="C30019" s="36"/>
      <c r="E30019" s="1"/>
      <c r="F30019" s="1"/>
      <c r="G30019" s="1"/>
    </row>
    <row r="30020">
      <c r="B30020" s="36"/>
      <c r="C30020" s="36"/>
      <c r="E30020" s="1"/>
      <c r="F30020" s="1"/>
      <c r="G30020" s="1"/>
    </row>
    <row r="30021">
      <c r="B30021" s="36"/>
      <c r="C30021" s="36"/>
      <c r="E30021" s="1"/>
      <c r="F30021" s="1"/>
      <c r="G30021" s="1"/>
    </row>
    <row r="30022">
      <c r="B30022" s="36"/>
      <c r="C30022" s="36"/>
      <c r="E30022" s="1"/>
      <c r="F30022" s="1"/>
      <c r="G30022" s="1"/>
    </row>
    <row r="30023">
      <c r="B30023" s="36"/>
      <c r="C30023" s="36"/>
      <c r="E30023" s="1"/>
      <c r="F30023" s="1"/>
      <c r="G30023" s="1"/>
    </row>
    <row r="30024">
      <c r="B30024" s="36"/>
      <c r="C30024" s="36"/>
      <c r="E30024" s="1"/>
      <c r="F30024" s="1"/>
      <c r="G30024" s="1"/>
    </row>
    <row r="30025">
      <c r="B30025" s="36"/>
      <c r="C30025" s="36"/>
      <c r="E30025" s="1"/>
      <c r="F30025" s="1"/>
      <c r="G30025" s="1"/>
    </row>
    <row r="30026">
      <c r="B30026" s="36"/>
      <c r="C30026" s="36"/>
      <c r="E30026" s="1"/>
      <c r="F30026" s="1"/>
      <c r="G30026" s="1"/>
    </row>
    <row r="30027">
      <c r="B30027" s="36"/>
      <c r="C30027" s="36"/>
      <c r="E30027" s="1"/>
      <c r="F30027" s="1"/>
      <c r="G30027" s="1"/>
    </row>
    <row r="30028">
      <c r="B30028" s="36"/>
      <c r="C30028" s="36"/>
      <c r="E30028" s="1"/>
      <c r="F30028" s="1"/>
      <c r="G30028" s="1"/>
    </row>
    <row r="30029">
      <c r="B30029" s="36"/>
      <c r="C30029" s="36"/>
      <c r="E30029" s="1"/>
      <c r="F30029" s="1"/>
      <c r="G30029" s="1"/>
    </row>
    <row r="30030">
      <c r="B30030" s="36"/>
      <c r="C30030" s="36"/>
      <c r="E30030" s="1"/>
      <c r="F30030" s="1"/>
      <c r="G30030" s="1"/>
    </row>
    <row r="30031">
      <c r="B30031" s="36"/>
      <c r="C30031" s="36"/>
      <c r="E30031" s="1"/>
      <c r="F30031" s="1"/>
      <c r="G30031" s="1"/>
    </row>
    <row r="30032">
      <c r="B30032" s="36"/>
      <c r="C30032" s="36"/>
      <c r="E30032" s="1"/>
      <c r="F30032" s="1"/>
      <c r="G30032" s="1"/>
    </row>
    <row r="30033">
      <c r="B30033" s="36"/>
      <c r="C30033" s="36"/>
      <c r="E30033" s="1"/>
      <c r="F30033" s="1"/>
      <c r="G30033" s="1"/>
    </row>
    <row r="30034">
      <c r="B30034" s="36"/>
      <c r="C30034" s="36"/>
      <c r="E30034" s="1"/>
      <c r="F30034" s="1"/>
      <c r="G30034" s="1"/>
    </row>
    <row r="30035">
      <c r="B30035" s="36"/>
      <c r="C30035" s="36"/>
      <c r="E30035" s="1"/>
      <c r="F30035" s="1"/>
      <c r="G30035" s="1"/>
    </row>
    <row r="30036">
      <c r="B30036" s="36"/>
      <c r="C30036" s="36"/>
      <c r="E30036" s="1"/>
      <c r="F30036" s="1"/>
      <c r="G30036" s="1"/>
    </row>
    <row r="30037">
      <c r="B30037" s="36"/>
      <c r="C30037" s="36"/>
      <c r="E30037" s="1"/>
      <c r="F30037" s="1"/>
      <c r="G30037" s="1"/>
    </row>
    <row r="30038">
      <c r="B30038" s="36"/>
      <c r="C30038" s="36"/>
      <c r="E30038" s="1"/>
      <c r="F30038" s="1"/>
      <c r="G30038" s="1"/>
    </row>
    <row r="30039">
      <c r="B30039" s="36"/>
      <c r="C30039" s="36"/>
      <c r="E30039" s="1"/>
      <c r="F30039" s="1"/>
      <c r="G30039" s="1"/>
    </row>
    <row r="30040">
      <c r="B30040" s="36"/>
      <c r="C30040" s="36"/>
      <c r="E30040" s="1"/>
      <c r="F30040" s="1"/>
      <c r="G30040" s="1"/>
    </row>
    <row r="30041">
      <c r="B30041" s="36"/>
      <c r="C30041" s="36"/>
      <c r="E30041" s="1"/>
      <c r="F30041" s="1"/>
      <c r="G30041" s="1"/>
    </row>
    <row r="30042">
      <c r="B30042" s="36"/>
      <c r="C30042" s="36"/>
      <c r="E30042" s="1"/>
      <c r="F30042" s="1"/>
      <c r="G30042" s="1"/>
    </row>
    <row r="30043">
      <c r="B30043" s="36"/>
      <c r="C30043" s="36"/>
      <c r="E30043" s="1"/>
      <c r="F30043" s="1"/>
      <c r="G30043" s="1"/>
    </row>
    <row r="30044">
      <c r="B30044" s="36"/>
      <c r="C30044" s="36"/>
      <c r="E30044" s="1"/>
      <c r="F30044" s="1"/>
      <c r="G30044" s="1"/>
    </row>
    <row r="30045">
      <c r="B30045" s="36"/>
      <c r="C30045" s="36"/>
      <c r="E30045" s="1"/>
      <c r="F30045" s="1"/>
      <c r="G30045" s="1"/>
    </row>
    <row r="30046">
      <c r="B30046" s="36"/>
      <c r="C30046" s="36"/>
      <c r="E30046" s="1"/>
      <c r="F30046" s="1"/>
      <c r="G30046" s="1"/>
    </row>
    <row r="30047">
      <c r="B30047" s="36"/>
      <c r="C30047" s="36"/>
      <c r="E30047" s="1"/>
      <c r="F30047" s="1"/>
      <c r="G30047" s="1"/>
    </row>
    <row r="30048">
      <c r="B30048" s="36"/>
      <c r="C30048" s="36"/>
      <c r="E30048" s="1"/>
      <c r="F30048" s="1"/>
      <c r="G30048" s="1"/>
    </row>
    <row r="30049">
      <c r="B30049" s="36"/>
      <c r="C30049" s="36"/>
      <c r="E30049" s="1"/>
      <c r="F30049" s="1"/>
      <c r="G30049" s="1"/>
    </row>
    <row r="30050">
      <c r="B30050" s="36"/>
      <c r="C30050" s="36"/>
      <c r="E30050" s="1"/>
      <c r="F30050" s="1"/>
      <c r="G30050" s="1"/>
    </row>
    <row r="30051">
      <c r="B30051" s="36"/>
      <c r="C30051" s="36"/>
      <c r="E30051" s="1"/>
      <c r="F30051" s="1"/>
      <c r="G30051" s="1"/>
    </row>
    <row r="30052">
      <c r="B30052" s="36"/>
      <c r="C30052" s="36"/>
      <c r="E30052" s="1"/>
      <c r="F30052" s="1"/>
      <c r="G30052" s="1"/>
    </row>
    <row r="30053">
      <c r="B30053" s="36"/>
      <c r="C30053" s="36"/>
      <c r="E30053" s="1"/>
      <c r="F30053" s="1"/>
      <c r="G30053" s="1"/>
    </row>
    <row r="30054">
      <c r="B30054" s="36"/>
      <c r="C30054" s="36"/>
      <c r="E30054" s="1"/>
      <c r="F30054" s="1"/>
      <c r="G30054" s="1"/>
    </row>
    <row r="30055">
      <c r="B30055" s="36"/>
      <c r="C30055" s="36"/>
      <c r="E30055" s="1"/>
      <c r="F30055" s="1"/>
      <c r="G30055" s="1"/>
    </row>
    <row r="30056">
      <c r="B30056" s="36"/>
      <c r="C30056" s="36"/>
      <c r="E30056" s="1"/>
      <c r="F30056" s="1"/>
      <c r="G30056" s="1"/>
    </row>
    <row r="30057">
      <c r="B30057" s="36"/>
      <c r="C30057" s="36"/>
      <c r="E30057" s="1"/>
      <c r="F30057" s="1"/>
      <c r="G30057" s="1"/>
    </row>
    <row r="30058">
      <c r="B30058" s="36"/>
      <c r="C30058" s="36"/>
      <c r="E30058" s="1"/>
      <c r="F30058" s="1"/>
      <c r="G30058" s="1"/>
    </row>
    <row r="30059">
      <c r="B30059" s="36"/>
      <c r="C30059" s="36"/>
      <c r="E30059" s="1"/>
      <c r="F30059" s="1"/>
      <c r="G30059" s="1"/>
    </row>
    <row r="30060">
      <c r="B30060" s="36"/>
      <c r="C30060" s="36"/>
      <c r="E30060" s="1"/>
      <c r="F30060" s="1"/>
      <c r="G30060" s="1"/>
    </row>
    <row r="30061">
      <c r="B30061" s="36"/>
      <c r="C30061" s="36"/>
      <c r="E30061" s="1"/>
      <c r="F30061" s="1"/>
      <c r="G30061" s="1"/>
    </row>
    <row r="30062">
      <c r="B30062" s="36"/>
      <c r="C30062" s="36"/>
      <c r="E30062" s="1"/>
      <c r="F30062" s="1"/>
      <c r="G30062" s="1"/>
    </row>
    <row r="30063">
      <c r="B30063" s="36"/>
      <c r="C30063" s="36"/>
      <c r="E30063" s="1"/>
      <c r="F30063" s="1"/>
      <c r="G30063" s="1"/>
    </row>
    <row r="30064">
      <c r="B30064" s="36"/>
      <c r="C30064" s="36"/>
      <c r="E30064" s="1"/>
      <c r="F30064" s="1"/>
      <c r="G30064" s="1"/>
    </row>
    <row r="30065">
      <c r="B30065" s="36"/>
      <c r="C30065" s="36"/>
      <c r="E30065" s="1"/>
      <c r="F30065" s="1"/>
      <c r="G30065" s="1"/>
    </row>
    <row r="30066">
      <c r="B30066" s="36"/>
      <c r="C30066" s="36"/>
      <c r="E30066" s="1"/>
      <c r="F30066" s="1"/>
      <c r="G30066" s="1"/>
    </row>
    <row r="30067">
      <c r="B30067" s="36"/>
      <c r="C30067" s="36"/>
      <c r="E30067" s="1"/>
      <c r="F30067" s="1"/>
      <c r="G30067" s="1"/>
    </row>
    <row r="30068">
      <c r="B30068" s="36"/>
      <c r="C30068" s="36"/>
      <c r="E30068" s="1"/>
      <c r="F30068" s="1"/>
      <c r="G30068" s="1"/>
    </row>
    <row r="30069">
      <c r="B30069" s="36"/>
      <c r="C30069" s="36"/>
      <c r="E30069" s="1"/>
      <c r="F30069" s="1"/>
      <c r="G30069" s="1"/>
    </row>
    <row r="30070">
      <c r="B30070" s="36"/>
      <c r="C30070" s="36"/>
      <c r="E30070" s="1"/>
      <c r="F30070" s="1"/>
      <c r="G30070" s="1"/>
    </row>
    <row r="30071">
      <c r="B30071" s="36"/>
      <c r="C30071" s="36"/>
      <c r="E30071" s="1"/>
      <c r="F30071" s="1"/>
      <c r="G30071" s="1"/>
    </row>
    <row r="30072">
      <c r="B30072" s="36"/>
      <c r="C30072" s="36"/>
      <c r="E30072" s="1"/>
      <c r="F30072" s="1"/>
      <c r="G30072" s="1"/>
    </row>
    <row r="30073">
      <c r="B30073" s="36"/>
      <c r="C30073" s="36"/>
      <c r="E30073" s="1"/>
      <c r="F30073" s="1"/>
      <c r="G30073" s="1"/>
    </row>
    <row r="30074">
      <c r="B30074" s="36"/>
      <c r="C30074" s="36"/>
      <c r="E30074" s="1"/>
      <c r="F30074" s="1"/>
      <c r="G30074" s="1"/>
    </row>
    <row r="30075">
      <c r="B30075" s="36"/>
      <c r="C30075" s="36"/>
      <c r="E30075" s="1"/>
      <c r="F30075" s="1"/>
      <c r="G30075" s="1"/>
    </row>
    <row r="30076">
      <c r="B30076" s="36"/>
      <c r="C30076" s="36"/>
      <c r="E30076" s="1"/>
      <c r="F30076" s="1"/>
      <c r="G30076" s="1"/>
    </row>
    <row r="30077">
      <c r="B30077" s="36"/>
      <c r="C30077" s="36"/>
      <c r="E30077" s="1"/>
      <c r="F30077" s="1"/>
      <c r="G30077" s="1"/>
    </row>
    <row r="30078">
      <c r="B30078" s="36"/>
      <c r="C30078" s="36"/>
      <c r="E30078" s="1"/>
      <c r="F30078" s="1"/>
      <c r="G30078" s="1"/>
    </row>
    <row r="30079">
      <c r="B30079" s="36"/>
      <c r="C30079" s="36"/>
      <c r="E30079" s="1"/>
      <c r="F30079" s="1"/>
      <c r="G30079" s="1"/>
    </row>
    <row r="30080">
      <c r="B30080" s="36"/>
      <c r="C30080" s="36"/>
      <c r="E30080" s="1"/>
      <c r="F30080" s="1"/>
      <c r="G30080" s="1"/>
    </row>
    <row r="30081">
      <c r="B30081" s="36"/>
      <c r="C30081" s="36"/>
      <c r="E30081" s="1"/>
      <c r="F30081" s="1"/>
      <c r="G30081" s="1"/>
    </row>
    <row r="30082">
      <c r="B30082" s="36"/>
      <c r="C30082" s="36"/>
      <c r="E30082" s="1"/>
      <c r="F30082" s="1"/>
      <c r="G30082" s="1"/>
    </row>
    <row r="30083">
      <c r="B30083" s="36"/>
      <c r="C30083" s="36"/>
      <c r="E30083" s="1"/>
      <c r="F30083" s="1"/>
      <c r="G30083" s="1"/>
    </row>
    <row r="30084">
      <c r="B30084" s="36"/>
      <c r="C30084" s="36"/>
      <c r="E30084" s="1"/>
      <c r="F30084" s="1"/>
      <c r="G30084" s="1"/>
    </row>
    <row r="30085">
      <c r="B30085" s="36"/>
      <c r="C30085" s="36"/>
      <c r="E30085" s="1"/>
      <c r="F30085" s="1"/>
      <c r="G30085" s="1"/>
    </row>
    <row r="30086">
      <c r="B30086" s="36"/>
      <c r="C30086" s="36"/>
      <c r="E30086" s="1"/>
      <c r="F30086" s="1"/>
      <c r="G30086" s="1"/>
    </row>
    <row r="30087">
      <c r="B30087" s="36"/>
      <c r="C30087" s="36"/>
      <c r="E30087" s="1"/>
      <c r="F30087" s="1"/>
      <c r="G30087" s="1"/>
    </row>
    <row r="30088">
      <c r="B30088" s="36"/>
      <c r="C30088" s="36"/>
      <c r="E30088" s="1"/>
      <c r="F30088" s="1"/>
      <c r="G30088" s="1"/>
    </row>
    <row r="30089">
      <c r="B30089" s="36"/>
      <c r="C30089" s="36"/>
      <c r="E30089" s="1"/>
      <c r="F30089" s="1"/>
      <c r="G30089" s="1"/>
    </row>
    <row r="30090">
      <c r="B30090" s="36"/>
      <c r="C30090" s="36"/>
      <c r="E30090" s="1"/>
      <c r="F30090" s="1"/>
      <c r="G30090" s="1"/>
    </row>
    <row r="30091">
      <c r="B30091" s="36"/>
      <c r="C30091" s="36"/>
      <c r="E30091" s="1"/>
      <c r="F30091" s="1"/>
      <c r="G30091" s="1"/>
    </row>
    <row r="30092">
      <c r="B30092" s="36"/>
      <c r="C30092" s="36"/>
      <c r="E30092" s="1"/>
      <c r="F30092" s="1"/>
      <c r="G30092" s="1"/>
    </row>
    <row r="30093">
      <c r="B30093" s="36"/>
      <c r="C30093" s="36"/>
      <c r="E30093" s="1"/>
      <c r="F30093" s="1"/>
      <c r="G30093" s="1"/>
    </row>
    <row r="30094">
      <c r="B30094" s="36"/>
      <c r="C30094" s="36"/>
      <c r="E30094" s="1"/>
      <c r="F30094" s="1"/>
      <c r="G30094" s="1"/>
    </row>
    <row r="30095">
      <c r="B30095" s="36"/>
      <c r="C30095" s="36"/>
      <c r="E30095" s="1"/>
      <c r="F30095" s="1"/>
      <c r="G30095" s="1"/>
    </row>
    <row r="30096">
      <c r="B30096" s="36"/>
      <c r="C30096" s="36"/>
      <c r="E30096" s="1"/>
      <c r="F30096" s="1"/>
      <c r="G30096" s="1"/>
    </row>
    <row r="30097">
      <c r="B30097" s="36"/>
      <c r="C30097" s="36"/>
      <c r="E30097" s="1"/>
      <c r="F30097" s="1"/>
      <c r="G30097" s="1"/>
    </row>
    <row r="30098">
      <c r="B30098" s="36"/>
      <c r="C30098" s="36"/>
      <c r="E30098" s="1"/>
      <c r="F30098" s="1"/>
      <c r="G30098" s="1"/>
    </row>
    <row r="30099">
      <c r="B30099" s="36"/>
      <c r="C30099" s="36"/>
      <c r="E30099" s="1"/>
      <c r="F30099" s="1"/>
      <c r="G30099" s="1"/>
    </row>
    <row r="30100">
      <c r="B30100" s="36"/>
      <c r="C30100" s="36"/>
      <c r="E30100" s="1"/>
      <c r="F30100" s="1"/>
      <c r="G30100" s="1"/>
    </row>
    <row r="30101">
      <c r="B30101" s="36"/>
      <c r="C30101" s="36"/>
      <c r="E30101" s="1"/>
      <c r="F30101" s="1"/>
      <c r="G30101" s="1"/>
    </row>
    <row r="30102">
      <c r="B30102" s="36"/>
      <c r="C30102" s="36"/>
      <c r="E30102" s="1"/>
      <c r="F30102" s="1"/>
      <c r="G30102" s="1"/>
    </row>
    <row r="30103">
      <c r="B30103" s="36"/>
      <c r="C30103" s="36"/>
      <c r="E30103" s="1"/>
      <c r="F30103" s="1"/>
      <c r="G30103" s="1"/>
    </row>
    <row r="30104">
      <c r="B30104" s="36"/>
      <c r="C30104" s="36"/>
      <c r="E30104" s="1"/>
      <c r="F30104" s="1"/>
      <c r="G30104" s="1"/>
    </row>
    <row r="30105">
      <c r="B30105" s="36"/>
      <c r="C30105" s="36"/>
      <c r="E30105" s="1"/>
      <c r="F30105" s="1"/>
      <c r="G30105" s="1"/>
    </row>
    <row r="30106">
      <c r="B30106" s="36"/>
      <c r="C30106" s="36"/>
      <c r="E30106" s="1"/>
      <c r="F30106" s="1"/>
      <c r="G30106" s="1"/>
    </row>
    <row r="30107">
      <c r="B30107" s="36"/>
      <c r="C30107" s="36"/>
      <c r="E30107" s="1"/>
      <c r="F30107" s="1"/>
      <c r="G30107" s="1"/>
    </row>
    <row r="30108">
      <c r="B30108" s="36"/>
      <c r="C30108" s="36"/>
      <c r="E30108" s="1"/>
      <c r="F30108" s="1"/>
      <c r="G30108" s="1"/>
    </row>
    <row r="30109">
      <c r="B30109" s="36"/>
      <c r="C30109" s="36"/>
      <c r="E30109" s="1"/>
      <c r="F30109" s="1"/>
      <c r="G30109" s="1"/>
    </row>
    <row r="30110">
      <c r="B30110" s="36"/>
      <c r="C30110" s="36"/>
      <c r="E30110" s="1"/>
      <c r="F30110" s="1"/>
      <c r="G30110" s="1"/>
    </row>
    <row r="30111">
      <c r="B30111" s="36"/>
      <c r="C30111" s="36"/>
      <c r="E30111" s="1"/>
      <c r="F30111" s="1"/>
      <c r="G30111" s="1"/>
    </row>
    <row r="30112">
      <c r="B30112" s="36"/>
      <c r="C30112" s="36"/>
      <c r="E30112" s="1"/>
      <c r="F30112" s="1"/>
      <c r="G30112" s="1"/>
    </row>
    <row r="30113">
      <c r="B30113" s="36"/>
      <c r="C30113" s="36"/>
      <c r="E30113" s="1"/>
      <c r="F30113" s="1"/>
      <c r="G30113" s="1"/>
    </row>
    <row r="30114">
      <c r="B30114" s="36"/>
      <c r="C30114" s="36"/>
      <c r="E30114" s="1"/>
      <c r="F30114" s="1"/>
      <c r="G30114" s="1"/>
    </row>
    <row r="30115">
      <c r="B30115" s="36"/>
      <c r="C30115" s="36"/>
      <c r="E30115" s="1"/>
      <c r="F30115" s="1"/>
      <c r="G30115" s="1"/>
    </row>
    <row r="30116">
      <c r="B30116" s="36"/>
      <c r="C30116" s="36"/>
      <c r="E30116" s="1"/>
      <c r="F30116" s="1"/>
      <c r="G30116" s="1"/>
    </row>
    <row r="30117">
      <c r="B30117" s="36"/>
      <c r="C30117" s="36"/>
      <c r="E30117" s="1"/>
      <c r="F30117" s="1"/>
      <c r="G30117" s="1"/>
    </row>
    <row r="30118">
      <c r="B30118" s="36"/>
      <c r="C30118" s="36"/>
      <c r="E30118" s="1"/>
      <c r="F30118" s="1"/>
      <c r="G30118" s="1"/>
    </row>
    <row r="30119">
      <c r="B30119" s="36"/>
      <c r="C30119" s="36"/>
      <c r="E30119" s="1"/>
      <c r="F30119" s="1"/>
      <c r="G30119" s="1"/>
    </row>
    <row r="30120">
      <c r="B30120" s="36"/>
      <c r="C30120" s="36"/>
      <c r="E30120" s="1"/>
      <c r="F30120" s="1"/>
      <c r="G30120" s="1"/>
    </row>
    <row r="30121">
      <c r="B30121" s="36"/>
      <c r="C30121" s="36"/>
      <c r="E30121" s="1"/>
      <c r="F30121" s="1"/>
      <c r="G30121" s="1"/>
    </row>
    <row r="30122">
      <c r="B30122" s="36"/>
      <c r="C30122" s="36"/>
      <c r="E30122" s="1"/>
      <c r="F30122" s="1"/>
      <c r="G30122" s="1"/>
    </row>
    <row r="30123">
      <c r="B30123" s="36"/>
      <c r="C30123" s="36"/>
      <c r="E30123" s="1"/>
      <c r="F30123" s="1"/>
      <c r="G30123" s="1"/>
    </row>
    <row r="30124">
      <c r="B30124" s="36"/>
      <c r="C30124" s="36"/>
      <c r="E30124" s="1"/>
      <c r="F30124" s="1"/>
      <c r="G30124" s="1"/>
    </row>
    <row r="30125">
      <c r="B30125" s="36"/>
      <c r="C30125" s="36"/>
      <c r="E30125" s="1"/>
      <c r="F30125" s="1"/>
      <c r="G30125" s="1"/>
    </row>
    <row r="30126">
      <c r="B30126" s="36"/>
      <c r="C30126" s="36"/>
      <c r="E30126" s="1"/>
      <c r="F30126" s="1"/>
      <c r="G30126" s="1"/>
    </row>
    <row r="30127">
      <c r="B30127" s="36"/>
      <c r="C30127" s="36"/>
      <c r="E30127" s="1"/>
      <c r="F30127" s="1"/>
      <c r="G30127" s="1"/>
    </row>
    <row r="30128">
      <c r="B30128" s="36"/>
      <c r="C30128" s="36"/>
      <c r="E30128" s="1"/>
      <c r="F30128" s="1"/>
      <c r="G30128" s="1"/>
    </row>
    <row r="30129">
      <c r="B30129" s="36"/>
      <c r="C30129" s="36"/>
      <c r="E30129" s="1"/>
      <c r="F30129" s="1"/>
      <c r="G30129" s="1"/>
    </row>
    <row r="30130">
      <c r="B30130" s="36"/>
      <c r="C30130" s="36"/>
      <c r="E30130" s="1"/>
      <c r="F30130" s="1"/>
      <c r="G30130" s="1"/>
    </row>
    <row r="30131">
      <c r="B30131" s="36"/>
      <c r="C30131" s="36"/>
      <c r="E30131" s="1"/>
      <c r="F30131" s="1"/>
      <c r="G30131" s="1"/>
    </row>
    <row r="30132">
      <c r="B30132" s="36"/>
      <c r="C30132" s="36"/>
      <c r="E30132" s="1"/>
      <c r="F30132" s="1"/>
      <c r="G30132" s="1"/>
    </row>
    <row r="30133">
      <c r="B30133" s="36"/>
      <c r="C30133" s="36"/>
      <c r="E30133" s="1"/>
      <c r="F30133" s="1"/>
      <c r="G30133" s="1"/>
    </row>
    <row r="30134">
      <c r="B30134" s="36"/>
      <c r="C30134" s="36"/>
      <c r="E30134" s="1"/>
      <c r="F30134" s="1"/>
      <c r="G30134" s="1"/>
    </row>
    <row r="30135">
      <c r="B30135" s="36"/>
      <c r="C30135" s="36"/>
      <c r="E30135" s="1"/>
      <c r="F30135" s="1"/>
      <c r="G30135" s="1"/>
    </row>
    <row r="30136">
      <c r="B30136" s="36"/>
      <c r="C30136" s="36"/>
      <c r="E30136" s="1"/>
      <c r="F30136" s="1"/>
      <c r="G30136" s="1"/>
    </row>
    <row r="30137">
      <c r="B30137" s="36"/>
      <c r="C30137" s="36"/>
      <c r="E30137" s="1"/>
      <c r="F30137" s="1"/>
      <c r="G30137" s="1"/>
    </row>
    <row r="30138">
      <c r="B30138" s="36"/>
      <c r="C30138" s="36"/>
      <c r="E30138" s="1"/>
      <c r="F30138" s="1"/>
      <c r="G30138" s="1"/>
    </row>
    <row r="30139">
      <c r="B30139" s="36"/>
      <c r="C30139" s="36"/>
      <c r="E30139" s="1"/>
      <c r="F30139" s="1"/>
      <c r="G30139" s="1"/>
    </row>
    <row r="30140">
      <c r="B30140" s="36"/>
      <c r="C30140" s="36"/>
      <c r="E30140" s="1"/>
      <c r="F30140" s="1"/>
      <c r="G30140" s="1"/>
    </row>
    <row r="30141">
      <c r="B30141" s="36"/>
      <c r="C30141" s="36"/>
      <c r="E30141" s="1"/>
      <c r="F30141" s="1"/>
      <c r="G30141" s="1"/>
    </row>
    <row r="30142">
      <c r="B30142" s="36"/>
      <c r="C30142" s="36"/>
      <c r="E30142" s="1"/>
      <c r="F30142" s="1"/>
      <c r="G30142" s="1"/>
    </row>
    <row r="30143">
      <c r="B30143" s="36"/>
      <c r="C30143" s="36"/>
      <c r="E30143" s="1"/>
      <c r="F30143" s="1"/>
      <c r="G30143" s="1"/>
    </row>
    <row r="30144">
      <c r="B30144" s="36"/>
      <c r="C30144" s="36"/>
      <c r="E30144" s="1"/>
      <c r="F30144" s="1"/>
      <c r="G30144" s="1"/>
    </row>
    <row r="30145">
      <c r="B30145" s="36"/>
      <c r="C30145" s="36"/>
      <c r="E30145" s="1"/>
      <c r="F30145" s="1"/>
      <c r="G30145" s="1"/>
    </row>
    <row r="30146">
      <c r="B30146" s="36"/>
      <c r="C30146" s="36"/>
      <c r="E30146" s="1"/>
      <c r="F30146" s="1"/>
      <c r="G30146" s="1"/>
    </row>
    <row r="30147">
      <c r="B30147" s="36"/>
      <c r="C30147" s="36"/>
      <c r="E30147" s="1"/>
      <c r="F30147" s="1"/>
      <c r="G30147" s="1"/>
    </row>
    <row r="30148">
      <c r="B30148" s="36"/>
      <c r="C30148" s="36"/>
      <c r="E30148" s="1"/>
      <c r="F30148" s="1"/>
      <c r="G30148" s="1"/>
    </row>
    <row r="30149">
      <c r="B30149" s="36"/>
      <c r="C30149" s="36"/>
      <c r="E30149" s="1"/>
      <c r="F30149" s="1"/>
      <c r="G30149" s="1"/>
    </row>
    <row r="30150">
      <c r="B30150" s="36"/>
      <c r="C30150" s="36"/>
      <c r="E30150" s="1"/>
      <c r="F30150" s="1"/>
      <c r="G30150" s="1"/>
    </row>
    <row r="30151">
      <c r="B30151" s="36"/>
      <c r="C30151" s="36"/>
      <c r="E30151" s="1"/>
      <c r="F30151" s="1"/>
      <c r="G30151" s="1"/>
    </row>
    <row r="30152">
      <c r="B30152" s="36"/>
      <c r="C30152" s="36"/>
      <c r="E30152" s="1"/>
      <c r="F30152" s="1"/>
      <c r="G30152" s="1"/>
    </row>
    <row r="30153">
      <c r="B30153" s="36"/>
      <c r="C30153" s="36"/>
      <c r="E30153" s="1"/>
      <c r="F30153" s="1"/>
      <c r="G30153" s="1"/>
    </row>
    <row r="30154">
      <c r="B30154" s="36"/>
      <c r="C30154" s="36"/>
      <c r="E30154" s="1"/>
      <c r="F30154" s="1"/>
      <c r="G30154" s="1"/>
    </row>
    <row r="30155">
      <c r="B30155" s="36"/>
      <c r="C30155" s="36"/>
      <c r="E30155" s="1"/>
      <c r="F30155" s="1"/>
      <c r="G30155" s="1"/>
    </row>
    <row r="30156">
      <c r="B30156" s="36"/>
      <c r="C30156" s="36"/>
      <c r="E30156" s="1"/>
      <c r="F30156" s="1"/>
      <c r="G30156" s="1"/>
    </row>
    <row r="30157">
      <c r="B30157" s="36"/>
      <c r="C30157" s="36"/>
      <c r="E30157" s="1"/>
      <c r="F30157" s="1"/>
      <c r="G30157" s="1"/>
    </row>
    <row r="30158">
      <c r="B30158" s="36"/>
      <c r="C30158" s="36"/>
      <c r="E30158" s="1"/>
      <c r="F30158" s="1"/>
      <c r="G30158" s="1"/>
    </row>
    <row r="30159">
      <c r="B30159" s="36"/>
      <c r="C30159" s="36"/>
      <c r="E30159" s="1"/>
      <c r="F30159" s="1"/>
      <c r="G30159" s="1"/>
    </row>
    <row r="30160">
      <c r="B30160" s="36"/>
      <c r="C30160" s="36"/>
      <c r="E30160" s="1"/>
      <c r="F30160" s="1"/>
      <c r="G30160" s="1"/>
    </row>
    <row r="30161">
      <c r="B30161" s="36"/>
      <c r="C30161" s="36"/>
      <c r="E30161" s="1"/>
      <c r="F30161" s="1"/>
      <c r="G30161" s="1"/>
    </row>
    <row r="30162">
      <c r="B30162" s="36"/>
      <c r="C30162" s="36"/>
      <c r="E30162" s="1"/>
      <c r="F30162" s="1"/>
      <c r="G30162" s="1"/>
    </row>
    <row r="30163">
      <c r="B30163" s="36"/>
      <c r="C30163" s="36"/>
      <c r="E30163" s="1"/>
      <c r="F30163" s="1"/>
      <c r="G30163" s="1"/>
    </row>
    <row r="30164">
      <c r="B30164" s="36"/>
      <c r="C30164" s="36"/>
      <c r="E30164" s="1"/>
      <c r="F30164" s="1"/>
      <c r="G30164" s="1"/>
    </row>
    <row r="30165">
      <c r="B30165" s="36"/>
      <c r="C30165" s="36"/>
      <c r="E30165" s="1"/>
      <c r="F30165" s="1"/>
      <c r="G30165" s="1"/>
    </row>
    <row r="30166">
      <c r="B30166" s="36"/>
      <c r="C30166" s="36"/>
      <c r="E30166" s="1"/>
      <c r="F30166" s="1"/>
      <c r="G30166" s="1"/>
    </row>
    <row r="30167">
      <c r="B30167" s="36"/>
      <c r="C30167" s="36"/>
      <c r="E30167" s="1"/>
      <c r="F30167" s="1"/>
      <c r="G30167" s="1"/>
    </row>
    <row r="30168">
      <c r="B30168" s="36"/>
      <c r="C30168" s="36"/>
      <c r="E30168" s="1"/>
      <c r="F30168" s="1"/>
      <c r="G30168" s="1"/>
    </row>
    <row r="30169">
      <c r="B30169" s="36"/>
      <c r="C30169" s="36"/>
      <c r="E30169" s="1"/>
      <c r="F30169" s="1"/>
      <c r="G30169" s="1"/>
    </row>
    <row r="30170">
      <c r="B30170" s="36"/>
      <c r="C30170" s="36"/>
      <c r="E30170" s="1"/>
      <c r="F30170" s="1"/>
      <c r="G30170" s="1"/>
    </row>
    <row r="30171">
      <c r="B30171" s="36"/>
      <c r="C30171" s="36"/>
      <c r="E30171" s="1"/>
      <c r="F30171" s="1"/>
      <c r="G30171" s="1"/>
    </row>
    <row r="30172">
      <c r="B30172" s="36"/>
      <c r="C30172" s="36"/>
      <c r="E30172" s="1"/>
      <c r="F30172" s="1"/>
      <c r="G30172" s="1"/>
    </row>
    <row r="30173">
      <c r="B30173" s="36"/>
      <c r="C30173" s="36"/>
      <c r="E30173" s="1"/>
      <c r="F30173" s="1"/>
      <c r="G30173" s="1"/>
    </row>
    <row r="30174">
      <c r="B30174" s="36"/>
      <c r="C30174" s="36"/>
      <c r="E30174" s="1"/>
      <c r="F30174" s="1"/>
      <c r="G30174" s="1"/>
    </row>
    <row r="30175">
      <c r="B30175" s="36"/>
      <c r="C30175" s="36"/>
      <c r="E30175" s="1"/>
      <c r="F30175" s="1"/>
      <c r="G30175" s="1"/>
    </row>
    <row r="30176">
      <c r="B30176" s="36"/>
      <c r="C30176" s="36"/>
      <c r="E30176" s="1"/>
      <c r="F30176" s="1"/>
      <c r="G30176" s="1"/>
    </row>
    <row r="30177">
      <c r="B30177" s="36"/>
      <c r="C30177" s="36"/>
      <c r="E30177" s="1"/>
      <c r="F30177" s="1"/>
      <c r="G30177" s="1"/>
    </row>
    <row r="30178">
      <c r="B30178" s="36"/>
      <c r="C30178" s="36"/>
      <c r="E30178" s="1"/>
      <c r="F30178" s="1"/>
      <c r="G30178" s="1"/>
    </row>
    <row r="30179">
      <c r="B30179" s="36"/>
      <c r="C30179" s="36"/>
      <c r="E30179" s="1"/>
      <c r="F30179" s="1"/>
      <c r="G30179" s="1"/>
    </row>
    <row r="30180">
      <c r="B30180" s="36"/>
      <c r="C30180" s="36"/>
      <c r="E30180" s="1"/>
      <c r="F30180" s="1"/>
      <c r="G30180" s="1"/>
    </row>
    <row r="30181">
      <c r="B30181" s="36"/>
      <c r="C30181" s="36"/>
      <c r="E30181" s="1"/>
      <c r="F30181" s="1"/>
      <c r="G30181" s="1"/>
    </row>
    <row r="30182">
      <c r="B30182" s="36"/>
      <c r="C30182" s="36"/>
      <c r="E30182" s="1"/>
      <c r="F30182" s="1"/>
      <c r="G30182" s="1"/>
    </row>
    <row r="30183">
      <c r="B30183" s="36"/>
      <c r="C30183" s="36"/>
      <c r="E30183" s="1"/>
      <c r="F30183" s="1"/>
      <c r="G30183" s="1"/>
    </row>
    <row r="30184">
      <c r="B30184" s="36"/>
      <c r="C30184" s="36"/>
      <c r="E30184" s="1"/>
      <c r="F30184" s="1"/>
      <c r="G30184" s="1"/>
    </row>
    <row r="30185">
      <c r="B30185" s="36"/>
      <c r="C30185" s="36"/>
      <c r="E30185" s="1"/>
      <c r="F30185" s="1"/>
      <c r="G30185" s="1"/>
    </row>
    <row r="30186">
      <c r="B30186" s="36"/>
      <c r="C30186" s="36"/>
      <c r="E30186" s="1"/>
      <c r="F30186" s="1"/>
      <c r="G30186" s="1"/>
    </row>
    <row r="30187">
      <c r="B30187" s="36"/>
      <c r="C30187" s="36"/>
      <c r="E30187" s="1"/>
      <c r="F30187" s="1"/>
      <c r="G30187" s="1"/>
    </row>
    <row r="30188">
      <c r="B30188" s="36"/>
      <c r="C30188" s="36"/>
      <c r="E30188" s="1"/>
      <c r="F30188" s="1"/>
      <c r="G30188" s="1"/>
    </row>
    <row r="30189">
      <c r="B30189" s="36"/>
      <c r="C30189" s="36"/>
      <c r="E30189" s="1"/>
      <c r="F30189" s="1"/>
      <c r="G30189" s="1"/>
    </row>
    <row r="30190">
      <c r="B30190" s="36"/>
      <c r="C30190" s="36"/>
      <c r="E30190" s="1"/>
      <c r="F30190" s="1"/>
      <c r="G30190" s="1"/>
    </row>
    <row r="30191">
      <c r="B30191" s="36"/>
      <c r="C30191" s="36"/>
      <c r="E30191" s="1"/>
      <c r="F30191" s="1"/>
      <c r="G30191" s="1"/>
    </row>
    <row r="30192">
      <c r="B30192" s="36"/>
      <c r="C30192" s="36"/>
      <c r="E30192" s="1"/>
      <c r="F30192" s="1"/>
      <c r="G30192" s="1"/>
    </row>
    <row r="30193">
      <c r="B30193" s="36"/>
      <c r="C30193" s="36"/>
      <c r="E30193" s="1"/>
      <c r="F30193" s="1"/>
      <c r="G30193" s="1"/>
    </row>
    <row r="30194">
      <c r="B30194" s="36"/>
      <c r="C30194" s="36"/>
      <c r="E30194" s="1"/>
      <c r="F30194" s="1"/>
      <c r="G30194" s="1"/>
    </row>
    <row r="30195">
      <c r="B30195" s="36"/>
      <c r="C30195" s="36"/>
      <c r="E30195" s="1"/>
      <c r="F30195" s="1"/>
      <c r="G30195" s="1"/>
    </row>
    <row r="30196">
      <c r="B30196" s="36"/>
      <c r="C30196" s="36"/>
      <c r="E30196" s="1"/>
      <c r="F30196" s="1"/>
      <c r="G30196" s="1"/>
    </row>
    <row r="30197">
      <c r="B30197" s="36"/>
      <c r="C30197" s="36"/>
      <c r="E30197" s="1"/>
      <c r="F30197" s="1"/>
      <c r="G30197" s="1"/>
    </row>
    <row r="30198">
      <c r="B30198" s="36"/>
      <c r="C30198" s="36"/>
      <c r="E30198" s="1"/>
      <c r="F30198" s="1"/>
      <c r="G30198" s="1"/>
    </row>
    <row r="30199">
      <c r="B30199" s="36"/>
      <c r="C30199" s="36"/>
      <c r="E30199" s="1"/>
      <c r="F30199" s="1"/>
      <c r="G30199" s="1"/>
    </row>
    <row r="30200">
      <c r="B30200" s="36"/>
      <c r="C30200" s="36"/>
      <c r="E30200" s="1"/>
      <c r="F30200" s="1"/>
      <c r="G30200" s="1"/>
    </row>
    <row r="30201">
      <c r="B30201" s="36"/>
      <c r="C30201" s="36"/>
      <c r="E30201" s="1"/>
      <c r="F30201" s="1"/>
      <c r="G30201" s="1"/>
    </row>
    <row r="30202">
      <c r="B30202" s="36"/>
      <c r="C30202" s="36"/>
      <c r="E30202" s="1"/>
      <c r="F30202" s="1"/>
      <c r="G30202" s="1"/>
    </row>
    <row r="30203">
      <c r="B30203" s="36"/>
      <c r="C30203" s="36"/>
      <c r="E30203" s="1"/>
      <c r="F30203" s="1"/>
      <c r="G30203" s="1"/>
    </row>
    <row r="30204">
      <c r="B30204" s="36"/>
      <c r="C30204" s="36"/>
      <c r="E30204" s="1"/>
      <c r="F30204" s="1"/>
      <c r="G30204" s="1"/>
    </row>
    <row r="30205">
      <c r="B30205" s="36"/>
      <c r="C30205" s="36"/>
      <c r="E30205" s="1"/>
      <c r="F30205" s="1"/>
      <c r="G30205" s="1"/>
    </row>
    <row r="30206">
      <c r="B30206" s="36"/>
      <c r="C30206" s="36"/>
      <c r="E30206" s="1"/>
      <c r="F30206" s="1"/>
      <c r="G30206" s="1"/>
    </row>
    <row r="30207">
      <c r="B30207" s="36"/>
      <c r="C30207" s="36"/>
      <c r="E30207" s="1"/>
      <c r="F30207" s="1"/>
      <c r="G30207" s="1"/>
    </row>
    <row r="30208">
      <c r="B30208" s="36"/>
      <c r="C30208" s="36"/>
      <c r="E30208" s="1"/>
      <c r="F30208" s="1"/>
      <c r="G30208" s="1"/>
    </row>
    <row r="30209">
      <c r="B30209" s="36"/>
      <c r="C30209" s="36"/>
      <c r="E30209" s="1"/>
      <c r="F30209" s="1"/>
      <c r="G30209" s="1"/>
    </row>
    <row r="30210">
      <c r="B30210" s="36"/>
      <c r="C30210" s="36"/>
      <c r="E30210" s="1"/>
      <c r="F30210" s="1"/>
      <c r="G30210" s="1"/>
    </row>
    <row r="30211">
      <c r="B30211" s="36"/>
      <c r="C30211" s="36"/>
      <c r="E30211" s="1"/>
      <c r="F30211" s="1"/>
      <c r="G30211" s="1"/>
    </row>
    <row r="30212">
      <c r="B30212" s="36"/>
      <c r="C30212" s="36"/>
      <c r="E30212" s="1"/>
      <c r="F30212" s="1"/>
      <c r="G30212" s="1"/>
    </row>
    <row r="30213">
      <c r="B30213" s="36"/>
      <c r="C30213" s="36"/>
      <c r="E30213" s="1"/>
      <c r="F30213" s="1"/>
      <c r="G30213" s="1"/>
    </row>
    <row r="30214">
      <c r="B30214" s="36"/>
      <c r="C30214" s="36"/>
      <c r="E30214" s="1"/>
      <c r="F30214" s="1"/>
      <c r="G30214" s="1"/>
    </row>
    <row r="30215">
      <c r="B30215" s="36"/>
      <c r="C30215" s="36"/>
      <c r="E30215" s="1"/>
      <c r="F30215" s="1"/>
      <c r="G30215" s="1"/>
    </row>
    <row r="30216">
      <c r="B30216" s="36"/>
      <c r="C30216" s="36"/>
      <c r="E30216" s="1"/>
      <c r="F30216" s="1"/>
      <c r="G30216" s="1"/>
    </row>
    <row r="30217">
      <c r="B30217" s="36"/>
      <c r="C30217" s="36"/>
      <c r="E30217" s="1"/>
      <c r="F30217" s="1"/>
      <c r="G30217" s="1"/>
    </row>
    <row r="30218">
      <c r="B30218" s="36"/>
      <c r="C30218" s="36"/>
      <c r="E30218" s="1"/>
      <c r="F30218" s="1"/>
      <c r="G30218" s="1"/>
    </row>
    <row r="30219">
      <c r="B30219" s="36"/>
      <c r="C30219" s="36"/>
      <c r="E30219" s="1"/>
      <c r="F30219" s="1"/>
      <c r="G30219" s="1"/>
    </row>
    <row r="30220">
      <c r="B30220" s="36"/>
      <c r="C30220" s="36"/>
      <c r="E30220" s="1"/>
      <c r="F30220" s="1"/>
      <c r="G30220" s="1"/>
    </row>
    <row r="30221">
      <c r="B30221" s="36"/>
      <c r="C30221" s="36"/>
      <c r="E30221" s="1"/>
      <c r="F30221" s="1"/>
      <c r="G30221" s="1"/>
    </row>
    <row r="30222">
      <c r="B30222" s="36"/>
      <c r="C30222" s="36"/>
      <c r="E30222" s="1"/>
      <c r="F30222" s="1"/>
      <c r="G30222" s="1"/>
    </row>
    <row r="30223">
      <c r="B30223" s="36"/>
      <c r="C30223" s="36"/>
      <c r="E30223" s="1"/>
      <c r="F30223" s="1"/>
      <c r="G30223" s="1"/>
    </row>
    <row r="30224">
      <c r="B30224" s="36"/>
      <c r="C30224" s="36"/>
      <c r="E30224" s="1"/>
      <c r="F30224" s="1"/>
      <c r="G30224" s="1"/>
    </row>
    <row r="30225">
      <c r="B30225" s="36"/>
      <c r="C30225" s="36"/>
      <c r="E30225" s="1"/>
      <c r="F30225" s="1"/>
      <c r="G30225" s="1"/>
    </row>
    <row r="30226">
      <c r="B30226" s="36"/>
      <c r="C30226" s="36"/>
      <c r="E30226" s="1"/>
      <c r="F30226" s="1"/>
      <c r="G30226" s="1"/>
    </row>
    <row r="30227">
      <c r="B30227" s="36"/>
      <c r="C30227" s="36"/>
      <c r="E30227" s="1"/>
      <c r="F30227" s="1"/>
      <c r="G30227" s="1"/>
    </row>
    <row r="30228">
      <c r="B30228" s="36"/>
      <c r="C30228" s="36"/>
      <c r="E30228" s="1"/>
      <c r="F30228" s="1"/>
      <c r="G30228" s="1"/>
    </row>
    <row r="30229">
      <c r="B30229" s="36"/>
      <c r="C30229" s="36"/>
      <c r="E30229" s="1"/>
      <c r="F30229" s="1"/>
      <c r="G30229" s="1"/>
    </row>
    <row r="30230">
      <c r="B30230" s="36"/>
      <c r="C30230" s="36"/>
      <c r="E30230" s="1"/>
      <c r="F30230" s="1"/>
      <c r="G30230" s="1"/>
    </row>
    <row r="30231">
      <c r="B30231" s="36"/>
      <c r="C30231" s="36"/>
      <c r="E30231" s="1"/>
      <c r="F30231" s="1"/>
      <c r="G30231" s="1"/>
    </row>
    <row r="30232">
      <c r="B30232" s="36"/>
      <c r="C30232" s="36"/>
      <c r="E30232" s="1"/>
      <c r="F30232" s="1"/>
      <c r="G30232" s="1"/>
    </row>
    <row r="30233">
      <c r="B30233" s="36"/>
      <c r="C30233" s="36"/>
      <c r="E30233" s="1"/>
      <c r="F30233" s="1"/>
      <c r="G30233" s="1"/>
    </row>
    <row r="30234">
      <c r="B30234" s="36"/>
      <c r="C30234" s="36"/>
      <c r="E30234" s="1"/>
      <c r="F30234" s="1"/>
      <c r="G30234" s="1"/>
    </row>
    <row r="30235">
      <c r="B30235" s="36"/>
      <c r="C30235" s="36"/>
      <c r="E30235" s="1"/>
      <c r="F30235" s="1"/>
      <c r="G30235" s="1"/>
    </row>
    <row r="30236">
      <c r="B30236" s="36"/>
      <c r="C30236" s="36"/>
      <c r="E30236" s="1"/>
      <c r="F30236" s="1"/>
      <c r="G30236" s="1"/>
    </row>
    <row r="30237">
      <c r="B30237" s="36"/>
      <c r="C30237" s="36"/>
      <c r="E30237" s="1"/>
      <c r="F30237" s="1"/>
      <c r="G30237" s="1"/>
    </row>
    <row r="30238">
      <c r="B30238" s="36"/>
      <c r="C30238" s="36"/>
      <c r="E30238" s="1"/>
      <c r="F30238" s="1"/>
      <c r="G30238" s="1"/>
    </row>
    <row r="30239">
      <c r="B30239" s="36"/>
      <c r="C30239" s="36"/>
      <c r="E30239" s="1"/>
      <c r="F30239" s="1"/>
      <c r="G30239" s="1"/>
    </row>
    <row r="30240">
      <c r="B30240" s="36"/>
      <c r="C30240" s="36"/>
      <c r="E30240" s="1"/>
      <c r="F30240" s="1"/>
      <c r="G30240" s="1"/>
    </row>
    <row r="30241">
      <c r="B30241" s="36"/>
      <c r="C30241" s="36"/>
      <c r="E30241" s="1"/>
      <c r="F30241" s="1"/>
      <c r="G30241" s="1"/>
    </row>
    <row r="30242">
      <c r="B30242" s="36"/>
      <c r="C30242" s="36"/>
      <c r="E30242" s="1"/>
      <c r="F30242" s="1"/>
      <c r="G30242" s="1"/>
    </row>
    <row r="30243">
      <c r="B30243" s="36"/>
      <c r="C30243" s="36"/>
      <c r="E30243" s="1"/>
      <c r="F30243" s="1"/>
      <c r="G30243" s="1"/>
    </row>
    <row r="30244">
      <c r="B30244" s="36"/>
      <c r="C30244" s="36"/>
      <c r="E30244" s="1"/>
      <c r="F30244" s="1"/>
      <c r="G30244" s="1"/>
    </row>
    <row r="30245">
      <c r="B30245" s="36"/>
      <c r="C30245" s="36"/>
      <c r="E30245" s="1"/>
      <c r="F30245" s="1"/>
      <c r="G30245" s="1"/>
    </row>
    <row r="30246">
      <c r="B30246" s="36"/>
      <c r="C30246" s="36"/>
      <c r="E30246" s="1"/>
      <c r="F30246" s="1"/>
      <c r="G30246" s="1"/>
    </row>
    <row r="30247">
      <c r="B30247" s="36"/>
      <c r="C30247" s="36"/>
      <c r="E30247" s="1"/>
      <c r="F30247" s="1"/>
      <c r="G30247" s="1"/>
    </row>
    <row r="30248">
      <c r="B30248" s="36"/>
      <c r="C30248" s="36"/>
      <c r="E30248" s="1"/>
      <c r="F30248" s="1"/>
      <c r="G30248" s="1"/>
    </row>
    <row r="30249">
      <c r="B30249" s="36"/>
      <c r="C30249" s="36"/>
      <c r="E30249" s="1"/>
      <c r="F30249" s="1"/>
      <c r="G30249" s="1"/>
    </row>
    <row r="30250">
      <c r="B30250" s="36"/>
      <c r="C30250" s="36"/>
      <c r="E30250" s="1"/>
      <c r="F30250" s="1"/>
      <c r="G30250" s="1"/>
    </row>
    <row r="30251">
      <c r="B30251" s="36"/>
      <c r="C30251" s="36"/>
      <c r="E30251" s="1"/>
      <c r="F30251" s="1"/>
      <c r="G30251" s="1"/>
    </row>
    <row r="30252">
      <c r="B30252" s="36"/>
      <c r="C30252" s="36"/>
      <c r="E30252" s="1"/>
      <c r="F30252" s="1"/>
      <c r="G30252" s="1"/>
    </row>
    <row r="30253">
      <c r="B30253" s="36"/>
      <c r="C30253" s="36"/>
      <c r="E30253" s="1"/>
      <c r="F30253" s="1"/>
      <c r="G30253" s="1"/>
    </row>
    <row r="30254">
      <c r="B30254" s="36"/>
      <c r="C30254" s="36"/>
      <c r="E30254" s="1"/>
      <c r="F30254" s="1"/>
      <c r="G30254" s="1"/>
    </row>
    <row r="30255">
      <c r="B30255" s="36"/>
      <c r="C30255" s="36"/>
      <c r="E30255" s="1"/>
      <c r="F30255" s="1"/>
      <c r="G30255" s="1"/>
    </row>
    <row r="30256">
      <c r="B30256" s="36"/>
      <c r="C30256" s="36"/>
      <c r="E30256" s="1"/>
      <c r="F30256" s="1"/>
      <c r="G30256" s="1"/>
    </row>
    <row r="30257">
      <c r="B30257" s="36"/>
      <c r="C30257" s="36"/>
      <c r="E30257" s="1"/>
      <c r="F30257" s="1"/>
      <c r="G30257" s="1"/>
    </row>
    <row r="30258">
      <c r="B30258" s="36"/>
      <c r="C30258" s="36"/>
      <c r="E30258" s="1"/>
      <c r="F30258" s="1"/>
      <c r="G30258" s="1"/>
    </row>
    <row r="30259">
      <c r="B30259" s="36"/>
      <c r="C30259" s="36"/>
      <c r="E30259" s="1"/>
      <c r="F30259" s="1"/>
      <c r="G30259" s="1"/>
    </row>
    <row r="30260">
      <c r="B30260" s="36"/>
      <c r="C30260" s="36"/>
      <c r="E30260" s="1"/>
      <c r="F30260" s="1"/>
      <c r="G30260" s="1"/>
    </row>
    <row r="30261">
      <c r="B30261" s="36"/>
      <c r="C30261" s="36"/>
      <c r="E30261" s="1"/>
      <c r="F30261" s="1"/>
      <c r="G30261" s="1"/>
    </row>
    <row r="30262">
      <c r="B30262" s="36"/>
      <c r="C30262" s="36"/>
      <c r="E30262" s="1"/>
      <c r="F30262" s="1"/>
      <c r="G30262" s="1"/>
    </row>
    <row r="30263">
      <c r="B30263" s="36"/>
      <c r="C30263" s="36"/>
      <c r="E30263" s="1"/>
      <c r="F30263" s="1"/>
      <c r="G30263" s="1"/>
    </row>
    <row r="30264">
      <c r="B30264" s="36"/>
      <c r="C30264" s="36"/>
      <c r="E30264" s="1"/>
      <c r="F30264" s="1"/>
      <c r="G30264" s="1"/>
    </row>
    <row r="30265">
      <c r="B30265" s="36"/>
      <c r="C30265" s="36"/>
      <c r="E30265" s="1"/>
      <c r="F30265" s="1"/>
      <c r="G30265" s="1"/>
    </row>
    <row r="30266">
      <c r="B30266" s="36"/>
      <c r="C30266" s="36"/>
      <c r="E30266" s="1"/>
      <c r="F30266" s="1"/>
      <c r="G30266" s="1"/>
    </row>
    <row r="30267">
      <c r="B30267" s="36"/>
      <c r="C30267" s="36"/>
      <c r="E30267" s="1"/>
      <c r="F30267" s="1"/>
      <c r="G30267" s="1"/>
    </row>
    <row r="30268">
      <c r="B30268" s="36"/>
      <c r="C30268" s="36"/>
      <c r="E30268" s="1"/>
      <c r="F30268" s="1"/>
      <c r="G30268" s="1"/>
    </row>
    <row r="30269">
      <c r="B30269" s="36"/>
      <c r="C30269" s="36"/>
      <c r="E30269" s="1"/>
      <c r="F30269" s="1"/>
      <c r="G30269" s="1"/>
    </row>
    <row r="30270">
      <c r="B30270" s="36"/>
      <c r="C30270" s="36"/>
      <c r="E30270" s="1"/>
      <c r="F30270" s="1"/>
      <c r="G30270" s="1"/>
    </row>
    <row r="30271">
      <c r="B30271" s="36"/>
      <c r="C30271" s="36"/>
      <c r="E30271" s="1"/>
      <c r="F30271" s="1"/>
      <c r="G30271" s="1"/>
    </row>
    <row r="30272">
      <c r="B30272" s="36"/>
      <c r="C30272" s="36"/>
      <c r="E30272" s="1"/>
      <c r="F30272" s="1"/>
      <c r="G30272" s="1"/>
    </row>
    <row r="30273">
      <c r="B30273" s="36"/>
      <c r="C30273" s="36"/>
      <c r="E30273" s="1"/>
      <c r="F30273" s="1"/>
      <c r="G30273" s="1"/>
    </row>
    <row r="30274">
      <c r="B30274" s="36"/>
      <c r="C30274" s="36"/>
      <c r="E30274" s="1"/>
      <c r="F30274" s="1"/>
      <c r="G30274" s="1"/>
    </row>
    <row r="30275">
      <c r="B30275" s="36"/>
      <c r="C30275" s="36"/>
      <c r="E30275" s="1"/>
      <c r="F30275" s="1"/>
      <c r="G30275" s="1"/>
    </row>
    <row r="30276">
      <c r="B30276" s="36"/>
      <c r="C30276" s="36"/>
      <c r="E30276" s="1"/>
      <c r="F30276" s="1"/>
      <c r="G30276" s="1"/>
    </row>
    <row r="30277">
      <c r="B30277" s="36"/>
      <c r="C30277" s="36"/>
      <c r="E30277" s="1"/>
      <c r="F30277" s="1"/>
      <c r="G30277" s="1"/>
    </row>
    <row r="30278">
      <c r="B30278" s="36"/>
      <c r="C30278" s="36"/>
      <c r="E30278" s="1"/>
      <c r="F30278" s="1"/>
      <c r="G30278" s="1"/>
    </row>
    <row r="30279">
      <c r="B30279" s="36"/>
      <c r="C30279" s="36"/>
      <c r="E30279" s="1"/>
      <c r="F30279" s="1"/>
      <c r="G30279" s="1"/>
    </row>
    <row r="30280">
      <c r="B30280" s="36"/>
      <c r="C30280" s="36"/>
      <c r="E30280" s="1"/>
      <c r="F30280" s="1"/>
      <c r="G30280" s="1"/>
    </row>
    <row r="30281">
      <c r="B30281" s="36"/>
      <c r="C30281" s="36"/>
      <c r="E30281" s="1"/>
      <c r="F30281" s="1"/>
      <c r="G30281" s="1"/>
    </row>
    <row r="30282">
      <c r="B30282" s="36"/>
      <c r="C30282" s="36"/>
      <c r="E30282" s="1"/>
      <c r="F30282" s="1"/>
      <c r="G30282" s="1"/>
    </row>
    <row r="30283">
      <c r="B30283" s="36"/>
      <c r="C30283" s="36"/>
      <c r="E30283" s="1"/>
      <c r="F30283" s="1"/>
      <c r="G30283" s="1"/>
    </row>
    <row r="30284">
      <c r="B30284" s="36"/>
      <c r="C30284" s="36"/>
      <c r="E30284" s="1"/>
      <c r="F30284" s="1"/>
      <c r="G30284" s="1"/>
    </row>
    <row r="30285">
      <c r="B30285" s="36"/>
      <c r="C30285" s="36"/>
      <c r="E30285" s="1"/>
      <c r="F30285" s="1"/>
      <c r="G30285" s="1"/>
    </row>
    <row r="30286">
      <c r="B30286" s="36"/>
      <c r="C30286" s="36"/>
      <c r="E30286" s="1"/>
      <c r="F30286" s="1"/>
      <c r="G30286" s="1"/>
    </row>
    <row r="30287">
      <c r="B30287" s="36"/>
      <c r="C30287" s="36"/>
      <c r="E30287" s="1"/>
      <c r="F30287" s="1"/>
      <c r="G30287" s="1"/>
    </row>
    <row r="30288">
      <c r="B30288" s="36"/>
      <c r="C30288" s="36"/>
      <c r="E30288" s="1"/>
      <c r="F30288" s="1"/>
      <c r="G30288" s="1"/>
    </row>
    <row r="30289">
      <c r="B30289" s="36"/>
      <c r="C30289" s="36"/>
      <c r="E30289" s="1"/>
      <c r="F30289" s="1"/>
      <c r="G30289" s="1"/>
    </row>
    <row r="30290">
      <c r="B30290" s="36"/>
      <c r="C30290" s="36"/>
      <c r="E30290" s="1"/>
      <c r="F30290" s="1"/>
      <c r="G30290" s="1"/>
    </row>
    <row r="30291">
      <c r="B30291" s="36"/>
      <c r="C30291" s="36"/>
      <c r="E30291" s="1"/>
      <c r="F30291" s="1"/>
      <c r="G30291" s="1"/>
    </row>
    <row r="30292">
      <c r="B30292" s="36"/>
      <c r="C30292" s="36"/>
      <c r="E30292" s="1"/>
      <c r="F30292" s="1"/>
      <c r="G30292" s="1"/>
    </row>
    <row r="30293">
      <c r="B30293" s="36"/>
      <c r="C30293" s="36"/>
      <c r="E30293" s="1"/>
      <c r="F30293" s="1"/>
      <c r="G30293" s="1"/>
    </row>
    <row r="30294">
      <c r="B30294" s="36"/>
      <c r="C30294" s="36"/>
      <c r="E30294" s="1"/>
      <c r="F30294" s="1"/>
      <c r="G30294" s="1"/>
    </row>
    <row r="30295">
      <c r="B30295" s="36"/>
      <c r="C30295" s="36"/>
      <c r="E30295" s="1"/>
      <c r="F30295" s="1"/>
      <c r="G30295" s="1"/>
    </row>
    <row r="30296">
      <c r="B30296" s="36"/>
      <c r="C30296" s="36"/>
      <c r="E30296" s="1"/>
      <c r="F30296" s="1"/>
      <c r="G30296" s="1"/>
    </row>
    <row r="30297">
      <c r="B30297" s="36"/>
      <c r="C30297" s="36"/>
      <c r="E30297" s="1"/>
      <c r="F30297" s="1"/>
      <c r="G30297" s="1"/>
    </row>
    <row r="30298">
      <c r="B30298" s="36"/>
      <c r="C30298" s="36"/>
      <c r="E30298" s="1"/>
      <c r="F30298" s="1"/>
      <c r="G30298" s="1"/>
    </row>
    <row r="30299">
      <c r="B30299" s="36"/>
      <c r="C30299" s="36"/>
      <c r="E30299" s="1"/>
      <c r="F30299" s="1"/>
      <c r="G30299" s="1"/>
    </row>
    <row r="30300">
      <c r="B30300" s="36"/>
      <c r="C30300" s="36"/>
      <c r="E30300" s="1"/>
      <c r="F30300" s="1"/>
      <c r="G30300" s="1"/>
    </row>
    <row r="30301">
      <c r="B30301" s="36"/>
      <c r="C30301" s="36"/>
      <c r="E30301" s="1"/>
      <c r="F30301" s="1"/>
      <c r="G30301" s="1"/>
    </row>
    <row r="30302">
      <c r="B30302" s="36"/>
      <c r="C30302" s="36"/>
      <c r="E30302" s="1"/>
      <c r="F30302" s="1"/>
      <c r="G30302" s="1"/>
    </row>
    <row r="30303">
      <c r="B30303" s="36"/>
      <c r="C30303" s="36"/>
      <c r="E30303" s="1"/>
      <c r="F30303" s="1"/>
      <c r="G30303" s="1"/>
    </row>
    <row r="30304">
      <c r="B30304" s="36"/>
      <c r="C30304" s="36"/>
      <c r="E30304" s="1"/>
      <c r="F30304" s="1"/>
      <c r="G30304" s="1"/>
    </row>
    <row r="30305">
      <c r="B30305" s="36"/>
      <c r="C30305" s="36"/>
      <c r="E30305" s="1"/>
      <c r="F30305" s="1"/>
      <c r="G30305" s="1"/>
    </row>
    <row r="30306">
      <c r="B30306" s="36"/>
      <c r="C30306" s="36"/>
      <c r="E30306" s="1"/>
      <c r="F30306" s="1"/>
      <c r="G30306" s="1"/>
    </row>
    <row r="30307">
      <c r="B30307" s="36"/>
      <c r="C30307" s="36"/>
      <c r="E30307" s="1"/>
      <c r="F30307" s="1"/>
      <c r="G30307" s="1"/>
    </row>
    <row r="30308">
      <c r="B30308" s="36"/>
      <c r="C30308" s="36"/>
      <c r="E30308" s="1"/>
      <c r="F30308" s="1"/>
      <c r="G30308" s="1"/>
    </row>
    <row r="30309">
      <c r="B30309" s="36"/>
      <c r="C30309" s="36"/>
      <c r="E30309" s="1"/>
      <c r="F30309" s="1"/>
      <c r="G30309" s="1"/>
    </row>
    <row r="30310">
      <c r="B30310" s="36"/>
      <c r="C30310" s="36"/>
      <c r="E30310" s="1"/>
      <c r="F30310" s="1"/>
      <c r="G30310" s="1"/>
    </row>
    <row r="30311">
      <c r="B30311" s="36"/>
      <c r="C30311" s="36"/>
      <c r="E30311" s="1"/>
      <c r="F30311" s="1"/>
      <c r="G30311" s="1"/>
    </row>
    <row r="30312">
      <c r="B30312" s="36"/>
      <c r="C30312" s="36"/>
      <c r="E30312" s="1"/>
      <c r="F30312" s="1"/>
      <c r="G30312" s="1"/>
    </row>
    <row r="30313">
      <c r="B30313" s="36"/>
      <c r="C30313" s="36"/>
      <c r="E30313" s="1"/>
      <c r="F30313" s="1"/>
      <c r="G30313" s="1"/>
    </row>
    <row r="30314">
      <c r="B30314" s="36"/>
      <c r="C30314" s="36"/>
      <c r="E30314" s="1"/>
      <c r="F30314" s="1"/>
      <c r="G30314" s="1"/>
    </row>
    <row r="30315">
      <c r="B30315" s="36"/>
      <c r="C30315" s="36"/>
      <c r="E30315" s="1"/>
      <c r="F30315" s="1"/>
      <c r="G30315" s="1"/>
    </row>
    <row r="30316">
      <c r="B30316" s="36"/>
      <c r="C30316" s="36"/>
      <c r="E30316" s="1"/>
      <c r="F30316" s="1"/>
      <c r="G30316" s="1"/>
    </row>
    <row r="30317">
      <c r="B30317" s="36"/>
      <c r="C30317" s="36"/>
      <c r="E30317" s="1"/>
      <c r="F30317" s="1"/>
      <c r="G30317" s="1"/>
    </row>
    <row r="30318">
      <c r="B30318" s="36"/>
      <c r="C30318" s="36"/>
      <c r="E30318" s="1"/>
      <c r="F30318" s="1"/>
      <c r="G30318" s="1"/>
    </row>
    <row r="30319">
      <c r="B30319" s="36"/>
      <c r="C30319" s="36"/>
      <c r="E30319" s="1"/>
      <c r="F30319" s="1"/>
      <c r="G30319" s="1"/>
    </row>
    <row r="30320">
      <c r="B30320" s="36"/>
      <c r="C30320" s="36"/>
      <c r="E30320" s="1"/>
      <c r="F30320" s="1"/>
      <c r="G30320" s="1"/>
    </row>
    <row r="30321">
      <c r="B30321" s="36"/>
      <c r="C30321" s="36"/>
      <c r="E30321" s="1"/>
      <c r="F30321" s="1"/>
      <c r="G30321" s="1"/>
    </row>
    <row r="30322">
      <c r="B30322" s="36"/>
      <c r="C30322" s="36"/>
      <c r="E30322" s="1"/>
      <c r="F30322" s="1"/>
      <c r="G30322" s="1"/>
    </row>
    <row r="30323">
      <c r="B30323" s="36"/>
      <c r="C30323" s="36"/>
      <c r="E30323" s="1"/>
      <c r="F30323" s="1"/>
      <c r="G30323" s="1"/>
    </row>
    <row r="30324">
      <c r="B30324" s="36"/>
      <c r="C30324" s="36"/>
      <c r="E30324" s="1"/>
      <c r="F30324" s="1"/>
      <c r="G30324" s="1"/>
    </row>
    <row r="30325">
      <c r="B30325" s="36"/>
      <c r="C30325" s="36"/>
      <c r="E30325" s="1"/>
      <c r="F30325" s="1"/>
      <c r="G30325" s="1"/>
    </row>
    <row r="30326">
      <c r="B30326" s="36"/>
      <c r="C30326" s="36"/>
      <c r="E30326" s="1"/>
      <c r="F30326" s="1"/>
      <c r="G30326" s="1"/>
    </row>
    <row r="30327">
      <c r="B30327" s="36"/>
      <c r="C30327" s="36"/>
      <c r="E30327" s="1"/>
      <c r="F30327" s="1"/>
      <c r="G30327" s="1"/>
    </row>
    <row r="30328">
      <c r="B30328" s="36"/>
      <c r="C30328" s="36"/>
      <c r="E30328" s="1"/>
      <c r="F30328" s="1"/>
      <c r="G30328" s="1"/>
    </row>
    <row r="30329">
      <c r="B30329" s="36"/>
      <c r="C30329" s="36"/>
      <c r="E30329" s="1"/>
      <c r="F30329" s="1"/>
      <c r="G30329" s="1"/>
    </row>
    <row r="30330">
      <c r="B30330" s="36"/>
      <c r="C30330" s="36"/>
      <c r="E30330" s="1"/>
      <c r="F30330" s="1"/>
      <c r="G30330" s="1"/>
    </row>
    <row r="30331">
      <c r="B30331" s="36"/>
      <c r="C30331" s="36"/>
      <c r="E30331" s="1"/>
      <c r="F30331" s="1"/>
      <c r="G30331" s="1"/>
    </row>
    <row r="30332">
      <c r="B30332" s="36"/>
      <c r="C30332" s="36"/>
      <c r="E30332" s="1"/>
      <c r="F30332" s="1"/>
      <c r="G30332" s="1"/>
    </row>
    <row r="30333">
      <c r="B30333" s="36"/>
      <c r="C30333" s="36"/>
      <c r="E30333" s="1"/>
      <c r="F30333" s="1"/>
      <c r="G30333" s="1"/>
    </row>
    <row r="30334">
      <c r="B30334" s="36"/>
      <c r="C30334" s="36"/>
      <c r="E30334" s="1"/>
      <c r="F30334" s="1"/>
      <c r="G30334" s="1"/>
    </row>
    <row r="30335">
      <c r="B30335" s="36"/>
      <c r="C30335" s="36"/>
      <c r="E30335" s="1"/>
      <c r="F30335" s="1"/>
      <c r="G30335" s="1"/>
    </row>
    <row r="30336">
      <c r="B30336" s="36"/>
      <c r="C30336" s="36"/>
      <c r="E30336" s="1"/>
      <c r="F30336" s="1"/>
      <c r="G30336" s="1"/>
    </row>
    <row r="30337">
      <c r="B30337" s="36"/>
      <c r="C30337" s="36"/>
      <c r="E30337" s="1"/>
      <c r="F30337" s="1"/>
      <c r="G30337" s="1"/>
    </row>
    <row r="30338">
      <c r="B30338" s="36"/>
      <c r="C30338" s="36"/>
      <c r="E30338" s="1"/>
      <c r="F30338" s="1"/>
      <c r="G30338" s="1"/>
    </row>
    <row r="30339">
      <c r="B30339" s="36"/>
      <c r="C30339" s="36"/>
      <c r="E30339" s="1"/>
      <c r="F30339" s="1"/>
      <c r="G30339" s="1"/>
    </row>
    <row r="30340">
      <c r="B30340" s="36"/>
      <c r="C30340" s="36"/>
      <c r="E30340" s="1"/>
      <c r="F30340" s="1"/>
      <c r="G30340" s="1"/>
    </row>
    <row r="30341">
      <c r="B30341" s="36"/>
      <c r="C30341" s="36"/>
      <c r="E30341" s="1"/>
      <c r="F30341" s="1"/>
      <c r="G30341" s="1"/>
    </row>
    <row r="30342">
      <c r="B30342" s="36"/>
      <c r="C30342" s="36"/>
      <c r="E30342" s="1"/>
      <c r="F30342" s="1"/>
      <c r="G30342" s="1"/>
    </row>
    <row r="30343">
      <c r="B30343" s="36"/>
      <c r="C30343" s="36"/>
      <c r="E30343" s="1"/>
      <c r="F30343" s="1"/>
      <c r="G30343" s="1"/>
    </row>
    <row r="30344">
      <c r="B30344" s="36"/>
      <c r="C30344" s="36"/>
      <c r="E30344" s="1"/>
      <c r="F30344" s="1"/>
      <c r="G30344" s="1"/>
    </row>
    <row r="30345">
      <c r="B30345" s="36"/>
      <c r="C30345" s="36"/>
      <c r="E30345" s="1"/>
      <c r="F30345" s="1"/>
      <c r="G30345" s="1"/>
    </row>
    <row r="30346">
      <c r="B30346" s="36"/>
      <c r="C30346" s="36"/>
      <c r="E30346" s="1"/>
      <c r="F30346" s="1"/>
      <c r="G30346" s="1"/>
    </row>
    <row r="30347">
      <c r="B30347" s="36"/>
      <c r="C30347" s="36"/>
      <c r="E30347" s="1"/>
      <c r="F30347" s="1"/>
      <c r="G30347" s="1"/>
    </row>
    <row r="30348">
      <c r="B30348" s="36"/>
      <c r="C30348" s="36"/>
      <c r="E30348" s="1"/>
      <c r="F30348" s="1"/>
      <c r="G30348" s="1"/>
    </row>
    <row r="30349">
      <c r="B30349" s="36"/>
      <c r="C30349" s="36"/>
      <c r="E30349" s="1"/>
      <c r="F30349" s="1"/>
      <c r="G30349" s="1"/>
    </row>
    <row r="30350">
      <c r="B30350" s="36"/>
      <c r="C30350" s="36"/>
      <c r="E30350" s="1"/>
      <c r="F30350" s="1"/>
      <c r="G30350" s="1"/>
    </row>
    <row r="30351">
      <c r="B30351" s="36"/>
      <c r="C30351" s="36"/>
      <c r="E30351" s="1"/>
      <c r="F30351" s="1"/>
      <c r="G30351" s="1"/>
    </row>
    <row r="30352">
      <c r="B30352" s="36"/>
      <c r="C30352" s="36"/>
      <c r="E30352" s="1"/>
      <c r="F30352" s="1"/>
      <c r="G30352" s="1"/>
    </row>
    <row r="30353">
      <c r="B30353" s="36"/>
      <c r="C30353" s="36"/>
      <c r="E30353" s="1"/>
      <c r="F30353" s="1"/>
      <c r="G30353" s="1"/>
    </row>
    <row r="30354">
      <c r="B30354" s="36"/>
      <c r="C30354" s="36"/>
      <c r="E30354" s="1"/>
      <c r="F30354" s="1"/>
      <c r="G30354" s="1"/>
    </row>
    <row r="30355">
      <c r="B30355" s="36"/>
      <c r="C30355" s="36"/>
      <c r="E30355" s="1"/>
      <c r="F30355" s="1"/>
      <c r="G30355" s="1"/>
    </row>
    <row r="30356">
      <c r="B30356" s="36"/>
      <c r="C30356" s="36"/>
      <c r="E30356" s="1"/>
      <c r="F30356" s="1"/>
      <c r="G30356" s="1"/>
    </row>
    <row r="30357">
      <c r="B30357" s="36"/>
      <c r="C30357" s="36"/>
      <c r="E30357" s="1"/>
      <c r="F30357" s="1"/>
      <c r="G30357" s="1"/>
    </row>
    <row r="30358">
      <c r="B30358" s="36"/>
      <c r="C30358" s="36"/>
      <c r="E30358" s="1"/>
      <c r="F30358" s="1"/>
      <c r="G30358" s="1"/>
    </row>
    <row r="30359">
      <c r="B30359" s="36"/>
      <c r="C30359" s="36"/>
      <c r="E30359" s="1"/>
      <c r="F30359" s="1"/>
      <c r="G30359" s="1"/>
    </row>
    <row r="30360">
      <c r="B30360" s="36"/>
      <c r="C30360" s="36"/>
      <c r="E30360" s="1"/>
      <c r="F30360" s="1"/>
      <c r="G30360" s="1"/>
    </row>
    <row r="30361">
      <c r="B30361" s="36"/>
      <c r="C30361" s="36"/>
      <c r="E30361" s="1"/>
      <c r="F30361" s="1"/>
      <c r="G30361" s="1"/>
    </row>
    <row r="30362">
      <c r="B30362" s="36"/>
      <c r="C30362" s="36"/>
      <c r="E30362" s="1"/>
      <c r="F30362" s="1"/>
      <c r="G30362" s="1"/>
    </row>
    <row r="30363">
      <c r="B30363" s="36"/>
      <c r="C30363" s="36"/>
      <c r="E30363" s="1"/>
      <c r="F30363" s="1"/>
      <c r="G30363" s="1"/>
    </row>
    <row r="30364">
      <c r="B30364" s="36"/>
      <c r="C30364" s="36"/>
      <c r="E30364" s="1"/>
      <c r="F30364" s="1"/>
      <c r="G30364" s="1"/>
    </row>
    <row r="30365">
      <c r="B30365" s="36"/>
      <c r="C30365" s="36"/>
      <c r="E30365" s="1"/>
      <c r="F30365" s="1"/>
      <c r="G30365" s="1"/>
    </row>
    <row r="30366">
      <c r="B30366" s="36"/>
      <c r="C30366" s="36"/>
      <c r="E30366" s="1"/>
      <c r="F30366" s="1"/>
      <c r="G30366" s="1"/>
    </row>
    <row r="30367">
      <c r="B30367" s="36"/>
      <c r="C30367" s="36"/>
      <c r="E30367" s="1"/>
      <c r="F30367" s="1"/>
      <c r="G30367" s="1"/>
    </row>
    <row r="30368">
      <c r="B30368" s="36"/>
      <c r="C30368" s="36"/>
      <c r="E30368" s="1"/>
      <c r="F30368" s="1"/>
      <c r="G30368" s="1"/>
    </row>
    <row r="30369">
      <c r="B30369" s="36"/>
      <c r="C30369" s="36"/>
      <c r="E30369" s="1"/>
      <c r="F30369" s="1"/>
      <c r="G30369" s="1"/>
    </row>
    <row r="30370">
      <c r="B30370" s="36"/>
      <c r="C30370" s="36"/>
      <c r="E30370" s="1"/>
      <c r="F30370" s="1"/>
      <c r="G30370" s="1"/>
    </row>
    <row r="30371">
      <c r="B30371" s="36"/>
      <c r="C30371" s="36"/>
      <c r="E30371" s="1"/>
      <c r="F30371" s="1"/>
      <c r="G30371" s="1"/>
    </row>
    <row r="30372">
      <c r="B30372" s="36"/>
      <c r="C30372" s="36"/>
      <c r="E30372" s="1"/>
      <c r="F30372" s="1"/>
      <c r="G30372" s="1"/>
    </row>
    <row r="30373">
      <c r="B30373" s="36"/>
      <c r="C30373" s="36"/>
      <c r="E30373" s="1"/>
      <c r="F30373" s="1"/>
      <c r="G30373" s="1"/>
    </row>
    <row r="30374">
      <c r="B30374" s="36"/>
      <c r="C30374" s="36"/>
      <c r="E30374" s="1"/>
      <c r="F30374" s="1"/>
      <c r="G30374" s="1"/>
    </row>
    <row r="30375">
      <c r="B30375" s="36"/>
      <c r="C30375" s="36"/>
      <c r="E30375" s="1"/>
      <c r="F30375" s="1"/>
      <c r="G30375" s="1"/>
    </row>
    <row r="30376">
      <c r="B30376" s="36"/>
      <c r="C30376" s="36"/>
      <c r="E30376" s="1"/>
      <c r="F30376" s="1"/>
      <c r="G30376" s="1"/>
    </row>
    <row r="30377">
      <c r="B30377" s="36"/>
      <c r="C30377" s="36"/>
      <c r="E30377" s="1"/>
      <c r="F30377" s="1"/>
      <c r="G30377" s="1"/>
    </row>
    <row r="30378">
      <c r="B30378" s="36"/>
      <c r="C30378" s="36"/>
      <c r="E30378" s="1"/>
      <c r="F30378" s="1"/>
      <c r="G30378" s="1"/>
    </row>
    <row r="30379">
      <c r="B30379" s="36"/>
      <c r="C30379" s="36"/>
      <c r="E30379" s="1"/>
      <c r="F30379" s="1"/>
      <c r="G30379" s="1"/>
    </row>
    <row r="30380">
      <c r="B30380" s="36"/>
      <c r="C30380" s="36"/>
      <c r="E30380" s="1"/>
      <c r="F30380" s="1"/>
      <c r="G30380" s="1"/>
    </row>
    <row r="30381">
      <c r="B30381" s="36"/>
      <c r="C30381" s="36"/>
      <c r="E30381" s="1"/>
      <c r="F30381" s="1"/>
      <c r="G30381" s="1"/>
    </row>
    <row r="30382">
      <c r="B30382" s="36"/>
      <c r="C30382" s="36"/>
      <c r="E30382" s="1"/>
      <c r="F30382" s="1"/>
      <c r="G30382" s="1"/>
    </row>
    <row r="30383">
      <c r="B30383" s="36"/>
      <c r="C30383" s="36"/>
      <c r="E30383" s="1"/>
      <c r="F30383" s="1"/>
      <c r="G30383" s="1"/>
    </row>
    <row r="30384">
      <c r="B30384" s="36"/>
      <c r="C30384" s="36"/>
      <c r="E30384" s="1"/>
      <c r="F30384" s="1"/>
      <c r="G30384" s="1"/>
    </row>
    <row r="30385">
      <c r="B30385" s="36"/>
      <c r="C30385" s="36"/>
      <c r="E30385" s="1"/>
      <c r="F30385" s="1"/>
      <c r="G30385" s="1"/>
    </row>
    <row r="30386">
      <c r="B30386" s="36"/>
      <c r="C30386" s="36"/>
      <c r="E30386" s="1"/>
      <c r="F30386" s="1"/>
      <c r="G30386" s="1"/>
    </row>
    <row r="30387">
      <c r="B30387" s="36"/>
      <c r="C30387" s="36"/>
      <c r="E30387" s="1"/>
      <c r="F30387" s="1"/>
      <c r="G30387" s="1"/>
    </row>
    <row r="30388">
      <c r="B30388" s="36"/>
      <c r="C30388" s="36"/>
      <c r="E30388" s="1"/>
      <c r="F30388" s="1"/>
      <c r="G30388" s="1"/>
    </row>
    <row r="30389">
      <c r="B30389" s="36"/>
      <c r="C30389" s="36"/>
      <c r="E30389" s="1"/>
      <c r="F30389" s="1"/>
      <c r="G30389" s="1"/>
    </row>
    <row r="30390">
      <c r="B30390" s="36"/>
      <c r="C30390" s="36"/>
      <c r="E30390" s="1"/>
      <c r="F30390" s="1"/>
      <c r="G30390" s="1"/>
    </row>
    <row r="30391">
      <c r="B30391" s="36"/>
      <c r="C30391" s="36"/>
      <c r="E30391" s="1"/>
      <c r="F30391" s="1"/>
      <c r="G30391" s="1"/>
    </row>
    <row r="30392">
      <c r="B30392" s="36"/>
      <c r="C30392" s="36"/>
      <c r="E30392" s="1"/>
      <c r="F30392" s="1"/>
      <c r="G30392" s="1"/>
    </row>
    <row r="30393">
      <c r="B30393" s="36"/>
      <c r="C30393" s="36"/>
      <c r="E30393" s="1"/>
      <c r="F30393" s="1"/>
      <c r="G30393" s="1"/>
    </row>
    <row r="30394">
      <c r="B30394" s="36"/>
      <c r="C30394" s="36"/>
      <c r="E30394" s="1"/>
      <c r="F30394" s="1"/>
      <c r="G30394" s="1"/>
    </row>
    <row r="30395">
      <c r="B30395" s="36"/>
      <c r="C30395" s="36"/>
      <c r="E30395" s="1"/>
      <c r="F30395" s="1"/>
      <c r="G30395" s="1"/>
    </row>
    <row r="30396">
      <c r="B30396" s="36"/>
      <c r="C30396" s="36"/>
      <c r="E30396" s="1"/>
      <c r="F30396" s="1"/>
      <c r="G30396" s="1"/>
    </row>
    <row r="30397">
      <c r="B30397" s="36"/>
      <c r="C30397" s="36"/>
      <c r="E30397" s="1"/>
      <c r="F30397" s="1"/>
      <c r="G30397" s="1"/>
    </row>
    <row r="30398">
      <c r="B30398" s="36"/>
      <c r="C30398" s="36"/>
      <c r="E30398" s="1"/>
      <c r="F30398" s="1"/>
      <c r="G30398" s="1"/>
    </row>
    <row r="30399">
      <c r="B30399" s="36"/>
      <c r="C30399" s="36"/>
      <c r="E30399" s="1"/>
      <c r="F30399" s="1"/>
      <c r="G30399" s="1"/>
    </row>
    <row r="30400">
      <c r="B30400" s="36"/>
      <c r="C30400" s="36"/>
      <c r="E30400" s="1"/>
      <c r="F30400" s="1"/>
      <c r="G30400" s="1"/>
    </row>
    <row r="30401">
      <c r="B30401" s="36"/>
      <c r="C30401" s="36"/>
      <c r="E30401" s="1"/>
      <c r="F30401" s="1"/>
      <c r="G30401" s="1"/>
    </row>
    <row r="30402">
      <c r="B30402" s="36"/>
      <c r="C30402" s="36"/>
      <c r="E30402" s="1"/>
      <c r="F30402" s="1"/>
      <c r="G30402" s="1"/>
    </row>
    <row r="30403">
      <c r="B30403" s="36"/>
      <c r="C30403" s="36"/>
      <c r="E30403" s="1"/>
      <c r="F30403" s="1"/>
      <c r="G30403" s="1"/>
    </row>
    <row r="30404">
      <c r="B30404" s="36"/>
      <c r="C30404" s="36"/>
      <c r="E30404" s="1"/>
      <c r="F30404" s="1"/>
      <c r="G30404" s="1"/>
    </row>
    <row r="30405">
      <c r="B30405" s="36"/>
      <c r="C30405" s="36"/>
      <c r="E30405" s="1"/>
      <c r="F30405" s="1"/>
      <c r="G30405" s="1"/>
    </row>
    <row r="30406">
      <c r="B30406" s="36"/>
      <c r="C30406" s="36"/>
      <c r="E30406" s="1"/>
      <c r="F30406" s="1"/>
      <c r="G30406" s="1"/>
    </row>
    <row r="30407">
      <c r="B30407" s="36"/>
      <c r="C30407" s="36"/>
      <c r="E30407" s="1"/>
      <c r="F30407" s="1"/>
      <c r="G30407" s="1"/>
    </row>
    <row r="30408">
      <c r="B30408" s="36"/>
      <c r="C30408" s="36"/>
      <c r="E30408" s="1"/>
      <c r="F30408" s="1"/>
      <c r="G30408" s="1"/>
    </row>
    <row r="30409">
      <c r="B30409" s="36"/>
      <c r="C30409" s="36"/>
      <c r="E30409" s="1"/>
      <c r="F30409" s="1"/>
      <c r="G30409" s="1"/>
    </row>
    <row r="30410">
      <c r="B30410" s="36"/>
      <c r="C30410" s="36"/>
      <c r="E30410" s="1"/>
      <c r="F30410" s="1"/>
      <c r="G30410" s="1"/>
    </row>
    <row r="30411">
      <c r="B30411" s="36"/>
      <c r="C30411" s="36"/>
      <c r="E30411" s="1"/>
      <c r="F30411" s="1"/>
      <c r="G30411" s="1"/>
    </row>
    <row r="30412">
      <c r="B30412" s="36"/>
      <c r="C30412" s="36"/>
      <c r="E30412" s="1"/>
      <c r="F30412" s="1"/>
      <c r="G30412" s="1"/>
    </row>
    <row r="30413">
      <c r="B30413" s="36"/>
      <c r="C30413" s="36"/>
      <c r="E30413" s="1"/>
      <c r="F30413" s="1"/>
      <c r="G30413" s="1"/>
    </row>
    <row r="30414">
      <c r="B30414" s="36"/>
      <c r="C30414" s="36"/>
      <c r="E30414" s="1"/>
      <c r="F30414" s="1"/>
      <c r="G30414" s="1"/>
    </row>
    <row r="30415">
      <c r="B30415" s="36"/>
      <c r="C30415" s="36"/>
      <c r="E30415" s="1"/>
      <c r="F30415" s="1"/>
      <c r="G30415" s="1"/>
    </row>
    <row r="30416">
      <c r="B30416" s="36"/>
      <c r="C30416" s="36"/>
      <c r="E30416" s="1"/>
      <c r="F30416" s="1"/>
      <c r="G30416" s="1"/>
    </row>
    <row r="30417">
      <c r="B30417" s="36"/>
      <c r="C30417" s="36"/>
      <c r="E30417" s="1"/>
      <c r="F30417" s="1"/>
      <c r="G30417" s="1"/>
    </row>
    <row r="30418">
      <c r="B30418" s="36"/>
      <c r="C30418" s="36"/>
      <c r="E30418" s="1"/>
      <c r="F30418" s="1"/>
      <c r="G30418" s="1"/>
    </row>
    <row r="30419">
      <c r="B30419" s="36"/>
      <c r="C30419" s="36"/>
      <c r="E30419" s="1"/>
      <c r="F30419" s="1"/>
      <c r="G30419" s="1"/>
    </row>
    <row r="30420">
      <c r="B30420" s="36"/>
      <c r="C30420" s="36"/>
      <c r="E30420" s="1"/>
      <c r="F30420" s="1"/>
      <c r="G30420" s="1"/>
    </row>
    <row r="30421">
      <c r="B30421" s="36"/>
      <c r="C30421" s="36"/>
      <c r="E30421" s="1"/>
      <c r="F30421" s="1"/>
      <c r="G30421" s="1"/>
    </row>
    <row r="30422">
      <c r="B30422" s="36"/>
      <c r="C30422" s="36"/>
      <c r="E30422" s="1"/>
      <c r="F30422" s="1"/>
      <c r="G30422" s="1"/>
    </row>
    <row r="30423">
      <c r="B30423" s="36"/>
      <c r="C30423" s="36"/>
      <c r="E30423" s="1"/>
      <c r="F30423" s="1"/>
      <c r="G30423" s="1"/>
    </row>
    <row r="30424">
      <c r="B30424" s="36"/>
      <c r="C30424" s="36"/>
      <c r="E30424" s="1"/>
      <c r="F30424" s="1"/>
      <c r="G30424" s="1"/>
    </row>
    <row r="30425">
      <c r="B30425" s="36"/>
      <c r="C30425" s="36"/>
      <c r="E30425" s="1"/>
      <c r="F30425" s="1"/>
      <c r="G30425" s="1"/>
    </row>
    <row r="30426">
      <c r="B30426" s="36"/>
      <c r="C30426" s="36"/>
      <c r="E30426" s="1"/>
      <c r="F30426" s="1"/>
      <c r="G30426" s="1"/>
    </row>
    <row r="30427">
      <c r="B30427" s="36"/>
      <c r="C30427" s="36"/>
      <c r="E30427" s="1"/>
      <c r="F30427" s="1"/>
      <c r="G30427" s="1"/>
    </row>
    <row r="30428">
      <c r="B30428" s="36"/>
      <c r="C30428" s="36"/>
      <c r="E30428" s="1"/>
      <c r="F30428" s="1"/>
      <c r="G30428" s="1"/>
    </row>
    <row r="30429">
      <c r="B30429" s="36"/>
      <c r="C30429" s="36"/>
      <c r="E30429" s="1"/>
      <c r="F30429" s="1"/>
      <c r="G30429" s="1"/>
    </row>
    <row r="30430">
      <c r="B30430" s="36"/>
      <c r="C30430" s="36"/>
      <c r="E30430" s="1"/>
      <c r="F30430" s="1"/>
      <c r="G30430" s="1"/>
    </row>
    <row r="30431">
      <c r="B30431" s="36"/>
      <c r="C30431" s="36"/>
      <c r="E30431" s="1"/>
      <c r="F30431" s="1"/>
      <c r="G30431" s="1"/>
    </row>
    <row r="30432">
      <c r="B30432" s="36"/>
      <c r="C30432" s="36"/>
      <c r="E30432" s="1"/>
      <c r="F30432" s="1"/>
      <c r="G30432" s="1"/>
    </row>
    <row r="30433">
      <c r="B30433" s="36"/>
      <c r="C30433" s="36"/>
      <c r="E30433" s="1"/>
      <c r="F30433" s="1"/>
      <c r="G30433" s="1"/>
    </row>
    <row r="30434">
      <c r="B30434" s="36"/>
      <c r="C30434" s="36"/>
      <c r="E30434" s="1"/>
      <c r="F30434" s="1"/>
      <c r="G30434" s="1"/>
    </row>
    <row r="30435">
      <c r="B30435" s="36"/>
      <c r="C30435" s="36"/>
      <c r="E30435" s="1"/>
      <c r="F30435" s="1"/>
      <c r="G30435" s="1"/>
    </row>
    <row r="30436">
      <c r="B30436" s="36"/>
      <c r="C30436" s="36"/>
      <c r="E30436" s="1"/>
      <c r="F30436" s="1"/>
      <c r="G30436" s="1"/>
    </row>
    <row r="30437">
      <c r="B30437" s="36"/>
      <c r="C30437" s="36"/>
      <c r="E30437" s="1"/>
      <c r="F30437" s="1"/>
      <c r="G30437" s="1"/>
    </row>
    <row r="30438">
      <c r="B30438" s="36"/>
      <c r="C30438" s="36"/>
      <c r="E30438" s="1"/>
      <c r="F30438" s="1"/>
      <c r="G30438" s="1"/>
    </row>
    <row r="30439">
      <c r="B30439" s="36"/>
      <c r="C30439" s="36"/>
      <c r="E30439" s="1"/>
      <c r="F30439" s="1"/>
      <c r="G30439" s="1"/>
    </row>
    <row r="30440">
      <c r="B30440" s="36"/>
      <c r="C30440" s="36"/>
      <c r="E30440" s="1"/>
      <c r="F30440" s="1"/>
      <c r="G30440" s="1"/>
    </row>
    <row r="30441">
      <c r="B30441" s="36"/>
      <c r="C30441" s="36"/>
      <c r="E30441" s="1"/>
      <c r="F30441" s="1"/>
      <c r="G30441" s="1"/>
    </row>
    <row r="30442">
      <c r="B30442" s="36"/>
      <c r="C30442" s="36"/>
      <c r="E30442" s="1"/>
      <c r="F30442" s="1"/>
      <c r="G30442" s="1"/>
    </row>
    <row r="30443">
      <c r="B30443" s="36"/>
      <c r="C30443" s="36"/>
      <c r="E30443" s="1"/>
      <c r="F30443" s="1"/>
      <c r="G30443" s="1"/>
    </row>
    <row r="30444">
      <c r="B30444" s="36"/>
      <c r="C30444" s="36"/>
      <c r="E30444" s="1"/>
      <c r="F30444" s="1"/>
      <c r="G30444" s="1"/>
    </row>
    <row r="30445">
      <c r="B30445" s="36"/>
      <c r="C30445" s="36"/>
      <c r="E30445" s="1"/>
      <c r="F30445" s="1"/>
      <c r="G30445" s="1"/>
    </row>
    <row r="30446">
      <c r="B30446" s="36"/>
      <c r="C30446" s="36"/>
      <c r="E30446" s="1"/>
      <c r="F30446" s="1"/>
      <c r="G30446" s="1"/>
    </row>
    <row r="30447">
      <c r="B30447" s="36"/>
      <c r="C30447" s="36"/>
      <c r="E30447" s="1"/>
      <c r="F30447" s="1"/>
      <c r="G30447" s="1"/>
    </row>
    <row r="30448">
      <c r="B30448" s="36"/>
      <c r="C30448" s="36"/>
      <c r="E30448" s="1"/>
      <c r="F30448" s="1"/>
      <c r="G30448" s="1"/>
    </row>
    <row r="30449">
      <c r="B30449" s="36"/>
      <c r="C30449" s="36"/>
      <c r="E30449" s="1"/>
      <c r="F30449" s="1"/>
      <c r="G30449" s="1"/>
    </row>
    <row r="30450">
      <c r="B30450" s="36"/>
      <c r="C30450" s="36"/>
      <c r="E30450" s="1"/>
      <c r="F30450" s="1"/>
      <c r="G30450" s="1"/>
    </row>
    <row r="30451">
      <c r="B30451" s="36"/>
      <c r="C30451" s="36"/>
      <c r="E30451" s="1"/>
      <c r="F30451" s="1"/>
      <c r="G30451" s="1"/>
    </row>
    <row r="30452">
      <c r="B30452" s="36"/>
      <c r="C30452" s="36"/>
      <c r="E30452" s="1"/>
      <c r="F30452" s="1"/>
      <c r="G30452" s="1"/>
    </row>
    <row r="30453">
      <c r="B30453" s="36"/>
      <c r="C30453" s="36"/>
      <c r="E30453" s="1"/>
      <c r="F30453" s="1"/>
      <c r="G30453" s="1"/>
    </row>
    <row r="30454">
      <c r="B30454" s="36"/>
      <c r="C30454" s="36"/>
      <c r="E30454" s="1"/>
      <c r="F30454" s="1"/>
      <c r="G30454" s="1"/>
    </row>
    <row r="30455">
      <c r="B30455" s="36"/>
      <c r="C30455" s="36"/>
      <c r="E30455" s="1"/>
      <c r="F30455" s="1"/>
      <c r="G30455" s="1"/>
    </row>
    <row r="30456">
      <c r="B30456" s="36"/>
      <c r="C30456" s="36"/>
      <c r="E30456" s="1"/>
      <c r="F30456" s="1"/>
      <c r="G30456" s="1"/>
    </row>
    <row r="30457">
      <c r="B30457" s="36"/>
      <c r="C30457" s="36"/>
      <c r="E30457" s="1"/>
      <c r="F30457" s="1"/>
      <c r="G30457" s="1"/>
    </row>
    <row r="30458">
      <c r="B30458" s="36"/>
      <c r="C30458" s="36"/>
      <c r="E30458" s="1"/>
      <c r="F30458" s="1"/>
      <c r="G30458" s="1"/>
    </row>
    <row r="30459">
      <c r="B30459" s="36"/>
      <c r="C30459" s="36"/>
      <c r="E30459" s="1"/>
      <c r="F30459" s="1"/>
      <c r="G30459" s="1"/>
    </row>
    <row r="30460">
      <c r="B30460" s="36"/>
      <c r="C30460" s="36"/>
      <c r="E30460" s="1"/>
      <c r="F30460" s="1"/>
      <c r="G30460" s="1"/>
    </row>
    <row r="30461">
      <c r="B30461" s="36"/>
      <c r="C30461" s="36"/>
      <c r="E30461" s="1"/>
      <c r="F30461" s="1"/>
      <c r="G30461" s="1"/>
    </row>
    <row r="30462">
      <c r="B30462" s="36"/>
      <c r="C30462" s="36"/>
      <c r="E30462" s="1"/>
      <c r="F30462" s="1"/>
      <c r="G30462" s="1"/>
    </row>
    <row r="30463">
      <c r="B30463" s="36"/>
      <c r="C30463" s="36"/>
      <c r="E30463" s="1"/>
      <c r="F30463" s="1"/>
      <c r="G30463" s="1"/>
    </row>
    <row r="30464">
      <c r="B30464" s="36"/>
      <c r="C30464" s="36"/>
      <c r="E30464" s="1"/>
      <c r="F30464" s="1"/>
      <c r="G30464" s="1"/>
    </row>
    <row r="30465">
      <c r="B30465" s="36"/>
      <c r="C30465" s="36"/>
      <c r="E30465" s="1"/>
      <c r="F30465" s="1"/>
      <c r="G30465" s="1"/>
    </row>
    <row r="30466">
      <c r="B30466" s="36"/>
      <c r="C30466" s="36"/>
      <c r="E30466" s="1"/>
      <c r="F30466" s="1"/>
      <c r="G30466" s="1"/>
    </row>
    <row r="30467">
      <c r="B30467" s="36"/>
      <c r="C30467" s="36"/>
      <c r="E30467" s="1"/>
      <c r="F30467" s="1"/>
      <c r="G30467" s="1"/>
    </row>
    <row r="30468">
      <c r="B30468" s="36"/>
      <c r="C30468" s="36"/>
      <c r="E30468" s="1"/>
      <c r="F30468" s="1"/>
      <c r="G30468" s="1"/>
    </row>
    <row r="30469">
      <c r="B30469" s="36"/>
      <c r="C30469" s="36"/>
      <c r="E30469" s="1"/>
      <c r="F30469" s="1"/>
      <c r="G30469" s="1"/>
    </row>
    <row r="30470">
      <c r="B30470" s="36"/>
      <c r="C30470" s="36"/>
      <c r="E30470" s="1"/>
      <c r="F30470" s="1"/>
      <c r="G30470" s="1"/>
    </row>
    <row r="30471">
      <c r="B30471" s="36"/>
      <c r="C30471" s="36"/>
      <c r="E30471" s="1"/>
      <c r="F30471" s="1"/>
      <c r="G30471" s="1"/>
    </row>
    <row r="30472">
      <c r="B30472" s="36"/>
      <c r="C30472" s="36"/>
      <c r="E30472" s="1"/>
      <c r="F30472" s="1"/>
      <c r="G30472" s="1"/>
    </row>
    <row r="30473">
      <c r="B30473" s="36"/>
      <c r="C30473" s="36"/>
      <c r="E30473" s="1"/>
      <c r="F30473" s="1"/>
      <c r="G30473" s="1"/>
    </row>
    <row r="30474">
      <c r="B30474" s="36"/>
      <c r="C30474" s="36"/>
      <c r="E30474" s="1"/>
      <c r="F30474" s="1"/>
      <c r="G30474" s="1"/>
    </row>
    <row r="30475">
      <c r="B30475" s="36"/>
      <c r="C30475" s="36"/>
      <c r="E30475" s="1"/>
      <c r="F30475" s="1"/>
      <c r="G30475" s="1"/>
    </row>
    <row r="30476">
      <c r="B30476" s="36"/>
      <c r="C30476" s="36"/>
      <c r="E30476" s="1"/>
      <c r="F30476" s="1"/>
      <c r="G30476" s="1"/>
    </row>
    <row r="30477">
      <c r="B30477" s="36"/>
      <c r="C30477" s="36"/>
      <c r="E30477" s="1"/>
      <c r="F30477" s="1"/>
      <c r="G30477" s="1"/>
    </row>
    <row r="30478">
      <c r="B30478" s="36"/>
      <c r="C30478" s="36"/>
      <c r="E30478" s="1"/>
      <c r="F30478" s="1"/>
      <c r="G30478" s="1"/>
    </row>
    <row r="30479">
      <c r="B30479" s="36"/>
      <c r="C30479" s="36"/>
      <c r="E30479" s="1"/>
      <c r="F30479" s="1"/>
      <c r="G30479" s="1"/>
    </row>
    <row r="30480">
      <c r="B30480" s="36"/>
      <c r="C30480" s="36"/>
      <c r="E30480" s="1"/>
      <c r="F30480" s="1"/>
      <c r="G30480" s="1"/>
    </row>
    <row r="30481">
      <c r="B30481" s="36"/>
      <c r="C30481" s="36"/>
      <c r="E30481" s="1"/>
      <c r="F30481" s="1"/>
      <c r="G30481" s="1"/>
    </row>
    <row r="30482">
      <c r="B30482" s="36"/>
      <c r="C30482" s="36"/>
      <c r="E30482" s="1"/>
      <c r="F30482" s="1"/>
      <c r="G30482" s="1"/>
    </row>
    <row r="30483">
      <c r="B30483" s="36"/>
      <c r="C30483" s="36"/>
      <c r="E30483" s="1"/>
      <c r="F30483" s="1"/>
      <c r="G30483" s="1"/>
    </row>
    <row r="30484">
      <c r="B30484" s="36"/>
      <c r="C30484" s="36"/>
      <c r="E30484" s="1"/>
      <c r="F30484" s="1"/>
      <c r="G30484" s="1"/>
    </row>
    <row r="30485">
      <c r="B30485" s="36"/>
      <c r="C30485" s="36"/>
      <c r="E30485" s="1"/>
      <c r="F30485" s="1"/>
      <c r="G30485" s="1"/>
    </row>
    <row r="30486">
      <c r="B30486" s="36"/>
      <c r="C30486" s="36"/>
      <c r="E30486" s="1"/>
      <c r="F30486" s="1"/>
      <c r="G30486" s="1"/>
    </row>
    <row r="30487">
      <c r="B30487" s="36"/>
      <c r="C30487" s="36"/>
      <c r="E30487" s="1"/>
      <c r="F30487" s="1"/>
      <c r="G30487" s="1"/>
    </row>
    <row r="30488">
      <c r="B30488" s="36"/>
      <c r="C30488" s="36"/>
      <c r="E30488" s="1"/>
      <c r="F30488" s="1"/>
      <c r="G30488" s="1"/>
    </row>
    <row r="30489">
      <c r="B30489" s="36"/>
      <c r="C30489" s="36"/>
      <c r="E30489" s="1"/>
      <c r="F30489" s="1"/>
      <c r="G30489" s="1"/>
    </row>
    <row r="30490">
      <c r="B30490" s="36"/>
      <c r="C30490" s="36"/>
      <c r="E30490" s="1"/>
      <c r="F30490" s="1"/>
      <c r="G30490" s="1"/>
    </row>
    <row r="30491">
      <c r="B30491" s="36"/>
      <c r="C30491" s="36"/>
      <c r="E30491" s="1"/>
      <c r="F30491" s="1"/>
      <c r="G30491" s="1"/>
    </row>
    <row r="30492">
      <c r="B30492" s="36"/>
      <c r="C30492" s="36"/>
      <c r="E30492" s="1"/>
      <c r="F30492" s="1"/>
      <c r="G30492" s="1"/>
    </row>
    <row r="30493">
      <c r="B30493" s="36"/>
      <c r="C30493" s="36"/>
      <c r="E30493" s="1"/>
      <c r="F30493" s="1"/>
      <c r="G30493" s="1"/>
    </row>
    <row r="30494">
      <c r="B30494" s="36"/>
      <c r="C30494" s="36"/>
      <c r="E30494" s="1"/>
      <c r="F30494" s="1"/>
      <c r="G30494" s="1"/>
    </row>
    <row r="30495">
      <c r="B30495" s="36"/>
      <c r="C30495" s="36"/>
      <c r="E30495" s="1"/>
      <c r="F30495" s="1"/>
      <c r="G30495" s="1"/>
    </row>
    <row r="30496">
      <c r="B30496" s="36"/>
      <c r="C30496" s="36"/>
      <c r="E30496" s="1"/>
      <c r="F30496" s="1"/>
      <c r="G30496" s="1"/>
    </row>
    <row r="30497">
      <c r="B30497" s="36"/>
      <c r="C30497" s="36"/>
      <c r="E30497" s="1"/>
      <c r="F30497" s="1"/>
      <c r="G30497" s="1"/>
    </row>
    <row r="30498">
      <c r="B30498" s="36"/>
      <c r="C30498" s="36"/>
      <c r="E30498" s="1"/>
      <c r="F30498" s="1"/>
      <c r="G30498" s="1"/>
    </row>
    <row r="30499">
      <c r="B30499" s="36"/>
      <c r="C30499" s="36"/>
      <c r="E30499" s="1"/>
      <c r="F30499" s="1"/>
      <c r="G30499" s="1"/>
    </row>
    <row r="30500">
      <c r="B30500" s="36"/>
      <c r="C30500" s="36"/>
      <c r="E30500" s="1"/>
      <c r="F30500" s="1"/>
      <c r="G30500" s="1"/>
    </row>
    <row r="30501">
      <c r="B30501" s="36"/>
      <c r="C30501" s="36"/>
      <c r="E30501" s="1"/>
      <c r="F30501" s="1"/>
      <c r="G30501" s="1"/>
    </row>
    <row r="30502">
      <c r="B30502" s="36"/>
      <c r="C30502" s="36"/>
      <c r="E30502" s="1"/>
      <c r="F30502" s="1"/>
      <c r="G30502" s="1"/>
    </row>
    <row r="30503">
      <c r="B30503" s="36"/>
      <c r="C30503" s="36"/>
      <c r="E30503" s="1"/>
      <c r="F30503" s="1"/>
      <c r="G30503" s="1"/>
    </row>
    <row r="30504">
      <c r="B30504" s="36"/>
      <c r="C30504" s="36"/>
      <c r="E30504" s="1"/>
      <c r="F30504" s="1"/>
      <c r="G30504" s="1"/>
    </row>
    <row r="30505">
      <c r="B30505" s="36"/>
      <c r="C30505" s="36"/>
      <c r="E30505" s="1"/>
      <c r="F30505" s="1"/>
      <c r="G30505" s="1"/>
    </row>
    <row r="30506">
      <c r="B30506" s="36"/>
      <c r="C30506" s="36"/>
      <c r="E30506" s="1"/>
      <c r="F30506" s="1"/>
      <c r="G30506" s="1"/>
    </row>
    <row r="30507">
      <c r="B30507" s="36"/>
      <c r="C30507" s="36"/>
      <c r="E30507" s="1"/>
      <c r="F30507" s="1"/>
      <c r="G30507" s="1"/>
    </row>
    <row r="30508">
      <c r="B30508" s="36"/>
      <c r="C30508" s="36"/>
      <c r="E30508" s="1"/>
      <c r="F30508" s="1"/>
      <c r="G30508" s="1"/>
    </row>
    <row r="30509">
      <c r="B30509" s="36"/>
      <c r="C30509" s="36"/>
      <c r="E30509" s="1"/>
      <c r="F30509" s="1"/>
      <c r="G30509" s="1"/>
    </row>
    <row r="30510">
      <c r="B30510" s="36"/>
      <c r="C30510" s="36"/>
      <c r="E30510" s="1"/>
      <c r="F30510" s="1"/>
      <c r="G30510" s="1"/>
    </row>
    <row r="30511">
      <c r="B30511" s="36"/>
      <c r="C30511" s="36"/>
      <c r="E30511" s="1"/>
      <c r="F30511" s="1"/>
      <c r="G30511" s="1"/>
    </row>
    <row r="30512">
      <c r="B30512" s="36"/>
      <c r="C30512" s="36"/>
      <c r="E30512" s="1"/>
      <c r="F30512" s="1"/>
      <c r="G30512" s="1"/>
    </row>
    <row r="30513">
      <c r="B30513" s="36"/>
      <c r="C30513" s="36"/>
      <c r="E30513" s="1"/>
      <c r="F30513" s="1"/>
      <c r="G30513" s="1"/>
    </row>
    <row r="30514">
      <c r="B30514" s="36"/>
      <c r="C30514" s="36"/>
      <c r="E30514" s="1"/>
      <c r="F30514" s="1"/>
      <c r="G30514" s="1"/>
    </row>
    <row r="30515">
      <c r="B30515" s="36"/>
      <c r="C30515" s="36"/>
      <c r="E30515" s="1"/>
      <c r="F30515" s="1"/>
      <c r="G30515" s="1"/>
    </row>
    <row r="30516">
      <c r="B30516" s="36"/>
      <c r="C30516" s="36"/>
      <c r="E30516" s="1"/>
      <c r="F30516" s="1"/>
      <c r="G30516" s="1"/>
    </row>
    <row r="30517">
      <c r="B30517" s="36"/>
      <c r="C30517" s="36"/>
      <c r="E30517" s="1"/>
      <c r="F30517" s="1"/>
      <c r="G30517" s="1"/>
    </row>
    <row r="30518">
      <c r="B30518" s="36"/>
      <c r="C30518" s="36"/>
      <c r="E30518" s="1"/>
      <c r="F30518" s="1"/>
      <c r="G30518" s="1"/>
    </row>
    <row r="30519">
      <c r="B30519" s="36"/>
      <c r="C30519" s="36"/>
      <c r="E30519" s="1"/>
      <c r="F30519" s="1"/>
      <c r="G30519" s="1"/>
    </row>
    <row r="30520">
      <c r="B30520" s="36"/>
      <c r="C30520" s="36"/>
      <c r="E30520" s="1"/>
      <c r="F30520" s="1"/>
      <c r="G30520" s="1"/>
    </row>
    <row r="30521">
      <c r="B30521" s="36"/>
      <c r="C30521" s="36"/>
      <c r="E30521" s="1"/>
      <c r="F30521" s="1"/>
      <c r="G30521" s="1"/>
    </row>
    <row r="30522">
      <c r="B30522" s="36"/>
      <c r="C30522" s="36"/>
      <c r="E30522" s="1"/>
      <c r="F30522" s="1"/>
      <c r="G30522" s="1"/>
    </row>
    <row r="30523">
      <c r="B30523" s="36"/>
      <c r="C30523" s="36"/>
      <c r="E30523" s="1"/>
      <c r="F30523" s="1"/>
      <c r="G30523" s="1"/>
    </row>
    <row r="30524">
      <c r="B30524" s="36"/>
      <c r="C30524" s="36"/>
      <c r="E30524" s="1"/>
      <c r="F30524" s="1"/>
      <c r="G30524" s="1"/>
    </row>
    <row r="30525">
      <c r="B30525" s="36"/>
      <c r="C30525" s="36"/>
      <c r="E30525" s="1"/>
      <c r="F30525" s="1"/>
      <c r="G30525" s="1"/>
    </row>
    <row r="30526">
      <c r="B30526" s="36"/>
      <c r="C30526" s="36"/>
      <c r="E30526" s="1"/>
      <c r="F30526" s="1"/>
      <c r="G30526" s="1"/>
    </row>
    <row r="30527">
      <c r="B30527" s="36"/>
      <c r="C30527" s="36"/>
      <c r="E30527" s="1"/>
      <c r="F30527" s="1"/>
      <c r="G30527" s="1"/>
    </row>
    <row r="30528">
      <c r="B30528" s="36"/>
      <c r="C30528" s="36"/>
      <c r="E30528" s="1"/>
      <c r="F30528" s="1"/>
      <c r="G30528" s="1"/>
    </row>
    <row r="30529">
      <c r="B30529" s="36"/>
      <c r="C30529" s="36"/>
      <c r="E30529" s="1"/>
      <c r="F30529" s="1"/>
      <c r="G30529" s="1"/>
    </row>
    <row r="30530">
      <c r="B30530" s="36"/>
      <c r="C30530" s="36"/>
      <c r="E30530" s="1"/>
      <c r="F30530" s="1"/>
      <c r="G30530" s="1"/>
    </row>
    <row r="30531">
      <c r="B30531" s="36"/>
      <c r="C30531" s="36"/>
      <c r="E30531" s="1"/>
      <c r="F30531" s="1"/>
      <c r="G30531" s="1"/>
    </row>
    <row r="30532">
      <c r="B30532" s="36"/>
      <c r="C30532" s="36"/>
      <c r="E30532" s="1"/>
      <c r="F30532" s="1"/>
      <c r="G30532" s="1"/>
    </row>
    <row r="30533">
      <c r="B30533" s="36"/>
      <c r="C30533" s="36"/>
      <c r="E30533" s="1"/>
      <c r="F30533" s="1"/>
      <c r="G30533" s="1"/>
    </row>
    <row r="30534">
      <c r="B30534" s="36"/>
      <c r="C30534" s="36"/>
      <c r="E30534" s="1"/>
      <c r="F30534" s="1"/>
      <c r="G30534" s="1"/>
    </row>
    <row r="30535">
      <c r="B30535" s="36"/>
      <c r="C30535" s="36"/>
      <c r="E30535" s="1"/>
      <c r="F30535" s="1"/>
      <c r="G30535" s="1"/>
    </row>
    <row r="30536">
      <c r="B30536" s="36"/>
      <c r="C30536" s="36"/>
      <c r="E30536" s="1"/>
      <c r="F30536" s="1"/>
      <c r="G30536" s="1"/>
    </row>
    <row r="30537">
      <c r="B30537" s="36"/>
      <c r="C30537" s="36"/>
      <c r="E30537" s="1"/>
      <c r="F30537" s="1"/>
      <c r="G30537" s="1"/>
    </row>
    <row r="30538">
      <c r="B30538" s="36"/>
      <c r="C30538" s="36"/>
      <c r="E30538" s="1"/>
      <c r="F30538" s="1"/>
      <c r="G30538" s="1"/>
    </row>
    <row r="30539">
      <c r="B30539" s="36"/>
      <c r="C30539" s="36"/>
      <c r="E30539" s="1"/>
      <c r="F30539" s="1"/>
      <c r="G30539" s="1"/>
    </row>
    <row r="30540">
      <c r="B30540" s="36"/>
      <c r="C30540" s="36"/>
      <c r="E30540" s="1"/>
      <c r="F30540" s="1"/>
      <c r="G30540" s="1"/>
    </row>
    <row r="30541">
      <c r="B30541" s="36"/>
      <c r="C30541" s="36"/>
      <c r="E30541" s="1"/>
      <c r="F30541" s="1"/>
      <c r="G30541" s="1"/>
    </row>
    <row r="30542">
      <c r="B30542" s="36"/>
      <c r="C30542" s="36"/>
      <c r="E30542" s="1"/>
      <c r="F30542" s="1"/>
      <c r="G30542" s="1"/>
    </row>
    <row r="30543">
      <c r="B30543" s="36"/>
      <c r="C30543" s="36"/>
      <c r="E30543" s="1"/>
      <c r="F30543" s="1"/>
      <c r="G30543" s="1"/>
    </row>
    <row r="30544">
      <c r="B30544" s="36"/>
      <c r="C30544" s="36"/>
      <c r="E30544" s="1"/>
      <c r="F30544" s="1"/>
      <c r="G30544" s="1"/>
    </row>
    <row r="30545">
      <c r="B30545" s="36"/>
      <c r="C30545" s="36"/>
      <c r="E30545" s="1"/>
      <c r="F30545" s="1"/>
      <c r="G30545" s="1"/>
    </row>
    <row r="30546">
      <c r="B30546" s="36"/>
      <c r="C30546" s="36"/>
      <c r="E30546" s="1"/>
      <c r="F30546" s="1"/>
      <c r="G30546" s="1"/>
    </row>
    <row r="30547">
      <c r="B30547" s="36"/>
      <c r="C30547" s="36"/>
      <c r="E30547" s="1"/>
      <c r="F30547" s="1"/>
      <c r="G30547" s="1"/>
    </row>
    <row r="30548">
      <c r="B30548" s="36"/>
      <c r="C30548" s="36"/>
      <c r="E30548" s="1"/>
      <c r="F30548" s="1"/>
      <c r="G30548" s="1"/>
    </row>
    <row r="30549">
      <c r="B30549" s="36"/>
      <c r="C30549" s="36"/>
      <c r="E30549" s="1"/>
      <c r="F30549" s="1"/>
      <c r="G30549" s="1"/>
    </row>
    <row r="30550">
      <c r="B30550" s="36"/>
      <c r="C30550" s="36"/>
      <c r="E30550" s="1"/>
      <c r="F30550" s="1"/>
      <c r="G30550" s="1"/>
    </row>
    <row r="30551">
      <c r="B30551" s="36"/>
      <c r="C30551" s="36"/>
      <c r="E30551" s="1"/>
      <c r="F30551" s="1"/>
      <c r="G30551" s="1"/>
    </row>
    <row r="30552">
      <c r="B30552" s="36"/>
      <c r="C30552" s="36"/>
      <c r="E30552" s="1"/>
      <c r="F30552" s="1"/>
      <c r="G30552" s="1"/>
    </row>
    <row r="30553">
      <c r="B30553" s="36"/>
      <c r="C30553" s="36"/>
      <c r="E30553" s="1"/>
      <c r="F30553" s="1"/>
      <c r="G30553" s="1"/>
    </row>
    <row r="30554">
      <c r="B30554" s="36"/>
      <c r="C30554" s="36"/>
      <c r="E30554" s="1"/>
      <c r="F30554" s="1"/>
      <c r="G30554" s="1"/>
    </row>
    <row r="30555">
      <c r="B30555" s="36"/>
      <c r="C30555" s="36"/>
      <c r="E30555" s="1"/>
      <c r="F30555" s="1"/>
      <c r="G30555" s="1"/>
    </row>
    <row r="30556">
      <c r="B30556" s="36"/>
      <c r="C30556" s="36"/>
      <c r="E30556" s="1"/>
      <c r="F30556" s="1"/>
      <c r="G30556" s="1"/>
    </row>
    <row r="30557">
      <c r="B30557" s="36"/>
      <c r="C30557" s="36"/>
      <c r="E30557" s="1"/>
      <c r="F30557" s="1"/>
      <c r="G30557" s="1"/>
    </row>
    <row r="30558">
      <c r="B30558" s="36"/>
      <c r="C30558" s="36"/>
      <c r="E30558" s="1"/>
      <c r="F30558" s="1"/>
      <c r="G30558" s="1"/>
    </row>
    <row r="30559">
      <c r="B30559" s="36"/>
      <c r="C30559" s="36"/>
      <c r="E30559" s="1"/>
      <c r="F30559" s="1"/>
      <c r="G30559" s="1"/>
    </row>
    <row r="30560">
      <c r="B30560" s="36"/>
      <c r="C30560" s="36"/>
      <c r="E30560" s="1"/>
      <c r="F30560" s="1"/>
      <c r="G30560" s="1"/>
    </row>
    <row r="30561">
      <c r="B30561" s="36"/>
      <c r="C30561" s="36"/>
      <c r="E30561" s="1"/>
      <c r="F30561" s="1"/>
      <c r="G30561" s="1"/>
    </row>
    <row r="30562">
      <c r="B30562" s="36"/>
      <c r="C30562" s="36"/>
      <c r="E30562" s="1"/>
      <c r="F30562" s="1"/>
      <c r="G30562" s="1"/>
    </row>
    <row r="30563">
      <c r="B30563" s="36"/>
      <c r="C30563" s="36"/>
      <c r="E30563" s="1"/>
      <c r="F30563" s="1"/>
      <c r="G30563" s="1"/>
    </row>
    <row r="30564">
      <c r="B30564" s="36"/>
      <c r="C30564" s="36"/>
      <c r="E30564" s="1"/>
      <c r="F30564" s="1"/>
      <c r="G30564" s="1"/>
    </row>
    <row r="30565">
      <c r="B30565" s="36"/>
      <c r="C30565" s="36"/>
      <c r="E30565" s="1"/>
      <c r="F30565" s="1"/>
      <c r="G30565" s="1"/>
    </row>
    <row r="30566">
      <c r="B30566" s="36"/>
      <c r="C30566" s="36"/>
      <c r="E30566" s="1"/>
      <c r="F30566" s="1"/>
      <c r="G30566" s="1"/>
    </row>
    <row r="30567">
      <c r="B30567" s="36"/>
      <c r="C30567" s="36"/>
      <c r="E30567" s="1"/>
      <c r="F30567" s="1"/>
      <c r="G30567" s="1"/>
    </row>
    <row r="30568">
      <c r="B30568" s="36"/>
      <c r="C30568" s="36"/>
      <c r="E30568" s="1"/>
      <c r="F30568" s="1"/>
      <c r="G30568" s="1"/>
    </row>
    <row r="30569">
      <c r="B30569" s="36"/>
      <c r="C30569" s="36"/>
      <c r="E30569" s="1"/>
      <c r="F30569" s="1"/>
      <c r="G30569" s="1"/>
    </row>
    <row r="30570">
      <c r="B30570" s="36"/>
      <c r="C30570" s="36"/>
      <c r="E30570" s="1"/>
      <c r="F30570" s="1"/>
      <c r="G30570" s="1"/>
    </row>
    <row r="30571">
      <c r="B30571" s="36"/>
      <c r="C30571" s="36"/>
      <c r="E30571" s="1"/>
      <c r="F30571" s="1"/>
      <c r="G30571" s="1"/>
    </row>
    <row r="30572">
      <c r="B30572" s="36"/>
      <c r="C30572" s="36"/>
      <c r="E30572" s="1"/>
      <c r="F30572" s="1"/>
      <c r="G30572" s="1"/>
    </row>
    <row r="30573">
      <c r="B30573" s="36"/>
      <c r="C30573" s="36"/>
      <c r="E30573" s="1"/>
      <c r="F30573" s="1"/>
      <c r="G30573" s="1"/>
    </row>
    <row r="30574">
      <c r="B30574" s="36"/>
      <c r="C30574" s="36"/>
      <c r="E30574" s="1"/>
      <c r="F30574" s="1"/>
      <c r="G30574" s="1"/>
    </row>
    <row r="30575">
      <c r="B30575" s="36"/>
      <c r="C30575" s="36"/>
      <c r="E30575" s="1"/>
      <c r="F30575" s="1"/>
      <c r="G30575" s="1"/>
    </row>
    <row r="30576">
      <c r="B30576" s="36"/>
      <c r="C30576" s="36"/>
      <c r="E30576" s="1"/>
      <c r="F30576" s="1"/>
      <c r="G30576" s="1"/>
    </row>
    <row r="30577">
      <c r="B30577" s="36"/>
      <c r="C30577" s="36"/>
      <c r="E30577" s="1"/>
      <c r="F30577" s="1"/>
      <c r="G30577" s="1"/>
    </row>
    <row r="30578">
      <c r="B30578" s="36"/>
      <c r="C30578" s="36"/>
      <c r="E30578" s="1"/>
      <c r="F30578" s="1"/>
      <c r="G30578" s="1"/>
    </row>
    <row r="30579">
      <c r="B30579" s="36"/>
      <c r="C30579" s="36"/>
      <c r="E30579" s="1"/>
      <c r="F30579" s="1"/>
      <c r="G30579" s="1"/>
    </row>
    <row r="30580">
      <c r="B30580" s="36"/>
      <c r="C30580" s="36"/>
      <c r="E30580" s="1"/>
      <c r="F30580" s="1"/>
      <c r="G30580" s="1"/>
    </row>
    <row r="30581">
      <c r="B30581" s="36"/>
      <c r="C30581" s="36"/>
      <c r="E30581" s="1"/>
      <c r="F30581" s="1"/>
      <c r="G30581" s="1"/>
    </row>
    <row r="30582">
      <c r="B30582" s="36"/>
      <c r="C30582" s="36"/>
      <c r="E30582" s="1"/>
      <c r="F30582" s="1"/>
      <c r="G30582" s="1"/>
    </row>
    <row r="30583">
      <c r="B30583" s="36"/>
      <c r="C30583" s="36"/>
      <c r="E30583" s="1"/>
      <c r="F30583" s="1"/>
      <c r="G30583" s="1"/>
    </row>
    <row r="30584">
      <c r="B30584" s="36"/>
      <c r="C30584" s="36"/>
      <c r="E30584" s="1"/>
      <c r="F30584" s="1"/>
      <c r="G30584" s="1"/>
    </row>
    <row r="30585">
      <c r="B30585" s="36"/>
      <c r="C30585" s="36"/>
      <c r="E30585" s="1"/>
      <c r="F30585" s="1"/>
      <c r="G30585" s="1"/>
    </row>
    <row r="30586">
      <c r="B30586" s="36"/>
      <c r="C30586" s="36"/>
      <c r="E30586" s="1"/>
      <c r="F30586" s="1"/>
      <c r="G30586" s="1"/>
    </row>
    <row r="30587">
      <c r="B30587" s="36"/>
      <c r="C30587" s="36"/>
      <c r="E30587" s="1"/>
      <c r="F30587" s="1"/>
      <c r="G30587" s="1"/>
    </row>
    <row r="30588">
      <c r="B30588" s="36"/>
      <c r="C30588" s="36"/>
      <c r="E30588" s="1"/>
      <c r="F30588" s="1"/>
      <c r="G30588" s="1"/>
    </row>
    <row r="30589">
      <c r="B30589" s="36"/>
      <c r="C30589" s="36"/>
      <c r="E30589" s="1"/>
      <c r="F30589" s="1"/>
      <c r="G30589" s="1"/>
    </row>
    <row r="30590">
      <c r="B30590" s="36"/>
      <c r="C30590" s="36"/>
      <c r="E30590" s="1"/>
      <c r="F30590" s="1"/>
      <c r="G30590" s="1"/>
    </row>
    <row r="30591">
      <c r="B30591" s="36"/>
      <c r="C30591" s="36"/>
      <c r="E30591" s="1"/>
      <c r="F30591" s="1"/>
      <c r="G30591" s="1"/>
    </row>
    <row r="30592">
      <c r="B30592" s="36"/>
      <c r="C30592" s="36"/>
      <c r="E30592" s="1"/>
      <c r="F30592" s="1"/>
      <c r="G30592" s="1"/>
    </row>
    <row r="30593">
      <c r="B30593" s="36"/>
      <c r="C30593" s="36"/>
      <c r="E30593" s="1"/>
      <c r="F30593" s="1"/>
      <c r="G30593" s="1"/>
    </row>
    <row r="30594">
      <c r="B30594" s="36"/>
      <c r="C30594" s="36"/>
      <c r="E30594" s="1"/>
      <c r="F30594" s="1"/>
      <c r="G30594" s="1"/>
    </row>
    <row r="30595">
      <c r="B30595" s="36"/>
      <c r="C30595" s="36"/>
      <c r="E30595" s="1"/>
      <c r="F30595" s="1"/>
      <c r="G30595" s="1"/>
    </row>
    <row r="30596">
      <c r="B30596" s="36"/>
      <c r="C30596" s="36"/>
      <c r="E30596" s="1"/>
      <c r="F30596" s="1"/>
      <c r="G30596" s="1"/>
    </row>
    <row r="30597">
      <c r="B30597" s="36"/>
      <c r="C30597" s="36"/>
      <c r="E30597" s="1"/>
      <c r="F30597" s="1"/>
      <c r="G30597" s="1"/>
    </row>
    <row r="30598">
      <c r="B30598" s="36"/>
      <c r="C30598" s="36"/>
      <c r="E30598" s="1"/>
      <c r="F30598" s="1"/>
      <c r="G30598" s="1"/>
    </row>
    <row r="30599">
      <c r="B30599" s="36"/>
      <c r="C30599" s="36"/>
      <c r="E30599" s="1"/>
      <c r="F30599" s="1"/>
      <c r="G30599" s="1"/>
    </row>
    <row r="30600">
      <c r="B30600" s="36"/>
      <c r="C30600" s="36"/>
      <c r="E30600" s="1"/>
      <c r="F30600" s="1"/>
      <c r="G30600" s="1"/>
    </row>
    <row r="30601">
      <c r="B30601" s="36"/>
      <c r="C30601" s="36"/>
      <c r="E30601" s="1"/>
      <c r="F30601" s="1"/>
      <c r="G30601" s="1"/>
    </row>
    <row r="30602">
      <c r="B30602" s="36"/>
      <c r="C30602" s="36"/>
      <c r="E30602" s="1"/>
      <c r="F30602" s="1"/>
      <c r="G30602" s="1"/>
    </row>
    <row r="30603">
      <c r="B30603" s="36"/>
      <c r="C30603" s="36"/>
      <c r="E30603" s="1"/>
      <c r="F30603" s="1"/>
      <c r="G30603" s="1"/>
    </row>
    <row r="30604">
      <c r="B30604" s="36"/>
      <c r="C30604" s="36"/>
      <c r="E30604" s="1"/>
      <c r="F30604" s="1"/>
      <c r="G30604" s="1"/>
    </row>
    <row r="30605">
      <c r="B30605" s="36"/>
      <c r="C30605" s="36"/>
      <c r="E30605" s="1"/>
      <c r="F30605" s="1"/>
      <c r="G30605" s="1"/>
    </row>
    <row r="30606">
      <c r="B30606" s="36"/>
      <c r="C30606" s="36"/>
      <c r="E30606" s="1"/>
      <c r="F30606" s="1"/>
      <c r="G30606" s="1"/>
    </row>
    <row r="30607">
      <c r="B30607" s="36"/>
      <c r="C30607" s="36"/>
      <c r="E30607" s="1"/>
      <c r="F30607" s="1"/>
      <c r="G30607" s="1"/>
    </row>
    <row r="30608">
      <c r="B30608" s="36"/>
      <c r="C30608" s="36"/>
      <c r="E30608" s="1"/>
      <c r="F30608" s="1"/>
      <c r="G30608" s="1"/>
    </row>
    <row r="30609">
      <c r="B30609" s="36"/>
      <c r="C30609" s="36"/>
      <c r="E30609" s="1"/>
      <c r="F30609" s="1"/>
      <c r="G30609" s="1"/>
    </row>
    <row r="30610">
      <c r="B30610" s="36"/>
      <c r="C30610" s="36"/>
      <c r="E30610" s="1"/>
      <c r="F30610" s="1"/>
      <c r="G30610" s="1"/>
    </row>
    <row r="30611">
      <c r="B30611" s="36"/>
      <c r="C30611" s="36"/>
      <c r="E30611" s="1"/>
      <c r="F30611" s="1"/>
      <c r="G30611" s="1"/>
    </row>
    <row r="30612">
      <c r="B30612" s="36"/>
      <c r="C30612" s="36"/>
      <c r="E30612" s="1"/>
      <c r="F30612" s="1"/>
      <c r="G30612" s="1"/>
    </row>
    <row r="30613">
      <c r="B30613" s="36"/>
      <c r="C30613" s="36"/>
      <c r="E30613" s="1"/>
      <c r="F30613" s="1"/>
      <c r="G30613" s="1"/>
    </row>
    <row r="30614">
      <c r="B30614" s="36"/>
      <c r="C30614" s="36"/>
      <c r="E30614" s="1"/>
      <c r="F30614" s="1"/>
      <c r="G30614" s="1"/>
    </row>
    <row r="30615">
      <c r="B30615" s="36"/>
      <c r="C30615" s="36"/>
      <c r="E30615" s="1"/>
      <c r="F30615" s="1"/>
      <c r="G30615" s="1"/>
    </row>
    <row r="30616">
      <c r="B30616" s="36"/>
      <c r="C30616" s="36"/>
      <c r="E30616" s="1"/>
      <c r="F30616" s="1"/>
      <c r="G30616" s="1"/>
    </row>
    <row r="30617">
      <c r="B30617" s="36"/>
      <c r="C30617" s="36"/>
      <c r="E30617" s="1"/>
      <c r="F30617" s="1"/>
      <c r="G30617" s="1"/>
    </row>
    <row r="30618">
      <c r="B30618" s="36"/>
      <c r="C30618" s="36"/>
      <c r="E30618" s="1"/>
      <c r="F30618" s="1"/>
      <c r="G30618" s="1"/>
    </row>
    <row r="30619">
      <c r="B30619" s="36"/>
      <c r="C30619" s="36"/>
      <c r="E30619" s="1"/>
      <c r="F30619" s="1"/>
      <c r="G30619" s="1"/>
    </row>
    <row r="30620">
      <c r="B30620" s="36"/>
      <c r="C30620" s="36"/>
      <c r="E30620" s="1"/>
      <c r="F30620" s="1"/>
      <c r="G30620" s="1"/>
    </row>
    <row r="30621">
      <c r="B30621" s="36"/>
      <c r="C30621" s="36"/>
      <c r="E30621" s="1"/>
      <c r="F30621" s="1"/>
      <c r="G30621" s="1"/>
    </row>
    <row r="30622">
      <c r="B30622" s="36"/>
      <c r="C30622" s="36"/>
      <c r="E30622" s="1"/>
      <c r="F30622" s="1"/>
      <c r="G30622" s="1"/>
    </row>
    <row r="30623">
      <c r="B30623" s="36"/>
      <c r="C30623" s="36"/>
      <c r="E30623" s="1"/>
      <c r="F30623" s="1"/>
      <c r="G30623" s="1"/>
    </row>
    <row r="30624">
      <c r="B30624" s="36"/>
      <c r="C30624" s="36"/>
      <c r="E30624" s="1"/>
      <c r="F30624" s="1"/>
      <c r="G30624" s="1"/>
    </row>
    <row r="30625">
      <c r="B30625" s="36"/>
      <c r="C30625" s="36"/>
      <c r="E30625" s="1"/>
      <c r="F30625" s="1"/>
      <c r="G30625" s="1"/>
    </row>
    <row r="30626">
      <c r="B30626" s="36"/>
      <c r="C30626" s="36"/>
      <c r="E30626" s="1"/>
      <c r="F30626" s="1"/>
      <c r="G30626" s="1"/>
    </row>
    <row r="30627">
      <c r="B30627" s="36"/>
      <c r="C30627" s="36"/>
      <c r="E30627" s="1"/>
      <c r="F30627" s="1"/>
      <c r="G30627" s="1"/>
    </row>
    <row r="30628">
      <c r="B30628" s="36"/>
      <c r="C30628" s="36"/>
      <c r="E30628" s="1"/>
      <c r="F30628" s="1"/>
      <c r="G30628" s="1"/>
    </row>
    <row r="30629">
      <c r="B30629" s="36"/>
      <c r="C30629" s="36"/>
      <c r="E30629" s="1"/>
      <c r="F30629" s="1"/>
      <c r="G30629" s="1"/>
    </row>
    <row r="30630">
      <c r="B30630" s="36"/>
      <c r="C30630" s="36"/>
      <c r="E30630" s="1"/>
      <c r="F30630" s="1"/>
      <c r="G30630" s="1"/>
    </row>
    <row r="30631">
      <c r="B30631" s="36"/>
      <c r="C30631" s="36"/>
      <c r="E30631" s="1"/>
      <c r="F30631" s="1"/>
      <c r="G30631" s="1"/>
    </row>
    <row r="30632">
      <c r="B30632" s="36"/>
      <c r="C30632" s="36"/>
      <c r="E30632" s="1"/>
      <c r="F30632" s="1"/>
      <c r="G30632" s="1"/>
    </row>
    <row r="30633">
      <c r="B30633" s="36"/>
      <c r="C30633" s="36"/>
      <c r="E30633" s="1"/>
      <c r="F30633" s="1"/>
      <c r="G30633" s="1"/>
    </row>
    <row r="30634">
      <c r="B30634" s="36"/>
      <c r="C30634" s="36"/>
      <c r="E30634" s="1"/>
      <c r="F30634" s="1"/>
      <c r="G30634" s="1"/>
    </row>
    <row r="30635">
      <c r="B30635" s="36"/>
      <c r="C30635" s="36"/>
      <c r="E30635" s="1"/>
      <c r="F30635" s="1"/>
      <c r="G30635" s="1"/>
    </row>
    <row r="30636">
      <c r="B30636" s="36"/>
      <c r="C30636" s="36"/>
      <c r="E30636" s="1"/>
      <c r="F30636" s="1"/>
      <c r="G30636" s="1"/>
    </row>
    <row r="30637">
      <c r="B30637" s="36"/>
      <c r="C30637" s="36"/>
      <c r="E30637" s="1"/>
      <c r="F30637" s="1"/>
      <c r="G30637" s="1"/>
    </row>
    <row r="30638">
      <c r="B30638" s="36"/>
      <c r="C30638" s="36"/>
      <c r="E30638" s="1"/>
      <c r="F30638" s="1"/>
      <c r="G30638" s="1"/>
    </row>
    <row r="30639">
      <c r="B30639" s="36"/>
      <c r="C30639" s="36"/>
      <c r="E30639" s="1"/>
      <c r="F30639" s="1"/>
      <c r="G30639" s="1"/>
    </row>
    <row r="30640">
      <c r="B30640" s="36"/>
      <c r="C30640" s="36"/>
      <c r="E30640" s="1"/>
      <c r="F30640" s="1"/>
      <c r="G30640" s="1"/>
    </row>
    <row r="30641">
      <c r="B30641" s="36"/>
      <c r="C30641" s="36"/>
      <c r="E30641" s="1"/>
      <c r="F30641" s="1"/>
      <c r="G30641" s="1"/>
    </row>
    <row r="30642">
      <c r="B30642" s="36"/>
      <c r="C30642" s="36"/>
      <c r="E30642" s="1"/>
      <c r="F30642" s="1"/>
      <c r="G30642" s="1"/>
    </row>
    <row r="30643">
      <c r="B30643" s="36"/>
      <c r="C30643" s="36"/>
      <c r="E30643" s="1"/>
      <c r="F30643" s="1"/>
      <c r="G30643" s="1"/>
    </row>
    <row r="30644">
      <c r="B30644" s="36"/>
      <c r="C30644" s="36"/>
      <c r="E30644" s="1"/>
      <c r="F30644" s="1"/>
      <c r="G30644" s="1"/>
    </row>
    <row r="30645">
      <c r="B30645" s="36"/>
      <c r="C30645" s="36"/>
      <c r="E30645" s="1"/>
      <c r="F30645" s="1"/>
      <c r="G30645" s="1"/>
    </row>
    <row r="30646">
      <c r="B30646" s="36"/>
      <c r="C30646" s="36"/>
      <c r="E30646" s="1"/>
      <c r="F30646" s="1"/>
      <c r="G30646" s="1"/>
    </row>
    <row r="30647">
      <c r="B30647" s="36"/>
      <c r="C30647" s="36"/>
      <c r="E30647" s="1"/>
      <c r="F30647" s="1"/>
      <c r="G30647" s="1"/>
    </row>
    <row r="30648">
      <c r="B30648" s="36"/>
      <c r="C30648" s="36"/>
      <c r="E30648" s="1"/>
      <c r="F30648" s="1"/>
      <c r="G30648" s="1"/>
    </row>
    <row r="30649">
      <c r="B30649" s="36"/>
      <c r="C30649" s="36"/>
      <c r="E30649" s="1"/>
      <c r="F30649" s="1"/>
      <c r="G30649" s="1"/>
    </row>
    <row r="30650">
      <c r="B30650" s="36"/>
      <c r="C30650" s="36"/>
      <c r="E30650" s="1"/>
      <c r="F30650" s="1"/>
      <c r="G30650" s="1"/>
    </row>
    <row r="30651">
      <c r="B30651" s="36"/>
      <c r="C30651" s="36"/>
      <c r="E30651" s="1"/>
      <c r="F30651" s="1"/>
      <c r="G30651" s="1"/>
    </row>
    <row r="30652">
      <c r="B30652" s="36"/>
      <c r="C30652" s="36"/>
      <c r="E30652" s="1"/>
      <c r="F30652" s="1"/>
      <c r="G30652" s="1"/>
    </row>
    <row r="30653">
      <c r="B30653" s="36"/>
      <c r="C30653" s="36"/>
      <c r="E30653" s="1"/>
      <c r="F30653" s="1"/>
      <c r="G30653" s="1"/>
    </row>
    <row r="30654">
      <c r="B30654" s="36"/>
      <c r="C30654" s="36"/>
      <c r="E30654" s="1"/>
      <c r="F30654" s="1"/>
      <c r="G30654" s="1"/>
    </row>
    <row r="30655">
      <c r="B30655" s="36"/>
      <c r="C30655" s="36"/>
      <c r="E30655" s="1"/>
      <c r="F30655" s="1"/>
      <c r="G30655" s="1"/>
    </row>
    <row r="30656">
      <c r="B30656" s="36"/>
      <c r="C30656" s="36"/>
      <c r="E30656" s="1"/>
      <c r="F30656" s="1"/>
      <c r="G30656" s="1"/>
    </row>
    <row r="30657">
      <c r="B30657" s="36"/>
      <c r="C30657" s="36"/>
      <c r="E30657" s="1"/>
      <c r="F30657" s="1"/>
      <c r="G30657" s="1"/>
    </row>
    <row r="30658">
      <c r="B30658" s="36"/>
      <c r="C30658" s="36"/>
      <c r="E30658" s="1"/>
      <c r="F30658" s="1"/>
      <c r="G30658" s="1"/>
    </row>
    <row r="30659">
      <c r="B30659" s="36"/>
      <c r="C30659" s="36"/>
      <c r="E30659" s="1"/>
      <c r="F30659" s="1"/>
      <c r="G30659" s="1"/>
    </row>
    <row r="30660">
      <c r="B30660" s="36"/>
      <c r="C30660" s="36"/>
      <c r="E30660" s="1"/>
      <c r="F30660" s="1"/>
      <c r="G30660" s="1"/>
    </row>
    <row r="30661">
      <c r="B30661" s="36"/>
      <c r="C30661" s="36"/>
      <c r="E30661" s="1"/>
      <c r="F30661" s="1"/>
      <c r="G30661" s="1"/>
    </row>
    <row r="30662">
      <c r="B30662" s="36"/>
      <c r="C30662" s="36"/>
      <c r="E30662" s="1"/>
      <c r="F30662" s="1"/>
      <c r="G30662" s="1"/>
    </row>
    <row r="30663">
      <c r="B30663" s="36"/>
      <c r="C30663" s="36"/>
      <c r="E30663" s="1"/>
      <c r="F30663" s="1"/>
      <c r="G30663" s="1"/>
    </row>
    <row r="30664">
      <c r="B30664" s="36"/>
      <c r="C30664" s="36"/>
      <c r="E30664" s="1"/>
      <c r="F30664" s="1"/>
      <c r="G30664" s="1"/>
    </row>
    <row r="30665">
      <c r="B30665" s="36"/>
      <c r="C30665" s="36"/>
      <c r="E30665" s="1"/>
      <c r="F30665" s="1"/>
      <c r="G30665" s="1"/>
    </row>
    <row r="30666">
      <c r="B30666" s="36"/>
      <c r="C30666" s="36"/>
      <c r="E30666" s="1"/>
      <c r="F30666" s="1"/>
      <c r="G30666" s="1"/>
    </row>
    <row r="30667">
      <c r="B30667" s="36"/>
      <c r="C30667" s="36"/>
      <c r="E30667" s="1"/>
      <c r="F30667" s="1"/>
      <c r="G30667" s="1"/>
    </row>
    <row r="30668">
      <c r="B30668" s="36"/>
      <c r="C30668" s="36"/>
      <c r="E30668" s="1"/>
      <c r="F30668" s="1"/>
      <c r="G30668" s="1"/>
    </row>
    <row r="30669">
      <c r="B30669" s="36"/>
      <c r="C30669" s="36"/>
      <c r="E30669" s="1"/>
      <c r="F30669" s="1"/>
      <c r="G30669" s="1"/>
    </row>
    <row r="30670">
      <c r="B30670" s="36"/>
      <c r="C30670" s="36"/>
      <c r="E30670" s="1"/>
      <c r="F30670" s="1"/>
      <c r="G30670" s="1"/>
    </row>
    <row r="30671">
      <c r="B30671" s="36"/>
      <c r="C30671" s="36"/>
      <c r="E30671" s="1"/>
      <c r="F30671" s="1"/>
      <c r="G30671" s="1"/>
    </row>
    <row r="30672">
      <c r="B30672" s="36"/>
      <c r="C30672" s="36"/>
      <c r="E30672" s="1"/>
      <c r="F30672" s="1"/>
      <c r="G30672" s="1"/>
    </row>
    <row r="30673">
      <c r="B30673" s="36"/>
      <c r="C30673" s="36"/>
      <c r="E30673" s="1"/>
      <c r="F30673" s="1"/>
      <c r="G30673" s="1"/>
    </row>
    <row r="30674">
      <c r="B30674" s="36"/>
      <c r="C30674" s="36"/>
      <c r="E30674" s="1"/>
      <c r="F30674" s="1"/>
      <c r="G30674" s="1"/>
    </row>
    <row r="30675">
      <c r="B30675" s="36"/>
      <c r="C30675" s="36"/>
      <c r="E30675" s="1"/>
      <c r="F30675" s="1"/>
      <c r="G30675" s="1"/>
    </row>
    <row r="30676">
      <c r="B30676" s="36"/>
      <c r="C30676" s="36"/>
      <c r="E30676" s="1"/>
      <c r="F30676" s="1"/>
      <c r="G30676" s="1"/>
    </row>
    <row r="30677">
      <c r="B30677" s="36"/>
      <c r="C30677" s="36"/>
      <c r="E30677" s="1"/>
      <c r="F30677" s="1"/>
      <c r="G30677" s="1"/>
    </row>
    <row r="30678">
      <c r="B30678" s="36"/>
      <c r="C30678" s="36"/>
      <c r="E30678" s="1"/>
      <c r="F30678" s="1"/>
      <c r="G30678" s="1"/>
    </row>
    <row r="30679">
      <c r="B30679" s="36"/>
      <c r="C30679" s="36"/>
      <c r="E30679" s="1"/>
      <c r="F30679" s="1"/>
      <c r="G30679" s="1"/>
    </row>
    <row r="30680">
      <c r="B30680" s="36"/>
      <c r="C30680" s="36"/>
      <c r="E30680" s="1"/>
      <c r="F30680" s="1"/>
      <c r="G30680" s="1"/>
    </row>
    <row r="30681">
      <c r="B30681" s="36"/>
      <c r="C30681" s="36"/>
      <c r="E30681" s="1"/>
      <c r="F30681" s="1"/>
      <c r="G30681" s="1"/>
    </row>
    <row r="30682">
      <c r="B30682" s="36"/>
      <c r="C30682" s="36"/>
      <c r="E30682" s="1"/>
      <c r="F30682" s="1"/>
      <c r="G30682" s="1"/>
    </row>
    <row r="30683">
      <c r="B30683" s="36"/>
      <c r="C30683" s="36"/>
      <c r="E30683" s="1"/>
      <c r="F30683" s="1"/>
      <c r="G30683" s="1"/>
    </row>
    <row r="30684">
      <c r="B30684" s="36"/>
      <c r="C30684" s="36"/>
      <c r="E30684" s="1"/>
      <c r="F30684" s="1"/>
      <c r="G30684" s="1"/>
    </row>
    <row r="30685">
      <c r="B30685" s="36"/>
      <c r="C30685" s="36"/>
      <c r="E30685" s="1"/>
      <c r="F30685" s="1"/>
      <c r="G30685" s="1"/>
    </row>
    <row r="30686">
      <c r="B30686" s="36"/>
      <c r="C30686" s="36"/>
      <c r="E30686" s="1"/>
      <c r="F30686" s="1"/>
      <c r="G30686" s="1"/>
    </row>
    <row r="30687">
      <c r="B30687" s="36"/>
      <c r="C30687" s="36"/>
      <c r="E30687" s="1"/>
      <c r="F30687" s="1"/>
      <c r="G30687" s="1"/>
    </row>
    <row r="30688">
      <c r="B30688" s="36"/>
      <c r="C30688" s="36"/>
      <c r="E30688" s="1"/>
      <c r="F30688" s="1"/>
      <c r="G30688" s="1"/>
    </row>
    <row r="30689">
      <c r="B30689" s="36"/>
      <c r="C30689" s="36"/>
      <c r="E30689" s="1"/>
      <c r="F30689" s="1"/>
      <c r="G30689" s="1"/>
    </row>
    <row r="30690">
      <c r="B30690" s="36"/>
      <c r="C30690" s="36"/>
      <c r="E30690" s="1"/>
      <c r="F30690" s="1"/>
      <c r="G30690" s="1"/>
    </row>
    <row r="30691">
      <c r="B30691" s="36"/>
      <c r="C30691" s="36"/>
      <c r="E30691" s="1"/>
      <c r="F30691" s="1"/>
      <c r="G30691" s="1"/>
    </row>
    <row r="30692">
      <c r="B30692" s="36"/>
      <c r="C30692" s="36"/>
      <c r="E30692" s="1"/>
      <c r="F30692" s="1"/>
      <c r="G30692" s="1"/>
    </row>
    <row r="30693">
      <c r="B30693" s="36"/>
      <c r="C30693" s="36"/>
      <c r="E30693" s="1"/>
      <c r="F30693" s="1"/>
      <c r="G30693" s="1"/>
    </row>
    <row r="30694">
      <c r="B30694" s="36"/>
      <c r="C30694" s="36"/>
      <c r="E30694" s="1"/>
      <c r="F30694" s="1"/>
      <c r="G30694" s="1"/>
    </row>
    <row r="30695">
      <c r="B30695" s="36"/>
      <c r="C30695" s="36"/>
      <c r="E30695" s="1"/>
      <c r="F30695" s="1"/>
      <c r="G30695" s="1"/>
    </row>
    <row r="30696">
      <c r="B30696" s="36"/>
      <c r="C30696" s="36"/>
      <c r="E30696" s="1"/>
      <c r="F30696" s="1"/>
      <c r="G30696" s="1"/>
    </row>
    <row r="30697">
      <c r="B30697" s="36"/>
      <c r="C30697" s="36"/>
      <c r="E30697" s="1"/>
      <c r="F30697" s="1"/>
      <c r="G30697" s="1"/>
    </row>
    <row r="30698">
      <c r="B30698" s="36"/>
      <c r="C30698" s="36"/>
      <c r="E30698" s="1"/>
      <c r="F30698" s="1"/>
      <c r="G30698" s="1"/>
    </row>
    <row r="30699">
      <c r="B30699" s="36"/>
      <c r="C30699" s="36"/>
      <c r="E30699" s="1"/>
      <c r="F30699" s="1"/>
      <c r="G30699" s="1"/>
    </row>
    <row r="30700">
      <c r="B30700" s="36"/>
      <c r="C30700" s="36"/>
      <c r="E30700" s="1"/>
      <c r="F30700" s="1"/>
      <c r="G30700" s="1"/>
    </row>
    <row r="30701">
      <c r="B30701" s="36"/>
      <c r="C30701" s="36"/>
      <c r="E30701" s="1"/>
      <c r="F30701" s="1"/>
      <c r="G30701" s="1"/>
    </row>
    <row r="30702">
      <c r="B30702" s="36"/>
      <c r="C30702" s="36"/>
      <c r="E30702" s="1"/>
      <c r="F30702" s="1"/>
      <c r="G30702" s="1"/>
    </row>
    <row r="30703">
      <c r="B30703" s="36"/>
      <c r="C30703" s="36"/>
      <c r="E30703" s="1"/>
      <c r="F30703" s="1"/>
      <c r="G30703" s="1"/>
    </row>
    <row r="30704">
      <c r="B30704" s="36"/>
      <c r="C30704" s="36"/>
      <c r="E30704" s="1"/>
      <c r="F30704" s="1"/>
      <c r="G30704" s="1"/>
    </row>
    <row r="30705">
      <c r="B30705" s="36"/>
      <c r="C30705" s="36"/>
      <c r="E30705" s="1"/>
      <c r="F30705" s="1"/>
      <c r="G30705" s="1"/>
    </row>
    <row r="30706">
      <c r="B30706" s="36"/>
      <c r="C30706" s="36"/>
      <c r="E30706" s="1"/>
      <c r="F30706" s="1"/>
      <c r="G30706" s="1"/>
    </row>
    <row r="30707">
      <c r="B30707" s="36"/>
      <c r="C30707" s="36"/>
      <c r="E30707" s="1"/>
      <c r="F30707" s="1"/>
      <c r="G30707" s="1"/>
    </row>
    <row r="30708">
      <c r="B30708" s="36"/>
      <c r="C30708" s="36"/>
      <c r="E30708" s="1"/>
      <c r="F30708" s="1"/>
      <c r="G30708" s="1"/>
    </row>
    <row r="30709">
      <c r="B30709" s="36"/>
      <c r="C30709" s="36"/>
      <c r="E30709" s="1"/>
      <c r="F30709" s="1"/>
      <c r="G30709" s="1"/>
    </row>
    <row r="30710">
      <c r="B30710" s="36"/>
      <c r="C30710" s="36"/>
      <c r="E30710" s="1"/>
      <c r="F30710" s="1"/>
      <c r="G30710" s="1"/>
    </row>
    <row r="30711">
      <c r="B30711" s="36"/>
      <c r="C30711" s="36"/>
      <c r="E30711" s="1"/>
      <c r="F30711" s="1"/>
      <c r="G30711" s="1"/>
    </row>
    <row r="30712">
      <c r="B30712" s="36"/>
      <c r="C30712" s="36"/>
      <c r="E30712" s="1"/>
      <c r="F30712" s="1"/>
      <c r="G30712" s="1"/>
    </row>
    <row r="30713">
      <c r="B30713" s="36"/>
      <c r="C30713" s="36"/>
      <c r="E30713" s="1"/>
      <c r="F30713" s="1"/>
      <c r="G30713" s="1"/>
    </row>
    <row r="30714">
      <c r="B30714" s="36"/>
      <c r="C30714" s="36"/>
      <c r="E30714" s="1"/>
      <c r="F30714" s="1"/>
      <c r="G30714" s="1"/>
    </row>
    <row r="30715">
      <c r="B30715" s="36"/>
      <c r="C30715" s="36"/>
      <c r="E30715" s="1"/>
      <c r="F30715" s="1"/>
      <c r="G30715" s="1"/>
    </row>
    <row r="30716">
      <c r="B30716" s="36"/>
      <c r="C30716" s="36"/>
      <c r="E30716" s="1"/>
      <c r="F30716" s="1"/>
      <c r="G30716" s="1"/>
    </row>
    <row r="30717">
      <c r="B30717" s="36"/>
      <c r="C30717" s="36"/>
      <c r="E30717" s="1"/>
      <c r="F30717" s="1"/>
      <c r="G30717" s="1"/>
    </row>
    <row r="30718">
      <c r="B30718" s="36"/>
      <c r="C30718" s="36"/>
      <c r="E30718" s="1"/>
      <c r="F30718" s="1"/>
      <c r="G30718" s="1"/>
    </row>
    <row r="30719">
      <c r="B30719" s="36"/>
      <c r="C30719" s="36"/>
      <c r="E30719" s="1"/>
      <c r="F30719" s="1"/>
      <c r="G30719" s="1"/>
    </row>
    <row r="30720">
      <c r="B30720" s="36"/>
      <c r="C30720" s="36"/>
      <c r="E30720" s="1"/>
      <c r="F30720" s="1"/>
      <c r="G30720" s="1"/>
    </row>
    <row r="30721">
      <c r="B30721" s="36"/>
      <c r="C30721" s="36"/>
      <c r="E30721" s="1"/>
      <c r="F30721" s="1"/>
      <c r="G30721" s="1"/>
    </row>
    <row r="30722">
      <c r="B30722" s="36"/>
      <c r="C30722" s="36"/>
      <c r="E30722" s="1"/>
      <c r="F30722" s="1"/>
      <c r="G30722" s="1"/>
    </row>
    <row r="30723">
      <c r="B30723" s="36"/>
      <c r="C30723" s="36"/>
      <c r="E30723" s="1"/>
      <c r="F30723" s="1"/>
      <c r="G30723" s="1"/>
    </row>
    <row r="30724">
      <c r="B30724" s="36"/>
      <c r="C30724" s="36"/>
      <c r="E30724" s="1"/>
      <c r="F30724" s="1"/>
      <c r="G30724" s="1"/>
    </row>
    <row r="30725">
      <c r="B30725" s="36"/>
      <c r="C30725" s="36"/>
      <c r="E30725" s="1"/>
      <c r="F30725" s="1"/>
      <c r="G30725" s="1"/>
    </row>
    <row r="30726">
      <c r="B30726" s="36"/>
      <c r="C30726" s="36"/>
      <c r="E30726" s="1"/>
      <c r="F30726" s="1"/>
      <c r="G30726" s="1"/>
    </row>
    <row r="30727">
      <c r="B30727" s="36"/>
      <c r="C30727" s="36"/>
      <c r="E30727" s="1"/>
      <c r="F30727" s="1"/>
      <c r="G30727" s="1"/>
    </row>
    <row r="30728">
      <c r="B30728" s="36"/>
      <c r="C30728" s="36"/>
      <c r="E30728" s="1"/>
      <c r="F30728" s="1"/>
      <c r="G30728" s="1"/>
    </row>
    <row r="30729">
      <c r="B30729" s="36"/>
      <c r="C30729" s="36"/>
      <c r="E30729" s="1"/>
      <c r="F30729" s="1"/>
      <c r="G30729" s="1"/>
    </row>
    <row r="30730">
      <c r="B30730" s="36"/>
      <c r="C30730" s="36"/>
      <c r="E30730" s="1"/>
      <c r="F30730" s="1"/>
      <c r="G30730" s="1"/>
    </row>
    <row r="30731">
      <c r="B30731" s="36"/>
      <c r="C30731" s="36"/>
      <c r="E30731" s="1"/>
      <c r="F30731" s="1"/>
      <c r="G30731" s="1"/>
    </row>
    <row r="30732">
      <c r="B30732" s="36"/>
      <c r="C30732" s="36"/>
      <c r="E30732" s="1"/>
      <c r="F30732" s="1"/>
      <c r="G30732" s="1"/>
    </row>
    <row r="30733">
      <c r="B30733" s="36"/>
      <c r="C30733" s="36"/>
      <c r="E30733" s="1"/>
      <c r="F30733" s="1"/>
      <c r="G30733" s="1"/>
    </row>
    <row r="30734">
      <c r="B30734" s="36"/>
      <c r="C30734" s="36"/>
      <c r="E30734" s="1"/>
      <c r="F30734" s="1"/>
      <c r="G30734" s="1"/>
    </row>
    <row r="30735">
      <c r="B30735" s="36"/>
      <c r="C30735" s="36"/>
      <c r="E30735" s="1"/>
      <c r="F30735" s="1"/>
      <c r="G30735" s="1"/>
    </row>
    <row r="30736">
      <c r="B30736" s="36"/>
      <c r="C30736" s="36"/>
      <c r="E30736" s="1"/>
      <c r="F30736" s="1"/>
      <c r="G30736" s="1"/>
    </row>
    <row r="30737">
      <c r="B30737" s="36"/>
      <c r="C30737" s="36"/>
      <c r="E30737" s="1"/>
      <c r="F30737" s="1"/>
      <c r="G30737" s="1"/>
    </row>
    <row r="30738">
      <c r="B30738" s="36"/>
      <c r="C30738" s="36"/>
      <c r="E30738" s="1"/>
      <c r="F30738" s="1"/>
      <c r="G30738" s="1"/>
    </row>
    <row r="30739">
      <c r="B30739" s="36"/>
      <c r="C30739" s="36"/>
      <c r="E30739" s="1"/>
      <c r="F30739" s="1"/>
      <c r="G30739" s="1"/>
    </row>
    <row r="30740">
      <c r="B30740" s="36"/>
      <c r="C30740" s="36"/>
      <c r="E30740" s="1"/>
      <c r="F30740" s="1"/>
      <c r="G30740" s="1"/>
    </row>
    <row r="30741">
      <c r="B30741" s="36"/>
      <c r="C30741" s="36"/>
      <c r="E30741" s="1"/>
      <c r="F30741" s="1"/>
      <c r="G30741" s="1"/>
    </row>
    <row r="30742">
      <c r="B30742" s="36"/>
      <c r="C30742" s="36"/>
      <c r="E30742" s="1"/>
      <c r="F30742" s="1"/>
      <c r="G30742" s="1"/>
    </row>
    <row r="30743">
      <c r="B30743" s="36"/>
      <c r="C30743" s="36"/>
      <c r="E30743" s="1"/>
      <c r="F30743" s="1"/>
      <c r="G30743" s="1"/>
    </row>
    <row r="30744">
      <c r="B30744" s="36"/>
      <c r="C30744" s="36"/>
      <c r="E30744" s="1"/>
      <c r="F30744" s="1"/>
      <c r="G30744" s="1"/>
    </row>
    <row r="30745">
      <c r="B30745" s="36"/>
      <c r="C30745" s="36"/>
      <c r="E30745" s="1"/>
      <c r="F30745" s="1"/>
      <c r="G30745" s="1"/>
    </row>
    <row r="30746">
      <c r="B30746" s="36"/>
      <c r="C30746" s="36"/>
      <c r="E30746" s="1"/>
      <c r="F30746" s="1"/>
      <c r="G30746" s="1"/>
    </row>
    <row r="30747">
      <c r="B30747" s="36"/>
      <c r="C30747" s="36"/>
      <c r="E30747" s="1"/>
      <c r="F30747" s="1"/>
      <c r="G30747" s="1"/>
    </row>
    <row r="30748">
      <c r="B30748" s="36"/>
      <c r="C30748" s="36"/>
      <c r="E30748" s="1"/>
      <c r="F30748" s="1"/>
      <c r="G30748" s="1"/>
    </row>
    <row r="30749">
      <c r="B30749" s="36"/>
      <c r="C30749" s="36"/>
      <c r="E30749" s="1"/>
      <c r="F30749" s="1"/>
      <c r="G30749" s="1"/>
    </row>
    <row r="30750">
      <c r="B30750" s="36"/>
      <c r="C30750" s="36"/>
      <c r="E30750" s="1"/>
      <c r="F30750" s="1"/>
      <c r="G30750" s="1"/>
    </row>
    <row r="30751">
      <c r="B30751" s="36"/>
      <c r="C30751" s="36"/>
      <c r="E30751" s="1"/>
      <c r="F30751" s="1"/>
      <c r="G30751" s="1"/>
    </row>
    <row r="30752">
      <c r="B30752" s="36"/>
      <c r="C30752" s="36"/>
      <c r="E30752" s="1"/>
      <c r="F30752" s="1"/>
      <c r="G30752" s="1"/>
    </row>
    <row r="30753">
      <c r="B30753" s="36"/>
      <c r="C30753" s="36"/>
      <c r="E30753" s="1"/>
      <c r="F30753" s="1"/>
      <c r="G30753" s="1"/>
    </row>
    <row r="30754">
      <c r="B30754" s="36"/>
      <c r="C30754" s="36"/>
      <c r="E30754" s="1"/>
      <c r="F30754" s="1"/>
      <c r="G30754" s="1"/>
    </row>
    <row r="30755">
      <c r="B30755" s="36"/>
      <c r="C30755" s="36"/>
      <c r="E30755" s="1"/>
      <c r="F30755" s="1"/>
      <c r="G30755" s="1"/>
    </row>
    <row r="30756">
      <c r="B30756" s="36"/>
      <c r="C30756" s="36"/>
      <c r="E30756" s="1"/>
      <c r="F30756" s="1"/>
      <c r="G30756" s="1"/>
    </row>
    <row r="30757">
      <c r="B30757" s="36"/>
      <c r="C30757" s="36"/>
      <c r="E30757" s="1"/>
      <c r="F30757" s="1"/>
      <c r="G30757" s="1"/>
    </row>
    <row r="30758">
      <c r="B30758" s="36"/>
      <c r="C30758" s="36"/>
      <c r="E30758" s="1"/>
      <c r="F30758" s="1"/>
      <c r="G30758" s="1"/>
    </row>
    <row r="30759">
      <c r="B30759" s="36"/>
      <c r="C30759" s="36"/>
      <c r="E30759" s="1"/>
      <c r="F30759" s="1"/>
      <c r="G30759" s="1"/>
    </row>
    <row r="30760">
      <c r="B30760" s="36"/>
      <c r="C30760" s="36"/>
      <c r="E30760" s="1"/>
      <c r="F30760" s="1"/>
      <c r="G30760" s="1"/>
    </row>
    <row r="30761">
      <c r="B30761" s="36"/>
      <c r="C30761" s="36"/>
      <c r="E30761" s="1"/>
      <c r="F30761" s="1"/>
      <c r="G30761" s="1"/>
    </row>
    <row r="30762">
      <c r="B30762" s="36"/>
      <c r="C30762" s="36"/>
      <c r="E30762" s="1"/>
      <c r="F30762" s="1"/>
      <c r="G30762" s="1"/>
    </row>
    <row r="30763">
      <c r="B30763" s="36"/>
      <c r="C30763" s="36"/>
      <c r="E30763" s="1"/>
      <c r="F30763" s="1"/>
      <c r="G30763" s="1"/>
    </row>
    <row r="30764">
      <c r="B30764" s="36"/>
      <c r="C30764" s="36"/>
      <c r="E30764" s="1"/>
      <c r="F30764" s="1"/>
      <c r="G30764" s="1"/>
    </row>
    <row r="30765">
      <c r="B30765" s="36"/>
      <c r="C30765" s="36"/>
      <c r="E30765" s="1"/>
      <c r="F30765" s="1"/>
      <c r="G30765" s="1"/>
    </row>
    <row r="30766">
      <c r="B30766" s="36"/>
      <c r="C30766" s="36"/>
      <c r="E30766" s="1"/>
      <c r="F30766" s="1"/>
      <c r="G30766" s="1"/>
    </row>
    <row r="30767">
      <c r="B30767" s="36"/>
      <c r="C30767" s="36"/>
      <c r="E30767" s="1"/>
      <c r="F30767" s="1"/>
      <c r="G30767" s="1"/>
    </row>
    <row r="30768">
      <c r="B30768" s="36"/>
      <c r="C30768" s="36"/>
      <c r="E30768" s="1"/>
      <c r="F30768" s="1"/>
      <c r="G30768" s="1"/>
    </row>
    <row r="30769">
      <c r="B30769" s="36"/>
      <c r="C30769" s="36"/>
      <c r="E30769" s="1"/>
      <c r="F30769" s="1"/>
      <c r="G30769" s="1"/>
    </row>
    <row r="30770">
      <c r="B30770" s="36"/>
      <c r="C30770" s="36"/>
      <c r="E30770" s="1"/>
      <c r="F30770" s="1"/>
      <c r="G30770" s="1"/>
    </row>
    <row r="30771">
      <c r="B30771" s="36"/>
      <c r="C30771" s="36"/>
      <c r="E30771" s="1"/>
      <c r="F30771" s="1"/>
      <c r="G30771" s="1"/>
    </row>
    <row r="30772">
      <c r="B30772" s="36"/>
      <c r="C30772" s="36"/>
      <c r="E30772" s="1"/>
      <c r="F30772" s="1"/>
      <c r="G30772" s="1"/>
    </row>
    <row r="30773">
      <c r="B30773" s="36"/>
      <c r="C30773" s="36"/>
      <c r="E30773" s="1"/>
      <c r="F30773" s="1"/>
      <c r="G30773" s="1"/>
    </row>
    <row r="30774">
      <c r="B30774" s="36"/>
      <c r="C30774" s="36"/>
      <c r="E30774" s="1"/>
      <c r="F30774" s="1"/>
      <c r="G30774" s="1"/>
    </row>
    <row r="30775">
      <c r="B30775" s="36"/>
      <c r="C30775" s="36"/>
      <c r="E30775" s="1"/>
      <c r="F30775" s="1"/>
      <c r="G30775" s="1"/>
    </row>
    <row r="30776">
      <c r="B30776" s="36"/>
      <c r="C30776" s="36"/>
      <c r="E30776" s="1"/>
      <c r="F30776" s="1"/>
      <c r="G30776" s="1"/>
    </row>
    <row r="30777">
      <c r="B30777" s="36"/>
      <c r="C30777" s="36"/>
      <c r="E30777" s="1"/>
      <c r="F30777" s="1"/>
      <c r="G30777" s="1"/>
    </row>
    <row r="30778">
      <c r="B30778" s="36"/>
      <c r="C30778" s="36"/>
      <c r="E30778" s="1"/>
      <c r="F30778" s="1"/>
      <c r="G30778" s="1"/>
    </row>
    <row r="30779">
      <c r="B30779" s="36"/>
      <c r="C30779" s="36"/>
      <c r="E30779" s="1"/>
      <c r="F30779" s="1"/>
      <c r="G30779" s="1"/>
    </row>
    <row r="30780">
      <c r="B30780" s="36"/>
      <c r="C30780" s="36"/>
      <c r="E30780" s="1"/>
      <c r="F30780" s="1"/>
      <c r="G30780" s="1"/>
    </row>
    <row r="30781">
      <c r="B30781" s="36"/>
      <c r="C30781" s="36"/>
      <c r="E30781" s="1"/>
      <c r="F30781" s="1"/>
      <c r="G30781" s="1"/>
    </row>
    <row r="30782">
      <c r="B30782" s="36"/>
      <c r="C30782" s="36"/>
      <c r="E30782" s="1"/>
      <c r="F30782" s="1"/>
      <c r="G30782" s="1"/>
    </row>
    <row r="30783">
      <c r="B30783" s="36"/>
      <c r="C30783" s="36"/>
      <c r="E30783" s="1"/>
      <c r="F30783" s="1"/>
      <c r="G30783" s="1"/>
    </row>
    <row r="30784">
      <c r="B30784" s="36"/>
      <c r="C30784" s="36"/>
      <c r="E30784" s="1"/>
      <c r="F30784" s="1"/>
      <c r="G30784" s="1"/>
    </row>
    <row r="30785">
      <c r="B30785" s="36"/>
      <c r="C30785" s="36"/>
      <c r="E30785" s="1"/>
      <c r="F30785" s="1"/>
      <c r="G30785" s="1"/>
    </row>
    <row r="30786">
      <c r="B30786" s="36"/>
      <c r="C30786" s="36"/>
      <c r="E30786" s="1"/>
      <c r="F30786" s="1"/>
      <c r="G30786" s="1"/>
    </row>
    <row r="30787">
      <c r="B30787" s="36"/>
      <c r="C30787" s="36"/>
      <c r="E30787" s="1"/>
      <c r="F30787" s="1"/>
      <c r="G30787" s="1"/>
    </row>
    <row r="30788">
      <c r="B30788" s="36"/>
      <c r="C30788" s="36"/>
      <c r="E30788" s="1"/>
      <c r="F30788" s="1"/>
      <c r="G30788" s="1"/>
    </row>
    <row r="30789">
      <c r="B30789" s="36"/>
      <c r="C30789" s="36"/>
      <c r="E30789" s="1"/>
      <c r="F30789" s="1"/>
      <c r="G30789" s="1"/>
    </row>
    <row r="30790">
      <c r="B30790" s="36"/>
      <c r="C30790" s="36"/>
      <c r="E30790" s="1"/>
      <c r="F30790" s="1"/>
      <c r="G30790" s="1"/>
    </row>
    <row r="30791">
      <c r="B30791" s="36"/>
      <c r="C30791" s="36"/>
      <c r="E30791" s="1"/>
      <c r="F30791" s="1"/>
      <c r="G30791" s="1"/>
    </row>
    <row r="30792">
      <c r="B30792" s="36"/>
      <c r="C30792" s="36"/>
      <c r="E30792" s="1"/>
      <c r="F30792" s="1"/>
      <c r="G30792" s="1"/>
    </row>
    <row r="30793">
      <c r="B30793" s="36"/>
      <c r="C30793" s="36"/>
      <c r="E30793" s="1"/>
      <c r="F30793" s="1"/>
      <c r="G30793" s="1"/>
    </row>
    <row r="30794">
      <c r="B30794" s="36"/>
      <c r="C30794" s="36"/>
      <c r="E30794" s="1"/>
      <c r="F30794" s="1"/>
      <c r="G30794" s="1"/>
    </row>
    <row r="30795">
      <c r="B30795" s="36"/>
      <c r="C30795" s="36"/>
      <c r="E30795" s="1"/>
      <c r="F30795" s="1"/>
      <c r="G30795" s="1"/>
    </row>
    <row r="30796">
      <c r="B30796" s="36"/>
      <c r="C30796" s="36"/>
      <c r="E30796" s="1"/>
      <c r="F30796" s="1"/>
      <c r="G30796" s="1"/>
    </row>
    <row r="30797">
      <c r="B30797" s="36"/>
      <c r="C30797" s="36"/>
      <c r="E30797" s="1"/>
      <c r="F30797" s="1"/>
      <c r="G30797" s="1"/>
    </row>
    <row r="30798">
      <c r="B30798" s="36"/>
      <c r="C30798" s="36"/>
      <c r="E30798" s="1"/>
      <c r="F30798" s="1"/>
      <c r="G30798" s="1"/>
    </row>
    <row r="30799">
      <c r="B30799" s="36"/>
      <c r="C30799" s="36"/>
      <c r="E30799" s="1"/>
      <c r="F30799" s="1"/>
      <c r="G30799" s="1"/>
    </row>
    <row r="30800">
      <c r="B30800" s="36"/>
      <c r="C30800" s="36"/>
      <c r="E30800" s="1"/>
      <c r="F30800" s="1"/>
      <c r="G30800" s="1"/>
    </row>
    <row r="30801">
      <c r="B30801" s="36"/>
      <c r="C30801" s="36"/>
      <c r="E30801" s="1"/>
      <c r="F30801" s="1"/>
      <c r="G30801" s="1"/>
    </row>
    <row r="30802">
      <c r="B30802" s="36"/>
      <c r="C30802" s="36"/>
      <c r="E30802" s="1"/>
      <c r="F30802" s="1"/>
      <c r="G30802" s="1"/>
    </row>
    <row r="30803">
      <c r="B30803" s="36"/>
      <c r="C30803" s="36"/>
      <c r="E30803" s="1"/>
      <c r="F30803" s="1"/>
      <c r="G30803" s="1"/>
    </row>
    <row r="30804">
      <c r="B30804" s="36"/>
      <c r="C30804" s="36"/>
      <c r="E30804" s="1"/>
      <c r="F30804" s="1"/>
      <c r="G30804" s="1"/>
    </row>
    <row r="30805">
      <c r="B30805" s="36"/>
      <c r="C30805" s="36"/>
      <c r="E30805" s="1"/>
      <c r="F30805" s="1"/>
      <c r="G30805" s="1"/>
    </row>
    <row r="30806">
      <c r="B30806" s="36"/>
      <c r="C30806" s="36"/>
      <c r="E30806" s="1"/>
      <c r="F30806" s="1"/>
      <c r="G30806" s="1"/>
    </row>
    <row r="30807">
      <c r="B30807" s="36"/>
      <c r="C30807" s="36"/>
      <c r="E30807" s="1"/>
      <c r="F30807" s="1"/>
      <c r="G30807" s="1"/>
    </row>
    <row r="30808">
      <c r="B30808" s="36"/>
      <c r="C30808" s="36"/>
      <c r="E30808" s="1"/>
      <c r="F30808" s="1"/>
      <c r="G30808" s="1"/>
    </row>
    <row r="30809">
      <c r="B30809" s="36"/>
      <c r="C30809" s="36"/>
      <c r="E30809" s="1"/>
      <c r="F30809" s="1"/>
      <c r="G30809" s="1"/>
    </row>
    <row r="30810">
      <c r="B30810" s="36"/>
      <c r="C30810" s="36"/>
      <c r="E30810" s="1"/>
      <c r="F30810" s="1"/>
      <c r="G30810" s="1"/>
    </row>
    <row r="30811">
      <c r="B30811" s="36"/>
      <c r="C30811" s="36"/>
      <c r="E30811" s="1"/>
      <c r="F30811" s="1"/>
      <c r="G30811" s="1"/>
    </row>
    <row r="30812">
      <c r="B30812" s="36"/>
      <c r="C30812" s="36"/>
      <c r="E30812" s="1"/>
      <c r="F30812" s="1"/>
      <c r="G30812" s="1"/>
    </row>
    <row r="30813">
      <c r="B30813" s="36"/>
      <c r="C30813" s="36"/>
      <c r="E30813" s="1"/>
      <c r="F30813" s="1"/>
      <c r="G30813" s="1"/>
    </row>
    <row r="30814">
      <c r="B30814" s="36"/>
      <c r="C30814" s="36"/>
      <c r="E30814" s="1"/>
      <c r="F30814" s="1"/>
      <c r="G30814" s="1"/>
    </row>
    <row r="30815">
      <c r="B30815" s="36"/>
      <c r="C30815" s="36"/>
      <c r="E30815" s="1"/>
      <c r="F30815" s="1"/>
      <c r="G30815" s="1"/>
    </row>
    <row r="30816">
      <c r="B30816" s="36"/>
      <c r="C30816" s="36"/>
      <c r="E30816" s="1"/>
      <c r="F30816" s="1"/>
      <c r="G30816" s="1"/>
    </row>
    <row r="30817">
      <c r="B30817" s="36"/>
      <c r="C30817" s="36"/>
      <c r="E30817" s="1"/>
      <c r="F30817" s="1"/>
      <c r="G30817" s="1"/>
    </row>
    <row r="30818">
      <c r="B30818" s="36"/>
      <c r="C30818" s="36"/>
      <c r="E30818" s="1"/>
      <c r="F30818" s="1"/>
      <c r="G30818" s="1"/>
    </row>
    <row r="30819">
      <c r="B30819" s="36"/>
      <c r="C30819" s="36"/>
      <c r="E30819" s="1"/>
      <c r="F30819" s="1"/>
      <c r="G30819" s="1"/>
    </row>
    <row r="30820">
      <c r="B30820" s="36"/>
      <c r="C30820" s="36"/>
      <c r="E30820" s="1"/>
      <c r="F30820" s="1"/>
      <c r="G30820" s="1"/>
    </row>
    <row r="30821">
      <c r="B30821" s="36"/>
      <c r="C30821" s="36"/>
      <c r="E30821" s="1"/>
      <c r="F30821" s="1"/>
      <c r="G30821" s="1"/>
    </row>
    <row r="30822">
      <c r="B30822" s="36"/>
      <c r="C30822" s="36"/>
      <c r="E30822" s="1"/>
      <c r="F30822" s="1"/>
      <c r="G30822" s="1"/>
    </row>
    <row r="30823">
      <c r="B30823" s="36"/>
      <c r="C30823" s="36"/>
      <c r="E30823" s="1"/>
      <c r="F30823" s="1"/>
      <c r="G30823" s="1"/>
    </row>
    <row r="30824">
      <c r="B30824" s="36"/>
      <c r="C30824" s="36"/>
      <c r="E30824" s="1"/>
      <c r="F30824" s="1"/>
      <c r="G30824" s="1"/>
    </row>
    <row r="30825">
      <c r="B30825" s="36"/>
      <c r="C30825" s="36"/>
      <c r="E30825" s="1"/>
      <c r="F30825" s="1"/>
      <c r="G30825" s="1"/>
    </row>
    <row r="30826">
      <c r="B30826" s="36"/>
      <c r="C30826" s="36"/>
      <c r="E30826" s="1"/>
      <c r="F30826" s="1"/>
      <c r="G30826" s="1"/>
    </row>
    <row r="30827">
      <c r="B30827" s="36"/>
      <c r="C30827" s="36"/>
      <c r="E30827" s="1"/>
      <c r="F30827" s="1"/>
      <c r="G30827" s="1"/>
    </row>
    <row r="30828">
      <c r="B30828" s="36"/>
      <c r="C30828" s="36"/>
      <c r="E30828" s="1"/>
      <c r="F30828" s="1"/>
      <c r="G30828" s="1"/>
    </row>
    <row r="30829">
      <c r="B30829" s="36"/>
      <c r="C30829" s="36"/>
      <c r="E30829" s="1"/>
      <c r="F30829" s="1"/>
      <c r="G30829" s="1"/>
    </row>
    <row r="30830">
      <c r="B30830" s="36"/>
      <c r="C30830" s="36"/>
      <c r="E30830" s="1"/>
      <c r="F30830" s="1"/>
      <c r="G30830" s="1"/>
    </row>
    <row r="30831">
      <c r="B30831" s="36"/>
      <c r="C30831" s="36"/>
      <c r="E30831" s="1"/>
      <c r="F30831" s="1"/>
      <c r="G30831" s="1"/>
    </row>
    <row r="30832">
      <c r="B30832" s="36"/>
      <c r="C30832" s="36"/>
      <c r="E30832" s="1"/>
      <c r="F30832" s="1"/>
      <c r="G30832" s="1"/>
    </row>
    <row r="30833">
      <c r="B30833" s="36"/>
      <c r="C30833" s="36"/>
      <c r="E30833" s="1"/>
      <c r="F30833" s="1"/>
      <c r="G30833" s="1"/>
    </row>
    <row r="30834">
      <c r="B30834" s="36"/>
      <c r="C30834" s="36"/>
      <c r="E30834" s="1"/>
      <c r="F30834" s="1"/>
      <c r="G30834" s="1"/>
    </row>
    <row r="30835">
      <c r="B30835" s="36"/>
      <c r="C30835" s="36"/>
      <c r="E30835" s="1"/>
      <c r="F30835" s="1"/>
      <c r="G30835" s="1"/>
    </row>
    <row r="30836">
      <c r="B30836" s="36"/>
      <c r="C30836" s="36"/>
      <c r="E30836" s="1"/>
      <c r="F30836" s="1"/>
      <c r="G30836" s="1"/>
    </row>
    <row r="30837">
      <c r="B30837" s="36"/>
      <c r="C30837" s="36"/>
      <c r="E30837" s="1"/>
      <c r="F30837" s="1"/>
      <c r="G30837" s="1"/>
    </row>
    <row r="30838">
      <c r="B30838" s="36"/>
      <c r="C30838" s="36"/>
      <c r="E30838" s="1"/>
      <c r="F30838" s="1"/>
      <c r="G30838" s="1"/>
    </row>
    <row r="30839">
      <c r="B30839" s="36"/>
      <c r="C30839" s="36"/>
      <c r="E30839" s="1"/>
      <c r="F30839" s="1"/>
      <c r="G30839" s="1"/>
    </row>
    <row r="30840">
      <c r="B30840" s="36"/>
      <c r="C30840" s="36"/>
      <c r="E30840" s="1"/>
      <c r="F30840" s="1"/>
      <c r="G30840" s="1"/>
    </row>
    <row r="30841">
      <c r="B30841" s="36"/>
      <c r="C30841" s="36"/>
      <c r="E30841" s="1"/>
      <c r="F30841" s="1"/>
      <c r="G30841" s="1"/>
    </row>
    <row r="30842">
      <c r="B30842" s="36"/>
      <c r="C30842" s="36"/>
      <c r="E30842" s="1"/>
      <c r="F30842" s="1"/>
      <c r="G30842" s="1"/>
    </row>
    <row r="30843">
      <c r="B30843" s="36"/>
      <c r="C30843" s="36"/>
      <c r="E30843" s="1"/>
      <c r="F30843" s="1"/>
      <c r="G30843" s="1"/>
    </row>
    <row r="30844">
      <c r="B30844" s="36"/>
      <c r="C30844" s="36"/>
      <c r="E30844" s="1"/>
      <c r="F30844" s="1"/>
      <c r="G30844" s="1"/>
    </row>
    <row r="30845">
      <c r="B30845" s="36"/>
      <c r="C30845" s="36"/>
      <c r="E30845" s="1"/>
      <c r="F30845" s="1"/>
      <c r="G30845" s="1"/>
    </row>
    <row r="30846">
      <c r="B30846" s="36"/>
      <c r="C30846" s="36"/>
      <c r="E30846" s="1"/>
      <c r="F30846" s="1"/>
      <c r="G30846" s="1"/>
    </row>
    <row r="30847">
      <c r="B30847" s="36"/>
      <c r="C30847" s="36"/>
      <c r="E30847" s="1"/>
      <c r="F30847" s="1"/>
      <c r="G30847" s="1"/>
    </row>
    <row r="30848">
      <c r="B30848" s="36"/>
      <c r="C30848" s="36"/>
      <c r="E30848" s="1"/>
      <c r="F30848" s="1"/>
      <c r="G30848" s="1"/>
    </row>
    <row r="30849">
      <c r="B30849" s="36"/>
      <c r="C30849" s="36"/>
      <c r="E30849" s="1"/>
      <c r="F30849" s="1"/>
      <c r="G30849" s="1"/>
    </row>
    <row r="30850">
      <c r="B30850" s="36"/>
      <c r="C30850" s="36"/>
      <c r="E30850" s="1"/>
      <c r="F30850" s="1"/>
      <c r="G30850" s="1"/>
    </row>
    <row r="30851">
      <c r="B30851" s="36"/>
      <c r="C30851" s="36"/>
      <c r="E30851" s="1"/>
      <c r="F30851" s="1"/>
      <c r="G30851" s="1"/>
    </row>
    <row r="30852">
      <c r="B30852" s="36"/>
      <c r="C30852" s="36"/>
      <c r="E30852" s="1"/>
      <c r="F30852" s="1"/>
      <c r="G30852" s="1"/>
    </row>
    <row r="30853">
      <c r="B30853" s="36"/>
      <c r="C30853" s="36"/>
      <c r="E30853" s="1"/>
      <c r="F30853" s="1"/>
      <c r="G30853" s="1"/>
    </row>
    <row r="30854">
      <c r="B30854" s="36"/>
      <c r="C30854" s="36"/>
      <c r="E30854" s="1"/>
      <c r="F30854" s="1"/>
      <c r="G30854" s="1"/>
    </row>
    <row r="30855">
      <c r="B30855" s="36"/>
      <c r="C30855" s="36"/>
      <c r="E30855" s="1"/>
      <c r="F30855" s="1"/>
      <c r="G30855" s="1"/>
    </row>
    <row r="30856">
      <c r="B30856" s="36"/>
      <c r="C30856" s="36"/>
      <c r="E30856" s="1"/>
      <c r="F30856" s="1"/>
      <c r="G30856" s="1"/>
    </row>
    <row r="30857">
      <c r="B30857" s="36"/>
      <c r="C30857" s="36"/>
      <c r="E30857" s="1"/>
      <c r="F30857" s="1"/>
      <c r="G30857" s="1"/>
    </row>
    <row r="30858">
      <c r="B30858" s="36"/>
      <c r="C30858" s="36"/>
      <c r="E30858" s="1"/>
      <c r="F30858" s="1"/>
      <c r="G30858" s="1"/>
    </row>
    <row r="30859">
      <c r="B30859" s="36"/>
      <c r="C30859" s="36"/>
      <c r="E30859" s="1"/>
      <c r="F30859" s="1"/>
      <c r="G30859" s="1"/>
    </row>
    <row r="30860">
      <c r="B30860" s="36"/>
      <c r="C30860" s="36"/>
      <c r="E30860" s="1"/>
      <c r="F30860" s="1"/>
      <c r="G30860" s="1"/>
    </row>
    <row r="30861">
      <c r="B30861" s="36"/>
      <c r="C30861" s="36"/>
      <c r="E30861" s="1"/>
      <c r="F30861" s="1"/>
      <c r="G30861" s="1"/>
    </row>
    <row r="30862">
      <c r="B30862" s="36"/>
      <c r="C30862" s="36"/>
      <c r="E30862" s="1"/>
      <c r="F30862" s="1"/>
      <c r="G30862" s="1"/>
    </row>
    <row r="30863">
      <c r="B30863" s="36"/>
      <c r="C30863" s="36"/>
      <c r="E30863" s="1"/>
      <c r="F30863" s="1"/>
      <c r="G30863" s="1"/>
    </row>
    <row r="30864">
      <c r="B30864" s="36"/>
      <c r="C30864" s="36"/>
      <c r="E30864" s="1"/>
      <c r="F30864" s="1"/>
      <c r="G30864" s="1"/>
    </row>
    <row r="30865">
      <c r="B30865" s="36"/>
      <c r="C30865" s="36"/>
      <c r="E30865" s="1"/>
      <c r="F30865" s="1"/>
      <c r="G30865" s="1"/>
    </row>
    <row r="30866">
      <c r="B30866" s="36"/>
      <c r="C30866" s="36"/>
      <c r="E30866" s="1"/>
      <c r="F30866" s="1"/>
      <c r="G30866" s="1"/>
    </row>
    <row r="30867">
      <c r="B30867" s="36"/>
      <c r="C30867" s="36"/>
      <c r="E30867" s="1"/>
      <c r="F30867" s="1"/>
      <c r="G30867" s="1"/>
    </row>
    <row r="30868">
      <c r="B30868" s="36"/>
      <c r="C30868" s="36"/>
      <c r="E30868" s="1"/>
      <c r="F30868" s="1"/>
      <c r="G30868" s="1"/>
    </row>
    <row r="30869">
      <c r="B30869" s="36"/>
      <c r="C30869" s="36"/>
      <c r="E30869" s="1"/>
      <c r="F30869" s="1"/>
      <c r="G30869" s="1"/>
    </row>
    <row r="30870">
      <c r="B30870" s="36"/>
      <c r="C30870" s="36"/>
      <c r="E30870" s="1"/>
      <c r="F30870" s="1"/>
      <c r="G30870" s="1"/>
    </row>
    <row r="30871">
      <c r="B30871" s="36"/>
      <c r="C30871" s="36"/>
      <c r="E30871" s="1"/>
      <c r="F30871" s="1"/>
      <c r="G30871" s="1"/>
    </row>
    <row r="30872">
      <c r="B30872" s="36"/>
      <c r="C30872" s="36"/>
      <c r="E30872" s="1"/>
      <c r="F30872" s="1"/>
      <c r="G30872" s="1"/>
    </row>
    <row r="30873">
      <c r="B30873" s="36"/>
      <c r="C30873" s="36"/>
      <c r="E30873" s="1"/>
      <c r="F30873" s="1"/>
      <c r="G30873" s="1"/>
    </row>
    <row r="30874">
      <c r="B30874" s="36"/>
      <c r="C30874" s="36"/>
      <c r="E30874" s="1"/>
      <c r="F30874" s="1"/>
      <c r="G30874" s="1"/>
    </row>
    <row r="30875">
      <c r="B30875" s="36"/>
      <c r="C30875" s="36"/>
      <c r="E30875" s="1"/>
      <c r="F30875" s="1"/>
      <c r="G30875" s="1"/>
    </row>
    <row r="30876">
      <c r="B30876" s="36"/>
      <c r="C30876" s="36"/>
      <c r="E30876" s="1"/>
      <c r="F30876" s="1"/>
      <c r="G30876" s="1"/>
    </row>
    <row r="30877">
      <c r="B30877" s="36"/>
      <c r="C30877" s="36"/>
      <c r="E30877" s="1"/>
      <c r="F30877" s="1"/>
      <c r="G30877" s="1"/>
    </row>
    <row r="30878">
      <c r="B30878" s="36"/>
      <c r="C30878" s="36"/>
      <c r="E30878" s="1"/>
      <c r="F30878" s="1"/>
      <c r="G30878" s="1"/>
    </row>
    <row r="30879">
      <c r="B30879" s="36"/>
      <c r="C30879" s="36"/>
      <c r="E30879" s="1"/>
      <c r="F30879" s="1"/>
      <c r="G30879" s="1"/>
    </row>
    <row r="30880">
      <c r="B30880" s="36"/>
      <c r="C30880" s="36"/>
      <c r="E30880" s="1"/>
      <c r="F30880" s="1"/>
      <c r="G30880" s="1"/>
    </row>
    <row r="30881">
      <c r="B30881" s="36"/>
      <c r="C30881" s="36"/>
      <c r="E30881" s="1"/>
      <c r="F30881" s="1"/>
      <c r="G30881" s="1"/>
    </row>
    <row r="30882">
      <c r="B30882" s="36"/>
      <c r="C30882" s="36"/>
      <c r="E30882" s="1"/>
      <c r="F30882" s="1"/>
      <c r="G30882" s="1"/>
    </row>
    <row r="30883">
      <c r="B30883" s="36"/>
      <c r="C30883" s="36"/>
      <c r="E30883" s="1"/>
      <c r="F30883" s="1"/>
      <c r="G30883" s="1"/>
    </row>
    <row r="30884">
      <c r="B30884" s="36"/>
      <c r="C30884" s="36"/>
      <c r="E30884" s="1"/>
      <c r="F30884" s="1"/>
      <c r="G30884" s="1"/>
    </row>
    <row r="30885">
      <c r="B30885" s="36"/>
      <c r="C30885" s="36"/>
      <c r="E30885" s="1"/>
      <c r="F30885" s="1"/>
      <c r="G30885" s="1"/>
    </row>
    <row r="30886">
      <c r="B30886" s="36"/>
      <c r="C30886" s="36"/>
      <c r="E30886" s="1"/>
      <c r="F30886" s="1"/>
      <c r="G30886" s="1"/>
    </row>
    <row r="30887">
      <c r="B30887" s="36"/>
      <c r="C30887" s="36"/>
      <c r="E30887" s="1"/>
      <c r="F30887" s="1"/>
      <c r="G30887" s="1"/>
    </row>
    <row r="30888">
      <c r="B30888" s="36"/>
      <c r="C30888" s="36"/>
      <c r="E30888" s="1"/>
      <c r="F30888" s="1"/>
      <c r="G30888" s="1"/>
    </row>
    <row r="30889">
      <c r="B30889" s="36"/>
      <c r="C30889" s="36"/>
      <c r="E30889" s="1"/>
      <c r="F30889" s="1"/>
      <c r="G30889" s="1"/>
    </row>
    <row r="30890">
      <c r="B30890" s="36"/>
      <c r="C30890" s="36"/>
      <c r="E30890" s="1"/>
      <c r="F30890" s="1"/>
      <c r="G30890" s="1"/>
    </row>
    <row r="30891">
      <c r="B30891" s="36"/>
      <c r="C30891" s="36"/>
      <c r="E30891" s="1"/>
      <c r="F30891" s="1"/>
      <c r="G30891" s="1"/>
    </row>
    <row r="30892">
      <c r="B30892" s="36"/>
      <c r="C30892" s="36"/>
      <c r="E30892" s="1"/>
      <c r="F30892" s="1"/>
      <c r="G30892" s="1"/>
    </row>
    <row r="30893">
      <c r="B30893" s="36"/>
      <c r="C30893" s="36"/>
      <c r="E30893" s="1"/>
      <c r="F30893" s="1"/>
      <c r="G30893" s="1"/>
    </row>
    <row r="30894">
      <c r="B30894" s="36"/>
      <c r="C30894" s="36"/>
      <c r="E30894" s="1"/>
      <c r="F30894" s="1"/>
      <c r="G30894" s="1"/>
    </row>
    <row r="30895">
      <c r="B30895" s="36"/>
      <c r="C30895" s="36"/>
      <c r="E30895" s="1"/>
      <c r="F30895" s="1"/>
      <c r="G30895" s="1"/>
    </row>
    <row r="30896">
      <c r="B30896" s="36"/>
      <c r="C30896" s="36"/>
      <c r="E30896" s="1"/>
      <c r="F30896" s="1"/>
      <c r="G30896" s="1"/>
    </row>
    <row r="30897">
      <c r="B30897" s="36"/>
      <c r="C30897" s="36"/>
      <c r="E30897" s="1"/>
      <c r="F30897" s="1"/>
      <c r="G30897" s="1"/>
    </row>
    <row r="30898">
      <c r="B30898" s="36"/>
      <c r="C30898" s="36"/>
      <c r="E30898" s="1"/>
      <c r="F30898" s="1"/>
      <c r="G30898" s="1"/>
    </row>
    <row r="30899">
      <c r="B30899" s="36"/>
      <c r="C30899" s="36"/>
      <c r="E30899" s="1"/>
      <c r="F30899" s="1"/>
      <c r="G30899" s="1"/>
    </row>
    <row r="30900">
      <c r="B30900" s="36"/>
      <c r="C30900" s="36"/>
      <c r="E30900" s="1"/>
      <c r="F30900" s="1"/>
      <c r="G30900" s="1"/>
    </row>
    <row r="30901">
      <c r="B30901" s="36"/>
      <c r="C30901" s="36"/>
      <c r="E30901" s="1"/>
      <c r="F30901" s="1"/>
      <c r="G30901" s="1"/>
    </row>
    <row r="30902">
      <c r="B30902" s="36"/>
      <c r="C30902" s="36"/>
      <c r="E30902" s="1"/>
      <c r="F30902" s="1"/>
      <c r="G30902" s="1"/>
    </row>
    <row r="30903">
      <c r="B30903" s="36"/>
      <c r="C30903" s="36"/>
      <c r="E30903" s="1"/>
      <c r="F30903" s="1"/>
      <c r="G30903" s="1"/>
    </row>
    <row r="30904">
      <c r="B30904" s="36"/>
      <c r="C30904" s="36"/>
      <c r="E30904" s="1"/>
      <c r="F30904" s="1"/>
      <c r="G30904" s="1"/>
    </row>
    <row r="30905">
      <c r="B30905" s="36"/>
      <c r="C30905" s="36"/>
      <c r="E30905" s="1"/>
      <c r="F30905" s="1"/>
      <c r="G30905" s="1"/>
    </row>
    <row r="30906">
      <c r="B30906" s="36"/>
      <c r="C30906" s="36"/>
      <c r="E30906" s="1"/>
      <c r="F30906" s="1"/>
      <c r="G30906" s="1"/>
    </row>
    <row r="30907">
      <c r="B30907" s="36"/>
      <c r="C30907" s="36"/>
      <c r="E30907" s="1"/>
      <c r="F30907" s="1"/>
      <c r="G30907" s="1"/>
    </row>
    <row r="30908">
      <c r="B30908" s="36"/>
      <c r="C30908" s="36"/>
      <c r="E30908" s="1"/>
      <c r="F30908" s="1"/>
      <c r="G30908" s="1"/>
    </row>
    <row r="30909">
      <c r="B30909" s="36"/>
      <c r="C30909" s="36"/>
      <c r="E30909" s="1"/>
      <c r="F30909" s="1"/>
      <c r="G30909" s="1"/>
    </row>
    <row r="30910">
      <c r="B30910" s="36"/>
      <c r="C30910" s="36"/>
      <c r="E30910" s="1"/>
      <c r="F30910" s="1"/>
      <c r="G30910" s="1"/>
    </row>
    <row r="30911">
      <c r="B30911" s="36"/>
      <c r="C30911" s="36"/>
      <c r="E30911" s="1"/>
      <c r="F30911" s="1"/>
      <c r="G30911" s="1"/>
    </row>
    <row r="30912">
      <c r="B30912" s="36"/>
      <c r="C30912" s="36"/>
      <c r="E30912" s="1"/>
      <c r="F30912" s="1"/>
      <c r="G30912" s="1"/>
    </row>
    <row r="30913">
      <c r="B30913" s="36"/>
      <c r="C30913" s="36"/>
      <c r="E30913" s="1"/>
      <c r="F30913" s="1"/>
      <c r="G30913" s="1"/>
    </row>
    <row r="30914">
      <c r="B30914" s="36"/>
      <c r="C30914" s="36"/>
      <c r="E30914" s="1"/>
      <c r="F30914" s="1"/>
      <c r="G30914" s="1"/>
    </row>
    <row r="30915">
      <c r="B30915" s="36"/>
      <c r="C30915" s="36"/>
      <c r="E30915" s="1"/>
      <c r="F30915" s="1"/>
      <c r="G30915" s="1"/>
    </row>
    <row r="30916">
      <c r="B30916" s="36"/>
      <c r="C30916" s="36"/>
      <c r="E30916" s="1"/>
      <c r="F30916" s="1"/>
      <c r="G30916" s="1"/>
    </row>
    <row r="30917">
      <c r="B30917" s="36"/>
      <c r="C30917" s="36"/>
      <c r="E30917" s="1"/>
      <c r="F30917" s="1"/>
      <c r="G30917" s="1"/>
    </row>
    <row r="30918">
      <c r="B30918" s="36"/>
      <c r="C30918" s="36"/>
      <c r="E30918" s="1"/>
      <c r="F30918" s="1"/>
      <c r="G30918" s="1"/>
    </row>
    <row r="30919">
      <c r="B30919" s="36"/>
      <c r="C30919" s="36"/>
      <c r="E30919" s="1"/>
      <c r="F30919" s="1"/>
      <c r="G30919" s="1"/>
    </row>
    <row r="30920">
      <c r="B30920" s="36"/>
      <c r="C30920" s="36"/>
      <c r="E30920" s="1"/>
      <c r="F30920" s="1"/>
      <c r="G30920" s="1"/>
    </row>
    <row r="30921">
      <c r="B30921" s="36"/>
      <c r="C30921" s="36"/>
      <c r="E30921" s="1"/>
      <c r="F30921" s="1"/>
      <c r="G30921" s="1"/>
    </row>
    <row r="30922">
      <c r="B30922" s="36"/>
      <c r="C30922" s="36"/>
      <c r="E30922" s="1"/>
      <c r="F30922" s="1"/>
      <c r="G30922" s="1"/>
    </row>
    <row r="30923">
      <c r="B30923" s="36"/>
      <c r="C30923" s="36"/>
      <c r="E30923" s="1"/>
      <c r="F30923" s="1"/>
      <c r="G30923" s="1"/>
    </row>
    <row r="30924">
      <c r="B30924" s="36"/>
      <c r="C30924" s="36"/>
      <c r="E30924" s="1"/>
      <c r="F30924" s="1"/>
      <c r="G30924" s="1"/>
    </row>
    <row r="30925">
      <c r="B30925" s="36"/>
      <c r="C30925" s="36"/>
      <c r="E30925" s="1"/>
      <c r="F30925" s="1"/>
      <c r="G30925" s="1"/>
    </row>
    <row r="30926">
      <c r="B30926" s="36"/>
      <c r="C30926" s="36"/>
      <c r="E30926" s="1"/>
      <c r="F30926" s="1"/>
      <c r="G30926" s="1"/>
    </row>
    <row r="30927">
      <c r="B30927" s="36"/>
      <c r="C30927" s="36"/>
      <c r="E30927" s="1"/>
      <c r="F30927" s="1"/>
      <c r="G30927" s="1"/>
    </row>
    <row r="30928">
      <c r="B30928" s="36"/>
      <c r="C30928" s="36"/>
      <c r="E30928" s="1"/>
      <c r="F30928" s="1"/>
      <c r="G30928" s="1"/>
    </row>
    <row r="30929">
      <c r="B30929" s="36"/>
      <c r="C30929" s="36"/>
      <c r="E30929" s="1"/>
      <c r="F30929" s="1"/>
      <c r="G30929" s="1"/>
    </row>
    <row r="30930">
      <c r="B30930" s="36"/>
      <c r="C30930" s="36"/>
      <c r="E30930" s="1"/>
      <c r="F30930" s="1"/>
      <c r="G30930" s="1"/>
    </row>
    <row r="30931">
      <c r="B30931" s="36"/>
      <c r="C30931" s="36"/>
      <c r="E30931" s="1"/>
      <c r="F30931" s="1"/>
      <c r="G30931" s="1"/>
    </row>
    <row r="30932">
      <c r="B30932" s="36"/>
      <c r="C30932" s="36"/>
      <c r="E30932" s="1"/>
      <c r="F30932" s="1"/>
      <c r="G30932" s="1"/>
    </row>
    <row r="30933">
      <c r="B30933" s="36"/>
      <c r="C30933" s="36"/>
      <c r="E30933" s="1"/>
      <c r="F30933" s="1"/>
      <c r="G30933" s="1"/>
    </row>
    <row r="30934">
      <c r="B30934" s="36"/>
      <c r="C30934" s="36"/>
      <c r="E30934" s="1"/>
      <c r="F30934" s="1"/>
      <c r="G30934" s="1"/>
    </row>
    <row r="30935">
      <c r="B30935" s="36"/>
      <c r="C30935" s="36"/>
      <c r="E30935" s="1"/>
      <c r="F30935" s="1"/>
      <c r="G30935" s="1"/>
    </row>
    <row r="30936">
      <c r="B30936" s="36"/>
      <c r="C30936" s="36"/>
      <c r="E30936" s="1"/>
      <c r="F30936" s="1"/>
      <c r="G30936" s="1"/>
    </row>
    <row r="30937">
      <c r="B30937" s="36"/>
      <c r="C30937" s="36"/>
      <c r="E30937" s="1"/>
      <c r="F30937" s="1"/>
      <c r="G30937" s="1"/>
    </row>
    <row r="30938">
      <c r="B30938" s="36"/>
      <c r="C30938" s="36"/>
      <c r="E30938" s="1"/>
      <c r="F30938" s="1"/>
      <c r="G30938" s="1"/>
    </row>
    <row r="30939">
      <c r="B30939" s="36"/>
      <c r="C30939" s="36"/>
      <c r="E30939" s="1"/>
      <c r="F30939" s="1"/>
      <c r="G30939" s="1"/>
    </row>
    <row r="30940">
      <c r="B30940" s="36"/>
      <c r="C30940" s="36"/>
      <c r="E30940" s="1"/>
      <c r="F30940" s="1"/>
      <c r="G30940" s="1"/>
    </row>
    <row r="30941">
      <c r="B30941" s="36"/>
      <c r="C30941" s="36"/>
      <c r="E30941" s="1"/>
      <c r="F30941" s="1"/>
      <c r="G30941" s="1"/>
    </row>
    <row r="30942">
      <c r="B30942" s="36"/>
      <c r="C30942" s="36"/>
      <c r="E30942" s="1"/>
      <c r="F30942" s="1"/>
      <c r="G30942" s="1"/>
    </row>
    <row r="30943">
      <c r="B30943" s="36"/>
      <c r="C30943" s="36"/>
      <c r="E30943" s="1"/>
      <c r="F30943" s="1"/>
      <c r="G30943" s="1"/>
    </row>
    <row r="30944">
      <c r="B30944" s="36"/>
      <c r="C30944" s="36"/>
      <c r="E30944" s="1"/>
      <c r="F30944" s="1"/>
      <c r="G30944" s="1"/>
    </row>
    <row r="30945">
      <c r="B30945" s="36"/>
      <c r="C30945" s="36"/>
      <c r="E30945" s="1"/>
      <c r="F30945" s="1"/>
      <c r="G30945" s="1"/>
    </row>
    <row r="30946">
      <c r="B30946" s="36"/>
      <c r="C30946" s="36"/>
      <c r="E30946" s="1"/>
      <c r="F30946" s="1"/>
      <c r="G30946" s="1"/>
    </row>
    <row r="30947">
      <c r="B30947" s="36"/>
      <c r="C30947" s="36"/>
      <c r="E30947" s="1"/>
      <c r="F30947" s="1"/>
      <c r="G30947" s="1"/>
    </row>
    <row r="30948">
      <c r="B30948" s="36"/>
      <c r="C30948" s="36"/>
      <c r="E30948" s="1"/>
      <c r="F30948" s="1"/>
      <c r="G30948" s="1"/>
    </row>
    <row r="30949">
      <c r="B30949" s="36"/>
      <c r="C30949" s="36"/>
      <c r="E30949" s="1"/>
      <c r="F30949" s="1"/>
      <c r="G30949" s="1"/>
    </row>
    <row r="30950">
      <c r="B30950" s="36"/>
      <c r="C30950" s="36"/>
      <c r="E30950" s="1"/>
      <c r="F30950" s="1"/>
      <c r="G30950" s="1"/>
    </row>
    <row r="30951">
      <c r="B30951" s="36"/>
      <c r="C30951" s="36"/>
      <c r="E30951" s="1"/>
      <c r="F30951" s="1"/>
      <c r="G30951" s="1"/>
    </row>
    <row r="30952">
      <c r="B30952" s="36"/>
      <c r="C30952" s="36"/>
      <c r="E30952" s="1"/>
      <c r="F30952" s="1"/>
      <c r="G30952" s="1"/>
    </row>
    <row r="30953">
      <c r="B30953" s="36"/>
      <c r="C30953" s="36"/>
      <c r="E30953" s="1"/>
      <c r="F30953" s="1"/>
      <c r="G30953" s="1"/>
    </row>
    <row r="30954">
      <c r="B30954" s="36"/>
      <c r="C30954" s="36"/>
      <c r="E30954" s="1"/>
      <c r="F30954" s="1"/>
      <c r="G30954" s="1"/>
    </row>
    <row r="30955">
      <c r="B30955" s="36"/>
      <c r="C30955" s="36"/>
      <c r="E30955" s="1"/>
      <c r="F30955" s="1"/>
      <c r="G30955" s="1"/>
    </row>
    <row r="30956">
      <c r="B30956" s="36"/>
      <c r="C30956" s="36"/>
      <c r="E30956" s="1"/>
      <c r="F30956" s="1"/>
      <c r="G30956" s="1"/>
    </row>
    <row r="30957">
      <c r="B30957" s="36"/>
      <c r="C30957" s="36"/>
      <c r="E30957" s="1"/>
      <c r="F30957" s="1"/>
      <c r="G30957" s="1"/>
    </row>
    <row r="30958">
      <c r="B30958" s="36"/>
      <c r="C30958" s="36"/>
      <c r="E30958" s="1"/>
      <c r="F30958" s="1"/>
      <c r="G30958" s="1"/>
    </row>
    <row r="30959">
      <c r="B30959" s="36"/>
      <c r="C30959" s="36"/>
      <c r="E30959" s="1"/>
      <c r="F30959" s="1"/>
      <c r="G30959" s="1"/>
    </row>
    <row r="30960">
      <c r="B30960" s="36"/>
      <c r="C30960" s="36"/>
      <c r="E30960" s="1"/>
      <c r="F30960" s="1"/>
      <c r="G30960" s="1"/>
    </row>
    <row r="30961">
      <c r="B30961" s="36"/>
      <c r="C30961" s="36"/>
      <c r="E30961" s="1"/>
      <c r="F30961" s="1"/>
      <c r="G30961" s="1"/>
    </row>
    <row r="30962">
      <c r="B30962" s="36"/>
      <c r="C30962" s="36"/>
      <c r="E30962" s="1"/>
      <c r="F30962" s="1"/>
      <c r="G30962" s="1"/>
    </row>
    <row r="30963">
      <c r="B30963" s="36"/>
      <c r="C30963" s="36"/>
      <c r="E30963" s="1"/>
      <c r="F30963" s="1"/>
      <c r="G30963" s="1"/>
    </row>
    <row r="30964">
      <c r="B30964" s="36"/>
      <c r="C30964" s="36"/>
      <c r="E30964" s="1"/>
      <c r="F30964" s="1"/>
      <c r="G30964" s="1"/>
    </row>
    <row r="30965">
      <c r="B30965" s="36"/>
      <c r="C30965" s="36"/>
      <c r="E30965" s="1"/>
      <c r="F30965" s="1"/>
      <c r="G30965" s="1"/>
    </row>
    <row r="30966">
      <c r="B30966" s="36"/>
      <c r="C30966" s="36"/>
      <c r="E30966" s="1"/>
      <c r="F30966" s="1"/>
      <c r="G30966" s="1"/>
    </row>
    <row r="30967">
      <c r="B30967" s="36"/>
      <c r="C30967" s="36"/>
      <c r="E30967" s="1"/>
      <c r="F30967" s="1"/>
      <c r="G30967" s="1"/>
    </row>
    <row r="30968">
      <c r="B30968" s="36"/>
      <c r="C30968" s="36"/>
      <c r="E30968" s="1"/>
      <c r="F30968" s="1"/>
      <c r="G30968" s="1"/>
    </row>
    <row r="30969">
      <c r="B30969" s="36"/>
      <c r="C30969" s="36"/>
      <c r="E30969" s="1"/>
      <c r="F30969" s="1"/>
      <c r="G30969" s="1"/>
    </row>
    <row r="30970">
      <c r="B30970" s="36"/>
      <c r="C30970" s="36"/>
      <c r="E30970" s="1"/>
      <c r="F30970" s="1"/>
      <c r="G30970" s="1"/>
    </row>
    <row r="30971">
      <c r="B30971" s="36"/>
      <c r="C30971" s="36"/>
      <c r="E30971" s="1"/>
      <c r="F30971" s="1"/>
      <c r="G30971" s="1"/>
    </row>
    <row r="30972">
      <c r="B30972" s="36"/>
      <c r="C30972" s="36"/>
      <c r="E30972" s="1"/>
      <c r="F30972" s="1"/>
      <c r="G30972" s="1"/>
    </row>
    <row r="30973">
      <c r="B30973" s="36"/>
      <c r="C30973" s="36"/>
      <c r="E30973" s="1"/>
      <c r="F30973" s="1"/>
      <c r="G30973" s="1"/>
    </row>
    <row r="30974">
      <c r="B30974" s="36"/>
      <c r="C30974" s="36"/>
      <c r="E30974" s="1"/>
      <c r="F30974" s="1"/>
      <c r="G30974" s="1"/>
    </row>
    <row r="30975">
      <c r="B30975" s="36"/>
      <c r="C30975" s="36"/>
      <c r="E30975" s="1"/>
      <c r="F30975" s="1"/>
      <c r="G30975" s="1"/>
    </row>
    <row r="30976">
      <c r="B30976" s="36"/>
      <c r="C30976" s="36"/>
      <c r="E30976" s="1"/>
      <c r="F30976" s="1"/>
      <c r="G30976" s="1"/>
    </row>
    <row r="30977">
      <c r="B30977" s="36"/>
      <c r="C30977" s="36"/>
      <c r="E30977" s="1"/>
      <c r="F30977" s="1"/>
      <c r="G30977" s="1"/>
    </row>
    <row r="30978">
      <c r="B30978" s="36"/>
      <c r="C30978" s="36"/>
      <c r="E30978" s="1"/>
      <c r="F30978" s="1"/>
      <c r="G30978" s="1"/>
    </row>
    <row r="30979">
      <c r="B30979" s="36"/>
      <c r="C30979" s="36"/>
      <c r="E30979" s="1"/>
      <c r="F30979" s="1"/>
      <c r="G30979" s="1"/>
    </row>
    <row r="30980">
      <c r="B30980" s="36"/>
      <c r="C30980" s="36"/>
      <c r="E30980" s="1"/>
      <c r="F30980" s="1"/>
      <c r="G30980" s="1"/>
    </row>
    <row r="30981">
      <c r="B30981" s="36"/>
      <c r="C30981" s="36"/>
      <c r="E30981" s="1"/>
      <c r="F30981" s="1"/>
      <c r="G30981" s="1"/>
    </row>
    <row r="30982">
      <c r="B30982" s="36"/>
      <c r="C30982" s="36"/>
      <c r="E30982" s="1"/>
      <c r="F30982" s="1"/>
      <c r="G30982" s="1"/>
    </row>
    <row r="30983">
      <c r="B30983" s="36"/>
      <c r="C30983" s="36"/>
      <c r="E30983" s="1"/>
      <c r="F30983" s="1"/>
      <c r="G30983" s="1"/>
    </row>
    <row r="30984">
      <c r="B30984" s="36"/>
      <c r="C30984" s="36"/>
      <c r="E30984" s="1"/>
      <c r="F30984" s="1"/>
      <c r="G30984" s="1"/>
    </row>
    <row r="30985">
      <c r="B30985" s="36"/>
      <c r="C30985" s="36"/>
      <c r="E30985" s="1"/>
      <c r="F30985" s="1"/>
      <c r="G30985" s="1"/>
    </row>
    <row r="30986">
      <c r="B30986" s="36"/>
      <c r="C30986" s="36"/>
      <c r="E30986" s="1"/>
      <c r="F30986" s="1"/>
      <c r="G30986" s="1"/>
    </row>
    <row r="30987">
      <c r="B30987" s="36"/>
      <c r="C30987" s="36"/>
      <c r="E30987" s="1"/>
      <c r="F30987" s="1"/>
      <c r="G30987" s="1"/>
    </row>
    <row r="30988">
      <c r="B30988" s="36"/>
      <c r="C30988" s="36"/>
      <c r="E30988" s="1"/>
      <c r="F30988" s="1"/>
      <c r="G30988" s="1"/>
    </row>
    <row r="30989">
      <c r="B30989" s="36"/>
      <c r="C30989" s="36"/>
      <c r="E30989" s="1"/>
      <c r="F30989" s="1"/>
      <c r="G30989" s="1"/>
    </row>
    <row r="30990">
      <c r="B30990" s="36"/>
      <c r="C30990" s="36"/>
      <c r="E30990" s="1"/>
      <c r="F30990" s="1"/>
      <c r="G30990" s="1"/>
    </row>
    <row r="30991">
      <c r="B30991" s="36"/>
      <c r="C30991" s="36"/>
      <c r="E30991" s="1"/>
      <c r="F30991" s="1"/>
      <c r="G30991" s="1"/>
    </row>
    <row r="30992">
      <c r="B30992" s="36"/>
      <c r="C30992" s="36"/>
      <c r="E30992" s="1"/>
      <c r="F30992" s="1"/>
      <c r="G30992" s="1"/>
    </row>
    <row r="30993">
      <c r="B30993" s="36"/>
      <c r="C30993" s="36"/>
      <c r="E30993" s="1"/>
      <c r="F30993" s="1"/>
      <c r="G30993" s="1"/>
    </row>
    <row r="30994">
      <c r="B30994" s="36"/>
      <c r="C30994" s="36"/>
      <c r="E30994" s="1"/>
      <c r="F30994" s="1"/>
      <c r="G30994" s="1"/>
    </row>
    <row r="30995">
      <c r="B30995" s="36"/>
      <c r="C30995" s="36"/>
      <c r="E30995" s="1"/>
      <c r="F30995" s="1"/>
      <c r="G30995" s="1"/>
    </row>
    <row r="30996">
      <c r="B30996" s="36"/>
      <c r="C30996" s="36"/>
      <c r="E30996" s="1"/>
      <c r="F30996" s="1"/>
      <c r="G30996" s="1"/>
    </row>
    <row r="30997">
      <c r="B30997" s="36"/>
      <c r="C30997" s="36"/>
      <c r="E30997" s="1"/>
      <c r="F30997" s="1"/>
      <c r="G30997" s="1"/>
    </row>
    <row r="30998">
      <c r="B30998" s="36"/>
      <c r="C30998" s="36"/>
      <c r="E30998" s="1"/>
      <c r="F30998" s="1"/>
      <c r="G30998" s="1"/>
    </row>
    <row r="30999">
      <c r="B30999" s="36"/>
      <c r="C30999" s="36"/>
      <c r="E30999" s="1"/>
      <c r="F30999" s="1"/>
      <c r="G30999" s="1"/>
    </row>
    <row r="31000">
      <c r="B31000" s="36"/>
      <c r="C31000" s="36"/>
      <c r="E31000" s="1"/>
      <c r="F31000" s="1"/>
      <c r="G31000" s="1"/>
    </row>
    <row r="31001">
      <c r="B31001" s="36"/>
      <c r="C31001" s="36"/>
      <c r="E31001" s="1"/>
      <c r="F31001" s="1"/>
      <c r="G31001" s="1"/>
    </row>
    <row r="31002">
      <c r="B31002" s="36"/>
      <c r="C31002" s="36"/>
      <c r="E31002" s="1"/>
      <c r="F31002" s="1"/>
      <c r="G31002" s="1"/>
    </row>
    <row r="31003">
      <c r="B31003" s="36"/>
      <c r="C31003" s="36"/>
      <c r="E31003" s="1"/>
      <c r="F31003" s="1"/>
      <c r="G31003" s="1"/>
    </row>
    <row r="31004">
      <c r="B31004" s="36"/>
      <c r="C31004" s="36"/>
      <c r="E31004" s="1"/>
      <c r="F31004" s="1"/>
      <c r="G31004" s="1"/>
    </row>
    <row r="31005">
      <c r="B31005" s="36"/>
      <c r="C31005" s="36"/>
      <c r="E31005" s="1"/>
      <c r="F31005" s="1"/>
      <c r="G31005" s="1"/>
    </row>
    <row r="31006">
      <c r="B31006" s="36"/>
      <c r="C31006" s="36"/>
      <c r="E31006" s="1"/>
      <c r="F31006" s="1"/>
      <c r="G31006" s="1"/>
    </row>
    <row r="31007">
      <c r="B31007" s="36"/>
      <c r="C31007" s="36"/>
      <c r="E31007" s="1"/>
      <c r="F31007" s="1"/>
      <c r="G31007" s="1"/>
    </row>
    <row r="31008">
      <c r="B31008" s="36"/>
      <c r="C31008" s="36"/>
      <c r="E31008" s="1"/>
      <c r="F31008" s="1"/>
      <c r="G31008" s="1"/>
    </row>
    <row r="31009">
      <c r="B31009" s="36"/>
      <c r="C31009" s="36"/>
      <c r="E31009" s="1"/>
      <c r="F31009" s="1"/>
      <c r="G31009" s="1"/>
    </row>
    <row r="31010">
      <c r="B31010" s="36"/>
      <c r="C31010" s="36"/>
      <c r="E31010" s="1"/>
      <c r="F31010" s="1"/>
      <c r="G31010" s="1"/>
    </row>
    <row r="31011">
      <c r="B31011" s="36"/>
      <c r="C31011" s="36"/>
      <c r="E31011" s="1"/>
      <c r="F31011" s="1"/>
      <c r="G31011" s="1"/>
    </row>
    <row r="31012">
      <c r="B31012" s="36"/>
      <c r="C31012" s="36"/>
      <c r="E31012" s="1"/>
      <c r="F31012" s="1"/>
      <c r="G31012" s="1"/>
    </row>
    <row r="31013">
      <c r="B31013" s="36"/>
      <c r="C31013" s="36"/>
      <c r="E31013" s="1"/>
      <c r="F31013" s="1"/>
      <c r="G31013" s="1"/>
    </row>
    <row r="31014">
      <c r="B31014" s="36"/>
      <c r="C31014" s="36"/>
      <c r="E31014" s="1"/>
      <c r="F31014" s="1"/>
      <c r="G31014" s="1"/>
    </row>
    <row r="31015">
      <c r="B31015" s="36"/>
      <c r="C31015" s="36"/>
      <c r="E31015" s="1"/>
      <c r="F31015" s="1"/>
      <c r="G31015" s="1"/>
    </row>
    <row r="31016">
      <c r="B31016" s="36"/>
      <c r="C31016" s="36"/>
      <c r="E31016" s="1"/>
      <c r="F31016" s="1"/>
      <c r="G31016" s="1"/>
    </row>
    <row r="31017">
      <c r="B31017" s="36"/>
      <c r="C31017" s="36"/>
      <c r="E31017" s="1"/>
      <c r="F31017" s="1"/>
      <c r="G31017" s="1"/>
    </row>
    <row r="31018">
      <c r="B31018" s="36"/>
      <c r="C31018" s="36"/>
      <c r="E31018" s="1"/>
      <c r="F31018" s="1"/>
      <c r="G31018" s="1"/>
    </row>
    <row r="31019">
      <c r="B31019" s="36"/>
      <c r="C31019" s="36"/>
      <c r="E31019" s="1"/>
      <c r="F31019" s="1"/>
      <c r="G31019" s="1"/>
    </row>
    <row r="31020">
      <c r="B31020" s="36"/>
      <c r="C31020" s="36"/>
      <c r="E31020" s="1"/>
      <c r="F31020" s="1"/>
      <c r="G31020" s="1"/>
    </row>
    <row r="31021">
      <c r="B31021" s="36"/>
      <c r="C31021" s="36"/>
      <c r="E31021" s="1"/>
      <c r="F31021" s="1"/>
      <c r="G31021" s="1"/>
    </row>
    <row r="31022">
      <c r="B31022" s="36"/>
      <c r="C31022" s="36"/>
      <c r="E31022" s="1"/>
      <c r="F31022" s="1"/>
      <c r="G31022" s="1"/>
    </row>
    <row r="31023">
      <c r="B31023" s="36"/>
      <c r="C31023" s="36"/>
      <c r="E31023" s="1"/>
      <c r="F31023" s="1"/>
      <c r="G31023" s="1"/>
    </row>
    <row r="31024">
      <c r="B31024" s="36"/>
      <c r="C31024" s="36"/>
      <c r="E31024" s="1"/>
      <c r="F31024" s="1"/>
      <c r="G31024" s="1"/>
    </row>
    <row r="31025">
      <c r="B31025" s="36"/>
      <c r="C31025" s="36"/>
      <c r="E31025" s="1"/>
      <c r="F31025" s="1"/>
      <c r="G31025" s="1"/>
    </row>
    <row r="31026">
      <c r="B31026" s="36"/>
      <c r="C31026" s="36"/>
      <c r="E31026" s="1"/>
      <c r="F31026" s="1"/>
      <c r="G31026" s="1"/>
    </row>
    <row r="31027">
      <c r="B31027" s="36"/>
      <c r="C31027" s="36"/>
      <c r="E31027" s="1"/>
      <c r="F31027" s="1"/>
      <c r="G31027" s="1"/>
    </row>
    <row r="31028">
      <c r="B31028" s="36"/>
      <c r="C31028" s="36"/>
      <c r="E31028" s="1"/>
      <c r="F31028" s="1"/>
      <c r="G31028" s="1"/>
    </row>
    <row r="31029">
      <c r="B31029" s="36"/>
      <c r="C31029" s="36"/>
      <c r="E31029" s="1"/>
      <c r="F31029" s="1"/>
      <c r="G31029" s="1"/>
    </row>
    <row r="31030">
      <c r="B31030" s="36"/>
      <c r="C31030" s="36"/>
      <c r="E31030" s="1"/>
      <c r="F31030" s="1"/>
      <c r="G31030" s="1"/>
    </row>
    <row r="31031">
      <c r="B31031" s="36"/>
      <c r="C31031" s="36"/>
      <c r="E31031" s="1"/>
      <c r="F31031" s="1"/>
      <c r="G31031" s="1"/>
    </row>
    <row r="31032">
      <c r="B31032" s="36"/>
      <c r="C31032" s="36"/>
      <c r="E31032" s="1"/>
      <c r="F31032" s="1"/>
      <c r="G31032" s="1"/>
    </row>
    <row r="31033">
      <c r="B31033" s="36"/>
      <c r="C31033" s="36"/>
      <c r="E31033" s="1"/>
      <c r="F31033" s="1"/>
      <c r="G31033" s="1"/>
    </row>
    <row r="31034">
      <c r="B31034" s="36"/>
      <c r="C31034" s="36"/>
      <c r="E31034" s="1"/>
      <c r="F31034" s="1"/>
      <c r="G31034" s="1"/>
    </row>
    <row r="31035">
      <c r="B31035" s="36"/>
      <c r="C31035" s="36"/>
      <c r="E31035" s="1"/>
      <c r="F31035" s="1"/>
      <c r="G31035" s="1"/>
    </row>
    <row r="31036">
      <c r="B31036" s="36"/>
      <c r="C31036" s="36"/>
      <c r="E31036" s="1"/>
      <c r="F31036" s="1"/>
      <c r="G31036" s="1"/>
    </row>
    <row r="31037">
      <c r="B31037" s="36"/>
      <c r="C31037" s="36"/>
      <c r="E31037" s="1"/>
      <c r="F31037" s="1"/>
      <c r="G31037" s="1"/>
    </row>
    <row r="31038">
      <c r="B31038" s="36"/>
      <c r="C31038" s="36"/>
      <c r="E31038" s="1"/>
      <c r="F31038" s="1"/>
      <c r="G31038" s="1"/>
    </row>
    <row r="31039">
      <c r="B31039" s="36"/>
      <c r="C31039" s="36"/>
      <c r="E31039" s="1"/>
      <c r="F31039" s="1"/>
      <c r="G31039" s="1"/>
    </row>
    <row r="31040">
      <c r="B31040" s="36"/>
      <c r="C31040" s="36"/>
      <c r="E31040" s="1"/>
      <c r="F31040" s="1"/>
      <c r="G31040" s="1"/>
    </row>
    <row r="31041">
      <c r="B31041" s="36"/>
      <c r="C31041" s="36"/>
      <c r="E31041" s="1"/>
      <c r="F31041" s="1"/>
      <c r="G31041" s="1"/>
    </row>
    <row r="31042">
      <c r="B31042" s="36"/>
      <c r="C31042" s="36"/>
      <c r="E31042" s="1"/>
      <c r="F31042" s="1"/>
      <c r="G31042" s="1"/>
    </row>
    <row r="31043">
      <c r="B31043" s="36"/>
      <c r="C31043" s="36"/>
      <c r="E31043" s="1"/>
      <c r="F31043" s="1"/>
      <c r="G31043" s="1"/>
    </row>
    <row r="31044">
      <c r="B31044" s="36"/>
      <c r="C31044" s="36"/>
      <c r="E31044" s="1"/>
      <c r="F31044" s="1"/>
      <c r="G31044" s="1"/>
    </row>
    <row r="31045">
      <c r="B31045" s="36"/>
      <c r="C31045" s="36"/>
      <c r="E31045" s="1"/>
      <c r="F31045" s="1"/>
      <c r="G31045" s="1"/>
    </row>
    <row r="31046">
      <c r="B31046" s="36"/>
      <c r="C31046" s="36"/>
      <c r="E31046" s="1"/>
      <c r="F31046" s="1"/>
      <c r="G31046" s="1"/>
    </row>
    <row r="31047">
      <c r="B31047" s="36"/>
      <c r="C31047" s="36"/>
      <c r="E31047" s="1"/>
      <c r="F31047" s="1"/>
      <c r="G31047" s="1"/>
    </row>
    <row r="31048">
      <c r="B31048" s="36"/>
      <c r="C31048" s="36"/>
      <c r="E31048" s="1"/>
      <c r="F31048" s="1"/>
      <c r="G31048" s="1"/>
    </row>
    <row r="31049">
      <c r="B31049" s="36"/>
      <c r="C31049" s="36"/>
      <c r="E31049" s="1"/>
      <c r="F31049" s="1"/>
      <c r="G31049" s="1"/>
    </row>
    <row r="31050">
      <c r="B31050" s="36"/>
      <c r="C31050" s="36"/>
      <c r="E31050" s="1"/>
      <c r="F31050" s="1"/>
      <c r="G31050" s="1"/>
    </row>
    <row r="31051">
      <c r="B31051" s="36"/>
      <c r="C31051" s="36"/>
      <c r="E31051" s="1"/>
      <c r="F31051" s="1"/>
      <c r="G31051" s="1"/>
    </row>
    <row r="31052">
      <c r="B31052" s="36"/>
      <c r="C31052" s="36"/>
      <c r="E31052" s="1"/>
      <c r="F31052" s="1"/>
      <c r="G31052" s="1"/>
    </row>
    <row r="31053">
      <c r="B31053" s="36"/>
      <c r="C31053" s="36"/>
      <c r="E31053" s="1"/>
      <c r="F31053" s="1"/>
      <c r="G31053" s="1"/>
    </row>
    <row r="31054">
      <c r="B31054" s="36"/>
      <c r="C31054" s="36"/>
      <c r="E31054" s="1"/>
      <c r="F31054" s="1"/>
      <c r="G31054" s="1"/>
    </row>
    <row r="31055">
      <c r="B31055" s="36"/>
      <c r="C31055" s="36"/>
      <c r="E31055" s="1"/>
      <c r="F31055" s="1"/>
      <c r="G31055" s="1"/>
    </row>
    <row r="31056">
      <c r="B31056" s="36"/>
      <c r="C31056" s="36"/>
      <c r="E31056" s="1"/>
      <c r="F31056" s="1"/>
      <c r="G31056" s="1"/>
    </row>
    <row r="31057">
      <c r="B31057" s="36"/>
      <c r="C31057" s="36"/>
      <c r="E31057" s="1"/>
      <c r="F31057" s="1"/>
      <c r="G31057" s="1"/>
    </row>
    <row r="31058">
      <c r="B31058" s="36"/>
      <c r="C31058" s="36"/>
      <c r="E31058" s="1"/>
      <c r="F31058" s="1"/>
      <c r="G31058" s="1"/>
    </row>
    <row r="31059">
      <c r="B31059" s="36"/>
      <c r="C31059" s="36"/>
      <c r="E31059" s="1"/>
      <c r="F31059" s="1"/>
      <c r="G31059" s="1"/>
    </row>
    <row r="31060">
      <c r="B31060" s="36"/>
      <c r="C31060" s="36"/>
      <c r="E31060" s="1"/>
      <c r="F31060" s="1"/>
      <c r="G31060" s="1"/>
    </row>
    <row r="31061">
      <c r="B31061" s="36"/>
      <c r="C31061" s="36"/>
      <c r="E31061" s="1"/>
      <c r="F31061" s="1"/>
      <c r="G31061" s="1"/>
    </row>
    <row r="31062">
      <c r="B31062" s="36"/>
      <c r="C31062" s="36"/>
      <c r="E31062" s="1"/>
      <c r="F31062" s="1"/>
      <c r="G31062" s="1"/>
    </row>
    <row r="31063">
      <c r="B31063" s="36"/>
      <c r="C31063" s="36"/>
      <c r="E31063" s="1"/>
      <c r="F31063" s="1"/>
      <c r="G31063" s="1"/>
    </row>
    <row r="31064">
      <c r="B31064" s="36"/>
      <c r="C31064" s="36"/>
      <c r="E31064" s="1"/>
      <c r="F31064" s="1"/>
      <c r="G31064" s="1"/>
    </row>
    <row r="31065">
      <c r="B31065" s="36"/>
      <c r="C31065" s="36"/>
      <c r="E31065" s="1"/>
      <c r="F31065" s="1"/>
      <c r="G31065" s="1"/>
    </row>
    <row r="31066">
      <c r="B31066" s="36"/>
      <c r="C31066" s="36"/>
      <c r="E31066" s="1"/>
      <c r="F31066" s="1"/>
      <c r="G31066" s="1"/>
    </row>
    <row r="31067">
      <c r="B31067" s="36"/>
      <c r="C31067" s="36"/>
      <c r="E31067" s="1"/>
      <c r="F31067" s="1"/>
      <c r="G31067" s="1"/>
    </row>
    <row r="31068">
      <c r="B31068" s="36"/>
      <c r="C31068" s="36"/>
      <c r="E31068" s="1"/>
      <c r="F31068" s="1"/>
      <c r="G31068" s="1"/>
    </row>
    <row r="31069">
      <c r="B31069" s="36"/>
      <c r="C31069" s="36"/>
      <c r="E31069" s="1"/>
      <c r="F31069" s="1"/>
      <c r="G31069" s="1"/>
    </row>
    <row r="31070">
      <c r="B31070" s="36"/>
      <c r="C31070" s="36"/>
      <c r="E31070" s="1"/>
      <c r="F31070" s="1"/>
      <c r="G31070" s="1"/>
    </row>
    <row r="31071">
      <c r="B31071" s="36"/>
      <c r="C31071" s="36"/>
      <c r="E31071" s="1"/>
      <c r="F31071" s="1"/>
      <c r="G31071" s="1"/>
    </row>
    <row r="31072">
      <c r="B31072" s="36"/>
      <c r="C31072" s="36"/>
      <c r="E31072" s="1"/>
      <c r="F31072" s="1"/>
      <c r="G31072" s="1"/>
    </row>
    <row r="31073">
      <c r="B31073" s="36"/>
      <c r="C31073" s="36"/>
      <c r="E31073" s="1"/>
      <c r="F31073" s="1"/>
      <c r="G31073" s="1"/>
    </row>
    <row r="31074">
      <c r="B31074" s="36"/>
      <c r="C31074" s="36"/>
      <c r="E31074" s="1"/>
      <c r="F31074" s="1"/>
      <c r="G31074" s="1"/>
    </row>
    <row r="31075">
      <c r="B31075" s="36"/>
      <c r="C31075" s="36"/>
      <c r="E31075" s="1"/>
      <c r="F31075" s="1"/>
      <c r="G31075" s="1"/>
    </row>
    <row r="31076">
      <c r="B31076" s="36"/>
      <c r="C31076" s="36"/>
      <c r="E31076" s="1"/>
      <c r="F31076" s="1"/>
      <c r="G31076" s="1"/>
    </row>
    <row r="31077">
      <c r="B31077" s="36"/>
      <c r="C31077" s="36"/>
      <c r="E31077" s="1"/>
      <c r="F31077" s="1"/>
      <c r="G31077" s="1"/>
    </row>
    <row r="31078">
      <c r="B31078" s="36"/>
      <c r="C31078" s="36"/>
      <c r="E31078" s="1"/>
      <c r="F31078" s="1"/>
      <c r="G31078" s="1"/>
    </row>
    <row r="31079">
      <c r="B31079" s="36"/>
      <c r="C31079" s="36"/>
      <c r="E31079" s="1"/>
      <c r="F31079" s="1"/>
      <c r="G31079" s="1"/>
    </row>
    <row r="31080">
      <c r="B31080" s="36"/>
      <c r="C31080" s="36"/>
      <c r="E31080" s="1"/>
      <c r="F31080" s="1"/>
      <c r="G31080" s="1"/>
    </row>
    <row r="31081">
      <c r="B31081" s="36"/>
      <c r="C31081" s="36"/>
      <c r="E31081" s="1"/>
      <c r="F31081" s="1"/>
      <c r="G31081" s="1"/>
    </row>
    <row r="31082">
      <c r="B31082" s="36"/>
      <c r="C31082" s="36"/>
      <c r="E31082" s="1"/>
      <c r="F31082" s="1"/>
      <c r="G31082" s="1"/>
    </row>
    <row r="31083">
      <c r="B31083" s="36"/>
      <c r="C31083" s="36"/>
      <c r="E31083" s="1"/>
      <c r="F31083" s="1"/>
      <c r="G31083" s="1"/>
    </row>
    <row r="31084">
      <c r="B31084" s="36"/>
      <c r="C31084" s="36"/>
      <c r="E31084" s="1"/>
      <c r="F31084" s="1"/>
      <c r="G31084" s="1"/>
    </row>
    <row r="31085">
      <c r="B31085" s="36"/>
      <c r="C31085" s="36"/>
      <c r="E31085" s="1"/>
      <c r="F31085" s="1"/>
      <c r="G31085" s="1"/>
    </row>
    <row r="31086">
      <c r="B31086" s="36"/>
      <c r="C31086" s="36"/>
      <c r="E31086" s="1"/>
      <c r="F31086" s="1"/>
      <c r="G31086" s="1"/>
    </row>
    <row r="31087">
      <c r="B31087" s="36"/>
      <c r="C31087" s="36"/>
      <c r="E31087" s="1"/>
      <c r="F31087" s="1"/>
      <c r="G31087" s="1"/>
    </row>
    <row r="31088">
      <c r="B31088" s="36"/>
      <c r="C31088" s="36"/>
      <c r="E31088" s="1"/>
      <c r="F31088" s="1"/>
      <c r="G31088" s="1"/>
    </row>
    <row r="31089">
      <c r="B31089" s="36"/>
      <c r="C31089" s="36"/>
      <c r="E31089" s="1"/>
      <c r="F31089" s="1"/>
      <c r="G31089" s="1"/>
    </row>
    <row r="31090">
      <c r="B31090" s="36"/>
      <c r="C31090" s="36"/>
      <c r="E31090" s="1"/>
      <c r="F31090" s="1"/>
      <c r="G31090" s="1"/>
    </row>
    <row r="31091">
      <c r="B31091" s="36"/>
      <c r="C31091" s="36"/>
      <c r="E31091" s="1"/>
      <c r="F31091" s="1"/>
      <c r="G31091" s="1"/>
    </row>
    <row r="31092">
      <c r="B31092" s="36"/>
      <c r="C31092" s="36"/>
      <c r="E31092" s="1"/>
      <c r="F31092" s="1"/>
      <c r="G31092" s="1"/>
    </row>
    <row r="31093">
      <c r="B31093" s="36"/>
      <c r="C31093" s="36"/>
      <c r="E31093" s="1"/>
      <c r="F31093" s="1"/>
      <c r="G31093" s="1"/>
    </row>
    <row r="31094">
      <c r="B31094" s="36"/>
      <c r="C31094" s="36"/>
      <c r="E31094" s="1"/>
      <c r="F31094" s="1"/>
      <c r="G31094" s="1"/>
    </row>
    <row r="31095">
      <c r="B31095" s="36"/>
      <c r="C31095" s="36"/>
      <c r="E31095" s="1"/>
      <c r="F31095" s="1"/>
      <c r="G31095" s="1"/>
    </row>
    <row r="31096">
      <c r="B31096" s="36"/>
      <c r="C31096" s="36"/>
      <c r="E31096" s="1"/>
      <c r="F31096" s="1"/>
      <c r="G31096" s="1"/>
    </row>
    <row r="31097">
      <c r="B31097" s="36"/>
      <c r="C31097" s="36"/>
      <c r="E31097" s="1"/>
      <c r="F31097" s="1"/>
      <c r="G31097" s="1"/>
    </row>
    <row r="31098">
      <c r="B31098" s="36"/>
      <c r="C31098" s="36"/>
      <c r="E31098" s="1"/>
      <c r="F31098" s="1"/>
      <c r="G31098" s="1"/>
    </row>
    <row r="31099">
      <c r="B31099" s="36"/>
      <c r="C31099" s="36"/>
      <c r="E31099" s="1"/>
      <c r="F31099" s="1"/>
      <c r="G31099" s="1"/>
    </row>
    <row r="31100">
      <c r="B31100" s="36"/>
      <c r="C31100" s="36"/>
      <c r="E31100" s="1"/>
      <c r="F31100" s="1"/>
      <c r="G31100" s="1"/>
    </row>
    <row r="31101">
      <c r="B31101" s="36"/>
      <c r="C31101" s="36"/>
      <c r="E31101" s="1"/>
      <c r="F31101" s="1"/>
      <c r="G31101" s="1"/>
    </row>
    <row r="31102">
      <c r="B31102" s="36"/>
      <c r="C31102" s="36"/>
      <c r="E31102" s="1"/>
      <c r="F31102" s="1"/>
      <c r="G31102" s="1"/>
    </row>
    <row r="31103">
      <c r="B31103" s="36"/>
      <c r="C31103" s="36"/>
      <c r="E31103" s="1"/>
      <c r="F31103" s="1"/>
      <c r="G31103" s="1"/>
    </row>
    <row r="31104">
      <c r="B31104" s="36"/>
      <c r="C31104" s="36"/>
      <c r="E31104" s="1"/>
      <c r="F31104" s="1"/>
      <c r="G31104" s="1"/>
    </row>
    <row r="31105">
      <c r="B31105" s="36"/>
      <c r="C31105" s="36"/>
      <c r="E31105" s="1"/>
      <c r="F31105" s="1"/>
      <c r="G31105" s="1"/>
    </row>
    <row r="31106">
      <c r="B31106" s="36"/>
      <c r="C31106" s="36"/>
      <c r="E31106" s="1"/>
      <c r="F31106" s="1"/>
      <c r="G31106" s="1"/>
    </row>
    <row r="31107">
      <c r="B31107" s="36"/>
      <c r="C31107" s="36"/>
      <c r="E31107" s="1"/>
      <c r="F31107" s="1"/>
      <c r="G31107" s="1"/>
    </row>
    <row r="31108">
      <c r="B31108" s="36"/>
      <c r="C31108" s="36"/>
      <c r="E31108" s="1"/>
      <c r="F31108" s="1"/>
      <c r="G31108" s="1"/>
    </row>
    <row r="31109">
      <c r="B31109" s="36"/>
      <c r="C31109" s="36"/>
      <c r="E31109" s="1"/>
      <c r="F31109" s="1"/>
      <c r="G31109" s="1"/>
    </row>
    <row r="31110">
      <c r="B31110" s="36"/>
      <c r="C31110" s="36"/>
      <c r="E31110" s="1"/>
      <c r="F31110" s="1"/>
      <c r="G31110" s="1"/>
    </row>
    <row r="31111">
      <c r="B31111" s="36"/>
      <c r="C31111" s="36"/>
      <c r="E31111" s="1"/>
      <c r="F31111" s="1"/>
      <c r="G31111" s="1"/>
    </row>
    <row r="31112">
      <c r="B31112" s="36"/>
      <c r="C31112" s="36"/>
      <c r="E31112" s="1"/>
      <c r="F31112" s="1"/>
      <c r="G31112" s="1"/>
    </row>
    <row r="31113">
      <c r="B31113" s="36"/>
      <c r="C31113" s="36"/>
      <c r="E31113" s="1"/>
      <c r="F31113" s="1"/>
      <c r="G31113" s="1"/>
    </row>
    <row r="31114">
      <c r="B31114" s="36"/>
      <c r="C31114" s="36"/>
      <c r="E31114" s="1"/>
      <c r="F31114" s="1"/>
      <c r="G31114" s="1"/>
    </row>
    <row r="31115">
      <c r="B31115" s="36"/>
      <c r="C31115" s="36"/>
      <c r="E31115" s="1"/>
      <c r="F31115" s="1"/>
      <c r="G31115" s="1"/>
    </row>
    <row r="31116">
      <c r="B31116" s="36"/>
      <c r="C31116" s="36"/>
      <c r="E31116" s="1"/>
      <c r="F31116" s="1"/>
      <c r="G31116" s="1"/>
    </row>
    <row r="31117">
      <c r="B31117" s="36"/>
      <c r="C31117" s="36"/>
      <c r="E31117" s="1"/>
      <c r="F31117" s="1"/>
      <c r="G31117" s="1"/>
    </row>
    <row r="31118">
      <c r="B31118" s="36"/>
      <c r="C31118" s="36"/>
      <c r="E31118" s="1"/>
      <c r="F31118" s="1"/>
      <c r="G31118" s="1"/>
    </row>
    <row r="31119">
      <c r="B31119" s="36"/>
      <c r="C31119" s="36"/>
      <c r="E31119" s="1"/>
      <c r="F31119" s="1"/>
      <c r="G31119" s="1"/>
    </row>
    <row r="31120">
      <c r="B31120" s="36"/>
      <c r="C31120" s="36"/>
      <c r="E31120" s="1"/>
      <c r="F31120" s="1"/>
      <c r="G31120" s="1"/>
    </row>
    <row r="31121">
      <c r="B31121" s="36"/>
      <c r="C31121" s="36"/>
      <c r="E31121" s="1"/>
      <c r="F31121" s="1"/>
      <c r="G31121" s="1"/>
    </row>
    <row r="31122">
      <c r="B31122" s="36"/>
      <c r="C31122" s="36"/>
      <c r="E31122" s="1"/>
      <c r="F31122" s="1"/>
      <c r="G31122" s="1"/>
    </row>
    <row r="31123">
      <c r="B31123" s="36"/>
      <c r="C31123" s="36"/>
      <c r="E31123" s="1"/>
      <c r="F31123" s="1"/>
      <c r="G31123" s="1"/>
    </row>
    <row r="31124">
      <c r="B31124" s="36"/>
      <c r="C31124" s="36"/>
      <c r="E31124" s="1"/>
      <c r="F31124" s="1"/>
      <c r="G31124" s="1"/>
    </row>
    <row r="31125">
      <c r="B31125" s="36"/>
      <c r="C31125" s="36"/>
      <c r="E31125" s="1"/>
      <c r="F31125" s="1"/>
      <c r="G31125" s="1"/>
    </row>
    <row r="31126">
      <c r="B31126" s="36"/>
      <c r="C31126" s="36"/>
      <c r="E31126" s="1"/>
      <c r="F31126" s="1"/>
      <c r="G31126" s="1"/>
    </row>
    <row r="31127">
      <c r="B31127" s="36"/>
      <c r="C31127" s="36"/>
      <c r="E31127" s="1"/>
      <c r="F31127" s="1"/>
      <c r="G31127" s="1"/>
    </row>
    <row r="31128">
      <c r="B31128" s="36"/>
      <c r="C31128" s="36"/>
      <c r="E31128" s="1"/>
      <c r="F31128" s="1"/>
      <c r="G31128" s="1"/>
    </row>
    <row r="31129">
      <c r="B31129" s="36"/>
      <c r="C31129" s="36"/>
      <c r="E31129" s="1"/>
      <c r="F31129" s="1"/>
      <c r="G31129" s="1"/>
    </row>
    <row r="31130">
      <c r="B31130" s="36"/>
      <c r="C31130" s="36"/>
      <c r="E31130" s="1"/>
      <c r="F31130" s="1"/>
      <c r="G31130" s="1"/>
    </row>
    <row r="31131">
      <c r="B31131" s="36"/>
      <c r="C31131" s="36"/>
      <c r="E31131" s="1"/>
      <c r="F31131" s="1"/>
      <c r="G31131" s="1"/>
    </row>
    <row r="31132">
      <c r="B31132" s="36"/>
      <c r="C31132" s="36"/>
      <c r="E31132" s="1"/>
      <c r="F31132" s="1"/>
      <c r="G31132" s="1"/>
    </row>
    <row r="31133">
      <c r="B31133" s="36"/>
      <c r="C31133" s="36"/>
      <c r="E31133" s="1"/>
      <c r="F31133" s="1"/>
      <c r="G31133" s="1"/>
    </row>
    <row r="31134">
      <c r="B31134" s="36"/>
      <c r="C31134" s="36"/>
      <c r="E31134" s="1"/>
      <c r="F31134" s="1"/>
      <c r="G31134" s="1"/>
    </row>
    <row r="31135">
      <c r="B31135" s="36"/>
      <c r="C31135" s="36"/>
      <c r="E31135" s="1"/>
      <c r="F31135" s="1"/>
      <c r="G31135" s="1"/>
    </row>
    <row r="31136">
      <c r="B31136" s="36"/>
      <c r="C31136" s="36"/>
      <c r="E31136" s="1"/>
      <c r="F31136" s="1"/>
      <c r="G31136" s="1"/>
    </row>
    <row r="31137">
      <c r="B31137" s="36"/>
      <c r="C31137" s="36"/>
      <c r="E31137" s="1"/>
      <c r="F31137" s="1"/>
      <c r="G31137" s="1"/>
    </row>
    <row r="31138">
      <c r="B31138" s="36"/>
      <c r="C31138" s="36"/>
      <c r="E31138" s="1"/>
      <c r="F31138" s="1"/>
      <c r="G31138" s="1"/>
    </row>
    <row r="31139">
      <c r="B31139" s="36"/>
      <c r="C31139" s="36"/>
      <c r="E31139" s="1"/>
      <c r="F31139" s="1"/>
      <c r="G31139" s="1"/>
    </row>
    <row r="31140">
      <c r="B31140" s="36"/>
      <c r="C31140" s="36"/>
      <c r="E31140" s="1"/>
      <c r="F31140" s="1"/>
      <c r="G31140" s="1"/>
    </row>
    <row r="31141">
      <c r="B31141" s="36"/>
      <c r="C31141" s="36"/>
      <c r="E31141" s="1"/>
      <c r="F31141" s="1"/>
      <c r="G31141" s="1"/>
    </row>
    <row r="31142">
      <c r="B31142" s="36"/>
      <c r="C31142" s="36"/>
      <c r="E31142" s="1"/>
      <c r="F31142" s="1"/>
      <c r="G31142" s="1"/>
    </row>
    <row r="31143">
      <c r="B31143" s="36"/>
      <c r="C31143" s="36"/>
      <c r="E31143" s="1"/>
      <c r="F31143" s="1"/>
      <c r="G31143" s="1"/>
    </row>
    <row r="31144">
      <c r="B31144" s="36"/>
      <c r="C31144" s="36"/>
      <c r="E31144" s="1"/>
      <c r="F31144" s="1"/>
      <c r="G31144" s="1"/>
    </row>
    <row r="31145">
      <c r="B31145" s="36"/>
      <c r="C31145" s="36"/>
      <c r="E31145" s="1"/>
      <c r="F31145" s="1"/>
      <c r="G31145" s="1"/>
    </row>
    <row r="31146">
      <c r="B31146" s="36"/>
      <c r="C31146" s="36"/>
      <c r="E31146" s="1"/>
      <c r="F31146" s="1"/>
      <c r="G31146" s="1"/>
    </row>
    <row r="31147">
      <c r="B31147" s="36"/>
      <c r="C31147" s="36"/>
      <c r="E31147" s="1"/>
      <c r="F31147" s="1"/>
      <c r="G31147" s="1"/>
    </row>
    <row r="31148">
      <c r="B31148" s="36"/>
      <c r="C31148" s="36"/>
      <c r="E31148" s="1"/>
      <c r="F31148" s="1"/>
      <c r="G31148" s="1"/>
    </row>
    <row r="31149">
      <c r="B31149" s="36"/>
      <c r="C31149" s="36"/>
      <c r="E31149" s="1"/>
      <c r="F31149" s="1"/>
      <c r="G31149" s="1"/>
    </row>
    <row r="31150">
      <c r="B31150" s="36"/>
      <c r="C31150" s="36"/>
      <c r="E31150" s="1"/>
      <c r="F31150" s="1"/>
      <c r="G31150" s="1"/>
    </row>
    <row r="31151">
      <c r="B31151" s="36"/>
      <c r="C31151" s="36"/>
      <c r="E31151" s="1"/>
      <c r="F31151" s="1"/>
      <c r="G31151" s="1"/>
    </row>
    <row r="31152">
      <c r="B31152" s="36"/>
      <c r="C31152" s="36"/>
      <c r="E31152" s="1"/>
      <c r="F31152" s="1"/>
      <c r="G31152" s="1"/>
    </row>
    <row r="31153">
      <c r="B31153" s="36"/>
      <c r="C31153" s="36"/>
      <c r="E31153" s="1"/>
      <c r="F31153" s="1"/>
      <c r="G31153" s="1"/>
    </row>
    <row r="31154">
      <c r="B31154" s="36"/>
      <c r="C31154" s="36"/>
      <c r="E31154" s="1"/>
      <c r="F31154" s="1"/>
      <c r="G31154" s="1"/>
    </row>
    <row r="31155">
      <c r="B31155" s="36"/>
      <c r="C31155" s="36"/>
      <c r="E31155" s="1"/>
      <c r="F31155" s="1"/>
      <c r="G31155" s="1"/>
    </row>
    <row r="31156">
      <c r="B31156" s="36"/>
      <c r="C31156" s="36"/>
      <c r="E31156" s="1"/>
      <c r="F31156" s="1"/>
      <c r="G31156" s="1"/>
    </row>
    <row r="31157">
      <c r="B31157" s="36"/>
      <c r="C31157" s="36"/>
      <c r="E31157" s="1"/>
      <c r="F31157" s="1"/>
      <c r="G31157" s="1"/>
    </row>
    <row r="31158">
      <c r="B31158" s="36"/>
      <c r="C31158" s="36"/>
      <c r="E31158" s="1"/>
      <c r="F31158" s="1"/>
      <c r="G31158" s="1"/>
    </row>
    <row r="31159">
      <c r="B31159" s="36"/>
      <c r="C31159" s="36"/>
      <c r="E31159" s="1"/>
      <c r="F31159" s="1"/>
      <c r="G31159" s="1"/>
    </row>
    <row r="31160">
      <c r="B31160" s="36"/>
      <c r="C31160" s="36"/>
      <c r="E31160" s="1"/>
      <c r="F31160" s="1"/>
      <c r="G31160" s="1"/>
    </row>
    <row r="31161">
      <c r="B31161" s="36"/>
      <c r="C31161" s="36"/>
      <c r="E31161" s="1"/>
      <c r="F31161" s="1"/>
      <c r="G31161" s="1"/>
    </row>
    <row r="31162">
      <c r="B31162" s="36"/>
      <c r="C31162" s="36"/>
      <c r="E31162" s="1"/>
      <c r="F31162" s="1"/>
      <c r="G31162" s="1"/>
    </row>
    <row r="31163">
      <c r="B31163" s="36"/>
      <c r="C31163" s="36"/>
      <c r="E31163" s="1"/>
      <c r="F31163" s="1"/>
      <c r="G31163" s="1"/>
    </row>
    <row r="31164">
      <c r="B31164" s="36"/>
      <c r="C31164" s="36"/>
      <c r="E31164" s="1"/>
      <c r="F31164" s="1"/>
      <c r="G31164" s="1"/>
    </row>
    <row r="31165">
      <c r="B31165" s="36"/>
      <c r="C31165" s="36"/>
      <c r="E31165" s="1"/>
      <c r="F31165" s="1"/>
      <c r="G31165" s="1"/>
    </row>
    <row r="31166">
      <c r="B31166" s="36"/>
      <c r="C31166" s="36"/>
      <c r="E31166" s="1"/>
      <c r="F31166" s="1"/>
      <c r="G31166" s="1"/>
    </row>
    <row r="31167">
      <c r="B31167" s="36"/>
      <c r="C31167" s="36"/>
      <c r="E31167" s="1"/>
      <c r="F31167" s="1"/>
      <c r="G31167" s="1"/>
    </row>
    <row r="31168">
      <c r="B31168" s="36"/>
      <c r="C31168" s="36"/>
      <c r="E31168" s="1"/>
      <c r="F31168" s="1"/>
      <c r="G31168" s="1"/>
    </row>
    <row r="31169">
      <c r="B31169" s="36"/>
      <c r="C31169" s="36"/>
      <c r="E31169" s="1"/>
      <c r="F31169" s="1"/>
      <c r="G31169" s="1"/>
    </row>
    <row r="31170">
      <c r="B31170" s="36"/>
      <c r="C31170" s="36"/>
      <c r="E31170" s="1"/>
      <c r="F31170" s="1"/>
      <c r="G31170" s="1"/>
    </row>
    <row r="31171">
      <c r="B31171" s="36"/>
      <c r="C31171" s="36"/>
      <c r="E31171" s="1"/>
      <c r="F31171" s="1"/>
      <c r="G31171" s="1"/>
    </row>
    <row r="31172">
      <c r="B31172" s="36"/>
      <c r="C31172" s="36"/>
      <c r="E31172" s="1"/>
      <c r="F31172" s="1"/>
      <c r="G31172" s="1"/>
    </row>
    <row r="31173">
      <c r="B31173" s="36"/>
      <c r="C31173" s="36"/>
      <c r="E31173" s="1"/>
      <c r="F31173" s="1"/>
      <c r="G31173" s="1"/>
    </row>
    <row r="31174">
      <c r="B31174" s="36"/>
      <c r="C31174" s="36"/>
      <c r="E31174" s="1"/>
      <c r="F31174" s="1"/>
      <c r="G31174" s="1"/>
    </row>
    <row r="31175">
      <c r="B31175" s="36"/>
      <c r="C31175" s="36"/>
      <c r="E31175" s="1"/>
      <c r="F31175" s="1"/>
      <c r="G31175" s="1"/>
    </row>
    <row r="31176">
      <c r="B31176" s="36"/>
      <c r="C31176" s="36"/>
      <c r="E31176" s="1"/>
      <c r="F31176" s="1"/>
      <c r="G31176" s="1"/>
    </row>
    <row r="31177">
      <c r="B31177" s="36"/>
      <c r="C31177" s="36"/>
      <c r="E31177" s="1"/>
      <c r="F31177" s="1"/>
      <c r="G31177" s="1"/>
    </row>
    <row r="31178">
      <c r="B31178" s="36"/>
      <c r="C31178" s="36"/>
      <c r="E31178" s="1"/>
      <c r="F31178" s="1"/>
      <c r="G31178" s="1"/>
    </row>
    <row r="31179">
      <c r="B31179" s="36"/>
      <c r="C31179" s="36"/>
      <c r="E31179" s="1"/>
      <c r="F31179" s="1"/>
      <c r="G31179" s="1"/>
    </row>
    <row r="31180">
      <c r="B31180" s="36"/>
      <c r="C31180" s="36"/>
      <c r="E31180" s="1"/>
      <c r="F31180" s="1"/>
      <c r="G31180" s="1"/>
    </row>
    <row r="31181">
      <c r="B31181" s="36"/>
      <c r="C31181" s="36"/>
      <c r="E31181" s="1"/>
      <c r="F31181" s="1"/>
      <c r="G31181" s="1"/>
    </row>
    <row r="31182">
      <c r="B31182" s="36"/>
      <c r="C31182" s="36"/>
      <c r="E31182" s="1"/>
      <c r="F31182" s="1"/>
      <c r="G31182" s="1"/>
    </row>
    <row r="31183">
      <c r="B31183" s="36"/>
      <c r="C31183" s="36"/>
      <c r="E31183" s="1"/>
      <c r="F31183" s="1"/>
      <c r="G31183" s="1"/>
    </row>
    <row r="31184">
      <c r="B31184" s="36"/>
      <c r="C31184" s="36"/>
      <c r="E31184" s="1"/>
      <c r="F31184" s="1"/>
      <c r="G31184" s="1"/>
    </row>
    <row r="31185">
      <c r="B31185" s="36"/>
      <c r="C31185" s="36"/>
      <c r="E31185" s="1"/>
      <c r="F31185" s="1"/>
      <c r="G31185" s="1"/>
    </row>
    <row r="31186">
      <c r="B31186" s="36"/>
      <c r="C31186" s="36"/>
      <c r="E31186" s="1"/>
      <c r="F31186" s="1"/>
      <c r="G31186" s="1"/>
    </row>
    <row r="31187">
      <c r="B31187" s="36"/>
      <c r="C31187" s="36"/>
      <c r="E31187" s="1"/>
      <c r="F31187" s="1"/>
      <c r="G31187" s="1"/>
    </row>
    <row r="31188">
      <c r="B31188" s="36"/>
      <c r="C31188" s="36"/>
      <c r="E31188" s="1"/>
      <c r="F31188" s="1"/>
      <c r="G31188" s="1"/>
    </row>
    <row r="31189">
      <c r="B31189" s="36"/>
      <c r="C31189" s="36"/>
      <c r="E31189" s="1"/>
      <c r="F31189" s="1"/>
      <c r="G31189" s="1"/>
    </row>
    <row r="31190">
      <c r="B31190" s="36"/>
      <c r="C31190" s="36"/>
      <c r="E31190" s="1"/>
      <c r="F31190" s="1"/>
      <c r="G31190" s="1"/>
    </row>
    <row r="31191">
      <c r="B31191" s="36"/>
      <c r="C31191" s="36"/>
      <c r="E31191" s="1"/>
      <c r="F31191" s="1"/>
      <c r="G31191" s="1"/>
    </row>
    <row r="31192">
      <c r="B31192" s="36"/>
      <c r="C31192" s="36"/>
      <c r="E31192" s="1"/>
      <c r="F31192" s="1"/>
      <c r="G31192" s="1"/>
    </row>
    <row r="31193">
      <c r="B31193" s="36"/>
      <c r="C31193" s="36"/>
      <c r="E31193" s="1"/>
      <c r="F31193" s="1"/>
      <c r="G31193" s="1"/>
    </row>
    <row r="31194">
      <c r="B31194" s="36"/>
      <c r="C31194" s="36"/>
      <c r="E31194" s="1"/>
      <c r="F31194" s="1"/>
      <c r="G31194" s="1"/>
    </row>
    <row r="31195">
      <c r="B31195" s="36"/>
      <c r="C31195" s="36"/>
      <c r="E31195" s="1"/>
      <c r="F31195" s="1"/>
      <c r="G31195" s="1"/>
    </row>
    <row r="31196">
      <c r="B31196" s="36"/>
      <c r="C31196" s="36"/>
      <c r="E31196" s="1"/>
      <c r="F31196" s="1"/>
      <c r="G31196" s="1"/>
    </row>
    <row r="31197">
      <c r="B31197" s="36"/>
      <c r="C31197" s="36"/>
      <c r="E31197" s="1"/>
      <c r="F31197" s="1"/>
      <c r="G31197" s="1"/>
    </row>
    <row r="31198">
      <c r="B31198" s="36"/>
      <c r="C31198" s="36"/>
      <c r="E31198" s="1"/>
      <c r="F31198" s="1"/>
      <c r="G31198" s="1"/>
    </row>
    <row r="31199">
      <c r="B31199" s="36"/>
      <c r="C31199" s="36"/>
      <c r="E31199" s="1"/>
      <c r="F31199" s="1"/>
      <c r="G31199" s="1"/>
    </row>
    <row r="31200">
      <c r="B31200" s="36"/>
      <c r="C31200" s="36"/>
      <c r="E31200" s="1"/>
      <c r="F31200" s="1"/>
      <c r="G31200" s="1"/>
    </row>
    <row r="31201">
      <c r="B31201" s="36"/>
      <c r="C31201" s="36"/>
      <c r="E31201" s="1"/>
      <c r="F31201" s="1"/>
      <c r="G31201" s="1"/>
    </row>
    <row r="31202">
      <c r="B31202" s="36"/>
      <c r="C31202" s="36"/>
      <c r="E31202" s="1"/>
      <c r="F31202" s="1"/>
      <c r="G31202" s="1"/>
    </row>
    <row r="31203">
      <c r="B31203" s="36"/>
      <c r="C31203" s="36"/>
      <c r="E31203" s="1"/>
      <c r="F31203" s="1"/>
      <c r="G31203" s="1"/>
    </row>
    <row r="31204">
      <c r="B31204" s="36"/>
      <c r="C31204" s="36"/>
      <c r="E31204" s="1"/>
      <c r="F31204" s="1"/>
      <c r="G31204" s="1"/>
    </row>
    <row r="31205">
      <c r="B31205" s="36"/>
      <c r="C31205" s="36"/>
      <c r="E31205" s="1"/>
      <c r="F31205" s="1"/>
      <c r="G31205" s="1"/>
    </row>
    <row r="31206">
      <c r="B31206" s="36"/>
      <c r="C31206" s="36"/>
      <c r="E31206" s="1"/>
      <c r="F31206" s="1"/>
      <c r="G31206" s="1"/>
    </row>
    <row r="31207">
      <c r="B31207" s="36"/>
      <c r="C31207" s="36"/>
      <c r="E31207" s="1"/>
      <c r="F31207" s="1"/>
      <c r="G31207" s="1"/>
    </row>
    <row r="31208">
      <c r="B31208" s="36"/>
      <c r="C31208" s="36"/>
      <c r="E31208" s="1"/>
      <c r="F31208" s="1"/>
      <c r="G31208" s="1"/>
    </row>
    <row r="31209">
      <c r="B31209" s="36"/>
      <c r="C31209" s="36"/>
      <c r="E31209" s="1"/>
      <c r="F31209" s="1"/>
      <c r="G31209" s="1"/>
    </row>
    <row r="31210">
      <c r="B31210" s="36"/>
      <c r="C31210" s="36"/>
      <c r="E31210" s="1"/>
      <c r="F31210" s="1"/>
      <c r="G31210" s="1"/>
    </row>
    <row r="31211">
      <c r="B31211" s="36"/>
      <c r="C31211" s="36"/>
      <c r="E31211" s="1"/>
      <c r="F31211" s="1"/>
      <c r="G31211" s="1"/>
    </row>
    <row r="31212">
      <c r="B31212" s="36"/>
      <c r="C31212" s="36"/>
      <c r="E31212" s="1"/>
      <c r="F31212" s="1"/>
      <c r="G31212" s="1"/>
    </row>
    <row r="31213">
      <c r="B31213" s="36"/>
      <c r="C31213" s="36"/>
      <c r="E31213" s="1"/>
      <c r="F31213" s="1"/>
      <c r="G31213" s="1"/>
    </row>
    <row r="31214">
      <c r="B31214" s="36"/>
      <c r="C31214" s="36"/>
      <c r="E31214" s="1"/>
      <c r="F31214" s="1"/>
      <c r="G31214" s="1"/>
    </row>
    <row r="31215">
      <c r="B31215" s="36"/>
      <c r="C31215" s="36"/>
      <c r="E31215" s="1"/>
      <c r="F31215" s="1"/>
      <c r="G31215" s="1"/>
    </row>
    <row r="31216">
      <c r="B31216" s="36"/>
      <c r="C31216" s="36"/>
      <c r="E31216" s="1"/>
      <c r="F31216" s="1"/>
      <c r="G31216" s="1"/>
    </row>
    <row r="31217">
      <c r="B31217" s="36"/>
      <c r="C31217" s="36"/>
      <c r="E31217" s="1"/>
      <c r="F31217" s="1"/>
      <c r="G31217" s="1"/>
    </row>
    <row r="31218">
      <c r="B31218" s="36"/>
      <c r="C31218" s="36"/>
      <c r="E31218" s="1"/>
      <c r="F31218" s="1"/>
      <c r="G31218" s="1"/>
    </row>
    <row r="31219">
      <c r="B31219" s="36"/>
      <c r="C31219" s="36"/>
      <c r="E31219" s="1"/>
      <c r="F31219" s="1"/>
      <c r="G31219" s="1"/>
    </row>
    <row r="31220">
      <c r="B31220" s="36"/>
      <c r="C31220" s="36"/>
      <c r="E31220" s="1"/>
      <c r="F31220" s="1"/>
      <c r="G31220" s="1"/>
    </row>
    <row r="31221">
      <c r="B31221" s="36"/>
      <c r="C31221" s="36"/>
      <c r="E31221" s="1"/>
      <c r="F31221" s="1"/>
      <c r="G31221" s="1"/>
    </row>
    <row r="31222">
      <c r="B31222" s="36"/>
      <c r="C31222" s="36"/>
      <c r="E31222" s="1"/>
      <c r="F31222" s="1"/>
      <c r="G31222" s="1"/>
    </row>
    <row r="31223">
      <c r="B31223" s="36"/>
      <c r="C31223" s="36"/>
      <c r="E31223" s="1"/>
      <c r="F31223" s="1"/>
      <c r="G31223" s="1"/>
    </row>
    <row r="31224">
      <c r="B31224" s="36"/>
      <c r="C31224" s="36"/>
      <c r="E31224" s="1"/>
      <c r="F31224" s="1"/>
      <c r="G31224" s="1"/>
    </row>
    <row r="31225">
      <c r="B31225" s="36"/>
      <c r="C31225" s="36"/>
      <c r="E31225" s="1"/>
      <c r="F31225" s="1"/>
      <c r="G31225" s="1"/>
    </row>
    <row r="31226">
      <c r="B31226" s="36"/>
      <c r="C31226" s="36"/>
      <c r="E31226" s="1"/>
      <c r="F31226" s="1"/>
      <c r="G31226" s="1"/>
    </row>
    <row r="31227">
      <c r="B31227" s="36"/>
      <c r="C31227" s="36"/>
      <c r="E31227" s="1"/>
      <c r="F31227" s="1"/>
      <c r="G31227" s="1"/>
    </row>
    <row r="31228">
      <c r="B31228" s="36"/>
      <c r="C31228" s="36"/>
      <c r="E31228" s="1"/>
      <c r="F31228" s="1"/>
      <c r="G31228" s="1"/>
    </row>
    <row r="31229">
      <c r="B31229" s="36"/>
      <c r="C31229" s="36"/>
      <c r="E31229" s="1"/>
      <c r="F31229" s="1"/>
      <c r="G31229" s="1"/>
    </row>
    <row r="31230">
      <c r="B31230" s="36"/>
      <c r="C31230" s="36"/>
      <c r="E31230" s="1"/>
      <c r="F31230" s="1"/>
      <c r="G31230" s="1"/>
    </row>
    <row r="31231">
      <c r="B31231" s="36"/>
      <c r="C31231" s="36"/>
      <c r="E31231" s="1"/>
      <c r="F31231" s="1"/>
      <c r="G31231" s="1"/>
    </row>
    <row r="31232">
      <c r="B31232" s="36"/>
      <c r="C31232" s="36"/>
      <c r="E31232" s="1"/>
      <c r="F31232" s="1"/>
      <c r="G31232" s="1"/>
    </row>
    <row r="31233">
      <c r="B31233" s="36"/>
      <c r="C31233" s="36"/>
      <c r="E31233" s="1"/>
      <c r="F31233" s="1"/>
      <c r="G31233" s="1"/>
    </row>
    <row r="31234">
      <c r="B31234" s="36"/>
      <c r="C31234" s="36"/>
      <c r="E31234" s="1"/>
      <c r="F31234" s="1"/>
      <c r="G31234" s="1"/>
    </row>
    <row r="31235">
      <c r="B31235" s="36"/>
      <c r="C31235" s="36"/>
      <c r="E31235" s="1"/>
      <c r="F31235" s="1"/>
      <c r="G31235" s="1"/>
    </row>
    <row r="31236">
      <c r="B31236" s="36"/>
      <c r="C31236" s="36"/>
      <c r="E31236" s="1"/>
      <c r="F31236" s="1"/>
      <c r="G31236" s="1"/>
    </row>
    <row r="31237">
      <c r="B31237" s="36"/>
      <c r="C31237" s="36"/>
      <c r="E31237" s="1"/>
      <c r="F31237" s="1"/>
      <c r="G31237" s="1"/>
    </row>
    <row r="31238">
      <c r="B31238" s="36"/>
      <c r="C31238" s="36"/>
      <c r="E31238" s="1"/>
      <c r="F31238" s="1"/>
      <c r="G31238" s="1"/>
    </row>
    <row r="31239">
      <c r="B31239" s="36"/>
      <c r="C31239" s="36"/>
      <c r="E31239" s="1"/>
      <c r="F31239" s="1"/>
      <c r="G31239" s="1"/>
    </row>
    <row r="31240">
      <c r="B31240" s="36"/>
      <c r="C31240" s="36"/>
      <c r="E31240" s="1"/>
      <c r="F31240" s="1"/>
      <c r="G31240" s="1"/>
    </row>
    <row r="31241">
      <c r="B31241" s="36"/>
      <c r="C31241" s="36"/>
      <c r="E31241" s="1"/>
      <c r="F31241" s="1"/>
      <c r="G31241" s="1"/>
    </row>
    <row r="31242">
      <c r="B31242" s="36"/>
      <c r="C31242" s="36"/>
      <c r="E31242" s="1"/>
      <c r="F31242" s="1"/>
      <c r="G31242" s="1"/>
    </row>
    <row r="31243">
      <c r="B31243" s="36"/>
      <c r="C31243" s="36"/>
      <c r="E31243" s="1"/>
      <c r="F31243" s="1"/>
      <c r="G31243" s="1"/>
    </row>
    <row r="31244">
      <c r="B31244" s="36"/>
      <c r="C31244" s="36"/>
      <c r="E31244" s="1"/>
      <c r="F31244" s="1"/>
      <c r="G31244" s="1"/>
    </row>
    <row r="31245">
      <c r="B31245" s="36"/>
      <c r="C31245" s="36"/>
      <c r="E31245" s="1"/>
      <c r="F31245" s="1"/>
      <c r="G31245" s="1"/>
    </row>
    <row r="31246">
      <c r="B31246" s="36"/>
      <c r="C31246" s="36"/>
      <c r="E31246" s="1"/>
      <c r="F31246" s="1"/>
      <c r="G31246" s="1"/>
    </row>
    <row r="31247">
      <c r="B31247" s="36"/>
      <c r="C31247" s="36"/>
      <c r="E31247" s="1"/>
      <c r="F31247" s="1"/>
      <c r="G31247" s="1"/>
    </row>
    <row r="31248">
      <c r="B31248" s="36"/>
      <c r="C31248" s="36"/>
      <c r="E31248" s="1"/>
      <c r="F31248" s="1"/>
      <c r="G31248" s="1"/>
    </row>
    <row r="31249">
      <c r="B31249" s="36"/>
      <c r="C31249" s="36"/>
      <c r="E31249" s="1"/>
      <c r="F31249" s="1"/>
      <c r="G31249" s="1"/>
    </row>
    <row r="31250">
      <c r="B31250" s="36"/>
      <c r="C31250" s="36"/>
      <c r="E31250" s="1"/>
      <c r="F31250" s="1"/>
      <c r="G31250" s="1"/>
    </row>
    <row r="31251">
      <c r="B31251" s="36"/>
      <c r="C31251" s="36"/>
      <c r="E31251" s="1"/>
      <c r="F31251" s="1"/>
      <c r="G31251" s="1"/>
    </row>
    <row r="31252">
      <c r="B31252" s="36"/>
      <c r="C31252" s="36"/>
      <c r="E31252" s="1"/>
      <c r="F31252" s="1"/>
      <c r="G31252" s="1"/>
    </row>
    <row r="31253">
      <c r="B31253" s="36"/>
      <c r="C31253" s="36"/>
      <c r="E31253" s="1"/>
      <c r="F31253" s="1"/>
      <c r="G31253" s="1"/>
    </row>
    <row r="31254">
      <c r="B31254" s="36"/>
      <c r="C31254" s="36"/>
      <c r="E31254" s="1"/>
      <c r="F31254" s="1"/>
      <c r="G31254" s="1"/>
    </row>
    <row r="31255">
      <c r="B31255" s="36"/>
      <c r="C31255" s="36"/>
      <c r="E31255" s="1"/>
      <c r="F31255" s="1"/>
      <c r="G31255" s="1"/>
    </row>
    <row r="31256">
      <c r="B31256" s="36"/>
      <c r="C31256" s="36"/>
      <c r="E31256" s="1"/>
      <c r="F31256" s="1"/>
      <c r="G31256" s="1"/>
    </row>
    <row r="31257">
      <c r="B31257" s="36"/>
      <c r="C31257" s="36"/>
      <c r="E31257" s="1"/>
      <c r="F31257" s="1"/>
      <c r="G31257" s="1"/>
    </row>
    <row r="31258">
      <c r="B31258" s="36"/>
      <c r="C31258" s="36"/>
      <c r="E31258" s="1"/>
      <c r="F31258" s="1"/>
      <c r="G31258" s="1"/>
    </row>
    <row r="31259">
      <c r="B31259" s="36"/>
      <c r="C31259" s="36"/>
      <c r="E31259" s="1"/>
      <c r="F31259" s="1"/>
      <c r="G31259" s="1"/>
    </row>
    <row r="31260">
      <c r="B31260" s="36"/>
      <c r="C31260" s="36"/>
      <c r="E31260" s="1"/>
      <c r="F31260" s="1"/>
      <c r="G31260" s="1"/>
    </row>
    <row r="31261">
      <c r="B31261" s="36"/>
      <c r="C31261" s="36"/>
      <c r="E31261" s="1"/>
      <c r="F31261" s="1"/>
      <c r="G31261" s="1"/>
    </row>
    <row r="31262">
      <c r="B31262" s="36"/>
      <c r="C31262" s="36"/>
      <c r="E31262" s="1"/>
      <c r="F31262" s="1"/>
      <c r="G31262" s="1"/>
    </row>
    <row r="31263">
      <c r="B31263" s="36"/>
      <c r="C31263" s="36"/>
      <c r="E31263" s="1"/>
      <c r="F31263" s="1"/>
      <c r="G31263" s="1"/>
    </row>
    <row r="31264">
      <c r="B31264" s="36"/>
      <c r="C31264" s="36"/>
      <c r="E31264" s="1"/>
      <c r="F31264" s="1"/>
      <c r="G31264" s="1"/>
    </row>
    <row r="31265">
      <c r="B31265" s="36"/>
      <c r="C31265" s="36"/>
      <c r="E31265" s="1"/>
      <c r="F31265" s="1"/>
      <c r="G31265" s="1"/>
    </row>
    <row r="31266">
      <c r="B31266" s="36"/>
      <c r="C31266" s="36"/>
      <c r="E31266" s="1"/>
      <c r="F31266" s="1"/>
      <c r="G31266" s="1"/>
    </row>
    <row r="31267">
      <c r="B31267" s="36"/>
      <c r="C31267" s="36"/>
      <c r="E31267" s="1"/>
      <c r="F31267" s="1"/>
      <c r="G31267" s="1"/>
    </row>
    <row r="31268">
      <c r="B31268" s="36"/>
      <c r="C31268" s="36"/>
      <c r="E31268" s="1"/>
      <c r="F31268" s="1"/>
      <c r="G31268" s="1"/>
    </row>
    <row r="31269">
      <c r="B31269" s="36"/>
      <c r="C31269" s="36"/>
      <c r="E31269" s="1"/>
      <c r="F31269" s="1"/>
      <c r="G31269" s="1"/>
    </row>
    <row r="31270">
      <c r="B31270" s="36"/>
      <c r="C31270" s="36"/>
      <c r="E31270" s="1"/>
      <c r="F31270" s="1"/>
      <c r="G31270" s="1"/>
    </row>
    <row r="31271">
      <c r="B31271" s="36"/>
      <c r="C31271" s="36"/>
      <c r="E31271" s="1"/>
      <c r="F31271" s="1"/>
      <c r="G31271" s="1"/>
    </row>
    <row r="31272">
      <c r="B31272" s="36"/>
      <c r="C31272" s="36"/>
      <c r="E31272" s="1"/>
      <c r="F31272" s="1"/>
      <c r="G31272" s="1"/>
    </row>
    <row r="31273">
      <c r="B31273" s="36"/>
      <c r="C31273" s="36"/>
      <c r="E31273" s="1"/>
      <c r="F31273" s="1"/>
      <c r="G31273" s="1"/>
    </row>
    <row r="31274">
      <c r="B31274" s="36"/>
      <c r="C31274" s="36"/>
      <c r="E31274" s="1"/>
      <c r="F31274" s="1"/>
      <c r="G31274" s="1"/>
    </row>
    <row r="31275">
      <c r="B31275" s="36"/>
      <c r="C31275" s="36"/>
      <c r="E31275" s="1"/>
      <c r="F31275" s="1"/>
      <c r="G31275" s="1"/>
    </row>
    <row r="31276">
      <c r="B31276" s="36"/>
      <c r="C31276" s="36"/>
      <c r="E31276" s="1"/>
      <c r="F31276" s="1"/>
      <c r="G31276" s="1"/>
    </row>
    <row r="31277">
      <c r="B31277" s="36"/>
      <c r="C31277" s="36"/>
      <c r="E31277" s="1"/>
      <c r="F31277" s="1"/>
      <c r="G31277" s="1"/>
    </row>
    <row r="31278">
      <c r="B31278" s="36"/>
      <c r="C31278" s="36"/>
      <c r="E31278" s="1"/>
      <c r="F31278" s="1"/>
      <c r="G31278" s="1"/>
    </row>
    <row r="31279">
      <c r="B31279" s="36"/>
      <c r="C31279" s="36"/>
      <c r="E31279" s="1"/>
      <c r="F31279" s="1"/>
      <c r="G31279" s="1"/>
    </row>
    <row r="31280">
      <c r="B31280" s="36"/>
      <c r="C31280" s="36"/>
      <c r="E31280" s="1"/>
      <c r="F31280" s="1"/>
      <c r="G31280" s="1"/>
    </row>
    <row r="31281">
      <c r="B31281" s="36"/>
      <c r="C31281" s="36"/>
      <c r="E31281" s="1"/>
      <c r="F31281" s="1"/>
      <c r="G31281" s="1"/>
    </row>
    <row r="31282">
      <c r="B31282" s="36"/>
      <c r="C31282" s="36"/>
      <c r="E31282" s="1"/>
      <c r="F31282" s="1"/>
      <c r="G31282" s="1"/>
    </row>
    <row r="31283">
      <c r="B31283" s="36"/>
      <c r="C31283" s="36"/>
      <c r="E31283" s="1"/>
      <c r="F31283" s="1"/>
      <c r="G31283" s="1"/>
    </row>
    <row r="31284">
      <c r="B31284" s="36"/>
      <c r="C31284" s="36"/>
      <c r="E31284" s="1"/>
      <c r="F31284" s="1"/>
      <c r="G31284" s="1"/>
    </row>
    <row r="31285">
      <c r="B31285" s="36"/>
      <c r="C31285" s="36"/>
      <c r="E31285" s="1"/>
      <c r="F31285" s="1"/>
      <c r="G31285" s="1"/>
    </row>
    <row r="31286">
      <c r="B31286" s="36"/>
      <c r="C31286" s="36"/>
      <c r="E31286" s="1"/>
      <c r="F31286" s="1"/>
      <c r="G31286" s="1"/>
    </row>
    <row r="31287">
      <c r="B31287" s="36"/>
      <c r="C31287" s="36"/>
      <c r="E31287" s="1"/>
      <c r="F31287" s="1"/>
      <c r="G31287" s="1"/>
    </row>
    <row r="31288">
      <c r="B31288" s="36"/>
      <c r="C31288" s="36"/>
      <c r="E31288" s="1"/>
      <c r="F31288" s="1"/>
      <c r="G31288" s="1"/>
    </row>
    <row r="31289">
      <c r="B31289" s="36"/>
      <c r="C31289" s="36"/>
      <c r="E31289" s="1"/>
      <c r="F31289" s="1"/>
      <c r="G31289" s="1"/>
    </row>
    <row r="31290">
      <c r="B31290" s="36"/>
      <c r="C31290" s="36"/>
      <c r="E31290" s="1"/>
      <c r="F31290" s="1"/>
      <c r="G31290" s="1"/>
    </row>
    <row r="31291">
      <c r="B31291" s="36"/>
      <c r="C31291" s="36"/>
      <c r="E31291" s="1"/>
      <c r="F31291" s="1"/>
      <c r="G31291" s="1"/>
    </row>
    <row r="31292">
      <c r="B31292" s="36"/>
      <c r="C31292" s="36"/>
      <c r="E31292" s="1"/>
      <c r="F31292" s="1"/>
      <c r="G31292" s="1"/>
    </row>
    <row r="31293">
      <c r="B31293" s="36"/>
      <c r="C31293" s="36"/>
      <c r="E31293" s="1"/>
      <c r="F31293" s="1"/>
      <c r="G31293" s="1"/>
    </row>
    <row r="31294">
      <c r="B31294" s="36"/>
      <c r="C31294" s="36"/>
      <c r="E31294" s="1"/>
      <c r="F31294" s="1"/>
      <c r="G31294" s="1"/>
    </row>
    <row r="31295">
      <c r="B31295" s="36"/>
      <c r="C31295" s="36"/>
      <c r="E31295" s="1"/>
      <c r="F31295" s="1"/>
      <c r="G31295" s="1"/>
    </row>
    <row r="31296">
      <c r="B31296" s="36"/>
      <c r="C31296" s="36"/>
      <c r="E31296" s="1"/>
      <c r="F31296" s="1"/>
      <c r="G31296" s="1"/>
    </row>
    <row r="31297">
      <c r="B31297" s="36"/>
      <c r="C31297" s="36"/>
      <c r="E31297" s="1"/>
      <c r="F31297" s="1"/>
      <c r="G31297" s="1"/>
    </row>
    <row r="31298">
      <c r="B31298" s="36"/>
      <c r="C31298" s="36"/>
      <c r="E31298" s="1"/>
      <c r="F31298" s="1"/>
      <c r="G31298" s="1"/>
    </row>
    <row r="31299">
      <c r="B31299" s="36"/>
      <c r="C31299" s="36"/>
      <c r="E31299" s="1"/>
      <c r="F31299" s="1"/>
      <c r="G31299" s="1"/>
    </row>
    <row r="31300">
      <c r="B31300" s="36"/>
      <c r="C31300" s="36"/>
      <c r="E31300" s="1"/>
      <c r="F31300" s="1"/>
      <c r="G31300" s="1"/>
    </row>
    <row r="31301">
      <c r="B31301" s="36"/>
      <c r="C31301" s="36"/>
      <c r="E31301" s="1"/>
      <c r="F31301" s="1"/>
      <c r="G31301" s="1"/>
    </row>
    <row r="31302">
      <c r="B31302" s="36"/>
      <c r="C31302" s="36"/>
      <c r="E31302" s="1"/>
      <c r="F31302" s="1"/>
      <c r="G31302" s="1"/>
    </row>
    <row r="31303">
      <c r="B31303" s="36"/>
      <c r="C31303" s="36"/>
      <c r="E31303" s="1"/>
      <c r="F31303" s="1"/>
      <c r="G31303" s="1"/>
    </row>
    <row r="31304">
      <c r="B31304" s="36"/>
      <c r="C31304" s="36"/>
      <c r="E31304" s="1"/>
      <c r="F31304" s="1"/>
      <c r="G31304" s="1"/>
    </row>
    <row r="31305">
      <c r="B31305" s="36"/>
      <c r="C31305" s="36"/>
      <c r="E31305" s="1"/>
      <c r="F31305" s="1"/>
      <c r="G31305" s="1"/>
    </row>
    <row r="31306">
      <c r="B31306" s="36"/>
      <c r="C31306" s="36"/>
      <c r="E31306" s="1"/>
      <c r="F31306" s="1"/>
      <c r="G31306" s="1"/>
    </row>
    <row r="31307">
      <c r="B31307" s="36"/>
      <c r="C31307" s="36"/>
      <c r="E31307" s="1"/>
      <c r="F31307" s="1"/>
      <c r="G31307" s="1"/>
    </row>
    <row r="31308">
      <c r="B31308" s="36"/>
      <c r="C31308" s="36"/>
      <c r="E31308" s="1"/>
      <c r="F31308" s="1"/>
      <c r="G31308" s="1"/>
    </row>
    <row r="31309">
      <c r="B31309" s="36"/>
      <c r="C31309" s="36"/>
      <c r="E31309" s="1"/>
      <c r="F31309" s="1"/>
      <c r="G31309" s="1"/>
    </row>
    <row r="31310">
      <c r="B31310" s="36"/>
      <c r="C31310" s="36"/>
      <c r="E31310" s="1"/>
      <c r="F31310" s="1"/>
      <c r="G31310" s="1"/>
    </row>
    <row r="31311">
      <c r="B31311" s="36"/>
      <c r="C31311" s="36"/>
      <c r="E31311" s="1"/>
      <c r="F31311" s="1"/>
      <c r="G31311" s="1"/>
    </row>
    <row r="31312">
      <c r="B31312" s="36"/>
      <c r="C31312" s="36"/>
      <c r="E31312" s="1"/>
      <c r="F31312" s="1"/>
      <c r="G31312" s="1"/>
    </row>
    <row r="31313">
      <c r="B31313" s="36"/>
      <c r="C31313" s="36"/>
      <c r="E31313" s="1"/>
      <c r="F31313" s="1"/>
      <c r="G31313" s="1"/>
    </row>
    <row r="31314">
      <c r="B31314" s="36"/>
      <c r="C31314" s="36"/>
      <c r="E31314" s="1"/>
      <c r="F31314" s="1"/>
      <c r="G31314" s="1"/>
    </row>
    <row r="31315">
      <c r="B31315" s="36"/>
      <c r="C31315" s="36"/>
      <c r="E31315" s="1"/>
      <c r="F31315" s="1"/>
      <c r="G31315" s="1"/>
    </row>
    <row r="31316">
      <c r="B31316" s="36"/>
      <c r="C31316" s="36"/>
      <c r="E31316" s="1"/>
      <c r="F31316" s="1"/>
      <c r="G31316" s="1"/>
    </row>
    <row r="31317">
      <c r="B31317" s="36"/>
      <c r="C31317" s="36"/>
      <c r="E31317" s="1"/>
      <c r="F31317" s="1"/>
      <c r="G31317" s="1"/>
    </row>
    <row r="31318">
      <c r="B31318" s="36"/>
      <c r="C31318" s="36"/>
      <c r="E31318" s="1"/>
      <c r="F31318" s="1"/>
      <c r="G31318" s="1"/>
    </row>
    <row r="31319">
      <c r="B31319" s="36"/>
      <c r="C31319" s="36"/>
      <c r="E31319" s="1"/>
      <c r="F31319" s="1"/>
      <c r="G31319" s="1"/>
    </row>
    <row r="31320">
      <c r="B31320" s="36"/>
      <c r="C31320" s="36"/>
      <c r="E31320" s="1"/>
      <c r="F31320" s="1"/>
      <c r="G31320" s="1"/>
    </row>
    <row r="31321">
      <c r="B31321" s="36"/>
      <c r="C31321" s="36"/>
      <c r="E31321" s="1"/>
      <c r="F31321" s="1"/>
      <c r="G31321" s="1"/>
    </row>
    <row r="31322">
      <c r="B31322" s="36"/>
      <c r="C31322" s="36"/>
      <c r="E31322" s="1"/>
      <c r="F31322" s="1"/>
      <c r="G31322" s="1"/>
    </row>
    <row r="31323">
      <c r="B31323" s="36"/>
      <c r="C31323" s="36"/>
      <c r="E31323" s="1"/>
      <c r="F31323" s="1"/>
      <c r="G31323" s="1"/>
    </row>
    <row r="31324">
      <c r="B31324" s="36"/>
      <c r="C31324" s="36"/>
      <c r="E31324" s="1"/>
      <c r="F31324" s="1"/>
      <c r="G31324" s="1"/>
    </row>
    <row r="31325">
      <c r="B31325" s="36"/>
      <c r="C31325" s="36"/>
      <c r="E31325" s="1"/>
      <c r="F31325" s="1"/>
      <c r="G31325" s="1"/>
    </row>
    <row r="31326">
      <c r="B31326" s="36"/>
      <c r="C31326" s="36"/>
      <c r="E31326" s="1"/>
      <c r="F31326" s="1"/>
      <c r="G31326" s="1"/>
    </row>
    <row r="31327">
      <c r="B31327" s="36"/>
      <c r="C31327" s="36"/>
      <c r="E31327" s="1"/>
      <c r="F31327" s="1"/>
      <c r="G31327" s="1"/>
    </row>
    <row r="31328">
      <c r="B31328" s="36"/>
      <c r="C31328" s="36"/>
      <c r="E31328" s="1"/>
      <c r="F31328" s="1"/>
      <c r="G31328" s="1"/>
    </row>
    <row r="31329">
      <c r="B31329" s="36"/>
      <c r="C31329" s="36"/>
      <c r="E31329" s="1"/>
      <c r="F31329" s="1"/>
      <c r="G31329" s="1"/>
    </row>
    <row r="31330">
      <c r="B31330" s="36"/>
      <c r="C31330" s="36"/>
      <c r="E31330" s="1"/>
      <c r="F31330" s="1"/>
      <c r="G31330" s="1"/>
    </row>
    <row r="31331">
      <c r="B31331" s="36"/>
      <c r="C31331" s="36"/>
      <c r="E31331" s="1"/>
      <c r="F31331" s="1"/>
      <c r="G31331" s="1"/>
    </row>
    <row r="31332">
      <c r="B31332" s="36"/>
      <c r="C31332" s="36"/>
      <c r="E31332" s="1"/>
      <c r="F31332" s="1"/>
      <c r="G31332" s="1"/>
    </row>
    <row r="31333">
      <c r="B31333" s="36"/>
      <c r="C31333" s="36"/>
      <c r="E31333" s="1"/>
      <c r="F31333" s="1"/>
      <c r="G31333" s="1"/>
    </row>
    <row r="31334">
      <c r="B31334" s="36"/>
      <c r="C31334" s="36"/>
      <c r="E31334" s="1"/>
      <c r="F31334" s="1"/>
      <c r="G31334" s="1"/>
    </row>
    <row r="31335">
      <c r="B31335" s="36"/>
      <c r="C31335" s="36"/>
      <c r="E31335" s="1"/>
      <c r="F31335" s="1"/>
      <c r="G31335" s="1"/>
    </row>
    <row r="31336">
      <c r="B31336" s="36"/>
      <c r="C31336" s="36"/>
      <c r="E31336" s="1"/>
      <c r="F31336" s="1"/>
      <c r="G31336" s="1"/>
    </row>
    <row r="31337">
      <c r="B31337" s="36"/>
      <c r="C31337" s="36"/>
      <c r="E31337" s="1"/>
      <c r="F31337" s="1"/>
      <c r="G31337" s="1"/>
    </row>
    <row r="31338">
      <c r="B31338" s="36"/>
      <c r="C31338" s="36"/>
      <c r="E31338" s="1"/>
      <c r="F31338" s="1"/>
      <c r="G31338" s="1"/>
    </row>
    <row r="31339">
      <c r="B31339" s="36"/>
      <c r="C31339" s="36"/>
      <c r="E31339" s="1"/>
      <c r="F31339" s="1"/>
      <c r="G31339" s="1"/>
    </row>
    <row r="31340">
      <c r="B31340" s="36"/>
      <c r="C31340" s="36"/>
      <c r="E31340" s="1"/>
      <c r="F31340" s="1"/>
      <c r="G31340" s="1"/>
    </row>
    <row r="31341">
      <c r="B31341" s="36"/>
      <c r="C31341" s="36"/>
      <c r="E31341" s="1"/>
      <c r="F31341" s="1"/>
      <c r="G31341" s="1"/>
    </row>
    <row r="31342">
      <c r="B31342" s="36"/>
      <c r="C31342" s="36"/>
      <c r="E31342" s="1"/>
      <c r="F31342" s="1"/>
      <c r="G31342" s="1"/>
    </row>
    <row r="31343">
      <c r="B31343" s="36"/>
      <c r="C31343" s="36"/>
      <c r="E31343" s="1"/>
      <c r="F31343" s="1"/>
      <c r="G31343" s="1"/>
    </row>
    <row r="31344">
      <c r="B31344" s="36"/>
      <c r="C31344" s="36"/>
      <c r="E31344" s="1"/>
      <c r="F31344" s="1"/>
      <c r="G31344" s="1"/>
    </row>
    <row r="31345">
      <c r="B31345" s="36"/>
      <c r="C31345" s="36"/>
      <c r="E31345" s="1"/>
      <c r="F31345" s="1"/>
      <c r="G31345" s="1"/>
    </row>
    <row r="31346">
      <c r="B31346" s="36"/>
      <c r="C31346" s="36"/>
      <c r="E31346" s="1"/>
      <c r="F31346" s="1"/>
      <c r="G31346" s="1"/>
    </row>
    <row r="31347">
      <c r="B31347" s="36"/>
      <c r="C31347" s="36"/>
      <c r="E31347" s="1"/>
      <c r="F31347" s="1"/>
      <c r="G31347" s="1"/>
    </row>
    <row r="31348">
      <c r="B31348" s="36"/>
      <c r="C31348" s="36"/>
      <c r="E31348" s="1"/>
      <c r="F31348" s="1"/>
      <c r="G31348" s="1"/>
    </row>
    <row r="31349">
      <c r="B31349" s="36"/>
      <c r="C31349" s="36"/>
      <c r="E31349" s="1"/>
      <c r="F31349" s="1"/>
      <c r="G31349" s="1"/>
    </row>
    <row r="31350">
      <c r="B31350" s="36"/>
      <c r="C31350" s="36"/>
      <c r="E31350" s="1"/>
      <c r="F31350" s="1"/>
      <c r="G31350" s="1"/>
    </row>
    <row r="31351">
      <c r="B31351" s="36"/>
      <c r="C31351" s="36"/>
      <c r="E31351" s="1"/>
      <c r="F31351" s="1"/>
      <c r="G31351" s="1"/>
    </row>
    <row r="31352">
      <c r="B31352" s="36"/>
      <c r="C31352" s="36"/>
      <c r="E31352" s="1"/>
      <c r="F31352" s="1"/>
      <c r="G31352" s="1"/>
    </row>
    <row r="31353">
      <c r="B31353" s="36"/>
      <c r="C31353" s="36"/>
      <c r="E31353" s="1"/>
      <c r="F31353" s="1"/>
      <c r="G31353" s="1"/>
    </row>
    <row r="31354">
      <c r="B31354" s="36"/>
      <c r="C31354" s="36"/>
      <c r="E31354" s="1"/>
      <c r="F31354" s="1"/>
      <c r="G31354" s="1"/>
    </row>
    <row r="31355">
      <c r="B31355" s="36"/>
      <c r="C31355" s="36"/>
      <c r="E31355" s="1"/>
      <c r="F31355" s="1"/>
      <c r="G31355" s="1"/>
    </row>
    <row r="31356">
      <c r="B31356" s="36"/>
      <c r="C31356" s="36"/>
      <c r="E31356" s="1"/>
      <c r="F31356" s="1"/>
      <c r="G31356" s="1"/>
    </row>
    <row r="31357">
      <c r="B31357" s="36"/>
      <c r="C31357" s="36"/>
      <c r="E31357" s="1"/>
      <c r="F31357" s="1"/>
      <c r="G31357" s="1"/>
    </row>
    <row r="31358">
      <c r="B31358" s="36"/>
      <c r="C31358" s="36"/>
      <c r="E31358" s="1"/>
      <c r="F31358" s="1"/>
      <c r="G31358" s="1"/>
    </row>
    <row r="31359">
      <c r="B31359" s="36"/>
      <c r="C31359" s="36"/>
      <c r="E31359" s="1"/>
      <c r="F31359" s="1"/>
      <c r="G31359" s="1"/>
    </row>
    <row r="31360">
      <c r="B31360" s="36"/>
      <c r="C31360" s="36"/>
      <c r="E31360" s="1"/>
      <c r="F31360" s="1"/>
      <c r="G31360" s="1"/>
    </row>
    <row r="31361">
      <c r="B31361" s="36"/>
      <c r="C31361" s="36"/>
      <c r="E31361" s="1"/>
      <c r="F31361" s="1"/>
      <c r="G31361" s="1"/>
    </row>
    <row r="31362">
      <c r="B31362" s="36"/>
      <c r="C31362" s="36"/>
      <c r="E31362" s="1"/>
      <c r="F31362" s="1"/>
      <c r="G31362" s="1"/>
    </row>
    <row r="31363">
      <c r="B31363" s="36"/>
      <c r="C31363" s="36"/>
      <c r="E31363" s="1"/>
      <c r="F31363" s="1"/>
      <c r="G31363" s="1"/>
    </row>
    <row r="31364">
      <c r="B31364" s="36"/>
      <c r="C31364" s="36"/>
      <c r="E31364" s="1"/>
      <c r="F31364" s="1"/>
      <c r="G31364" s="1"/>
    </row>
    <row r="31365">
      <c r="B31365" s="36"/>
      <c r="C31365" s="36"/>
      <c r="E31365" s="1"/>
      <c r="F31365" s="1"/>
      <c r="G31365" s="1"/>
    </row>
    <row r="31366">
      <c r="B31366" s="36"/>
      <c r="C31366" s="36"/>
      <c r="E31366" s="1"/>
      <c r="F31366" s="1"/>
      <c r="G31366" s="1"/>
    </row>
    <row r="31367">
      <c r="B31367" s="36"/>
      <c r="C31367" s="36"/>
      <c r="E31367" s="1"/>
      <c r="F31367" s="1"/>
      <c r="G31367" s="1"/>
    </row>
    <row r="31368">
      <c r="B31368" s="36"/>
      <c r="C31368" s="36"/>
      <c r="E31368" s="1"/>
      <c r="F31368" s="1"/>
      <c r="G31368" s="1"/>
    </row>
    <row r="31369">
      <c r="B31369" s="36"/>
      <c r="C31369" s="36"/>
      <c r="E31369" s="1"/>
      <c r="F31369" s="1"/>
      <c r="G31369" s="1"/>
    </row>
    <row r="31370">
      <c r="B31370" s="36"/>
      <c r="C31370" s="36"/>
      <c r="E31370" s="1"/>
      <c r="F31370" s="1"/>
      <c r="G31370" s="1"/>
    </row>
    <row r="31371">
      <c r="B31371" s="36"/>
      <c r="C31371" s="36"/>
      <c r="E31371" s="1"/>
      <c r="F31371" s="1"/>
      <c r="G31371" s="1"/>
    </row>
    <row r="31372">
      <c r="B31372" s="36"/>
      <c r="C31372" s="36"/>
      <c r="E31372" s="1"/>
      <c r="F31372" s="1"/>
      <c r="G31372" s="1"/>
    </row>
    <row r="31373">
      <c r="B31373" s="36"/>
      <c r="C31373" s="36"/>
      <c r="E31373" s="1"/>
      <c r="F31373" s="1"/>
      <c r="G31373" s="1"/>
    </row>
    <row r="31374">
      <c r="B31374" s="36"/>
      <c r="C31374" s="36"/>
      <c r="E31374" s="1"/>
      <c r="F31374" s="1"/>
      <c r="G31374" s="1"/>
    </row>
    <row r="31375">
      <c r="B31375" s="36"/>
      <c r="C31375" s="36"/>
      <c r="E31375" s="1"/>
      <c r="F31375" s="1"/>
      <c r="G31375" s="1"/>
    </row>
    <row r="31376">
      <c r="B31376" s="36"/>
      <c r="C31376" s="36"/>
      <c r="E31376" s="1"/>
      <c r="F31376" s="1"/>
      <c r="G31376" s="1"/>
    </row>
    <row r="31377">
      <c r="B31377" s="36"/>
      <c r="C31377" s="36"/>
      <c r="E31377" s="1"/>
      <c r="F31377" s="1"/>
      <c r="G31377" s="1"/>
    </row>
    <row r="31378">
      <c r="B31378" s="36"/>
      <c r="C31378" s="36"/>
      <c r="E31378" s="1"/>
      <c r="F31378" s="1"/>
      <c r="G31378" s="1"/>
    </row>
    <row r="31379">
      <c r="B31379" s="36"/>
      <c r="C31379" s="36"/>
      <c r="E31379" s="1"/>
      <c r="F31379" s="1"/>
      <c r="G31379" s="1"/>
    </row>
    <row r="31380">
      <c r="B31380" s="36"/>
      <c r="C31380" s="36"/>
      <c r="E31380" s="1"/>
      <c r="F31380" s="1"/>
      <c r="G31380" s="1"/>
    </row>
    <row r="31381">
      <c r="B31381" s="36"/>
      <c r="C31381" s="36"/>
      <c r="E31381" s="1"/>
      <c r="F31381" s="1"/>
      <c r="G31381" s="1"/>
    </row>
    <row r="31382">
      <c r="B31382" s="36"/>
      <c r="C31382" s="36"/>
      <c r="E31382" s="1"/>
      <c r="F31382" s="1"/>
      <c r="G31382" s="1"/>
    </row>
    <row r="31383">
      <c r="B31383" s="36"/>
      <c r="C31383" s="36"/>
      <c r="E31383" s="1"/>
      <c r="F31383" s="1"/>
      <c r="G31383" s="1"/>
    </row>
    <row r="31384">
      <c r="B31384" s="36"/>
      <c r="C31384" s="36"/>
      <c r="E31384" s="1"/>
      <c r="F31384" s="1"/>
      <c r="G31384" s="1"/>
    </row>
    <row r="31385">
      <c r="B31385" s="36"/>
      <c r="C31385" s="36"/>
      <c r="E31385" s="1"/>
      <c r="F31385" s="1"/>
      <c r="G31385" s="1"/>
    </row>
    <row r="31386">
      <c r="B31386" s="36"/>
      <c r="C31386" s="36"/>
      <c r="E31386" s="1"/>
      <c r="F31386" s="1"/>
      <c r="G31386" s="1"/>
    </row>
    <row r="31387">
      <c r="B31387" s="36"/>
      <c r="C31387" s="36"/>
      <c r="E31387" s="1"/>
      <c r="F31387" s="1"/>
      <c r="G31387" s="1"/>
    </row>
    <row r="31388">
      <c r="B31388" s="36"/>
      <c r="C31388" s="36"/>
      <c r="E31388" s="1"/>
      <c r="F31388" s="1"/>
      <c r="G31388" s="1"/>
    </row>
    <row r="31389">
      <c r="B31389" s="36"/>
      <c r="C31389" s="36"/>
      <c r="E31389" s="1"/>
      <c r="F31389" s="1"/>
      <c r="G31389" s="1"/>
    </row>
    <row r="31390">
      <c r="B31390" s="36"/>
      <c r="C31390" s="36"/>
      <c r="E31390" s="1"/>
      <c r="F31390" s="1"/>
      <c r="G31390" s="1"/>
    </row>
    <row r="31391">
      <c r="B31391" s="36"/>
      <c r="C31391" s="36"/>
      <c r="E31391" s="1"/>
      <c r="F31391" s="1"/>
      <c r="G31391" s="1"/>
    </row>
    <row r="31392">
      <c r="B31392" s="36"/>
      <c r="C31392" s="36"/>
      <c r="E31392" s="1"/>
      <c r="F31392" s="1"/>
      <c r="G31392" s="1"/>
    </row>
    <row r="31393">
      <c r="B31393" s="36"/>
      <c r="C31393" s="36"/>
      <c r="E31393" s="1"/>
      <c r="F31393" s="1"/>
      <c r="G31393" s="1"/>
    </row>
    <row r="31394">
      <c r="B31394" s="36"/>
      <c r="C31394" s="36"/>
      <c r="E31394" s="1"/>
      <c r="F31394" s="1"/>
      <c r="G31394" s="1"/>
    </row>
    <row r="31395">
      <c r="B31395" s="36"/>
      <c r="C31395" s="36"/>
      <c r="E31395" s="1"/>
      <c r="F31395" s="1"/>
      <c r="G31395" s="1"/>
    </row>
    <row r="31396">
      <c r="B31396" s="36"/>
      <c r="C31396" s="36"/>
      <c r="E31396" s="1"/>
      <c r="F31396" s="1"/>
      <c r="G31396" s="1"/>
    </row>
    <row r="31397">
      <c r="B31397" s="36"/>
      <c r="C31397" s="36"/>
      <c r="E31397" s="1"/>
      <c r="F31397" s="1"/>
      <c r="G31397" s="1"/>
    </row>
    <row r="31398">
      <c r="B31398" s="36"/>
      <c r="C31398" s="36"/>
      <c r="E31398" s="1"/>
      <c r="F31398" s="1"/>
      <c r="G31398" s="1"/>
    </row>
    <row r="31399">
      <c r="B31399" s="36"/>
      <c r="C31399" s="36"/>
      <c r="E31399" s="1"/>
      <c r="F31399" s="1"/>
      <c r="G31399" s="1"/>
    </row>
    <row r="31400">
      <c r="B31400" s="36"/>
      <c r="C31400" s="36"/>
      <c r="E31400" s="1"/>
      <c r="F31400" s="1"/>
      <c r="G31400" s="1"/>
    </row>
    <row r="31401">
      <c r="B31401" s="36"/>
      <c r="C31401" s="36"/>
      <c r="E31401" s="1"/>
      <c r="F31401" s="1"/>
      <c r="G31401" s="1"/>
    </row>
    <row r="31402">
      <c r="B31402" s="36"/>
      <c r="C31402" s="36"/>
      <c r="E31402" s="1"/>
      <c r="F31402" s="1"/>
      <c r="G31402" s="1"/>
    </row>
    <row r="31403">
      <c r="B31403" s="36"/>
      <c r="C31403" s="36"/>
      <c r="E31403" s="1"/>
      <c r="F31403" s="1"/>
      <c r="G31403" s="1"/>
    </row>
    <row r="31404">
      <c r="B31404" s="36"/>
      <c r="C31404" s="36"/>
      <c r="E31404" s="1"/>
      <c r="F31404" s="1"/>
      <c r="G31404" s="1"/>
    </row>
    <row r="31405">
      <c r="B31405" s="36"/>
      <c r="C31405" s="36"/>
      <c r="E31405" s="1"/>
      <c r="F31405" s="1"/>
      <c r="G31405" s="1"/>
    </row>
    <row r="31406">
      <c r="B31406" s="36"/>
      <c r="C31406" s="36"/>
      <c r="E31406" s="1"/>
      <c r="F31406" s="1"/>
      <c r="G31406" s="1"/>
    </row>
    <row r="31407">
      <c r="B31407" s="36"/>
      <c r="C31407" s="36"/>
      <c r="E31407" s="1"/>
      <c r="F31407" s="1"/>
      <c r="G31407" s="1"/>
    </row>
    <row r="31408">
      <c r="B31408" s="36"/>
      <c r="C31408" s="36"/>
      <c r="E31408" s="1"/>
      <c r="F31408" s="1"/>
      <c r="G31408" s="1"/>
    </row>
    <row r="31409">
      <c r="B31409" s="36"/>
      <c r="C31409" s="36"/>
      <c r="E31409" s="1"/>
      <c r="F31409" s="1"/>
      <c r="G31409" s="1"/>
    </row>
    <row r="31410">
      <c r="B31410" s="36"/>
      <c r="C31410" s="36"/>
      <c r="E31410" s="1"/>
      <c r="F31410" s="1"/>
      <c r="G31410" s="1"/>
    </row>
    <row r="31411">
      <c r="B31411" s="36"/>
      <c r="C31411" s="36"/>
      <c r="E31411" s="1"/>
      <c r="F31411" s="1"/>
      <c r="G31411" s="1"/>
    </row>
    <row r="31412">
      <c r="B31412" s="36"/>
      <c r="C31412" s="36"/>
      <c r="E31412" s="1"/>
      <c r="F31412" s="1"/>
      <c r="G31412" s="1"/>
    </row>
    <row r="31413">
      <c r="B31413" s="36"/>
      <c r="C31413" s="36"/>
      <c r="E31413" s="1"/>
      <c r="F31413" s="1"/>
      <c r="G31413" s="1"/>
    </row>
    <row r="31414">
      <c r="B31414" s="36"/>
      <c r="C31414" s="36"/>
      <c r="E31414" s="1"/>
      <c r="F31414" s="1"/>
      <c r="G31414" s="1"/>
    </row>
    <row r="31415">
      <c r="B31415" s="36"/>
      <c r="C31415" s="36"/>
      <c r="E31415" s="1"/>
      <c r="F31415" s="1"/>
      <c r="G31415" s="1"/>
    </row>
    <row r="31416">
      <c r="B31416" s="36"/>
      <c r="C31416" s="36"/>
      <c r="E31416" s="1"/>
      <c r="F31416" s="1"/>
      <c r="G31416" s="1"/>
    </row>
    <row r="31417">
      <c r="B31417" s="36"/>
      <c r="C31417" s="36"/>
      <c r="E31417" s="1"/>
      <c r="F31417" s="1"/>
      <c r="G31417" s="1"/>
    </row>
    <row r="31418">
      <c r="B31418" s="36"/>
      <c r="C31418" s="36"/>
      <c r="E31418" s="1"/>
      <c r="F31418" s="1"/>
      <c r="G31418" s="1"/>
    </row>
    <row r="31419">
      <c r="B31419" s="36"/>
      <c r="C31419" s="36"/>
      <c r="E31419" s="1"/>
      <c r="F31419" s="1"/>
      <c r="G31419" s="1"/>
    </row>
    <row r="31420">
      <c r="B31420" s="36"/>
      <c r="C31420" s="36"/>
      <c r="E31420" s="1"/>
      <c r="F31420" s="1"/>
      <c r="G31420" s="1"/>
    </row>
    <row r="31421">
      <c r="B31421" s="36"/>
      <c r="C31421" s="36"/>
      <c r="E31421" s="1"/>
      <c r="F31421" s="1"/>
      <c r="G31421" s="1"/>
    </row>
    <row r="31422">
      <c r="B31422" s="36"/>
      <c r="C31422" s="36"/>
      <c r="E31422" s="1"/>
      <c r="F31422" s="1"/>
      <c r="G31422" s="1"/>
    </row>
    <row r="31423">
      <c r="B31423" s="36"/>
      <c r="C31423" s="36"/>
      <c r="E31423" s="1"/>
      <c r="F31423" s="1"/>
      <c r="G31423" s="1"/>
    </row>
    <row r="31424">
      <c r="B31424" s="36"/>
      <c r="C31424" s="36"/>
      <c r="E31424" s="1"/>
      <c r="F31424" s="1"/>
      <c r="G31424" s="1"/>
    </row>
    <row r="31425">
      <c r="B31425" s="36"/>
      <c r="C31425" s="36"/>
      <c r="E31425" s="1"/>
      <c r="F31425" s="1"/>
      <c r="G31425" s="1"/>
    </row>
    <row r="31426">
      <c r="B31426" s="36"/>
      <c r="C31426" s="36"/>
      <c r="E31426" s="1"/>
      <c r="F31426" s="1"/>
      <c r="G31426" s="1"/>
    </row>
    <row r="31427">
      <c r="B31427" s="36"/>
      <c r="C31427" s="36"/>
      <c r="E31427" s="1"/>
      <c r="F31427" s="1"/>
      <c r="G31427" s="1"/>
    </row>
    <row r="31428">
      <c r="B31428" s="36"/>
      <c r="C31428" s="36"/>
      <c r="E31428" s="1"/>
      <c r="F31428" s="1"/>
      <c r="G31428" s="1"/>
    </row>
    <row r="31429">
      <c r="B31429" s="36"/>
      <c r="C31429" s="36"/>
      <c r="E31429" s="1"/>
      <c r="F31429" s="1"/>
      <c r="G31429" s="1"/>
    </row>
    <row r="31430">
      <c r="B31430" s="36"/>
      <c r="C31430" s="36"/>
      <c r="E31430" s="1"/>
      <c r="F31430" s="1"/>
      <c r="G31430" s="1"/>
    </row>
    <row r="31431">
      <c r="B31431" s="36"/>
      <c r="C31431" s="36"/>
      <c r="E31431" s="1"/>
      <c r="F31431" s="1"/>
      <c r="G31431" s="1"/>
    </row>
    <row r="31432">
      <c r="B31432" s="36"/>
      <c r="C31432" s="36"/>
      <c r="E31432" s="1"/>
      <c r="F31432" s="1"/>
      <c r="G31432" s="1"/>
    </row>
    <row r="31433">
      <c r="B31433" s="36"/>
      <c r="C31433" s="36"/>
      <c r="E31433" s="1"/>
      <c r="F31433" s="1"/>
      <c r="G31433" s="1"/>
    </row>
    <row r="31434">
      <c r="B31434" s="36"/>
      <c r="C31434" s="36"/>
      <c r="E31434" s="1"/>
      <c r="F31434" s="1"/>
      <c r="G31434" s="1"/>
    </row>
    <row r="31435">
      <c r="B31435" s="36"/>
      <c r="C31435" s="36"/>
      <c r="E31435" s="1"/>
      <c r="F31435" s="1"/>
      <c r="G31435" s="1"/>
    </row>
    <row r="31436">
      <c r="B31436" s="36"/>
      <c r="C31436" s="36"/>
      <c r="E31436" s="1"/>
      <c r="F31436" s="1"/>
      <c r="G31436" s="1"/>
    </row>
    <row r="31437">
      <c r="B31437" s="36"/>
      <c r="C31437" s="36"/>
      <c r="E31437" s="1"/>
      <c r="F31437" s="1"/>
      <c r="G31437" s="1"/>
    </row>
    <row r="31438">
      <c r="B31438" s="36"/>
      <c r="C31438" s="36"/>
      <c r="E31438" s="1"/>
      <c r="F31438" s="1"/>
      <c r="G31438" s="1"/>
    </row>
    <row r="31439">
      <c r="B31439" s="36"/>
      <c r="C31439" s="36"/>
      <c r="E31439" s="1"/>
      <c r="F31439" s="1"/>
      <c r="G31439" s="1"/>
    </row>
    <row r="31440">
      <c r="B31440" s="36"/>
      <c r="C31440" s="36"/>
      <c r="E31440" s="1"/>
      <c r="F31440" s="1"/>
      <c r="G31440" s="1"/>
    </row>
    <row r="31441">
      <c r="B31441" s="36"/>
      <c r="C31441" s="36"/>
      <c r="E31441" s="1"/>
      <c r="F31441" s="1"/>
      <c r="G31441" s="1"/>
    </row>
    <row r="31442">
      <c r="B31442" s="36"/>
      <c r="C31442" s="36"/>
      <c r="E31442" s="1"/>
      <c r="F31442" s="1"/>
      <c r="G31442" s="1"/>
    </row>
    <row r="31443">
      <c r="B31443" s="36"/>
      <c r="C31443" s="36"/>
      <c r="E31443" s="1"/>
      <c r="F31443" s="1"/>
      <c r="G31443" s="1"/>
    </row>
    <row r="31444">
      <c r="B31444" s="36"/>
      <c r="C31444" s="36"/>
      <c r="E31444" s="1"/>
      <c r="F31444" s="1"/>
      <c r="G31444" s="1"/>
    </row>
    <row r="31445">
      <c r="B31445" s="36"/>
      <c r="C31445" s="36"/>
      <c r="E31445" s="1"/>
      <c r="F31445" s="1"/>
      <c r="G31445" s="1"/>
    </row>
    <row r="31446">
      <c r="B31446" s="36"/>
      <c r="C31446" s="36"/>
      <c r="E31446" s="1"/>
      <c r="F31446" s="1"/>
      <c r="G31446" s="1"/>
    </row>
    <row r="31447">
      <c r="B31447" s="36"/>
      <c r="C31447" s="36"/>
      <c r="E31447" s="1"/>
      <c r="F31447" s="1"/>
      <c r="G31447" s="1"/>
    </row>
    <row r="31448">
      <c r="B31448" s="36"/>
      <c r="C31448" s="36"/>
      <c r="E31448" s="1"/>
      <c r="F31448" s="1"/>
      <c r="G31448" s="1"/>
    </row>
    <row r="31449">
      <c r="B31449" s="36"/>
      <c r="C31449" s="36"/>
      <c r="E31449" s="1"/>
      <c r="F31449" s="1"/>
      <c r="G31449" s="1"/>
    </row>
    <row r="31450">
      <c r="B31450" s="36"/>
      <c r="C31450" s="36"/>
      <c r="E31450" s="1"/>
      <c r="F31450" s="1"/>
      <c r="G31450" s="1"/>
    </row>
    <row r="31451">
      <c r="B31451" s="36"/>
      <c r="C31451" s="36"/>
      <c r="E31451" s="1"/>
      <c r="F31451" s="1"/>
      <c r="G31451" s="1"/>
    </row>
    <row r="31452">
      <c r="B31452" s="36"/>
      <c r="C31452" s="36"/>
      <c r="E31452" s="1"/>
      <c r="F31452" s="1"/>
      <c r="G31452" s="1"/>
    </row>
    <row r="31453">
      <c r="B31453" s="36"/>
      <c r="C31453" s="36"/>
      <c r="E31453" s="1"/>
      <c r="F31453" s="1"/>
      <c r="G31453" s="1"/>
    </row>
    <row r="31454">
      <c r="B31454" s="36"/>
      <c r="C31454" s="36"/>
      <c r="E31454" s="1"/>
      <c r="F31454" s="1"/>
      <c r="G31454" s="1"/>
    </row>
    <row r="31455">
      <c r="B31455" s="36"/>
      <c r="C31455" s="36"/>
      <c r="E31455" s="1"/>
      <c r="F31455" s="1"/>
      <c r="G31455" s="1"/>
    </row>
    <row r="31456">
      <c r="B31456" s="36"/>
      <c r="C31456" s="36"/>
      <c r="E31456" s="1"/>
      <c r="F31456" s="1"/>
      <c r="G31456" s="1"/>
    </row>
    <row r="31457">
      <c r="B31457" s="36"/>
      <c r="C31457" s="36"/>
      <c r="E31457" s="1"/>
      <c r="F31457" s="1"/>
      <c r="G31457" s="1"/>
    </row>
    <row r="31458">
      <c r="B31458" s="36"/>
      <c r="C31458" s="36"/>
      <c r="E31458" s="1"/>
      <c r="F31458" s="1"/>
      <c r="G31458" s="1"/>
    </row>
    <row r="31459">
      <c r="B31459" s="36"/>
      <c r="C31459" s="36"/>
      <c r="E31459" s="1"/>
      <c r="F31459" s="1"/>
      <c r="G31459" s="1"/>
    </row>
    <row r="31460">
      <c r="B31460" s="36"/>
      <c r="C31460" s="36"/>
      <c r="E31460" s="1"/>
      <c r="F31460" s="1"/>
      <c r="G31460" s="1"/>
    </row>
    <row r="31461">
      <c r="B31461" s="36"/>
      <c r="C31461" s="36"/>
      <c r="E31461" s="1"/>
      <c r="F31461" s="1"/>
      <c r="G31461" s="1"/>
    </row>
    <row r="31462">
      <c r="B31462" s="36"/>
      <c r="C31462" s="36"/>
      <c r="E31462" s="1"/>
      <c r="F31462" s="1"/>
      <c r="G31462" s="1"/>
    </row>
    <row r="31463">
      <c r="B31463" s="36"/>
      <c r="C31463" s="36"/>
      <c r="E31463" s="1"/>
      <c r="F31463" s="1"/>
      <c r="G31463" s="1"/>
    </row>
    <row r="31464">
      <c r="B31464" s="36"/>
      <c r="C31464" s="36"/>
      <c r="E31464" s="1"/>
      <c r="F31464" s="1"/>
      <c r="G31464" s="1"/>
    </row>
    <row r="31465">
      <c r="B31465" s="36"/>
      <c r="C31465" s="36"/>
      <c r="E31465" s="1"/>
      <c r="F31465" s="1"/>
      <c r="G31465" s="1"/>
    </row>
    <row r="31466">
      <c r="B31466" s="36"/>
      <c r="C31466" s="36"/>
      <c r="E31466" s="1"/>
      <c r="F31466" s="1"/>
      <c r="G31466" s="1"/>
    </row>
    <row r="31467">
      <c r="B31467" s="36"/>
      <c r="C31467" s="36"/>
      <c r="E31467" s="1"/>
      <c r="F31467" s="1"/>
      <c r="G31467" s="1"/>
    </row>
    <row r="31468">
      <c r="B31468" s="36"/>
      <c r="C31468" s="36"/>
      <c r="E31468" s="1"/>
      <c r="F31468" s="1"/>
      <c r="G31468" s="1"/>
    </row>
    <row r="31469">
      <c r="B31469" s="36"/>
      <c r="C31469" s="36"/>
      <c r="E31469" s="1"/>
      <c r="F31469" s="1"/>
      <c r="G31469" s="1"/>
    </row>
    <row r="31470">
      <c r="B31470" s="36"/>
      <c r="C31470" s="36"/>
      <c r="E31470" s="1"/>
      <c r="F31470" s="1"/>
      <c r="G31470" s="1"/>
    </row>
    <row r="31471">
      <c r="B31471" s="36"/>
      <c r="C31471" s="36"/>
      <c r="E31471" s="1"/>
      <c r="F31471" s="1"/>
      <c r="G31471" s="1"/>
    </row>
    <row r="31472">
      <c r="B31472" s="36"/>
      <c r="C31472" s="36"/>
      <c r="E31472" s="1"/>
      <c r="F31472" s="1"/>
      <c r="G31472" s="1"/>
    </row>
    <row r="31473">
      <c r="B31473" s="36"/>
      <c r="C31473" s="36"/>
      <c r="E31473" s="1"/>
      <c r="F31473" s="1"/>
      <c r="G31473" s="1"/>
    </row>
    <row r="31474">
      <c r="B31474" s="36"/>
      <c r="C31474" s="36"/>
      <c r="E31474" s="1"/>
      <c r="F31474" s="1"/>
      <c r="G31474" s="1"/>
    </row>
    <row r="31475">
      <c r="B31475" s="36"/>
      <c r="C31475" s="36"/>
      <c r="E31475" s="1"/>
      <c r="F31475" s="1"/>
      <c r="G31475" s="1"/>
    </row>
    <row r="31476">
      <c r="B31476" s="36"/>
      <c r="C31476" s="36"/>
      <c r="E31476" s="1"/>
      <c r="F31476" s="1"/>
      <c r="G31476" s="1"/>
    </row>
    <row r="31477">
      <c r="B31477" s="36"/>
      <c r="C31477" s="36"/>
      <c r="E31477" s="1"/>
      <c r="F31477" s="1"/>
      <c r="G31477" s="1"/>
    </row>
    <row r="31478">
      <c r="B31478" s="36"/>
      <c r="C31478" s="36"/>
      <c r="E31478" s="1"/>
      <c r="F31478" s="1"/>
      <c r="G31478" s="1"/>
    </row>
    <row r="31479">
      <c r="B31479" s="36"/>
      <c r="C31479" s="36"/>
      <c r="E31479" s="1"/>
      <c r="F31479" s="1"/>
      <c r="G31479" s="1"/>
    </row>
    <row r="31480">
      <c r="B31480" s="36"/>
      <c r="C31480" s="36"/>
      <c r="E31480" s="1"/>
      <c r="F31480" s="1"/>
      <c r="G31480" s="1"/>
    </row>
    <row r="31481">
      <c r="B31481" s="36"/>
      <c r="C31481" s="36"/>
      <c r="E31481" s="1"/>
      <c r="F31481" s="1"/>
      <c r="G31481" s="1"/>
    </row>
    <row r="31482">
      <c r="B31482" s="36"/>
      <c r="C31482" s="36"/>
      <c r="E31482" s="1"/>
      <c r="F31482" s="1"/>
      <c r="G31482" s="1"/>
    </row>
    <row r="31483">
      <c r="B31483" s="36"/>
      <c r="C31483" s="36"/>
      <c r="E31483" s="1"/>
      <c r="F31483" s="1"/>
      <c r="G31483" s="1"/>
    </row>
    <row r="31484">
      <c r="B31484" s="36"/>
      <c r="C31484" s="36"/>
      <c r="E31484" s="1"/>
      <c r="F31484" s="1"/>
      <c r="G31484" s="1"/>
    </row>
    <row r="31485">
      <c r="B31485" s="36"/>
      <c r="C31485" s="36"/>
      <c r="E31485" s="1"/>
      <c r="F31485" s="1"/>
      <c r="G31485" s="1"/>
    </row>
    <row r="31486">
      <c r="B31486" s="36"/>
      <c r="C31486" s="36"/>
      <c r="E31486" s="1"/>
      <c r="F31486" s="1"/>
      <c r="G31486" s="1"/>
    </row>
    <row r="31487">
      <c r="B31487" s="36"/>
      <c r="C31487" s="36"/>
      <c r="E31487" s="1"/>
      <c r="F31487" s="1"/>
      <c r="G31487" s="1"/>
    </row>
    <row r="31488">
      <c r="B31488" s="36"/>
      <c r="C31488" s="36"/>
      <c r="E31488" s="1"/>
      <c r="F31488" s="1"/>
      <c r="G31488" s="1"/>
    </row>
    <row r="31489">
      <c r="B31489" s="36"/>
      <c r="C31489" s="36"/>
      <c r="E31489" s="1"/>
      <c r="F31489" s="1"/>
      <c r="G31489" s="1"/>
    </row>
    <row r="31490">
      <c r="B31490" s="36"/>
      <c r="C31490" s="36"/>
      <c r="E31490" s="1"/>
      <c r="F31490" s="1"/>
      <c r="G31490" s="1"/>
    </row>
    <row r="31491">
      <c r="B31491" s="36"/>
      <c r="C31491" s="36"/>
      <c r="E31491" s="1"/>
      <c r="F31491" s="1"/>
      <c r="G31491" s="1"/>
    </row>
    <row r="31492">
      <c r="B31492" s="36"/>
      <c r="C31492" s="36"/>
      <c r="E31492" s="1"/>
      <c r="F31492" s="1"/>
      <c r="G31492" s="1"/>
    </row>
    <row r="31493">
      <c r="B31493" s="36"/>
      <c r="C31493" s="36"/>
      <c r="E31493" s="1"/>
      <c r="F31493" s="1"/>
      <c r="G31493" s="1"/>
    </row>
    <row r="31494">
      <c r="B31494" s="36"/>
      <c r="C31494" s="36"/>
      <c r="E31494" s="1"/>
      <c r="F31494" s="1"/>
      <c r="G31494" s="1"/>
    </row>
    <row r="31495">
      <c r="B31495" s="36"/>
      <c r="C31495" s="36"/>
      <c r="E31495" s="1"/>
      <c r="F31495" s="1"/>
      <c r="G31495" s="1"/>
    </row>
    <row r="31496">
      <c r="B31496" s="36"/>
      <c r="C31496" s="36"/>
      <c r="E31496" s="1"/>
      <c r="F31496" s="1"/>
      <c r="G31496" s="1"/>
    </row>
    <row r="31497">
      <c r="B31497" s="36"/>
      <c r="C31497" s="36"/>
      <c r="E31497" s="1"/>
      <c r="F31497" s="1"/>
      <c r="G31497" s="1"/>
    </row>
    <row r="31498">
      <c r="B31498" s="36"/>
      <c r="C31498" s="36"/>
      <c r="E31498" s="1"/>
      <c r="F31498" s="1"/>
      <c r="G31498" s="1"/>
    </row>
    <row r="31499">
      <c r="B31499" s="36"/>
      <c r="C31499" s="36"/>
      <c r="E31499" s="1"/>
      <c r="F31499" s="1"/>
      <c r="G31499" s="1"/>
    </row>
    <row r="31500">
      <c r="B31500" s="36"/>
      <c r="C31500" s="36"/>
      <c r="E31500" s="1"/>
      <c r="F31500" s="1"/>
      <c r="G31500" s="1"/>
    </row>
    <row r="31501">
      <c r="B31501" s="36"/>
      <c r="C31501" s="36"/>
      <c r="E31501" s="1"/>
      <c r="F31501" s="1"/>
      <c r="G31501" s="1"/>
    </row>
    <row r="31502">
      <c r="B31502" s="36"/>
      <c r="C31502" s="36"/>
      <c r="E31502" s="1"/>
      <c r="F31502" s="1"/>
      <c r="G31502" s="1"/>
    </row>
    <row r="31503">
      <c r="B31503" s="36"/>
      <c r="C31503" s="36"/>
      <c r="E31503" s="1"/>
      <c r="F31503" s="1"/>
      <c r="G31503" s="1"/>
    </row>
    <row r="31504">
      <c r="B31504" s="36"/>
      <c r="C31504" s="36"/>
      <c r="E31504" s="1"/>
      <c r="F31504" s="1"/>
      <c r="G31504" s="1"/>
    </row>
    <row r="31505">
      <c r="B31505" s="36"/>
      <c r="C31505" s="36"/>
      <c r="E31505" s="1"/>
      <c r="F31505" s="1"/>
      <c r="G31505" s="1"/>
    </row>
    <row r="31506">
      <c r="B31506" s="36"/>
      <c r="C31506" s="36"/>
      <c r="E31506" s="1"/>
      <c r="F31506" s="1"/>
      <c r="G31506" s="1"/>
    </row>
    <row r="31507">
      <c r="B31507" s="36"/>
      <c r="C31507" s="36"/>
      <c r="E31507" s="1"/>
      <c r="F31507" s="1"/>
      <c r="G31507" s="1"/>
    </row>
    <row r="31508">
      <c r="B31508" s="36"/>
      <c r="C31508" s="36"/>
      <c r="E31508" s="1"/>
      <c r="F31508" s="1"/>
      <c r="G31508" s="1"/>
    </row>
    <row r="31509">
      <c r="B31509" s="36"/>
      <c r="C31509" s="36"/>
      <c r="E31509" s="1"/>
      <c r="F31509" s="1"/>
      <c r="G31509" s="1"/>
    </row>
    <row r="31510">
      <c r="B31510" s="36"/>
      <c r="C31510" s="36"/>
      <c r="E31510" s="1"/>
      <c r="F31510" s="1"/>
      <c r="G31510" s="1"/>
    </row>
    <row r="31511">
      <c r="B31511" s="36"/>
      <c r="C31511" s="36"/>
      <c r="E31511" s="1"/>
      <c r="F31511" s="1"/>
      <c r="G31511" s="1"/>
    </row>
    <row r="31512">
      <c r="B31512" s="36"/>
      <c r="C31512" s="36"/>
      <c r="E31512" s="1"/>
      <c r="F31512" s="1"/>
      <c r="G31512" s="1"/>
    </row>
    <row r="31513">
      <c r="B31513" s="36"/>
      <c r="C31513" s="36"/>
      <c r="E31513" s="1"/>
      <c r="F31513" s="1"/>
      <c r="G31513" s="1"/>
    </row>
    <row r="31514">
      <c r="B31514" s="36"/>
      <c r="C31514" s="36"/>
      <c r="E31514" s="1"/>
      <c r="F31514" s="1"/>
      <c r="G31514" s="1"/>
    </row>
    <row r="31515">
      <c r="B31515" s="36"/>
      <c r="C31515" s="36"/>
      <c r="E31515" s="1"/>
      <c r="F31515" s="1"/>
      <c r="G31515" s="1"/>
    </row>
    <row r="31516">
      <c r="B31516" s="36"/>
      <c r="C31516" s="36"/>
      <c r="E31516" s="1"/>
      <c r="F31516" s="1"/>
      <c r="G31516" s="1"/>
    </row>
    <row r="31517">
      <c r="B31517" s="36"/>
      <c r="C31517" s="36"/>
      <c r="E31517" s="1"/>
      <c r="F31517" s="1"/>
      <c r="G31517" s="1"/>
    </row>
    <row r="31518">
      <c r="B31518" s="36"/>
      <c r="C31518" s="36"/>
      <c r="E31518" s="1"/>
      <c r="F31518" s="1"/>
      <c r="G31518" s="1"/>
    </row>
    <row r="31519">
      <c r="B31519" s="36"/>
      <c r="C31519" s="36"/>
      <c r="E31519" s="1"/>
      <c r="F31519" s="1"/>
      <c r="G31519" s="1"/>
    </row>
    <row r="31520">
      <c r="B31520" s="36"/>
      <c r="C31520" s="36"/>
      <c r="E31520" s="1"/>
      <c r="F31520" s="1"/>
      <c r="G31520" s="1"/>
    </row>
    <row r="31521">
      <c r="B31521" s="36"/>
      <c r="C31521" s="36"/>
      <c r="E31521" s="1"/>
      <c r="F31521" s="1"/>
      <c r="G31521" s="1"/>
    </row>
    <row r="31522">
      <c r="B31522" s="36"/>
      <c r="C31522" s="36"/>
      <c r="E31522" s="1"/>
      <c r="F31522" s="1"/>
      <c r="G31522" s="1"/>
    </row>
    <row r="31523">
      <c r="B31523" s="36"/>
      <c r="C31523" s="36"/>
      <c r="E31523" s="1"/>
      <c r="F31523" s="1"/>
      <c r="G31523" s="1"/>
    </row>
    <row r="31524">
      <c r="B31524" s="36"/>
      <c r="C31524" s="36"/>
      <c r="E31524" s="1"/>
      <c r="F31524" s="1"/>
      <c r="G31524" s="1"/>
    </row>
    <row r="31525">
      <c r="B31525" s="36"/>
      <c r="C31525" s="36"/>
      <c r="E31525" s="1"/>
      <c r="F31525" s="1"/>
      <c r="G31525" s="1"/>
    </row>
    <row r="31526">
      <c r="B31526" s="36"/>
      <c r="C31526" s="36"/>
      <c r="E31526" s="1"/>
      <c r="F31526" s="1"/>
      <c r="G31526" s="1"/>
    </row>
    <row r="31527">
      <c r="B31527" s="36"/>
      <c r="C31527" s="36"/>
      <c r="E31527" s="1"/>
      <c r="F31527" s="1"/>
      <c r="G31527" s="1"/>
    </row>
    <row r="31528">
      <c r="B31528" s="36"/>
      <c r="C31528" s="36"/>
      <c r="E31528" s="1"/>
      <c r="F31528" s="1"/>
      <c r="G31528" s="1"/>
    </row>
    <row r="31529">
      <c r="B31529" s="36"/>
      <c r="C31529" s="36"/>
      <c r="E31529" s="1"/>
      <c r="F31529" s="1"/>
      <c r="G31529" s="1"/>
    </row>
    <row r="31530">
      <c r="B31530" s="36"/>
      <c r="C31530" s="36"/>
      <c r="E31530" s="1"/>
      <c r="F31530" s="1"/>
      <c r="G31530" s="1"/>
    </row>
    <row r="31531">
      <c r="B31531" s="36"/>
      <c r="C31531" s="36"/>
      <c r="E31531" s="1"/>
      <c r="F31531" s="1"/>
      <c r="G31531" s="1"/>
    </row>
    <row r="31532">
      <c r="B31532" s="36"/>
      <c r="C31532" s="36"/>
      <c r="E31532" s="1"/>
      <c r="F31532" s="1"/>
      <c r="G31532" s="1"/>
    </row>
    <row r="31533">
      <c r="B31533" s="36"/>
      <c r="C31533" s="36"/>
      <c r="E31533" s="1"/>
      <c r="F31533" s="1"/>
      <c r="G31533" s="1"/>
    </row>
    <row r="31534">
      <c r="B31534" s="36"/>
      <c r="C31534" s="36"/>
      <c r="E31534" s="1"/>
      <c r="F31534" s="1"/>
      <c r="G31534" s="1"/>
    </row>
    <row r="31535">
      <c r="B31535" s="36"/>
      <c r="C31535" s="36"/>
      <c r="E31535" s="1"/>
      <c r="F31535" s="1"/>
      <c r="G31535" s="1"/>
    </row>
    <row r="31536">
      <c r="B31536" s="36"/>
      <c r="C31536" s="36"/>
      <c r="E31536" s="1"/>
      <c r="F31536" s="1"/>
      <c r="G31536" s="1"/>
    </row>
    <row r="31537">
      <c r="B31537" s="36"/>
      <c r="C31537" s="36"/>
      <c r="E31537" s="1"/>
      <c r="F31537" s="1"/>
      <c r="G31537" s="1"/>
    </row>
    <row r="31538">
      <c r="B31538" s="36"/>
      <c r="C31538" s="36"/>
      <c r="E31538" s="1"/>
      <c r="F31538" s="1"/>
      <c r="G31538" s="1"/>
    </row>
    <row r="31539">
      <c r="B31539" s="36"/>
      <c r="C31539" s="36"/>
      <c r="E31539" s="1"/>
      <c r="F31539" s="1"/>
      <c r="G31539" s="1"/>
    </row>
    <row r="31540">
      <c r="B31540" s="36"/>
      <c r="C31540" s="36"/>
      <c r="E31540" s="1"/>
      <c r="F31540" s="1"/>
      <c r="G31540" s="1"/>
    </row>
    <row r="31541">
      <c r="B31541" s="36"/>
      <c r="C31541" s="36"/>
      <c r="E31541" s="1"/>
      <c r="F31541" s="1"/>
      <c r="G31541" s="1"/>
    </row>
    <row r="31542">
      <c r="B31542" s="36"/>
      <c r="C31542" s="36"/>
      <c r="E31542" s="1"/>
      <c r="F31542" s="1"/>
      <c r="G31542" s="1"/>
    </row>
    <row r="31543">
      <c r="B31543" s="36"/>
      <c r="C31543" s="36"/>
      <c r="E31543" s="1"/>
      <c r="F31543" s="1"/>
      <c r="G31543" s="1"/>
    </row>
    <row r="31544">
      <c r="B31544" s="36"/>
      <c r="C31544" s="36"/>
      <c r="E31544" s="1"/>
      <c r="F31544" s="1"/>
      <c r="G31544" s="1"/>
    </row>
    <row r="31545">
      <c r="B31545" s="36"/>
      <c r="C31545" s="36"/>
      <c r="E31545" s="1"/>
      <c r="F31545" s="1"/>
      <c r="G31545" s="1"/>
    </row>
    <row r="31546">
      <c r="B31546" s="36"/>
      <c r="C31546" s="36"/>
      <c r="E31546" s="1"/>
      <c r="F31546" s="1"/>
      <c r="G31546" s="1"/>
    </row>
    <row r="31547">
      <c r="B31547" s="36"/>
      <c r="C31547" s="36"/>
      <c r="E31547" s="1"/>
      <c r="F31547" s="1"/>
      <c r="G31547" s="1"/>
    </row>
    <row r="31548">
      <c r="B31548" s="36"/>
      <c r="C31548" s="36"/>
      <c r="E31548" s="1"/>
      <c r="F31548" s="1"/>
      <c r="G31548" s="1"/>
    </row>
    <row r="31549">
      <c r="B31549" s="36"/>
      <c r="C31549" s="36"/>
      <c r="E31549" s="1"/>
      <c r="F31549" s="1"/>
      <c r="G31549" s="1"/>
    </row>
    <row r="31550">
      <c r="B31550" s="36"/>
      <c r="C31550" s="36"/>
      <c r="E31550" s="1"/>
      <c r="F31550" s="1"/>
      <c r="G31550" s="1"/>
    </row>
    <row r="31551">
      <c r="B31551" s="36"/>
      <c r="C31551" s="36"/>
      <c r="E31551" s="1"/>
      <c r="F31551" s="1"/>
      <c r="G31551" s="1"/>
    </row>
    <row r="31552">
      <c r="B31552" s="36"/>
      <c r="C31552" s="36"/>
      <c r="E31552" s="1"/>
      <c r="F31552" s="1"/>
      <c r="G31552" s="1"/>
    </row>
    <row r="31553">
      <c r="B31553" s="36"/>
      <c r="C31553" s="36"/>
      <c r="E31553" s="1"/>
      <c r="F31553" s="1"/>
      <c r="G31553" s="1"/>
    </row>
    <row r="31554">
      <c r="B31554" s="36"/>
      <c r="C31554" s="36"/>
      <c r="E31554" s="1"/>
      <c r="F31554" s="1"/>
      <c r="G31554" s="1"/>
    </row>
    <row r="31555">
      <c r="B31555" s="36"/>
      <c r="C31555" s="36"/>
      <c r="E31555" s="1"/>
      <c r="F31555" s="1"/>
      <c r="G31555" s="1"/>
    </row>
    <row r="31556">
      <c r="B31556" s="36"/>
      <c r="C31556" s="36"/>
      <c r="E31556" s="1"/>
      <c r="F31556" s="1"/>
      <c r="G31556" s="1"/>
    </row>
    <row r="31557">
      <c r="B31557" s="36"/>
      <c r="C31557" s="36"/>
      <c r="E31557" s="1"/>
      <c r="F31557" s="1"/>
      <c r="G31557" s="1"/>
    </row>
    <row r="31558">
      <c r="B31558" s="36"/>
      <c r="C31558" s="36"/>
      <c r="E31558" s="1"/>
      <c r="F31558" s="1"/>
      <c r="G31558" s="1"/>
    </row>
    <row r="31559">
      <c r="B31559" s="36"/>
      <c r="C31559" s="36"/>
      <c r="E31559" s="1"/>
      <c r="F31559" s="1"/>
      <c r="G31559" s="1"/>
    </row>
    <row r="31560">
      <c r="B31560" s="36"/>
      <c r="C31560" s="36"/>
      <c r="E31560" s="1"/>
      <c r="F31560" s="1"/>
      <c r="G31560" s="1"/>
    </row>
    <row r="31561">
      <c r="B31561" s="36"/>
      <c r="C31561" s="36"/>
      <c r="E31561" s="1"/>
      <c r="F31561" s="1"/>
      <c r="G31561" s="1"/>
    </row>
    <row r="31562">
      <c r="B31562" s="36"/>
      <c r="C31562" s="36"/>
      <c r="E31562" s="1"/>
      <c r="F31562" s="1"/>
      <c r="G31562" s="1"/>
    </row>
    <row r="31563">
      <c r="B31563" s="36"/>
      <c r="C31563" s="36"/>
      <c r="E31563" s="1"/>
      <c r="F31563" s="1"/>
      <c r="G31563" s="1"/>
    </row>
    <row r="31564">
      <c r="B31564" s="36"/>
      <c r="C31564" s="36"/>
      <c r="E31564" s="1"/>
      <c r="F31564" s="1"/>
      <c r="G31564" s="1"/>
    </row>
    <row r="31565">
      <c r="B31565" s="36"/>
      <c r="C31565" s="36"/>
      <c r="E31565" s="1"/>
      <c r="F31565" s="1"/>
      <c r="G31565" s="1"/>
    </row>
    <row r="31566">
      <c r="B31566" s="36"/>
      <c r="C31566" s="36"/>
      <c r="E31566" s="1"/>
      <c r="F31566" s="1"/>
      <c r="G31566" s="1"/>
    </row>
    <row r="31567">
      <c r="B31567" s="36"/>
      <c r="C31567" s="36"/>
      <c r="E31567" s="1"/>
      <c r="F31567" s="1"/>
      <c r="G31567" s="1"/>
    </row>
    <row r="31568">
      <c r="B31568" s="36"/>
      <c r="C31568" s="36"/>
      <c r="E31568" s="1"/>
      <c r="F31568" s="1"/>
      <c r="G31568" s="1"/>
    </row>
    <row r="31569">
      <c r="B31569" s="36"/>
      <c r="C31569" s="36"/>
      <c r="E31569" s="1"/>
      <c r="F31569" s="1"/>
      <c r="G31569" s="1"/>
    </row>
    <row r="31570">
      <c r="B31570" s="36"/>
      <c r="C31570" s="36"/>
      <c r="E31570" s="1"/>
      <c r="F31570" s="1"/>
      <c r="G31570" s="1"/>
    </row>
    <row r="31571">
      <c r="B31571" s="36"/>
      <c r="C31571" s="36"/>
      <c r="E31571" s="1"/>
      <c r="F31571" s="1"/>
      <c r="G31571" s="1"/>
    </row>
    <row r="31572">
      <c r="B31572" s="36"/>
      <c r="C31572" s="36"/>
      <c r="E31572" s="1"/>
      <c r="F31572" s="1"/>
      <c r="G31572" s="1"/>
    </row>
    <row r="31573">
      <c r="B31573" s="36"/>
      <c r="C31573" s="36"/>
      <c r="E31573" s="1"/>
      <c r="F31573" s="1"/>
      <c r="G31573" s="1"/>
    </row>
    <row r="31574">
      <c r="B31574" s="36"/>
      <c r="C31574" s="36"/>
      <c r="E31574" s="1"/>
      <c r="F31574" s="1"/>
      <c r="G31574" s="1"/>
    </row>
    <row r="31575">
      <c r="B31575" s="36"/>
      <c r="C31575" s="36"/>
      <c r="E31575" s="1"/>
      <c r="F31575" s="1"/>
      <c r="G31575" s="1"/>
    </row>
    <row r="31576">
      <c r="B31576" s="36"/>
      <c r="C31576" s="36"/>
      <c r="E31576" s="1"/>
      <c r="F31576" s="1"/>
      <c r="G31576" s="1"/>
    </row>
    <row r="31577">
      <c r="B31577" s="36"/>
      <c r="C31577" s="36"/>
      <c r="E31577" s="1"/>
      <c r="F31577" s="1"/>
      <c r="G31577" s="1"/>
    </row>
    <row r="31578">
      <c r="B31578" s="36"/>
      <c r="C31578" s="36"/>
      <c r="E31578" s="1"/>
      <c r="F31578" s="1"/>
      <c r="G31578" s="1"/>
    </row>
    <row r="31579">
      <c r="B31579" s="36"/>
      <c r="C31579" s="36"/>
      <c r="E31579" s="1"/>
      <c r="F31579" s="1"/>
      <c r="G31579" s="1"/>
    </row>
    <row r="31580">
      <c r="B31580" s="36"/>
      <c r="C31580" s="36"/>
      <c r="E31580" s="1"/>
      <c r="F31580" s="1"/>
      <c r="G31580" s="1"/>
    </row>
    <row r="31581">
      <c r="B31581" s="36"/>
      <c r="C31581" s="36"/>
      <c r="E31581" s="1"/>
      <c r="F31581" s="1"/>
      <c r="G31581" s="1"/>
    </row>
    <row r="31582">
      <c r="B31582" s="36"/>
      <c r="C31582" s="36"/>
      <c r="E31582" s="1"/>
      <c r="F31582" s="1"/>
      <c r="G31582" s="1"/>
    </row>
    <row r="31583">
      <c r="B31583" s="36"/>
      <c r="C31583" s="36"/>
      <c r="E31583" s="1"/>
      <c r="F31583" s="1"/>
      <c r="G31583" s="1"/>
    </row>
    <row r="31584">
      <c r="B31584" s="36"/>
      <c r="C31584" s="36"/>
      <c r="E31584" s="1"/>
      <c r="F31584" s="1"/>
      <c r="G31584" s="1"/>
    </row>
    <row r="31585">
      <c r="B31585" s="36"/>
      <c r="C31585" s="36"/>
      <c r="E31585" s="1"/>
      <c r="F31585" s="1"/>
      <c r="G31585" s="1"/>
    </row>
    <row r="31586">
      <c r="B31586" s="36"/>
      <c r="C31586" s="36"/>
      <c r="E31586" s="1"/>
      <c r="F31586" s="1"/>
      <c r="G31586" s="1"/>
    </row>
    <row r="31587">
      <c r="B31587" s="36"/>
      <c r="C31587" s="36"/>
      <c r="E31587" s="1"/>
      <c r="F31587" s="1"/>
      <c r="G31587" s="1"/>
    </row>
    <row r="31588">
      <c r="B31588" s="36"/>
      <c r="C31588" s="36"/>
      <c r="E31588" s="1"/>
      <c r="F31588" s="1"/>
      <c r="G31588" s="1"/>
    </row>
    <row r="31589">
      <c r="B31589" s="36"/>
      <c r="C31589" s="36"/>
      <c r="E31589" s="1"/>
      <c r="F31589" s="1"/>
      <c r="G31589" s="1"/>
    </row>
    <row r="31590">
      <c r="B31590" s="36"/>
      <c r="C31590" s="36"/>
      <c r="E31590" s="1"/>
      <c r="F31590" s="1"/>
      <c r="G31590" s="1"/>
    </row>
    <row r="31591">
      <c r="B31591" s="36"/>
      <c r="C31591" s="36"/>
      <c r="E31591" s="1"/>
      <c r="F31591" s="1"/>
      <c r="G31591" s="1"/>
    </row>
    <row r="31592">
      <c r="B31592" s="36"/>
      <c r="C31592" s="36"/>
      <c r="E31592" s="1"/>
      <c r="F31592" s="1"/>
      <c r="G31592" s="1"/>
    </row>
    <row r="31593">
      <c r="B31593" s="36"/>
      <c r="C31593" s="36"/>
      <c r="E31593" s="1"/>
      <c r="F31593" s="1"/>
      <c r="G31593" s="1"/>
    </row>
    <row r="31594">
      <c r="B31594" s="36"/>
      <c r="C31594" s="36"/>
      <c r="E31594" s="1"/>
      <c r="F31594" s="1"/>
      <c r="G31594" s="1"/>
    </row>
    <row r="31595">
      <c r="B31595" s="36"/>
      <c r="C31595" s="36"/>
      <c r="E31595" s="1"/>
      <c r="F31595" s="1"/>
      <c r="G31595" s="1"/>
    </row>
    <row r="31596">
      <c r="B31596" s="36"/>
      <c r="C31596" s="36"/>
      <c r="E31596" s="1"/>
      <c r="F31596" s="1"/>
      <c r="G31596" s="1"/>
    </row>
    <row r="31597">
      <c r="B31597" s="36"/>
      <c r="C31597" s="36"/>
      <c r="E31597" s="1"/>
      <c r="F31597" s="1"/>
      <c r="G31597" s="1"/>
    </row>
    <row r="31598">
      <c r="B31598" s="36"/>
      <c r="C31598" s="36"/>
      <c r="E31598" s="1"/>
      <c r="F31598" s="1"/>
      <c r="G31598" s="1"/>
    </row>
    <row r="31599">
      <c r="B31599" s="36"/>
      <c r="C31599" s="36"/>
      <c r="E31599" s="1"/>
      <c r="F31599" s="1"/>
      <c r="G31599" s="1"/>
    </row>
    <row r="31600">
      <c r="B31600" s="36"/>
      <c r="C31600" s="36"/>
      <c r="E31600" s="1"/>
      <c r="F31600" s="1"/>
      <c r="G31600" s="1"/>
    </row>
    <row r="31601">
      <c r="B31601" s="36"/>
      <c r="C31601" s="36"/>
      <c r="E31601" s="1"/>
      <c r="F31601" s="1"/>
      <c r="G31601" s="1"/>
    </row>
    <row r="31602">
      <c r="B31602" s="36"/>
      <c r="C31602" s="36"/>
      <c r="E31602" s="1"/>
      <c r="F31602" s="1"/>
      <c r="G31602" s="1"/>
    </row>
    <row r="31603">
      <c r="B31603" s="36"/>
      <c r="C31603" s="36"/>
      <c r="E31603" s="1"/>
      <c r="F31603" s="1"/>
      <c r="G31603" s="1"/>
    </row>
    <row r="31604">
      <c r="B31604" s="36"/>
      <c r="C31604" s="36"/>
      <c r="E31604" s="1"/>
      <c r="F31604" s="1"/>
      <c r="G31604" s="1"/>
    </row>
    <row r="31605">
      <c r="B31605" s="36"/>
      <c r="C31605" s="36"/>
      <c r="E31605" s="1"/>
      <c r="F31605" s="1"/>
      <c r="G31605" s="1"/>
    </row>
    <row r="31606">
      <c r="B31606" s="36"/>
      <c r="C31606" s="36"/>
      <c r="E31606" s="1"/>
      <c r="F31606" s="1"/>
      <c r="G31606" s="1"/>
    </row>
    <row r="31607">
      <c r="B31607" s="36"/>
      <c r="C31607" s="36"/>
      <c r="E31607" s="1"/>
      <c r="F31607" s="1"/>
      <c r="G31607" s="1"/>
    </row>
    <row r="31608">
      <c r="B31608" s="36"/>
      <c r="C31608" s="36"/>
      <c r="E31608" s="1"/>
      <c r="F31608" s="1"/>
      <c r="G31608" s="1"/>
    </row>
    <row r="31609">
      <c r="B31609" s="36"/>
      <c r="C31609" s="36"/>
      <c r="E31609" s="1"/>
      <c r="F31609" s="1"/>
      <c r="G31609" s="1"/>
    </row>
    <row r="31610">
      <c r="B31610" s="36"/>
      <c r="C31610" s="36"/>
      <c r="E31610" s="1"/>
      <c r="F31610" s="1"/>
      <c r="G31610" s="1"/>
    </row>
    <row r="31611">
      <c r="B31611" s="36"/>
      <c r="C31611" s="36"/>
      <c r="E31611" s="1"/>
      <c r="F31611" s="1"/>
      <c r="G31611" s="1"/>
    </row>
    <row r="31612">
      <c r="B31612" s="36"/>
      <c r="C31612" s="36"/>
      <c r="E31612" s="1"/>
      <c r="F31612" s="1"/>
      <c r="G31612" s="1"/>
    </row>
    <row r="31613">
      <c r="B31613" s="36"/>
      <c r="C31613" s="36"/>
      <c r="E31613" s="1"/>
      <c r="F31613" s="1"/>
      <c r="G31613" s="1"/>
    </row>
    <row r="31614">
      <c r="B31614" s="36"/>
      <c r="C31614" s="36"/>
      <c r="E31614" s="1"/>
      <c r="F31614" s="1"/>
      <c r="G31614" s="1"/>
    </row>
    <row r="31615">
      <c r="B31615" s="36"/>
      <c r="C31615" s="36"/>
      <c r="E31615" s="1"/>
      <c r="F31615" s="1"/>
      <c r="G31615" s="1"/>
    </row>
    <row r="31616">
      <c r="B31616" s="36"/>
      <c r="C31616" s="36"/>
      <c r="E31616" s="1"/>
      <c r="F31616" s="1"/>
      <c r="G31616" s="1"/>
    </row>
    <row r="31617">
      <c r="B31617" s="36"/>
      <c r="C31617" s="36"/>
      <c r="E31617" s="1"/>
      <c r="F31617" s="1"/>
      <c r="G31617" s="1"/>
    </row>
    <row r="31618">
      <c r="B31618" s="36"/>
      <c r="C31618" s="36"/>
      <c r="E31618" s="1"/>
      <c r="F31618" s="1"/>
      <c r="G31618" s="1"/>
    </row>
    <row r="31619">
      <c r="B31619" s="36"/>
      <c r="C31619" s="36"/>
      <c r="E31619" s="1"/>
      <c r="F31619" s="1"/>
      <c r="G31619" s="1"/>
    </row>
    <row r="31620">
      <c r="B31620" s="36"/>
      <c r="C31620" s="36"/>
      <c r="E31620" s="1"/>
      <c r="F31620" s="1"/>
      <c r="G31620" s="1"/>
    </row>
    <row r="31621">
      <c r="B31621" s="36"/>
      <c r="C31621" s="36"/>
      <c r="E31621" s="1"/>
      <c r="F31621" s="1"/>
      <c r="G31621" s="1"/>
    </row>
    <row r="31622">
      <c r="B31622" s="36"/>
      <c r="C31622" s="36"/>
      <c r="E31622" s="1"/>
      <c r="F31622" s="1"/>
      <c r="G31622" s="1"/>
    </row>
    <row r="31623">
      <c r="B31623" s="36"/>
      <c r="C31623" s="36"/>
      <c r="E31623" s="1"/>
      <c r="F31623" s="1"/>
      <c r="G31623" s="1"/>
    </row>
    <row r="31624">
      <c r="B31624" s="36"/>
      <c r="C31624" s="36"/>
      <c r="E31624" s="1"/>
      <c r="F31624" s="1"/>
      <c r="G31624" s="1"/>
    </row>
    <row r="31625">
      <c r="B31625" s="36"/>
      <c r="C31625" s="36"/>
      <c r="E31625" s="1"/>
      <c r="F31625" s="1"/>
      <c r="G31625" s="1"/>
    </row>
    <row r="31626">
      <c r="B31626" s="36"/>
      <c r="C31626" s="36"/>
      <c r="E31626" s="1"/>
      <c r="F31626" s="1"/>
      <c r="G31626" s="1"/>
    </row>
    <row r="31627">
      <c r="B31627" s="36"/>
      <c r="C31627" s="36"/>
      <c r="E31627" s="1"/>
      <c r="F31627" s="1"/>
      <c r="G31627" s="1"/>
    </row>
    <row r="31628">
      <c r="B31628" s="36"/>
      <c r="C31628" s="36"/>
      <c r="E31628" s="1"/>
      <c r="F31628" s="1"/>
      <c r="G31628" s="1"/>
    </row>
    <row r="31629">
      <c r="B31629" s="36"/>
      <c r="C31629" s="36"/>
      <c r="E31629" s="1"/>
      <c r="F31629" s="1"/>
      <c r="G31629" s="1"/>
    </row>
    <row r="31630">
      <c r="B31630" s="36"/>
      <c r="C31630" s="36"/>
      <c r="E31630" s="1"/>
      <c r="F31630" s="1"/>
      <c r="G31630" s="1"/>
    </row>
    <row r="31631">
      <c r="B31631" s="36"/>
      <c r="C31631" s="36"/>
      <c r="E31631" s="1"/>
      <c r="F31631" s="1"/>
      <c r="G31631" s="1"/>
    </row>
    <row r="31632">
      <c r="B31632" s="36"/>
      <c r="C31632" s="36"/>
      <c r="E31632" s="1"/>
      <c r="F31632" s="1"/>
      <c r="G31632" s="1"/>
    </row>
    <row r="31633">
      <c r="B31633" s="36"/>
      <c r="C31633" s="36"/>
      <c r="E31633" s="1"/>
      <c r="F31633" s="1"/>
      <c r="G31633" s="1"/>
    </row>
    <row r="31634">
      <c r="B31634" s="36"/>
      <c r="C31634" s="36"/>
      <c r="E31634" s="1"/>
      <c r="F31634" s="1"/>
      <c r="G31634" s="1"/>
    </row>
    <row r="31635">
      <c r="B31635" s="36"/>
      <c r="C31635" s="36"/>
      <c r="E31635" s="1"/>
      <c r="F31635" s="1"/>
      <c r="G31635" s="1"/>
    </row>
    <row r="31636">
      <c r="B31636" s="36"/>
      <c r="C31636" s="36"/>
      <c r="E31636" s="1"/>
      <c r="F31636" s="1"/>
      <c r="G31636" s="1"/>
    </row>
    <row r="31637">
      <c r="B31637" s="36"/>
      <c r="C31637" s="36"/>
      <c r="E31637" s="1"/>
      <c r="F31637" s="1"/>
      <c r="G31637" s="1"/>
    </row>
    <row r="31638">
      <c r="B31638" s="36"/>
      <c r="C31638" s="36"/>
      <c r="E31638" s="1"/>
      <c r="F31638" s="1"/>
      <c r="G31638" s="1"/>
    </row>
    <row r="31639">
      <c r="B31639" s="36"/>
      <c r="C31639" s="36"/>
      <c r="E31639" s="1"/>
      <c r="F31639" s="1"/>
      <c r="G31639" s="1"/>
    </row>
    <row r="31640">
      <c r="B31640" s="36"/>
      <c r="C31640" s="36"/>
      <c r="E31640" s="1"/>
      <c r="F31640" s="1"/>
      <c r="G31640" s="1"/>
    </row>
    <row r="31641">
      <c r="B31641" s="36"/>
      <c r="C31641" s="36"/>
      <c r="E31641" s="1"/>
      <c r="F31641" s="1"/>
      <c r="G31641" s="1"/>
    </row>
    <row r="31642">
      <c r="B31642" s="36"/>
      <c r="C31642" s="36"/>
      <c r="E31642" s="1"/>
      <c r="F31642" s="1"/>
      <c r="G31642" s="1"/>
    </row>
    <row r="31643">
      <c r="B31643" s="36"/>
      <c r="C31643" s="36"/>
      <c r="E31643" s="1"/>
      <c r="F31643" s="1"/>
      <c r="G31643" s="1"/>
    </row>
    <row r="31644">
      <c r="B31644" s="36"/>
      <c r="C31644" s="36"/>
      <c r="E31644" s="1"/>
      <c r="F31644" s="1"/>
      <c r="G31644" s="1"/>
    </row>
    <row r="31645">
      <c r="B31645" s="36"/>
      <c r="C31645" s="36"/>
      <c r="E31645" s="1"/>
      <c r="F31645" s="1"/>
      <c r="G31645" s="1"/>
    </row>
    <row r="31646">
      <c r="B31646" s="36"/>
      <c r="C31646" s="36"/>
      <c r="E31646" s="1"/>
      <c r="F31646" s="1"/>
      <c r="G31646" s="1"/>
    </row>
    <row r="31647">
      <c r="B31647" s="36"/>
      <c r="C31647" s="36"/>
      <c r="E31647" s="1"/>
      <c r="F31647" s="1"/>
      <c r="G31647" s="1"/>
    </row>
    <row r="31648">
      <c r="B31648" s="36"/>
      <c r="C31648" s="36"/>
      <c r="E31648" s="1"/>
      <c r="F31648" s="1"/>
      <c r="G31648" s="1"/>
    </row>
    <row r="31649">
      <c r="B31649" s="36"/>
      <c r="C31649" s="36"/>
      <c r="E31649" s="1"/>
      <c r="F31649" s="1"/>
      <c r="G31649" s="1"/>
    </row>
    <row r="31650">
      <c r="B31650" s="36"/>
      <c r="C31650" s="36"/>
      <c r="E31650" s="1"/>
      <c r="F31650" s="1"/>
      <c r="G31650" s="1"/>
    </row>
    <row r="31651">
      <c r="B31651" s="36"/>
      <c r="C31651" s="36"/>
      <c r="E31651" s="1"/>
      <c r="F31651" s="1"/>
      <c r="G31651" s="1"/>
    </row>
    <row r="31652">
      <c r="B31652" s="36"/>
      <c r="C31652" s="36"/>
      <c r="E31652" s="1"/>
      <c r="F31652" s="1"/>
      <c r="G31652" s="1"/>
    </row>
    <row r="31653">
      <c r="B31653" s="36"/>
      <c r="C31653" s="36"/>
      <c r="E31653" s="1"/>
      <c r="F31653" s="1"/>
      <c r="G31653" s="1"/>
    </row>
    <row r="31654">
      <c r="B31654" s="36"/>
      <c r="C31654" s="36"/>
      <c r="E31654" s="1"/>
      <c r="F31654" s="1"/>
      <c r="G31654" s="1"/>
    </row>
    <row r="31655">
      <c r="B31655" s="36"/>
      <c r="C31655" s="36"/>
      <c r="E31655" s="1"/>
      <c r="F31655" s="1"/>
      <c r="G31655" s="1"/>
    </row>
    <row r="31656">
      <c r="B31656" s="36"/>
      <c r="C31656" s="36"/>
      <c r="E31656" s="1"/>
      <c r="F31656" s="1"/>
      <c r="G31656" s="1"/>
    </row>
    <row r="31657">
      <c r="B31657" s="36"/>
      <c r="C31657" s="36"/>
      <c r="E31657" s="1"/>
      <c r="F31657" s="1"/>
      <c r="G31657" s="1"/>
    </row>
    <row r="31658">
      <c r="B31658" s="36"/>
      <c r="C31658" s="36"/>
      <c r="E31658" s="1"/>
      <c r="F31658" s="1"/>
      <c r="G31658" s="1"/>
    </row>
    <row r="31659">
      <c r="B31659" s="36"/>
      <c r="C31659" s="36"/>
      <c r="E31659" s="1"/>
      <c r="F31659" s="1"/>
      <c r="G31659" s="1"/>
    </row>
    <row r="31660">
      <c r="B31660" s="36"/>
      <c r="C31660" s="36"/>
      <c r="E31660" s="1"/>
      <c r="F31660" s="1"/>
      <c r="G31660" s="1"/>
    </row>
    <row r="31661">
      <c r="B31661" s="36"/>
      <c r="C31661" s="36"/>
      <c r="E31661" s="1"/>
      <c r="F31661" s="1"/>
      <c r="G31661" s="1"/>
    </row>
    <row r="31662">
      <c r="B31662" s="36"/>
      <c r="C31662" s="36"/>
      <c r="E31662" s="1"/>
      <c r="F31662" s="1"/>
      <c r="G31662" s="1"/>
    </row>
    <row r="31663">
      <c r="B31663" s="36"/>
      <c r="C31663" s="36"/>
      <c r="E31663" s="1"/>
      <c r="F31663" s="1"/>
      <c r="G31663" s="1"/>
    </row>
    <row r="31664">
      <c r="B31664" s="36"/>
      <c r="C31664" s="36"/>
      <c r="E31664" s="1"/>
      <c r="F31664" s="1"/>
      <c r="G31664" s="1"/>
    </row>
    <row r="31665">
      <c r="B31665" s="36"/>
      <c r="C31665" s="36"/>
      <c r="E31665" s="1"/>
      <c r="F31665" s="1"/>
      <c r="G31665" s="1"/>
    </row>
    <row r="31666">
      <c r="B31666" s="36"/>
      <c r="C31666" s="36"/>
      <c r="E31666" s="1"/>
      <c r="F31666" s="1"/>
      <c r="G31666" s="1"/>
    </row>
    <row r="31667">
      <c r="B31667" s="36"/>
      <c r="C31667" s="36"/>
      <c r="E31667" s="1"/>
      <c r="F31667" s="1"/>
      <c r="G31667" s="1"/>
    </row>
    <row r="31668">
      <c r="B31668" s="36"/>
      <c r="C31668" s="36"/>
      <c r="E31668" s="1"/>
      <c r="F31668" s="1"/>
      <c r="G31668" s="1"/>
    </row>
    <row r="31669">
      <c r="B31669" s="36"/>
      <c r="C31669" s="36"/>
      <c r="E31669" s="1"/>
      <c r="F31669" s="1"/>
      <c r="G31669" s="1"/>
    </row>
    <row r="31670">
      <c r="B31670" s="36"/>
      <c r="C31670" s="36"/>
      <c r="E31670" s="1"/>
      <c r="F31670" s="1"/>
      <c r="G31670" s="1"/>
    </row>
    <row r="31671">
      <c r="B31671" s="36"/>
      <c r="C31671" s="36"/>
      <c r="E31671" s="1"/>
      <c r="F31671" s="1"/>
      <c r="G31671" s="1"/>
    </row>
    <row r="31672">
      <c r="B31672" s="36"/>
      <c r="C31672" s="36"/>
      <c r="E31672" s="1"/>
      <c r="F31672" s="1"/>
      <c r="G31672" s="1"/>
    </row>
    <row r="31673">
      <c r="B31673" s="36"/>
      <c r="C31673" s="36"/>
      <c r="E31673" s="1"/>
      <c r="F31673" s="1"/>
      <c r="G31673" s="1"/>
    </row>
    <row r="31674">
      <c r="B31674" s="36"/>
      <c r="C31674" s="36"/>
      <c r="E31674" s="1"/>
      <c r="F31674" s="1"/>
      <c r="G31674" s="1"/>
    </row>
    <row r="31675">
      <c r="B31675" s="36"/>
      <c r="C31675" s="36"/>
      <c r="E31675" s="1"/>
      <c r="F31675" s="1"/>
      <c r="G31675" s="1"/>
    </row>
    <row r="31676">
      <c r="B31676" s="36"/>
      <c r="C31676" s="36"/>
      <c r="E31676" s="1"/>
      <c r="F31676" s="1"/>
      <c r="G31676" s="1"/>
    </row>
    <row r="31677">
      <c r="B31677" s="36"/>
      <c r="C31677" s="36"/>
      <c r="E31677" s="1"/>
      <c r="F31677" s="1"/>
      <c r="G31677" s="1"/>
    </row>
    <row r="31678">
      <c r="B31678" s="36"/>
      <c r="C31678" s="36"/>
      <c r="E31678" s="1"/>
      <c r="F31678" s="1"/>
      <c r="G31678" s="1"/>
    </row>
    <row r="31679">
      <c r="B31679" s="36"/>
      <c r="C31679" s="36"/>
      <c r="E31679" s="1"/>
      <c r="F31679" s="1"/>
      <c r="G31679" s="1"/>
    </row>
    <row r="31680">
      <c r="B31680" s="36"/>
      <c r="C31680" s="36"/>
      <c r="E31680" s="1"/>
      <c r="F31680" s="1"/>
      <c r="G31680" s="1"/>
    </row>
    <row r="31681">
      <c r="B31681" s="36"/>
      <c r="C31681" s="36"/>
      <c r="E31681" s="1"/>
      <c r="F31681" s="1"/>
      <c r="G31681" s="1"/>
    </row>
    <row r="31682">
      <c r="B31682" s="36"/>
      <c r="C31682" s="36"/>
      <c r="E31682" s="1"/>
      <c r="F31682" s="1"/>
      <c r="G31682" s="1"/>
    </row>
    <row r="31683">
      <c r="B31683" s="36"/>
      <c r="C31683" s="36"/>
      <c r="E31683" s="1"/>
      <c r="F31683" s="1"/>
      <c r="G31683" s="1"/>
    </row>
    <row r="31684">
      <c r="B31684" s="36"/>
      <c r="C31684" s="36"/>
      <c r="E31684" s="1"/>
      <c r="F31684" s="1"/>
      <c r="G31684" s="1"/>
    </row>
    <row r="31685">
      <c r="B31685" s="36"/>
      <c r="C31685" s="36"/>
      <c r="E31685" s="1"/>
      <c r="F31685" s="1"/>
      <c r="G31685" s="1"/>
    </row>
    <row r="31686">
      <c r="B31686" s="36"/>
      <c r="C31686" s="36"/>
      <c r="E31686" s="1"/>
      <c r="F31686" s="1"/>
      <c r="G31686" s="1"/>
    </row>
    <row r="31687">
      <c r="B31687" s="36"/>
      <c r="C31687" s="36"/>
      <c r="E31687" s="1"/>
      <c r="F31687" s="1"/>
      <c r="G31687" s="1"/>
    </row>
    <row r="31688">
      <c r="B31688" s="36"/>
      <c r="C31688" s="36"/>
      <c r="E31688" s="1"/>
      <c r="F31688" s="1"/>
      <c r="G31688" s="1"/>
    </row>
    <row r="31689">
      <c r="B31689" s="36"/>
      <c r="C31689" s="36"/>
      <c r="E31689" s="1"/>
      <c r="F31689" s="1"/>
      <c r="G31689" s="1"/>
    </row>
    <row r="31690">
      <c r="B31690" s="36"/>
      <c r="C31690" s="36"/>
      <c r="E31690" s="1"/>
      <c r="F31690" s="1"/>
      <c r="G31690" s="1"/>
    </row>
    <row r="31691">
      <c r="B31691" s="36"/>
      <c r="C31691" s="36"/>
      <c r="E31691" s="1"/>
      <c r="F31691" s="1"/>
      <c r="G31691" s="1"/>
    </row>
    <row r="31692">
      <c r="B31692" s="36"/>
      <c r="C31692" s="36"/>
      <c r="E31692" s="1"/>
      <c r="F31692" s="1"/>
      <c r="G31692" s="1"/>
    </row>
    <row r="31693">
      <c r="B31693" s="36"/>
      <c r="C31693" s="36"/>
      <c r="E31693" s="1"/>
      <c r="F31693" s="1"/>
      <c r="G31693" s="1"/>
    </row>
    <row r="31694">
      <c r="B31694" s="36"/>
      <c r="C31694" s="36"/>
      <c r="E31694" s="1"/>
      <c r="F31694" s="1"/>
      <c r="G31694" s="1"/>
    </row>
    <row r="31695">
      <c r="B31695" s="36"/>
      <c r="C31695" s="36"/>
      <c r="E31695" s="1"/>
      <c r="F31695" s="1"/>
      <c r="G31695" s="1"/>
    </row>
    <row r="31696">
      <c r="B31696" s="36"/>
      <c r="C31696" s="36"/>
      <c r="E31696" s="1"/>
      <c r="F31696" s="1"/>
      <c r="G31696" s="1"/>
    </row>
    <row r="31697">
      <c r="B31697" s="36"/>
      <c r="C31697" s="36"/>
      <c r="E31697" s="1"/>
      <c r="F31697" s="1"/>
      <c r="G31697" s="1"/>
    </row>
    <row r="31698">
      <c r="B31698" s="36"/>
      <c r="C31698" s="36"/>
      <c r="E31698" s="1"/>
      <c r="F31698" s="1"/>
      <c r="G31698" s="1"/>
    </row>
    <row r="31699">
      <c r="B31699" s="36"/>
      <c r="C31699" s="36"/>
      <c r="E31699" s="1"/>
      <c r="F31699" s="1"/>
      <c r="G31699" s="1"/>
    </row>
    <row r="31700">
      <c r="B31700" s="36"/>
      <c r="C31700" s="36"/>
      <c r="E31700" s="1"/>
      <c r="F31700" s="1"/>
      <c r="G31700" s="1"/>
    </row>
    <row r="31701">
      <c r="B31701" s="36"/>
      <c r="C31701" s="36"/>
      <c r="E31701" s="1"/>
      <c r="F31701" s="1"/>
      <c r="G31701" s="1"/>
    </row>
    <row r="31702">
      <c r="B31702" s="36"/>
      <c r="C31702" s="36"/>
      <c r="E31702" s="1"/>
      <c r="F31702" s="1"/>
      <c r="G31702" s="1"/>
    </row>
    <row r="31703">
      <c r="B31703" s="36"/>
      <c r="C31703" s="36"/>
      <c r="E31703" s="1"/>
      <c r="F31703" s="1"/>
      <c r="G31703" s="1"/>
    </row>
    <row r="31704">
      <c r="B31704" s="36"/>
      <c r="C31704" s="36"/>
      <c r="E31704" s="1"/>
      <c r="F31704" s="1"/>
      <c r="G31704" s="1"/>
    </row>
    <row r="31705">
      <c r="B31705" s="36"/>
      <c r="C31705" s="36"/>
      <c r="E31705" s="1"/>
      <c r="F31705" s="1"/>
      <c r="G31705" s="1"/>
    </row>
    <row r="31706">
      <c r="B31706" s="36"/>
      <c r="C31706" s="36"/>
      <c r="E31706" s="1"/>
      <c r="F31706" s="1"/>
      <c r="G31706" s="1"/>
    </row>
    <row r="31707">
      <c r="B31707" s="36"/>
      <c r="C31707" s="36"/>
      <c r="E31707" s="1"/>
      <c r="F31707" s="1"/>
      <c r="G31707" s="1"/>
    </row>
    <row r="31708">
      <c r="B31708" s="36"/>
      <c r="C31708" s="36"/>
      <c r="E31708" s="1"/>
      <c r="F31708" s="1"/>
      <c r="G31708" s="1"/>
    </row>
    <row r="31709">
      <c r="B31709" s="36"/>
      <c r="C31709" s="36"/>
      <c r="E31709" s="1"/>
      <c r="F31709" s="1"/>
      <c r="G31709" s="1"/>
    </row>
    <row r="31710">
      <c r="B31710" s="36"/>
      <c r="C31710" s="36"/>
      <c r="E31710" s="1"/>
      <c r="F31710" s="1"/>
      <c r="G31710" s="1"/>
    </row>
    <row r="31711">
      <c r="B31711" s="36"/>
      <c r="C31711" s="36"/>
      <c r="E31711" s="1"/>
      <c r="F31711" s="1"/>
      <c r="G31711" s="1"/>
    </row>
    <row r="31712">
      <c r="B31712" s="36"/>
      <c r="C31712" s="36"/>
      <c r="E31712" s="1"/>
      <c r="F31712" s="1"/>
      <c r="G31712" s="1"/>
    </row>
    <row r="31713">
      <c r="B31713" s="36"/>
      <c r="C31713" s="36"/>
      <c r="E31713" s="1"/>
      <c r="F31713" s="1"/>
      <c r="G31713" s="1"/>
    </row>
    <row r="31714">
      <c r="B31714" s="36"/>
      <c r="C31714" s="36"/>
      <c r="E31714" s="1"/>
      <c r="F31714" s="1"/>
      <c r="G31714" s="1"/>
    </row>
    <row r="31715">
      <c r="B31715" s="36"/>
      <c r="C31715" s="36"/>
      <c r="E31715" s="1"/>
      <c r="F31715" s="1"/>
      <c r="G31715" s="1"/>
    </row>
    <row r="31716">
      <c r="B31716" s="36"/>
      <c r="C31716" s="36"/>
      <c r="E31716" s="1"/>
      <c r="F31716" s="1"/>
      <c r="G31716" s="1"/>
    </row>
    <row r="31717">
      <c r="B31717" s="36"/>
      <c r="C31717" s="36"/>
      <c r="E31717" s="1"/>
      <c r="F31717" s="1"/>
      <c r="G31717" s="1"/>
    </row>
    <row r="31718">
      <c r="B31718" s="36"/>
      <c r="C31718" s="36"/>
      <c r="E31718" s="1"/>
      <c r="F31718" s="1"/>
      <c r="G31718" s="1"/>
    </row>
    <row r="31719">
      <c r="B31719" s="36"/>
      <c r="C31719" s="36"/>
      <c r="E31719" s="1"/>
      <c r="F31719" s="1"/>
      <c r="G31719" s="1"/>
    </row>
    <row r="31720">
      <c r="B31720" s="36"/>
      <c r="C31720" s="36"/>
      <c r="E31720" s="1"/>
      <c r="F31720" s="1"/>
      <c r="G31720" s="1"/>
    </row>
    <row r="31721">
      <c r="B31721" s="36"/>
      <c r="C31721" s="36"/>
      <c r="E31721" s="1"/>
      <c r="F31721" s="1"/>
      <c r="G31721" s="1"/>
    </row>
    <row r="31722">
      <c r="B31722" s="36"/>
      <c r="C31722" s="36"/>
      <c r="E31722" s="1"/>
      <c r="F31722" s="1"/>
      <c r="G31722" s="1"/>
    </row>
    <row r="31723">
      <c r="B31723" s="36"/>
      <c r="C31723" s="36"/>
      <c r="E31723" s="1"/>
      <c r="F31723" s="1"/>
      <c r="G31723" s="1"/>
    </row>
    <row r="31724">
      <c r="B31724" s="36"/>
      <c r="C31724" s="36"/>
      <c r="E31724" s="1"/>
      <c r="F31724" s="1"/>
      <c r="G31724" s="1"/>
    </row>
    <row r="31725">
      <c r="B31725" s="36"/>
      <c r="C31725" s="36"/>
      <c r="E31725" s="1"/>
      <c r="F31725" s="1"/>
      <c r="G31725" s="1"/>
    </row>
    <row r="31726">
      <c r="B31726" s="36"/>
      <c r="C31726" s="36"/>
      <c r="E31726" s="1"/>
      <c r="F31726" s="1"/>
      <c r="G31726" s="1"/>
    </row>
    <row r="31727">
      <c r="B31727" s="36"/>
      <c r="C31727" s="36"/>
      <c r="E31727" s="1"/>
      <c r="F31727" s="1"/>
      <c r="G31727" s="1"/>
    </row>
    <row r="31728">
      <c r="B31728" s="36"/>
      <c r="C31728" s="36"/>
      <c r="E31728" s="1"/>
      <c r="F31728" s="1"/>
      <c r="G31728" s="1"/>
    </row>
    <row r="31729">
      <c r="B31729" s="36"/>
      <c r="C31729" s="36"/>
      <c r="E31729" s="1"/>
      <c r="F31729" s="1"/>
      <c r="G31729" s="1"/>
    </row>
    <row r="31730">
      <c r="B31730" s="36"/>
      <c r="C31730" s="36"/>
      <c r="E31730" s="1"/>
      <c r="F31730" s="1"/>
      <c r="G31730" s="1"/>
    </row>
    <row r="31731">
      <c r="B31731" s="36"/>
      <c r="C31731" s="36"/>
      <c r="E31731" s="1"/>
      <c r="F31731" s="1"/>
      <c r="G31731" s="1"/>
    </row>
    <row r="31732">
      <c r="B31732" s="36"/>
      <c r="C31732" s="36"/>
      <c r="E31732" s="1"/>
      <c r="F31732" s="1"/>
      <c r="G31732" s="1"/>
    </row>
    <row r="31733">
      <c r="B31733" s="36"/>
      <c r="C31733" s="36"/>
      <c r="E31733" s="1"/>
      <c r="F31733" s="1"/>
      <c r="G31733" s="1"/>
    </row>
    <row r="31734">
      <c r="B31734" s="36"/>
      <c r="C31734" s="36"/>
      <c r="E31734" s="1"/>
      <c r="F31734" s="1"/>
      <c r="G31734" s="1"/>
    </row>
    <row r="31735">
      <c r="B31735" s="36"/>
      <c r="C31735" s="36"/>
      <c r="E31735" s="1"/>
      <c r="F31735" s="1"/>
      <c r="G31735" s="1"/>
    </row>
    <row r="31736">
      <c r="B31736" s="36"/>
      <c r="C31736" s="36"/>
      <c r="E31736" s="1"/>
      <c r="F31736" s="1"/>
      <c r="G31736" s="1"/>
    </row>
    <row r="31737">
      <c r="B31737" s="36"/>
      <c r="C31737" s="36"/>
      <c r="E31737" s="1"/>
      <c r="F31737" s="1"/>
      <c r="G31737" s="1"/>
    </row>
    <row r="31738">
      <c r="B31738" s="36"/>
      <c r="C31738" s="36"/>
      <c r="E31738" s="1"/>
      <c r="F31738" s="1"/>
      <c r="G31738" s="1"/>
    </row>
    <row r="31739">
      <c r="B31739" s="36"/>
      <c r="C31739" s="36"/>
      <c r="E31739" s="1"/>
      <c r="F31739" s="1"/>
      <c r="G31739" s="1"/>
    </row>
    <row r="31740">
      <c r="B31740" s="36"/>
      <c r="C31740" s="36"/>
      <c r="E31740" s="1"/>
      <c r="F31740" s="1"/>
      <c r="G31740" s="1"/>
    </row>
    <row r="31741">
      <c r="B31741" s="36"/>
      <c r="C31741" s="36"/>
      <c r="E31741" s="1"/>
      <c r="F31741" s="1"/>
      <c r="G31741" s="1"/>
    </row>
    <row r="31742">
      <c r="B31742" s="36"/>
      <c r="C31742" s="36"/>
      <c r="E31742" s="1"/>
      <c r="F31742" s="1"/>
      <c r="G31742" s="1"/>
    </row>
    <row r="31743">
      <c r="B31743" s="36"/>
      <c r="C31743" s="36"/>
      <c r="E31743" s="1"/>
      <c r="F31743" s="1"/>
      <c r="G31743" s="1"/>
    </row>
    <row r="31744">
      <c r="B31744" s="36"/>
      <c r="C31744" s="36"/>
      <c r="E31744" s="1"/>
      <c r="F31744" s="1"/>
      <c r="G31744" s="1"/>
    </row>
    <row r="31745">
      <c r="B31745" s="36"/>
      <c r="C31745" s="36"/>
      <c r="E31745" s="1"/>
      <c r="F31745" s="1"/>
      <c r="G31745" s="1"/>
    </row>
    <row r="31746">
      <c r="B31746" s="36"/>
      <c r="C31746" s="36"/>
      <c r="E31746" s="1"/>
      <c r="F31746" s="1"/>
      <c r="G31746" s="1"/>
    </row>
    <row r="31747">
      <c r="B31747" s="36"/>
      <c r="C31747" s="36"/>
      <c r="E31747" s="1"/>
      <c r="F31747" s="1"/>
      <c r="G31747" s="1"/>
    </row>
    <row r="31748">
      <c r="B31748" s="36"/>
      <c r="C31748" s="36"/>
      <c r="E31748" s="1"/>
      <c r="F31748" s="1"/>
      <c r="G31748" s="1"/>
    </row>
    <row r="31749">
      <c r="B31749" s="36"/>
      <c r="C31749" s="36"/>
      <c r="E31749" s="1"/>
      <c r="F31749" s="1"/>
      <c r="G31749" s="1"/>
    </row>
    <row r="31750">
      <c r="B31750" s="36"/>
      <c r="C31750" s="36"/>
      <c r="E31750" s="1"/>
      <c r="F31750" s="1"/>
      <c r="G31750" s="1"/>
    </row>
    <row r="31751">
      <c r="B31751" s="36"/>
      <c r="C31751" s="36"/>
      <c r="E31751" s="1"/>
      <c r="F31751" s="1"/>
      <c r="G31751" s="1"/>
    </row>
    <row r="31752">
      <c r="B31752" s="36"/>
      <c r="C31752" s="36"/>
      <c r="E31752" s="1"/>
      <c r="F31752" s="1"/>
      <c r="G31752" s="1"/>
    </row>
    <row r="31753">
      <c r="B31753" s="36"/>
      <c r="C31753" s="36"/>
      <c r="E31753" s="1"/>
      <c r="F31753" s="1"/>
      <c r="G31753" s="1"/>
    </row>
    <row r="31754">
      <c r="B31754" s="36"/>
      <c r="C31754" s="36"/>
      <c r="E31754" s="1"/>
      <c r="F31754" s="1"/>
      <c r="G31754" s="1"/>
    </row>
    <row r="31755">
      <c r="B31755" s="36"/>
      <c r="C31755" s="36"/>
      <c r="E31755" s="1"/>
      <c r="F31755" s="1"/>
      <c r="G31755" s="1"/>
    </row>
    <row r="31756">
      <c r="B31756" s="36"/>
      <c r="C31756" s="36"/>
      <c r="E31756" s="1"/>
      <c r="F31756" s="1"/>
      <c r="G31756" s="1"/>
    </row>
    <row r="31757">
      <c r="B31757" s="36"/>
      <c r="C31757" s="36"/>
      <c r="E31757" s="1"/>
      <c r="F31757" s="1"/>
      <c r="G31757" s="1"/>
    </row>
    <row r="31758">
      <c r="B31758" s="36"/>
      <c r="C31758" s="36"/>
      <c r="E31758" s="1"/>
      <c r="F31758" s="1"/>
      <c r="G31758" s="1"/>
    </row>
    <row r="31759">
      <c r="B31759" s="36"/>
      <c r="C31759" s="36"/>
      <c r="E31759" s="1"/>
      <c r="F31759" s="1"/>
      <c r="G31759" s="1"/>
    </row>
    <row r="31760">
      <c r="B31760" s="36"/>
      <c r="C31760" s="36"/>
      <c r="E31760" s="1"/>
      <c r="F31760" s="1"/>
      <c r="G31760" s="1"/>
    </row>
    <row r="31761">
      <c r="B31761" s="36"/>
      <c r="C31761" s="36"/>
      <c r="E31761" s="1"/>
      <c r="F31761" s="1"/>
      <c r="G31761" s="1"/>
    </row>
    <row r="31762">
      <c r="B31762" s="36"/>
      <c r="C31762" s="36"/>
      <c r="E31762" s="1"/>
      <c r="F31762" s="1"/>
      <c r="G31762" s="1"/>
    </row>
    <row r="31763">
      <c r="B31763" s="36"/>
      <c r="C31763" s="36"/>
      <c r="E31763" s="1"/>
      <c r="F31763" s="1"/>
      <c r="G31763" s="1"/>
    </row>
    <row r="31764">
      <c r="B31764" s="36"/>
      <c r="C31764" s="36"/>
      <c r="E31764" s="1"/>
      <c r="F31764" s="1"/>
      <c r="G31764" s="1"/>
    </row>
    <row r="31765">
      <c r="B31765" s="36"/>
      <c r="C31765" s="36"/>
      <c r="E31765" s="1"/>
      <c r="F31765" s="1"/>
      <c r="G31765" s="1"/>
    </row>
    <row r="31766">
      <c r="B31766" s="36"/>
      <c r="C31766" s="36"/>
      <c r="E31766" s="1"/>
      <c r="F31766" s="1"/>
      <c r="G31766" s="1"/>
    </row>
    <row r="31767">
      <c r="B31767" s="36"/>
      <c r="C31767" s="36"/>
      <c r="E31767" s="1"/>
      <c r="F31767" s="1"/>
      <c r="G31767" s="1"/>
    </row>
    <row r="31768">
      <c r="B31768" s="36"/>
      <c r="C31768" s="36"/>
      <c r="E31768" s="1"/>
      <c r="F31768" s="1"/>
      <c r="G31768" s="1"/>
    </row>
    <row r="31769">
      <c r="B31769" s="36"/>
      <c r="C31769" s="36"/>
      <c r="E31769" s="1"/>
      <c r="F31769" s="1"/>
      <c r="G31769" s="1"/>
    </row>
    <row r="31770">
      <c r="B31770" s="36"/>
      <c r="C31770" s="36"/>
      <c r="E31770" s="1"/>
      <c r="F31770" s="1"/>
      <c r="G31770" s="1"/>
    </row>
    <row r="31771">
      <c r="B31771" s="36"/>
      <c r="C31771" s="36"/>
      <c r="E31771" s="1"/>
      <c r="F31771" s="1"/>
      <c r="G31771" s="1"/>
    </row>
    <row r="31772">
      <c r="B31772" s="36"/>
      <c r="C31772" s="36"/>
      <c r="E31772" s="1"/>
      <c r="F31772" s="1"/>
      <c r="G31772" s="1"/>
    </row>
    <row r="31773">
      <c r="B31773" s="36"/>
      <c r="C31773" s="36"/>
      <c r="E31773" s="1"/>
      <c r="F31773" s="1"/>
      <c r="G31773" s="1"/>
    </row>
    <row r="31774">
      <c r="B31774" s="36"/>
      <c r="C31774" s="36"/>
      <c r="E31774" s="1"/>
      <c r="F31774" s="1"/>
      <c r="G31774" s="1"/>
    </row>
    <row r="31775">
      <c r="B31775" s="36"/>
      <c r="C31775" s="36"/>
      <c r="E31775" s="1"/>
      <c r="F31775" s="1"/>
      <c r="G31775" s="1"/>
    </row>
    <row r="31776">
      <c r="B31776" s="36"/>
      <c r="C31776" s="36"/>
      <c r="E31776" s="1"/>
      <c r="F31776" s="1"/>
      <c r="G31776" s="1"/>
    </row>
    <row r="31777">
      <c r="B31777" s="36"/>
      <c r="C31777" s="36"/>
      <c r="E31777" s="1"/>
      <c r="F31777" s="1"/>
      <c r="G31777" s="1"/>
    </row>
    <row r="31778">
      <c r="B31778" s="36"/>
      <c r="C31778" s="36"/>
      <c r="E31778" s="1"/>
      <c r="F31778" s="1"/>
      <c r="G31778" s="1"/>
    </row>
    <row r="31779">
      <c r="B31779" s="36"/>
      <c r="C31779" s="36"/>
      <c r="E31779" s="1"/>
      <c r="F31779" s="1"/>
      <c r="G31779" s="1"/>
    </row>
    <row r="31780">
      <c r="B31780" s="36"/>
      <c r="C31780" s="36"/>
      <c r="E31780" s="1"/>
      <c r="F31780" s="1"/>
      <c r="G31780" s="1"/>
    </row>
    <row r="31781">
      <c r="B31781" s="36"/>
      <c r="C31781" s="36"/>
      <c r="E31781" s="1"/>
      <c r="F31781" s="1"/>
      <c r="G31781" s="1"/>
    </row>
    <row r="31782">
      <c r="B31782" s="36"/>
      <c r="C31782" s="36"/>
      <c r="E31782" s="1"/>
      <c r="F31782" s="1"/>
      <c r="G31782" s="1"/>
    </row>
    <row r="31783">
      <c r="B31783" s="36"/>
      <c r="C31783" s="36"/>
      <c r="E31783" s="1"/>
      <c r="F31783" s="1"/>
      <c r="G31783" s="1"/>
    </row>
    <row r="31784">
      <c r="B31784" s="36"/>
      <c r="C31784" s="36"/>
      <c r="E31784" s="1"/>
      <c r="F31784" s="1"/>
      <c r="G31784" s="1"/>
    </row>
    <row r="31785">
      <c r="B31785" s="36"/>
      <c r="C31785" s="36"/>
      <c r="E31785" s="1"/>
      <c r="F31785" s="1"/>
      <c r="G31785" s="1"/>
    </row>
    <row r="31786">
      <c r="B31786" s="36"/>
      <c r="C31786" s="36"/>
      <c r="E31786" s="1"/>
      <c r="F31786" s="1"/>
      <c r="G31786" s="1"/>
    </row>
    <row r="31787">
      <c r="B31787" s="36"/>
      <c r="C31787" s="36"/>
      <c r="E31787" s="1"/>
      <c r="F31787" s="1"/>
      <c r="G31787" s="1"/>
    </row>
    <row r="31788">
      <c r="B31788" s="36"/>
      <c r="C31788" s="36"/>
      <c r="E31788" s="1"/>
      <c r="F31788" s="1"/>
      <c r="G31788" s="1"/>
    </row>
    <row r="31789">
      <c r="B31789" s="36"/>
      <c r="C31789" s="36"/>
      <c r="E31789" s="1"/>
      <c r="F31789" s="1"/>
      <c r="G31789" s="1"/>
    </row>
    <row r="31790">
      <c r="B31790" s="36"/>
      <c r="C31790" s="36"/>
      <c r="E31790" s="1"/>
      <c r="F31790" s="1"/>
      <c r="G31790" s="1"/>
    </row>
    <row r="31791">
      <c r="B31791" s="36"/>
      <c r="C31791" s="36"/>
      <c r="E31791" s="1"/>
      <c r="F31791" s="1"/>
      <c r="G31791" s="1"/>
    </row>
    <row r="31792">
      <c r="B31792" s="36"/>
      <c r="C31792" s="36"/>
      <c r="E31792" s="1"/>
      <c r="F31792" s="1"/>
      <c r="G31792" s="1"/>
    </row>
    <row r="31793">
      <c r="B31793" s="36"/>
      <c r="C31793" s="36"/>
      <c r="E31793" s="1"/>
      <c r="F31793" s="1"/>
      <c r="G31793" s="1"/>
    </row>
    <row r="31794">
      <c r="B31794" s="36"/>
      <c r="C31794" s="36"/>
      <c r="E31794" s="1"/>
      <c r="F31794" s="1"/>
      <c r="G31794" s="1"/>
    </row>
    <row r="31795">
      <c r="B31795" s="36"/>
      <c r="C31795" s="36"/>
      <c r="E31795" s="1"/>
      <c r="F31795" s="1"/>
      <c r="G31795" s="1"/>
    </row>
    <row r="31796">
      <c r="B31796" s="36"/>
      <c r="C31796" s="36"/>
      <c r="E31796" s="1"/>
      <c r="F31796" s="1"/>
      <c r="G31796" s="1"/>
    </row>
    <row r="31797">
      <c r="B31797" s="36"/>
      <c r="C31797" s="36"/>
      <c r="E31797" s="1"/>
      <c r="F31797" s="1"/>
      <c r="G31797" s="1"/>
    </row>
    <row r="31798">
      <c r="B31798" s="36"/>
      <c r="C31798" s="36"/>
      <c r="E31798" s="1"/>
      <c r="F31798" s="1"/>
      <c r="G31798" s="1"/>
    </row>
    <row r="31799">
      <c r="B31799" s="36"/>
      <c r="C31799" s="36"/>
      <c r="E31799" s="1"/>
      <c r="F31799" s="1"/>
      <c r="G31799" s="1"/>
    </row>
    <row r="31800">
      <c r="B31800" s="36"/>
      <c r="C31800" s="36"/>
      <c r="E31800" s="1"/>
      <c r="F31800" s="1"/>
      <c r="G31800" s="1"/>
    </row>
    <row r="31801">
      <c r="B31801" s="36"/>
      <c r="C31801" s="36"/>
      <c r="E31801" s="1"/>
      <c r="F31801" s="1"/>
      <c r="G31801" s="1"/>
    </row>
    <row r="31802">
      <c r="B31802" s="36"/>
      <c r="C31802" s="36"/>
      <c r="E31802" s="1"/>
      <c r="F31802" s="1"/>
      <c r="G31802" s="1"/>
    </row>
    <row r="31803">
      <c r="B31803" s="36"/>
      <c r="C31803" s="36"/>
      <c r="E31803" s="1"/>
      <c r="F31803" s="1"/>
      <c r="G31803" s="1"/>
    </row>
    <row r="31804">
      <c r="B31804" s="36"/>
      <c r="C31804" s="36"/>
      <c r="E31804" s="1"/>
      <c r="F31804" s="1"/>
      <c r="G31804" s="1"/>
    </row>
    <row r="31805">
      <c r="B31805" s="36"/>
      <c r="C31805" s="36"/>
      <c r="E31805" s="1"/>
      <c r="F31805" s="1"/>
      <c r="G31805" s="1"/>
    </row>
    <row r="31806">
      <c r="B31806" s="36"/>
      <c r="C31806" s="36"/>
      <c r="E31806" s="1"/>
      <c r="F31806" s="1"/>
      <c r="G31806" s="1"/>
    </row>
    <row r="31807">
      <c r="B31807" s="36"/>
      <c r="C31807" s="36"/>
      <c r="E31807" s="1"/>
      <c r="F31807" s="1"/>
      <c r="G31807" s="1"/>
    </row>
    <row r="31808">
      <c r="B31808" s="36"/>
      <c r="C31808" s="36"/>
      <c r="E31808" s="1"/>
      <c r="F31808" s="1"/>
      <c r="G31808" s="1"/>
    </row>
    <row r="31809">
      <c r="B31809" s="36"/>
      <c r="C31809" s="36"/>
      <c r="E31809" s="1"/>
      <c r="F31809" s="1"/>
      <c r="G31809" s="1"/>
    </row>
    <row r="31810">
      <c r="B31810" s="36"/>
      <c r="C31810" s="36"/>
      <c r="E31810" s="1"/>
      <c r="F31810" s="1"/>
      <c r="G31810" s="1"/>
    </row>
    <row r="31811">
      <c r="B31811" s="36"/>
      <c r="C31811" s="36"/>
      <c r="E31811" s="1"/>
      <c r="F31811" s="1"/>
      <c r="G31811" s="1"/>
    </row>
    <row r="31812">
      <c r="B31812" s="36"/>
      <c r="C31812" s="36"/>
      <c r="E31812" s="1"/>
      <c r="F31812" s="1"/>
      <c r="G31812" s="1"/>
    </row>
    <row r="31813">
      <c r="B31813" s="36"/>
      <c r="C31813" s="36"/>
      <c r="E31813" s="1"/>
      <c r="F31813" s="1"/>
      <c r="G31813" s="1"/>
    </row>
    <row r="31814">
      <c r="B31814" s="36"/>
      <c r="C31814" s="36"/>
      <c r="E31814" s="1"/>
      <c r="F31814" s="1"/>
      <c r="G31814" s="1"/>
    </row>
    <row r="31815">
      <c r="B31815" s="36"/>
      <c r="C31815" s="36"/>
      <c r="E31815" s="1"/>
      <c r="F31815" s="1"/>
      <c r="G31815" s="1"/>
    </row>
    <row r="31816">
      <c r="B31816" s="36"/>
      <c r="C31816" s="36"/>
      <c r="E31816" s="1"/>
      <c r="F31816" s="1"/>
      <c r="G31816" s="1"/>
    </row>
    <row r="31817">
      <c r="B31817" s="36"/>
      <c r="C31817" s="36"/>
      <c r="E31817" s="1"/>
      <c r="F31817" s="1"/>
      <c r="G31817" s="1"/>
    </row>
    <row r="31818">
      <c r="B31818" s="36"/>
      <c r="C31818" s="36"/>
      <c r="E31818" s="1"/>
      <c r="F31818" s="1"/>
      <c r="G31818" s="1"/>
    </row>
    <row r="31819">
      <c r="B31819" s="36"/>
      <c r="C31819" s="36"/>
      <c r="E31819" s="1"/>
      <c r="F31819" s="1"/>
      <c r="G31819" s="1"/>
    </row>
    <row r="31820">
      <c r="B31820" s="36"/>
      <c r="C31820" s="36"/>
      <c r="E31820" s="1"/>
      <c r="F31820" s="1"/>
      <c r="G31820" s="1"/>
    </row>
    <row r="31821">
      <c r="B31821" s="36"/>
      <c r="C31821" s="36"/>
      <c r="E31821" s="1"/>
      <c r="F31821" s="1"/>
      <c r="G31821" s="1"/>
    </row>
    <row r="31822">
      <c r="B31822" s="36"/>
      <c r="C31822" s="36"/>
      <c r="E31822" s="1"/>
      <c r="F31822" s="1"/>
      <c r="G31822" s="1"/>
    </row>
    <row r="31823">
      <c r="B31823" s="36"/>
      <c r="C31823" s="36"/>
      <c r="E31823" s="1"/>
      <c r="F31823" s="1"/>
      <c r="G31823" s="1"/>
    </row>
    <row r="31824">
      <c r="B31824" s="36"/>
      <c r="C31824" s="36"/>
      <c r="E31824" s="1"/>
      <c r="F31824" s="1"/>
      <c r="G31824" s="1"/>
    </row>
    <row r="31825">
      <c r="B31825" s="36"/>
      <c r="C31825" s="36"/>
      <c r="E31825" s="1"/>
      <c r="F31825" s="1"/>
      <c r="G31825" s="1"/>
    </row>
    <row r="31826">
      <c r="B31826" s="36"/>
      <c r="C31826" s="36"/>
      <c r="E31826" s="1"/>
      <c r="F31826" s="1"/>
      <c r="G31826" s="1"/>
    </row>
    <row r="31827">
      <c r="B31827" s="36"/>
      <c r="C31827" s="36"/>
      <c r="E31827" s="1"/>
      <c r="F31827" s="1"/>
      <c r="G31827" s="1"/>
    </row>
    <row r="31828">
      <c r="B31828" s="36"/>
      <c r="C31828" s="36"/>
      <c r="E31828" s="1"/>
      <c r="F31828" s="1"/>
      <c r="G31828" s="1"/>
    </row>
    <row r="31829">
      <c r="B31829" s="36"/>
      <c r="C31829" s="36"/>
      <c r="E31829" s="1"/>
      <c r="F31829" s="1"/>
      <c r="G31829" s="1"/>
    </row>
    <row r="31830">
      <c r="B31830" s="36"/>
      <c r="C31830" s="36"/>
      <c r="E31830" s="1"/>
      <c r="F31830" s="1"/>
      <c r="G31830" s="1"/>
    </row>
    <row r="31831">
      <c r="B31831" s="36"/>
      <c r="C31831" s="36"/>
      <c r="E31831" s="1"/>
      <c r="F31831" s="1"/>
      <c r="G31831" s="1"/>
    </row>
    <row r="31832">
      <c r="B31832" s="36"/>
      <c r="C31832" s="36"/>
      <c r="E31832" s="1"/>
      <c r="F31832" s="1"/>
      <c r="G31832" s="1"/>
    </row>
    <row r="31833">
      <c r="B31833" s="36"/>
      <c r="C31833" s="36"/>
      <c r="E31833" s="1"/>
      <c r="F31833" s="1"/>
      <c r="G31833" s="1"/>
    </row>
    <row r="31834">
      <c r="B31834" s="36"/>
      <c r="C31834" s="36"/>
      <c r="E31834" s="1"/>
      <c r="F31834" s="1"/>
      <c r="G31834" s="1"/>
    </row>
    <row r="31835">
      <c r="B31835" s="36"/>
      <c r="C31835" s="36"/>
      <c r="E31835" s="1"/>
      <c r="F31835" s="1"/>
      <c r="G31835" s="1"/>
    </row>
    <row r="31836">
      <c r="B31836" s="36"/>
      <c r="C31836" s="36"/>
      <c r="E31836" s="1"/>
      <c r="F31836" s="1"/>
      <c r="G31836" s="1"/>
    </row>
    <row r="31837">
      <c r="B31837" s="36"/>
      <c r="C31837" s="36"/>
      <c r="E31837" s="1"/>
      <c r="F31837" s="1"/>
      <c r="G31837" s="1"/>
    </row>
    <row r="31838">
      <c r="B31838" s="36"/>
      <c r="C31838" s="36"/>
      <c r="E31838" s="1"/>
      <c r="F31838" s="1"/>
      <c r="G31838" s="1"/>
    </row>
    <row r="31839">
      <c r="B31839" s="36"/>
      <c r="C31839" s="36"/>
      <c r="E31839" s="1"/>
      <c r="F31839" s="1"/>
      <c r="G31839" s="1"/>
    </row>
    <row r="31840">
      <c r="B31840" s="36"/>
      <c r="C31840" s="36"/>
      <c r="E31840" s="1"/>
      <c r="F31840" s="1"/>
      <c r="G31840" s="1"/>
    </row>
    <row r="31841">
      <c r="B31841" s="36"/>
      <c r="C31841" s="36"/>
      <c r="E31841" s="1"/>
      <c r="F31841" s="1"/>
      <c r="G31841" s="1"/>
    </row>
    <row r="31842">
      <c r="B31842" s="36"/>
      <c r="C31842" s="36"/>
      <c r="E31842" s="1"/>
      <c r="F31842" s="1"/>
      <c r="G31842" s="1"/>
    </row>
    <row r="31843">
      <c r="B31843" s="36"/>
      <c r="C31843" s="36"/>
      <c r="E31843" s="1"/>
      <c r="F31843" s="1"/>
      <c r="G31843" s="1"/>
    </row>
    <row r="31844">
      <c r="B31844" s="36"/>
      <c r="C31844" s="36"/>
      <c r="E31844" s="1"/>
      <c r="F31844" s="1"/>
      <c r="G31844" s="1"/>
    </row>
    <row r="31845">
      <c r="B31845" s="36"/>
      <c r="C31845" s="36"/>
      <c r="E31845" s="1"/>
      <c r="F31845" s="1"/>
      <c r="G31845" s="1"/>
    </row>
    <row r="31846">
      <c r="B31846" s="36"/>
      <c r="C31846" s="36"/>
      <c r="E31846" s="1"/>
      <c r="F31846" s="1"/>
      <c r="G31846" s="1"/>
    </row>
    <row r="31847">
      <c r="B31847" s="36"/>
      <c r="C31847" s="36"/>
      <c r="E31847" s="1"/>
      <c r="F31847" s="1"/>
      <c r="G31847" s="1"/>
    </row>
    <row r="31848">
      <c r="B31848" s="36"/>
      <c r="C31848" s="36"/>
      <c r="E31848" s="1"/>
      <c r="F31848" s="1"/>
      <c r="G31848" s="1"/>
    </row>
    <row r="31849">
      <c r="B31849" s="36"/>
      <c r="C31849" s="36"/>
      <c r="E31849" s="1"/>
      <c r="F31849" s="1"/>
      <c r="G31849" s="1"/>
    </row>
    <row r="31850">
      <c r="B31850" s="36"/>
      <c r="C31850" s="36"/>
      <c r="E31850" s="1"/>
      <c r="F31850" s="1"/>
      <c r="G31850" s="1"/>
    </row>
    <row r="31851">
      <c r="B31851" s="36"/>
      <c r="C31851" s="36"/>
      <c r="E31851" s="1"/>
      <c r="F31851" s="1"/>
      <c r="G31851" s="1"/>
    </row>
    <row r="31852">
      <c r="B31852" s="36"/>
      <c r="C31852" s="36"/>
      <c r="E31852" s="1"/>
      <c r="F31852" s="1"/>
      <c r="G31852" s="1"/>
    </row>
    <row r="31853">
      <c r="B31853" s="36"/>
      <c r="C31853" s="36"/>
      <c r="E31853" s="1"/>
      <c r="F31853" s="1"/>
      <c r="G31853" s="1"/>
    </row>
    <row r="31854">
      <c r="B31854" s="36"/>
      <c r="C31854" s="36"/>
      <c r="E31854" s="1"/>
      <c r="F31854" s="1"/>
      <c r="G31854" s="1"/>
    </row>
    <row r="31855">
      <c r="B31855" s="36"/>
      <c r="C31855" s="36"/>
      <c r="E31855" s="1"/>
      <c r="F31855" s="1"/>
      <c r="G31855" s="1"/>
    </row>
    <row r="31856">
      <c r="B31856" s="36"/>
      <c r="C31856" s="36"/>
      <c r="E31856" s="1"/>
      <c r="F31856" s="1"/>
      <c r="G31856" s="1"/>
    </row>
    <row r="31857">
      <c r="B31857" s="36"/>
      <c r="C31857" s="36"/>
      <c r="E31857" s="1"/>
      <c r="F31857" s="1"/>
      <c r="G31857" s="1"/>
    </row>
    <row r="31858">
      <c r="B31858" s="36"/>
      <c r="C31858" s="36"/>
      <c r="E31858" s="1"/>
      <c r="F31858" s="1"/>
      <c r="G31858" s="1"/>
    </row>
    <row r="31859">
      <c r="B31859" s="36"/>
      <c r="C31859" s="36"/>
      <c r="E31859" s="1"/>
      <c r="F31859" s="1"/>
      <c r="G31859" s="1"/>
    </row>
    <row r="31860">
      <c r="B31860" s="36"/>
      <c r="C31860" s="36"/>
      <c r="E31860" s="1"/>
      <c r="F31860" s="1"/>
      <c r="G31860" s="1"/>
    </row>
    <row r="31861">
      <c r="B31861" s="36"/>
      <c r="C31861" s="36"/>
      <c r="E31861" s="1"/>
      <c r="F31861" s="1"/>
      <c r="G31861" s="1"/>
    </row>
    <row r="31862">
      <c r="B31862" s="36"/>
      <c r="C31862" s="36"/>
      <c r="E31862" s="1"/>
      <c r="F31862" s="1"/>
      <c r="G31862" s="1"/>
    </row>
    <row r="31863">
      <c r="B31863" s="36"/>
      <c r="C31863" s="36"/>
      <c r="E31863" s="1"/>
      <c r="F31863" s="1"/>
      <c r="G31863" s="1"/>
    </row>
    <row r="31864">
      <c r="B31864" s="36"/>
      <c r="C31864" s="36"/>
      <c r="E31864" s="1"/>
      <c r="F31864" s="1"/>
      <c r="G31864" s="1"/>
    </row>
    <row r="31865">
      <c r="B31865" s="36"/>
      <c r="C31865" s="36"/>
      <c r="E31865" s="1"/>
      <c r="F31865" s="1"/>
      <c r="G31865" s="1"/>
    </row>
    <row r="31866">
      <c r="B31866" s="36"/>
      <c r="C31866" s="36"/>
      <c r="E31866" s="1"/>
      <c r="F31866" s="1"/>
      <c r="G31866" s="1"/>
    </row>
    <row r="31867">
      <c r="B31867" s="36"/>
      <c r="C31867" s="36"/>
      <c r="E31867" s="1"/>
      <c r="F31867" s="1"/>
      <c r="G31867" s="1"/>
    </row>
    <row r="31868">
      <c r="B31868" s="36"/>
      <c r="C31868" s="36"/>
      <c r="E31868" s="1"/>
      <c r="F31868" s="1"/>
      <c r="G31868" s="1"/>
    </row>
    <row r="31869">
      <c r="B31869" s="36"/>
      <c r="C31869" s="36"/>
      <c r="E31869" s="1"/>
      <c r="F31869" s="1"/>
      <c r="G31869" s="1"/>
    </row>
    <row r="31870">
      <c r="B31870" s="36"/>
      <c r="C31870" s="36"/>
      <c r="E31870" s="1"/>
      <c r="F31870" s="1"/>
      <c r="G31870" s="1"/>
    </row>
    <row r="31871">
      <c r="B31871" s="36"/>
      <c r="C31871" s="36"/>
      <c r="E31871" s="1"/>
      <c r="F31871" s="1"/>
      <c r="G31871" s="1"/>
    </row>
    <row r="31872">
      <c r="B31872" s="36"/>
      <c r="C31872" s="36"/>
      <c r="E31872" s="1"/>
      <c r="F31872" s="1"/>
      <c r="G31872" s="1"/>
    </row>
    <row r="31873">
      <c r="B31873" s="36"/>
      <c r="C31873" s="36"/>
      <c r="E31873" s="1"/>
      <c r="F31873" s="1"/>
      <c r="G31873" s="1"/>
    </row>
    <row r="31874">
      <c r="B31874" s="36"/>
      <c r="C31874" s="36"/>
      <c r="E31874" s="1"/>
      <c r="F31874" s="1"/>
      <c r="G31874" s="1"/>
    </row>
    <row r="31875">
      <c r="B31875" s="36"/>
      <c r="C31875" s="36"/>
      <c r="E31875" s="1"/>
      <c r="F31875" s="1"/>
      <c r="G31875" s="1"/>
    </row>
    <row r="31876">
      <c r="B31876" s="36"/>
      <c r="C31876" s="36"/>
      <c r="E31876" s="1"/>
      <c r="F31876" s="1"/>
      <c r="G31876" s="1"/>
    </row>
    <row r="31877">
      <c r="B31877" s="36"/>
      <c r="C31877" s="36"/>
      <c r="E31877" s="1"/>
      <c r="F31877" s="1"/>
      <c r="G31877" s="1"/>
    </row>
    <row r="31878">
      <c r="B31878" s="36"/>
      <c r="C31878" s="36"/>
      <c r="E31878" s="1"/>
      <c r="F31878" s="1"/>
      <c r="G31878" s="1"/>
    </row>
    <row r="31879">
      <c r="B31879" s="36"/>
      <c r="C31879" s="36"/>
      <c r="E31879" s="1"/>
      <c r="F31879" s="1"/>
      <c r="G31879" s="1"/>
    </row>
    <row r="31880">
      <c r="B31880" s="36"/>
      <c r="C31880" s="36"/>
      <c r="E31880" s="1"/>
      <c r="F31880" s="1"/>
      <c r="G31880" s="1"/>
    </row>
    <row r="31881">
      <c r="B31881" s="36"/>
      <c r="C31881" s="36"/>
      <c r="E31881" s="1"/>
      <c r="F31881" s="1"/>
      <c r="G31881" s="1"/>
    </row>
    <row r="31882">
      <c r="B31882" s="36"/>
      <c r="C31882" s="36"/>
      <c r="E31882" s="1"/>
      <c r="F31882" s="1"/>
      <c r="G31882" s="1"/>
    </row>
    <row r="31883">
      <c r="B31883" s="36"/>
      <c r="C31883" s="36"/>
      <c r="E31883" s="1"/>
      <c r="F31883" s="1"/>
      <c r="G31883" s="1"/>
    </row>
    <row r="31884">
      <c r="B31884" s="36"/>
      <c r="C31884" s="36"/>
      <c r="E31884" s="1"/>
      <c r="F31884" s="1"/>
      <c r="G31884" s="1"/>
    </row>
    <row r="31885">
      <c r="B31885" s="36"/>
      <c r="C31885" s="36"/>
      <c r="E31885" s="1"/>
      <c r="F31885" s="1"/>
      <c r="G31885" s="1"/>
    </row>
    <row r="31886">
      <c r="B31886" s="36"/>
      <c r="C31886" s="36"/>
      <c r="E31886" s="1"/>
      <c r="F31886" s="1"/>
      <c r="G31886" s="1"/>
    </row>
    <row r="31887">
      <c r="B31887" s="36"/>
      <c r="C31887" s="36"/>
      <c r="E31887" s="1"/>
      <c r="F31887" s="1"/>
      <c r="G31887" s="1"/>
    </row>
    <row r="31888">
      <c r="B31888" s="36"/>
      <c r="C31888" s="36"/>
      <c r="E31888" s="1"/>
      <c r="F31888" s="1"/>
      <c r="G31888" s="1"/>
    </row>
    <row r="31889">
      <c r="B31889" s="36"/>
      <c r="C31889" s="36"/>
      <c r="E31889" s="1"/>
      <c r="F31889" s="1"/>
      <c r="G31889" s="1"/>
    </row>
    <row r="31890">
      <c r="B31890" s="36"/>
      <c r="C31890" s="36"/>
      <c r="E31890" s="1"/>
      <c r="F31890" s="1"/>
      <c r="G31890" s="1"/>
    </row>
    <row r="31891">
      <c r="B31891" s="36"/>
      <c r="C31891" s="36"/>
      <c r="E31891" s="1"/>
      <c r="F31891" s="1"/>
      <c r="G31891" s="1"/>
    </row>
    <row r="31892">
      <c r="B31892" s="36"/>
      <c r="C31892" s="36"/>
      <c r="E31892" s="1"/>
      <c r="F31892" s="1"/>
      <c r="G31892" s="1"/>
    </row>
    <row r="31893">
      <c r="B31893" s="36"/>
      <c r="C31893" s="36"/>
      <c r="E31893" s="1"/>
      <c r="F31893" s="1"/>
      <c r="G31893" s="1"/>
    </row>
    <row r="31894">
      <c r="B31894" s="36"/>
      <c r="C31894" s="36"/>
      <c r="E31894" s="1"/>
      <c r="F31894" s="1"/>
      <c r="G31894" s="1"/>
    </row>
    <row r="31895">
      <c r="B31895" s="36"/>
      <c r="C31895" s="36"/>
      <c r="E31895" s="1"/>
      <c r="F31895" s="1"/>
      <c r="G31895" s="1"/>
    </row>
    <row r="31896">
      <c r="B31896" s="36"/>
      <c r="C31896" s="36"/>
      <c r="E31896" s="1"/>
      <c r="F31896" s="1"/>
      <c r="G31896" s="1"/>
    </row>
    <row r="31897">
      <c r="B31897" s="36"/>
      <c r="C31897" s="36"/>
      <c r="E31897" s="1"/>
      <c r="F31897" s="1"/>
      <c r="G31897" s="1"/>
    </row>
    <row r="31898">
      <c r="B31898" s="36"/>
      <c r="C31898" s="36"/>
      <c r="E31898" s="1"/>
      <c r="F31898" s="1"/>
      <c r="G31898" s="1"/>
    </row>
    <row r="31899">
      <c r="B31899" s="36"/>
      <c r="C31899" s="36"/>
      <c r="E31899" s="1"/>
      <c r="F31899" s="1"/>
      <c r="G31899" s="1"/>
    </row>
    <row r="31900">
      <c r="B31900" s="36"/>
      <c r="C31900" s="36"/>
      <c r="E31900" s="1"/>
      <c r="F31900" s="1"/>
      <c r="G31900" s="1"/>
    </row>
    <row r="31901">
      <c r="B31901" s="36"/>
      <c r="C31901" s="36"/>
      <c r="E31901" s="1"/>
      <c r="F31901" s="1"/>
      <c r="G31901" s="1"/>
    </row>
    <row r="31902">
      <c r="B31902" s="36"/>
      <c r="C31902" s="36"/>
      <c r="E31902" s="1"/>
      <c r="F31902" s="1"/>
      <c r="G31902" s="1"/>
    </row>
    <row r="31903">
      <c r="B31903" s="36"/>
      <c r="C31903" s="36"/>
      <c r="E31903" s="1"/>
      <c r="F31903" s="1"/>
      <c r="G31903" s="1"/>
    </row>
    <row r="31904">
      <c r="B31904" s="36"/>
      <c r="C31904" s="36"/>
      <c r="E31904" s="1"/>
      <c r="F31904" s="1"/>
      <c r="G31904" s="1"/>
    </row>
    <row r="31905">
      <c r="B31905" s="36"/>
      <c r="C31905" s="36"/>
      <c r="E31905" s="1"/>
      <c r="F31905" s="1"/>
      <c r="G31905" s="1"/>
    </row>
    <row r="31906">
      <c r="B31906" s="36"/>
      <c r="C31906" s="36"/>
      <c r="E31906" s="1"/>
      <c r="F31906" s="1"/>
      <c r="G31906" s="1"/>
    </row>
    <row r="31907">
      <c r="B31907" s="36"/>
      <c r="C31907" s="36"/>
      <c r="E31907" s="1"/>
      <c r="F31907" s="1"/>
      <c r="G31907" s="1"/>
    </row>
    <row r="31908">
      <c r="B31908" s="36"/>
      <c r="C31908" s="36"/>
      <c r="E31908" s="1"/>
      <c r="F31908" s="1"/>
      <c r="G31908" s="1"/>
    </row>
    <row r="31909">
      <c r="B31909" s="36"/>
      <c r="C31909" s="36"/>
      <c r="E31909" s="1"/>
      <c r="F31909" s="1"/>
      <c r="G31909" s="1"/>
    </row>
    <row r="31910">
      <c r="B31910" s="36"/>
      <c r="C31910" s="36"/>
      <c r="E31910" s="1"/>
      <c r="F31910" s="1"/>
      <c r="G31910" s="1"/>
    </row>
    <row r="31911">
      <c r="B31911" s="36"/>
      <c r="C31911" s="36"/>
      <c r="E31911" s="1"/>
      <c r="F31911" s="1"/>
      <c r="G31911" s="1"/>
    </row>
    <row r="31912">
      <c r="B31912" s="36"/>
      <c r="C31912" s="36"/>
      <c r="E31912" s="1"/>
      <c r="F31912" s="1"/>
      <c r="G31912" s="1"/>
    </row>
    <row r="31913">
      <c r="B31913" s="36"/>
      <c r="C31913" s="36"/>
      <c r="E31913" s="1"/>
      <c r="F31913" s="1"/>
      <c r="G31913" s="1"/>
    </row>
    <row r="31914">
      <c r="B31914" s="36"/>
      <c r="C31914" s="36"/>
      <c r="E31914" s="1"/>
      <c r="F31914" s="1"/>
      <c r="G31914" s="1"/>
    </row>
    <row r="31915">
      <c r="B31915" s="36"/>
      <c r="C31915" s="36"/>
      <c r="E31915" s="1"/>
      <c r="F31915" s="1"/>
      <c r="G31915" s="1"/>
    </row>
    <row r="31916">
      <c r="B31916" s="36"/>
      <c r="C31916" s="36"/>
      <c r="E31916" s="1"/>
      <c r="F31916" s="1"/>
      <c r="G31916" s="1"/>
    </row>
    <row r="31917">
      <c r="B31917" s="36"/>
      <c r="C31917" s="36"/>
      <c r="E31917" s="1"/>
      <c r="F31917" s="1"/>
      <c r="G31917" s="1"/>
    </row>
    <row r="31918">
      <c r="B31918" s="36"/>
      <c r="C31918" s="36"/>
      <c r="E31918" s="1"/>
      <c r="F31918" s="1"/>
      <c r="G31918" s="1"/>
    </row>
    <row r="31919">
      <c r="B31919" s="36"/>
      <c r="C31919" s="36"/>
      <c r="E31919" s="1"/>
      <c r="F31919" s="1"/>
      <c r="G31919" s="1"/>
    </row>
    <row r="31920">
      <c r="B31920" s="36"/>
      <c r="C31920" s="36"/>
      <c r="E31920" s="1"/>
      <c r="F31920" s="1"/>
      <c r="G31920" s="1"/>
    </row>
    <row r="31921">
      <c r="B31921" s="36"/>
      <c r="C31921" s="36"/>
      <c r="E31921" s="1"/>
      <c r="F31921" s="1"/>
      <c r="G31921" s="1"/>
    </row>
    <row r="31922">
      <c r="B31922" s="36"/>
      <c r="C31922" s="36"/>
      <c r="E31922" s="1"/>
      <c r="F31922" s="1"/>
      <c r="G31922" s="1"/>
    </row>
    <row r="31923">
      <c r="B31923" s="36"/>
      <c r="C31923" s="36"/>
      <c r="E31923" s="1"/>
      <c r="F31923" s="1"/>
      <c r="G31923" s="1"/>
    </row>
    <row r="31924">
      <c r="B31924" s="36"/>
      <c r="C31924" s="36"/>
      <c r="E31924" s="1"/>
      <c r="F31924" s="1"/>
      <c r="G31924" s="1"/>
    </row>
    <row r="31925">
      <c r="B31925" s="36"/>
      <c r="C31925" s="36"/>
      <c r="E31925" s="1"/>
      <c r="F31925" s="1"/>
      <c r="G31925" s="1"/>
    </row>
    <row r="31926">
      <c r="B31926" s="36"/>
      <c r="C31926" s="36"/>
      <c r="E31926" s="1"/>
      <c r="F31926" s="1"/>
      <c r="G31926" s="1"/>
    </row>
    <row r="31927">
      <c r="B31927" s="36"/>
      <c r="C31927" s="36"/>
      <c r="E31927" s="1"/>
      <c r="F31927" s="1"/>
      <c r="G31927" s="1"/>
    </row>
    <row r="31928">
      <c r="B31928" s="36"/>
      <c r="C31928" s="36"/>
      <c r="E31928" s="1"/>
      <c r="F31928" s="1"/>
      <c r="G31928" s="1"/>
    </row>
    <row r="31929">
      <c r="B31929" s="36"/>
      <c r="C31929" s="36"/>
      <c r="E31929" s="1"/>
      <c r="F31929" s="1"/>
      <c r="G31929" s="1"/>
    </row>
    <row r="31930">
      <c r="B31930" s="36"/>
      <c r="C31930" s="36"/>
      <c r="E31930" s="1"/>
      <c r="F31930" s="1"/>
      <c r="G31930" s="1"/>
    </row>
    <row r="31931">
      <c r="B31931" s="36"/>
      <c r="C31931" s="36"/>
      <c r="E31931" s="1"/>
      <c r="F31931" s="1"/>
      <c r="G31931" s="1"/>
    </row>
    <row r="31932">
      <c r="B31932" s="36"/>
      <c r="C31932" s="36"/>
      <c r="E31932" s="1"/>
      <c r="F31932" s="1"/>
      <c r="G31932" s="1"/>
    </row>
    <row r="31933">
      <c r="B31933" s="36"/>
      <c r="C31933" s="36"/>
      <c r="E31933" s="1"/>
      <c r="F31933" s="1"/>
      <c r="G31933" s="1"/>
    </row>
    <row r="31934">
      <c r="B31934" s="36"/>
      <c r="C31934" s="36"/>
      <c r="E31934" s="1"/>
      <c r="F31934" s="1"/>
      <c r="G31934" s="1"/>
    </row>
    <row r="31935">
      <c r="B31935" s="36"/>
      <c r="C31935" s="36"/>
      <c r="E31935" s="1"/>
      <c r="F31935" s="1"/>
      <c r="G31935" s="1"/>
    </row>
    <row r="31936">
      <c r="B31936" s="36"/>
      <c r="C31936" s="36"/>
      <c r="E31936" s="1"/>
      <c r="F31936" s="1"/>
      <c r="G31936" s="1"/>
    </row>
    <row r="31937">
      <c r="B31937" s="36"/>
      <c r="C31937" s="36"/>
      <c r="E31937" s="1"/>
      <c r="F31937" s="1"/>
      <c r="G31937" s="1"/>
    </row>
    <row r="31938">
      <c r="B31938" s="36"/>
      <c r="C31938" s="36"/>
      <c r="E31938" s="1"/>
      <c r="F31938" s="1"/>
      <c r="G31938" s="1"/>
    </row>
    <row r="31939">
      <c r="B31939" s="36"/>
      <c r="C31939" s="36"/>
      <c r="E31939" s="1"/>
      <c r="F31939" s="1"/>
      <c r="G31939" s="1"/>
    </row>
    <row r="31940">
      <c r="B31940" s="36"/>
      <c r="C31940" s="36"/>
      <c r="E31940" s="1"/>
      <c r="F31940" s="1"/>
      <c r="G31940" s="1"/>
    </row>
    <row r="31941">
      <c r="B31941" s="36"/>
      <c r="C31941" s="36"/>
      <c r="E31941" s="1"/>
      <c r="F31941" s="1"/>
      <c r="G31941" s="1"/>
    </row>
    <row r="31942">
      <c r="B31942" s="36"/>
      <c r="C31942" s="36"/>
      <c r="E31942" s="1"/>
      <c r="F31942" s="1"/>
      <c r="G31942" s="1"/>
    </row>
    <row r="31943">
      <c r="B31943" s="36"/>
      <c r="C31943" s="36"/>
      <c r="E31943" s="1"/>
      <c r="F31943" s="1"/>
      <c r="G31943" s="1"/>
    </row>
    <row r="31944">
      <c r="B31944" s="36"/>
      <c r="C31944" s="36"/>
      <c r="E31944" s="1"/>
      <c r="F31944" s="1"/>
      <c r="G31944" s="1"/>
    </row>
    <row r="31945">
      <c r="B31945" s="36"/>
      <c r="C31945" s="36"/>
      <c r="E31945" s="1"/>
      <c r="F31945" s="1"/>
      <c r="G31945" s="1"/>
    </row>
    <row r="31946">
      <c r="B31946" s="36"/>
      <c r="C31946" s="36"/>
      <c r="E31946" s="1"/>
      <c r="F31946" s="1"/>
      <c r="G31946" s="1"/>
    </row>
    <row r="31947">
      <c r="B31947" s="36"/>
      <c r="C31947" s="36"/>
      <c r="E31947" s="1"/>
      <c r="F31947" s="1"/>
      <c r="G31947" s="1"/>
    </row>
    <row r="31948">
      <c r="B31948" s="36"/>
      <c r="C31948" s="36"/>
      <c r="E31948" s="1"/>
      <c r="F31948" s="1"/>
      <c r="G31948" s="1"/>
    </row>
    <row r="31949">
      <c r="B31949" s="36"/>
      <c r="C31949" s="36"/>
      <c r="E31949" s="1"/>
      <c r="F31949" s="1"/>
      <c r="G31949" s="1"/>
    </row>
    <row r="31950">
      <c r="B31950" s="36"/>
      <c r="C31950" s="36"/>
      <c r="E31950" s="1"/>
      <c r="F31950" s="1"/>
      <c r="G31950" s="1"/>
    </row>
    <row r="31951">
      <c r="B31951" s="36"/>
      <c r="C31951" s="36"/>
      <c r="E31951" s="1"/>
      <c r="F31951" s="1"/>
      <c r="G31951" s="1"/>
    </row>
    <row r="31952">
      <c r="B31952" s="36"/>
      <c r="C31952" s="36"/>
      <c r="E31952" s="1"/>
      <c r="F31952" s="1"/>
      <c r="G31952" s="1"/>
    </row>
    <row r="31953">
      <c r="B31953" s="36"/>
      <c r="C31953" s="36"/>
      <c r="E31953" s="1"/>
      <c r="F31953" s="1"/>
      <c r="G31953" s="1"/>
    </row>
    <row r="31954">
      <c r="B31954" s="36"/>
      <c r="C31954" s="36"/>
      <c r="E31954" s="1"/>
      <c r="F31954" s="1"/>
      <c r="G31954" s="1"/>
    </row>
    <row r="31955">
      <c r="B31955" s="36"/>
      <c r="C31955" s="36"/>
      <c r="E31955" s="1"/>
      <c r="F31955" s="1"/>
      <c r="G31955" s="1"/>
    </row>
    <row r="31956">
      <c r="B31956" s="36"/>
      <c r="C31956" s="36"/>
      <c r="E31956" s="1"/>
      <c r="F31956" s="1"/>
      <c r="G31956" s="1"/>
    </row>
    <row r="31957">
      <c r="B31957" s="36"/>
      <c r="C31957" s="36"/>
      <c r="E31957" s="1"/>
      <c r="F31957" s="1"/>
      <c r="G31957" s="1"/>
    </row>
    <row r="31958">
      <c r="B31958" s="36"/>
      <c r="C31958" s="36"/>
      <c r="E31958" s="1"/>
      <c r="F31958" s="1"/>
      <c r="G31958" s="1"/>
    </row>
    <row r="31959">
      <c r="B31959" s="36"/>
      <c r="C31959" s="36"/>
      <c r="E31959" s="1"/>
      <c r="F31959" s="1"/>
      <c r="G31959" s="1"/>
    </row>
    <row r="31960">
      <c r="B31960" s="36"/>
      <c r="C31960" s="36"/>
      <c r="E31960" s="1"/>
      <c r="F31960" s="1"/>
      <c r="G31960" s="1"/>
    </row>
    <row r="31961">
      <c r="B31961" s="36"/>
      <c r="C31961" s="36"/>
      <c r="E31961" s="1"/>
      <c r="F31961" s="1"/>
      <c r="G31961" s="1"/>
    </row>
    <row r="31962">
      <c r="B31962" s="36"/>
      <c r="C31962" s="36"/>
      <c r="E31962" s="1"/>
      <c r="F31962" s="1"/>
      <c r="G31962" s="1"/>
    </row>
    <row r="31963">
      <c r="B31963" s="36"/>
      <c r="C31963" s="36"/>
      <c r="E31963" s="1"/>
      <c r="F31963" s="1"/>
      <c r="G31963" s="1"/>
    </row>
    <row r="31964">
      <c r="B31964" s="36"/>
      <c r="C31964" s="36"/>
      <c r="E31964" s="1"/>
      <c r="F31964" s="1"/>
      <c r="G31964" s="1"/>
    </row>
    <row r="31965">
      <c r="B31965" s="36"/>
      <c r="C31965" s="36"/>
      <c r="E31965" s="1"/>
      <c r="F31965" s="1"/>
      <c r="G31965" s="1"/>
    </row>
    <row r="31966">
      <c r="B31966" s="36"/>
      <c r="C31966" s="36"/>
      <c r="E31966" s="1"/>
      <c r="F31966" s="1"/>
      <c r="G31966" s="1"/>
    </row>
    <row r="31967">
      <c r="B31967" s="36"/>
      <c r="C31967" s="36"/>
      <c r="E31967" s="1"/>
      <c r="F31967" s="1"/>
      <c r="G31967" s="1"/>
    </row>
    <row r="31968">
      <c r="B31968" s="36"/>
      <c r="C31968" s="36"/>
      <c r="E31968" s="1"/>
      <c r="F31968" s="1"/>
      <c r="G31968" s="1"/>
    </row>
    <row r="31969">
      <c r="B31969" s="36"/>
      <c r="C31969" s="36"/>
      <c r="E31969" s="1"/>
      <c r="F31969" s="1"/>
      <c r="G31969" s="1"/>
    </row>
    <row r="31970">
      <c r="B31970" s="36"/>
      <c r="C31970" s="36"/>
      <c r="E31970" s="1"/>
      <c r="F31970" s="1"/>
      <c r="G31970" s="1"/>
    </row>
    <row r="31971">
      <c r="B31971" s="36"/>
      <c r="C31971" s="36"/>
      <c r="E31971" s="1"/>
      <c r="F31971" s="1"/>
      <c r="G31971" s="1"/>
    </row>
    <row r="31972">
      <c r="B31972" s="36"/>
      <c r="C31972" s="36"/>
      <c r="E31972" s="1"/>
      <c r="F31972" s="1"/>
      <c r="G31972" s="1"/>
    </row>
    <row r="31973">
      <c r="B31973" s="36"/>
      <c r="C31973" s="36"/>
      <c r="E31973" s="1"/>
      <c r="F31973" s="1"/>
      <c r="G31973" s="1"/>
    </row>
    <row r="31974">
      <c r="B31974" s="36"/>
      <c r="C31974" s="36"/>
      <c r="E31974" s="1"/>
      <c r="F31974" s="1"/>
      <c r="G31974" s="1"/>
    </row>
    <row r="31975">
      <c r="B31975" s="36"/>
      <c r="C31975" s="36"/>
      <c r="E31975" s="1"/>
      <c r="F31975" s="1"/>
      <c r="G31975" s="1"/>
    </row>
    <row r="31976">
      <c r="B31976" s="36"/>
      <c r="C31976" s="36"/>
      <c r="E31976" s="1"/>
      <c r="F31976" s="1"/>
      <c r="G31976" s="1"/>
    </row>
    <row r="31977">
      <c r="B31977" s="36"/>
      <c r="C31977" s="36"/>
      <c r="E31977" s="1"/>
      <c r="F31977" s="1"/>
      <c r="G31977" s="1"/>
    </row>
    <row r="31978">
      <c r="B31978" s="36"/>
      <c r="C31978" s="36"/>
      <c r="E31978" s="1"/>
      <c r="F31978" s="1"/>
      <c r="G31978" s="1"/>
    </row>
    <row r="31979">
      <c r="B31979" s="36"/>
      <c r="C31979" s="36"/>
      <c r="E31979" s="1"/>
      <c r="F31979" s="1"/>
      <c r="G31979" s="1"/>
    </row>
    <row r="31980">
      <c r="B31980" s="36"/>
      <c r="C31980" s="36"/>
      <c r="E31980" s="1"/>
      <c r="F31980" s="1"/>
      <c r="G31980" s="1"/>
    </row>
    <row r="31981">
      <c r="B31981" s="36"/>
      <c r="C31981" s="36"/>
      <c r="E31981" s="1"/>
      <c r="F31981" s="1"/>
      <c r="G31981" s="1"/>
    </row>
    <row r="31982">
      <c r="B31982" s="36"/>
      <c r="C31982" s="36"/>
      <c r="E31982" s="1"/>
      <c r="F31982" s="1"/>
      <c r="G31982" s="1"/>
    </row>
    <row r="31983">
      <c r="B31983" s="36"/>
      <c r="C31983" s="36"/>
      <c r="E31983" s="1"/>
      <c r="F31983" s="1"/>
      <c r="G31983" s="1"/>
    </row>
    <row r="31984">
      <c r="B31984" s="36"/>
      <c r="C31984" s="36"/>
      <c r="E31984" s="1"/>
      <c r="F31984" s="1"/>
      <c r="G31984" s="1"/>
    </row>
    <row r="31985">
      <c r="B31985" s="36"/>
      <c r="C31985" s="36"/>
      <c r="E31985" s="1"/>
      <c r="F31985" s="1"/>
      <c r="G31985" s="1"/>
    </row>
    <row r="31986">
      <c r="B31986" s="36"/>
      <c r="C31986" s="36"/>
      <c r="E31986" s="1"/>
      <c r="F31986" s="1"/>
      <c r="G31986" s="1"/>
    </row>
    <row r="31987">
      <c r="B31987" s="36"/>
      <c r="C31987" s="36"/>
      <c r="E31987" s="1"/>
      <c r="F31987" s="1"/>
      <c r="G31987" s="1"/>
    </row>
    <row r="31988">
      <c r="B31988" s="36"/>
      <c r="C31988" s="36"/>
      <c r="E31988" s="1"/>
      <c r="F31988" s="1"/>
      <c r="G31988" s="1"/>
    </row>
    <row r="31989">
      <c r="B31989" s="36"/>
      <c r="C31989" s="36"/>
      <c r="E31989" s="1"/>
      <c r="F31989" s="1"/>
      <c r="G31989" s="1"/>
    </row>
    <row r="31990">
      <c r="B31990" s="36"/>
      <c r="C31990" s="36"/>
      <c r="E31990" s="1"/>
      <c r="F31990" s="1"/>
      <c r="G31990" s="1"/>
    </row>
    <row r="31991">
      <c r="B31991" s="36"/>
      <c r="C31991" s="36"/>
      <c r="E31991" s="1"/>
      <c r="F31991" s="1"/>
      <c r="G31991" s="1"/>
    </row>
    <row r="31992">
      <c r="B31992" s="36"/>
      <c r="C31992" s="36"/>
      <c r="E31992" s="1"/>
      <c r="F31992" s="1"/>
      <c r="G31992" s="1"/>
    </row>
    <row r="31993">
      <c r="B31993" s="36"/>
      <c r="C31993" s="36"/>
      <c r="E31993" s="1"/>
      <c r="F31993" s="1"/>
      <c r="G31993" s="1"/>
    </row>
    <row r="31994">
      <c r="B31994" s="36"/>
      <c r="C31994" s="36"/>
      <c r="E31994" s="1"/>
      <c r="F31994" s="1"/>
      <c r="G31994" s="1"/>
    </row>
    <row r="31995">
      <c r="B31995" s="36"/>
      <c r="C31995" s="36"/>
      <c r="E31995" s="1"/>
      <c r="F31995" s="1"/>
      <c r="G31995" s="1"/>
    </row>
    <row r="31996">
      <c r="B31996" s="36"/>
      <c r="C31996" s="36"/>
      <c r="E31996" s="1"/>
      <c r="F31996" s="1"/>
      <c r="G31996" s="1"/>
    </row>
    <row r="31997">
      <c r="B31997" s="36"/>
      <c r="C31997" s="36"/>
      <c r="E31997" s="1"/>
      <c r="F31997" s="1"/>
      <c r="G31997" s="1"/>
    </row>
    <row r="31998">
      <c r="B31998" s="36"/>
      <c r="C31998" s="36"/>
      <c r="E31998" s="1"/>
      <c r="F31998" s="1"/>
      <c r="G31998" s="1"/>
    </row>
    <row r="31999">
      <c r="B31999" s="36"/>
      <c r="C31999" s="36"/>
      <c r="E31999" s="1"/>
      <c r="F31999" s="1"/>
      <c r="G31999" s="1"/>
    </row>
    <row r="32000">
      <c r="B32000" s="36"/>
      <c r="C32000" s="36"/>
      <c r="E32000" s="1"/>
      <c r="F32000" s="1"/>
      <c r="G32000" s="1"/>
    </row>
    <row r="32001">
      <c r="B32001" s="36"/>
      <c r="C32001" s="36"/>
      <c r="E32001" s="1"/>
      <c r="F32001" s="1"/>
      <c r="G32001" s="1"/>
    </row>
    <row r="32002">
      <c r="B32002" s="36"/>
      <c r="C32002" s="36"/>
      <c r="E32002" s="1"/>
      <c r="F32002" s="1"/>
      <c r="G32002" s="1"/>
    </row>
    <row r="32003">
      <c r="B32003" s="36"/>
      <c r="C32003" s="36"/>
      <c r="E32003" s="1"/>
      <c r="F32003" s="1"/>
      <c r="G32003" s="1"/>
    </row>
    <row r="32004">
      <c r="B32004" s="36"/>
      <c r="C32004" s="36"/>
      <c r="E32004" s="1"/>
      <c r="F32004" s="1"/>
      <c r="G32004" s="1"/>
    </row>
    <row r="32005">
      <c r="B32005" s="36"/>
      <c r="C32005" s="36"/>
      <c r="E32005" s="1"/>
      <c r="F32005" s="1"/>
      <c r="G32005" s="1"/>
    </row>
    <row r="32006">
      <c r="B32006" s="36"/>
      <c r="C32006" s="36"/>
      <c r="E32006" s="1"/>
      <c r="F32006" s="1"/>
      <c r="G32006" s="1"/>
    </row>
    <row r="32007">
      <c r="B32007" s="36"/>
      <c r="C32007" s="36"/>
      <c r="E32007" s="1"/>
      <c r="F32007" s="1"/>
      <c r="G32007" s="1"/>
    </row>
    <row r="32008">
      <c r="B32008" s="36"/>
      <c r="C32008" s="36"/>
      <c r="E32008" s="1"/>
      <c r="F32008" s="1"/>
      <c r="G32008" s="1"/>
    </row>
    <row r="32009">
      <c r="B32009" s="36"/>
      <c r="C32009" s="36"/>
      <c r="E32009" s="1"/>
      <c r="F32009" s="1"/>
      <c r="G32009" s="1"/>
    </row>
    <row r="32010">
      <c r="B32010" s="36"/>
      <c r="C32010" s="36"/>
      <c r="E32010" s="1"/>
      <c r="F32010" s="1"/>
      <c r="G32010" s="1"/>
    </row>
    <row r="32011">
      <c r="B32011" s="36"/>
      <c r="C32011" s="36"/>
      <c r="E32011" s="1"/>
      <c r="F32011" s="1"/>
      <c r="G32011" s="1"/>
    </row>
    <row r="32012">
      <c r="B32012" s="36"/>
      <c r="C32012" s="36"/>
      <c r="E32012" s="1"/>
      <c r="F32012" s="1"/>
      <c r="G32012" s="1"/>
    </row>
    <row r="32013">
      <c r="B32013" s="36"/>
      <c r="C32013" s="36"/>
      <c r="E32013" s="1"/>
      <c r="F32013" s="1"/>
      <c r="G32013" s="1"/>
    </row>
    <row r="32014">
      <c r="B32014" s="36"/>
      <c r="C32014" s="36"/>
      <c r="E32014" s="1"/>
      <c r="F32014" s="1"/>
      <c r="G32014" s="1"/>
    </row>
    <row r="32015">
      <c r="B32015" s="36"/>
      <c r="C32015" s="36"/>
      <c r="E32015" s="1"/>
      <c r="F32015" s="1"/>
      <c r="G32015" s="1"/>
    </row>
    <row r="32016">
      <c r="B32016" s="36"/>
      <c r="C32016" s="36"/>
      <c r="E32016" s="1"/>
      <c r="F32016" s="1"/>
      <c r="G32016" s="1"/>
    </row>
    <row r="32017">
      <c r="B32017" s="36"/>
      <c r="C32017" s="36"/>
      <c r="E32017" s="1"/>
      <c r="F32017" s="1"/>
      <c r="G32017" s="1"/>
    </row>
    <row r="32018">
      <c r="B32018" s="36"/>
      <c r="C32018" s="36"/>
      <c r="E32018" s="1"/>
      <c r="F32018" s="1"/>
      <c r="G32018" s="1"/>
    </row>
    <row r="32019">
      <c r="B32019" s="36"/>
      <c r="C32019" s="36"/>
      <c r="E32019" s="1"/>
      <c r="F32019" s="1"/>
      <c r="G32019" s="1"/>
    </row>
    <row r="32020">
      <c r="B32020" s="36"/>
      <c r="C32020" s="36"/>
      <c r="E32020" s="1"/>
      <c r="F32020" s="1"/>
      <c r="G32020" s="1"/>
    </row>
    <row r="32021">
      <c r="B32021" s="36"/>
      <c r="C32021" s="36"/>
      <c r="E32021" s="1"/>
      <c r="F32021" s="1"/>
      <c r="G32021" s="1"/>
    </row>
    <row r="32022">
      <c r="B32022" s="36"/>
      <c r="C32022" s="36"/>
      <c r="E32022" s="1"/>
      <c r="F32022" s="1"/>
      <c r="G32022" s="1"/>
    </row>
    <row r="32023">
      <c r="B32023" s="36"/>
      <c r="C32023" s="36"/>
      <c r="E32023" s="1"/>
      <c r="F32023" s="1"/>
      <c r="G32023" s="1"/>
    </row>
    <row r="32024">
      <c r="B32024" s="36"/>
      <c r="C32024" s="36"/>
      <c r="E32024" s="1"/>
      <c r="F32024" s="1"/>
      <c r="G32024" s="1"/>
    </row>
    <row r="32025">
      <c r="B32025" s="36"/>
      <c r="C32025" s="36"/>
      <c r="E32025" s="1"/>
      <c r="F32025" s="1"/>
      <c r="G32025" s="1"/>
    </row>
    <row r="32026">
      <c r="B32026" s="36"/>
      <c r="C32026" s="36"/>
      <c r="E32026" s="1"/>
      <c r="F32026" s="1"/>
      <c r="G32026" s="1"/>
    </row>
    <row r="32027">
      <c r="B32027" s="36"/>
      <c r="C32027" s="36"/>
      <c r="E32027" s="1"/>
      <c r="F32027" s="1"/>
      <c r="G32027" s="1"/>
    </row>
    <row r="32028">
      <c r="B32028" s="36"/>
      <c r="C32028" s="36"/>
      <c r="E32028" s="1"/>
      <c r="F32028" s="1"/>
      <c r="G32028" s="1"/>
    </row>
    <row r="32029">
      <c r="B32029" s="36"/>
      <c r="C32029" s="36"/>
      <c r="E32029" s="1"/>
      <c r="F32029" s="1"/>
      <c r="G32029" s="1"/>
    </row>
    <row r="32030">
      <c r="B32030" s="36"/>
      <c r="C32030" s="36"/>
      <c r="E32030" s="1"/>
      <c r="F32030" s="1"/>
      <c r="G32030" s="1"/>
    </row>
    <row r="32031">
      <c r="B32031" s="36"/>
      <c r="C32031" s="36"/>
      <c r="E32031" s="1"/>
      <c r="F32031" s="1"/>
      <c r="G32031" s="1"/>
    </row>
    <row r="32032">
      <c r="B32032" s="36"/>
      <c r="C32032" s="36"/>
      <c r="E32032" s="1"/>
      <c r="F32032" s="1"/>
      <c r="G32032" s="1"/>
    </row>
    <row r="32033">
      <c r="B32033" s="36"/>
      <c r="C32033" s="36"/>
      <c r="E32033" s="1"/>
      <c r="F32033" s="1"/>
      <c r="G32033" s="1"/>
    </row>
    <row r="32034">
      <c r="B32034" s="36"/>
      <c r="C32034" s="36"/>
      <c r="E32034" s="1"/>
      <c r="F32034" s="1"/>
      <c r="G32034" s="1"/>
    </row>
    <row r="32035">
      <c r="B32035" s="36"/>
      <c r="C32035" s="36"/>
      <c r="E32035" s="1"/>
      <c r="F32035" s="1"/>
      <c r="G32035" s="1"/>
    </row>
    <row r="32036">
      <c r="B32036" s="36"/>
      <c r="C32036" s="36"/>
      <c r="E32036" s="1"/>
      <c r="F32036" s="1"/>
      <c r="G32036" s="1"/>
    </row>
    <row r="32037">
      <c r="B32037" s="36"/>
      <c r="C32037" s="36"/>
      <c r="E32037" s="1"/>
      <c r="F32037" s="1"/>
      <c r="G32037" s="1"/>
    </row>
    <row r="32038">
      <c r="B32038" s="36"/>
      <c r="C32038" s="36"/>
      <c r="E32038" s="1"/>
      <c r="F32038" s="1"/>
      <c r="G32038" s="1"/>
    </row>
    <row r="32039">
      <c r="B32039" s="36"/>
      <c r="C32039" s="36"/>
      <c r="E32039" s="1"/>
      <c r="F32039" s="1"/>
      <c r="G32039" s="1"/>
    </row>
    <row r="32040">
      <c r="B32040" s="36"/>
      <c r="C32040" s="36"/>
      <c r="E32040" s="1"/>
      <c r="F32040" s="1"/>
      <c r="G32040" s="1"/>
    </row>
    <row r="32041">
      <c r="B32041" s="36"/>
      <c r="C32041" s="36"/>
      <c r="E32041" s="1"/>
      <c r="F32041" s="1"/>
      <c r="G32041" s="1"/>
    </row>
    <row r="32042">
      <c r="B32042" s="36"/>
      <c r="C32042" s="36"/>
      <c r="E32042" s="1"/>
      <c r="F32042" s="1"/>
      <c r="G32042" s="1"/>
    </row>
    <row r="32043">
      <c r="B32043" s="36"/>
      <c r="C32043" s="36"/>
      <c r="E32043" s="1"/>
      <c r="F32043" s="1"/>
      <c r="G32043" s="1"/>
    </row>
    <row r="32044">
      <c r="B32044" s="36"/>
      <c r="C32044" s="36"/>
      <c r="E32044" s="1"/>
      <c r="F32044" s="1"/>
      <c r="G32044" s="1"/>
    </row>
    <row r="32045">
      <c r="B32045" s="36"/>
      <c r="C32045" s="36"/>
      <c r="E32045" s="1"/>
      <c r="F32045" s="1"/>
      <c r="G32045" s="1"/>
    </row>
    <row r="32046">
      <c r="B32046" s="36"/>
      <c r="C32046" s="36"/>
      <c r="E32046" s="1"/>
      <c r="F32046" s="1"/>
      <c r="G32046" s="1"/>
    </row>
    <row r="32047">
      <c r="B32047" s="36"/>
      <c r="C32047" s="36"/>
      <c r="E32047" s="1"/>
      <c r="F32047" s="1"/>
      <c r="G32047" s="1"/>
    </row>
    <row r="32048">
      <c r="B32048" s="36"/>
      <c r="C32048" s="36"/>
      <c r="E32048" s="1"/>
      <c r="F32048" s="1"/>
      <c r="G32048" s="1"/>
    </row>
    <row r="32049">
      <c r="B32049" s="36"/>
      <c r="C32049" s="36"/>
      <c r="E32049" s="1"/>
      <c r="F32049" s="1"/>
      <c r="G32049" s="1"/>
    </row>
    <row r="32050">
      <c r="B32050" s="36"/>
      <c r="C32050" s="36"/>
      <c r="E32050" s="1"/>
      <c r="F32050" s="1"/>
      <c r="G32050" s="1"/>
    </row>
    <row r="32051">
      <c r="B32051" s="36"/>
      <c r="C32051" s="36"/>
      <c r="E32051" s="1"/>
      <c r="F32051" s="1"/>
      <c r="G32051" s="1"/>
    </row>
    <row r="32052">
      <c r="B32052" s="36"/>
      <c r="C32052" s="36"/>
      <c r="E32052" s="1"/>
      <c r="F32052" s="1"/>
      <c r="G32052" s="1"/>
    </row>
    <row r="32053">
      <c r="B32053" s="36"/>
      <c r="C32053" s="36"/>
      <c r="E32053" s="1"/>
      <c r="F32053" s="1"/>
      <c r="G32053" s="1"/>
    </row>
    <row r="32054">
      <c r="B32054" s="36"/>
      <c r="C32054" s="36"/>
      <c r="E32054" s="1"/>
      <c r="F32054" s="1"/>
      <c r="G32054" s="1"/>
    </row>
    <row r="32055">
      <c r="B32055" s="36"/>
      <c r="C32055" s="36"/>
      <c r="E32055" s="1"/>
      <c r="F32055" s="1"/>
      <c r="G32055" s="1"/>
    </row>
    <row r="32056">
      <c r="B32056" s="36"/>
      <c r="C32056" s="36"/>
      <c r="E32056" s="1"/>
      <c r="F32056" s="1"/>
      <c r="G32056" s="1"/>
    </row>
    <row r="32057">
      <c r="B32057" s="36"/>
      <c r="C32057" s="36"/>
      <c r="E32057" s="1"/>
      <c r="F32057" s="1"/>
      <c r="G32057" s="1"/>
    </row>
    <row r="32058">
      <c r="B32058" s="36"/>
      <c r="C32058" s="36"/>
      <c r="E32058" s="1"/>
      <c r="F32058" s="1"/>
      <c r="G32058" s="1"/>
    </row>
    <row r="32059">
      <c r="B32059" s="36"/>
      <c r="C32059" s="36"/>
      <c r="E32059" s="1"/>
      <c r="F32059" s="1"/>
      <c r="G32059" s="1"/>
    </row>
    <row r="32060">
      <c r="B32060" s="36"/>
      <c r="C32060" s="36"/>
      <c r="E32060" s="1"/>
      <c r="F32060" s="1"/>
      <c r="G32060" s="1"/>
    </row>
    <row r="32061">
      <c r="B32061" s="36"/>
      <c r="C32061" s="36"/>
      <c r="E32061" s="1"/>
      <c r="F32061" s="1"/>
      <c r="G32061" s="1"/>
    </row>
    <row r="32062">
      <c r="B32062" s="36"/>
      <c r="C32062" s="36"/>
      <c r="E32062" s="1"/>
      <c r="F32062" s="1"/>
      <c r="G32062" s="1"/>
    </row>
    <row r="32063">
      <c r="B32063" s="36"/>
      <c r="C32063" s="36"/>
      <c r="E32063" s="1"/>
      <c r="F32063" s="1"/>
      <c r="G32063" s="1"/>
    </row>
    <row r="32064">
      <c r="B32064" s="36"/>
      <c r="C32064" s="36"/>
      <c r="E32064" s="1"/>
      <c r="F32064" s="1"/>
      <c r="G32064" s="1"/>
    </row>
    <row r="32065">
      <c r="B32065" s="36"/>
      <c r="C32065" s="36"/>
      <c r="E32065" s="1"/>
      <c r="F32065" s="1"/>
      <c r="G32065" s="1"/>
    </row>
    <row r="32066">
      <c r="B32066" s="36"/>
      <c r="C32066" s="36"/>
      <c r="E32066" s="1"/>
      <c r="F32066" s="1"/>
      <c r="G32066" s="1"/>
    </row>
    <row r="32067">
      <c r="B32067" s="36"/>
      <c r="C32067" s="36"/>
      <c r="E32067" s="1"/>
      <c r="F32067" s="1"/>
      <c r="G32067" s="1"/>
    </row>
    <row r="32068">
      <c r="B32068" s="36"/>
      <c r="C32068" s="36"/>
      <c r="E32068" s="1"/>
      <c r="F32068" s="1"/>
      <c r="G32068" s="1"/>
    </row>
    <row r="32069">
      <c r="B32069" s="36"/>
      <c r="C32069" s="36"/>
      <c r="E32069" s="1"/>
      <c r="F32069" s="1"/>
      <c r="G32069" s="1"/>
    </row>
    <row r="32070">
      <c r="B32070" s="36"/>
      <c r="C32070" s="36"/>
      <c r="E32070" s="1"/>
      <c r="F32070" s="1"/>
      <c r="G32070" s="1"/>
    </row>
    <row r="32071">
      <c r="B32071" s="36"/>
      <c r="C32071" s="36"/>
      <c r="E32071" s="1"/>
      <c r="F32071" s="1"/>
      <c r="G32071" s="1"/>
    </row>
    <row r="32072">
      <c r="B32072" s="36"/>
      <c r="C32072" s="36"/>
      <c r="E32072" s="1"/>
      <c r="F32072" s="1"/>
      <c r="G32072" s="1"/>
    </row>
    <row r="32073">
      <c r="B32073" s="36"/>
      <c r="C32073" s="36"/>
      <c r="E32073" s="1"/>
      <c r="F32073" s="1"/>
      <c r="G32073" s="1"/>
    </row>
    <row r="32074">
      <c r="B32074" s="36"/>
      <c r="C32074" s="36"/>
      <c r="E32074" s="1"/>
      <c r="F32074" s="1"/>
      <c r="G32074" s="1"/>
    </row>
    <row r="32075">
      <c r="B32075" s="36"/>
      <c r="C32075" s="36"/>
      <c r="E32075" s="1"/>
      <c r="F32075" s="1"/>
      <c r="G32075" s="1"/>
    </row>
    <row r="32076">
      <c r="B32076" s="36"/>
      <c r="C32076" s="36"/>
      <c r="E32076" s="1"/>
      <c r="F32076" s="1"/>
      <c r="G32076" s="1"/>
    </row>
    <row r="32077">
      <c r="B32077" s="36"/>
      <c r="C32077" s="36"/>
      <c r="E32077" s="1"/>
      <c r="F32077" s="1"/>
      <c r="G32077" s="1"/>
    </row>
    <row r="32078">
      <c r="B32078" s="36"/>
      <c r="C32078" s="36"/>
      <c r="E32078" s="1"/>
      <c r="F32078" s="1"/>
      <c r="G32078" s="1"/>
    </row>
    <row r="32079">
      <c r="B32079" s="36"/>
      <c r="C32079" s="36"/>
      <c r="E32079" s="1"/>
      <c r="F32079" s="1"/>
      <c r="G32079" s="1"/>
    </row>
    <row r="32080">
      <c r="B32080" s="36"/>
      <c r="C32080" s="36"/>
      <c r="E32080" s="1"/>
      <c r="F32080" s="1"/>
      <c r="G32080" s="1"/>
    </row>
    <row r="32081">
      <c r="B32081" s="36"/>
      <c r="C32081" s="36"/>
      <c r="E32081" s="1"/>
      <c r="F32081" s="1"/>
      <c r="G32081" s="1"/>
    </row>
    <row r="32082">
      <c r="B32082" s="36"/>
      <c r="C32082" s="36"/>
      <c r="E32082" s="1"/>
      <c r="F32082" s="1"/>
      <c r="G32082" s="1"/>
    </row>
    <row r="32083">
      <c r="B32083" s="36"/>
      <c r="C32083" s="36"/>
      <c r="E32083" s="1"/>
      <c r="F32083" s="1"/>
      <c r="G32083" s="1"/>
    </row>
    <row r="32084">
      <c r="B32084" s="36"/>
      <c r="C32084" s="36"/>
      <c r="E32084" s="1"/>
      <c r="F32084" s="1"/>
      <c r="G32084" s="1"/>
    </row>
    <row r="32085">
      <c r="B32085" s="36"/>
      <c r="C32085" s="36"/>
      <c r="E32085" s="1"/>
      <c r="F32085" s="1"/>
      <c r="G32085" s="1"/>
    </row>
    <row r="32086">
      <c r="B32086" s="36"/>
      <c r="C32086" s="36"/>
      <c r="E32086" s="1"/>
      <c r="F32086" s="1"/>
      <c r="G32086" s="1"/>
    </row>
    <row r="32087">
      <c r="B32087" s="36"/>
      <c r="C32087" s="36"/>
      <c r="E32087" s="1"/>
      <c r="F32087" s="1"/>
      <c r="G32087" s="1"/>
    </row>
    <row r="32088">
      <c r="B32088" s="36"/>
      <c r="C32088" s="36"/>
      <c r="E32088" s="1"/>
      <c r="F32088" s="1"/>
      <c r="G32088" s="1"/>
    </row>
    <row r="32089">
      <c r="B32089" s="36"/>
      <c r="C32089" s="36"/>
      <c r="E32089" s="1"/>
      <c r="F32089" s="1"/>
      <c r="G32089" s="1"/>
    </row>
    <row r="32090">
      <c r="B32090" s="36"/>
      <c r="C32090" s="36"/>
      <c r="E32090" s="1"/>
      <c r="F32090" s="1"/>
      <c r="G32090" s="1"/>
    </row>
    <row r="32091">
      <c r="B32091" s="36"/>
      <c r="C32091" s="36"/>
      <c r="E32091" s="1"/>
      <c r="F32091" s="1"/>
      <c r="G32091" s="1"/>
    </row>
    <row r="32092">
      <c r="B32092" s="36"/>
      <c r="C32092" s="36"/>
      <c r="E32092" s="1"/>
      <c r="F32092" s="1"/>
      <c r="G32092" s="1"/>
    </row>
    <row r="32093">
      <c r="B32093" s="36"/>
      <c r="C32093" s="36"/>
      <c r="E32093" s="1"/>
      <c r="F32093" s="1"/>
      <c r="G32093" s="1"/>
    </row>
    <row r="32094">
      <c r="B32094" s="36"/>
      <c r="C32094" s="36"/>
      <c r="E32094" s="1"/>
      <c r="F32094" s="1"/>
      <c r="G32094" s="1"/>
    </row>
    <row r="32095">
      <c r="B32095" s="36"/>
      <c r="C32095" s="36"/>
      <c r="E32095" s="1"/>
      <c r="F32095" s="1"/>
      <c r="G32095" s="1"/>
    </row>
    <row r="32096">
      <c r="B32096" s="36"/>
      <c r="C32096" s="36"/>
      <c r="E32096" s="1"/>
      <c r="F32096" s="1"/>
      <c r="G32096" s="1"/>
    </row>
    <row r="32097">
      <c r="B32097" s="36"/>
      <c r="C32097" s="36"/>
      <c r="E32097" s="1"/>
      <c r="F32097" s="1"/>
      <c r="G32097" s="1"/>
    </row>
    <row r="32098">
      <c r="B32098" s="36"/>
      <c r="C32098" s="36"/>
      <c r="E32098" s="1"/>
      <c r="F32098" s="1"/>
      <c r="G32098" s="1"/>
    </row>
    <row r="32099">
      <c r="B32099" s="36"/>
      <c r="C32099" s="36"/>
      <c r="E32099" s="1"/>
      <c r="F32099" s="1"/>
      <c r="G32099" s="1"/>
    </row>
    <row r="32100">
      <c r="B32100" s="36"/>
      <c r="C32100" s="36"/>
      <c r="E32100" s="1"/>
      <c r="F32100" s="1"/>
      <c r="G32100" s="1"/>
    </row>
    <row r="32101">
      <c r="B32101" s="36"/>
      <c r="C32101" s="36"/>
      <c r="E32101" s="1"/>
      <c r="F32101" s="1"/>
      <c r="G32101" s="1"/>
    </row>
    <row r="32102">
      <c r="B32102" s="36"/>
      <c r="C32102" s="36"/>
      <c r="E32102" s="1"/>
      <c r="F32102" s="1"/>
      <c r="G32102" s="1"/>
    </row>
    <row r="32103">
      <c r="B32103" s="36"/>
      <c r="C32103" s="36"/>
      <c r="E32103" s="1"/>
      <c r="F32103" s="1"/>
      <c r="G32103" s="1"/>
    </row>
    <row r="32104">
      <c r="B32104" s="36"/>
      <c r="C32104" s="36"/>
      <c r="E32104" s="1"/>
      <c r="F32104" s="1"/>
      <c r="G32104" s="1"/>
    </row>
    <row r="32105">
      <c r="B32105" s="36"/>
      <c r="C32105" s="36"/>
      <c r="E32105" s="1"/>
      <c r="F32105" s="1"/>
      <c r="G32105" s="1"/>
    </row>
    <row r="32106">
      <c r="B32106" s="36"/>
      <c r="C32106" s="36"/>
      <c r="E32106" s="1"/>
      <c r="F32106" s="1"/>
      <c r="G32106" s="1"/>
    </row>
    <row r="32107">
      <c r="B32107" s="36"/>
      <c r="C32107" s="36"/>
      <c r="E32107" s="1"/>
      <c r="F32107" s="1"/>
      <c r="G32107" s="1"/>
    </row>
    <row r="32108">
      <c r="B32108" s="36"/>
      <c r="C32108" s="36"/>
      <c r="E32108" s="1"/>
      <c r="F32108" s="1"/>
      <c r="G32108" s="1"/>
    </row>
    <row r="32109">
      <c r="B32109" s="36"/>
      <c r="C32109" s="36"/>
      <c r="E32109" s="1"/>
      <c r="F32109" s="1"/>
      <c r="G32109" s="1"/>
    </row>
    <row r="32110">
      <c r="B32110" s="36"/>
      <c r="C32110" s="36"/>
      <c r="E32110" s="1"/>
      <c r="F32110" s="1"/>
      <c r="G32110" s="1"/>
    </row>
    <row r="32111">
      <c r="B32111" s="36"/>
      <c r="C32111" s="36"/>
      <c r="E32111" s="1"/>
      <c r="F32111" s="1"/>
      <c r="G32111" s="1"/>
    </row>
    <row r="32112">
      <c r="B32112" s="36"/>
      <c r="C32112" s="36"/>
      <c r="E32112" s="1"/>
      <c r="F32112" s="1"/>
      <c r="G32112" s="1"/>
    </row>
    <row r="32113">
      <c r="B32113" s="36"/>
      <c r="C32113" s="36"/>
      <c r="E32113" s="1"/>
      <c r="F32113" s="1"/>
      <c r="G32113" s="1"/>
    </row>
    <row r="32114">
      <c r="B32114" s="36"/>
      <c r="C32114" s="36"/>
      <c r="E32114" s="1"/>
      <c r="F32114" s="1"/>
      <c r="G32114" s="1"/>
    </row>
    <row r="32115">
      <c r="B32115" s="36"/>
      <c r="C32115" s="36"/>
      <c r="E32115" s="1"/>
      <c r="F32115" s="1"/>
      <c r="G32115" s="1"/>
    </row>
    <row r="32116">
      <c r="B32116" s="36"/>
      <c r="C32116" s="36"/>
      <c r="E32116" s="1"/>
      <c r="F32116" s="1"/>
      <c r="G32116" s="1"/>
    </row>
    <row r="32117">
      <c r="B32117" s="36"/>
      <c r="C32117" s="36"/>
      <c r="E32117" s="1"/>
      <c r="F32117" s="1"/>
      <c r="G32117" s="1"/>
    </row>
    <row r="32118">
      <c r="B32118" s="36"/>
      <c r="C32118" s="36"/>
      <c r="E32118" s="1"/>
      <c r="F32118" s="1"/>
      <c r="G32118" s="1"/>
    </row>
    <row r="32119">
      <c r="B32119" s="36"/>
      <c r="C32119" s="36"/>
      <c r="E32119" s="1"/>
      <c r="F32119" s="1"/>
      <c r="G32119" s="1"/>
    </row>
    <row r="32120">
      <c r="B32120" s="36"/>
      <c r="C32120" s="36"/>
      <c r="E32120" s="1"/>
      <c r="F32120" s="1"/>
      <c r="G32120" s="1"/>
    </row>
    <row r="32121">
      <c r="B32121" s="36"/>
      <c r="C32121" s="36"/>
      <c r="E32121" s="1"/>
      <c r="F32121" s="1"/>
      <c r="G32121" s="1"/>
    </row>
    <row r="32122">
      <c r="B32122" s="36"/>
      <c r="C32122" s="36"/>
      <c r="E32122" s="1"/>
      <c r="F32122" s="1"/>
      <c r="G32122" s="1"/>
    </row>
    <row r="32123">
      <c r="B32123" s="36"/>
      <c r="C32123" s="36"/>
      <c r="E32123" s="1"/>
      <c r="F32123" s="1"/>
      <c r="G32123" s="1"/>
    </row>
    <row r="32124">
      <c r="B32124" s="36"/>
      <c r="C32124" s="36"/>
      <c r="E32124" s="1"/>
      <c r="F32124" s="1"/>
      <c r="G32124" s="1"/>
    </row>
    <row r="32125">
      <c r="B32125" s="36"/>
      <c r="C32125" s="36"/>
      <c r="E32125" s="1"/>
      <c r="F32125" s="1"/>
      <c r="G32125" s="1"/>
    </row>
    <row r="32126">
      <c r="B32126" s="36"/>
      <c r="C32126" s="36"/>
      <c r="E32126" s="1"/>
      <c r="F32126" s="1"/>
      <c r="G32126" s="1"/>
    </row>
    <row r="32127">
      <c r="B32127" s="36"/>
      <c r="C32127" s="36"/>
      <c r="E32127" s="1"/>
      <c r="F32127" s="1"/>
      <c r="G32127" s="1"/>
    </row>
    <row r="32128">
      <c r="B32128" s="36"/>
      <c r="C32128" s="36"/>
      <c r="E32128" s="1"/>
      <c r="F32128" s="1"/>
      <c r="G32128" s="1"/>
    </row>
    <row r="32129">
      <c r="B32129" s="36"/>
      <c r="C32129" s="36"/>
      <c r="E32129" s="1"/>
      <c r="F32129" s="1"/>
      <c r="G32129" s="1"/>
    </row>
    <row r="32130">
      <c r="B32130" s="36"/>
      <c r="C32130" s="36"/>
      <c r="E32130" s="1"/>
      <c r="F32130" s="1"/>
      <c r="G32130" s="1"/>
    </row>
    <row r="32131">
      <c r="B32131" s="36"/>
      <c r="C32131" s="36"/>
      <c r="E32131" s="1"/>
      <c r="F32131" s="1"/>
      <c r="G32131" s="1"/>
    </row>
    <row r="32132">
      <c r="B32132" s="36"/>
      <c r="C32132" s="36"/>
      <c r="E32132" s="1"/>
      <c r="F32132" s="1"/>
      <c r="G32132" s="1"/>
    </row>
    <row r="32133">
      <c r="B32133" s="36"/>
      <c r="C32133" s="36"/>
      <c r="E32133" s="1"/>
      <c r="F32133" s="1"/>
      <c r="G32133" s="1"/>
    </row>
    <row r="32134">
      <c r="B32134" s="36"/>
      <c r="C32134" s="36"/>
      <c r="E32134" s="1"/>
      <c r="F32134" s="1"/>
      <c r="G32134" s="1"/>
    </row>
    <row r="32135">
      <c r="B32135" s="36"/>
      <c r="C32135" s="36"/>
      <c r="E32135" s="1"/>
      <c r="F32135" s="1"/>
      <c r="G32135" s="1"/>
    </row>
    <row r="32136">
      <c r="B32136" s="36"/>
      <c r="C32136" s="36"/>
      <c r="E32136" s="1"/>
      <c r="F32136" s="1"/>
      <c r="G32136" s="1"/>
    </row>
    <row r="32137">
      <c r="B32137" s="36"/>
      <c r="C32137" s="36"/>
      <c r="E32137" s="1"/>
      <c r="F32137" s="1"/>
      <c r="G32137" s="1"/>
    </row>
    <row r="32138">
      <c r="B32138" s="36"/>
      <c r="C32138" s="36"/>
      <c r="E32138" s="1"/>
      <c r="F32138" s="1"/>
      <c r="G32138" s="1"/>
    </row>
    <row r="32139">
      <c r="B32139" s="36"/>
      <c r="C32139" s="36"/>
      <c r="E32139" s="1"/>
      <c r="F32139" s="1"/>
      <c r="G32139" s="1"/>
    </row>
    <row r="32140">
      <c r="B32140" s="36"/>
      <c r="C32140" s="36"/>
      <c r="E32140" s="1"/>
      <c r="F32140" s="1"/>
      <c r="G32140" s="1"/>
    </row>
    <row r="32141">
      <c r="B32141" s="36"/>
      <c r="C32141" s="36"/>
      <c r="E32141" s="1"/>
      <c r="F32141" s="1"/>
      <c r="G32141" s="1"/>
    </row>
    <row r="32142">
      <c r="B32142" s="36"/>
      <c r="C32142" s="36"/>
      <c r="E32142" s="1"/>
      <c r="F32142" s="1"/>
      <c r="G32142" s="1"/>
    </row>
    <row r="32143">
      <c r="B32143" s="36"/>
      <c r="C32143" s="36"/>
      <c r="E32143" s="1"/>
      <c r="F32143" s="1"/>
      <c r="G32143" s="1"/>
    </row>
    <row r="32144">
      <c r="B32144" s="36"/>
      <c r="C32144" s="36"/>
      <c r="E32144" s="1"/>
      <c r="F32144" s="1"/>
      <c r="G32144" s="1"/>
    </row>
    <row r="32145">
      <c r="B32145" s="36"/>
      <c r="C32145" s="36"/>
      <c r="E32145" s="1"/>
      <c r="F32145" s="1"/>
      <c r="G32145" s="1"/>
    </row>
    <row r="32146">
      <c r="B32146" s="36"/>
      <c r="C32146" s="36"/>
      <c r="E32146" s="1"/>
      <c r="F32146" s="1"/>
      <c r="G32146" s="1"/>
    </row>
    <row r="32147">
      <c r="B32147" s="36"/>
      <c r="C32147" s="36"/>
      <c r="E32147" s="1"/>
      <c r="F32147" s="1"/>
      <c r="G32147" s="1"/>
    </row>
    <row r="32148">
      <c r="B32148" s="36"/>
      <c r="C32148" s="36"/>
      <c r="E32148" s="1"/>
      <c r="F32148" s="1"/>
      <c r="G32148" s="1"/>
    </row>
    <row r="32149">
      <c r="B32149" s="36"/>
      <c r="C32149" s="36"/>
      <c r="E32149" s="1"/>
      <c r="F32149" s="1"/>
      <c r="G32149" s="1"/>
    </row>
    <row r="32150">
      <c r="B32150" s="36"/>
      <c r="C32150" s="36"/>
      <c r="E32150" s="1"/>
      <c r="F32150" s="1"/>
      <c r="G32150" s="1"/>
    </row>
    <row r="32151">
      <c r="B32151" s="36"/>
      <c r="C32151" s="36"/>
      <c r="E32151" s="1"/>
      <c r="F32151" s="1"/>
      <c r="G32151" s="1"/>
    </row>
    <row r="32152">
      <c r="B32152" s="36"/>
      <c r="C32152" s="36"/>
      <c r="E32152" s="1"/>
      <c r="F32152" s="1"/>
      <c r="G32152" s="1"/>
    </row>
    <row r="32153">
      <c r="B32153" s="36"/>
      <c r="C32153" s="36"/>
      <c r="E32153" s="1"/>
      <c r="F32153" s="1"/>
      <c r="G32153" s="1"/>
    </row>
    <row r="32154">
      <c r="B32154" s="36"/>
      <c r="C32154" s="36"/>
      <c r="E32154" s="1"/>
      <c r="F32154" s="1"/>
      <c r="G32154" s="1"/>
    </row>
    <row r="32155">
      <c r="B32155" s="36"/>
      <c r="C32155" s="36"/>
      <c r="E32155" s="1"/>
      <c r="F32155" s="1"/>
      <c r="G32155" s="1"/>
    </row>
    <row r="32156">
      <c r="B32156" s="36"/>
      <c r="C32156" s="36"/>
      <c r="E32156" s="1"/>
      <c r="F32156" s="1"/>
      <c r="G32156" s="1"/>
    </row>
    <row r="32157">
      <c r="B32157" s="36"/>
      <c r="C32157" s="36"/>
      <c r="E32157" s="1"/>
      <c r="F32157" s="1"/>
      <c r="G32157" s="1"/>
    </row>
    <row r="32158">
      <c r="B32158" s="36"/>
      <c r="C32158" s="36"/>
      <c r="E32158" s="1"/>
      <c r="F32158" s="1"/>
      <c r="G32158" s="1"/>
    </row>
    <row r="32159">
      <c r="B32159" s="36"/>
      <c r="C32159" s="36"/>
      <c r="E32159" s="1"/>
      <c r="F32159" s="1"/>
      <c r="G32159" s="1"/>
    </row>
    <row r="32160">
      <c r="B32160" s="36"/>
      <c r="C32160" s="36"/>
      <c r="E32160" s="1"/>
      <c r="F32160" s="1"/>
      <c r="G32160" s="1"/>
    </row>
    <row r="32161">
      <c r="B32161" s="36"/>
      <c r="C32161" s="36"/>
      <c r="E32161" s="1"/>
      <c r="F32161" s="1"/>
      <c r="G32161" s="1"/>
    </row>
    <row r="32162">
      <c r="B32162" s="36"/>
      <c r="C32162" s="36"/>
      <c r="E32162" s="1"/>
      <c r="F32162" s="1"/>
      <c r="G32162" s="1"/>
    </row>
    <row r="32163">
      <c r="B32163" s="36"/>
      <c r="C32163" s="36"/>
      <c r="E32163" s="1"/>
      <c r="F32163" s="1"/>
      <c r="G32163" s="1"/>
    </row>
    <row r="32164">
      <c r="B32164" s="36"/>
      <c r="C32164" s="36"/>
      <c r="E32164" s="1"/>
      <c r="F32164" s="1"/>
      <c r="G32164" s="1"/>
    </row>
    <row r="32165">
      <c r="B32165" s="36"/>
      <c r="C32165" s="36"/>
      <c r="E32165" s="1"/>
      <c r="F32165" s="1"/>
      <c r="G32165" s="1"/>
    </row>
    <row r="32166">
      <c r="B32166" s="36"/>
      <c r="C32166" s="36"/>
      <c r="E32166" s="1"/>
      <c r="F32166" s="1"/>
      <c r="G32166" s="1"/>
    </row>
    <row r="32167">
      <c r="B32167" s="36"/>
      <c r="C32167" s="36"/>
      <c r="E32167" s="1"/>
      <c r="F32167" s="1"/>
      <c r="G32167" s="1"/>
    </row>
    <row r="32168">
      <c r="B32168" s="36"/>
      <c r="C32168" s="36"/>
      <c r="E32168" s="1"/>
      <c r="F32168" s="1"/>
      <c r="G32168" s="1"/>
    </row>
    <row r="32169">
      <c r="B32169" s="36"/>
      <c r="C32169" s="36"/>
      <c r="E32169" s="1"/>
      <c r="F32169" s="1"/>
      <c r="G32169" s="1"/>
    </row>
    <row r="32170">
      <c r="B32170" s="36"/>
      <c r="C32170" s="36"/>
      <c r="E32170" s="1"/>
      <c r="F32170" s="1"/>
      <c r="G32170" s="1"/>
    </row>
    <row r="32171">
      <c r="B32171" s="36"/>
      <c r="C32171" s="36"/>
      <c r="E32171" s="1"/>
      <c r="F32171" s="1"/>
      <c r="G32171" s="1"/>
    </row>
    <row r="32172">
      <c r="B32172" s="36"/>
      <c r="C32172" s="36"/>
      <c r="E32172" s="1"/>
      <c r="F32172" s="1"/>
      <c r="G32172" s="1"/>
    </row>
    <row r="32173">
      <c r="B32173" s="36"/>
      <c r="C32173" s="36"/>
      <c r="E32173" s="1"/>
      <c r="F32173" s="1"/>
      <c r="G32173" s="1"/>
    </row>
    <row r="32174">
      <c r="B32174" s="36"/>
      <c r="C32174" s="36"/>
      <c r="E32174" s="1"/>
      <c r="F32174" s="1"/>
      <c r="G32174" s="1"/>
    </row>
    <row r="32175">
      <c r="B32175" s="36"/>
      <c r="C32175" s="36"/>
      <c r="E32175" s="1"/>
      <c r="F32175" s="1"/>
      <c r="G32175" s="1"/>
    </row>
    <row r="32176">
      <c r="B32176" s="36"/>
      <c r="C32176" s="36"/>
      <c r="E32176" s="1"/>
      <c r="F32176" s="1"/>
      <c r="G32176" s="1"/>
    </row>
    <row r="32177">
      <c r="B32177" s="36"/>
      <c r="C32177" s="36"/>
      <c r="E32177" s="1"/>
      <c r="F32177" s="1"/>
      <c r="G32177" s="1"/>
    </row>
    <row r="32178">
      <c r="B32178" s="36"/>
      <c r="C32178" s="36"/>
      <c r="E32178" s="1"/>
      <c r="F32178" s="1"/>
      <c r="G32178" s="1"/>
    </row>
    <row r="32179">
      <c r="B32179" s="36"/>
      <c r="C32179" s="36"/>
      <c r="E32179" s="1"/>
      <c r="F32179" s="1"/>
      <c r="G32179" s="1"/>
    </row>
    <row r="32180">
      <c r="B32180" s="36"/>
      <c r="C32180" s="36"/>
      <c r="E32180" s="1"/>
      <c r="F32180" s="1"/>
      <c r="G32180" s="1"/>
    </row>
    <row r="32181">
      <c r="B32181" s="36"/>
      <c r="C32181" s="36"/>
      <c r="E32181" s="1"/>
      <c r="F32181" s="1"/>
      <c r="G32181" s="1"/>
    </row>
    <row r="32182">
      <c r="B32182" s="36"/>
      <c r="C32182" s="36"/>
      <c r="E32182" s="1"/>
      <c r="F32182" s="1"/>
      <c r="G32182" s="1"/>
    </row>
    <row r="32183">
      <c r="B32183" s="36"/>
      <c r="C32183" s="36"/>
      <c r="E32183" s="1"/>
      <c r="F32183" s="1"/>
      <c r="G32183" s="1"/>
    </row>
    <row r="32184">
      <c r="B32184" s="36"/>
      <c r="C32184" s="36"/>
      <c r="E32184" s="1"/>
      <c r="F32184" s="1"/>
      <c r="G32184" s="1"/>
    </row>
    <row r="32185">
      <c r="B32185" s="36"/>
      <c r="C32185" s="36"/>
      <c r="E32185" s="1"/>
      <c r="F32185" s="1"/>
      <c r="G32185" s="1"/>
    </row>
    <row r="32186">
      <c r="B32186" s="36"/>
      <c r="C32186" s="36"/>
      <c r="E32186" s="1"/>
      <c r="F32186" s="1"/>
      <c r="G32186" s="1"/>
    </row>
    <row r="32187">
      <c r="B32187" s="36"/>
      <c r="C32187" s="36"/>
      <c r="E32187" s="1"/>
      <c r="F32187" s="1"/>
      <c r="G32187" s="1"/>
    </row>
    <row r="32188">
      <c r="B32188" s="36"/>
      <c r="C32188" s="36"/>
      <c r="E32188" s="1"/>
      <c r="F32188" s="1"/>
      <c r="G32188" s="1"/>
    </row>
    <row r="32189">
      <c r="B32189" s="36"/>
      <c r="C32189" s="36"/>
      <c r="E32189" s="1"/>
      <c r="F32189" s="1"/>
      <c r="G32189" s="1"/>
    </row>
    <row r="32190">
      <c r="B32190" s="36"/>
      <c r="C32190" s="36"/>
      <c r="E32190" s="1"/>
      <c r="F32190" s="1"/>
      <c r="G32190" s="1"/>
    </row>
    <row r="32191">
      <c r="B32191" s="36"/>
      <c r="C32191" s="36"/>
      <c r="E32191" s="1"/>
      <c r="F32191" s="1"/>
      <c r="G32191" s="1"/>
    </row>
    <row r="32192">
      <c r="B32192" s="36"/>
      <c r="C32192" s="36"/>
      <c r="E32192" s="1"/>
      <c r="F32192" s="1"/>
      <c r="G32192" s="1"/>
    </row>
    <row r="32193">
      <c r="B32193" s="36"/>
      <c r="C32193" s="36"/>
      <c r="E32193" s="1"/>
      <c r="F32193" s="1"/>
      <c r="G32193" s="1"/>
    </row>
    <row r="32194">
      <c r="B32194" s="36"/>
      <c r="C32194" s="36"/>
      <c r="E32194" s="1"/>
      <c r="F32194" s="1"/>
      <c r="G32194" s="1"/>
    </row>
    <row r="32195">
      <c r="B32195" s="36"/>
      <c r="C32195" s="36"/>
      <c r="E32195" s="1"/>
      <c r="F32195" s="1"/>
      <c r="G32195" s="1"/>
    </row>
    <row r="32196">
      <c r="B32196" s="36"/>
      <c r="C32196" s="36"/>
      <c r="E32196" s="1"/>
      <c r="F32196" s="1"/>
      <c r="G32196" s="1"/>
    </row>
    <row r="32197">
      <c r="B32197" s="36"/>
      <c r="C32197" s="36"/>
      <c r="E32197" s="1"/>
      <c r="F32197" s="1"/>
      <c r="G32197" s="1"/>
    </row>
    <row r="32198">
      <c r="B32198" s="36"/>
      <c r="C32198" s="36"/>
      <c r="E32198" s="1"/>
      <c r="F32198" s="1"/>
      <c r="G32198" s="1"/>
    </row>
    <row r="32199">
      <c r="B32199" s="36"/>
      <c r="C32199" s="36"/>
      <c r="E32199" s="1"/>
      <c r="F32199" s="1"/>
      <c r="G32199" s="1"/>
    </row>
    <row r="32200">
      <c r="B32200" s="36"/>
      <c r="C32200" s="36"/>
      <c r="E32200" s="1"/>
      <c r="F32200" s="1"/>
      <c r="G32200" s="1"/>
    </row>
    <row r="32201">
      <c r="B32201" s="36"/>
      <c r="C32201" s="36"/>
      <c r="E32201" s="1"/>
      <c r="F32201" s="1"/>
      <c r="G32201" s="1"/>
    </row>
    <row r="32202">
      <c r="B32202" s="36"/>
      <c r="C32202" s="36"/>
      <c r="E32202" s="1"/>
      <c r="F32202" s="1"/>
      <c r="G32202" s="1"/>
    </row>
    <row r="32203">
      <c r="B32203" s="36"/>
      <c r="C32203" s="36"/>
      <c r="E32203" s="1"/>
      <c r="F32203" s="1"/>
      <c r="G32203" s="1"/>
    </row>
    <row r="32204">
      <c r="B32204" s="36"/>
      <c r="C32204" s="36"/>
      <c r="E32204" s="1"/>
      <c r="F32204" s="1"/>
      <c r="G32204" s="1"/>
    </row>
    <row r="32205">
      <c r="B32205" s="36"/>
      <c r="C32205" s="36"/>
      <c r="E32205" s="1"/>
      <c r="F32205" s="1"/>
      <c r="G32205" s="1"/>
    </row>
    <row r="32206">
      <c r="B32206" s="36"/>
      <c r="C32206" s="36"/>
      <c r="E32206" s="1"/>
      <c r="F32206" s="1"/>
      <c r="G32206" s="1"/>
    </row>
    <row r="32207">
      <c r="B32207" s="36"/>
      <c r="C32207" s="36"/>
      <c r="E32207" s="1"/>
      <c r="F32207" s="1"/>
      <c r="G32207" s="1"/>
    </row>
    <row r="32208">
      <c r="B32208" s="36"/>
      <c r="C32208" s="36"/>
      <c r="E32208" s="1"/>
      <c r="F32208" s="1"/>
      <c r="G32208" s="1"/>
    </row>
    <row r="32209">
      <c r="B32209" s="36"/>
      <c r="C32209" s="36"/>
      <c r="E32209" s="1"/>
      <c r="F32209" s="1"/>
      <c r="G32209" s="1"/>
    </row>
    <row r="32210">
      <c r="B32210" s="36"/>
      <c r="C32210" s="36"/>
      <c r="E32210" s="1"/>
      <c r="F32210" s="1"/>
      <c r="G32210" s="1"/>
    </row>
    <row r="32211">
      <c r="B32211" s="36"/>
      <c r="C32211" s="36"/>
      <c r="E32211" s="1"/>
      <c r="F32211" s="1"/>
      <c r="G32211" s="1"/>
    </row>
    <row r="32212">
      <c r="B32212" s="36"/>
      <c r="C32212" s="36"/>
      <c r="E32212" s="1"/>
      <c r="F32212" s="1"/>
      <c r="G32212" s="1"/>
    </row>
    <row r="32213">
      <c r="B32213" s="36"/>
      <c r="C32213" s="36"/>
      <c r="E32213" s="1"/>
      <c r="F32213" s="1"/>
      <c r="G32213" s="1"/>
    </row>
    <row r="32214">
      <c r="B32214" s="36"/>
      <c r="C32214" s="36"/>
      <c r="E32214" s="1"/>
      <c r="F32214" s="1"/>
      <c r="G32214" s="1"/>
    </row>
    <row r="32215">
      <c r="B32215" s="36"/>
      <c r="C32215" s="36"/>
      <c r="E32215" s="1"/>
      <c r="F32215" s="1"/>
      <c r="G32215" s="1"/>
    </row>
    <row r="32216">
      <c r="B32216" s="36"/>
      <c r="C32216" s="36"/>
      <c r="E32216" s="1"/>
      <c r="F32216" s="1"/>
      <c r="G32216" s="1"/>
    </row>
    <row r="32217">
      <c r="B32217" s="36"/>
      <c r="C32217" s="36"/>
      <c r="E32217" s="1"/>
      <c r="F32217" s="1"/>
      <c r="G32217" s="1"/>
    </row>
    <row r="32218">
      <c r="B32218" s="36"/>
      <c r="C32218" s="36"/>
      <c r="E32218" s="1"/>
      <c r="F32218" s="1"/>
      <c r="G32218" s="1"/>
    </row>
    <row r="32219">
      <c r="B32219" s="36"/>
      <c r="C32219" s="36"/>
      <c r="E32219" s="1"/>
      <c r="F32219" s="1"/>
      <c r="G32219" s="1"/>
    </row>
    <row r="32220">
      <c r="B32220" s="36"/>
      <c r="C32220" s="36"/>
      <c r="E32220" s="1"/>
      <c r="F32220" s="1"/>
      <c r="G32220" s="1"/>
    </row>
    <row r="32221">
      <c r="B32221" s="36"/>
      <c r="C32221" s="36"/>
      <c r="E32221" s="1"/>
      <c r="F32221" s="1"/>
      <c r="G32221" s="1"/>
    </row>
    <row r="32222">
      <c r="B32222" s="36"/>
      <c r="C32222" s="36"/>
      <c r="E32222" s="1"/>
      <c r="F32222" s="1"/>
      <c r="G32222" s="1"/>
    </row>
    <row r="32223">
      <c r="B32223" s="36"/>
      <c r="C32223" s="36"/>
      <c r="E32223" s="1"/>
      <c r="F32223" s="1"/>
      <c r="G32223" s="1"/>
    </row>
    <row r="32224">
      <c r="B32224" s="36"/>
      <c r="C32224" s="36"/>
      <c r="E32224" s="1"/>
      <c r="F32224" s="1"/>
      <c r="G32224" s="1"/>
    </row>
    <row r="32225">
      <c r="B32225" s="36"/>
      <c r="C32225" s="36"/>
      <c r="E32225" s="1"/>
      <c r="F32225" s="1"/>
      <c r="G32225" s="1"/>
    </row>
    <row r="32226">
      <c r="B32226" s="36"/>
      <c r="C32226" s="36"/>
      <c r="E32226" s="1"/>
      <c r="F32226" s="1"/>
      <c r="G32226" s="1"/>
    </row>
    <row r="32227">
      <c r="B32227" s="36"/>
      <c r="C32227" s="36"/>
      <c r="E32227" s="1"/>
      <c r="F32227" s="1"/>
      <c r="G32227" s="1"/>
    </row>
    <row r="32228">
      <c r="B32228" s="36"/>
      <c r="C32228" s="36"/>
      <c r="E32228" s="1"/>
      <c r="F32228" s="1"/>
      <c r="G32228" s="1"/>
    </row>
    <row r="32229">
      <c r="B32229" s="36"/>
      <c r="C32229" s="36"/>
      <c r="E32229" s="1"/>
      <c r="F32229" s="1"/>
      <c r="G32229" s="1"/>
    </row>
    <row r="32230">
      <c r="B32230" s="36"/>
      <c r="C32230" s="36"/>
      <c r="E32230" s="1"/>
      <c r="F32230" s="1"/>
      <c r="G32230" s="1"/>
    </row>
    <row r="32231">
      <c r="B32231" s="36"/>
      <c r="C32231" s="36"/>
      <c r="E32231" s="1"/>
      <c r="F32231" s="1"/>
      <c r="G32231" s="1"/>
    </row>
    <row r="32232">
      <c r="B32232" s="36"/>
      <c r="C32232" s="36"/>
      <c r="E32232" s="1"/>
      <c r="F32232" s="1"/>
      <c r="G32232" s="1"/>
    </row>
    <row r="32233">
      <c r="B32233" s="36"/>
      <c r="C32233" s="36"/>
      <c r="E32233" s="1"/>
      <c r="F32233" s="1"/>
      <c r="G32233" s="1"/>
    </row>
    <row r="32234">
      <c r="B32234" s="36"/>
      <c r="C32234" s="36"/>
      <c r="E32234" s="1"/>
      <c r="F32234" s="1"/>
      <c r="G32234" s="1"/>
    </row>
    <row r="32235">
      <c r="B32235" s="36"/>
      <c r="C32235" s="36"/>
      <c r="E32235" s="1"/>
      <c r="F32235" s="1"/>
      <c r="G32235" s="1"/>
    </row>
    <row r="32236">
      <c r="B32236" s="36"/>
      <c r="C32236" s="36"/>
      <c r="E32236" s="1"/>
      <c r="F32236" s="1"/>
      <c r="G32236" s="1"/>
    </row>
    <row r="32237">
      <c r="B32237" s="36"/>
      <c r="C32237" s="36"/>
      <c r="E32237" s="1"/>
      <c r="F32237" s="1"/>
      <c r="G32237" s="1"/>
    </row>
    <row r="32238">
      <c r="B32238" s="36"/>
      <c r="C32238" s="36"/>
      <c r="E32238" s="1"/>
      <c r="F32238" s="1"/>
      <c r="G32238" s="1"/>
    </row>
    <row r="32239">
      <c r="B32239" s="36"/>
      <c r="C32239" s="36"/>
      <c r="E32239" s="1"/>
      <c r="F32239" s="1"/>
      <c r="G32239" s="1"/>
    </row>
    <row r="32240">
      <c r="B32240" s="36"/>
      <c r="C32240" s="36"/>
      <c r="E32240" s="1"/>
      <c r="F32240" s="1"/>
      <c r="G32240" s="1"/>
    </row>
    <row r="32241">
      <c r="B32241" s="36"/>
      <c r="C32241" s="36"/>
      <c r="E32241" s="1"/>
      <c r="F32241" s="1"/>
      <c r="G32241" s="1"/>
    </row>
    <row r="32242">
      <c r="B32242" s="36"/>
      <c r="C32242" s="36"/>
      <c r="E32242" s="1"/>
      <c r="F32242" s="1"/>
      <c r="G32242" s="1"/>
    </row>
    <row r="32243">
      <c r="B32243" s="36"/>
      <c r="C32243" s="36"/>
      <c r="E32243" s="1"/>
      <c r="F32243" s="1"/>
      <c r="G32243" s="1"/>
    </row>
    <row r="32244">
      <c r="B32244" s="36"/>
      <c r="C32244" s="36"/>
      <c r="E32244" s="1"/>
      <c r="F32244" s="1"/>
      <c r="G32244" s="1"/>
    </row>
    <row r="32245">
      <c r="B32245" s="36"/>
      <c r="C32245" s="36"/>
      <c r="E32245" s="1"/>
      <c r="F32245" s="1"/>
      <c r="G32245" s="1"/>
    </row>
    <row r="32246">
      <c r="B32246" s="36"/>
      <c r="C32246" s="36"/>
      <c r="E32246" s="1"/>
      <c r="F32246" s="1"/>
      <c r="G32246" s="1"/>
    </row>
    <row r="32247">
      <c r="B32247" s="36"/>
      <c r="C32247" s="36"/>
      <c r="E32247" s="1"/>
      <c r="F32247" s="1"/>
      <c r="G32247" s="1"/>
    </row>
    <row r="32248">
      <c r="B32248" s="36"/>
      <c r="C32248" s="36"/>
      <c r="E32248" s="1"/>
      <c r="F32248" s="1"/>
      <c r="G32248" s="1"/>
    </row>
    <row r="32249">
      <c r="B32249" s="36"/>
      <c r="C32249" s="36"/>
      <c r="E32249" s="1"/>
      <c r="F32249" s="1"/>
      <c r="G32249" s="1"/>
    </row>
    <row r="32250">
      <c r="B32250" s="36"/>
      <c r="C32250" s="36"/>
      <c r="E32250" s="1"/>
      <c r="F32250" s="1"/>
      <c r="G32250" s="1"/>
    </row>
    <row r="32251">
      <c r="B32251" s="36"/>
      <c r="C32251" s="36"/>
      <c r="E32251" s="1"/>
      <c r="F32251" s="1"/>
      <c r="G32251" s="1"/>
    </row>
    <row r="32252">
      <c r="B32252" s="36"/>
      <c r="C32252" s="36"/>
      <c r="E32252" s="1"/>
      <c r="F32252" s="1"/>
      <c r="G32252" s="1"/>
    </row>
    <row r="32253">
      <c r="B32253" s="36"/>
      <c r="C32253" s="36"/>
      <c r="E32253" s="1"/>
      <c r="F32253" s="1"/>
      <c r="G32253" s="1"/>
    </row>
    <row r="32254">
      <c r="B32254" s="36"/>
      <c r="C32254" s="36"/>
      <c r="E32254" s="1"/>
      <c r="F32254" s="1"/>
      <c r="G32254" s="1"/>
    </row>
    <row r="32255">
      <c r="B32255" s="36"/>
      <c r="C32255" s="36"/>
      <c r="E32255" s="1"/>
      <c r="F32255" s="1"/>
      <c r="G32255" s="1"/>
    </row>
    <row r="32256">
      <c r="B32256" s="36"/>
      <c r="C32256" s="36"/>
      <c r="E32256" s="1"/>
      <c r="F32256" s="1"/>
      <c r="G32256" s="1"/>
    </row>
    <row r="32257">
      <c r="B32257" s="36"/>
      <c r="C32257" s="36"/>
      <c r="E32257" s="1"/>
      <c r="F32257" s="1"/>
      <c r="G32257" s="1"/>
    </row>
    <row r="32258">
      <c r="B32258" s="36"/>
      <c r="C32258" s="36"/>
      <c r="E32258" s="1"/>
      <c r="F32258" s="1"/>
      <c r="G32258" s="1"/>
    </row>
    <row r="32259">
      <c r="B32259" s="36"/>
      <c r="C32259" s="36"/>
      <c r="E32259" s="1"/>
      <c r="F32259" s="1"/>
      <c r="G32259" s="1"/>
    </row>
    <row r="32260">
      <c r="B32260" s="36"/>
      <c r="C32260" s="36"/>
      <c r="E32260" s="1"/>
      <c r="F32260" s="1"/>
      <c r="G32260" s="1"/>
    </row>
    <row r="32261">
      <c r="B32261" s="36"/>
      <c r="C32261" s="36"/>
      <c r="E32261" s="1"/>
      <c r="F32261" s="1"/>
      <c r="G32261" s="1"/>
    </row>
    <row r="32262">
      <c r="B32262" s="36"/>
      <c r="C32262" s="36"/>
      <c r="E32262" s="1"/>
      <c r="F32262" s="1"/>
      <c r="G32262" s="1"/>
    </row>
    <row r="32263">
      <c r="B32263" s="36"/>
      <c r="C32263" s="36"/>
      <c r="E32263" s="1"/>
      <c r="F32263" s="1"/>
      <c r="G32263" s="1"/>
    </row>
    <row r="32264">
      <c r="B32264" s="36"/>
      <c r="C32264" s="36"/>
      <c r="E32264" s="1"/>
      <c r="F32264" s="1"/>
      <c r="G32264" s="1"/>
    </row>
    <row r="32265">
      <c r="B32265" s="36"/>
      <c r="C32265" s="36"/>
      <c r="E32265" s="1"/>
      <c r="F32265" s="1"/>
      <c r="G32265" s="1"/>
    </row>
    <row r="32266">
      <c r="B32266" s="36"/>
      <c r="C32266" s="36"/>
      <c r="E32266" s="1"/>
      <c r="F32266" s="1"/>
      <c r="G32266" s="1"/>
    </row>
    <row r="32267">
      <c r="B32267" s="36"/>
      <c r="C32267" s="36"/>
      <c r="E32267" s="1"/>
      <c r="F32267" s="1"/>
      <c r="G32267" s="1"/>
    </row>
    <row r="32268">
      <c r="B32268" s="36"/>
      <c r="C32268" s="36"/>
      <c r="E32268" s="1"/>
      <c r="F32268" s="1"/>
      <c r="G32268" s="1"/>
    </row>
    <row r="32269">
      <c r="B32269" s="36"/>
      <c r="C32269" s="36"/>
      <c r="E32269" s="1"/>
      <c r="F32269" s="1"/>
      <c r="G32269" s="1"/>
    </row>
    <row r="32270">
      <c r="B32270" s="36"/>
      <c r="C32270" s="36"/>
      <c r="E32270" s="1"/>
      <c r="F32270" s="1"/>
      <c r="G32270" s="1"/>
    </row>
    <row r="32271">
      <c r="B32271" s="36"/>
      <c r="C32271" s="36"/>
      <c r="E32271" s="1"/>
      <c r="F32271" s="1"/>
      <c r="G32271" s="1"/>
    </row>
    <row r="32272">
      <c r="B32272" s="36"/>
      <c r="C32272" s="36"/>
      <c r="E32272" s="1"/>
      <c r="F32272" s="1"/>
      <c r="G32272" s="1"/>
    </row>
    <row r="32273">
      <c r="B32273" s="36"/>
      <c r="C32273" s="36"/>
      <c r="E32273" s="1"/>
      <c r="F32273" s="1"/>
      <c r="G32273" s="1"/>
    </row>
    <row r="32274">
      <c r="B32274" s="36"/>
      <c r="C32274" s="36"/>
      <c r="E32274" s="1"/>
      <c r="F32274" s="1"/>
      <c r="G32274" s="1"/>
    </row>
    <row r="32275">
      <c r="B32275" s="36"/>
      <c r="C32275" s="36"/>
      <c r="E32275" s="1"/>
      <c r="F32275" s="1"/>
      <c r="G32275" s="1"/>
    </row>
    <row r="32276">
      <c r="B32276" s="36"/>
      <c r="C32276" s="36"/>
      <c r="E32276" s="1"/>
      <c r="F32276" s="1"/>
      <c r="G32276" s="1"/>
    </row>
    <row r="32277">
      <c r="B32277" s="36"/>
      <c r="C32277" s="36"/>
      <c r="E32277" s="1"/>
      <c r="F32277" s="1"/>
      <c r="G32277" s="1"/>
    </row>
    <row r="32278">
      <c r="B32278" s="36"/>
      <c r="C32278" s="36"/>
      <c r="E32278" s="1"/>
      <c r="F32278" s="1"/>
      <c r="G32278" s="1"/>
    </row>
    <row r="32279">
      <c r="B32279" s="36"/>
      <c r="C32279" s="36"/>
      <c r="E32279" s="1"/>
      <c r="F32279" s="1"/>
      <c r="G32279" s="1"/>
    </row>
    <row r="32280">
      <c r="B32280" s="36"/>
      <c r="C32280" s="36"/>
      <c r="E32280" s="1"/>
      <c r="F32280" s="1"/>
      <c r="G32280" s="1"/>
    </row>
    <row r="32281">
      <c r="B32281" s="36"/>
      <c r="C32281" s="36"/>
      <c r="E32281" s="1"/>
      <c r="F32281" s="1"/>
      <c r="G32281" s="1"/>
    </row>
    <row r="32282">
      <c r="B32282" s="36"/>
      <c r="C32282" s="36"/>
      <c r="E32282" s="1"/>
      <c r="F32282" s="1"/>
      <c r="G32282" s="1"/>
    </row>
    <row r="32283">
      <c r="B32283" s="36"/>
      <c r="C32283" s="36"/>
      <c r="E32283" s="1"/>
      <c r="F32283" s="1"/>
      <c r="G32283" s="1"/>
    </row>
    <row r="32284">
      <c r="B32284" s="36"/>
      <c r="C32284" s="36"/>
      <c r="E32284" s="1"/>
      <c r="F32284" s="1"/>
      <c r="G32284" s="1"/>
    </row>
    <row r="32285">
      <c r="B32285" s="36"/>
      <c r="C32285" s="36"/>
      <c r="E32285" s="1"/>
      <c r="F32285" s="1"/>
      <c r="G32285" s="1"/>
    </row>
    <row r="32286">
      <c r="B32286" s="36"/>
      <c r="C32286" s="36"/>
      <c r="E32286" s="1"/>
      <c r="F32286" s="1"/>
      <c r="G32286" s="1"/>
    </row>
    <row r="32287">
      <c r="B32287" s="36"/>
      <c r="C32287" s="36"/>
      <c r="E32287" s="1"/>
      <c r="F32287" s="1"/>
      <c r="G32287" s="1"/>
    </row>
    <row r="32288">
      <c r="B32288" s="36"/>
      <c r="C32288" s="36"/>
      <c r="E32288" s="1"/>
      <c r="F32288" s="1"/>
      <c r="G32288" s="1"/>
    </row>
    <row r="32289">
      <c r="B32289" s="36"/>
      <c r="C32289" s="36"/>
      <c r="E32289" s="1"/>
      <c r="F32289" s="1"/>
      <c r="G32289" s="1"/>
    </row>
    <row r="32290">
      <c r="B32290" s="36"/>
      <c r="C32290" s="36"/>
      <c r="E32290" s="1"/>
      <c r="F32290" s="1"/>
      <c r="G32290" s="1"/>
    </row>
    <row r="32291">
      <c r="B32291" s="36"/>
      <c r="C32291" s="36"/>
      <c r="E32291" s="1"/>
      <c r="F32291" s="1"/>
      <c r="G32291" s="1"/>
    </row>
    <row r="32292">
      <c r="B32292" s="36"/>
      <c r="C32292" s="36"/>
      <c r="E32292" s="1"/>
      <c r="F32292" s="1"/>
      <c r="G32292" s="1"/>
    </row>
    <row r="32293">
      <c r="B32293" s="36"/>
      <c r="C32293" s="36"/>
      <c r="E32293" s="1"/>
      <c r="F32293" s="1"/>
      <c r="G32293" s="1"/>
    </row>
    <row r="32294">
      <c r="B32294" s="36"/>
      <c r="C32294" s="36"/>
      <c r="E32294" s="1"/>
      <c r="F32294" s="1"/>
      <c r="G32294" s="1"/>
    </row>
    <row r="32295">
      <c r="B32295" s="36"/>
      <c r="C32295" s="36"/>
      <c r="E32295" s="1"/>
      <c r="F32295" s="1"/>
      <c r="G32295" s="1"/>
    </row>
    <row r="32296">
      <c r="B32296" s="36"/>
      <c r="C32296" s="36"/>
      <c r="E32296" s="1"/>
      <c r="F32296" s="1"/>
      <c r="G32296" s="1"/>
    </row>
    <row r="32297">
      <c r="B32297" s="36"/>
      <c r="C32297" s="36"/>
      <c r="E32297" s="1"/>
      <c r="F32297" s="1"/>
      <c r="G32297" s="1"/>
    </row>
    <row r="32298">
      <c r="B32298" s="36"/>
      <c r="C32298" s="36"/>
      <c r="E32298" s="1"/>
      <c r="F32298" s="1"/>
      <c r="G32298" s="1"/>
    </row>
    <row r="32299">
      <c r="B32299" s="36"/>
      <c r="C32299" s="36"/>
      <c r="E32299" s="1"/>
      <c r="F32299" s="1"/>
      <c r="G32299" s="1"/>
    </row>
    <row r="32300">
      <c r="B32300" s="36"/>
      <c r="C32300" s="36"/>
      <c r="E32300" s="1"/>
      <c r="F32300" s="1"/>
      <c r="G32300" s="1"/>
    </row>
    <row r="32301">
      <c r="B32301" s="36"/>
      <c r="C32301" s="36"/>
      <c r="E32301" s="1"/>
      <c r="F32301" s="1"/>
      <c r="G32301" s="1"/>
    </row>
    <row r="32302">
      <c r="B32302" s="36"/>
      <c r="C32302" s="36"/>
      <c r="E32302" s="1"/>
      <c r="F32302" s="1"/>
      <c r="G32302" s="1"/>
    </row>
    <row r="32303">
      <c r="B32303" s="36"/>
      <c r="C32303" s="36"/>
      <c r="E32303" s="1"/>
      <c r="F32303" s="1"/>
      <c r="G32303" s="1"/>
    </row>
    <row r="32304">
      <c r="B32304" s="36"/>
      <c r="C32304" s="36"/>
      <c r="E32304" s="1"/>
      <c r="F32304" s="1"/>
      <c r="G32304" s="1"/>
    </row>
    <row r="32305">
      <c r="B32305" s="36"/>
      <c r="C32305" s="36"/>
      <c r="E32305" s="1"/>
      <c r="F32305" s="1"/>
      <c r="G32305" s="1"/>
    </row>
    <row r="32306">
      <c r="B32306" s="36"/>
      <c r="C32306" s="36"/>
      <c r="E32306" s="1"/>
      <c r="F32306" s="1"/>
      <c r="G32306" s="1"/>
    </row>
    <row r="32307">
      <c r="B32307" s="36"/>
      <c r="C32307" s="36"/>
      <c r="E32307" s="1"/>
      <c r="F32307" s="1"/>
      <c r="G32307" s="1"/>
    </row>
    <row r="32308">
      <c r="B32308" s="36"/>
      <c r="C32308" s="36"/>
      <c r="E32308" s="1"/>
      <c r="F32308" s="1"/>
      <c r="G32308" s="1"/>
    </row>
    <row r="32309">
      <c r="B32309" s="36"/>
      <c r="C32309" s="36"/>
      <c r="E32309" s="1"/>
      <c r="F32309" s="1"/>
      <c r="G32309" s="1"/>
    </row>
    <row r="32310">
      <c r="B32310" s="36"/>
      <c r="C32310" s="36"/>
      <c r="E32310" s="1"/>
      <c r="F32310" s="1"/>
      <c r="G32310" s="1"/>
    </row>
    <row r="32311">
      <c r="B32311" s="36"/>
      <c r="C32311" s="36"/>
      <c r="E32311" s="1"/>
      <c r="F32311" s="1"/>
      <c r="G32311" s="1"/>
    </row>
    <row r="32312">
      <c r="B32312" s="36"/>
      <c r="C32312" s="36"/>
      <c r="E32312" s="1"/>
      <c r="F32312" s="1"/>
      <c r="G32312" s="1"/>
    </row>
    <row r="32313">
      <c r="B32313" s="36"/>
      <c r="C32313" s="36"/>
      <c r="E32313" s="1"/>
      <c r="F32313" s="1"/>
      <c r="G32313" s="1"/>
    </row>
    <row r="32314">
      <c r="B32314" s="36"/>
      <c r="C32314" s="36"/>
      <c r="E32314" s="1"/>
      <c r="F32314" s="1"/>
      <c r="G32314" s="1"/>
    </row>
    <row r="32315">
      <c r="B32315" s="36"/>
      <c r="C32315" s="36"/>
      <c r="E32315" s="1"/>
      <c r="F32315" s="1"/>
      <c r="G32315" s="1"/>
    </row>
    <row r="32316">
      <c r="B32316" s="36"/>
      <c r="C32316" s="36"/>
      <c r="E32316" s="1"/>
      <c r="F32316" s="1"/>
      <c r="G32316" s="1"/>
    </row>
    <row r="32317">
      <c r="B32317" s="36"/>
      <c r="C32317" s="36"/>
      <c r="E32317" s="1"/>
      <c r="F32317" s="1"/>
      <c r="G32317" s="1"/>
    </row>
    <row r="32318">
      <c r="B32318" s="36"/>
      <c r="C32318" s="36"/>
      <c r="E32318" s="1"/>
      <c r="F32318" s="1"/>
      <c r="G32318" s="1"/>
    </row>
    <row r="32319">
      <c r="B32319" s="36"/>
      <c r="C32319" s="36"/>
      <c r="E32319" s="1"/>
      <c r="F32319" s="1"/>
      <c r="G32319" s="1"/>
    </row>
    <row r="32320">
      <c r="B32320" s="36"/>
      <c r="C32320" s="36"/>
      <c r="E32320" s="1"/>
      <c r="F32320" s="1"/>
      <c r="G32320" s="1"/>
    </row>
    <row r="32321">
      <c r="B32321" s="36"/>
      <c r="C32321" s="36"/>
      <c r="E32321" s="1"/>
      <c r="F32321" s="1"/>
      <c r="G32321" s="1"/>
    </row>
    <row r="32322">
      <c r="B32322" s="36"/>
      <c r="C32322" s="36"/>
      <c r="E32322" s="1"/>
      <c r="F32322" s="1"/>
      <c r="G32322" s="1"/>
    </row>
    <row r="32323">
      <c r="B32323" s="36"/>
      <c r="C32323" s="36"/>
      <c r="E32323" s="1"/>
      <c r="F32323" s="1"/>
      <c r="G32323" s="1"/>
    </row>
    <row r="32324">
      <c r="B32324" s="36"/>
      <c r="C32324" s="36"/>
      <c r="E32324" s="1"/>
      <c r="F32324" s="1"/>
      <c r="G32324" s="1"/>
    </row>
    <row r="32325">
      <c r="B32325" s="36"/>
      <c r="C32325" s="36"/>
      <c r="E32325" s="1"/>
      <c r="F32325" s="1"/>
      <c r="G32325" s="1"/>
    </row>
    <row r="32326">
      <c r="B32326" s="36"/>
      <c r="C32326" s="36"/>
      <c r="E32326" s="1"/>
      <c r="F32326" s="1"/>
      <c r="G32326" s="1"/>
    </row>
    <row r="32327">
      <c r="B32327" s="36"/>
      <c r="C32327" s="36"/>
      <c r="E32327" s="1"/>
      <c r="F32327" s="1"/>
      <c r="G32327" s="1"/>
    </row>
    <row r="32328">
      <c r="B32328" s="36"/>
      <c r="C32328" s="36"/>
      <c r="E32328" s="1"/>
      <c r="F32328" s="1"/>
      <c r="G32328" s="1"/>
    </row>
    <row r="32329">
      <c r="B32329" s="36"/>
      <c r="C32329" s="36"/>
      <c r="E32329" s="1"/>
      <c r="F32329" s="1"/>
      <c r="G32329" s="1"/>
    </row>
    <row r="32330">
      <c r="B32330" s="36"/>
      <c r="C32330" s="36"/>
      <c r="E32330" s="1"/>
      <c r="F32330" s="1"/>
      <c r="G32330" s="1"/>
    </row>
    <row r="32331">
      <c r="B32331" s="36"/>
      <c r="C32331" s="36"/>
      <c r="E32331" s="1"/>
      <c r="F32331" s="1"/>
      <c r="G32331" s="1"/>
    </row>
    <row r="32332">
      <c r="B32332" s="36"/>
      <c r="C32332" s="36"/>
      <c r="E32332" s="1"/>
      <c r="F32332" s="1"/>
      <c r="G32332" s="1"/>
    </row>
    <row r="32333">
      <c r="B32333" s="36"/>
      <c r="C32333" s="36"/>
      <c r="E32333" s="1"/>
      <c r="F32333" s="1"/>
      <c r="G32333" s="1"/>
    </row>
    <row r="32334">
      <c r="B32334" s="36"/>
      <c r="C32334" s="36"/>
      <c r="E32334" s="1"/>
      <c r="F32334" s="1"/>
      <c r="G32334" s="1"/>
    </row>
    <row r="32335">
      <c r="B32335" s="36"/>
      <c r="C32335" s="36"/>
      <c r="E32335" s="1"/>
      <c r="F32335" s="1"/>
      <c r="G32335" s="1"/>
    </row>
    <row r="32336">
      <c r="B32336" s="36"/>
      <c r="C32336" s="36"/>
      <c r="E32336" s="1"/>
      <c r="F32336" s="1"/>
      <c r="G32336" s="1"/>
    </row>
    <row r="32337">
      <c r="B32337" s="36"/>
      <c r="C32337" s="36"/>
      <c r="E32337" s="1"/>
      <c r="F32337" s="1"/>
      <c r="G32337" s="1"/>
    </row>
    <row r="32338">
      <c r="B32338" s="36"/>
      <c r="C32338" s="36"/>
      <c r="E32338" s="1"/>
      <c r="F32338" s="1"/>
      <c r="G32338" s="1"/>
    </row>
    <row r="32339">
      <c r="B32339" s="36"/>
      <c r="C32339" s="36"/>
      <c r="E32339" s="1"/>
      <c r="F32339" s="1"/>
      <c r="G32339" s="1"/>
    </row>
    <row r="32340">
      <c r="B32340" s="36"/>
      <c r="C32340" s="36"/>
      <c r="E32340" s="1"/>
      <c r="F32340" s="1"/>
      <c r="G32340" s="1"/>
    </row>
    <row r="32341">
      <c r="B32341" s="36"/>
      <c r="C32341" s="36"/>
      <c r="E32341" s="1"/>
      <c r="F32341" s="1"/>
      <c r="G32341" s="1"/>
    </row>
    <row r="32342">
      <c r="B32342" s="36"/>
      <c r="C32342" s="36"/>
      <c r="E32342" s="1"/>
      <c r="F32342" s="1"/>
      <c r="G32342" s="1"/>
    </row>
    <row r="32343">
      <c r="B32343" s="36"/>
      <c r="C32343" s="36"/>
      <c r="E32343" s="1"/>
      <c r="F32343" s="1"/>
      <c r="G32343" s="1"/>
    </row>
    <row r="32344">
      <c r="B32344" s="36"/>
      <c r="C32344" s="36"/>
      <c r="E32344" s="1"/>
      <c r="F32344" s="1"/>
      <c r="G32344" s="1"/>
    </row>
    <row r="32345">
      <c r="B32345" s="36"/>
      <c r="C32345" s="36"/>
      <c r="E32345" s="1"/>
      <c r="F32345" s="1"/>
      <c r="G32345" s="1"/>
    </row>
    <row r="32346">
      <c r="B32346" s="36"/>
      <c r="C32346" s="36"/>
      <c r="E32346" s="1"/>
      <c r="F32346" s="1"/>
      <c r="G32346" s="1"/>
    </row>
    <row r="32347">
      <c r="B32347" s="36"/>
      <c r="C32347" s="36"/>
      <c r="E32347" s="1"/>
      <c r="F32347" s="1"/>
      <c r="G32347" s="1"/>
    </row>
    <row r="32348">
      <c r="B32348" s="36"/>
      <c r="C32348" s="36"/>
      <c r="E32348" s="1"/>
      <c r="F32348" s="1"/>
      <c r="G32348" s="1"/>
    </row>
    <row r="32349">
      <c r="B32349" s="36"/>
      <c r="C32349" s="36"/>
      <c r="E32349" s="1"/>
      <c r="F32349" s="1"/>
      <c r="G32349" s="1"/>
    </row>
    <row r="32350">
      <c r="B32350" s="36"/>
      <c r="C32350" s="36"/>
      <c r="E32350" s="1"/>
      <c r="F32350" s="1"/>
      <c r="G32350" s="1"/>
    </row>
    <row r="32351">
      <c r="B32351" s="36"/>
      <c r="C32351" s="36"/>
      <c r="E32351" s="1"/>
      <c r="F32351" s="1"/>
      <c r="G32351" s="1"/>
    </row>
    <row r="32352">
      <c r="B32352" s="36"/>
      <c r="C32352" s="36"/>
      <c r="E32352" s="1"/>
      <c r="F32352" s="1"/>
      <c r="G32352" s="1"/>
    </row>
    <row r="32353">
      <c r="B32353" s="36"/>
      <c r="C32353" s="36"/>
      <c r="E32353" s="1"/>
      <c r="F32353" s="1"/>
      <c r="G32353" s="1"/>
    </row>
    <row r="32354">
      <c r="B32354" s="36"/>
      <c r="C32354" s="36"/>
      <c r="E32354" s="1"/>
      <c r="F32354" s="1"/>
      <c r="G32354" s="1"/>
    </row>
    <row r="32355">
      <c r="B32355" s="36"/>
      <c r="C32355" s="36"/>
      <c r="E32355" s="1"/>
      <c r="F32355" s="1"/>
      <c r="G32355" s="1"/>
    </row>
    <row r="32356">
      <c r="B32356" s="36"/>
      <c r="C32356" s="36"/>
      <c r="E32356" s="1"/>
      <c r="F32356" s="1"/>
      <c r="G32356" s="1"/>
    </row>
    <row r="32357">
      <c r="B32357" s="36"/>
      <c r="C32357" s="36"/>
      <c r="E32357" s="1"/>
      <c r="F32357" s="1"/>
      <c r="G32357" s="1"/>
    </row>
    <row r="32358">
      <c r="B32358" s="36"/>
      <c r="C32358" s="36"/>
      <c r="E32358" s="1"/>
      <c r="F32358" s="1"/>
      <c r="G32358" s="1"/>
    </row>
    <row r="32359">
      <c r="B32359" s="36"/>
      <c r="C32359" s="36"/>
      <c r="E32359" s="1"/>
      <c r="F32359" s="1"/>
      <c r="G32359" s="1"/>
    </row>
    <row r="32360">
      <c r="B32360" s="36"/>
      <c r="C32360" s="36"/>
      <c r="E32360" s="1"/>
      <c r="F32360" s="1"/>
      <c r="G32360" s="1"/>
    </row>
    <row r="32361">
      <c r="B32361" s="36"/>
      <c r="C32361" s="36"/>
      <c r="E32361" s="1"/>
      <c r="F32361" s="1"/>
      <c r="G32361" s="1"/>
    </row>
    <row r="32362">
      <c r="B32362" s="36"/>
      <c r="C32362" s="36"/>
      <c r="E32362" s="1"/>
      <c r="F32362" s="1"/>
      <c r="G32362" s="1"/>
    </row>
    <row r="32363">
      <c r="B32363" s="36"/>
      <c r="C32363" s="36"/>
      <c r="E32363" s="1"/>
      <c r="F32363" s="1"/>
      <c r="G32363" s="1"/>
    </row>
    <row r="32364">
      <c r="B32364" s="36"/>
      <c r="C32364" s="36"/>
      <c r="E32364" s="1"/>
      <c r="F32364" s="1"/>
      <c r="G32364" s="1"/>
    </row>
    <row r="32365">
      <c r="B32365" s="36"/>
      <c r="C32365" s="36"/>
      <c r="E32365" s="1"/>
      <c r="F32365" s="1"/>
      <c r="G32365" s="1"/>
    </row>
    <row r="32366">
      <c r="B32366" s="36"/>
      <c r="C32366" s="36"/>
      <c r="E32366" s="1"/>
      <c r="F32366" s="1"/>
      <c r="G32366" s="1"/>
    </row>
    <row r="32367">
      <c r="B32367" s="36"/>
      <c r="C32367" s="36"/>
      <c r="E32367" s="1"/>
      <c r="F32367" s="1"/>
      <c r="G32367" s="1"/>
    </row>
    <row r="32368">
      <c r="B32368" s="36"/>
      <c r="C32368" s="36"/>
      <c r="E32368" s="1"/>
      <c r="F32368" s="1"/>
      <c r="G32368" s="1"/>
    </row>
    <row r="32369">
      <c r="B32369" s="36"/>
      <c r="C32369" s="36"/>
      <c r="E32369" s="1"/>
      <c r="F32369" s="1"/>
      <c r="G32369" s="1"/>
    </row>
    <row r="32370">
      <c r="B32370" s="36"/>
      <c r="C32370" s="36"/>
      <c r="E32370" s="1"/>
      <c r="F32370" s="1"/>
      <c r="G32370" s="1"/>
    </row>
    <row r="32371">
      <c r="B32371" s="36"/>
      <c r="C32371" s="36"/>
      <c r="E32371" s="1"/>
      <c r="F32371" s="1"/>
      <c r="G32371" s="1"/>
    </row>
    <row r="32372">
      <c r="B32372" s="36"/>
      <c r="C32372" s="36"/>
      <c r="E32372" s="1"/>
      <c r="F32372" s="1"/>
      <c r="G32372" s="1"/>
    </row>
    <row r="32373">
      <c r="B32373" s="36"/>
      <c r="C32373" s="36"/>
      <c r="E32373" s="1"/>
      <c r="F32373" s="1"/>
      <c r="G32373" s="1"/>
    </row>
    <row r="32374">
      <c r="B32374" s="36"/>
      <c r="C32374" s="36"/>
      <c r="E32374" s="1"/>
      <c r="F32374" s="1"/>
      <c r="G32374" s="1"/>
    </row>
    <row r="32375">
      <c r="B32375" s="36"/>
      <c r="C32375" s="36"/>
      <c r="E32375" s="1"/>
      <c r="F32375" s="1"/>
      <c r="G32375" s="1"/>
    </row>
    <row r="32376">
      <c r="B32376" s="36"/>
      <c r="C32376" s="36"/>
      <c r="E32376" s="1"/>
      <c r="F32376" s="1"/>
      <c r="G32376" s="1"/>
    </row>
    <row r="32377">
      <c r="B32377" s="36"/>
      <c r="C32377" s="36"/>
      <c r="E32377" s="1"/>
      <c r="F32377" s="1"/>
      <c r="G32377" s="1"/>
    </row>
    <row r="32378">
      <c r="B32378" s="36"/>
      <c r="C32378" s="36"/>
      <c r="E32378" s="1"/>
      <c r="F32378" s="1"/>
      <c r="G32378" s="1"/>
    </row>
    <row r="32379">
      <c r="B32379" s="36"/>
      <c r="C32379" s="36"/>
      <c r="E32379" s="1"/>
      <c r="F32379" s="1"/>
      <c r="G32379" s="1"/>
    </row>
    <row r="32380">
      <c r="B32380" s="36"/>
      <c r="C32380" s="36"/>
      <c r="E32380" s="1"/>
      <c r="F32380" s="1"/>
      <c r="G32380" s="1"/>
    </row>
    <row r="32381">
      <c r="B32381" s="36"/>
      <c r="C32381" s="36"/>
      <c r="E32381" s="1"/>
      <c r="F32381" s="1"/>
      <c r="G32381" s="1"/>
    </row>
    <row r="32382">
      <c r="B32382" s="36"/>
      <c r="C32382" s="36"/>
      <c r="E32382" s="1"/>
      <c r="F32382" s="1"/>
      <c r="G32382" s="1"/>
    </row>
    <row r="32383">
      <c r="B32383" s="36"/>
      <c r="C32383" s="36"/>
      <c r="E32383" s="1"/>
      <c r="F32383" s="1"/>
      <c r="G32383" s="1"/>
    </row>
    <row r="32384">
      <c r="B32384" s="36"/>
      <c r="C32384" s="36"/>
      <c r="E32384" s="1"/>
      <c r="F32384" s="1"/>
      <c r="G32384" s="1"/>
    </row>
    <row r="32385">
      <c r="B32385" s="36"/>
      <c r="C32385" s="36"/>
      <c r="E32385" s="1"/>
      <c r="F32385" s="1"/>
      <c r="G32385" s="1"/>
    </row>
    <row r="32386">
      <c r="B32386" s="36"/>
      <c r="C32386" s="36"/>
      <c r="E32386" s="1"/>
      <c r="F32386" s="1"/>
      <c r="G32386" s="1"/>
    </row>
    <row r="32387">
      <c r="B32387" s="36"/>
      <c r="C32387" s="36"/>
      <c r="E32387" s="1"/>
      <c r="F32387" s="1"/>
      <c r="G32387" s="1"/>
    </row>
    <row r="32388">
      <c r="B32388" s="36"/>
      <c r="C32388" s="36"/>
      <c r="E32388" s="1"/>
      <c r="F32388" s="1"/>
      <c r="G32388" s="1"/>
    </row>
    <row r="32389">
      <c r="B32389" s="36"/>
      <c r="C32389" s="36"/>
      <c r="E32389" s="1"/>
      <c r="F32389" s="1"/>
      <c r="G32389" s="1"/>
    </row>
    <row r="32390">
      <c r="B32390" s="36"/>
      <c r="C32390" s="36"/>
      <c r="E32390" s="1"/>
      <c r="F32390" s="1"/>
      <c r="G32390" s="1"/>
    </row>
    <row r="32391">
      <c r="B32391" s="36"/>
      <c r="C32391" s="36"/>
      <c r="E32391" s="1"/>
      <c r="F32391" s="1"/>
      <c r="G32391" s="1"/>
    </row>
    <row r="32392">
      <c r="B32392" s="36"/>
      <c r="C32392" s="36"/>
      <c r="E32392" s="1"/>
      <c r="F32392" s="1"/>
      <c r="G32392" s="1"/>
    </row>
    <row r="32393">
      <c r="B32393" s="36"/>
      <c r="C32393" s="36"/>
      <c r="E32393" s="1"/>
      <c r="F32393" s="1"/>
      <c r="G32393" s="1"/>
    </row>
    <row r="32394">
      <c r="B32394" s="36"/>
      <c r="C32394" s="36"/>
      <c r="E32394" s="1"/>
      <c r="F32394" s="1"/>
      <c r="G32394" s="1"/>
    </row>
    <row r="32395">
      <c r="B32395" s="36"/>
      <c r="C32395" s="36"/>
      <c r="E32395" s="1"/>
      <c r="F32395" s="1"/>
      <c r="G32395" s="1"/>
    </row>
    <row r="32396">
      <c r="B32396" s="36"/>
      <c r="C32396" s="36"/>
      <c r="E32396" s="1"/>
      <c r="F32396" s="1"/>
      <c r="G32396" s="1"/>
    </row>
    <row r="32397">
      <c r="B32397" s="36"/>
      <c r="C32397" s="36"/>
      <c r="E32397" s="1"/>
      <c r="F32397" s="1"/>
      <c r="G32397" s="1"/>
    </row>
    <row r="32398">
      <c r="B32398" s="36"/>
      <c r="C32398" s="36"/>
      <c r="E32398" s="1"/>
      <c r="F32398" s="1"/>
      <c r="G32398" s="1"/>
    </row>
    <row r="32399">
      <c r="B32399" s="36"/>
      <c r="C32399" s="36"/>
      <c r="E32399" s="1"/>
      <c r="F32399" s="1"/>
      <c r="G32399" s="1"/>
    </row>
    <row r="32400">
      <c r="B32400" s="36"/>
      <c r="C32400" s="36"/>
      <c r="E32400" s="1"/>
      <c r="F32400" s="1"/>
      <c r="G32400" s="1"/>
    </row>
    <row r="32401">
      <c r="B32401" s="36"/>
      <c r="C32401" s="36"/>
      <c r="E32401" s="1"/>
      <c r="F32401" s="1"/>
      <c r="G32401" s="1"/>
    </row>
    <row r="32402">
      <c r="B32402" s="36"/>
      <c r="C32402" s="36"/>
      <c r="E32402" s="1"/>
      <c r="F32402" s="1"/>
      <c r="G32402" s="1"/>
    </row>
    <row r="32403">
      <c r="B32403" s="36"/>
      <c r="C32403" s="36"/>
      <c r="E32403" s="1"/>
      <c r="F32403" s="1"/>
      <c r="G32403" s="1"/>
    </row>
    <row r="32404">
      <c r="B32404" s="36"/>
      <c r="C32404" s="36"/>
      <c r="E32404" s="1"/>
      <c r="F32404" s="1"/>
      <c r="G32404" s="1"/>
    </row>
    <row r="32405">
      <c r="B32405" s="36"/>
      <c r="C32405" s="36"/>
      <c r="E32405" s="1"/>
      <c r="F32405" s="1"/>
      <c r="G32405" s="1"/>
    </row>
    <row r="32406">
      <c r="B32406" s="36"/>
      <c r="C32406" s="36"/>
      <c r="E32406" s="1"/>
      <c r="F32406" s="1"/>
      <c r="G32406" s="1"/>
    </row>
    <row r="32407">
      <c r="B32407" s="36"/>
      <c r="C32407" s="36"/>
      <c r="E32407" s="1"/>
      <c r="F32407" s="1"/>
      <c r="G32407" s="1"/>
    </row>
    <row r="32408">
      <c r="B32408" s="36"/>
      <c r="C32408" s="36"/>
      <c r="E32408" s="1"/>
      <c r="F32408" s="1"/>
      <c r="G32408" s="1"/>
    </row>
    <row r="32409">
      <c r="B32409" s="36"/>
      <c r="C32409" s="36"/>
      <c r="E32409" s="1"/>
      <c r="F32409" s="1"/>
      <c r="G32409" s="1"/>
    </row>
    <row r="32410">
      <c r="B32410" s="36"/>
      <c r="C32410" s="36"/>
      <c r="E32410" s="1"/>
      <c r="F32410" s="1"/>
      <c r="G32410" s="1"/>
    </row>
    <row r="32411">
      <c r="B32411" s="36"/>
      <c r="C32411" s="36"/>
      <c r="E32411" s="1"/>
      <c r="F32411" s="1"/>
      <c r="G32411" s="1"/>
    </row>
    <row r="32412">
      <c r="B32412" s="36"/>
      <c r="C32412" s="36"/>
      <c r="E32412" s="1"/>
      <c r="F32412" s="1"/>
      <c r="G32412" s="1"/>
    </row>
    <row r="32413">
      <c r="B32413" s="36"/>
      <c r="C32413" s="36"/>
      <c r="E32413" s="1"/>
      <c r="F32413" s="1"/>
      <c r="G32413" s="1"/>
    </row>
    <row r="32414">
      <c r="B32414" s="36"/>
      <c r="C32414" s="36"/>
      <c r="E32414" s="1"/>
      <c r="F32414" s="1"/>
      <c r="G32414" s="1"/>
    </row>
    <row r="32415">
      <c r="B32415" s="36"/>
      <c r="C32415" s="36"/>
      <c r="E32415" s="1"/>
      <c r="F32415" s="1"/>
      <c r="G32415" s="1"/>
    </row>
    <row r="32416">
      <c r="B32416" s="36"/>
      <c r="C32416" s="36"/>
      <c r="E32416" s="1"/>
      <c r="F32416" s="1"/>
      <c r="G32416" s="1"/>
    </row>
    <row r="32417">
      <c r="B32417" s="36"/>
      <c r="C32417" s="36"/>
      <c r="E32417" s="1"/>
      <c r="F32417" s="1"/>
      <c r="G32417" s="1"/>
    </row>
    <row r="32418">
      <c r="B32418" s="36"/>
      <c r="C32418" s="36"/>
      <c r="E32418" s="1"/>
      <c r="F32418" s="1"/>
      <c r="G32418" s="1"/>
    </row>
    <row r="32419">
      <c r="B32419" s="36"/>
      <c r="C32419" s="36"/>
      <c r="E32419" s="1"/>
      <c r="F32419" s="1"/>
      <c r="G32419" s="1"/>
    </row>
    <row r="32420">
      <c r="B32420" s="36"/>
      <c r="C32420" s="36"/>
      <c r="E32420" s="1"/>
      <c r="F32420" s="1"/>
      <c r="G32420" s="1"/>
    </row>
    <row r="32421">
      <c r="B32421" s="36"/>
      <c r="C32421" s="36"/>
      <c r="E32421" s="1"/>
      <c r="F32421" s="1"/>
      <c r="G32421" s="1"/>
    </row>
    <row r="32422">
      <c r="B32422" s="36"/>
      <c r="C32422" s="36"/>
      <c r="E32422" s="1"/>
      <c r="F32422" s="1"/>
      <c r="G32422" s="1"/>
    </row>
    <row r="32423">
      <c r="B32423" s="36"/>
      <c r="C32423" s="36"/>
      <c r="E32423" s="1"/>
      <c r="F32423" s="1"/>
      <c r="G32423" s="1"/>
    </row>
    <row r="32424">
      <c r="B32424" s="36"/>
      <c r="C32424" s="36"/>
      <c r="E32424" s="1"/>
      <c r="F32424" s="1"/>
      <c r="G32424" s="1"/>
    </row>
    <row r="32425">
      <c r="B32425" s="36"/>
      <c r="C32425" s="36"/>
      <c r="E32425" s="1"/>
      <c r="F32425" s="1"/>
      <c r="G32425" s="1"/>
    </row>
    <row r="32426">
      <c r="B32426" s="36"/>
      <c r="C32426" s="36"/>
      <c r="E32426" s="1"/>
      <c r="F32426" s="1"/>
      <c r="G32426" s="1"/>
    </row>
    <row r="32427">
      <c r="B32427" s="36"/>
      <c r="C32427" s="36"/>
      <c r="E32427" s="1"/>
      <c r="F32427" s="1"/>
      <c r="G32427" s="1"/>
    </row>
    <row r="32428">
      <c r="B32428" s="36"/>
      <c r="C32428" s="36"/>
      <c r="E32428" s="1"/>
      <c r="F32428" s="1"/>
      <c r="G32428" s="1"/>
    </row>
    <row r="32429">
      <c r="B32429" s="36"/>
      <c r="C32429" s="36"/>
      <c r="E32429" s="1"/>
      <c r="F32429" s="1"/>
      <c r="G32429" s="1"/>
    </row>
    <row r="32430">
      <c r="B32430" s="36"/>
      <c r="C32430" s="36"/>
      <c r="E32430" s="1"/>
      <c r="F32430" s="1"/>
      <c r="G32430" s="1"/>
    </row>
    <row r="32431">
      <c r="B32431" s="36"/>
      <c r="C32431" s="36"/>
      <c r="E32431" s="1"/>
      <c r="F32431" s="1"/>
      <c r="G32431" s="1"/>
    </row>
    <row r="32432">
      <c r="B32432" s="36"/>
      <c r="C32432" s="36"/>
      <c r="E32432" s="1"/>
      <c r="F32432" s="1"/>
      <c r="G32432" s="1"/>
    </row>
    <row r="32433">
      <c r="B32433" s="36"/>
      <c r="C32433" s="36"/>
      <c r="E32433" s="1"/>
      <c r="F32433" s="1"/>
      <c r="G32433" s="1"/>
    </row>
    <row r="32434">
      <c r="B32434" s="36"/>
      <c r="C32434" s="36"/>
      <c r="E32434" s="1"/>
      <c r="F32434" s="1"/>
      <c r="G32434" s="1"/>
    </row>
    <row r="32435">
      <c r="B32435" s="36"/>
      <c r="C32435" s="36"/>
      <c r="E32435" s="1"/>
      <c r="F32435" s="1"/>
      <c r="G32435" s="1"/>
    </row>
    <row r="32436">
      <c r="B32436" s="36"/>
      <c r="C32436" s="36"/>
      <c r="E32436" s="1"/>
      <c r="F32436" s="1"/>
      <c r="G32436" s="1"/>
    </row>
    <row r="32437">
      <c r="B32437" s="36"/>
      <c r="C32437" s="36"/>
      <c r="E32437" s="1"/>
      <c r="F32437" s="1"/>
      <c r="G32437" s="1"/>
    </row>
    <row r="32438">
      <c r="B32438" s="36"/>
      <c r="C32438" s="36"/>
      <c r="E32438" s="1"/>
      <c r="F32438" s="1"/>
      <c r="G32438" s="1"/>
    </row>
    <row r="32439">
      <c r="B32439" s="36"/>
      <c r="C32439" s="36"/>
      <c r="E32439" s="1"/>
      <c r="F32439" s="1"/>
      <c r="G32439" s="1"/>
    </row>
    <row r="32440">
      <c r="B32440" s="36"/>
      <c r="C32440" s="36"/>
      <c r="E32440" s="1"/>
      <c r="F32440" s="1"/>
      <c r="G32440" s="1"/>
    </row>
    <row r="32441">
      <c r="B32441" s="36"/>
      <c r="C32441" s="36"/>
      <c r="E32441" s="1"/>
      <c r="F32441" s="1"/>
      <c r="G32441" s="1"/>
    </row>
    <row r="32442">
      <c r="B32442" s="36"/>
      <c r="C32442" s="36"/>
      <c r="E32442" s="1"/>
      <c r="F32442" s="1"/>
      <c r="G32442" s="1"/>
    </row>
    <row r="32443">
      <c r="B32443" s="36"/>
      <c r="C32443" s="36"/>
      <c r="E32443" s="1"/>
      <c r="F32443" s="1"/>
      <c r="G32443" s="1"/>
    </row>
    <row r="32444">
      <c r="B32444" s="36"/>
      <c r="C32444" s="36"/>
      <c r="E32444" s="1"/>
      <c r="F32444" s="1"/>
      <c r="G32444" s="1"/>
    </row>
    <row r="32445">
      <c r="B32445" s="36"/>
      <c r="C32445" s="36"/>
      <c r="E32445" s="1"/>
      <c r="F32445" s="1"/>
      <c r="G32445" s="1"/>
    </row>
    <row r="32446">
      <c r="B32446" s="36"/>
      <c r="C32446" s="36"/>
      <c r="E32446" s="1"/>
      <c r="F32446" s="1"/>
      <c r="G32446" s="1"/>
    </row>
    <row r="32447">
      <c r="B32447" s="36"/>
      <c r="C32447" s="36"/>
      <c r="E32447" s="1"/>
      <c r="F32447" s="1"/>
      <c r="G32447" s="1"/>
    </row>
    <row r="32448">
      <c r="B32448" s="36"/>
      <c r="C32448" s="36"/>
      <c r="E32448" s="1"/>
      <c r="F32448" s="1"/>
      <c r="G32448" s="1"/>
    </row>
    <row r="32449">
      <c r="B32449" s="36"/>
      <c r="C32449" s="36"/>
      <c r="E32449" s="1"/>
      <c r="F32449" s="1"/>
      <c r="G32449" s="1"/>
    </row>
    <row r="32450">
      <c r="B32450" s="36"/>
      <c r="C32450" s="36"/>
      <c r="E32450" s="1"/>
      <c r="F32450" s="1"/>
      <c r="G32450" s="1"/>
    </row>
    <row r="32451">
      <c r="B32451" s="36"/>
      <c r="C32451" s="36"/>
      <c r="E32451" s="1"/>
      <c r="F32451" s="1"/>
      <c r="G32451" s="1"/>
    </row>
    <row r="32452">
      <c r="B32452" s="36"/>
      <c r="C32452" s="36"/>
      <c r="E32452" s="1"/>
      <c r="F32452" s="1"/>
      <c r="G32452" s="1"/>
    </row>
    <row r="32453">
      <c r="B32453" s="36"/>
      <c r="C32453" s="36"/>
      <c r="E32453" s="1"/>
      <c r="F32453" s="1"/>
      <c r="G32453" s="1"/>
    </row>
    <row r="32454">
      <c r="B32454" s="36"/>
      <c r="C32454" s="36"/>
      <c r="E32454" s="1"/>
      <c r="F32454" s="1"/>
      <c r="G32454" s="1"/>
    </row>
    <row r="32455">
      <c r="B32455" s="36"/>
      <c r="C32455" s="36"/>
      <c r="E32455" s="1"/>
      <c r="F32455" s="1"/>
      <c r="G32455" s="1"/>
    </row>
    <row r="32456">
      <c r="B32456" s="36"/>
      <c r="C32456" s="36"/>
      <c r="E32456" s="1"/>
      <c r="F32456" s="1"/>
      <c r="G32456" s="1"/>
    </row>
    <row r="32457">
      <c r="B32457" s="36"/>
      <c r="C32457" s="36"/>
      <c r="E32457" s="1"/>
      <c r="F32457" s="1"/>
      <c r="G32457" s="1"/>
    </row>
    <row r="32458">
      <c r="B32458" s="36"/>
      <c r="C32458" s="36"/>
      <c r="E32458" s="1"/>
      <c r="F32458" s="1"/>
      <c r="G32458" s="1"/>
    </row>
    <row r="32459">
      <c r="B32459" s="36"/>
      <c r="C32459" s="36"/>
      <c r="E32459" s="1"/>
      <c r="F32459" s="1"/>
      <c r="G32459" s="1"/>
    </row>
    <row r="32460">
      <c r="B32460" s="36"/>
      <c r="C32460" s="36"/>
      <c r="E32460" s="1"/>
      <c r="F32460" s="1"/>
      <c r="G32460" s="1"/>
    </row>
    <row r="32461">
      <c r="B32461" s="36"/>
      <c r="C32461" s="36"/>
      <c r="E32461" s="1"/>
      <c r="F32461" s="1"/>
      <c r="G32461" s="1"/>
    </row>
    <row r="32462">
      <c r="B32462" s="36"/>
      <c r="C32462" s="36"/>
      <c r="E32462" s="1"/>
      <c r="F32462" s="1"/>
      <c r="G32462" s="1"/>
    </row>
    <row r="32463">
      <c r="B32463" s="36"/>
      <c r="C32463" s="36"/>
      <c r="E32463" s="1"/>
      <c r="F32463" s="1"/>
      <c r="G32463" s="1"/>
    </row>
    <row r="32464">
      <c r="B32464" s="36"/>
      <c r="C32464" s="36"/>
      <c r="E32464" s="1"/>
      <c r="F32464" s="1"/>
      <c r="G32464" s="1"/>
    </row>
    <row r="32465">
      <c r="B32465" s="36"/>
      <c r="C32465" s="36"/>
      <c r="E32465" s="1"/>
      <c r="F32465" s="1"/>
      <c r="G32465" s="1"/>
    </row>
    <row r="32466">
      <c r="B32466" s="36"/>
      <c r="C32466" s="36"/>
      <c r="E32466" s="1"/>
      <c r="F32466" s="1"/>
      <c r="G32466" s="1"/>
    </row>
    <row r="32467">
      <c r="B32467" s="36"/>
      <c r="C32467" s="36"/>
      <c r="E32467" s="1"/>
      <c r="F32467" s="1"/>
      <c r="G32467" s="1"/>
    </row>
    <row r="32468">
      <c r="B32468" s="36"/>
      <c r="C32468" s="36"/>
      <c r="E32468" s="1"/>
      <c r="F32468" s="1"/>
      <c r="G32468" s="1"/>
    </row>
    <row r="32469">
      <c r="B32469" s="36"/>
      <c r="C32469" s="36"/>
      <c r="E32469" s="1"/>
      <c r="F32469" s="1"/>
      <c r="G32469" s="1"/>
    </row>
    <row r="32470">
      <c r="B32470" s="36"/>
      <c r="C32470" s="36"/>
      <c r="E32470" s="1"/>
      <c r="F32470" s="1"/>
      <c r="G32470" s="1"/>
    </row>
    <row r="32471">
      <c r="B32471" s="36"/>
      <c r="C32471" s="36"/>
      <c r="E32471" s="1"/>
      <c r="F32471" s="1"/>
      <c r="G32471" s="1"/>
    </row>
    <row r="32472">
      <c r="B32472" s="36"/>
      <c r="C32472" s="36"/>
      <c r="E32472" s="1"/>
      <c r="F32472" s="1"/>
      <c r="G32472" s="1"/>
    </row>
    <row r="32473">
      <c r="B32473" s="36"/>
      <c r="C32473" s="36"/>
      <c r="E32473" s="1"/>
      <c r="F32473" s="1"/>
      <c r="G32473" s="1"/>
    </row>
    <row r="32474">
      <c r="B32474" s="36"/>
      <c r="C32474" s="36"/>
      <c r="E32474" s="1"/>
      <c r="F32474" s="1"/>
      <c r="G32474" s="1"/>
    </row>
    <row r="32475">
      <c r="B32475" s="36"/>
      <c r="C32475" s="36"/>
      <c r="E32475" s="1"/>
      <c r="F32475" s="1"/>
      <c r="G32475" s="1"/>
    </row>
    <row r="32476">
      <c r="B32476" s="36"/>
      <c r="C32476" s="36"/>
      <c r="E32476" s="1"/>
      <c r="F32476" s="1"/>
      <c r="G32476" s="1"/>
    </row>
    <row r="32477">
      <c r="B32477" s="36"/>
      <c r="C32477" s="36"/>
      <c r="E32477" s="1"/>
      <c r="F32477" s="1"/>
      <c r="G32477" s="1"/>
    </row>
    <row r="32478">
      <c r="B32478" s="36"/>
      <c r="C32478" s="36"/>
      <c r="E32478" s="1"/>
      <c r="F32478" s="1"/>
      <c r="G32478" s="1"/>
    </row>
    <row r="32479">
      <c r="B32479" s="36"/>
      <c r="C32479" s="36"/>
      <c r="E32479" s="1"/>
      <c r="F32479" s="1"/>
      <c r="G32479" s="1"/>
    </row>
    <row r="32480">
      <c r="B32480" s="36"/>
      <c r="C32480" s="36"/>
      <c r="E32480" s="1"/>
      <c r="F32480" s="1"/>
      <c r="G32480" s="1"/>
    </row>
    <row r="32481">
      <c r="B32481" s="36"/>
      <c r="C32481" s="36"/>
      <c r="E32481" s="1"/>
      <c r="F32481" s="1"/>
      <c r="G32481" s="1"/>
    </row>
    <row r="32482">
      <c r="B32482" s="36"/>
      <c r="C32482" s="36"/>
      <c r="E32482" s="1"/>
      <c r="F32482" s="1"/>
      <c r="G32482" s="1"/>
    </row>
    <row r="32483">
      <c r="B32483" s="36"/>
      <c r="C32483" s="36"/>
      <c r="E32483" s="1"/>
      <c r="F32483" s="1"/>
      <c r="G32483" s="1"/>
    </row>
    <row r="32484">
      <c r="B32484" s="36"/>
      <c r="C32484" s="36"/>
      <c r="E32484" s="1"/>
      <c r="F32484" s="1"/>
      <c r="G32484" s="1"/>
    </row>
    <row r="32485">
      <c r="B32485" s="36"/>
      <c r="C32485" s="36"/>
      <c r="E32485" s="1"/>
      <c r="F32485" s="1"/>
      <c r="G32485" s="1"/>
    </row>
    <row r="32486">
      <c r="B32486" s="36"/>
      <c r="C32486" s="36"/>
      <c r="E32486" s="1"/>
      <c r="F32486" s="1"/>
      <c r="G32486" s="1"/>
    </row>
    <row r="32487">
      <c r="B32487" s="36"/>
      <c r="C32487" s="36"/>
      <c r="E32487" s="1"/>
      <c r="F32487" s="1"/>
      <c r="G32487" s="1"/>
    </row>
    <row r="32488">
      <c r="B32488" s="36"/>
      <c r="C32488" s="36"/>
      <c r="E32488" s="1"/>
      <c r="F32488" s="1"/>
      <c r="G32488" s="1"/>
    </row>
    <row r="32489">
      <c r="B32489" s="36"/>
      <c r="C32489" s="36"/>
      <c r="E32489" s="1"/>
      <c r="F32489" s="1"/>
      <c r="G32489" s="1"/>
    </row>
    <row r="32490">
      <c r="B32490" s="36"/>
      <c r="C32490" s="36"/>
      <c r="E32490" s="1"/>
      <c r="F32490" s="1"/>
      <c r="G32490" s="1"/>
    </row>
    <row r="32491">
      <c r="B32491" s="36"/>
      <c r="C32491" s="36"/>
      <c r="E32491" s="1"/>
      <c r="F32491" s="1"/>
      <c r="G32491" s="1"/>
    </row>
    <row r="32492">
      <c r="B32492" s="36"/>
      <c r="C32492" s="36"/>
      <c r="E32492" s="1"/>
      <c r="F32492" s="1"/>
      <c r="G32492" s="1"/>
    </row>
    <row r="32493">
      <c r="B32493" s="36"/>
      <c r="C32493" s="36"/>
      <c r="E32493" s="1"/>
      <c r="F32493" s="1"/>
      <c r="G32493" s="1"/>
    </row>
    <row r="32494">
      <c r="B32494" s="36"/>
      <c r="C32494" s="36"/>
      <c r="E32494" s="1"/>
      <c r="F32494" s="1"/>
      <c r="G32494" s="1"/>
    </row>
    <row r="32495">
      <c r="B32495" s="36"/>
      <c r="C32495" s="36"/>
      <c r="E32495" s="1"/>
      <c r="F32495" s="1"/>
      <c r="G32495" s="1"/>
    </row>
    <row r="32496">
      <c r="B32496" s="36"/>
      <c r="C32496" s="36"/>
      <c r="E32496" s="1"/>
      <c r="F32496" s="1"/>
      <c r="G32496" s="1"/>
    </row>
    <row r="32497">
      <c r="B32497" s="36"/>
      <c r="C32497" s="36"/>
      <c r="E32497" s="1"/>
      <c r="F32497" s="1"/>
      <c r="G32497" s="1"/>
    </row>
    <row r="32498">
      <c r="B32498" s="36"/>
      <c r="C32498" s="36"/>
      <c r="E32498" s="1"/>
      <c r="F32498" s="1"/>
      <c r="G32498" s="1"/>
    </row>
    <row r="32499">
      <c r="B32499" s="36"/>
      <c r="C32499" s="36"/>
      <c r="E32499" s="1"/>
      <c r="F32499" s="1"/>
      <c r="G32499" s="1"/>
    </row>
    <row r="32500">
      <c r="B32500" s="36"/>
      <c r="C32500" s="36"/>
      <c r="E32500" s="1"/>
      <c r="F32500" s="1"/>
      <c r="G32500" s="1"/>
    </row>
    <row r="32501">
      <c r="B32501" s="36"/>
      <c r="C32501" s="36"/>
      <c r="E32501" s="1"/>
      <c r="F32501" s="1"/>
      <c r="G32501" s="1"/>
    </row>
    <row r="32502">
      <c r="B32502" s="36"/>
      <c r="C32502" s="36"/>
      <c r="E32502" s="1"/>
      <c r="F32502" s="1"/>
      <c r="G32502" s="1"/>
    </row>
    <row r="32503">
      <c r="B32503" s="36"/>
      <c r="C32503" s="36"/>
      <c r="E32503" s="1"/>
      <c r="F32503" s="1"/>
      <c r="G32503" s="1"/>
    </row>
    <row r="32504">
      <c r="B32504" s="36"/>
      <c r="C32504" s="36"/>
      <c r="E32504" s="1"/>
      <c r="F32504" s="1"/>
      <c r="G32504" s="1"/>
    </row>
    <row r="32505">
      <c r="B32505" s="36"/>
      <c r="C32505" s="36"/>
      <c r="E32505" s="1"/>
      <c r="F32505" s="1"/>
      <c r="G32505" s="1"/>
    </row>
    <row r="32506">
      <c r="B32506" s="36"/>
      <c r="C32506" s="36"/>
      <c r="E32506" s="1"/>
      <c r="F32506" s="1"/>
      <c r="G32506" s="1"/>
    </row>
    <row r="32507">
      <c r="B32507" s="36"/>
      <c r="C32507" s="36"/>
      <c r="E32507" s="1"/>
      <c r="F32507" s="1"/>
      <c r="G32507" s="1"/>
    </row>
    <row r="32508">
      <c r="B32508" s="36"/>
      <c r="C32508" s="36"/>
      <c r="E32508" s="1"/>
      <c r="F32508" s="1"/>
      <c r="G32508" s="1"/>
    </row>
    <row r="32509">
      <c r="B32509" s="36"/>
      <c r="C32509" s="36"/>
      <c r="E32509" s="1"/>
      <c r="F32509" s="1"/>
      <c r="G32509" s="1"/>
    </row>
    <row r="32510">
      <c r="B32510" s="36"/>
      <c r="C32510" s="36"/>
      <c r="E32510" s="1"/>
      <c r="F32510" s="1"/>
      <c r="G32510" s="1"/>
    </row>
    <row r="32511">
      <c r="B32511" s="36"/>
      <c r="C32511" s="36"/>
      <c r="E32511" s="1"/>
      <c r="F32511" s="1"/>
      <c r="G32511" s="1"/>
    </row>
    <row r="32512">
      <c r="B32512" s="36"/>
      <c r="C32512" s="36"/>
      <c r="E32512" s="1"/>
      <c r="F32512" s="1"/>
      <c r="G32512" s="1"/>
    </row>
    <row r="32513">
      <c r="B32513" s="36"/>
      <c r="C32513" s="36"/>
      <c r="E32513" s="1"/>
      <c r="F32513" s="1"/>
      <c r="G32513" s="1"/>
    </row>
    <row r="32514">
      <c r="B32514" s="36"/>
      <c r="C32514" s="36"/>
      <c r="E32514" s="1"/>
      <c r="F32514" s="1"/>
      <c r="G32514" s="1"/>
    </row>
    <row r="32515">
      <c r="B32515" s="36"/>
      <c r="C32515" s="36"/>
      <c r="E32515" s="1"/>
      <c r="F32515" s="1"/>
      <c r="G32515" s="1"/>
    </row>
    <row r="32516">
      <c r="B32516" s="36"/>
      <c r="C32516" s="36"/>
      <c r="E32516" s="1"/>
      <c r="F32516" s="1"/>
      <c r="G32516" s="1"/>
    </row>
    <row r="32517">
      <c r="B32517" s="36"/>
      <c r="C32517" s="36"/>
      <c r="E32517" s="1"/>
      <c r="F32517" s="1"/>
      <c r="G32517" s="1"/>
    </row>
    <row r="32518">
      <c r="B32518" s="36"/>
      <c r="C32518" s="36"/>
      <c r="E32518" s="1"/>
      <c r="F32518" s="1"/>
      <c r="G32518" s="1"/>
    </row>
    <row r="32519">
      <c r="B32519" s="36"/>
      <c r="C32519" s="36"/>
      <c r="E32519" s="1"/>
      <c r="F32519" s="1"/>
      <c r="G32519" s="1"/>
    </row>
    <row r="32520">
      <c r="B32520" s="36"/>
      <c r="C32520" s="36"/>
      <c r="E32520" s="1"/>
      <c r="F32520" s="1"/>
      <c r="G32520" s="1"/>
    </row>
    <row r="32521">
      <c r="B32521" s="36"/>
      <c r="C32521" s="36"/>
      <c r="E32521" s="1"/>
      <c r="F32521" s="1"/>
      <c r="G32521" s="1"/>
    </row>
    <row r="32522">
      <c r="B32522" s="36"/>
      <c r="C32522" s="36"/>
      <c r="E32522" s="1"/>
      <c r="F32522" s="1"/>
      <c r="G32522" s="1"/>
    </row>
    <row r="32523">
      <c r="B32523" s="36"/>
      <c r="C32523" s="36"/>
      <c r="E32523" s="1"/>
      <c r="F32523" s="1"/>
      <c r="G32523" s="1"/>
    </row>
    <row r="32524">
      <c r="B32524" s="36"/>
      <c r="C32524" s="36"/>
      <c r="E32524" s="1"/>
      <c r="F32524" s="1"/>
      <c r="G32524" s="1"/>
    </row>
    <row r="32525">
      <c r="B32525" s="36"/>
      <c r="C32525" s="36"/>
      <c r="E32525" s="1"/>
      <c r="F32525" s="1"/>
      <c r="G32525" s="1"/>
    </row>
    <row r="32526">
      <c r="B32526" s="36"/>
      <c r="C32526" s="36"/>
      <c r="E32526" s="1"/>
      <c r="F32526" s="1"/>
      <c r="G32526" s="1"/>
    </row>
    <row r="32527">
      <c r="B32527" s="36"/>
      <c r="C32527" s="36"/>
      <c r="E32527" s="1"/>
      <c r="F32527" s="1"/>
      <c r="G32527" s="1"/>
    </row>
    <row r="32528">
      <c r="B32528" s="36"/>
      <c r="C32528" s="36"/>
      <c r="E32528" s="1"/>
      <c r="F32528" s="1"/>
      <c r="G32528" s="1"/>
    </row>
    <row r="32529">
      <c r="B32529" s="36"/>
      <c r="C32529" s="36"/>
      <c r="E32529" s="1"/>
      <c r="F32529" s="1"/>
      <c r="G32529" s="1"/>
    </row>
    <row r="32530">
      <c r="B32530" s="36"/>
      <c r="C32530" s="36"/>
      <c r="E32530" s="1"/>
      <c r="F32530" s="1"/>
      <c r="G32530" s="1"/>
    </row>
    <row r="32531">
      <c r="B32531" s="36"/>
      <c r="C32531" s="36"/>
      <c r="E32531" s="1"/>
      <c r="F32531" s="1"/>
      <c r="G32531" s="1"/>
    </row>
    <row r="32532">
      <c r="B32532" s="36"/>
      <c r="C32532" s="36"/>
      <c r="E32532" s="1"/>
      <c r="F32532" s="1"/>
      <c r="G32532" s="1"/>
    </row>
    <row r="32533">
      <c r="B32533" s="36"/>
      <c r="C32533" s="36"/>
      <c r="E32533" s="1"/>
      <c r="F32533" s="1"/>
      <c r="G32533" s="1"/>
    </row>
    <row r="32534">
      <c r="B32534" s="36"/>
      <c r="C32534" s="36"/>
      <c r="E32534" s="1"/>
      <c r="F32534" s="1"/>
      <c r="G32534" s="1"/>
    </row>
    <row r="32535">
      <c r="B32535" s="36"/>
      <c r="C32535" s="36"/>
      <c r="E32535" s="1"/>
      <c r="F32535" s="1"/>
      <c r="G32535" s="1"/>
    </row>
    <row r="32536">
      <c r="B32536" s="36"/>
      <c r="C32536" s="36"/>
      <c r="E32536" s="1"/>
      <c r="F32536" s="1"/>
      <c r="G32536" s="1"/>
    </row>
    <row r="32537">
      <c r="B32537" s="36"/>
      <c r="C32537" s="36"/>
      <c r="E32537" s="1"/>
      <c r="F32537" s="1"/>
      <c r="G32537" s="1"/>
    </row>
    <row r="32538">
      <c r="B32538" s="36"/>
      <c r="C32538" s="36"/>
      <c r="E32538" s="1"/>
      <c r="F32538" s="1"/>
      <c r="G32538" s="1"/>
    </row>
    <row r="32539">
      <c r="B32539" s="36"/>
      <c r="C32539" s="36"/>
      <c r="E32539" s="1"/>
      <c r="F32539" s="1"/>
      <c r="G32539" s="1"/>
    </row>
    <row r="32540">
      <c r="B32540" s="36"/>
      <c r="C32540" s="36"/>
      <c r="E32540" s="1"/>
      <c r="F32540" s="1"/>
      <c r="G32540" s="1"/>
    </row>
    <row r="32541">
      <c r="B32541" s="36"/>
      <c r="C32541" s="36"/>
      <c r="E32541" s="1"/>
      <c r="F32541" s="1"/>
      <c r="G32541" s="1"/>
    </row>
    <row r="32542">
      <c r="B32542" s="36"/>
      <c r="C32542" s="36"/>
      <c r="E32542" s="1"/>
      <c r="F32542" s="1"/>
      <c r="G32542" s="1"/>
    </row>
    <row r="32543">
      <c r="B32543" s="36"/>
      <c r="C32543" s="36"/>
      <c r="E32543" s="1"/>
      <c r="F32543" s="1"/>
      <c r="G32543" s="1"/>
    </row>
    <row r="32544">
      <c r="B32544" s="36"/>
      <c r="C32544" s="36"/>
      <c r="E32544" s="1"/>
      <c r="F32544" s="1"/>
      <c r="G32544" s="1"/>
    </row>
    <row r="32545">
      <c r="B32545" s="36"/>
      <c r="C32545" s="36"/>
      <c r="E32545" s="1"/>
      <c r="F32545" s="1"/>
      <c r="G32545" s="1"/>
    </row>
    <row r="32546">
      <c r="B32546" s="36"/>
      <c r="C32546" s="36"/>
      <c r="E32546" s="1"/>
      <c r="F32546" s="1"/>
      <c r="G32546" s="1"/>
    </row>
    <row r="32547">
      <c r="B32547" s="36"/>
      <c r="C32547" s="36"/>
      <c r="E32547" s="1"/>
      <c r="F32547" s="1"/>
      <c r="G32547" s="1"/>
    </row>
    <row r="32548">
      <c r="B32548" s="36"/>
      <c r="C32548" s="36"/>
      <c r="E32548" s="1"/>
      <c r="F32548" s="1"/>
      <c r="G32548" s="1"/>
    </row>
    <row r="32549">
      <c r="B32549" s="36"/>
      <c r="C32549" s="36"/>
      <c r="E32549" s="1"/>
      <c r="F32549" s="1"/>
      <c r="G32549" s="1"/>
    </row>
    <row r="32550">
      <c r="B32550" s="36"/>
      <c r="C32550" s="36"/>
      <c r="E32550" s="1"/>
      <c r="F32550" s="1"/>
      <c r="G32550" s="1"/>
    </row>
    <row r="32551">
      <c r="B32551" s="36"/>
      <c r="C32551" s="36"/>
      <c r="E32551" s="1"/>
      <c r="F32551" s="1"/>
      <c r="G32551" s="1"/>
    </row>
    <row r="32552">
      <c r="B32552" s="36"/>
      <c r="C32552" s="36"/>
      <c r="E32552" s="1"/>
      <c r="F32552" s="1"/>
      <c r="G32552" s="1"/>
    </row>
    <row r="32553">
      <c r="B32553" s="36"/>
      <c r="C32553" s="36"/>
      <c r="E32553" s="1"/>
      <c r="F32553" s="1"/>
      <c r="G32553" s="1"/>
    </row>
    <row r="32554">
      <c r="B32554" s="36"/>
      <c r="C32554" s="36"/>
      <c r="E32554" s="1"/>
      <c r="F32554" s="1"/>
      <c r="G32554" s="1"/>
    </row>
    <row r="32555">
      <c r="B32555" s="36"/>
      <c r="C32555" s="36"/>
      <c r="E32555" s="1"/>
      <c r="F32555" s="1"/>
      <c r="G32555" s="1"/>
    </row>
    <row r="32556">
      <c r="B32556" s="36"/>
      <c r="C32556" s="36"/>
      <c r="E32556" s="1"/>
      <c r="F32556" s="1"/>
      <c r="G32556" s="1"/>
    </row>
    <row r="32557">
      <c r="B32557" s="36"/>
      <c r="C32557" s="36"/>
      <c r="E32557" s="1"/>
      <c r="F32557" s="1"/>
      <c r="G32557" s="1"/>
    </row>
    <row r="32558">
      <c r="B32558" s="36"/>
      <c r="C32558" s="36"/>
      <c r="E32558" s="1"/>
      <c r="F32558" s="1"/>
      <c r="G32558" s="1"/>
    </row>
    <row r="32559">
      <c r="B32559" s="36"/>
      <c r="C32559" s="36"/>
      <c r="E32559" s="1"/>
      <c r="F32559" s="1"/>
      <c r="G32559" s="1"/>
    </row>
    <row r="32560">
      <c r="B32560" s="36"/>
      <c r="C32560" s="36"/>
      <c r="E32560" s="1"/>
      <c r="F32560" s="1"/>
      <c r="G32560" s="1"/>
    </row>
    <row r="32561">
      <c r="B32561" s="36"/>
      <c r="C32561" s="36"/>
      <c r="E32561" s="1"/>
      <c r="F32561" s="1"/>
      <c r="G32561" s="1"/>
    </row>
    <row r="32562">
      <c r="B32562" s="36"/>
      <c r="C32562" s="36"/>
      <c r="E32562" s="1"/>
      <c r="F32562" s="1"/>
      <c r="G32562" s="1"/>
    </row>
    <row r="32563">
      <c r="B32563" s="36"/>
      <c r="C32563" s="36"/>
      <c r="E32563" s="1"/>
      <c r="F32563" s="1"/>
      <c r="G32563" s="1"/>
    </row>
    <row r="32564">
      <c r="B32564" s="36"/>
      <c r="C32564" s="36"/>
      <c r="E32564" s="1"/>
      <c r="F32564" s="1"/>
      <c r="G32564" s="1"/>
    </row>
    <row r="32565">
      <c r="B32565" s="36"/>
      <c r="C32565" s="36"/>
      <c r="E32565" s="1"/>
      <c r="F32565" s="1"/>
      <c r="G32565" s="1"/>
    </row>
    <row r="32566">
      <c r="B32566" s="36"/>
      <c r="C32566" s="36"/>
      <c r="E32566" s="1"/>
      <c r="F32566" s="1"/>
      <c r="G32566" s="1"/>
    </row>
    <row r="32567">
      <c r="B32567" s="36"/>
      <c r="C32567" s="36"/>
      <c r="E32567" s="1"/>
      <c r="F32567" s="1"/>
      <c r="G32567" s="1"/>
    </row>
    <row r="32568">
      <c r="B32568" s="36"/>
      <c r="C32568" s="36"/>
      <c r="E32568" s="1"/>
      <c r="F32568" s="1"/>
      <c r="G32568" s="1"/>
    </row>
    <row r="32569">
      <c r="B32569" s="36"/>
      <c r="C32569" s="36"/>
      <c r="E32569" s="1"/>
      <c r="F32569" s="1"/>
      <c r="G32569" s="1"/>
    </row>
    <row r="32570">
      <c r="B32570" s="36"/>
      <c r="C32570" s="36"/>
      <c r="E32570" s="1"/>
      <c r="F32570" s="1"/>
      <c r="G32570" s="1"/>
    </row>
    <row r="32571">
      <c r="B32571" s="36"/>
      <c r="C32571" s="36"/>
      <c r="E32571" s="1"/>
      <c r="F32571" s="1"/>
      <c r="G32571" s="1"/>
    </row>
    <row r="32572">
      <c r="B32572" s="36"/>
      <c r="C32572" s="36"/>
      <c r="E32572" s="1"/>
      <c r="F32572" s="1"/>
      <c r="G32572" s="1"/>
    </row>
    <row r="32573">
      <c r="B32573" s="36"/>
      <c r="C32573" s="36"/>
      <c r="E32573" s="1"/>
      <c r="F32573" s="1"/>
      <c r="G32573" s="1"/>
    </row>
    <row r="32574">
      <c r="B32574" s="36"/>
      <c r="C32574" s="36"/>
      <c r="E32574" s="1"/>
      <c r="F32574" s="1"/>
      <c r="G32574" s="1"/>
    </row>
    <row r="32575">
      <c r="B32575" s="36"/>
      <c r="C32575" s="36"/>
      <c r="E32575" s="1"/>
      <c r="F32575" s="1"/>
      <c r="G32575" s="1"/>
    </row>
    <row r="32576">
      <c r="B32576" s="36"/>
      <c r="C32576" s="36"/>
      <c r="E32576" s="1"/>
      <c r="F32576" s="1"/>
      <c r="G32576" s="1"/>
    </row>
    <row r="32577">
      <c r="B32577" s="36"/>
      <c r="C32577" s="36"/>
      <c r="E32577" s="1"/>
      <c r="F32577" s="1"/>
      <c r="G32577" s="1"/>
    </row>
    <row r="32578">
      <c r="B32578" s="36"/>
      <c r="C32578" s="36"/>
      <c r="E32578" s="1"/>
      <c r="F32578" s="1"/>
      <c r="G32578" s="1"/>
    </row>
    <row r="32579">
      <c r="B32579" s="36"/>
      <c r="C32579" s="36"/>
      <c r="E32579" s="1"/>
      <c r="F32579" s="1"/>
      <c r="G32579" s="1"/>
    </row>
    <row r="32580">
      <c r="B32580" s="36"/>
      <c r="C32580" s="36"/>
      <c r="E32580" s="1"/>
      <c r="F32580" s="1"/>
      <c r="G32580" s="1"/>
    </row>
    <row r="32581">
      <c r="B32581" s="36"/>
      <c r="C32581" s="36"/>
      <c r="E32581" s="1"/>
      <c r="F32581" s="1"/>
      <c r="G32581" s="1"/>
    </row>
    <row r="32582">
      <c r="B32582" s="36"/>
      <c r="C32582" s="36"/>
      <c r="E32582" s="1"/>
      <c r="F32582" s="1"/>
      <c r="G32582" s="1"/>
    </row>
    <row r="32583">
      <c r="B32583" s="36"/>
      <c r="C32583" s="36"/>
      <c r="E32583" s="1"/>
      <c r="F32583" s="1"/>
      <c r="G32583" s="1"/>
    </row>
    <row r="32584">
      <c r="B32584" s="36"/>
      <c r="C32584" s="36"/>
      <c r="E32584" s="1"/>
      <c r="F32584" s="1"/>
      <c r="G32584" s="1"/>
    </row>
    <row r="32585">
      <c r="B32585" s="36"/>
      <c r="C32585" s="36"/>
      <c r="E32585" s="1"/>
      <c r="F32585" s="1"/>
      <c r="G32585" s="1"/>
    </row>
    <row r="32586">
      <c r="B32586" s="36"/>
      <c r="C32586" s="36"/>
      <c r="E32586" s="1"/>
      <c r="F32586" s="1"/>
      <c r="G32586" s="1"/>
    </row>
    <row r="32587">
      <c r="B32587" s="36"/>
      <c r="C32587" s="36"/>
      <c r="E32587" s="1"/>
      <c r="F32587" s="1"/>
      <c r="G32587" s="1"/>
    </row>
    <row r="32588">
      <c r="B32588" s="36"/>
      <c r="C32588" s="36"/>
      <c r="E32588" s="1"/>
      <c r="F32588" s="1"/>
      <c r="G32588" s="1"/>
    </row>
    <row r="32589">
      <c r="B32589" s="36"/>
      <c r="C32589" s="36"/>
      <c r="E32589" s="1"/>
      <c r="F32589" s="1"/>
      <c r="G32589" s="1"/>
    </row>
    <row r="32590">
      <c r="B32590" s="36"/>
      <c r="C32590" s="36"/>
      <c r="E32590" s="1"/>
      <c r="F32590" s="1"/>
      <c r="G32590" s="1"/>
    </row>
    <row r="32591">
      <c r="B32591" s="36"/>
      <c r="C32591" s="36"/>
      <c r="E32591" s="1"/>
      <c r="F32591" s="1"/>
      <c r="G32591" s="1"/>
    </row>
    <row r="32592">
      <c r="B32592" s="36"/>
      <c r="C32592" s="36"/>
      <c r="E32592" s="1"/>
      <c r="F32592" s="1"/>
      <c r="G32592" s="1"/>
    </row>
    <row r="32593">
      <c r="B32593" s="36"/>
      <c r="C32593" s="36"/>
      <c r="E32593" s="1"/>
      <c r="F32593" s="1"/>
      <c r="G32593" s="1"/>
    </row>
    <row r="32594">
      <c r="B32594" s="36"/>
      <c r="C32594" s="36"/>
      <c r="E32594" s="1"/>
      <c r="F32594" s="1"/>
      <c r="G32594" s="1"/>
    </row>
    <row r="32595">
      <c r="B32595" s="36"/>
      <c r="C32595" s="36"/>
      <c r="E32595" s="1"/>
      <c r="F32595" s="1"/>
      <c r="G32595" s="1"/>
    </row>
    <row r="32596">
      <c r="B32596" s="36"/>
      <c r="C32596" s="36"/>
      <c r="E32596" s="1"/>
      <c r="F32596" s="1"/>
      <c r="G32596" s="1"/>
    </row>
    <row r="32597">
      <c r="B32597" s="36"/>
      <c r="C32597" s="36"/>
      <c r="E32597" s="1"/>
      <c r="F32597" s="1"/>
      <c r="G32597" s="1"/>
    </row>
    <row r="32598">
      <c r="B32598" s="36"/>
      <c r="C32598" s="36"/>
      <c r="E32598" s="1"/>
      <c r="F32598" s="1"/>
      <c r="G32598" s="1"/>
    </row>
    <row r="32599">
      <c r="B32599" s="36"/>
      <c r="C32599" s="36"/>
      <c r="E32599" s="1"/>
      <c r="F32599" s="1"/>
      <c r="G32599" s="1"/>
    </row>
    <row r="32600">
      <c r="B32600" s="36"/>
      <c r="C32600" s="36"/>
      <c r="E32600" s="1"/>
      <c r="F32600" s="1"/>
      <c r="G32600" s="1"/>
    </row>
    <row r="32601">
      <c r="B32601" s="36"/>
      <c r="C32601" s="36"/>
      <c r="E32601" s="1"/>
      <c r="F32601" s="1"/>
      <c r="G32601" s="1"/>
    </row>
    <row r="32602">
      <c r="B32602" s="36"/>
      <c r="C32602" s="36"/>
      <c r="E32602" s="1"/>
      <c r="F32602" s="1"/>
      <c r="G32602" s="1"/>
    </row>
    <row r="32603">
      <c r="B32603" s="36"/>
      <c r="C32603" s="36"/>
      <c r="E32603" s="1"/>
      <c r="F32603" s="1"/>
      <c r="G32603" s="1"/>
    </row>
    <row r="32604">
      <c r="B32604" s="36"/>
      <c r="C32604" s="36"/>
      <c r="E32604" s="1"/>
      <c r="F32604" s="1"/>
      <c r="G32604" s="1"/>
    </row>
    <row r="32605">
      <c r="B32605" s="36"/>
      <c r="C32605" s="36"/>
      <c r="E32605" s="1"/>
      <c r="F32605" s="1"/>
      <c r="G32605" s="1"/>
    </row>
    <row r="32606">
      <c r="B32606" s="36"/>
      <c r="C32606" s="36"/>
      <c r="E32606" s="1"/>
      <c r="F32606" s="1"/>
      <c r="G32606" s="1"/>
    </row>
    <row r="32607">
      <c r="B32607" s="36"/>
      <c r="C32607" s="36"/>
      <c r="E32607" s="1"/>
      <c r="F32607" s="1"/>
      <c r="G32607" s="1"/>
    </row>
    <row r="32608">
      <c r="B32608" s="36"/>
      <c r="C32608" s="36"/>
      <c r="E32608" s="1"/>
      <c r="F32608" s="1"/>
      <c r="G32608" s="1"/>
    </row>
    <row r="32609">
      <c r="B32609" s="36"/>
      <c r="C32609" s="36"/>
      <c r="E32609" s="1"/>
      <c r="F32609" s="1"/>
      <c r="G32609" s="1"/>
    </row>
    <row r="32610">
      <c r="B32610" s="36"/>
      <c r="C32610" s="36"/>
      <c r="E32610" s="1"/>
      <c r="F32610" s="1"/>
      <c r="G32610" s="1"/>
    </row>
    <row r="32611">
      <c r="B32611" s="36"/>
      <c r="C32611" s="36"/>
      <c r="E32611" s="1"/>
      <c r="F32611" s="1"/>
      <c r="G32611" s="1"/>
    </row>
    <row r="32612">
      <c r="B32612" s="36"/>
      <c r="C32612" s="36"/>
      <c r="E32612" s="1"/>
      <c r="F32612" s="1"/>
      <c r="G32612" s="1"/>
    </row>
    <row r="32613">
      <c r="B32613" s="36"/>
      <c r="C32613" s="36"/>
      <c r="E32613" s="1"/>
      <c r="F32613" s="1"/>
      <c r="G32613" s="1"/>
    </row>
    <row r="32614">
      <c r="B32614" s="36"/>
      <c r="C32614" s="36"/>
      <c r="E32614" s="1"/>
      <c r="F32614" s="1"/>
      <c r="G32614" s="1"/>
    </row>
    <row r="32615">
      <c r="B32615" s="36"/>
      <c r="C32615" s="36"/>
      <c r="E32615" s="1"/>
      <c r="F32615" s="1"/>
      <c r="G32615" s="1"/>
    </row>
    <row r="32616">
      <c r="B32616" s="36"/>
      <c r="C32616" s="36"/>
      <c r="E32616" s="1"/>
      <c r="F32616" s="1"/>
      <c r="G32616" s="1"/>
    </row>
    <row r="32617">
      <c r="B32617" s="36"/>
      <c r="C32617" s="36"/>
      <c r="E32617" s="1"/>
      <c r="F32617" s="1"/>
      <c r="G32617" s="1"/>
    </row>
    <row r="32618">
      <c r="B32618" s="36"/>
      <c r="C32618" s="36"/>
      <c r="E32618" s="1"/>
      <c r="F32618" s="1"/>
      <c r="G32618" s="1"/>
    </row>
    <row r="32619">
      <c r="B32619" s="36"/>
      <c r="C32619" s="36"/>
      <c r="E32619" s="1"/>
      <c r="F32619" s="1"/>
      <c r="G32619" s="1"/>
    </row>
    <row r="32620">
      <c r="B32620" s="36"/>
      <c r="C32620" s="36"/>
      <c r="E32620" s="1"/>
      <c r="F32620" s="1"/>
      <c r="G32620" s="1"/>
    </row>
    <row r="32621">
      <c r="B32621" s="36"/>
      <c r="C32621" s="36"/>
      <c r="E32621" s="1"/>
      <c r="F32621" s="1"/>
      <c r="G32621" s="1"/>
    </row>
    <row r="32622">
      <c r="B32622" s="36"/>
      <c r="C32622" s="36"/>
      <c r="E32622" s="1"/>
      <c r="F32622" s="1"/>
      <c r="G32622" s="1"/>
    </row>
    <row r="32623">
      <c r="B32623" s="36"/>
      <c r="C32623" s="36"/>
      <c r="E32623" s="1"/>
      <c r="F32623" s="1"/>
      <c r="G32623" s="1"/>
    </row>
    <row r="32624">
      <c r="B32624" s="36"/>
      <c r="C32624" s="36"/>
      <c r="E32624" s="1"/>
      <c r="F32624" s="1"/>
      <c r="G32624" s="1"/>
    </row>
    <row r="32625">
      <c r="B32625" s="36"/>
      <c r="C32625" s="36"/>
      <c r="E32625" s="1"/>
      <c r="F32625" s="1"/>
      <c r="G32625" s="1"/>
    </row>
    <row r="32626">
      <c r="B32626" s="36"/>
      <c r="C32626" s="36"/>
      <c r="E32626" s="1"/>
      <c r="F32626" s="1"/>
      <c r="G32626" s="1"/>
    </row>
    <row r="32627">
      <c r="B32627" s="36"/>
      <c r="C32627" s="36"/>
      <c r="E32627" s="1"/>
      <c r="F32627" s="1"/>
      <c r="G32627" s="1"/>
    </row>
    <row r="32628">
      <c r="B32628" s="36"/>
      <c r="C32628" s="36"/>
      <c r="E32628" s="1"/>
      <c r="F32628" s="1"/>
      <c r="G32628" s="1"/>
    </row>
    <row r="32629">
      <c r="B32629" s="36"/>
      <c r="C32629" s="36"/>
      <c r="E32629" s="1"/>
      <c r="F32629" s="1"/>
      <c r="G32629" s="1"/>
    </row>
    <row r="32630">
      <c r="B32630" s="36"/>
      <c r="C32630" s="36"/>
      <c r="E32630" s="1"/>
      <c r="F32630" s="1"/>
      <c r="G32630" s="1"/>
    </row>
    <row r="32631">
      <c r="B32631" s="36"/>
      <c r="C32631" s="36"/>
      <c r="E32631" s="1"/>
      <c r="F32631" s="1"/>
      <c r="G32631" s="1"/>
    </row>
    <row r="32632">
      <c r="B32632" s="36"/>
      <c r="C32632" s="36"/>
      <c r="E32632" s="1"/>
      <c r="F32632" s="1"/>
      <c r="G32632" s="1"/>
    </row>
    <row r="32633">
      <c r="B32633" s="36"/>
      <c r="C32633" s="36"/>
      <c r="E32633" s="1"/>
      <c r="F32633" s="1"/>
      <c r="G32633" s="1"/>
    </row>
    <row r="32634">
      <c r="B32634" s="36"/>
      <c r="C32634" s="36"/>
      <c r="E32634" s="1"/>
      <c r="F32634" s="1"/>
      <c r="G32634" s="1"/>
    </row>
    <row r="32635">
      <c r="B32635" s="36"/>
      <c r="C32635" s="36"/>
      <c r="E32635" s="1"/>
      <c r="F32635" s="1"/>
      <c r="G32635" s="1"/>
    </row>
    <row r="32636">
      <c r="B32636" s="36"/>
      <c r="C32636" s="36"/>
      <c r="E32636" s="1"/>
      <c r="F32636" s="1"/>
      <c r="G32636" s="1"/>
    </row>
    <row r="32637">
      <c r="B32637" s="36"/>
      <c r="C32637" s="36"/>
      <c r="E32637" s="1"/>
      <c r="F32637" s="1"/>
      <c r="G32637" s="1"/>
    </row>
    <row r="32638">
      <c r="B32638" s="36"/>
      <c r="C32638" s="36"/>
      <c r="E32638" s="1"/>
      <c r="F32638" s="1"/>
      <c r="G32638" s="1"/>
    </row>
    <row r="32639">
      <c r="B32639" s="36"/>
      <c r="C32639" s="36"/>
      <c r="E32639" s="1"/>
      <c r="F32639" s="1"/>
      <c r="G32639" s="1"/>
    </row>
    <row r="32640">
      <c r="B32640" s="36"/>
      <c r="C32640" s="36"/>
      <c r="E32640" s="1"/>
      <c r="F32640" s="1"/>
      <c r="G32640" s="1"/>
    </row>
    <row r="32641">
      <c r="B32641" s="36"/>
      <c r="C32641" s="36"/>
      <c r="E32641" s="1"/>
      <c r="F32641" s="1"/>
      <c r="G32641" s="1"/>
    </row>
    <row r="32642">
      <c r="B32642" s="36"/>
      <c r="C32642" s="36"/>
      <c r="E32642" s="1"/>
      <c r="F32642" s="1"/>
      <c r="G32642" s="1"/>
    </row>
    <row r="32643">
      <c r="B32643" s="36"/>
      <c r="C32643" s="36"/>
      <c r="E32643" s="1"/>
      <c r="F32643" s="1"/>
      <c r="G32643" s="1"/>
    </row>
    <row r="32644">
      <c r="B32644" s="36"/>
      <c r="C32644" s="36"/>
      <c r="E32644" s="1"/>
      <c r="F32644" s="1"/>
      <c r="G32644" s="1"/>
    </row>
    <row r="32645">
      <c r="B32645" s="36"/>
      <c r="C32645" s="36"/>
      <c r="E32645" s="1"/>
      <c r="F32645" s="1"/>
      <c r="G32645" s="1"/>
    </row>
    <row r="32646">
      <c r="B32646" s="36"/>
      <c r="C32646" s="36"/>
      <c r="E32646" s="1"/>
      <c r="F32646" s="1"/>
      <c r="G32646" s="1"/>
    </row>
    <row r="32647">
      <c r="B32647" s="36"/>
      <c r="C32647" s="36"/>
      <c r="E32647" s="1"/>
      <c r="F32647" s="1"/>
      <c r="G32647" s="1"/>
    </row>
    <row r="32648">
      <c r="B32648" s="36"/>
      <c r="C32648" s="36"/>
      <c r="E32648" s="1"/>
      <c r="F32648" s="1"/>
      <c r="G32648" s="1"/>
    </row>
    <row r="32649">
      <c r="B32649" s="36"/>
      <c r="C32649" s="36"/>
      <c r="E32649" s="1"/>
      <c r="F32649" s="1"/>
      <c r="G32649" s="1"/>
    </row>
    <row r="32650">
      <c r="B32650" s="36"/>
      <c r="C32650" s="36"/>
      <c r="E32650" s="1"/>
      <c r="F32650" s="1"/>
      <c r="G32650" s="1"/>
    </row>
    <row r="32651">
      <c r="B32651" s="36"/>
      <c r="C32651" s="36"/>
      <c r="E32651" s="1"/>
      <c r="F32651" s="1"/>
      <c r="G32651" s="1"/>
    </row>
    <row r="32652">
      <c r="B32652" s="36"/>
      <c r="C32652" s="36"/>
      <c r="E32652" s="1"/>
      <c r="F32652" s="1"/>
      <c r="G32652" s="1"/>
    </row>
    <row r="32653">
      <c r="B32653" s="36"/>
      <c r="C32653" s="36"/>
      <c r="E32653" s="1"/>
      <c r="F32653" s="1"/>
      <c r="G32653" s="1"/>
    </row>
    <row r="32654">
      <c r="B32654" s="36"/>
      <c r="C32654" s="36"/>
      <c r="E32654" s="1"/>
      <c r="F32654" s="1"/>
      <c r="G32654" s="1"/>
    </row>
    <row r="32655">
      <c r="B32655" s="36"/>
      <c r="C32655" s="36"/>
      <c r="E32655" s="1"/>
      <c r="F32655" s="1"/>
      <c r="G32655" s="1"/>
    </row>
    <row r="32656">
      <c r="B32656" s="36"/>
      <c r="C32656" s="36"/>
      <c r="E32656" s="1"/>
      <c r="F32656" s="1"/>
      <c r="G32656" s="1"/>
    </row>
    <row r="32657">
      <c r="B32657" s="36"/>
      <c r="C32657" s="36"/>
      <c r="E32657" s="1"/>
      <c r="F32657" s="1"/>
      <c r="G32657" s="1"/>
    </row>
    <row r="32658">
      <c r="B32658" s="36"/>
      <c r="C32658" s="36"/>
      <c r="E32658" s="1"/>
      <c r="F32658" s="1"/>
      <c r="G32658" s="1"/>
    </row>
    <row r="32659">
      <c r="B32659" s="36"/>
      <c r="C32659" s="36"/>
      <c r="E32659" s="1"/>
      <c r="F32659" s="1"/>
      <c r="G32659" s="1"/>
    </row>
    <row r="32660">
      <c r="B32660" s="36"/>
      <c r="C32660" s="36"/>
      <c r="E32660" s="1"/>
      <c r="F32660" s="1"/>
      <c r="G32660" s="1"/>
    </row>
    <row r="32661">
      <c r="B32661" s="36"/>
      <c r="C32661" s="36"/>
      <c r="E32661" s="1"/>
      <c r="F32661" s="1"/>
      <c r="G32661" s="1"/>
    </row>
    <row r="32662">
      <c r="B32662" s="36"/>
      <c r="C32662" s="36"/>
      <c r="E32662" s="1"/>
      <c r="F32662" s="1"/>
      <c r="G32662" s="1"/>
    </row>
    <row r="32663">
      <c r="B32663" s="36"/>
      <c r="C32663" s="36"/>
      <c r="E32663" s="1"/>
      <c r="F32663" s="1"/>
      <c r="G32663" s="1"/>
    </row>
    <row r="32664">
      <c r="B32664" s="36"/>
      <c r="C32664" s="36"/>
      <c r="E32664" s="1"/>
      <c r="F32664" s="1"/>
      <c r="G32664" s="1"/>
    </row>
    <row r="32665">
      <c r="B32665" s="36"/>
      <c r="C32665" s="36"/>
      <c r="E32665" s="1"/>
      <c r="F32665" s="1"/>
      <c r="G32665" s="1"/>
    </row>
    <row r="32666">
      <c r="B32666" s="36"/>
      <c r="C32666" s="36"/>
      <c r="E32666" s="1"/>
      <c r="F32666" s="1"/>
      <c r="G32666" s="1"/>
    </row>
    <row r="32667">
      <c r="B32667" s="36"/>
      <c r="C32667" s="36"/>
      <c r="E32667" s="1"/>
      <c r="F32667" s="1"/>
      <c r="G32667" s="1"/>
    </row>
    <row r="32668">
      <c r="B32668" s="36"/>
      <c r="C32668" s="36"/>
      <c r="E32668" s="1"/>
      <c r="F32668" s="1"/>
      <c r="G32668" s="1"/>
    </row>
    <row r="32669">
      <c r="B32669" s="36"/>
      <c r="C32669" s="36"/>
      <c r="E32669" s="1"/>
      <c r="F32669" s="1"/>
      <c r="G32669" s="1"/>
    </row>
    <row r="32670">
      <c r="B32670" s="36"/>
      <c r="C32670" s="36"/>
      <c r="E32670" s="1"/>
      <c r="F32670" s="1"/>
      <c r="G32670" s="1"/>
    </row>
    <row r="32671">
      <c r="B32671" s="36"/>
      <c r="C32671" s="36"/>
      <c r="E32671" s="1"/>
      <c r="F32671" s="1"/>
      <c r="G32671" s="1"/>
    </row>
    <row r="32672">
      <c r="B32672" s="36"/>
      <c r="C32672" s="36"/>
      <c r="E32672" s="1"/>
      <c r="F32672" s="1"/>
      <c r="G32672" s="1"/>
    </row>
    <row r="32673">
      <c r="B32673" s="36"/>
      <c r="C32673" s="36"/>
      <c r="E32673" s="1"/>
      <c r="F32673" s="1"/>
      <c r="G32673" s="1"/>
    </row>
    <row r="32674">
      <c r="B32674" s="36"/>
      <c r="C32674" s="36"/>
      <c r="E32674" s="1"/>
      <c r="F32674" s="1"/>
      <c r="G32674" s="1"/>
    </row>
    <row r="32675">
      <c r="B32675" s="36"/>
      <c r="C32675" s="36"/>
      <c r="E32675" s="1"/>
      <c r="F32675" s="1"/>
      <c r="G32675" s="1"/>
    </row>
    <row r="32676">
      <c r="B32676" s="36"/>
      <c r="C32676" s="36"/>
      <c r="E32676" s="1"/>
      <c r="F32676" s="1"/>
      <c r="G32676" s="1"/>
    </row>
    <row r="32677">
      <c r="B32677" s="36"/>
      <c r="C32677" s="36"/>
      <c r="E32677" s="1"/>
      <c r="F32677" s="1"/>
      <c r="G32677" s="1"/>
    </row>
    <row r="32678">
      <c r="B32678" s="36"/>
      <c r="C32678" s="36"/>
      <c r="E32678" s="1"/>
      <c r="F32678" s="1"/>
      <c r="G32678" s="1"/>
    </row>
    <row r="32679">
      <c r="B32679" s="36"/>
      <c r="C32679" s="36"/>
      <c r="E32679" s="1"/>
      <c r="F32679" s="1"/>
      <c r="G32679" s="1"/>
    </row>
    <row r="32680">
      <c r="B32680" s="36"/>
      <c r="C32680" s="36"/>
      <c r="E32680" s="1"/>
      <c r="F32680" s="1"/>
      <c r="G32680" s="1"/>
    </row>
    <row r="32681">
      <c r="B32681" s="36"/>
      <c r="C32681" s="36"/>
      <c r="E32681" s="1"/>
      <c r="F32681" s="1"/>
      <c r="G32681" s="1"/>
    </row>
    <row r="32682">
      <c r="B32682" s="36"/>
      <c r="C32682" s="36"/>
      <c r="E32682" s="1"/>
      <c r="F32682" s="1"/>
      <c r="G32682" s="1"/>
    </row>
    <row r="32683">
      <c r="B32683" s="36"/>
      <c r="C32683" s="36"/>
      <c r="E32683" s="1"/>
      <c r="F32683" s="1"/>
      <c r="G32683" s="1"/>
    </row>
    <row r="32684">
      <c r="B32684" s="36"/>
      <c r="C32684" s="36"/>
      <c r="E32684" s="1"/>
      <c r="F32684" s="1"/>
      <c r="G32684" s="1"/>
    </row>
    <row r="32685">
      <c r="B32685" s="36"/>
      <c r="C32685" s="36"/>
      <c r="E32685" s="1"/>
      <c r="F32685" s="1"/>
      <c r="G32685" s="1"/>
    </row>
    <row r="32686">
      <c r="B32686" s="36"/>
      <c r="C32686" s="36"/>
      <c r="E32686" s="1"/>
      <c r="F32686" s="1"/>
      <c r="G32686" s="1"/>
    </row>
    <row r="32687">
      <c r="B32687" s="36"/>
      <c r="C32687" s="36"/>
      <c r="E32687" s="1"/>
      <c r="F32687" s="1"/>
      <c r="G32687" s="1"/>
    </row>
    <row r="32688">
      <c r="B32688" s="36"/>
      <c r="C32688" s="36"/>
      <c r="E32688" s="1"/>
      <c r="F32688" s="1"/>
      <c r="G32688" s="1"/>
    </row>
    <row r="32689">
      <c r="B32689" s="36"/>
      <c r="C32689" s="36"/>
      <c r="E32689" s="1"/>
      <c r="F32689" s="1"/>
      <c r="G32689" s="1"/>
    </row>
    <row r="32690">
      <c r="B32690" s="36"/>
      <c r="C32690" s="36"/>
      <c r="E32690" s="1"/>
      <c r="F32690" s="1"/>
      <c r="G32690" s="1"/>
    </row>
    <row r="32691">
      <c r="B32691" s="36"/>
      <c r="C32691" s="36"/>
      <c r="E32691" s="1"/>
      <c r="F32691" s="1"/>
      <c r="G32691" s="1"/>
    </row>
    <row r="32692">
      <c r="B32692" s="36"/>
      <c r="C32692" s="36"/>
      <c r="E32692" s="1"/>
      <c r="F32692" s="1"/>
      <c r="G32692" s="1"/>
    </row>
    <row r="32693">
      <c r="B32693" s="36"/>
      <c r="C32693" s="36"/>
      <c r="E32693" s="1"/>
      <c r="F32693" s="1"/>
      <c r="G32693" s="1"/>
    </row>
    <row r="32694">
      <c r="B32694" s="36"/>
      <c r="C32694" s="36"/>
      <c r="E32694" s="1"/>
      <c r="F32694" s="1"/>
      <c r="G32694" s="1"/>
    </row>
    <row r="32695">
      <c r="B32695" s="36"/>
      <c r="C32695" s="36"/>
      <c r="E32695" s="1"/>
      <c r="F32695" s="1"/>
      <c r="G32695" s="1"/>
    </row>
    <row r="32696">
      <c r="B32696" s="36"/>
      <c r="C32696" s="36"/>
      <c r="E32696" s="1"/>
      <c r="F32696" s="1"/>
      <c r="G32696" s="1"/>
    </row>
    <row r="32697">
      <c r="B32697" s="36"/>
      <c r="C32697" s="36"/>
      <c r="E32697" s="1"/>
      <c r="F32697" s="1"/>
      <c r="G32697" s="1"/>
    </row>
    <row r="32698">
      <c r="B32698" s="36"/>
      <c r="C32698" s="36"/>
      <c r="E32698" s="1"/>
      <c r="F32698" s="1"/>
      <c r="G32698" s="1"/>
    </row>
    <row r="32699">
      <c r="B32699" s="36"/>
      <c r="C32699" s="36"/>
      <c r="E32699" s="1"/>
      <c r="F32699" s="1"/>
      <c r="G32699" s="1"/>
    </row>
    <row r="32700">
      <c r="B32700" s="36"/>
      <c r="C32700" s="36"/>
      <c r="E32700" s="1"/>
      <c r="F32700" s="1"/>
      <c r="G32700" s="1"/>
    </row>
    <row r="32701">
      <c r="B32701" s="36"/>
      <c r="C32701" s="36"/>
      <c r="E32701" s="1"/>
      <c r="F32701" s="1"/>
      <c r="G32701" s="1"/>
    </row>
    <row r="32702">
      <c r="B32702" s="36"/>
      <c r="C32702" s="36"/>
      <c r="E32702" s="1"/>
      <c r="F32702" s="1"/>
      <c r="G32702" s="1"/>
    </row>
    <row r="32703">
      <c r="B32703" s="36"/>
      <c r="C32703" s="36"/>
      <c r="E32703" s="1"/>
      <c r="F32703" s="1"/>
      <c r="G32703" s="1"/>
    </row>
    <row r="32704">
      <c r="B32704" s="36"/>
      <c r="C32704" s="36"/>
      <c r="E32704" s="1"/>
      <c r="F32704" s="1"/>
      <c r="G32704" s="1"/>
    </row>
    <row r="32705">
      <c r="B32705" s="36"/>
      <c r="C32705" s="36"/>
      <c r="E32705" s="1"/>
      <c r="F32705" s="1"/>
      <c r="G32705" s="1"/>
    </row>
    <row r="32706">
      <c r="B32706" s="36"/>
      <c r="C32706" s="36"/>
      <c r="E32706" s="1"/>
      <c r="F32706" s="1"/>
      <c r="G32706" s="1"/>
    </row>
    <row r="32707">
      <c r="B32707" s="36"/>
      <c r="C32707" s="36"/>
      <c r="E32707" s="1"/>
      <c r="F32707" s="1"/>
      <c r="G32707" s="1"/>
    </row>
    <row r="32708">
      <c r="B32708" s="36"/>
      <c r="C32708" s="36"/>
      <c r="E32708" s="1"/>
      <c r="F32708" s="1"/>
      <c r="G32708" s="1"/>
    </row>
    <row r="32709">
      <c r="B32709" s="36"/>
      <c r="C32709" s="36"/>
      <c r="E32709" s="1"/>
      <c r="F32709" s="1"/>
      <c r="G32709" s="1"/>
    </row>
    <row r="32710">
      <c r="B32710" s="36"/>
      <c r="C32710" s="36"/>
      <c r="E32710" s="1"/>
      <c r="F32710" s="1"/>
      <c r="G32710" s="1"/>
    </row>
    <row r="32711">
      <c r="B32711" s="36"/>
      <c r="C32711" s="36"/>
      <c r="E32711" s="1"/>
      <c r="F32711" s="1"/>
      <c r="G32711" s="1"/>
    </row>
    <row r="32712">
      <c r="B32712" s="36"/>
      <c r="C32712" s="36"/>
      <c r="E32712" s="1"/>
      <c r="F32712" s="1"/>
      <c r="G32712" s="1"/>
    </row>
    <row r="32713">
      <c r="B32713" s="36"/>
      <c r="C32713" s="36"/>
      <c r="E32713" s="1"/>
      <c r="F32713" s="1"/>
      <c r="G32713" s="1"/>
    </row>
    <row r="32714">
      <c r="B32714" s="36"/>
      <c r="C32714" s="36"/>
      <c r="E32714" s="1"/>
      <c r="F32714" s="1"/>
      <c r="G32714" s="1"/>
    </row>
    <row r="32715">
      <c r="B32715" s="36"/>
      <c r="C32715" s="36"/>
      <c r="E32715" s="1"/>
      <c r="F32715" s="1"/>
      <c r="G32715" s="1"/>
    </row>
    <row r="32716">
      <c r="B32716" s="36"/>
      <c r="C32716" s="36"/>
      <c r="E32716" s="1"/>
      <c r="F32716" s="1"/>
      <c r="G32716" s="1"/>
    </row>
    <row r="32717">
      <c r="B32717" s="36"/>
      <c r="C32717" s="36"/>
      <c r="E32717" s="1"/>
      <c r="F32717" s="1"/>
      <c r="G32717" s="1"/>
    </row>
    <row r="32718">
      <c r="B32718" s="36"/>
      <c r="C32718" s="36"/>
      <c r="E32718" s="1"/>
      <c r="F32718" s="1"/>
      <c r="G32718" s="1"/>
    </row>
    <row r="32719">
      <c r="B32719" s="36"/>
      <c r="C32719" s="36"/>
      <c r="E32719" s="1"/>
      <c r="F32719" s="1"/>
      <c r="G32719" s="1"/>
    </row>
    <row r="32720">
      <c r="B32720" s="36"/>
      <c r="C32720" s="36"/>
      <c r="E32720" s="1"/>
      <c r="F32720" s="1"/>
      <c r="G32720" s="1"/>
    </row>
    <row r="32721">
      <c r="B32721" s="36"/>
      <c r="C32721" s="36"/>
      <c r="E32721" s="1"/>
      <c r="F32721" s="1"/>
      <c r="G32721" s="1"/>
    </row>
    <row r="32722">
      <c r="B32722" s="36"/>
      <c r="C32722" s="36"/>
      <c r="E32722" s="1"/>
      <c r="F32722" s="1"/>
      <c r="G32722" s="1"/>
    </row>
    <row r="32723">
      <c r="B32723" s="36"/>
      <c r="C32723" s="36"/>
      <c r="E32723" s="1"/>
      <c r="F32723" s="1"/>
      <c r="G32723" s="1"/>
    </row>
    <row r="32724">
      <c r="B32724" s="36"/>
      <c r="C32724" s="36"/>
      <c r="E32724" s="1"/>
      <c r="F32724" s="1"/>
      <c r="G32724" s="1"/>
    </row>
    <row r="32725">
      <c r="B32725" s="36"/>
      <c r="C32725" s="36"/>
      <c r="E32725" s="1"/>
      <c r="F32725" s="1"/>
      <c r="G32725" s="1"/>
    </row>
    <row r="32726">
      <c r="B32726" s="36"/>
      <c r="C32726" s="36"/>
      <c r="E32726" s="1"/>
      <c r="F32726" s="1"/>
      <c r="G32726" s="1"/>
    </row>
    <row r="32727">
      <c r="B32727" s="36"/>
      <c r="C32727" s="36"/>
      <c r="E32727" s="1"/>
      <c r="F32727" s="1"/>
      <c r="G32727" s="1"/>
    </row>
    <row r="32728">
      <c r="B32728" s="36"/>
      <c r="C32728" s="36"/>
      <c r="E32728" s="1"/>
      <c r="F32728" s="1"/>
      <c r="G32728" s="1"/>
    </row>
    <row r="32729">
      <c r="B32729" s="36"/>
      <c r="C32729" s="36"/>
      <c r="E32729" s="1"/>
      <c r="F32729" s="1"/>
      <c r="G32729" s="1"/>
    </row>
    <row r="32730">
      <c r="B32730" s="36"/>
      <c r="C32730" s="36"/>
      <c r="E32730" s="1"/>
      <c r="F32730" s="1"/>
      <c r="G32730" s="1"/>
    </row>
    <row r="32731">
      <c r="B32731" s="36"/>
      <c r="C32731" s="36"/>
      <c r="E32731" s="1"/>
      <c r="F32731" s="1"/>
      <c r="G32731" s="1"/>
    </row>
    <row r="32732">
      <c r="B32732" s="36"/>
      <c r="C32732" s="36"/>
      <c r="E32732" s="1"/>
      <c r="F32732" s="1"/>
      <c r="G32732" s="1"/>
    </row>
    <row r="32733">
      <c r="B32733" s="36"/>
      <c r="C32733" s="36"/>
      <c r="E32733" s="1"/>
      <c r="F32733" s="1"/>
      <c r="G32733" s="1"/>
    </row>
    <row r="32734">
      <c r="B32734" s="36"/>
      <c r="C32734" s="36"/>
      <c r="E32734" s="1"/>
      <c r="F32734" s="1"/>
      <c r="G32734" s="1"/>
    </row>
    <row r="32735">
      <c r="B32735" s="36"/>
      <c r="C32735" s="36"/>
      <c r="E32735" s="1"/>
      <c r="F32735" s="1"/>
      <c r="G32735" s="1"/>
    </row>
    <row r="32736">
      <c r="B32736" s="36"/>
      <c r="C32736" s="36"/>
      <c r="E32736" s="1"/>
      <c r="F32736" s="1"/>
      <c r="G32736" s="1"/>
    </row>
    <row r="32737">
      <c r="B32737" s="36"/>
      <c r="C32737" s="36"/>
      <c r="E32737" s="1"/>
      <c r="F32737" s="1"/>
      <c r="G32737" s="1"/>
    </row>
    <row r="32738">
      <c r="B32738" s="36"/>
      <c r="C32738" s="36"/>
      <c r="E32738" s="1"/>
      <c r="F32738" s="1"/>
      <c r="G32738" s="1"/>
    </row>
    <row r="32739">
      <c r="B32739" s="36"/>
      <c r="C32739" s="36"/>
      <c r="E32739" s="1"/>
      <c r="F32739" s="1"/>
      <c r="G32739" s="1"/>
    </row>
    <row r="32740">
      <c r="B32740" s="36"/>
      <c r="C32740" s="36"/>
      <c r="E32740" s="1"/>
      <c r="F32740" s="1"/>
      <c r="G32740" s="1"/>
    </row>
    <row r="32741">
      <c r="B32741" s="36"/>
      <c r="C32741" s="36"/>
      <c r="E32741" s="1"/>
      <c r="F32741" s="1"/>
      <c r="G32741" s="1"/>
    </row>
    <row r="32742">
      <c r="B32742" s="36"/>
      <c r="C32742" s="36"/>
      <c r="E32742" s="1"/>
      <c r="F32742" s="1"/>
      <c r="G32742" s="1"/>
    </row>
    <row r="32743">
      <c r="B32743" s="36"/>
      <c r="C32743" s="36"/>
      <c r="E32743" s="1"/>
      <c r="F32743" s="1"/>
      <c r="G32743" s="1"/>
    </row>
    <row r="32744">
      <c r="B32744" s="36"/>
      <c r="C32744" s="36"/>
      <c r="E32744" s="1"/>
      <c r="F32744" s="1"/>
      <c r="G32744" s="1"/>
    </row>
    <row r="32745">
      <c r="B32745" s="36"/>
      <c r="C32745" s="36"/>
      <c r="E32745" s="1"/>
      <c r="F32745" s="1"/>
      <c r="G32745" s="1"/>
    </row>
    <row r="32746">
      <c r="B32746" s="36"/>
      <c r="C32746" s="36"/>
      <c r="E32746" s="1"/>
      <c r="F32746" s="1"/>
      <c r="G32746" s="1"/>
    </row>
    <row r="32747">
      <c r="B32747" s="36"/>
      <c r="C32747" s="36"/>
      <c r="E32747" s="1"/>
      <c r="F32747" s="1"/>
      <c r="G32747" s="1"/>
    </row>
    <row r="32748">
      <c r="B32748" s="36"/>
      <c r="C32748" s="36"/>
      <c r="E32748" s="1"/>
      <c r="F32748" s="1"/>
      <c r="G32748" s="1"/>
    </row>
    <row r="32749">
      <c r="B32749" s="36"/>
      <c r="C32749" s="36"/>
      <c r="E32749" s="1"/>
      <c r="F32749" s="1"/>
      <c r="G32749" s="1"/>
    </row>
    <row r="32750">
      <c r="B32750" s="36"/>
      <c r="C32750" s="36"/>
      <c r="E32750" s="1"/>
      <c r="F32750" s="1"/>
      <c r="G32750" s="1"/>
    </row>
    <row r="32751">
      <c r="B32751" s="36"/>
      <c r="C32751" s="36"/>
      <c r="E32751" s="1"/>
      <c r="F32751" s="1"/>
      <c r="G32751" s="1"/>
    </row>
    <row r="32752">
      <c r="B32752" s="36"/>
      <c r="C32752" s="36"/>
      <c r="E32752" s="1"/>
      <c r="F32752" s="1"/>
      <c r="G32752" s="1"/>
    </row>
    <row r="32753">
      <c r="B32753" s="36"/>
      <c r="C32753" s="36"/>
      <c r="E32753" s="1"/>
      <c r="F32753" s="1"/>
      <c r="G32753" s="1"/>
    </row>
    <row r="32754">
      <c r="B32754" s="36"/>
      <c r="C32754" s="36"/>
      <c r="E32754" s="1"/>
      <c r="F32754" s="1"/>
      <c r="G32754" s="1"/>
    </row>
    <row r="32755">
      <c r="B32755" s="36"/>
      <c r="C32755" s="36"/>
      <c r="E32755" s="1"/>
      <c r="F32755" s="1"/>
      <c r="G32755" s="1"/>
    </row>
    <row r="32756">
      <c r="B32756" s="36"/>
      <c r="C32756" s="36"/>
      <c r="E32756" s="1"/>
      <c r="F32756" s="1"/>
      <c r="G32756" s="1"/>
    </row>
    <row r="32757">
      <c r="B32757" s="36"/>
      <c r="C32757" s="36"/>
      <c r="E32757" s="1"/>
      <c r="F32757" s="1"/>
      <c r="G32757" s="1"/>
    </row>
    <row r="32758">
      <c r="B32758" s="36"/>
      <c r="C32758" s="36"/>
      <c r="E32758" s="1"/>
      <c r="F32758" s="1"/>
      <c r="G32758" s="1"/>
    </row>
    <row r="32759">
      <c r="B32759" s="36"/>
      <c r="C32759" s="36"/>
      <c r="E32759" s="1"/>
      <c r="F32759" s="1"/>
      <c r="G32759" s="1"/>
    </row>
    <row r="32760">
      <c r="B32760" s="36"/>
      <c r="C32760" s="36"/>
      <c r="E32760" s="1"/>
      <c r="F32760" s="1"/>
      <c r="G32760" s="1"/>
    </row>
    <row r="32761">
      <c r="B32761" s="36"/>
      <c r="C32761" s="36"/>
      <c r="E32761" s="1"/>
      <c r="F32761" s="1"/>
      <c r="G32761" s="1"/>
    </row>
    <row r="32762">
      <c r="B32762" s="36"/>
      <c r="C32762" s="36"/>
      <c r="E32762" s="1"/>
      <c r="F32762" s="1"/>
      <c r="G32762" s="1"/>
    </row>
    <row r="32763">
      <c r="B32763" s="36"/>
      <c r="C32763" s="36"/>
      <c r="E32763" s="1"/>
      <c r="F32763" s="1"/>
      <c r="G32763" s="1"/>
    </row>
    <row r="32764">
      <c r="B32764" s="36"/>
      <c r="C32764" s="36"/>
      <c r="E32764" s="1"/>
      <c r="F32764" s="1"/>
      <c r="G32764" s="1"/>
    </row>
    <row r="32765">
      <c r="B32765" s="36"/>
      <c r="C32765" s="36"/>
      <c r="E32765" s="1"/>
      <c r="F32765" s="1"/>
      <c r="G32765" s="1"/>
    </row>
    <row r="32766">
      <c r="B32766" s="36"/>
      <c r="C32766" s="36"/>
      <c r="E32766" s="1"/>
      <c r="F32766" s="1"/>
      <c r="G32766" s="1"/>
    </row>
    <row r="32767">
      <c r="B32767" s="36"/>
      <c r="C32767" s="36"/>
      <c r="E32767" s="1"/>
      <c r="F32767" s="1"/>
      <c r="G32767" s="1"/>
    </row>
    <row r="32768">
      <c r="B32768" s="36"/>
      <c r="C32768" s="36"/>
      <c r="E32768" s="1"/>
      <c r="F32768" s="1"/>
      <c r="G32768" s="1"/>
    </row>
    <row r="32769">
      <c r="B32769" s="36"/>
      <c r="C32769" s="36"/>
      <c r="E32769" s="1"/>
      <c r="F32769" s="1"/>
      <c r="G32769" s="1"/>
    </row>
    <row r="32770">
      <c r="B32770" s="36"/>
      <c r="C32770" s="36"/>
      <c r="E32770" s="1"/>
      <c r="F32770" s="1"/>
      <c r="G32770" s="1"/>
    </row>
    <row r="32771">
      <c r="B32771" s="36"/>
      <c r="C32771" s="36"/>
      <c r="E32771" s="1"/>
      <c r="F32771" s="1"/>
      <c r="G32771" s="1"/>
    </row>
    <row r="32772">
      <c r="B32772" s="36"/>
      <c r="C32772" s="36"/>
      <c r="E32772" s="1"/>
      <c r="F32772" s="1"/>
      <c r="G32772" s="1"/>
    </row>
    <row r="32773">
      <c r="B32773" s="36"/>
      <c r="C32773" s="36"/>
      <c r="E32773" s="1"/>
      <c r="F32773" s="1"/>
      <c r="G32773" s="1"/>
    </row>
    <row r="32774">
      <c r="B32774" s="36"/>
      <c r="C32774" s="36"/>
      <c r="E32774" s="1"/>
      <c r="F32774" s="1"/>
      <c r="G32774" s="1"/>
    </row>
    <row r="32775">
      <c r="B32775" s="36"/>
      <c r="C32775" s="36"/>
      <c r="E32775" s="1"/>
      <c r="F32775" s="1"/>
      <c r="G32775" s="1"/>
    </row>
    <row r="32776">
      <c r="B32776" s="36"/>
      <c r="C32776" s="36"/>
      <c r="E32776" s="1"/>
      <c r="F32776" s="1"/>
      <c r="G32776" s="1"/>
    </row>
    <row r="32777">
      <c r="B32777" s="36"/>
      <c r="C32777" s="36"/>
      <c r="E32777" s="1"/>
      <c r="F32777" s="1"/>
      <c r="G32777" s="1"/>
    </row>
    <row r="32778">
      <c r="B32778" s="36"/>
      <c r="C32778" s="36"/>
      <c r="E32778" s="1"/>
      <c r="F32778" s="1"/>
      <c r="G32778" s="1"/>
    </row>
    <row r="32779">
      <c r="B32779" s="36"/>
      <c r="C32779" s="36"/>
      <c r="E32779" s="1"/>
      <c r="F32779" s="1"/>
      <c r="G32779" s="1"/>
    </row>
    <row r="32780">
      <c r="B32780" s="36"/>
      <c r="C32780" s="36"/>
      <c r="E32780" s="1"/>
      <c r="F32780" s="1"/>
      <c r="G32780" s="1"/>
    </row>
    <row r="32781">
      <c r="B32781" s="36"/>
      <c r="C32781" s="36"/>
      <c r="E32781" s="1"/>
      <c r="F32781" s="1"/>
      <c r="G32781" s="1"/>
    </row>
    <row r="32782">
      <c r="B32782" s="36"/>
      <c r="C32782" s="36"/>
      <c r="E32782" s="1"/>
      <c r="F32782" s="1"/>
      <c r="G32782" s="1"/>
    </row>
    <row r="32783">
      <c r="B32783" s="36"/>
      <c r="C32783" s="36"/>
      <c r="E32783" s="1"/>
      <c r="F32783" s="1"/>
      <c r="G32783" s="1"/>
    </row>
    <row r="32784">
      <c r="B32784" s="36"/>
      <c r="C32784" s="36"/>
      <c r="E32784" s="1"/>
      <c r="F32784" s="1"/>
      <c r="G32784" s="1"/>
    </row>
    <row r="32785">
      <c r="B32785" s="36"/>
      <c r="C32785" s="36"/>
      <c r="E32785" s="1"/>
      <c r="F32785" s="1"/>
      <c r="G32785" s="1"/>
    </row>
    <row r="32786">
      <c r="B32786" s="36"/>
      <c r="C32786" s="36"/>
      <c r="E32786" s="1"/>
      <c r="F32786" s="1"/>
      <c r="G32786" s="1"/>
    </row>
    <row r="32787">
      <c r="B32787" s="36"/>
      <c r="C32787" s="36"/>
      <c r="E32787" s="1"/>
      <c r="F32787" s="1"/>
      <c r="G32787" s="1"/>
    </row>
    <row r="32788">
      <c r="B32788" s="36"/>
      <c r="C32788" s="36"/>
      <c r="E32788" s="1"/>
      <c r="F32788" s="1"/>
      <c r="G32788" s="1"/>
    </row>
    <row r="32789">
      <c r="B32789" s="36"/>
      <c r="C32789" s="36"/>
      <c r="E32789" s="1"/>
      <c r="F32789" s="1"/>
      <c r="G32789" s="1"/>
    </row>
    <row r="32790">
      <c r="B32790" s="36"/>
      <c r="C32790" s="36"/>
      <c r="E32790" s="1"/>
      <c r="F32790" s="1"/>
      <c r="G32790" s="1"/>
    </row>
    <row r="32791">
      <c r="B32791" s="36"/>
      <c r="C32791" s="36"/>
      <c r="E32791" s="1"/>
      <c r="F32791" s="1"/>
      <c r="G32791" s="1"/>
    </row>
    <row r="32792">
      <c r="B32792" s="36"/>
      <c r="C32792" s="36"/>
      <c r="E32792" s="1"/>
      <c r="F32792" s="1"/>
      <c r="G32792" s="1"/>
    </row>
    <row r="32793">
      <c r="B32793" s="36"/>
      <c r="C32793" s="36"/>
      <c r="E32793" s="1"/>
      <c r="F32793" s="1"/>
      <c r="G32793" s="1"/>
    </row>
    <row r="32794">
      <c r="B32794" s="36"/>
      <c r="C32794" s="36"/>
      <c r="E32794" s="1"/>
      <c r="F32794" s="1"/>
      <c r="G32794" s="1"/>
    </row>
    <row r="32795">
      <c r="B32795" s="36"/>
      <c r="C32795" s="36"/>
      <c r="E32795" s="1"/>
      <c r="F32795" s="1"/>
      <c r="G32795" s="1"/>
    </row>
    <row r="32796">
      <c r="B32796" s="36"/>
      <c r="C32796" s="36"/>
      <c r="E32796" s="1"/>
      <c r="F32796" s="1"/>
      <c r="G32796" s="1"/>
    </row>
    <row r="32797">
      <c r="B32797" s="36"/>
      <c r="C32797" s="36"/>
      <c r="E32797" s="1"/>
      <c r="F32797" s="1"/>
      <c r="G32797" s="1"/>
    </row>
    <row r="32798">
      <c r="B32798" s="36"/>
      <c r="C32798" s="36"/>
      <c r="E32798" s="1"/>
      <c r="F32798" s="1"/>
      <c r="G32798" s="1"/>
    </row>
    <row r="32799">
      <c r="B32799" s="36"/>
      <c r="C32799" s="36"/>
      <c r="E32799" s="1"/>
      <c r="F32799" s="1"/>
      <c r="G32799" s="1"/>
    </row>
    <row r="32800">
      <c r="B32800" s="36"/>
      <c r="C32800" s="36"/>
      <c r="E32800" s="1"/>
      <c r="F32800" s="1"/>
      <c r="G32800" s="1"/>
    </row>
    <row r="32801">
      <c r="B32801" s="36"/>
      <c r="C32801" s="36"/>
      <c r="E32801" s="1"/>
      <c r="F32801" s="1"/>
      <c r="G32801" s="1"/>
    </row>
    <row r="32802">
      <c r="B32802" s="36"/>
      <c r="C32802" s="36"/>
      <c r="E32802" s="1"/>
      <c r="F32802" s="1"/>
      <c r="G32802" s="1"/>
    </row>
    <row r="32803">
      <c r="B32803" s="36"/>
      <c r="C32803" s="36"/>
      <c r="E32803" s="1"/>
      <c r="F32803" s="1"/>
      <c r="G32803" s="1"/>
    </row>
    <row r="32804">
      <c r="B32804" s="36"/>
      <c r="C32804" s="36"/>
      <c r="E32804" s="1"/>
      <c r="F32804" s="1"/>
      <c r="G32804" s="1"/>
    </row>
    <row r="32805">
      <c r="B32805" s="36"/>
      <c r="C32805" s="36"/>
      <c r="E32805" s="1"/>
      <c r="F32805" s="1"/>
      <c r="G32805" s="1"/>
    </row>
    <row r="32806">
      <c r="B32806" s="36"/>
      <c r="C32806" s="36"/>
      <c r="E32806" s="1"/>
      <c r="F32806" s="1"/>
      <c r="G32806" s="1"/>
    </row>
    <row r="32807">
      <c r="B32807" s="36"/>
      <c r="C32807" s="36"/>
      <c r="E32807" s="1"/>
      <c r="F32807" s="1"/>
      <c r="G32807" s="1"/>
    </row>
    <row r="32808">
      <c r="B32808" s="36"/>
      <c r="C32808" s="36"/>
      <c r="E32808" s="1"/>
      <c r="F32808" s="1"/>
      <c r="G32808" s="1"/>
    </row>
    <row r="32809">
      <c r="B32809" s="36"/>
      <c r="C32809" s="36"/>
      <c r="E32809" s="1"/>
      <c r="F32809" s="1"/>
      <c r="G32809" s="1"/>
    </row>
    <row r="32810">
      <c r="B32810" s="36"/>
      <c r="C32810" s="36"/>
      <c r="E32810" s="1"/>
      <c r="F32810" s="1"/>
      <c r="G32810" s="1"/>
    </row>
    <row r="32811">
      <c r="B32811" s="36"/>
      <c r="C32811" s="36"/>
      <c r="E32811" s="1"/>
      <c r="F32811" s="1"/>
      <c r="G32811" s="1"/>
    </row>
    <row r="32812">
      <c r="B32812" s="36"/>
      <c r="C32812" s="36"/>
      <c r="E32812" s="1"/>
      <c r="F32812" s="1"/>
      <c r="G32812" s="1"/>
    </row>
    <row r="32813">
      <c r="B32813" s="36"/>
      <c r="C32813" s="36"/>
      <c r="E32813" s="1"/>
      <c r="F32813" s="1"/>
      <c r="G32813" s="1"/>
    </row>
    <row r="32814">
      <c r="B32814" s="36"/>
      <c r="C32814" s="36"/>
      <c r="E32814" s="1"/>
      <c r="F32814" s="1"/>
      <c r="G32814" s="1"/>
    </row>
    <row r="32815">
      <c r="B32815" s="36"/>
      <c r="C32815" s="36"/>
      <c r="E32815" s="1"/>
      <c r="F32815" s="1"/>
      <c r="G32815" s="1"/>
    </row>
    <row r="32816">
      <c r="B32816" s="36"/>
      <c r="C32816" s="36"/>
      <c r="E32816" s="1"/>
      <c r="F32816" s="1"/>
      <c r="G32816" s="1"/>
    </row>
    <row r="32817">
      <c r="B32817" s="36"/>
      <c r="C32817" s="36"/>
      <c r="E32817" s="1"/>
      <c r="F32817" s="1"/>
      <c r="G32817" s="1"/>
    </row>
    <row r="32818">
      <c r="B32818" s="36"/>
      <c r="C32818" s="36"/>
      <c r="E32818" s="1"/>
      <c r="F32818" s="1"/>
      <c r="G32818" s="1"/>
    </row>
    <row r="32819">
      <c r="B32819" s="36"/>
      <c r="C32819" s="36"/>
      <c r="E32819" s="1"/>
      <c r="F32819" s="1"/>
      <c r="G32819" s="1"/>
    </row>
    <row r="32820">
      <c r="B32820" s="36"/>
      <c r="C32820" s="36"/>
      <c r="E32820" s="1"/>
      <c r="F32820" s="1"/>
      <c r="G32820" s="1"/>
    </row>
    <row r="32821">
      <c r="B32821" s="36"/>
      <c r="C32821" s="36"/>
      <c r="E32821" s="1"/>
      <c r="F32821" s="1"/>
      <c r="G32821" s="1"/>
    </row>
    <row r="32822">
      <c r="B32822" s="36"/>
      <c r="C32822" s="36"/>
      <c r="E32822" s="1"/>
      <c r="F32822" s="1"/>
      <c r="G32822" s="1"/>
    </row>
    <row r="32823">
      <c r="B32823" s="36"/>
      <c r="C32823" s="36"/>
      <c r="E32823" s="1"/>
      <c r="F32823" s="1"/>
      <c r="G32823" s="1"/>
    </row>
    <row r="32824">
      <c r="B32824" s="36"/>
      <c r="C32824" s="36"/>
      <c r="E32824" s="1"/>
      <c r="F32824" s="1"/>
      <c r="G32824" s="1"/>
    </row>
    <row r="32825">
      <c r="B32825" s="36"/>
      <c r="C32825" s="36"/>
      <c r="E32825" s="1"/>
      <c r="F32825" s="1"/>
      <c r="G32825" s="1"/>
    </row>
    <row r="32826">
      <c r="B32826" s="36"/>
      <c r="C32826" s="36"/>
      <c r="E32826" s="1"/>
      <c r="F32826" s="1"/>
      <c r="G32826" s="1"/>
    </row>
    <row r="32827">
      <c r="B32827" s="36"/>
      <c r="C32827" s="36"/>
      <c r="E32827" s="1"/>
      <c r="F32827" s="1"/>
      <c r="G32827" s="1"/>
    </row>
    <row r="32828">
      <c r="B32828" s="36"/>
      <c r="C32828" s="36"/>
      <c r="E32828" s="1"/>
      <c r="F32828" s="1"/>
      <c r="G32828" s="1"/>
    </row>
    <row r="32829">
      <c r="B32829" s="36"/>
      <c r="C32829" s="36"/>
      <c r="E32829" s="1"/>
      <c r="F32829" s="1"/>
      <c r="G32829" s="1"/>
    </row>
    <row r="32830">
      <c r="B32830" s="36"/>
      <c r="C32830" s="36"/>
      <c r="E32830" s="1"/>
      <c r="F32830" s="1"/>
      <c r="G32830" s="1"/>
    </row>
    <row r="32831">
      <c r="B32831" s="36"/>
      <c r="C32831" s="36"/>
      <c r="E32831" s="1"/>
      <c r="F32831" s="1"/>
      <c r="G32831" s="1"/>
    </row>
    <row r="32832">
      <c r="B32832" s="36"/>
      <c r="C32832" s="36"/>
      <c r="E32832" s="1"/>
      <c r="F32832" s="1"/>
      <c r="G32832" s="1"/>
    </row>
    <row r="32833">
      <c r="B32833" s="36"/>
      <c r="C32833" s="36"/>
      <c r="E32833" s="1"/>
      <c r="F32833" s="1"/>
      <c r="G32833" s="1"/>
    </row>
    <row r="32834">
      <c r="B32834" s="36"/>
      <c r="C32834" s="36"/>
      <c r="E32834" s="1"/>
      <c r="F32834" s="1"/>
      <c r="G32834" s="1"/>
    </row>
    <row r="32835">
      <c r="B32835" s="36"/>
      <c r="C32835" s="36"/>
      <c r="E32835" s="1"/>
      <c r="F32835" s="1"/>
      <c r="G32835" s="1"/>
    </row>
    <row r="32836">
      <c r="B32836" s="36"/>
      <c r="C32836" s="36"/>
      <c r="E32836" s="1"/>
      <c r="F32836" s="1"/>
      <c r="G32836" s="1"/>
    </row>
    <row r="32837">
      <c r="B32837" s="36"/>
      <c r="C32837" s="36"/>
      <c r="E32837" s="1"/>
      <c r="F32837" s="1"/>
      <c r="G32837" s="1"/>
    </row>
    <row r="32838">
      <c r="B32838" s="36"/>
      <c r="C32838" s="36"/>
      <c r="E32838" s="1"/>
      <c r="F32838" s="1"/>
      <c r="G32838" s="1"/>
    </row>
    <row r="32839">
      <c r="B32839" s="36"/>
      <c r="C32839" s="36"/>
      <c r="E32839" s="1"/>
      <c r="F32839" s="1"/>
      <c r="G32839" s="1"/>
    </row>
    <row r="32840">
      <c r="B32840" s="36"/>
      <c r="C32840" s="36"/>
      <c r="E32840" s="1"/>
      <c r="F32840" s="1"/>
      <c r="G32840" s="1"/>
    </row>
    <row r="32841">
      <c r="B32841" s="36"/>
      <c r="C32841" s="36"/>
      <c r="E32841" s="1"/>
      <c r="F32841" s="1"/>
      <c r="G32841" s="1"/>
    </row>
    <row r="32842">
      <c r="B32842" s="36"/>
      <c r="C32842" s="36"/>
      <c r="E32842" s="1"/>
      <c r="F32842" s="1"/>
      <c r="G32842" s="1"/>
    </row>
    <row r="32843">
      <c r="B32843" s="36"/>
      <c r="C32843" s="36"/>
      <c r="E32843" s="1"/>
      <c r="F32843" s="1"/>
      <c r="G32843" s="1"/>
    </row>
    <row r="32844">
      <c r="B32844" s="36"/>
      <c r="C32844" s="36"/>
      <c r="E32844" s="1"/>
      <c r="F32844" s="1"/>
      <c r="G32844" s="1"/>
    </row>
    <row r="32845">
      <c r="B32845" s="36"/>
      <c r="C32845" s="36"/>
      <c r="E32845" s="1"/>
      <c r="F32845" s="1"/>
      <c r="G32845" s="1"/>
    </row>
    <row r="32846">
      <c r="B32846" s="36"/>
      <c r="C32846" s="36"/>
      <c r="E32846" s="1"/>
      <c r="F32846" s="1"/>
      <c r="G32846" s="1"/>
    </row>
    <row r="32847">
      <c r="B32847" s="36"/>
      <c r="C32847" s="36"/>
      <c r="E32847" s="1"/>
      <c r="F32847" s="1"/>
      <c r="G32847" s="1"/>
    </row>
    <row r="32848">
      <c r="B32848" s="36"/>
      <c r="C32848" s="36"/>
      <c r="E32848" s="1"/>
      <c r="F32848" s="1"/>
      <c r="G32848" s="1"/>
    </row>
    <row r="32849">
      <c r="B32849" s="36"/>
      <c r="C32849" s="36"/>
      <c r="E32849" s="1"/>
      <c r="F32849" s="1"/>
      <c r="G32849" s="1"/>
    </row>
    <row r="32850">
      <c r="B32850" s="36"/>
      <c r="C32850" s="36"/>
      <c r="E32850" s="1"/>
      <c r="F32850" s="1"/>
      <c r="G32850" s="1"/>
    </row>
    <row r="32851">
      <c r="B32851" s="36"/>
      <c r="C32851" s="36"/>
      <c r="E32851" s="1"/>
      <c r="F32851" s="1"/>
      <c r="G32851" s="1"/>
    </row>
    <row r="32852">
      <c r="B32852" s="36"/>
      <c r="C32852" s="36"/>
      <c r="E32852" s="1"/>
      <c r="F32852" s="1"/>
      <c r="G32852" s="1"/>
    </row>
    <row r="32853">
      <c r="B32853" s="36"/>
      <c r="C32853" s="36"/>
      <c r="E32853" s="1"/>
      <c r="F32853" s="1"/>
      <c r="G32853" s="1"/>
    </row>
    <row r="32854">
      <c r="B32854" s="36"/>
      <c r="C32854" s="36"/>
      <c r="E32854" s="1"/>
      <c r="F32854" s="1"/>
      <c r="G32854" s="1"/>
    </row>
    <row r="32855">
      <c r="B32855" s="36"/>
      <c r="C32855" s="36"/>
      <c r="E32855" s="1"/>
      <c r="F32855" s="1"/>
      <c r="G32855" s="1"/>
    </row>
    <row r="32856">
      <c r="B32856" s="36"/>
      <c r="C32856" s="36"/>
      <c r="E32856" s="1"/>
      <c r="F32856" s="1"/>
      <c r="G32856" s="1"/>
    </row>
    <row r="32857">
      <c r="B32857" s="36"/>
      <c r="C32857" s="36"/>
      <c r="E32857" s="1"/>
      <c r="F32857" s="1"/>
      <c r="G32857" s="1"/>
    </row>
    <row r="32858">
      <c r="B32858" s="36"/>
      <c r="C32858" s="36"/>
      <c r="E32858" s="1"/>
      <c r="F32858" s="1"/>
      <c r="G32858" s="1"/>
    </row>
    <row r="32859">
      <c r="B32859" s="36"/>
      <c r="C32859" s="36"/>
      <c r="E32859" s="1"/>
      <c r="F32859" s="1"/>
      <c r="G32859" s="1"/>
    </row>
    <row r="32860">
      <c r="B32860" s="36"/>
      <c r="C32860" s="36"/>
      <c r="E32860" s="1"/>
      <c r="F32860" s="1"/>
      <c r="G32860" s="1"/>
    </row>
    <row r="32861">
      <c r="B32861" s="36"/>
      <c r="C32861" s="36"/>
      <c r="E32861" s="1"/>
      <c r="F32861" s="1"/>
      <c r="G32861" s="1"/>
    </row>
    <row r="32862">
      <c r="B32862" s="36"/>
      <c r="C32862" s="36"/>
      <c r="E32862" s="1"/>
      <c r="F32862" s="1"/>
      <c r="G32862" s="1"/>
    </row>
    <row r="32863">
      <c r="B32863" s="36"/>
      <c r="C32863" s="36"/>
      <c r="E32863" s="1"/>
      <c r="F32863" s="1"/>
      <c r="G32863" s="1"/>
    </row>
    <row r="32864">
      <c r="B32864" s="36"/>
      <c r="C32864" s="36"/>
      <c r="E32864" s="1"/>
      <c r="F32864" s="1"/>
      <c r="G32864" s="1"/>
    </row>
    <row r="32865">
      <c r="B32865" s="36"/>
      <c r="C32865" s="36"/>
      <c r="E32865" s="1"/>
      <c r="F32865" s="1"/>
      <c r="G32865" s="1"/>
    </row>
    <row r="32866">
      <c r="B32866" s="36"/>
      <c r="C32866" s="36"/>
      <c r="E32866" s="1"/>
      <c r="F32866" s="1"/>
      <c r="G32866" s="1"/>
    </row>
    <row r="32867">
      <c r="B32867" s="36"/>
      <c r="C32867" s="36"/>
      <c r="E32867" s="1"/>
      <c r="F32867" s="1"/>
      <c r="G32867" s="1"/>
    </row>
    <row r="32868">
      <c r="B32868" s="36"/>
      <c r="C32868" s="36"/>
      <c r="E32868" s="1"/>
      <c r="F32868" s="1"/>
      <c r="G32868" s="1"/>
    </row>
    <row r="32869">
      <c r="B32869" s="36"/>
      <c r="C32869" s="36"/>
      <c r="E32869" s="1"/>
      <c r="F32869" s="1"/>
      <c r="G32869" s="1"/>
    </row>
    <row r="32870">
      <c r="B32870" s="36"/>
      <c r="C32870" s="36"/>
      <c r="E32870" s="1"/>
      <c r="F32870" s="1"/>
      <c r="G32870" s="1"/>
    </row>
    <row r="32871">
      <c r="B32871" s="36"/>
      <c r="C32871" s="36"/>
      <c r="E32871" s="1"/>
      <c r="F32871" s="1"/>
      <c r="G32871" s="1"/>
    </row>
    <row r="32872">
      <c r="B32872" s="36"/>
      <c r="C32872" s="36"/>
      <c r="E32872" s="1"/>
      <c r="F32872" s="1"/>
      <c r="G32872" s="1"/>
    </row>
    <row r="32873">
      <c r="B32873" s="36"/>
      <c r="C32873" s="36"/>
      <c r="E32873" s="1"/>
      <c r="F32873" s="1"/>
      <c r="G32873" s="1"/>
    </row>
    <row r="32874">
      <c r="B32874" s="36"/>
      <c r="C32874" s="36"/>
      <c r="E32874" s="1"/>
      <c r="F32874" s="1"/>
      <c r="G32874" s="1"/>
    </row>
    <row r="32875">
      <c r="B32875" s="36"/>
      <c r="C32875" s="36"/>
      <c r="E32875" s="1"/>
      <c r="F32875" s="1"/>
      <c r="G32875" s="1"/>
    </row>
    <row r="32876">
      <c r="B32876" s="36"/>
      <c r="C32876" s="36"/>
      <c r="E32876" s="1"/>
      <c r="F32876" s="1"/>
      <c r="G32876" s="1"/>
    </row>
    <row r="32877">
      <c r="B32877" s="36"/>
      <c r="C32877" s="36"/>
      <c r="E32877" s="1"/>
      <c r="F32877" s="1"/>
      <c r="G32877" s="1"/>
    </row>
    <row r="32878">
      <c r="B32878" s="36"/>
      <c r="C32878" s="36"/>
      <c r="E32878" s="1"/>
      <c r="F32878" s="1"/>
      <c r="G32878" s="1"/>
    </row>
    <row r="32879">
      <c r="B32879" s="36"/>
      <c r="C32879" s="36"/>
      <c r="E32879" s="1"/>
      <c r="F32879" s="1"/>
      <c r="G32879" s="1"/>
    </row>
    <row r="32880">
      <c r="B32880" s="36"/>
      <c r="C32880" s="36"/>
      <c r="E32880" s="1"/>
      <c r="F32880" s="1"/>
      <c r="G32880" s="1"/>
    </row>
    <row r="32881">
      <c r="B32881" s="36"/>
      <c r="C32881" s="36"/>
      <c r="E32881" s="1"/>
      <c r="F32881" s="1"/>
      <c r="G32881" s="1"/>
    </row>
    <row r="32882">
      <c r="B32882" s="36"/>
      <c r="C32882" s="36"/>
      <c r="E32882" s="1"/>
      <c r="F32882" s="1"/>
      <c r="G32882" s="1"/>
    </row>
    <row r="32883">
      <c r="B32883" s="36"/>
      <c r="C32883" s="36"/>
      <c r="E32883" s="1"/>
      <c r="F32883" s="1"/>
      <c r="G32883" s="1"/>
    </row>
    <row r="32884">
      <c r="B32884" s="36"/>
      <c r="C32884" s="36"/>
      <c r="E32884" s="1"/>
      <c r="F32884" s="1"/>
      <c r="G32884" s="1"/>
    </row>
    <row r="32885">
      <c r="B32885" s="36"/>
      <c r="C32885" s="36"/>
      <c r="E32885" s="1"/>
      <c r="F32885" s="1"/>
      <c r="G32885" s="1"/>
    </row>
    <row r="32886">
      <c r="B32886" s="36"/>
      <c r="C32886" s="36"/>
      <c r="E32886" s="1"/>
      <c r="F32886" s="1"/>
      <c r="G32886" s="1"/>
    </row>
    <row r="32887">
      <c r="B32887" s="36"/>
      <c r="C32887" s="36"/>
      <c r="E32887" s="1"/>
      <c r="F32887" s="1"/>
      <c r="G32887" s="1"/>
    </row>
    <row r="32888">
      <c r="B32888" s="36"/>
      <c r="C32888" s="36"/>
      <c r="E32888" s="1"/>
      <c r="F32888" s="1"/>
      <c r="G32888" s="1"/>
    </row>
    <row r="32889">
      <c r="B32889" s="36"/>
      <c r="C32889" s="36"/>
      <c r="E32889" s="1"/>
      <c r="F32889" s="1"/>
      <c r="G32889" s="1"/>
    </row>
    <row r="32890">
      <c r="B32890" s="36"/>
      <c r="C32890" s="36"/>
      <c r="E32890" s="1"/>
      <c r="F32890" s="1"/>
      <c r="G32890" s="1"/>
    </row>
    <row r="32891">
      <c r="B32891" s="36"/>
      <c r="C32891" s="36"/>
      <c r="E32891" s="1"/>
      <c r="F32891" s="1"/>
      <c r="G32891" s="1"/>
    </row>
    <row r="32892">
      <c r="B32892" s="36"/>
      <c r="C32892" s="36"/>
      <c r="E32892" s="1"/>
      <c r="F32892" s="1"/>
      <c r="G32892" s="1"/>
    </row>
    <row r="32893">
      <c r="B32893" s="36"/>
      <c r="C32893" s="36"/>
      <c r="E32893" s="1"/>
      <c r="F32893" s="1"/>
      <c r="G32893" s="1"/>
    </row>
    <row r="32894">
      <c r="B32894" s="36"/>
      <c r="C32894" s="36"/>
      <c r="E32894" s="1"/>
      <c r="F32894" s="1"/>
      <c r="G32894" s="1"/>
    </row>
    <row r="32895">
      <c r="B32895" s="36"/>
      <c r="C32895" s="36"/>
      <c r="E32895" s="1"/>
      <c r="F32895" s="1"/>
      <c r="G32895" s="1"/>
    </row>
    <row r="32896">
      <c r="B32896" s="36"/>
      <c r="C32896" s="36"/>
      <c r="E32896" s="1"/>
      <c r="F32896" s="1"/>
      <c r="G32896" s="1"/>
    </row>
    <row r="32897">
      <c r="B32897" s="36"/>
      <c r="C32897" s="36"/>
      <c r="E32897" s="1"/>
      <c r="F32897" s="1"/>
      <c r="G32897" s="1"/>
    </row>
    <row r="32898">
      <c r="B32898" s="36"/>
      <c r="C32898" s="36"/>
      <c r="E32898" s="1"/>
      <c r="F32898" s="1"/>
      <c r="G32898" s="1"/>
    </row>
    <row r="32899">
      <c r="B32899" s="36"/>
      <c r="C32899" s="36"/>
      <c r="E32899" s="1"/>
      <c r="F32899" s="1"/>
      <c r="G32899" s="1"/>
    </row>
    <row r="32900">
      <c r="B32900" s="36"/>
      <c r="C32900" s="36"/>
      <c r="E32900" s="1"/>
      <c r="F32900" s="1"/>
      <c r="G32900" s="1"/>
    </row>
    <row r="32901">
      <c r="B32901" s="36"/>
      <c r="C32901" s="36"/>
      <c r="E32901" s="1"/>
      <c r="F32901" s="1"/>
      <c r="G32901" s="1"/>
    </row>
    <row r="32902">
      <c r="B32902" s="36"/>
      <c r="C32902" s="36"/>
      <c r="E32902" s="1"/>
      <c r="F32902" s="1"/>
      <c r="G32902" s="1"/>
    </row>
    <row r="32903">
      <c r="B32903" s="36"/>
      <c r="C32903" s="36"/>
      <c r="E32903" s="1"/>
      <c r="F32903" s="1"/>
      <c r="G32903" s="1"/>
    </row>
    <row r="32904">
      <c r="B32904" s="36"/>
      <c r="C32904" s="36"/>
      <c r="E32904" s="1"/>
      <c r="F32904" s="1"/>
      <c r="G32904" s="1"/>
    </row>
    <row r="32905">
      <c r="B32905" s="36"/>
      <c r="C32905" s="36"/>
      <c r="E32905" s="1"/>
      <c r="F32905" s="1"/>
      <c r="G32905" s="1"/>
    </row>
    <row r="32906">
      <c r="B32906" s="36"/>
      <c r="C32906" s="36"/>
      <c r="E32906" s="1"/>
      <c r="F32906" s="1"/>
      <c r="G32906" s="1"/>
    </row>
    <row r="32907">
      <c r="B32907" s="36"/>
      <c r="C32907" s="36"/>
      <c r="E32907" s="1"/>
      <c r="F32907" s="1"/>
      <c r="G32907" s="1"/>
    </row>
    <row r="32908">
      <c r="B32908" s="36"/>
      <c r="C32908" s="36"/>
      <c r="E32908" s="1"/>
      <c r="F32908" s="1"/>
      <c r="G32908" s="1"/>
    </row>
    <row r="32909">
      <c r="B32909" s="36"/>
      <c r="C32909" s="36"/>
      <c r="E32909" s="1"/>
      <c r="F32909" s="1"/>
      <c r="G32909" s="1"/>
    </row>
    <row r="32910">
      <c r="B32910" s="36"/>
      <c r="C32910" s="36"/>
      <c r="E32910" s="1"/>
      <c r="F32910" s="1"/>
      <c r="G32910" s="1"/>
    </row>
    <row r="32911">
      <c r="B32911" s="36"/>
      <c r="C32911" s="36"/>
      <c r="E32911" s="1"/>
      <c r="F32911" s="1"/>
      <c r="G32911" s="1"/>
    </row>
    <row r="32912">
      <c r="B32912" s="36"/>
      <c r="C32912" s="36"/>
      <c r="E32912" s="1"/>
      <c r="F32912" s="1"/>
      <c r="G32912" s="1"/>
    </row>
    <row r="32913">
      <c r="B32913" s="36"/>
      <c r="C32913" s="36"/>
      <c r="E32913" s="1"/>
      <c r="F32913" s="1"/>
      <c r="G32913" s="1"/>
    </row>
    <row r="32914">
      <c r="B32914" s="36"/>
      <c r="C32914" s="36"/>
      <c r="E32914" s="1"/>
      <c r="F32914" s="1"/>
      <c r="G32914" s="1"/>
    </row>
    <row r="32915">
      <c r="B32915" s="36"/>
      <c r="C32915" s="36"/>
      <c r="E32915" s="1"/>
      <c r="F32915" s="1"/>
      <c r="G32915" s="1"/>
    </row>
    <row r="32916">
      <c r="B32916" s="36"/>
      <c r="C32916" s="36"/>
      <c r="E32916" s="1"/>
      <c r="F32916" s="1"/>
      <c r="G32916" s="1"/>
    </row>
    <row r="32917">
      <c r="B32917" s="36"/>
      <c r="C32917" s="36"/>
      <c r="E32917" s="1"/>
      <c r="F32917" s="1"/>
      <c r="G32917" s="1"/>
    </row>
    <row r="32918">
      <c r="B32918" s="36"/>
      <c r="C32918" s="36"/>
      <c r="E32918" s="1"/>
      <c r="F32918" s="1"/>
      <c r="G32918" s="1"/>
    </row>
    <row r="32919">
      <c r="B32919" s="36"/>
      <c r="C32919" s="36"/>
      <c r="E32919" s="1"/>
      <c r="F32919" s="1"/>
      <c r="G32919" s="1"/>
    </row>
    <row r="32920">
      <c r="B32920" s="36"/>
      <c r="C32920" s="36"/>
      <c r="E32920" s="1"/>
      <c r="F32920" s="1"/>
      <c r="G32920" s="1"/>
    </row>
    <row r="32921">
      <c r="B32921" s="36"/>
      <c r="C32921" s="36"/>
      <c r="E32921" s="1"/>
      <c r="F32921" s="1"/>
      <c r="G32921" s="1"/>
    </row>
    <row r="32922">
      <c r="B32922" s="36"/>
      <c r="C32922" s="36"/>
      <c r="E32922" s="1"/>
      <c r="F32922" s="1"/>
      <c r="G32922" s="1"/>
    </row>
    <row r="32923">
      <c r="B32923" s="36"/>
      <c r="C32923" s="36"/>
      <c r="E32923" s="1"/>
      <c r="F32923" s="1"/>
      <c r="G32923" s="1"/>
    </row>
    <row r="32924">
      <c r="B32924" s="36"/>
      <c r="C32924" s="36"/>
      <c r="E32924" s="1"/>
      <c r="F32924" s="1"/>
      <c r="G32924" s="1"/>
    </row>
    <row r="32925">
      <c r="B32925" s="36"/>
      <c r="C32925" s="36"/>
      <c r="E32925" s="1"/>
      <c r="F32925" s="1"/>
      <c r="G32925" s="1"/>
    </row>
    <row r="32926">
      <c r="B32926" s="36"/>
      <c r="C32926" s="36"/>
      <c r="E32926" s="1"/>
      <c r="F32926" s="1"/>
      <c r="G32926" s="1"/>
    </row>
    <row r="32927">
      <c r="B32927" s="36"/>
      <c r="C32927" s="36"/>
      <c r="E32927" s="1"/>
      <c r="F32927" s="1"/>
      <c r="G32927" s="1"/>
    </row>
    <row r="32928">
      <c r="B32928" s="36"/>
      <c r="C32928" s="36"/>
      <c r="E32928" s="1"/>
      <c r="F32928" s="1"/>
      <c r="G32928" s="1"/>
    </row>
    <row r="32929">
      <c r="B32929" s="36"/>
      <c r="C32929" s="36"/>
      <c r="E32929" s="1"/>
      <c r="F32929" s="1"/>
      <c r="G32929" s="1"/>
    </row>
    <row r="32930">
      <c r="B32930" s="36"/>
      <c r="C32930" s="36"/>
      <c r="E32930" s="1"/>
      <c r="F32930" s="1"/>
      <c r="G32930" s="1"/>
    </row>
    <row r="32931">
      <c r="B32931" s="36"/>
      <c r="C32931" s="36"/>
      <c r="E32931" s="1"/>
      <c r="F32931" s="1"/>
      <c r="G32931" s="1"/>
    </row>
    <row r="32932">
      <c r="B32932" s="36"/>
      <c r="C32932" s="36"/>
      <c r="E32932" s="1"/>
      <c r="F32932" s="1"/>
      <c r="G32932" s="1"/>
    </row>
    <row r="32933">
      <c r="B32933" s="36"/>
      <c r="C32933" s="36"/>
      <c r="E32933" s="1"/>
      <c r="F32933" s="1"/>
      <c r="G32933" s="1"/>
    </row>
    <row r="32934">
      <c r="B32934" s="36"/>
      <c r="C32934" s="36"/>
      <c r="E32934" s="1"/>
      <c r="F32934" s="1"/>
      <c r="G32934" s="1"/>
    </row>
    <row r="32935">
      <c r="B32935" s="36"/>
      <c r="C32935" s="36"/>
      <c r="E32935" s="1"/>
      <c r="F32935" s="1"/>
      <c r="G32935" s="1"/>
    </row>
    <row r="32936">
      <c r="B32936" s="36"/>
      <c r="C32936" s="36"/>
      <c r="E32936" s="1"/>
      <c r="F32936" s="1"/>
      <c r="G32936" s="1"/>
    </row>
    <row r="32937">
      <c r="B32937" s="36"/>
      <c r="C32937" s="36"/>
      <c r="E32937" s="1"/>
      <c r="F32937" s="1"/>
      <c r="G32937" s="1"/>
    </row>
    <row r="32938">
      <c r="B32938" s="36"/>
      <c r="C32938" s="36"/>
      <c r="E32938" s="1"/>
      <c r="F32938" s="1"/>
      <c r="G32938" s="1"/>
    </row>
    <row r="32939">
      <c r="B32939" s="36"/>
      <c r="C32939" s="36"/>
      <c r="E32939" s="1"/>
      <c r="F32939" s="1"/>
      <c r="G32939" s="1"/>
    </row>
    <row r="32940">
      <c r="B32940" s="36"/>
      <c r="C32940" s="36"/>
      <c r="E32940" s="1"/>
      <c r="F32940" s="1"/>
      <c r="G32940" s="1"/>
    </row>
    <row r="32941">
      <c r="B32941" s="36"/>
      <c r="C32941" s="36"/>
      <c r="E32941" s="1"/>
      <c r="F32941" s="1"/>
      <c r="G32941" s="1"/>
    </row>
    <row r="32942">
      <c r="B32942" s="36"/>
      <c r="C32942" s="36"/>
      <c r="E32942" s="1"/>
      <c r="F32942" s="1"/>
      <c r="G32942" s="1"/>
    </row>
    <row r="32943">
      <c r="B32943" s="36"/>
      <c r="C32943" s="36"/>
      <c r="E32943" s="1"/>
      <c r="F32943" s="1"/>
      <c r="G32943" s="1"/>
    </row>
    <row r="32944">
      <c r="B32944" s="36"/>
      <c r="C32944" s="36"/>
      <c r="E32944" s="1"/>
      <c r="F32944" s="1"/>
      <c r="G32944" s="1"/>
    </row>
    <row r="32945">
      <c r="B32945" s="36"/>
      <c r="C32945" s="36"/>
      <c r="E32945" s="1"/>
      <c r="F32945" s="1"/>
      <c r="G32945" s="1"/>
    </row>
    <row r="32946">
      <c r="B32946" s="36"/>
      <c r="C32946" s="36"/>
      <c r="E32946" s="1"/>
      <c r="F32946" s="1"/>
      <c r="G32946" s="1"/>
    </row>
    <row r="32947">
      <c r="B32947" s="36"/>
      <c r="C32947" s="36"/>
      <c r="E32947" s="1"/>
      <c r="F32947" s="1"/>
      <c r="G32947" s="1"/>
    </row>
    <row r="32948">
      <c r="B32948" s="36"/>
      <c r="C32948" s="36"/>
      <c r="E32948" s="1"/>
      <c r="F32948" s="1"/>
      <c r="G32948" s="1"/>
    </row>
    <row r="32949">
      <c r="B32949" s="36"/>
      <c r="C32949" s="36"/>
      <c r="E32949" s="1"/>
      <c r="F32949" s="1"/>
      <c r="G32949" s="1"/>
    </row>
    <row r="32950">
      <c r="B32950" s="36"/>
      <c r="C32950" s="36"/>
      <c r="E32950" s="1"/>
      <c r="F32950" s="1"/>
      <c r="G32950" s="1"/>
    </row>
    <row r="32951">
      <c r="B32951" s="36"/>
      <c r="C32951" s="36"/>
      <c r="E32951" s="1"/>
      <c r="F32951" s="1"/>
      <c r="G32951" s="1"/>
    </row>
    <row r="32952">
      <c r="B32952" s="36"/>
      <c r="C32952" s="36"/>
      <c r="E32952" s="1"/>
      <c r="F32952" s="1"/>
      <c r="G32952" s="1"/>
    </row>
    <row r="32953">
      <c r="B32953" s="36"/>
      <c r="C32953" s="36"/>
      <c r="E32953" s="1"/>
      <c r="F32953" s="1"/>
      <c r="G32953" s="1"/>
    </row>
    <row r="32954">
      <c r="B32954" s="36"/>
      <c r="C32954" s="36"/>
      <c r="E32954" s="1"/>
      <c r="F32954" s="1"/>
      <c r="G32954" s="1"/>
    </row>
    <row r="32955">
      <c r="B32955" s="36"/>
      <c r="C32955" s="36"/>
      <c r="E32955" s="1"/>
      <c r="F32955" s="1"/>
      <c r="G32955" s="1"/>
    </row>
    <row r="32956">
      <c r="B32956" s="36"/>
      <c r="C32956" s="36"/>
      <c r="E32956" s="1"/>
      <c r="F32956" s="1"/>
      <c r="G32956" s="1"/>
    </row>
    <row r="32957">
      <c r="B32957" s="36"/>
      <c r="C32957" s="36"/>
      <c r="E32957" s="1"/>
      <c r="F32957" s="1"/>
      <c r="G32957" s="1"/>
    </row>
    <row r="32958">
      <c r="B32958" s="36"/>
      <c r="C32958" s="36"/>
      <c r="E32958" s="1"/>
      <c r="F32958" s="1"/>
      <c r="G32958" s="1"/>
    </row>
    <row r="32959">
      <c r="B32959" s="36"/>
      <c r="C32959" s="36"/>
      <c r="E32959" s="1"/>
      <c r="F32959" s="1"/>
      <c r="G32959" s="1"/>
    </row>
    <row r="32960">
      <c r="B32960" s="36"/>
      <c r="C32960" s="36"/>
      <c r="E32960" s="1"/>
      <c r="F32960" s="1"/>
      <c r="G32960" s="1"/>
    </row>
    <row r="32961">
      <c r="B32961" s="36"/>
      <c r="C32961" s="36"/>
      <c r="E32961" s="1"/>
      <c r="F32961" s="1"/>
      <c r="G32961" s="1"/>
    </row>
    <row r="32962">
      <c r="B32962" s="36"/>
      <c r="C32962" s="36"/>
      <c r="E32962" s="1"/>
      <c r="F32962" s="1"/>
      <c r="G32962" s="1"/>
    </row>
    <row r="32963">
      <c r="B32963" s="36"/>
      <c r="C32963" s="36"/>
      <c r="E32963" s="1"/>
      <c r="F32963" s="1"/>
      <c r="G32963" s="1"/>
    </row>
    <row r="32964">
      <c r="B32964" s="36"/>
      <c r="C32964" s="36"/>
      <c r="E32964" s="1"/>
      <c r="F32964" s="1"/>
      <c r="G32964" s="1"/>
    </row>
    <row r="32965">
      <c r="B32965" s="36"/>
      <c r="C32965" s="36"/>
      <c r="E32965" s="1"/>
      <c r="F32965" s="1"/>
      <c r="G32965" s="1"/>
    </row>
    <row r="32966">
      <c r="B32966" s="36"/>
      <c r="C32966" s="36"/>
      <c r="E32966" s="1"/>
      <c r="F32966" s="1"/>
      <c r="G32966" s="1"/>
    </row>
    <row r="32967">
      <c r="B32967" s="36"/>
      <c r="C32967" s="36"/>
      <c r="E32967" s="1"/>
      <c r="F32967" s="1"/>
      <c r="G32967" s="1"/>
    </row>
    <row r="32968">
      <c r="B32968" s="36"/>
      <c r="C32968" s="36"/>
      <c r="E32968" s="1"/>
      <c r="F32968" s="1"/>
      <c r="G32968" s="1"/>
    </row>
    <row r="32969">
      <c r="B32969" s="36"/>
      <c r="C32969" s="36"/>
      <c r="E32969" s="1"/>
      <c r="F32969" s="1"/>
      <c r="G32969" s="1"/>
    </row>
    <row r="32970">
      <c r="B32970" s="36"/>
      <c r="C32970" s="36"/>
      <c r="E32970" s="1"/>
      <c r="F32970" s="1"/>
      <c r="G32970" s="1"/>
    </row>
    <row r="32971">
      <c r="B32971" s="36"/>
      <c r="C32971" s="36"/>
      <c r="E32971" s="1"/>
      <c r="F32971" s="1"/>
      <c r="G32971" s="1"/>
    </row>
    <row r="32972">
      <c r="B32972" s="36"/>
      <c r="C32972" s="36"/>
      <c r="E32972" s="1"/>
      <c r="F32972" s="1"/>
      <c r="G32972" s="1"/>
    </row>
    <row r="32973">
      <c r="B32973" s="36"/>
      <c r="C32973" s="36"/>
      <c r="E32973" s="1"/>
      <c r="F32973" s="1"/>
      <c r="G32973" s="1"/>
    </row>
    <row r="32974">
      <c r="B32974" s="36"/>
      <c r="C32974" s="36"/>
      <c r="E32974" s="1"/>
      <c r="F32974" s="1"/>
      <c r="G32974" s="1"/>
    </row>
    <row r="32975">
      <c r="B32975" s="36"/>
      <c r="C32975" s="36"/>
      <c r="E32975" s="1"/>
      <c r="F32975" s="1"/>
      <c r="G32975" s="1"/>
    </row>
    <row r="32976">
      <c r="B32976" s="36"/>
      <c r="C32976" s="36"/>
      <c r="E32976" s="1"/>
      <c r="F32976" s="1"/>
      <c r="G32976" s="1"/>
    </row>
    <row r="32977">
      <c r="B32977" s="36"/>
      <c r="C32977" s="36"/>
      <c r="E32977" s="1"/>
      <c r="F32977" s="1"/>
      <c r="G32977" s="1"/>
    </row>
    <row r="32978">
      <c r="B32978" s="36"/>
      <c r="C32978" s="36"/>
      <c r="E32978" s="1"/>
      <c r="F32978" s="1"/>
      <c r="G32978" s="1"/>
    </row>
    <row r="32979">
      <c r="B32979" s="36"/>
      <c r="C32979" s="36"/>
      <c r="E32979" s="1"/>
      <c r="F32979" s="1"/>
      <c r="G32979" s="1"/>
    </row>
    <row r="32980">
      <c r="B32980" s="36"/>
      <c r="C32980" s="36"/>
      <c r="E32980" s="1"/>
      <c r="F32980" s="1"/>
      <c r="G32980" s="1"/>
    </row>
    <row r="32981">
      <c r="B32981" s="36"/>
      <c r="C32981" s="36"/>
      <c r="E32981" s="1"/>
      <c r="F32981" s="1"/>
      <c r="G32981" s="1"/>
    </row>
    <row r="32982">
      <c r="B32982" s="36"/>
      <c r="C32982" s="36"/>
      <c r="E32982" s="1"/>
      <c r="F32982" s="1"/>
      <c r="G32982" s="1"/>
    </row>
    <row r="32983">
      <c r="B32983" s="36"/>
      <c r="C32983" s="36"/>
      <c r="E32983" s="1"/>
      <c r="F32983" s="1"/>
      <c r="G32983" s="1"/>
    </row>
    <row r="32984">
      <c r="B32984" s="36"/>
      <c r="C32984" s="36"/>
      <c r="E32984" s="1"/>
      <c r="F32984" s="1"/>
      <c r="G32984" s="1"/>
    </row>
    <row r="32985">
      <c r="B32985" s="36"/>
      <c r="C32985" s="36"/>
      <c r="E32985" s="1"/>
      <c r="F32985" s="1"/>
      <c r="G32985" s="1"/>
    </row>
    <row r="32986">
      <c r="B32986" s="36"/>
      <c r="C32986" s="36"/>
      <c r="E32986" s="1"/>
      <c r="F32986" s="1"/>
      <c r="G32986" s="1"/>
    </row>
    <row r="32987">
      <c r="B32987" s="36"/>
      <c r="C32987" s="36"/>
      <c r="E32987" s="1"/>
      <c r="F32987" s="1"/>
      <c r="G32987" s="1"/>
    </row>
    <row r="32988">
      <c r="B32988" s="36"/>
      <c r="C32988" s="36"/>
      <c r="E32988" s="1"/>
      <c r="F32988" s="1"/>
      <c r="G32988" s="1"/>
    </row>
    <row r="32989">
      <c r="B32989" s="36"/>
      <c r="C32989" s="36"/>
      <c r="E32989" s="1"/>
      <c r="F32989" s="1"/>
      <c r="G32989" s="1"/>
    </row>
    <row r="32990">
      <c r="B32990" s="36"/>
      <c r="C32990" s="36"/>
      <c r="E32990" s="1"/>
      <c r="F32990" s="1"/>
      <c r="G32990" s="1"/>
    </row>
    <row r="32991">
      <c r="B32991" s="36"/>
      <c r="C32991" s="36"/>
      <c r="E32991" s="1"/>
      <c r="F32991" s="1"/>
      <c r="G32991" s="1"/>
    </row>
    <row r="32992">
      <c r="B32992" s="36"/>
      <c r="C32992" s="36"/>
      <c r="E32992" s="1"/>
      <c r="F32992" s="1"/>
      <c r="G32992" s="1"/>
    </row>
    <row r="32993">
      <c r="B32993" s="36"/>
      <c r="C32993" s="36"/>
      <c r="E32993" s="1"/>
      <c r="F32993" s="1"/>
      <c r="G32993" s="1"/>
    </row>
    <row r="32994">
      <c r="B32994" s="36"/>
      <c r="C32994" s="36"/>
      <c r="E32994" s="1"/>
      <c r="F32994" s="1"/>
      <c r="G32994" s="1"/>
    </row>
    <row r="32995">
      <c r="B32995" s="36"/>
      <c r="C32995" s="36"/>
      <c r="E32995" s="1"/>
      <c r="F32995" s="1"/>
      <c r="G32995" s="1"/>
    </row>
    <row r="32996">
      <c r="B32996" s="36"/>
      <c r="C32996" s="36"/>
      <c r="E32996" s="1"/>
      <c r="F32996" s="1"/>
      <c r="G32996" s="1"/>
    </row>
    <row r="32997">
      <c r="B32997" s="36"/>
      <c r="C32997" s="36"/>
      <c r="E32997" s="1"/>
      <c r="F32997" s="1"/>
      <c r="G32997" s="1"/>
    </row>
    <row r="32998">
      <c r="B32998" s="36"/>
      <c r="C32998" s="36"/>
      <c r="E32998" s="1"/>
      <c r="F32998" s="1"/>
      <c r="G32998" s="1"/>
    </row>
    <row r="32999">
      <c r="B32999" s="36"/>
      <c r="C32999" s="36"/>
      <c r="E32999" s="1"/>
      <c r="F32999" s="1"/>
      <c r="G32999" s="1"/>
    </row>
    <row r="33000">
      <c r="B33000" s="36"/>
      <c r="C33000" s="36"/>
      <c r="E33000" s="1"/>
      <c r="F33000" s="1"/>
      <c r="G33000" s="1"/>
    </row>
    <row r="33001">
      <c r="B33001" s="36"/>
      <c r="C33001" s="36"/>
      <c r="E33001" s="1"/>
      <c r="F33001" s="1"/>
      <c r="G33001" s="1"/>
    </row>
    <row r="33002">
      <c r="B33002" s="36"/>
      <c r="C33002" s="36"/>
      <c r="E33002" s="1"/>
      <c r="F33002" s="1"/>
      <c r="G33002" s="1"/>
    </row>
    <row r="33003">
      <c r="B33003" s="36"/>
      <c r="C33003" s="36"/>
      <c r="E33003" s="1"/>
      <c r="F33003" s="1"/>
      <c r="G33003" s="1"/>
    </row>
    <row r="33004">
      <c r="B33004" s="36"/>
      <c r="C33004" s="36"/>
      <c r="E33004" s="1"/>
      <c r="F33004" s="1"/>
      <c r="G33004" s="1"/>
    </row>
    <row r="33005">
      <c r="B33005" s="36"/>
      <c r="C33005" s="36"/>
      <c r="E33005" s="1"/>
      <c r="F33005" s="1"/>
      <c r="G33005" s="1"/>
    </row>
    <row r="33006">
      <c r="B33006" s="36"/>
      <c r="C33006" s="36"/>
      <c r="E33006" s="1"/>
      <c r="F33006" s="1"/>
      <c r="G33006" s="1"/>
    </row>
    <row r="33007">
      <c r="B33007" s="36"/>
      <c r="C33007" s="36"/>
      <c r="E33007" s="1"/>
      <c r="F33007" s="1"/>
      <c r="G33007" s="1"/>
    </row>
    <row r="33008">
      <c r="B33008" s="36"/>
      <c r="C33008" s="36"/>
      <c r="E33008" s="1"/>
      <c r="F33008" s="1"/>
      <c r="G33008" s="1"/>
    </row>
    <row r="33009">
      <c r="B33009" s="36"/>
      <c r="C33009" s="36"/>
      <c r="E33009" s="1"/>
      <c r="F33009" s="1"/>
      <c r="G33009" s="1"/>
    </row>
    <row r="33010">
      <c r="B33010" s="36"/>
      <c r="C33010" s="36"/>
      <c r="E33010" s="1"/>
      <c r="F33010" s="1"/>
      <c r="G33010" s="1"/>
    </row>
    <row r="33011">
      <c r="B33011" s="36"/>
      <c r="C33011" s="36"/>
      <c r="E33011" s="1"/>
      <c r="F33011" s="1"/>
      <c r="G33011" s="1"/>
    </row>
    <row r="33012">
      <c r="B33012" s="36"/>
      <c r="C33012" s="36"/>
      <c r="E33012" s="1"/>
      <c r="F33012" s="1"/>
      <c r="G33012" s="1"/>
    </row>
    <row r="33013">
      <c r="B33013" s="36"/>
      <c r="C33013" s="36"/>
      <c r="E33013" s="1"/>
      <c r="F33013" s="1"/>
      <c r="G33013" s="1"/>
    </row>
    <row r="33014">
      <c r="B33014" s="36"/>
      <c r="C33014" s="36"/>
      <c r="E33014" s="1"/>
      <c r="F33014" s="1"/>
      <c r="G33014" s="1"/>
    </row>
    <row r="33015">
      <c r="B33015" s="36"/>
      <c r="C33015" s="36"/>
      <c r="E33015" s="1"/>
      <c r="F33015" s="1"/>
      <c r="G33015" s="1"/>
    </row>
    <row r="33016">
      <c r="B33016" s="36"/>
      <c r="C33016" s="36"/>
      <c r="E33016" s="1"/>
      <c r="F33016" s="1"/>
      <c r="G33016" s="1"/>
    </row>
    <row r="33017">
      <c r="B33017" s="36"/>
      <c r="C33017" s="36"/>
      <c r="E33017" s="1"/>
      <c r="F33017" s="1"/>
      <c r="G33017" s="1"/>
    </row>
    <row r="33018">
      <c r="B33018" s="36"/>
      <c r="C33018" s="36"/>
      <c r="E33018" s="1"/>
      <c r="F33018" s="1"/>
      <c r="G33018" s="1"/>
    </row>
    <row r="33019">
      <c r="B33019" s="36"/>
      <c r="C33019" s="36"/>
      <c r="E33019" s="1"/>
      <c r="F33019" s="1"/>
      <c r="G33019" s="1"/>
    </row>
    <row r="33020">
      <c r="B33020" s="36"/>
      <c r="C33020" s="36"/>
      <c r="E33020" s="1"/>
      <c r="F33020" s="1"/>
      <c r="G33020" s="1"/>
    </row>
    <row r="33021">
      <c r="B33021" s="36"/>
      <c r="C33021" s="36"/>
      <c r="E33021" s="1"/>
      <c r="F33021" s="1"/>
      <c r="G33021" s="1"/>
    </row>
    <row r="33022">
      <c r="B33022" s="36"/>
      <c r="C33022" s="36"/>
      <c r="E33022" s="1"/>
      <c r="F33022" s="1"/>
      <c r="G33022" s="1"/>
    </row>
    <row r="33023">
      <c r="B33023" s="36"/>
      <c r="C33023" s="36"/>
      <c r="E33023" s="1"/>
      <c r="F33023" s="1"/>
      <c r="G33023" s="1"/>
    </row>
    <row r="33024">
      <c r="B33024" s="36"/>
      <c r="C33024" s="36"/>
      <c r="E33024" s="1"/>
      <c r="F33024" s="1"/>
      <c r="G33024" s="1"/>
    </row>
    <row r="33025">
      <c r="B33025" s="36"/>
      <c r="C33025" s="36"/>
      <c r="E33025" s="1"/>
      <c r="F33025" s="1"/>
      <c r="G33025" s="1"/>
    </row>
    <row r="33026">
      <c r="B33026" s="36"/>
      <c r="C33026" s="36"/>
      <c r="E33026" s="1"/>
      <c r="F33026" s="1"/>
      <c r="G33026" s="1"/>
    </row>
    <row r="33027">
      <c r="B33027" s="36"/>
      <c r="C33027" s="36"/>
      <c r="E33027" s="1"/>
      <c r="F33027" s="1"/>
      <c r="G33027" s="1"/>
    </row>
    <row r="33028">
      <c r="B33028" s="36"/>
      <c r="C33028" s="36"/>
      <c r="E33028" s="1"/>
      <c r="F33028" s="1"/>
      <c r="G33028" s="1"/>
    </row>
    <row r="33029">
      <c r="B33029" s="36"/>
      <c r="C33029" s="36"/>
      <c r="E33029" s="1"/>
      <c r="F33029" s="1"/>
      <c r="G33029" s="1"/>
    </row>
    <row r="33030">
      <c r="B33030" s="36"/>
      <c r="C33030" s="36"/>
      <c r="E33030" s="1"/>
      <c r="F33030" s="1"/>
      <c r="G33030" s="1"/>
    </row>
    <row r="33031">
      <c r="B33031" s="36"/>
      <c r="C33031" s="36"/>
      <c r="E33031" s="1"/>
      <c r="F33031" s="1"/>
      <c r="G33031" s="1"/>
    </row>
    <row r="33032">
      <c r="B33032" s="36"/>
      <c r="C33032" s="36"/>
      <c r="E33032" s="1"/>
      <c r="F33032" s="1"/>
      <c r="G33032" s="1"/>
    </row>
    <row r="33033">
      <c r="B33033" s="36"/>
      <c r="C33033" s="36"/>
      <c r="E33033" s="1"/>
      <c r="F33033" s="1"/>
      <c r="G33033" s="1"/>
    </row>
    <row r="33034">
      <c r="B33034" s="36"/>
      <c r="C33034" s="36"/>
      <c r="E33034" s="1"/>
      <c r="F33034" s="1"/>
      <c r="G33034" s="1"/>
    </row>
    <row r="33035">
      <c r="B33035" s="36"/>
      <c r="C33035" s="36"/>
      <c r="E33035" s="1"/>
      <c r="F33035" s="1"/>
      <c r="G33035" s="1"/>
    </row>
    <row r="33036">
      <c r="B33036" s="36"/>
      <c r="C33036" s="36"/>
      <c r="E33036" s="1"/>
      <c r="F33036" s="1"/>
      <c r="G33036" s="1"/>
    </row>
    <row r="33037">
      <c r="B33037" s="36"/>
      <c r="C33037" s="36"/>
      <c r="E33037" s="1"/>
      <c r="F33037" s="1"/>
      <c r="G33037" s="1"/>
    </row>
    <row r="33038">
      <c r="B33038" s="36"/>
      <c r="C33038" s="36"/>
      <c r="E33038" s="1"/>
      <c r="F33038" s="1"/>
      <c r="G33038" s="1"/>
    </row>
    <row r="33039">
      <c r="B33039" s="36"/>
      <c r="C33039" s="36"/>
      <c r="E33039" s="1"/>
      <c r="F33039" s="1"/>
      <c r="G33039" s="1"/>
    </row>
    <row r="33040">
      <c r="B33040" s="36"/>
      <c r="C33040" s="36"/>
      <c r="E33040" s="1"/>
      <c r="F33040" s="1"/>
      <c r="G33040" s="1"/>
    </row>
    <row r="33041">
      <c r="B33041" s="36"/>
      <c r="C33041" s="36"/>
      <c r="E33041" s="1"/>
      <c r="F33041" s="1"/>
      <c r="G33041" s="1"/>
    </row>
    <row r="33042">
      <c r="B33042" s="36"/>
      <c r="C33042" s="36"/>
      <c r="E33042" s="1"/>
      <c r="F33042" s="1"/>
      <c r="G33042" s="1"/>
    </row>
    <row r="33043">
      <c r="B33043" s="36"/>
      <c r="C33043" s="36"/>
      <c r="E33043" s="1"/>
      <c r="F33043" s="1"/>
      <c r="G33043" s="1"/>
    </row>
    <row r="33044">
      <c r="B33044" s="36"/>
      <c r="C33044" s="36"/>
      <c r="E33044" s="1"/>
      <c r="F33044" s="1"/>
      <c r="G33044" s="1"/>
    </row>
    <row r="33045">
      <c r="B33045" s="36"/>
      <c r="C33045" s="36"/>
      <c r="E33045" s="1"/>
      <c r="F33045" s="1"/>
      <c r="G33045" s="1"/>
    </row>
    <row r="33046">
      <c r="B33046" s="36"/>
      <c r="C33046" s="36"/>
      <c r="E33046" s="1"/>
      <c r="F33046" s="1"/>
      <c r="G33046" s="1"/>
    </row>
    <row r="33047">
      <c r="B33047" s="36"/>
      <c r="C33047" s="36"/>
      <c r="E33047" s="1"/>
      <c r="F33047" s="1"/>
      <c r="G33047" s="1"/>
    </row>
    <row r="33048">
      <c r="B33048" s="36"/>
      <c r="C33048" s="36"/>
      <c r="E33048" s="1"/>
      <c r="F33048" s="1"/>
      <c r="G33048" s="1"/>
    </row>
    <row r="33049">
      <c r="B33049" s="36"/>
      <c r="C33049" s="36"/>
      <c r="E33049" s="1"/>
      <c r="F33049" s="1"/>
      <c r="G33049" s="1"/>
    </row>
    <row r="33050">
      <c r="B33050" s="36"/>
      <c r="C33050" s="36"/>
      <c r="E33050" s="1"/>
      <c r="F33050" s="1"/>
      <c r="G33050" s="1"/>
    </row>
    <row r="33051">
      <c r="B33051" s="36"/>
      <c r="C33051" s="36"/>
      <c r="E33051" s="1"/>
      <c r="F33051" s="1"/>
      <c r="G33051" s="1"/>
    </row>
    <row r="33052">
      <c r="B33052" s="36"/>
      <c r="C33052" s="36"/>
      <c r="E33052" s="1"/>
      <c r="F33052" s="1"/>
      <c r="G33052" s="1"/>
    </row>
    <row r="33053">
      <c r="B33053" s="36"/>
      <c r="C33053" s="36"/>
      <c r="E33053" s="1"/>
      <c r="F33053" s="1"/>
      <c r="G33053" s="1"/>
    </row>
    <row r="33054">
      <c r="B33054" s="36"/>
      <c r="C33054" s="36"/>
      <c r="E33054" s="1"/>
      <c r="F33054" s="1"/>
      <c r="G33054" s="1"/>
    </row>
    <row r="33055">
      <c r="B33055" s="36"/>
      <c r="C33055" s="36"/>
      <c r="E33055" s="1"/>
      <c r="F33055" s="1"/>
      <c r="G33055" s="1"/>
    </row>
    <row r="33056">
      <c r="B33056" s="36"/>
      <c r="C33056" s="36"/>
      <c r="E33056" s="1"/>
      <c r="F33056" s="1"/>
      <c r="G33056" s="1"/>
    </row>
    <row r="33057">
      <c r="B33057" s="36"/>
      <c r="C33057" s="36"/>
      <c r="E33057" s="1"/>
      <c r="F33057" s="1"/>
      <c r="G33057" s="1"/>
    </row>
    <row r="33058">
      <c r="B33058" s="36"/>
      <c r="C33058" s="36"/>
      <c r="E33058" s="1"/>
      <c r="F33058" s="1"/>
      <c r="G33058" s="1"/>
    </row>
    <row r="33059">
      <c r="B33059" s="36"/>
      <c r="C33059" s="36"/>
      <c r="E33059" s="1"/>
      <c r="F33059" s="1"/>
      <c r="G33059" s="1"/>
    </row>
    <row r="33060">
      <c r="B33060" s="36"/>
      <c r="C33060" s="36"/>
      <c r="E33060" s="1"/>
      <c r="F33060" s="1"/>
      <c r="G33060" s="1"/>
    </row>
    <row r="33061">
      <c r="B33061" s="36"/>
      <c r="C33061" s="36"/>
      <c r="E33061" s="1"/>
      <c r="F33061" s="1"/>
      <c r="G33061" s="1"/>
    </row>
    <row r="33062">
      <c r="B33062" s="36"/>
      <c r="C33062" s="36"/>
      <c r="E33062" s="1"/>
      <c r="F33062" s="1"/>
      <c r="G33062" s="1"/>
    </row>
    <row r="33063">
      <c r="B33063" s="36"/>
      <c r="C33063" s="36"/>
      <c r="E33063" s="1"/>
      <c r="F33063" s="1"/>
      <c r="G33063" s="1"/>
    </row>
    <row r="33064">
      <c r="B33064" s="36"/>
      <c r="C33064" s="36"/>
      <c r="E33064" s="1"/>
      <c r="F33064" s="1"/>
      <c r="G33064" s="1"/>
    </row>
    <row r="33065">
      <c r="B33065" s="36"/>
      <c r="C33065" s="36"/>
      <c r="E33065" s="1"/>
      <c r="F33065" s="1"/>
      <c r="G33065" s="1"/>
    </row>
    <row r="33066">
      <c r="B33066" s="36"/>
      <c r="C33066" s="36"/>
      <c r="E33066" s="1"/>
      <c r="F33066" s="1"/>
      <c r="G33066" s="1"/>
    </row>
    <row r="33067">
      <c r="B33067" s="36"/>
      <c r="C33067" s="36"/>
      <c r="E33067" s="1"/>
      <c r="F33067" s="1"/>
      <c r="G33067" s="1"/>
    </row>
    <row r="33068">
      <c r="B33068" s="36"/>
      <c r="C33068" s="36"/>
      <c r="E33068" s="1"/>
      <c r="F33068" s="1"/>
      <c r="G33068" s="1"/>
    </row>
    <row r="33069">
      <c r="B33069" s="36"/>
      <c r="C33069" s="36"/>
      <c r="E33069" s="1"/>
      <c r="F33069" s="1"/>
      <c r="G33069" s="1"/>
    </row>
    <row r="33070">
      <c r="B33070" s="36"/>
      <c r="C33070" s="36"/>
      <c r="E33070" s="1"/>
      <c r="F33070" s="1"/>
      <c r="G33070" s="1"/>
    </row>
    <row r="33071">
      <c r="B33071" s="36"/>
      <c r="C33071" s="36"/>
      <c r="E33071" s="1"/>
      <c r="F33071" s="1"/>
      <c r="G33071" s="1"/>
    </row>
    <row r="33072">
      <c r="B33072" s="36"/>
      <c r="C33072" s="36"/>
      <c r="E33072" s="1"/>
      <c r="F33072" s="1"/>
      <c r="G33072" s="1"/>
    </row>
    <row r="33073">
      <c r="B33073" s="36"/>
      <c r="C33073" s="36"/>
      <c r="E33073" s="1"/>
      <c r="F33073" s="1"/>
      <c r="G33073" s="1"/>
    </row>
    <row r="33074">
      <c r="B33074" s="36"/>
      <c r="C33074" s="36"/>
      <c r="E33074" s="1"/>
      <c r="F33074" s="1"/>
      <c r="G33074" s="1"/>
    </row>
    <row r="33075">
      <c r="B33075" s="36"/>
      <c r="C33075" s="36"/>
      <c r="E33075" s="1"/>
      <c r="F33075" s="1"/>
      <c r="G33075" s="1"/>
    </row>
    <row r="33076">
      <c r="B33076" s="36"/>
      <c r="C33076" s="36"/>
      <c r="E33076" s="1"/>
      <c r="F33076" s="1"/>
      <c r="G33076" s="1"/>
    </row>
    <row r="33077">
      <c r="B33077" s="36"/>
      <c r="C33077" s="36"/>
      <c r="E33077" s="1"/>
      <c r="F33077" s="1"/>
      <c r="G33077" s="1"/>
    </row>
    <row r="33078">
      <c r="B33078" s="36"/>
      <c r="C33078" s="36"/>
      <c r="E33078" s="1"/>
      <c r="F33078" s="1"/>
      <c r="G33078" s="1"/>
    </row>
    <row r="33079">
      <c r="B33079" s="36"/>
      <c r="C33079" s="36"/>
      <c r="E33079" s="1"/>
      <c r="F33079" s="1"/>
      <c r="G33079" s="1"/>
    </row>
    <row r="33080">
      <c r="B33080" s="36"/>
      <c r="C33080" s="36"/>
      <c r="E33080" s="1"/>
      <c r="F33080" s="1"/>
      <c r="G33080" s="1"/>
    </row>
    <row r="33081">
      <c r="B33081" s="36"/>
      <c r="C33081" s="36"/>
      <c r="E33081" s="1"/>
      <c r="F33081" s="1"/>
      <c r="G33081" s="1"/>
    </row>
    <row r="33082">
      <c r="B33082" s="36"/>
      <c r="C33082" s="36"/>
      <c r="E33082" s="1"/>
      <c r="F33082" s="1"/>
      <c r="G33082" s="1"/>
    </row>
    <row r="33083">
      <c r="B33083" s="36"/>
      <c r="C33083" s="36"/>
      <c r="E33083" s="1"/>
      <c r="F33083" s="1"/>
      <c r="G33083" s="1"/>
    </row>
    <row r="33084">
      <c r="B33084" s="36"/>
      <c r="C33084" s="36"/>
      <c r="E33084" s="1"/>
      <c r="F33084" s="1"/>
      <c r="G33084" s="1"/>
    </row>
    <row r="33085">
      <c r="B33085" s="36"/>
      <c r="C33085" s="36"/>
      <c r="E33085" s="1"/>
      <c r="F33085" s="1"/>
      <c r="G33085" s="1"/>
    </row>
    <row r="33086">
      <c r="B33086" s="36"/>
      <c r="C33086" s="36"/>
      <c r="E33086" s="1"/>
      <c r="F33086" s="1"/>
      <c r="G33086" s="1"/>
    </row>
    <row r="33087">
      <c r="B33087" s="36"/>
      <c r="C33087" s="36"/>
      <c r="E33087" s="1"/>
      <c r="F33087" s="1"/>
      <c r="G33087" s="1"/>
    </row>
    <row r="33088">
      <c r="B33088" s="36"/>
      <c r="C33088" s="36"/>
      <c r="E33088" s="1"/>
      <c r="F33088" s="1"/>
      <c r="G33088" s="1"/>
    </row>
    <row r="33089">
      <c r="B33089" s="36"/>
      <c r="C33089" s="36"/>
      <c r="E33089" s="1"/>
      <c r="F33089" s="1"/>
      <c r="G33089" s="1"/>
    </row>
    <row r="33090">
      <c r="B33090" s="36"/>
      <c r="C33090" s="36"/>
      <c r="E33090" s="1"/>
      <c r="F33090" s="1"/>
      <c r="G33090" s="1"/>
    </row>
    <row r="33091">
      <c r="B33091" s="36"/>
      <c r="C33091" s="36"/>
      <c r="E33091" s="1"/>
      <c r="F33091" s="1"/>
      <c r="G33091" s="1"/>
    </row>
    <row r="33092">
      <c r="B33092" s="36"/>
      <c r="C33092" s="36"/>
      <c r="E33092" s="1"/>
      <c r="F33092" s="1"/>
      <c r="G33092" s="1"/>
    </row>
    <row r="33093">
      <c r="B33093" s="36"/>
      <c r="C33093" s="36"/>
      <c r="E33093" s="1"/>
      <c r="F33093" s="1"/>
      <c r="G33093" s="1"/>
    </row>
    <row r="33094">
      <c r="B33094" s="36"/>
      <c r="C33094" s="36"/>
      <c r="E33094" s="1"/>
      <c r="F33094" s="1"/>
      <c r="G33094" s="1"/>
    </row>
    <row r="33095">
      <c r="B33095" s="36"/>
      <c r="C33095" s="36"/>
      <c r="E33095" s="1"/>
      <c r="F33095" s="1"/>
      <c r="G33095" s="1"/>
    </row>
    <row r="33096">
      <c r="B33096" s="36"/>
      <c r="C33096" s="36"/>
      <c r="E33096" s="1"/>
      <c r="F33096" s="1"/>
      <c r="G33096" s="1"/>
    </row>
    <row r="33097">
      <c r="B33097" s="36"/>
      <c r="C33097" s="36"/>
      <c r="E33097" s="1"/>
      <c r="F33097" s="1"/>
      <c r="G33097" s="1"/>
    </row>
    <row r="33098">
      <c r="B33098" s="36"/>
      <c r="C33098" s="36"/>
      <c r="E33098" s="1"/>
      <c r="F33098" s="1"/>
      <c r="G33098" s="1"/>
    </row>
    <row r="33099">
      <c r="B33099" s="36"/>
      <c r="C33099" s="36"/>
      <c r="E33099" s="1"/>
      <c r="F33099" s="1"/>
      <c r="G33099" s="1"/>
    </row>
    <row r="33100">
      <c r="B33100" s="36"/>
      <c r="C33100" s="36"/>
      <c r="E33100" s="1"/>
      <c r="F33100" s="1"/>
      <c r="G33100" s="1"/>
    </row>
    <row r="33101">
      <c r="B33101" s="36"/>
      <c r="C33101" s="36"/>
      <c r="E33101" s="1"/>
      <c r="F33101" s="1"/>
      <c r="G33101" s="1"/>
    </row>
    <row r="33102">
      <c r="B33102" s="36"/>
      <c r="C33102" s="36"/>
      <c r="E33102" s="1"/>
      <c r="F33102" s="1"/>
      <c r="G33102" s="1"/>
    </row>
    <row r="33103">
      <c r="B33103" s="36"/>
      <c r="C33103" s="36"/>
      <c r="E33103" s="1"/>
      <c r="F33103" s="1"/>
      <c r="G33103" s="1"/>
    </row>
    <row r="33104">
      <c r="B33104" s="36"/>
      <c r="C33104" s="36"/>
      <c r="E33104" s="1"/>
      <c r="F33104" s="1"/>
      <c r="G33104" s="1"/>
    </row>
    <row r="33105">
      <c r="B33105" s="36"/>
      <c r="C33105" s="36"/>
      <c r="E33105" s="1"/>
      <c r="F33105" s="1"/>
      <c r="G33105" s="1"/>
    </row>
    <row r="33106">
      <c r="B33106" s="36"/>
      <c r="C33106" s="36"/>
      <c r="E33106" s="1"/>
      <c r="F33106" s="1"/>
      <c r="G33106" s="1"/>
    </row>
    <row r="33107">
      <c r="B33107" s="36"/>
      <c r="C33107" s="36"/>
      <c r="E33107" s="1"/>
      <c r="F33107" s="1"/>
      <c r="G33107" s="1"/>
    </row>
    <row r="33108">
      <c r="B33108" s="36"/>
      <c r="C33108" s="36"/>
      <c r="E33108" s="1"/>
      <c r="F33108" s="1"/>
      <c r="G33108" s="1"/>
    </row>
    <row r="33109">
      <c r="B33109" s="36"/>
      <c r="C33109" s="36"/>
      <c r="E33109" s="1"/>
      <c r="F33109" s="1"/>
      <c r="G33109" s="1"/>
    </row>
    <row r="33110">
      <c r="B33110" s="36"/>
      <c r="C33110" s="36"/>
      <c r="E33110" s="1"/>
      <c r="F33110" s="1"/>
      <c r="G33110" s="1"/>
    </row>
    <row r="33111">
      <c r="B33111" s="36"/>
      <c r="C33111" s="36"/>
      <c r="E33111" s="1"/>
      <c r="F33111" s="1"/>
      <c r="G33111" s="1"/>
    </row>
    <row r="33112">
      <c r="B33112" s="36"/>
      <c r="C33112" s="36"/>
      <c r="E33112" s="1"/>
      <c r="F33112" s="1"/>
      <c r="G33112" s="1"/>
    </row>
    <row r="33113">
      <c r="B33113" s="36"/>
      <c r="C33113" s="36"/>
      <c r="E33113" s="1"/>
      <c r="F33113" s="1"/>
      <c r="G33113" s="1"/>
    </row>
    <row r="33114">
      <c r="B33114" s="36"/>
      <c r="C33114" s="36"/>
      <c r="E33114" s="1"/>
      <c r="F33114" s="1"/>
      <c r="G33114" s="1"/>
    </row>
    <row r="33115">
      <c r="B33115" s="36"/>
      <c r="C33115" s="36"/>
      <c r="E33115" s="1"/>
      <c r="F33115" s="1"/>
      <c r="G33115" s="1"/>
    </row>
    <row r="33116">
      <c r="B33116" s="36"/>
      <c r="C33116" s="36"/>
      <c r="E33116" s="1"/>
      <c r="F33116" s="1"/>
      <c r="G33116" s="1"/>
    </row>
    <row r="33117">
      <c r="B33117" s="36"/>
      <c r="C33117" s="36"/>
      <c r="E33117" s="1"/>
      <c r="F33117" s="1"/>
      <c r="G33117" s="1"/>
    </row>
    <row r="33118">
      <c r="B33118" s="36"/>
      <c r="C33118" s="36"/>
      <c r="E33118" s="1"/>
      <c r="F33118" s="1"/>
      <c r="G33118" s="1"/>
    </row>
    <row r="33119">
      <c r="B33119" s="36"/>
      <c r="C33119" s="36"/>
      <c r="E33119" s="1"/>
      <c r="F33119" s="1"/>
      <c r="G33119" s="1"/>
    </row>
    <row r="33120">
      <c r="B33120" s="36"/>
      <c r="C33120" s="36"/>
      <c r="E33120" s="1"/>
      <c r="F33120" s="1"/>
      <c r="G33120" s="1"/>
    </row>
    <row r="33121">
      <c r="B33121" s="36"/>
      <c r="C33121" s="36"/>
      <c r="E33121" s="1"/>
      <c r="F33121" s="1"/>
      <c r="G33121" s="1"/>
    </row>
    <row r="33122">
      <c r="B33122" s="36"/>
      <c r="C33122" s="36"/>
      <c r="E33122" s="1"/>
      <c r="F33122" s="1"/>
      <c r="G33122" s="1"/>
    </row>
    <row r="33123">
      <c r="B33123" s="36"/>
      <c r="C33123" s="36"/>
      <c r="E33123" s="1"/>
      <c r="F33123" s="1"/>
      <c r="G33123" s="1"/>
    </row>
    <row r="33124">
      <c r="B33124" s="36"/>
      <c r="C33124" s="36"/>
      <c r="E33124" s="1"/>
      <c r="F33124" s="1"/>
      <c r="G33124" s="1"/>
    </row>
    <row r="33125">
      <c r="B33125" s="36"/>
      <c r="C33125" s="36"/>
      <c r="E33125" s="1"/>
      <c r="F33125" s="1"/>
      <c r="G33125" s="1"/>
    </row>
    <row r="33126">
      <c r="B33126" s="36"/>
      <c r="C33126" s="36"/>
      <c r="E33126" s="1"/>
      <c r="F33126" s="1"/>
      <c r="G33126" s="1"/>
    </row>
    <row r="33127">
      <c r="B33127" s="36"/>
      <c r="C33127" s="36"/>
      <c r="E33127" s="1"/>
      <c r="F33127" s="1"/>
      <c r="G33127" s="1"/>
    </row>
    <row r="33128">
      <c r="B33128" s="36"/>
      <c r="C33128" s="36"/>
      <c r="E33128" s="1"/>
      <c r="F33128" s="1"/>
      <c r="G33128" s="1"/>
    </row>
    <row r="33129">
      <c r="B33129" s="36"/>
      <c r="C33129" s="36"/>
      <c r="E33129" s="1"/>
      <c r="F33129" s="1"/>
      <c r="G33129" s="1"/>
    </row>
    <row r="33130">
      <c r="B33130" s="36"/>
      <c r="C33130" s="36"/>
      <c r="E33130" s="1"/>
      <c r="F33130" s="1"/>
      <c r="G33130" s="1"/>
    </row>
    <row r="33131">
      <c r="B33131" s="36"/>
      <c r="C33131" s="36"/>
      <c r="E33131" s="1"/>
      <c r="F33131" s="1"/>
      <c r="G33131" s="1"/>
    </row>
    <row r="33132">
      <c r="B33132" s="36"/>
      <c r="C33132" s="36"/>
      <c r="E33132" s="1"/>
      <c r="F33132" s="1"/>
      <c r="G33132" s="1"/>
    </row>
    <row r="33133">
      <c r="B33133" s="36"/>
      <c r="C33133" s="36"/>
      <c r="E33133" s="1"/>
      <c r="F33133" s="1"/>
      <c r="G33133" s="1"/>
    </row>
    <row r="33134">
      <c r="B33134" s="36"/>
      <c r="C33134" s="36"/>
      <c r="E33134" s="1"/>
      <c r="F33134" s="1"/>
      <c r="G33134" s="1"/>
    </row>
    <row r="33135">
      <c r="B33135" s="36"/>
      <c r="C33135" s="36"/>
      <c r="E33135" s="1"/>
      <c r="F33135" s="1"/>
      <c r="G33135" s="1"/>
    </row>
    <row r="33136">
      <c r="B33136" s="36"/>
      <c r="C33136" s="36"/>
      <c r="E33136" s="1"/>
      <c r="F33136" s="1"/>
      <c r="G33136" s="1"/>
    </row>
    <row r="33137">
      <c r="B33137" s="36"/>
      <c r="C33137" s="36"/>
      <c r="E33137" s="1"/>
      <c r="F33137" s="1"/>
      <c r="G33137" s="1"/>
    </row>
    <row r="33138">
      <c r="B33138" s="36"/>
      <c r="C33138" s="36"/>
      <c r="E33138" s="1"/>
      <c r="F33138" s="1"/>
      <c r="G33138" s="1"/>
    </row>
    <row r="33139">
      <c r="B33139" s="36"/>
      <c r="C33139" s="36"/>
      <c r="E33139" s="1"/>
      <c r="F33139" s="1"/>
      <c r="G33139" s="1"/>
    </row>
    <row r="33140">
      <c r="B33140" s="36"/>
      <c r="C33140" s="36"/>
      <c r="E33140" s="1"/>
      <c r="F33140" s="1"/>
      <c r="G33140" s="1"/>
    </row>
    <row r="33141">
      <c r="B33141" s="36"/>
      <c r="C33141" s="36"/>
      <c r="E33141" s="1"/>
      <c r="F33141" s="1"/>
      <c r="G33141" s="1"/>
    </row>
    <row r="33142">
      <c r="B33142" s="36"/>
      <c r="C33142" s="36"/>
      <c r="E33142" s="1"/>
      <c r="F33142" s="1"/>
      <c r="G33142" s="1"/>
    </row>
    <row r="33143">
      <c r="B33143" s="36"/>
      <c r="C33143" s="36"/>
      <c r="E33143" s="1"/>
      <c r="F33143" s="1"/>
      <c r="G33143" s="1"/>
    </row>
    <row r="33144">
      <c r="B33144" s="36"/>
      <c r="C33144" s="36"/>
      <c r="E33144" s="1"/>
      <c r="F33144" s="1"/>
      <c r="G33144" s="1"/>
    </row>
    <row r="33145">
      <c r="B33145" s="36"/>
      <c r="C33145" s="36"/>
      <c r="E33145" s="1"/>
      <c r="F33145" s="1"/>
      <c r="G33145" s="1"/>
    </row>
    <row r="33146">
      <c r="B33146" s="36"/>
      <c r="C33146" s="36"/>
      <c r="E33146" s="1"/>
      <c r="F33146" s="1"/>
      <c r="G33146" s="1"/>
    </row>
    <row r="33147">
      <c r="B33147" s="36"/>
      <c r="C33147" s="36"/>
      <c r="E33147" s="1"/>
      <c r="F33147" s="1"/>
      <c r="G33147" s="1"/>
    </row>
    <row r="33148">
      <c r="B33148" s="36"/>
      <c r="C33148" s="36"/>
      <c r="E33148" s="1"/>
      <c r="F33148" s="1"/>
      <c r="G33148" s="1"/>
    </row>
    <row r="33149">
      <c r="B33149" s="36"/>
      <c r="C33149" s="36"/>
      <c r="E33149" s="1"/>
      <c r="F33149" s="1"/>
      <c r="G33149" s="1"/>
    </row>
    <row r="33150">
      <c r="B33150" s="36"/>
      <c r="C33150" s="36"/>
      <c r="E33150" s="1"/>
      <c r="F33150" s="1"/>
      <c r="G33150" s="1"/>
    </row>
    <row r="33151">
      <c r="B33151" s="36"/>
      <c r="C33151" s="36"/>
      <c r="E33151" s="1"/>
      <c r="F33151" s="1"/>
      <c r="G33151" s="1"/>
    </row>
    <row r="33152">
      <c r="B33152" s="36"/>
      <c r="C33152" s="36"/>
      <c r="E33152" s="1"/>
      <c r="F33152" s="1"/>
      <c r="G33152" s="1"/>
    </row>
    <row r="33153">
      <c r="B33153" s="36"/>
      <c r="C33153" s="36"/>
      <c r="E33153" s="1"/>
      <c r="F33153" s="1"/>
      <c r="G33153" s="1"/>
    </row>
    <row r="33154">
      <c r="B33154" s="36"/>
      <c r="C33154" s="36"/>
      <c r="E33154" s="1"/>
      <c r="F33154" s="1"/>
      <c r="G33154" s="1"/>
    </row>
    <row r="33155">
      <c r="B33155" s="36"/>
      <c r="C33155" s="36"/>
      <c r="E33155" s="1"/>
      <c r="F33155" s="1"/>
      <c r="G33155" s="1"/>
    </row>
    <row r="33156">
      <c r="B33156" s="36"/>
      <c r="C33156" s="36"/>
      <c r="E33156" s="1"/>
      <c r="F33156" s="1"/>
      <c r="G33156" s="1"/>
    </row>
    <row r="33157">
      <c r="B33157" s="36"/>
      <c r="C33157" s="36"/>
      <c r="E33157" s="1"/>
      <c r="F33157" s="1"/>
      <c r="G33157" s="1"/>
    </row>
    <row r="33158">
      <c r="B33158" s="36"/>
      <c r="C33158" s="36"/>
      <c r="E33158" s="1"/>
      <c r="F33158" s="1"/>
      <c r="G33158" s="1"/>
    </row>
    <row r="33159">
      <c r="B33159" s="36"/>
      <c r="C33159" s="36"/>
      <c r="E33159" s="1"/>
      <c r="F33159" s="1"/>
      <c r="G33159" s="1"/>
    </row>
    <row r="33160">
      <c r="B33160" s="36"/>
      <c r="C33160" s="36"/>
      <c r="E33160" s="1"/>
      <c r="F33160" s="1"/>
      <c r="G33160" s="1"/>
    </row>
    <row r="33161">
      <c r="B33161" s="36"/>
      <c r="C33161" s="36"/>
      <c r="E33161" s="1"/>
      <c r="F33161" s="1"/>
      <c r="G33161" s="1"/>
    </row>
    <row r="33162">
      <c r="B33162" s="36"/>
      <c r="C33162" s="36"/>
      <c r="E33162" s="1"/>
      <c r="F33162" s="1"/>
      <c r="G33162" s="1"/>
    </row>
    <row r="33163">
      <c r="B33163" s="36"/>
      <c r="C33163" s="36"/>
      <c r="E33163" s="1"/>
      <c r="F33163" s="1"/>
      <c r="G33163" s="1"/>
    </row>
    <row r="33164">
      <c r="B33164" s="36"/>
      <c r="C33164" s="36"/>
      <c r="E33164" s="1"/>
      <c r="F33164" s="1"/>
      <c r="G33164" s="1"/>
    </row>
    <row r="33165">
      <c r="B33165" s="36"/>
      <c r="C33165" s="36"/>
      <c r="E33165" s="1"/>
      <c r="F33165" s="1"/>
      <c r="G33165" s="1"/>
    </row>
    <row r="33166">
      <c r="B33166" s="36"/>
      <c r="C33166" s="36"/>
      <c r="E33166" s="1"/>
      <c r="F33166" s="1"/>
      <c r="G33166" s="1"/>
    </row>
    <row r="33167">
      <c r="B33167" s="36"/>
      <c r="C33167" s="36"/>
      <c r="E33167" s="1"/>
      <c r="F33167" s="1"/>
      <c r="G33167" s="1"/>
    </row>
    <row r="33168">
      <c r="B33168" s="36"/>
      <c r="C33168" s="36"/>
      <c r="E33168" s="1"/>
      <c r="F33168" s="1"/>
      <c r="G33168" s="1"/>
    </row>
    <row r="33169">
      <c r="B33169" s="36"/>
      <c r="C33169" s="36"/>
      <c r="E33169" s="1"/>
      <c r="F33169" s="1"/>
      <c r="G33169" s="1"/>
    </row>
    <row r="33170">
      <c r="B33170" s="36"/>
      <c r="C33170" s="36"/>
      <c r="E33170" s="1"/>
      <c r="F33170" s="1"/>
      <c r="G33170" s="1"/>
    </row>
    <row r="33171">
      <c r="B33171" s="36"/>
      <c r="C33171" s="36"/>
      <c r="E33171" s="1"/>
      <c r="F33171" s="1"/>
      <c r="G33171" s="1"/>
    </row>
    <row r="33172">
      <c r="B33172" s="36"/>
      <c r="C33172" s="36"/>
      <c r="E33172" s="1"/>
      <c r="F33172" s="1"/>
      <c r="G33172" s="1"/>
    </row>
    <row r="33173">
      <c r="B33173" s="36"/>
      <c r="C33173" s="36"/>
      <c r="E33173" s="1"/>
      <c r="F33173" s="1"/>
      <c r="G33173" s="1"/>
    </row>
    <row r="33174">
      <c r="B33174" s="36"/>
      <c r="C33174" s="36"/>
      <c r="E33174" s="1"/>
      <c r="F33174" s="1"/>
      <c r="G33174" s="1"/>
    </row>
    <row r="33175">
      <c r="B33175" s="36"/>
      <c r="C33175" s="36"/>
      <c r="E33175" s="1"/>
      <c r="F33175" s="1"/>
      <c r="G33175" s="1"/>
    </row>
    <row r="33176">
      <c r="B33176" s="36"/>
      <c r="C33176" s="36"/>
      <c r="E33176" s="1"/>
      <c r="F33176" s="1"/>
      <c r="G33176" s="1"/>
    </row>
    <row r="33177">
      <c r="B33177" s="36"/>
      <c r="C33177" s="36"/>
      <c r="E33177" s="1"/>
      <c r="F33177" s="1"/>
      <c r="G33177" s="1"/>
    </row>
    <row r="33178">
      <c r="B33178" s="36"/>
      <c r="C33178" s="36"/>
      <c r="E33178" s="1"/>
      <c r="F33178" s="1"/>
      <c r="G33178" s="1"/>
    </row>
    <row r="33179">
      <c r="B33179" s="36"/>
      <c r="C33179" s="36"/>
      <c r="E33179" s="1"/>
      <c r="F33179" s="1"/>
      <c r="G33179" s="1"/>
    </row>
    <row r="33180">
      <c r="B33180" s="36"/>
      <c r="C33180" s="36"/>
      <c r="E33180" s="1"/>
      <c r="F33180" s="1"/>
      <c r="G33180" s="1"/>
    </row>
    <row r="33181">
      <c r="B33181" s="36"/>
      <c r="C33181" s="36"/>
      <c r="E33181" s="1"/>
      <c r="F33181" s="1"/>
      <c r="G33181" s="1"/>
    </row>
    <row r="33182">
      <c r="B33182" s="36"/>
      <c r="C33182" s="36"/>
      <c r="E33182" s="1"/>
      <c r="F33182" s="1"/>
      <c r="G33182" s="1"/>
    </row>
    <row r="33183">
      <c r="B33183" s="36"/>
      <c r="C33183" s="36"/>
      <c r="E33183" s="1"/>
      <c r="F33183" s="1"/>
      <c r="G33183" s="1"/>
    </row>
    <row r="33184">
      <c r="B33184" s="36"/>
      <c r="C33184" s="36"/>
      <c r="E33184" s="1"/>
      <c r="F33184" s="1"/>
      <c r="G33184" s="1"/>
    </row>
    <row r="33185">
      <c r="B33185" s="36"/>
      <c r="C33185" s="36"/>
      <c r="E33185" s="1"/>
      <c r="F33185" s="1"/>
      <c r="G33185" s="1"/>
    </row>
    <row r="33186">
      <c r="B33186" s="36"/>
      <c r="C33186" s="36"/>
      <c r="E33186" s="1"/>
      <c r="F33186" s="1"/>
      <c r="G33186" s="1"/>
    </row>
    <row r="33187">
      <c r="B33187" s="36"/>
      <c r="C33187" s="36"/>
      <c r="E33187" s="1"/>
      <c r="F33187" s="1"/>
      <c r="G33187" s="1"/>
    </row>
    <row r="33188">
      <c r="B33188" s="36"/>
      <c r="C33188" s="36"/>
      <c r="E33188" s="1"/>
      <c r="F33188" s="1"/>
      <c r="G33188" s="1"/>
    </row>
    <row r="33189">
      <c r="B33189" s="36"/>
      <c r="C33189" s="36"/>
      <c r="E33189" s="1"/>
      <c r="F33189" s="1"/>
      <c r="G33189" s="1"/>
    </row>
    <row r="33190">
      <c r="B33190" s="36"/>
      <c r="C33190" s="36"/>
      <c r="E33190" s="1"/>
      <c r="F33190" s="1"/>
      <c r="G33190" s="1"/>
    </row>
    <row r="33191">
      <c r="B33191" s="36"/>
      <c r="C33191" s="36"/>
      <c r="E33191" s="1"/>
      <c r="F33191" s="1"/>
      <c r="G33191" s="1"/>
    </row>
    <row r="33192">
      <c r="B33192" s="36"/>
      <c r="C33192" s="36"/>
      <c r="E33192" s="1"/>
      <c r="F33192" s="1"/>
      <c r="G33192" s="1"/>
    </row>
    <row r="33193">
      <c r="B33193" s="36"/>
      <c r="C33193" s="36"/>
      <c r="E33193" s="1"/>
      <c r="F33193" s="1"/>
      <c r="G33193" s="1"/>
    </row>
    <row r="33194">
      <c r="B33194" s="36"/>
      <c r="C33194" s="36"/>
      <c r="E33194" s="1"/>
      <c r="F33194" s="1"/>
      <c r="G33194" s="1"/>
    </row>
    <row r="33195">
      <c r="B33195" s="36"/>
      <c r="C33195" s="36"/>
      <c r="E33195" s="1"/>
      <c r="F33195" s="1"/>
      <c r="G33195" s="1"/>
    </row>
    <row r="33196">
      <c r="B33196" s="36"/>
      <c r="C33196" s="36"/>
      <c r="E33196" s="1"/>
      <c r="F33196" s="1"/>
      <c r="G33196" s="1"/>
    </row>
    <row r="33197">
      <c r="B33197" s="36"/>
      <c r="C33197" s="36"/>
      <c r="E33197" s="1"/>
      <c r="F33197" s="1"/>
      <c r="G33197" s="1"/>
    </row>
    <row r="33198">
      <c r="B33198" s="36"/>
      <c r="C33198" s="36"/>
      <c r="E33198" s="1"/>
      <c r="F33198" s="1"/>
      <c r="G33198" s="1"/>
    </row>
    <row r="33199">
      <c r="B33199" s="36"/>
      <c r="C33199" s="36"/>
      <c r="E33199" s="1"/>
      <c r="F33199" s="1"/>
      <c r="G33199" s="1"/>
    </row>
    <row r="33200">
      <c r="B33200" s="36"/>
      <c r="C33200" s="36"/>
      <c r="E33200" s="1"/>
      <c r="F33200" s="1"/>
      <c r="G33200" s="1"/>
    </row>
    <row r="33201">
      <c r="B33201" s="36"/>
      <c r="C33201" s="36"/>
      <c r="E33201" s="1"/>
      <c r="F33201" s="1"/>
      <c r="G33201" s="1"/>
    </row>
    <row r="33202">
      <c r="B33202" s="36"/>
      <c r="C33202" s="36"/>
      <c r="E33202" s="1"/>
      <c r="F33202" s="1"/>
      <c r="G33202" s="1"/>
    </row>
    <row r="33203">
      <c r="B33203" s="36"/>
      <c r="C33203" s="36"/>
      <c r="E33203" s="1"/>
      <c r="F33203" s="1"/>
      <c r="G33203" s="1"/>
    </row>
    <row r="33204">
      <c r="B33204" s="36"/>
      <c r="C33204" s="36"/>
      <c r="E33204" s="1"/>
      <c r="F33204" s="1"/>
      <c r="G33204" s="1"/>
    </row>
    <row r="33205">
      <c r="B33205" s="36"/>
      <c r="C33205" s="36"/>
      <c r="E33205" s="1"/>
      <c r="F33205" s="1"/>
      <c r="G33205" s="1"/>
    </row>
    <row r="33206">
      <c r="B33206" s="36"/>
      <c r="C33206" s="36"/>
      <c r="E33206" s="1"/>
      <c r="F33206" s="1"/>
      <c r="G33206" s="1"/>
    </row>
    <row r="33207">
      <c r="B33207" s="36"/>
      <c r="C33207" s="36"/>
      <c r="E33207" s="1"/>
      <c r="F33207" s="1"/>
      <c r="G33207" s="1"/>
    </row>
    <row r="33208">
      <c r="B33208" s="36"/>
      <c r="C33208" s="36"/>
      <c r="E33208" s="1"/>
      <c r="F33208" s="1"/>
      <c r="G33208" s="1"/>
    </row>
    <row r="33209">
      <c r="B33209" s="36"/>
      <c r="C33209" s="36"/>
      <c r="E33209" s="1"/>
      <c r="F33209" s="1"/>
      <c r="G33209" s="1"/>
    </row>
    <row r="33210">
      <c r="B33210" s="36"/>
      <c r="C33210" s="36"/>
      <c r="E33210" s="1"/>
      <c r="F33210" s="1"/>
      <c r="G33210" s="1"/>
    </row>
    <row r="33211">
      <c r="B33211" s="36"/>
      <c r="C33211" s="36"/>
      <c r="E33211" s="1"/>
      <c r="F33211" s="1"/>
      <c r="G33211" s="1"/>
    </row>
    <row r="33212">
      <c r="B33212" s="36"/>
      <c r="C33212" s="36"/>
      <c r="E33212" s="1"/>
      <c r="F33212" s="1"/>
      <c r="G33212" s="1"/>
    </row>
    <row r="33213">
      <c r="B33213" s="36"/>
      <c r="C33213" s="36"/>
      <c r="E33213" s="1"/>
      <c r="F33213" s="1"/>
      <c r="G33213" s="1"/>
    </row>
    <row r="33214">
      <c r="B33214" s="36"/>
      <c r="C33214" s="36"/>
      <c r="E33214" s="1"/>
      <c r="F33214" s="1"/>
      <c r="G33214" s="1"/>
    </row>
    <row r="33215">
      <c r="B33215" s="36"/>
      <c r="C33215" s="36"/>
      <c r="E33215" s="1"/>
      <c r="F33215" s="1"/>
      <c r="G33215" s="1"/>
    </row>
    <row r="33216">
      <c r="B33216" s="36"/>
      <c r="C33216" s="36"/>
      <c r="E33216" s="1"/>
      <c r="F33216" s="1"/>
      <c r="G33216" s="1"/>
    </row>
    <row r="33217">
      <c r="B33217" s="36"/>
      <c r="C33217" s="36"/>
      <c r="E33217" s="1"/>
      <c r="F33217" s="1"/>
      <c r="G33217" s="1"/>
    </row>
    <row r="33218">
      <c r="B33218" s="36"/>
      <c r="C33218" s="36"/>
      <c r="E33218" s="1"/>
      <c r="F33218" s="1"/>
      <c r="G33218" s="1"/>
    </row>
    <row r="33219">
      <c r="B33219" s="36"/>
      <c r="C33219" s="36"/>
      <c r="E33219" s="1"/>
      <c r="F33219" s="1"/>
      <c r="G33219" s="1"/>
    </row>
    <row r="33220">
      <c r="B33220" s="36"/>
      <c r="C33220" s="36"/>
      <c r="E33220" s="1"/>
      <c r="F33220" s="1"/>
      <c r="G33220" s="1"/>
    </row>
    <row r="33221">
      <c r="B33221" s="36"/>
      <c r="C33221" s="36"/>
      <c r="E33221" s="1"/>
      <c r="F33221" s="1"/>
      <c r="G33221" s="1"/>
    </row>
    <row r="33222">
      <c r="B33222" s="36"/>
      <c r="C33222" s="36"/>
      <c r="E33222" s="1"/>
      <c r="F33222" s="1"/>
      <c r="G33222" s="1"/>
    </row>
    <row r="33223">
      <c r="B33223" s="36"/>
      <c r="C33223" s="36"/>
      <c r="E33223" s="1"/>
      <c r="F33223" s="1"/>
      <c r="G33223" s="1"/>
    </row>
    <row r="33224">
      <c r="B33224" s="36"/>
      <c r="C33224" s="36"/>
      <c r="E33224" s="1"/>
      <c r="F33224" s="1"/>
      <c r="G33224" s="1"/>
    </row>
    <row r="33225">
      <c r="B33225" s="36"/>
      <c r="C33225" s="36"/>
      <c r="E33225" s="1"/>
      <c r="F33225" s="1"/>
      <c r="G33225" s="1"/>
    </row>
    <row r="33226">
      <c r="B33226" s="36"/>
      <c r="C33226" s="36"/>
      <c r="E33226" s="1"/>
      <c r="F33226" s="1"/>
      <c r="G33226" s="1"/>
    </row>
    <row r="33227">
      <c r="B33227" s="36"/>
      <c r="C33227" s="36"/>
      <c r="E33227" s="1"/>
      <c r="F33227" s="1"/>
      <c r="G33227" s="1"/>
    </row>
    <row r="33228">
      <c r="B33228" s="36"/>
      <c r="C33228" s="36"/>
      <c r="E33228" s="1"/>
      <c r="F33228" s="1"/>
      <c r="G33228" s="1"/>
    </row>
    <row r="33229">
      <c r="B33229" s="36"/>
      <c r="C33229" s="36"/>
      <c r="E33229" s="1"/>
      <c r="F33229" s="1"/>
      <c r="G33229" s="1"/>
    </row>
    <row r="33230">
      <c r="B33230" s="36"/>
      <c r="C33230" s="36"/>
      <c r="E33230" s="1"/>
      <c r="F33230" s="1"/>
      <c r="G33230" s="1"/>
    </row>
    <row r="33231">
      <c r="B33231" s="36"/>
      <c r="C33231" s="36"/>
      <c r="E33231" s="1"/>
      <c r="F33231" s="1"/>
      <c r="G33231" s="1"/>
    </row>
    <row r="33232">
      <c r="B33232" s="36"/>
      <c r="C33232" s="36"/>
      <c r="E33232" s="1"/>
      <c r="F33232" s="1"/>
      <c r="G33232" s="1"/>
    </row>
    <row r="33233">
      <c r="B33233" s="36"/>
      <c r="C33233" s="36"/>
      <c r="E33233" s="1"/>
      <c r="F33233" s="1"/>
      <c r="G33233" s="1"/>
    </row>
    <row r="33234">
      <c r="B33234" s="36"/>
      <c r="C33234" s="36"/>
      <c r="E33234" s="1"/>
      <c r="F33234" s="1"/>
      <c r="G33234" s="1"/>
    </row>
    <row r="33235">
      <c r="B33235" s="36"/>
      <c r="C33235" s="36"/>
      <c r="E33235" s="1"/>
      <c r="F33235" s="1"/>
      <c r="G33235" s="1"/>
    </row>
    <row r="33236">
      <c r="B33236" s="36"/>
      <c r="C33236" s="36"/>
      <c r="E33236" s="1"/>
      <c r="F33236" s="1"/>
      <c r="G33236" s="1"/>
    </row>
    <row r="33237">
      <c r="B33237" s="36"/>
      <c r="C33237" s="36"/>
      <c r="E33237" s="1"/>
      <c r="F33237" s="1"/>
      <c r="G33237" s="1"/>
    </row>
    <row r="33238">
      <c r="B33238" s="36"/>
      <c r="C33238" s="36"/>
      <c r="E33238" s="1"/>
      <c r="F33238" s="1"/>
      <c r="G33238" s="1"/>
    </row>
    <row r="33239">
      <c r="B33239" s="36"/>
      <c r="C33239" s="36"/>
      <c r="E33239" s="1"/>
      <c r="F33239" s="1"/>
      <c r="G33239" s="1"/>
    </row>
    <row r="33240">
      <c r="B33240" s="36"/>
      <c r="C33240" s="36"/>
      <c r="E33240" s="1"/>
      <c r="F33240" s="1"/>
      <c r="G33240" s="1"/>
    </row>
    <row r="33241">
      <c r="B33241" s="36"/>
      <c r="C33241" s="36"/>
      <c r="E33241" s="1"/>
      <c r="F33241" s="1"/>
      <c r="G33241" s="1"/>
    </row>
    <row r="33242">
      <c r="B33242" s="36"/>
      <c r="C33242" s="36"/>
      <c r="E33242" s="1"/>
      <c r="F33242" s="1"/>
      <c r="G33242" s="1"/>
    </row>
    <row r="33243">
      <c r="B33243" s="36"/>
      <c r="C33243" s="36"/>
      <c r="E33243" s="1"/>
      <c r="F33243" s="1"/>
      <c r="G33243" s="1"/>
    </row>
    <row r="33244">
      <c r="B33244" s="36"/>
      <c r="C33244" s="36"/>
      <c r="E33244" s="1"/>
      <c r="F33244" s="1"/>
      <c r="G33244" s="1"/>
    </row>
    <row r="33245">
      <c r="B33245" s="36"/>
      <c r="C33245" s="36"/>
      <c r="E33245" s="1"/>
      <c r="F33245" s="1"/>
      <c r="G33245" s="1"/>
    </row>
    <row r="33246">
      <c r="B33246" s="36"/>
      <c r="C33246" s="36"/>
      <c r="E33246" s="1"/>
      <c r="F33246" s="1"/>
      <c r="G33246" s="1"/>
    </row>
    <row r="33247">
      <c r="B33247" s="36"/>
      <c r="C33247" s="36"/>
      <c r="E33247" s="1"/>
      <c r="F33247" s="1"/>
      <c r="G33247" s="1"/>
    </row>
    <row r="33248">
      <c r="B33248" s="36"/>
      <c r="C33248" s="36"/>
      <c r="E33248" s="1"/>
      <c r="F33248" s="1"/>
      <c r="G33248" s="1"/>
    </row>
    <row r="33249">
      <c r="B33249" s="36"/>
      <c r="C33249" s="36"/>
      <c r="E33249" s="1"/>
      <c r="F33249" s="1"/>
      <c r="G33249" s="1"/>
    </row>
    <row r="33250">
      <c r="B33250" s="36"/>
      <c r="C33250" s="36"/>
      <c r="E33250" s="1"/>
      <c r="F33250" s="1"/>
      <c r="G33250" s="1"/>
    </row>
    <row r="33251">
      <c r="B33251" s="36"/>
      <c r="C33251" s="36"/>
      <c r="E33251" s="1"/>
      <c r="F33251" s="1"/>
      <c r="G33251" s="1"/>
    </row>
    <row r="33252">
      <c r="B33252" s="36"/>
      <c r="C33252" s="36"/>
      <c r="E33252" s="1"/>
      <c r="F33252" s="1"/>
      <c r="G33252" s="1"/>
    </row>
    <row r="33253">
      <c r="B33253" s="36"/>
      <c r="C33253" s="36"/>
      <c r="E33253" s="1"/>
      <c r="F33253" s="1"/>
      <c r="G33253" s="1"/>
    </row>
    <row r="33254">
      <c r="B33254" s="36"/>
      <c r="C33254" s="36"/>
      <c r="E33254" s="1"/>
      <c r="F33254" s="1"/>
      <c r="G33254" s="1"/>
    </row>
    <row r="33255">
      <c r="B33255" s="36"/>
      <c r="C33255" s="36"/>
      <c r="E33255" s="1"/>
      <c r="F33255" s="1"/>
      <c r="G33255" s="1"/>
    </row>
    <row r="33256">
      <c r="B33256" s="36"/>
      <c r="C33256" s="36"/>
      <c r="E33256" s="1"/>
      <c r="F33256" s="1"/>
      <c r="G33256" s="1"/>
    </row>
    <row r="33257">
      <c r="B33257" s="36"/>
      <c r="C33257" s="36"/>
      <c r="E33257" s="1"/>
      <c r="F33257" s="1"/>
      <c r="G33257" s="1"/>
    </row>
    <row r="33258">
      <c r="B33258" s="36"/>
      <c r="C33258" s="36"/>
      <c r="E33258" s="1"/>
      <c r="F33258" s="1"/>
      <c r="G33258" s="1"/>
    </row>
    <row r="33259">
      <c r="B33259" s="36"/>
      <c r="C33259" s="36"/>
      <c r="E33259" s="1"/>
      <c r="F33259" s="1"/>
      <c r="G33259" s="1"/>
    </row>
    <row r="33260">
      <c r="B33260" s="36"/>
      <c r="C33260" s="36"/>
      <c r="E33260" s="1"/>
      <c r="F33260" s="1"/>
      <c r="G33260" s="1"/>
    </row>
    <row r="33261">
      <c r="B33261" s="36"/>
      <c r="C33261" s="36"/>
      <c r="E33261" s="1"/>
      <c r="F33261" s="1"/>
      <c r="G33261" s="1"/>
    </row>
    <row r="33262">
      <c r="B33262" s="36"/>
      <c r="C33262" s="36"/>
      <c r="E33262" s="1"/>
      <c r="F33262" s="1"/>
      <c r="G33262" s="1"/>
    </row>
    <row r="33263">
      <c r="B33263" s="36"/>
      <c r="C33263" s="36"/>
      <c r="E33263" s="1"/>
      <c r="F33263" s="1"/>
      <c r="G33263" s="1"/>
    </row>
    <row r="33264">
      <c r="B33264" s="36"/>
      <c r="C33264" s="36"/>
      <c r="E33264" s="1"/>
      <c r="F33264" s="1"/>
      <c r="G33264" s="1"/>
    </row>
    <row r="33265">
      <c r="B33265" s="36"/>
      <c r="C33265" s="36"/>
      <c r="E33265" s="1"/>
      <c r="F33265" s="1"/>
      <c r="G33265" s="1"/>
    </row>
    <row r="33266">
      <c r="B33266" s="36"/>
      <c r="C33266" s="36"/>
      <c r="E33266" s="1"/>
      <c r="F33266" s="1"/>
      <c r="G33266" s="1"/>
    </row>
    <row r="33267">
      <c r="B33267" s="36"/>
      <c r="C33267" s="36"/>
      <c r="E33267" s="1"/>
      <c r="F33267" s="1"/>
      <c r="G33267" s="1"/>
    </row>
    <row r="33268">
      <c r="B33268" s="36"/>
      <c r="C33268" s="36"/>
      <c r="E33268" s="1"/>
      <c r="F33268" s="1"/>
      <c r="G33268" s="1"/>
    </row>
    <row r="33269">
      <c r="B33269" s="36"/>
      <c r="C33269" s="36"/>
      <c r="E33269" s="1"/>
      <c r="F33269" s="1"/>
      <c r="G33269" s="1"/>
    </row>
    <row r="33270">
      <c r="B33270" s="36"/>
      <c r="C33270" s="36"/>
      <c r="E33270" s="1"/>
      <c r="F33270" s="1"/>
      <c r="G33270" s="1"/>
    </row>
    <row r="33271">
      <c r="B33271" s="36"/>
      <c r="C33271" s="36"/>
      <c r="E33271" s="1"/>
      <c r="F33271" s="1"/>
      <c r="G33271" s="1"/>
    </row>
    <row r="33272">
      <c r="B33272" s="36"/>
      <c r="C33272" s="36"/>
      <c r="E33272" s="1"/>
      <c r="F33272" s="1"/>
      <c r="G33272" s="1"/>
    </row>
    <row r="33273">
      <c r="B33273" s="36"/>
      <c r="C33273" s="36"/>
      <c r="E33273" s="1"/>
      <c r="F33273" s="1"/>
      <c r="G33273" s="1"/>
    </row>
    <row r="33274">
      <c r="B33274" s="36"/>
      <c r="C33274" s="36"/>
      <c r="E33274" s="1"/>
      <c r="F33274" s="1"/>
      <c r="G33274" s="1"/>
    </row>
    <row r="33275">
      <c r="B33275" s="36"/>
      <c r="C33275" s="36"/>
      <c r="E33275" s="1"/>
      <c r="F33275" s="1"/>
      <c r="G33275" s="1"/>
    </row>
    <row r="33276">
      <c r="B33276" s="36"/>
      <c r="C33276" s="36"/>
      <c r="E33276" s="1"/>
      <c r="F33276" s="1"/>
      <c r="G33276" s="1"/>
    </row>
    <row r="33277">
      <c r="B33277" s="36"/>
      <c r="C33277" s="36"/>
      <c r="E33277" s="1"/>
      <c r="F33277" s="1"/>
      <c r="G33277" s="1"/>
    </row>
    <row r="33278">
      <c r="B33278" s="36"/>
      <c r="C33278" s="36"/>
      <c r="E33278" s="1"/>
      <c r="F33278" s="1"/>
      <c r="G33278" s="1"/>
    </row>
    <row r="33279">
      <c r="B33279" s="36"/>
      <c r="C33279" s="36"/>
      <c r="E33279" s="1"/>
      <c r="F33279" s="1"/>
      <c r="G33279" s="1"/>
    </row>
    <row r="33280">
      <c r="B33280" s="36"/>
      <c r="C33280" s="36"/>
      <c r="E33280" s="1"/>
      <c r="F33280" s="1"/>
      <c r="G33280" s="1"/>
    </row>
    <row r="33281">
      <c r="B33281" s="36"/>
      <c r="C33281" s="36"/>
      <c r="E33281" s="1"/>
      <c r="F33281" s="1"/>
      <c r="G33281" s="1"/>
    </row>
    <row r="33282">
      <c r="B33282" s="36"/>
      <c r="C33282" s="36"/>
      <c r="E33282" s="1"/>
      <c r="F33282" s="1"/>
      <c r="G33282" s="1"/>
    </row>
    <row r="33283">
      <c r="B33283" s="36"/>
      <c r="C33283" s="36"/>
      <c r="E33283" s="1"/>
      <c r="F33283" s="1"/>
      <c r="G33283" s="1"/>
    </row>
    <row r="33284">
      <c r="B33284" s="36"/>
      <c r="C33284" s="36"/>
      <c r="E33284" s="1"/>
      <c r="F33284" s="1"/>
      <c r="G33284" s="1"/>
    </row>
    <row r="33285">
      <c r="B33285" s="36"/>
      <c r="C33285" s="36"/>
      <c r="E33285" s="1"/>
      <c r="F33285" s="1"/>
      <c r="G33285" s="1"/>
    </row>
    <row r="33286">
      <c r="B33286" s="36"/>
      <c r="C33286" s="36"/>
      <c r="E33286" s="1"/>
      <c r="F33286" s="1"/>
      <c r="G33286" s="1"/>
    </row>
    <row r="33287">
      <c r="B33287" s="36"/>
      <c r="C33287" s="36"/>
      <c r="E33287" s="1"/>
      <c r="F33287" s="1"/>
      <c r="G33287" s="1"/>
    </row>
    <row r="33288">
      <c r="B33288" s="36"/>
      <c r="C33288" s="36"/>
      <c r="E33288" s="1"/>
      <c r="F33288" s="1"/>
      <c r="G33288" s="1"/>
    </row>
    <row r="33289">
      <c r="B33289" s="36"/>
      <c r="C33289" s="36"/>
      <c r="E33289" s="1"/>
      <c r="F33289" s="1"/>
      <c r="G33289" s="1"/>
    </row>
    <row r="33290">
      <c r="B33290" s="36"/>
      <c r="C33290" s="36"/>
      <c r="E33290" s="1"/>
      <c r="F33290" s="1"/>
      <c r="G33290" s="1"/>
    </row>
    <row r="33291">
      <c r="B33291" s="36"/>
      <c r="C33291" s="36"/>
      <c r="E33291" s="1"/>
      <c r="F33291" s="1"/>
      <c r="G33291" s="1"/>
    </row>
    <row r="33292">
      <c r="B33292" s="36"/>
      <c r="C33292" s="36"/>
      <c r="E33292" s="1"/>
      <c r="F33292" s="1"/>
      <c r="G33292" s="1"/>
    </row>
    <row r="33293">
      <c r="B33293" s="36"/>
      <c r="C33293" s="36"/>
      <c r="E33293" s="1"/>
      <c r="F33293" s="1"/>
      <c r="G33293" s="1"/>
    </row>
    <row r="33294">
      <c r="B33294" s="36"/>
      <c r="C33294" s="36"/>
      <c r="E33294" s="1"/>
      <c r="F33294" s="1"/>
      <c r="G33294" s="1"/>
    </row>
    <row r="33295">
      <c r="B33295" s="36"/>
      <c r="C33295" s="36"/>
      <c r="E33295" s="1"/>
      <c r="F33295" s="1"/>
      <c r="G33295" s="1"/>
    </row>
    <row r="33296">
      <c r="B33296" s="36"/>
      <c r="C33296" s="36"/>
      <c r="E33296" s="1"/>
      <c r="F33296" s="1"/>
      <c r="G33296" s="1"/>
    </row>
    <row r="33297">
      <c r="B33297" s="36"/>
      <c r="C33297" s="36"/>
      <c r="E33297" s="1"/>
      <c r="F33297" s="1"/>
      <c r="G33297" s="1"/>
    </row>
    <row r="33298">
      <c r="B33298" s="36"/>
      <c r="C33298" s="36"/>
      <c r="E33298" s="1"/>
      <c r="F33298" s="1"/>
      <c r="G33298" s="1"/>
    </row>
    <row r="33299">
      <c r="B33299" s="36"/>
      <c r="C33299" s="36"/>
      <c r="E33299" s="1"/>
      <c r="F33299" s="1"/>
      <c r="G33299" s="1"/>
    </row>
    <row r="33300">
      <c r="B33300" s="36"/>
      <c r="C33300" s="36"/>
      <c r="E33300" s="1"/>
      <c r="F33300" s="1"/>
      <c r="G33300" s="1"/>
    </row>
    <row r="33301">
      <c r="B33301" s="36"/>
      <c r="C33301" s="36"/>
      <c r="E33301" s="1"/>
      <c r="F33301" s="1"/>
      <c r="G33301" s="1"/>
    </row>
    <row r="33302">
      <c r="B33302" s="36"/>
      <c r="C33302" s="36"/>
      <c r="E33302" s="1"/>
      <c r="F33302" s="1"/>
      <c r="G33302" s="1"/>
    </row>
    <row r="33303">
      <c r="B33303" s="36"/>
      <c r="C33303" s="36"/>
      <c r="E33303" s="1"/>
      <c r="F33303" s="1"/>
      <c r="G33303" s="1"/>
    </row>
    <row r="33304">
      <c r="B33304" s="36"/>
      <c r="C33304" s="36"/>
      <c r="E33304" s="1"/>
      <c r="F33304" s="1"/>
      <c r="G33304" s="1"/>
    </row>
    <row r="33305">
      <c r="B33305" s="36"/>
      <c r="C33305" s="36"/>
      <c r="E33305" s="1"/>
      <c r="F33305" s="1"/>
      <c r="G33305" s="1"/>
    </row>
    <row r="33306">
      <c r="B33306" s="36"/>
      <c r="C33306" s="36"/>
      <c r="E33306" s="1"/>
      <c r="F33306" s="1"/>
      <c r="G33306" s="1"/>
    </row>
    <row r="33307">
      <c r="B33307" s="36"/>
      <c r="C33307" s="36"/>
      <c r="E33307" s="1"/>
      <c r="F33307" s="1"/>
      <c r="G33307" s="1"/>
    </row>
    <row r="33308">
      <c r="B33308" s="36"/>
      <c r="C33308" s="36"/>
      <c r="E33308" s="1"/>
      <c r="F33308" s="1"/>
      <c r="G33308" s="1"/>
    </row>
    <row r="33309">
      <c r="B33309" s="36"/>
      <c r="C33309" s="36"/>
      <c r="E33309" s="1"/>
      <c r="F33309" s="1"/>
      <c r="G33309" s="1"/>
    </row>
    <row r="33310">
      <c r="B33310" s="36"/>
      <c r="C33310" s="36"/>
      <c r="E33310" s="1"/>
      <c r="F33310" s="1"/>
      <c r="G33310" s="1"/>
    </row>
    <row r="33311">
      <c r="B33311" s="36"/>
      <c r="C33311" s="36"/>
      <c r="E33311" s="1"/>
      <c r="F33311" s="1"/>
      <c r="G33311" s="1"/>
    </row>
    <row r="33312">
      <c r="B33312" s="36"/>
      <c r="C33312" s="36"/>
      <c r="E33312" s="1"/>
      <c r="F33312" s="1"/>
      <c r="G33312" s="1"/>
    </row>
    <row r="33313">
      <c r="B33313" s="36"/>
      <c r="C33313" s="36"/>
      <c r="E33313" s="1"/>
      <c r="F33313" s="1"/>
      <c r="G33313" s="1"/>
    </row>
    <row r="33314">
      <c r="B33314" s="36"/>
      <c r="C33314" s="36"/>
      <c r="E33314" s="1"/>
      <c r="F33314" s="1"/>
      <c r="G33314" s="1"/>
    </row>
    <row r="33315">
      <c r="B33315" s="36"/>
      <c r="C33315" s="36"/>
      <c r="E33315" s="1"/>
      <c r="F33315" s="1"/>
      <c r="G33315" s="1"/>
    </row>
    <row r="33316">
      <c r="B33316" s="36"/>
      <c r="C33316" s="36"/>
      <c r="E33316" s="1"/>
      <c r="F33316" s="1"/>
      <c r="G33316" s="1"/>
    </row>
    <row r="33317">
      <c r="B33317" s="36"/>
      <c r="C33317" s="36"/>
      <c r="E33317" s="1"/>
      <c r="F33317" s="1"/>
      <c r="G33317" s="1"/>
    </row>
    <row r="33318">
      <c r="B33318" s="36"/>
      <c r="C33318" s="36"/>
      <c r="E33318" s="1"/>
      <c r="F33318" s="1"/>
      <c r="G33318" s="1"/>
    </row>
    <row r="33319">
      <c r="B33319" s="36"/>
      <c r="C33319" s="36"/>
      <c r="E33319" s="1"/>
      <c r="F33319" s="1"/>
      <c r="G33319" s="1"/>
    </row>
    <row r="33320">
      <c r="B33320" s="36"/>
      <c r="C33320" s="36"/>
      <c r="E33320" s="1"/>
      <c r="F33320" s="1"/>
      <c r="G33320" s="1"/>
    </row>
    <row r="33321">
      <c r="B33321" s="36"/>
      <c r="C33321" s="36"/>
      <c r="E33321" s="1"/>
      <c r="F33321" s="1"/>
      <c r="G33321" s="1"/>
    </row>
    <row r="33322">
      <c r="B33322" s="36"/>
      <c r="C33322" s="36"/>
      <c r="E33322" s="1"/>
      <c r="F33322" s="1"/>
      <c r="G33322" s="1"/>
    </row>
    <row r="33323">
      <c r="B33323" s="36"/>
      <c r="C33323" s="36"/>
      <c r="E33323" s="1"/>
      <c r="F33323" s="1"/>
      <c r="G33323" s="1"/>
    </row>
    <row r="33324">
      <c r="B33324" s="36"/>
      <c r="C33324" s="36"/>
      <c r="E33324" s="1"/>
      <c r="F33324" s="1"/>
      <c r="G33324" s="1"/>
    </row>
    <row r="33325">
      <c r="B33325" s="36"/>
      <c r="C33325" s="36"/>
      <c r="E33325" s="1"/>
      <c r="F33325" s="1"/>
      <c r="G33325" s="1"/>
    </row>
    <row r="33326">
      <c r="B33326" s="36"/>
      <c r="C33326" s="36"/>
      <c r="E33326" s="1"/>
      <c r="F33326" s="1"/>
      <c r="G33326" s="1"/>
    </row>
    <row r="33327">
      <c r="B33327" s="36"/>
      <c r="C33327" s="36"/>
      <c r="E33327" s="1"/>
      <c r="F33327" s="1"/>
      <c r="G33327" s="1"/>
    </row>
    <row r="33328">
      <c r="B33328" s="36"/>
      <c r="C33328" s="36"/>
      <c r="E33328" s="1"/>
      <c r="F33328" s="1"/>
      <c r="G33328" s="1"/>
    </row>
    <row r="33329">
      <c r="B33329" s="36"/>
      <c r="C33329" s="36"/>
      <c r="E33329" s="1"/>
      <c r="F33329" s="1"/>
      <c r="G33329" s="1"/>
    </row>
    <row r="33330">
      <c r="B33330" s="36"/>
      <c r="C33330" s="36"/>
      <c r="E33330" s="1"/>
      <c r="F33330" s="1"/>
      <c r="G33330" s="1"/>
    </row>
    <row r="33331">
      <c r="B33331" s="36"/>
      <c r="C33331" s="36"/>
      <c r="E33331" s="1"/>
      <c r="F33331" s="1"/>
      <c r="G33331" s="1"/>
    </row>
    <row r="33332">
      <c r="B33332" s="36"/>
      <c r="C33332" s="36"/>
      <c r="E33332" s="1"/>
      <c r="F33332" s="1"/>
      <c r="G33332" s="1"/>
    </row>
    <row r="33333">
      <c r="B33333" s="36"/>
      <c r="C33333" s="36"/>
      <c r="E33333" s="1"/>
      <c r="F33333" s="1"/>
      <c r="G33333" s="1"/>
    </row>
    <row r="33334">
      <c r="B33334" s="36"/>
      <c r="C33334" s="36"/>
      <c r="E33334" s="1"/>
      <c r="F33334" s="1"/>
      <c r="G33334" s="1"/>
    </row>
    <row r="33335">
      <c r="B33335" s="36"/>
      <c r="C33335" s="36"/>
      <c r="E33335" s="1"/>
      <c r="F33335" s="1"/>
      <c r="G33335" s="1"/>
    </row>
    <row r="33336">
      <c r="B33336" s="36"/>
      <c r="C33336" s="36"/>
      <c r="E33336" s="1"/>
      <c r="F33336" s="1"/>
      <c r="G33336" s="1"/>
    </row>
    <row r="33337">
      <c r="B33337" s="36"/>
      <c r="C33337" s="36"/>
      <c r="E33337" s="1"/>
      <c r="F33337" s="1"/>
      <c r="G33337" s="1"/>
    </row>
    <row r="33338">
      <c r="B33338" s="36"/>
      <c r="C33338" s="36"/>
      <c r="E33338" s="1"/>
      <c r="F33338" s="1"/>
      <c r="G33338" s="1"/>
    </row>
    <row r="33339">
      <c r="B33339" s="36"/>
      <c r="C33339" s="36"/>
      <c r="E33339" s="1"/>
      <c r="F33339" s="1"/>
      <c r="G33339" s="1"/>
    </row>
    <row r="33340">
      <c r="B33340" s="36"/>
      <c r="C33340" s="36"/>
      <c r="E33340" s="1"/>
      <c r="F33340" s="1"/>
      <c r="G33340" s="1"/>
    </row>
    <row r="33341">
      <c r="B33341" s="36"/>
      <c r="C33341" s="36"/>
      <c r="E33341" s="1"/>
      <c r="F33341" s="1"/>
      <c r="G33341" s="1"/>
    </row>
    <row r="33342">
      <c r="B33342" s="36"/>
      <c r="C33342" s="36"/>
      <c r="E33342" s="1"/>
      <c r="F33342" s="1"/>
      <c r="G33342" s="1"/>
    </row>
    <row r="33343">
      <c r="B33343" s="36"/>
      <c r="C33343" s="36"/>
      <c r="E33343" s="1"/>
      <c r="F33343" s="1"/>
      <c r="G33343" s="1"/>
    </row>
    <row r="33344">
      <c r="B33344" s="36"/>
      <c r="C33344" s="36"/>
      <c r="E33344" s="1"/>
      <c r="F33344" s="1"/>
      <c r="G33344" s="1"/>
    </row>
    <row r="33345">
      <c r="B33345" s="36"/>
      <c r="C33345" s="36"/>
      <c r="E33345" s="1"/>
      <c r="F33345" s="1"/>
      <c r="G33345" s="1"/>
    </row>
    <row r="33346">
      <c r="B33346" s="36"/>
      <c r="C33346" s="36"/>
      <c r="E33346" s="1"/>
      <c r="F33346" s="1"/>
      <c r="G33346" s="1"/>
    </row>
    <row r="33347">
      <c r="B33347" s="36"/>
      <c r="C33347" s="36"/>
      <c r="E33347" s="1"/>
      <c r="F33347" s="1"/>
      <c r="G33347" s="1"/>
    </row>
    <row r="33348">
      <c r="B33348" s="36"/>
      <c r="C33348" s="36"/>
      <c r="E33348" s="1"/>
      <c r="F33348" s="1"/>
      <c r="G33348" s="1"/>
    </row>
    <row r="33349">
      <c r="B33349" s="36"/>
      <c r="C33349" s="36"/>
      <c r="E33349" s="1"/>
      <c r="F33349" s="1"/>
      <c r="G33349" s="1"/>
    </row>
    <row r="33350">
      <c r="B33350" s="36"/>
      <c r="C33350" s="36"/>
      <c r="E33350" s="1"/>
      <c r="F33350" s="1"/>
      <c r="G33350" s="1"/>
    </row>
    <row r="33351">
      <c r="B33351" s="36"/>
      <c r="C33351" s="36"/>
      <c r="E33351" s="1"/>
      <c r="F33351" s="1"/>
      <c r="G33351" s="1"/>
    </row>
    <row r="33352">
      <c r="B33352" s="36"/>
      <c r="C33352" s="36"/>
      <c r="E33352" s="1"/>
      <c r="F33352" s="1"/>
      <c r="G33352" s="1"/>
    </row>
    <row r="33353">
      <c r="B33353" s="36"/>
      <c r="C33353" s="36"/>
      <c r="E33353" s="1"/>
      <c r="F33353" s="1"/>
      <c r="G33353" s="1"/>
    </row>
    <row r="33354">
      <c r="B33354" s="36"/>
      <c r="C33354" s="36"/>
      <c r="E33354" s="1"/>
      <c r="F33354" s="1"/>
      <c r="G33354" s="1"/>
    </row>
    <row r="33355">
      <c r="B33355" s="36"/>
      <c r="C33355" s="36"/>
      <c r="E33355" s="1"/>
      <c r="F33355" s="1"/>
      <c r="G33355" s="1"/>
    </row>
    <row r="33356">
      <c r="B33356" s="36"/>
      <c r="C33356" s="36"/>
      <c r="E33356" s="1"/>
      <c r="F33356" s="1"/>
      <c r="G33356" s="1"/>
    </row>
    <row r="33357">
      <c r="B33357" s="36"/>
      <c r="C33357" s="36"/>
      <c r="E33357" s="1"/>
      <c r="F33357" s="1"/>
      <c r="G33357" s="1"/>
    </row>
    <row r="33358">
      <c r="B33358" s="36"/>
      <c r="C33358" s="36"/>
      <c r="E33358" s="1"/>
      <c r="F33358" s="1"/>
      <c r="G33358" s="1"/>
    </row>
    <row r="33359">
      <c r="B33359" s="36"/>
      <c r="C33359" s="36"/>
      <c r="E33359" s="1"/>
      <c r="F33359" s="1"/>
      <c r="G33359" s="1"/>
    </row>
    <row r="33360">
      <c r="B33360" s="36"/>
      <c r="C33360" s="36"/>
      <c r="E33360" s="1"/>
      <c r="F33360" s="1"/>
      <c r="G33360" s="1"/>
    </row>
    <row r="33361">
      <c r="B33361" s="36"/>
      <c r="C33361" s="36"/>
      <c r="E33361" s="1"/>
      <c r="F33361" s="1"/>
      <c r="G33361" s="1"/>
    </row>
    <row r="33362">
      <c r="B33362" s="36"/>
      <c r="C33362" s="36"/>
      <c r="E33362" s="1"/>
      <c r="F33362" s="1"/>
      <c r="G33362" s="1"/>
    </row>
    <row r="33363">
      <c r="B33363" s="36"/>
      <c r="C33363" s="36"/>
      <c r="E33363" s="1"/>
      <c r="F33363" s="1"/>
      <c r="G33363" s="1"/>
    </row>
    <row r="33364">
      <c r="B33364" s="36"/>
      <c r="C33364" s="36"/>
      <c r="E33364" s="1"/>
      <c r="F33364" s="1"/>
      <c r="G33364" s="1"/>
    </row>
    <row r="33365">
      <c r="B33365" s="36"/>
      <c r="C33365" s="36"/>
      <c r="E33365" s="1"/>
      <c r="F33365" s="1"/>
      <c r="G33365" s="1"/>
    </row>
    <row r="33366">
      <c r="B33366" s="36"/>
      <c r="C33366" s="36"/>
      <c r="E33366" s="1"/>
      <c r="F33366" s="1"/>
      <c r="G33366" s="1"/>
    </row>
    <row r="33367">
      <c r="B33367" s="36"/>
      <c r="C33367" s="36"/>
      <c r="E33367" s="1"/>
      <c r="F33367" s="1"/>
      <c r="G33367" s="1"/>
    </row>
    <row r="33368">
      <c r="B33368" s="36"/>
      <c r="C33368" s="36"/>
      <c r="E33368" s="1"/>
      <c r="F33368" s="1"/>
      <c r="G33368" s="1"/>
    </row>
    <row r="33369">
      <c r="B33369" s="36"/>
      <c r="C33369" s="36"/>
      <c r="E33369" s="1"/>
      <c r="F33369" s="1"/>
      <c r="G33369" s="1"/>
    </row>
    <row r="33370">
      <c r="B33370" s="36"/>
      <c r="C33370" s="36"/>
      <c r="E33370" s="1"/>
      <c r="F33370" s="1"/>
      <c r="G33370" s="1"/>
    </row>
    <row r="33371">
      <c r="B33371" s="36"/>
      <c r="C33371" s="36"/>
      <c r="E33371" s="1"/>
      <c r="F33371" s="1"/>
      <c r="G33371" s="1"/>
    </row>
    <row r="33372">
      <c r="B33372" s="36"/>
      <c r="C33372" s="36"/>
      <c r="E33372" s="1"/>
      <c r="F33372" s="1"/>
      <c r="G33372" s="1"/>
    </row>
    <row r="33373">
      <c r="B33373" s="36"/>
      <c r="C33373" s="36"/>
      <c r="E33373" s="1"/>
      <c r="F33373" s="1"/>
      <c r="G33373" s="1"/>
    </row>
    <row r="33374">
      <c r="B33374" s="36"/>
      <c r="C33374" s="36"/>
      <c r="E33374" s="1"/>
      <c r="F33374" s="1"/>
      <c r="G33374" s="1"/>
    </row>
    <row r="33375">
      <c r="B33375" s="36"/>
      <c r="C33375" s="36"/>
      <c r="E33375" s="1"/>
      <c r="F33375" s="1"/>
      <c r="G33375" s="1"/>
    </row>
    <row r="33376">
      <c r="B33376" s="36"/>
      <c r="C33376" s="36"/>
      <c r="E33376" s="1"/>
      <c r="F33376" s="1"/>
      <c r="G33376" s="1"/>
    </row>
    <row r="33377">
      <c r="B33377" s="36"/>
      <c r="C33377" s="36"/>
      <c r="E33377" s="1"/>
      <c r="F33377" s="1"/>
      <c r="G33377" s="1"/>
    </row>
    <row r="33378">
      <c r="B33378" s="36"/>
      <c r="C33378" s="36"/>
      <c r="E33378" s="1"/>
      <c r="F33378" s="1"/>
      <c r="G33378" s="1"/>
    </row>
    <row r="33379">
      <c r="B33379" s="36"/>
      <c r="C33379" s="36"/>
      <c r="E33379" s="1"/>
      <c r="F33379" s="1"/>
      <c r="G33379" s="1"/>
    </row>
    <row r="33380">
      <c r="B33380" s="36"/>
      <c r="C33380" s="36"/>
      <c r="E33380" s="1"/>
      <c r="F33380" s="1"/>
      <c r="G33380" s="1"/>
    </row>
    <row r="33381">
      <c r="B33381" s="36"/>
      <c r="C33381" s="36"/>
      <c r="E33381" s="1"/>
      <c r="F33381" s="1"/>
      <c r="G33381" s="1"/>
    </row>
    <row r="33382">
      <c r="B33382" s="36"/>
      <c r="C33382" s="36"/>
      <c r="E33382" s="1"/>
      <c r="F33382" s="1"/>
      <c r="G33382" s="1"/>
    </row>
    <row r="33383">
      <c r="B33383" s="36"/>
      <c r="C33383" s="36"/>
      <c r="E33383" s="1"/>
      <c r="F33383" s="1"/>
      <c r="G33383" s="1"/>
    </row>
    <row r="33384">
      <c r="B33384" s="36"/>
      <c r="C33384" s="36"/>
      <c r="E33384" s="1"/>
      <c r="F33384" s="1"/>
      <c r="G33384" s="1"/>
    </row>
    <row r="33385">
      <c r="B33385" s="36"/>
      <c r="C33385" s="36"/>
      <c r="E33385" s="1"/>
      <c r="F33385" s="1"/>
      <c r="G33385" s="1"/>
    </row>
    <row r="33386">
      <c r="B33386" s="36"/>
      <c r="C33386" s="36"/>
      <c r="E33386" s="1"/>
      <c r="F33386" s="1"/>
      <c r="G33386" s="1"/>
    </row>
    <row r="33387">
      <c r="B33387" s="36"/>
      <c r="C33387" s="36"/>
      <c r="E33387" s="1"/>
      <c r="F33387" s="1"/>
      <c r="G33387" s="1"/>
    </row>
    <row r="33388">
      <c r="B33388" s="36"/>
      <c r="C33388" s="36"/>
      <c r="E33388" s="1"/>
      <c r="F33388" s="1"/>
      <c r="G33388" s="1"/>
    </row>
    <row r="33389">
      <c r="B33389" s="36"/>
      <c r="C33389" s="36"/>
      <c r="E33389" s="1"/>
      <c r="F33389" s="1"/>
      <c r="G33389" s="1"/>
    </row>
    <row r="33390">
      <c r="B33390" s="36"/>
      <c r="C33390" s="36"/>
      <c r="E33390" s="1"/>
      <c r="F33390" s="1"/>
      <c r="G33390" s="1"/>
    </row>
    <row r="33391">
      <c r="B33391" s="36"/>
      <c r="C33391" s="36"/>
      <c r="E33391" s="1"/>
      <c r="F33391" s="1"/>
      <c r="G33391" s="1"/>
    </row>
    <row r="33392">
      <c r="B33392" s="36"/>
      <c r="C33392" s="36"/>
      <c r="E33392" s="1"/>
      <c r="F33392" s="1"/>
      <c r="G33392" s="1"/>
    </row>
    <row r="33393">
      <c r="B33393" s="36"/>
      <c r="C33393" s="36"/>
      <c r="E33393" s="1"/>
      <c r="F33393" s="1"/>
      <c r="G33393" s="1"/>
    </row>
    <row r="33394">
      <c r="B33394" s="36"/>
      <c r="C33394" s="36"/>
      <c r="E33394" s="1"/>
      <c r="F33394" s="1"/>
      <c r="G33394" s="1"/>
    </row>
    <row r="33395">
      <c r="B33395" s="36"/>
      <c r="C33395" s="36"/>
      <c r="E33395" s="1"/>
      <c r="F33395" s="1"/>
      <c r="G33395" s="1"/>
    </row>
    <row r="33396">
      <c r="B33396" s="36"/>
      <c r="C33396" s="36"/>
      <c r="E33396" s="1"/>
      <c r="F33396" s="1"/>
      <c r="G33396" s="1"/>
    </row>
    <row r="33397">
      <c r="B33397" s="36"/>
      <c r="C33397" s="36"/>
      <c r="E33397" s="1"/>
      <c r="F33397" s="1"/>
      <c r="G33397" s="1"/>
    </row>
    <row r="33398">
      <c r="B33398" s="36"/>
      <c r="C33398" s="36"/>
      <c r="E33398" s="1"/>
      <c r="F33398" s="1"/>
      <c r="G33398" s="1"/>
    </row>
    <row r="33399">
      <c r="B33399" s="36"/>
      <c r="C33399" s="36"/>
      <c r="E33399" s="1"/>
      <c r="F33399" s="1"/>
      <c r="G33399" s="1"/>
    </row>
    <row r="33400">
      <c r="B33400" s="36"/>
      <c r="C33400" s="36"/>
      <c r="E33400" s="1"/>
      <c r="F33400" s="1"/>
      <c r="G33400" s="1"/>
    </row>
    <row r="33401">
      <c r="B33401" s="36"/>
      <c r="C33401" s="36"/>
      <c r="E33401" s="1"/>
      <c r="F33401" s="1"/>
      <c r="G33401" s="1"/>
    </row>
    <row r="33402">
      <c r="B33402" s="36"/>
      <c r="C33402" s="36"/>
      <c r="E33402" s="1"/>
      <c r="F33402" s="1"/>
      <c r="G33402" s="1"/>
    </row>
    <row r="33403">
      <c r="B33403" s="36"/>
      <c r="C33403" s="36"/>
      <c r="E33403" s="1"/>
      <c r="F33403" s="1"/>
      <c r="G33403" s="1"/>
    </row>
    <row r="33404">
      <c r="B33404" s="36"/>
      <c r="C33404" s="36"/>
      <c r="E33404" s="1"/>
      <c r="F33404" s="1"/>
      <c r="G33404" s="1"/>
    </row>
    <row r="33405">
      <c r="B33405" s="36"/>
      <c r="C33405" s="36"/>
      <c r="E33405" s="1"/>
      <c r="F33405" s="1"/>
      <c r="G33405" s="1"/>
    </row>
    <row r="33406">
      <c r="B33406" s="36"/>
      <c r="C33406" s="36"/>
      <c r="E33406" s="1"/>
      <c r="F33406" s="1"/>
      <c r="G33406" s="1"/>
    </row>
    <row r="33407">
      <c r="B33407" s="36"/>
      <c r="C33407" s="36"/>
      <c r="E33407" s="1"/>
      <c r="F33407" s="1"/>
      <c r="G33407" s="1"/>
    </row>
    <row r="33408">
      <c r="B33408" s="36"/>
      <c r="C33408" s="36"/>
      <c r="E33408" s="1"/>
      <c r="F33408" s="1"/>
      <c r="G33408" s="1"/>
    </row>
    <row r="33409">
      <c r="B33409" s="36"/>
      <c r="C33409" s="36"/>
      <c r="E33409" s="1"/>
      <c r="F33409" s="1"/>
      <c r="G33409" s="1"/>
    </row>
    <row r="33410">
      <c r="B33410" s="36"/>
      <c r="C33410" s="36"/>
      <c r="E33410" s="1"/>
      <c r="F33410" s="1"/>
      <c r="G33410" s="1"/>
    </row>
    <row r="33411">
      <c r="B33411" s="36"/>
      <c r="C33411" s="36"/>
      <c r="E33411" s="1"/>
      <c r="F33411" s="1"/>
      <c r="G33411" s="1"/>
    </row>
    <row r="33412">
      <c r="B33412" s="36"/>
      <c r="C33412" s="36"/>
      <c r="E33412" s="1"/>
      <c r="F33412" s="1"/>
      <c r="G33412" s="1"/>
    </row>
    <row r="33413">
      <c r="B33413" s="36"/>
      <c r="C33413" s="36"/>
      <c r="E33413" s="1"/>
      <c r="F33413" s="1"/>
      <c r="G33413" s="1"/>
    </row>
    <row r="33414">
      <c r="B33414" s="36"/>
      <c r="C33414" s="36"/>
      <c r="E33414" s="1"/>
      <c r="F33414" s="1"/>
      <c r="G33414" s="1"/>
    </row>
    <row r="33415">
      <c r="B33415" s="36"/>
      <c r="C33415" s="36"/>
      <c r="E33415" s="1"/>
      <c r="F33415" s="1"/>
      <c r="G33415" s="1"/>
    </row>
    <row r="33416">
      <c r="B33416" s="36"/>
      <c r="C33416" s="36"/>
      <c r="E33416" s="1"/>
      <c r="F33416" s="1"/>
      <c r="G33416" s="1"/>
    </row>
    <row r="33417">
      <c r="B33417" s="36"/>
      <c r="C33417" s="36"/>
      <c r="E33417" s="1"/>
      <c r="F33417" s="1"/>
      <c r="G33417" s="1"/>
    </row>
    <row r="33418">
      <c r="B33418" s="36"/>
      <c r="C33418" s="36"/>
      <c r="E33418" s="1"/>
      <c r="F33418" s="1"/>
      <c r="G33418" s="1"/>
    </row>
    <row r="33419">
      <c r="B33419" s="36"/>
      <c r="C33419" s="36"/>
      <c r="E33419" s="1"/>
      <c r="F33419" s="1"/>
      <c r="G33419" s="1"/>
    </row>
    <row r="33420">
      <c r="B33420" s="36"/>
      <c r="C33420" s="36"/>
      <c r="E33420" s="1"/>
      <c r="F33420" s="1"/>
      <c r="G33420" s="1"/>
    </row>
    <row r="33421">
      <c r="B33421" s="36"/>
      <c r="C33421" s="36"/>
      <c r="E33421" s="1"/>
      <c r="F33421" s="1"/>
      <c r="G33421" s="1"/>
    </row>
    <row r="33422">
      <c r="B33422" s="36"/>
      <c r="C33422" s="36"/>
      <c r="E33422" s="1"/>
      <c r="F33422" s="1"/>
      <c r="G33422" s="1"/>
    </row>
    <row r="33423">
      <c r="B33423" s="36"/>
      <c r="C33423" s="36"/>
      <c r="E33423" s="1"/>
      <c r="F33423" s="1"/>
      <c r="G33423" s="1"/>
    </row>
    <row r="33424">
      <c r="B33424" s="36"/>
      <c r="C33424" s="36"/>
      <c r="E33424" s="1"/>
      <c r="F33424" s="1"/>
      <c r="G33424" s="1"/>
    </row>
    <row r="33425">
      <c r="B33425" s="36"/>
      <c r="C33425" s="36"/>
      <c r="E33425" s="1"/>
      <c r="F33425" s="1"/>
      <c r="G33425" s="1"/>
    </row>
    <row r="33426">
      <c r="B33426" s="36"/>
      <c r="C33426" s="36"/>
      <c r="E33426" s="1"/>
      <c r="F33426" s="1"/>
      <c r="G33426" s="1"/>
    </row>
    <row r="33427">
      <c r="B33427" s="36"/>
      <c r="C33427" s="36"/>
      <c r="E33427" s="1"/>
      <c r="F33427" s="1"/>
      <c r="G33427" s="1"/>
    </row>
    <row r="33428">
      <c r="B33428" s="36"/>
      <c r="C33428" s="36"/>
      <c r="E33428" s="1"/>
      <c r="F33428" s="1"/>
      <c r="G33428" s="1"/>
    </row>
    <row r="33429">
      <c r="B33429" s="36"/>
      <c r="C33429" s="36"/>
      <c r="E33429" s="1"/>
      <c r="F33429" s="1"/>
      <c r="G33429" s="1"/>
    </row>
    <row r="33430">
      <c r="B33430" s="36"/>
      <c r="C33430" s="36"/>
      <c r="E33430" s="1"/>
      <c r="F33430" s="1"/>
      <c r="G33430" s="1"/>
    </row>
    <row r="33431">
      <c r="B33431" s="36"/>
      <c r="C33431" s="36"/>
      <c r="E33431" s="1"/>
      <c r="F33431" s="1"/>
      <c r="G33431" s="1"/>
    </row>
    <row r="33432">
      <c r="B33432" s="36"/>
      <c r="C33432" s="36"/>
      <c r="E33432" s="1"/>
      <c r="F33432" s="1"/>
      <c r="G33432" s="1"/>
    </row>
    <row r="33433">
      <c r="B33433" s="36"/>
      <c r="C33433" s="36"/>
      <c r="E33433" s="1"/>
      <c r="F33433" s="1"/>
      <c r="G33433" s="1"/>
    </row>
    <row r="33434">
      <c r="B33434" s="36"/>
      <c r="C33434" s="36"/>
      <c r="E33434" s="1"/>
      <c r="F33434" s="1"/>
      <c r="G33434" s="1"/>
    </row>
    <row r="33435">
      <c r="B33435" s="36"/>
      <c r="C33435" s="36"/>
      <c r="E33435" s="1"/>
      <c r="F33435" s="1"/>
      <c r="G33435" s="1"/>
    </row>
    <row r="33436">
      <c r="B33436" s="36"/>
      <c r="C33436" s="36"/>
      <c r="E33436" s="1"/>
      <c r="F33436" s="1"/>
      <c r="G33436" s="1"/>
    </row>
    <row r="33437">
      <c r="B33437" s="36"/>
      <c r="C33437" s="36"/>
      <c r="E33437" s="1"/>
      <c r="F33437" s="1"/>
      <c r="G33437" s="1"/>
    </row>
    <row r="33438">
      <c r="B33438" s="36"/>
      <c r="C33438" s="36"/>
      <c r="E33438" s="1"/>
      <c r="F33438" s="1"/>
      <c r="G33438" s="1"/>
    </row>
    <row r="33439">
      <c r="B33439" s="36"/>
      <c r="C33439" s="36"/>
      <c r="E33439" s="1"/>
      <c r="F33439" s="1"/>
      <c r="G33439" s="1"/>
    </row>
    <row r="33440">
      <c r="B33440" s="36"/>
      <c r="C33440" s="36"/>
      <c r="E33440" s="1"/>
      <c r="F33440" s="1"/>
      <c r="G33440" s="1"/>
    </row>
    <row r="33441">
      <c r="B33441" s="36"/>
      <c r="C33441" s="36"/>
      <c r="E33441" s="1"/>
      <c r="F33441" s="1"/>
      <c r="G33441" s="1"/>
    </row>
    <row r="33442">
      <c r="B33442" s="36"/>
      <c r="C33442" s="36"/>
      <c r="E33442" s="1"/>
      <c r="F33442" s="1"/>
      <c r="G33442" s="1"/>
    </row>
    <row r="33443">
      <c r="B33443" s="36"/>
      <c r="C33443" s="36"/>
      <c r="E33443" s="1"/>
      <c r="F33443" s="1"/>
      <c r="G33443" s="1"/>
    </row>
    <row r="33444">
      <c r="B33444" s="36"/>
      <c r="C33444" s="36"/>
      <c r="E33444" s="1"/>
      <c r="F33444" s="1"/>
      <c r="G33444" s="1"/>
    </row>
    <row r="33445">
      <c r="B33445" s="36"/>
      <c r="C33445" s="36"/>
      <c r="E33445" s="1"/>
      <c r="F33445" s="1"/>
      <c r="G33445" s="1"/>
    </row>
    <row r="33446">
      <c r="B33446" s="36"/>
      <c r="C33446" s="36"/>
      <c r="E33446" s="1"/>
      <c r="F33446" s="1"/>
      <c r="G33446" s="1"/>
    </row>
    <row r="33447">
      <c r="B33447" s="36"/>
      <c r="C33447" s="36"/>
      <c r="E33447" s="1"/>
      <c r="F33447" s="1"/>
      <c r="G33447" s="1"/>
    </row>
    <row r="33448">
      <c r="B33448" s="36"/>
      <c r="C33448" s="36"/>
      <c r="E33448" s="1"/>
      <c r="F33448" s="1"/>
      <c r="G33448" s="1"/>
    </row>
    <row r="33449">
      <c r="B33449" s="36"/>
      <c r="C33449" s="36"/>
      <c r="E33449" s="1"/>
      <c r="F33449" s="1"/>
      <c r="G33449" s="1"/>
    </row>
    <row r="33450">
      <c r="B33450" s="36"/>
      <c r="C33450" s="36"/>
      <c r="E33450" s="1"/>
      <c r="F33450" s="1"/>
      <c r="G33450" s="1"/>
    </row>
    <row r="33451">
      <c r="B33451" s="36"/>
      <c r="C33451" s="36"/>
      <c r="E33451" s="1"/>
      <c r="F33451" s="1"/>
      <c r="G33451" s="1"/>
    </row>
    <row r="33452">
      <c r="B33452" s="36"/>
      <c r="C33452" s="36"/>
      <c r="E33452" s="1"/>
      <c r="F33452" s="1"/>
      <c r="G33452" s="1"/>
    </row>
    <row r="33453">
      <c r="B33453" s="36"/>
      <c r="C33453" s="36"/>
      <c r="E33453" s="1"/>
      <c r="F33453" s="1"/>
      <c r="G33453" s="1"/>
    </row>
    <row r="33454">
      <c r="B33454" s="36"/>
      <c r="C33454" s="36"/>
      <c r="E33454" s="1"/>
      <c r="F33454" s="1"/>
      <c r="G33454" s="1"/>
    </row>
    <row r="33455">
      <c r="B33455" s="36"/>
      <c r="C33455" s="36"/>
      <c r="E33455" s="1"/>
      <c r="F33455" s="1"/>
      <c r="G33455" s="1"/>
    </row>
    <row r="33456">
      <c r="B33456" s="36"/>
      <c r="C33456" s="36"/>
      <c r="E33456" s="1"/>
      <c r="F33456" s="1"/>
      <c r="G33456" s="1"/>
    </row>
    <row r="33457">
      <c r="B33457" s="36"/>
      <c r="C33457" s="36"/>
      <c r="E33457" s="1"/>
      <c r="F33457" s="1"/>
      <c r="G33457" s="1"/>
    </row>
    <row r="33458">
      <c r="B33458" s="36"/>
      <c r="C33458" s="36"/>
      <c r="E33458" s="1"/>
      <c r="F33458" s="1"/>
      <c r="G33458" s="1"/>
    </row>
    <row r="33459">
      <c r="B33459" s="36"/>
      <c r="C33459" s="36"/>
      <c r="E33459" s="1"/>
      <c r="F33459" s="1"/>
      <c r="G33459" s="1"/>
    </row>
    <row r="33460">
      <c r="B33460" s="36"/>
      <c r="C33460" s="36"/>
      <c r="E33460" s="1"/>
      <c r="F33460" s="1"/>
      <c r="G33460" s="1"/>
    </row>
    <row r="33461">
      <c r="B33461" s="36"/>
      <c r="C33461" s="36"/>
      <c r="E33461" s="1"/>
      <c r="F33461" s="1"/>
      <c r="G33461" s="1"/>
    </row>
    <row r="33462">
      <c r="B33462" s="36"/>
      <c r="C33462" s="36"/>
      <c r="E33462" s="1"/>
      <c r="F33462" s="1"/>
      <c r="G33462" s="1"/>
    </row>
    <row r="33463">
      <c r="B33463" s="36"/>
      <c r="C33463" s="36"/>
      <c r="E33463" s="1"/>
      <c r="F33463" s="1"/>
      <c r="G33463" s="1"/>
    </row>
    <row r="33464">
      <c r="B33464" s="36"/>
      <c r="C33464" s="36"/>
      <c r="E33464" s="1"/>
      <c r="F33464" s="1"/>
      <c r="G33464" s="1"/>
    </row>
    <row r="33465">
      <c r="B33465" s="36"/>
      <c r="C33465" s="36"/>
      <c r="E33465" s="1"/>
      <c r="F33465" s="1"/>
      <c r="G33465" s="1"/>
    </row>
    <row r="33466">
      <c r="B33466" s="36"/>
      <c r="C33466" s="36"/>
      <c r="E33466" s="1"/>
      <c r="F33466" s="1"/>
      <c r="G33466" s="1"/>
    </row>
    <row r="33467">
      <c r="B33467" s="36"/>
      <c r="C33467" s="36"/>
      <c r="E33467" s="1"/>
      <c r="F33467" s="1"/>
      <c r="G33467" s="1"/>
    </row>
    <row r="33468">
      <c r="B33468" s="36"/>
      <c r="C33468" s="36"/>
      <c r="E33468" s="1"/>
      <c r="F33468" s="1"/>
      <c r="G33468" s="1"/>
    </row>
    <row r="33469">
      <c r="B33469" s="36"/>
      <c r="C33469" s="36"/>
      <c r="E33469" s="1"/>
      <c r="F33469" s="1"/>
      <c r="G33469" s="1"/>
    </row>
    <row r="33470">
      <c r="B33470" s="36"/>
      <c r="C33470" s="36"/>
      <c r="E33470" s="1"/>
      <c r="F33470" s="1"/>
      <c r="G33470" s="1"/>
    </row>
    <row r="33471">
      <c r="B33471" s="36"/>
      <c r="C33471" s="36"/>
      <c r="E33471" s="1"/>
      <c r="F33471" s="1"/>
      <c r="G33471" s="1"/>
    </row>
    <row r="33472">
      <c r="B33472" s="36"/>
      <c r="C33472" s="36"/>
      <c r="E33472" s="1"/>
      <c r="F33472" s="1"/>
      <c r="G33472" s="1"/>
    </row>
    <row r="33473">
      <c r="B33473" s="36"/>
      <c r="C33473" s="36"/>
      <c r="E33473" s="1"/>
      <c r="F33473" s="1"/>
      <c r="G33473" s="1"/>
    </row>
    <row r="33474">
      <c r="B33474" s="36"/>
      <c r="C33474" s="36"/>
      <c r="E33474" s="1"/>
      <c r="F33474" s="1"/>
      <c r="G33474" s="1"/>
    </row>
    <row r="33475">
      <c r="B33475" s="36"/>
      <c r="C33475" s="36"/>
      <c r="E33475" s="1"/>
      <c r="F33475" s="1"/>
      <c r="G33475" s="1"/>
    </row>
    <row r="33476">
      <c r="B33476" s="36"/>
      <c r="C33476" s="36"/>
      <c r="E33476" s="1"/>
      <c r="F33476" s="1"/>
      <c r="G33476" s="1"/>
    </row>
    <row r="33477">
      <c r="B33477" s="36"/>
      <c r="C33477" s="36"/>
      <c r="E33477" s="1"/>
      <c r="F33477" s="1"/>
      <c r="G33477" s="1"/>
    </row>
    <row r="33478">
      <c r="B33478" s="36"/>
      <c r="C33478" s="36"/>
      <c r="E33478" s="1"/>
      <c r="F33478" s="1"/>
      <c r="G33478" s="1"/>
    </row>
    <row r="33479">
      <c r="B33479" s="36"/>
      <c r="C33479" s="36"/>
      <c r="E33479" s="1"/>
      <c r="F33479" s="1"/>
      <c r="G33479" s="1"/>
    </row>
    <row r="33480">
      <c r="B33480" s="36"/>
      <c r="C33480" s="36"/>
      <c r="E33480" s="1"/>
      <c r="F33480" s="1"/>
      <c r="G33480" s="1"/>
    </row>
    <row r="33481">
      <c r="B33481" s="36"/>
      <c r="C33481" s="36"/>
      <c r="E33481" s="1"/>
      <c r="F33481" s="1"/>
      <c r="G33481" s="1"/>
    </row>
    <row r="33482">
      <c r="B33482" s="36"/>
      <c r="C33482" s="36"/>
      <c r="E33482" s="1"/>
      <c r="F33482" s="1"/>
      <c r="G33482" s="1"/>
    </row>
    <row r="33483">
      <c r="B33483" s="36"/>
      <c r="C33483" s="36"/>
      <c r="E33483" s="1"/>
      <c r="F33483" s="1"/>
      <c r="G33483" s="1"/>
    </row>
    <row r="33484">
      <c r="B33484" s="36"/>
      <c r="C33484" s="36"/>
      <c r="E33484" s="1"/>
      <c r="F33484" s="1"/>
      <c r="G33484" s="1"/>
    </row>
    <row r="33485">
      <c r="B33485" s="36"/>
      <c r="C33485" s="36"/>
      <c r="E33485" s="1"/>
      <c r="F33485" s="1"/>
      <c r="G33485" s="1"/>
    </row>
    <row r="33486">
      <c r="B33486" s="36"/>
      <c r="C33486" s="36"/>
      <c r="E33486" s="1"/>
      <c r="F33486" s="1"/>
      <c r="G33486" s="1"/>
    </row>
    <row r="33487">
      <c r="B33487" s="36"/>
      <c r="C33487" s="36"/>
      <c r="E33487" s="1"/>
      <c r="F33487" s="1"/>
      <c r="G33487" s="1"/>
    </row>
    <row r="33488">
      <c r="B33488" s="36"/>
      <c r="C33488" s="36"/>
      <c r="E33488" s="1"/>
      <c r="F33488" s="1"/>
      <c r="G33488" s="1"/>
    </row>
    <row r="33489">
      <c r="B33489" s="36"/>
      <c r="C33489" s="36"/>
      <c r="E33489" s="1"/>
      <c r="F33489" s="1"/>
      <c r="G33489" s="1"/>
    </row>
    <row r="33490">
      <c r="B33490" s="36"/>
      <c r="C33490" s="36"/>
      <c r="E33490" s="1"/>
      <c r="F33490" s="1"/>
      <c r="G33490" s="1"/>
    </row>
    <row r="33491">
      <c r="B33491" s="36"/>
      <c r="C33491" s="36"/>
      <c r="E33491" s="1"/>
      <c r="F33491" s="1"/>
      <c r="G33491" s="1"/>
    </row>
    <row r="33492">
      <c r="B33492" s="36"/>
      <c r="C33492" s="36"/>
      <c r="E33492" s="1"/>
      <c r="F33492" s="1"/>
      <c r="G33492" s="1"/>
    </row>
    <row r="33493">
      <c r="B33493" s="36"/>
      <c r="C33493" s="36"/>
      <c r="E33493" s="1"/>
      <c r="F33493" s="1"/>
      <c r="G33493" s="1"/>
    </row>
    <row r="33494">
      <c r="B33494" s="36"/>
      <c r="C33494" s="36"/>
      <c r="E33494" s="1"/>
      <c r="F33494" s="1"/>
      <c r="G33494" s="1"/>
    </row>
    <row r="33495">
      <c r="B33495" s="36"/>
      <c r="C33495" s="36"/>
      <c r="E33495" s="1"/>
      <c r="F33495" s="1"/>
      <c r="G33495" s="1"/>
    </row>
    <row r="33496">
      <c r="B33496" s="36"/>
      <c r="C33496" s="36"/>
      <c r="E33496" s="1"/>
      <c r="F33496" s="1"/>
      <c r="G33496" s="1"/>
    </row>
    <row r="33497">
      <c r="B33497" s="36"/>
      <c r="C33497" s="36"/>
      <c r="E33497" s="1"/>
      <c r="F33497" s="1"/>
      <c r="G33497" s="1"/>
    </row>
    <row r="33498">
      <c r="B33498" s="36"/>
      <c r="C33498" s="36"/>
      <c r="E33498" s="1"/>
      <c r="F33498" s="1"/>
      <c r="G33498" s="1"/>
    </row>
    <row r="33499">
      <c r="B33499" s="36"/>
      <c r="C33499" s="36"/>
      <c r="E33499" s="1"/>
      <c r="F33499" s="1"/>
      <c r="G33499" s="1"/>
    </row>
    <row r="33500">
      <c r="B33500" s="36"/>
      <c r="C33500" s="36"/>
      <c r="E33500" s="1"/>
      <c r="F33500" s="1"/>
      <c r="G33500" s="1"/>
    </row>
    <row r="33501">
      <c r="B33501" s="36"/>
      <c r="C33501" s="36"/>
      <c r="E33501" s="1"/>
      <c r="F33501" s="1"/>
      <c r="G33501" s="1"/>
    </row>
    <row r="33502">
      <c r="B33502" s="36"/>
      <c r="C33502" s="36"/>
      <c r="E33502" s="1"/>
      <c r="F33502" s="1"/>
      <c r="G33502" s="1"/>
    </row>
    <row r="33503">
      <c r="B33503" s="36"/>
      <c r="C33503" s="36"/>
      <c r="E33503" s="1"/>
      <c r="F33503" s="1"/>
      <c r="G33503" s="1"/>
    </row>
    <row r="33504">
      <c r="B33504" s="36"/>
      <c r="C33504" s="36"/>
      <c r="E33504" s="1"/>
      <c r="F33504" s="1"/>
      <c r="G33504" s="1"/>
    </row>
    <row r="33505">
      <c r="B33505" s="36"/>
      <c r="C33505" s="36"/>
      <c r="E33505" s="1"/>
      <c r="F33505" s="1"/>
      <c r="G33505" s="1"/>
    </row>
    <row r="33506">
      <c r="B33506" s="36"/>
      <c r="C33506" s="36"/>
      <c r="E33506" s="1"/>
      <c r="F33506" s="1"/>
      <c r="G33506" s="1"/>
    </row>
    <row r="33507">
      <c r="B33507" s="36"/>
      <c r="C33507" s="36"/>
      <c r="E33507" s="1"/>
      <c r="F33507" s="1"/>
      <c r="G33507" s="1"/>
    </row>
    <row r="33508">
      <c r="B33508" s="36"/>
      <c r="C33508" s="36"/>
      <c r="E33508" s="1"/>
      <c r="F33508" s="1"/>
      <c r="G33508" s="1"/>
    </row>
    <row r="33509">
      <c r="B33509" s="36"/>
      <c r="C33509" s="36"/>
      <c r="E33509" s="1"/>
      <c r="F33509" s="1"/>
      <c r="G33509" s="1"/>
    </row>
    <row r="33510">
      <c r="B33510" s="36"/>
      <c r="C33510" s="36"/>
      <c r="E33510" s="1"/>
      <c r="F33510" s="1"/>
      <c r="G33510" s="1"/>
    </row>
    <row r="33511">
      <c r="B33511" s="36"/>
      <c r="C33511" s="36"/>
      <c r="E33511" s="1"/>
      <c r="F33511" s="1"/>
      <c r="G33511" s="1"/>
    </row>
    <row r="33512">
      <c r="B33512" s="36"/>
      <c r="C33512" s="36"/>
      <c r="E33512" s="1"/>
      <c r="F33512" s="1"/>
      <c r="G33512" s="1"/>
    </row>
    <row r="33513">
      <c r="B33513" s="36"/>
      <c r="C33513" s="36"/>
      <c r="E33513" s="1"/>
      <c r="F33513" s="1"/>
      <c r="G33513" s="1"/>
    </row>
    <row r="33514">
      <c r="B33514" s="36"/>
      <c r="C33514" s="36"/>
      <c r="E33514" s="1"/>
      <c r="F33514" s="1"/>
      <c r="G33514" s="1"/>
    </row>
    <row r="33515">
      <c r="B33515" s="36"/>
      <c r="C33515" s="36"/>
      <c r="E33515" s="1"/>
      <c r="F33515" s="1"/>
      <c r="G33515" s="1"/>
    </row>
    <row r="33516">
      <c r="B33516" s="36"/>
      <c r="C33516" s="36"/>
      <c r="E33516" s="1"/>
      <c r="F33516" s="1"/>
      <c r="G33516" s="1"/>
    </row>
    <row r="33517">
      <c r="B33517" s="36"/>
      <c r="C33517" s="36"/>
      <c r="E33517" s="1"/>
      <c r="F33517" s="1"/>
      <c r="G33517" s="1"/>
    </row>
    <row r="33518">
      <c r="B33518" s="36"/>
      <c r="C33518" s="36"/>
      <c r="E33518" s="1"/>
      <c r="F33518" s="1"/>
      <c r="G33518" s="1"/>
    </row>
    <row r="33519">
      <c r="B33519" s="36"/>
      <c r="C33519" s="36"/>
      <c r="E33519" s="1"/>
      <c r="F33519" s="1"/>
      <c r="G33519" s="1"/>
    </row>
    <row r="33520">
      <c r="B33520" s="36"/>
      <c r="C33520" s="36"/>
      <c r="E33520" s="1"/>
      <c r="F33520" s="1"/>
      <c r="G33520" s="1"/>
    </row>
    <row r="33521">
      <c r="B33521" s="36"/>
      <c r="C33521" s="36"/>
      <c r="E33521" s="1"/>
      <c r="F33521" s="1"/>
      <c r="G33521" s="1"/>
    </row>
    <row r="33522">
      <c r="B33522" s="36"/>
      <c r="C33522" s="36"/>
      <c r="E33522" s="1"/>
      <c r="F33522" s="1"/>
      <c r="G33522" s="1"/>
    </row>
    <row r="33523">
      <c r="B33523" s="36"/>
      <c r="C33523" s="36"/>
      <c r="E33523" s="1"/>
      <c r="F33523" s="1"/>
      <c r="G33523" s="1"/>
    </row>
    <row r="33524">
      <c r="B33524" s="36"/>
      <c r="C33524" s="36"/>
      <c r="E33524" s="1"/>
      <c r="F33524" s="1"/>
      <c r="G33524" s="1"/>
    </row>
    <row r="33525">
      <c r="B33525" s="36"/>
      <c r="C33525" s="36"/>
      <c r="E33525" s="1"/>
      <c r="F33525" s="1"/>
      <c r="G33525" s="1"/>
    </row>
    <row r="33526">
      <c r="B33526" s="36"/>
      <c r="C33526" s="36"/>
      <c r="E33526" s="1"/>
      <c r="F33526" s="1"/>
      <c r="G33526" s="1"/>
    </row>
    <row r="33527">
      <c r="B33527" s="36"/>
      <c r="C33527" s="36"/>
      <c r="E33527" s="1"/>
      <c r="F33527" s="1"/>
      <c r="G33527" s="1"/>
    </row>
    <row r="33528">
      <c r="B33528" s="36"/>
      <c r="C33528" s="36"/>
      <c r="E33528" s="1"/>
      <c r="F33528" s="1"/>
      <c r="G33528" s="1"/>
    </row>
    <row r="33529">
      <c r="B33529" s="36"/>
      <c r="C33529" s="36"/>
      <c r="E33529" s="1"/>
      <c r="F33529" s="1"/>
      <c r="G33529" s="1"/>
    </row>
    <row r="33530">
      <c r="B33530" s="36"/>
      <c r="C33530" s="36"/>
      <c r="E33530" s="1"/>
      <c r="F33530" s="1"/>
      <c r="G33530" s="1"/>
    </row>
    <row r="33531">
      <c r="B33531" s="36"/>
      <c r="C33531" s="36"/>
      <c r="E33531" s="1"/>
      <c r="F33531" s="1"/>
      <c r="G33531" s="1"/>
    </row>
    <row r="33532">
      <c r="B33532" s="36"/>
      <c r="C33532" s="36"/>
      <c r="E33532" s="1"/>
      <c r="F33532" s="1"/>
      <c r="G33532" s="1"/>
    </row>
    <row r="33533">
      <c r="B33533" s="36"/>
      <c r="C33533" s="36"/>
      <c r="E33533" s="1"/>
      <c r="F33533" s="1"/>
      <c r="G33533" s="1"/>
    </row>
    <row r="33534">
      <c r="B33534" s="36"/>
      <c r="C33534" s="36"/>
      <c r="E33534" s="1"/>
      <c r="F33534" s="1"/>
      <c r="G33534" s="1"/>
    </row>
    <row r="33535">
      <c r="B33535" s="36"/>
      <c r="C33535" s="36"/>
      <c r="E33535" s="1"/>
      <c r="F33535" s="1"/>
      <c r="G33535" s="1"/>
    </row>
    <row r="33536">
      <c r="B33536" s="36"/>
      <c r="C33536" s="36"/>
      <c r="E33536" s="1"/>
      <c r="F33536" s="1"/>
      <c r="G33536" s="1"/>
    </row>
    <row r="33537">
      <c r="B33537" s="36"/>
      <c r="C33537" s="36"/>
      <c r="E33537" s="1"/>
      <c r="F33537" s="1"/>
      <c r="G33537" s="1"/>
    </row>
    <row r="33538">
      <c r="B33538" s="36"/>
      <c r="C33538" s="36"/>
      <c r="E33538" s="1"/>
      <c r="F33538" s="1"/>
      <c r="G33538" s="1"/>
    </row>
    <row r="33539">
      <c r="B33539" s="36"/>
      <c r="C33539" s="36"/>
      <c r="E33539" s="1"/>
      <c r="F33539" s="1"/>
      <c r="G33539" s="1"/>
    </row>
    <row r="33540">
      <c r="B33540" s="36"/>
      <c r="C33540" s="36"/>
      <c r="E33540" s="1"/>
      <c r="F33540" s="1"/>
      <c r="G33540" s="1"/>
    </row>
    <row r="33541">
      <c r="B33541" s="36"/>
      <c r="C33541" s="36"/>
      <c r="E33541" s="1"/>
      <c r="F33541" s="1"/>
      <c r="G33541" s="1"/>
    </row>
    <row r="33542">
      <c r="B33542" s="36"/>
      <c r="C33542" s="36"/>
      <c r="E33542" s="1"/>
      <c r="F33542" s="1"/>
      <c r="G33542" s="1"/>
    </row>
    <row r="33543">
      <c r="B33543" s="36"/>
      <c r="C33543" s="36"/>
      <c r="E33543" s="1"/>
      <c r="F33543" s="1"/>
      <c r="G33543" s="1"/>
    </row>
    <row r="33544">
      <c r="B33544" s="36"/>
      <c r="C33544" s="36"/>
      <c r="E33544" s="1"/>
      <c r="F33544" s="1"/>
      <c r="G33544" s="1"/>
    </row>
    <row r="33545">
      <c r="B33545" s="36"/>
      <c r="C33545" s="36"/>
      <c r="E33545" s="1"/>
      <c r="F33545" s="1"/>
      <c r="G33545" s="1"/>
    </row>
    <row r="33546">
      <c r="B33546" s="36"/>
      <c r="C33546" s="36"/>
      <c r="E33546" s="1"/>
      <c r="F33546" s="1"/>
      <c r="G33546" s="1"/>
    </row>
    <row r="33547">
      <c r="B33547" s="36"/>
      <c r="C33547" s="36"/>
      <c r="E33547" s="1"/>
      <c r="F33547" s="1"/>
      <c r="G33547" s="1"/>
    </row>
    <row r="33548">
      <c r="B33548" s="36"/>
      <c r="C33548" s="36"/>
      <c r="E33548" s="1"/>
      <c r="F33548" s="1"/>
      <c r="G33548" s="1"/>
    </row>
    <row r="33549">
      <c r="B33549" s="36"/>
      <c r="C33549" s="36"/>
      <c r="E33549" s="1"/>
      <c r="F33549" s="1"/>
      <c r="G33549" s="1"/>
    </row>
    <row r="33550">
      <c r="B33550" s="36"/>
      <c r="C33550" s="36"/>
      <c r="E33550" s="1"/>
      <c r="F33550" s="1"/>
      <c r="G33550" s="1"/>
    </row>
    <row r="33551">
      <c r="B33551" s="36"/>
      <c r="C33551" s="36"/>
      <c r="E33551" s="1"/>
      <c r="F33551" s="1"/>
      <c r="G33551" s="1"/>
    </row>
    <row r="33552">
      <c r="B33552" s="36"/>
      <c r="C33552" s="36"/>
      <c r="E33552" s="1"/>
      <c r="F33552" s="1"/>
      <c r="G33552" s="1"/>
    </row>
    <row r="33553">
      <c r="B33553" s="36"/>
      <c r="C33553" s="36"/>
      <c r="E33553" s="1"/>
      <c r="F33553" s="1"/>
      <c r="G33553" s="1"/>
    </row>
    <row r="33554">
      <c r="B33554" s="36"/>
      <c r="C33554" s="36"/>
      <c r="E33554" s="1"/>
      <c r="F33554" s="1"/>
      <c r="G33554" s="1"/>
    </row>
    <row r="33555">
      <c r="B33555" s="36"/>
      <c r="C33555" s="36"/>
      <c r="E33555" s="1"/>
      <c r="F33555" s="1"/>
      <c r="G33555" s="1"/>
    </row>
    <row r="33556">
      <c r="B33556" s="36"/>
      <c r="C33556" s="36"/>
      <c r="E33556" s="1"/>
      <c r="F33556" s="1"/>
      <c r="G33556" s="1"/>
    </row>
    <row r="33557">
      <c r="B33557" s="36"/>
      <c r="C33557" s="36"/>
      <c r="E33557" s="1"/>
      <c r="F33557" s="1"/>
      <c r="G33557" s="1"/>
    </row>
    <row r="33558">
      <c r="B33558" s="36"/>
      <c r="C33558" s="36"/>
      <c r="E33558" s="1"/>
      <c r="F33558" s="1"/>
      <c r="G33558" s="1"/>
    </row>
    <row r="33559">
      <c r="B33559" s="36"/>
      <c r="C33559" s="36"/>
      <c r="E33559" s="1"/>
      <c r="F33559" s="1"/>
      <c r="G33559" s="1"/>
    </row>
    <row r="33560">
      <c r="B33560" s="36"/>
      <c r="C33560" s="36"/>
      <c r="E33560" s="1"/>
      <c r="F33560" s="1"/>
      <c r="G33560" s="1"/>
    </row>
    <row r="33561">
      <c r="B33561" s="36"/>
      <c r="C33561" s="36"/>
      <c r="E33561" s="1"/>
      <c r="F33561" s="1"/>
      <c r="G33561" s="1"/>
    </row>
    <row r="33562">
      <c r="B33562" s="36"/>
      <c r="C33562" s="36"/>
      <c r="E33562" s="1"/>
      <c r="F33562" s="1"/>
      <c r="G33562" s="1"/>
    </row>
    <row r="33563">
      <c r="B33563" s="36"/>
      <c r="C33563" s="36"/>
      <c r="E33563" s="1"/>
      <c r="F33563" s="1"/>
      <c r="G33563" s="1"/>
    </row>
    <row r="33564">
      <c r="B33564" s="36"/>
      <c r="C33564" s="36"/>
      <c r="E33564" s="1"/>
      <c r="F33564" s="1"/>
      <c r="G33564" s="1"/>
    </row>
    <row r="33565">
      <c r="B33565" s="36"/>
      <c r="C33565" s="36"/>
      <c r="E33565" s="1"/>
      <c r="F33565" s="1"/>
      <c r="G33565" s="1"/>
    </row>
    <row r="33566">
      <c r="B33566" s="36"/>
      <c r="C33566" s="36"/>
      <c r="E33566" s="1"/>
      <c r="F33566" s="1"/>
      <c r="G33566" s="1"/>
    </row>
    <row r="33567">
      <c r="B33567" s="36"/>
      <c r="C33567" s="36"/>
      <c r="E33567" s="1"/>
      <c r="F33567" s="1"/>
      <c r="G33567" s="1"/>
    </row>
    <row r="33568">
      <c r="B33568" s="36"/>
      <c r="C33568" s="36"/>
      <c r="E33568" s="1"/>
      <c r="F33568" s="1"/>
      <c r="G33568" s="1"/>
    </row>
    <row r="33569">
      <c r="B33569" s="36"/>
      <c r="C33569" s="36"/>
      <c r="E33569" s="1"/>
      <c r="F33569" s="1"/>
      <c r="G33569" s="1"/>
    </row>
    <row r="33570">
      <c r="B33570" s="36"/>
      <c r="C33570" s="36"/>
      <c r="E33570" s="1"/>
      <c r="F33570" s="1"/>
      <c r="G33570" s="1"/>
    </row>
    <row r="33571">
      <c r="B33571" s="36"/>
      <c r="C33571" s="36"/>
      <c r="E33571" s="1"/>
      <c r="F33571" s="1"/>
      <c r="G33571" s="1"/>
    </row>
    <row r="33572">
      <c r="B33572" s="36"/>
      <c r="C33572" s="36"/>
      <c r="E33572" s="1"/>
      <c r="F33572" s="1"/>
      <c r="G33572" s="1"/>
    </row>
    <row r="33573">
      <c r="B33573" s="36"/>
      <c r="C33573" s="36"/>
      <c r="E33573" s="1"/>
      <c r="F33573" s="1"/>
      <c r="G33573" s="1"/>
    </row>
    <row r="33574">
      <c r="B33574" s="36"/>
      <c r="C33574" s="36"/>
      <c r="E33574" s="1"/>
      <c r="F33574" s="1"/>
      <c r="G33574" s="1"/>
    </row>
    <row r="33575">
      <c r="B33575" s="36"/>
      <c r="C33575" s="36"/>
      <c r="E33575" s="1"/>
      <c r="F33575" s="1"/>
      <c r="G33575" s="1"/>
    </row>
    <row r="33576">
      <c r="B33576" s="36"/>
      <c r="C33576" s="36"/>
      <c r="E33576" s="1"/>
      <c r="F33576" s="1"/>
      <c r="G33576" s="1"/>
    </row>
    <row r="33577">
      <c r="B33577" s="36"/>
      <c r="C33577" s="36"/>
      <c r="E33577" s="1"/>
      <c r="F33577" s="1"/>
      <c r="G33577" s="1"/>
    </row>
    <row r="33578">
      <c r="B33578" s="36"/>
      <c r="C33578" s="36"/>
      <c r="E33578" s="1"/>
      <c r="F33578" s="1"/>
      <c r="G33578" s="1"/>
    </row>
    <row r="33579">
      <c r="B33579" s="36"/>
      <c r="C33579" s="36"/>
      <c r="E33579" s="1"/>
      <c r="F33579" s="1"/>
      <c r="G33579" s="1"/>
    </row>
    <row r="33580">
      <c r="B33580" s="36"/>
      <c r="C33580" s="36"/>
      <c r="E33580" s="1"/>
      <c r="F33580" s="1"/>
      <c r="G33580" s="1"/>
    </row>
    <row r="33581">
      <c r="B33581" s="36"/>
      <c r="C33581" s="36"/>
      <c r="E33581" s="1"/>
      <c r="F33581" s="1"/>
      <c r="G33581" s="1"/>
    </row>
    <row r="33582">
      <c r="B33582" s="36"/>
      <c r="C33582" s="36"/>
      <c r="E33582" s="1"/>
      <c r="F33582" s="1"/>
      <c r="G33582" s="1"/>
    </row>
    <row r="33583">
      <c r="B33583" s="36"/>
      <c r="C33583" s="36"/>
      <c r="E33583" s="1"/>
      <c r="F33583" s="1"/>
      <c r="G33583" s="1"/>
    </row>
    <row r="33584">
      <c r="B33584" s="36"/>
      <c r="C33584" s="36"/>
      <c r="E33584" s="1"/>
      <c r="F33584" s="1"/>
      <c r="G33584" s="1"/>
    </row>
    <row r="33585">
      <c r="B33585" s="36"/>
      <c r="C33585" s="36"/>
      <c r="E33585" s="1"/>
      <c r="F33585" s="1"/>
      <c r="G33585" s="1"/>
    </row>
    <row r="33586">
      <c r="B33586" s="36"/>
      <c r="C33586" s="36"/>
      <c r="E33586" s="1"/>
      <c r="F33586" s="1"/>
      <c r="G33586" s="1"/>
    </row>
    <row r="33587">
      <c r="B33587" s="36"/>
      <c r="C33587" s="36"/>
      <c r="E33587" s="1"/>
      <c r="F33587" s="1"/>
      <c r="G33587" s="1"/>
    </row>
    <row r="33588">
      <c r="B33588" s="36"/>
      <c r="C33588" s="36"/>
      <c r="E33588" s="1"/>
      <c r="F33588" s="1"/>
      <c r="G33588" s="1"/>
    </row>
    <row r="33589">
      <c r="B33589" s="36"/>
      <c r="C33589" s="36"/>
      <c r="E33589" s="1"/>
      <c r="F33589" s="1"/>
      <c r="G33589" s="1"/>
    </row>
    <row r="33590">
      <c r="B33590" s="36"/>
      <c r="C33590" s="36"/>
      <c r="E33590" s="1"/>
      <c r="F33590" s="1"/>
      <c r="G33590" s="1"/>
    </row>
    <row r="33591">
      <c r="B33591" s="36"/>
      <c r="C33591" s="36"/>
      <c r="E33591" s="1"/>
      <c r="F33591" s="1"/>
      <c r="G33591" s="1"/>
    </row>
    <row r="33592">
      <c r="B33592" s="36"/>
      <c r="C33592" s="36"/>
      <c r="E33592" s="1"/>
      <c r="F33592" s="1"/>
      <c r="G33592" s="1"/>
    </row>
    <row r="33593">
      <c r="B33593" s="36"/>
      <c r="C33593" s="36"/>
      <c r="E33593" s="1"/>
      <c r="F33593" s="1"/>
      <c r="G33593" s="1"/>
    </row>
    <row r="33594">
      <c r="B33594" s="36"/>
      <c r="C33594" s="36"/>
      <c r="E33594" s="1"/>
      <c r="F33594" s="1"/>
      <c r="G33594" s="1"/>
    </row>
    <row r="33595">
      <c r="B33595" s="36"/>
      <c r="C33595" s="36"/>
      <c r="E33595" s="1"/>
      <c r="F33595" s="1"/>
      <c r="G33595" s="1"/>
    </row>
    <row r="33596">
      <c r="B33596" s="36"/>
      <c r="C33596" s="36"/>
      <c r="E33596" s="1"/>
      <c r="F33596" s="1"/>
      <c r="G33596" s="1"/>
    </row>
    <row r="33597">
      <c r="B33597" s="36"/>
      <c r="C33597" s="36"/>
      <c r="E33597" s="1"/>
      <c r="F33597" s="1"/>
      <c r="G33597" s="1"/>
    </row>
    <row r="33598">
      <c r="B33598" s="36"/>
      <c r="C33598" s="36"/>
      <c r="E33598" s="1"/>
      <c r="F33598" s="1"/>
      <c r="G33598" s="1"/>
    </row>
    <row r="33599">
      <c r="B33599" s="36"/>
      <c r="C33599" s="36"/>
      <c r="E33599" s="1"/>
      <c r="F33599" s="1"/>
      <c r="G33599" s="1"/>
    </row>
    <row r="33600">
      <c r="B33600" s="36"/>
      <c r="C33600" s="36"/>
      <c r="E33600" s="1"/>
      <c r="F33600" s="1"/>
      <c r="G33600" s="1"/>
    </row>
    <row r="33601">
      <c r="B33601" s="36"/>
      <c r="C33601" s="36"/>
      <c r="E33601" s="1"/>
      <c r="F33601" s="1"/>
      <c r="G33601" s="1"/>
    </row>
    <row r="33602">
      <c r="B33602" s="36"/>
      <c r="C33602" s="36"/>
      <c r="E33602" s="1"/>
      <c r="F33602" s="1"/>
      <c r="G33602" s="1"/>
    </row>
    <row r="33603">
      <c r="B33603" s="36"/>
      <c r="C33603" s="36"/>
      <c r="E33603" s="1"/>
      <c r="F33603" s="1"/>
      <c r="G33603" s="1"/>
    </row>
    <row r="33604">
      <c r="B33604" s="36"/>
      <c r="C33604" s="36"/>
      <c r="E33604" s="1"/>
      <c r="F33604" s="1"/>
      <c r="G33604" s="1"/>
    </row>
    <row r="33605">
      <c r="B33605" s="36"/>
      <c r="C33605" s="36"/>
      <c r="E33605" s="1"/>
      <c r="F33605" s="1"/>
      <c r="G33605" s="1"/>
    </row>
    <row r="33606">
      <c r="B33606" s="36"/>
      <c r="C33606" s="36"/>
      <c r="E33606" s="1"/>
      <c r="F33606" s="1"/>
      <c r="G33606" s="1"/>
    </row>
    <row r="33607">
      <c r="B33607" s="36"/>
      <c r="C33607" s="36"/>
      <c r="E33607" s="1"/>
      <c r="F33607" s="1"/>
      <c r="G33607" s="1"/>
    </row>
    <row r="33608">
      <c r="B33608" s="36"/>
      <c r="C33608" s="36"/>
      <c r="E33608" s="1"/>
      <c r="F33608" s="1"/>
      <c r="G33608" s="1"/>
    </row>
    <row r="33609">
      <c r="B33609" s="36"/>
      <c r="C33609" s="36"/>
      <c r="E33609" s="1"/>
      <c r="F33609" s="1"/>
      <c r="G33609" s="1"/>
    </row>
    <row r="33610">
      <c r="B33610" s="36"/>
      <c r="C33610" s="36"/>
      <c r="E33610" s="1"/>
      <c r="F33610" s="1"/>
      <c r="G33610" s="1"/>
    </row>
    <row r="33611">
      <c r="B33611" s="36"/>
      <c r="C33611" s="36"/>
      <c r="E33611" s="1"/>
      <c r="F33611" s="1"/>
      <c r="G33611" s="1"/>
    </row>
    <row r="33612">
      <c r="B33612" s="36"/>
      <c r="C33612" s="36"/>
      <c r="E33612" s="1"/>
      <c r="F33612" s="1"/>
      <c r="G33612" s="1"/>
    </row>
    <row r="33613">
      <c r="B33613" s="36"/>
      <c r="C33613" s="36"/>
      <c r="E33613" s="1"/>
      <c r="F33613" s="1"/>
      <c r="G33613" s="1"/>
    </row>
    <row r="33614">
      <c r="B33614" s="36"/>
      <c r="C33614" s="36"/>
      <c r="E33614" s="1"/>
      <c r="F33614" s="1"/>
      <c r="G33614" s="1"/>
    </row>
    <row r="33615">
      <c r="B33615" s="36"/>
      <c r="C33615" s="36"/>
      <c r="E33615" s="1"/>
      <c r="F33615" s="1"/>
      <c r="G33615" s="1"/>
    </row>
    <row r="33616">
      <c r="B33616" s="36"/>
      <c r="C33616" s="36"/>
      <c r="E33616" s="1"/>
      <c r="F33616" s="1"/>
      <c r="G33616" s="1"/>
    </row>
    <row r="33617">
      <c r="B33617" s="36"/>
      <c r="C33617" s="36"/>
      <c r="E33617" s="1"/>
      <c r="F33617" s="1"/>
      <c r="G33617" s="1"/>
    </row>
    <row r="33618">
      <c r="B33618" s="36"/>
      <c r="C33618" s="36"/>
      <c r="E33618" s="1"/>
      <c r="F33618" s="1"/>
      <c r="G33618" s="1"/>
    </row>
    <row r="33619">
      <c r="B33619" s="36"/>
      <c r="C33619" s="36"/>
      <c r="E33619" s="1"/>
      <c r="F33619" s="1"/>
      <c r="G33619" s="1"/>
    </row>
    <row r="33620">
      <c r="B33620" s="36"/>
      <c r="C33620" s="36"/>
      <c r="E33620" s="1"/>
      <c r="F33620" s="1"/>
      <c r="G33620" s="1"/>
    </row>
    <row r="33621">
      <c r="B33621" s="36"/>
      <c r="C33621" s="36"/>
      <c r="E33621" s="1"/>
      <c r="F33621" s="1"/>
      <c r="G33621" s="1"/>
    </row>
    <row r="33622">
      <c r="B33622" s="36"/>
      <c r="C33622" s="36"/>
      <c r="E33622" s="1"/>
      <c r="F33622" s="1"/>
      <c r="G33622" s="1"/>
    </row>
    <row r="33623">
      <c r="B33623" s="36"/>
      <c r="C33623" s="36"/>
      <c r="E33623" s="1"/>
      <c r="F33623" s="1"/>
      <c r="G33623" s="1"/>
    </row>
    <row r="33624">
      <c r="B33624" s="36"/>
      <c r="C33624" s="36"/>
      <c r="E33624" s="1"/>
      <c r="F33624" s="1"/>
      <c r="G33624" s="1"/>
    </row>
    <row r="33625">
      <c r="B33625" s="36"/>
      <c r="C33625" s="36"/>
      <c r="E33625" s="1"/>
      <c r="F33625" s="1"/>
      <c r="G33625" s="1"/>
    </row>
    <row r="33626">
      <c r="B33626" s="36"/>
      <c r="C33626" s="36"/>
      <c r="E33626" s="1"/>
      <c r="F33626" s="1"/>
      <c r="G33626" s="1"/>
    </row>
    <row r="33627">
      <c r="B33627" s="36"/>
      <c r="C33627" s="36"/>
      <c r="E33627" s="1"/>
      <c r="F33627" s="1"/>
      <c r="G33627" s="1"/>
    </row>
    <row r="33628">
      <c r="B33628" s="36"/>
      <c r="C33628" s="36"/>
      <c r="E33628" s="1"/>
      <c r="F33628" s="1"/>
      <c r="G33628" s="1"/>
    </row>
    <row r="33629">
      <c r="B33629" s="36"/>
      <c r="C33629" s="36"/>
      <c r="E33629" s="1"/>
      <c r="F33629" s="1"/>
      <c r="G33629" s="1"/>
    </row>
    <row r="33630">
      <c r="B33630" s="36"/>
      <c r="C33630" s="36"/>
      <c r="E33630" s="1"/>
      <c r="F33630" s="1"/>
      <c r="G33630" s="1"/>
    </row>
    <row r="33631">
      <c r="B33631" s="36"/>
      <c r="C33631" s="36"/>
      <c r="E33631" s="1"/>
      <c r="F33631" s="1"/>
      <c r="G33631" s="1"/>
    </row>
    <row r="33632">
      <c r="B33632" s="36"/>
      <c r="C33632" s="36"/>
      <c r="E33632" s="1"/>
      <c r="F33632" s="1"/>
      <c r="G33632" s="1"/>
    </row>
    <row r="33633">
      <c r="B33633" s="36"/>
      <c r="C33633" s="36"/>
      <c r="E33633" s="1"/>
      <c r="F33633" s="1"/>
      <c r="G33633" s="1"/>
    </row>
    <row r="33634">
      <c r="B33634" s="36"/>
      <c r="C33634" s="36"/>
      <c r="E33634" s="1"/>
      <c r="F33634" s="1"/>
      <c r="G33634" s="1"/>
    </row>
    <row r="33635">
      <c r="B33635" s="36"/>
      <c r="C33635" s="36"/>
      <c r="E33635" s="1"/>
      <c r="F33635" s="1"/>
      <c r="G33635" s="1"/>
    </row>
    <row r="33636">
      <c r="B33636" s="36"/>
      <c r="C33636" s="36"/>
      <c r="E33636" s="1"/>
      <c r="F33636" s="1"/>
      <c r="G33636" s="1"/>
    </row>
    <row r="33637">
      <c r="B33637" s="36"/>
      <c r="C33637" s="36"/>
      <c r="E33637" s="1"/>
      <c r="F33637" s="1"/>
      <c r="G33637" s="1"/>
    </row>
    <row r="33638">
      <c r="B33638" s="36"/>
      <c r="C33638" s="36"/>
      <c r="E33638" s="1"/>
      <c r="F33638" s="1"/>
      <c r="G33638" s="1"/>
    </row>
    <row r="33639">
      <c r="B33639" s="36"/>
      <c r="C33639" s="36"/>
      <c r="E33639" s="1"/>
      <c r="F33639" s="1"/>
      <c r="G33639" s="1"/>
    </row>
    <row r="33640">
      <c r="B33640" s="36"/>
      <c r="C33640" s="36"/>
      <c r="E33640" s="1"/>
      <c r="F33640" s="1"/>
      <c r="G33640" s="1"/>
    </row>
    <row r="33641">
      <c r="B33641" s="36"/>
      <c r="C33641" s="36"/>
      <c r="E33641" s="1"/>
      <c r="F33641" s="1"/>
      <c r="G33641" s="1"/>
    </row>
    <row r="33642">
      <c r="B33642" s="36"/>
      <c r="C33642" s="36"/>
      <c r="E33642" s="1"/>
      <c r="F33642" s="1"/>
      <c r="G33642" s="1"/>
    </row>
    <row r="33643">
      <c r="B33643" s="36"/>
      <c r="C33643" s="36"/>
      <c r="E33643" s="1"/>
      <c r="F33643" s="1"/>
      <c r="G33643" s="1"/>
    </row>
    <row r="33644">
      <c r="B33644" s="36"/>
      <c r="C33644" s="36"/>
      <c r="E33644" s="1"/>
      <c r="F33644" s="1"/>
      <c r="G33644" s="1"/>
    </row>
    <row r="33645">
      <c r="B33645" s="36"/>
      <c r="C33645" s="36"/>
      <c r="E33645" s="1"/>
      <c r="F33645" s="1"/>
      <c r="G33645" s="1"/>
    </row>
    <row r="33646">
      <c r="B33646" s="36"/>
      <c r="C33646" s="36"/>
      <c r="E33646" s="1"/>
      <c r="F33646" s="1"/>
      <c r="G33646" s="1"/>
    </row>
    <row r="33647">
      <c r="B33647" s="36"/>
      <c r="C33647" s="36"/>
      <c r="E33647" s="1"/>
      <c r="F33647" s="1"/>
      <c r="G33647" s="1"/>
    </row>
    <row r="33648">
      <c r="B33648" s="36"/>
      <c r="C33648" s="36"/>
      <c r="E33648" s="1"/>
      <c r="F33648" s="1"/>
      <c r="G33648" s="1"/>
    </row>
    <row r="33649">
      <c r="B33649" s="36"/>
      <c r="C33649" s="36"/>
      <c r="E33649" s="1"/>
      <c r="F33649" s="1"/>
      <c r="G33649" s="1"/>
    </row>
    <row r="33650">
      <c r="B33650" s="36"/>
      <c r="C33650" s="36"/>
      <c r="E33650" s="1"/>
      <c r="F33650" s="1"/>
      <c r="G33650" s="1"/>
    </row>
    <row r="33651">
      <c r="B33651" s="36"/>
      <c r="C33651" s="36"/>
      <c r="E33651" s="1"/>
      <c r="F33651" s="1"/>
      <c r="G33651" s="1"/>
    </row>
    <row r="33652">
      <c r="B33652" s="36"/>
      <c r="C33652" s="36"/>
      <c r="E33652" s="1"/>
      <c r="F33652" s="1"/>
      <c r="G33652" s="1"/>
    </row>
    <row r="33653">
      <c r="B33653" s="36"/>
      <c r="C33653" s="36"/>
      <c r="E33653" s="1"/>
      <c r="F33653" s="1"/>
      <c r="G33653" s="1"/>
    </row>
    <row r="33654">
      <c r="B33654" s="36"/>
      <c r="C33654" s="36"/>
      <c r="E33654" s="1"/>
      <c r="F33654" s="1"/>
      <c r="G33654" s="1"/>
    </row>
    <row r="33655">
      <c r="B33655" s="36"/>
      <c r="C33655" s="36"/>
      <c r="E33655" s="1"/>
      <c r="F33655" s="1"/>
      <c r="G33655" s="1"/>
    </row>
    <row r="33656">
      <c r="B33656" s="36"/>
      <c r="C33656" s="36"/>
      <c r="E33656" s="1"/>
      <c r="F33656" s="1"/>
      <c r="G33656" s="1"/>
    </row>
    <row r="33657">
      <c r="B33657" s="36"/>
      <c r="C33657" s="36"/>
      <c r="E33657" s="1"/>
      <c r="F33657" s="1"/>
      <c r="G33657" s="1"/>
    </row>
    <row r="33658">
      <c r="B33658" s="36"/>
      <c r="C33658" s="36"/>
      <c r="E33658" s="1"/>
      <c r="F33658" s="1"/>
      <c r="G33658" s="1"/>
    </row>
    <row r="33659">
      <c r="B33659" s="36"/>
      <c r="C33659" s="36"/>
      <c r="E33659" s="1"/>
      <c r="F33659" s="1"/>
      <c r="G33659" s="1"/>
    </row>
    <row r="33660">
      <c r="B33660" s="36"/>
      <c r="C33660" s="36"/>
      <c r="E33660" s="1"/>
      <c r="F33660" s="1"/>
      <c r="G33660" s="1"/>
    </row>
    <row r="33661">
      <c r="B33661" s="36"/>
      <c r="C33661" s="36"/>
      <c r="E33661" s="1"/>
      <c r="F33661" s="1"/>
      <c r="G33661" s="1"/>
    </row>
    <row r="33662">
      <c r="B33662" s="36"/>
      <c r="C33662" s="36"/>
      <c r="E33662" s="1"/>
      <c r="F33662" s="1"/>
      <c r="G33662" s="1"/>
    </row>
    <row r="33663">
      <c r="B33663" s="36"/>
      <c r="C33663" s="36"/>
      <c r="E33663" s="1"/>
      <c r="F33663" s="1"/>
      <c r="G33663" s="1"/>
    </row>
    <row r="33664">
      <c r="B33664" s="36"/>
      <c r="C33664" s="36"/>
      <c r="E33664" s="1"/>
      <c r="F33664" s="1"/>
      <c r="G33664" s="1"/>
    </row>
    <row r="33665">
      <c r="B33665" s="36"/>
      <c r="C33665" s="36"/>
      <c r="E33665" s="1"/>
      <c r="F33665" s="1"/>
      <c r="G33665" s="1"/>
    </row>
    <row r="33666">
      <c r="B33666" s="36"/>
      <c r="C33666" s="36"/>
      <c r="E33666" s="1"/>
      <c r="F33666" s="1"/>
      <c r="G33666" s="1"/>
    </row>
    <row r="33667">
      <c r="B33667" s="36"/>
      <c r="C33667" s="36"/>
      <c r="E33667" s="1"/>
      <c r="F33667" s="1"/>
      <c r="G33667" s="1"/>
    </row>
    <row r="33668">
      <c r="B33668" s="36"/>
      <c r="C33668" s="36"/>
      <c r="E33668" s="1"/>
      <c r="F33668" s="1"/>
      <c r="G33668" s="1"/>
    </row>
    <row r="33669">
      <c r="B33669" s="36"/>
      <c r="C33669" s="36"/>
      <c r="E33669" s="1"/>
      <c r="F33669" s="1"/>
      <c r="G33669" s="1"/>
    </row>
    <row r="33670">
      <c r="B33670" s="36"/>
      <c r="C33670" s="36"/>
      <c r="E33670" s="1"/>
      <c r="F33670" s="1"/>
      <c r="G33670" s="1"/>
    </row>
    <row r="33671">
      <c r="B33671" s="36"/>
      <c r="C33671" s="36"/>
      <c r="E33671" s="1"/>
      <c r="F33671" s="1"/>
      <c r="G33671" s="1"/>
    </row>
    <row r="33672">
      <c r="B33672" s="36"/>
      <c r="C33672" s="36"/>
      <c r="E33672" s="1"/>
      <c r="F33672" s="1"/>
      <c r="G33672" s="1"/>
    </row>
    <row r="33673">
      <c r="B33673" s="36"/>
      <c r="C33673" s="36"/>
      <c r="E33673" s="1"/>
      <c r="F33673" s="1"/>
      <c r="G33673" s="1"/>
    </row>
    <row r="33674">
      <c r="B33674" s="36"/>
      <c r="C33674" s="36"/>
      <c r="E33674" s="1"/>
      <c r="F33674" s="1"/>
      <c r="G33674" s="1"/>
    </row>
    <row r="33675">
      <c r="B33675" s="36"/>
      <c r="C33675" s="36"/>
      <c r="E33675" s="1"/>
      <c r="F33675" s="1"/>
      <c r="G33675" s="1"/>
    </row>
    <row r="33676">
      <c r="B33676" s="36"/>
      <c r="C33676" s="36"/>
      <c r="E33676" s="1"/>
      <c r="F33676" s="1"/>
      <c r="G33676" s="1"/>
    </row>
    <row r="33677">
      <c r="B33677" s="36"/>
      <c r="C33677" s="36"/>
      <c r="E33677" s="1"/>
      <c r="F33677" s="1"/>
      <c r="G33677" s="1"/>
    </row>
    <row r="33678">
      <c r="B33678" s="36"/>
      <c r="C33678" s="36"/>
      <c r="E33678" s="1"/>
      <c r="F33678" s="1"/>
      <c r="G33678" s="1"/>
    </row>
    <row r="33679">
      <c r="B33679" s="36"/>
      <c r="C33679" s="36"/>
      <c r="E33679" s="1"/>
      <c r="F33679" s="1"/>
      <c r="G33679" s="1"/>
    </row>
    <row r="33680">
      <c r="B33680" s="36"/>
      <c r="C33680" s="36"/>
      <c r="E33680" s="1"/>
      <c r="F33680" s="1"/>
      <c r="G33680" s="1"/>
    </row>
    <row r="33681">
      <c r="B33681" s="36"/>
      <c r="C33681" s="36"/>
      <c r="E33681" s="1"/>
      <c r="F33681" s="1"/>
      <c r="G33681" s="1"/>
    </row>
    <row r="33682">
      <c r="B33682" s="36"/>
      <c r="C33682" s="36"/>
      <c r="E33682" s="1"/>
      <c r="F33682" s="1"/>
      <c r="G33682" s="1"/>
    </row>
    <row r="33683">
      <c r="B33683" s="36"/>
      <c r="C33683" s="36"/>
      <c r="E33683" s="1"/>
      <c r="F33683" s="1"/>
      <c r="G33683" s="1"/>
    </row>
    <row r="33684">
      <c r="B33684" s="36"/>
      <c r="C33684" s="36"/>
      <c r="E33684" s="1"/>
      <c r="F33684" s="1"/>
      <c r="G33684" s="1"/>
    </row>
    <row r="33685">
      <c r="B33685" s="36"/>
      <c r="C33685" s="36"/>
      <c r="E33685" s="1"/>
      <c r="F33685" s="1"/>
      <c r="G33685" s="1"/>
    </row>
    <row r="33686">
      <c r="B33686" s="36"/>
      <c r="C33686" s="36"/>
      <c r="E33686" s="1"/>
      <c r="F33686" s="1"/>
      <c r="G33686" s="1"/>
    </row>
    <row r="33687">
      <c r="B33687" s="36"/>
      <c r="C33687" s="36"/>
      <c r="E33687" s="1"/>
      <c r="F33687" s="1"/>
      <c r="G33687" s="1"/>
    </row>
    <row r="33688">
      <c r="B33688" s="36"/>
      <c r="C33688" s="36"/>
      <c r="E33688" s="1"/>
      <c r="F33688" s="1"/>
      <c r="G33688" s="1"/>
    </row>
    <row r="33689">
      <c r="B33689" s="36"/>
      <c r="C33689" s="36"/>
      <c r="E33689" s="1"/>
      <c r="F33689" s="1"/>
      <c r="G33689" s="1"/>
    </row>
    <row r="33690">
      <c r="B33690" s="36"/>
      <c r="C33690" s="36"/>
      <c r="E33690" s="1"/>
      <c r="F33690" s="1"/>
      <c r="G33690" s="1"/>
    </row>
    <row r="33691">
      <c r="B33691" s="36"/>
      <c r="C33691" s="36"/>
      <c r="E33691" s="1"/>
      <c r="F33691" s="1"/>
      <c r="G33691" s="1"/>
    </row>
    <row r="33692">
      <c r="B33692" s="36"/>
      <c r="C33692" s="36"/>
      <c r="E33692" s="1"/>
      <c r="F33692" s="1"/>
      <c r="G33692" s="1"/>
    </row>
    <row r="33693">
      <c r="B33693" s="36"/>
      <c r="C33693" s="36"/>
      <c r="E33693" s="1"/>
      <c r="F33693" s="1"/>
      <c r="G33693" s="1"/>
    </row>
    <row r="33694">
      <c r="B33694" s="36"/>
      <c r="C33694" s="36"/>
      <c r="E33694" s="1"/>
      <c r="F33694" s="1"/>
      <c r="G33694" s="1"/>
    </row>
    <row r="33695">
      <c r="B33695" s="36"/>
      <c r="C33695" s="36"/>
      <c r="E33695" s="1"/>
      <c r="F33695" s="1"/>
      <c r="G33695" s="1"/>
    </row>
    <row r="33696">
      <c r="B33696" s="36"/>
      <c r="C33696" s="36"/>
      <c r="E33696" s="1"/>
      <c r="F33696" s="1"/>
      <c r="G33696" s="1"/>
    </row>
    <row r="33697">
      <c r="B33697" s="36"/>
      <c r="C33697" s="36"/>
      <c r="E33697" s="1"/>
      <c r="F33697" s="1"/>
      <c r="G33697" s="1"/>
    </row>
    <row r="33698">
      <c r="B33698" s="36"/>
      <c r="C33698" s="36"/>
      <c r="E33698" s="1"/>
      <c r="F33698" s="1"/>
      <c r="G33698" s="1"/>
    </row>
    <row r="33699">
      <c r="B33699" s="36"/>
      <c r="C33699" s="36"/>
      <c r="E33699" s="1"/>
      <c r="F33699" s="1"/>
      <c r="G33699" s="1"/>
    </row>
    <row r="33700">
      <c r="B33700" s="36"/>
      <c r="C33700" s="36"/>
      <c r="E33700" s="1"/>
      <c r="F33700" s="1"/>
      <c r="G33700" s="1"/>
    </row>
    <row r="33701">
      <c r="B33701" s="36"/>
      <c r="C33701" s="36"/>
      <c r="E33701" s="1"/>
      <c r="F33701" s="1"/>
      <c r="G33701" s="1"/>
    </row>
    <row r="33702">
      <c r="B33702" s="36"/>
      <c r="C33702" s="36"/>
      <c r="E33702" s="1"/>
      <c r="F33702" s="1"/>
      <c r="G33702" s="1"/>
    </row>
    <row r="33703">
      <c r="B33703" s="36"/>
      <c r="C33703" s="36"/>
      <c r="E33703" s="1"/>
      <c r="F33703" s="1"/>
      <c r="G33703" s="1"/>
    </row>
    <row r="33704">
      <c r="B33704" s="36"/>
      <c r="C33704" s="36"/>
      <c r="E33704" s="1"/>
      <c r="F33704" s="1"/>
      <c r="G33704" s="1"/>
    </row>
    <row r="33705">
      <c r="B33705" s="36"/>
      <c r="C33705" s="36"/>
      <c r="E33705" s="1"/>
      <c r="F33705" s="1"/>
      <c r="G33705" s="1"/>
    </row>
    <row r="33706">
      <c r="B33706" s="36"/>
      <c r="C33706" s="36"/>
      <c r="E33706" s="1"/>
      <c r="F33706" s="1"/>
      <c r="G33706" s="1"/>
    </row>
    <row r="33707">
      <c r="B33707" s="36"/>
      <c r="C33707" s="36"/>
      <c r="E33707" s="1"/>
      <c r="F33707" s="1"/>
      <c r="G33707" s="1"/>
    </row>
    <row r="33708">
      <c r="B33708" s="36"/>
      <c r="C33708" s="36"/>
      <c r="E33708" s="1"/>
      <c r="F33708" s="1"/>
      <c r="G33708" s="1"/>
    </row>
    <row r="33709">
      <c r="B33709" s="36"/>
      <c r="C33709" s="36"/>
      <c r="E33709" s="1"/>
      <c r="F33709" s="1"/>
      <c r="G33709" s="1"/>
    </row>
    <row r="33710">
      <c r="B33710" s="36"/>
      <c r="C33710" s="36"/>
      <c r="E33710" s="1"/>
      <c r="F33710" s="1"/>
      <c r="G33710" s="1"/>
    </row>
    <row r="33711">
      <c r="B33711" s="36"/>
      <c r="C33711" s="36"/>
      <c r="E33711" s="1"/>
      <c r="F33711" s="1"/>
      <c r="G33711" s="1"/>
    </row>
    <row r="33712">
      <c r="B33712" s="36"/>
      <c r="C33712" s="36"/>
      <c r="E33712" s="1"/>
      <c r="F33712" s="1"/>
      <c r="G33712" s="1"/>
    </row>
    <row r="33713">
      <c r="B33713" s="36"/>
      <c r="C33713" s="36"/>
      <c r="E33713" s="1"/>
      <c r="F33713" s="1"/>
      <c r="G33713" s="1"/>
    </row>
    <row r="33714">
      <c r="B33714" s="36"/>
      <c r="C33714" s="36"/>
      <c r="E33714" s="1"/>
      <c r="F33714" s="1"/>
      <c r="G33714" s="1"/>
    </row>
    <row r="33715">
      <c r="B33715" s="36"/>
      <c r="C33715" s="36"/>
      <c r="E33715" s="1"/>
      <c r="F33715" s="1"/>
      <c r="G33715" s="1"/>
    </row>
    <row r="33716">
      <c r="B33716" s="36"/>
      <c r="C33716" s="36"/>
      <c r="E33716" s="1"/>
      <c r="F33716" s="1"/>
      <c r="G33716" s="1"/>
    </row>
    <row r="33717">
      <c r="B33717" s="36"/>
      <c r="C33717" s="36"/>
      <c r="E33717" s="1"/>
      <c r="F33717" s="1"/>
      <c r="G33717" s="1"/>
    </row>
    <row r="33718">
      <c r="B33718" s="36"/>
      <c r="C33718" s="36"/>
      <c r="E33718" s="1"/>
      <c r="F33718" s="1"/>
      <c r="G33718" s="1"/>
    </row>
    <row r="33719">
      <c r="B33719" s="36"/>
      <c r="C33719" s="36"/>
      <c r="E33719" s="1"/>
      <c r="F33719" s="1"/>
      <c r="G33719" s="1"/>
    </row>
    <row r="33720">
      <c r="B33720" s="36"/>
      <c r="C33720" s="36"/>
      <c r="E33720" s="1"/>
      <c r="F33720" s="1"/>
      <c r="G33720" s="1"/>
    </row>
    <row r="33721">
      <c r="B33721" s="36"/>
      <c r="C33721" s="36"/>
      <c r="E33721" s="1"/>
      <c r="F33721" s="1"/>
      <c r="G33721" s="1"/>
    </row>
    <row r="33722">
      <c r="B33722" s="36"/>
      <c r="C33722" s="36"/>
      <c r="E33722" s="1"/>
      <c r="F33722" s="1"/>
      <c r="G33722" s="1"/>
    </row>
    <row r="33723">
      <c r="B33723" s="36"/>
      <c r="C33723" s="36"/>
      <c r="E33723" s="1"/>
      <c r="F33723" s="1"/>
      <c r="G33723" s="1"/>
    </row>
    <row r="33724">
      <c r="B33724" s="36"/>
      <c r="C33724" s="36"/>
      <c r="E33724" s="1"/>
      <c r="F33724" s="1"/>
      <c r="G33724" s="1"/>
    </row>
    <row r="33725">
      <c r="B33725" s="36"/>
      <c r="C33725" s="36"/>
      <c r="E33725" s="1"/>
      <c r="F33725" s="1"/>
      <c r="G33725" s="1"/>
    </row>
    <row r="33726">
      <c r="B33726" s="36"/>
      <c r="C33726" s="36"/>
      <c r="E33726" s="1"/>
      <c r="F33726" s="1"/>
      <c r="G33726" s="1"/>
    </row>
    <row r="33727">
      <c r="B33727" s="36"/>
      <c r="C33727" s="36"/>
      <c r="E33727" s="1"/>
      <c r="F33727" s="1"/>
      <c r="G33727" s="1"/>
    </row>
    <row r="33728">
      <c r="B33728" s="36"/>
      <c r="C33728" s="36"/>
      <c r="E33728" s="1"/>
      <c r="F33728" s="1"/>
      <c r="G33728" s="1"/>
    </row>
    <row r="33729">
      <c r="B33729" s="36"/>
      <c r="C33729" s="36"/>
      <c r="E33729" s="1"/>
      <c r="F33729" s="1"/>
      <c r="G33729" s="1"/>
    </row>
    <row r="33730">
      <c r="B33730" s="36"/>
      <c r="C33730" s="36"/>
      <c r="E33730" s="1"/>
      <c r="F33730" s="1"/>
      <c r="G33730" s="1"/>
    </row>
    <row r="33731">
      <c r="B33731" s="36"/>
      <c r="C33731" s="36"/>
      <c r="E33731" s="1"/>
      <c r="F33731" s="1"/>
      <c r="G33731" s="1"/>
    </row>
    <row r="33732">
      <c r="B33732" s="36"/>
      <c r="C33732" s="36"/>
      <c r="E33732" s="1"/>
      <c r="F33732" s="1"/>
      <c r="G33732" s="1"/>
    </row>
    <row r="33733">
      <c r="B33733" s="36"/>
      <c r="C33733" s="36"/>
      <c r="E33733" s="1"/>
      <c r="F33733" s="1"/>
      <c r="G33733" s="1"/>
    </row>
    <row r="33734">
      <c r="B33734" s="36"/>
      <c r="C33734" s="36"/>
      <c r="E33734" s="1"/>
      <c r="F33734" s="1"/>
      <c r="G33734" s="1"/>
    </row>
    <row r="33735">
      <c r="B33735" s="36"/>
      <c r="C33735" s="36"/>
      <c r="E33735" s="1"/>
      <c r="F33735" s="1"/>
      <c r="G33735" s="1"/>
    </row>
    <row r="33736">
      <c r="B33736" s="36"/>
      <c r="C33736" s="36"/>
      <c r="E33736" s="1"/>
      <c r="F33736" s="1"/>
      <c r="G33736" s="1"/>
    </row>
    <row r="33737">
      <c r="B33737" s="36"/>
      <c r="C33737" s="36"/>
      <c r="E33737" s="1"/>
      <c r="F33737" s="1"/>
      <c r="G33737" s="1"/>
    </row>
    <row r="33738">
      <c r="B33738" s="36"/>
      <c r="C33738" s="36"/>
      <c r="E33738" s="1"/>
      <c r="F33738" s="1"/>
      <c r="G33738" s="1"/>
    </row>
    <row r="33739">
      <c r="B33739" s="36"/>
      <c r="C33739" s="36"/>
      <c r="E33739" s="1"/>
      <c r="F33739" s="1"/>
      <c r="G33739" s="1"/>
    </row>
    <row r="33740">
      <c r="B33740" s="36"/>
      <c r="C33740" s="36"/>
      <c r="E33740" s="1"/>
      <c r="F33740" s="1"/>
      <c r="G33740" s="1"/>
    </row>
    <row r="33741">
      <c r="B33741" s="36"/>
      <c r="C33741" s="36"/>
      <c r="E33741" s="1"/>
      <c r="F33741" s="1"/>
      <c r="G33741" s="1"/>
    </row>
    <row r="33742">
      <c r="B33742" s="36"/>
      <c r="C33742" s="36"/>
      <c r="E33742" s="1"/>
      <c r="F33742" s="1"/>
      <c r="G33742" s="1"/>
    </row>
    <row r="33743">
      <c r="B33743" s="36"/>
      <c r="C33743" s="36"/>
      <c r="E33743" s="1"/>
      <c r="F33743" s="1"/>
      <c r="G33743" s="1"/>
    </row>
    <row r="33744">
      <c r="B33744" s="36"/>
      <c r="C33744" s="36"/>
      <c r="E33744" s="1"/>
      <c r="F33744" s="1"/>
      <c r="G33744" s="1"/>
    </row>
    <row r="33745">
      <c r="B33745" s="36"/>
      <c r="C33745" s="36"/>
      <c r="E33745" s="1"/>
      <c r="F33745" s="1"/>
      <c r="G33745" s="1"/>
    </row>
    <row r="33746">
      <c r="B33746" s="36"/>
      <c r="C33746" s="36"/>
      <c r="E33746" s="1"/>
      <c r="F33746" s="1"/>
      <c r="G33746" s="1"/>
    </row>
    <row r="33747">
      <c r="B33747" s="36"/>
      <c r="C33747" s="36"/>
      <c r="E33747" s="1"/>
      <c r="F33747" s="1"/>
      <c r="G33747" s="1"/>
    </row>
    <row r="33748">
      <c r="B33748" s="36"/>
      <c r="C33748" s="36"/>
      <c r="E33748" s="1"/>
      <c r="F33748" s="1"/>
      <c r="G33748" s="1"/>
    </row>
    <row r="33749">
      <c r="B33749" s="36"/>
      <c r="C33749" s="36"/>
      <c r="E33749" s="1"/>
      <c r="F33749" s="1"/>
      <c r="G33749" s="1"/>
    </row>
    <row r="33750">
      <c r="B33750" s="36"/>
      <c r="C33750" s="36"/>
      <c r="E33750" s="1"/>
      <c r="F33750" s="1"/>
      <c r="G33750" s="1"/>
    </row>
    <row r="33751">
      <c r="B33751" s="36"/>
      <c r="C33751" s="36"/>
      <c r="E33751" s="1"/>
      <c r="F33751" s="1"/>
      <c r="G33751" s="1"/>
    </row>
    <row r="33752">
      <c r="B33752" s="36"/>
      <c r="C33752" s="36"/>
      <c r="E33752" s="1"/>
      <c r="F33752" s="1"/>
      <c r="G33752" s="1"/>
    </row>
    <row r="33753">
      <c r="B33753" s="36"/>
      <c r="C33753" s="36"/>
      <c r="E33753" s="1"/>
      <c r="F33753" s="1"/>
      <c r="G33753" s="1"/>
    </row>
    <row r="33754">
      <c r="B33754" s="36"/>
      <c r="C33754" s="36"/>
      <c r="E33754" s="1"/>
      <c r="F33754" s="1"/>
      <c r="G33754" s="1"/>
    </row>
    <row r="33755">
      <c r="B33755" s="36"/>
      <c r="C33755" s="36"/>
      <c r="E33755" s="1"/>
      <c r="F33755" s="1"/>
      <c r="G33755" s="1"/>
    </row>
    <row r="33756">
      <c r="B33756" s="36"/>
      <c r="C33756" s="36"/>
      <c r="E33756" s="1"/>
      <c r="F33756" s="1"/>
      <c r="G33756" s="1"/>
    </row>
    <row r="33757">
      <c r="B33757" s="36"/>
      <c r="C33757" s="36"/>
      <c r="E33757" s="1"/>
      <c r="F33757" s="1"/>
      <c r="G33757" s="1"/>
    </row>
    <row r="33758">
      <c r="B33758" s="36"/>
      <c r="C33758" s="36"/>
      <c r="E33758" s="1"/>
      <c r="F33758" s="1"/>
      <c r="G33758" s="1"/>
    </row>
    <row r="33759">
      <c r="B33759" s="36"/>
      <c r="C33759" s="36"/>
      <c r="E33759" s="1"/>
      <c r="F33759" s="1"/>
      <c r="G33759" s="1"/>
    </row>
    <row r="33760">
      <c r="B33760" s="36"/>
      <c r="C33760" s="36"/>
      <c r="E33760" s="1"/>
      <c r="F33760" s="1"/>
      <c r="G33760" s="1"/>
    </row>
    <row r="33761">
      <c r="B33761" s="36"/>
      <c r="C33761" s="36"/>
      <c r="E33761" s="1"/>
      <c r="F33761" s="1"/>
      <c r="G33761" s="1"/>
    </row>
    <row r="33762">
      <c r="B33762" s="36"/>
      <c r="C33762" s="36"/>
      <c r="E33762" s="1"/>
      <c r="F33762" s="1"/>
      <c r="G33762" s="1"/>
    </row>
    <row r="33763">
      <c r="B33763" s="36"/>
      <c r="C33763" s="36"/>
      <c r="E33763" s="1"/>
      <c r="F33763" s="1"/>
      <c r="G33763" s="1"/>
    </row>
    <row r="33764">
      <c r="B33764" s="36"/>
      <c r="C33764" s="36"/>
      <c r="E33764" s="1"/>
      <c r="F33764" s="1"/>
      <c r="G33764" s="1"/>
    </row>
    <row r="33765">
      <c r="B33765" s="36"/>
      <c r="C33765" s="36"/>
      <c r="E33765" s="1"/>
      <c r="F33765" s="1"/>
      <c r="G33765" s="1"/>
    </row>
    <row r="33766">
      <c r="B33766" s="36"/>
      <c r="C33766" s="36"/>
      <c r="E33766" s="1"/>
      <c r="F33766" s="1"/>
      <c r="G33766" s="1"/>
    </row>
    <row r="33767">
      <c r="B33767" s="36"/>
      <c r="C33767" s="36"/>
      <c r="E33767" s="1"/>
      <c r="F33767" s="1"/>
      <c r="G33767" s="1"/>
    </row>
    <row r="33768">
      <c r="B33768" s="36"/>
      <c r="C33768" s="36"/>
      <c r="E33768" s="1"/>
      <c r="F33768" s="1"/>
      <c r="G33768" s="1"/>
    </row>
    <row r="33769">
      <c r="B33769" s="36"/>
      <c r="C33769" s="36"/>
      <c r="E33769" s="1"/>
      <c r="F33769" s="1"/>
      <c r="G33769" s="1"/>
    </row>
    <row r="33770">
      <c r="B33770" s="36"/>
      <c r="C33770" s="36"/>
      <c r="E33770" s="1"/>
      <c r="F33770" s="1"/>
      <c r="G33770" s="1"/>
    </row>
    <row r="33771">
      <c r="B33771" s="36"/>
      <c r="C33771" s="36"/>
      <c r="E33771" s="1"/>
      <c r="F33771" s="1"/>
      <c r="G33771" s="1"/>
    </row>
    <row r="33772">
      <c r="B33772" s="36"/>
      <c r="C33772" s="36"/>
      <c r="E33772" s="1"/>
      <c r="F33772" s="1"/>
      <c r="G33772" s="1"/>
    </row>
    <row r="33773">
      <c r="B33773" s="36"/>
      <c r="C33773" s="36"/>
      <c r="E33773" s="1"/>
      <c r="F33773" s="1"/>
      <c r="G33773" s="1"/>
    </row>
    <row r="33774">
      <c r="B33774" s="36"/>
      <c r="C33774" s="36"/>
      <c r="E33774" s="1"/>
      <c r="F33774" s="1"/>
      <c r="G33774" s="1"/>
    </row>
    <row r="33775">
      <c r="B33775" s="36"/>
      <c r="C33775" s="36"/>
      <c r="E33775" s="1"/>
      <c r="F33775" s="1"/>
      <c r="G33775" s="1"/>
    </row>
    <row r="33776">
      <c r="B33776" s="36"/>
      <c r="C33776" s="36"/>
      <c r="E33776" s="1"/>
      <c r="F33776" s="1"/>
      <c r="G33776" s="1"/>
    </row>
    <row r="33777">
      <c r="B33777" s="36"/>
      <c r="C33777" s="36"/>
      <c r="E33777" s="1"/>
      <c r="F33777" s="1"/>
      <c r="G33777" s="1"/>
    </row>
    <row r="33778">
      <c r="B33778" s="36"/>
      <c r="C33778" s="36"/>
      <c r="E33778" s="1"/>
      <c r="F33778" s="1"/>
      <c r="G33778" s="1"/>
    </row>
    <row r="33779">
      <c r="B33779" s="36"/>
      <c r="C33779" s="36"/>
      <c r="E33779" s="1"/>
      <c r="F33779" s="1"/>
      <c r="G33779" s="1"/>
    </row>
    <row r="33780">
      <c r="B33780" s="36"/>
      <c r="C33780" s="36"/>
      <c r="E33780" s="1"/>
      <c r="F33780" s="1"/>
      <c r="G33780" s="1"/>
    </row>
    <row r="33781">
      <c r="B33781" s="36"/>
      <c r="C33781" s="36"/>
      <c r="E33781" s="1"/>
      <c r="F33781" s="1"/>
      <c r="G33781" s="1"/>
    </row>
    <row r="33782">
      <c r="B33782" s="36"/>
      <c r="C33782" s="36"/>
      <c r="E33782" s="1"/>
      <c r="F33782" s="1"/>
      <c r="G33782" s="1"/>
    </row>
    <row r="33783">
      <c r="B33783" s="36"/>
      <c r="C33783" s="36"/>
      <c r="E33783" s="1"/>
      <c r="F33783" s="1"/>
      <c r="G33783" s="1"/>
    </row>
    <row r="33784">
      <c r="B33784" s="36"/>
      <c r="C33784" s="36"/>
      <c r="E33784" s="1"/>
      <c r="F33784" s="1"/>
      <c r="G33784" s="1"/>
    </row>
    <row r="33785">
      <c r="B33785" s="36"/>
      <c r="C33785" s="36"/>
      <c r="E33785" s="1"/>
      <c r="F33785" s="1"/>
      <c r="G33785" s="1"/>
    </row>
    <row r="33786">
      <c r="B33786" s="36"/>
      <c r="C33786" s="36"/>
      <c r="E33786" s="1"/>
      <c r="F33786" s="1"/>
      <c r="G33786" s="1"/>
    </row>
    <row r="33787">
      <c r="B33787" s="36"/>
      <c r="C33787" s="36"/>
      <c r="E33787" s="1"/>
      <c r="F33787" s="1"/>
      <c r="G33787" s="1"/>
    </row>
    <row r="33788">
      <c r="B33788" s="36"/>
      <c r="C33788" s="36"/>
      <c r="E33788" s="1"/>
      <c r="F33788" s="1"/>
      <c r="G33788" s="1"/>
    </row>
    <row r="33789">
      <c r="B33789" s="36"/>
      <c r="C33789" s="36"/>
      <c r="E33789" s="1"/>
      <c r="F33789" s="1"/>
      <c r="G33789" s="1"/>
    </row>
    <row r="33790">
      <c r="B33790" s="36"/>
      <c r="C33790" s="36"/>
      <c r="E33790" s="1"/>
      <c r="F33790" s="1"/>
      <c r="G33790" s="1"/>
    </row>
    <row r="33791">
      <c r="B33791" s="36"/>
      <c r="C33791" s="36"/>
      <c r="E33791" s="1"/>
      <c r="F33791" s="1"/>
      <c r="G33791" s="1"/>
    </row>
    <row r="33792">
      <c r="B33792" s="36"/>
      <c r="C33792" s="36"/>
      <c r="E33792" s="1"/>
      <c r="F33792" s="1"/>
      <c r="G33792" s="1"/>
    </row>
    <row r="33793">
      <c r="B33793" s="36"/>
      <c r="C33793" s="36"/>
      <c r="E33793" s="1"/>
      <c r="F33793" s="1"/>
      <c r="G33793" s="1"/>
    </row>
    <row r="33794">
      <c r="B33794" s="36"/>
      <c r="C33794" s="36"/>
      <c r="E33794" s="1"/>
      <c r="F33794" s="1"/>
      <c r="G33794" s="1"/>
    </row>
    <row r="33795">
      <c r="B33795" s="36"/>
      <c r="C33795" s="36"/>
      <c r="E33795" s="1"/>
      <c r="F33795" s="1"/>
      <c r="G33795" s="1"/>
    </row>
    <row r="33796">
      <c r="B33796" s="36"/>
      <c r="C33796" s="36"/>
      <c r="E33796" s="1"/>
      <c r="F33796" s="1"/>
      <c r="G33796" s="1"/>
    </row>
    <row r="33797">
      <c r="B33797" s="36"/>
      <c r="C33797" s="36"/>
      <c r="E33797" s="1"/>
      <c r="F33797" s="1"/>
      <c r="G33797" s="1"/>
    </row>
    <row r="33798">
      <c r="B33798" s="36"/>
      <c r="C33798" s="36"/>
      <c r="E33798" s="1"/>
      <c r="F33798" s="1"/>
      <c r="G33798" s="1"/>
    </row>
    <row r="33799">
      <c r="B33799" s="36"/>
      <c r="C33799" s="36"/>
      <c r="E33799" s="1"/>
      <c r="F33799" s="1"/>
      <c r="G33799" s="1"/>
    </row>
    <row r="33800">
      <c r="B33800" s="36"/>
      <c r="C33800" s="36"/>
      <c r="E33800" s="1"/>
      <c r="F33800" s="1"/>
      <c r="G33800" s="1"/>
    </row>
    <row r="33801">
      <c r="B33801" s="36"/>
      <c r="C33801" s="36"/>
      <c r="E33801" s="1"/>
      <c r="F33801" s="1"/>
      <c r="G33801" s="1"/>
    </row>
    <row r="33802">
      <c r="B33802" s="36"/>
      <c r="C33802" s="36"/>
      <c r="E33802" s="1"/>
      <c r="F33802" s="1"/>
      <c r="G33802" s="1"/>
    </row>
    <row r="33803">
      <c r="B33803" s="36"/>
      <c r="C33803" s="36"/>
      <c r="E33803" s="1"/>
      <c r="F33803" s="1"/>
      <c r="G33803" s="1"/>
    </row>
    <row r="33804">
      <c r="B33804" s="36"/>
      <c r="C33804" s="36"/>
      <c r="E33804" s="1"/>
      <c r="F33804" s="1"/>
      <c r="G33804" s="1"/>
    </row>
    <row r="33805">
      <c r="B33805" s="36"/>
      <c r="C33805" s="36"/>
      <c r="E33805" s="1"/>
      <c r="F33805" s="1"/>
      <c r="G33805" s="1"/>
    </row>
    <row r="33806">
      <c r="B33806" s="36"/>
      <c r="C33806" s="36"/>
      <c r="E33806" s="1"/>
      <c r="F33806" s="1"/>
      <c r="G33806" s="1"/>
    </row>
    <row r="33807">
      <c r="B33807" s="36"/>
      <c r="C33807" s="36"/>
      <c r="E33807" s="1"/>
      <c r="F33807" s="1"/>
      <c r="G33807" s="1"/>
    </row>
    <row r="33808">
      <c r="B33808" s="36"/>
      <c r="C33808" s="36"/>
      <c r="E33808" s="1"/>
      <c r="F33808" s="1"/>
      <c r="G33808" s="1"/>
    </row>
    <row r="33809">
      <c r="B33809" s="36"/>
      <c r="C33809" s="36"/>
      <c r="E33809" s="1"/>
      <c r="F33809" s="1"/>
      <c r="G33809" s="1"/>
    </row>
    <row r="33810">
      <c r="B33810" s="36"/>
      <c r="C33810" s="36"/>
      <c r="E33810" s="1"/>
      <c r="F33810" s="1"/>
      <c r="G33810" s="1"/>
    </row>
    <row r="33811">
      <c r="B33811" s="36"/>
      <c r="C33811" s="36"/>
      <c r="E33811" s="1"/>
      <c r="F33811" s="1"/>
      <c r="G33811" s="1"/>
    </row>
    <row r="33812">
      <c r="B33812" s="36"/>
      <c r="C33812" s="36"/>
      <c r="E33812" s="1"/>
      <c r="F33812" s="1"/>
      <c r="G33812" s="1"/>
    </row>
    <row r="33813">
      <c r="B33813" s="36"/>
      <c r="C33813" s="36"/>
      <c r="E33813" s="1"/>
      <c r="F33813" s="1"/>
      <c r="G33813" s="1"/>
    </row>
    <row r="33814">
      <c r="B33814" s="36"/>
      <c r="C33814" s="36"/>
      <c r="E33814" s="1"/>
      <c r="F33814" s="1"/>
      <c r="G33814" s="1"/>
    </row>
    <row r="33815">
      <c r="B33815" s="36"/>
      <c r="C33815" s="36"/>
      <c r="E33815" s="1"/>
      <c r="F33815" s="1"/>
      <c r="G33815" s="1"/>
    </row>
    <row r="33816">
      <c r="B33816" s="36"/>
      <c r="C33816" s="36"/>
      <c r="E33816" s="1"/>
      <c r="F33816" s="1"/>
      <c r="G33816" s="1"/>
    </row>
    <row r="33817">
      <c r="B33817" s="36"/>
      <c r="C33817" s="36"/>
      <c r="E33817" s="1"/>
      <c r="F33817" s="1"/>
      <c r="G33817" s="1"/>
    </row>
    <row r="33818">
      <c r="B33818" s="36"/>
      <c r="C33818" s="36"/>
      <c r="E33818" s="1"/>
      <c r="F33818" s="1"/>
      <c r="G33818" s="1"/>
    </row>
    <row r="33819">
      <c r="B33819" s="36"/>
      <c r="C33819" s="36"/>
      <c r="E33819" s="1"/>
      <c r="F33819" s="1"/>
      <c r="G33819" s="1"/>
    </row>
    <row r="33820">
      <c r="B33820" s="36"/>
      <c r="C33820" s="36"/>
      <c r="E33820" s="1"/>
      <c r="F33820" s="1"/>
      <c r="G33820" s="1"/>
    </row>
    <row r="33821">
      <c r="B33821" s="36"/>
      <c r="C33821" s="36"/>
      <c r="E33821" s="1"/>
      <c r="F33821" s="1"/>
      <c r="G33821" s="1"/>
    </row>
    <row r="33822">
      <c r="B33822" s="36"/>
      <c r="C33822" s="36"/>
      <c r="E33822" s="1"/>
      <c r="F33822" s="1"/>
      <c r="G33822" s="1"/>
    </row>
    <row r="33823">
      <c r="B33823" s="36"/>
      <c r="C33823" s="36"/>
      <c r="E33823" s="1"/>
      <c r="F33823" s="1"/>
      <c r="G33823" s="1"/>
    </row>
    <row r="33824">
      <c r="B33824" s="36"/>
      <c r="C33824" s="36"/>
      <c r="E33824" s="1"/>
      <c r="F33824" s="1"/>
      <c r="G33824" s="1"/>
    </row>
    <row r="33825">
      <c r="B33825" s="36"/>
      <c r="C33825" s="36"/>
      <c r="E33825" s="1"/>
      <c r="F33825" s="1"/>
      <c r="G33825" s="1"/>
    </row>
    <row r="33826">
      <c r="B33826" s="36"/>
      <c r="C33826" s="36"/>
      <c r="E33826" s="1"/>
      <c r="F33826" s="1"/>
      <c r="G33826" s="1"/>
    </row>
    <row r="33827">
      <c r="B33827" s="36"/>
      <c r="C33827" s="36"/>
      <c r="E33827" s="1"/>
      <c r="F33827" s="1"/>
      <c r="G33827" s="1"/>
    </row>
    <row r="33828">
      <c r="B33828" s="36"/>
      <c r="C33828" s="36"/>
      <c r="E33828" s="1"/>
      <c r="F33828" s="1"/>
      <c r="G33828" s="1"/>
    </row>
    <row r="33829">
      <c r="B33829" s="36"/>
      <c r="C33829" s="36"/>
      <c r="E33829" s="1"/>
      <c r="F33829" s="1"/>
      <c r="G33829" s="1"/>
    </row>
    <row r="33830">
      <c r="B33830" s="36"/>
      <c r="C33830" s="36"/>
      <c r="E33830" s="1"/>
      <c r="F33830" s="1"/>
      <c r="G33830" s="1"/>
    </row>
    <row r="33831">
      <c r="B33831" s="36"/>
      <c r="C33831" s="36"/>
      <c r="E33831" s="1"/>
      <c r="F33831" s="1"/>
      <c r="G33831" s="1"/>
    </row>
    <row r="33832">
      <c r="B33832" s="36"/>
      <c r="C33832" s="36"/>
      <c r="E33832" s="1"/>
      <c r="F33832" s="1"/>
      <c r="G33832" s="1"/>
    </row>
    <row r="33833">
      <c r="B33833" s="36"/>
      <c r="C33833" s="36"/>
      <c r="E33833" s="1"/>
      <c r="F33833" s="1"/>
      <c r="G33833" s="1"/>
    </row>
    <row r="33834">
      <c r="B33834" s="36"/>
      <c r="C33834" s="36"/>
      <c r="E33834" s="1"/>
      <c r="F33834" s="1"/>
      <c r="G33834" s="1"/>
    </row>
    <row r="33835">
      <c r="B33835" s="36"/>
      <c r="C33835" s="36"/>
      <c r="E33835" s="1"/>
      <c r="F33835" s="1"/>
      <c r="G33835" s="1"/>
    </row>
    <row r="33836">
      <c r="B33836" s="36"/>
      <c r="C33836" s="36"/>
      <c r="E33836" s="1"/>
      <c r="F33836" s="1"/>
      <c r="G33836" s="1"/>
    </row>
    <row r="33837">
      <c r="B33837" s="36"/>
      <c r="C33837" s="36"/>
      <c r="E33837" s="1"/>
      <c r="F33837" s="1"/>
      <c r="G33837" s="1"/>
    </row>
    <row r="33838">
      <c r="B33838" s="36"/>
      <c r="C33838" s="36"/>
      <c r="E33838" s="1"/>
      <c r="F33838" s="1"/>
      <c r="G33838" s="1"/>
    </row>
    <row r="33839">
      <c r="B33839" s="36"/>
      <c r="C33839" s="36"/>
      <c r="E33839" s="1"/>
      <c r="F33839" s="1"/>
      <c r="G33839" s="1"/>
    </row>
    <row r="33840">
      <c r="B33840" s="36"/>
      <c r="C33840" s="36"/>
      <c r="E33840" s="1"/>
      <c r="F33840" s="1"/>
      <c r="G33840" s="1"/>
    </row>
    <row r="33841">
      <c r="B33841" s="36"/>
      <c r="C33841" s="36"/>
      <c r="E33841" s="1"/>
      <c r="F33841" s="1"/>
      <c r="G33841" s="1"/>
    </row>
    <row r="33842">
      <c r="B33842" s="36"/>
      <c r="C33842" s="36"/>
      <c r="E33842" s="1"/>
      <c r="F33842" s="1"/>
      <c r="G33842" s="1"/>
    </row>
    <row r="33843">
      <c r="B33843" s="36"/>
      <c r="C33843" s="36"/>
      <c r="E33843" s="1"/>
      <c r="F33843" s="1"/>
      <c r="G33843" s="1"/>
    </row>
    <row r="33844">
      <c r="B33844" s="36"/>
      <c r="C33844" s="36"/>
      <c r="E33844" s="1"/>
      <c r="F33844" s="1"/>
      <c r="G33844" s="1"/>
    </row>
    <row r="33845">
      <c r="B33845" s="36"/>
      <c r="C33845" s="36"/>
      <c r="E33845" s="1"/>
      <c r="F33845" s="1"/>
      <c r="G33845" s="1"/>
    </row>
    <row r="33846">
      <c r="B33846" s="36"/>
      <c r="C33846" s="36"/>
      <c r="E33846" s="1"/>
      <c r="F33846" s="1"/>
      <c r="G33846" s="1"/>
    </row>
    <row r="33847">
      <c r="B33847" s="36"/>
      <c r="C33847" s="36"/>
      <c r="E33847" s="1"/>
      <c r="F33847" s="1"/>
      <c r="G33847" s="1"/>
    </row>
    <row r="33848">
      <c r="B33848" s="36"/>
      <c r="C33848" s="36"/>
      <c r="E33848" s="1"/>
      <c r="F33848" s="1"/>
      <c r="G33848" s="1"/>
    </row>
    <row r="33849">
      <c r="B33849" s="36"/>
      <c r="C33849" s="36"/>
      <c r="E33849" s="1"/>
      <c r="F33849" s="1"/>
      <c r="G33849" s="1"/>
    </row>
    <row r="33850">
      <c r="B33850" s="36"/>
      <c r="C33850" s="36"/>
      <c r="E33850" s="1"/>
      <c r="F33850" s="1"/>
      <c r="G33850" s="1"/>
    </row>
    <row r="33851">
      <c r="B33851" s="36"/>
      <c r="C33851" s="36"/>
      <c r="E33851" s="1"/>
      <c r="F33851" s="1"/>
      <c r="G33851" s="1"/>
    </row>
    <row r="33852">
      <c r="B33852" s="36"/>
      <c r="C33852" s="36"/>
      <c r="E33852" s="1"/>
      <c r="F33852" s="1"/>
      <c r="G33852" s="1"/>
    </row>
    <row r="33853">
      <c r="B33853" s="36"/>
      <c r="C33853" s="36"/>
      <c r="E33853" s="1"/>
      <c r="F33853" s="1"/>
      <c r="G33853" s="1"/>
    </row>
    <row r="33854">
      <c r="B33854" s="36"/>
      <c r="C33854" s="36"/>
      <c r="E33854" s="1"/>
      <c r="F33854" s="1"/>
      <c r="G33854" s="1"/>
    </row>
    <row r="33855">
      <c r="B33855" s="36"/>
      <c r="C33855" s="36"/>
      <c r="E33855" s="1"/>
      <c r="F33855" s="1"/>
      <c r="G33855" s="1"/>
    </row>
    <row r="33856">
      <c r="B33856" s="36"/>
      <c r="C33856" s="36"/>
      <c r="E33856" s="1"/>
      <c r="F33856" s="1"/>
      <c r="G33856" s="1"/>
    </row>
    <row r="33857">
      <c r="B33857" s="36"/>
      <c r="C33857" s="36"/>
      <c r="E33857" s="1"/>
      <c r="F33857" s="1"/>
      <c r="G33857" s="1"/>
    </row>
    <row r="33858">
      <c r="B33858" s="36"/>
      <c r="C33858" s="36"/>
      <c r="E33858" s="1"/>
      <c r="F33858" s="1"/>
      <c r="G33858" s="1"/>
    </row>
    <row r="33859">
      <c r="B33859" s="36"/>
      <c r="C33859" s="36"/>
      <c r="E33859" s="1"/>
      <c r="F33859" s="1"/>
      <c r="G33859" s="1"/>
    </row>
    <row r="33860">
      <c r="B33860" s="36"/>
      <c r="C33860" s="36"/>
      <c r="E33860" s="1"/>
      <c r="F33860" s="1"/>
      <c r="G33860" s="1"/>
    </row>
    <row r="33861">
      <c r="B33861" s="36"/>
      <c r="C33861" s="36"/>
      <c r="E33861" s="1"/>
      <c r="F33861" s="1"/>
      <c r="G33861" s="1"/>
    </row>
    <row r="33862">
      <c r="B33862" s="36"/>
      <c r="C33862" s="36"/>
      <c r="E33862" s="1"/>
      <c r="F33862" s="1"/>
      <c r="G33862" s="1"/>
    </row>
    <row r="33863">
      <c r="B33863" s="36"/>
      <c r="C33863" s="36"/>
      <c r="E33863" s="1"/>
      <c r="F33863" s="1"/>
      <c r="G33863" s="1"/>
    </row>
    <row r="33864">
      <c r="B33864" s="36"/>
      <c r="C33864" s="36"/>
      <c r="E33864" s="1"/>
      <c r="F33864" s="1"/>
      <c r="G33864" s="1"/>
    </row>
    <row r="33865">
      <c r="B33865" s="36"/>
      <c r="C33865" s="36"/>
      <c r="E33865" s="1"/>
      <c r="F33865" s="1"/>
      <c r="G33865" s="1"/>
    </row>
    <row r="33866">
      <c r="B33866" s="36"/>
      <c r="C33866" s="36"/>
      <c r="E33866" s="1"/>
      <c r="F33866" s="1"/>
      <c r="G33866" s="1"/>
    </row>
    <row r="33867">
      <c r="B33867" s="36"/>
      <c r="C33867" s="36"/>
      <c r="E33867" s="1"/>
      <c r="F33867" s="1"/>
      <c r="G33867" s="1"/>
    </row>
    <row r="33868">
      <c r="B33868" s="36"/>
      <c r="C33868" s="36"/>
      <c r="E33868" s="1"/>
      <c r="F33868" s="1"/>
      <c r="G33868" s="1"/>
    </row>
    <row r="33869">
      <c r="B33869" s="36"/>
      <c r="C33869" s="36"/>
      <c r="E33869" s="1"/>
      <c r="F33869" s="1"/>
      <c r="G33869" s="1"/>
    </row>
    <row r="33870">
      <c r="B33870" s="36"/>
      <c r="C33870" s="36"/>
      <c r="E33870" s="1"/>
      <c r="F33870" s="1"/>
      <c r="G33870" s="1"/>
    </row>
    <row r="33871">
      <c r="B33871" s="36"/>
      <c r="C33871" s="36"/>
      <c r="E33871" s="1"/>
      <c r="F33871" s="1"/>
      <c r="G33871" s="1"/>
    </row>
    <row r="33872">
      <c r="B33872" s="36"/>
      <c r="C33872" s="36"/>
      <c r="E33872" s="1"/>
      <c r="F33872" s="1"/>
      <c r="G33872" s="1"/>
    </row>
    <row r="33873">
      <c r="B33873" s="36"/>
      <c r="C33873" s="36"/>
      <c r="E33873" s="1"/>
      <c r="F33873" s="1"/>
      <c r="G33873" s="1"/>
    </row>
    <row r="33874">
      <c r="B33874" s="36"/>
      <c r="C33874" s="36"/>
      <c r="E33874" s="1"/>
      <c r="F33874" s="1"/>
      <c r="G33874" s="1"/>
    </row>
    <row r="33875">
      <c r="B33875" s="36"/>
      <c r="C33875" s="36"/>
      <c r="E33875" s="1"/>
      <c r="F33875" s="1"/>
      <c r="G33875" s="1"/>
    </row>
    <row r="33876">
      <c r="B33876" s="36"/>
      <c r="C33876" s="36"/>
      <c r="E33876" s="1"/>
      <c r="F33876" s="1"/>
      <c r="G33876" s="1"/>
    </row>
    <row r="33877">
      <c r="B33877" s="36"/>
      <c r="C33877" s="36"/>
      <c r="E33877" s="1"/>
      <c r="F33877" s="1"/>
      <c r="G33877" s="1"/>
    </row>
    <row r="33878">
      <c r="B33878" s="36"/>
      <c r="C33878" s="36"/>
      <c r="E33878" s="1"/>
      <c r="F33878" s="1"/>
      <c r="G33878" s="1"/>
    </row>
    <row r="33879">
      <c r="B33879" s="36"/>
      <c r="C33879" s="36"/>
      <c r="E33879" s="1"/>
      <c r="F33879" s="1"/>
      <c r="G33879" s="1"/>
    </row>
    <row r="33880">
      <c r="B33880" s="36"/>
      <c r="C33880" s="36"/>
      <c r="E33880" s="1"/>
      <c r="F33880" s="1"/>
      <c r="G33880" s="1"/>
    </row>
    <row r="33881">
      <c r="B33881" s="36"/>
      <c r="C33881" s="36"/>
      <c r="E33881" s="1"/>
      <c r="F33881" s="1"/>
      <c r="G33881" s="1"/>
    </row>
    <row r="33882">
      <c r="B33882" s="36"/>
      <c r="C33882" s="36"/>
      <c r="E33882" s="1"/>
      <c r="F33882" s="1"/>
      <c r="G33882" s="1"/>
    </row>
    <row r="33883">
      <c r="B33883" s="36"/>
      <c r="C33883" s="36"/>
      <c r="E33883" s="1"/>
      <c r="F33883" s="1"/>
      <c r="G33883" s="1"/>
    </row>
    <row r="33884">
      <c r="B33884" s="36"/>
      <c r="C33884" s="36"/>
      <c r="E33884" s="1"/>
      <c r="F33884" s="1"/>
      <c r="G33884" s="1"/>
    </row>
    <row r="33885">
      <c r="B33885" s="36"/>
      <c r="C33885" s="36"/>
      <c r="E33885" s="1"/>
      <c r="F33885" s="1"/>
      <c r="G33885" s="1"/>
    </row>
    <row r="33886">
      <c r="B33886" s="36"/>
      <c r="C33886" s="36"/>
      <c r="E33886" s="1"/>
      <c r="F33886" s="1"/>
      <c r="G33886" s="1"/>
    </row>
    <row r="33887">
      <c r="B33887" s="36"/>
      <c r="C33887" s="36"/>
      <c r="E33887" s="1"/>
      <c r="F33887" s="1"/>
      <c r="G33887" s="1"/>
    </row>
    <row r="33888">
      <c r="B33888" s="36"/>
      <c r="C33888" s="36"/>
      <c r="E33888" s="1"/>
      <c r="F33888" s="1"/>
      <c r="G33888" s="1"/>
    </row>
    <row r="33889">
      <c r="B33889" s="36"/>
      <c r="C33889" s="36"/>
      <c r="E33889" s="1"/>
      <c r="F33889" s="1"/>
      <c r="G33889" s="1"/>
    </row>
    <row r="33890">
      <c r="B33890" s="36"/>
      <c r="C33890" s="36"/>
      <c r="E33890" s="1"/>
      <c r="F33890" s="1"/>
      <c r="G33890" s="1"/>
    </row>
    <row r="33891">
      <c r="B33891" s="36"/>
      <c r="C33891" s="36"/>
      <c r="E33891" s="1"/>
      <c r="F33891" s="1"/>
      <c r="G33891" s="1"/>
    </row>
    <row r="33892">
      <c r="B33892" s="36"/>
      <c r="C33892" s="36"/>
      <c r="E33892" s="1"/>
      <c r="F33892" s="1"/>
      <c r="G33892" s="1"/>
    </row>
    <row r="33893">
      <c r="B33893" s="36"/>
      <c r="C33893" s="36"/>
      <c r="E33893" s="1"/>
      <c r="F33893" s="1"/>
      <c r="G33893" s="1"/>
    </row>
    <row r="33894">
      <c r="B33894" s="36"/>
      <c r="C33894" s="36"/>
      <c r="E33894" s="1"/>
      <c r="F33894" s="1"/>
      <c r="G33894" s="1"/>
    </row>
    <row r="33895">
      <c r="B33895" s="36"/>
      <c r="C33895" s="36"/>
      <c r="E33895" s="1"/>
      <c r="F33895" s="1"/>
      <c r="G33895" s="1"/>
    </row>
    <row r="33896">
      <c r="B33896" s="36"/>
      <c r="C33896" s="36"/>
      <c r="E33896" s="1"/>
      <c r="F33896" s="1"/>
      <c r="G33896" s="1"/>
    </row>
    <row r="33897">
      <c r="B33897" s="36"/>
      <c r="C33897" s="36"/>
      <c r="E33897" s="1"/>
      <c r="F33897" s="1"/>
      <c r="G33897" s="1"/>
    </row>
    <row r="33898">
      <c r="B33898" s="36"/>
      <c r="C33898" s="36"/>
      <c r="E33898" s="1"/>
      <c r="F33898" s="1"/>
      <c r="G33898" s="1"/>
    </row>
    <row r="33899">
      <c r="B33899" s="36"/>
      <c r="C33899" s="36"/>
      <c r="E33899" s="1"/>
      <c r="F33899" s="1"/>
      <c r="G33899" s="1"/>
    </row>
    <row r="33900">
      <c r="B33900" s="36"/>
      <c r="C33900" s="36"/>
      <c r="E33900" s="1"/>
      <c r="F33900" s="1"/>
      <c r="G33900" s="1"/>
    </row>
    <row r="33901">
      <c r="B33901" s="36"/>
      <c r="C33901" s="36"/>
      <c r="E33901" s="1"/>
      <c r="F33901" s="1"/>
      <c r="G33901" s="1"/>
    </row>
    <row r="33902">
      <c r="B33902" s="36"/>
      <c r="C33902" s="36"/>
      <c r="E33902" s="1"/>
      <c r="F33902" s="1"/>
      <c r="G33902" s="1"/>
    </row>
    <row r="33903">
      <c r="B33903" s="36"/>
      <c r="C33903" s="36"/>
      <c r="E33903" s="1"/>
      <c r="F33903" s="1"/>
      <c r="G33903" s="1"/>
    </row>
    <row r="33904">
      <c r="B33904" s="36"/>
      <c r="C33904" s="36"/>
      <c r="E33904" s="1"/>
      <c r="F33904" s="1"/>
      <c r="G33904" s="1"/>
    </row>
    <row r="33905">
      <c r="B33905" s="36"/>
      <c r="C33905" s="36"/>
      <c r="E33905" s="1"/>
      <c r="F33905" s="1"/>
      <c r="G33905" s="1"/>
    </row>
    <row r="33906">
      <c r="B33906" s="36"/>
      <c r="C33906" s="36"/>
      <c r="E33906" s="1"/>
      <c r="F33906" s="1"/>
      <c r="G33906" s="1"/>
    </row>
    <row r="33907">
      <c r="B33907" s="36"/>
      <c r="C33907" s="36"/>
      <c r="E33907" s="1"/>
      <c r="F33907" s="1"/>
      <c r="G33907" s="1"/>
    </row>
    <row r="33908">
      <c r="B33908" s="36"/>
      <c r="C33908" s="36"/>
      <c r="E33908" s="1"/>
      <c r="F33908" s="1"/>
      <c r="G33908" s="1"/>
    </row>
    <row r="33909">
      <c r="B33909" s="36"/>
      <c r="C33909" s="36"/>
      <c r="E33909" s="1"/>
      <c r="F33909" s="1"/>
      <c r="G33909" s="1"/>
    </row>
    <row r="33910">
      <c r="B33910" s="36"/>
      <c r="C33910" s="36"/>
      <c r="E33910" s="1"/>
      <c r="F33910" s="1"/>
      <c r="G33910" s="1"/>
    </row>
    <row r="33911">
      <c r="B33911" s="36"/>
      <c r="C33911" s="36"/>
      <c r="E33911" s="1"/>
      <c r="F33911" s="1"/>
      <c r="G33911" s="1"/>
    </row>
    <row r="33912">
      <c r="B33912" s="36"/>
      <c r="C33912" s="36"/>
      <c r="E33912" s="1"/>
      <c r="F33912" s="1"/>
      <c r="G33912" s="1"/>
    </row>
    <row r="33913">
      <c r="B33913" s="36"/>
      <c r="C33913" s="36"/>
      <c r="E33913" s="1"/>
      <c r="F33913" s="1"/>
      <c r="G33913" s="1"/>
    </row>
    <row r="33914">
      <c r="B33914" s="36"/>
      <c r="C33914" s="36"/>
      <c r="E33914" s="1"/>
      <c r="F33914" s="1"/>
      <c r="G33914" s="1"/>
    </row>
    <row r="33915">
      <c r="B33915" s="36"/>
      <c r="C33915" s="36"/>
      <c r="E33915" s="1"/>
      <c r="F33915" s="1"/>
      <c r="G33915" s="1"/>
    </row>
    <row r="33916">
      <c r="B33916" s="36"/>
      <c r="C33916" s="36"/>
      <c r="E33916" s="1"/>
      <c r="F33916" s="1"/>
      <c r="G33916" s="1"/>
    </row>
    <row r="33917">
      <c r="B33917" s="36"/>
      <c r="C33917" s="36"/>
      <c r="E33917" s="1"/>
      <c r="F33917" s="1"/>
      <c r="G33917" s="1"/>
    </row>
    <row r="33918">
      <c r="B33918" s="36"/>
      <c r="C33918" s="36"/>
      <c r="E33918" s="1"/>
      <c r="F33918" s="1"/>
      <c r="G33918" s="1"/>
    </row>
    <row r="33919">
      <c r="B33919" s="36"/>
      <c r="C33919" s="36"/>
      <c r="E33919" s="1"/>
      <c r="F33919" s="1"/>
      <c r="G33919" s="1"/>
    </row>
    <row r="33920">
      <c r="B33920" s="36"/>
      <c r="C33920" s="36"/>
      <c r="E33920" s="1"/>
      <c r="F33920" s="1"/>
      <c r="G33920" s="1"/>
    </row>
    <row r="33921">
      <c r="B33921" s="36"/>
      <c r="C33921" s="36"/>
      <c r="E33921" s="1"/>
      <c r="F33921" s="1"/>
      <c r="G33921" s="1"/>
    </row>
    <row r="33922">
      <c r="B33922" s="36"/>
      <c r="C33922" s="36"/>
      <c r="E33922" s="1"/>
      <c r="F33922" s="1"/>
      <c r="G33922" s="1"/>
    </row>
    <row r="33923">
      <c r="B33923" s="36"/>
      <c r="C33923" s="36"/>
      <c r="E33923" s="1"/>
      <c r="F33923" s="1"/>
      <c r="G33923" s="1"/>
    </row>
    <row r="33924">
      <c r="B33924" s="36"/>
      <c r="C33924" s="36"/>
      <c r="E33924" s="1"/>
      <c r="F33924" s="1"/>
      <c r="G33924" s="1"/>
    </row>
    <row r="33925">
      <c r="B33925" s="36"/>
      <c r="C33925" s="36"/>
      <c r="E33925" s="1"/>
      <c r="F33925" s="1"/>
      <c r="G33925" s="1"/>
    </row>
    <row r="33926">
      <c r="B33926" s="36"/>
      <c r="C33926" s="36"/>
      <c r="E33926" s="1"/>
      <c r="F33926" s="1"/>
      <c r="G33926" s="1"/>
    </row>
    <row r="33927">
      <c r="B33927" s="36"/>
      <c r="C33927" s="36"/>
      <c r="E33927" s="1"/>
      <c r="F33927" s="1"/>
      <c r="G33927" s="1"/>
    </row>
    <row r="33928">
      <c r="B33928" s="36"/>
      <c r="C33928" s="36"/>
      <c r="E33928" s="1"/>
      <c r="F33928" s="1"/>
      <c r="G33928" s="1"/>
    </row>
    <row r="33929">
      <c r="B33929" s="36"/>
      <c r="C33929" s="36"/>
      <c r="E33929" s="1"/>
      <c r="F33929" s="1"/>
      <c r="G33929" s="1"/>
    </row>
    <row r="33930">
      <c r="B33930" s="36"/>
      <c r="C33930" s="36"/>
      <c r="E33930" s="1"/>
      <c r="F33930" s="1"/>
      <c r="G33930" s="1"/>
    </row>
    <row r="33931">
      <c r="B33931" s="36"/>
      <c r="C33931" s="36"/>
      <c r="E33931" s="1"/>
      <c r="F33931" s="1"/>
      <c r="G33931" s="1"/>
    </row>
    <row r="33932">
      <c r="B33932" s="36"/>
      <c r="C33932" s="36"/>
      <c r="E33932" s="1"/>
      <c r="F33932" s="1"/>
      <c r="G33932" s="1"/>
    </row>
    <row r="33933">
      <c r="B33933" s="36"/>
      <c r="C33933" s="36"/>
      <c r="E33933" s="1"/>
      <c r="F33933" s="1"/>
      <c r="G33933" s="1"/>
    </row>
    <row r="33934">
      <c r="B33934" s="36"/>
      <c r="C33934" s="36"/>
      <c r="E33934" s="1"/>
      <c r="F33934" s="1"/>
      <c r="G33934" s="1"/>
    </row>
    <row r="33935">
      <c r="B33935" s="36"/>
      <c r="C33935" s="36"/>
      <c r="E33935" s="1"/>
      <c r="F33935" s="1"/>
      <c r="G33935" s="1"/>
    </row>
    <row r="33936">
      <c r="B33936" s="36"/>
      <c r="C33936" s="36"/>
      <c r="E33936" s="1"/>
      <c r="F33936" s="1"/>
      <c r="G33936" s="1"/>
    </row>
    <row r="33937">
      <c r="B33937" s="36"/>
      <c r="C33937" s="36"/>
      <c r="E33937" s="1"/>
      <c r="F33937" s="1"/>
      <c r="G33937" s="1"/>
    </row>
    <row r="33938">
      <c r="B33938" s="36"/>
      <c r="C33938" s="36"/>
      <c r="E33938" s="1"/>
      <c r="F33938" s="1"/>
      <c r="G33938" s="1"/>
    </row>
    <row r="33939">
      <c r="B33939" s="36"/>
      <c r="C33939" s="36"/>
      <c r="E33939" s="1"/>
      <c r="F33939" s="1"/>
      <c r="G33939" s="1"/>
    </row>
    <row r="33940">
      <c r="B33940" s="36"/>
      <c r="C33940" s="36"/>
      <c r="E33940" s="1"/>
      <c r="F33940" s="1"/>
      <c r="G33940" s="1"/>
    </row>
    <row r="33941">
      <c r="B33941" s="36"/>
      <c r="C33941" s="36"/>
      <c r="E33941" s="1"/>
      <c r="F33941" s="1"/>
      <c r="G33941" s="1"/>
    </row>
    <row r="33942">
      <c r="B33942" s="36"/>
      <c r="C33942" s="36"/>
      <c r="E33942" s="1"/>
      <c r="F33942" s="1"/>
      <c r="G33942" s="1"/>
    </row>
    <row r="33943">
      <c r="B33943" s="36"/>
      <c r="C33943" s="36"/>
      <c r="E33943" s="1"/>
      <c r="F33943" s="1"/>
      <c r="G33943" s="1"/>
    </row>
    <row r="33944">
      <c r="B33944" s="36"/>
      <c r="C33944" s="36"/>
      <c r="E33944" s="1"/>
      <c r="F33944" s="1"/>
      <c r="G33944" s="1"/>
    </row>
    <row r="33945">
      <c r="B33945" s="36"/>
      <c r="C33945" s="36"/>
      <c r="E33945" s="1"/>
      <c r="F33945" s="1"/>
      <c r="G33945" s="1"/>
    </row>
    <row r="33946">
      <c r="B33946" s="36"/>
      <c r="C33946" s="36"/>
      <c r="E33946" s="1"/>
      <c r="F33946" s="1"/>
      <c r="G33946" s="1"/>
    </row>
    <row r="33947">
      <c r="B33947" s="36"/>
      <c r="C33947" s="36"/>
      <c r="E33947" s="1"/>
      <c r="F33947" s="1"/>
      <c r="G33947" s="1"/>
    </row>
    <row r="33948">
      <c r="B33948" s="36"/>
      <c r="C33948" s="36"/>
      <c r="E33948" s="1"/>
      <c r="F33948" s="1"/>
      <c r="G33948" s="1"/>
    </row>
    <row r="33949">
      <c r="B33949" s="36"/>
      <c r="C33949" s="36"/>
      <c r="E33949" s="1"/>
      <c r="F33949" s="1"/>
      <c r="G33949" s="1"/>
    </row>
    <row r="33950">
      <c r="B33950" s="36"/>
      <c r="C33950" s="36"/>
      <c r="E33950" s="1"/>
      <c r="F33950" s="1"/>
      <c r="G33950" s="1"/>
    </row>
    <row r="33951">
      <c r="B33951" s="36"/>
      <c r="C33951" s="36"/>
      <c r="E33951" s="1"/>
      <c r="F33951" s="1"/>
      <c r="G33951" s="1"/>
    </row>
    <row r="33952">
      <c r="B33952" s="36"/>
      <c r="C33952" s="36"/>
      <c r="E33952" s="1"/>
      <c r="F33952" s="1"/>
      <c r="G33952" s="1"/>
    </row>
    <row r="33953">
      <c r="B33953" s="36"/>
      <c r="C33953" s="36"/>
      <c r="E33953" s="1"/>
      <c r="F33953" s="1"/>
      <c r="G33953" s="1"/>
    </row>
    <row r="33954">
      <c r="B33954" s="36"/>
      <c r="C33954" s="36"/>
      <c r="E33954" s="1"/>
      <c r="F33954" s="1"/>
      <c r="G33954" s="1"/>
    </row>
    <row r="33955">
      <c r="B33955" s="36"/>
      <c r="C33955" s="36"/>
      <c r="E33955" s="1"/>
      <c r="F33955" s="1"/>
      <c r="G33955" s="1"/>
    </row>
    <row r="33956">
      <c r="B33956" s="36"/>
      <c r="C33956" s="36"/>
      <c r="E33956" s="1"/>
      <c r="F33956" s="1"/>
      <c r="G33956" s="1"/>
    </row>
    <row r="33957">
      <c r="B33957" s="36"/>
      <c r="C33957" s="36"/>
      <c r="E33957" s="1"/>
      <c r="F33957" s="1"/>
      <c r="G33957" s="1"/>
    </row>
    <row r="33958">
      <c r="B33958" s="36"/>
      <c r="C33958" s="36"/>
      <c r="E33958" s="1"/>
      <c r="F33958" s="1"/>
      <c r="G33958" s="1"/>
    </row>
    <row r="33959">
      <c r="B33959" s="36"/>
      <c r="C33959" s="36"/>
      <c r="E33959" s="1"/>
      <c r="F33959" s="1"/>
      <c r="G33959" s="1"/>
    </row>
    <row r="33960">
      <c r="B33960" s="36"/>
      <c r="C33960" s="36"/>
      <c r="E33960" s="1"/>
      <c r="F33960" s="1"/>
      <c r="G33960" s="1"/>
    </row>
    <row r="33961">
      <c r="B33961" s="36"/>
      <c r="C33961" s="36"/>
      <c r="E33961" s="1"/>
      <c r="F33961" s="1"/>
      <c r="G33961" s="1"/>
    </row>
    <row r="33962">
      <c r="B33962" s="36"/>
      <c r="C33962" s="36"/>
      <c r="E33962" s="1"/>
      <c r="F33962" s="1"/>
      <c r="G33962" s="1"/>
    </row>
    <row r="33963">
      <c r="B33963" s="36"/>
      <c r="C33963" s="36"/>
      <c r="E33963" s="1"/>
      <c r="F33963" s="1"/>
      <c r="G33963" s="1"/>
    </row>
    <row r="33964">
      <c r="B33964" s="36"/>
      <c r="C33964" s="36"/>
      <c r="E33964" s="1"/>
      <c r="F33964" s="1"/>
      <c r="G33964" s="1"/>
    </row>
    <row r="33965">
      <c r="B33965" s="36"/>
      <c r="C33965" s="36"/>
      <c r="E33965" s="1"/>
      <c r="F33965" s="1"/>
      <c r="G33965" s="1"/>
    </row>
    <row r="33966">
      <c r="B33966" s="36"/>
      <c r="C33966" s="36"/>
      <c r="E33966" s="1"/>
      <c r="F33966" s="1"/>
      <c r="G33966" s="1"/>
    </row>
    <row r="33967">
      <c r="B33967" s="36"/>
      <c r="C33967" s="36"/>
      <c r="E33967" s="1"/>
      <c r="F33967" s="1"/>
      <c r="G33967" s="1"/>
    </row>
    <row r="33968">
      <c r="B33968" s="36"/>
      <c r="C33968" s="36"/>
      <c r="E33968" s="1"/>
      <c r="F33968" s="1"/>
      <c r="G33968" s="1"/>
    </row>
    <row r="33969">
      <c r="B33969" s="36"/>
      <c r="C33969" s="36"/>
      <c r="E33969" s="1"/>
      <c r="F33969" s="1"/>
      <c r="G33969" s="1"/>
    </row>
    <row r="33970">
      <c r="B33970" s="36"/>
      <c r="C33970" s="36"/>
      <c r="E33970" s="1"/>
      <c r="F33970" s="1"/>
      <c r="G33970" s="1"/>
    </row>
    <row r="33971">
      <c r="B33971" s="36"/>
      <c r="C33971" s="36"/>
      <c r="E33971" s="1"/>
      <c r="F33971" s="1"/>
      <c r="G33971" s="1"/>
    </row>
    <row r="33972">
      <c r="B33972" s="36"/>
      <c r="C33972" s="36"/>
      <c r="E33972" s="1"/>
      <c r="F33972" s="1"/>
      <c r="G33972" s="1"/>
    </row>
    <row r="33973">
      <c r="B33973" s="36"/>
      <c r="C33973" s="36"/>
      <c r="E33973" s="1"/>
      <c r="F33973" s="1"/>
      <c r="G33973" s="1"/>
    </row>
    <row r="33974">
      <c r="B33974" s="36"/>
      <c r="C33974" s="36"/>
      <c r="E33974" s="1"/>
      <c r="F33974" s="1"/>
      <c r="G33974" s="1"/>
    </row>
    <row r="33975">
      <c r="B33975" s="36"/>
      <c r="C33975" s="36"/>
      <c r="E33975" s="1"/>
      <c r="F33975" s="1"/>
      <c r="G33975" s="1"/>
    </row>
    <row r="33976">
      <c r="B33976" s="36"/>
      <c r="C33976" s="36"/>
      <c r="E33976" s="1"/>
      <c r="F33976" s="1"/>
      <c r="G33976" s="1"/>
    </row>
    <row r="33977">
      <c r="B33977" s="36"/>
      <c r="C33977" s="36"/>
      <c r="E33977" s="1"/>
      <c r="F33977" s="1"/>
      <c r="G33977" s="1"/>
    </row>
    <row r="33978">
      <c r="B33978" s="36"/>
      <c r="C33978" s="36"/>
      <c r="E33978" s="1"/>
      <c r="F33978" s="1"/>
      <c r="G33978" s="1"/>
    </row>
    <row r="33979">
      <c r="B33979" s="36"/>
      <c r="C33979" s="36"/>
      <c r="E33979" s="1"/>
      <c r="F33979" s="1"/>
      <c r="G33979" s="1"/>
    </row>
    <row r="33980">
      <c r="B33980" s="36"/>
      <c r="C33980" s="36"/>
      <c r="E33980" s="1"/>
      <c r="F33980" s="1"/>
      <c r="G33980" s="1"/>
    </row>
    <row r="33981">
      <c r="B33981" s="36"/>
      <c r="C33981" s="36"/>
      <c r="E33981" s="1"/>
      <c r="F33981" s="1"/>
      <c r="G33981" s="1"/>
    </row>
    <row r="33982">
      <c r="B33982" s="36"/>
      <c r="C33982" s="36"/>
      <c r="E33982" s="1"/>
      <c r="F33982" s="1"/>
      <c r="G33982" s="1"/>
    </row>
    <row r="33983">
      <c r="B33983" s="36"/>
      <c r="C33983" s="36"/>
      <c r="E33983" s="1"/>
      <c r="F33983" s="1"/>
      <c r="G33983" s="1"/>
    </row>
    <row r="33984">
      <c r="B33984" s="36"/>
      <c r="C33984" s="36"/>
      <c r="E33984" s="1"/>
      <c r="F33984" s="1"/>
      <c r="G33984" s="1"/>
    </row>
    <row r="33985">
      <c r="B33985" s="36"/>
      <c r="C33985" s="36"/>
      <c r="E33985" s="1"/>
      <c r="F33985" s="1"/>
      <c r="G33985" s="1"/>
    </row>
    <row r="33986">
      <c r="B33986" s="36"/>
      <c r="C33986" s="36"/>
      <c r="E33986" s="1"/>
      <c r="F33986" s="1"/>
      <c r="G33986" s="1"/>
    </row>
    <row r="33987">
      <c r="B33987" s="36"/>
      <c r="C33987" s="36"/>
      <c r="E33987" s="1"/>
      <c r="F33987" s="1"/>
      <c r="G33987" s="1"/>
    </row>
    <row r="33988">
      <c r="B33988" s="36"/>
      <c r="C33988" s="36"/>
      <c r="E33988" s="1"/>
      <c r="F33988" s="1"/>
      <c r="G33988" s="1"/>
    </row>
    <row r="33989">
      <c r="B33989" s="36"/>
      <c r="C33989" s="36"/>
      <c r="E33989" s="1"/>
      <c r="F33989" s="1"/>
      <c r="G33989" s="1"/>
    </row>
    <row r="33990">
      <c r="B33990" s="36"/>
      <c r="C33990" s="36"/>
      <c r="E33990" s="1"/>
      <c r="F33990" s="1"/>
      <c r="G33990" s="1"/>
    </row>
    <row r="33991">
      <c r="B33991" s="36"/>
      <c r="C33991" s="36"/>
      <c r="E33991" s="1"/>
      <c r="F33991" s="1"/>
      <c r="G33991" s="1"/>
    </row>
    <row r="33992">
      <c r="B33992" s="36"/>
      <c r="C33992" s="36"/>
      <c r="E33992" s="1"/>
      <c r="F33992" s="1"/>
      <c r="G33992" s="1"/>
    </row>
    <row r="33993">
      <c r="B33993" s="36"/>
      <c r="C33993" s="36"/>
      <c r="E33993" s="1"/>
      <c r="F33993" s="1"/>
      <c r="G33993" s="1"/>
    </row>
    <row r="33994">
      <c r="B33994" s="36"/>
      <c r="C33994" s="36"/>
      <c r="E33994" s="1"/>
      <c r="F33994" s="1"/>
      <c r="G33994" s="1"/>
    </row>
    <row r="33995">
      <c r="B33995" s="36"/>
      <c r="C33995" s="36"/>
      <c r="E33995" s="1"/>
      <c r="F33995" s="1"/>
      <c r="G33995" s="1"/>
    </row>
    <row r="33996">
      <c r="B33996" s="36"/>
      <c r="C33996" s="36"/>
      <c r="E33996" s="1"/>
      <c r="F33996" s="1"/>
      <c r="G33996" s="1"/>
    </row>
    <row r="33997">
      <c r="B33997" s="36"/>
      <c r="C33997" s="36"/>
      <c r="E33997" s="1"/>
      <c r="F33997" s="1"/>
      <c r="G33997" s="1"/>
    </row>
    <row r="33998">
      <c r="B33998" s="36"/>
      <c r="C33998" s="36"/>
      <c r="E33998" s="1"/>
      <c r="F33998" s="1"/>
      <c r="G33998" s="1"/>
    </row>
    <row r="33999">
      <c r="B33999" s="36"/>
      <c r="C33999" s="36"/>
      <c r="E33999" s="1"/>
      <c r="F33999" s="1"/>
      <c r="G33999" s="1"/>
    </row>
    <row r="34000">
      <c r="B34000" s="36"/>
      <c r="C34000" s="36"/>
      <c r="E34000" s="1"/>
      <c r="F34000" s="1"/>
      <c r="G34000" s="1"/>
    </row>
    <row r="34001">
      <c r="B34001" s="36"/>
      <c r="C34001" s="36"/>
      <c r="E34001" s="1"/>
      <c r="F34001" s="1"/>
      <c r="G34001" s="1"/>
    </row>
    <row r="34002">
      <c r="B34002" s="36"/>
      <c r="C34002" s="36"/>
      <c r="E34002" s="1"/>
      <c r="F34002" s="1"/>
      <c r="G34002" s="1"/>
    </row>
    <row r="34003">
      <c r="B34003" s="36"/>
      <c r="C34003" s="36"/>
      <c r="E34003" s="1"/>
      <c r="F34003" s="1"/>
      <c r="G34003" s="1"/>
    </row>
    <row r="34004">
      <c r="B34004" s="36"/>
      <c r="C34004" s="36"/>
      <c r="E34004" s="1"/>
      <c r="F34004" s="1"/>
      <c r="G34004" s="1"/>
    </row>
    <row r="34005">
      <c r="B34005" s="36"/>
      <c r="C34005" s="36"/>
      <c r="E34005" s="1"/>
      <c r="F34005" s="1"/>
      <c r="G34005" s="1"/>
    </row>
    <row r="34006">
      <c r="B34006" s="36"/>
      <c r="C34006" s="36"/>
      <c r="E34006" s="1"/>
      <c r="F34006" s="1"/>
      <c r="G34006" s="1"/>
    </row>
    <row r="34007">
      <c r="B34007" s="36"/>
      <c r="C34007" s="36"/>
      <c r="E34007" s="1"/>
      <c r="F34007" s="1"/>
      <c r="G34007" s="1"/>
    </row>
    <row r="34008">
      <c r="B34008" s="36"/>
      <c r="C34008" s="36"/>
      <c r="E34008" s="1"/>
      <c r="F34008" s="1"/>
      <c r="G34008" s="1"/>
    </row>
    <row r="34009">
      <c r="B34009" s="36"/>
      <c r="C34009" s="36"/>
      <c r="E34009" s="1"/>
      <c r="F34009" s="1"/>
      <c r="G34009" s="1"/>
    </row>
    <row r="34010">
      <c r="B34010" s="36"/>
      <c r="C34010" s="36"/>
      <c r="E34010" s="1"/>
      <c r="F34010" s="1"/>
      <c r="G34010" s="1"/>
    </row>
    <row r="34011">
      <c r="B34011" s="36"/>
      <c r="C34011" s="36"/>
      <c r="E34011" s="1"/>
      <c r="F34011" s="1"/>
      <c r="G34011" s="1"/>
    </row>
    <row r="34012">
      <c r="B34012" s="36"/>
      <c r="C34012" s="36"/>
      <c r="E34012" s="1"/>
      <c r="F34012" s="1"/>
      <c r="G34012" s="1"/>
    </row>
    <row r="34013">
      <c r="B34013" s="36"/>
      <c r="C34013" s="36"/>
      <c r="E34013" s="1"/>
      <c r="F34013" s="1"/>
      <c r="G34013" s="1"/>
    </row>
    <row r="34014">
      <c r="B34014" s="36"/>
      <c r="C34014" s="36"/>
      <c r="E34014" s="1"/>
      <c r="F34014" s="1"/>
      <c r="G34014" s="1"/>
    </row>
    <row r="34015">
      <c r="B34015" s="36"/>
      <c r="C34015" s="36"/>
      <c r="E34015" s="1"/>
      <c r="F34015" s="1"/>
      <c r="G34015" s="1"/>
    </row>
    <row r="34016">
      <c r="B34016" s="36"/>
      <c r="C34016" s="36"/>
      <c r="E34016" s="1"/>
      <c r="F34016" s="1"/>
      <c r="G34016" s="1"/>
    </row>
    <row r="34017">
      <c r="B34017" s="36"/>
      <c r="C34017" s="36"/>
      <c r="E34017" s="1"/>
      <c r="F34017" s="1"/>
      <c r="G34017" s="1"/>
    </row>
    <row r="34018">
      <c r="B34018" s="36"/>
      <c r="C34018" s="36"/>
      <c r="E34018" s="1"/>
      <c r="F34018" s="1"/>
      <c r="G34018" s="1"/>
    </row>
    <row r="34019">
      <c r="B34019" s="36"/>
      <c r="C34019" s="36"/>
      <c r="E34019" s="1"/>
      <c r="F34019" s="1"/>
      <c r="G34019" s="1"/>
    </row>
    <row r="34020">
      <c r="B34020" s="36"/>
      <c r="C34020" s="36"/>
      <c r="E34020" s="1"/>
      <c r="F34020" s="1"/>
      <c r="G34020" s="1"/>
    </row>
    <row r="34021">
      <c r="B34021" s="36"/>
      <c r="C34021" s="36"/>
      <c r="E34021" s="1"/>
      <c r="F34021" s="1"/>
      <c r="G34021" s="1"/>
    </row>
    <row r="34022">
      <c r="B34022" s="36"/>
      <c r="C34022" s="36"/>
      <c r="E34022" s="1"/>
      <c r="F34022" s="1"/>
      <c r="G34022" s="1"/>
    </row>
    <row r="34023">
      <c r="B34023" s="36"/>
      <c r="C34023" s="36"/>
      <c r="E34023" s="1"/>
      <c r="F34023" s="1"/>
      <c r="G34023" s="1"/>
    </row>
    <row r="34024">
      <c r="B34024" s="36"/>
      <c r="C34024" s="36"/>
      <c r="E34024" s="1"/>
      <c r="F34024" s="1"/>
      <c r="G34024" s="1"/>
    </row>
    <row r="34025">
      <c r="B34025" s="36"/>
      <c r="C34025" s="36"/>
      <c r="E34025" s="1"/>
      <c r="F34025" s="1"/>
      <c r="G34025" s="1"/>
    </row>
    <row r="34026">
      <c r="B34026" s="36"/>
      <c r="C34026" s="36"/>
      <c r="E34026" s="1"/>
      <c r="F34026" s="1"/>
      <c r="G34026" s="1"/>
    </row>
    <row r="34027">
      <c r="B34027" s="36"/>
      <c r="C34027" s="36"/>
      <c r="E34027" s="1"/>
      <c r="F34027" s="1"/>
      <c r="G34027" s="1"/>
    </row>
    <row r="34028">
      <c r="B34028" s="36"/>
      <c r="C34028" s="36"/>
      <c r="E34028" s="1"/>
      <c r="F34028" s="1"/>
      <c r="G34028" s="1"/>
    </row>
    <row r="34029">
      <c r="B34029" s="36"/>
      <c r="C34029" s="36"/>
      <c r="E34029" s="1"/>
      <c r="F34029" s="1"/>
      <c r="G34029" s="1"/>
    </row>
    <row r="34030">
      <c r="B34030" s="36"/>
      <c r="C34030" s="36"/>
      <c r="E34030" s="1"/>
      <c r="F34030" s="1"/>
      <c r="G34030" s="1"/>
    </row>
    <row r="34031">
      <c r="B34031" s="36"/>
      <c r="C34031" s="36"/>
      <c r="E34031" s="1"/>
      <c r="F34031" s="1"/>
      <c r="G34031" s="1"/>
    </row>
    <row r="34032">
      <c r="B34032" s="36"/>
      <c r="C34032" s="36"/>
      <c r="E34032" s="1"/>
      <c r="F34032" s="1"/>
      <c r="G34032" s="1"/>
    </row>
    <row r="34033">
      <c r="B34033" s="36"/>
      <c r="C34033" s="36"/>
      <c r="E34033" s="1"/>
      <c r="F34033" s="1"/>
      <c r="G34033" s="1"/>
    </row>
    <row r="34034">
      <c r="B34034" s="36"/>
      <c r="C34034" s="36"/>
      <c r="E34034" s="1"/>
      <c r="F34034" s="1"/>
      <c r="G34034" s="1"/>
    </row>
    <row r="34035">
      <c r="B34035" s="36"/>
      <c r="C34035" s="36"/>
      <c r="E34035" s="1"/>
      <c r="F34035" s="1"/>
      <c r="G34035" s="1"/>
    </row>
    <row r="34036">
      <c r="B34036" s="36"/>
      <c r="C34036" s="36"/>
      <c r="E34036" s="1"/>
      <c r="F34036" s="1"/>
      <c r="G34036" s="1"/>
    </row>
    <row r="34037">
      <c r="B34037" s="36"/>
      <c r="C34037" s="36"/>
      <c r="E34037" s="1"/>
      <c r="F34037" s="1"/>
      <c r="G34037" s="1"/>
    </row>
    <row r="34038">
      <c r="B34038" s="36"/>
      <c r="C34038" s="36"/>
      <c r="E34038" s="1"/>
      <c r="F34038" s="1"/>
      <c r="G34038" s="1"/>
    </row>
    <row r="34039">
      <c r="B34039" s="36"/>
      <c r="C34039" s="36"/>
      <c r="E34039" s="1"/>
      <c r="F34039" s="1"/>
      <c r="G34039" s="1"/>
    </row>
    <row r="34040">
      <c r="B34040" s="36"/>
      <c r="C34040" s="36"/>
      <c r="E34040" s="1"/>
      <c r="F34040" s="1"/>
      <c r="G34040" s="1"/>
    </row>
    <row r="34041">
      <c r="B34041" s="36"/>
      <c r="C34041" s="36"/>
      <c r="E34041" s="1"/>
      <c r="F34041" s="1"/>
      <c r="G34041" s="1"/>
    </row>
    <row r="34042">
      <c r="B34042" s="36"/>
      <c r="C34042" s="36"/>
      <c r="E34042" s="1"/>
      <c r="F34042" s="1"/>
      <c r="G34042" s="1"/>
    </row>
    <row r="34043">
      <c r="B34043" s="36"/>
      <c r="C34043" s="36"/>
      <c r="E34043" s="1"/>
      <c r="F34043" s="1"/>
      <c r="G34043" s="1"/>
    </row>
    <row r="34044">
      <c r="B34044" s="36"/>
      <c r="C34044" s="36"/>
      <c r="E34044" s="1"/>
      <c r="F34044" s="1"/>
      <c r="G34044" s="1"/>
    </row>
    <row r="34045">
      <c r="B34045" s="36"/>
      <c r="C34045" s="36"/>
      <c r="E34045" s="1"/>
      <c r="F34045" s="1"/>
      <c r="G34045" s="1"/>
    </row>
    <row r="34046">
      <c r="B34046" s="36"/>
      <c r="C34046" s="36"/>
      <c r="E34046" s="1"/>
      <c r="F34046" s="1"/>
      <c r="G34046" s="1"/>
    </row>
    <row r="34047">
      <c r="B34047" s="36"/>
      <c r="C34047" s="36"/>
      <c r="E34047" s="1"/>
      <c r="F34047" s="1"/>
      <c r="G34047" s="1"/>
    </row>
    <row r="34048">
      <c r="B34048" s="36"/>
      <c r="C34048" s="36"/>
      <c r="E34048" s="1"/>
      <c r="F34048" s="1"/>
      <c r="G34048" s="1"/>
    </row>
    <row r="34049">
      <c r="B34049" s="36"/>
      <c r="C34049" s="36"/>
      <c r="E34049" s="1"/>
      <c r="F34049" s="1"/>
      <c r="G34049" s="1"/>
    </row>
    <row r="34050">
      <c r="B34050" s="36"/>
      <c r="C34050" s="36"/>
      <c r="E34050" s="1"/>
      <c r="F34050" s="1"/>
      <c r="G34050" s="1"/>
    </row>
    <row r="34051">
      <c r="B34051" s="36"/>
      <c r="C34051" s="36"/>
      <c r="E34051" s="1"/>
      <c r="F34051" s="1"/>
      <c r="G34051" s="1"/>
    </row>
    <row r="34052">
      <c r="B34052" s="36"/>
      <c r="C34052" s="36"/>
      <c r="E34052" s="1"/>
      <c r="F34052" s="1"/>
      <c r="G34052" s="1"/>
    </row>
    <row r="34053">
      <c r="B34053" s="36"/>
      <c r="C34053" s="36"/>
      <c r="E34053" s="1"/>
      <c r="F34053" s="1"/>
      <c r="G34053" s="1"/>
    </row>
    <row r="34054">
      <c r="B34054" s="36"/>
      <c r="C34054" s="36"/>
      <c r="E34054" s="1"/>
      <c r="F34054" s="1"/>
      <c r="G34054" s="1"/>
    </row>
    <row r="34055">
      <c r="B34055" s="36"/>
      <c r="C34055" s="36"/>
      <c r="E34055" s="1"/>
      <c r="F34055" s="1"/>
      <c r="G34055" s="1"/>
    </row>
    <row r="34056">
      <c r="B34056" s="36"/>
      <c r="C34056" s="36"/>
      <c r="E34056" s="1"/>
      <c r="F34056" s="1"/>
      <c r="G34056" s="1"/>
    </row>
    <row r="34057">
      <c r="B34057" s="36"/>
      <c r="C34057" s="36"/>
      <c r="E34057" s="1"/>
      <c r="F34057" s="1"/>
      <c r="G34057" s="1"/>
    </row>
    <row r="34058">
      <c r="B34058" s="36"/>
      <c r="C34058" s="36"/>
      <c r="E34058" s="1"/>
      <c r="F34058" s="1"/>
      <c r="G34058" s="1"/>
    </row>
    <row r="34059">
      <c r="B34059" s="36"/>
      <c r="C34059" s="36"/>
      <c r="E34059" s="1"/>
      <c r="F34059" s="1"/>
      <c r="G34059" s="1"/>
    </row>
    <row r="34060">
      <c r="B34060" s="36"/>
      <c r="C34060" s="36"/>
      <c r="E34060" s="1"/>
      <c r="F34060" s="1"/>
      <c r="G34060" s="1"/>
    </row>
    <row r="34061">
      <c r="B34061" s="36"/>
      <c r="C34061" s="36"/>
      <c r="E34061" s="1"/>
      <c r="F34061" s="1"/>
      <c r="G34061" s="1"/>
    </row>
    <row r="34062">
      <c r="B34062" s="36"/>
      <c r="C34062" s="36"/>
      <c r="E34062" s="1"/>
      <c r="F34062" s="1"/>
      <c r="G34062" s="1"/>
    </row>
    <row r="34063">
      <c r="B34063" s="36"/>
      <c r="C34063" s="36"/>
      <c r="E34063" s="1"/>
      <c r="F34063" s="1"/>
      <c r="G34063" s="1"/>
    </row>
    <row r="34064">
      <c r="B34064" s="36"/>
      <c r="C34064" s="36"/>
      <c r="E34064" s="1"/>
      <c r="F34064" s="1"/>
      <c r="G34064" s="1"/>
    </row>
    <row r="34065">
      <c r="B34065" s="36"/>
      <c r="C34065" s="36"/>
      <c r="E34065" s="1"/>
      <c r="F34065" s="1"/>
      <c r="G34065" s="1"/>
    </row>
    <row r="34066">
      <c r="B34066" s="36"/>
      <c r="C34066" s="36"/>
      <c r="E34066" s="1"/>
      <c r="F34066" s="1"/>
      <c r="G34066" s="1"/>
    </row>
    <row r="34067">
      <c r="B34067" s="36"/>
      <c r="C34067" s="36"/>
      <c r="E34067" s="1"/>
      <c r="F34067" s="1"/>
      <c r="G34067" s="1"/>
    </row>
    <row r="34068">
      <c r="B34068" s="36"/>
      <c r="C34068" s="36"/>
      <c r="E34068" s="1"/>
      <c r="F34068" s="1"/>
      <c r="G34068" s="1"/>
    </row>
    <row r="34069">
      <c r="B34069" s="36"/>
      <c r="C34069" s="36"/>
      <c r="E34069" s="1"/>
      <c r="F34069" s="1"/>
      <c r="G34069" s="1"/>
    </row>
    <row r="34070">
      <c r="B34070" s="36"/>
      <c r="C34070" s="36"/>
      <c r="E34070" s="1"/>
      <c r="F34070" s="1"/>
      <c r="G34070" s="1"/>
    </row>
    <row r="34071">
      <c r="B34071" s="36"/>
      <c r="C34071" s="36"/>
      <c r="E34071" s="1"/>
      <c r="F34071" s="1"/>
      <c r="G34071" s="1"/>
    </row>
    <row r="34072">
      <c r="B34072" s="36"/>
      <c r="C34072" s="36"/>
      <c r="E34072" s="1"/>
      <c r="F34072" s="1"/>
      <c r="G34072" s="1"/>
    </row>
    <row r="34073">
      <c r="B34073" s="36"/>
      <c r="C34073" s="36"/>
      <c r="E34073" s="1"/>
      <c r="F34073" s="1"/>
      <c r="G34073" s="1"/>
    </row>
    <row r="34074">
      <c r="B34074" s="36"/>
      <c r="C34074" s="36"/>
      <c r="E34074" s="1"/>
      <c r="F34074" s="1"/>
      <c r="G34074" s="1"/>
    </row>
    <row r="34075">
      <c r="B34075" s="36"/>
      <c r="C34075" s="36"/>
      <c r="E34075" s="1"/>
      <c r="F34075" s="1"/>
      <c r="G34075" s="1"/>
    </row>
    <row r="34076">
      <c r="B34076" s="36"/>
      <c r="C34076" s="36"/>
      <c r="E34076" s="1"/>
      <c r="F34076" s="1"/>
      <c r="G34076" s="1"/>
    </row>
    <row r="34077">
      <c r="B34077" s="36"/>
      <c r="C34077" s="36"/>
      <c r="E34077" s="1"/>
      <c r="F34077" s="1"/>
      <c r="G34077" s="1"/>
    </row>
    <row r="34078">
      <c r="B34078" s="36"/>
      <c r="C34078" s="36"/>
      <c r="E34078" s="1"/>
      <c r="F34078" s="1"/>
      <c r="G34078" s="1"/>
    </row>
    <row r="34079">
      <c r="B34079" s="36"/>
      <c r="C34079" s="36"/>
      <c r="E34079" s="1"/>
      <c r="F34079" s="1"/>
      <c r="G34079" s="1"/>
    </row>
    <row r="34080">
      <c r="B34080" s="36"/>
      <c r="C34080" s="36"/>
      <c r="E34080" s="1"/>
      <c r="F34080" s="1"/>
      <c r="G34080" s="1"/>
    </row>
    <row r="34081">
      <c r="B34081" s="36"/>
      <c r="C34081" s="36"/>
      <c r="E34081" s="1"/>
      <c r="F34081" s="1"/>
      <c r="G34081" s="1"/>
    </row>
    <row r="34082">
      <c r="B34082" s="36"/>
      <c r="C34082" s="36"/>
      <c r="E34082" s="1"/>
      <c r="F34082" s="1"/>
      <c r="G34082" s="1"/>
    </row>
    <row r="34083">
      <c r="B34083" s="36"/>
      <c r="C34083" s="36"/>
      <c r="E34083" s="1"/>
      <c r="F34083" s="1"/>
      <c r="G34083" s="1"/>
    </row>
    <row r="34084">
      <c r="B34084" s="36"/>
      <c r="C34084" s="36"/>
      <c r="E34084" s="1"/>
      <c r="F34084" s="1"/>
      <c r="G34084" s="1"/>
    </row>
    <row r="34085">
      <c r="B34085" s="36"/>
      <c r="C34085" s="36"/>
      <c r="E34085" s="1"/>
      <c r="F34085" s="1"/>
      <c r="G34085" s="1"/>
    </row>
    <row r="34086">
      <c r="B34086" s="36"/>
      <c r="C34086" s="36"/>
      <c r="E34086" s="1"/>
      <c r="F34086" s="1"/>
      <c r="G34086" s="1"/>
    </row>
    <row r="34087">
      <c r="B34087" s="36"/>
      <c r="C34087" s="36"/>
      <c r="E34087" s="1"/>
      <c r="F34087" s="1"/>
      <c r="G34087" s="1"/>
    </row>
    <row r="34088">
      <c r="B34088" s="36"/>
      <c r="C34088" s="36"/>
      <c r="E34088" s="1"/>
      <c r="F34088" s="1"/>
      <c r="G34088" s="1"/>
    </row>
    <row r="34089">
      <c r="B34089" s="36"/>
      <c r="C34089" s="36"/>
      <c r="E34089" s="1"/>
      <c r="F34089" s="1"/>
      <c r="G34089" s="1"/>
    </row>
    <row r="34090">
      <c r="B34090" s="36"/>
      <c r="C34090" s="36"/>
      <c r="E34090" s="1"/>
      <c r="F34090" s="1"/>
      <c r="G34090" s="1"/>
    </row>
    <row r="34091">
      <c r="B34091" s="36"/>
      <c r="C34091" s="36"/>
      <c r="E34091" s="1"/>
      <c r="F34091" s="1"/>
      <c r="G34091" s="1"/>
    </row>
    <row r="34092">
      <c r="B34092" s="36"/>
      <c r="C34092" s="36"/>
      <c r="E34092" s="1"/>
      <c r="F34092" s="1"/>
      <c r="G34092" s="1"/>
    </row>
    <row r="34093">
      <c r="B34093" s="36"/>
      <c r="C34093" s="36"/>
      <c r="E34093" s="1"/>
      <c r="F34093" s="1"/>
      <c r="G34093" s="1"/>
    </row>
    <row r="34094">
      <c r="B34094" s="36"/>
      <c r="C34094" s="36"/>
      <c r="E34094" s="1"/>
      <c r="F34094" s="1"/>
      <c r="G34094" s="1"/>
    </row>
    <row r="34095">
      <c r="B34095" s="36"/>
      <c r="C34095" s="36"/>
      <c r="E34095" s="1"/>
      <c r="F34095" s="1"/>
      <c r="G34095" s="1"/>
    </row>
    <row r="34096">
      <c r="B34096" s="36"/>
      <c r="C34096" s="36"/>
      <c r="E34096" s="1"/>
      <c r="F34096" s="1"/>
      <c r="G34096" s="1"/>
    </row>
    <row r="34097">
      <c r="B34097" s="36"/>
      <c r="C34097" s="36"/>
      <c r="E34097" s="1"/>
      <c r="F34097" s="1"/>
      <c r="G34097" s="1"/>
    </row>
    <row r="34098">
      <c r="B34098" s="36"/>
      <c r="C34098" s="36"/>
      <c r="E34098" s="1"/>
      <c r="F34098" s="1"/>
      <c r="G34098" s="1"/>
    </row>
    <row r="34099">
      <c r="B34099" s="36"/>
      <c r="C34099" s="36"/>
      <c r="E34099" s="1"/>
      <c r="F34099" s="1"/>
      <c r="G34099" s="1"/>
    </row>
    <row r="34100">
      <c r="B34100" s="36"/>
      <c r="C34100" s="36"/>
      <c r="E34100" s="1"/>
      <c r="F34100" s="1"/>
      <c r="G34100" s="1"/>
    </row>
    <row r="34101">
      <c r="B34101" s="36"/>
      <c r="C34101" s="36"/>
      <c r="E34101" s="1"/>
      <c r="F34101" s="1"/>
      <c r="G34101" s="1"/>
    </row>
    <row r="34102">
      <c r="B34102" s="36"/>
      <c r="C34102" s="36"/>
      <c r="E34102" s="1"/>
      <c r="F34102" s="1"/>
      <c r="G34102" s="1"/>
    </row>
    <row r="34103">
      <c r="B34103" s="36"/>
      <c r="C34103" s="36"/>
      <c r="E34103" s="1"/>
      <c r="F34103" s="1"/>
      <c r="G34103" s="1"/>
    </row>
    <row r="34104">
      <c r="B34104" s="36"/>
      <c r="C34104" s="36"/>
      <c r="E34104" s="1"/>
      <c r="F34104" s="1"/>
      <c r="G34104" s="1"/>
    </row>
    <row r="34105">
      <c r="B34105" s="36"/>
      <c r="C34105" s="36"/>
      <c r="E34105" s="1"/>
      <c r="F34105" s="1"/>
      <c r="G34105" s="1"/>
    </row>
    <row r="34106">
      <c r="B34106" s="36"/>
      <c r="C34106" s="36"/>
      <c r="E34106" s="1"/>
      <c r="F34106" s="1"/>
      <c r="G34106" s="1"/>
    </row>
    <row r="34107">
      <c r="B34107" s="36"/>
      <c r="C34107" s="36"/>
      <c r="E34107" s="1"/>
      <c r="F34107" s="1"/>
      <c r="G34107" s="1"/>
    </row>
    <row r="34108">
      <c r="B34108" s="36"/>
      <c r="C34108" s="36"/>
      <c r="E34108" s="1"/>
      <c r="F34108" s="1"/>
      <c r="G34108" s="1"/>
    </row>
    <row r="34109">
      <c r="B34109" s="36"/>
      <c r="C34109" s="36"/>
      <c r="E34109" s="1"/>
      <c r="F34109" s="1"/>
      <c r="G34109" s="1"/>
    </row>
    <row r="34110">
      <c r="B34110" s="36"/>
      <c r="C34110" s="36"/>
      <c r="E34110" s="1"/>
      <c r="F34110" s="1"/>
      <c r="G34110" s="1"/>
    </row>
    <row r="34111">
      <c r="B34111" s="36"/>
      <c r="C34111" s="36"/>
      <c r="E34111" s="1"/>
      <c r="F34111" s="1"/>
      <c r="G34111" s="1"/>
    </row>
    <row r="34112">
      <c r="B34112" s="36"/>
      <c r="C34112" s="36"/>
      <c r="E34112" s="1"/>
      <c r="F34112" s="1"/>
      <c r="G34112" s="1"/>
    </row>
    <row r="34113">
      <c r="B34113" s="36"/>
      <c r="C34113" s="36"/>
      <c r="E34113" s="1"/>
      <c r="F34113" s="1"/>
      <c r="G34113" s="1"/>
    </row>
    <row r="34114">
      <c r="B34114" s="36"/>
      <c r="C34114" s="36"/>
      <c r="E34114" s="1"/>
      <c r="F34114" s="1"/>
      <c r="G34114" s="1"/>
    </row>
    <row r="34115">
      <c r="B34115" s="36"/>
      <c r="C34115" s="36"/>
      <c r="E34115" s="1"/>
      <c r="F34115" s="1"/>
      <c r="G34115" s="1"/>
    </row>
    <row r="34116">
      <c r="B34116" s="36"/>
      <c r="C34116" s="36"/>
      <c r="E34116" s="1"/>
      <c r="F34116" s="1"/>
      <c r="G34116" s="1"/>
    </row>
    <row r="34117">
      <c r="B34117" s="36"/>
      <c r="C34117" s="36"/>
      <c r="E34117" s="1"/>
      <c r="F34117" s="1"/>
      <c r="G34117" s="1"/>
    </row>
    <row r="34118">
      <c r="B34118" s="36"/>
      <c r="C34118" s="36"/>
      <c r="E34118" s="1"/>
      <c r="F34118" s="1"/>
      <c r="G34118" s="1"/>
    </row>
    <row r="34119">
      <c r="B34119" s="36"/>
      <c r="C34119" s="36"/>
      <c r="E34119" s="1"/>
      <c r="F34119" s="1"/>
      <c r="G34119" s="1"/>
    </row>
    <row r="34120">
      <c r="B34120" s="36"/>
      <c r="C34120" s="36"/>
      <c r="E34120" s="1"/>
      <c r="F34120" s="1"/>
      <c r="G34120" s="1"/>
    </row>
    <row r="34121">
      <c r="B34121" s="36"/>
      <c r="C34121" s="36"/>
      <c r="E34121" s="1"/>
      <c r="F34121" s="1"/>
      <c r="G34121" s="1"/>
    </row>
    <row r="34122">
      <c r="B34122" s="36"/>
      <c r="C34122" s="36"/>
      <c r="E34122" s="1"/>
      <c r="F34122" s="1"/>
      <c r="G34122" s="1"/>
    </row>
    <row r="34123">
      <c r="B34123" s="36"/>
      <c r="C34123" s="36"/>
      <c r="E34123" s="1"/>
      <c r="F34123" s="1"/>
      <c r="G34123" s="1"/>
    </row>
    <row r="34124">
      <c r="B34124" s="36"/>
      <c r="C34124" s="36"/>
      <c r="E34124" s="1"/>
      <c r="F34124" s="1"/>
      <c r="G34124" s="1"/>
    </row>
    <row r="34125">
      <c r="B34125" s="36"/>
      <c r="C34125" s="36"/>
      <c r="E34125" s="1"/>
      <c r="F34125" s="1"/>
      <c r="G34125" s="1"/>
    </row>
    <row r="34126">
      <c r="B34126" s="36"/>
      <c r="C34126" s="36"/>
      <c r="E34126" s="1"/>
      <c r="F34126" s="1"/>
      <c r="G34126" s="1"/>
    </row>
    <row r="34127">
      <c r="B34127" s="36"/>
      <c r="C34127" s="36"/>
      <c r="E34127" s="1"/>
      <c r="F34127" s="1"/>
      <c r="G34127" s="1"/>
    </row>
    <row r="34128">
      <c r="B34128" s="36"/>
      <c r="C34128" s="36"/>
      <c r="E34128" s="1"/>
      <c r="F34128" s="1"/>
      <c r="G34128" s="1"/>
    </row>
    <row r="34129">
      <c r="B34129" s="36"/>
      <c r="C34129" s="36"/>
      <c r="E34129" s="1"/>
      <c r="F34129" s="1"/>
      <c r="G34129" s="1"/>
    </row>
    <row r="34130">
      <c r="B34130" s="36"/>
      <c r="C34130" s="36"/>
      <c r="E34130" s="1"/>
      <c r="F34130" s="1"/>
      <c r="G34130" s="1"/>
    </row>
    <row r="34131">
      <c r="B34131" s="36"/>
      <c r="C34131" s="36"/>
      <c r="E34131" s="1"/>
      <c r="F34131" s="1"/>
      <c r="G34131" s="1"/>
    </row>
    <row r="34132">
      <c r="B34132" s="36"/>
      <c r="C34132" s="36"/>
      <c r="E34132" s="1"/>
      <c r="F34132" s="1"/>
      <c r="G34132" s="1"/>
    </row>
    <row r="34133">
      <c r="B34133" s="36"/>
      <c r="C34133" s="36"/>
      <c r="E34133" s="1"/>
      <c r="F34133" s="1"/>
      <c r="G34133" s="1"/>
    </row>
    <row r="34134">
      <c r="B34134" s="36"/>
      <c r="C34134" s="36"/>
      <c r="E34134" s="1"/>
      <c r="F34134" s="1"/>
      <c r="G34134" s="1"/>
    </row>
    <row r="34135">
      <c r="B34135" s="36"/>
      <c r="C34135" s="36"/>
      <c r="E34135" s="1"/>
      <c r="F34135" s="1"/>
      <c r="G34135" s="1"/>
    </row>
    <row r="34136">
      <c r="B34136" s="36"/>
      <c r="C34136" s="36"/>
      <c r="E34136" s="1"/>
      <c r="F34136" s="1"/>
      <c r="G34136" s="1"/>
    </row>
    <row r="34137">
      <c r="B34137" s="36"/>
      <c r="C34137" s="36"/>
      <c r="E34137" s="1"/>
      <c r="F34137" s="1"/>
      <c r="G34137" s="1"/>
    </row>
    <row r="34138">
      <c r="B34138" s="36"/>
      <c r="C34138" s="36"/>
      <c r="E34138" s="1"/>
      <c r="F34138" s="1"/>
      <c r="G34138" s="1"/>
    </row>
    <row r="34139">
      <c r="B34139" s="36"/>
      <c r="C34139" s="36"/>
      <c r="E34139" s="1"/>
      <c r="F34139" s="1"/>
      <c r="G34139" s="1"/>
    </row>
    <row r="34140">
      <c r="B34140" s="36"/>
      <c r="C34140" s="36"/>
      <c r="E34140" s="1"/>
      <c r="F34140" s="1"/>
      <c r="G34140" s="1"/>
    </row>
    <row r="34141">
      <c r="B34141" s="36"/>
      <c r="C34141" s="36"/>
      <c r="E34141" s="1"/>
      <c r="F34141" s="1"/>
      <c r="G34141" s="1"/>
    </row>
    <row r="34142">
      <c r="B34142" s="36"/>
      <c r="C34142" s="36"/>
      <c r="E34142" s="1"/>
      <c r="F34142" s="1"/>
      <c r="G34142" s="1"/>
    </row>
    <row r="34143">
      <c r="B34143" s="36"/>
      <c r="C34143" s="36"/>
      <c r="E34143" s="1"/>
      <c r="F34143" s="1"/>
      <c r="G34143" s="1"/>
    </row>
    <row r="34144">
      <c r="B34144" s="36"/>
      <c r="C34144" s="36"/>
      <c r="E34144" s="1"/>
      <c r="F34144" s="1"/>
      <c r="G34144" s="1"/>
    </row>
    <row r="34145">
      <c r="B34145" s="36"/>
      <c r="C34145" s="36"/>
      <c r="E34145" s="1"/>
      <c r="F34145" s="1"/>
      <c r="G34145" s="1"/>
    </row>
    <row r="34146">
      <c r="B34146" s="36"/>
      <c r="C34146" s="36"/>
      <c r="E34146" s="1"/>
      <c r="F34146" s="1"/>
      <c r="G34146" s="1"/>
    </row>
    <row r="34147">
      <c r="B34147" s="36"/>
      <c r="C34147" s="36"/>
      <c r="E34147" s="1"/>
      <c r="F34147" s="1"/>
      <c r="G34147" s="1"/>
    </row>
    <row r="34148">
      <c r="B34148" s="36"/>
      <c r="C34148" s="36"/>
      <c r="E34148" s="1"/>
      <c r="F34148" s="1"/>
      <c r="G34148" s="1"/>
    </row>
    <row r="34149">
      <c r="B34149" s="36"/>
      <c r="C34149" s="36"/>
      <c r="E34149" s="1"/>
      <c r="F34149" s="1"/>
      <c r="G34149" s="1"/>
    </row>
    <row r="34150">
      <c r="B34150" s="36"/>
      <c r="C34150" s="36"/>
      <c r="E34150" s="1"/>
      <c r="F34150" s="1"/>
      <c r="G34150" s="1"/>
    </row>
    <row r="34151">
      <c r="B34151" s="36"/>
      <c r="C34151" s="36"/>
      <c r="E34151" s="1"/>
      <c r="F34151" s="1"/>
      <c r="G34151" s="1"/>
    </row>
    <row r="34152">
      <c r="B34152" s="36"/>
      <c r="C34152" s="36"/>
      <c r="E34152" s="1"/>
      <c r="F34152" s="1"/>
      <c r="G34152" s="1"/>
    </row>
    <row r="34153">
      <c r="B34153" s="36"/>
      <c r="C34153" s="36"/>
      <c r="E34153" s="1"/>
      <c r="F34153" s="1"/>
      <c r="G34153" s="1"/>
    </row>
    <row r="34154">
      <c r="B34154" s="36"/>
      <c r="C34154" s="36"/>
      <c r="E34154" s="1"/>
      <c r="F34154" s="1"/>
      <c r="G34154" s="1"/>
    </row>
    <row r="34155">
      <c r="B34155" s="36"/>
      <c r="C34155" s="36"/>
      <c r="E34155" s="1"/>
      <c r="F34155" s="1"/>
      <c r="G34155" s="1"/>
    </row>
    <row r="34156">
      <c r="B34156" s="36"/>
      <c r="C34156" s="36"/>
      <c r="E34156" s="1"/>
      <c r="F34156" s="1"/>
      <c r="G34156" s="1"/>
    </row>
    <row r="34157">
      <c r="B34157" s="36"/>
      <c r="C34157" s="36"/>
      <c r="E34157" s="1"/>
      <c r="F34157" s="1"/>
      <c r="G34157" s="1"/>
    </row>
    <row r="34158">
      <c r="B34158" s="36"/>
      <c r="C34158" s="36"/>
      <c r="E34158" s="1"/>
      <c r="F34158" s="1"/>
      <c r="G34158" s="1"/>
    </row>
    <row r="34159">
      <c r="B34159" s="36"/>
      <c r="C34159" s="36"/>
      <c r="E34159" s="1"/>
      <c r="F34159" s="1"/>
      <c r="G34159" s="1"/>
    </row>
    <row r="34160">
      <c r="B34160" s="36"/>
      <c r="C34160" s="36"/>
      <c r="E34160" s="1"/>
      <c r="F34160" s="1"/>
      <c r="G34160" s="1"/>
    </row>
    <row r="34161">
      <c r="B34161" s="36"/>
      <c r="C34161" s="36"/>
      <c r="E34161" s="1"/>
      <c r="F34161" s="1"/>
      <c r="G34161" s="1"/>
    </row>
    <row r="34162">
      <c r="B34162" s="36"/>
      <c r="C34162" s="36"/>
      <c r="E34162" s="1"/>
      <c r="F34162" s="1"/>
      <c r="G34162" s="1"/>
    </row>
    <row r="34163">
      <c r="B34163" s="36"/>
      <c r="C34163" s="36"/>
      <c r="E34163" s="1"/>
      <c r="F34163" s="1"/>
      <c r="G34163" s="1"/>
    </row>
    <row r="34164">
      <c r="B34164" s="36"/>
      <c r="C34164" s="36"/>
      <c r="E34164" s="1"/>
      <c r="F34164" s="1"/>
      <c r="G34164" s="1"/>
    </row>
    <row r="34165">
      <c r="B34165" s="36"/>
      <c r="C34165" s="36"/>
      <c r="E34165" s="1"/>
      <c r="F34165" s="1"/>
      <c r="G34165" s="1"/>
    </row>
    <row r="34166">
      <c r="B34166" s="36"/>
      <c r="C34166" s="36"/>
      <c r="E34166" s="1"/>
      <c r="F34166" s="1"/>
      <c r="G34166" s="1"/>
    </row>
    <row r="34167">
      <c r="B34167" s="36"/>
      <c r="C34167" s="36"/>
      <c r="E34167" s="1"/>
      <c r="F34167" s="1"/>
      <c r="G34167" s="1"/>
    </row>
    <row r="34168">
      <c r="B34168" s="36"/>
      <c r="C34168" s="36"/>
      <c r="E34168" s="1"/>
      <c r="F34168" s="1"/>
      <c r="G34168" s="1"/>
    </row>
    <row r="34169">
      <c r="B34169" s="36"/>
      <c r="C34169" s="36"/>
      <c r="E34169" s="1"/>
      <c r="F34169" s="1"/>
      <c r="G34169" s="1"/>
    </row>
    <row r="34170">
      <c r="B34170" s="36"/>
      <c r="C34170" s="36"/>
      <c r="E34170" s="1"/>
      <c r="F34170" s="1"/>
      <c r="G34170" s="1"/>
    </row>
    <row r="34171">
      <c r="B34171" s="36"/>
      <c r="C34171" s="36"/>
      <c r="E34171" s="1"/>
      <c r="F34171" s="1"/>
      <c r="G34171" s="1"/>
    </row>
    <row r="34172">
      <c r="B34172" s="36"/>
      <c r="C34172" s="36"/>
      <c r="E34172" s="1"/>
      <c r="F34172" s="1"/>
      <c r="G34172" s="1"/>
    </row>
    <row r="34173">
      <c r="B34173" s="36"/>
      <c r="C34173" s="36"/>
      <c r="E34173" s="1"/>
      <c r="F34173" s="1"/>
      <c r="G34173" s="1"/>
    </row>
    <row r="34174">
      <c r="B34174" s="36"/>
      <c r="C34174" s="36"/>
      <c r="E34174" s="1"/>
      <c r="F34174" s="1"/>
      <c r="G34174" s="1"/>
    </row>
    <row r="34175">
      <c r="B34175" s="36"/>
      <c r="C34175" s="36"/>
      <c r="E34175" s="1"/>
      <c r="F34175" s="1"/>
      <c r="G34175" s="1"/>
    </row>
    <row r="34176">
      <c r="B34176" s="36"/>
      <c r="C34176" s="36"/>
      <c r="E34176" s="1"/>
      <c r="F34176" s="1"/>
      <c r="G34176" s="1"/>
    </row>
    <row r="34177">
      <c r="B34177" s="36"/>
      <c r="C34177" s="36"/>
      <c r="E34177" s="1"/>
      <c r="F34177" s="1"/>
      <c r="G34177" s="1"/>
    </row>
    <row r="34178">
      <c r="B34178" s="36"/>
      <c r="C34178" s="36"/>
      <c r="E34178" s="1"/>
      <c r="F34178" s="1"/>
      <c r="G34178" s="1"/>
    </row>
    <row r="34179">
      <c r="B34179" s="36"/>
      <c r="C34179" s="36"/>
      <c r="E34179" s="1"/>
      <c r="F34179" s="1"/>
      <c r="G34179" s="1"/>
    </row>
    <row r="34180">
      <c r="B34180" s="36"/>
      <c r="C34180" s="36"/>
      <c r="E34180" s="1"/>
      <c r="F34180" s="1"/>
      <c r="G34180" s="1"/>
    </row>
    <row r="34181">
      <c r="B34181" s="36"/>
      <c r="C34181" s="36"/>
      <c r="E34181" s="1"/>
      <c r="F34181" s="1"/>
      <c r="G34181" s="1"/>
    </row>
    <row r="34182">
      <c r="B34182" s="36"/>
      <c r="C34182" s="36"/>
      <c r="E34182" s="1"/>
      <c r="F34182" s="1"/>
      <c r="G34182" s="1"/>
    </row>
    <row r="34183">
      <c r="B34183" s="36"/>
      <c r="C34183" s="36"/>
      <c r="E34183" s="1"/>
      <c r="F34183" s="1"/>
      <c r="G34183" s="1"/>
    </row>
    <row r="34184">
      <c r="B34184" s="36"/>
      <c r="C34184" s="36"/>
      <c r="E34184" s="1"/>
      <c r="F34184" s="1"/>
      <c r="G34184" s="1"/>
    </row>
    <row r="34185">
      <c r="B34185" s="36"/>
      <c r="C34185" s="36"/>
      <c r="E34185" s="1"/>
      <c r="F34185" s="1"/>
      <c r="G34185" s="1"/>
    </row>
    <row r="34186">
      <c r="B34186" s="36"/>
      <c r="C34186" s="36"/>
      <c r="E34186" s="1"/>
      <c r="F34186" s="1"/>
      <c r="G34186" s="1"/>
    </row>
    <row r="34187">
      <c r="B34187" s="36"/>
      <c r="C34187" s="36"/>
      <c r="E34187" s="1"/>
      <c r="F34187" s="1"/>
      <c r="G34187" s="1"/>
    </row>
    <row r="34188">
      <c r="B34188" s="36"/>
      <c r="C34188" s="36"/>
      <c r="E34188" s="1"/>
      <c r="F34188" s="1"/>
      <c r="G34188" s="1"/>
    </row>
    <row r="34189">
      <c r="B34189" s="36"/>
      <c r="C34189" s="36"/>
      <c r="E34189" s="1"/>
      <c r="F34189" s="1"/>
      <c r="G34189" s="1"/>
    </row>
    <row r="34190">
      <c r="B34190" s="36"/>
      <c r="C34190" s="36"/>
      <c r="E34190" s="1"/>
      <c r="F34190" s="1"/>
      <c r="G34190" s="1"/>
    </row>
    <row r="34191">
      <c r="B34191" s="36"/>
      <c r="C34191" s="36"/>
      <c r="E34191" s="1"/>
      <c r="F34191" s="1"/>
      <c r="G34191" s="1"/>
    </row>
    <row r="34192">
      <c r="B34192" s="36"/>
      <c r="C34192" s="36"/>
      <c r="E34192" s="1"/>
      <c r="F34192" s="1"/>
      <c r="G34192" s="1"/>
    </row>
    <row r="34193">
      <c r="B34193" s="36"/>
      <c r="C34193" s="36"/>
      <c r="E34193" s="1"/>
      <c r="F34193" s="1"/>
      <c r="G34193" s="1"/>
    </row>
    <row r="34194">
      <c r="B34194" s="36"/>
      <c r="C34194" s="36"/>
      <c r="E34194" s="1"/>
      <c r="F34194" s="1"/>
      <c r="G34194" s="1"/>
    </row>
    <row r="34195">
      <c r="B34195" s="36"/>
      <c r="C34195" s="36"/>
      <c r="E34195" s="1"/>
      <c r="F34195" s="1"/>
      <c r="G34195" s="1"/>
    </row>
    <row r="34196">
      <c r="B34196" s="36"/>
      <c r="C34196" s="36"/>
      <c r="E34196" s="1"/>
      <c r="F34196" s="1"/>
      <c r="G34196" s="1"/>
    </row>
    <row r="34197">
      <c r="B34197" s="36"/>
      <c r="C34197" s="36"/>
      <c r="E34197" s="1"/>
      <c r="F34197" s="1"/>
      <c r="G34197" s="1"/>
    </row>
    <row r="34198">
      <c r="B34198" s="36"/>
      <c r="C34198" s="36"/>
      <c r="E34198" s="1"/>
      <c r="F34198" s="1"/>
      <c r="G34198" s="1"/>
    </row>
    <row r="34199">
      <c r="B34199" s="36"/>
      <c r="C34199" s="36"/>
      <c r="E34199" s="1"/>
      <c r="F34199" s="1"/>
      <c r="G34199" s="1"/>
    </row>
    <row r="34200">
      <c r="B34200" s="36"/>
      <c r="C34200" s="36"/>
      <c r="E34200" s="1"/>
      <c r="F34200" s="1"/>
      <c r="G34200" s="1"/>
    </row>
    <row r="34201">
      <c r="B34201" s="36"/>
      <c r="C34201" s="36"/>
      <c r="E34201" s="1"/>
      <c r="F34201" s="1"/>
      <c r="G34201" s="1"/>
    </row>
    <row r="34202">
      <c r="B34202" s="36"/>
      <c r="C34202" s="36"/>
      <c r="E34202" s="1"/>
      <c r="F34202" s="1"/>
      <c r="G34202" s="1"/>
    </row>
    <row r="34203">
      <c r="B34203" s="36"/>
      <c r="C34203" s="36"/>
      <c r="E34203" s="1"/>
      <c r="F34203" s="1"/>
      <c r="G34203" s="1"/>
    </row>
    <row r="34204">
      <c r="B34204" s="36"/>
      <c r="C34204" s="36"/>
      <c r="E34204" s="1"/>
      <c r="F34204" s="1"/>
      <c r="G34204" s="1"/>
    </row>
    <row r="34205">
      <c r="B34205" s="36"/>
      <c r="C34205" s="36"/>
      <c r="E34205" s="1"/>
      <c r="F34205" s="1"/>
      <c r="G34205" s="1"/>
    </row>
    <row r="34206">
      <c r="B34206" s="36"/>
      <c r="C34206" s="36"/>
      <c r="E34206" s="1"/>
      <c r="F34206" s="1"/>
      <c r="G34206" s="1"/>
    </row>
    <row r="34207">
      <c r="B34207" s="36"/>
      <c r="C34207" s="36"/>
      <c r="E34207" s="1"/>
      <c r="F34207" s="1"/>
      <c r="G34207" s="1"/>
    </row>
    <row r="34208">
      <c r="B34208" s="36"/>
      <c r="C34208" s="36"/>
      <c r="E34208" s="1"/>
      <c r="F34208" s="1"/>
      <c r="G34208" s="1"/>
    </row>
    <row r="34209">
      <c r="B34209" s="36"/>
      <c r="C34209" s="36"/>
      <c r="E34209" s="1"/>
      <c r="F34209" s="1"/>
      <c r="G34209" s="1"/>
    </row>
    <row r="34210">
      <c r="B34210" s="36"/>
      <c r="C34210" s="36"/>
      <c r="E34210" s="1"/>
      <c r="F34210" s="1"/>
      <c r="G34210" s="1"/>
    </row>
    <row r="34211">
      <c r="B34211" s="36"/>
      <c r="C34211" s="36"/>
      <c r="E34211" s="1"/>
      <c r="F34211" s="1"/>
      <c r="G34211" s="1"/>
    </row>
    <row r="34212">
      <c r="B34212" s="36"/>
      <c r="C34212" s="36"/>
      <c r="E34212" s="1"/>
      <c r="F34212" s="1"/>
      <c r="G34212" s="1"/>
    </row>
    <row r="34213">
      <c r="B34213" s="36"/>
      <c r="C34213" s="36"/>
      <c r="E34213" s="1"/>
      <c r="F34213" s="1"/>
      <c r="G34213" s="1"/>
    </row>
    <row r="34214">
      <c r="B34214" s="36"/>
      <c r="C34214" s="36"/>
      <c r="E34214" s="1"/>
      <c r="F34214" s="1"/>
      <c r="G34214" s="1"/>
    </row>
    <row r="34215">
      <c r="B34215" s="36"/>
      <c r="C34215" s="36"/>
      <c r="E34215" s="1"/>
      <c r="F34215" s="1"/>
      <c r="G34215" s="1"/>
    </row>
    <row r="34216">
      <c r="B34216" s="36"/>
      <c r="C34216" s="36"/>
      <c r="E34216" s="1"/>
      <c r="F34216" s="1"/>
      <c r="G34216" s="1"/>
    </row>
    <row r="34217">
      <c r="B34217" s="36"/>
      <c r="C34217" s="36"/>
      <c r="E34217" s="1"/>
      <c r="F34217" s="1"/>
      <c r="G34217" s="1"/>
    </row>
    <row r="34218">
      <c r="B34218" s="36"/>
      <c r="C34218" s="36"/>
      <c r="E34218" s="1"/>
      <c r="F34218" s="1"/>
      <c r="G34218" s="1"/>
    </row>
    <row r="34219">
      <c r="B34219" s="36"/>
      <c r="C34219" s="36"/>
      <c r="E34219" s="1"/>
      <c r="F34219" s="1"/>
      <c r="G34219" s="1"/>
    </row>
    <row r="34220">
      <c r="B34220" s="36"/>
      <c r="C34220" s="36"/>
      <c r="E34220" s="1"/>
      <c r="F34220" s="1"/>
      <c r="G34220" s="1"/>
    </row>
    <row r="34221">
      <c r="B34221" s="36"/>
      <c r="C34221" s="36"/>
      <c r="E34221" s="1"/>
      <c r="F34221" s="1"/>
      <c r="G34221" s="1"/>
    </row>
    <row r="34222">
      <c r="B34222" s="36"/>
      <c r="C34222" s="36"/>
      <c r="E34222" s="1"/>
      <c r="F34222" s="1"/>
      <c r="G34222" s="1"/>
    </row>
    <row r="34223">
      <c r="B34223" s="36"/>
      <c r="C34223" s="36"/>
      <c r="E34223" s="1"/>
      <c r="F34223" s="1"/>
      <c r="G34223" s="1"/>
    </row>
    <row r="34224">
      <c r="B34224" s="36"/>
      <c r="C34224" s="36"/>
      <c r="E34224" s="1"/>
      <c r="F34224" s="1"/>
      <c r="G34224" s="1"/>
    </row>
    <row r="34225">
      <c r="B34225" s="36"/>
      <c r="C34225" s="36"/>
      <c r="E34225" s="1"/>
      <c r="F34225" s="1"/>
      <c r="G34225" s="1"/>
    </row>
    <row r="34226">
      <c r="B34226" s="36"/>
      <c r="C34226" s="36"/>
      <c r="E34226" s="1"/>
      <c r="F34226" s="1"/>
      <c r="G34226" s="1"/>
    </row>
    <row r="34227">
      <c r="B34227" s="36"/>
      <c r="C34227" s="36"/>
      <c r="E34227" s="1"/>
      <c r="F34227" s="1"/>
      <c r="G34227" s="1"/>
    </row>
    <row r="34228">
      <c r="B34228" s="36"/>
      <c r="C34228" s="36"/>
      <c r="E34228" s="1"/>
      <c r="F34228" s="1"/>
      <c r="G34228" s="1"/>
    </row>
    <row r="34229">
      <c r="B34229" s="36"/>
      <c r="C34229" s="36"/>
      <c r="E34229" s="1"/>
      <c r="F34229" s="1"/>
      <c r="G34229" s="1"/>
    </row>
    <row r="34230">
      <c r="B34230" s="36"/>
      <c r="C34230" s="36"/>
      <c r="E34230" s="1"/>
      <c r="F34230" s="1"/>
      <c r="G34230" s="1"/>
    </row>
    <row r="34231">
      <c r="B34231" s="36"/>
      <c r="C34231" s="36"/>
      <c r="E34231" s="1"/>
      <c r="F34231" s="1"/>
      <c r="G34231" s="1"/>
    </row>
    <row r="34232">
      <c r="B34232" s="36"/>
      <c r="C34232" s="36"/>
      <c r="E34232" s="1"/>
      <c r="F34232" s="1"/>
      <c r="G34232" s="1"/>
    </row>
    <row r="34233">
      <c r="B34233" s="36"/>
      <c r="C34233" s="36"/>
      <c r="E34233" s="1"/>
      <c r="F34233" s="1"/>
      <c r="G34233" s="1"/>
    </row>
    <row r="34234">
      <c r="B34234" s="36"/>
      <c r="C34234" s="36"/>
      <c r="E34234" s="1"/>
      <c r="F34234" s="1"/>
      <c r="G34234" s="1"/>
    </row>
    <row r="34235">
      <c r="B34235" s="36"/>
      <c r="C34235" s="36"/>
      <c r="E34235" s="1"/>
      <c r="F34235" s="1"/>
      <c r="G34235" s="1"/>
    </row>
    <row r="34236">
      <c r="B34236" s="36"/>
      <c r="C34236" s="36"/>
      <c r="E34236" s="1"/>
      <c r="F34236" s="1"/>
      <c r="G34236" s="1"/>
    </row>
    <row r="34237">
      <c r="B34237" s="36"/>
      <c r="C34237" s="36"/>
      <c r="E34237" s="1"/>
      <c r="F34237" s="1"/>
      <c r="G34237" s="1"/>
    </row>
    <row r="34238">
      <c r="B34238" s="36"/>
      <c r="C34238" s="36"/>
      <c r="E34238" s="1"/>
      <c r="F34238" s="1"/>
      <c r="G34238" s="1"/>
    </row>
    <row r="34239">
      <c r="B34239" s="36"/>
      <c r="C34239" s="36"/>
      <c r="E34239" s="1"/>
      <c r="F34239" s="1"/>
      <c r="G34239" s="1"/>
    </row>
    <row r="34240">
      <c r="B34240" s="36"/>
      <c r="C34240" s="36"/>
      <c r="E34240" s="1"/>
      <c r="F34240" s="1"/>
      <c r="G34240" s="1"/>
    </row>
    <row r="34241">
      <c r="B34241" s="36"/>
      <c r="C34241" s="36"/>
      <c r="E34241" s="1"/>
      <c r="F34241" s="1"/>
      <c r="G34241" s="1"/>
    </row>
    <row r="34242">
      <c r="B34242" s="36"/>
      <c r="C34242" s="36"/>
      <c r="E34242" s="1"/>
      <c r="F34242" s="1"/>
      <c r="G34242" s="1"/>
    </row>
    <row r="34243">
      <c r="B34243" s="36"/>
      <c r="C34243" s="36"/>
      <c r="E34243" s="1"/>
      <c r="F34243" s="1"/>
      <c r="G34243" s="1"/>
    </row>
    <row r="34244">
      <c r="B34244" s="36"/>
      <c r="C34244" s="36"/>
      <c r="E34244" s="1"/>
      <c r="F34244" s="1"/>
      <c r="G34244" s="1"/>
    </row>
    <row r="34245">
      <c r="B34245" s="36"/>
      <c r="C34245" s="36"/>
      <c r="E34245" s="1"/>
      <c r="F34245" s="1"/>
      <c r="G34245" s="1"/>
    </row>
    <row r="34246">
      <c r="B34246" s="36"/>
      <c r="C34246" s="36"/>
      <c r="E34246" s="1"/>
      <c r="F34246" s="1"/>
      <c r="G34246" s="1"/>
    </row>
    <row r="34247">
      <c r="B34247" s="36"/>
      <c r="C34247" s="36"/>
      <c r="E34247" s="1"/>
      <c r="F34247" s="1"/>
      <c r="G34247" s="1"/>
    </row>
    <row r="34248">
      <c r="B34248" s="36"/>
      <c r="C34248" s="36"/>
      <c r="E34248" s="1"/>
      <c r="F34248" s="1"/>
      <c r="G34248" s="1"/>
    </row>
    <row r="34249">
      <c r="B34249" s="36"/>
      <c r="C34249" s="36"/>
      <c r="E34249" s="1"/>
      <c r="F34249" s="1"/>
      <c r="G34249" s="1"/>
    </row>
    <row r="34250">
      <c r="B34250" s="36"/>
      <c r="C34250" s="36"/>
      <c r="E34250" s="1"/>
      <c r="F34250" s="1"/>
      <c r="G34250" s="1"/>
    </row>
    <row r="34251">
      <c r="B34251" s="36"/>
      <c r="C34251" s="36"/>
      <c r="E34251" s="1"/>
      <c r="F34251" s="1"/>
      <c r="G34251" s="1"/>
    </row>
    <row r="34252">
      <c r="B34252" s="36"/>
      <c r="C34252" s="36"/>
      <c r="E34252" s="1"/>
      <c r="F34252" s="1"/>
      <c r="G34252" s="1"/>
    </row>
    <row r="34253">
      <c r="B34253" s="36"/>
      <c r="C34253" s="36"/>
      <c r="E34253" s="1"/>
      <c r="F34253" s="1"/>
      <c r="G34253" s="1"/>
    </row>
    <row r="34254">
      <c r="B34254" s="36"/>
      <c r="C34254" s="36"/>
      <c r="E34254" s="1"/>
      <c r="F34254" s="1"/>
      <c r="G34254" s="1"/>
    </row>
    <row r="34255">
      <c r="B34255" s="36"/>
      <c r="C34255" s="36"/>
      <c r="E34255" s="1"/>
      <c r="F34255" s="1"/>
      <c r="G34255" s="1"/>
    </row>
    <row r="34256">
      <c r="B34256" s="36"/>
      <c r="C34256" s="36"/>
      <c r="E34256" s="1"/>
      <c r="F34256" s="1"/>
      <c r="G34256" s="1"/>
    </row>
    <row r="34257">
      <c r="B34257" s="36"/>
      <c r="C34257" s="36"/>
      <c r="E34257" s="1"/>
      <c r="F34257" s="1"/>
      <c r="G34257" s="1"/>
    </row>
    <row r="34258">
      <c r="B34258" s="36"/>
      <c r="C34258" s="36"/>
      <c r="E34258" s="1"/>
      <c r="F34258" s="1"/>
      <c r="G34258" s="1"/>
    </row>
    <row r="34259">
      <c r="B34259" s="36"/>
      <c r="C34259" s="36"/>
      <c r="E34259" s="1"/>
      <c r="F34259" s="1"/>
      <c r="G34259" s="1"/>
    </row>
    <row r="34260">
      <c r="B34260" s="36"/>
      <c r="C34260" s="36"/>
      <c r="E34260" s="1"/>
      <c r="F34260" s="1"/>
      <c r="G34260" s="1"/>
    </row>
    <row r="34261">
      <c r="B34261" s="36"/>
      <c r="C34261" s="36"/>
      <c r="E34261" s="1"/>
      <c r="F34261" s="1"/>
      <c r="G34261" s="1"/>
    </row>
    <row r="34262">
      <c r="B34262" s="36"/>
      <c r="C34262" s="36"/>
      <c r="E34262" s="1"/>
      <c r="F34262" s="1"/>
      <c r="G34262" s="1"/>
    </row>
    <row r="34263">
      <c r="B34263" s="36"/>
      <c r="C34263" s="36"/>
      <c r="E34263" s="1"/>
      <c r="F34263" s="1"/>
      <c r="G34263" s="1"/>
    </row>
    <row r="34264">
      <c r="B34264" s="36"/>
      <c r="C34264" s="36"/>
      <c r="E34264" s="1"/>
      <c r="F34264" s="1"/>
      <c r="G34264" s="1"/>
    </row>
    <row r="34265">
      <c r="B34265" s="36"/>
      <c r="C34265" s="36"/>
      <c r="E34265" s="1"/>
      <c r="F34265" s="1"/>
      <c r="G34265" s="1"/>
    </row>
    <row r="34266">
      <c r="B34266" s="36"/>
      <c r="C34266" s="36"/>
      <c r="E34266" s="1"/>
      <c r="F34266" s="1"/>
      <c r="G34266" s="1"/>
    </row>
    <row r="34267">
      <c r="B34267" s="36"/>
      <c r="C34267" s="36"/>
      <c r="E34267" s="1"/>
      <c r="F34267" s="1"/>
      <c r="G34267" s="1"/>
    </row>
    <row r="34268">
      <c r="B34268" s="36"/>
      <c r="C34268" s="36"/>
      <c r="E34268" s="1"/>
      <c r="F34268" s="1"/>
      <c r="G34268" s="1"/>
    </row>
    <row r="34269">
      <c r="B34269" s="36"/>
      <c r="C34269" s="36"/>
      <c r="E34269" s="1"/>
      <c r="F34269" s="1"/>
      <c r="G34269" s="1"/>
    </row>
    <row r="34270">
      <c r="B34270" s="36"/>
      <c r="C34270" s="36"/>
      <c r="E34270" s="1"/>
      <c r="F34270" s="1"/>
      <c r="G34270" s="1"/>
    </row>
    <row r="34271">
      <c r="B34271" s="36"/>
      <c r="C34271" s="36"/>
      <c r="E34271" s="1"/>
      <c r="F34271" s="1"/>
      <c r="G34271" s="1"/>
    </row>
    <row r="34272">
      <c r="B34272" s="36"/>
      <c r="C34272" s="36"/>
      <c r="E34272" s="1"/>
      <c r="F34272" s="1"/>
      <c r="G34272" s="1"/>
    </row>
    <row r="34273">
      <c r="B34273" s="36"/>
      <c r="C34273" s="36"/>
      <c r="E34273" s="1"/>
      <c r="F34273" s="1"/>
      <c r="G34273" s="1"/>
    </row>
    <row r="34274">
      <c r="B34274" s="36"/>
      <c r="C34274" s="36"/>
      <c r="E34274" s="1"/>
      <c r="F34274" s="1"/>
      <c r="G34274" s="1"/>
    </row>
    <row r="34275">
      <c r="B34275" s="36"/>
      <c r="C34275" s="36"/>
      <c r="E34275" s="1"/>
      <c r="F34275" s="1"/>
      <c r="G34275" s="1"/>
    </row>
    <row r="34276">
      <c r="B34276" s="36"/>
      <c r="C34276" s="36"/>
      <c r="E34276" s="1"/>
      <c r="F34276" s="1"/>
      <c r="G34276" s="1"/>
    </row>
    <row r="34277">
      <c r="B34277" s="36"/>
      <c r="C34277" s="36"/>
      <c r="E34277" s="1"/>
      <c r="F34277" s="1"/>
      <c r="G34277" s="1"/>
    </row>
    <row r="34278">
      <c r="B34278" s="36"/>
      <c r="C34278" s="36"/>
      <c r="E34278" s="1"/>
      <c r="F34278" s="1"/>
      <c r="G34278" s="1"/>
    </row>
    <row r="34279">
      <c r="B34279" s="36"/>
      <c r="C34279" s="36"/>
      <c r="E34279" s="1"/>
      <c r="F34279" s="1"/>
      <c r="G34279" s="1"/>
    </row>
    <row r="34280">
      <c r="B34280" s="36"/>
      <c r="C34280" s="36"/>
      <c r="E34280" s="1"/>
      <c r="F34280" s="1"/>
      <c r="G34280" s="1"/>
    </row>
    <row r="34281">
      <c r="B34281" s="36"/>
      <c r="C34281" s="36"/>
      <c r="E34281" s="1"/>
      <c r="F34281" s="1"/>
      <c r="G34281" s="1"/>
    </row>
    <row r="34282">
      <c r="B34282" s="36"/>
      <c r="C34282" s="36"/>
      <c r="E34282" s="1"/>
      <c r="F34282" s="1"/>
      <c r="G34282" s="1"/>
    </row>
    <row r="34283">
      <c r="B34283" s="36"/>
      <c r="C34283" s="36"/>
      <c r="E34283" s="1"/>
      <c r="F34283" s="1"/>
      <c r="G34283" s="1"/>
    </row>
    <row r="34284">
      <c r="B34284" s="36"/>
      <c r="C34284" s="36"/>
      <c r="E34284" s="1"/>
      <c r="F34284" s="1"/>
      <c r="G34284" s="1"/>
    </row>
    <row r="34285">
      <c r="B34285" s="36"/>
      <c r="C34285" s="36"/>
      <c r="E34285" s="1"/>
      <c r="F34285" s="1"/>
      <c r="G34285" s="1"/>
    </row>
    <row r="34286">
      <c r="B34286" s="36"/>
      <c r="C34286" s="36"/>
      <c r="E34286" s="1"/>
      <c r="F34286" s="1"/>
      <c r="G34286" s="1"/>
    </row>
    <row r="34287">
      <c r="B34287" s="36"/>
      <c r="C34287" s="36"/>
      <c r="E34287" s="1"/>
      <c r="F34287" s="1"/>
      <c r="G34287" s="1"/>
    </row>
    <row r="34288">
      <c r="B34288" s="36"/>
      <c r="C34288" s="36"/>
      <c r="E34288" s="1"/>
      <c r="F34288" s="1"/>
      <c r="G34288" s="1"/>
    </row>
    <row r="34289">
      <c r="B34289" s="36"/>
      <c r="C34289" s="36"/>
      <c r="E34289" s="1"/>
      <c r="F34289" s="1"/>
      <c r="G34289" s="1"/>
    </row>
    <row r="34290">
      <c r="B34290" s="36"/>
      <c r="C34290" s="36"/>
      <c r="E34290" s="1"/>
      <c r="F34290" s="1"/>
      <c r="G34290" s="1"/>
    </row>
    <row r="34291">
      <c r="B34291" s="36"/>
      <c r="C34291" s="36"/>
      <c r="E34291" s="1"/>
      <c r="F34291" s="1"/>
      <c r="G34291" s="1"/>
    </row>
    <row r="34292">
      <c r="B34292" s="36"/>
      <c r="C34292" s="36"/>
      <c r="E34292" s="1"/>
      <c r="F34292" s="1"/>
      <c r="G34292" s="1"/>
    </row>
    <row r="34293">
      <c r="B34293" s="36"/>
      <c r="C34293" s="36"/>
      <c r="E34293" s="1"/>
      <c r="F34293" s="1"/>
      <c r="G34293" s="1"/>
    </row>
    <row r="34294">
      <c r="B34294" s="36"/>
      <c r="C34294" s="36"/>
      <c r="E34294" s="1"/>
      <c r="F34294" s="1"/>
      <c r="G34294" s="1"/>
    </row>
    <row r="34295">
      <c r="B34295" s="36"/>
      <c r="C34295" s="36"/>
      <c r="E34295" s="1"/>
      <c r="F34295" s="1"/>
      <c r="G34295" s="1"/>
    </row>
    <row r="34296">
      <c r="B34296" s="36"/>
      <c r="C34296" s="36"/>
      <c r="E34296" s="1"/>
      <c r="F34296" s="1"/>
      <c r="G34296" s="1"/>
    </row>
    <row r="34297">
      <c r="B34297" s="36"/>
      <c r="C34297" s="36"/>
      <c r="E34297" s="1"/>
      <c r="F34297" s="1"/>
      <c r="G34297" s="1"/>
    </row>
    <row r="34298">
      <c r="B34298" s="36"/>
      <c r="C34298" s="36"/>
      <c r="E34298" s="1"/>
      <c r="F34298" s="1"/>
      <c r="G34298" s="1"/>
    </row>
    <row r="34299">
      <c r="B34299" s="36"/>
      <c r="C34299" s="36"/>
      <c r="E34299" s="1"/>
      <c r="F34299" s="1"/>
      <c r="G34299" s="1"/>
    </row>
    <row r="34300">
      <c r="B34300" s="36"/>
      <c r="C34300" s="36"/>
      <c r="E34300" s="1"/>
      <c r="F34300" s="1"/>
      <c r="G34300" s="1"/>
    </row>
    <row r="34301">
      <c r="B34301" s="36"/>
      <c r="C34301" s="36"/>
      <c r="E34301" s="1"/>
      <c r="F34301" s="1"/>
      <c r="G34301" s="1"/>
    </row>
    <row r="34302">
      <c r="B34302" s="36"/>
      <c r="C34302" s="36"/>
      <c r="E34302" s="1"/>
      <c r="F34302" s="1"/>
      <c r="G34302" s="1"/>
    </row>
    <row r="34303">
      <c r="B34303" s="36"/>
      <c r="C34303" s="36"/>
      <c r="E34303" s="1"/>
      <c r="F34303" s="1"/>
      <c r="G34303" s="1"/>
    </row>
    <row r="34304">
      <c r="B34304" s="36"/>
      <c r="C34304" s="36"/>
      <c r="E34304" s="1"/>
      <c r="F34304" s="1"/>
      <c r="G34304" s="1"/>
    </row>
    <row r="34305">
      <c r="B34305" s="36"/>
      <c r="C34305" s="36"/>
      <c r="E34305" s="1"/>
      <c r="F34305" s="1"/>
      <c r="G34305" s="1"/>
    </row>
    <row r="34306">
      <c r="B34306" s="36"/>
      <c r="C34306" s="36"/>
      <c r="E34306" s="1"/>
      <c r="F34306" s="1"/>
      <c r="G34306" s="1"/>
    </row>
    <row r="34307">
      <c r="B34307" s="36"/>
      <c r="C34307" s="36"/>
      <c r="E34307" s="1"/>
      <c r="F34307" s="1"/>
      <c r="G34307" s="1"/>
    </row>
    <row r="34308">
      <c r="B34308" s="36"/>
      <c r="C34308" s="36"/>
      <c r="E34308" s="1"/>
      <c r="F34308" s="1"/>
      <c r="G34308" s="1"/>
    </row>
    <row r="34309">
      <c r="B34309" s="36"/>
      <c r="C34309" s="36"/>
      <c r="E34309" s="1"/>
      <c r="F34309" s="1"/>
      <c r="G34309" s="1"/>
    </row>
    <row r="34310">
      <c r="B34310" s="36"/>
      <c r="C34310" s="36"/>
      <c r="E34310" s="1"/>
      <c r="F34310" s="1"/>
      <c r="G34310" s="1"/>
    </row>
    <row r="34311">
      <c r="B34311" s="36"/>
      <c r="C34311" s="36"/>
      <c r="E34311" s="1"/>
      <c r="F34311" s="1"/>
      <c r="G34311" s="1"/>
    </row>
    <row r="34312">
      <c r="B34312" s="36"/>
      <c r="C34312" s="36"/>
      <c r="E34312" s="1"/>
      <c r="F34312" s="1"/>
      <c r="G34312" s="1"/>
    </row>
    <row r="34313">
      <c r="B34313" s="36"/>
      <c r="C34313" s="36"/>
      <c r="E34313" s="1"/>
      <c r="F34313" s="1"/>
      <c r="G34313" s="1"/>
    </row>
    <row r="34314">
      <c r="B34314" s="36"/>
      <c r="C34314" s="36"/>
      <c r="E34314" s="1"/>
      <c r="F34314" s="1"/>
      <c r="G34314" s="1"/>
    </row>
    <row r="34315">
      <c r="B34315" s="36"/>
      <c r="C34315" s="36"/>
      <c r="E34315" s="1"/>
      <c r="F34315" s="1"/>
      <c r="G34315" s="1"/>
    </row>
    <row r="34316">
      <c r="B34316" s="36"/>
      <c r="C34316" s="36"/>
      <c r="E34316" s="1"/>
      <c r="F34316" s="1"/>
      <c r="G34316" s="1"/>
    </row>
    <row r="34317">
      <c r="B34317" s="36"/>
      <c r="C34317" s="36"/>
      <c r="E34317" s="1"/>
      <c r="F34317" s="1"/>
      <c r="G34317" s="1"/>
    </row>
    <row r="34318">
      <c r="B34318" s="36"/>
      <c r="C34318" s="36"/>
      <c r="E34318" s="1"/>
      <c r="F34318" s="1"/>
      <c r="G34318" s="1"/>
    </row>
    <row r="34319">
      <c r="B34319" s="36"/>
      <c r="C34319" s="36"/>
      <c r="E34319" s="1"/>
      <c r="F34319" s="1"/>
      <c r="G34319" s="1"/>
    </row>
    <row r="34320">
      <c r="B34320" s="36"/>
      <c r="C34320" s="36"/>
      <c r="E34320" s="1"/>
      <c r="F34320" s="1"/>
      <c r="G34320" s="1"/>
    </row>
    <row r="34321">
      <c r="B34321" s="36"/>
      <c r="C34321" s="36"/>
      <c r="E34321" s="1"/>
      <c r="F34321" s="1"/>
      <c r="G34321" s="1"/>
    </row>
    <row r="34322">
      <c r="B34322" s="36"/>
      <c r="C34322" s="36"/>
      <c r="E34322" s="1"/>
      <c r="F34322" s="1"/>
      <c r="G34322" s="1"/>
    </row>
    <row r="34323">
      <c r="B34323" s="36"/>
      <c r="C34323" s="36"/>
      <c r="E34323" s="1"/>
      <c r="F34323" s="1"/>
      <c r="G34323" s="1"/>
    </row>
    <row r="34324">
      <c r="B34324" s="36"/>
      <c r="C34324" s="36"/>
      <c r="E34324" s="1"/>
      <c r="F34324" s="1"/>
      <c r="G34324" s="1"/>
    </row>
    <row r="34325">
      <c r="B34325" s="36"/>
      <c r="C34325" s="36"/>
      <c r="E34325" s="1"/>
      <c r="F34325" s="1"/>
      <c r="G34325" s="1"/>
    </row>
    <row r="34326">
      <c r="B34326" s="36"/>
      <c r="C34326" s="36"/>
      <c r="E34326" s="1"/>
      <c r="F34326" s="1"/>
      <c r="G34326" s="1"/>
    </row>
    <row r="34327">
      <c r="B34327" s="36"/>
      <c r="C34327" s="36"/>
      <c r="E34327" s="1"/>
      <c r="F34327" s="1"/>
      <c r="G34327" s="1"/>
    </row>
    <row r="34328">
      <c r="B34328" s="36"/>
      <c r="C34328" s="36"/>
      <c r="E34328" s="1"/>
      <c r="F34328" s="1"/>
      <c r="G34328" s="1"/>
    </row>
    <row r="34329">
      <c r="B34329" s="36"/>
      <c r="C34329" s="36"/>
      <c r="E34329" s="1"/>
      <c r="F34329" s="1"/>
      <c r="G34329" s="1"/>
    </row>
    <row r="34330">
      <c r="B34330" s="36"/>
      <c r="C34330" s="36"/>
      <c r="E34330" s="1"/>
      <c r="F34330" s="1"/>
      <c r="G34330" s="1"/>
    </row>
    <row r="34331">
      <c r="B34331" s="36"/>
      <c r="C34331" s="36"/>
      <c r="E34331" s="1"/>
      <c r="F34331" s="1"/>
      <c r="G34331" s="1"/>
    </row>
    <row r="34332">
      <c r="B34332" s="36"/>
      <c r="C34332" s="36"/>
      <c r="E34332" s="1"/>
      <c r="F34332" s="1"/>
      <c r="G34332" s="1"/>
    </row>
    <row r="34333">
      <c r="B34333" s="36"/>
      <c r="C34333" s="36"/>
      <c r="E34333" s="1"/>
      <c r="F34333" s="1"/>
      <c r="G34333" s="1"/>
    </row>
    <row r="34334">
      <c r="B34334" s="36"/>
      <c r="C34334" s="36"/>
      <c r="E34334" s="1"/>
      <c r="F34334" s="1"/>
      <c r="G34334" s="1"/>
    </row>
    <row r="34335">
      <c r="B34335" s="36"/>
      <c r="C34335" s="36"/>
      <c r="E34335" s="1"/>
      <c r="F34335" s="1"/>
      <c r="G34335" s="1"/>
    </row>
    <row r="34336">
      <c r="B34336" s="36"/>
      <c r="C34336" s="36"/>
      <c r="E34336" s="1"/>
      <c r="F34336" s="1"/>
      <c r="G34336" s="1"/>
    </row>
    <row r="34337">
      <c r="B34337" s="36"/>
      <c r="C34337" s="36"/>
      <c r="E34337" s="1"/>
      <c r="F34337" s="1"/>
      <c r="G34337" s="1"/>
    </row>
    <row r="34338">
      <c r="B34338" s="36"/>
      <c r="C34338" s="36"/>
      <c r="E34338" s="1"/>
      <c r="F34338" s="1"/>
      <c r="G34338" s="1"/>
    </row>
    <row r="34339">
      <c r="B34339" s="36"/>
      <c r="C34339" s="36"/>
      <c r="E34339" s="1"/>
      <c r="F34339" s="1"/>
      <c r="G34339" s="1"/>
    </row>
    <row r="34340">
      <c r="B34340" s="36"/>
      <c r="C34340" s="36"/>
      <c r="E34340" s="1"/>
      <c r="F34340" s="1"/>
      <c r="G34340" s="1"/>
    </row>
    <row r="34341">
      <c r="B34341" s="36"/>
      <c r="C34341" s="36"/>
      <c r="E34341" s="1"/>
      <c r="F34341" s="1"/>
      <c r="G34341" s="1"/>
    </row>
    <row r="34342">
      <c r="B34342" s="36"/>
      <c r="C34342" s="36"/>
      <c r="E34342" s="1"/>
      <c r="F34342" s="1"/>
      <c r="G34342" s="1"/>
    </row>
    <row r="34343">
      <c r="B34343" s="36"/>
      <c r="C34343" s="36"/>
      <c r="E34343" s="1"/>
      <c r="F34343" s="1"/>
      <c r="G34343" s="1"/>
    </row>
    <row r="34344">
      <c r="B34344" s="36"/>
      <c r="C34344" s="36"/>
      <c r="E34344" s="1"/>
      <c r="F34344" s="1"/>
      <c r="G34344" s="1"/>
    </row>
    <row r="34345">
      <c r="B34345" s="36"/>
      <c r="C34345" s="36"/>
      <c r="E34345" s="1"/>
      <c r="F34345" s="1"/>
      <c r="G34345" s="1"/>
    </row>
    <row r="34346">
      <c r="B34346" s="36"/>
      <c r="C34346" s="36"/>
      <c r="E34346" s="1"/>
      <c r="F34346" s="1"/>
      <c r="G34346" s="1"/>
    </row>
    <row r="34347">
      <c r="B34347" s="36"/>
      <c r="C34347" s="36"/>
      <c r="E34347" s="1"/>
      <c r="F34347" s="1"/>
      <c r="G34347" s="1"/>
    </row>
    <row r="34348">
      <c r="B34348" s="36"/>
      <c r="C34348" s="36"/>
      <c r="E34348" s="1"/>
      <c r="F34348" s="1"/>
      <c r="G34348" s="1"/>
    </row>
    <row r="34349">
      <c r="B34349" s="36"/>
      <c r="C34349" s="36"/>
      <c r="E34349" s="1"/>
      <c r="F34349" s="1"/>
      <c r="G34349" s="1"/>
    </row>
    <row r="34350">
      <c r="B34350" s="36"/>
      <c r="C34350" s="36"/>
      <c r="E34350" s="1"/>
      <c r="F34350" s="1"/>
      <c r="G34350" s="1"/>
    </row>
    <row r="34351">
      <c r="B34351" s="36"/>
      <c r="C34351" s="36"/>
      <c r="E34351" s="1"/>
      <c r="F34351" s="1"/>
      <c r="G34351" s="1"/>
    </row>
    <row r="34352">
      <c r="B34352" s="36"/>
      <c r="C34352" s="36"/>
      <c r="E34352" s="1"/>
      <c r="F34352" s="1"/>
      <c r="G34352" s="1"/>
    </row>
    <row r="34353">
      <c r="B34353" s="36"/>
      <c r="C34353" s="36"/>
      <c r="E34353" s="1"/>
      <c r="F34353" s="1"/>
      <c r="G34353" s="1"/>
    </row>
    <row r="34354">
      <c r="B34354" s="36"/>
      <c r="C34354" s="36"/>
      <c r="E34354" s="1"/>
      <c r="F34354" s="1"/>
      <c r="G34354" s="1"/>
    </row>
    <row r="34355">
      <c r="B34355" s="36"/>
      <c r="C34355" s="36"/>
      <c r="E34355" s="1"/>
      <c r="F34355" s="1"/>
      <c r="G34355" s="1"/>
    </row>
    <row r="34356">
      <c r="B34356" s="36"/>
      <c r="C34356" s="36"/>
      <c r="E34356" s="1"/>
      <c r="F34356" s="1"/>
      <c r="G34356" s="1"/>
    </row>
    <row r="34357">
      <c r="B34357" s="36"/>
      <c r="C34357" s="36"/>
      <c r="E34357" s="1"/>
      <c r="F34357" s="1"/>
      <c r="G34357" s="1"/>
    </row>
    <row r="34358">
      <c r="B34358" s="36"/>
      <c r="C34358" s="36"/>
      <c r="E34358" s="1"/>
      <c r="F34358" s="1"/>
      <c r="G34358" s="1"/>
    </row>
    <row r="34359">
      <c r="B34359" s="36"/>
      <c r="C34359" s="36"/>
      <c r="E34359" s="1"/>
      <c r="F34359" s="1"/>
      <c r="G34359" s="1"/>
    </row>
    <row r="34360">
      <c r="B34360" s="36"/>
      <c r="C34360" s="36"/>
      <c r="E34360" s="1"/>
      <c r="F34360" s="1"/>
      <c r="G34360" s="1"/>
    </row>
    <row r="34361">
      <c r="B34361" s="36"/>
      <c r="C34361" s="36"/>
      <c r="E34361" s="1"/>
      <c r="F34361" s="1"/>
      <c r="G34361" s="1"/>
    </row>
    <row r="34362">
      <c r="B34362" s="36"/>
      <c r="C34362" s="36"/>
      <c r="E34362" s="1"/>
      <c r="F34362" s="1"/>
      <c r="G34362" s="1"/>
    </row>
    <row r="34363">
      <c r="B34363" s="36"/>
      <c r="C34363" s="36"/>
      <c r="E34363" s="1"/>
      <c r="F34363" s="1"/>
      <c r="G34363" s="1"/>
    </row>
    <row r="34364">
      <c r="B34364" s="36"/>
      <c r="C34364" s="36"/>
      <c r="E34364" s="1"/>
      <c r="F34364" s="1"/>
      <c r="G34364" s="1"/>
    </row>
    <row r="34365">
      <c r="B34365" s="36"/>
      <c r="C34365" s="36"/>
      <c r="E34365" s="1"/>
      <c r="F34365" s="1"/>
      <c r="G34365" s="1"/>
    </row>
    <row r="34366">
      <c r="B34366" s="36"/>
      <c r="C34366" s="36"/>
      <c r="E34366" s="1"/>
      <c r="F34366" s="1"/>
      <c r="G34366" s="1"/>
    </row>
    <row r="34367">
      <c r="B34367" s="36"/>
      <c r="C34367" s="36"/>
      <c r="E34367" s="1"/>
      <c r="F34367" s="1"/>
      <c r="G34367" s="1"/>
    </row>
    <row r="34368">
      <c r="B34368" s="36"/>
      <c r="C34368" s="36"/>
      <c r="E34368" s="1"/>
      <c r="F34368" s="1"/>
      <c r="G34368" s="1"/>
    </row>
    <row r="34369">
      <c r="B34369" s="36"/>
      <c r="C34369" s="36"/>
      <c r="E34369" s="1"/>
      <c r="F34369" s="1"/>
      <c r="G34369" s="1"/>
    </row>
    <row r="34370">
      <c r="B34370" s="36"/>
      <c r="C34370" s="36"/>
      <c r="E34370" s="1"/>
      <c r="F34370" s="1"/>
      <c r="G34370" s="1"/>
    </row>
    <row r="34371">
      <c r="B34371" s="36"/>
      <c r="C34371" s="36"/>
      <c r="E34371" s="1"/>
      <c r="F34371" s="1"/>
      <c r="G34371" s="1"/>
    </row>
    <row r="34372">
      <c r="B34372" s="36"/>
      <c r="C34372" s="36"/>
      <c r="E34372" s="1"/>
      <c r="F34372" s="1"/>
      <c r="G34372" s="1"/>
    </row>
    <row r="34373">
      <c r="B34373" s="36"/>
      <c r="C34373" s="36"/>
      <c r="E34373" s="1"/>
      <c r="F34373" s="1"/>
      <c r="G34373" s="1"/>
    </row>
    <row r="34374">
      <c r="B34374" s="36"/>
      <c r="C34374" s="36"/>
      <c r="E34374" s="1"/>
      <c r="F34374" s="1"/>
      <c r="G34374" s="1"/>
    </row>
    <row r="34375">
      <c r="B34375" s="36"/>
      <c r="C34375" s="36"/>
      <c r="E34375" s="1"/>
      <c r="F34375" s="1"/>
      <c r="G34375" s="1"/>
    </row>
    <row r="34376">
      <c r="B34376" s="36"/>
      <c r="C34376" s="36"/>
      <c r="E34376" s="1"/>
      <c r="F34376" s="1"/>
      <c r="G34376" s="1"/>
    </row>
    <row r="34377">
      <c r="B34377" s="36"/>
      <c r="C34377" s="36"/>
      <c r="E34377" s="1"/>
      <c r="F34377" s="1"/>
      <c r="G34377" s="1"/>
    </row>
    <row r="34378">
      <c r="B34378" s="36"/>
      <c r="C34378" s="36"/>
      <c r="E34378" s="1"/>
      <c r="F34378" s="1"/>
      <c r="G34378" s="1"/>
    </row>
    <row r="34379">
      <c r="B34379" s="36"/>
      <c r="C34379" s="36"/>
      <c r="E34379" s="1"/>
      <c r="F34379" s="1"/>
      <c r="G34379" s="1"/>
    </row>
    <row r="34380">
      <c r="B34380" s="36"/>
      <c r="C34380" s="36"/>
      <c r="E34380" s="1"/>
      <c r="F34380" s="1"/>
      <c r="G34380" s="1"/>
    </row>
    <row r="34381">
      <c r="B34381" s="36"/>
      <c r="C34381" s="36"/>
      <c r="E34381" s="1"/>
      <c r="F34381" s="1"/>
      <c r="G34381" s="1"/>
    </row>
    <row r="34382">
      <c r="B34382" s="36"/>
      <c r="C34382" s="36"/>
      <c r="E34382" s="1"/>
      <c r="F34382" s="1"/>
      <c r="G34382" s="1"/>
    </row>
    <row r="34383">
      <c r="B34383" s="36"/>
      <c r="C34383" s="36"/>
      <c r="E34383" s="1"/>
      <c r="F34383" s="1"/>
      <c r="G34383" s="1"/>
    </row>
    <row r="34384">
      <c r="B34384" s="36"/>
      <c r="C34384" s="36"/>
      <c r="E34384" s="1"/>
      <c r="F34384" s="1"/>
      <c r="G34384" s="1"/>
    </row>
    <row r="34385">
      <c r="B34385" s="36"/>
      <c r="C34385" s="36"/>
      <c r="E34385" s="1"/>
      <c r="F34385" s="1"/>
      <c r="G34385" s="1"/>
    </row>
    <row r="34386">
      <c r="B34386" s="36"/>
      <c r="C34386" s="36"/>
      <c r="E34386" s="1"/>
      <c r="F34386" s="1"/>
      <c r="G34386" s="1"/>
    </row>
    <row r="34387">
      <c r="B34387" s="36"/>
      <c r="C34387" s="36"/>
      <c r="E34387" s="1"/>
      <c r="F34387" s="1"/>
      <c r="G34387" s="1"/>
    </row>
    <row r="34388">
      <c r="B34388" s="36"/>
      <c r="C34388" s="36"/>
      <c r="E34388" s="1"/>
      <c r="F34388" s="1"/>
      <c r="G34388" s="1"/>
    </row>
    <row r="34389">
      <c r="B34389" s="36"/>
      <c r="C34389" s="36"/>
      <c r="E34389" s="1"/>
      <c r="F34389" s="1"/>
      <c r="G34389" s="1"/>
    </row>
    <row r="34390">
      <c r="B34390" s="36"/>
      <c r="C34390" s="36"/>
      <c r="E34390" s="1"/>
      <c r="F34390" s="1"/>
      <c r="G34390" s="1"/>
    </row>
    <row r="34391">
      <c r="B34391" s="36"/>
      <c r="C34391" s="36"/>
      <c r="E34391" s="1"/>
      <c r="F34391" s="1"/>
      <c r="G34391" s="1"/>
    </row>
    <row r="34392">
      <c r="B34392" s="36"/>
      <c r="C34392" s="36"/>
      <c r="E34392" s="1"/>
      <c r="F34392" s="1"/>
      <c r="G34392" s="1"/>
    </row>
    <row r="34393">
      <c r="B34393" s="36"/>
      <c r="C34393" s="36"/>
      <c r="E34393" s="1"/>
      <c r="F34393" s="1"/>
      <c r="G34393" s="1"/>
    </row>
    <row r="34394">
      <c r="B34394" s="36"/>
      <c r="C34394" s="36"/>
      <c r="E34394" s="1"/>
      <c r="F34394" s="1"/>
      <c r="G34394" s="1"/>
    </row>
    <row r="34395">
      <c r="B34395" s="36"/>
      <c r="C34395" s="36"/>
      <c r="E34395" s="1"/>
      <c r="F34395" s="1"/>
      <c r="G34395" s="1"/>
    </row>
    <row r="34396">
      <c r="B34396" s="36"/>
      <c r="C34396" s="36"/>
      <c r="E34396" s="1"/>
      <c r="F34396" s="1"/>
      <c r="G34396" s="1"/>
    </row>
    <row r="34397">
      <c r="B34397" s="36"/>
      <c r="C34397" s="36"/>
      <c r="E34397" s="1"/>
      <c r="F34397" s="1"/>
      <c r="G34397" s="1"/>
    </row>
    <row r="34398">
      <c r="B34398" s="36"/>
      <c r="C34398" s="36"/>
      <c r="E34398" s="1"/>
      <c r="F34398" s="1"/>
      <c r="G34398" s="1"/>
    </row>
    <row r="34399">
      <c r="B34399" s="36"/>
      <c r="C34399" s="36"/>
      <c r="E34399" s="1"/>
      <c r="F34399" s="1"/>
      <c r="G34399" s="1"/>
    </row>
    <row r="34400">
      <c r="B34400" s="36"/>
      <c r="C34400" s="36"/>
      <c r="E34400" s="1"/>
      <c r="F34400" s="1"/>
      <c r="G34400" s="1"/>
    </row>
    <row r="34401">
      <c r="B34401" s="36"/>
      <c r="C34401" s="36"/>
      <c r="E34401" s="1"/>
      <c r="F34401" s="1"/>
      <c r="G34401" s="1"/>
    </row>
    <row r="34402">
      <c r="B34402" s="36"/>
      <c r="C34402" s="36"/>
      <c r="E34402" s="1"/>
      <c r="F34402" s="1"/>
      <c r="G34402" s="1"/>
    </row>
    <row r="34403">
      <c r="B34403" s="36"/>
      <c r="C34403" s="36"/>
      <c r="E34403" s="1"/>
      <c r="F34403" s="1"/>
      <c r="G34403" s="1"/>
    </row>
    <row r="34404">
      <c r="B34404" s="36"/>
      <c r="C34404" s="36"/>
      <c r="E34404" s="1"/>
      <c r="F34404" s="1"/>
      <c r="G34404" s="1"/>
    </row>
    <row r="34405">
      <c r="B34405" s="36"/>
      <c r="C34405" s="36"/>
      <c r="E34405" s="1"/>
      <c r="F34405" s="1"/>
      <c r="G34405" s="1"/>
    </row>
    <row r="34406">
      <c r="B34406" s="36"/>
      <c r="C34406" s="36"/>
      <c r="E34406" s="1"/>
      <c r="F34406" s="1"/>
      <c r="G34406" s="1"/>
    </row>
    <row r="34407">
      <c r="B34407" s="36"/>
      <c r="C34407" s="36"/>
      <c r="E34407" s="1"/>
      <c r="F34407" s="1"/>
      <c r="G34407" s="1"/>
    </row>
    <row r="34408">
      <c r="B34408" s="36"/>
      <c r="C34408" s="36"/>
      <c r="E34408" s="1"/>
      <c r="F34408" s="1"/>
      <c r="G34408" s="1"/>
    </row>
    <row r="34409">
      <c r="B34409" s="36"/>
      <c r="C34409" s="36"/>
      <c r="E34409" s="1"/>
      <c r="F34409" s="1"/>
      <c r="G34409" s="1"/>
    </row>
    <row r="34410">
      <c r="B34410" s="36"/>
      <c r="C34410" s="36"/>
      <c r="E34410" s="1"/>
      <c r="F34410" s="1"/>
      <c r="G34410" s="1"/>
    </row>
    <row r="34411">
      <c r="B34411" s="36"/>
      <c r="C34411" s="36"/>
      <c r="E34411" s="1"/>
      <c r="F34411" s="1"/>
      <c r="G34411" s="1"/>
    </row>
    <row r="34412">
      <c r="B34412" s="36"/>
      <c r="C34412" s="36"/>
      <c r="E34412" s="1"/>
      <c r="F34412" s="1"/>
      <c r="G34412" s="1"/>
    </row>
    <row r="34413">
      <c r="B34413" s="36"/>
      <c r="C34413" s="36"/>
      <c r="E34413" s="1"/>
      <c r="F34413" s="1"/>
      <c r="G34413" s="1"/>
    </row>
    <row r="34414">
      <c r="B34414" s="36"/>
      <c r="C34414" s="36"/>
      <c r="E34414" s="1"/>
      <c r="F34414" s="1"/>
      <c r="G34414" s="1"/>
    </row>
    <row r="34415">
      <c r="B34415" s="36"/>
      <c r="C34415" s="36"/>
      <c r="E34415" s="1"/>
      <c r="F34415" s="1"/>
      <c r="G34415" s="1"/>
    </row>
    <row r="34416">
      <c r="B34416" s="36"/>
      <c r="C34416" s="36"/>
      <c r="E34416" s="1"/>
      <c r="F34416" s="1"/>
      <c r="G34416" s="1"/>
    </row>
    <row r="34417">
      <c r="B34417" s="36"/>
      <c r="C34417" s="36"/>
      <c r="E34417" s="1"/>
      <c r="F34417" s="1"/>
      <c r="G34417" s="1"/>
    </row>
    <row r="34418">
      <c r="B34418" s="36"/>
      <c r="C34418" s="36"/>
      <c r="E34418" s="1"/>
      <c r="F34418" s="1"/>
      <c r="G34418" s="1"/>
    </row>
    <row r="34419">
      <c r="B34419" s="36"/>
      <c r="C34419" s="36"/>
      <c r="E34419" s="1"/>
      <c r="F34419" s="1"/>
      <c r="G34419" s="1"/>
    </row>
    <row r="34420">
      <c r="B34420" s="36"/>
      <c r="C34420" s="36"/>
      <c r="E34420" s="1"/>
      <c r="F34420" s="1"/>
      <c r="G34420" s="1"/>
    </row>
    <row r="34421">
      <c r="B34421" s="36"/>
      <c r="C34421" s="36"/>
      <c r="E34421" s="1"/>
      <c r="F34421" s="1"/>
      <c r="G34421" s="1"/>
    </row>
    <row r="34422">
      <c r="B34422" s="36"/>
      <c r="C34422" s="36"/>
      <c r="E34422" s="1"/>
      <c r="F34422" s="1"/>
      <c r="G34422" s="1"/>
    </row>
    <row r="34423">
      <c r="B34423" s="36"/>
      <c r="C34423" s="36"/>
      <c r="E34423" s="1"/>
      <c r="F34423" s="1"/>
      <c r="G34423" s="1"/>
    </row>
    <row r="34424">
      <c r="B34424" s="36"/>
      <c r="C34424" s="36"/>
      <c r="E34424" s="1"/>
      <c r="F34424" s="1"/>
      <c r="G34424" s="1"/>
    </row>
    <row r="34425">
      <c r="B34425" s="36"/>
      <c r="C34425" s="36"/>
      <c r="E34425" s="1"/>
      <c r="F34425" s="1"/>
      <c r="G34425" s="1"/>
    </row>
    <row r="34426">
      <c r="B34426" s="36"/>
      <c r="C34426" s="36"/>
      <c r="E34426" s="1"/>
      <c r="F34426" s="1"/>
      <c r="G34426" s="1"/>
    </row>
    <row r="34427">
      <c r="B34427" s="36"/>
      <c r="C34427" s="36"/>
      <c r="E34427" s="1"/>
      <c r="F34427" s="1"/>
      <c r="G34427" s="1"/>
    </row>
    <row r="34428">
      <c r="B34428" s="36"/>
      <c r="C34428" s="36"/>
      <c r="E34428" s="1"/>
      <c r="F34428" s="1"/>
      <c r="G34428" s="1"/>
    </row>
    <row r="34429">
      <c r="B34429" s="36"/>
      <c r="C34429" s="36"/>
      <c r="E34429" s="1"/>
      <c r="F34429" s="1"/>
      <c r="G34429" s="1"/>
    </row>
    <row r="34430">
      <c r="B34430" s="36"/>
      <c r="C34430" s="36"/>
      <c r="E34430" s="1"/>
      <c r="F34430" s="1"/>
      <c r="G34430" s="1"/>
    </row>
    <row r="34431">
      <c r="B34431" s="36"/>
      <c r="C34431" s="36"/>
      <c r="E34431" s="1"/>
      <c r="F34431" s="1"/>
      <c r="G34431" s="1"/>
    </row>
    <row r="34432">
      <c r="B34432" s="36"/>
      <c r="C34432" s="36"/>
      <c r="E34432" s="1"/>
      <c r="F34432" s="1"/>
      <c r="G34432" s="1"/>
    </row>
    <row r="34433">
      <c r="B34433" s="36"/>
      <c r="C34433" s="36"/>
      <c r="E34433" s="1"/>
      <c r="F34433" s="1"/>
      <c r="G34433" s="1"/>
    </row>
    <row r="34434">
      <c r="B34434" s="36"/>
      <c r="C34434" s="36"/>
      <c r="E34434" s="1"/>
      <c r="F34434" s="1"/>
      <c r="G34434" s="1"/>
    </row>
    <row r="34435">
      <c r="B34435" s="36"/>
      <c r="C34435" s="36"/>
      <c r="E34435" s="1"/>
      <c r="F34435" s="1"/>
      <c r="G34435" s="1"/>
    </row>
    <row r="34436">
      <c r="B34436" s="36"/>
      <c r="C34436" s="36"/>
      <c r="E34436" s="1"/>
      <c r="F34436" s="1"/>
      <c r="G34436" s="1"/>
    </row>
    <row r="34437">
      <c r="B34437" s="36"/>
      <c r="C34437" s="36"/>
      <c r="E34437" s="1"/>
      <c r="F34437" s="1"/>
      <c r="G34437" s="1"/>
    </row>
    <row r="34438">
      <c r="B34438" s="36"/>
      <c r="C34438" s="36"/>
      <c r="E34438" s="1"/>
      <c r="F34438" s="1"/>
      <c r="G34438" s="1"/>
    </row>
    <row r="34439">
      <c r="B34439" s="36"/>
      <c r="C34439" s="36"/>
      <c r="E34439" s="1"/>
      <c r="F34439" s="1"/>
      <c r="G34439" s="1"/>
    </row>
    <row r="34440">
      <c r="B34440" s="36"/>
      <c r="C34440" s="36"/>
      <c r="E34440" s="1"/>
      <c r="F34440" s="1"/>
      <c r="G34440" s="1"/>
    </row>
    <row r="34441">
      <c r="B34441" s="36"/>
      <c r="C34441" s="36"/>
      <c r="E34441" s="1"/>
      <c r="F34441" s="1"/>
      <c r="G34441" s="1"/>
    </row>
    <row r="34442">
      <c r="B34442" s="36"/>
      <c r="C34442" s="36"/>
      <c r="E34442" s="1"/>
      <c r="F34442" s="1"/>
      <c r="G34442" s="1"/>
    </row>
    <row r="34443">
      <c r="B34443" s="36"/>
      <c r="C34443" s="36"/>
      <c r="E34443" s="1"/>
      <c r="F34443" s="1"/>
      <c r="G34443" s="1"/>
    </row>
    <row r="34444">
      <c r="B34444" s="36"/>
      <c r="C34444" s="36"/>
      <c r="E34444" s="1"/>
      <c r="F34444" s="1"/>
      <c r="G34444" s="1"/>
    </row>
    <row r="34445">
      <c r="B34445" s="36"/>
      <c r="C34445" s="36"/>
      <c r="E34445" s="1"/>
      <c r="F34445" s="1"/>
      <c r="G34445" s="1"/>
    </row>
    <row r="34446">
      <c r="B34446" s="36"/>
      <c r="C34446" s="36"/>
      <c r="E34446" s="1"/>
      <c r="F34446" s="1"/>
      <c r="G34446" s="1"/>
    </row>
    <row r="34447">
      <c r="B34447" s="36"/>
      <c r="C34447" s="36"/>
      <c r="E34447" s="1"/>
      <c r="F34447" s="1"/>
      <c r="G34447" s="1"/>
    </row>
    <row r="34448">
      <c r="B34448" s="36"/>
      <c r="C34448" s="36"/>
      <c r="E34448" s="1"/>
      <c r="F34448" s="1"/>
      <c r="G34448" s="1"/>
    </row>
    <row r="34449">
      <c r="B34449" s="36"/>
      <c r="C34449" s="36"/>
      <c r="E34449" s="1"/>
      <c r="F34449" s="1"/>
      <c r="G34449" s="1"/>
    </row>
    <row r="34450">
      <c r="B34450" s="36"/>
      <c r="C34450" s="36"/>
      <c r="E34450" s="1"/>
      <c r="F34450" s="1"/>
      <c r="G34450" s="1"/>
    </row>
    <row r="34451">
      <c r="B34451" s="36"/>
      <c r="C34451" s="36"/>
      <c r="E34451" s="1"/>
      <c r="F34451" s="1"/>
      <c r="G34451" s="1"/>
    </row>
    <row r="34452">
      <c r="B34452" s="36"/>
      <c r="C34452" s="36"/>
      <c r="E34452" s="1"/>
      <c r="F34452" s="1"/>
      <c r="G34452" s="1"/>
    </row>
    <row r="34453">
      <c r="B34453" s="36"/>
      <c r="C34453" s="36"/>
      <c r="E34453" s="1"/>
      <c r="F34453" s="1"/>
      <c r="G34453" s="1"/>
    </row>
    <row r="34454">
      <c r="B34454" s="36"/>
      <c r="C34454" s="36"/>
      <c r="E34454" s="1"/>
      <c r="F34454" s="1"/>
      <c r="G34454" s="1"/>
    </row>
    <row r="34455">
      <c r="B34455" s="36"/>
      <c r="C34455" s="36"/>
      <c r="E34455" s="1"/>
      <c r="F34455" s="1"/>
      <c r="G34455" s="1"/>
    </row>
    <row r="34456">
      <c r="B34456" s="36"/>
      <c r="C34456" s="36"/>
      <c r="E34456" s="1"/>
      <c r="F34456" s="1"/>
      <c r="G34456" s="1"/>
    </row>
    <row r="34457">
      <c r="B34457" s="36"/>
      <c r="C34457" s="36"/>
      <c r="E34457" s="1"/>
      <c r="F34457" s="1"/>
      <c r="G34457" s="1"/>
    </row>
    <row r="34458">
      <c r="B34458" s="36"/>
      <c r="C34458" s="36"/>
      <c r="E34458" s="1"/>
      <c r="F34458" s="1"/>
      <c r="G34458" s="1"/>
    </row>
    <row r="34459">
      <c r="B34459" s="36"/>
      <c r="C34459" s="36"/>
      <c r="E34459" s="1"/>
      <c r="F34459" s="1"/>
      <c r="G34459" s="1"/>
    </row>
    <row r="34460">
      <c r="B34460" s="36"/>
      <c r="C34460" s="36"/>
      <c r="E34460" s="1"/>
      <c r="F34460" s="1"/>
      <c r="G34460" s="1"/>
    </row>
    <row r="34461">
      <c r="B34461" s="36"/>
      <c r="C34461" s="36"/>
      <c r="E34461" s="1"/>
      <c r="F34461" s="1"/>
      <c r="G34461" s="1"/>
    </row>
    <row r="34462">
      <c r="B34462" s="36"/>
      <c r="C34462" s="36"/>
      <c r="E34462" s="1"/>
      <c r="F34462" s="1"/>
      <c r="G34462" s="1"/>
    </row>
    <row r="34463">
      <c r="B34463" s="36"/>
      <c r="C34463" s="36"/>
      <c r="E34463" s="1"/>
      <c r="F34463" s="1"/>
      <c r="G34463" s="1"/>
    </row>
    <row r="34464">
      <c r="B34464" s="36"/>
      <c r="C34464" s="36"/>
      <c r="E34464" s="1"/>
      <c r="F34464" s="1"/>
      <c r="G34464" s="1"/>
    </row>
    <row r="34465">
      <c r="B34465" s="36"/>
      <c r="C34465" s="36"/>
      <c r="E34465" s="1"/>
      <c r="F34465" s="1"/>
      <c r="G34465" s="1"/>
    </row>
    <row r="34466">
      <c r="B34466" s="36"/>
      <c r="C34466" s="36"/>
      <c r="E34466" s="1"/>
      <c r="F34466" s="1"/>
      <c r="G34466" s="1"/>
    </row>
    <row r="34467">
      <c r="B34467" s="36"/>
      <c r="C34467" s="36"/>
      <c r="E34467" s="1"/>
      <c r="F34467" s="1"/>
      <c r="G34467" s="1"/>
    </row>
    <row r="34468">
      <c r="B34468" s="36"/>
      <c r="C34468" s="36"/>
      <c r="E34468" s="1"/>
      <c r="F34468" s="1"/>
      <c r="G34468" s="1"/>
    </row>
    <row r="34469">
      <c r="B34469" s="36"/>
      <c r="C34469" s="36"/>
      <c r="E34469" s="1"/>
      <c r="F34469" s="1"/>
      <c r="G34469" s="1"/>
    </row>
    <row r="34470">
      <c r="B34470" s="36"/>
      <c r="C34470" s="36"/>
      <c r="E34470" s="1"/>
      <c r="F34470" s="1"/>
      <c r="G34470" s="1"/>
    </row>
    <row r="34471">
      <c r="B34471" s="36"/>
      <c r="C34471" s="36"/>
      <c r="E34471" s="1"/>
      <c r="F34471" s="1"/>
      <c r="G34471" s="1"/>
    </row>
    <row r="34472">
      <c r="B34472" s="36"/>
      <c r="C34472" s="36"/>
      <c r="E34472" s="1"/>
      <c r="F34472" s="1"/>
      <c r="G34472" s="1"/>
    </row>
    <row r="34473">
      <c r="B34473" s="36"/>
      <c r="C34473" s="36"/>
      <c r="E34473" s="1"/>
      <c r="F34473" s="1"/>
      <c r="G34473" s="1"/>
    </row>
    <row r="34474">
      <c r="B34474" s="36"/>
      <c r="C34474" s="36"/>
      <c r="E34474" s="1"/>
      <c r="F34474" s="1"/>
      <c r="G34474" s="1"/>
    </row>
    <row r="34475">
      <c r="B34475" s="36"/>
      <c r="C34475" s="36"/>
      <c r="E34475" s="1"/>
      <c r="F34475" s="1"/>
      <c r="G34475" s="1"/>
    </row>
    <row r="34476">
      <c r="B34476" s="36"/>
      <c r="C34476" s="36"/>
      <c r="E34476" s="1"/>
      <c r="F34476" s="1"/>
      <c r="G34476" s="1"/>
    </row>
    <row r="34477">
      <c r="B34477" s="36"/>
      <c r="C34477" s="36"/>
      <c r="E34477" s="1"/>
      <c r="F34477" s="1"/>
      <c r="G34477" s="1"/>
    </row>
    <row r="34478">
      <c r="B34478" s="36"/>
      <c r="C34478" s="36"/>
      <c r="E34478" s="1"/>
      <c r="F34478" s="1"/>
      <c r="G34478" s="1"/>
    </row>
    <row r="34479">
      <c r="B34479" s="36"/>
      <c r="C34479" s="36"/>
      <c r="E34479" s="1"/>
      <c r="F34479" s="1"/>
      <c r="G34479" s="1"/>
    </row>
    <row r="34480">
      <c r="B34480" s="36"/>
      <c r="C34480" s="36"/>
      <c r="E34480" s="1"/>
      <c r="F34480" s="1"/>
      <c r="G34480" s="1"/>
    </row>
    <row r="34481">
      <c r="B34481" s="36"/>
      <c r="C34481" s="36"/>
      <c r="E34481" s="1"/>
      <c r="F34481" s="1"/>
      <c r="G34481" s="1"/>
    </row>
    <row r="34482">
      <c r="B34482" s="36"/>
      <c r="C34482" s="36"/>
      <c r="E34482" s="1"/>
      <c r="F34482" s="1"/>
      <c r="G34482" s="1"/>
    </row>
    <row r="34483">
      <c r="B34483" s="36"/>
      <c r="C34483" s="36"/>
      <c r="E34483" s="1"/>
      <c r="F34483" s="1"/>
      <c r="G34483" s="1"/>
    </row>
    <row r="34484">
      <c r="B34484" s="36"/>
      <c r="C34484" s="36"/>
      <c r="E34484" s="1"/>
      <c r="F34484" s="1"/>
      <c r="G34484" s="1"/>
    </row>
    <row r="34485">
      <c r="B34485" s="36"/>
      <c r="C34485" s="36"/>
      <c r="E34485" s="1"/>
      <c r="F34485" s="1"/>
      <c r="G34485" s="1"/>
    </row>
    <row r="34486">
      <c r="B34486" s="36"/>
      <c r="C34486" s="36"/>
      <c r="E34486" s="1"/>
      <c r="F34486" s="1"/>
      <c r="G34486" s="1"/>
    </row>
    <row r="34487">
      <c r="B34487" s="36"/>
      <c r="C34487" s="36"/>
      <c r="E34487" s="1"/>
      <c r="F34487" s="1"/>
      <c r="G34487" s="1"/>
    </row>
    <row r="34488">
      <c r="B34488" s="36"/>
      <c r="C34488" s="36"/>
      <c r="E34488" s="1"/>
      <c r="F34488" s="1"/>
      <c r="G34488" s="1"/>
    </row>
    <row r="34489">
      <c r="B34489" s="36"/>
      <c r="C34489" s="36"/>
      <c r="E34489" s="1"/>
      <c r="F34489" s="1"/>
      <c r="G34489" s="1"/>
    </row>
    <row r="34490">
      <c r="B34490" s="36"/>
      <c r="C34490" s="36"/>
      <c r="E34490" s="1"/>
      <c r="F34490" s="1"/>
      <c r="G34490" s="1"/>
    </row>
    <row r="34491">
      <c r="B34491" s="36"/>
      <c r="C34491" s="36"/>
      <c r="E34491" s="1"/>
      <c r="F34491" s="1"/>
      <c r="G34491" s="1"/>
    </row>
    <row r="34492">
      <c r="B34492" s="36"/>
      <c r="C34492" s="36"/>
      <c r="E34492" s="1"/>
      <c r="F34492" s="1"/>
      <c r="G34492" s="1"/>
    </row>
    <row r="34493">
      <c r="B34493" s="36"/>
      <c r="C34493" s="36"/>
      <c r="E34493" s="1"/>
      <c r="F34493" s="1"/>
      <c r="G34493" s="1"/>
    </row>
    <row r="34494">
      <c r="B34494" s="36"/>
      <c r="C34494" s="36"/>
      <c r="E34494" s="1"/>
      <c r="F34494" s="1"/>
      <c r="G34494" s="1"/>
    </row>
    <row r="34495">
      <c r="B34495" s="36"/>
      <c r="C34495" s="36"/>
      <c r="E34495" s="1"/>
      <c r="F34495" s="1"/>
      <c r="G34495" s="1"/>
    </row>
    <row r="34496">
      <c r="B34496" s="36"/>
      <c r="C34496" s="36"/>
      <c r="E34496" s="1"/>
      <c r="F34496" s="1"/>
      <c r="G34496" s="1"/>
    </row>
    <row r="34497">
      <c r="B34497" s="36"/>
      <c r="C34497" s="36"/>
      <c r="E34497" s="1"/>
      <c r="F34497" s="1"/>
      <c r="G34497" s="1"/>
    </row>
    <row r="34498">
      <c r="B34498" s="36"/>
      <c r="C34498" s="36"/>
      <c r="E34498" s="1"/>
      <c r="F34498" s="1"/>
      <c r="G34498" s="1"/>
    </row>
    <row r="34499">
      <c r="B34499" s="36"/>
      <c r="C34499" s="36"/>
      <c r="E34499" s="1"/>
      <c r="F34499" s="1"/>
      <c r="G34499" s="1"/>
    </row>
    <row r="34500">
      <c r="B34500" s="36"/>
      <c r="C34500" s="36"/>
      <c r="E34500" s="1"/>
      <c r="F34500" s="1"/>
      <c r="G34500" s="1"/>
    </row>
    <row r="34501">
      <c r="B34501" s="36"/>
      <c r="C34501" s="36"/>
      <c r="E34501" s="1"/>
      <c r="F34501" s="1"/>
      <c r="G34501" s="1"/>
    </row>
    <row r="34502">
      <c r="B34502" s="36"/>
      <c r="C34502" s="36"/>
      <c r="E34502" s="1"/>
      <c r="F34502" s="1"/>
      <c r="G34502" s="1"/>
    </row>
    <row r="34503">
      <c r="B34503" s="36"/>
      <c r="C34503" s="36"/>
      <c r="E34503" s="1"/>
      <c r="F34503" s="1"/>
      <c r="G34503" s="1"/>
    </row>
    <row r="34504">
      <c r="B34504" s="36"/>
      <c r="C34504" s="36"/>
      <c r="E34504" s="1"/>
      <c r="F34504" s="1"/>
      <c r="G34504" s="1"/>
    </row>
    <row r="34505">
      <c r="B34505" s="36"/>
      <c r="C34505" s="36"/>
      <c r="E34505" s="1"/>
      <c r="F34505" s="1"/>
      <c r="G34505" s="1"/>
    </row>
    <row r="34506">
      <c r="B34506" s="36"/>
      <c r="C34506" s="36"/>
      <c r="E34506" s="1"/>
      <c r="F34506" s="1"/>
      <c r="G34506" s="1"/>
    </row>
    <row r="34507">
      <c r="B34507" s="36"/>
      <c r="C34507" s="36"/>
      <c r="E34507" s="1"/>
      <c r="F34507" s="1"/>
      <c r="G34507" s="1"/>
    </row>
    <row r="34508">
      <c r="B34508" s="36"/>
      <c r="C34508" s="36"/>
      <c r="E34508" s="1"/>
      <c r="F34508" s="1"/>
      <c r="G34508" s="1"/>
    </row>
    <row r="34509">
      <c r="B34509" s="36"/>
      <c r="C34509" s="36"/>
      <c r="E34509" s="1"/>
      <c r="F34509" s="1"/>
      <c r="G34509" s="1"/>
    </row>
    <row r="34510">
      <c r="B34510" s="36"/>
      <c r="C34510" s="36"/>
      <c r="E34510" s="1"/>
      <c r="F34510" s="1"/>
      <c r="G34510" s="1"/>
    </row>
    <row r="34511">
      <c r="B34511" s="36"/>
      <c r="C34511" s="36"/>
      <c r="E34511" s="1"/>
      <c r="F34511" s="1"/>
      <c r="G34511" s="1"/>
    </row>
    <row r="34512">
      <c r="B34512" s="36"/>
      <c r="C34512" s="36"/>
      <c r="E34512" s="1"/>
      <c r="F34512" s="1"/>
      <c r="G34512" s="1"/>
    </row>
    <row r="34513">
      <c r="B34513" s="36"/>
      <c r="C34513" s="36"/>
      <c r="E34513" s="1"/>
      <c r="F34513" s="1"/>
      <c r="G34513" s="1"/>
    </row>
    <row r="34514">
      <c r="B34514" s="36"/>
      <c r="C34514" s="36"/>
      <c r="E34514" s="1"/>
      <c r="F34514" s="1"/>
      <c r="G34514" s="1"/>
    </row>
    <row r="34515">
      <c r="B34515" s="36"/>
      <c r="C34515" s="36"/>
      <c r="E34515" s="1"/>
      <c r="F34515" s="1"/>
      <c r="G34515" s="1"/>
    </row>
    <row r="34516">
      <c r="B34516" s="36"/>
      <c r="C34516" s="36"/>
      <c r="E34516" s="1"/>
      <c r="F34516" s="1"/>
      <c r="G34516" s="1"/>
    </row>
    <row r="34517">
      <c r="B34517" s="36"/>
      <c r="C34517" s="36"/>
      <c r="E34517" s="1"/>
      <c r="F34517" s="1"/>
      <c r="G34517" s="1"/>
    </row>
    <row r="34518">
      <c r="B34518" s="36"/>
      <c r="C34518" s="36"/>
      <c r="E34518" s="1"/>
      <c r="F34518" s="1"/>
      <c r="G34518" s="1"/>
    </row>
    <row r="34519">
      <c r="B34519" s="36"/>
      <c r="C34519" s="36"/>
      <c r="E34519" s="1"/>
      <c r="F34519" s="1"/>
      <c r="G34519" s="1"/>
    </row>
    <row r="34520">
      <c r="B34520" s="36"/>
      <c r="C34520" s="36"/>
      <c r="E34520" s="1"/>
      <c r="F34520" s="1"/>
      <c r="G34520" s="1"/>
    </row>
    <row r="34521">
      <c r="B34521" s="36"/>
      <c r="C34521" s="36"/>
      <c r="E34521" s="1"/>
      <c r="F34521" s="1"/>
      <c r="G34521" s="1"/>
    </row>
    <row r="34522">
      <c r="B34522" s="36"/>
      <c r="C34522" s="36"/>
      <c r="E34522" s="1"/>
      <c r="F34522" s="1"/>
      <c r="G34522" s="1"/>
    </row>
    <row r="34523">
      <c r="B34523" s="36"/>
      <c r="C34523" s="36"/>
      <c r="E34523" s="1"/>
      <c r="F34523" s="1"/>
      <c r="G34523" s="1"/>
    </row>
    <row r="34524">
      <c r="B34524" s="36"/>
      <c r="C34524" s="36"/>
      <c r="E34524" s="1"/>
      <c r="F34524" s="1"/>
      <c r="G34524" s="1"/>
    </row>
    <row r="34525">
      <c r="B34525" s="36"/>
      <c r="C34525" s="36"/>
      <c r="E34525" s="1"/>
      <c r="F34525" s="1"/>
      <c r="G34525" s="1"/>
    </row>
    <row r="34526">
      <c r="B34526" s="36"/>
      <c r="C34526" s="36"/>
      <c r="E34526" s="1"/>
      <c r="F34526" s="1"/>
      <c r="G34526" s="1"/>
    </row>
    <row r="34527">
      <c r="B34527" s="36"/>
      <c r="C34527" s="36"/>
      <c r="E34527" s="1"/>
      <c r="F34527" s="1"/>
      <c r="G34527" s="1"/>
    </row>
    <row r="34528">
      <c r="B34528" s="36"/>
      <c r="C34528" s="36"/>
      <c r="E34528" s="1"/>
      <c r="F34528" s="1"/>
      <c r="G34528" s="1"/>
    </row>
    <row r="34529">
      <c r="B34529" s="36"/>
      <c r="C34529" s="36"/>
      <c r="E34529" s="1"/>
      <c r="F34529" s="1"/>
      <c r="G34529" s="1"/>
    </row>
    <row r="34530">
      <c r="B34530" s="36"/>
      <c r="C34530" s="36"/>
      <c r="E34530" s="1"/>
      <c r="F34530" s="1"/>
      <c r="G34530" s="1"/>
    </row>
    <row r="34531">
      <c r="B34531" s="36"/>
      <c r="C34531" s="36"/>
      <c r="E34531" s="1"/>
      <c r="F34531" s="1"/>
      <c r="G34531" s="1"/>
    </row>
    <row r="34532">
      <c r="B34532" s="36"/>
      <c r="C34532" s="36"/>
      <c r="E34532" s="1"/>
      <c r="F34532" s="1"/>
      <c r="G34532" s="1"/>
    </row>
    <row r="34533">
      <c r="B34533" s="36"/>
      <c r="C34533" s="36"/>
      <c r="E34533" s="1"/>
      <c r="F34533" s="1"/>
      <c r="G34533" s="1"/>
    </row>
    <row r="34534">
      <c r="B34534" s="36"/>
      <c r="C34534" s="36"/>
      <c r="E34534" s="1"/>
      <c r="F34534" s="1"/>
      <c r="G34534" s="1"/>
    </row>
    <row r="34535">
      <c r="B34535" s="36"/>
      <c r="C34535" s="36"/>
      <c r="E34535" s="1"/>
      <c r="F34535" s="1"/>
      <c r="G34535" s="1"/>
    </row>
    <row r="34536">
      <c r="B34536" s="36"/>
      <c r="C34536" s="36"/>
      <c r="E34536" s="1"/>
      <c r="F34536" s="1"/>
      <c r="G34536" s="1"/>
    </row>
    <row r="34537">
      <c r="B34537" s="36"/>
      <c r="C34537" s="36"/>
      <c r="E34537" s="1"/>
      <c r="F34537" s="1"/>
      <c r="G34537" s="1"/>
    </row>
    <row r="34538">
      <c r="B34538" s="36"/>
      <c r="C34538" s="36"/>
      <c r="E34538" s="1"/>
      <c r="F34538" s="1"/>
      <c r="G34538" s="1"/>
    </row>
    <row r="34539">
      <c r="B34539" s="36"/>
      <c r="C34539" s="36"/>
      <c r="E34539" s="1"/>
      <c r="F34539" s="1"/>
      <c r="G34539" s="1"/>
    </row>
    <row r="34540">
      <c r="B34540" s="36"/>
      <c r="C34540" s="36"/>
      <c r="E34540" s="1"/>
      <c r="F34540" s="1"/>
      <c r="G34540" s="1"/>
    </row>
    <row r="34541">
      <c r="B34541" s="36"/>
      <c r="C34541" s="36"/>
      <c r="E34541" s="1"/>
      <c r="F34541" s="1"/>
      <c r="G34541" s="1"/>
    </row>
    <row r="34542">
      <c r="B34542" s="36"/>
      <c r="C34542" s="36"/>
      <c r="E34542" s="1"/>
      <c r="F34542" s="1"/>
      <c r="G34542" s="1"/>
    </row>
    <row r="34543">
      <c r="B34543" s="36"/>
      <c r="C34543" s="36"/>
      <c r="E34543" s="1"/>
      <c r="F34543" s="1"/>
      <c r="G34543" s="1"/>
    </row>
    <row r="34544">
      <c r="B34544" s="36"/>
      <c r="C34544" s="36"/>
      <c r="E34544" s="1"/>
      <c r="F34544" s="1"/>
      <c r="G34544" s="1"/>
    </row>
    <row r="34545">
      <c r="B34545" s="36"/>
      <c r="C34545" s="36"/>
      <c r="E34545" s="1"/>
      <c r="F34545" s="1"/>
      <c r="G34545" s="1"/>
    </row>
    <row r="34546">
      <c r="B34546" s="36"/>
      <c r="C34546" s="36"/>
      <c r="E34546" s="1"/>
      <c r="F34546" s="1"/>
      <c r="G34546" s="1"/>
    </row>
    <row r="34547">
      <c r="B34547" s="36"/>
      <c r="C34547" s="36"/>
      <c r="E34547" s="1"/>
      <c r="F34547" s="1"/>
      <c r="G34547" s="1"/>
    </row>
    <row r="34548">
      <c r="B34548" s="36"/>
      <c r="C34548" s="36"/>
      <c r="E34548" s="1"/>
      <c r="F34548" s="1"/>
      <c r="G34548" s="1"/>
    </row>
    <row r="34549">
      <c r="B34549" s="36"/>
      <c r="C34549" s="36"/>
      <c r="E34549" s="1"/>
      <c r="F34549" s="1"/>
      <c r="G34549" s="1"/>
    </row>
    <row r="34550">
      <c r="B34550" s="36"/>
      <c r="C34550" s="36"/>
      <c r="E34550" s="1"/>
      <c r="F34550" s="1"/>
      <c r="G34550" s="1"/>
    </row>
    <row r="34551">
      <c r="B34551" s="36"/>
      <c r="C34551" s="36"/>
      <c r="E34551" s="1"/>
      <c r="F34551" s="1"/>
      <c r="G34551" s="1"/>
    </row>
    <row r="34552">
      <c r="B34552" s="36"/>
      <c r="C34552" s="36"/>
      <c r="E34552" s="1"/>
      <c r="F34552" s="1"/>
      <c r="G34552" s="1"/>
    </row>
    <row r="34553">
      <c r="B34553" s="36"/>
      <c r="C34553" s="36"/>
      <c r="E34553" s="1"/>
      <c r="F34553" s="1"/>
      <c r="G34553" s="1"/>
    </row>
    <row r="34554">
      <c r="B34554" s="36"/>
      <c r="C34554" s="36"/>
      <c r="E34554" s="1"/>
      <c r="F34554" s="1"/>
      <c r="G34554" s="1"/>
    </row>
    <row r="34555">
      <c r="B34555" s="36"/>
      <c r="C34555" s="36"/>
      <c r="E34555" s="1"/>
      <c r="F34555" s="1"/>
      <c r="G34555" s="1"/>
    </row>
    <row r="34556">
      <c r="B34556" s="36"/>
      <c r="C34556" s="36"/>
      <c r="E34556" s="1"/>
      <c r="F34556" s="1"/>
      <c r="G34556" s="1"/>
    </row>
    <row r="34557">
      <c r="B34557" s="36"/>
      <c r="C34557" s="36"/>
      <c r="E34557" s="1"/>
      <c r="F34557" s="1"/>
      <c r="G34557" s="1"/>
    </row>
    <row r="34558">
      <c r="B34558" s="36"/>
      <c r="C34558" s="36"/>
      <c r="E34558" s="1"/>
      <c r="F34558" s="1"/>
      <c r="G34558" s="1"/>
    </row>
    <row r="34559">
      <c r="B34559" s="36"/>
      <c r="C34559" s="36"/>
      <c r="E34559" s="1"/>
      <c r="F34559" s="1"/>
      <c r="G34559" s="1"/>
    </row>
    <row r="34560">
      <c r="B34560" s="36"/>
      <c r="C34560" s="36"/>
      <c r="E34560" s="1"/>
      <c r="F34560" s="1"/>
      <c r="G34560" s="1"/>
    </row>
    <row r="34561">
      <c r="B34561" s="36"/>
      <c r="C34561" s="36"/>
      <c r="E34561" s="1"/>
      <c r="F34561" s="1"/>
      <c r="G34561" s="1"/>
    </row>
    <row r="34562">
      <c r="B34562" s="36"/>
      <c r="C34562" s="36"/>
      <c r="E34562" s="1"/>
      <c r="F34562" s="1"/>
      <c r="G34562" s="1"/>
    </row>
    <row r="34563">
      <c r="B34563" s="36"/>
      <c r="C34563" s="36"/>
      <c r="E34563" s="1"/>
      <c r="F34563" s="1"/>
      <c r="G34563" s="1"/>
    </row>
    <row r="34564">
      <c r="B34564" s="36"/>
      <c r="C34564" s="36"/>
      <c r="E34564" s="1"/>
      <c r="F34564" s="1"/>
      <c r="G34564" s="1"/>
    </row>
    <row r="34565">
      <c r="B34565" s="36"/>
      <c r="C34565" s="36"/>
      <c r="E34565" s="1"/>
      <c r="F34565" s="1"/>
      <c r="G34565" s="1"/>
    </row>
    <row r="34566">
      <c r="B34566" s="36"/>
      <c r="C34566" s="36"/>
      <c r="E34566" s="1"/>
      <c r="F34566" s="1"/>
      <c r="G34566" s="1"/>
    </row>
    <row r="34567">
      <c r="B34567" s="36"/>
      <c r="C34567" s="36"/>
      <c r="E34567" s="1"/>
      <c r="F34567" s="1"/>
      <c r="G34567" s="1"/>
    </row>
    <row r="34568">
      <c r="B34568" s="36"/>
      <c r="C34568" s="36"/>
      <c r="E34568" s="1"/>
      <c r="F34568" s="1"/>
      <c r="G34568" s="1"/>
    </row>
    <row r="34569">
      <c r="B34569" s="36"/>
      <c r="C34569" s="36"/>
      <c r="E34569" s="1"/>
      <c r="F34569" s="1"/>
      <c r="G34569" s="1"/>
    </row>
    <row r="34570">
      <c r="B34570" s="36"/>
      <c r="C34570" s="36"/>
      <c r="E34570" s="1"/>
      <c r="F34570" s="1"/>
      <c r="G34570" s="1"/>
    </row>
    <row r="34571">
      <c r="B34571" s="36"/>
      <c r="C34571" s="36"/>
      <c r="E34571" s="1"/>
      <c r="F34571" s="1"/>
      <c r="G34571" s="1"/>
    </row>
    <row r="34572">
      <c r="B34572" s="36"/>
      <c r="C34572" s="36"/>
      <c r="E34572" s="1"/>
      <c r="F34572" s="1"/>
      <c r="G34572" s="1"/>
    </row>
    <row r="34573">
      <c r="B34573" s="36"/>
      <c r="C34573" s="36"/>
      <c r="E34573" s="1"/>
      <c r="F34573" s="1"/>
      <c r="G34573" s="1"/>
    </row>
    <row r="34574">
      <c r="B34574" s="36"/>
      <c r="C34574" s="36"/>
      <c r="E34574" s="1"/>
      <c r="F34574" s="1"/>
      <c r="G34574" s="1"/>
    </row>
    <row r="34575">
      <c r="B34575" s="36"/>
      <c r="C34575" s="36"/>
      <c r="E34575" s="1"/>
      <c r="F34575" s="1"/>
      <c r="G34575" s="1"/>
    </row>
    <row r="34576">
      <c r="B34576" s="36"/>
      <c r="C34576" s="36"/>
      <c r="E34576" s="1"/>
      <c r="F34576" s="1"/>
      <c r="G34576" s="1"/>
    </row>
    <row r="34577">
      <c r="B34577" s="36"/>
      <c r="C34577" s="36"/>
      <c r="E34577" s="1"/>
      <c r="F34577" s="1"/>
      <c r="G34577" s="1"/>
    </row>
    <row r="34578">
      <c r="B34578" s="36"/>
      <c r="C34578" s="36"/>
      <c r="E34578" s="1"/>
      <c r="F34578" s="1"/>
      <c r="G34578" s="1"/>
    </row>
    <row r="34579">
      <c r="B34579" s="36"/>
      <c r="C34579" s="36"/>
      <c r="E34579" s="1"/>
      <c r="F34579" s="1"/>
      <c r="G34579" s="1"/>
    </row>
    <row r="34580">
      <c r="B34580" s="36"/>
      <c r="C34580" s="36"/>
      <c r="E34580" s="1"/>
      <c r="F34580" s="1"/>
      <c r="G34580" s="1"/>
    </row>
    <row r="34581">
      <c r="B34581" s="36"/>
      <c r="C34581" s="36"/>
      <c r="E34581" s="1"/>
      <c r="F34581" s="1"/>
      <c r="G34581" s="1"/>
    </row>
    <row r="34582">
      <c r="B34582" s="36"/>
      <c r="C34582" s="36"/>
      <c r="E34582" s="1"/>
      <c r="F34582" s="1"/>
      <c r="G34582" s="1"/>
    </row>
    <row r="34583">
      <c r="B34583" s="36"/>
      <c r="C34583" s="36"/>
      <c r="E34583" s="1"/>
      <c r="F34583" s="1"/>
      <c r="G34583" s="1"/>
    </row>
    <row r="34584">
      <c r="B34584" s="36"/>
      <c r="C34584" s="36"/>
      <c r="E34584" s="1"/>
      <c r="F34584" s="1"/>
      <c r="G34584" s="1"/>
    </row>
    <row r="34585">
      <c r="B34585" s="36"/>
      <c r="C34585" s="36"/>
      <c r="E34585" s="1"/>
      <c r="F34585" s="1"/>
      <c r="G34585" s="1"/>
    </row>
    <row r="34586">
      <c r="B34586" s="36"/>
      <c r="C34586" s="36"/>
      <c r="E34586" s="1"/>
      <c r="F34586" s="1"/>
      <c r="G34586" s="1"/>
    </row>
    <row r="34587">
      <c r="B34587" s="36"/>
      <c r="C34587" s="36"/>
      <c r="E34587" s="1"/>
      <c r="F34587" s="1"/>
      <c r="G34587" s="1"/>
    </row>
    <row r="34588">
      <c r="B34588" s="36"/>
      <c r="C34588" s="36"/>
      <c r="E34588" s="1"/>
      <c r="F34588" s="1"/>
      <c r="G34588" s="1"/>
    </row>
    <row r="34589">
      <c r="B34589" s="36"/>
      <c r="C34589" s="36"/>
      <c r="E34589" s="1"/>
      <c r="F34589" s="1"/>
      <c r="G34589" s="1"/>
    </row>
    <row r="34590">
      <c r="B34590" s="36"/>
      <c r="C34590" s="36"/>
      <c r="E34590" s="1"/>
      <c r="F34590" s="1"/>
      <c r="G34590" s="1"/>
    </row>
    <row r="34591">
      <c r="B34591" s="36"/>
      <c r="C34591" s="36"/>
      <c r="E34591" s="1"/>
      <c r="F34591" s="1"/>
      <c r="G34591" s="1"/>
    </row>
    <row r="34592">
      <c r="B34592" s="36"/>
      <c r="C34592" s="36"/>
      <c r="E34592" s="1"/>
      <c r="F34592" s="1"/>
      <c r="G34592" s="1"/>
    </row>
    <row r="34593">
      <c r="B34593" s="36"/>
      <c r="C34593" s="36"/>
      <c r="E34593" s="1"/>
      <c r="F34593" s="1"/>
      <c r="G34593" s="1"/>
    </row>
    <row r="34594">
      <c r="B34594" s="36"/>
      <c r="C34594" s="36"/>
      <c r="E34594" s="1"/>
      <c r="F34594" s="1"/>
      <c r="G34594" s="1"/>
    </row>
    <row r="34595">
      <c r="B34595" s="36"/>
      <c r="C34595" s="36"/>
      <c r="E34595" s="1"/>
      <c r="F34595" s="1"/>
      <c r="G34595" s="1"/>
    </row>
    <row r="34596">
      <c r="B34596" s="36"/>
      <c r="C34596" s="36"/>
      <c r="E34596" s="1"/>
      <c r="F34596" s="1"/>
      <c r="G34596" s="1"/>
    </row>
    <row r="34597">
      <c r="B34597" s="36"/>
      <c r="C34597" s="36"/>
      <c r="E34597" s="1"/>
      <c r="F34597" s="1"/>
      <c r="G34597" s="1"/>
    </row>
    <row r="34598">
      <c r="B34598" s="36"/>
      <c r="C34598" s="36"/>
      <c r="E34598" s="1"/>
      <c r="F34598" s="1"/>
      <c r="G34598" s="1"/>
    </row>
    <row r="34599">
      <c r="B34599" s="36"/>
      <c r="C34599" s="36"/>
      <c r="E34599" s="1"/>
      <c r="F34599" s="1"/>
      <c r="G34599" s="1"/>
    </row>
    <row r="34600">
      <c r="B34600" s="36"/>
      <c r="C34600" s="36"/>
      <c r="E34600" s="1"/>
      <c r="F34600" s="1"/>
      <c r="G34600" s="1"/>
    </row>
    <row r="34601">
      <c r="B34601" s="36"/>
      <c r="C34601" s="36"/>
      <c r="E34601" s="1"/>
      <c r="F34601" s="1"/>
      <c r="G34601" s="1"/>
    </row>
    <row r="34602">
      <c r="B34602" s="36"/>
      <c r="C34602" s="36"/>
      <c r="E34602" s="1"/>
      <c r="F34602" s="1"/>
      <c r="G34602" s="1"/>
    </row>
    <row r="34603">
      <c r="B34603" s="36"/>
      <c r="C34603" s="36"/>
      <c r="E34603" s="1"/>
      <c r="F34603" s="1"/>
      <c r="G34603" s="1"/>
    </row>
    <row r="34604">
      <c r="B34604" s="36"/>
      <c r="C34604" s="36"/>
      <c r="E34604" s="1"/>
      <c r="F34604" s="1"/>
      <c r="G34604" s="1"/>
    </row>
    <row r="34605">
      <c r="B34605" s="36"/>
      <c r="C34605" s="36"/>
      <c r="E34605" s="1"/>
      <c r="F34605" s="1"/>
      <c r="G34605" s="1"/>
    </row>
    <row r="34606">
      <c r="B34606" s="36"/>
      <c r="C34606" s="36"/>
      <c r="E34606" s="1"/>
      <c r="F34606" s="1"/>
      <c r="G34606" s="1"/>
    </row>
    <row r="34607">
      <c r="B34607" s="36"/>
      <c r="C34607" s="36"/>
      <c r="E34607" s="1"/>
      <c r="F34607" s="1"/>
      <c r="G34607" s="1"/>
    </row>
    <row r="34608">
      <c r="B34608" s="36"/>
      <c r="C34608" s="36"/>
      <c r="E34608" s="1"/>
      <c r="F34608" s="1"/>
      <c r="G34608" s="1"/>
    </row>
    <row r="34609">
      <c r="B34609" s="36"/>
      <c r="C34609" s="36"/>
      <c r="E34609" s="1"/>
      <c r="F34609" s="1"/>
      <c r="G34609" s="1"/>
    </row>
    <row r="34610">
      <c r="B34610" s="36"/>
      <c r="C34610" s="36"/>
      <c r="E34610" s="1"/>
      <c r="F34610" s="1"/>
      <c r="G34610" s="1"/>
    </row>
    <row r="34611">
      <c r="B34611" s="36"/>
      <c r="C34611" s="36"/>
      <c r="E34611" s="1"/>
      <c r="F34611" s="1"/>
      <c r="G34611" s="1"/>
    </row>
    <row r="34612">
      <c r="B34612" s="36"/>
      <c r="C34612" s="36"/>
      <c r="E34612" s="1"/>
      <c r="F34612" s="1"/>
      <c r="G34612" s="1"/>
    </row>
    <row r="34613">
      <c r="B34613" s="36"/>
      <c r="C34613" s="36"/>
      <c r="E34613" s="1"/>
      <c r="F34613" s="1"/>
      <c r="G34613" s="1"/>
    </row>
    <row r="34614">
      <c r="B34614" s="36"/>
      <c r="C34614" s="36"/>
      <c r="E34614" s="1"/>
      <c r="F34614" s="1"/>
      <c r="G34614" s="1"/>
    </row>
    <row r="34615">
      <c r="B34615" s="36"/>
      <c r="C34615" s="36"/>
      <c r="E34615" s="1"/>
      <c r="F34615" s="1"/>
      <c r="G34615" s="1"/>
    </row>
    <row r="34616">
      <c r="B34616" s="36"/>
      <c r="C34616" s="36"/>
      <c r="E34616" s="1"/>
      <c r="F34616" s="1"/>
      <c r="G34616" s="1"/>
    </row>
    <row r="34617">
      <c r="B34617" s="36"/>
      <c r="C34617" s="36"/>
      <c r="E34617" s="1"/>
      <c r="F34617" s="1"/>
      <c r="G34617" s="1"/>
    </row>
    <row r="34618">
      <c r="B34618" s="36"/>
      <c r="C34618" s="36"/>
      <c r="E34618" s="1"/>
      <c r="F34618" s="1"/>
      <c r="G34618" s="1"/>
    </row>
    <row r="34619">
      <c r="B34619" s="36"/>
      <c r="C34619" s="36"/>
      <c r="E34619" s="1"/>
      <c r="F34619" s="1"/>
      <c r="G34619" s="1"/>
    </row>
    <row r="34620">
      <c r="B34620" s="36"/>
      <c r="C34620" s="36"/>
      <c r="E34620" s="1"/>
      <c r="F34620" s="1"/>
      <c r="G34620" s="1"/>
    </row>
    <row r="34621">
      <c r="B34621" s="36"/>
      <c r="C34621" s="36"/>
      <c r="E34621" s="1"/>
      <c r="F34621" s="1"/>
      <c r="G34621" s="1"/>
    </row>
    <row r="34622">
      <c r="B34622" s="36"/>
      <c r="C34622" s="36"/>
      <c r="E34622" s="1"/>
      <c r="F34622" s="1"/>
      <c r="G34622" s="1"/>
    </row>
    <row r="34623">
      <c r="B34623" s="36"/>
      <c r="C34623" s="36"/>
      <c r="E34623" s="1"/>
      <c r="F34623" s="1"/>
      <c r="G34623" s="1"/>
    </row>
    <row r="34624">
      <c r="B34624" s="36"/>
      <c r="C34624" s="36"/>
      <c r="E34624" s="1"/>
      <c r="F34624" s="1"/>
      <c r="G34624" s="1"/>
    </row>
    <row r="34625">
      <c r="B34625" s="36"/>
      <c r="C34625" s="36"/>
      <c r="E34625" s="1"/>
      <c r="F34625" s="1"/>
      <c r="G34625" s="1"/>
    </row>
    <row r="34626">
      <c r="B34626" s="36"/>
      <c r="C34626" s="36"/>
      <c r="E34626" s="1"/>
      <c r="F34626" s="1"/>
      <c r="G34626" s="1"/>
    </row>
    <row r="34627">
      <c r="B34627" s="36"/>
      <c r="C34627" s="36"/>
      <c r="E34627" s="1"/>
      <c r="F34627" s="1"/>
      <c r="G34627" s="1"/>
    </row>
    <row r="34628">
      <c r="B34628" s="36"/>
      <c r="C34628" s="36"/>
      <c r="E34628" s="1"/>
      <c r="F34628" s="1"/>
      <c r="G34628" s="1"/>
    </row>
    <row r="34629">
      <c r="B34629" s="36"/>
      <c r="C34629" s="36"/>
      <c r="E34629" s="1"/>
      <c r="F34629" s="1"/>
      <c r="G34629" s="1"/>
    </row>
    <row r="34630">
      <c r="B34630" s="36"/>
      <c r="C34630" s="36"/>
      <c r="E34630" s="1"/>
      <c r="F34630" s="1"/>
      <c r="G34630" s="1"/>
    </row>
    <row r="34631">
      <c r="B34631" s="36"/>
      <c r="C34631" s="36"/>
      <c r="E34631" s="1"/>
      <c r="F34631" s="1"/>
      <c r="G34631" s="1"/>
    </row>
    <row r="34632">
      <c r="B34632" s="36"/>
      <c r="C34632" s="36"/>
      <c r="E34632" s="1"/>
      <c r="F34632" s="1"/>
      <c r="G34632" s="1"/>
    </row>
    <row r="34633">
      <c r="B34633" s="36"/>
      <c r="C34633" s="36"/>
      <c r="E34633" s="1"/>
      <c r="F34633" s="1"/>
      <c r="G34633" s="1"/>
    </row>
    <row r="34634">
      <c r="B34634" s="36"/>
      <c r="C34634" s="36"/>
      <c r="E34634" s="1"/>
      <c r="F34634" s="1"/>
      <c r="G34634" s="1"/>
    </row>
    <row r="34635">
      <c r="B34635" s="36"/>
      <c r="C34635" s="36"/>
      <c r="E34635" s="1"/>
      <c r="F34635" s="1"/>
      <c r="G34635" s="1"/>
    </row>
    <row r="34636">
      <c r="B34636" s="36"/>
      <c r="C34636" s="36"/>
      <c r="E34636" s="1"/>
      <c r="F34636" s="1"/>
      <c r="G34636" s="1"/>
    </row>
    <row r="34637">
      <c r="B34637" s="36"/>
      <c r="C34637" s="36"/>
      <c r="E34637" s="1"/>
      <c r="F34637" s="1"/>
      <c r="G34637" s="1"/>
    </row>
    <row r="34638">
      <c r="B34638" s="36"/>
      <c r="C34638" s="36"/>
      <c r="E34638" s="1"/>
      <c r="F34638" s="1"/>
      <c r="G34638" s="1"/>
    </row>
    <row r="34639">
      <c r="B34639" s="36"/>
      <c r="C34639" s="36"/>
      <c r="E34639" s="1"/>
      <c r="F34639" s="1"/>
      <c r="G34639" s="1"/>
    </row>
    <row r="34640">
      <c r="B34640" s="36"/>
      <c r="C34640" s="36"/>
      <c r="E34640" s="1"/>
      <c r="F34640" s="1"/>
      <c r="G34640" s="1"/>
    </row>
    <row r="34641">
      <c r="B34641" s="36"/>
      <c r="C34641" s="36"/>
      <c r="E34641" s="1"/>
      <c r="F34641" s="1"/>
      <c r="G34641" s="1"/>
    </row>
    <row r="34642">
      <c r="B34642" s="36"/>
      <c r="C34642" s="36"/>
      <c r="E34642" s="1"/>
      <c r="F34642" s="1"/>
      <c r="G34642" s="1"/>
    </row>
    <row r="34643">
      <c r="B34643" s="36"/>
      <c r="C34643" s="36"/>
      <c r="E34643" s="1"/>
      <c r="F34643" s="1"/>
      <c r="G34643" s="1"/>
    </row>
    <row r="34644">
      <c r="B34644" s="36"/>
      <c r="C34644" s="36"/>
      <c r="E34644" s="1"/>
      <c r="F34644" s="1"/>
      <c r="G34644" s="1"/>
    </row>
    <row r="34645">
      <c r="B34645" s="36"/>
      <c r="C34645" s="36"/>
      <c r="E34645" s="1"/>
      <c r="F34645" s="1"/>
      <c r="G34645" s="1"/>
    </row>
    <row r="34646">
      <c r="B34646" s="36"/>
      <c r="C34646" s="36"/>
      <c r="E34646" s="1"/>
      <c r="F34646" s="1"/>
      <c r="G34646" s="1"/>
    </row>
    <row r="34647">
      <c r="B34647" s="36"/>
      <c r="C34647" s="36"/>
      <c r="E34647" s="1"/>
      <c r="F34647" s="1"/>
      <c r="G34647" s="1"/>
    </row>
    <row r="34648">
      <c r="B34648" s="36"/>
      <c r="C34648" s="36"/>
      <c r="E34648" s="1"/>
      <c r="F34648" s="1"/>
      <c r="G34648" s="1"/>
    </row>
    <row r="34649">
      <c r="B34649" s="36"/>
      <c r="C34649" s="36"/>
      <c r="E34649" s="1"/>
      <c r="F34649" s="1"/>
      <c r="G34649" s="1"/>
    </row>
    <row r="34650">
      <c r="B34650" s="36"/>
      <c r="C34650" s="36"/>
      <c r="E34650" s="1"/>
      <c r="F34650" s="1"/>
      <c r="G34650" s="1"/>
    </row>
    <row r="34651">
      <c r="B34651" s="36"/>
      <c r="C34651" s="36"/>
      <c r="E34651" s="1"/>
      <c r="F34651" s="1"/>
      <c r="G34651" s="1"/>
    </row>
    <row r="34652">
      <c r="B34652" s="36"/>
      <c r="C34652" s="36"/>
      <c r="E34652" s="1"/>
      <c r="F34652" s="1"/>
      <c r="G34652" s="1"/>
    </row>
    <row r="34653">
      <c r="B34653" s="36"/>
      <c r="C34653" s="36"/>
      <c r="E34653" s="1"/>
      <c r="F34653" s="1"/>
      <c r="G34653" s="1"/>
    </row>
    <row r="34654">
      <c r="B34654" s="36"/>
      <c r="C34654" s="36"/>
      <c r="E34654" s="1"/>
      <c r="F34654" s="1"/>
      <c r="G34654" s="1"/>
    </row>
    <row r="34655">
      <c r="B34655" s="36"/>
      <c r="C34655" s="36"/>
      <c r="E34655" s="1"/>
      <c r="F34655" s="1"/>
      <c r="G34655" s="1"/>
    </row>
    <row r="34656">
      <c r="B34656" s="36"/>
      <c r="C34656" s="36"/>
      <c r="E34656" s="1"/>
      <c r="F34656" s="1"/>
      <c r="G34656" s="1"/>
    </row>
    <row r="34657">
      <c r="B34657" s="36"/>
      <c r="C34657" s="36"/>
      <c r="E34657" s="1"/>
      <c r="F34657" s="1"/>
      <c r="G34657" s="1"/>
    </row>
    <row r="34658">
      <c r="B34658" s="36"/>
      <c r="C34658" s="36"/>
      <c r="E34658" s="1"/>
      <c r="F34658" s="1"/>
      <c r="G34658" s="1"/>
    </row>
    <row r="34659">
      <c r="B34659" s="36"/>
      <c r="C34659" s="36"/>
      <c r="E34659" s="1"/>
      <c r="F34659" s="1"/>
      <c r="G34659" s="1"/>
    </row>
    <row r="34660">
      <c r="B34660" s="36"/>
      <c r="C34660" s="36"/>
      <c r="E34660" s="1"/>
      <c r="F34660" s="1"/>
      <c r="G34660" s="1"/>
    </row>
    <row r="34661">
      <c r="B34661" s="36"/>
      <c r="C34661" s="36"/>
      <c r="E34661" s="1"/>
      <c r="F34661" s="1"/>
      <c r="G34661" s="1"/>
    </row>
    <row r="34662">
      <c r="B34662" s="36"/>
      <c r="C34662" s="36"/>
      <c r="E34662" s="1"/>
      <c r="F34662" s="1"/>
      <c r="G34662" s="1"/>
    </row>
    <row r="34663">
      <c r="B34663" s="36"/>
      <c r="C34663" s="36"/>
      <c r="E34663" s="1"/>
      <c r="F34663" s="1"/>
      <c r="G34663" s="1"/>
    </row>
    <row r="34664">
      <c r="B34664" s="36"/>
      <c r="C34664" s="36"/>
      <c r="E34664" s="1"/>
      <c r="F34664" s="1"/>
      <c r="G34664" s="1"/>
    </row>
    <row r="34665">
      <c r="B34665" s="36"/>
      <c r="C34665" s="36"/>
      <c r="E34665" s="1"/>
      <c r="F34665" s="1"/>
      <c r="G34665" s="1"/>
    </row>
    <row r="34666">
      <c r="B34666" s="36"/>
      <c r="C34666" s="36"/>
      <c r="E34666" s="1"/>
      <c r="F34666" s="1"/>
      <c r="G34666" s="1"/>
    </row>
    <row r="34667">
      <c r="B34667" s="36"/>
      <c r="C34667" s="36"/>
      <c r="E34667" s="1"/>
      <c r="F34667" s="1"/>
      <c r="G34667" s="1"/>
    </row>
    <row r="34668">
      <c r="B34668" s="36"/>
      <c r="C34668" s="36"/>
      <c r="E34668" s="1"/>
      <c r="F34668" s="1"/>
      <c r="G34668" s="1"/>
    </row>
    <row r="34669">
      <c r="B34669" s="36"/>
      <c r="C34669" s="36"/>
      <c r="E34669" s="1"/>
      <c r="F34669" s="1"/>
      <c r="G34669" s="1"/>
    </row>
    <row r="34670">
      <c r="B34670" s="36"/>
      <c r="C34670" s="36"/>
      <c r="E34670" s="1"/>
      <c r="F34670" s="1"/>
      <c r="G34670" s="1"/>
    </row>
    <row r="34671">
      <c r="B34671" s="36"/>
      <c r="C34671" s="36"/>
      <c r="E34671" s="1"/>
      <c r="F34671" s="1"/>
      <c r="G34671" s="1"/>
    </row>
    <row r="34672">
      <c r="B34672" s="36"/>
      <c r="C34672" s="36"/>
      <c r="E34672" s="1"/>
      <c r="F34672" s="1"/>
      <c r="G34672" s="1"/>
    </row>
    <row r="34673">
      <c r="B34673" s="36"/>
      <c r="C34673" s="36"/>
      <c r="E34673" s="1"/>
      <c r="F34673" s="1"/>
      <c r="G34673" s="1"/>
    </row>
    <row r="34674">
      <c r="B34674" s="36"/>
      <c r="C34674" s="36"/>
      <c r="E34674" s="1"/>
      <c r="F34674" s="1"/>
      <c r="G34674" s="1"/>
    </row>
    <row r="34675">
      <c r="B34675" s="36"/>
      <c r="C34675" s="36"/>
      <c r="E34675" s="1"/>
      <c r="F34675" s="1"/>
      <c r="G34675" s="1"/>
    </row>
    <row r="34676">
      <c r="B34676" s="36"/>
      <c r="C34676" s="36"/>
      <c r="E34676" s="1"/>
      <c r="F34676" s="1"/>
      <c r="G34676" s="1"/>
    </row>
    <row r="34677">
      <c r="B34677" s="36"/>
      <c r="C34677" s="36"/>
      <c r="E34677" s="1"/>
      <c r="F34677" s="1"/>
      <c r="G34677" s="1"/>
    </row>
    <row r="34678">
      <c r="B34678" s="36"/>
      <c r="C34678" s="36"/>
      <c r="E34678" s="1"/>
      <c r="F34678" s="1"/>
      <c r="G34678" s="1"/>
    </row>
    <row r="34679">
      <c r="B34679" s="36"/>
      <c r="C34679" s="36"/>
      <c r="E34679" s="1"/>
      <c r="F34679" s="1"/>
      <c r="G34679" s="1"/>
    </row>
    <row r="34680">
      <c r="B34680" s="36"/>
      <c r="C34680" s="36"/>
      <c r="E34680" s="1"/>
      <c r="F34680" s="1"/>
      <c r="G34680" s="1"/>
    </row>
    <row r="34681">
      <c r="B34681" s="36"/>
      <c r="C34681" s="36"/>
      <c r="E34681" s="1"/>
      <c r="F34681" s="1"/>
      <c r="G34681" s="1"/>
    </row>
    <row r="34682">
      <c r="B34682" s="36"/>
      <c r="C34682" s="36"/>
      <c r="E34682" s="1"/>
      <c r="F34682" s="1"/>
      <c r="G34682" s="1"/>
    </row>
    <row r="34683">
      <c r="B34683" s="36"/>
      <c r="C34683" s="36"/>
      <c r="E34683" s="1"/>
      <c r="F34683" s="1"/>
      <c r="G34683" s="1"/>
    </row>
    <row r="34684">
      <c r="B34684" s="36"/>
      <c r="C34684" s="36"/>
      <c r="E34684" s="1"/>
      <c r="F34684" s="1"/>
      <c r="G34684" s="1"/>
    </row>
    <row r="34685">
      <c r="B34685" s="36"/>
      <c r="C34685" s="36"/>
      <c r="E34685" s="1"/>
      <c r="F34685" s="1"/>
      <c r="G34685" s="1"/>
    </row>
    <row r="34686">
      <c r="B34686" s="36"/>
      <c r="C34686" s="36"/>
      <c r="E34686" s="1"/>
      <c r="F34686" s="1"/>
      <c r="G34686" s="1"/>
    </row>
    <row r="34687">
      <c r="B34687" s="36"/>
      <c r="C34687" s="36"/>
      <c r="E34687" s="1"/>
      <c r="F34687" s="1"/>
      <c r="G34687" s="1"/>
    </row>
    <row r="34688">
      <c r="B34688" s="36"/>
      <c r="C34688" s="36"/>
      <c r="E34688" s="1"/>
      <c r="F34688" s="1"/>
      <c r="G34688" s="1"/>
    </row>
    <row r="34689">
      <c r="B34689" s="36"/>
      <c r="C34689" s="36"/>
      <c r="E34689" s="1"/>
      <c r="F34689" s="1"/>
      <c r="G34689" s="1"/>
    </row>
    <row r="34690">
      <c r="B34690" s="36"/>
      <c r="C34690" s="36"/>
      <c r="E34690" s="1"/>
      <c r="F34690" s="1"/>
      <c r="G34690" s="1"/>
    </row>
    <row r="34691">
      <c r="B34691" s="36"/>
      <c r="C34691" s="36"/>
      <c r="E34691" s="1"/>
      <c r="F34691" s="1"/>
      <c r="G34691" s="1"/>
    </row>
    <row r="34692">
      <c r="B34692" s="36"/>
      <c r="C34692" s="36"/>
      <c r="E34692" s="1"/>
      <c r="F34692" s="1"/>
      <c r="G34692" s="1"/>
    </row>
    <row r="34693">
      <c r="B34693" s="36"/>
      <c r="C34693" s="36"/>
      <c r="E34693" s="1"/>
      <c r="F34693" s="1"/>
      <c r="G34693" s="1"/>
    </row>
    <row r="34694">
      <c r="B34694" s="36"/>
      <c r="C34694" s="36"/>
      <c r="E34694" s="1"/>
      <c r="F34694" s="1"/>
      <c r="G34694" s="1"/>
    </row>
    <row r="34695">
      <c r="B34695" s="36"/>
      <c r="C34695" s="36"/>
      <c r="E34695" s="1"/>
      <c r="F34695" s="1"/>
      <c r="G34695" s="1"/>
    </row>
    <row r="34696">
      <c r="B34696" s="36"/>
      <c r="C34696" s="36"/>
      <c r="E34696" s="1"/>
      <c r="F34696" s="1"/>
      <c r="G34696" s="1"/>
    </row>
    <row r="34697">
      <c r="B34697" s="36"/>
      <c r="C34697" s="36"/>
      <c r="E34697" s="1"/>
      <c r="F34697" s="1"/>
      <c r="G34697" s="1"/>
    </row>
    <row r="34698">
      <c r="B34698" s="36"/>
      <c r="C34698" s="36"/>
      <c r="E34698" s="1"/>
      <c r="F34698" s="1"/>
      <c r="G34698" s="1"/>
    </row>
    <row r="34699">
      <c r="B34699" s="36"/>
      <c r="C34699" s="36"/>
      <c r="E34699" s="1"/>
      <c r="F34699" s="1"/>
      <c r="G34699" s="1"/>
    </row>
    <row r="34700">
      <c r="B34700" s="36"/>
      <c r="C34700" s="36"/>
      <c r="E34700" s="1"/>
      <c r="F34700" s="1"/>
      <c r="G34700" s="1"/>
    </row>
    <row r="34701">
      <c r="B34701" s="36"/>
      <c r="C34701" s="36"/>
      <c r="E34701" s="1"/>
      <c r="F34701" s="1"/>
      <c r="G34701" s="1"/>
    </row>
    <row r="34702">
      <c r="B34702" s="36"/>
      <c r="C34702" s="36"/>
      <c r="E34702" s="1"/>
      <c r="F34702" s="1"/>
      <c r="G34702" s="1"/>
    </row>
    <row r="34703">
      <c r="B34703" s="36"/>
      <c r="C34703" s="36"/>
      <c r="E34703" s="1"/>
      <c r="F34703" s="1"/>
      <c r="G34703" s="1"/>
    </row>
    <row r="34704">
      <c r="B34704" s="36"/>
      <c r="C34704" s="36"/>
      <c r="E34704" s="1"/>
      <c r="F34704" s="1"/>
      <c r="G34704" s="1"/>
    </row>
    <row r="34705">
      <c r="B34705" s="36"/>
      <c r="C34705" s="36"/>
      <c r="E34705" s="1"/>
      <c r="F34705" s="1"/>
      <c r="G34705" s="1"/>
    </row>
    <row r="34706">
      <c r="B34706" s="36"/>
      <c r="C34706" s="36"/>
      <c r="E34706" s="1"/>
      <c r="F34706" s="1"/>
      <c r="G34706" s="1"/>
    </row>
    <row r="34707">
      <c r="B34707" s="36"/>
      <c r="C34707" s="36"/>
      <c r="E34707" s="1"/>
      <c r="F34707" s="1"/>
      <c r="G34707" s="1"/>
    </row>
    <row r="34708">
      <c r="B34708" s="36"/>
      <c r="C34708" s="36"/>
      <c r="E34708" s="1"/>
      <c r="F34708" s="1"/>
      <c r="G34708" s="1"/>
    </row>
    <row r="34709">
      <c r="B34709" s="36"/>
      <c r="C34709" s="36"/>
      <c r="E34709" s="1"/>
      <c r="F34709" s="1"/>
      <c r="G34709" s="1"/>
    </row>
    <row r="34710">
      <c r="B34710" s="36"/>
      <c r="C34710" s="36"/>
      <c r="E34710" s="1"/>
      <c r="F34710" s="1"/>
      <c r="G34710" s="1"/>
    </row>
    <row r="34711">
      <c r="B34711" s="36"/>
      <c r="C34711" s="36"/>
      <c r="E34711" s="1"/>
      <c r="F34711" s="1"/>
      <c r="G34711" s="1"/>
    </row>
    <row r="34712">
      <c r="B34712" s="36"/>
      <c r="C34712" s="36"/>
      <c r="E34712" s="1"/>
      <c r="F34712" s="1"/>
      <c r="G34712" s="1"/>
    </row>
    <row r="34713">
      <c r="B34713" s="36"/>
      <c r="C34713" s="36"/>
      <c r="E34713" s="1"/>
      <c r="F34713" s="1"/>
      <c r="G34713" s="1"/>
    </row>
    <row r="34714">
      <c r="B34714" s="36"/>
      <c r="C34714" s="36"/>
      <c r="E34714" s="1"/>
      <c r="F34714" s="1"/>
      <c r="G34714" s="1"/>
    </row>
    <row r="34715">
      <c r="B34715" s="36"/>
      <c r="C34715" s="36"/>
      <c r="E34715" s="1"/>
      <c r="F34715" s="1"/>
      <c r="G34715" s="1"/>
    </row>
    <row r="34716">
      <c r="B34716" s="36"/>
      <c r="C34716" s="36"/>
      <c r="E34716" s="1"/>
      <c r="F34716" s="1"/>
      <c r="G34716" s="1"/>
    </row>
    <row r="34717">
      <c r="B34717" s="36"/>
      <c r="C34717" s="36"/>
      <c r="E34717" s="1"/>
      <c r="F34717" s="1"/>
      <c r="G34717" s="1"/>
    </row>
    <row r="34718">
      <c r="B34718" s="36"/>
      <c r="C34718" s="36"/>
      <c r="E34718" s="1"/>
      <c r="F34718" s="1"/>
      <c r="G34718" s="1"/>
    </row>
    <row r="34719">
      <c r="B34719" s="36"/>
      <c r="C34719" s="36"/>
      <c r="E34719" s="1"/>
      <c r="F34719" s="1"/>
      <c r="G34719" s="1"/>
    </row>
    <row r="34720">
      <c r="B34720" s="36"/>
      <c r="C34720" s="36"/>
      <c r="E34720" s="1"/>
      <c r="F34720" s="1"/>
      <c r="G34720" s="1"/>
    </row>
    <row r="34721">
      <c r="B34721" s="36"/>
      <c r="C34721" s="36"/>
      <c r="E34721" s="1"/>
      <c r="F34721" s="1"/>
      <c r="G34721" s="1"/>
    </row>
    <row r="34722">
      <c r="B34722" s="36"/>
      <c r="C34722" s="36"/>
      <c r="E34722" s="1"/>
      <c r="F34722" s="1"/>
      <c r="G34722" s="1"/>
    </row>
    <row r="34723">
      <c r="B34723" s="36"/>
      <c r="C34723" s="36"/>
      <c r="E34723" s="1"/>
      <c r="F34723" s="1"/>
      <c r="G34723" s="1"/>
    </row>
    <row r="34724">
      <c r="B34724" s="36"/>
      <c r="C34724" s="36"/>
      <c r="E34724" s="1"/>
      <c r="F34724" s="1"/>
      <c r="G34724" s="1"/>
    </row>
    <row r="34725">
      <c r="B34725" s="36"/>
      <c r="C34725" s="36"/>
      <c r="E34725" s="1"/>
      <c r="F34725" s="1"/>
      <c r="G34725" s="1"/>
    </row>
    <row r="34726">
      <c r="B34726" s="36"/>
      <c r="C34726" s="36"/>
      <c r="E34726" s="1"/>
      <c r="F34726" s="1"/>
      <c r="G34726" s="1"/>
    </row>
    <row r="34727">
      <c r="B34727" s="36"/>
      <c r="C34727" s="36"/>
      <c r="E34727" s="1"/>
      <c r="F34727" s="1"/>
      <c r="G34727" s="1"/>
    </row>
    <row r="34728">
      <c r="B34728" s="36"/>
      <c r="C34728" s="36"/>
      <c r="E34728" s="1"/>
      <c r="F34728" s="1"/>
      <c r="G34728" s="1"/>
    </row>
    <row r="34729">
      <c r="B34729" s="36"/>
      <c r="C34729" s="36"/>
      <c r="E34729" s="1"/>
      <c r="F34729" s="1"/>
      <c r="G34729" s="1"/>
    </row>
    <row r="34730">
      <c r="B34730" s="36"/>
      <c r="C34730" s="36"/>
      <c r="E34730" s="1"/>
      <c r="F34730" s="1"/>
      <c r="G34730" s="1"/>
    </row>
    <row r="34731">
      <c r="B34731" s="36"/>
      <c r="C34731" s="36"/>
      <c r="E34731" s="1"/>
      <c r="F34731" s="1"/>
      <c r="G34731" s="1"/>
    </row>
    <row r="34732">
      <c r="B34732" s="36"/>
      <c r="C34732" s="36"/>
      <c r="E34732" s="1"/>
      <c r="F34732" s="1"/>
      <c r="G34732" s="1"/>
    </row>
    <row r="34733">
      <c r="B34733" s="36"/>
      <c r="C34733" s="36"/>
      <c r="E34733" s="1"/>
      <c r="F34733" s="1"/>
      <c r="G34733" s="1"/>
    </row>
    <row r="34734">
      <c r="B34734" s="36"/>
      <c r="C34734" s="36"/>
      <c r="E34734" s="1"/>
      <c r="F34734" s="1"/>
      <c r="G34734" s="1"/>
    </row>
    <row r="34735">
      <c r="B34735" s="36"/>
      <c r="C34735" s="36"/>
      <c r="E34735" s="1"/>
      <c r="F34735" s="1"/>
      <c r="G34735" s="1"/>
    </row>
    <row r="34736">
      <c r="B34736" s="36"/>
      <c r="C34736" s="36"/>
      <c r="E34736" s="1"/>
      <c r="F34736" s="1"/>
      <c r="G34736" s="1"/>
    </row>
    <row r="34737">
      <c r="B34737" s="36"/>
      <c r="C34737" s="36"/>
      <c r="E34737" s="1"/>
      <c r="F34737" s="1"/>
      <c r="G34737" s="1"/>
    </row>
    <row r="34738">
      <c r="B34738" s="36"/>
      <c r="C34738" s="36"/>
      <c r="E34738" s="1"/>
      <c r="F34738" s="1"/>
      <c r="G34738" s="1"/>
    </row>
    <row r="34739">
      <c r="B34739" s="36"/>
      <c r="C34739" s="36"/>
      <c r="E34739" s="1"/>
      <c r="F34739" s="1"/>
      <c r="G34739" s="1"/>
    </row>
    <row r="34740">
      <c r="B34740" s="36"/>
      <c r="C34740" s="36"/>
      <c r="E34740" s="1"/>
      <c r="F34740" s="1"/>
      <c r="G34740" s="1"/>
    </row>
    <row r="34741">
      <c r="B34741" s="36"/>
      <c r="C34741" s="36"/>
      <c r="E34741" s="1"/>
      <c r="F34741" s="1"/>
      <c r="G34741" s="1"/>
    </row>
    <row r="34742">
      <c r="B34742" s="36"/>
      <c r="C34742" s="36"/>
      <c r="E34742" s="1"/>
      <c r="F34742" s="1"/>
      <c r="G34742" s="1"/>
    </row>
    <row r="34743">
      <c r="B34743" s="36"/>
      <c r="C34743" s="36"/>
      <c r="E34743" s="1"/>
      <c r="F34743" s="1"/>
      <c r="G34743" s="1"/>
    </row>
    <row r="34744">
      <c r="B34744" s="36"/>
      <c r="C34744" s="36"/>
      <c r="E34744" s="1"/>
      <c r="F34744" s="1"/>
      <c r="G34744" s="1"/>
    </row>
    <row r="34745">
      <c r="B34745" s="36"/>
      <c r="C34745" s="36"/>
      <c r="E34745" s="1"/>
      <c r="F34745" s="1"/>
      <c r="G34745" s="1"/>
    </row>
    <row r="34746">
      <c r="B34746" s="36"/>
      <c r="C34746" s="36"/>
      <c r="E34746" s="1"/>
      <c r="F34746" s="1"/>
      <c r="G34746" s="1"/>
    </row>
    <row r="34747">
      <c r="B34747" s="36"/>
      <c r="C34747" s="36"/>
      <c r="E34747" s="1"/>
      <c r="F34747" s="1"/>
      <c r="G34747" s="1"/>
    </row>
    <row r="34748">
      <c r="B34748" s="36"/>
      <c r="C34748" s="36"/>
      <c r="E34748" s="1"/>
      <c r="F34748" s="1"/>
      <c r="G34748" s="1"/>
    </row>
    <row r="34749">
      <c r="B34749" s="36"/>
      <c r="C34749" s="36"/>
      <c r="E34749" s="1"/>
      <c r="F34749" s="1"/>
      <c r="G34749" s="1"/>
    </row>
    <row r="34750">
      <c r="B34750" s="36"/>
      <c r="C34750" s="36"/>
      <c r="E34750" s="1"/>
      <c r="F34750" s="1"/>
      <c r="G34750" s="1"/>
    </row>
    <row r="34751">
      <c r="B34751" s="36"/>
      <c r="C34751" s="36"/>
      <c r="E34751" s="1"/>
      <c r="F34751" s="1"/>
      <c r="G34751" s="1"/>
    </row>
    <row r="34752">
      <c r="B34752" s="36"/>
      <c r="C34752" s="36"/>
      <c r="E34752" s="1"/>
      <c r="F34752" s="1"/>
      <c r="G34752" s="1"/>
    </row>
    <row r="34753">
      <c r="B34753" s="36"/>
      <c r="C34753" s="36"/>
      <c r="E34753" s="1"/>
      <c r="F34753" s="1"/>
      <c r="G34753" s="1"/>
    </row>
    <row r="34754">
      <c r="B34754" s="36"/>
      <c r="C34754" s="36"/>
      <c r="E34754" s="1"/>
      <c r="F34754" s="1"/>
      <c r="G34754" s="1"/>
    </row>
    <row r="34755">
      <c r="B34755" s="36"/>
      <c r="C34755" s="36"/>
      <c r="E34755" s="1"/>
      <c r="F34755" s="1"/>
      <c r="G34755" s="1"/>
    </row>
    <row r="34756">
      <c r="B34756" s="36"/>
      <c r="C34756" s="36"/>
      <c r="E34756" s="1"/>
      <c r="F34756" s="1"/>
      <c r="G34756" s="1"/>
    </row>
    <row r="34757">
      <c r="B34757" s="36"/>
      <c r="C34757" s="36"/>
      <c r="E34757" s="1"/>
      <c r="F34757" s="1"/>
      <c r="G34757" s="1"/>
    </row>
    <row r="34758">
      <c r="B34758" s="36"/>
      <c r="C34758" s="36"/>
      <c r="E34758" s="1"/>
      <c r="F34758" s="1"/>
      <c r="G34758" s="1"/>
    </row>
    <row r="34759">
      <c r="B34759" s="36"/>
      <c r="C34759" s="36"/>
      <c r="E34759" s="1"/>
      <c r="F34759" s="1"/>
      <c r="G34759" s="1"/>
    </row>
    <row r="34760">
      <c r="B34760" s="36"/>
      <c r="C34760" s="36"/>
      <c r="E34760" s="1"/>
      <c r="F34760" s="1"/>
      <c r="G34760" s="1"/>
    </row>
    <row r="34761">
      <c r="B34761" s="36"/>
      <c r="C34761" s="36"/>
      <c r="E34761" s="1"/>
      <c r="F34761" s="1"/>
      <c r="G34761" s="1"/>
    </row>
    <row r="34762">
      <c r="B34762" s="36"/>
      <c r="C34762" s="36"/>
      <c r="E34762" s="1"/>
      <c r="F34762" s="1"/>
      <c r="G34762" s="1"/>
    </row>
    <row r="34763">
      <c r="B34763" s="36"/>
      <c r="C34763" s="36"/>
      <c r="E34763" s="1"/>
      <c r="F34763" s="1"/>
      <c r="G34763" s="1"/>
    </row>
    <row r="34764">
      <c r="B34764" s="36"/>
      <c r="C34764" s="36"/>
      <c r="E34764" s="1"/>
      <c r="F34764" s="1"/>
      <c r="G34764" s="1"/>
    </row>
    <row r="34765">
      <c r="B34765" s="36"/>
      <c r="C34765" s="36"/>
      <c r="E34765" s="1"/>
      <c r="F34765" s="1"/>
      <c r="G34765" s="1"/>
    </row>
    <row r="34766">
      <c r="B34766" s="36"/>
      <c r="C34766" s="36"/>
      <c r="E34766" s="1"/>
      <c r="F34766" s="1"/>
      <c r="G34766" s="1"/>
    </row>
    <row r="34767">
      <c r="B34767" s="36"/>
      <c r="C34767" s="36"/>
      <c r="E34767" s="1"/>
      <c r="F34767" s="1"/>
      <c r="G34767" s="1"/>
    </row>
    <row r="34768">
      <c r="B34768" s="36"/>
      <c r="C34768" s="36"/>
      <c r="E34768" s="1"/>
      <c r="F34768" s="1"/>
      <c r="G34768" s="1"/>
    </row>
    <row r="34769">
      <c r="B34769" s="36"/>
      <c r="C34769" s="36"/>
      <c r="E34769" s="1"/>
      <c r="F34769" s="1"/>
      <c r="G34769" s="1"/>
    </row>
    <row r="34770">
      <c r="B34770" s="36"/>
      <c r="C34770" s="36"/>
      <c r="E34770" s="1"/>
      <c r="F34770" s="1"/>
      <c r="G34770" s="1"/>
    </row>
    <row r="34771">
      <c r="B34771" s="36"/>
      <c r="C34771" s="36"/>
      <c r="E34771" s="1"/>
      <c r="F34771" s="1"/>
      <c r="G34771" s="1"/>
    </row>
    <row r="34772">
      <c r="B34772" s="36"/>
      <c r="C34772" s="36"/>
      <c r="E34772" s="1"/>
      <c r="F34772" s="1"/>
      <c r="G34772" s="1"/>
    </row>
    <row r="34773">
      <c r="B34773" s="36"/>
      <c r="C34773" s="36"/>
      <c r="E34773" s="1"/>
      <c r="F34773" s="1"/>
      <c r="G34773" s="1"/>
    </row>
    <row r="34774">
      <c r="B34774" s="36"/>
      <c r="C34774" s="36"/>
      <c r="E34774" s="1"/>
      <c r="F34774" s="1"/>
      <c r="G34774" s="1"/>
    </row>
    <row r="34775">
      <c r="B34775" s="36"/>
      <c r="C34775" s="36"/>
      <c r="E34775" s="1"/>
      <c r="F34775" s="1"/>
      <c r="G34775" s="1"/>
    </row>
    <row r="34776">
      <c r="B34776" s="36"/>
      <c r="C34776" s="36"/>
      <c r="E34776" s="1"/>
      <c r="F34776" s="1"/>
      <c r="G34776" s="1"/>
    </row>
    <row r="34777">
      <c r="B34777" s="36"/>
      <c r="C34777" s="36"/>
      <c r="E34777" s="1"/>
      <c r="F34777" s="1"/>
      <c r="G34777" s="1"/>
    </row>
    <row r="34778">
      <c r="B34778" s="36"/>
      <c r="C34778" s="36"/>
      <c r="E34778" s="1"/>
      <c r="F34778" s="1"/>
      <c r="G34778" s="1"/>
    </row>
    <row r="34779">
      <c r="B34779" s="36"/>
      <c r="C34779" s="36"/>
      <c r="E34779" s="1"/>
      <c r="F34779" s="1"/>
      <c r="G34779" s="1"/>
    </row>
    <row r="34780">
      <c r="B34780" s="36"/>
      <c r="C34780" s="36"/>
      <c r="E34780" s="1"/>
      <c r="F34780" s="1"/>
      <c r="G34780" s="1"/>
    </row>
    <row r="34781">
      <c r="B34781" s="36"/>
      <c r="C34781" s="36"/>
      <c r="E34781" s="1"/>
      <c r="F34781" s="1"/>
      <c r="G34781" s="1"/>
    </row>
    <row r="34782">
      <c r="B34782" s="36"/>
      <c r="C34782" s="36"/>
      <c r="E34782" s="1"/>
      <c r="F34782" s="1"/>
      <c r="G34782" s="1"/>
    </row>
    <row r="34783">
      <c r="B34783" s="36"/>
      <c r="C34783" s="36"/>
      <c r="E34783" s="1"/>
      <c r="F34783" s="1"/>
      <c r="G34783" s="1"/>
    </row>
    <row r="34784">
      <c r="B34784" s="36"/>
      <c r="C34784" s="36"/>
      <c r="E34784" s="1"/>
      <c r="F34784" s="1"/>
      <c r="G34784" s="1"/>
    </row>
    <row r="34785">
      <c r="B34785" s="36"/>
      <c r="C34785" s="36"/>
      <c r="E34785" s="1"/>
      <c r="F34785" s="1"/>
      <c r="G34785" s="1"/>
    </row>
    <row r="34786">
      <c r="B34786" s="36"/>
      <c r="C34786" s="36"/>
      <c r="E34786" s="1"/>
      <c r="F34786" s="1"/>
      <c r="G34786" s="1"/>
    </row>
    <row r="34787">
      <c r="B34787" s="36"/>
      <c r="C34787" s="36"/>
      <c r="E34787" s="1"/>
      <c r="F34787" s="1"/>
      <c r="G34787" s="1"/>
    </row>
    <row r="34788">
      <c r="B34788" s="36"/>
      <c r="C34788" s="36"/>
      <c r="E34788" s="1"/>
      <c r="F34788" s="1"/>
      <c r="G34788" s="1"/>
    </row>
    <row r="34789">
      <c r="B34789" s="36"/>
      <c r="C34789" s="36"/>
      <c r="E34789" s="1"/>
      <c r="F34789" s="1"/>
      <c r="G34789" s="1"/>
    </row>
    <row r="34790">
      <c r="B34790" s="36"/>
      <c r="C34790" s="36"/>
      <c r="E34790" s="1"/>
      <c r="F34790" s="1"/>
      <c r="G34790" s="1"/>
    </row>
    <row r="34791">
      <c r="B34791" s="36"/>
      <c r="C34791" s="36"/>
      <c r="E34791" s="1"/>
      <c r="F34791" s="1"/>
      <c r="G34791" s="1"/>
    </row>
    <row r="34792">
      <c r="B34792" s="36"/>
      <c r="C34792" s="36"/>
      <c r="E34792" s="1"/>
      <c r="F34792" s="1"/>
      <c r="G34792" s="1"/>
    </row>
    <row r="34793">
      <c r="B34793" s="36"/>
      <c r="C34793" s="36"/>
      <c r="E34793" s="1"/>
      <c r="F34793" s="1"/>
      <c r="G34793" s="1"/>
    </row>
    <row r="34794">
      <c r="B34794" s="36"/>
      <c r="C34794" s="36"/>
      <c r="E34794" s="1"/>
      <c r="F34794" s="1"/>
      <c r="G34794" s="1"/>
    </row>
    <row r="34795">
      <c r="B34795" s="36"/>
      <c r="C34795" s="36"/>
      <c r="E34795" s="1"/>
      <c r="F34795" s="1"/>
      <c r="G34795" s="1"/>
    </row>
    <row r="34796">
      <c r="B34796" s="36"/>
      <c r="C34796" s="36"/>
      <c r="E34796" s="1"/>
      <c r="F34796" s="1"/>
      <c r="G34796" s="1"/>
    </row>
    <row r="34797">
      <c r="B34797" s="36"/>
      <c r="C34797" s="36"/>
      <c r="E34797" s="1"/>
      <c r="F34797" s="1"/>
      <c r="G34797" s="1"/>
    </row>
    <row r="34798">
      <c r="B34798" s="36"/>
      <c r="C34798" s="36"/>
      <c r="E34798" s="1"/>
      <c r="F34798" s="1"/>
      <c r="G34798" s="1"/>
    </row>
    <row r="34799">
      <c r="B34799" s="36"/>
      <c r="C34799" s="36"/>
      <c r="E34799" s="1"/>
      <c r="F34799" s="1"/>
      <c r="G34799" s="1"/>
    </row>
    <row r="34800">
      <c r="B34800" s="36"/>
      <c r="C34800" s="36"/>
      <c r="E34800" s="1"/>
      <c r="F34800" s="1"/>
      <c r="G34800" s="1"/>
    </row>
    <row r="34801">
      <c r="B34801" s="36"/>
      <c r="C34801" s="36"/>
      <c r="E34801" s="1"/>
      <c r="F34801" s="1"/>
      <c r="G34801" s="1"/>
    </row>
    <row r="34802">
      <c r="B34802" s="36"/>
      <c r="C34802" s="36"/>
      <c r="E34802" s="1"/>
      <c r="F34802" s="1"/>
      <c r="G34802" s="1"/>
    </row>
    <row r="34803">
      <c r="B34803" s="36"/>
      <c r="C34803" s="36"/>
      <c r="E34803" s="1"/>
      <c r="F34803" s="1"/>
      <c r="G34803" s="1"/>
    </row>
    <row r="34804">
      <c r="B34804" s="36"/>
      <c r="C34804" s="36"/>
      <c r="E34804" s="1"/>
      <c r="F34804" s="1"/>
      <c r="G34804" s="1"/>
    </row>
    <row r="34805">
      <c r="B34805" s="36"/>
      <c r="C34805" s="36"/>
      <c r="E34805" s="1"/>
      <c r="F34805" s="1"/>
      <c r="G34805" s="1"/>
    </row>
    <row r="34806">
      <c r="B34806" s="36"/>
      <c r="C34806" s="36"/>
      <c r="E34806" s="1"/>
      <c r="F34806" s="1"/>
      <c r="G34806" s="1"/>
    </row>
    <row r="34807">
      <c r="B34807" s="36"/>
      <c r="C34807" s="36"/>
      <c r="E34807" s="1"/>
      <c r="F34807" s="1"/>
      <c r="G34807" s="1"/>
    </row>
    <row r="34808">
      <c r="B34808" s="36"/>
      <c r="C34808" s="36"/>
      <c r="E34808" s="1"/>
      <c r="F34808" s="1"/>
      <c r="G34808" s="1"/>
    </row>
    <row r="34809">
      <c r="B34809" s="36"/>
      <c r="C34809" s="36"/>
      <c r="E34809" s="1"/>
      <c r="F34809" s="1"/>
      <c r="G34809" s="1"/>
    </row>
    <row r="34810">
      <c r="B34810" s="36"/>
      <c r="C34810" s="36"/>
      <c r="E34810" s="1"/>
      <c r="F34810" s="1"/>
      <c r="G34810" s="1"/>
    </row>
    <row r="34811">
      <c r="B34811" s="36"/>
      <c r="C34811" s="36"/>
      <c r="E34811" s="1"/>
      <c r="F34811" s="1"/>
      <c r="G34811" s="1"/>
    </row>
    <row r="34812">
      <c r="B34812" s="36"/>
      <c r="C34812" s="36"/>
      <c r="E34812" s="1"/>
      <c r="F34812" s="1"/>
      <c r="G34812" s="1"/>
    </row>
    <row r="34813">
      <c r="B34813" s="36"/>
      <c r="C34813" s="36"/>
      <c r="E34813" s="1"/>
      <c r="F34813" s="1"/>
      <c r="G34813" s="1"/>
    </row>
    <row r="34814">
      <c r="B34814" s="36"/>
      <c r="C34814" s="36"/>
      <c r="E34814" s="1"/>
      <c r="F34814" s="1"/>
      <c r="G34814" s="1"/>
    </row>
    <row r="34815">
      <c r="B34815" s="36"/>
      <c r="C34815" s="36"/>
      <c r="E34815" s="1"/>
      <c r="F34815" s="1"/>
      <c r="G34815" s="1"/>
    </row>
    <row r="34816">
      <c r="B34816" s="36"/>
      <c r="C34816" s="36"/>
      <c r="E34816" s="1"/>
      <c r="F34816" s="1"/>
      <c r="G34816" s="1"/>
    </row>
    <row r="34817">
      <c r="B34817" s="36"/>
      <c r="C34817" s="36"/>
      <c r="E34817" s="1"/>
      <c r="F34817" s="1"/>
      <c r="G34817" s="1"/>
    </row>
    <row r="34818">
      <c r="B34818" s="36"/>
      <c r="C34818" s="36"/>
      <c r="E34818" s="1"/>
      <c r="F34818" s="1"/>
      <c r="G34818" s="1"/>
    </row>
    <row r="34819">
      <c r="B34819" s="36"/>
      <c r="C34819" s="36"/>
      <c r="E34819" s="1"/>
      <c r="F34819" s="1"/>
      <c r="G34819" s="1"/>
    </row>
    <row r="34820">
      <c r="B34820" s="36"/>
      <c r="C34820" s="36"/>
      <c r="E34820" s="1"/>
      <c r="F34820" s="1"/>
      <c r="G34820" s="1"/>
    </row>
    <row r="34821">
      <c r="B34821" s="36"/>
      <c r="C34821" s="36"/>
      <c r="E34821" s="1"/>
      <c r="F34821" s="1"/>
      <c r="G34821" s="1"/>
    </row>
    <row r="34822">
      <c r="B34822" s="36"/>
      <c r="C34822" s="36"/>
      <c r="E34822" s="1"/>
      <c r="F34822" s="1"/>
      <c r="G34822" s="1"/>
    </row>
    <row r="34823">
      <c r="B34823" s="36"/>
      <c r="C34823" s="36"/>
      <c r="E34823" s="1"/>
      <c r="F34823" s="1"/>
      <c r="G34823" s="1"/>
    </row>
    <row r="34824">
      <c r="B34824" s="36"/>
      <c r="C34824" s="36"/>
      <c r="E34824" s="1"/>
      <c r="F34824" s="1"/>
      <c r="G34824" s="1"/>
    </row>
    <row r="34825">
      <c r="B34825" s="36"/>
      <c r="C34825" s="36"/>
      <c r="E34825" s="1"/>
      <c r="F34825" s="1"/>
      <c r="G34825" s="1"/>
    </row>
    <row r="34826">
      <c r="B34826" s="36"/>
      <c r="C34826" s="36"/>
      <c r="E34826" s="1"/>
      <c r="F34826" s="1"/>
      <c r="G34826" s="1"/>
    </row>
    <row r="34827">
      <c r="B34827" s="36"/>
      <c r="C34827" s="36"/>
      <c r="E34827" s="1"/>
      <c r="F34827" s="1"/>
      <c r="G34827" s="1"/>
    </row>
    <row r="34828">
      <c r="B34828" s="36"/>
      <c r="C34828" s="36"/>
      <c r="E34828" s="1"/>
      <c r="F34828" s="1"/>
      <c r="G34828" s="1"/>
    </row>
    <row r="34829">
      <c r="B34829" s="36"/>
      <c r="C34829" s="36"/>
      <c r="E34829" s="1"/>
      <c r="F34829" s="1"/>
      <c r="G34829" s="1"/>
    </row>
    <row r="34830">
      <c r="B34830" s="36"/>
      <c r="C34830" s="36"/>
      <c r="E34830" s="1"/>
      <c r="F34830" s="1"/>
      <c r="G34830" s="1"/>
    </row>
    <row r="34831">
      <c r="B34831" s="36"/>
      <c r="C34831" s="36"/>
      <c r="E34831" s="1"/>
      <c r="F34831" s="1"/>
      <c r="G34831" s="1"/>
    </row>
    <row r="34832">
      <c r="B34832" s="36"/>
      <c r="C34832" s="36"/>
      <c r="E34832" s="1"/>
      <c r="F34832" s="1"/>
      <c r="G34832" s="1"/>
    </row>
    <row r="34833">
      <c r="B34833" s="36"/>
      <c r="C34833" s="36"/>
      <c r="E34833" s="1"/>
      <c r="F34833" s="1"/>
      <c r="G34833" s="1"/>
    </row>
    <row r="34834">
      <c r="B34834" s="36"/>
      <c r="C34834" s="36"/>
      <c r="E34834" s="1"/>
      <c r="F34834" s="1"/>
      <c r="G34834" s="1"/>
    </row>
    <row r="34835">
      <c r="B34835" s="36"/>
      <c r="C34835" s="36"/>
      <c r="E34835" s="1"/>
      <c r="F34835" s="1"/>
      <c r="G34835" s="1"/>
    </row>
    <row r="34836">
      <c r="B34836" s="36"/>
      <c r="C34836" s="36"/>
      <c r="E34836" s="1"/>
      <c r="F34836" s="1"/>
      <c r="G34836" s="1"/>
    </row>
    <row r="34837">
      <c r="B34837" s="36"/>
      <c r="C34837" s="36"/>
      <c r="E34837" s="1"/>
      <c r="F34837" s="1"/>
      <c r="G34837" s="1"/>
    </row>
    <row r="34838">
      <c r="B34838" s="36"/>
      <c r="C34838" s="36"/>
      <c r="E34838" s="1"/>
      <c r="F34838" s="1"/>
      <c r="G34838" s="1"/>
    </row>
    <row r="34839">
      <c r="B34839" s="36"/>
      <c r="C34839" s="36"/>
      <c r="E34839" s="1"/>
      <c r="F34839" s="1"/>
      <c r="G34839" s="1"/>
    </row>
    <row r="34840">
      <c r="B34840" s="36"/>
      <c r="C34840" s="36"/>
      <c r="E34840" s="1"/>
      <c r="F34840" s="1"/>
      <c r="G34840" s="1"/>
    </row>
    <row r="34841">
      <c r="B34841" s="36"/>
      <c r="C34841" s="36"/>
      <c r="E34841" s="1"/>
      <c r="F34841" s="1"/>
      <c r="G34841" s="1"/>
    </row>
    <row r="34842">
      <c r="B34842" s="36"/>
      <c r="C34842" s="36"/>
      <c r="E34842" s="1"/>
      <c r="F34842" s="1"/>
      <c r="G34842" s="1"/>
    </row>
    <row r="34843">
      <c r="B34843" s="36"/>
      <c r="C34843" s="36"/>
      <c r="E34843" s="1"/>
      <c r="F34843" s="1"/>
      <c r="G34843" s="1"/>
    </row>
    <row r="34844">
      <c r="B34844" s="36"/>
      <c r="C34844" s="36"/>
      <c r="E34844" s="1"/>
      <c r="F34844" s="1"/>
      <c r="G34844" s="1"/>
    </row>
    <row r="34845">
      <c r="B34845" s="36"/>
      <c r="C34845" s="36"/>
      <c r="E34845" s="1"/>
      <c r="F34845" s="1"/>
      <c r="G34845" s="1"/>
    </row>
    <row r="34846">
      <c r="B34846" s="36"/>
      <c r="C34846" s="36"/>
      <c r="E34846" s="1"/>
      <c r="F34846" s="1"/>
      <c r="G34846" s="1"/>
    </row>
    <row r="34847">
      <c r="B34847" s="36"/>
      <c r="C34847" s="36"/>
      <c r="E34847" s="1"/>
      <c r="F34847" s="1"/>
      <c r="G34847" s="1"/>
    </row>
    <row r="34848">
      <c r="B34848" s="36"/>
      <c r="C34848" s="36"/>
      <c r="E34848" s="1"/>
      <c r="F34848" s="1"/>
      <c r="G34848" s="1"/>
    </row>
    <row r="34849">
      <c r="B34849" s="36"/>
      <c r="C34849" s="36"/>
      <c r="E34849" s="1"/>
      <c r="F34849" s="1"/>
      <c r="G34849" s="1"/>
    </row>
    <row r="34850">
      <c r="B34850" s="36"/>
      <c r="C34850" s="36"/>
      <c r="E34850" s="1"/>
      <c r="F34850" s="1"/>
      <c r="G34850" s="1"/>
    </row>
    <row r="34851">
      <c r="B34851" s="36"/>
      <c r="C34851" s="36"/>
      <c r="E34851" s="1"/>
      <c r="F34851" s="1"/>
      <c r="G34851" s="1"/>
    </row>
    <row r="34852">
      <c r="B34852" s="36"/>
      <c r="C34852" s="36"/>
      <c r="E34852" s="1"/>
      <c r="F34852" s="1"/>
      <c r="G34852" s="1"/>
    </row>
    <row r="34853">
      <c r="B34853" s="36"/>
      <c r="C34853" s="36"/>
      <c r="E34853" s="1"/>
      <c r="F34853" s="1"/>
      <c r="G34853" s="1"/>
    </row>
    <row r="34854">
      <c r="B34854" s="36"/>
      <c r="C34854" s="36"/>
      <c r="E34854" s="1"/>
      <c r="F34854" s="1"/>
      <c r="G34854" s="1"/>
    </row>
    <row r="34855">
      <c r="B34855" s="36"/>
      <c r="C34855" s="36"/>
      <c r="E34855" s="1"/>
      <c r="F34855" s="1"/>
      <c r="G34855" s="1"/>
    </row>
    <row r="34856">
      <c r="B34856" s="36"/>
      <c r="C34856" s="36"/>
      <c r="E34856" s="1"/>
      <c r="F34856" s="1"/>
      <c r="G34856" s="1"/>
    </row>
    <row r="34857">
      <c r="B34857" s="36"/>
      <c r="C34857" s="36"/>
      <c r="E34857" s="1"/>
      <c r="F34857" s="1"/>
      <c r="G34857" s="1"/>
    </row>
    <row r="34858">
      <c r="B34858" s="36"/>
      <c r="C34858" s="36"/>
      <c r="E34858" s="1"/>
      <c r="F34858" s="1"/>
      <c r="G34858" s="1"/>
    </row>
    <row r="34859">
      <c r="B34859" s="36"/>
      <c r="C34859" s="36"/>
      <c r="E34859" s="1"/>
      <c r="F34859" s="1"/>
      <c r="G34859" s="1"/>
    </row>
    <row r="34860">
      <c r="B34860" s="36"/>
      <c r="C34860" s="36"/>
      <c r="E34860" s="1"/>
      <c r="F34860" s="1"/>
      <c r="G34860" s="1"/>
    </row>
    <row r="34861">
      <c r="B34861" s="36"/>
      <c r="C34861" s="36"/>
      <c r="E34861" s="1"/>
      <c r="F34861" s="1"/>
      <c r="G34861" s="1"/>
    </row>
    <row r="34862">
      <c r="B34862" s="36"/>
      <c r="C34862" s="36"/>
      <c r="E34862" s="1"/>
      <c r="F34862" s="1"/>
      <c r="G34862" s="1"/>
    </row>
    <row r="34863">
      <c r="B34863" s="36"/>
      <c r="C34863" s="36"/>
      <c r="E34863" s="1"/>
      <c r="F34863" s="1"/>
      <c r="G34863" s="1"/>
    </row>
    <row r="34864">
      <c r="B34864" s="36"/>
      <c r="C34864" s="36"/>
      <c r="E34864" s="1"/>
      <c r="F34864" s="1"/>
      <c r="G34864" s="1"/>
    </row>
    <row r="34865">
      <c r="B34865" s="36"/>
      <c r="C34865" s="36"/>
      <c r="E34865" s="1"/>
      <c r="F34865" s="1"/>
      <c r="G34865" s="1"/>
    </row>
    <row r="34866">
      <c r="B34866" s="36"/>
      <c r="C34866" s="36"/>
      <c r="E34866" s="1"/>
      <c r="F34866" s="1"/>
      <c r="G34866" s="1"/>
    </row>
    <row r="34867">
      <c r="B34867" s="36"/>
      <c r="C34867" s="36"/>
      <c r="E34867" s="1"/>
      <c r="F34867" s="1"/>
      <c r="G34867" s="1"/>
    </row>
    <row r="34868">
      <c r="B34868" s="36"/>
      <c r="C34868" s="36"/>
      <c r="E34868" s="1"/>
      <c r="F34868" s="1"/>
      <c r="G34868" s="1"/>
    </row>
    <row r="34869">
      <c r="B34869" s="36"/>
      <c r="C34869" s="36"/>
      <c r="E34869" s="1"/>
      <c r="F34869" s="1"/>
      <c r="G34869" s="1"/>
    </row>
    <row r="34870">
      <c r="B34870" s="36"/>
      <c r="C34870" s="36"/>
      <c r="E34870" s="1"/>
      <c r="F34870" s="1"/>
      <c r="G34870" s="1"/>
    </row>
    <row r="34871">
      <c r="B34871" s="36"/>
      <c r="C34871" s="36"/>
      <c r="E34871" s="1"/>
      <c r="F34871" s="1"/>
      <c r="G34871" s="1"/>
    </row>
    <row r="34872">
      <c r="B34872" s="36"/>
      <c r="C34872" s="36"/>
      <c r="E34872" s="1"/>
      <c r="F34872" s="1"/>
      <c r="G34872" s="1"/>
    </row>
    <row r="34873">
      <c r="B34873" s="36"/>
      <c r="C34873" s="36"/>
      <c r="E34873" s="1"/>
      <c r="F34873" s="1"/>
      <c r="G34873" s="1"/>
    </row>
    <row r="34874">
      <c r="B34874" s="36"/>
      <c r="C34874" s="36"/>
      <c r="E34874" s="1"/>
      <c r="F34874" s="1"/>
      <c r="G34874" s="1"/>
    </row>
    <row r="34875">
      <c r="B34875" s="36"/>
      <c r="C34875" s="36"/>
      <c r="E34875" s="1"/>
      <c r="F34875" s="1"/>
      <c r="G34875" s="1"/>
    </row>
    <row r="34876">
      <c r="B34876" s="36"/>
      <c r="C34876" s="36"/>
      <c r="E34876" s="1"/>
      <c r="F34876" s="1"/>
      <c r="G34876" s="1"/>
    </row>
    <row r="34877">
      <c r="B34877" s="36"/>
      <c r="C34877" s="36"/>
      <c r="E34877" s="1"/>
      <c r="F34877" s="1"/>
      <c r="G34877" s="1"/>
    </row>
    <row r="34878">
      <c r="B34878" s="36"/>
      <c r="C34878" s="36"/>
      <c r="E34878" s="1"/>
      <c r="F34878" s="1"/>
      <c r="G34878" s="1"/>
    </row>
    <row r="34879">
      <c r="B34879" s="36"/>
      <c r="C34879" s="36"/>
      <c r="E34879" s="1"/>
      <c r="F34879" s="1"/>
      <c r="G34879" s="1"/>
    </row>
    <row r="34880">
      <c r="B34880" s="36"/>
      <c r="C34880" s="36"/>
      <c r="E34880" s="1"/>
      <c r="F34880" s="1"/>
      <c r="G34880" s="1"/>
    </row>
    <row r="34881">
      <c r="B34881" s="36"/>
      <c r="C34881" s="36"/>
      <c r="E34881" s="1"/>
      <c r="F34881" s="1"/>
      <c r="G34881" s="1"/>
    </row>
    <row r="34882">
      <c r="B34882" s="36"/>
      <c r="C34882" s="36"/>
      <c r="E34882" s="1"/>
      <c r="F34882" s="1"/>
      <c r="G34882" s="1"/>
    </row>
    <row r="34883">
      <c r="B34883" s="36"/>
      <c r="C34883" s="36"/>
      <c r="E34883" s="1"/>
      <c r="F34883" s="1"/>
      <c r="G34883" s="1"/>
    </row>
    <row r="34884">
      <c r="B34884" s="36"/>
      <c r="C34884" s="36"/>
      <c r="E34884" s="1"/>
      <c r="F34884" s="1"/>
      <c r="G34884" s="1"/>
    </row>
    <row r="34885">
      <c r="B34885" s="36"/>
      <c r="C34885" s="36"/>
      <c r="E34885" s="1"/>
      <c r="F34885" s="1"/>
      <c r="G34885" s="1"/>
    </row>
    <row r="34886">
      <c r="B34886" s="36"/>
      <c r="C34886" s="36"/>
      <c r="E34886" s="1"/>
      <c r="F34886" s="1"/>
      <c r="G34886" s="1"/>
    </row>
    <row r="34887">
      <c r="B34887" s="36"/>
      <c r="C34887" s="36"/>
      <c r="E34887" s="1"/>
      <c r="F34887" s="1"/>
      <c r="G34887" s="1"/>
    </row>
    <row r="34888">
      <c r="B34888" s="36"/>
      <c r="C34888" s="36"/>
      <c r="E34888" s="1"/>
      <c r="F34888" s="1"/>
      <c r="G34888" s="1"/>
    </row>
    <row r="34889">
      <c r="B34889" s="36"/>
      <c r="C34889" s="36"/>
      <c r="E34889" s="1"/>
      <c r="F34889" s="1"/>
      <c r="G34889" s="1"/>
    </row>
    <row r="34890">
      <c r="B34890" s="36"/>
      <c r="C34890" s="36"/>
      <c r="E34890" s="1"/>
      <c r="F34890" s="1"/>
      <c r="G34890" s="1"/>
    </row>
    <row r="34891">
      <c r="B34891" s="36"/>
      <c r="C34891" s="36"/>
      <c r="E34891" s="1"/>
      <c r="F34891" s="1"/>
      <c r="G34891" s="1"/>
    </row>
    <row r="34892">
      <c r="B34892" s="36"/>
      <c r="C34892" s="36"/>
      <c r="E34892" s="1"/>
      <c r="F34892" s="1"/>
      <c r="G34892" s="1"/>
    </row>
    <row r="34893">
      <c r="B34893" s="36"/>
      <c r="C34893" s="36"/>
      <c r="E34893" s="1"/>
      <c r="F34893" s="1"/>
      <c r="G34893" s="1"/>
    </row>
    <row r="34894">
      <c r="B34894" s="36"/>
      <c r="C34894" s="36"/>
      <c r="E34894" s="1"/>
      <c r="F34894" s="1"/>
      <c r="G34894" s="1"/>
    </row>
    <row r="34895">
      <c r="B34895" s="36"/>
      <c r="C34895" s="36"/>
      <c r="E34895" s="1"/>
      <c r="F34895" s="1"/>
      <c r="G34895" s="1"/>
    </row>
    <row r="34896">
      <c r="B34896" s="36"/>
      <c r="C34896" s="36"/>
      <c r="E34896" s="1"/>
      <c r="F34896" s="1"/>
      <c r="G34896" s="1"/>
    </row>
    <row r="34897">
      <c r="B34897" s="36"/>
      <c r="C34897" s="36"/>
      <c r="E34897" s="1"/>
      <c r="F34897" s="1"/>
      <c r="G34897" s="1"/>
    </row>
    <row r="34898">
      <c r="B34898" s="36"/>
      <c r="C34898" s="36"/>
      <c r="E34898" s="1"/>
      <c r="F34898" s="1"/>
      <c r="G34898" s="1"/>
    </row>
    <row r="34899">
      <c r="B34899" s="36"/>
      <c r="C34899" s="36"/>
      <c r="E34899" s="1"/>
      <c r="F34899" s="1"/>
      <c r="G34899" s="1"/>
    </row>
    <row r="34900">
      <c r="B34900" s="36"/>
      <c r="C34900" s="36"/>
      <c r="E34900" s="1"/>
      <c r="F34900" s="1"/>
      <c r="G34900" s="1"/>
    </row>
    <row r="34901">
      <c r="B34901" s="36"/>
      <c r="C34901" s="36"/>
      <c r="E34901" s="1"/>
      <c r="F34901" s="1"/>
      <c r="G34901" s="1"/>
    </row>
    <row r="34902">
      <c r="B34902" s="36"/>
      <c r="C34902" s="36"/>
      <c r="E34902" s="1"/>
      <c r="F34902" s="1"/>
      <c r="G34902" s="1"/>
    </row>
    <row r="34903">
      <c r="B34903" s="36"/>
      <c r="C34903" s="36"/>
      <c r="E34903" s="1"/>
      <c r="F34903" s="1"/>
      <c r="G34903" s="1"/>
    </row>
    <row r="34904">
      <c r="B34904" s="36"/>
      <c r="C34904" s="36"/>
      <c r="E34904" s="1"/>
      <c r="F34904" s="1"/>
      <c r="G34904" s="1"/>
    </row>
    <row r="34905">
      <c r="B34905" s="36"/>
      <c r="C34905" s="36"/>
      <c r="E34905" s="1"/>
      <c r="F34905" s="1"/>
      <c r="G34905" s="1"/>
    </row>
    <row r="34906">
      <c r="B34906" s="36"/>
      <c r="C34906" s="36"/>
      <c r="E34906" s="1"/>
      <c r="F34906" s="1"/>
      <c r="G34906" s="1"/>
    </row>
    <row r="34907">
      <c r="B34907" s="36"/>
      <c r="C34907" s="36"/>
      <c r="E34907" s="1"/>
      <c r="F34907" s="1"/>
      <c r="G34907" s="1"/>
    </row>
    <row r="34908">
      <c r="B34908" s="36"/>
      <c r="C34908" s="36"/>
      <c r="E34908" s="1"/>
      <c r="F34908" s="1"/>
      <c r="G34908" s="1"/>
    </row>
    <row r="34909">
      <c r="B34909" s="36"/>
      <c r="C34909" s="36"/>
      <c r="E34909" s="1"/>
      <c r="F34909" s="1"/>
      <c r="G34909" s="1"/>
    </row>
    <row r="34910">
      <c r="B34910" s="36"/>
      <c r="C34910" s="36"/>
      <c r="E34910" s="1"/>
      <c r="F34910" s="1"/>
      <c r="G34910" s="1"/>
    </row>
    <row r="34911">
      <c r="B34911" s="36"/>
      <c r="C34911" s="36"/>
      <c r="E34911" s="1"/>
      <c r="F34911" s="1"/>
      <c r="G34911" s="1"/>
    </row>
    <row r="34912">
      <c r="B34912" s="36"/>
      <c r="C34912" s="36"/>
      <c r="E34912" s="1"/>
      <c r="F34912" s="1"/>
      <c r="G34912" s="1"/>
    </row>
    <row r="34913">
      <c r="B34913" s="36"/>
      <c r="C34913" s="36"/>
      <c r="E34913" s="1"/>
      <c r="F34913" s="1"/>
      <c r="G34913" s="1"/>
    </row>
    <row r="34914">
      <c r="B34914" s="36"/>
      <c r="C34914" s="36"/>
      <c r="E34914" s="1"/>
      <c r="F34914" s="1"/>
      <c r="G34914" s="1"/>
    </row>
    <row r="34915">
      <c r="B34915" s="36"/>
      <c r="C34915" s="36"/>
      <c r="E34915" s="1"/>
      <c r="F34915" s="1"/>
      <c r="G34915" s="1"/>
    </row>
    <row r="34916">
      <c r="B34916" s="36"/>
      <c r="C34916" s="36"/>
      <c r="E34916" s="1"/>
      <c r="F34916" s="1"/>
      <c r="G34916" s="1"/>
    </row>
    <row r="34917">
      <c r="B34917" s="36"/>
      <c r="C34917" s="36"/>
      <c r="E34917" s="1"/>
      <c r="F34917" s="1"/>
      <c r="G34917" s="1"/>
    </row>
    <row r="34918">
      <c r="B34918" s="36"/>
      <c r="C34918" s="36"/>
      <c r="E34918" s="1"/>
      <c r="F34918" s="1"/>
      <c r="G34918" s="1"/>
    </row>
    <row r="34919">
      <c r="B34919" s="36"/>
      <c r="C34919" s="36"/>
      <c r="E34919" s="1"/>
      <c r="F34919" s="1"/>
      <c r="G34919" s="1"/>
    </row>
    <row r="34920">
      <c r="B34920" s="36"/>
      <c r="C34920" s="36"/>
      <c r="E34920" s="1"/>
      <c r="F34920" s="1"/>
      <c r="G34920" s="1"/>
    </row>
    <row r="34921">
      <c r="B34921" s="36"/>
      <c r="C34921" s="36"/>
      <c r="E34921" s="1"/>
      <c r="F34921" s="1"/>
      <c r="G34921" s="1"/>
    </row>
    <row r="34922">
      <c r="B34922" s="36"/>
      <c r="C34922" s="36"/>
      <c r="E34922" s="1"/>
      <c r="F34922" s="1"/>
      <c r="G34922" s="1"/>
    </row>
    <row r="34923">
      <c r="B34923" s="36"/>
      <c r="C34923" s="36"/>
      <c r="E34923" s="1"/>
      <c r="F34923" s="1"/>
      <c r="G34923" s="1"/>
    </row>
    <row r="34924">
      <c r="B34924" s="36"/>
      <c r="C34924" s="36"/>
      <c r="E34924" s="1"/>
      <c r="F34924" s="1"/>
      <c r="G34924" s="1"/>
    </row>
    <row r="34925">
      <c r="B34925" s="36"/>
      <c r="C34925" s="36"/>
      <c r="E34925" s="1"/>
      <c r="F34925" s="1"/>
      <c r="G34925" s="1"/>
    </row>
    <row r="34926">
      <c r="B34926" s="36"/>
      <c r="C34926" s="36"/>
      <c r="E34926" s="1"/>
      <c r="F34926" s="1"/>
      <c r="G34926" s="1"/>
    </row>
    <row r="34927">
      <c r="B34927" s="36"/>
      <c r="C34927" s="36"/>
      <c r="E34927" s="1"/>
      <c r="F34927" s="1"/>
      <c r="G34927" s="1"/>
    </row>
    <row r="34928">
      <c r="B34928" s="36"/>
      <c r="C34928" s="36"/>
      <c r="E34928" s="1"/>
      <c r="F34928" s="1"/>
      <c r="G34928" s="1"/>
    </row>
    <row r="34929">
      <c r="B34929" s="36"/>
      <c r="C34929" s="36"/>
      <c r="E34929" s="1"/>
      <c r="F34929" s="1"/>
      <c r="G34929" s="1"/>
    </row>
    <row r="34930">
      <c r="B34930" s="36"/>
      <c r="C34930" s="36"/>
      <c r="E34930" s="1"/>
      <c r="F34930" s="1"/>
      <c r="G34930" s="1"/>
    </row>
    <row r="34931">
      <c r="B34931" s="36"/>
      <c r="C34931" s="36"/>
      <c r="E34931" s="1"/>
      <c r="F34931" s="1"/>
      <c r="G34931" s="1"/>
    </row>
    <row r="34932">
      <c r="B34932" s="36"/>
      <c r="C34932" s="36"/>
      <c r="E34932" s="1"/>
      <c r="F34932" s="1"/>
      <c r="G34932" s="1"/>
    </row>
    <row r="34933">
      <c r="B34933" s="36"/>
      <c r="C34933" s="36"/>
      <c r="E34933" s="1"/>
      <c r="F34933" s="1"/>
      <c r="G34933" s="1"/>
    </row>
    <row r="34934">
      <c r="B34934" s="36"/>
      <c r="C34934" s="36"/>
      <c r="E34934" s="1"/>
      <c r="F34934" s="1"/>
      <c r="G34934" s="1"/>
    </row>
    <row r="34935">
      <c r="B34935" s="36"/>
      <c r="C34935" s="36"/>
      <c r="E34935" s="1"/>
      <c r="F34935" s="1"/>
      <c r="G34935" s="1"/>
    </row>
    <row r="34936">
      <c r="B34936" s="36"/>
      <c r="C34936" s="36"/>
      <c r="E34936" s="1"/>
      <c r="F34936" s="1"/>
      <c r="G34936" s="1"/>
    </row>
    <row r="34937">
      <c r="B34937" s="36"/>
      <c r="C34937" s="36"/>
      <c r="E34937" s="1"/>
      <c r="F34937" s="1"/>
      <c r="G34937" s="1"/>
    </row>
    <row r="34938">
      <c r="B34938" s="36"/>
      <c r="C34938" s="36"/>
      <c r="E34938" s="1"/>
      <c r="F34938" s="1"/>
      <c r="G34938" s="1"/>
    </row>
    <row r="34939">
      <c r="B34939" s="36"/>
      <c r="C34939" s="36"/>
      <c r="E34939" s="1"/>
      <c r="F34939" s="1"/>
      <c r="G34939" s="1"/>
    </row>
    <row r="34940">
      <c r="B34940" s="36"/>
      <c r="C34940" s="36"/>
      <c r="E34940" s="1"/>
      <c r="F34940" s="1"/>
      <c r="G34940" s="1"/>
    </row>
    <row r="34941">
      <c r="B34941" s="36"/>
      <c r="C34941" s="36"/>
      <c r="E34941" s="1"/>
      <c r="F34941" s="1"/>
      <c r="G34941" s="1"/>
    </row>
    <row r="34942">
      <c r="B34942" s="36"/>
      <c r="C34942" s="36"/>
      <c r="E34942" s="1"/>
      <c r="F34942" s="1"/>
      <c r="G34942" s="1"/>
    </row>
    <row r="34943">
      <c r="B34943" s="36"/>
      <c r="C34943" s="36"/>
      <c r="E34943" s="1"/>
      <c r="F34943" s="1"/>
      <c r="G34943" s="1"/>
    </row>
    <row r="34944">
      <c r="B34944" s="36"/>
      <c r="C34944" s="36"/>
      <c r="E34944" s="1"/>
      <c r="F34944" s="1"/>
      <c r="G34944" s="1"/>
    </row>
    <row r="34945">
      <c r="B34945" s="36"/>
      <c r="C34945" s="36"/>
      <c r="E34945" s="1"/>
      <c r="F34945" s="1"/>
      <c r="G34945" s="1"/>
    </row>
    <row r="34946">
      <c r="B34946" s="36"/>
      <c r="C34946" s="36"/>
      <c r="E34946" s="1"/>
      <c r="F34946" s="1"/>
      <c r="G34946" s="1"/>
    </row>
    <row r="34947">
      <c r="B34947" s="36"/>
      <c r="C34947" s="36"/>
      <c r="E34947" s="1"/>
      <c r="F34947" s="1"/>
      <c r="G34947" s="1"/>
    </row>
    <row r="34948">
      <c r="B34948" s="36"/>
      <c r="C34948" s="36"/>
      <c r="E34948" s="1"/>
      <c r="F34948" s="1"/>
      <c r="G34948" s="1"/>
    </row>
    <row r="34949">
      <c r="B34949" s="36"/>
      <c r="C34949" s="36"/>
      <c r="E34949" s="1"/>
      <c r="F34949" s="1"/>
      <c r="G34949" s="1"/>
    </row>
    <row r="34950">
      <c r="B34950" s="36"/>
      <c r="C34950" s="36"/>
      <c r="E34950" s="1"/>
      <c r="F34950" s="1"/>
      <c r="G34950" s="1"/>
    </row>
    <row r="34951">
      <c r="B34951" s="36"/>
      <c r="C34951" s="36"/>
      <c r="E34951" s="1"/>
      <c r="F34951" s="1"/>
      <c r="G34951" s="1"/>
    </row>
    <row r="34952">
      <c r="B34952" s="36"/>
      <c r="C34952" s="36"/>
      <c r="E34952" s="1"/>
      <c r="F34952" s="1"/>
      <c r="G34952" s="1"/>
    </row>
    <row r="34953">
      <c r="B34953" s="36"/>
      <c r="C34953" s="36"/>
      <c r="E34953" s="1"/>
      <c r="F34953" s="1"/>
      <c r="G34953" s="1"/>
    </row>
    <row r="34954">
      <c r="B34954" s="36"/>
      <c r="C34954" s="36"/>
      <c r="E34954" s="1"/>
      <c r="F34954" s="1"/>
      <c r="G34954" s="1"/>
    </row>
    <row r="34955">
      <c r="B34955" s="36"/>
      <c r="C34955" s="36"/>
      <c r="E34955" s="1"/>
      <c r="F34955" s="1"/>
      <c r="G34955" s="1"/>
    </row>
    <row r="34956">
      <c r="B34956" s="36"/>
      <c r="C34956" s="36"/>
      <c r="E34956" s="1"/>
      <c r="F34956" s="1"/>
      <c r="G34956" s="1"/>
    </row>
    <row r="34957">
      <c r="B34957" s="36"/>
      <c r="C34957" s="36"/>
      <c r="E34957" s="1"/>
      <c r="F34957" s="1"/>
      <c r="G34957" s="1"/>
    </row>
    <row r="34958">
      <c r="B34958" s="36"/>
      <c r="C34958" s="36"/>
      <c r="E34958" s="1"/>
      <c r="F34958" s="1"/>
      <c r="G34958" s="1"/>
    </row>
    <row r="34959">
      <c r="B34959" s="36"/>
      <c r="C34959" s="36"/>
      <c r="E34959" s="1"/>
      <c r="F34959" s="1"/>
      <c r="G34959" s="1"/>
    </row>
    <row r="34960">
      <c r="B34960" s="36"/>
      <c r="C34960" s="36"/>
      <c r="E34960" s="1"/>
      <c r="F34960" s="1"/>
      <c r="G34960" s="1"/>
    </row>
    <row r="34961">
      <c r="B34961" s="36"/>
      <c r="C34961" s="36"/>
      <c r="E34961" s="1"/>
      <c r="F34961" s="1"/>
      <c r="G34961" s="1"/>
    </row>
    <row r="34962">
      <c r="B34962" s="36"/>
      <c r="C34962" s="36"/>
      <c r="E34962" s="1"/>
      <c r="F34962" s="1"/>
      <c r="G34962" s="1"/>
    </row>
    <row r="34963">
      <c r="B34963" s="36"/>
      <c r="C34963" s="36"/>
      <c r="E34963" s="1"/>
      <c r="F34963" s="1"/>
      <c r="G34963" s="1"/>
    </row>
    <row r="34964">
      <c r="B34964" s="36"/>
      <c r="C34964" s="36"/>
      <c r="E34964" s="1"/>
      <c r="F34964" s="1"/>
      <c r="G34964" s="1"/>
    </row>
    <row r="34965">
      <c r="B34965" s="36"/>
      <c r="C34965" s="36"/>
      <c r="E34965" s="1"/>
      <c r="F34965" s="1"/>
      <c r="G34965" s="1"/>
    </row>
    <row r="34966">
      <c r="B34966" s="36"/>
      <c r="C34966" s="36"/>
      <c r="E34966" s="1"/>
      <c r="F34966" s="1"/>
      <c r="G34966" s="1"/>
    </row>
    <row r="34967">
      <c r="B34967" s="36"/>
      <c r="C34967" s="36"/>
      <c r="E34967" s="1"/>
      <c r="F34967" s="1"/>
      <c r="G34967" s="1"/>
    </row>
    <row r="34968">
      <c r="B34968" s="36"/>
      <c r="C34968" s="36"/>
      <c r="E34968" s="1"/>
      <c r="F34968" s="1"/>
      <c r="G34968" s="1"/>
    </row>
    <row r="34969">
      <c r="B34969" s="36"/>
      <c r="C34969" s="36"/>
      <c r="E34969" s="1"/>
      <c r="F34969" s="1"/>
      <c r="G34969" s="1"/>
    </row>
    <row r="34970">
      <c r="B34970" s="36"/>
      <c r="C34970" s="36"/>
      <c r="E34970" s="1"/>
      <c r="F34970" s="1"/>
      <c r="G34970" s="1"/>
    </row>
    <row r="34971">
      <c r="B34971" s="36"/>
      <c r="C34971" s="36"/>
      <c r="E34971" s="1"/>
      <c r="F34971" s="1"/>
      <c r="G34971" s="1"/>
    </row>
    <row r="34972">
      <c r="B34972" s="36"/>
      <c r="C34972" s="36"/>
      <c r="E34972" s="1"/>
      <c r="F34972" s="1"/>
      <c r="G34972" s="1"/>
    </row>
    <row r="34973">
      <c r="B34973" s="36"/>
      <c r="C34973" s="36"/>
      <c r="E34973" s="1"/>
      <c r="F34973" s="1"/>
      <c r="G34973" s="1"/>
    </row>
    <row r="34974">
      <c r="B34974" s="36"/>
      <c r="C34974" s="36"/>
      <c r="E34974" s="1"/>
      <c r="F34974" s="1"/>
      <c r="G34974" s="1"/>
    </row>
    <row r="34975">
      <c r="B34975" s="36"/>
      <c r="C34975" s="36"/>
      <c r="E34975" s="1"/>
      <c r="F34975" s="1"/>
      <c r="G34975" s="1"/>
    </row>
    <row r="34976">
      <c r="B34976" s="36"/>
      <c r="C34976" s="36"/>
      <c r="E34976" s="1"/>
      <c r="F34976" s="1"/>
      <c r="G34976" s="1"/>
    </row>
    <row r="34977">
      <c r="B34977" s="36"/>
      <c r="C34977" s="36"/>
      <c r="E34977" s="1"/>
      <c r="F34977" s="1"/>
      <c r="G34977" s="1"/>
    </row>
    <row r="34978">
      <c r="B34978" s="36"/>
      <c r="C34978" s="36"/>
      <c r="E34978" s="1"/>
      <c r="F34978" s="1"/>
      <c r="G34978" s="1"/>
    </row>
    <row r="34979">
      <c r="B34979" s="36"/>
      <c r="C34979" s="36"/>
      <c r="E34979" s="1"/>
      <c r="F34979" s="1"/>
      <c r="G34979" s="1"/>
    </row>
    <row r="34980">
      <c r="B34980" s="36"/>
      <c r="C34980" s="36"/>
      <c r="E34980" s="1"/>
      <c r="F34980" s="1"/>
      <c r="G34980" s="1"/>
    </row>
    <row r="34981">
      <c r="B34981" s="36"/>
      <c r="C34981" s="36"/>
      <c r="E34981" s="1"/>
      <c r="F34981" s="1"/>
      <c r="G34981" s="1"/>
    </row>
    <row r="34982">
      <c r="B34982" s="36"/>
      <c r="C34982" s="36"/>
      <c r="E34982" s="1"/>
      <c r="F34982" s="1"/>
      <c r="G34982" s="1"/>
    </row>
    <row r="34983">
      <c r="B34983" s="36"/>
      <c r="C34983" s="36"/>
      <c r="E34983" s="1"/>
      <c r="F34983" s="1"/>
      <c r="G34983" s="1"/>
    </row>
    <row r="34984">
      <c r="B34984" s="36"/>
      <c r="C34984" s="36"/>
      <c r="E34984" s="1"/>
      <c r="F34984" s="1"/>
      <c r="G34984" s="1"/>
    </row>
    <row r="34985">
      <c r="B34985" s="36"/>
      <c r="C34985" s="36"/>
      <c r="E34985" s="1"/>
      <c r="F34985" s="1"/>
      <c r="G34985" s="1"/>
    </row>
    <row r="34986">
      <c r="B34986" s="36"/>
      <c r="C34986" s="36"/>
      <c r="E34986" s="1"/>
      <c r="F34986" s="1"/>
      <c r="G34986" s="1"/>
    </row>
    <row r="34987">
      <c r="B34987" s="36"/>
      <c r="C34987" s="36"/>
      <c r="E34987" s="1"/>
      <c r="F34987" s="1"/>
      <c r="G34987" s="1"/>
    </row>
    <row r="34988">
      <c r="B34988" s="36"/>
      <c r="C34988" s="36"/>
      <c r="E34988" s="1"/>
      <c r="F34988" s="1"/>
      <c r="G34988" s="1"/>
    </row>
    <row r="34989">
      <c r="B34989" s="36"/>
      <c r="C34989" s="36"/>
      <c r="E34989" s="1"/>
      <c r="F34989" s="1"/>
      <c r="G34989" s="1"/>
    </row>
    <row r="34990">
      <c r="B34990" s="36"/>
      <c r="C34990" s="36"/>
      <c r="E34990" s="1"/>
      <c r="F34990" s="1"/>
      <c r="G34990" s="1"/>
    </row>
    <row r="34991">
      <c r="B34991" s="36"/>
      <c r="C34991" s="36"/>
      <c r="E34991" s="1"/>
      <c r="F34991" s="1"/>
      <c r="G34991" s="1"/>
    </row>
    <row r="34992">
      <c r="B34992" s="36"/>
      <c r="C34992" s="36"/>
      <c r="E34992" s="1"/>
      <c r="F34992" s="1"/>
      <c r="G34992" s="1"/>
    </row>
    <row r="34993">
      <c r="B34993" s="36"/>
      <c r="C34993" s="36"/>
      <c r="E34993" s="1"/>
      <c r="F34993" s="1"/>
      <c r="G34993" s="1"/>
    </row>
    <row r="34994">
      <c r="B34994" s="36"/>
      <c r="C34994" s="36"/>
      <c r="E34994" s="1"/>
      <c r="F34994" s="1"/>
      <c r="G34994" s="1"/>
    </row>
    <row r="34995">
      <c r="B34995" s="36"/>
      <c r="C34995" s="36"/>
      <c r="E34995" s="1"/>
      <c r="F34995" s="1"/>
      <c r="G34995" s="1"/>
    </row>
    <row r="34996">
      <c r="B34996" s="36"/>
      <c r="C34996" s="36"/>
      <c r="E34996" s="1"/>
      <c r="F34996" s="1"/>
      <c r="G34996" s="1"/>
    </row>
    <row r="34997">
      <c r="B34997" s="36"/>
      <c r="C34997" s="36"/>
      <c r="E34997" s="1"/>
      <c r="F34997" s="1"/>
      <c r="G34997" s="1"/>
    </row>
    <row r="34998">
      <c r="B34998" s="36"/>
      <c r="C34998" s="36"/>
      <c r="E34998" s="1"/>
      <c r="F34998" s="1"/>
      <c r="G34998" s="1"/>
    </row>
    <row r="34999">
      <c r="B34999" s="36"/>
      <c r="C34999" s="36"/>
      <c r="E34999" s="1"/>
      <c r="F34999" s="1"/>
      <c r="G34999" s="1"/>
    </row>
    <row r="35000">
      <c r="B35000" s="36"/>
      <c r="C35000" s="36"/>
      <c r="E35000" s="1"/>
      <c r="F35000" s="1"/>
      <c r="G35000" s="1"/>
    </row>
    <row r="35001">
      <c r="B35001" s="36"/>
      <c r="C35001" s="36"/>
      <c r="E35001" s="1"/>
      <c r="F35001" s="1"/>
      <c r="G35001" s="1"/>
    </row>
    <row r="35002">
      <c r="B35002" s="36"/>
      <c r="C35002" s="36"/>
      <c r="E35002" s="1"/>
      <c r="F35002" s="1"/>
      <c r="G35002" s="1"/>
    </row>
    <row r="35003">
      <c r="B35003" s="36"/>
      <c r="C35003" s="36"/>
      <c r="E35003" s="1"/>
      <c r="F35003" s="1"/>
      <c r="G35003" s="1"/>
    </row>
    <row r="35004">
      <c r="B35004" s="36"/>
      <c r="C35004" s="36"/>
      <c r="E35004" s="1"/>
      <c r="F35004" s="1"/>
      <c r="G35004" s="1"/>
    </row>
    <row r="35005">
      <c r="B35005" s="36"/>
      <c r="C35005" s="36"/>
      <c r="E35005" s="1"/>
      <c r="F35005" s="1"/>
      <c r="G35005" s="1"/>
    </row>
    <row r="35006">
      <c r="B35006" s="36"/>
      <c r="C35006" s="36"/>
      <c r="E35006" s="1"/>
      <c r="F35006" s="1"/>
      <c r="G35006" s="1"/>
    </row>
    <row r="35007">
      <c r="B35007" s="36"/>
      <c r="C35007" s="36"/>
      <c r="E35007" s="1"/>
      <c r="F35007" s="1"/>
      <c r="G35007" s="1"/>
    </row>
    <row r="35008">
      <c r="B35008" s="36"/>
      <c r="C35008" s="36"/>
      <c r="E35008" s="1"/>
      <c r="F35008" s="1"/>
      <c r="G35008" s="1"/>
    </row>
    <row r="35009">
      <c r="B35009" s="36"/>
      <c r="C35009" s="36"/>
      <c r="E35009" s="1"/>
      <c r="F35009" s="1"/>
      <c r="G35009" s="1"/>
    </row>
    <row r="35010">
      <c r="B35010" s="36"/>
      <c r="C35010" s="36"/>
      <c r="E35010" s="1"/>
      <c r="F35010" s="1"/>
      <c r="G35010" s="1"/>
    </row>
    <row r="35011">
      <c r="B35011" s="36"/>
      <c r="C35011" s="36"/>
      <c r="E35011" s="1"/>
      <c r="F35011" s="1"/>
      <c r="G35011" s="1"/>
    </row>
    <row r="35012">
      <c r="B35012" s="36"/>
      <c r="C35012" s="36"/>
      <c r="E35012" s="1"/>
      <c r="F35012" s="1"/>
      <c r="G35012" s="1"/>
    </row>
    <row r="35013">
      <c r="B35013" s="36"/>
      <c r="C35013" s="36"/>
      <c r="E35013" s="1"/>
      <c r="F35013" s="1"/>
      <c r="G35013" s="1"/>
    </row>
    <row r="35014">
      <c r="B35014" s="36"/>
      <c r="C35014" s="36"/>
      <c r="E35014" s="1"/>
      <c r="F35014" s="1"/>
      <c r="G35014" s="1"/>
    </row>
    <row r="35015">
      <c r="B35015" s="36"/>
      <c r="C35015" s="36"/>
      <c r="E35015" s="1"/>
      <c r="F35015" s="1"/>
      <c r="G35015" s="1"/>
    </row>
    <row r="35016">
      <c r="B35016" s="36"/>
      <c r="C35016" s="36"/>
      <c r="E35016" s="1"/>
      <c r="F35016" s="1"/>
      <c r="G35016" s="1"/>
    </row>
    <row r="35017">
      <c r="B35017" s="36"/>
      <c r="C35017" s="36"/>
      <c r="E35017" s="1"/>
      <c r="F35017" s="1"/>
      <c r="G35017" s="1"/>
    </row>
    <row r="35018">
      <c r="B35018" s="36"/>
      <c r="C35018" s="36"/>
      <c r="E35018" s="1"/>
      <c r="F35018" s="1"/>
      <c r="G35018" s="1"/>
    </row>
    <row r="35019">
      <c r="B35019" s="36"/>
      <c r="C35019" s="36"/>
      <c r="E35019" s="1"/>
      <c r="F35019" s="1"/>
      <c r="G35019" s="1"/>
    </row>
    <row r="35020">
      <c r="B35020" s="36"/>
      <c r="C35020" s="36"/>
      <c r="E35020" s="1"/>
      <c r="F35020" s="1"/>
      <c r="G35020" s="1"/>
    </row>
    <row r="35021">
      <c r="B35021" s="36"/>
      <c r="C35021" s="36"/>
      <c r="E35021" s="1"/>
      <c r="F35021" s="1"/>
      <c r="G35021" s="1"/>
    </row>
    <row r="35022">
      <c r="B35022" s="36"/>
      <c r="C35022" s="36"/>
      <c r="E35022" s="1"/>
      <c r="F35022" s="1"/>
      <c r="G35022" s="1"/>
    </row>
    <row r="35023">
      <c r="B35023" s="36"/>
      <c r="C35023" s="36"/>
      <c r="E35023" s="1"/>
      <c r="F35023" s="1"/>
      <c r="G35023" s="1"/>
    </row>
    <row r="35024">
      <c r="B35024" s="36"/>
      <c r="C35024" s="36"/>
      <c r="E35024" s="1"/>
      <c r="F35024" s="1"/>
      <c r="G35024" s="1"/>
    </row>
    <row r="35025">
      <c r="B35025" s="36"/>
      <c r="C35025" s="36"/>
      <c r="E35025" s="1"/>
      <c r="F35025" s="1"/>
      <c r="G35025" s="1"/>
    </row>
    <row r="35026">
      <c r="B35026" s="36"/>
      <c r="C35026" s="36"/>
      <c r="E35026" s="1"/>
      <c r="F35026" s="1"/>
      <c r="G35026" s="1"/>
    </row>
    <row r="35027">
      <c r="B35027" s="36"/>
      <c r="C35027" s="36"/>
      <c r="E35027" s="1"/>
      <c r="F35027" s="1"/>
      <c r="G35027" s="1"/>
    </row>
    <row r="35028">
      <c r="B35028" s="36"/>
      <c r="C35028" s="36"/>
      <c r="E35028" s="1"/>
      <c r="F35028" s="1"/>
      <c r="G35028" s="1"/>
    </row>
    <row r="35029">
      <c r="B35029" s="36"/>
      <c r="C35029" s="36"/>
      <c r="E35029" s="1"/>
      <c r="F35029" s="1"/>
      <c r="G35029" s="1"/>
    </row>
    <row r="35030">
      <c r="B35030" s="36"/>
      <c r="C35030" s="36"/>
      <c r="E35030" s="1"/>
      <c r="F35030" s="1"/>
      <c r="G35030" s="1"/>
    </row>
    <row r="35031">
      <c r="B35031" s="36"/>
      <c r="C35031" s="36"/>
      <c r="E35031" s="1"/>
      <c r="F35031" s="1"/>
      <c r="G35031" s="1"/>
    </row>
    <row r="35032">
      <c r="B35032" s="36"/>
      <c r="C35032" s="36"/>
      <c r="E35032" s="1"/>
      <c r="F35032" s="1"/>
      <c r="G35032" s="1"/>
    </row>
    <row r="35033">
      <c r="B35033" s="36"/>
      <c r="C35033" s="36"/>
      <c r="E35033" s="1"/>
      <c r="F35033" s="1"/>
      <c r="G35033" s="1"/>
    </row>
    <row r="35034">
      <c r="B35034" s="36"/>
      <c r="C35034" s="36"/>
      <c r="E35034" s="1"/>
      <c r="F35034" s="1"/>
      <c r="G35034" s="1"/>
    </row>
    <row r="35035">
      <c r="B35035" s="36"/>
      <c r="C35035" s="36"/>
      <c r="E35035" s="1"/>
      <c r="F35035" s="1"/>
      <c r="G35035" s="1"/>
    </row>
    <row r="35036">
      <c r="B35036" s="36"/>
      <c r="C35036" s="36"/>
      <c r="E35036" s="1"/>
      <c r="F35036" s="1"/>
      <c r="G35036" s="1"/>
    </row>
    <row r="35037">
      <c r="B35037" s="36"/>
      <c r="C35037" s="36"/>
      <c r="E35037" s="1"/>
      <c r="F35037" s="1"/>
      <c r="G35037" s="1"/>
    </row>
    <row r="35038">
      <c r="B35038" s="36"/>
      <c r="C35038" s="36"/>
      <c r="E35038" s="1"/>
      <c r="F35038" s="1"/>
      <c r="G35038" s="1"/>
    </row>
    <row r="35039">
      <c r="B35039" s="36"/>
      <c r="C35039" s="36"/>
      <c r="E35039" s="1"/>
      <c r="F35039" s="1"/>
      <c r="G35039" s="1"/>
    </row>
    <row r="35040">
      <c r="B35040" s="36"/>
      <c r="C35040" s="36"/>
      <c r="E35040" s="1"/>
      <c r="F35040" s="1"/>
      <c r="G35040" s="1"/>
    </row>
    <row r="35041">
      <c r="B35041" s="36"/>
      <c r="C35041" s="36"/>
      <c r="E35041" s="1"/>
      <c r="F35041" s="1"/>
      <c r="G35041" s="1"/>
    </row>
    <row r="35042">
      <c r="B35042" s="36"/>
      <c r="C35042" s="36"/>
      <c r="E35042" s="1"/>
      <c r="F35042" s="1"/>
      <c r="G35042" s="1"/>
    </row>
    <row r="35043">
      <c r="B35043" s="36"/>
      <c r="C35043" s="36"/>
      <c r="E35043" s="1"/>
      <c r="F35043" s="1"/>
      <c r="G35043" s="1"/>
    </row>
    <row r="35044">
      <c r="B35044" s="36"/>
      <c r="C35044" s="36"/>
      <c r="E35044" s="1"/>
      <c r="F35044" s="1"/>
      <c r="G35044" s="1"/>
    </row>
    <row r="35045">
      <c r="B35045" s="36"/>
      <c r="C35045" s="36"/>
      <c r="E35045" s="1"/>
      <c r="F35045" s="1"/>
      <c r="G35045" s="1"/>
    </row>
    <row r="35046">
      <c r="B35046" s="36"/>
      <c r="C35046" s="36"/>
      <c r="E35046" s="1"/>
      <c r="F35046" s="1"/>
      <c r="G35046" s="1"/>
    </row>
    <row r="35047">
      <c r="B35047" s="36"/>
      <c r="C35047" s="36"/>
      <c r="E35047" s="1"/>
      <c r="F35047" s="1"/>
      <c r="G35047" s="1"/>
    </row>
    <row r="35048">
      <c r="B35048" s="36"/>
      <c r="C35048" s="36"/>
      <c r="E35048" s="1"/>
      <c r="F35048" s="1"/>
      <c r="G35048" s="1"/>
    </row>
    <row r="35049">
      <c r="B35049" s="36"/>
      <c r="C35049" s="36"/>
      <c r="E35049" s="1"/>
      <c r="F35049" s="1"/>
      <c r="G35049" s="1"/>
    </row>
    <row r="35050">
      <c r="B35050" s="36"/>
      <c r="C35050" s="36"/>
      <c r="E35050" s="1"/>
      <c r="F35050" s="1"/>
      <c r="G35050" s="1"/>
    </row>
    <row r="35051">
      <c r="B35051" s="36"/>
      <c r="C35051" s="36"/>
      <c r="E35051" s="1"/>
      <c r="F35051" s="1"/>
      <c r="G35051" s="1"/>
    </row>
    <row r="35052">
      <c r="B35052" s="36"/>
      <c r="C35052" s="36"/>
      <c r="E35052" s="1"/>
      <c r="F35052" s="1"/>
      <c r="G35052" s="1"/>
    </row>
    <row r="35053">
      <c r="B35053" s="36"/>
      <c r="C35053" s="36"/>
      <c r="E35053" s="1"/>
      <c r="F35053" s="1"/>
      <c r="G35053" s="1"/>
    </row>
    <row r="35054">
      <c r="B35054" s="36"/>
      <c r="C35054" s="36"/>
      <c r="E35054" s="1"/>
      <c r="F35054" s="1"/>
      <c r="G35054" s="1"/>
    </row>
    <row r="35055">
      <c r="B35055" s="36"/>
      <c r="C35055" s="36"/>
      <c r="E35055" s="1"/>
      <c r="F35055" s="1"/>
      <c r="G35055" s="1"/>
    </row>
    <row r="35056">
      <c r="B35056" s="36"/>
      <c r="C35056" s="36"/>
      <c r="E35056" s="1"/>
      <c r="F35056" s="1"/>
      <c r="G35056" s="1"/>
    </row>
    <row r="35057">
      <c r="B35057" s="36"/>
      <c r="C35057" s="36"/>
      <c r="E35057" s="1"/>
      <c r="F35057" s="1"/>
      <c r="G35057" s="1"/>
    </row>
    <row r="35058">
      <c r="B35058" s="36"/>
      <c r="C35058" s="36"/>
      <c r="E35058" s="1"/>
      <c r="F35058" s="1"/>
      <c r="G35058" s="1"/>
    </row>
    <row r="35059">
      <c r="B35059" s="36"/>
      <c r="C35059" s="36"/>
      <c r="E35059" s="1"/>
      <c r="F35059" s="1"/>
      <c r="G35059" s="1"/>
    </row>
    <row r="35060">
      <c r="B35060" s="36"/>
      <c r="C35060" s="36"/>
      <c r="E35060" s="1"/>
      <c r="F35060" s="1"/>
      <c r="G35060" s="1"/>
    </row>
    <row r="35061">
      <c r="B35061" s="36"/>
      <c r="C35061" s="36"/>
      <c r="E35061" s="1"/>
      <c r="F35061" s="1"/>
      <c r="G35061" s="1"/>
    </row>
    <row r="35062">
      <c r="B35062" s="36"/>
      <c r="C35062" s="36"/>
      <c r="E35062" s="1"/>
      <c r="F35062" s="1"/>
      <c r="G35062" s="1"/>
    </row>
    <row r="35063">
      <c r="B35063" s="36"/>
      <c r="C35063" s="36"/>
      <c r="E35063" s="1"/>
      <c r="F35063" s="1"/>
      <c r="G35063" s="1"/>
    </row>
    <row r="35064">
      <c r="B35064" s="36"/>
      <c r="C35064" s="36"/>
      <c r="E35064" s="1"/>
      <c r="F35064" s="1"/>
      <c r="G35064" s="1"/>
    </row>
    <row r="35065">
      <c r="B35065" s="36"/>
      <c r="C35065" s="36"/>
      <c r="E35065" s="1"/>
      <c r="F35065" s="1"/>
      <c r="G35065" s="1"/>
    </row>
    <row r="35066">
      <c r="B35066" s="36"/>
      <c r="C35066" s="36"/>
      <c r="E35066" s="1"/>
      <c r="F35066" s="1"/>
      <c r="G35066" s="1"/>
    </row>
    <row r="35067">
      <c r="B35067" s="36"/>
      <c r="C35067" s="36"/>
      <c r="E35067" s="1"/>
      <c r="F35067" s="1"/>
      <c r="G35067" s="1"/>
    </row>
    <row r="35068">
      <c r="B35068" s="36"/>
      <c r="C35068" s="36"/>
      <c r="E35068" s="1"/>
      <c r="F35068" s="1"/>
      <c r="G35068" s="1"/>
    </row>
    <row r="35069">
      <c r="B35069" s="36"/>
      <c r="C35069" s="36"/>
      <c r="E35069" s="1"/>
      <c r="F35069" s="1"/>
      <c r="G35069" s="1"/>
    </row>
    <row r="35070">
      <c r="B35070" s="36"/>
      <c r="C35070" s="36"/>
      <c r="E35070" s="1"/>
      <c r="F35070" s="1"/>
      <c r="G35070" s="1"/>
    </row>
    <row r="35071">
      <c r="B35071" s="36"/>
      <c r="C35071" s="36"/>
      <c r="E35071" s="1"/>
      <c r="F35071" s="1"/>
      <c r="G35071" s="1"/>
    </row>
    <row r="35072">
      <c r="B35072" s="36"/>
      <c r="C35072" s="36"/>
      <c r="E35072" s="1"/>
      <c r="F35072" s="1"/>
      <c r="G35072" s="1"/>
    </row>
    <row r="35073">
      <c r="B35073" s="36"/>
      <c r="C35073" s="36"/>
      <c r="E35073" s="1"/>
      <c r="F35073" s="1"/>
      <c r="G35073" s="1"/>
    </row>
    <row r="35074">
      <c r="B35074" s="36"/>
      <c r="C35074" s="36"/>
      <c r="E35074" s="1"/>
      <c r="F35074" s="1"/>
      <c r="G35074" s="1"/>
    </row>
    <row r="35075">
      <c r="B35075" s="36"/>
      <c r="C35075" s="36"/>
      <c r="E35075" s="1"/>
      <c r="F35075" s="1"/>
      <c r="G35075" s="1"/>
    </row>
    <row r="35076">
      <c r="B35076" s="36"/>
      <c r="C35076" s="36"/>
      <c r="E35076" s="1"/>
      <c r="F35076" s="1"/>
      <c r="G35076" s="1"/>
    </row>
    <row r="35077">
      <c r="B35077" s="36"/>
      <c r="C35077" s="36"/>
      <c r="E35077" s="1"/>
      <c r="F35077" s="1"/>
      <c r="G35077" s="1"/>
    </row>
    <row r="35078">
      <c r="B35078" s="36"/>
      <c r="C35078" s="36"/>
      <c r="E35078" s="1"/>
      <c r="F35078" s="1"/>
      <c r="G35078" s="1"/>
    </row>
    <row r="35079">
      <c r="B35079" s="36"/>
      <c r="C35079" s="36"/>
      <c r="E35079" s="1"/>
      <c r="F35079" s="1"/>
      <c r="G35079" s="1"/>
    </row>
    <row r="35080">
      <c r="B35080" s="36"/>
      <c r="C35080" s="36"/>
      <c r="E35080" s="1"/>
      <c r="F35080" s="1"/>
      <c r="G35080" s="1"/>
    </row>
    <row r="35081">
      <c r="B35081" s="36"/>
      <c r="C35081" s="36"/>
      <c r="E35081" s="1"/>
      <c r="F35081" s="1"/>
      <c r="G35081" s="1"/>
    </row>
    <row r="35082">
      <c r="B35082" s="36"/>
      <c r="C35082" s="36"/>
      <c r="E35082" s="1"/>
      <c r="F35082" s="1"/>
      <c r="G35082" s="1"/>
    </row>
    <row r="35083">
      <c r="B35083" s="36"/>
      <c r="C35083" s="36"/>
      <c r="E35083" s="1"/>
      <c r="F35083" s="1"/>
      <c r="G35083" s="1"/>
    </row>
    <row r="35084">
      <c r="B35084" s="36"/>
      <c r="C35084" s="36"/>
      <c r="E35084" s="1"/>
      <c r="F35084" s="1"/>
      <c r="G35084" s="1"/>
    </row>
    <row r="35085">
      <c r="B35085" s="36"/>
      <c r="C35085" s="36"/>
      <c r="E35085" s="1"/>
      <c r="F35085" s="1"/>
      <c r="G35085" s="1"/>
    </row>
    <row r="35086">
      <c r="B35086" s="36"/>
      <c r="C35086" s="36"/>
      <c r="E35086" s="1"/>
      <c r="F35086" s="1"/>
      <c r="G35086" s="1"/>
    </row>
    <row r="35087">
      <c r="B35087" s="36"/>
      <c r="C35087" s="36"/>
      <c r="E35087" s="1"/>
      <c r="F35087" s="1"/>
      <c r="G35087" s="1"/>
    </row>
    <row r="35088">
      <c r="B35088" s="36"/>
      <c r="C35088" s="36"/>
      <c r="E35088" s="1"/>
      <c r="F35088" s="1"/>
      <c r="G35088" s="1"/>
    </row>
    <row r="35089">
      <c r="B35089" s="36"/>
      <c r="C35089" s="36"/>
      <c r="E35089" s="1"/>
      <c r="F35089" s="1"/>
      <c r="G35089" s="1"/>
    </row>
    <row r="35090">
      <c r="B35090" s="36"/>
      <c r="C35090" s="36"/>
      <c r="E35090" s="1"/>
      <c r="F35090" s="1"/>
      <c r="G35090" s="1"/>
    </row>
    <row r="35091">
      <c r="B35091" s="36"/>
      <c r="C35091" s="36"/>
      <c r="E35091" s="1"/>
      <c r="F35091" s="1"/>
      <c r="G35091" s="1"/>
    </row>
    <row r="35092">
      <c r="B35092" s="36"/>
      <c r="C35092" s="36"/>
      <c r="E35092" s="1"/>
      <c r="F35092" s="1"/>
      <c r="G35092" s="1"/>
    </row>
    <row r="35093">
      <c r="B35093" s="36"/>
      <c r="C35093" s="36"/>
      <c r="E35093" s="1"/>
      <c r="F35093" s="1"/>
      <c r="G35093" s="1"/>
    </row>
    <row r="35094">
      <c r="B35094" s="36"/>
      <c r="C35094" s="36"/>
      <c r="E35094" s="1"/>
      <c r="F35094" s="1"/>
      <c r="G35094" s="1"/>
    </row>
    <row r="35095">
      <c r="B35095" s="36"/>
      <c r="C35095" s="36"/>
      <c r="E35095" s="1"/>
      <c r="F35095" s="1"/>
      <c r="G35095" s="1"/>
    </row>
    <row r="35096">
      <c r="B35096" s="36"/>
      <c r="C35096" s="36"/>
      <c r="E35096" s="1"/>
      <c r="F35096" s="1"/>
      <c r="G35096" s="1"/>
    </row>
    <row r="35097">
      <c r="B35097" s="36"/>
      <c r="C35097" s="36"/>
      <c r="E35097" s="1"/>
      <c r="F35097" s="1"/>
      <c r="G35097" s="1"/>
    </row>
    <row r="35098">
      <c r="B35098" s="36"/>
      <c r="C35098" s="36"/>
      <c r="E35098" s="1"/>
      <c r="F35098" s="1"/>
      <c r="G35098" s="1"/>
    </row>
    <row r="35099">
      <c r="B35099" s="36"/>
      <c r="C35099" s="36"/>
      <c r="E35099" s="1"/>
      <c r="F35099" s="1"/>
      <c r="G35099" s="1"/>
    </row>
    <row r="35100">
      <c r="B35100" s="36"/>
      <c r="C35100" s="36"/>
      <c r="E35100" s="1"/>
      <c r="F35100" s="1"/>
      <c r="G35100" s="1"/>
    </row>
    <row r="35101">
      <c r="B35101" s="36"/>
      <c r="C35101" s="36"/>
      <c r="E35101" s="1"/>
      <c r="F35101" s="1"/>
      <c r="G35101" s="1"/>
    </row>
    <row r="35102">
      <c r="B35102" s="36"/>
      <c r="C35102" s="36"/>
      <c r="E35102" s="1"/>
      <c r="F35102" s="1"/>
      <c r="G35102" s="1"/>
    </row>
    <row r="35103">
      <c r="B35103" s="36"/>
      <c r="C35103" s="36"/>
      <c r="E35103" s="1"/>
      <c r="F35103" s="1"/>
      <c r="G35103" s="1"/>
    </row>
    <row r="35104">
      <c r="B35104" s="36"/>
      <c r="C35104" s="36"/>
      <c r="E35104" s="1"/>
      <c r="F35104" s="1"/>
      <c r="G35104" s="1"/>
    </row>
    <row r="35105">
      <c r="B35105" s="36"/>
      <c r="C35105" s="36"/>
      <c r="E35105" s="1"/>
      <c r="F35105" s="1"/>
      <c r="G35105" s="1"/>
    </row>
    <row r="35106">
      <c r="B35106" s="36"/>
      <c r="C35106" s="36"/>
      <c r="E35106" s="1"/>
      <c r="F35106" s="1"/>
      <c r="G35106" s="1"/>
    </row>
    <row r="35107">
      <c r="B35107" s="36"/>
      <c r="C35107" s="36"/>
      <c r="E35107" s="1"/>
      <c r="F35107" s="1"/>
      <c r="G35107" s="1"/>
    </row>
    <row r="35108">
      <c r="B35108" s="36"/>
      <c r="C35108" s="36"/>
      <c r="E35108" s="1"/>
      <c r="F35108" s="1"/>
      <c r="G35108" s="1"/>
    </row>
    <row r="35109">
      <c r="B35109" s="36"/>
      <c r="C35109" s="36"/>
      <c r="E35109" s="1"/>
      <c r="F35109" s="1"/>
      <c r="G35109" s="1"/>
    </row>
    <row r="35110">
      <c r="B35110" s="36"/>
      <c r="C35110" s="36"/>
      <c r="E35110" s="1"/>
      <c r="F35110" s="1"/>
      <c r="G35110" s="1"/>
    </row>
    <row r="35111">
      <c r="B35111" s="36"/>
      <c r="C35111" s="36"/>
      <c r="E35111" s="1"/>
      <c r="F35111" s="1"/>
      <c r="G35111" s="1"/>
    </row>
    <row r="35112">
      <c r="B35112" s="36"/>
      <c r="C35112" s="36"/>
      <c r="E35112" s="1"/>
      <c r="F35112" s="1"/>
      <c r="G35112" s="1"/>
    </row>
    <row r="35113">
      <c r="B35113" s="36"/>
      <c r="C35113" s="36"/>
      <c r="E35113" s="1"/>
      <c r="F35113" s="1"/>
      <c r="G35113" s="1"/>
    </row>
    <row r="35114">
      <c r="B35114" s="36"/>
      <c r="C35114" s="36"/>
      <c r="E35114" s="1"/>
      <c r="F35114" s="1"/>
      <c r="G35114" s="1"/>
    </row>
    <row r="35115">
      <c r="B35115" s="36"/>
      <c r="C35115" s="36"/>
      <c r="E35115" s="1"/>
      <c r="F35115" s="1"/>
      <c r="G35115" s="1"/>
    </row>
    <row r="35116">
      <c r="B35116" s="36"/>
      <c r="C35116" s="36"/>
      <c r="E35116" s="1"/>
      <c r="F35116" s="1"/>
      <c r="G35116" s="1"/>
    </row>
    <row r="35117">
      <c r="B35117" s="36"/>
      <c r="C35117" s="36"/>
      <c r="E35117" s="1"/>
      <c r="F35117" s="1"/>
      <c r="G35117" s="1"/>
    </row>
    <row r="35118">
      <c r="B35118" s="36"/>
      <c r="C35118" s="36"/>
      <c r="E35118" s="1"/>
      <c r="F35118" s="1"/>
      <c r="G35118" s="1"/>
    </row>
    <row r="35119">
      <c r="B35119" s="36"/>
      <c r="C35119" s="36"/>
      <c r="E35119" s="1"/>
      <c r="F35119" s="1"/>
      <c r="G35119" s="1"/>
    </row>
    <row r="35120">
      <c r="B35120" s="36"/>
      <c r="C35120" s="36"/>
      <c r="E35120" s="1"/>
      <c r="F35120" s="1"/>
      <c r="G35120" s="1"/>
    </row>
    <row r="35121">
      <c r="B35121" s="36"/>
      <c r="C35121" s="36"/>
      <c r="E35121" s="1"/>
      <c r="F35121" s="1"/>
      <c r="G35121" s="1"/>
    </row>
    <row r="35122">
      <c r="B35122" s="36"/>
      <c r="C35122" s="36"/>
      <c r="E35122" s="1"/>
      <c r="F35122" s="1"/>
      <c r="G35122" s="1"/>
    </row>
    <row r="35123">
      <c r="B35123" s="36"/>
      <c r="C35123" s="36"/>
      <c r="E35123" s="1"/>
      <c r="F35123" s="1"/>
      <c r="G35123" s="1"/>
    </row>
    <row r="35124">
      <c r="B35124" s="36"/>
      <c r="C35124" s="36"/>
      <c r="E35124" s="1"/>
      <c r="F35124" s="1"/>
      <c r="G35124" s="1"/>
    </row>
    <row r="35125">
      <c r="B35125" s="36"/>
      <c r="C35125" s="36"/>
      <c r="E35125" s="1"/>
      <c r="F35125" s="1"/>
      <c r="G35125" s="1"/>
    </row>
    <row r="35126">
      <c r="B35126" s="36"/>
      <c r="C35126" s="36"/>
      <c r="E35126" s="1"/>
      <c r="F35126" s="1"/>
      <c r="G35126" s="1"/>
    </row>
    <row r="35127">
      <c r="B35127" s="36"/>
      <c r="C35127" s="36"/>
      <c r="E35127" s="1"/>
      <c r="F35127" s="1"/>
      <c r="G35127" s="1"/>
    </row>
    <row r="35128">
      <c r="B35128" s="36"/>
      <c r="C35128" s="36"/>
      <c r="E35128" s="1"/>
      <c r="F35128" s="1"/>
      <c r="G35128" s="1"/>
    </row>
    <row r="35129">
      <c r="B35129" s="36"/>
      <c r="C35129" s="36"/>
      <c r="E35129" s="1"/>
      <c r="F35129" s="1"/>
      <c r="G35129" s="1"/>
    </row>
    <row r="35130">
      <c r="B35130" s="36"/>
      <c r="C35130" s="36"/>
      <c r="E35130" s="1"/>
      <c r="F35130" s="1"/>
      <c r="G35130" s="1"/>
    </row>
    <row r="35131">
      <c r="B35131" s="36"/>
      <c r="C35131" s="36"/>
      <c r="E35131" s="1"/>
      <c r="F35131" s="1"/>
      <c r="G35131" s="1"/>
    </row>
    <row r="35132">
      <c r="B35132" s="36"/>
      <c r="C35132" s="36"/>
      <c r="E35132" s="1"/>
      <c r="F35132" s="1"/>
      <c r="G35132" s="1"/>
    </row>
    <row r="35133">
      <c r="B35133" s="36"/>
      <c r="C35133" s="36"/>
      <c r="E35133" s="1"/>
      <c r="F35133" s="1"/>
      <c r="G35133" s="1"/>
    </row>
    <row r="35134">
      <c r="B35134" s="36"/>
      <c r="C35134" s="36"/>
      <c r="E35134" s="1"/>
      <c r="F35134" s="1"/>
      <c r="G35134" s="1"/>
    </row>
    <row r="35135">
      <c r="B35135" s="36"/>
      <c r="C35135" s="36"/>
      <c r="E35135" s="1"/>
      <c r="F35135" s="1"/>
      <c r="G35135" s="1"/>
    </row>
    <row r="35136">
      <c r="B35136" s="36"/>
      <c r="C35136" s="36"/>
      <c r="E35136" s="1"/>
      <c r="F35136" s="1"/>
      <c r="G35136" s="1"/>
    </row>
    <row r="35137">
      <c r="B35137" s="36"/>
      <c r="C35137" s="36"/>
      <c r="E35137" s="1"/>
      <c r="F35137" s="1"/>
      <c r="G35137" s="1"/>
    </row>
    <row r="35138">
      <c r="B35138" s="36"/>
      <c r="C35138" s="36"/>
      <c r="E35138" s="1"/>
      <c r="F35138" s="1"/>
      <c r="G35138" s="1"/>
    </row>
    <row r="35139">
      <c r="B35139" s="36"/>
      <c r="C35139" s="36"/>
      <c r="E35139" s="1"/>
      <c r="F35139" s="1"/>
      <c r="G35139" s="1"/>
    </row>
    <row r="35140">
      <c r="B35140" s="36"/>
      <c r="C35140" s="36"/>
      <c r="E35140" s="1"/>
      <c r="F35140" s="1"/>
      <c r="G35140" s="1"/>
    </row>
    <row r="35141">
      <c r="B35141" s="36"/>
      <c r="C35141" s="36"/>
      <c r="E35141" s="1"/>
      <c r="F35141" s="1"/>
      <c r="G35141" s="1"/>
    </row>
    <row r="35142">
      <c r="B35142" s="36"/>
      <c r="C35142" s="36"/>
      <c r="E35142" s="1"/>
      <c r="F35142" s="1"/>
      <c r="G35142" s="1"/>
    </row>
    <row r="35143">
      <c r="B35143" s="36"/>
      <c r="C35143" s="36"/>
      <c r="E35143" s="1"/>
      <c r="F35143" s="1"/>
      <c r="G35143" s="1"/>
    </row>
    <row r="35144">
      <c r="B35144" s="36"/>
      <c r="C35144" s="36"/>
      <c r="E35144" s="1"/>
      <c r="F35144" s="1"/>
      <c r="G35144" s="1"/>
    </row>
    <row r="35145">
      <c r="B35145" s="36"/>
      <c r="C35145" s="36"/>
      <c r="E35145" s="1"/>
      <c r="F35145" s="1"/>
      <c r="G35145" s="1"/>
    </row>
    <row r="35146">
      <c r="B35146" s="36"/>
      <c r="C35146" s="36"/>
      <c r="E35146" s="1"/>
      <c r="F35146" s="1"/>
      <c r="G35146" s="1"/>
    </row>
    <row r="35147">
      <c r="B35147" s="36"/>
      <c r="C35147" s="36"/>
      <c r="E35147" s="1"/>
      <c r="F35147" s="1"/>
      <c r="G35147" s="1"/>
    </row>
    <row r="35148">
      <c r="B35148" s="36"/>
      <c r="C35148" s="36"/>
      <c r="E35148" s="1"/>
      <c r="F35148" s="1"/>
      <c r="G35148" s="1"/>
    </row>
    <row r="35149">
      <c r="B35149" s="36"/>
      <c r="C35149" s="36"/>
      <c r="E35149" s="1"/>
      <c r="F35149" s="1"/>
      <c r="G35149" s="1"/>
    </row>
    <row r="35150">
      <c r="B35150" s="36"/>
      <c r="C35150" s="36"/>
      <c r="E35150" s="1"/>
      <c r="F35150" s="1"/>
      <c r="G35150" s="1"/>
    </row>
    <row r="35151">
      <c r="B35151" s="36"/>
      <c r="C35151" s="36"/>
      <c r="E35151" s="1"/>
      <c r="F35151" s="1"/>
      <c r="G35151" s="1"/>
    </row>
    <row r="35152">
      <c r="B35152" s="36"/>
      <c r="C35152" s="36"/>
      <c r="E35152" s="1"/>
      <c r="F35152" s="1"/>
      <c r="G35152" s="1"/>
    </row>
    <row r="35153">
      <c r="B35153" s="36"/>
      <c r="C35153" s="36"/>
      <c r="E35153" s="1"/>
      <c r="F35153" s="1"/>
      <c r="G35153" s="1"/>
    </row>
    <row r="35154">
      <c r="B35154" s="36"/>
      <c r="C35154" s="36"/>
      <c r="E35154" s="1"/>
      <c r="F35154" s="1"/>
      <c r="G35154" s="1"/>
    </row>
    <row r="35155">
      <c r="B35155" s="36"/>
      <c r="C35155" s="36"/>
      <c r="E35155" s="1"/>
      <c r="F35155" s="1"/>
      <c r="G35155" s="1"/>
    </row>
    <row r="35156">
      <c r="B35156" s="36"/>
      <c r="C35156" s="36"/>
      <c r="E35156" s="1"/>
      <c r="F35156" s="1"/>
      <c r="G35156" s="1"/>
    </row>
    <row r="35157">
      <c r="B35157" s="36"/>
      <c r="C35157" s="36"/>
      <c r="E35157" s="1"/>
      <c r="F35157" s="1"/>
      <c r="G35157" s="1"/>
    </row>
    <row r="35158">
      <c r="B35158" s="36"/>
      <c r="C35158" s="36"/>
      <c r="E35158" s="1"/>
      <c r="F35158" s="1"/>
      <c r="G35158" s="1"/>
    </row>
    <row r="35159">
      <c r="B35159" s="36"/>
      <c r="C35159" s="36"/>
      <c r="E35159" s="1"/>
      <c r="F35159" s="1"/>
      <c r="G35159" s="1"/>
    </row>
    <row r="35160">
      <c r="B35160" s="36"/>
      <c r="C35160" s="36"/>
      <c r="E35160" s="1"/>
      <c r="F35160" s="1"/>
      <c r="G35160" s="1"/>
    </row>
    <row r="35161">
      <c r="B35161" s="36"/>
      <c r="C35161" s="36"/>
      <c r="E35161" s="1"/>
      <c r="F35161" s="1"/>
      <c r="G35161" s="1"/>
    </row>
    <row r="35162">
      <c r="B35162" s="36"/>
      <c r="C35162" s="36"/>
      <c r="E35162" s="1"/>
      <c r="F35162" s="1"/>
      <c r="G35162" s="1"/>
    </row>
    <row r="35163">
      <c r="B35163" s="36"/>
      <c r="C35163" s="36"/>
      <c r="E35163" s="1"/>
      <c r="F35163" s="1"/>
      <c r="G35163" s="1"/>
    </row>
    <row r="35164">
      <c r="B35164" s="36"/>
      <c r="C35164" s="36"/>
      <c r="E35164" s="1"/>
      <c r="F35164" s="1"/>
      <c r="G35164" s="1"/>
    </row>
    <row r="35165">
      <c r="B35165" s="36"/>
      <c r="C35165" s="36"/>
      <c r="E35165" s="1"/>
      <c r="F35165" s="1"/>
      <c r="G35165" s="1"/>
    </row>
    <row r="35166">
      <c r="B35166" s="36"/>
      <c r="C35166" s="36"/>
      <c r="E35166" s="1"/>
      <c r="F35166" s="1"/>
      <c r="G35166" s="1"/>
    </row>
    <row r="35167">
      <c r="B35167" s="36"/>
      <c r="C35167" s="36"/>
      <c r="E35167" s="1"/>
      <c r="F35167" s="1"/>
      <c r="G35167" s="1"/>
    </row>
    <row r="35168">
      <c r="B35168" s="36"/>
      <c r="C35168" s="36"/>
      <c r="E35168" s="1"/>
      <c r="F35168" s="1"/>
      <c r="G35168" s="1"/>
    </row>
    <row r="35169">
      <c r="B35169" s="36"/>
      <c r="C35169" s="36"/>
      <c r="E35169" s="1"/>
      <c r="F35169" s="1"/>
      <c r="G35169" s="1"/>
    </row>
    <row r="35170">
      <c r="B35170" s="36"/>
      <c r="C35170" s="36"/>
      <c r="E35170" s="1"/>
      <c r="F35170" s="1"/>
      <c r="G35170" s="1"/>
    </row>
    <row r="35171">
      <c r="B35171" s="36"/>
      <c r="C35171" s="36"/>
      <c r="E35171" s="1"/>
      <c r="F35171" s="1"/>
      <c r="G35171" s="1"/>
    </row>
    <row r="35172">
      <c r="B35172" s="36"/>
      <c r="C35172" s="36"/>
      <c r="E35172" s="1"/>
      <c r="F35172" s="1"/>
      <c r="G35172" s="1"/>
    </row>
    <row r="35173">
      <c r="B35173" s="36"/>
      <c r="C35173" s="36"/>
      <c r="E35173" s="1"/>
      <c r="F35173" s="1"/>
      <c r="G35173" s="1"/>
    </row>
    <row r="35174">
      <c r="B35174" s="36"/>
      <c r="C35174" s="36"/>
      <c r="E35174" s="1"/>
      <c r="F35174" s="1"/>
      <c r="G35174" s="1"/>
    </row>
    <row r="35175">
      <c r="B35175" s="36"/>
      <c r="C35175" s="36"/>
      <c r="E35175" s="1"/>
      <c r="F35175" s="1"/>
      <c r="G35175" s="1"/>
    </row>
    <row r="35176">
      <c r="B35176" s="36"/>
      <c r="C35176" s="36"/>
      <c r="E35176" s="1"/>
      <c r="F35176" s="1"/>
      <c r="G35176" s="1"/>
    </row>
    <row r="35177">
      <c r="B35177" s="36"/>
      <c r="C35177" s="36"/>
      <c r="E35177" s="1"/>
      <c r="F35177" s="1"/>
      <c r="G35177" s="1"/>
    </row>
    <row r="35178">
      <c r="B35178" s="36"/>
      <c r="C35178" s="36"/>
      <c r="E35178" s="1"/>
      <c r="F35178" s="1"/>
      <c r="G35178" s="1"/>
    </row>
    <row r="35179">
      <c r="B35179" s="36"/>
      <c r="C35179" s="36"/>
      <c r="E35179" s="1"/>
      <c r="F35179" s="1"/>
      <c r="G35179" s="1"/>
    </row>
    <row r="35180">
      <c r="B35180" s="36"/>
      <c r="C35180" s="36"/>
      <c r="E35180" s="1"/>
      <c r="F35180" s="1"/>
      <c r="G35180" s="1"/>
    </row>
    <row r="35181">
      <c r="B35181" s="36"/>
      <c r="C35181" s="36"/>
      <c r="E35181" s="1"/>
      <c r="F35181" s="1"/>
      <c r="G35181" s="1"/>
    </row>
    <row r="35182">
      <c r="B35182" s="36"/>
      <c r="C35182" s="36"/>
      <c r="E35182" s="1"/>
      <c r="F35182" s="1"/>
      <c r="G35182" s="1"/>
    </row>
    <row r="35183">
      <c r="B35183" s="36"/>
      <c r="C35183" s="36"/>
      <c r="E35183" s="1"/>
      <c r="F35183" s="1"/>
      <c r="G35183" s="1"/>
    </row>
    <row r="35184">
      <c r="B35184" s="36"/>
      <c r="C35184" s="36"/>
      <c r="E35184" s="1"/>
      <c r="F35184" s="1"/>
      <c r="G35184" s="1"/>
    </row>
    <row r="35185">
      <c r="B35185" s="36"/>
      <c r="C35185" s="36"/>
      <c r="E35185" s="1"/>
      <c r="F35185" s="1"/>
      <c r="G35185" s="1"/>
    </row>
    <row r="35186">
      <c r="B35186" s="36"/>
      <c r="C35186" s="36"/>
      <c r="E35186" s="1"/>
      <c r="F35186" s="1"/>
      <c r="G35186" s="1"/>
    </row>
    <row r="35187">
      <c r="B35187" s="36"/>
      <c r="C35187" s="36"/>
      <c r="E35187" s="1"/>
      <c r="F35187" s="1"/>
      <c r="G35187" s="1"/>
    </row>
    <row r="35188">
      <c r="B35188" s="36"/>
      <c r="C35188" s="36"/>
      <c r="E35188" s="1"/>
      <c r="F35188" s="1"/>
      <c r="G35188" s="1"/>
    </row>
    <row r="35189">
      <c r="B35189" s="36"/>
      <c r="C35189" s="36"/>
      <c r="E35189" s="1"/>
      <c r="F35189" s="1"/>
      <c r="G35189" s="1"/>
    </row>
    <row r="35190">
      <c r="B35190" s="36"/>
      <c r="C35190" s="36"/>
      <c r="E35190" s="1"/>
      <c r="F35190" s="1"/>
      <c r="G35190" s="1"/>
    </row>
    <row r="35191">
      <c r="B35191" s="36"/>
      <c r="C35191" s="36"/>
      <c r="E35191" s="1"/>
      <c r="F35191" s="1"/>
      <c r="G35191" s="1"/>
    </row>
    <row r="35192">
      <c r="B35192" s="36"/>
      <c r="C35192" s="36"/>
      <c r="E35192" s="1"/>
      <c r="F35192" s="1"/>
      <c r="G35192" s="1"/>
    </row>
    <row r="35193">
      <c r="B35193" s="36"/>
      <c r="C35193" s="36"/>
      <c r="E35193" s="1"/>
      <c r="F35193" s="1"/>
      <c r="G35193" s="1"/>
    </row>
    <row r="35194">
      <c r="B35194" s="36"/>
      <c r="C35194" s="36"/>
      <c r="E35194" s="1"/>
      <c r="F35194" s="1"/>
      <c r="G35194" s="1"/>
    </row>
    <row r="35195">
      <c r="B35195" s="36"/>
      <c r="C35195" s="36"/>
      <c r="E35195" s="1"/>
      <c r="F35195" s="1"/>
      <c r="G35195" s="1"/>
    </row>
    <row r="35196">
      <c r="B35196" s="36"/>
      <c r="C35196" s="36"/>
      <c r="E35196" s="1"/>
      <c r="F35196" s="1"/>
      <c r="G35196" s="1"/>
    </row>
    <row r="35197">
      <c r="B35197" s="36"/>
      <c r="C35197" s="36"/>
      <c r="E35197" s="1"/>
      <c r="F35197" s="1"/>
      <c r="G35197" s="1"/>
    </row>
    <row r="35198">
      <c r="B35198" s="36"/>
      <c r="C35198" s="36"/>
      <c r="E35198" s="1"/>
      <c r="F35198" s="1"/>
      <c r="G35198" s="1"/>
    </row>
    <row r="35199">
      <c r="B35199" s="36"/>
      <c r="C35199" s="36"/>
      <c r="E35199" s="1"/>
      <c r="F35199" s="1"/>
      <c r="G35199" s="1"/>
    </row>
    <row r="35200">
      <c r="B35200" s="36"/>
      <c r="C35200" s="36"/>
      <c r="E35200" s="1"/>
      <c r="F35200" s="1"/>
      <c r="G35200" s="1"/>
    </row>
    <row r="35201">
      <c r="B35201" s="36"/>
      <c r="C35201" s="36"/>
      <c r="E35201" s="1"/>
      <c r="F35201" s="1"/>
      <c r="G35201" s="1"/>
    </row>
    <row r="35202">
      <c r="B35202" s="36"/>
      <c r="C35202" s="36"/>
      <c r="E35202" s="1"/>
      <c r="F35202" s="1"/>
      <c r="G35202" s="1"/>
    </row>
    <row r="35203">
      <c r="B35203" s="36"/>
      <c r="C35203" s="36"/>
      <c r="E35203" s="1"/>
      <c r="F35203" s="1"/>
      <c r="G35203" s="1"/>
    </row>
    <row r="35204">
      <c r="B35204" s="36"/>
      <c r="C35204" s="36"/>
      <c r="E35204" s="1"/>
      <c r="F35204" s="1"/>
      <c r="G35204" s="1"/>
    </row>
    <row r="35205">
      <c r="B35205" s="36"/>
      <c r="C35205" s="36"/>
      <c r="E35205" s="1"/>
      <c r="F35205" s="1"/>
      <c r="G35205" s="1"/>
    </row>
    <row r="35206">
      <c r="B35206" s="36"/>
      <c r="C35206" s="36"/>
      <c r="E35206" s="1"/>
      <c r="F35206" s="1"/>
      <c r="G35206" s="1"/>
    </row>
    <row r="35207">
      <c r="B35207" s="36"/>
      <c r="C35207" s="36"/>
      <c r="E35207" s="1"/>
      <c r="F35207" s="1"/>
      <c r="G35207" s="1"/>
    </row>
    <row r="35208">
      <c r="B35208" s="36"/>
      <c r="C35208" s="36"/>
      <c r="E35208" s="1"/>
      <c r="F35208" s="1"/>
      <c r="G35208" s="1"/>
    </row>
    <row r="35209">
      <c r="B35209" s="36"/>
      <c r="C35209" s="36"/>
      <c r="E35209" s="1"/>
      <c r="F35209" s="1"/>
      <c r="G35209" s="1"/>
    </row>
    <row r="35210">
      <c r="B35210" s="36"/>
      <c r="C35210" s="36"/>
      <c r="E35210" s="1"/>
      <c r="F35210" s="1"/>
      <c r="G35210" s="1"/>
    </row>
    <row r="35211">
      <c r="B35211" s="36"/>
      <c r="C35211" s="36"/>
      <c r="E35211" s="1"/>
      <c r="F35211" s="1"/>
      <c r="G35211" s="1"/>
    </row>
    <row r="35212">
      <c r="B35212" s="36"/>
      <c r="C35212" s="36"/>
      <c r="E35212" s="1"/>
      <c r="F35212" s="1"/>
      <c r="G35212" s="1"/>
    </row>
    <row r="35213">
      <c r="B35213" s="36"/>
      <c r="C35213" s="36"/>
      <c r="E35213" s="1"/>
      <c r="F35213" s="1"/>
      <c r="G35213" s="1"/>
    </row>
    <row r="35214">
      <c r="B35214" s="36"/>
      <c r="C35214" s="36"/>
      <c r="E35214" s="1"/>
      <c r="F35214" s="1"/>
      <c r="G35214" s="1"/>
    </row>
    <row r="35215">
      <c r="B35215" s="36"/>
      <c r="C35215" s="36"/>
      <c r="E35215" s="1"/>
      <c r="F35215" s="1"/>
      <c r="G35215" s="1"/>
    </row>
    <row r="35216">
      <c r="B35216" s="36"/>
      <c r="C35216" s="36"/>
      <c r="E35216" s="1"/>
      <c r="F35216" s="1"/>
      <c r="G35216" s="1"/>
    </row>
    <row r="35217">
      <c r="B35217" s="36"/>
      <c r="C35217" s="36"/>
      <c r="E35217" s="1"/>
      <c r="F35217" s="1"/>
      <c r="G35217" s="1"/>
    </row>
    <row r="35218">
      <c r="B35218" s="36"/>
      <c r="C35218" s="36"/>
      <c r="E35218" s="1"/>
      <c r="F35218" s="1"/>
      <c r="G35218" s="1"/>
    </row>
    <row r="35219">
      <c r="B35219" s="36"/>
      <c r="C35219" s="36"/>
      <c r="E35219" s="1"/>
      <c r="F35219" s="1"/>
      <c r="G35219" s="1"/>
    </row>
    <row r="35220">
      <c r="B35220" s="36"/>
      <c r="C35220" s="36"/>
      <c r="E35220" s="1"/>
      <c r="F35220" s="1"/>
      <c r="G35220" s="1"/>
    </row>
    <row r="35221">
      <c r="B35221" s="36"/>
      <c r="C35221" s="36"/>
      <c r="E35221" s="1"/>
      <c r="F35221" s="1"/>
      <c r="G35221" s="1"/>
    </row>
    <row r="35222">
      <c r="B35222" s="36"/>
      <c r="C35222" s="36"/>
      <c r="E35222" s="1"/>
      <c r="F35222" s="1"/>
      <c r="G35222" s="1"/>
    </row>
    <row r="35223">
      <c r="B35223" s="36"/>
      <c r="C35223" s="36"/>
      <c r="E35223" s="1"/>
      <c r="F35223" s="1"/>
      <c r="G35223" s="1"/>
    </row>
    <row r="35224">
      <c r="B35224" s="36"/>
      <c r="C35224" s="36"/>
      <c r="E35224" s="1"/>
      <c r="F35224" s="1"/>
      <c r="G35224" s="1"/>
    </row>
    <row r="35225">
      <c r="B35225" s="36"/>
      <c r="C35225" s="36"/>
      <c r="E35225" s="1"/>
      <c r="F35225" s="1"/>
      <c r="G35225" s="1"/>
    </row>
    <row r="35226">
      <c r="B35226" s="36"/>
      <c r="C35226" s="36"/>
      <c r="E35226" s="1"/>
      <c r="F35226" s="1"/>
      <c r="G35226" s="1"/>
    </row>
    <row r="35227">
      <c r="B35227" s="36"/>
      <c r="C35227" s="36"/>
      <c r="E35227" s="1"/>
      <c r="F35227" s="1"/>
      <c r="G35227" s="1"/>
    </row>
    <row r="35228">
      <c r="B35228" s="36"/>
      <c r="C35228" s="36"/>
      <c r="E35228" s="1"/>
      <c r="F35228" s="1"/>
      <c r="G35228" s="1"/>
    </row>
    <row r="35229">
      <c r="B35229" s="36"/>
      <c r="C35229" s="36"/>
      <c r="E35229" s="1"/>
      <c r="F35229" s="1"/>
      <c r="G35229" s="1"/>
    </row>
    <row r="35230">
      <c r="B35230" s="36"/>
      <c r="C35230" s="36"/>
      <c r="E35230" s="1"/>
      <c r="F35230" s="1"/>
      <c r="G35230" s="1"/>
    </row>
    <row r="35231">
      <c r="B35231" s="36"/>
      <c r="C35231" s="36"/>
      <c r="E35231" s="1"/>
      <c r="F35231" s="1"/>
      <c r="G35231" s="1"/>
    </row>
    <row r="35232">
      <c r="B35232" s="36"/>
      <c r="C35232" s="36"/>
      <c r="E35232" s="1"/>
      <c r="F35232" s="1"/>
      <c r="G35232" s="1"/>
    </row>
    <row r="35233">
      <c r="B35233" s="36"/>
      <c r="C35233" s="36"/>
      <c r="E35233" s="1"/>
      <c r="F35233" s="1"/>
      <c r="G35233" s="1"/>
    </row>
    <row r="35234">
      <c r="B35234" s="36"/>
      <c r="C35234" s="36"/>
      <c r="E35234" s="1"/>
      <c r="F35234" s="1"/>
      <c r="G35234" s="1"/>
    </row>
    <row r="35235">
      <c r="B35235" s="36"/>
      <c r="C35235" s="36"/>
      <c r="E35235" s="1"/>
      <c r="F35235" s="1"/>
      <c r="G35235" s="1"/>
    </row>
    <row r="35236">
      <c r="B35236" s="36"/>
      <c r="C35236" s="36"/>
      <c r="E35236" s="1"/>
      <c r="F35236" s="1"/>
      <c r="G35236" s="1"/>
    </row>
    <row r="35237">
      <c r="B35237" s="36"/>
      <c r="C35237" s="36"/>
      <c r="E35237" s="1"/>
      <c r="F35237" s="1"/>
      <c r="G35237" s="1"/>
    </row>
    <row r="35238">
      <c r="B35238" s="36"/>
      <c r="C35238" s="36"/>
      <c r="E35238" s="1"/>
      <c r="F35238" s="1"/>
      <c r="G35238" s="1"/>
    </row>
    <row r="35239">
      <c r="B35239" s="36"/>
      <c r="C35239" s="36"/>
      <c r="E35239" s="1"/>
      <c r="F35239" s="1"/>
      <c r="G35239" s="1"/>
    </row>
    <row r="35240">
      <c r="B35240" s="36"/>
      <c r="C35240" s="36"/>
      <c r="E35240" s="1"/>
      <c r="F35240" s="1"/>
      <c r="G35240" s="1"/>
    </row>
    <row r="35241">
      <c r="B35241" s="36"/>
      <c r="C35241" s="36"/>
      <c r="E35241" s="1"/>
      <c r="F35241" s="1"/>
      <c r="G35241" s="1"/>
    </row>
    <row r="35242">
      <c r="B35242" s="36"/>
      <c r="C35242" s="36"/>
      <c r="E35242" s="1"/>
      <c r="F35242" s="1"/>
      <c r="G35242" s="1"/>
    </row>
    <row r="35243">
      <c r="B35243" s="36"/>
      <c r="C35243" s="36"/>
      <c r="E35243" s="1"/>
      <c r="F35243" s="1"/>
      <c r="G35243" s="1"/>
    </row>
    <row r="35244">
      <c r="B35244" s="36"/>
      <c r="C35244" s="36"/>
      <c r="E35244" s="1"/>
      <c r="F35244" s="1"/>
      <c r="G35244" s="1"/>
    </row>
    <row r="35245">
      <c r="B35245" s="36"/>
      <c r="C35245" s="36"/>
      <c r="E35245" s="1"/>
      <c r="F35245" s="1"/>
      <c r="G35245" s="1"/>
    </row>
    <row r="35246">
      <c r="B35246" s="36"/>
      <c r="C35246" s="36"/>
      <c r="E35246" s="1"/>
      <c r="F35246" s="1"/>
      <c r="G35246" s="1"/>
    </row>
    <row r="35247">
      <c r="B35247" s="36"/>
      <c r="C35247" s="36"/>
      <c r="E35247" s="1"/>
      <c r="F35247" s="1"/>
      <c r="G35247" s="1"/>
    </row>
    <row r="35248">
      <c r="B35248" s="36"/>
      <c r="C35248" s="36"/>
      <c r="E35248" s="1"/>
      <c r="F35248" s="1"/>
      <c r="G35248" s="1"/>
    </row>
    <row r="35249">
      <c r="B35249" s="36"/>
      <c r="C35249" s="36"/>
      <c r="E35249" s="1"/>
      <c r="F35249" s="1"/>
      <c r="G35249" s="1"/>
    </row>
    <row r="35250">
      <c r="B35250" s="36"/>
      <c r="C35250" s="36"/>
      <c r="E35250" s="1"/>
      <c r="F35250" s="1"/>
      <c r="G35250" s="1"/>
    </row>
    <row r="35251">
      <c r="B35251" s="36"/>
      <c r="C35251" s="36"/>
      <c r="E35251" s="1"/>
      <c r="F35251" s="1"/>
      <c r="G35251" s="1"/>
    </row>
    <row r="35252">
      <c r="B35252" s="36"/>
      <c r="C35252" s="36"/>
      <c r="E35252" s="1"/>
      <c r="F35252" s="1"/>
      <c r="G35252" s="1"/>
    </row>
    <row r="35253">
      <c r="B35253" s="36"/>
      <c r="C35253" s="36"/>
      <c r="E35253" s="1"/>
      <c r="F35253" s="1"/>
      <c r="G35253" s="1"/>
    </row>
    <row r="35254">
      <c r="B35254" s="36"/>
      <c r="C35254" s="36"/>
      <c r="E35254" s="1"/>
      <c r="F35254" s="1"/>
      <c r="G35254" s="1"/>
    </row>
    <row r="35255">
      <c r="B35255" s="36"/>
      <c r="C35255" s="36"/>
      <c r="E35255" s="1"/>
      <c r="F35255" s="1"/>
      <c r="G35255" s="1"/>
    </row>
    <row r="35256">
      <c r="B35256" s="36"/>
      <c r="C35256" s="36"/>
      <c r="E35256" s="1"/>
      <c r="F35256" s="1"/>
      <c r="G35256" s="1"/>
    </row>
    <row r="35257">
      <c r="B35257" s="36"/>
      <c r="C35257" s="36"/>
      <c r="E35257" s="1"/>
      <c r="F35257" s="1"/>
      <c r="G35257" s="1"/>
    </row>
    <row r="35258">
      <c r="B35258" s="36"/>
      <c r="C35258" s="36"/>
      <c r="E35258" s="1"/>
      <c r="F35258" s="1"/>
      <c r="G35258" s="1"/>
    </row>
    <row r="35259">
      <c r="B35259" s="36"/>
      <c r="C35259" s="36"/>
      <c r="E35259" s="1"/>
      <c r="F35259" s="1"/>
      <c r="G35259" s="1"/>
    </row>
    <row r="35260">
      <c r="B35260" s="36"/>
      <c r="C35260" s="36"/>
      <c r="E35260" s="1"/>
      <c r="F35260" s="1"/>
      <c r="G35260" s="1"/>
    </row>
    <row r="35261">
      <c r="B35261" s="36"/>
      <c r="C35261" s="36"/>
      <c r="E35261" s="1"/>
      <c r="F35261" s="1"/>
      <c r="G35261" s="1"/>
    </row>
    <row r="35262">
      <c r="B35262" s="36"/>
      <c r="C35262" s="36"/>
      <c r="E35262" s="1"/>
      <c r="F35262" s="1"/>
      <c r="G35262" s="1"/>
    </row>
    <row r="35263">
      <c r="B35263" s="36"/>
      <c r="C35263" s="36"/>
      <c r="E35263" s="1"/>
      <c r="F35263" s="1"/>
      <c r="G35263" s="1"/>
    </row>
    <row r="35264">
      <c r="B35264" s="36"/>
      <c r="C35264" s="36"/>
      <c r="E35264" s="1"/>
      <c r="F35264" s="1"/>
      <c r="G35264" s="1"/>
    </row>
    <row r="35265">
      <c r="B35265" s="36"/>
      <c r="C35265" s="36"/>
      <c r="E35265" s="1"/>
      <c r="F35265" s="1"/>
      <c r="G35265" s="1"/>
    </row>
    <row r="35266">
      <c r="B35266" s="36"/>
      <c r="C35266" s="36"/>
      <c r="E35266" s="1"/>
      <c r="F35266" s="1"/>
      <c r="G35266" s="1"/>
    </row>
    <row r="35267">
      <c r="B35267" s="36"/>
      <c r="C35267" s="36"/>
      <c r="E35267" s="1"/>
      <c r="F35267" s="1"/>
      <c r="G35267" s="1"/>
    </row>
    <row r="35268">
      <c r="B35268" s="36"/>
      <c r="C35268" s="36"/>
      <c r="E35268" s="1"/>
      <c r="F35268" s="1"/>
      <c r="G35268" s="1"/>
    </row>
    <row r="35269">
      <c r="B35269" s="36"/>
      <c r="C35269" s="36"/>
      <c r="E35269" s="1"/>
      <c r="F35269" s="1"/>
      <c r="G35269" s="1"/>
    </row>
    <row r="35270">
      <c r="B35270" s="36"/>
      <c r="C35270" s="36"/>
      <c r="E35270" s="1"/>
      <c r="F35270" s="1"/>
      <c r="G35270" s="1"/>
    </row>
    <row r="35271">
      <c r="B35271" s="36"/>
      <c r="C35271" s="36"/>
      <c r="E35271" s="1"/>
      <c r="F35271" s="1"/>
      <c r="G35271" s="1"/>
    </row>
    <row r="35272">
      <c r="B35272" s="36"/>
      <c r="C35272" s="36"/>
      <c r="E35272" s="1"/>
      <c r="F35272" s="1"/>
      <c r="G35272" s="1"/>
    </row>
    <row r="35273">
      <c r="B35273" s="36"/>
      <c r="C35273" s="36"/>
      <c r="E35273" s="1"/>
      <c r="F35273" s="1"/>
      <c r="G35273" s="1"/>
    </row>
    <row r="35274">
      <c r="B35274" s="36"/>
      <c r="C35274" s="36"/>
      <c r="E35274" s="1"/>
      <c r="F35274" s="1"/>
      <c r="G35274" s="1"/>
    </row>
    <row r="35275">
      <c r="B35275" s="36"/>
      <c r="C35275" s="36"/>
      <c r="E35275" s="1"/>
      <c r="F35275" s="1"/>
      <c r="G35275" s="1"/>
    </row>
    <row r="35276">
      <c r="B35276" s="36"/>
      <c r="C35276" s="36"/>
      <c r="E35276" s="1"/>
      <c r="F35276" s="1"/>
      <c r="G35276" s="1"/>
    </row>
    <row r="35277">
      <c r="B35277" s="36"/>
      <c r="C35277" s="36"/>
      <c r="E35277" s="1"/>
      <c r="F35277" s="1"/>
      <c r="G35277" s="1"/>
    </row>
    <row r="35278">
      <c r="B35278" s="36"/>
      <c r="C35278" s="36"/>
      <c r="E35278" s="1"/>
      <c r="F35278" s="1"/>
      <c r="G35278" s="1"/>
    </row>
    <row r="35279">
      <c r="B35279" s="36"/>
      <c r="C35279" s="36"/>
      <c r="E35279" s="1"/>
      <c r="F35279" s="1"/>
      <c r="G35279" s="1"/>
    </row>
    <row r="35280">
      <c r="B35280" s="36"/>
      <c r="C35280" s="36"/>
      <c r="E35280" s="1"/>
      <c r="F35280" s="1"/>
      <c r="G35280" s="1"/>
    </row>
    <row r="35281">
      <c r="B35281" s="36"/>
      <c r="C35281" s="36"/>
      <c r="E35281" s="1"/>
      <c r="F35281" s="1"/>
      <c r="G35281" s="1"/>
    </row>
    <row r="35282">
      <c r="B35282" s="36"/>
      <c r="C35282" s="36"/>
      <c r="E35282" s="1"/>
      <c r="F35282" s="1"/>
      <c r="G35282" s="1"/>
    </row>
    <row r="35283">
      <c r="B35283" s="36"/>
      <c r="C35283" s="36"/>
      <c r="E35283" s="1"/>
      <c r="F35283" s="1"/>
      <c r="G35283" s="1"/>
    </row>
    <row r="35284">
      <c r="B35284" s="36"/>
      <c r="C35284" s="36"/>
      <c r="E35284" s="1"/>
      <c r="F35284" s="1"/>
      <c r="G35284" s="1"/>
    </row>
    <row r="35285">
      <c r="B35285" s="36"/>
      <c r="C35285" s="36"/>
      <c r="E35285" s="1"/>
      <c r="F35285" s="1"/>
      <c r="G35285" s="1"/>
    </row>
    <row r="35286">
      <c r="B35286" s="36"/>
      <c r="C35286" s="36"/>
      <c r="E35286" s="1"/>
      <c r="F35286" s="1"/>
      <c r="G35286" s="1"/>
    </row>
    <row r="35287">
      <c r="B35287" s="36"/>
      <c r="C35287" s="36"/>
      <c r="E35287" s="1"/>
      <c r="F35287" s="1"/>
      <c r="G35287" s="1"/>
    </row>
    <row r="35288">
      <c r="B35288" s="36"/>
      <c r="C35288" s="36"/>
      <c r="E35288" s="1"/>
      <c r="F35288" s="1"/>
      <c r="G35288" s="1"/>
    </row>
    <row r="35289">
      <c r="B35289" s="36"/>
      <c r="C35289" s="36"/>
      <c r="E35289" s="1"/>
      <c r="F35289" s="1"/>
      <c r="G35289" s="1"/>
    </row>
    <row r="35290">
      <c r="B35290" s="36"/>
      <c r="C35290" s="36"/>
      <c r="E35290" s="1"/>
      <c r="F35290" s="1"/>
      <c r="G35290" s="1"/>
    </row>
    <row r="35291">
      <c r="B35291" s="36"/>
      <c r="C35291" s="36"/>
      <c r="E35291" s="1"/>
      <c r="F35291" s="1"/>
      <c r="G35291" s="1"/>
    </row>
    <row r="35292">
      <c r="B35292" s="36"/>
      <c r="C35292" s="36"/>
      <c r="E35292" s="1"/>
      <c r="F35292" s="1"/>
      <c r="G35292" s="1"/>
    </row>
    <row r="35293">
      <c r="B35293" s="36"/>
      <c r="C35293" s="36"/>
      <c r="E35293" s="1"/>
      <c r="F35293" s="1"/>
      <c r="G35293" s="1"/>
    </row>
    <row r="35294">
      <c r="B35294" s="36"/>
      <c r="C35294" s="36"/>
      <c r="E35294" s="1"/>
      <c r="F35294" s="1"/>
      <c r="G35294" s="1"/>
    </row>
    <row r="35295">
      <c r="B35295" s="36"/>
      <c r="C35295" s="36"/>
      <c r="E35295" s="1"/>
      <c r="F35295" s="1"/>
      <c r="G35295" s="1"/>
    </row>
    <row r="35296">
      <c r="B35296" s="36"/>
      <c r="C35296" s="36"/>
      <c r="E35296" s="1"/>
      <c r="F35296" s="1"/>
      <c r="G35296" s="1"/>
    </row>
    <row r="35297">
      <c r="B35297" s="36"/>
      <c r="C35297" s="36"/>
      <c r="E35297" s="1"/>
      <c r="F35297" s="1"/>
      <c r="G35297" s="1"/>
    </row>
    <row r="35298">
      <c r="B35298" s="36"/>
      <c r="C35298" s="36"/>
      <c r="E35298" s="1"/>
      <c r="F35298" s="1"/>
      <c r="G35298" s="1"/>
    </row>
    <row r="35299">
      <c r="B35299" s="36"/>
      <c r="C35299" s="36"/>
      <c r="E35299" s="1"/>
      <c r="F35299" s="1"/>
      <c r="G35299" s="1"/>
    </row>
    <row r="35300">
      <c r="B35300" s="36"/>
      <c r="C35300" s="36"/>
      <c r="E35300" s="1"/>
      <c r="F35300" s="1"/>
      <c r="G35300" s="1"/>
    </row>
    <row r="35301">
      <c r="B35301" s="36"/>
      <c r="C35301" s="36"/>
      <c r="E35301" s="1"/>
      <c r="F35301" s="1"/>
      <c r="G35301" s="1"/>
    </row>
    <row r="35302">
      <c r="B35302" s="36"/>
      <c r="C35302" s="36"/>
      <c r="E35302" s="1"/>
      <c r="F35302" s="1"/>
      <c r="G35302" s="1"/>
    </row>
    <row r="35303">
      <c r="B35303" s="36"/>
      <c r="C35303" s="36"/>
      <c r="E35303" s="1"/>
      <c r="F35303" s="1"/>
      <c r="G35303" s="1"/>
    </row>
    <row r="35304">
      <c r="B35304" s="36"/>
      <c r="C35304" s="36"/>
      <c r="E35304" s="1"/>
      <c r="F35304" s="1"/>
      <c r="G35304" s="1"/>
    </row>
    <row r="35305">
      <c r="B35305" s="36"/>
      <c r="C35305" s="36"/>
      <c r="E35305" s="1"/>
      <c r="F35305" s="1"/>
      <c r="G35305" s="1"/>
    </row>
    <row r="35306">
      <c r="B35306" s="36"/>
      <c r="C35306" s="36"/>
      <c r="E35306" s="1"/>
      <c r="F35306" s="1"/>
      <c r="G35306" s="1"/>
    </row>
    <row r="35307">
      <c r="B35307" s="36"/>
      <c r="C35307" s="36"/>
      <c r="E35307" s="1"/>
      <c r="F35307" s="1"/>
      <c r="G35307" s="1"/>
    </row>
    <row r="35308">
      <c r="B35308" s="36"/>
      <c r="C35308" s="36"/>
      <c r="E35308" s="1"/>
      <c r="F35308" s="1"/>
      <c r="G35308" s="1"/>
    </row>
    <row r="35309">
      <c r="B35309" s="36"/>
      <c r="C35309" s="36"/>
      <c r="E35309" s="1"/>
      <c r="F35309" s="1"/>
      <c r="G35309" s="1"/>
    </row>
    <row r="35310">
      <c r="B35310" s="36"/>
      <c r="C35310" s="36"/>
      <c r="E35310" s="1"/>
      <c r="F35310" s="1"/>
      <c r="G35310" s="1"/>
    </row>
    <row r="35311">
      <c r="B35311" s="36"/>
      <c r="C35311" s="36"/>
      <c r="E35311" s="1"/>
      <c r="F35311" s="1"/>
      <c r="G35311" s="1"/>
    </row>
    <row r="35312">
      <c r="B35312" s="36"/>
      <c r="C35312" s="36"/>
      <c r="E35312" s="1"/>
      <c r="F35312" s="1"/>
      <c r="G35312" s="1"/>
    </row>
    <row r="35313">
      <c r="B35313" s="36"/>
      <c r="C35313" s="36"/>
      <c r="E35313" s="1"/>
      <c r="F35313" s="1"/>
      <c r="G35313" s="1"/>
    </row>
    <row r="35314">
      <c r="B35314" s="36"/>
      <c r="C35314" s="36"/>
      <c r="E35314" s="1"/>
      <c r="F35314" s="1"/>
      <c r="G35314" s="1"/>
    </row>
    <row r="35315">
      <c r="B35315" s="36"/>
      <c r="C35315" s="36"/>
      <c r="E35315" s="1"/>
      <c r="F35315" s="1"/>
      <c r="G35315" s="1"/>
    </row>
    <row r="35316">
      <c r="B35316" s="36"/>
      <c r="C35316" s="36"/>
      <c r="E35316" s="1"/>
      <c r="F35316" s="1"/>
      <c r="G35316" s="1"/>
    </row>
    <row r="35317">
      <c r="B35317" s="36"/>
      <c r="C35317" s="36"/>
      <c r="E35317" s="1"/>
      <c r="F35317" s="1"/>
      <c r="G35317" s="1"/>
    </row>
    <row r="35318">
      <c r="B35318" s="36"/>
      <c r="C35318" s="36"/>
      <c r="E35318" s="1"/>
      <c r="F35318" s="1"/>
      <c r="G35318" s="1"/>
    </row>
    <row r="35319">
      <c r="B35319" s="36"/>
      <c r="C35319" s="36"/>
      <c r="E35319" s="1"/>
      <c r="F35319" s="1"/>
      <c r="G35319" s="1"/>
    </row>
    <row r="35320">
      <c r="B35320" s="36"/>
      <c r="C35320" s="36"/>
      <c r="E35320" s="1"/>
      <c r="F35320" s="1"/>
      <c r="G35320" s="1"/>
    </row>
    <row r="35321">
      <c r="B35321" s="36"/>
      <c r="C35321" s="36"/>
      <c r="E35321" s="1"/>
      <c r="F35321" s="1"/>
      <c r="G35321" s="1"/>
    </row>
    <row r="35322">
      <c r="B35322" s="36"/>
      <c r="C35322" s="36"/>
      <c r="E35322" s="1"/>
      <c r="F35322" s="1"/>
      <c r="G35322" s="1"/>
    </row>
    <row r="35323">
      <c r="B35323" s="36"/>
      <c r="C35323" s="36"/>
      <c r="E35323" s="1"/>
      <c r="F35323" s="1"/>
      <c r="G35323" s="1"/>
    </row>
    <row r="35324">
      <c r="B35324" s="36"/>
      <c r="C35324" s="36"/>
      <c r="E35324" s="1"/>
      <c r="F35324" s="1"/>
      <c r="G35324" s="1"/>
    </row>
    <row r="35325">
      <c r="B35325" s="36"/>
      <c r="C35325" s="36"/>
      <c r="E35325" s="1"/>
      <c r="F35325" s="1"/>
      <c r="G35325" s="1"/>
    </row>
    <row r="35326">
      <c r="B35326" s="36"/>
      <c r="C35326" s="36"/>
      <c r="E35326" s="1"/>
      <c r="F35326" s="1"/>
      <c r="G35326" s="1"/>
    </row>
    <row r="35327">
      <c r="B35327" s="36"/>
      <c r="C35327" s="36"/>
      <c r="E35327" s="1"/>
      <c r="F35327" s="1"/>
      <c r="G35327" s="1"/>
    </row>
    <row r="35328">
      <c r="B35328" s="36"/>
      <c r="C35328" s="36"/>
      <c r="E35328" s="1"/>
      <c r="F35328" s="1"/>
      <c r="G35328" s="1"/>
    </row>
    <row r="35329">
      <c r="B35329" s="36"/>
      <c r="C35329" s="36"/>
      <c r="E35329" s="1"/>
      <c r="F35329" s="1"/>
      <c r="G35329" s="1"/>
    </row>
    <row r="35330">
      <c r="B35330" s="36"/>
      <c r="C35330" s="36"/>
      <c r="E35330" s="1"/>
      <c r="F35330" s="1"/>
      <c r="G35330" s="1"/>
    </row>
    <row r="35331">
      <c r="B35331" s="36"/>
      <c r="C35331" s="36"/>
      <c r="E35331" s="1"/>
      <c r="F35331" s="1"/>
      <c r="G35331" s="1"/>
    </row>
    <row r="35332">
      <c r="B35332" s="36"/>
      <c r="C35332" s="36"/>
      <c r="E35332" s="1"/>
      <c r="F35332" s="1"/>
      <c r="G35332" s="1"/>
    </row>
    <row r="35333">
      <c r="B35333" s="36"/>
      <c r="C35333" s="36"/>
      <c r="E35333" s="1"/>
      <c r="F35333" s="1"/>
      <c r="G35333" s="1"/>
    </row>
    <row r="35334">
      <c r="B35334" s="36"/>
      <c r="C35334" s="36"/>
      <c r="E35334" s="1"/>
      <c r="F35334" s="1"/>
      <c r="G35334" s="1"/>
    </row>
    <row r="35335">
      <c r="B35335" s="36"/>
      <c r="C35335" s="36"/>
      <c r="E35335" s="1"/>
      <c r="F35335" s="1"/>
      <c r="G35335" s="1"/>
    </row>
    <row r="35336">
      <c r="B35336" s="36"/>
      <c r="C35336" s="36"/>
      <c r="E35336" s="1"/>
      <c r="F35336" s="1"/>
      <c r="G35336" s="1"/>
    </row>
    <row r="35337">
      <c r="B35337" s="36"/>
      <c r="C35337" s="36"/>
      <c r="E35337" s="1"/>
      <c r="F35337" s="1"/>
      <c r="G35337" s="1"/>
    </row>
    <row r="35338">
      <c r="B35338" s="36"/>
      <c r="C35338" s="36"/>
      <c r="E35338" s="1"/>
      <c r="F35338" s="1"/>
      <c r="G35338" s="1"/>
    </row>
    <row r="35339">
      <c r="B35339" s="36"/>
      <c r="C35339" s="36"/>
      <c r="E35339" s="1"/>
      <c r="F35339" s="1"/>
      <c r="G35339" s="1"/>
    </row>
    <row r="35340">
      <c r="B35340" s="36"/>
      <c r="C35340" s="36"/>
      <c r="E35340" s="1"/>
      <c r="F35340" s="1"/>
      <c r="G35340" s="1"/>
    </row>
    <row r="35341">
      <c r="B35341" s="36"/>
      <c r="C35341" s="36"/>
      <c r="E35341" s="1"/>
      <c r="F35341" s="1"/>
      <c r="G35341" s="1"/>
    </row>
    <row r="35342">
      <c r="B35342" s="36"/>
      <c r="C35342" s="36"/>
      <c r="E35342" s="1"/>
      <c r="F35342" s="1"/>
      <c r="G35342" s="1"/>
    </row>
    <row r="35343">
      <c r="B35343" s="36"/>
      <c r="C35343" s="36"/>
      <c r="E35343" s="1"/>
      <c r="F35343" s="1"/>
      <c r="G35343" s="1"/>
    </row>
    <row r="35344">
      <c r="B35344" s="36"/>
      <c r="C35344" s="36"/>
      <c r="E35344" s="1"/>
      <c r="F35344" s="1"/>
      <c r="G35344" s="1"/>
    </row>
    <row r="35345">
      <c r="B35345" s="36"/>
      <c r="C35345" s="36"/>
      <c r="E35345" s="1"/>
      <c r="F35345" s="1"/>
      <c r="G35345" s="1"/>
    </row>
    <row r="35346">
      <c r="B35346" s="36"/>
      <c r="C35346" s="36"/>
      <c r="E35346" s="1"/>
      <c r="F35346" s="1"/>
      <c r="G35346" s="1"/>
    </row>
    <row r="35347">
      <c r="B35347" s="36"/>
      <c r="C35347" s="36"/>
      <c r="E35347" s="1"/>
      <c r="F35347" s="1"/>
      <c r="G35347" s="1"/>
    </row>
    <row r="35348">
      <c r="B35348" s="36"/>
      <c r="C35348" s="36"/>
      <c r="E35348" s="1"/>
      <c r="F35348" s="1"/>
      <c r="G35348" s="1"/>
    </row>
    <row r="35349">
      <c r="B35349" s="36"/>
      <c r="C35349" s="36"/>
      <c r="E35349" s="1"/>
      <c r="F35349" s="1"/>
      <c r="G35349" s="1"/>
    </row>
    <row r="35350">
      <c r="B35350" s="36"/>
      <c r="C35350" s="36"/>
      <c r="E35350" s="1"/>
      <c r="F35350" s="1"/>
      <c r="G35350" s="1"/>
    </row>
    <row r="35351">
      <c r="B35351" s="36"/>
      <c r="C35351" s="36"/>
      <c r="E35351" s="1"/>
      <c r="F35351" s="1"/>
      <c r="G35351" s="1"/>
    </row>
    <row r="35352">
      <c r="B35352" s="36"/>
      <c r="C35352" s="36"/>
      <c r="E35352" s="1"/>
      <c r="F35352" s="1"/>
      <c r="G35352" s="1"/>
    </row>
    <row r="35353">
      <c r="B35353" s="36"/>
      <c r="C35353" s="36"/>
      <c r="E35353" s="1"/>
      <c r="F35353" s="1"/>
      <c r="G35353" s="1"/>
    </row>
    <row r="35354">
      <c r="B35354" s="36"/>
      <c r="C35354" s="36"/>
      <c r="E35354" s="1"/>
      <c r="F35354" s="1"/>
      <c r="G35354" s="1"/>
    </row>
    <row r="35355">
      <c r="B35355" s="36"/>
      <c r="C35355" s="36"/>
      <c r="E35355" s="1"/>
      <c r="F35355" s="1"/>
      <c r="G35355" s="1"/>
    </row>
    <row r="35356">
      <c r="B35356" s="36"/>
      <c r="C35356" s="36"/>
      <c r="E35356" s="1"/>
      <c r="F35356" s="1"/>
      <c r="G35356" s="1"/>
    </row>
    <row r="35357">
      <c r="B35357" s="36"/>
      <c r="C35357" s="36"/>
      <c r="E35357" s="1"/>
      <c r="F35357" s="1"/>
      <c r="G35357" s="1"/>
    </row>
    <row r="35358">
      <c r="B35358" s="36"/>
      <c r="C35358" s="36"/>
      <c r="E35358" s="1"/>
      <c r="F35358" s="1"/>
      <c r="G35358" s="1"/>
    </row>
    <row r="35359">
      <c r="B35359" s="36"/>
      <c r="C35359" s="36"/>
      <c r="E35359" s="1"/>
      <c r="F35359" s="1"/>
      <c r="G35359" s="1"/>
    </row>
    <row r="35360">
      <c r="B35360" s="36"/>
      <c r="C35360" s="36"/>
      <c r="E35360" s="1"/>
      <c r="F35360" s="1"/>
      <c r="G35360" s="1"/>
    </row>
    <row r="35361">
      <c r="B35361" s="36"/>
      <c r="C35361" s="36"/>
      <c r="E35361" s="1"/>
      <c r="F35361" s="1"/>
      <c r="G35361" s="1"/>
    </row>
    <row r="35362">
      <c r="B35362" s="36"/>
      <c r="C35362" s="36"/>
      <c r="E35362" s="1"/>
      <c r="F35362" s="1"/>
      <c r="G35362" s="1"/>
    </row>
    <row r="35363">
      <c r="B35363" s="36"/>
      <c r="C35363" s="36"/>
      <c r="E35363" s="1"/>
      <c r="F35363" s="1"/>
      <c r="G35363" s="1"/>
    </row>
    <row r="35364">
      <c r="B35364" s="36"/>
      <c r="C35364" s="36"/>
      <c r="E35364" s="1"/>
      <c r="F35364" s="1"/>
      <c r="G35364" s="1"/>
    </row>
    <row r="35365">
      <c r="B35365" s="36"/>
      <c r="C35365" s="36"/>
      <c r="E35365" s="1"/>
      <c r="F35365" s="1"/>
      <c r="G35365" s="1"/>
    </row>
    <row r="35366">
      <c r="B35366" s="36"/>
      <c r="C35366" s="36"/>
      <c r="E35366" s="1"/>
      <c r="F35366" s="1"/>
      <c r="G35366" s="1"/>
    </row>
    <row r="35367">
      <c r="B35367" s="36"/>
      <c r="C35367" s="36"/>
      <c r="E35367" s="1"/>
      <c r="F35367" s="1"/>
      <c r="G35367" s="1"/>
    </row>
    <row r="35368">
      <c r="B35368" s="36"/>
      <c r="C35368" s="36"/>
      <c r="E35368" s="1"/>
      <c r="F35368" s="1"/>
      <c r="G35368" s="1"/>
    </row>
    <row r="35369">
      <c r="B35369" s="36"/>
      <c r="C35369" s="36"/>
      <c r="E35369" s="1"/>
      <c r="F35369" s="1"/>
      <c r="G35369" s="1"/>
    </row>
    <row r="35370">
      <c r="B35370" s="36"/>
      <c r="C35370" s="36"/>
      <c r="E35370" s="1"/>
      <c r="F35370" s="1"/>
      <c r="G35370" s="1"/>
    </row>
    <row r="35371">
      <c r="B35371" s="36"/>
      <c r="C35371" s="36"/>
      <c r="E35371" s="1"/>
      <c r="F35371" s="1"/>
      <c r="G35371" s="1"/>
    </row>
    <row r="35372">
      <c r="B35372" s="36"/>
      <c r="C35372" s="36"/>
      <c r="E35372" s="1"/>
      <c r="F35372" s="1"/>
      <c r="G35372" s="1"/>
    </row>
    <row r="35373">
      <c r="B35373" s="36"/>
      <c r="C35373" s="36"/>
      <c r="E35373" s="1"/>
      <c r="F35373" s="1"/>
      <c r="G35373" s="1"/>
    </row>
    <row r="35374">
      <c r="B35374" s="36"/>
      <c r="C35374" s="36"/>
      <c r="E35374" s="1"/>
      <c r="F35374" s="1"/>
      <c r="G35374" s="1"/>
    </row>
    <row r="35375">
      <c r="B35375" s="36"/>
      <c r="C35375" s="36"/>
      <c r="E35375" s="1"/>
      <c r="F35375" s="1"/>
      <c r="G35375" s="1"/>
    </row>
    <row r="35376">
      <c r="B35376" s="36"/>
      <c r="C35376" s="36"/>
      <c r="E35376" s="1"/>
      <c r="F35376" s="1"/>
      <c r="G35376" s="1"/>
    </row>
    <row r="35377">
      <c r="B35377" s="36"/>
      <c r="C35377" s="36"/>
      <c r="E35377" s="1"/>
      <c r="F35377" s="1"/>
      <c r="G35377" s="1"/>
    </row>
    <row r="35378">
      <c r="B35378" s="36"/>
      <c r="C35378" s="36"/>
      <c r="E35378" s="1"/>
      <c r="F35378" s="1"/>
      <c r="G35378" s="1"/>
    </row>
    <row r="35379">
      <c r="B35379" s="36"/>
      <c r="C35379" s="36"/>
      <c r="E35379" s="1"/>
      <c r="F35379" s="1"/>
      <c r="G35379" s="1"/>
    </row>
    <row r="35380">
      <c r="B35380" s="36"/>
      <c r="C35380" s="36"/>
      <c r="E35380" s="1"/>
      <c r="F35380" s="1"/>
      <c r="G35380" s="1"/>
    </row>
    <row r="35381">
      <c r="B35381" s="36"/>
      <c r="C35381" s="36"/>
      <c r="E35381" s="1"/>
      <c r="F35381" s="1"/>
      <c r="G35381" s="1"/>
    </row>
    <row r="35382">
      <c r="B35382" s="36"/>
      <c r="C35382" s="36"/>
      <c r="E35382" s="1"/>
      <c r="F35382" s="1"/>
      <c r="G35382" s="1"/>
    </row>
    <row r="35383">
      <c r="B35383" s="36"/>
      <c r="C35383" s="36"/>
      <c r="E35383" s="1"/>
      <c r="F35383" s="1"/>
      <c r="G35383" s="1"/>
    </row>
    <row r="35384">
      <c r="B35384" s="36"/>
      <c r="C35384" s="36"/>
      <c r="E35384" s="1"/>
      <c r="F35384" s="1"/>
      <c r="G35384" s="1"/>
    </row>
    <row r="35385">
      <c r="B35385" s="36"/>
      <c r="C35385" s="36"/>
      <c r="E35385" s="1"/>
      <c r="F35385" s="1"/>
      <c r="G35385" s="1"/>
    </row>
    <row r="35386">
      <c r="B35386" s="36"/>
      <c r="C35386" s="36"/>
      <c r="E35386" s="1"/>
      <c r="F35386" s="1"/>
      <c r="G35386" s="1"/>
    </row>
    <row r="35387">
      <c r="B35387" s="36"/>
      <c r="C35387" s="36"/>
      <c r="E35387" s="1"/>
      <c r="F35387" s="1"/>
      <c r="G35387" s="1"/>
    </row>
    <row r="35388">
      <c r="B35388" s="36"/>
      <c r="C35388" s="36"/>
      <c r="E35388" s="1"/>
      <c r="F35388" s="1"/>
      <c r="G35388" s="1"/>
    </row>
    <row r="35389">
      <c r="B35389" s="36"/>
      <c r="C35389" s="36"/>
      <c r="E35389" s="1"/>
      <c r="F35389" s="1"/>
      <c r="G35389" s="1"/>
    </row>
    <row r="35390">
      <c r="B35390" s="36"/>
      <c r="C35390" s="36"/>
      <c r="E35390" s="1"/>
      <c r="F35390" s="1"/>
      <c r="G35390" s="1"/>
    </row>
    <row r="35391">
      <c r="B35391" s="36"/>
      <c r="C35391" s="36"/>
      <c r="E35391" s="1"/>
      <c r="F35391" s="1"/>
      <c r="G35391" s="1"/>
    </row>
    <row r="35392">
      <c r="B35392" s="36"/>
      <c r="C35392" s="36"/>
      <c r="E35392" s="1"/>
      <c r="F35392" s="1"/>
      <c r="G35392" s="1"/>
    </row>
    <row r="35393">
      <c r="B35393" s="36"/>
      <c r="C35393" s="36"/>
      <c r="E35393" s="1"/>
      <c r="F35393" s="1"/>
      <c r="G35393" s="1"/>
    </row>
    <row r="35394">
      <c r="B35394" s="36"/>
      <c r="C35394" s="36"/>
      <c r="E35394" s="1"/>
      <c r="F35394" s="1"/>
      <c r="G35394" s="1"/>
    </row>
    <row r="35395">
      <c r="B35395" s="36"/>
      <c r="C35395" s="36"/>
      <c r="E35395" s="1"/>
      <c r="F35395" s="1"/>
      <c r="G35395" s="1"/>
    </row>
    <row r="35396">
      <c r="B35396" s="36"/>
      <c r="C35396" s="36"/>
      <c r="E35396" s="1"/>
      <c r="F35396" s="1"/>
      <c r="G35396" s="1"/>
    </row>
    <row r="35397">
      <c r="B35397" s="36"/>
      <c r="C35397" s="36"/>
      <c r="E35397" s="1"/>
      <c r="F35397" s="1"/>
      <c r="G35397" s="1"/>
    </row>
    <row r="35398">
      <c r="B35398" s="36"/>
      <c r="C35398" s="36"/>
      <c r="E35398" s="1"/>
      <c r="F35398" s="1"/>
      <c r="G35398" s="1"/>
    </row>
    <row r="35399">
      <c r="B35399" s="36"/>
      <c r="C35399" s="36"/>
      <c r="E35399" s="1"/>
      <c r="F35399" s="1"/>
      <c r="G35399" s="1"/>
    </row>
    <row r="35400">
      <c r="B35400" s="36"/>
      <c r="C35400" s="36"/>
      <c r="E35400" s="1"/>
      <c r="F35400" s="1"/>
      <c r="G35400" s="1"/>
    </row>
    <row r="35401">
      <c r="B35401" s="36"/>
      <c r="C35401" s="36"/>
      <c r="E35401" s="1"/>
      <c r="F35401" s="1"/>
      <c r="G35401" s="1"/>
    </row>
    <row r="35402">
      <c r="B35402" s="36"/>
      <c r="C35402" s="36"/>
      <c r="E35402" s="1"/>
      <c r="F35402" s="1"/>
      <c r="G35402" s="1"/>
    </row>
    <row r="35403">
      <c r="B35403" s="36"/>
      <c r="C35403" s="36"/>
      <c r="E35403" s="1"/>
      <c r="F35403" s="1"/>
      <c r="G35403" s="1"/>
    </row>
    <row r="35404">
      <c r="B35404" s="36"/>
      <c r="C35404" s="36"/>
      <c r="E35404" s="1"/>
      <c r="F35404" s="1"/>
      <c r="G35404" s="1"/>
    </row>
    <row r="35405">
      <c r="B35405" s="36"/>
      <c r="C35405" s="36"/>
      <c r="E35405" s="1"/>
      <c r="F35405" s="1"/>
      <c r="G35405" s="1"/>
    </row>
    <row r="35406">
      <c r="B35406" s="36"/>
      <c r="C35406" s="36"/>
      <c r="E35406" s="1"/>
      <c r="F35406" s="1"/>
      <c r="G35406" s="1"/>
    </row>
    <row r="35407">
      <c r="B35407" s="36"/>
      <c r="C35407" s="36"/>
      <c r="E35407" s="1"/>
      <c r="F35407" s="1"/>
      <c r="G35407" s="1"/>
    </row>
    <row r="35408">
      <c r="B35408" s="36"/>
      <c r="C35408" s="36"/>
      <c r="E35408" s="1"/>
      <c r="F35408" s="1"/>
      <c r="G35408" s="1"/>
    </row>
    <row r="35409">
      <c r="B35409" s="36"/>
      <c r="C35409" s="36"/>
      <c r="E35409" s="1"/>
      <c r="F35409" s="1"/>
      <c r="G35409" s="1"/>
    </row>
    <row r="35410">
      <c r="B35410" s="36"/>
      <c r="C35410" s="36"/>
      <c r="E35410" s="1"/>
      <c r="F35410" s="1"/>
      <c r="G35410" s="1"/>
    </row>
    <row r="35411">
      <c r="B35411" s="36"/>
      <c r="C35411" s="36"/>
      <c r="E35411" s="1"/>
      <c r="F35411" s="1"/>
      <c r="G35411" s="1"/>
    </row>
    <row r="35412">
      <c r="B35412" s="36"/>
      <c r="C35412" s="36"/>
      <c r="E35412" s="1"/>
      <c r="F35412" s="1"/>
      <c r="G35412" s="1"/>
    </row>
    <row r="35413">
      <c r="B35413" s="36"/>
      <c r="C35413" s="36"/>
      <c r="E35413" s="1"/>
      <c r="F35413" s="1"/>
      <c r="G35413" s="1"/>
    </row>
    <row r="35414">
      <c r="B35414" s="36"/>
      <c r="C35414" s="36"/>
      <c r="E35414" s="1"/>
      <c r="F35414" s="1"/>
      <c r="G35414" s="1"/>
    </row>
    <row r="35415">
      <c r="B35415" s="36"/>
      <c r="C35415" s="36"/>
      <c r="E35415" s="1"/>
      <c r="F35415" s="1"/>
      <c r="G35415" s="1"/>
    </row>
    <row r="35416">
      <c r="B35416" s="36"/>
      <c r="C35416" s="36"/>
      <c r="E35416" s="1"/>
      <c r="F35416" s="1"/>
      <c r="G35416" s="1"/>
    </row>
    <row r="35417">
      <c r="B35417" s="36"/>
      <c r="C35417" s="36"/>
      <c r="E35417" s="1"/>
      <c r="F35417" s="1"/>
      <c r="G35417" s="1"/>
    </row>
    <row r="35418">
      <c r="B35418" s="36"/>
      <c r="C35418" s="36"/>
      <c r="E35418" s="1"/>
      <c r="F35418" s="1"/>
      <c r="G35418" s="1"/>
    </row>
    <row r="35419">
      <c r="B35419" s="36"/>
      <c r="C35419" s="36"/>
      <c r="E35419" s="1"/>
      <c r="F35419" s="1"/>
      <c r="G35419" s="1"/>
    </row>
    <row r="35420">
      <c r="B35420" s="36"/>
      <c r="C35420" s="36"/>
      <c r="E35420" s="1"/>
      <c r="F35420" s="1"/>
      <c r="G35420" s="1"/>
    </row>
    <row r="35421">
      <c r="B35421" s="36"/>
      <c r="C35421" s="36"/>
      <c r="E35421" s="1"/>
      <c r="F35421" s="1"/>
      <c r="G35421" s="1"/>
    </row>
    <row r="35422">
      <c r="B35422" s="36"/>
      <c r="C35422" s="36"/>
      <c r="E35422" s="1"/>
      <c r="F35422" s="1"/>
      <c r="G35422" s="1"/>
    </row>
    <row r="35423">
      <c r="B35423" s="36"/>
      <c r="C35423" s="36"/>
      <c r="E35423" s="1"/>
      <c r="F35423" s="1"/>
      <c r="G35423" s="1"/>
    </row>
    <row r="35424">
      <c r="B35424" s="36"/>
      <c r="C35424" s="36"/>
      <c r="E35424" s="1"/>
      <c r="F35424" s="1"/>
      <c r="G35424" s="1"/>
    </row>
    <row r="35425">
      <c r="B35425" s="36"/>
      <c r="C35425" s="36"/>
      <c r="E35425" s="1"/>
      <c r="F35425" s="1"/>
      <c r="G35425" s="1"/>
    </row>
    <row r="35426">
      <c r="B35426" s="36"/>
      <c r="C35426" s="36"/>
      <c r="E35426" s="1"/>
      <c r="F35426" s="1"/>
      <c r="G35426" s="1"/>
    </row>
    <row r="35427">
      <c r="B35427" s="36"/>
      <c r="C35427" s="36"/>
      <c r="E35427" s="1"/>
      <c r="F35427" s="1"/>
      <c r="G35427" s="1"/>
    </row>
    <row r="35428">
      <c r="B35428" s="36"/>
      <c r="C35428" s="36"/>
      <c r="E35428" s="1"/>
      <c r="F35428" s="1"/>
      <c r="G35428" s="1"/>
    </row>
    <row r="35429">
      <c r="B35429" s="36"/>
      <c r="C35429" s="36"/>
      <c r="E35429" s="1"/>
      <c r="F35429" s="1"/>
      <c r="G35429" s="1"/>
    </row>
    <row r="35430">
      <c r="B35430" s="36"/>
      <c r="C35430" s="36"/>
      <c r="E35430" s="1"/>
      <c r="F35430" s="1"/>
      <c r="G35430" s="1"/>
    </row>
    <row r="35431">
      <c r="B35431" s="36"/>
      <c r="C35431" s="36"/>
      <c r="E35431" s="1"/>
      <c r="F35431" s="1"/>
      <c r="G35431" s="1"/>
    </row>
    <row r="35432">
      <c r="B35432" s="36"/>
      <c r="C35432" s="36"/>
      <c r="E35432" s="1"/>
      <c r="F35432" s="1"/>
      <c r="G35432" s="1"/>
    </row>
    <row r="35433">
      <c r="B35433" s="36"/>
      <c r="C35433" s="36"/>
      <c r="E35433" s="1"/>
      <c r="F35433" s="1"/>
      <c r="G35433" s="1"/>
    </row>
    <row r="35434">
      <c r="B35434" s="36"/>
      <c r="C35434" s="36"/>
      <c r="E35434" s="1"/>
      <c r="F35434" s="1"/>
      <c r="G35434" s="1"/>
    </row>
    <row r="35435">
      <c r="B35435" s="36"/>
      <c r="C35435" s="36"/>
      <c r="E35435" s="1"/>
      <c r="F35435" s="1"/>
      <c r="G35435" s="1"/>
    </row>
    <row r="35436">
      <c r="B35436" s="36"/>
      <c r="C35436" s="36"/>
      <c r="E35436" s="1"/>
      <c r="F35436" s="1"/>
      <c r="G35436" s="1"/>
    </row>
    <row r="35437">
      <c r="B35437" s="36"/>
      <c r="C35437" s="36"/>
      <c r="E35437" s="1"/>
      <c r="F35437" s="1"/>
      <c r="G35437" s="1"/>
    </row>
    <row r="35438">
      <c r="B35438" s="36"/>
      <c r="C35438" s="36"/>
      <c r="E35438" s="1"/>
      <c r="F35438" s="1"/>
      <c r="G35438" s="1"/>
    </row>
    <row r="35439">
      <c r="B35439" s="36"/>
      <c r="C35439" s="36"/>
      <c r="E35439" s="1"/>
      <c r="F35439" s="1"/>
      <c r="G35439" s="1"/>
    </row>
    <row r="35440">
      <c r="B35440" s="36"/>
      <c r="C35440" s="36"/>
      <c r="E35440" s="1"/>
      <c r="F35440" s="1"/>
      <c r="G35440" s="1"/>
    </row>
    <row r="35441">
      <c r="B35441" s="36"/>
      <c r="C35441" s="36"/>
      <c r="E35441" s="1"/>
      <c r="F35441" s="1"/>
      <c r="G35441" s="1"/>
    </row>
    <row r="35442">
      <c r="B35442" s="36"/>
      <c r="C35442" s="36"/>
      <c r="E35442" s="1"/>
      <c r="F35442" s="1"/>
      <c r="G35442" s="1"/>
    </row>
    <row r="35443">
      <c r="B35443" s="36"/>
      <c r="C35443" s="36"/>
      <c r="E35443" s="1"/>
      <c r="F35443" s="1"/>
      <c r="G35443" s="1"/>
    </row>
    <row r="35444">
      <c r="B35444" s="36"/>
      <c r="C35444" s="36"/>
      <c r="E35444" s="1"/>
      <c r="F35444" s="1"/>
      <c r="G35444" s="1"/>
    </row>
    <row r="35445">
      <c r="B35445" s="36"/>
      <c r="C35445" s="36"/>
      <c r="E35445" s="1"/>
      <c r="F35445" s="1"/>
      <c r="G35445" s="1"/>
    </row>
    <row r="35446">
      <c r="B35446" s="36"/>
      <c r="C35446" s="36"/>
      <c r="E35446" s="1"/>
      <c r="F35446" s="1"/>
      <c r="G35446" s="1"/>
    </row>
    <row r="35447">
      <c r="B35447" s="36"/>
      <c r="C35447" s="36"/>
      <c r="E35447" s="1"/>
      <c r="F35447" s="1"/>
      <c r="G35447" s="1"/>
    </row>
    <row r="35448">
      <c r="B35448" s="36"/>
      <c r="C35448" s="36"/>
      <c r="E35448" s="1"/>
      <c r="F35448" s="1"/>
      <c r="G35448" s="1"/>
    </row>
    <row r="35449">
      <c r="B35449" s="36"/>
      <c r="C35449" s="36"/>
      <c r="E35449" s="1"/>
      <c r="F35449" s="1"/>
      <c r="G35449" s="1"/>
    </row>
    <row r="35450">
      <c r="B35450" s="36"/>
      <c r="C35450" s="36"/>
      <c r="E35450" s="1"/>
      <c r="F35450" s="1"/>
      <c r="G35450" s="1"/>
    </row>
    <row r="35451">
      <c r="B35451" s="36"/>
      <c r="C35451" s="36"/>
      <c r="E35451" s="1"/>
      <c r="F35451" s="1"/>
      <c r="G35451" s="1"/>
    </row>
    <row r="35452">
      <c r="B35452" s="36"/>
      <c r="C35452" s="36"/>
      <c r="E35452" s="1"/>
      <c r="F35452" s="1"/>
      <c r="G35452" s="1"/>
    </row>
    <row r="35453">
      <c r="B35453" s="36"/>
      <c r="C35453" s="36"/>
      <c r="E35453" s="1"/>
      <c r="F35453" s="1"/>
      <c r="G35453" s="1"/>
    </row>
    <row r="35454">
      <c r="B35454" s="36"/>
      <c r="C35454" s="36"/>
      <c r="E35454" s="1"/>
      <c r="F35454" s="1"/>
      <c r="G35454" s="1"/>
    </row>
    <row r="35455">
      <c r="B35455" s="36"/>
      <c r="C35455" s="36"/>
      <c r="E35455" s="1"/>
      <c r="F35455" s="1"/>
      <c r="G35455" s="1"/>
    </row>
    <row r="35456">
      <c r="B35456" s="36"/>
      <c r="C35456" s="36"/>
      <c r="E35456" s="1"/>
      <c r="F35456" s="1"/>
      <c r="G35456" s="1"/>
    </row>
    <row r="35457">
      <c r="B35457" s="36"/>
      <c r="C35457" s="36"/>
      <c r="E35457" s="1"/>
      <c r="F35457" s="1"/>
      <c r="G35457" s="1"/>
    </row>
    <row r="35458">
      <c r="B35458" s="36"/>
      <c r="C35458" s="36"/>
      <c r="E35458" s="1"/>
      <c r="F35458" s="1"/>
      <c r="G35458" s="1"/>
    </row>
    <row r="35459">
      <c r="B35459" s="36"/>
      <c r="C35459" s="36"/>
      <c r="E35459" s="1"/>
      <c r="F35459" s="1"/>
      <c r="G35459" s="1"/>
    </row>
    <row r="35460">
      <c r="B35460" s="36"/>
      <c r="C35460" s="36"/>
      <c r="E35460" s="1"/>
      <c r="F35460" s="1"/>
      <c r="G35460" s="1"/>
    </row>
    <row r="35461">
      <c r="B35461" s="36"/>
      <c r="C35461" s="36"/>
      <c r="E35461" s="1"/>
      <c r="F35461" s="1"/>
      <c r="G35461" s="1"/>
    </row>
    <row r="35462">
      <c r="B35462" s="36"/>
      <c r="C35462" s="36"/>
      <c r="E35462" s="1"/>
      <c r="F35462" s="1"/>
      <c r="G35462" s="1"/>
    </row>
    <row r="35463">
      <c r="B35463" s="36"/>
      <c r="C35463" s="36"/>
      <c r="E35463" s="1"/>
      <c r="F35463" s="1"/>
      <c r="G35463" s="1"/>
    </row>
    <row r="35464">
      <c r="B35464" s="36"/>
      <c r="C35464" s="36"/>
      <c r="E35464" s="1"/>
      <c r="F35464" s="1"/>
      <c r="G35464" s="1"/>
    </row>
    <row r="35465">
      <c r="B35465" s="36"/>
      <c r="C35465" s="36"/>
      <c r="E35465" s="1"/>
      <c r="F35465" s="1"/>
      <c r="G35465" s="1"/>
    </row>
    <row r="35466">
      <c r="B35466" s="36"/>
      <c r="C35466" s="36"/>
      <c r="E35466" s="1"/>
      <c r="F35466" s="1"/>
      <c r="G35466" s="1"/>
    </row>
    <row r="35467">
      <c r="B35467" s="36"/>
      <c r="C35467" s="36"/>
      <c r="E35467" s="1"/>
      <c r="F35467" s="1"/>
      <c r="G35467" s="1"/>
    </row>
    <row r="35468">
      <c r="B35468" s="36"/>
      <c r="C35468" s="36"/>
      <c r="E35468" s="1"/>
      <c r="F35468" s="1"/>
      <c r="G35468" s="1"/>
    </row>
    <row r="35469">
      <c r="B35469" s="36"/>
      <c r="C35469" s="36"/>
      <c r="E35469" s="1"/>
      <c r="F35469" s="1"/>
      <c r="G35469" s="1"/>
    </row>
    <row r="35470">
      <c r="B35470" s="36"/>
      <c r="C35470" s="36"/>
      <c r="E35470" s="1"/>
      <c r="F35470" s="1"/>
      <c r="G35470" s="1"/>
    </row>
    <row r="35471">
      <c r="B35471" s="36"/>
      <c r="C35471" s="36"/>
      <c r="E35471" s="1"/>
      <c r="F35471" s="1"/>
      <c r="G35471" s="1"/>
    </row>
    <row r="35472">
      <c r="B35472" s="36"/>
      <c r="C35472" s="36"/>
      <c r="E35472" s="1"/>
      <c r="F35472" s="1"/>
      <c r="G35472" s="1"/>
    </row>
    <row r="35473">
      <c r="B35473" s="36"/>
      <c r="C35473" s="36"/>
      <c r="E35473" s="1"/>
      <c r="F35473" s="1"/>
      <c r="G35473" s="1"/>
    </row>
    <row r="35474">
      <c r="B35474" s="36"/>
      <c r="C35474" s="36"/>
      <c r="E35474" s="1"/>
      <c r="F35474" s="1"/>
      <c r="G35474" s="1"/>
    </row>
    <row r="35475">
      <c r="B35475" s="36"/>
      <c r="C35475" s="36"/>
      <c r="E35475" s="1"/>
      <c r="F35475" s="1"/>
      <c r="G35475" s="1"/>
    </row>
    <row r="35476">
      <c r="B35476" s="36"/>
      <c r="C35476" s="36"/>
      <c r="E35476" s="1"/>
      <c r="F35476" s="1"/>
      <c r="G35476" s="1"/>
    </row>
    <row r="35477">
      <c r="B35477" s="36"/>
      <c r="C35477" s="36"/>
      <c r="E35477" s="1"/>
      <c r="F35477" s="1"/>
      <c r="G35477" s="1"/>
    </row>
    <row r="35478">
      <c r="B35478" s="36"/>
      <c r="C35478" s="36"/>
      <c r="E35478" s="1"/>
      <c r="F35478" s="1"/>
      <c r="G35478" s="1"/>
    </row>
    <row r="35479">
      <c r="B35479" s="36"/>
      <c r="C35479" s="36"/>
      <c r="E35479" s="1"/>
      <c r="F35479" s="1"/>
      <c r="G35479" s="1"/>
    </row>
    <row r="35480">
      <c r="B35480" s="36"/>
      <c r="C35480" s="36"/>
      <c r="E35480" s="1"/>
      <c r="F35480" s="1"/>
      <c r="G35480" s="1"/>
    </row>
    <row r="35481">
      <c r="B35481" s="36"/>
      <c r="C35481" s="36"/>
      <c r="E35481" s="1"/>
      <c r="F35481" s="1"/>
      <c r="G35481" s="1"/>
    </row>
    <row r="35482">
      <c r="B35482" s="36"/>
      <c r="C35482" s="36"/>
      <c r="E35482" s="1"/>
      <c r="F35482" s="1"/>
      <c r="G35482" s="1"/>
    </row>
    <row r="35483">
      <c r="B35483" s="36"/>
      <c r="C35483" s="36"/>
      <c r="E35483" s="1"/>
      <c r="F35483" s="1"/>
      <c r="G35483" s="1"/>
    </row>
    <row r="35484">
      <c r="B35484" s="36"/>
      <c r="C35484" s="36"/>
      <c r="E35484" s="1"/>
      <c r="F35484" s="1"/>
      <c r="G35484" s="1"/>
    </row>
    <row r="35485">
      <c r="B35485" s="36"/>
      <c r="C35485" s="36"/>
      <c r="E35485" s="1"/>
      <c r="F35485" s="1"/>
      <c r="G35485" s="1"/>
    </row>
    <row r="35486">
      <c r="B35486" s="36"/>
      <c r="C35486" s="36"/>
      <c r="E35486" s="1"/>
      <c r="F35486" s="1"/>
      <c r="G35486" s="1"/>
    </row>
    <row r="35487">
      <c r="B35487" s="36"/>
      <c r="C35487" s="36"/>
      <c r="E35487" s="1"/>
      <c r="F35487" s="1"/>
      <c r="G35487" s="1"/>
    </row>
    <row r="35488">
      <c r="B35488" s="36"/>
      <c r="C35488" s="36"/>
      <c r="E35488" s="1"/>
      <c r="F35488" s="1"/>
      <c r="G35488" s="1"/>
    </row>
    <row r="35489">
      <c r="B35489" s="36"/>
      <c r="C35489" s="36"/>
      <c r="E35489" s="1"/>
      <c r="F35489" s="1"/>
      <c r="G35489" s="1"/>
    </row>
    <row r="35490">
      <c r="B35490" s="36"/>
      <c r="C35490" s="36"/>
      <c r="E35490" s="1"/>
      <c r="F35490" s="1"/>
      <c r="G35490" s="1"/>
    </row>
    <row r="35491">
      <c r="B35491" s="36"/>
      <c r="C35491" s="36"/>
      <c r="E35491" s="1"/>
      <c r="F35491" s="1"/>
      <c r="G35491" s="1"/>
    </row>
    <row r="35492">
      <c r="B35492" s="36"/>
      <c r="C35492" s="36"/>
      <c r="E35492" s="1"/>
      <c r="F35492" s="1"/>
      <c r="G35492" s="1"/>
    </row>
    <row r="35493">
      <c r="B35493" s="36"/>
      <c r="C35493" s="36"/>
      <c r="E35493" s="1"/>
      <c r="F35493" s="1"/>
      <c r="G35493" s="1"/>
    </row>
    <row r="35494">
      <c r="B35494" s="36"/>
      <c r="C35494" s="36"/>
      <c r="E35494" s="1"/>
      <c r="F35494" s="1"/>
      <c r="G35494" s="1"/>
    </row>
    <row r="35495">
      <c r="B35495" s="36"/>
      <c r="C35495" s="36"/>
      <c r="E35495" s="1"/>
      <c r="F35495" s="1"/>
      <c r="G35495" s="1"/>
    </row>
    <row r="35496">
      <c r="B35496" s="36"/>
      <c r="C35496" s="36"/>
      <c r="E35496" s="1"/>
      <c r="F35496" s="1"/>
      <c r="G35496" s="1"/>
    </row>
    <row r="35497">
      <c r="B35497" s="36"/>
      <c r="C35497" s="36"/>
      <c r="E35497" s="1"/>
      <c r="F35497" s="1"/>
      <c r="G35497" s="1"/>
    </row>
    <row r="35498">
      <c r="B35498" s="36"/>
      <c r="C35498" s="36"/>
      <c r="E35498" s="1"/>
      <c r="F35498" s="1"/>
      <c r="G35498" s="1"/>
    </row>
    <row r="35499">
      <c r="B35499" s="36"/>
      <c r="C35499" s="36"/>
      <c r="E35499" s="1"/>
      <c r="F35499" s="1"/>
      <c r="G35499" s="1"/>
    </row>
    <row r="35500">
      <c r="B35500" s="36"/>
      <c r="C35500" s="36"/>
      <c r="E35500" s="1"/>
      <c r="F35500" s="1"/>
      <c r="G35500" s="1"/>
    </row>
    <row r="35501">
      <c r="B35501" s="36"/>
      <c r="C35501" s="36"/>
      <c r="E35501" s="1"/>
      <c r="F35501" s="1"/>
      <c r="G35501" s="1"/>
    </row>
    <row r="35502">
      <c r="B35502" s="36"/>
      <c r="C35502" s="36"/>
      <c r="E35502" s="1"/>
      <c r="F35502" s="1"/>
      <c r="G35502" s="1"/>
    </row>
    <row r="35503">
      <c r="B35503" s="36"/>
      <c r="C35503" s="36"/>
      <c r="E35503" s="1"/>
      <c r="F35503" s="1"/>
      <c r="G35503" s="1"/>
    </row>
    <row r="35504">
      <c r="B35504" s="36"/>
      <c r="C35504" s="36"/>
      <c r="E35504" s="1"/>
      <c r="F35504" s="1"/>
      <c r="G35504" s="1"/>
    </row>
    <row r="35505">
      <c r="B35505" s="36"/>
      <c r="C35505" s="36"/>
      <c r="E35505" s="1"/>
      <c r="F35505" s="1"/>
      <c r="G35505" s="1"/>
    </row>
    <row r="35506">
      <c r="B35506" s="36"/>
      <c r="C35506" s="36"/>
      <c r="E35506" s="1"/>
      <c r="F35506" s="1"/>
      <c r="G35506" s="1"/>
    </row>
    <row r="35507">
      <c r="B35507" s="36"/>
      <c r="C35507" s="36"/>
      <c r="E35507" s="1"/>
      <c r="F35507" s="1"/>
      <c r="G35507" s="1"/>
    </row>
    <row r="35508">
      <c r="B35508" s="36"/>
      <c r="C35508" s="36"/>
      <c r="E35508" s="1"/>
      <c r="F35508" s="1"/>
      <c r="G35508" s="1"/>
    </row>
    <row r="35509">
      <c r="B35509" s="36"/>
      <c r="C35509" s="36"/>
      <c r="E35509" s="1"/>
      <c r="F35509" s="1"/>
      <c r="G35509" s="1"/>
    </row>
    <row r="35510">
      <c r="B35510" s="36"/>
      <c r="C35510" s="36"/>
      <c r="E35510" s="1"/>
      <c r="F35510" s="1"/>
      <c r="G35510" s="1"/>
    </row>
    <row r="35511">
      <c r="B35511" s="36"/>
      <c r="C35511" s="36"/>
      <c r="E35511" s="1"/>
      <c r="F35511" s="1"/>
      <c r="G35511" s="1"/>
    </row>
    <row r="35512">
      <c r="B35512" s="36"/>
      <c r="C35512" s="36"/>
      <c r="E35512" s="1"/>
      <c r="F35512" s="1"/>
      <c r="G35512" s="1"/>
    </row>
    <row r="35513">
      <c r="B35513" s="36"/>
      <c r="C35513" s="36"/>
      <c r="E35513" s="1"/>
      <c r="F35513" s="1"/>
      <c r="G35513" s="1"/>
    </row>
    <row r="35514">
      <c r="B35514" s="36"/>
      <c r="C35514" s="36"/>
      <c r="E35514" s="1"/>
      <c r="F35514" s="1"/>
      <c r="G35514" s="1"/>
    </row>
    <row r="35515">
      <c r="B35515" s="36"/>
      <c r="C35515" s="36"/>
      <c r="E35515" s="1"/>
      <c r="F35515" s="1"/>
      <c r="G35515" s="1"/>
    </row>
    <row r="35516">
      <c r="B35516" s="36"/>
      <c r="C35516" s="36"/>
      <c r="E35516" s="1"/>
      <c r="F35516" s="1"/>
      <c r="G35516" s="1"/>
    </row>
    <row r="35517">
      <c r="B35517" s="36"/>
      <c r="C35517" s="36"/>
      <c r="E35517" s="1"/>
      <c r="F35517" s="1"/>
      <c r="G35517" s="1"/>
    </row>
    <row r="35518">
      <c r="B35518" s="36"/>
      <c r="C35518" s="36"/>
      <c r="E35518" s="1"/>
      <c r="F35518" s="1"/>
      <c r="G35518" s="1"/>
    </row>
    <row r="35519">
      <c r="B35519" s="36"/>
      <c r="C35519" s="36"/>
      <c r="E35519" s="1"/>
      <c r="F35519" s="1"/>
      <c r="G35519" s="1"/>
    </row>
    <row r="35520">
      <c r="B35520" s="36"/>
      <c r="C35520" s="36"/>
      <c r="E35520" s="1"/>
      <c r="F35520" s="1"/>
      <c r="G35520" s="1"/>
    </row>
    <row r="35521">
      <c r="B35521" s="36"/>
      <c r="C35521" s="36"/>
      <c r="E35521" s="1"/>
      <c r="F35521" s="1"/>
      <c r="G35521" s="1"/>
    </row>
    <row r="35522">
      <c r="B35522" s="36"/>
      <c r="C35522" s="36"/>
      <c r="E35522" s="1"/>
      <c r="F35522" s="1"/>
      <c r="G35522" s="1"/>
    </row>
    <row r="35523">
      <c r="B35523" s="36"/>
      <c r="C35523" s="36"/>
      <c r="E35523" s="1"/>
      <c r="F35523" s="1"/>
      <c r="G35523" s="1"/>
    </row>
    <row r="35524">
      <c r="B35524" s="36"/>
      <c r="C35524" s="36"/>
      <c r="E35524" s="1"/>
      <c r="F35524" s="1"/>
      <c r="G35524" s="1"/>
    </row>
    <row r="35525">
      <c r="B35525" s="36"/>
      <c r="C35525" s="36"/>
      <c r="E35525" s="1"/>
      <c r="F35525" s="1"/>
      <c r="G35525" s="1"/>
    </row>
    <row r="35526">
      <c r="B35526" s="36"/>
      <c r="C35526" s="36"/>
      <c r="E35526" s="1"/>
      <c r="F35526" s="1"/>
      <c r="G35526" s="1"/>
    </row>
    <row r="35527">
      <c r="B35527" s="36"/>
      <c r="C35527" s="36"/>
      <c r="E35527" s="1"/>
      <c r="F35527" s="1"/>
      <c r="G35527" s="1"/>
    </row>
    <row r="35528">
      <c r="B35528" s="36"/>
      <c r="C35528" s="36"/>
      <c r="E35528" s="1"/>
      <c r="F35528" s="1"/>
      <c r="G35528" s="1"/>
    </row>
    <row r="35529">
      <c r="B35529" s="36"/>
      <c r="C35529" s="36"/>
      <c r="E35529" s="1"/>
      <c r="F35529" s="1"/>
      <c r="G35529" s="1"/>
    </row>
    <row r="35530">
      <c r="B35530" s="36"/>
      <c r="C35530" s="36"/>
      <c r="E35530" s="1"/>
      <c r="F35530" s="1"/>
      <c r="G35530" s="1"/>
    </row>
    <row r="35531">
      <c r="B35531" s="36"/>
      <c r="C35531" s="36"/>
      <c r="E35531" s="1"/>
      <c r="F35531" s="1"/>
      <c r="G35531" s="1"/>
    </row>
    <row r="35532">
      <c r="B35532" s="36"/>
      <c r="C35532" s="36"/>
      <c r="E35532" s="1"/>
      <c r="F35532" s="1"/>
      <c r="G35532" s="1"/>
    </row>
    <row r="35533">
      <c r="B35533" s="36"/>
      <c r="C35533" s="36"/>
      <c r="E35533" s="1"/>
      <c r="F35533" s="1"/>
      <c r="G35533" s="1"/>
    </row>
    <row r="35534">
      <c r="B35534" s="36"/>
      <c r="C35534" s="36"/>
      <c r="E35534" s="1"/>
      <c r="F35534" s="1"/>
      <c r="G35534" s="1"/>
    </row>
    <row r="35535">
      <c r="B35535" s="36"/>
      <c r="C35535" s="36"/>
      <c r="E35535" s="1"/>
      <c r="F35535" s="1"/>
      <c r="G35535" s="1"/>
    </row>
    <row r="35536">
      <c r="B35536" s="36"/>
      <c r="C35536" s="36"/>
      <c r="E35536" s="1"/>
      <c r="F35536" s="1"/>
      <c r="G35536" s="1"/>
    </row>
    <row r="35537">
      <c r="B35537" s="36"/>
      <c r="C35537" s="36"/>
      <c r="E35537" s="1"/>
      <c r="F35537" s="1"/>
      <c r="G35537" s="1"/>
    </row>
    <row r="35538">
      <c r="B35538" s="36"/>
      <c r="C35538" s="36"/>
      <c r="E35538" s="1"/>
      <c r="F35538" s="1"/>
      <c r="G35538" s="1"/>
    </row>
    <row r="35539">
      <c r="B35539" s="36"/>
      <c r="C35539" s="36"/>
      <c r="E35539" s="1"/>
      <c r="F35539" s="1"/>
      <c r="G35539" s="1"/>
    </row>
    <row r="35540">
      <c r="B35540" s="36"/>
      <c r="C35540" s="36"/>
      <c r="E35540" s="1"/>
      <c r="F35540" s="1"/>
      <c r="G35540" s="1"/>
    </row>
    <row r="35541">
      <c r="B35541" s="36"/>
      <c r="C35541" s="36"/>
      <c r="E35541" s="1"/>
      <c r="F35541" s="1"/>
      <c r="G35541" s="1"/>
    </row>
    <row r="35542">
      <c r="B35542" s="36"/>
      <c r="C35542" s="36"/>
      <c r="E35542" s="1"/>
      <c r="F35542" s="1"/>
      <c r="G35542" s="1"/>
    </row>
    <row r="35543">
      <c r="B35543" s="36"/>
      <c r="C35543" s="36"/>
      <c r="E35543" s="1"/>
      <c r="F35543" s="1"/>
      <c r="G35543" s="1"/>
    </row>
    <row r="35544">
      <c r="B35544" s="36"/>
      <c r="C35544" s="36"/>
      <c r="E35544" s="1"/>
      <c r="F35544" s="1"/>
      <c r="G35544" s="1"/>
    </row>
    <row r="35545">
      <c r="B35545" s="36"/>
      <c r="C35545" s="36"/>
      <c r="E35545" s="1"/>
      <c r="F35545" s="1"/>
      <c r="G35545" s="1"/>
    </row>
    <row r="35546">
      <c r="B35546" s="36"/>
      <c r="C35546" s="36"/>
      <c r="E35546" s="1"/>
      <c r="F35546" s="1"/>
      <c r="G35546" s="1"/>
    </row>
    <row r="35547">
      <c r="B35547" s="36"/>
      <c r="C35547" s="36"/>
      <c r="E35547" s="1"/>
      <c r="F35547" s="1"/>
      <c r="G35547" s="1"/>
    </row>
    <row r="35548">
      <c r="B35548" s="36"/>
      <c r="C35548" s="36"/>
      <c r="E35548" s="1"/>
      <c r="F35548" s="1"/>
      <c r="G35548" s="1"/>
    </row>
    <row r="35549">
      <c r="B35549" s="36"/>
      <c r="C35549" s="36"/>
      <c r="E35549" s="1"/>
      <c r="F35549" s="1"/>
      <c r="G35549" s="1"/>
    </row>
    <row r="35550">
      <c r="B35550" s="36"/>
      <c r="C35550" s="36"/>
      <c r="E35550" s="1"/>
      <c r="F35550" s="1"/>
      <c r="G35550" s="1"/>
    </row>
    <row r="35551">
      <c r="B35551" s="36"/>
      <c r="C35551" s="36"/>
      <c r="E35551" s="1"/>
      <c r="F35551" s="1"/>
      <c r="G35551" s="1"/>
    </row>
    <row r="35552">
      <c r="B35552" s="36"/>
      <c r="C35552" s="36"/>
      <c r="E35552" s="1"/>
      <c r="F35552" s="1"/>
      <c r="G35552" s="1"/>
    </row>
    <row r="35553">
      <c r="B35553" s="36"/>
      <c r="C35553" s="36"/>
      <c r="E35553" s="1"/>
      <c r="F35553" s="1"/>
      <c r="G35553" s="1"/>
    </row>
    <row r="35554">
      <c r="B35554" s="36"/>
      <c r="C35554" s="36"/>
      <c r="E35554" s="1"/>
      <c r="F35554" s="1"/>
      <c r="G35554" s="1"/>
    </row>
    <row r="35555">
      <c r="B35555" s="36"/>
      <c r="C35555" s="36"/>
      <c r="E35555" s="1"/>
      <c r="F35555" s="1"/>
      <c r="G35555" s="1"/>
    </row>
    <row r="35556">
      <c r="B35556" s="36"/>
      <c r="C35556" s="36"/>
      <c r="E35556" s="1"/>
      <c r="F35556" s="1"/>
      <c r="G35556" s="1"/>
    </row>
    <row r="35557">
      <c r="B35557" s="36"/>
      <c r="C35557" s="36"/>
      <c r="E35557" s="1"/>
      <c r="F35557" s="1"/>
      <c r="G35557" s="1"/>
    </row>
    <row r="35558">
      <c r="B35558" s="36"/>
      <c r="C35558" s="36"/>
      <c r="E35558" s="1"/>
      <c r="F35558" s="1"/>
      <c r="G35558" s="1"/>
    </row>
    <row r="35559">
      <c r="B35559" s="36"/>
      <c r="C35559" s="36"/>
      <c r="E35559" s="1"/>
      <c r="F35559" s="1"/>
      <c r="G35559" s="1"/>
    </row>
    <row r="35560">
      <c r="B35560" s="36"/>
      <c r="C35560" s="36"/>
      <c r="E35560" s="1"/>
      <c r="F35560" s="1"/>
      <c r="G35560" s="1"/>
    </row>
    <row r="35561">
      <c r="B35561" s="36"/>
      <c r="C35561" s="36"/>
      <c r="E35561" s="1"/>
      <c r="F35561" s="1"/>
      <c r="G35561" s="1"/>
    </row>
    <row r="35562">
      <c r="B35562" s="36"/>
      <c r="C35562" s="36"/>
      <c r="E35562" s="1"/>
      <c r="F35562" s="1"/>
      <c r="G35562" s="1"/>
    </row>
    <row r="35563">
      <c r="B35563" s="36"/>
      <c r="C35563" s="36"/>
      <c r="E35563" s="1"/>
      <c r="F35563" s="1"/>
      <c r="G35563" s="1"/>
    </row>
    <row r="35564">
      <c r="B35564" s="36"/>
      <c r="C35564" s="36"/>
      <c r="E35564" s="1"/>
      <c r="F35564" s="1"/>
      <c r="G35564" s="1"/>
    </row>
    <row r="35565">
      <c r="B35565" s="36"/>
      <c r="C35565" s="36"/>
      <c r="E35565" s="1"/>
      <c r="F35565" s="1"/>
      <c r="G35565" s="1"/>
    </row>
    <row r="35566">
      <c r="B35566" s="36"/>
      <c r="C35566" s="36"/>
      <c r="E35566" s="1"/>
      <c r="F35566" s="1"/>
      <c r="G35566" s="1"/>
    </row>
    <row r="35567">
      <c r="B35567" s="36"/>
      <c r="C35567" s="36"/>
      <c r="E35567" s="1"/>
      <c r="F35567" s="1"/>
      <c r="G35567" s="1"/>
    </row>
    <row r="35568">
      <c r="B35568" s="36"/>
      <c r="C35568" s="36"/>
      <c r="E35568" s="1"/>
      <c r="F35568" s="1"/>
      <c r="G35568" s="1"/>
    </row>
    <row r="35569">
      <c r="B35569" s="36"/>
      <c r="C35569" s="36"/>
      <c r="E35569" s="1"/>
      <c r="F35569" s="1"/>
      <c r="G35569" s="1"/>
    </row>
    <row r="35570">
      <c r="B35570" s="36"/>
      <c r="C35570" s="36"/>
      <c r="E35570" s="1"/>
      <c r="F35570" s="1"/>
      <c r="G35570" s="1"/>
    </row>
    <row r="35571">
      <c r="B35571" s="36"/>
      <c r="C35571" s="36"/>
      <c r="E35571" s="1"/>
      <c r="F35571" s="1"/>
      <c r="G35571" s="1"/>
    </row>
    <row r="35572">
      <c r="B35572" s="36"/>
      <c r="C35572" s="36"/>
      <c r="E35572" s="1"/>
      <c r="F35572" s="1"/>
      <c r="G35572" s="1"/>
    </row>
    <row r="35573">
      <c r="B35573" s="36"/>
      <c r="C35573" s="36"/>
      <c r="E35573" s="1"/>
      <c r="F35573" s="1"/>
      <c r="G35573" s="1"/>
    </row>
    <row r="35574">
      <c r="B35574" s="36"/>
      <c r="C35574" s="36"/>
      <c r="E35574" s="1"/>
      <c r="F35574" s="1"/>
      <c r="G35574" s="1"/>
    </row>
    <row r="35575">
      <c r="B35575" s="36"/>
      <c r="C35575" s="36"/>
      <c r="E35575" s="1"/>
      <c r="F35575" s="1"/>
      <c r="G35575" s="1"/>
    </row>
    <row r="35576">
      <c r="B35576" s="36"/>
      <c r="C35576" s="36"/>
      <c r="E35576" s="1"/>
      <c r="F35576" s="1"/>
      <c r="G35576" s="1"/>
    </row>
    <row r="35577">
      <c r="B35577" s="36"/>
      <c r="C35577" s="36"/>
      <c r="E35577" s="1"/>
      <c r="F35577" s="1"/>
      <c r="G35577" s="1"/>
    </row>
    <row r="35578">
      <c r="B35578" s="36"/>
      <c r="C35578" s="36"/>
      <c r="E35578" s="1"/>
      <c r="F35578" s="1"/>
      <c r="G35578" s="1"/>
    </row>
    <row r="35579">
      <c r="B35579" s="36"/>
      <c r="C35579" s="36"/>
      <c r="E35579" s="1"/>
      <c r="F35579" s="1"/>
      <c r="G35579" s="1"/>
    </row>
    <row r="35580">
      <c r="B35580" s="36"/>
      <c r="C35580" s="36"/>
      <c r="E35580" s="1"/>
      <c r="F35580" s="1"/>
      <c r="G35580" s="1"/>
    </row>
    <row r="35581">
      <c r="B35581" s="36"/>
      <c r="C35581" s="36"/>
      <c r="E35581" s="1"/>
      <c r="F35581" s="1"/>
      <c r="G35581" s="1"/>
    </row>
    <row r="35582">
      <c r="B35582" s="36"/>
      <c r="C35582" s="36"/>
      <c r="E35582" s="1"/>
      <c r="F35582" s="1"/>
      <c r="G35582" s="1"/>
    </row>
    <row r="35583">
      <c r="B35583" s="36"/>
      <c r="C35583" s="36"/>
      <c r="E35583" s="1"/>
      <c r="F35583" s="1"/>
      <c r="G35583" s="1"/>
    </row>
    <row r="35584">
      <c r="B35584" s="36"/>
      <c r="C35584" s="36"/>
      <c r="E35584" s="1"/>
      <c r="F35584" s="1"/>
      <c r="G35584" s="1"/>
    </row>
    <row r="35585">
      <c r="B35585" s="36"/>
      <c r="C35585" s="36"/>
      <c r="E35585" s="1"/>
      <c r="F35585" s="1"/>
      <c r="G35585" s="1"/>
    </row>
    <row r="35586">
      <c r="B35586" s="36"/>
      <c r="C35586" s="36"/>
      <c r="E35586" s="1"/>
      <c r="F35586" s="1"/>
      <c r="G35586" s="1"/>
    </row>
    <row r="35587">
      <c r="B35587" s="36"/>
      <c r="C35587" s="36"/>
      <c r="E35587" s="1"/>
      <c r="F35587" s="1"/>
      <c r="G35587" s="1"/>
    </row>
    <row r="35588">
      <c r="B35588" s="36"/>
      <c r="C35588" s="36"/>
      <c r="E35588" s="1"/>
      <c r="F35588" s="1"/>
      <c r="G35588" s="1"/>
    </row>
    <row r="35589">
      <c r="B35589" s="36"/>
      <c r="C35589" s="36"/>
      <c r="E35589" s="1"/>
      <c r="F35589" s="1"/>
      <c r="G35589" s="1"/>
    </row>
    <row r="35590">
      <c r="B35590" s="36"/>
      <c r="C35590" s="36"/>
      <c r="E35590" s="1"/>
      <c r="F35590" s="1"/>
      <c r="G35590" s="1"/>
    </row>
    <row r="35591">
      <c r="B35591" s="36"/>
      <c r="C35591" s="36"/>
      <c r="E35591" s="1"/>
      <c r="F35591" s="1"/>
      <c r="G35591" s="1"/>
    </row>
    <row r="35592">
      <c r="B35592" s="36"/>
      <c r="C35592" s="36"/>
      <c r="E35592" s="1"/>
      <c r="F35592" s="1"/>
      <c r="G35592" s="1"/>
    </row>
    <row r="35593">
      <c r="B35593" s="36"/>
      <c r="C35593" s="36"/>
      <c r="E35593" s="1"/>
      <c r="F35593" s="1"/>
      <c r="G35593" s="1"/>
    </row>
    <row r="35594">
      <c r="B35594" s="36"/>
      <c r="C35594" s="36"/>
      <c r="E35594" s="1"/>
      <c r="F35594" s="1"/>
      <c r="G35594" s="1"/>
    </row>
    <row r="35595">
      <c r="B35595" s="36"/>
      <c r="C35595" s="36"/>
      <c r="E35595" s="1"/>
      <c r="F35595" s="1"/>
      <c r="G35595" s="1"/>
    </row>
    <row r="35596">
      <c r="B35596" s="36"/>
      <c r="C35596" s="36"/>
      <c r="E35596" s="1"/>
      <c r="F35596" s="1"/>
      <c r="G35596" s="1"/>
    </row>
    <row r="35597">
      <c r="B35597" s="36"/>
      <c r="C35597" s="36"/>
      <c r="E35597" s="1"/>
      <c r="F35597" s="1"/>
      <c r="G35597" s="1"/>
    </row>
    <row r="35598">
      <c r="B35598" s="36"/>
      <c r="C35598" s="36"/>
      <c r="E35598" s="1"/>
      <c r="F35598" s="1"/>
      <c r="G35598" s="1"/>
    </row>
    <row r="35599">
      <c r="B35599" s="36"/>
      <c r="C35599" s="36"/>
      <c r="E35599" s="1"/>
      <c r="F35599" s="1"/>
      <c r="G35599" s="1"/>
    </row>
    <row r="35600">
      <c r="B35600" s="36"/>
      <c r="C35600" s="36"/>
      <c r="E35600" s="1"/>
      <c r="F35600" s="1"/>
      <c r="G35600" s="1"/>
    </row>
    <row r="35601">
      <c r="B35601" s="36"/>
      <c r="C35601" s="36"/>
      <c r="E35601" s="1"/>
      <c r="F35601" s="1"/>
      <c r="G35601" s="1"/>
    </row>
    <row r="35602">
      <c r="B35602" s="36"/>
      <c r="C35602" s="36"/>
      <c r="E35602" s="1"/>
      <c r="F35602" s="1"/>
      <c r="G35602" s="1"/>
    </row>
    <row r="35603">
      <c r="B35603" s="36"/>
      <c r="C35603" s="36"/>
      <c r="E35603" s="1"/>
      <c r="F35603" s="1"/>
      <c r="G35603" s="1"/>
    </row>
    <row r="35604">
      <c r="B35604" s="36"/>
      <c r="C35604" s="36"/>
      <c r="E35604" s="1"/>
      <c r="F35604" s="1"/>
      <c r="G35604" s="1"/>
    </row>
    <row r="35605">
      <c r="B35605" s="36"/>
      <c r="C35605" s="36"/>
      <c r="E35605" s="1"/>
      <c r="F35605" s="1"/>
      <c r="G35605" s="1"/>
    </row>
    <row r="35606">
      <c r="B35606" s="36"/>
      <c r="C35606" s="36"/>
      <c r="E35606" s="1"/>
      <c r="F35606" s="1"/>
      <c r="G35606" s="1"/>
    </row>
    <row r="35607">
      <c r="B35607" s="36"/>
      <c r="C35607" s="36"/>
      <c r="E35607" s="1"/>
      <c r="F35607" s="1"/>
      <c r="G35607" s="1"/>
    </row>
    <row r="35608">
      <c r="B35608" s="36"/>
      <c r="C35608" s="36"/>
      <c r="E35608" s="1"/>
      <c r="F35608" s="1"/>
      <c r="G35608" s="1"/>
    </row>
    <row r="35609">
      <c r="B35609" s="36"/>
      <c r="C35609" s="36"/>
      <c r="E35609" s="1"/>
      <c r="F35609" s="1"/>
      <c r="G35609" s="1"/>
    </row>
    <row r="35610">
      <c r="B35610" s="36"/>
      <c r="C35610" s="36"/>
      <c r="E35610" s="1"/>
      <c r="F35610" s="1"/>
      <c r="G35610" s="1"/>
    </row>
    <row r="35611">
      <c r="B35611" s="36"/>
      <c r="C35611" s="36"/>
      <c r="E35611" s="1"/>
      <c r="F35611" s="1"/>
      <c r="G35611" s="1"/>
    </row>
    <row r="35612">
      <c r="B35612" s="36"/>
      <c r="C35612" s="36"/>
      <c r="E35612" s="1"/>
      <c r="F35612" s="1"/>
      <c r="G35612" s="1"/>
    </row>
    <row r="35613">
      <c r="B35613" s="36"/>
      <c r="C35613" s="36"/>
      <c r="E35613" s="1"/>
      <c r="F35613" s="1"/>
      <c r="G35613" s="1"/>
    </row>
    <row r="35614">
      <c r="B35614" s="36"/>
      <c r="C35614" s="36"/>
      <c r="E35614" s="1"/>
      <c r="F35614" s="1"/>
      <c r="G35614" s="1"/>
    </row>
    <row r="35615">
      <c r="B35615" s="36"/>
      <c r="C35615" s="36"/>
      <c r="E35615" s="1"/>
      <c r="F35615" s="1"/>
      <c r="G35615" s="1"/>
    </row>
    <row r="35616">
      <c r="B35616" s="36"/>
      <c r="C35616" s="36"/>
      <c r="E35616" s="1"/>
      <c r="F35616" s="1"/>
      <c r="G35616" s="1"/>
    </row>
    <row r="35617">
      <c r="B35617" s="36"/>
      <c r="C35617" s="36"/>
      <c r="E35617" s="1"/>
      <c r="F35617" s="1"/>
      <c r="G35617" s="1"/>
    </row>
    <row r="35618">
      <c r="B35618" s="36"/>
      <c r="C35618" s="36"/>
      <c r="E35618" s="1"/>
      <c r="F35618" s="1"/>
      <c r="G35618" s="1"/>
    </row>
    <row r="35619">
      <c r="B35619" s="36"/>
      <c r="C35619" s="36"/>
      <c r="E35619" s="1"/>
      <c r="F35619" s="1"/>
      <c r="G35619" s="1"/>
    </row>
    <row r="35620">
      <c r="B35620" s="36"/>
      <c r="C35620" s="36"/>
      <c r="E35620" s="1"/>
      <c r="F35620" s="1"/>
      <c r="G35620" s="1"/>
    </row>
    <row r="35621">
      <c r="B35621" s="36"/>
      <c r="C35621" s="36"/>
      <c r="E35621" s="1"/>
      <c r="F35621" s="1"/>
      <c r="G35621" s="1"/>
    </row>
    <row r="35622">
      <c r="B35622" s="36"/>
      <c r="C35622" s="36"/>
      <c r="E35622" s="1"/>
      <c r="F35622" s="1"/>
      <c r="G35622" s="1"/>
    </row>
    <row r="35623">
      <c r="B35623" s="36"/>
      <c r="C35623" s="36"/>
      <c r="E35623" s="1"/>
      <c r="F35623" s="1"/>
      <c r="G35623" s="1"/>
    </row>
    <row r="35624">
      <c r="B35624" s="36"/>
      <c r="C35624" s="36"/>
      <c r="E35624" s="1"/>
      <c r="F35624" s="1"/>
      <c r="G35624" s="1"/>
    </row>
    <row r="35625">
      <c r="B35625" s="36"/>
      <c r="C35625" s="36"/>
      <c r="E35625" s="1"/>
      <c r="F35625" s="1"/>
      <c r="G35625" s="1"/>
    </row>
    <row r="35626">
      <c r="B35626" s="36"/>
      <c r="C35626" s="36"/>
      <c r="E35626" s="1"/>
      <c r="F35626" s="1"/>
      <c r="G35626" s="1"/>
    </row>
    <row r="35627">
      <c r="B35627" s="36"/>
      <c r="C35627" s="36"/>
      <c r="E35627" s="1"/>
      <c r="F35627" s="1"/>
      <c r="G35627" s="1"/>
    </row>
    <row r="35628">
      <c r="B35628" s="36"/>
      <c r="C35628" s="36"/>
      <c r="E35628" s="1"/>
      <c r="F35628" s="1"/>
      <c r="G35628" s="1"/>
    </row>
    <row r="35629">
      <c r="B35629" s="36"/>
      <c r="C35629" s="36"/>
      <c r="E35629" s="1"/>
      <c r="F35629" s="1"/>
      <c r="G35629" s="1"/>
    </row>
    <row r="35630">
      <c r="B35630" s="36"/>
      <c r="C35630" s="36"/>
      <c r="E35630" s="1"/>
      <c r="F35630" s="1"/>
      <c r="G35630" s="1"/>
    </row>
    <row r="35631">
      <c r="B35631" s="36"/>
      <c r="C35631" s="36"/>
      <c r="E35631" s="1"/>
      <c r="F35631" s="1"/>
      <c r="G35631" s="1"/>
    </row>
    <row r="35632">
      <c r="B35632" s="36"/>
      <c r="C35632" s="36"/>
      <c r="E35632" s="1"/>
      <c r="F35632" s="1"/>
      <c r="G35632" s="1"/>
    </row>
    <row r="35633">
      <c r="B35633" s="36"/>
      <c r="C35633" s="36"/>
      <c r="E35633" s="1"/>
      <c r="F35633" s="1"/>
      <c r="G35633" s="1"/>
    </row>
    <row r="35634">
      <c r="B35634" s="36"/>
      <c r="C35634" s="36"/>
      <c r="E35634" s="1"/>
      <c r="F35634" s="1"/>
      <c r="G35634" s="1"/>
    </row>
    <row r="35635">
      <c r="B35635" s="36"/>
      <c r="C35635" s="36"/>
      <c r="E35635" s="1"/>
      <c r="F35635" s="1"/>
      <c r="G35635" s="1"/>
    </row>
    <row r="35636">
      <c r="B35636" s="36"/>
      <c r="C35636" s="36"/>
      <c r="E35636" s="1"/>
      <c r="F35636" s="1"/>
      <c r="G35636" s="1"/>
    </row>
    <row r="35637">
      <c r="B35637" s="36"/>
      <c r="C35637" s="36"/>
      <c r="E35637" s="1"/>
      <c r="F35637" s="1"/>
      <c r="G35637" s="1"/>
    </row>
    <row r="35638">
      <c r="B35638" s="36"/>
      <c r="C35638" s="36"/>
      <c r="E35638" s="1"/>
      <c r="F35638" s="1"/>
      <c r="G35638" s="1"/>
    </row>
    <row r="35639">
      <c r="B35639" s="36"/>
      <c r="C35639" s="36"/>
      <c r="E35639" s="1"/>
      <c r="F35639" s="1"/>
      <c r="G35639" s="1"/>
    </row>
    <row r="35640">
      <c r="B35640" s="36"/>
      <c r="C35640" s="36"/>
      <c r="E35640" s="1"/>
      <c r="F35640" s="1"/>
      <c r="G35640" s="1"/>
    </row>
    <row r="35641">
      <c r="B35641" s="36"/>
      <c r="C35641" s="36"/>
      <c r="E35641" s="1"/>
      <c r="F35641" s="1"/>
      <c r="G35641" s="1"/>
    </row>
    <row r="35642">
      <c r="B35642" s="36"/>
      <c r="C35642" s="36"/>
      <c r="E35642" s="1"/>
      <c r="F35642" s="1"/>
      <c r="G35642" s="1"/>
    </row>
    <row r="35643">
      <c r="B35643" s="36"/>
      <c r="C35643" s="36"/>
      <c r="E35643" s="1"/>
      <c r="F35643" s="1"/>
      <c r="G35643" s="1"/>
    </row>
    <row r="35644">
      <c r="B35644" s="36"/>
      <c r="C35644" s="36"/>
      <c r="E35644" s="1"/>
      <c r="F35644" s="1"/>
      <c r="G35644" s="1"/>
    </row>
    <row r="35645">
      <c r="B35645" s="36"/>
      <c r="C35645" s="36"/>
      <c r="E35645" s="1"/>
      <c r="F35645" s="1"/>
      <c r="G35645" s="1"/>
    </row>
    <row r="35646">
      <c r="B35646" s="36"/>
      <c r="C35646" s="36"/>
      <c r="E35646" s="1"/>
      <c r="F35646" s="1"/>
      <c r="G35646" s="1"/>
    </row>
    <row r="35647">
      <c r="B35647" s="36"/>
      <c r="C35647" s="36"/>
      <c r="E35647" s="1"/>
      <c r="F35647" s="1"/>
      <c r="G35647" s="1"/>
    </row>
    <row r="35648">
      <c r="B35648" s="36"/>
      <c r="C35648" s="36"/>
      <c r="E35648" s="1"/>
      <c r="F35648" s="1"/>
      <c r="G35648" s="1"/>
    </row>
    <row r="35649">
      <c r="B35649" s="36"/>
      <c r="C35649" s="36"/>
      <c r="E35649" s="1"/>
      <c r="F35649" s="1"/>
      <c r="G35649" s="1"/>
    </row>
    <row r="35650">
      <c r="B35650" s="36"/>
      <c r="C35650" s="36"/>
      <c r="E35650" s="1"/>
      <c r="F35650" s="1"/>
      <c r="G35650" s="1"/>
    </row>
    <row r="35651">
      <c r="B35651" s="36"/>
      <c r="C35651" s="36"/>
      <c r="E35651" s="1"/>
      <c r="F35651" s="1"/>
      <c r="G35651" s="1"/>
    </row>
    <row r="35652">
      <c r="B35652" s="36"/>
      <c r="C35652" s="36"/>
      <c r="E35652" s="1"/>
      <c r="F35652" s="1"/>
      <c r="G35652" s="1"/>
    </row>
    <row r="35653">
      <c r="B35653" s="36"/>
      <c r="C35653" s="36"/>
      <c r="E35653" s="1"/>
      <c r="F35653" s="1"/>
      <c r="G35653" s="1"/>
    </row>
    <row r="35654">
      <c r="B35654" s="36"/>
      <c r="C35654" s="36"/>
      <c r="E35654" s="1"/>
      <c r="F35654" s="1"/>
      <c r="G35654" s="1"/>
    </row>
    <row r="35655">
      <c r="B35655" s="36"/>
      <c r="C35655" s="36"/>
      <c r="E35655" s="1"/>
      <c r="F35655" s="1"/>
      <c r="G35655" s="1"/>
    </row>
    <row r="35656">
      <c r="B35656" s="36"/>
      <c r="C35656" s="36"/>
      <c r="E35656" s="1"/>
      <c r="F35656" s="1"/>
      <c r="G35656" s="1"/>
    </row>
    <row r="35657">
      <c r="B35657" s="36"/>
      <c r="C35657" s="36"/>
      <c r="E35657" s="1"/>
      <c r="F35657" s="1"/>
      <c r="G35657" s="1"/>
    </row>
    <row r="35658">
      <c r="B35658" s="36"/>
      <c r="C35658" s="36"/>
      <c r="E35658" s="1"/>
      <c r="F35658" s="1"/>
      <c r="G35658" s="1"/>
    </row>
    <row r="35659">
      <c r="B35659" s="36"/>
      <c r="C35659" s="36"/>
      <c r="E35659" s="1"/>
      <c r="F35659" s="1"/>
      <c r="G35659" s="1"/>
    </row>
    <row r="35660">
      <c r="B35660" s="36"/>
      <c r="C35660" s="36"/>
      <c r="E35660" s="1"/>
      <c r="F35660" s="1"/>
      <c r="G35660" s="1"/>
    </row>
    <row r="35661">
      <c r="B35661" s="36"/>
      <c r="C35661" s="36"/>
      <c r="E35661" s="1"/>
      <c r="F35661" s="1"/>
      <c r="G35661" s="1"/>
    </row>
    <row r="35662">
      <c r="B35662" s="36"/>
      <c r="C35662" s="36"/>
      <c r="E35662" s="1"/>
      <c r="F35662" s="1"/>
      <c r="G35662" s="1"/>
    </row>
    <row r="35663">
      <c r="B35663" s="36"/>
      <c r="C35663" s="36"/>
      <c r="E35663" s="1"/>
      <c r="F35663" s="1"/>
      <c r="G35663" s="1"/>
    </row>
    <row r="35664">
      <c r="B35664" s="36"/>
      <c r="C35664" s="36"/>
      <c r="E35664" s="1"/>
      <c r="F35664" s="1"/>
      <c r="G35664" s="1"/>
    </row>
    <row r="35665">
      <c r="B35665" s="36"/>
      <c r="C35665" s="36"/>
      <c r="E35665" s="1"/>
      <c r="F35665" s="1"/>
      <c r="G35665" s="1"/>
    </row>
    <row r="35666">
      <c r="B35666" s="36"/>
      <c r="C35666" s="36"/>
      <c r="E35666" s="1"/>
      <c r="F35666" s="1"/>
      <c r="G35666" s="1"/>
    </row>
    <row r="35667">
      <c r="B35667" s="36"/>
      <c r="C35667" s="36"/>
      <c r="E35667" s="1"/>
      <c r="F35667" s="1"/>
      <c r="G35667" s="1"/>
    </row>
    <row r="35668">
      <c r="B35668" s="36"/>
      <c r="C35668" s="36"/>
      <c r="E35668" s="1"/>
      <c r="F35668" s="1"/>
      <c r="G35668" s="1"/>
    </row>
    <row r="35669">
      <c r="B35669" s="36"/>
      <c r="C35669" s="36"/>
      <c r="E35669" s="1"/>
      <c r="F35669" s="1"/>
      <c r="G35669" s="1"/>
    </row>
    <row r="35670">
      <c r="B35670" s="36"/>
      <c r="C35670" s="36"/>
      <c r="E35670" s="1"/>
      <c r="F35670" s="1"/>
      <c r="G35670" s="1"/>
    </row>
    <row r="35671">
      <c r="B35671" s="36"/>
      <c r="C35671" s="36"/>
      <c r="E35671" s="1"/>
      <c r="F35671" s="1"/>
      <c r="G35671" s="1"/>
    </row>
    <row r="35672">
      <c r="B35672" s="36"/>
      <c r="C35672" s="36"/>
      <c r="E35672" s="1"/>
      <c r="F35672" s="1"/>
      <c r="G35672" s="1"/>
    </row>
    <row r="35673">
      <c r="B35673" s="36"/>
      <c r="C35673" s="36"/>
      <c r="E35673" s="1"/>
      <c r="F35673" s="1"/>
      <c r="G35673" s="1"/>
    </row>
    <row r="35674">
      <c r="B35674" s="36"/>
      <c r="C35674" s="36"/>
      <c r="E35674" s="1"/>
      <c r="F35674" s="1"/>
      <c r="G35674" s="1"/>
    </row>
    <row r="35675">
      <c r="B35675" s="36"/>
      <c r="C35675" s="36"/>
      <c r="E35675" s="1"/>
      <c r="F35675" s="1"/>
      <c r="G35675" s="1"/>
    </row>
    <row r="35676">
      <c r="B35676" s="36"/>
      <c r="C35676" s="36"/>
      <c r="E35676" s="1"/>
      <c r="F35676" s="1"/>
      <c r="G35676" s="1"/>
    </row>
    <row r="35677">
      <c r="B35677" s="36"/>
      <c r="C35677" s="36"/>
      <c r="E35677" s="1"/>
      <c r="F35677" s="1"/>
      <c r="G35677" s="1"/>
    </row>
    <row r="35678">
      <c r="B35678" s="36"/>
      <c r="C35678" s="36"/>
      <c r="E35678" s="1"/>
      <c r="F35678" s="1"/>
      <c r="G35678" s="1"/>
    </row>
    <row r="35679">
      <c r="B35679" s="36"/>
      <c r="C35679" s="36"/>
      <c r="E35679" s="1"/>
      <c r="F35679" s="1"/>
      <c r="G35679" s="1"/>
    </row>
    <row r="35680">
      <c r="B35680" s="36"/>
      <c r="C35680" s="36"/>
      <c r="E35680" s="1"/>
      <c r="F35680" s="1"/>
      <c r="G35680" s="1"/>
    </row>
    <row r="35681">
      <c r="B35681" s="36"/>
      <c r="C35681" s="36"/>
      <c r="E35681" s="1"/>
      <c r="F35681" s="1"/>
      <c r="G35681" s="1"/>
    </row>
    <row r="35682">
      <c r="B35682" s="36"/>
      <c r="C35682" s="36"/>
      <c r="E35682" s="1"/>
      <c r="F35682" s="1"/>
      <c r="G35682" s="1"/>
    </row>
    <row r="35683">
      <c r="B35683" s="36"/>
      <c r="C35683" s="36"/>
      <c r="E35683" s="1"/>
      <c r="F35683" s="1"/>
      <c r="G35683" s="1"/>
    </row>
    <row r="35684">
      <c r="B35684" s="36"/>
      <c r="C35684" s="36"/>
      <c r="E35684" s="1"/>
      <c r="F35684" s="1"/>
      <c r="G35684" s="1"/>
    </row>
    <row r="35685">
      <c r="B35685" s="36"/>
      <c r="C35685" s="36"/>
      <c r="E35685" s="1"/>
      <c r="F35685" s="1"/>
      <c r="G35685" s="1"/>
    </row>
    <row r="35686">
      <c r="B35686" s="36"/>
      <c r="C35686" s="36"/>
      <c r="E35686" s="1"/>
      <c r="F35686" s="1"/>
      <c r="G35686" s="1"/>
    </row>
    <row r="35687">
      <c r="B35687" s="36"/>
      <c r="C35687" s="36"/>
      <c r="E35687" s="1"/>
      <c r="F35687" s="1"/>
      <c r="G35687" s="1"/>
    </row>
    <row r="35688">
      <c r="B35688" s="36"/>
      <c r="C35688" s="36"/>
      <c r="E35688" s="1"/>
      <c r="F35688" s="1"/>
      <c r="G35688" s="1"/>
    </row>
    <row r="35689">
      <c r="B35689" s="36"/>
      <c r="C35689" s="36"/>
      <c r="E35689" s="1"/>
      <c r="F35689" s="1"/>
      <c r="G35689" s="1"/>
    </row>
    <row r="35690">
      <c r="B35690" s="36"/>
      <c r="C35690" s="36"/>
      <c r="E35690" s="1"/>
      <c r="F35690" s="1"/>
      <c r="G35690" s="1"/>
    </row>
    <row r="35691">
      <c r="B35691" s="36"/>
      <c r="C35691" s="36"/>
      <c r="E35691" s="1"/>
      <c r="F35691" s="1"/>
      <c r="G35691" s="1"/>
    </row>
    <row r="35692">
      <c r="B35692" s="36"/>
      <c r="C35692" s="36"/>
      <c r="E35692" s="1"/>
      <c r="F35692" s="1"/>
      <c r="G35692" s="1"/>
    </row>
    <row r="35693">
      <c r="B35693" s="36"/>
      <c r="C35693" s="36"/>
      <c r="E35693" s="1"/>
      <c r="F35693" s="1"/>
      <c r="G35693" s="1"/>
    </row>
    <row r="35694">
      <c r="B35694" s="36"/>
      <c r="C35694" s="36"/>
      <c r="E35694" s="1"/>
      <c r="F35694" s="1"/>
      <c r="G35694" s="1"/>
    </row>
    <row r="35695">
      <c r="B35695" s="36"/>
      <c r="C35695" s="36"/>
      <c r="E35695" s="1"/>
      <c r="F35695" s="1"/>
      <c r="G35695" s="1"/>
    </row>
    <row r="35696">
      <c r="B35696" s="36"/>
      <c r="C35696" s="36"/>
      <c r="E35696" s="1"/>
      <c r="F35696" s="1"/>
      <c r="G35696" s="1"/>
    </row>
    <row r="35697">
      <c r="B35697" s="36"/>
      <c r="C35697" s="36"/>
      <c r="E35697" s="1"/>
      <c r="F35697" s="1"/>
      <c r="G35697" s="1"/>
    </row>
    <row r="35698">
      <c r="B35698" s="36"/>
      <c r="C35698" s="36"/>
      <c r="E35698" s="1"/>
      <c r="F35698" s="1"/>
      <c r="G35698" s="1"/>
    </row>
    <row r="35699">
      <c r="B35699" s="36"/>
      <c r="C35699" s="36"/>
      <c r="E35699" s="1"/>
      <c r="F35699" s="1"/>
      <c r="G35699" s="1"/>
    </row>
    <row r="35700">
      <c r="B35700" s="36"/>
      <c r="C35700" s="36"/>
      <c r="E35700" s="1"/>
      <c r="F35700" s="1"/>
      <c r="G35700" s="1"/>
    </row>
    <row r="35701">
      <c r="B35701" s="36"/>
      <c r="C35701" s="36"/>
      <c r="E35701" s="1"/>
      <c r="F35701" s="1"/>
      <c r="G35701" s="1"/>
    </row>
    <row r="35702">
      <c r="B35702" s="36"/>
      <c r="C35702" s="36"/>
      <c r="E35702" s="1"/>
      <c r="F35702" s="1"/>
      <c r="G35702" s="1"/>
    </row>
    <row r="35703">
      <c r="B35703" s="36"/>
      <c r="C35703" s="36"/>
      <c r="E35703" s="1"/>
      <c r="F35703" s="1"/>
      <c r="G35703" s="1"/>
    </row>
    <row r="35704">
      <c r="B35704" s="36"/>
      <c r="C35704" s="36"/>
      <c r="E35704" s="1"/>
      <c r="F35704" s="1"/>
      <c r="G35704" s="1"/>
    </row>
    <row r="35705">
      <c r="B35705" s="36"/>
      <c r="C35705" s="36"/>
      <c r="E35705" s="1"/>
      <c r="F35705" s="1"/>
      <c r="G35705" s="1"/>
    </row>
    <row r="35706">
      <c r="B35706" s="36"/>
      <c r="C35706" s="36"/>
      <c r="E35706" s="1"/>
      <c r="F35706" s="1"/>
      <c r="G35706" s="1"/>
    </row>
    <row r="35707">
      <c r="B35707" s="36"/>
      <c r="C35707" s="36"/>
      <c r="E35707" s="1"/>
      <c r="F35707" s="1"/>
      <c r="G35707" s="1"/>
    </row>
    <row r="35708">
      <c r="B35708" s="36"/>
      <c r="C35708" s="36"/>
      <c r="E35708" s="1"/>
      <c r="F35708" s="1"/>
      <c r="G35708" s="1"/>
    </row>
    <row r="35709">
      <c r="B35709" s="36"/>
      <c r="C35709" s="36"/>
      <c r="E35709" s="1"/>
      <c r="F35709" s="1"/>
      <c r="G35709" s="1"/>
    </row>
    <row r="35710">
      <c r="B35710" s="36"/>
      <c r="C35710" s="36"/>
      <c r="E35710" s="1"/>
      <c r="F35710" s="1"/>
      <c r="G35710" s="1"/>
    </row>
    <row r="35711">
      <c r="B35711" s="36"/>
      <c r="C35711" s="36"/>
      <c r="E35711" s="1"/>
      <c r="F35711" s="1"/>
      <c r="G35711" s="1"/>
    </row>
    <row r="35712">
      <c r="B35712" s="36"/>
      <c r="C35712" s="36"/>
      <c r="E35712" s="1"/>
      <c r="F35712" s="1"/>
      <c r="G35712" s="1"/>
    </row>
    <row r="35713">
      <c r="B35713" s="36"/>
      <c r="C35713" s="36"/>
      <c r="E35713" s="1"/>
      <c r="F35713" s="1"/>
      <c r="G35713" s="1"/>
    </row>
    <row r="35714">
      <c r="B35714" s="36"/>
      <c r="C35714" s="36"/>
      <c r="E35714" s="1"/>
      <c r="F35714" s="1"/>
      <c r="G35714" s="1"/>
    </row>
    <row r="35715">
      <c r="B35715" s="36"/>
      <c r="C35715" s="36"/>
      <c r="E35715" s="1"/>
      <c r="F35715" s="1"/>
      <c r="G35715" s="1"/>
    </row>
    <row r="35716">
      <c r="B35716" s="36"/>
      <c r="C35716" s="36"/>
      <c r="E35716" s="1"/>
      <c r="F35716" s="1"/>
      <c r="G35716" s="1"/>
    </row>
    <row r="35717">
      <c r="B35717" s="36"/>
      <c r="C35717" s="36"/>
      <c r="E35717" s="1"/>
      <c r="F35717" s="1"/>
      <c r="G35717" s="1"/>
    </row>
    <row r="35718">
      <c r="B35718" s="36"/>
      <c r="C35718" s="36"/>
      <c r="E35718" s="1"/>
      <c r="F35718" s="1"/>
      <c r="G35718" s="1"/>
    </row>
    <row r="35719">
      <c r="B35719" s="36"/>
      <c r="C35719" s="36"/>
      <c r="E35719" s="1"/>
      <c r="F35719" s="1"/>
      <c r="G35719" s="1"/>
    </row>
    <row r="35720">
      <c r="B35720" s="36"/>
      <c r="C35720" s="36"/>
      <c r="E35720" s="1"/>
      <c r="F35720" s="1"/>
      <c r="G35720" s="1"/>
    </row>
    <row r="35721">
      <c r="B35721" s="36"/>
      <c r="C35721" s="36"/>
      <c r="E35721" s="1"/>
      <c r="F35721" s="1"/>
      <c r="G35721" s="1"/>
    </row>
    <row r="35722">
      <c r="B35722" s="36"/>
      <c r="C35722" s="36"/>
      <c r="E35722" s="1"/>
      <c r="F35722" s="1"/>
      <c r="G35722" s="1"/>
    </row>
    <row r="35723">
      <c r="B35723" s="36"/>
      <c r="C35723" s="36"/>
      <c r="E35723" s="1"/>
      <c r="F35723" s="1"/>
      <c r="G35723" s="1"/>
    </row>
    <row r="35724">
      <c r="B35724" s="36"/>
      <c r="C35724" s="36"/>
      <c r="E35724" s="1"/>
      <c r="F35724" s="1"/>
      <c r="G35724" s="1"/>
    </row>
    <row r="35725">
      <c r="B35725" s="36"/>
      <c r="C35725" s="36"/>
      <c r="E35725" s="1"/>
      <c r="F35725" s="1"/>
      <c r="G35725" s="1"/>
    </row>
    <row r="35726">
      <c r="B35726" s="36"/>
      <c r="C35726" s="36"/>
      <c r="E35726" s="1"/>
      <c r="F35726" s="1"/>
      <c r="G35726" s="1"/>
    </row>
    <row r="35727">
      <c r="B35727" s="36"/>
      <c r="C35727" s="36"/>
      <c r="E35727" s="1"/>
      <c r="F35727" s="1"/>
      <c r="G35727" s="1"/>
    </row>
    <row r="35728">
      <c r="B35728" s="36"/>
      <c r="C35728" s="36"/>
      <c r="E35728" s="1"/>
      <c r="F35728" s="1"/>
      <c r="G35728" s="1"/>
    </row>
    <row r="35729">
      <c r="B35729" s="36"/>
      <c r="C35729" s="36"/>
      <c r="E35729" s="1"/>
      <c r="F35729" s="1"/>
      <c r="G35729" s="1"/>
    </row>
    <row r="35730">
      <c r="B35730" s="36"/>
      <c r="C35730" s="36"/>
      <c r="E35730" s="1"/>
      <c r="F35730" s="1"/>
      <c r="G35730" s="1"/>
    </row>
    <row r="35731">
      <c r="B35731" s="36"/>
      <c r="C35731" s="36"/>
      <c r="E35731" s="1"/>
      <c r="F35731" s="1"/>
      <c r="G35731" s="1"/>
    </row>
    <row r="35732">
      <c r="B35732" s="36"/>
      <c r="C35732" s="36"/>
      <c r="E35732" s="1"/>
      <c r="F35732" s="1"/>
      <c r="G35732" s="1"/>
    </row>
    <row r="35733">
      <c r="B35733" s="36"/>
      <c r="C35733" s="36"/>
      <c r="E35733" s="1"/>
      <c r="F35733" s="1"/>
      <c r="G35733" s="1"/>
    </row>
    <row r="35734">
      <c r="B35734" s="36"/>
      <c r="C35734" s="36"/>
      <c r="E35734" s="1"/>
      <c r="F35734" s="1"/>
      <c r="G35734" s="1"/>
    </row>
    <row r="35735">
      <c r="B35735" s="36"/>
      <c r="C35735" s="36"/>
      <c r="E35735" s="1"/>
      <c r="F35735" s="1"/>
      <c r="G35735" s="1"/>
    </row>
    <row r="35736">
      <c r="B35736" s="36"/>
      <c r="C35736" s="36"/>
      <c r="E35736" s="1"/>
      <c r="F35736" s="1"/>
      <c r="G35736" s="1"/>
    </row>
    <row r="35737">
      <c r="B35737" s="36"/>
      <c r="C35737" s="36"/>
      <c r="E35737" s="1"/>
      <c r="F35737" s="1"/>
      <c r="G35737" s="1"/>
    </row>
    <row r="35738">
      <c r="B35738" s="36"/>
      <c r="C35738" s="36"/>
      <c r="E35738" s="1"/>
      <c r="F35738" s="1"/>
      <c r="G35738" s="1"/>
    </row>
    <row r="35739">
      <c r="B35739" s="36"/>
      <c r="C35739" s="36"/>
      <c r="E35739" s="1"/>
      <c r="F35739" s="1"/>
      <c r="G35739" s="1"/>
    </row>
    <row r="35740">
      <c r="B35740" s="36"/>
      <c r="C35740" s="36"/>
      <c r="E35740" s="1"/>
      <c r="F35740" s="1"/>
      <c r="G35740" s="1"/>
    </row>
    <row r="35741">
      <c r="B35741" s="36"/>
      <c r="C35741" s="36"/>
      <c r="E35741" s="1"/>
      <c r="F35741" s="1"/>
      <c r="G35741" s="1"/>
    </row>
    <row r="35742">
      <c r="B35742" s="36"/>
      <c r="C35742" s="36"/>
      <c r="E35742" s="1"/>
      <c r="F35742" s="1"/>
      <c r="G35742" s="1"/>
    </row>
    <row r="35743">
      <c r="B35743" s="36"/>
      <c r="C35743" s="36"/>
      <c r="E35743" s="1"/>
      <c r="F35743" s="1"/>
      <c r="G35743" s="1"/>
    </row>
    <row r="35744">
      <c r="B35744" s="36"/>
      <c r="C35744" s="36"/>
      <c r="E35744" s="1"/>
      <c r="F35744" s="1"/>
      <c r="G35744" s="1"/>
    </row>
    <row r="35745">
      <c r="B35745" s="36"/>
      <c r="C35745" s="36"/>
      <c r="E35745" s="1"/>
      <c r="F35745" s="1"/>
      <c r="G35745" s="1"/>
    </row>
    <row r="35746">
      <c r="B35746" s="36"/>
      <c r="C35746" s="36"/>
      <c r="E35746" s="1"/>
      <c r="F35746" s="1"/>
      <c r="G35746" s="1"/>
    </row>
    <row r="35747">
      <c r="B35747" s="36"/>
      <c r="C35747" s="36"/>
      <c r="E35747" s="1"/>
      <c r="F35747" s="1"/>
      <c r="G35747" s="1"/>
    </row>
    <row r="35748">
      <c r="B35748" s="36"/>
      <c r="C35748" s="36"/>
      <c r="E35748" s="1"/>
      <c r="F35748" s="1"/>
      <c r="G35748" s="1"/>
    </row>
    <row r="35749">
      <c r="B35749" s="36"/>
      <c r="C35749" s="36"/>
      <c r="E35749" s="1"/>
      <c r="F35749" s="1"/>
      <c r="G35749" s="1"/>
    </row>
    <row r="35750">
      <c r="B35750" s="36"/>
      <c r="C35750" s="36"/>
      <c r="E35750" s="1"/>
      <c r="F35750" s="1"/>
      <c r="G35750" s="1"/>
    </row>
    <row r="35751">
      <c r="B35751" s="36"/>
      <c r="C35751" s="36"/>
      <c r="E35751" s="1"/>
      <c r="F35751" s="1"/>
      <c r="G35751" s="1"/>
    </row>
    <row r="35752">
      <c r="B35752" s="36"/>
      <c r="C35752" s="36"/>
      <c r="E35752" s="1"/>
      <c r="F35752" s="1"/>
      <c r="G35752" s="1"/>
    </row>
    <row r="35753">
      <c r="B35753" s="36"/>
      <c r="C35753" s="36"/>
      <c r="E35753" s="1"/>
      <c r="F35753" s="1"/>
      <c r="G35753" s="1"/>
    </row>
    <row r="35754">
      <c r="B35754" s="36"/>
      <c r="C35754" s="36"/>
      <c r="E35754" s="1"/>
      <c r="F35754" s="1"/>
      <c r="G35754" s="1"/>
    </row>
    <row r="35755">
      <c r="B35755" s="36"/>
      <c r="C35755" s="36"/>
      <c r="E35755" s="1"/>
      <c r="F35755" s="1"/>
      <c r="G35755" s="1"/>
    </row>
    <row r="35756">
      <c r="B35756" s="36"/>
      <c r="C35756" s="36"/>
      <c r="E35756" s="1"/>
      <c r="F35756" s="1"/>
      <c r="G35756" s="1"/>
    </row>
    <row r="35757">
      <c r="B35757" s="36"/>
      <c r="C35757" s="36"/>
      <c r="E35757" s="1"/>
      <c r="F35757" s="1"/>
      <c r="G35757" s="1"/>
    </row>
    <row r="35758">
      <c r="B35758" s="36"/>
      <c r="C35758" s="36"/>
      <c r="E35758" s="1"/>
      <c r="F35758" s="1"/>
      <c r="G35758" s="1"/>
    </row>
    <row r="35759">
      <c r="B35759" s="36"/>
      <c r="C35759" s="36"/>
      <c r="E35759" s="1"/>
      <c r="F35759" s="1"/>
      <c r="G35759" s="1"/>
    </row>
    <row r="35760">
      <c r="B35760" s="36"/>
      <c r="C35760" s="36"/>
      <c r="E35760" s="1"/>
      <c r="F35760" s="1"/>
      <c r="G35760" s="1"/>
    </row>
    <row r="35761">
      <c r="B35761" s="36"/>
      <c r="C35761" s="36"/>
      <c r="E35761" s="1"/>
      <c r="F35761" s="1"/>
      <c r="G35761" s="1"/>
    </row>
    <row r="35762">
      <c r="B35762" s="36"/>
      <c r="C35762" s="36"/>
      <c r="E35762" s="1"/>
      <c r="F35762" s="1"/>
      <c r="G35762" s="1"/>
    </row>
    <row r="35763">
      <c r="B35763" s="36"/>
      <c r="C35763" s="36"/>
      <c r="E35763" s="1"/>
      <c r="F35763" s="1"/>
      <c r="G35763" s="1"/>
    </row>
    <row r="35764">
      <c r="B35764" s="36"/>
      <c r="C35764" s="36"/>
      <c r="E35764" s="1"/>
      <c r="F35764" s="1"/>
      <c r="G35764" s="1"/>
    </row>
    <row r="35765">
      <c r="B35765" s="36"/>
      <c r="C35765" s="36"/>
      <c r="E35765" s="1"/>
      <c r="F35765" s="1"/>
      <c r="G35765" s="1"/>
    </row>
    <row r="35766">
      <c r="B35766" s="36"/>
      <c r="C35766" s="36"/>
      <c r="E35766" s="1"/>
      <c r="F35766" s="1"/>
      <c r="G35766" s="1"/>
    </row>
    <row r="35767">
      <c r="B35767" s="36"/>
      <c r="C35767" s="36"/>
      <c r="E35767" s="1"/>
      <c r="F35767" s="1"/>
      <c r="G35767" s="1"/>
    </row>
    <row r="35768">
      <c r="B35768" s="36"/>
      <c r="C35768" s="36"/>
      <c r="E35768" s="1"/>
      <c r="F35768" s="1"/>
      <c r="G35768" s="1"/>
    </row>
    <row r="35769">
      <c r="B35769" s="36"/>
      <c r="C35769" s="36"/>
      <c r="E35769" s="1"/>
      <c r="F35769" s="1"/>
      <c r="G35769" s="1"/>
    </row>
    <row r="35770">
      <c r="B35770" s="36"/>
      <c r="C35770" s="36"/>
      <c r="E35770" s="1"/>
      <c r="F35770" s="1"/>
      <c r="G35770" s="1"/>
    </row>
    <row r="35771">
      <c r="B35771" s="36"/>
      <c r="C35771" s="36"/>
      <c r="E35771" s="1"/>
      <c r="F35771" s="1"/>
      <c r="G35771" s="1"/>
    </row>
    <row r="35772">
      <c r="B35772" s="36"/>
      <c r="C35772" s="36"/>
      <c r="E35772" s="1"/>
      <c r="F35772" s="1"/>
      <c r="G35772" s="1"/>
    </row>
    <row r="35773">
      <c r="B35773" s="36"/>
      <c r="C35773" s="36"/>
      <c r="E35773" s="1"/>
      <c r="F35773" s="1"/>
      <c r="G35773" s="1"/>
    </row>
    <row r="35774">
      <c r="B35774" s="36"/>
      <c r="C35774" s="36"/>
      <c r="E35774" s="1"/>
      <c r="F35774" s="1"/>
      <c r="G35774" s="1"/>
    </row>
    <row r="35775">
      <c r="B35775" s="36"/>
      <c r="C35775" s="36"/>
      <c r="E35775" s="1"/>
      <c r="F35775" s="1"/>
      <c r="G35775" s="1"/>
    </row>
    <row r="35776">
      <c r="B35776" s="36"/>
      <c r="C35776" s="36"/>
      <c r="E35776" s="1"/>
      <c r="F35776" s="1"/>
      <c r="G35776" s="1"/>
    </row>
    <row r="35777">
      <c r="B35777" s="36"/>
      <c r="C35777" s="36"/>
      <c r="E35777" s="1"/>
      <c r="F35777" s="1"/>
      <c r="G35777" s="1"/>
    </row>
    <row r="35778">
      <c r="B35778" s="36"/>
      <c r="C35778" s="36"/>
      <c r="E35778" s="1"/>
      <c r="F35778" s="1"/>
      <c r="G35778" s="1"/>
    </row>
    <row r="35779">
      <c r="B35779" s="36"/>
      <c r="C35779" s="36"/>
      <c r="E35779" s="1"/>
      <c r="F35779" s="1"/>
      <c r="G35779" s="1"/>
    </row>
    <row r="35780">
      <c r="B35780" s="36"/>
      <c r="C35780" s="36"/>
      <c r="E35780" s="1"/>
      <c r="F35780" s="1"/>
      <c r="G35780" s="1"/>
    </row>
    <row r="35781">
      <c r="B35781" s="36"/>
      <c r="C35781" s="36"/>
      <c r="E35781" s="1"/>
      <c r="F35781" s="1"/>
      <c r="G35781" s="1"/>
    </row>
    <row r="35782">
      <c r="B35782" s="36"/>
      <c r="C35782" s="36"/>
      <c r="E35782" s="1"/>
      <c r="F35782" s="1"/>
      <c r="G35782" s="1"/>
    </row>
    <row r="35783">
      <c r="B35783" s="36"/>
      <c r="C35783" s="36"/>
      <c r="E35783" s="1"/>
      <c r="F35783" s="1"/>
      <c r="G35783" s="1"/>
    </row>
    <row r="35784">
      <c r="B35784" s="36"/>
      <c r="C35784" s="36"/>
      <c r="E35784" s="1"/>
      <c r="F35784" s="1"/>
      <c r="G35784" s="1"/>
    </row>
    <row r="35785">
      <c r="B35785" s="36"/>
      <c r="C35785" s="36"/>
      <c r="E35785" s="1"/>
      <c r="F35785" s="1"/>
      <c r="G35785" s="1"/>
    </row>
    <row r="35786">
      <c r="B35786" s="36"/>
      <c r="C35786" s="36"/>
      <c r="E35786" s="1"/>
      <c r="F35786" s="1"/>
      <c r="G35786" s="1"/>
    </row>
    <row r="35787">
      <c r="B35787" s="36"/>
      <c r="C35787" s="36"/>
      <c r="E35787" s="1"/>
      <c r="F35787" s="1"/>
      <c r="G35787" s="1"/>
    </row>
    <row r="35788">
      <c r="B35788" s="36"/>
      <c r="C35788" s="36"/>
      <c r="E35788" s="1"/>
      <c r="F35788" s="1"/>
      <c r="G35788" s="1"/>
    </row>
    <row r="35789">
      <c r="B35789" s="36"/>
      <c r="C35789" s="36"/>
      <c r="E35789" s="1"/>
      <c r="F35789" s="1"/>
      <c r="G35789" s="1"/>
    </row>
    <row r="35790">
      <c r="B35790" s="36"/>
      <c r="C35790" s="36"/>
      <c r="E35790" s="1"/>
      <c r="F35790" s="1"/>
      <c r="G35790" s="1"/>
    </row>
    <row r="35791">
      <c r="B35791" s="36"/>
      <c r="C35791" s="36"/>
      <c r="E35791" s="1"/>
      <c r="F35791" s="1"/>
      <c r="G35791" s="1"/>
    </row>
    <row r="35792">
      <c r="B35792" s="36"/>
      <c r="C35792" s="36"/>
      <c r="E35792" s="1"/>
      <c r="F35792" s="1"/>
      <c r="G35792" s="1"/>
    </row>
    <row r="35793">
      <c r="B35793" s="36"/>
      <c r="C35793" s="36"/>
      <c r="E35793" s="1"/>
      <c r="F35793" s="1"/>
      <c r="G35793" s="1"/>
    </row>
    <row r="35794">
      <c r="B35794" s="36"/>
      <c r="C35794" s="36"/>
      <c r="E35794" s="1"/>
      <c r="F35794" s="1"/>
      <c r="G35794" s="1"/>
    </row>
    <row r="35795">
      <c r="B35795" s="36"/>
      <c r="C35795" s="36"/>
      <c r="E35795" s="1"/>
      <c r="F35795" s="1"/>
      <c r="G35795" s="1"/>
    </row>
    <row r="35796">
      <c r="B35796" s="36"/>
      <c r="C35796" s="36"/>
      <c r="E35796" s="1"/>
      <c r="F35796" s="1"/>
      <c r="G35796" s="1"/>
    </row>
    <row r="35797">
      <c r="B35797" s="36"/>
      <c r="C35797" s="36"/>
      <c r="E35797" s="1"/>
      <c r="F35797" s="1"/>
      <c r="G35797" s="1"/>
    </row>
    <row r="35798">
      <c r="B35798" s="36"/>
      <c r="C35798" s="36"/>
      <c r="E35798" s="1"/>
      <c r="F35798" s="1"/>
      <c r="G35798" s="1"/>
    </row>
    <row r="35799">
      <c r="B35799" s="36"/>
      <c r="C35799" s="36"/>
      <c r="E35799" s="1"/>
      <c r="F35799" s="1"/>
      <c r="G35799" s="1"/>
    </row>
    <row r="35800">
      <c r="B35800" s="36"/>
      <c r="C35800" s="36"/>
      <c r="E35800" s="1"/>
      <c r="F35800" s="1"/>
      <c r="G35800" s="1"/>
    </row>
    <row r="35801">
      <c r="B35801" s="36"/>
      <c r="C35801" s="36"/>
      <c r="E35801" s="1"/>
      <c r="F35801" s="1"/>
      <c r="G35801" s="1"/>
    </row>
    <row r="35802">
      <c r="B35802" s="36"/>
      <c r="C35802" s="36"/>
      <c r="E35802" s="1"/>
      <c r="F35802" s="1"/>
      <c r="G35802" s="1"/>
    </row>
    <row r="35803">
      <c r="B35803" s="36"/>
      <c r="C35803" s="36"/>
      <c r="E35803" s="1"/>
      <c r="F35803" s="1"/>
      <c r="G35803" s="1"/>
    </row>
    <row r="35804">
      <c r="B35804" s="36"/>
      <c r="C35804" s="36"/>
      <c r="E35804" s="1"/>
      <c r="F35804" s="1"/>
      <c r="G35804" s="1"/>
    </row>
    <row r="35805">
      <c r="B35805" s="36"/>
      <c r="C35805" s="36"/>
      <c r="E35805" s="1"/>
      <c r="F35805" s="1"/>
      <c r="G35805" s="1"/>
    </row>
    <row r="35806">
      <c r="B35806" s="36"/>
      <c r="C35806" s="36"/>
      <c r="E35806" s="1"/>
      <c r="F35806" s="1"/>
      <c r="G35806" s="1"/>
    </row>
    <row r="35807">
      <c r="B35807" s="36"/>
      <c r="C35807" s="36"/>
      <c r="E35807" s="1"/>
      <c r="F35807" s="1"/>
      <c r="G35807" s="1"/>
    </row>
    <row r="35808">
      <c r="B35808" s="36"/>
      <c r="C35808" s="36"/>
      <c r="E35808" s="1"/>
      <c r="F35808" s="1"/>
      <c r="G35808" s="1"/>
    </row>
    <row r="35809">
      <c r="B35809" s="36"/>
      <c r="C35809" s="36"/>
      <c r="E35809" s="1"/>
      <c r="F35809" s="1"/>
      <c r="G35809" s="1"/>
    </row>
    <row r="35810">
      <c r="B35810" s="36"/>
      <c r="C35810" s="36"/>
      <c r="E35810" s="1"/>
      <c r="F35810" s="1"/>
      <c r="G35810" s="1"/>
    </row>
    <row r="35811">
      <c r="B35811" s="36"/>
      <c r="C35811" s="36"/>
      <c r="E35811" s="1"/>
      <c r="F35811" s="1"/>
      <c r="G35811" s="1"/>
    </row>
    <row r="35812">
      <c r="B35812" s="36"/>
      <c r="C35812" s="36"/>
      <c r="E35812" s="1"/>
      <c r="F35812" s="1"/>
      <c r="G35812" s="1"/>
    </row>
    <row r="35813">
      <c r="B35813" s="36"/>
      <c r="C35813" s="36"/>
      <c r="E35813" s="1"/>
      <c r="F35813" s="1"/>
      <c r="G35813" s="1"/>
    </row>
    <row r="35814">
      <c r="B35814" s="36"/>
      <c r="C35814" s="36"/>
      <c r="E35814" s="1"/>
      <c r="F35814" s="1"/>
      <c r="G35814" s="1"/>
    </row>
    <row r="35815">
      <c r="B35815" s="36"/>
      <c r="C35815" s="36"/>
      <c r="E35815" s="1"/>
      <c r="F35815" s="1"/>
      <c r="G35815" s="1"/>
    </row>
    <row r="35816">
      <c r="B35816" s="36"/>
      <c r="C35816" s="36"/>
      <c r="E35816" s="1"/>
      <c r="F35816" s="1"/>
      <c r="G35816" s="1"/>
    </row>
    <row r="35817">
      <c r="B35817" s="36"/>
      <c r="C35817" s="36"/>
      <c r="E35817" s="1"/>
      <c r="F35817" s="1"/>
      <c r="G35817" s="1"/>
    </row>
    <row r="35818">
      <c r="B35818" s="36"/>
      <c r="C35818" s="36"/>
      <c r="E35818" s="1"/>
      <c r="F35818" s="1"/>
      <c r="G35818" s="1"/>
    </row>
    <row r="35819">
      <c r="B35819" s="36"/>
      <c r="C35819" s="36"/>
      <c r="E35819" s="1"/>
      <c r="F35819" s="1"/>
      <c r="G35819" s="1"/>
    </row>
    <row r="35820">
      <c r="B35820" s="36"/>
      <c r="C35820" s="36"/>
      <c r="E35820" s="1"/>
      <c r="F35820" s="1"/>
      <c r="G35820" s="1"/>
    </row>
    <row r="35821">
      <c r="B35821" s="36"/>
      <c r="C35821" s="36"/>
      <c r="E35821" s="1"/>
      <c r="F35821" s="1"/>
      <c r="G35821" s="1"/>
    </row>
    <row r="35822">
      <c r="B35822" s="36"/>
      <c r="C35822" s="36"/>
      <c r="E35822" s="1"/>
      <c r="F35822" s="1"/>
      <c r="G35822" s="1"/>
    </row>
    <row r="35823">
      <c r="B35823" s="36"/>
      <c r="C35823" s="36"/>
      <c r="E35823" s="1"/>
      <c r="F35823" s="1"/>
      <c r="G35823" s="1"/>
    </row>
    <row r="35824">
      <c r="B35824" s="36"/>
      <c r="C35824" s="36"/>
      <c r="E35824" s="1"/>
      <c r="F35824" s="1"/>
      <c r="G35824" s="1"/>
    </row>
    <row r="35825">
      <c r="B35825" s="36"/>
      <c r="C35825" s="36"/>
      <c r="E35825" s="1"/>
      <c r="F35825" s="1"/>
      <c r="G35825" s="1"/>
    </row>
    <row r="35826">
      <c r="B35826" s="36"/>
      <c r="C35826" s="36"/>
      <c r="E35826" s="1"/>
      <c r="F35826" s="1"/>
      <c r="G35826" s="1"/>
    </row>
    <row r="35827">
      <c r="B35827" s="36"/>
      <c r="C35827" s="36"/>
      <c r="E35827" s="1"/>
      <c r="F35827" s="1"/>
      <c r="G35827" s="1"/>
    </row>
    <row r="35828">
      <c r="B35828" s="36"/>
      <c r="C35828" s="36"/>
      <c r="E35828" s="1"/>
      <c r="F35828" s="1"/>
      <c r="G35828" s="1"/>
    </row>
    <row r="35829">
      <c r="B35829" s="36"/>
      <c r="C35829" s="36"/>
      <c r="E35829" s="1"/>
      <c r="F35829" s="1"/>
      <c r="G35829" s="1"/>
    </row>
    <row r="35830">
      <c r="B35830" s="36"/>
      <c r="C35830" s="36"/>
      <c r="E35830" s="1"/>
      <c r="F35830" s="1"/>
      <c r="G35830" s="1"/>
    </row>
    <row r="35831">
      <c r="B35831" s="36"/>
      <c r="C35831" s="36"/>
      <c r="E35831" s="1"/>
      <c r="F35831" s="1"/>
      <c r="G35831" s="1"/>
    </row>
    <row r="35832">
      <c r="B35832" s="36"/>
      <c r="C35832" s="36"/>
      <c r="E35832" s="1"/>
      <c r="F35832" s="1"/>
      <c r="G35832" s="1"/>
    </row>
    <row r="35833">
      <c r="B35833" s="36"/>
      <c r="C35833" s="36"/>
      <c r="E35833" s="1"/>
      <c r="F35833" s="1"/>
      <c r="G35833" s="1"/>
    </row>
    <row r="35834">
      <c r="B35834" s="36"/>
      <c r="C35834" s="36"/>
      <c r="E35834" s="1"/>
      <c r="F35834" s="1"/>
      <c r="G35834" s="1"/>
    </row>
    <row r="35835">
      <c r="B35835" s="36"/>
      <c r="C35835" s="36"/>
      <c r="E35835" s="1"/>
      <c r="F35835" s="1"/>
      <c r="G35835" s="1"/>
    </row>
    <row r="35836">
      <c r="B35836" s="36"/>
      <c r="C35836" s="36"/>
      <c r="E35836" s="1"/>
      <c r="F35836" s="1"/>
      <c r="G35836" s="1"/>
    </row>
    <row r="35837">
      <c r="B35837" s="36"/>
      <c r="C35837" s="36"/>
      <c r="E35837" s="1"/>
      <c r="F35837" s="1"/>
      <c r="G35837" s="1"/>
    </row>
    <row r="35838">
      <c r="B35838" s="36"/>
      <c r="C35838" s="36"/>
      <c r="E35838" s="1"/>
      <c r="F35838" s="1"/>
      <c r="G35838" s="1"/>
    </row>
    <row r="35839">
      <c r="B35839" s="36"/>
      <c r="C35839" s="36"/>
      <c r="E35839" s="1"/>
      <c r="F35839" s="1"/>
      <c r="G35839" s="1"/>
    </row>
    <row r="35840">
      <c r="B35840" s="36"/>
      <c r="C35840" s="36"/>
      <c r="E35840" s="1"/>
      <c r="F35840" s="1"/>
      <c r="G35840" s="1"/>
    </row>
    <row r="35841">
      <c r="B35841" s="36"/>
      <c r="C35841" s="36"/>
      <c r="E35841" s="1"/>
      <c r="F35841" s="1"/>
      <c r="G35841" s="1"/>
    </row>
    <row r="35842">
      <c r="B35842" s="36"/>
      <c r="C35842" s="36"/>
      <c r="E35842" s="1"/>
      <c r="F35842" s="1"/>
      <c r="G35842" s="1"/>
    </row>
    <row r="35843">
      <c r="B35843" s="36"/>
      <c r="C35843" s="36"/>
      <c r="E35843" s="1"/>
      <c r="F35843" s="1"/>
      <c r="G35843" s="1"/>
    </row>
    <row r="35844">
      <c r="B35844" s="36"/>
      <c r="C35844" s="36"/>
      <c r="E35844" s="1"/>
      <c r="F35844" s="1"/>
      <c r="G35844" s="1"/>
    </row>
    <row r="35845">
      <c r="B35845" s="36"/>
      <c r="C35845" s="36"/>
      <c r="E35845" s="1"/>
      <c r="F35845" s="1"/>
      <c r="G35845" s="1"/>
    </row>
    <row r="35846">
      <c r="B35846" s="36"/>
      <c r="C35846" s="36"/>
      <c r="E35846" s="1"/>
      <c r="F35846" s="1"/>
      <c r="G35846" s="1"/>
    </row>
    <row r="35847">
      <c r="B35847" s="36"/>
      <c r="C35847" s="36"/>
      <c r="E35847" s="1"/>
      <c r="F35847" s="1"/>
      <c r="G35847" s="1"/>
    </row>
    <row r="35848">
      <c r="B35848" s="36"/>
      <c r="C35848" s="36"/>
      <c r="E35848" s="1"/>
      <c r="F35848" s="1"/>
      <c r="G35848" s="1"/>
    </row>
    <row r="35849">
      <c r="B35849" s="36"/>
      <c r="C35849" s="36"/>
      <c r="E35849" s="1"/>
      <c r="F35849" s="1"/>
      <c r="G35849" s="1"/>
    </row>
    <row r="35850">
      <c r="B35850" s="36"/>
      <c r="C35850" s="36"/>
      <c r="E35850" s="1"/>
      <c r="F35850" s="1"/>
      <c r="G35850" s="1"/>
    </row>
    <row r="35851">
      <c r="B35851" s="36"/>
      <c r="C35851" s="36"/>
      <c r="E35851" s="1"/>
      <c r="F35851" s="1"/>
      <c r="G35851" s="1"/>
    </row>
    <row r="35852">
      <c r="B35852" s="36"/>
      <c r="C35852" s="36"/>
      <c r="E35852" s="1"/>
      <c r="F35852" s="1"/>
      <c r="G35852" s="1"/>
    </row>
    <row r="35853">
      <c r="B35853" s="36"/>
      <c r="C35853" s="36"/>
      <c r="E35853" s="1"/>
      <c r="F35853" s="1"/>
      <c r="G35853" s="1"/>
    </row>
    <row r="35854">
      <c r="B35854" s="36"/>
      <c r="C35854" s="36"/>
      <c r="E35854" s="1"/>
      <c r="F35854" s="1"/>
      <c r="G35854" s="1"/>
    </row>
    <row r="35855">
      <c r="B35855" s="36"/>
      <c r="C35855" s="36"/>
      <c r="E35855" s="1"/>
      <c r="F35855" s="1"/>
      <c r="G35855" s="1"/>
    </row>
    <row r="35856">
      <c r="B35856" s="36"/>
      <c r="C35856" s="36"/>
      <c r="E35856" s="1"/>
      <c r="F35856" s="1"/>
      <c r="G35856" s="1"/>
    </row>
    <row r="35857">
      <c r="B35857" s="36"/>
      <c r="C35857" s="36"/>
      <c r="E35857" s="1"/>
      <c r="F35857" s="1"/>
      <c r="G35857" s="1"/>
    </row>
    <row r="35858">
      <c r="B35858" s="36"/>
      <c r="C35858" s="36"/>
      <c r="E35858" s="1"/>
      <c r="F35858" s="1"/>
      <c r="G35858" s="1"/>
    </row>
    <row r="35859">
      <c r="B35859" s="36"/>
      <c r="C35859" s="36"/>
      <c r="E35859" s="1"/>
      <c r="F35859" s="1"/>
      <c r="G35859" s="1"/>
    </row>
    <row r="35860">
      <c r="B35860" s="36"/>
      <c r="C35860" s="36"/>
      <c r="E35860" s="1"/>
      <c r="F35860" s="1"/>
      <c r="G35860" s="1"/>
    </row>
    <row r="35861">
      <c r="B35861" s="36"/>
      <c r="C35861" s="36"/>
      <c r="E35861" s="1"/>
      <c r="F35861" s="1"/>
      <c r="G35861" s="1"/>
    </row>
    <row r="35862">
      <c r="B35862" s="36"/>
      <c r="C35862" s="36"/>
      <c r="E35862" s="1"/>
      <c r="F35862" s="1"/>
      <c r="G35862" s="1"/>
    </row>
    <row r="35863">
      <c r="B35863" s="36"/>
      <c r="C35863" s="36"/>
      <c r="E35863" s="1"/>
      <c r="F35863" s="1"/>
      <c r="G35863" s="1"/>
    </row>
    <row r="35864">
      <c r="B35864" s="36"/>
      <c r="C35864" s="36"/>
      <c r="E35864" s="1"/>
      <c r="F35864" s="1"/>
      <c r="G35864" s="1"/>
    </row>
    <row r="35865">
      <c r="B35865" s="36"/>
      <c r="C35865" s="36"/>
      <c r="E35865" s="1"/>
      <c r="F35865" s="1"/>
      <c r="G35865" s="1"/>
    </row>
    <row r="35866">
      <c r="B35866" s="36"/>
      <c r="C35866" s="36"/>
      <c r="E35866" s="1"/>
      <c r="F35866" s="1"/>
      <c r="G35866" s="1"/>
    </row>
    <row r="35867">
      <c r="B35867" s="36"/>
      <c r="C35867" s="36"/>
      <c r="E35867" s="1"/>
      <c r="F35867" s="1"/>
      <c r="G35867" s="1"/>
    </row>
    <row r="35868">
      <c r="B35868" s="36"/>
      <c r="C35868" s="36"/>
      <c r="E35868" s="1"/>
      <c r="F35868" s="1"/>
      <c r="G35868" s="1"/>
    </row>
    <row r="35869">
      <c r="B35869" s="36"/>
      <c r="C35869" s="36"/>
      <c r="E35869" s="1"/>
      <c r="F35869" s="1"/>
      <c r="G35869" s="1"/>
    </row>
    <row r="35870">
      <c r="B35870" s="36"/>
      <c r="C35870" s="36"/>
      <c r="E35870" s="1"/>
      <c r="F35870" s="1"/>
      <c r="G35870" s="1"/>
    </row>
    <row r="35871">
      <c r="B35871" s="36"/>
      <c r="C35871" s="36"/>
      <c r="E35871" s="1"/>
      <c r="F35871" s="1"/>
      <c r="G35871" s="1"/>
    </row>
    <row r="35872">
      <c r="B35872" s="36"/>
      <c r="C35872" s="36"/>
      <c r="E35872" s="1"/>
      <c r="F35872" s="1"/>
      <c r="G35872" s="1"/>
    </row>
    <row r="35873">
      <c r="B35873" s="36"/>
      <c r="C35873" s="36"/>
      <c r="E35873" s="1"/>
      <c r="F35873" s="1"/>
      <c r="G35873" s="1"/>
    </row>
    <row r="35874">
      <c r="B35874" s="36"/>
      <c r="C35874" s="36"/>
      <c r="E35874" s="1"/>
      <c r="F35874" s="1"/>
      <c r="G35874" s="1"/>
    </row>
    <row r="35875">
      <c r="B35875" s="36"/>
      <c r="C35875" s="36"/>
      <c r="E35875" s="1"/>
      <c r="F35875" s="1"/>
      <c r="G35875" s="1"/>
    </row>
    <row r="35876">
      <c r="B35876" s="36"/>
      <c r="C35876" s="36"/>
      <c r="E35876" s="1"/>
      <c r="F35876" s="1"/>
      <c r="G35876" s="1"/>
    </row>
    <row r="35877">
      <c r="B35877" s="36"/>
      <c r="C35877" s="36"/>
      <c r="E35877" s="1"/>
      <c r="F35877" s="1"/>
      <c r="G35877" s="1"/>
    </row>
    <row r="35878">
      <c r="B35878" s="36"/>
      <c r="C35878" s="36"/>
      <c r="E35878" s="1"/>
      <c r="F35878" s="1"/>
      <c r="G35878" s="1"/>
    </row>
    <row r="35879">
      <c r="B35879" s="36"/>
      <c r="C35879" s="36"/>
      <c r="E35879" s="1"/>
      <c r="F35879" s="1"/>
      <c r="G35879" s="1"/>
    </row>
    <row r="35880">
      <c r="B35880" s="36"/>
      <c r="C35880" s="36"/>
      <c r="E35880" s="1"/>
      <c r="F35880" s="1"/>
      <c r="G35880" s="1"/>
    </row>
    <row r="35881">
      <c r="B35881" s="36"/>
      <c r="C35881" s="36"/>
      <c r="E35881" s="1"/>
      <c r="F35881" s="1"/>
      <c r="G35881" s="1"/>
    </row>
    <row r="35882">
      <c r="B35882" s="36"/>
      <c r="C35882" s="36"/>
      <c r="E35882" s="1"/>
      <c r="F35882" s="1"/>
      <c r="G35882" s="1"/>
    </row>
    <row r="35883">
      <c r="B35883" s="36"/>
      <c r="C35883" s="36"/>
      <c r="E35883" s="1"/>
      <c r="F35883" s="1"/>
      <c r="G35883" s="1"/>
    </row>
    <row r="35884">
      <c r="B35884" s="36"/>
      <c r="C35884" s="36"/>
      <c r="E35884" s="1"/>
      <c r="F35884" s="1"/>
      <c r="G35884" s="1"/>
    </row>
    <row r="35885">
      <c r="B35885" s="36"/>
      <c r="C35885" s="36"/>
      <c r="E35885" s="1"/>
      <c r="F35885" s="1"/>
      <c r="G35885" s="1"/>
    </row>
    <row r="35886">
      <c r="B35886" s="36"/>
      <c r="C35886" s="36"/>
      <c r="E35886" s="1"/>
      <c r="F35886" s="1"/>
      <c r="G35886" s="1"/>
    </row>
    <row r="35887">
      <c r="B35887" s="36"/>
      <c r="C35887" s="36"/>
      <c r="E35887" s="1"/>
      <c r="F35887" s="1"/>
      <c r="G35887" s="1"/>
    </row>
    <row r="35888">
      <c r="B35888" s="36"/>
      <c r="C35888" s="36"/>
      <c r="E35888" s="1"/>
      <c r="F35888" s="1"/>
      <c r="G35888" s="1"/>
    </row>
    <row r="35889">
      <c r="B35889" s="36"/>
      <c r="C35889" s="36"/>
      <c r="E35889" s="1"/>
      <c r="F35889" s="1"/>
      <c r="G35889" s="1"/>
    </row>
    <row r="35890">
      <c r="B35890" s="36"/>
      <c r="C35890" s="36"/>
      <c r="E35890" s="1"/>
      <c r="F35890" s="1"/>
      <c r="G35890" s="1"/>
    </row>
    <row r="35891">
      <c r="B35891" s="36"/>
      <c r="C35891" s="36"/>
      <c r="E35891" s="1"/>
      <c r="F35891" s="1"/>
      <c r="G35891" s="1"/>
    </row>
    <row r="35892">
      <c r="B35892" s="36"/>
      <c r="C35892" s="36"/>
      <c r="E35892" s="1"/>
      <c r="F35892" s="1"/>
      <c r="G35892" s="1"/>
    </row>
    <row r="35893">
      <c r="B35893" s="36"/>
      <c r="C35893" s="36"/>
      <c r="E35893" s="1"/>
      <c r="F35893" s="1"/>
      <c r="G35893" s="1"/>
    </row>
    <row r="35894">
      <c r="B35894" s="36"/>
      <c r="C35894" s="36"/>
      <c r="E35894" s="1"/>
      <c r="F35894" s="1"/>
      <c r="G35894" s="1"/>
    </row>
    <row r="35895">
      <c r="B35895" s="36"/>
      <c r="C35895" s="36"/>
      <c r="E35895" s="1"/>
      <c r="F35895" s="1"/>
      <c r="G35895" s="1"/>
    </row>
    <row r="35896">
      <c r="B35896" s="36"/>
      <c r="C35896" s="36"/>
      <c r="E35896" s="1"/>
      <c r="F35896" s="1"/>
      <c r="G35896" s="1"/>
    </row>
    <row r="35897">
      <c r="B35897" s="36"/>
      <c r="C35897" s="36"/>
      <c r="E35897" s="1"/>
      <c r="F35897" s="1"/>
      <c r="G35897" s="1"/>
    </row>
    <row r="35898">
      <c r="B35898" s="36"/>
      <c r="C35898" s="36"/>
      <c r="E35898" s="1"/>
      <c r="F35898" s="1"/>
      <c r="G35898" s="1"/>
    </row>
    <row r="35899">
      <c r="B35899" s="36"/>
      <c r="C35899" s="36"/>
      <c r="E35899" s="1"/>
      <c r="F35899" s="1"/>
      <c r="G35899" s="1"/>
    </row>
    <row r="35900">
      <c r="B35900" s="36"/>
      <c r="C35900" s="36"/>
      <c r="E35900" s="1"/>
      <c r="F35900" s="1"/>
      <c r="G35900" s="1"/>
    </row>
    <row r="35901">
      <c r="B35901" s="36"/>
      <c r="C35901" s="36"/>
      <c r="E35901" s="1"/>
      <c r="F35901" s="1"/>
      <c r="G35901" s="1"/>
    </row>
    <row r="35902">
      <c r="B35902" s="36"/>
      <c r="C35902" s="36"/>
      <c r="E35902" s="1"/>
      <c r="F35902" s="1"/>
      <c r="G35902" s="1"/>
    </row>
    <row r="35903">
      <c r="B35903" s="36"/>
      <c r="C35903" s="36"/>
      <c r="E35903" s="1"/>
      <c r="F35903" s="1"/>
      <c r="G35903" s="1"/>
    </row>
    <row r="35904">
      <c r="B35904" s="36"/>
      <c r="C35904" s="36"/>
      <c r="E35904" s="1"/>
      <c r="F35904" s="1"/>
      <c r="G35904" s="1"/>
    </row>
    <row r="35905">
      <c r="B35905" s="36"/>
      <c r="C35905" s="36"/>
      <c r="E35905" s="1"/>
      <c r="F35905" s="1"/>
      <c r="G35905" s="1"/>
    </row>
    <row r="35906">
      <c r="B35906" s="36"/>
      <c r="C35906" s="36"/>
      <c r="E35906" s="1"/>
      <c r="F35906" s="1"/>
      <c r="G35906" s="1"/>
    </row>
    <row r="35907">
      <c r="B35907" s="36"/>
      <c r="C35907" s="36"/>
      <c r="E35907" s="1"/>
      <c r="F35907" s="1"/>
      <c r="G35907" s="1"/>
    </row>
    <row r="35908">
      <c r="B35908" s="36"/>
      <c r="C35908" s="36"/>
      <c r="E35908" s="1"/>
      <c r="F35908" s="1"/>
      <c r="G35908" s="1"/>
    </row>
    <row r="35909">
      <c r="B35909" s="36"/>
      <c r="C35909" s="36"/>
      <c r="E35909" s="1"/>
      <c r="F35909" s="1"/>
      <c r="G35909" s="1"/>
    </row>
    <row r="35910">
      <c r="B35910" s="36"/>
      <c r="C35910" s="36"/>
      <c r="E35910" s="1"/>
      <c r="F35910" s="1"/>
      <c r="G35910" s="1"/>
    </row>
    <row r="35911">
      <c r="B35911" s="36"/>
      <c r="C35911" s="36"/>
      <c r="E35911" s="1"/>
      <c r="F35911" s="1"/>
      <c r="G35911" s="1"/>
    </row>
    <row r="35912">
      <c r="B35912" s="36"/>
      <c r="C35912" s="36"/>
      <c r="E35912" s="1"/>
      <c r="F35912" s="1"/>
      <c r="G35912" s="1"/>
    </row>
    <row r="35913">
      <c r="B35913" s="36"/>
      <c r="C35913" s="36"/>
      <c r="E35913" s="1"/>
      <c r="F35913" s="1"/>
      <c r="G35913" s="1"/>
    </row>
    <row r="35914">
      <c r="B35914" s="36"/>
      <c r="C35914" s="36"/>
      <c r="E35914" s="1"/>
      <c r="F35914" s="1"/>
      <c r="G35914" s="1"/>
    </row>
    <row r="35915">
      <c r="B35915" s="36"/>
      <c r="C35915" s="36"/>
      <c r="E35915" s="1"/>
      <c r="F35915" s="1"/>
      <c r="G35915" s="1"/>
    </row>
    <row r="35916">
      <c r="B35916" s="36"/>
      <c r="C35916" s="36"/>
      <c r="E35916" s="1"/>
      <c r="F35916" s="1"/>
      <c r="G35916" s="1"/>
    </row>
    <row r="35917">
      <c r="B35917" s="36"/>
      <c r="C35917" s="36"/>
      <c r="E35917" s="1"/>
      <c r="F35917" s="1"/>
      <c r="G35917" s="1"/>
    </row>
    <row r="35918">
      <c r="B35918" s="36"/>
      <c r="C35918" s="36"/>
      <c r="E35918" s="1"/>
      <c r="F35918" s="1"/>
      <c r="G35918" s="1"/>
    </row>
    <row r="35919">
      <c r="B35919" s="36"/>
      <c r="C35919" s="36"/>
      <c r="E35919" s="1"/>
      <c r="F35919" s="1"/>
      <c r="G35919" s="1"/>
    </row>
    <row r="35920">
      <c r="B35920" s="36"/>
      <c r="C35920" s="36"/>
      <c r="E35920" s="1"/>
      <c r="F35920" s="1"/>
      <c r="G35920" s="1"/>
    </row>
    <row r="35921">
      <c r="B35921" s="36"/>
      <c r="C35921" s="36"/>
      <c r="E35921" s="1"/>
      <c r="F35921" s="1"/>
      <c r="G35921" s="1"/>
    </row>
    <row r="35922">
      <c r="B35922" s="36"/>
      <c r="C35922" s="36"/>
      <c r="E35922" s="1"/>
      <c r="F35922" s="1"/>
      <c r="G35922" s="1"/>
    </row>
    <row r="35923">
      <c r="B35923" s="36"/>
      <c r="C35923" s="36"/>
      <c r="E35923" s="1"/>
      <c r="F35923" s="1"/>
      <c r="G35923" s="1"/>
    </row>
    <row r="35924">
      <c r="B35924" s="36"/>
      <c r="C35924" s="36"/>
      <c r="E35924" s="1"/>
      <c r="F35924" s="1"/>
      <c r="G35924" s="1"/>
    </row>
    <row r="35925">
      <c r="B35925" s="36"/>
      <c r="C35925" s="36"/>
      <c r="E35925" s="1"/>
      <c r="F35925" s="1"/>
      <c r="G35925" s="1"/>
    </row>
    <row r="35926">
      <c r="B35926" s="36"/>
      <c r="C35926" s="36"/>
      <c r="E35926" s="1"/>
      <c r="F35926" s="1"/>
      <c r="G35926" s="1"/>
    </row>
    <row r="35927">
      <c r="B35927" s="36"/>
      <c r="C35927" s="36"/>
      <c r="E35927" s="1"/>
      <c r="F35927" s="1"/>
      <c r="G35927" s="1"/>
    </row>
    <row r="35928">
      <c r="B35928" s="36"/>
      <c r="C35928" s="36"/>
      <c r="E35928" s="1"/>
      <c r="F35928" s="1"/>
      <c r="G35928" s="1"/>
    </row>
    <row r="35929">
      <c r="B35929" s="36"/>
      <c r="C35929" s="36"/>
      <c r="E35929" s="1"/>
      <c r="F35929" s="1"/>
      <c r="G35929" s="1"/>
    </row>
    <row r="35930">
      <c r="B35930" s="36"/>
      <c r="C35930" s="36"/>
      <c r="E35930" s="1"/>
      <c r="F35930" s="1"/>
      <c r="G35930" s="1"/>
    </row>
    <row r="35931">
      <c r="B35931" s="36"/>
      <c r="C35931" s="36"/>
      <c r="E35931" s="1"/>
      <c r="F35931" s="1"/>
      <c r="G35931" s="1"/>
    </row>
    <row r="35932">
      <c r="B35932" s="36"/>
      <c r="C35932" s="36"/>
      <c r="E35932" s="1"/>
      <c r="F35932" s="1"/>
      <c r="G35932" s="1"/>
    </row>
    <row r="35933">
      <c r="B35933" s="36"/>
      <c r="C35933" s="36"/>
      <c r="E35933" s="1"/>
      <c r="F35933" s="1"/>
      <c r="G35933" s="1"/>
    </row>
    <row r="35934">
      <c r="B35934" s="36"/>
      <c r="C35934" s="36"/>
      <c r="E35934" s="1"/>
      <c r="F35934" s="1"/>
      <c r="G35934" s="1"/>
    </row>
    <row r="35935">
      <c r="B35935" s="36"/>
      <c r="C35935" s="36"/>
      <c r="E35935" s="1"/>
      <c r="F35935" s="1"/>
      <c r="G35935" s="1"/>
    </row>
    <row r="35936">
      <c r="B35936" s="36"/>
      <c r="C35936" s="36"/>
      <c r="E35936" s="1"/>
      <c r="F35936" s="1"/>
      <c r="G35936" s="1"/>
    </row>
    <row r="35937">
      <c r="B35937" s="36"/>
      <c r="C35937" s="36"/>
      <c r="E35937" s="1"/>
      <c r="F35937" s="1"/>
      <c r="G35937" s="1"/>
    </row>
    <row r="35938">
      <c r="B35938" s="36"/>
      <c r="C35938" s="36"/>
      <c r="E35938" s="1"/>
      <c r="F35938" s="1"/>
      <c r="G35938" s="1"/>
    </row>
    <row r="35939">
      <c r="B35939" s="36"/>
      <c r="C35939" s="36"/>
      <c r="E35939" s="1"/>
      <c r="F35939" s="1"/>
      <c r="G35939" s="1"/>
    </row>
    <row r="35940">
      <c r="B35940" s="36"/>
      <c r="C35940" s="36"/>
      <c r="E35940" s="1"/>
      <c r="F35940" s="1"/>
      <c r="G35940" s="1"/>
    </row>
    <row r="35941">
      <c r="B35941" s="36"/>
      <c r="C35941" s="36"/>
      <c r="E35941" s="1"/>
      <c r="F35941" s="1"/>
      <c r="G35941" s="1"/>
    </row>
    <row r="35942">
      <c r="B35942" s="36"/>
      <c r="C35942" s="36"/>
      <c r="E35942" s="1"/>
      <c r="F35942" s="1"/>
      <c r="G35942" s="1"/>
    </row>
    <row r="35943">
      <c r="B35943" s="36"/>
      <c r="C35943" s="36"/>
      <c r="E35943" s="1"/>
      <c r="F35943" s="1"/>
      <c r="G35943" s="1"/>
    </row>
    <row r="35944">
      <c r="B35944" s="36"/>
      <c r="C35944" s="36"/>
      <c r="E35944" s="1"/>
      <c r="F35944" s="1"/>
      <c r="G35944" s="1"/>
    </row>
    <row r="35945">
      <c r="B35945" s="36"/>
      <c r="C35945" s="36"/>
      <c r="E35945" s="1"/>
      <c r="F35945" s="1"/>
      <c r="G35945" s="1"/>
    </row>
    <row r="35946">
      <c r="B35946" s="36"/>
      <c r="C35946" s="36"/>
      <c r="E35946" s="1"/>
      <c r="F35946" s="1"/>
      <c r="G35946" s="1"/>
    </row>
    <row r="35947">
      <c r="B35947" s="36"/>
      <c r="C35947" s="36"/>
      <c r="E35947" s="1"/>
      <c r="F35947" s="1"/>
      <c r="G35947" s="1"/>
    </row>
    <row r="35948">
      <c r="B35948" s="36"/>
      <c r="C35948" s="36"/>
      <c r="E35948" s="1"/>
      <c r="F35948" s="1"/>
      <c r="G35948" s="1"/>
    </row>
    <row r="35949">
      <c r="B35949" s="36"/>
      <c r="C35949" s="36"/>
      <c r="E35949" s="1"/>
      <c r="F35949" s="1"/>
      <c r="G35949" s="1"/>
    </row>
    <row r="35950">
      <c r="B35950" s="36"/>
      <c r="C35950" s="36"/>
      <c r="E35950" s="1"/>
      <c r="F35950" s="1"/>
      <c r="G35950" s="1"/>
    </row>
    <row r="35951">
      <c r="B35951" s="36"/>
      <c r="C35951" s="36"/>
      <c r="E35951" s="1"/>
      <c r="F35951" s="1"/>
      <c r="G35951" s="1"/>
    </row>
    <row r="35952">
      <c r="B35952" s="36"/>
      <c r="C35952" s="36"/>
      <c r="E35952" s="1"/>
      <c r="F35952" s="1"/>
      <c r="G35952" s="1"/>
    </row>
    <row r="35953">
      <c r="B35953" s="36"/>
      <c r="C35953" s="36"/>
      <c r="E35953" s="1"/>
      <c r="F35953" s="1"/>
      <c r="G35953" s="1"/>
    </row>
    <row r="35954">
      <c r="B35954" s="36"/>
      <c r="C35954" s="36"/>
      <c r="E35954" s="1"/>
      <c r="F35954" s="1"/>
      <c r="G35954" s="1"/>
    </row>
    <row r="35955">
      <c r="B35955" s="36"/>
      <c r="C35955" s="36"/>
      <c r="E35955" s="1"/>
      <c r="F35955" s="1"/>
      <c r="G35955" s="1"/>
    </row>
    <row r="35956">
      <c r="B35956" s="36"/>
      <c r="C35956" s="36"/>
      <c r="E35956" s="1"/>
      <c r="F35956" s="1"/>
      <c r="G35956" s="1"/>
    </row>
    <row r="35957">
      <c r="B35957" s="36"/>
      <c r="C35957" s="36"/>
      <c r="E35957" s="1"/>
      <c r="F35957" s="1"/>
      <c r="G35957" s="1"/>
    </row>
    <row r="35958">
      <c r="B35958" s="36"/>
      <c r="C35958" s="36"/>
      <c r="E35958" s="1"/>
      <c r="F35958" s="1"/>
      <c r="G35958" s="1"/>
    </row>
    <row r="35959">
      <c r="B35959" s="36"/>
      <c r="C35959" s="36"/>
      <c r="E35959" s="1"/>
      <c r="F35959" s="1"/>
      <c r="G35959" s="1"/>
    </row>
    <row r="35960">
      <c r="B35960" s="36"/>
      <c r="C35960" s="36"/>
      <c r="E35960" s="1"/>
      <c r="F35960" s="1"/>
      <c r="G35960" s="1"/>
    </row>
    <row r="35961">
      <c r="B35961" s="36"/>
      <c r="C35961" s="36"/>
      <c r="E35961" s="1"/>
      <c r="F35961" s="1"/>
      <c r="G35961" s="1"/>
    </row>
    <row r="35962">
      <c r="B35962" s="36"/>
      <c r="C35962" s="36"/>
      <c r="E35962" s="1"/>
      <c r="F35962" s="1"/>
      <c r="G35962" s="1"/>
    </row>
    <row r="35963">
      <c r="B35963" s="36"/>
      <c r="C35963" s="36"/>
      <c r="E35963" s="1"/>
      <c r="F35963" s="1"/>
      <c r="G35963" s="1"/>
    </row>
    <row r="35964">
      <c r="B35964" s="36"/>
      <c r="C35964" s="36"/>
      <c r="E35964" s="1"/>
      <c r="F35964" s="1"/>
      <c r="G35964" s="1"/>
    </row>
    <row r="35965">
      <c r="B35965" s="36"/>
      <c r="C35965" s="36"/>
      <c r="E35965" s="1"/>
      <c r="F35965" s="1"/>
      <c r="G35965" s="1"/>
    </row>
    <row r="35966">
      <c r="B35966" s="36"/>
      <c r="C35966" s="36"/>
      <c r="E35966" s="1"/>
      <c r="F35966" s="1"/>
      <c r="G35966" s="1"/>
    </row>
    <row r="35967">
      <c r="B35967" s="36"/>
      <c r="C35967" s="36"/>
      <c r="E35967" s="1"/>
      <c r="F35967" s="1"/>
      <c r="G35967" s="1"/>
    </row>
    <row r="35968">
      <c r="B35968" s="36"/>
      <c r="C35968" s="36"/>
      <c r="E35968" s="1"/>
      <c r="F35968" s="1"/>
      <c r="G35968" s="1"/>
    </row>
    <row r="35969">
      <c r="B35969" s="36"/>
      <c r="C35969" s="36"/>
      <c r="E35969" s="1"/>
      <c r="F35969" s="1"/>
      <c r="G35969" s="1"/>
    </row>
    <row r="35970">
      <c r="B35970" s="36"/>
      <c r="C35970" s="36"/>
      <c r="E35970" s="1"/>
      <c r="F35970" s="1"/>
      <c r="G35970" s="1"/>
    </row>
    <row r="35971">
      <c r="B35971" s="36"/>
      <c r="C35971" s="36"/>
      <c r="E35971" s="1"/>
      <c r="F35971" s="1"/>
      <c r="G35971" s="1"/>
    </row>
    <row r="35972">
      <c r="B35972" s="36"/>
      <c r="C35972" s="36"/>
      <c r="E35972" s="1"/>
      <c r="F35972" s="1"/>
      <c r="G35972" s="1"/>
    </row>
    <row r="35973">
      <c r="B35973" s="36"/>
      <c r="C35973" s="36"/>
      <c r="E35973" s="1"/>
      <c r="F35973" s="1"/>
      <c r="G35973" s="1"/>
    </row>
    <row r="35974">
      <c r="B35974" s="36"/>
      <c r="C35974" s="36"/>
      <c r="E35974" s="1"/>
      <c r="F35974" s="1"/>
      <c r="G35974" s="1"/>
    </row>
    <row r="35975">
      <c r="B35975" s="36"/>
      <c r="C35975" s="36"/>
      <c r="E35975" s="1"/>
      <c r="F35975" s="1"/>
      <c r="G35975" s="1"/>
    </row>
    <row r="35976">
      <c r="B35976" s="36"/>
      <c r="C35976" s="36"/>
      <c r="E35976" s="1"/>
      <c r="F35976" s="1"/>
      <c r="G35976" s="1"/>
    </row>
    <row r="35977">
      <c r="B35977" s="36"/>
      <c r="C35977" s="36"/>
      <c r="E35977" s="1"/>
      <c r="F35977" s="1"/>
      <c r="G35977" s="1"/>
    </row>
    <row r="35978">
      <c r="B35978" s="36"/>
      <c r="C35978" s="36"/>
      <c r="E35978" s="1"/>
      <c r="F35978" s="1"/>
      <c r="G35978" s="1"/>
    </row>
    <row r="35979">
      <c r="B35979" s="36"/>
      <c r="C35979" s="36"/>
      <c r="E35979" s="1"/>
      <c r="F35979" s="1"/>
      <c r="G35979" s="1"/>
    </row>
    <row r="35980">
      <c r="B35980" s="36"/>
      <c r="C35980" s="36"/>
      <c r="E35980" s="1"/>
      <c r="F35980" s="1"/>
      <c r="G35980" s="1"/>
    </row>
    <row r="35981">
      <c r="B35981" s="36"/>
      <c r="C35981" s="36"/>
      <c r="E35981" s="1"/>
      <c r="F35981" s="1"/>
      <c r="G35981" s="1"/>
    </row>
    <row r="35982">
      <c r="B35982" s="36"/>
      <c r="C35982" s="36"/>
      <c r="E35982" s="1"/>
      <c r="F35982" s="1"/>
      <c r="G35982" s="1"/>
    </row>
    <row r="35983">
      <c r="B35983" s="36"/>
      <c r="C35983" s="36"/>
      <c r="E35983" s="1"/>
      <c r="F35983" s="1"/>
      <c r="G35983" s="1"/>
    </row>
    <row r="35984">
      <c r="B35984" s="36"/>
      <c r="C35984" s="36"/>
      <c r="E35984" s="1"/>
      <c r="F35984" s="1"/>
      <c r="G35984" s="1"/>
    </row>
    <row r="35985">
      <c r="B35985" s="36"/>
      <c r="C35985" s="36"/>
      <c r="E35985" s="1"/>
      <c r="F35985" s="1"/>
      <c r="G35985" s="1"/>
    </row>
    <row r="35986">
      <c r="B35986" s="36"/>
      <c r="C35986" s="36"/>
      <c r="E35986" s="1"/>
      <c r="F35986" s="1"/>
      <c r="G35986" s="1"/>
    </row>
    <row r="35987">
      <c r="B35987" s="36"/>
      <c r="C35987" s="36"/>
      <c r="E35987" s="1"/>
      <c r="F35987" s="1"/>
      <c r="G35987" s="1"/>
    </row>
    <row r="35988">
      <c r="B35988" s="36"/>
      <c r="C35988" s="36"/>
      <c r="E35988" s="1"/>
      <c r="F35988" s="1"/>
      <c r="G35988" s="1"/>
    </row>
    <row r="35989">
      <c r="B35989" s="36"/>
      <c r="C35989" s="36"/>
      <c r="E35989" s="1"/>
      <c r="F35989" s="1"/>
      <c r="G35989" s="1"/>
    </row>
    <row r="35990">
      <c r="B35990" s="36"/>
      <c r="C35990" s="36"/>
      <c r="E35990" s="1"/>
      <c r="F35990" s="1"/>
      <c r="G35990" s="1"/>
    </row>
    <row r="35991">
      <c r="B35991" s="36"/>
      <c r="C35991" s="36"/>
      <c r="E35991" s="1"/>
      <c r="F35991" s="1"/>
      <c r="G35991" s="1"/>
    </row>
    <row r="35992">
      <c r="B35992" s="36"/>
      <c r="C35992" s="36"/>
      <c r="E35992" s="1"/>
      <c r="F35992" s="1"/>
      <c r="G35992" s="1"/>
    </row>
    <row r="35993">
      <c r="B35993" s="36"/>
      <c r="C35993" s="36"/>
      <c r="E35993" s="1"/>
      <c r="F35993" s="1"/>
      <c r="G35993" s="1"/>
    </row>
    <row r="35994">
      <c r="B35994" s="36"/>
      <c r="C35994" s="36"/>
      <c r="E35994" s="1"/>
      <c r="F35994" s="1"/>
      <c r="G35994" s="1"/>
    </row>
    <row r="35995">
      <c r="B35995" s="36"/>
      <c r="C35995" s="36"/>
      <c r="E35995" s="1"/>
      <c r="F35995" s="1"/>
      <c r="G35995" s="1"/>
    </row>
    <row r="35996">
      <c r="B35996" s="36"/>
      <c r="C35996" s="36"/>
      <c r="E35996" s="1"/>
      <c r="F35996" s="1"/>
      <c r="G35996" s="1"/>
    </row>
    <row r="35997">
      <c r="B35997" s="36"/>
      <c r="C35997" s="36"/>
      <c r="E35997" s="1"/>
      <c r="F35997" s="1"/>
      <c r="G35997" s="1"/>
    </row>
    <row r="35998">
      <c r="B35998" s="36"/>
      <c r="C35998" s="36"/>
      <c r="E35998" s="1"/>
      <c r="F35998" s="1"/>
      <c r="G35998" s="1"/>
    </row>
    <row r="35999">
      <c r="B35999" s="36"/>
      <c r="C35999" s="36"/>
      <c r="E35999" s="1"/>
      <c r="F35999" s="1"/>
      <c r="G35999" s="1"/>
    </row>
    <row r="36000">
      <c r="B36000" s="36"/>
      <c r="C36000" s="36"/>
      <c r="E36000" s="1"/>
      <c r="F36000" s="1"/>
      <c r="G36000" s="1"/>
    </row>
    <row r="36001">
      <c r="B36001" s="36"/>
      <c r="C36001" s="36"/>
      <c r="E36001" s="1"/>
      <c r="F36001" s="1"/>
      <c r="G36001" s="1"/>
    </row>
    <row r="36002">
      <c r="B36002" s="36"/>
      <c r="C36002" s="36"/>
      <c r="E36002" s="1"/>
      <c r="F36002" s="1"/>
      <c r="G36002" s="1"/>
    </row>
    <row r="36003">
      <c r="B36003" s="36"/>
      <c r="C36003" s="36"/>
      <c r="E36003" s="1"/>
      <c r="F36003" s="1"/>
      <c r="G36003" s="1"/>
    </row>
    <row r="36004">
      <c r="B36004" s="36"/>
      <c r="C36004" s="36"/>
      <c r="E36004" s="1"/>
      <c r="F36004" s="1"/>
      <c r="G36004" s="1"/>
    </row>
    <row r="36005">
      <c r="B36005" s="36"/>
      <c r="C36005" s="36"/>
      <c r="E36005" s="1"/>
      <c r="F36005" s="1"/>
      <c r="G36005" s="1"/>
    </row>
    <row r="36006">
      <c r="B36006" s="36"/>
      <c r="C36006" s="36"/>
      <c r="E36006" s="1"/>
      <c r="F36006" s="1"/>
      <c r="G36006" s="1"/>
    </row>
    <row r="36007">
      <c r="B36007" s="36"/>
      <c r="C36007" s="36"/>
      <c r="E36007" s="1"/>
      <c r="F36007" s="1"/>
      <c r="G36007" s="1"/>
    </row>
    <row r="36008">
      <c r="B36008" s="36"/>
      <c r="C36008" s="36"/>
      <c r="E36008" s="1"/>
      <c r="F36008" s="1"/>
      <c r="G36008" s="1"/>
    </row>
    <row r="36009">
      <c r="B36009" s="36"/>
      <c r="C36009" s="36"/>
      <c r="E36009" s="1"/>
      <c r="F36009" s="1"/>
      <c r="G36009" s="1"/>
    </row>
    <row r="36010">
      <c r="B36010" s="36"/>
      <c r="C36010" s="36"/>
      <c r="E36010" s="1"/>
      <c r="F36010" s="1"/>
      <c r="G36010" s="1"/>
    </row>
    <row r="36011">
      <c r="B36011" s="36"/>
      <c r="C36011" s="36"/>
      <c r="E36011" s="1"/>
      <c r="F36011" s="1"/>
      <c r="G36011" s="1"/>
    </row>
    <row r="36012">
      <c r="B36012" s="36"/>
      <c r="C36012" s="36"/>
      <c r="E36012" s="1"/>
      <c r="F36012" s="1"/>
      <c r="G36012" s="1"/>
    </row>
    <row r="36013">
      <c r="B36013" s="36"/>
      <c r="C36013" s="36"/>
      <c r="E36013" s="1"/>
      <c r="F36013" s="1"/>
      <c r="G36013" s="1"/>
    </row>
    <row r="36014">
      <c r="B36014" s="36"/>
      <c r="C36014" s="36"/>
      <c r="E36014" s="1"/>
      <c r="F36014" s="1"/>
      <c r="G36014" s="1"/>
    </row>
    <row r="36015">
      <c r="B36015" s="36"/>
      <c r="C36015" s="36"/>
      <c r="E36015" s="1"/>
      <c r="F36015" s="1"/>
      <c r="G36015" s="1"/>
    </row>
    <row r="36016">
      <c r="B36016" s="36"/>
      <c r="C36016" s="36"/>
      <c r="E36016" s="1"/>
      <c r="F36016" s="1"/>
      <c r="G36016" s="1"/>
    </row>
    <row r="36017">
      <c r="B36017" s="36"/>
      <c r="C36017" s="36"/>
      <c r="E36017" s="1"/>
      <c r="F36017" s="1"/>
      <c r="G36017" s="1"/>
    </row>
    <row r="36018">
      <c r="B36018" s="36"/>
      <c r="C36018" s="36"/>
      <c r="E36018" s="1"/>
      <c r="F36018" s="1"/>
      <c r="G36018" s="1"/>
    </row>
    <row r="36019">
      <c r="B36019" s="36"/>
      <c r="C36019" s="36"/>
      <c r="E36019" s="1"/>
      <c r="F36019" s="1"/>
      <c r="G36019" s="1"/>
    </row>
    <row r="36020">
      <c r="B36020" s="36"/>
      <c r="C36020" s="36"/>
      <c r="E36020" s="1"/>
      <c r="F36020" s="1"/>
      <c r="G36020" s="1"/>
    </row>
    <row r="36021">
      <c r="B36021" s="36"/>
      <c r="C36021" s="36"/>
      <c r="E36021" s="1"/>
      <c r="F36021" s="1"/>
      <c r="G36021" s="1"/>
    </row>
    <row r="36022">
      <c r="B36022" s="36"/>
      <c r="C36022" s="36"/>
      <c r="E36022" s="1"/>
      <c r="F36022" s="1"/>
      <c r="G36022" s="1"/>
    </row>
    <row r="36023">
      <c r="B36023" s="36"/>
      <c r="C36023" s="36"/>
      <c r="E36023" s="1"/>
      <c r="F36023" s="1"/>
      <c r="G36023" s="1"/>
    </row>
    <row r="36024">
      <c r="B36024" s="36"/>
      <c r="C36024" s="36"/>
      <c r="E36024" s="1"/>
      <c r="F36024" s="1"/>
      <c r="G36024" s="1"/>
    </row>
    <row r="36025">
      <c r="B36025" s="36"/>
      <c r="C36025" s="36"/>
      <c r="E36025" s="1"/>
      <c r="F36025" s="1"/>
      <c r="G36025" s="1"/>
    </row>
    <row r="36026">
      <c r="B36026" s="36"/>
      <c r="C36026" s="36"/>
      <c r="E36026" s="1"/>
      <c r="F36026" s="1"/>
      <c r="G36026" s="1"/>
    </row>
    <row r="36027">
      <c r="B36027" s="36"/>
      <c r="C36027" s="36"/>
      <c r="E36027" s="1"/>
      <c r="F36027" s="1"/>
      <c r="G36027" s="1"/>
    </row>
    <row r="36028">
      <c r="B36028" s="36"/>
      <c r="C36028" s="36"/>
      <c r="E36028" s="1"/>
      <c r="F36028" s="1"/>
      <c r="G36028" s="1"/>
    </row>
    <row r="36029">
      <c r="B36029" s="36"/>
      <c r="C36029" s="36"/>
      <c r="E36029" s="1"/>
      <c r="F36029" s="1"/>
      <c r="G36029" s="1"/>
    </row>
    <row r="36030">
      <c r="B36030" s="36"/>
      <c r="C36030" s="36"/>
      <c r="E36030" s="1"/>
      <c r="F36030" s="1"/>
      <c r="G36030" s="1"/>
    </row>
    <row r="36031">
      <c r="B36031" s="36"/>
      <c r="C36031" s="36"/>
      <c r="E36031" s="1"/>
      <c r="F36031" s="1"/>
      <c r="G36031" s="1"/>
    </row>
    <row r="36032">
      <c r="B36032" s="36"/>
      <c r="C36032" s="36"/>
      <c r="E36032" s="1"/>
      <c r="F36032" s="1"/>
      <c r="G36032" s="1"/>
    </row>
    <row r="36033">
      <c r="B36033" s="36"/>
      <c r="C36033" s="36"/>
      <c r="E36033" s="1"/>
      <c r="F36033" s="1"/>
      <c r="G36033" s="1"/>
    </row>
    <row r="36034">
      <c r="B36034" s="36"/>
      <c r="C36034" s="36"/>
      <c r="E36034" s="1"/>
      <c r="F36034" s="1"/>
      <c r="G36034" s="1"/>
    </row>
    <row r="36035">
      <c r="B36035" s="36"/>
      <c r="C36035" s="36"/>
      <c r="E36035" s="1"/>
      <c r="F36035" s="1"/>
      <c r="G36035" s="1"/>
    </row>
    <row r="36036">
      <c r="B36036" s="36"/>
      <c r="C36036" s="36"/>
      <c r="E36036" s="1"/>
      <c r="F36036" s="1"/>
      <c r="G36036" s="1"/>
    </row>
    <row r="36037">
      <c r="B36037" s="36"/>
      <c r="C36037" s="36"/>
      <c r="E36037" s="1"/>
      <c r="F36037" s="1"/>
      <c r="G36037" s="1"/>
    </row>
    <row r="36038">
      <c r="B36038" s="36"/>
      <c r="C36038" s="36"/>
      <c r="E36038" s="1"/>
      <c r="F36038" s="1"/>
      <c r="G36038" s="1"/>
    </row>
    <row r="36039">
      <c r="B36039" s="36"/>
      <c r="C36039" s="36"/>
      <c r="E36039" s="1"/>
      <c r="F36039" s="1"/>
      <c r="G36039" s="1"/>
    </row>
    <row r="36040">
      <c r="B36040" s="36"/>
      <c r="C36040" s="36"/>
      <c r="E36040" s="1"/>
      <c r="F36040" s="1"/>
      <c r="G36040" s="1"/>
    </row>
    <row r="36041">
      <c r="B36041" s="36"/>
      <c r="C36041" s="36"/>
      <c r="E36041" s="1"/>
      <c r="F36041" s="1"/>
      <c r="G36041" s="1"/>
    </row>
    <row r="36042">
      <c r="B36042" s="36"/>
      <c r="C36042" s="36"/>
      <c r="E36042" s="1"/>
      <c r="F36042" s="1"/>
      <c r="G36042" s="1"/>
    </row>
    <row r="36043">
      <c r="B36043" s="36"/>
      <c r="C36043" s="36"/>
      <c r="E36043" s="1"/>
      <c r="F36043" s="1"/>
      <c r="G36043" s="1"/>
    </row>
    <row r="36044">
      <c r="B36044" s="36"/>
      <c r="C36044" s="36"/>
      <c r="E36044" s="1"/>
      <c r="F36044" s="1"/>
      <c r="G36044" s="1"/>
    </row>
    <row r="36045">
      <c r="B36045" s="36"/>
      <c r="C36045" s="36"/>
      <c r="E36045" s="1"/>
      <c r="F36045" s="1"/>
      <c r="G36045" s="1"/>
    </row>
    <row r="36046">
      <c r="B36046" s="36"/>
      <c r="C36046" s="36"/>
      <c r="E36046" s="1"/>
      <c r="F36046" s="1"/>
      <c r="G36046" s="1"/>
    </row>
    <row r="36047">
      <c r="B36047" s="36"/>
      <c r="C36047" s="36"/>
      <c r="E36047" s="1"/>
      <c r="F36047" s="1"/>
      <c r="G36047" s="1"/>
    </row>
    <row r="36048">
      <c r="B36048" s="36"/>
      <c r="C36048" s="36"/>
      <c r="E36048" s="1"/>
      <c r="F36048" s="1"/>
      <c r="G36048" s="1"/>
    </row>
    <row r="36049">
      <c r="B36049" s="36"/>
      <c r="C36049" s="36"/>
      <c r="E36049" s="1"/>
      <c r="F36049" s="1"/>
      <c r="G36049" s="1"/>
    </row>
    <row r="36050">
      <c r="B36050" s="36"/>
      <c r="C36050" s="36"/>
      <c r="E36050" s="1"/>
      <c r="F36050" s="1"/>
      <c r="G36050" s="1"/>
    </row>
    <row r="36051">
      <c r="B36051" s="36"/>
      <c r="C36051" s="36"/>
      <c r="E36051" s="1"/>
      <c r="F36051" s="1"/>
      <c r="G36051" s="1"/>
    </row>
    <row r="36052">
      <c r="B36052" s="36"/>
      <c r="C36052" s="36"/>
      <c r="E36052" s="1"/>
      <c r="F36052" s="1"/>
      <c r="G36052" s="1"/>
    </row>
    <row r="36053">
      <c r="B36053" s="36"/>
      <c r="C36053" s="36"/>
      <c r="E36053" s="1"/>
      <c r="F36053" s="1"/>
      <c r="G36053" s="1"/>
    </row>
    <row r="36054">
      <c r="B36054" s="36"/>
      <c r="C36054" s="36"/>
      <c r="E36054" s="1"/>
      <c r="F36054" s="1"/>
      <c r="G36054" s="1"/>
    </row>
    <row r="36055">
      <c r="B36055" s="36"/>
      <c r="C36055" s="36"/>
      <c r="E36055" s="1"/>
      <c r="F36055" s="1"/>
      <c r="G36055" s="1"/>
    </row>
    <row r="36056">
      <c r="B36056" s="36"/>
      <c r="C36056" s="36"/>
      <c r="E36056" s="1"/>
      <c r="F36056" s="1"/>
      <c r="G36056" s="1"/>
    </row>
    <row r="36057">
      <c r="B36057" s="36"/>
      <c r="C36057" s="36"/>
      <c r="E36057" s="1"/>
      <c r="F36057" s="1"/>
      <c r="G36057" s="1"/>
    </row>
    <row r="36058">
      <c r="B36058" s="36"/>
      <c r="C36058" s="36"/>
      <c r="E36058" s="1"/>
      <c r="F36058" s="1"/>
      <c r="G36058" s="1"/>
    </row>
    <row r="36059">
      <c r="B36059" s="36"/>
      <c r="C36059" s="36"/>
      <c r="E36059" s="1"/>
      <c r="F36059" s="1"/>
      <c r="G36059" s="1"/>
    </row>
    <row r="36060">
      <c r="B36060" s="36"/>
      <c r="C36060" s="36"/>
      <c r="E36060" s="1"/>
      <c r="F36060" s="1"/>
      <c r="G36060" s="1"/>
    </row>
    <row r="36061">
      <c r="B36061" s="36"/>
      <c r="C36061" s="36"/>
      <c r="E36061" s="1"/>
      <c r="F36061" s="1"/>
      <c r="G36061" s="1"/>
    </row>
    <row r="36062">
      <c r="B36062" s="36"/>
      <c r="C36062" s="36"/>
      <c r="E36062" s="1"/>
      <c r="F36062" s="1"/>
      <c r="G36062" s="1"/>
    </row>
    <row r="36063">
      <c r="B36063" s="36"/>
      <c r="C36063" s="36"/>
      <c r="E36063" s="1"/>
      <c r="F36063" s="1"/>
      <c r="G36063" s="1"/>
    </row>
    <row r="36064">
      <c r="B36064" s="36"/>
      <c r="C36064" s="36"/>
      <c r="E36064" s="1"/>
      <c r="F36064" s="1"/>
      <c r="G36064" s="1"/>
    </row>
    <row r="36065">
      <c r="B36065" s="36"/>
      <c r="C36065" s="36"/>
      <c r="E36065" s="1"/>
      <c r="F36065" s="1"/>
      <c r="G36065" s="1"/>
    </row>
    <row r="36066">
      <c r="B36066" s="36"/>
      <c r="C36066" s="36"/>
      <c r="E36066" s="1"/>
      <c r="F36066" s="1"/>
      <c r="G36066" s="1"/>
    </row>
    <row r="36067">
      <c r="B36067" s="36"/>
      <c r="C36067" s="36"/>
      <c r="E36067" s="1"/>
      <c r="F36067" s="1"/>
      <c r="G36067" s="1"/>
    </row>
    <row r="36068">
      <c r="B36068" s="36"/>
      <c r="C36068" s="36"/>
      <c r="E36068" s="1"/>
      <c r="F36068" s="1"/>
      <c r="G36068" s="1"/>
    </row>
    <row r="36069">
      <c r="B36069" s="36"/>
      <c r="C36069" s="36"/>
      <c r="E36069" s="1"/>
      <c r="F36069" s="1"/>
      <c r="G36069" s="1"/>
    </row>
    <row r="36070">
      <c r="B36070" s="36"/>
      <c r="C36070" s="36"/>
      <c r="E36070" s="1"/>
      <c r="F36070" s="1"/>
      <c r="G36070" s="1"/>
    </row>
    <row r="36071">
      <c r="B36071" s="36"/>
      <c r="C36071" s="36"/>
      <c r="E36071" s="1"/>
      <c r="F36071" s="1"/>
      <c r="G36071" s="1"/>
    </row>
    <row r="36072">
      <c r="B36072" s="36"/>
      <c r="C36072" s="36"/>
      <c r="E36072" s="1"/>
      <c r="F36072" s="1"/>
      <c r="G36072" s="1"/>
    </row>
    <row r="36073">
      <c r="B36073" s="36"/>
      <c r="C36073" s="36"/>
      <c r="E36073" s="1"/>
      <c r="F36073" s="1"/>
      <c r="G36073" s="1"/>
    </row>
    <row r="36074">
      <c r="B36074" s="36"/>
      <c r="C36074" s="36"/>
      <c r="E36074" s="1"/>
      <c r="F36074" s="1"/>
      <c r="G36074" s="1"/>
    </row>
    <row r="36075">
      <c r="B36075" s="36"/>
      <c r="C36075" s="36"/>
      <c r="E36075" s="1"/>
      <c r="F36075" s="1"/>
      <c r="G36075" s="1"/>
    </row>
    <row r="36076">
      <c r="B36076" s="36"/>
      <c r="C36076" s="36"/>
      <c r="E36076" s="1"/>
      <c r="F36076" s="1"/>
      <c r="G36076" s="1"/>
    </row>
    <row r="36077">
      <c r="B36077" s="36"/>
      <c r="C36077" s="36"/>
      <c r="E36077" s="1"/>
      <c r="F36077" s="1"/>
      <c r="G36077" s="1"/>
    </row>
    <row r="36078">
      <c r="B36078" s="36"/>
      <c r="C36078" s="36"/>
      <c r="E36078" s="1"/>
      <c r="F36078" s="1"/>
      <c r="G36078" s="1"/>
    </row>
    <row r="36079">
      <c r="B36079" s="36"/>
      <c r="C36079" s="36"/>
      <c r="E36079" s="1"/>
      <c r="F36079" s="1"/>
      <c r="G36079" s="1"/>
    </row>
    <row r="36080">
      <c r="B36080" s="36"/>
      <c r="C36080" s="36"/>
      <c r="E36080" s="1"/>
      <c r="F36080" s="1"/>
      <c r="G36080" s="1"/>
    </row>
    <row r="36081">
      <c r="B36081" s="36"/>
      <c r="C36081" s="36"/>
      <c r="E36081" s="1"/>
      <c r="F36081" s="1"/>
      <c r="G36081" s="1"/>
    </row>
    <row r="36082">
      <c r="B36082" s="36"/>
      <c r="C36082" s="36"/>
      <c r="E36082" s="1"/>
      <c r="F36082" s="1"/>
      <c r="G36082" s="1"/>
    </row>
    <row r="36083">
      <c r="B36083" s="36"/>
      <c r="C36083" s="36"/>
      <c r="E36083" s="1"/>
      <c r="F36083" s="1"/>
      <c r="G36083" s="1"/>
    </row>
    <row r="36084">
      <c r="B36084" s="36"/>
      <c r="C36084" s="36"/>
      <c r="E36084" s="1"/>
      <c r="F36084" s="1"/>
      <c r="G36084" s="1"/>
    </row>
    <row r="36085">
      <c r="B36085" s="36"/>
      <c r="C36085" s="36"/>
      <c r="E36085" s="1"/>
      <c r="F36085" s="1"/>
      <c r="G36085" s="1"/>
    </row>
    <row r="36086">
      <c r="B36086" s="36"/>
      <c r="C36086" s="36"/>
      <c r="E36086" s="1"/>
      <c r="F36086" s="1"/>
      <c r="G36086" s="1"/>
    </row>
    <row r="36087">
      <c r="B36087" s="36"/>
      <c r="C36087" s="36"/>
      <c r="E36087" s="1"/>
      <c r="F36087" s="1"/>
      <c r="G36087" s="1"/>
    </row>
    <row r="36088">
      <c r="B36088" s="36"/>
      <c r="C36088" s="36"/>
      <c r="E36088" s="1"/>
      <c r="F36088" s="1"/>
      <c r="G36088" s="1"/>
    </row>
    <row r="36089">
      <c r="B36089" s="36"/>
      <c r="C36089" s="36"/>
      <c r="E36089" s="1"/>
      <c r="F36089" s="1"/>
      <c r="G36089" s="1"/>
    </row>
    <row r="36090">
      <c r="B36090" s="36"/>
      <c r="C36090" s="36"/>
      <c r="E36090" s="1"/>
      <c r="F36090" s="1"/>
      <c r="G36090" s="1"/>
    </row>
    <row r="36091">
      <c r="B36091" s="36"/>
      <c r="C36091" s="36"/>
      <c r="E36091" s="1"/>
      <c r="F36091" s="1"/>
      <c r="G36091" s="1"/>
    </row>
    <row r="36092">
      <c r="B36092" s="36"/>
      <c r="C36092" s="36"/>
      <c r="E36092" s="1"/>
      <c r="F36092" s="1"/>
      <c r="G36092" s="1"/>
    </row>
    <row r="36093">
      <c r="B36093" s="36"/>
      <c r="C36093" s="36"/>
      <c r="E36093" s="1"/>
      <c r="F36093" s="1"/>
      <c r="G36093" s="1"/>
    </row>
    <row r="36094">
      <c r="B36094" s="36"/>
      <c r="C36094" s="36"/>
      <c r="E36094" s="1"/>
      <c r="F36094" s="1"/>
      <c r="G36094" s="1"/>
    </row>
    <row r="36095">
      <c r="B36095" s="36"/>
      <c r="C36095" s="36"/>
      <c r="E36095" s="1"/>
      <c r="F36095" s="1"/>
      <c r="G36095" s="1"/>
    </row>
    <row r="36096">
      <c r="B36096" s="36"/>
      <c r="C36096" s="36"/>
      <c r="E36096" s="1"/>
      <c r="F36096" s="1"/>
      <c r="G36096" s="1"/>
    </row>
    <row r="36097">
      <c r="B36097" s="36"/>
      <c r="C36097" s="36"/>
      <c r="E36097" s="1"/>
      <c r="F36097" s="1"/>
      <c r="G36097" s="1"/>
    </row>
    <row r="36098">
      <c r="B36098" s="36"/>
      <c r="C36098" s="36"/>
      <c r="E36098" s="1"/>
      <c r="F36098" s="1"/>
      <c r="G36098" s="1"/>
    </row>
    <row r="36099">
      <c r="B36099" s="36"/>
      <c r="C36099" s="36"/>
      <c r="E36099" s="1"/>
      <c r="F36099" s="1"/>
      <c r="G36099" s="1"/>
    </row>
    <row r="36100">
      <c r="B36100" s="36"/>
      <c r="C36100" s="36"/>
      <c r="E36100" s="1"/>
      <c r="F36100" s="1"/>
      <c r="G36100" s="1"/>
    </row>
    <row r="36101">
      <c r="B36101" s="36"/>
      <c r="C36101" s="36"/>
      <c r="E36101" s="1"/>
      <c r="F36101" s="1"/>
      <c r="G36101" s="1"/>
    </row>
    <row r="36102">
      <c r="B36102" s="36"/>
      <c r="C36102" s="36"/>
      <c r="E36102" s="1"/>
      <c r="F36102" s="1"/>
      <c r="G36102" s="1"/>
    </row>
    <row r="36103">
      <c r="B36103" s="36"/>
      <c r="C36103" s="36"/>
      <c r="E36103" s="1"/>
      <c r="F36103" s="1"/>
      <c r="G36103" s="1"/>
    </row>
    <row r="36104">
      <c r="B36104" s="36"/>
      <c r="C36104" s="36"/>
      <c r="E36104" s="1"/>
      <c r="F36104" s="1"/>
      <c r="G36104" s="1"/>
    </row>
    <row r="36105">
      <c r="B36105" s="36"/>
      <c r="C36105" s="36"/>
      <c r="E36105" s="1"/>
      <c r="F36105" s="1"/>
      <c r="G36105" s="1"/>
    </row>
    <row r="36106">
      <c r="B36106" s="36"/>
      <c r="C36106" s="36"/>
      <c r="E36106" s="1"/>
      <c r="F36106" s="1"/>
      <c r="G36106" s="1"/>
    </row>
    <row r="36107">
      <c r="B36107" s="36"/>
      <c r="C36107" s="36"/>
      <c r="E36107" s="1"/>
      <c r="F36107" s="1"/>
      <c r="G36107" s="1"/>
    </row>
    <row r="36108">
      <c r="B36108" s="36"/>
      <c r="C36108" s="36"/>
      <c r="E36108" s="1"/>
      <c r="F36108" s="1"/>
      <c r="G36108" s="1"/>
    </row>
    <row r="36109">
      <c r="B36109" s="36"/>
      <c r="C36109" s="36"/>
      <c r="E36109" s="1"/>
      <c r="F36109" s="1"/>
      <c r="G36109" s="1"/>
    </row>
    <row r="36110">
      <c r="B36110" s="36"/>
      <c r="C36110" s="36"/>
      <c r="E36110" s="1"/>
      <c r="F36110" s="1"/>
      <c r="G36110" s="1"/>
    </row>
    <row r="36111">
      <c r="B36111" s="36"/>
      <c r="C36111" s="36"/>
      <c r="E36111" s="1"/>
      <c r="F36111" s="1"/>
      <c r="G36111" s="1"/>
    </row>
    <row r="36112">
      <c r="B36112" s="36"/>
      <c r="C36112" s="36"/>
      <c r="E36112" s="1"/>
      <c r="F36112" s="1"/>
      <c r="G36112" s="1"/>
    </row>
    <row r="36113">
      <c r="B36113" s="36"/>
      <c r="C36113" s="36"/>
      <c r="E36113" s="1"/>
      <c r="F36113" s="1"/>
      <c r="G36113" s="1"/>
    </row>
    <row r="36114">
      <c r="B36114" s="36"/>
      <c r="C36114" s="36"/>
      <c r="E36114" s="1"/>
      <c r="F36114" s="1"/>
      <c r="G36114" s="1"/>
    </row>
    <row r="36115">
      <c r="B36115" s="36"/>
      <c r="C36115" s="36"/>
      <c r="E36115" s="1"/>
      <c r="F36115" s="1"/>
      <c r="G36115" s="1"/>
    </row>
    <row r="36116">
      <c r="B36116" s="36"/>
      <c r="C36116" s="36"/>
      <c r="E36116" s="1"/>
      <c r="F36116" s="1"/>
      <c r="G36116" s="1"/>
    </row>
    <row r="36117">
      <c r="B36117" s="36"/>
      <c r="C36117" s="36"/>
      <c r="E36117" s="1"/>
      <c r="F36117" s="1"/>
      <c r="G36117" s="1"/>
    </row>
    <row r="36118">
      <c r="B36118" s="36"/>
      <c r="C36118" s="36"/>
      <c r="E36118" s="1"/>
      <c r="F36118" s="1"/>
      <c r="G36118" s="1"/>
    </row>
    <row r="36119">
      <c r="B36119" s="36"/>
      <c r="C36119" s="36"/>
      <c r="E36119" s="1"/>
      <c r="F36119" s="1"/>
      <c r="G36119" s="1"/>
    </row>
    <row r="36120">
      <c r="B36120" s="36"/>
      <c r="C36120" s="36"/>
      <c r="E36120" s="1"/>
      <c r="F36120" s="1"/>
      <c r="G36120" s="1"/>
    </row>
    <row r="36121">
      <c r="B36121" s="36"/>
      <c r="C36121" s="36"/>
      <c r="E36121" s="1"/>
      <c r="F36121" s="1"/>
      <c r="G36121" s="1"/>
    </row>
    <row r="36122">
      <c r="B36122" s="36"/>
      <c r="C36122" s="36"/>
      <c r="E36122" s="1"/>
      <c r="F36122" s="1"/>
      <c r="G36122" s="1"/>
    </row>
    <row r="36123">
      <c r="B36123" s="36"/>
      <c r="C36123" s="36"/>
      <c r="E36123" s="1"/>
      <c r="F36123" s="1"/>
      <c r="G36123" s="1"/>
    </row>
    <row r="36124">
      <c r="B36124" s="36"/>
      <c r="C36124" s="36"/>
      <c r="E36124" s="1"/>
      <c r="F36124" s="1"/>
      <c r="G36124" s="1"/>
    </row>
    <row r="36125">
      <c r="B36125" s="36"/>
      <c r="C36125" s="36"/>
      <c r="E36125" s="1"/>
      <c r="F36125" s="1"/>
      <c r="G36125" s="1"/>
    </row>
    <row r="36126">
      <c r="B36126" s="36"/>
      <c r="C36126" s="36"/>
      <c r="E36126" s="1"/>
      <c r="F36126" s="1"/>
      <c r="G36126" s="1"/>
    </row>
    <row r="36127">
      <c r="B36127" s="36"/>
      <c r="C36127" s="36"/>
      <c r="E36127" s="1"/>
      <c r="F36127" s="1"/>
      <c r="G36127" s="1"/>
    </row>
    <row r="36128">
      <c r="B36128" s="36"/>
      <c r="C36128" s="36"/>
      <c r="E36128" s="1"/>
      <c r="F36128" s="1"/>
      <c r="G36128" s="1"/>
    </row>
    <row r="36129">
      <c r="B36129" s="36"/>
      <c r="C36129" s="36"/>
      <c r="E36129" s="1"/>
      <c r="F36129" s="1"/>
      <c r="G36129" s="1"/>
    </row>
    <row r="36130">
      <c r="B36130" s="36"/>
      <c r="C36130" s="36"/>
      <c r="E36130" s="1"/>
      <c r="F36130" s="1"/>
      <c r="G36130" s="1"/>
    </row>
    <row r="36131">
      <c r="B36131" s="36"/>
      <c r="C36131" s="36"/>
      <c r="E36131" s="1"/>
      <c r="F36131" s="1"/>
      <c r="G36131" s="1"/>
    </row>
    <row r="36132">
      <c r="B36132" s="36"/>
      <c r="C36132" s="36"/>
      <c r="E36132" s="1"/>
      <c r="F36132" s="1"/>
      <c r="G36132" s="1"/>
    </row>
    <row r="36133">
      <c r="B36133" s="36"/>
      <c r="C36133" s="36"/>
      <c r="E36133" s="1"/>
      <c r="F36133" s="1"/>
      <c r="G36133" s="1"/>
    </row>
    <row r="36134">
      <c r="B36134" s="36"/>
      <c r="C36134" s="36"/>
      <c r="E36134" s="1"/>
      <c r="F36134" s="1"/>
      <c r="G36134" s="1"/>
    </row>
    <row r="36135">
      <c r="B36135" s="36"/>
      <c r="C36135" s="36"/>
      <c r="E36135" s="1"/>
      <c r="F36135" s="1"/>
      <c r="G36135" s="1"/>
    </row>
    <row r="36136">
      <c r="B36136" s="36"/>
      <c r="C36136" s="36"/>
      <c r="E36136" s="1"/>
      <c r="F36136" s="1"/>
      <c r="G36136" s="1"/>
    </row>
    <row r="36137">
      <c r="B36137" s="36"/>
      <c r="C36137" s="36"/>
      <c r="E36137" s="1"/>
      <c r="F36137" s="1"/>
      <c r="G36137" s="1"/>
    </row>
    <row r="36138">
      <c r="B36138" s="36"/>
      <c r="C36138" s="36"/>
      <c r="E36138" s="1"/>
      <c r="F36138" s="1"/>
      <c r="G36138" s="1"/>
    </row>
    <row r="36139">
      <c r="B36139" s="36"/>
      <c r="C36139" s="36"/>
      <c r="E36139" s="1"/>
      <c r="F36139" s="1"/>
      <c r="G36139" s="1"/>
    </row>
    <row r="36140">
      <c r="B36140" s="36"/>
      <c r="C36140" s="36"/>
      <c r="E36140" s="1"/>
      <c r="F36140" s="1"/>
      <c r="G36140" s="1"/>
    </row>
    <row r="36141">
      <c r="B36141" s="36"/>
      <c r="C36141" s="36"/>
      <c r="E36141" s="1"/>
      <c r="F36141" s="1"/>
      <c r="G36141" s="1"/>
    </row>
    <row r="36142">
      <c r="B36142" s="36"/>
      <c r="C36142" s="36"/>
      <c r="E36142" s="1"/>
      <c r="F36142" s="1"/>
      <c r="G36142" s="1"/>
    </row>
    <row r="36143">
      <c r="B36143" s="36"/>
      <c r="C36143" s="36"/>
      <c r="E36143" s="1"/>
      <c r="F36143" s="1"/>
      <c r="G36143" s="1"/>
    </row>
    <row r="36144">
      <c r="B36144" s="36"/>
      <c r="C36144" s="36"/>
      <c r="E36144" s="1"/>
      <c r="F36144" s="1"/>
      <c r="G36144" s="1"/>
    </row>
    <row r="36145">
      <c r="B36145" s="36"/>
      <c r="C36145" s="36"/>
      <c r="E36145" s="1"/>
      <c r="F36145" s="1"/>
      <c r="G36145" s="1"/>
    </row>
    <row r="36146">
      <c r="B36146" s="36"/>
      <c r="C36146" s="36"/>
      <c r="E36146" s="1"/>
      <c r="F36146" s="1"/>
      <c r="G36146" s="1"/>
    </row>
    <row r="36147">
      <c r="B36147" s="36"/>
      <c r="C36147" s="36"/>
      <c r="E36147" s="1"/>
      <c r="F36147" s="1"/>
      <c r="G36147" s="1"/>
    </row>
    <row r="36148">
      <c r="B36148" s="36"/>
      <c r="C36148" s="36"/>
      <c r="E36148" s="1"/>
      <c r="F36148" s="1"/>
      <c r="G36148" s="1"/>
    </row>
    <row r="36149">
      <c r="B36149" s="36"/>
      <c r="C36149" s="36"/>
      <c r="E36149" s="1"/>
      <c r="F36149" s="1"/>
      <c r="G36149" s="1"/>
    </row>
    <row r="36150">
      <c r="B36150" s="36"/>
      <c r="C36150" s="36"/>
      <c r="E36150" s="1"/>
      <c r="F36150" s="1"/>
      <c r="G36150" s="1"/>
    </row>
    <row r="36151">
      <c r="B36151" s="36"/>
      <c r="C36151" s="36"/>
      <c r="E36151" s="1"/>
      <c r="F36151" s="1"/>
      <c r="G36151" s="1"/>
    </row>
    <row r="36152">
      <c r="B36152" s="36"/>
      <c r="C36152" s="36"/>
      <c r="E36152" s="1"/>
      <c r="F36152" s="1"/>
      <c r="G36152" s="1"/>
    </row>
    <row r="36153">
      <c r="B36153" s="36"/>
      <c r="C36153" s="36"/>
      <c r="E36153" s="1"/>
      <c r="F36153" s="1"/>
      <c r="G36153" s="1"/>
    </row>
    <row r="36154">
      <c r="B36154" s="36"/>
      <c r="C36154" s="36"/>
      <c r="E36154" s="1"/>
      <c r="F36154" s="1"/>
      <c r="G36154" s="1"/>
    </row>
    <row r="36155">
      <c r="B36155" s="36"/>
      <c r="C36155" s="36"/>
      <c r="E36155" s="1"/>
      <c r="F36155" s="1"/>
      <c r="G36155" s="1"/>
    </row>
    <row r="36156">
      <c r="B36156" s="36"/>
      <c r="C36156" s="36"/>
      <c r="E36156" s="1"/>
      <c r="F36156" s="1"/>
      <c r="G36156" s="1"/>
    </row>
    <row r="36157">
      <c r="B36157" s="36"/>
      <c r="C36157" s="36"/>
      <c r="E36157" s="1"/>
      <c r="F36157" s="1"/>
      <c r="G36157" s="1"/>
    </row>
    <row r="36158">
      <c r="B36158" s="36"/>
      <c r="C36158" s="36"/>
      <c r="E36158" s="1"/>
      <c r="F36158" s="1"/>
      <c r="G36158" s="1"/>
    </row>
    <row r="36159">
      <c r="B36159" s="36"/>
      <c r="C36159" s="36"/>
      <c r="E36159" s="1"/>
      <c r="F36159" s="1"/>
      <c r="G36159" s="1"/>
    </row>
    <row r="36160">
      <c r="B36160" s="36"/>
      <c r="C36160" s="36"/>
      <c r="E36160" s="1"/>
      <c r="F36160" s="1"/>
      <c r="G36160" s="1"/>
    </row>
    <row r="36161">
      <c r="B36161" s="36"/>
      <c r="C36161" s="36"/>
      <c r="E36161" s="1"/>
      <c r="F36161" s="1"/>
      <c r="G36161" s="1"/>
    </row>
    <row r="36162">
      <c r="B36162" s="36"/>
      <c r="C36162" s="36"/>
      <c r="E36162" s="1"/>
      <c r="F36162" s="1"/>
      <c r="G36162" s="1"/>
    </row>
    <row r="36163">
      <c r="B36163" s="36"/>
      <c r="C36163" s="36"/>
      <c r="E36163" s="1"/>
      <c r="F36163" s="1"/>
      <c r="G36163" s="1"/>
    </row>
    <row r="36164">
      <c r="B36164" s="36"/>
      <c r="C36164" s="36"/>
      <c r="E36164" s="1"/>
      <c r="F36164" s="1"/>
      <c r="G36164" s="1"/>
    </row>
    <row r="36165">
      <c r="B36165" s="36"/>
      <c r="C36165" s="36"/>
      <c r="E36165" s="1"/>
      <c r="F36165" s="1"/>
      <c r="G36165" s="1"/>
    </row>
    <row r="36166">
      <c r="B36166" s="36"/>
      <c r="C36166" s="36"/>
      <c r="E36166" s="1"/>
      <c r="F36166" s="1"/>
      <c r="G36166" s="1"/>
    </row>
    <row r="36167">
      <c r="B36167" s="36"/>
      <c r="C36167" s="36"/>
      <c r="E36167" s="1"/>
      <c r="F36167" s="1"/>
      <c r="G36167" s="1"/>
    </row>
    <row r="36168">
      <c r="B36168" s="36"/>
      <c r="C36168" s="36"/>
      <c r="E36168" s="1"/>
      <c r="F36168" s="1"/>
      <c r="G36168" s="1"/>
    </row>
    <row r="36169">
      <c r="B36169" s="36"/>
      <c r="C36169" s="36"/>
      <c r="E36169" s="1"/>
      <c r="F36169" s="1"/>
      <c r="G36169" s="1"/>
    </row>
    <row r="36170">
      <c r="B36170" s="36"/>
      <c r="C36170" s="36"/>
      <c r="E36170" s="1"/>
      <c r="F36170" s="1"/>
      <c r="G36170" s="1"/>
    </row>
    <row r="36171">
      <c r="B36171" s="36"/>
      <c r="C36171" s="36"/>
      <c r="E36171" s="1"/>
      <c r="F36171" s="1"/>
      <c r="G36171" s="1"/>
    </row>
    <row r="36172">
      <c r="B36172" s="36"/>
      <c r="C36172" s="36"/>
      <c r="E36172" s="1"/>
      <c r="F36172" s="1"/>
      <c r="G36172" s="1"/>
    </row>
    <row r="36173">
      <c r="B36173" s="36"/>
      <c r="C36173" s="36"/>
      <c r="E36173" s="1"/>
      <c r="F36173" s="1"/>
      <c r="G36173" s="1"/>
    </row>
    <row r="36174">
      <c r="B36174" s="36"/>
      <c r="C36174" s="36"/>
      <c r="E36174" s="1"/>
      <c r="F36174" s="1"/>
      <c r="G36174" s="1"/>
    </row>
    <row r="36175">
      <c r="B36175" s="36"/>
      <c r="C36175" s="36"/>
      <c r="E36175" s="1"/>
      <c r="F36175" s="1"/>
      <c r="G36175" s="1"/>
    </row>
    <row r="36176">
      <c r="B36176" s="36"/>
      <c r="C36176" s="36"/>
      <c r="E36176" s="1"/>
      <c r="F36176" s="1"/>
      <c r="G36176" s="1"/>
    </row>
    <row r="36177">
      <c r="B36177" s="36"/>
      <c r="C36177" s="36"/>
      <c r="E36177" s="1"/>
      <c r="F36177" s="1"/>
      <c r="G36177" s="1"/>
    </row>
    <row r="36178">
      <c r="B36178" s="36"/>
      <c r="C36178" s="36"/>
      <c r="E36178" s="1"/>
      <c r="F36178" s="1"/>
      <c r="G36178" s="1"/>
    </row>
    <row r="36179">
      <c r="B36179" s="36"/>
      <c r="C36179" s="36"/>
      <c r="E36179" s="1"/>
      <c r="F36179" s="1"/>
      <c r="G36179" s="1"/>
    </row>
    <row r="36180">
      <c r="B36180" s="36"/>
      <c r="C36180" s="36"/>
      <c r="E36180" s="1"/>
      <c r="F36180" s="1"/>
      <c r="G36180" s="1"/>
    </row>
    <row r="36181">
      <c r="B36181" s="36"/>
      <c r="C36181" s="36"/>
      <c r="E36181" s="1"/>
      <c r="F36181" s="1"/>
      <c r="G36181" s="1"/>
    </row>
    <row r="36182">
      <c r="B36182" s="36"/>
      <c r="C36182" s="36"/>
      <c r="E36182" s="1"/>
      <c r="F36182" s="1"/>
      <c r="G36182" s="1"/>
    </row>
    <row r="36183">
      <c r="B36183" s="36"/>
      <c r="C36183" s="36"/>
      <c r="E36183" s="1"/>
      <c r="F36183" s="1"/>
      <c r="G36183" s="1"/>
    </row>
    <row r="36184">
      <c r="B36184" s="36"/>
      <c r="C36184" s="36"/>
      <c r="E36184" s="1"/>
      <c r="F36184" s="1"/>
      <c r="G36184" s="1"/>
    </row>
    <row r="36185">
      <c r="B36185" s="36"/>
      <c r="C36185" s="36"/>
      <c r="E36185" s="1"/>
      <c r="F36185" s="1"/>
      <c r="G36185" s="1"/>
    </row>
    <row r="36186">
      <c r="B36186" s="36"/>
      <c r="C36186" s="36"/>
      <c r="E36186" s="1"/>
      <c r="F36186" s="1"/>
      <c r="G36186" s="1"/>
    </row>
    <row r="36187">
      <c r="B36187" s="36"/>
      <c r="C36187" s="36"/>
      <c r="E36187" s="1"/>
      <c r="F36187" s="1"/>
      <c r="G36187" s="1"/>
    </row>
    <row r="36188">
      <c r="B36188" s="36"/>
      <c r="C36188" s="36"/>
      <c r="E36188" s="1"/>
      <c r="F36188" s="1"/>
      <c r="G36188" s="1"/>
    </row>
    <row r="36189">
      <c r="B36189" s="36"/>
      <c r="C36189" s="36"/>
      <c r="E36189" s="1"/>
      <c r="F36189" s="1"/>
      <c r="G36189" s="1"/>
    </row>
    <row r="36190">
      <c r="B36190" s="36"/>
      <c r="C36190" s="36"/>
      <c r="E36190" s="1"/>
      <c r="F36190" s="1"/>
      <c r="G36190" s="1"/>
    </row>
    <row r="36191">
      <c r="B36191" s="36"/>
      <c r="C36191" s="36"/>
      <c r="E36191" s="1"/>
      <c r="F36191" s="1"/>
      <c r="G36191" s="1"/>
    </row>
    <row r="36192">
      <c r="B36192" s="36"/>
      <c r="C36192" s="36"/>
      <c r="E36192" s="1"/>
      <c r="F36192" s="1"/>
      <c r="G36192" s="1"/>
    </row>
    <row r="36193">
      <c r="B36193" s="36"/>
      <c r="C36193" s="36"/>
      <c r="E36193" s="1"/>
      <c r="F36193" s="1"/>
      <c r="G36193" s="1"/>
    </row>
    <row r="36194">
      <c r="B36194" s="36"/>
      <c r="C36194" s="36"/>
      <c r="E36194" s="1"/>
      <c r="F36194" s="1"/>
      <c r="G36194" s="1"/>
    </row>
    <row r="36195">
      <c r="B36195" s="36"/>
      <c r="C36195" s="36"/>
      <c r="E36195" s="1"/>
      <c r="F36195" s="1"/>
      <c r="G36195" s="1"/>
    </row>
    <row r="36196">
      <c r="B36196" s="36"/>
      <c r="C36196" s="36"/>
      <c r="E36196" s="1"/>
      <c r="F36196" s="1"/>
      <c r="G36196" s="1"/>
    </row>
    <row r="36197">
      <c r="B36197" s="36"/>
      <c r="C36197" s="36"/>
      <c r="E36197" s="1"/>
      <c r="F36197" s="1"/>
      <c r="G36197" s="1"/>
    </row>
    <row r="36198">
      <c r="B36198" s="36"/>
      <c r="C36198" s="36"/>
      <c r="E36198" s="1"/>
      <c r="F36198" s="1"/>
      <c r="G36198" s="1"/>
    </row>
    <row r="36199">
      <c r="B36199" s="36"/>
      <c r="C36199" s="36"/>
      <c r="E36199" s="1"/>
      <c r="F36199" s="1"/>
      <c r="G36199" s="1"/>
    </row>
    <row r="36200">
      <c r="B36200" s="36"/>
      <c r="C36200" s="36"/>
      <c r="E36200" s="1"/>
      <c r="F36200" s="1"/>
      <c r="G36200" s="1"/>
    </row>
    <row r="36201">
      <c r="B36201" s="36"/>
      <c r="C36201" s="36"/>
      <c r="E36201" s="1"/>
      <c r="F36201" s="1"/>
      <c r="G36201" s="1"/>
    </row>
    <row r="36202">
      <c r="B36202" s="36"/>
      <c r="C36202" s="36"/>
      <c r="E36202" s="1"/>
      <c r="F36202" s="1"/>
      <c r="G36202" s="1"/>
    </row>
    <row r="36203">
      <c r="B36203" s="36"/>
      <c r="C36203" s="36"/>
      <c r="E36203" s="1"/>
      <c r="F36203" s="1"/>
      <c r="G36203" s="1"/>
    </row>
    <row r="36204">
      <c r="B36204" s="36"/>
      <c r="C36204" s="36"/>
      <c r="E36204" s="1"/>
      <c r="F36204" s="1"/>
      <c r="G36204" s="1"/>
    </row>
    <row r="36205">
      <c r="B36205" s="36"/>
      <c r="C36205" s="36"/>
      <c r="E36205" s="1"/>
      <c r="F36205" s="1"/>
      <c r="G36205" s="1"/>
    </row>
    <row r="36206">
      <c r="B36206" s="36"/>
      <c r="C36206" s="36"/>
      <c r="E36206" s="1"/>
      <c r="F36206" s="1"/>
      <c r="G36206" s="1"/>
    </row>
    <row r="36207">
      <c r="B36207" s="36"/>
      <c r="C36207" s="36"/>
      <c r="E36207" s="1"/>
      <c r="F36207" s="1"/>
      <c r="G36207" s="1"/>
    </row>
    <row r="36208">
      <c r="B36208" s="36"/>
      <c r="C36208" s="36"/>
      <c r="E36208" s="1"/>
      <c r="F36208" s="1"/>
      <c r="G36208" s="1"/>
    </row>
    <row r="36209">
      <c r="B36209" s="36"/>
      <c r="C36209" s="36"/>
      <c r="E36209" s="1"/>
      <c r="F36209" s="1"/>
      <c r="G36209" s="1"/>
    </row>
    <row r="36210">
      <c r="B36210" s="36"/>
      <c r="C36210" s="36"/>
      <c r="E36210" s="1"/>
      <c r="F36210" s="1"/>
      <c r="G36210" s="1"/>
    </row>
    <row r="36211">
      <c r="B36211" s="36"/>
      <c r="C36211" s="36"/>
      <c r="E36211" s="1"/>
      <c r="F36211" s="1"/>
      <c r="G36211" s="1"/>
    </row>
    <row r="36212">
      <c r="B36212" s="36"/>
      <c r="C36212" s="36"/>
      <c r="E36212" s="1"/>
      <c r="F36212" s="1"/>
      <c r="G36212" s="1"/>
    </row>
    <row r="36213">
      <c r="B36213" s="36"/>
      <c r="C36213" s="36"/>
      <c r="E36213" s="1"/>
      <c r="F36213" s="1"/>
      <c r="G36213" s="1"/>
    </row>
    <row r="36214">
      <c r="B36214" s="36"/>
      <c r="C36214" s="36"/>
      <c r="E36214" s="1"/>
      <c r="F36214" s="1"/>
      <c r="G36214" s="1"/>
    </row>
    <row r="36215">
      <c r="B36215" s="36"/>
      <c r="C36215" s="36"/>
      <c r="E36215" s="1"/>
      <c r="F36215" s="1"/>
      <c r="G36215" s="1"/>
    </row>
    <row r="36216">
      <c r="B36216" s="36"/>
      <c r="C36216" s="36"/>
      <c r="E36216" s="1"/>
      <c r="F36216" s="1"/>
      <c r="G36216" s="1"/>
    </row>
    <row r="36217">
      <c r="B36217" s="36"/>
      <c r="C36217" s="36"/>
      <c r="E36217" s="1"/>
      <c r="F36217" s="1"/>
      <c r="G36217" s="1"/>
    </row>
    <row r="36218">
      <c r="B36218" s="36"/>
      <c r="C36218" s="36"/>
      <c r="E36218" s="1"/>
      <c r="F36218" s="1"/>
      <c r="G36218" s="1"/>
    </row>
    <row r="36219">
      <c r="B36219" s="36"/>
      <c r="C36219" s="36"/>
      <c r="E36219" s="1"/>
      <c r="F36219" s="1"/>
      <c r="G36219" s="1"/>
    </row>
    <row r="36220">
      <c r="B36220" s="36"/>
      <c r="C36220" s="36"/>
      <c r="E36220" s="1"/>
      <c r="F36220" s="1"/>
      <c r="G36220" s="1"/>
    </row>
    <row r="36221">
      <c r="B36221" s="36"/>
      <c r="C36221" s="36"/>
      <c r="E36221" s="1"/>
      <c r="F36221" s="1"/>
      <c r="G36221" s="1"/>
    </row>
    <row r="36222">
      <c r="B36222" s="36"/>
      <c r="C36222" s="36"/>
      <c r="E36222" s="1"/>
      <c r="F36222" s="1"/>
      <c r="G36222" s="1"/>
    </row>
    <row r="36223">
      <c r="B36223" s="36"/>
      <c r="C36223" s="36"/>
      <c r="E36223" s="1"/>
      <c r="F36223" s="1"/>
      <c r="G36223" s="1"/>
    </row>
    <row r="36224">
      <c r="B36224" s="36"/>
      <c r="C36224" s="36"/>
      <c r="E36224" s="1"/>
      <c r="F36224" s="1"/>
      <c r="G36224" s="1"/>
    </row>
    <row r="36225">
      <c r="B36225" s="36"/>
      <c r="C36225" s="36"/>
      <c r="E36225" s="1"/>
      <c r="F36225" s="1"/>
      <c r="G36225" s="1"/>
    </row>
    <row r="36226">
      <c r="B36226" s="36"/>
      <c r="C36226" s="36"/>
      <c r="E36226" s="1"/>
      <c r="F36226" s="1"/>
      <c r="G36226" s="1"/>
    </row>
    <row r="36227">
      <c r="B36227" s="36"/>
      <c r="C36227" s="36"/>
      <c r="E36227" s="1"/>
      <c r="F36227" s="1"/>
      <c r="G36227" s="1"/>
    </row>
    <row r="36228">
      <c r="B36228" s="36"/>
      <c r="C36228" s="36"/>
      <c r="E36228" s="1"/>
      <c r="F36228" s="1"/>
      <c r="G36228" s="1"/>
    </row>
    <row r="36229">
      <c r="B36229" s="36"/>
      <c r="C36229" s="36"/>
      <c r="E36229" s="1"/>
      <c r="F36229" s="1"/>
      <c r="G36229" s="1"/>
    </row>
    <row r="36230">
      <c r="B36230" s="36"/>
      <c r="C36230" s="36"/>
      <c r="E36230" s="1"/>
      <c r="F36230" s="1"/>
      <c r="G36230" s="1"/>
    </row>
    <row r="36231">
      <c r="B36231" s="36"/>
      <c r="C36231" s="36"/>
      <c r="E36231" s="1"/>
      <c r="F36231" s="1"/>
      <c r="G36231" s="1"/>
    </row>
    <row r="36232">
      <c r="B36232" s="36"/>
      <c r="C36232" s="36"/>
      <c r="E36232" s="1"/>
      <c r="F36232" s="1"/>
      <c r="G36232" s="1"/>
    </row>
    <row r="36233">
      <c r="B36233" s="36"/>
      <c r="C36233" s="36"/>
      <c r="E36233" s="1"/>
      <c r="F36233" s="1"/>
      <c r="G36233" s="1"/>
    </row>
    <row r="36234">
      <c r="B36234" s="36"/>
      <c r="C36234" s="36"/>
      <c r="E36234" s="1"/>
      <c r="F36234" s="1"/>
      <c r="G36234" s="1"/>
    </row>
    <row r="36235">
      <c r="B36235" s="36"/>
      <c r="C36235" s="36"/>
      <c r="E36235" s="1"/>
      <c r="F36235" s="1"/>
      <c r="G36235" s="1"/>
    </row>
    <row r="36236">
      <c r="B36236" s="36"/>
      <c r="C36236" s="36"/>
      <c r="E36236" s="1"/>
      <c r="F36236" s="1"/>
      <c r="G36236" s="1"/>
    </row>
    <row r="36237">
      <c r="B36237" s="36"/>
      <c r="C36237" s="36"/>
      <c r="E36237" s="1"/>
      <c r="F36237" s="1"/>
      <c r="G36237" s="1"/>
    </row>
    <row r="36238">
      <c r="B36238" s="36"/>
      <c r="C36238" s="36"/>
      <c r="E36238" s="1"/>
      <c r="F36238" s="1"/>
      <c r="G36238" s="1"/>
    </row>
    <row r="36239">
      <c r="B36239" s="36"/>
      <c r="C36239" s="36"/>
      <c r="E36239" s="1"/>
      <c r="F36239" s="1"/>
      <c r="G36239" s="1"/>
    </row>
    <row r="36240">
      <c r="B36240" s="36"/>
      <c r="C36240" s="36"/>
      <c r="E36240" s="1"/>
      <c r="F36240" s="1"/>
      <c r="G36240" s="1"/>
    </row>
    <row r="36241">
      <c r="B36241" s="36"/>
      <c r="C36241" s="36"/>
      <c r="E36241" s="1"/>
      <c r="F36241" s="1"/>
      <c r="G36241" s="1"/>
    </row>
    <row r="36242">
      <c r="B36242" s="36"/>
      <c r="C36242" s="36"/>
      <c r="E36242" s="1"/>
      <c r="F36242" s="1"/>
      <c r="G36242" s="1"/>
    </row>
    <row r="36243">
      <c r="B36243" s="36"/>
      <c r="C36243" s="36"/>
      <c r="E36243" s="1"/>
      <c r="F36243" s="1"/>
      <c r="G36243" s="1"/>
    </row>
    <row r="36244">
      <c r="B36244" s="36"/>
      <c r="C36244" s="36"/>
      <c r="E36244" s="1"/>
      <c r="F36244" s="1"/>
      <c r="G36244" s="1"/>
    </row>
    <row r="36245">
      <c r="B36245" s="36"/>
      <c r="C36245" s="36"/>
      <c r="E36245" s="1"/>
      <c r="F36245" s="1"/>
      <c r="G36245" s="1"/>
    </row>
    <row r="36246">
      <c r="B36246" s="36"/>
      <c r="C36246" s="36"/>
      <c r="E36246" s="1"/>
      <c r="F36246" s="1"/>
      <c r="G36246" s="1"/>
    </row>
    <row r="36247">
      <c r="B36247" s="36"/>
      <c r="C36247" s="36"/>
      <c r="E36247" s="1"/>
      <c r="F36247" s="1"/>
      <c r="G36247" s="1"/>
    </row>
    <row r="36248">
      <c r="B36248" s="36"/>
      <c r="C36248" s="36"/>
      <c r="E36248" s="1"/>
      <c r="F36248" s="1"/>
      <c r="G36248" s="1"/>
    </row>
    <row r="36249">
      <c r="B36249" s="36"/>
      <c r="C36249" s="36"/>
      <c r="E36249" s="1"/>
      <c r="F36249" s="1"/>
      <c r="G36249" s="1"/>
    </row>
    <row r="36250">
      <c r="B36250" s="36"/>
      <c r="C36250" s="36"/>
      <c r="E36250" s="1"/>
      <c r="F36250" s="1"/>
      <c r="G36250" s="1"/>
    </row>
    <row r="36251">
      <c r="B36251" s="36"/>
      <c r="C36251" s="36"/>
      <c r="E36251" s="1"/>
      <c r="F36251" s="1"/>
      <c r="G36251" s="1"/>
    </row>
    <row r="36252">
      <c r="B36252" s="36"/>
      <c r="C36252" s="36"/>
      <c r="E36252" s="1"/>
      <c r="F36252" s="1"/>
      <c r="G36252" s="1"/>
    </row>
    <row r="36253">
      <c r="B36253" s="36"/>
      <c r="C36253" s="36"/>
      <c r="E36253" s="1"/>
      <c r="F36253" s="1"/>
      <c r="G36253" s="1"/>
    </row>
    <row r="36254">
      <c r="B36254" s="36"/>
      <c r="C36254" s="36"/>
      <c r="E36254" s="1"/>
      <c r="F36254" s="1"/>
      <c r="G36254" s="1"/>
    </row>
    <row r="36255">
      <c r="B36255" s="36"/>
      <c r="C36255" s="36"/>
      <c r="E36255" s="1"/>
      <c r="F36255" s="1"/>
      <c r="G36255" s="1"/>
    </row>
    <row r="36256">
      <c r="B36256" s="36"/>
      <c r="C36256" s="36"/>
      <c r="E36256" s="1"/>
      <c r="F36256" s="1"/>
      <c r="G36256" s="1"/>
    </row>
    <row r="36257">
      <c r="B36257" s="36"/>
      <c r="C36257" s="36"/>
      <c r="E36257" s="1"/>
      <c r="F36257" s="1"/>
      <c r="G36257" s="1"/>
    </row>
    <row r="36258">
      <c r="B36258" s="36"/>
      <c r="C36258" s="36"/>
      <c r="E36258" s="1"/>
      <c r="F36258" s="1"/>
      <c r="G36258" s="1"/>
    </row>
    <row r="36259">
      <c r="B36259" s="36"/>
      <c r="C36259" s="36"/>
      <c r="E36259" s="1"/>
      <c r="F36259" s="1"/>
      <c r="G36259" s="1"/>
    </row>
    <row r="36260">
      <c r="B36260" s="36"/>
      <c r="C36260" s="36"/>
      <c r="E36260" s="1"/>
      <c r="F36260" s="1"/>
      <c r="G36260" s="1"/>
    </row>
    <row r="36261">
      <c r="B36261" s="36"/>
      <c r="C36261" s="36"/>
      <c r="E36261" s="1"/>
      <c r="F36261" s="1"/>
      <c r="G36261" s="1"/>
    </row>
    <row r="36262">
      <c r="B36262" s="36"/>
      <c r="C36262" s="36"/>
      <c r="E36262" s="1"/>
      <c r="F36262" s="1"/>
      <c r="G36262" s="1"/>
    </row>
    <row r="36263">
      <c r="B36263" s="36"/>
      <c r="C36263" s="36"/>
      <c r="E36263" s="1"/>
      <c r="F36263" s="1"/>
      <c r="G36263" s="1"/>
    </row>
    <row r="36264">
      <c r="B36264" s="36"/>
      <c r="C36264" s="36"/>
      <c r="E36264" s="1"/>
      <c r="F36264" s="1"/>
      <c r="G36264" s="1"/>
    </row>
    <row r="36265">
      <c r="B36265" s="36"/>
      <c r="C36265" s="36"/>
      <c r="E36265" s="1"/>
      <c r="F36265" s="1"/>
      <c r="G36265" s="1"/>
    </row>
    <row r="36266">
      <c r="B36266" s="36"/>
      <c r="C36266" s="36"/>
      <c r="E36266" s="1"/>
      <c r="F36266" s="1"/>
      <c r="G36266" s="1"/>
    </row>
    <row r="36267">
      <c r="B36267" s="36"/>
      <c r="C36267" s="36"/>
      <c r="E36267" s="1"/>
      <c r="F36267" s="1"/>
      <c r="G36267" s="1"/>
    </row>
    <row r="36268">
      <c r="B36268" s="36"/>
      <c r="C36268" s="36"/>
      <c r="E36268" s="1"/>
      <c r="F36268" s="1"/>
      <c r="G36268" s="1"/>
    </row>
    <row r="36269">
      <c r="B36269" s="36"/>
      <c r="C36269" s="36"/>
      <c r="E36269" s="1"/>
      <c r="F36269" s="1"/>
      <c r="G36269" s="1"/>
    </row>
    <row r="36270">
      <c r="B36270" s="36"/>
      <c r="C36270" s="36"/>
      <c r="E36270" s="1"/>
      <c r="F36270" s="1"/>
      <c r="G36270" s="1"/>
    </row>
    <row r="36271">
      <c r="B36271" s="36"/>
      <c r="C36271" s="36"/>
      <c r="E36271" s="1"/>
      <c r="F36271" s="1"/>
      <c r="G36271" s="1"/>
    </row>
    <row r="36272">
      <c r="B36272" s="36"/>
      <c r="C36272" s="36"/>
      <c r="E36272" s="1"/>
      <c r="F36272" s="1"/>
      <c r="G36272" s="1"/>
    </row>
    <row r="36273">
      <c r="B36273" s="36"/>
      <c r="C36273" s="36"/>
      <c r="E36273" s="1"/>
      <c r="F36273" s="1"/>
      <c r="G36273" s="1"/>
    </row>
    <row r="36274">
      <c r="B36274" s="36"/>
      <c r="C36274" s="36"/>
      <c r="E36274" s="1"/>
      <c r="F36274" s="1"/>
      <c r="G36274" s="1"/>
    </row>
    <row r="36275">
      <c r="B36275" s="36"/>
      <c r="C36275" s="36"/>
      <c r="E36275" s="1"/>
      <c r="F36275" s="1"/>
      <c r="G36275" s="1"/>
    </row>
    <row r="36276">
      <c r="B36276" s="36"/>
      <c r="C36276" s="36"/>
      <c r="E36276" s="1"/>
      <c r="F36276" s="1"/>
      <c r="G36276" s="1"/>
    </row>
    <row r="36277">
      <c r="B36277" s="36"/>
      <c r="C36277" s="36"/>
      <c r="E36277" s="1"/>
      <c r="F36277" s="1"/>
      <c r="G36277" s="1"/>
    </row>
    <row r="36278">
      <c r="B36278" s="36"/>
      <c r="C36278" s="36"/>
      <c r="E36278" s="1"/>
      <c r="F36278" s="1"/>
      <c r="G36278" s="1"/>
    </row>
    <row r="36279">
      <c r="B36279" s="36"/>
      <c r="C36279" s="36"/>
      <c r="E36279" s="1"/>
      <c r="F36279" s="1"/>
      <c r="G36279" s="1"/>
    </row>
    <row r="36280">
      <c r="B36280" s="36"/>
      <c r="C36280" s="36"/>
      <c r="E36280" s="1"/>
      <c r="F36280" s="1"/>
      <c r="G36280" s="1"/>
    </row>
    <row r="36281">
      <c r="B36281" s="36"/>
      <c r="C36281" s="36"/>
      <c r="E36281" s="1"/>
      <c r="F36281" s="1"/>
      <c r="G36281" s="1"/>
    </row>
    <row r="36282">
      <c r="B36282" s="36"/>
      <c r="C36282" s="36"/>
      <c r="E36282" s="1"/>
      <c r="F36282" s="1"/>
      <c r="G36282" s="1"/>
    </row>
    <row r="36283">
      <c r="B36283" s="36"/>
      <c r="C36283" s="36"/>
      <c r="E36283" s="1"/>
      <c r="F36283" s="1"/>
      <c r="G36283" s="1"/>
    </row>
    <row r="36284">
      <c r="B36284" s="36"/>
      <c r="C36284" s="36"/>
      <c r="E36284" s="1"/>
      <c r="F36284" s="1"/>
      <c r="G36284" s="1"/>
    </row>
    <row r="36285">
      <c r="B36285" s="36"/>
      <c r="C36285" s="36"/>
      <c r="E36285" s="1"/>
      <c r="F36285" s="1"/>
      <c r="G36285" s="1"/>
    </row>
    <row r="36286">
      <c r="B36286" s="36"/>
      <c r="C36286" s="36"/>
      <c r="E36286" s="1"/>
      <c r="F36286" s="1"/>
      <c r="G36286" s="1"/>
    </row>
    <row r="36287">
      <c r="B36287" s="36"/>
      <c r="C36287" s="36"/>
      <c r="E36287" s="1"/>
      <c r="F36287" s="1"/>
      <c r="G36287" s="1"/>
    </row>
    <row r="36288">
      <c r="B36288" s="36"/>
      <c r="C36288" s="36"/>
      <c r="E36288" s="1"/>
      <c r="F36288" s="1"/>
      <c r="G36288" s="1"/>
    </row>
    <row r="36289">
      <c r="B36289" s="36"/>
      <c r="C36289" s="36"/>
      <c r="E36289" s="1"/>
      <c r="F36289" s="1"/>
      <c r="G36289" s="1"/>
    </row>
    <row r="36290">
      <c r="B36290" s="36"/>
      <c r="C36290" s="36"/>
      <c r="E36290" s="1"/>
      <c r="F36290" s="1"/>
      <c r="G36290" s="1"/>
    </row>
    <row r="36291">
      <c r="B36291" s="36"/>
      <c r="C36291" s="36"/>
      <c r="E36291" s="1"/>
      <c r="F36291" s="1"/>
      <c r="G36291" s="1"/>
    </row>
    <row r="36292">
      <c r="B36292" s="36"/>
      <c r="C36292" s="36"/>
      <c r="E36292" s="1"/>
      <c r="F36292" s="1"/>
      <c r="G36292" s="1"/>
    </row>
    <row r="36293">
      <c r="B36293" s="36"/>
      <c r="C36293" s="36"/>
      <c r="E36293" s="1"/>
      <c r="F36293" s="1"/>
      <c r="G36293" s="1"/>
    </row>
    <row r="36294">
      <c r="B36294" s="36"/>
      <c r="C36294" s="36"/>
      <c r="E36294" s="1"/>
      <c r="F36294" s="1"/>
      <c r="G36294" s="1"/>
    </row>
    <row r="36295">
      <c r="B36295" s="36"/>
      <c r="C36295" s="36"/>
      <c r="E36295" s="1"/>
      <c r="F36295" s="1"/>
      <c r="G36295" s="1"/>
    </row>
    <row r="36296">
      <c r="B36296" s="36"/>
      <c r="C36296" s="36"/>
      <c r="E36296" s="1"/>
      <c r="F36296" s="1"/>
      <c r="G36296" s="1"/>
    </row>
    <row r="36297">
      <c r="B36297" s="36"/>
      <c r="C36297" s="36"/>
      <c r="E36297" s="1"/>
      <c r="F36297" s="1"/>
      <c r="G36297" s="1"/>
    </row>
    <row r="36298">
      <c r="B36298" s="36"/>
      <c r="C36298" s="36"/>
      <c r="E36298" s="1"/>
      <c r="F36298" s="1"/>
      <c r="G36298" s="1"/>
    </row>
    <row r="36299">
      <c r="B36299" s="36"/>
      <c r="C36299" s="36"/>
      <c r="E36299" s="1"/>
      <c r="F36299" s="1"/>
      <c r="G36299" s="1"/>
    </row>
    <row r="36300">
      <c r="B36300" s="36"/>
      <c r="C36300" s="36"/>
      <c r="E36300" s="1"/>
      <c r="F36300" s="1"/>
      <c r="G36300" s="1"/>
    </row>
    <row r="36301">
      <c r="B36301" s="36"/>
      <c r="C36301" s="36"/>
      <c r="E36301" s="1"/>
      <c r="F36301" s="1"/>
      <c r="G36301" s="1"/>
    </row>
    <row r="36302">
      <c r="B36302" s="36"/>
      <c r="C36302" s="36"/>
      <c r="E36302" s="1"/>
      <c r="F36302" s="1"/>
      <c r="G36302" s="1"/>
    </row>
    <row r="36303">
      <c r="B36303" s="36"/>
      <c r="C36303" s="36"/>
      <c r="E36303" s="1"/>
      <c r="F36303" s="1"/>
      <c r="G36303" s="1"/>
    </row>
    <row r="36304">
      <c r="B36304" s="36"/>
      <c r="C36304" s="36"/>
      <c r="E36304" s="1"/>
      <c r="F36304" s="1"/>
      <c r="G36304" s="1"/>
    </row>
    <row r="36305">
      <c r="B36305" s="36"/>
      <c r="C36305" s="36"/>
      <c r="E36305" s="1"/>
      <c r="F36305" s="1"/>
      <c r="G36305" s="1"/>
    </row>
    <row r="36306">
      <c r="B36306" s="36"/>
      <c r="C36306" s="36"/>
      <c r="E36306" s="1"/>
      <c r="F36306" s="1"/>
      <c r="G36306" s="1"/>
    </row>
    <row r="36307">
      <c r="B36307" s="36"/>
      <c r="C36307" s="36"/>
      <c r="E36307" s="1"/>
      <c r="F36307" s="1"/>
      <c r="G36307" s="1"/>
    </row>
    <row r="36308">
      <c r="B36308" s="36"/>
      <c r="C36308" s="36"/>
      <c r="E36308" s="1"/>
      <c r="F36308" s="1"/>
      <c r="G36308" s="1"/>
    </row>
    <row r="36309">
      <c r="B36309" s="36"/>
      <c r="C36309" s="36"/>
      <c r="E36309" s="1"/>
      <c r="F36309" s="1"/>
      <c r="G36309" s="1"/>
    </row>
    <row r="36310">
      <c r="B36310" s="36"/>
      <c r="C36310" s="36"/>
      <c r="E36310" s="1"/>
      <c r="F36310" s="1"/>
      <c r="G36310" s="1"/>
    </row>
    <row r="36311">
      <c r="B36311" s="36"/>
      <c r="C36311" s="36"/>
      <c r="E36311" s="1"/>
      <c r="F36311" s="1"/>
      <c r="G36311" s="1"/>
    </row>
    <row r="36312">
      <c r="B36312" s="36"/>
      <c r="C36312" s="36"/>
      <c r="E36312" s="1"/>
      <c r="F36312" s="1"/>
      <c r="G36312" s="1"/>
    </row>
    <row r="36313">
      <c r="B36313" s="36"/>
      <c r="C36313" s="36"/>
      <c r="E36313" s="1"/>
      <c r="F36313" s="1"/>
      <c r="G36313" s="1"/>
    </row>
    <row r="36314">
      <c r="B36314" s="36"/>
      <c r="C36314" s="36"/>
      <c r="E36314" s="1"/>
      <c r="F36314" s="1"/>
      <c r="G36314" s="1"/>
    </row>
    <row r="36315">
      <c r="B36315" s="36"/>
      <c r="C36315" s="36"/>
      <c r="E36315" s="1"/>
      <c r="F36315" s="1"/>
      <c r="G36315" s="1"/>
    </row>
    <row r="36316">
      <c r="B36316" s="36"/>
      <c r="C36316" s="36"/>
      <c r="E36316" s="1"/>
      <c r="F36316" s="1"/>
      <c r="G36316" s="1"/>
    </row>
    <row r="36317">
      <c r="B36317" s="36"/>
      <c r="C36317" s="36"/>
      <c r="E36317" s="1"/>
      <c r="F36317" s="1"/>
      <c r="G36317" s="1"/>
    </row>
    <row r="36318">
      <c r="B36318" s="36"/>
      <c r="C36318" s="36"/>
      <c r="E36318" s="1"/>
      <c r="F36318" s="1"/>
      <c r="G36318" s="1"/>
    </row>
    <row r="36319">
      <c r="B36319" s="36"/>
      <c r="C36319" s="36"/>
      <c r="E36319" s="1"/>
      <c r="F36319" s="1"/>
      <c r="G36319" s="1"/>
    </row>
    <row r="36320">
      <c r="B36320" s="36"/>
      <c r="C36320" s="36"/>
      <c r="E36320" s="1"/>
      <c r="F36320" s="1"/>
      <c r="G36320" s="1"/>
    </row>
    <row r="36321">
      <c r="B36321" s="36"/>
      <c r="C36321" s="36"/>
      <c r="E36321" s="1"/>
      <c r="F36321" s="1"/>
      <c r="G36321" s="1"/>
    </row>
    <row r="36322">
      <c r="B36322" s="36"/>
      <c r="C36322" s="36"/>
      <c r="E36322" s="1"/>
      <c r="F36322" s="1"/>
      <c r="G36322" s="1"/>
    </row>
    <row r="36323">
      <c r="B36323" s="36"/>
      <c r="C36323" s="36"/>
      <c r="E36323" s="1"/>
      <c r="F36323" s="1"/>
      <c r="G36323" s="1"/>
    </row>
    <row r="36324">
      <c r="B36324" s="36"/>
      <c r="C36324" s="36"/>
      <c r="E36324" s="1"/>
      <c r="F36324" s="1"/>
      <c r="G36324" s="1"/>
    </row>
    <row r="36325">
      <c r="B36325" s="36"/>
      <c r="C36325" s="36"/>
      <c r="E36325" s="1"/>
      <c r="F36325" s="1"/>
      <c r="G36325" s="1"/>
    </row>
    <row r="36326">
      <c r="B36326" s="36"/>
      <c r="C36326" s="36"/>
      <c r="E36326" s="1"/>
      <c r="F36326" s="1"/>
      <c r="G36326" s="1"/>
    </row>
    <row r="36327">
      <c r="B36327" s="36"/>
      <c r="C36327" s="36"/>
      <c r="E36327" s="1"/>
      <c r="F36327" s="1"/>
      <c r="G36327" s="1"/>
    </row>
    <row r="36328">
      <c r="B36328" s="36"/>
      <c r="C36328" s="36"/>
      <c r="E36328" s="1"/>
      <c r="F36328" s="1"/>
      <c r="G36328" s="1"/>
    </row>
    <row r="36329">
      <c r="B36329" s="36"/>
      <c r="C36329" s="36"/>
      <c r="E36329" s="1"/>
      <c r="F36329" s="1"/>
      <c r="G36329" s="1"/>
    </row>
    <row r="36330">
      <c r="B36330" s="36"/>
      <c r="C36330" s="36"/>
      <c r="E36330" s="1"/>
      <c r="F36330" s="1"/>
      <c r="G36330" s="1"/>
    </row>
    <row r="36331">
      <c r="B36331" s="36"/>
      <c r="C36331" s="36"/>
      <c r="E36331" s="1"/>
      <c r="F36331" s="1"/>
      <c r="G36331" s="1"/>
    </row>
    <row r="36332">
      <c r="B36332" s="36"/>
      <c r="C36332" s="36"/>
      <c r="E36332" s="1"/>
      <c r="F36332" s="1"/>
      <c r="G36332" s="1"/>
    </row>
    <row r="36333">
      <c r="B36333" s="36"/>
      <c r="C36333" s="36"/>
      <c r="E36333" s="1"/>
      <c r="F36333" s="1"/>
      <c r="G36333" s="1"/>
    </row>
    <row r="36334">
      <c r="B36334" s="36"/>
      <c r="C36334" s="36"/>
      <c r="E36334" s="1"/>
      <c r="F36334" s="1"/>
      <c r="G36334" s="1"/>
    </row>
    <row r="36335">
      <c r="B36335" s="36"/>
      <c r="C36335" s="36"/>
      <c r="E36335" s="1"/>
      <c r="F36335" s="1"/>
      <c r="G36335" s="1"/>
    </row>
    <row r="36336">
      <c r="B36336" s="36"/>
      <c r="C36336" s="36"/>
      <c r="E36336" s="1"/>
      <c r="F36336" s="1"/>
      <c r="G36336" s="1"/>
    </row>
    <row r="36337">
      <c r="B36337" s="36"/>
      <c r="C36337" s="36"/>
      <c r="E36337" s="1"/>
      <c r="F36337" s="1"/>
      <c r="G36337" s="1"/>
    </row>
    <row r="36338">
      <c r="B36338" s="36"/>
      <c r="C36338" s="36"/>
      <c r="E36338" s="1"/>
      <c r="F36338" s="1"/>
      <c r="G36338" s="1"/>
    </row>
    <row r="36339">
      <c r="B36339" s="36"/>
      <c r="C36339" s="36"/>
      <c r="E36339" s="1"/>
      <c r="F36339" s="1"/>
      <c r="G36339" s="1"/>
    </row>
    <row r="36340">
      <c r="B36340" s="36"/>
      <c r="C36340" s="36"/>
      <c r="E36340" s="1"/>
      <c r="F36340" s="1"/>
      <c r="G36340" s="1"/>
    </row>
    <row r="36341">
      <c r="B36341" s="36"/>
      <c r="C36341" s="36"/>
      <c r="E36341" s="1"/>
      <c r="F36341" s="1"/>
      <c r="G36341" s="1"/>
    </row>
    <row r="36342">
      <c r="B36342" s="36"/>
      <c r="C36342" s="36"/>
      <c r="E36342" s="1"/>
      <c r="F36342" s="1"/>
      <c r="G36342" s="1"/>
    </row>
    <row r="36343">
      <c r="B36343" s="36"/>
      <c r="C36343" s="36"/>
      <c r="E36343" s="1"/>
      <c r="F36343" s="1"/>
      <c r="G36343" s="1"/>
    </row>
    <row r="36344">
      <c r="B36344" s="36"/>
      <c r="C36344" s="36"/>
      <c r="E36344" s="1"/>
      <c r="F36344" s="1"/>
      <c r="G36344" s="1"/>
    </row>
    <row r="36345">
      <c r="B36345" s="36"/>
      <c r="C36345" s="36"/>
      <c r="E36345" s="1"/>
      <c r="F36345" s="1"/>
      <c r="G36345" s="1"/>
    </row>
    <row r="36346">
      <c r="B36346" s="36"/>
      <c r="C36346" s="36"/>
      <c r="E36346" s="1"/>
      <c r="F36346" s="1"/>
      <c r="G36346" s="1"/>
    </row>
    <row r="36347">
      <c r="B36347" s="36"/>
      <c r="C36347" s="36"/>
      <c r="E36347" s="1"/>
      <c r="F36347" s="1"/>
      <c r="G36347" s="1"/>
    </row>
    <row r="36348">
      <c r="B36348" s="36"/>
      <c r="C36348" s="36"/>
      <c r="E36348" s="1"/>
      <c r="F36348" s="1"/>
      <c r="G36348" s="1"/>
    </row>
    <row r="36349">
      <c r="B36349" s="36"/>
      <c r="C36349" s="36"/>
      <c r="E36349" s="1"/>
      <c r="F36349" s="1"/>
      <c r="G36349" s="1"/>
    </row>
    <row r="36350">
      <c r="B36350" s="36"/>
      <c r="C36350" s="36"/>
      <c r="E36350" s="1"/>
      <c r="F36350" s="1"/>
      <c r="G36350" s="1"/>
    </row>
    <row r="36351">
      <c r="B36351" s="36"/>
      <c r="C36351" s="36"/>
      <c r="E36351" s="1"/>
      <c r="F36351" s="1"/>
      <c r="G36351" s="1"/>
    </row>
    <row r="36352">
      <c r="B36352" s="36"/>
      <c r="C36352" s="36"/>
      <c r="E36352" s="1"/>
      <c r="F36352" s="1"/>
      <c r="G36352" s="1"/>
    </row>
    <row r="36353">
      <c r="B36353" s="36"/>
      <c r="C36353" s="36"/>
      <c r="E36353" s="1"/>
      <c r="F36353" s="1"/>
      <c r="G36353" s="1"/>
    </row>
    <row r="36354">
      <c r="B36354" s="36"/>
      <c r="C36354" s="36"/>
      <c r="E36354" s="1"/>
      <c r="F36354" s="1"/>
      <c r="G36354" s="1"/>
    </row>
    <row r="36355">
      <c r="B36355" s="36"/>
      <c r="C36355" s="36"/>
      <c r="E36355" s="1"/>
      <c r="F36355" s="1"/>
      <c r="G36355" s="1"/>
    </row>
    <row r="36356">
      <c r="B36356" s="36"/>
      <c r="C36356" s="36"/>
      <c r="E36356" s="1"/>
      <c r="F36356" s="1"/>
      <c r="G36356" s="1"/>
    </row>
    <row r="36357">
      <c r="B36357" s="36"/>
      <c r="C36357" s="36"/>
      <c r="E36357" s="1"/>
      <c r="F36357" s="1"/>
      <c r="G36357" s="1"/>
    </row>
    <row r="36358">
      <c r="B36358" s="36"/>
      <c r="C36358" s="36"/>
      <c r="E36358" s="1"/>
      <c r="F36358" s="1"/>
      <c r="G36358" s="1"/>
    </row>
    <row r="36359">
      <c r="B36359" s="36"/>
      <c r="C36359" s="36"/>
      <c r="E36359" s="1"/>
      <c r="F36359" s="1"/>
      <c r="G36359" s="1"/>
    </row>
    <row r="36360">
      <c r="B36360" s="36"/>
      <c r="C36360" s="36"/>
      <c r="E36360" s="1"/>
      <c r="F36360" s="1"/>
      <c r="G36360" s="1"/>
    </row>
    <row r="36361">
      <c r="B36361" s="36"/>
      <c r="C36361" s="36"/>
      <c r="E36361" s="1"/>
      <c r="F36361" s="1"/>
      <c r="G36361" s="1"/>
    </row>
    <row r="36362">
      <c r="B36362" s="36"/>
      <c r="C36362" s="36"/>
      <c r="E36362" s="1"/>
      <c r="F36362" s="1"/>
      <c r="G36362" s="1"/>
    </row>
    <row r="36363">
      <c r="B36363" s="36"/>
      <c r="C36363" s="36"/>
      <c r="E36363" s="1"/>
      <c r="F36363" s="1"/>
      <c r="G36363" s="1"/>
    </row>
    <row r="36364">
      <c r="B36364" s="36"/>
      <c r="C36364" s="36"/>
      <c r="E36364" s="1"/>
      <c r="F36364" s="1"/>
      <c r="G36364" s="1"/>
    </row>
    <row r="36365">
      <c r="B36365" s="36"/>
      <c r="C36365" s="36"/>
      <c r="E36365" s="1"/>
      <c r="F36365" s="1"/>
      <c r="G36365" s="1"/>
    </row>
    <row r="36366">
      <c r="B36366" s="36"/>
      <c r="C36366" s="36"/>
      <c r="E36366" s="1"/>
      <c r="F36366" s="1"/>
      <c r="G36366" s="1"/>
    </row>
    <row r="36367">
      <c r="B36367" s="36"/>
      <c r="C36367" s="36"/>
      <c r="E36367" s="1"/>
      <c r="F36367" s="1"/>
      <c r="G36367" s="1"/>
    </row>
    <row r="36368">
      <c r="B36368" s="36"/>
      <c r="C36368" s="36"/>
      <c r="E36368" s="1"/>
      <c r="F36368" s="1"/>
      <c r="G36368" s="1"/>
    </row>
    <row r="36369">
      <c r="B36369" s="36"/>
      <c r="C36369" s="36"/>
      <c r="E36369" s="1"/>
      <c r="F36369" s="1"/>
      <c r="G36369" s="1"/>
    </row>
    <row r="36370">
      <c r="B36370" s="36"/>
      <c r="C36370" s="36"/>
      <c r="E36370" s="1"/>
      <c r="F36370" s="1"/>
      <c r="G36370" s="1"/>
    </row>
    <row r="36371">
      <c r="B36371" s="36"/>
      <c r="C36371" s="36"/>
      <c r="E36371" s="1"/>
      <c r="F36371" s="1"/>
      <c r="G36371" s="1"/>
    </row>
    <row r="36372">
      <c r="B36372" s="36"/>
      <c r="C36372" s="36"/>
      <c r="E36372" s="1"/>
      <c r="F36372" s="1"/>
      <c r="G36372" s="1"/>
    </row>
    <row r="36373">
      <c r="B36373" s="36"/>
      <c r="C36373" s="36"/>
      <c r="E36373" s="1"/>
      <c r="F36373" s="1"/>
      <c r="G36373" s="1"/>
    </row>
    <row r="36374">
      <c r="B36374" s="36"/>
      <c r="C36374" s="36"/>
      <c r="E36374" s="1"/>
      <c r="F36374" s="1"/>
      <c r="G36374" s="1"/>
    </row>
    <row r="36375">
      <c r="B36375" s="36"/>
      <c r="C36375" s="36"/>
      <c r="E36375" s="1"/>
      <c r="F36375" s="1"/>
      <c r="G36375" s="1"/>
    </row>
    <row r="36376">
      <c r="B36376" s="36"/>
      <c r="C36376" s="36"/>
      <c r="E36376" s="1"/>
      <c r="F36376" s="1"/>
      <c r="G36376" s="1"/>
    </row>
    <row r="36377">
      <c r="B36377" s="36"/>
      <c r="C36377" s="36"/>
      <c r="E36377" s="1"/>
      <c r="F36377" s="1"/>
      <c r="G36377" s="1"/>
    </row>
    <row r="36378">
      <c r="B36378" s="36"/>
      <c r="C36378" s="36"/>
      <c r="E36378" s="1"/>
      <c r="F36378" s="1"/>
      <c r="G36378" s="1"/>
    </row>
    <row r="36379">
      <c r="B36379" s="36"/>
      <c r="C36379" s="36"/>
      <c r="E36379" s="1"/>
      <c r="F36379" s="1"/>
      <c r="G36379" s="1"/>
    </row>
    <row r="36380">
      <c r="B36380" s="36"/>
      <c r="C36380" s="36"/>
      <c r="E36380" s="1"/>
      <c r="F36380" s="1"/>
      <c r="G36380" s="1"/>
    </row>
    <row r="36381">
      <c r="B36381" s="36"/>
      <c r="C36381" s="36"/>
      <c r="E36381" s="1"/>
      <c r="F36381" s="1"/>
      <c r="G36381" s="1"/>
    </row>
    <row r="36382">
      <c r="B36382" s="36"/>
      <c r="C36382" s="36"/>
      <c r="E36382" s="1"/>
      <c r="F36382" s="1"/>
      <c r="G36382" s="1"/>
    </row>
    <row r="36383">
      <c r="B36383" s="36"/>
      <c r="C36383" s="36"/>
      <c r="E36383" s="1"/>
      <c r="F36383" s="1"/>
      <c r="G36383" s="1"/>
    </row>
    <row r="36384">
      <c r="B36384" s="36"/>
      <c r="C36384" s="36"/>
      <c r="E36384" s="1"/>
      <c r="F36384" s="1"/>
      <c r="G36384" s="1"/>
    </row>
    <row r="36385">
      <c r="B36385" s="36"/>
      <c r="C36385" s="36"/>
      <c r="E36385" s="1"/>
      <c r="F36385" s="1"/>
      <c r="G36385" s="1"/>
    </row>
    <row r="36386">
      <c r="B36386" s="36"/>
      <c r="C36386" s="36"/>
      <c r="E36386" s="1"/>
      <c r="F36386" s="1"/>
      <c r="G36386" s="1"/>
    </row>
    <row r="36387">
      <c r="B36387" s="36"/>
      <c r="C36387" s="36"/>
      <c r="E36387" s="1"/>
      <c r="F36387" s="1"/>
      <c r="G36387" s="1"/>
    </row>
    <row r="36388">
      <c r="B36388" s="36"/>
      <c r="C36388" s="36"/>
      <c r="E36388" s="1"/>
      <c r="F36388" s="1"/>
      <c r="G36388" s="1"/>
    </row>
    <row r="36389">
      <c r="B36389" s="36"/>
      <c r="C36389" s="36"/>
      <c r="E36389" s="1"/>
      <c r="F36389" s="1"/>
      <c r="G36389" s="1"/>
    </row>
    <row r="36390">
      <c r="B36390" s="36"/>
      <c r="C36390" s="36"/>
      <c r="E36390" s="1"/>
      <c r="F36390" s="1"/>
      <c r="G36390" s="1"/>
    </row>
    <row r="36391">
      <c r="B36391" s="36"/>
      <c r="C36391" s="36"/>
      <c r="E36391" s="1"/>
      <c r="F36391" s="1"/>
      <c r="G36391" s="1"/>
    </row>
    <row r="36392">
      <c r="B36392" s="36"/>
      <c r="C36392" s="36"/>
      <c r="E36392" s="1"/>
      <c r="F36392" s="1"/>
      <c r="G36392" s="1"/>
    </row>
    <row r="36393">
      <c r="B36393" s="36"/>
      <c r="C36393" s="36"/>
      <c r="E36393" s="1"/>
      <c r="F36393" s="1"/>
      <c r="G36393" s="1"/>
    </row>
    <row r="36394">
      <c r="B36394" s="36"/>
      <c r="C36394" s="36"/>
      <c r="E36394" s="1"/>
      <c r="F36394" s="1"/>
      <c r="G36394" s="1"/>
    </row>
    <row r="36395">
      <c r="B36395" s="36"/>
      <c r="C36395" s="36"/>
      <c r="E36395" s="1"/>
      <c r="F36395" s="1"/>
      <c r="G36395" s="1"/>
    </row>
    <row r="36396">
      <c r="B36396" s="36"/>
      <c r="C36396" s="36"/>
      <c r="E36396" s="1"/>
      <c r="F36396" s="1"/>
      <c r="G36396" s="1"/>
    </row>
    <row r="36397">
      <c r="B36397" s="36"/>
      <c r="C36397" s="36"/>
      <c r="E36397" s="1"/>
      <c r="F36397" s="1"/>
      <c r="G36397" s="1"/>
    </row>
    <row r="36398">
      <c r="B36398" s="36"/>
      <c r="C36398" s="36"/>
      <c r="E36398" s="1"/>
      <c r="F36398" s="1"/>
      <c r="G36398" s="1"/>
    </row>
    <row r="36399">
      <c r="B36399" s="36"/>
      <c r="C36399" s="36"/>
      <c r="E36399" s="1"/>
      <c r="F36399" s="1"/>
      <c r="G36399" s="1"/>
    </row>
    <row r="36400">
      <c r="B36400" s="36"/>
      <c r="C36400" s="36"/>
      <c r="E36400" s="1"/>
      <c r="F36400" s="1"/>
      <c r="G36400" s="1"/>
    </row>
    <row r="36401">
      <c r="B36401" s="36"/>
      <c r="C36401" s="36"/>
      <c r="E36401" s="1"/>
      <c r="F36401" s="1"/>
      <c r="G36401" s="1"/>
    </row>
    <row r="36402">
      <c r="B36402" s="36"/>
      <c r="C36402" s="36"/>
      <c r="E36402" s="1"/>
      <c r="F36402" s="1"/>
      <c r="G36402" s="1"/>
    </row>
    <row r="36403">
      <c r="B36403" s="36"/>
      <c r="C36403" s="36"/>
      <c r="E36403" s="1"/>
      <c r="F36403" s="1"/>
      <c r="G36403" s="1"/>
    </row>
    <row r="36404">
      <c r="B36404" s="36"/>
      <c r="C36404" s="36"/>
      <c r="E36404" s="1"/>
      <c r="F36404" s="1"/>
      <c r="G36404" s="1"/>
    </row>
    <row r="36405">
      <c r="B36405" s="36"/>
      <c r="C36405" s="36"/>
      <c r="E36405" s="1"/>
      <c r="F36405" s="1"/>
      <c r="G36405" s="1"/>
    </row>
    <row r="36406">
      <c r="B36406" s="36"/>
      <c r="C36406" s="36"/>
      <c r="E36406" s="1"/>
      <c r="F36406" s="1"/>
      <c r="G36406" s="1"/>
    </row>
    <row r="36407">
      <c r="B36407" s="36"/>
      <c r="C36407" s="36"/>
      <c r="E36407" s="1"/>
      <c r="F36407" s="1"/>
      <c r="G36407" s="1"/>
    </row>
    <row r="36408">
      <c r="B36408" s="36"/>
      <c r="C36408" s="36"/>
      <c r="E36408" s="1"/>
      <c r="F36408" s="1"/>
      <c r="G36408" s="1"/>
    </row>
    <row r="36409">
      <c r="B36409" s="36"/>
      <c r="C36409" s="36"/>
      <c r="E36409" s="1"/>
      <c r="F36409" s="1"/>
      <c r="G36409" s="1"/>
    </row>
    <row r="36410">
      <c r="B36410" s="36"/>
      <c r="C36410" s="36"/>
      <c r="E36410" s="1"/>
      <c r="F36410" s="1"/>
      <c r="G36410" s="1"/>
    </row>
    <row r="36411">
      <c r="B36411" s="36"/>
      <c r="C36411" s="36"/>
      <c r="E36411" s="1"/>
      <c r="F36411" s="1"/>
      <c r="G36411" s="1"/>
    </row>
    <row r="36412">
      <c r="B36412" s="36"/>
      <c r="C36412" s="36"/>
      <c r="E36412" s="1"/>
      <c r="F36412" s="1"/>
      <c r="G36412" s="1"/>
    </row>
    <row r="36413">
      <c r="B36413" s="36"/>
      <c r="C36413" s="36"/>
      <c r="E36413" s="1"/>
      <c r="F36413" s="1"/>
      <c r="G36413" s="1"/>
    </row>
    <row r="36414">
      <c r="B36414" s="36"/>
      <c r="C36414" s="36"/>
      <c r="E36414" s="1"/>
      <c r="F36414" s="1"/>
      <c r="G36414" s="1"/>
    </row>
    <row r="36415">
      <c r="B36415" s="36"/>
      <c r="C36415" s="36"/>
      <c r="E36415" s="1"/>
      <c r="F36415" s="1"/>
      <c r="G36415" s="1"/>
    </row>
    <row r="36416">
      <c r="B36416" s="36"/>
      <c r="C36416" s="36"/>
      <c r="E36416" s="1"/>
      <c r="F36416" s="1"/>
      <c r="G36416" s="1"/>
    </row>
    <row r="36417">
      <c r="B36417" s="36"/>
      <c r="C36417" s="36"/>
      <c r="E36417" s="1"/>
      <c r="F36417" s="1"/>
      <c r="G36417" s="1"/>
    </row>
    <row r="36418">
      <c r="B36418" s="36"/>
      <c r="C36418" s="36"/>
      <c r="E36418" s="1"/>
      <c r="F36418" s="1"/>
      <c r="G36418" s="1"/>
    </row>
    <row r="36419">
      <c r="B36419" s="36"/>
      <c r="C36419" s="36"/>
      <c r="E36419" s="1"/>
      <c r="F36419" s="1"/>
      <c r="G36419" s="1"/>
    </row>
    <row r="36420">
      <c r="B36420" s="36"/>
      <c r="C36420" s="36"/>
      <c r="E36420" s="1"/>
      <c r="F36420" s="1"/>
      <c r="G36420" s="1"/>
    </row>
    <row r="36421">
      <c r="B36421" s="36"/>
      <c r="C36421" s="36"/>
      <c r="E36421" s="1"/>
      <c r="F36421" s="1"/>
      <c r="G36421" s="1"/>
    </row>
    <row r="36422">
      <c r="B36422" s="36"/>
      <c r="C36422" s="36"/>
      <c r="E36422" s="1"/>
      <c r="F36422" s="1"/>
      <c r="G36422" s="1"/>
    </row>
    <row r="36423">
      <c r="B36423" s="36"/>
      <c r="C36423" s="36"/>
      <c r="E36423" s="1"/>
      <c r="F36423" s="1"/>
      <c r="G36423" s="1"/>
    </row>
    <row r="36424">
      <c r="B36424" s="36"/>
      <c r="C36424" s="36"/>
      <c r="E36424" s="1"/>
      <c r="F36424" s="1"/>
      <c r="G36424" s="1"/>
    </row>
    <row r="36425">
      <c r="B36425" s="36"/>
      <c r="C36425" s="36"/>
      <c r="E36425" s="1"/>
      <c r="F36425" s="1"/>
      <c r="G36425" s="1"/>
    </row>
    <row r="36426">
      <c r="B36426" s="36"/>
      <c r="C36426" s="36"/>
      <c r="E36426" s="1"/>
      <c r="F36426" s="1"/>
      <c r="G36426" s="1"/>
    </row>
    <row r="36427">
      <c r="B36427" s="36"/>
      <c r="C36427" s="36"/>
      <c r="E36427" s="1"/>
      <c r="F36427" s="1"/>
      <c r="G36427" s="1"/>
    </row>
    <row r="36428">
      <c r="B36428" s="36"/>
      <c r="C36428" s="36"/>
      <c r="E36428" s="1"/>
      <c r="F36428" s="1"/>
      <c r="G36428" s="1"/>
    </row>
    <row r="36429">
      <c r="B36429" s="36"/>
      <c r="C36429" s="36"/>
      <c r="E36429" s="1"/>
      <c r="F36429" s="1"/>
      <c r="G36429" s="1"/>
    </row>
    <row r="36430">
      <c r="B36430" s="36"/>
      <c r="C36430" s="36"/>
      <c r="E36430" s="1"/>
      <c r="F36430" s="1"/>
      <c r="G36430" s="1"/>
    </row>
    <row r="36431">
      <c r="B36431" s="36"/>
      <c r="C36431" s="36"/>
      <c r="E36431" s="1"/>
      <c r="F36431" s="1"/>
      <c r="G36431" s="1"/>
    </row>
    <row r="36432">
      <c r="B36432" s="36"/>
      <c r="C36432" s="36"/>
      <c r="E36432" s="1"/>
      <c r="F36432" s="1"/>
      <c r="G36432" s="1"/>
    </row>
    <row r="36433">
      <c r="B36433" s="36"/>
      <c r="C36433" s="36"/>
      <c r="E36433" s="1"/>
      <c r="F36433" s="1"/>
      <c r="G36433" s="1"/>
    </row>
    <row r="36434">
      <c r="B36434" s="36"/>
      <c r="C36434" s="36"/>
      <c r="E36434" s="1"/>
      <c r="F36434" s="1"/>
      <c r="G36434" s="1"/>
    </row>
    <row r="36435">
      <c r="B36435" s="36"/>
      <c r="C36435" s="36"/>
      <c r="E36435" s="1"/>
      <c r="F36435" s="1"/>
      <c r="G36435" s="1"/>
    </row>
    <row r="36436">
      <c r="B36436" s="36"/>
      <c r="C36436" s="36"/>
      <c r="E36436" s="1"/>
      <c r="F36436" s="1"/>
      <c r="G36436" s="1"/>
    </row>
    <row r="36437">
      <c r="B36437" s="36"/>
      <c r="C36437" s="36"/>
      <c r="E36437" s="1"/>
      <c r="F36437" s="1"/>
      <c r="G36437" s="1"/>
    </row>
    <row r="36438">
      <c r="B36438" s="36"/>
      <c r="C36438" s="36"/>
      <c r="E36438" s="1"/>
      <c r="F36438" s="1"/>
      <c r="G36438" s="1"/>
    </row>
    <row r="36439">
      <c r="B36439" s="36"/>
      <c r="C36439" s="36"/>
      <c r="E36439" s="1"/>
      <c r="F36439" s="1"/>
      <c r="G36439" s="1"/>
    </row>
    <row r="36440">
      <c r="B36440" s="36"/>
      <c r="C36440" s="36"/>
      <c r="E36440" s="1"/>
      <c r="F36440" s="1"/>
      <c r="G36440" s="1"/>
    </row>
    <row r="36441">
      <c r="B36441" s="36"/>
      <c r="C36441" s="36"/>
      <c r="E36441" s="1"/>
      <c r="F36441" s="1"/>
      <c r="G36441" s="1"/>
    </row>
    <row r="36442">
      <c r="B36442" s="36"/>
      <c r="C36442" s="36"/>
      <c r="E36442" s="1"/>
      <c r="F36442" s="1"/>
      <c r="G36442" s="1"/>
    </row>
    <row r="36443">
      <c r="B36443" s="36"/>
      <c r="C36443" s="36"/>
      <c r="E36443" s="1"/>
      <c r="F36443" s="1"/>
      <c r="G36443" s="1"/>
    </row>
    <row r="36444">
      <c r="B36444" s="36"/>
      <c r="C36444" s="36"/>
      <c r="E36444" s="1"/>
      <c r="F36444" s="1"/>
      <c r="G36444" s="1"/>
    </row>
    <row r="36445">
      <c r="B36445" s="36"/>
      <c r="C36445" s="36"/>
      <c r="E36445" s="1"/>
      <c r="F36445" s="1"/>
      <c r="G36445" s="1"/>
    </row>
    <row r="36446">
      <c r="B36446" s="36"/>
      <c r="C36446" s="36"/>
      <c r="E36446" s="1"/>
      <c r="F36446" s="1"/>
      <c r="G36446" s="1"/>
    </row>
    <row r="36447">
      <c r="B36447" s="36"/>
      <c r="C36447" s="36"/>
      <c r="E36447" s="1"/>
      <c r="F36447" s="1"/>
      <c r="G36447" s="1"/>
    </row>
    <row r="36448">
      <c r="B36448" s="36"/>
      <c r="C36448" s="36"/>
      <c r="E36448" s="1"/>
      <c r="F36448" s="1"/>
      <c r="G36448" s="1"/>
    </row>
    <row r="36449">
      <c r="B36449" s="36"/>
      <c r="C36449" s="36"/>
      <c r="E36449" s="1"/>
      <c r="F36449" s="1"/>
      <c r="G36449" s="1"/>
    </row>
    <row r="36450">
      <c r="B36450" s="36"/>
      <c r="C36450" s="36"/>
      <c r="E36450" s="1"/>
      <c r="F36450" s="1"/>
      <c r="G36450" s="1"/>
    </row>
    <row r="36451">
      <c r="B36451" s="36"/>
      <c r="C36451" s="36"/>
      <c r="E36451" s="1"/>
      <c r="F36451" s="1"/>
      <c r="G36451" s="1"/>
    </row>
    <row r="36452">
      <c r="B36452" s="36"/>
      <c r="C36452" s="36"/>
      <c r="E36452" s="1"/>
      <c r="F36452" s="1"/>
      <c r="G36452" s="1"/>
    </row>
    <row r="36453">
      <c r="B36453" s="36"/>
      <c r="C36453" s="36"/>
      <c r="E36453" s="1"/>
      <c r="F36453" s="1"/>
      <c r="G36453" s="1"/>
    </row>
    <row r="36454">
      <c r="B36454" s="36"/>
      <c r="C36454" s="36"/>
      <c r="E36454" s="1"/>
      <c r="F36454" s="1"/>
      <c r="G36454" s="1"/>
    </row>
    <row r="36455">
      <c r="B36455" s="36"/>
      <c r="C36455" s="36"/>
      <c r="E36455" s="1"/>
      <c r="F36455" s="1"/>
      <c r="G36455" s="1"/>
    </row>
    <row r="36456">
      <c r="B36456" s="36"/>
      <c r="C36456" s="36"/>
      <c r="E36456" s="1"/>
      <c r="F36456" s="1"/>
      <c r="G36456" s="1"/>
    </row>
    <row r="36457">
      <c r="B36457" s="36"/>
      <c r="C36457" s="36"/>
      <c r="E36457" s="1"/>
      <c r="F36457" s="1"/>
      <c r="G36457" s="1"/>
    </row>
    <row r="36458">
      <c r="B36458" s="36"/>
      <c r="C36458" s="36"/>
      <c r="E36458" s="1"/>
      <c r="F36458" s="1"/>
      <c r="G36458" s="1"/>
    </row>
    <row r="36459">
      <c r="B36459" s="36"/>
      <c r="C36459" s="36"/>
      <c r="E36459" s="1"/>
      <c r="F36459" s="1"/>
      <c r="G36459" s="1"/>
    </row>
    <row r="36460">
      <c r="B36460" s="36"/>
      <c r="C36460" s="36"/>
      <c r="E36460" s="1"/>
      <c r="F36460" s="1"/>
      <c r="G36460" s="1"/>
    </row>
    <row r="36461">
      <c r="B36461" s="36"/>
      <c r="C36461" s="36"/>
      <c r="E36461" s="1"/>
      <c r="F36461" s="1"/>
      <c r="G36461" s="1"/>
    </row>
    <row r="36462">
      <c r="B36462" s="36"/>
      <c r="C36462" s="36"/>
      <c r="E36462" s="1"/>
      <c r="F36462" s="1"/>
      <c r="G36462" s="1"/>
    </row>
    <row r="36463">
      <c r="B36463" s="36"/>
      <c r="C36463" s="36"/>
      <c r="E36463" s="1"/>
      <c r="F36463" s="1"/>
      <c r="G36463" s="1"/>
    </row>
    <row r="36464">
      <c r="B36464" s="36"/>
      <c r="C36464" s="36"/>
      <c r="E36464" s="1"/>
      <c r="F36464" s="1"/>
      <c r="G36464" s="1"/>
    </row>
    <row r="36465">
      <c r="B36465" s="36"/>
      <c r="C36465" s="36"/>
      <c r="E36465" s="1"/>
      <c r="F36465" s="1"/>
      <c r="G36465" s="1"/>
    </row>
    <row r="36466">
      <c r="B36466" s="36"/>
      <c r="C36466" s="36"/>
      <c r="E36466" s="1"/>
      <c r="F36466" s="1"/>
      <c r="G36466" s="1"/>
    </row>
    <row r="36467">
      <c r="B36467" s="36"/>
      <c r="C36467" s="36"/>
      <c r="E36467" s="1"/>
      <c r="F36467" s="1"/>
      <c r="G36467" s="1"/>
    </row>
    <row r="36468">
      <c r="B36468" s="36"/>
      <c r="C36468" s="36"/>
      <c r="E36468" s="1"/>
      <c r="F36468" s="1"/>
      <c r="G36468" s="1"/>
    </row>
    <row r="36469">
      <c r="B36469" s="36"/>
      <c r="C36469" s="36"/>
      <c r="E36469" s="1"/>
      <c r="F36469" s="1"/>
      <c r="G36469" s="1"/>
    </row>
    <row r="36470">
      <c r="B36470" s="36"/>
      <c r="C36470" s="36"/>
      <c r="E36470" s="1"/>
      <c r="F36470" s="1"/>
      <c r="G36470" s="1"/>
    </row>
    <row r="36471">
      <c r="B36471" s="36"/>
      <c r="C36471" s="36"/>
      <c r="E36471" s="1"/>
      <c r="F36471" s="1"/>
      <c r="G36471" s="1"/>
    </row>
    <row r="36472">
      <c r="B36472" s="36"/>
      <c r="C36472" s="36"/>
      <c r="E36472" s="1"/>
      <c r="F36472" s="1"/>
      <c r="G36472" s="1"/>
    </row>
    <row r="36473">
      <c r="B36473" s="36"/>
      <c r="C36473" s="36"/>
      <c r="E36473" s="1"/>
      <c r="F36473" s="1"/>
      <c r="G36473" s="1"/>
    </row>
    <row r="36474">
      <c r="B36474" s="36"/>
      <c r="C36474" s="36"/>
      <c r="E36474" s="1"/>
      <c r="F36474" s="1"/>
      <c r="G36474" s="1"/>
    </row>
    <row r="36475">
      <c r="B36475" s="36"/>
      <c r="C36475" s="36"/>
      <c r="E36475" s="1"/>
      <c r="F36475" s="1"/>
      <c r="G36475" s="1"/>
    </row>
    <row r="36476">
      <c r="B36476" s="36"/>
      <c r="C36476" s="36"/>
      <c r="E36476" s="1"/>
      <c r="F36476" s="1"/>
      <c r="G36476" s="1"/>
    </row>
    <row r="36477">
      <c r="B36477" s="36"/>
      <c r="C36477" s="36"/>
      <c r="E36477" s="1"/>
      <c r="F36477" s="1"/>
      <c r="G36477" s="1"/>
    </row>
    <row r="36478">
      <c r="B36478" s="36"/>
      <c r="C36478" s="36"/>
      <c r="E36478" s="1"/>
      <c r="F36478" s="1"/>
      <c r="G36478" s="1"/>
    </row>
    <row r="36479">
      <c r="B36479" s="36"/>
      <c r="C36479" s="36"/>
      <c r="E36479" s="1"/>
      <c r="F36479" s="1"/>
      <c r="G36479" s="1"/>
    </row>
    <row r="36480">
      <c r="B36480" s="36"/>
      <c r="C36480" s="36"/>
      <c r="E36480" s="1"/>
      <c r="F36480" s="1"/>
      <c r="G36480" s="1"/>
    </row>
    <row r="36481">
      <c r="B36481" s="36"/>
      <c r="C36481" s="36"/>
      <c r="E36481" s="1"/>
      <c r="F36481" s="1"/>
      <c r="G36481" s="1"/>
    </row>
    <row r="36482">
      <c r="B36482" s="36"/>
      <c r="C36482" s="36"/>
      <c r="E36482" s="1"/>
      <c r="F36482" s="1"/>
      <c r="G36482" s="1"/>
    </row>
    <row r="36483">
      <c r="B36483" s="36"/>
      <c r="C36483" s="36"/>
      <c r="E36483" s="1"/>
      <c r="F36483" s="1"/>
      <c r="G36483" s="1"/>
    </row>
    <row r="36484">
      <c r="B36484" s="36"/>
      <c r="C36484" s="36"/>
      <c r="E36484" s="1"/>
      <c r="F36484" s="1"/>
      <c r="G36484" s="1"/>
    </row>
    <row r="36485">
      <c r="B36485" s="36"/>
      <c r="C36485" s="36"/>
      <c r="E36485" s="1"/>
      <c r="F36485" s="1"/>
      <c r="G36485" s="1"/>
    </row>
    <row r="36486">
      <c r="B36486" s="36"/>
      <c r="C36486" s="36"/>
      <c r="E36486" s="1"/>
      <c r="F36486" s="1"/>
      <c r="G36486" s="1"/>
    </row>
    <row r="36487">
      <c r="B36487" s="36"/>
      <c r="C36487" s="36"/>
      <c r="E36487" s="1"/>
      <c r="F36487" s="1"/>
      <c r="G36487" s="1"/>
    </row>
    <row r="36488">
      <c r="B36488" s="36"/>
      <c r="C36488" s="36"/>
      <c r="E36488" s="1"/>
      <c r="F36488" s="1"/>
      <c r="G36488" s="1"/>
    </row>
    <row r="36489">
      <c r="B36489" s="36"/>
      <c r="C36489" s="36"/>
      <c r="E36489" s="1"/>
      <c r="F36489" s="1"/>
      <c r="G36489" s="1"/>
    </row>
    <row r="36490">
      <c r="B36490" s="36"/>
      <c r="C36490" s="36"/>
      <c r="E36490" s="1"/>
      <c r="F36490" s="1"/>
      <c r="G36490" s="1"/>
    </row>
    <row r="36491">
      <c r="B36491" s="36"/>
      <c r="C36491" s="36"/>
      <c r="E36491" s="1"/>
      <c r="F36491" s="1"/>
      <c r="G36491" s="1"/>
    </row>
    <row r="36492">
      <c r="B36492" s="36"/>
      <c r="C36492" s="36"/>
      <c r="E36492" s="1"/>
      <c r="F36492" s="1"/>
      <c r="G36492" s="1"/>
    </row>
    <row r="36493">
      <c r="B36493" s="36"/>
      <c r="C36493" s="36"/>
      <c r="E36493" s="1"/>
      <c r="F36493" s="1"/>
      <c r="G36493" s="1"/>
    </row>
    <row r="36494">
      <c r="B36494" s="36"/>
      <c r="C36494" s="36"/>
      <c r="E36494" s="1"/>
      <c r="F36494" s="1"/>
      <c r="G36494" s="1"/>
    </row>
    <row r="36495">
      <c r="B36495" s="36"/>
      <c r="C36495" s="36"/>
      <c r="E36495" s="1"/>
      <c r="F36495" s="1"/>
      <c r="G36495" s="1"/>
    </row>
    <row r="36496">
      <c r="B36496" s="36"/>
      <c r="C36496" s="36"/>
      <c r="E36496" s="1"/>
      <c r="F36496" s="1"/>
      <c r="G36496" s="1"/>
    </row>
    <row r="36497">
      <c r="B36497" s="36"/>
      <c r="C36497" s="36"/>
      <c r="E36497" s="1"/>
      <c r="F36497" s="1"/>
      <c r="G36497" s="1"/>
    </row>
    <row r="36498">
      <c r="B36498" s="36"/>
      <c r="C36498" s="36"/>
      <c r="E36498" s="1"/>
      <c r="F36498" s="1"/>
      <c r="G36498" s="1"/>
    </row>
    <row r="36499">
      <c r="B36499" s="36"/>
      <c r="C36499" s="36"/>
      <c r="E36499" s="1"/>
      <c r="F36499" s="1"/>
      <c r="G36499" s="1"/>
    </row>
    <row r="36500">
      <c r="B36500" s="36"/>
      <c r="C36500" s="36"/>
      <c r="E36500" s="1"/>
      <c r="F36500" s="1"/>
      <c r="G36500" s="1"/>
    </row>
    <row r="36501">
      <c r="B36501" s="36"/>
      <c r="C36501" s="36"/>
      <c r="E36501" s="1"/>
      <c r="F36501" s="1"/>
      <c r="G36501" s="1"/>
    </row>
    <row r="36502">
      <c r="B36502" s="36"/>
      <c r="C36502" s="36"/>
      <c r="E36502" s="1"/>
      <c r="F36502" s="1"/>
      <c r="G36502" s="1"/>
    </row>
    <row r="36503">
      <c r="B36503" s="36"/>
      <c r="C36503" s="36"/>
      <c r="E36503" s="1"/>
      <c r="F36503" s="1"/>
      <c r="G36503" s="1"/>
    </row>
    <row r="36504">
      <c r="B36504" s="36"/>
      <c r="C36504" s="36"/>
      <c r="E36504" s="1"/>
      <c r="F36504" s="1"/>
      <c r="G36504" s="1"/>
    </row>
    <row r="36505">
      <c r="B36505" s="36"/>
      <c r="C36505" s="36"/>
      <c r="E36505" s="1"/>
      <c r="F36505" s="1"/>
      <c r="G36505" s="1"/>
    </row>
    <row r="36506">
      <c r="B36506" s="36"/>
      <c r="C36506" s="36"/>
      <c r="E36506" s="1"/>
      <c r="F36506" s="1"/>
      <c r="G36506" s="1"/>
    </row>
    <row r="36507">
      <c r="B36507" s="36"/>
      <c r="C36507" s="36"/>
      <c r="E36507" s="1"/>
      <c r="F36507" s="1"/>
      <c r="G36507" s="1"/>
    </row>
    <row r="36508">
      <c r="B36508" s="36"/>
      <c r="C36508" s="36"/>
      <c r="E36508" s="1"/>
      <c r="F36508" s="1"/>
      <c r="G36508" s="1"/>
    </row>
    <row r="36509">
      <c r="B36509" s="36"/>
      <c r="C36509" s="36"/>
      <c r="E36509" s="1"/>
      <c r="F36509" s="1"/>
      <c r="G36509" s="1"/>
    </row>
    <row r="36510">
      <c r="B36510" s="36"/>
      <c r="C36510" s="36"/>
      <c r="E36510" s="1"/>
      <c r="F36510" s="1"/>
      <c r="G36510" s="1"/>
    </row>
    <row r="36511">
      <c r="B36511" s="36"/>
      <c r="C36511" s="36"/>
      <c r="E36511" s="1"/>
      <c r="F36511" s="1"/>
      <c r="G36511" s="1"/>
    </row>
    <row r="36512">
      <c r="B36512" s="36"/>
      <c r="C36512" s="36"/>
      <c r="E36512" s="1"/>
      <c r="F36512" s="1"/>
      <c r="G36512" s="1"/>
    </row>
    <row r="36513">
      <c r="B36513" s="36"/>
      <c r="C36513" s="36"/>
      <c r="E36513" s="1"/>
      <c r="F36513" s="1"/>
      <c r="G36513" s="1"/>
    </row>
    <row r="36514">
      <c r="B36514" s="36"/>
      <c r="C36514" s="36"/>
      <c r="E36514" s="1"/>
      <c r="F36514" s="1"/>
      <c r="G36514" s="1"/>
    </row>
    <row r="36515">
      <c r="B36515" s="36"/>
      <c r="C36515" s="36"/>
      <c r="E36515" s="1"/>
      <c r="F36515" s="1"/>
      <c r="G36515" s="1"/>
    </row>
    <row r="36516">
      <c r="B36516" s="36"/>
      <c r="C36516" s="36"/>
      <c r="E36516" s="1"/>
      <c r="F36516" s="1"/>
      <c r="G36516" s="1"/>
    </row>
    <row r="36517">
      <c r="B36517" s="36"/>
      <c r="C36517" s="36"/>
      <c r="E36517" s="1"/>
      <c r="F36517" s="1"/>
      <c r="G36517" s="1"/>
    </row>
    <row r="36518">
      <c r="B36518" s="36"/>
      <c r="C36518" s="36"/>
      <c r="E36518" s="1"/>
      <c r="F36518" s="1"/>
      <c r="G36518" s="1"/>
    </row>
    <row r="36519">
      <c r="B36519" s="36"/>
      <c r="C36519" s="36"/>
      <c r="E36519" s="1"/>
      <c r="F36519" s="1"/>
      <c r="G36519" s="1"/>
    </row>
    <row r="36520">
      <c r="B36520" s="36"/>
      <c r="C36520" s="36"/>
      <c r="E36520" s="1"/>
      <c r="F36520" s="1"/>
      <c r="G36520" s="1"/>
    </row>
    <row r="36521">
      <c r="B36521" s="36"/>
      <c r="C36521" s="36"/>
      <c r="E36521" s="1"/>
      <c r="F36521" s="1"/>
      <c r="G36521" s="1"/>
    </row>
    <row r="36522">
      <c r="B36522" s="36"/>
      <c r="C36522" s="36"/>
      <c r="E36522" s="1"/>
      <c r="F36522" s="1"/>
      <c r="G36522" s="1"/>
    </row>
    <row r="36523">
      <c r="B36523" s="36"/>
      <c r="C36523" s="36"/>
      <c r="E36523" s="1"/>
      <c r="F36523" s="1"/>
      <c r="G36523" s="1"/>
    </row>
    <row r="36524">
      <c r="B36524" s="36"/>
      <c r="C36524" s="36"/>
      <c r="E36524" s="1"/>
      <c r="F36524" s="1"/>
      <c r="G36524" s="1"/>
    </row>
    <row r="36525">
      <c r="B36525" s="36"/>
      <c r="C36525" s="36"/>
      <c r="E36525" s="1"/>
      <c r="F36525" s="1"/>
      <c r="G36525" s="1"/>
    </row>
    <row r="36526">
      <c r="B36526" s="36"/>
      <c r="C36526" s="36"/>
      <c r="E36526" s="1"/>
      <c r="F36526" s="1"/>
      <c r="G36526" s="1"/>
    </row>
    <row r="36527">
      <c r="B36527" s="36"/>
      <c r="C36527" s="36"/>
      <c r="E36527" s="1"/>
      <c r="F36527" s="1"/>
      <c r="G36527" s="1"/>
    </row>
    <row r="36528">
      <c r="B36528" s="36"/>
      <c r="C36528" s="36"/>
      <c r="E36528" s="1"/>
      <c r="F36528" s="1"/>
      <c r="G36528" s="1"/>
    </row>
    <row r="36529">
      <c r="B36529" s="36"/>
      <c r="C36529" s="36"/>
      <c r="E36529" s="1"/>
      <c r="F36529" s="1"/>
      <c r="G36529" s="1"/>
    </row>
    <row r="36530">
      <c r="B36530" s="36"/>
      <c r="C36530" s="36"/>
      <c r="E36530" s="1"/>
      <c r="F36530" s="1"/>
      <c r="G36530" s="1"/>
    </row>
    <row r="36531">
      <c r="B36531" s="36"/>
      <c r="C36531" s="36"/>
      <c r="E36531" s="1"/>
      <c r="F36531" s="1"/>
      <c r="G36531" s="1"/>
    </row>
    <row r="36532">
      <c r="B36532" s="36"/>
      <c r="C36532" s="36"/>
      <c r="E36532" s="1"/>
      <c r="F36532" s="1"/>
      <c r="G36532" s="1"/>
    </row>
    <row r="36533">
      <c r="B36533" s="36"/>
      <c r="C36533" s="36"/>
      <c r="E36533" s="1"/>
      <c r="F36533" s="1"/>
      <c r="G36533" s="1"/>
    </row>
    <row r="36534">
      <c r="B36534" s="36"/>
      <c r="C36534" s="36"/>
      <c r="E36534" s="1"/>
      <c r="F36534" s="1"/>
      <c r="G36534" s="1"/>
    </row>
    <row r="36535">
      <c r="B36535" s="36"/>
      <c r="C36535" s="36"/>
      <c r="E36535" s="1"/>
      <c r="F36535" s="1"/>
      <c r="G36535" s="1"/>
    </row>
    <row r="36536">
      <c r="B36536" s="36"/>
      <c r="C36536" s="36"/>
      <c r="E36536" s="1"/>
      <c r="F36536" s="1"/>
      <c r="G36536" s="1"/>
    </row>
    <row r="36537">
      <c r="B36537" s="36"/>
      <c r="C36537" s="36"/>
      <c r="E36537" s="1"/>
      <c r="F36537" s="1"/>
      <c r="G36537" s="1"/>
    </row>
    <row r="36538">
      <c r="B36538" s="36"/>
      <c r="C36538" s="36"/>
      <c r="E36538" s="1"/>
      <c r="F36538" s="1"/>
      <c r="G36538" s="1"/>
    </row>
    <row r="36539">
      <c r="B36539" s="36"/>
      <c r="C36539" s="36"/>
      <c r="E36539" s="1"/>
      <c r="F36539" s="1"/>
      <c r="G36539" s="1"/>
    </row>
    <row r="36540">
      <c r="B36540" s="36"/>
      <c r="C36540" s="36"/>
      <c r="E36540" s="1"/>
      <c r="F36540" s="1"/>
      <c r="G36540" s="1"/>
    </row>
    <row r="36541">
      <c r="B36541" s="36"/>
      <c r="C36541" s="36"/>
      <c r="E36541" s="1"/>
      <c r="F36541" s="1"/>
      <c r="G36541" s="1"/>
    </row>
    <row r="36542">
      <c r="B36542" s="36"/>
      <c r="C36542" s="36"/>
      <c r="E36542" s="1"/>
      <c r="F36542" s="1"/>
      <c r="G36542" s="1"/>
    </row>
    <row r="36543">
      <c r="B36543" s="36"/>
      <c r="C36543" s="36"/>
      <c r="E36543" s="1"/>
      <c r="F36543" s="1"/>
      <c r="G36543" s="1"/>
    </row>
    <row r="36544">
      <c r="B36544" s="36"/>
      <c r="C36544" s="36"/>
      <c r="E36544" s="1"/>
      <c r="F36544" s="1"/>
      <c r="G36544" s="1"/>
    </row>
    <row r="36545">
      <c r="B36545" s="36"/>
      <c r="C36545" s="36"/>
      <c r="E36545" s="1"/>
      <c r="F36545" s="1"/>
      <c r="G36545" s="1"/>
    </row>
    <row r="36546">
      <c r="B36546" s="36"/>
      <c r="C36546" s="36"/>
      <c r="E36546" s="1"/>
      <c r="F36546" s="1"/>
      <c r="G36546" s="1"/>
    </row>
    <row r="36547">
      <c r="B36547" s="36"/>
      <c r="C36547" s="36"/>
      <c r="E36547" s="1"/>
      <c r="F36547" s="1"/>
      <c r="G36547" s="1"/>
    </row>
    <row r="36548">
      <c r="B36548" s="36"/>
      <c r="C36548" s="36"/>
      <c r="E36548" s="1"/>
      <c r="F36548" s="1"/>
      <c r="G36548" s="1"/>
    </row>
    <row r="36549">
      <c r="B36549" s="36"/>
      <c r="C36549" s="36"/>
      <c r="E36549" s="1"/>
      <c r="F36549" s="1"/>
      <c r="G36549" s="1"/>
    </row>
    <row r="36550">
      <c r="B36550" s="36"/>
      <c r="C36550" s="36"/>
      <c r="E36550" s="1"/>
      <c r="F36550" s="1"/>
      <c r="G36550" s="1"/>
    </row>
    <row r="36551">
      <c r="B36551" s="36"/>
      <c r="C36551" s="36"/>
      <c r="E36551" s="1"/>
      <c r="F36551" s="1"/>
      <c r="G36551" s="1"/>
    </row>
    <row r="36552">
      <c r="B36552" s="36"/>
      <c r="C36552" s="36"/>
      <c r="E36552" s="1"/>
      <c r="F36552" s="1"/>
      <c r="G36552" s="1"/>
    </row>
    <row r="36553">
      <c r="B36553" s="36"/>
      <c r="C36553" s="36"/>
      <c r="E36553" s="1"/>
      <c r="F36553" s="1"/>
      <c r="G36553" s="1"/>
    </row>
    <row r="36554">
      <c r="B36554" s="36"/>
      <c r="C36554" s="36"/>
      <c r="E36554" s="1"/>
      <c r="F36554" s="1"/>
      <c r="G36554" s="1"/>
    </row>
    <row r="36555">
      <c r="B36555" s="36"/>
      <c r="C36555" s="36"/>
      <c r="E36555" s="1"/>
      <c r="F36555" s="1"/>
      <c r="G36555" s="1"/>
    </row>
    <row r="36556">
      <c r="B36556" s="36"/>
      <c r="C36556" s="36"/>
      <c r="E36556" s="1"/>
      <c r="F36556" s="1"/>
      <c r="G36556" s="1"/>
    </row>
    <row r="36557">
      <c r="B36557" s="36"/>
      <c r="C36557" s="36"/>
      <c r="E36557" s="1"/>
      <c r="F36557" s="1"/>
      <c r="G36557" s="1"/>
    </row>
    <row r="36558">
      <c r="B36558" s="36"/>
      <c r="C36558" s="36"/>
      <c r="E36558" s="1"/>
      <c r="F36558" s="1"/>
      <c r="G36558" s="1"/>
    </row>
    <row r="36559">
      <c r="B36559" s="36"/>
      <c r="C36559" s="36"/>
      <c r="E36559" s="1"/>
      <c r="F36559" s="1"/>
      <c r="G36559" s="1"/>
    </row>
    <row r="36560">
      <c r="B36560" s="36"/>
      <c r="C36560" s="36"/>
      <c r="E36560" s="1"/>
      <c r="F36560" s="1"/>
      <c r="G36560" s="1"/>
    </row>
    <row r="36561">
      <c r="B36561" s="36"/>
      <c r="C36561" s="36"/>
      <c r="E36561" s="1"/>
      <c r="F36561" s="1"/>
      <c r="G36561" s="1"/>
    </row>
    <row r="36562">
      <c r="B36562" s="36"/>
      <c r="C36562" s="36"/>
      <c r="E36562" s="1"/>
      <c r="F36562" s="1"/>
      <c r="G36562" s="1"/>
    </row>
    <row r="36563">
      <c r="B36563" s="36"/>
      <c r="C36563" s="36"/>
      <c r="E36563" s="1"/>
      <c r="F36563" s="1"/>
      <c r="G36563" s="1"/>
    </row>
    <row r="36564">
      <c r="B36564" s="36"/>
      <c r="C36564" s="36"/>
      <c r="E36564" s="1"/>
      <c r="F36564" s="1"/>
      <c r="G36564" s="1"/>
    </row>
    <row r="36565">
      <c r="B36565" s="36"/>
      <c r="C36565" s="36"/>
      <c r="E36565" s="1"/>
      <c r="F36565" s="1"/>
      <c r="G36565" s="1"/>
    </row>
    <row r="36566">
      <c r="B36566" s="36"/>
      <c r="C36566" s="36"/>
      <c r="E36566" s="1"/>
      <c r="F36566" s="1"/>
      <c r="G36566" s="1"/>
    </row>
    <row r="36567">
      <c r="B36567" s="36"/>
      <c r="C36567" s="36"/>
      <c r="E36567" s="1"/>
      <c r="F36567" s="1"/>
      <c r="G36567" s="1"/>
    </row>
    <row r="36568">
      <c r="B36568" s="36"/>
      <c r="C36568" s="36"/>
      <c r="E36568" s="1"/>
      <c r="F36568" s="1"/>
      <c r="G36568" s="1"/>
    </row>
    <row r="36569">
      <c r="B36569" s="36"/>
      <c r="C36569" s="36"/>
      <c r="E36569" s="1"/>
      <c r="F36569" s="1"/>
      <c r="G36569" s="1"/>
    </row>
    <row r="36570">
      <c r="B36570" s="36"/>
      <c r="C36570" s="36"/>
      <c r="E36570" s="1"/>
      <c r="F36570" s="1"/>
      <c r="G36570" s="1"/>
    </row>
    <row r="36571">
      <c r="B36571" s="36"/>
      <c r="C36571" s="36"/>
      <c r="E36571" s="1"/>
      <c r="F36571" s="1"/>
      <c r="G36571" s="1"/>
    </row>
    <row r="36572">
      <c r="B36572" s="36"/>
      <c r="C36572" s="36"/>
      <c r="E36572" s="1"/>
      <c r="F36572" s="1"/>
      <c r="G36572" s="1"/>
    </row>
    <row r="36573">
      <c r="B36573" s="36"/>
      <c r="C36573" s="36"/>
      <c r="E36573" s="1"/>
      <c r="F36573" s="1"/>
      <c r="G36573" s="1"/>
    </row>
    <row r="36574">
      <c r="B36574" s="36"/>
      <c r="C36574" s="36"/>
      <c r="E36574" s="1"/>
      <c r="F36574" s="1"/>
      <c r="G36574" s="1"/>
    </row>
    <row r="36575">
      <c r="B36575" s="36"/>
      <c r="C36575" s="36"/>
      <c r="E36575" s="1"/>
      <c r="F36575" s="1"/>
      <c r="G36575" s="1"/>
    </row>
    <row r="36576">
      <c r="B36576" s="36"/>
      <c r="C36576" s="36"/>
      <c r="E36576" s="1"/>
      <c r="F36576" s="1"/>
      <c r="G36576" s="1"/>
    </row>
    <row r="36577">
      <c r="B36577" s="36"/>
      <c r="C36577" s="36"/>
      <c r="E36577" s="1"/>
      <c r="F36577" s="1"/>
      <c r="G36577" s="1"/>
    </row>
    <row r="36578">
      <c r="B36578" s="36"/>
      <c r="C36578" s="36"/>
      <c r="E36578" s="1"/>
      <c r="F36578" s="1"/>
      <c r="G36578" s="1"/>
    </row>
    <row r="36579">
      <c r="B36579" s="36"/>
      <c r="C36579" s="36"/>
      <c r="E36579" s="1"/>
      <c r="F36579" s="1"/>
      <c r="G36579" s="1"/>
    </row>
    <row r="36580">
      <c r="B36580" s="36"/>
      <c r="C36580" s="36"/>
      <c r="E36580" s="1"/>
      <c r="F36580" s="1"/>
      <c r="G36580" s="1"/>
    </row>
    <row r="36581">
      <c r="B36581" s="36"/>
      <c r="C36581" s="36"/>
      <c r="E36581" s="1"/>
      <c r="F36581" s="1"/>
      <c r="G36581" s="1"/>
    </row>
    <row r="36582">
      <c r="B36582" s="36"/>
      <c r="C36582" s="36"/>
      <c r="E36582" s="1"/>
      <c r="F36582" s="1"/>
      <c r="G36582" s="1"/>
    </row>
    <row r="36583">
      <c r="B36583" s="36"/>
      <c r="C36583" s="36"/>
      <c r="E36583" s="1"/>
      <c r="F36583" s="1"/>
      <c r="G36583" s="1"/>
    </row>
    <row r="36584">
      <c r="B36584" s="36"/>
      <c r="C36584" s="36"/>
      <c r="E36584" s="1"/>
      <c r="F36584" s="1"/>
      <c r="G36584" s="1"/>
    </row>
    <row r="36585">
      <c r="B36585" s="36"/>
      <c r="C36585" s="36"/>
      <c r="E36585" s="1"/>
      <c r="F36585" s="1"/>
      <c r="G36585" s="1"/>
    </row>
    <row r="36586">
      <c r="B36586" s="36"/>
      <c r="C36586" s="36"/>
      <c r="E36586" s="1"/>
      <c r="F36586" s="1"/>
      <c r="G36586" s="1"/>
    </row>
    <row r="36587">
      <c r="B36587" s="36"/>
      <c r="C36587" s="36"/>
      <c r="E36587" s="1"/>
      <c r="F36587" s="1"/>
      <c r="G36587" s="1"/>
    </row>
    <row r="36588">
      <c r="B36588" s="36"/>
      <c r="C36588" s="36"/>
      <c r="E36588" s="1"/>
      <c r="F36588" s="1"/>
      <c r="G36588" s="1"/>
    </row>
    <row r="36589">
      <c r="B36589" s="36"/>
      <c r="C36589" s="36"/>
      <c r="E36589" s="1"/>
      <c r="F36589" s="1"/>
      <c r="G36589" s="1"/>
    </row>
    <row r="36590">
      <c r="B36590" s="36"/>
      <c r="C36590" s="36"/>
      <c r="E36590" s="1"/>
      <c r="F36590" s="1"/>
      <c r="G36590" s="1"/>
    </row>
    <row r="36591">
      <c r="B36591" s="36"/>
      <c r="C36591" s="36"/>
      <c r="E36591" s="1"/>
      <c r="F36591" s="1"/>
      <c r="G36591" s="1"/>
    </row>
    <row r="36592">
      <c r="B36592" s="36"/>
      <c r="C36592" s="36"/>
      <c r="E36592" s="1"/>
      <c r="F36592" s="1"/>
      <c r="G36592" s="1"/>
    </row>
    <row r="36593">
      <c r="B36593" s="36"/>
      <c r="C36593" s="36"/>
      <c r="E36593" s="1"/>
      <c r="F36593" s="1"/>
      <c r="G36593" s="1"/>
    </row>
    <row r="36594">
      <c r="B36594" s="36"/>
      <c r="C36594" s="36"/>
      <c r="E36594" s="1"/>
      <c r="F36594" s="1"/>
      <c r="G36594" s="1"/>
    </row>
    <row r="36595">
      <c r="B36595" s="36"/>
      <c r="C36595" s="36"/>
      <c r="E36595" s="1"/>
      <c r="F36595" s="1"/>
      <c r="G36595" s="1"/>
    </row>
    <row r="36596">
      <c r="B36596" s="36"/>
      <c r="C36596" s="36"/>
      <c r="E36596" s="1"/>
      <c r="F36596" s="1"/>
      <c r="G36596" s="1"/>
    </row>
    <row r="36597">
      <c r="B36597" s="36"/>
      <c r="C36597" s="36"/>
      <c r="E36597" s="1"/>
      <c r="F36597" s="1"/>
      <c r="G36597" s="1"/>
    </row>
    <row r="36598">
      <c r="B36598" s="36"/>
      <c r="C36598" s="36"/>
      <c r="E36598" s="1"/>
      <c r="F36598" s="1"/>
      <c r="G36598" s="1"/>
    </row>
    <row r="36599">
      <c r="B36599" s="36"/>
      <c r="C36599" s="36"/>
      <c r="E36599" s="1"/>
      <c r="F36599" s="1"/>
      <c r="G36599" s="1"/>
    </row>
    <row r="36600">
      <c r="B36600" s="36"/>
      <c r="C36600" s="36"/>
      <c r="E36600" s="1"/>
      <c r="F36600" s="1"/>
      <c r="G36600" s="1"/>
    </row>
    <row r="36601">
      <c r="B36601" s="36"/>
      <c r="C36601" s="36"/>
      <c r="E36601" s="1"/>
      <c r="F36601" s="1"/>
      <c r="G36601" s="1"/>
    </row>
    <row r="36602">
      <c r="B36602" s="36"/>
      <c r="C36602" s="36"/>
      <c r="E36602" s="1"/>
      <c r="F36602" s="1"/>
      <c r="G36602" s="1"/>
    </row>
    <row r="36603">
      <c r="B36603" s="36"/>
      <c r="C36603" s="36"/>
      <c r="E36603" s="1"/>
      <c r="F36603" s="1"/>
      <c r="G36603" s="1"/>
    </row>
    <row r="36604">
      <c r="B36604" s="36"/>
      <c r="C36604" s="36"/>
      <c r="E36604" s="1"/>
      <c r="F36604" s="1"/>
      <c r="G36604" s="1"/>
    </row>
    <row r="36605">
      <c r="B36605" s="36"/>
      <c r="C36605" s="36"/>
      <c r="E36605" s="1"/>
      <c r="F36605" s="1"/>
      <c r="G36605" s="1"/>
    </row>
    <row r="36606">
      <c r="B36606" s="36"/>
      <c r="C36606" s="36"/>
      <c r="E36606" s="1"/>
      <c r="F36606" s="1"/>
      <c r="G36606" s="1"/>
    </row>
    <row r="36607">
      <c r="B36607" s="36"/>
      <c r="C36607" s="36"/>
      <c r="E36607" s="1"/>
      <c r="F36607" s="1"/>
      <c r="G36607" s="1"/>
    </row>
    <row r="36608">
      <c r="B36608" s="36"/>
      <c r="C36608" s="36"/>
      <c r="E36608" s="1"/>
      <c r="F36608" s="1"/>
      <c r="G36608" s="1"/>
    </row>
    <row r="36609">
      <c r="B36609" s="36"/>
      <c r="C36609" s="36"/>
      <c r="E36609" s="1"/>
      <c r="F36609" s="1"/>
      <c r="G36609" s="1"/>
    </row>
    <row r="36610">
      <c r="B36610" s="36"/>
      <c r="C36610" s="36"/>
      <c r="E36610" s="1"/>
      <c r="F36610" s="1"/>
      <c r="G36610" s="1"/>
    </row>
    <row r="36611">
      <c r="B36611" s="36"/>
      <c r="C36611" s="36"/>
      <c r="E36611" s="1"/>
      <c r="F36611" s="1"/>
      <c r="G36611" s="1"/>
    </row>
    <row r="36612">
      <c r="B36612" s="36"/>
      <c r="C36612" s="36"/>
      <c r="E36612" s="1"/>
      <c r="F36612" s="1"/>
      <c r="G36612" s="1"/>
    </row>
    <row r="36613">
      <c r="B36613" s="36"/>
      <c r="C36613" s="36"/>
      <c r="E36613" s="1"/>
      <c r="F36613" s="1"/>
      <c r="G36613" s="1"/>
    </row>
    <row r="36614">
      <c r="B36614" s="36"/>
      <c r="C36614" s="36"/>
      <c r="E36614" s="1"/>
      <c r="F36614" s="1"/>
      <c r="G36614" s="1"/>
    </row>
    <row r="36615">
      <c r="B36615" s="36"/>
      <c r="C36615" s="36"/>
      <c r="E36615" s="1"/>
      <c r="F36615" s="1"/>
      <c r="G36615" s="1"/>
    </row>
    <row r="36616">
      <c r="B36616" s="36"/>
      <c r="C36616" s="36"/>
      <c r="E36616" s="1"/>
      <c r="F36616" s="1"/>
      <c r="G36616" s="1"/>
    </row>
    <row r="36617">
      <c r="B36617" s="36"/>
      <c r="C36617" s="36"/>
      <c r="E36617" s="1"/>
      <c r="F36617" s="1"/>
      <c r="G36617" s="1"/>
    </row>
    <row r="36618">
      <c r="B36618" s="36"/>
      <c r="C36618" s="36"/>
      <c r="E36618" s="1"/>
      <c r="F36618" s="1"/>
      <c r="G36618" s="1"/>
    </row>
    <row r="36619">
      <c r="B36619" s="36"/>
      <c r="C36619" s="36"/>
      <c r="E36619" s="1"/>
      <c r="F36619" s="1"/>
      <c r="G36619" s="1"/>
    </row>
    <row r="36620">
      <c r="B36620" s="36"/>
      <c r="C36620" s="36"/>
      <c r="E36620" s="1"/>
      <c r="F36620" s="1"/>
      <c r="G36620" s="1"/>
    </row>
    <row r="36621">
      <c r="B36621" s="36"/>
      <c r="C36621" s="36"/>
      <c r="E36621" s="1"/>
      <c r="F36621" s="1"/>
      <c r="G36621" s="1"/>
    </row>
    <row r="36622">
      <c r="B36622" s="36"/>
      <c r="C36622" s="36"/>
      <c r="E36622" s="1"/>
      <c r="F36622" s="1"/>
      <c r="G36622" s="1"/>
    </row>
    <row r="36623">
      <c r="B36623" s="36"/>
      <c r="C36623" s="36"/>
      <c r="E36623" s="1"/>
      <c r="F36623" s="1"/>
      <c r="G36623" s="1"/>
    </row>
    <row r="36624">
      <c r="B36624" s="36"/>
      <c r="C36624" s="36"/>
      <c r="E36624" s="1"/>
      <c r="F36624" s="1"/>
      <c r="G36624" s="1"/>
    </row>
    <row r="36625">
      <c r="B36625" s="36"/>
      <c r="C36625" s="36"/>
      <c r="E36625" s="1"/>
      <c r="F36625" s="1"/>
      <c r="G36625" s="1"/>
    </row>
    <row r="36626">
      <c r="B36626" s="36"/>
      <c r="C36626" s="36"/>
      <c r="E36626" s="1"/>
      <c r="F36626" s="1"/>
      <c r="G36626" s="1"/>
    </row>
    <row r="36627">
      <c r="B36627" s="36"/>
      <c r="C36627" s="36"/>
      <c r="E36627" s="1"/>
      <c r="F36627" s="1"/>
      <c r="G36627" s="1"/>
    </row>
    <row r="36628">
      <c r="B36628" s="36"/>
      <c r="C36628" s="36"/>
      <c r="E36628" s="1"/>
      <c r="F36628" s="1"/>
      <c r="G36628" s="1"/>
    </row>
    <row r="36629">
      <c r="B36629" s="36"/>
      <c r="C36629" s="36"/>
      <c r="E36629" s="1"/>
      <c r="F36629" s="1"/>
      <c r="G36629" s="1"/>
    </row>
    <row r="36630">
      <c r="B36630" s="36"/>
      <c r="C36630" s="36"/>
      <c r="E36630" s="1"/>
      <c r="F36630" s="1"/>
      <c r="G36630" s="1"/>
    </row>
    <row r="36631">
      <c r="B36631" s="36"/>
      <c r="C36631" s="36"/>
      <c r="E36631" s="1"/>
      <c r="F36631" s="1"/>
      <c r="G36631" s="1"/>
    </row>
    <row r="36632">
      <c r="B36632" s="36"/>
      <c r="C36632" s="36"/>
      <c r="E36632" s="1"/>
      <c r="F36632" s="1"/>
      <c r="G36632" s="1"/>
    </row>
    <row r="36633">
      <c r="B36633" s="36"/>
      <c r="C36633" s="36"/>
      <c r="E36633" s="1"/>
      <c r="F36633" s="1"/>
      <c r="G36633" s="1"/>
    </row>
    <row r="36634">
      <c r="B36634" s="36"/>
      <c r="C36634" s="36"/>
      <c r="E36634" s="1"/>
      <c r="F36634" s="1"/>
      <c r="G36634" s="1"/>
    </row>
    <row r="36635">
      <c r="B36635" s="36"/>
      <c r="C36635" s="36"/>
      <c r="E36635" s="1"/>
      <c r="F36635" s="1"/>
      <c r="G36635" s="1"/>
    </row>
    <row r="36636">
      <c r="B36636" s="36"/>
      <c r="C36636" s="36"/>
      <c r="E36636" s="1"/>
      <c r="F36636" s="1"/>
      <c r="G36636" s="1"/>
    </row>
    <row r="36637">
      <c r="B36637" s="36"/>
      <c r="C36637" s="36"/>
      <c r="E36637" s="1"/>
      <c r="F36637" s="1"/>
      <c r="G36637" s="1"/>
    </row>
    <row r="36638">
      <c r="B36638" s="36"/>
      <c r="C36638" s="36"/>
      <c r="E36638" s="1"/>
      <c r="F36638" s="1"/>
      <c r="G36638" s="1"/>
    </row>
    <row r="36639">
      <c r="B36639" s="36"/>
      <c r="C36639" s="36"/>
      <c r="E36639" s="1"/>
      <c r="F36639" s="1"/>
      <c r="G36639" s="1"/>
    </row>
    <row r="36640">
      <c r="B36640" s="36"/>
      <c r="C36640" s="36"/>
      <c r="E36640" s="1"/>
      <c r="F36640" s="1"/>
      <c r="G36640" s="1"/>
    </row>
    <row r="36641">
      <c r="B36641" s="36"/>
      <c r="C36641" s="36"/>
      <c r="E36641" s="1"/>
      <c r="F36641" s="1"/>
      <c r="G36641" s="1"/>
    </row>
    <row r="36642">
      <c r="B36642" s="36"/>
      <c r="C36642" s="36"/>
      <c r="E36642" s="1"/>
      <c r="F36642" s="1"/>
      <c r="G36642" s="1"/>
    </row>
    <row r="36643">
      <c r="B36643" s="36"/>
      <c r="C36643" s="36"/>
      <c r="E36643" s="1"/>
      <c r="F36643" s="1"/>
      <c r="G36643" s="1"/>
    </row>
    <row r="36644">
      <c r="B36644" s="36"/>
      <c r="C36644" s="36"/>
      <c r="E36644" s="1"/>
      <c r="F36644" s="1"/>
      <c r="G36644" s="1"/>
    </row>
    <row r="36645">
      <c r="B36645" s="36"/>
      <c r="C36645" s="36"/>
      <c r="E36645" s="1"/>
      <c r="F36645" s="1"/>
      <c r="G36645" s="1"/>
    </row>
    <row r="36646">
      <c r="B36646" s="36"/>
      <c r="C36646" s="36"/>
      <c r="E36646" s="1"/>
      <c r="F36646" s="1"/>
      <c r="G36646" s="1"/>
    </row>
    <row r="36647">
      <c r="B36647" s="36"/>
      <c r="C36647" s="36"/>
      <c r="E36647" s="1"/>
      <c r="F36647" s="1"/>
      <c r="G36647" s="1"/>
    </row>
    <row r="36648">
      <c r="B36648" s="36"/>
      <c r="C36648" s="36"/>
      <c r="E36648" s="1"/>
      <c r="F36648" s="1"/>
      <c r="G36648" s="1"/>
    </row>
    <row r="36649">
      <c r="B36649" s="36"/>
      <c r="C36649" s="36"/>
      <c r="E36649" s="1"/>
      <c r="F36649" s="1"/>
      <c r="G36649" s="1"/>
    </row>
    <row r="36650">
      <c r="B36650" s="36"/>
      <c r="C36650" s="36"/>
      <c r="E36650" s="1"/>
      <c r="F36650" s="1"/>
      <c r="G36650" s="1"/>
    </row>
    <row r="36651">
      <c r="B36651" s="36"/>
      <c r="C36651" s="36"/>
      <c r="E36651" s="1"/>
      <c r="F36651" s="1"/>
      <c r="G36651" s="1"/>
    </row>
    <row r="36652">
      <c r="B36652" s="36"/>
      <c r="C36652" s="36"/>
      <c r="E36652" s="1"/>
      <c r="F36652" s="1"/>
      <c r="G36652" s="1"/>
    </row>
    <row r="36653">
      <c r="B36653" s="36"/>
      <c r="C36653" s="36"/>
      <c r="E36653" s="1"/>
      <c r="F36653" s="1"/>
      <c r="G36653" s="1"/>
    </row>
    <row r="36654">
      <c r="B36654" s="36"/>
      <c r="C36654" s="36"/>
      <c r="E36654" s="1"/>
      <c r="F36654" s="1"/>
      <c r="G36654" s="1"/>
    </row>
    <row r="36655">
      <c r="B36655" s="36"/>
      <c r="C36655" s="36"/>
      <c r="E36655" s="1"/>
      <c r="F36655" s="1"/>
      <c r="G36655" s="1"/>
    </row>
    <row r="36656">
      <c r="B36656" s="36"/>
      <c r="C36656" s="36"/>
      <c r="E36656" s="1"/>
      <c r="F36656" s="1"/>
      <c r="G36656" s="1"/>
    </row>
    <row r="36657">
      <c r="B36657" s="36"/>
      <c r="C36657" s="36"/>
      <c r="E36657" s="1"/>
      <c r="F36657" s="1"/>
      <c r="G36657" s="1"/>
    </row>
    <row r="36658">
      <c r="B36658" s="36"/>
      <c r="C36658" s="36"/>
      <c r="E36658" s="1"/>
      <c r="F36658" s="1"/>
      <c r="G36658" s="1"/>
    </row>
    <row r="36659">
      <c r="B36659" s="36"/>
      <c r="C36659" s="36"/>
      <c r="E36659" s="1"/>
      <c r="F36659" s="1"/>
      <c r="G36659" s="1"/>
    </row>
    <row r="36660">
      <c r="B36660" s="36"/>
      <c r="C36660" s="36"/>
      <c r="E36660" s="1"/>
      <c r="F36660" s="1"/>
      <c r="G36660" s="1"/>
    </row>
    <row r="36661">
      <c r="B36661" s="36"/>
      <c r="C36661" s="36"/>
      <c r="E36661" s="1"/>
      <c r="F36661" s="1"/>
      <c r="G36661" s="1"/>
    </row>
    <row r="36662">
      <c r="B36662" s="36"/>
      <c r="C36662" s="36"/>
      <c r="E36662" s="1"/>
      <c r="F36662" s="1"/>
      <c r="G36662" s="1"/>
    </row>
    <row r="36663">
      <c r="B36663" s="36"/>
      <c r="C36663" s="36"/>
      <c r="E36663" s="1"/>
      <c r="F36663" s="1"/>
      <c r="G36663" s="1"/>
    </row>
    <row r="36664">
      <c r="B36664" s="36"/>
      <c r="C36664" s="36"/>
      <c r="E36664" s="1"/>
      <c r="F36664" s="1"/>
      <c r="G36664" s="1"/>
    </row>
    <row r="36665">
      <c r="B36665" s="36"/>
      <c r="C36665" s="36"/>
      <c r="E36665" s="1"/>
      <c r="F36665" s="1"/>
      <c r="G36665" s="1"/>
    </row>
    <row r="36666">
      <c r="B36666" s="36"/>
      <c r="C36666" s="36"/>
      <c r="E36666" s="1"/>
      <c r="F36666" s="1"/>
      <c r="G36666" s="1"/>
    </row>
    <row r="36667">
      <c r="B36667" s="36"/>
      <c r="C36667" s="36"/>
      <c r="E36667" s="1"/>
      <c r="F36667" s="1"/>
      <c r="G36667" s="1"/>
    </row>
    <row r="36668">
      <c r="B36668" s="36"/>
      <c r="C36668" s="36"/>
      <c r="E36668" s="1"/>
      <c r="F36668" s="1"/>
      <c r="G36668" s="1"/>
    </row>
    <row r="36669">
      <c r="B36669" s="36"/>
      <c r="C36669" s="36"/>
      <c r="E36669" s="1"/>
      <c r="F36669" s="1"/>
      <c r="G36669" s="1"/>
    </row>
    <row r="36670">
      <c r="B36670" s="36"/>
      <c r="C36670" s="36"/>
      <c r="E36670" s="1"/>
      <c r="F36670" s="1"/>
      <c r="G36670" s="1"/>
    </row>
    <row r="36671">
      <c r="B36671" s="36"/>
      <c r="C36671" s="36"/>
      <c r="E36671" s="1"/>
      <c r="F36671" s="1"/>
      <c r="G36671" s="1"/>
    </row>
    <row r="36672">
      <c r="B36672" s="36"/>
      <c r="C36672" s="36"/>
      <c r="E36672" s="1"/>
      <c r="F36672" s="1"/>
      <c r="G36672" s="1"/>
    </row>
    <row r="36673">
      <c r="B36673" s="36"/>
      <c r="C36673" s="36"/>
      <c r="E36673" s="1"/>
      <c r="F36673" s="1"/>
      <c r="G36673" s="1"/>
    </row>
    <row r="36674">
      <c r="B36674" s="36"/>
      <c r="C36674" s="36"/>
      <c r="E36674" s="1"/>
      <c r="F36674" s="1"/>
      <c r="G36674" s="1"/>
    </row>
    <row r="36675">
      <c r="B36675" s="36"/>
      <c r="C36675" s="36"/>
      <c r="E36675" s="1"/>
      <c r="F36675" s="1"/>
      <c r="G36675" s="1"/>
    </row>
    <row r="36676">
      <c r="B36676" s="36"/>
      <c r="C36676" s="36"/>
      <c r="E36676" s="1"/>
      <c r="F36676" s="1"/>
      <c r="G36676" s="1"/>
    </row>
    <row r="36677">
      <c r="B36677" s="36"/>
      <c r="C36677" s="36"/>
      <c r="E36677" s="1"/>
      <c r="F36677" s="1"/>
      <c r="G36677" s="1"/>
    </row>
    <row r="36678">
      <c r="B36678" s="36"/>
      <c r="C36678" s="36"/>
      <c r="E36678" s="1"/>
      <c r="F36678" s="1"/>
      <c r="G36678" s="1"/>
    </row>
    <row r="36679">
      <c r="B36679" s="36"/>
      <c r="C36679" s="36"/>
      <c r="E36679" s="1"/>
      <c r="F36679" s="1"/>
      <c r="G36679" s="1"/>
    </row>
    <row r="36680">
      <c r="B36680" s="36"/>
      <c r="C36680" s="36"/>
      <c r="E36680" s="1"/>
      <c r="F36680" s="1"/>
      <c r="G36680" s="1"/>
    </row>
    <row r="36681">
      <c r="B36681" s="36"/>
      <c r="C36681" s="36"/>
      <c r="E36681" s="1"/>
      <c r="F36681" s="1"/>
      <c r="G36681" s="1"/>
    </row>
    <row r="36682">
      <c r="B36682" s="36"/>
      <c r="C36682" s="36"/>
      <c r="E36682" s="1"/>
      <c r="F36682" s="1"/>
      <c r="G36682" s="1"/>
    </row>
    <row r="36683">
      <c r="B36683" s="36"/>
      <c r="C36683" s="36"/>
      <c r="E36683" s="1"/>
      <c r="F36683" s="1"/>
      <c r="G36683" s="1"/>
    </row>
    <row r="36684">
      <c r="B36684" s="36"/>
      <c r="C36684" s="36"/>
      <c r="E36684" s="1"/>
      <c r="F36684" s="1"/>
      <c r="G36684" s="1"/>
    </row>
    <row r="36685">
      <c r="B36685" s="36"/>
      <c r="C36685" s="36"/>
      <c r="E36685" s="1"/>
      <c r="F36685" s="1"/>
      <c r="G36685" s="1"/>
    </row>
    <row r="36686">
      <c r="B36686" s="36"/>
      <c r="C36686" s="36"/>
      <c r="E36686" s="1"/>
      <c r="F36686" s="1"/>
      <c r="G36686" s="1"/>
    </row>
    <row r="36687">
      <c r="B36687" s="36"/>
      <c r="C36687" s="36"/>
      <c r="E36687" s="1"/>
      <c r="F36687" s="1"/>
      <c r="G36687" s="1"/>
    </row>
    <row r="36688">
      <c r="B36688" s="36"/>
      <c r="C36688" s="36"/>
      <c r="E36688" s="1"/>
      <c r="F36688" s="1"/>
      <c r="G36688" s="1"/>
    </row>
    <row r="36689">
      <c r="B36689" s="36"/>
      <c r="C36689" s="36"/>
      <c r="E36689" s="1"/>
      <c r="F36689" s="1"/>
      <c r="G36689" s="1"/>
    </row>
    <row r="36690">
      <c r="B36690" s="36"/>
      <c r="C36690" s="36"/>
      <c r="E36690" s="1"/>
      <c r="F36690" s="1"/>
      <c r="G36690" s="1"/>
    </row>
    <row r="36691">
      <c r="B36691" s="36"/>
      <c r="C36691" s="36"/>
      <c r="E36691" s="1"/>
      <c r="F36691" s="1"/>
      <c r="G36691" s="1"/>
    </row>
    <row r="36692">
      <c r="B36692" s="36"/>
      <c r="C36692" s="36"/>
      <c r="E36692" s="1"/>
      <c r="F36692" s="1"/>
      <c r="G36692" s="1"/>
    </row>
    <row r="36693">
      <c r="B36693" s="36"/>
      <c r="C36693" s="36"/>
      <c r="E36693" s="1"/>
      <c r="F36693" s="1"/>
      <c r="G36693" s="1"/>
    </row>
    <row r="36694">
      <c r="B36694" s="36"/>
      <c r="C36694" s="36"/>
      <c r="E36694" s="1"/>
      <c r="F36694" s="1"/>
      <c r="G36694" s="1"/>
    </row>
    <row r="36695">
      <c r="B36695" s="36"/>
      <c r="C36695" s="36"/>
      <c r="E36695" s="1"/>
      <c r="F36695" s="1"/>
      <c r="G36695" s="1"/>
    </row>
    <row r="36696">
      <c r="B36696" s="36"/>
      <c r="C36696" s="36"/>
      <c r="E36696" s="1"/>
      <c r="F36696" s="1"/>
      <c r="G36696" s="1"/>
    </row>
    <row r="36697">
      <c r="B36697" s="36"/>
      <c r="C36697" s="36"/>
      <c r="E36697" s="1"/>
      <c r="F36697" s="1"/>
      <c r="G36697" s="1"/>
    </row>
    <row r="36698">
      <c r="B36698" s="36"/>
      <c r="C36698" s="36"/>
      <c r="E36698" s="1"/>
      <c r="F36698" s="1"/>
      <c r="G36698" s="1"/>
    </row>
    <row r="36699">
      <c r="B36699" s="36"/>
      <c r="C36699" s="36"/>
      <c r="E36699" s="1"/>
      <c r="F36699" s="1"/>
      <c r="G36699" s="1"/>
    </row>
    <row r="36700">
      <c r="B36700" s="36"/>
      <c r="C36700" s="36"/>
      <c r="E36700" s="1"/>
      <c r="F36700" s="1"/>
      <c r="G36700" s="1"/>
    </row>
    <row r="36701">
      <c r="B36701" s="36"/>
      <c r="C36701" s="36"/>
      <c r="E36701" s="1"/>
      <c r="F36701" s="1"/>
      <c r="G36701" s="1"/>
    </row>
    <row r="36702">
      <c r="B36702" s="36"/>
      <c r="C36702" s="36"/>
      <c r="E36702" s="1"/>
      <c r="F36702" s="1"/>
      <c r="G36702" s="1"/>
    </row>
    <row r="36703">
      <c r="B36703" s="36"/>
      <c r="C36703" s="36"/>
      <c r="E36703" s="1"/>
      <c r="F36703" s="1"/>
      <c r="G36703" s="1"/>
    </row>
    <row r="36704">
      <c r="B36704" s="36"/>
      <c r="C36704" s="36"/>
      <c r="E36704" s="1"/>
      <c r="F36704" s="1"/>
      <c r="G36704" s="1"/>
    </row>
    <row r="36705">
      <c r="B36705" s="36"/>
      <c r="C36705" s="36"/>
      <c r="E36705" s="1"/>
      <c r="F36705" s="1"/>
      <c r="G36705" s="1"/>
    </row>
    <row r="36706">
      <c r="B36706" s="36"/>
      <c r="C36706" s="36"/>
      <c r="E36706" s="1"/>
      <c r="F36706" s="1"/>
      <c r="G36706" s="1"/>
    </row>
    <row r="36707">
      <c r="B36707" s="36"/>
      <c r="C36707" s="36"/>
      <c r="E36707" s="1"/>
      <c r="F36707" s="1"/>
      <c r="G36707" s="1"/>
    </row>
    <row r="36708">
      <c r="B36708" s="36"/>
      <c r="C36708" s="36"/>
      <c r="E36708" s="1"/>
      <c r="F36708" s="1"/>
      <c r="G36708" s="1"/>
    </row>
    <row r="36709">
      <c r="B36709" s="36"/>
      <c r="C36709" s="36"/>
      <c r="E36709" s="1"/>
      <c r="F36709" s="1"/>
      <c r="G36709" s="1"/>
    </row>
    <row r="36710">
      <c r="B36710" s="36"/>
      <c r="C36710" s="36"/>
      <c r="E36710" s="1"/>
      <c r="F36710" s="1"/>
      <c r="G36710" s="1"/>
    </row>
    <row r="36711">
      <c r="B36711" s="36"/>
      <c r="C36711" s="36"/>
      <c r="E36711" s="1"/>
      <c r="F36711" s="1"/>
      <c r="G36711" s="1"/>
    </row>
    <row r="36712">
      <c r="B36712" s="36"/>
      <c r="C36712" s="36"/>
      <c r="E36712" s="1"/>
      <c r="F36712" s="1"/>
      <c r="G36712" s="1"/>
    </row>
    <row r="36713">
      <c r="B36713" s="36"/>
      <c r="C36713" s="36"/>
      <c r="E36713" s="1"/>
      <c r="F36713" s="1"/>
      <c r="G36713" s="1"/>
    </row>
    <row r="36714">
      <c r="B36714" s="36"/>
      <c r="C36714" s="36"/>
      <c r="E36714" s="1"/>
      <c r="F36714" s="1"/>
      <c r="G36714" s="1"/>
    </row>
    <row r="36715">
      <c r="B36715" s="36"/>
      <c r="C36715" s="36"/>
      <c r="E36715" s="1"/>
      <c r="F36715" s="1"/>
      <c r="G36715" s="1"/>
    </row>
    <row r="36716">
      <c r="B36716" s="36"/>
      <c r="C36716" s="36"/>
      <c r="E36716" s="1"/>
      <c r="F36716" s="1"/>
      <c r="G36716" s="1"/>
    </row>
    <row r="36717">
      <c r="B36717" s="36"/>
      <c r="C36717" s="36"/>
      <c r="E36717" s="1"/>
      <c r="F36717" s="1"/>
      <c r="G36717" s="1"/>
    </row>
    <row r="36718">
      <c r="B36718" s="36"/>
      <c r="C36718" s="36"/>
      <c r="E36718" s="1"/>
      <c r="F36718" s="1"/>
      <c r="G36718" s="1"/>
    </row>
    <row r="36719">
      <c r="B36719" s="36"/>
      <c r="C36719" s="36"/>
      <c r="E36719" s="1"/>
      <c r="F36719" s="1"/>
      <c r="G36719" s="1"/>
    </row>
    <row r="36720">
      <c r="B36720" s="36"/>
      <c r="C36720" s="36"/>
      <c r="E36720" s="1"/>
      <c r="F36720" s="1"/>
      <c r="G36720" s="1"/>
    </row>
    <row r="36721">
      <c r="B36721" s="36"/>
      <c r="C36721" s="36"/>
      <c r="E36721" s="1"/>
      <c r="F36721" s="1"/>
      <c r="G36721" s="1"/>
    </row>
    <row r="36722">
      <c r="B36722" s="36"/>
      <c r="C36722" s="36"/>
      <c r="E36722" s="1"/>
      <c r="F36722" s="1"/>
      <c r="G36722" s="1"/>
    </row>
    <row r="36723">
      <c r="B36723" s="36"/>
      <c r="C36723" s="36"/>
      <c r="E36723" s="1"/>
      <c r="F36723" s="1"/>
      <c r="G36723" s="1"/>
    </row>
    <row r="36724">
      <c r="B36724" s="36"/>
      <c r="C36724" s="36"/>
      <c r="E36724" s="1"/>
      <c r="F36724" s="1"/>
      <c r="G36724" s="1"/>
    </row>
    <row r="36725">
      <c r="B36725" s="36"/>
      <c r="C36725" s="36"/>
      <c r="E36725" s="1"/>
      <c r="F36725" s="1"/>
      <c r="G36725" s="1"/>
    </row>
    <row r="36726">
      <c r="B36726" s="36"/>
      <c r="C36726" s="36"/>
      <c r="E36726" s="1"/>
      <c r="F36726" s="1"/>
      <c r="G36726" s="1"/>
    </row>
    <row r="36727">
      <c r="B36727" s="36"/>
      <c r="C36727" s="36"/>
      <c r="E36727" s="1"/>
      <c r="F36727" s="1"/>
      <c r="G36727" s="1"/>
    </row>
    <row r="36728">
      <c r="B36728" s="36"/>
      <c r="C36728" s="36"/>
      <c r="E36728" s="1"/>
      <c r="F36728" s="1"/>
      <c r="G36728" s="1"/>
    </row>
    <row r="36729">
      <c r="B36729" s="36"/>
      <c r="C36729" s="36"/>
      <c r="E36729" s="1"/>
      <c r="F36729" s="1"/>
      <c r="G36729" s="1"/>
    </row>
    <row r="36730">
      <c r="B36730" s="36"/>
      <c r="C36730" s="36"/>
      <c r="E36730" s="1"/>
      <c r="F36730" s="1"/>
      <c r="G36730" s="1"/>
    </row>
    <row r="36731">
      <c r="B36731" s="36"/>
      <c r="C36731" s="36"/>
      <c r="E36731" s="1"/>
      <c r="F36731" s="1"/>
      <c r="G36731" s="1"/>
    </row>
    <row r="36732">
      <c r="B36732" s="36"/>
      <c r="C36732" s="36"/>
      <c r="E36732" s="1"/>
      <c r="F36732" s="1"/>
      <c r="G36732" s="1"/>
    </row>
    <row r="36733">
      <c r="B36733" s="36"/>
      <c r="C36733" s="36"/>
      <c r="E36733" s="1"/>
      <c r="F36733" s="1"/>
      <c r="G36733" s="1"/>
    </row>
    <row r="36734">
      <c r="B36734" s="36"/>
      <c r="C36734" s="36"/>
      <c r="E36734" s="1"/>
      <c r="F36734" s="1"/>
      <c r="G36734" s="1"/>
    </row>
    <row r="36735">
      <c r="B36735" s="36"/>
      <c r="C36735" s="36"/>
      <c r="E36735" s="1"/>
      <c r="F36735" s="1"/>
      <c r="G36735" s="1"/>
    </row>
    <row r="36736">
      <c r="B36736" s="36"/>
      <c r="C36736" s="36"/>
      <c r="E36736" s="1"/>
      <c r="F36736" s="1"/>
      <c r="G36736" s="1"/>
    </row>
    <row r="36737">
      <c r="B36737" s="36"/>
      <c r="C36737" s="36"/>
      <c r="E36737" s="1"/>
      <c r="F36737" s="1"/>
      <c r="G36737" s="1"/>
    </row>
    <row r="36738">
      <c r="B36738" s="36"/>
      <c r="C36738" s="36"/>
      <c r="E36738" s="1"/>
      <c r="F36738" s="1"/>
      <c r="G36738" s="1"/>
    </row>
    <row r="36739">
      <c r="B36739" s="36"/>
      <c r="C36739" s="36"/>
      <c r="E36739" s="1"/>
      <c r="F36739" s="1"/>
      <c r="G36739" s="1"/>
    </row>
    <row r="36740">
      <c r="B36740" s="36"/>
      <c r="C36740" s="36"/>
      <c r="E36740" s="1"/>
      <c r="F36740" s="1"/>
      <c r="G36740" s="1"/>
    </row>
    <row r="36741">
      <c r="B36741" s="36"/>
      <c r="C36741" s="36"/>
      <c r="E36741" s="1"/>
      <c r="F36741" s="1"/>
      <c r="G36741" s="1"/>
    </row>
    <row r="36742">
      <c r="B36742" s="36"/>
      <c r="C36742" s="36"/>
      <c r="E36742" s="1"/>
      <c r="F36742" s="1"/>
      <c r="G36742" s="1"/>
    </row>
    <row r="36743">
      <c r="B36743" s="36"/>
      <c r="C36743" s="36"/>
      <c r="E36743" s="1"/>
      <c r="F36743" s="1"/>
      <c r="G36743" s="1"/>
    </row>
    <row r="36744">
      <c r="B36744" s="36"/>
      <c r="C36744" s="36"/>
      <c r="E36744" s="1"/>
      <c r="F36744" s="1"/>
      <c r="G36744" s="1"/>
    </row>
    <row r="36745">
      <c r="B36745" s="36"/>
      <c r="C36745" s="36"/>
      <c r="E36745" s="1"/>
      <c r="F36745" s="1"/>
      <c r="G36745" s="1"/>
    </row>
    <row r="36746">
      <c r="B36746" s="36"/>
      <c r="C36746" s="36"/>
      <c r="E36746" s="1"/>
      <c r="F36746" s="1"/>
      <c r="G36746" s="1"/>
    </row>
    <row r="36747">
      <c r="B36747" s="36"/>
      <c r="C36747" s="36"/>
      <c r="E36747" s="1"/>
      <c r="F36747" s="1"/>
      <c r="G36747" s="1"/>
    </row>
    <row r="36748">
      <c r="B36748" s="36"/>
      <c r="C36748" s="36"/>
      <c r="E36748" s="1"/>
      <c r="F36748" s="1"/>
      <c r="G36748" s="1"/>
    </row>
    <row r="36749">
      <c r="B36749" s="36"/>
      <c r="C36749" s="36"/>
      <c r="E36749" s="1"/>
      <c r="F36749" s="1"/>
      <c r="G36749" s="1"/>
    </row>
    <row r="36750">
      <c r="B36750" s="36"/>
      <c r="C36750" s="36"/>
      <c r="E36750" s="1"/>
      <c r="F36750" s="1"/>
      <c r="G36750" s="1"/>
    </row>
    <row r="36751">
      <c r="B36751" s="36"/>
      <c r="C36751" s="36"/>
      <c r="E36751" s="1"/>
      <c r="F36751" s="1"/>
      <c r="G36751" s="1"/>
    </row>
    <row r="36752">
      <c r="B36752" s="36"/>
      <c r="C36752" s="36"/>
      <c r="E36752" s="1"/>
      <c r="F36752" s="1"/>
      <c r="G36752" s="1"/>
    </row>
    <row r="36753">
      <c r="B36753" s="36"/>
      <c r="C36753" s="36"/>
      <c r="E36753" s="1"/>
      <c r="F36753" s="1"/>
      <c r="G36753" s="1"/>
    </row>
    <row r="36754">
      <c r="B36754" s="36"/>
      <c r="C36754" s="36"/>
      <c r="E36754" s="1"/>
      <c r="F36754" s="1"/>
      <c r="G36754" s="1"/>
    </row>
    <row r="36755">
      <c r="B36755" s="36"/>
      <c r="C36755" s="36"/>
      <c r="E36755" s="1"/>
      <c r="F36755" s="1"/>
      <c r="G36755" s="1"/>
    </row>
    <row r="36756">
      <c r="B36756" s="36"/>
      <c r="C36756" s="36"/>
      <c r="E36756" s="1"/>
      <c r="F36756" s="1"/>
      <c r="G36756" s="1"/>
    </row>
    <row r="36757">
      <c r="B36757" s="36"/>
      <c r="C36757" s="36"/>
      <c r="E36757" s="1"/>
      <c r="F36757" s="1"/>
      <c r="G36757" s="1"/>
    </row>
    <row r="36758">
      <c r="B36758" s="36"/>
      <c r="C36758" s="36"/>
      <c r="E36758" s="1"/>
      <c r="F36758" s="1"/>
      <c r="G36758" s="1"/>
    </row>
    <row r="36759">
      <c r="B36759" s="36"/>
      <c r="C36759" s="36"/>
      <c r="E36759" s="1"/>
      <c r="F36759" s="1"/>
      <c r="G36759" s="1"/>
    </row>
    <row r="36760">
      <c r="B36760" s="36"/>
      <c r="C36760" s="36"/>
      <c r="E36760" s="1"/>
      <c r="F36760" s="1"/>
      <c r="G36760" s="1"/>
    </row>
    <row r="36761">
      <c r="B36761" s="36"/>
      <c r="C36761" s="36"/>
      <c r="E36761" s="1"/>
      <c r="F36761" s="1"/>
      <c r="G36761" s="1"/>
    </row>
    <row r="36762">
      <c r="B36762" s="36"/>
      <c r="C36762" s="36"/>
      <c r="E36762" s="1"/>
      <c r="F36762" s="1"/>
      <c r="G36762" s="1"/>
    </row>
    <row r="36763">
      <c r="B36763" s="36"/>
      <c r="C36763" s="36"/>
      <c r="E36763" s="1"/>
      <c r="F36763" s="1"/>
      <c r="G36763" s="1"/>
    </row>
    <row r="36764">
      <c r="B36764" s="36"/>
      <c r="C36764" s="36"/>
      <c r="E36764" s="1"/>
      <c r="F36764" s="1"/>
      <c r="G36764" s="1"/>
    </row>
    <row r="36765">
      <c r="B36765" s="36"/>
      <c r="C36765" s="36"/>
      <c r="E36765" s="1"/>
      <c r="F36765" s="1"/>
      <c r="G36765" s="1"/>
    </row>
    <row r="36766">
      <c r="B36766" s="36"/>
      <c r="C36766" s="36"/>
      <c r="E36766" s="1"/>
      <c r="F36766" s="1"/>
      <c r="G36766" s="1"/>
    </row>
    <row r="36767">
      <c r="B36767" s="36"/>
      <c r="C36767" s="36"/>
      <c r="E36767" s="1"/>
      <c r="F36767" s="1"/>
      <c r="G36767" s="1"/>
    </row>
    <row r="36768">
      <c r="B36768" s="36"/>
      <c r="C36768" s="36"/>
      <c r="E36768" s="1"/>
      <c r="F36768" s="1"/>
      <c r="G36768" s="1"/>
    </row>
    <row r="36769">
      <c r="B36769" s="36"/>
      <c r="C36769" s="36"/>
      <c r="E36769" s="1"/>
      <c r="F36769" s="1"/>
      <c r="G36769" s="1"/>
    </row>
    <row r="36770">
      <c r="B36770" s="36"/>
      <c r="C36770" s="36"/>
      <c r="E36770" s="1"/>
      <c r="F36770" s="1"/>
      <c r="G36770" s="1"/>
    </row>
    <row r="36771">
      <c r="B36771" s="36"/>
      <c r="C36771" s="36"/>
      <c r="E36771" s="1"/>
      <c r="F36771" s="1"/>
      <c r="G36771" s="1"/>
    </row>
    <row r="36772">
      <c r="B36772" s="36"/>
      <c r="C36772" s="36"/>
      <c r="E36772" s="1"/>
      <c r="F36772" s="1"/>
      <c r="G36772" s="1"/>
    </row>
    <row r="36773">
      <c r="B36773" s="36"/>
      <c r="C36773" s="36"/>
      <c r="E36773" s="1"/>
      <c r="F36773" s="1"/>
      <c r="G36773" s="1"/>
    </row>
    <row r="36774">
      <c r="B36774" s="36"/>
      <c r="C36774" s="36"/>
      <c r="E36774" s="1"/>
      <c r="F36774" s="1"/>
      <c r="G36774" s="1"/>
    </row>
    <row r="36775">
      <c r="B36775" s="36"/>
      <c r="C36775" s="36"/>
      <c r="E36775" s="1"/>
      <c r="F36775" s="1"/>
      <c r="G36775" s="1"/>
    </row>
    <row r="36776">
      <c r="B36776" s="36"/>
      <c r="C36776" s="36"/>
      <c r="E36776" s="1"/>
      <c r="F36776" s="1"/>
      <c r="G36776" s="1"/>
    </row>
    <row r="36777">
      <c r="B36777" s="36"/>
      <c r="C36777" s="36"/>
      <c r="E36777" s="1"/>
      <c r="F36777" s="1"/>
      <c r="G36777" s="1"/>
    </row>
    <row r="36778">
      <c r="B36778" s="36"/>
      <c r="C36778" s="36"/>
      <c r="E36778" s="1"/>
      <c r="F36778" s="1"/>
      <c r="G36778" s="1"/>
    </row>
    <row r="36779">
      <c r="B36779" s="36"/>
      <c r="C36779" s="36"/>
      <c r="E36779" s="1"/>
      <c r="F36779" s="1"/>
      <c r="G36779" s="1"/>
    </row>
    <row r="36780">
      <c r="B36780" s="36"/>
      <c r="C36780" s="36"/>
      <c r="E36780" s="1"/>
      <c r="F36780" s="1"/>
      <c r="G36780" s="1"/>
    </row>
    <row r="36781">
      <c r="B36781" s="36"/>
      <c r="C36781" s="36"/>
      <c r="E36781" s="1"/>
      <c r="F36781" s="1"/>
      <c r="G36781" s="1"/>
    </row>
    <row r="36782">
      <c r="B36782" s="36"/>
      <c r="C36782" s="36"/>
      <c r="E36782" s="1"/>
      <c r="F36782" s="1"/>
      <c r="G36782" s="1"/>
    </row>
    <row r="36783">
      <c r="B36783" s="36"/>
      <c r="C36783" s="36"/>
      <c r="E36783" s="1"/>
      <c r="F36783" s="1"/>
      <c r="G36783" s="1"/>
    </row>
    <row r="36784">
      <c r="B36784" s="36"/>
      <c r="C36784" s="36"/>
      <c r="E36784" s="1"/>
      <c r="F36784" s="1"/>
      <c r="G36784" s="1"/>
    </row>
    <row r="36785">
      <c r="B36785" s="36"/>
      <c r="C36785" s="36"/>
      <c r="E36785" s="1"/>
      <c r="F36785" s="1"/>
      <c r="G36785" s="1"/>
    </row>
    <row r="36786">
      <c r="B36786" s="36"/>
      <c r="C36786" s="36"/>
      <c r="E36786" s="1"/>
      <c r="F36786" s="1"/>
      <c r="G36786" s="1"/>
    </row>
    <row r="36787">
      <c r="B36787" s="36"/>
      <c r="C36787" s="36"/>
      <c r="E36787" s="1"/>
      <c r="F36787" s="1"/>
      <c r="G36787" s="1"/>
    </row>
    <row r="36788">
      <c r="B36788" s="36"/>
      <c r="C36788" s="36"/>
      <c r="E36788" s="1"/>
      <c r="F36788" s="1"/>
      <c r="G36788" s="1"/>
    </row>
    <row r="36789">
      <c r="B36789" s="36"/>
      <c r="C36789" s="36"/>
      <c r="E36789" s="1"/>
      <c r="F36789" s="1"/>
      <c r="G36789" s="1"/>
    </row>
    <row r="36790">
      <c r="B36790" s="36"/>
      <c r="C36790" s="36"/>
      <c r="E36790" s="1"/>
      <c r="F36790" s="1"/>
      <c r="G36790" s="1"/>
    </row>
    <row r="36791">
      <c r="B36791" s="36"/>
      <c r="C36791" s="36"/>
      <c r="E36791" s="1"/>
      <c r="F36791" s="1"/>
      <c r="G36791" s="1"/>
    </row>
    <row r="36792">
      <c r="B36792" s="36"/>
      <c r="C36792" s="36"/>
      <c r="E36792" s="1"/>
      <c r="F36792" s="1"/>
      <c r="G36792" s="1"/>
    </row>
    <row r="36793">
      <c r="B36793" s="36"/>
      <c r="C36793" s="36"/>
      <c r="E36793" s="1"/>
      <c r="F36793" s="1"/>
      <c r="G36793" s="1"/>
    </row>
    <row r="36794">
      <c r="B36794" s="36"/>
      <c r="C36794" s="36"/>
      <c r="E36794" s="1"/>
      <c r="F36794" s="1"/>
      <c r="G36794" s="1"/>
    </row>
    <row r="36795">
      <c r="B36795" s="36"/>
      <c r="C36795" s="36"/>
      <c r="E36795" s="1"/>
      <c r="F36795" s="1"/>
      <c r="G36795" s="1"/>
    </row>
    <row r="36796">
      <c r="B36796" s="36"/>
      <c r="C36796" s="36"/>
      <c r="E36796" s="1"/>
      <c r="F36796" s="1"/>
      <c r="G36796" s="1"/>
    </row>
    <row r="36797">
      <c r="B36797" s="36"/>
      <c r="C36797" s="36"/>
      <c r="E36797" s="1"/>
      <c r="F36797" s="1"/>
      <c r="G36797" s="1"/>
    </row>
    <row r="36798">
      <c r="B36798" s="36"/>
      <c r="C36798" s="36"/>
      <c r="E36798" s="1"/>
      <c r="F36798" s="1"/>
      <c r="G36798" s="1"/>
    </row>
    <row r="36799">
      <c r="B36799" s="36"/>
      <c r="C36799" s="36"/>
      <c r="E36799" s="1"/>
      <c r="F36799" s="1"/>
      <c r="G36799" s="1"/>
    </row>
    <row r="36800">
      <c r="B36800" s="36"/>
      <c r="C36800" s="36"/>
      <c r="E36800" s="1"/>
      <c r="F36800" s="1"/>
      <c r="G36800" s="1"/>
    </row>
    <row r="36801">
      <c r="B36801" s="36"/>
      <c r="C36801" s="36"/>
      <c r="E36801" s="1"/>
      <c r="F36801" s="1"/>
      <c r="G36801" s="1"/>
    </row>
    <row r="36802">
      <c r="B36802" s="36"/>
      <c r="C36802" s="36"/>
      <c r="E36802" s="1"/>
      <c r="F36802" s="1"/>
      <c r="G36802" s="1"/>
    </row>
    <row r="36803">
      <c r="B36803" s="36"/>
      <c r="C36803" s="36"/>
      <c r="E36803" s="1"/>
      <c r="F36803" s="1"/>
      <c r="G36803" s="1"/>
    </row>
    <row r="36804">
      <c r="B36804" s="36"/>
      <c r="C36804" s="36"/>
      <c r="E36804" s="1"/>
      <c r="F36804" s="1"/>
      <c r="G36804" s="1"/>
    </row>
    <row r="36805">
      <c r="B36805" s="36"/>
      <c r="C36805" s="36"/>
      <c r="E36805" s="1"/>
      <c r="F36805" s="1"/>
      <c r="G36805" s="1"/>
    </row>
    <row r="36806">
      <c r="B36806" s="36"/>
      <c r="C36806" s="36"/>
      <c r="E36806" s="1"/>
      <c r="F36806" s="1"/>
      <c r="G36806" s="1"/>
    </row>
    <row r="36807">
      <c r="B36807" s="36"/>
      <c r="C36807" s="36"/>
      <c r="E36807" s="1"/>
      <c r="F36807" s="1"/>
      <c r="G36807" s="1"/>
    </row>
    <row r="36808">
      <c r="B36808" s="36"/>
      <c r="C36808" s="36"/>
      <c r="E36808" s="1"/>
      <c r="F36808" s="1"/>
      <c r="G36808" s="1"/>
    </row>
    <row r="36809">
      <c r="B36809" s="36"/>
      <c r="C36809" s="36"/>
      <c r="E36809" s="1"/>
      <c r="F36809" s="1"/>
      <c r="G36809" s="1"/>
    </row>
    <row r="36810">
      <c r="B36810" s="36"/>
      <c r="C36810" s="36"/>
      <c r="E36810" s="1"/>
      <c r="F36810" s="1"/>
      <c r="G36810" s="1"/>
    </row>
    <row r="36811">
      <c r="B36811" s="36"/>
      <c r="C36811" s="36"/>
      <c r="E36811" s="1"/>
      <c r="F36811" s="1"/>
      <c r="G36811" s="1"/>
    </row>
    <row r="36812">
      <c r="B36812" s="36"/>
      <c r="C36812" s="36"/>
      <c r="E36812" s="1"/>
      <c r="F36812" s="1"/>
      <c r="G36812" s="1"/>
    </row>
    <row r="36813">
      <c r="B36813" s="36"/>
      <c r="C36813" s="36"/>
      <c r="E36813" s="1"/>
      <c r="F36813" s="1"/>
      <c r="G36813" s="1"/>
    </row>
    <row r="36814">
      <c r="B36814" s="36"/>
      <c r="C36814" s="36"/>
      <c r="E36814" s="1"/>
      <c r="F36814" s="1"/>
      <c r="G36814" s="1"/>
    </row>
    <row r="36815">
      <c r="B36815" s="36"/>
      <c r="C36815" s="36"/>
      <c r="E36815" s="1"/>
      <c r="F36815" s="1"/>
      <c r="G36815" s="1"/>
    </row>
    <row r="36816">
      <c r="B36816" s="36"/>
      <c r="C36816" s="36"/>
      <c r="E36816" s="1"/>
      <c r="F36816" s="1"/>
      <c r="G36816" s="1"/>
    </row>
    <row r="36817">
      <c r="B36817" s="36"/>
      <c r="C36817" s="36"/>
      <c r="E36817" s="1"/>
      <c r="F36817" s="1"/>
      <c r="G36817" s="1"/>
    </row>
    <row r="36818">
      <c r="B36818" s="36"/>
      <c r="C36818" s="36"/>
      <c r="E36818" s="1"/>
      <c r="F36818" s="1"/>
      <c r="G36818" s="1"/>
    </row>
    <row r="36819">
      <c r="B36819" s="36"/>
      <c r="C36819" s="36"/>
      <c r="E36819" s="1"/>
      <c r="F36819" s="1"/>
      <c r="G36819" s="1"/>
    </row>
    <row r="36820">
      <c r="B36820" s="36"/>
      <c r="C36820" s="36"/>
      <c r="E36820" s="1"/>
      <c r="F36820" s="1"/>
      <c r="G36820" s="1"/>
    </row>
    <row r="36821">
      <c r="B36821" s="36"/>
      <c r="C36821" s="36"/>
      <c r="E36821" s="1"/>
      <c r="F36821" s="1"/>
      <c r="G36821" s="1"/>
    </row>
    <row r="36822">
      <c r="B36822" s="36"/>
      <c r="C36822" s="36"/>
      <c r="E36822" s="1"/>
      <c r="F36822" s="1"/>
      <c r="G36822" s="1"/>
    </row>
    <row r="36823">
      <c r="B36823" s="36"/>
      <c r="C36823" s="36"/>
      <c r="E36823" s="1"/>
      <c r="F36823" s="1"/>
      <c r="G36823" s="1"/>
    </row>
    <row r="36824">
      <c r="B36824" s="36"/>
      <c r="C36824" s="36"/>
      <c r="E36824" s="1"/>
      <c r="F36824" s="1"/>
      <c r="G36824" s="1"/>
    </row>
    <row r="36825">
      <c r="B36825" s="36"/>
      <c r="C36825" s="36"/>
      <c r="E36825" s="1"/>
      <c r="F36825" s="1"/>
      <c r="G36825" s="1"/>
    </row>
    <row r="36826">
      <c r="B36826" s="36"/>
      <c r="C36826" s="36"/>
      <c r="E36826" s="1"/>
      <c r="F36826" s="1"/>
      <c r="G36826" s="1"/>
    </row>
    <row r="36827">
      <c r="B36827" s="36"/>
      <c r="C36827" s="36"/>
      <c r="E36827" s="1"/>
      <c r="F36827" s="1"/>
      <c r="G36827" s="1"/>
    </row>
    <row r="36828">
      <c r="B36828" s="36"/>
      <c r="C36828" s="36"/>
      <c r="E36828" s="1"/>
      <c r="F36828" s="1"/>
      <c r="G36828" s="1"/>
    </row>
    <row r="36829">
      <c r="B36829" s="36"/>
      <c r="C36829" s="36"/>
      <c r="E36829" s="1"/>
      <c r="F36829" s="1"/>
      <c r="G36829" s="1"/>
    </row>
    <row r="36830">
      <c r="B36830" s="36"/>
      <c r="C36830" s="36"/>
      <c r="E36830" s="1"/>
      <c r="F36830" s="1"/>
      <c r="G36830" s="1"/>
    </row>
    <row r="36831">
      <c r="B36831" s="36"/>
      <c r="C36831" s="36"/>
      <c r="E36831" s="1"/>
      <c r="F36831" s="1"/>
      <c r="G36831" s="1"/>
    </row>
    <row r="36832">
      <c r="B36832" s="36"/>
      <c r="C36832" s="36"/>
      <c r="E36832" s="1"/>
      <c r="F36832" s="1"/>
      <c r="G36832" s="1"/>
    </row>
    <row r="36833">
      <c r="B36833" s="36"/>
      <c r="C36833" s="36"/>
      <c r="E36833" s="1"/>
      <c r="F36833" s="1"/>
      <c r="G36833" s="1"/>
    </row>
    <row r="36834">
      <c r="B36834" s="36"/>
      <c r="C36834" s="36"/>
      <c r="E36834" s="1"/>
      <c r="F36834" s="1"/>
      <c r="G36834" s="1"/>
    </row>
    <row r="36835">
      <c r="B36835" s="36"/>
      <c r="C36835" s="36"/>
      <c r="E36835" s="1"/>
      <c r="F36835" s="1"/>
      <c r="G36835" s="1"/>
    </row>
    <row r="36836">
      <c r="B36836" s="36"/>
      <c r="C36836" s="36"/>
      <c r="E36836" s="1"/>
      <c r="F36836" s="1"/>
      <c r="G36836" s="1"/>
    </row>
    <row r="36837">
      <c r="B36837" s="36"/>
      <c r="C36837" s="36"/>
      <c r="E36837" s="1"/>
      <c r="F36837" s="1"/>
      <c r="G36837" s="1"/>
    </row>
    <row r="36838">
      <c r="B36838" s="36"/>
      <c r="C36838" s="36"/>
      <c r="E36838" s="1"/>
      <c r="F36838" s="1"/>
      <c r="G36838" s="1"/>
    </row>
    <row r="36839">
      <c r="B36839" s="36"/>
      <c r="C36839" s="36"/>
      <c r="E36839" s="1"/>
      <c r="F36839" s="1"/>
      <c r="G36839" s="1"/>
    </row>
    <row r="36840">
      <c r="B36840" s="36"/>
      <c r="C36840" s="36"/>
      <c r="E36840" s="1"/>
      <c r="F36840" s="1"/>
      <c r="G36840" s="1"/>
    </row>
    <row r="36841">
      <c r="B36841" s="36"/>
      <c r="C36841" s="36"/>
      <c r="E36841" s="1"/>
      <c r="F36841" s="1"/>
      <c r="G36841" s="1"/>
    </row>
    <row r="36842">
      <c r="B36842" s="36"/>
      <c r="C36842" s="36"/>
      <c r="E36842" s="1"/>
      <c r="F36842" s="1"/>
      <c r="G36842" s="1"/>
    </row>
    <row r="36843">
      <c r="B36843" s="36"/>
      <c r="C36843" s="36"/>
      <c r="E36843" s="1"/>
      <c r="F36843" s="1"/>
      <c r="G36843" s="1"/>
    </row>
    <row r="36844">
      <c r="B36844" s="36"/>
      <c r="C36844" s="36"/>
      <c r="E36844" s="1"/>
      <c r="F36844" s="1"/>
      <c r="G36844" s="1"/>
    </row>
    <row r="36845">
      <c r="B36845" s="36"/>
      <c r="C36845" s="36"/>
      <c r="E36845" s="1"/>
      <c r="F36845" s="1"/>
      <c r="G36845" s="1"/>
    </row>
    <row r="36846">
      <c r="B36846" s="36"/>
      <c r="C36846" s="36"/>
      <c r="E36846" s="1"/>
      <c r="F36846" s="1"/>
      <c r="G36846" s="1"/>
    </row>
    <row r="36847">
      <c r="B36847" s="36"/>
      <c r="C36847" s="36"/>
      <c r="E36847" s="1"/>
      <c r="F36847" s="1"/>
      <c r="G36847" s="1"/>
    </row>
    <row r="36848">
      <c r="B36848" s="36"/>
      <c r="C36848" s="36"/>
      <c r="E36848" s="1"/>
      <c r="F36848" s="1"/>
      <c r="G36848" s="1"/>
    </row>
    <row r="36849">
      <c r="B36849" s="36"/>
      <c r="C36849" s="36"/>
      <c r="E36849" s="1"/>
      <c r="F36849" s="1"/>
      <c r="G36849" s="1"/>
    </row>
    <row r="36850">
      <c r="B36850" s="36"/>
      <c r="C36850" s="36"/>
      <c r="E36850" s="1"/>
      <c r="F36850" s="1"/>
      <c r="G36850" s="1"/>
    </row>
    <row r="36851">
      <c r="B36851" s="36"/>
      <c r="C36851" s="36"/>
      <c r="E36851" s="1"/>
      <c r="F36851" s="1"/>
      <c r="G36851" s="1"/>
    </row>
    <row r="36852">
      <c r="B36852" s="36"/>
      <c r="C36852" s="36"/>
      <c r="E36852" s="1"/>
      <c r="F36852" s="1"/>
      <c r="G36852" s="1"/>
    </row>
    <row r="36853">
      <c r="B36853" s="36"/>
      <c r="C36853" s="36"/>
      <c r="E36853" s="1"/>
      <c r="F36853" s="1"/>
      <c r="G36853" s="1"/>
    </row>
    <row r="36854">
      <c r="B36854" s="36"/>
      <c r="C36854" s="36"/>
      <c r="E36854" s="1"/>
      <c r="F36854" s="1"/>
      <c r="G36854" s="1"/>
    </row>
    <row r="36855">
      <c r="B36855" s="36"/>
      <c r="C36855" s="36"/>
      <c r="E36855" s="1"/>
      <c r="F36855" s="1"/>
      <c r="G36855" s="1"/>
    </row>
    <row r="36856">
      <c r="B36856" s="36"/>
      <c r="C36856" s="36"/>
      <c r="E36856" s="1"/>
      <c r="F36856" s="1"/>
      <c r="G36856" s="1"/>
    </row>
    <row r="36857">
      <c r="B36857" s="36"/>
      <c r="C36857" s="36"/>
      <c r="E36857" s="1"/>
      <c r="F36857" s="1"/>
      <c r="G36857" s="1"/>
    </row>
    <row r="36858">
      <c r="B36858" s="36"/>
      <c r="C36858" s="36"/>
      <c r="E36858" s="1"/>
      <c r="F36858" s="1"/>
      <c r="G36858" s="1"/>
    </row>
    <row r="36859">
      <c r="B36859" s="36"/>
      <c r="C36859" s="36"/>
      <c r="E36859" s="1"/>
      <c r="F36859" s="1"/>
      <c r="G36859" s="1"/>
    </row>
    <row r="36860">
      <c r="B36860" s="36"/>
      <c r="C36860" s="36"/>
      <c r="E36860" s="1"/>
      <c r="F36860" s="1"/>
      <c r="G36860" s="1"/>
    </row>
    <row r="36861">
      <c r="B36861" s="36"/>
      <c r="C36861" s="36"/>
      <c r="E36861" s="1"/>
      <c r="F36861" s="1"/>
      <c r="G36861" s="1"/>
    </row>
    <row r="36862">
      <c r="B36862" s="36"/>
      <c r="C36862" s="36"/>
      <c r="E36862" s="1"/>
      <c r="F36862" s="1"/>
      <c r="G36862" s="1"/>
    </row>
    <row r="36863">
      <c r="B36863" s="36"/>
      <c r="C36863" s="36"/>
      <c r="E36863" s="1"/>
      <c r="F36863" s="1"/>
      <c r="G36863" s="1"/>
    </row>
    <row r="36864">
      <c r="B36864" s="36"/>
      <c r="C36864" s="36"/>
      <c r="E36864" s="1"/>
      <c r="F36864" s="1"/>
      <c r="G36864" s="1"/>
    </row>
    <row r="36865">
      <c r="B36865" s="36"/>
      <c r="C36865" s="36"/>
      <c r="E36865" s="1"/>
      <c r="F36865" s="1"/>
      <c r="G36865" s="1"/>
    </row>
    <row r="36866">
      <c r="B36866" s="36"/>
      <c r="C36866" s="36"/>
      <c r="E36866" s="1"/>
      <c r="F36866" s="1"/>
      <c r="G36866" s="1"/>
    </row>
    <row r="36867">
      <c r="B36867" s="36"/>
      <c r="C36867" s="36"/>
      <c r="E36867" s="1"/>
      <c r="F36867" s="1"/>
      <c r="G36867" s="1"/>
    </row>
    <row r="36868">
      <c r="B36868" s="36"/>
      <c r="C36868" s="36"/>
      <c r="E36868" s="1"/>
      <c r="F36868" s="1"/>
      <c r="G36868" s="1"/>
    </row>
    <row r="36869">
      <c r="B36869" s="36"/>
      <c r="C36869" s="36"/>
      <c r="E36869" s="1"/>
      <c r="F36869" s="1"/>
      <c r="G36869" s="1"/>
    </row>
    <row r="36870">
      <c r="B36870" s="36"/>
      <c r="C36870" s="36"/>
      <c r="E36870" s="1"/>
      <c r="F36870" s="1"/>
      <c r="G36870" s="1"/>
    </row>
    <row r="36871">
      <c r="B36871" s="36"/>
      <c r="C36871" s="36"/>
      <c r="E36871" s="1"/>
      <c r="F36871" s="1"/>
      <c r="G36871" s="1"/>
    </row>
    <row r="36872">
      <c r="B36872" s="36"/>
      <c r="C36872" s="36"/>
      <c r="E36872" s="1"/>
      <c r="F36872" s="1"/>
      <c r="G36872" s="1"/>
    </row>
    <row r="36873">
      <c r="B36873" s="36"/>
      <c r="C36873" s="36"/>
      <c r="E36873" s="1"/>
      <c r="F36873" s="1"/>
      <c r="G36873" s="1"/>
    </row>
    <row r="36874">
      <c r="B36874" s="36"/>
      <c r="C36874" s="36"/>
      <c r="E36874" s="1"/>
      <c r="F36874" s="1"/>
      <c r="G36874" s="1"/>
    </row>
    <row r="36875">
      <c r="B36875" s="36"/>
      <c r="C36875" s="36"/>
      <c r="E36875" s="1"/>
      <c r="F36875" s="1"/>
      <c r="G36875" s="1"/>
    </row>
    <row r="36876">
      <c r="B36876" s="36"/>
      <c r="C36876" s="36"/>
      <c r="E36876" s="1"/>
      <c r="F36876" s="1"/>
      <c r="G36876" s="1"/>
    </row>
    <row r="36877">
      <c r="B36877" s="36"/>
      <c r="C36877" s="36"/>
      <c r="E36877" s="1"/>
      <c r="F36877" s="1"/>
      <c r="G36877" s="1"/>
    </row>
    <row r="36878">
      <c r="B36878" s="36"/>
      <c r="C36878" s="36"/>
      <c r="E36878" s="1"/>
      <c r="F36878" s="1"/>
      <c r="G36878" s="1"/>
    </row>
    <row r="36879">
      <c r="B36879" s="36"/>
      <c r="C36879" s="36"/>
      <c r="E36879" s="1"/>
      <c r="F36879" s="1"/>
      <c r="G36879" s="1"/>
    </row>
    <row r="36880">
      <c r="B36880" s="36"/>
      <c r="C36880" s="36"/>
      <c r="E36880" s="1"/>
      <c r="F36880" s="1"/>
      <c r="G36880" s="1"/>
    </row>
    <row r="36881">
      <c r="B36881" s="36"/>
      <c r="C36881" s="36"/>
      <c r="E36881" s="1"/>
      <c r="F36881" s="1"/>
      <c r="G36881" s="1"/>
    </row>
    <row r="36882">
      <c r="B36882" s="36"/>
      <c r="C36882" s="36"/>
      <c r="E36882" s="1"/>
      <c r="F36882" s="1"/>
      <c r="G36882" s="1"/>
    </row>
    <row r="36883">
      <c r="B36883" s="36"/>
      <c r="C36883" s="36"/>
      <c r="E36883" s="1"/>
      <c r="F36883" s="1"/>
      <c r="G36883" s="1"/>
    </row>
    <row r="36884">
      <c r="B36884" s="36"/>
      <c r="C36884" s="36"/>
      <c r="E36884" s="1"/>
      <c r="F36884" s="1"/>
      <c r="G36884" s="1"/>
    </row>
    <row r="36885">
      <c r="B36885" s="36"/>
      <c r="C36885" s="36"/>
      <c r="E36885" s="1"/>
      <c r="F36885" s="1"/>
      <c r="G36885" s="1"/>
    </row>
    <row r="36886">
      <c r="B36886" s="36"/>
      <c r="C36886" s="36"/>
      <c r="E36886" s="1"/>
      <c r="F36886" s="1"/>
      <c r="G36886" s="1"/>
    </row>
    <row r="36887">
      <c r="B36887" s="36"/>
      <c r="C36887" s="36"/>
      <c r="E36887" s="1"/>
      <c r="F36887" s="1"/>
      <c r="G36887" s="1"/>
    </row>
    <row r="36888">
      <c r="B36888" s="36"/>
      <c r="C36888" s="36"/>
      <c r="E36888" s="1"/>
      <c r="F36888" s="1"/>
      <c r="G36888" s="1"/>
    </row>
    <row r="36889">
      <c r="B36889" s="36"/>
      <c r="C36889" s="36"/>
      <c r="E36889" s="1"/>
      <c r="F36889" s="1"/>
      <c r="G36889" s="1"/>
    </row>
    <row r="36890">
      <c r="B36890" s="36"/>
      <c r="C36890" s="36"/>
      <c r="E36890" s="1"/>
      <c r="F36890" s="1"/>
      <c r="G36890" s="1"/>
    </row>
    <row r="36891">
      <c r="B36891" s="36"/>
      <c r="C36891" s="36"/>
      <c r="E36891" s="1"/>
      <c r="F36891" s="1"/>
      <c r="G36891" s="1"/>
    </row>
    <row r="36892">
      <c r="B36892" s="36"/>
      <c r="C36892" s="36"/>
      <c r="E36892" s="1"/>
      <c r="F36892" s="1"/>
      <c r="G36892" s="1"/>
    </row>
    <row r="36893">
      <c r="B36893" s="36"/>
      <c r="C36893" s="36"/>
      <c r="E36893" s="1"/>
      <c r="F36893" s="1"/>
      <c r="G36893" s="1"/>
    </row>
    <row r="36894">
      <c r="B36894" s="36"/>
      <c r="C36894" s="36"/>
      <c r="E36894" s="1"/>
      <c r="F36894" s="1"/>
      <c r="G36894" s="1"/>
    </row>
    <row r="36895">
      <c r="B36895" s="36"/>
      <c r="C36895" s="36"/>
      <c r="E36895" s="1"/>
      <c r="F36895" s="1"/>
      <c r="G36895" s="1"/>
    </row>
    <row r="36896">
      <c r="B36896" s="36"/>
      <c r="C36896" s="36"/>
      <c r="E36896" s="1"/>
      <c r="F36896" s="1"/>
      <c r="G36896" s="1"/>
    </row>
    <row r="36897">
      <c r="B36897" s="36"/>
      <c r="C36897" s="36"/>
      <c r="E36897" s="1"/>
      <c r="F36897" s="1"/>
      <c r="G36897" s="1"/>
    </row>
    <row r="36898">
      <c r="B36898" s="36"/>
      <c r="C36898" s="36"/>
      <c r="E36898" s="1"/>
      <c r="F36898" s="1"/>
      <c r="G36898" s="1"/>
    </row>
    <row r="36899">
      <c r="B36899" s="36"/>
      <c r="C36899" s="36"/>
      <c r="E36899" s="1"/>
      <c r="F36899" s="1"/>
      <c r="G36899" s="1"/>
    </row>
    <row r="36900">
      <c r="B36900" s="36"/>
      <c r="C36900" s="36"/>
      <c r="E36900" s="1"/>
      <c r="F36900" s="1"/>
      <c r="G36900" s="1"/>
    </row>
    <row r="36901">
      <c r="B36901" s="36"/>
      <c r="C36901" s="36"/>
      <c r="E36901" s="1"/>
      <c r="F36901" s="1"/>
      <c r="G36901" s="1"/>
    </row>
    <row r="36902">
      <c r="B36902" s="36"/>
      <c r="C36902" s="36"/>
      <c r="E36902" s="1"/>
      <c r="F36902" s="1"/>
      <c r="G36902" s="1"/>
    </row>
    <row r="36903">
      <c r="B36903" s="36"/>
      <c r="C36903" s="36"/>
      <c r="E36903" s="1"/>
      <c r="F36903" s="1"/>
      <c r="G36903" s="1"/>
    </row>
    <row r="36904">
      <c r="B36904" s="36"/>
      <c r="C36904" s="36"/>
      <c r="E36904" s="1"/>
      <c r="F36904" s="1"/>
      <c r="G36904" s="1"/>
    </row>
    <row r="36905">
      <c r="B36905" s="36"/>
      <c r="C36905" s="36"/>
      <c r="E36905" s="1"/>
      <c r="F36905" s="1"/>
      <c r="G36905" s="1"/>
    </row>
    <row r="36906">
      <c r="B36906" s="36"/>
      <c r="C36906" s="36"/>
      <c r="E36906" s="1"/>
      <c r="F36906" s="1"/>
      <c r="G36906" s="1"/>
    </row>
    <row r="36907">
      <c r="B36907" s="36"/>
      <c r="C36907" s="36"/>
      <c r="E36907" s="1"/>
      <c r="F36907" s="1"/>
      <c r="G36907" s="1"/>
    </row>
    <row r="36908">
      <c r="B36908" s="36"/>
      <c r="C36908" s="36"/>
      <c r="E36908" s="1"/>
      <c r="F36908" s="1"/>
      <c r="G36908" s="1"/>
    </row>
    <row r="36909">
      <c r="B36909" s="36"/>
      <c r="C36909" s="36"/>
      <c r="E36909" s="1"/>
      <c r="F36909" s="1"/>
      <c r="G36909" s="1"/>
    </row>
    <row r="36910">
      <c r="B36910" s="36"/>
      <c r="C36910" s="36"/>
      <c r="E36910" s="1"/>
      <c r="F36910" s="1"/>
      <c r="G36910" s="1"/>
    </row>
    <row r="36911">
      <c r="B36911" s="36"/>
      <c r="C36911" s="36"/>
      <c r="E36911" s="1"/>
      <c r="F36911" s="1"/>
      <c r="G36911" s="1"/>
    </row>
    <row r="36912">
      <c r="B36912" s="36"/>
      <c r="C36912" s="36"/>
      <c r="E36912" s="1"/>
      <c r="F36912" s="1"/>
      <c r="G36912" s="1"/>
    </row>
    <row r="36913">
      <c r="B36913" s="36"/>
      <c r="C36913" s="36"/>
      <c r="E36913" s="1"/>
      <c r="F36913" s="1"/>
      <c r="G36913" s="1"/>
    </row>
    <row r="36914">
      <c r="B36914" s="36"/>
      <c r="C36914" s="36"/>
      <c r="E36914" s="1"/>
      <c r="F36914" s="1"/>
      <c r="G36914" s="1"/>
    </row>
    <row r="36915">
      <c r="B36915" s="36"/>
      <c r="C36915" s="36"/>
      <c r="E36915" s="1"/>
      <c r="F36915" s="1"/>
      <c r="G36915" s="1"/>
    </row>
    <row r="36916">
      <c r="B36916" s="36"/>
      <c r="C36916" s="36"/>
      <c r="E36916" s="1"/>
      <c r="F36916" s="1"/>
      <c r="G36916" s="1"/>
    </row>
    <row r="36917">
      <c r="B36917" s="36"/>
      <c r="C36917" s="36"/>
      <c r="E36917" s="1"/>
      <c r="F36917" s="1"/>
      <c r="G36917" s="1"/>
    </row>
    <row r="36918">
      <c r="B36918" s="36"/>
      <c r="C36918" s="36"/>
      <c r="E36918" s="1"/>
      <c r="F36918" s="1"/>
      <c r="G36918" s="1"/>
    </row>
    <row r="36919">
      <c r="B36919" s="36"/>
      <c r="C36919" s="36"/>
      <c r="E36919" s="1"/>
      <c r="F36919" s="1"/>
      <c r="G36919" s="1"/>
    </row>
    <row r="36920">
      <c r="B36920" s="36"/>
      <c r="C36920" s="36"/>
      <c r="E36920" s="1"/>
      <c r="F36920" s="1"/>
      <c r="G36920" s="1"/>
    </row>
    <row r="36921">
      <c r="B36921" s="36"/>
      <c r="C36921" s="36"/>
      <c r="E36921" s="1"/>
      <c r="F36921" s="1"/>
      <c r="G36921" s="1"/>
    </row>
    <row r="36922">
      <c r="B36922" s="36"/>
      <c r="C36922" s="36"/>
      <c r="E36922" s="1"/>
      <c r="F36922" s="1"/>
      <c r="G36922" s="1"/>
    </row>
    <row r="36923">
      <c r="B36923" s="36"/>
      <c r="C36923" s="36"/>
      <c r="E36923" s="1"/>
      <c r="F36923" s="1"/>
      <c r="G36923" s="1"/>
    </row>
    <row r="36924">
      <c r="B36924" s="36"/>
      <c r="C36924" s="36"/>
      <c r="E36924" s="1"/>
      <c r="F36924" s="1"/>
      <c r="G36924" s="1"/>
    </row>
    <row r="36925">
      <c r="B36925" s="36"/>
      <c r="C36925" s="36"/>
      <c r="E36925" s="1"/>
      <c r="F36925" s="1"/>
      <c r="G36925" s="1"/>
    </row>
    <row r="36926">
      <c r="B36926" s="36"/>
      <c r="C36926" s="36"/>
      <c r="E36926" s="1"/>
      <c r="F36926" s="1"/>
      <c r="G36926" s="1"/>
    </row>
    <row r="36927">
      <c r="B36927" s="36"/>
      <c r="C36927" s="36"/>
      <c r="E36927" s="1"/>
      <c r="F36927" s="1"/>
      <c r="G36927" s="1"/>
    </row>
    <row r="36928">
      <c r="B36928" s="36"/>
      <c r="C36928" s="36"/>
      <c r="E36928" s="1"/>
      <c r="F36928" s="1"/>
      <c r="G36928" s="1"/>
    </row>
    <row r="36929">
      <c r="B36929" s="36"/>
      <c r="C36929" s="36"/>
      <c r="E36929" s="1"/>
      <c r="F36929" s="1"/>
      <c r="G36929" s="1"/>
    </row>
    <row r="36930">
      <c r="B36930" s="36"/>
      <c r="C36930" s="36"/>
      <c r="E36930" s="1"/>
      <c r="F36930" s="1"/>
      <c r="G36930" s="1"/>
    </row>
    <row r="36931">
      <c r="B36931" s="36"/>
      <c r="C36931" s="36"/>
      <c r="E36931" s="1"/>
      <c r="F36931" s="1"/>
      <c r="G36931" s="1"/>
    </row>
    <row r="36932">
      <c r="B36932" s="36"/>
      <c r="C36932" s="36"/>
      <c r="E36932" s="1"/>
      <c r="F36932" s="1"/>
      <c r="G36932" s="1"/>
    </row>
    <row r="36933">
      <c r="B36933" s="36"/>
      <c r="C36933" s="36"/>
      <c r="E36933" s="1"/>
      <c r="F36933" s="1"/>
      <c r="G36933" s="1"/>
    </row>
    <row r="36934">
      <c r="B36934" s="36"/>
      <c r="C36934" s="36"/>
      <c r="E36934" s="1"/>
      <c r="F36934" s="1"/>
      <c r="G36934" s="1"/>
    </row>
    <row r="36935">
      <c r="B36935" s="36"/>
      <c r="C36935" s="36"/>
      <c r="E36935" s="1"/>
      <c r="F36935" s="1"/>
      <c r="G36935" s="1"/>
    </row>
    <row r="36936">
      <c r="B36936" s="36"/>
      <c r="C36936" s="36"/>
      <c r="E36936" s="1"/>
      <c r="F36936" s="1"/>
      <c r="G36936" s="1"/>
    </row>
    <row r="36937">
      <c r="B36937" s="36"/>
      <c r="C36937" s="36"/>
      <c r="E36937" s="1"/>
      <c r="F36937" s="1"/>
      <c r="G36937" s="1"/>
    </row>
    <row r="36938">
      <c r="B36938" s="36"/>
      <c r="C36938" s="36"/>
      <c r="E36938" s="1"/>
      <c r="F36938" s="1"/>
      <c r="G36938" s="1"/>
    </row>
    <row r="36939">
      <c r="B36939" s="36"/>
      <c r="C36939" s="36"/>
      <c r="E36939" s="1"/>
      <c r="F36939" s="1"/>
      <c r="G36939" s="1"/>
    </row>
    <row r="36940">
      <c r="B36940" s="36"/>
      <c r="C36940" s="36"/>
      <c r="E36940" s="1"/>
      <c r="F36940" s="1"/>
      <c r="G36940" s="1"/>
    </row>
    <row r="36941">
      <c r="B36941" s="36"/>
      <c r="C36941" s="36"/>
      <c r="E36941" s="1"/>
      <c r="F36941" s="1"/>
      <c r="G36941" s="1"/>
    </row>
    <row r="36942">
      <c r="B36942" s="36"/>
      <c r="C36942" s="36"/>
      <c r="E36942" s="1"/>
      <c r="F36942" s="1"/>
      <c r="G36942" s="1"/>
    </row>
    <row r="36943">
      <c r="B36943" s="36"/>
      <c r="C36943" s="36"/>
      <c r="E36943" s="1"/>
      <c r="F36943" s="1"/>
      <c r="G36943" s="1"/>
    </row>
    <row r="36944">
      <c r="B36944" s="36"/>
      <c r="C36944" s="36"/>
      <c r="E36944" s="1"/>
      <c r="F36944" s="1"/>
      <c r="G36944" s="1"/>
    </row>
    <row r="36945">
      <c r="B36945" s="36"/>
      <c r="C36945" s="36"/>
      <c r="E36945" s="1"/>
      <c r="F36945" s="1"/>
      <c r="G36945" s="1"/>
    </row>
    <row r="36946">
      <c r="B36946" s="36"/>
      <c r="C36946" s="36"/>
      <c r="E36946" s="1"/>
      <c r="F36946" s="1"/>
      <c r="G36946" s="1"/>
    </row>
    <row r="36947">
      <c r="B36947" s="36"/>
      <c r="C36947" s="36"/>
      <c r="E36947" s="1"/>
      <c r="F36947" s="1"/>
      <c r="G36947" s="1"/>
    </row>
    <row r="36948">
      <c r="B36948" s="36"/>
      <c r="C36948" s="36"/>
      <c r="E36948" s="1"/>
      <c r="F36948" s="1"/>
      <c r="G36948" s="1"/>
    </row>
    <row r="36949">
      <c r="B36949" s="36"/>
      <c r="C36949" s="36"/>
      <c r="E36949" s="1"/>
      <c r="F36949" s="1"/>
      <c r="G36949" s="1"/>
    </row>
    <row r="36950">
      <c r="B36950" s="36"/>
      <c r="C36950" s="36"/>
      <c r="E36950" s="1"/>
      <c r="F36950" s="1"/>
      <c r="G36950" s="1"/>
    </row>
    <row r="36951">
      <c r="B36951" s="36"/>
      <c r="C36951" s="36"/>
      <c r="E36951" s="1"/>
      <c r="F36951" s="1"/>
      <c r="G36951" s="1"/>
    </row>
    <row r="36952">
      <c r="B36952" s="36"/>
      <c r="C36952" s="36"/>
      <c r="E36952" s="1"/>
      <c r="F36952" s="1"/>
      <c r="G36952" s="1"/>
    </row>
    <row r="36953">
      <c r="B36953" s="36"/>
      <c r="C36953" s="36"/>
      <c r="E36953" s="1"/>
      <c r="F36953" s="1"/>
      <c r="G36953" s="1"/>
    </row>
    <row r="36954">
      <c r="B36954" s="36"/>
      <c r="C36954" s="36"/>
      <c r="E36954" s="1"/>
      <c r="F36954" s="1"/>
      <c r="G36954" s="1"/>
    </row>
    <row r="36955">
      <c r="B36955" s="36"/>
      <c r="C36955" s="36"/>
      <c r="E36955" s="1"/>
      <c r="F36955" s="1"/>
      <c r="G36955" s="1"/>
    </row>
    <row r="36956">
      <c r="B36956" s="36"/>
      <c r="C36956" s="36"/>
      <c r="E36956" s="1"/>
      <c r="F36956" s="1"/>
      <c r="G36956" s="1"/>
    </row>
    <row r="36957">
      <c r="B36957" s="36"/>
      <c r="C36957" s="36"/>
      <c r="E36957" s="1"/>
      <c r="F36957" s="1"/>
      <c r="G36957" s="1"/>
    </row>
    <row r="36958">
      <c r="B36958" s="36"/>
      <c r="C36958" s="36"/>
      <c r="E36958" s="1"/>
      <c r="F36958" s="1"/>
      <c r="G36958" s="1"/>
    </row>
    <row r="36959">
      <c r="B36959" s="36"/>
      <c r="C36959" s="36"/>
      <c r="E36959" s="1"/>
      <c r="F36959" s="1"/>
      <c r="G36959" s="1"/>
    </row>
    <row r="36960">
      <c r="B36960" s="36"/>
      <c r="C36960" s="36"/>
      <c r="E36960" s="1"/>
      <c r="F36960" s="1"/>
      <c r="G36960" s="1"/>
    </row>
    <row r="36961">
      <c r="B36961" s="36"/>
      <c r="C36961" s="36"/>
      <c r="E36961" s="1"/>
      <c r="F36961" s="1"/>
      <c r="G36961" s="1"/>
    </row>
    <row r="36962">
      <c r="B36962" s="36"/>
      <c r="C36962" s="36"/>
      <c r="E36962" s="1"/>
      <c r="F36962" s="1"/>
      <c r="G36962" s="1"/>
    </row>
    <row r="36963">
      <c r="B36963" s="36"/>
      <c r="C36963" s="36"/>
      <c r="E36963" s="1"/>
      <c r="F36963" s="1"/>
      <c r="G36963" s="1"/>
    </row>
    <row r="36964">
      <c r="B36964" s="36"/>
      <c r="C36964" s="36"/>
      <c r="E36964" s="1"/>
      <c r="F36964" s="1"/>
      <c r="G36964" s="1"/>
    </row>
    <row r="36965">
      <c r="B36965" s="36"/>
      <c r="C36965" s="36"/>
      <c r="E36965" s="1"/>
      <c r="F36965" s="1"/>
      <c r="G36965" s="1"/>
    </row>
    <row r="36966">
      <c r="B36966" s="36"/>
      <c r="C36966" s="36"/>
      <c r="E36966" s="1"/>
      <c r="F36966" s="1"/>
      <c r="G36966" s="1"/>
    </row>
    <row r="36967">
      <c r="B36967" s="36"/>
      <c r="C36967" s="36"/>
      <c r="E36967" s="1"/>
      <c r="F36967" s="1"/>
      <c r="G36967" s="1"/>
    </row>
    <row r="36968">
      <c r="B36968" s="36"/>
      <c r="C36968" s="36"/>
      <c r="E36968" s="1"/>
      <c r="F36968" s="1"/>
      <c r="G36968" s="1"/>
    </row>
    <row r="36969">
      <c r="B36969" s="36"/>
      <c r="C36969" s="36"/>
      <c r="E36969" s="1"/>
      <c r="F36969" s="1"/>
      <c r="G36969" s="1"/>
    </row>
    <row r="36970">
      <c r="B36970" s="36"/>
      <c r="C36970" s="36"/>
      <c r="E36970" s="1"/>
      <c r="F36970" s="1"/>
      <c r="G36970" s="1"/>
    </row>
    <row r="36971">
      <c r="B36971" s="36"/>
      <c r="C36971" s="36"/>
      <c r="E36971" s="1"/>
      <c r="F36971" s="1"/>
      <c r="G36971" s="1"/>
    </row>
    <row r="36972">
      <c r="B36972" s="36"/>
      <c r="C36972" s="36"/>
      <c r="E36972" s="1"/>
      <c r="F36972" s="1"/>
      <c r="G36972" s="1"/>
    </row>
    <row r="36973">
      <c r="B36973" s="36"/>
      <c r="C36973" s="36"/>
      <c r="E36973" s="1"/>
      <c r="F36973" s="1"/>
      <c r="G36973" s="1"/>
    </row>
    <row r="36974">
      <c r="B36974" s="36"/>
      <c r="C36974" s="36"/>
      <c r="E36974" s="1"/>
      <c r="F36974" s="1"/>
      <c r="G36974" s="1"/>
    </row>
    <row r="36975">
      <c r="B36975" s="36"/>
      <c r="C36975" s="36"/>
      <c r="E36975" s="1"/>
      <c r="F36975" s="1"/>
      <c r="G36975" s="1"/>
    </row>
    <row r="36976">
      <c r="B36976" s="36"/>
      <c r="C36976" s="36"/>
      <c r="E36976" s="1"/>
      <c r="F36976" s="1"/>
      <c r="G36976" s="1"/>
    </row>
    <row r="36977">
      <c r="B36977" s="36"/>
      <c r="C36977" s="36"/>
      <c r="E36977" s="1"/>
      <c r="F36977" s="1"/>
      <c r="G36977" s="1"/>
    </row>
    <row r="36978">
      <c r="B36978" s="36"/>
      <c r="C36978" s="36"/>
      <c r="E36978" s="1"/>
      <c r="F36978" s="1"/>
      <c r="G36978" s="1"/>
    </row>
    <row r="36979">
      <c r="B36979" s="36"/>
      <c r="C36979" s="36"/>
      <c r="E36979" s="1"/>
      <c r="F36979" s="1"/>
      <c r="G36979" s="1"/>
    </row>
    <row r="36980">
      <c r="B36980" s="36"/>
      <c r="C36980" s="36"/>
      <c r="E36980" s="1"/>
      <c r="F36980" s="1"/>
      <c r="G36980" s="1"/>
    </row>
    <row r="36981">
      <c r="B36981" s="36"/>
      <c r="C36981" s="36"/>
      <c r="E36981" s="1"/>
      <c r="F36981" s="1"/>
      <c r="G36981" s="1"/>
    </row>
    <row r="36982">
      <c r="B36982" s="36"/>
      <c r="C36982" s="36"/>
      <c r="E36982" s="1"/>
      <c r="F36982" s="1"/>
      <c r="G36982" s="1"/>
    </row>
    <row r="36983">
      <c r="B36983" s="36"/>
      <c r="C36983" s="36"/>
      <c r="E36983" s="1"/>
      <c r="F36983" s="1"/>
      <c r="G36983" s="1"/>
    </row>
    <row r="36984">
      <c r="B36984" s="36"/>
      <c r="C36984" s="36"/>
      <c r="E36984" s="1"/>
      <c r="F36984" s="1"/>
      <c r="G36984" s="1"/>
    </row>
    <row r="36985">
      <c r="B36985" s="36"/>
      <c r="C36985" s="36"/>
      <c r="E36985" s="1"/>
      <c r="F36985" s="1"/>
      <c r="G36985" s="1"/>
    </row>
    <row r="36986">
      <c r="B36986" s="36"/>
      <c r="C36986" s="36"/>
      <c r="E36986" s="1"/>
      <c r="F36986" s="1"/>
      <c r="G36986" s="1"/>
    </row>
    <row r="36987">
      <c r="B36987" s="36"/>
      <c r="C36987" s="36"/>
      <c r="E36987" s="1"/>
      <c r="F36987" s="1"/>
      <c r="G36987" s="1"/>
    </row>
    <row r="36988">
      <c r="B36988" s="36"/>
      <c r="C36988" s="36"/>
      <c r="E36988" s="1"/>
      <c r="F36988" s="1"/>
      <c r="G36988" s="1"/>
    </row>
    <row r="36989">
      <c r="B36989" s="36"/>
      <c r="C36989" s="36"/>
      <c r="E36989" s="1"/>
      <c r="F36989" s="1"/>
      <c r="G36989" s="1"/>
    </row>
    <row r="36990">
      <c r="B36990" s="36"/>
      <c r="C36990" s="36"/>
      <c r="E36990" s="1"/>
      <c r="F36990" s="1"/>
      <c r="G36990" s="1"/>
    </row>
    <row r="36991">
      <c r="B36991" s="36"/>
      <c r="C36991" s="36"/>
      <c r="E36991" s="1"/>
      <c r="F36991" s="1"/>
      <c r="G36991" s="1"/>
    </row>
    <row r="36992">
      <c r="B36992" s="36"/>
      <c r="C36992" s="36"/>
      <c r="E36992" s="1"/>
      <c r="F36992" s="1"/>
      <c r="G36992" s="1"/>
    </row>
    <row r="36993">
      <c r="B36993" s="36"/>
      <c r="C36993" s="36"/>
      <c r="E36993" s="1"/>
      <c r="F36993" s="1"/>
      <c r="G36993" s="1"/>
    </row>
    <row r="36994">
      <c r="B36994" s="36"/>
      <c r="C36994" s="36"/>
      <c r="E36994" s="1"/>
      <c r="F36994" s="1"/>
      <c r="G36994" s="1"/>
    </row>
    <row r="36995">
      <c r="B36995" s="36"/>
      <c r="C36995" s="36"/>
      <c r="E36995" s="1"/>
      <c r="F36995" s="1"/>
      <c r="G36995" s="1"/>
    </row>
    <row r="36996">
      <c r="B36996" s="36"/>
      <c r="C36996" s="36"/>
      <c r="E36996" s="1"/>
      <c r="F36996" s="1"/>
      <c r="G36996" s="1"/>
    </row>
    <row r="36997">
      <c r="B36997" s="36"/>
      <c r="C36997" s="36"/>
      <c r="E36997" s="1"/>
      <c r="F36997" s="1"/>
      <c r="G36997" s="1"/>
    </row>
    <row r="36998">
      <c r="B36998" s="36"/>
      <c r="C36998" s="36"/>
      <c r="E36998" s="1"/>
      <c r="F36998" s="1"/>
      <c r="G36998" s="1"/>
    </row>
    <row r="36999">
      <c r="B36999" s="36"/>
      <c r="C36999" s="36"/>
      <c r="E36999" s="1"/>
      <c r="F36999" s="1"/>
      <c r="G36999" s="1"/>
    </row>
    <row r="37000">
      <c r="B37000" s="36"/>
      <c r="C37000" s="36"/>
      <c r="E37000" s="1"/>
      <c r="F37000" s="1"/>
      <c r="G37000" s="1"/>
    </row>
    <row r="37001">
      <c r="B37001" s="36"/>
      <c r="C37001" s="36"/>
      <c r="E37001" s="1"/>
      <c r="F37001" s="1"/>
      <c r="G37001" s="1"/>
    </row>
    <row r="37002">
      <c r="B37002" s="36"/>
      <c r="C37002" s="36"/>
      <c r="E37002" s="1"/>
      <c r="F37002" s="1"/>
      <c r="G37002" s="1"/>
    </row>
    <row r="37003">
      <c r="B37003" s="36"/>
      <c r="C37003" s="36"/>
      <c r="E37003" s="1"/>
      <c r="F37003" s="1"/>
      <c r="G37003" s="1"/>
    </row>
    <row r="37004">
      <c r="B37004" s="36"/>
      <c r="C37004" s="36"/>
      <c r="E37004" s="1"/>
      <c r="F37004" s="1"/>
      <c r="G37004" s="1"/>
    </row>
    <row r="37005">
      <c r="B37005" s="36"/>
      <c r="C37005" s="36"/>
      <c r="E37005" s="1"/>
      <c r="F37005" s="1"/>
      <c r="G37005" s="1"/>
    </row>
    <row r="37006">
      <c r="B37006" s="36"/>
      <c r="C37006" s="36"/>
      <c r="E37006" s="1"/>
      <c r="F37006" s="1"/>
      <c r="G37006" s="1"/>
    </row>
    <row r="37007">
      <c r="B37007" s="36"/>
      <c r="C37007" s="36"/>
      <c r="E37007" s="1"/>
      <c r="F37007" s="1"/>
      <c r="G37007" s="1"/>
    </row>
    <row r="37008">
      <c r="B37008" s="36"/>
      <c r="C37008" s="36"/>
      <c r="E37008" s="1"/>
      <c r="F37008" s="1"/>
      <c r="G37008" s="1"/>
    </row>
    <row r="37009">
      <c r="B37009" s="36"/>
      <c r="C37009" s="36"/>
      <c r="E37009" s="1"/>
      <c r="F37009" s="1"/>
      <c r="G37009" s="1"/>
    </row>
    <row r="37010">
      <c r="B37010" s="36"/>
      <c r="C37010" s="36"/>
      <c r="E37010" s="1"/>
      <c r="F37010" s="1"/>
      <c r="G37010" s="1"/>
    </row>
    <row r="37011">
      <c r="B37011" s="36"/>
      <c r="C37011" s="36"/>
      <c r="E37011" s="1"/>
      <c r="F37011" s="1"/>
      <c r="G37011" s="1"/>
    </row>
    <row r="37012">
      <c r="B37012" s="36"/>
      <c r="C37012" s="36"/>
      <c r="E37012" s="1"/>
      <c r="F37012" s="1"/>
      <c r="G37012" s="1"/>
    </row>
    <row r="37013">
      <c r="B37013" s="36"/>
      <c r="C37013" s="36"/>
      <c r="E37013" s="1"/>
      <c r="F37013" s="1"/>
      <c r="G37013" s="1"/>
    </row>
    <row r="37014">
      <c r="B37014" s="36"/>
      <c r="C37014" s="36"/>
      <c r="E37014" s="1"/>
      <c r="F37014" s="1"/>
      <c r="G37014" s="1"/>
    </row>
    <row r="37015">
      <c r="B37015" s="36"/>
      <c r="C37015" s="36"/>
      <c r="E37015" s="1"/>
      <c r="F37015" s="1"/>
      <c r="G37015" s="1"/>
    </row>
    <row r="37016">
      <c r="B37016" s="36"/>
      <c r="C37016" s="36"/>
      <c r="E37016" s="1"/>
      <c r="F37016" s="1"/>
      <c r="G37016" s="1"/>
    </row>
    <row r="37017">
      <c r="B37017" s="36"/>
      <c r="C37017" s="36"/>
      <c r="E37017" s="1"/>
      <c r="F37017" s="1"/>
      <c r="G37017" s="1"/>
    </row>
    <row r="37018">
      <c r="B37018" s="36"/>
      <c r="C37018" s="36"/>
      <c r="E37018" s="1"/>
      <c r="F37018" s="1"/>
      <c r="G37018" s="1"/>
    </row>
    <row r="37019">
      <c r="B37019" s="36"/>
      <c r="C37019" s="36"/>
      <c r="E37019" s="1"/>
      <c r="F37019" s="1"/>
      <c r="G37019" s="1"/>
    </row>
    <row r="37020">
      <c r="B37020" s="36"/>
      <c r="C37020" s="36"/>
      <c r="E37020" s="1"/>
      <c r="F37020" s="1"/>
      <c r="G37020" s="1"/>
    </row>
    <row r="37021">
      <c r="B37021" s="36"/>
      <c r="C37021" s="36"/>
      <c r="E37021" s="1"/>
      <c r="F37021" s="1"/>
      <c r="G37021" s="1"/>
    </row>
    <row r="37022">
      <c r="B37022" s="36"/>
      <c r="C37022" s="36"/>
      <c r="E37022" s="1"/>
      <c r="F37022" s="1"/>
      <c r="G37022" s="1"/>
    </row>
    <row r="37023">
      <c r="B37023" s="36"/>
      <c r="C37023" s="36"/>
      <c r="E37023" s="1"/>
      <c r="F37023" s="1"/>
      <c r="G37023" s="1"/>
    </row>
    <row r="37024">
      <c r="B37024" s="36"/>
      <c r="C37024" s="36"/>
      <c r="E37024" s="1"/>
      <c r="F37024" s="1"/>
      <c r="G37024" s="1"/>
    </row>
    <row r="37025">
      <c r="B37025" s="36"/>
      <c r="C37025" s="36"/>
      <c r="E37025" s="1"/>
      <c r="F37025" s="1"/>
      <c r="G37025" s="1"/>
    </row>
    <row r="37026">
      <c r="B37026" s="36"/>
      <c r="C37026" s="36"/>
      <c r="E37026" s="1"/>
      <c r="F37026" s="1"/>
      <c r="G37026" s="1"/>
    </row>
    <row r="37027">
      <c r="B37027" s="36"/>
      <c r="C37027" s="36"/>
      <c r="E37027" s="1"/>
      <c r="F37027" s="1"/>
      <c r="G37027" s="1"/>
    </row>
    <row r="37028">
      <c r="B37028" s="36"/>
      <c r="C37028" s="36"/>
      <c r="E37028" s="1"/>
      <c r="F37028" s="1"/>
      <c r="G37028" s="1"/>
    </row>
    <row r="37029">
      <c r="B37029" s="36"/>
      <c r="C37029" s="36"/>
      <c r="E37029" s="1"/>
      <c r="F37029" s="1"/>
      <c r="G37029" s="1"/>
    </row>
    <row r="37030">
      <c r="B37030" s="36"/>
      <c r="C37030" s="36"/>
      <c r="E37030" s="1"/>
      <c r="F37030" s="1"/>
      <c r="G37030" s="1"/>
    </row>
    <row r="37031">
      <c r="B37031" s="36"/>
      <c r="C37031" s="36"/>
      <c r="E37031" s="1"/>
      <c r="F37031" s="1"/>
      <c r="G37031" s="1"/>
    </row>
    <row r="37032">
      <c r="B37032" s="36"/>
      <c r="C37032" s="36"/>
      <c r="E37032" s="1"/>
      <c r="F37032" s="1"/>
      <c r="G37032" s="1"/>
    </row>
    <row r="37033">
      <c r="B37033" s="36"/>
      <c r="C37033" s="36"/>
      <c r="E37033" s="1"/>
      <c r="F37033" s="1"/>
      <c r="G37033" s="1"/>
    </row>
    <row r="37034">
      <c r="B37034" s="36"/>
      <c r="C37034" s="36"/>
      <c r="E37034" s="1"/>
      <c r="F37034" s="1"/>
      <c r="G37034" s="1"/>
    </row>
    <row r="37035">
      <c r="B37035" s="36"/>
      <c r="C37035" s="36"/>
      <c r="E37035" s="1"/>
      <c r="F37035" s="1"/>
      <c r="G37035" s="1"/>
    </row>
    <row r="37036">
      <c r="B37036" s="36"/>
      <c r="C37036" s="36"/>
      <c r="E37036" s="1"/>
      <c r="F37036" s="1"/>
      <c r="G37036" s="1"/>
    </row>
    <row r="37037">
      <c r="B37037" s="36"/>
      <c r="C37037" s="36"/>
      <c r="E37037" s="1"/>
      <c r="F37037" s="1"/>
      <c r="G37037" s="1"/>
    </row>
    <row r="37038">
      <c r="B37038" s="36"/>
      <c r="C37038" s="36"/>
      <c r="E37038" s="1"/>
      <c r="F37038" s="1"/>
      <c r="G37038" s="1"/>
    </row>
    <row r="37039">
      <c r="B37039" s="36"/>
      <c r="C37039" s="36"/>
      <c r="E37039" s="1"/>
      <c r="F37039" s="1"/>
      <c r="G37039" s="1"/>
    </row>
    <row r="37040">
      <c r="B37040" s="36"/>
      <c r="C37040" s="36"/>
      <c r="E37040" s="1"/>
      <c r="F37040" s="1"/>
      <c r="G37040" s="1"/>
    </row>
    <row r="37041">
      <c r="B37041" s="36"/>
      <c r="C37041" s="36"/>
      <c r="E37041" s="1"/>
      <c r="F37041" s="1"/>
      <c r="G37041" s="1"/>
    </row>
    <row r="37042">
      <c r="B37042" s="36"/>
      <c r="C37042" s="36"/>
      <c r="E37042" s="1"/>
      <c r="F37042" s="1"/>
      <c r="G37042" s="1"/>
    </row>
    <row r="37043">
      <c r="B37043" s="36"/>
      <c r="C37043" s="36"/>
      <c r="E37043" s="1"/>
      <c r="F37043" s="1"/>
      <c r="G37043" s="1"/>
    </row>
    <row r="37044">
      <c r="B37044" s="36"/>
      <c r="C37044" s="36"/>
      <c r="E37044" s="1"/>
      <c r="F37044" s="1"/>
      <c r="G37044" s="1"/>
    </row>
    <row r="37045">
      <c r="B37045" s="36"/>
      <c r="C37045" s="36"/>
      <c r="E37045" s="1"/>
      <c r="F37045" s="1"/>
      <c r="G37045" s="1"/>
    </row>
    <row r="37046">
      <c r="B37046" s="36"/>
      <c r="C37046" s="36"/>
      <c r="E37046" s="1"/>
      <c r="F37046" s="1"/>
      <c r="G37046" s="1"/>
    </row>
    <row r="37047">
      <c r="B37047" s="36"/>
      <c r="C37047" s="36"/>
      <c r="E37047" s="1"/>
      <c r="F37047" s="1"/>
      <c r="G37047" s="1"/>
    </row>
    <row r="37048">
      <c r="B37048" s="36"/>
      <c r="C37048" s="36"/>
      <c r="E37048" s="1"/>
      <c r="F37048" s="1"/>
      <c r="G37048" s="1"/>
    </row>
    <row r="37049">
      <c r="B37049" s="36"/>
      <c r="C37049" s="36"/>
      <c r="E37049" s="1"/>
      <c r="F37049" s="1"/>
      <c r="G37049" s="1"/>
    </row>
    <row r="37050">
      <c r="B37050" s="36"/>
      <c r="C37050" s="36"/>
      <c r="E37050" s="1"/>
      <c r="F37050" s="1"/>
      <c r="G37050" s="1"/>
    </row>
    <row r="37051">
      <c r="B37051" s="36"/>
      <c r="C37051" s="36"/>
      <c r="E37051" s="1"/>
      <c r="F37051" s="1"/>
      <c r="G37051" s="1"/>
    </row>
    <row r="37052">
      <c r="B37052" s="36"/>
      <c r="C37052" s="36"/>
      <c r="E37052" s="1"/>
      <c r="F37052" s="1"/>
      <c r="G37052" s="1"/>
    </row>
    <row r="37053">
      <c r="B37053" s="36"/>
      <c r="C37053" s="36"/>
      <c r="E37053" s="1"/>
      <c r="F37053" s="1"/>
      <c r="G37053" s="1"/>
    </row>
    <row r="37054">
      <c r="B37054" s="36"/>
      <c r="C37054" s="36"/>
      <c r="E37054" s="1"/>
      <c r="F37054" s="1"/>
      <c r="G37054" s="1"/>
    </row>
    <row r="37055">
      <c r="B37055" s="36"/>
      <c r="C37055" s="36"/>
      <c r="E37055" s="1"/>
      <c r="F37055" s="1"/>
      <c r="G37055" s="1"/>
    </row>
    <row r="37056">
      <c r="B37056" s="36"/>
      <c r="C37056" s="36"/>
      <c r="E37056" s="1"/>
      <c r="F37056" s="1"/>
      <c r="G37056" s="1"/>
    </row>
    <row r="37057">
      <c r="B37057" s="36"/>
      <c r="C37057" s="36"/>
      <c r="E37057" s="1"/>
      <c r="F37057" s="1"/>
      <c r="G37057" s="1"/>
    </row>
    <row r="37058">
      <c r="B37058" s="36"/>
      <c r="C37058" s="36"/>
      <c r="E37058" s="1"/>
      <c r="F37058" s="1"/>
      <c r="G37058" s="1"/>
    </row>
    <row r="37059">
      <c r="B37059" s="36"/>
      <c r="C37059" s="36"/>
      <c r="E37059" s="1"/>
      <c r="F37059" s="1"/>
      <c r="G37059" s="1"/>
    </row>
    <row r="37060">
      <c r="B37060" s="36"/>
      <c r="C37060" s="36"/>
      <c r="E37060" s="1"/>
      <c r="F37060" s="1"/>
      <c r="G37060" s="1"/>
    </row>
    <row r="37061">
      <c r="B37061" s="36"/>
      <c r="C37061" s="36"/>
      <c r="E37061" s="1"/>
      <c r="F37061" s="1"/>
      <c r="G37061" s="1"/>
    </row>
    <row r="37062">
      <c r="B37062" s="36"/>
      <c r="C37062" s="36"/>
      <c r="E37062" s="1"/>
      <c r="F37062" s="1"/>
      <c r="G37062" s="1"/>
    </row>
    <row r="37063">
      <c r="B37063" s="36"/>
      <c r="C37063" s="36"/>
      <c r="E37063" s="1"/>
      <c r="F37063" s="1"/>
      <c r="G37063" s="1"/>
    </row>
    <row r="37064">
      <c r="B37064" s="36"/>
      <c r="C37064" s="36"/>
      <c r="E37064" s="1"/>
      <c r="F37064" s="1"/>
      <c r="G37064" s="1"/>
    </row>
    <row r="37065">
      <c r="B37065" s="36"/>
      <c r="C37065" s="36"/>
      <c r="E37065" s="1"/>
      <c r="F37065" s="1"/>
      <c r="G37065" s="1"/>
    </row>
    <row r="37066">
      <c r="B37066" s="36"/>
      <c r="C37066" s="36"/>
      <c r="E37066" s="1"/>
      <c r="F37066" s="1"/>
      <c r="G37066" s="1"/>
    </row>
    <row r="37067">
      <c r="B37067" s="36"/>
      <c r="C37067" s="36"/>
      <c r="E37067" s="1"/>
      <c r="F37067" s="1"/>
      <c r="G37067" s="1"/>
    </row>
    <row r="37068">
      <c r="B37068" s="36"/>
      <c r="C37068" s="36"/>
      <c r="E37068" s="1"/>
      <c r="F37068" s="1"/>
      <c r="G37068" s="1"/>
    </row>
    <row r="37069">
      <c r="B37069" s="36"/>
      <c r="C37069" s="36"/>
      <c r="E37069" s="1"/>
      <c r="F37069" s="1"/>
      <c r="G37069" s="1"/>
    </row>
    <row r="37070">
      <c r="B37070" s="36"/>
      <c r="C37070" s="36"/>
      <c r="E37070" s="1"/>
      <c r="F37070" s="1"/>
      <c r="G37070" s="1"/>
    </row>
    <row r="37071">
      <c r="B37071" s="36"/>
      <c r="C37071" s="36"/>
      <c r="E37071" s="1"/>
      <c r="F37071" s="1"/>
      <c r="G37071" s="1"/>
    </row>
    <row r="37072">
      <c r="B37072" s="36"/>
      <c r="C37072" s="36"/>
      <c r="E37072" s="1"/>
      <c r="F37072" s="1"/>
      <c r="G37072" s="1"/>
    </row>
    <row r="37073">
      <c r="B37073" s="36"/>
      <c r="C37073" s="36"/>
      <c r="E37073" s="1"/>
      <c r="F37073" s="1"/>
      <c r="G37073" s="1"/>
    </row>
    <row r="37074">
      <c r="B37074" s="36"/>
      <c r="C37074" s="36"/>
      <c r="E37074" s="1"/>
      <c r="F37074" s="1"/>
      <c r="G37074" s="1"/>
    </row>
    <row r="37075">
      <c r="B37075" s="36"/>
      <c r="C37075" s="36"/>
      <c r="E37075" s="1"/>
      <c r="F37075" s="1"/>
      <c r="G37075" s="1"/>
    </row>
    <row r="37076">
      <c r="B37076" s="36"/>
      <c r="C37076" s="36"/>
      <c r="E37076" s="1"/>
      <c r="F37076" s="1"/>
      <c r="G37076" s="1"/>
    </row>
    <row r="37077">
      <c r="B37077" s="36"/>
      <c r="C37077" s="36"/>
      <c r="E37077" s="1"/>
      <c r="F37077" s="1"/>
      <c r="G37077" s="1"/>
    </row>
    <row r="37078">
      <c r="B37078" s="36"/>
      <c r="C37078" s="36"/>
      <c r="E37078" s="1"/>
      <c r="F37078" s="1"/>
      <c r="G37078" s="1"/>
    </row>
    <row r="37079">
      <c r="B37079" s="36"/>
      <c r="C37079" s="36"/>
      <c r="E37079" s="1"/>
      <c r="F37079" s="1"/>
      <c r="G37079" s="1"/>
    </row>
    <row r="37080">
      <c r="B37080" s="36"/>
      <c r="C37080" s="36"/>
      <c r="E37080" s="1"/>
      <c r="F37080" s="1"/>
      <c r="G37080" s="1"/>
    </row>
    <row r="37081">
      <c r="B37081" s="36"/>
      <c r="C37081" s="36"/>
      <c r="E37081" s="1"/>
      <c r="F37081" s="1"/>
      <c r="G37081" s="1"/>
    </row>
    <row r="37082">
      <c r="B37082" s="36"/>
      <c r="C37082" s="36"/>
      <c r="E37082" s="1"/>
      <c r="F37082" s="1"/>
      <c r="G37082" s="1"/>
    </row>
    <row r="37083">
      <c r="B37083" s="36"/>
      <c r="C37083" s="36"/>
      <c r="E37083" s="1"/>
      <c r="F37083" s="1"/>
      <c r="G37083" s="1"/>
    </row>
    <row r="37084">
      <c r="B37084" s="36"/>
      <c r="C37084" s="36"/>
      <c r="E37084" s="1"/>
      <c r="F37084" s="1"/>
      <c r="G37084" s="1"/>
    </row>
    <row r="37085">
      <c r="B37085" s="36"/>
      <c r="C37085" s="36"/>
      <c r="E37085" s="1"/>
      <c r="F37085" s="1"/>
      <c r="G37085" s="1"/>
    </row>
    <row r="37086">
      <c r="B37086" s="36"/>
      <c r="C37086" s="36"/>
      <c r="E37086" s="1"/>
      <c r="F37086" s="1"/>
      <c r="G37086" s="1"/>
    </row>
    <row r="37087">
      <c r="B37087" s="36"/>
      <c r="C37087" s="36"/>
      <c r="E37087" s="1"/>
      <c r="F37087" s="1"/>
      <c r="G37087" s="1"/>
    </row>
    <row r="37088">
      <c r="B37088" s="36"/>
      <c r="C37088" s="36"/>
      <c r="E37088" s="1"/>
      <c r="F37088" s="1"/>
      <c r="G37088" s="1"/>
    </row>
    <row r="37089">
      <c r="B37089" s="36"/>
      <c r="C37089" s="36"/>
      <c r="E37089" s="1"/>
      <c r="F37089" s="1"/>
      <c r="G37089" s="1"/>
    </row>
    <row r="37090">
      <c r="B37090" s="36"/>
      <c r="C37090" s="36"/>
      <c r="E37090" s="1"/>
      <c r="F37090" s="1"/>
      <c r="G37090" s="1"/>
    </row>
    <row r="37091">
      <c r="B37091" s="36"/>
      <c r="C37091" s="36"/>
      <c r="E37091" s="1"/>
      <c r="F37091" s="1"/>
      <c r="G37091" s="1"/>
    </row>
    <row r="37092">
      <c r="B37092" s="36"/>
      <c r="C37092" s="36"/>
      <c r="E37092" s="1"/>
      <c r="F37092" s="1"/>
      <c r="G37092" s="1"/>
    </row>
    <row r="37093">
      <c r="B37093" s="36"/>
      <c r="C37093" s="36"/>
      <c r="E37093" s="1"/>
      <c r="F37093" s="1"/>
      <c r="G37093" s="1"/>
    </row>
    <row r="37094">
      <c r="B37094" s="36"/>
      <c r="C37094" s="36"/>
      <c r="E37094" s="1"/>
      <c r="F37094" s="1"/>
      <c r="G37094" s="1"/>
    </row>
    <row r="37095">
      <c r="B37095" s="36"/>
      <c r="C37095" s="36"/>
      <c r="E37095" s="1"/>
      <c r="F37095" s="1"/>
      <c r="G37095" s="1"/>
    </row>
    <row r="37096">
      <c r="B37096" s="36"/>
      <c r="C37096" s="36"/>
      <c r="E37096" s="1"/>
      <c r="F37096" s="1"/>
      <c r="G37096" s="1"/>
    </row>
    <row r="37097">
      <c r="B37097" s="36"/>
      <c r="C37097" s="36"/>
      <c r="E37097" s="1"/>
      <c r="F37097" s="1"/>
      <c r="G37097" s="1"/>
    </row>
    <row r="37098">
      <c r="B37098" s="36"/>
      <c r="C37098" s="36"/>
      <c r="E37098" s="1"/>
      <c r="F37098" s="1"/>
      <c r="G37098" s="1"/>
    </row>
    <row r="37099">
      <c r="B37099" s="36"/>
      <c r="C37099" s="36"/>
      <c r="E37099" s="1"/>
      <c r="F37099" s="1"/>
      <c r="G37099" s="1"/>
    </row>
    <row r="37100">
      <c r="B37100" s="36"/>
      <c r="C37100" s="36"/>
      <c r="E37100" s="1"/>
      <c r="F37100" s="1"/>
      <c r="G37100" s="1"/>
    </row>
    <row r="37101">
      <c r="B37101" s="36"/>
      <c r="C37101" s="36"/>
      <c r="E37101" s="1"/>
      <c r="F37101" s="1"/>
      <c r="G37101" s="1"/>
    </row>
    <row r="37102">
      <c r="B37102" s="36"/>
      <c r="C37102" s="36"/>
      <c r="E37102" s="1"/>
      <c r="F37102" s="1"/>
      <c r="G37102" s="1"/>
    </row>
    <row r="37103">
      <c r="B37103" s="36"/>
      <c r="C37103" s="36"/>
      <c r="E37103" s="1"/>
      <c r="F37103" s="1"/>
      <c r="G37103" s="1"/>
    </row>
    <row r="37104">
      <c r="B37104" s="36"/>
      <c r="C37104" s="36"/>
      <c r="E37104" s="1"/>
      <c r="F37104" s="1"/>
      <c r="G37104" s="1"/>
    </row>
    <row r="37105">
      <c r="B37105" s="36"/>
      <c r="C37105" s="36"/>
      <c r="E37105" s="1"/>
      <c r="F37105" s="1"/>
      <c r="G37105" s="1"/>
    </row>
    <row r="37106">
      <c r="B37106" s="36"/>
      <c r="C37106" s="36"/>
      <c r="E37106" s="1"/>
      <c r="F37106" s="1"/>
      <c r="G37106" s="1"/>
    </row>
    <row r="37107">
      <c r="B37107" s="36"/>
      <c r="C37107" s="36"/>
      <c r="E37107" s="1"/>
      <c r="F37107" s="1"/>
      <c r="G37107" s="1"/>
    </row>
    <row r="37108">
      <c r="B37108" s="36"/>
      <c r="C37108" s="36"/>
      <c r="E37108" s="1"/>
      <c r="F37108" s="1"/>
      <c r="G37108" s="1"/>
    </row>
    <row r="37109">
      <c r="B37109" s="36"/>
      <c r="C37109" s="36"/>
      <c r="E37109" s="1"/>
      <c r="F37109" s="1"/>
      <c r="G37109" s="1"/>
    </row>
    <row r="37110">
      <c r="B37110" s="36"/>
      <c r="C37110" s="36"/>
      <c r="E37110" s="1"/>
      <c r="F37110" s="1"/>
      <c r="G37110" s="1"/>
    </row>
    <row r="37111">
      <c r="B37111" s="36"/>
      <c r="C37111" s="36"/>
      <c r="E37111" s="1"/>
      <c r="F37111" s="1"/>
      <c r="G37111" s="1"/>
    </row>
    <row r="37112">
      <c r="B37112" s="36"/>
      <c r="C37112" s="36"/>
      <c r="E37112" s="1"/>
      <c r="F37112" s="1"/>
      <c r="G37112" s="1"/>
    </row>
    <row r="37113">
      <c r="B37113" s="36"/>
      <c r="C37113" s="36"/>
      <c r="E37113" s="1"/>
      <c r="F37113" s="1"/>
      <c r="G37113" s="1"/>
    </row>
    <row r="37114">
      <c r="B37114" s="36"/>
      <c r="C37114" s="36"/>
      <c r="E37114" s="1"/>
      <c r="F37114" s="1"/>
      <c r="G37114" s="1"/>
    </row>
    <row r="37115">
      <c r="B37115" s="36"/>
      <c r="C37115" s="36"/>
      <c r="E37115" s="1"/>
      <c r="F37115" s="1"/>
      <c r="G37115" s="1"/>
    </row>
    <row r="37116">
      <c r="B37116" s="36"/>
      <c r="C37116" s="36"/>
      <c r="E37116" s="1"/>
      <c r="F37116" s="1"/>
      <c r="G37116" s="1"/>
    </row>
    <row r="37117">
      <c r="B37117" s="36"/>
      <c r="C37117" s="36"/>
      <c r="E37117" s="1"/>
      <c r="F37117" s="1"/>
      <c r="G37117" s="1"/>
    </row>
    <row r="37118">
      <c r="B37118" s="36"/>
      <c r="C37118" s="36"/>
      <c r="E37118" s="1"/>
      <c r="F37118" s="1"/>
      <c r="G37118" s="1"/>
    </row>
    <row r="37119">
      <c r="B37119" s="36"/>
      <c r="C37119" s="36"/>
      <c r="E37119" s="1"/>
      <c r="F37119" s="1"/>
      <c r="G37119" s="1"/>
    </row>
    <row r="37120">
      <c r="B37120" s="36"/>
      <c r="C37120" s="36"/>
      <c r="E37120" s="1"/>
      <c r="F37120" s="1"/>
      <c r="G37120" s="1"/>
    </row>
    <row r="37121">
      <c r="B37121" s="36"/>
      <c r="C37121" s="36"/>
      <c r="E37121" s="1"/>
      <c r="F37121" s="1"/>
      <c r="G37121" s="1"/>
    </row>
    <row r="37122">
      <c r="B37122" s="36"/>
      <c r="C37122" s="36"/>
      <c r="E37122" s="1"/>
      <c r="F37122" s="1"/>
      <c r="G37122" s="1"/>
    </row>
    <row r="37123">
      <c r="B37123" s="36"/>
      <c r="C37123" s="36"/>
      <c r="E37123" s="1"/>
      <c r="F37123" s="1"/>
      <c r="G37123" s="1"/>
    </row>
    <row r="37124">
      <c r="B37124" s="36"/>
      <c r="C37124" s="36"/>
      <c r="E37124" s="1"/>
      <c r="F37124" s="1"/>
      <c r="G37124" s="1"/>
    </row>
    <row r="37125">
      <c r="B37125" s="36"/>
      <c r="C37125" s="36"/>
      <c r="E37125" s="1"/>
      <c r="F37125" s="1"/>
      <c r="G37125" s="1"/>
    </row>
    <row r="37126">
      <c r="B37126" s="36"/>
      <c r="C37126" s="36"/>
      <c r="E37126" s="1"/>
      <c r="F37126" s="1"/>
      <c r="G37126" s="1"/>
    </row>
    <row r="37127">
      <c r="B37127" s="36"/>
      <c r="C37127" s="36"/>
      <c r="E37127" s="1"/>
      <c r="F37127" s="1"/>
      <c r="G37127" s="1"/>
    </row>
    <row r="37128">
      <c r="B37128" s="36"/>
      <c r="C37128" s="36"/>
      <c r="E37128" s="1"/>
      <c r="F37128" s="1"/>
      <c r="G37128" s="1"/>
    </row>
    <row r="37129">
      <c r="B37129" s="36"/>
      <c r="C37129" s="36"/>
      <c r="E37129" s="1"/>
      <c r="F37129" s="1"/>
      <c r="G37129" s="1"/>
    </row>
    <row r="37130">
      <c r="B37130" s="36"/>
      <c r="C37130" s="36"/>
      <c r="E37130" s="1"/>
      <c r="F37130" s="1"/>
      <c r="G37130" s="1"/>
    </row>
    <row r="37131">
      <c r="B37131" s="36"/>
      <c r="C37131" s="36"/>
      <c r="E37131" s="1"/>
      <c r="F37131" s="1"/>
      <c r="G37131" s="1"/>
    </row>
    <row r="37132">
      <c r="B37132" s="36"/>
      <c r="C37132" s="36"/>
      <c r="E37132" s="1"/>
      <c r="F37132" s="1"/>
      <c r="G37132" s="1"/>
    </row>
    <row r="37133">
      <c r="B37133" s="36"/>
      <c r="C37133" s="36"/>
      <c r="E37133" s="1"/>
      <c r="F37133" s="1"/>
      <c r="G37133" s="1"/>
    </row>
    <row r="37134">
      <c r="B37134" s="36"/>
      <c r="C37134" s="36"/>
      <c r="E37134" s="1"/>
      <c r="F37134" s="1"/>
      <c r="G37134" s="1"/>
    </row>
    <row r="37135">
      <c r="B37135" s="36"/>
      <c r="C37135" s="36"/>
      <c r="E37135" s="1"/>
      <c r="F37135" s="1"/>
      <c r="G37135" s="1"/>
    </row>
    <row r="37136">
      <c r="B37136" s="36"/>
      <c r="C37136" s="36"/>
      <c r="E37136" s="1"/>
      <c r="F37136" s="1"/>
      <c r="G37136" s="1"/>
    </row>
    <row r="37137">
      <c r="B37137" s="36"/>
      <c r="C37137" s="36"/>
      <c r="E37137" s="1"/>
      <c r="F37137" s="1"/>
      <c r="G37137" s="1"/>
    </row>
    <row r="37138">
      <c r="B37138" s="36"/>
      <c r="C37138" s="36"/>
      <c r="E37138" s="1"/>
      <c r="F37138" s="1"/>
      <c r="G37138" s="1"/>
    </row>
    <row r="37139">
      <c r="B37139" s="36"/>
      <c r="C37139" s="36"/>
      <c r="E37139" s="1"/>
      <c r="F37139" s="1"/>
      <c r="G37139" s="1"/>
    </row>
    <row r="37140">
      <c r="B37140" s="36"/>
      <c r="C37140" s="36"/>
      <c r="E37140" s="1"/>
      <c r="F37140" s="1"/>
      <c r="G37140" s="1"/>
    </row>
    <row r="37141">
      <c r="B37141" s="36"/>
      <c r="C37141" s="36"/>
      <c r="E37141" s="1"/>
      <c r="F37141" s="1"/>
      <c r="G37141" s="1"/>
    </row>
    <row r="37142">
      <c r="B37142" s="36"/>
      <c r="C37142" s="36"/>
      <c r="E37142" s="1"/>
      <c r="F37142" s="1"/>
      <c r="G37142" s="1"/>
    </row>
    <row r="37143">
      <c r="B37143" s="36"/>
      <c r="C37143" s="36"/>
      <c r="E37143" s="1"/>
      <c r="F37143" s="1"/>
      <c r="G37143" s="1"/>
    </row>
    <row r="37144">
      <c r="B37144" s="36"/>
      <c r="C37144" s="36"/>
      <c r="E37144" s="1"/>
      <c r="F37144" s="1"/>
      <c r="G37144" s="1"/>
    </row>
    <row r="37145">
      <c r="B37145" s="36"/>
      <c r="C37145" s="36"/>
      <c r="E37145" s="1"/>
      <c r="F37145" s="1"/>
      <c r="G37145" s="1"/>
    </row>
    <row r="37146">
      <c r="B37146" s="36"/>
      <c r="C37146" s="36"/>
      <c r="E37146" s="1"/>
      <c r="F37146" s="1"/>
      <c r="G37146" s="1"/>
    </row>
    <row r="37147">
      <c r="B37147" s="36"/>
      <c r="C37147" s="36"/>
      <c r="E37147" s="1"/>
      <c r="F37147" s="1"/>
      <c r="G37147" s="1"/>
    </row>
    <row r="37148">
      <c r="B37148" s="36"/>
      <c r="C37148" s="36"/>
      <c r="E37148" s="1"/>
      <c r="F37148" s="1"/>
      <c r="G37148" s="1"/>
    </row>
    <row r="37149">
      <c r="B37149" s="36"/>
      <c r="C37149" s="36"/>
      <c r="E37149" s="1"/>
      <c r="F37149" s="1"/>
      <c r="G37149" s="1"/>
    </row>
    <row r="37150">
      <c r="B37150" s="36"/>
      <c r="C37150" s="36"/>
      <c r="E37150" s="1"/>
      <c r="F37150" s="1"/>
      <c r="G37150" s="1"/>
    </row>
    <row r="37151">
      <c r="B37151" s="36"/>
      <c r="C37151" s="36"/>
      <c r="E37151" s="1"/>
      <c r="F37151" s="1"/>
      <c r="G37151" s="1"/>
    </row>
    <row r="37152">
      <c r="B37152" s="36"/>
      <c r="C37152" s="36"/>
      <c r="E37152" s="1"/>
      <c r="F37152" s="1"/>
      <c r="G37152" s="1"/>
    </row>
    <row r="37153">
      <c r="B37153" s="36"/>
      <c r="C37153" s="36"/>
      <c r="E37153" s="1"/>
      <c r="F37153" s="1"/>
      <c r="G37153" s="1"/>
    </row>
    <row r="37154">
      <c r="B37154" s="36"/>
      <c r="C37154" s="36"/>
      <c r="E37154" s="1"/>
      <c r="F37154" s="1"/>
      <c r="G37154" s="1"/>
    </row>
    <row r="37155">
      <c r="B37155" s="36"/>
      <c r="C37155" s="36"/>
      <c r="E37155" s="1"/>
      <c r="F37155" s="1"/>
      <c r="G37155" s="1"/>
    </row>
    <row r="37156">
      <c r="B37156" s="36"/>
      <c r="C37156" s="36"/>
      <c r="E37156" s="1"/>
      <c r="F37156" s="1"/>
      <c r="G37156" s="1"/>
    </row>
    <row r="37157">
      <c r="B37157" s="36"/>
      <c r="C37157" s="36"/>
      <c r="E37157" s="1"/>
      <c r="F37157" s="1"/>
      <c r="G37157" s="1"/>
    </row>
    <row r="37158">
      <c r="B37158" s="36"/>
      <c r="C37158" s="36"/>
      <c r="E37158" s="1"/>
      <c r="F37158" s="1"/>
      <c r="G37158" s="1"/>
    </row>
    <row r="37159">
      <c r="B37159" s="36"/>
      <c r="C37159" s="36"/>
      <c r="E37159" s="1"/>
      <c r="F37159" s="1"/>
      <c r="G37159" s="1"/>
    </row>
    <row r="37160">
      <c r="B37160" s="36"/>
      <c r="C37160" s="36"/>
      <c r="E37160" s="1"/>
      <c r="F37160" s="1"/>
      <c r="G37160" s="1"/>
    </row>
    <row r="37161">
      <c r="B37161" s="36"/>
      <c r="C37161" s="36"/>
      <c r="E37161" s="1"/>
      <c r="F37161" s="1"/>
      <c r="G37161" s="1"/>
    </row>
    <row r="37162">
      <c r="B37162" s="36"/>
      <c r="C37162" s="36"/>
      <c r="E37162" s="1"/>
      <c r="F37162" s="1"/>
      <c r="G37162" s="1"/>
    </row>
    <row r="37163">
      <c r="B37163" s="36"/>
      <c r="C37163" s="36"/>
      <c r="E37163" s="1"/>
      <c r="F37163" s="1"/>
      <c r="G37163" s="1"/>
    </row>
    <row r="37164">
      <c r="B37164" s="36"/>
      <c r="C37164" s="36"/>
      <c r="E37164" s="1"/>
      <c r="F37164" s="1"/>
      <c r="G37164" s="1"/>
    </row>
    <row r="37165">
      <c r="B37165" s="36"/>
      <c r="C37165" s="36"/>
      <c r="E37165" s="1"/>
      <c r="F37165" s="1"/>
      <c r="G37165" s="1"/>
    </row>
    <row r="37166">
      <c r="B37166" s="36"/>
      <c r="C37166" s="36"/>
      <c r="E37166" s="1"/>
      <c r="F37166" s="1"/>
      <c r="G37166" s="1"/>
    </row>
    <row r="37167">
      <c r="B37167" s="36"/>
      <c r="C37167" s="36"/>
      <c r="E37167" s="1"/>
      <c r="F37167" s="1"/>
      <c r="G37167" s="1"/>
    </row>
    <row r="37168">
      <c r="B37168" s="36"/>
      <c r="C37168" s="36"/>
      <c r="E37168" s="1"/>
      <c r="F37168" s="1"/>
      <c r="G37168" s="1"/>
    </row>
    <row r="37169">
      <c r="B37169" s="36"/>
      <c r="C37169" s="36"/>
      <c r="E37169" s="1"/>
      <c r="F37169" s="1"/>
      <c r="G37169" s="1"/>
    </row>
    <row r="37170">
      <c r="B37170" s="36"/>
      <c r="C37170" s="36"/>
      <c r="E37170" s="1"/>
      <c r="F37170" s="1"/>
      <c r="G37170" s="1"/>
    </row>
    <row r="37171">
      <c r="B37171" s="36"/>
      <c r="C37171" s="36"/>
      <c r="E37171" s="1"/>
      <c r="F37171" s="1"/>
      <c r="G37171" s="1"/>
    </row>
    <row r="37172">
      <c r="B37172" s="36"/>
      <c r="C37172" s="36"/>
      <c r="E37172" s="1"/>
      <c r="F37172" s="1"/>
      <c r="G37172" s="1"/>
    </row>
    <row r="37173">
      <c r="B37173" s="36"/>
      <c r="C37173" s="36"/>
      <c r="E37173" s="1"/>
      <c r="F37173" s="1"/>
      <c r="G37173" s="1"/>
    </row>
    <row r="37174">
      <c r="B37174" s="36"/>
      <c r="C37174" s="36"/>
      <c r="E37174" s="1"/>
      <c r="F37174" s="1"/>
      <c r="G37174" s="1"/>
    </row>
    <row r="37175">
      <c r="B37175" s="36"/>
      <c r="C37175" s="36"/>
      <c r="E37175" s="1"/>
      <c r="F37175" s="1"/>
      <c r="G37175" s="1"/>
    </row>
    <row r="37176">
      <c r="B37176" s="36"/>
      <c r="C37176" s="36"/>
      <c r="E37176" s="1"/>
      <c r="F37176" s="1"/>
      <c r="G37176" s="1"/>
    </row>
    <row r="37177">
      <c r="B37177" s="36"/>
      <c r="C37177" s="36"/>
      <c r="E37177" s="1"/>
      <c r="F37177" s="1"/>
      <c r="G37177" s="1"/>
    </row>
    <row r="37178">
      <c r="B37178" s="36"/>
      <c r="C37178" s="36"/>
      <c r="E37178" s="1"/>
      <c r="F37178" s="1"/>
      <c r="G37178" s="1"/>
    </row>
    <row r="37179">
      <c r="B37179" s="36"/>
      <c r="C37179" s="36"/>
      <c r="E37179" s="1"/>
      <c r="F37179" s="1"/>
      <c r="G37179" s="1"/>
    </row>
    <row r="37180">
      <c r="B37180" s="36"/>
      <c r="C37180" s="36"/>
      <c r="E37180" s="1"/>
      <c r="F37180" s="1"/>
      <c r="G37180" s="1"/>
    </row>
    <row r="37181">
      <c r="B37181" s="36"/>
      <c r="C37181" s="36"/>
      <c r="E37181" s="1"/>
      <c r="F37181" s="1"/>
      <c r="G37181" s="1"/>
    </row>
    <row r="37182">
      <c r="B37182" s="36"/>
      <c r="C37182" s="36"/>
      <c r="E37182" s="1"/>
      <c r="F37182" s="1"/>
      <c r="G37182" s="1"/>
    </row>
    <row r="37183">
      <c r="B37183" s="36"/>
      <c r="C37183" s="36"/>
      <c r="E37183" s="1"/>
      <c r="F37183" s="1"/>
      <c r="G37183" s="1"/>
    </row>
    <row r="37184">
      <c r="B37184" s="36"/>
      <c r="C37184" s="36"/>
      <c r="E37184" s="1"/>
      <c r="F37184" s="1"/>
      <c r="G37184" s="1"/>
    </row>
    <row r="37185">
      <c r="B37185" s="36"/>
      <c r="C37185" s="36"/>
      <c r="E37185" s="1"/>
      <c r="F37185" s="1"/>
      <c r="G37185" s="1"/>
    </row>
    <row r="37186">
      <c r="B37186" s="36"/>
      <c r="C37186" s="36"/>
      <c r="E37186" s="1"/>
      <c r="F37186" s="1"/>
      <c r="G37186" s="1"/>
    </row>
    <row r="37187">
      <c r="B37187" s="36"/>
      <c r="C37187" s="36"/>
      <c r="E37187" s="1"/>
      <c r="F37187" s="1"/>
      <c r="G37187" s="1"/>
    </row>
    <row r="37188">
      <c r="B37188" s="36"/>
      <c r="C37188" s="36"/>
      <c r="E37188" s="1"/>
      <c r="F37188" s="1"/>
      <c r="G37188" s="1"/>
    </row>
    <row r="37189">
      <c r="B37189" s="36"/>
      <c r="C37189" s="36"/>
      <c r="E37189" s="1"/>
      <c r="F37189" s="1"/>
      <c r="G37189" s="1"/>
    </row>
    <row r="37190">
      <c r="B37190" s="36"/>
      <c r="C37190" s="36"/>
      <c r="E37190" s="1"/>
      <c r="F37190" s="1"/>
      <c r="G37190" s="1"/>
    </row>
    <row r="37191">
      <c r="B37191" s="36"/>
      <c r="C37191" s="36"/>
      <c r="E37191" s="1"/>
      <c r="F37191" s="1"/>
      <c r="G37191" s="1"/>
    </row>
    <row r="37192">
      <c r="B37192" s="36"/>
      <c r="C37192" s="36"/>
      <c r="E37192" s="1"/>
      <c r="F37192" s="1"/>
      <c r="G37192" s="1"/>
    </row>
    <row r="37193">
      <c r="B37193" s="36"/>
      <c r="C37193" s="36"/>
      <c r="E37193" s="1"/>
      <c r="F37193" s="1"/>
      <c r="G37193" s="1"/>
    </row>
    <row r="37194">
      <c r="B37194" s="36"/>
      <c r="C37194" s="36"/>
      <c r="E37194" s="1"/>
      <c r="F37194" s="1"/>
      <c r="G37194" s="1"/>
    </row>
    <row r="37195">
      <c r="B37195" s="36"/>
      <c r="C37195" s="36"/>
      <c r="E37195" s="1"/>
      <c r="F37195" s="1"/>
      <c r="G37195" s="1"/>
    </row>
    <row r="37196">
      <c r="B37196" s="36"/>
      <c r="C37196" s="36"/>
      <c r="E37196" s="1"/>
      <c r="F37196" s="1"/>
      <c r="G37196" s="1"/>
    </row>
    <row r="37197">
      <c r="B37197" s="36"/>
      <c r="C37197" s="36"/>
      <c r="E37197" s="1"/>
      <c r="F37197" s="1"/>
      <c r="G37197" s="1"/>
    </row>
    <row r="37198">
      <c r="B37198" s="36"/>
      <c r="C37198" s="36"/>
      <c r="E37198" s="1"/>
      <c r="F37198" s="1"/>
      <c r="G37198" s="1"/>
    </row>
    <row r="37199">
      <c r="B37199" s="36"/>
      <c r="C37199" s="36"/>
      <c r="E37199" s="1"/>
      <c r="F37199" s="1"/>
      <c r="G37199" s="1"/>
    </row>
    <row r="37200">
      <c r="B37200" s="36"/>
      <c r="C37200" s="36"/>
      <c r="E37200" s="1"/>
      <c r="F37200" s="1"/>
      <c r="G37200" s="1"/>
    </row>
    <row r="37201">
      <c r="B37201" s="36"/>
      <c r="C37201" s="36"/>
      <c r="E37201" s="1"/>
      <c r="F37201" s="1"/>
      <c r="G37201" s="1"/>
    </row>
    <row r="37202">
      <c r="B37202" s="36"/>
      <c r="C37202" s="36"/>
      <c r="E37202" s="1"/>
      <c r="F37202" s="1"/>
      <c r="G37202" s="1"/>
    </row>
    <row r="37203">
      <c r="B37203" s="36"/>
      <c r="C37203" s="36"/>
      <c r="E37203" s="1"/>
      <c r="F37203" s="1"/>
      <c r="G37203" s="1"/>
    </row>
    <row r="37204">
      <c r="B37204" s="36"/>
      <c r="C37204" s="36"/>
      <c r="E37204" s="1"/>
      <c r="F37204" s="1"/>
      <c r="G37204" s="1"/>
    </row>
    <row r="37205">
      <c r="B37205" s="36"/>
      <c r="C37205" s="36"/>
      <c r="E37205" s="1"/>
      <c r="F37205" s="1"/>
      <c r="G37205" s="1"/>
    </row>
    <row r="37206">
      <c r="B37206" s="36"/>
      <c r="C37206" s="36"/>
      <c r="E37206" s="1"/>
      <c r="F37206" s="1"/>
      <c r="G37206" s="1"/>
    </row>
    <row r="37207">
      <c r="B37207" s="36"/>
      <c r="C37207" s="36"/>
      <c r="E37207" s="1"/>
      <c r="F37207" s="1"/>
      <c r="G37207" s="1"/>
    </row>
    <row r="37208">
      <c r="B37208" s="36"/>
      <c r="C37208" s="36"/>
      <c r="E37208" s="1"/>
      <c r="F37208" s="1"/>
      <c r="G37208" s="1"/>
    </row>
    <row r="37209">
      <c r="B37209" s="36"/>
      <c r="C37209" s="36"/>
      <c r="E37209" s="1"/>
      <c r="F37209" s="1"/>
      <c r="G37209" s="1"/>
    </row>
    <row r="37210">
      <c r="B37210" s="36"/>
      <c r="C37210" s="36"/>
      <c r="E37210" s="1"/>
      <c r="F37210" s="1"/>
      <c r="G37210" s="1"/>
    </row>
    <row r="37211">
      <c r="B37211" s="36"/>
      <c r="C37211" s="36"/>
      <c r="E37211" s="1"/>
      <c r="F37211" s="1"/>
      <c r="G37211" s="1"/>
    </row>
    <row r="37212">
      <c r="B37212" s="36"/>
      <c r="C37212" s="36"/>
      <c r="E37212" s="1"/>
      <c r="F37212" s="1"/>
      <c r="G37212" s="1"/>
    </row>
    <row r="37213">
      <c r="B37213" s="36"/>
      <c r="C37213" s="36"/>
      <c r="E37213" s="1"/>
      <c r="F37213" s="1"/>
      <c r="G37213" s="1"/>
    </row>
    <row r="37214">
      <c r="B37214" s="36"/>
      <c r="C37214" s="36"/>
      <c r="E37214" s="1"/>
      <c r="F37214" s="1"/>
      <c r="G37214" s="1"/>
    </row>
    <row r="37215">
      <c r="B37215" s="36"/>
      <c r="C37215" s="36"/>
      <c r="E37215" s="1"/>
      <c r="F37215" s="1"/>
      <c r="G37215" s="1"/>
    </row>
    <row r="37216">
      <c r="B37216" s="36"/>
      <c r="C37216" s="36"/>
      <c r="E37216" s="1"/>
      <c r="F37216" s="1"/>
      <c r="G37216" s="1"/>
    </row>
    <row r="37217">
      <c r="B37217" s="36"/>
      <c r="C37217" s="36"/>
      <c r="E37217" s="1"/>
      <c r="F37217" s="1"/>
      <c r="G37217" s="1"/>
    </row>
    <row r="37218">
      <c r="B37218" s="36"/>
      <c r="C37218" s="36"/>
      <c r="E37218" s="1"/>
      <c r="F37218" s="1"/>
      <c r="G37218" s="1"/>
    </row>
    <row r="37219">
      <c r="B37219" s="36"/>
      <c r="C37219" s="36"/>
      <c r="E37219" s="1"/>
      <c r="F37219" s="1"/>
      <c r="G37219" s="1"/>
    </row>
    <row r="37220">
      <c r="B37220" s="36"/>
      <c r="C37220" s="36"/>
      <c r="E37220" s="1"/>
      <c r="F37220" s="1"/>
      <c r="G37220" s="1"/>
    </row>
    <row r="37221">
      <c r="B37221" s="36"/>
      <c r="C37221" s="36"/>
      <c r="E37221" s="1"/>
      <c r="F37221" s="1"/>
      <c r="G37221" s="1"/>
    </row>
    <row r="37222">
      <c r="B37222" s="36"/>
      <c r="C37222" s="36"/>
      <c r="E37222" s="1"/>
      <c r="F37222" s="1"/>
      <c r="G37222" s="1"/>
    </row>
    <row r="37223">
      <c r="B37223" s="36"/>
      <c r="C37223" s="36"/>
      <c r="E37223" s="1"/>
      <c r="F37223" s="1"/>
      <c r="G37223" s="1"/>
    </row>
    <row r="37224">
      <c r="B37224" s="36"/>
      <c r="C37224" s="36"/>
      <c r="E37224" s="1"/>
      <c r="F37224" s="1"/>
      <c r="G37224" s="1"/>
    </row>
    <row r="37225">
      <c r="B37225" s="36"/>
      <c r="C37225" s="36"/>
      <c r="E37225" s="1"/>
      <c r="F37225" s="1"/>
      <c r="G37225" s="1"/>
    </row>
    <row r="37226">
      <c r="B37226" s="36"/>
      <c r="C37226" s="36"/>
      <c r="E37226" s="1"/>
      <c r="F37226" s="1"/>
      <c r="G37226" s="1"/>
    </row>
    <row r="37227">
      <c r="B37227" s="36"/>
      <c r="C37227" s="36"/>
      <c r="E37227" s="1"/>
      <c r="F37227" s="1"/>
      <c r="G37227" s="1"/>
    </row>
    <row r="37228">
      <c r="B37228" s="36"/>
      <c r="C37228" s="36"/>
      <c r="E37228" s="1"/>
      <c r="F37228" s="1"/>
      <c r="G37228" s="1"/>
    </row>
    <row r="37229">
      <c r="B37229" s="36"/>
      <c r="C37229" s="36"/>
      <c r="E37229" s="1"/>
      <c r="F37229" s="1"/>
      <c r="G37229" s="1"/>
    </row>
    <row r="37230">
      <c r="B37230" s="36"/>
      <c r="C37230" s="36"/>
      <c r="E37230" s="1"/>
      <c r="F37230" s="1"/>
      <c r="G37230" s="1"/>
    </row>
    <row r="37231">
      <c r="B37231" s="36"/>
      <c r="C37231" s="36"/>
      <c r="E37231" s="1"/>
      <c r="F37231" s="1"/>
      <c r="G37231" s="1"/>
    </row>
    <row r="37232">
      <c r="B37232" s="36"/>
      <c r="C37232" s="36"/>
      <c r="E37232" s="1"/>
      <c r="F37232" s="1"/>
      <c r="G37232" s="1"/>
    </row>
    <row r="37233">
      <c r="B37233" s="36"/>
      <c r="C37233" s="36"/>
      <c r="E37233" s="1"/>
      <c r="F37233" s="1"/>
      <c r="G37233" s="1"/>
    </row>
    <row r="37234">
      <c r="B37234" s="36"/>
      <c r="C37234" s="36"/>
      <c r="E37234" s="1"/>
      <c r="F37234" s="1"/>
      <c r="G37234" s="1"/>
    </row>
    <row r="37235">
      <c r="B37235" s="36"/>
      <c r="C37235" s="36"/>
      <c r="E37235" s="1"/>
      <c r="F37235" s="1"/>
      <c r="G37235" s="1"/>
    </row>
    <row r="37236">
      <c r="B37236" s="36"/>
      <c r="C37236" s="36"/>
      <c r="E37236" s="1"/>
      <c r="F37236" s="1"/>
      <c r="G37236" s="1"/>
    </row>
    <row r="37237">
      <c r="B37237" s="36"/>
      <c r="C37237" s="36"/>
      <c r="E37237" s="1"/>
      <c r="F37237" s="1"/>
      <c r="G37237" s="1"/>
    </row>
    <row r="37238">
      <c r="B37238" s="36"/>
      <c r="C37238" s="36"/>
      <c r="E37238" s="1"/>
      <c r="F37238" s="1"/>
      <c r="G37238" s="1"/>
    </row>
    <row r="37239">
      <c r="B37239" s="36"/>
      <c r="C37239" s="36"/>
      <c r="E37239" s="1"/>
      <c r="F37239" s="1"/>
      <c r="G37239" s="1"/>
    </row>
    <row r="37240">
      <c r="B37240" s="36"/>
      <c r="C37240" s="36"/>
      <c r="E37240" s="1"/>
      <c r="F37240" s="1"/>
      <c r="G37240" s="1"/>
    </row>
    <row r="37241">
      <c r="B37241" s="36"/>
      <c r="C37241" s="36"/>
      <c r="E37241" s="1"/>
      <c r="F37241" s="1"/>
      <c r="G37241" s="1"/>
    </row>
    <row r="37242">
      <c r="B37242" s="36"/>
      <c r="C37242" s="36"/>
      <c r="E37242" s="1"/>
      <c r="F37242" s="1"/>
      <c r="G37242" s="1"/>
    </row>
    <row r="37243">
      <c r="B37243" s="36"/>
      <c r="C37243" s="36"/>
      <c r="E37243" s="1"/>
      <c r="F37243" s="1"/>
      <c r="G37243" s="1"/>
    </row>
    <row r="37244">
      <c r="B37244" s="36"/>
      <c r="C37244" s="36"/>
      <c r="E37244" s="1"/>
      <c r="F37244" s="1"/>
      <c r="G37244" s="1"/>
    </row>
    <row r="37245">
      <c r="B37245" s="36"/>
      <c r="C37245" s="36"/>
      <c r="E37245" s="1"/>
      <c r="F37245" s="1"/>
      <c r="G37245" s="1"/>
    </row>
    <row r="37246">
      <c r="B37246" s="36"/>
      <c r="C37246" s="36"/>
      <c r="E37246" s="1"/>
      <c r="F37246" s="1"/>
      <c r="G37246" s="1"/>
    </row>
    <row r="37247">
      <c r="B37247" s="36"/>
      <c r="C37247" s="36"/>
      <c r="E37247" s="1"/>
      <c r="F37247" s="1"/>
      <c r="G37247" s="1"/>
    </row>
    <row r="37248">
      <c r="B37248" s="36"/>
      <c r="C37248" s="36"/>
      <c r="E37248" s="1"/>
      <c r="F37248" s="1"/>
      <c r="G37248" s="1"/>
    </row>
    <row r="37249">
      <c r="B37249" s="36"/>
      <c r="C37249" s="36"/>
      <c r="E37249" s="1"/>
      <c r="F37249" s="1"/>
      <c r="G37249" s="1"/>
    </row>
    <row r="37250">
      <c r="B37250" s="36"/>
      <c r="C37250" s="36"/>
      <c r="E37250" s="1"/>
      <c r="F37250" s="1"/>
      <c r="G37250" s="1"/>
    </row>
    <row r="37251">
      <c r="B37251" s="36"/>
      <c r="C37251" s="36"/>
      <c r="E37251" s="1"/>
      <c r="F37251" s="1"/>
      <c r="G37251" s="1"/>
    </row>
    <row r="37252">
      <c r="B37252" s="36"/>
      <c r="C37252" s="36"/>
      <c r="E37252" s="1"/>
      <c r="F37252" s="1"/>
      <c r="G37252" s="1"/>
    </row>
    <row r="37253">
      <c r="B37253" s="36"/>
      <c r="C37253" s="36"/>
      <c r="E37253" s="1"/>
      <c r="F37253" s="1"/>
      <c r="G37253" s="1"/>
    </row>
    <row r="37254">
      <c r="B37254" s="36"/>
      <c r="C37254" s="36"/>
      <c r="E37254" s="1"/>
      <c r="F37254" s="1"/>
      <c r="G37254" s="1"/>
    </row>
    <row r="37255">
      <c r="B37255" s="36"/>
      <c r="C37255" s="36"/>
      <c r="E37255" s="1"/>
      <c r="F37255" s="1"/>
      <c r="G37255" s="1"/>
    </row>
    <row r="37256">
      <c r="B37256" s="36"/>
      <c r="C37256" s="36"/>
      <c r="E37256" s="1"/>
      <c r="F37256" s="1"/>
      <c r="G37256" s="1"/>
    </row>
    <row r="37257">
      <c r="B37257" s="36"/>
      <c r="C37257" s="36"/>
      <c r="E37257" s="1"/>
      <c r="F37257" s="1"/>
      <c r="G37257" s="1"/>
    </row>
    <row r="37258">
      <c r="B37258" s="36"/>
      <c r="C37258" s="36"/>
      <c r="E37258" s="1"/>
      <c r="F37258" s="1"/>
      <c r="G37258" s="1"/>
    </row>
    <row r="37259">
      <c r="B37259" s="36"/>
      <c r="C37259" s="36"/>
      <c r="E37259" s="1"/>
      <c r="F37259" s="1"/>
      <c r="G37259" s="1"/>
    </row>
    <row r="37260">
      <c r="B37260" s="36"/>
      <c r="C37260" s="36"/>
      <c r="E37260" s="1"/>
      <c r="F37260" s="1"/>
      <c r="G37260" s="1"/>
    </row>
    <row r="37261">
      <c r="B37261" s="36"/>
      <c r="C37261" s="36"/>
      <c r="E37261" s="1"/>
      <c r="F37261" s="1"/>
      <c r="G37261" s="1"/>
    </row>
    <row r="37262">
      <c r="B37262" s="36"/>
      <c r="C37262" s="36"/>
      <c r="E37262" s="1"/>
      <c r="F37262" s="1"/>
      <c r="G37262" s="1"/>
    </row>
    <row r="37263">
      <c r="B37263" s="36"/>
      <c r="C37263" s="36"/>
      <c r="E37263" s="1"/>
      <c r="F37263" s="1"/>
      <c r="G37263" s="1"/>
    </row>
    <row r="37264">
      <c r="B37264" s="36"/>
      <c r="C37264" s="36"/>
      <c r="E37264" s="1"/>
      <c r="F37264" s="1"/>
      <c r="G37264" s="1"/>
    </row>
    <row r="37265">
      <c r="B37265" s="36"/>
      <c r="C37265" s="36"/>
      <c r="E37265" s="1"/>
      <c r="F37265" s="1"/>
      <c r="G37265" s="1"/>
    </row>
    <row r="37266">
      <c r="B37266" s="36"/>
      <c r="C37266" s="36"/>
      <c r="E37266" s="1"/>
      <c r="F37266" s="1"/>
      <c r="G37266" s="1"/>
    </row>
    <row r="37267">
      <c r="B37267" s="36"/>
      <c r="C37267" s="36"/>
      <c r="E37267" s="1"/>
      <c r="F37267" s="1"/>
      <c r="G37267" s="1"/>
    </row>
    <row r="37268">
      <c r="B37268" s="36"/>
      <c r="C37268" s="36"/>
      <c r="E37268" s="1"/>
      <c r="F37268" s="1"/>
      <c r="G37268" s="1"/>
    </row>
    <row r="37269">
      <c r="B37269" s="36"/>
      <c r="C37269" s="36"/>
      <c r="E37269" s="1"/>
      <c r="F37269" s="1"/>
      <c r="G37269" s="1"/>
    </row>
    <row r="37270">
      <c r="B37270" s="36"/>
      <c r="C37270" s="36"/>
      <c r="E37270" s="1"/>
      <c r="F37270" s="1"/>
      <c r="G37270" s="1"/>
    </row>
    <row r="37271">
      <c r="B37271" s="36"/>
      <c r="C37271" s="36"/>
      <c r="E37271" s="1"/>
      <c r="F37271" s="1"/>
      <c r="G37271" s="1"/>
    </row>
    <row r="37272">
      <c r="B37272" s="36"/>
      <c r="C37272" s="36"/>
      <c r="E37272" s="1"/>
      <c r="F37272" s="1"/>
      <c r="G37272" s="1"/>
    </row>
    <row r="37273">
      <c r="B37273" s="36"/>
      <c r="C37273" s="36"/>
      <c r="E37273" s="1"/>
      <c r="F37273" s="1"/>
      <c r="G37273" s="1"/>
    </row>
    <row r="37274">
      <c r="B37274" s="36"/>
      <c r="C37274" s="36"/>
      <c r="E37274" s="1"/>
      <c r="F37274" s="1"/>
      <c r="G37274" s="1"/>
    </row>
    <row r="37275">
      <c r="B37275" s="36"/>
      <c r="C37275" s="36"/>
      <c r="E37275" s="1"/>
      <c r="F37275" s="1"/>
      <c r="G37275" s="1"/>
    </row>
    <row r="37276">
      <c r="B37276" s="36"/>
      <c r="C37276" s="36"/>
      <c r="E37276" s="1"/>
      <c r="F37276" s="1"/>
      <c r="G37276" s="1"/>
    </row>
    <row r="37277">
      <c r="B37277" s="36"/>
      <c r="C37277" s="36"/>
      <c r="E37277" s="1"/>
      <c r="F37277" s="1"/>
      <c r="G37277" s="1"/>
    </row>
    <row r="37278">
      <c r="B37278" s="36"/>
      <c r="C37278" s="36"/>
      <c r="E37278" s="1"/>
      <c r="F37278" s="1"/>
      <c r="G37278" s="1"/>
    </row>
    <row r="37279">
      <c r="B37279" s="36"/>
      <c r="C37279" s="36"/>
      <c r="E37279" s="1"/>
      <c r="F37279" s="1"/>
      <c r="G37279" s="1"/>
    </row>
    <row r="37280">
      <c r="B37280" s="36"/>
      <c r="C37280" s="36"/>
      <c r="E37280" s="1"/>
      <c r="F37280" s="1"/>
      <c r="G37280" s="1"/>
    </row>
    <row r="37281">
      <c r="B37281" s="36"/>
      <c r="C37281" s="36"/>
      <c r="E37281" s="1"/>
      <c r="F37281" s="1"/>
      <c r="G37281" s="1"/>
    </row>
    <row r="37282">
      <c r="B37282" s="36"/>
      <c r="C37282" s="36"/>
      <c r="E37282" s="1"/>
      <c r="F37282" s="1"/>
      <c r="G37282" s="1"/>
    </row>
    <row r="37283">
      <c r="B37283" s="36"/>
      <c r="C37283" s="36"/>
      <c r="E37283" s="1"/>
      <c r="F37283" s="1"/>
      <c r="G37283" s="1"/>
    </row>
    <row r="37284">
      <c r="B37284" s="36"/>
      <c r="C37284" s="36"/>
      <c r="E37284" s="1"/>
      <c r="F37284" s="1"/>
      <c r="G37284" s="1"/>
    </row>
    <row r="37285">
      <c r="B37285" s="36"/>
      <c r="C37285" s="36"/>
      <c r="E37285" s="1"/>
      <c r="F37285" s="1"/>
      <c r="G37285" s="1"/>
    </row>
    <row r="37286">
      <c r="B37286" s="36"/>
      <c r="C37286" s="36"/>
      <c r="E37286" s="1"/>
      <c r="F37286" s="1"/>
      <c r="G37286" s="1"/>
    </row>
    <row r="37287">
      <c r="B37287" s="36"/>
      <c r="C37287" s="36"/>
      <c r="E37287" s="1"/>
      <c r="F37287" s="1"/>
      <c r="G37287" s="1"/>
    </row>
    <row r="37288">
      <c r="B37288" s="36"/>
      <c r="C37288" s="36"/>
      <c r="E37288" s="1"/>
      <c r="F37288" s="1"/>
      <c r="G37288" s="1"/>
    </row>
    <row r="37289">
      <c r="B37289" s="36"/>
      <c r="C37289" s="36"/>
      <c r="E37289" s="1"/>
      <c r="F37289" s="1"/>
      <c r="G37289" s="1"/>
    </row>
    <row r="37290">
      <c r="B37290" s="36"/>
      <c r="C37290" s="36"/>
      <c r="E37290" s="1"/>
      <c r="F37290" s="1"/>
      <c r="G37290" s="1"/>
    </row>
    <row r="37291">
      <c r="B37291" s="36"/>
      <c r="C37291" s="36"/>
      <c r="E37291" s="1"/>
      <c r="F37291" s="1"/>
      <c r="G37291" s="1"/>
    </row>
    <row r="37292">
      <c r="B37292" s="36"/>
      <c r="C37292" s="36"/>
      <c r="E37292" s="1"/>
      <c r="F37292" s="1"/>
      <c r="G37292" s="1"/>
    </row>
    <row r="37293">
      <c r="B37293" s="36"/>
      <c r="C37293" s="36"/>
      <c r="E37293" s="1"/>
      <c r="F37293" s="1"/>
      <c r="G37293" s="1"/>
    </row>
    <row r="37294">
      <c r="B37294" s="36"/>
      <c r="C37294" s="36"/>
      <c r="E37294" s="1"/>
      <c r="F37294" s="1"/>
      <c r="G37294" s="1"/>
    </row>
    <row r="37295">
      <c r="B37295" s="36"/>
      <c r="C37295" s="36"/>
      <c r="E37295" s="1"/>
      <c r="F37295" s="1"/>
      <c r="G37295" s="1"/>
    </row>
    <row r="37296">
      <c r="B37296" s="36"/>
      <c r="C37296" s="36"/>
      <c r="E37296" s="1"/>
      <c r="F37296" s="1"/>
      <c r="G37296" s="1"/>
    </row>
    <row r="37297">
      <c r="B37297" s="36"/>
      <c r="C37297" s="36"/>
      <c r="E37297" s="1"/>
      <c r="F37297" s="1"/>
      <c r="G37297" s="1"/>
    </row>
    <row r="37298">
      <c r="B37298" s="36"/>
      <c r="C37298" s="36"/>
      <c r="E37298" s="1"/>
      <c r="F37298" s="1"/>
      <c r="G37298" s="1"/>
    </row>
    <row r="37299">
      <c r="B37299" s="36"/>
      <c r="C37299" s="36"/>
      <c r="E37299" s="1"/>
      <c r="F37299" s="1"/>
      <c r="G37299" s="1"/>
    </row>
    <row r="37300">
      <c r="B37300" s="36"/>
      <c r="C37300" s="36"/>
      <c r="E37300" s="1"/>
      <c r="F37300" s="1"/>
      <c r="G37300" s="1"/>
    </row>
    <row r="37301">
      <c r="B37301" s="36"/>
      <c r="C37301" s="36"/>
      <c r="E37301" s="1"/>
      <c r="F37301" s="1"/>
      <c r="G37301" s="1"/>
    </row>
    <row r="37302">
      <c r="B37302" s="36"/>
      <c r="C37302" s="36"/>
      <c r="E37302" s="1"/>
      <c r="F37302" s="1"/>
      <c r="G37302" s="1"/>
    </row>
    <row r="37303">
      <c r="B37303" s="36"/>
      <c r="C37303" s="36"/>
      <c r="E37303" s="1"/>
      <c r="F37303" s="1"/>
      <c r="G37303" s="1"/>
    </row>
    <row r="37304">
      <c r="B37304" s="36"/>
      <c r="C37304" s="36"/>
      <c r="E37304" s="1"/>
      <c r="F37304" s="1"/>
      <c r="G37304" s="1"/>
    </row>
    <row r="37305">
      <c r="B37305" s="36"/>
      <c r="C37305" s="36"/>
      <c r="E37305" s="1"/>
      <c r="F37305" s="1"/>
      <c r="G37305" s="1"/>
    </row>
    <row r="37306">
      <c r="B37306" s="36"/>
      <c r="C37306" s="36"/>
      <c r="E37306" s="1"/>
      <c r="F37306" s="1"/>
      <c r="G37306" s="1"/>
    </row>
    <row r="37307">
      <c r="B37307" s="36"/>
      <c r="C37307" s="36"/>
      <c r="E37307" s="1"/>
      <c r="F37307" s="1"/>
      <c r="G37307" s="1"/>
    </row>
    <row r="37308">
      <c r="B37308" s="36"/>
      <c r="C37308" s="36"/>
      <c r="E37308" s="1"/>
      <c r="F37308" s="1"/>
      <c r="G37308" s="1"/>
    </row>
    <row r="37309">
      <c r="B37309" s="36"/>
      <c r="C37309" s="36"/>
      <c r="E37309" s="1"/>
      <c r="F37309" s="1"/>
      <c r="G37309" s="1"/>
    </row>
    <row r="37310">
      <c r="B37310" s="36"/>
      <c r="C37310" s="36"/>
      <c r="E37310" s="1"/>
      <c r="F37310" s="1"/>
      <c r="G37310" s="1"/>
    </row>
    <row r="37311">
      <c r="B37311" s="36"/>
      <c r="C37311" s="36"/>
      <c r="E37311" s="1"/>
      <c r="F37311" s="1"/>
      <c r="G37311" s="1"/>
    </row>
    <row r="37312">
      <c r="B37312" s="36"/>
      <c r="C37312" s="36"/>
      <c r="E37312" s="1"/>
      <c r="F37312" s="1"/>
      <c r="G37312" s="1"/>
    </row>
    <row r="37313">
      <c r="B37313" s="36"/>
      <c r="C37313" s="36"/>
      <c r="E37313" s="1"/>
      <c r="F37313" s="1"/>
      <c r="G37313" s="1"/>
    </row>
    <row r="37314">
      <c r="B37314" s="36"/>
      <c r="C37314" s="36"/>
      <c r="E37314" s="1"/>
      <c r="F37314" s="1"/>
      <c r="G37314" s="1"/>
    </row>
    <row r="37315">
      <c r="B37315" s="36"/>
      <c r="C37315" s="36"/>
      <c r="E37315" s="1"/>
      <c r="F37315" s="1"/>
      <c r="G37315" s="1"/>
    </row>
    <row r="37316">
      <c r="B37316" s="36"/>
      <c r="C37316" s="36"/>
      <c r="E37316" s="1"/>
      <c r="F37316" s="1"/>
      <c r="G37316" s="1"/>
    </row>
    <row r="37317">
      <c r="B37317" s="36"/>
      <c r="C37317" s="36"/>
      <c r="E37317" s="1"/>
      <c r="F37317" s="1"/>
      <c r="G37317" s="1"/>
    </row>
    <row r="37318">
      <c r="B37318" s="36"/>
      <c r="C37318" s="36"/>
      <c r="E37318" s="1"/>
      <c r="F37318" s="1"/>
      <c r="G37318" s="1"/>
    </row>
    <row r="37319">
      <c r="B37319" s="36"/>
      <c r="C37319" s="36"/>
      <c r="E37319" s="1"/>
      <c r="F37319" s="1"/>
      <c r="G37319" s="1"/>
    </row>
    <row r="37320">
      <c r="B37320" s="36"/>
      <c r="C37320" s="36"/>
      <c r="E37320" s="1"/>
      <c r="F37320" s="1"/>
      <c r="G37320" s="1"/>
    </row>
    <row r="37321">
      <c r="B37321" s="36"/>
      <c r="C37321" s="36"/>
      <c r="E37321" s="1"/>
      <c r="F37321" s="1"/>
      <c r="G37321" s="1"/>
    </row>
    <row r="37322">
      <c r="B37322" s="36"/>
      <c r="C37322" s="36"/>
      <c r="E37322" s="1"/>
      <c r="F37322" s="1"/>
      <c r="G37322" s="1"/>
    </row>
    <row r="37323">
      <c r="B37323" s="36"/>
      <c r="C37323" s="36"/>
      <c r="E37323" s="1"/>
      <c r="F37323" s="1"/>
      <c r="G37323" s="1"/>
    </row>
    <row r="37324">
      <c r="B37324" s="36"/>
      <c r="C37324" s="36"/>
      <c r="E37324" s="1"/>
      <c r="F37324" s="1"/>
      <c r="G37324" s="1"/>
    </row>
    <row r="37325">
      <c r="B37325" s="36"/>
      <c r="C37325" s="36"/>
      <c r="E37325" s="1"/>
      <c r="F37325" s="1"/>
      <c r="G37325" s="1"/>
    </row>
    <row r="37326">
      <c r="B37326" s="36"/>
      <c r="C37326" s="36"/>
      <c r="E37326" s="1"/>
      <c r="F37326" s="1"/>
      <c r="G37326" s="1"/>
    </row>
    <row r="37327">
      <c r="B37327" s="36"/>
      <c r="C37327" s="36"/>
      <c r="E37327" s="1"/>
      <c r="F37327" s="1"/>
      <c r="G37327" s="1"/>
    </row>
    <row r="37328">
      <c r="B37328" s="36"/>
      <c r="C37328" s="36"/>
      <c r="E37328" s="1"/>
      <c r="F37328" s="1"/>
      <c r="G37328" s="1"/>
    </row>
    <row r="37329">
      <c r="B37329" s="36"/>
      <c r="C37329" s="36"/>
      <c r="E37329" s="1"/>
      <c r="F37329" s="1"/>
      <c r="G37329" s="1"/>
    </row>
    <row r="37330">
      <c r="B37330" s="36"/>
      <c r="C37330" s="36"/>
      <c r="E37330" s="1"/>
      <c r="F37330" s="1"/>
      <c r="G37330" s="1"/>
    </row>
    <row r="37331">
      <c r="B37331" s="36"/>
      <c r="C37331" s="36"/>
      <c r="E37331" s="1"/>
      <c r="F37331" s="1"/>
      <c r="G37331" s="1"/>
    </row>
    <row r="37332">
      <c r="B37332" s="36"/>
      <c r="C37332" s="36"/>
      <c r="E37332" s="1"/>
      <c r="F37332" s="1"/>
      <c r="G37332" s="1"/>
    </row>
    <row r="37333">
      <c r="B37333" s="36"/>
      <c r="C37333" s="36"/>
      <c r="E37333" s="1"/>
      <c r="F37333" s="1"/>
      <c r="G37333" s="1"/>
    </row>
    <row r="37334">
      <c r="B37334" s="36"/>
      <c r="C37334" s="36"/>
      <c r="E37334" s="1"/>
      <c r="F37334" s="1"/>
      <c r="G37334" s="1"/>
    </row>
    <row r="37335">
      <c r="B37335" s="36"/>
      <c r="C37335" s="36"/>
      <c r="E37335" s="1"/>
      <c r="F37335" s="1"/>
      <c r="G37335" s="1"/>
    </row>
    <row r="37336">
      <c r="B37336" s="36"/>
      <c r="C37336" s="36"/>
      <c r="E37336" s="1"/>
      <c r="F37336" s="1"/>
      <c r="G37336" s="1"/>
    </row>
    <row r="37337">
      <c r="B37337" s="36"/>
      <c r="C37337" s="36"/>
      <c r="E37337" s="1"/>
      <c r="F37337" s="1"/>
      <c r="G37337" s="1"/>
    </row>
    <row r="37338">
      <c r="B37338" s="36"/>
      <c r="C37338" s="36"/>
      <c r="E37338" s="1"/>
      <c r="F37338" s="1"/>
      <c r="G37338" s="1"/>
    </row>
    <row r="37339">
      <c r="B37339" s="36"/>
      <c r="C37339" s="36"/>
      <c r="E37339" s="1"/>
      <c r="F37339" s="1"/>
      <c r="G37339" s="1"/>
    </row>
    <row r="37340">
      <c r="B37340" s="36"/>
      <c r="C37340" s="36"/>
      <c r="E37340" s="1"/>
      <c r="F37340" s="1"/>
      <c r="G37340" s="1"/>
    </row>
    <row r="37341">
      <c r="B37341" s="36"/>
      <c r="C37341" s="36"/>
      <c r="E37341" s="1"/>
      <c r="F37341" s="1"/>
      <c r="G37341" s="1"/>
    </row>
    <row r="37342">
      <c r="B37342" s="36"/>
      <c r="C37342" s="36"/>
      <c r="E37342" s="1"/>
      <c r="F37342" s="1"/>
      <c r="G37342" s="1"/>
    </row>
    <row r="37343">
      <c r="B37343" s="36"/>
      <c r="C37343" s="36"/>
      <c r="E37343" s="1"/>
      <c r="F37343" s="1"/>
      <c r="G37343" s="1"/>
    </row>
    <row r="37344">
      <c r="B37344" s="36"/>
      <c r="C37344" s="36"/>
      <c r="E37344" s="1"/>
      <c r="F37344" s="1"/>
      <c r="G37344" s="1"/>
    </row>
    <row r="37345">
      <c r="B37345" s="36"/>
      <c r="C37345" s="36"/>
      <c r="E37345" s="1"/>
      <c r="F37345" s="1"/>
      <c r="G37345" s="1"/>
    </row>
    <row r="37346">
      <c r="B37346" s="36"/>
      <c r="C37346" s="36"/>
      <c r="E37346" s="1"/>
      <c r="F37346" s="1"/>
      <c r="G37346" s="1"/>
    </row>
    <row r="37347">
      <c r="B37347" s="36"/>
      <c r="C37347" s="36"/>
      <c r="E37347" s="1"/>
      <c r="F37347" s="1"/>
      <c r="G37347" s="1"/>
    </row>
    <row r="37348">
      <c r="B37348" s="36"/>
      <c r="C37348" s="36"/>
      <c r="E37348" s="1"/>
      <c r="F37348" s="1"/>
      <c r="G37348" s="1"/>
    </row>
    <row r="37349">
      <c r="B37349" s="36"/>
      <c r="C37349" s="36"/>
      <c r="E37349" s="1"/>
      <c r="F37349" s="1"/>
      <c r="G37349" s="1"/>
    </row>
    <row r="37350">
      <c r="B37350" s="36"/>
      <c r="C37350" s="36"/>
      <c r="E37350" s="1"/>
      <c r="F37350" s="1"/>
      <c r="G37350" s="1"/>
    </row>
    <row r="37351">
      <c r="B37351" s="36"/>
      <c r="C37351" s="36"/>
      <c r="E37351" s="1"/>
      <c r="F37351" s="1"/>
      <c r="G37351" s="1"/>
    </row>
    <row r="37352">
      <c r="B37352" s="36"/>
      <c r="C37352" s="36"/>
      <c r="E37352" s="1"/>
      <c r="F37352" s="1"/>
      <c r="G37352" s="1"/>
    </row>
    <row r="37353">
      <c r="B37353" s="36"/>
      <c r="C37353" s="36"/>
      <c r="E37353" s="1"/>
      <c r="F37353" s="1"/>
      <c r="G37353" s="1"/>
    </row>
    <row r="37354">
      <c r="B37354" s="36"/>
      <c r="C37354" s="36"/>
      <c r="E37354" s="1"/>
      <c r="F37354" s="1"/>
      <c r="G37354" s="1"/>
    </row>
    <row r="37355">
      <c r="B37355" s="36"/>
      <c r="C37355" s="36"/>
      <c r="E37355" s="1"/>
      <c r="F37355" s="1"/>
      <c r="G37355" s="1"/>
    </row>
    <row r="37356">
      <c r="B37356" s="36"/>
      <c r="C37356" s="36"/>
      <c r="E37356" s="1"/>
      <c r="F37356" s="1"/>
      <c r="G37356" s="1"/>
    </row>
    <row r="37357">
      <c r="B37357" s="36"/>
      <c r="C37357" s="36"/>
      <c r="E37357" s="1"/>
      <c r="F37357" s="1"/>
      <c r="G37357" s="1"/>
    </row>
    <row r="37358">
      <c r="B37358" s="36"/>
      <c r="C37358" s="36"/>
      <c r="E37358" s="1"/>
      <c r="F37358" s="1"/>
      <c r="G37358" s="1"/>
    </row>
    <row r="37359">
      <c r="B37359" s="36"/>
      <c r="C37359" s="36"/>
      <c r="E37359" s="1"/>
      <c r="F37359" s="1"/>
      <c r="G37359" s="1"/>
    </row>
    <row r="37360">
      <c r="B37360" s="36"/>
      <c r="C37360" s="36"/>
      <c r="E37360" s="1"/>
      <c r="F37360" s="1"/>
      <c r="G37360" s="1"/>
    </row>
    <row r="37361">
      <c r="B37361" s="36"/>
      <c r="C37361" s="36"/>
      <c r="E37361" s="1"/>
      <c r="F37361" s="1"/>
      <c r="G37361" s="1"/>
    </row>
    <row r="37362">
      <c r="B37362" s="36"/>
      <c r="C37362" s="36"/>
      <c r="E37362" s="1"/>
      <c r="F37362" s="1"/>
      <c r="G37362" s="1"/>
    </row>
    <row r="37363">
      <c r="B37363" s="36"/>
      <c r="C37363" s="36"/>
      <c r="E37363" s="1"/>
      <c r="F37363" s="1"/>
      <c r="G37363" s="1"/>
    </row>
    <row r="37364">
      <c r="B37364" s="36"/>
      <c r="C37364" s="36"/>
      <c r="E37364" s="1"/>
      <c r="F37364" s="1"/>
      <c r="G37364" s="1"/>
    </row>
    <row r="37365">
      <c r="B37365" s="36"/>
      <c r="C37365" s="36"/>
      <c r="E37365" s="1"/>
      <c r="F37365" s="1"/>
      <c r="G37365" s="1"/>
    </row>
    <row r="37366">
      <c r="B37366" s="36"/>
      <c r="C37366" s="36"/>
      <c r="E37366" s="1"/>
      <c r="F37366" s="1"/>
      <c r="G37366" s="1"/>
    </row>
    <row r="37367">
      <c r="B37367" s="36"/>
      <c r="C37367" s="36"/>
      <c r="E37367" s="1"/>
      <c r="F37367" s="1"/>
      <c r="G37367" s="1"/>
    </row>
    <row r="37368">
      <c r="B37368" s="36"/>
      <c r="C37368" s="36"/>
      <c r="E37368" s="1"/>
      <c r="F37368" s="1"/>
      <c r="G37368" s="1"/>
    </row>
    <row r="37369">
      <c r="B37369" s="36"/>
      <c r="C37369" s="36"/>
      <c r="E37369" s="1"/>
      <c r="F37369" s="1"/>
      <c r="G37369" s="1"/>
    </row>
    <row r="37370">
      <c r="B37370" s="36"/>
      <c r="C37370" s="36"/>
      <c r="E37370" s="1"/>
      <c r="F37370" s="1"/>
      <c r="G37370" s="1"/>
    </row>
    <row r="37371">
      <c r="B37371" s="36"/>
      <c r="C37371" s="36"/>
      <c r="E37371" s="1"/>
      <c r="F37371" s="1"/>
      <c r="G37371" s="1"/>
    </row>
    <row r="37372">
      <c r="B37372" s="36"/>
      <c r="C37372" s="36"/>
      <c r="E37372" s="1"/>
      <c r="F37372" s="1"/>
      <c r="G37372" s="1"/>
    </row>
    <row r="37373">
      <c r="B37373" s="36"/>
      <c r="C37373" s="36"/>
      <c r="E37373" s="1"/>
      <c r="F37373" s="1"/>
      <c r="G37373" s="1"/>
    </row>
    <row r="37374">
      <c r="B37374" s="36"/>
      <c r="C37374" s="36"/>
      <c r="E37374" s="1"/>
      <c r="F37374" s="1"/>
      <c r="G37374" s="1"/>
    </row>
    <row r="37375">
      <c r="B37375" s="36"/>
      <c r="C37375" s="36"/>
      <c r="E37375" s="1"/>
      <c r="F37375" s="1"/>
      <c r="G37375" s="1"/>
    </row>
    <row r="37376">
      <c r="B37376" s="36"/>
      <c r="C37376" s="36"/>
      <c r="E37376" s="1"/>
      <c r="F37376" s="1"/>
      <c r="G37376" s="1"/>
    </row>
    <row r="37377">
      <c r="B37377" s="36"/>
      <c r="C37377" s="36"/>
      <c r="E37377" s="1"/>
      <c r="F37377" s="1"/>
      <c r="G37377" s="1"/>
    </row>
    <row r="37378">
      <c r="B37378" s="36"/>
      <c r="C37378" s="36"/>
      <c r="E37378" s="1"/>
      <c r="F37378" s="1"/>
      <c r="G37378" s="1"/>
    </row>
    <row r="37379">
      <c r="B37379" s="36"/>
      <c r="C37379" s="36"/>
      <c r="E37379" s="1"/>
      <c r="F37379" s="1"/>
      <c r="G37379" s="1"/>
    </row>
    <row r="37380">
      <c r="B37380" s="36"/>
      <c r="C37380" s="36"/>
      <c r="E37380" s="1"/>
      <c r="F37380" s="1"/>
      <c r="G37380" s="1"/>
    </row>
    <row r="37381">
      <c r="B37381" s="36"/>
      <c r="C37381" s="36"/>
      <c r="E37381" s="1"/>
      <c r="F37381" s="1"/>
      <c r="G37381" s="1"/>
    </row>
    <row r="37382">
      <c r="B37382" s="36"/>
      <c r="C37382" s="36"/>
      <c r="E37382" s="1"/>
      <c r="F37382" s="1"/>
      <c r="G37382" s="1"/>
    </row>
    <row r="37383">
      <c r="B37383" s="36"/>
      <c r="C37383" s="36"/>
      <c r="E37383" s="1"/>
      <c r="F37383" s="1"/>
      <c r="G37383" s="1"/>
    </row>
    <row r="37384">
      <c r="B37384" s="36"/>
      <c r="C37384" s="36"/>
      <c r="E37384" s="1"/>
      <c r="F37384" s="1"/>
      <c r="G37384" s="1"/>
    </row>
    <row r="37385">
      <c r="B37385" s="36"/>
      <c r="C37385" s="36"/>
      <c r="E37385" s="1"/>
      <c r="F37385" s="1"/>
      <c r="G37385" s="1"/>
    </row>
    <row r="37386">
      <c r="B37386" s="36"/>
      <c r="C37386" s="36"/>
      <c r="E37386" s="1"/>
      <c r="F37386" s="1"/>
      <c r="G37386" s="1"/>
    </row>
    <row r="37387">
      <c r="B37387" s="36"/>
      <c r="C37387" s="36"/>
      <c r="E37387" s="1"/>
      <c r="F37387" s="1"/>
      <c r="G37387" s="1"/>
    </row>
    <row r="37388">
      <c r="B37388" s="36"/>
      <c r="C37388" s="36"/>
      <c r="E37388" s="1"/>
      <c r="F37388" s="1"/>
      <c r="G37388" s="1"/>
    </row>
    <row r="37389">
      <c r="B37389" s="36"/>
      <c r="C37389" s="36"/>
      <c r="E37389" s="1"/>
      <c r="F37389" s="1"/>
      <c r="G37389" s="1"/>
    </row>
    <row r="37390">
      <c r="B37390" s="36"/>
      <c r="C37390" s="36"/>
      <c r="E37390" s="1"/>
      <c r="F37390" s="1"/>
      <c r="G37390" s="1"/>
    </row>
    <row r="37391">
      <c r="B37391" s="36"/>
      <c r="C37391" s="36"/>
      <c r="E37391" s="1"/>
      <c r="F37391" s="1"/>
      <c r="G37391" s="1"/>
    </row>
    <row r="37392">
      <c r="B37392" s="36"/>
      <c r="C37392" s="36"/>
      <c r="E37392" s="1"/>
      <c r="F37392" s="1"/>
      <c r="G37392" s="1"/>
    </row>
    <row r="37393">
      <c r="B37393" s="36"/>
      <c r="C37393" s="36"/>
      <c r="E37393" s="1"/>
      <c r="F37393" s="1"/>
      <c r="G37393" s="1"/>
    </row>
    <row r="37394">
      <c r="B37394" s="36"/>
      <c r="C37394" s="36"/>
      <c r="E37394" s="1"/>
      <c r="F37394" s="1"/>
      <c r="G37394" s="1"/>
    </row>
    <row r="37395">
      <c r="B37395" s="36"/>
      <c r="C37395" s="36"/>
      <c r="E37395" s="1"/>
      <c r="F37395" s="1"/>
      <c r="G37395" s="1"/>
    </row>
    <row r="37396">
      <c r="B37396" s="36"/>
      <c r="C37396" s="36"/>
      <c r="E37396" s="1"/>
      <c r="F37396" s="1"/>
      <c r="G37396" s="1"/>
    </row>
    <row r="37397">
      <c r="B37397" s="36"/>
      <c r="C37397" s="36"/>
      <c r="E37397" s="1"/>
      <c r="F37397" s="1"/>
      <c r="G37397" s="1"/>
    </row>
    <row r="37398">
      <c r="B37398" s="36"/>
      <c r="C37398" s="36"/>
      <c r="E37398" s="1"/>
      <c r="F37398" s="1"/>
      <c r="G37398" s="1"/>
    </row>
    <row r="37399">
      <c r="B37399" s="36"/>
      <c r="C37399" s="36"/>
      <c r="E37399" s="1"/>
      <c r="F37399" s="1"/>
      <c r="G37399" s="1"/>
    </row>
    <row r="37400">
      <c r="B37400" s="36"/>
      <c r="C37400" s="36"/>
      <c r="E37400" s="1"/>
      <c r="F37400" s="1"/>
      <c r="G37400" s="1"/>
    </row>
    <row r="37401">
      <c r="B37401" s="36"/>
      <c r="C37401" s="36"/>
      <c r="E37401" s="1"/>
      <c r="F37401" s="1"/>
      <c r="G37401" s="1"/>
    </row>
    <row r="37402">
      <c r="B37402" s="36"/>
      <c r="C37402" s="36"/>
      <c r="E37402" s="1"/>
      <c r="F37402" s="1"/>
      <c r="G37402" s="1"/>
    </row>
    <row r="37403">
      <c r="B37403" s="36"/>
      <c r="C37403" s="36"/>
      <c r="E37403" s="1"/>
      <c r="F37403" s="1"/>
      <c r="G37403" s="1"/>
    </row>
    <row r="37404">
      <c r="B37404" s="36"/>
      <c r="C37404" s="36"/>
      <c r="E37404" s="1"/>
      <c r="F37404" s="1"/>
      <c r="G37404" s="1"/>
    </row>
    <row r="37405">
      <c r="B37405" s="36"/>
      <c r="C37405" s="36"/>
      <c r="E37405" s="1"/>
      <c r="F37405" s="1"/>
      <c r="G37405" s="1"/>
    </row>
    <row r="37406">
      <c r="B37406" s="36"/>
      <c r="C37406" s="36"/>
      <c r="E37406" s="1"/>
      <c r="F37406" s="1"/>
      <c r="G37406" s="1"/>
    </row>
    <row r="37407">
      <c r="B37407" s="36"/>
      <c r="C37407" s="36"/>
      <c r="E37407" s="1"/>
      <c r="F37407" s="1"/>
      <c r="G37407" s="1"/>
    </row>
    <row r="37408">
      <c r="B37408" s="36"/>
      <c r="C37408" s="36"/>
      <c r="E37408" s="1"/>
      <c r="F37408" s="1"/>
      <c r="G37408" s="1"/>
    </row>
    <row r="37409">
      <c r="B37409" s="36"/>
      <c r="C37409" s="36"/>
      <c r="E37409" s="1"/>
      <c r="F37409" s="1"/>
      <c r="G37409" s="1"/>
    </row>
    <row r="37410">
      <c r="B37410" s="36"/>
      <c r="C37410" s="36"/>
      <c r="E37410" s="1"/>
      <c r="F37410" s="1"/>
      <c r="G37410" s="1"/>
    </row>
    <row r="37411">
      <c r="B37411" s="36"/>
      <c r="C37411" s="36"/>
      <c r="E37411" s="1"/>
      <c r="F37411" s="1"/>
      <c r="G37411" s="1"/>
    </row>
    <row r="37412">
      <c r="B37412" s="36"/>
      <c r="C37412" s="36"/>
      <c r="E37412" s="1"/>
      <c r="F37412" s="1"/>
      <c r="G37412" s="1"/>
    </row>
    <row r="37413">
      <c r="B37413" s="36"/>
      <c r="C37413" s="36"/>
      <c r="E37413" s="1"/>
      <c r="F37413" s="1"/>
      <c r="G37413" s="1"/>
    </row>
    <row r="37414">
      <c r="B37414" s="36"/>
      <c r="C37414" s="36"/>
      <c r="E37414" s="1"/>
      <c r="F37414" s="1"/>
      <c r="G37414" s="1"/>
    </row>
    <row r="37415">
      <c r="B37415" s="36"/>
      <c r="C37415" s="36"/>
      <c r="E37415" s="1"/>
      <c r="F37415" s="1"/>
      <c r="G37415" s="1"/>
    </row>
    <row r="37416">
      <c r="B37416" s="36"/>
      <c r="C37416" s="36"/>
      <c r="E37416" s="1"/>
      <c r="F37416" s="1"/>
      <c r="G37416" s="1"/>
    </row>
    <row r="37417">
      <c r="B37417" s="36"/>
      <c r="C37417" s="36"/>
      <c r="E37417" s="1"/>
      <c r="F37417" s="1"/>
      <c r="G37417" s="1"/>
    </row>
    <row r="37418">
      <c r="B37418" s="36"/>
      <c r="C37418" s="36"/>
      <c r="E37418" s="1"/>
      <c r="F37418" s="1"/>
      <c r="G37418" s="1"/>
    </row>
    <row r="37419">
      <c r="B37419" s="36"/>
      <c r="C37419" s="36"/>
      <c r="E37419" s="1"/>
      <c r="F37419" s="1"/>
      <c r="G37419" s="1"/>
    </row>
    <row r="37420">
      <c r="B37420" s="36"/>
      <c r="C37420" s="36"/>
      <c r="E37420" s="1"/>
      <c r="F37420" s="1"/>
      <c r="G37420" s="1"/>
    </row>
    <row r="37421">
      <c r="B37421" s="36"/>
      <c r="C37421" s="36"/>
      <c r="E37421" s="1"/>
      <c r="F37421" s="1"/>
      <c r="G37421" s="1"/>
    </row>
    <row r="37422">
      <c r="B37422" s="36"/>
      <c r="C37422" s="36"/>
      <c r="E37422" s="1"/>
      <c r="F37422" s="1"/>
      <c r="G37422" s="1"/>
    </row>
    <row r="37423">
      <c r="B37423" s="36"/>
      <c r="C37423" s="36"/>
      <c r="E37423" s="1"/>
      <c r="F37423" s="1"/>
      <c r="G37423" s="1"/>
    </row>
    <row r="37424">
      <c r="B37424" s="36"/>
      <c r="C37424" s="36"/>
      <c r="E37424" s="1"/>
      <c r="F37424" s="1"/>
      <c r="G37424" s="1"/>
    </row>
    <row r="37425">
      <c r="B37425" s="36"/>
      <c r="C37425" s="36"/>
      <c r="E37425" s="1"/>
      <c r="F37425" s="1"/>
      <c r="G37425" s="1"/>
    </row>
    <row r="37426">
      <c r="B37426" s="36"/>
      <c r="C37426" s="36"/>
      <c r="E37426" s="1"/>
      <c r="F37426" s="1"/>
      <c r="G37426" s="1"/>
    </row>
    <row r="37427">
      <c r="B37427" s="36"/>
      <c r="C37427" s="36"/>
      <c r="E37427" s="1"/>
      <c r="F37427" s="1"/>
      <c r="G37427" s="1"/>
    </row>
    <row r="37428">
      <c r="B37428" s="36"/>
      <c r="C37428" s="36"/>
      <c r="E37428" s="1"/>
      <c r="F37428" s="1"/>
      <c r="G37428" s="1"/>
    </row>
    <row r="37429">
      <c r="B37429" s="36"/>
      <c r="C37429" s="36"/>
      <c r="E37429" s="1"/>
      <c r="F37429" s="1"/>
      <c r="G37429" s="1"/>
    </row>
    <row r="37430">
      <c r="B37430" s="36"/>
      <c r="C37430" s="36"/>
      <c r="E37430" s="1"/>
      <c r="F37430" s="1"/>
      <c r="G37430" s="1"/>
    </row>
    <row r="37431">
      <c r="B37431" s="36"/>
      <c r="C37431" s="36"/>
      <c r="E37431" s="1"/>
      <c r="F37431" s="1"/>
      <c r="G37431" s="1"/>
    </row>
    <row r="37432">
      <c r="B37432" s="36"/>
      <c r="C37432" s="36"/>
      <c r="E37432" s="1"/>
      <c r="F37432" s="1"/>
      <c r="G37432" s="1"/>
    </row>
    <row r="37433">
      <c r="B37433" s="36"/>
      <c r="C37433" s="36"/>
      <c r="E37433" s="1"/>
      <c r="F37433" s="1"/>
      <c r="G37433" s="1"/>
    </row>
    <row r="37434">
      <c r="B37434" s="36"/>
      <c r="C37434" s="36"/>
      <c r="E37434" s="1"/>
      <c r="F37434" s="1"/>
      <c r="G37434" s="1"/>
    </row>
    <row r="37435">
      <c r="B37435" s="36"/>
      <c r="C37435" s="36"/>
      <c r="E37435" s="1"/>
      <c r="F37435" s="1"/>
      <c r="G37435" s="1"/>
    </row>
    <row r="37436">
      <c r="B37436" s="36"/>
      <c r="C37436" s="36"/>
      <c r="E37436" s="1"/>
      <c r="F37436" s="1"/>
      <c r="G37436" s="1"/>
    </row>
    <row r="37437">
      <c r="B37437" s="36"/>
      <c r="C37437" s="36"/>
      <c r="E37437" s="1"/>
      <c r="F37437" s="1"/>
      <c r="G37437" s="1"/>
    </row>
    <row r="37438">
      <c r="B37438" s="36"/>
      <c r="C37438" s="36"/>
      <c r="E37438" s="1"/>
      <c r="F37438" s="1"/>
      <c r="G37438" s="1"/>
    </row>
    <row r="37439">
      <c r="B37439" s="36"/>
      <c r="C37439" s="36"/>
      <c r="E37439" s="1"/>
      <c r="F37439" s="1"/>
      <c r="G37439" s="1"/>
    </row>
    <row r="37440">
      <c r="B37440" s="36"/>
      <c r="C37440" s="36"/>
      <c r="E37440" s="1"/>
      <c r="F37440" s="1"/>
      <c r="G37440" s="1"/>
    </row>
    <row r="37441">
      <c r="B37441" s="36"/>
      <c r="C37441" s="36"/>
      <c r="E37441" s="1"/>
      <c r="F37441" s="1"/>
      <c r="G37441" s="1"/>
    </row>
    <row r="37442">
      <c r="B37442" s="36"/>
      <c r="C37442" s="36"/>
      <c r="E37442" s="1"/>
      <c r="F37442" s="1"/>
      <c r="G37442" s="1"/>
    </row>
    <row r="37443">
      <c r="B37443" s="36"/>
      <c r="C37443" s="36"/>
      <c r="E37443" s="1"/>
      <c r="F37443" s="1"/>
      <c r="G37443" s="1"/>
    </row>
    <row r="37444">
      <c r="B37444" s="36"/>
      <c r="C37444" s="36"/>
      <c r="E37444" s="1"/>
      <c r="F37444" s="1"/>
      <c r="G37444" s="1"/>
    </row>
    <row r="37445">
      <c r="B37445" s="36"/>
      <c r="C37445" s="36"/>
      <c r="E37445" s="1"/>
      <c r="F37445" s="1"/>
      <c r="G37445" s="1"/>
    </row>
    <row r="37446">
      <c r="B37446" s="36"/>
      <c r="C37446" s="36"/>
      <c r="E37446" s="1"/>
      <c r="F37446" s="1"/>
      <c r="G37446" s="1"/>
    </row>
    <row r="37447">
      <c r="B37447" s="36"/>
      <c r="C37447" s="36"/>
      <c r="E37447" s="1"/>
      <c r="F37447" s="1"/>
      <c r="G37447" s="1"/>
    </row>
    <row r="37448">
      <c r="B37448" s="36"/>
      <c r="C37448" s="36"/>
      <c r="E37448" s="1"/>
      <c r="F37448" s="1"/>
      <c r="G37448" s="1"/>
    </row>
    <row r="37449">
      <c r="B37449" s="36"/>
      <c r="C37449" s="36"/>
      <c r="E37449" s="1"/>
      <c r="F37449" s="1"/>
      <c r="G37449" s="1"/>
    </row>
    <row r="37450">
      <c r="B37450" s="36"/>
      <c r="C37450" s="36"/>
      <c r="E37450" s="1"/>
      <c r="F37450" s="1"/>
      <c r="G37450" s="1"/>
    </row>
    <row r="37451">
      <c r="B37451" s="36"/>
      <c r="C37451" s="36"/>
      <c r="E37451" s="1"/>
      <c r="F37451" s="1"/>
      <c r="G37451" s="1"/>
    </row>
    <row r="37452">
      <c r="B37452" s="36"/>
      <c r="C37452" s="36"/>
      <c r="E37452" s="1"/>
      <c r="F37452" s="1"/>
      <c r="G37452" s="1"/>
    </row>
    <row r="37453">
      <c r="B37453" s="36"/>
      <c r="C37453" s="36"/>
      <c r="E37453" s="1"/>
      <c r="F37453" s="1"/>
      <c r="G37453" s="1"/>
    </row>
    <row r="37454">
      <c r="B37454" s="36"/>
      <c r="C37454" s="36"/>
      <c r="E37454" s="1"/>
      <c r="F37454" s="1"/>
      <c r="G37454" s="1"/>
    </row>
    <row r="37455">
      <c r="B37455" s="36"/>
      <c r="C37455" s="36"/>
      <c r="E37455" s="1"/>
      <c r="F37455" s="1"/>
      <c r="G37455" s="1"/>
    </row>
    <row r="37456">
      <c r="B37456" s="36"/>
      <c r="C37456" s="36"/>
      <c r="E37456" s="1"/>
      <c r="F37456" s="1"/>
      <c r="G37456" s="1"/>
    </row>
    <row r="37457">
      <c r="B37457" s="36"/>
      <c r="C37457" s="36"/>
      <c r="E37457" s="1"/>
      <c r="F37457" s="1"/>
      <c r="G37457" s="1"/>
    </row>
    <row r="37458">
      <c r="B37458" s="36"/>
      <c r="C37458" s="36"/>
      <c r="E37458" s="1"/>
      <c r="F37458" s="1"/>
      <c r="G37458" s="1"/>
    </row>
    <row r="37459">
      <c r="B37459" s="36"/>
      <c r="C37459" s="36"/>
      <c r="E37459" s="1"/>
      <c r="F37459" s="1"/>
      <c r="G37459" s="1"/>
    </row>
    <row r="37460">
      <c r="B37460" s="36"/>
      <c r="C37460" s="36"/>
      <c r="E37460" s="1"/>
      <c r="F37460" s="1"/>
      <c r="G37460" s="1"/>
    </row>
    <row r="37461">
      <c r="B37461" s="36"/>
      <c r="C37461" s="36"/>
      <c r="E37461" s="1"/>
      <c r="F37461" s="1"/>
      <c r="G37461" s="1"/>
    </row>
    <row r="37462">
      <c r="B37462" s="36"/>
      <c r="C37462" s="36"/>
      <c r="E37462" s="1"/>
      <c r="F37462" s="1"/>
      <c r="G37462" s="1"/>
    </row>
    <row r="37463">
      <c r="B37463" s="36"/>
      <c r="C37463" s="36"/>
      <c r="E37463" s="1"/>
      <c r="F37463" s="1"/>
      <c r="G37463" s="1"/>
    </row>
    <row r="37464">
      <c r="B37464" s="36"/>
      <c r="C37464" s="36"/>
      <c r="E37464" s="1"/>
      <c r="F37464" s="1"/>
      <c r="G37464" s="1"/>
    </row>
    <row r="37465">
      <c r="B37465" s="36"/>
      <c r="C37465" s="36"/>
      <c r="E37465" s="1"/>
      <c r="F37465" s="1"/>
      <c r="G37465" s="1"/>
    </row>
    <row r="37466">
      <c r="B37466" s="36"/>
      <c r="C37466" s="36"/>
      <c r="E37466" s="1"/>
      <c r="F37466" s="1"/>
      <c r="G37466" s="1"/>
    </row>
    <row r="37467">
      <c r="B37467" s="36"/>
      <c r="C37467" s="36"/>
      <c r="E37467" s="1"/>
      <c r="F37467" s="1"/>
      <c r="G37467" s="1"/>
    </row>
    <row r="37468">
      <c r="B37468" s="36"/>
      <c r="C37468" s="36"/>
      <c r="E37468" s="1"/>
      <c r="F37468" s="1"/>
      <c r="G37468" s="1"/>
    </row>
    <row r="37469">
      <c r="B37469" s="36"/>
      <c r="C37469" s="36"/>
      <c r="E37469" s="1"/>
      <c r="F37469" s="1"/>
      <c r="G37469" s="1"/>
    </row>
    <row r="37470">
      <c r="B37470" s="36"/>
      <c r="C37470" s="36"/>
      <c r="E37470" s="1"/>
      <c r="F37470" s="1"/>
      <c r="G37470" s="1"/>
    </row>
    <row r="37471">
      <c r="B37471" s="36"/>
      <c r="C37471" s="36"/>
      <c r="E37471" s="1"/>
      <c r="F37471" s="1"/>
      <c r="G37471" s="1"/>
    </row>
    <row r="37472">
      <c r="B37472" s="36"/>
      <c r="C37472" s="36"/>
      <c r="E37472" s="1"/>
      <c r="F37472" s="1"/>
      <c r="G37472" s="1"/>
    </row>
    <row r="37473">
      <c r="B37473" s="36"/>
      <c r="C37473" s="36"/>
      <c r="E37473" s="1"/>
      <c r="F37473" s="1"/>
      <c r="G37473" s="1"/>
    </row>
    <row r="37474">
      <c r="B37474" s="36"/>
      <c r="C37474" s="36"/>
      <c r="E37474" s="1"/>
      <c r="F37474" s="1"/>
      <c r="G37474" s="1"/>
    </row>
    <row r="37475">
      <c r="B37475" s="36"/>
      <c r="C37475" s="36"/>
      <c r="E37475" s="1"/>
      <c r="F37475" s="1"/>
      <c r="G37475" s="1"/>
    </row>
    <row r="37476">
      <c r="B37476" s="36"/>
      <c r="C37476" s="36"/>
      <c r="E37476" s="1"/>
      <c r="F37476" s="1"/>
      <c r="G37476" s="1"/>
    </row>
    <row r="37477">
      <c r="B37477" s="36"/>
      <c r="C37477" s="36"/>
      <c r="E37477" s="1"/>
      <c r="F37477" s="1"/>
      <c r="G37477" s="1"/>
    </row>
    <row r="37478">
      <c r="B37478" s="36"/>
      <c r="C37478" s="36"/>
      <c r="E37478" s="1"/>
      <c r="F37478" s="1"/>
      <c r="G37478" s="1"/>
    </row>
    <row r="37479">
      <c r="B37479" s="36"/>
      <c r="C37479" s="36"/>
      <c r="E37479" s="1"/>
      <c r="F37479" s="1"/>
      <c r="G37479" s="1"/>
    </row>
    <row r="37480">
      <c r="B37480" s="36"/>
      <c r="C37480" s="36"/>
      <c r="E37480" s="1"/>
      <c r="F37480" s="1"/>
      <c r="G37480" s="1"/>
    </row>
    <row r="37481">
      <c r="B37481" s="36"/>
      <c r="C37481" s="36"/>
      <c r="E37481" s="1"/>
      <c r="F37481" s="1"/>
      <c r="G37481" s="1"/>
    </row>
    <row r="37482">
      <c r="B37482" s="36"/>
      <c r="C37482" s="36"/>
      <c r="E37482" s="1"/>
      <c r="F37482" s="1"/>
      <c r="G37482" s="1"/>
    </row>
    <row r="37483">
      <c r="B37483" s="36"/>
      <c r="C37483" s="36"/>
      <c r="E37483" s="1"/>
      <c r="F37483" s="1"/>
      <c r="G37483" s="1"/>
    </row>
    <row r="37484">
      <c r="B37484" s="36"/>
      <c r="C37484" s="36"/>
      <c r="E37484" s="1"/>
      <c r="F37484" s="1"/>
      <c r="G37484" s="1"/>
    </row>
    <row r="37485">
      <c r="B37485" s="36"/>
      <c r="C37485" s="36"/>
      <c r="E37485" s="1"/>
      <c r="F37485" s="1"/>
      <c r="G37485" s="1"/>
    </row>
    <row r="37486">
      <c r="B37486" s="36"/>
      <c r="C37486" s="36"/>
      <c r="E37486" s="1"/>
      <c r="F37486" s="1"/>
      <c r="G37486" s="1"/>
    </row>
    <row r="37487">
      <c r="B37487" s="36"/>
      <c r="C37487" s="36"/>
      <c r="E37487" s="1"/>
      <c r="F37487" s="1"/>
      <c r="G37487" s="1"/>
    </row>
    <row r="37488">
      <c r="B37488" s="36"/>
      <c r="C37488" s="36"/>
      <c r="E37488" s="1"/>
      <c r="F37488" s="1"/>
      <c r="G37488" s="1"/>
    </row>
    <row r="37489">
      <c r="B37489" s="36"/>
      <c r="C37489" s="36"/>
      <c r="E37489" s="1"/>
      <c r="F37489" s="1"/>
      <c r="G37489" s="1"/>
    </row>
    <row r="37490">
      <c r="B37490" s="36"/>
      <c r="C37490" s="36"/>
      <c r="E37490" s="1"/>
      <c r="F37490" s="1"/>
      <c r="G37490" s="1"/>
    </row>
    <row r="37491">
      <c r="B37491" s="36"/>
      <c r="C37491" s="36"/>
      <c r="E37491" s="1"/>
      <c r="F37491" s="1"/>
      <c r="G37491" s="1"/>
    </row>
    <row r="37492">
      <c r="B37492" s="36"/>
      <c r="C37492" s="36"/>
      <c r="E37492" s="1"/>
      <c r="F37492" s="1"/>
      <c r="G37492" s="1"/>
    </row>
    <row r="37493">
      <c r="B37493" s="36"/>
      <c r="C37493" s="36"/>
      <c r="E37493" s="1"/>
      <c r="F37493" s="1"/>
      <c r="G37493" s="1"/>
    </row>
    <row r="37494">
      <c r="B37494" s="36"/>
      <c r="C37494" s="36"/>
      <c r="E37494" s="1"/>
      <c r="F37494" s="1"/>
      <c r="G37494" s="1"/>
    </row>
    <row r="37495">
      <c r="B37495" s="36"/>
      <c r="C37495" s="36"/>
      <c r="E37495" s="1"/>
      <c r="F37495" s="1"/>
      <c r="G37495" s="1"/>
    </row>
    <row r="37496">
      <c r="B37496" s="36"/>
      <c r="C37496" s="36"/>
      <c r="E37496" s="1"/>
      <c r="F37496" s="1"/>
      <c r="G37496" s="1"/>
    </row>
    <row r="37497">
      <c r="B37497" s="36"/>
      <c r="C37497" s="36"/>
      <c r="E37497" s="1"/>
      <c r="F37497" s="1"/>
      <c r="G37497" s="1"/>
    </row>
    <row r="37498">
      <c r="B37498" s="36"/>
      <c r="C37498" s="36"/>
      <c r="E37498" s="1"/>
      <c r="F37498" s="1"/>
      <c r="G37498" s="1"/>
    </row>
    <row r="37499">
      <c r="B37499" s="36"/>
      <c r="C37499" s="36"/>
      <c r="E37499" s="1"/>
      <c r="F37499" s="1"/>
      <c r="G37499" s="1"/>
    </row>
    <row r="37500">
      <c r="B37500" s="36"/>
      <c r="C37500" s="36"/>
      <c r="E37500" s="1"/>
      <c r="F37500" s="1"/>
      <c r="G37500" s="1"/>
    </row>
    <row r="37501">
      <c r="B37501" s="36"/>
      <c r="C37501" s="36"/>
      <c r="E37501" s="1"/>
      <c r="F37501" s="1"/>
      <c r="G37501" s="1"/>
    </row>
    <row r="37502">
      <c r="B37502" s="36"/>
      <c r="C37502" s="36"/>
      <c r="E37502" s="1"/>
      <c r="F37502" s="1"/>
      <c r="G37502" s="1"/>
    </row>
    <row r="37503">
      <c r="B37503" s="36"/>
      <c r="C37503" s="36"/>
      <c r="E37503" s="1"/>
      <c r="F37503" s="1"/>
      <c r="G37503" s="1"/>
    </row>
    <row r="37504">
      <c r="B37504" s="36"/>
      <c r="C37504" s="36"/>
      <c r="E37504" s="1"/>
      <c r="F37504" s="1"/>
      <c r="G37504" s="1"/>
    </row>
    <row r="37505">
      <c r="B37505" s="36"/>
      <c r="C37505" s="36"/>
      <c r="E37505" s="1"/>
      <c r="F37505" s="1"/>
      <c r="G37505" s="1"/>
    </row>
    <row r="37506">
      <c r="B37506" s="36"/>
      <c r="C37506" s="36"/>
      <c r="E37506" s="1"/>
      <c r="F37506" s="1"/>
      <c r="G37506" s="1"/>
    </row>
    <row r="37507">
      <c r="B37507" s="36"/>
      <c r="C37507" s="36"/>
      <c r="E37507" s="1"/>
      <c r="F37507" s="1"/>
      <c r="G37507" s="1"/>
    </row>
    <row r="37508">
      <c r="B37508" s="36"/>
      <c r="C37508" s="36"/>
      <c r="E37508" s="1"/>
      <c r="F37508" s="1"/>
      <c r="G37508" s="1"/>
    </row>
    <row r="37509">
      <c r="B37509" s="36"/>
      <c r="C37509" s="36"/>
      <c r="E37509" s="1"/>
      <c r="F37509" s="1"/>
      <c r="G37509" s="1"/>
    </row>
    <row r="37510">
      <c r="B37510" s="36"/>
      <c r="C37510" s="36"/>
      <c r="E37510" s="1"/>
      <c r="F37510" s="1"/>
      <c r="G37510" s="1"/>
    </row>
    <row r="37511">
      <c r="B37511" s="36"/>
      <c r="C37511" s="36"/>
      <c r="E37511" s="1"/>
      <c r="F37511" s="1"/>
      <c r="G37511" s="1"/>
    </row>
    <row r="37512">
      <c r="B37512" s="36"/>
      <c r="C37512" s="36"/>
      <c r="E37512" s="1"/>
      <c r="F37512" s="1"/>
      <c r="G37512" s="1"/>
    </row>
    <row r="37513">
      <c r="B37513" s="36"/>
      <c r="C37513" s="36"/>
      <c r="E37513" s="1"/>
      <c r="F37513" s="1"/>
      <c r="G37513" s="1"/>
    </row>
    <row r="37514">
      <c r="B37514" s="36"/>
      <c r="C37514" s="36"/>
      <c r="E37514" s="1"/>
      <c r="F37514" s="1"/>
      <c r="G37514" s="1"/>
    </row>
    <row r="37515">
      <c r="B37515" s="36"/>
      <c r="C37515" s="36"/>
      <c r="E37515" s="1"/>
      <c r="F37515" s="1"/>
      <c r="G37515" s="1"/>
    </row>
    <row r="37516">
      <c r="B37516" s="36"/>
      <c r="C37516" s="36"/>
      <c r="E37516" s="1"/>
      <c r="F37516" s="1"/>
      <c r="G37516" s="1"/>
    </row>
    <row r="37517">
      <c r="B37517" s="36"/>
      <c r="C37517" s="36"/>
      <c r="E37517" s="1"/>
      <c r="F37517" s="1"/>
      <c r="G37517" s="1"/>
    </row>
    <row r="37518">
      <c r="B37518" s="36"/>
      <c r="C37518" s="36"/>
      <c r="E37518" s="1"/>
      <c r="F37518" s="1"/>
      <c r="G37518" s="1"/>
    </row>
    <row r="37519">
      <c r="B37519" s="36"/>
      <c r="C37519" s="36"/>
      <c r="E37519" s="1"/>
      <c r="F37519" s="1"/>
      <c r="G37519" s="1"/>
    </row>
    <row r="37520">
      <c r="B37520" s="36"/>
      <c r="C37520" s="36"/>
      <c r="E37520" s="1"/>
      <c r="F37520" s="1"/>
      <c r="G37520" s="1"/>
    </row>
    <row r="37521">
      <c r="B37521" s="36"/>
      <c r="C37521" s="36"/>
      <c r="E37521" s="1"/>
      <c r="F37521" s="1"/>
      <c r="G37521" s="1"/>
    </row>
    <row r="37522">
      <c r="B37522" s="36"/>
      <c r="C37522" s="36"/>
      <c r="E37522" s="1"/>
      <c r="F37522" s="1"/>
      <c r="G37522" s="1"/>
    </row>
    <row r="37523">
      <c r="B37523" s="36"/>
      <c r="C37523" s="36"/>
      <c r="E37523" s="1"/>
      <c r="F37523" s="1"/>
      <c r="G37523" s="1"/>
    </row>
    <row r="37524">
      <c r="B37524" s="36"/>
      <c r="C37524" s="36"/>
      <c r="E37524" s="1"/>
      <c r="F37524" s="1"/>
      <c r="G37524" s="1"/>
    </row>
    <row r="37525">
      <c r="B37525" s="36"/>
      <c r="C37525" s="36"/>
      <c r="E37525" s="1"/>
      <c r="F37525" s="1"/>
      <c r="G37525" s="1"/>
    </row>
    <row r="37526">
      <c r="B37526" s="36"/>
      <c r="C37526" s="36"/>
      <c r="E37526" s="1"/>
      <c r="F37526" s="1"/>
      <c r="G37526" s="1"/>
    </row>
    <row r="37527">
      <c r="B37527" s="36"/>
      <c r="C37527" s="36"/>
      <c r="E37527" s="1"/>
      <c r="F37527" s="1"/>
      <c r="G37527" s="1"/>
    </row>
    <row r="37528">
      <c r="B37528" s="36"/>
      <c r="C37528" s="36"/>
      <c r="E37528" s="1"/>
      <c r="F37528" s="1"/>
      <c r="G37528" s="1"/>
    </row>
    <row r="37529">
      <c r="B37529" s="36"/>
      <c r="C37529" s="36"/>
      <c r="E37529" s="1"/>
      <c r="F37529" s="1"/>
      <c r="G37529" s="1"/>
    </row>
    <row r="37530">
      <c r="B37530" s="36"/>
      <c r="C37530" s="36"/>
      <c r="E37530" s="1"/>
      <c r="F37530" s="1"/>
      <c r="G37530" s="1"/>
    </row>
    <row r="37531">
      <c r="B37531" s="36"/>
      <c r="C37531" s="36"/>
      <c r="E37531" s="1"/>
      <c r="F37531" s="1"/>
      <c r="G37531" s="1"/>
    </row>
    <row r="37532">
      <c r="B37532" s="36"/>
      <c r="C37532" s="36"/>
      <c r="E37532" s="1"/>
      <c r="F37532" s="1"/>
      <c r="G37532" s="1"/>
    </row>
    <row r="37533">
      <c r="B37533" s="36"/>
      <c r="C37533" s="36"/>
      <c r="E37533" s="1"/>
      <c r="F37533" s="1"/>
      <c r="G37533" s="1"/>
    </row>
    <row r="37534">
      <c r="B37534" s="36"/>
      <c r="C37534" s="36"/>
      <c r="E37534" s="1"/>
      <c r="F37534" s="1"/>
      <c r="G37534" s="1"/>
    </row>
    <row r="37535">
      <c r="B37535" s="36"/>
      <c r="C37535" s="36"/>
      <c r="E37535" s="1"/>
      <c r="F37535" s="1"/>
      <c r="G37535" s="1"/>
    </row>
    <row r="37536">
      <c r="B37536" s="36"/>
      <c r="C37536" s="36"/>
      <c r="E37536" s="1"/>
      <c r="F37536" s="1"/>
      <c r="G37536" s="1"/>
    </row>
    <row r="37537">
      <c r="B37537" s="36"/>
      <c r="C37537" s="36"/>
      <c r="E37537" s="1"/>
      <c r="F37537" s="1"/>
      <c r="G37537" s="1"/>
    </row>
    <row r="37538">
      <c r="B37538" s="36"/>
      <c r="C37538" s="36"/>
      <c r="E37538" s="1"/>
      <c r="F37538" s="1"/>
      <c r="G37538" s="1"/>
    </row>
    <row r="37539">
      <c r="B37539" s="36"/>
      <c r="C37539" s="36"/>
      <c r="E37539" s="1"/>
      <c r="F37539" s="1"/>
      <c r="G37539" s="1"/>
    </row>
    <row r="37540">
      <c r="B37540" s="36"/>
      <c r="C37540" s="36"/>
      <c r="E37540" s="1"/>
      <c r="F37540" s="1"/>
      <c r="G37540" s="1"/>
    </row>
    <row r="37541">
      <c r="B37541" s="36"/>
      <c r="C37541" s="36"/>
      <c r="E37541" s="1"/>
      <c r="F37541" s="1"/>
      <c r="G37541" s="1"/>
    </row>
    <row r="37542">
      <c r="B37542" s="36"/>
      <c r="C37542" s="36"/>
      <c r="E37542" s="1"/>
      <c r="F37542" s="1"/>
      <c r="G37542" s="1"/>
    </row>
    <row r="37543">
      <c r="B37543" s="36"/>
      <c r="C37543" s="36"/>
      <c r="E37543" s="1"/>
      <c r="F37543" s="1"/>
      <c r="G37543" s="1"/>
    </row>
    <row r="37544">
      <c r="B37544" s="36"/>
      <c r="C37544" s="36"/>
      <c r="E37544" s="1"/>
      <c r="F37544" s="1"/>
      <c r="G37544" s="1"/>
    </row>
    <row r="37545">
      <c r="B37545" s="36"/>
      <c r="C37545" s="36"/>
      <c r="E37545" s="1"/>
      <c r="F37545" s="1"/>
      <c r="G37545" s="1"/>
    </row>
    <row r="37546">
      <c r="B37546" s="36"/>
      <c r="C37546" s="36"/>
      <c r="E37546" s="1"/>
      <c r="F37546" s="1"/>
      <c r="G37546" s="1"/>
    </row>
    <row r="37547">
      <c r="B37547" s="36"/>
      <c r="C37547" s="36"/>
      <c r="E37547" s="1"/>
      <c r="F37547" s="1"/>
      <c r="G37547" s="1"/>
    </row>
    <row r="37548">
      <c r="B37548" s="36"/>
      <c r="C37548" s="36"/>
      <c r="E37548" s="1"/>
      <c r="F37548" s="1"/>
      <c r="G37548" s="1"/>
    </row>
    <row r="37549">
      <c r="B37549" s="36"/>
      <c r="C37549" s="36"/>
      <c r="E37549" s="1"/>
      <c r="F37549" s="1"/>
      <c r="G37549" s="1"/>
    </row>
    <row r="37550">
      <c r="B37550" s="36"/>
      <c r="C37550" s="36"/>
      <c r="E37550" s="1"/>
      <c r="F37550" s="1"/>
      <c r="G37550" s="1"/>
    </row>
    <row r="37551">
      <c r="B37551" s="36"/>
      <c r="C37551" s="36"/>
      <c r="E37551" s="1"/>
      <c r="F37551" s="1"/>
      <c r="G37551" s="1"/>
    </row>
    <row r="37552">
      <c r="B37552" s="36"/>
      <c r="C37552" s="36"/>
      <c r="E37552" s="1"/>
      <c r="F37552" s="1"/>
      <c r="G37552" s="1"/>
    </row>
    <row r="37553">
      <c r="B37553" s="36"/>
      <c r="C37553" s="36"/>
      <c r="E37553" s="1"/>
      <c r="F37553" s="1"/>
      <c r="G37553" s="1"/>
    </row>
    <row r="37554">
      <c r="B37554" s="36"/>
      <c r="C37554" s="36"/>
      <c r="E37554" s="1"/>
      <c r="F37554" s="1"/>
      <c r="G37554" s="1"/>
    </row>
    <row r="37555">
      <c r="B37555" s="36"/>
      <c r="C37555" s="36"/>
      <c r="E37555" s="1"/>
      <c r="F37555" s="1"/>
      <c r="G37555" s="1"/>
    </row>
    <row r="37556">
      <c r="B37556" s="36"/>
      <c r="C37556" s="36"/>
      <c r="E37556" s="1"/>
      <c r="F37556" s="1"/>
      <c r="G37556" s="1"/>
    </row>
    <row r="37557">
      <c r="B37557" s="36"/>
      <c r="C37557" s="36"/>
      <c r="E37557" s="1"/>
      <c r="F37557" s="1"/>
      <c r="G37557" s="1"/>
    </row>
    <row r="37558">
      <c r="B37558" s="36"/>
      <c r="C37558" s="36"/>
      <c r="E37558" s="1"/>
      <c r="F37558" s="1"/>
      <c r="G37558" s="1"/>
    </row>
    <row r="37559">
      <c r="B37559" s="36"/>
      <c r="C37559" s="36"/>
      <c r="E37559" s="1"/>
      <c r="F37559" s="1"/>
      <c r="G37559" s="1"/>
    </row>
    <row r="37560">
      <c r="B37560" s="36"/>
      <c r="C37560" s="36"/>
      <c r="E37560" s="1"/>
      <c r="F37560" s="1"/>
      <c r="G37560" s="1"/>
    </row>
    <row r="37561">
      <c r="B37561" s="36"/>
      <c r="C37561" s="36"/>
      <c r="E37561" s="1"/>
      <c r="F37561" s="1"/>
      <c r="G37561" s="1"/>
    </row>
    <row r="37562">
      <c r="B37562" s="36"/>
      <c r="C37562" s="36"/>
      <c r="E37562" s="1"/>
      <c r="F37562" s="1"/>
      <c r="G37562" s="1"/>
    </row>
    <row r="37563">
      <c r="B37563" s="36"/>
      <c r="C37563" s="36"/>
      <c r="E37563" s="1"/>
      <c r="F37563" s="1"/>
      <c r="G37563" s="1"/>
    </row>
    <row r="37564">
      <c r="B37564" s="36"/>
      <c r="C37564" s="36"/>
      <c r="E37564" s="1"/>
      <c r="F37564" s="1"/>
      <c r="G37564" s="1"/>
    </row>
    <row r="37565">
      <c r="B37565" s="36"/>
      <c r="C37565" s="36"/>
      <c r="E37565" s="1"/>
      <c r="F37565" s="1"/>
      <c r="G37565" s="1"/>
    </row>
    <row r="37566">
      <c r="B37566" s="36"/>
      <c r="C37566" s="36"/>
      <c r="E37566" s="1"/>
      <c r="F37566" s="1"/>
      <c r="G37566" s="1"/>
    </row>
    <row r="37567">
      <c r="B37567" s="36"/>
      <c r="C37567" s="36"/>
      <c r="E37567" s="1"/>
      <c r="F37567" s="1"/>
      <c r="G37567" s="1"/>
    </row>
    <row r="37568">
      <c r="B37568" s="36"/>
      <c r="C37568" s="36"/>
      <c r="E37568" s="1"/>
      <c r="F37568" s="1"/>
      <c r="G37568" s="1"/>
    </row>
    <row r="37569">
      <c r="B37569" s="36"/>
      <c r="C37569" s="36"/>
      <c r="E37569" s="1"/>
      <c r="F37569" s="1"/>
      <c r="G37569" s="1"/>
    </row>
    <row r="37570">
      <c r="B37570" s="36"/>
      <c r="C37570" s="36"/>
      <c r="E37570" s="1"/>
      <c r="F37570" s="1"/>
      <c r="G37570" s="1"/>
    </row>
    <row r="37571">
      <c r="B37571" s="36"/>
      <c r="C37571" s="36"/>
      <c r="E37571" s="1"/>
      <c r="F37571" s="1"/>
      <c r="G37571" s="1"/>
    </row>
    <row r="37572">
      <c r="B37572" s="36"/>
      <c r="C37572" s="36"/>
      <c r="E37572" s="1"/>
      <c r="F37572" s="1"/>
      <c r="G37572" s="1"/>
    </row>
    <row r="37573">
      <c r="B37573" s="36"/>
      <c r="C37573" s="36"/>
      <c r="E37573" s="1"/>
      <c r="F37573" s="1"/>
      <c r="G37573" s="1"/>
    </row>
    <row r="37574">
      <c r="B37574" s="36"/>
      <c r="C37574" s="36"/>
      <c r="E37574" s="1"/>
      <c r="F37574" s="1"/>
      <c r="G37574" s="1"/>
    </row>
    <row r="37575">
      <c r="B37575" s="36"/>
      <c r="C37575" s="36"/>
      <c r="E37575" s="1"/>
      <c r="F37575" s="1"/>
      <c r="G37575" s="1"/>
    </row>
    <row r="37576">
      <c r="B37576" s="36"/>
      <c r="C37576" s="36"/>
      <c r="E37576" s="1"/>
      <c r="F37576" s="1"/>
      <c r="G37576" s="1"/>
    </row>
    <row r="37577">
      <c r="B37577" s="36"/>
      <c r="C37577" s="36"/>
      <c r="E37577" s="1"/>
      <c r="F37577" s="1"/>
      <c r="G37577" s="1"/>
    </row>
    <row r="37578">
      <c r="B37578" s="36"/>
      <c r="C37578" s="36"/>
      <c r="E37578" s="1"/>
      <c r="F37578" s="1"/>
      <c r="G37578" s="1"/>
    </row>
    <row r="37579">
      <c r="B37579" s="36"/>
      <c r="C37579" s="36"/>
      <c r="E37579" s="1"/>
      <c r="F37579" s="1"/>
      <c r="G37579" s="1"/>
    </row>
    <row r="37580">
      <c r="B37580" s="36"/>
      <c r="C37580" s="36"/>
      <c r="E37580" s="1"/>
      <c r="F37580" s="1"/>
      <c r="G37580" s="1"/>
    </row>
    <row r="37581">
      <c r="B37581" s="36"/>
      <c r="C37581" s="36"/>
      <c r="E37581" s="1"/>
      <c r="F37581" s="1"/>
      <c r="G37581" s="1"/>
    </row>
    <row r="37582">
      <c r="B37582" s="36"/>
      <c r="C37582" s="36"/>
      <c r="E37582" s="1"/>
      <c r="F37582" s="1"/>
      <c r="G37582" s="1"/>
    </row>
    <row r="37583">
      <c r="B37583" s="36"/>
      <c r="C37583" s="36"/>
      <c r="E37583" s="1"/>
      <c r="F37583" s="1"/>
      <c r="G37583" s="1"/>
    </row>
    <row r="37584">
      <c r="B37584" s="36"/>
      <c r="C37584" s="36"/>
      <c r="E37584" s="1"/>
      <c r="F37584" s="1"/>
      <c r="G37584" s="1"/>
    </row>
    <row r="37585">
      <c r="B37585" s="36"/>
      <c r="C37585" s="36"/>
      <c r="E37585" s="1"/>
      <c r="F37585" s="1"/>
      <c r="G37585" s="1"/>
    </row>
    <row r="37586">
      <c r="B37586" s="36"/>
      <c r="C37586" s="36"/>
      <c r="E37586" s="1"/>
      <c r="F37586" s="1"/>
      <c r="G37586" s="1"/>
    </row>
    <row r="37587">
      <c r="B37587" s="36"/>
      <c r="C37587" s="36"/>
      <c r="E37587" s="1"/>
      <c r="F37587" s="1"/>
      <c r="G37587" s="1"/>
    </row>
    <row r="37588">
      <c r="B37588" s="36"/>
      <c r="C37588" s="36"/>
      <c r="E37588" s="1"/>
      <c r="F37588" s="1"/>
      <c r="G37588" s="1"/>
    </row>
    <row r="37589">
      <c r="B37589" s="36"/>
      <c r="C37589" s="36"/>
      <c r="E37589" s="1"/>
      <c r="F37589" s="1"/>
      <c r="G37589" s="1"/>
    </row>
    <row r="37590">
      <c r="B37590" s="36"/>
      <c r="C37590" s="36"/>
      <c r="E37590" s="1"/>
      <c r="F37590" s="1"/>
      <c r="G37590" s="1"/>
    </row>
    <row r="37591">
      <c r="B37591" s="36"/>
      <c r="C37591" s="36"/>
      <c r="E37591" s="1"/>
      <c r="F37591" s="1"/>
      <c r="G37591" s="1"/>
    </row>
    <row r="37592">
      <c r="B37592" s="36"/>
      <c r="C37592" s="36"/>
      <c r="E37592" s="1"/>
      <c r="F37592" s="1"/>
      <c r="G37592" s="1"/>
    </row>
    <row r="37593">
      <c r="B37593" s="36"/>
      <c r="C37593" s="36"/>
      <c r="E37593" s="1"/>
      <c r="F37593" s="1"/>
      <c r="G37593" s="1"/>
    </row>
    <row r="37594">
      <c r="B37594" s="36"/>
      <c r="C37594" s="36"/>
      <c r="E37594" s="1"/>
      <c r="F37594" s="1"/>
      <c r="G37594" s="1"/>
    </row>
    <row r="37595">
      <c r="B37595" s="36"/>
      <c r="C37595" s="36"/>
      <c r="E37595" s="1"/>
      <c r="F37595" s="1"/>
      <c r="G37595" s="1"/>
    </row>
    <row r="37596">
      <c r="B37596" s="36"/>
      <c r="C37596" s="36"/>
      <c r="E37596" s="1"/>
      <c r="F37596" s="1"/>
      <c r="G37596" s="1"/>
    </row>
    <row r="37597">
      <c r="B37597" s="36"/>
      <c r="C37597" s="36"/>
      <c r="E37597" s="1"/>
      <c r="F37597" s="1"/>
      <c r="G37597" s="1"/>
    </row>
    <row r="37598">
      <c r="B37598" s="36"/>
      <c r="C37598" s="36"/>
      <c r="E37598" s="1"/>
      <c r="F37598" s="1"/>
      <c r="G37598" s="1"/>
    </row>
    <row r="37599">
      <c r="B37599" s="36"/>
      <c r="C37599" s="36"/>
      <c r="E37599" s="1"/>
      <c r="F37599" s="1"/>
      <c r="G37599" s="1"/>
    </row>
    <row r="37600">
      <c r="B37600" s="36"/>
      <c r="C37600" s="36"/>
      <c r="E37600" s="1"/>
      <c r="F37600" s="1"/>
      <c r="G37600" s="1"/>
    </row>
    <row r="37601">
      <c r="B37601" s="36"/>
      <c r="C37601" s="36"/>
      <c r="E37601" s="1"/>
      <c r="F37601" s="1"/>
      <c r="G37601" s="1"/>
    </row>
    <row r="37602">
      <c r="B37602" s="36"/>
      <c r="C37602" s="36"/>
      <c r="E37602" s="1"/>
      <c r="F37602" s="1"/>
      <c r="G37602" s="1"/>
    </row>
    <row r="37603">
      <c r="B37603" s="36"/>
      <c r="C37603" s="36"/>
      <c r="E37603" s="1"/>
      <c r="F37603" s="1"/>
      <c r="G37603" s="1"/>
    </row>
    <row r="37604">
      <c r="B37604" s="36"/>
      <c r="C37604" s="36"/>
      <c r="E37604" s="1"/>
      <c r="F37604" s="1"/>
      <c r="G37604" s="1"/>
    </row>
    <row r="37605">
      <c r="B37605" s="36"/>
      <c r="C37605" s="36"/>
      <c r="E37605" s="1"/>
      <c r="F37605" s="1"/>
      <c r="G37605" s="1"/>
    </row>
    <row r="37606">
      <c r="B37606" s="36"/>
      <c r="C37606" s="36"/>
      <c r="E37606" s="1"/>
      <c r="F37606" s="1"/>
      <c r="G37606" s="1"/>
    </row>
    <row r="37607">
      <c r="B37607" s="36"/>
      <c r="C37607" s="36"/>
      <c r="E37607" s="1"/>
      <c r="F37607" s="1"/>
      <c r="G37607" s="1"/>
    </row>
    <row r="37608">
      <c r="B37608" s="36"/>
      <c r="C37608" s="36"/>
      <c r="E37608" s="1"/>
      <c r="F37608" s="1"/>
      <c r="G37608" s="1"/>
    </row>
    <row r="37609">
      <c r="B37609" s="36"/>
      <c r="C37609" s="36"/>
      <c r="E37609" s="1"/>
      <c r="F37609" s="1"/>
      <c r="G37609" s="1"/>
    </row>
    <row r="37610">
      <c r="B37610" s="36"/>
      <c r="C37610" s="36"/>
      <c r="E37610" s="1"/>
      <c r="F37610" s="1"/>
      <c r="G37610" s="1"/>
    </row>
    <row r="37611">
      <c r="B37611" s="36"/>
      <c r="C37611" s="36"/>
      <c r="E37611" s="1"/>
      <c r="F37611" s="1"/>
      <c r="G37611" s="1"/>
    </row>
    <row r="37612">
      <c r="B37612" s="36"/>
      <c r="C37612" s="36"/>
      <c r="E37612" s="1"/>
      <c r="F37612" s="1"/>
      <c r="G37612" s="1"/>
    </row>
    <row r="37613">
      <c r="B37613" s="36"/>
      <c r="C37613" s="36"/>
      <c r="E37613" s="1"/>
      <c r="F37613" s="1"/>
      <c r="G37613" s="1"/>
    </row>
    <row r="37614">
      <c r="B37614" s="36"/>
      <c r="C37614" s="36"/>
      <c r="E37614" s="1"/>
      <c r="F37614" s="1"/>
      <c r="G37614" s="1"/>
    </row>
    <row r="37615">
      <c r="B37615" s="36"/>
      <c r="C37615" s="36"/>
      <c r="E37615" s="1"/>
      <c r="F37615" s="1"/>
      <c r="G37615" s="1"/>
    </row>
    <row r="37616">
      <c r="B37616" s="36"/>
      <c r="C37616" s="36"/>
      <c r="E37616" s="1"/>
      <c r="F37616" s="1"/>
      <c r="G37616" s="1"/>
    </row>
    <row r="37617">
      <c r="B37617" s="36"/>
      <c r="C37617" s="36"/>
      <c r="E37617" s="1"/>
      <c r="F37617" s="1"/>
      <c r="G37617" s="1"/>
    </row>
    <row r="37618">
      <c r="B37618" s="36"/>
      <c r="C37618" s="36"/>
      <c r="E37618" s="1"/>
      <c r="F37618" s="1"/>
      <c r="G37618" s="1"/>
    </row>
    <row r="37619">
      <c r="B37619" s="36"/>
      <c r="C37619" s="36"/>
      <c r="E37619" s="1"/>
      <c r="F37619" s="1"/>
      <c r="G37619" s="1"/>
    </row>
    <row r="37620">
      <c r="B37620" s="36"/>
      <c r="C37620" s="36"/>
      <c r="E37620" s="1"/>
      <c r="F37620" s="1"/>
      <c r="G37620" s="1"/>
    </row>
    <row r="37621">
      <c r="B37621" s="36"/>
      <c r="C37621" s="36"/>
      <c r="E37621" s="1"/>
      <c r="F37621" s="1"/>
      <c r="G37621" s="1"/>
    </row>
    <row r="37622">
      <c r="B37622" s="36"/>
      <c r="C37622" s="36"/>
      <c r="E37622" s="1"/>
      <c r="F37622" s="1"/>
      <c r="G37622" s="1"/>
    </row>
    <row r="37623">
      <c r="B37623" s="36"/>
      <c r="C37623" s="36"/>
      <c r="E37623" s="1"/>
      <c r="F37623" s="1"/>
      <c r="G37623" s="1"/>
    </row>
    <row r="37624">
      <c r="B37624" s="36"/>
      <c r="C37624" s="36"/>
      <c r="E37624" s="1"/>
      <c r="F37624" s="1"/>
      <c r="G37624" s="1"/>
    </row>
    <row r="37625">
      <c r="B37625" s="36"/>
      <c r="C37625" s="36"/>
      <c r="E37625" s="1"/>
      <c r="F37625" s="1"/>
      <c r="G37625" s="1"/>
    </row>
    <row r="37626">
      <c r="B37626" s="36"/>
      <c r="C37626" s="36"/>
      <c r="E37626" s="1"/>
      <c r="F37626" s="1"/>
      <c r="G37626" s="1"/>
    </row>
    <row r="37627">
      <c r="B37627" s="36"/>
      <c r="C37627" s="36"/>
      <c r="E37627" s="1"/>
      <c r="F37627" s="1"/>
      <c r="G37627" s="1"/>
    </row>
    <row r="37628">
      <c r="B37628" s="36"/>
      <c r="C37628" s="36"/>
      <c r="E37628" s="1"/>
      <c r="F37628" s="1"/>
      <c r="G37628" s="1"/>
    </row>
    <row r="37629">
      <c r="B37629" s="36"/>
      <c r="C37629" s="36"/>
      <c r="E37629" s="1"/>
      <c r="F37629" s="1"/>
      <c r="G37629" s="1"/>
    </row>
    <row r="37630">
      <c r="B37630" s="36"/>
      <c r="C37630" s="36"/>
      <c r="E37630" s="1"/>
      <c r="F37630" s="1"/>
      <c r="G37630" s="1"/>
    </row>
    <row r="37631">
      <c r="B37631" s="36"/>
      <c r="C37631" s="36"/>
      <c r="E37631" s="1"/>
      <c r="F37631" s="1"/>
      <c r="G37631" s="1"/>
    </row>
    <row r="37632">
      <c r="B37632" s="36"/>
      <c r="C37632" s="36"/>
      <c r="E37632" s="1"/>
      <c r="F37632" s="1"/>
      <c r="G37632" s="1"/>
    </row>
    <row r="37633">
      <c r="B37633" s="36"/>
      <c r="C37633" s="36"/>
      <c r="E37633" s="1"/>
      <c r="F37633" s="1"/>
      <c r="G37633" s="1"/>
    </row>
    <row r="37634">
      <c r="B37634" s="36"/>
      <c r="C37634" s="36"/>
      <c r="E37634" s="1"/>
      <c r="F37634" s="1"/>
      <c r="G37634" s="1"/>
    </row>
    <row r="37635">
      <c r="B37635" s="36"/>
      <c r="C37635" s="36"/>
      <c r="E37635" s="1"/>
      <c r="F37635" s="1"/>
      <c r="G37635" s="1"/>
    </row>
    <row r="37636">
      <c r="B37636" s="36"/>
      <c r="C37636" s="36"/>
      <c r="E37636" s="1"/>
      <c r="F37636" s="1"/>
      <c r="G37636" s="1"/>
    </row>
    <row r="37637">
      <c r="B37637" s="36"/>
      <c r="C37637" s="36"/>
      <c r="E37637" s="1"/>
      <c r="F37637" s="1"/>
      <c r="G37637" s="1"/>
    </row>
    <row r="37638">
      <c r="B37638" s="36"/>
      <c r="C37638" s="36"/>
      <c r="E37638" s="1"/>
      <c r="F37638" s="1"/>
      <c r="G37638" s="1"/>
    </row>
    <row r="37639">
      <c r="B37639" s="36"/>
      <c r="C37639" s="36"/>
      <c r="E37639" s="1"/>
      <c r="F37639" s="1"/>
      <c r="G37639" s="1"/>
    </row>
    <row r="37640">
      <c r="B37640" s="36"/>
      <c r="C37640" s="36"/>
      <c r="E37640" s="1"/>
      <c r="F37640" s="1"/>
      <c r="G37640" s="1"/>
    </row>
    <row r="37641">
      <c r="B37641" s="36"/>
      <c r="C37641" s="36"/>
      <c r="E37641" s="1"/>
      <c r="F37641" s="1"/>
      <c r="G37641" s="1"/>
    </row>
    <row r="37642">
      <c r="B37642" s="36"/>
      <c r="C37642" s="36"/>
      <c r="E37642" s="1"/>
      <c r="F37642" s="1"/>
      <c r="G37642" s="1"/>
    </row>
    <row r="37643">
      <c r="B37643" s="36"/>
      <c r="C37643" s="36"/>
      <c r="E37643" s="1"/>
      <c r="F37643" s="1"/>
      <c r="G37643" s="1"/>
    </row>
    <row r="37644">
      <c r="B37644" s="36"/>
      <c r="C37644" s="36"/>
      <c r="E37644" s="1"/>
      <c r="F37644" s="1"/>
      <c r="G37644" s="1"/>
    </row>
    <row r="37645">
      <c r="B37645" s="36"/>
      <c r="C37645" s="36"/>
      <c r="E37645" s="1"/>
      <c r="F37645" s="1"/>
      <c r="G37645" s="1"/>
    </row>
    <row r="37646">
      <c r="B37646" s="36"/>
      <c r="C37646" s="36"/>
      <c r="E37646" s="1"/>
      <c r="F37646" s="1"/>
      <c r="G37646" s="1"/>
    </row>
    <row r="37647">
      <c r="B37647" s="36"/>
      <c r="C37647" s="36"/>
      <c r="E37647" s="1"/>
      <c r="F37647" s="1"/>
      <c r="G37647" s="1"/>
    </row>
    <row r="37648">
      <c r="B37648" s="36"/>
      <c r="C37648" s="36"/>
      <c r="E37648" s="1"/>
      <c r="F37648" s="1"/>
      <c r="G37648" s="1"/>
    </row>
    <row r="37649">
      <c r="B37649" s="36"/>
      <c r="C37649" s="36"/>
      <c r="E37649" s="1"/>
      <c r="F37649" s="1"/>
      <c r="G37649" s="1"/>
    </row>
    <row r="37650">
      <c r="B37650" s="36"/>
      <c r="C37650" s="36"/>
      <c r="E37650" s="1"/>
      <c r="F37650" s="1"/>
      <c r="G37650" s="1"/>
    </row>
    <row r="37651">
      <c r="B37651" s="36"/>
      <c r="C37651" s="36"/>
      <c r="E37651" s="1"/>
      <c r="F37651" s="1"/>
      <c r="G37651" s="1"/>
    </row>
    <row r="37652">
      <c r="B37652" s="36"/>
      <c r="C37652" s="36"/>
      <c r="E37652" s="1"/>
      <c r="F37652" s="1"/>
      <c r="G37652" s="1"/>
    </row>
    <row r="37653">
      <c r="B37653" s="36"/>
      <c r="C37653" s="36"/>
      <c r="E37653" s="1"/>
      <c r="F37653" s="1"/>
      <c r="G37653" s="1"/>
    </row>
    <row r="37654">
      <c r="B37654" s="36"/>
      <c r="C37654" s="36"/>
      <c r="E37654" s="1"/>
      <c r="F37654" s="1"/>
      <c r="G37654" s="1"/>
    </row>
    <row r="37655">
      <c r="B37655" s="36"/>
      <c r="C37655" s="36"/>
      <c r="E37655" s="1"/>
      <c r="F37655" s="1"/>
      <c r="G37655" s="1"/>
    </row>
    <row r="37656">
      <c r="B37656" s="36"/>
      <c r="C37656" s="36"/>
      <c r="E37656" s="1"/>
      <c r="F37656" s="1"/>
      <c r="G37656" s="1"/>
    </row>
    <row r="37657">
      <c r="B37657" s="36"/>
      <c r="C37657" s="36"/>
      <c r="E37657" s="1"/>
      <c r="F37657" s="1"/>
      <c r="G37657" s="1"/>
    </row>
    <row r="37658">
      <c r="B37658" s="36"/>
      <c r="C37658" s="36"/>
      <c r="E37658" s="1"/>
      <c r="F37658" s="1"/>
      <c r="G37658" s="1"/>
    </row>
    <row r="37659">
      <c r="B37659" s="36"/>
      <c r="C37659" s="36"/>
      <c r="E37659" s="1"/>
      <c r="F37659" s="1"/>
      <c r="G37659" s="1"/>
    </row>
    <row r="37660">
      <c r="B37660" s="36"/>
      <c r="C37660" s="36"/>
      <c r="E37660" s="1"/>
      <c r="F37660" s="1"/>
      <c r="G37660" s="1"/>
    </row>
    <row r="37661">
      <c r="B37661" s="36"/>
      <c r="C37661" s="36"/>
      <c r="E37661" s="1"/>
      <c r="F37661" s="1"/>
      <c r="G37661" s="1"/>
    </row>
    <row r="37662">
      <c r="B37662" s="36"/>
      <c r="C37662" s="36"/>
      <c r="E37662" s="1"/>
      <c r="F37662" s="1"/>
      <c r="G37662" s="1"/>
    </row>
    <row r="37663">
      <c r="B37663" s="36"/>
      <c r="C37663" s="36"/>
      <c r="E37663" s="1"/>
      <c r="F37663" s="1"/>
      <c r="G37663" s="1"/>
    </row>
    <row r="37664">
      <c r="B37664" s="36"/>
      <c r="C37664" s="36"/>
      <c r="E37664" s="1"/>
      <c r="F37664" s="1"/>
      <c r="G37664" s="1"/>
    </row>
    <row r="37665">
      <c r="B37665" s="36"/>
      <c r="C37665" s="36"/>
      <c r="E37665" s="1"/>
      <c r="F37665" s="1"/>
      <c r="G37665" s="1"/>
    </row>
    <row r="37666">
      <c r="B37666" s="36"/>
      <c r="C37666" s="36"/>
      <c r="E37666" s="1"/>
      <c r="F37666" s="1"/>
      <c r="G37666" s="1"/>
    </row>
    <row r="37667">
      <c r="B37667" s="36"/>
      <c r="C37667" s="36"/>
      <c r="E37667" s="1"/>
      <c r="F37667" s="1"/>
      <c r="G37667" s="1"/>
    </row>
    <row r="37668">
      <c r="B37668" s="36"/>
      <c r="C37668" s="36"/>
      <c r="E37668" s="1"/>
      <c r="F37668" s="1"/>
      <c r="G37668" s="1"/>
    </row>
    <row r="37669">
      <c r="B37669" s="36"/>
      <c r="C37669" s="36"/>
      <c r="E37669" s="1"/>
      <c r="F37669" s="1"/>
      <c r="G37669" s="1"/>
    </row>
    <row r="37670">
      <c r="B37670" s="36"/>
      <c r="C37670" s="36"/>
      <c r="E37670" s="1"/>
      <c r="F37670" s="1"/>
      <c r="G37670" s="1"/>
    </row>
    <row r="37671">
      <c r="B37671" s="36"/>
      <c r="C37671" s="36"/>
      <c r="E37671" s="1"/>
      <c r="F37671" s="1"/>
      <c r="G37671" s="1"/>
    </row>
    <row r="37672">
      <c r="B37672" s="36"/>
      <c r="C37672" s="36"/>
      <c r="E37672" s="1"/>
      <c r="F37672" s="1"/>
      <c r="G37672" s="1"/>
    </row>
    <row r="37673">
      <c r="B37673" s="36"/>
      <c r="C37673" s="36"/>
      <c r="E37673" s="1"/>
      <c r="F37673" s="1"/>
      <c r="G37673" s="1"/>
    </row>
    <row r="37674">
      <c r="B37674" s="36"/>
      <c r="C37674" s="36"/>
      <c r="E37674" s="1"/>
      <c r="F37674" s="1"/>
      <c r="G37674" s="1"/>
    </row>
    <row r="37675">
      <c r="B37675" s="36"/>
      <c r="C37675" s="36"/>
      <c r="E37675" s="1"/>
      <c r="F37675" s="1"/>
      <c r="G37675" s="1"/>
    </row>
    <row r="37676">
      <c r="B37676" s="36"/>
      <c r="C37676" s="36"/>
      <c r="E37676" s="1"/>
      <c r="F37676" s="1"/>
      <c r="G37676" s="1"/>
    </row>
    <row r="37677">
      <c r="B37677" s="36"/>
      <c r="C37677" s="36"/>
      <c r="E37677" s="1"/>
      <c r="F37677" s="1"/>
      <c r="G37677" s="1"/>
    </row>
    <row r="37678">
      <c r="B37678" s="36"/>
      <c r="C37678" s="36"/>
      <c r="E37678" s="1"/>
      <c r="F37678" s="1"/>
      <c r="G37678" s="1"/>
    </row>
    <row r="37679">
      <c r="B37679" s="36"/>
      <c r="C37679" s="36"/>
      <c r="E37679" s="1"/>
      <c r="F37679" s="1"/>
      <c r="G37679" s="1"/>
    </row>
    <row r="37680">
      <c r="B37680" s="36"/>
      <c r="C37680" s="36"/>
      <c r="E37680" s="1"/>
      <c r="F37680" s="1"/>
      <c r="G37680" s="1"/>
    </row>
    <row r="37681">
      <c r="B37681" s="36"/>
      <c r="C37681" s="36"/>
      <c r="E37681" s="1"/>
      <c r="F37681" s="1"/>
      <c r="G37681" s="1"/>
    </row>
    <row r="37682">
      <c r="B37682" s="36"/>
      <c r="C37682" s="36"/>
      <c r="E37682" s="1"/>
      <c r="F37682" s="1"/>
      <c r="G37682" s="1"/>
    </row>
    <row r="37683">
      <c r="B37683" s="36"/>
      <c r="C37683" s="36"/>
      <c r="E37683" s="1"/>
      <c r="F37683" s="1"/>
      <c r="G37683" s="1"/>
    </row>
    <row r="37684">
      <c r="B37684" s="36"/>
      <c r="C37684" s="36"/>
      <c r="E37684" s="1"/>
      <c r="F37684" s="1"/>
      <c r="G37684" s="1"/>
    </row>
    <row r="37685">
      <c r="B37685" s="36"/>
      <c r="C37685" s="36"/>
      <c r="E37685" s="1"/>
      <c r="F37685" s="1"/>
      <c r="G37685" s="1"/>
    </row>
    <row r="37686">
      <c r="B37686" s="36"/>
      <c r="C37686" s="36"/>
      <c r="E37686" s="1"/>
      <c r="F37686" s="1"/>
      <c r="G37686" s="1"/>
    </row>
    <row r="37687">
      <c r="B37687" s="36"/>
      <c r="C37687" s="36"/>
      <c r="E37687" s="1"/>
      <c r="F37687" s="1"/>
      <c r="G37687" s="1"/>
    </row>
    <row r="37688">
      <c r="B37688" s="36"/>
      <c r="C37688" s="36"/>
      <c r="E37688" s="1"/>
      <c r="F37688" s="1"/>
      <c r="G37688" s="1"/>
    </row>
    <row r="37689">
      <c r="B37689" s="36"/>
      <c r="C37689" s="36"/>
      <c r="E37689" s="1"/>
      <c r="F37689" s="1"/>
      <c r="G37689" s="1"/>
    </row>
    <row r="37690">
      <c r="B37690" s="36"/>
      <c r="C37690" s="36"/>
      <c r="E37690" s="1"/>
      <c r="F37690" s="1"/>
      <c r="G37690" s="1"/>
    </row>
    <row r="37691">
      <c r="B37691" s="36"/>
      <c r="C37691" s="36"/>
      <c r="E37691" s="1"/>
      <c r="F37691" s="1"/>
      <c r="G37691" s="1"/>
    </row>
    <row r="37692">
      <c r="B37692" s="36"/>
      <c r="C37692" s="36"/>
      <c r="E37692" s="1"/>
      <c r="F37692" s="1"/>
      <c r="G37692" s="1"/>
    </row>
    <row r="37693">
      <c r="B37693" s="36"/>
      <c r="C37693" s="36"/>
      <c r="E37693" s="1"/>
      <c r="F37693" s="1"/>
      <c r="G37693" s="1"/>
    </row>
    <row r="37694">
      <c r="B37694" s="36"/>
      <c r="C37694" s="36"/>
      <c r="E37694" s="1"/>
      <c r="F37694" s="1"/>
      <c r="G37694" s="1"/>
    </row>
    <row r="37695">
      <c r="B37695" s="36"/>
      <c r="C37695" s="36"/>
      <c r="E37695" s="1"/>
      <c r="F37695" s="1"/>
      <c r="G37695" s="1"/>
    </row>
    <row r="37696">
      <c r="B37696" s="36"/>
      <c r="C37696" s="36"/>
      <c r="E37696" s="1"/>
      <c r="F37696" s="1"/>
      <c r="G37696" s="1"/>
    </row>
    <row r="37697">
      <c r="B37697" s="36"/>
      <c r="C37697" s="36"/>
      <c r="E37697" s="1"/>
      <c r="F37697" s="1"/>
      <c r="G37697" s="1"/>
    </row>
    <row r="37698">
      <c r="B37698" s="36"/>
      <c r="C37698" s="36"/>
      <c r="E37698" s="1"/>
      <c r="F37698" s="1"/>
      <c r="G37698" s="1"/>
    </row>
    <row r="37699">
      <c r="B37699" s="36"/>
      <c r="C37699" s="36"/>
      <c r="E37699" s="1"/>
      <c r="F37699" s="1"/>
      <c r="G37699" s="1"/>
    </row>
    <row r="37700">
      <c r="B37700" s="36"/>
      <c r="C37700" s="36"/>
      <c r="E37700" s="1"/>
      <c r="F37700" s="1"/>
      <c r="G37700" s="1"/>
    </row>
    <row r="37701">
      <c r="B37701" s="36"/>
      <c r="C37701" s="36"/>
      <c r="E37701" s="1"/>
      <c r="F37701" s="1"/>
      <c r="G37701" s="1"/>
    </row>
    <row r="37702">
      <c r="B37702" s="36"/>
      <c r="C37702" s="36"/>
      <c r="E37702" s="1"/>
      <c r="F37702" s="1"/>
      <c r="G37702" s="1"/>
    </row>
    <row r="37703">
      <c r="B37703" s="36"/>
      <c r="C37703" s="36"/>
      <c r="E37703" s="1"/>
      <c r="F37703" s="1"/>
      <c r="G37703" s="1"/>
    </row>
    <row r="37704">
      <c r="B37704" s="36"/>
      <c r="C37704" s="36"/>
      <c r="E37704" s="1"/>
      <c r="F37704" s="1"/>
      <c r="G37704" s="1"/>
    </row>
    <row r="37705">
      <c r="B37705" s="36"/>
      <c r="C37705" s="36"/>
      <c r="E37705" s="1"/>
      <c r="F37705" s="1"/>
      <c r="G37705" s="1"/>
    </row>
    <row r="37706">
      <c r="B37706" s="36"/>
      <c r="C37706" s="36"/>
      <c r="E37706" s="1"/>
      <c r="F37706" s="1"/>
      <c r="G37706" s="1"/>
    </row>
    <row r="37707">
      <c r="B37707" s="36"/>
      <c r="C37707" s="36"/>
      <c r="E37707" s="1"/>
      <c r="F37707" s="1"/>
      <c r="G37707" s="1"/>
    </row>
    <row r="37708">
      <c r="B37708" s="36"/>
      <c r="C37708" s="36"/>
      <c r="E37708" s="1"/>
      <c r="F37708" s="1"/>
      <c r="G37708" s="1"/>
    </row>
    <row r="37709">
      <c r="B37709" s="36"/>
      <c r="C37709" s="36"/>
      <c r="E37709" s="1"/>
      <c r="F37709" s="1"/>
      <c r="G37709" s="1"/>
    </row>
    <row r="37710">
      <c r="B37710" s="36"/>
      <c r="C37710" s="36"/>
      <c r="E37710" s="1"/>
      <c r="F37710" s="1"/>
      <c r="G37710" s="1"/>
    </row>
    <row r="37711">
      <c r="B37711" s="36"/>
      <c r="C37711" s="36"/>
      <c r="E37711" s="1"/>
      <c r="F37711" s="1"/>
      <c r="G37711" s="1"/>
    </row>
    <row r="37712">
      <c r="B37712" s="36"/>
      <c r="C37712" s="36"/>
      <c r="E37712" s="1"/>
      <c r="F37712" s="1"/>
      <c r="G37712" s="1"/>
    </row>
    <row r="37713">
      <c r="B37713" s="36"/>
      <c r="C37713" s="36"/>
      <c r="E37713" s="1"/>
      <c r="F37713" s="1"/>
      <c r="G37713" s="1"/>
    </row>
    <row r="37714">
      <c r="B37714" s="36"/>
      <c r="C37714" s="36"/>
      <c r="E37714" s="1"/>
      <c r="F37714" s="1"/>
      <c r="G37714" s="1"/>
    </row>
    <row r="37715">
      <c r="B37715" s="36"/>
      <c r="C37715" s="36"/>
      <c r="E37715" s="1"/>
      <c r="F37715" s="1"/>
      <c r="G37715" s="1"/>
    </row>
    <row r="37716">
      <c r="B37716" s="36"/>
      <c r="C37716" s="36"/>
      <c r="E37716" s="1"/>
      <c r="F37716" s="1"/>
      <c r="G37716" s="1"/>
    </row>
    <row r="37717">
      <c r="B37717" s="36"/>
      <c r="C37717" s="36"/>
      <c r="E37717" s="1"/>
      <c r="F37717" s="1"/>
      <c r="G37717" s="1"/>
    </row>
    <row r="37718">
      <c r="B37718" s="36"/>
      <c r="C37718" s="36"/>
      <c r="E37718" s="1"/>
      <c r="F37718" s="1"/>
      <c r="G37718" s="1"/>
    </row>
    <row r="37719">
      <c r="B37719" s="36"/>
      <c r="C37719" s="36"/>
      <c r="E37719" s="1"/>
      <c r="F37719" s="1"/>
      <c r="G37719" s="1"/>
    </row>
    <row r="37720">
      <c r="B37720" s="36"/>
      <c r="C37720" s="36"/>
      <c r="E37720" s="1"/>
      <c r="F37720" s="1"/>
      <c r="G37720" s="1"/>
    </row>
    <row r="37721">
      <c r="B37721" s="36"/>
      <c r="C37721" s="36"/>
      <c r="E37721" s="1"/>
      <c r="F37721" s="1"/>
      <c r="G37721" s="1"/>
    </row>
    <row r="37722">
      <c r="B37722" s="36"/>
      <c r="C37722" s="36"/>
      <c r="E37722" s="1"/>
      <c r="F37722" s="1"/>
      <c r="G37722" s="1"/>
    </row>
    <row r="37723">
      <c r="B37723" s="36"/>
      <c r="C37723" s="36"/>
      <c r="E37723" s="1"/>
      <c r="F37723" s="1"/>
      <c r="G37723" s="1"/>
    </row>
    <row r="37724">
      <c r="B37724" s="36"/>
      <c r="C37724" s="36"/>
      <c r="E37724" s="1"/>
      <c r="F37724" s="1"/>
      <c r="G37724" s="1"/>
    </row>
    <row r="37725">
      <c r="B37725" s="36"/>
      <c r="C37725" s="36"/>
      <c r="E37725" s="1"/>
      <c r="F37725" s="1"/>
      <c r="G37725" s="1"/>
    </row>
    <row r="37726">
      <c r="B37726" s="36"/>
      <c r="C37726" s="36"/>
      <c r="E37726" s="1"/>
      <c r="F37726" s="1"/>
      <c r="G37726" s="1"/>
    </row>
    <row r="37727">
      <c r="B37727" s="36"/>
      <c r="C37727" s="36"/>
      <c r="E37727" s="1"/>
      <c r="F37727" s="1"/>
      <c r="G37727" s="1"/>
    </row>
    <row r="37728">
      <c r="B37728" s="36"/>
      <c r="C37728" s="36"/>
      <c r="E37728" s="1"/>
      <c r="F37728" s="1"/>
      <c r="G37728" s="1"/>
    </row>
    <row r="37729">
      <c r="B37729" s="36"/>
      <c r="C37729" s="36"/>
      <c r="E37729" s="1"/>
      <c r="F37729" s="1"/>
      <c r="G37729" s="1"/>
    </row>
    <row r="37730">
      <c r="B37730" s="36"/>
      <c r="C37730" s="36"/>
      <c r="E37730" s="1"/>
      <c r="F37730" s="1"/>
      <c r="G37730" s="1"/>
    </row>
    <row r="37731">
      <c r="B37731" s="36"/>
      <c r="C37731" s="36"/>
      <c r="E37731" s="1"/>
      <c r="F37731" s="1"/>
      <c r="G37731" s="1"/>
    </row>
    <row r="37732">
      <c r="B37732" s="36"/>
      <c r="C37732" s="36"/>
      <c r="E37732" s="1"/>
      <c r="F37732" s="1"/>
      <c r="G37732" s="1"/>
    </row>
    <row r="37733">
      <c r="B37733" s="36"/>
      <c r="C37733" s="36"/>
      <c r="E37733" s="1"/>
      <c r="F37733" s="1"/>
      <c r="G37733" s="1"/>
    </row>
    <row r="37734">
      <c r="B37734" s="36"/>
      <c r="C37734" s="36"/>
      <c r="E37734" s="1"/>
      <c r="F37734" s="1"/>
      <c r="G37734" s="1"/>
    </row>
    <row r="37735">
      <c r="B37735" s="36"/>
      <c r="C37735" s="36"/>
      <c r="E37735" s="1"/>
      <c r="F37735" s="1"/>
      <c r="G37735" s="1"/>
    </row>
    <row r="37736">
      <c r="B37736" s="36"/>
      <c r="C37736" s="36"/>
      <c r="E37736" s="1"/>
      <c r="F37736" s="1"/>
      <c r="G37736" s="1"/>
    </row>
    <row r="37737">
      <c r="B37737" s="36"/>
      <c r="C37737" s="36"/>
      <c r="E37737" s="1"/>
      <c r="F37737" s="1"/>
      <c r="G37737" s="1"/>
    </row>
    <row r="37738">
      <c r="B37738" s="36"/>
      <c r="C37738" s="36"/>
      <c r="E37738" s="1"/>
      <c r="F37738" s="1"/>
      <c r="G37738" s="1"/>
    </row>
    <row r="37739">
      <c r="B37739" s="36"/>
      <c r="C37739" s="36"/>
      <c r="E37739" s="1"/>
      <c r="F37739" s="1"/>
      <c r="G37739" s="1"/>
    </row>
    <row r="37740">
      <c r="B37740" s="36"/>
      <c r="C37740" s="36"/>
      <c r="E37740" s="1"/>
      <c r="F37740" s="1"/>
      <c r="G37740" s="1"/>
    </row>
    <row r="37741">
      <c r="B37741" s="36"/>
      <c r="C37741" s="36"/>
      <c r="E37741" s="1"/>
      <c r="F37741" s="1"/>
      <c r="G37741" s="1"/>
    </row>
    <row r="37742">
      <c r="B37742" s="36"/>
      <c r="C37742" s="36"/>
      <c r="E37742" s="1"/>
      <c r="F37742" s="1"/>
      <c r="G37742" s="1"/>
    </row>
    <row r="37743">
      <c r="B37743" s="36"/>
      <c r="C37743" s="36"/>
      <c r="E37743" s="1"/>
      <c r="F37743" s="1"/>
      <c r="G37743" s="1"/>
    </row>
    <row r="37744">
      <c r="B37744" s="36"/>
      <c r="C37744" s="36"/>
      <c r="E37744" s="1"/>
      <c r="F37744" s="1"/>
      <c r="G37744" s="1"/>
    </row>
    <row r="37745">
      <c r="B37745" s="36"/>
      <c r="C37745" s="36"/>
      <c r="E37745" s="1"/>
      <c r="F37745" s="1"/>
      <c r="G37745" s="1"/>
    </row>
    <row r="37746">
      <c r="B37746" s="36"/>
      <c r="C37746" s="36"/>
      <c r="E37746" s="1"/>
      <c r="F37746" s="1"/>
      <c r="G37746" s="1"/>
    </row>
    <row r="37747">
      <c r="B37747" s="36"/>
      <c r="C37747" s="36"/>
      <c r="E37747" s="1"/>
      <c r="F37747" s="1"/>
      <c r="G37747" s="1"/>
    </row>
    <row r="37748">
      <c r="B37748" s="36"/>
      <c r="C37748" s="36"/>
      <c r="E37748" s="1"/>
      <c r="F37748" s="1"/>
      <c r="G37748" s="1"/>
    </row>
    <row r="37749">
      <c r="B37749" s="36"/>
      <c r="C37749" s="36"/>
      <c r="E37749" s="1"/>
      <c r="F37749" s="1"/>
      <c r="G37749" s="1"/>
    </row>
    <row r="37750">
      <c r="B37750" s="36"/>
      <c r="C37750" s="36"/>
      <c r="E37750" s="1"/>
      <c r="F37750" s="1"/>
      <c r="G37750" s="1"/>
    </row>
    <row r="37751">
      <c r="B37751" s="36"/>
      <c r="C37751" s="36"/>
      <c r="E37751" s="1"/>
      <c r="F37751" s="1"/>
      <c r="G37751" s="1"/>
    </row>
    <row r="37752">
      <c r="B37752" s="36"/>
      <c r="C37752" s="36"/>
      <c r="E37752" s="1"/>
      <c r="F37752" s="1"/>
      <c r="G37752" s="1"/>
    </row>
    <row r="37753">
      <c r="B37753" s="36"/>
      <c r="C37753" s="36"/>
      <c r="E37753" s="1"/>
      <c r="F37753" s="1"/>
      <c r="G37753" s="1"/>
    </row>
    <row r="37754">
      <c r="B37754" s="36"/>
      <c r="C37754" s="36"/>
      <c r="E37754" s="1"/>
      <c r="F37754" s="1"/>
      <c r="G37754" s="1"/>
    </row>
    <row r="37755">
      <c r="B37755" s="36"/>
      <c r="C37755" s="36"/>
      <c r="E37755" s="1"/>
      <c r="F37755" s="1"/>
      <c r="G37755" s="1"/>
    </row>
    <row r="37756">
      <c r="B37756" s="36"/>
      <c r="C37756" s="36"/>
      <c r="E37756" s="1"/>
      <c r="F37756" s="1"/>
      <c r="G37756" s="1"/>
    </row>
    <row r="37757">
      <c r="B37757" s="36"/>
      <c r="C37757" s="36"/>
      <c r="E37757" s="1"/>
      <c r="F37757" s="1"/>
      <c r="G37757" s="1"/>
    </row>
    <row r="37758">
      <c r="B37758" s="36"/>
      <c r="C37758" s="36"/>
      <c r="E37758" s="1"/>
      <c r="F37758" s="1"/>
      <c r="G37758" s="1"/>
    </row>
    <row r="37759">
      <c r="B37759" s="36"/>
      <c r="C37759" s="36"/>
      <c r="E37759" s="1"/>
      <c r="F37759" s="1"/>
      <c r="G37759" s="1"/>
    </row>
    <row r="37760">
      <c r="B37760" s="36"/>
      <c r="C37760" s="36"/>
      <c r="E37760" s="1"/>
      <c r="F37760" s="1"/>
      <c r="G37760" s="1"/>
    </row>
    <row r="37761">
      <c r="B37761" s="36"/>
      <c r="C37761" s="36"/>
      <c r="E37761" s="1"/>
      <c r="F37761" s="1"/>
      <c r="G37761" s="1"/>
    </row>
    <row r="37762">
      <c r="B37762" s="36"/>
      <c r="C37762" s="36"/>
      <c r="E37762" s="1"/>
      <c r="F37762" s="1"/>
      <c r="G37762" s="1"/>
    </row>
    <row r="37763">
      <c r="B37763" s="36"/>
      <c r="C37763" s="36"/>
      <c r="E37763" s="1"/>
      <c r="F37763" s="1"/>
      <c r="G37763" s="1"/>
    </row>
    <row r="37764">
      <c r="B37764" s="36"/>
      <c r="C37764" s="36"/>
      <c r="E37764" s="1"/>
      <c r="F37764" s="1"/>
      <c r="G37764" s="1"/>
    </row>
    <row r="37765">
      <c r="B37765" s="36"/>
      <c r="C37765" s="36"/>
      <c r="E37765" s="1"/>
      <c r="F37765" s="1"/>
      <c r="G37765" s="1"/>
    </row>
    <row r="37766">
      <c r="B37766" s="36"/>
      <c r="C37766" s="36"/>
      <c r="E37766" s="1"/>
      <c r="F37766" s="1"/>
      <c r="G37766" s="1"/>
    </row>
    <row r="37767">
      <c r="B37767" s="36"/>
      <c r="C37767" s="36"/>
      <c r="E37767" s="1"/>
      <c r="F37767" s="1"/>
      <c r="G37767" s="1"/>
    </row>
    <row r="37768">
      <c r="B37768" s="36"/>
      <c r="C37768" s="36"/>
      <c r="E37768" s="1"/>
      <c r="F37768" s="1"/>
      <c r="G37768" s="1"/>
    </row>
    <row r="37769">
      <c r="B37769" s="36"/>
      <c r="C37769" s="36"/>
      <c r="E37769" s="1"/>
      <c r="F37769" s="1"/>
      <c r="G37769" s="1"/>
    </row>
    <row r="37770">
      <c r="B37770" s="36"/>
      <c r="C37770" s="36"/>
      <c r="E37770" s="1"/>
      <c r="F37770" s="1"/>
      <c r="G37770" s="1"/>
    </row>
    <row r="37771">
      <c r="B37771" s="36"/>
      <c r="C37771" s="36"/>
      <c r="E37771" s="1"/>
      <c r="F37771" s="1"/>
      <c r="G37771" s="1"/>
    </row>
    <row r="37772">
      <c r="B37772" s="36"/>
      <c r="C37772" s="36"/>
      <c r="E37772" s="1"/>
      <c r="F37772" s="1"/>
      <c r="G37772" s="1"/>
    </row>
    <row r="37773">
      <c r="B37773" s="36"/>
      <c r="C37773" s="36"/>
      <c r="E37773" s="1"/>
      <c r="F37773" s="1"/>
      <c r="G37773" s="1"/>
    </row>
    <row r="37774">
      <c r="B37774" s="36"/>
      <c r="C37774" s="36"/>
      <c r="E37774" s="1"/>
      <c r="F37774" s="1"/>
      <c r="G37774" s="1"/>
    </row>
    <row r="37775">
      <c r="B37775" s="36"/>
      <c r="C37775" s="36"/>
      <c r="E37775" s="1"/>
      <c r="F37775" s="1"/>
      <c r="G37775" s="1"/>
    </row>
    <row r="37776">
      <c r="B37776" s="36"/>
      <c r="C37776" s="36"/>
      <c r="E37776" s="1"/>
      <c r="F37776" s="1"/>
      <c r="G37776" s="1"/>
    </row>
    <row r="37777">
      <c r="B37777" s="36"/>
      <c r="C37777" s="36"/>
      <c r="E37777" s="1"/>
      <c r="F37777" s="1"/>
      <c r="G37777" s="1"/>
    </row>
    <row r="37778">
      <c r="B37778" s="36"/>
      <c r="C37778" s="36"/>
      <c r="E37778" s="1"/>
      <c r="F37778" s="1"/>
      <c r="G37778" s="1"/>
    </row>
    <row r="37779">
      <c r="B37779" s="36"/>
      <c r="C37779" s="36"/>
      <c r="E37779" s="1"/>
      <c r="F37779" s="1"/>
      <c r="G37779" s="1"/>
    </row>
    <row r="37780">
      <c r="B37780" s="36"/>
      <c r="C37780" s="36"/>
      <c r="E37780" s="1"/>
      <c r="F37780" s="1"/>
      <c r="G37780" s="1"/>
    </row>
    <row r="37781">
      <c r="B37781" s="36"/>
      <c r="C37781" s="36"/>
      <c r="E37781" s="1"/>
      <c r="F37781" s="1"/>
      <c r="G37781" s="1"/>
    </row>
    <row r="37782">
      <c r="B37782" s="36"/>
      <c r="C37782" s="36"/>
      <c r="E37782" s="1"/>
      <c r="F37782" s="1"/>
      <c r="G37782" s="1"/>
    </row>
    <row r="37783">
      <c r="B37783" s="36"/>
      <c r="C37783" s="36"/>
      <c r="E37783" s="1"/>
      <c r="F37783" s="1"/>
      <c r="G37783" s="1"/>
    </row>
    <row r="37784">
      <c r="B37784" s="36"/>
      <c r="C37784" s="36"/>
      <c r="E37784" s="1"/>
      <c r="F37784" s="1"/>
      <c r="G37784" s="1"/>
    </row>
    <row r="37785">
      <c r="B37785" s="36"/>
      <c r="C37785" s="36"/>
      <c r="E37785" s="1"/>
      <c r="F37785" s="1"/>
      <c r="G37785" s="1"/>
    </row>
    <row r="37786">
      <c r="B37786" s="36"/>
      <c r="C37786" s="36"/>
      <c r="E37786" s="1"/>
      <c r="F37786" s="1"/>
      <c r="G37786" s="1"/>
    </row>
    <row r="37787">
      <c r="B37787" s="36"/>
      <c r="C37787" s="36"/>
      <c r="E37787" s="1"/>
      <c r="F37787" s="1"/>
      <c r="G37787" s="1"/>
    </row>
    <row r="37788">
      <c r="B37788" s="36"/>
      <c r="C37788" s="36"/>
      <c r="E37788" s="1"/>
      <c r="F37788" s="1"/>
      <c r="G37788" s="1"/>
    </row>
    <row r="37789">
      <c r="B37789" s="36"/>
      <c r="C37789" s="36"/>
      <c r="E37789" s="1"/>
      <c r="F37789" s="1"/>
      <c r="G37789" s="1"/>
    </row>
    <row r="37790">
      <c r="B37790" s="36"/>
      <c r="C37790" s="36"/>
      <c r="E37790" s="1"/>
      <c r="F37790" s="1"/>
      <c r="G37790" s="1"/>
    </row>
    <row r="37791">
      <c r="B37791" s="36"/>
      <c r="C37791" s="36"/>
      <c r="E37791" s="1"/>
      <c r="F37791" s="1"/>
      <c r="G37791" s="1"/>
    </row>
    <row r="37792">
      <c r="B37792" s="36"/>
      <c r="C37792" s="36"/>
      <c r="E37792" s="1"/>
      <c r="F37792" s="1"/>
      <c r="G37792" s="1"/>
    </row>
    <row r="37793">
      <c r="B37793" s="36"/>
      <c r="C37793" s="36"/>
      <c r="E37793" s="1"/>
      <c r="F37793" s="1"/>
      <c r="G37793" s="1"/>
    </row>
    <row r="37794">
      <c r="B37794" s="36"/>
      <c r="C37794" s="36"/>
      <c r="E37794" s="1"/>
      <c r="F37794" s="1"/>
      <c r="G37794" s="1"/>
    </row>
    <row r="37795">
      <c r="B37795" s="36"/>
      <c r="C37795" s="36"/>
      <c r="E37795" s="1"/>
      <c r="F37795" s="1"/>
      <c r="G37795" s="1"/>
    </row>
    <row r="37796">
      <c r="B37796" s="36"/>
      <c r="C37796" s="36"/>
      <c r="E37796" s="1"/>
      <c r="F37796" s="1"/>
      <c r="G37796" s="1"/>
    </row>
    <row r="37797">
      <c r="B37797" s="36"/>
      <c r="C37797" s="36"/>
      <c r="E37797" s="1"/>
      <c r="F37797" s="1"/>
      <c r="G37797" s="1"/>
    </row>
    <row r="37798">
      <c r="B37798" s="36"/>
      <c r="C37798" s="36"/>
      <c r="E37798" s="1"/>
      <c r="F37798" s="1"/>
      <c r="G37798" s="1"/>
    </row>
    <row r="37799">
      <c r="B37799" s="36"/>
      <c r="C37799" s="36"/>
      <c r="E37799" s="1"/>
      <c r="F37799" s="1"/>
      <c r="G37799" s="1"/>
    </row>
    <row r="37800">
      <c r="B37800" s="36"/>
      <c r="C37800" s="36"/>
      <c r="E37800" s="1"/>
      <c r="F37800" s="1"/>
      <c r="G37800" s="1"/>
    </row>
    <row r="37801">
      <c r="B37801" s="36"/>
      <c r="C37801" s="36"/>
      <c r="E37801" s="1"/>
      <c r="F37801" s="1"/>
      <c r="G37801" s="1"/>
    </row>
    <row r="37802">
      <c r="B37802" s="36"/>
      <c r="C37802" s="36"/>
      <c r="E37802" s="1"/>
      <c r="F37802" s="1"/>
      <c r="G37802" s="1"/>
    </row>
    <row r="37803">
      <c r="B37803" s="36"/>
      <c r="C37803" s="36"/>
      <c r="E37803" s="1"/>
      <c r="F37803" s="1"/>
      <c r="G37803" s="1"/>
    </row>
    <row r="37804">
      <c r="B37804" s="36"/>
      <c r="C37804" s="36"/>
      <c r="E37804" s="1"/>
      <c r="F37804" s="1"/>
      <c r="G37804" s="1"/>
    </row>
    <row r="37805">
      <c r="B37805" s="36"/>
      <c r="C37805" s="36"/>
      <c r="E37805" s="1"/>
      <c r="F37805" s="1"/>
      <c r="G37805" s="1"/>
    </row>
    <row r="37806">
      <c r="B37806" s="36"/>
      <c r="C37806" s="36"/>
      <c r="E37806" s="1"/>
      <c r="F37806" s="1"/>
      <c r="G37806" s="1"/>
    </row>
    <row r="37807">
      <c r="B37807" s="36"/>
      <c r="C37807" s="36"/>
      <c r="E37807" s="1"/>
      <c r="F37807" s="1"/>
      <c r="G37807" s="1"/>
    </row>
    <row r="37808">
      <c r="B37808" s="36"/>
      <c r="C37808" s="36"/>
      <c r="E37808" s="1"/>
      <c r="F37808" s="1"/>
      <c r="G37808" s="1"/>
    </row>
    <row r="37809">
      <c r="B37809" s="36"/>
      <c r="C37809" s="36"/>
      <c r="E37809" s="1"/>
      <c r="F37809" s="1"/>
      <c r="G37809" s="1"/>
    </row>
    <row r="37810">
      <c r="B37810" s="36"/>
      <c r="C37810" s="36"/>
      <c r="E37810" s="1"/>
      <c r="F37810" s="1"/>
      <c r="G37810" s="1"/>
    </row>
    <row r="37811">
      <c r="B37811" s="36"/>
      <c r="C37811" s="36"/>
      <c r="E37811" s="1"/>
      <c r="F37811" s="1"/>
      <c r="G37811" s="1"/>
    </row>
    <row r="37812">
      <c r="B37812" s="36"/>
      <c r="C37812" s="36"/>
      <c r="E37812" s="1"/>
      <c r="F37812" s="1"/>
      <c r="G37812" s="1"/>
    </row>
    <row r="37813">
      <c r="B37813" s="36"/>
      <c r="C37813" s="36"/>
      <c r="E37813" s="1"/>
      <c r="F37813" s="1"/>
      <c r="G37813" s="1"/>
    </row>
    <row r="37814">
      <c r="B37814" s="36"/>
      <c r="C37814" s="36"/>
      <c r="E37814" s="1"/>
      <c r="F37814" s="1"/>
      <c r="G37814" s="1"/>
    </row>
    <row r="37815">
      <c r="B37815" s="36"/>
      <c r="C37815" s="36"/>
      <c r="E37815" s="1"/>
      <c r="F37815" s="1"/>
      <c r="G37815" s="1"/>
    </row>
    <row r="37816">
      <c r="B37816" s="36"/>
      <c r="C37816" s="36"/>
      <c r="E37816" s="1"/>
      <c r="F37816" s="1"/>
      <c r="G37816" s="1"/>
    </row>
    <row r="37817">
      <c r="B37817" s="36"/>
      <c r="C37817" s="36"/>
      <c r="E37817" s="1"/>
      <c r="F37817" s="1"/>
      <c r="G37817" s="1"/>
    </row>
    <row r="37818">
      <c r="B37818" s="36"/>
      <c r="C37818" s="36"/>
      <c r="E37818" s="1"/>
      <c r="F37818" s="1"/>
      <c r="G37818" s="1"/>
    </row>
    <row r="37819">
      <c r="B37819" s="36"/>
      <c r="C37819" s="36"/>
      <c r="E37819" s="1"/>
      <c r="F37819" s="1"/>
      <c r="G37819" s="1"/>
    </row>
    <row r="37820">
      <c r="B37820" s="36"/>
      <c r="C37820" s="36"/>
      <c r="E37820" s="1"/>
      <c r="F37820" s="1"/>
      <c r="G37820" s="1"/>
    </row>
    <row r="37821">
      <c r="B37821" s="36"/>
      <c r="C37821" s="36"/>
      <c r="E37821" s="1"/>
      <c r="F37821" s="1"/>
      <c r="G37821" s="1"/>
    </row>
    <row r="37822">
      <c r="B37822" s="36"/>
      <c r="C37822" s="36"/>
      <c r="E37822" s="1"/>
      <c r="F37822" s="1"/>
      <c r="G37822" s="1"/>
    </row>
    <row r="37823">
      <c r="B37823" s="36"/>
      <c r="C37823" s="36"/>
      <c r="E37823" s="1"/>
      <c r="F37823" s="1"/>
      <c r="G37823" s="1"/>
    </row>
    <row r="37824">
      <c r="B37824" s="36"/>
      <c r="C37824" s="36"/>
      <c r="E37824" s="1"/>
      <c r="F37824" s="1"/>
      <c r="G37824" s="1"/>
    </row>
    <row r="37825">
      <c r="B37825" s="36"/>
      <c r="C37825" s="36"/>
      <c r="E37825" s="1"/>
      <c r="F37825" s="1"/>
      <c r="G37825" s="1"/>
    </row>
    <row r="37826">
      <c r="B37826" s="36"/>
      <c r="C37826" s="36"/>
      <c r="E37826" s="1"/>
      <c r="F37826" s="1"/>
      <c r="G37826" s="1"/>
    </row>
    <row r="37827">
      <c r="B37827" s="36"/>
      <c r="C37827" s="36"/>
      <c r="E37827" s="1"/>
      <c r="F37827" s="1"/>
      <c r="G37827" s="1"/>
    </row>
    <row r="37828">
      <c r="B37828" s="36"/>
      <c r="C37828" s="36"/>
      <c r="E37828" s="1"/>
      <c r="F37828" s="1"/>
      <c r="G37828" s="1"/>
    </row>
    <row r="37829">
      <c r="B37829" s="36"/>
      <c r="C37829" s="36"/>
      <c r="E37829" s="1"/>
      <c r="F37829" s="1"/>
      <c r="G37829" s="1"/>
    </row>
    <row r="37830">
      <c r="B37830" s="36"/>
      <c r="C37830" s="36"/>
      <c r="E37830" s="1"/>
      <c r="F37830" s="1"/>
      <c r="G37830" s="1"/>
    </row>
    <row r="37831">
      <c r="B37831" s="36"/>
      <c r="C37831" s="36"/>
      <c r="E37831" s="1"/>
      <c r="F37831" s="1"/>
      <c r="G37831" s="1"/>
    </row>
    <row r="37832">
      <c r="B37832" s="36"/>
      <c r="C37832" s="36"/>
      <c r="E37832" s="1"/>
      <c r="F37832" s="1"/>
      <c r="G37832" s="1"/>
    </row>
    <row r="37833">
      <c r="B37833" s="36"/>
      <c r="C37833" s="36"/>
      <c r="E37833" s="1"/>
      <c r="F37833" s="1"/>
      <c r="G37833" s="1"/>
    </row>
    <row r="37834">
      <c r="B37834" s="36"/>
      <c r="C37834" s="36"/>
      <c r="E37834" s="1"/>
      <c r="F37834" s="1"/>
      <c r="G37834" s="1"/>
    </row>
    <row r="37835">
      <c r="B37835" s="36"/>
      <c r="C37835" s="36"/>
      <c r="E37835" s="1"/>
      <c r="F37835" s="1"/>
      <c r="G37835" s="1"/>
    </row>
    <row r="37836">
      <c r="B37836" s="36"/>
      <c r="C37836" s="36"/>
      <c r="E37836" s="1"/>
      <c r="F37836" s="1"/>
      <c r="G37836" s="1"/>
    </row>
    <row r="37837">
      <c r="B37837" s="36"/>
      <c r="C37837" s="36"/>
      <c r="E37837" s="1"/>
      <c r="F37837" s="1"/>
      <c r="G37837" s="1"/>
    </row>
    <row r="37838">
      <c r="B37838" s="36"/>
      <c r="C37838" s="36"/>
      <c r="E37838" s="1"/>
      <c r="F37838" s="1"/>
      <c r="G37838" s="1"/>
    </row>
    <row r="37839">
      <c r="B37839" s="36"/>
      <c r="C37839" s="36"/>
      <c r="E37839" s="1"/>
      <c r="F37839" s="1"/>
      <c r="G37839" s="1"/>
    </row>
    <row r="37840">
      <c r="B37840" s="36"/>
      <c r="C37840" s="36"/>
      <c r="E37840" s="1"/>
      <c r="F37840" s="1"/>
      <c r="G37840" s="1"/>
    </row>
    <row r="37841">
      <c r="B37841" s="36"/>
      <c r="C37841" s="36"/>
      <c r="E37841" s="1"/>
      <c r="F37841" s="1"/>
      <c r="G37841" s="1"/>
    </row>
    <row r="37842">
      <c r="B37842" s="36"/>
      <c r="C37842" s="36"/>
      <c r="E37842" s="1"/>
      <c r="F37842" s="1"/>
      <c r="G37842" s="1"/>
    </row>
    <row r="37843">
      <c r="B37843" s="36"/>
      <c r="C37843" s="36"/>
      <c r="E37843" s="1"/>
      <c r="F37843" s="1"/>
      <c r="G37843" s="1"/>
    </row>
    <row r="37844">
      <c r="B37844" s="36"/>
      <c r="C37844" s="36"/>
      <c r="E37844" s="1"/>
      <c r="F37844" s="1"/>
      <c r="G37844" s="1"/>
    </row>
    <row r="37845">
      <c r="B37845" s="36"/>
      <c r="C37845" s="36"/>
      <c r="E37845" s="1"/>
      <c r="F37845" s="1"/>
      <c r="G37845" s="1"/>
    </row>
    <row r="37846">
      <c r="B37846" s="36"/>
      <c r="C37846" s="36"/>
      <c r="E37846" s="1"/>
      <c r="F37846" s="1"/>
      <c r="G37846" s="1"/>
    </row>
    <row r="37847">
      <c r="B37847" s="36"/>
      <c r="C37847" s="36"/>
      <c r="E37847" s="1"/>
      <c r="F37847" s="1"/>
      <c r="G37847" s="1"/>
    </row>
    <row r="37848">
      <c r="B37848" s="36"/>
      <c r="C37848" s="36"/>
      <c r="E37848" s="1"/>
      <c r="F37848" s="1"/>
      <c r="G37848" s="1"/>
    </row>
    <row r="37849">
      <c r="B37849" s="36"/>
      <c r="C37849" s="36"/>
      <c r="E37849" s="1"/>
      <c r="F37849" s="1"/>
      <c r="G37849" s="1"/>
    </row>
    <row r="37850">
      <c r="B37850" s="36"/>
      <c r="C37850" s="36"/>
      <c r="E37850" s="1"/>
      <c r="F37850" s="1"/>
      <c r="G37850" s="1"/>
    </row>
    <row r="37851">
      <c r="B37851" s="36"/>
      <c r="C37851" s="36"/>
      <c r="E37851" s="1"/>
      <c r="F37851" s="1"/>
      <c r="G37851" s="1"/>
    </row>
    <row r="37852">
      <c r="B37852" s="36"/>
      <c r="C37852" s="36"/>
      <c r="E37852" s="1"/>
      <c r="F37852" s="1"/>
      <c r="G37852" s="1"/>
    </row>
    <row r="37853">
      <c r="B37853" s="36"/>
      <c r="C37853" s="36"/>
      <c r="E37853" s="1"/>
      <c r="F37853" s="1"/>
      <c r="G37853" s="1"/>
    </row>
    <row r="37854">
      <c r="B37854" s="36"/>
      <c r="C37854" s="36"/>
      <c r="E37854" s="1"/>
      <c r="F37854" s="1"/>
      <c r="G37854" s="1"/>
    </row>
    <row r="37855">
      <c r="B37855" s="36"/>
      <c r="C37855" s="36"/>
      <c r="E37855" s="1"/>
      <c r="F37855" s="1"/>
      <c r="G37855" s="1"/>
    </row>
    <row r="37856">
      <c r="B37856" s="36"/>
      <c r="C37856" s="36"/>
      <c r="E37856" s="1"/>
      <c r="F37856" s="1"/>
      <c r="G37856" s="1"/>
    </row>
    <row r="37857">
      <c r="B37857" s="36"/>
      <c r="C37857" s="36"/>
      <c r="E37857" s="1"/>
      <c r="F37857" s="1"/>
      <c r="G37857" s="1"/>
    </row>
    <row r="37858">
      <c r="B37858" s="36"/>
      <c r="C37858" s="36"/>
      <c r="E37858" s="1"/>
      <c r="F37858" s="1"/>
      <c r="G37858" s="1"/>
    </row>
    <row r="37859">
      <c r="B37859" s="36"/>
      <c r="C37859" s="36"/>
      <c r="E37859" s="1"/>
      <c r="F37859" s="1"/>
      <c r="G37859" s="1"/>
    </row>
    <row r="37860">
      <c r="B37860" s="36"/>
      <c r="C37860" s="36"/>
      <c r="E37860" s="1"/>
      <c r="F37860" s="1"/>
      <c r="G37860" s="1"/>
    </row>
    <row r="37861">
      <c r="B37861" s="36"/>
      <c r="C37861" s="36"/>
      <c r="E37861" s="1"/>
      <c r="F37861" s="1"/>
      <c r="G37861" s="1"/>
    </row>
    <row r="37862">
      <c r="B37862" s="36"/>
      <c r="C37862" s="36"/>
      <c r="E37862" s="1"/>
      <c r="F37862" s="1"/>
      <c r="G37862" s="1"/>
    </row>
    <row r="37863">
      <c r="B37863" s="36"/>
      <c r="C37863" s="36"/>
      <c r="E37863" s="1"/>
      <c r="F37863" s="1"/>
      <c r="G37863" s="1"/>
    </row>
    <row r="37864">
      <c r="B37864" s="36"/>
      <c r="C37864" s="36"/>
      <c r="E37864" s="1"/>
      <c r="F37864" s="1"/>
      <c r="G37864" s="1"/>
    </row>
    <row r="37865">
      <c r="B37865" s="36"/>
      <c r="C37865" s="36"/>
      <c r="E37865" s="1"/>
      <c r="F37865" s="1"/>
      <c r="G37865" s="1"/>
    </row>
    <row r="37866">
      <c r="B37866" s="36"/>
      <c r="C37866" s="36"/>
      <c r="E37866" s="1"/>
      <c r="F37866" s="1"/>
      <c r="G37866" s="1"/>
    </row>
    <row r="37867">
      <c r="B37867" s="36"/>
      <c r="C37867" s="36"/>
      <c r="E37867" s="1"/>
      <c r="F37867" s="1"/>
      <c r="G37867" s="1"/>
    </row>
    <row r="37868">
      <c r="B37868" s="36"/>
      <c r="C37868" s="36"/>
      <c r="E37868" s="1"/>
      <c r="F37868" s="1"/>
      <c r="G37868" s="1"/>
    </row>
    <row r="37869">
      <c r="B37869" s="36"/>
      <c r="C37869" s="36"/>
      <c r="E37869" s="1"/>
      <c r="F37869" s="1"/>
      <c r="G37869" s="1"/>
    </row>
    <row r="37870">
      <c r="B37870" s="36"/>
      <c r="C37870" s="36"/>
      <c r="E37870" s="1"/>
      <c r="F37870" s="1"/>
      <c r="G37870" s="1"/>
    </row>
    <row r="37871">
      <c r="B37871" s="36"/>
      <c r="C37871" s="36"/>
      <c r="E37871" s="1"/>
      <c r="F37871" s="1"/>
      <c r="G37871" s="1"/>
    </row>
    <row r="37872">
      <c r="B37872" s="36"/>
      <c r="C37872" s="36"/>
      <c r="E37872" s="1"/>
      <c r="F37872" s="1"/>
      <c r="G37872" s="1"/>
    </row>
    <row r="37873">
      <c r="B37873" s="36"/>
      <c r="C37873" s="36"/>
      <c r="E37873" s="1"/>
      <c r="F37873" s="1"/>
      <c r="G37873" s="1"/>
    </row>
    <row r="37874">
      <c r="B37874" s="36"/>
      <c r="C37874" s="36"/>
      <c r="E37874" s="1"/>
      <c r="F37874" s="1"/>
      <c r="G37874" s="1"/>
    </row>
    <row r="37875">
      <c r="B37875" s="36"/>
      <c r="C37875" s="36"/>
      <c r="E37875" s="1"/>
      <c r="F37875" s="1"/>
      <c r="G37875" s="1"/>
    </row>
    <row r="37876">
      <c r="B37876" s="36"/>
      <c r="C37876" s="36"/>
      <c r="E37876" s="1"/>
      <c r="F37876" s="1"/>
      <c r="G37876" s="1"/>
    </row>
    <row r="37877">
      <c r="B37877" s="36"/>
      <c r="C37877" s="36"/>
      <c r="E37877" s="1"/>
      <c r="F37877" s="1"/>
      <c r="G37877" s="1"/>
    </row>
    <row r="37878">
      <c r="B37878" s="36"/>
      <c r="C37878" s="36"/>
      <c r="E37878" s="1"/>
      <c r="F37878" s="1"/>
      <c r="G37878" s="1"/>
    </row>
    <row r="37879">
      <c r="B37879" s="36"/>
      <c r="C37879" s="36"/>
      <c r="E37879" s="1"/>
      <c r="F37879" s="1"/>
      <c r="G37879" s="1"/>
    </row>
    <row r="37880">
      <c r="B37880" s="36"/>
      <c r="C37880" s="36"/>
      <c r="E37880" s="1"/>
      <c r="F37880" s="1"/>
      <c r="G37880" s="1"/>
    </row>
    <row r="37881">
      <c r="B37881" s="36"/>
      <c r="C37881" s="36"/>
      <c r="E37881" s="1"/>
      <c r="F37881" s="1"/>
      <c r="G37881" s="1"/>
    </row>
    <row r="37882">
      <c r="B37882" s="36"/>
      <c r="C37882" s="36"/>
      <c r="E37882" s="1"/>
      <c r="F37882" s="1"/>
      <c r="G37882" s="1"/>
    </row>
    <row r="37883">
      <c r="B37883" s="36"/>
      <c r="C37883" s="36"/>
      <c r="E37883" s="1"/>
      <c r="F37883" s="1"/>
      <c r="G37883" s="1"/>
    </row>
    <row r="37884">
      <c r="B37884" s="36"/>
      <c r="C37884" s="36"/>
      <c r="E37884" s="1"/>
      <c r="F37884" s="1"/>
      <c r="G37884" s="1"/>
    </row>
    <row r="37885">
      <c r="B37885" s="36"/>
      <c r="C37885" s="36"/>
      <c r="E37885" s="1"/>
      <c r="F37885" s="1"/>
      <c r="G37885" s="1"/>
    </row>
    <row r="37886">
      <c r="B37886" s="36"/>
      <c r="C37886" s="36"/>
      <c r="E37886" s="1"/>
      <c r="F37886" s="1"/>
      <c r="G37886" s="1"/>
    </row>
    <row r="37887">
      <c r="B37887" s="36"/>
      <c r="C37887" s="36"/>
      <c r="E37887" s="1"/>
      <c r="F37887" s="1"/>
      <c r="G37887" s="1"/>
    </row>
    <row r="37888">
      <c r="B37888" s="36"/>
      <c r="C37888" s="36"/>
      <c r="E37888" s="1"/>
      <c r="F37888" s="1"/>
      <c r="G37888" s="1"/>
    </row>
    <row r="37889">
      <c r="B37889" s="36"/>
      <c r="C37889" s="36"/>
      <c r="E37889" s="1"/>
      <c r="F37889" s="1"/>
      <c r="G37889" s="1"/>
    </row>
    <row r="37890">
      <c r="B37890" s="36"/>
      <c r="C37890" s="36"/>
      <c r="E37890" s="1"/>
      <c r="F37890" s="1"/>
      <c r="G37890" s="1"/>
    </row>
    <row r="37891">
      <c r="B37891" s="36"/>
      <c r="C37891" s="36"/>
      <c r="E37891" s="1"/>
      <c r="F37891" s="1"/>
      <c r="G37891" s="1"/>
    </row>
    <row r="37892">
      <c r="B37892" s="36"/>
      <c r="C37892" s="36"/>
      <c r="E37892" s="1"/>
      <c r="F37892" s="1"/>
      <c r="G37892" s="1"/>
    </row>
    <row r="37893">
      <c r="B37893" s="36"/>
      <c r="C37893" s="36"/>
      <c r="E37893" s="1"/>
      <c r="F37893" s="1"/>
      <c r="G37893" s="1"/>
    </row>
    <row r="37894">
      <c r="B37894" s="36"/>
      <c r="C37894" s="36"/>
      <c r="E37894" s="1"/>
      <c r="F37894" s="1"/>
      <c r="G37894" s="1"/>
    </row>
    <row r="37895">
      <c r="B37895" s="36"/>
      <c r="C37895" s="36"/>
      <c r="E37895" s="1"/>
      <c r="F37895" s="1"/>
      <c r="G37895" s="1"/>
    </row>
    <row r="37896">
      <c r="B37896" s="36"/>
      <c r="C37896" s="36"/>
      <c r="E37896" s="1"/>
      <c r="F37896" s="1"/>
      <c r="G37896" s="1"/>
    </row>
    <row r="37897">
      <c r="B37897" s="36"/>
      <c r="C37897" s="36"/>
      <c r="E37897" s="1"/>
      <c r="F37897" s="1"/>
      <c r="G37897" s="1"/>
    </row>
    <row r="37898">
      <c r="B37898" s="36"/>
      <c r="C37898" s="36"/>
      <c r="E37898" s="1"/>
      <c r="F37898" s="1"/>
      <c r="G37898" s="1"/>
    </row>
    <row r="37899">
      <c r="B37899" s="36"/>
      <c r="C37899" s="36"/>
      <c r="E37899" s="1"/>
      <c r="F37899" s="1"/>
      <c r="G37899" s="1"/>
    </row>
    <row r="37900">
      <c r="B37900" s="36"/>
      <c r="C37900" s="36"/>
      <c r="E37900" s="1"/>
      <c r="F37900" s="1"/>
      <c r="G37900" s="1"/>
    </row>
    <row r="37901">
      <c r="B37901" s="36"/>
      <c r="C37901" s="36"/>
      <c r="E37901" s="1"/>
      <c r="F37901" s="1"/>
      <c r="G37901" s="1"/>
    </row>
    <row r="37902">
      <c r="B37902" s="36"/>
      <c r="C37902" s="36"/>
      <c r="E37902" s="1"/>
      <c r="F37902" s="1"/>
      <c r="G37902" s="1"/>
    </row>
    <row r="37903">
      <c r="B37903" s="36"/>
      <c r="C37903" s="36"/>
      <c r="E37903" s="1"/>
      <c r="F37903" s="1"/>
      <c r="G37903" s="1"/>
    </row>
    <row r="37904">
      <c r="B37904" s="36"/>
      <c r="C37904" s="36"/>
      <c r="E37904" s="1"/>
      <c r="F37904" s="1"/>
      <c r="G37904" s="1"/>
    </row>
    <row r="37905">
      <c r="B37905" s="36"/>
      <c r="C37905" s="36"/>
      <c r="E37905" s="1"/>
      <c r="F37905" s="1"/>
      <c r="G37905" s="1"/>
    </row>
    <row r="37906">
      <c r="B37906" s="36"/>
      <c r="C37906" s="36"/>
      <c r="E37906" s="1"/>
      <c r="F37906" s="1"/>
      <c r="G37906" s="1"/>
    </row>
    <row r="37907">
      <c r="B37907" s="36"/>
      <c r="C37907" s="36"/>
      <c r="E37907" s="1"/>
      <c r="F37907" s="1"/>
      <c r="G37907" s="1"/>
    </row>
    <row r="37908">
      <c r="B37908" s="36"/>
      <c r="C37908" s="36"/>
      <c r="E37908" s="1"/>
      <c r="F37908" s="1"/>
      <c r="G37908" s="1"/>
    </row>
    <row r="37909">
      <c r="B37909" s="36"/>
      <c r="C37909" s="36"/>
      <c r="E37909" s="1"/>
      <c r="F37909" s="1"/>
      <c r="G37909" s="1"/>
    </row>
    <row r="37910">
      <c r="B37910" s="36"/>
      <c r="C37910" s="36"/>
      <c r="E37910" s="1"/>
      <c r="F37910" s="1"/>
      <c r="G37910" s="1"/>
    </row>
    <row r="37911">
      <c r="B37911" s="36"/>
      <c r="C37911" s="36"/>
      <c r="E37911" s="1"/>
      <c r="F37911" s="1"/>
      <c r="G37911" s="1"/>
    </row>
    <row r="37912">
      <c r="B37912" s="36"/>
      <c r="C37912" s="36"/>
      <c r="E37912" s="1"/>
      <c r="F37912" s="1"/>
      <c r="G37912" s="1"/>
    </row>
    <row r="37913">
      <c r="B37913" s="36"/>
      <c r="C37913" s="36"/>
      <c r="E37913" s="1"/>
      <c r="F37913" s="1"/>
      <c r="G37913" s="1"/>
    </row>
    <row r="37914">
      <c r="B37914" s="36"/>
      <c r="C37914" s="36"/>
      <c r="E37914" s="1"/>
      <c r="F37914" s="1"/>
      <c r="G37914" s="1"/>
    </row>
    <row r="37915">
      <c r="B37915" s="36"/>
      <c r="C37915" s="36"/>
      <c r="E37915" s="1"/>
      <c r="F37915" s="1"/>
      <c r="G37915" s="1"/>
    </row>
    <row r="37916">
      <c r="B37916" s="36"/>
      <c r="C37916" s="36"/>
      <c r="E37916" s="1"/>
      <c r="F37916" s="1"/>
      <c r="G37916" s="1"/>
    </row>
    <row r="37917">
      <c r="B37917" s="36"/>
      <c r="C37917" s="36"/>
      <c r="E37917" s="1"/>
      <c r="F37917" s="1"/>
      <c r="G37917" s="1"/>
    </row>
    <row r="37918">
      <c r="B37918" s="36"/>
      <c r="C37918" s="36"/>
      <c r="E37918" s="1"/>
      <c r="F37918" s="1"/>
      <c r="G37918" s="1"/>
    </row>
    <row r="37919">
      <c r="B37919" s="36"/>
      <c r="C37919" s="36"/>
      <c r="E37919" s="1"/>
      <c r="F37919" s="1"/>
      <c r="G37919" s="1"/>
    </row>
    <row r="37920">
      <c r="B37920" s="36"/>
      <c r="C37920" s="36"/>
      <c r="E37920" s="1"/>
      <c r="F37920" s="1"/>
      <c r="G37920" s="1"/>
    </row>
    <row r="37921">
      <c r="B37921" s="36"/>
      <c r="C37921" s="36"/>
      <c r="E37921" s="1"/>
      <c r="F37921" s="1"/>
      <c r="G37921" s="1"/>
    </row>
    <row r="37922">
      <c r="B37922" s="36"/>
      <c r="C37922" s="36"/>
      <c r="E37922" s="1"/>
      <c r="F37922" s="1"/>
      <c r="G37922" s="1"/>
    </row>
    <row r="37923">
      <c r="B37923" s="36"/>
      <c r="C37923" s="36"/>
      <c r="E37923" s="1"/>
      <c r="F37923" s="1"/>
      <c r="G37923" s="1"/>
    </row>
    <row r="37924">
      <c r="B37924" s="36"/>
      <c r="C37924" s="36"/>
      <c r="E37924" s="1"/>
      <c r="F37924" s="1"/>
      <c r="G37924" s="1"/>
    </row>
    <row r="37925">
      <c r="B37925" s="36"/>
      <c r="C37925" s="36"/>
      <c r="E37925" s="1"/>
      <c r="F37925" s="1"/>
      <c r="G37925" s="1"/>
    </row>
    <row r="37926">
      <c r="B37926" s="36"/>
      <c r="C37926" s="36"/>
      <c r="E37926" s="1"/>
      <c r="F37926" s="1"/>
      <c r="G37926" s="1"/>
    </row>
    <row r="37927">
      <c r="B37927" s="36"/>
      <c r="C37927" s="36"/>
      <c r="E37927" s="1"/>
      <c r="F37927" s="1"/>
      <c r="G37927" s="1"/>
    </row>
    <row r="37928">
      <c r="B37928" s="36"/>
      <c r="C37928" s="36"/>
      <c r="E37928" s="1"/>
      <c r="F37928" s="1"/>
      <c r="G37928" s="1"/>
    </row>
    <row r="37929">
      <c r="B37929" s="36"/>
      <c r="C37929" s="36"/>
      <c r="E37929" s="1"/>
      <c r="F37929" s="1"/>
      <c r="G37929" s="1"/>
    </row>
    <row r="37930">
      <c r="B37930" s="36"/>
      <c r="C37930" s="36"/>
      <c r="E37930" s="1"/>
      <c r="F37930" s="1"/>
      <c r="G37930" s="1"/>
    </row>
    <row r="37931">
      <c r="B37931" s="36"/>
      <c r="C37931" s="36"/>
      <c r="E37931" s="1"/>
      <c r="F37931" s="1"/>
      <c r="G37931" s="1"/>
    </row>
    <row r="37932">
      <c r="B37932" s="36"/>
      <c r="C37932" s="36"/>
      <c r="E37932" s="1"/>
      <c r="F37932" s="1"/>
      <c r="G37932" s="1"/>
    </row>
    <row r="37933">
      <c r="B37933" s="36"/>
      <c r="C37933" s="36"/>
      <c r="E37933" s="1"/>
      <c r="F37933" s="1"/>
      <c r="G37933" s="1"/>
    </row>
    <row r="37934">
      <c r="B37934" s="36"/>
      <c r="C37934" s="36"/>
      <c r="E37934" s="1"/>
      <c r="F37934" s="1"/>
      <c r="G37934" s="1"/>
    </row>
    <row r="37935">
      <c r="B37935" s="36"/>
      <c r="C37935" s="36"/>
      <c r="E37935" s="1"/>
      <c r="F37935" s="1"/>
      <c r="G37935" s="1"/>
    </row>
    <row r="37936">
      <c r="B37936" s="36"/>
      <c r="C37936" s="36"/>
      <c r="E37936" s="1"/>
      <c r="F37936" s="1"/>
      <c r="G37936" s="1"/>
    </row>
    <row r="37937">
      <c r="B37937" s="36"/>
      <c r="C37937" s="36"/>
      <c r="E37937" s="1"/>
      <c r="F37937" s="1"/>
      <c r="G37937" s="1"/>
    </row>
    <row r="37938">
      <c r="B37938" s="36"/>
      <c r="C37938" s="36"/>
      <c r="E37938" s="1"/>
      <c r="F37938" s="1"/>
      <c r="G37938" s="1"/>
    </row>
    <row r="37939">
      <c r="B37939" s="36"/>
      <c r="C37939" s="36"/>
      <c r="E37939" s="1"/>
      <c r="F37939" s="1"/>
      <c r="G37939" s="1"/>
    </row>
    <row r="37940">
      <c r="B37940" s="36"/>
      <c r="C37940" s="36"/>
      <c r="E37940" s="1"/>
      <c r="F37940" s="1"/>
      <c r="G37940" s="1"/>
    </row>
    <row r="37941">
      <c r="B37941" s="36"/>
      <c r="C37941" s="36"/>
      <c r="E37941" s="1"/>
      <c r="F37941" s="1"/>
      <c r="G37941" s="1"/>
    </row>
    <row r="37942">
      <c r="B37942" s="36"/>
      <c r="C37942" s="36"/>
      <c r="E37942" s="1"/>
      <c r="F37942" s="1"/>
      <c r="G37942" s="1"/>
    </row>
    <row r="37943">
      <c r="B37943" s="36"/>
      <c r="C37943" s="36"/>
      <c r="E37943" s="1"/>
      <c r="F37943" s="1"/>
      <c r="G37943" s="1"/>
    </row>
    <row r="37944">
      <c r="B37944" s="36"/>
      <c r="C37944" s="36"/>
      <c r="E37944" s="1"/>
      <c r="F37944" s="1"/>
      <c r="G37944" s="1"/>
    </row>
    <row r="37945">
      <c r="B37945" s="36"/>
      <c r="C37945" s="36"/>
      <c r="E37945" s="1"/>
      <c r="F37945" s="1"/>
      <c r="G37945" s="1"/>
    </row>
    <row r="37946">
      <c r="B37946" s="36"/>
      <c r="C37946" s="36"/>
      <c r="E37946" s="1"/>
      <c r="F37946" s="1"/>
      <c r="G37946" s="1"/>
    </row>
    <row r="37947">
      <c r="B37947" s="36"/>
      <c r="C37947" s="36"/>
      <c r="E37947" s="1"/>
      <c r="F37947" s="1"/>
      <c r="G37947" s="1"/>
    </row>
    <row r="37948">
      <c r="B37948" s="36"/>
      <c r="C37948" s="36"/>
      <c r="E37948" s="1"/>
      <c r="F37948" s="1"/>
      <c r="G37948" s="1"/>
    </row>
    <row r="37949">
      <c r="B37949" s="36"/>
      <c r="C37949" s="36"/>
      <c r="E37949" s="1"/>
      <c r="F37949" s="1"/>
      <c r="G37949" s="1"/>
    </row>
    <row r="37950">
      <c r="B37950" s="36"/>
      <c r="C37950" s="36"/>
      <c r="E37950" s="1"/>
      <c r="F37950" s="1"/>
      <c r="G37950" s="1"/>
    </row>
    <row r="37951">
      <c r="B37951" s="36"/>
      <c r="C37951" s="36"/>
      <c r="E37951" s="1"/>
      <c r="F37951" s="1"/>
      <c r="G37951" s="1"/>
    </row>
    <row r="37952">
      <c r="B37952" s="36"/>
      <c r="C37952" s="36"/>
      <c r="E37952" s="1"/>
      <c r="F37952" s="1"/>
      <c r="G37952" s="1"/>
    </row>
    <row r="37953">
      <c r="B37953" s="36"/>
      <c r="C37953" s="36"/>
      <c r="E37953" s="1"/>
      <c r="F37953" s="1"/>
      <c r="G37953" s="1"/>
    </row>
    <row r="37954">
      <c r="B37954" s="36"/>
      <c r="C37954" s="36"/>
      <c r="E37954" s="1"/>
      <c r="F37954" s="1"/>
      <c r="G37954" s="1"/>
    </row>
    <row r="37955">
      <c r="B37955" s="36"/>
      <c r="C37955" s="36"/>
      <c r="E37955" s="1"/>
      <c r="F37955" s="1"/>
      <c r="G37955" s="1"/>
    </row>
    <row r="37956">
      <c r="B37956" s="36"/>
      <c r="C37956" s="36"/>
      <c r="E37956" s="1"/>
      <c r="F37956" s="1"/>
      <c r="G37956" s="1"/>
    </row>
    <row r="37957">
      <c r="B37957" s="36"/>
      <c r="C37957" s="36"/>
      <c r="E37957" s="1"/>
      <c r="F37957" s="1"/>
      <c r="G37957" s="1"/>
    </row>
    <row r="37958">
      <c r="B37958" s="36"/>
      <c r="C37958" s="36"/>
      <c r="E37958" s="1"/>
      <c r="F37958" s="1"/>
      <c r="G37958" s="1"/>
    </row>
    <row r="37959">
      <c r="B37959" s="36"/>
      <c r="C37959" s="36"/>
      <c r="E37959" s="1"/>
      <c r="F37959" s="1"/>
      <c r="G37959" s="1"/>
    </row>
    <row r="37960">
      <c r="B37960" s="36"/>
      <c r="C37960" s="36"/>
      <c r="E37960" s="1"/>
      <c r="F37960" s="1"/>
      <c r="G37960" s="1"/>
    </row>
    <row r="37961">
      <c r="B37961" s="36"/>
      <c r="C37961" s="36"/>
      <c r="E37961" s="1"/>
      <c r="F37961" s="1"/>
      <c r="G37961" s="1"/>
    </row>
    <row r="37962">
      <c r="B37962" s="36"/>
      <c r="C37962" s="36"/>
      <c r="E37962" s="1"/>
      <c r="F37962" s="1"/>
      <c r="G37962" s="1"/>
    </row>
    <row r="37963">
      <c r="B37963" s="36"/>
      <c r="C37963" s="36"/>
      <c r="E37963" s="1"/>
      <c r="F37963" s="1"/>
      <c r="G37963" s="1"/>
    </row>
    <row r="37964">
      <c r="B37964" s="36"/>
      <c r="C37964" s="36"/>
      <c r="E37964" s="1"/>
      <c r="F37964" s="1"/>
      <c r="G37964" s="1"/>
    </row>
    <row r="37965">
      <c r="B37965" s="36"/>
      <c r="C37965" s="36"/>
      <c r="E37965" s="1"/>
      <c r="F37965" s="1"/>
      <c r="G37965" s="1"/>
    </row>
    <row r="37966">
      <c r="B37966" s="36"/>
      <c r="C37966" s="36"/>
      <c r="E37966" s="1"/>
      <c r="F37966" s="1"/>
      <c r="G37966" s="1"/>
    </row>
    <row r="37967">
      <c r="B37967" s="36"/>
      <c r="C37967" s="36"/>
      <c r="E37967" s="1"/>
      <c r="F37967" s="1"/>
      <c r="G37967" s="1"/>
    </row>
    <row r="37968">
      <c r="B37968" s="36"/>
      <c r="C37968" s="36"/>
      <c r="E37968" s="1"/>
      <c r="F37968" s="1"/>
      <c r="G37968" s="1"/>
    </row>
    <row r="37969">
      <c r="B37969" s="36"/>
      <c r="C37969" s="36"/>
      <c r="E37969" s="1"/>
      <c r="F37969" s="1"/>
      <c r="G37969" s="1"/>
    </row>
    <row r="37970">
      <c r="B37970" s="36"/>
      <c r="C37970" s="36"/>
      <c r="E37970" s="1"/>
      <c r="F37970" s="1"/>
      <c r="G37970" s="1"/>
    </row>
    <row r="37971">
      <c r="B37971" s="36"/>
      <c r="C37971" s="36"/>
      <c r="E37971" s="1"/>
      <c r="F37971" s="1"/>
      <c r="G37971" s="1"/>
    </row>
    <row r="37972">
      <c r="B37972" s="36"/>
      <c r="C37972" s="36"/>
      <c r="E37972" s="1"/>
      <c r="F37972" s="1"/>
      <c r="G37972" s="1"/>
    </row>
    <row r="37973">
      <c r="B37973" s="36"/>
      <c r="C37973" s="36"/>
      <c r="E37973" s="1"/>
      <c r="F37973" s="1"/>
      <c r="G37973" s="1"/>
    </row>
    <row r="37974">
      <c r="B37974" s="36"/>
      <c r="C37974" s="36"/>
      <c r="E37974" s="1"/>
      <c r="F37974" s="1"/>
      <c r="G37974" s="1"/>
    </row>
    <row r="37975">
      <c r="B37975" s="36"/>
      <c r="C37975" s="36"/>
      <c r="E37975" s="1"/>
      <c r="F37975" s="1"/>
      <c r="G37975" s="1"/>
    </row>
    <row r="37976">
      <c r="B37976" s="36"/>
      <c r="C37976" s="36"/>
      <c r="E37976" s="1"/>
      <c r="F37976" s="1"/>
      <c r="G37976" s="1"/>
    </row>
    <row r="37977">
      <c r="B37977" s="36"/>
      <c r="C37977" s="36"/>
      <c r="E37977" s="1"/>
      <c r="F37977" s="1"/>
      <c r="G37977" s="1"/>
    </row>
    <row r="37978">
      <c r="B37978" s="36"/>
      <c r="C37978" s="36"/>
      <c r="E37978" s="1"/>
      <c r="F37978" s="1"/>
      <c r="G37978" s="1"/>
    </row>
    <row r="37979">
      <c r="B37979" s="36"/>
      <c r="C37979" s="36"/>
      <c r="E37979" s="1"/>
      <c r="F37979" s="1"/>
      <c r="G37979" s="1"/>
    </row>
    <row r="37980">
      <c r="B37980" s="36"/>
      <c r="C37980" s="36"/>
      <c r="E37980" s="1"/>
      <c r="F37980" s="1"/>
      <c r="G37980" s="1"/>
    </row>
    <row r="37981">
      <c r="B37981" s="36"/>
      <c r="C37981" s="36"/>
      <c r="E37981" s="1"/>
      <c r="F37981" s="1"/>
      <c r="G37981" s="1"/>
    </row>
    <row r="37982">
      <c r="B37982" s="36"/>
      <c r="C37982" s="36"/>
      <c r="E37982" s="1"/>
      <c r="F37982" s="1"/>
      <c r="G37982" s="1"/>
    </row>
    <row r="37983">
      <c r="B37983" s="36"/>
      <c r="C37983" s="36"/>
      <c r="E37983" s="1"/>
      <c r="F37983" s="1"/>
      <c r="G37983" s="1"/>
    </row>
    <row r="37984">
      <c r="B37984" s="36"/>
      <c r="C37984" s="36"/>
      <c r="E37984" s="1"/>
      <c r="F37984" s="1"/>
      <c r="G37984" s="1"/>
    </row>
    <row r="37985">
      <c r="B37985" s="36"/>
      <c r="C37985" s="36"/>
      <c r="E37985" s="1"/>
      <c r="F37985" s="1"/>
      <c r="G37985" s="1"/>
    </row>
    <row r="37986">
      <c r="B37986" s="36"/>
      <c r="C37986" s="36"/>
      <c r="E37986" s="1"/>
      <c r="F37986" s="1"/>
      <c r="G37986" s="1"/>
    </row>
    <row r="37987">
      <c r="B37987" s="36"/>
      <c r="C37987" s="36"/>
      <c r="E37987" s="1"/>
      <c r="F37987" s="1"/>
      <c r="G37987" s="1"/>
    </row>
    <row r="37988">
      <c r="B37988" s="36"/>
      <c r="C37988" s="36"/>
      <c r="E37988" s="1"/>
      <c r="F37988" s="1"/>
      <c r="G37988" s="1"/>
    </row>
    <row r="37989">
      <c r="B37989" s="36"/>
      <c r="C37989" s="36"/>
      <c r="E37989" s="1"/>
      <c r="F37989" s="1"/>
      <c r="G37989" s="1"/>
    </row>
    <row r="37990">
      <c r="B37990" s="36"/>
      <c r="C37990" s="36"/>
      <c r="E37990" s="1"/>
      <c r="F37990" s="1"/>
      <c r="G37990" s="1"/>
    </row>
    <row r="37991">
      <c r="B37991" s="36"/>
      <c r="C37991" s="36"/>
      <c r="E37991" s="1"/>
      <c r="F37991" s="1"/>
      <c r="G37991" s="1"/>
    </row>
    <row r="37992">
      <c r="B37992" s="36"/>
      <c r="C37992" s="36"/>
      <c r="E37992" s="1"/>
      <c r="F37992" s="1"/>
      <c r="G37992" s="1"/>
    </row>
    <row r="37993">
      <c r="B37993" s="36"/>
      <c r="C37993" s="36"/>
      <c r="E37993" s="1"/>
      <c r="F37993" s="1"/>
      <c r="G37993" s="1"/>
    </row>
    <row r="37994">
      <c r="B37994" s="36"/>
      <c r="C37994" s="36"/>
      <c r="E37994" s="1"/>
      <c r="F37994" s="1"/>
      <c r="G37994" s="1"/>
    </row>
    <row r="37995">
      <c r="B37995" s="36"/>
      <c r="C37995" s="36"/>
      <c r="E37995" s="1"/>
      <c r="F37995" s="1"/>
      <c r="G37995" s="1"/>
    </row>
    <row r="37996">
      <c r="B37996" s="36"/>
      <c r="C37996" s="36"/>
      <c r="E37996" s="1"/>
      <c r="F37996" s="1"/>
      <c r="G37996" s="1"/>
    </row>
    <row r="37997">
      <c r="B37997" s="36"/>
      <c r="C37997" s="36"/>
      <c r="E37997" s="1"/>
      <c r="F37997" s="1"/>
      <c r="G37997" s="1"/>
    </row>
    <row r="37998">
      <c r="B37998" s="36"/>
      <c r="C37998" s="36"/>
      <c r="E37998" s="1"/>
      <c r="F37998" s="1"/>
      <c r="G37998" s="1"/>
    </row>
    <row r="37999">
      <c r="B37999" s="36"/>
      <c r="C37999" s="36"/>
      <c r="E37999" s="1"/>
      <c r="F37999" s="1"/>
      <c r="G37999" s="1"/>
    </row>
    <row r="38000">
      <c r="B38000" s="36"/>
      <c r="C38000" s="36"/>
      <c r="E38000" s="1"/>
      <c r="F38000" s="1"/>
      <c r="G38000" s="1"/>
    </row>
    <row r="38001">
      <c r="B38001" s="36"/>
      <c r="C38001" s="36"/>
      <c r="E38001" s="1"/>
      <c r="F38001" s="1"/>
      <c r="G38001" s="1"/>
    </row>
    <row r="38002">
      <c r="B38002" s="36"/>
      <c r="C38002" s="36"/>
      <c r="E38002" s="1"/>
      <c r="F38002" s="1"/>
      <c r="G38002" s="1"/>
    </row>
    <row r="38003">
      <c r="B38003" s="36"/>
      <c r="C38003" s="36"/>
      <c r="E38003" s="1"/>
      <c r="F38003" s="1"/>
      <c r="G38003" s="1"/>
    </row>
    <row r="38004">
      <c r="B38004" s="36"/>
      <c r="C38004" s="36"/>
      <c r="E38004" s="1"/>
      <c r="F38004" s="1"/>
      <c r="G38004" s="1"/>
    </row>
    <row r="38005">
      <c r="B38005" s="36"/>
      <c r="C38005" s="36"/>
      <c r="E38005" s="1"/>
      <c r="F38005" s="1"/>
      <c r="G38005" s="1"/>
    </row>
    <row r="38006">
      <c r="B38006" s="36"/>
      <c r="C38006" s="36"/>
      <c r="E38006" s="1"/>
      <c r="F38006" s="1"/>
      <c r="G38006" s="1"/>
    </row>
    <row r="38007">
      <c r="B38007" s="36"/>
      <c r="C38007" s="36"/>
      <c r="E38007" s="1"/>
      <c r="F38007" s="1"/>
      <c r="G38007" s="1"/>
    </row>
    <row r="38008">
      <c r="B38008" s="36"/>
      <c r="C38008" s="36"/>
      <c r="E38008" s="1"/>
      <c r="F38008" s="1"/>
      <c r="G38008" s="1"/>
    </row>
    <row r="38009">
      <c r="B38009" s="36"/>
      <c r="C38009" s="36"/>
      <c r="E38009" s="1"/>
      <c r="F38009" s="1"/>
      <c r="G38009" s="1"/>
    </row>
    <row r="38010">
      <c r="B38010" s="36"/>
      <c r="C38010" s="36"/>
      <c r="E38010" s="1"/>
      <c r="F38010" s="1"/>
      <c r="G38010" s="1"/>
    </row>
    <row r="38011">
      <c r="B38011" s="36"/>
      <c r="C38011" s="36"/>
      <c r="E38011" s="1"/>
      <c r="F38011" s="1"/>
      <c r="G38011" s="1"/>
    </row>
    <row r="38012">
      <c r="B38012" s="36"/>
      <c r="C38012" s="36"/>
      <c r="E38012" s="1"/>
      <c r="F38012" s="1"/>
      <c r="G38012" s="1"/>
    </row>
    <row r="38013">
      <c r="B38013" s="36"/>
      <c r="C38013" s="36"/>
      <c r="E38013" s="1"/>
      <c r="F38013" s="1"/>
      <c r="G38013" s="1"/>
    </row>
    <row r="38014">
      <c r="B38014" s="36"/>
      <c r="C38014" s="36"/>
      <c r="E38014" s="1"/>
      <c r="F38014" s="1"/>
      <c r="G38014" s="1"/>
    </row>
    <row r="38015">
      <c r="B38015" s="36"/>
      <c r="C38015" s="36"/>
      <c r="E38015" s="1"/>
      <c r="F38015" s="1"/>
      <c r="G38015" s="1"/>
    </row>
    <row r="38016">
      <c r="B38016" s="36"/>
      <c r="C38016" s="36"/>
      <c r="E38016" s="1"/>
      <c r="F38016" s="1"/>
      <c r="G38016" s="1"/>
    </row>
    <row r="38017">
      <c r="B38017" s="36"/>
      <c r="C38017" s="36"/>
      <c r="E38017" s="1"/>
      <c r="F38017" s="1"/>
      <c r="G38017" s="1"/>
    </row>
    <row r="38018">
      <c r="B38018" s="36"/>
      <c r="C38018" s="36"/>
      <c r="E38018" s="1"/>
      <c r="F38018" s="1"/>
      <c r="G38018" s="1"/>
    </row>
    <row r="38019">
      <c r="B38019" s="36"/>
      <c r="C38019" s="36"/>
      <c r="E38019" s="1"/>
      <c r="F38019" s="1"/>
      <c r="G38019" s="1"/>
    </row>
    <row r="38020">
      <c r="B38020" s="36"/>
      <c r="C38020" s="36"/>
      <c r="E38020" s="1"/>
      <c r="F38020" s="1"/>
      <c r="G38020" s="1"/>
    </row>
    <row r="38021">
      <c r="B38021" s="36"/>
      <c r="C38021" s="36"/>
      <c r="E38021" s="1"/>
      <c r="F38021" s="1"/>
      <c r="G38021" s="1"/>
    </row>
    <row r="38022">
      <c r="B38022" s="36"/>
      <c r="C38022" s="36"/>
      <c r="E38022" s="1"/>
      <c r="F38022" s="1"/>
      <c r="G38022" s="1"/>
    </row>
    <row r="38023">
      <c r="B38023" s="36"/>
      <c r="C38023" s="36"/>
      <c r="E38023" s="1"/>
      <c r="F38023" s="1"/>
      <c r="G38023" s="1"/>
    </row>
    <row r="38024">
      <c r="B38024" s="36"/>
      <c r="C38024" s="36"/>
      <c r="E38024" s="1"/>
      <c r="F38024" s="1"/>
      <c r="G38024" s="1"/>
    </row>
    <row r="38025">
      <c r="B38025" s="36"/>
      <c r="C38025" s="36"/>
      <c r="E38025" s="1"/>
      <c r="F38025" s="1"/>
      <c r="G38025" s="1"/>
    </row>
    <row r="38026">
      <c r="B38026" s="36"/>
      <c r="C38026" s="36"/>
      <c r="E38026" s="1"/>
      <c r="F38026" s="1"/>
      <c r="G38026" s="1"/>
    </row>
    <row r="38027">
      <c r="B38027" s="36"/>
      <c r="C38027" s="36"/>
      <c r="E38027" s="1"/>
      <c r="F38027" s="1"/>
      <c r="G38027" s="1"/>
    </row>
    <row r="38028">
      <c r="B38028" s="36"/>
      <c r="C38028" s="36"/>
      <c r="E38028" s="1"/>
      <c r="F38028" s="1"/>
      <c r="G38028" s="1"/>
    </row>
    <row r="38029">
      <c r="B38029" s="36"/>
      <c r="C38029" s="36"/>
      <c r="E38029" s="1"/>
      <c r="F38029" s="1"/>
      <c r="G38029" s="1"/>
    </row>
    <row r="38030">
      <c r="B38030" s="36"/>
      <c r="C38030" s="36"/>
      <c r="E38030" s="1"/>
      <c r="F38030" s="1"/>
      <c r="G38030" s="1"/>
    </row>
    <row r="38031">
      <c r="B38031" s="36"/>
      <c r="C38031" s="36"/>
      <c r="E38031" s="1"/>
      <c r="F38031" s="1"/>
      <c r="G38031" s="1"/>
    </row>
    <row r="38032">
      <c r="B38032" s="36"/>
      <c r="C38032" s="36"/>
      <c r="E38032" s="1"/>
      <c r="F38032" s="1"/>
      <c r="G38032" s="1"/>
    </row>
    <row r="38033">
      <c r="B38033" s="36"/>
      <c r="C38033" s="36"/>
      <c r="E38033" s="1"/>
      <c r="F38033" s="1"/>
      <c r="G38033" s="1"/>
    </row>
    <row r="38034">
      <c r="B38034" s="36"/>
      <c r="C38034" s="36"/>
      <c r="E38034" s="1"/>
      <c r="F38034" s="1"/>
      <c r="G38034" s="1"/>
    </row>
    <row r="38035">
      <c r="B38035" s="36"/>
      <c r="C38035" s="36"/>
      <c r="E38035" s="1"/>
      <c r="F38035" s="1"/>
      <c r="G38035" s="1"/>
    </row>
    <row r="38036">
      <c r="B38036" s="36"/>
      <c r="C38036" s="36"/>
      <c r="E38036" s="1"/>
      <c r="F38036" s="1"/>
      <c r="G38036" s="1"/>
    </row>
    <row r="38037">
      <c r="B38037" s="36"/>
      <c r="C38037" s="36"/>
      <c r="E38037" s="1"/>
      <c r="F38037" s="1"/>
      <c r="G38037" s="1"/>
    </row>
    <row r="38038">
      <c r="B38038" s="36"/>
      <c r="C38038" s="36"/>
      <c r="E38038" s="1"/>
      <c r="F38038" s="1"/>
      <c r="G38038" s="1"/>
    </row>
    <row r="38039">
      <c r="B38039" s="36"/>
      <c r="C38039" s="36"/>
      <c r="E38039" s="1"/>
      <c r="F38039" s="1"/>
      <c r="G38039" s="1"/>
    </row>
    <row r="38040">
      <c r="B38040" s="36"/>
      <c r="C38040" s="36"/>
      <c r="E38040" s="1"/>
      <c r="F38040" s="1"/>
      <c r="G38040" s="1"/>
    </row>
    <row r="38041">
      <c r="B38041" s="36"/>
      <c r="C38041" s="36"/>
      <c r="E38041" s="1"/>
      <c r="F38041" s="1"/>
      <c r="G38041" s="1"/>
    </row>
    <row r="38042">
      <c r="B38042" s="36"/>
      <c r="C38042" s="36"/>
      <c r="E38042" s="1"/>
      <c r="F38042" s="1"/>
      <c r="G38042" s="1"/>
    </row>
    <row r="38043">
      <c r="B38043" s="36"/>
      <c r="C38043" s="36"/>
      <c r="E38043" s="1"/>
      <c r="F38043" s="1"/>
      <c r="G38043" s="1"/>
    </row>
    <row r="38044">
      <c r="B38044" s="36"/>
      <c r="C38044" s="36"/>
      <c r="E38044" s="1"/>
      <c r="F38044" s="1"/>
      <c r="G38044" s="1"/>
    </row>
    <row r="38045">
      <c r="B38045" s="36"/>
      <c r="C38045" s="36"/>
      <c r="E38045" s="1"/>
      <c r="F38045" s="1"/>
      <c r="G38045" s="1"/>
    </row>
    <row r="38046">
      <c r="B38046" s="36"/>
      <c r="C38046" s="36"/>
      <c r="E38046" s="1"/>
      <c r="F38046" s="1"/>
      <c r="G38046" s="1"/>
    </row>
    <row r="38047">
      <c r="B38047" s="36"/>
      <c r="C38047" s="36"/>
      <c r="E38047" s="1"/>
      <c r="F38047" s="1"/>
      <c r="G38047" s="1"/>
    </row>
    <row r="38048">
      <c r="B38048" s="36"/>
      <c r="C38048" s="36"/>
      <c r="E38048" s="1"/>
      <c r="F38048" s="1"/>
      <c r="G38048" s="1"/>
    </row>
    <row r="38049">
      <c r="B38049" s="36"/>
      <c r="C38049" s="36"/>
      <c r="E38049" s="1"/>
      <c r="F38049" s="1"/>
      <c r="G38049" s="1"/>
    </row>
    <row r="38050">
      <c r="B38050" s="36"/>
      <c r="C38050" s="36"/>
      <c r="E38050" s="1"/>
      <c r="F38050" s="1"/>
      <c r="G38050" s="1"/>
    </row>
    <row r="38051">
      <c r="B38051" s="36"/>
      <c r="C38051" s="36"/>
      <c r="E38051" s="1"/>
      <c r="F38051" s="1"/>
      <c r="G38051" s="1"/>
    </row>
    <row r="38052">
      <c r="B38052" s="36"/>
      <c r="C38052" s="36"/>
      <c r="E38052" s="1"/>
      <c r="F38052" s="1"/>
      <c r="G38052" s="1"/>
    </row>
    <row r="38053">
      <c r="B38053" s="36"/>
      <c r="C38053" s="36"/>
      <c r="E38053" s="1"/>
      <c r="F38053" s="1"/>
      <c r="G38053" s="1"/>
    </row>
    <row r="38054">
      <c r="B38054" s="36"/>
      <c r="C38054" s="36"/>
      <c r="E38054" s="1"/>
      <c r="F38054" s="1"/>
      <c r="G38054" s="1"/>
    </row>
    <row r="38055">
      <c r="B38055" s="36"/>
      <c r="C38055" s="36"/>
      <c r="E38055" s="1"/>
      <c r="F38055" s="1"/>
      <c r="G38055" s="1"/>
    </row>
    <row r="38056">
      <c r="B38056" s="36"/>
      <c r="C38056" s="36"/>
      <c r="E38056" s="1"/>
      <c r="F38056" s="1"/>
      <c r="G38056" s="1"/>
    </row>
    <row r="38057">
      <c r="B38057" s="36"/>
      <c r="C38057" s="36"/>
      <c r="E38057" s="1"/>
      <c r="F38057" s="1"/>
      <c r="G38057" s="1"/>
    </row>
    <row r="38058">
      <c r="B38058" s="36"/>
      <c r="C38058" s="36"/>
      <c r="E38058" s="1"/>
      <c r="F38058" s="1"/>
      <c r="G38058" s="1"/>
    </row>
    <row r="38059">
      <c r="B38059" s="36"/>
      <c r="C38059" s="36"/>
      <c r="E38059" s="1"/>
      <c r="F38059" s="1"/>
      <c r="G38059" s="1"/>
    </row>
    <row r="38060">
      <c r="B38060" s="36"/>
      <c r="C38060" s="36"/>
      <c r="E38060" s="1"/>
      <c r="F38060" s="1"/>
      <c r="G38060" s="1"/>
    </row>
    <row r="38061">
      <c r="B38061" s="36"/>
      <c r="C38061" s="36"/>
      <c r="E38061" s="1"/>
      <c r="F38061" s="1"/>
      <c r="G38061" s="1"/>
    </row>
    <row r="38062">
      <c r="B38062" s="36"/>
      <c r="C38062" s="36"/>
      <c r="E38062" s="1"/>
      <c r="F38062" s="1"/>
      <c r="G38062" s="1"/>
    </row>
    <row r="38063">
      <c r="B38063" s="36"/>
      <c r="C38063" s="36"/>
      <c r="E38063" s="1"/>
      <c r="F38063" s="1"/>
      <c r="G38063" s="1"/>
    </row>
    <row r="38064">
      <c r="B38064" s="36"/>
      <c r="C38064" s="36"/>
      <c r="E38064" s="1"/>
      <c r="F38064" s="1"/>
      <c r="G38064" s="1"/>
    </row>
    <row r="38065">
      <c r="B38065" s="36"/>
      <c r="C38065" s="36"/>
      <c r="E38065" s="1"/>
      <c r="F38065" s="1"/>
      <c r="G38065" s="1"/>
    </row>
    <row r="38066">
      <c r="B38066" s="36"/>
      <c r="C38066" s="36"/>
      <c r="E38066" s="1"/>
      <c r="F38066" s="1"/>
      <c r="G38066" s="1"/>
    </row>
    <row r="38067">
      <c r="B38067" s="36"/>
      <c r="C38067" s="36"/>
      <c r="E38067" s="1"/>
      <c r="F38067" s="1"/>
      <c r="G38067" s="1"/>
    </row>
    <row r="38068">
      <c r="B38068" s="36"/>
      <c r="C38068" s="36"/>
      <c r="E38068" s="1"/>
      <c r="F38068" s="1"/>
      <c r="G38068" s="1"/>
    </row>
    <row r="38069">
      <c r="B38069" s="36"/>
      <c r="C38069" s="36"/>
      <c r="E38069" s="1"/>
      <c r="F38069" s="1"/>
      <c r="G38069" s="1"/>
    </row>
    <row r="38070">
      <c r="B38070" s="36"/>
      <c r="C38070" s="36"/>
      <c r="E38070" s="1"/>
      <c r="F38070" s="1"/>
      <c r="G38070" s="1"/>
    </row>
    <row r="38071">
      <c r="B38071" s="36"/>
      <c r="C38071" s="36"/>
      <c r="E38071" s="1"/>
      <c r="F38071" s="1"/>
      <c r="G38071" s="1"/>
    </row>
    <row r="38072">
      <c r="B38072" s="36"/>
      <c r="C38072" s="36"/>
      <c r="E38072" s="1"/>
      <c r="F38072" s="1"/>
      <c r="G38072" s="1"/>
    </row>
    <row r="38073">
      <c r="B38073" s="36"/>
      <c r="C38073" s="36"/>
      <c r="E38073" s="1"/>
      <c r="F38073" s="1"/>
      <c r="G38073" s="1"/>
    </row>
    <row r="38074">
      <c r="B38074" s="36"/>
      <c r="C38074" s="36"/>
      <c r="E38074" s="1"/>
      <c r="F38074" s="1"/>
      <c r="G38074" s="1"/>
    </row>
    <row r="38075">
      <c r="B38075" s="36"/>
      <c r="C38075" s="36"/>
      <c r="E38075" s="1"/>
      <c r="F38075" s="1"/>
      <c r="G38075" s="1"/>
    </row>
    <row r="38076">
      <c r="B38076" s="36"/>
      <c r="C38076" s="36"/>
      <c r="E38076" s="1"/>
      <c r="F38076" s="1"/>
      <c r="G38076" s="1"/>
    </row>
    <row r="38077">
      <c r="B38077" s="36"/>
      <c r="C38077" s="36"/>
      <c r="E38077" s="1"/>
      <c r="F38077" s="1"/>
      <c r="G38077" s="1"/>
    </row>
    <row r="38078">
      <c r="B38078" s="36"/>
      <c r="C38078" s="36"/>
      <c r="E38078" s="1"/>
      <c r="F38078" s="1"/>
      <c r="G38078" s="1"/>
    </row>
    <row r="38079">
      <c r="B38079" s="36"/>
      <c r="C38079" s="36"/>
      <c r="E38079" s="1"/>
      <c r="F38079" s="1"/>
      <c r="G38079" s="1"/>
    </row>
    <row r="38080">
      <c r="B38080" s="36"/>
      <c r="C38080" s="36"/>
      <c r="E38080" s="1"/>
      <c r="F38080" s="1"/>
      <c r="G38080" s="1"/>
    </row>
    <row r="38081">
      <c r="B38081" s="36"/>
      <c r="C38081" s="36"/>
      <c r="E38081" s="1"/>
      <c r="F38081" s="1"/>
      <c r="G38081" s="1"/>
    </row>
    <row r="38082">
      <c r="B38082" s="36"/>
      <c r="C38082" s="36"/>
      <c r="E38082" s="1"/>
      <c r="F38082" s="1"/>
      <c r="G38082" s="1"/>
    </row>
    <row r="38083">
      <c r="B38083" s="36"/>
      <c r="C38083" s="36"/>
      <c r="E38083" s="1"/>
      <c r="F38083" s="1"/>
      <c r="G38083" s="1"/>
    </row>
    <row r="38084">
      <c r="B38084" s="36"/>
      <c r="C38084" s="36"/>
      <c r="E38084" s="1"/>
      <c r="F38084" s="1"/>
      <c r="G38084" s="1"/>
    </row>
    <row r="38085">
      <c r="B38085" s="36"/>
      <c r="C38085" s="36"/>
      <c r="E38085" s="1"/>
      <c r="F38085" s="1"/>
      <c r="G38085" s="1"/>
    </row>
    <row r="38086">
      <c r="B38086" s="36"/>
      <c r="C38086" s="36"/>
      <c r="E38086" s="1"/>
      <c r="F38086" s="1"/>
      <c r="G38086" s="1"/>
    </row>
    <row r="38087">
      <c r="B38087" s="36"/>
      <c r="C38087" s="36"/>
      <c r="E38087" s="1"/>
      <c r="F38087" s="1"/>
      <c r="G38087" s="1"/>
    </row>
    <row r="38088">
      <c r="B38088" s="36"/>
      <c r="C38088" s="36"/>
      <c r="E38088" s="1"/>
      <c r="F38088" s="1"/>
      <c r="G38088" s="1"/>
    </row>
    <row r="38089">
      <c r="B38089" s="36"/>
      <c r="C38089" s="36"/>
      <c r="E38089" s="1"/>
      <c r="F38089" s="1"/>
      <c r="G38089" s="1"/>
    </row>
    <row r="38090">
      <c r="B38090" s="36"/>
      <c r="C38090" s="36"/>
      <c r="E38090" s="1"/>
      <c r="F38090" s="1"/>
      <c r="G38090" s="1"/>
    </row>
    <row r="38091">
      <c r="B38091" s="36"/>
      <c r="C38091" s="36"/>
      <c r="E38091" s="1"/>
      <c r="F38091" s="1"/>
      <c r="G38091" s="1"/>
    </row>
    <row r="38092">
      <c r="B38092" s="36"/>
      <c r="C38092" s="36"/>
      <c r="E38092" s="1"/>
      <c r="F38092" s="1"/>
      <c r="G38092" s="1"/>
    </row>
    <row r="38093">
      <c r="B38093" s="36"/>
      <c r="C38093" s="36"/>
      <c r="E38093" s="1"/>
      <c r="F38093" s="1"/>
      <c r="G38093" s="1"/>
    </row>
    <row r="38094">
      <c r="B38094" s="36"/>
      <c r="C38094" s="36"/>
      <c r="E38094" s="1"/>
      <c r="F38094" s="1"/>
      <c r="G38094" s="1"/>
    </row>
    <row r="38095">
      <c r="B38095" s="36"/>
      <c r="C38095" s="36"/>
      <c r="E38095" s="1"/>
      <c r="F38095" s="1"/>
      <c r="G38095" s="1"/>
    </row>
    <row r="38096">
      <c r="B38096" s="36"/>
      <c r="C38096" s="36"/>
      <c r="E38096" s="1"/>
      <c r="F38096" s="1"/>
      <c r="G38096" s="1"/>
    </row>
    <row r="38097">
      <c r="B38097" s="36"/>
      <c r="C38097" s="36"/>
      <c r="E38097" s="1"/>
      <c r="F38097" s="1"/>
      <c r="G38097" s="1"/>
    </row>
    <row r="38098">
      <c r="B38098" s="36"/>
      <c r="C38098" s="36"/>
      <c r="E38098" s="1"/>
      <c r="F38098" s="1"/>
      <c r="G38098" s="1"/>
    </row>
    <row r="38099">
      <c r="B38099" s="36"/>
      <c r="C38099" s="36"/>
      <c r="E38099" s="1"/>
      <c r="F38099" s="1"/>
      <c r="G38099" s="1"/>
    </row>
    <row r="38100">
      <c r="B38100" s="36"/>
      <c r="C38100" s="36"/>
      <c r="E38100" s="1"/>
      <c r="F38100" s="1"/>
      <c r="G38100" s="1"/>
    </row>
    <row r="38101">
      <c r="B38101" s="36"/>
      <c r="C38101" s="36"/>
      <c r="E38101" s="1"/>
      <c r="F38101" s="1"/>
      <c r="G38101" s="1"/>
    </row>
    <row r="38102">
      <c r="B38102" s="36"/>
      <c r="C38102" s="36"/>
      <c r="E38102" s="1"/>
      <c r="F38102" s="1"/>
      <c r="G38102" s="1"/>
    </row>
    <row r="38103">
      <c r="B38103" s="36"/>
      <c r="C38103" s="36"/>
      <c r="E38103" s="1"/>
      <c r="F38103" s="1"/>
      <c r="G38103" s="1"/>
    </row>
    <row r="38104">
      <c r="B38104" s="36"/>
      <c r="C38104" s="36"/>
      <c r="E38104" s="1"/>
      <c r="F38104" s="1"/>
      <c r="G38104" s="1"/>
    </row>
    <row r="38105">
      <c r="B38105" s="36"/>
      <c r="C38105" s="36"/>
      <c r="E38105" s="1"/>
      <c r="F38105" s="1"/>
      <c r="G38105" s="1"/>
    </row>
    <row r="38106">
      <c r="B38106" s="36"/>
      <c r="C38106" s="36"/>
      <c r="E38106" s="1"/>
      <c r="F38106" s="1"/>
      <c r="G38106" s="1"/>
    </row>
    <row r="38107">
      <c r="B38107" s="36"/>
      <c r="C38107" s="36"/>
      <c r="E38107" s="1"/>
      <c r="F38107" s="1"/>
      <c r="G38107" s="1"/>
    </row>
    <row r="38108">
      <c r="B38108" s="36"/>
      <c r="C38108" s="36"/>
      <c r="E38108" s="1"/>
      <c r="F38108" s="1"/>
      <c r="G38108" s="1"/>
    </row>
    <row r="38109">
      <c r="B38109" s="36"/>
      <c r="C38109" s="36"/>
      <c r="E38109" s="1"/>
      <c r="F38109" s="1"/>
      <c r="G38109" s="1"/>
    </row>
    <row r="38110">
      <c r="B38110" s="36"/>
      <c r="C38110" s="36"/>
      <c r="E38110" s="1"/>
      <c r="F38110" s="1"/>
      <c r="G38110" s="1"/>
    </row>
    <row r="38111">
      <c r="B38111" s="36"/>
      <c r="C38111" s="36"/>
      <c r="E38111" s="1"/>
      <c r="F38111" s="1"/>
      <c r="G38111" s="1"/>
    </row>
    <row r="38112">
      <c r="B38112" s="36"/>
      <c r="C38112" s="36"/>
      <c r="E38112" s="1"/>
      <c r="F38112" s="1"/>
      <c r="G38112" s="1"/>
    </row>
    <row r="38113">
      <c r="B38113" s="36"/>
      <c r="C38113" s="36"/>
      <c r="E38113" s="1"/>
      <c r="F38113" s="1"/>
      <c r="G38113" s="1"/>
    </row>
    <row r="38114">
      <c r="B38114" s="36"/>
      <c r="C38114" s="36"/>
      <c r="E38114" s="1"/>
      <c r="F38114" s="1"/>
      <c r="G38114" s="1"/>
    </row>
    <row r="38115">
      <c r="B38115" s="36"/>
      <c r="C38115" s="36"/>
      <c r="E38115" s="1"/>
      <c r="F38115" s="1"/>
      <c r="G38115" s="1"/>
    </row>
    <row r="38116">
      <c r="B38116" s="36"/>
      <c r="C38116" s="36"/>
      <c r="E38116" s="1"/>
      <c r="F38116" s="1"/>
      <c r="G38116" s="1"/>
    </row>
    <row r="38117">
      <c r="B38117" s="36"/>
      <c r="C38117" s="36"/>
      <c r="E38117" s="1"/>
      <c r="F38117" s="1"/>
      <c r="G38117" s="1"/>
    </row>
    <row r="38118">
      <c r="B38118" s="36"/>
      <c r="C38118" s="36"/>
      <c r="E38118" s="1"/>
      <c r="F38118" s="1"/>
      <c r="G38118" s="1"/>
    </row>
    <row r="38119">
      <c r="B38119" s="36"/>
      <c r="C38119" s="36"/>
      <c r="E38119" s="1"/>
      <c r="F38119" s="1"/>
      <c r="G38119" s="1"/>
    </row>
    <row r="38120">
      <c r="B38120" s="36"/>
      <c r="C38120" s="36"/>
      <c r="E38120" s="1"/>
      <c r="F38120" s="1"/>
      <c r="G38120" s="1"/>
    </row>
    <row r="38121">
      <c r="B38121" s="36"/>
      <c r="C38121" s="36"/>
      <c r="E38121" s="1"/>
      <c r="F38121" s="1"/>
      <c r="G38121" s="1"/>
    </row>
    <row r="38122">
      <c r="B38122" s="36"/>
      <c r="C38122" s="36"/>
      <c r="E38122" s="1"/>
      <c r="F38122" s="1"/>
      <c r="G38122" s="1"/>
    </row>
    <row r="38123">
      <c r="B38123" s="36"/>
      <c r="C38123" s="36"/>
      <c r="E38123" s="1"/>
      <c r="F38123" s="1"/>
      <c r="G38123" s="1"/>
    </row>
    <row r="38124">
      <c r="B38124" s="36"/>
      <c r="C38124" s="36"/>
      <c r="E38124" s="1"/>
      <c r="F38124" s="1"/>
      <c r="G38124" s="1"/>
    </row>
    <row r="38125">
      <c r="B38125" s="36"/>
      <c r="C38125" s="36"/>
      <c r="E38125" s="1"/>
      <c r="F38125" s="1"/>
      <c r="G38125" s="1"/>
    </row>
    <row r="38126">
      <c r="B38126" s="36"/>
      <c r="C38126" s="36"/>
      <c r="E38126" s="1"/>
      <c r="F38126" s="1"/>
      <c r="G38126" s="1"/>
    </row>
    <row r="38127">
      <c r="B38127" s="36"/>
      <c r="C38127" s="36"/>
      <c r="E38127" s="1"/>
      <c r="F38127" s="1"/>
      <c r="G38127" s="1"/>
    </row>
    <row r="38128">
      <c r="B38128" s="36"/>
      <c r="C38128" s="36"/>
      <c r="E38128" s="1"/>
      <c r="F38128" s="1"/>
      <c r="G38128" s="1"/>
    </row>
    <row r="38129">
      <c r="B38129" s="36"/>
      <c r="C38129" s="36"/>
      <c r="E38129" s="1"/>
      <c r="F38129" s="1"/>
      <c r="G38129" s="1"/>
    </row>
    <row r="38130">
      <c r="B38130" s="36"/>
      <c r="C38130" s="36"/>
      <c r="E38130" s="1"/>
      <c r="F38130" s="1"/>
      <c r="G38130" s="1"/>
    </row>
    <row r="38131">
      <c r="B38131" s="36"/>
      <c r="C38131" s="36"/>
      <c r="E38131" s="1"/>
      <c r="F38131" s="1"/>
      <c r="G38131" s="1"/>
    </row>
    <row r="38132">
      <c r="B38132" s="36"/>
      <c r="C38132" s="36"/>
      <c r="E38132" s="1"/>
      <c r="F38132" s="1"/>
      <c r="G38132" s="1"/>
    </row>
    <row r="38133">
      <c r="B38133" s="36"/>
      <c r="C38133" s="36"/>
      <c r="E38133" s="1"/>
      <c r="F38133" s="1"/>
      <c r="G38133" s="1"/>
    </row>
    <row r="38134">
      <c r="B38134" s="36"/>
      <c r="C38134" s="36"/>
      <c r="E38134" s="1"/>
      <c r="F38134" s="1"/>
      <c r="G38134" s="1"/>
    </row>
    <row r="38135">
      <c r="B38135" s="36"/>
      <c r="C38135" s="36"/>
      <c r="E38135" s="1"/>
      <c r="F38135" s="1"/>
      <c r="G38135" s="1"/>
    </row>
    <row r="38136">
      <c r="B38136" s="36"/>
      <c r="C38136" s="36"/>
      <c r="E38136" s="1"/>
      <c r="F38136" s="1"/>
      <c r="G38136" s="1"/>
    </row>
    <row r="38137">
      <c r="B38137" s="36"/>
      <c r="C38137" s="36"/>
      <c r="E38137" s="1"/>
      <c r="F38137" s="1"/>
      <c r="G38137" s="1"/>
    </row>
    <row r="38138">
      <c r="B38138" s="36"/>
      <c r="C38138" s="36"/>
      <c r="E38138" s="1"/>
      <c r="F38138" s="1"/>
      <c r="G38138" s="1"/>
    </row>
    <row r="38139">
      <c r="B38139" s="36"/>
      <c r="C38139" s="36"/>
      <c r="E38139" s="1"/>
      <c r="F38139" s="1"/>
      <c r="G38139" s="1"/>
    </row>
    <row r="38140">
      <c r="B38140" s="36"/>
      <c r="C38140" s="36"/>
      <c r="E38140" s="1"/>
      <c r="F38140" s="1"/>
      <c r="G38140" s="1"/>
    </row>
    <row r="38141">
      <c r="B38141" s="36"/>
      <c r="C38141" s="36"/>
      <c r="E38141" s="1"/>
      <c r="F38141" s="1"/>
      <c r="G38141" s="1"/>
    </row>
    <row r="38142">
      <c r="B38142" s="36"/>
      <c r="C38142" s="36"/>
      <c r="E38142" s="1"/>
      <c r="F38142" s="1"/>
      <c r="G38142" s="1"/>
    </row>
    <row r="38143">
      <c r="B38143" s="36"/>
      <c r="C38143" s="36"/>
      <c r="E38143" s="1"/>
      <c r="F38143" s="1"/>
      <c r="G38143" s="1"/>
    </row>
    <row r="38144">
      <c r="B38144" s="36"/>
      <c r="C38144" s="36"/>
      <c r="E38144" s="1"/>
      <c r="F38144" s="1"/>
      <c r="G38144" s="1"/>
    </row>
    <row r="38145">
      <c r="B38145" s="36"/>
      <c r="C38145" s="36"/>
      <c r="E38145" s="1"/>
      <c r="F38145" s="1"/>
      <c r="G38145" s="1"/>
    </row>
    <row r="38146">
      <c r="B38146" s="36"/>
      <c r="C38146" s="36"/>
      <c r="E38146" s="1"/>
      <c r="F38146" s="1"/>
      <c r="G38146" s="1"/>
    </row>
    <row r="38147">
      <c r="B38147" s="36"/>
      <c r="C38147" s="36"/>
      <c r="E38147" s="1"/>
      <c r="F38147" s="1"/>
      <c r="G38147" s="1"/>
    </row>
    <row r="38148">
      <c r="B38148" s="36"/>
      <c r="C38148" s="36"/>
      <c r="E38148" s="1"/>
      <c r="F38148" s="1"/>
      <c r="G38148" s="1"/>
    </row>
    <row r="38149">
      <c r="B38149" s="36"/>
      <c r="C38149" s="36"/>
      <c r="E38149" s="1"/>
      <c r="F38149" s="1"/>
      <c r="G38149" s="1"/>
    </row>
    <row r="38150">
      <c r="B38150" s="36"/>
      <c r="C38150" s="36"/>
      <c r="E38150" s="1"/>
      <c r="F38150" s="1"/>
      <c r="G38150" s="1"/>
    </row>
    <row r="38151">
      <c r="B38151" s="36"/>
      <c r="C38151" s="36"/>
      <c r="E38151" s="1"/>
      <c r="F38151" s="1"/>
      <c r="G38151" s="1"/>
    </row>
    <row r="38152">
      <c r="B38152" s="36"/>
      <c r="C38152" s="36"/>
      <c r="E38152" s="1"/>
      <c r="F38152" s="1"/>
      <c r="G38152" s="1"/>
    </row>
    <row r="38153">
      <c r="B38153" s="36"/>
      <c r="C38153" s="36"/>
      <c r="E38153" s="1"/>
      <c r="F38153" s="1"/>
      <c r="G38153" s="1"/>
    </row>
    <row r="38154">
      <c r="B38154" s="36"/>
      <c r="C38154" s="36"/>
      <c r="E38154" s="1"/>
      <c r="F38154" s="1"/>
      <c r="G38154" s="1"/>
    </row>
    <row r="38155">
      <c r="B38155" s="36"/>
      <c r="C38155" s="36"/>
      <c r="E38155" s="1"/>
      <c r="F38155" s="1"/>
      <c r="G38155" s="1"/>
    </row>
    <row r="38156">
      <c r="B38156" s="36"/>
      <c r="C38156" s="36"/>
      <c r="E38156" s="1"/>
      <c r="F38156" s="1"/>
      <c r="G38156" s="1"/>
    </row>
    <row r="38157">
      <c r="B38157" s="36"/>
      <c r="C38157" s="36"/>
      <c r="E38157" s="1"/>
      <c r="F38157" s="1"/>
      <c r="G38157" s="1"/>
    </row>
    <row r="38158">
      <c r="B38158" s="36"/>
      <c r="C38158" s="36"/>
      <c r="E38158" s="1"/>
      <c r="F38158" s="1"/>
      <c r="G38158" s="1"/>
    </row>
    <row r="38159">
      <c r="B38159" s="36"/>
      <c r="C38159" s="36"/>
      <c r="E38159" s="1"/>
      <c r="F38159" s="1"/>
      <c r="G38159" s="1"/>
    </row>
    <row r="38160">
      <c r="B38160" s="36"/>
      <c r="C38160" s="36"/>
      <c r="E38160" s="1"/>
      <c r="F38160" s="1"/>
      <c r="G38160" s="1"/>
    </row>
    <row r="38161">
      <c r="B38161" s="36"/>
      <c r="C38161" s="36"/>
      <c r="E38161" s="1"/>
      <c r="F38161" s="1"/>
      <c r="G38161" s="1"/>
    </row>
    <row r="38162">
      <c r="B38162" s="36"/>
      <c r="C38162" s="36"/>
      <c r="E38162" s="1"/>
      <c r="F38162" s="1"/>
      <c r="G38162" s="1"/>
    </row>
    <row r="38163">
      <c r="B38163" s="36"/>
      <c r="C38163" s="36"/>
      <c r="E38163" s="1"/>
      <c r="F38163" s="1"/>
      <c r="G38163" s="1"/>
    </row>
    <row r="38164">
      <c r="B38164" s="36"/>
      <c r="C38164" s="36"/>
      <c r="E38164" s="1"/>
      <c r="F38164" s="1"/>
      <c r="G38164" s="1"/>
    </row>
    <row r="38165">
      <c r="B38165" s="36"/>
      <c r="C38165" s="36"/>
      <c r="E38165" s="1"/>
      <c r="F38165" s="1"/>
      <c r="G38165" s="1"/>
    </row>
    <row r="38166">
      <c r="B38166" s="36"/>
      <c r="C38166" s="36"/>
      <c r="E38166" s="1"/>
      <c r="F38166" s="1"/>
      <c r="G38166" s="1"/>
    </row>
    <row r="38167">
      <c r="B38167" s="36"/>
      <c r="C38167" s="36"/>
      <c r="E38167" s="1"/>
      <c r="F38167" s="1"/>
      <c r="G38167" s="1"/>
    </row>
    <row r="38168">
      <c r="B38168" s="36"/>
      <c r="C38168" s="36"/>
      <c r="E38168" s="1"/>
      <c r="F38168" s="1"/>
      <c r="G38168" s="1"/>
    </row>
    <row r="38169">
      <c r="B38169" s="36"/>
      <c r="C38169" s="36"/>
      <c r="E38169" s="1"/>
      <c r="F38169" s="1"/>
      <c r="G38169" s="1"/>
    </row>
    <row r="38170">
      <c r="B38170" s="36"/>
      <c r="C38170" s="36"/>
      <c r="E38170" s="1"/>
      <c r="F38170" s="1"/>
      <c r="G38170" s="1"/>
    </row>
    <row r="38171">
      <c r="B38171" s="36"/>
      <c r="C38171" s="36"/>
      <c r="E38171" s="1"/>
      <c r="F38171" s="1"/>
      <c r="G38171" s="1"/>
    </row>
    <row r="38172">
      <c r="B38172" s="36"/>
      <c r="C38172" s="36"/>
      <c r="E38172" s="1"/>
      <c r="F38172" s="1"/>
      <c r="G38172" s="1"/>
    </row>
    <row r="38173">
      <c r="B38173" s="36"/>
      <c r="C38173" s="36"/>
      <c r="E38173" s="1"/>
      <c r="F38173" s="1"/>
      <c r="G38173" s="1"/>
    </row>
    <row r="38174">
      <c r="B38174" s="36"/>
      <c r="C38174" s="36"/>
      <c r="E38174" s="1"/>
      <c r="F38174" s="1"/>
      <c r="G38174" s="1"/>
    </row>
    <row r="38175">
      <c r="B38175" s="36"/>
      <c r="C38175" s="36"/>
      <c r="E38175" s="1"/>
      <c r="F38175" s="1"/>
      <c r="G38175" s="1"/>
    </row>
    <row r="38176">
      <c r="B38176" s="36"/>
      <c r="C38176" s="36"/>
      <c r="E38176" s="1"/>
      <c r="F38176" s="1"/>
      <c r="G38176" s="1"/>
    </row>
    <row r="38177">
      <c r="B38177" s="36"/>
      <c r="C38177" s="36"/>
      <c r="E38177" s="1"/>
      <c r="F38177" s="1"/>
      <c r="G38177" s="1"/>
    </row>
    <row r="38178">
      <c r="B38178" s="36"/>
      <c r="C38178" s="36"/>
      <c r="E38178" s="1"/>
      <c r="F38178" s="1"/>
      <c r="G38178" s="1"/>
    </row>
    <row r="38179">
      <c r="B38179" s="36"/>
      <c r="C38179" s="36"/>
      <c r="E38179" s="1"/>
      <c r="F38179" s="1"/>
      <c r="G38179" s="1"/>
    </row>
    <row r="38180">
      <c r="B38180" s="36"/>
      <c r="C38180" s="36"/>
      <c r="E38180" s="1"/>
      <c r="F38180" s="1"/>
      <c r="G38180" s="1"/>
    </row>
    <row r="38181">
      <c r="B38181" s="36"/>
      <c r="C38181" s="36"/>
      <c r="E38181" s="1"/>
      <c r="F38181" s="1"/>
      <c r="G38181" s="1"/>
    </row>
    <row r="38182">
      <c r="B38182" s="36"/>
      <c r="C38182" s="36"/>
      <c r="E38182" s="1"/>
      <c r="F38182" s="1"/>
      <c r="G38182" s="1"/>
    </row>
    <row r="38183">
      <c r="B38183" s="36"/>
      <c r="C38183" s="36"/>
      <c r="E38183" s="1"/>
      <c r="F38183" s="1"/>
      <c r="G38183" s="1"/>
    </row>
    <row r="38184">
      <c r="B38184" s="36"/>
      <c r="C38184" s="36"/>
      <c r="E38184" s="1"/>
      <c r="F38184" s="1"/>
      <c r="G38184" s="1"/>
    </row>
    <row r="38185">
      <c r="B38185" s="36"/>
      <c r="C38185" s="36"/>
      <c r="E38185" s="1"/>
      <c r="F38185" s="1"/>
      <c r="G38185" s="1"/>
    </row>
    <row r="38186">
      <c r="B38186" s="36"/>
      <c r="C38186" s="36"/>
      <c r="E38186" s="1"/>
      <c r="F38186" s="1"/>
      <c r="G38186" s="1"/>
    </row>
    <row r="38187">
      <c r="B38187" s="36"/>
      <c r="C38187" s="36"/>
      <c r="E38187" s="1"/>
      <c r="F38187" s="1"/>
      <c r="G38187" s="1"/>
    </row>
    <row r="38188">
      <c r="B38188" s="36"/>
      <c r="C38188" s="36"/>
      <c r="E38188" s="1"/>
      <c r="F38188" s="1"/>
      <c r="G38188" s="1"/>
    </row>
    <row r="38189">
      <c r="B38189" s="36"/>
      <c r="C38189" s="36"/>
      <c r="E38189" s="1"/>
      <c r="F38189" s="1"/>
      <c r="G38189" s="1"/>
    </row>
    <row r="38190">
      <c r="B38190" s="36"/>
      <c r="C38190" s="36"/>
      <c r="E38190" s="1"/>
      <c r="F38190" s="1"/>
      <c r="G38190" s="1"/>
    </row>
    <row r="38191">
      <c r="B38191" s="36"/>
      <c r="C38191" s="36"/>
      <c r="E38191" s="1"/>
      <c r="F38191" s="1"/>
      <c r="G38191" s="1"/>
    </row>
    <row r="38192">
      <c r="B38192" s="36"/>
      <c r="C38192" s="36"/>
      <c r="E38192" s="1"/>
      <c r="F38192" s="1"/>
      <c r="G38192" s="1"/>
    </row>
    <row r="38193">
      <c r="B38193" s="36"/>
      <c r="C38193" s="36"/>
      <c r="E38193" s="1"/>
      <c r="F38193" s="1"/>
      <c r="G38193" s="1"/>
    </row>
    <row r="38194">
      <c r="B38194" s="36"/>
      <c r="C38194" s="36"/>
      <c r="E38194" s="1"/>
      <c r="F38194" s="1"/>
      <c r="G38194" s="1"/>
    </row>
    <row r="38195">
      <c r="B38195" s="36"/>
      <c r="C38195" s="36"/>
      <c r="E38195" s="1"/>
      <c r="F38195" s="1"/>
      <c r="G38195" s="1"/>
    </row>
    <row r="38196">
      <c r="B38196" s="36"/>
      <c r="C38196" s="36"/>
      <c r="E38196" s="1"/>
      <c r="F38196" s="1"/>
      <c r="G38196" s="1"/>
    </row>
    <row r="38197">
      <c r="B38197" s="36"/>
      <c r="C38197" s="36"/>
      <c r="E38197" s="1"/>
      <c r="F38197" s="1"/>
      <c r="G38197" s="1"/>
    </row>
    <row r="38198">
      <c r="B38198" s="36"/>
      <c r="C38198" s="36"/>
      <c r="E38198" s="1"/>
      <c r="F38198" s="1"/>
      <c r="G38198" s="1"/>
    </row>
    <row r="38199">
      <c r="B38199" s="36"/>
      <c r="C38199" s="36"/>
      <c r="E38199" s="1"/>
      <c r="F38199" s="1"/>
      <c r="G38199" s="1"/>
    </row>
    <row r="38200">
      <c r="B38200" s="36"/>
      <c r="C38200" s="36"/>
      <c r="E38200" s="1"/>
      <c r="F38200" s="1"/>
      <c r="G38200" s="1"/>
    </row>
    <row r="38201">
      <c r="B38201" s="36"/>
      <c r="C38201" s="36"/>
      <c r="E38201" s="1"/>
      <c r="F38201" s="1"/>
      <c r="G38201" s="1"/>
    </row>
    <row r="38202">
      <c r="B38202" s="36"/>
      <c r="C38202" s="36"/>
      <c r="E38202" s="1"/>
      <c r="F38202" s="1"/>
      <c r="G38202" s="1"/>
    </row>
    <row r="38203">
      <c r="B38203" s="36"/>
      <c r="C38203" s="36"/>
      <c r="E38203" s="1"/>
      <c r="F38203" s="1"/>
      <c r="G38203" s="1"/>
    </row>
    <row r="38204">
      <c r="B38204" s="36"/>
      <c r="C38204" s="36"/>
      <c r="E38204" s="1"/>
      <c r="F38204" s="1"/>
      <c r="G38204" s="1"/>
    </row>
    <row r="38205">
      <c r="B38205" s="36"/>
      <c r="C38205" s="36"/>
      <c r="E38205" s="1"/>
      <c r="F38205" s="1"/>
      <c r="G38205" s="1"/>
    </row>
    <row r="38206">
      <c r="B38206" s="36"/>
      <c r="C38206" s="36"/>
      <c r="E38206" s="1"/>
      <c r="F38206" s="1"/>
      <c r="G38206" s="1"/>
    </row>
    <row r="38207">
      <c r="B38207" s="36"/>
      <c r="C38207" s="36"/>
      <c r="E38207" s="1"/>
      <c r="F38207" s="1"/>
      <c r="G38207" s="1"/>
    </row>
    <row r="38208">
      <c r="B38208" s="36"/>
      <c r="C38208" s="36"/>
      <c r="E38208" s="1"/>
      <c r="F38208" s="1"/>
      <c r="G38208" s="1"/>
    </row>
    <row r="38209">
      <c r="B38209" s="36"/>
      <c r="C38209" s="36"/>
      <c r="E38209" s="1"/>
      <c r="F38209" s="1"/>
      <c r="G38209" s="1"/>
    </row>
    <row r="38210">
      <c r="B38210" s="36"/>
      <c r="C38210" s="36"/>
      <c r="E38210" s="1"/>
      <c r="F38210" s="1"/>
      <c r="G38210" s="1"/>
    </row>
    <row r="38211">
      <c r="B38211" s="36"/>
      <c r="C38211" s="36"/>
      <c r="E38211" s="1"/>
      <c r="F38211" s="1"/>
      <c r="G38211" s="1"/>
    </row>
    <row r="38212">
      <c r="B38212" s="36"/>
      <c r="C38212" s="36"/>
      <c r="E38212" s="1"/>
      <c r="F38212" s="1"/>
      <c r="G38212" s="1"/>
    </row>
    <row r="38213">
      <c r="B38213" s="36"/>
      <c r="C38213" s="36"/>
      <c r="E38213" s="1"/>
      <c r="F38213" s="1"/>
      <c r="G38213" s="1"/>
    </row>
    <row r="38214">
      <c r="B38214" s="36"/>
      <c r="C38214" s="36"/>
      <c r="E38214" s="1"/>
      <c r="F38214" s="1"/>
      <c r="G38214" s="1"/>
    </row>
    <row r="38215">
      <c r="B38215" s="36"/>
      <c r="C38215" s="36"/>
      <c r="E38215" s="1"/>
      <c r="F38215" s="1"/>
      <c r="G38215" s="1"/>
    </row>
    <row r="38216">
      <c r="B38216" s="36"/>
      <c r="C38216" s="36"/>
      <c r="E38216" s="1"/>
      <c r="F38216" s="1"/>
      <c r="G38216" s="1"/>
    </row>
    <row r="38217">
      <c r="B38217" s="36"/>
      <c r="C38217" s="36"/>
      <c r="E38217" s="1"/>
      <c r="F38217" s="1"/>
      <c r="G38217" s="1"/>
    </row>
    <row r="38218">
      <c r="B38218" s="36"/>
      <c r="C38218" s="36"/>
      <c r="E38218" s="1"/>
      <c r="F38218" s="1"/>
      <c r="G38218" s="1"/>
    </row>
    <row r="38219">
      <c r="B38219" s="36"/>
      <c r="C38219" s="36"/>
      <c r="E38219" s="1"/>
      <c r="F38219" s="1"/>
      <c r="G38219" s="1"/>
    </row>
    <row r="38220">
      <c r="B38220" s="36"/>
      <c r="C38220" s="36"/>
      <c r="E38220" s="1"/>
      <c r="F38220" s="1"/>
      <c r="G38220" s="1"/>
    </row>
    <row r="38221">
      <c r="B38221" s="36"/>
      <c r="C38221" s="36"/>
      <c r="E38221" s="1"/>
      <c r="F38221" s="1"/>
      <c r="G38221" s="1"/>
    </row>
    <row r="38222">
      <c r="B38222" s="36"/>
      <c r="C38222" s="36"/>
      <c r="E38222" s="1"/>
      <c r="F38222" s="1"/>
      <c r="G38222" s="1"/>
    </row>
    <row r="38223">
      <c r="B38223" s="36"/>
      <c r="C38223" s="36"/>
      <c r="E38223" s="1"/>
      <c r="F38223" s="1"/>
      <c r="G38223" s="1"/>
    </row>
    <row r="38224">
      <c r="B38224" s="36"/>
      <c r="C38224" s="36"/>
      <c r="E38224" s="1"/>
      <c r="F38224" s="1"/>
      <c r="G38224" s="1"/>
    </row>
    <row r="38225">
      <c r="B38225" s="36"/>
      <c r="C38225" s="36"/>
      <c r="E38225" s="1"/>
      <c r="F38225" s="1"/>
      <c r="G38225" s="1"/>
    </row>
    <row r="38226">
      <c r="B38226" s="36"/>
      <c r="C38226" s="36"/>
      <c r="E38226" s="1"/>
      <c r="F38226" s="1"/>
      <c r="G38226" s="1"/>
    </row>
    <row r="38227">
      <c r="B38227" s="36"/>
      <c r="C38227" s="36"/>
      <c r="E38227" s="1"/>
      <c r="F38227" s="1"/>
      <c r="G38227" s="1"/>
    </row>
    <row r="38228">
      <c r="B38228" s="36"/>
      <c r="C38228" s="36"/>
      <c r="E38228" s="1"/>
      <c r="F38228" s="1"/>
      <c r="G38228" s="1"/>
    </row>
    <row r="38229">
      <c r="B38229" s="36"/>
      <c r="C38229" s="36"/>
      <c r="E38229" s="1"/>
      <c r="F38229" s="1"/>
      <c r="G38229" s="1"/>
    </row>
    <row r="38230">
      <c r="B38230" s="36"/>
      <c r="C38230" s="36"/>
      <c r="E38230" s="1"/>
      <c r="F38230" s="1"/>
      <c r="G38230" s="1"/>
    </row>
    <row r="38231">
      <c r="B38231" s="36"/>
      <c r="C38231" s="36"/>
      <c r="E38231" s="1"/>
      <c r="F38231" s="1"/>
      <c r="G38231" s="1"/>
    </row>
    <row r="38232">
      <c r="B38232" s="36"/>
      <c r="C38232" s="36"/>
      <c r="E38232" s="1"/>
      <c r="F38232" s="1"/>
      <c r="G38232" s="1"/>
    </row>
    <row r="38233">
      <c r="B38233" s="36"/>
      <c r="C38233" s="36"/>
      <c r="E38233" s="1"/>
      <c r="F38233" s="1"/>
      <c r="G38233" s="1"/>
    </row>
    <row r="38234">
      <c r="B38234" s="36"/>
      <c r="C38234" s="36"/>
      <c r="E38234" s="1"/>
      <c r="F38234" s="1"/>
      <c r="G38234" s="1"/>
    </row>
    <row r="38235">
      <c r="B38235" s="36"/>
      <c r="C38235" s="36"/>
      <c r="E38235" s="1"/>
      <c r="F38235" s="1"/>
      <c r="G38235" s="1"/>
    </row>
    <row r="38236">
      <c r="B38236" s="36"/>
      <c r="C38236" s="36"/>
      <c r="E38236" s="1"/>
      <c r="F38236" s="1"/>
      <c r="G38236" s="1"/>
    </row>
    <row r="38237">
      <c r="B38237" s="36"/>
      <c r="C38237" s="36"/>
      <c r="E38237" s="1"/>
      <c r="F38237" s="1"/>
      <c r="G38237" s="1"/>
    </row>
    <row r="38238">
      <c r="B38238" s="36"/>
      <c r="C38238" s="36"/>
      <c r="E38238" s="1"/>
      <c r="F38238" s="1"/>
      <c r="G38238" s="1"/>
    </row>
    <row r="38239">
      <c r="B38239" s="36"/>
      <c r="C38239" s="36"/>
      <c r="E38239" s="1"/>
      <c r="F38239" s="1"/>
      <c r="G38239" s="1"/>
    </row>
    <row r="38240">
      <c r="B38240" s="36"/>
      <c r="C38240" s="36"/>
      <c r="E38240" s="1"/>
      <c r="F38240" s="1"/>
      <c r="G38240" s="1"/>
    </row>
    <row r="38241">
      <c r="B38241" s="36"/>
      <c r="C38241" s="36"/>
      <c r="E38241" s="1"/>
      <c r="F38241" s="1"/>
      <c r="G38241" s="1"/>
    </row>
    <row r="38242">
      <c r="B38242" s="36"/>
      <c r="C38242" s="36"/>
      <c r="E38242" s="1"/>
      <c r="F38242" s="1"/>
      <c r="G38242" s="1"/>
    </row>
    <row r="38243">
      <c r="B38243" s="36"/>
      <c r="C38243" s="36"/>
      <c r="E38243" s="1"/>
      <c r="F38243" s="1"/>
      <c r="G38243" s="1"/>
    </row>
    <row r="38244">
      <c r="B38244" s="36"/>
      <c r="C38244" s="36"/>
      <c r="E38244" s="1"/>
      <c r="F38244" s="1"/>
      <c r="G38244" s="1"/>
    </row>
    <row r="38245">
      <c r="B38245" s="36"/>
      <c r="C38245" s="36"/>
      <c r="E38245" s="1"/>
      <c r="F38245" s="1"/>
      <c r="G38245" s="1"/>
    </row>
    <row r="38246">
      <c r="B38246" s="36"/>
      <c r="C38246" s="36"/>
      <c r="E38246" s="1"/>
      <c r="F38246" s="1"/>
      <c r="G38246" s="1"/>
    </row>
    <row r="38247">
      <c r="B38247" s="36"/>
      <c r="C38247" s="36"/>
      <c r="E38247" s="1"/>
      <c r="F38247" s="1"/>
      <c r="G38247" s="1"/>
    </row>
    <row r="38248">
      <c r="B38248" s="36"/>
      <c r="C38248" s="36"/>
      <c r="E38248" s="1"/>
      <c r="F38248" s="1"/>
      <c r="G38248" s="1"/>
    </row>
    <row r="38249">
      <c r="B38249" s="36"/>
      <c r="C38249" s="36"/>
      <c r="E38249" s="1"/>
      <c r="F38249" s="1"/>
      <c r="G38249" s="1"/>
    </row>
    <row r="38250">
      <c r="B38250" s="36"/>
      <c r="C38250" s="36"/>
      <c r="E38250" s="1"/>
      <c r="F38250" s="1"/>
      <c r="G38250" s="1"/>
    </row>
    <row r="38251">
      <c r="B38251" s="36"/>
      <c r="C38251" s="36"/>
      <c r="E38251" s="1"/>
      <c r="F38251" s="1"/>
      <c r="G38251" s="1"/>
    </row>
    <row r="38252">
      <c r="B38252" s="36"/>
      <c r="C38252" s="36"/>
      <c r="E38252" s="1"/>
      <c r="F38252" s="1"/>
      <c r="G38252" s="1"/>
    </row>
    <row r="38253">
      <c r="B38253" s="36"/>
      <c r="C38253" s="36"/>
      <c r="E38253" s="1"/>
      <c r="F38253" s="1"/>
      <c r="G38253" s="1"/>
    </row>
    <row r="38254">
      <c r="B38254" s="36"/>
      <c r="C38254" s="36"/>
      <c r="E38254" s="1"/>
      <c r="F38254" s="1"/>
      <c r="G38254" s="1"/>
    </row>
    <row r="38255">
      <c r="B38255" s="36"/>
      <c r="C38255" s="36"/>
      <c r="E38255" s="1"/>
      <c r="F38255" s="1"/>
      <c r="G38255" s="1"/>
    </row>
    <row r="38256">
      <c r="B38256" s="36"/>
      <c r="C38256" s="36"/>
      <c r="E38256" s="1"/>
      <c r="F38256" s="1"/>
      <c r="G38256" s="1"/>
    </row>
    <row r="38257">
      <c r="B38257" s="36"/>
      <c r="C38257" s="36"/>
      <c r="E38257" s="1"/>
      <c r="F38257" s="1"/>
      <c r="G38257" s="1"/>
    </row>
    <row r="38258">
      <c r="B38258" s="36"/>
      <c r="C38258" s="36"/>
      <c r="E38258" s="1"/>
      <c r="F38258" s="1"/>
      <c r="G38258" s="1"/>
    </row>
    <row r="38259">
      <c r="B38259" s="36"/>
      <c r="C38259" s="36"/>
      <c r="E38259" s="1"/>
      <c r="F38259" s="1"/>
      <c r="G38259" s="1"/>
    </row>
    <row r="38260">
      <c r="B38260" s="36"/>
      <c r="C38260" s="36"/>
      <c r="E38260" s="1"/>
      <c r="F38260" s="1"/>
      <c r="G38260" s="1"/>
    </row>
    <row r="38261">
      <c r="B38261" s="36"/>
      <c r="C38261" s="36"/>
      <c r="E38261" s="1"/>
      <c r="F38261" s="1"/>
      <c r="G38261" s="1"/>
    </row>
    <row r="38262">
      <c r="B38262" s="36"/>
      <c r="C38262" s="36"/>
      <c r="E38262" s="1"/>
      <c r="F38262" s="1"/>
      <c r="G38262" s="1"/>
    </row>
    <row r="38263">
      <c r="B38263" s="36"/>
      <c r="C38263" s="36"/>
      <c r="E38263" s="1"/>
      <c r="F38263" s="1"/>
      <c r="G38263" s="1"/>
    </row>
    <row r="38264">
      <c r="B38264" s="36"/>
      <c r="C38264" s="36"/>
      <c r="E38264" s="1"/>
      <c r="F38264" s="1"/>
      <c r="G38264" s="1"/>
    </row>
    <row r="38265">
      <c r="B38265" s="36"/>
      <c r="C38265" s="36"/>
      <c r="E38265" s="1"/>
      <c r="F38265" s="1"/>
      <c r="G38265" s="1"/>
    </row>
    <row r="38266">
      <c r="B38266" s="36"/>
      <c r="C38266" s="36"/>
      <c r="E38266" s="1"/>
      <c r="F38266" s="1"/>
      <c r="G38266" s="1"/>
    </row>
    <row r="38267">
      <c r="B38267" s="36"/>
      <c r="C38267" s="36"/>
      <c r="E38267" s="1"/>
      <c r="F38267" s="1"/>
      <c r="G38267" s="1"/>
    </row>
    <row r="38268">
      <c r="B38268" s="36"/>
      <c r="C38268" s="36"/>
      <c r="E38268" s="1"/>
      <c r="F38268" s="1"/>
      <c r="G38268" s="1"/>
    </row>
    <row r="38269">
      <c r="B38269" s="36"/>
      <c r="C38269" s="36"/>
      <c r="E38269" s="1"/>
      <c r="F38269" s="1"/>
      <c r="G38269" s="1"/>
    </row>
    <row r="38270">
      <c r="B38270" s="36"/>
      <c r="C38270" s="36"/>
      <c r="E38270" s="1"/>
      <c r="F38270" s="1"/>
      <c r="G38270" s="1"/>
    </row>
    <row r="38271">
      <c r="B38271" s="36"/>
      <c r="C38271" s="36"/>
      <c r="E38271" s="1"/>
      <c r="F38271" s="1"/>
      <c r="G38271" s="1"/>
    </row>
    <row r="38272">
      <c r="B38272" s="36"/>
      <c r="C38272" s="36"/>
      <c r="E38272" s="1"/>
      <c r="F38272" s="1"/>
      <c r="G38272" s="1"/>
    </row>
    <row r="38273">
      <c r="B38273" s="36"/>
      <c r="C38273" s="36"/>
      <c r="E38273" s="1"/>
      <c r="F38273" s="1"/>
      <c r="G38273" s="1"/>
    </row>
    <row r="38274">
      <c r="B38274" s="36"/>
      <c r="C38274" s="36"/>
      <c r="E38274" s="1"/>
      <c r="F38274" s="1"/>
      <c r="G38274" s="1"/>
    </row>
    <row r="38275">
      <c r="B38275" s="36"/>
      <c r="C38275" s="36"/>
      <c r="E38275" s="1"/>
      <c r="F38275" s="1"/>
      <c r="G38275" s="1"/>
    </row>
    <row r="38276">
      <c r="B38276" s="36"/>
      <c r="C38276" s="36"/>
      <c r="E38276" s="1"/>
      <c r="F38276" s="1"/>
      <c r="G38276" s="1"/>
    </row>
    <row r="38277">
      <c r="B38277" s="36"/>
      <c r="C38277" s="36"/>
      <c r="E38277" s="1"/>
      <c r="F38277" s="1"/>
      <c r="G38277" s="1"/>
    </row>
    <row r="38278">
      <c r="B38278" s="36"/>
      <c r="C38278" s="36"/>
      <c r="E38278" s="1"/>
      <c r="F38278" s="1"/>
      <c r="G38278" s="1"/>
    </row>
    <row r="38279">
      <c r="B38279" s="36"/>
      <c r="C38279" s="36"/>
      <c r="E38279" s="1"/>
      <c r="F38279" s="1"/>
      <c r="G38279" s="1"/>
    </row>
    <row r="38280">
      <c r="B38280" s="36"/>
      <c r="C38280" s="36"/>
      <c r="E38280" s="1"/>
      <c r="F38280" s="1"/>
      <c r="G38280" s="1"/>
    </row>
    <row r="38281">
      <c r="B38281" s="36"/>
      <c r="C38281" s="36"/>
      <c r="E38281" s="1"/>
      <c r="F38281" s="1"/>
      <c r="G38281" s="1"/>
    </row>
    <row r="38282">
      <c r="B38282" s="36"/>
      <c r="C38282" s="36"/>
      <c r="E38282" s="1"/>
      <c r="F38282" s="1"/>
      <c r="G38282" s="1"/>
    </row>
    <row r="38283">
      <c r="B38283" s="36"/>
      <c r="C38283" s="36"/>
      <c r="E38283" s="1"/>
      <c r="F38283" s="1"/>
      <c r="G38283" s="1"/>
    </row>
    <row r="38284">
      <c r="B38284" s="36"/>
      <c r="C38284" s="36"/>
      <c r="E38284" s="1"/>
      <c r="F38284" s="1"/>
      <c r="G38284" s="1"/>
    </row>
    <row r="38285">
      <c r="B38285" s="36"/>
      <c r="C38285" s="36"/>
      <c r="E38285" s="1"/>
      <c r="F38285" s="1"/>
      <c r="G38285" s="1"/>
    </row>
    <row r="38286">
      <c r="B38286" s="36"/>
      <c r="C38286" s="36"/>
      <c r="E38286" s="1"/>
      <c r="F38286" s="1"/>
      <c r="G38286" s="1"/>
    </row>
    <row r="38287">
      <c r="B38287" s="36"/>
      <c r="C38287" s="36"/>
      <c r="E38287" s="1"/>
      <c r="F38287" s="1"/>
      <c r="G38287" s="1"/>
    </row>
    <row r="38288">
      <c r="B38288" s="36"/>
      <c r="C38288" s="36"/>
      <c r="E38288" s="1"/>
      <c r="F38288" s="1"/>
      <c r="G38288" s="1"/>
    </row>
    <row r="38289">
      <c r="B38289" s="36"/>
      <c r="C38289" s="36"/>
      <c r="E38289" s="1"/>
      <c r="F38289" s="1"/>
      <c r="G38289" s="1"/>
    </row>
    <row r="38290">
      <c r="B38290" s="36"/>
      <c r="C38290" s="36"/>
      <c r="E38290" s="1"/>
      <c r="F38290" s="1"/>
      <c r="G38290" s="1"/>
    </row>
    <row r="38291">
      <c r="B38291" s="36"/>
      <c r="C38291" s="36"/>
      <c r="E38291" s="1"/>
      <c r="F38291" s="1"/>
      <c r="G38291" s="1"/>
    </row>
    <row r="38292">
      <c r="B38292" s="36"/>
      <c r="C38292" s="36"/>
      <c r="E38292" s="1"/>
      <c r="F38292" s="1"/>
      <c r="G38292" s="1"/>
    </row>
    <row r="38293">
      <c r="B38293" s="36"/>
      <c r="C38293" s="36"/>
      <c r="E38293" s="1"/>
      <c r="F38293" s="1"/>
      <c r="G38293" s="1"/>
    </row>
    <row r="38294">
      <c r="B38294" s="36"/>
      <c r="C38294" s="36"/>
      <c r="E38294" s="1"/>
      <c r="F38294" s="1"/>
      <c r="G38294" s="1"/>
    </row>
    <row r="38295">
      <c r="B38295" s="36"/>
      <c r="C38295" s="36"/>
      <c r="E38295" s="1"/>
      <c r="F38295" s="1"/>
      <c r="G38295" s="1"/>
    </row>
    <row r="38296">
      <c r="B38296" s="36"/>
      <c r="C38296" s="36"/>
      <c r="E38296" s="1"/>
      <c r="F38296" s="1"/>
      <c r="G38296" s="1"/>
    </row>
    <row r="38297">
      <c r="B38297" s="36"/>
      <c r="C38297" s="36"/>
      <c r="E38297" s="1"/>
      <c r="F38297" s="1"/>
      <c r="G38297" s="1"/>
    </row>
    <row r="38298">
      <c r="B38298" s="36"/>
      <c r="C38298" s="36"/>
      <c r="E38298" s="1"/>
      <c r="F38298" s="1"/>
      <c r="G38298" s="1"/>
    </row>
    <row r="38299">
      <c r="B38299" s="36"/>
      <c r="C38299" s="36"/>
      <c r="E38299" s="1"/>
      <c r="F38299" s="1"/>
      <c r="G38299" s="1"/>
    </row>
    <row r="38300">
      <c r="B38300" s="36"/>
      <c r="C38300" s="36"/>
      <c r="E38300" s="1"/>
      <c r="F38300" s="1"/>
      <c r="G38300" s="1"/>
    </row>
    <row r="38301">
      <c r="B38301" s="36"/>
      <c r="C38301" s="36"/>
      <c r="E38301" s="1"/>
      <c r="F38301" s="1"/>
      <c r="G38301" s="1"/>
    </row>
    <row r="38302">
      <c r="B38302" s="36"/>
      <c r="C38302" s="36"/>
      <c r="E38302" s="1"/>
      <c r="F38302" s="1"/>
      <c r="G38302" s="1"/>
    </row>
    <row r="38303">
      <c r="B38303" s="36"/>
      <c r="C38303" s="36"/>
      <c r="E38303" s="1"/>
      <c r="F38303" s="1"/>
      <c r="G38303" s="1"/>
    </row>
    <row r="38304">
      <c r="B38304" s="36"/>
      <c r="C38304" s="36"/>
      <c r="E38304" s="1"/>
      <c r="F38304" s="1"/>
      <c r="G38304" s="1"/>
    </row>
    <row r="38305">
      <c r="B38305" s="36"/>
      <c r="C38305" s="36"/>
      <c r="E38305" s="1"/>
      <c r="F38305" s="1"/>
      <c r="G38305" s="1"/>
    </row>
    <row r="38306">
      <c r="B38306" s="36"/>
      <c r="C38306" s="36"/>
      <c r="E38306" s="1"/>
      <c r="F38306" s="1"/>
      <c r="G38306" s="1"/>
    </row>
    <row r="38307">
      <c r="B38307" s="36"/>
      <c r="C38307" s="36"/>
      <c r="E38307" s="1"/>
      <c r="F38307" s="1"/>
      <c r="G38307" s="1"/>
    </row>
    <row r="38308">
      <c r="B38308" s="36"/>
      <c r="C38308" s="36"/>
      <c r="E38308" s="1"/>
      <c r="F38308" s="1"/>
      <c r="G38308" s="1"/>
    </row>
    <row r="38309">
      <c r="B38309" s="36"/>
      <c r="C38309" s="36"/>
      <c r="E38309" s="1"/>
      <c r="F38309" s="1"/>
      <c r="G38309" s="1"/>
    </row>
    <row r="38310">
      <c r="B38310" s="36"/>
      <c r="C38310" s="36"/>
      <c r="E38310" s="1"/>
      <c r="F38310" s="1"/>
      <c r="G38310" s="1"/>
    </row>
    <row r="38311">
      <c r="B38311" s="36"/>
      <c r="C38311" s="36"/>
      <c r="E38311" s="1"/>
      <c r="F38311" s="1"/>
      <c r="G38311" s="1"/>
    </row>
    <row r="38312">
      <c r="B38312" s="36"/>
      <c r="C38312" s="36"/>
      <c r="E38312" s="1"/>
      <c r="F38312" s="1"/>
      <c r="G38312" s="1"/>
    </row>
    <row r="38313">
      <c r="B38313" s="36"/>
      <c r="C38313" s="36"/>
      <c r="E38313" s="1"/>
      <c r="F38313" s="1"/>
      <c r="G38313" s="1"/>
    </row>
    <row r="38314">
      <c r="B38314" s="36"/>
      <c r="C38314" s="36"/>
      <c r="E38314" s="1"/>
      <c r="F38314" s="1"/>
      <c r="G38314" s="1"/>
    </row>
    <row r="38315">
      <c r="B38315" s="36"/>
      <c r="C38315" s="36"/>
      <c r="E38315" s="1"/>
      <c r="F38315" s="1"/>
      <c r="G38315" s="1"/>
    </row>
    <row r="38316">
      <c r="B38316" s="36"/>
      <c r="C38316" s="36"/>
      <c r="E38316" s="1"/>
      <c r="F38316" s="1"/>
      <c r="G38316" s="1"/>
    </row>
    <row r="38317">
      <c r="B38317" s="36"/>
      <c r="C38317" s="36"/>
      <c r="E38317" s="1"/>
      <c r="F38317" s="1"/>
      <c r="G38317" s="1"/>
    </row>
    <row r="38318">
      <c r="B38318" s="36"/>
      <c r="C38318" s="36"/>
      <c r="E38318" s="1"/>
      <c r="F38318" s="1"/>
      <c r="G38318" s="1"/>
    </row>
    <row r="38319">
      <c r="B38319" s="36"/>
      <c r="C38319" s="36"/>
      <c r="E38319" s="1"/>
      <c r="F38319" s="1"/>
      <c r="G38319" s="1"/>
    </row>
    <row r="38320">
      <c r="B38320" s="36"/>
      <c r="C38320" s="36"/>
      <c r="E38320" s="1"/>
      <c r="F38320" s="1"/>
      <c r="G38320" s="1"/>
    </row>
    <row r="38321">
      <c r="B38321" s="36"/>
      <c r="C38321" s="36"/>
      <c r="E38321" s="1"/>
      <c r="F38321" s="1"/>
      <c r="G38321" s="1"/>
    </row>
    <row r="38322">
      <c r="B38322" s="36"/>
      <c r="C38322" s="36"/>
      <c r="E38322" s="1"/>
      <c r="F38322" s="1"/>
      <c r="G38322" s="1"/>
    </row>
    <row r="38323">
      <c r="B38323" s="36"/>
      <c r="C38323" s="36"/>
      <c r="E38323" s="1"/>
      <c r="F38323" s="1"/>
      <c r="G38323" s="1"/>
    </row>
    <row r="38324">
      <c r="B38324" s="36"/>
      <c r="C38324" s="36"/>
      <c r="E38324" s="1"/>
      <c r="F38324" s="1"/>
      <c r="G38324" s="1"/>
    </row>
    <row r="38325">
      <c r="B38325" s="36"/>
      <c r="C38325" s="36"/>
      <c r="E38325" s="1"/>
      <c r="F38325" s="1"/>
      <c r="G38325" s="1"/>
    </row>
    <row r="38326">
      <c r="B38326" s="36"/>
      <c r="C38326" s="36"/>
      <c r="E38326" s="1"/>
      <c r="F38326" s="1"/>
      <c r="G38326" s="1"/>
    </row>
    <row r="38327">
      <c r="B38327" s="36"/>
      <c r="C38327" s="36"/>
      <c r="E38327" s="1"/>
      <c r="F38327" s="1"/>
      <c r="G38327" s="1"/>
    </row>
    <row r="38328">
      <c r="B38328" s="36"/>
      <c r="C38328" s="36"/>
      <c r="E38328" s="1"/>
      <c r="F38328" s="1"/>
      <c r="G38328" s="1"/>
    </row>
    <row r="38329">
      <c r="B38329" s="36"/>
      <c r="C38329" s="36"/>
      <c r="E38329" s="1"/>
      <c r="F38329" s="1"/>
      <c r="G38329" s="1"/>
    </row>
    <row r="38330">
      <c r="B38330" s="36"/>
      <c r="C38330" s="36"/>
      <c r="E38330" s="1"/>
      <c r="F38330" s="1"/>
      <c r="G38330" s="1"/>
    </row>
    <row r="38331">
      <c r="B38331" s="36"/>
      <c r="C38331" s="36"/>
      <c r="E38331" s="1"/>
      <c r="F38331" s="1"/>
      <c r="G38331" s="1"/>
    </row>
    <row r="38332">
      <c r="B38332" s="36"/>
      <c r="C38332" s="36"/>
      <c r="E38332" s="1"/>
      <c r="F38332" s="1"/>
      <c r="G38332" s="1"/>
    </row>
    <row r="38333">
      <c r="B38333" s="36"/>
      <c r="C38333" s="36"/>
      <c r="E38333" s="1"/>
      <c r="F38333" s="1"/>
      <c r="G38333" s="1"/>
    </row>
    <row r="38334">
      <c r="B38334" s="36"/>
      <c r="C38334" s="36"/>
      <c r="E38334" s="1"/>
      <c r="F38334" s="1"/>
      <c r="G38334" s="1"/>
    </row>
    <row r="38335">
      <c r="B38335" s="36"/>
      <c r="C38335" s="36"/>
      <c r="E38335" s="1"/>
      <c r="F38335" s="1"/>
      <c r="G38335" s="1"/>
    </row>
    <row r="38336">
      <c r="B38336" s="36"/>
      <c r="C38336" s="36"/>
      <c r="E38336" s="1"/>
      <c r="F38336" s="1"/>
      <c r="G38336" s="1"/>
    </row>
    <row r="38337">
      <c r="B38337" s="36"/>
      <c r="C38337" s="36"/>
      <c r="E38337" s="1"/>
      <c r="F38337" s="1"/>
      <c r="G38337" s="1"/>
    </row>
    <row r="38338">
      <c r="B38338" s="36"/>
      <c r="C38338" s="36"/>
      <c r="E38338" s="1"/>
      <c r="F38338" s="1"/>
      <c r="G38338" s="1"/>
    </row>
    <row r="38339">
      <c r="B38339" s="36"/>
      <c r="C38339" s="36"/>
      <c r="E38339" s="1"/>
      <c r="F38339" s="1"/>
      <c r="G38339" s="1"/>
    </row>
    <row r="38340">
      <c r="B38340" s="36"/>
      <c r="C38340" s="36"/>
      <c r="E38340" s="1"/>
      <c r="F38340" s="1"/>
      <c r="G38340" s="1"/>
    </row>
    <row r="38341">
      <c r="B38341" s="36"/>
      <c r="C38341" s="36"/>
      <c r="E38341" s="1"/>
      <c r="F38341" s="1"/>
      <c r="G38341" s="1"/>
    </row>
    <row r="38342">
      <c r="B38342" s="36"/>
      <c r="C38342" s="36"/>
      <c r="E38342" s="1"/>
      <c r="F38342" s="1"/>
      <c r="G38342" s="1"/>
    </row>
    <row r="38343">
      <c r="B38343" s="36"/>
      <c r="C38343" s="36"/>
      <c r="E38343" s="1"/>
      <c r="F38343" s="1"/>
      <c r="G38343" s="1"/>
    </row>
    <row r="38344">
      <c r="B38344" s="36"/>
      <c r="C38344" s="36"/>
      <c r="E38344" s="1"/>
      <c r="F38344" s="1"/>
      <c r="G38344" s="1"/>
    </row>
    <row r="38345">
      <c r="B38345" s="36"/>
      <c r="C38345" s="36"/>
      <c r="E38345" s="1"/>
      <c r="F38345" s="1"/>
      <c r="G38345" s="1"/>
    </row>
    <row r="38346">
      <c r="B38346" s="36"/>
      <c r="C38346" s="36"/>
      <c r="E38346" s="1"/>
      <c r="F38346" s="1"/>
      <c r="G38346" s="1"/>
    </row>
    <row r="38347">
      <c r="B38347" s="36"/>
      <c r="C38347" s="36"/>
      <c r="E38347" s="1"/>
      <c r="F38347" s="1"/>
      <c r="G38347" s="1"/>
    </row>
    <row r="38348">
      <c r="B38348" s="36"/>
      <c r="C38348" s="36"/>
      <c r="E38348" s="1"/>
      <c r="F38348" s="1"/>
      <c r="G38348" s="1"/>
    </row>
    <row r="38349">
      <c r="B38349" s="36"/>
      <c r="C38349" s="36"/>
      <c r="E38349" s="1"/>
      <c r="F38349" s="1"/>
      <c r="G38349" s="1"/>
    </row>
    <row r="38350">
      <c r="B38350" s="36"/>
      <c r="C38350" s="36"/>
      <c r="E38350" s="1"/>
      <c r="F38350" s="1"/>
      <c r="G38350" s="1"/>
    </row>
    <row r="38351">
      <c r="B38351" s="36"/>
      <c r="C38351" s="36"/>
      <c r="E38351" s="1"/>
      <c r="F38351" s="1"/>
      <c r="G38351" s="1"/>
    </row>
    <row r="38352">
      <c r="B38352" s="36"/>
      <c r="C38352" s="36"/>
      <c r="E38352" s="1"/>
      <c r="F38352" s="1"/>
      <c r="G38352" s="1"/>
    </row>
    <row r="38353">
      <c r="B38353" s="36"/>
      <c r="C38353" s="36"/>
      <c r="E38353" s="1"/>
      <c r="F38353" s="1"/>
      <c r="G38353" s="1"/>
    </row>
    <row r="38354">
      <c r="B38354" s="36"/>
      <c r="C38354" s="36"/>
      <c r="E38354" s="1"/>
      <c r="F38354" s="1"/>
      <c r="G38354" s="1"/>
    </row>
    <row r="38355">
      <c r="B38355" s="36"/>
      <c r="C38355" s="36"/>
      <c r="E38355" s="1"/>
      <c r="F38355" s="1"/>
      <c r="G38355" s="1"/>
    </row>
    <row r="38356">
      <c r="B38356" s="36"/>
      <c r="C38356" s="36"/>
      <c r="E38356" s="1"/>
      <c r="F38356" s="1"/>
      <c r="G38356" s="1"/>
    </row>
    <row r="38357">
      <c r="B38357" s="36"/>
      <c r="C38357" s="36"/>
      <c r="E38357" s="1"/>
      <c r="F38357" s="1"/>
      <c r="G38357" s="1"/>
    </row>
    <row r="38358">
      <c r="B38358" s="36"/>
      <c r="C38358" s="36"/>
      <c r="E38358" s="1"/>
      <c r="F38358" s="1"/>
      <c r="G38358" s="1"/>
    </row>
    <row r="38359">
      <c r="B38359" s="36"/>
      <c r="C38359" s="36"/>
      <c r="E38359" s="1"/>
      <c r="F38359" s="1"/>
      <c r="G38359" s="1"/>
    </row>
    <row r="38360">
      <c r="B38360" s="36"/>
      <c r="C38360" s="36"/>
      <c r="E38360" s="1"/>
      <c r="F38360" s="1"/>
      <c r="G38360" s="1"/>
    </row>
    <row r="38361">
      <c r="B38361" s="36"/>
      <c r="C38361" s="36"/>
      <c r="E38361" s="1"/>
      <c r="F38361" s="1"/>
      <c r="G38361" s="1"/>
    </row>
    <row r="38362">
      <c r="B38362" s="36"/>
      <c r="C38362" s="36"/>
      <c r="E38362" s="1"/>
      <c r="F38362" s="1"/>
      <c r="G38362" s="1"/>
    </row>
    <row r="38363">
      <c r="B38363" s="36"/>
      <c r="C38363" s="36"/>
      <c r="E38363" s="1"/>
      <c r="F38363" s="1"/>
      <c r="G38363" s="1"/>
    </row>
    <row r="38364">
      <c r="B38364" s="36"/>
      <c r="C38364" s="36"/>
      <c r="E38364" s="1"/>
      <c r="F38364" s="1"/>
      <c r="G38364" s="1"/>
    </row>
    <row r="38365">
      <c r="B38365" s="36"/>
      <c r="C38365" s="36"/>
      <c r="E38365" s="1"/>
      <c r="F38365" s="1"/>
      <c r="G38365" s="1"/>
    </row>
    <row r="38366">
      <c r="B38366" s="36"/>
      <c r="C38366" s="36"/>
      <c r="E38366" s="1"/>
      <c r="F38366" s="1"/>
      <c r="G38366" s="1"/>
    </row>
    <row r="38367">
      <c r="B38367" s="36"/>
      <c r="C38367" s="36"/>
      <c r="E38367" s="1"/>
      <c r="F38367" s="1"/>
      <c r="G38367" s="1"/>
    </row>
    <row r="38368">
      <c r="B38368" s="36"/>
      <c r="C38368" s="36"/>
      <c r="E38368" s="1"/>
      <c r="F38368" s="1"/>
      <c r="G38368" s="1"/>
    </row>
    <row r="38369">
      <c r="B38369" s="36"/>
      <c r="C38369" s="36"/>
      <c r="E38369" s="1"/>
      <c r="F38369" s="1"/>
      <c r="G38369" s="1"/>
    </row>
    <row r="38370">
      <c r="B38370" s="36"/>
      <c r="C38370" s="36"/>
      <c r="E38370" s="1"/>
      <c r="F38370" s="1"/>
      <c r="G38370" s="1"/>
    </row>
    <row r="38371">
      <c r="B38371" s="36"/>
      <c r="C38371" s="36"/>
      <c r="E38371" s="1"/>
      <c r="F38371" s="1"/>
      <c r="G38371" s="1"/>
    </row>
    <row r="38372">
      <c r="B38372" s="36"/>
      <c r="C38372" s="36"/>
      <c r="E38372" s="1"/>
      <c r="F38372" s="1"/>
      <c r="G38372" s="1"/>
    </row>
    <row r="38373">
      <c r="B38373" s="36"/>
      <c r="C38373" s="36"/>
      <c r="E38373" s="1"/>
      <c r="F38373" s="1"/>
      <c r="G38373" s="1"/>
    </row>
    <row r="38374">
      <c r="B38374" s="36"/>
      <c r="C38374" s="36"/>
      <c r="E38374" s="1"/>
      <c r="F38374" s="1"/>
      <c r="G38374" s="1"/>
    </row>
    <row r="38375">
      <c r="B38375" s="36"/>
      <c r="C38375" s="36"/>
      <c r="E38375" s="1"/>
      <c r="F38375" s="1"/>
      <c r="G38375" s="1"/>
    </row>
    <row r="38376">
      <c r="B38376" s="36"/>
      <c r="C38376" s="36"/>
      <c r="E38376" s="1"/>
      <c r="F38376" s="1"/>
      <c r="G38376" s="1"/>
    </row>
    <row r="38377">
      <c r="B38377" s="36"/>
      <c r="C38377" s="36"/>
      <c r="E38377" s="1"/>
      <c r="F38377" s="1"/>
      <c r="G38377" s="1"/>
    </row>
    <row r="38378">
      <c r="B38378" s="36"/>
      <c r="C38378" s="36"/>
      <c r="E38378" s="1"/>
      <c r="F38378" s="1"/>
      <c r="G38378" s="1"/>
    </row>
    <row r="38379">
      <c r="B38379" s="36"/>
      <c r="C38379" s="36"/>
      <c r="E38379" s="1"/>
      <c r="F38379" s="1"/>
      <c r="G38379" s="1"/>
    </row>
    <row r="38380">
      <c r="B38380" s="36"/>
      <c r="C38380" s="36"/>
      <c r="E38380" s="1"/>
      <c r="F38380" s="1"/>
      <c r="G38380" s="1"/>
    </row>
    <row r="38381">
      <c r="B38381" s="36"/>
      <c r="C38381" s="36"/>
      <c r="E38381" s="1"/>
      <c r="F38381" s="1"/>
      <c r="G38381" s="1"/>
    </row>
    <row r="38382">
      <c r="B38382" s="36"/>
      <c r="C38382" s="36"/>
      <c r="E38382" s="1"/>
      <c r="F38382" s="1"/>
      <c r="G38382" s="1"/>
    </row>
    <row r="38383">
      <c r="B38383" s="36"/>
      <c r="C38383" s="36"/>
      <c r="E38383" s="1"/>
      <c r="F38383" s="1"/>
      <c r="G38383" s="1"/>
    </row>
    <row r="38384">
      <c r="B38384" s="36"/>
      <c r="C38384" s="36"/>
      <c r="E38384" s="1"/>
      <c r="F38384" s="1"/>
      <c r="G38384" s="1"/>
    </row>
    <row r="38385">
      <c r="B38385" s="36"/>
      <c r="C38385" s="36"/>
      <c r="E38385" s="1"/>
      <c r="F38385" s="1"/>
      <c r="G38385" s="1"/>
    </row>
    <row r="38386">
      <c r="B38386" s="36"/>
      <c r="C38386" s="36"/>
      <c r="E38386" s="1"/>
      <c r="F38386" s="1"/>
      <c r="G38386" s="1"/>
    </row>
    <row r="38387">
      <c r="B38387" s="36"/>
      <c r="C38387" s="36"/>
      <c r="E38387" s="1"/>
      <c r="F38387" s="1"/>
      <c r="G38387" s="1"/>
    </row>
    <row r="38388">
      <c r="B38388" s="36"/>
      <c r="C38388" s="36"/>
      <c r="E38388" s="1"/>
      <c r="F38388" s="1"/>
      <c r="G38388" s="1"/>
    </row>
    <row r="38389">
      <c r="B38389" s="36"/>
      <c r="C38389" s="36"/>
      <c r="E38389" s="1"/>
      <c r="F38389" s="1"/>
      <c r="G38389" s="1"/>
    </row>
    <row r="38390">
      <c r="B38390" s="36"/>
      <c r="C38390" s="36"/>
      <c r="E38390" s="1"/>
      <c r="F38390" s="1"/>
      <c r="G38390" s="1"/>
    </row>
    <row r="38391">
      <c r="B38391" s="36"/>
      <c r="C38391" s="36"/>
      <c r="E38391" s="1"/>
      <c r="F38391" s="1"/>
      <c r="G38391" s="1"/>
    </row>
    <row r="38392">
      <c r="B38392" s="36"/>
      <c r="C38392" s="36"/>
      <c r="E38392" s="1"/>
      <c r="F38392" s="1"/>
      <c r="G38392" s="1"/>
    </row>
    <row r="38393">
      <c r="B38393" s="36"/>
      <c r="C38393" s="36"/>
      <c r="E38393" s="1"/>
      <c r="F38393" s="1"/>
      <c r="G38393" s="1"/>
    </row>
    <row r="38394">
      <c r="B38394" s="36"/>
      <c r="C38394" s="36"/>
      <c r="E38394" s="1"/>
      <c r="F38394" s="1"/>
      <c r="G38394" s="1"/>
    </row>
    <row r="38395">
      <c r="B38395" s="36"/>
      <c r="C38395" s="36"/>
      <c r="E38395" s="1"/>
      <c r="F38395" s="1"/>
      <c r="G38395" s="1"/>
    </row>
    <row r="38396">
      <c r="B38396" s="36"/>
      <c r="C38396" s="36"/>
      <c r="E38396" s="1"/>
      <c r="F38396" s="1"/>
      <c r="G38396" s="1"/>
    </row>
    <row r="38397">
      <c r="B38397" s="36"/>
      <c r="C38397" s="36"/>
      <c r="E38397" s="1"/>
      <c r="F38397" s="1"/>
      <c r="G38397" s="1"/>
    </row>
    <row r="38398">
      <c r="B38398" s="36"/>
      <c r="C38398" s="36"/>
      <c r="E38398" s="1"/>
      <c r="F38398" s="1"/>
      <c r="G38398" s="1"/>
    </row>
    <row r="38399">
      <c r="B38399" s="36"/>
      <c r="C38399" s="36"/>
      <c r="E38399" s="1"/>
      <c r="F38399" s="1"/>
      <c r="G38399" s="1"/>
    </row>
    <row r="38400">
      <c r="B38400" s="36"/>
      <c r="C38400" s="36"/>
      <c r="E38400" s="1"/>
      <c r="F38400" s="1"/>
      <c r="G38400" s="1"/>
    </row>
    <row r="38401">
      <c r="B38401" s="36"/>
      <c r="C38401" s="36"/>
      <c r="E38401" s="1"/>
      <c r="F38401" s="1"/>
      <c r="G38401" s="1"/>
    </row>
    <row r="38402">
      <c r="B38402" s="36"/>
      <c r="C38402" s="36"/>
      <c r="E38402" s="1"/>
      <c r="F38402" s="1"/>
      <c r="G38402" s="1"/>
    </row>
    <row r="38403">
      <c r="B38403" s="36"/>
      <c r="C38403" s="36"/>
      <c r="E38403" s="1"/>
      <c r="F38403" s="1"/>
      <c r="G38403" s="1"/>
    </row>
    <row r="38404">
      <c r="B38404" s="36"/>
      <c r="C38404" s="36"/>
      <c r="E38404" s="1"/>
      <c r="F38404" s="1"/>
      <c r="G38404" s="1"/>
    </row>
    <row r="38405">
      <c r="B38405" s="36"/>
      <c r="C38405" s="36"/>
      <c r="E38405" s="1"/>
      <c r="F38405" s="1"/>
      <c r="G38405" s="1"/>
    </row>
    <row r="38406">
      <c r="B38406" s="36"/>
      <c r="C38406" s="36"/>
      <c r="E38406" s="1"/>
      <c r="F38406" s="1"/>
      <c r="G38406" s="1"/>
    </row>
    <row r="38407">
      <c r="B38407" s="36"/>
      <c r="C38407" s="36"/>
      <c r="E38407" s="1"/>
      <c r="F38407" s="1"/>
      <c r="G38407" s="1"/>
    </row>
    <row r="38408">
      <c r="B38408" s="36"/>
      <c r="C38408" s="36"/>
      <c r="E38408" s="1"/>
      <c r="F38408" s="1"/>
      <c r="G38408" s="1"/>
    </row>
    <row r="38409">
      <c r="B38409" s="36"/>
      <c r="C38409" s="36"/>
      <c r="E38409" s="1"/>
      <c r="F38409" s="1"/>
      <c r="G38409" s="1"/>
    </row>
    <row r="38410">
      <c r="B38410" s="36"/>
      <c r="C38410" s="36"/>
      <c r="E38410" s="1"/>
      <c r="F38410" s="1"/>
      <c r="G38410" s="1"/>
    </row>
    <row r="38411">
      <c r="B38411" s="36"/>
      <c r="C38411" s="36"/>
      <c r="E38411" s="1"/>
      <c r="F38411" s="1"/>
      <c r="G38411" s="1"/>
    </row>
    <row r="38412">
      <c r="B38412" s="36"/>
      <c r="C38412" s="36"/>
      <c r="E38412" s="1"/>
      <c r="F38412" s="1"/>
      <c r="G38412" s="1"/>
    </row>
    <row r="38413">
      <c r="B38413" s="36"/>
      <c r="C38413" s="36"/>
      <c r="E38413" s="1"/>
      <c r="F38413" s="1"/>
      <c r="G38413" s="1"/>
    </row>
    <row r="38414">
      <c r="B38414" s="36"/>
      <c r="C38414" s="36"/>
      <c r="E38414" s="1"/>
      <c r="F38414" s="1"/>
      <c r="G38414" s="1"/>
    </row>
    <row r="38415">
      <c r="B38415" s="36"/>
      <c r="C38415" s="36"/>
      <c r="E38415" s="1"/>
      <c r="F38415" s="1"/>
      <c r="G38415" s="1"/>
    </row>
    <row r="38416">
      <c r="B38416" s="36"/>
      <c r="C38416" s="36"/>
      <c r="E38416" s="1"/>
      <c r="F38416" s="1"/>
      <c r="G38416" s="1"/>
    </row>
    <row r="38417">
      <c r="B38417" s="36"/>
      <c r="C38417" s="36"/>
      <c r="E38417" s="1"/>
      <c r="F38417" s="1"/>
      <c r="G38417" s="1"/>
    </row>
    <row r="38418">
      <c r="B38418" s="36"/>
      <c r="C38418" s="36"/>
      <c r="E38418" s="1"/>
      <c r="F38418" s="1"/>
      <c r="G38418" s="1"/>
    </row>
    <row r="38419">
      <c r="B38419" s="36"/>
      <c r="C38419" s="36"/>
      <c r="E38419" s="1"/>
      <c r="F38419" s="1"/>
      <c r="G38419" s="1"/>
    </row>
    <row r="38420">
      <c r="B38420" s="36"/>
      <c r="C38420" s="36"/>
      <c r="E38420" s="1"/>
      <c r="F38420" s="1"/>
      <c r="G38420" s="1"/>
    </row>
    <row r="38421">
      <c r="B38421" s="36"/>
      <c r="C38421" s="36"/>
      <c r="E38421" s="1"/>
      <c r="F38421" s="1"/>
      <c r="G38421" s="1"/>
    </row>
    <row r="38422">
      <c r="B38422" s="36"/>
      <c r="C38422" s="36"/>
      <c r="E38422" s="1"/>
      <c r="F38422" s="1"/>
      <c r="G38422" s="1"/>
    </row>
    <row r="38423">
      <c r="B38423" s="36"/>
      <c r="C38423" s="36"/>
      <c r="E38423" s="1"/>
      <c r="F38423" s="1"/>
      <c r="G38423" s="1"/>
    </row>
    <row r="38424">
      <c r="B38424" s="36"/>
      <c r="C38424" s="36"/>
      <c r="E38424" s="1"/>
      <c r="F38424" s="1"/>
      <c r="G38424" s="1"/>
    </row>
    <row r="38425">
      <c r="B38425" s="36"/>
      <c r="C38425" s="36"/>
      <c r="E38425" s="1"/>
      <c r="F38425" s="1"/>
      <c r="G38425" s="1"/>
    </row>
    <row r="38426">
      <c r="B38426" s="36"/>
      <c r="C38426" s="36"/>
      <c r="E38426" s="1"/>
      <c r="F38426" s="1"/>
      <c r="G38426" s="1"/>
    </row>
    <row r="38427">
      <c r="B38427" s="36"/>
      <c r="C38427" s="36"/>
      <c r="E38427" s="1"/>
      <c r="F38427" s="1"/>
      <c r="G38427" s="1"/>
    </row>
    <row r="38428">
      <c r="B38428" s="36"/>
      <c r="C38428" s="36"/>
      <c r="E38428" s="1"/>
      <c r="F38428" s="1"/>
      <c r="G38428" s="1"/>
    </row>
    <row r="38429">
      <c r="B38429" s="36"/>
      <c r="C38429" s="36"/>
      <c r="E38429" s="1"/>
      <c r="F38429" s="1"/>
      <c r="G38429" s="1"/>
    </row>
    <row r="38430">
      <c r="B38430" s="36"/>
      <c r="C38430" s="36"/>
      <c r="E38430" s="1"/>
      <c r="F38430" s="1"/>
      <c r="G38430" s="1"/>
    </row>
    <row r="38431">
      <c r="B38431" s="36"/>
      <c r="C38431" s="36"/>
      <c r="E38431" s="1"/>
      <c r="F38431" s="1"/>
      <c r="G38431" s="1"/>
    </row>
    <row r="38432">
      <c r="B38432" s="36"/>
      <c r="C38432" s="36"/>
      <c r="E38432" s="1"/>
      <c r="F38432" s="1"/>
      <c r="G38432" s="1"/>
    </row>
    <row r="38433">
      <c r="B38433" s="36"/>
      <c r="C38433" s="36"/>
      <c r="E38433" s="1"/>
      <c r="F38433" s="1"/>
      <c r="G38433" s="1"/>
    </row>
    <row r="38434">
      <c r="B38434" s="36"/>
      <c r="C38434" s="36"/>
      <c r="E38434" s="1"/>
      <c r="F38434" s="1"/>
      <c r="G38434" s="1"/>
    </row>
    <row r="38435">
      <c r="B38435" s="36"/>
      <c r="C38435" s="36"/>
      <c r="E38435" s="1"/>
      <c r="F38435" s="1"/>
      <c r="G38435" s="1"/>
    </row>
    <row r="38436">
      <c r="B38436" s="36"/>
      <c r="C38436" s="36"/>
      <c r="E38436" s="1"/>
      <c r="F38436" s="1"/>
      <c r="G38436" s="1"/>
    </row>
    <row r="38437">
      <c r="B38437" s="36"/>
      <c r="C38437" s="36"/>
      <c r="E38437" s="1"/>
      <c r="F38437" s="1"/>
      <c r="G38437" s="1"/>
    </row>
    <row r="38438">
      <c r="B38438" s="36"/>
      <c r="C38438" s="36"/>
      <c r="E38438" s="1"/>
      <c r="F38438" s="1"/>
      <c r="G38438" s="1"/>
    </row>
    <row r="38439">
      <c r="B38439" s="36"/>
      <c r="C38439" s="36"/>
      <c r="E38439" s="1"/>
      <c r="F38439" s="1"/>
      <c r="G38439" s="1"/>
    </row>
    <row r="38440">
      <c r="B38440" s="36"/>
      <c r="C38440" s="36"/>
      <c r="E38440" s="1"/>
      <c r="F38440" s="1"/>
      <c r="G38440" s="1"/>
    </row>
    <row r="38441">
      <c r="B38441" s="36"/>
      <c r="C38441" s="36"/>
      <c r="E38441" s="1"/>
      <c r="F38441" s="1"/>
      <c r="G38441" s="1"/>
    </row>
    <row r="38442">
      <c r="B38442" s="36"/>
      <c r="C38442" s="36"/>
      <c r="E38442" s="1"/>
      <c r="F38442" s="1"/>
      <c r="G38442" s="1"/>
    </row>
    <row r="38443">
      <c r="B38443" s="36"/>
      <c r="C38443" s="36"/>
      <c r="E38443" s="1"/>
      <c r="F38443" s="1"/>
      <c r="G38443" s="1"/>
    </row>
    <row r="38444">
      <c r="B38444" s="36"/>
      <c r="C38444" s="36"/>
      <c r="E38444" s="1"/>
      <c r="F38444" s="1"/>
      <c r="G38444" s="1"/>
    </row>
    <row r="38445">
      <c r="B38445" s="36"/>
      <c r="C38445" s="36"/>
      <c r="E38445" s="1"/>
      <c r="F38445" s="1"/>
      <c r="G38445" s="1"/>
    </row>
    <row r="38446">
      <c r="B38446" s="36"/>
      <c r="C38446" s="36"/>
      <c r="E38446" s="1"/>
      <c r="F38446" s="1"/>
      <c r="G38446" s="1"/>
    </row>
    <row r="38447">
      <c r="B38447" s="36"/>
      <c r="C38447" s="36"/>
      <c r="E38447" s="1"/>
      <c r="F38447" s="1"/>
      <c r="G38447" s="1"/>
    </row>
    <row r="38448">
      <c r="B38448" s="36"/>
      <c r="C38448" s="36"/>
      <c r="E38448" s="1"/>
      <c r="F38448" s="1"/>
      <c r="G38448" s="1"/>
    </row>
    <row r="38449">
      <c r="B38449" s="36"/>
      <c r="C38449" s="36"/>
      <c r="E38449" s="1"/>
      <c r="F38449" s="1"/>
      <c r="G38449" s="1"/>
    </row>
    <row r="38450">
      <c r="B38450" s="36"/>
      <c r="C38450" s="36"/>
      <c r="E38450" s="1"/>
      <c r="F38450" s="1"/>
      <c r="G38450" s="1"/>
    </row>
    <row r="38451">
      <c r="B38451" s="36"/>
      <c r="C38451" s="36"/>
      <c r="E38451" s="1"/>
      <c r="F38451" s="1"/>
      <c r="G38451" s="1"/>
    </row>
    <row r="38452">
      <c r="B38452" s="36"/>
      <c r="C38452" s="36"/>
      <c r="E38452" s="1"/>
      <c r="F38452" s="1"/>
      <c r="G38452" s="1"/>
    </row>
    <row r="38453">
      <c r="B38453" s="36"/>
      <c r="C38453" s="36"/>
      <c r="E38453" s="1"/>
      <c r="F38453" s="1"/>
      <c r="G38453" s="1"/>
    </row>
    <row r="38454">
      <c r="B38454" s="36"/>
      <c r="C38454" s="36"/>
      <c r="E38454" s="1"/>
      <c r="F38454" s="1"/>
      <c r="G38454" s="1"/>
    </row>
    <row r="38455">
      <c r="B38455" s="36"/>
      <c r="C38455" s="36"/>
      <c r="E38455" s="1"/>
      <c r="F38455" s="1"/>
      <c r="G38455" s="1"/>
    </row>
    <row r="38456">
      <c r="B38456" s="36"/>
      <c r="C38456" s="36"/>
      <c r="E38456" s="1"/>
      <c r="F38456" s="1"/>
      <c r="G38456" s="1"/>
    </row>
    <row r="38457">
      <c r="B38457" s="36"/>
      <c r="C38457" s="36"/>
      <c r="E38457" s="1"/>
      <c r="F38457" s="1"/>
      <c r="G38457" s="1"/>
    </row>
    <row r="38458">
      <c r="B38458" s="36"/>
      <c r="C38458" s="36"/>
      <c r="E38458" s="1"/>
      <c r="F38458" s="1"/>
      <c r="G38458" s="1"/>
    </row>
    <row r="38459">
      <c r="B38459" s="36"/>
      <c r="C38459" s="36"/>
      <c r="E38459" s="1"/>
      <c r="F38459" s="1"/>
      <c r="G38459" s="1"/>
    </row>
    <row r="38460">
      <c r="B38460" s="36"/>
      <c r="C38460" s="36"/>
      <c r="E38460" s="1"/>
      <c r="F38460" s="1"/>
      <c r="G38460" s="1"/>
    </row>
    <row r="38461">
      <c r="B38461" s="36"/>
      <c r="C38461" s="36"/>
      <c r="E38461" s="1"/>
      <c r="F38461" s="1"/>
      <c r="G38461" s="1"/>
    </row>
    <row r="38462">
      <c r="B38462" s="36"/>
      <c r="C38462" s="36"/>
      <c r="E38462" s="1"/>
      <c r="F38462" s="1"/>
      <c r="G38462" s="1"/>
    </row>
    <row r="38463">
      <c r="B38463" s="36"/>
      <c r="C38463" s="36"/>
      <c r="E38463" s="1"/>
      <c r="F38463" s="1"/>
      <c r="G38463" s="1"/>
    </row>
    <row r="38464">
      <c r="B38464" s="36"/>
      <c r="C38464" s="36"/>
      <c r="E38464" s="1"/>
      <c r="F38464" s="1"/>
      <c r="G38464" s="1"/>
    </row>
    <row r="38465">
      <c r="B38465" s="36"/>
      <c r="C38465" s="36"/>
      <c r="E38465" s="1"/>
      <c r="F38465" s="1"/>
      <c r="G38465" s="1"/>
    </row>
    <row r="38466">
      <c r="B38466" s="36"/>
      <c r="C38466" s="36"/>
      <c r="E38466" s="1"/>
      <c r="F38466" s="1"/>
      <c r="G38466" s="1"/>
    </row>
    <row r="38467">
      <c r="B38467" s="36"/>
      <c r="C38467" s="36"/>
      <c r="E38467" s="1"/>
      <c r="F38467" s="1"/>
      <c r="G38467" s="1"/>
    </row>
    <row r="38468">
      <c r="B38468" s="36"/>
      <c r="C38468" s="36"/>
      <c r="E38468" s="1"/>
      <c r="F38468" s="1"/>
      <c r="G38468" s="1"/>
    </row>
    <row r="38469">
      <c r="B38469" s="36"/>
      <c r="C38469" s="36"/>
      <c r="E38469" s="1"/>
      <c r="F38469" s="1"/>
      <c r="G38469" s="1"/>
    </row>
    <row r="38470">
      <c r="B38470" s="36"/>
      <c r="C38470" s="36"/>
      <c r="E38470" s="1"/>
      <c r="F38470" s="1"/>
      <c r="G38470" s="1"/>
    </row>
    <row r="38471">
      <c r="B38471" s="36"/>
      <c r="C38471" s="36"/>
      <c r="E38471" s="1"/>
      <c r="F38471" s="1"/>
      <c r="G38471" s="1"/>
    </row>
    <row r="38472">
      <c r="B38472" s="36"/>
      <c r="C38472" s="36"/>
      <c r="E38472" s="1"/>
      <c r="F38472" s="1"/>
      <c r="G38472" s="1"/>
    </row>
    <row r="38473">
      <c r="B38473" s="36"/>
      <c r="C38473" s="36"/>
      <c r="E38473" s="1"/>
      <c r="F38473" s="1"/>
      <c r="G38473" s="1"/>
    </row>
    <row r="38474">
      <c r="B38474" s="36"/>
      <c r="C38474" s="36"/>
      <c r="E38474" s="1"/>
      <c r="F38474" s="1"/>
      <c r="G38474" s="1"/>
    </row>
    <row r="38475">
      <c r="B38475" s="36"/>
      <c r="C38475" s="36"/>
      <c r="E38475" s="1"/>
      <c r="F38475" s="1"/>
      <c r="G38475" s="1"/>
    </row>
    <row r="38476">
      <c r="B38476" s="36"/>
      <c r="C38476" s="36"/>
      <c r="E38476" s="1"/>
      <c r="F38476" s="1"/>
      <c r="G38476" s="1"/>
    </row>
    <row r="38477">
      <c r="B38477" s="36"/>
      <c r="C38477" s="36"/>
      <c r="E38477" s="1"/>
      <c r="F38477" s="1"/>
      <c r="G38477" s="1"/>
    </row>
    <row r="38478">
      <c r="B38478" s="36"/>
      <c r="C38478" s="36"/>
      <c r="E38478" s="1"/>
      <c r="F38478" s="1"/>
      <c r="G38478" s="1"/>
    </row>
    <row r="38479">
      <c r="B38479" s="36"/>
      <c r="C38479" s="36"/>
      <c r="E38479" s="1"/>
      <c r="F38479" s="1"/>
      <c r="G38479" s="1"/>
    </row>
    <row r="38480">
      <c r="B38480" s="36"/>
      <c r="C38480" s="36"/>
      <c r="E38480" s="1"/>
      <c r="F38480" s="1"/>
      <c r="G38480" s="1"/>
    </row>
    <row r="38481">
      <c r="B38481" s="36"/>
      <c r="C38481" s="36"/>
      <c r="E38481" s="1"/>
      <c r="F38481" s="1"/>
      <c r="G38481" s="1"/>
    </row>
    <row r="38482">
      <c r="B38482" s="36"/>
      <c r="C38482" s="36"/>
      <c r="E38482" s="1"/>
      <c r="F38482" s="1"/>
      <c r="G38482" s="1"/>
    </row>
    <row r="38483">
      <c r="B38483" s="36"/>
      <c r="C38483" s="36"/>
      <c r="E38483" s="1"/>
      <c r="F38483" s="1"/>
      <c r="G38483" s="1"/>
    </row>
    <row r="38484">
      <c r="B38484" s="36"/>
      <c r="C38484" s="36"/>
      <c r="E38484" s="1"/>
      <c r="F38484" s="1"/>
      <c r="G38484" s="1"/>
    </row>
    <row r="38485">
      <c r="B38485" s="36"/>
      <c r="C38485" s="36"/>
      <c r="E38485" s="1"/>
      <c r="F38485" s="1"/>
      <c r="G38485" s="1"/>
    </row>
    <row r="38486">
      <c r="B38486" s="36"/>
      <c r="C38486" s="36"/>
      <c r="E38486" s="1"/>
      <c r="F38486" s="1"/>
      <c r="G38486" s="1"/>
    </row>
    <row r="38487">
      <c r="B38487" s="36"/>
      <c r="C38487" s="36"/>
      <c r="E38487" s="1"/>
      <c r="F38487" s="1"/>
      <c r="G38487" s="1"/>
    </row>
    <row r="38488">
      <c r="B38488" s="36"/>
      <c r="C38488" s="36"/>
      <c r="E38488" s="1"/>
      <c r="F38488" s="1"/>
      <c r="G38488" s="1"/>
    </row>
    <row r="38489">
      <c r="B38489" s="36"/>
      <c r="C38489" s="36"/>
      <c r="E38489" s="1"/>
      <c r="F38489" s="1"/>
      <c r="G38489" s="1"/>
    </row>
    <row r="38490">
      <c r="B38490" s="36"/>
      <c r="C38490" s="36"/>
      <c r="E38490" s="1"/>
      <c r="F38490" s="1"/>
      <c r="G38490" s="1"/>
    </row>
    <row r="38491">
      <c r="B38491" s="36"/>
      <c r="C38491" s="36"/>
      <c r="E38491" s="1"/>
      <c r="F38491" s="1"/>
      <c r="G38491" s="1"/>
    </row>
    <row r="38492">
      <c r="B38492" s="36"/>
      <c r="C38492" s="36"/>
      <c r="E38492" s="1"/>
      <c r="F38492" s="1"/>
      <c r="G38492" s="1"/>
    </row>
    <row r="38493">
      <c r="B38493" s="36"/>
      <c r="C38493" s="36"/>
      <c r="E38493" s="1"/>
      <c r="F38493" s="1"/>
      <c r="G38493" s="1"/>
    </row>
    <row r="38494">
      <c r="B38494" s="36"/>
      <c r="C38494" s="36"/>
      <c r="E38494" s="1"/>
      <c r="F38494" s="1"/>
      <c r="G38494" s="1"/>
    </row>
    <row r="38495">
      <c r="B38495" s="36"/>
      <c r="C38495" s="36"/>
      <c r="E38495" s="1"/>
      <c r="F38495" s="1"/>
      <c r="G38495" s="1"/>
    </row>
    <row r="38496">
      <c r="B38496" s="36"/>
      <c r="C38496" s="36"/>
      <c r="E38496" s="1"/>
      <c r="F38496" s="1"/>
      <c r="G38496" s="1"/>
    </row>
    <row r="38497">
      <c r="B38497" s="36"/>
      <c r="C38497" s="36"/>
      <c r="E38497" s="1"/>
      <c r="F38497" s="1"/>
      <c r="G38497" s="1"/>
    </row>
    <row r="38498">
      <c r="B38498" s="36"/>
      <c r="C38498" s="36"/>
      <c r="E38498" s="1"/>
      <c r="F38498" s="1"/>
      <c r="G38498" s="1"/>
    </row>
    <row r="38499">
      <c r="B38499" s="36"/>
      <c r="C38499" s="36"/>
      <c r="E38499" s="1"/>
      <c r="F38499" s="1"/>
      <c r="G38499" s="1"/>
    </row>
    <row r="38500">
      <c r="B38500" s="36"/>
      <c r="C38500" s="36"/>
      <c r="E38500" s="1"/>
      <c r="F38500" s="1"/>
      <c r="G38500" s="1"/>
    </row>
    <row r="38501">
      <c r="B38501" s="36"/>
      <c r="C38501" s="36"/>
      <c r="E38501" s="1"/>
      <c r="F38501" s="1"/>
      <c r="G38501" s="1"/>
    </row>
    <row r="38502">
      <c r="B38502" s="36"/>
      <c r="C38502" s="36"/>
      <c r="E38502" s="1"/>
      <c r="F38502" s="1"/>
      <c r="G38502" s="1"/>
    </row>
    <row r="38503">
      <c r="B38503" s="36"/>
      <c r="C38503" s="36"/>
      <c r="E38503" s="1"/>
      <c r="F38503" s="1"/>
      <c r="G38503" s="1"/>
    </row>
    <row r="38504">
      <c r="B38504" s="36"/>
      <c r="C38504" s="36"/>
      <c r="E38504" s="1"/>
      <c r="F38504" s="1"/>
      <c r="G38504" s="1"/>
    </row>
    <row r="38505">
      <c r="B38505" s="36"/>
      <c r="C38505" s="36"/>
      <c r="E38505" s="1"/>
      <c r="F38505" s="1"/>
      <c r="G38505" s="1"/>
    </row>
    <row r="38506">
      <c r="B38506" s="36"/>
      <c r="C38506" s="36"/>
      <c r="E38506" s="1"/>
      <c r="F38506" s="1"/>
      <c r="G38506" s="1"/>
    </row>
    <row r="38507">
      <c r="B38507" s="36"/>
      <c r="C38507" s="36"/>
      <c r="E38507" s="1"/>
      <c r="F38507" s="1"/>
      <c r="G38507" s="1"/>
    </row>
    <row r="38508">
      <c r="B38508" s="36"/>
      <c r="C38508" s="36"/>
      <c r="E38508" s="1"/>
      <c r="F38508" s="1"/>
      <c r="G38508" s="1"/>
    </row>
    <row r="38509">
      <c r="B38509" s="36"/>
      <c r="C38509" s="36"/>
      <c r="E38509" s="1"/>
      <c r="F38509" s="1"/>
      <c r="G38509" s="1"/>
    </row>
    <row r="38510">
      <c r="B38510" s="36"/>
      <c r="C38510" s="36"/>
      <c r="E38510" s="1"/>
      <c r="F38510" s="1"/>
      <c r="G38510" s="1"/>
    </row>
    <row r="38511">
      <c r="B38511" s="36"/>
      <c r="C38511" s="36"/>
      <c r="E38511" s="1"/>
      <c r="F38511" s="1"/>
      <c r="G38511" s="1"/>
    </row>
    <row r="38512">
      <c r="B38512" s="36"/>
      <c r="C38512" s="36"/>
      <c r="E38512" s="1"/>
      <c r="F38512" s="1"/>
      <c r="G38512" s="1"/>
    </row>
    <row r="38513">
      <c r="B38513" s="36"/>
      <c r="C38513" s="36"/>
      <c r="E38513" s="1"/>
      <c r="F38513" s="1"/>
      <c r="G38513" s="1"/>
    </row>
    <row r="38514">
      <c r="B38514" s="36"/>
      <c r="C38514" s="36"/>
      <c r="E38514" s="1"/>
      <c r="F38514" s="1"/>
      <c r="G38514" s="1"/>
    </row>
    <row r="38515">
      <c r="B38515" s="36"/>
      <c r="C38515" s="36"/>
      <c r="E38515" s="1"/>
      <c r="F38515" s="1"/>
      <c r="G38515" s="1"/>
    </row>
    <row r="38516">
      <c r="B38516" s="36"/>
      <c r="C38516" s="36"/>
      <c r="E38516" s="1"/>
      <c r="F38516" s="1"/>
      <c r="G38516" s="1"/>
    </row>
    <row r="38517">
      <c r="B38517" s="36"/>
      <c r="C38517" s="36"/>
      <c r="E38517" s="1"/>
      <c r="F38517" s="1"/>
      <c r="G38517" s="1"/>
    </row>
    <row r="38518">
      <c r="B38518" s="36"/>
      <c r="C38518" s="36"/>
      <c r="E38518" s="1"/>
      <c r="F38518" s="1"/>
      <c r="G38518" s="1"/>
    </row>
    <row r="38519">
      <c r="B38519" s="36"/>
      <c r="C38519" s="36"/>
      <c r="E38519" s="1"/>
      <c r="F38519" s="1"/>
      <c r="G38519" s="1"/>
    </row>
    <row r="38520">
      <c r="B38520" s="36"/>
      <c r="C38520" s="36"/>
      <c r="E38520" s="1"/>
      <c r="F38520" s="1"/>
      <c r="G38520" s="1"/>
    </row>
    <row r="38521">
      <c r="B38521" s="36"/>
      <c r="C38521" s="36"/>
      <c r="E38521" s="1"/>
      <c r="F38521" s="1"/>
      <c r="G38521" s="1"/>
    </row>
    <row r="38522">
      <c r="B38522" s="36"/>
      <c r="C38522" s="36"/>
      <c r="E38522" s="1"/>
      <c r="F38522" s="1"/>
      <c r="G38522" s="1"/>
    </row>
    <row r="38523">
      <c r="B38523" s="36"/>
      <c r="C38523" s="36"/>
      <c r="E38523" s="1"/>
      <c r="F38523" s="1"/>
      <c r="G38523" s="1"/>
    </row>
    <row r="38524">
      <c r="B38524" s="36"/>
      <c r="C38524" s="36"/>
      <c r="E38524" s="1"/>
      <c r="F38524" s="1"/>
      <c r="G38524" s="1"/>
    </row>
    <row r="38525">
      <c r="B38525" s="36"/>
      <c r="C38525" s="36"/>
      <c r="E38525" s="1"/>
      <c r="F38525" s="1"/>
      <c r="G38525" s="1"/>
    </row>
    <row r="38526">
      <c r="B38526" s="36"/>
      <c r="C38526" s="36"/>
      <c r="E38526" s="1"/>
      <c r="F38526" s="1"/>
      <c r="G38526" s="1"/>
    </row>
    <row r="38527">
      <c r="B38527" s="36"/>
      <c r="C38527" s="36"/>
      <c r="E38527" s="1"/>
      <c r="F38527" s="1"/>
      <c r="G38527" s="1"/>
    </row>
    <row r="38528">
      <c r="B38528" s="36"/>
      <c r="C38528" s="36"/>
      <c r="E38528" s="1"/>
      <c r="F38528" s="1"/>
      <c r="G38528" s="1"/>
    </row>
    <row r="38529">
      <c r="B38529" s="36"/>
      <c r="C38529" s="36"/>
      <c r="E38529" s="1"/>
      <c r="F38529" s="1"/>
      <c r="G38529" s="1"/>
    </row>
    <row r="38530">
      <c r="B38530" s="36"/>
      <c r="C38530" s="36"/>
      <c r="E38530" s="1"/>
      <c r="F38530" s="1"/>
      <c r="G38530" s="1"/>
    </row>
    <row r="38531">
      <c r="B38531" s="36"/>
      <c r="C38531" s="36"/>
      <c r="E38531" s="1"/>
      <c r="F38531" s="1"/>
      <c r="G38531" s="1"/>
    </row>
    <row r="38532">
      <c r="B38532" s="36"/>
      <c r="C38532" s="36"/>
      <c r="E38532" s="1"/>
      <c r="F38532" s="1"/>
      <c r="G38532" s="1"/>
    </row>
    <row r="38533">
      <c r="B38533" s="36"/>
      <c r="C38533" s="36"/>
      <c r="E38533" s="1"/>
      <c r="F38533" s="1"/>
      <c r="G38533" s="1"/>
    </row>
    <row r="38534">
      <c r="B38534" s="36"/>
      <c r="C38534" s="36"/>
      <c r="E38534" s="1"/>
      <c r="F38534" s="1"/>
      <c r="G38534" s="1"/>
    </row>
    <row r="38535">
      <c r="B38535" s="36"/>
      <c r="C38535" s="36"/>
      <c r="E38535" s="1"/>
      <c r="F38535" s="1"/>
      <c r="G38535" s="1"/>
    </row>
    <row r="38536">
      <c r="B38536" s="36"/>
      <c r="C38536" s="36"/>
      <c r="E38536" s="1"/>
      <c r="F38536" s="1"/>
      <c r="G38536" s="1"/>
    </row>
    <row r="38537">
      <c r="B38537" s="36"/>
      <c r="C38537" s="36"/>
      <c r="E38537" s="1"/>
      <c r="F38537" s="1"/>
      <c r="G38537" s="1"/>
    </row>
    <row r="38538">
      <c r="B38538" s="36"/>
      <c r="C38538" s="36"/>
      <c r="E38538" s="1"/>
      <c r="F38538" s="1"/>
      <c r="G38538" s="1"/>
    </row>
    <row r="38539">
      <c r="B38539" s="36"/>
      <c r="C38539" s="36"/>
      <c r="E38539" s="1"/>
      <c r="F38539" s="1"/>
      <c r="G38539" s="1"/>
    </row>
    <row r="38540">
      <c r="B38540" s="36"/>
      <c r="C38540" s="36"/>
      <c r="E38540" s="1"/>
      <c r="F38540" s="1"/>
      <c r="G38540" s="1"/>
    </row>
    <row r="38541">
      <c r="B38541" s="36"/>
      <c r="C38541" s="36"/>
      <c r="E38541" s="1"/>
      <c r="F38541" s="1"/>
      <c r="G38541" s="1"/>
    </row>
    <row r="38542">
      <c r="B38542" s="36"/>
      <c r="C38542" s="36"/>
      <c r="E38542" s="1"/>
      <c r="F38542" s="1"/>
      <c r="G38542" s="1"/>
    </row>
    <row r="38543">
      <c r="B38543" s="36"/>
      <c r="C38543" s="36"/>
      <c r="E38543" s="1"/>
      <c r="F38543" s="1"/>
      <c r="G38543" s="1"/>
    </row>
    <row r="38544">
      <c r="B38544" s="36"/>
      <c r="C38544" s="36"/>
      <c r="E38544" s="1"/>
      <c r="F38544" s="1"/>
      <c r="G38544" s="1"/>
    </row>
    <row r="38545">
      <c r="B38545" s="36"/>
      <c r="C38545" s="36"/>
      <c r="E38545" s="1"/>
      <c r="F38545" s="1"/>
      <c r="G38545" s="1"/>
    </row>
    <row r="38546">
      <c r="B38546" s="36"/>
      <c r="C38546" s="36"/>
      <c r="E38546" s="1"/>
      <c r="F38546" s="1"/>
      <c r="G38546" s="1"/>
    </row>
    <row r="38547">
      <c r="B38547" s="36"/>
      <c r="C38547" s="36"/>
      <c r="E38547" s="1"/>
      <c r="F38547" s="1"/>
      <c r="G38547" s="1"/>
    </row>
    <row r="38548">
      <c r="B38548" s="36"/>
      <c r="C38548" s="36"/>
      <c r="E38548" s="1"/>
      <c r="F38548" s="1"/>
      <c r="G38548" s="1"/>
    </row>
    <row r="38549">
      <c r="B38549" s="36"/>
      <c r="C38549" s="36"/>
      <c r="E38549" s="1"/>
      <c r="F38549" s="1"/>
      <c r="G38549" s="1"/>
    </row>
    <row r="38550">
      <c r="B38550" s="36"/>
      <c r="C38550" s="36"/>
      <c r="E38550" s="1"/>
      <c r="F38550" s="1"/>
      <c r="G38550" s="1"/>
    </row>
    <row r="38551">
      <c r="B38551" s="36"/>
      <c r="C38551" s="36"/>
      <c r="E38551" s="1"/>
      <c r="F38551" s="1"/>
      <c r="G38551" s="1"/>
    </row>
    <row r="38552">
      <c r="B38552" s="36"/>
      <c r="C38552" s="36"/>
      <c r="E38552" s="1"/>
      <c r="F38552" s="1"/>
      <c r="G38552" s="1"/>
    </row>
    <row r="38553">
      <c r="B38553" s="36"/>
      <c r="C38553" s="36"/>
      <c r="E38553" s="1"/>
      <c r="F38553" s="1"/>
      <c r="G38553" s="1"/>
    </row>
    <row r="38554">
      <c r="B38554" s="36"/>
      <c r="C38554" s="36"/>
      <c r="E38554" s="1"/>
      <c r="F38554" s="1"/>
      <c r="G38554" s="1"/>
    </row>
    <row r="38555">
      <c r="B38555" s="36"/>
      <c r="C38555" s="36"/>
      <c r="E38555" s="1"/>
      <c r="F38555" s="1"/>
      <c r="G38555" s="1"/>
    </row>
    <row r="38556">
      <c r="B38556" s="36"/>
      <c r="C38556" s="36"/>
      <c r="E38556" s="1"/>
      <c r="F38556" s="1"/>
      <c r="G38556" s="1"/>
    </row>
    <row r="38557">
      <c r="B38557" s="36"/>
      <c r="C38557" s="36"/>
      <c r="E38557" s="1"/>
      <c r="F38557" s="1"/>
      <c r="G38557" s="1"/>
    </row>
    <row r="38558">
      <c r="B38558" s="36"/>
      <c r="C38558" s="36"/>
      <c r="E38558" s="1"/>
      <c r="F38558" s="1"/>
      <c r="G38558" s="1"/>
    </row>
    <row r="38559">
      <c r="B38559" s="36"/>
      <c r="C38559" s="36"/>
      <c r="E38559" s="1"/>
      <c r="F38559" s="1"/>
      <c r="G38559" s="1"/>
    </row>
    <row r="38560">
      <c r="B38560" s="36"/>
      <c r="C38560" s="36"/>
      <c r="E38560" s="1"/>
      <c r="F38560" s="1"/>
      <c r="G38560" s="1"/>
    </row>
    <row r="38561">
      <c r="B38561" s="36"/>
      <c r="C38561" s="36"/>
      <c r="E38561" s="1"/>
      <c r="F38561" s="1"/>
      <c r="G38561" s="1"/>
    </row>
    <row r="38562">
      <c r="B38562" s="36"/>
      <c r="C38562" s="36"/>
      <c r="E38562" s="1"/>
      <c r="F38562" s="1"/>
      <c r="G38562" s="1"/>
    </row>
    <row r="38563">
      <c r="B38563" s="36"/>
      <c r="C38563" s="36"/>
      <c r="E38563" s="1"/>
      <c r="F38563" s="1"/>
      <c r="G38563" s="1"/>
    </row>
    <row r="38564">
      <c r="B38564" s="36"/>
      <c r="C38564" s="36"/>
      <c r="E38564" s="1"/>
      <c r="F38564" s="1"/>
      <c r="G38564" s="1"/>
    </row>
    <row r="38565">
      <c r="B38565" s="36"/>
      <c r="C38565" s="36"/>
      <c r="E38565" s="1"/>
      <c r="F38565" s="1"/>
      <c r="G38565" s="1"/>
    </row>
    <row r="38566">
      <c r="B38566" s="36"/>
      <c r="C38566" s="36"/>
      <c r="E38566" s="1"/>
      <c r="F38566" s="1"/>
      <c r="G38566" s="1"/>
    </row>
    <row r="38567">
      <c r="B38567" s="36"/>
      <c r="C38567" s="36"/>
      <c r="E38567" s="1"/>
      <c r="F38567" s="1"/>
      <c r="G38567" s="1"/>
    </row>
    <row r="38568">
      <c r="B38568" s="36"/>
      <c r="C38568" s="36"/>
      <c r="E38568" s="1"/>
      <c r="F38568" s="1"/>
      <c r="G38568" s="1"/>
    </row>
    <row r="38569">
      <c r="B38569" s="36"/>
      <c r="C38569" s="36"/>
      <c r="E38569" s="1"/>
      <c r="F38569" s="1"/>
      <c r="G38569" s="1"/>
    </row>
    <row r="38570">
      <c r="B38570" s="36"/>
      <c r="C38570" s="36"/>
      <c r="E38570" s="1"/>
      <c r="F38570" s="1"/>
      <c r="G38570" s="1"/>
    </row>
    <row r="38571">
      <c r="B38571" s="36"/>
      <c r="C38571" s="36"/>
      <c r="E38571" s="1"/>
      <c r="F38571" s="1"/>
      <c r="G38571" s="1"/>
    </row>
    <row r="38572">
      <c r="B38572" s="36"/>
      <c r="C38572" s="36"/>
      <c r="E38572" s="1"/>
      <c r="F38572" s="1"/>
      <c r="G38572" s="1"/>
    </row>
    <row r="38573">
      <c r="B38573" s="36"/>
      <c r="C38573" s="36"/>
      <c r="E38573" s="1"/>
      <c r="F38573" s="1"/>
      <c r="G38573" s="1"/>
    </row>
    <row r="38574">
      <c r="B38574" s="36"/>
      <c r="C38574" s="36"/>
      <c r="E38574" s="1"/>
      <c r="F38574" s="1"/>
      <c r="G38574" s="1"/>
    </row>
    <row r="38575">
      <c r="B38575" s="36"/>
      <c r="C38575" s="36"/>
      <c r="E38575" s="1"/>
      <c r="F38575" s="1"/>
      <c r="G38575" s="1"/>
    </row>
    <row r="38576">
      <c r="B38576" s="36"/>
      <c r="C38576" s="36"/>
      <c r="E38576" s="1"/>
      <c r="F38576" s="1"/>
      <c r="G38576" s="1"/>
    </row>
    <row r="38577">
      <c r="B38577" s="36"/>
      <c r="C38577" s="36"/>
      <c r="E38577" s="1"/>
      <c r="F38577" s="1"/>
      <c r="G38577" s="1"/>
    </row>
    <row r="38578">
      <c r="B38578" s="36"/>
      <c r="C38578" s="36"/>
      <c r="E38578" s="1"/>
      <c r="F38578" s="1"/>
      <c r="G38578" s="1"/>
    </row>
    <row r="38579">
      <c r="B38579" s="36"/>
      <c r="C38579" s="36"/>
      <c r="E38579" s="1"/>
      <c r="F38579" s="1"/>
      <c r="G38579" s="1"/>
    </row>
    <row r="38580">
      <c r="B38580" s="36"/>
      <c r="C38580" s="36"/>
      <c r="E38580" s="1"/>
      <c r="F38580" s="1"/>
      <c r="G38580" s="1"/>
    </row>
    <row r="38581">
      <c r="B38581" s="36"/>
      <c r="C38581" s="36"/>
      <c r="E38581" s="1"/>
      <c r="F38581" s="1"/>
      <c r="G38581" s="1"/>
    </row>
    <row r="38582">
      <c r="B38582" s="36"/>
      <c r="C38582" s="36"/>
      <c r="E38582" s="1"/>
      <c r="F38582" s="1"/>
      <c r="G38582" s="1"/>
    </row>
    <row r="38583">
      <c r="B38583" s="36"/>
      <c r="C38583" s="36"/>
      <c r="E38583" s="1"/>
      <c r="F38583" s="1"/>
      <c r="G38583" s="1"/>
    </row>
    <row r="38584">
      <c r="B38584" s="36"/>
      <c r="C38584" s="36"/>
      <c r="E38584" s="1"/>
      <c r="F38584" s="1"/>
      <c r="G38584" s="1"/>
    </row>
    <row r="38585">
      <c r="B38585" s="36"/>
      <c r="C38585" s="36"/>
      <c r="E38585" s="1"/>
      <c r="F38585" s="1"/>
      <c r="G38585" s="1"/>
    </row>
    <row r="38586">
      <c r="B38586" s="36"/>
      <c r="C38586" s="36"/>
      <c r="E38586" s="1"/>
      <c r="F38586" s="1"/>
      <c r="G38586" s="1"/>
    </row>
    <row r="38587">
      <c r="B38587" s="36"/>
      <c r="C38587" s="36"/>
      <c r="E38587" s="1"/>
      <c r="F38587" s="1"/>
      <c r="G38587" s="1"/>
    </row>
    <row r="38588">
      <c r="B38588" s="36"/>
      <c r="C38588" s="36"/>
      <c r="E38588" s="1"/>
      <c r="F38588" s="1"/>
      <c r="G38588" s="1"/>
    </row>
    <row r="38589">
      <c r="B38589" s="36"/>
      <c r="C38589" s="36"/>
      <c r="E38589" s="1"/>
      <c r="F38589" s="1"/>
      <c r="G38589" s="1"/>
    </row>
    <row r="38590">
      <c r="B38590" s="36"/>
      <c r="C38590" s="36"/>
      <c r="E38590" s="1"/>
      <c r="F38590" s="1"/>
      <c r="G38590" s="1"/>
    </row>
    <row r="38591">
      <c r="B38591" s="36"/>
      <c r="C38591" s="36"/>
      <c r="E38591" s="1"/>
      <c r="F38591" s="1"/>
      <c r="G38591" s="1"/>
    </row>
    <row r="38592">
      <c r="B38592" s="36"/>
      <c r="C38592" s="36"/>
      <c r="E38592" s="1"/>
      <c r="F38592" s="1"/>
      <c r="G38592" s="1"/>
    </row>
    <row r="38593">
      <c r="B38593" s="36"/>
      <c r="C38593" s="36"/>
      <c r="E38593" s="1"/>
      <c r="F38593" s="1"/>
      <c r="G38593" s="1"/>
    </row>
    <row r="38594">
      <c r="B38594" s="36"/>
      <c r="C38594" s="36"/>
      <c r="E38594" s="1"/>
      <c r="F38594" s="1"/>
      <c r="G38594" s="1"/>
    </row>
    <row r="38595">
      <c r="B38595" s="36"/>
      <c r="C38595" s="36"/>
      <c r="E38595" s="1"/>
      <c r="F38595" s="1"/>
      <c r="G38595" s="1"/>
    </row>
    <row r="38596">
      <c r="B38596" s="36"/>
      <c r="C38596" s="36"/>
      <c r="E38596" s="1"/>
      <c r="F38596" s="1"/>
      <c r="G38596" s="1"/>
    </row>
    <row r="38597">
      <c r="B38597" s="36"/>
      <c r="C38597" s="36"/>
      <c r="E38597" s="1"/>
      <c r="F38597" s="1"/>
      <c r="G38597" s="1"/>
    </row>
    <row r="38598">
      <c r="B38598" s="36"/>
      <c r="C38598" s="36"/>
      <c r="E38598" s="1"/>
      <c r="F38598" s="1"/>
      <c r="G38598" s="1"/>
    </row>
    <row r="38599">
      <c r="B38599" s="36"/>
      <c r="C38599" s="36"/>
      <c r="E38599" s="1"/>
      <c r="F38599" s="1"/>
      <c r="G38599" s="1"/>
    </row>
    <row r="38600">
      <c r="B38600" s="36"/>
      <c r="C38600" s="36"/>
      <c r="E38600" s="1"/>
      <c r="F38600" s="1"/>
      <c r="G38600" s="1"/>
    </row>
    <row r="38601">
      <c r="B38601" s="36"/>
      <c r="C38601" s="36"/>
      <c r="E38601" s="1"/>
      <c r="F38601" s="1"/>
      <c r="G38601" s="1"/>
    </row>
    <row r="38602">
      <c r="B38602" s="36"/>
      <c r="C38602" s="36"/>
      <c r="E38602" s="1"/>
      <c r="F38602" s="1"/>
      <c r="G38602" s="1"/>
    </row>
    <row r="38603">
      <c r="B38603" s="36"/>
      <c r="C38603" s="36"/>
      <c r="E38603" s="1"/>
      <c r="F38603" s="1"/>
      <c r="G38603" s="1"/>
    </row>
    <row r="38604">
      <c r="B38604" s="36"/>
      <c r="C38604" s="36"/>
      <c r="E38604" s="1"/>
      <c r="F38604" s="1"/>
      <c r="G38604" s="1"/>
    </row>
    <row r="38605">
      <c r="B38605" s="36"/>
      <c r="C38605" s="36"/>
      <c r="E38605" s="1"/>
      <c r="F38605" s="1"/>
      <c r="G38605" s="1"/>
    </row>
    <row r="38606">
      <c r="B38606" s="36"/>
      <c r="C38606" s="36"/>
      <c r="E38606" s="1"/>
      <c r="F38606" s="1"/>
      <c r="G38606" s="1"/>
    </row>
    <row r="38607">
      <c r="B38607" s="36"/>
      <c r="C38607" s="36"/>
      <c r="E38607" s="1"/>
      <c r="F38607" s="1"/>
      <c r="G38607" s="1"/>
    </row>
    <row r="38608">
      <c r="B38608" s="36"/>
      <c r="C38608" s="36"/>
      <c r="E38608" s="1"/>
      <c r="F38608" s="1"/>
      <c r="G38608" s="1"/>
    </row>
    <row r="38609">
      <c r="B38609" s="36"/>
      <c r="C38609" s="36"/>
      <c r="E38609" s="1"/>
      <c r="F38609" s="1"/>
      <c r="G38609" s="1"/>
    </row>
    <row r="38610">
      <c r="B38610" s="36"/>
      <c r="C38610" s="36"/>
      <c r="E38610" s="1"/>
      <c r="F38610" s="1"/>
      <c r="G38610" s="1"/>
    </row>
    <row r="38611">
      <c r="B38611" s="36"/>
      <c r="C38611" s="36"/>
      <c r="E38611" s="1"/>
      <c r="F38611" s="1"/>
      <c r="G38611" s="1"/>
    </row>
    <row r="38612">
      <c r="B38612" s="36"/>
      <c r="C38612" s="36"/>
      <c r="E38612" s="1"/>
      <c r="F38612" s="1"/>
      <c r="G38612" s="1"/>
    </row>
    <row r="38613">
      <c r="B38613" s="36"/>
      <c r="C38613" s="36"/>
      <c r="E38613" s="1"/>
      <c r="F38613" s="1"/>
      <c r="G38613" s="1"/>
    </row>
    <row r="38614">
      <c r="B38614" s="36"/>
      <c r="C38614" s="36"/>
      <c r="E38614" s="1"/>
      <c r="F38614" s="1"/>
      <c r="G38614" s="1"/>
    </row>
    <row r="38615">
      <c r="B38615" s="36"/>
      <c r="C38615" s="36"/>
      <c r="E38615" s="1"/>
      <c r="F38615" s="1"/>
      <c r="G38615" s="1"/>
    </row>
    <row r="38616">
      <c r="B38616" s="36"/>
      <c r="C38616" s="36"/>
      <c r="E38616" s="1"/>
      <c r="F38616" s="1"/>
      <c r="G38616" s="1"/>
    </row>
    <row r="38617">
      <c r="B38617" s="36"/>
      <c r="C38617" s="36"/>
      <c r="E38617" s="1"/>
      <c r="F38617" s="1"/>
      <c r="G38617" s="1"/>
    </row>
    <row r="38618">
      <c r="B38618" s="36"/>
      <c r="C38618" s="36"/>
      <c r="E38618" s="1"/>
      <c r="F38618" s="1"/>
      <c r="G38618" s="1"/>
    </row>
    <row r="38619">
      <c r="B38619" s="36"/>
      <c r="C38619" s="36"/>
      <c r="E38619" s="1"/>
      <c r="F38619" s="1"/>
      <c r="G38619" s="1"/>
    </row>
    <row r="38620">
      <c r="B38620" s="36"/>
      <c r="C38620" s="36"/>
      <c r="E38620" s="1"/>
      <c r="F38620" s="1"/>
      <c r="G38620" s="1"/>
    </row>
    <row r="38621">
      <c r="B38621" s="36"/>
      <c r="C38621" s="36"/>
      <c r="E38621" s="1"/>
      <c r="F38621" s="1"/>
      <c r="G38621" s="1"/>
    </row>
    <row r="38622">
      <c r="B38622" s="36"/>
      <c r="C38622" s="36"/>
      <c r="E38622" s="1"/>
      <c r="F38622" s="1"/>
      <c r="G38622" s="1"/>
    </row>
    <row r="38623">
      <c r="B38623" s="36"/>
      <c r="C38623" s="36"/>
      <c r="E38623" s="1"/>
      <c r="F38623" s="1"/>
      <c r="G38623" s="1"/>
    </row>
    <row r="38624">
      <c r="B38624" s="36"/>
      <c r="C38624" s="36"/>
      <c r="E38624" s="1"/>
      <c r="F38624" s="1"/>
      <c r="G38624" s="1"/>
    </row>
    <row r="38625">
      <c r="B38625" s="36"/>
      <c r="C38625" s="36"/>
      <c r="E38625" s="1"/>
      <c r="F38625" s="1"/>
      <c r="G38625" s="1"/>
    </row>
    <row r="38626">
      <c r="B38626" s="36"/>
      <c r="C38626" s="36"/>
      <c r="E38626" s="1"/>
      <c r="F38626" s="1"/>
      <c r="G38626" s="1"/>
    </row>
    <row r="38627">
      <c r="B38627" s="36"/>
      <c r="C38627" s="36"/>
      <c r="E38627" s="1"/>
      <c r="F38627" s="1"/>
      <c r="G38627" s="1"/>
    </row>
    <row r="38628">
      <c r="B38628" s="36"/>
      <c r="C38628" s="36"/>
      <c r="E38628" s="1"/>
      <c r="F38628" s="1"/>
      <c r="G38628" s="1"/>
    </row>
    <row r="38629">
      <c r="B38629" s="36"/>
      <c r="C38629" s="36"/>
      <c r="E38629" s="1"/>
      <c r="F38629" s="1"/>
      <c r="G38629" s="1"/>
    </row>
    <row r="38630">
      <c r="B38630" s="36"/>
      <c r="C38630" s="36"/>
      <c r="E38630" s="1"/>
      <c r="F38630" s="1"/>
      <c r="G38630" s="1"/>
    </row>
    <row r="38631">
      <c r="B38631" s="36"/>
      <c r="C38631" s="36"/>
      <c r="E38631" s="1"/>
      <c r="F38631" s="1"/>
      <c r="G38631" s="1"/>
    </row>
    <row r="38632">
      <c r="B38632" s="36"/>
      <c r="C38632" s="36"/>
      <c r="E38632" s="1"/>
      <c r="F38632" s="1"/>
      <c r="G38632" s="1"/>
    </row>
    <row r="38633">
      <c r="B38633" s="36"/>
      <c r="C38633" s="36"/>
      <c r="E38633" s="1"/>
      <c r="F38633" s="1"/>
      <c r="G38633" s="1"/>
    </row>
    <row r="38634">
      <c r="B38634" s="36"/>
      <c r="C38634" s="36"/>
      <c r="E38634" s="1"/>
      <c r="F38634" s="1"/>
      <c r="G38634" s="1"/>
    </row>
    <row r="38635">
      <c r="B38635" s="36"/>
      <c r="C38635" s="36"/>
      <c r="E38635" s="1"/>
      <c r="F38635" s="1"/>
      <c r="G38635" s="1"/>
    </row>
    <row r="38636">
      <c r="B38636" s="36"/>
      <c r="C38636" s="36"/>
      <c r="E38636" s="1"/>
      <c r="F38636" s="1"/>
      <c r="G38636" s="1"/>
    </row>
    <row r="38637">
      <c r="B38637" s="36"/>
      <c r="C38637" s="36"/>
      <c r="E38637" s="1"/>
      <c r="F38637" s="1"/>
      <c r="G38637" s="1"/>
    </row>
    <row r="38638">
      <c r="B38638" s="36"/>
      <c r="C38638" s="36"/>
      <c r="E38638" s="1"/>
      <c r="F38638" s="1"/>
      <c r="G38638" s="1"/>
    </row>
    <row r="38639">
      <c r="B38639" s="36"/>
      <c r="C38639" s="36"/>
      <c r="E38639" s="1"/>
      <c r="F38639" s="1"/>
      <c r="G38639" s="1"/>
    </row>
    <row r="38640">
      <c r="B38640" s="36"/>
      <c r="C38640" s="36"/>
      <c r="E38640" s="1"/>
      <c r="F38640" s="1"/>
      <c r="G38640" s="1"/>
    </row>
    <row r="38641">
      <c r="B38641" s="36"/>
      <c r="C38641" s="36"/>
      <c r="E38641" s="1"/>
      <c r="F38641" s="1"/>
      <c r="G38641" s="1"/>
    </row>
    <row r="38642">
      <c r="B38642" s="36"/>
      <c r="C38642" s="36"/>
      <c r="E38642" s="1"/>
      <c r="F38642" s="1"/>
      <c r="G38642" s="1"/>
    </row>
    <row r="38643">
      <c r="B38643" s="36"/>
      <c r="C38643" s="36"/>
      <c r="E38643" s="1"/>
      <c r="F38643" s="1"/>
      <c r="G38643" s="1"/>
    </row>
    <row r="38644">
      <c r="B38644" s="36"/>
      <c r="C38644" s="36"/>
      <c r="E38644" s="1"/>
      <c r="F38644" s="1"/>
      <c r="G38644" s="1"/>
    </row>
    <row r="38645">
      <c r="B38645" s="36"/>
      <c r="C38645" s="36"/>
      <c r="E38645" s="1"/>
      <c r="F38645" s="1"/>
      <c r="G38645" s="1"/>
    </row>
    <row r="38646">
      <c r="B38646" s="36"/>
      <c r="C38646" s="36"/>
      <c r="E38646" s="1"/>
      <c r="F38646" s="1"/>
      <c r="G38646" s="1"/>
    </row>
    <row r="38647">
      <c r="B38647" s="36"/>
      <c r="C38647" s="36"/>
      <c r="E38647" s="1"/>
      <c r="F38647" s="1"/>
      <c r="G38647" s="1"/>
    </row>
    <row r="38648">
      <c r="B38648" s="36"/>
      <c r="C38648" s="36"/>
      <c r="E38648" s="1"/>
      <c r="F38648" s="1"/>
      <c r="G38648" s="1"/>
    </row>
    <row r="38649">
      <c r="B38649" s="36"/>
      <c r="C38649" s="36"/>
      <c r="E38649" s="1"/>
      <c r="F38649" s="1"/>
      <c r="G38649" s="1"/>
    </row>
    <row r="38650">
      <c r="B38650" s="36"/>
      <c r="C38650" s="36"/>
      <c r="E38650" s="1"/>
      <c r="F38650" s="1"/>
      <c r="G38650" s="1"/>
    </row>
    <row r="38651">
      <c r="B38651" s="36"/>
      <c r="C38651" s="36"/>
      <c r="E38651" s="1"/>
      <c r="F38651" s="1"/>
      <c r="G38651" s="1"/>
    </row>
    <row r="38652">
      <c r="B38652" s="36"/>
      <c r="C38652" s="36"/>
      <c r="E38652" s="1"/>
      <c r="F38652" s="1"/>
      <c r="G38652" s="1"/>
    </row>
    <row r="38653">
      <c r="B38653" s="36"/>
      <c r="C38653" s="36"/>
      <c r="E38653" s="1"/>
      <c r="F38653" s="1"/>
      <c r="G38653" s="1"/>
    </row>
    <row r="38654">
      <c r="B38654" s="36"/>
      <c r="C38654" s="36"/>
      <c r="E38654" s="1"/>
      <c r="F38654" s="1"/>
      <c r="G38654" s="1"/>
    </row>
    <row r="38655">
      <c r="B38655" s="36"/>
      <c r="C38655" s="36"/>
      <c r="E38655" s="1"/>
      <c r="F38655" s="1"/>
      <c r="G38655" s="1"/>
    </row>
    <row r="38656">
      <c r="B38656" s="36"/>
      <c r="C38656" s="36"/>
      <c r="E38656" s="1"/>
      <c r="F38656" s="1"/>
      <c r="G38656" s="1"/>
    </row>
    <row r="38657">
      <c r="B38657" s="36"/>
      <c r="C38657" s="36"/>
      <c r="E38657" s="1"/>
      <c r="F38657" s="1"/>
      <c r="G38657" s="1"/>
    </row>
    <row r="38658">
      <c r="B38658" s="36"/>
      <c r="C38658" s="36"/>
      <c r="E38658" s="1"/>
      <c r="F38658" s="1"/>
      <c r="G38658" s="1"/>
    </row>
    <row r="38659">
      <c r="B38659" s="36"/>
      <c r="C38659" s="36"/>
      <c r="E38659" s="1"/>
      <c r="F38659" s="1"/>
      <c r="G38659" s="1"/>
    </row>
    <row r="38660">
      <c r="B38660" s="36"/>
      <c r="C38660" s="36"/>
      <c r="E38660" s="1"/>
      <c r="F38660" s="1"/>
      <c r="G38660" s="1"/>
    </row>
    <row r="38661">
      <c r="B38661" s="36"/>
      <c r="C38661" s="36"/>
      <c r="E38661" s="1"/>
      <c r="F38661" s="1"/>
      <c r="G38661" s="1"/>
    </row>
    <row r="38662">
      <c r="B38662" s="36"/>
      <c r="C38662" s="36"/>
      <c r="E38662" s="1"/>
      <c r="F38662" s="1"/>
      <c r="G38662" s="1"/>
    </row>
    <row r="38663">
      <c r="B38663" s="36"/>
      <c r="C38663" s="36"/>
      <c r="E38663" s="1"/>
      <c r="F38663" s="1"/>
      <c r="G38663" s="1"/>
    </row>
    <row r="38664">
      <c r="B38664" s="36"/>
      <c r="C38664" s="36"/>
      <c r="E38664" s="1"/>
      <c r="F38664" s="1"/>
      <c r="G38664" s="1"/>
    </row>
    <row r="38665">
      <c r="B38665" s="36"/>
      <c r="C38665" s="36"/>
      <c r="E38665" s="1"/>
      <c r="F38665" s="1"/>
      <c r="G38665" s="1"/>
    </row>
    <row r="38666">
      <c r="B38666" s="36"/>
      <c r="C38666" s="36"/>
      <c r="E38666" s="1"/>
      <c r="F38666" s="1"/>
      <c r="G38666" s="1"/>
    </row>
    <row r="38667">
      <c r="B38667" s="36"/>
      <c r="C38667" s="36"/>
      <c r="E38667" s="1"/>
      <c r="F38667" s="1"/>
      <c r="G38667" s="1"/>
    </row>
    <row r="38668">
      <c r="B38668" s="36"/>
      <c r="C38668" s="36"/>
      <c r="E38668" s="1"/>
      <c r="F38668" s="1"/>
      <c r="G38668" s="1"/>
    </row>
    <row r="38669">
      <c r="B38669" s="36"/>
      <c r="C38669" s="36"/>
      <c r="E38669" s="1"/>
      <c r="F38669" s="1"/>
      <c r="G38669" s="1"/>
    </row>
    <row r="38670">
      <c r="B38670" s="36"/>
      <c r="C38670" s="36"/>
      <c r="E38670" s="1"/>
      <c r="F38670" s="1"/>
      <c r="G38670" s="1"/>
    </row>
    <row r="38671">
      <c r="B38671" s="36"/>
      <c r="C38671" s="36"/>
      <c r="E38671" s="1"/>
      <c r="F38671" s="1"/>
      <c r="G38671" s="1"/>
    </row>
    <row r="38672">
      <c r="B38672" s="36"/>
      <c r="C38672" s="36"/>
      <c r="E38672" s="1"/>
      <c r="F38672" s="1"/>
      <c r="G38672" s="1"/>
    </row>
    <row r="38673">
      <c r="B38673" s="36"/>
      <c r="C38673" s="36"/>
      <c r="E38673" s="1"/>
      <c r="F38673" s="1"/>
      <c r="G38673" s="1"/>
    </row>
    <row r="38674">
      <c r="B38674" s="36"/>
      <c r="C38674" s="36"/>
      <c r="E38674" s="1"/>
      <c r="F38674" s="1"/>
      <c r="G38674" s="1"/>
    </row>
    <row r="38675">
      <c r="B38675" s="36"/>
      <c r="C38675" s="36"/>
      <c r="E38675" s="1"/>
      <c r="F38675" s="1"/>
      <c r="G38675" s="1"/>
    </row>
    <row r="38676">
      <c r="B38676" s="36"/>
      <c r="C38676" s="36"/>
      <c r="E38676" s="1"/>
      <c r="F38676" s="1"/>
      <c r="G38676" s="1"/>
    </row>
    <row r="38677">
      <c r="B38677" s="36"/>
      <c r="C38677" s="36"/>
      <c r="E38677" s="1"/>
      <c r="F38677" s="1"/>
      <c r="G38677" s="1"/>
    </row>
    <row r="38678">
      <c r="B38678" s="36"/>
      <c r="C38678" s="36"/>
      <c r="E38678" s="1"/>
      <c r="F38678" s="1"/>
      <c r="G38678" s="1"/>
    </row>
    <row r="38679">
      <c r="B38679" s="36"/>
      <c r="C38679" s="36"/>
      <c r="E38679" s="1"/>
      <c r="F38679" s="1"/>
      <c r="G38679" s="1"/>
    </row>
    <row r="38680">
      <c r="B38680" s="36"/>
      <c r="C38680" s="36"/>
      <c r="E38680" s="1"/>
      <c r="F38680" s="1"/>
      <c r="G38680" s="1"/>
    </row>
    <row r="38681">
      <c r="B38681" s="36"/>
      <c r="C38681" s="36"/>
      <c r="E38681" s="1"/>
      <c r="F38681" s="1"/>
      <c r="G38681" s="1"/>
    </row>
    <row r="38682">
      <c r="B38682" s="36"/>
      <c r="C38682" s="36"/>
      <c r="E38682" s="1"/>
      <c r="F38682" s="1"/>
      <c r="G38682" s="1"/>
    </row>
    <row r="38683">
      <c r="B38683" s="36"/>
      <c r="C38683" s="36"/>
      <c r="E38683" s="1"/>
      <c r="F38683" s="1"/>
      <c r="G38683" s="1"/>
    </row>
    <row r="38684">
      <c r="B38684" s="36"/>
      <c r="C38684" s="36"/>
      <c r="E38684" s="1"/>
      <c r="F38684" s="1"/>
      <c r="G38684" s="1"/>
    </row>
    <row r="38685">
      <c r="B38685" s="36"/>
      <c r="C38685" s="36"/>
      <c r="E38685" s="1"/>
      <c r="F38685" s="1"/>
      <c r="G38685" s="1"/>
    </row>
    <row r="38686">
      <c r="B38686" s="36"/>
      <c r="C38686" s="36"/>
      <c r="E38686" s="1"/>
      <c r="F38686" s="1"/>
      <c r="G38686" s="1"/>
    </row>
    <row r="38687">
      <c r="B38687" s="36"/>
      <c r="C38687" s="36"/>
      <c r="E38687" s="1"/>
      <c r="F38687" s="1"/>
      <c r="G38687" s="1"/>
    </row>
    <row r="38688">
      <c r="B38688" s="36"/>
      <c r="C38688" s="36"/>
      <c r="E38688" s="1"/>
      <c r="F38688" s="1"/>
      <c r="G38688" s="1"/>
    </row>
    <row r="38689">
      <c r="B38689" s="36"/>
      <c r="C38689" s="36"/>
      <c r="E38689" s="1"/>
      <c r="F38689" s="1"/>
      <c r="G38689" s="1"/>
    </row>
    <row r="38690">
      <c r="B38690" s="36"/>
      <c r="C38690" s="36"/>
      <c r="E38690" s="1"/>
      <c r="F38690" s="1"/>
      <c r="G38690" s="1"/>
    </row>
    <row r="38691">
      <c r="B38691" s="36"/>
      <c r="C38691" s="36"/>
      <c r="E38691" s="1"/>
      <c r="F38691" s="1"/>
      <c r="G38691" s="1"/>
    </row>
    <row r="38692">
      <c r="B38692" s="36"/>
      <c r="C38692" s="36"/>
      <c r="E38692" s="1"/>
      <c r="F38692" s="1"/>
      <c r="G38692" s="1"/>
    </row>
    <row r="38693">
      <c r="B38693" s="36"/>
      <c r="C38693" s="36"/>
      <c r="E38693" s="1"/>
      <c r="F38693" s="1"/>
      <c r="G38693" s="1"/>
    </row>
    <row r="38694">
      <c r="B38694" s="36"/>
      <c r="C38694" s="36"/>
      <c r="E38694" s="1"/>
      <c r="F38694" s="1"/>
      <c r="G38694" s="1"/>
    </row>
    <row r="38695">
      <c r="B38695" s="36"/>
      <c r="C38695" s="36"/>
      <c r="E38695" s="1"/>
      <c r="F38695" s="1"/>
      <c r="G38695" s="1"/>
    </row>
    <row r="38696">
      <c r="B38696" s="36"/>
      <c r="C38696" s="36"/>
      <c r="E38696" s="1"/>
      <c r="F38696" s="1"/>
      <c r="G38696" s="1"/>
    </row>
    <row r="38697">
      <c r="B38697" s="36"/>
      <c r="C38697" s="36"/>
      <c r="E38697" s="1"/>
      <c r="F38697" s="1"/>
      <c r="G38697" s="1"/>
    </row>
    <row r="38698">
      <c r="B38698" s="36"/>
      <c r="C38698" s="36"/>
      <c r="E38698" s="1"/>
      <c r="F38698" s="1"/>
      <c r="G38698" s="1"/>
    </row>
    <row r="38699">
      <c r="B38699" s="36"/>
      <c r="C38699" s="36"/>
      <c r="E38699" s="1"/>
      <c r="F38699" s="1"/>
      <c r="G38699" s="1"/>
    </row>
    <row r="38700">
      <c r="B38700" s="36"/>
      <c r="C38700" s="36"/>
      <c r="E38700" s="1"/>
      <c r="F38700" s="1"/>
      <c r="G38700" s="1"/>
    </row>
    <row r="38701">
      <c r="B38701" s="36"/>
      <c r="C38701" s="36"/>
      <c r="E38701" s="1"/>
      <c r="F38701" s="1"/>
      <c r="G38701" s="1"/>
    </row>
    <row r="38702">
      <c r="B38702" s="36"/>
      <c r="C38702" s="36"/>
      <c r="E38702" s="1"/>
      <c r="F38702" s="1"/>
      <c r="G38702" s="1"/>
    </row>
    <row r="38703">
      <c r="B38703" s="36"/>
      <c r="C38703" s="36"/>
      <c r="E38703" s="1"/>
      <c r="F38703" s="1"/>
      <c r="G38703" s="1"/>
    </row>
    <row r="38704">
      <c r="B38704" s="36"/>
      <c r="C38704" s="36"/>
      <c r="E38704" s="1"/>
      <c r="F38704" s="1"/>
      <c r="G38704" s="1"/>
    </row>
    <row r="38705">
      <c r="B38705" s="36"/>
      <c r="C38705" s="36"/>
      <c r="E38705" s="1"/>
      <c r="F38705" s="1"/>
      <c r="G38705" s="1"/>
    </row>
    <row r="38706">
      <c r="B38706" s="36"/>
      <c r="C38706" s="36"/>
      <c r="E38706" s="1"/>
      <c r="F38706" s="1"/>
      <c r="G38706" s="1"/>
    </row>
    <row r="38707">
      <c r="B38707" s="36"/>
      <c r="C38707" s="36"/>
      <c r="E38707" s="1"/>
      <c r="F38707" s="1"/>
      <c r="G38707" s="1"/>
    </row>
    <row r="38708">
      <c r="B38708" s="36"/>
      <c r="C38708" s="36"/>
      <c r="E38708" s="1"/>
      <c r="F38708" s="1"/>
      <c r="G38708" s="1"/>
    </row>
    <row r="38709">
      <c r="B38709" s="36"/>
      <c r="C38709" s="36"/>
      <c r="E38709" s="1"/>
      <c r="F38709" s="1"/>
      <c r="G38709" s="1"/>
    </row>
    <row r="38710">
      <c r="B38710" s="36"/>
      <c r="C38710" s="36"/>
      <c r="E38710" s="1"/>
      <c r="F38710" s="1"/>
      <c r="G38710" s="1"/>
    </row>
    <row r="38711">
      <c r="B38711" s="36"/>
      <c r="C38711" s="36"/>
      <c r="E38711" s="1"/>
      <c r="F38711" s="1"/>
      <c r="G38711" s="1"/>
    </row>
    <row r="38712">
      <c r="B38712" s="36"/>
      <c r="C38712" s="36"/>
      <c r="E38712" s="1"/>
      <c r="F38712" s="1"/>
      <c r="G38712" s="1"/>
    </row>
    <row r="38713">
      <c r="B38713" s="36"/>
      <c r="C38713" s="36"/>
      <c r="E38713" s="1"/>
      <c r="F38713" s="1"/>
      <c r="G38713" s="1"/>
    </row>
    <row r="38714">
      <c r="B38714" s="36"/>
      <c r="C38714" s="36"/>
      <c r="E38714" s="1"/>
      <c r="F38714" s="1"/>
      <c r="G38714" s="1"/>
    </row>
    <row r="38715">
      <c r="B38715" s="36"/>
      <c r="C38715" s="36"/>
      <c r="E38715" s="1"/>
      <c r="F38715" s="1"/>
      <c r="G38715" s="1"/>
    </row>
    <row r="38716">
      <c r="B38716" s="36"/>
      <c r="C38716" s="36"/>
      <c r="E38716" s="1"/>
      <c r="F38716" s="1"/>
      <c r="G38716" s="1"/>
    </row>
    <row r="38717">
      <c r="B38717" s="36"/>
      <c r="C38717" s="36"/>
      <c r="E38717" s="1"/>
      <c r="F38717" s="1"/>
      <c r="G38717" s="1"/>
    </row>
    <row r="38718">
      <c r="B38718" s="36"/>
      <c r="C38718" s="36"/>
      <c r="E38718" s="1"/>
      <c r="F38718" s="1"/>
      <c r="G38718" s="1"/>
    </row>
    <row r="38719">
      <c r="B38719" s="36"/>
      <c r="C38719" s="36"/>
      <c r="E38719" s="1"/>
      <c r="F38719" s="1"/>
      <c r="G38719" s="1"/>
    </row>
    <row r="38720">
      <c r="B38720" s="36"/>
      <c r="C38720" s="36"/>
      <c r="E38720" s="1"/>
      <c r="F38720" s="1"/>
      <c r="G38720" s="1"/>
    </row>
    <row r="38721">
      <c r="B38721" s="36"/>
      <c r="C38721" s="36"/>
      <c r="E38721" s="1"/>
      <c r="F38721" s="1"/>
      <c r="G38721" s="1"/>
    </row>
    <row r="38722">
      <c r="B38722" s="36"/>
      <c r="C38722" s="36"/>
      <c r="E38722" s="1"/>
      <c r="F38722" s="1"/>
      <c r="G38722" s="1"/>
    </row>
    <row r="38723">
      <c r="B38723" s="36"/>
      <c r="C38723" s="36"/>
      <c r="E38723" s="1"/>
      <c r="F38723" s="1"/>
      <c r="G38723" s="1"/>
    </row>
    <row r="38724">
      <c r="B38724" s="36"/>
      <c r="C38724" s="36"/>
      <c r="E38724" s="1"/>
      <c r="F38724" s="1"/>
      <c r="G38724" s="1"/>
    </row>
    <row r="38725">
      <c r="B38725" s="36"/>
      <c r="C38725" s="36"/>
      <c r="E38725" s="1"/>
      <c r="F38725" s="1"/>
      <c r="G38725" s="1"/>
    </row>
    <row r="38726">
      <c r="B38726" s="36"/>
      <c r="C38726" s="36"/>
      <c r="E38726" s="1"/>
      <c r="F38726" s="1"/>
      <c r="G38726" s="1"/>
    </row>
    <row r="38727">
      <c r="B38727" s="36"/>
      <c r="C38727" s="36"/>
      <c r="E38727" s="1"/>
      <c r="F38727" s="1"/>
      <c r="G38727" s="1"/>
    </row>
    <row r="38728">
      <c r="B38728" s="36"/>
      <c r="C38728" s="36"/>
      <c r="E38728" s="1"/>
      <c r="F38728" s="1"/>
      <c r="G38728" s="1"/>
    </row>
    <row r="38729">
      <c r="B38729" s="36"/>
      <c r="C38729" s="36"/>
      <c r="E38729" s="1"/>
      <c r="F38729" s="1"/>
      <c r="G38729" s="1"/>
    </row>
    <row r="38730">
      <c r="B38730" s="36"/>
      <c r="C38730" s="36"/>
      <c r="E38730" s="1"/>
      <c r="F38730" s="1"/>
      <c r="G38730" s="1"/>
    </row>
    <row r="38731">
      <c r="B38731" s="36"/>
      <c r="C38731" s="36"/>
      <c r="E38731" s="1"/>
      <c r="F38731" s="1"/>
      <c r="G38731" s="1"/>
    </row>
    <row r="38732">
      <c r="B38732" s="36"/>
      <c r="C38732" s="36"/>
      <c r="E38732" s="1"/>
      <c r="F38732" s="1"/>
      <c r="G38732" s="1"/>
    </row>
    <row r="38733">
      <c r="B38733" s="36"/>
      <c r="C38733" s="36"/>
      <c r="E38733" s="1"/>
      <c r="F38733" s="1"/>
      <c r="G38733" s="1"/>
    </row>
    <row r="38734">
      <c r="B38734" s="36"/>
      <c r="C38734" s="36"/>
      <c r="E38734" s="1"/>
      <c r="F38734" s="1"/>
      <c r="G38734" s="1"/>
    </row>
    <row r="38735">
      <c r="B38735" s="36"/>
      <c r="C38735" s="36"/>
      <c r="E38735" s="1"/>
      <c r="F38735" s="1"/>
      <c r="G38735" s="1"/>
    </row>
    <row r="38736">
      <c r="B38736" s="36"/>
      <c r="C38736" s="36"/>
      <c r="E38736" s="1"/>
      <c r="F38736" s="1"/>
      <c r="G38736" s="1"/>
    </row>
    <row r="38737">
      <c r="B38737" s="36"/>
      <c r="C38737" s="36"/>
      <c r="E38737" s="1"/>
      <c r="F38737" s="1"/>
      <c r="G38737" s="1"/>
    </row>
    <row r="38738">
      <c r="B38738" s="36"/>
      <c r="C38738" s="36"/>
      <c r="E38738" s="1"/>
      <c r="F38738" s="1"/>
      <c r="G38738" s="1"/>
    </row>
    <row r="38739">
      <c r="B38739" s="36"/>
      <c r="C38739" s="36"/>
      <c r="E38739" s="1"/>
      <c r="F38739" s="1"/>
      <c r="G38739" s="1"/>
    </row>
    <row r="38740">
      <c r="B38740" s="36"/>
      <c r="C38740" s="36"/>
      <c r="E38740" s="1"/>
      <c r="F38740" s="1"/>
      <c r="G38740" s="1"/>
    </row>
    <row r="38741">
      <c r="B38741" s="36"/>
      <c r="C38741" s="36"/>
      <c r="E38741" s="1"/>
      <c r="F38741" s="1"/>
      <c r="G38741" s="1"/>
    </row>
    <row r="38742">
      <c r="B38742" s="36"/>
      <c r="C38742" s="36"/>
      <c r="E38742" s="1"/>
      <c r="F38742" s="1"/>
      <c r="G38742" s="1"/>
    </row>
    <row r="38743">
      <c r="B38743" s="36"/>
      <c r="C38743" s="36"/>
      <c r="E38743" s="1"/>
      <c r="F38743" s="1"/>
      <c r="G38743" s="1"/>
    </row>
    <row r="38744">
      <c r="B38744" s="36"/>
      <c r="C38744" s="36"/>
      <c r="E38744" s="1"/>
      <c r="F38744" s="1"/>
      <c r="G38744" s="1"/>
    </row>
    <row r="38745">
      <c r="B38745" s="36"/>
      <c r="C38745" s="36"/>
      <c r="E38745" s="1"/>
      <c r="F38745" s="1"/>
      <c r="G38745" s="1"/>
    </row>
    <row r="38746">
      <c r="B38746" s="36"/>
      <c r="C38746" s="36"/>
      <c r="E38746" s="1"/>
      <c r="F38746" s="1"/>
      <c r="G38746" s="1"/>
    </row>
    <row r="38747">
      <c r="B38747" s="36"/>
      <c r="C38747" s="36"/>
      <c r="E38747" s="1"/>
      <c r="F38747" s="1"/>
      <c r="G38747" s="1"/>
    </row>
    <row r="38748">
      <c r="B38748" s="36"/>
      <c r="C38748" s="36"/>
      <c r="E38748" s="1"/>
      <c r="F38748" s="1"/>
      <c r="G38748" s="1"/>
    </row>
    <row r="38749">
      <c r="B38749" s="36"/>
      <c r="C38749" s="36"/>
      <c r="E38749" s="1"/>
      <c r="F38749" s="1"/>
      <c r="G38749" s="1"/>
    </row>
    <row r="38750">
      <c r="B38750" s="36"/>
      <c r="C38750" s="36"/>
      <c r="E38750" s="1"/>
      <c r="F38750" s="1"/>
      <c r="G38750" s="1"/>
    </row>
    <row r="38751">
      <c r="B38751" s="36"/>
      <c r="C38751" s="36"/>
      <c r="E38751" s="1"/>
      <c r="F38751" s="1"/>
      <c r="G38751" s="1"/>
    </row>
    <row r="38752">
      <c r="B38752" s="36"/>
      <c r="C38752" s="36"/>
      <c r="E38752" s="1"/>
      <c r="F38752" s="1"/>
      <c r="G38752" s="1"/>
    </row>
    <row r="38753">
      <c r="B38753" s="36"/>
      <c r="C38753" s="36"/>
      <c r="E38753" s="1"/>
      <c r="F38753" s="1"/>
      <c r="G38753" s="1"/>
    </row>
    <row r="38754">
      <c r="B38754" s="36"/>
      <c r="C38754" s="36"/>
      <c r="E38754" s="1"/>
      <c r="F38754" s="1"/>
      <c r="G38754" s="1"/>
    </row>
    <row r="38755">
      <c r="B38755" s="36"/>
      <c r="C38755" s="36"/>
      <c r="E38755" s="1"/>
      <c r="F38755" s="1"/>
      <c r="G38755" s="1"/>
    </row>
    <row r="38756">
      <c r="B38756" s="36"/>
      <c r="C38756" s="36"/>
      <c r="E38756" s="1"/>
      <c r="F38756" s="1"/>
      <c r="G38756" s="1"/>
    </row>
    <row r="38757">
      <c r="B38757" s="36"/>
      <c r="C38757" s="36"/>
      <c r="E38757" s="1"/>
      <c r="F38757" s="1"/>
      <c r="G38757" s="1"/>
    </row>
    <row r="38758">
      <c r="B38758" s="36"/>
      <c r="C38758" s="36"/>
      <c r="E38758" s="1"/>
      <c r="F38758" s="1"/>
      <c r="G38758" s="1"/>
    </row>
    <row r="38759">
      <c r="B38759" s="36"/>
      <c r="C38759" s="36"/>
      <c r="E38759" s="1"/>
      <c r="F38759" s="1"/>
      <c r="G38759" s="1"/>
    </row>
    <row r="38760">
      <c r="B38760" s="36"/>
      <c r="C38760" s="36"/>
      <c r="E38760" s="1"/>
      <c r="F38760" s="1"/>
      <c r="G38760" s="1"/>
    </row>
    <row r="38761">
      <c r="B38761" s="36"/>
      <c r="C38761" s="36"/>
      <c r="E38761" s="1"/>
      <c r="F38761" s="1"/>
      <c r="G38761" s="1"/>
    </row>
    <row r="38762">
      <c r="B38762" s="36"/>
      <c r="C38762" s="36"/>
      <c r="E38762" s="1"/>
      <c r="F38762" s="1"/>
      <c r="G38762" s="1"/>
    </row>
    <row r="38763">
      <c r="B38763" s="36"/>
      <c r="C38763" s="36"/>
      <c r="E38763" s="1"/>
      <c r="F38763" s="1"/>
      <c r="G38763" s="1"/>
    </row>
    <row r="38764">
      <c r="B38764" s="36"/>
      <c r="C38764" s="36"/>
      <c r="E38764" s="1"/>
      <c r="F38764" s="1"/>
      <c r="G38764" s="1"/>
    </row>
    <row r="38765">
      <c r="B38765" s="36"/>
      <c r="C38765" s="36"/>
      <c r="E38765" s="1"/>
      <c r="F38765" s="1"/>
      <c r="G38765" s="1"/>
    </row>
    <row r="38766">
      <c r="B38766" s="36"/>
      <c r="C38766" s="36"/>
      <c r="E38766" s="1"/>
      <c r="F38766" s="1"/>
      <c r="G38766" s="1"/>
    </row>
    <row r="38767">
      <c r="B38767" s="36"/>
      <c r="C38767" s="36"/>
      <c r="E38767" s="1"/>
      <c r="F38767" s="1"/>
      <c r="G38767" s="1"/>
    </row>
    <row r="38768">
      <c r="B38768" s="36"/>
      <c r="C38768" s="36"/>
      <c r="E38768" s="1"/>
      <c r="F38768" s="1"/>
      <c r="G38768" s="1"/>
    </row>
    <row r="38769">
      <c r="B38769" s="36"/>
      <c r="C38769" s="36"/>
      <c r="E38769" s="1"/>
      <c r="F38769" s="1"/>
      <c r="G38769" s="1"/>
    </row>
    <row r="38770">
      <c r="B38770" s="36"/>
      <c r="C38770" s="36"/>
      <c r="E38770" s="1"/>
      <c r="F38770" s="1"/>
      <c r="G38770" s="1"/>
    </row>
    <row r="38771">
      <c r="B38771" s="36"/>
      <c r="C38771" s="36"/>
      <c r="E38771" s="1"/>
      <c r="F38771" s="1"/>
      <c r="G38771" s="1"/>
    </row>
    <row r="38772">
      <c r="B38772" s="36"/>
      <c r="C38772" s="36"/>
      <c r="E38772" s="1"/>
      <c r="F38772" s="1"/>
      <c r="G38772" s="1"/>
    </row>
    <row r="38773">
      <c r="B38773" s="36"/>
      <c r="C38773" s="36"/>
      <c r="E38773" s="1"/>
      <c r="F38773" s="1"/>
      <c r="G38773" s="1"/>
    </row>
    <row r="38774">
      <c r="B38774" s="36"/>
      <c r="C38774" s="36"/>
      <c r="E38774" s="1"/>
      <c r="F38774" s="1"/>
      <c r="G38774" s="1"/>
    </row>
    <row r="38775">
      <c r="B38775" s="36"/>
      <c r="C38775" s="36"/>
      <c r="E38775" s="1"/>
      <c r="F38775" s="1"/>
      <c r="G38775" s="1"/>
    </row>
    <row r="38776">
      <c r="B38776" s="36"/>
      <c r="C38776" s="36"/>
      <c r="E38776" s="1"/>
      <c r="F38776" s="1"/>
      <c r="G38776" s="1"/>
    </row>
    <row r="38777">
      <c r="B38777" s="36"/>
      <c r="C38777" s="36"/>
      <c r="E38777" s="1"/>
      <c r="F38777" s="1"/>
      <c r="G38777" s="1"/>
    </row>
    <row r="38778">
      <c r="B38778" s="36"/>
      <c r="C38778" s="36"/>
      <c r="E38778" s="1"/>
      <c r="F38778" s="1"/>
      <c r="G38778" s="1"/>
    </row>
    <row r="38779">
      <c r="B38779" s="36"/>
      <c r="C38779" s="36"/>
      <c r="E38779" s="1"/>
      <c r="F38779" s="1"/>
      <c r="G38779" s="1"/>
    </row>
    <row r="38780">
      <c r="B38780" s="36"/>
      <c r="C38780" s="36"/>
      <c r="E38780" s="1"/>
      <c r="F38780" s="1"/>
      <c r="G38780" s="1"/>
    </row>
    <row r="38781">
      <c r="B38781" s="36"/>
      <c r="C38781" s="36"/>
      <c r="E38781" s="1"/>
      <c r="F38781" s="1"/>
      <c r="G38781" s="1"/>
    </row>
    <row r="38782">
      <c r="B38782" s="36"/>
      <c r="C38782" s="36"/>
      <c r="E38782" s="1"/>
      <c r="F38782" s="1"/>
      <c r="G38782" s="1"/>
    </row>
    <row r="38783">
      <c r="B38783" s="36"/>
      <c r="C38783" s="36"/>
      <c r="E38783" s="1"/>
      <c r="F38783" s="1"/>
      <c r="G38783" s="1"/>
    </row>
    <row r="38784">
      <c r="B38784" s="36"/>
      <c r="C38784" s="36"/>
      <c r="E38784" s="1"/>
      <c r="F38784" s="1"/>
      <c r="G38784" s="1"/>
    </row>
    <row r="38785">
      <c r="B38785" s="36"/>
      <c r="C38785" s="36"/>
      <c r="E38785" s="1"/>
      <c r="F38785" s="1"/>
      <c r="G38785" s="1"/>
    </row>
    <row r="38786">
      <c r="B38786" s="36"/>
      <c r="C38786" s="36"/>
      <c r="E38786" s="1"/>
      <c r="F38786" s="1"/>
      <c r="G38786" s="1"/>
    </row>
    <row r="38787">
      <c r="B38787" s="36"/>
      <c r="C38787" s="36"/>
      <c r="E38787" s="1"/>
      <c r="F38787" s="1"/>
      <c r="G38787" s="1"/>
    </row>
    <row r="38788">
      <c r="B38788" s="36"/>
      <c r="C38788" s="36"/>
      <c r="E38788" s="1"/>
      <c r="F38788" s="1"/>
      <c r="G38788" s="1"/>
    </row>
    <row r="38789">
      <c r="B38789" s="36"/>
      <c r="C38789" s="36"/>
      <c r="E38789" s="1"/>
      <c r="F38789" s="1"/>
      <c r="G38789" s="1"/>
    </row>
    <row r="38790">
      <c r="B38790" s="36"/>
      <c r="C38790" s="36"/>
      <c r="E38790" s="1"/>
      <c r="F38790" s="1"/>
      <c r="G38790" s="1"/>
    </row>
    <row r="38791">
      <c r="B38791" s="36"/>
      <c r="C38791" s="36"/>
      <c r="E38791" s="1"/>
      <c r="F38791" s="1"/>
      <c r="G38791" s="1"/>
    </row>
    <row r="38792">
      <c r="B38792" s="36"/>
      <c r="C38792" s="36"/>
      <c r="E38792" s="1"/>
      <c r="F38792" s="1"/>
      <c r="G38792" s="1"/>
    </row>
    <row r="38793">
      <c r="B38793" s="36"/>
      <c r="C38793" s="36"/>
      <c r="E38793" s="1"/>
      <c r="F38793" s="1"/>
      <c r="G38793" s="1"/>
    </row>
    <row r="38794">
      <c r="B38794" s="36"/>
      <c r="C38794" s="36"/>
      <c r="E38794" s="1"/>
      <c r="F38794" s="1"/>
      <c r="G38794" s="1"/>
    </row>
    <row r="38795">
      <c r="B38795" s="36"/>
      <c r="C38795" s="36"/>
      <c r="E38795" s="1"/>
      <c r="F38795" s="1"/>
      <c r="G38795" s="1"/>
    </row>
    <row r="38796">
      <c r="B38796" s="36"/>
      <c r="C38796" s="36"/>
      <c r="E38796" s="1"/>
      <c r="F38796" s="1"/>
      <c r="G38796" s="1"/>
    </row>
    <row r="38797">
      <c r="B38797" s="36"/>
      <c r="C38797" s="36"/>
      <c r="E38797" s="1"/>
      <c r="F38797" s="1"/>
      <c r="G38797" s="1"/>
    </row>
    <row r="38798">
      <c r="B38798" s="36"/>
      <c r="C38798" s="36"/>
      <c r="E38798" s="1"/>
      <c r="F38798" s="1"/>
      <c r="G38798" s="1"/>
    </row>
    <row r="38799">
      <c r="B38799" s="36"/>
      <c r="C38799" s="36"/>
      <c r="E38799" s="1"/>
      <c r="F38799" s="1"/>
      <c r="G38799" s="1"/>
    </row>
    <row r="38800">
      <c r="B38800" s="36"/>
      <c r="C38800" s="36"/>
      <c r="E38800" s="1"/>
      <c r="F38800" s="1"/>
      <c r="G38800" s="1"/>
    </row>
    <row r="38801">
      <c r="B38801" s="36"/>
      <c r="C38801" s="36"/>
      <c r="E38801" s="1"/>
      <c r="F38801" s="1"/>
      <c r="G38801" s="1"/>
    </row>
    <row r="38802">
      <c r="B38802" s="36"/>
      <c r="C38802" s="36"/>
      <c r="E38802" s="1"/>
      <c r="F38802" s="1"/>
      <c r="G38802" s="1"/>
    </row>
    <row r="38803">
      <c r="B38803" s="36"/>
      <c r="C38803" s="36"/>
      <c r="E38803" s="1"/>
      <c r="F38803" s="1"/>
      <c r="G38803" s="1"/>
    </row>
    <row r="38804">
      <c r="B38804" s="36"/>
      <c r="C38804" s="36"/>
      <c r="E38804" s="1"/>
      <c r="F38804" s="1"/>
      <c r="G38804" s="1"/>
    </row>
    <row r="38805">
      <c r="B38805" s="36"/>
      <c r="C38805" s="36"/>
      <c r="E38805" s="1"/>
      <c r="F38805" s="1"/>
      <c r="G38805" s="1"/>
    </row>
    <row r="38806">
      <c r="B38806" s="36"/>
      <c r="C38806" s="36"/>
      <c r="E38806" s="1"/>
      <c r="F38806" s="1"/>
      <c r="G38806" s="1"/>
    </row>
    <row r="38807">
      <c r="B38807" s="36"/>
      <c r="C38807" s="36"/>
      <c r="E38807" s="1"/>
      <c r="F38807" s="1"/>
      <c r="G38807" s="1"/>
    </row>
    <row r="38808">
      <c r="B38808" s="36"/>
      <c r="C38808" s="36"/>
      <c r="E38808" s="1"/>
      <c r="F38808" s="1"/>
      <c r="G38808" s="1"/>
    </row>
    <row r="38809">
      <c r="B38809" s="36"/>
      <c r="C38809" s="36"/>
      <c r="E38809" s="1"/>
      <c r="F38809" s="1"/>
      <c r="G38809" s="1"/>
    </row>
    <row r="38810">
      <c r="B38810" s="36"/>
      <c r="C38810" s="36"/>
      <c r="E38810" s="1"/>
      <c r="F38810" s="1"/>
      <c r="G38810" s="1"/>
    </row>
    <row r="38811">
      <c r="B38811" s="36"/>
      <c r="C38811" s="36"/>
      <c r="E38811" s="1"/>
      <c r="F38811" s="1"/>
      <c r="G38811" s="1"/>
    </row>
    <row r="38812">
      <c r="B38812" s="36"/>
      <c r="C38812" s="36"/>
      <c r="E38812" s="1"/>
      <c r="F38812" s="1"/>
      <c r="G38812" s="1"/>
    </row>
    <row r="38813">
      <c r="B38813" s="36"/>
      <c r="C38813" s="36"/>
      <c r="E38813" s="1"/>
      <c r="F38813" s="1"/>
      <c r="G38813" s="1"/>
    </row>
    <row r="38814">
      <c r="B38814" s="36"/>
      <c r="C38814" s="36"/>
      <c r="E38814" s="1"/>
      <c r="F38814" s="1"/>
      <c r="G38814" s="1"/>
    </row>
    <row r="38815">
      <c r="B38815" s="36"/>
      <c r="C38815" s="36"/>
      <c r="E38815" s="1"/>
      <c r="F38815" s="1"/>
      <c r="G38815" s="1"/>
    </row>
    <row r="38816">
      <c r="B38816" s="36"/>
      <c r="C38816" s="36"/>
      <c r="E38816" s="1"/>
      <c r="F38816" s="1"/>
      <c r="G38816" s="1"/>
    </row>
    <row r="38817">
      <c r="B38817" s="36"/>
      <c r="C38817" s="36"/>
      <c r="E38817" s="1"/>
      <c r="F38817" s="1"/>
      <c r="G38817" s="1"/>
    </row>
    <row r="38818">
      <c r="B38818" s="36"/>
      <c r="C38818" s="36"/>
      <c r="E38818" s="1"/>
      <c r="F38818" s="1"/>
      <c r="G38818" s="1"/>
    </row>
    <row r="38819">
      <c r="B38819" s="36"/>
      <c r="C38819" s="36"/>
      <c r="E38819" s="1"/>
      <c r="F38819" s="1"/>
      <c r="G38819" s="1"/>
    </row>
    <row r="38820">
      <c r="B38820" s="36"/>
      <c r="C38820" s="36"/>
      <c r="E38820" s="1"/>
      <c r="F38820" s="1"/>
      <c r="G38820" s="1"/>
    </row>
    <row r="38821">
      <c r="B38821" s="36"/>
      <c r="C38821" s="36"/>
      <c r="E38821" s="1"/>
      <c r="F38821" s="1"/>
      <c r="G38821" s="1"/>
    </row>
    <row r="38822">
      <c r="B38822" s="36"/>
      <c r="C38822" s="36"/>
      <c r="E38822" s="1"/>
      <c r="F38822" s="1"/>
      <c r="G38822" s="1"/>
    </row>
    <row r="38823">
      <c r="B38823" s="36"/>
      <c r="C38823" s="36"/>
      <c r="E38823" s="1"/>
      <c r="F38823" s="1"/>
      <c r="G38823" s="1"/>
    </row>
    <row r="38824">
      <c r="B38824" s="36"/>
      <c r="C38824" s="36"/>
      <c r="E38824" s="1"/>
      <c r="F38824" s="1"/>
      <c r="G38824" s="1"/>
    </row>
    <row r="38825">
      <c r="B38825" s="36"/>
      <c r="C38825" s="36"/>
      <c r="E38825" s="1"/>
      <c r="F38825" s="1"/>
      <c r="G38825" s="1"/>
    </row>
    <row r="38826">
      <c r="B38826" s="36"/>
      <c r="C38826" s="36"/>
      <c r="E38826" s="1"/>
      <c r="F38826" s="1"/>
      <c r="G38826" s="1"/>
    </row>
    <row r="38827">
      <c r="B38827" s="36"/>
      <c r="C38827" s="36"/>
      <c r="E38827" s="1"/>
      <c r="F38827" s="1"/>
      <c r="G38827" s="1"/>
    </row>
    <row r="38828">
      <c r="B38828" s="36"/>
      <c r="C38828" s="36"/>
      <c r="E38828" s="1"/>
      <c r="F38828" s="1"/>
      <c r="G38828" s="1"/>
    </row>
    <row r="38829">
      <c r="B38829" s="36"/>
      <c r="C38829" s="36"/>
      <c r="E38829" s="1"/>
      <c r="F38829" s="1"/>
      <c r="G38829" s="1"/>
    </row>
    <row r="38830">
      <c r="B38830" s="36"/>
      <c r="C38830" s="36"/>
      <c r="E38830" s="1"/>
      <c r="F38830" s="1"/>
      <c r="G38830" s="1"/>
    </row>
    <row r="38831">
      <c r="B38831" s="36"/>
      <c r="C38831" s="36"/>
      <c r="E38831" s="1"/>
      <c r="F38831" s="1"/>
      <c r="G38831" s="1"/>
    </row>
    <row r="38832">
      <c r="B38832" s="36"/>
      <c r="C38832" s="36"/>
      <c r="E38832" s="1"/>
      <c r="F38832" s="1"/>
      <c r="G38832" s="1"/>
    </row>
    <row r="38833">
      <c r="B38833" s="36"/>
      <c r="C38833" s="36"/>
      <c r="E38833" s="1"/>
      <c r="F38833" s="1"/>
      <c r="G38833" s="1"/>
    </row>
    <row r="38834">
      <c r="B38834" s="36"/>
      <c r="C38834" s="36"/>
      <c r="E38834" s="1"/>
      <c r="F38834" s="1"/>
      <c r="G38834" s="1"/>
    </row>
    <row r="38835">
      <c r="B38835" s="36"/>
      <c r="C38835" s="36"/>
      <c r="E38835" s="1"/>
      <c r="F38835" s="1"/>
      <c r="G38835" s="1"/>
    </row>
    <row r="38836">
      <c r="B38836" s="36"/>
      <c r="C38836" s="36"/>
      <c r="E38836" s="1"/>
      <c r="F38836" s="1"/>
      <c r="G38836" s="1"/>
    </row>
    <row r="38837">
      <c r="B38837" s="36"/>
      <c r="C38837" s="36"/>
      <c r="E38837" s="1"/>
      <c r="F38837" s="1"/>
      <c r="G38837" s="1"/>
    </row>
    <row r="38838">
      <c r="B38838" s="36"/>
      <c r="C38838" s="36"/>
      <c r="E38838" s="1"/>
      <c r="F38838" s="1"/>
      <c r="G38838" s="1"/>
    </row>
    <row r="38839">
      <c r="B38839" s="36"/>
      <c r="C38839" s="36"/>
      <c r="E38839" s="1"/>
      <c r="F38839" s="1"/>
      <c r="G38839" s="1"/>
    </row>
    <row r="38840">
      <c r="B38840" s="36"/>
      <c r="C38840" s="36"/>
      <c r="E38840" s="1"/>
      <c r="F38840" s="1"/>
      <c r="G38840" s="1"/>
    </row>
    <row r="38841">
      <c r="B38841" s="36"/>
      <c r="C38841" s="36"/>
      <c r="E38841" s="1"/>
      <c r="F38841" s="1"/>
      <c r="G38841" s="1"/>
    </row>
    <row r="38842">
      <c r="B38842" s="36"/>
      <c r="C38842" s="36"/>
      <c r="E38842" s="1"/>
      <c r="F38842" s="1"/>
      <c r="G38842" s="1"/>
    </row>
    <row r="38843">
      <c r="B38843" s="36"/>
      <c r="C38843" s="36"/>
      <c r="E38843" s="1"/>
      <c r="F38843" s="1"/>
      <c r="G38843" s="1"/>
    </row>
    <row r="38844">
      <c r="B38844" s="36"/>
      <c r="C38844" s="36"/>
      <c r="E38844" s="1"/>
      <c r="F38844" s="1"/>
      <c r="G38844" s="1"/>
    </row>
    <row r="38845">
      <c r="B38845" s="36"/>
      <c r="C38845" s="36"/>
      <c r="E38845" s="1"/>
      <c r="F38845" s="1"/>
      <c r="G38845" s="1"/>
    </row>
    <row r="38846">
      <c r="B38846" s="36"/>
      <c r="C38846" s="36"/>
      <c r="E38846" s="1"/>
      <c r="F38846" s="1"/>
      <c r="G38846" s="1"/>
    </row>
    <row r="38847">
      <c r="B38847" s="36"/>
      <c r="C38847" s="36"/>
      <c r="E38847" s="1"/>
      <c r="F38847" s="1"/>
      <c r="G38847" s="1"/>
    </row>
    <row r="38848">
      <c r="B38848" s="36"/>
      <c r="C38848" s="36"/>
      <c r="E38848" s="1"/>
      <c r="F38848" s="1"/>
      <c r="G38848" s="1"/>
    </row>
    <row r="38849">
      <c r="B38849" s="36"/>
      <c r="C38849" s="36"/>
      <c r="E38849" s="1"/>
      <c r="F38849" s="1"/>
      <c r="G38849" s="1"/>
    </row>
    <row r="38850">
      <c r="B38850" s="36"/>
      <c r="C38850" s="36"/>
      <c r="E38850" s="1"/>
      <c r="F38850" s="1"/>
      <c r="G38850" s="1"/>
    </row>
    <row r="38851">
      <c r="B38851" s="36"/>
      <c r="C38851" s="36"/>
      <c r="E38851" s="1"/>
      <c r="F38851" s="1"/>
      <c r="G38851" s="1"/>
    </row>
    <row r="38852">
      <c r="B38852" s="36"/>
      <c r="C38852" s="36"/>
      <c r="E38852" s="1"/>
      <c r="F38852" s="1"/>
      <c r="G38852" s="1"/>
    </row>
    <row r="38853">
      <c r="B38853" s="36"/>
      <c r="C38853" s="36"/>
      <c r="E38853" s="1"/>
      <c r="F38853" s="1"/>
      <c r="G38853" s="1"/>
    </row>
    <row r="38854">
      <c r="B38854" s="36"/>
      <c r="C38854" s="36"/>
      <c r="E38854" s="1"/>
      <c r="F38854" s="1"/>
      <c r="G38854" s="1"/>
    </row>
    <row r="38855">
      <c r="B38855" s="36"/>
      <c r="C38855" s="36"/>
      <c r="E38855" s="1"/>
      <c r="F38855" s="1"/>
      <c r="G38855" s="1"/>
    </row>
    <row r="38856">
      <c r="B38856" s="36"/>
      <c r="C38856" s="36"/>
      <c r="E38856" s="1"/>
      <c r="F38856" s="1"/>
      <c r="G38856" s="1"/>
    </row>
    <row r="38857">
      <c r="B38857" s="36"/>
      <c r="C38857" s="36"/>
      <c r="E38857" s="1"/>
      <c r="F38857" s="1"/>
      <c r="G38857" s="1"/>
    </row>
    <row r="38858">
      <c r="B38858" s="36"/>
      <c r="C38858" s="36"/>
      <c r="E38858" s="1"/>
      <c r="F38858" s="1"/>
      <c r="G38858" s="1"/>
    </row>
    <row r="38859">
      <c r="B38859" s="36"/>
      <c r="C38859" s="36"/>
      <c r="E38859" s="1"/>
      <c r="F38859" s="1"/>
      <c r="G38859" s="1"/>
    </row>
    <row r="38860">
      <c r="B38860" s="36"/>
      <c r="C38860" s="36"/>
      <c r="E38860" s="1"/>
      <c r="F38860" s="1"/>
      <c r="G38860" s="1"/>
    </row>
    <row r="38861">
      <c r="B38861" s="36"/>
      <c r="C38861" s="36"/>
      <c r="E38861" s="1"/>
      <c r="F38861" s="1"/>
      <c r="G38861" s="1"/>
    </row>
    <row r="38862">
      <c r="B38862" s="36"/>
      <c r="C38862" s="36"/>
      <c r="E38862" s="1"/>
      <c r="F38862" s="1"/>
      <c r="G38862" s="1"/>
    </row>
    <row r="38863">
      <c r="B38863" s="36"/>
      <c r="C38863" s="36"/>
      <c r="E38863" s="1"/>
      <c r="F38863" s="1"/>
      <c r="G38863" s="1"/>
    </row>
    <row r="38864">
      <c r="B38864" s="36"/>
      <c r="C38864" s="36"/>
      <c r="E38864" s="1"/>
      <c r="F38864" s="1"/>
      <c r="G38864" s="1"/>
    </row>
    <row r="38865">
      <c r="B38865" s="36"/>
      <c r="C38865" s="36"/>
      <c r="E38865" s="1"/>
      <c r="F38865" s="1"/>
      <c r="G38865" s="1"/>
    </row>
    <row r="38866">
      <c r="B38866" s="36"/>
      <c r="C38866" s="36"/>
      <c r="E38866" s="1"/>
      <c r="F38866" s="1"/>
      <c r="G38866" s="1"/>
    </row>
    <row r="38867">
      <c r="B38867" s="36"/>
      <c r="C38867" s="36"/>
      <c r="E38867" s="1"/>
      <c r="F38867" s="1"/>
      <c r="G38867" s="1"/>
    </row>
    <row r="38868">
      <c r="B38868" s="36"/>
      <c r="C38868" s="36"/>
      <c r="E38868" s="1"/>
      <c r="F38868" s="1"/>
      <c r="G38868" s="1"/>
    </row>
    <row r="38869">
      <c r="B38869" s="36"/>
      <c r="C38869" s="36"/>
      <c r="E38869" s="1"/>
      <c r="F38869" s="1"/>
      <c r="G38869" s="1"/>
    </row>
    <row r="38870">
      <c r="B38870" s="36"/>
      <c r="C38870" s="36"/>
      <c r="E38870" s="1"/>
      <c r="F38870" s="1"/>
      <c r="G38870" s="1"/>
    </row>
    <row r="38871">
      <c r="B38871" s="36"/>
      <c r="C38871" s="36"/>
      <c r="E38871" s="1"/>
      <c r="F38871" s="1"/>
      <c r="G38871" s="1"/>
    </row>
    <row r="38872">
      <c r="B38872" s="36"/>
      <c r="C38872" s="36"/>
      <c r="E38872" s="1"/>
      <c r="F38872" s="1"/>
      <c r="G38872" s="1"/>
    </row>
    <row r="38873">
      <c r="B38873" s="36"/>
      <c r="C38873" s="36"/>
      <c r="E38873" s="1"/>
      <c r="F38873" s="1"/>
      <c r="G38873" s="1"/>
    </row>
    <row r="38874">
      <c r="B38874" s="36"/>
      <c r="C38874" s="36"/>
      <c r="E38874" s="1"/>
      <c r="F38874" s="1"/>
      <c r="G38874" s="1"/>
    </row>
    <row r="38875">
      <c r="B38875" s="36"/>
      <c r="C38875" s="36"/>
      <c r="E38875" s="1"/>
      <c r="F38875" s="1"/>
      <c r="G38875" s="1"/>
    </row>
    <row r="38876">
      <c r="B38876" s="36"/>
      <c r="C38876" s="36"/>
      <c r="E38876" s="1"/>
      <c r="F38876" s="1"/>
      <c r="G38876" s="1"/>
    </row>
    <row r="38877">
      <c r="B38877" s="36"/>
      <c r="C38877" s="36"/>
      <c r="E38877" s="1"/>
      <c r="F38877" s="1"/>
      <c r="G38877" s="1"/>
    </row>
    <row r="38878">
      <c r="B38878" s="36"/>
      <c r="C38878" s="36"/>
      <c r="E38878" s="1"/>
      <c r="F38878" s="1"/>
      <c r="G38878" s="1"/>
    </row>
    <row r="38879">
      <c r="B38879" s="36"/>
      <c r="C38879" s="36"/>
      <c r="E38879" s="1"/>
      <c r="F38879" s="1"/>
      <c r="G38879" s="1"/>
    </row>
    <row r="38880">
      <c r="B38880" s="36"/>
      <c r="C38880" s="36"/>
      <c r="E38880" s="1"/>
      <c r="F38880" s="1"/>
      <c r="G38880" s="1"/>
    </row>
    <row r="38881">
      <c r="B38881" s="36"/>
      <c r="C38881" s="36"/>
      <c r="E38881" s="1"/>
      <c r="F38881" s="1"/>
      <c r="G38881" s="1"/>
    </row>
    <row r="38882">
      <c r="B38882" s="36"/>
      <c r="C38882" s="36"/>
      <c r="E38882" s="1"/>
      <c r="F38882" s="1"/>
      <c r="G38882" s="1"/>
    </row>
    <row r="38883">
      <c r="B38883" s="36"/>
      <c r="C38883" s="36"/>
      <c r="E38883" s="1"/>
      <c r="F38883" s="1"/>
      <c r="G38883" s="1"/>
    </row>
    <row r="38884">
      <c r="B38884" s="36"/>
      <c r="C38884" s="36"/>
      <c r="E38884" s="1"/>
      <c r="F38884" s="1"/>
      <c r="G38884" s="1"/>
    </row>
    <row r="38885">
      <c r="B38885" s="36"/>
      <c r="C38885" s="36"/>
      <c r="E38885" s="1"/>
      <c r="F38885" s="1"/>
      <c r="G38885" s="1"/>
    </row>
    <row r="38886">
      <c r="B38886" s="36"/>
      <c r="C38886" s="36"/>
      <c r="E38886" s="1"/>
      <c r="F38886" s="1"/>
      <c r="G38886" s="1"/>
    </row>
    <row r="38887">
      <c r="B38887" s="36"/>
      <c r="C38887" s="36"/>
      <c r="E38887" s="1"/>
      <c r="F38887" s="1"/>
      <c r="G38887" s="1"/>
    </row>
    <row r="38888">
      <c r="B38888" s="36"/>
      <c r="C38888" s="36"/>
      <c r="E38888" s="1"/>
      <c r="F38888" s="1"/>
      <c r="G38888" s="1"/>
    </row>
    <row r="38889">
      <c r="B38889" s="36"/>
      <c r="C38889" s="36"/>
      <c r="E38889" s="1"/>
      <c r="F38889" s="1"/>
      <c r="G38889" s="1"/>
    </row>
    <row r="38890">
      <c r="B38890" s="36"/>
      <c r="C38890" s="36"/>
      <c r="E38890" s="1"/>
      <c r="F38890" s="1"/>
      <c r="G38890" s="1"/>
    </row>
    <row r="38891">
      <c r="B38891" s="36"/>
      <c r="C38891" s="36"/>
      <c r="E38891" s="1"/>
      <c r="F38891" s="1"/>
      <c r="G38891" s="1"/>
    </row>
    <row r="38892">
      <c r="B38892" s="36"/>
      <c r="C38892" s="36"/>
      <c r="E38892" s="1"/>
      <c r="F38892" s="1"/>
      <c r="G38892" s="1"/>
    </row>
    <row r="38893">
      <c r="B38893" s="36"/>
      <c r="C38893" s="36"/>
      <c r="E38893" s="1"/>
      <c r="F38893" s="1"/>
      <c r="G38893" s="1"/>
    </row>
    <row r="38894">
      <c r="B38894" s="36"/>
      <c r="C38894" s="36"/>
      <c r="E38894" s="1"/>
      <c r="F38894" s="1"/>
      <c r="G38894" s="1"/>
    </row>
    <row r="38895">
      <c r="B38895" s="36"/>
      <c r="C38895" s="36"/>
      <c r="E38895" s="1"/>
      <c r="F38895" s="1"/>
      <c r="G38895" s="1"/>
    </row>
    <row r="38896">
      <c r="B38896" s="36"/>
      <c r="C38896" s="36"/>
      <c r="E38896" s="1"/>
      <c r="F38896" s="1"/>
      <c r="G38896" s="1"/>
    </row>
    <row r="38897">
      <c r="B38897" s="36"/>
      <c r="C38897" s="36"/>
      <c r="E38897" s="1"/>
      <c r="F38897" s="1"/>
      <c r="G38897" s="1"/>
    </row>
    <row r="38898">
      <c r="B38898" s="36"/>
      <c r="C38898" s="36"/>
      <c r="E38898" s="1"/>
      <c r="F38898" s="1"/>
      <c r="G38898" s="1"/>
    </row>
    <row r="38899">
      <c r="B38899" s="36"/>
      <c r="C38899" s="36"/>
      <c r="E38899" s="1"/>
      <c r="F38899" s="1"/>
      <c r="G38899" s="1"/>
    </row>
    <row r="38900">
      <c r="B38900" s="36"/>
      <c r="C38900" s="36"/>
      <c r="E38900" s="1"/>
      <c r="F38900" s="1"/>
      <c r="G38900" s="1"/>
    </row>
    <row r="38901">
      <c r="B38901" s="36"/>
      <c r="C38901" s="36"/>
      <c r="E38901" s="1"/>
      <c r="F38901" s="1"/>
      <c r="G38901" s="1"/>
    </row>
    <row r="38902">
      <c r="B38902" s="36"/>
      <c r="C38902" s="36"/>
      <c r="E38902" s="1"/>
      <c r="F38902" s="1"/>
      <c r="G38902" s="1"/>
    </row>
    <row r="38903">
      <c r="B38903" s="36"/>
      <c r="C38903" s="36"/>
      <c r="E38903" s="1"/>
      <c r="F38903" s="1"/>
      <c r="G38903" s="1"/>
    </row>
    <row r="38904">
      <c r="B38904" s="36"/>
      <c r="C38904" s="36"/>
      <c r="E38904" s="1"/>
      <c r="F38904" s="1"/>
      <c r="G38904" s="1"/>
    </row>
    <row r="38905">
      <c r="B38905" s="36"/>
      <c r="C38905" s="36"/>
      <c r="E38905" s="1"/>
      <c r="F38905" s="1"/>
      <c r="G38905" s="1"/>
    </row>
    <row r="38906">
      <c r="B38906" s="36"/>
      <c r="C38906" s="36"/>
      <c r="E38906" s="1"/>
      <c r="F38906" s="1"/>
      <c r="G38906" s="1"/>
    </row>
    <row r="38907">
      <c r="B38907" s="36"/>
      <c r="C38907" s="36"/>
      <c r="E38907" s="1"/>
      <c r="F38907" s="1"/>
      <c r="G38907" s="1"/>
    </row>
    <row r="38908">
      <c r="B38908" s="36"/>
      <c r="C38908" s="36"/>
      <c r="E38908" s="1"/>
      <c r="F38908" s="1"/>
      <c r="G38908" s="1"/>
    </row>
    <row r="38909">
      <c r="B38909" s="36"/>
      <c r="C38909" s="36"/>
      <c r="E38909" s="1"/>
      <c r="F38909" s="1"/>
      <c r="G38909" s="1"/>
    </row>
    <row r="38910">
      <c r="B38910" s="36"/>
      <c r="C38910" s="36"/>
      <c r="E38910" s="1"/>
      <c r="F38910" s="1"/>
      <c r="G38910" s="1"/>
    </row>
    <row r="38911">
      <c r="B38911" s="36"/>
      <c r="C38911" s="36"/>
      <c r="E38911" s="1"/>
      <c r="F38911" s="1"/>
      <c r="G38911" s="1"/>
    </row>
    <row r="38912">
      <c r="B38912" s="36"/>
      <c r="C38912" s="36"/>
      <c r="E38912" s="1"/>
      <c r="F38912" s="1"/>
      <c r="G38912" s="1"/>
    </row>
    <row r="38913">
      <c r="B38913" s="36"/>
      <c r="C38913" s="36"/>
      <c r="E38913" s="1"/>
      <c r="F38913" s="1"/>
      <c r="G38913" s="1"/>
    </row>
    <row r="38914">
      <c r="B38914" s="36"/>
      <c r="C38914" s="36"/>
      <c r="E38914" s="1"/>
      <c r="F38914" s="1"/>
      <c r="G38914" s="1"/>
    </row>
    <row r="38915">
      <c r="B38915" s="36"/>
      <c r="C38915" s="36"/>
      <c r="E38915" s="1"/>
      <c r="F38915" s="1"/>
      <c r="G38915" s="1"/>
    </row>
    <row r="38916">
      <c r="B38916" s="36"/>
      <c r="C38916" s="36"/>
      <c r="E38916" s="1"/>
      <c r="F38916" s="1"/>
      <c r="G38916" s="1"/>
    </row>
    <row r="38917">
      <c r="B38917" s="36"/>
      <c r="C38917" s="36"/>
      <c r="E38917" s="1"/>
      <c r="F38917" s="1"/>
      <c r="G38917" s="1"/>
    </row>
    <row r="38918">
      <c r="B38918" s="36"/>
      <c r="C38918" s="36"/>
      <c r="E38918" s="1"/>
      <c r="F38918" s="1"/>
      <c r="G38918" s="1"/>
    </row>
    <row r="38919">
      <c r="B38919" s="36"/>
      <c r="C38919" s="36"/>
      <c r="E38919" s="1"/>
      <c r="F38919" s="1"/>
      <c r="G38919" s="1"/>
    </row>
    <row r="38920">
      <c r="B38920" s="36"/>
      <c r="C38920" s="36"/>
      <c r="E38920" s="1"/>
      <c r="F38920" s="1"/>
      <c r="G38920" s="1"/>
    </row>
    <row r="38921">
      <c r="B38921" s="36"/>
      <c r="C38921" s="36"/>
      <c r="E38921" s="1"/>
      <c r="F38921" s="1"/>
      <c r="G38921" s="1"/>
    </row>
    <row r="38922">
      <c r="B38922" s="36"/>
      <c r="C38922" s="36"/>
      <c r="E38922" s="1"/>
      <c r="F38922" s="1"/>
      <c r="G38922" s="1"/>
    </row>
    <row r="38923">
      <c r="B38923" s="36"/>
      <c r="C38923" s="36"/>
      <c r="E38923" s="1"/>
      <c r="F38923" s="1"/>
      <c r="G38923" s="1"/>
    </row>
    <row r="38924">
      <c r="B38924" s="36"/>
      <c r="C38924" s="36"/>
      <c r="E38924" s="1"/>
      <c r="F38924" s="1"/>
      <c r="G38924" s="1"/>
    </row>
    <row r="38925">
      <c r="B38925" s="36"/>
      <c r="C38925" s="36"/>
      <c r="E38925" s="1"/>
      <c r="F38925" s="1"/>
      <c r="G38925" s="1"/>
    </row>
    <row r="38926">
      <c r="B38926" s="36"/>
      <c r="C38926" s="36"/>
      <c r="E38926" s="1"/>
      <c r="F38926" s="1"/>
      <c r="G38926" s="1"/>
    </row>
    <row r="38927">
      <c r="B38927" s="36"/>
      <c r="C38927" s="36"/>
      <c r="E38927" s="1"/>
      <c r="F38927" s="1"/>
      <c r="G38927" s="1"/>
    </row>
    <row r="38928">
      <c r="B38928" s="36"/>
      <c r="C38928" s="36"/>
      <c r="E38928" s="1"/>
      <c r="F38928" s="1"/>
      <c r="G38928" s="1"/>
    </row>
    <row r="38929">
      <c r="B38929" s="36"/>
      <c r="C38929" s="36"/>
      <c r="E38929" s="1"/>
      <c r="F38929" s="1"/>
      <c r="G38929" s="1"/>
    </row>
    <row r="38930">
      <c r="B38930" s="36"/>
      <c r="C38930" s="36"/>
      <c r="E38930" s="1"/>
      <c r="F38930" s="1"/>
      <c r="G38930" s="1"/>
    </row>
    <row r="38931">
      <c r="B38931" s="36"/>
      <c r="C38931" s="36"/>
      <c r="E38931" s="1"/>
      <c r="F38931" s="1"/>
      <c r="G38931" s="1"/>
    </row>
    <row r="38932">
      <c r="B38932" s="36"/>
      <c r="C38932" s="36"/>
      <c r="E38932" s="1"/>
      <c r="F38932" s="1"/>
      <c r="G38932" s="1"/>
    </row>
    <row r="38933">
      <c r="B38933" s="36"/>
      <c r="C38933" s="36"/>
      <c r="E38933" s="1"/>
      <c r="F38933" s="1"/>
      <c r="G38933" s="1"/>
    </row>
    <row r="38934">
      <c r="B38934" s="36"/>
      <c r="C38934" s="36"/>
      <c r="E38934" s="1"/>
      <c r="F38934" s="1"/>
      <c r="G38934" s="1"/>
    </row>
    <row r="38935">
      <c r="B38935" s="36"/>
      <c r="C38935" s="36"/>
      <c r="E38935" s="1"/>
      <c r="F38935" s="1"/>
      <c r="G38935" s="1"/>
    </row>
    <row r="38936">
      <c r="B38936" s="36"/>
      <c r="C38936" s="36"/>
      <c r="E38936" s="1"/>
      <c r="F38936" s="1"/>
      <c r="G38936" s="1"/>
    </row>
    <row r="38937">
      <c r="B38937" s="36"/>
      <c r="C38937" s="36"/>
      <c r="E38937" s="1"/>
      <c r="F38937" s="1"/>
      <c r="G38937" s="1"/>
    </row>
    <row r="38938">
      <c r="B38938" s="36"/>
      <c r="C38938" s="36"/>
      <c r="E38938" s="1"/>
      <c r="F38938" s="1"/>
      <c r="G38938" s="1"/>
    </row>
    <row r="38939">
      <c r="B38939" s="36"/>
      <c r="C38939" s="36"/>
      <c r="E38939" s="1"/>
      <c r="F38939" s="1"/>
      <c r="G38939" s="1"/>
    </row>
    <row r="38940">
      <c r="B38940" s="36"/>
      <c r="C38940" s="36"/>
      <c r="E38940" s="1"/>
      <c r="F38940" s="1"/>
      <c r="G38940" s="1"/>
    </row>
    <row r="38941">
      <c r="B38941" s="36"/>
      <c r="C38941" s="36"/>
      <c r="E38941" s="1"/>
      <c r="F38941" s="1"/>
      <c r="G38941" s="1"/>
    </row>
    <row r="38942">
      <c r="B38942" s="36"/>
      <c r="C38942" s="36"/>
      <c r="E38942" s="1"/>
      <c r="F38942" s="1"/>
      <c r="G38942" s="1"/>
    </row>
    <row r="38943">
      <c r="B38943" s="36"/>
      <c r="C38943" s="36"/>
      <c r="E38943" s="1"/>
      <c r="F38943" s="1"/>
      <c r="G38943" s="1"/>
    </row>
    <row r="38944">
      <c r="B38944" s="36"/>
      <c r="C38944" s="36"/>
      <c r="E38944" s="1"/>
      <c r="F38944" s="1"/>
      <c r="G38944" s="1"/>
    </row>
    <row r="38945">
      <c r="B38945" s="36"/>
      <c r="C38945" s="36"/>
      <c r="E38945" s="1"/>
      <c r="F38945" s="1"/>
      <c r="G38945" s="1"/>
    </row>
    <row r="38946">
      <c r="B38946" s="36"/>
      <c r="C38946" s="36"/>
      <c r="E38946" s="1"/>
      <c r="F38946" s="1"/>
      <c r="G38946" s="1"/>
    </row>
    <row r="38947">
      <c r="B38947" s="36"/>
      <c r="C38947" s="36"/>
      <c r="E38947" s="1"/>
      <c r="F38947" s="1"/>
      <c r="G38947" s="1"/>
    </row>
    <row r="38948">
      <c r="B38948" s="36"/>
      <c r="C38948" s="36"/>
      <c r="E38948" s="1"/>
      <c r="F38948" s="1"/>
      <c r="G38948" s="1"/>
    </row>
    <row r="38949">
      <c r="B38949" s="36"/>
      <c r="C38949" s="36"/>
      <c r="E38949" s="1"/>
      <c r="F38949" s="1"/>
      <c r="G38949" s="1"/>
    </row>
    <row r="38950">
      <c r="B38950" s="36"/>
      <c r="C38950" s="36"/>
      <c r="E38950" s="1"/>
      <c r="F38950" s="1"/>
      <c r="G38950" s="1"/>
    </row>
    <row r="38951">
      <c r="B38951" s="36"/>
      <c r="C38951" s="36"/>
      <c r="E38951" s="1"/>
      <c r="F38951" s="1"/>
      <c r="G38951" s="1"/>
    </row>
    <row r="38952">
      <c r="B38952" s="36"/>
      <c r="C38952" s="36"/>
      <c r="E38952" s="1"/>
      <c r="F38952" s="1"/>
      <c r="G38952" s="1"/>
    </row>
    <row r="38953">
      <c r="B38953" s="36"/>
      <c r="C38953" s="36"/>
      <c r="E38953" s="1"/>
      <c r="F38953" s="1"/>
      <c r="G38953" s="1"/>
    </row>
    <row r="38954">
      <c r="B38954" s="36"/>
      <c r="C38954" s="36"/>
      <c r="E38954" s="1"/>
      <c r="F38954" s="1"/>
      <c r="G38954" s="1"/>
    </row>
    <row r="38955">
      <c r="B38955" s="36"/>
      <c r="C38955" s="36"/>
      <c r="E38955" s="1"/>
      <c r="F38955" s="1"/>
      <c r="G38955" s="1"/>
    </row>
    <row r="38956">
      <c r="B38956" s="36"/>
      <c r="C38956" s="36"/>
      <c r="E38956" s="1"/>
      <c r="F38956" s="1"/>
      <c r="G38956" s="1"/>
    </row>
    <row r="38957">
      <c r="B38957" s="36"/>
      <c r="C38957" s="36"/>
      <c r="E38957" s="1"/>
      <c r="F38957" s="1"/>
      <c r="G38957" s="1"/>
    </row>
    <row r="38958">
      <c r="B38958" s="36"/>
      <c r="C38958" s="36"/>
      <c r="E38958" s="1"/>
      <c r="F38958" s="1"/>
      <c r="G38958" s="1"/>
    </row>
    <row r="38959">
      <c r="B38959" s="36"/>
      <c r="C38959" s="36"/>
      <c r="E38959" s="1"/>
      <c r="F38959" s="1"/>
      <c r="G38959" s="1"/>
    </row>
    <row r="38960">
      <c r="B38960" s="36"/>
      <c r="C38960" s="36"/>
      <c r="E38960" s="1"/>
      <c r="F38960" s="1"/>
      <c r="G38960" s="1"/>
    </row>
    <row r="38961">
      <c r="B38961" s="36"/>
      <c r="C38961" s="36"/>
      <c r="E38961" s="1"/>
      <c r="F38961" s="1"/>
      <c r="G38961" s="1"/>
    </row>
    <row r="38962">
      <c r="B38962" s="36"/>
      <c r="C38962" s="36"/>
      <c r="E38962" s="1"/>
      <c r="F38962" s="1"/>
      <c r="G38962" s="1"/>
    </row>
    <row r="38963">
      <c r="B38963" s="36"/>
      <c r="C38963" s="36"/>
      <c r="E38963" s="1"/>
      <c r="F38963" s="1"/>
      <c r="G38963" s="1"/>
    </row>
    <row r="38964">
      <c r="B38964" s="36"/>
      <c r="C38964" s="36"/>
      <c r="E38964" s="1"/>
      <c r="F38964" s="1"/>
      <c r="G38964" s="1"/>
    </row>
    <row r="38965">
      <c r="B38965" s="36"/>
      <c r="C38965" s="36"/>
      <c r="E38965" s="1"/>
      <c r="F38965" s="1"/>
      <c r="G38965" s="1"/>
    </row>
    <row r="38966">
      <c r="B38966" s="36"/>
      <c r="C38966" s="36"/>
      <c r="E38966" s="1"/>
      <c r="F38966" s="1"/>
      <c r="G38966" s="1"/>
    </row>
    <row r="38967">
      <c r="B38967" s="36"/>
      <c r="C38967" s="36"/>
      <c r="E38967" s="1"/>
      <c r="F38967" s="1"/>
      <c r="G38967" s="1"/>
    </row>
    <row r="38968">
      <c r="B38968" s="36"/>
      <c r="C38968" s="36"/>
      <c r="E38968" s="1"/>
      <c r="F38968" s="1"/>
      <c r="G38968" s="1"/>
    </row>
    <row r="38969">
      <c r="B38969" s="36"/>
      <c r="C38969" s="36"/>
      <c r="E38969" s="1"/>
      <c r="F38969" s="1"/>
      <c r="G38969" s="1"/>
    </row>
    <row r="38970">
      <c r="B38970" s="36"/>
      <c r="C38970" s="36"/>
      <c r="E38970" s="1"/>
      <c r="F38970" s="1"/>
      <c r="G38970" s="1"/>
    </row>
    <row r="38971">
      <c r="B38971" s="36"/>
      <c r="C38971" s="36"/>
      <c r="E38971" s="1"/>
      <c r="F38971" s="1"/>
      <c r="G38971" s="1"/>
    </row>
    <row r="38972">
      <c r="B38972" s="36"/>
      <c r="C38972" s="36"/>
      <c r="E38972" s="1"/>
      <c r="F38972" s="1"/>
      <c r="G38972" s="1"/>
    </row>
    <row r="38973">
      <c r="B38973" s="36"/>
      <c r="C38973" s="36"/>
      <c r="E38973" s="1"/>
      <c r="F38973" s="1"/>
      <c r="G38973" s="1"/>
    </row>
    <row r="38974">
      <c r="B38974" s="36"/>
      <c r="C38974" s="36"/>
      <c r="E38974" s="1"/>
      <c r="F38974" s="1"/>
      <c r="G38974" s="1"/>
    </row>
    <row r="38975">
      <c r="B38975" s="36"/>
      <c r="C38975" s="36"/>
      <c r="E38975" s="1"/>
      <c r="F38975" s="1"/>
      <c r="G38975" s="1"/>
    </row>
    <row r="38976">
      <c r="B38976" s="36"/>
      <c r="C38976" s="36"/>
      <c r="E38976" s="1"/>
      <c r="F38976" s="1"/>
      <c r="G38976" s="1"/>
    </row>
    <row r="38977">
      <c r="B38977" s="36"/>
      <c r="C38977" s="36"/>
      <c r="E38977" s="1"/>
      <c r="F38977" s="1"/>
      <c r="G38977" s="1"/>
    </row>
    <row r="38978">
      <c r="B38978" s="36"/>
      <c r="C38978" s="36"/>
      <c r="E38978" s="1"/>
      <c r="F38978" s="1"/>
      <c r="G38978" s="1"/>
    </row>
    <row r="38979">
      <c r="B38979" s="36"/>
      <c r="C38979" s="36"/>
      <c r="E38979" s="1"/>
      <c r="F38979" s="1"/>
      <c r="G38979" s="1"/>
    </row>
    <row r="38980">
      <c r="B38980" s="36"/>
      <c r="C38980" s="36"/>
      <c r="E38980" s="1"/>
      <c r="F38980" s="1"/>
      <c r="G38980" s="1"/>
    </row>
    <row r="38981">
      <c r="B38981" s="36"/>
      <c r="C38981" s="36"/>
      <c r="E38981" s="1"/>
      <c r="F38981" s="1"/>
      <c r="G38981" s="1"/>
    </row>
    <row r="38982">
      <c r="B38982" s="36"/>
      <c r="C38982" s="36"/>
      <c r="E38982" s="1"/>
      <c r="F38982" s="1"/>
      <c r="G38982" s="1"/>
    </row>
    <row r="38983">
      <c r="B38983" s="36"/>
      <c r="C38983" s="36"/>
      <c r="E38983" s="1"/>
      <c r="F38983" s="1"/>
      <c r="G38983" s="1"/>
    </row>
    <row r="38984">
      <c r="B38984" s="36"/>
      <c r="C38984" s="36"/>
      <c r="E38984" s="1"/>
      <c r="F38984" s="1"/>
      <c r="G38984" s="1"/>
    </row>
    <row r="38985">
      <c r="B38985" s="36"/>
      <c r="C38985" s="36"/>
      <c r="E38985" s="1"/>
      <c r="F38985" s="1"/>
      <c r="G38985" s="1"/>
    </row>
    <row r="38986">
      <c r="B38986" s="36"/>
      <c r="C38986" s="36"/>
      <c r="E38986" s="1"/>
      <c r="F38986" s="1"/>
      <c r="G38986" s="1"/>
    </row>
    <row r="38987">
      <c r="B38987" s="36"/>
      <c r="C38987" s="36"/>
      <c r="E38987" s="1"/>
      <c r="F38987" s="1"/>
      <c r="G38987" s="1"/>
    </row>
    <row r="38988">
      <c r="B38988" s="36"/>
      <c r="C38988" s="36"/>
      <c r="E38988" s="1"/>
      <c r="F38988" s="1"/>
      <c r="G38988" s="1"/>
    </row>
    <row r="38989">
      <c r="B38989" s="36"/>
      <c r="C38989" s="36"/>
      <c r="E38989" s="1"/>
      <c r="F38989" s="1"/>
      <c r="G38989" s="1"/>
    </row>
    <row r="38990">
      <c r="B38990" s="36"/>
      <c r="C38990" s="36"/>
      <c r="E38990" s="1"/>
      <c r="F38990" s="1"/>
      <c r="G38990" s="1"/>
    </row>
    <row r="38991">
      <c r="B38991" s="36"/>
      <c r="C38991" s="36"/>
      <c r="E38991" s="1"/>
      <c r="F38991" s="1"/>
      <c r="G38991" s="1"/>
    </row>
    <row r="38992">
      <c r="B38992" s="36"/>
      <c r="C38992" s="36"/>
      <c r="E38992" s="1"/>
      <c r="F38992" s="1"/>
      <c r="G38992" s="1"/>
    </row>
    <row r="38993">
      <c r="B38993" s="36"/>
      <c r="C38993" s="36"/>
      <c r="E38993" s="1"/>
      <c r="F38993" s="1"/>
      <c r="G38993" s="1"/>
    </row>
    <row r="38994">
      <c r="B38994" s="36"/>
      <c r="C38994" s="36"/>
      <c r="E38994" s="1"/>
      <c r="F38994" s="1"/>
      <c r="G38994" s="1"/>
    </row>
    <row r="38995">
      <c r="B38995" s="36"/>
      <c r="C38995" s="36"/>
      <c r="E38995" s="1"/>
      <c r="F38995" s="1"/>
      <c r="G38995" s="1"/>
    </row>
    <row r="38996">
      <c r="B38996" s="36"/>
      <c r="C38996" s="36"/>
      <c r="E38996" s="1"/>
      <c r="F38996" s="1"/>
      <c r="G38996" s="1"/>
    </row>
    <row r="38997">
      <c r="B38997" s="36"/>
      <c r="C38997" s="36"/>
      <c r="E38997" s="1"/>
      <c r="F38997" s="1"/>
      <c r="G38997" s="1"/>
    </row>
    <row r="38998">
      <c r="B38998" s="36"/>
      <c r="C38998" s="36"/>
      <c r="E38998" s="1"/>
      <c r="F38998" s="1"/>
      <c r="G38998" s="1"/>
    </row>
    <row r="38999">
      <c r="B38999" s="36"/>
      <c r="C38999" s="36"/>
      <c r="E38999" s="1"/>
      <c r="F38999" s="1"/>
      <c r="G38999" s="1"/>
    </row>
    <row r="39000">
      <c r="B39000" s="36"/>
      <c r="C39000" s="36"/>
      <c r="E39000" s="1"/>
      <c r="F39000" s="1"/>
      <c r="G39000" s="1"/>
    </row>
    <row r="39001">
      <c r="B39001" s="36"/>
      <c r="C39001" s="36"/>
      <c r="E39001" s="1"/>
      <c r="F39001" s="1"/>
      <c r="G39001" s="1"/>
    </row>
    <row r="39002">
      <c r="B39002" s="36"/>
      <c r="C39002" s="36"/>
      <c r="E39002" s="1"/>
      <c r="F39002" s="1"/>
      <c r="G39002" s="1"/>
    </row>
    <row r="39003">
      <c r="B39003" s="36"/>
      <c r="C39003" s="36"/>
      <c r="E39003" s="1"/>
      <c r="F39003" s="1"/>
      <c r="G39003" s="1"/>
    </row>
    <row r="39004">
      <c r="B39004" s="36"/>
      <c r="C39004" s="36"/>
      <c r="E39004" s="1"/>
      <c r="F39004" s="1"/>
      <c r="G39004" s="1"/>
    </row>
    <row r="39005">
      <c r="B39005" s="36"/>
      <c r="C39005" s="36"/>
      <c r="E39005" s="1"/>
      <c r="F39005" s="1"/>
      <c r="G39005" s="1"/>
    </row>
    <row r="39006">
      <c r="B39006" s="36"/>
      <c r="C39006" s="36"/>
      <c r="E39006" s="1"/>
      <c r="F39006" s="1"/>
      <c r="G39006" s="1"/>
    </row>
    <row r="39007">
      <c r="B39007" s="36"/>
      <c r="C39007" s="36"/>
      <c r="E39007" s="1"/>
      <c r="F39007" s="1"/>
      <c r="G39007" s="1"/>
    </row>
    <row r="39008">
      <c r="B39008" s="36"/>
      <c r="C39008" s="36"/>
      <c r="E39008" s="1"/>
      <c r="F39008" s="1"/>
      <c r="G39008" s="1"/>
    </row>
    <row r="39009">
      <c r="B39009" s="36"/>
      <c r="C39009" s="36"/>
      <c r="E39009" s="1"/>
      <c r="F39009" s="1"/>
      <c r="G39009" s="1"/>
    </row>
    <row r="39010">
      <c r="B39010" s="36"/>
      <c r="C39010" s="36"/>
      <c r="E39010" s="1"/>
      <c r="F39010" s="1"/>
      <c r="G39010" s="1"/>
    </row>
    <row r="39011">
      <c r="B39011" s="36"/>
      <c r="C39011" s="36"/>
      <c r="E39011" s="1"/>
      <c r="F39011" s="1"/>
      <c r="G39011" s="1"/>
    </row>
    <row r="39012">
      <c r="B39012" s="36"/>
      <c r="C39012" s="36"/>
      <c r="E39012" s="1"/>
      <c r="F39012" s="1"/>
      <c r="G39012" s="1"/>
    </row>
    <row r="39013">
      <c r="B39013" s="36"/>
      <c r="C39013" s="36"/>
      <c r="E39013" s="1"/>
      <c r="F39013" s="1"/>
      <c r="G39013" s="1"/>
    </row>
    <row r="39014">
      <c r="B39014" s="36"/>
      <c r="C39014" s="36"/>
      <c r="E39014" s="1"/>
      <c r="F39014" s="1"/>
      <c r="G39014" s="1"/>
    </row>
    <row r="39015">
      <c r="B39015" s="36"/>
      <c r="C39015" s="36"/>
      <c r="E39015" s="1"/>
      <c r="F39015" s="1"/>
      <c r="G39015" s="1"/>
    </row>
    <row r="39016">
      <c r="B39016" s="36"/>
      <c r="C39016" s="36"/>
      <c r="E39016" s="1"/>
      <c r="F39016" s="1"/>
      <c r="G39016" s="1"/>
    </row>
    <row r="39017">
      <c r="B39017" s="36"/>
      <c r="C39017" s="36"/>
      <c r="E39017" s="1"/>
      <c r="F39017" s="1"/>
      <c r="G39017" s="1"/>
    </row>
    <row r="39018">
      <c r="B39018" s="36"/>
      <c r="C39018" s="36"/>
      <c r="E39018" s="1"/>
      <c r="F39018" s="1"/>
      <c r="G39018" s="1"/>
    </row>
    <row r="39019">
      <c r="B39019" s="36"/>
      <c r="C39019" s="36"/>
      <c r="E39019" s="1"/>
      <c r="F39019" s="1"/>
      <c r="G39019" s="1"/>
    </row>
    <row r="39020">
      <c r="B39020" s="36"/>
      <c r="C39020" s="36"/>
      <c r="E39020" s="1"/>
      <c r="F39020" s="1"/>
      <c r="G39020" s="1"/>
    </row>
    <row r="39021">
      <c r="B39021" s="36"/>
      <c r="C39021" s="36"/>
      <c r="E39021" s="1"/>
      <c r="F39021" s="1"/>
      <c r="G39021" s="1"/>
    </row>
    <row r="39022">
      <c r="B39022" s="36"/>
      <c r="C39022" s="36"/>
      <c r="E39022" s="1"/>
      <c r="F39022" s="1"/>
      <c r="G39022" s="1"/>
    </row>
    <row r="39023">
      <c r="B39023" s="36"/>
      <c r="C39023" s="36"/>
      <c r="E39023" s="1"/>
      <c r="F39023" s="1"/>
      <c r="G39023" s="1"/>
    </row>
    <row r="39024">
      <c r="B39024" s="36"/>
      <c r="C39024" s="36"/>
      <c r="E39024" s="1"/>
      <c r="F39024" s="1"/>
      <c r="G39024" s="1"/>
    </row>
    <row r="39025">
      <c r="B39025" s="36"/>
      <c r="C39025" s="36"/>
      <c r="E39025" s="1"/>
      <c r="F39025" s="1"/>
      <c r="G39025" s="1"/>
    </row>
    <row r="39026">
      <c r="B39026" s="36"/>
      <c r="C39026" s="36"/>
      <c r="E39026" s="1"/>
      <c r="F39026" s="1"/>
      <c r="G39026" s="1"/>
    </row>
    <row r="39027">
      <c r="B39027" s="36"/>
      <c r="C39027" s="36"/>
      <c r="E39027" s="1"/>
      <c r="F39027" s="1"/>
      <c r="G39027" s="1"/>
    </row>
    <row r="39028">
      <c r="B39028" s="36"/>
      <c r="C39028" s="36"/>
      <c r="E39028" s="1"/>
      <c r="F39028" s="1"/>
      <c r="G39028" s="1"/>
    </row>
    <row r="39029">
      <c r="B39029" s="36"/>
      <c r="C39029" s="36"/>
      <c r="E39029" s="1"/>
      <c r="F39029" s="1"/>
      <c r="G39029" s="1"/>
    </row>
    <row r="39030">
      <c r="B39030" s="36"/>
      <c r="C39030" s="36"/>
      <c r="E39030" s="1"/>
      <c r="F39030" s="1"/>
      <c r="G39030" s="1"/>
    </row>
    <row r="39031">
      <c r="B39031" s="36"/>
      <c r="C39031" s="36"/>
      <c r="E39031" s="1"/>
      <c r="F39031" s="1"/>
      <c r="G39031" s="1"/>
    </row>
    <row r="39032">
      <c r="B39032" s="36"/>
      <c r="C39032" s="36"/>
      <c r="E39032" s="1"/>
      <c r="F39032" s="1"/>
      <c r="G39032" s="1"/>
    </row>
    <row r="39033">
      <c r="B39033" s="36"/>
      <c r="C39033" s="36"/>
      <c r="E39033" s="1"/>
      <c r="F39033" s="1"/>
      <c r="G39033" s="1"/>
    </row>
    <row r="39034">
      <c r="B39034" s="36"/>
      <c r="C39034" s="36"/>
      <c r="E39034" s="1"/>
      <c r="F39034" s="1"/>
      <c r="G39034" s="1"/>
    </row>
    <row r="39035">
      <c r="B39035" s="36"/>
      <c r="C39035" s="36"/>
      <c r="E39035" s="1"/>
      <c r="F39035" s="1"/>
      <c r="G39035" s="1"/>
    </row>
    <row r="39036">
      <c r="B39036" s="36"/>
      <c r="C39036" s="36"/>
      <c r="E39036" s="1"/>
      <c r="F39036" s="1"/>
      <c r="G39036" s="1"/>
    </row>
    <row r="39037">
      <c r="B39037" s="36"/>
      <c r="C39037" s="36"/>
      <c r="E39037" s="1"/>
      <c r="F39037" s="1"/>
      <c r="G39037" s="1"/>
    </row>
    <row r="39038">
      <c r="B39038" s="36"/>
      <c r="C39038" s="36"/>
      <c r="E39038" s="1"/>
      <c r="F39038" s="1"/>
      <c r="G39038" s="1"/>
    </row>
    <row r="39039">
      <c r="B39039" s="36"/>
      <c r="C39039" s="36"/>
      <c r="E39039" s="1"/>
      <c r="F39039" s="1"/>
      <c r="G39039" s="1"/>
    </row>
    <row r="39040">
      <c r="B39040" s="36"/>
      <c r="C39040" s="36"/>
      <c r="E39040" s="1"/>
      <c r="F39040" s="1"/>
      <c r="G39040" s="1"/>
    </row>
    <row r="39041">
      <c r="B39041" s="36"/>
      <c r="C39041" s="36"/>
      <c r="E39041" s="1"/>
      <c r="F39041" s="1"/>
      <c r="G39041" s="1"/>
    </row>
    <row r="39042">
      <c r="B39042" s="36"/>
      <c r="C39042" s="36"/>
      <c r="E39042" s="1"/>
      <c r="F39042" s="1"/>
      <c r="G39042" s="1"/>
    </row>
    <row r="39043">
      <c r="B39043" s="36"/>
      <c r="C39043" s="36"/>
      <c r="E39043" s="1"/>
      <c r="F39043" s="1"/>
      <c r="G39043" s="1"/>
    </row>
    <row r="39044">
      <c r="B39044" s="36"/>
      <c r="C39044" s="36"/>
      <c r="E39044" s="1"/>
      <c r="F39044" s="1"/>
      <c r="G39044" s="1"/>
    </row>
    <row r="39045">
      <c r="B39045" s="36"/>
      <c r="C39045" s="36"/>
      <c r="E39045" s="1"/>
      <c r="F39045" s="1"/>
      <c r="G39045" s="1"/>
    </row>
    <row r="39046">
      <c r="B39046" s="36"/>
      <c r="C39046" s="36"/>
      <c r="E39046" s="1"/>
      <c r="F39046" s="1"/>
      <c r="G39046" s="1"/>
    </row>
    <row r="39047">
      <c r="B39047" s="36"/>
      <c r="C39047" s="36"/>
      <c r="E39047" s="1"/>
      <c r="F39047" s="1"/>
      <c r="G39047" s="1"/>
    </row>
    <row r="39048">
      <c r="B39048" s="36"/>
      <c r="C39048" s="36"/>
      <c r="E39048" s="1"/>
      <c r="F39048" s="1"/>
      <c r="G39048" s="1"/>
    </row>
    <row r="39049">
      <c r="B39049" s="36"/>
      <c r="C39049" s="36"/>
      <c r="E39049" s="1"/>
      <c r="F39049" s="1"/>
      <c r="G39049" s="1"/>
    </row>
    <row r="39050">
      <c r="B39050" s="36"/>
      <c r="C39050" s="36"/>
      <c r="E39050" s="1"/>
      <c r="F39050" s="1"/>
      <c r="G39050" s="1"/>
    </row>
    <row r="39051">
      <c r="B39051" s="36"/>
      <c r="C39051" s="36"/>
      <c r="E39051" s="1"/>
      <c r="F39051" s="1"/>
      <c r="G39051" s="1"/>
    </row>
    <row r="39052">
      <c r="B39052" s="36"/>
      <c r="C39052" s="36"/>
      <c r="E39052" s="1"/>
      <c r="F39052" s="1"/>
      <c r="G39052" s="1"/>
    </row>
    <row r="39053">
      <c r="B39053" s="36"/>
      <c r="C39053" s="36"/>
      <c r="E39053" s="1"/>
      <c r="F39053" s="1"/>
      <c r="G39053" s="1"/>
    </row>
    <row r="39054">
      <c r="B39054" s="36"/>
      <c r="C39054" s="36"/>
      <c r="E39054" s="1"/>
      <c r="F39054" s="1"/>
      <c r="G39054" s="1"/>
    </row>
    <row r="39055">
      <c r="B39055" s="36"/>
      <c r="C39055" s="36"/>
      <c r="E39055" s="1"/>
      <c r="F39055" s="1"/>
      <c r="G39055" s="1"/>
    </row>
    <row r="39056">
      <c r="B39056" s="36"/>
      <c r="C39056" s="36"/>
      <c r="E39056" s="1"/>
      <c r="F39056" s="1"/>
      <c r="G39056" s="1"/>
    </row>
    <row r="39057">
      <c r="B39057" s="36"/>
      <c r="C39057" s="36"/>
      <c r="E39057" s="1"/>
      <c r="F39057" s="1"/>
      <c r="G39057" s="1"/>
    </row>
    <row r="39058">
      <c r="B39058" s="36"/>
      <c r="C39058" s="36"/>
      <c r="E39058" s="1"/>
      <c r="F39058" s="1"/>
      <c r="G39058" s="1"/>
    </row>
    <row r="39059">
      <c r="B39059" s="36"/>
      <c r="C39059" s="36"/>
      <c r="E39059" s="1"/>
      <c r="F39059" s="1"/>
      <c r="G39059" s="1"/>
    </row>
    <row r="39060">
      <c r="B39060" s="36"/>
      <c r="C39060" s="36"/>
      <c r="E39060" s="1"/>
      <c r="F39060" s="1"/>
      <c r="G39060" s="1"/>
    </row>
    <row r="39061">
      <c r="B39061" s="36"/>
      <c r="C39061" s="36"/>
      <c r="E39061" s="1"/>
      <c r="F39061" s="1"/>
      <c r="G39061" s="1"/>
    </row>
    <row r="39062">
      <c r="B39062" s="36"/>
      <c r="C39062" s="36"/>
      <c r="E39062" s="1"/>
      <c r="F39062" s="1"/>
      <c r="G39062" s="1"/>
    </row>
    <row r="39063">
      <c r="B39063" s="36"/>
      <c r="C39063" s="36"/>
      <c r="E39063" s="1"/>
      <c r="F39063" s="1"/>
      <c r="G39063" s="1"/>
    </row>
    <row r="39064">
      <c r="B39064" s="36"/>
      <c r="C39064" s="36"/>
      <c r="E39064" s="1"/>
      <c r="F39064" s="1"/>
      <c r="G39064" s="1"/>
    </row>
    <row r="39065">
      <c r="B39065" s="36"/>
      <c r="C39065" s="36"/>
      <c r="E39065" s="1"/>
      <c r="F39065" s="1"/>
      <c r="G39065" s="1"/>
    </row>
    <row r="39066">
      <c r="B39066" s="36"/>
      <c r="C39066" s="36"/>
      <c r="E39066" s="1"/>
      <c r="F39066" s="1"/>
      <c r="G39066" s="1"/>
    </row>
    <row r="39067">
      <c r="B39067" s="36"/>
      <c r="C39067" s="36"/>
      <c r="E39067" s="1"/>
      <c r="F39067" s="1"/>
      <c r="G39067" s="1"/>
    </row>
    <row r="39068">
      <c r="B39068" s="36"/>
      <c r="C39068" s="36"/>
      <c r="E39068" s="1"/>
      <c r="F39068" s="1"/>
      <c r="G39068" s="1"/>
    </row>
    <row r="39069">
      <c r="B39069" s="36"/>
      <c r="C39069" s="36"/>
      <c r="E39069" s="1"/>
      <c r="F39069" s="1"/>
      <c r="G39069" s="1"/>
    </row>
    <row r="39070">
      <c r="B39070" s="36"/>
      <c r="C39070" s="36"/>
      <c r="E39070" s="1"/>
      <c r="F39070" s="1"/>
      <c r="G39070" s="1"/>
    </row>
    <row r="39071">
      <c r="B39071" s="36"/>
      <c r="C39071" s="36"/>
      <c r="E39071" s="1"/>
      <c r="F39071" s="1"/>
      <c r="G39071" s="1"/>
    </row>
    <row r="39072">
      <c r="B39072" s="36"/>
      <c r="C39072" s="36"/>
      <c r="E39072" s="1"/>
      <c r="F39072" s="1"/>
      <c r="G39072" s="1"/>
    </row>
    <row r="39073">
      <c r="B39073" s="36"/>
      <c r="C39073" s="36"/>
      <c r="E39073" s="1"/>
      <c r="F39073" s="1"/>
      <c r="G39073" s="1"/>
    </row>
    <row r="39074">
      <c r="B39074" s="36"/>
      <c r="C39074" s="36"/>
      <c r="E39074" s="1"/>
      <c r="F39074" s="1"/>
      <c r="G39074" s="1"/>
    </row>
    <row r="39075">
      <c r="B39075" s="36"/>
      <c r="C39075" s="36"/>
      <c r="E39075" s="1"/>
      <c r="F39075" s="1"/>
      <c r="G39075" s="1"/>
    </row>
    <row r="39076">
      <c r="B39076" s="36"/>
      <c r="C39076" s="36"/>
      <c r="E39076" s="1"/>
      <c r="F39076" s="1"/>
      <c r="G39076" s="1"/>
    </row>
    <row r="39077">
      <c r="B39077" s="36"/>
      <c r="C39077" s="36"/>
      <c r="E39077" s="1"/>
      <c r="F39077" s="1"/>
      <c r="G39077" s="1"/>
    </row>
    <row r="39078">
      <c r="B39078" s="36"/>
      <c r="C39078" s="36"/>
      <c r="E39078" s="1"/>
      <c r="F39078" s="1"/>
      <c r="G39078" s="1"/>
    </row>
    <row r="39079">
      <c r="B39079" s="36"/>
      <c r="C39079" s="36"/>
      <c r="E39079" s="1"/>
      <c r="F39079" s="1"/>
      <c r="G39079" s="1"/>
    </row>
    <row r="39080">
      <c r="B39080" s="36"/>
      <c r="C39080" s="36"/>
      <c r="E39080" s="1"/>
      <c r="F39080" s="1"/>
      <c r="G39080" s="1"/>
    </row>
    <row r="39081">
      <c r="B39081" s="36"/>
      <c r="C39081" s="36"/>
      <c r="E39081" s="1"/>
      <c r="F39081" s="1"/>
      <c r="G39081" s="1"/>
    </row>
    <row r="39082">
      <c r="B39082" s="36"/>
      <c r="C39082" s="36"/>
      <c r="E39082" s="1"/>
      <c r="F39082" s="1"/>
      <c r="G39082" s="1"/>
    </row>
    <row r="39083">
      <c r="B39083" s="36"/>
      <c r="C39083" s="36"/>
      <c r="E39083" s="1"/>
      <c r="F39083" s="1"/>
      <c r="G39083" s="1"/>
    </row>
    <row r="39084">
      <c r="B39084" s="36"/>
      <c r="C39084" s="36"/>
      <c r="E39084" s="1"/>
      <c r="F39084" s="1"/>
      <c r="G39084" s="1"/>
    </row>
    <row r="39085">
      <c r="B39085" s="36"/>
      <c r="C39085" s="36"/>
      <c r="E39085" s="1"/>
      <c r="F39085" s="1"/>
      <c r="G39085" s="1"/>
    </row>
    <row r="39086">
      <c r="B39086" s="36"/>
      <c r="C39086" s="36"/>
      <c r="E39086" s="1"/>
      <c r="F39086" s="1"/>
      <c r="G39086" s="1"/>
    </row>
    <row r="39087">
      <c r="B39087" s="36"/>
      <c r="C39087" s="36"/>
      <c r="E39087" s="1"/>
      <c r="F39087" s="1"/>
      <c r="G39087" s="1"/>
    </row>
    <row r="39088">
      <c r="B39088" s="36"/>
      <c r="C39088" s="36"/>
      <c r="E39088" s="1"/>
      <c r="F39088" s="1"/>
      <c r="G39088" s="1"/>
    </row>
    <row r="39089">
      <c r="B39089" s="36"/>
      <c r="C39089" s="36"/>
      <c r="E39089" s="1"/>
      <c r="F39089" s="1"/>
      <c r="G39089" s="1"/>
    </row>
    <row r="39090">
      <c r="B39090" s="36"/>
      <c r="C39090" s="36"/>
      <c r="E39090" s="1"/>
      <c r="F39090" s="1"/>
      <c r="G39090" s="1"/>
    </row>
    <row r="39091">
      <c r="B39091" s="36"/>
      <c r="C39091" s="36"/>
      <c r="E39091" s="1"/>
      <c r="F39091" s="1"/>
      <c r="G39091" s="1"/>
    </row>
    <row r="39092">
      <c r="B39092" s="36"/>
      <c r="C39092" s="36"/>
      <c r="E39092" s="1"/>
      <c r="F39092" s="1"/>
      <c r="G39092" s="1"/>
    </row>
    <row r="39093">
      <c r="B39093" s="36"/>
      <c r="C39093" s="36"/>
      <c r="E39093" s="1"/>
      <c r="F39093" s="1"/>
      <c r="G39093" s="1"/>
    </row>
    <row r="39094">
      <c r="B39094" s="36"/>
      <c r="C39094" s="36"/>
      <c r="E39094" s="1"/>
      <c r="F39094" s="1"/>
      <c r="G39094" s="1"/>
    </row>
    <row r="39095">
      <c r="B39095" s="36"/>
      <c r="C39095" s="36"/>
      <c r="E39095" s="1"/>
      <c r="F39095" s="1"/>
      <c r="G39095" s="1"/>
    </row>
    <row r="39096">
      <c r="B39096" s="36"/>
      <c r="C39096" s="36"/>
      <c r="E39096" s="1"/>
      <c r="F39096" s="1"/>
      <c r="G39096" s="1"/>
    </row>
    <row r="39097">
      <c r="B39097" s="36"/>
      <c r="C39097" s="36"/>
      <c r="E39097" s="1"/>
      <c r="F39097" s="1"/>
      <c r="G39097" s="1"/>
    </row>
    <row r="39098">
      <c r="B39098" s="36"/>
      <c r="C39098" s="36"/>
      <c r="E39098" s="1"/>
      <c r="F39098" s="1"/>
      <c r="G39098" s="1"/>
    </row>
    <row r="39099">
      <c r="B39099" s="36"/>
      <c r="C39099" s="36"/>
      <c r="E39099" s="1"/>
      <c r="F39099" s="1"/>
      <c r="G39099" s="1"/>
    </row>
    <row r="39100">
      <c r="B39100" s="36"/>
      <c r="C39100" s="36"/>
      <c r="E39100" s="1"/>
      <c r="F39100" s="1"/>
      <c r="G39100" s="1"/>
    </row>
    <row r="39101">
      <c r="B39101" s="36"/>
      <c r="C39101" s="36"/>
      <c r="E39101" s="1"/>
      <c r="F39101" s="1"/>
      <c r="G39101" s="1"/>
    </row>
    <row r="39102">
      <c r="B39102" s="36"/>
      <c r="C39102" s="36"/>
      <c r="E39102" s="1"/>
      <c r="F39102" s="1"/>
      <c r="G39102" s="1"/>
    </row>
    <row r="39103">
      <c r="B39103" s="36"/>
      <c r="C39103" s="36"/>
      <c r="E39103" s="1"/>
      <c r="F39103" s="1"/>
      <c r="G39103" s="1"/>
    </row>
    <row r="39104">
      <c r="B39104" s="36"/>
      <c r="C39104" s="36"/>
      <c r="E39104" s="1"/>
      <c r="F39104" s="1"/>
      <c r="G39104" s="1"/>
    </row>
    <row r="39105">
      <c r="B39105" s="36"/>
      <c r="C39105" s="36"/>
      <c r="E39105" s="1"/>
      <c r="F39105" s="1"/>
      <c r="G39105" s="1"/>
    </row>
    <row r="39106">
      <c r="B39106" s="36"/>
      <c r="C39106" s="36"/>
      <c r="E39106" s="1"/>
      <c r="F39106" s="1"/>
      <c r="G39106" s="1"/>
    </row>
    <row r="39107">
      <c r="B39107" s="36"/>
      <c r="C39107" s="36"/>
      <c r="E39107" s="1"/>
      <c r="F39107" s="1"/>
      <c r="G39107" s="1"/>
    </row>
    <row r="39108">
      <c r="B39108" s="36"/>
      <c r="C39108" s="36"/>
      <c r="E39108" s="1"/>
      <c r="F39108" s="1"/>
      <c r="G39108" s="1"/>
    </row>
    <row r="39109">
      <c r="B39109" s="36"/>
      <c r="C39109" s="36"/>
      <c r="E39109" s="1"/>
      <c r="F39109" s="1"/>
      <c r="G39109" s="1"/>
    </row>
    <row r="39110">
      <c r="B39110" s="36"/>
      <c r="C39110" s="36"/>
      <c r="E39110" s="1"/>
      <c r="F39110" s="1"/>
      <c r="G39110" s="1"/>
    </row>
    <row r="39111">
      <c r="B39111" s="36"/>
      <c r="C39111" s="36"/>
      <c r="E39111" s="1"/>
      <c r="F39111" s="1"/>
      <c r="G39111" s="1"/>
    </row>
    <row r="39112">
      <c r="B39112" s="36"/>
      <c r="C39112" s="36"/>
      <c r="E39112" s="1"/>
      <c r="F39112" s="1"/>
      <c r="G39112" s="1"/>
    </row>
    <row r="39113">
      <c r="B39113" s="36"/>
      <c r="C39113" s="36"/>
      <c r="E39113" s="1"/>
      <c r="F39113" s="1"/>
      <c r="G39113" s="1"/>
    </row>
    <row r="39114">
      <c r="B39114" s="36"/>
      <c r="C39114" s="36"/>
      <c r="E39114" s="1"/>
      <c r="F39114" s="1"/>
      <c r="G39114" s="1"/>
    </row>
    <row r="39115">
      <c r="B39115" s="36"/>
      <c r="C39115" s="36"/>
      <c r="E39115" s="1"/>
      <c r="F39115" s="1"/>
      <c r="G39115" s="1"/>
    </row>
    <row r="39116">
      <c r="B39116" s="36"/>
      <c r="C39116" s="36"/>
      <c r="E39116" s="1"/>
      <c r="F39116" s="1"/>
      <c r="G39116" s="1"/>
    </row>
    <row r="39117">
      <c r="B39117" s="36"/>
      <c r="C39117" s="36"/>
      <c r="E39117" s="1"/>
      <c r="F39117" s="1"/>
      <c r="G39117" s="1"/>
    </row>
    <row r="39118">
      <c r="B39118" s="36"/>
      <c r="C39118" s="36"/>
      <c r="E39118" s="1"/>
      <c r="F39118" s="1"/>
      <c r="G39118" s="1"/>
    </row>
    <row r="39119">
      <c r="B39119" s="36"/>
      <c r="C39119" s="36"/>
      <c r="E39119" s="1"/>
      <c r="F39119" s="1"/>
      <c r="G39119" s="1"/>
    </row>
    <row r="39120">
      <c r="B39120" s="36"/>
      <c r="C39120" s="36"/>
      <c r="E39120" s="1"/>
      <c r="F39120" s="1"/>
      <c r="G39120" s="1"/>
    </row>
    <row r="39121">
      <c r="B39121" s="36"/>
      <c r="C39121" s="36"/>
      <c r="E39121" s="1"/>
      <c r="F39121" s="1"/>
      <c r="G39121" s="1"/>
    </row>
    <row r="39122">
      <c r="B39122" s="36"/>
      <c r="C39122" s="36"/>
      <c r="E39122" s="1"/>
      <c r="F39122" s="1"/>
      <c r="G39122" s="1"/>
    </row>
    <row r="39123">
      <c r="B39123" s="36"/>
      <c r="C39123" s="36"/>
      <c r="E39123" s="1"/>
      <c r="F39123" s="1"/>
      <c r="G39123" s="1"/>
    </row>
    <row r="39124">
      <c r="B39124" s="36"/>
      <c r="C39124" s="36"/>
      <c r="E39124" s="1"/>
      <c r="F39124" s="1"/>
      <c r="G39124" s="1"/>
    </row>
    <row r="39125">
      <c r="B39125" s="36"/>
      <c r="C39125" s="36"/>
      <c r="E39125" s="1"/>
      <c r="F39125" s="1"/>
      <c r="G39125" s="1"/>
    </row>
    <row r="39126">
      <c r="B39126" s="36"/>
      <c r="C39126" s="36"/>
      <c r="E39126" s="1"/>
      <c r="F39126" s="1"/>
      <c r="G39126" s="1"/>
    </row>
    <row r="39127">
      <c r="B39127" s="36"/>
      <c r="C39127" s="36"/>
      <c r="E39127" s="1"/>
      <c r="F39127" s="1"/>
      <c r="G39127" s="1"/>
    </row>
    <row r="39128">
      <c r="B39128" s="36"/>
      <c r="C39128" s="36"/>
      <c r="E39128" s="1"/>
      <c r="F39128" s="1"/>
      <c r="G39128" s="1"/>
    </row>
    <row r="39129">
      <c r="B39129" s="36"/>
      <c r="C39129" s="36"/>
      <c r="E39129" s="1"/>
      <c r="F39129" s="1"/>
      <c r="G39129" s="1"/>
    </row>
    <row r="39130">
      <c r="B39130" s="36"/>
      <c r="C39130" s="36"/>
      <c r="E39130" s="1"/>
      <c r="F39130" s="1"/>
      <c r="G39130" s="1"/>
    </row>
    <row r="39131">
      <c r="B39131" s="36"/>
      <c r="C39131" s="36"/>
      <c r="E39131" s="1"/>
      <c r="F39131" s="1"/>
      <c r="G39131" s="1"/>
    </row>
    <row r="39132">
      <c r="B39132" s="36"/>
      <c r="C39132" s="36"/>
      <c r="E39132" s="1"/>
      <c r="F39132" s="1"/>
      <c r="G39132" s="1"/>
    </row>
    <row r="39133">
      <c r="B39133" s="36"/>
      <c r="C39133" s="36"/>
      <c r="E39133" s="1"/>
      <c r="F39133" s="1"/>
      <c r="G39133" s="1"/>
    </row>
    <row r="39134">
      <c r="B39134" s="36"/>
      <c r="C39134" s="36"/>
      <c r="E39134" s="1"/>
      <c r="F39134" s="1"/>
      <c r="G39134" s="1"/>
    </row>
    <row r="39135">
      <c r="B39135" s="36"/>
      <c r="C39135" s="36"/>
      <c r="E39135" s="1"/>
      <c r="F39135" s="1"/>
      <c r="G39135" s="1"/>
    </row>
    <row r="39136">
      <c r="B39136" s="36"/>
      <c r="C39136" s="36"/>
      <c r="E39136" s="1"/>
      <c r="F39136" s="1"/>
      <c r="G39136" s="1"/>
    </row>
    <row r="39137">
      <c r="B39137" s="36"/>
      <c r="C39137" s="36"/>
      <c r="E39137" s="1"/>
      <c r="F39137" s="1"/>
      <c r="G39137" s="1"/>
    </row>
    <row r="39138">
      <c r="B39138" s="36"/>
      <c r="C39138" s="36"/>
      <c r="E39138" s="1"/>
      <c r="F39138" s="1"/>
      <c r="G39138" s="1"/>
    </row>
    <row r="39139">
      <c r="B39139" s="36"/>
      <c r="C39139" s="36"/>
      <c r="E39139" s="1"/>
      <c r="F39139" s="1"/>
      <c r="G39139" s="1"/>
    </row>
    <row r="39140">
      <c r="B39140" s="36"/>
      <c r="C39140" s="36"/>
      <c r="E39140" s="1"/>
      <c r="F39140" s="1"/>
      <c r="G39140" s="1"/>
    </row>
    <row r="39141">
      <c r="B39141" s="36"/>
      <c r="C39141" s="36"/>
      <c r="E39141" s="1"/>
      <c r="F39141" s="1"/>
      <c r="G39141" s="1"/>
    </row>
    <row r="39142">
      <c r="B39142" s="36"/>
      <c r="C39142" s="36"/>
      <c r="E39142" s="1"/>
      <c r="F39142" s="1"/>
      <c r="G39142" s="1"/>
    </row>
    <row r="39143">
      <c r="B39143" s="36"/>
      <c r="C39143" s="36"/>
      <c r="E39143" s="1"/>
      <c r="F39143" s="1"/>
      <c r="G39143" s="1"/>
    </row>
    <row r="39144">
      <c r="B39144" s="36"/>
      <c r="C39144" s="36"/>
      <c r="E39144" s="1"/>
      <c r="F39144" s="1"/>
      <c r="G39144" s="1"/>
    </row>
    <row r="39145">
      <c r="B39145" s="36"/>
      <c r="C39145" s="36"/>
      <c r="E39145" s="1"/>
      <c r="F39145" s="1"/>
      <c r="G39145" s="1"/>
    </row>
    <row r="39146">
      <c r="B39146" s="36"/>
      <c r="C39146" s="36"/>
      <c r="E39146" s="1"/>
      <c r="F39146" s="1"/>
      <c r="G39146" s="1"/>
    </row>
    <row r="39147">
      <c r="B39147" s="36"/>
      <c r="C39147" s="36"/>
      <c r="E39147" s="1"/>
      <c r="F39147" s="1"/>
      <c r="G39147" s="1"/>
    </row>
    <row r="39148">
      <c r="B39148" s="36"/>
      <c r="C39148" s="36"/>
      <c r="E39148" s="1"/>
      <c r="F39148" s="1"/>
      <c r="G39148" s="1"/>
    </row>
    <row r="39149">
      <c r="B39149" s="36"/>
      <c r="C39149" s="36"/>
      <c r="E39149" s="1"/>
      <c r="F39149" s="1"/>
      <c r="G39149" s="1"/>
    </row>
    <row r="39150">
      <c r="B39150" s="36"/>
      <c r="C39150" s="36"/>
      <c r="E39150" s="1"/>
      <c r="F39150" s="1"/>
      <c r="G39150" s="1"/>
    </row>
    <row r="39151">
      <c r="B39151" s="36"/>
      <c r="C39151" s="36"/>
      <c r="E39151" s="1"/>
      <c r="F39151" s="1"/>
      <c r="G39151" s="1"/>
    </row>
    <row r="39152">
      <c r="B39152" s="36"/>
      <c r="C39152" s="36"/>
      <c r="E39152" s="1"/>
      <c r="F39152" s="1"/>
      <c r="G39152" s="1"/>
    </row>
    <row r="39153">
      <c r="B39153" s="36"/>
      <c r="C39153" s="36"/>
      <c r="E39153" s="1"/>
      <c r="F39153" s="1"/>
      <c r="G39153" s="1"/>
    </row>
    <row r="39154">
      <c r="B39154" s="36"/>
      <c r="C39154" s="36"/>
      <c r="E39154" s="1"/>
      <c r="F39154" s="1"/>
      <c r="G39154" s="1"/>
    </row>
    <row r="39155">
      <c r="B39155" s="36"/>
      <c r="C39155" s="36"/>
      <c r="E39155" s="1"/>
      <c r="F39155" s="1"/>
      <c r="G39155" s="1"/>
    </row>
    <row r="39156">
      <c r="B39156" s="36"/>
      <c r="C39156" s="36"/>
      <c r="E39156" s="1"/>
      <c r="F39156" s="1"/>
      <c r="G39156" s="1"/>
    </row>
    <row r="39157">
      <c r="B39157" s="36"/>
      <c r="C39157" s="36"/>
      <c r="E39157" s="1"/>
      <c r="F39157" s="1"/>
      <c r="G39157" s="1"/>
    </row>
    <row r="39158">
      <c r="B39158" s="36"/>
      <c r="C39158" s="36"/>
      <c r="E39158" s="1"/>
      <c r="F39158" s="1"/>
      <c r="G39158" s="1"/>
    </row>
    <row r="39159">
      <c r="B39159" s="36"/>
      <c r="C39159" s="36"/>
      <c r="E39159" s="1"/>
      <c r="F39159" s="1"/>
      <c r="G39159" s="1"/>
    </row>
    <row r="39160">
      <c r="B39160" s="36"/>
      <c r="C39160" s="36"/>
      <c r="E39160" s="1"/>
      <c r="F39160" s="1"/>
      <c r="G39160" s="1"/>
    </row>
    <row r="39161">
      <c r="B39161" s="36"/>
      <c r="C39161" s="36"/>
      <c r="E39161" s="1"/>
      <c r="F39161" s="1"/>
      <c r="G39161" s="1"/>
    </row>
    <row r="39162">
      <c r="B39162" s="36"/>
      <c r="C39162" s="36"/>
      <c r="E39162" s="1"/>
      <c r="F39162" s="1"/>
      <c r="G39162" s="1"/>
    </row>
    <row r="39163">
      <c r="B39163" s="36"/>
      <c r="C39163" s="36"/>
      <c r="E39163" s="1"/>
      <c r="F39163" s="1"/>
      <c r="G39163" s="1"/>
    </row>
    <row r="39164">
      <c r="B39164" s="36"/>
      <c r="C39164" s="36"/>
      <c r="E39164" s="1"/>
      <c r="F39164" s="1"/>
      <c r="G39164" s="1"/>
    </row>
    <row r="39165">
      <c r="B39165" s="36"/>
      <c r="C39165" s="36"/>
      <c r="E39165" s="1"/>
      <c r="F39165" s="1"/>
      <c r="G39165" s="1"/>
    </row>
    <row r="39166">
      <c r="B39166" s="36"/>
      <c r="C39166" s="36"/>
      <c r="E39166" s="1"/>
      <c r="F39166" s="1"/>
      <c r="G39166" s="1"/>
    </row>
    <row r="39167">
      <c r="B39167" s="36"/>
      <c r="C39167" s="36"/>
      <c r="E39167" s="1"/>
      <c r="F39167" s="1"/>
      <c r="G39167" s="1"/>
    </row>
    <row r="39168">
      <c r="B39168" s="36"/>
      <c r="C39168" s="36"/>
      <c r="E39168" s="1"/>
      <c r="F39168" s="1"/>
      <c r="G39168" s="1"/>
    </row>
    <row r="39169">
      <c r="B39169" s="36"/>
      <c r="C39169" s="36"/>
      <c r="E39169" s="1"/>
      <c r="F39169" s="1"/>
      <c r="G39169" s="1"/>
    </row>
    <row r="39170">
      <c r="B39170" s="36"/>
      <c r="C39170" s="36"/>
      <c r="E39170" s="1"/>
      <c r="F39170" s="1"/>
      <c r="G39170" s="1"/>
    </row>
    <row r="39171">
      <c r="B39171" s="36"/>
      <c r="C39171" s="36"/>
      <c r="E39171" s="1"/>
      <c r="F39171" s="1"/>
      <c r="G39171" s="1"/>
    </row>
    <row r="39172">
      <c r="B39172" s="36"/>
      <c r="C39172" s="36"/>
      <c r="E39172" s="1"/>
      <c r="F39172" s="1"/>
      <c r="G39172" s="1"/>
    </row>
    <row r="39173">
      <c r="B39173" s="36"/>
      <c r="C39173" s="36"/>
      <c r="E39173" s="1"/>
      <c r="F39173" s="1"/>
      <c r="G39173" s="1"/>
    </row>
    <row r="39174">
      <c r="B39174" s="36"/>
      <c r="C39174" s="36"/>
      <c r="E39174" s="1"/>
      <c r="F39174" s="1"/>
      <c r="G39174" s="1"/>
    </row>
    <row r="39175">
      <c r="B39175" s="36"/>
      <c r="C39175" s="36"/>
      <c r="E39175" s="1"/>
      <c r="F39175" s="1"/>
      <c r="G39175" s="1"/>
    </row>
    <row r="39176">
      <c r="B39176" s="36"/>
      <c r="C39176" s="36"/>
      <c r="E39176" s="1"/>
      <c r="F39176" s="1"/>
      <c r="G39176" s="1"/>
    </row>
    <row r="39177">
      <c r="B39177" s="36"/>
      <c r="C39177" s="36"/>
      <c r="E39177" s="1"/>
      <c r="F39177" s="1"/>
      <c r="G39177" s="1"/>
    </row>
    <row r="39178">
      <c r="B39178" s="36"/>
      <c r="C39178" s="36"/>
      <c r="E39178" s="1"/>
      <c r="F39178" s="1"/>
      <c r="G39178" s="1"/>
    </row>
    <row r="39179">
      <c r="B39179" s="36"/>
      <c r="C39179" s="36"/>
      <c r="E39179" s="1"/>
      <c r="F39179" s="1"/>
      <c r="G39179" s="1"/>
    </row>
    <row r="39180">
      <c r="B39180" s="36"/>
      <c r="C39180" s="36"/>
      <c r="E39180" s="1"/>
      <c r="F39180" s="1"/>
      <c r="G39180" s="1"/>
    </row>
    <row r="39181">
      <c r="B39181" s="36"/>
      <c r="C39181" s="36"/>
      <c r="E39181" s="1"/>
      <c r="F39181" s="1"/>
      <c r="G39181" s="1"/>
    </row>
    <row r="39182">
      <c r="B39182" s="36"/>
      <c r="C39182" s="36"/>
      <c r="E39182" s="1"/>
      <c r="F39182" s="1"/>
      <c r="G39182" s="1"/>
    </row>
    <row r="39183">
      <c r="B39183" s="36"/>
      <c r="C39183" s="36"/>
      <c r="E39183" s="1"/>
      <c r="F39183" s="1"/>
      <c r="G39183" s="1"/>
    </row>
    <row r="39184">
      <c r="B39184" s="36"/>
      <c r="C39184" s="36"/>
      <c r="E39184" s="1"/>
      <c r="F39184" s="1"/>
      <c r="G39184" s="1"/>
    </row>
    <row r="39185">
      <c r="B39185" s="36"/>
      <c r="C39185" s="36"/>
      <c r="E39185" s="1"/>
      <c r="F39185" s="1"/>
      <c r="G39185" s="1"/>
    </row>
    <row r="39186">
      <c r="B39186" s="36"/>
      <c r="C39186" s="36"/>
      <c r="E39186" s="1"/>
      <c r="F39186" s="1"/>
      <c r="G39186" s="1"/>
    </row>
    <row r="39187">
      <c r="B39187" s="36"/>
      <c r="C39187" s="36"/>
      <c r="E39187" s="1"/>
      <c r="F39187" s="1"/>
      <c r="G39187" s="1"/>
    </row>
    <row r="39188">
      <c r="B39188" s="36"/>
      <c r="C39188" s="36"/>
      <c r="E39188" s="1"/>
      <c r="F39188" s="1"/>
      <c r="G39188" s="1"/>
    </row>
    <row r="39189">
      <c r="B39189" s="36"/>
      <c r="C39189" s="36"/>
      <c r="E39189" s="1"/>
      <c r="F39189" s="1"/>
      <c r="G39189" s="1"/>
    </row>
    <row r="39190">
      <c r="B39190" s="36"/>
      <c r="C39190" s="36"/>
      <c r="E39190" s="1"/>
      <c r="F39190" s="1"/>
      <c r="G39190" s="1"/>
    </row>
    <row r="39191">
      <c r="B39191" s="36"/>
      <c r="C39191" s="36"/>
      <c r="E39191" s="1"/>
      <c r="F39191" s="1"/>
      <c r="G39191" s="1"/>
    </row>
    <row r="39192">
      <c r="B39192" s="36"/>
      <c r="C39192" s="36"/>
      <c r="E39192" s="1"/>
      <c r="F39192" s="1"/>
      <c r="G39192" s="1"/>
    </row>
    <row r="39193">
      <c r="B39193" s="36"/>
      <c r="C39193" s="36"/>
      <c r="E39193" s="1"/>
      <c r="F39193" s="1"/>
      <c r="G39193" s="1"/>
    </row>
    <row r="39194">
      <c r="B39194" s="36"/>
      <c r="C39194" s="36"/>
      <c r="E39194" s="1"/>
      <c r="F39194" s="1"/>
      <c r="G39194" s="1"/>
    </row>
    <row r="39195">
      <c r="B39195" s="36"/>
      <c r="C39195" s="36"/>
      <c r="E39195" s="1"/>
      <c r="F39195" s="1"/>
      <c r="G39195" s="1"/>
    </row>
    <row r="39196">
      <c r="B39196" s="36"/>
      <c r="C39196" s="36"/>
      <c r="E39196" s="1"/>
      <c r="F39196" s="1"/>
      <c r="G39196" s="1"/>
    </row>
    <row r="39197">
      <c r="B39197" s="36"/>
      <c r="C39197" s="36"/>
      <c r="E39197" s="1"/>
      <c r="F39197" s="1"/>
      <c r="G39197" s="1"/>
    </row>
    <row r="39198">
      <c r="B39198" s="36"/>
      <c r="C39198" s="36"/>
      <c r="E39198" s="1"/>
      <c r="F39198" s="1"/>
      <c r="G39198" s="1"/>
    </row>
    <row r="39199">
      <c r="B39199" s="36"/>
      <c r="C39199" s="36"/>
      <c r="E39199" s="1"/>
      <c r="F39199" s="1"/>
      <c r="G39199" s="1"/>
    </row>
    <row r="39200">
      <c r="B39200" s="36"/>
      <c r="C39200" s="36"/>
      <c r="E39200" s="1"/>
      <c r="F39200" s="1"/>
      <c r="G39200" s="1"/>
    </row>
    <row r="39201">
      <c r="B39201" s="36"/>
      <c r="C39201" s="36"/>
      <c r="E39201" s="1"/>
      <c r="F39201" s="1"/>
      <c r="G39201" s="1"/>
    </row>
    <row r="39202">
      <c r="B39202" s="36"/>
      <c r="C39202" s="36"/>
      <c r="E39202" s="1"/>
      <c r="F39202" s="1"/>
      <c r="G39202" s="1"/>
    </row>
    <row r="39203">
      <c r="B39203" s="36"/>
      <c r="C39203" s="36"/>
      <c r="E39203" s="1"/>
      <c r="F39203" s="1"/>
      <c r="G39203" s="1"/>
    </row>
    <row r="39204">
      <c r="B39204" s="36"/>
      <c r="C39204" s="36"/>
      <c r="E39204" s="1"/>
      <c r="F39204" s="1"/>
      <c r="G39204" s="1"/>
    </row>
    <row r="39205">
      <c r="B39205" s="36"/>
      <c r="C39205" s="36"/>
      <c r="E39205" s="1"/>
      <c r="F39205" s="1"/>
      <c r="G39205" s="1"/>
    </row>
    <row r="39206">
      <c r="B39206" s="36"/>
      <c r="C39206" s="36"/>
      <c r="E39206" s="1"/>
      <c r="F39206" s="1"/>
      <c r="G39206" s="1"/>
    </row>
    <row r="39207">
      <c r="B39207" s="36"/>
      <c r="C39207" s="36"/>
      <c r="E39207" s="1"/>
      <c r="F39207" s="1"/>
      <c r="G39207" s="1"/>
    </row>
    <row r="39208">
      <c r="B39208" s="36"/>
      <c r="C39208" s="36"/>
      <c r="E39208" s="1"/>
      <c r="F39208" s="1"/>
      <c r="G39208" s="1"/>
    </row>
    <row r="39209">
      <c r="B39209" s="36"/>
      <c r="C39209" s="36"/>
      <c r="E39209" s="1"/>
      <c r="F39209" s="1"/>
      <c r="G39209" s="1"/>
    </row>
    <row r="39210">
      <c r="B39210" s="36"/>
      <c r="C39210" s="36"/>
      <c r="E39210" s="1"/>
      <c r="F39210" s="1"/>
      <c r="G39210" s="1"/>
    </row>
    <row r="39211">
      <c r="B39211" s="36"/>
      <c r="C39211" s="36"/>
      <c r="E39211" s="1"/>
      <c r="F39211" s="1"/>
      <c r="G39211" s="1"/>
    </row>
    <row r="39212">
      <c r="B39212" s="36"/>
      <c r="C39212" s="36"/>
      <c r="E39212" s="1"/>
      <c r="F39212" s="1"/>
      <c r="G39212" s="1"/>
    </row>
    <row r="39213">
      <c r="B39213" s="36"/>
      <c r="C39213" s="36"/>
      <c r="E39213" s="1"/>
      <c r="F39213" s="1"/>
      <c r="G39213" s="1"/>
    </row>
    <row r="39214">
      <c r="B39214" s="36"/>
      <c r="C39214" s="36"/>
      <c r="E39214" s="1"/>
      <c r="F39214" s="1"/>
      <c r="G39214" s="1"/>
    </row>
    <row r="39215">
      <c r="B39215" s="36"/>
      <c r="C39215" s="36"/>
      <c r="E39215" s="1"/>
      <c r="F39215" s="1"/>
      <c r="G39215" s="1"/>
    </row>
    <row r="39216">
      <c r="B39216" s="36"/>
      <c r="C39216" s="36"/>
      <c r="E39216" s="1"/>
      <c r="F39216" s="1"/>
      <c r="G39216" s="1"/>
    </row>
    <row r="39217">
      <c r="B39217" s="36"/>
      <c r="C39217" s="36"/>
      <c r="E39217" s="1"/>
      <c r="F39217" s="1"/>
      <c r="G39217" s="1"/>
    </row>
    <row r="39218">
      <c r="B39218" s="36"/>
      <c r="C39218" s="36"/>
      <c r="E39218" s="1"/>
      <c r="F39218" s="1"/>
      <c r="G39218" s="1"/>
    </row>
    <row r="39219">
      <c r="B39219" s="36"/>
      <c r="C39219" s="36"/>
      <c r="E39219" s="1"/>
      <c r="F39219" s="1"/>
      <c r="G39219" s="1"/>
    </row>
    <row r="39220">
      <c r="B39220" s="36"/>
      <c r="C39220" s="36"/>
      <c r="E39220" s="1"/>
      <c r="F39220" s="1"/>
      <c r="G39220" s="1"/>
    </row>
    <row r="39221">
      <c r="B39221" s="36"/>
      <c r="C39221" s="36"/>
      <c r="E39221" s="1"/>
      <c r="F39221" s="1"/>
      <c r="G39221" s="1"/>
    </row>
    <row r="39222">
      <c r="B39222" s="36"/>
      <c r="C39222" s="36"/>
      <c r="E39222" s="1"/>
      <c r="F39222" s="1"/>
      <c r="G39222" s="1"/>
    </row>
    <row r="39223">
      <c r="B39223" s="36"/>
      <c r="C39223" s="36"/>
      <c r="E39223" s="1"/>
      <c r="F39223" s="1"/>
      <c r="G39223" s="1"/>
    </row>
    <row r="39224">
      <c r="B39224" s="36"/>
      <c r="C39224" s="36"/>
      <c r="E39224" s="1"/>
      <c r="F39224" s="1"/>
      <c r="G39224" s="1"/>
    </row>
    <row r="39225">
      <c r="B39225" s="36"/>
      <c r="C39225" s="36"/>
      <c r="E39225" s="1"/>
      <c r="F39225" s="1"/>
      <c r="G39225" s="1"/>
    </row>
    <row r="39226">
      <c r="B39226" s="36"/>
      <c r="C39226" s="36"/>
      <c r="E39226" s="1"/>
      <c r="F39226" s="1"/>
      <c r="G39226" s="1"/>
    </row>
    <row r="39227">
      <c r="B39227" s="36"/>
      <c r="C39227" s="36"/>
      <c r="E39227" s="1"/>
      <c r="F39227" s="1"/>
      <c r="G39227" s="1"/>
    </row>
    <row r="39228">
      <c r="B39228" s="36"/>
      <c r="C39228" s="36"/>
      <c r="E39228" s="1"/>
      <c r="F39228" s="1"/>
      <c r="G39228" s="1"/>
    </row>
    <row r="39229">
      <c r="B39229" s="36"/>
      <c r="C39229" s="36"/>
      <c r="E39229" s="1"/>
      <c r="F39229" s="1"/>
      <c r="G39229" s="1"/>
    </row>
    <row r="39230">
      <c r="B39230" s="36"/>
      <c r="C39230" s="36"/>
      <c r="E39230" s="1"/>
      <c r="F39230" s="1"/>
      <c r="G39230" s="1"/>
    </row>
    <row r="39231">
      <c r="B39231" s="36"/>
      <c r="C39231" s="36"/>
      <c r="E39231" s="1"/>
      <c r="F39231" s="1"/>
      <c r="G39231" s="1"/>
    </row>
    <row r="39232">
      <c r="B39232" s="36"/>
      <c r="C39232" s="36"/>
      <c r="E39232" s="1"/>
      <c r="F39232" s="1"/>
      <c r="G39232" s="1"/>
    </row>
    <row r="39233">
      <c r="B39233" s="36"/>
      <c r="C39233" s="36"/>
      <c r="E39233" s="1"/>
      <c r="F39233" s="1"/>
      <c r="G39233" s="1"/>
    </row>
    <row r="39234">
      <c r="B39234" s="36"/>
      <c r="C39234" s="36"/>
      <c r="E39234" s="1"/>
      <c r="F39234" s="1"/>
      <c r="G39234" s="1"/>
    </row>
    <row r="39235">
      <c r="B39235" s="36"/>
      <c r="C39235" s="36"/>
      <c r="E39235" s="1"/>
      <c r="F39235" s="1"/>
      <c r="G39235" s="1"/>
    </row>
    <row r="39236">
      <c r="B39236" s="36"/>
      <c r="C39236" s="36"/>
      <c r="E39236" s="1"/>
      <c r="F39236" s="1"/>
      <c r="G39236" s="1"/>
    </row>
    <row r="39237">
      <c r="B39237" s="36"/>
      <c r="C39237" s="36"/>
      <c r="E39237" s="1"/>
      <c r="F39237" s="1"/>
      <c r="G39237" s="1"/>
    </row>
    <row r="39238">
      <c r="B39238" s="36"/>
      <c r="C39238" s="36"/>
      <c r="E39238" s="1"/>
      <c r="F39238" s="1"/>
      <c r="G39238" s="1"/>
    </row>
    <row r="39239">
      <c r="B39239" s="36"/>
      <c r="C39239" s="36"/>
      <c r="E39239" s="1"/>
      <c r="F39239" s="1"/>
      <c r="G39239" s="1"/>
    </row>
    <row r="39240">
      <c r="B39240" s="36"/>
      <c r="C39240" s="36"/>
      <c r="E39240" s="1"/>
      <c r="F39240" s="1"/>
      <c r="G39240" s="1"/>
    </row>
    <row r="39241">
      <c r="B39241" s="36"/>
      <c r="C39241" s="36"/>
      <c r="E39241" s="1"/>
      <c r="F39241" s="1"/>
      <c r="G39241" s="1"/>
    </row>
    <row r="39242">
      <c r="B39242" s="36"/>
      <c r="C39242" s="36"/>
      <c r="E39242" s="1"/>
      <c r="F39242" s="1"/>
      <c r="G39242" s="1"/>
    </row>
    <row r="39243">
      <c r="B39243" s="36"/>
      <c r="C39243" s="36"/>
      <c r="E39243" s="1"/>
      <c r="F39243" s="1"/>
      <c r="G39243" s="1"/>
    </row>
    <row r="39244">
      <c r="B39244" s="36"/>
      <c r="C39244" s="36"/>
      <c r="E39244" s="1"/>
      <c r="F39244" s="1"/>
      <c r="G39244" s="1"/>
    </row>
    <row r="39245">
      <c r="B39245" s="36"/>
      <c r="C39245" s="36"/>
      <c r="E39245" s="1"/>
      <c r="F39245" s="1"/>
      <c r="G39245" s="1"/>
    </row>
    <row r="39246">
      <c r="B39246" s="36"/>
      <c r="C39246" s="36"/>
      <c r="E39246" s="1"/>
      <c r="F39246" s="1"/>
      <c r="G39246" s="1"/>
    </row>
    <row r="39247">
      <c r="B39247" s="36"/>
      <c r="C39247" s="36"/>
      <c r="E39247" s="1"/>
      <c r="F39247" s="1"/>
      <c r="G39247" s="1"/>
    </row>
    <row r="39248">
      <c r="B39248" s="36"/>
      <c r="C39248" s="36"/>
      <c r="E39248" s="1"/>
      <c r="F39248" s="1"/>
      <c r="G39248" s="1"/>
    </row>
    <row r="39249">
      <c r="B39249" s="36"/>
      <c r="C39249" s="36"/>
      <c r="E39249" s="1"/>
      <c r="F39249" s="1"/>
      <c r="G39249" s="1"/>
    </row>
    <row r="39250">
      <c r="B39250" s="36"/>
      <c r="C39250" s="36"/>
      <c r="E39250" s="1"/>
      <c r="F39250" s="1"/>
      <c r="G39250" s="1"/>
    </row>
    <row r="39251">
      <c r="B39251" s="36"/>
      <c r="C39251" s="36"/>
      <c r="E39251" s="1"/>
      <c r="F39251" s="1"/>
      <c r="G39251" s="1"/>
    </row>
    <row r="39252">
      <c r="B39252" s="36"/>
      <c r="C39252" s="36"/>
      <c r="E39252" s="1"/>
      <c r="F39252" s="1"/>
      <c r="G39252" s="1"/>
    </row>
    <row r="39253">
      <c r="B39253" s="36"/>
      <c r="C39253" s="36"/>
      <c r="E39253" s="1"/>
      <c r="F39253" s="1"/>
      <c r="G39253" s="1"/>
    </row>
    <row r="39254">
      <c r="B39254" s="36"/>
      <c r="C39254" s="36"/>
      <c r="E39254" s="1"/>
      <c r="F39254" s="1"/>
      <c r="G39254" s="1"/>
    </row>
    <row r="39255">
      <c r="B39255" s="36"/>
      <c r="C39255" s="36"/>
      <c r="E39255" s="1"/>
      <c r="F39255" s="1"/>
      <c r="G39255" s="1"/>
    </row>
    <row r="39256">
      <c r="B39256" s="36"/>
      <c r="C39256" s="36"/>
      <c r="E39256" s="1"/>
      <c r="F39256" s="1"/>
      <c r="G39256" s="1"/>
    </row>
    <row r="39257">
      <c r="B39257" s="36"/>
      <c r="C39257" s="36"/>
      <c r="E39257" s="1"/>
      <c r="F39257" s="1"/>
      <c r="G39257" s="1"/>
    </row>
    <row r="39258">
      <c r="B39258" s="36"/>
      <c r="C39258" s="36"/>
      <c r="E39258" s="1"/>
      <c r="F39258" s="1"/>
      <c r="G39258" s="1"/>
    </row>
    <row r="39259">
      <c r="B39259" s="36"/>
      <c r="C39259" s="36"/>
      <c r="E39259" s="1"/>
      <c r="F39259" s="1"/>
      <c r="G39259" s="1"/>
    </row>
    <row r="39260">
      <c r="B39260" s="36"/>
      <c r="C39260" s="36"/>
      <c r="E39260" s="1"/>
      <c r="F39260" s="1"/>
      <c r="G39260" s="1"/>
    </row>
    <row r="39261">
      <c r="B39261" s="36"/>
      <c r="C39261" s="36"/>
      <c r="E39261" s="1"/>
      <c r="F39261" s="1"/>
      <c r="G39261" s="1"/>
    </row>
    <row r="39262">
      <c r="B39262" s="36"/>
      <c r="C39262" s="36"/>
      <c r="E39262" s="1"/>
      <c r="F39262" s="1"/>
      <c r="G39262" s="1"/>
    </row>
    <row r="39263">
      <c r="B39263" s="36"/>
      <c r="C39263" s="36"/>
      <c r="E39263" s="1"/>
      <c r="F39263" s="1"/>
      <c r="G39263" s="1"/>
    </row>
    <row r="39264">
      <c r="B39264" s="36"/>
      <c r="C39264" s="36"/>
      <c r="E39264" s="1"/>
      <c r="F39264" s="1"/>
      <c r="G39264" s="1"/>
    </row>
    <row r="39265">
      <c r="B39265" s="36"/>
      <c r="C39265" s="36"/>
      <c r="E39265" s="1"/>
      <c r="F39265" s="1"/>
      <c r="G39265" s="1"/>
    </row>
    <row r="39266">
      <c r="B39266" s="36"/>
      <c r="C39266" s="36"/>
      <c r="E39266" s="1"/>
      <c r="F39266" s="1"/>
      <c r="G39266" s="1"/>
    </row>
    <row r="39267">
      <c r="B39267" s="36"/>
      <c r="C39267" s="36"/>
      <c r="E39267" s="1"/>
      <c r="F39267" s="1"/>
      <c r="G39267" s="1"/>
    </row>
    <row r="39268">
      <c r="B39268" s="36"/>
      <c r="C39268" s="36"/>
      <c r="E39268" s="1"/>
      <c r="F39268" s="1"/>
      <c r="G39268" s="1"/>
    </row>
    <row r="39269">
      <c r="B39269" s="36"/>
      <c r="C39269" s="36"/>
      <c r="E39269" s="1"/>
      <c r="F39269" s="1"/>
      <c r="G39269" s="1"/>
    </row>
    <row r="39270">
      <c r="B39270" s="36"/>
      <c r="C39270" s="36"/>
      <c r="E39270" s="1"/>
      <c r="F39270" s="1"/>
      <c r="G39270" s="1"/>
    </row>
    <row r="39271">
      <c r="B39271" s="36"/>
      <c r="C39271" s="36"/>
      <c r="E39271" s="1"/>
      <c r="F39271" s="1"/>
      <c r="G39271" s="1"/>
    </row>
    <row r="39272">
      <c r="B39272" s="36"/>
      <c r="C39272" s="36"/>
      <c r="E39272" s="1"/>
      <c r="F39272" s="1"/>
      <c r="G39272" s="1"/>
    </row>
    <row r="39273">
      <c r="B39273" s="36"/>
      <c r="C39273" s="36"/>
      <c r="E39273" s="1"/>
      <c r="F39273" s="1"/>
      <c r="G39273" s="1"/>
    </row>
    <row r="39274">
      <c r="B39274" s="36"/>
      <c r="C39274" s="36"/>
      <c r="E39274" s="1"/>
      <c r="F39274" s="1"/>
      <c r="G39274" s="1"/>
    </row>
    <row r="39275">
      <c r="B39275" s="36"/>
      <c r="C39275" s="36"/>
      <c r="E39275" s="1"/>
      <c r="F39275" s="1"/>
      <c r="G39275" s="1"/>
    </row>
    <row r="39276">
      <c r="B39276" s="36"/>
      <c r="C39276" s="36"/>
      <c r="E39276" s="1"/>
      <c r="F39276" s="1"/>
      <c r="G39276" s="1"/>
    </row>
    <row r="39277">
      <c r="B39277" s="36"/>
      <c r="C39277" s="36"/>
      <c r="E39277" s="1"/>
      <c r="F39277" s="1"/>
      <c r="G39277" s="1"/>
    </row>
    <row r="39278">
      <c r="B39278" s="36"/>
      <c r="C39278" s="36"/>
      <c r="E39278" s="1"/>
      <c r="F39278" s="1"/>
      <c r="G39278" s="1"/>
    </row>
    <row r="39279">
      <c r="B39279" s="36"/>
      <c r="C39279" s="36"/>
      <c r="E39279" s="1"/>
      <c r="F39279" s="1"/>
      <c r="G39279" s="1"/>
    </row>
    <row r="39280">
      <c r="B39280" s="36"/>
      <c r="C39280" s="36"/>
      <c r="E39280" s="1"/>
      <c r="F39280" s="1"/>
      <c r="G39280" s="1"/>
    </row>
    <row r="39281">
      <c r="B39281" s="36"/>
      <c r="C39281" s="36"/>
      <c r="E39281" s="1"/>
      <c r="F39281" s="1"/>
      <c r="G39281" s="1"/>
    </row>
    <row r="39282">
      <c r="B39282" s="36"/>
      <c r="C39282" s="36"/>
      <c r="E39282" s="1"/>
      <c r="F39282" s="1"/>
      <c r="G39282" s="1"/>
    </row>
    <row r="39283">
      <c r="B39283" s="36"/>
      <c r="C39283" s="36"/>
      <c r="E39283" s="1"/>
      <c r="F39283" s="1"/>
      <c r="G39283" s="1"/>
    </row>
    <row r="39284">
      <c r="B39284" s="36"/>
      <c r="C39284" s="36"/>
      <c r="E39284" s="1"/>
      <c r="F39284" s="1"/>
      <c r="G39284" s="1"/>
    </row>
    <row r="39285">
      <c r="B39285" s="36"/>
      <c r="C39285" s="36"/>
      <c r="E39285" s="1"/>
      <c r="F39285" s="1"/>
      <c r="G39285" s="1"/>
    </row>
    <row r="39286">
      <c r="B39286" s="36"/>
      <c r="C39286" s="36"/>
      <c r="E39286" s="1"/>
      <c r="F39286" s="1"/>
      <c r="G39286" s="1"/>
    </row>
    <row r="39287">
      <c r="B39287" s="36"/>
      <c r="C39287" s="36"/>
      <c r="E39287" s="1"/>
      <c r="F39287" s="1"/>
      <c r="G39287" s="1"/>
    </row>
    <row r="39288">
      <c r="B39288" s="36"/>
      <c r="C39288" s="36"/>
      <c r="E39288" s="1"/>
      <c r="F39288" s="1"/>
      <c r="G39288" s="1"/>
    </row>
    <row r="39289">
      <c r="B39289" s="36"/>
      <c r="C39289" s="36"/>
      <c r="E39289" s="1"/>
      <c r="F39289" s="1"/>
      <c r="G39289" s="1"/>
    </row>
    <row r="39290">
      <c r="B39290" s="36"/>
      <c r="C39290" s="36"/>
      <c r="E39290" s="1"/>
      <c r="F39290" s="1"/>
      <c r="G39290" s="1"/>
    </row>
    <row r="39291">
      <c r="B39291" s="36"/>
      <c r="C39291" s="36"/>
      <c r="E39291" s="1"/>
      <c r="F39291" s="1"/>
      <c r="G39291" s="1"/>
    </row>
    <row r="39292">
      <c r="B39292" s="36"/>
      <c r="C39292" s="36"/>
      <c r="E39292" s="1"/>
      <c r="F39292" s="1"/>
      <c r="G39292" s="1"/>
    </row>
    <row r="39293">
      <c r="B39293" s="36"/>
      <c r="C39293" s="36"/>
      <c r="E39293" s="1"/>
      <c r="F39293" s="1"/>
      <c r="G39293" s="1"/>
    </row>
    <row r="39294">
      <c r="B39294" s="36"/>
      <c r="C39294" s="36"/>
      <c r="E39294" s="1"/>
      <c r="F39294" s="1"/>
      <c r="G39294" s="1"/>
    </row>
    <row r="39295">
      <c r="B39295" s="36"/>
      <c r="C39295" s="36"/>
      <c r="E39295" s="1"/>
      <c r="F39295" s="1"/>
      <c r="G39295" s="1"/>
    </row>
    <row r="39296">
      <c r="B39296" s="36"/>
      <c r="C39296" s="36"/>
      <c r="E39296" s="1"/>
      <c r="F39296" s="1"/>
      <c r="G39296" s="1"/>
    </row>
    <row r="39297">
      <c r="B39297" s="36"/>
      <c r="C39297" s="36"/>
      <c r="E39297" s="1"/>
      <c r="F39297" s="1"/>
      <c r="G39297" s="1"/>
    </row>
    <row r="39298">
      <c r="B39298" s="36"/>
      <c r="C39298" s="36"/>
      <c r="E39298" s="1"/>
      <c r="F39298" s="1"/>
      <c r="G39298" s="1"/>
    </row>
    <row r="39299">
      <c r="B39299" s="36"/>
      <c r="C39299" s="36"/>
      <c r="E39299" s="1"/>
      <c r="F39299" s="1"/>
      <c r="G39299" s="1"/>
    </row>
    <row r="39300">
      <c r="B39300" s="36"/>
      <c r="C39300" s="36"/>
      <c r="E39300" s="1"/>
      <c r="F39300" s="1"/>
      <c r="G39300" s="1"/>
    </row>
    <row r="39301">
      <c r="B39301" s="36"/>
      <c r="C39301" s="36"/>
      <c r="E39301" s="1"/>
      <c r="F39301" s="1"/>
      <c r="G39301" s="1"/>
    </row>
    <row r="39302">
      <c r="B39302" s="36"/>
      <c r="C39302" s="36"/>
      <c r="E39302" s="1"/>
      <c r="F39302" s="1"/>
      <c r="G39302" s="1"/>
    </row>
    <row r="39303">
      <c r="B39303" s="36"/>
      <c r="C39303" s="36"/>
      <c r="E39303" s="1"/>
      <c r="F39303" s="1"/>
      <c r="G39303" s="1"/>
    </row>
    <row r="39304">
      <c r="B39304" s="36"/>
      <c r="C39304" s="36"/>
      <c r="E39304" s="1"/>
      <c r="F39304" s="1"/>
      <c r="G39304" s="1"/>
    </row>
    <row r="39305">
      <c r="B39305" s="36"/>
      <c r="C39305" s="36"/>
      <c r="E39305" s="1"/>
      <c r="F39305" s="1"/>
      <c r="G39305" s="1"/>
    </row>
    <row r="39306">
      <c r="B39306" s="36"/>
      <c r="C39306" s="36"/>
      <c r="E39306" s="1"/>
      <c r="F39306" s="1"/>
      <c r="G39306" s="1"/>
    </row>
    <row r="39307">
      <c r="B39307" s="36"/>
      <c r="C39307" s="36"/>
      <c r="E39307" s="1"/>
      <c r="F39307" s="1"/>
      <c r="G39307" s="1"/>
    </row>
    <row r="39308">
      <c r="B39308" s="36"/>
      <c r="C39308" s="36"/>
      <c r="E39308" s="1"/>
      <c r="F39308" s="1"/>
      <c r="G39308" s="1"/>
    </row>
    <row r="39309">
      <c r="B39309" s="36"/>
      <c r="C39309" s="36"/>
      <c r="E39309" s="1"/>
      <c r="F39309" s="1"/>
      <c r="G39309" s="1"/>
    </row>
    <row r="39310">
      <c r="B39310" s="36"/>
      <c r="C39310" s="36"/>
      <c r="E39310" s="1"/>
      <c r="F39310" s="1"/>
      <c r="G39310" s="1"/>
    </row>
    <row r="39311">
      <c r="B39311" s="36"/>
      <c r="C39311" s="36"/>
      <c r="E39311" s="1"/>
      <c r="F39311" s="1"/>
      <c r="G39311" s="1"/>
    </row>
    <row r="39312">
      <c r="B39312" s="36"/>
      <c r="C39312" s="36"/>
      <c r="E39312" s="1"/>
      <c r="F39312" s="1"/>
      <c r="G39312" s="1"/>
    </row>
    <row r="39313">
      <c r="B39313" s="36"/>
      <c r="C39313" s="36"/>
      <c r="E39313" s="1"/>
      <c r="F39313" s="1"/>
      <c r="G39313" s="1"/>
    </row>
    <row r="39314">
      <c r="B39314" s="36"/>
      <c r="C39314" s="36"/>
      <c r="E39314" s="1"/>
      <c r="F39314" s="1"/>
      <c r="G39314" s="1"/>
    </row>
    <row r="39315">
      <c r="B39315" s="36"/>
      <c r="C39315" s="36"/>
      <c r="E39315" s="1"/>
      <c r="F39315" s="1"/>
      <c r="G39315" s="1"/>
    </row>
    <row r="39316">
      <c r="B39316" s="36"/>
      <c r="C39316" s="36"/>
      <c r="E39316" s="1"/>
      <c r="F39316" s="1"/>
      <c r="G39316" s="1"/>
    </row>
    <row r="39317">
      <c r="B39317" s="36"/>
      <c r="C39317" s="36"/>
      <c r="E39317" s="1"/>
      <c r="F39317" s="1"/>
      <c r="G39317" s="1"/>
    </row>
    <row r="39318">
      <c r="B39318" s="36"/>
      <c r="C39318" s="36"/>
      <c r="E39318" s="1"/>
      <c r="F39318" s="1"/>
      <c r="G39318" s="1"/>
    </row>
    <row r="39319">
      <c r="B39319" s="36"/>
      <c r="C39319" s="36"/>
      <c r="E39319" s="1"/>
      <c r="F39319" s="1"/>
      <c r="G39319" s="1"/>
    </row>
    <row r="39320">
      <c r="B39320" s="36"/>
      <c r="C39320" s="36"/>
      <c r="E39320" s="1"/>
      <c r="F39320" s="1"/>
      <c r="G39320" s="1"/>
    </row>
    <row r="39321">
      <c r="B39321" s="36"/>
      <c r="C39321" s="36"/>
      <c r="E39321" s="1"/>
      <c r="F39321" s="1"/>
      <c r="G39321" s="1"/>
    </row>
    <row r="39322">
      <c r="B39322" s="36"/>
      <c r="C39322" s="36"/>
      <c r="E39322" s="1"/>
      <c r="F39322" s="1"/>
      <c r="G39322" s="1"/>
    </row>
    <row r="39323">
      <c r="B39323" s="36"/>
      <c r="C39323" s="36"/>
      <c r="E39323" s="1"/>
      <c r="F39323" s="1"/>
      <c r="G39323" s="1"/>
    </row>
    <row r="39324">
      <c r="B39324" s="36"/>
      <c r="C39324" s="36"/>
      <c r="E39324" s="1"/>
      <c r="F39324" s="1"/>
      <c r="G39324" s="1"/>
    </row>
    <row r="39325">
      <c r="B39325" s="36"/>
      <c r="C39325" s="36"/>
      <c r="E39325" s="1"/>
      <c r="F39325" s="1"/>
      <c r="G39325" s="1"/>
    </row>
    <row r="39326">
      <c r="B39326" s="36"/>
      <c r="C39326" s="36"/>
      <c r="E39326" s="1"/>
      <c r="F39326" s="1"/>
      <c r="G39326" s="1"/>
    </row>
    <row r="39327">
      <c r="B39327" s="36"/>
      <c r="C39327" s="36"/>
      <c r="E39327" s="1"/>
      <c r="F39327" s="1"/>
      <c r="G39327" s="1"/>
    </row>
    <row r="39328">
      <c r="B39328" s="36"/>
      <c r="C39328" s="36"/>
      <c r="E39328" s="1"/>
      <c r="F39328" s="1"/>
      <c r="G39328" s="1"/>
    </row>
    <row r="39329">
      <c r="B39329" s="36"/>
      <c r="C39329" s="36"/>
      <c r="E39329" s="1"/>
      <c r="F39329" s="1"/>
      <c r="G39329" s="1"/>
    </row>
    <row r="39330">
      <c r="B39330" s="36"/>
      <c r="C39330" s="36"/>
      <c r="E39330" s="1"/>
      <c r="F39330" s="1"/>
      <c r="G39330" s="1"/>
    </row>
    <row r="39331">
      <c r="B39331" s="36"/>
      <c r="C39331" s="36"/>
      <c r="E39331" s="1"/>
      <c r="F39331" s="1"/>
      <c r="G39331" s="1"/>
    </row>
    <row r="39332">
      <c r="B39332" s="36"/>
      <c r="C39332" s="36"/>
      <c r="E39332" s="1"/>
      <c r="F39332" s="1"/>
      <c r="G39332" s="1"/>
    </row>
    <row r="39333">
      <c r="B39333" s="36"/>
      <c r="C39333" s="36"/>
      <c r="E39333" s="1"/>
      <c r="F39333" s="1"/>
      <c r="G39333" s="1"/>
    </row>
    <row r="39334">
      <c r="B39334" s="36"/>
      <c r="C39334" s="36"/>
      <c r="E39334" s="1"/>
      <c r="F39334" s="1"/>
      <c r="G39334" s="1"/>
    </row>
    <row r="39335">
      <c r="B39335" s="36"/>
      <c r="C39335" s="36"/>
      <c r="E39335" s="1"/>
      <c r="F39335" s="1"/>
      <c r="G39335" s="1"/>
    </row>
    <row r="39336">
      <c r="B39336" s="36"/>
      <c r="C39336" s="36"/>
      <c r="E39336" s="1"/>
      <c r="F39336" s="1"/>
      <c r="G39336" s="1"/>
    </row>
    <row r="39337">
      <c r="B39337" s="36"/>
      <c r="C39337" s="36"/>
      <c r="E39337" s="1"/>
      <c r="F39337" s="1"/>
      <c r="G39337" s="1"/>
    </row>
    <row r="39338">
      <c r="B39338" s="36"/>
      <c r="C39338" s="36"/>
      <c r="E39338" s="1"/>
      <c r="F39338" s="1"/>
      <c r="G39338" s="1"/>
    </row>
    <row r="39339">
      <c r="B39339" s="36"/>
      <c r="C39339" s="36"/>
      <c r="E39339" s="1"/>
      <c r="F39339" s="1"/>
      <c r="G39339" s="1"/>
    </row>
    <row r="39340">
      <c r="B39340" s="36"/>
      <c r="C39340" s="36"/>
      <c r="E39340" s="1"/>
      <c r="F39340" s="1"/>
      <c r="G39340" s="1"/>
    </row>
    <row r="39341">
      <c r="B39341" s="36"/>
      <c r="C39341" s="36"/>
      <c r="E39341" s="1"/>
      <c r="F39341" s="1"/>
      <c r="G39341" s="1"/>
    </row>
    <row r="39342">
      <c r="B39342" s="36"/>
      <c r="C39342" s="36"/>
      <c r="E39342" s="1"/>
      <c r="F39342" s="1"/>
      <c r="G39342" s="1"/>
    </row>
    <row r="39343">
      <c r="B39343" s="36"/>
      <c r="C39343" s="36"/>
      <c r="E39343" s="1"/>
      <c r="F39343" s="1"/>
      <c r="G39343" s="1"/>
    </row>
    <row r="39344">
      <c r="B39344" s="36"/>
      <c r="C39344" s="36"/>
      <c r="E39344" s="1"/>
      <c r="F39344" s="1"/>
      <c r="G39344" s="1"/>
    </row>
    <row r="39345">
      <c r="B39345" s="36"/>
      <c r="C39345" s="36"/>
      <c r="E39345" s="1"/>
      <c r="F39345" s="1"/>
      <c r="G39345" s="1"/>
    </row>
    <row r="39346">
      <c r="B39346" s="36"/>
      <c r="C39346" s="36"/>
      <c r="E39346" s="1"/>
      <c r="F39346" s="1"/>
      <c r="G39346" s="1"/>
    </row>
    <row r="39347">
      <c r="B39347" s="36"/>
      <c r="C39347" s="36"/>
      <c r="E39347" s="1"/>
      <c r="F39347" s="1"/>
      <c r="G39347" s="1"/>
    </row>
    <row r="39348">
      <c r="B39348" s="36"/>
      <c r="C39348" s="36"/>
      <c r="E39348" s="1"/>
      <c r="F39348" s="1"/>
      <c r="G39348" s="1"/>
    </row>
    <row r="39349">
      <c r="B39349" s="36"/>
      <c r="C39349" s="36"/>
      <c r="E39349" s="1"/>
      <c r="F39349" s="1"/>
      <c r="G39349" s="1"/>
    </row>
    <row r="39350">
      <c r="B39350" s="36"/>
      <c r="C39350" s="36"/>
      <c r="E39350" s="1"/>
      <c r="F39350" s="1"/>
      <c r="G39350" s="1"/>
    </row>
    <row r="39351">
      <c r="B39351" s="36"/>
      <c r="C39351" s="36"/>
      <c r="E39351" s="1"/>
      <c r="F39351" s="1"/>
      <c r="G39351" s="1"/>
    </row>
    <row r="39352">
      <c r="B39352" s="36"/>
      <c r="C39352" s="36"/>
      <c r="E39352" s="1"/>
      <c r="F39352" s="1"/>
      <c r="G39352" s="1"/>
    </row>
    <row r="39353">
      <c r="B39353" s="36"/>
      <c r="C39353" s="36"/>
      <c r="E39353" s="1"/>
      <c r="F39353" s="1"/>
      <c r="G39353" s="1"/>
    </row>
    <row r="39354">
      <c r="B39354" s="36"/>
      <c r="C39354" s="36"/>
      <c r="E39354" s="1"/>
      <c r="F39354" s="1"/>
      <c r="G39354" s="1"/>
    </row>
    <row r="39355">
      <c r="B39355" s="36"/>
      <c r="C39355" s="36"/>
      <c r="E39355" s="1"/>
      <c r="F39355" s="1"/>
      <c r="G39355" s="1"/>
    </row>
    <row r="39356">
      <c r="B39356" s="36"/>
      <c r="C39356" s="36"/>
      <c r="E39356" s="1"/>
      <c r="F39356" s="1"/>
      <c r="G39356" s="1"/>
    </row>
    <row r="39357">
      <c r="B39357" s="36"/>
      <c r="C39357" s="36"/>
      <c r="E39357" s="1"/>
      <c r="F39357" s="1"/>
      <c r="G39357" s="1"/>
    </row>
    <row r="39358">
      <c r="B39358" s="36"/>
      <c r="C39358" s="36"/>
      <c r="E39358" s="1"/>
      <c r="F39358" s="1"/>
      <c r="G39358" s="1"/>
    </row>
    <row r="39359">
      <c r="B39359" s="36"/>
      <c r="C39359" s="36"/>
      <c r="E39359" s="1"/>
      <c r="F39359" s="1"/>
      <c r="G39359" s="1"/>
    </row>
    <row r="39360">
      <c r="B39360" s="36"/>
      <c r="C39360" s="36"/>
      <c r="E39360" s="1"/>
      <c r="F39360" s="1"/>
      <c r="G39360" s="1"/>
    </row>
    <row r="39361">
      <c r="B39361" s="36"/>
      <c r="C39361" s="36"/>
      <c r="E39361" s="1"/>
      <c r="F39361" s="1"/>
      <c r="G39361" s="1"/>
    </row>
    <row r="39362">
      <c r="B39362" s="36"/>
      <c r="C39362" s="36"/>
      <c r="E39362" s="1"/>
      <c r="F39362" s="1"/>
      <c r="G39362" s="1"/>
    </row>
    <row r="39363">
      <c r="B39363" s="36"/>
      <c r="C39363" s="36"/>
      <c r="E39363" s="1"/>
      <c r="F39363" s="1"/>
      <c r="G39363" s="1"/>
    </row>
    <row r="39364">
      <c r="B39364" s="36"/>
      <c r="C39364" s="36"/>
      <c r="E39364" s="1"/>
      <c r="F39364" s="1"/>
      <c r="G39364" s="1"/>
    </row>
    <row r="39365">
      <c r="B39365" s="36"/>
      <c r="C39365" s="36"/>
      <c r="E39365" s="1"/>
      <c r="F39365" s="1"/>
      <c r="G39365" s="1"/>
    </row>
    <row r="39366">
      <c r="B39366" s="36"/>
      <c r="C39366" s="36"/>
      <c r="E39366" s="1"/>
      <c r="F39366" s="1"/>
      <c r="G39366" s="1"/>
    </row>
    <row r="39367">
      <c r="B39367" s="36"/>
      <c r="C39367" s="36"/>
      <c r="E39367" s="1"/>
      <c r="F39367" s="1"/>
      <c r="G39367" s="1"/>
    </row>
    <row r="39368">
      <c r="B39368" s="36"/>
      <c r="C39368" s="36"/>
      <c r="E39368" s="1"/>
      <c r="F39368" s="1"/>
      <c r="G39368" s="1"/>
    </row>
    <row r="39369">
      <c r="B39369" s="36"/>
      <c r="C39369" s="36"/>
      <c r="E39369" s="1"/>
      <c r="F39369" s="1"/>
      <c r="G39369" s="1"/>
    </row>
    <row r="39370">
      <c r="B39370" s="36"/>
      <c r="C39370" s="36"/>
      <c r="E39370" s="1"/>
      <c r="F39370" s="1"/>
      <c r="G39370" s="1"/>
    </row>
    <row r="39371">
      <c r="B39371" s="36"/>
      <c r="C39371" s="36"/>
      <c r="E39371" s="1"/>
      <c r="F39371" s="1"/>
      <c r="G39371" s="1"/>
    </row>
    <row r="39372">
      <c r="B39372" s="36"/>
      <c r="C39372" s="36"/>
      <c r="E39372" s="1"/>
      <c r="F39372" s="1"/>
      <c r="G39372" s="1"/>
    </row>
    <row r="39373">
      <c r="B39373" s="36"/>
      <c r="C39373" s="36"/>
      <c r="E39373" s="1"/>
      <c r="F39373" s="1"/>
      <c r="G39373" s="1"/>
    </row>
    <row r="39374">
      <c r="B39374" s="36"/>
      <c r="C39374" s="36"/>
      <c r="E39374" s="1"/>
      <c r="F39374" s="1"/>
      <c r="G39374" s="1"/>
    </row>
    <row r="39375">
      <c r="B39375" s="36"/>
      <c r="C39375" s="36"/>
      <c r="E39375" s="1"/>
      <c r="F39375" s="1"/>
      <c r="G39375" s="1"/>
    </row>
    <row r="39376">
      <c r="B39376" s="36"/>
      <c r="C39376" s="36"/>
      <c r="E39376" s="1"/>
      <c r="F39376" s="1"/>
      <c r="G39376" s="1"/>
    </row>
    <row r="39377">
      <c r="B39377" s="36"/>
      <c r="C39377" s="36"/>
      <c r="E39377" s="1"/>
      <c r="F39377" s="1"/>
      <c r="G39377" s="1"/>
    </row>
    <row r="39378">
      <c r="B39378" s="36"/>
      <c r="C39378" s="36"/>
      <c r="E39378" s="1"/>
      <c r="F39378" s="1"/>
      <c r="G39378" s="1"/>
    </row>
    <row r="39379">
      <c r="B39379" s="36"/>
      <c r="C39379" s="36"/>
      <c r="E39379" s="1"/>
      <c r="F39379" s="1"/>
      <c r="G39379" s="1"/>
    </row>
    <row r="39380">
      <c r="B39380" s="36"/>
      <c r="C39380" s="36"/>
      <c r="E39380" s="1"/>
      <c r="F39380" s="1"/>
      <c r="G39380" s="1"/>
    </row>
    <row r="39381">
      <c r="B39381" s="36"/>
      <c r="C39381" s="36"/>
      <c r="E39381" s="1"/>
      <c r="F39381" s="1"/>
      <c r="G39381" s="1"/>
    </row>
    <row r="39382">
      <c r="B39382" s="36"/>
      <c r="C39382" s="36"/>
      <c r="E39382" s="1"/>
      <c r="F39382" s="1"/>
      <c r="G39382" s="1"/>
    </row>
    <row r="39383">
      <c r="B39383" s="36"/>
      <c r="C39383" s="36"/>
      <c r="E39383" s="1"/>
      <c r="F39383" s="1"/>
      <c r="G39383" s="1"/>
    </row>
    <row r="39384">
      <c r="B39384" s="36"/>
      <c r="C39384" s="36"/>
      <c r="E39384" s="1"/>
      <c r="F39384" s="1"/>
      <c r="G39384" s="1"/>
    </row>
    <row r="39385">
      <c r="B39385" s="36"/>
      <c r="C39385" s="36"/>
      <c r="E39385" s="1"/>
      <c r="F39385" s="1"/>
      <c r="G39385" s="1"/>
    </row>
    <row r="39386">
      <c r="B39386" s="36"/>
      <c r="C39386" s="36"/>
      <c r="E39386" s="1"/>
      <c r="F39386" s="1"/>
      <c r="G39386" s="1"/>
    </row>
    <row r="39387">
      <c r="B39387" s="36"/>
      <c r="C39387" s="36"/>
      <c r="E39387" s="1"/>
      <c r="F39387" s="1"/>
      <c r="G39387" s="1"/>
    </row>
    <row r="39388">
      <c r="B39388" s="36"/>
      <c r="C39388" s="36"/>
      <c r="E39388" s="1"/>
      <c r="F39388" s="1"/>
      <c r="G39388" s="1"/>
    </row>
    <row r="39389">
      <c r="B39389" s="36"/>
      <c r="C39389" s="36"/>
      <c r="E39389" s="1"/>
      <c r="F39389" s="1"/>
      <c r="G39389" s="1"/>
    </row>
    <row r="39390">
      <c r="B39390" s="36"/>
      <c r="C39390" s="36"/>
      <c r="E39390" s="1"/>
      <c r="F39390" s="1"/>
      <c r="G39390" s="1"/>
    </row>
    <row r="39391">
      <c r="B39391" s="36"/>
      <c r="C39391" s="36"/>
      <c r="E39391" s="1"/>
      <c r="F39391" s="1"/>
      <c r="G39391" s="1"/>
    </row>
    <row r="39392">
      <c r="B39392" s="36"/>
      <c r="C39392" s="36"/>
      <c r="E39392" s="1"/>
      <c r="F39392" s="1"/>
      <c r="G39392" s="1"/>
    </row>
    <row r="39393">
      <c r="B39393" s="36"/>
      <c r="C39393" s="36"/>
      <c r="E39393" s="1"/>
      <c r="F39393" s="1"/>
      <c r="G39393" s="1"/>
    </row>
    <row r="39394">
      <c r="B39394" s="36"/>
      <c r="C39394" s="36"/>
      <c r="E39394" s="1"/>
      <c r="F39394" s="1"/>
      <c r="G39394" s="1"/>
    </row>
    <row r="39395">
      <c r="B39395" s="36"/>
      <c r="C39395" s="36"/>
      <c r="E39395" s="1"/>
      <c r="F39395" s="1"/>
      <c r="G39395" s="1"/>
    </row>
    <row r="39396">
      <c r="B39396" s="36"/>
      <c r="C39396" s="36"/>
      <c r="E39396" s="1"/>
      <c r="F39396" s="1"/>
      <c r="G39396" s="1"/>
    </row>
    <row r="39397">
      <c r="B39397" s="36"/>
      <c r="C39397" s="36"/>
      <c r="E39397" s="1"/>
      <c r="F39397" s="1"/>
      <c r="G39397" s="1"/>
    </row>
    <row r="39398">
      <c r="B39398" s="36"/>
      <c r="C39398" s="36"/>
      <c r="E39398" s="1"/>
      <c r="F39398" s="1"/>
      <c r="G39398" s="1"/>
    </row>
    <row r="39399">
      <c r="B39399" s="36"/>
      <c r="C39399" s="36"/>
      <c r="E39399" s="1"/>
      <c r="F39399" s="1"/>
      <c r="G39399" s="1"/>
    </row>
    <row r="39400">
      <c r="B39400" s="36"/>
      <c r="C39400" s="36"/>
      <c r="E39400" s="1"/>
      <c r="F39400" s="1"/>
      <c r="G39400" s="1"/>
    </row>
    <row r="39401">
      <c r="B39401" s="36"/>
      <c r="C39401" s="36"/>
      <c r="E39401" s="1"/>
      <c r="F39401" s="1"/>
      <c r="G39401" s="1"/>
    </row>
    <row r="39402">
      <c r="B39402" s="36"/>
      <c r="C39402" s="36"/>
      <c r="E39402" s="1"/>
      <c r="F39402" s="1"/>
      <c r="G39402" s="1"/>
    </row>
    <row r="39403">
      <c r="B39403" s="36"/>
      <c r="C39403" s="36"/>
      <c r="E39403" s="1"/>
      <c r="F39403" s="1"/>
      <c r="G39403" s="1"/>
    </row>
    <row r="39404">
      <c r="B39404" s="36"/>
      <c r="C39404" s="36"/>
      <c r="E39404" s="1"/>
      <c r="F39404" s="1"/>
      <c r="G39404" s="1"/>
    </row>
    <row r="39405">
      <c r="B39405" s="36"/>
      <c r="C39405" s="36"/>
      <c r="E39405" s="1"/>
      <c r="F39405" s="1"/>
      <c r="G39405" s="1"/>
    </row>
    <row r="39406">
      <c r="B39406" s="36"/>
      <c r="C39406" s="36"/>
      <c r="E39406" s="1"/>
      <c r="F39406" s="1"/>
      <c r="G39406" s="1"/>
    </row>
    <row r="39407">
      <c r="B39407" s="36"/>
      <c r="C39407" s="36"/>
      <c r="E39407" s="1"/>
      <c r="F39407" s="1"/>
      <c r="G39407" s="1"/>
    </row>
    <row r="39408">
      <c r="B39408" s="36"/>
      <c r="C39408" s="36"/>
      <c r="E39408" s="1"/>
      <c r="F39408" s="1"/>
      <c r="G39408" s="1"/>
    </row>
    <row r="39409">
      <c r="B39409" s="36"/>
      <c r="C39409" s="36"/>
      <c r="E39409" s="1"/>
      <c r="F39409" s="1"/>
      <c r="G39409" s="1"/>
    </row>
    <row r="39410">
      <c r="B39410" s="36"/>
      <c r="C39410" s="36"/>
      <c r="E39410" s="1"/>
      <c r="F39410" s="1"/>
      <c r="G39410" s="1"/>
    </row>
    <row r="39411">
      <c r="B39411" s="36"/>
      <c r="C39411" s="36"/>
      <c r="E39411" s="1"/>
      <c r="F39411" s="1"/>
      <c r="G39411" s="1"/>
    </row>
    <row r="39412">
      <c r="B39412" s="36"/>
      <c r="C39412" s="36"/>
      <c r="E39412" s="1"/>
      <c r="F39412" s="1"/>
      <c r="G39412" s="1"/>
    </row>
    <row r="39413">
      <c r="B39413" s="36"/>
      <c r="C39413" s="36"/>
      <c r="E39413" s="1"/>
      <c r="F39413" s="1"/>
      <c r="G39413" s="1"/>
    </row>
    <row r="39414">
      <c r="B39414" s="36"/>
      <c r="C39414" s="36"/>
      <c r="E39414" s="1"/>
      <c r="F39414" s="1"/>
      <c r="G39414" s="1"/>
    </row>
    <row r="39415">
      <c r="B39415" s="36"/>
      <c r="C39415" s="36"/>
      <c r="E39415" s="1"/>
      <c r="F39415" s="1"/>
      <c r="G39415" s="1"/>
    </row>
    <row r="39416">
      <c r="B39416" s="36"/>
      <c r="C39416" s="36"/>
      <c r="E39416" s="1"/>
      <c r="F39416" s="1"/>
      <c r="G39416" s="1"/>
    </row>
    <row r="39417">
      <c r="B39417" s="36"/>
      <c r="C39417" s="36"/>
      <c r="E39417" s="1"/>
      <c r="F39417" s="1"/>
      <c r="G39417" s="1"/>
    </row>
    <row r="39418">
      <c r="B39418" s="36"/>
      <c r="C39418" s="36"/>
      <c r="E39418" s="1"/>
      <c r="F39418" s="1"/>
      <c r="G39418" s="1"/>
    </row>
    <row r="39419">
      <c r="B39419" s="36"/>
      <c r="C39419" s="36"/>
      <c r="E39419" s="1"/>
      <c r="F39419" s="1"/>
      <c r="G39419" s="1"/>
    </row>
    <row r="39420">
      <c r="B39420" s="36"/>
      <c r="C39420" s="36"/>
      <c r="E39420" s="1"/>
      <c r="F39420" s="1"/>
      <c r="G39420" s="1"/>
    </row>
    <row r="39421">
      <c r="B39421" s="36"/>
      <c r="C39421" s="36"/>
      <c r="E39421" s="1"/>
      <c r="F39421" s="1"/>
      <c r="G39421" s="1"/>
    </row>
    <row r="39422">
      <c r="B39422" s="36"/>
      <c r="C39422" s="36"/>
      <c r="E39422" s="1"/>
      <c r="F39422" s="1"/>
      <c r="G39422" s="1"/>
    </row>
    <row r="39423">
      <c r="B39423" s="36"/>
      <c r="C39423" s="36"/>
      <c r="E39423" s="1"/>
      <c r="F39423" s="1"/>
      <c r="G39423" s="1"/>
    </row>
    <row r="39424">
      <c r="B39424" s="36"/>
      <c r="C39424" s="36"/>
      <c r="E39424" s="1"/>
      <c r="F39424" s="1"/>
      <c r="G39424" s="1"/>
    </row>
    <row r="39425">
      <c r="B39425" s="36"/>
      <c r="C39425" s="36"/>
      <c r="E39425" s="1"/>
      <c r="F39425" s="1"/>
      <c r="G39425" s="1"/>
    </row>
    <row r="39426">
      <c r="B39426" s="36"/>
      <c r="C39426" s="36"/>
      <c r="E39426" s="1"/>
      <c r="F39426" s="1"/>
      <c r="G39426" s="1"/>
    </row>
    <row r="39427">
      <c r="B39427" s="36"/>
      <c r="C39427" s="36"/>
      <c r="E39427" s="1"/>
      <c r="F39427" s="1"/>
      <c r="G39427" s="1"/>
    </row>
    <row r="39428">
      <c r="B39428" s="36"/>
      <c r="C39428" s="36"/>
      <c r="E39428" s="1"/>
      <c r="F39428" s="1"/>
      <c r="G39428" s="1"/>
    </row>
    <row r="39429">
      <c r="B39429" s="36"/>
      <c r="C39429" s="36"/>
      <c r="E39429" s="1"/>
      <c r="F39429" s="1"/>
      <c r="G39429" s="1"/>
    </row>
    <row r="39430">
      <c r="B39430" s="36"/>
      <c r="C39430" s="36"/>
      <c r="E39430" s="1"/>
      <c r="F39430" s="1"/>
      <c r="G39430" s="1"/>
    </row>
    <row r="39431">
      <c r="B39431" s="36"/>
      <c r="C39431" s="36"/>
      <c r="E39431" s="1"/>
      <c r="F39431" s="1"/>
      <c r="G39431" s="1"/>
    </row>
    <row r="39432">
      <c r="B39432" s="36"/>
      <c r="C39432" s="36"/>
      <c r="E39432" s="1"/>
      <c r="F39432" s="1"/>
      <c r="G39432" s="1"/>
    </row>
    <row r="39433">
      <c r="B39433" s="36"/>
      <c r="C39433" s="36"/>
      <c r="E39433" s="1"/>
      <c r="F39433" s="1"/>
      <c r="G39433" s="1"/>
    </row>
    <row r="39434">
      <c r="B39434" s="36"/>
      <c r="C39434" s="36"/>
      <c r="E39434" s="1"/>
      <c r="F39434" s="1"/>
      <c r="G39434" s="1"/>
    </row>
    <row r="39435">
      <c r="B39435" s="36"/>
      <c r="C39435" s="36"/>
      <c r="E39435" s="1"/>
      <c r="F39435" s="1"/>
      <c r="G39435" s="1"/>
    </row>
    <row r="39436">
      <c r="B39436" s="36"/>
      <c r="C39436" s="36"/>
      <c r="E39436" s="1"/>
      <c r="F39436" s="1"/>
      <c r="G39436" s="1"/>
    </row>
    <row r="39437">
      <c r="B39437" s="36"/>
      <c r="C39437" s="36"/>
      <c r="E39437" s="1"/>
      <c r="F39437" s="1"/>
      <c r="G39437" s="1"/>
    </row>
    <row r="39438">
      <c r="B39438" s="36"/>
      <c r="C39438" s="36"/>
      <c r="E39438" s="1"/>
      <c r="F39438" s="1"/>
      <c r="G39438" s="1"/>
    </row>
    <row r="39439">
      <c r="B39439" s="36"/>
      <c r="C39439" s="36"/>
      <c r="E39439" s="1"/>
      <c r="F39439" s="1"/>
      <c r="G39439" s="1"/>
    </row>
    <row r="39440">
      <c r="B39440" s="36"/>
      <c r="C39440" s="36"/>
      <c r="E39440" s="1"/>
      <c r="F39440" s="1"/>
      <c r="G39440" s="1"/>
    </row>
    <row r="39441">
      <c r="B39441" s="36"/>
      <c r="C39441" s="36"/>
      <c r="E39441" s="1"/>
      <c r="F39441" s="1"/>
      <c r="G39441" s="1"/>
    </row>
    <row r="39442">
      <c r="B39442" s="36"/>
      <c r="C39442" s="36"/>
      <c r="E39442" s="1"/>
      <c r="F39442" s="1"/>
      <c r="G39442" s="1"/>
    </row>
    <row r="39443">
      <c r="B39443" s="36"/>
      <c r="C39443" s="36"/>
      <c r="E39443" s="1"/>
      <c r="F39443" s="1"/>
      <c r="G39443" s="1"/>
    </row>
    <row r="39444">
      <c r="B39444" s="36"/>
      <c r="C39444" s="36"/>
      <c r="E39444" s="1"/>
      <c r="F39444" s="1"/>
      <c r="G39444" s="1"/>
    </row>
    <row r="39445">
      <c r="B39445" s="36"/>
      <c r="C39445" s="36"/>
      <c r="E39445" s="1"/>
      <c r="F39445" s="1"/>
      <c r="G39445" s="1"/>
    </row>
    <row r="39446">
      <c r="B39446" s="36"/>
      <c r="C39446" s="36"/>
      <c r="E39446" s="1"/>
      <c r="F39446" s="1"/>
      <c r="G39446" s="1"/>
    </row>
    <row r="39447">
      <c r="B39447" s="36"/>
      <c r="C39447" s="36"/>
      <c r="E39447" s="1"/>
      <c r="F39447" s="1"/>
      <c r="G39447" s="1"/>
    </row>
    <row r="39448">
      <c r="B39448" s="36"/>
      <c r="C39448" s="36"/>
      <c r="E39448" s="1"/>
      <c r="F39448" s="1"/>
      <c r="G39448" s="1"/>
    </row>
    <row r="39449">
      <c r="B39449" s="36"/>
      <c r="C39449" s="36"/>
      <c r="E39449" s="1"/>
      <c r="F39449" s="1"/>
      <c r="G39449" s="1"/>
    </row>
    <row r="39450">
      <c r="B39450" s="36"/>
      <c r="C39450" s="36"/>
      <c r="E39450" s="1"/>
      <c r="F39450" s="1"/>
      <c r="G39450" s="1"/>
    </row>
    <row r="39451">
      <c r="B39451" s="36"/>
      <c r="C39451" s="36"/>
      <c r="E39451" s="1"/>
      <c r="F39451" s="1"/>
      <c r="G39451" s="1"/>
    </row>
    <row r="39452">
      <c r="B39452" s="36"/>
      <c r="C39452" s="36"/>
      <c r="E39452" s="1"/>
      <c r="F39452" s="1"/>
      <c r="G39452" s="1"/>
    </row>
    <row r="39453">
      <c r="B39453" s="36"/>
      <c r="C39453" s="36"/>
      <c r="E39453" s="1"/>
      <c r="F39453" s="1"/>
      <c r="G39453" s="1"/>
    </row>
    <row r="39454">
      <c r="B39454" s="36"/>
      <c r="C39454" s="36"/>
      <c r="E39454" s="1"/>
      <c r="F39454" s="1"/>
      <c r="G39454" s="1"/>
    </row>
    <row r="39455">
      <c r="B39455" s="36"/>
      <c r="C39455" s="36"/>
      <c r="E39455" s="1"/>
      <c r="F39455" s="1"/>
      <c r="G39455" s="1"/>
    </row>
    <row r="39456">
      <c r="B39456" s="36"/>
      <c r="C39456" s="36"/>
      <c r="E39456" s="1"/>
      <c r="F39456" s="1"/>
      <c r="G39456" s="1"/>
    </row>
    <row r="39457">
      <c r="B39457" s="36"/>
      <c r="C39457" s="36"/>
      <c r="E39457" s="1"/>
      <c r="F39457" s="1"/>
      <c r="G39457" s="1"/>
    </row>
    <row r="39458">
      <c r="B39458" s="36"/>
      <c r="C39458" s="36"/>
      <c r="E39458" s="1"/>
      <c r="F39458" s="1"/>
      <c r="G39458" s="1"/>
    </row>
    <row r="39459">
      <c r="B39459" s="36"/>
      <c r="C39459" s="36"/>
      <c r="E39459" s="1"/>
      <c r="F39459" s="1"/>
      <c r="G39459" s="1"/>
    </row>
    <row r="39460">
      <c r="B39460" s="36"/>
      <c r="C39460" s="36"/>
      <c r="E39460" s="1"/>
      <c r="F39460" s="1"/>
      <c r="G39460" s="1"/>
    </row>
    <row r="39461">
      <c r="B39461" s="36"/>
      <c r="C39461" s="36"/>
      <c r="E39461" s="1"/>
      <c r="F39461" s="1"/>
      <c r="G39461" s="1"/>
    </row>
    <row r="39462">
      <c r="B39462" s="36"/>
      <c r="C39462" s="36"/>
      <c r="E39462" s="1"/>
      <c r="F39462" s="1"/>
      <c r="G39462" s="1"/>
    </row>
    <row r="39463">
      <c r="B39463" s="36"/>
      <c r="C39463" s="36"/>
      <c r="E39463" s="1"/>
      <c r="F39463" s="1"/>
      <c r="G39463" s="1"/>
    </row>
    <row r="39464">
      <c r="B39464" s="36"/>
      <c r="C39464" s="36"/>
      <c r="E39464" s="1"/>
      <c r="F39464" s="1"/>
      <c r="G39464" s="1"/>
    </row>
    <row r="39465">
      <c r="B39465" s="36"/>
      <c r="C39465" s="36"/>
      <c r="E39465" s="1"/>
      <c r="F39465" s="1"/>
      <c r="G39465" s="1"/>
    </row>
    <row r="39466">
      <c r="B39466" s="36"/>
      <c r="C39466" s="36"/>
      <c r="E39466" s="1"/>
      <c r="F39466" s="1"/>
      <c r="G39466" s="1"/>
    </row>
    <row r="39467">
      <c r="B39467" s="36"/>
      <c r="C39467" s="36"/>
      <c r="E39467" s="1"/>
      <c r="F39467" s="1"/>
      <c r="G39467" s="1"/>
    </row>
    <row r="39468">
      <c r="B39468" s="36"/>
      <c r="C39468" s="36"/>
      <c r="E39468" s="1"/>
      <c r="F39468" s="1"/>
      <c r="G39468" s="1"/>
    </row>
    <row r="39469">
      <c r="B39469" s="36"/>
      <c r="C39469" s="36"/>
      <c r="E39469" s="1"/>
      <c r="F39469" s="1"/>
      <c r="G39469" s="1"/>
    </row>
    <row r="39470">
      <c r="B39470" s="36"/>
      <c r="C39470" s="36"/>
      <c r="E39470" s="1"/>
      <c r="F39470" s="1"/>
      <c r="G39470" s="1"/>
    </row>
    <row r="39471">
      <c r="B39471" s="36"/>
      <c r="C39471" s="36"/>
      <c r="E39471" s="1"/>
      <c r="F39471" s="1"/>
      <c r="G39471" s="1"/>
    </row>
    <row r="39472">
      <c r="B39472" s="36"/>
      <c r="C39472" s="36"/>
      <c r="E39472" s="1"/>
      <c r="F39472" s="1"/>
      <c r="G39472" s="1"/>
    </row>
    <row r="39473">
      <c r="B39473" s="36"/>
      <c r="C39473" s="36"/>
      <c r="E39473" s="1"/>
      <c r="F39473" s="1"/>
      <c r="G39473" s="1"/>
    </row>
    <row r="39474">
      <c r="B39474" s="36"/>
      <c r="C39474" s="36"/>
      <c r="E39474" s="1"/>
      <c r="F39474" s="1"/>
      <c r="G39474" s="1"/>
    </row>
    <row r="39475">
      <c r="B39475" s="36"/>
      <c r="C39475" s="36"/>
      <c r="E39475" s="1"/>
      <c r="F39475" s="1"/>
      <c r="G39475" s="1"/>
    </row>
    <row r="39476">
      <c r="B39476" s="36"/>
      <c r="C39476" s="36"/>
      <c r="E39476" s="1"/>
      <c r="F39476" s="1"/>
      <c r="G39476" s="1"/>
    </row>
    <row r="39477">
      <c r="B39477" s="36"/>
      <c r="C39477" s="36"/>
      <c r="E39477" s="1"/>
      <c r="F39477" s="1"/>
      <c r="G39477" s="1"/>
    </row>
    <row r="39478">
      <c r="B39478" s="36"/>
      <c r="C39478" s="36"/>
      <c r="E39478" s="1"/>
      <c r="F39478" s="1"/>
      <c r="G39478" s="1"/>
    </row>
    <row r="39479">
      <c r="B39479" s="36"/>
      <c r="C39479" s="36"/>
      <c r="E39479" s="1"/>
      <c r="F39479" s="1"/>
      <c r="G39479" s="1"/>
    </row>
    <row r="39480">
      <c r="B39480" s="36"/>
      <c r="C39480" s="36"/>
      <c r="E39480" s="1"/>
      <c r="F39480" s="1"/>
      <c r="G39480" s="1"/>
    </row>
    <row r="39481">
      <c r="B39481" s="36"/>
      <c r="C39481" s="36"/>
      <c r="E39481" s="1"/>
      <c r="F39481" s="1"/>
      <c r="G39481" s="1"/>
    </row>
    <row r="39482">
      <c r="B39482" s="36"/>
      <c r="C39482" s="36"/>
      <c r="E39482" s="1"/>
      <c r="F39482" s="1"/>
      <c r="G39482" s="1"/>
    </row>
    <row r="39483">
      <c r="B39483" s="36"/>
      <c r="C39483" s="36"/>
      <c r="E39483" s="1"/>
      <c r="F39483" s="1"/>
      <c r="G39483" s="1"/>
    </row>
    <row r="39484">
      <c r="B39484" s="36"/>
      <c r="C39484" s="36"/>
      <c r="E39484" s="1"/>
      <c r="F39484" s="1"/>
      <c r="G39484" s="1"/>
    </row>
    <row r="39485">
      <c r="B39485" s="36"/>
      <c r="C39485" s="36"/>
      <c r="E39485" s="1"/>
      <c r="F39485" s="1"/>
      <c r="G39485" s="1"/>
    </row>
    <row r="39486">
      <c r="B39486" s="36"/>
      <c r="C39486" s="36"/>
      <c r="E39486" s="1"/>
      <c r="F39486" s="1"/>
      <c r="G39486" s="1"/>
    </row>
    <row r="39487">
      <c r="B39487" s="36"/>
      <c r="C39487" s="36"/>
      <c r="E39487" s="1"/>
      <c r="F39487" s="1"/>
      <c r="G39487" s="1"/>
    </row>
    <row r="39488">
      <c r="B39488" s="36"/>
      <c r="C39488" s="36"/>
      <c r="E39488" s="1"/>
      <c r="F39488" s="1"/>
      <c r="G39488" s="1"/>
    </row>
    <row r="39489">
      <c r="B39489" s="36"/>
      <c r="C39489" s="36"/>
      <c r="E39489" s="1"/>
      <c r="F39489" s="1"/>
      <c r="G39489" s="1"/>
    </row>
    <row r="39490">
      <c r="B39490" s="36"/>
      <c r="C39490" s="36"/>
      <c r="E39490" s="1"/>
      <c r="F39490" s="1"/>
      <c r="G39490" s="1"/>
    </row>
    <row r="39491">
      <c r="B39491" s="36"/>
      <c r="C39491" s="36"/>
      <c r="E39491" s="1"/>
      <c r="F39491" s="1"/>
      <c r="G39491" s="1"/>
    </row>
    <row r="39492">
      <c r="B39492" s="36"/>
      <c r="C39492" s="36"/>
      <c r="E39492" s="1"/>
      <c r="F39492" s="1"/>
      <c r="G39492" s="1"/>
    </row>
    <row r="39493">
      <c r="B39493" s="36"/>
      <c r="C39493" s="36"/>
      <c r="E39493" s="1"/>
      <c r="F39493" s="1"/>
      <c r="G39493" s="1"/>
    </row>
    <row r="39494">
      <c r="B39494" s="36"/>
      <c r="C39494" s="36"/>
      <c r="E39494" s="1"/>
      <c r="F39494" s="1"/>
      <c r="G39494" s="1"/>
    </row>
    <row r="39495">
      <c r="B39495" s="36"/>
      <c r="C39495" s="36"/>
      <c r="E39495" s="1"/>
      <c r="F39495" s="1"/>
      <c r="G39495" s="1"/>
    </row>
    <row r="39496">
      <c r="B39496" s="36"/>
      <c r="C39496" s="36"/>
      <c r="E39496" s="1"/>
      <c r="F39496" s="1"/>
      <c r="G39496" s="1"/>
    </row>
    <row r="39497">
      <c r="B39497" s="36"/>
      <c r="C39497" s="36"/>
      <c r="E39497" s="1"/>
      <c r="F39497" s="1"/>
      <c r="G39497" s="1"/>
    </row>
    <row r="39498">
      <c r="B39498" s="36"/>
      <c r="C39498" s="36"/>
      <c r="E39498" s="1"/>
      <c r="F39498" s="1"/>
      <c r="G39498" s="1"/>
    </row>
    <row r="39499">
      <c r="B39499" s="36"/>
      <c r="C39499" s="36"/>
      <c r="E39499" s="1"/>
      <c r="F39499" s="1"/>
      <c r="G39499" s="1"/>
    </row>
    <row r="39500">
      <c r="B39500" s="36"/>
      <c r="C39500" s="36"/>
      <c r="E39500" s="1"/>
      <c r="F39500" s="1"/>
      <c r="G39500" s="1"/>
    </row>
    <row r="39501">
      <c r="B39501" s="36"/>
      <c r="C39501" s="36"/>
      <c r="E39501" s="1"/>
      <c r="F39501" s="1"/>
      <c r="G39501" s="1"/>
    </row>
    <row r="39502">
      <c r="B39502" s="36"/>
      <c r="C39502" s="36"/>
      <c r="E39502" s="1"/>
      <c r="F39502" s="1"/>
      <c r="G39502" s="1"/>
    </row>
    <row r="39503">
      <c r="B39503" s="36"/>
      <c r="C39503" s="36"/>
      <c r="E39503" s="1"/>
      <c r="F39503" s="1"/>
      <c r="G39503" s="1"/>
    </row>
    <row r="39504">
      <c r="B39504" s="36"/>
      <c r="C39504" s="36"/>
      <c r="E39504" s="1"/>
      <c r="F39504" s="1"/>
      <c r="G39504" s="1"/>
    </row>
    <row r="39505">
      <c r="B39505" s="36"/>
      <c r="C39505" s="36"/>
      <c r="E39505" s="1"/>
      <c r="F39505" s="1"/>
      <c r="G39505" s="1"/>
    </row>
    <row r="39506">
      <c r="B39506" s="36"/>
      <c r="C39506" s="36"/>
      <c r="E39506" s="1"/>
      <c r="F39506" s="1"/>
      <c r="G39506" s="1"/>
    </row>
    <row r="39507">
      <c r="B39507" s="36"/>
      <c r="C39507" s="36"/>
      <c r="E39507" s="1"/>
      <c r="F39507" s="1"/>
      <c r="G39507" s="1"/>
    </row>
    <row r="39508">
      <c r="B39508" s="36"/>
      <c r="C39508" s="36"/>
      <c r="E39508" s="1"/>
      <c r="F39508" s="1"/>
      <c r="G39508" s="1"/>
    </row>
    <row r="39509">
      <c r="B39509" s="36"/>
      <c r="C39509" s="36"/>
      <c r="E39509" s="1"/>
      <c r="F39509" s="1"/>
      <c r="G39509" s="1"/>
    </row>
    <row r="39510">
      <c r="B39510" s="36"/>
      <c r="C39510" s="36"/>
      <c r="E39510" s="1"/>
      <c r="F39510" s="1"/>
      <c r="G39510" s="1"/>
    </row>
    <row r="39511">
      <c r="B39511" s="36"/>
      <c r="C39511" s="36"/>
      <c r="E39511" s="1"/>
      <c r="F39511" s="1"/>
      <c r="G39511" s="1"/>
    </row>
    <row r="39512">
      <c r="B39512" s="36"/>
      <c r="C39512" s="36"/>
      <c r="E39512" s="1"/>
      <c r="F39512" s="1"/>
      <c r="G39512" s="1"/>
    </row>
    <row r="39513">
      <c r="B39513" s="36"/>
      <c r="C39513" s="36"/>
      <c r="E39513" s="1"/>
      <c r="F39513" s="1"/>
      <c r="G39513" s="1"/>
    </row>
    <row r="39514">
      <c r="B39514" s="36"/>
      <c r="C39514" s="36"/>
      <c r="E39514" s="1"/>
      <c r="F39514" s="1"/>
      <c r="G39514" s="1"/>
    </row>
    <row r="39515">
      <c r="B39515" s="36"/>
      <c r="C39515" s="36"/>
      <c r="E39515" s="1"/>
      <c r="F39515" s="1"/>
      <c r="G39515" s="1"/>
    </row>
    <row r="39516">
      <c r="B39516" s="36"/>
      <c r="C39516" s="36"/>
      <c r="E39516" s="1"/>
      <c r="F39516" s="1"/>
      <c r="G39516" s="1"/>
    </row>
    <row r="39517">
      <c r="B39517" s="36"/>
      <c r="C39517" s="36"/>
      <c r="E39517" s="1"/>
      <c r="F39517" s="1"/>
      <c r="G39517" s="1"/>
    </row>
    <row r="39518">
      <c r="B39518" s="36"/>
      <c r="C39518" s="36"/>
      <c r="E39518" s="1"/>
      <c r="F39518" s="1"/>
      <c r="G39518" s="1"/>
    </row>
    <row r="39519">
      <c r="B39519" s="36"/>
      <c r="C39519" s="36"/>
      <c r="E39519" s="1"/>
      <c r="F39519" s="1"/>
      <c r="G39519" s="1"/>
    </row>
    <row r="39520">
      <c r="B39520" s="36"/>
      <c r="C39520" s="36"/>
      <c r="E39520" s="1"/>
      <c r="F39520" s="1"/>
      <c r="G39520" s="1"/>
    </row>
    <row r="39521">
      <c r="B39521" s="36"/>
      <c r="C39521" s="36"/>
      <c r="E39521" s="1"/>
      <c r="F39521" s="1"/>
      <c r="G39521" s="1"/>
    </row>
    <row r="39522">
      <c r="B39522" s="36"/>
      <c r="C39522" s="36"/>
      <c r="E39522" s="1"/>
      <c r="F39522" s="1"/>
      <c r="G39522" s="1"/>
    </row>
    <row r="39523">
      <c r="B39523" s="36"/>
      <c r="C39523" s="36"/>
      <c r="E39523" s="1"/>
      <c r="F39523" s="1"/>
      <c r="G39523" s="1"/>
    </row>
    <row r="39524">
      <c r="B39524" s="36"/>
      <c r="C39524" s="36"/>
      <c r="E39524" s="1"/>
      <c r="F39524" s="1"/>
      <c r="G39524" s="1"/>
    </row>
    <row r="39525">
      <c r="B39525" s="36"/>
      <c r="C39525" s="36"/>
      <c r="E39525" s="1"/>
      <c r="F39525" s="1"/>
      <c r="G39525" s="1"/>
    </row>
    <row r="39526">
      <c r="B39526" s="36"/>
      <c r="C39526" s="36"/>
      <c r="E39526" s="1"/>
      <c r="F39526" s="1"/>
      <c r="G39526" s="1"/>
    </row>
    <row r="39527">
      <c r="B39527" s="36"/>
      <c r="C39527" s="36"/>
      <c r="E39527" s="1"/>
      <c r="F39527" s="1"/>
      <c r="G39527" s="1"/>
    </row>
    <row r="39528">
      <c r="B39528" s="36"/>
      <c r="C39528" s="36"/>
      <c r="E39528" s="1"/>
      <c r="F39528" s="1"/>
      <c r="G39528" s="1"/>
    </row>
    <row r="39529">
      <c r="B39529" s="36"/>
      <c r="C39529" s="36"/>
      <c r="E39529" s="1"/>
      <c r="F39529" s="1"/>
      <c r="G39529" s="1"/>
    </row>
    <row r="39530">
      <c r="B39530" s="36"/>
      <c r="C39530" s="36"/>
      <c r="E39530" s="1"/>
      <c r="F39530" s="1"/>
      <c r="G39530" s="1"/>
    </row>
    <row r="39531">
      <c r="B39531" s="36"/>
      <c r="C39531" s="36"/>
      <c r="E39531" s="1"/>
      <c r="F39531" s="1"/>
      <c r="G39531" s="1"/>
    </row>
    <row r="39532">
      <c r="B39532" s="36"/>
      <c r="C39532" s="36"/>
      <c r="E39532" s="1"/>
      <c r="F39532" s="1"/>
      <c r="G39532" s="1"/>
    </row>
    <row r="39533">
      <c r="B39533" s="36"/>
      <c r="C39533" s="36"/>
      <c r="E39533" s="1"/>
      <c r="F39533" s="1"/>
      <c r="G39533" s="1"/>
    </row>
    <row r="39534">
      <c r="B39534" s="36"/>
      <c r="C39534" s="36"/>
      <c r="E39534" s="1"/>
      <c r="F39534" s="1"/>
      <c r="G39534" s="1"/>
    </row>
    <row r="39535">
      <c r="B39535" s="36"/>
      <c r="C39535" s="36"/>
      <c r="E39535" s="1"/>
      <c r="F39535" s="1"/>
      <c r="G39535" s="1"/>
    </row>
    <row r="39536">
      <c r="B39536" s="36"/>
      <c r="C39536" s="36"/>
      <c r="E39536" s="1"/>
      <c r="F39536" s="1"/>
      <c r="G39536" s="1"/>
    </row>
    <row r="39537">
      <c r="B39537" s="36"/>
      <c r="C39537" s="36"/>
      <c r="E39537" s="1"/>
      <c r="F39537" s="1"/>
      <c r="G39537" s="1"/>
    </row>
    <row r="39538">
      <c r="B39538" s="36"/>
      <c r="C39538" s="36"/>
      <c r="E39538" s="1"/>
      <c r="F39538" s="1"/>
      <c r="G39538" s="1"/>
    </row>
    <row r="39539">
      <c r="B39539" s="36"/>
      <c r="C39539" s="36"/>
      <c r="E39539" s="1"/>
      <c r="F39539" s="1"/>
      <c r="G39539" s="1"/>
    </row>
    <row r="39540">
      <c r="B39540" s="36"/>
      <c r="C39540" s="36"/>
      <c r="E39540" s="1"/>
      <c r="F39540" s="1"/>
      <c r="G39540" s="1"/>
    </row>
    <row r="39541">
      <c r="B39541" s="36"/>
      <c r="C39541" s="36"/>
      <c r="E39541" s="1"/>
      <c r="F39541" s="1"/>
      <c r="G39541" s="1"/>
    </row>
    <row r="39542">
      <c r="B39542" s="36"/>
      <c r="C39542" s="36"/>
      <c r="E39542" s="1"/>
      <c r="F39542" s="1"/>
      <c r="G39542" s="1"/>
    </row>
    <row r="39543">
      <c r="B39543" s="36"/>
      <c r="C39543" s="36"/>
      <c r="E39543" s="1"/>
      <c r="F39543" s="1"/>
      <c r="G39543" s="1"/>
    </row>
    <row r="39544">
      <c r="B39544" s="36"/>
      <c r="C39544" s="36"/>
      <c r="E39544" s="1"/>
      <c r="F39544" s="1"/>
      <c r="G39544" s="1"/>
    </row>
    <row r="39545">
      <c r="B39545" s="36"/>
      <c r="C39545" s="36"/>
      <c r="E39545" s="1"/>
      <c r="F39545" s="1"/>
      <c r="G39545" s="1"/>
    </row>
    <row r="39546">
      <c r="B39546" s="36"/>
      <c r="C39546" s="36"/>
      <c r="E39546" s="1"/>
      <c r="F39546" s="1"/>
      <c r="G39546" s="1"/>
    </row>
    <row r="39547">
      <c r="B39547" s="36"/>
      <c r="C39547" s="36"/>
      <c r="E39547" s="1"/>
      <c r="F39547" s="1"/>
      <c r="G39547" s="1"/>
    </row>
    <row r="39548">
      <c r="B39548" s="36"/>
      <c r="C39548" s="36"/>
      <c r="E39548" s="1"/>
      <c r="F39548" s="1"/>
      <c r="G39548" s="1"/>
    </row>
    <row r="39549">
      <c r="B39549" s="36"/>
      <c r="C39549" s="36"/>
      <c r="E39549" s="1"/>
      <c r="F39549" s="1"/>
      <c r="G39549" s="1"/>
    </row>
    <row r="39550">
      <c r="B39550" s="36"/>
      <c r="C39550" s="36"/>
      <c r="E39550" s="1"/>
      <c r="F39550" s="1"/>
      <c r="G39550" s="1"/>
    </row>
    <row r="39551">
      <c r="B39551" s="36"/>
      <c r="C39551" s="36"/>
      <c r="E39551" s="1"/>
      <c r="F39551" s="1"/>
      <c r="G39551" s="1"/>
    </row>
    <row r="39552">
      <c r="B39552" s="36"/>
      <c r="C39552" s="36"/>
      <c r="E39552" s="1"/>
      <c r="F39552" s="1"/>
      <c r="G39552" s="1"/>
    </row>
    <row r="39553">
      <c r="B39553" s="36"/>
      <c r="C39553" s="36"/>
      <c r="E39553" s="1"/>
      <c r="F39553" s="1"/>
      <c r="G39553" s="1"/>
    </row>
    <row r="39554">
      <c r="B39554" s="36"/>
      <c r="C39554" s="36"/>
      <c r="E39554" s="1"/>
      <c r="F39554" s="1"/>
      <c r="G39554" s="1"/>
    </row>
    <row r="39555">
      <c r="B39555" s="36"/>
      <c r="C39555" s="36"/>
      <c r="E39555" s="1"/>
      <c r="F39555" s="1"/>
      <c r="G39555" s="1"/>
    </row>
    <row r="39556">
      <c r="B39556" s="36"/>
      <c r="C39556" s="36"/>
      <c r="E39556" s="1"/>
      <c r="F39556" s="1"/>
      <c r="G39556" s="1"/>
    </row>
    <row r="39557">
      <c r="B39557" s="36"/>
      <c r="C39557" s="36"/>
      <c r="E39557" s="1"/>
      <c r="F39557" s="1"/>
      <c r="G39557" s="1"/>
    </row>
    <row r="39558">
      <c r="B39558" s="36"/>
      <c r="C39558" s="36"/>
      <c r="E39558" s="1"/>
      <c r="F39558" s="1"/>
      <c r="G39558" s="1"/>
    </row>
    <row r="39559">
      <c r="B39559" s="36"/>
      <c r="C39559" s="36"/>
      <c r="E39559" s="1"/>
      <c r="F39559" s="1"/>
      <c r="G39559" s="1"/>
    </row>
    <row r="39560">
      <c r="B39560" s="36"/>
      <c r="C39560" s="36"/>
      <c r="E39560" s="1"/>
      <c r="F39560" s="1"/>
      <c r="G39560" s="1"/>
    </row>
    <row r="39561">
      <c r="B39561" s="36"/>
      <c r="C39561" s="36"/>
      <c r="E39561" s="1"/>
      <c r="F39561" s="1"/>
      <c r="G39561" s="1"/>
    </row>
    <row r="39562">
      <c r="B39562" s="36"/>
      <c r="C39562" s="36"/>
      <c r="E39562" s="1"/>
      <c r="F39562" s="1"/>
      <c r="G39562" s="1"/>
    </row>
    <row r="39563">
      <c r="B39563" s="36"/>
      <c r="C39563" s="36"/>
      <c r="E39563" s="1"/>
      <c r="F39563" s="1"/>
      <c r="G39563" s="1"/>
    </row>
    <row r="39564">
      <c r="B39564" s="36"/>
      <c r="C39564" s="36"/>
      <c r="E39564" s="1"/>
      <c r="F39564" s="1"/>
      <c r="G39564" s="1"/>
    </row>
    <row r="39565">
      <c r="B39565" s="36"/>
      <c r="C39565" s="36"/>
      <c r="E39565" s="1"/>
      <c r="F39565" s="1"/>
      <c r="G39565" s="1"/>
    </row>
    <row r="39566">
      <c r="B39566" s="36"/>
      <c r="C39566" s="36"/>
      <c r="E39566" s="1"/>
      <c r="F39566" s="1"/>
      <c r="G39566" s="1"/>
    </row>
    <row r="39567">
      <c r="B39567" s="36"/>
      <c r="C39567" s="36"/>
      <c r="E39567" s="1"/>
      <c r="F39567" s="1"/>
      <c r="G39567" s="1"/>
    </row>
    <row r="39568">
      <c r="B39568" s="36"/>
      <c r="C39568" s="36"/>
      <c r="E39568" s="1"/>
      <c r="F39568" s="1"/>
      <c r="G39568" s="1"/>
    </row>
    <row r="39569">
      <c r="B39569" s="36"/>
      <c r="C39569" s="36"/>
      <c r="E39569" s="1"/>
      <c r="F39569" s="1"/>
      <c r="G39569" s="1"/>
    </row>
    <row r="39570">
      <c r="B39570" s="36"/>
      <c r="C39570" s="36"/>
      <c r="E39570" s="1"/>
      <c r="F39570" s="1"/>
      <c r="G39570" s="1"/>
    </row>
    <row r="39571">
      <c r="B39571" s="36"/>
      <c r="C39571" s="36"/>
      <c r="E39571" s="1"/>
      <c r="F39571" s="1"/>
      <c r="G39571" s="1"/>
    </row>
    <row r="39572">
      <c r="B39572" s="36"/>
      <c r="C39572" s="36"/>
      <c r="E39572" s="1"/>
      <c r="F39572" s="1"/>
      <c r="G39572" s="1"/>
    </row>
    <row r="39573">
      <c r="B39573" s="36"/>
      <c r="C39573" s="36"/>
      <c r="E39573" s="1"/>
      <c r="F39573" s="1"/>
      <c r="G39573" s="1"/>
    </row>
    <row r="39574">
      <c r="B39574" s="36"/>
      <c r="C39574" s="36"/>
      <c r="E39574" s="1"/>
      <c r="F39574" s="1"/>
      <c r="G39574" s="1"/>
    </row>
    <row r="39575">
      <c r="B39575" s="36"/>
      <c r="C39575" s="36"/>
      <c r="E39575" s="1"/>
      <c r="F39575" s="1"/>
      <c r="G39575" s="1"/>
    </row>
    <row r="39576">
      <c r="B39576" s="36"/>
      <c r="C39576" s="36"/>
      <c r="E39576" s="1"/>
      <c r="F39576" s="1"/>
      <c r="G39576" s="1"/>
    </row>
    <row r="39577">
      <c r="B39577" s="36"/>
      <c r="C39577" s="36"/>
      <c r="E39577" s="1"/>
      <c r="F39577" s="1"/>
      <c r="G39577" s="1"/>
    </row>
    <row r="39578">
      <c r="B39578" s="36"/>
      <c r="C39578" s="36"/>
      <c r="E39578" s="1"/>
      <c r="F39578" s="1"/>
      <c r="G39578" s="1"/>
    </row>
    <row r="39579">
      <c r="B39579" s="36"/>
      <c r="C39579" s="36"/>
      <c r="E39579" s="1"/>
      <c r="F39579" s="1"/>
      <c r="G39579" s="1"/>
    </row>
    <row r="39580">
      <c r="B39580" s="36"/>
      <c r="C39580" s="36"/>
      <c r="E39580" s="1"/>
      <c r="F39580" s="1"/>
      <c r="G39580" s="1"/>
    </row>
    <row r="39581">
      <c r="B39581" s="36"/>
      <c r="C39581" s="36"/>
      <c r="E39581" s="1"/>
      <c r="F39581" s="1"/>
      <c r="G39581" s="1"/>
    </row>
    <row r="39582">
      <c r="B39582" s="36"/>
      <c r="C39582" s="36"/>
      <c r="E39582" s="1"/>
      <c r="F39582" s="1"/>
      <c r="G39582" s="1"/>
    </row>
    <row r="39583">
      <c r="B39583" s="36"/>
      <c r="C39583" s="36"/>
      <c r="E39583" s="1"/>
      <c r="F39583" s="1"/>
      <c r="G39583" s="1"/>
    </row>
    <row r="39584">
      <c r="B39584" s="36"/>
      <c r="C39584" s="36"/>
      <c r="E39584" s="1"/>
      <c r="F39584" s="1"/>
      <c r="G39584" s="1"/>
    </row>
    <row r="39585">
      <c r="B39585" s="36"/>
      <c r="C39585" s="36"/>
      <c r="E39585" s="1"/>
      <c r="F39585" s="1"/>
      <c r="G39585" s="1"/>
    </row>
    <row r="39586">
      <c r="B39586" s="36"/>
      <c r="C39586" s="36"/>
      <c r="E39586" s="1"/>
      <c r="F39586" s="1"/>
      <c r="G39586" s="1"/>
    </row>
    <row r="39587">
      <c r="B39587" s="36"/>
      <c r="C39587" s="36"/>
      <c r="E39587" s="1"/>
      <c r="F39587" s="1"/>
      <c r="G39587" s="1"/>
    </row>
    <row r="39588">
      <c r="B39588" s="36"/>
      <c r="C39588" s="36"/>
      <c r="E39588" s="1"/>
      <c r="F39588" s="1"/>
      <c r="G39588" s="1"/>
    </row>
    <row r="39589">
      <c r="B39589" s="36"/>
      <c r="C39589" s="36"/>
      <c r="E39589" s="1"/>
      <c r="F39589" s="1"/>
      <c r="G39589" s="1"/>
    </row>
    <row r="39590">
      <c r="B39590" s="36"/>
      <c r="C39590" s="36"/>
      <c r="E39590" s="1"/>
      <c r="F39590" s="1"/>
      <c r="G39590" s="1"/>
    </row>
    <row r="39591">
      <c r="B39591" s="36"/>
      <c r="C39591" s="36"/>
      <c r="E39591" s="1"/>
      <c r="F39591" s="1"/>
      <c r="G39591" s="1"/>
    </row>
    <row r="39592">
      <c r="B39592" s="36"/>
      <c r="C39592" s="36"/>
      <c r="E39592" s="1"/>
      <c r="F39592" s="1"/>
      <c r="G39592" s="1"/>
    </row>
    <row r="39593">
      <c r="B39593" s="36"/>
      <c r="C39593" s="36"/>
      <c r="E39593" s="1"/>
      <c r="F39593" s="1"/>
      <c r="G39593" s="1"/>
    </row>
    <row r="39594">
      <c r="B39594" s="36"/>
      <c r="C39594" s="36"/>
      <c r="E39594" s="1"/>
      <c r="F39594" s="1"/>
      <c r="G39594" s="1"/>
    </row>
    <row r="39595">
      <c r="B39595" s="36"/>
      <c r="C39595" s="36"/>
      <c r="E39595" s="1"/>
      <c r="F39595" s="1"/>
      <c r="G39595" s="1"/>
    </row>
    <row r="39596">
      <c r="B39596" s="36"/>
      <c r="C39596" s="36"/>
      <c r="E39596" s="1"/>
      <c r="F39596" s="1"/>
      <c r="G39596" s="1"/>
    </row>
    <row r="39597">
      <c r="B39597" s="36"/>
      <c r="C39597" s="36"/>
      <c r="E39597" s="1"/>
      <c r="F39597" s="1"/>
      <c r="G39597" s="1"/>
    </row>
    <row r="39598">
      <c r="B39598" s="36"/>
      <c r="C39598" s="36"/>
      <c r="E39598" s="1"/>
      <c r="F39598" s="1"/>
      <c r="G39598" s="1"/>
    </row>
    <row r="39599">
      <c r="B39599" s="36"/>
      <c r="C39599" s="36"/>
      <c r="E39599" s="1"/>
      <c r="F39599" s="1"/>
      <c r="G39599" s="1"/>
    </row>
    <row r="39600">
      <c r="B39600" s="36"/>
      <c r="C39600" s="36"/>
      <c r="E39600" s="1"/>
      <c r="F39600" s="1"/>
      <c r="G39600" s="1"/>
    </row>
    <row r="39601">
      <c r="B39601" s="36"/>
      <c r="C39601" s="36"/>
      <c r="E39601" s="1"/>
      <c r="F39601" s="1"/>
      <c r="G39601" s="1"/>
    </row>
    <row r="39602">
      <c r="B39602" s="36"/>
      <c r="C39602" s="36"/>
      <c r="E39602" s="1"/>
      <c r="F39602" s="1"/>
      <c r="G39602" s="1"/>
    </row>
    <row r="39603">
      <c r="B39603" s="36"/>
      <c r="C39603" s="36"/>
      <c r="E39603" s="1"/>
      <c r="F39603" s="1"/>
      <c r="G39603" s="1"/>
    </row>
    <row r="39604">
      <c r="B39604" s="36"/>
      <c r="C39604" s="36"/>
      <c r="E39604" s="1"/>
      <c r="F39604" s="1"/>
      <c r="G39604" s="1"/>
    </row>
    <row r="39605">
      <c r="B39605" s="36"/>
      <c r="C39605" s="36"/>
      <c r="E39605" s="1"/>
      <c r="F39605" s="1"/>
      <c r="G39605" s="1"/>
    </row>
    <row r="39606">
      <c r="B39606" s="36"/>
      <c r="C39606" s="36"/>
      <c r="E39606" s="1"/>
      <c r="F39606" s="1"/>
      <c r="G39606" s="1"/>
    </row>
    <row r="39607">
      <c r="B39607" s="36"/>
      <c r="C39607" s="36"/>
      <c r="E39607" s="1"/>
      <c r="F39607" s="1"/>
      <c r="G39607" s="1"/>
    </row>
    <row r="39608">
      <c r="B39608" s="36"/>
      <c r="C39608" s="36"/>
      <c r="E39608" s="1"/>
      <c r="F39608" s="1"/>
      <c r="G39608" s="1"/>
    </row>
    <row r="39609">
      <c r="B39609" s="36"/>
      <c r="C39609" s="36"/>
      <c r="E39609" s="1"/>
      <c r="F39609" s="1"/>
      <c r="G39609" s="1"/>
    </row>
    <row r="39610">
      <c r="B39610" s="36"/>
      <c r="C39610" s="36"/>
      <c r="E39610" s="1"/>
      <c r="F39610" s="1"/>
      <c r="G39610" s="1"/>
    </row>
    <row r="39611">
      <c r="B39611" s="36"/>
      <c r="C39611" s="36"/>
      <c r="E39611" s="1"/>
      <c r="F39611" s="1"/>
      <c r="G39611" s="1"/>
    </row>
    <row r="39612">
      <c r="B39612" s="36"/>
      <c r="C39612" s="36"/>
      <c r="E39612" s="1"/>
      <c r="F39612" s="1"/>
      <c r="G39612" s="1"/>
    </row>
    <row r="39613">
      <c r="B39613" s="36"/>
      <c r="C39613" s="36"/>
      <c r="E39613" s="1"/>
      <c r="F39613" s="1"/>
      <c r="G39613" s="1"/>
    </row>
    <row r="39614">
      <c r="B39614" s="36"/>
      <c r="C39614" s="36"/>
      <c r="E39614" s="1"/>
      <c r="F39614" s="1"/>
      <c r="G39614" s="1"/>
    </row>
    <row r="39615">
      <c r="B39615" s="36"/>
      <c r="C39615" s="36"/>
      <c r="E39615" s="1"/>
      <c r="F39615" s="1"/>
      <c r="G39615" s="1"/>
    </row>
    <row r="39616">
      <c r="B39616" s="36"/>
      <c r="C39616" s="36"/>
      <c r="E39616" s="1"/>
      <c r="F39616" s="1"/>
      <c r="G39616" s="1"/>
    </row>
    <row r="39617">
      <c r="B39617" s="36"/>
      <c r="C39617" s="36"/>
      <c r="E39617" s="1"/>
      <c r="F39617" s="1"/>
      <c r="G39617" s="1"/>
    </row>
    <row r="39618">
      <c r="B39618" s="36"/>
      <c r="C39618" s="36"/>
      <c r="E39618" s="1"/>
      <c r="F39618" s="1"/>
      <c r="G39618" s="1"/>
    </row>
    <row r="39619">
      <c r="B39619" s="36"/>
      <c r="C39619" s="36"/>
      <c r="E39619" s="1"/>
      <c r="F39619" s="1"/>
      <c r="G39619" s="1"/>
    </row>
    <row r="39620">
      <c r="B39620" s="36"/>
      <c r="C39620" s="36"/>
      <c r="E39620" s="1"/>
      <c r="F39620" s="1"/>
      <c r="G39620" s="1"/>
    </row>
    <row r="39621">
      <c r="B39621" s="36"/>
      <c r="C39621" s="36"/>
      <c r="E39621" s="1"/>
      <c r="F39621" s="1"/>
      <c r="G39621" s="1"/>
    </row>
    <row r="39622">
      <c r="B39622" s="36"/>
      <c r="C39622" s="36"/>
      <c r="E39622" s="1"/>
      <c r="F39622" s="1"/>
      <c r="G39622" s="1"/>
    </row>
    <row r="39623">
      <c r="B39623" s="36"/>
      <c r="C39623" s="36"/>
      <c r="E39623" s="1"/>
      <c r="F39623" s="1"/>
      <c r="G39623" s="1"/>
    </row>
    <row r="39624">
      <c r="B39624" s="36"/>
      <c r="C39624" s="36"/>
      <c r="E39624" s="1"/>
      <c r="F39624" s="1"/>
      <c r="G39624" s="1"/>
    </row>
    <row r="39625">
      <c r="B39625" s="36"/>
      <c r="C39625" s="36"/>
      <c r="E39625" s="1"/>
      <c r="F39625" s="1"/>
      <c r="G39625" s="1"/>
    </row>
    <row r="39626">
      <c r="B39626" s="36"/>
      <c r="C39626" s="36"/>
      <c r="E39626" s="1"/>
      <c r="F39626" s="1"/>
      <c r="G39626" s="1"/>
    </row>
    <row r="39627">
      <c r="B39627" s="36"/>
      <c r="C39627" s="36"/>
      <c r="E39627" s="1"/>
      <c r="F39627" s="1"/>
      <c r="G39627" s="1"/>
    </row>
    <row r="39628">
      <c r="B39628" s="36"/>
      <c r="C39628" s="36"/>
      <c r="E39628" s="1"/>
      <c r="F39628" s="1"/>
      <c r="G39628" s="1"/>
    </row>
    <row r="39629">
      <c r="B39629" s="36"/>
      <c r="C39629" s="36"/>
      <c r="E39629" s="1"/>
      <c r="F39629" s="1"/>
      <c r="G39629" s="1"/>
    </row>
    <row r="39630">
      <c r="B39630" s="36"/>
      <c r="C39630" s="36"/>
      <c r="E39630" s="1"/>
      <c r="F39630" s="1"/>
      <c r="G39630" s="1"/>
    </row>
    <row r="39631">
      <c r="B39631" s="36"/>
      <c r="C39631" s="36"/>
      <c r="E39631" s="1"/>
      <c r="F39631" s="1"/>
      <c r="G39631" s="1"/>
    </row>
    <row r="39632">
      <c r="B39632" s="36"/>
      <c r="C39632" s="36"/>
      <c r="E39632" s="1"/>
      <c r="F39632" s="1"/>
      <c r="G39632" s="1"/>
    </row>
    <row r="39633">
      <c r="B39633" s="36"/>
      <c r="C39633" s="36"/>
      <c r="E39633" s="1"/>
      <c r="F39633" s="1"/>
      <c r="G39633" s="1"/>
    </row>
    <row r="39634">
      <c r="B39634" s="36"/>
      <c r="C39634" s="36"/>
      <c r="E39634" s="1"/>
      <c r="F39634" s="1"/>
      <c r="G39634" s="1"/>
    </row>
    <row r="39635">
      <c r="B39635" s="36"/>
      <c r="C39635" s="36"/>
      <c r="E39635" s="1"/>
      <c r="F39635" s="1"/>
      <c r="G39635" s="1"/>
    </row>
    <row r="39636">
      <c r="B39636" s="36"/>
      <c r="C39636" s="36"/>
      <c r="E39636" s="1"/>
      <c r="F39636" s="1"/>
      <c r="G39636" s="1"/>
    </row>
    <row r="39637">
      <c r="B39637" s="36"/>
      <c r="C39637" s="36"/>
      <c r="E39637" s="1"/>
      <c r="F39637" s="1"/>
      <c r="G39637" s="1"/>
    </row>
    <row r="39638">
      <c r="B39638" s="36"/>
      <c r="C39638" s="36"/>
      <c r="E39638" s="1"/>
      <c r="F39638" s="1"/>
      <c r="G39638" s="1"/>
    </row>
    <row r="39639">
      <c r="B39639" s="36"/>
      <c r="C39639" s="36"/>
      <c r="E39639" s="1"/>
      <c r="F39639" s="1"/>
      <c r="G39639" s="1"/>
    </row>
    <row r="39640">
      <c r="B39640" s="36"/>
      <c r="C39640" s="36"/>
      <c r="E39640" s="1"/>
      <c r="F39640" s="1"/>
      <c r="G39640" s="1"/>
    </row>
    <row r="39641">
      <c r="B39641" s="36"/>
      <c r="C39641" s="36"/>
      <c r="E39641" s="1"/>
      <c r="F39641" s="1"/>
      <c r="G39641" s="1"/>
    </row>
    <row r="39642">
      <c r="B39642" s="36"/>
      <c r="C39642" s="36"/>
      <c r="E39642" s="1"/>
      <c r="F39642" s="1"/>
      <c r="G39642" s="1"/>
    </row>
    <row r="39643">
      <c r="B39643" s="36"/>
      <c r="C39643" s="36"/>
      <c r="E39643" s="1"/>
      <c r="F39643" s="1"/>
      <c r="G39643" s="1"/>
    </row>
    <row r="39644">
      <c r="B39644" s="36"/>
      <c r="C39644" s="36"/>
      <c r="E39644" s="1"/>
      <c r="F39644" s="1"/>
      <c r="G39644" s="1"/>
    </row>
    <row r="39645">
      <c r="B39645" s="36"/>
      <c r="C39645" s="36"/>
      <c r="E39645" s="1"/>
      <c r="F39645" s="1"/>
      <c r="G39645" s="1"/>
    </row>
    <row r="39646">
      <c r="B39646" s="36"/>
      <c r="C39646" s="36"/>
      <c r="E39646" s="1"/>
      <c r="F39646" s="1"/>
      <c r="G39646" s="1"/>
    </row>
    <row r="39647">
      <c r="B39647" s="36"/>
      <c r="C39647" s="36"/>
      <c r="E39647" s="1"/>
      <c r="F39647" s="1"/>
      <c r="G39647" s="1"/>
    </row>
    <row r="39648">
      <c r="B39648" s="36"/>
      <c r="C39648" s="36"/>
      <c r="E39648" s="1"/>
      <c r="F39648" s="1"/>
      <c r="G39648" s="1"/>
    </row>
    <row r="39649">
      <c r="B39649" s="36"/>
      <c r="C39649" s="36"/>
      <c r="E39649" s="1"/>
      <c r="F39649" s="1"/>
      <c r="G39649" s="1"/>
    </row>
    <row r="39650">
      <c r="B39650" s="36"/>
      <c r="C39650" s="36"/>
      <c r="E39650" s="1"/>
      <c r="F39650" s="1"/>
      <c r="G39650" s="1"/>
    </row>
    <row r="39651">
      <c r="B39651" s="36"/>
      <c r="C39651" s="36"/>
      <c r="E39651" s="1"/>
      <c r="F39651" s="1"/>
      <c r="G39651" s="1"/>
    </row>
    <row r="39652">
      <c r="B39652" s="36"/>
      <c r="C39652" s="36"/>
      <c r="E39652" s="1"/>
      <c r="F39652" s="1"/>
      <c r="G39652" s="1"/>
    </row>
    <row r="39653">
      <c r="B39653" s="36"/>
      <c r="C39653" s="36"/>
      <c r="E39653" s="1"/>
      <c r="F39653" s="1"/>
      <c r="G39653" s="1"/>
    </row>
    <row r="39654">
      <c r="B39654" s="36"/>
      <c r="C39654" s="36"/>
      <c r="E39654" s="1"/>
      <c r="F39654" s="1"/>
      <c r="G39654" s="1"/>
    </row>
    <row r="39655">
      <c r="B39655" s="36"/>
      <c r="C39655" s="36"/>
      <c r="E39655" s="1"/>
      <c r="F39655" s="1"/>
      <c r="G39655" s="1"/>
    </row>
    <row r="39656">
      <c r="B39656" s="36"/>
      <c r="C39656" s="36"/>
      <c r="E39656" s="1"/>
      <c r="F39656" s="1"/>
      <c r="G39656" s="1"/>
    </row>
    <row r="39657">
      <c r="B39657" s="36"/>
      <c r="C39657" s="36"/>
      <c r="E39657" s="1"/>
      <c r="F39657" s="1"/>
      <c r="G39657" s="1"/>
    </row>
    <row r="39658">
      <c r="B39658" s="36"/>
      <c r="C39658" s="36"/>
      <c r="E39658" s="1"/>
      <c r="F39658" s="1"/>
      <c r="G39658" s="1"/>
    </row>
    <row r="39659">
      <c r="B39659" s="36"/>
      <c r="C39659" s="36"/>
      <c r="E39659" s="1"/>
      <c r="F39659" s="1"/>
      <c r="G39659" s="1"/>
    </row>
    <row r="39660">
      <c r="B39660" s="36"/>
      <c r="C39660" s="36"/>
      <c r="E39660" s="1"/>
      <c r="F39660" s="1"/>
      <c r="G39660" s="1"/>
    </row>
    <row r="39661">
      <c r="B39661" s="36"/>
      <c r="C39661" s="36"/>
      <c r="E39661" s="1"/>
      <c r="F39661" s="1"/>
      <c r="G39661" s="1"/>
    </row>
    <row r="39662">
      <c r="B39662" s="36"/>
      <c r="C39662" s="36"/>
      <c r="E39662" s="1"/>
      <c r="F39662" s="1"/>
      <c r="G39662" s="1"/>
    </row>
    <row r="39663">
      <c r="B39663" s="36"/>
      <c r="C39663" s="36"/>
      <c r="E39663" s="1"/>
      <c r="F39663" s="1"/>
      <c r="G39663" s="1"/>
    </row>
    <row r="39664">
      <c r="B39664" s="36"/>
      <c r="C39664" s="36"/>
      <c r="E39664" s="1"/>
      <c r="F39664" s="1"/>
      <c r="G39664" s="1"/>
    </row>
    <row r="39665">
      <c r="B39665" s="36"/>
      <c r="C39665" s="36"/>
      <c r="E39665" s="1"/>
      <c r="F39665" s="1"/>
      <c r="G39665" s="1"/>
    </row>
    <row r="39666">
      <c r="B39666" s="36"/>
      <c r="C39666" s="36"/>
      <c r="E39666" s="1"/>
      <c r="F39666" s="1"/>
      <c r="G39666" s="1"/>
    </row>
    <row r="39667">
      <c r="B39667" s="36"/>
      <c r="C39667" s="36"/>
      <c r="E39667" s="1"/>
      <c r="F39667" s="1"/>
      <c r="G39667" s="1"/>
    </row>
    <row r="39668">
      <c r="B39668" s="36"/>
      <c r="C39668" s="36"/>
      <c r="E39668" s="1"/>
      <c r="F39668" s="1"/>
      <c r="G39668" s="1"/>
    </row>
    <row r="39669">
      <c r="B39669" s="36"/>
      <c r="C39669" s="36"/>
      <c r="E39669" s="1"/>
      <c r="F39669" s="1"/>
      <c r="G39669" s="1"/>
    </row>
    <row r="39670">
      <c r="B39670" s="36"/>
      <c r="C39670" s="36"/>
      <c r="E39670" s="1"/>
      <c r="F39670" s="1"/>
      <c r="G39670" s="1"/>
    </row>
    <row r="39671">
      <c r="B39671" s="36"/>
      <c r="C39671" s="36"/>
      <c r="E39671" s="1"/>
      <c r="F39671" s="1"/>
      <c r="G39671" s="1"/>
    </row>
    <row r="39672">
      <c r="B39672" s="36"/>
      <c r="C39672" s="36"/>
      <c r="E39672" s="1"/>
      <c r="F39672" s="1"/>
      <c r="G39672" s="1"/>
    </row>
    <row r="39673">
      <c r="B39673" s="36"/>
      <c r="C39673" s="36"/>
      <c r="E39673" s="1"/>
      <c r="F39673" s="1"/>
      <c r="G39673" s="1"/>
    </row>
    <row r="39674">
      <c r="B39674" s="36"/>
      <c r="C39674" s="36"/>
      <c r="E39674" s="1"/>
      <c r="F39674" s="1"/>
      <c r="G39674" s="1"/>
    </row>
    <row r="39675">
      <c r="B39675" s="36"/>
      <c r="C39675" s="36"/>
      <c r="E39675" s="1"/>
      <c r="F39675" s="1"/>
      <c r="G39675" s="1"/>
    </row>
    <row r="39676">
      <c r="B39676" s="36"/>
      <c r="C39676" s="36"/>
      <c r="E39676" s="1"/>
      <c r="F39676" s="1"/>
      <c r="G39676" s="1"/>
    </row>
    <row r="39677">
      <c r="B39677" s="36"/>
      <c r="C39677" s="36"/>
      <c r="E39677" s="1"/>
      <c r="F39677" s="1"/>
      <c r="G39677" s="1"/>
    </row>
    <row r="39678">
      <c r="B39678" s="36"/>
      <c r="C39678" s="36"/>
      <c r="E39678" s="1"/>
      <c r="F39678" s="1"/>
      <c r="G39678" s="1"/>
    </row>
    <row r="39679">
      <c r="B39679" s="36"/>
      <c r="C39679" s="36"/>
      <c r="E39679" s="1"/>
      <c r="F39679" s="1"/>
      <c r="G39679" s="1"/>
    </row>
    <row r="39680">
      <c r="B39680" s="36"/>
      <c r="C39680" s="36"/>
      <c r="E39680" s="1"/>
      <c r="F39680" s="1"/>
      <c r="G39680" s="1"/>
    </row>
    <row r="39681">
      <c r="B39681" s="36"/>
      <c r="C39681" s="36"/>
      <c r="E39681" s="1"/>
      <c r="F39681" s="1"/>
      <c r="G39681" s="1"/>
    </row>
    <row r="39682">
      <c r="B39682" s="36"/>
      <c r="C39682" s="36"/>
      <c r="E39682" s="1"/>
      <c r="F39682" s="1"/>
      <c r="G39682" s="1"/>
    </row>
    <row r="39683">
      <c r="B39683" s="36"/>
      <c r="C39683" s="36"/>
      <c r="E39683" s="1"/>
      <c r="F39683" s="1"/>
      <c r="G39683" s="1"/>
    </row>
    <row r="39684">
      <c r="B39684" s="36"/>
      <c r="C39684" s="36"/>
      <c r="E39684" s="1"/>
      <c r="F39684" s="1"/>
      <c r="G39684" s="1"/>
    </row>
    <row r="39685">
      <c r="B39685" s="36"/>
      <c r="C39685" s="36"/>
      <c r="E39685" s="1"/>
      <c r="F39685" s="1"/>
      <c r="G39685" s="1"/>
    </row>
    <row r="39686">
      <c r="B39686" s="36"/>
      <c r="C39686" s="36"/>
      <c r="E39686" s="1"/>
      <c r="F39686" s="1"/>
      <c r="G39686" s="1"/>
    </row>
    <row r="39687">
      <c r="B39687" s="36"/>
      <c r="C39687" s="36"/>
      <c r="E39687" s="1"/>
      <c r="F39687" s="1"/>
      <c r="G39687" s="1"/>
    </row>
    <row r="39688">
      <c r="B39688" s="36"/>
      <c r="C39688" s="36"/>
      <c r="E39688" s="1"/>
      <c r="F39688" s="1"/>
      <c r="G39688" s="1"/>
    </row>
    <row r="39689">
      <c r="B39689" s="36"/>
      <c r="C39689" s="36"/>
      <c r="E39689" s="1"/>
      <c r="F39689" s="1"/>
      <c r="G39689" s="1"/>
    </row>
    <row r="39690">
      <c r="B39690" s="36"/>
      <c r="C39690" s="36"/>
      <c r="E39690" s="1"/>
      <c r="F39690" s="1"/>
      <c r="G39690" s="1"/>
    </row>
    <row r="39691">
      <c r="B39691" s="36"/>
      <c r="C39691" s="36"/>
      <c r="E39691" s="1"/>
      <c r="F39691" s="1"/>
      <c r="G39691" s="1"/>
    </row>
    <row r="39692">
      <c r="B39692" s="36"/>
      <c r="C39692" s="36"/>
      <c r="E39692" s="1"/>
      <c r="F39692" s="1"/>
      <c r="G39692" s="1"/>
    </row>
    <row r="39693">
      <c r="B39693" s="36"/>
      <c r="C39693" s="36"/>
      <c r="E39693" s="1"/>
      <c r="F39693" s="1"/>
      <c r="G39693" s="1"/>
    </row>
    <row r="39694">
      <c r="B39694" s="36"/>
      <c r="C39694" s="36"/>
      <c r="E39694" s="1"/>
      <c r="F39694" s="1"/>
      <c r="G39694" s="1"/>
    </row>
    <row r="39695">
      <c r="B39695" s="36"/>
      <c r="C39695" s="36"/>
      <c r="E39695" s="1"/>
      <c r="F39695" s="1"/>
      <c r="G39695" s="1"/>
    </row>
    <row r="39696">
      <c r="B39696" s="36"/>
      <c r="C39696" s="36"/>
      <c r="E39696" s="1"/>
      <c r="F39696" s="1"/>
      <c r="G39696" s="1"/>
    </row>
    <row r="39697">
      <c r="B39697" s="36"/>
      <c r="C39697" s="36"/>
      <c r="E39697" s="1"/>
      <c r="F39697" s="1"/>
      <c r="G39697" s="1"/>
    </row>
    <row r="39698">
      <c r="B39698" s="36"/>
      <c r="C39698" s="36"/>
      <c r="E39698" s="1"/>
      <c r="F39698" s="1"/>
      <c r="G39698" s="1"/>
    </row>
    <row r="39699">
      <c r="B39699" s="36"/>
      <c r="C39699" s="36"/>
      <c r="E39699" s="1"/>
      <c r="F39699" s="1"/>
      <c r="G39699" s="1"/>
    </row>
    <row r="39700">
      <c r="B39700" s="36"/>
      <c r="C39700" s="36"/>
      <c r="E39700" s="1"/>
      <c r="F39700" s="1"/>
      <c r="G39700" s="1"/>
    </row>
    <row r="39701">
      <c r="B39701" s="36"/>
      <c r="C39701" s="36"/>
      <c r="E39701" s="1"/>
      <c r="F39701" s="1"/>
      <c r="G39701" s="1"/>
    </row>
    <row r="39702">
      <c r="B39702" s="36"/>
      <c r="C39702" s="36"/>
      <c r="E39702" s="1"/>
      <c r="F39702" s="1"/>
      <c r="G39702" s="1"/>
    </row>
    <row r="39703">
      <c r="B39703" s="36"/>
      <c r="C39703" s="36"/>
      <c r="E39703" s="1"/>
      <c r="F39703" s="1"/>
      <c r="G39703" s="1"/>
    </row>
    <row r="39704">
      <c r="B39704" s="36"/>
      <c r="C39704" s="36"/>
      <c r="E39704" s="1"/>
      <c r="F39704" s="1"/>
      <c r="G39704" s="1"/>
    </row>
    <row r="39705">
      <c r="B39705" s="36"/>
      <c r="C39705" s="36"/>
      <c r="E39705" s="1"/>
      <c r="F39705" s="1"/>
      <c r="G39705" s="1"/>
    </row>
    <row r="39706">
      <c r="B39706" s="36"/>
      <c r="C39706" s="36"/>
      <c r="E39706" s="1"/>
      <c r="F39706" s="1"/>
      <c r="G39706" s="1"/>
    </row>
    <row r="39707">
      <c r="B39707" s="36"/>
      <c r="C39707" s="36"/>
      <c r="E39707" s="1"/>
      <c r="F39707" s="1"/>
      <c r="G39707" s="1"/>
    </row>
    <row r="39708">
      <c r="B39708" s="36"/>
      <c r="C39708" s="36"/>
      <c r="E39708" s="1"/>
      <c r="F39708" s="1"/>
      <c r="G39708" s="1"/>
    </row>
    <row r="39709">
      <c r="B39709" s="36"/>
      <c r="C39709" s="36"/>
      <c r="E39709" s="1"/>
      <c r="F39709" s="1"/>
      <c r="G39709" s="1"/>
    </row>
    <row r="39710">
      <c r="B39710" s="36"/>
      <c r="C39710" s="36"/>
      <c r="E39710" s="1"/>
      <c r="F39710" s="1"/>
      <c r="G39710" s="1"/>
    </row>
    <row r="39711">
      <c r="B39711" s="36"/>
      <c r="C39711" s="36"/>
      <c r="E39711" s="1"/>
      <c r="F39711" s="1"/>
      <c r="G39711" s="1"/>
    </row>
    <row r="39712">
      <c r="B39712" s="36"/>
      <c r="C39712" s="36"/>
      <c r="E39712" s="1"/>
      <c r="F39712" s="1"/>
      <c r="G39712" s="1"/>
    </row>
    <row r="39713">
      <c r="B39713" s="36"/>
      <c r="C39713" s="36"/>
      <c r="E39713" s="1"/>
      <c r="F39713" s="1"/>
      <c r="G39713" s="1"/>
    </row>
    <row r="39714">
      <c r="B39714" s="36"/>
      <c r="C39714" s="36"/>
      <c r="E39714" s="1"/>
      <c r="F39714" s="1"/>
      <c r="G39714" s="1"/>
    </row>
    <row r="39715">
      <c r="B39715" s="36"/>
      <c r="C39715" s="36"/>
      <c r="E39715" s="1"/>
      <c r="F39715" s="1"/>
      <c r="G39715" s="1"/>
    </row>
    <row r="39716">
      <c r="B39716" s="36"/>
      <c r="C39716" s="36"/>
      <c r="E39716" s="1"/>
      <c r="F39716" s="1"/>
      <c r="G39716" s="1"/>
    </row>
    <row r="39717">
      <c r="B39717" s="36"/>
      <c r="C39717" s="36"/>
      <c r="E39717" s="1"/>
      <c r="F39717" s="1"/>
      <c r="G39717" s="1"/>
    </row>
    <row r="39718">
      <c r="B39718" s="36"/>
      <c r="C39718" s="36"/>
      <c r="E39718" s="1"/>
      <c r="F39718" s="1"/>
      <c r="G39718" s="1"/>
    </row>
    <row r="39719">
      <c r="B39719" s="36"/>
      <c r="C39719" s="36"/>
      <c r="E39719" s="1"/>
      <c r="F39719" s="1"/>
      <c r="G39719" s="1"/>
    </row>
    <row r="39720">
      <c r="B39720" s="36"/>
      <c r="C39720" s="36"/>
      <c r="E39720" s="1"/>
      <c r="F39720" s="1"/>
      <c r="G39720" s="1"/>
    </row>
    <row r="39721">
      <c r="B39721" s="36"/>
      <c r="C39721" s="36"/>
      <c r="E39721" s="1"/>
      <c r="F39721" s="1"/>
      <c r="G39721" s="1"/>
    </row>
    <row r="39722">
      <c r="B39722" s="36"/>
      <c r="C39722" s="36"/>
      <c r="E39722" s="1"/>
      <c r="F39722" s="1"/>
      <c r="G39722" s="1"/>
    </row>
    <row r="39723">
      <c r="B39723" s="36"/>
      <c r="C39723" s="36"/>
      <c r="E39723" s="1"/>
      <c r="F39723" s="1"/>
      <c r="G39723" s="1"/>
    </row>
    <row r="39724">
      <c r="B39724" s="36"/>
      <c r="C39724" s="36"/>
      <c r="E39724" s="1"/>
      <c r="F39724" s="1"/>
      <c r="G39724" s="1"/>
    </row>
    <row r="39725">
      <c r="B39725" s="36"/>
      <c r="C39725" s="36"/>
      <c r="E39725" s="1"/>
      <c r="F39725" s="1"/>
      <c r="G39725" s="1"/>
    </row>
    <row r="39726">
      <c r="B39726" s="36"/>
      <c r="C39726" s="36"/>
      <c r="E39726" s="1"/>
      <c r="F39726" s="1"/>
      <c r="G39726" s="1"/>
    </row>
    <row r="39727">
      <c r="B39727" s="36"/>
      <c r="C39727" s="36"/>
      <c r="E39727" s="1"/>
      <c r="F39727" s="1"/>
      <c r="G39727" s="1"/>
    </row>
    <row r="39728">
      <c r="B39728" s="36"/>
      <c r="C39728" s="36"/>
      <c r="E39728" s="1"/>
      <c r="F39728" s="1"/>
      <c r="G39728" s="1"/>
    </row>
    <row r="39729">
      <c r="B39729" s="36"/>
      <c r="C39729" s="36"/>
      <c r="E39729" s="1"/>
      <c r="F39729" s="1"/>
      <c r="G39729" s="1"/>
    </row>
    <row r="39730">
      <c r="B39730" s="36"/>
      <c r="C39730" s="36"/>
      <c r="E39730" s="1"/>
      <c r="F39730" s="1"/>
      <c r="G39730" s="1"/>
    </row>
    <row r="39731">
      <c r="B39731" s="36"/>
      <c r="C39731" s="36"/>
      <c r="E39731" s="1"/>
      <c r="F39731" s="1"/>
      <c r="G39731" s="1"/>
    </row>
    <row r="39732">
      <c r="B39732" s="36"/>
      <c r="C39732" s="36"/>
      <c r="E39732" s="1"/>
      <c r="F39732" s="1"/>
      <c r="G39732" s="1"/>
    </row>
    <row r="39733">
      <c r="B39733" s="36"/>
      <c r="C39733" s="36"/>
      <c r="E39733" s="1"/>
      <c r="F39733" s="1"/>
      <c r="G39733" s="1"/>
    </row>
    <row r="39734">
      <c r="B39734" s="36"/>
      <c r="C39734" s="36"/>
      <c r="E39734" s="1"/>
      <c r="F39734" s="1"/>
      <c r="G39734" s="1"/>
    </row>
    <row r="39735">
      <c r="B39735" s="36"/>
      <c r="C39735" s="36"/>
      <c r="E39735" s="1"/>
      <c r="F39735" s="1"/>
      <c r="G39735" s="1"/>
    </row>
    <row r="39736">
      <c r="B39736" s="36"/>
      <c r="C39736" s="36"/>
      <c r="E39736" s="1"/>
      <c r="F39736" s="1"/>
      <c r="G39736" s="1"/>
    </row>
    <row r="39737">
      <c r="B39737" s="36"/>
      <c r="C39737" s="36"/>
      <c r="E39737" s="1"/>
      <c r="F39737" s="1"/>
      <c r="G39737" s="1"/>
    </row>
    <row r="39738">
      <c r="B39738" s="36"/>
      <c r="C39738" s="36"/>
      <c r="E39738" s="1"/>
      <c r="F39738" s="1"/>
      <c r="G39738" s="1"/>
    </row>
    <row r="39739">
      <c r="B39739" s="36"/>
      <c r="C39739" s="36"/>
      <c r="E39739" s="1"/>
      <c r="F39739" s="1"/>
      <c r="G39739" s="1"/>
    </row>
    <row r="39740">
      <c r="B39740" s="36"/>
      <c r="C39740" s="36"/>
      <c r="E39740" s="1"/>
      <c r="F39740" s="1"/>
      <c r="G39740" s="1"/>
    </row>
    <row r="39741">
      <c r="B39741" s="36"/>
      <c r="C39741" s="36"/>
      <c r="E39741" s="1"/>
      <c r="F39741" s="1"/>
      <c r="G39741" s="1"/>
    </row>
    <row r="39742">
      <c r="B39742" s="36"/>
      <c r="C39742" s="36"/>
      <c r="E39742" s="1"/>
      <c r="F39742" s="1"/>
      <c r="G39742" s="1"/>
    </row>
    <row r="39743">
      <c r="B39743" s="36"/>
      <c r="C39743" s="36"/>
      <c r="E39743" s="1"/>
      <c r="F39743" s="1"/>
      <c r="G39743" s="1"/>
    </row>
    <row r="39744">
      <c r="B39744" s="36"/>
      <c r="C39744" s="36"/>
      <c r="E39744" s="1"/>
      <c r="F39744" s="1"/>
      <c r="G39744" s="1"/>
    </row>
    <row r="39745">
      <c r="B39745" s="36"/>
      <c r="C39745" s="36"/>
      <c r="E39745" s="1"/>
      <c r="F39745" s="1"/>
      <c r="G39745" s="1"/>
    </row>
    <row r="39746">
      <c r="B39746" s="36"/>
      <c r="C39746" s="36"/>
      <c r="E39746" s="1"/>
      <c r="F39746" s="1"/>
      <c r="G39746" s="1"/>
    </row>
    <row r="39747">
      <c r="B39747" s="36"/>
      <c r="C39747" s="36"/>
      <c r="E39747" s="1"/>
      <c r="F39747" s="1"/>
      <c r="G39747" s="1"/>
    </row>
    <row r="39748">
      <c r="B39748" s="36"/>
      <c r="C39748" s="36"/>
      <c r="E39748" s="1"/>
      <c r="F39748" s="1"/>
      <c r="G39748" s="1"/>
    </row>
    <row r="39749">
      <c r="B39749" s="36"/>
      <c r="C39749" s="36"/>
      <c r="E39749" s="1"/>
      <c r="F39749" s="1"/>
      <c r="G39749" s="1"/>
    </row>
    <row r="39750">
      <c r="B39750" s="36"/>
      <c r="C39750" s="36"/>
      <c r="E39750" s="1"/>
      <c r="F39750" s="1"/>
      <c r="G39750" s="1"/>
    </row>
    <row r="39751">
      <c r="B39751" s="36"/>
      <c r="C39751" s="36"/>
      <c r="E39751" s="1"/>
      <c r="F39751" s="1"/>
      <c r="G39751" s="1"/>
    </row>
    <row r="39752">
      <c r="B39752" s="36"/>
      <c r="C39752" s="36"/>
      <c r="E39752" s="1"/>
      <c r="F39752" s="1"/>
      <c r="G39752" s="1"/>
    </row>
    <row r="39753">
      <c r="B39753" s="36"/>
      <c r="C39753" s="36"/>
      <c r="E39753" s="1"/>
      <c r="F39753" s="1"/>
      <c r="G39753" s="1"/>
    </row>
    <row r="39754">
      <c r="B39754" s="36"/>
      <c r="C39754" s="36"/>
      <c r="E39754" s="1"/>
      <c r="F39754" s="1"/>
      <c r="G39754" s="1"/>
    </row>
    <row r="39755">
      <c r="B39755" s="36"/>
      <c r="C39755" s="36"/>
      <c r="E39755" s="1"/>
      <c r="F39755" s="1"/>
      <c r="G39755" s="1"/>
    </row>
    <row r="39756">
      <c r="B39756" s="36"/>
      <c r="C39756" s="36"/>
      <c r="E39756" s="1"/>
      <c r="F39756" s="1"/>
      <c r="G39756" s="1"/>
    </row>
    <row r="39757">
      <c r="B39757" s="36"/>
      <c r="C39757" s="36"/>
      <c r="E39757" s="1"/>
      <c r="F39757" s="1"/>
      <c r="G39757" s="1"/>
    </row>
    <row r="39758">
      <c r="B39758" s="36"/>
      <c r="C39758" s="36"/>
      <c r="E39758" s="1"/>
      <c r="F39758" s="1"/>
      <c r="G39758" s="1"/>
    </row>
    <row r="39759">
      <c r="B39759" s="36"/>
      <c r="C39759" s="36"/>
      <c r="E39759" s="1"/>
      <c r="F39759" s="1"/>
      <c r="G39759" s="1"/>
    </row>
    <row r="39760">
      <c r="B39760" s="36"/>
      <c r="C39760" s="36"/>
      <c r="E39760" s="1"/>
      <c r="F39760" s="1"/>
      <c r="G39760" s="1"/>
    </row>
    <row r="39761">
      <c r="B39761" s="36"/>
      <c r="C39761" s="36"/>
      <c r="E39761" s="1"/>
      <c r="F39761" s="1"/>
      <c r="G39761" s="1"/>
    </row>
    <row r="39762">
      <c r="B39762" s="36"/>
      <c r="C39762" s="36"/>
      <c r="E39762" s="1"/>
      <c r="F39762" s="1"/>
      <c r="G39762" s="1"/>
    </row>
    <row r="39763">
      <c r="B39763" s="36"/>
      <c r="C39763" s="36"/>
      <c r="E39763" s="1"/>
      <c r="F39763" s="1"/>
      <c r="G39763" s="1"/>
    </row>
    <row r="39764">
      <c r="B39764" s="36"/>
      <c r="C39764" s="36"/>
      <c r="E39764" s="1"/>
      <c r="F39764" s="1"/>
      <c r="G39764" s="1"/>
    </row>
    <row r="39765">
      <c r="B39765" s="36"/>
      <c r="C39765" s="36"/>
      <c r="E39765" s="1"/>
      <c r="F39765" s="1"/>
      <c r="G39765" s="1"/>
    </row>
    <row r="39766">
      <c r="B39766" s="36"/>
      <c r="C39766" s="36"/>
      <c r="E39766" s="1"/>
      <c r="F39766" s="1"/>
      <c r="G39766" s="1"/>
    </row>
    <row r="39767">
      <c r="B39767" s="36"/>
      <c r="C39767" s="36"/>
      <c r="E39767" s="1"/>
      <c r="F39767" s="1"/>
      <c r="G39767" s="1"/>
    </row>
    <row r="39768">
      <c r="B39768" s="36"/>
      <c r="C39768" s="36"/>
      <c r="E39768" s="1"/>
      <c r="F39768" s="1"/>
      <c r="G39768" s="1"/>
    </row>
    <row r="39769">
      <c r="B39769" s="36"/>
      <c r="C39769" s="36"/>
      <c r="E39769" s="1"/>
      <c r="F39769" s="1"/>
      <c r="G39769" s="1"/>
    </row>
    <row r="39770">
      <c r="B39770" s="36"/>
      <c r="C39770" s="36"/>
      <c r="E39770" s="1"/>
      <c r="F39770" s="1"/>
      <c r="G39770" s="1"/>
    </row>
    <row r="39771">
      <c r="B39771" s="36"/>
      <c r="C39771" s="36"/>
      <c r="E39771" s="1"/>
      <c r="F39771" s="1"/>
      <c r="G39771" s="1"/>
    </row>
    <row r="39772">
      <c r="B39772" s="36"/>
      <c r="C39772" s="36"/>
      <c r="E39772" s="1"/>
      <c r="F39772" s="1"/>
      <c r="G39772" s="1"/>
    </row>
    <row r="39773">
      <c r="B39773" s="36"/>
      <c r="C39773" s="36"/>
      <c r="E39773" s="1"/>
      <c r="F39773" s="1"/>
      <c r="G39773" s="1"/>
    </row>
    <row r="39774">
      <c r="B39774" s="36"/>
      <c r="C39774" s="36"/>
      <c r="E39774" s="1"/>
      <c r="F39774" s="1"/>
      <c r="G39774" s="1"/>
    </row>
    <row r="39775">
      <c r="B39775" s="36"/>
      <c r="C39775" s="36"/>
      <c r="E39775" s="1"/>
      <c r="F39775" s="1"/>
      <c r="G39775" s="1"/>
    </row>
    <row r="39776">
      <c r="B39776" s="36"/>
      <c r="C39776" s="36"/>
      <c r="E39776" s="1"/>
      <c r="F39776" s="1"/>
      <c r="G39776" s="1"/>
    </row>
    <row r="39777">
      <c r="B39777" s="36"/>
      <c r="C39777" s="36"/>
      <c r="E39777" s="1"/>
      <c r="F39777" s="1"/>
      <c r="G39777" s="1"/>
    </row>
    <row r="39778">
      <c r="B39778" s="36"/>
      <c r="C39778" s="36"/>
      <c r="E39778" s="1"/>
      <c r="F39778" s="1"/>
      <c r="G39778" s="1"/>
    </row>
    <row r="39779">
      <c r="B39779" s="36"/>
      <c r="C39779" s="36"/>
      <c r="E39779" s="1"/>
      <c r="F39779" s="1"/>
      <c r="G39779" s="1"/>
    </row>
    <row r="39780">
      <c r="B39780" s="36"/>
      <c r="C39780" s="36"/>
      <c r="E39780" s="1"/>
      <c r="F39780" s="1"/>
      <c r="G39780" s="1"/>
    </row>
    <row r="39781">
      <c r="B39781" s="36"/>
      <c r="C39781" s="36"/>
      <c r="E39781" s="1"/>
      <c r="F39781" s="1"/>
      <c r="G39781" s="1"/>
    </row>
    <row r="39782">
      <c r="B39782" s="36"/>
      <c r="C39782" s="36"/>
      <c r="E39782" s="1"/>
      <c r="F39782" s="1"/>
      <c r="G39782" s="1"/>
    </row>
    <row r="39783">
      <c r="B39783" s="36"/>
      <c r="C39783" s="36"/>
      <c r="E39783" s="1"/>
      <c r="F39783" s="1"/>
      <c r="G39783" s="1"/>
    </row>
    <row r="39784">
      <c r="B39784" s="36"/>
      <c r="C39784" s="36"/>
      <c r="E39784" s="1"/>
      <c r="F39784" s="1"/>
      <c r="G39784" s="1"/>
    </row>
    <row r="39785">
      <c r="B39785" s="36"/>
      <c r="C39785" s="36"/>
      <c r="E39785" s="1"/>
      <c r="F39785" s="1"/>
      <c r="G39785" s="1"/>
    </row>
    <row r="39786">
      <c r="B39786" s="36"/>
      <c r="C39786" s="36"/>
      <c r="E39786" s="1"/>
      <c r="F39786" s="1"/>
      <c r="G39786" s="1"/>
    </row>
    <row r="39787">
      <c r="B39787" s="36"/>
      <c r="C39787" s="36"/>
      <c r="E39787" s="1"/>
      <c r="F39787" s="1"/>
      <c r="G39787" s="1"/>
    </row>
    <row r="39788">
      <c r="B39788" s="36"/>
      <c r="C39788" s="36"/>
      <c r="E39788" s="1"/>
      <c r="F39788" s="1"/>
      <c r="G39788" s="1"/>
    </row>
    <row r="39789">
      <c r="B39789" s="36"/>
      <c r="C39789" s="36"/>
      <c r="E39789" s="1"/>
      <c r="F39789" s="1"/>
      <c r="G39789" s="1"/>
    </row>
    <row r="39790">
      <c r="B39790" s="36"/>
      <c r="C39790" s="36"/>
      <c r="E39790" s="1"/>
      <c r="F39790" s="1"/>
      <c r="G39790" s="1"/>
    </row>
    <row r="39791">
      <c r="B39791" s="36"/>
      <c r="C39791" s="36"/>
      <c r="E39791" s="1"/>
      <c r="F39791" s="1"/>
      <c r="G39791" s="1"/>
    </row>
    <row r="39792">
      <c r="B39792" s="36"/>
      <c r="C39792" s="36"/>
      <c r="E39792" s="1"/>
      <c r="F39792" s="1"/>
      <c r="G39792" s="1"/>
    </row>
    <row r="39793">
      <c r="B39793" s="36"/>
      <c r="C39793" s="36"/>
      <c r="E39793" s="1"/>
      <c r="F39793" s="1"/>
      <c r="G39793" s="1"/>
    </row>
    <row r="39794">
      <c r="B39794" s="36"/>
      <c r="C39794" s="36"/>
      <c r="E39794" s="1"/>
      <c r="F39794" s="1"/>
      <c r="G39794" s="1"/>
    </row>
    <row r="39795">
      <c r="B39795" s="36"/>
      <c r="C39795" s="36"/>
      <c r="E39795" s="1"/>
      <c r="F39795" s="1"/>
      <c r="G39795" s="1"/>
    </row>
    <row r="39796">
      <c r="B39796" s="36"/>
      <c r="C39796" s="36"/>
      <c r="E39796" s="1"/>
      <c r="F39796" s="1"/>
      <c r="G39796" s="1"/>
    </row>
    <row r="39797">
      <c r="B39797" s="36"/>
      <c r="C39797" s="36"/>
      <c r="E39797" s="1"/>
      <c r="F39797" s="1"/>
      <c r="G39797" s="1"/>
    </row>
    <row r="39798">
      <c r="B39798" s="36"/>
      <c r="C39798" s="36"/>
      <c r="E39798" s="1"/>
      <c r="F39798" s="1"/>
      <c r="G39798" s="1"/>
    </row>
    <row r="39799">
      <c r="B39799" s="36"/>
      <c r="C39799" s="36"/>
      <c r="E39799" s="1"/>
      <c r="F39799" s="1"/>
      <c r="G39799" s="1"/>
    </row>
    <row r="39800">
      <c r="B39800" s="36"/>
      <c r="C39800" s="36"/>
      <c r="E39800" s="1"/>
      <c r="F39800" s="1"/>
      <c r="G39800" s="1"/>
    </row>
    <row r="39801">
      <c r="B39801" s="36"/>
      <c r="C39801" s="36"/>
      <c r="E39801" s="1"/>
      <c r="F39801" s="1"/>
      <c r="G39801" s="1"/>
    </row>
    <row r="39802">
      <c r="B39802" s="36"/>
      <c r="C39802" s="36"/>
      <c r="E39802" s="1"/>
      <c r="F39802" s="1"/>
      <c r="G39802" s="1"/>
    </row>
    <row r="39803">
      <c r="B39803" s="36"/>
      <c r="C39803" s="36"/>
      <c r="E39803" s="1"/>
      <c r="F39803" s="1"/>
      <c r="G39803" s="1"/>
    </row>
    <row r="39804">
      <c r="B39804" s="36"/>
      <c r="C39804" s="36"/>
      <c r="E39804" s="1"/>
      <c r="F39804" s="1"/>
      <c r="G39804" s="1"/>
    </row>
    <row r="39805">
      <c r="B39805" s="36"/>
      <c r="C39805" s="36"/>
      <c r="E39805" s="1"/>
      <c r="F39805" s="1"/>
      <c r="G39805" s="1"/>
    </row>
    <row r="39806">
      <c r="B39806" s="36"/>
      <c r="C39806" s="36"/>
      <c r="E39806" s="1"/>
      <c r="F39806" s="1"/>
      <c r="G39806" s="1"/>
    </row>
    <row r="39807">
      <c r="B39807" s="36"/>
      <c r="C39807" s="36"/>
      <c r="E39807" s="1"/>
      <c r="F39807" s="1"/>
      <c r="G39807" s="1"/>
    </row>
    <row r="39808">
      <c r="B39808" s="36"/>
      <c r="C39808" s="36"/>
      <c r="E39808" s="1"/>
      <c r="F39808" s="1"/>
      <c r="G39808" s="1"/>
    </row>
    <row r="39809">
      <c r="B39809" s="36"/>
      <c r="C39809" s="36"/>
      <c r="E39809" s="1"/>
      <c r="F39809" s="1"/>
      <c r="G39809" s="1"/>
    </row>
    <row r="39810">
      <c r="B39810" s="36"/>
      <c r="C39810" s="36"/>
      <c r="E39810" s="1"/>
      <c r="F39810" s="1"/>
      <c r="G39810" s="1"/>
    </row>
    <row r="39811">
      <c r="B39811" s="36"/>
      <c r="C39811" s="36"/>
      <c r="E39811" s="1"/>
      <c r="F39811" s="1"/>
      <c r="G39811" s="1"/>
    </row>
    <row r="39812">
      <c r="B39812" s="36"/>
      <c r="C39812" s="36"/>
      <c r="E39812" s="1"/>
      <c r="F39812" s="1"/>
      <c r="G39812" s="1"/>
    </row>
    <row r="39813">
      <c r="B39813" s="36"/>
      <c r="C39813" s="36"/>
      <c r="E39813" s="1"/>
      <c r="F39813" s="1"/>
      <c r="G39813" s="1"/>
    </row>
    <row r="39814">
      <c r="B39814" s="36"/>
      <c r="C39814" s="36"/>
      <c r="E39814" s="1"/>
      <c r="F39814" s="1"/>
      <c r="G39814" s="1"/>
    </row>
    <row r="39815">
      <c r="B39815" s="36"/>
      <c r="C39815" s="36"/>
      <c r="E39815" s="1"/>
      <c r="F39815" s="1"/>
      <c r="G39815" s="1"/>
    </row>
    <row r="39816">
      <c r="B39816" s="36"/>
      <c r="C39816" s="36"/>
      <c r="E39816" s="1"/>
      <c r="F39816" s="1"/>
      <c r="G39816" s="1"/>
    </row>
    <row r="39817">
      <c r="B39817" s="36"/>
      <c r="C39817" s="36"/>
      <c r="E39817" s="1"/>
      <c r="F39817" s="1"/>
      <c r="G39817" s="1"/>
    </row>
    <row r="39818">
      <c r="B39818" s="36"/>
      <c r="C39818" s="36"/>
      <c r="E39818" s="1"/>
      <c r="F39818" s="1"/>
      <c r="G39818" s="1"/>
    </row>
    <row r="39819">
      <c r="B39819" s="36"/>
      <c r="C39819" s="36"/>
      <c r="E39819" s="1"/>
      <c r="F39819" s="1"/>
      <c r="G39819" s="1"/>
    </row>
    <row r="39820">
      <c r="B39820" s="36"/>
      <c r="C39820" s="36"/>
      <c r="E39820" s="1"/>
      <c r="F39820" s="1"/>
      <c r="G39820" s="1"/>
    </row>
    <row r="39821">
      <c r="B39821" s="36"/>
      <c r="C39821" s="36"/>
      <c r="E39821" s="1"/>
      <c r="F39821" s="1"/>
      <c r="G39821" s="1"/>
    </row>
    <row r="39822">
      <c r="B39822" s="36"/>
      <c r="C39822" s="36"/>
      <c r="E39822" s="1"/>
      <c r="F39822" s="1"/>
      <c r="G39822" s="1"/>
    </row>
    <row r="39823">
      <c r="B39823" s="36"/>
      <c r="C39823" s="36"/>
      <c r="E39823" s="1"/>
      <c r="F39823" s="1"/>
      <c r="G39823" s="1"/>
    </row>
    <row r="39824">
      <c r="B39824" s="36"/>
      <c r="C39824" s="36"/>
      <c r="E39824" s="1"/>
      <c r="F39824" s="1"/>
      <c r="G39824" s="1"/>
    </row>
    <row r="39825">
      <c r="B39825" s="36"/>
      <c r="C39825" s="36"/>
      <c r="E39825" s="1"/>
      <c r="F39825" s="1"/>
      <c r="G39825" s="1"/>
    </row>
    <row r="39826">
      <c r="B39826" s="36"/>
      <c r="C39826" s="36"/>
      <c r="E39826" s="1"/>
      <c r="F39826" s="1"/>
      <c r="G39826" s="1"/>
    </row>
    <row r="39827">
      <c r="B39827" s="36"/>
      <c r="C39827" s="36"/>
      <c r="E39827" s="1"/>
      <c r="F39827" s="1"/>
      <c r="G39827" s="1"/>
    </row>
    <row r="39828">
      <c r="B39828" s="36"/>
      <c r="C39828" s="36"/>
      <c r="E39828" s="1"/>
      <c r="F39828" s="1"/>
      <c r="G39828" s="1"/>
    </row>
    <row r="39829">
      <c r="B39829" s="36"/>
      <c r="C39829" s="36"/>
      <c r="E39829" s="1"/>
      <c r="F39829" s="1"/>
      <c r="G39829" s="1"/>
    </row>
    <row r="39830">
      <c r="B39830" s="36"/>
      <c r="C39830" s="36"/>
      <c r="E39830" s="1"/>
      <c r="F39830" s="1"/>
      <c r="G39830" s="1"/>
    </row>
    <row r="39831">
      <c r="B39831" s="36"/>
      <c r="C39831" s="36"/>
      <c r="E39831" s="1"/>
      <c r="F39831" s="1"/>
      <c r="G39831" s="1"/>
    </row>
    <row r="39832">
      <c r="B39832" s="36"/>
      <c r="C39832" s="36"/>
      <c r="E39832" s="1"/>
      <c r="F39832" s="1"/>
      <c r="G39832" s="1"/>
    </row>
    <row r="39833">
      <c r="B39833" s="36"/>
      <c r="C39833" s="36"/>
      <c r="E39833" s="1"/>
      <c r="F39833" s="1"/>
      <c r="G39833" s="1"/>
    </row>
    <row r="39834">
      <c r="B39834" s="36"/>
      <c r="C39834" s="36"/>
      <c r="E39834" s="1"/>
      <c r="F39834" s="1"/>
      <c r="G39834" s="1"/>
    </row>
    <row r="39835">
      <c r="B39835" s="36"/>
      <c r="C39835" s="36"/>
      <c r="E39835" s="1"/>
      <c r="F39835" s="1"/>
      <c r="G39835" s="1"/>
    </row>
    <row r="39836">
      <c r="B39836" s="36"/>
      <c r="C39836" s="36"/>
      <c r="E39836" s="1"/>
      <c r="F39836" s="1"/>
      <c r="G39836" s="1"/>
    </row>
    <row r="39837">
      <c r="B39837" s="36"/>
      <c r="C39837" s="36"/>
      <c r="E39837" s="1"/>
      <c r="F39837" s="1"/>
      <c r="G39837" s="1"/>
    </row>
    <row r="39838">
      <c r="B39838" s="36"/>
      <c r="C39838" s="36"/>
      <c r="E39838" s="1"/>
      <c r="F39838" s="1"/>
      <c r="G39838" s="1"/>
    </row>
    <row r="39839">
      <c r="B39839" s="36"/>
      <c r="C39839" s="36"/>
      <c r="E39839" s="1"/>
      <c r="F39839" s="1"/>
      <c r="G39839" s="1"/>
    </row>
    <row r="39840">
      <c r="B39840" s="36"/>
      <c r="C39840" s="36"/>
      <c r="E39840" s="1"/>
      <c r="F39840" s="1"/>
      <c r="G39840" s="1"/>
    </row>
    <row r="39841">
      <c r="B39841" s="36"/>
      <c r="C39841" s="36"/>
      <c r="E39841" s="1"/>
      <c r="F39841" s="1"/>
      <c r="G39841" s="1"/>
    </row>
    <row r="39842">
      <c r="B39842" s="36"/>
      <c r="C39842" s="36"/>
      <c r="E39842" s="1"/>
      <c r="F39842" s="1"/>
      <c r="G39842" s="1"/>
    </row>
    <row r="39843">
      <c r="B39843" s="36"/>
      <c r="C39843" s="36"/>
      <c r="E39843" s="1"/>
      <c r="F39843" s="1"/>
      <c r="G39843" s="1"/>
    </row>
    <row r="39844">
      <c r="B39844" s="36"/>
      <c r="C39844" s="36"/>
      <c r="E39844" s="1"/>
      <c r="F39844" s="1"/>
      <c r="G39844" s="1"/>
    </row>
    <row r="39845">
      <c r="B39845" s="36"/>
      <c r="C39845" s="36"/>
      <c r="E39845" s="1"/>
      <c r="F39845" s="1"/>
      <c r="G39845" s="1"/>
    </row>
    <row r="39846">
      <c r="B39846" s="36"/>
      <c r="C39846" s="36"/>
      <c r="E39846" s="1"/>
      <c r="F39846" s="1"/>
      <c r="G39846" s="1"/>
    </row>
    <row r="39847">
      <c r="B39847" s="36"/>
      <c r="C39847" s="36"/>
      <c r="E39847" s="1"/>
      <c r="F39847" s="1"/>
      <c r="G39847" s="1"/>
    </row>
    <row r="39848">
      <c r="B39848" s="36"/>
      <c r="C39848" s="36"/>
      <c r="E39848" s="1"/>
      <c r="F39848" s="1"/>
      <c r="G39848" s="1"/>
    </row>
    <row r="39849">
      <c r="B39849" s="36"/>
      <c r="C39849" s="36"/>
      <c r="E39849" s="1"/>
      <c r="F39849" s="1"/>
      <c r="G39849" s="1"/>
    </row>
    <row r="39850">
      <c r="B39850" s="36"/>
      <c r="C39850" s="36"/>
      <c r="E39850" s="1"/>
      <c r="F39850" s="1"/>
      <c r="G39850" s="1"/>
    </row>
    <row r="39851">
      <c r="B39851" s="36"/>
      <c r="C39851" s="36"/>
      <c r="E39851" s="1"/>
      <c r="F39851" s="1"/>
      <c r="G39851" s="1"/>
    </row>
    <row r="39852">
      <c r="B39852" s="36"/>
      <c r="C39852" s="36"/>
      <c r="E39852" s="1"/>
      <c r="F39852" s="1"/>
      <c r="G39852" s="1"/>
    </row>
    <row r="39853">
      <c r="B39853" s="36"/>
      <c r="C39853" s="36"/>
      <c r="E39853" s="1"/>
      <c r="F39853" s="1"/>
      <c r="G39853" s="1"/>
    </row>
    <row r="39854">
      <c r="B39854" s="36"/>
      <c r="C39854" s="36"/>
      <c r="E39854" s="1"/>
      <c r="F39854" s="1"/>
      <c r="G39854" s="1"/>
    </row>
    <row r="39855">
      <c r="B39855" s="36"/>
      <c r="C39855" s="36"/>
      <c r="E39855" s="1"/>
      <c r="F39855" s="1"/>
      <c r="G39855" s="1"/>
    </row>
    <row r="39856">
      <c r="B39856" s="36"/>
      <c r="C39856" s="36"/>
      <c r="E39856" s="1"/>
      <c r="F39856" s="1"/>
      <c r="G39856" s="1"/>
    </row>
    <row r="39857">
      <c r="B39857" s="36"/>
      <c r="C39857" s="36"/>
      <c r="E39857" s="1"/>
      <c r="F39857" s="1"/>
      <c r="G39857" s="1"/>
    </row>
    <row r="39858">
      <c r="B39858" s="36"/>
      <c r="C39858" s="36"/>
      <c r="E39858" s="1"/>
      <c r="F39858" s="1"/>
      <c r="G39858" s="1"/>
    </row>
    <row r="39859">
      <c r="B39859" s="36"/>
      <c r="C39859" s="36"/>
      <c r="E39859" s="1"/>
      <c r="F39859" s="1"/>
      <c r="G39859" s="1"/>
    </row>
    <row r="39860">
      <c r="B39860" s="36"/>
      <c r="C39860" s="36"/>
      <c r="E39860" s="1"/>
      <c r="F39860" s="1"/>
      <c r="G39860" s="1"/>
    </row>
    <row r="39861">
      <c r="B39861" s="36"/>
      <c r="C39861" s="36"/>
      <c r="E39861" s="1"/>
      <c r="F39861" s="1"/>
      <c r="G39861" s="1"/>
    </row>
    <row r="39862">
      <c r="B39862" s="36"/>
      <c r="C39862" s="36"/>
      <c r="E39862" s="1"/>
      <c r="F39862" s="1"/>
      <c r="G39862" s="1"/>
    </row>
    <row r="39863">
      <c r="B39863" s="36"/>
      <c r="C39863" s="36"/>
      <c r="E39863" s="1"/>
      <c r="F39863" s="1"/>
      <c r="G39863" s="1"/>
    </row>
    <row r="39864">
      <c r="B39864" s="36"/>
      <c r="C39864" s="36"/>
      <c r="E39864" s="1"/>
      <c r="F39864" s="1"/>
      <c r="G39864" s="1"/>
    </row>
    <row r="39865">
      <c r="B39865" s="36"/>
      <c r="C39865" s="36"/>
      <c r="E39865" s="1"/>
      <c r="F39865" s="1"/>
      <c r="G39865" s="1"/>
    </row>
    <row r="39866">
      <c r="B39866" s="36"/>
      <c r="C39866" s="36"/>
      <c r="E39866" s="1"/>
      <c r="F39866" s="1"/>
      <c r="G39866" s="1"/>
    </row>
    <row r="39867">
      <c r="B39867" s="36"/>
      <c r="C39867" s="36"/>
      <c r="E39867" s="1"/>
      <c r="F39867" s="1"/>
      <c r="G39867" s="1"/>
    </row>
    <row r="39868">
      <c r="B39868" s="36"/>
      <c r="C39868" s="36"/>
      <c r="E39868" s="1"/>
      <c r="F39868" s="1"/>
      <c r="G39868" s="1"/>
    </row>
    <row r="39869">
      <c r="B39869" s="36"/>
      <c r="C39869" s="36"/>
      <c r="E39869" s="1"/>
      <c r="F39869" s="1"/>
      <c r="G39869" s="1"/>
    </row>
    <row r="39870">
      <c r="B39870" s="36"/>
      <c r="C39870" s="36"/>
      <c r="E39870" s="1"/>
      <c r="F39870" s="1"/>
      <c r="G39870" s="1"/>
    </row>
    <row r="39871">
      <c r="B39871" s="36"/>
      <c r="C39871" s="36"/>
      <c r="E39871" s="1"/>
      <c r="F39871" s="1"/>
      <c r="G39871" s="1"/>
    </row>
    <row r="39872">
      <c r="B39872" s="36"/>
      <c r="C39872" s="36"/>
      <c r="E39872" s="1"/>
      <c r="F39872" s="1"/>
      <c r="G39872" s="1"/>
    </row>
    <row r="39873">
      <c r="B39873" s="36"/>
      <c r="C39873" s="36"/>
      <c r="E39873" s="1"/>
      <c r="F39873" s="1"/>
      <c r="G39873" s="1"/>
    </row>
    <row r="39874">
      <c r="B39874" s="36"/>
      <c r="C39874" s="36"/>
      <c r="E39874" s="1"/>
      <c r="F39874" s="1"/>
      <c r="G39874" s="1"/>
    </row>
    <row r="39875">
      <c r="B39875" s="36"/>
      <c r="C39875" s="36"/>
      <c r="E39875" s="1"/>
      <c r="F39875" s="1"/>
      <c r="G39875" s="1"/>
    </row>
    <row r="39876">
      <c r="B39876" s="36"/>
      <c r="C39876" s="36"/>
      <c r="E39876" s="1"/>
      <c r="F39876" s="1"/>
      <c r="G39876" s="1"/>
    </row>
    <row r="39877">
      <c r="B39877" s="36"/>
      <c r="C39877" s="36"/>
      <c r="E39877" s="1"/>
      <c r="F39877" s="1"/>
      <c r="G39877" s="1"/>
    </row>
    <row r="39878">
      <c r="B39878" s="36"/>
      <c r="C39878" s="36"/>
      <c r="E39878" s="1"/>
      <c r="F39878" s="1"/>
      <c r="G39878" s="1"/>
    </row>
    <row r="39879">
      <c r="B39879" s="36"/>
      <c r="C39879" s="36"/>
      <c r="E39879" s="1"/>
      <c r="F39879" s="1"/>
      <c r="G39879" s="1"/>
    </row>
    <row r="39880">
      <c r="B39880" s="36"/>
      <c r="C39880" s="36"/>
      <c r="E39880" s="1"/>
      <c r="F39880" s="1"/>
      <c r="G39880" s="1"/>
    </row>
    <row r="39881">
      <c r="B39881" s="36"/>
      <c r="C39881" s="36"/>
      <c r="E39881" s="1"/>
      <c r="F39881" s="1"/>
      <c r="G39881" s="1"/>
    </row>
    <row r="39882">
      <c r="B39882" s="36"/>
      <c r="C39882" s="36"/>
      <c r="E39882" s="1"/>
      <c r="F39882" s="1"/>
      <c r="G39882" s="1"/>
    </row>
    <row r="39883">
      <c r="B39883" s="36"/>
      <c r="C39883" s="36"/>
      <c r="E39883" s="1"/>
      <c r="F39883" s="1"/>
      <c r="G39883" s="1"/>
    </row>
    <row r="39884">
      <c r="B39884" s="36"/>
      <c r="C39884" s="36"/>
      <c r="E39884" s="1"/>
      <c r="F39884" s="1"/>
      <c r="G39884" s="1"/>
    </row>
    <row r="39885">
      <c r="B39885" s="36"/>
      <c r="C39885" s="36"/>
      <c r="E39885" s="1"/>
      <c r="F39885" s="1"/>
      <c r="G39885" s="1"/>
    </row>
    <row r="39886">
      <c r="B39886" s="36"/>
      <c r="C39886" s="36"/>
      <c r="E39886" s="1"/>
      <c r="F39886" s="1"/>
      <c r="G39886" s="1"/>
    </row>
    <row r="39887">
      <c r="B39887" s="36"/>
      <c r="C39887" s="36"/>
      <c r="E39887" s="1"/>
      <c r="F39887" s="1"/>
      <c r="G39887" s="1"/>
    </row>
    <row r="39888">
      <c r="B39888" s="36"/>
      <c r="C39888" s="36"/>
      <c r="E39888" s="1"/>
      <c r="F39888" s="1"/>
      <c r="G39888" s="1"/>
    </row>
    <row r="39889">
      <c r="B39889" s="36"/>
      <c r="C39889" s="36"/>
      <c r="E39889" s="1"/>
      <c r="F39889" s="1"/>
      <c r="G39889" s="1"/>
    </row>
    <row r="39890">
      <c r="B39890" s="36"/>
      <c r="C39890" s="36"/>
      <c r="E39890" s="1"/>
      <c r="F39890" s="1"/>
      <c r="G39890" s="1"/>
    </row>
    <row r="39891">
      <c r="B39891" s="36"/>
      <c r="C39891" s="36"/>
      <c r="E39891" s="1"/>
      <c r="F39891" s="1"/>
      <c r="G39891" s="1"/>
    </row>
    <row r="39892">
      <c r="B39892" s="36"/>
      <c r="C39892" s="36"/>
      <c r="E39892" s="1"/>
      <c r="F39892" s="1"/>
      <c r="G39892" s="1"/>
    </row>
    <row r="39893">
      <c r="B39893" s="36"/>
      <c r="C39893" s="36"/>
      <c r="E39893" s="1"/>
      <c r="F39893" s="1"/>
      <c r="G39893" s="1"/>
    </row>
    <row r="39894">
      <c r="B39894" s="36"/>
      <c r="C39894" s="36"/>
      <c r="E39894" s="1"/>
      <c r="F39894" s="1"/>
      <c r="G39894" s="1"/>
    </row>
    <row r="39895">
      <c r="B39895" s="36"/>
      <c r="C39895" s="36"/>
      <c r="E39895" s="1"/>
      <c r="F39895" s="1"/>
      <c r="G39895" s="1"/>
    </row>
    <row r="39896">
      <c r="B39896" s="36"/>
      <c r="C39896" s="36"/>
      <c r="E39896" s="1"/>
      <c r="F39896" s="1"/>
      <c r="G39896" s="1"/>
    </row>
    <row r="39897">
      <c r="B39897" s="36"/>
      <c r="C39897" s="36"/>
      <c r="E39897" s="1"/>
      <c r="F39897" s="1"/>
      <c r="G39897" s="1"/>
    </row>
    <row r="39898">
      <c r="B39898" s="36"/>
      <c r="C39898" s="36"/>
      <c r="E39898" s="1"/>
      <c r="F39898" s="1"/>
      <c r="G39898" s="1"/>
    </row>
    <row r="39899">
      <c r="B39899" s="36"/>
      <c r="C39899" s="36"/>
      <c r="E39899" s="1"/>
      <c r="F39899" s="1"/>
      <c r="G39899" s="1"/>
    </row>
    <row r="39900">
      <c r="B39900" s="36"/>
      <c r="C39900" s="36"/>
      <c r="E39900" s="1"/>
      <c r="F39900" s="1"/>
      <c r="G39900" s="1"/>
    </row>
    <row r="39901">
      <c r="B39901" s="36"/>
      <c r="C39901" s="36"/>
      <c r="E39901" s="1"/>
      <c r="F39901" s="1"/>
      <c r="G39901" s="1"/>
    </row>
    <row r="39902">
      <c r="B39902" s="36"/>
      <c r="C39902" s="36"/>
      <c r="E39902" s="1"/>
      <c r="F39902" s="1"/>
      <c r="G39902" s="1"/>
    </row>
    <row r="39903">
      <c r="B39903" s="36"/>
      <c r="C39903" s="36"/>
      <c r="E39903" s="1"/>
      <c r="F39903" s="1"/>
      <c r="G39903" s="1"/>
    </row>
    <row r="39904">
      <c r="B39904" s="36"/>
      <c r="C39904" s="36"/>
      <c r="E39904" s="1"/>
      <c r="F39904" s="1"/>
      <c r="G39904" s="1"/>
    </row>
    <row r="39905">
      <c r="B39905" s="36"/>
      <c r="C39905" s="36"/>
      <c r="E39905" s="1"/>
      <c r="F39905" s="1"/>
      <c r="G39905" s="1"/>
    </row>
    <row r="39906">
      <c r="B39906" s="36"/>
      <c r="C39906" s="36"/>
      <c r="E39906" s="1"/>
      <c r="F39906" s="1"/>
      <c r="G39906" s="1"/>
    </row>
    <row r="39907">
      <c r="B39907" s="36"/>
      <c r="C39907" s="36"/>
      <c r="E39907" s="1"/>
      <c r="F39907" s="1"/>
      <c r="G39907" s="1"/>
    </row>
    <row r="39908">
      <c r="B39908" s="36"/>
      <c r="C39908" s="36"/>
      <c r="E39908" s="1"/>
      <c r="F39908" s="1"/>
      <c r="G39908" s="1"/>
    </row>
    <row r="39909">
      <c r="B39909" s="36"/>
      <c r="C39909" s="36"/>
      <c r="E39909" s="1"/>
      <c r="F39909" s="1"/>
      <c r="G39909" s="1"/>
    </row>
    <row r="39910">
      <c r="B39910" s="36"/>
      <c r="C39910" s="36"/>
      <c r="E39910" s="1"/>
      <c r="F39910" s="1"/>
      <c r="G39910" s="1"/>
    </row>
    <row r="39911">
      <c r="B39911" s="36"/>
      <c r="C39911" s="36"/>
      <c r="E39911" s="1"/>
      <c r="F39911" s="1"/>
      <c r="G39911" s="1"/>
    </row>
    <row r="39912">
      <c r="B39912" s="36"/>
      <c r="C39912" s="36"/>
      <c r="E39912" s="1"/>
      <c r="F39912" s="1"/>
      <c r="G39912" s="1"/>
    </row>
    <row r="39913">
      <c r="B39913" s="36"/>
      <c r="C39913" s="36"/>
      <c r="E39913" s="1"/>
      <c r="F39913" s="1"/>
      <c r="G39913" s="1"/>
    </row>
    <row r="39914">
      <c r="B39914" s="36"/>
      <c r="C39914" s="36"/>
      <c r="E39914" s="1"/>
      <c r="F39914" s="1"/>
      <c r="G39914" s="1"/>
    </row>
    <row r="39915">
      <c r="B39915" s="36"/>
      <c r="C39915" s="36"/>
      <c r="E39915" s="1"/>
      <c r="F39915" s="1"/>
      <c r="G39915" s="1"/>
    </row>
    <row r="39916">
      <c r="B39916" s="36"/>
      <c r="C39916" s="36"/>
      <c r="E39916" s="1"/>
      <c r="F39916" s="1"/>
      <c r="G39916" s="1"/>
    </row>
    <row r="39917">
      <c r="B39917" s="36"/>
      <c r="C39917" s="36"/>
      <c r="E39917" s="1"/>
      <c r="F39917" s="1"/>
      <c r="G39917" s="1"/>
    </row>
    <row r="39918">
      <c r="B39918" s="36"/>
      <c r="C39918" s="36"/>
      <c r="E39918" s="1"/>
      <c r="F39918" s="1"/>
      <c r="G39918" s="1"/>
    </row>
    <row r="39919">
      <c r="B39919" s="36"/>
      <c r="C39919" s="36"/>
      <c r="E39919" s="1"/>
      <c r="F39919" s="1"/>
      <c r="G39919" s="1"/>
    </row>
    <row r="39920">
      <c r="B39920" s="36"/>
      <c r="C39920" s="36"/>
      <c r="E39920" s="1"/>
      <c r="F39920" s="1"/>
      <c r="G39920" s="1"/>
    </row>
    <row r="39921">
      <c r="B39921" s="36"/>
      <c r="C39921" s="36"/>
      <c r="E39921" s="1"/>
      <c r="F39921" s="1"/>
      <c r="G39921" s="1"/>
    </row>
    <row r="39922">
      <c r="B39922" s="36"/>
      <c r="C39922" s="36"/>
      <c r="E39922" s="1"/>
      <c r="F39922" s="1"/>
      <c r="G39922" s="1"/>
    </row>
    <row r="39923">
      <c r="B39923" s="36"/>
      <c r="C39923" s="36"/>
      <c r="E39923" s="1"/>
      <c r="F39923" s="1"/>
      <c r="G39923" s="1"/>
    </row>
    <row r="39924">
      <c r="B39924" s="36"/>
      <c r="C39924" s="36"/>
      <c r="E39924" s="1"/>
      <c r="F39924" s="1"/>
      <c r="G39924" s="1"/>
    </row>
    <row r="39925">
      <c r="B39925" s="36"/>
      <c r="C39925" s="36"/>
      <c r="E39925" s="1"/>
      <c r="F39925" s="1"/>
      <c r="G39925" s="1"/>
    </row>
    <row r="39926">
      <c r="B39926" s="36"/>
      <c r="C39926" s="36"/>
      <c r="E39926" s="1"/>
      <c r="F39926" s="1"/>
      <c r="G39926" s="1"/>
    </row>
    <row r="39927">
      <c r="B39927" s="36"/>
      <c r="C39927" s="36"/>
      <c r="E39927" s="1"/>
      <c r="F39927" s="1"/>
      <c r="G39927" s="1"/>
    </row>
    <row r="39928">
      <c r="B39928" s="36"/>
      <c r="C39928" s="36"/>
      <c r="E39928" s="1"/>
      <c r="F39928" s="1"/>
      <c r="G39928" s="1"/>
    </row>
    <row r="39929">
      <c r="B39929" s="36"/>
      <c r="C39929" s="36"/>
      <c r="E39929" s="1"/>
      <c r="F39929" s="1"/>
      <c r="G39929" s="1"/>
    </row>
    <row r="39930">
      <c r="B39930" s="36"/>
      <c r="C39930" s="36"/>
      <c r="E39930" s="1"/>
      <c r="F39930" s="1"/>
      <c r="G39930" s="1"/>
    </row>
    <row r="39931">
      <c r="B39931" s="36"/>
      <c r="C39931" s="36"/>
      <c r="E39931" s="1"/>
      <c r="F39931" s="1"/>
      <c r="G39931" s="1"/>
    </row>
    <row r="39932">
      <c r="B39932" s="36"/>
      <c r="C39932" s="36"/>
      <c r="E39932" s="1"/>
      <c r="F39932" s="1"/>
      <c r="G39932" s="1"/>
    </row>
    <row r="39933">
      <c r="B39933" s="36"/>
      <c r="C39933" s="36"/>
      <c r="E39933" s="1"/>
      <c r="F39933" s="1"/>
      <c r="G39933" s="1"/>
    </row>
    <row r="39934">
      <c r="B39934" s="36"/>
      <c r="C39934" s="36"/>
      <c r="E39934" s="1"/>
      <c r="F39934" s="1"/>
      <c r="G39934" s="1"/>
    </row>
    <row r="39935">
      <c r="B39935" s="36"/>
      <c r="C39935" s="36"/>
      <c r="E39935" s="1"/>
      <c r="F39935" s="1"/>
      <c r="G39935" s="1"/>
    </row>
    <row r="39936">
      <c r="B39936" s="36"/>
      <c r="C39936" s="36"/>
      <c r="E39936" s="1"/>
      <c r="F39936" s="1"/>
      <c r="G39936" s="1"/>
    </row>
    <row r="39937">
      <c r="B39937" s="36"/>
      <c r="C39937" s="36"/>
      <c r="E39937" s="1"/>
      <c r="F39937" s="1"/>
      <c r="G39937" s="1"/>
    </row>
    <row r="39938">
      <c r="B39938" s="36"/>
      <c r="C39938" s="36"/>
      <c r="E39938" s="1"/>
      <c r="F39938" s="1"/>
      <c r="G39938" s="1"/>
    </row>
    <row r="39939">
      <c r="B39939" s="36"/>
      <c r="C39939" s="36"/>
      <c r="E39939" s="1"/>
      <c r="F39939" s="1"/>
      <c r="G39939" s="1"/>
    </row>
    <row r="39940">
      <c r="B39940" s="36"/>
      <c r="C39940" s="36"/>
      <c r="E39940" s="1"/>
      <c r="F39940" s="1"/>
      <c r="G39940" s="1"/>
    </row>
    <row r="39941">
      <c r="B39941" s="36"/>
      <c r="C39941" s="36"/>
      <c r="E39941" s="1"/>
      <c r="F39941" s="1"/>
      <c r="G39941" s="1"/>
    </row>
    <row r="39942">
      <c r="B39942" s="36"/>
      <c r="C39942" s="36"/>
      <c r="E39942" s="1"/>
      <c r="F39942" s="1"/>
      <c r="G39942" s="1"/>
    </row>
    <row r="39943">
      <c r="B39943" s="36"/>
      <c r="C39943" s="36"/>
      <c r="E39943" s="1"/>
      <c r="F39943" s="1"/>
      <c r="G39943" s="1"/>
    </row>
    <row r="39944">
      <c r="B39944" s="36"/>
      <c r="C39944" s="36"/>
      <c r="E39944" s="1"/>
      <c r="F39944" s="1"/>
      <c r="G39944" s="1"/>
    </row>
    <row r="39945">
      <c r="B39945" s="36"/>
      <c r="C39945" s="36"/>
      <c r="E39945" s="1"/>
      <c r="F39945" s="1"/>
      <c r="G39945" s="1"/>
    </row>
    <row r="39946">
      <c r="B39946" s="36"/>
      <c r="C39946" s="36"/>
      <c r="E39946" s="1"/>
      <c r="F39946" s="1"/>
      <c r="G39946" s="1"/>
    </row>
    <row r="39947">
      <c r="B39947" s="36"/>
      <c r="C39947" s="36"/>
      <c r="E39947" s="1"/>
      <c r="F39947" s="1"/>
      <c r="G39947" s="1"/>
    </row>
    <row r="39948">
      <c r="B39948" s="36"/>
      <c r="C39948" s="36"/>
      <c r="E39948" s="1"/>
      <c r="F39948" s="1"/>
      <c r="G39948" s="1"/>
    </row>
    <row r="39949">
      <c r="B39949" s="36"/>
      <c r="C39949" s="36"/>
      <c r="E39949" s="1"/>
      <c r="F39949" s="1"/>
      <c r="G39949" s="1"/>
    </row>
    <row r="39950">
      <c r="B39950" s="36"/>
      <c r="C39950" s="36"/>
      <c r="E39950" s="1"/>
      <c r="F39950" s="1"/>
      <c r="G39950" s="1"/>
    </row>
    <row r="39951">
      <c r="B39951" s="36"/>
      <c r="C39951" s="36"/>
      <c r="E39951" s="1"/>
      <c r="F39951" s="1"/>
      <c r="G39951" s="1"/>
    </row>
    <row r="39952">
      <c r="B39952" s="36"/>
      <c r="C39952" s="36"/>
      <c r="E39952" s="1"/>
      <c r="F39952" s="1"/>
      <c r="G39952" s="1"/>
    </row>
    <row r="39953">
      <c r="B39953" s="36"/>
      <c r="C39953" s="36"/>
      <c r="E39953" s="1"/>
      <c r="F39953" s="1"/>
      <c r="G39953" s="1"/>
    </row>
    <row r="39954">
      <c r="B39954" s="36"/>
      <c r="C39954" s="36"/>
      <c r="E39954" s="1"/>
      <c r="F39954" s="1"/>
      <c r="G39954" s="1"/>
    </row>
    <row r="39955">
      <c r="B39955" s="36"/>
      <c r="C39955" s="36"/>
      <c r="E39955" s="1"/>
      <c r="F39955" s="1"/>
      <c r="G39955" s="1"/>
    </row>
    <row r="39956">
      <c r="B39956" s="36"/>
      <c r="C39956" s="36"/>
      <c r="E39956" s="1"/>
      <c r="F39956" s="1"/>
      <c r="G39956" s="1"/>
    </row>
    <row r="39957">
      <c r="B39957" s="36"/>
      <c r="C39957" s="36"/>
      <c r="E39957" s="1"/>
      <c r="F39957" s="1"/>
      <c r="G39957" s="1"/>
    </row>
    <row r="39958">
      <c r="B39958" s="36"/>
      <c r="C39958" s="36"/>
      <c r="E39958" s="1"/>
      <c r="F39958" s="1"/>
      <c r="G39958" s="1"/>
    </row>
    <row r="39959">
      <c r="B39959" s="36"/>
      <c r="C39959" s="36"/>
      <c r="E39959" s="1"/>
      <c r="F39959" s="1"/>
      <c r="G39959" s="1"/>
    </row>
    <row r="39960">
      <c r="B39960" s="36"/>
      <c r="C39960" s="36"/>
      <c r="E39960" s="1"/>
      <c r="F39960" s="1"/>
      <c r="G39960" s="1"/>
    </row>
    <row r="39961">
      <c r="B39961" s="36"/>
      <c r="C39961" s="36"/>
      <c r="E39961" s="1"/>
      <c r="F39961" s="1"/>
      <c r="G39961" s="1"/>
    </row>
    <row r="39962">
      <c r="B39962" s="36"/>
      <c r="C39962" s="36"/>
      <c r="E39962" s="1"/>
      <c r="F39962" s="1"/>
      <c r="G39962" s="1"/>
    </row>
    <row r="39963">
      <c r="B39963" s="36"/>
      <c r="C39963" s="36"/>
      <c r="E39963" s="1"/>
      <c r="F39963" s="1"/>
      <c r="G39963" s="1"/>
    </row>
    <row r="39964">
      <c r="B39964" s="36"/>
      <c r="C39964" s="36"/>
      <c r="E39964" s="1"/>
      <c r="F39964" s="1"/>
      <c r="G39964" s="1"/>
    </row>
    <row r="39965">
      <c r="B39965" s="36"/>
      <c r="C39965" s="36"/>
      <c r="E39965" s="1"/>
      <c r="F39965" s="1"/>
      <c r="G39965" s="1"/>
    </row>
    <row r="39966">
      <c r="B39966" s="36"/>
      <c r="C39966" s="36"/>
      <c r="E39966" s="1"/>
      <c r="F39966" s="1"/>
      <c r="G39966" s="1"/>
    </row>
    <row r="39967">
      <c r="B39967" s="36"/>
      <c r="C39967" s="36"/>
      <c r="E39967" s="1"/>
      <c r="F39967" s="1"/>
      <c r="G39967" s="1"/>
    </row>
    <row r="39968">
      <c r="B39968" s="36"/>
      <c r="C39968" s="36"/>
      <c r="E39968" s="1"/>
      <c r="F39968" s="1"/>
      <c r="G39968" s="1"/>
    </row>
    <row r="39969">
      <c r="B39969" s="36"/>
      <c r="C39969" s="36"/>
      <c r="E39969" s="1"/>
      <c r="F39969" s="1"/>
      <c r="G39969" s="1"/>
    </row>
    <row r="39970">
      <c r="B39970" s="36"/>
      <c r="C39970" s="36"/>
      <c r="E39970" s="1"/>
      <c r="F39970" s="1"/>
      <c r="G39970" s="1"/>
    </row>
    <row r="39971">
      <c r="B39971" s="36"/>
      <c r="C39971" s="36"/>
      <c r="E39971" s="1"/>
      <c r="F39971" s="1"/>
      <c r="G39971" s="1"/>
    </row>
    <row r="39972">
      <c r="B39972" s="36"/>
      <c r="C39972" s="36"/>
      <c r="E39972" s="1"/>
      <c r="F39972" s="1"/>
      <c r="G39972" s="1"/>
    </row>
    <row r="39973">
      <c r="B39973" s="36"/>
      <c r="C39973" s="36"/>
      <c r="E39973" s="1"/>
      <c r="F39973" s="1"/>
      <c r="G39973" s="1"/>
    </row>
    <row r="39974">
      <c r="B39974" s="36"/>
      <c r="C39974" s="36"/>
      <c r="E39974" s="1"/>
      <c r="F39974" s="1"/>
      <c r="G39974" s="1"/>
    </row>
    <row r="39975">
      <c r="B39975" s="36"/>
      <c r="C39975" s="36"/>
      <c r="E39975" s="1"/>
      <c r="F39975" s="1"/>
      <c r="G39975" s="1"/>
    </row>
    <row r="39976">
      <c r="B39976" s="36"/>
      <c r="C39976" s="36"/>
      <c r="E39976" s="1"/>
      <c r="F39976" s="1"/>
      <c r="G39976" s="1"/>
    </row>
    <row r="39977">
      <c r="B39977" s="36"/>
      <c r="C39977" s="36"/>
      <c r="E39977" s="1"/>
      <c r="F39977" s="1"/>
      <c r="G39977" s="1"/>
    </row>
    <row r="39978">
      <c r="B39978" s="36"/>
      <c r="C39978" s="36"/>
      <c r="E39978" s="1"/>
      <c r="F39978" s="1"/>
      <c r="G39978" s="1"/>
    </row>
    <row r="39979">
      <c r="B39979" s="36"/>
      <c r="C39979" s="36"/>
      <c r="E39979" s="1"/>
      <c r="F39979" s="1"/>
      <c r="G39979" s="1"/>
    </row>
    <row r="39980">
      <c r="B39980" s="36"/>
      <c r="C39980" s="36"/>
      <c r="E39980" s="1"/>
      <c r="F39980" s="1"/>
      <c r="G39980" s="1"/>
    </row>
    <row r="39981">
      <c r="B39981" s="36"/>
      <c r="C39981" s="36"/>
      <c r="E39981" s="1"/>
      <c r="F39981" s="1"/>
      <c r="G39981" s="1"/>
    </row>
    <row r="39982">
      <c r="B39982" s="36"/>
      <c r="C39982" s="36"/>
      <c r="E39982" s="1"/>
      <c r="F39982" s="1"/>
      <c r="G39982" s="1"/>
    </row>
    <row r="39983">
      <c r="B39983" s="36"/>
      <c r="C39983" s="36"/>
      <c r="E39983" s="1"/>
      <c r="F39983" s="1"/>
      <c r="G39983" s="1"/>
    </row>
    <row r="39984">
      <c r="B39984" s="36"/>
      <c r="C39984" s="36"/>
      <c r="E39984" s="1"/>
      <c r="F39984" s="1"/>
      <c r="G39984" s="1"/>
    </row>
    <row r="39985">
      <c r="B39985" s="36"/>
      <c r="C39985" s="36"/>
      <c r="E39985" s="1"/>
      <c r="F39985" s="1"/>
      <c r="G39985" s="1"/>
    </row>
    <row r="39986">
      <c r="B39986" s="36"/>
      <c r="C39986" s="36"/>
      <c r="E39986" s="1"/>
      <c r="F39986" s="1"/>
      <c r="G39986" s="1"/>
    </row>
    <row r="39987">
      <c r="B39987" s="36"/>
      <c r="C39987" s="36"/>
      <c r="E39987" s="1"/>
      <c r="F39987" s="1"/>
      <c r="G39987" s="1"/>
    </row>
    <row r="39988">
      <c r="B39988" s="36"/>
      <c r="C39988" s="36"/>
      <c r="E39988" s="1"/>
      <c r="F39988" s="1"/>
      <c r="G39988" s="1"/>
    </row>
    <row r="39989">
      <c r="B39989" s="36"/>
      <c r="C39989" s="36"/>
      <c r="E39989" s="1"/>
      <c r="F39989" s="1"/>
      <c r="G39989" s="1"/>
    </row>
    <row r="39990">
      <c r="B39990" s="36"/>
      <c r="C39990" s="36"/>
      <c r="E39990" s="1"/>
      <c r="F39990" s="1"/>
      <c r="G39990" s="1"/>
    </row>
    <row r="39991">
      <c r="B39991" s="36"/>
      <c r="C39991" s="36"/>
      <c r="E39991" s="1"/>
      <c r="F39991" s="1"/>
      <c r="G39991" s="1"/>
    </row>
    <row r="39992">
      <c r="B39992" s="36"/>
      <c r="C39992" s="36"/>
      <c r="E39992" s="1"/>
      <c r="F39992" s="1"/>
      <c r="G39992" s="1"/>
    </row>
    <row r="39993">
      <c r="B39993" s="36"/>
      <c r="C39993" s="36"/>
      <c r="E39993" s="1"/>
      <c r="F39993" s="1"/>
      <c r="G39993" s="1"/>
    </row>
    <row r="39994">
      <c r="B39994" s="36"/>
      <c r="C39994" s="36"/>
      <c r="E39994" s="1"/>
      <c r="F39994" s="1"/>
      <c r="G39994" s="1"/>
    </row>
    <row r="39995">
      <c r="B39995" s="36"/>
      <c r="C39995" s="36"/>
      <c r="E39995" s="1"/>
      <c r="F39995" s="1"/>
      <c r="G39995" s="1"/>
    </row>
    <row r="39996">
      <c r="B39996" s="36"/>
      <c r="C39996" s="36"/>
      <c r="E39996" s="1"/>
      <c r="F39996" s="1"/>
      <c r="G39996" s="1"/>
    </row>
    <row r="39997">
      <c r="B39997" s="36"/>
      <c r="C39997" s="36"/>
      <c r="E39997" s="1"/>
      <c r="F39997" s="1"/>
      <c r="G39997" s="1"/>
    </row>
    <row r="39998">
      <c r="B39998" s="36"/>
      <c r="C39998" s="36"/>
      <c r="E39998" s="1"/>
      <c r="F39998" s="1"/>
      <c r="G39998" s="1"/>
    </row>
    <row r="39999">
      <c r="B39999" s="36"/>
      <c r="C39999" s="36"/>
      <c r="E39999" s="1"/>
      <c r="F39999" s="1"/>
      <c r="G39999" s="1"/>
    </row>
    <row r="40000">
      <c r="B40000" s="36"/>
      <c r="C40000" s="36"/>
      <c r="E40000" s="1"/>
      <c r="F40000" s="1"/>
      <c r="G40000" s="1"/>
    </row>
    <row r="40001">
      <c r="B40001" s="36"/>
      <c r="C40001" s="36"/>
      <c r="E40001" s="1"/>
      <c r="F40001" s="1"/>
      <c r="G40001" s="1"/>
    </row>
    <row r="40002">
      <c r="B40002" s="36"/>
      <c r="C40002" s="36"/>
      <c r="E40002" s="1"/>
      <c r="F40002" s="1"/>
      <c r="G40002" s="1"/>
    </row>
    <row r="40003">
      <c r="B40003" s="36"/>
      <c r="C40003" s="36"/>
      <c r="E40003" s="1"/>
      <c r="F40003" s="1"/>
      <c r="G40003" s="1"/>
    </row>
    <row r="40004">
      <c r="B40004" s="36"/>
      <c r="C40004" s="36"/>
      <c r="E40004" s="1"/>
      <c r="F40004" s="1"/>
      <c r="G40004" s="1"/>
    </row>
    <row r="40005">
      <c r="B40005" s="36"/>
      <c r="C40005" s="36"/>
      <c r="E40005" s="1"/>
      <c r="F40005" s="1"/>
      <c r="G40005" s="1"/>
    </row>
    <row r="40006">
      <c r="B40006" s="36"/>
      <c r="C40006" s="36"/>
      <c r="E40006" s="1"/>
      <c r="F40006" s="1"/>
      <c r="G40006" s="1"/>
    </row>
    <row r="40007">
      <c r="B40007" s="36"/>
      <c r="C40007" s="36"/>
      <c r="E40007" s="1"/>
      <c r="F40007" s="1"/>
      <c r="G40007" s="1"/>
    </row>
    <row r="40008">
      <c r="B40008" s="36"/>
      <c r="C40008" s="36"/>
      <c r="E40008" s="1"/>
      <c r="F40008" s="1"/>
      <c r="G40008" s="1"/>
    </row>
    <row r="40009">
      <c r="B40009" s="36"/>
      <c r="C40009" s="36"/>
      <c r="E40009" s="1"/>
      <c r="F40009" s="1"/>
      <c r="G40009" s="1"/>
    </row>
    <row r="40010">
      <c r="B40010" s="36"/>
      <c r="C40010" s="36"/>
      <c r="E40010" s="1"/>
      <c r="F40010" s="1"/>
      <c r="G40010" s="1"/>
    </row>
    <row r="40011">
      <c r="B40011" s="36"/>
      <c r="C40011" s="36"/>
      <c r="E40011" s="1"/>
      <c r="F40011" s="1"/>
      <c r="G40011" s="1"/>
    </row>
    <row r="40012">
      <c r="B40012" s="36"/>
      <c r="C40012" s="36"/>
      <c r="E40012" s="1"/>
      <c r="F40012" s="1"/>
      <c r="G40012" s="1"/>
    </row>
    <row r="40013">
      <c r="B40013" s="36"/>
      <c r="C40013" s="36"/>
      <c r="E40013" s="1"/>
      <c r="F40013" s="1"/>
      <c r="G40013" s="1"/>
    </row>
    <row r="40014">
      <c r="B40014" s="36"/>
      <c r="C40014" s="36"/>
      <c r="E40014" s="1"/>
      <c r="F40014" s="1"/>
      <c r="G40014" s="1"/>
    </row>
    <row r="40015">
      <c r="B40015" s="36"/>
      <c r="C40015" s="36"/>
      <c r="E40015" s="1"/>
      <c r="F40015" s="1"/>
      <c r="G40015" s="1"/>
    </row>
    <row r="40016">
      <c r="B40016" s="36"/>
      <c r="C40016" s="36"/>
      <c r="E40016" s="1"/>
      <c r="F40016" s="1"/>
      <c r="G40016" s="1"/>
    </row>
    <row r="40017">
      <c r="B40017" s="36"/>
      <c r="C40017" s="36"/>
      <c r="E40017" s="1"/>
      <c r="F40017" s="1"/>
      <c r="G40017" s="1"/>
    </row>
    <row r="40018">
      <c r="B40018" s="36"/>
      <c r="C40018" s="36"/>
      <c r="E40018" s="1"/>
      <c r="F40018" s="1"/>
      <c r="G40018" s="1"/>
    </row>
    <row r="40019">
      <c r="B40019" s="36"/>
      <c r="C40019" s="36"/>
      <c r="E40019" s="1"/>
      <c r="F40019" s="1"/>
      <c r="G40019" s="1"/>
    </row>
    <row r="40020">
      <c r="B40020" s="36"/>
      <c r="C40020" s="36"/>
      <c r="E40020" s="1"/>
      <c r="F40020" s="1"/>
      <c r="G40020" s="1"/>
    </row>
    <row r="40021">
      <c r="B40021" s="36"/>
      <c r="C40021" s="36"/>
      <c r="E40021" s="1"/>
      <c r="F40021" s="1"/>
      <c r="G40021" s="1"/>
    </row>
    <row r="40022">
      <c r="B40022" s="36"/>
      <c r="C40022" s="36"/>
      <c r="E40022" s="1"/>
      <c r="F40022" s="1"/>
      <c r="G40022" s="1"/>
    </row>
    <row r="40023">
      <c r="B40023" s="36"/>
      <c r="C40023" s="36"/>
      <c r="E40023" s="1"/>
      <c r="F40023" s="1"/>
      <c r="G40023" s="1"/>
    </row>
    <row r="40024">
      <c r="B40024" s="36"/>
      <c r="C40024" s="36"/>
      <c r="E40024" s="1"/>
      <c r="F40024" s="1"/>
      <c r="G40024" s="1"/>
    </row>
    <row r="40025">
      <c r="B40025" s="36"/>
      <c r="C40025" s="36"/>
      <c r="E40025" s="1"/>
      <c r="F40025" s="1"/>
      <c r="G40025" s="1"/>
    </row>
    <row r="40026">
      <c r="B40026" s="36"/>
      <c r="C40026" s="36"/>
      <c r="E40026" s="1"/>
      <c r="F40026" s="1"/>
      <c r="G40026" s="1"/>
    </row>
    <row r="40027">
      <c r="B40027" s="36"/>
      <c r="C40027" s="36"/>
      <c r="E40027" s="1"/>
      <c r="F40027" s="1"/>
      <c r="G40027" s="1"/>
    </row>
    <row r="40028">
      <c r="B40028" s="36"/>
      <c r="C40028" s="36"/>
      <c r="E40028" s="1"/>
      <c r="F40028" s="1"/>
      <c r="G40028" s="1"/>
    </row>
    <row r="40029">
      <c r="B40029" s="36"/>
      <c r="C40029" s="36"/>
      <c r="E40029" s="1"/>
      <c r="F40029" s="1"/>
      <c r="G40029" s="1"/>
    </row>
    <row r="40030">
      <c r="B40030" s="36"/>
      <c r="C40030" s="36"/>
      <c r="E40030" s="1"/>
      <c r="F40030" s="1"/>
      <c r="G40030" s="1"/>
    </row>
    <row r="40031">
      <c r="B40031" s="36"/>
      <c r="C40031" s="36"/>
      <c r="E40031" s="1"/>
      <c r="F40031" s="1"/>
      <c r="G40031" s="1"/>
    </row>
    <row r="40032">
      <c r="B40032" s="36"/>
      <c r="C40032" s="36"/>
      <c r="E40032" s="1"/>
      <c r="F40032" s="1"/>
      <c r="G40032" s="1"/>
    </row>
    <row r="40033">
      <c r="B40033" s="36"/>
      <c r="C40033" s="36"/>
      <c r="E40033" s="1"/>
      <c r="F40033" s="1"/>
      <c r="G40033" s="1"/>
    </row>
    <row r="40034">
      <c r="B40034" s="36"/>
      <c r="C40034" s="36"/>
      <c r="E40034" s="1"/>
      <c r="F40034" s="1"/>
      <c r="G40034" s="1"/>
    </row>
    <row r="40035">
      <c r="B40035" s="36"/>
      <c r="C40035" s="36"/>
      <c r="E40035" s="1"/>
      <c r="F40035" s="1"/>
      <c r="G40035" s="1"/>
    </row>
    <row r="40036">
      <c r="B40036" s="36"/>
      <c r="C40036" s="36"/>
      <c r="E40036" s="1"/>
      <c r="F40036" s="1"/>
      <c r="G40036" s="1"/>
    </row>
    <row r="40037">
      <c r="B40037" s="36"/>
      <c r="C40037" s="36"/>
      <c r="E40037" s="1"/>
      <c r="F40037" s="1"/>
      <c r="G40037" s="1"/>
    </row>
    <row r="40038">
      <c r="B40038" s="36"/>
      <c r="C40038" s="36"/>
      <c r="E40038" s="1"/>
      <c r="F40038" s="1"/>
      <c r="G40038" s="1"/>
    </row>
    <row r="40039">
      <c r="B40039" s="36"/>
      <c r="C40039" s="36"/>
      <c r="E40039" s="1"/>
      <c r="F40039" s="1"/>
      <c r="G40039" s="1"/>
    </row>
    <row r="40040">
      <c r="B40040" s="36"/>
      <c r="C40040" s="36"/>
      <c r="E40040" s="1"/>
      <c r="F40040" s="1"/>
      <c r="G40040" s="1"/>
    </row>
    <row r="40041">
      <c r="B40041" s="36"/>
      <c r="C40041" s="36"/>
      <c r="E40041" s="1"/>
      <c r="F40041" s="1"/>
      <c r="G40041" s="1"/>
    </row>
    <row r="40042">
      <c r="B40042" s="36"/>
      <c r="C40042" s="36"/>
      <c r="E40042" s="1"/>
      <c r="F40042" s="1"/>
      <c r="G40042" s="1"/>
    </row>
    <row r="40043">
      <c r="B40043" s="36"/>
      <c r="C40043" s="36"/>
      <c r="E40043" s="1"/>
      <c r="F40043" s="1"/>
      <c r="G40043" s="1"/>
    </row>
    <row r="40044">
      <c r="B40044" s="36"/>
      <c r="C40044" s="36"/>
      <c r="E40044" s="1"/>
      <c r="F40044" s="1"/>
      <c r="G40044" s="1"/>
    </row>
    <row r="40045">
      <c r="B40045" s="36"/>
      <c r="C40045" s="36"/>
      <c r="E40045" s="1"/>
      <c r="F40045" s="1"/>
      <c r="G40045" s="1"/>
    </row>
    <row r="40046">
      <c r="B40046" s="36"/>
      <c r="C40046" s="36"/>
      <c r="E40046" s="1"/>
      <c r="F40046" s="1"/>
      <c r="G40046" s="1"/>
    </row>
    <row r="40047">
      <c r="B40047" s="36"/>
      <c r="C40047" s="36"/>
      <c r="E40047" s="1"/>
      <c r="F40047" s="1"/>
      <c r="G40047" s="1"/>
    </row>
    <row r="40048">
      <c r="B40048" s="36"/>
      <c r="C40048" s="36"/>
      <c r="E40048" s="1"/>
      <c r="F40048" s="1"/>
      <c r="G40048" s="1"/>
    </row>
    <row r="40049">
      <c r="B40049" s="36"/>
      <c r="C40049" s="36"/>
      <c r="E40049" s="1"/>
      <c r="F40049" s="1"/>
      <c r="G40049" s="1"/>
    </row>
    <row r="40050">
      <c r="B40050" s="36"/>
      <c r="C40050" s="36"/>
      <c r="E40050" s="1"/>
      <c r="F40050" s="1"/>
      <c r="G40050" s="1"/>
    </row>
    <row r="40051">
      <c r="B40051" s="36"/>
      <c r="C40051" s="36"/>
      <c r="E40051" s="1"/>
      <c r="F40051" s="1"/>
      <c r="G40051" s="1"/>
    </row>
    <row r="40052">
      <c r="B40052" s="36"/>
      <c r="C40052" s="36"/>
      <c r="E40052" s="1"/>
      <c r="F40052" s="1"/>
      <c r="G40052" s="1"/>
    </row>
    <row r="40053">
      <c r="B40053" s="36"/>
      <c r="C40053" s="36"/>
      <c r="E40053" s="1"/>
      <c r="F40053" s="1"/>
      <c r="G40053" s="1"/>
    </row>
    <row r="40054">
      <c r="B40054" s="36"/>
      <c r="C40054" s="36"/>
      <c r="E40054" s="1"/>
      <c r="F40054" s="1"/>
      <c r="G40054" s="1"/>
    </row>
    <row r="40055">
      <c r="B40055" s="36"/>
      <c r="C40055" s="36"/>
      <c r="E40055" s="1"/>
      <c r="F40055" s="1"/>
      <c r="G40055" s="1"/>
    </row>
    <row r="40056">
      <c r="B40056" s="36"/>
      <c r="C40056" s="36"/>
      <c r="E40056" s="1"/>
      <c r="F40056" s="1"/>
      <c r="G40056" s="1"/>
    </row>
    <row r="40057">
      <c r="B40057" s="36"/>
      <c r="C40057" s="36"/>
      <c r="E40057" s="1"/>
      <c r="F40057" s="1"/>
      <c r="G40057" s="1"/>
    </row>
    <row r="40058">
      <c r="B40058" s="36"/>
      <c r="C40058" s="36"/>
      <c r="E40058" s="1"/>
      <c r="F40058" s="1"/>
      <c r="G40058" s="1"/>
    </row>
    <row r="40059">
      <c r="B40059" s="36"/>
      <c r="C40059" s="36"/>
      <c r="E40059" s="1"/>
      <c r="F40059" s="1"/>
      <c r="G40059" s="1"/>
    </row>
    <row r="40060">
      <c r="B40060" s="36"/>
      <c r="C40060" s="36"/>
      <c r="E40060" s="1"/>
      <c r="F40060" s="1"/>
      <c r="G40060" s="1"/>
    </row>
    <row r="40061">
      <c r="B40061" s="36"/>
      <c r="C40061" s="36"/>
      <c r="E40061" s="1"/>
      <c r="F40061" s="1"/>
      <c r="G40061" s="1"/>
    </row>
    <row r="40062">
      <c r="B40062" s="36"/>
      <c r="C40062" s="36"/>
      <c r="E40062" s="1"/>
      <c r="F40062" s="1"/>
      <c r="G40062" s="1"/>
    </row>
    <row r="40063">
      <c r="B40063" s="36"/>
      <c r="C40063" s="36"/>
      <c r="E40063" s="1"/>
      <c r="F40063" s="1"/>
      <c r="G40063" s="1"/>
    </row>
    <row r="40064">
      <c r="B40064" s="36"/>
      <c r="C40064" s="36"/>
      <c r="E40064" s="1"/>
      <c r="F40064" s="1"/>
      <c r="G40064" s="1"/>
    </row>
    <row r="40065">
      <c r="B40065" s="36"/>
      <c r="C40065" s="36"/>
      <c r="E40065" s="1"/>
      <c r="F40065" s="1"/>
      <c r="G40065" s="1"/>
    </row>
    <row r="40066">
      <c r="B40066" s="36"/>
      <c r="C40066" s="36"/>
      <c r="E40066" s="1"/>
      <c r="F40066" s="1"/>
      <c r="G40066" s="1"/>
    </row>
    <row r="40067">
      <c r="B40067" s="36"/>
      <c r="C40067" s="36"/>
      <c r="E40067" s="1"/>
      <c r="F40067" s="1"/>
      <c r="G40067" s="1"/>
    </row>
    <row r="40068">
      <c r="B40068" s="36"/>
      <c r="C40068" s="36"/>
      <c r="E40068" s="1"/>
      <c r="F40068" s="1"/>
      <c r="G40068" s="1"/>
    </row>
    <row r="40069">
      <c r="B40069" s="36"/>
      <c r="C40069" s="36"/>
      <c r="E40069" s="1"/>
      <c r="F40069" s="1"/>
      <c r="G40069" s="1"/>
    </row>
    <row r="40070">
      <c r="B40070" s="36"/>
      <c r="C40070" s="36"/>
      <c r="E40070" s="1"/>
      <c r="F40070" s="1"/>
      <c r="G40070" s="1"/>
    </row>
    <row r="40071">
      <c r="B40071" s="36"/>
      <c r="C40071" s="36"/>
      <c r="E40071" s="1"/>
      <c r="F40071" s="1"/>
      <c r="G40071" s="1"/>
    </row>
    <row r="40072">
      <c r="B40072" s="36"/>
      <c r="C40072" s="36"/>
      <c r="E40072" s="1"/>
      <c r="F40072" s="1"/>
      <c r="G40072" s="1"/>
    </row>
    <row r="40073">
      <c r="B40073" s="36"/>
      <c r="C40073" s="36"/>
      <c r="E40073" s="1"/>
      <c r="F40073" s="1"/>
      <c r="G40073" s="1"/>
    </row>
    <row r="40074">
      <c r="B40074" s="36"/>
      <c r="C40074" s="36"/>
      <c r="E40074" s="1"/>
      <c r="F40074" s="1"/>
      <c r="G40074" s="1"/>
    </row>
    <row r="40075">
      <c r="B40075" s="36"/>
      <c r="C40075" s="36"/>
      <c r="E40075" s="1"/>
      <c r="F40075" s="1"/>
      <c r="G40075" s="1"/>
    </row>
    <row r="40076">
      <c r="B40076" s="36"/>
      <c r="C40076" s="36"/>
      <c r="E40076" s="1"/>
      <c r="F40076" s="1"/>
      <c r="G40076" s="1"/>
    </row>
    <row r="40077">
      <c r="B40077" s="36"/>
      <c r="C40077" s="36"/>
      <c r="E40077" s="1"/>
      <c r="F40077" s="1"/>
      <c r="G40077" s="1"/>
    </row>
    <row r="40078">
      <c r="B40078" s="36"/>
      <c r="C40078" s="36"/>
      <c r="E40078" s="1"/>
      <c r="F40078" s="1"/>
      <c r="G40078" s="1"/>
    </row>
    <row r="40079">
      <c r="B40079" s="36"/>
      <c r="C40079" s="36"/>
      <c r="E40079" s="1"/>
      <c r="F40079" s="1"/>
      <c r="G40079" s="1"/>
    </row>
    <row r="40080">
      <c r="B40080" s="36"/>
      <c r="C40080" s="36"/>
      <c r="E40080" s="1"/>
      <c r="F40080" s="1"/>
      <c r="G40080" s="1"/>
    </row>
    <row r="40081">
      <c r="B40081" s="36"/>
      <c r="C40081" s="36"/>
      <c r="E40081" s="1"/>
      <c r="F40081" s="1"/>
      <c r="G40081" s="1"/>
    </row>
    <row r="40082">
      <c r="B40082" s="36"/>
      <c r="C40082" s="36"/>
      <c r="E40082" s="1"/>
      <c r="F40082" s="1"/>
      <c r="G40082" s="1"/>
    </row>
    <row r="40083">
      <c r="B40083" s="36"/>
      <c r="C40083" s="36"/>
      <c r="E40083" s="1"/>
      <c r="F40083" s="1"/>
      <c r="G40083" s="1"/>
    </row>
    <row r="40084">
      <c r="B40084" s="36"/>
      <c r="C40084" s="36"/>
      <c r="E40084" s="1"/>
      <c r="F40084" s="1"/>
      <c r="G40084" s="1"/>
    </row>
    <row r="40085">
      <c r="B40085" s="36"/>
      <c r="C40085" s="36"/>
      <c r="E40085" s="1"/>
      <c r="F40085" s="1"/>
      <c r="G40085" s="1"/>
    </row>
    <row r="40086">
      <c r="B40086" s="36"/>
      <c r="C40086" s="36"/>
      <c r="E40086" s="1"/>
      <c r="F40086" s="1"/>
      <c r="G40086" s="1"/>
    </row>
    <row r="40087">
      <c r="B40087" s="36"/>
      <c r="C40087" s="36"/>
      <c r="E40087" s="1"/>
      <c r="F40087" s="1"/>
      <c r="G40087" s="1"/>
    </row>
    <row r="40088">
      <c r="B40088" s="36"/>
      <c r="C40088" s="36"/>
      <c r="E40088" s="1"/>
      <c r="F40088" s="1"/>
      <c r="G40088" s="1"/>
    </row>
    <row r="40089">
      <c r="B40089" s="36"/>
      <c r="C40089" s="36"/>
      <c r="E40089" s="1"/>
      <c r="F40089" s="1"/>
      <c r="G40089" s="1"/>
    </row>
    <row r="40090">
      <c r="B40090" s="36"/>
      <c r="C40090" s="36"/>
      <c r="E40090" s="1"/>
      <c r="F40090" s="1"/>
      <c r="G40090" s="1"/>
    </row>
    <row r="40091">
      <c r="B40091" s="36"/>
      <c r="C40091" s="36"/>
      <c r="E40091" s="1"/>
      <c r="F40091" s="1"/>
      <c r="G40091" s="1"/>
    </row>
    <row r="40092">
      <c r="B40092" s="36"/>
      <c r="C40092" s="36"/>
      <c r="E40092" s="1"/>
      <c r="F40092" s="1"/>
      <c r="G40092" s="1"/>
    </row>
    <row r="40093">
      <c r="B40093" s="36"/>
      <c r="C40093" s="36"/>
      <c r="E40093" s="1"/>
      <c r="F40093" s="1"/>
      <c r="G40093" s="1"/>
    </row>
    <row r="40094">
      <c r="B40094" s="36"/>
      <c r="C40094" s="36"/>
      <c r="E40094" s="1"/>
      <c r="F40094" s="1"/>
      <c r="G40094" s="1"/>
    </row>
    <row r="40095">
      <c r="B40095" s="36"/>
      <c r="C40095" s="36"/>
      <c r="E40095" s="1"/>
      <c r="F40095" s="1"/>
      <c r="G40095" s="1"/>
    </row>
    <row r="40096">
      <c r="B40096" s="36"/>
      <c r="C40096" s="36"/>
      <c r="E40096" s="1"/>
      <c r="F40096" s="1"/>
      <c r="G40096" s="1"/>
    </row>
    <row r="40097">
      <c r="B40097" s="36"/>
      <c r="C40097" s="36"/>
      <c r="E40097" s="1"/>
      <c r="F40097" s="1"/>
      <c r="G40097" s="1"/>
    </row>
    <row r="40098">
      <c r="B40098" s="36"/>
      <c r="C40098" s="36"/>
      <c r="E40098" s="1"/>
      <c r="F40098" s="1"/>
      <c r="G40098" s="1"/>
    </row>
    <row r="40099">
      <c r="B40099" s="36"/>
      <c r="C40099" s="36"/>
      <c r="E40099" s="1"/>
      <c r="F40099" s="1"/>
      <c r="G40099" s="1"/>
    </row>
    <row r="40100">
      <c r="B40100" s="36"/>
      <c r="C40100" s="36"/>
      <c r="E40100" s="1"/>
      <c r="F40100" s="1"/>
      <c r="G40100" s="1"/>
    </row>
    <row r="40101">
      <c r="B40101" s="36"/>
      <c r="C40101" s="36"/>
      <c r="E40101" s="1"/>
      <c r="F40101" s="1"/>
      <c r="G40101" s="1"/>
    </row>
    <row r="40102">
      <c r="B40102" s="36"/>
      <c r="C40102" s="36"/>
      <c r="E40102" s="1"/>
      <c r="F40102" s="1"/>
      <c r="G40102" s="1"/>
    </row>
    <row r="40103">
      <c r="B40103" s="36"/>
      <c r="C40103" s="36"/>
      <c r="E40103" s="1"/>
      <c r="F40103" s="1"/>
      <c r="G40103" s="1"/>
    </row>
    <row r="40104">
      <c r="B40104" s="36"/>
      <c r="C40104" s="36"/>
      <c r="E40104" s="1"/>
      <c r="F40104" s="1"/>
      <c r="G40104" s="1"/>
    </row>
    <row r="40105">
      <c r="B40105" s="36"/>
      <c r="C40105" s="36"/>
      <c r="E40105" s="1"/>
      <c r="F40105" s="1"/>
      <c r="G40105" s="1"/>
    </row>
    <row r="40106">
      <c r="B40106" s="36"/>
      <c r="C40106" s="36"/>
      <c r="E40106" s="1"/>
      <c r="F40106" s="1"/>
      <c r="G40106" s="1"/>
    </row>
    <row r="40107">
      <c r="B40107" s="36"/>
      <c r="C40107" s="36"/>
      <c r="E40107" s="1"/>
      <c r="F40107" s="1"/>
      <c r="G40107" s="1"/>
    </row>
    <row r="40108">
      <c r="B40108" s="36"/>
      <c r="C40108" s="36"/>
      <c r="E40108" s="1"/>
      <c r="F40108" s="1"/>
      <c r="G40108" s="1"/>
    </row>
    <row r="40109">
      <c r="B40109" s="36"/>
      <c r="C40109" s="36"/>
      <c r="E40109" s="1"/>
      <c r="F40109" s="1"/>
      <c r="G40109" s="1"/>
    </row>
    <row r="40110">
      <c r="B40110" s="36"/>
      <c r="C40110" s="36"/>
      <c r="E40110" s="1"/>
      <c r="F40110" s="1"/>
      <c r="G40110" s="1"/>
    </row>
    <row r="40111">
      <c r="B40111" s="36"/>
      <c r="C40111" s="36"/>
      <c r="E40111" s="1"/>
      <c r="F40111" s="1"/>
      <c r="G40111" s="1"/>
    </row>
    <row r="40112">
      <c r="B40112" s="36"/>
      <c r="C40112" s="36"/>
      <c r="E40112" s="1"/>
      <c r="F40112" s="1"/>
      <c r="G40112" s="1"/>
    </row>
    <row r="40113">
      <c r="B40113" s="36"/>
      <c r="C40113" s="36"/>
      <c r="E40113" s="1"/>
      <c r="F40113" s="1"/>
      <c r="G40113" s="1"/>
    </row>
    <row r="40114">
      <c r="B40114" s="36"/>
      <c r="C40114" s="36"/>
      <c r="E40114" s="1"/>
      <c r="F40114" s="1"/>
      <c r="G40114" s="1"/>
    </row>
    <row r="40115">
      <c r="B40115" s="36"/>
      <c r="C40115" s="36"/>
      <c r="E40115" s="1"/>
      <c r="F40115" s="1"/>
      <c r="G40115" s="1"/>
    </row>
    <row r="40116">
      <c r="B40116" s="36"/>
      <c r="C40116" s="36"/>
      <c r="E40116" s="1"/>
      <c r="F40116" s="1"/>
      <c r="G40116" s="1"/>
    </row>
    <row r="40117">
      <c r="B40117" s="36"/>
      <c r="C40117" s="36"/>
      <c r="E40117" s="1"/>
      <c r="F40117" s="1"/>
      <c r="G40117" s="1"/>
    </row>
    <row r="40118">
      <c r="B40118" s="36"/>
      <c r="C40118" s="36"/>
      <c r="E40118" s="1"/>
      <c r="F40118" s="1"/>
      <c r="G40118" s="1"/>
    </row>
    <row r="40119">
      <c r="B40119" s="36"/>
      <c r="C40119" s="36"/>
      <c r="E40119" s="1"/>
      <c r="F40119" s="1"/>
      <c r="G40119" s="1"/>
    </row>
    <row r="40120">
      <c r="B40120" s="36"/>
      <c r="C40120" s="36"/>
      <c r="E40120" s="1"/>
      <c r="F40120" s="1"/>
      <c r="G40120" s="1"/>
    </row>
    <row r="40121">
      <c r="B40121" s="36"/>
      <c r="C40121" s="36"/>
      <c r="E40121" s="1"/>
      <c r="F40121" s="1"/>
      <c r="G40121" s="1"/>
    </row>
    <row r="40122">
      <c r="B40122" s="36"/>
      <c r="C40122" s="36"/>
      <c r="E40122" s="1"/>
      <c r="F40122" s="1"/>
      <c r="G40122" s="1"/>
    </row>
    <row r="40123">
      <c r="B40123" s="36"/>
      <c r="C40123" s="36"/>
      <c r="E40123" s="1"/>
      <c r="F40123" s="1"/>
      <c r="G40123" s="1"/>
    </row>
    <row r="40124">
      <c r="B40124" s="36"/>
      <c r="C40124" s="36"/>
      <c r="E40124" s="1"/>
      <c r="F40124" s="1"/>
      <c r="G40124" s="1"/>
    </row>
    <row r="40125">
      <c r="B40125" s="36"/>
      <c r="C40125" s="36"/>
      <c r="E40125" s="1"/>
      <c r="F40125" s="1"/>
      <c r="G40125" s="1"/>
    </row>
    <row r="40126">
      <c r="B40126" s="36"/>
      <c r="C40126" s="36"/>
      <c r="E40126" s="1"/>
      <c r="F40126" s="1"/>
      <c r="G40126" s="1"/>
    </row>
    <row r="40127">
      <c r="B40127" s="36"/>
      <c r="C40127" s="36"/>
      <c r="E40127" s="1"/>
      <c r="F40127" s="1"/>
      <c r="G40127" s="1"/>
    </row>
    <row r="40128">
      <c r="B40128" s="36"/>
      <c r="C40128" s="36"/>
      <c r="E40128" s="1"/>
      <c r="F40128" s="1"/>
      <c r="G40128" s="1"/>
    </row>
    <row r="40129">
      <c r="B40129" s="36"/>
      <c r="C40129" s="36"/>
      <c r="E40129" s="1"/>
      <c r="F40129" s="1"/>
      <c r="G40129" s="1"/>
    </row>
    <row r="40130">
      <c r="B40130" s="36"/>
      <c r="C40130" s="36"/>
      <c r="E40130" s="1"/>
      <c r="F40130" s="1"/>
      <c r="G40130" s="1"/>
    </row>
    <row r="40131">
      <c r="B40131" s="36"/>
      <c r="C40131" s="36"/>
      <c r="E40131" s="1"/>
      <c r="F40131" s="1"/>
      <c r="G40131" s="1"/>
    </row>
    <row r="40132">
      <c r="B40132" s="36"/>
      <c r="C40132" s="36"/>
      <c r="E40132" s="1"/>
      <c r="F40132" s="1"/>
      <c r="G40132" s="1"/>
    </row>
    <row r="40133">
      <c r="B40133" s="36"/>
      <c r="C40133" s="36"/>
      <c r="E40133" s="1"/>
      <c r="F40133" s="1"/>
      <c r="G40133" s="1"/>
    </row>
    <row r="40134">
      <c r="B40134" s="36"/>
      <c r="C40134" s="36"/>
      <c r="E40134" s="1"/>
      <c r="F40134" s="1"/>
      <c r="G40134" s="1"/>
    </row>
    <row r="40135">
      <c r="B40135" s="36"/>
      <c r="C40135" s="36"/>
      <c r="E40135" s="1"/>
      <c r="F40135" s="1"/>
      <c r="G40135" s="1"/>
    </row>
    <row r="40136">
      <c r="B40136" s="36"/>
      <c r="C40136" s="36"/>
      <c r="E40136" s="1"/>
      <c r="F40136" s="1"/>
      <c r="G40136" s="1"/>
    </row>
    <row r="40137">
      <c r="B40137" s="36"/>
      <c r="C40137" s="36"/>
      <c r="E40137" s="1"/>
      <c r="F40137" s="1"/>
      <c r="G40137" s="1"/>
    </row>
    <row r="40138">
      <c r="B40138" s="36"/>
      <c r="C40138" s="36"/>
      <c r="E40138" s="1"/>
      <c r="F40138" s="1"/>
      <c r="G40138" s="1"/>
    </row>
    <row r="40139">
      <c r="B40139" s="36"/>
      <c r="C40139" s="36"/>
      <c r="E40139" s="1"/>
      <c r="F40139" s="1"/>
      <c r="G40139" s="1"/>
    </row>
    <row r="40140">
      <c r="B40140" s="36"/>
      <c r="C40140" s="36"/>
      <c r="E40140" s="1"/>
      <c r="F40140" s="1"/>
      <c r="G40140" s="1"/>
    </row>
    <row r="40141">
      <c r="B40141" s="36"/>
      <c r="C40141" s="36"/>
      <c r="E40141" s="1"/>
      <c r="F40141" s="1"/>
      <c r="G40141" s="1"/>
    </row>
    <row r="40142">
      <c r="B40142" s="36"/>
      <c r="C40142" s="36"/>
      <c r="E40142" s="1"/>
      <c r="F40142" s="1"/>
      <c r="G40142" s="1"/>
    </row>
    <row r="40143">
      <c r="B40143" s="36"/>
      <c r="C40143" s="36"/>
      <c r="E40143" s="1"/>
      <c r="F40143" s="1"/>
      <c r="G40143" s="1"/>
    </row>
    <row r="40144">
      <c r="B40144" s="36"/>
      <c r="C40144" s="36"/>
      <c r="E40144" s="1"/>
      <c r="F40144" s="1"/>
      <c r="G40144" s="1"/>
    </row>
    <row r="40145">
      <c r="B40145" s="36"/>
      <c r="C40145" s="36"/>
      <c r="E40145" s="1"/>
      <c r="F40145" s="1"/>
      <c r="G40145" s="1"/>
    </row>
    <row r="40146">
      <c r="B40146" s="36"/>
      <c r="C40146" s="36"/>
      <c r="E40146" s="1"/>
      <c r="F40146" s="1"/>
      <c r="G40146" s="1"/>
    </row>
    <row r="40147">
      <c r="B40147" s="36"/>
      <c r="C40147" s="36"/>
      <c r="E40147" s="1"/>
      <c r="F40147" s="1"/>
      <c r="G40147" s="1"/>
    </row>
    <row r="40148">
      <c r="B40148" s="36"/>
      <c r="C40148" s="36"/>
      <c r="E40148" s="1"/>
      <c r="F40148" s="1"/>
      <c r="G40148" s="1"/>
    </row>
    <row r="40149">
      <c r="B40149" s="36"/>
      <c r="C40149" s="36"/>
      <c r="E40149" s="1"/>
      <c r="F40149" s="1"/>
      <c r="G40149" s="1"/>
    </row>
    <row r="40150">
      <c r="B40150" s="36"/>
      <c r="C40150" s="36"/>
      <c r="E40150" s="1"/>
      <c r="F40150" s="1"/>
      <c r="G40150" s="1"/>
    </row>
    <row r="40151">
      <c r="B40151" s="36"/>
      <c r="C40151" s="36"/>
      <c r="E40151" s="1"/>
      <c r="F40151" s="1"/>
      <c r="G40151" s="1"/>
    </row>
    <row r="40152">
      <c r="B40152" s="36"/>
      <c r="C40152" s="36"/>
      <c r="E40152" s="1"/>
      <c r="F40152" s="1"/>
      <c r="G40152" s="1"/>
    </row>
    <row r="40153">
      <c r="B40153" s="36"/>
      <c r="C40153" s="36"/>
      <c r="E40153" s="1"/>
      <c r="F40153" s="1"/>
      <c r="G40153" s="1"/>
    </row>
    <row r="40154">
      <c r="B40154" s="36"/>
      <c r="C40154" s="36"/>
      <c r="E40154" s="1"/>
      <c r="F40154" s="1"/>
      <c r="G40154" s="1"/>
    </row>
    <row r="40155">
      <c r="B40155" s="36"/>
      <c r="C40155" s="36"/>
      <c r="E40155" s="1"/>
      <c r="F40155" s="1"/>
      <c r="G40155" s="1"/>
    </row>
    <row r="40156">
      <c r="B40156" s="36"/>
      <c r="C40156" s="36"/>
      <c r="E40156" s="1"/>
      <c r="F40156" s="1"/>
      <c r="G40156" s="1"/>
    </row>
    <row r="40157">
      <c r="B40157" s="36"/>
      <c r="C40157" s="36"/>
      <c r="E40157" s="1"/>
      <c r="F40157" s="1"/>
      <c r="G40157" s="1"/>
    </row>
    <row r="40158">
      <c r="B40158" s="36"/>
      <c r="C40158" s="36"/>
      <c r="E40158" s="1"/>
      <c r="F40158" s="1"/>
      <c r="G40158" s="1"/>
    </row>
    <row r="40159">
      <c r="B40159" s="36"/>
      <c r="C40159" s="36"/>
      <c r="E40159" s="1"/>
      <c r="F40159" s="1"/>
      <c r="G40159" s="1"/>
    </row>
    <row r="40160">
      <c r="B40160" s="36"/>
      <c r="C40160" s="36"/>
      <c r="E40160" s="1"/>
      <c r="F40160" s="1"/>
      <c r="G40160" s="1"/>
    </row>
    <row r="40161">
      <c r="B40161" s="36"/>
      <c r="C40161" s="36"/>
      <c r="E40161" s="1"/>
      <c r="F40161" s="1"/>
      <c r="G40161" s="1"/>
    </row>
    <row r="40162">
      <c r="B40162" s="36"/>
      <c r="C40162" s="36"/>
      <c r="E40162" s="1"/>
      <c r="F40162" s="1"/>
      <c r="G40162" s="1"/>
    </row>
    <row r="40163">
      <c r="B40163" s="36"/>
      <c r="C40163" s="36"/>
      <c r="E40163" s="1"/>
      <c r="F40163" s="1"/>
      <c r="G40163" s="1"/>
    </row>
    <row r="40164">
      <c r="B40164" s="36"/>
      <c r="C40164" s="36"/>
      <c r="E40164" s="1"/>
      <c r="F40164" s="1"/>
      <c r="G40164" s="1"/>
    </row>
    <row r="40165">
      <c r="B40165" s="36"/>
      <c r="C40165" s="36"/>
      <c r="E40165" s="1"/>
      <c r="F40165" s="1"/>
      <c r="G40165" s="1"/>
    </row>
    <row r="40166">
      <c r="B40166" s="36"/>
      <c r="C40166" s="36"/>
      <c r="E40166" s="1"/>
      <c r="F40166" s="1"/>
      <c r="G40166" s="1"/>
    </row>
    <row r="40167">
      <c r="B40167" s="36"/>
      <c r="C40167" s="36"/>
      <c r="E40167" s="1"/>
      <c r="F40167" s="1"/>
      <c r="G40167" s="1"/>
    </row>
    <row r="40168">
      <c r="B40168" s="36"/>
      <c r="C40168" s="36"/>
      <c r="E40168" s="1"/>
      <c r="F40168" s="1"/>
      <c r="G40168" s="1"/>
    </row>
    <row r="40169">
      <c r="B40169" s="36"/>
      <c r="C40169" s="36"/>
      <c r="E40169" s="1"/>
      <c r="F40169" s="1"/>
      <c r="G40169" s="1"/>
    </row>
    <row r="40170">
      <c r="B40170" s="36"/>
      <c r="C40170" s="36"/>
      <c r="E40170" s="1"/>
      <c r="F40170" s="1"/>
      <c r="G40170" s="1"/>
    </row>
    <row r="40171">
      <c r="B40171" s="36"/>
      <c r="C40171" s="36"/>
      <c r="E40171" s="1"/>
      <c r="F40171" s="1"/>
      <c r="G40171" s="1"/>
    </row>
    <row r="40172">
      <c r="B40172" s="36"/>
      <c r="C40172" s="36"/>
      <c r="E40172" s="1"/>
      <c r="F40172" s="1"/>
      <c r="G40172" s="1"/>
    </row>
    <row r="40173">
      <c r="B40173" s="36"/>
      <c r="C40173" s="36"/>
      <c r="E40173" s="1"/>
      <c r="F40173" s="1"/>
      <c r="G40173" s="1"/>
    </row>
    <row r="40174">
      <c r="B40174" s="36"/>
      <c r="C40174" s="36"/>
      <c r="E40174" s="1"/>
      <c r="F40174" s="1"/>
      <c r="G40174" s="1"/>
    </row>
    <row r="40175">
      <c r="B40175" s="36"/>
      <c r="C40175" s="36"/>
      <c r="E40175" s="1"/>
      <c r="F40175" s="1"/>
      <c r="G40175" s="1"/>
    </row>
    <row r="40176">
      <c r="B40176" s="36"/>
      <c r="C40176" s="36"/>
      <c r="E40176" s="1"/>
      <c r="F40176" s="1"/>
      <c r="G40176" s="1"/>
    </row>
    <row r="40177">
      <c r="B40177" s="36"/>
      <c r="C40177" s="36"/>
      <c r="E40177" s="1"/>
      <c r="F40177" s="1"/>
      <c r="G40177" s="1"/>
    </row>
    <row r="40178">
      <c r="B40178" s="36"/>
      <c r="C40178" s="36"/>
      <c r="E40178" s="1"/>
      <c r="F40178" s="1"/>
      <c r="G40178" s="1"/>
    </row>
    <row r="40179">
      <c r="B40179" s="36"/>
      <c r="C40179" s="36"/>
      <c r="E40179" s="1"/>
      <c r="F40179" s="1"/>
      <c r="G40179" s="1"/>
    </row>
    <row r="40180">
      <c r="B40180" s="36"/>
      <c r="C40180" s="36"/>
      <c r="E40180" s="1"/>
      <c r="F40180" s="1"/>
      <c r="G40180" s="1"/>
    </row>
    <row r="40181">
      <c r="B40181" s="36"/>
      <c r="C40181" s="36"/>
      <c r="E40181" s="1"/>
      <c r="F40181" s="1"/>
      <c r="G40181" s="1"/>
    </row>
    <row r="40182">
      <c r="B40182" s="36"/>
      <c r="C40182" s="36"/>
      <c r="E40182" s="1"/>
      <c r="F40182" s="1"/>
      <c r="G40182" s="1"/>
    </row>
    <row r="40183">
      <c r="B40183" s="36"/>
      <c r="C40183" s="36"/>
      <c r="E40183" s="1"/>
      <c r="F40183" s="1"/>
      <c r="G40183" s="1"/>
    </row>
    <row r="40184">
      <c r="B40184" s="36"/>
      <c r="C40184" s="36"/>
      <c r="E40184" s="1"/>
      <c r="F40184" s="1"/>
      <c r="G40184" s="1"/>
    </row>
    <row r="40185">
      <c r="B40185" s="36"/>
      <c r="C40185" s="36"/>
      <c r="E40185" s="1"/>
      <c r="F40185" s="1"/>
      <c r="G40185" s="1"/>
    </row>
    <row r="40186">
      <c r="B40186" s="36"/>
      <c r="C40186" s="36"/>
      <c r="E40186" s="1"/>
      <c r="F40186" s="1"/>
      <c r="G40186" s="1"/>
    </row>
    <row r="40187">
      <c r="B40187" s="36"/>
      <c r="C40187" s="36"/>
      <c r="E40187" s="1"/>
      <c r="F40187" s="1"/>
      <c r="G40187" s="1"/>
    </row>
    <row r="40188">
      <c r="B40188" s="36"/>
      <c r="C40188" s="36"/>
      <c r="E40188" s="1"/>
      <c r="F40188" s="1"/>
      <c r="G40188" s="1"/>
    </row>
    <row r="40189">
      <c r="B40189" s="36"/>
      <c r="C40189" s="36"/>
      <c r="E40189" s="1"/>
      <c r="F40189" s="1"/>
      <c r="G40189" s="1"/>
    </row>
    <row r="40190">
      <c r="B40190" s="36"/>
      <c r="C40190" s="36"/>
      <c r="E40190" s="1"/>
      <c r="F40190" s="1"/>
      <c r="G40190" s="1"/>
    </row>
    <row r="40191">
      <c r="B40191" s="36"/>
      <c r="C40191" s="36"/>
      <c r="E40191" s="1"/>
      <c r="F40191" s="1"/>
      <c r="G40191" s="1"/>
    </row>
    <row r="40192">
      <c r="B40192" s="36"/>
      <c r="C40192" s="36"/>
      <c r="E40192" s="1"/>
      <c r="F40192" s="1"/>
      <c r="G40192" s="1"/>
    </row>
    <row r="40193">
      <c r="B40193" s="36"/>
      <c r="C40193" s="36"/>
      <c r="E40193" s="1"/>
      <c r="F40193" s="1"/>
      <c r="G40193" s="1"/>
    </row>
    <row r="40194">
      <c r="B40194" s="36"/>
      <c r="C40194" s="36"/>
      <c r="E40194" s="1"/>
      <c r="F40194" s="1"/>
      <c r="G40194" s="1"/>
    </row>
    <row r="40195">
      <c r="B40195" s="36"/>
      <c r="C40195" s="36"/>
      <c r="E40195" s="1"/>
      <c r="F40195" s="1"/>
      <c r="G40195" s="1"/>
    </row>
    <row r="40196">
      <c r="B40196" s="36"/>
      <c r="C40196" s="36"/>
      <c r="E40196" s="1"/>
      <c r="F40196" s="1"/>
      <c r="G40196" s="1"/>
    </row>
    <row r="40197">
      <c r="B40197" s="36"/>
      <c r="C40197" s="36"/>
      <c r="E40197" s="1"/>
      <c r="F40197" s="1"/>
      <c r="G40197" s="1"/>
    </row>
    <row r="40198">
      <c r="B40198" s="36"/>
      <c r="C40198" s="36"/>
      <c r="E40198" s="1"/>
      <c r="F40198" s="1"/>
      <c r="G40198" s="1"/>
    </row>
    <row r="40199">
      <c r="B40199" s="36"/>
      <c r="C40199" s="36"/>
      <c r="E40199" s="1"/>
      <c r="F40199" s="1"/>
      <c r="G40199" s="1"/>
    </row>
    <row r="40200">
      <c r="B40200" s="36"/>
      <c r="C40200" s="36"/>
      <c r="E40200" s="1"/>
      <c r="F40200" s="1"/>
      <c r="G40200" s="1"/>
    </row>
    <row r="40201">
      <c r="B40201" s="36"/>
      <c r="C40201" s="36"/>
      <c r="E40201" s="1"/>
      <c r="F40201" s="1"/>
      <c r="G40201" s="1"/>
    </row>
    <row r="40202">
      <c r="B40202" s="36"/>
      <c r="C40202" s="36"/>
      <c r="E40202" s="1"/>
      <c r="F40202" s="1"/>
      <c r="G40202" s="1"/>
    </row>
    <row r="40203">
      <c r="B40203" s="36"/>
      <c r="C40203" s="36"/>
      <c r="E40203" s="1"/>
      <c r="F40203" s="1"/>
      <c r="G40203" s="1"/>
    </row>
    <row r="40204">
      <c r="B40204" s="36"/>
      <c r="C40204" s="36"/>
      <c r="E40204" s="1"/>
      <c r="F40204" s="1"/>
      <c r="G40204" s="1"/>
    </row>
    <row r="40205">
      <c r="B40205" s="36"/>
      <c r="C40205" s="36"/>
      <c r="E40205" s="1"/>
      <c r="F40205" s="1"/>
      <c r="G40205" s="1"/>
    </row>
    <row r="40206">
      <c r="B40206" s="36"/>
      <c r="C40206" s="36"/>
      <c r="E40206" s="1"/>
      <c r="F40206" s="1"/>
      <c r="G40206" s="1"/>
    </row>
    <row r="40207">
      <c r="B40207" s="36"/>
      <c r="C40207" s="36"/>
      <c r="E40207" s="1"/>
      <c r="F40207" s="1"/>
      <c r="G40207" s="1"/>
    </row>
    <row r="40208">
      <c r="B40208" s="36"/>
      <c r="C40208" s="36"/>
      <c r="E40208" s="1"/>
      <c r="F40208" s="1"/>
      <c r="G40208" s="1"/>
    </row>
    <row r="40209">
      <c r="B40209" s="36"/>
      <c r="C40209" s="36"/>
      <c r="E40209" s="1"/>
      <c r="F40209" s="1"/>
      <c r="G40209" s="1"/>
    </row>
    <row r="40210">
      <c r="B40210" s="36"/>
      <c r="C40210" s="36"/>
      <c r="E40210" s="1"/>
      <c r="F40210" s="1"/>
      <c r="G40210" s="1"/>
    </row>
    <row r="40211">
      <c r="B40211" s="36"/>
      <c r="C40211" s="36"/>
      <c r="E40211" s="1"/>
      <c r="F40211" s="1"/>
      <c r="G40211" s="1"/>
    </row>
    <row r="40212">
      <c r="B40212" s="36"/>
      <c r="C40212" s="36"/>
      <c r="E40212" s="1"/>
      <c r="F40212" s="1"/>
      <c r="G40212" s="1"/>
    </row>
    <row r="40213">
      <c r="B40213" s="36"/>
      <c r="C40213" s="36"/>
      <c r="E40213" s="1"/>
      <c r="F40213" s="1"/>
      <c r="G40213" s="1"/>
    </row>
    <row r="40214">
      <c r="B40214" s="36"/>
      <c r="C40214" s="36"/>
      <c r="E40214" s="1"/>
      <c r="F40214" s="1"/>
      <c r="G40214" s="1"/>
    </row>
    <row r="40215">
      <c r="B40215" s="36"/>
      <c r="C40215" s="36"/>
      <c r="E40215" s="1"/>
      <c r="F40215" s="1"/>
      <c r="G40215" s="1"/>
    </row>
    <row r="40216">
      <c r="B40216" s="36"/>
      <c r="C40216" s="36"/>
      <c r="E40216" s="1"/>
      <c r="F40216" s="1"/>
      <c r="G40216" s="1"/>
    </row>
    <row r="40217">
      <c r="B40217" s="36"/>
      <c r="C40217" s="36"/>
      <c r="E40217" s="1"/>
      <c r="F40217" s="1"/>
      <c r="G40217" s="1"/>
    </row>
    <row r="40218">
      <c r="B40218" s="36"/>
      <c r="C40218" s="36"/>
      <c r="E40218" s="1"/>
      <c r="F40218" s="1"/>
      <c r="G40218" s="1"/>
    </row>
    <row r="40219">
      <c r="B40219" s="36"/>
      <c r="C40219" s="36"/>
      <c r="E40219" s="1"/>
      <c r="F40219" s="1"/>
      <c r="G40219" s="1"/>
    </row>
    <row r="40220">
      <c r="B40220" s="36"/>
      <c r="C40220" s="36"/>
      <c r="E40220" s="1"/>
      <c r="F40220" s="1"/>
      <c r="G40220" s="1"/>
    </row>
    <row r="40221">
      <c r="B40221" s="36"/>
      <c r="C40221" s="36"/>
      <c r="E40221" s="1"/>
      <c r="F40221" s="1"/>
      <c r="G40221" s="1"/>
    </row>
    <row r="40222">
      <c r="B40222" s="36"/>
      <c r="C40222" s="36"/>
      <c r="E40222" s="1"/>
      <c r="F40222" s="1"/>
      <c r="G40222" s="1"/>
    </row>
    <row r="40223">
      <c r="B40223" s="36"/>
      <c r="C40223" s="36"/>
      <c r="E40223" s="1"/>
      <c r="F40223" s="1"/>
      <c r="G40223" s="1"/>
    </row>
    <row r="40224">
      <c r="B40224" s="36"/>
      <c r="C40224" s="36"/>
      <c r="E40224" s="1"/>
      <c r="F40224" s="1"/>
      <c r="G40224" s="1"/>
    </row>
    <row r="40225">
      <c r="B40225" s="36"/>
      <c r="C40225" s="36"/>
      <c r="E40225" s="1"/>
      <c r="F40225" s="1"/>
      <c r="G40225" s="1"/>
    </row>
    <row r="40226">
      <c r="B40226" s="36"/>
      <c r="C40226" s="36"/>
      <c r="E40226" s="1"/>
      <c r="F40226" s="1"/>
      <c r="G40226" s="1"/>
    </row>
    <row r="40227">
      <c r="B40227" s="36"/>
      <c r="C40227" s="36"/>
      <c r="E40227" s="1"/>
      <c r="F40227" s="1"/>
      <c r="G40227" s="1"/>
    </row>
    <row r="40228">
      <c r="B40228" s="36"/>
      <c r="C40228" s="36"/>
      <c r="E40228" s="1"/>
      <c r="F40228" s="1"/>
      <c r="G40228" s="1"/>
    </row>
    <row r="40229">
      <c r="B40229" s="36"/>
      <c r="C40229" s="36"/>
      <c r="E40229" s="1"/>
      <c r="F40229" s="1"/>
      <c r="G40229" s="1"/>
    </row>
    <row r="40230">
      <c r="B40230" s="36"/>
      <c r="C40230" s="36"/>
      <c r="E40230" s="1"/>
      <c r="F40230" s="1"/>
      <c r="G40230" s="1"/>
    </row>
    <row r="40231">
      <c r="B40231" s="36"/>
      <c r="C40231" s="36"/>
      <c r="E40231" s="1"/>
      <c r="F40231" s="1"/>
      <c r="G40231" s="1"/>
    </row>
    <row r="40232">
      <c r="B40232" s="36"/>
      <c r="C40232" s="36"/>
      <c r="E40232" s="1"/>
      <c r="F40232" s="1"/>
      <c r="G40232" s="1"/>
    </row>
    <row r="40233">
      <c r="B40233" s="36"/>
      <c r="C40233" s="36"/>
      <c r="E40233" s="1"/>
      <c r="F40233" s="1"/>
      <c r="G40233" s="1"/>
    </row>
    <row r="40234">
      <c r="B40234" s="36"/>
      <c r="C40234" s="36"/>
      <c r="E40234" s="1"/>
      <c r="F40234" s="1"/>
      <c r="G40234" s="1"/>
    </row>
    <row r="40235">
      <c r="B40235" s="36"/>
      <c r="C40235" s="36"/>
      <c r="E40235" s="1"/>
      <c r="F40235" s="1"/>
      <c r="G40235" s="1"/>
    </row>
    <row r="40236">
      <c r="B40236" s="36"/>
      <c r="C40236" s="36"/>
      <c r="E40236" s="1"/>
      <c r="F40236" s="1"/>
      <c r="G40236" s="1"/>
    </row>
    <row r="40237">
      <c r="B40237" s="36"/>
      <c r="C40237" s="36"/>
      <c r="E40237" s="1"/>
      <c r="F40237" s="1"/>
      <c r="G40237" s="1"/>
    </row>
    <row r="40238">
      <c r="B40238" s="36"/>
      <c r="C40238" s="36"/>
      <c r="E40238" s="1"/>
      <c r="F40238" s="1"/>
      <c r="G40238" s="1"/>
    </row>
    <row r="40239">
      <c r="B40239" s="36"/>
      <c r="C40239" s="36"/>
      <c r="E40239" s="1"/>
      <c r="F40239" s="1"/>
      <c r="G40239" s="1"/>
    </row>
    <row r="40240">
      <c r="B40240" s="36"/>
      <c r="C40240" s="36"/>
      <c r="E40240" s="1"/>
      <c r="F40240" s="1"/>
      <c r="G40240" s="1"/>
    </row>
    <row r="40241">
      <c r="B40241" s="36"/>
      <c r="C40241" s="36"/>
      <c r="E40241" s="1"/>
      <c r="F40241" s="1"/>
      <c r="G40241" s="1"/>
    </row>
    <row r="40242">
      <c r="B40242" s="36"/>
      <c r="C40242" s="36"/>
      <c r="E40242" s="1"/>
      <c r="F40242" s="1"/>
      <c r="G40242" s="1"/>
    </row>
    <row r="40243">
      <c r="B40243" s="36"/>
      <c r="C40243" s="36"/>
      <c r="E40243" s="1"/>
      <c r="F40243" s="1"/>
      <c r="G40243" s="1"/>
    </row>
    <row r="40244">
      <c r="B40244" s="36"/>
      <c r="C40244" s="36"/>
      <c r="E40244" s="1"/>
      <c r="F40244" s="1"/>
      <c r="G40244" s="1"/>
    </row>
    <row r="40245">
      <c r="B40245" s="36"/>
      <c r="C40245" s="36"/>
      <c r="E40245" s="1"/>
      <c r="F40245" s="1"/>
      <c r="G40245" s="1"/>
    </row>
    <row r="40246">
      <c r="B40246" s="36"/>
      <c r="C40246" s="36"/>
      <c r="E40246" s="1"/>
      <c r="F40246" s="1"/>
      <c r="G40246" s="1"/>
    </row>
    <row r="40247">
      <c r="B40247" s="36"/>
      <c r="C40247" s="36"/>
      <c r="E40247" s="1"/>
      <c r="F40247" s="1"/>
      <c r="G40247" s="1"/>
    </row>
    <row r="40248">
      <c r="B40248" s="36"/>
      <c r="C40248" s="36"/>
      <c r="E40248" s="1"/>
      <c r="F40248" s="1"/>
      <c r="G40248" s="1"/>
    </row>
    <row r="40249">
      <c r="B40249" s="36"/>
      <c r="C40249" s="36"/>
      <c r="E40249" s="1"/>
      <c r="F40249" s="1"/>
      <c r="G40249" s="1"/>
    </row>
    <row r="40250">
      <c r="B40250" s="36"/>
      <c r="C40250" s="36"/>
      <c r="E40250" s="1"/>
      <c r="F40250" s="1"/>
      <c r="G40250" s="1"/>
    </row>
    <row r="40251">
      <c r="B40251" s="36"/>
      <c r="C40251" s="36"/>
      <c r="E40251" s="1"/>
      <c r="F40251" s="1"/>
      <c r="G40251" s="1"/>
    </row>
    <row r="40252">
      <c r="B40252" s="36"/>
      <c r="C40252" s="36"/>
      <c r="E40252" s="1"/>
      <c r="F40252" s="1"/>
      <c r="G40252" s="1"/>
    </row>
    <row r="40253">
      <c r="B40253" s="36"/>
      <c r="C40253" s="36"/>
      <c r="E40253" s="1"/>
      <c r="F40253" s="1"/>
      <c r="G40253" s="1"/>
    </row>
    <row r="40254">
      <c r="B40254" s="36"/>
      <c r="C40254" s="36"/>
      <c r="E40254" s="1"/>
      <c r="F40254" s="1"/>
      <c r="G40254" s="1"/>
    </row>
    <row r="40255">
      <c r="B40255" s="36"/>
      <c r="C40255" s="36"/>
      <c r="E40255" s="1"/>
      <c r="F40255" s="1"/>
      <c r="G40255" s="1"/>
    </row>
    <row r="40256">
      <c r="B40256" s="36"/>
      <c r="C40256" s="36"/>
      <c r="E40256" s="1"/>
      <c r="F40256" s="1"/>
      <c r="G40256" s="1"/>
    </row>
    <row r="40257">
      <c r="B40257" s="36"/>
      <c r="C40257" s="36"/>
      <c r="E40257" s="1"/>
      <c r="F40257" s="1"/>
      <c r="G40257" s="1"/>
    </row>
    <row r="40258">
      <c r="B40258" s="36"/>
      <c r="C40258" s="36"/>
      <c r="E40258" s="1"/>
      <c r="F40258" s="1"/>
      <c r="G40258" s="1"/>
    </row>
    <row r="40259">
      <c r="B40259" s="36"/>
      <c r="C40259" s="36"/>
      <c r="E40259" s="1"/>
      <c r="F40259" s="1"/>
      <c r="G40259" s="1"/>
    </row>
    <row r="40260">
      <c r="B40260" s="36"/>
      <c r="C40260" s="36"/>
      <c r="E40260" s="1"/>
      <c r="F40260" s="1"/>
      <c r="G40260" s="1"/>
    </row>
    <row r="40261">
      <c r="B40261" s="36"/>
      <c r="C40261" s="36"/>
      <c r="E40261" s="1"/>
      <c r="F40261" s="1"/>
      <c r="G40261" s="1"/>
    </row>
    <row r="40262">
      <c r="B40262" s="36"/>
      <c r="C40262" s="36"/>
      <c r="E40262" s="1"/>
      <c r="F40262" s="1"/>
      <c r="G40262" s="1"/>
    </row>
    <row r="40263">
      <c r="B40263" s="36"/>
      <c r="C40263" s="36"/>
      <c r="E40263" s="1"/>
      <c r="F40263" s="1"/>
      <c r="G40263" s="1"/>
    </row>
    <row r="40264">
      <c r="B40264" s="36"/>
      <c r="C40264" s="36"/>
      <c r="E40264" s="1"/>
      <c r="F40264" s="1"/>
      <c r="G40264" s="1"/>
    </row>
    <row r="40265">
      <c r="B40265" s="36"/>
      <c r="C40265" s="36"/>
      <c r="E40265" s="1"/>
      <c r="F40265" s="1"/>
      <c r="G40265" s="1"/>
    </row>
    <row r="40266">
      <c r="B40266" s="36"/>
      <c r="C40266" s="36"/>
      <c r="E40266" s="1"/>
      <c r="F40266" s="1"/>
      <c r="G40266" s="1"/>
    </row>
    <row r="40267">
      <c r="B40267" s="36"/>
      <c r="C40267" s="36"/>
      <c r="E40267" s="1"/>
      <c r="F40267" s="1"/>
      <c r="G40267" s="1"/>
    </row>
    <row r="40268">
      <c r="B40268" s="36"/>
      <c r="C40268" s="36"/>
      <c r="E40268" s="1"/>
      <c r="F40268" s="1"/>
      <c r="G40268" s="1"/>
    </row>
    <row r="40269">
      <c r="B40269" s="36"/>
      <c r="C40269" s="36"/>
      <c r="E40269" s="1"/>
      <c r="F40269" s="1"/>
      <c r="G40269" s="1"/>
    </row>
    <row r="40270">
      <c r="B40270" s="36"/>
      <c r="C40270" s="36"/>
      <c r="E40270" s="1"/>
      <c r="F40270" s="1"/>
      <c r="G40270" s="1"/>
    </row>
    <row r="40271">
      <c r="B40271" s="36"/>
      <c r="C40271" s="36"/>
      <c r="E40271" s="1"/>
      <c r="F40271" s="1"/>
      <c r="G40271" s="1"/>
    </row>
    <row r="40272">
      <c r="B40272" s="36"/>
      <c r="C40272" s="36"/>
      <c r="E40272" s="1"/>
      <c r="F40272" s="1"/>
      <c r="G40272" s="1"/>
    </row>
    <row r="40273">
      <c r="B40273" s="36"/>
      <c r="C40273" s="36"/>
      <c r="E40273" s="1"/>
      <c r="F40273" s="1"/>
      <c r="G40273" s="1"/>
    </row>
    <row r="40274">
      <c r="B40274" s="36"/>
      <c r="C40274" s="36"/>
      <c r="E40274" s="1"/>
      <c r="F40274" s="1"/>
      <c r="G40274" s="1"/>
    </row>
    <row r="40275">
      <c r="B40275" s="36"/>
      <c r="C40275" s="36"/>
      <c r="E40275" s="1"/>
      <c r="F40275" s="1"/>
      <c r="G40275" s="1"/>
    </row>
    <row r="40276">
      <c r="B40276" s="36"/>
      <c r="C40276" s="36"/>
      <c r="E40276" s="1"/>
      <c r="F40276" s="1"/>
      <c r="G40276" s="1"/>
    </row>
    <row r="40277">
      <c r="B40277" s="36"/>
      <c r="C40277" s="36"/>
      <c r="E40277" s="1"/>
      <c r="F40277" s="1"/>
      <c r="G40277" s="1"/>
    </row>
    <row r="40278">
      <c r="B40278" s="36"/>
      <c r="C40278" s="36"/>
      <c r="E40278" s="1"/>
      <c r="F40278" s="1"/>
      <c r="G40278" s="1"/>
    </row>
    <row r="40279">
      <c r="B40279" s="36"/>
      <c r="C40279" s="36"/>
      <c r="E40279" s="1"/>
      <c r="F40279" s="1"/>
      <c r="G40279" s="1"/>
    </row>
    <row r="40280">
      <c r="B40280" s="36"/>
      <c r="C40280" s="36"/>
      <c r="E40280" s="1"/>
      <c r="F40280" s="1"/>
      <c r="G40280" s="1"/>
    </row>
    <row r="40281">
      <c r="B40281" s="36"/>
      <c r="C40281" s="36"/>
      <c r="E40281" s="1"/>
      <c r="F40281" s="1"/>
      <c r="G40281" s="1"/>
    </row>
    <row r="40282">
      <c r="B40282" s="36"/>
      <c r="C40282" s="36"/>
      <c r="E40282" s="1"/>
      <c r="F40282" s="1"/>
      <c r="G40282" s="1"/>
    </row>
    <row r="40283">
      <c r="B40283" s="36"/>
      <c r="C40283" s="36"/>
      <c r="E40283" s="1"/>
      <c r="F40283" s="1"/>
      <c r="G40283" s="1"/>
    </row>
    <row r="40284">
      <c r="B40284" s="36"/>
      <c r="C40284" s="36"/>
      <c r="E40284" s="1"/>
      <c r="F40284" s="1"/>
      <c r="G40284" s="1"/>
    </row>
    <row r="40285">
      <c r="B40285" s="36"/>
      <c r="C40285" s="36"/>
      <c r="E40285" s="1"/>
      <c r="F40285" s="1"/>
      <c r="G40285" s="1"/>
    </row>
    <row r="40286">
      <c r="B40286" s="36"/>
      <c r="C40286" s="36"/>
      <c r="E40286" s="1"/>
      <c r="F40286" s="1"/>
      <c r="G40286" s="1"/>
    </row>
    <row r="40287">
      <c r="B40287" s="36"/>
      <c r="C40287" s="36"/>
      <c r="E40287" s="1"/>
      <c r="F40287" s="1"/>
      <c r="G40287" s="1"/>
    </row>
    <row r="40288">
      <c r="B40288" s="36"/>
      <c r="C40288" s="36"/>
      <c r="E40288" s="1"/>
      <c r="F40288" s="1"/>
      <c r="G40288" s="1"/>
    </row>
    <row r="40289">
      <c r="B40289" s="36"/>
      <c r="C40289" s="36"/>
      <c r="E40289" s="1"/>
      <c r="F40289" s="1"/>
      <c r="G40289" s="1"/>
    </row>
    <row r="40290">
      <c r="B40290" s="36"/>
      <c r="C40290" s="36"/>
      <c r="E40290" s="1"/>
      <c r="F40290" s="1"/>
      <c r="G40290" s="1"/>
    </row>
    <row r="40291">
      <c r="B40291" s="36"/>
      <c r="C40291" s="36"/>
      <c r="E40291" s="1"/>
      <c r="F40291" s="1"/>
      <c r="G40291" s="1"/>
    </row>
    <row r="40292">
      <c r="B40292" s="36"/>
      <c r="C40292" s="36"/>
      <c r="E40292" s="1"/>
      <c r="F40292" s="1"/>
      <c r="G40292" s="1"/>
    </row>
    <row r="40293">
      <c r="B40293" s="36"/>
      <c r="C40293" s="36"/>
      <c r="E40293" s="1"/>
      <c r="F40293" s="1"/>
      <c r="G40293" s="1"/>
    </row>
    <row r="40294">
      <c r="B40294" s="36"/>
      <c r="C40294" s="36"/>
      <c r="E40294" s="1"/>
      <c r="F40294" s="1"/>
      <c r="G40294" s="1"/>
    </row>
    <row r="40295">
      <c r="B40295" s="36"/>
      <c r="C40295" s="36"/>
      <c r="E40295" s="1"/>
      <c r="F40295" s="1"/>
      <c r="G40295" s="1"/>
    </row>
    <row r="40296">
      <c r="B40296" s="36"/>
      <c r="C40296" s="36"/>
      <c r="E40296" s="1"/>
      <c r="F40296" s="1"/>
      <c r="G40296" s="1"/>
    </row>
    <row r="40297">
      <c r="B40297" s="36"/>
      <c r="C40297" s="36"/>
      <c r="E40297" s="1"/>
      <c r="F40297" s="1"/>
      <c r="G40297" s="1"/>
    </row>
    <row r="40298">
      <c r="B40298" s="36"/>
      <c r="C40298" s="36"/>
      <c r="E40298" s="1"/>
      <c r="F40298" s="1"/>
      <c r="G40298" s="1"/>
    </row>
    <row r="40299">
      <c r="B40299" s="36"/>
      <c r="C40299" s="36"/>
      <c r="E40299" s="1"/>
      <c r="F40299" s="1"/>
      <c r="G40299" s="1"/>
    </row>
    <row r="40300">
      <c r="B40300" s="36"/>
      <c r="C40300" s="36"/>
      <c r="E40300" s="1"/>
      <c r="F40300" s="1"/>
      <c r="G40300" s="1"/>
    </row>
    <row r="40301">
      <c r="B40301" s="36"/>
      <c r="C40301" s="36"/>
      <c r="E40301" s="1"/>
      <c r="F40301" s="1"/>
      <c r="G40301" s="1"/>
    </row>
    <row r="40302">
      <c r="B40302" s="36"/>
      <c r="C40302" s="36"/>
      <c r="E40302" s="1"/>
      <c r="F40302" s="1"/>
      <c r="G40302" s="1"/>
    </row>
    <row r="40303">
      <c r="B40303" s="36"/>
      <c r="C40303" s="36"/>
      <c r="E40303" s="1"/>
      <c r="F40303" s="1"/>
      <c r="G40303" s="1"/>
    </row>
    <row r="40304">
      <c r="B40304" s="36"/>
      <c r="C40304" s="36"/>
      <c r="E40304" s="1"/>
      <c r="F40304" s="1"/>
      <c r="G40304" s="1"/>
    </row>
    <row r="40305">
      <c r="B40305" s="36"/>
      <c r="C40305" s="36"/>
      <c r="E40305" s="1"/>
      <c r="F40305" s="1"/>
      <c r="G40305" s="1"/>
    </row>
    <row r="40306">
      <c r="B40306" s="36"/>
      <c r="C40306" s="36"/>
      <c r="E40306" s="1"/>
      <c r="F40306" s="1"/>
      <c r="G40306" s="1"/>
    </row>
    <row r="40307">
      <c r="B40307" s="36"/>
      <c r="C40307" s="36"/>
      <c r="E40307" s="1"/>
      <c r="F40307" s="1"/>
      <c r="G40307" s="1"/>
    </row>
    <row r="40308">
      <c r="B40308" s="36"/>
      <c r="C40308" s="36"/>
      <c r="E40308" s="1"/>
      <c r="F40308" s="1"/>
      <c r="G40308" s="1"/>
    </row>
    <row r="40309">
      <c r="B40309" s="36"/>
      <c r="C40309" s="36"/>
      <c r="E40309" s="1"/>
      <c r="F40309" s="1"/>
      <c r="G40309" s="1"/>
    </row>
    <row r="40310">
      <c r="B40310" s="36"/>
      <c r="C40310" s="36"/>
      <c r="E40310" s="1"/>
      <c r="F40310" s="1"/>
      <c r="G40310" s="1"/>
    </row>
    <row r="40311">
      <c r="B40311" s="36"/>
      <c r="C40311" s="36"/>
      <c r="E40311" s="1"/>
      <c r="F40311" s="1"/>
      <c r="G40311" s="1"/>
    </row>
    <row r="40312">
      <c r="B40312" s="36"/>
      <c r="C40312" s="36"/>
      <c r="E40312" s="1"/>
      <c r="F40312" s="1"/>
      <c r="G40312" s="1"/>
    </row>
    <row r="40313">
      <c r="B40313" s="36"/>
      <c r="C40313" s="36"/>
      <c r="E40313" s="1"/>
      <c r="F40313" s="1"/>
      <c r="G40313" s="1"/>
    </row>
    <row r="40314">
      <c r="B40314" s="36"/>
      <c r="C40314" s="36"/>
      <c r="E40314" s="1"/>
      <c r="F40314" s="1"/>
      <c r="G40314" s="1"/>
    </row>
    <row r="40315">
      <c r="B40315" s="36"/>
      <c r="C40315" s="36"/>
      <c r="E40315" s="1"/>
      <c r="F40315" s="1"/>
      <c r="G40315" s="1"/>
    </row>
    <row r="40316">
      <c r="B40316" s="36"/>
      <c r="C40316" s="36"/>
      <c r="E40316" s="1"/>
      <c r="F40316" s="1"/>
      <c r="G40316" s="1"/>
    </row>
    <row r="40317">
      <c r="B40317" s="36"/>
      <c r="C40317" s="36"/>
      <c r="E40317" s="1"/>
      <c r="F40317" s="1"/>
      <c r="G40317" s="1"/>
    </row>
    <row r="40318">
      <c r="B40318" s="36"/>
      <c r="C40318" s="36"/>
      <c r="E40318" s="1"/>
      <c r="F40318" s="1"/>
      <c r="G40318" s="1"/>
    </row>
    <row r="40319">
      <c r="B40319" s="36"/>
      <c r="C40319" s="36"/>
      <c r="E40319" s="1"/>
      <c r="F40319" s="1"/>
      <c r="G40319" s="1"/>
    </row>
    <row r="40320">
      <c r="B40320" s="36"/>
      <c r="C40320" s="36"/>
      <c r="E40320" s="1"/>
      <c r="F40320" s="1"/>
      <c r="G40320" s="1"/>
    </row>
    <row r="40321">
      <c r="B40321" s="36"/>
      <c r="C40321" s="36"/>
      <c r="E40321" s="1"/>
      <c r="F40321" s="1"/>
      <c r="G40321" s="1"/>
    </row>
    <row r="40322">
      <c r="B40322" s="36"/>
      <c r="C40322" s="36"/>
      <c r="E40322" s="1"/>
      <c r="F40322" s="1"/>
      <c r="G40322" s="1"/>
    </row>
    <row r="40323">
      <c r="B40323" s="36"/>
      <c r="C40323" s="36"/>
      <c r="E40323" s="1"/>
      <c r="F40323" s="1"/>
      <c r="G40323" s="1"/>
    </row>
    <row r="40324">
      <c r="B40324" s="36"/>
      <c r="C40324" s="36"/>
      <c r="E40324" s="1"/>
      <c r="F40324" s="1"/>
      <c r="G40324" s="1"/>
    </row>
    <row r="40325">
      <c r="B40325" s="36"/>
      <c r="C40325" s="36"/>
      <c r="E40325" s="1"/>
      <c r="F40325" s="1"/>
      <c r="G40325" s="1"/>
    </row>
    <row r="40326">
      <c r="B40326" s="36"/>
      <c r="C40326" s="36"/>
      <c r="E40326" s="1"/>
      <c r="F40326" s="1"/>
      <c r="G40326" s="1"/>
    </row>
    <row r="40327">
      <c r="B40327" s="36"/>
      <c r="C40327" s="36"/>
      <c r="E40327" s="1"/>
      <c r="F40327" s="1"/>
      <c r="G40327" s="1"/>
    </row>
    <row r="40328">
      <c r="B40328" s="36"/>
      <c r="C40328" s="36"/>
      <c r="E40328" s="1"/>
      <c r="F40328" s="1"/>
      <c r="G40328" s="1"/>
    </row>
    <row r="40329">
      <c r="B40329" s="36"/>
      <c r="C40329" s="36"/>
      <c r="E40329" s="1"/>
      <c r="F40329" s="1"/>
      <c r="G40329" s="1"/>
    </row>
    <row r="40330">
      <c r="B40330" s="36"/>
      <c r="C40330" s="36"/>
      <c r="E40330" s="1"/>
      <c r="F40330" s="1"/>
      <c r="G40330" s="1"/>
    </row>
    <row r="40331">
      <c r="B40331" s="36"/>
      <c r="C40331" s="36"/>
      <c r="E40331" s="1"/>
      <c r="F40331" s="1"/>
      <c r="G40331" s="1"/>
    </row>
    <row r="40332">
      <c r="B40332" s="36"/>
      <c r="C40332" s="36"/>
      <c r="E40332" s="1"/>
      <c r="F40332" s="1"/>
      <c r="G40332" s="1"/>
    </row>
    <row r="40333">
      <c r="B40333" s="36"/>
      <c r="C40333" s="36"/>
      <c r="E40333" s="1"/>
      <c r="F40333" s="1"/>
      <c r="G40333" s="1"/>
    </row>
    <row r="40334">
      <c r="B40334" s="36"/>
      <c r="C40334" s="36"/>
      <c r="E40334" s="1"/>
      <c r="F40334" s="1"/>
      <c r="G40334" s="1"/>
    </row>
    <row r="40335">
      <c r="B40335" s="36"/>
      <c r="C40335" s="36"/>
      <c r="E40335" s="1"/>
      <c r="F40335" s="1"/>
      <c r="G40335" s="1"/>
    </row>
    <row r="40336">
      <c r="B40336" s="36"/>
      <c r="C40336" s="36"/>
      <c r="E40336" s="1"/>
      <c r="F40336" s="1"/>
      <c r="G40336" s="1"/>
    </row>
    <row r="40337">
      <c r="B40337" s="36"/>
      <c r="C40337" s="36"/>
      <c r="E40337" s="1"/>
      <c r="F40337" s="1"/>
      <c r="G40337" s="1"/>
    </row>
    <row r="40338">
      <c r="B40338" s="36"/>
      <c r="C40338" s="36"/>
      <c r="E40338" s="1"/>
      <c r="F40338" s="1"/>
      <c r="G40338" s="1"/>
    </row>
    <row r="40339">
      <c r="B40339" s="36"/>
      <c r="C40339" s="36"/>
      <c r="E40339" s="1"/>
      <c r="F40339" s="1"/>
      <c r="G40339" s="1"/>
    </row>
    <row r="40340">
      <c r="B40340" s="36"/>
      <c r="C40340" s="36"/>
      <c r="E40340" s="1"/>
      <c r="F40340" s="1"/>
      <c r="G40340" s="1"/>
    </row>
    <row r="40341">
      <c r="B40341" s="36"/>
      <c r="C40341" s="36"/>
      <c r="E40341" s="1"/>
      <c r="F40341" s="1"/>
      <c r="G40341" s="1"/>
    </row>
    <row r="40342">
      <c r="B40342" s="36"/>
      <c r="C40342" s="36"/>
      <c r="E40342" s="1"/>
      <c r="F40342" s="1"/>
      <c r="G40342" s="1"/>
    </row>
    <row r="40343">
      <c r="B40343" s="36"/>
      <c r="C40343" s="36"/>
      <c r="E40343" s="1"/>
      <c r="F40343" s="1"/>
      <c r="G40343" s="1"/>
    </row>
    <row r="40344">
      <c r="B40344" s="36"/>
      <c r="C40344" s="36"/>
      <c r="E40344" s="1"/>
      <c r="F40344" s="1"/>
      <c r="G40344" s="1"/>
    </row>
    <row r="40345">
      <c r="B40345" s="36"/>
      <c r="C40345" s="36"/>
      <c r="E40345" s="1"/>
      <c r="F40345" s="1"/>
      <c r="G40345" s="1"/>
    </row>
    <row r="40346">
      <c r="B40346" s="36"/>
      <c r="C40346" s="36"/>
      <c r="E40346" s="1"/>
      <c r="F40346" s="1"/>
      <c r="G40346" s="1"/>
    </row>
    <row r="40347">
      <c r="B40347" s="36"/>
      <c r="C40347" s="36"/>
      <c r="E40347" s="1"/>
      <c r="F40347" s="1"/>
      <c r="G40347" s="1"/>
    </row>
    <row r="40348">
      <c r="B40348" s="36"/>
      <c r="C40348" s="36"/>
      <c r="E40348" s="1"/>
      <c r="F40348" s="1"/>
      <c r="G40348" s="1"/>
    </row>
    <row r="40349">
      <c r="B40349" s="36"/>
      <c r="C40349" s="36"/>
      <c r="E40349" s="1"/>
      <c r="F40349" s="1"/>
      <c r="G40349" s="1"/>
    </row>
    <row r="40350">
      <c r="B40350" s="36"/>
      <c r="C40350" s="36"/>
      <c r="E40350" s="1"/>
      <c r="F40350" s="1"/>
      <c r="G40350" s="1"/>
    </row>
    <row r="40351">
      <c r="B40351" s="36"/>
      <c r="C40351" s="36"/>
      <c r="E40351" s="1"/>
      <c r="F40351" s="1"/>
      <c r="G40351" s="1"/>
    </row>
    <row r="40352">
      <c r="B40352" s="36"/>
      <c r="C40352" s="36"/>
      <c r="E40352" s="1"/>
      <c r="F40352" s="1"/>
      <c r="G40352" s="1"/>
    </row>
    <row r="40353">
      <c r="B40353" s="36"/>
      <c r="C40353" s="36"/>
      <c r="E40353" s="1"/>
      <c r="F40353" s="1"/>
      <c r="G40353" s="1"/>
    </row>
    <row r="40354">
      <c r="B40354" s="36"/>
      <c r="C40354" s="36"/>
      <c r="E40354" s="1"/>
      <c r="F40354" s="1"/>
      <c r="G40354" s="1"/>
    </row>
    <row r="40355">
      <c r="B40355" s="36"/>
      <c r="C40355" s="36"/>
      <c r="E40355" s="1"/>
      <c r="F40355" s="1"/>
      <c r="G40355" s="1"/>
    </row>
    <row r="40356">
      <c r="B40356" s="36"/>
      <c r="C40356" s="36"/>
      <c r="E40356" s="1"/>
      <c r="F40356" s="1"/>
      <c r="G40356" s="1"/>
    </row>
    <row r="40357">
      <c r="B40357" s="36"/>
      <c r="C40357" s="36"/>
      <c r="E40357" s="1"/>
      <c r="F40357" s="1"/>
      <c r="G40357" s="1"/>
    </row>
    <row r="40358">
      <c r="B40358" s="36"/>
      <c r="C40358" s="36"/>
      <c r="E40358" s="1"/>
      <c r="F40358" s="1"/>
      <c r="G40358" s="1"/>
    </row>
    <row r="40359">
      <c r="B40359" s="36"/>
      <c r="C40359" s="36"/>
      <c r="E40359" s="1"/>
      <c r="F40359" s="1"/>
      <c r="G40359" s="1"/>
    </row>
    <row r="40360">
      <c r="B40360" s="36"/>
      <c r="C40360" s="36"/>
      <c r="E40360" s="1"/>
      <c r="F40360" s="1"/>
      <c r="G40360" s="1"/>
    </row>
    <row r="40361">
      <c r="B40361" s="36"/>
      <c r="C40361" s="36"/>
      <c r="E40361" s="1"/>
      <c r="F40361" s="1"/>
      <c r="G40361" s="1"/>
    </row>
    <row r="40362">
      <c r="B40362" s="36"/>
      <c r="C40362" s="36"/>
      <c r="E40362" s="1"/>
      <c r="F40362" s="1"/>
      <c r="G40362" s="1"/>
    </row>
    <row r="40363">
      <c r="B40363" s="36"/>
      <c r="C40363" s="36"/>
      <c r="E40363" s="1"/>
      <c r="F40363" s="1"/>
      <c r="G40363" s="1"/>
    </row>
    <row r="40364">
      <c r="B40364" s="36"/>
      <c r="C40364" s="36"/>
      <c r="E40364" s="1"/>
      <c r="F40364" s="1"/>
      <c r="G40364" s="1"/>
    </row>
    <row r="40365">
      <c r="B40365" s="36"/>
      <c r="C40365" s="36"/>
      <c r="E40365" s="1"/>
      <c r="F40365" s="1"/>
      <c r="G40365" s="1"/>
    </row>
    <row r="40366">
      <c r="B40366" s="36"/>
      <c r="C40366" s="36"/>
      <c r="E40366" s="1"/>
      <c r="F40366" s="1"/>
      <c r="G40366" s="1"/>
    </row>
    <row r="40367">
      <c r="B40367" s="36"/>
      <c r="C40367" s="36"/>
      <c r="E40367" s="1"/>
      <c r="F40367" s="1"/>
      <c r="G40367" s="1"/>
    </row>
    <row r="40368">
      <c r="B40368" s="36"/>
      <c r="C40368" s="36"/>
      <c r="E40368" s="1"/>
      <c r="F40368" s="1"/>
      <c r="G40368" s="1"/>
    </row>
    <row r="40369">
      <c r="B40369" s="36"/>
      <c r="C40369" s="36"/>
      <c r="E40369" s="1"/>
      <c r="F40369" s="1"/>
      <c r="G40369" s="1"/>
    </row>
    <row r="40370">
      <c r="B40370" s="36"/>
      <c r="C40370" s="36"/>
      <c r="E40370" s="1"/>
      <c r="F40370" s="1"/>
      <c r="G40370" s="1"/>
    </row>
    <row r="40371">
      <c r="B40371" s="36"/>
      <c r="C40371" s="36"/>
      <c r="E40371" s="1"/>
      <c r="F40371" s="1"/>
      <c r="G40371" s="1"/>
    </row>
    <row r="40372">
      <c r="B40372" s="36"/>
      <c r="C40372" s="36"/>
      <c r="E40372" s="1"/>
      <c r="F40372" s="1"/>
      <c r="G40372" s="1"/>
    </row>
    <row r="40373">
      <c r="B40373" s="36"/>
      <c r="C40373" s="36"/>
      <c r="E40373" s="1"/>
      <c r="F40373" s="1"/>
      <c r="G40373" s="1"/>
    </row>
    <row r="40374">
      <c r="B40374" s="36"/>
      <c r="C40374" s="36"/>
      <c r="E40374" s="1"/>
      <c r="F40374" s="1"/>
      <c r="G40374" s="1"/>
    </row>
    <row r="40375">
      <c r="B40375" s="36"/>
      <c r="C40375" s="36"/>
      <c r="E40375" s="1"/>
      <c r="F40375" s="1"/>
      <c r="G40375" s="1"/>
    </row>
    <row r="40376">
      <c r="B40376" s="36"/>
      <c r="C40376" s="36"/>
      <c r="E40376" s="1"/>
      <c r="F40376" s="1"/>
      <c r="G40376" s="1"/>
    </row>
    <row r="40377">
      <c r="B40377" s="36"/>
      <c r="C40377" s="36"/>
      <c r="E40377" s="1"/>
      <c r="F40377" s="1"/>
      <c r="G40377" s="1"/>
    </row>
    <row r="40378">
      <c r="B40378" s="36"/>
      <c r="C40378" s="36"/>
      <c r="E40378" s="1"/>
      <c r="F40378" s="1"/>
      <c r="G40378" s="1"/>
    </row>
    <row r="40379">
      <c r="B40379" s="36"/>
      <c r="C40379" s="36"/>
      <c r="E40379" s="1"/>
      <c r="F40379" s="1"/>
      <c r="G40379" s="1"/>
    </row>
    <row r="40380">
      <c r="B40380" s="36"/>
      <c r="C40380" s="36"/>
      <c r="E40380" s="1"/>
      <c r="F40380" s="1"/>
      <c r="G40380" s="1"/>
    </row>
    <row r="40381">
      <c r="B40381" s="36"/>
      <c r="C40381" s="36"/>
      <c r="E40381" s="1"/>
      <c r="F40381" s="1"/>
      <c r="G40381" s="1"/>
    </row>
    <row r="40382">
      <c r="B40382" s="36"/>
      <c r="C40382" s="36"/>
      <c r="E40382" s="1"/>
      <c r="F40382" s="1"/>
      <c r="G40382" s="1"/>
    </row>
    <row r="40383">
      <c r="B40383" s="36"/>
      <c r="C40383" s="36"/>
      <c r="E40383" s="1"/>
      <c r="F40383" s="1"/>
      <c r="G40383" s="1"/>
    </row>
    <row r="40384">
      <c r="B40384" s="36"/>
      <c r="C40384" s="36"/>
      <c r="E40384" s="1"/>
      <c r="F40384" s="1"/>
      <c r="G40384" s="1"/>
    </row>
    <row r="40385">
      <c r="B40385" s="36"/>
      <c r="C40385" s="36"/>
      <c r="E40385" s="1"/>
      <c r="F40385" s="1"/>
      <c r="G40385" s="1"/>
    </row>
    <row r="40386">
      <c r="B40386" s="36"/>
      <c r="C40386" s="36"/>
      <c r="E40386" s="1"/>
      <c r="F40386" s="1"/>
      <c r="G40386" s="1"/>
    </row>
    <row r="40387">
      <c r="B40387" s="36"/>
      <c r="C40387" s="36"/>
      <c r="E40387" s="1"/>
      <c r="F40387" s="1"/>
      <c r="G40387" s="1"/>
    </row>
    <row r="40388">
      <c r="B40388" s="36"/>
      <c r="C40388" s="36"/>
      <c r="E40388" s="1"/>
      <c r="F40388" s="1"/>
      <c r="G40388" s="1"/>
    </row>
    <row r="40389">
      <c r="B40389" s="36"/>
      <c r="C40389" s="36"/>
      <c r="E40389" s="1"/>
      <c r="F40389" s="1"/>
      <c r="G40389" s="1"/>
    </row>
    <row r="40390">
      <c r="B40390" s="36"/>
      <c r="C40390" s="36"/>
      <c r="E40390" s="1"/>
      <c r="F40390" s="1"/>
      <c r="G40390" s="1"/>
    </row>
    <row r="40391">
      <c r="B40391" s="36"/>
      <c r="C40391" s="36"/>
      <c r="E40391" s="1"/>
      <c r="F40391" s="1"/>
      <c r="G40391" s="1"/>
    </row>
    <row r="40392">
      <c r="B40392" s="36"/>
      <c r="C40392" s="36"/>
      <c r="E40392" s="1"/>
      <c r="F40392" s="1"/>
      <c r="G40392" s="1"/>
    </row>
    <row r="40393">
      <c r="B40393" s="36"/>
      <c r="C40393" s="36"/>
      <c r="E40393" s="1"/>
      <c r="F40393" s="1"/>
      <c r="G40393" s="1"/>
    </row>
    <row r="40394">
      <c r="B40394" s="36"/>
      <c r="C40394" s="36"/>
      <c r="E40394" s="1"/>
      <c r="F40394" s="1"/>
      <c r="G40394" s="1"/>
    </row>
    <row r="40395">
      <c r="B40395" s="36"/>
      <c r="C40395" s="36"/>
      <c r="E40395" s="1"/>
      <c r="F40395" s="1"/>
      <c r="G40395" s="1"/>
    </row>
    <row r="40396">
      <c r="B40396" s="36"/>
      <c r="C40396" s="36"/>
      <c r="E40396" s="1"/>
      <c r="F40396" s="1"/>
      <c r="G40396" s="1"/>
    </row>
    <row r="40397">
      <c r="B40397" s="36"/>
      <c r="C40397" s="36"/>
      <c r="E40397" s="1"/>
      <c r="F40397" s="1"/>
      <c r="G40397" s="1"/>
    </row>
    <row r="40398">
      <c r="B40398" s="36"/>
      <c r="C40398" s="36"/>
      <c r="E40398" s="1"/>
      <c r="F40398" s="1"/>
      <c r="G40398" s="1"/>
    </row>
    <row r="40399">
      <c r="B40399" s="36"/>
      <c r="C40399" s="36"/>
      <c r="E40399" s="1"/>
      <c r="F40399" s="1"/>
      <c r="G40399" s="1"/>
    </row>
    <row r="40400">
      <c r="B40400" s="36"/>
      <c r="C40400" s="36"/>
      <c r="E40400" s="1"/>
      <c r="F40400" s="1"/>
      <c r="G40400" s="1"/>
    </row>
    <row r="40401">
      <c r="B40401" s="36"/>
      <c r="C40401" s="36"/>
      <c r="E40401" s="1"/>
      <c r="F40401" s="1"/>
      <c r="G40401" s="1"/>
    </row>
    <row r="40402">
      <c r="B40402" s="36"/>
      <c r="C40402" s="36"/>
      <c r="E40402" s="1"/>
      <c r="F40402" s="1"/>
      <c r="G40402" s="1"/>
    </row>
    <row r="40403">
      <c r="B40403" s="36"/>
      <c r="C40403" s="36"/>
      <c r="E40403" s="1"/>
      <c r="F40403" s="1"/>
      <c r="G40403" s="1"/>
    </row>
    <row r="40404">
      <c r="B40404" s="36"/>
      <c r="C40404" s="36"/>
      <c r="E40404" s="1"/>
      <c r="F40404" s="1"/>
      <c r="G40404" s="1"/>
    </row>
    <row r="40405">
      <c r="B40405" s="36"/>
      <c r="C40405" s="36"/>
      <c r="E40405" s="1"/>
      <c r="F40405" s="1"/>
      <c r="G40405" s="1"/>
    </row>
    <row r="40406">
      <c r="B40406" s="36"/>
      <c r="C40406" s="36"/>
      <c r="E40406" s="1"/>
      <c r="F40406" s="1"/>
      <c r="G40406" s="1"/>
    </row>
    <row r="40407">
      <c r="B40407" s="36"/>
      <c r="C40407" s="36"/>
      <c r="E40407" s="1"/>
      <c r="F40407" s="1"/>
      <c r="G40407" s="1"/>
    </row>
    <row r="40408">
      <c r="B40408" s="36"/>
      <c r="C40408" s="36"/>
      <c r="E40408" s="1"/>
      <c r="F40408" s="1"/>
      <c r="G40408" s="1"/>
    </row>
    <row r="40409">
      <c r="B40409" s="36"/>
      <c r="C40409" s="36"/>
      <c r="E40409" s="1"/>
      <c r="F40409" s="1"/>
      <c r="G40409" s="1"/>
    </row>
    <row r="40410">
      <c r="B40410" s="36"/>
      <c r="C40410" s="36"/>
      <c r="E40410" s="1"/>
      <c r="F40410" s="1"/>
      <c r="G40410" s="1"/>
    </row>
    <row r="40411">
      <c r="B40411" s="36"/>
      <c r="C40411" s="36"/>
      <c r="E40411" s="1"/>
      <c r="F40411" s="1"/>
      <c r="G40411" s="1"/>
    </row>
    <row r="40412">
      <c r="B40412" s="36"/>
      <c r="C40412" s="36"/>
      <c r="E40412" s="1"/>
      <c r="F40412" s="1"/>
      <c r="G40412" s="1"/>
    </row>
    <row r="40413">
      <c r="B40413" s="36"/>
      <c r="C40413" s="36"/>
      <c r="E40413" s="1"/>
      <c r="F40413" s="1"/>
      <c r="G40413" s="1"/>
    </row>
    <row r="40414">
      <c r="B40414" s="36"/>
      <c r="C40414" s="36"/>
      <c r="E40414" s="1"/>
      <c r="F40414" s="1"/>
      <c r="G40414" s="1"/>
    </row>
    <row r="40415">
      <c r="B40415" s="36"/>
      <c r="C40415" s="36"/>
      <c r="E40415" s="1"/>
      <c r="F40415" s="1"/>
      <c r="G40415" s="1"/>
    </row>
    <row r="40416">
      <c r="B40416" s="36"/>
      <c r="C40416" s="36"/>
      <c r="E40416" s="1"/>
      <c r="F40416" s="1"/>
      <c r="G40416" s="1"/>
    </row>
    <row r="40417">
      <c r="B40417" s="36"/>
      <c r="C40417" s="36"/>
      <c r="E40417" s="1"/>
      <c r="F40417" s="1"/>
      <c r="G40417" s="1"/>
    </row>
    <row r="40418">
      <c r="B40418" s="36"/>
      <c r="C40418" s="36"/>
      <c r="E40418" s="1"/>
      <c r="F40418" s="1"/>
      <c r="G40418" s="1"/>
    </row>
    <row r="40419">
      <c r="B40419" s="36"/>
      <c r="C40419" s="36"/>
      <c r="E40419" s="1"/>
      <c r="F40419" s="1"/>
      <c r="G40419" s="1"/>
    </row>
    <row r="40420">
      <c r="B40420" s="36"/>
      <c r="C40420" s="36"/>
      <c r="E40420" s="1"/>
      <c r="F40420" s="1"/>
      <c r="G40420" s="1"/>
    </row>
    <row r="40421">
      <c r="B40421" s="36"/>
      <c r="C40421" s="36"/>
      <c r="E40421" s="1"/>
      <c r="F40421" s="1"/>
      <c r="G40421" s="1"/>
    </row>
    <row r="40422">
      <c r="B40422" s="36"/>
      <c r="C40422" s="36"/>
      <c r="E40422" s="1"/>
      <c r="F40422" s="1"/>
      <c r="G40422" s="1"/>
    </row>
    <row r="40423">
      <c r="B40423" s="36"/>
      <c r="C40423" s="36"/>
      <c r="E40423" s="1"/>
      <c r="F40423" s="1"/>
      <c r="G40423" s="1"/>
    </row>
    <row r="40424">
      <c r="B40424" s="36"/>
      <c r="C40424" s="36"/>
      <c r="E40424" s="1"/>
      <c r="F40424" s="1"/>
      <c r="G40424" s="1"/>
    </row>
    <row r="40425">
      <c r="B40425" s="36"/>
      <c r="C40425" s="36"/>
      <c r="E40425" s="1"/>
      <c r="F40425" s="1"/>
      <c r="G40425" s="1"/>
    </row>
    <row r="40426">
      <c r="B40426" s="36"/>
      <c r="C40426" s="36"/>
      <c r="E40426" s="1"/>
      <c r="F40426" s="1"/>
      <c r="G40426" s="1"/>
    </row>
    <row r="40427">
      <c r="B40427" s="36"/>
      <c r="C40427" s="36"/>
      <c r="E40427" s="1"/>
      <c r="F40427" s="1"/>
      <c r="G40427" s="1"/>
    </row>
    <row r="40428">
      <c r="B40428" s="36"/>
      <c r="C40428" s="36"/>
      <c r="E40428" s="1"/>
      <c r="F40428" s="1"/>
      <c r="G40428" s="1"/>
    </row>
    <row r="40429">
      <c r="B40429" s="36"/>
      <c r="C40429" s="36"/>
      <c r="E40429" s="1"/>
      <c r="F40429" s="1"/>
      <c r="G40429" s="1"/>
    </row>
    <row r="40430">
      <c r="B40430" s="36"/>
      <c r="C40430" s="36"/>
      <c r="E40430" s="1"/>
      <c r="F40430" s="1"/>
      <c r="G40430" s="1"/>
    </row>
    <row r="40431">
      <c r="B40431" s="36"/>
      <c r="C40431" s="36"/>
      <c r="E40431" s="1"/>
      <c r="F40431" s="1"/>
      <c r="G40431" s="1"/>
    </row>
    <row r="40432">
      <c r="B40432" s="36"/>
      <c r="C40432" s="36"/>
      <c r="E40432" s="1"/>
      <c r="F40432" s="1"/>
      <c r="G40432" s="1"/>
    </row>
    <row r="40433">
      <c r="B40433" s="36"/>
      <c r="C40433" s="36"/>
      <c r="E40433" s="1"/>
      <c r="F40433" s="1"/>
      <c r="G40433" s="1"/>
    </row>
    <row r="40434">
      <c r="B40434" s="36"/>
      <c r="C40434" s="36"/>
      <c r="E40434" s="1"/>
      <c r="F40434" s="1"/>
      <c r="G40434" s="1"/>
    </row>
    <row r="40435">
      <c r="B40435" s="36"/>
      <c r="C40435" s="36"/>
      <c r="E40435" s="1"/>
      <c r="F40435" s="1"/>
      <c r="G40435" s="1"/>
    </row>
    <row r="40436">
      <c r="B40436" s="36"/>
      <c r="C40436" s="36"/>
      <c r="E40436" s="1"/>
      <c r="F40436" s="1"/>
      <c r="G40436" s="1"/>
    </row>
    <row r="40437">
      <c r="B40437" s="36"/>
      <c r="C40437" s="36"/>
      <c r="E40437" s="1"/>
      <c r="F40437" s="1"/>
      <c r="G40437" s="1"/>
    </row>
    <row r="40438">
      <c r="B40438" s="36"/>
      <c r="C40438" s="36"/>
      <c r="E40438" s="1"/>
      <c r="F40438" s="1"/>
      <c r="G40438" s="1"/>
    </row>
    <row r="40439">
      <c r="B40439" s="36"/>
      <c r="C40439" s="36"/>
      <c r="E40439" s="1"/>
      <c r="F40439" s="1"/>
      <c r="G40439" s="1"/>
    </row>
    <row r="40440">
      <c r="B40440" s="36"/>
      <c r="C40440" s="36"/>
      <c r="E40440" s="1"/>
      <c r="F40440" s="1"/>
      <c r="G40440" s="1"/>
    </row>
    <row r="40441">
      <c r="B40441" s="36"/>
      <c r="C40441" s="36"/>
      <c r="E40441" s="1"/>
      <c r="F40441" s="1"/>
      <c r="G40441" s="1"/>
    </row>
    <row r="40442">
      <c r="B40442" s="36"/>
      <c r="C40442" s="36"/>
      <c r="E40442" s="1"/>
      <c r="F40442" s="1"/>
      <c r="G40442" s="1"/>
    </row>
    <row r="40443">
      <c r="B40443" s="36"/>
      <c r="C40443" s="36"/>
      <c r="E40443" s="1"/>
      <c r="F40443" s="1"/>
      <c r="G40443" s="1"/>
    </row>
    <row r="40444">
      <c r="B40444" s="36"/>
      <c r="C40444" s="36"/>
      <c r="E40444" s="1"/>
      <c r="F40444" s="1"/>
      <c r="G40444" s="1"/>
    </row>
    <row r="40445">
      <c r="B40445" s="36"/>
      <c r="C40445" s="36"/>
      <c r="E40445" s="1"/>
      <c r="F40445" s="1"/>
      <c r="G40445" s="1"/>
    </row>
    <row r="40446">
      <c r="B40446" s="36"/>
      <c r="C40446" s="36"/>
      <c r="E40446" s="1"/>
      <c r="F40446" s="1"/>
      <c r="G40446" s="1"/>
    </row>
    <row r="40447">
      <c r="B40447" s="36"/>
      <c r="C40447" s="36"/>
      <c r="E40447" s="1"/>
      <c r="F40447" s="1"/>
      <c r="G40447" s="1"/>
    </row>
    <row r="40448">
      <c r="B40448" s="36"/>
      <c r="C40448" s="36"/>
      <c r="E40448" s="1"/>
      <c r="F40448" s="1"/>
      <c r="G40448" s="1"/>
    </row>
    <row r="40449">
      <c r="B40449" s="36"/>
      <c r="C40449" s="36"/>
      <c r="E40449" s="1"/>
      <c r="F40449" s="1"/>
      <c r="G40449" s="1"/>
    </row>
    <row r="40450">
      <c r="B40450" s="36"/>
      <c r="C40450" s="36"/>
      <c r="E40450" s="1"/>
      <c r="F40450" s="1"/>
      <c r="G40450" s="1"/>
    </row>
    <row r="40451">
      <c r="B40451" s="36"/>
      <c r="C40451" s="36"/>
      <c r="E40451" s="1"/>
      <c r="F40451" s="1"/>
      <c r="G40451" s="1"/>
    </row>
    <row r="40452">
      <c r="B40452" s="36"/>
      <c r="C40452" s="36"/>
      <c r="E40452" s="1"/>
      <c r="F40452" s="1"/>
      <c r="G40452" s="1"/>
    </row>
    <row r="40453">
      <c r="B40453" s="36"/>
      <c r="C40453" s="36"/>
      <c r="E40453" s="1"/>
      <c r="F40453" s="1"/>
      <c r="G40453" s="1"/>
    </row>
    <row r="40454">
      <c r="B40454" s="36"/>
      <c r="C40454" s="36"/>
      <c r="E40454" s="1"/>
      <c r="F40454" s="1"/>
      <c r="G40454" s="1"/>
    </row>
    <row r="40455">
      <c r="B40455" s="36"/>
      <c r="C40455" s="36"/>
      <c r="E40455" s="1"/>
      <c r="F40455" s="1"/>
      <c r="G40455" s="1"/>
    </row>
    <row r="40456">
      <c r="B40456" s="36"/>
      <c r="C40456" s="36"/>
      <c r="E40456" s="1"/>
      <c r="F40456" s="1"/>
      <c r="G40456" s="1"/>
    </row>
    <row r="40457">
      <c r="B40457" s="36"/>
      <c r="C40457" s="36"/>
      <c r="E40457" s="1"/>
      <c r="F40457" s="1"/>
      <c r="G40457" s="1"/>
    </row>
    <row r="40458">
      <c r="B40458" s="36"/>
      <c r="C40458" s="36"/>
      <c r="E40458" s="1"/>
      <c r="F40458" s="1"/>
      <c r="G40458" s="1"/>
    </row>
    <row r="40459">
      <c r="B40459" s="36"/>
      <c r="C40459" s="36"/>
      <c r="E40459" s="1"/>
      <c r="F40459" s="1"/>
      <c r="G40459" s="1"/>
    </row>
    <row r="40460">
      <c r="B40460" s="36"/>
      <c r="C40460" s="36"/>
      <c r="E40460" s="1"/>
      <c r="F40460" s="1"/>
      <c r="G40460" s="1"/>
    </row>
    <row r="40461">
      <c r="B40461" s="36"/>
      <c r="C40461" s="36"/>
      <c r="E40461" s="1"/>
      <c r="F40461" s="1"/>
      <c r="G40461" s="1"/>
    </row>
    <row r="40462">
      <c r="B40462" s="36"/>
      <c r="C40462" s="36"/>
      <c r="E40462" s="1"/>
      <c r="F40462" s="1"/>
      <c r="G40462" s="1"/>
    </row>
    <row r="40463">
      <c r="B40463" s="36"/>
      <c r="C40463" s="36"/>
      <c r="E40463" s="1"/>
      <c r="F40463" s="1"/>
      <c r="G40463" s="1"/>
    </row>
    <row r="40464">
      <c r="B40464" s="36"/>
      <c r="C40464" s="36"/>
      <c r="E40464" s="1"/>
      <c r="F40464" s="1"/>
      <c r="G40464" s="1"/>
    </row>
    <row r="40465">
      <c r="B40465" s="36"/>
      <c r="C40465" s="36"/>
      <c r="E40465" s="1"/>
      <c r="F40465" s="1"/>
      <c r="G40465" s="1"/>
    </row>
    <row r="40466">
      <c r="B40466" s="36"/>
      <c r="C40466" s="36"/>
      <c r="E40466" s="1"/>
      <c r="F40466" s="1"/>
      <c r="G40466" s="1"/>
    </row>
    <row r="40467">
      <c r="B40467" s="36"/>
      <c r="C40467" s="36"/>
      <c r="E40467" s="1"/>
      <c r="F40467" s="1"/>
      <c r="G40467" s="1"/>
    </row>
    <row r="40468">
      <c r="B40468" s="36"/>
      <c r="C40468" s="36"/>
      <c r="E40468" s="1"/>
      <c r="F40468" s="1"/>
      <c r="G40468" s="1"/>
    </row>
    <row r="40469">
      <c r="B40469" s="36"/>
      <c r="C40469" s="36"/>
      <c r="E40469" s="1"/>
      <c r="F40469" s="1"/>
      <c r="G40469" s="1"/>
    </row>
    <row r="40470">
      <c r="B40470" s="36"/>
      <c r="C40470" s="36"/>
      <c r="E40470" s="1"/>
      <c r="F40470" s="1"/>
      <c r="G40470" s="1"/>
    </row>
    <row r="40471">
      <c r="B40471" s="36"/>
      <c r="C40471" s="36"/>
      <c r="E40471" s="1"/>
      <c r="F40471" s="1"/>
      <c r="G40471" s="1"/>
    </row>
    <row r="40472">
      <c r="B40472" s="36"/>
      <c r="C40472" s="36"/>
      <c r="E40472" s="1"/>
      <c r="F40472" s="1"/>
      <c r="G40472" s="1"/>
    </row>
    <row r="40473">
      <c r="B40473" s="36"/>
      <c r="C40473" s="36"/>
      <c r="E40473" s="1"/>
      <c r="F40473" s="1"/>
      <c r="G40473" s="1"/>
    </row>
    <row r="40474">
      <c r="B40474" s="36"/>
      <c r="C40474" s="36"/>
      <c r="E40474" s="1"/>
      <c r="F40474" s="1"/>
      <c r="G40474" s="1"/>
    </row>
    <row r="40475">
      <c r="B40475" s="36"/>
      <c r="C40475" s="36"/>
      <c r="E40475" s="1"/>
      <c r="F40475" s="1"/>
      <c r="G40475" s="1"/>
    </row>
    <row r="40476">
      <c r="B40476" s="36"/>
      <c r="C40476" s="36"/>
      <c r="E40476" s="1"/>
      <c r="F40476" s="1"/>
      <c r="G40476" s="1"/>
    </row>
    <row r="40477">
      <c r="B40477" s="36"/>
      <c r="C40477" s="36"/>
      <c r="E40477" s="1"/>
      <c r="F40477" s="1"/>
      <c r="G40477" s="1"/>
    </row>
    <row r="40478">
      <c r="B40478" s="36"/>
      <c r="C40478" s="36"/>
      <c r="E40478" s="1"/>
      <c r="F40478" s="1"/>
      <c r="G40478" s="1"/>
    </row>
    <row r="40479">
      <c r="B40479" s="36"/>
      <c r="C40479" s="36"/>
      <c r="E40479" s="1"/>
      <c r="F40479" s="1"/>
      <c r="G40479" s="1"/>
    </row>
    <row r="40480">
      <c r="B40480" s="36"/>
      <c r="C40480" s="36"/>
      <c r="E40480" s="1"/>
      <c r="F40480" s="1"/>
      <c r="G40480" s="1"/>
    </row>
    <row r="40481">
      <c r="B40481" s="36"/>
      <c r="C40481" s="36"/>
      <c r="E40481" s="1"/>
      <c r="F40481" s="1"/>
      <c r="G40481" s="1"/>
    </row>
    <row r="40482">
      <c r="B40482" s="36"/>
      <c r="C40482" s="36"/>
      <c r="E40482" s="1"/>
      <c r="F40482" s="1"/>
      <c r="G40482" s="1"/>
    </row>
    <row r="40483">
      <c r="B40483" s="36"/>
      <c r="C40483" s="36"/>
      <c r="E40483" s="1"/>
      <c r="F40483" s="1"/>
      <c r="G40483" s="1"/>
    </row>
    <row r="40484">
      <c r="B40484" s="36"/>
      <c r="C40484" s="36"/>
      <c r="E40484" s="1"/>
      <c r="F40484" s="1"/>
      <c r="G40484" s="1"/>
    </row>
    <row r="40485">
      <c r="B40485" s="36"/>
      <c r="C40485" s="36"/>
      <c r="E40485" s="1"/>
      <c r="F40485" s="1"/>
      <c r="G40485" s="1"/>
    </row>
    <row r="40486">
      <c r="B40486" s="36"/>
      <c r="C40486" s="36"/>
      <c r="E40486" s="1"/>
      <c r="F40486" s="1"/>
      <c r="G40486" s="1"/>
    </row>
    <row r="40487">
      <c r="B40487" s="36"/>
      <c r="C40487" s="36"/>
      <c r="E40487" s="1"/>
      <c r="F40487" s="1"/>
      <c r="G40487" s="1"/>
    </row>
    <row r="40488">
      <c r="B40488" s="36"/>
      <c r="C40488" s="36"/>
      <c r="E40488" s="1"/>
      <c r="F40488" s="1"/>
      <c r="G40488" s="1"/>
    </row>
    <row r="40489">
      <c r="B40489" s="36"/>
      <c r="C40489" s="36"/>
      <c r="E40489" s="1"/>
      <c r="F40489" s="1"/>
      <c r="G40489" s="1"/>
    </row>
    <row r="40490">
      <c r="B40490" s="36"/>
      <c r="C40490" s="36"/>
      <c r="E40490" s="1"/>
      <c r="F40490" s="1"/>
      <c r="G40490" s="1"/>
    </row>
    <row r="40491">
      <c r="B40491" s="36"/>
      <c r="C40491" s="36"/>
      <c r="E40491" s="1"/>
      <c r="F40491" s="1"/>
      <c r="G40491" s="1"/>
    </row>
    <row r="40492">
      <c r="B40492" s="36"/>
      <c r="C40492" s="36"/>
      <c r="E40492" s="1"/>
      <c r="F40492" s="1"/>
      <c r="G40492" s="1"/>
    </row>
    <row r="40493">
      <c r="B40493" s="36"/>
      <c r="C40493" s="36"/>
      <c r="E40493" s="1"/>
      <c r="F40493" s="1"/>
      <c r="G40493" s="1"/>
    </row>
    <row r="40494">
      <c r="B40494" s="36"/>
      <c r="C40494" s="36"/>
      <c r="E40494" s="1"/>
      <c r="F40494" s="1"/>
      <c r="G40494" s="1"/>
    </row>
    <row r="40495">
      <c r="B40495" s="36"/>
      <c r="C40495" s="36"/>
      <c r="E40495" s="1"/>
      <c r="F40495" s="1"/>
      <c r="G40495" s="1"/>
    </row>
    <row r="40496">
      <c r="B40496" s="36"/>
      <c r="C40496" s="36"/>
      <c r="E40496" s="1"/>
      <c r="F40496" s="1"/>
      <c r="G40496" s="1"/>
    </row>
    <row r="40497">
      <c r="B40497" s="36"/>
      <c r="C40497" s="36"/>
      <c r="E40497" s="1"/>
      <c r="F40497" s="1"/>
      <c r="G40497" s="1"/>
    </row>
    <row r="40498">
      <c r="B40498" s="36"/>
      <c r="C40498" s="36"/>
      <c r="E40498" s="1"/>
      <c r="F40498" s="1"/>
      <c r="G40498" s="1"/>
    </row>
    <row r="40499">
      <c r="B40499" s="36"/>
      <c r="C40499" s="36"/>
      <c r="E40499" s="1"/>
      <c r="F40499" s="1"/>
      <c r="G40499" s="1"/>
    </row>
    <row r="40500">
      <c r="B40500" s="36"/>
      <c r="C40500" s="36"/>
      <c r="E40500" s="1"/>
      <c r="F40500" s="1"/>
      <c r="G40500" s="1"/>
    </row>
    <row r="40501">
      <c r="B40501" s="36"/>
      <c r="C40501" s="36"/>
      <c r="E40501" s="1"/>
      <c r="F40501" s="1"/>
      <c r="G40501" s="1"/>
    </row>
    <row r="40502">
      <c r="B40502" s="36"/>
      <c r="C40502" s="36"/>
      <c r="E40502" s="1"/>
      <c r="F40502" s="1"/>
      <c r="G40502" s="1"/>
    </row>
    <row r="40503">
      <c r="B40503" s="36"/>
      <c r="C40503" s="36"/>
      <c r="E40503" s="1"/>
      <c r="F40503" s="1"/>
      <c r="G40503" s="1"/>
    </row>
    <row r="40504">
      <c r="B40504" s="36"/>
      <c r="C40504" s="36"/>
      <c r="E40504" s="1"/>
      <c r="F40504" s="1"/>
      <c r="G40504" s="1"/>
    </row>
    <row r="40505">
      <c r="B40505" s="36"/>
      <c r="C40505" s="36"/>
      <c r="E40505" s="1"/>
      <c r="F40505" s="1"/>
      <c r="G40505" s="1"/>
    </row>
    <row r="40506">
      <c r="B40506" s="36"/>
      <c r="C40506" s="36"/>
      <c r="E40506" s="1"/>
      <c r="F40506" s="1"/>
      <c r="G40506" s="1"/>
    </row>
    <row r="40507">
      <c r="B40507" s="36"/>
      <c r="C40507" s="36"/>
      <c r="E40507" s="1"/>
      <c r="F40507" s="1"/>
      <c r="G40507" s="1"/>
    </row>
    <row r="40508">
      <c r="B40508" s="36"/>
      <c r="C40508" s="36"/>
      <c r="E40508" s="1"/>
      <c r="F40508" s="1"/>
      <c r="G40508" s="1"/>
    </row>
    <row r="40509">
      <c r="B40509" s="36"/>
      <c r="C40509" s="36"/>
      <c r="E40509" s="1"/>
      <c r="F40509" s="1"/>
      <c r="G40509" s="1"/>
    </row>
    <row r="40510">
      <c r="B40510" s="36"/>
      <c r="C40510" s="36"/>
      <c r="E40510" s="1"/>
      <c r="F40510" s="1"/>
      <c r="G40510" s="1"/>
    </row>
    <row r="40511">
      <c r="B40511" s="36"/>
      <c r="C40511" s="36"/>
      <c r="E40511" s="1"/>
      <c r="F40511" s="1"/>
      <c r="G40511" s="1"/>
    </row>
    <row r="40512">
      <c r="B40512" s="36"/>
      <c r="C40512" s="36"/>
      <c r="E40512" s="1"/>
      <c r="F40512" s="1"/>
      <c r="G40512" s="1"/>
    </row>
    <row r="40513">
      <c r="B40513" s="36"/>
      <c r="C40513" s="36"/>
      <c r="E40513" s="1"/>
      <c r="F40513" s="1"/>
      <c r="G40513" s="1"/>
    </row>
    <row r="40514">
      <c r="B40514" s="36"/>
      <c r="C40514" s="36"/>
      <c r="E40514" s="1"/>
      <c r="F40514" s="1"/>
      <c r="G40514" s="1"/>
    </row>
    <row r="40515">
      <c r="B40515" s="36"/>
      <c r="C40515" s="36"/>
      <c r="E40515" s="1"/>
      <c r="F40515" s="1"/>
      <c r="G40515" s="1"/>
    </row>
    <row r="40516">
      <c r="B40516" s="36"/>
      <c r="C40516" s="36"/>
      <c r="E40516" s="1"/>
      <c r="F40516" s="1"/>
      <c r="G40516" s="1"/>
    </row>
    <row r="40517">
      <c r="B40517" s="36"/>
      <c r="C40517" s="36"/>
      <c r="E40517" s="1"/>
      <c r="F40517" s="1"/>
      <c r="G40517" s="1"/>
    </row>
    <row r="40518">
      <c r="B40518" s="36"/>
      <c r="C40518" s="36"/>
      <c r="E40518" s="1"/>
      <c r="F40518" s="1"/>
      <c r="G40518" s="1"/>
    </row>
    <row r="40519">
      <c r="B40519" s="36"/>
      <c r="C40519" s="36"/>
      <c r="E40519" s="1"/>
      <c r="F40519" s="1"/>
      <c r="G40519" s="1"/>
    </row>
    <row r="40520">
      <c r="B40520" s="36"/>
      <c r="C40520" s="36"/>
      <c r="E40520" s="1"/>
      <c r="F40520" s="1"/>
      <c r="G40520" s="1"/>
    </row>
    <row r="40521">
      <c r="B40521" s="36"/>
      <c r="C40521" s="36"/>
      <c r="E40521" s="1"/>
      <c r="F40521" s="1"/>
      <c r="G40521" s="1"/>
    </row>
    <row r="40522">
      <c r="B40522" s="36"/>
      <c r="C40522" s="36"/>
      <c r="E40522" s="1"/>
      <c r="F40522" s="1"/>
      <c r="G40522" s="1"/>
    </row>
    <row r="40523">
      <c r="B40523" s="36"/>
      <c r="C40523" s="36"/>
      <c r="E40523" s="1"/>
      <c r="F40523" s="1"/>
      <c r="G40523" s="1"/>
    </row>
    <row r="40524">
      <c r="B40524" s="36"/>
      <c r="C40524" s="36"/>
      <c r="E40524" s="1"/>
      <c r="F40524" s="1"/>
      <c r="G40524" s="1"/>
    </row>
    <row r="40525">
      <c r="B40525" s="36"/>
      <c r="C40525" s="36"/>
      <c r="E40525" s="1"/>
      <c r="F40525" s="1"/>
      <c r="G40525" s="1"/>
    </row>
    <row r="40526">
      <c r="B40526" s="36"/>
      <c r="C40526" s="36"/>
      <c r="E40526" s="1"/>
      <c r="F40526" s="1"/>
      <c r="G40526" s="1"/>
    </row>
    <row r="40527">
      <c r="B40527" s="36"/>
      <c r="C40527" s="36"/>
      <c r="E40527" s="1"/>
      <c r="F40527" s="1"/>
      <c r="G40527" s="1"/>
    </row>
    <row r="40528">
      <c r="B40528" s="36"/>
      <c r="C40528" s="36"/>
      <c r="E40528" s="1"/>
      <c r="F40528" s="1"/>
      <c r="G40528" s="1"/>
    </row>
    <row r="40529">
      <c r="B40529" s="36"/>
      <c r="C40529" s="36"/>
      <c r="E40529" s="1"/>
      <c r="F40529" s="1"/>
      <c r="G40529" s="1"/>
    </row>
    <row r="40530">
      <c r="B40530" s="36"/>
      <c r="C40530" s="36"/>
      <c r="E40530" s="1"/>
      <c r="F40530" s="1"/>
      <c r="G40530" s="1"/>
    </row>
    <row r="40531">
      <c r="B40531" s="36"/>
      <c r="C40531" s="36"/>
      <c r="E40531" s="1"/>
      <c r="F40531" s="1"/>
      <c r="G40531" s="1"/>
    </row>
    <row r="40532">
      <c r="B40532" s="36"/>
      <c r="C40532" s="36"/>
      <c r="E40532" s="1"/>
      <c r="F40532" s="1"/>
      <c r="G40532" s="1"/>
    </row>
    <row r="40533">
      <c r="B40533" s="36"/>
      <c r="C40533" s="36"/>
      <c r="E40533" s="1"/>
      <c r="F40533" s="1"/>
      <c r="G40533" s="1"/>
    </row>
    <row r="40534">
      <c r="B40534" s="36"/>
      <c r="C40534" s="36"/>
      <c r="E40534" s="1"/>
      <c r="F40534" s="1"/>
      <c r="G40534" s="1"/>
    </row>
    <row r="40535">
      <c r="B40535" s="36"/>
      <c r="C40535" s="36"/>
      <c r="E40535" s="1"/>
      <c r="F40535" s="1"/>
      <c r="G40535" s="1"/>
    </row>
    <row r="40536">
      <c r="B40536" s="36"/>
      <c r="C40536" s="36"/>
      <c r="E40536" s="1"/>
      <c r="F40536" s="1"/>
      <c r="G40536" s="1"/>
    </row>
    <row r="40537">
      <c r="B40537" s="36"/>
      <c r="C40537" s="36"/>
      <c r="E40537" s="1"/>
      <c r="F40537" s="1"/>
      <c r="G40537" s="1"/>
    </row>
    <row r="40538">
      <c r="B40538" s="36"/>
      <c r="C40538" s="36"/>
      <c r="E40538" s="1"/>
      <c r="F40538" s="1"/>
      <c r="G40538" s="1"/>
    </row>
    <row r="40539">
      <c r="B40539" s="36"/>
      <c r="C40539" s="36"/>
      <c r="E40539" s="1"/>
      <c r="F40539" s="1"/>
      <c r="G40539" s="1"/>
    </row>
    <row r="40540">
      <c r="B40540" s="36"/>
      <c r="C40540" s="36"/>
      <c r="E40540" s="1"/>
      <c r="F40540" s="1"/>
      <c r="G40540" s="1"/>
    </row>
    <row r="40541">
      <c r="B40541" s="36"/>
      <c r="C40541" s="36"/>
      <c r="E40541" s="1"/>
      <c r="F40541" s="1"/>
      <c r="G40541" s="1"/>
    </row>
    <row r="40542">
      <c r="B40542" s="36"/>
      <c r="C40542" s="36"/>
      <c r="E40542" s="1"/>
      <c r="F40542" s="1"/>
      <c r="G40542" s="1"/>
    </row>
    <row r="40543">
      <c r="B40543" s="36"/>
      <c r="C40543" s="36"/>
      <c r="E40543" s="1"/>
      <c r="F40543" s="1"/>
      <c r="G40543" s="1"/>
    </row>
    <row r="40544">
      <c r="B40544" s="36"/>
      <c r="C40544" s="36"/>
      <c r="E40544" s="1"/>
      <c r="F40544" s="1"/>
      <c r="G40544" s="1"/>
    </row>
    <row r="40545">
      <c r="B40545" s="36"/>
      <c r="C40545" s="36"/>
      <c r="E40545" s="1"/>
      <c r="F40545" s="1"/>
      <c r="G40545" s="1"/>
    </row>
    <row r="40546">
      <c r="B40546" s="36"/>
      <c r="C40546" s="36"/>
      <c r="E40546" s="1"/>
      <c r="F40546" s="1"/>
      <c r="G40546" s="1"/>
    </row>
    <row r="40547">
      <c r="B40547" s="36"/>
      <c r="C40547" s="36"/>
      <c r="E40547" s="1"/>
      <c r="F40547" s="1"/>
      <c r="G40547" s="1"/>
    </row>
    <row r="40548">
      <c r="B40548" s="36"/>
      <c r="C40548" s="36"/>
      <c r="E40548" s="1"/>
      <c r="F40548" s="1"/>
      <c r="G40548" s="1"/>
    </row>
    <row r="40549">
      <c r="B40549" s="36"/>
      <c r="C40549" s="36"/>
      <c r="E40549" s="1"/>
      <c r="F40549" s="1"/>
      <c r="G40549" s="1"/>
    </row>
    <row r="40550">
      <c r="B40550" s="36"/>
      <c r="C40550" s="36"/>
      <c r="E40550" s="1"/>
      <c r="F40550" s="1"/>
      <c r="G40550" s="1"/>
    </row>
    <row r="40551">
      <c r="B40551" s="36"/>
      <c r="C40551" s="36"/>
      <c r="E40551" s="1"/>
      <c r="F40551" s="1"/>
      <c r="G40551" s="1"/>
    </row>
    <row r="40552">
      <c r="B40552" s="36"/>
      <c r="C40552" s="36"/>
      <c r="E40552" s="1"/>
      <c r="F40552" s="1"/>
      <c r="G40552" s="1"/>
    </row>
    <row r="40553">
      <c r="B40553" s="36"/>
      <c r="C40553" s="36"/>
      <c r="E40553" s="1"/>
      <c r="F40553" s="1"/>
      <c r="G40553" s="1"/>
    </row>
    <row r="40554">
      <c r="B40554" s="36"/>
      <c r="C40554" s="36"/>
      <c r="E40554" s="1"/>
      <c r="F40554" s="1"/>
      <c r="G40554" s="1"/>
    </row>
    <row r="40555">
      <c r="B40555" s="36"/>
      <c r="C40555" s="36"/>
      <c r="E40555" s="1"/>
      <c r="F40555" s="1"/>
      <c r="G40555" s="1"/>
    </row>
    <row r="40556">
      <c r="B40556" s="36"/>
      <c r="C40556" s="36"/>
      <c r="E40556" s="1"/>
      <c r="F40556" s="1"/>
      <c r="G40556" s="1"/>
    </row>
    <row r="40557">
      <c r="B40557" s="36"/>
      <c r="C40557" s="36"/>
      <c r="E40557" s="1"/>
      <c r="F40557" s="1"/>
      <c r="G40557" s="1"/>
    </row>
    <row r="40558">
      <c r="B40558" s="36"/>
      <c r="C40558" s="36"/>
      <c r="E40558" s="1"/>
      <c r="F40558" s="1"/>
      <c r="G40558" s="1"/>
    </row>
    <row r="40559">
      <c r="B40559" s="36"/>
      <c r="C40559" s="36"/>
      <c r="E40559" s="1"/>
      <c r="F40559" s="1"/>
      <c r="G40559" s="1"/>
    </row>
    <row r="40560">
      <c r="B40560" s="36"/>
      <c r="C40560" s="36"/>
      <c r="E40560" s="1"/>
      <c r="F40560" s="1"/>
      <c r="G40560" s="1"/>
    </row>
    <row r="40561">
      <c r="B40561" s="36"/>
      <c r="C40561" s="36"/>
      <c r="E40561" s="1"/>
      <c r="F40561" s="1"/>
      <c r="G40561" s="1"/>
    </row>
    <row r="40562">
      <c r="B40562" s="36"/>
      <c r="C40562" s="36"/>
      <c r="E40562" s="1"/>
      <c r="F40562" s="1"/>
      <c r="G40562" s="1"/>
    </row>
    <row r="40563">
      <c r="B40563" s="36"/>
      <c r="C40563" s="36"/>
      <c r="E40563" s="1"/>
      <c r="F40563" s="1"/>
      <c r="G40563" s="1"/>
    </row>
    <row r="40564">
      <c r="B40564" s="36"/>
      <c r="C40564" s="36"/>
      <c r="E40564" s="1"/>
      <c r="F40564" s="1"/>
      <c r="G40564" s="1"/>
    </row>
    <row r="40565">
      <c r="B40565" s="36"/>
      <c r="C40565" s="36"/>
      <c r="E40565" s="1"/>
      <c r="F40565" s="1"/>
      <c r="G40565" s="1"/>
    </row>
    <row r="40566">
      <c r="B40566" s="36"/>
      <c r="C40566" s="36"/>
      <c r="E40566" s="1"/>
      <c r="F40566" s="1"/>
      <c r="G40566" s="1"/>
    </row>
    <row r="40567">
      <c r="B40567" s="36"/>
      <c r="C40567" s="36"/>
      <c r="E40567" s="1"/>
      <c r="F40567" s="1"/>
      <c r="G40567" s="1"/>
    </row>
    <row r="40568">
      <c r="B40568" s="36"/>
      <c r="C40568" s="36"/>
      <c r="E40568" s="1"/>
      <c r="F40568" s="1"/>
      <c r="G40568" s="1"/>
    </row>
    <row r="40569">
      <c r="B40569" s="36"/>
      <c r="C40569" s="36"/>
      <c r="E40569" s="1"/>
      <c r="F40569" s="1"/>
      <c r="G40569" s="1"/>
    </row>
    <row r="40570">
      <c r="B40570" s="36"/>
      <c r="C40570" s="36"/>
      <c r="E40570" s="1"/>
      <c r="F40570" s="1"/>
      <c r="G40570" s="1"/>
    </row>
    <row r="40571">
      <c r="B40571" s="36"/>
      <c r="C40571" s="36"/>
      <c r="E40571" s="1"/>
      <c r="F40571" s="1"/>
      <c r="G40571" s="1"/>
    </row>
    <row r="40572">
      <c r="B40572" s="36"/>
      <c r="C40572" s="36"/>
      <c r="E40572" s="1"/>
      <c r="F40572" s="1"/>
      <c r="G40572" s="1"/>
    </row>
    <row r="40573">
      <c r="B40573" s="36"/>
      <c r="C40573" s="36"/>
      <c r="E40573" s="1"/>
      <c r="F40573" s="1"/>
      <c r="G40573" s="1"/>
    </row>
    <row r="40574">
      <c r="B40574" s="36"/>
      <c r="C40574" s="36"/>
      <c r="E40574" s="1"/>
      <c r="F40574" s="1"/>
      <c r="G40574" s="1"/>
    </row>
    <row r="40575">
      <c r="B40575" s="36"/>
      <c r="C40575" s="36"/>
      <c r="E40575" s="1"/>
      <c r="F40575" s="1"/>
      <c r="G40575" s="1"/>
    </row>
    <row r="40576">
      <c r="B40576" s="36"/>
      <c r="C40576" s="36"/>
      <c r="E40576" s="1"/>
      <c r="F40576" s="1"/>
      <c r="G40576" s="1"/>
    </row>
    <row r="40577">
      <c r="B40577" s="36"/>
      <c r="C40577" s="36"/>
      <c r="E40577" s="1"/>
      <c r="F40577" s="1"/>
      <c r="G40577" s="1"/>
    </row>
    <row r="40578">
      <c r="B40578" s="36"/>
      <c r="C40578" s="36"/>
      <c r="E40578" s="1"/>
      <c r="F40578" s="1"/>
      <c r="G40578" s="1"/>
    </row>
    <row r="40579">
      <c r="B40579" s="36"/>
      <c r="C40579" s="36"/>
      <c r="E40579" s="1"/>
      <c r="F40579" s="1"/>
      <c r="G40579" s="1"/>
    </row>
    <row r="40580">
      <c r="B40580" s="36"/>
      <c r="C40580" s="36"/>
      <c r="E40580" s="1"/>
      <c r="F40580" s="1"/>
      <c r="G40580" s="1"/>
    </row>
    <row r="40581">
      <c r="B40581" s="36"/>
      <c r="C40581" s="36"/>
      <c r="E40581" s="1"/>
      <c r="F40581" s="1"/>
      <c r="G40581" s="1"/>
    </row>
    <row r="40582">
      <c r="B40582" s="36"/>
      <c r="C40582" s="36"/>
      <c r="E40582" s="1"/>
      <c r="F40582" s="1"/>
      <c r="G40582" s="1"/>
    </row>
    <row r="40583">
      <c r="B40583" s="36"/>
      <c r="C40583" s="36"/>
      <c r="E40583" s="1"/>
      <c r="F40583" s="1"/>
      <c r="G40583" s="1"/>
    </row>
    <row r="40584">
      <c r="B40584" s="36"/>
      <c r="C40584" s="36"/>
      <c r="E40584" s="1"/>
      <c r="F40584" s="1"/>
      <c r="G40584" s="1"/>
    </row>
    <row r="40585">
      <c r="B40585" s="36"/>
      <c r="C40585" s="36"/>
      <c r="E40585" s="1"/>
      <c r="F40585" s="1"/>
      <c r="G40585" s="1"/>
    </row>
    <row r="40586">
      <c r="B40586" s="36"/>
      <c r="C40586" s="36"/>
      <c r="E40586" s="1"/>
      <c r="F40586" s="1"/>
      <c r="G40586" s="1"/>
    </row>
    <row r="40587">
      <c r="B40587" s="36"/>
      <c r="C40587" s="36"/>
      <c r="E40587" s="1"/>
      <c r="F40587" s="1"/>
      <c r="G40587" s="1"/>
    </row>
    <row r="40588">
      <c r="B40588" s="36"/>
      <c r="C40588" s="36"/>
      <c r="E40588" s="1"/>
      <c r="F40588" s="1"/>
      <c r="G40588" s="1"/>
    </row>
    <row r="40589">
      <c r="B40589" s="36"/>
      <c r="C40589" s="36"/>
      <c r="E40589" s="1"/>
      <c r="F40589" s="1"/>
      <c r="G40589" s="1"/>
    </row>
    <row r="40590">
      <c r="B40590" s="36"/>
      <c r="C40590" s="36"/>
      <c r="E40590" s="1"/>
      <c r="F40590" s="1"/>
      <c r="G40590" s="1"/>
    </row>
    <row r="40591">
      <c r="B40591" s="36"/>
      <c r="C40591" s="36"/>
      <c r="E40591" s="1"/>
      <c r="F40591" s="1"/>
      <c r="G40591" s="1"/>
    </row>
    <row r="40592">
      <c r="B40592" s="36"/>
      <c r="C40592" s="36"/>
      <c r="E40592" s="1"/>
      <c r="F40592" s="1"/>
      <c r="G40592" s="1"/>
    </row>
    <row r="40593">
      <c r="B40593" s="36"/>
      <c r="C40593" s="36"/>
      <c r="E40593" s="1"/>
      <c r="F40593" s="1"/>
      <c r="G40593" s="1"/>
    </row>
    <row r="40594">
      <c r="B40594" s="36"/>
      <c r="C40594" s="36"/>
      <c r="E40594" s="1"/>
      <c r="F40594" s="1"/>
      <c r="G40594" s="1"/>
    </row>
    <row r="40595">
      <c r="B40595" s="36"/>
      <c r="C40595" s="36"/>
      <c r="E40595" s="1"/>
      <c r="F40595" s="1"/>
      <c r="G40595" s="1"/>
    </row>
    <row r="40596">
      <c r="B40596" s="36"/>
      <c r="C40596" s="36"/>
      <c r="E40596" s="1"/>
      <c r="F40596" s="1"/>
      <c r="G40596" s="1"/>
    </row>
    <row r="40597">
      <c r="B40597" s="36"/>
      <c r="C40597" s="36"/>
      <c r="E40597" s="1"/>
      <c r="F40597" s="1"/>
      <c r="G40597" s="1"/>
    </row>
    <row r="40598">
      <c r="B40598" s="36"/>
      <c r="C40598" s="36"/>
      <c r="E40598" s="1"/>
      <c r="F40598" s="1"/>
      <c r="G40598" s="1"/>
    </row>
    <row r="40599">
      <c r="B40599" s="36"/>
      <c r="C40599" s="36"/>
      <c r="E40599" s="1"/>
      <c r="F40599" s="1"/>
      <c r="G40599" s="1"/>
    </row>
    <row r="40600">
      <c r="B40600" s="36"/>
      <c r="C40600" s="36"/>
      <c r="E40600" s="1"/>
      <c r="F40600" s="1"/>
      <c r="G40600" s="1"/>
    </row>
    <row r="40601">
      <c r="B40601" s="36"/>
      <c r="C40601" s="36"/>
      <c r="E40601" s="1"/>
      <c r="F40601" s="1"/>
      <c r="G40601" s="1"/>
    </row>
    <row r="40602">
      <c r="B40602" s="36"/>
      <c r="C40602" s="36"/>
      <c r="E40602" s="1"/>
      <c r="F40602" s="1"/>
      <c r="G40602" s="1"/>
    </row>
    <row r="40603">
      <c r="B40603" s="36"/>
      <c r="C40603" s="36"/>
      <c r="E40603" s="1"/>
      <c r="F40603" s="1"/>
      <c r="G40603" s="1"/>
    </row>
    <row r="40604">
      <c r="B40604" s="36"/>
      <c r="C40604" s="36"/>
      <c r="E40604" s="1"/>
      <c r="F40604" s="1"/>
      <c r="G40604" s="1"/>
    </row>
    <row r="40605">
      <c r="B40605" s="36"/>
      <c r="C40605" s="36"/>
      <c r="E40605" s="1"/>
      <c r="F40605" s="1"/>
      <c r="G40605" s="1"/>
    </row>
    <row r="40606">
      <c r="B40606" s="36"/>
      <c r="C40606" s="36"/>
      <c r="E40606" s="1"/>
      <c r="F40606" s="1"/>
      <c r="G40606" s="1"/>
    </row>
    <row r="40607">
      <c r="B40607" s="36"/>
      <c r="C40607" s="36"/>
      <c r="E40607" s="1"/>
      <c r="F40607" s="1"/>
      <c r="G40607" s="1"/>
    </row>
    <row r="40608">
      <c r="B40608" s="36"/>
      <c r="C40608" s="36"/>
      <c r="E40608" s="1"/>
      <c r="F40608" s="1"/>
      <c r="G40608" s="1"/>
    </row>
    <row r="40609">
      <c r="B40609" s="36"/>
      <c r="C40609" s="36"/>
      <c r="E40609" s="1"/>
      <c r="F40609" s="1"/>
      <c r="G40609" s="1"/>
    </row>
    <row r="40610">
      <c r="B40610" s="36"/>
      <c r="C40610" s="36"/>
      <c r="E40610" s="1"/>
      <c r="F40610" s="1"/>
      <c r="G40610" s="1"/>
    </row>
    <row r="40611">
      <c r="B40611" s="36"/>
      <c r="C40611" s="36"/>
      <c r="E40611" s="1"/>
      <c r="F40611" s="1"/>
      <c r="G40611" s="1"/>
    </row>
    <row r="40612">
      <c r="B40612" s="36"/>
      <c r="C40612" s="36"/>
      <c r="E40612" s="1"/>
      <c r="F40612" s="1"/>
      <c r="G40612" s="1"/>
    </row>
    <row r="40613">
      <c r="B40613" s="36"/>
      <c r="C40613" s="36"/>
      <c r="E40613" s="1"/>
      <c r="F40613" s="1"/>
      <c r="G40613" s="1"/>
    </row>
    <row r="40614">
      <c r="B40614" s="36"/>
      <c r="C40614" s="36"/>
      <c r="E40614" s="1"/>
      <c r="F40614" s="1"/>
      <c r="G40614" s="1"/>
    </row>
    <row r="40615">
      <c r="B40615" s="36"/>
      <c r="C40615" s="36"/>
      <c r="E40615" s="1"/>
      <c r="F40615" s="1"/>
      <c r="G40615" s="1"/>
    </row>
    <row r="40616">
      <c r="B40616" s="36"/>
      <c r="C40616" s="36"/>
      <c r="E40616" s="1"/>
      <c r="F40616" s="1"/>
      <c r="G40616" s="1"/>
    </row>
    <row r="40617">
      <c r="B40617" s="36"/>
      <c r="C40617" s="36"/>
      <c r="E40617" s="1"/>
      <c r="F40617" s="1"/>
      <c r="G40617" s="1"/>
    </row>
    <row r="40618">
      <c r="B40618" s="36"/>
      <c r="C40618" s="36"/>
      <c r="E40618" s="1"/>
      <c r="F40618" s="1"/>
      <c r="G40618" s="1"/>
    </row>
    <row r="40619">
      <c r="B40619" s="36"/>
      <c r="C40619" s="36"/>
      <c r="E40619" s="1"/>
      <c r="F40619" s="1"/>
      <c r="G40619" s="1"/>
    </row>
    <row r="40620">
      <c r="B40620" s="36"/>
      <c r="C40620" s="36"/>
      <c r="E40620" s="1"/>
      <c r="F40620" s="1"/>
      <c r="G40620" s="1"/>
    </row>
    <row r="40621">
      <c r="B40621" s="36"/>
      <c r="C40621" s="36"/>
      <c r="E40621" s="1"/>
      <c r="F40621" s="1"/>
      <c r="G40621" s="1"/>
    </row>
    <row r="40622">
      <c r="B40622" s="36"/>
      <c r="C40622" s="36"/>
      <c r="E40622" s="1"/>
      <c r="F40622" s="1"/>
      <c r="G40622" s="1"/>
    </row>
    <row r="40623">
      <c r="B40623" s="36"/>
      <c r="C40623" s="36"/>
      <c r="E40623" s="1"/>
      <c r="F40623" s="1"/>
      <c r="G40623" s="1"/>
    </row>
    <row r="40624">
      <c r="B40624" s="36"/>
      <c r="C40624" s="36"/>
      <c r="E40624" s="1"/>
      <c r="F40624" s="1"/>
      <c r="G40624" s="1"/>
    </row>
    <row r="40625">
      <c r="B40625" s="36"/>
      <c r="C40625" s="36"/>
      <c r="E40625" s="1"/>
      <c r="F40625" s="1"/>
      <c r="G40625" s="1"/>
    </row>
    <row r="40626">
      <c r="B40626" s="36"/>
      <c r="C40626" s="36"/>
      <c r="E40626" s="1"/>
      <c r="F40626" s="1"/>
      <c r="G40626" s="1"/>
    </row>
    <row r="40627">
      <c r="B40627" s="36"/>
      <c r="C40627" s="36"/>
      <c r="E40627" s="1"/>
      <c r="F40627" s="1"/>
      <c r="G40627" s="1"/>
    </row>
    <row r="40628">
      <c r="B40628" s="36"/>
      <c r="C40628" s="36"/>
      <c r="E40628" s="1"/>
      <c r="F40628" s="1"/>
      <c r="G40628" s="1"/>
    </row>
    <row r="40629">
      <c r="B40629" s="36"/>
      <c r="C40629" s="36"/>
      <c r="E40629" s="1"/>
      <c r="F40629" s="1"/>
      <c r="G40629" s="1"/>
    </row>
    <row r="40630">
      <c r="B40630" s="36"/>
      <c r="C40630" s="36"/>
      <c r="E40630" s="1"/>
      <c r="F40630" s="1"/>
      <c r="G40630" s="1"/>
    </row>
    <row r="40631">
      <c r="B40631" s="36"/>
      <c r="C40631" s="36"/>
      <c r="E40631" s="1"/>
      <c r="F40631" s="1"/>
      <c r="G40631" s="1"/>
    </row>
    <row r="40632">
      <c r="B40632" s="36"/>
      <c r="C40632" s="36"/>
      <c r="E40632" s="1"/>
      <c r="F40632" s="1"/>
      <c r="G40632" s="1"/>
    </row>
    <row r="40633">
      <c r="B40633" s="36"/>
      <c r="C40633" s="36"/>
      <c r="E40633" s="1"/>
      <c r="F40633" s="1"/>
      <c r="G40633" s="1"/>
    </row>
    <row r="40634">
      <c r="B40634" s="36"/>
      <c r="C40634" s="36"/>
      <c r="E40634" s="1"/>
      <c r="F40634" s="1"/>
      <c r="G40634" s="1"/>
    </row>
    <row r="40635">
      <c r="B40635" s="36"/>
      <c r="C40635" s="36"/>
      <c r="E40635" s="1"/>
      <c r="F40635" s="1"/>
      <c r="G40635" s="1"/>
    </row>
    <row r="40636">
      <c r="B40636" s="36"/>
      <c r="C40636" s="36"/>
      <c r="E40636" s="1"/>
      <c r="F40636" s="1"/>
      <c r="G40636" s="1"/>
    </row>
    <row r="40637">
      <c r="B40637" s="36"/>
      <c r="C40637" s="36"/>
      <c r="E40637" s="1"/>
      <c r="F40637" s="1"/>
      <c r="G40637" s="1"/>
    </row>
    <row r="40638">
      <c r="B40638" s="36"/>
      <c r="C40638" s="36"/>
      <c r="E40638" s="1"/>
      <c r="F40638" s="1"/>
      <c r="G40638" s="1"/>
    </row>
    <row r="40639">
      <c r="B40639" s="36"/>
      <c r="C40639" s="36"/>
      <c r="E40639" s="1"/>
      <c r="F40639" s="1"/>
      <c r="G40639" s="1"/>
    </row>
    <row r="40640">
      <c r="B40640" s="36"/>
      <c r="C40640" s="36"/>
      <c r="E40640" s="1"/>
      <c r="F40640" s="1"/>
      <c r="G40640" s="1"/>
    </row>
    <row r="40641">
      <c r="B40641" s="36"/>
      <c r="C40641" s="36"/>
      <c r="E40641" s="1"/>
      <c r="F40641" s="1"/>
      <c r="G40641" s="1"/>
    </row>
    <row r="40642">
      <c r="B40642" s="36"/>
      <c r="C40642" s="36"/>
      <c r="E40642" s="1"/>
      <c r="F40642" s="1"/>
      <c r="G40642" s="1"/>
    </row>
    <row r="40643">
      <c r="B40643" s="36"/>
      <c r="C40643" s="36"/>
      <c r="E40643" s="1"/>
      <c r="F40643" s="1"/>
      <c r="G40643" s="1"/>
    </row>
    <row r="40644">
      <c r="B40644" s="36"/>
      <c r="C40644" s="36"/>
      <c r="E40644" s="1"/>
      <c r="F40644" s="1"/>
      <c r="G40644" s="1"/>
    </row>
    <row r="40645">
      <c r="B40645" s="36"/>
      <c r="C40645" s="36"/>
      <c r="E40645" s="1"/>
      <c r="F40645" s="1"/>
      <c r="G40645" s="1"/>
    </row>
    <row r="40646">
      <c r="B40646" s="36"/>
      <c r="C40646" s="36"/>
      <c r="E40646" s="1"/>
      <c r="F40646" s="1"/>
      <c r="G40646" s="1"/>
    </row>
    <row r="40647">
      <c r="B40647" s="36"/>
      <c r="C40647" s="36"/>
      <c r="E40647" s="1"/>
      <c r="F40647" s="1"/>
      <c r="G40647" s="1"/>
    </row>
    <row r="40648">
      <c r="B40648" s="36"/>
      <c r="C40648" s="36"/>
      <c r="E40648" s="1"/>
      <c r="F40648" s="1"/>
      <c r="G40648" s="1"/>
    </row>
    <row r="40649">
      <c r="B40649" s="36"/>
      <c r="C40649" s="36"/>
      <c r="E40649" s="1"/>
      <c r="F40649" s="1"/>
      <c r="G40649" s="1"/>
    </row>
    <row r="40650">
      <c r="B40650" s="36"/>
      <c r="C40650" s="36"/>
      <c r="E40650" s="1"/>
      <c r="F40650" s="1"/>
      <c r="G40650" s="1"/>
    </row>
    <row r="40651">
      <c r="B40651" s="36"/>
      <c r="C40651" s="36"/>
      <c r="E40651" s="1"/>
      <c r="F40651" s="1"/>
      <c r="G40651" s="1"/>
    </row>
    <row r="40652">
      <c r="B40652" s="36"/>
      <c r="C40652" s="36"/>
      <c r="E40652" s="1"/>
      <c r="F40652" s="1"/>
      <c r="G40652" s="1"/>
    </row>
    <row r="40653">
      <c r="B40653" s="36"/>
      <c r="C40653" s="36"/>
      <c r="E40653" s="1"/>
      <c r="F40653" s="1"/>
      <c r="G40653" s="1"/>
    </row>
    <row r="40654">
      <c r="B40654" s="36"/>
      <c r="C40654" s="36"/>
      <c r="E40654" s="1"/>
      <c r="F40654" s="1"/>
      <c r="G40654" s="1"/>
    </row>
    <row r="40655">
      <c r="B40655" s="36"/>
      <c r="C40655" s="36"/>
      <c r="E40655" s="1"/>
      <c r="F40655" s="1"/>
      <c r="G40655" s="1"/>
    </row>
    <row r="40656">
      <c r="B40656" s="36"/>
      <c r="C40656" s="36"/>
      <c r="E40656" s="1"/>
      <c r="F40656" s="1"/>
      <c r="G40656" s="1"/>
    </row>
    <row r="40657">
      <c r="B40657" s="36"/>
      <c r="C40657" s="36"/>
      <c r="E40657" s="1"/>
      <c r="F40657" s="1"/>
      <c r="G40657" s="1"/>
    </row>
    <row r="40658">
      <c r="B40658" s="36"/>
      <c r="C40658" s="36"/>
      <c r="E40658" s="1"/>
      <c r="F40658" s="1"/>
      <c r="G40658" s="1"/>
    </row>
    <row r="40659">
      <c r="B40659" s="36"/>
      <c r="C40659" s="36"/>
      <c r="E40659" s="1"/>
      <c r="F40659" s="1"/>
      <c r="G40659" s="1"/>
    </row>
    <row r="40660">
      <c r="B40660" s="36"/>
      <c r="C40660" s="36"/>
      <c r="E40660" s="1"/>
      <c r="F40660" s="1"/>
      <c r="G40660" s="1"/>
    </row>
    <row r="40661">
      <c r="B40661" s="36"/>
      <c r="C40661" s="36"/>
      <c r="E40661" s="1"/>
      <c r="F40661" s="1"/>
      <c r="G40661" s="1"/>
    </row>
    <row r="40662">
      <c r="B40662" s="36"/>
      <c r="C40662" s="36"/>
      <c r="E40662" s="1"/>
      <c r="F40662" s="1"/>
      <c r="G40662" s="1"/>
    </row>
    <row r="40663">
      <c r="B40663" s="36"/>
      <c r="C40663" s="36"/>
      <c r="E40663" s="1"/>
      <c r="F40663" s="1"/>
      <c r="G40663" s="1"/>
    </row>
    <row r="40664">
      <c r="B40664" s="36"/>
      <c r="C40664" s="36"/>
      <c r="E40664" s="1"/>
      <c r="F40664" s="1"/>
      <c r="G40664" s="1"/>
    </row>
    <row r="40665">
      <c r="B40665" s="36"/>
      <c r="C40665" s="36"/>
      <c r="E40665" s="1"/>
      <c r="F40665" s="1"/>
      <c r="G40665" s="1"/>
    </row>
    <row r="40666">
      <c r="B40666" s="36"/>
      <c r="C40666" s="36"/>
      <c r="E40666" s="1"/>
      <c r="F40666" s="1"/>
      <c r="G40666" s="1"/>
    </row>
    <row r="40667">
      <c r="B40667" s="36"/>
      <c r="C40667" s="36"/>
      <c r="E40667" s="1"/>
      <c r="F40667" s="1"/>
      <c r="G40667" s="1"/>
    </row>
    <row r="40668">
      <c r="B40668" s="36"/>
      <c r="C40668" s="36"/>
      <c r="E40668" s="1"/>
      <c r="F40668" s="1"/>
      <c r="G40668" s="1"/>
    </row>
    <row r="40669">
      <c r="B40669" s="36"/>
      <c r="C40669" s="36"/>
      <c r="E40669" s="1"/>
      <c r="F40669" s="1"/>
      <c r="G40669" s="1"/>
    </row>
    <row r="40670">
      <c r="B40670" s="36"/>
      <c r="C40670" s="36"/>
      <c r="E40670" s="1"/>
      <c r="F40670" s="1"/>
      <c r="G40670" s="1"/>
    </row>
    <row r="40671">
      <c r="B40671" s="36"/>
      <c r="C40671" s="36"/>
      <c r="E40671" s="1"/>
      <c r="F40671" s="1"/>
      <c r="G40671" s="1"/>
    </row>
    <row r="40672">
      <c r="B40672" s="36"/>
      <c r="C40672" s="36"/>
      <c r="E40672" s="1"/>
      <c r="F40672" s="1"/>
      <c r="G40672" s="1"/>
    </row>
    <row r="40673">
      <c r="B40673" s="36"/>
      <c r="C40673" s="36"/>
      <c r="E40673" s="1"/>
      <c r="F40673" s="1"/>
      <c r="G40673" s="1"/>
    </row>
    <row r="40674">
      <c r="B40674" s="36"/>
      <c r="C40674" s="36"/>
      <c r="E40674" s="1"/>
      <c r="F40674" s="1"/>
      <c r="G40674" s="1"/>
    </row>
    <row r="40675">
      <c r="B40675" s="36"/>
      <c r="C40675" s="36"/>
      <c r="E40675" s="1"/>
      <c r="F40675" s="1"/>
      <c r="G40675" s="1"/>
    </row>
    <row r="40676">
      <c r="B40676" s="36"/>
      <c r="C40676" s="36"/>
      <c r="E40676" s="1"/>
      <c r="F40676" s="1"/>
      <c r="G40676" s="1"/>
    </row>
    <row r="40677">
      <c r="B40677" s="36"/>
      <c r="C40677" s="36"/>
      <c r="E40677" s="1"/>
      <c r="F40677" s="1"/>
      <c r="G40677" s="1"/>
    </row>
    <row r="40678">
      <c r="B40678" s="36"/>
      <c r="C40678" s="36"/>
      <c r="E40678" s="1"/>
      <c r="F40678" s="1"/>
      <c r="G40678" s="1"/>
    </row>
    <row r="40679">
      <c r="B40679" s="36"/>
      <c r="C40679" s="36"/>
      <c r="E40679" s="1"/>
      <c r="F40679" s="1"/>
      <c r="G40679" s="1"/>
    </row>
    <row r="40680">
      <c r="B40680" s="36"/>
      <c r="C40680" s="36"/>
      <c r="E40680" s="1"/>
      <c r="F40680" s="1"/>
      <c r="G40680" s="1"/>
    </row>
    <row r="40681">
      <c r="B40681" s="36"/>
      <c r="C40681" s="36"/>
      <c r="E40681" s="1"/>
      <c r="F40681" s="1"/>
      <c r="G40681" s="1"/>
    </row>
    <row r="40682">
      <c r="B40682" s="36"/>
      <c r="C40682" s="36"/>
      <c r="E40682" s="1"/>
      <c r="F40682" s="1"/>
      <c r="G40682" s="1"/>
    </row>
    <row r="40683">
      <c r="B40683" s="36"/>
      <c r="C40683" s="36"/>
      <c r="E40683" s="1"/>
      <c r="F40683" s="1"/>
      <c r="G40683" s="1"/>
    </row>
    <row r="40684">
      <c r="B40684" s="36"/>
      <c r="C40684" s="36"/>
      <c r="E40684" s="1"/>
      <c r="F40684" s="1"/>
      <c r="G40684" s="1"/>
    </row>
    <row r="40685">
      <c r="B40685" s="36"/>
      <c r="C40685" s="36"/>
      <c r="E40685" s="1"/>
      <c r="F40685" s="1"/>
      <c r="G40685" s="1"/>
    </row>
    <row r="40686">
      <c r="B40686" s="36"/>
      <c r="C40686" s="36"/>
      <c r="E40686" s="1"/>
      <c r="F40686" s="1"/>
      <c r="G40686" s="1"/>
    </row>
    <row r="40687">
      <c r="B40687" s="36"/>
      <c r="C40687" s="36"/>
      <c r="E40687" s="1"/>
      <c r="F40687" s="1"/>
      <c r="G40687" s="1"/>
    </row>
    <row r="40688">
      <c r="B40688" s="36"/>
      <c r="C40688" s="36"/>
      <c r="E40688" s="1"/>
      <c r="F40688" s="1"/>
      <c r="G40688" s="1"/>
    </row>
    <row r="40689">
      <c r="B40689" s="36"/>
      <c r="C40689" s="36"/>
      <c r="E40689" s="1"/>
      <c r="F40689" s="1"/>
      <c r="G40689" s="1"/>
    </row>
    <row r="40690">
      <c r="B40690" s="36"/>
      <c r="C40690" s="36"/>
      <c r="E40690" s="1"/>
      <c r="F40690" s="1"/>
      <c r="G40690" s="1"/>
    </row>
    <row r="40691">
      <c r="B40691" s="36"/>
      <c r="C40691" s="36"/>
      <c r="E40691" s="1"/>
      <c r="F40691" s="1"/>
      <c r="G40691" s="1"/>
    </row>
    <row r="40692">
      <c r="B40692" s="36"/>
      <c r="C40692" s="36"/>
      <c r="E40692" s="1"/>
      <c r="F40692" s="1"/>
      <c r="G40692" s="1"/>
    </row>
    <row r="40693">
      <c r="B40693" s="36"/>
      <c r="C40693" s="36"/>
      <c r="E40693" s="1"/>
      <c r="F40693" s="1"/>
      <c r="G40693" s="1"/>
    </row>
    <row r="40694">
      <c r="B40694" s="36"/>
      <c r="C40694" s="36"/>
      <c r="E40694" s="1"/>
      <c r="F40694" s="1"/>
      <c r="G40694" s="1"/>
    </row>
    <row r="40695">
      <c r="B40695" s="36"/>
      <c r="C40695" s="36"/>
      <c r="E40695" s="1"/>
      <c r="F40695" s="1"/>
      <c r="G40695" s="1"/>
    </row>
    <row r="40696">
      <c r="B40696" s="36"/>
      <c r="C40696" s="36"/>
      <c r="E40696" s="1"/>
      <c r="F40696" s="1"/>
      <c r="G40696" s="1"/>
    </row>
    <row r="40697">
      <c r="B40697" s="36"/>
      <c r="C40697" s="36"/>
      <c r="E40697" s="1"/>
      <c r="F40697" s="1"/>
      <c r="G40697" s="1"/>
    </row>
    <row r="40698">
      <c r="B40698" s="36"/>
      <c r="C40698" s="36"/>
      <c r="E40698" s="1"/>
      <c r="F40698" s="1"/>
      <c r="G40698" s="1"/>
    </row>
    <row r="40699">
      <c r="B40699" s="36"/>
      <c r="C40699" s="36"/>
      <c r="E40699" s="1"/>
      <c r="F40699" s="1"/>
      <c r="G40699" s="1"/>
    </row>
    <row r="40700">
      <c r="B40700" s="36"/>
      <c r="C40700" s="36"/>
      <c r="E40700" s="1"/>
      <c r="F40700" s="1"/>
      <c r="G40700" s="1"/>
    </row>
    <row r="40701">
      <c r="B40701" s="36"/>
      <c r="C40701" s="36"/>
      <c r="E40701" s="1"/>
      <c r="F40701" s="1"/>
      <c r="G40701" s="1"/>
    </row>
    <row r="40702">
      <c r="B40702" s="36"/>
      <c r="C40702" s="36"/>
      <c r="E40702" s="1"/>
      <c r="F40702" s="1"/>
      <c r="G40702" s="1"/>
    </row>
    <row r="40703">
      <c r="B40703" s="36"/>
      <c r="C40703" s="36"/>
      <c r="E40703" s="1"/>
      <c r="F40703" s="1"/>
      <c r="G40703" s="1"/>
    </row>
    <row r="40704">
      <c r="B40704" s="36"/>
      <c r="C40704" s="36"/>
      <c r="E40704" s="1"/>
      <c r="F40704" s="1"/>
      <c r="G40704" s="1"/>
    </row>
    <row r="40705">
      <c r="B40705" s="36"/>
      <c r="C40705" s="36"/>
      <c r="E40705" s="1"/>
      <c r="F40705" s="1"/>
      <c r="G40705" s="1"/>
    </row>
    <row r="40706">
      <c r="B40706" s="36"/>
      <c r="C40706" s="36"/>
      <c r="E40706" s="1"/>
      <c r="F40706" s="1"/>
      <c r="G40706" s="1"/>
    </row>
    <row r="40707">
      <c r="B40707" s="36"/>
      <c r="C40707" s="36"/>
      <c r="E40707" s="1"/>
      <c r="F40707" s="1"/>
      <c r="G40707" s="1"/>
    </row>
    <row r="40708">
      <c r="B40708" s="36"/>
      <c r="C40708" s="36"/>
      <c r="E40708" s="1"/>
      <c r="F40708" s="1"/>
      <c r="G40708" s="1"/>
    </row>
    <row r="40709">
      <c r="B40709" s="36"/>
      <c r="C40709" s="36"/>
      <c r="E40709" s="1"/>
      <c r="F40709" s="1"/>
      <c r="G40709" s="1"/>
    </row>
    <row r="40710">
      <c r="B40710" s="36"/>
      <c r="C40710" s="36"/>
      <c r="E40710" s="1"/>
      <c r="F40710" s="1"/>
      <c r="G40710" s="1"/>
    </row>
    <row r="40711">
      <c r="B40711" s="36"/>
      <c r="C40711" s="36"/>
      <c r="E40711" s="1"/>
      <c r="F40711" s="1"/>
      <c r="G40711" s="1"/>
    </row>
    <row r="40712">
      <c r="B40712" s="36"/>
      <c r="C40712" s="36"/>
      <c r="E40712" s="1"/>
      <c r="F40712" s="1"/>
      <c r="G40712" s="1"/>
    </row>
    <row r="40713">
      <c r="B40713" s="36"/>
      <c r="C40713" s="36"/>
      <c r="E40713" s="1"/>
      <c r="F40713" s="1"/>
      <c r="G40713" s="1"/>
    </row>
    <row r="40714">
      <c r="B40714" s="36"/>
      <c r="C40714" s="36"/>
      <c r="E40714" s="1"/>
      <c r="F40714" s="1"/>
      <c r="G40714" s="1"/>
    </row>
    <row r="40715">
      <c r="B40715" s="36"/>
      <c r="C40715" s="36"/>
      <c r="E40715" s="1"/>
      <c r="F40715" s="1"/>
      <c r="G40715" s="1"/>
    </row>
    <row r="40716">
      <c r="B40716" s="36"/>
      <c r="C40716" s="36"/>
      <c r="E40716" s="1"/>
      <c r="F40716" s="1"/>
      <c r="G40716" s="1"/>
    </row>
    <row r="40717">
      <c r="B40717" s="36"/>
      <c r="C40717" s="36"/>
      <c r="E40717" s="1"/>
      <c r="F40717" s="1"/>
      <c r="G40717" s="1"/>
    </row>
    <row r="40718">
      <c r="B40718" s="36"/>
      <c r="C40718" s="36"/>
      <c r="E40718" s="1"/>
      <c r="F40718" s="1"/>
      <c r="G40718" s="1"/>
    </row>
    <row r="40719">
      <c r="B40719" s="36"/>
      <c r="C40719" s="36"/>
      <c r="E40719" s="1"/>
      <c r="F40719" s="1"/>
      <c r="G40719" s="1"/>
    </row>
    <row r="40720">
      <c r="B40720" s="36"/>
      <c r="C40720" s="36"/>
      <c r="E40720" s="1"/>
      <c r="F40720" s="1"/>
      <c r="G40720" s="1"/>
    </row>
    <row r="40721">
      <c r="B40721" s="36"/>
      <c r="C40721" s="36"/>
      <c r="E40721" s="1"/>
      <c r="F40721" s="1"/>
      <c r="G40721" s="1"/>
    </row>
    <row r="40722">
      <c r="B40722" s="36"/>
      <c r="C40722" s="36"/>
      <c r="E40722" s="1"/>
      <c r="F40722" s="1"/>
      <c r="G40722" s="1"/>
    </row>
    <row r="40723">
      <c r="B40723" s="36"/>
      <c r="C40723" s="36"/>
      <c r="E40723" s="1"/>
      <c r="F40723" s="1"/>
      <c r="G40723" s="1"/>
    </row>
    <row r="40724">
      <c r="B40724" s="36"/>
      <c r="C40724" s="36"/>
      <c r="E40724" s="1"/>
      <c r="F40724" s="1"/>
      <c r="G40724" s="1"/>
    </row>
    <row r="40725">
      <c r="B40725" s="36"/>
      <c r="C40725" s="36"/>
      <c r="E40725" s="1"/>
      <c r="F40725" s="1"/>
      <c r="G40725" s="1"/>
    </row>
    <row r="40726">
      <c r="B40726" s="36"/>
      <c r="C40726" s="36"/>
      <c r="E40726" s="1"/>
      <c r="F40726" s="1"/>
      <c r="G40726" s="1"/>
    </row>
    <row r="40727">
      <c r="B40727" s="36"/>
      <c r="C40727" s="36"/>
      <c r="E40727" s="1"/>
      <c r="F40727" s="1"/>
      <c r="G40727" s="1"/>
    </row>
    <row r="40728">
      <c r="B40728" s="36"/>
      <c r="C40728" s="36"/>
      <c r="E40728" s="1"/>
      <c r="F40728" s="1"/>
      <c r="G40728" s="1"/>
    </row>
    <row r="40729">
      <c r="B40729" s="36"/>
      <c r="C40729" s="36"/>
      <c r="E40729" s="1"/>
      <c r="F40729" s="1"/>
      <c r="G40729" s="1"/>
    </row>
    <row r="40730">
      <c r="B40730" s="36"/>
      <c r="C40730" s="36"/>
      <c r="E40730" s="1"/>
      <c r="F40730" s="1"/>
      <c r="G40730" s="1"/>
    </row>
    <row r="40731">
      <c r="B40731" s="36"/>
      <c r="C40731" s="36"/>
      <c r="E40731" s="1"/>
      <c r="F40731" s="1"/>
      <c r="G40731" s="1"/>
    </row>
    <row r="40732">
      <c r="B40732" s="36"/>
      <c r="C40732" s="36"/>
      <c r="E40732" s="1"/>
      <c r="F40732" s="1"/>
      <c r="G40732" s="1"/>
    </row>
    <row r="40733">
      <c r="B40733" s="36"/>
      <c r="C40733" s="36"/>
      <c r="E40733" s="1"/>
      <c r="F40733" s="1"/>
      <c r="G40733" s="1"/>
    </row>
    <row r="40734">
      <c r="B40734" s="36"/>
      <c r="C40734" s="36"/>
      <c r="E40734" s="1"/>
      <c r="F40734" s="1"/>
      <c r="G40734" s="1"/>
    </row>
    <row r="40735">
      <c r="B40735" s="36"/>
      <c r="C40735" s="36"/>
      <c r="E40735" s="1"/>
      <c r="F40735" s="1"/>
      <c r="G40735" s="1"/>
    </row>
    <row r="40736">
      <c r="B40736" s="36"/>
      <c r="C40736" s="36"/>
      <c r="E40736" s="1"/>
      <c r="F40736" s="1"/>
      <c r="G40736" s="1"/>
    </row>
    <row r="40737">
      <c r="B40737" s="36"/>
      <c r="C40737" s="36"/>
      <c r="E40737" s="1"/>
      <c r="F40737" s="1"/>
      <c r="G40737" s="1"/>
    </row>
    <row r="40738">
      <c r="B40738" s="36"/>
      <c r="C40738" s="36"/>
      <c r="E40738" s="1"/>
      <c r="F40738" s="1"/>
      <c r="G40738" s="1"/>
    </row>
    <row r="40739">
      <c r="B40739" s="36"/>
      <c r="C40739" s="36"/>
      <c r="E40739" s="1"/>
      <c r="F40739" s="1"/>
      <c r="G40739" s="1"/>
    </row>
    <row r="40740">
      <c r="B40740" s="36"/>
      <c r="C40740" s="36"/>
      <c r="E40740" s="1"/>
      <c r="F40740" s="1"/>
      <c r="G40740" s="1"/>
    </row>
    <row r="40741">
      <c r="B40741" s="36"/>
      <c r="C40741" s="36"/>
      <c r="E40741" s="1"/>
      <c r="F40741" s="1"/>
      <c r="G40741" s="1"/>
    </row>
    <row r="40742">
      <c r="B40742" s="36"/>
      <c r="C40742" s="36"/>
      <c r="E40742" s="1"/>
      <c r="F40742" s="1"/>
      <c r="G40742" s="1"/>
    </row>
    <row r="40743">
      <c r="B40743" s="36"/>
      <c r="C40743" s="36"/>
      <c r="E40743" s="1"/>
      <c r="F40743" s="1"/>
      <c r="G40743" s="1"/>
    </row>
    <row r="40744">
      <c r="B40744" s="36"/>
      <c r="C40744" s="36"/>
      <c r="E40744" s="1"/>
      <c r="F40744" s="1"/>
      <c r="G40744" s="1"/>
    </row>
    <row r="40745">
      <c r="B40745" s="36"/>
      <c r="C40745" s="36"/>
      <c r="E40745" s="1"/>
      <c r="F40745" s="1"/>
      <c r="G40745" s="1"/>
    </row>
    <row r="40746">
      <c r="B40746" s="36"/>
      <c r="C40746" s="36"/>
      <c r="E40746" s="1"/>
      <c r="F40746" s="1"/>
      <c r="G40746" s="1"/>
    </row>
    <row r="40747">
      <c r="B40747" s="36"/>
      <c r="C40747" s="36"/>
      <c r="E40747" s="1"/>
      <c r="F40747" s="1"/>
      <c r="G40747" s="1"/>
    </row>
    <row r="40748">
      <c r="B40748" s="36"/>
      <c r="C40748" s="36"/>
      <c r="E40748" s="1"/>
      <c r="F40748" s="1"/>
      <c r="G40748" s="1"/>
    </row>
    <row r="40749">
      <c r="B40749" s="36"/>
      <c r="C40749" s="36"/>
      <c r="E40749" s="1"/>
      <c r="F40749" s="1"/>
      <c r="G40749" s="1"/>
    </row>
    <row r="40750">
      <c r="B40750" s="36"/>
      <c r="C40750" s="36"/>
      <c r="E40750" s="1"/>
      <c r="F40750" s="1"/>
      <c r="G40750" s="1"/>
    </row>
    <row r="40751">
      <c r="B40751" s="36"/>
      <c r="C40751" s="36"/>
      <c r="E40751" s="1"/>
      <c r="F40751" s="1"/>
      <c r="G40751" s="1"/>
    </row>
    <row r="40752">
      <c r="B40752" s="36"/>
      <c r="C40752" s="36"/>
      <c r="E40752" s="1"/>
      <c r="F40752" s="1"/>
      <c r="G40752" s="1"/>
    </row>
    <row r="40753">
      <c r="B40753" s="36"/>
      <c r="C40753" s="36"/>
      <c r="E40753" s="1"/>
      <c r="F40753" s="1"/>
      <c r="G40753" s="1"/>
    </row>
    <row r="40754">
      <c r="B40754" s="36"/>
      <c r="C40754" s="36"/>
      <c r="E40754" s="1"/>
      <c r="F40754" s="1"/>
      <c r="G40754" s="1"/>
    </row>
    <row r="40755">
      <c r="B40755" s="36"/>
      <c r="C40755" s="36"/>
      <c r="E40755" s="1"/>
      <c r="F40755" s="1"/>
      <c r="G40755" s="1"/>
    </row>
    <row r="40756">
      <c r="B40756" s="36"/>
      <c r="C40756" s="36"/>
      <c r="E40756" s="1"/>
      <c r="F40756" s="1"/>
      <c r="G40756" s="1"/>
    </row>
    <row r="40757">
      <c r="B40757" s="36"/>
      <c r="C40757" s="36"/>
      <c r="E40757" s="1"/>
      <c r="F40757" s="1"/>
      <c r="G40757" s="1"/>
    </row>
    <row r="40758">
      <c r="B40758" s="36"/>
      <c r="C40758" s="36"/>
      <c r="E40758" s="1"/>
      <c r="F40758" s="1"/>
      <c r="G40758" s="1"/>
    </row>
    <row r="40759">
      <c r="B40759" s="36"/>
      <c r="C40759" s="36"/>
      <c r="E40759" s="1"/>
      <c r="F40759" s="1"/>
      <c r="G40759" s="1"/>
    </row>
    <row r="40760">
      <c r="B40760" s="36"/>
      <c r="C40760" s="36"/>
      <c r="E40760" s="1"/>
      <c r="F40760" s="1"/>
      <c r="G40760" s="1"/>
    </row>
    <row r="40761">
      <c r="B40761" s="36"/>
      <c r="C40761" s="36"/>
      <c r="E40761" s="1"/>
      <c r="F40761" s="1"/>
      <c r="G40761" s="1"/>
    </row>
    <row r="40762">
      <c r="B40762" s="36"/>
      <c r="C40762" s="36"/>
      <c r="E40762" s="1"/>
      <c r="F40762" s="1"/>
      <c r="G40762" s="1"/>
    </row>
    <row r="40763">
      <c r="B40763" s="36"/>
      <c r="C40763" s="36"/>
      <c r="E40763" s="1"/>
      <c r="F40763" s="1"/>
      <c r="G40763" s="1"/>
    </row>
    <row r="40764">
      <c r="B40764" s="36"/>
      <c r="C40764" s="36"/>
      <c r="E40764" s="1"/>
      <c r="F40764" s="1"/>
      <c r="G40764" s="1"/>
    </row>
    <row r="40765">
      <c r="B40765" s="36"/>
      <c r="C40765" s="36"/>
      <c r="E40765" s="1"/>
      <c r="F40765" s="1"/>
      <c r="G40765" s="1"/>
    </row>
    <row r="40766">
      <c r="B40766" s="36"/>
      <c r="C40766" s="36"/>
      <c r="E40766" s="1"/>
      <c r="F40766" s="1"/>
      <c r="G40766" s="1"/>
    </row>
    <row r="40767">
      <c r="B40767" s="36"/>
      <c r="C40767" s="36"/>
      <c r="E40767" s="1"/>
      <c r="F40767" s="1"/>
      <c r="G40767" s="1"/>
    </row>
    <row r="40768">
      <c r="B40768" s="36"/>
      <c r="C40768" s="36"/>
      <c r="E40768" s="1"/>
      <c r="F40768" s="1"/>
      <c r="G40768" s="1"/>
    </row>
    <row r="40769">
      <c r="B40769" s="36"/>
      <c r="C40769" s="36"/>
      <c r="E40769" s="1"/>
      <c r="F40769" s="1"/>
      <c r="G40769" s="1"/>
    </row>
    <row r="40770">
      <c r="B40770" s="36"/>
      <c r="C40770" s="36"/>
      <c r="E40770" s="1"/>
      <c r="F40770" s="1"/>
      <c r="G40770" s="1"/>
    </row>
    <row r="40771">
      <c r="B40771" s="36"/>
      <c r="C40771" s="36"/>
      <c r="E40771" s="1"/>
      <c r="F40771" s="1"/>
      <c r="G40771" s="1"/>
    </row>
    <row r="40772">
      <c r="B40772" s="36"/>
      <c r="C40772" s="36"/>
      <c r="E40772" s="1"/>
      <c r="F40772" s="1"/>
      <c r="G40772" s="1"/>
    </row>
    <row r="40773">
      <c r="B40773" s="36"/>
      <c r="C40773" s="36"/>
      <c r="E40773" s="1"/>
      <c r="F40773" s="1"/>
      <c r="G40773" s="1"/>
    </row>
    <row r="40774">
      <c r="B40774" s="36"/>
      <c r="C40774" s="36"/>
      <c r="E40774" s="1"/>
      <c r="F40774" s="1"/>
      <c r="G40774" s="1"/>
    </row>
    <row r="40775">
      <c r="B40775" s="36"/>
      <c r="C40775" s="36"/>
      <c r="E40775" s="1"/>
      <c r="F40775" s="1"/>
      <c r="G40775" s="1"/>
    </row>
    <row r="40776">
      <c r="B40776" s="36"/>
      <c r="C40776" s="36"/>
      <c r="E40776" s="1"/>
      <c r="F40776" s="1"/>
      <c r="G40776" s="1"/>
    </row>
    <row r="40777">
      <c r="B40777" s="36"/>
      <c r="C40777" s="36"/>
      <c r="E40777" s="1"/>
      <c r="F40777" s="1"/>
      <c r="G40777" s="1"/>
    </row>
    <row r="40778">
      <c r="B40778" s="36"/>
      <c r="C40778" s="36"/>
      <c r="E40778" s="1"/>
      <c r="F40778" s="1"/>
      <c r="G40778" s="1"/>
    </row>
    <row r="40779">
      <c r="B40779" s="36"/>
      <c r="C40779" s="36"/>
      <c r="E40779" s="1"/>
      <c r="F40779" s="1"/>
      <c r="G40779" s="1"/>
    </row>
    <row r="40780">
      <c r="B40780" s="36"/>
      <c r="C40780" s="36"/>
      <c r="E40780" s="1"/>
      <c r="F40780" s="1"/>
      <c r="G40780" s="1"/>
    </row>
    <row r="40781">
      <c r="B40781" s="36"/>
      <c r="C40781" s="36"/>
      <c r="E40781" s="1"/>
      <c r="F40781" s="1"/>
      <c r="G40781" s="1"/>
    </row>
    <row r="40782">
      <c r="B40782" s="36"/>
      <c r="C40782" s="36"/>
      <c r="E40782" s="1"/>
      <c r="F40782" s="1"/>
      <c r="G40782" s="1"/>
    </row>
    <row r="40783">
      <c r="B40783" s="36"/>
      <c r="C40783" s="36"/>
      <c r="E40783" s="1"/>
      <c r="F40783" s="1"/>
      <c r="G40783" s="1"/>
    </row>
    <row r="40784">
      <c r="B40784" s="36"/>
      <c r="C40784" s="36"/>
      <c r="E40784" s="1"/>
      <c r="F40784" s="1"/>
      <c r="G40784" s="1"/>
    </row>
    <row r="40785">
      <c r="B40785" s="36"/>
      <c r="C40785" s="36"/>
      <c r="E40785" s="1"/>
      <c r="F40785" s="1"/>
      <c r="G40785" s="1"/>
    </row>
    <row r="40786">
      <c r="B40786" s="36"/>
      <c r="C40786" s="36"/>
      <c r="E40786" s="1"/>
      <c r="F40786" s="1"/>
      <c r="G40786" s="1"/>
    </row>
    <row r="40787">
      <c r="B40787" s="36"/>
      <c r="C40787" s="36"/>
      <c r="E40787" s="1"/>
      <c r="F40787" s="1"/>
      <c r="G40787" s="1"/>
    </row>
    <row r="40788">
      <c r="B40788" s="36"/>
      <c r="C40788" s="36"/>
      <c r="E40788" s="1"/>
      <c r="F40788" s="1"/>
      <c r="G40788" s="1"/>
    </row>
    <row r="40789">
      <c r="B40789" s="36"/>
      <c r="C40789" s="36"/>
      <c r="E40789" s="1"/>
      <c r="F40789" s="1"/>
      <c r="G40789" s="1"/>
    </row>
    <row r="40790">
      <c r="B40790" s="36"/>
      <c r="C40790" s="36"/>
      <c r="E40790" s="1"/>
      <c r="F40790" s="1"/>
      <c r="G40790" s="1"/>
    </row>
    <row r="40791">
      <c r="B40791" s="36"/>
      <c r="C40791" s="36"/>
      <c r="E40791" s="1"/>
      <c r="F40791" s="1"/>
      <c r="G40791" s="1"/>
    </row>
    <row r="40792">
      <c r="B40792" s="36"/>
      <c r="C40792" s="36"/>
      <c r="E40792" s="1"/>
      <c r="F40792" s="1"/>
      <c r="G40792" s="1"/>
    </row>
    <row r="40793">
      <c r="B40793" s="36"/>
      <c r="C40793" s="36"/>
      <c r="E40793" s="1"/>
      <c r="F40793" s="1"/>
      <c r="G40793" s="1"/>
    </row>
    <row r="40794">
      <c r="B40794" s="36"/>
      <c r="C40794" s="36"/>
      <c r="E40794" s="1"/>
      <c r="F40794" s="1"/>
      <c r="G40794" s="1"/>
    </row>
    <row r="40795">
      <c r="B40795" s="36"/>
      <c r="C40795" s="36"/>
      <c r="E40795" s="1"/>
      <c r="F40795" s="1"/>
      <c r="G40795" s="1"/>
    </row>
    <row r="40796">
      <c r="B40796" s="36"/>
      <c r="C40796" s="36"/>
      <c r="E40796" s="1"/>
      <c r="F40796" s="1"/>
      <c r="G40796" s="1"/>
    </row>
    <row r="40797">
      <c r="B40797" s="36"/>
      <c r="C40797" s="36"/>
      <c r="E40797" s="1"/>
      <c r="F40797" s="1"/>
      <c r="G40797" s="1"/>
    </row>
    <row r="40798">
      <c r="B40798" s="36"/>
      <c r="C40798" s="36"/>
      <c r="E40798" s="1"/>
      <c r="F40798" s="1"/>
      <c r="G40798" s="1"/>
    </row>
    <row r="40799">
      <c r="B40799" s="36"/>
      <c r="C40799" s="36"/>
      <c r="E40799" s="1"/>
      <c r="F40799" s="1"/>
      <c r="G40799" s="1"/>
    </row>
    <row r="40800">
      <c r="B40800" s="36"/>
      <c r="C40800" s="36"/>
      <c r="E40800" s="1"/>
      <c r="F40800" s="1"/>
      <c r="G40800" s="1"/>
    </row>
    <row r="40801">
      <c r="B40801" s="36"/>
      <c r="C40801" s="36"/>
      <c r="E40801" s="1"/>
      <c r="F40801" s="1"/>
      <c r="G40801" s="1"/>
    </row>
    <row r="40802">
      <c r="B40802" s="36"/>
      <c r="C40802" s="36"/>
      <c r="E40802" s="1"/>
      <c r="F40802" s="1"/>
      <c r="G40802" s="1"/>
    </row>
    <row r="40803">
      <c r="B40803" s="36"/>
      <c r="C40803" s="36"/>
      <c r="E40803" s="1"/>
      <c r="F40803" s="1"/>
      <c r="G40803" s="1"/>
    </row>
    <row r="40804">
      <c r="B40804" s="36"/>
      <c r="C40804" s="36"/>
      <c r="E40804" s="1"/>
      <c r="F40804" s="1"/>
      <c r="G40804" s="1"/>
    </row>
    <row r="40805">
      <c r="B40805" s="36"/>
      <c r="C40805" s="36"/>
      <c r="E40805" s="1"/>
      <c r="F40805" s="1"/>
      <c r="G40805" s="1"/>
    </row>
    <row r="40806">
      <c r="B40806" s="36"/>
      <c r="C40806" s="36"/>
      <c r="E40806" s="1"/>
      <c r="F40806" s="1"/>
      <c r="G40806" s="1"/>
    </row>
    <row r="40807">
      <c r="B40807" s="36"/>
      <c r="C40807" s="36"/>
      <c r="E40807" s="1"/>
      <c r="F40807" s="1"/>
      <c r="G40807" s="1"/>
    </row>
    <row r="40808">
      <c r="B40808" s="36"/>
      <c r="C40808" s="36"/>
      <c r="E40808" s="1"/>
      <c r="F40808" s="1"/>
      <c r="G40808" s="1"/>
    </row>
    <row r="40809">
      <c r="B40809" s="36"/>
      <c r="C40809" s="36"/>
      <c r="E40809" s="1"/>
      <c r="F40809" s="1"/>
      <c r="G40809" s="1"/>
    </row>
    <row r="40810">
      <c r="B40810" s="36"/>
      <c r="C40810" s="36"/>
      <c r="E40810" s="1"/>
      <c r="F40810" s="1"/>
      <c r="G40810" s="1"/>
    </row>
    <row r="40811">
      <c r="B40811" s="36"/>
      <c r="C40811" s="36"/>
      <c r="E40811" s="1"/>
      <c r="F40811" s="1"/>
      <c r="G40811" s="1"/>
    </row>
    <row r="40812">
      <c r="B40812" s="36"/>
      <c r="C40812" s="36"/>
      <c r="E40812" s="1"/>
      <c r="F40812" s="1"/>
      <c r="G40812" s="1"/>
    </row>
    <row r="40813">
      <c r="B40813" s="36"/>
      <c r="C40813" s="36"/>
      <c r="E40813" s="1"/>
      <c r="F40813" s="1"/>
      <c r="G40813" s="1"/>
    </row>
    <row r="40814">
      <c r="B40814" s="36"/>
      <c r="C40814" s="36"/>
      <c r="E40814" s="1"/>
      <c r="F40814" s="1"/>
      <c r="G40814" s="1"/>
    </row>
    <row r="40815">
      <c r="B40815" s="36"/>
      <c r="C40815" s="36"/>
      <c r="E40815" s="1"/>
      <c r="F40815" s="1"/>
      <c r="G40815" s="1"/>
    </row>
    <row r="40816">
      <c r="B40816" s="36"/>
      <c r="C40816" s="36"/>
      <c r="E40816" s="1"/>
      <c r="F40816" s="1"/>
      <c r="G40816" s="1"/>
    </row>
    <row r="40817">
      <c r="B40817" s="36"/>
      <c r="C40817" s="36"/>
      <c r="E40817" s="1"/>
      <c r="F40817" s="1"/>
      <c r="G40817" s="1"/>
    </row>
    <row r="40818">
      <c r="B40818" s="36"/>
      <c r="C40818" s="36"/>
      <c r="E40818" s="1"/>
      <c r="F40818" s="1"/>
      <c r="G40818" s="1"/>
    </row>
    <row r="40819">
      <c r="B40819" s="36"/>
      <c r="C40819" s="36"/>
      <c r="E40819" s="1"/>
      <c r="F40819" s="1"/>
      <c r="G40819" s="1"/>
    </row>
    <row r="40820">
      <c r="B40820" s="36"/>
      <c r="C40820" s="36"/>
      <c r="E40820" s="1"/>
      <c r="F40820" s="1"/>
      <c r="G40820" s="1"/>
    </row>
    <row r="40821">
      <c r="B40821" s="36"/>
      <c r="C40821" s="36"/>
      <c r="E40821" s="1"/>
      <c r="F40821" s="1"/>
      <c r="G40821" s="1"/>
    </row>
    <row r="40822">
      <c r="B40822" s="36"/>
      <c r="C40822" s="36"/>
      <c r="E40822" s="1"/>
      <c r="F40822" s="1"/>
      <c r="G40822" s="1"/>
    </row>
    <row r="40823">
      <c r="B40823" s="36"/>
      <c r="C40823" s="36"/>
      <c r="E40823" s="1"/>
      <c r="F40823" s="1"/>
      <c r="G40823" s="1"/>
    </row>
    <row r="40824">
      <c r="B40824" s="36"/>
      <c r="C40824" s="36"/>
      <c r="E40824" s="1"/>
      <c r="F40824" s="1"/>
      <c r="G40824" s="1"/>
    </row>
    <row r="40825">
      <c r="B40825" s="36"/>
      <c r="C40825" s="36"/>
      <c r="E40825" s="1"/>
      <c r="F40825" s="1"/>
      <c r="G40825" s="1"/>
    </row>
    <row r="40826">
      <c r="B40826" s="36"/>
      <c r="C40826" s="36"/>
      <c r="E40826" s="1"/>
      <c r="F40826" s="1"/>
      <c r="G40826" s="1"/>
    </row>
    <row r="40827">
      <c r="B40827" s="36"/>
      <c r="C40827" s="36"/>
      <c r="E40827" s="1"/>
      <c r="F40827" s="1"/>
      <c r="G40827" s="1"/>
    </row>
    <row r="40828">
      <c r="B40828" s="36"/>
      <c r="C40828" s="36"/>
      <c r="E40828" s="1"/>
      <c r="F40828" s="1"/>
      <c r="G40828" s="1"/>
    </row>
    <row r="40829">
      <c r="B40829" s="36"/>
      <c r="C40829" s="36"/>
      <c r="E40829" s="1"/>
      <c r="F40829" s="1"/>
      <c r="G40829" s="1"/>
    </row>
    <row r="40830">
      <c r="B40830" s="36"/>
      <c r="C40830" s="36"/>
      <c r="E40830" s="1"/>
      <c r="F40830" s="1"/>
      <c r="G40830" s="1"/>
    </row>
    <row r="40831">
      <c r="B40831" s="36"/>
      <c r="C40831" s="36"/>
      <c r="E40831" s="1"/>
      <c r="F40831" s="1"/>
      <c r="G40831" s="1"/>
    </row>
    <row r="40832">
      <c r="B40832" s="36"/>
      <c r="C40832" s="36"/>
      <c r="E40832" s="1"/>
      <c r="F40832" s="1"/>
      <c r="G40832" s="1"/>
    </row>
    <row r="40833">
      <c r="B40833" s="36"/>
      <c r="C40833" s="36"/>
      <c r="E40833" s="1"/>
      <c r="F40833" s="1"/>
      <c r="G40833" s="1"/>
    </row>
    <row r="40834">
      <c r="B40834" s="36"/>
      <c r="C40834" s="36"/>
      <c r="E40834" s="1"/>
      <c r="F40834" s="1"/>
      <c r="G40834" s="1"/>
    </row>
    <row r="40835">
      <c r="B40835" s="36"/>
      <c r="C40835" s="36"/>
      <c r="E40835" s="1"/>
      <c r="F40835" s="1"/>
      <c r="G40835" s="1"/>
    </row>
    <row r="40836">
      <c r="B40836" s="36"/>
      <c r="C40836" s="36"/>
      <c r="E40836" s="1"/>
      <c r="F40836" s="1"/>
      <c r="G40836" s="1"/>
    </row>
    <row r="40837">
      <c r="B40837" s="36"/>
      <c r="C40837" s="36"/>
      <c r="E40837" s="1"/>
      <c r="F40837" s="1"/>
      <c r="G40837" s="1"/>
    </row>
    <row r="40838">
      <c r="B40838" s="36"/>
      <c r="C40838" s="36"/>
      <c r="E40838" s="1"/>
      <c r="F40838" s="1"/>
      <c r="G40838" s="1"/>
    </row>
    <row r="40839">
      <c r="B40839" s="36"/>
      <c r="C40839" s="36"/>
      <c r="E40839" s="1"/>
      <c r="F40839" s="1"/>
      <c r="G40839" s="1"/>
    </row>
    <row r="40840">
      <c r="B40840" s="36"/>
      <c r="C40840" s="36"/>
      <c r="E40840" s="1"/>
      <c r="F40840" s="1"/>
      <c r="G40840" s="1"/>
    </row>
    <row r="40841">
      <c r="B40841" s="36"/>
      <c r="C40841" s="36"/>
      <c r="E40841" s="1"/>
      <c r="F40841" s="1"/>
      <c r="G40841" s="1"/>
    </row>
    <row r="40842">
      <c r="B40842" s="36"/>
      <c r="C40842" s="36"/>
      <c r="E40842" s="1"/>
      <c r="F40842" s="1"/>
      <c r="G40842" s="1"/>
    </row>
    <row r="40843">
      <c r="B40843" s="36"/>
      <c r="C40843" s="36"/>
      <c r="E40843" s="1"/>
      <c r="F40843" s="1"/>
      <c r="G40843" s="1"/>
    </row>
    <row r="40844">
      <c r="B40844" s="36"/>
      <c r="C40844" s="36"/>
      <c r="E40844" s="1"/>
      <c r="F40844" s="1"/>
      <c r="G40844" s="1"/>
    </row>
    <row r="40845">
      <c r="B40845" s="36"/>
      <c r="C40845" s="36"/>
      <c r="E40845" s="1"/>
      <c r="F40845" s="1"/>
      <c r="G40845" s="1"/>
    </row>
    <row r="40846">
      <c r="B40846" s="36"/>
      <c r="C40846" s="36"/>
      <c r="E40846" s="1"/>
      <c r="F40846" s="1"/>
      <c r="G40846" s="1"/>
    </row>
    <row r="40847">
      <c r="B40847" s="36"/>
      <c r="C40847" s="36"/>
      <c r="E40847" s="1"/>
      <c r="F40847" s="1"/>
      <c r="G40847" s="1"/>
    </row>
    <row r="40848">
      <c r="B40848" s="36"/>
      <c r="C40848" s="36"/>
      <c r="E40848" s="1"/>
      <c r="F40848" s="1"/>
      <c r="G40848" s="1"/>
    </row>
    <row r="40849">
      <c r="B40849" s="36"/>
      <c r="C40849" s="36"/>
      <c r="E40849" s="1"/>
      <c r="F40849" s="1"/>
      <c r="G40849" s="1"/>
    </row>
    <row r="40850">
      <c r="B40850" s="36"/>
      <c r="C40850" s="36"/>
      <c r="E40850" s="1"/>
      <c r="F40850" s="1"/>
      <c r="G40850" s="1"/>
    </row>
    <row r="40851">
      <c r="B40851" s="36"/>
      <c r="C40851" s="36"/>
      <c r="E40851" s="1"/>
      <c r="F40851" s="1"/>
      <c r="G40851" s="1"/>
    </row>
    <row r="40852">
      <c r="B40852" s="36"/>
      <c r="C40852" s="36"/>
      <c r="E40852" s="1"/>
      <c r="F40852" s="1"/>
      <c r="G40852" s="1"/>
    </row>
    <row r="40853">
      <c r="B40853" s="36"/>
      <c r="C40853" s="36"/>
      <c r="E40853" s="1"/>
      <c r="F40853" s="1"/>
      <c r="G40853" s="1"/>
    </row>
    <row r="40854">
      <c r="B40854" s="36"/>
      <c r="C40854" s="36"/>
      <c r="E40854" s="1"/>
      <c r="F40854" s="1"/>
      <c r="G40854" s="1"/>
    </row>
    <row r="40855">
      <c r="B40855" s="36"/>
      <c r="C40855" s="36"/>
      <c r="E40855" s="1"/>
      <c r="F40855" s="1"/>
      <c r="G40855" s="1"/>
    </row>
    <row r="40856">
      <c r="B40856" s="36"/>
      <c r="C40856" s="36"/>
      <c r="E40856" s="1"/>
      <c r="F40856" s="1"/>
      <c r="G40856" s="1"/>
    </row>
    <row r="40857">
      <c r="B40857" s="36"/>
      <c r="C40857" s="36"/>
      <c r="E40857" s="1"/>
      <c r="F40857" s="1"/>
      <c r="G40857" s="1"/>
    </row>
    <row r="40858">
      <c r="B40858" s="36"/>
      <c r="C40858" s="36"/>
      <c r="E40858" s="1"/>
      <c r="F40858" s="1"/>
      <c r="G40858" s="1"/>
    </row>
    <row r="40859">
      <c r="B40859" s="36"/>
      <c r="C40859" s="36"/>
      <c r="E40859" s="1"/>
      <c r="F40859" s="1"/>
      <c r="G40859" s="1"/>
    </row>
    <row r="40860">
      <c r="B40860" s="36"/>
      <c r="C40860" s="36"/>
      <c r="E40860" s="1"/>
      <c r="F40860" s="1"/>
      <c r="G40860" s="1"/>
    </row>
    <row r="40861">
      <c r="B40861" s="36"/>
      <c r="C40861" s="36"/>
      <c r="E40861" s="1"/>
      <c r="F40861" s="1"/>
      <c r="G40861" s="1"/>
    </row>
    <row r="40862">
      <c r="B40862" s="36"/>
      <c r="C40862" s="36"/>
      <c r="E40862" s="1"/>
      <c r="F40862" s="1"/>
      <c r="G40862" s="1"/>
    </row>
    <row r="40863">
      <c r="B40863" s="36"/>
      <c r="C40863" s="36"/>
      <c r="E40863" s="1"/>
      <c r="F40863" s="1"/>
      <c r="G40863" s="1"/>
    </row>
    <row r="40864">
      <c r="B40864" s="36"/>
      <c r="C40864" s="36"/>
      <c r="E40864" s="1"/>
      <c r="F40864" s="1"/>
      <c r="G40864" s="1"/>
    </row>
    <row r="40865">
      <c r="B40865" s="36"/>
      <c r="C40865" s="36"/>
      <c r="E40865" s="1"/>
      <c r="F40865" s="1"/>
      <c r="G40865" s="1"/>
    </row>
    <row r="40866">
      <c r="B40866" s="36"/>
      <c r="C40866" s="36"/>
      <c r="E40866" s="1"/>
      <c r="F40866" s="1"/>
      <c r="G40866" s="1"/>
    </row>
    <row r="40867">
      <c r="B40867" s="36"/>
      <c r="C40867" s="36"/>
      <c r="E40867" s="1"/>
      <c r="F40867" s="1"/>
      <c r="G40867" s="1"/>
    </row>
    <row r="40868">
      <c r="B40868" s="36"/>
      <c r="C40868" s="36"/>
      <c r="E40868" s="1"/>
      <c r="F40868" s="1"/>
      <c r="G40868" s="1"/>
    </row>
    <row r="40869">
      <c r="B40869" s="36"/>
      <c r="C40869" s="36"/>
      <c r="E40869" s="1"/>
      <c r="F40869" s="1"/>
      <c r="G40869" s="1"/>
    </row>
    <row r="40870">
      <c r="B40870" s="36"/>
      <c r="C40870" s="36"/>
      <c r="E40870" s="1"/>
      <c r="F40870" s="1"/>
      <c r="G40870" s="1"/>
    </row>
    <row r="40871">
      <c r="B40871" s="36"/>
      <c r="C40871" s="36"/>
      <c r="E40871" s="1"/>
      <c r="F40871" s="1"/>
      <c r="G40871" s="1"/>
    </row>
    <row r="40872">
      <c r="B40872" s="36"/>
      <c r="C40872" s="36"/>
      <c r="E40872" s="1"/>
      <c r="F40872" s="1"/>
      <c r="G40872" s="1"/>
    </row>
    <row r="40873">
      <c r="B40873" s="36"/>
      <c r="C40873" s="36"/>
      <c r="E40873" s="1"/>
      <c r="F40873" s="1"/>
      <c r="G40873" s="1"/>
    </row>
    <row r="40874">
      <c r="B40874" s="36"/>
      <c r="C40874" s="36"/>
      <c r="E40874" s="1"/>
      <c r="F40874" s="1"/>
      <c r="G40874" s="1"/>
    </row>
    <row r="40875">
      <c r="B40875" s="36"/>
      <c r="C40875" s="36"/>
      <c r="E40875" s="1"/>
      <c r="F40875" s="1"/>
      <c r="G40875" s="1"/>
    </row>
    <row r="40876">
      <c r="B40876" s="36"/>
      <c r="C40876" s="36"/>
      <c r="E40876" s="1"/>
      <c r="F40876" s="1"/>
      <c r="G40876" s="1"/>
    </row>
    <row r="40877">
      <c r="B40877" s="36"/>
      <c r="C40877" s="36"/>
      <c r="E40877" s="1"/>
      <c r="F40877" s="1"/>
      <c r="G40877" s="1"/>
    </row>
    <row r="40878">
      <c r="B40878" s="36"/>
      <c r="C40878" s="36"/>
      <c r="E40878" s="1"/>
      <c r="F40878" s="1"/>
      <c r="G40878" s="1"/>
    </row>
    <row r="40879">
      <c r="B40879" s="36"/>
      <c r="C40879" s="36"/>
      <c r="E40879" s="1"/>
      <c r="F40879" s="1"/>
      <c r="G40879" s="1"/>
    </row>
    <row r="40880">
      <c r="B40880" s="36"/>
      <c r="C40880" s="36"/>
      <c r="E40880" s="1"/>
      <c r="F40880" s="1"/>
      <c r="G40880" s="1"/>
    </row>
    <row r="40881">
      <c r="B40881" s="36"/>
      <c r="C40881" s="36"/>
      <c r="E40881" s="1"/>
      <c r="F40881" s="1"/>
      <c r="G40881" s="1"/>
    </row>
    <row r="40882">
      <c r="B40882" s="36"/>
      <c r="C40882" s="36"/>
      <c r="E40882" s="1"/>
      <c r="F40882" s="1"/>
      <c r="G40882" s="1"/>
    </row>
    <row r="40883">
      <c r="B40883" s="36"/>
      <c r="C40883" s="36"/>
      <c r="E40883" s="1"/>
      <c r="F40883" s="1"/>
      <c r="G40883" s="1"/>
    </row>
    <row r="40884">
      <c r="B40884" s="36"/>
      <c r="C40884" s="36"/>
      <c r="E40884" s="1"/>
      <c r="F40884" s="1"/>
      <c r="G40884" s="1"/>
    </row>
    <row r="40885">
      <c r="B40885" s="36"/>
      <c r="C40885" s="36"/>
      <c r="E40885" s="1"/>
      <c r="F40885" s="1"/>
      <c r="G40885" s="1"/>
    </row>
    <row r="40886">
      <c r="B40886" s="36"/>
      <c r="C40886" s="36"/>
      <c r="E40886" s="1"/>
      <c r="F40886" s="1"/>
      <c r="G40886" s="1"/>
    </row>
    <row r="40887">
      <c r="B40887" s="36"/>
      <c r="C40887" s="36"/>
      <c r="E40887" s="1"/>
      <c r="F40887" s="1"/>
      <c r="G40887" s="1"/>
    </row>
    <row r="40888">
      <c r="B40888" s="36"/>
      <c r="C40888" s="36"/>
      <c r="E40888" s="1"/>
      <c r="F40888" s="1"/>
      <c r="G40888" s="1"/>
    </row>
    <row r="40889">
      <c r="B40889" s="36"/>
      <c r="C40889" s="36"/>
      <c r="E40889" s="1"/>
      <c r="F40889" s="1"/>
      <c r="G40889" s="1"/>
    </row>
    <row r="40890">
      <c r="B40890" s="36"/>
      <c r="C40890" s="36"/>
      <c r="E40890" s="1"/>
      <c r="F40890" s="1"/>
      <c r="G40890" s="1"/>
    </row>
    <row r="40891">
      <c r="B40891" s="36"/>
      <c r="C40891" s="36"/>
      <c r="E40891" s="1"/>
      <c r="F40891" s="1"/>
      <c r="G40891" s="1"/>
    </row>
    <row r="40892">
      <c r="B40892" s="36"/>
      <c r="C40892" s="36"/>
      <c r="E40892" s="1"/>
      <c r="F40892" s="1"/>
      <c r="G40892" s="1"/>
    </row>
    <row r="40893">
      <c r="B40893" s="36"/>
      <c r="C40893" s="36"/>
      <c r="E40893" s="1"/>
      <c r="F40893" s="1"/>
      <c r="G40893" s="1"/>
    </row>
    <row r="40894">
      <c r="B40894" s="36"/>
      <c r="C40894" s="36"/>
      <c r="E40894" s="1"/>
      <c r="F40894" s="1"/>
      <c r="G40894" s="1"/>
    </row>
    <row r="40895">
      <c r="B40895" s="36"/>
      <c r="C40895" s="36"/>
      <c r="E40895" s="1"/>
      <c r="F40895" s="1"/>
      <c r="G40895" s="1"/>
    </row>
    <row r="40896">
      <c r="B40896" s="36"/>
      <c r="C40896" s="36"/>
      <c r="E40896" s="1"/>
      <c r="F40896" s="1"/>
      <c r="G40896" s="1"/>
    </row>
    <row r="40897">
      <c r="B40897" s="36"/>
      <c r="C40897" s="36"/>
      <c r="E40897" s="1"/>
      <c r="F40897" s="1"/>
      <c r="G40897" s="1"/>
    </row>
    <row r="40898">
      <c r="B40898" s="36"/>
      <c r="C40898" s="36"/>
      <c r="E40898" s="1"/>
      <c r="F40898" s="1"/>
      <c r="G40898" s="1"/>
    </row>
    <row r="40899">
      <c r="B40899" s="36"/>
      <c r="C40899" s="36"/>
      <c r="E40899" s="1"/>
      <c r="F40899" s="1"/>
      <c r="G40899" s="1"/>
    </row>
    <row r="40900">
      <c r="B40900" s="36"/>
      <c r="C40900" s="36"/>
      <c r="E40900" s="1"/>
      <c r="F40900" s="1"/>
      <c r="G40900" s="1"/>
    </row>
    <row r="40901">
      <c r="B40901" s="36"/>
      <c r="C40901" s="36"/>
      <c r="E40901" s="1"/>
      <c r="F40901" s="1"/>
      <c r="G40901" s="1"/>
    </row>
    <row r="40902">
      <c r="B40902" s="36"/>
      <c r="C40902" s="36"/>
      <c r="E40902" s="1"/>
      <c r="F40902" s="1"/>
      <c r="G40902" s="1"/>
    </row>
    <row r="40903">
      <c r="B40903" s="36"/>
      <c r="C40903" s="36"/>
      <c r="E40903" s="1"/>
      <c r="F40903" s="1"/>
      <c r="G40903" s="1"/>
    </row>
    <row r="40904">
      <c r="B40904" s="36"/>
      <c r="C40904" s="36"/>
      <c r="E40904" s="1"/>
      <c r="F40904" s="1"/>
      <c r="G40904" s="1"/>
    </row>
    <row r="40905">
      <c r="B40905" s="36"/>
      <c r="C40905" s="36"/>
      <c r="E40905" s="1"/>
      <c r="F40905" s="1"/>
      <c r="G40905" s="1"/>
    </row>
    <row r="40906">
      <c r="B40906" s="36"/>
      <c r="C40906" s="36"/>
      <c r="E40906" s="1"/>
      <c r="F40906" s="1"/>
      <c r="G40906" s="1"/>
    </row>
    <row r="40907">
      <c r="B40907" s="36"/>
      <c r="C40907" s="36"/>
      <c r="E40907" s="1"/>
      <c r="F40907" s="1"/>
      <c r="G40907" s="1"/>
    </row>
    <row r="40908">
      <c r="B40908" s="36"/>
      <c r="C40908" s="36"/>
      <c r="E40908" s="1"/>
      <c r="F40908" s="1"/>
      <c r="G40908" s="1"/>
    </row>
    <row r="40909">
      <c r="B40909" s="36"/>
      <c r="C40909" s="36"/>
      <c r="E40909" s="1"/>
      <c r="F40909" s="1"/>
      <c r="G40909" s="1"/>
    </row>
    <row r="40910">
      <c r="B40910" s="36"/>
      <c r="C40910" s="36"/>
      <c r="E40910" s="1"/>
      <c r="F40910" s="1"/>
      <c r="G40910" s="1"/>
    </row>
    <row r="40911">
      <c r="B40911" s="36"/>
      <c r="C40911" s="36"/>
      <c r="E40911" s="1"/>
      <c r="F40911" s="1"/>
      <c r="G40911" s="1"/>
    </row>
    <row r="40912">
      <c r="B40912" s="36"/>
      <c r="C40912" s="36"/>
      <c r="E40912" s="1"/>
      <c r="F40912" s="1"/>
      <c r="G40912" s="1"/>
    </row>
    <row r="40913">
      <c r="B40913" s="36"/>
      <c r="C40913" s="36"/>
      <c r="E40913" s="1"/>
      <c r="F40913" s="1"/>
      <c r="G40913" s="1"/>
    </row>
    <row r="40914">
      <c r="B40914" s="36"/>
      <c r="C40914" s="36"/>
      <c r="E40914" s="1"/>
      <c r="F40914" s="1"/>
      <c r="G40914" s="1"/>
    </row>
    <row r="40915">
      <c r="B40915" s="36"/>
      <c r="C40915" s="36"/>
      <c r="E40915" s="1"/>
      <c r="F40915" s="1"/>
      <c r="G40915" s="1"/>
    </row>
    <row r="40916">
      <c r="B40916" s="36"/>
      <c r="C40916" s="36"/>
      <c r="E40916" s="1"/>
      <c r="F40916" s="1"/>
      <c r="G40916" s="1"/>
    </row>
    <row r="40917">
      <c r="B40917" s="36"/>
      <c r="C40917" s="36"/>
      <c r="E40917" s="1"/>
      <c r="F40917" s="1"/>
      <c r="G40917" s="1"/>
    </row>
    <row r="40918">
      <c r="B40918" s="36"/>
      <c r="C40918" s="36"/>
      <c r="E40918" s="1"/>
      <c r="F40918" s="1"/>
      <c r="G40918" s="1"/>
    </row>
    <row r="40919">
      <c r="B40919" s="36"/>
      <c r="C40919" s="36"/>
      <c r="E40919" s="1"/>
      <c r="F40919" s="1"/>
      <c r="G40919" s="1"/>
    </row>
    <row r="40920">
      <c r="B40920" s="36"/>
      <c r="C40920" s="36"/>
      <c r="E40920" s="1"/>
      <c r="F40920" s="1"/>
      <c r="G40920" s="1"/>
    </row>
    <row r="40921">
      <c r="B40921" s="36"/>
      <c r="C40921" s="36"/>
      <c r="E40921" s="1"/>
      <c r="F40921" s="1"/>
      <c r="G40921" s="1"/>
    </row>
    <row r="40922">
      <c r="B40922" s="36"/>
      <c r="C40922" s="36"/>
      <c r="E40922" s="1"/>
      <c r="F40922" s="1"/>
      <c r="G40922" s="1"/>
    </row>
    <row r="40923">
      <c r="B40923" s="36"/>
      <c r="C40923" s="36"/>
      <c r="E40923" s="1"/>
      <c r="F40923" s="1"/>
      <c r="G40923" s="1"/>
    </row>
    <row r="40924">
      <c r="B40924" s="36"/>
      <c r="C40924" s="36"/>
      <c r="E40924" s="1"/>
      <c r="F40924" s="1"/>
      <c r="G40924" s="1"/>
    </row>
    <row r="40925">
      <c r="B40925" s="36"/>
      <c r="C40925" s="36"/>
      <c r="E40925" s="1"/>
      <c r="F40925" s="1"/>
      <c r="G40925" s="1"/>
    </row>
    <row r="40926">
      <c r="B40926" s="36"/>
      <c r="C40926" s="36"/>
      <c r="E40926" s="1"/>
      <c r="F40926" s="1"/>
      <c r="G40926" s="1"/>
    </row>
    <row r="40927">
      <c r="B40927" s="36"/>
      <c r="C40927" s="36"/>
      <c r="E40927" s="1"/>
      <c r="F40927" s="1"/>
      <c r="G40927" s="1"/>
    </row>
    <row r="40928">
      <c r="B40928" s="36"/>
      <c r="C40928" s="36"/>
      <c r="E40928" s="1"/>
      <c r="F40928" s="1"/>
      <c r="G40928" s="1"/>
    </row>
    <row r="40929">
      <c r="B40929" s="36"/>
      <c r="C40929" s="36"/>
      <c r="E40929" s="1"/>
      <c r="F40929" s="1"/>
      <c r="G40929" s="1"/>
    </row>
    <row r="40930">
      <c r="B40930" s="36"/>
      <c r="C40930" s="36"/>
      <c r="E40930" s="1"/>
      <c r="F40930" s="1"/>
      <c r="G40930" s="1"/>
    </row>
    <row r="40931">
      <c r="B40931" s="36"/>
      <c r="C40931" s="36"/>
      <c r="E40931" s="1"/>
      <c r="F40931" s="1"/>
      <c r="G40931" s="1"/>
    </row>
    <row r="40932">
      <c r="B40932" s="36"/>
      <c r="C40932" s="36"/>
      <c r="E40932" s="1"/>
      <c r="F40932" s="1"/>
      <c r="G40932" s="1"/>
    </row>
    <row r="40933">
      <c r="B40933" s="36"/>
      <c r="C40933" s="36"/>
      <c r="E40933" s="1"/>
      <c r="F40933" s="1"/>
      <c r="G40933" s="1"/>
    </row>
    <row r="40934">
      <c r="B40934" s="36"/>
      <c r="C40934" s="36"/>
      <c r="E40934" s="1"/>
      <c r="F40934" s="1"/>
      <c r="G40934" s="1"/>
    </row>
    <row r="40935">
      <c r="B40935" s="36"/>
      <c r="C40935" s="36"/>
      <c r="E40935" s="1"/>
      <c r="F40935" s="1"/>
      <c r="G40935" s="1"/>
    </row>
    <row r="40936">
      <c r="B40936" s="36"/>
      <c r="C40936" s="36"/>
      <c r="E40936" s="1"/>
      <c r="F40936" s="1"/>
      <c r="G40936" s="1"/>
    </row>
    <row r="40937">
      <c r="B40937" s="36"/>
      <c r="C40937" s="36"/>
      <c r="E40937" s="1"/>
      <c r="F40937" s="1"/>
      <c r="G40937" s="1"/>
    </row>
    <row r="40938">
      <c r="B40938" s="36"/>
      <c r="C40938" s="36"/>
      <c r="E40938" s="1"/>
      <c r="F40938" s="1"/>
      <c r="G40938" s="1"/>
    </row>
    <row r="40939">
      <c r="B40939" s="36"/>
      <c r="C40939" s="36"/>
      <c r="E40939" s="1"/>
      <c r="F40939" s="1"/>
      <c r="G40939" s="1"/>
    </row>
    <row r="40940">
      <c r="B40940" s="36"/>
      <c r="C40940" s="36"/>
      <c r="E40940" s="1"/>
      <c r="F40940" s="1"/>
      <c r="G40940" s="1"/>
    </row>
    <row r="40941">
      <c r="B40941" s="36"/>
      <c r="C40941" s="36"/>
      <c r="E40941" s="1"/>
      <c r="F40941" s="1"/>
      <c r="G40941" s="1"/>
    </row>
    <row r="40942">
      <c r="B40942" s="36"/>
      <c r="C40942" s="36"/>
      <c r="E40942" s="1"/>
      <c r="F40942" s="1"/>
      <c r="G40942" s="1"/>
    </row>
    <row r="40943">
      <c r="B40943" s="36"/>
      <c r="C40943" s="36"/>
      <c r="E40943" s="1"/>
      <c r="F40943" s="1"/>
      <c r="G40943" s="1"/>
    </row>
    <row r="40944">
      <c r="B40944" s="36"/>
      <c r="C40944" s="36"/>
      <c r="E40944" s="1"/>
      <c r="F40944" s="1"/>
      <c r="G40944" s="1"/>
    </row>
    <row r="40945">
      <c r="B40945" s="36"/>
      <c r="C40945" s="36"/>
      <c r="E40945" s="1"/>
      <c r="F40945" s="1"/>
      <c r="G40945" s="1"/>
    </row>
    <row r="40946">
      <c r="B40946" s="36"/>
      <c r="C40946" s="36"/>
      <c r="E40946" s="1"/>
      <c r="F40946" s="1"/>
      <c r="G40946" s="1"/>
    </row>
    <row r="40947">
      <c r="B40947" s="36"/>
      <c r="C40947" s="36"/>
      <c r="E40947" s="1"/>
      <c r="F40947" s="1"/>
      <c r="G40947" s="1"/>
    </row>
    <row r="40948">
      <c r="B40948" s="36"/>
      <c r="C40948" s="36"/>
      <c r="E40948" s="1"/>
      <c r="F40948" s="1"/>
      <c r="G40948" s="1"/>
    </row>
    <row r="40949">
      <c r="B40949" s="36"/>
      <c r="C40949" s="36"/>
      <c r="E40949" s="1"/>
      <c r="F40949" s="1"/>
      <c r="G40949" s="1"/>
    </row>
    <row r="40950">
      <c r="B40950" s="36"/>
      <c r="C40950" s="36"/>
      <c r="E40950" s="1"/>
      <c r="F40950" s="1"/>
      <c r="G40950" s="1"/>
    </row>
    <row r="40951">
      <c r="B40951" s="36"/>
      <c r="C40951" s="36"/>
      <c r="E40951" s="1"/>
      <c r="F40951" s="1"/>
      <c r="G40951" s="1"/>
    </row>
    <row r="40952">
      <c r="B40952" s="36"/>
      <c r="C40952" s="36"/>
      <c r="E40952" s="1"/>
      <c r="F40952" s="1"/>
      <c r="G40952" s="1"/>
    </row>
    <row r="40953">
      <c r="B40953" s="36"/>
      <c r="C40953" s="36"/>
      <c r="E40953" s="1"/>
      <c r="F40953" s="1"/>
      <c r="G40953" s="1"/>
    </row>
    <row r="40954">
      <c r="B40954" s="36"/>
      <c r="C40954" s="36"/>
      <c r="E40954" s="1"/>
      <c r="F40954" s="1"/>
      <c r="G40954" s="1"/>
    </row>
    <row r="40955">
      <c r="B40955" s="36"/>
      <c r="C40955" s="36"/>
      <c r="E40955" s="1"/>
      <c r="F40955" s="1"/>
      <c r="G40955" s="1"/>
    </row>
    <row r="40956">
      <c r="B40956" s="36"/>
      <c r="C40956" s="36"/>
      <c r="E40956" s="1"/>
      <c r="F40956" s="1"/>
      <c r="G40956" s="1"/>
    </row>
    <row r="40957">
      <c r="B40957" s="36"/>
      <c r="C40957" s="36"/>
      <c r="E40957" s="1"/>
      <c r="F40957" s="1"/>
      <c r="G40957" s="1"/>
    </row>
    <row r="40958">
      <c r="B40958" s="36"/>
      <c r="C40958" s="36"/>
      <c r="E40958" s="1"/>
      <c r="F40958" s="1"/>
      <c r="G40958" s="1"/>
    </row>
    <row r="40959">
      <c r="B40959" s="36"/>
      <c r="C40959" s="36"/>
      <c r="E40959" s="1"/>
      <c r="F40959" s="1"/>
      <c r="G40959" s="1"/>
    </row>
    <row r="40960">
      <c r="B40960" s="36"/>
      <c r="C40960" s="36"/>
      <c r="E40960" s="1"/>
      <c r="F40960" s="1"/>
      <c r="G40960" s="1"/>
    </row>
    <row r="40961">
      <c r="B40961" s="36"/>
      <c r="C40961" s="36"/>
      <c r="E40961" s="1"/>
      <c r="F40961" s="1"/>
      <c r="G40961" s="1"/>
    </row>
    <row r="40962">
      <c r="B40962" s="36"/>
      <c r="C40962" s="36"/>
      <c r="E40962" s="1"/>
      <c r="F40962" s="1"/>
      <c r="G40962" s="1"/>
    </row>
    <row r="40963">
      <c r="B40963" s="36"/>
      <c r="C40963" s="36"/>
      <c r="E40963" s="1"/>
      <c r="F40963" s="1"/>
      <c r="G40963" s="1"/>
    </row>
    <row r="40964">
      <c r="B40964" s="36"/>
      <c r="C40964" s="36"/>
      <c r="E40964" s="1"/>
      <c r="F40964" s="1"/>
      <c r="G40964" s="1"/>
    </row>
    <row r="40965">
      <c r="B40965" s="36"/>
      <c r="C40965" s="36"/>
      <c r="E40965" s="1"/>
      <c r="F40965" s="1"/>
      <c r="G40965" s="1"/>
    </row>
    <row r="40966">
      <c r="B40966" s="36"/>
      <c r="C40966" s="36"/>
      <c r="E40966" s="1"/>
      <c r="F40966" s="1"/>
      <c r="G40966" s="1"/>
    </row>
    <row r="40967">
      <c r="B40967" s="36"/>
      <c r="C40967" s="36"/>
      <c r="E40967" s="1"/>
      <c r="F40967" s="1"/>
      <c r="G40967" s="1"/>
    </row>
    <row r="40968">
      <c r="B40968" s="36"/>
      <c r="C40968" s="36"/>
      <c r="E40968" s="1"/>
      <c r="F40968" s="1"/>
      <c r="G40968" s="1"/>
    </row>
    <row r="40969">
      <c r="B40969" s="36"/>
      <c r="C40969" s="36"/>
      <c r="E40969" s="1"/>
      <c r="F40969" s="1"/>
      <c r="G40969" s="1"/>
    </row>
    <row r="40970">
      <c r="B40970" s="36"/>
      <c r="C40970" s="36"/>
      <c r="E40970" s="1"/>
      <c r="F40970" s="1"/>
      <c r="G40970" s="1"/>
    </row>
    <row r="40971">
      <c r="B40971" s="36"/>
      <c r="C40971" s="36"/>
      <c r="E40971" s="1"/>
      <c r="F40971" s="1"/>
      <c r="G40971" s="1"/>
    </row>
    <row r="40972">
      <c r="B40972" s="36"/>
      <c r="C40972" s="36"/>
      <c r="E40972" s="1"/>
      <c r="F40972" s="1"/>
      <c r="G40972" s="1"/>
    </row>
    <row r="40973">
      <c r="B40973" s="36"/>
      <c r="C40973" s="36"/>
      <c r="E40973" s="1"/>
      <c r="F40973" s="1"/>
      <c r="G40973" s="1"/>
    </row>
    <row r="40974">
      <c r="B40974" s="36"/>
      <c r="C40974" s="36"/>
      <c r="E40974" s="1"/>
      <c r="F40974" s="1"/>
      <c r="G40974" s="1"/>
    </row>
    <row r="40975">
      <c r="B40975" s="36"/>
      <c r="C40975" s="36"/>
      <c r="E40975" s="1"/>
      <c r="F40975" s="1"/>
      <c r="G40975" s="1"/>
    </row>
    <row r="40976">
      <c r="B40976" s="36"/>
      <c r="C40976" s="36"/>
      <c r="E40976" s="1"/>
      <c r="F40976" s="1"/>
      <c r="G40976" s="1"/>
    </row>
    <row r="40977">
      <c r="B40977" s="36"/>
      <c r="C40977" s="36"/>
      <c r="E40977" s="1"/>
      <c r="F40977" s="1"/>
      <c r="G40977" s="1"/>
    </row>
    <row r="40978">
      <c r="B40978" s="36"/>
      <c r="C40978" s="36"/>
      <c r="E40978" s="1"/>
      <c r="F40978" s="1"/>
      <c r="G40978" s="1"/>
    </row>
    <row r="40979">
      <c r="B40979" s="36"/>
      <c r="C40979" s="36"/>
      <c r="E40979" s="1"/>
      <c r="F40979" s="1"/>
      <c r="G40979" s="1"/>
    </row>
    <row r="40980">
      <c r="B40980" s="36"/>
      <c r="C40980" s="36"/>
      <c r="E40980" s="1"/>
      <c r="F40980" s="1"/>
      <c r="G40980" s="1"/>
    </row>
    <row r="40981">
      <c r="B40981" s="36"/>
      <c r="C40981" s="36"/>
      <c r="E40981" s="1"/>
      <c r="F40981" s="1"/>
      <c r="G40981" s="1"/>
    </row>
    <row r="40982">
      <c r="B40982" s="36"/>
      <c r="C40982" s="36"/>
      <c r="E40982" s="1"/>
      <c r="F40982" s="1"/>
      <c r="G40982" s="1"/>
    </row>
    <row r="40983">
      <c r="B40983" s="36"/>
      <c r="C40983" s="36"/>
      <c r="E40983" s="1"/>
      <c r="F40983" s="1"/>
      <c r="G40983" s="1"/>
    </row>
    <row r="40984">
      <c r="B40984" s="36"/>
      <c r="C40984" s="36"/>
      <c r="E40984" s="1"/>
      <c r="F40984" s="1"/>
      <c r="G40984" s="1"/>
    </row>
    <row r="40985">
      <c r="B40985" s="36"/>
      <c r="C40985" s="36"/>
      <c r="E40985" s="1"/>
      <c r="F40985" s="1"/>
      <c r="G40985" s="1"/>
    </row>
    <row r="40986">
      <c r="B40986" s="36"/>
      <c r="C40986" s="36"/>
      <c r="E40986" s="1"/>
      <c r="F40986" s="1"/>
      <c r="G40986" s="1"/>
    </row>
    <row r="40987">
      <c r="B40987" s="36"/>
      <c r="C40987" s="36"/>
      <c r="E40987" s="1"/>
      <c r="F40987" s="1"/>
      <c r="G40987" s="1"/>
    </row>
    <row r="40988">
      <c r="B40988" s="36"/>
      <c r="C40988" s="36"/>
      <c r="E40988" s="1"/>
      <c r="F40988" s="1"/>
      <c r="G40988" s="1"/>
    </row>
    <row r="40989">
      <c r="B40989" s="36"/>
      <c r="C40989" s="36"/>
      <c r="E40989" s="1"/>
      <c r="F40989" s="1"/>
      <c r="G40989" s="1"/>
    </row>
    <row r="40990">
      <c r="B40990" s="36"/>
      <c r="C40990" s="36"/>
      <c r="E40990" s="1"/>
      <c r="F40990" s="1"/>
      <c r="G40990" s="1"/>
    </row>
    <row r="40991">
      <c r="B40991" s="36"/>
      <c r="C40991" s="36"/>
      <c r="E40991" s="1"/>
      <c r="F40991" s="1"/>
      <c r="G40991" s="1"/>
    </row>
    <row r="40992">
      <c r="B40992" s="36"/>
      <c r="C40992" s="36"/>
      <c r="E40992" s="1"/>
      <c r="F40992" s="1"/>
      <c r="G40992" s="1"/>
    </row>
    <row r="40993">
      <c r="B40993" s="36"/>
      <c r="C40993" s="36"/>
      <c r="E40993" s="1"/>
      <c r="F40993" s="1"/>
      <c r="G40993" s="1"/>
    </row>
    <row r="40994">
      <c r="B40994" s="36"/>
      <c r="C40994" s="36"/>
      <c r="E40994" s="1"/>
      <c r="F40994" s="1"/>
      <c r="G40994" s="1"/>
    </row>
    <row r="40995">
      <c r="B40995" s="36"/>
      <c r="C40995" s="36"/>
      <c r="E40995" s="1"/>
      <c r="F40995" s="1"/>
      <c r="G40995" s="1"/>
    </row>
    <row r="40996">
      <c r="B40996" s="36"/>
      <c r="C40996" s="36"/>
      <c r="E40996" s="1"/>
      <c r="F40996" s="1"/>
      <c r="G40996" s="1"/>
    </row>
    <row r="40997">
      <c r="B40997" s="36"/>
      <c r="C40997" s="36"/>
      <c r="E40997" s="1"/>
      <c r="F40997" s="1"/>
      <c r="G40997" s="1"/>
    </row>
    <row r="40998">
      <c r="B40998" s="36"/>
      <c r="C40998" s="36"/>
      <c r="E40998" s="1"/>
      <c r="F40998" s="1"/>
      <c r="G40998" s="1"/>
    </row>
    <row r="40999">
      <c r="B40999" s="36"/>
      <c r="C40999" s="36"/>
      <c r="E40999" s="1"/>
      <c r="F40999" s="1"/>
      <c r="G40999" s="1"/>
    </row>
    <row r="41000">
      <c r="B41000" s="36"/>
      <c r="C41000" s="36"/>
      <c r="E41000" s="1"/>
      <c r="F41000" s="1"/>
      <c r="G41000" s="1"/>
    </row>
    <row r="41001">
      <c r="B41001" s="36"/>
      <c r="C41001" s="36"/>
      <c r="E41001" s="1"/>
      <c r="F41001" s="1"/>
      <c r="G41001" s="1"/>
    </row>
    <row r="41002">
      <c r="B41002" s="36"/>
      <c r="C41002" s="36"/>
      <c r="E41002" s="1"/>
      <c r="F41002" s="1"/>
      <c r="G41002" s="1"/>
    </row>
    <row r="41003">
      <c r="B41003" s="36"/>
      <c r="C41003" s="36"/>
      <c r="E41003" s="1"/>
      <c r="F41003" s="1"/>
      <c r="G41003" s="1"/>
    </row>
    <row r="41004">
      <c r="B41004" s="36"/>
      <c r="C41004" s="36"/>
      <c r="E41004" s="1"/>
      <c r="F41004" s="1"/>
      <c r="G41004" s="1"/>
    </row>
    <row r="41005">
      <c r="B41005" s="36"/>
      <c r="C41005" s="36"/>
      <c r="E41005" s="1"/>
      <c r="F41005" s="1"/>
      <c r="G41005" s="1"/>
    </row>
    <row r="41006">
      <c r="B41006" s="36"/>
      <c r="C41006" s="36"/>
      <c r="E41006" s="1"/>
      <c r="F41006" s="1"/>
      <c r="G41006" s="1"/>
    </row>
    <row r="41007">
      <c r="B41007" s="36"/>
      <c r="C41007" s="36"/>
      <c r="E41007" s="1"/>
      <c r="F41007" s="1"/>
      <c r="G41007" s="1"/>
    </row>
    <row r="41008">
      <c r="B41008" s="36"/>
      <c r="C41008" s="36"/>
      <c r="E41008" s="1"/>
      <c r="F41008" s="1"/>
      <c r="G41008" s="1"/>
    </row>
    <row r="41009">
      <c r="B41009" s="36"/>
      <c r="C41009" s="36"/>
      <c r="E41009" s="1"/>
      <c r="F41009" s="1"/>
      <c r="G41009" s="1"/>
    </row>
    <row r="41010">
      <c r="B41010" s="36"/>
      <c r="C41010" s="36"/>
      <c r="E41010" s="1"/>
      <c r="F41010" s="1"/>
      <c r="G41010" s="1"/>
    </row>
    <row r="41011">
      <c r="B41011" s="36"/>
      <c r="C41011" s="36"/>
      <c r="E41011" s="1"/>
      <c r="F41011" s="1"/>
      <c r="G41011" s="1"/>
    </row>
    <row r="41012">
      <c r="B41012" s="36"/>
      <c r="C41012" s="36"/>
      <c r="E41012" s="1"/>
      <c r="F41012" s="1"/>
      <c r="G41012" s="1"/>
    </row>
    <row r="41013">
      <c r="B41013" s="36"/>
      <c r="C41013" s="36"/>
      <c r="E41013" s="1"/>
      <c r="F41013" s="1"/>
      <c r="G41013" s="1"/>
    </row>
    <row r="41014">
      <c r="B41014" s="36"/>
      <c r="C41014" s="36"/>
      <c r="E41014" s="1"/>
      <c r="F41014" s="1"/>
      <c r="G41014" s="1"/>
    </row>
    <row r="41015">
      <c r="B41015" s="36"/>
      <c r="C41015" s="36"/>
      <c r="E41015" s="1"/>
      <c r="F41015" s="1"/>
      <c r="G41015" s="1"/>
    </row>
    <row r="41016">
      <c r="B41016" s="36"/>
      <c r="C41016" s="36"/>
      <c r="E41016" s="1"/>
      <c r="F41016" s="1"/>
      <c r="G41016" s="1"/>
    </row>
    <row r="41017">
      <c r="B41017" s="36"/>
      <c r="C41017" s="36"/>
      <c r="E41017" s="1"/>
      <c r="F41017" s="1"/>
      <c r="G41017" s="1"/>
    </row>
    <row r="41018">
      <c r="B41018" s="36"/>
      <c r="C41018" s="36"/>
      <c r="E41018" s="1"/>
      <c r="F41018" s="1"/>
      <c r="G41018" s="1"/>
    </row>
    <row r="41019">
      <c r="B41019" s="36"/>
      <c r="C41019" s="36"/>
      <c r="E41019" s="1"/>
      <c r="F41019" s="1"/>
      <c r="G41019" s="1"/>
    </row>
    <row r="41020">
      <c r="B41020" s="36"/>
      <c r="C41020" s="36"/>
      <c r="E41020" s="1"/>
      <c r="F41020" s="1"/>
      <c r="G41020" s="1"/>
    </row>
    <row r="41021">
      <c r="B41021" s="36"/>
      <c r="C41021" s="36"/>
      <c r="E41021" s="1"/>
      <c r="F41021" s="1"/>
      <c r="G41021" s="1"/>
    </row>
    <row r="41022">
      <c r="B41022" s="36"/>
      <c r="C41022" s="36"/>
      <c r="E41022" s="1"/>
      <c r="F41022" s="1"/>
      <c r="G41022" s="1"/>
    </row>
    <row r="41023">
      <c r="B41023" s="36"/>
      <c r="C41023" s="36"/>
      <c r="E41023" s="1"/>
      <c r="F41023" s="1"/>
      <c r="G41023" s="1"/>
    </row>
    <row r="41024">
      <c r="B41024" s="36"/>
      <c r="C41024" s="36"/>
      <c r="E41024" s="1"/>
      <c r="F41024" s="1"/>
      <c r="G41024" s="1"/>
    </row>
    <row r="41025">
      <c r="B41025" s="36"/>
      <c r="C41025" s="36"/>
      <c r="E41025" s="1"/>
      <c r="F41025" s="1"/>
      <c r="G41025" s="1"/>
    </row>
    <row r="41026">
      <c r="B41026" s="36"/>
      <c r="C41026" s="36"/>
      <c r="E41026" s="1"/>
      <c r="F41026" s="1"/>
      <c r="G41026" s="1"/>
    </row>
    <row r="41027">
      <c r="B41027" s="36"/>
      <c r="C41027" s="36"/>
      <c r="E41027" s="1"/>
      <c r="F41027" s="1"/>
      <c r="G41027" s="1"/>
    </row>
    <row r="41028">
      <c r="B41028" s="36"/>
      <c r="C41028" s="36"/>
      <c r="E41028" s="1"/>
      <c r="F41028" s="1"/>
      <c r="G41028" s="1"/>
    </row>
    <row r="41029">
      <c r="B41029" s="36"/>
      <c r="C41029" s="36"/>
      <c r="E41029" s="1"/>
      <c r="F41029" s="1"/>
      <c r="G41029" s="1"/>
    </row>
    <row r="41030">
      <c r="B41030" s="36"/>
      <c r="C41030" s="36"/>
      <c r="E41030" s="1"/>
      <c r="F41030" s="1"/>
      <c r="G41030" s="1"/>
    </row>
    <row r="41031">
      <c r="B41031" s="36"/>
      <c r="C41031" s="36"/>
      <c r="E41031" s="1"/>
      <c r="F41031" s="1"/>
      <c r="G41031" s="1"/>
    </row>
    <row r="41032">
      <c r="B41032" s="36"/>
      <c r="C41032" s="36"/>
      <c r="E41032" s="1"/>
      <c r="F41032" s="1"/>
      <c r="G41032" s="1"/>
    </row>
    <row r="41033">
      <c r="B41033" s="36"/>
      <c r="C41033" s="36"/>
      <c r="E41033" s="1"/>
      <c r="F41033" s="1"/>
      <c r="G41033" s="1"/>
    </row>
    <row r="41034">
      <c r="B41034" s="36"/>
      <c r="C41034" s="36"/>
      <c r="E41034" s="1"/>
      <c r="F41034" s="1"/>
      <c r="G41034" s="1"/>
    </row>
    <row r="41035">
      <c r="B41035" s="36"/>
      <c r="C41035" s="36"/>
      <c r="E41035" s="1"/>
      <c r="F41035" s="1"/>
      <c r="G41035" s="1"/>
    </row>
    <row r="41036">
      <c r="B41036" s="36"/>
      <c r="C41036" s="36"/>
      <c r="E41036" s="1"/>
      <c r="F41036" s="1"/>
      <c r="G41036" s="1"/>
    </row>
    <row r="41037">
      <c r="B41037" s="36"/>
      <c r="C41037" s="36"/>
      <c r="E41037" s="1"/>
      <c r="F41037" s="1"/>
      <c r="G41037" s="1"/>
    </row>
    <row r="41038">
      <c r="B41038" s="36"/>
      <c r="C41038" s="36"/>
      <c r="E41038" s="1"/>
      <c r="F41038" s="1"/>
      <c r="G41038" s="1"/>
    </row>
    <row r="41039">
      <c r="B41039" s="36"/>
      <c r="C41039" s="36"/>
      <c r="E41039" s="1"/>
      <c r="F41039" s="1"/>
      <c r="G41039" s="1"/>
    </row>
    <row r="41040">
      <c r="B41040" s="36"/>
      <c r="C41040" s="36"/>
      <c r="E41040" s="1"/>
      <c r="F41040" s="1"/>
      <c r="G41040" s="1"/>
    </row>
    <row r="41041">
      <c r="B41041" s="36"/>
      <c r="C41041" s="36"/>
      <c r="E41041" s="1"/>
      <c r="F41041" s="1"/>
      <c r="G41041" s="1"/>
    </row>
    <row r="41042">
      <c r="B41042" s="36"/>
      <c r="C41042" s="36"/>
      <c r="E41042" s="1"/>
      <c r="F41042" s="1"/>
      <c r="G41042" s="1"/>
    </row>
    <row r="41043">
      <c r="B41043" s="36"/>
      <c r="C41043" s="36"/>
      <c r="E41043" s="1"/>
      <c r="F41043" s="1"/>
      <c r="G41043" s="1"/>
    </row>
    <row r="41044">
      <c r="B41044" s="36"/>
      <c r="C41044" s="36"/>
      <c r="E41044" s="1"/>
      <c r="F41044" s="1"/>
      <c r="G41044" s="1"/>
    </row>
    <row r="41045">
      <c r="B41045" s="36"/>
      <c r="C41045" s="36"/>
      <c r="E41045" s="1"/>
      <c r="F41045" s="1"/>
      <c r="G41045" s="1"/>
    </row>
    <row r="41046">
      <c r="B41046" s="36"/>
      <c r="C41046" s="36"/>
      <c r="E41046" s="1"/>
      <c r="F41046" s="1"/>
      <c r="G41046" s="1"/>
    </row>
    <row r="41047">
      <c r="B41047" s="36"/>
      <c r="C41047" s="36"/>
      <c r="E41047" s="1"/>
      <c r="F41047" s="1"/>
      <c r="G41047" s="1"/>
    </row>
    <row r="41048">
      <c r="B41048" s="36"/>
      <c r="C41048" s="36"/>
      <c r="E41048" s="1"/>
      <c r="F41048" s="1"/>
      <c r="G41048" s="1"/>
    </row>
    <row r="41049">
      <c r="B41049" s="36"/>
      <c r="C41049" s="36"/>
      <c r="E41049" s="1"/>
      <c r="F41049" s="1"/>
      <c r="G41049" s="1"/>
    </row>
    <row r="41050">
      <c r="B41050" s="36"/>
      <c r="C41050" s="36"/>
      <c r="E41050" s="1"/>
      <c r="F41050" s="1"/>
      <c r="G41050" s="1"/>
    </row>
    <row r="41051">
      <c r="B41051" s="36"/>
      <c r="C41051" s="36"/>
      <c r="E41051" s="1"/>
      <c r="F41051" s="1"/>
      <c r="G41051" s="1"/>
    </row>
    <row r="41052">
      <c r="B41052" s="36"/>
      <c r="C41052" s="36"/>
      <c r="E41052" s="1"/>
      <c r="F41052" s="1"/>
      <c r="G41052" s="1"/>
    </row>
    <row r="41053">
      <c r="B41053" s="36"/>
      <c r="C41053" s="36"/>
      <c r="E41053" s="1"/>
      <c r="F41053" s="1"/>
      <c r="G41053" s="1"/>
    </row>
    <row r="41054">
      <c r="B41054" s="36"/>
      <c r="C41054" s="36"/>
      <c r="E41054" s="1"/>
      <c r="F41054" s="1"/>
      <c r="G41054" s="1"/>
    </row>
    <row r="41055">
      <c r="B41055" s="36"/>
      <c r="C41055" s="36"/>
      <c r="E41055" s="1"/>
      <c r="F41055" s="1"/>
      <c r="G41055" s="1"/>
    </row>
    <row r="41056">
      <c r="B41056" s="36"/>
      <c r="C41056" s="36"/>
      <c r="E41056" s="1"/>
      <c r="F41056" s="1"/>
      <c r="G41056" s="1"/>
    </row>
    <row r="41057">
      <c r="B41057" s="36"/>
      <c r="C41057" s="36"/>
      <c r="E41057" s="1"/>
      <c r="F41057" s="1"/>
      <c r="G41057" s="1"/>
    </row>
    <row r="41058">
      <c r="B41058" s="36"/>
      <c r="C41058" s="36"/>
      <c r="E41058" s="1"/>
      <c r="F41058" s="1"/>
      <c r="G41058" s="1"/>
    </row>
    <row r="41059">
      <c r="B41059" s="36"/>
      <c r="C41059" s="36"/>
      <c r="E41059" s="1"/>
      <c r="F41059" s="1"/>
      <c r="G41059" s="1"/>
    </row>
    <row r="41060">
      <c r="B41060" s="36"/>
      <c r="C41060" s="36"/>
      <c r="E41060" s="1"/>
      <c r="F41060" s="1"/>
      <c r="G41060" s="1"/>
    </row>
    <row r="41061">
      <c r="B41061" s="36"/>
      <c r="C41061" s="36"/>
      <c r="E41061" s="1"/>
      <c r="F41061" s="1"/>
      <c r="G41061" s="1"/>
    </row>
    <row r="41062">
      <c r="B41062" s="36"/>
      <c r="C41062" s="36"/>
      <c r="E41062" s="1"/>
      <c r="F41062" s="1"/>
      <c r="G41062" s="1"/>
    </row>
    <row r="41063">
      <c r="B41063" s="36"/>
      <c r="C41063" s="36"/>
      <c r="E41063" s="1"/>
      <c r="F41063" s="1"/>
      <c r="G41063" s="1"/>
    </row>
    <row r="41064">
      <c r="B41064" s="36"/>
      <c r="C41064" s="36"/>
      <c r="E41064" s="1"/>
      <c r="F41064" s="1"/>
      <c r="G41064" s="1"/>
    </row>
    <row r="41065">
      <c r="B41065" s="36"/>
      <c r="C41065" s="36"/>
      <c r="E41065" s="1"/>
      <c r="F41065" s="1"/>
      <c r="G41065" s="1"/>
    </row>
    <row r="41066">
      <c r="B41066" s="36"/>
      <c r="C41066" s="36"/>
      <c r="E41066" s="1"/>
      <c r="F41066" s="1"/>
      <c r="G41066" s="1"/>
    </row>
    <row r="41067">
      <c r="B41067" s="36"/>
      <c r="C41067" s="36"/>
      <c r="E41067" s="1"/>
      <c r="F41067" s="1"/>
      <c r="G41067" s="1"/>
    </row>
    <row r="41068">
      <c r="B41068" s="36"/>
      <c r="C41068" s="36"/>
      <c r="E41068" s="1"/>
      <c r="F41068" s="1"/>
      <c r="G41068" s="1"/>
    </row>
    <row r="41069">
      <c r="B41069" s="36"/>
      <c r="C41069" s="36"/>
      <c r="E41069" s="1"/>
      <c r="F41069" s="1"/>
      <c r="G41069" s="1"/>
    </row>
    <row r="41070">
      <c r="B41070" s="36"/>
      <c r="C41070" s="36"/>
      <c r="E41070" s="1"/>
      <c r="F41070" s="1"/>
      <c r="G41070" s="1"/>
    </row>
    <row r="41071">
      <c r="B41071" s="36"/>
      <c r="C41071" s="36"/>
      <c r="E41071" s="1"/>
      <c r="F41071" s="1"/>
      <c r="G41071" s="1"/>
    </row>
    <row r="41072">
      <c r="B41072" s="36"/>
      <c r="C41072" s="36"/>
      <c r="E41072" s="1"/>
      <c r="F41072" s="1"/>
      <c r="G41072" s="1"/>
    </row>
    <row r="41073">
      <c r="B41073" s="36"/>
      <c r="C41073" s="36"/>
      <c r="E41073" s="1"/>
      <c r="F41073" s="1"/>
      <c r="G41073" s="1"/>
    </row>
    <row r="41074">
      <c r="B41074" s="36"/>
      <c r="C41074" s="36"/>
      <c r="E41074" s="1"/>
      <c r="F41074" s="1"/>
      <c r="G41074" s="1"/>
    </row>
    <row r="41075">
      <c r="B41075" s="36"/>
      <c r="C41075" s="36"/>
      <c r="E41075" s="1"/>
      <c r="F41075" s="1"/>
      <c r="G41075" s="1"/>
    </row>
    <row r="41076">
      <c r="B41076" s="36"/>
      <c r="C41076" s="36"/>
      <c r="E41076" s="1"/>
      <c r="F41076" s="1"/>
      <c r="G41076" s="1"/>
    </row>
    <row r="41077">
      <c r="B41077" s="36"/>
      <c r="C41077" s="36"/>
      <c r="E41077" s="1"/>
      <c r="F41077" s="1"/>
      <c r="G41077" s="1"/>
    </row>
    <row r="41078">
      <c r="B41078" s="36"/>
      <c r="C41078" s="36"/>
      <c r="E41078" s="1"/>
      <c r="F41078" s="1"/>
      <c r="G41078" s="1"/>
    </row>
    <row r="41079">
      <c r="B41079" s="36"/>
      <c r="C41079" s="36"/>
      <c r="E41079" s="1"/>
      <c r="F41079" s="1"/>
      <c r="G41079" s="1"/>
    </row>
    <row r="41080">
      <c r="B41080" s="36"/>
      <c r="C41080" s="36"/>
      <c r="E41080" s="1"/>
      <c r="F41080" s="1"/>
      <c r="G41080" s="1"/>
    </row>
    <row r="41081">
      <c r="B41081" s="36"/>
      <c r="C41081" s="36"/>
      <c r="E41081" s="1"/>
      <c r="F41081" s="1"/>
      <c r="G41081" s="1"/>
    </row>
    <row r="41082">
      <c r="B41082" s="36"/>
      <c r="C41082" s="36"/>
      <c r="E41082" s="1"/>
      <c r="F41082" s="1"/>
      <c r="G41082" s="1"/>
    </row>
    <row r="41083">
      <c r="B41083" s="36"/>
      <c r="C41083" s="36"/>
      <c r="E41083" s="1"/>
      <c r="F41083" s="1"/>
      <c r="G41083" s="1"/>
    </row>
    <row r="41084">
      <c r="B41084" s="36"/>
      <c r="C41084" s="36"/>
      <c r="E41084" s="1"/>
      <c r="F41084" s="1"/>
      <c r="G41084" s="1"/>
    </row>
    <row r="41085">
      <c r="B41085" s="36"/>
      <c r="C41085" s="36"/>
      <c r="E41085" s="1"/>
      <c r="F41085" s="1"/>
      <c r="G41085" s="1"/>
    </row>
    <row r="41086">
      <c r="B41086" s="36"/>
      <c r="C41086" s="36"/>
      <c r="E41086" s="1"/>
      <c r="F41086" s="1"/>
      <c r="G41086" s="1"/>
    </row>
    <row r="41087">
      <c r="B41087" s="36"/>
      <c r="C41087" s="36"/>
      <c r="E41087" s="1"/>
      <c r="F41087" s="1"/>
      <c r="G41087" s="1"/>
    </row>
    <row r="41088">
      <c r="B41088" s="36"/>
      <c r="C41088" s="36"/>
      <c r="E41088" s="1"/>
      <c r="F41088" s="1"/>
      <c r="G41088" s="1"/>
    </row>
    <row r="41089">
      <c r="B41089" s="36"/>
      <c r="C41089" s="36"/>
      <c r="E41089" s="1"/>
      <c r="F41089" s="1"/>
      <c r="G41089" s="1"/>
    </row>
    <row r="41090">
      <c r="B41090" s="36"/>
      <c r="C41090" s="36"/>
      <c r="E41090" s="1"/>
      <c r="F41090" s="1"/>
      <c r="G41090" s="1"/>
    </row>
    <row r="41091">
      <c r="B41091" s="36"/>
      <c r="C41091" s="36"/>
      <c r="E41091" s="1"/>
      <c r="F41091" s="1"/>
      <c r="G41091" s="1"/>
    </row>
    <row r="41092">
      <c r="B41092" s="36"/>
      <c r="C41092" s="36"/>
      <c r="E41092" s="1"/>
      <c r="F41092" s="1"/>
      <c r="G41092" s="1"/>
    </row>
    <row r="41093">
      <c r="B41093" s="36"/>
      <c r="C41093" s="36"/>
      <c r="E41093" s="1"/>
      <c r="F41093" s="1"/>
      <c r="G41093" s="1"/>
    </row>
    <row r="41094">
      <c r="B41094" s="36"/>
      <c r="C41094" s="36"/>
      <c r="E41094" s="1"/>
      <c r="F41094" s="1"/>
      <c r="G41094" s="1"/>
    </row>
    <row r="41095">
      <c r="B41095" s="36"/>
      <c r="C41095" s="36"/>
      <c r="E41095" s="1"/>
      <c r="F41095" s="1"/>
      <c r="G41095" s="1"/>
    </row>
    <row r="41096">
      <c r="B41096" s="36"/>
      <c r="C41096" s="36"/>
      <c r="E41096" s="1"/>
      <c r="F41096" s="1"/>
      <c r="G41096" s="1"/>
    </row>
    <row r="41097">
      <c r="B41097" s="36"/>
      <c r="C41097" s="36"/>
      <c r="E41097" s="1"/>
      <c r="F41097" s="1"/>
      <c r="G41097" s="1"/>
    </row>
    <row r="41098">
      <c r="B41098" s="36"/>
      <c r="C41098" s="36"/>
      <c r="E41098" s="1"/>
      <c r="F41098" s="1"/>
      <c r="G41098" s="1"/>
    </row>
    <row r="41099">
      <c r="B41099" s="36"/>
      <c r="C41099" s="36"/>
      <c r="E41099" s="1"/>
      <c r="F41099" s="1"/>
      <c r="G41099" s="1"/>
    </row>
    <row r="41100">
      <c r="B41100" s="36"/>
      <c r="C41100" s="36"/>
      <c r="E41100" s="1"/>
      <c r="F41100" s="1"/>
      <c r="G41100" s="1"/>
    </row>
    <row r="41101">
      <c r="B41101" s="36"/>
      <c r="C41101" s="36"/>
      <c r="E41101" s="1"/>
      <c r="F41101" s="1"/>
      <c r="G41101" s="1"/>
    </row>
    <row r="41102">
      <c r="B41102" s="36"/>
      <c r="C41102" s="36"/>
      <c r="E41102" s="1"/>
      <c r="F41102" s="1"/>
      <c r="G41102" s="1"/>
    </row>
    <row r="41103">
      <c r="B41103" s="36"/>
      <c r="C41103" s="36"/>
      <c r="E41103" s="1"/>
      <c r="F41103" s="1"/>
      <c r="G41103" s="1"/>
    </row>
    <row r="41104">
      <c r="B41104" s="36"/>
      <c r="C41104" s="36"/>
      <c r="E41104" s="1"/>
      <c r="F41104" s="1"/>
      <c r="G41104" s="1"/>
    </row>
    <row r="41105">
      <c r="B41105" s="36"/>
      <c r="C41105" s="36"/>
      <c r="E41105" s="1"/>
      <c r="F41105" s="1"/>
      <c r="G41105" s="1"/>
    </row>
    <row r="41106">
      <c r="B41106" s="36"/>
      <c r="C41106" s="36"/>
      <c r="E41106" s="1"/>
      <c r="F41106" s="1"/>
      <c r="G41106" s="1"/>
    </row>
    <row r="41107">
      <c r="B41107" s="36"/>
      <c r="C41107" s="36"/>
      <c r="E41107" s="1"/>
      <c r="F41107" s="1"/>
      <c r="G41107" s="1"/>
    </row>
    <row r="41108">
      <c r="B41108" s="36"/>
      <c r="C41108" s="36"/>
      <c r="E41108" s="1"/>
      <c r="F41108" s="1"/>
      <c r="G41108" s="1"/>
    </row>
    <row r="41109">
      <c r="B41109" s="36"/>
      <c r="C41109" s="36"/>
      <c r="E41109" s="1"/>
      <c r="F41109" s="1"/>
      <c r="G41109" s="1"/>
    </row>
    <row r="41110">
      <c r="B41110" s="36"/>
      <c r="C41110" s="36"/>
      <c r="E41110" s="1"/>
      <c r="F41110" s="1"/>
      <c r="G41110" s="1"/>
    </row>
    <row r="41111">
      <c r="B41111" s="36"/>
      <c r="C41111" s="36"/>
      <c r="E41111" s="1"/>
      <c r="F41111" s="1"/>
      <c r="G41111" s="1"/>
    </row>
    <row r="41112">
      <c r="B41112" s="36"/>
      <c r="C41112" s="36"/>
      <c r="E41112" s="1"/>
      <c r="F41112" s="1"/>
      <c r="G41112" s="1"/>
    </row>
    <row r="41113">
      <c r="B41113" s="36"/>
      <c r="C41113" s="36"/>
      <c r="E41113" s="1"/>
      <c r="F41113" s="1"/>
      <c r="G41113" s="1"/>
    </row>
    <row r="41114">
      <c r="B41114" s="36"/>
      <c r="C41114" s="36"/>
      <c r="E41114" s="1"/>
      <c r="F41114" s="1"/>
      <c r="G41114" s="1"/>
    </row>
    <row r="41115">
      <c r="B41115" s="36"/>
      <c r="C41115" s="36"/>
      <c r="E41115" s="1"/>
      <c r="F41115" s="1"/>
      <c r="G41115" s="1"/>
    </row>
    <row r="41116">
      <c r="B41116" s="36"/>
      <c r="C41116" s="36"/>
      <c r="E41116" s="1"/>
      <c r="F41116" s="1"/>
      <c r="G41116" s="1"/>
    </row>
    <row r="41117">
      <c r="B41117" s="36"/>
      <c r="C41117" s="36"/>
      <c r="E41117" s="1"/>
      <c r="F41117" s="1"/>
      <c r="G41117" s="1"/>
    </row>
    <row r="41118">
      <c r="B41118" s="36"/>
      <c r="C41118" s="36"/>
      <c r="E41118" s="1"/>
      <c r="F41118" s="1"/>
      <c r="G41118" s="1"/>
    </row>
    <row r="41119">
      <c r="B41119" s="36"/>
      <c r="C41119" s="36"/>
      <c r="E41119" s="1"/>
      <c r="F41119" s="1"/>
      <c r="G41119" s="1"/>
    </row>
    <row r="41120">
      <c r="B41120" s="36"/>
      <c r="C41120" s="36"/>
      <c r="E41120" s="1"/>
      <c r="F41120" s="1"/>
      <c r="G41120" s="1"/>
    </row>
    <row r="41121">
      <c r="B41121" s="36"/>
      <c r="C41121" s="36"/>
      <c r="E41121" s="1"/>
      <c r="F41121" s="1"/>
      <c r="G41121" s="1"/>
    </row>
    <row r="41122">
      <c r="B41122" s="36"/>
      <c r="C41122" s="36"/>
      <c r="E41122" s="1"/>
      <c r="F41122" s="1"/>
      <c r="G41122" s="1"/>
    </row>
    <row r="41123">
      <c r="B41123" s="36"/>
      <c r="C41123" s="36"/>
      <c r="E41123" s="1"/>
      <c r="F41123" s="1"/>
      <c r="G41123" s="1"/>
    </row>
    <row r="41124">
      <c r="B41124" s="36"/>
      <c r="C41124" s="36"/>
      <c r="E41124" s="1"/>
      <c r="F41124" s="1"/>
      <c r="G41124" s="1"/>
    </row>
    <row r="41125">
      <c r="B41125" s="36"/>
      <c r="C41125" s="36"/>
      <c r="E41125" s="1"/>
      <c r="F41125" s="1"/>
      <c r="G41125" s="1"/>
    </row>
    <row r="41126">
      <c r="B41126" s="36"/>
      <c r="C41126" s="36"/>
      <c r="E41126" s="1"/>
      <c r="F41126" s="1"/>
      <c r="G41126" s="1"/>
    </row>
    <row r="41127">
      <c r="B41127" s="36"/>
      <c r="C41127" s="36"/>
      <c r="E41127" s="1"/>
      <c r="F41127" s="1"/>
      <c r="G41127" s="1"/>
    </row>
    <row r="41128">
      <c r="B41128" s="36"/>
      <c r="C41128" s="36"/>
      <c r="E41128" s="1"/>
      <c r="F41128" s="1"/>
      <c r="G41128" s="1"/>
    </row>
    <row r="41129">
      <c r="B41129" s="36"/>
      <c r="C41129" s="36"/>
      <c r="E41129" s="1"/>
      <c r="F41129" s="1"/>
      <c r="G41129" s="1"/>
    </row>
    <row r="41130">
      <c r="B41130" s="36"/>
      <c r="C41130" s="36"/>
      <c r="E41130" s="1"/>
      <c r="F41130" s="1"/>
      <c r="G41130" s="1"/>
    </row>
    <row r="41131">
      <c r="B41131" s="36"/>
      <c r="C41131" s="36"/>
      <c r="E41131" s="1"/>
      <c r="F41131" s="1"/>
      <c r="G41131" s="1"/>
    </row>
    <row r="41132">
      <c r="B41132" s="36"/>
      <c r="C41132" s="36"/>
      <c r="E41132" s="1"/>
      <c r="F41132" s="1"/>
      <c r="G41132" s="1"/>
    </row>
    <row r="41133">
      <c r="B41133" s="36"/>
      <c r="C41133" s="36"/>
      <c r="E41133" s="1"/>
      <c r="F41133" s="1"/>
      <c r="G41133" s="1"/>
    </row>
    <row r="41134">
      <c r="B41134" s="36"/>
      <c r="C41134" s="36"/>
      <c r="E41134" s="1"/>
      <c r="F41134" s="1"/>
      <c r="G41134" s="1"/>
    </row>
    <row r="41135">
      <c r="B41135" s="36"/>
      <c r="C41135" s="36"/>
      <c r="E41135" s="1"/>
      <c r="F41135" s="1"/>
      <c r="G41135" s="1"/>
    </row>
    <row r="41136">
      <c r="B41136" s="36"/>
      <c r="C41136" s="36"/>
      <c r="E41136" s="1"/>
      <c r="F41136" s="1"/>
      <c r="G41136" s="1"/>
    </row>
    <row r="41137">
      <c r="B41137" s="36"/>
      <c r="C41137" s="36"/>
      <c r="E41137" s="1"/>
      <c r="F41137" s="1"/>
      <c r="G41137" s="1"/>
    </row>
    <row r="41138">
      <c r="B41138" s="36"/>
      <c r="C41138" s="36"/>
      <c r="E41138" s="1"/>
      <c r="F41138" s="1"/>
      <c r="G41138" s="1"/>
    </row>
    <row r="41139">
      <c r="B41139" s="36"/>
      <c r="C41139" s="36"/>
      <c r="E41139" s="1"/>
      <c r="F41139" s="1"/>
      <c r="G41139" s="1"/>
    </row>
    <row r="41140">
      <c r="B41140" s="36"/>
      <c r="C41140" s="36"/>
      <c r="E41140" s="1"/>
      <c r="F41140" s="1"/>
      <c r="G41140" s="1"/>
    </row>
    <row r="41141">
      <c r="B41141" s="36"/>
      <c r="C41141" s="36"/>
      <c r="E41141" s="1"/>
      <c r="F41141" s="1"/>
      <c r="G41141" s="1"/>
    </row>
    <row r="41142">
      <c r="B41142" s="36"/>
      <c r="C41142" s="36"/>
      <c r="E41142" s="1"/>
      <c r="F41142" s="1"/>
      <c r="G41142" s="1"/>
    </row>
    <row r="41143">
      <c r="B41143" s="36"/>
      <c r="C41143" s="36"/>
      <c r="E41143" s="1"/>
      <c r="F41143" s="1"/>
      <c r="G41143" s="1"/>
    </row>
    <row r="41144">
      <c r="B41144" s="36"/>
      <c r="C41144" s="36"/>
      <c r="E41144" s="1"/>
      <c r="F41144" s="1"/>
      <c r="G41144" s="1"/>
    </row>
    <row r="41145">
      <c r="B41145" s="36"/>
      <c r="C41145" s="36"/>
      <c r="E41145" s="1"/>
      <c r="F41145" s="1"/>
      <c r="G41145" s="1"/>
    </row>
    <row r="41146">
      <c r="B41146" s="36"/>
      <c r="C41146" s="36"/>
      <c r="E41146" s="1"/>
      <c r="F41146" s="1"/>
      <c r="G41146" s="1"/>
    </row>
    <row r="41147">
      <c r="B41147" s="36"/>
      <c r="C41147" s="36"/>
      <c r="E41147" s="1"/>
      <c r="F41147" s="1"/>
      <c r="G41147" s="1"/>
    </row>
    <row r="41148">
      <c r="B41148" s="36"/>
      <c r="C41148" s="36"/>
      <c r="E41148" s="1"/>
      <c r="F41148" s="1"/>
      <c r="G41148" s="1"/>
    </row>
    <row r="41149">
      <c r="B41149" s="36"/>
      <c r="C41149" s="36"/>
      <c r="E41149" s="1"/>
      <c r="F41149" s="1"/>
      <c r="G41149" s="1"/>
    </row>
    <row r="41150">
      <c r="B41150" s="36"/>
      <c r="C41150" s="36"/>
      <c r="E41150" s="1"/>
      <c r="F41150" s="1"/>
      <c r="G41150" s="1"/>
    </row>
    <row r="41151">
      <c r="B41151" s="36"/>
      <c r="C41151" s="36"/>
      <c r="E41151" s="1"/>
      <c r="F41151" s="1"/>
      <c r="G41151" s="1"/>
    </row>
    <row r="41152">
      <c r="B41152" s="36"/>
      <c r="C41152" s="36"/>
      <c r="E41152" s="1"/>
      <c r="F41152" s="1"/>
      <c r="G41152" s="1"/>
    </row>
    <row r="41153">
      <c r="B41153" s="36"/>
      <c r="C41153" s="36"/>
      <c r="E41153" s="1"/>
      <c r="F41153" s="1"/>
      <c r="G41153" s="1"/>
    </row>
    <row r="41154">
      <c r="B41154" s="36"/>
      <c r="C41154" s="36"/>
      <c r="E41154" s="1"/>
      <c r="F41154" s="1"/>
      <c r="G41154" s="1"/>
    </row>
    <row r="41155">
      <c r="B41155" s="36"/>
      <c r="C41155" s="36"/>
      <c r="E41155" s="1"/>
      <c r="F41155" s="1"/>
      <c r="G41155" s="1"/>
    </row>
    <row r="41156">
      <c r="B41156" s="36"/>
      <c r="C41156" s="36"/>
      <c r="E41156" s="1"/>
      <c r="F41156" s="1"/>
      <c r="G41156" s="1"/>
    </row>
    <row r="41157">
      <c r="B41157" s="36"/>
      <c r="C41157" s="36"/>
      <c r="E41157" s="1"/>
      <c r="F41157" s="1"/>
      <c r="G41157" s="1"/>
    </row>
    <row r="41158">
      <c r="B41158" s="36"/>
      <c r="C41158" s="36"/>
      <c r="E41158" s="1"/>
      <c r="F41158" s="1"/>
      <c r="G41158" s="1"/>
    </row>
    <row r="41159">
      <c r="B41159" s="36"/>
      <c r="C41159" s="36"/>
      <c r="E41159" s="1"/>
      <c r="F41159" s="1"/>
      <c r="G41159" s="1"/>
    </row>
    <row r="41160">
      <c r="B41160" s="36"/>
      <c r="C41160" s="36"/>
      <c r="E41160" s="1"/>
      <c r="F41160" s="1"/>
      <c r="G41160" s="1"/>
    </row>
    <row r="41161">
      <c r="B41161" s="36"/>
      <c r="C41161" s="36"/>
      <c r="E41161" s="1"/>
      <c r="F41161" s="1"/>
      <c r="G41161" s="1"/>
    </row>
    <row r="41162">
      <c r="B41162" s="36"/>
      <c r="C41162" s="36"/>
      <c r="E41162" s="1"/>
      <c r="F41162" s="1"/>
      <c r="G41162" s="1"/>
    </row>
    <row r="41163">
      <c r="B41163" s="36"/>
      <c r="C41163" s="36"/>
      <c r="E41163" s="1"/>
      <c r="F41163" s="1"/>
      <c r="G41163" s="1"/>
    </row>
    <row r="41164">
      <c r="B41164" s="36"/>
      <c r="C41164" s="36"/>
      <c r="E41164" s="1"/>
      <c r="F41164" s="1"/>
      <c r="G41164" s="1"/>
    </row>
    <row r="41165">
      <c r="B41165" s="36"/>
      <c r="C41165" s="36"/>
      <c r="E41165" s="1"/>
      <c r="F41165" s="1"/>
      <c r="G41165" s="1"/>
    </row>
    <row r="41166">
      <c r="B41166" s="36"/>
      <c r="C41166" s="36"/>
      <c r="E41166" s="1"/>
      <c r="F41166" s="1"/>
      <c r="G41166" s="1"/>
    </row>
    <row r="41167">
      <c r="B41167" s="36"/>
      <c r="C41167" s="36"/>
      <c r="E41167" s="1"/>
      <c r="F41167" s="1"/>
      <c r="G41167" s="1"/>
    </row>
    <row r="41168">
      <c r="B41168" s="36"/>
      <c r="C41168" s="36"/>
      <c r="E41168" s="1"/>
      <c r="F41168" s="1"/>
      <c r="G41168" s="1"/>
    </row>
    <row r="41169">
      <c r="B41169" s="36"/>
      <c r="C41169" s="36"/>
      <c r="E41169" s="1"/>
      <c r="F41169" s="1"/>
      <c r="G41169" s="1"/>
    </row>
    <row r="41170">
      <c r="B41170" s="36"/>
      <c r="C41170" s="36"/>
      <c r="E41170" s="1"/>
      <c r="F41170" s="1"/>
      <c r="G41170" s="1"/>
    </row>
    <row r="41171">
      <c r="B41171" s="36"/>
      <c r="C41171" s="36"/>
      <c r="E41171" s="1"/>
      <c r="F41171" s="1"/>
      <c r="G41171" s="1"/>
    </row>
    <row r="41172">
      <c r="B41172" s="36"/>
      <c r="C41172" s="36"/>
      <c r="E41172" s="1"/>
      <c r="F41172" s="1"/>
      <c r="G41172" s="1"/>
    </row>
    <row r="41173">
      <c r="B41173" s="36"/>
      <c r="C41173" s="36"/>
      <c r="E41173" s="1"/>
      <c r="F41173" s="1"/>
      <c r="G41173" s="1"/>
    </row>
    <row r="41174">
      <c r="B41174" s="36"/>
      <c r="C41174" s="36"/>
      <c r="E41174" s="1"/>
      <c r="F41174" s="1"/>
      <c r="G41174" s="1"/>
    </row>
    <row r="41175">
      <c r="B41175" s="36"/>
      <c r="C41175" s="36"/>
      <c r="E41175" s="1"/>
      <c r="F41175" s="1"/>
      <c r="G41175" s="1"/>
    </row>
    <row r="41176">
      <c r="B41176" s="36"/>
      <c r="C41176" s="36"/>
      <c r="E41176" s="1"/>
      <c r="F41176" s="1"/>
      <c r="G41176" s="1"/>
    </row>
    <row r="41177">
      <c r="B41177" s="36"/>
      <c r="C41177" s="36"/>
      <c r="E41177" s="1"/>
      <c r="F41177" s="1"/>
      <c r="G41177" s="1"/>
    </row>
    <row r="41178">
      <c r="B41178" s="36"/>
      <c r="C41178" s="36"/>
      <c r="E41178" s="1"/>
      <c r="F41178" s="1"/>
      <c r="G41178" s="1"/>
    </row>
    <row r="41179">
      <c r="B41179" s="36"/>
      <c r="C41179" s="36"/>
      <c r="E41179" s="1"/>
      <c r="F41179" s="1"/>
      <c r="G41179" s="1"/>
    </row>
    <row r="41180">
      <c r="B41180" s="36"/>
      <c r="C41180" s="36"/>
      <c r="E41180" s="1"/>
      <c r="F41180" s="1"/>
      <c r="G41180" s="1"/>
    </row>
    <row r="41181">
      <c r="B41181" s="36"/>
      <c r="C41181" s="36"/>
      <c r="E41181" s="1"/>
      <c r="F41181" s="1"/>
      <c r="G41181" s="1"/>
    </row>
    <row r="41182">
      <c r="B41182" s="36"/>
      <c r="C41182" s="36"/>
      <c r="E41182" s="1"/>
      <c r="F41182" s="1"/>
      <c r="G41182" s="1"/>
    </row>
    <row r="41183">
      <c r="B41183" s="36"/>
      <c r="C41183" s="36"/>
      <c r="E41183" s="1"/>
      <c r="F41183" s="1"/>
      <c r="G41183" s="1"/>
    </row>
    <row r="41184">
      <c r="B41184" s="36"/>
      <c r="C41184" s="36"/>
      <c r="E41184" s="1"/>
      <c r="F41184" s="1"/>
      <c r="G41184" s="1"/>
    </row>
    <row r="41185">
      <c r="B41185" s="36"/>
      <c r="C41185" s="36"/>
      <c r="E41185" s="1"/>
      <c r="F41185" s="1"/>
      <c r="G41185" s="1"/>
    </row>
    <row r="41186">
      <c r="B41186" s="36"/>
      <c r="C41186" s="36"/>
      <c r="E41186" s="1"/>
      <c r="F41186" s="1"/>
      <c r="G41186" s="1"/>
    </row>
    <row r="41187">
      <c r="B41187" s="36"/>
      <c r="C41187" s="36"/>
      <c r="E41187" s="1"/>
      <c r="F41187" s="1"/>
      <c r="G41187" s="1"/>
    </row>
    <row r="41188">
      <c r="B41188" s="36"/>
      <c r="C41188" s="36"/>
      <c r="E41188" s="1"/>
      <c r="F41188" s="1"/>
      <c r="G41188" s="1"/>
    </row>
    <row r="41189">
      <c r="B41189" s="36"/>
      <c r="C41189" s="36"/>
      <c r="E41189" s="1"/>
      <c r="F41189" s="1"/>
      <c r="G41189" s="1"/>
    </row>
    <row r="41190">
      <c r="B41190" s="36"/>
      <c r="C41190" s="36"/>
      <c r="E41190" s="1"/>
      <c r="F41190" s="1"/>
      <c r="G41190" s="1"/>
    </row>
    <row r="41191">
      <c r="B41191" s="36"/>
      <c r="C41191" s="36"/>
      <c r="E41191" s="1"/>
      <c r="F41191" s="1"/>
      <c r="G41191" s="1"/>
    </row>
    <row r="41192">
      <c r="B41192" s="36"/>
      <c r="C41192" s="36"/>
      <c r="E41192" s="1"/>
      <c r="F41192" s="1"/>
      <c r="G41192" s="1"/>
    </row>
    <row r="41193">
      <c r="B41193" s="36"/>
      <c r="C41193" s="36"/>
      <c r="E41193" s="1"/>
      <c r="F41193" s="1"/>
      <c r="G41193" s="1"/>
    </row>
    <row r="41194">
      <c r="B41194" s="36"/>
      <c r="C41194" s="36"/>
      <c r="E41194" s="1"/>
      <c r="F41194" s="1"/>
      <c r="G41194" s="1"/>
    </row>
    <row r="41195">
      <c r="B41195" s="36"/>
      <c r="C41195" s="36"/>
      <c r="E41195" s="1"/>
      <c r="F41195" s="1"/>
      <c r="G41195" s="1"/>
    </row>
    <row r="41196">
      <c r="B41196" s="36"/>
      <c r="C41196" s="36"/>
      <c r="E41196" s="1"/>
      <c r="F41196" s="1"/>
      <c r="G41196" s="1"/>
    </row>
    <row r="41197">
      <c r="B41197" s="36"/>
      <c r="C41197" s="36"/>
      <c r="E41197" s="1"/>
      <c r="F41197" s="1"/>
      <c r="G41197" s="1"/>
    </row>
    <row r="41198">
      <c r="B41198" s="36"/>
      <c r="C41198" s="36"/>
      <c r="E41198" s="1"/>
      <c r="F41198" s="1"/>
      <c r="G41198" s="1"/>
    </row>
    <row r="41199">
      <c r="B41199" s="36"/>
      <c r="C41199" s="36"/>
      <c r="E41199" s="1"/>
      <c r="F41199" s="1"/>
      <c r="G41199" s="1"/>
    </row>
    <row r="41200">
      <c r="B41200" s="36"/>
      <c r="C41200" s="36"/>
      <c r="E41200" s="1"/>
      <c r="F41200" s="1"/>
      <c r="G41200" s="1"/>
    </row>
    <row r="41201">
      <c r="B41201" s="36"/>
      <c r="C41201" s="36"/>
      <c r="E41201" s="1"/>
      <c r="F41201" s="1"/>
      <c r="G41201" s="1"/>
    </row>
    <row r="41202">
      <c r="B41202" s="36"/>
      <c r="C41202" s="36"/>
      <c r="E41202" s="1"/>
      <c r="F41202" s="1"/>
      <c r="G41202" s="1"/>
    </row>
    <row r="41203">
      <c r="B41203" s="36"/>
      <c r="C41203" s="36"/>
      <c r="E41203" s="1"/>
      <c r="F41203" s="1"/>
      <c r="G41203" s="1"/>
    </row>
    <row r="41204">
      <c r="B41204" s="36"/>
      <c r="C41204" s="36"/>
      <c r="E41204" s="1"/>
      <c r="F41204" s="1"/>
      <c r="G41204" s="1"/>
    </row>
    <row r="41205">
      <c r="B41205" s="36"/>
      <c r="C41205" s="36"/>
      <c r="E41205" s="1"/>
      <c r="F41205" s="1"/>
      <c r="G41205" s="1"/>
    </row>
    <row r="41206">
      <c r="B41206" s="36"/>
      <c r="C41206" s="36"/>
      <c r="E41206" s="1"/>
      <c r="F41206" s="1"/>
      <c r="G41206" s="1"/>
    </row>
    <row r="41207">
      <c r="B41207" s="36"/>
      <c r="C41207" s="36"/>
      <c r="E41207" s="1"/>
      <c r="F41207" s="1"/>
      <c r="G41207" s="1"/>
    </row>
    <row r="41208">
      <c r="B41208" s="36"/>
      <c r="C41208" s="36"/>
      <c r="E41208" s="1"/>
      <c r="F41208" s="1"/>
      <c r="G41208" s="1"/>
    </row>
    <row r="41209">
      <c r="B41209" s="36"/>
      <c r="C41209" s="36"/>
      <c r="E41209" s="1"/>
      <c r="F41209" s="1"/>
      <c r="G41209" s="1"/>
    </row>
    <row r="41210">
      <c r="B41210" s="36"/>
      <c r="C41210" s="36"/>
      <c r="E41210" s="1"/>
      <c r="F41210" s="1"/>
      <c r="G41210" s="1"/>
    </row>
    <row r="41211">
      <c r="B41211" s="36"/>
      <c r="C41211" s="36"/>
      <c r="E41211" s="1"/>
      <c r="F41211" s="1"/>
      <c r="G41211" s="1"/>
    </row>
    <row r="41212">
      <c r="B41212" s="36"/>
      <c r="C41212" s="36"/>
      <c r="E41212" s="1"/>
      <c r="F41212" s="1"/>
      <c r="G41212" s="1"/>
    </row>
    <row r="41213">
      <c r="B41213" s="36"/>
      <c r="C41213" s="36"/>
      <c r="E41213" s="1"/>
      <c r="F41213" s="1"/>
      <c r="G41213" s="1"/>
    </row>
    <row r="41214">
      <c r="B41214" s="36"/>
      <c r="C41214" s="36"/>
      <c r="E41214" s="1"/>
      <c r="F41214" s="1"/>
      <c r="G41214" s="1"/>
    </row>
    <row r="41215">
      <c r="B41215" s="36"/>
      <c r="C41215" s="36"/>
      <c r="E41215" s="1"/>
      <c r="F41215" s="1"/>
      <c r="G41215" s="1"/>
    </row>
    <row r="41216">
      <c r="B41216" s="36"/>
      <c r="C41216" s="36"/>
      <c r="E41216" s="1"/>
      <c r="F41216" s="1"/>
      <c r="G41216" s="1"/>
    </row>
    <row r="41217">
      <c r="B41217" s="36"/>
      <c r="C41217" s="36"/>
      <c r="E41217" s="1"/>
      <c r="F41217" s="1"/>
      <c r="G41217" s="1"/>
    </row>
    <row r="41218">
      <c r="B41218" s="36"/>
      <c r="C41218" s="36"/>
      <c r="E41218" s="1"/>
      <c r="F41218" s="1"/>
      <c r="G41218" s="1"/>
    </row>
    <row r="41219">
      <c r="B41219" s="36"/>
      <c r="C41219" s="36"/>
      <c r="E41219" s="1"/>
      <c r="F41219" s="1"/>
      <c r="G41219" s="1"/>
    </row>
    <row r="41220">
      <c r="B41220" s="36"/>
      <c r="C41220" s="36"/>
      <c r="E41220" s="1"/>
      <c r="F41220" s="1"/>
      <c r="G41220" s="1"/>
    </row>
    <row r="41221">
      <c r="B41221" s="36"/>
      <c r="C41221" s="36"/>
      <c r="E41221" s="1"/>
      <c r="F41221" s="1"/>
      <c r="G41221" s="1"/>
    </row>
    <row r="41222">
      <c r="B41222" s="36"/>
      <c r="C41222" s="36"/>
      <c r="E41222" s="1"/>
      <c r="F41222" s="1"/>
      <c r="G41222" s="1"/>
    </row>
    <row r="41223">
      <c r="B41223" s="36"/>
      <c r="C41223" s="36"/>
      <c r="E41223" s="1"/>
      <c r="F41223" s="1"/>
      <c r="G41223" s="1"/>
    </row>
    <row r="41224">
      <c r="B41224" s="36"/>
      <c r="C41224" s="36"/>
      <c r="E41224" s="1"/>
      <c r="F41224" s="1"/>
      <c r="G41224" s="1"/>
    </row>
    <row r="41225">
      <c r="B41225" s="36"/>
      <c r="C41225" s="36"/>
      <c r="E41225" s="1"/>
      <c r="F41225" s="1"/>
      <c r="G41225" s="1"/>
    </row>
    <row r="41226">
      <c r="B41226" s="36"/>
      <c r="C41226" s="36"/>
      <c r="E41226" s="1"/>
      <c r="F41226" s="1"/>
      <c r="G41226" s="1"/>
    </row>
    <row r="41227">
      <c r="B41227" s="36"/>
      <c r="C41227" s="36"/>
      <c r="E41227" s="1"/>
      <c r="F41227" s="1"/>
      <c r="G41227" s="1"/>
    </row>
    <row r="41228">
      <c r="B41228" s="36"/>
      <c r="C41228" s="36"/>
      <c r="E41228" s="1"/>
      <c r="F41228" s="1"/>
      <c r="G41228" s="1"/>
    </row>
    <row r="41229">
      <c r="B41229" s="36"/>
      <c r="C41229" s="36"/>
      <c r="E41229" s="1"/>
      <c r="F41229" s="1"/>
      <c r="G41229" s="1"/>
    </row>
    <row r="41230">
      <c r="B41230" s="36"/>
      <c r="C41230" s="36"/>
      <c r="E41230" s="1"/>
      <c r="F41230" s="1"/>
      <c r="G41230" s="1"/>
    </row>
    <row r="41231">
      <c r="B41231" s="36"/>
      <c r="C41231" s="36"/>
      <c r="E41231" s="1"/>
      <c r="F41231" s="1"/>
      <c r="G41231" s="1"/>
    </row>
    <row r="41232">
      <c r="B41232" s="36"/>
      <c r="C41232" s="36"/>
      <c r="E41232" s="1"/>
      <c r="F41232" s="1"/>
      <c r="G41232" s="1"/>
    </row>
    <row r="41233">
      <c r="B41233" s="36"/>
      <c r="C41233" s="36"/>
      <c r="E41233" s="1"/>
      <c r="F41233" s="1"/>
      <c r="G41233" s="1"/>
    </row>
    <row r="41234">
      <c r="B41234" s="36"/>
      <c r="C41234" s="36"/>
      <c r="E41234" s="1"/>
      <c r="F41234" s="1"/>
      <c r="G41234" s="1"/>
    </row>
    <row r="41235">
      <c r="B41235" s="36"/>
      <c r="C41235" s="36"/>
      <c r="E41235" s="1"/>
      <c r="F41235" s="1"/>
      <c r="G41235" s="1"/>
    </row>
    <row r="41236">
      <c r="B41236" s="36"/>
      <c r="C41236" s="36"/>
      <c r="E41236" s="1"/>
      <c r="F41236" s="1"/>
      <c r="G41236" s="1"/>
    </row>
    <row r="41237">
      <c r="B41237" s="36"/>
      <c r="C41237" s="36"/>
      <c r="E41237" s="1"/>
      <c r="F41237" s="1"/>
      <c r="G41237" s="1"/>
    </row>
    <row r="41238">
      <c r="B41238" s="36"/>
      <c r="C41238" s="36"/>
      <c r="E41238" s="1"/>
      <c r="F41238" s="1"/>
      <c r="G41238" s="1"/>
    </row>
    <row r="41239">
      <c r="B41239" s="36"/>
      <c r="C41239" s="36"/>
      <c r="E41239" s="1"/>
      <c r="F41239" s="1"/>
      <c r="G41239" s="1"/>
    </row>
    <row r="41240">
      <c r="B41240" s="36"/>
      <c r="C41240" s="36"/>
      <c r="E41240" s="1"/>
      <c r="F41240" s="1"/>
      <c r="G41240" s="1"/>
    </row>
    <row r="41241">
      <c r="B41241" s="36"/>
      <c r="C41241" s="36"/>
      <c r="E41241" s="1"/>
      <c r="F41241" s="1"/>
      <c r="G41241" s="1"/>
    </row>
    <row r="41242">
      <c r="B41242" s="36"/>
      <c r="C41242" s="36"/>
      <c r="E41242" s="1"/>
      <c r="F41242" s="1"/>
      <c r="G41242" s="1"/>
    </row>
    <row r="41243">
      <c r="B41243" s="36"/>
      <c r="C41243" s="36"/>
      <c r="E41243" s="1"/>
      <c r="F41243" s="1"/>
      <c r="G41243" s="1"/>
    </row>
    <row r="41244">
      <c r="B41244" s="36"/>
      <c r="C41244" s="36"/>
      <c r="E41244" s="1"/>
      <c r="F41244" s="1"/>
      <c r="G41244" s="1"/>
    </row>
    <row r="41245">
      <c r="B41245" s="36"/>
      <c r="C41245" s="36"/>
      <c r="E41245" s="1"/>
      <c r="F41245" s="1"/>
      <c r="G41245" s="1"/>
    </row>
    <row r="41246">
      <c r="B41246" s="36"/>
      <c r="C41246" s="36"/>
      <c r="E41246" s="1"/>
      <c r="F41246" s="1"/>
      <c r="G41246" s="1"/>
    </row>
    <row r="41247">
      <c r="B41247" s="36"/>
      <c r="C41247" s="36"/>
      <c r="E41247" s="1"/>
      <c r="F41247" s="1"/>
      <c r="G41247" s="1"/>
    </row>
    <row r="41248">
      <c r="B41248" s="36"/>
      <c r="C41248" s="36"/>
      <c r="E41248" s="1"/>
      <c r="F41248" s="1"/>
      <c r="G41248" s="1"/>
    </row>
    <row r="41249">
      <c r="B41249" s="36"/>
      <c r="C41249" s="36"/>
      <c r="E41249" s="1"/>
      <c r="F41249" s="1"/>
      <c r="G41249" s="1"/>
    </row>
    <row r="41250">
      <c r="B41250" s="36"/>
      <c r="C41250" s="36"/>
      <c r="E41250" s="1"/>
      <c r="F41250" s="1"/>
      <c r="G41250" s="1"/>
    </row>
    <row r="41251">
      <c r="B41251" s="36"/>
      <c r="C41251" s="36"/>
      <c r="E41251" s="1"/>
      <c r="F41251" s="1"/>
      <c r="G41251" s="1"/>
    </row>
    <row r="41252">
      <c r="B41252" s="36"/>
      <c r="C41252" s="36"/>
      <c r="E41252" s="1"/>
      <c r="F41252" s="1"/>
      <c r="G41252" s="1"/>
    </row>
    <row r="41253">
      <c r="B41253" s="36"/>
      <c r="C41253" s="36"/>
      <c r="E41253" s="1"/>
      <c r="F41253" s="1"/>
      <c r="G41253" s="1"/>
    </row>
    <row r="41254">
      <c r="B41254" s="36"/>
      <c r="C41254" s="36"/>
      <c r="E41254" s="1"/>
      <c r="F41254" s="1"/>
      <c r="G41254" s="1"/>
    </row>
    <row r="41255">
      <c r="B41255" s="36"/>
      <c r="C41255" s="36"/>
      <c r="E41255" s="1"/>
      <c r="F41255" s="1"/>
      <c r="G41255" s="1"/>
    </row>
    <row r="41256">
      <c r="B41256" s="36"/>
      <c r="C41256" s="36"/>
      <c r="E41256" s="1"/>
      <c r="F41256" s="1"/>
      <c r="G41256" s="1"/>
    </row>
    <row r="41257">
      <c r="B41257" s="36"/>
      <c r="C41257" s="36"/>
      <c r="E41257" s="1"/>
      <c r="F41257" s="1"/>
      <c r="G41257" s="1"/>
    </row>
    <row r="41258">
      <c r="B41258" s="36"/>
      <c r="C41258" s="36"/>
      <c r="E41258" s="1"/>
      <c r="F41258" s="1"/>
      <c r="G41258" s="1"/>
    </row>
    <row r="41259">
      <c r="B41259" s="36"/>
      <c r="C41259" s="36"/>
      <c r="E41259" s="1"/>
      <c r="F41259" s="1"/>
      <c r="G41259" s="1"/>
    </row>
    <row r="41260">
      <c r="B41260" s="36"/>
      <c r="C41260" s="36"/>
      <c r="E41260" s="1"/>
      <c r="F41260" s="1"/>
      <c r="G41260" s="1"/>
    </row>
    <row r="41261">
      <c r="B41261" s="36"/>
      <c r="C41261" s="36"/>
      <c r="E41261" s="1"/>
      <c r="F41261" s="1"/>
      <c r="G41261" s="1"/>
    </row>
    <row r="41262">
      <c r="B41262" s="36"/>
      <c r="C41262" s="36"/>
      <c r="E41262" s="1"/>
      <c r="F41262" s="1"/>
      <c r="G41262" s="1"/>
    </row>
    <row r="41263">
      <c r="B41263" s="36"/>
      <c r="C41263" s="36"/>
      <c r="E41263" s="1"/>
      <c r="F41263" s="1"/>
      <c r="G41263" s="1"/>
    </row>
    <row r="41264">
      <c r="B41264" s="36"/>
      <c r="C41264" s="36"/>
      <c r="E41264" s="1"/>
      <c r="F41264" s="1"/>
      <c r="G41264" s="1"/>
    </row>
    <row r="41265">
      <c r="B41265" s="36"/>
      <c r="C41265" s="36"/>
      <c r="E41265" s="1"/>
      <c r="F41265" s="1"/>
      <c r="G41265" s="1"/>
    </row>
    <row r="41266">
      <c r="B41266" s="36"/>
      <c r="C41266" s="36"/>
      <c r="E41266" s="1"/>
      <c r="F41266" s="1"/>
      <c r="G41266" s="1"/>
    </row>
    <row r="41267">
      <c r="B41267" s="36"/>
      <c r="C41267" s="36"/>
      <c r="E41267" s="1"/>
      <c r="F41267" s="1"/>
      <c r="G41267" s="1"/>
    </row>
    <row r="41268">
      <c r="B41268" s="36"/>
      <c r="C41268" s="36"/>
      <c r="E41268" s="1"/>
      <c r="F41268" s="1"/>
      <c r="G41268" s="1"/>
    </row>
    <row r="41269">
      <c r="B41269" s="36"/>
      <c r="C41269" s="36"/>
      <c r="E41269" s="1"/>
      <c r="F41269" s="1"/>
      <c r="G41269" s="1"/>
    </row>
    <row r="41270">
      <c r="B41270" s="36"/>
      <c r="C41270" s="36"/>
      <c r="E41270" s="1"/>
      <c r="F41270" s="1"/>
      <c r="G41270" s="1"/>
    </row>
    <row r="41271">
      <c r="B41271" s="36"/>
      <c r="C41271" s="36"/>
      <c r="E41271" s="1"/>
      <c r="F41271" s="1"/>
      <c r="G41271" s="1"/>
    </row>
    <row r="41272">
      <c r="B41272" s="36"/>
      <c r="C41272" s="36"/>
      <c r="E41272" s="1"/>
      <c r="F41272" s="1"/>
      <c r="G41272" s="1"/>
    </row>
    <row r="41273">
      <c r="B41273" s="36"/>
      <c r="C41273" s="36"/>
      <c r="E41273" s="1"/>
      <c r="F41273" s="1"/>
      <c r="G41273" s="1"/>
    </row>
    <row r="41274">
      <c r="B41274" s="36"/>
      <c r="C41274" s="36"/>
      <c r="E41274" s="1"/>
      <c r="F41274" s="1"/>
      <c r="G41274" s="1"/>
    </row>
    <row r="41275">
      <c r="B41275" s="36"/>
      <c r="C41275" s="36"/>
      <c r="E41275" s="1"/>
      <c r="F41275" s="1"/>
      <c r="G41275" s="1"/>
    </row>
    <row r="41276">
      <c r="B41276" s="36"/>
      <c r="C41276" s="36"/>
      <c r="E41276" s="1"/>
      <c r="F41276" s="1"/>
      <c r="G41276" s="1"/>
    </row>
    <row r="41277">
      <c r="B41277" s="36"/>
      <c r="C41277" s="36"/>
      <c r="E41277" s="1"/>
      <c r="F41277" s="1"/>
      <c r="G41277" s="1"/>
    </row>
    <row r="41278">
      <c r="B41278" s="36"/>
      <c r="C41278" s="36"/>
      <c r="E41278" s="1"/>
      <c r="F41278" s="1"/>
      <c r="G41278" s="1"/>
    </row>
    <row r="41279">
      <c r="B41279" s="36"/>
      <c r="C41279" s="36"/>
      <c r="E41279" s="1"/>
      <c r="F41279" s="1"/>
      <c r="G41279" s="1"/>
    </row>
    <row r="41280">
      <c r="B41280" s="36"/>
      <c r="C41280" s="36"/>
      <c r="E41280" s="1"/>
      <c r="F41280" s="1"/>
      <c r="G41280" s="1"/>
    </row>
    <row r="41281">
      <c r="B41281" s="36"/>
      <c r="C41281" s="36"/>
      <c r="E41281" s="1"/>
      <c r="F41281" s="1"/>
      <c r="G41281" s="1"/>
    </row>
    <row r="41282">
      <c r="B41282" s="36"/>
      <c r="C41282" s="36"/>
      <c r="E41282" s="1"/>
      <c r="F41282" s="1"/>
      <c r="G41282" s="1"/>
    </row>
    <row r="41283">
      <c r="B41283" s="36"/>
      <c r="C41283" s="36"/>
      <c r="E41283" s="1"/>
      <c r="F41283" s="1"/>
      <c r="G41283" s="1"/>
    </row>
    <row r="41284">
      <c r="B41284" s="36"/>
      <c r="C41284" s="36"/>
      <c r="E41284" s="1"/>
      <c r="F41284" s="1"/>
      <c r="G41284" s="1"/>
    </row>
    <row r="41285">
      <c r="B41285" s="36"/>
      <c r="C41285" s="36"/>
      <c r="E41285" s="1"/>
      <c r="F41285" s="1"/>
      <c r="G41285" s="1"/>
    </row>
    <row r="41286">
      <c r="B41286" s="36"/>
      <c r="C41286" s="36"/>
      <c r="E41286" s="1"/>
      <c r="F41286" s="1"/>
      <c r="G41286" s="1"/>
    </row>
    <row r="41287">
      <c r="B41287" s="36"/>
      <c r="C41287" s="36"/>
      <c r="E41287" s="1"/>
      <c r="F41287" s="1"/>
      <c r="G41287" s="1"/>
    </row>
    <row r="41288">
      <c r="B41288" s="36"/>
      <c r="C41288" s="36"/>
      <c r="E41288" s="1"/>
      <c r="F41288" s="1"/>
      <c r="G41288" s="1"/>
    </row>
    <row r="41289">
      <c r="B41289" s="36"/>
      <c r="C41289" s="36"/>
      <c r="E41289" s="1"/>
      <c r="F41289" s="1"/>
      <c r="G41289" s="1"/>
    </row>
    <row r="41290">
      <c r="B41290" s="36"/>
      <c r="C41290" s="36"/>
      <c r="E41290" s="1"/>
      <c r="F41290" s="1"/>
      <c r="G41290" s="1"/>
    </row>
    <row r="41291">
      <c r="B41291" s="36"/>
      <c r="C41291" s="36"/>
      <c r="E41291" s="1"/>
      <c r="F41291" s="1"/>
      <c r="G41291" s="1"/>
    </row>
    <row r="41292">
      <c r="B41292" s="36"/>
      <c r="C41292" s="36"/>
      <c r="E41292" s="1"/>
      <c r="F41292" s="1"/>
      <c r="G41292" s="1"/>
    </row>
    <row r="41293">
      <c r="B41293" s="36"/>
      <c r="C41293" s="36"/>
      <c r="E41293" s="1"/>
      <c r="F41293" s="1"/>
      <c r="G41293" s="1"/>
    </row>
    <row r="41294">
      <c r="B41294" s="36"/>
      <c r="C41294" s="36"/>
      <c r="E41294" s="1"/>
      <c r="F41294" s="1"/>
      <c r="G41294" s="1"/>
    </row>
    <row r="41295">
      <c r="B41295" s="36"/>
      <c r="C41295" s="36"/>
      <c r="E41295" s="1"/>
      <c r="F41295" s="1"/>
      <c r="G41295" s="1"/>
    </row>
    <row r="41296">
      <c r="B41296" s="36"/>
      <c r="C41296" s="36"/>
      <c r="E41296" s="1"/>
      <c r="F41296" s="1"/>
      <c r="G41296" s="1"/>
    </row>
    <row r="41297">
      <c r="B41297" s="36"/>
      <c r="C41297" s="36"/>
      <c r="E41297" s="1"/>
      <c r="F41297" s="1"/>
      <c r="G41297" s="1"/>
    </row>
    <row r="41298">
      <c r="B41298" s="36"/>
      <c r="C41298" s="36"/>
      <c r="E41298" s="1"/>
      <c r="F41298" s="1"/>
      <c r="G41298" s="1"/>
    </row>
    <row r="41299">
      <c r="B41299" s="36"/>
      <c r="C41299" s="36"/>
      <c r="E41299" s="1"/>
      <c r="F41299" s="1"/>
      <c r="G41299" s="1"/>
    </row>
    <row r="41300">
      <c r="B41300" s="36"/>
      <c r="C41300" s="36"/>
      <c r="E41300" s="1"/>
      <c r="F41300" s="1"/>
      <c r="G41300" s="1"/>
    </row>
    <row r="41301">
      <c r="B41301" s="36"/>
      <c r="C41301" s="36"/>
      <c r="E41301" s="1"/>
      <c r="F41301" s="1"/>
      <c r="G41301" s="1"/>
    </row>
    <row r="41302">
      <c r="B41302" s="36"/>
      <c r="C41302" s="36"/>
      <c r="E41302" s="1"/>
      <c r="F41302" s="1"/>
      <c r="G41302" s="1"/>
    </row>
    <row r="41303">
      <c r="B41303" s="36"/>
      <c r="C41303" s="36"/>
      <c r="E41303" s="1"/>
      <c r="F41303" s="1"/>
      <c r="G41303" s="1"/>
    </row>
    <row r="41304">
      <c r="B41304" s="36"/>
      <c r="C41304" s="36"/>
      <c r="E41304" s="1"/>
      <c r="F41304" s="1"/>
      <c r="G41304" s="1"/>
    </row>
    <row r="41305">
      <c r="B41305" s="36"/>
      <c r="C41305" s="36"/>
      <c r="E41305" s="1"/>
      <c r="F41305" s="1"/>
      <c r="G41305" s="1"/>
    </row>
    <row r="41306">
      <c r="B41306" s="36"/>
      <c r="C41306" s="36"/>
      <c r="E41306" s="1"/>
      <c r="F41306" s="1"/>
      <c r="G41306" s="1"/>
    </row>
    <row r="41307">
      <c r="B41307" s="36"/>
      <c r="C41307" s="36"/>
      <c r="E41307" s="1"/>
      <c r="F41307" s="1"/>
      <c r="G41307" s="1"/>
    </row>
    <row r="41308">
      <c r="B41308" s="36"/>
      <c r="C41308" s="36"/>
      <c r="E41308" s="1"/>
      <c r="F41308" s="1"/>
      <c r="G41308" s="1"/>
    </row>
    <row r="41309">
      <c r="B41309" s="36"/>
      <c r="C41309" s="36"/>
      <c r="E41309" s="1"/>
      <c r="F41309" s="1"/>
      <c r="G41309" s="1"/>
    </row>
    <row r="41310">
      <c r="B41310" s="36"/>
      <c r="C41310" s="36"/>
      <c r="E41310" s="1"/>
      <c r="F41310" s="1"/>
      <c r="G41310" s="1"/>
    </row>
    <row r="41311">
      <c r="B41311" s="36"/>
      <c r="C41311" s="36"/>
      <c r="E41311" s="1"/>
      <c r="F41311" s="1"/>
      <c r="G41311" s="1"/>
    </row>
    <row r="41312">
      <c r="B41312" s="36"/>
      <c r="C41312" s="36"/>
      <c r="E41312" s="1"/>
      <c r="F41312" s="1"/>
      <c r="G41312" s="1"/>
    </row>
    <row r="41313">
      <c r="B41313" s="36"/>
      <c r="C41313" s="36"/>
      <c r="E41313" s="1"/>
      <c r="F41313" s="1"/>
      <c r="G41313" s="1"/>
    </row>
    <row r="41314">
      <c r="B41314" s="36"/>
      <c r="C41314" s="36"/>
      <c r="E41314" s="1"/>
      <c r="F41314" s="1"/>
      <c r="G41314" s="1"/>
    </row>
    <row r="41315">
      <c r="B41315" s="36"/>
      <c r="C41315" s="36"/>
      <c r="E41315" s="1"/>
      <c r="F41315" s="1"/>
      <c r="G41315" s="1"/>
    </row>
    <row r="41316">
      <c r="B41316" s="36"/>
      <c r="C41316" s="36"/>
      <c r="E41316" s="1"/>
      <c r="F41316" s="1"/>
      <c r="G41316" s="1"/>
    </row>
    <row r="41317">
      <c r="B41317" s="36"/>
      <c r="C41317" s="36"/>
      <c r="E41317" s="1"/>
      <c r="F41317" s="1"/>
      <c r="G41317" s="1"/>
    </row>
    <row r="41318">
      <c r="B41318" s="36"/>
      <c r="C41318" s="36"/>
      <c r="E41318" s="1"/>
      <c r="F41318" s="1"/>
      <c r="G41318" s="1"/>
    </row>
    <row r="41319">
      <c r="B41319" s="36"/>
      <c r="C41319" s="36"/>
      <c r="E41319" s="1"/>
      <c r="F41319" s="1"/>
      <c r="G41319" s="1"/>
    </row>
    <row r="41320">
      <c r="B41320" s="36"/>
      <c r="C41320" s="36"/>
      <c r="E41320" s="1"/>
      <c r="F41320" s="1"/>
      <c r="G41320" s="1"/>
    </row>
    <row r="41321">
      <c r="B41321" s="36"/>
      <c r="C41321" s="36"/>
      <c r="E41321" s="1"/>
      <c r="F41321" s="1"/>
      <c r="G41321" s="1"/>
    </row>
    <row r="41322">
      <c r="B41322" s="36"/>
      <c r="C41322" s="36"/>
      <c r="E41322" s="1"/>
      <c r="F41322" s="1"/>
      <c r="G41322" s="1"/>
    </row>
    <row r="41323">
      <c r="B41323" s="36"/>
      <c r="C41323" s="36"/>
      <c r="E41323" s="1"/>
      <c r="F41323" s="1"/>
      <c r="G41323" s="1"/>
    </row>
    <row r="41324">
      <c r="B41324" s="36"/>
      <c r="C41324" s="36"/>
      <c r="E41324" s="1"/>
      <c r="F41324" s="1"/>
      <c r="G41324" s="1"/>
    </row>
    <row r="41325">
      <c r="B41325" s="36"/>
      <c r="C41325" s="36"/>
      <c r="E41325" s="1"/>
      <c r="F41325" s="1"/>
      <c r="G41325" s="1"/>
    </row>
    <row r="41326">
      <c r="B41326" s="36"/>
      <c r="C41326" s="36"/>
      <c r="E41326" s="1"/>
      <c r="F41326" s="1"/>
      <c r="G41326" s="1"/>
    </row>
    <row r="41327">
      <c r="B41327" s="36"/>
      <c r="C41327" s="36"/>
      <c r="E41327" s="1"/>
      <c r="F41327" s="1"/>
      <c r="G41327" s="1"/>
    </row>
    <row r="41328">
      <c r="B41328" s="36"/>
      <c r="C41328" s="36"/>
      <c r="E41328" s="1"/>
      <c r="F41328" s="1"/>
      <c r="G41328" s="1"/>
    </row>
    <row r="41329">
      <c r="B41329" s="36"/>
      <c r="C41329" s="36"/>
      <c r="E41329" s="1"/>
      <c r="F41329" s="1"/>
      <c r="G41329" s="1"/>
    </row>
    <row r="41330">
      <c r="B41330" s="36"/>
      <c r="C41330" s="36"/>
      <c r="E41330" s="1"/>
      <c r="F41330" s="1"/>
      <c r="G41330" s="1"/>
    </row>
    <row r="41331">
      <c r="B41331" s="36"/>
      <c r="C41331" s="36"/>
      <c r="E41331" s="1"/>
      <c r="F41331" s="1"/>
      <c r="G41331" s="1"/>
    </row>
    <row r="41332">
      <c r="B41332" s="36"/>
      <c r="C41332" s="36"/>
      <c r="E41332" s="1"/>
      <c r="F41332" s="1"/>
      <c r="G41332" s="1"/>
    </row>
    <row r="41333">
      <c r="B41333" s="36"/>
      <c r="C41333" s="36"/>
      <c r="E41333" s="1"/>
      <c r="F41333" s="1"/>
      <c r="G41333" s="1"/>
    </row>
    <row r="41334">
      <c r="B41334" s="36"/>
      <c r="C41334" s="36"/>
      <c r="E41334" s="1"/>
      <c r="F41334" s="1"/>
      <c r="G41334" s="1"/>
    </row>
    <row r="41335">
      <c r="B41335" s="36"/>
      <c r="C41335" s="36"/>
      <c r="E41335" s="1"/>
      <c r="F41335" s="1"/>
      <c r="G41335" s="1"/>
    </row>
    <row r="41336">
      <c r="B41336" s="36"/>
      <c r="C41336" s="36"/>
      <c r="E41336" s="1"/>
      <c r="F41336" s="1"/>
      <c r="G41336" s="1"/>
    </row>
    <row r="41337">
      <c r="B41337" s="36"/>
      <c r="C41337" s="36"/>
      <c r="E41337" s="1"/>
      <c r="F41337" s="1"/>
      <c r="G41337" s="1"/>
    </row>
    <row r="41338">
      <c r="B41338" s="36"/>
      <c r="C41338" s="36"/>
      <c r="E41338" s="1"/>
      <c r="F41338" s="1"/>
      <c r="G41338" s="1"/>
    </row>
    <row r="41339">
      <c r="B41339" s="36"/>
      <c r="C41339" s="36"/>
      <c r="E41339" s="1"/>
      <c r="F41339" s="1"/>
      <c r="G41339" s="1"/>
    </row>
    <row r="41340">
      <c r="B41340" s="36"/>
      <c r="C41340" s="36"/>
      <c r="E41340" s="1"/>
      <c r="F41340" s="1"/>
      <c r="G41340" s="1"/>
    </row>
    <row r="41341">
      <c r="B41341" s="36"/>
      <c r="C41341" s="36"/>
      <c r="E41341" s="1"/>
      <c r="F41341" s="1"/>
      <c r="G41341" s="1"/>
    </row>
    <row r="41342">
      <c r="B41342" s="36"/>
      <c r="C41342" s="36"/>
      <c r="E41342" s="1"/>
      <c r="F41342" s="1"/>
      <c r="G41342" s="1"/>
    </row>
    <row r="41343">
      <c r="B41343" s="36"/>
      <c r="C41343" s="36"/>
      <c r="E41343" s="1"/>
      <c r="F41343" s="1"/>
      <c r="G41343" s="1"/>
    </row>
    <row r="41344">
      <c r="B41344" s="36"/>
      <c r="C41344" s="36"/>
      <c r="E41344" s="1"/>
      <c r="F41344" s="1"/>
      <c r="G41344" s="1"/>
    </row>
    <row r="41345">
      <c r="B41345" s="36"/>
      <c r="C41345" s="36"/>
      <c r="E41345" s="1"/>
      <c r="F41345" s="1"/>
      <c r="G41345" s="1"/>
    </row>
    <row r="41346">
      <c r="B41346" s="36"/>
      <c r="C41346" s="36"/>
      <c r="E41346" s="1"/>
      <c r="F41346" s="1"/>
      <c r="G41346" s="1"/>
    </row>
    <row r="41347">
      <c r="B41347" s="36"/>
      <c r="C41347" s="36"/>
      <c r="E41347" s="1"/>
      <c r="F41347" s="1"/>
      <c r="G41347" s="1"/>
    </row>
    <row r="41348">
      <c r="B41348" s="36"/>
      <c r="C41348" s="36"/>
      <c r="E41348" s="1"/>
      <c r="F41348" s="1"/>
      <c r="G41348" s="1"/>
    </row>
    <row r="41349">
      <c r="B41349" s="36"/>
      <c r="C41349" s="36"/>
      <c r="E41349" s="1"/>
      <c r="F41349" s="1"/>
      <c r="G41349" s="1"/>
    </row>
    <row r="41350">
      <c r="B41350" s="36"/>
      <c r="C41350" s="36"/>
      <c r="E41350" s="1"/>
      <c r="F41350" s="1"/>
      <c r="G41350" s="1"/>
    </row>
    <row r="41351">
      <c r="B41351" s="36"/>
      <c r="C41351" s="36"/>
      <c r="E41351" s="1"/>
      <c r="F41351" s="1"/>
      <c r="G41351" s="1"/>
    </row>
    <row r="41352">
      <c r="B41352" s="36"/>
      <c r="C41352" s="36"/>
      <c r="E41352" s="1"/>
      <c r="F41352" s="1"/>
      <c r="G41352" s="1"/>
    </row>
    <row r="41353">
      <c r="B41353" s="36"/>
      <c r="C41353" s="36"/>
      <c r="E41353" s="1"/>
      <c r="F41353" s="1"/>
      <c r="G41353" s="1"/>
    </row>
    <row r="41354">
      <c r="B41354" s="36"/>
      <c r="C41354" s="36"/>
      <c r="E41354" s="1"/>
      <c r="F41354" s="1"/>
      <c r="G41354" s="1"/>
    </row>
    <row r="41355">
      <c r="B41355" s="36"/>
      <c r="C41355" s="36"/>
      <c r="E41355" s="1"/>
      <c r="F41355" s="1"/>
      <c r="G41355" s="1"/>
    </row>
    <row r="41356">
      <c r="B41356" s="36"/>
      <c r="C41356" s="36"/>
      <c r="E41356" s="1"/>
      <c r="F41356" s="1"/>
      <c r="G41356" s="1"/>
    </row>
    <row r="41357">
      <c r="B41357" s="36"/>
      <c r="C41357" s="36"/>
      <c r="E41357" s="1"/>
      <c r="F41357" s="1"/>
      <c r="G41357" s="1"/>
    </row>
    <row r="41358">
      <c r="B41358" s="36"/>
      <c r="C41358" s="36"/>
      <c r="E41358" s="1"/>
      <c r="F41358" s="1"/>
      <c r="G41358" s="1"/>
    </row>
    <row r="41359">
      <c r="B41359" s="36"/>
      <c r="C41359" s="36"/>
      <c r="E41359" s="1"/>
      <c r="F41359" s="1"/>
      <c r="G41359" s="1"/>
    </row>
    <row r="41360">
      <c r="B41360" s="36"/>
      <c r="C41360" s="36"/>
      <c r="E41360" s="1"/>
      <c r="F41360" s="1"/>
      <c r="G41360" s="1"/>
    </row>
    <row r="41361">
      <c r="B41361" s="36"/>
      <c r="C41361" s="36"/>
      <c r="E41361" s="1"/>
      <c r="F41361" s="1"/>
      <c r="G41361" s="1"/>
    </row>
    <row r="41362">
      <c r="B41362" s="36"/>
      <c r="C41362" s="36"/>
      <c r="E41362" s="1"/>
      <c r="F41362" s="1"/>
      <c r="G41362" s="1"/>
    </row>
    <row r="41363">
      <c r="B41363" s="36"/>
      <c r="C41363" s="36"/>
      <c r="E41363" s="1"/>
      <c r="F41363" s="1"/>
      <c r="G41363" s="1"/>
    </row>
    <row r="41364">
      <c r="B41364" s="36"/>
      <c r="C41364" s="36"/>
      <c r="E41364" s="1"/>
      <c r="F41364" s="1"/>
      <c r="G41364" s="1"/>
    </row>
    <row r="41365">
      <c r="B41365" s="36"/>
      <c r="C41365" s="36"/>
      <c r="E41365" s="1"/>
      <c r="F41365" s="1"/>
      <c r="G41365" s="1"/>
    </row>
    <row r="41366">
      <c r="B41366" s="36"/>
      <c r="C41366" s="36"/>
      <c r="E41366" s="1"/>
      <c r="F41366" s="1"/>
      <c r="G41366" s="1"/>
    </row>
    <row r="41367">
      <c r="B41367" s="36"/>
      <c r="C41367" s="36"/>
      <c r="E41367" s="1"/>
      <c r="F41367" s="1"/>
      <c r="G41367" s="1"/>
    </row>
    <row r="41368">
      <c r="B41368" s="36"/>
      <c r="C41368" s="36"/>
      <c r="E41368" s="1"/>
      <c r="F41368" s="1"/>
      <c r="G41368" s="1"/>
    </row>
    <row r="41369">
      <c r="B41369" s="36"/>
      <c r="C41369" s="36"/>
      <c r="E41369" s="1"/>
      <c r="F41369" s="1"/>
      <c r="G41369" s="1"/>
    </row>
    <row r="41370">
      <c r="B41370" s="36"/>
      <c r="C41370" s="36"/>
      <c r="E41370" s="1"/>
      <c r="F41370" s="1"/>
      <c r="G41370" s="1"/>
    </row>
    <row r="41371">
      <c r="B41371" s="36"/>
      <c r="C41371" s="36"/>
      <c r="E41371" s="1"/>
      <c r="F41371" s="1"/>
      <c r="G41371" s="1"/>
    </row>
    <row r="41372">
      <c r="B41372" s="36"/>
      <c r="C41372" s="36"/>
      <c r="E41372" s="1"/>
      <c r="F41372" s="1"/>
      <c r="G41372" s="1"/>
    </row>
    <row r="41373">
      <c r="B41373" s="36"/>
      <c r="C41373" s="36"/>
      <c r="E41373" s="1"/>
      <c r="F41373" s="1"/>
      <c r="G41373" s="1"/>
    </row>
    <row r="41374">
      <c r="B41374" s="36"/>
      <c r="C41374" s="36"/>
      <c r="E41374" s="1"/>
      <c r="F41374" s="1"/>
      <c r="G41374" s="1"/>
    </row>
    <row r="41375">
      <c r="B41375" s="36"/>
      <c r="C41375" s="36"/>
      <c r="E41375" s="1"/>
      <c r="F41375" s="1"/>
      <c r="G41375" s="1"/>
    </row>
    <row r="41376">
      <c r="B41376" s="36"/>
      <c r="C41376" s="36"/>
      <c r="E41376" s="1"/>
      <c r="F41376" s="1"/>
      <c r="G41376" s="1"/>
    </row>
    <row r="41377">
      <c r="B41377" s="36"/>
      <c r="C41377" s="36"/>
      <c r="E41377" s="1"/>
      <c r="F41377" s="1"/>
      <c r="G41377" s="1"/>
    </row>
    <row r="41378">
      <c r="B41378" s="36"/>
      <c r="C41378" s="36"/>
      <c r="E41378" s="1"/>
      <c r="F41378" s="1"/>
      <c r="G41378" s="1"/>
    </row>
    <row r="41379">
      <c r="B41379" s="36"/>
      <c r="C41379" s="36"/>
      <c r="E41379" s="1"/>
      <c r="F41379" s="1"/>
      <c r="G41379" s="1"/>
    </row>
    <row r="41380">
      <c r="B41380" s="36"/>
      <c r="C41380" s="36"/>
      <c r="E41380" s="1"/>
      <c r="F41380" s="1"/>
      <c r="G41380" s="1"/>
    </row>
    <row r="41381">
      <c r="B41381" s="36"/>
      <c r="C41381" s="36"/>
      <c r="E41381" s="1"/>
      <c r="F41381" s="1"/>
      <c r="G41381" s="1"/>
    </row>
    <row r="41382">
      <c r="B41382" s="36"/>
      <c r="C41382" s="36"/>
      <c r="E41382" s="1"/>
      <c r="F41382" s="1"/>
      <c r="G41382" s="1"/>
    </row>
    <row r="41383">
      <c r="B41383" s="36"/>
      <c r="C41383" s="36"/>
      <c r="E41383" s="1"/>
      <c r="F41383" s="1"/>
      <c r="G41383" s="1"/>
    </row>
    <row r="41384">
      <c r="B41384" s="36"/>
      <c r="C41384" s="36"/>
      <c r="E41384" s="1"/>
      <c r="F41384" s="1"/>
      <c r="G41384" s="1"/>
    </row>
    <row r="41385">
      <c r="B41385" s="36"/>
      <c r="C41385" s="36"/>
      <c r="E41385" s="1"/>
      <c r="F41385" s="1"/>
      <c r="G41385" s="1"/>
    </row>
    <row r="41386">
      <c r="B41386" s="36"/>
      <c r="C41386" s="36"/>
      <c r="E41386" s="1"/>
      <c r="F41386" s="1"/>
      <c r="G41386" s="1"/>
    </row>
    <row r="41387">
      <c r="B41387" s="36"/>
      <c r="C41387" s="36"/>
      <c r="E41387" s="1"/>
      <c r="F41387" s="1"/>
      <c r="G41387" s="1"/>
    </row>
    <row r="41388">
      <c r="B41388" s="36"/>
      <c r="C41388" s="36"/>
      <c r="E41388" s="1"/>
      <c r="F41388" s="1"/>
      <c r="G41388" s="1"/>
    </row>
    <row r="41389">
      <c r="B41389" s="36"/>
      <c r="C41389" s="36"/>
      <c r="E41389" s="1"/>
      <c r="F41389" s="1"/>
      <c r="G41389" s="1"/>
    </row>
    <row r="41390">
      <c r="B41390" s="36"/>
      <c r="C41390" s="36"/>
      <c r="E41390" s="1"/>
      <c r="F41390" s="1"/>
      <c r="G41390" s="1"/>
    </row>
    <row r="41391">
      <c r="B41391" s="36"/>
      <c r="C41391" s="36"/>
      <c r="E41391" s="1"/>
      <c r="F41391" s="1"/>
      <c r="G41391" s="1"/>
    </row>
    <row r="41392">
      <c r="B41392" s="36"/>
      <c r="C41392" s="36"/>
      <c r="E41392" s="1"/>
      <c r="F41392" s="1"/>
      <c r="G41392" s="1"/>
    </row>
    <row r="41393">
      <c r="B41393" s="36"/>
      <c r="C41393" s="36"/>
      <c r="E41393" s="1"/>
      <c r="F41393" s="1"/>
      <c r="G41393" s="1"/>
    </row>
    <row r="41394">
      <c r="B41394" s="36"/>
      <c r="C41394" s="36"/>
      <c r="E41394" s="1"/>
      <c r="F41394" s="1"/>
      <c r="G41394" s="1"/>
    </row>
    <row r="41395">
      <c r="B41395" s="36"/>
      <c r="C41395" s="36"/>
      <c r="E41395" s="1"/>
      <c r="F41395" s="1"/>
      <c r="G41395" s="1"/>
    </row>
    <row r="41396">
      <c r="B41396" s="36"/>
      <c r="C41396" s="36"/>
      <c r="E41396" s="1"/>
      <c r="F41396" s="1"/>
      <c r="G41396" s="1"/>
    </row>
    <row r="41397">
      <c r="B41397" s="36"/>
      <c r="C41397" s="36"/>
      <c r="E41397" s="1"/>
      <c r="F41397" s="1"/>
      <c r="G41397" s="1"/>
    </row>
    <row r="41398">
      <c r="B41398" s="36"/>
      <c r="C41398" s="36"/>
      <c r="E41398" s="1"/>
      <c r="F41398" s="1"/>
      <c r="G41398" s="1"/>
    </row>
    <row r="41399">
      <c r="B41399" s="36"/>
      <c r="C41399" s="36"/>
      <c r="E41399" s="1"/>
      <c r="F41399" s="1"/>
      <c r="G41399" s="1"/>
    </row>
    <row r="41400">
      <c r="B41400" s="36"/>
      <c r="C41400" s="36"/>
      <c r="E41400" s="1"/>
      <c r="F41400" s="1"/>
      <c r="G41400" s="1"/>
    </row>
    <row r="41401">
      <c r="B41401" s="36"/>
      <c r="C41401" s="36"/>
      <c r="E41401" s="1"/>
      <c r="F41401" s="1"/>
      <c r="G41401" s="1"/>
    </row>
    <row r="41402">
      <c r="B41402" s="36"/>
      <c r="C41402" s="36"/>
      <c r="E41402" s="1"/>
      <c r="F41402" s="1"/>
      <c r="G41402" s="1"/>
    </row>
    <row r="41403">
      <c r="B41403" s="36"/>
      <c r="C41403" s="36"/>
      <c r="E41403" s="1"/>
      <c r="F41403" s="1"/>
      <c r="G41403" s="1"/>
    </row>
    <row r="41404">
      <c r="B41404" s="36"/>
      <c r="C41404" s="36"/>
      <c r="E41404" s="1"/>
      <c r="F41404" s="1"/>
      <c r="G41404" s="1"/>
    </row>
    <row r="41405">
      <c r="B41405" s="36"/>
      <c r="C41405" s="36"/>
      <c r="E41405" s="1"/>
      <c r="F41405" s="1"/>
      <c r="G41405" s="1"/>
    </row>
    <row r="41406">
      <c r="B41406" s="36"/>
      <c r="C41406" s="36"/>
      <c r="E41406" s="1"/>
      <c r="F41406" s="1"/>
      <c r="G41406" s="1"/>
    </row>
    <row r="41407">
      <c r="B41407" s="36"/>
      <c r="C41407" s="36"/>
      <c r="E41407" s="1"/>
      <c r="F41407" s="1"/>
      <c r="G41407" s="1"/>
    </row>
    <row r="41408">
      <c r="B41408" s="36"/>
      <c r="C41408" s="36"/>
      <c r="E41408" s="1"/>
      <c r="F41408" s="1"/>
      <c r="G41408" s="1"/>
    </row>
    <row r="41409">
      <c r="B41409" s="36"/>
      <c r="C41409" s="36"/>
      <c r="E41409" s="1"/>
      <c r="F41409" s="1"/>
      <c r="G41409" s="1"/>
    </row>
    <row r="41410">
      <c r="B41410" s="36"/>
      <c r="C41410" s="36"/>
      <c r="E41410" s="1"/>
      <c r="F41410" s="1"/>
      <c r="G41410" s="1"/>
    </row>
    <row r="41411">
      <c r="B41411" s="36"/>
      <c r="C41411" s="36"/>
      <c r="E41411" s="1"/>
      <c r="F41411" s="1"/>
      <c r="G41411" s="1"/>
    </row>
    <row r="41412">
      <c r="B41412" s="36"/>
      <c r="C41412" s="36"/>
      <c r="E41412" s="1"/>
      <c r="F41412" s="1"/>
      <c r="G41412" s="1"/>
    </row>
    <row r="41413">
      <c r="B41413" s="36"/>
      <c r="C41413" s="36"/>
      <c r="E41413" s="1"/>
      <c r="F41413" s="1"/>
      <c r="G41413" s="1"/>
    </row>
    <row r="41414">
      <c r="B41414" s="36"/>
      <c r="C41414" s="36"/>
      <c r="E41414" s="1"/>
      <c r="F41414" s="1"/>
      <c r="G41414" s="1"/>
    </row>
    <row r="41415">
      <c r="B41415" s="36"/>
      <c r="C41415" s="36"/>
      <c r="E41415" s="1"/>
      <c r="F41415" s="1"/>
      <c r="G41415" s="1"/>
    </row>
    <row r="41416">
      <c r="B41416" s="36"/>
      <c r="C41416" s="36"/>
      <c r="E41416" s="1"/>
      <c r="F41416" s="1"/>
      <c r="G41416" s="1"/>
    </row>
    <row r="41417">
      <c r="B41417" s="36"/>
      <c r="C41417" s="36"/>
      <c r="E41417" s="1"/>
      <c r="F41417" s="1"/>
      <c r="G41417" s="1"/>
    </row>
    <row r="41418">
      <c r="B41418" s="36"/>
      <c r="C41418" s="36"/>
      <c r="E41418" s="1"/>
      <c r="F41418" s="1"/>
      <c r="G41418" s="1"/>
    </row>
    <row r="41419">
      <c r="B41419" s="36"/>
      <c r="C41419" s="36"/>
      <c r="E41419" s="1"/>
      <c r="F41419" s="1"/>
      <c r="G41419" s="1"/>
    </row>
    <row r="41420">
      <c r="B41420" s="36"/>
      <c r="C41420" s="36"/>
      <c r="E41420" s="1"/>
      <c r="F41420" s="1"/>
      <c r="G41420" s="1"/>
    </row>
    <row r="41421">
      <c r="B41421" s="36"/>
      <c r="C41421" s="36"/>
      <c r="E41421" s="1"/>
      <c r="F41421" s="1"/>
      <c r="G41421" s="1"/>
    </row>
    <row r="41422">
      <c r="B41422" s="36"/>
      <c r="C41422" s="36"/>
      <c r="E41422" s="1"/>
      <c r="F41422" s="1"/>
      <c r="G41422" s="1"/>
    </row>
    <row r="41423">
      <c r="B41423" s="36"/>
      <c r="C41423" s="36"/>
      <c r="E41423" s="1"/>
      <c r="F41423" s="1"/>
      <c r="G41423" s="1"/>
    </row>
    <row r="41424">
      <c r="B41424" s="36"/>
      <c r="C41424" s="36"/>
      <c r="E41424" s="1"/>
      <c r="F41424" s="1"/>
      <c r="G41424" s="1"/>
    </row>
    <row r="41425">
      <c r="B41425" s="36"/>
      <c r="C41425" s="36"/>
      <c r="E41425" s="1"/>
      <c r="F41425" s="1"/>
      <c r="G41425" s="1"/>
    </row>
    <row r="41426">
      <c r="B41426" s="36"/>
      <c r="C41426" s="36"/>
      <c r="E41426" s="1"/>
      <c r="F41426" s="1"/>
      <c r="G41426" s="1"/>
    </row>
    <row r="41427">
      <c r="B41427" s="36"/>
      <c r="C41427" s="36"/>
      <c r="E41427" s="1"/>
      <c r="F41427" s="1"/>
      <c r="G41427" s="1"/>
    </row>
    <row r="41428">
      <c r="B41428" s="36"/>
      <c r="C41428" s="36"/>
      <c r="E41428" s="1"/>
      <c r="F41428" s="1"/>
      <c r="G41428" s="1"/>
    </row>
    <row r="41429">
      <c r="B41429" s="36"/>
      <c r="C41429" s="36"/>
      <c r="E41429" s="1"/>
      <c r="F41429" s="1"/>
      <c r="G41429" s="1"/>
    </row>
    <row r="41430">
      <c r="B41430" s="36"/>
      <c r="C41430" s="36"/>
      <c r="E41430" s="1"/>
      <c r="F41430" s="1"/>
      <c r="G41430" s="1"/>
    </row>
    <row r="41431">
      <c r="B41431" s="36"/>
      <c r="C41431" s="36"/>
      <c r="E41431" s="1"/>
      <c r="F41431" s="1"/>
      <c r="G41431" s="1"/>
    </row>
    <row r="41432">
      <c r="B41432" s="36"/>
      <c r="C41432" s="36"/>
      <c r="E41432" s="1"/>
      <c r="F41432" s="1"/>
      <c r="G41432" s="1"/>
    </row>
    <row r="41433">
      <c r="B41433" s="36"/>
      <c r="C41433" s="36"/>
      <c r="E41433" s="1"/>
      <c r="F41433" s="1"/>
      <c r="G41433" s="1"/>
    </row>
    <row r="41434">
      <c r="B41434" s="36"/>
      <c r="C41434" s="36"/>
      <c r="E41434" s="1"/>
      <c r="F41434" s="1"/>
      <c r="G41434" s="1"/>
    </row>
    <row r="41435">
      <c r="B41435" s="36"/>
      <c r="C41435" s="36"/>
      <c r="E41435" s="1"/>
      <c r="F41435" s="1"/>
      <c r="G41435" s="1"/>
    </row>
    <row r="41436">
      <c r="B41436" s="36"/>
      <c r="C41436" s="36"/>
      <c r="E41436" s="1"/>
      <c r="F41436" s="1"/>
      <c r="G41436" s="1"/>
    </row>
    <row r="41437">
      <c r="B41437" s="36"/>
      <c r="C41437" s="36"/>
      <c r="E41437" s="1"/>
      <c r="F41437" s="1"/>
      <c r="G41437" s="1"/>
    </row>
    <row r="41438">
      <c r="B41438" s="36"/>
      <c r="C41438" s="36"/>
      <c r="E41438" s="1"/>
      <c r="F41438" s="1"/>
      <c r="G41438" s="1"/>
    </row>
    <row r="41439">
      <c r="B41439" s="36"/>
      <c r="C41439" s="36"/>
      <c r="E41439" s="1"/>
      <c r="F41439" s="1"/>
      <c r="G41439" s="1"/>
    </row>
    <row r="41440">
      <c r="B41440" s="36"/>
      <c r="C41440" s="36"/>
      <c r="E41440" s="1"/>
      <c r="F41440" s="1"/>
      <c r="G41440" s="1"/>
    </row>
    <row r="41441">
      <c r="B41441" s="36"/>
      <c r="C41441" s="36"/>
      <c r="E41441" s="1"/>
      <c r="F41441" s="1"/>
      <c r="G41441" s="1"/>
    </row>
    <row r="41442">
      <c r="B41442" s="36"/>
      <c r="C41442" s="36"/>
      <c r="E41442" s="1"/>
      <c r="F41442" s="1"/>
      <c r="G41442" s="1"/>
    </row>
    <row r="41443">
      <c r="B41443" s="36"/>
      <c r="C41443" s="36"/>
      <c r="E41443" s="1"/>
      <c r="F41443" s="1"/>
      <c r="G41443" s="1"/>
    </row>
    <row r="41444">
      <c r="B41444" s="36"/>
      <c r="C41444" s="36"/>
      <c r="E41444" s="1"/>
      <c r="F41444" s="1"/>
      <c r="G41444" s="1"/>
    </row>
    <row r="41445">
      <c r="B41445" s="36"/>
      <c r="C41445" s="36"/>
      <c r="E41445" s="1"/>
      <c r="F41445" s="1"/>
      <c r="G41445" s="1"/>
    </row>
    <row r="41446">
      <c r="B41446" s="36"/>
      <c r="C41446" s="36"/>
      <c r="E41446" s="1"/>
      <c r="F41446" s="1"/>
      <c r="G41446" s="1"/>
    </row>
    <row r="41447">
      <c r="B41447" s="36"/>
      <c r="C41447" s="36"/>
      <c r="E41447" s="1"/>
      <c r="F41447" s="1"/>
      <c r="G41447" s="1"/>
    </row>
    <row r="41448">
      <c r="B41448" s="36"/>
      <c r="C41448" s="36"/>
      <c r="E41448" s="1"/>
      <c r="F41448" s="1"/>
      <c r="G41448" s="1"/>
    </row>
    <row r="41449">
      <c r="B41449" s="36"/>
      <c r="C41449" s="36"/>
      <c r="E41449" s="1"/>
      <c r="F41449" s="1"/>
      <c r="G41449" s="1"/>
    </row>
    <row r="41450">
      <c r="B41450" s="36"/>
      <c r="C41450" s="36"/>
      <c r="E41450" s="1"/>
      <c r="F41450" s="1"/>
      <c r="G41450" s="1"/>
    </row>
    <row r="41451">
      <c r="B41451" s="36"/>
      <c r="C41451" s="36"/>
      <c r="E41451" s="1"/>
      <c r="F41451" s="1"/>
      <c r="G41451" s="1"/>
    </row>
    <row r="41452">
      <c r="B41452" s="36"/>
      <c r="C41452" s="36"/>
      <c r="E41452" s="1"/>
      <c r="F41452" s="1"/>
      <c r="G41452" s="1"/>
    </row>
    <row r="41453">
      <c r="B41453" s="36"/>
      <c r="C41453" s="36"/>
      <c r="E41453" s="1"/>
      <c r="F41453" s="1"/>
      <c r="G41453" s="1"/>
    </row>
    <row r="41454">
      <c r="B41454" s="36"/>
      <c r="C41454" s="36"/>
      <c r="E41454" s="1"/>
      <c r="F41454" s="1"/>
      <c r="G41454" s="1"/>
    </row>
    <row r="41455">
      <c r="B41455" s="36"/>
      <c r="C41455" s="36"/>
      <c r="E41455" s="1"/>
      <c r="F41455" s="1"/>
      <c r="G41455" s="1"/>
    </row>
    <row r="41456">
      <c r="B41456" s="36"/>
      <c r="C41456" s="36"/>
      <c r="E41456" s="1"/>
      <c r="F41456" s="1"/>
      <c r="G41456" s="1"/>
    </row>
    <row r="41457">
      <c r="B41457" s="36"/>
      <c r="C41457" s="36"/>
      <c r="E41457" s="1"/>
      <c r="F41457" s="1"/>
      <c r="G41457" s="1"/>
    </row>
    <row r="41458">
      <c r="B41458" s="36"/>
      <c r="C41458" s="36"/>
      <c r="E41458" s="1"/>
      <c r="F41458" s="1"/>
      <c r="G41458" s="1"/>
    </row>
    <row r="41459">
      <c r="B41459" s="36"/>
      <c r="C41459" s="36"/>
      <c r="E41459" s="1"/>
      <c r="F41459" s="1"/>
      <c r="G41459" s="1"/>
    </row>
    <row r="41460">
      <c r="B41460" s="36"/>
      <c r="C41460" s="36"/>
      <c r="E41460" s="1"/>
      <c r="F41460" s="1"/>
      <c r="G41460" s="1"/>
    </row>
    <row r="41461">
      <c r="B41461" s="36"/>
      <c r="C41461" s="36"/>
      <c r="E41461" s="1"/>
      <c r="F41461" s="1"/>
      <c r="G41461" s="1"/>
    </row>
    <row r="41462">
      <c r="B41462" s="36"/>
      <c r="C41462" s="36"/>
      <c r="E41462" s="1"/>
      <c r="F41462" s="1"/>
      <c r="G41462" s="1"/>
    </row>
    <row r="41463">
      <c r="B41463" s="36"/>
      <c r="C41463" s="36"/>
      <c r="E41463" s="1"/>
      <c r="F41463" s="1"/>
      <c r="G41463" s="1"/>
    </row>
    <row r="41464">
      <c r="B41464" s="36"/>
      <c r="C41464" s="36"/>
      <c r="E41464" s="1"/>
      <c r="F41464" s="1"/>
      <c r="G41464" s="1"/>
    </row>
    <row r="41465">
      <c r="B41465" s="36"/>
      <c r="C41465" s="36"/>
      <c r="E41465" s="1"/>
      <c r="F41465" s="1"/>
      <c r="G41465" s="1"/>
    </row>
    <row r="41466">
      <c r="B41466" s="36"/>
      <c r="C41466" s="36"/>
      <c r="E41466" s="1"/>
      <c r="F41466" s="1"/>
      <c r="G41466" s="1"/>
    </row>
    <row r="41467">
      <c r="B41467" s="36"/>
      <c r="C41467" s="36"/>
      <c r="E41467" s="1"/>
      <c r="F41467" s="1"/>
      <c r="G41467" s="1"/>
    </row>
    <row r="41468">
      <c r="B41468" s="36"/>
      <c r="C41468" s="36"/>
      <c r="E41468" s="1"/>
      <c r="F41468" s="1"/>
      <c r="G41468" s="1"/>
    </row>
    <row r="41469">
      <c r="B41469" s="36"/>
      <c r="C41469" s="36"/>
      <c r="E41469" s="1"/>
      <c r="F41469" s="1"/>
      <c r="G41469" s="1"/>
    </row>
    <row r="41470">
      <c r="B41470" s="36"/>
      <c r="C41470" s="36"/>
      <c r="E41470" s="1"/>
      <c r="F41470" s="1"/>
      <c r="G41470" s="1"/>
    </row>
    <row r="41471">
      <c r="B41471" s="36"/>
      <c r="C41471" s="36"/>
      <c r="E41471" s="1"/>
      <c r="F41471" s="1"/>
      <c r="G41471" s="1"/>
    </row>
    <row r="41472">
      <c r="B41472" s="36"/>
      <c r="C41472" s="36"/>
      <c r="E41472" s="1"/>
      <c r="F41472" s="1"/>
      <c r="G41472" s="1"/>
    </row>
    <row r="41473">
      <c r="B41473" s="36"/>
      <c r="C41473" s="36"/>
      <c r="E41473" s="1"/>
      <c r="F41473" s="1"/>
      <c r="G41473" s="1"/>
    </row>
    <row r="41474">
      <c r="B41474" s="36"/>
      <c r="C41474" s="36"/>
      <c r="E41474" s="1"/>
      <c r="F41474" s="1"/>
      <c r="G41474" s="1"/>
    </row>
    <row r="41475">
      <c r="B41475" s="36"/>
      <c r="C41475" s="36"/>
      <c r="E41475" s="1"/>
      <c r="F41475" s="1"/>
      <c r="G41475" s="1"/>
    </row>
    <row r="41476">
      <c r="B41476" s="36"/>
      <c r="C41476" s="36"/>
      <c r="E41476" s="1"/>
      <c r="F41476" s="1"/>
      <c r="G41476" s="1"/>
    </row>
    <row r="41477">
      <c r="B41477" s="36"/>
      <c r="C41477" s="36"/>
      <c r="E41477" s="1"/>
      <c r="F41477" s="1"/>
      <c r="G41477" s="1"/>
    </row>
    <row r="41478">
      <c r="B41478" s="36"/>
      <c r="C41478" s="36"/>
      <c r="E41478" s="1"/>
      <c r="F41478" s="1"/>
      <c r="G41478" s="1"/>
    </row>
    <row r="41479">
      <c r="B41479" s="36"/>
      <c r="C41479" s="36"/>
      <c r="E41479" s="1"/>
      <c r="F41479" s="1"/>
      <c r="G41479" s="1"/>
    </row>
    <row r="41480">
      <c r="B41480" s="36"/>
      <c r="C41480" s="36"/>
      <c r="E41480" s="1"/>
      <c r="F41480" s="1"/>
      <c r="G41480" s="1"/>
    </row>
    <row r="41481">
      <c r="B41481" s="36"/>
      <c r="C41481" s="36"/>
      <c r="E41481" s="1"/>
      <c r="F41481" s="1"/>
      <c r="G41481" s="1"/>
    </row>
    <row r="41482">
      <c r="B41482" s="36"/>
      <c r="C41482" s="36"/>
      <c r="E41482" s="1"/>
      <c r="F41482" s="1"/>
      <c r="G41482" s="1"/>
    </row>
    <row r="41483">
      <c r="B41483" s="36"/>
      <c r="C41483" s="36"/>
      <c r="E41483" s="1"/>
      <c r="F41483" s="1"/>
      <c r="G41483" s="1"/>
    </row>
    <row r="41484">
      <c r="B41484" s="36"/>
      <c r="C41484" s="36"/>
      <c r="E41484" s="1"/>
      <c r="F41484" s="1"/>
      <c r="G41484" s="1"/>
    </row>
    <row r="41485">
      <c r="B41485" s="36"/>
      <c r="C41485" s="36"/>
      <c r="E41485" s="1"/>
      <c r="F41485" s="1"/>
      <c r="G41485" s="1"/>
    </row>
    <row r="41486">
      <c r="B41486" s="36"/>
      <c r="C41486" s="36"/>
      <c r="E41486" s="1"/>
      <c r="F41486" s="1"/>
      <c r="G41486" s="1"/>
    </row>
    <row r="41487">
      <c r="B41487" s="36"/>
      <c r="C41487" s="36"/>
      <c r="E41487" s="1"/>
      <c r="F41487" s="1"/>
      <c r="G41487" s="1"/>
    </row>
    <row r="41488">
      <c r="B41488" s="36"/>
      <c r="C41488" s="36"/>
      <c r="E41488" s="1"/>
      <c r="F41488" s="1"/>
      <c r="G41488" s="1"/>
    </row>
    <row r="41489">
      <c r="B41489" s="36"/>
      <c r="C41489" s="36"/>
      <c r="E41489" s="1"/>
      <c r="F41489" s="1"/>
      <c r="G41489" s="1"/>
    </row>
    <row r="41490">
      <c r="B41490" s="36"/>
      <c r="C41490" s="36"/>
      <c r="E41490" s="1"/>
      <c r="F41490" s="1"/>
      <c r="G41490" s="1"/>
    </row>
    <row r="41491">
      <c r="B41491" s="36"/>
      <c r="C41491" s="36"/>
      <c r="E41491" s="1"/>
      <c r="F41491" s="1"/>
      <c r="G41491" s="1"/>
    </row>
    <row r="41492">
      <c r="B41492" s="36"/>
      <c r="C41492" s="36"/>
      <c r="E41492" s="1"/>
      <c r="F41492" s="1"/>
      <c r="G41492" s="1"/>
    </row>
    <row r="41493">
      <c r="B41493" s="36"/>
      <c r="C41493" s="36"/>
      <c r="E41493" s="1"/>
      <c r="F41493" s="1"/>
      <c r="G41493" s="1"/>
    </row>
    <row r="41494">
      <c r="B41494" s="36"/>
      <c r="C41494" s="36"/>
      <c r="E41494" s="1"/>
      <c r="F41494" s="1"/>
      <c r="G41494" s="1"/>
    </row>
    <row r="41495">
      <c r="B41495" s="36"/>
      <c r="C41495" s="36"/>
      <c r="E41495" s="1"/>
      <c r="F41495" s="1"/>
      <c r="G41495" s="1"/>
    </row>
    <row r="41496">
      <c r="B41496" s="36"/>
      <c r="C41496" s="36"/>
      <c r="E41496" s="1"/>
      <c r="F41496" s="1"/>
      <c r="G41496" s="1"/>
    </row>
    <row r="41497">
      <c r="B41497" s="36"/>
      <c r="C41497" s="36"/>
      <c r="E41497" s="1"/>
      <c r="F41497" s="1"/>
      <c r="G41497" s="1"/>
    </row>
    <row r="41498">
      <c r="B41498" s="36"/>
      <c r="C41498" s="36"/>
      <c r="E41498" s="1"/>
      <c r="F41498" s="1"/>
      <c r="G41498" s="1"/>
    </row>
    <row r="41499">
      <c r="B41499" s="36"/>
      <c r="C41499" s="36"/>
      <c r="E41499" s="1"/>
      <c r="F41499" s="1"/>
      <c r="G41499" s="1"/>
    </row>
    <row r="41500">
      <c r="B41500" s="36"/>
      <c r="C41500" s="36"/>
      <c r="E41500" s="1"/>
      <c r="F41500" s="1"/>
      <c r="G41500" s="1"/>
    </row>
    <row r="41501">
      <c r="B41501" s="36"/>
      <c r="C41501" s="36"/>
      <c r="E41501" s="1"/>
      <c r="F41501" s="1"/>
      <c r="G41501" s="1"/>
    </row>
    <row r="41502">
      <c r="B41502" s="36"/>
      <c r="C41502" s="36"/>
      <c r="E41502" s="1"/>
      <c r="F41502" s="1"/>
      <c r="G41502" s="1"/>
    </row>
    <row r="41503">
      <c r="B41503" s="36"/>
      <c r="C41503" s="36"/>
      <c r="E41503" s="1"/>
      <c r="F41503" s="1"/>
      <c r="G41503" s="1"/>
    </row>
    <row r="41504">
      <c r="B41504" s="36"/>
      <c r="C41504" s="36"/>
      <c r="E41504" s="1"/>
      <c r="F41504" s="1"/>
      <c r="G41504" s="1"/>
    </row>
    <row r="41505">
      <c r="B41505" s="36"/>
      <c r="C41505" s="36"/>
      <c r="E41505" s="1"/>
      <c r="F41505" s="1"/>
      <c r="G41505" s="1"/>
    </row>
    <row r="41506">
      <c r="B41506" s="36"/>
      <c r="C41506" s="36"/>
      <c r="E41506" s="1"/>
      <c r="F41506" s="1"/>
      <c r="G41506" s="1"/>
    </row>
    <row r="41507">
      <c r="B41507" s="36"/>
      <c r="C41507" s="36"/>
      <c r="E41507" s="1"/>
      <c r="F41507" s="1"/>
      <c r="G41507" s="1"/>
    </row>
    <row r="41508">
      <c r="B41508" s="36"/>
      <c r="C41508" s="36"/>
      <c r="E41508" s="1"/>
      <c r="F41508" s="1"/>
      <c r="G41508" s="1"/>
    </row>
    <row r="41509">
      <c r="B41509" s="36"/>
      <c r="C41509" s="36"/>
      <c r="E41509" s="1"/>
      <c r="F41509" s="1"/>
      <c r="G41509" s="1"/>
    </row>
    <row r="41510">
      <c r="B41510" s="36"/>
      <c r="C41510" s="36"/>
      <c r="E41510" s="1"/>
      <c r="F41510" s="1"/>
      <c r="G41510" s="1"/>
    </row>
    <row r="41511">
      <c r="B41511" s="36"/>
      <c r="C41511" s="36"/>
      <c r="E41511" s="1"/>
      <c r="F41511" s="1"/>
      <c r="G41511" s="1"/>
    </row>
    <row r="41512">
      <c r="B41512" s="36"/>
      <c r="C41512" s="36"/>
      <c r="E41512" s="1"/>
      <c r="F41512" s="1"/>
      <c r="G41512" s="1"/>
    </row>
    <row r="41513">
      <c r="B41513" s="36"/>
      <c r="C41513" s="36"/>
      <c r="E41513" s="1"/>
      <c r="F41513" s="1"/>
      <c r="G41513" s="1"/>
    </row>
    <row r="41514">
      <c r="B41514" s="36"/>
      <c r="C41514" s="36"/>
      <c r="E41514" s="1"/>
      <c r="F41514" s="1"/>
      <c r="G41514" s="1"/>
    </row>
    <row r="41515">
      <c r="B41515" s="36"/>
      <c r="C41515" s="36"/>
      <c r="E41515" s="1"/>
      <c r="F41515" s="1"/>
      <c r="G41515" s="1"/>
    </row>
    <row r="41516">
      <c r="B41516" s="36"/>
      <c r="C41516" s="36"/>
      <c r="E41516" s="1"/>
      <c r="F41516" s="1"/>
      <c r="G41516" s="1"/>
    </row>
    <row r="41517">
      <c r="B41517" s="36"/>
      <c r="C41517" s="36"/>
      <c r="E41517" s="1"/>
      <c r="F41517" s="1"/>
      <c r="G41517" s="1"/>
    </row>
    <row r="41518">
      <c r="B41518" s="36"/>
      <c r="C41518" s="36"/>
      <c r="E41518" s="1"/>
      <c r="F41518" s="1"/>
      <c r="G41518" s="1"/>
    </row>
    <row r="41519">
      <c r="B41519" s="36"/>
      <c r="C41519" s="36"/>
      <c r="E41519" s="1"/>
      <c r="F41519" s="1"/>
      <c r="G41519" s="1"/>
    </row>
    <row r="41520">
      <c r="B41520" s="36"/>
      <c r="C41520" s="36"/>
      <c r="E41520" s="1"/>
      <c r="F41520" s="1"/>
      <c r="G41520" s="1"/>
    </row>
    <row r="41521">
      <c r="B41521" s="36"/>
      <c r="C41521" s="36"/>
      <c r="E41521" s="1"/>
      <c r="F41521" s="1"/>
      <c r="G41521" s="1"/>
    </row>
    <row r="41522">
      <c r="B41522" s="36"/>
      <c r="C41522" s="36"/>
      <c r="E41522" s="1"/>
      <c r="F41522" s="1"/>
      <c r="G41522" s="1"/>
    </row>
    <row r="41523">
      <c r="B41523" s="36"/>
      <c r="C41523" s="36"/>
      <c r="E41523" s="1"/>
      <c r="F41523" s="1"/>
      <c r="G41523" s="1"/>
    </row>
    <row r="41524">
      <c r="B41524" s="36"/>
      <c r="C41524" s="36"/>
      <c r="E41524" s="1"/>
      <c r="F41524" s="1"/>
      <c r="G41524" s="1"/>
    </row>
    <row r="41525">
      <c r="B41525" s="36"/>
      <c r="C41525" s="36"/>
      <c r="E41525" s="1"/>
      <c r="F41525" s="1"/>
      <c r="G41525" s="1"/>
    </row>
    <row r="41526">
      <c r="B41526" s="36"/>
      <c r="C41526" s="36"/>
      <c r="E41526" s="1"/>
      <c r="F41526" s="1"/>
      <c r="G41526" s="1"/>
    </row>
    <row r="41527">
      <c r="B41527" s="36"/>
      <c r="C41527" s="36"/>
      <c r="E41527" s="1"/>
      <c r="F41527" s="1"/>
      <c r="G41527" s="1"/>
    </row>
    <row r="41528">
      <c r="B41528" s="36"/>
      <c r="C41528" s="36"/>
      <c r="E41528" s="1"/>
      <c r="F41528" s="1"/>
      <c r="G41528" s="1"/>
    </row>
    <row r="41529">
      <c r="B41529" s="36"/>
      <c r="C41529" s="36"/>
      <c r="E41529" s="1"/>
      <c r="F41529" s="1"/>
      <c r="G41529" s="1"/>
    </row>
    <row r="41530">
      <c r="B41530" s="36"/>
      <c r="C41530" s="36"/>
      <c r="E41530" s="1"/>
      <c r="F41530" s="1"/>
      <c r="G41530" s="1"/>
    </row>
    <row r="41531">
      <c r="B41531" s="36"/>
      <c r="C41531" s="36"/>
      <c r="E41531" s="1"/>
      <c r="F41531" s="1"/>
      <c r="G41531" s="1"/>
    </row>
    <row r="41532">
      <c r="B41532" s="36"/>
      <c r="C41532" s="36"/>
      <c r="E41532" s="1"/>
      <c r="F41532" s="1"/>
      <c r="G41532" s="1"/>
    </row>
    <row r="41533">
      <c r="B41533" s="36"/>
      <c r="C41533" s="36"/>
      <c r="E41533" s="1"/>
      <c r="F41533" s="1"/>
      <c r="G41533" s="1"/>
    </row>
    <row r="41534">
      <c r="B41534" s="36"/>
      <c r="C41534" s="36"/>
      <c r="E41534" s="1"/>
      <c r="F41534" s="1"/>
      <c r="G41534" s="1"/>
    </row>
    <row r="41535">
      <c r="B41535" s="36"/>
      <c r="C41535" s="36"/>
      <c r="E41535" s="1"/>
      <c r="F41535" s="1"/>
      <c r="G41535" s="1"/>
    </row>
    <row r="41536">
      <c r="B41536" s="36"/>
      <c r="C41536" s="36"/>
      <c r="E41536" s="1"/>
      <c r="F41536" s="1"/>
      <c r="G41536" s="1"/>
    </row>
    <row r="41537">
      <c r="B41537" s="36"/>
      <c r="C41537" s="36"/>
      <c r="E41537" s="1"/>
      <c r="F41537" s="1"/>
      <c r="G41537" s="1"/>
    </row>
    <row r="41538">
      <c r="B41538" s="36"/>
      <c r="C41538" s="36"/>
      <c r="E41538" s="1"/>
      <c r="F41538" s="1"/>
      <c r="G41538" s="1"/>
    </row>
    <row r="41539">
      <c r="B41539" s="36"/>
      <c r="C41539" s="36"/>
      <c r="E41539" s="1"/>
      <c r="F41539" s="1"/>
      <c r="G41539" s="1"/>
    </row>
    <row r="41540">
      <c r="B41540" s="36"/>
      <c r="C41540" s="36"/>
      <c r="E41540" s="1"/>
      <c r="F41540" s="1"/>
      <c r="G41540" s="1"/>
    </row>
    <row r="41541">
      <c r="B41541" s="36"/>
      <c r="C41541" s="36"/>
      <c r="E41541" s="1"/>
      <c r="F41541" s="1"/>
      <c r="G41541" s="1"/>
    </row>
    <row r="41542">
      <c r="B41542" s="36"/>
      <c r="C41542" s="36"/>
      <c r="E41542" s="1"/>
      <c r="F41542" s="1"/>
      <c r="G41542" s="1"/>
    </row>
    <row r="41543">
      <c r="B41543" s="36"/>
      <c r="C41543" s="36"/>
      <c r="E41543" s="1"/>
      <c r="F41543" s="1"/>
      <c r="G41543" s="1"/>
    </row>
    <row r="41544">
      <c r="B41544" s="36"/>
      <c r="C41544" s="36"/>
      <c r="E41544" s="1"/>
      <c r="F41544" s="1"/>
      <c r="G41544" s="1"/>
    </row>
    <row r="41545">
      <c r="B41545" s="36"/>
      <c r="C41545" s="36"/>
      <c r="E41545" s="1"/>
      <c r="F41545" s="1"/>
      <c r="G41545" s="1"/>
    </row>
    <row r="41546">
      <c r="B41546" s="36"/>
      <c r="C41546" s="36"/>
      <c r="E41546" s="1"/>
      <c r="F41546" s="1"/>
      <c r="G41546" s="1"/>
    </row>
    <row r="41547">
      <c r="B41547" s="36"/>
      <c r="C41547" s="36"/>
      <c r="E41547" s="1"/>
      <c r="F41547" s="1"/>
      <c r="G41547" s="1"/>
    </row>
    <row r="41548">
      <c r="B41548" s="36"/>
      <c r="C41548" s="36"/>
      <c r="E41548" s="1"/>
      <c r="F41548" s="1"/>
      <c r="G41548" s="1"/>
    </row>
    <row r="41549">
      <c r="B41549" s="36"/>
      <c r="C41549" s="36"/>
      <c r="E41549" s="1"/>
      <c r="F41549" s="1"/>
      <c r="G41549" s="1"/>
    </row>
    <row r="41550">
      <c r="B41550" s="36"/>
      <c r="C41550" s="36"/>
      <c r="E41550" s="1"/>
      <c r="F41550" s="1"/>
      <c r="G41550" s="1"/>
    </row>
    <row r="41551">
      <c r="B41551" s="36"/>
      <c r="C41551" s="36"/>
      <c r="E41551" s="1"/>
      <c r="F41551" s="1"/>
      <c r="G41551" s="1"/>
    </row>
    <row r="41552">
      <c r="B41552" s="36"/>
      <c r="C41552" s="36"/>
      <c r="E41552" s="1"/>
      <c r="F41552" s="1"/>
      <c r="G41552" s="1"/>
    </row>
    <row r="41553">
      <c r="B41553" s="36"/>
      <c r="C41553" s="36"/>
      <c r="E41553" s="1"/>
      <c r="F41553" s="1"/>
      <c r="G41553" s="1"/>
    </row>
    <row r="41554">
      <c r="B41554" s="36"/>
      <c r="C41554" s="36"/>
      <c r="E41554" s="1"/>
      <c r="F41554" s="1"/>
      <c r="G41554" s="1"/>
    </row>
    <row r="41555">
      <c r="B41555" s="36"/>
      <c r="C41555" s="36"/>
      <c r="E41555" s="1"/>
      <c r="F41555" s="1"/>
      <c r="G41555" s="1"/>
    </row>
    <row r="41556">
      <c r="B41556" s="36"/>
      <c r="C41556" s="36"/>
      <c r="E41556" s="1"/>
      <c r="F41556" s="1"/>
      <c r="G41556" s="1"/>
    </row>
    <row r="41557">
      <c r="B41557" s="36"/>
      <c r="C41557" s="36"/>
      <c r="E41557" s="1"/>
      <c r="F41557" s="1"/>
      <c r="G41557" s="1"/>
    </row>
    <row r="41558">
      <c r="B41558" s="36"/>
      <c r="C41558" s="36"/>
      <c r="E41558" s="1"/>
      <c r="F41558" s="1"/>
      <c r="G41558" s="1"/>
    </row>
    <row r="41559">
      <c r="B41559" s="36"/>
      <c r="C41559" s="36"/>
      <c r="E41559" s="1"/>
      <c r="F41559" s="1"/>
      <c r="G41559" s="1"/>
    </row>
    <row r="41560">
      <c r="B41560" s="36"/>
      <c r="C41560" s="36"/>
      <c r="E41560" s="1"/>
      <c r="F41560" s="1"/>
      <c r="G41560" s="1"/>
    </row>
    <row r="41561">
      <c r="B41561" s="36"/>
      <c r="C41561" s="36"/>
      <c r="E41561" s="1"/>
      <c r="F41561" s="1"/>
      <c r="G41561" s="1"/>
    </row>
    <row r="41562">
      <c r="B41562" s="36"/>
      <c r="C41562" s="36"/>
      <c r="E41562" s="1"/>
      <c r="F41562" s="1"/>
      <c r="G41562" s="1"/>
    </row>
    <row r="41563">
      <c r="B41563" s="36"/>
      <c r="C41563" s="36"/>
      <c r="E41563" s="1"/>
      <c r="F41563" s="1"/>
      <c r="G41563" s="1"/>
    </row>
    <row r="41564">
      <c r="B41564" s="36"/>
      <c r="C41564" s="36"/>
      <c r="E41564" s="1"/>
      <c r="F41564" s="1"/>
      <c r="G41564" s="1"/>
    </row>
    <row r="41565">
      <c r="B41565" s="36"/>
      <c r="C41565" s="36"/>
      <c r="E41565" s="1"/>
      <c r="F41565" s="1"/>
      <c r="G41565" s="1"/>
    </row>
    <row r="41566">
      <c r="B41566" s="36"/>
      <c r="C41566" s="36"/>
      <c r="E41566" s="1"/>
      <c r="F41566" s="1"/>
      <c r="G41566" s="1"/>
    </row>
    <row r="41567">
      <c r="B41567" s="36"/>
      <c r="C41567" s="36"/>
      <c r="E41567" s="1"/>
      <c r="F41567" s="1"/>
      <c r="G41567" s="1"/>
    </row>
    <row r="41568">
      <c r="B41568" s="36"/>
      <c r="C41568" s="36"/>
      <c r="E41568" s="1"/>
      <c r="F41568" s="1"/>
      <c r="G41568" s="1"/>
    </row>
    <row r="41569">
      <c r="B41569" s="36"/>
      <c r="C41569" s="36"/>
      <c r="E41569" s="1"/>
      <c r="F41569" s="1"/>
      <c r="G41569" s="1"/>
    </row>
    <row r="41570">
      <c r="B41570" s="36"/>
      <c r="C41570" s="36"/>
      <c r="E41570" s="1"/>
      <c r="F41570" s="1"/>
      <c r="G41570" s="1"/>
    </row>
    <row r="41571">
      <c r="B41571" s="36"/>
      <c r="C41571" s="36"/>
      <c r="E41571" s="1"/>
      <c r="F41571" s="1"/>
      <c r="G41571" s="1"/>
    </row>
    <row r="41572">
      <c r="B41572" s="36"/>
      <c r="C41572" s="36"/>
      <c r="E41572" s="1"/>
      <c r="F41572" s="1"/>
      <c r="G41572" s="1"/>
    </row>
    <row r="41573">
      <c r="B41573" s="36"/>
      <c r="C41573" s="36"/>
      <c r="E41573" s="1"/>
      <c r="F41573" s="1"/>
      <c r="G41573" s="1"/>
    </row>
    <row r="41574">
      <c r="B41574" s="36"/>
      <c r="C41574" s="36"/>
      <c r="E41574" s="1"/>
      <c r="F41574" s="1"/>
      <c r="G41574" s="1"/>
    </row>
    <row r="41575">
      <c r="B41575" s="36"/>
      <c r="C41575" s="36"/>
      <c r="E41575" s="1"/>
      <c r="F41575" s="1"/>
      <c r="G41575" s="1"/>
    </row>
    <row r="41576">
      <c r="B41576" s="36"/>
      <c r="C41576" s="36"/>
      <c r="E41576" s="1"/>
      <c r="F41576" s="1"/>
      <c r="G41576" s="1"/>
    </row>
    <row r="41577">
      <c r="B41577" s="36"/>
      <c r="C41577" s="36"/>
      <c r="E41577" s="1"/>
      <c r="F41577" s="1"/>
      <c r="G41577" s="1"/>
    </row>
    <row r="41578">
      <c r="B41578" s="36"/>
      <c r="C41578" s="36"/>
      <c r="E41578" s="1"/>
      <c r="F41578" s="1"/>
      <c r="G41578" s="1"/>
    </row>
    <row r="41579">
      <c r="B41579" s="36"/>
      <c r="C41579" s="36"/>
      <c r="E41579" s="1"/>
      <c r="F41579" s="1"/>
      <c r="G41579" s="1"/>
    </row>
    <row r="41580">
      <c r="B41580" s="36"/>
      <c r="C41580" s="36"/>
      <c r="E41580" s="1"/>
      <c r="F41580" s="1"/>
      <c r="G41580" s="1"/>
    </row>
    <row r="41581">
      <c r="B41581" s="36"/>
      <c r="C41581" s="36"/>
      <c r="E41581" s="1"/>
      <c r="F41581" s="1"/>
      <c r="G41581" s="1"/>
    </row>
    <row r="41582">
      <c r="B41582" s="36"/>
      <c r="C41582" s="36"/>
      <c r="E41582" s="1"/>
      <c r="F41582" s="1"/>
      <c r="G41582" s="1"/>
    </row>
    <row r="41583">
      <c r="B41583" s="36"/>
      <c r="C41583" s="36"/>
      <c r="E41583" s="1"/>
      <c r="F41583" s="1"/>
      <c r="G41583" s="1"/>
    </row>
    <row r="41584">
      <c r="B41584" s="36"/>
      <c r="C41584" s="36"/>
      <c r="E41584" s="1"/>
      <c r="F41584" s="1"/>
      <c r="G41584" s="1"/>
    </row>
    <row r="41585">
      <c r="B41585" s="36"/>
      <c r="C41585" s="36"/>
      <c r="E41585" s="1"/>
      <c r="F41585" s="1"/>
      <c r="G41585" s="1"/>
    </row>
    <row r="41586">
      <c r="B41586" s="36"/>
      <c r="C41586" s="36"/>
      <c r="E41586" s="1"/>
      <c r="F41586" s="1"/>
      <c r="G41586" s="1"/>
    </row>
    <row r="41587">
      <c r="B41587" s="36"/>
      <c r="C41587" s="36"/>
      <c r="E41587" s="1"/>
      <c r="F41587" s="1"/>
      <c r="G41587" s="1"/>
    </row>
    <row r="41588">
      <c r="B41588" s="36"/>
      <c r="C41588" s="36"/>
      <c r="E41588" s="1"/>
      <c r="F41588" s="1"/>
      <c r="G41588" s="1"/>
    </row>
    <row r="41589">
      <c r="B41589" s="36"/>
      <c r="C41589" s="36"/>
      <c r="E41589" s="1"/>
      <c r="F41589" s="1"/>
      <c r="G41589" s="1"/>
    </row>
    <row r="41590">
      <c r="B41590" s="36"/>
      <c r="C41590" s="36"/>
      <c r="E41590" s="1"/>
      <c r="F41590" s="1"/>
      <c r="G41590" s="1"/>
    </row>
    <row r="41591">
      <c r="B41591" s="36"/>
      <c r="C41591" s="36"/>
      <c r="E41591" s="1"/>
      <c r="F41591" s="1"/>
      <c r="G41591" s="1"/>
    </row>
    <row r="41592">
      <c r="B41592" s="36"/>
      <c r="C41592" s="36"/>
      <c r="E41592" s="1"/>
      <c r="F41592" s="1"/>
      <c r="G41592" s="1"/>
    </row>
    <row r="41593">
      <c r="B41593" s="36"/>
      <c r="C41593" s="36"/>
      <c r="E41593" s="1"/>
      <c r="F41593" s="1"/>
      <c r="G41593" s="1"/>
    </row>
    <row r="41594">
      <c r="B41594" s="36"/>
      <c r="C41594" s="36"/>
      <c r="E41594" s="1"/>
      <c r="F41594" s="1"/>
      <c r="G41594" s="1"/>
    </row>
    <row r="41595">
      <c r="B41595" s="36"/>
      <c r="C41595" s="36"/>
      <c r="E41595" s="1"/>
      <c r="F41595" s="1"/>
      <c r="G41595" s="1"/>
    </row>
    <row r="41596">
      <c r="B41596" s="36"/>
      <c r="C41596" s="36"/>
      <c r="E41596" s="1"/>
      <c r="F41596" s="1"/>
      <c r="G41596" s="1"/>
    </row>
    <row r="41597">
      <c r="B41597" s="36"/>
      <c r="C41597" s="36"/>
      <c r="E41597" s="1"/>
      <c r="F41597" s="1"/>
      <c r="G41597" s="1"/>
    </row>
    <row r="41598">
      <c r="B41598" s="36"/>
      <c r="C41598" s="36"/>
      <c r="E41598" s="1"/>
      <c r="F41598" s="1"/>
      <c r="G41598" s="1"/>
    </row>
    <row r="41599">
      <c r="B41599" s="36"/>
      <c r="C41599" s="36"/>
      <c r="E41599" s="1"/>
      <c r="F41599" s="1"/>
      <c r="G41599" s="1"/>
    </row>
    <row r="41600">
      <c r="B41600" s="36"/>
      <c r="C41600" s="36"/>
      <c r="E41600" s="1"/>
      <c r="F41600" s="1"/>
      <c r="G41600" s="1"/>
    </row>
    <row r="41601">
      <c r="B41601" s="36"/>
      <c r="C41601" s="36"/>
      <c r="E41601" s="1"/>
      <c r="F41601" s="1"/>
      <c r="G41601" s="1"/>
    </row>
    <row r="41602">
      <c r="B41602" s="36"/>
      <c r="C41602" s="36"/>
      <c r="E41602" s="1"/>
      <c r="F41602" s="1"/>
      <c r="G41602" s="1"/>
    </row>
    <row r="41603">
      <c r="B41603" s="36"/>
      <c r="C41603" s="36"/>
      <c r="E41603" s="1"/>
      <c r="F41603" s="1"/>
      <c r="G41603" s="1"/>
    </row>
    <row r="41604">
      <c r="B41604" s="36"/>
      <c r="C41604" s="36"/>
      <c r="E41604" s="1"/>
      <c r="F41604" s="1"/>
      <c r="G41604" s="1"/>
    </row>
    <row r="41605">
      <c r="B41605" s="36"/>
      <c r="C41605" s="36"/>
      <c r="E41605" s="1"/>
      <c r="F41605" s="1"/>
      <c r="G41605" s="1"/>
    </row>
    <row r="41606">
      <c r="B41606" s="36"/>
      <c r="C41606" s="36"/>
      <c r="E41606" s="1"/>
      <c r="F41606" s="1"/>
      <c r="G41606" s="1"/>
    </row>
    <row r="41607">
      <c r="B41607" s="36"/>
      <c r="C41607" s="36"/>
      <c r="E41607" s="1"/>
      <c r="F41607" s="1"/>
      <c r="G41607" s="1"/>
    </row>
    <row r="41608">
      <c r="B41608" s="36"/>
      <c r="C41608" s="36"/>
      <c r="E41608" s="1"/>
      <c r="F41608" s="1"/>
      <c r="G41608" s="1"/>
    </row>
    <row r="41609">
      <c r="B41609" s="36"/>
      <c r="C41609" s="36"/>
      <c r="E41609" s="1"/>
      <c r="F41609" s="1"/>
      <c r="G41609" s="1"/>
    </row>
    <row r="41610">
      <c r="B41610" s="36"/>
      <c r="C41610" s="36"/>
      <c r="E41610" s="1"/>
      <c r="F41610" s="1"/>
      <c r="G41610" s="1"/>
    </row>
    <row r="41611">
      <c r="B41611" s="36"/>
      <c r="C41611" s="36"/>
      <c r="E41611" s="1"/>
      <c r="F41611" s="1"/>
      <c r="G41611" s="1"/>
    </row>
    <row r="41612">
      <c r="B41612" s="36"/>
      <c r="C41612" s="36"/>
      <c r="E41612" s="1"/>
      <c r="F41612" s="1"/>
      <c r="G41612" s="1"/>
    </row>
    <row r="41613">
      <c r="B41613" s="36"/>
      <c r="C41613" s="36"/>
      <c r="E41613" s="1"/>
      <c r="F41613" s="1"/>
      <c r="G41613" s="1"/>
    </row>
    <row r="41614">
      <c r="B41614" s="36"/>
      <c r="C41614" s="36"/>
      <c r="E41614" s="1"/>
      <c r="F41614" s="1"/>
      <c r="G41614" s="1"/>
    </row>
    <row r="41615">
      <c r="B41615" s="36"/>
      <c r="C41615" s="36"/>
      <c r="E41615" s="1"/>
      <c r="F41615" s="1"/>
      <c r="G41615" s="1"/>
    </row>
    <row r="41616">
      <c r="B41616" s="36"/>
      <c r="C41616" s="36"/>
      <c r="E41616" s="1"/>
      <c r="F41616" s="1"/>
      <c r="G41616" s="1"/>
    </row>
    <row r="41617">
      <c r="B41617" s="36"/>
      <c r="C41617" s="36"/>
      <c r="E41617" s="1"/>
      <c r="F41617" s="1"/>
      <c r="G41617" s="1"/>
    </row>
    <row r="41618">
      <c r="B41618" s="36"/>
      <c r="C41618" s="36"/>
      <c r="E41618" s="1"/>
      <c r="F41618" s="1"/>
      <c r="G41618" s="1"/>
    </row>
    <row r="41619">
      <c r="B41619" s="36"/>
      <c r="C41619" s="36"/>
      <c r="E41619" s="1"/>
      <c r="F41619" s="1"/>
      <c r="G41619" s="1"/>
    </row>
    <row r="41620">
      <c r="B41620" s="36"/>
      <c r="C41620" s="36"/>
      <c r="E41620" s="1"/>
      <c r="F41620" s="1"/>
      <c r="G41620" s="1"/>
    </row>
    <row r="41621">
      <c r="B41621" s="36"/>
      <c r="C41621" s="36"/>
      <c r="E41621" s="1"/>
      <c r="F41621" s="1"/>
      <c r="G41621" s="1"/>
    </row>
    <row r="41622">
      <c r="B41622" s="36"/>
      <c r="C41622" s="36"/>
      <c r="E41622" s="1"/>
      <c r="F41622" s="1"/>
      <c r="G41622" s="1"/>
    </row>
    <row r="41623">
      <c r="B41623" s="36"/>
      <c r="C41623" s="36"/>
      <c r="E41623" s="1"/>
      <c r="F41623" s="1"/>
      <c r="G41623" s="1"/>
    </row>
    <row r="41624">
      <c r="B41624" s="36"/>
      <c r="C41624" s="36"/>
      <c r="E41624" s="1"/>
      <c r="F41624" s="1"/>
      <c r="G41624" s="1"/>
    </row>
    <row r="41625">
      <c r="B41625" s="36"/>
      <c r="C41625" s="36"/>
      <c r="E41625" s="1"/>
      <c r="F41625" s="1"/>
      <c r="G41625" s="1"/>
    </row>
    <row r="41626">
      <c r="B41626" s="36"/>
      <c r="C41626" s="36"/>
      <c r="E41626" s="1"/>
      <c r="F41626" s="1"/>
      <c r="G41626" s="1"/>
    </row>
    <row r="41627">
      <c r="B41627" s="36"/>
      <c r="C41627" s="36"/>
      <c r="E41627" s="1"/>
      <c r="F41627" s="1"/>
      <c r="G41627" s="1"/>
    </row>
    <row r="41628">
      <c r="B41628" s="36"/>
      <c r="C41628" s="36"/>
      <c r="E41628" s="1"/>
      <c r="F41628" s="1"/>
      <c r="G41628" s="1"/>
    </row>
    <row r="41629">
      <c r="B41629" s="36"/>
      <c r="C41629" s="36"/>
      <c r="E41629" s="1"/>
      <c r="F41629" s="1"/>
      <c r="G41629" s="1"/>
    </row>
    <row r="41630">
      <c r="B41630" s="36"/>
      <c r="C41630" s="36"/>
      <c r="E41630" s="1"/>
      <c r="F41630" s="1"/>
      <c r="G41630" s="1"/>
    </row>
    <row r="41631">
      <c r="B41631" s="36"/>
      <c r="C41631" s="36"/>
      <c r="E41631" s="1"/>
      <c r="F41631" s="1"/>
      <c r="G41631" s="1"/>
    </row>
    <row r="41632">
      <c r="B41632" s="36"/>
      <c r="C41632" s="36"/>
      <c r="E41632" s="1"/>
      <c r="F41632" s="1"/>
      <c r="G41632" s="1"/>
    </row>
    <row r="41633">
      <c r="B41633" s="36"/>
      <c r="C41633" s="36"/>
      <c r="E41633" s="1"/>
      <c r="F41633" s="1"/>
      <c r="G41633" s="1"/>
    </row>
    <row r="41634">
      <c r="B41634" s="36"/>
      <c r="C41634" s="36"/>
      <c r="E41634" s="1"/>
      <c r="F41634" s="1"/>
      <c r="G41634" s="1"/>
    </row>
    <row r="41635">
      <c r="B41635" s="36"/>
      <c r="C41635" s="36"/>
      <c r="E41635" s="1"/>
      <c r="F41635" s="1"/>
      <c r="G41635" s="1"/>
    </row>
    <row r="41636">
      <c r="B41636" s="36"/>
      <c r="C41636" s="36"/>
      <c r="E41636" s="1"/>
      <c r="F41636" s="1"/>
      <c r="G41636" s="1"/>
    </row>
    <row r="41637">
      <c r="B41637" s="36"/>
      <c r="C41637" s="36"/>
      <c r="E41637" s="1"/>
      <c r="F41637" s="1"/>
      <c r="G41637" s="1"/>
    </row>
    <row r="41638">
      <c r="B41638" s="36"/>
      <c r="C41638" s="36"/>
      <c r="E41638" s="1"/>
      <c r="F41638" s="1"/>
      <c r="G41638" s="1"/>
    </row>
    <row r="41639">
      <c r="B41639" s="36"/>
      <c r="C41639" s="36"/>
      <c r="E41639" s="1"/>
      <c r="F41639" s="1"/>
      <c r="G41639" s="1"/>
    </row>
    <row r="41640">
      <c r="B41640" s="36"/>
      <c r="C41640" s="36"/>
      <c r="E41640" s="1"/>
      <c r="F41640" s="1"/>
      <c r="G41640" s="1"/>
    </row>
    <row r="41641">
      <c r="B41641" s="36"/>
      <c r="C41641" s="36"/>
      <c r="E41641" s="1"/>
      <c r="F41641" s="1"/>
      <c r="G41641" s="1"/>
    </row>
    <row r="41642">
      <c r="B41642" s="36"/>
      <c r="C41642" s="36"/>
      <c r="E41642" s="1"/>
      <c r="F41642" s="1"/>
      <c r="G41642" s="1"/>
    </row>
    <row r="41643">
      <c r="B41643" s="36"/>
      <c r="C41643" s="36"/>
      <c r="E41643" s="1"/>
      <c r="F41643" s="1"/>
      <c r="G41643" s="1"/>
    </row>
    <row r="41644">
      <c r="B41644" s="36"/>
      <c r="C41644" s="36"/>
      <c r="E41644" s="1"/>
      <c r="F41644" s="1"/>
      <c r="G41644" s="1"/>
    </row>
    <row r="41645">
      <c r="B41645" s="36"/>
      <c r="C41645" s="36"/>
      <c r="E41645" s="1"/>
      <c r="F41645" s="1"/>
      <c r="G41645" s="1"/>
    </row>
    <row r="41646">
      <c r="B41646" s="36"/>
      <c r="C41646" s="36"/>
      <c r="E41646" s="1"/>
      <c r="F41646" s="1"/>
      <c r="G41646" s="1"/>
    </row>
    <row r="41647">
      <c r="B41647" s="36"/>
      <c r="C41647" s="36"/>
      <c r="E41647" s="1"/>
      <c r="F41647" s="1"/>
      <c r="G41647" s="1"/>
    </row>
    <row r="41648">
      <c r="B41648" s="36"/>
      <c r="C41648" s="36"/>
      <c r="E41648" s="1"/>
      <c r="F41648" s="1"/>
      <c r="G41648" s="1"/>
    </row>
    <row r="41649">
      <c r="B41649" s="36"/>
      <c r="C41649" s="36"/>
      <c r="E41649" s="1"/>
      <c r="F41649" s="1"/>
      <c r="G41649" s="1"/>
    </row>
    <row r="41650">
      <c r="B41650" s="36"/>
      <c r="C41650" s="36"/>
      <c r="E41650" s="1"/>
      <c r="F41650" s="1"/>
      <c r="G41650" s="1"/>
    </row>
    <row r="41651">
      <c r="B41651" s="36"/>
      <c r="C41651" s="36"/>
      <c r="E41651" s="1"/>
      <c r="F41651" s="1"/>
      <c r="G41651" s="1"/>
    </row>
    <row r="41652">
      <c r="B41652" s="36"/>
      <c r="C41652" s="36"/>
      <c r="E41652" s="1"/>
      <c r="F41652" s="1"/>
      <c r="G41652" s="1"/>
    </row>
    <row r="41653">
      <c r="B41653" s="36"/>
      <c r="C41653" s="36"/>
      <c r="E41653" s="1"/>
      <c r="F41653" s="1"/>
      <c r="G41653" s="1"/>
    </row>
    <row r="41654">
      <c r="B41654" s="36"/>
      <c r="C41654" s="36"/>
      <c r="E41654" s="1"/>
      <c r="F41654" s="1"/>
      <c r="G41654" s="1"/>
    </row>
    <row r="41655">
      <c r="B41655" s="36"/>
      <c r="C41655" s="36"/>
      <c r="E41655" s="1"/>
      <c r="F41655" s="1"/>
      <c r="G41655" s="1"/>
    </row>
    <row r="41656">
      <c r="B41656" s="36"/>
      <c r="C41656" s="36"/>
      <c r="E41656" s="1"/>
      <c r="F41656" s="1"/>
      <c r="G41656" s="1"/>
    </row>
    <row r="41657">
      <c r="B41657" s="36"/>
      <c r="C41657" s="36"/>
      <c r="E41657" s="1"/>
      <c r="F41657" s="1"/>
      <c r="G41657" s="1"/>
    </row>
    <row r="41658">
      <c r="B41658" s="36"/>
      <c r="C41658" s="36"/>
      <c r="E41658" s="1"/>
      <c r="F41658" s="1"/>
      <c r="G41658" s="1"/>
    </row>
    <row r="41659">
      <c r="B41659" s="36"/>
      <c r="C41659" s="36"/>
      <c r="E41659" s="1"/>
      <c r="F41659" s="1"/>
      <c r="G41659" s="1"/>
    </row>
    <row r="41660">
      <c r="B41660" s="36"/>
      <c r="C41660" s="36"/>
      <c r="E41660" s="1"/>
      <c r="F41660" s="1"/>
      <c r="G41660" s="1"/>
    </row>
    <row r="41661">
      <c r="B41661" s="36"/>
      <c r="C41661" s="36"/>
      <c r="E41661" s="1"/>
      <c r="F41661" s="1"/>
      <c r="G41661" s="1"/>
    </row>
    <row r="41662">
      <c r="B41662" s="36"/>
      <c r="C41662" s="36"/>
      <c r="E41662" s="1"/>
      <c r="F41662" s="1"/>
      <c r="G41662" s="1"/>
    </row>
    <row r="41663">
      <c r="B41663" s="36"/>
      <c r="C41663" s="36"/>
      <c r="E41663" s="1"/>
      <c r="F41663" s="1"/>
      <c r="G41663" s="1"/>
    </row>
    <row r="41664">
      <c r="B41664" s="36"/>
      <c r="C41664" s="36"/>
      <c r="E41664" s="1"/>
      <c r="F41664" s="1"/>
      <c r="G41664" s="1"/>
    </row>
    <row r="41665">
      <c r="B41665" s="36"/>
      <c r="C41665" s="36"/>
      <c r="E41665" s="1"/>
      <c r="F41665" s="1"/>
      <c r="G41665" s="1"/>
    </row>
    <row r="41666">
      <c r="B41666" s="36"/>
      <c r="C41666" s="36"/>
      <c r="E41666" s="1"/>
      <c r="F41666" s="1"/>
      <c r="G41666" s="1"/>
    </row>
    <row r="41667">
      <c r="B41667" s="36"/>
      <c r="C41667" s="36"/>
      <c r="E41667" s="1"/>
      <c r="F41667" s="1"/>
      <c r="G41667" s="1"/>
    </row>
    <row r="41668">
      <c r="B41668" s="36"/>
      <c r="C41668" s="36"/>
      <c r="E41668" s="1"/>
      <c r="F41668" s="1"/>
      <c r="G41668" s="1"/>
    </row>
    <row r="41669">
      <c r="B41669" s="36"/>
      <c r="C41669" s="36"/>
      <c r="E41669" s="1"/>
      <c r="F41669" s="1"/>
      <c r="G41669" s="1"/>
    </row>
    <row r="41670">
      <c r="B41670" s="36"/>
      <c r="C41670" s="36"/>
      <c r="E41670" s="1"/>
      <c r="F41670" s="1"/>
      <c r="G41670" s="1"/>
    </row>
    <row r="41671">
      <c r="B41671" s="36"/>
      <c r="C41671" s="36"/>
      <c r="E41671" s="1"/>
      <c r="F41671" s="1"/>
      <c r="G41671" s="1"/>
    </row>
    <row r="41672">
      <c r="B41672" s="36"/>
      <c r="C41672" s="36"/>
      <c r="E41672" s="1"/>
      <c r="F41672" s="1"/>
      <c r="G41672" s="1"/>
    </row>
    <row r="41673">
      <c r="B41673" s="36"/>
      <c r="C41673" s="36"/>
      <c r="E41673" s="1"/>
      <c r="F41673" s="1"/>
      <c r="G41673" s="1"/>
    </row>
    <row r="41674">
      <c r="B41674" s="36"/>
      <c r="C41674" s="36"/>
      <c r="E41674" s="1"/>
      <c r="F41674" s="1"/>
      <c r="G41674" s="1"/>
    </row>
    <row r="41675">
      <c r="B41675" s="36"/>
      <c r="C41675" s="36"/>
      <c r="E41675" s="1"/>
      <c r="F41675" s="1"/>
      <c r="G41675" s="1"/>
    </row>
    <row r="41676">
      <c r="B41676" s="36"/>
      <c r="C41676" s="36"/>
      <c r="E41676" s="1"/>
      <c r="F41676" s="1"/>
      <c r="G41676" s="1"/>
    </row>
    <row r="41677">
      <c r="B41677" s="36"/>
      <c r="C41677" s="36"/>
      <c r="E41677" s="1"/>
      <c r="F41677" s="1"/>
      <c r="G41677" s="1"/>
    </row>
    <row r="41678">
      <c r="B41678" s="36"/>
      <c r="C41678" s="36"/>
      <c r="E41678" s="1"/>
      <c r="F41678" s="1"/>
      <c r="G41678" s="1"/>
    </row>
    <row r="41679">
      <c r="B41679" s="36"/>
      <c r="C41679" s="36"/>
      <c r="E41679" s="1"/>
      <c r="F41679" s="1"/>
      <c r="G41679" s="1"/>
    </row>
    <row r="41680">
      <c r="B41680" s="36"/>
      <c r="C41680" s="36"/>
      <c r="E41680" s="1"/>
      <c r="F41680" s="1"/>
      <c r="G41680" s="1"/>
    </row>
    <row r="41681">
      <c r="B41681" s="36"/>
      <c r="C41681" s="36"/>
      <c r="E41681" s="1"/>
      <c r="F41681" s="1"/>
      <c r="G41681" s="1"/>
    </row>
    <row r="41682">
      <c r="B41682" s="36"/>
      <c r="C41682" s="36"/>
      <c r="E41682" s="1"/>
      <c r="F41682" s="1"/>
      <c r="G41682" s="1"/>
    </row>
    <row r="41683">
      <c r="B41683" s="36"/>
      <c r="C41683" s="36"/>
      <c r="E41683" s="1"/>
      <c r="F41683" s="1"/>
      <c r="G41683" s="1"/>
    </row>
    <row r="41684">
      <c r="B41684" s="36"/>
      <c r="C41684" s="36"/>
      <c r="E41684" s="1"/>
      <c r="F41684" s="1"/>
      <c r="G41684" s="1"/>
    </row>
    <row r="41685">
      <c r="B41685" s="36"/>
      <c r="C41685" s="36"/>
      <c r="E41685" s="1"/>
      <c r="F41685" s="1"/>
      <c r="G41685" s="1"/>
    </row>
    <row r="41686">
      <c r="B41686" s="36"/>
      <c r="C41686" s="36"/>
      <c r="E41686" s="1"/>
      <c r="F41686" s="1"/>
      <c r="G41686" s="1"/>
    </row>
    <row r="41687">
      <c r="B41687" s="36"/>
      <c r="C41687" s="36"/>
      <c r="E41687" s="1"/>
      <c r="F41687" s="1"/>
      <c r="G41687" s="1"/>
    </row>
    <row r="41688">
      <c r="B41688" s="36"/>
      <c r="C41688" s="36"/>
      <c r="E41688" s="1"/>
      <c r="F41688" s="1"/>
      <c r="G41688" s="1"/>
    </row>
    <row r="41689">
      <c r="B41689" s="36"/>
      <c r="C41689" s="36"/>
      <c r="E41689" s="1"/>
      <c r="F41689" s="1"/>
      <c r="G41689" s="1"/>
    </row>
    <row r="41690">
      <c r="B41690" s="36"/>
      <c r="C41690" s="36"/>
      <c r="E41690" s="1"/>
      <c r="F41690" s="1"/>
      <c r="G41690" s="1"/>
    </row>
    <row r="41691">
      <c r="B41691" s="36"/>
      <c r="C41691" s="36"/>
      <c r="E41691" s="1"/>
      <c r="F41691" s="1"/>
      <c r="G41691" s="1"/>
    </row>
    <row r="41692">
      <c r="B41692" s="36"/>
      <c r="C41692" s="36"/>
      <c r="E41692" s="1"/>
      <c r="F41692" s="1"/>
      <c r="G41692" s="1"/>
    </row>
    <row r="41693">
      <c r="B41693" s="36"/>
      <c r="C41693" s="36"/>
      <c r="E41693" s="1"/>
      <c r="F41693" s="1"/>
      <c r="G41693" s="1"/>
    </row>
    <row r="41694">
      <c r="B41694" s="36"/>
      <c r="C41694" s="36"/>
      <c r="E41694" s="1"/>
      <c r="F41694" s="1"/>
      <c r="G41694" s="1"/>
    </row>
    <row r="41695">
      <c r="B41695" s="36"/>
      <c r="C41695" s="36"/>
      <c r="E41695" s="1"/>
      <c r="F41695" s="1"/>
      <c r="G41695" s="1"/>
    </row>
    <row r="41696">
      <c r="B41696" s="36"/>
      <c r="C41696" s="36"/>
      <c r="E41696" s="1"/>
      <c r="F41696" s="1"/>
      <c r="G41696" s="1"/>
    </row>
    <row r="41697">
      <c r="B41697" s="36"/>
      <c r="C41697" s="36"/>
      <c r="E41697" s="1"/>
      <c r="F41697" s="1"/>
      <c r="G41697" s="1"/>
    </row>
    <row r="41698">
      <c r="B41698" s="36"/>
      <c r="C41698" s="36"/>
      <c r="E41698" s="1"/>
      <c r="F41698" s="1"/>
      <c r="G41698" s="1"/>
    </row>
    <row r="41699">
      <c r="B41699" s="36"/>
      <c r="C41699" s="36"/>
      <c r="E41699" s="1"/>
      <c r="F41699" s="1"/>
      <c r="G41699" s="1"/>
    </row>
    <row r="41700">
      <c r="B41700" s="36"/>
      <c r="C41700" s="36"/>
      <c r="E41700" s="1"/>
      <c r="F41700" s="1"/>
      <c r="G41700" s="1"/>
    </row>
    <row r="41701">
      <c r="B41701" s="36"/>
      <c r="C41701" s="36"/>
      <c r="E41701" s="1"/>
      <c r="F41701" s="1"/>
      <c r="G41701" s="1"/>
    </row>
    <row r="41702">
      <c r="B41702" s="36"/>
      <c r="C41702" s="36"/>
      <c r="E41702" s="1"/>
      <c r="F41702" s="1"/>
      <c r="G41702" s="1"/>
    </row>
    <row r="41703">
      <c r="B41703" s="36"/>
      <c r="C41703" s="36"/>
      <c r="E41703" s="1"/>
      <c r="F41703" s="1"/>
      <c r="G41703" s="1"/>
    </row>
    <row r="41704">
      <c r="B41704" s="36"/>
      <c r="C41704" s="36"/>
      <c r="E41704" s="1"/>
      <c r="F41704" s="1"/>
      <c r="G41704" s="1"/>
    </row>
    <row r="41705">
      <c r="B41705" s="36"/>
      <c r="C41705" s="36"/>
      <c r="E41705" s="1"/>
      <c r="F41705" s="1"/>
      <c r="G41705" s="1"/>
    </row>
    <row r="41706">
      <c r="B41706" s="36"/>
      <c r="C41706" s="36"/>
      <c r="E41706" s="1"/>
      <c r="F41706" s="1"/>
      <c r="G41706" s="1"/>
    </row>
    <row r="41707">
      <c r="B41707" s="36"/>
      <c r="C41707" s="36"/>
      <c r="E41707" s="1"/>
      <c r="F41707" s="1"/>
      <c r="G41707" s="1"/>
    </row>
    <row r="41708">
      <c r="B41708" s="36"/>
      <c r="C41708" s="36"/>
      <c r="E41708" s="1"/>
      <c r="F41708" s="1"/>
      <c r="G41708" s="1"/>
    </row>
    <row r="41709">
      <c r="B41709" s="36"/>
      <c r="C41709" s="36"/>
      <c r="E41709" s="1"/>
      <c r="F41709" s="1"/>
      <c r="G41709" s="1"/>
    </row>
    <row r="41710">
      <c r="B41710" s="36"/>
      <c r="C41710" s="36"/>
      <c r="E41710" s="1"/>
      <c r="F41710" s="1"/>
      <c r="G41710" s="1"/>
    </row>
    <row r="41711">
      <c r="B41711" s="36"/>
      <c r="C41711" s="36"/>
      <c r="E41711" s="1"/>
      <c r="F41711" s="1"/>
      <c r="G41711" s="1"/>
    </row>
    <row r="41712">
      <c r="B41712" s="36"/>
      <c r="C41712" s="36"/>
      <c r="E41712" s="1"/>
      <c r="F41712" s="1"/>
      <c r="G41712" s="1"/>
    </row>
    <row r="41713">
      <c r="B41713" s="36"/>
      <c r="C41713" s="36"/>
      <c r="E41713" s="1"/>
      <c r="F41713" s="1"/>
      <c r="G41713" s="1"/>
    </row>
    <row r="41714">
      <c r="B41714" s="36"/>
      <c r="C41714" s="36"/>
      <c r="E41714" s="1"/>
      <c r="F41714" s="1"/>
      <c r="G41714" s="1"/>
    </row>
    <row r="41715">
      <c r="B41715" s="36"/>
      <c r="C41715" s="36"/>
      <c r="E41715" s="1"/>
      <c r="F41715" s="1"/>
      <c r="G41715" s="1"/>
    </row>
    <row r="41716">
      <c r="B41716" s="36"/>
      <c r="C41716" s="36"/>
      <c r="E41716" s="1"/>
      <c r="F41716" s="1"/>
      <c r="G41716" s="1"/>
    </row>
    <row r="41717">
      <c r="B41717" s="36"/>
      <c r="C41717" s="36"/>
      <c r="E41717" s="1"/>
      <c r="F41717" s="1"/>
      <c r="G41717" s="1"/>
    </row>
    <row r="41718">
      <c r="B41718" s="36"/>
      <c r="C41718" s="36"/>
      <c r="E41718" s="1"/>
      <c r="F41718" s="1"/>
      <c r="G41718" s="1"/>
    </row>
    <row r="41719">
      <c r="B41719" s="36"/>
      <c r="C41719" s="36"/>
      <c r="E41719" s="1"/>
      <c r="F41719" s="1"/>
      <c r="G41719" s="1"/>
    </row>
    <row r="41720">
      <c r="B41720" s="36"/>
      <c r="C41720" s="36"/>
      <c r="E41720" s="1"/>
      <c r="F41720" s="1"/>
      <c r="G41720" s="1"/>
    </row>
    <row r="41721">
      <c r="B41721" s="36"/>
      <c r="C41721" s="36"/>
      <c r="E41721" s="1"/>
      <c r="F41721" s="1"/>
      <c r="G41721" s="1"/>
    </row>
    <row r="41722">
      <c r="B41722" s="36"/>
      <c r="C41722" s="36"/>
      <c r="E41722" s="1"/>
      <c r="F41722" s="1"/>
      <c r="G41722" s="1"/>
    </row>
    <row r="41723">
      <c r="B41723" s="36"/>
      <c r="C41723" s="36"/>
      <c r="E41723" s="1"/>
      <c r="F41723" s="1"/>
      <c r="G41723" s="1"/>
    </row>
    <row r="41724">
      <c r="B41724" s="36"/>
      <c r="C41724" s="36"/>
      <c r="E41724" s="1"/>
      <c r="F41724" s="1"/>
      <c r="G41724" s="1"/>
    </row>
    <row r="41725">
      <c r="B41725" s="36"/>
      <c r="C41725" s="36"/>
      <c r="E41725" s="1"/>
      <c r="F41725" s="1"/>
      <c r="G41725" s="1"/>
    </row>
    <row r="41726">
      <c r="B41726" s="36"/>
      <c r="C41726" s="36"/>
      <c r="E41726" s="1"/>
      <c r="F41726" s="1"/>
      <c r="G41726" s="1"/>
    </row>
    <row r="41727">
      <c r="B41727" s="36"/>
      <c r="C41727" s="36"/>
      <c r="E41727" s="1"/>
      <c r="F41727" s="1"/>
      <c r="G41727" s="1"/>
    </row>
    <row r="41728">
      <c r="B41728" s="36"/>
      <c r="C41728" s="36"/>
      <c r="E41728" s="1"/>
      <c r="F41728" s="1"/>
      <c r="G41728" s="1"/>
    </row>
    <row r="41729">
      <c r="B41729" s="36"/>
      <c r="C41729" s="36"/>
      <c r="E41729" s="1"/>
      <c r="F41729" s="1"/>
      <c r="G41729" s="1"/>
    </row>
    <row r="41730">
      <c r="B41730" s="36"/>
      <c r="C41730" s="36"/>
      <c r="E41730" s="1"/>
      <c r="F41730" s="1"/>
      <c r="G41730" s="1"/>
    </row>
    <row r="41731">
      <c r="B41731" s="36"/>
      <c r="C41731" s="36"/>
      <c r="E41731" s="1"/>
      <c r="F41731" s="1"/>
      <c r="G41731" s="1"/>
    </row>
    <row r="41732">
      <c r="B41732" s="36"/>
      <c r="C41732" s="36"/>
      <c r="E41732" s="1"/>
      <c r="F41732" s="1"/>
      <c r="G41732" s="1"/>
    </row>
    <row r="41733">
      <c r="B41733" s="36"/>
      <c r="C41733" s="36"/>
      <c r="E41733" s="1"/>
      <c r="F41733" s="1"/>
      <c r="G41733" s="1"/>
    </row>
    <row r="41734">
      <c r="B41734" s="36"/>
      <c r="C41734" s="36"/>
      <c r="E41734" s="1"/>
      <c r="F41734" s="1"/>
      <c r="G41734" s="1"/>
    </row>
    <row r="41735">
      <c r="B41735" s="36"/>
      <c r="C41735" s="36"/>
      <c r="E41735" s="1"/>
      <c r="F41735" s="1"/>
      <c r="G41735" s="1"/>
    </row>
    <row r="41736">
      <c r="B41736" s="36"/>
      <c r="C41736" s="36"/>
      <c r="E41736" s="1"/>
      <c r="F41736" s="1"/>
      <c r="G41736" s="1"/>
    </row>
    <row r="41737">
      <c r="B41737" s="36"/>
      <c r="C41737" s="36"/>
      <c r="E41737" s="1"/>
      <c r="F41737" s="1"/>
      <c r="G41737" s="1"/>
    </row>
    <row r="41738">
      <c r="B41738" s="36"/>
      <c r="C41738" s="36"/>
      <c r="E41738" s="1"/>
      <c r="F41738" s="1"/>
      <c r="G41738" s="1"/>
    </row>
    <row r="41739">
      <c r="B41739" s="36"/>
      <c r="C41739" s="36"/>
      <c r="E41739" s="1"/>
      <c r="F41739" s="1"/>
      <c r="G41739" s="1"/>
    </row>
    <row r="41740">
      <c r="B41740" s="36"/>
      <c r="C41740" s="36"/>
      <c r="E41740" s="1"/>
      <c r="F41740" s="1"/>
      <c r="G41740" s="1"/>
    </row>
    <row r="41741">
      <c r="B41741" s="36"/>
      <c r="C41741" s="36"/>
      <c r="E41741" s="1"/>
      <c r="F41741" s="1"/>
      <c r="G41741" s="1"/>
    </row>
    <row r="41742">
      <c r="B41742" s="36"/>
      <c r="C41742" s="36"/>
      <c r="E41742" s="1"/>
      <c r="F41742" s="1"/>
      <c r="G41742" s="1"/>
    </row>
    <row r="41743">
      <c r="B41743" s="36"/>
      <c r="C41743" s="36"/>
      <c r="E41743" s="1"/>
      <c r="F41743" s="1"/>
      <c r="G41743" s="1"/>
    </row>
    <row r="41744">
      <c r="B41744" s="36"/>
      <c r="C41744" s="36"/>
      <c r="E41744" s="1"/>
      <c r="F41744" s="1"/>
      <c r="G41744" s="1"/>
    </row>
    <row r="41745">
      <c r="B41745" s="36"/>
      <c r="C41745" s="36"/>
      <c r="E41745" s="1"/>
      <c r="F41745" s="1"/>
      <c r="G41745" s="1"/>
    </row>
    <row r="41746">
      <c r="B41746" s="36"/>
      <c r="C41746" s="36"/>
      <c r="E41746" s="1"/>
      <c r="F41746" s="1"/>
      <c r="G41746" s="1"/>
    </row>
    <row r="41747">
      <c r="B41747" s="36"/>
      <c r="C41747" s="36"/>
      <c r="E41747" s="1"/>
      <c r="F41747" s="1"/>
      <c r="G41747" s="1"/>
    </row>
    <row r="41748">
      <c r="B41748" s="36"/>
      <c r="C41748" s="36"/>
      <c r="E41748" s="1"/>
      <c r="F41748" s="1"/>
      <c r="G41748" s="1"/>
    </row>
    <row r="41749">
      <c r="B41749" s="36"/>
      <c r="C41749" s="36"/>
      <c r="E41749" s="1"/>
      <c r="F41749" s="1"/>
      <c r="G41749" s="1"/>
    </row>
    <row r="41750">
      <c r="B41750" s="36"/>
      <c r="C41750" s="36"/>
      <c r="E41750" s="1"/>
      <c r="F41750" s="1"/>
      <c r="G41750" s="1"/>
    </row>
    <row r="41751">
      <c r="B41751" s="36"/>
      <c r="C41751" s="36"/>
      <c r="E41751" s="1"/>
      <c r="F41751" s="1"/>
      <c r="G41751" s="1"/>
    </row>
    <row r="41752">
      <c r="B41752" s="36"/>
      <c r="C41752" s="36"/>
      <c r="E41752" s="1"/>
      <c r="F41752" s="1"/>
      <c r="G41752" s="1"/>
    </row>
    <row r="41753">
      <c r="B41753" s="36"/>
      <c r="C41753" s="36"/>
      <c r="E41753" s="1"/>
      <c r="F41753" s="1"/>
      <c r="G41753" s="1"/>
    </row>
    <row r="41754">
      <c r="B41754" s="36"/>
      <c r="C41754" s="36"/>
      <c r="E41754" s="1"/>
      <c r="F41754" s="1"/>
      <c r="G41754" s="1"/>
    </row>
    <row r="41755">
      <c r="B41755" s="36"/>
      <c r="C41755" s="36"/>
      <c r="E41755" s="1"/>
      <c r="F41755" s="1"/>
      <c r="G41755" s="1"/>
    </row>
    <row r="41756">
      <c r="B41756" s="36"/>
      <c r="C41756" s="36"/>
      <c r="E41756" s="1"/>
      <c r="F41756" s="1"/>
      <c r="G41756" s="1"/>
    </row>
    <row r="41757">
      <c r="B41757" s="36"/>
      <c r="C41757" s="36"/>
      <c r="E41757" s="1"/>
      <c r="F41757" s="1"/>
      <c r="G41757" s="1"/>
    </row>
    <row r="41758">
      <c r="B41758" s="36"/>
      <c r="C41758" s="36"/>
      <c r="E41758" s="1"/>
      <c r="F41758" s="1"/>
      <c r="G41758" s="1"/>
    </row>
    <row r="41759">
      <c r="B41759" s="36"/>
      <c r="C41759" s="36"/>
      <c r="E41759" s="1"/>
      <c r="F41759" s="1"/>
      <c r="G41759" s="1"/>
    </row>
    <row r="41760">
      <c r="B41760" s="36"/>
      <c r="C41760" s="36"/>
      <c r="E41760" s="1"/>
      <c r="F41760" s="1"/>
      <c r="G41760" s="1"/>
    </row>
    <row r="41761">
      <c r="B41761" s="36"/>
      <c r="C41761" s="36"/>
      <c r="E41761" s="1"/>
      <c r="F41761" s="1"/>
      <c r="G41761" s="1"/>
    </row>
    <row r="41762">
      <c r="B41762" s="36"/>
      <c r="C41762" s="36"/>
      <c r="E41762" s="1"/>
      <c r="F41762" s="1"/>
      <c r="G41762" s="1"/>
    </row>
    <row r="41763">
      <c r="B41763" s="36"/>
      <c r="C41763" s="36"/>
      <c r="E41763" s="1"/>
      <c r="F41763" s="1"/>
      <c r="G41763" s="1"/>
    </row>
    <row r="41764">
      <c r="B41764" s="36"/>
      <c r="C41764" s="36"/>
      <c r="E41764" s="1"/>
      <c r="F41764" s="1"/>
      <c r="G41764" s="1"/>
    </row>
    <row r="41765">
      <c r="B41765" s="36"/>
      <c r="C41765" s="36"/>
      <c r="E41765" s="1"/>
      <c r="F41765" s="1"/>
      <c r="G41765" s="1"/>
    </row>
    <row r="41766">
      <c r="B41766" s="36"/>
      <c r="C41766" s="36"/>
      <c r="E41766" s="1"/>
      <c r="F41766" s="1"/>
      <c r="G41766" s="1"/>
    </row>
    <row r="41767">
      <c r="B41767" s="36"/>
      <c r="C41767" s="36"/>
      <c r="E41767" s="1"/>
      <c r="F41767" s="1"/>
      <c r="G41767" s="1"/>
    </row>
    <row r="41768">
      <c r="B41768" s="36"/>
      <c r="C41768" s="36"/>
      <c r="E41768" s="1"/>
      <c r="F41768" s="1"/>
      <c r="G41768" s="1"/>
    </row>
    <row r="41769">
      <c r="B41769" s="36"/>
      <c r="C41769" s="36"/>
      <c r="E41769" s="1"/>
      <c r="F41769" s="1"/>
      <c r="G41769" s="1"/>
    </row>
    <row r="41770">
      <c r="B41770" s="36"/>
      <c r="C41770" s="36"/>
      <c r="E41770" s="1"/>
      <c r="F41770" s="1"/>
      <c r="G41770" s="1"/>
    </row>
    <row r="41771">
      <c r="B41771" s="36"/>
      <c r="C41771" s="36"/>
      <c r="E41771" s="1"/>
      <c r="F41771" s="1"/>
      <c r="G41771" s="1"/>
    </row>
    <row r="41772">
      <c r="B41772" s="36"/>
      <c r="C41772" s="36"/>
      <c r="E41772" s="1"/>
      <c r="F41772" s="1"/>
      <c r="G41772" s="1"/>
    </row>
    <row r="41773">
      <c r="B41773" s="36"/>
      <c r="C41773" s="36"/>
      <c r="E41773" s="1"/>
      <c r="F41773" s="1"/>
      <c r="G41773" s="1"/>
    </row>
    <row r="41774">
      <c r="B41774" s="36"/>
      <c r="C41774" s="36"/>
      <c r="E41774" s="1"/>
      <c r="F41774" s="1"/>
      <c r="G41774" s="1"/>
    </row>
    <row r="41775">
      <c r="B41775" s="36"/>
      <c r="C41775" s="36"/>
      <c r="E41775" s="1"/>
      <c r="F41775" s="1"/>
      <c r="G41775" s="1"/>
    </row>
    <row r="41776">
      <c r="B41776" s="36"/>
      <c r="C41776" s="36"/>
      <c r="E41776" s="1"/>
      <c r="F41776" s="1"/>
      <c r="G41776" s="1"/>
    </row>
    <row r="41777">
      <c r="B41777" s="36"/>
      <c r="C41777" s="36"/>
      <c r="E41777" s="1"/>
      <c r="F41777" s="1"/>
      <c r="G41777" s="1"/>
    </row>
    <row r="41778">
      <c r="B41778" s="36"/>
      <c r="C41778" s="36"/>
      <c r="E41778" s="1"/>
      <c r="F41778" s="1"/>
      <c r="G41778" s="1"/>
    </row>
    <row r="41779">
      <c r="B41779" s="36"/>
      <c r="C41779" s="36"/>
      <c r="E41779" s="1"/>
      <c r="F41779" s="1"/>
      <c r="G41779" s="1"/>
    </row>
    <row r="41780">
      <c r="B41780" s="36"/>
      <c r="C41780" s="36"/>
      <c r="E41780" s="1"/>
      <c r="F41780" s="1"/>
      <c r="G41780" s="1"/>
    </row>
    <row r="41781">
      <c r="B41781" s="36"/>
      <c r="C41781" s="36"/>
      <c r="E41781" s="1"/>
      <c r="F41781" s="1"/>
      <c r="G41781" s="1"/>
    </row>
    <row r="41782">
      <c r="B41782" s="36"/>
      <c r="C41782" s="36"/>
      <c r="E41782" s="1"/>
      <c r="F41782" s="1"/>
      <c r="G41782" s="1"/>
    </row>
    <row r="41783">
      <c r="B41783" s="36"/>
      <c r="C41783" s="36"/>
      <c r="E41783" s="1"/>
      <c r="F41783" s="1"/>
      <c r="G41783" s="1"/>
    </row>
    <row r="41784">
      <c r="B41784" s="36"/>
      <c r="C41784" s="36"/>
      <c r="E41784" s="1"/>
      <c r="F41784" s="1"/>
      <c r="G41784" s="1"/>
    </row>
    <row r="41785">
      <c r="B41785" s="36"/>
      <c r="C41785" s="36"/>
      <c r="E41785" s="1"/>
      <c r="F41785" s="1"/>
      <c r="G41785" s="1"/>
    </row>
    <row r="41786">
      <c r="B41786" s="36"/>
      <c r="C41786" s="36"/>
      <c r="E41786" s="1"/>
      <c r="F41786" s="1"/>
      <c r="G41786" s="1"/>
    </row>
    <row r="41787">
      <c r="B41787" s="36"/>
      <c r="C41787" s="36"/>
      <c r="E41787" s="1"/>
      <c r="F41787" s="1"/>
      <c r="G41787" s="1"/>
    </row>
    <row r="41788">
      <c r="B41788" s="36"/>
      <c r="C41788" s="36"/>
      <c r="E41788" s="1"/>
      <c r="F41788" s="1"/>
      <c r="G41788" s="1"/>
    </row>
    <row r="41789">
      <c r="B41789" s="36"/>
      <c r="C41789" s="36"/>
      <c r="E41789" s="1"/>
      <c r="F41789" s="1"/>
      <c r="G41789" s="1"/>
    </row>
    <row r="41790">
      <c r="B41790" s="36"/>
      <c r="C41790" s="36"/>
      <c r="E41790" s="1"/>
      <c r="F41790" s="1"/>
      <c r="G41790" s="1"/>
    </row>
    <row r="41791">
      <c r="B41791" s="36"/>
      <c r="C41791" s="36"/>
      <c r="E41791" s="1"/>
      <c r="F41791" s="1"/>
      <c r="G41791" s="1"/>
    </row>
    <row r="41792">
      <c r="B41792" s="36"/>
      <c r="C41792" s="36"/>
      <c r="E41792" s="1"/>
      <c r="F41792" s="1"/>
      <c r="G41792" s="1"/>
    </row>
    <row r="41793">
      <c r="B41793" s="36"/>
      <c r="C41793" s="36"/>
      <c r="E41793" s="1"/>
      <c r="F41793" s="1"/>
      <c r="G41793" s="1"/>
    </row>
    <row r="41794">
      <c r="B41794" s="36"/>
      <c r="C41794" s="36"/>
      <c r="E41794" s="1"/>
      <c r="F41794" s="1"/>
      <c r="G41794" s="1"/>
    </row>
    <row r="41795">
      <c r="B41795" s="36"/>
      <c r="C41795" s="36"/>
      <c r="E41795" s="1"/>
      <c r="F41795" s="1"/>
      <c r="G41795" s="1"/>
    </row>
    <row r="41796">
      <c r="B41796" s="36"/>
      <c r="C41796" s="36"/>
      <c r="E41796" s="1"/>
      <c r="F41796" s="1"/>
      <c r="G41796" s="1"/>
    </row>
    <row r="41797">
      <c r="B41797" s="36"/>
      <c r="C41797" s="36"/>
      <c r="E41797" s="1"/>
      <c r="F41797" s="1"/>
      <c r="G41797" s="1"/>
    </row>
    <row r="41798">
      <c r="B41798" s="36"/>
      <c r="C41798" s="36"/>
      <c r="E41798" s="1"/>
      <c r="F41798" s="1"/>
      <c r="G41798" s="1"/>
    </row>
    <row r="41799">
      <c r="B41799" s="36"/>
      <c r="C41799" s="36"/>
      <c r="E41799" s="1"/>
      <c r="F41799" s="1"/>
      <c r="G41799" s="1"/>
    </row>
    <row r="41800">
      <c r="B41800" s="36"/>
      <c r="C41800" s="36"/>
      <c r="E41800" s="1"/>
      <c r="F41800" s="1"/>
      <c r="G41800" s="1"/>
    </row>
    <row r="41801">
      <c r="B41801" s="36"/>
      <c r="C41801" s="36"/>
      <c r="E41801" s="1"/>
      <c r="F41801" s="1"/>
      <c r="G41801" s="1"/>
    </row>
    <row r="41802">
      <c r="B41802" s="36"/>
      <c r="C41802" s="36"/>
      <c r="E41802" s="1"/>
      <c r="F41802" s="1"/>
      <c r="G41802" s="1"/>
    </row>
    <row r="41803">
      <c r="B41803" s="36"/>
      <c r="C41803" s="36"/>
      <c r="E41803" s="1"/>
      <c r="F41803" s="1"/>
      <c r="G41803" s="1"/>
    </row>
    <row r="41804">
      <c r="B41804" s="36"/>
      <c r="C41804" s="36"/>
      <c r="E41804" s="1"/>
      <c r="F41804" s="1"/>
      <c r="G41804" s="1"/>
    </row>
    <row r="41805">
      <c r="B41805" s="36"/>
      <c r="C41805" s="36"/>
      <c r="E41805" s="1"/>
      <c r="F41805" s="1"/>
      <c r="G41805" s="1"/>
    </row>
    <row r="41806">
      <c r="B41806" s="36"/>
      <c r="C41806" s="36"/>
      <c r="E41806" s="1"/>
      <c r="F41806" s="1"/>
      <c r="G41806" s="1"/>
    </row>
    <row r="41807">
      <c r="B41807" s="36"/>
      <c r="C41807" s="36"/>
      <c r="E41807" s="1"/>
      <c r="F41807" s="1"/>
      <c r="G41807" s="1"/>
    </row>
    <row r="41808">
      <c r="B41808" s="36"/>
      <c r="C41808" s="36"/>
      <c r="E41808" s="1"/>
      <c r="F41808" s="1"/>
      <c r="G41808" s="1"/>
    </row>
    <row r="41809">
      <c r="B41809" s="36"/>
      <c r="C41809" s="36"/>
      <c r="E41809" s="1"/>
      <c r="F41809" s="1"/>
      <c r="G41809" s="1"/>
    </row>
    <row r="41810">
      <c r="B41810" s="36"/>
      <c r="C41810" s="36"/>
      <c r="E41810" s="1"/>
      <c r="F41810" s="1"/>
      <c r="G41810" s="1"/>
    </row>
    <row r="41811">
      <c r="B41811" s="36"/>
      <c r="C41811" s="36"/>
      <c r="E41811" s="1"/>
      <c r="F41811" s="1"/>
      <c r="G41811" s="1"/>
    </row>
    <row r="41812">
      <c r="B41812" s="36"/>
      <c r="C41812" s="36"/>
      <c r="E41812" s="1"/>
      <c r="F41812" s="1"/>
      <c r="G41812" s="1"/>
    </row>
    <row r="41813">
      <c r="B41813" s="36"/>
      <c r="C41813" s="36"/>
      <c r="E41813" s="1"/>
      <c r="F41813" s="1"/>
      <c r="G41813" s="1"/>
    </row>
    <row r="41814">
      <c r="B41814" s="36"/>
      <c r="C41814" s="36"/>
      <c r="E41814" s="1"/>
      <c r="F41814" s="1"/>
      <c r="G41814" s="1"/>
    </row>
    <row r="41815">
      <c r="B41815" s="36"/>
      <c r="C41815" s="36"/>
      <c r="E41815" s="1"/>
      <c r="F41815" s="1"/>
      <c r="G41815" s="1"/>
    </row>
    <row r="41816">
      <c r="B41816" s="36"/>
      <c r="C41816" s="36"/>
      <c r="E41816" s="1"/>
      <c r="F41816" s="1"/>
      <c r="G41816" s="1"/>
    </row>
    <row r="41817">
      <c r="B41817" s="36"/>
      <c r="C41817" s="36"/>
      <c r="E41817" s="1"/>
      <c r="F41817" s="1"/>
      <c r="G41817" s="1"/>
    </row>
    <row r="41818">
      <c r="B41818" s="36"/>
      <c r="C41818" s="36"/>
      <c r="E41818" s="1"/>
      <c r="F41818" s="1"/>
      <c r="G41818" s="1"/>
    </row>
    <row r="41819">
      <c r="B41819" s="36"/>
      <c r="C41819" s="36"/>
      <c r="E41819" s="1"/>
      <c r="F41819" s="1"/>
      <c r="G41819" s="1"/>
    </row>
    <row r="41820">
      <c r="B41820" s="36"/>
      <c r="C41820" s="36"/>
      <c r="E41820" s="1"/>
      <c r="F41820" s="1"/>
      <c r="G41820" s="1"/>
    </row>
    <row r="41821">
      <c r="B41821" s="36"/>
      <c r="C41821" s="36"/>
      <c r="E41821" s="1"/>
      <c r="F41821" s="1"/>
      <c r="G41821" s="1"/>
    </row>
    <row r="41822">
      <c r="B41822" s="36"/>
      <c r="C41822" s="36"/>
      <c r="E41822" s="1"/>
      <c r="F41822" s="1"/>
      <c r="G41822" s="1"/>
    </row>
    <row r="41823">
      <c r="B41823" s="36"/>
      <c r="C41823" s="36"/>
      <c r="E41823" s="1"/>
      <c r="F41823" s="1"/>
      <c r="G41823" s="1"/>
    </row>
    <row r="41824">
      <c r="B41824" s="36"/>
      <c r="C41824" s="36"/>
      <c r="E41824" s="1"/>
      <c r="F41824" s="1"/>
      <c r="G41824" s="1"/>
    </row>
    <row r="41825">
      <c r="B41825" s="36"/>
      <c r="C41825" s="36"/>
      <c r="E41825" s="1"/>
      <c r="F41825" s="1"/>
      <c r="G41825" s="1"/>
    </row>
    <row r="41826">
      <c r="B41826" s="36"/>
      <c r="C41826" s="36"/>
      <c r="E41826" s="1"/>
      <c r="F41826" s="1"/>
      <c r="G41826" s="1"/>
    </row>
    <row r="41827">
      <c r="B41827" s="36"/>
      <c r="C41827" s="36"/>
      <c r="E41827" s="1"/>
      <c r="F41827" s="1"/>
      <c r="G41827" s="1"/>
    </row>
    <row r="41828">
      <c r="B41828" s="36"/>
      <c r="C41828" s="36"/>
      <c r="E41828" s="1"/>
      <c r="F41828" s="1"/>
      <c r="G41828" s="1"/>
    </row>
    <row r="41829">
      <c r="B41829" s="36"/>
      <c r="C41829" s="36"/>
      <c r="E41829" s="1"/>
      <c r="F41829" s="1"/>
      <c r="G41829" s="1"/>
    </row>
    <row r="41830">
      <c r="B41830" s="36"/>
      <c r="C41830" s="36"/>
      <c r="E41830" s="1"/>
      <c r="F41830" s="1"/>
      <c r="G41830" s="1"/>
    </row>
    <row r="41831">
      <c r="B41831" s="36"/>
      <c r="C41831" s="36"/>
      <c r="E41831" s="1"/>
      <c r="F41831" s="1"/>
      <c r="G41831" s="1"/>
    </row>
    <row r="41832">
      <c r="B41832" s="36"/>
      <c r="C41832" s="36"/>
      <c r="E41832" s="1"/>
      <c r="F41832" s="1"/>
      <c r="G41832" s="1"/>
    </row>
    <row r="41833">
      <c r="B41833" s="36"/>
      <c r="C41833" s="36"/>
      <c r="E41833" s="1"/>
      <c r="F41833" s="1"/>
      <c r="G41833" s="1"/>
    </row>
    <row r="41834">
      <c r="B41834" s="36"/>
      <c r="C41834" s="36"/>
      <c r="E41834" s="1"/>
      <c r="F41834" s="1"/>
      <c r="G41834" s="1"/>
    </row>
    <row r="41835">
      <c r="B41835" s="36"/>
      <c r="C41835" s="36"/>
      <c r="E41835" s="1"/>
      <c r="F41835" s="1"/>
      <c r="G41835" s="1"/>
    </row>
    <row r="41836">
      <c r="B41836" s="36"/>
      <c r="C41836" s="36"/>
      <c r="E41836" s="1"/>
      <c r="F41836" s="1"/>
      <c r="G41836" s="1"/>
    </row>
    <row r="41837">
      <c r="B41837" s="36"/>
      <c r="C41837" s="36"/>
      <c r="E41837" s="1"/>
      <c r="F41837" s="1"/>
      <c r="G41837" s="1"/>
    </row>
    <row r="41838">
      <c r="B41838" s="36"/>
      <c r="C41838" s="36"/>
      <c r="E41838" s="1"/>
      <c r="F41838" s="1"/>
      <c r="G41838" s="1"/>
    </row>
    <row r="41839">
      <c r="B41839" s="36"/>
      <c r="C41839" s="36"/>
      <c r="E41839" s="1"/>
      <c r="F41839" s="1"/>
      <c r="G41839" s="1"/>
    </row>
    <row r="41840">
      <c r="B41840" s="36"/>
      <c r="C41840" s="36"/>
      <c r="E41840" s="1"/>
      <c r="F41840" s="1"/>
      <c r="G41840" s="1"/>
    </row>
    <row r="41841">
      <c r="B41841" s="36"/>
      <c r="C41841" s="36"/>
      <c r="E41841" s="1"/>
      <c r="F41841" s="1"/>
      <c r="G41841" s="1"/>
    </row>
    <row r="41842">
      <c r="B41842" s="36"/>
      <c r="C41842" s="36"/>
      <c r="E41842" s="1"/>
      <c r="F41842" s="1"/>
      <c r="G41842" s="1"/>
    </row>
    <row r="41843">
      <c r="B41843" s="36"/>
      <c r="C41843" s="36"/>
      <c r="E41843" s="1"/>
      <c r="F41843" s="1"/>
      <c r="G41843" s="1"/>
    </row>
    <row r="41844">
      <c r="B41844" s="36"/>
      <c r="C41844" s="36"/>
      <c r="E41844" s="1"/>
      <c r="F41844" s="1"/>
      <c r="G41844" s="1"/>
    </row>
    <row r="41845">
      <c r="B41845" s="36"/>
      <c r="C41845" s="36"/>
      <c r="E41845" s="1"/>
      <c r="F41845" s="1"/>
      <c r="G41845" s="1"/>
    </row>
    <row r="41846">
      <c r="B41846" s="36"/>
      <c r="C41846" s="36"/>
      <c r="E41846" s="1"/>
      <c r="F41846" s="1"/>
      <c r="G41846" s="1"/>
    </row>
    <row r="41847">
      <c r="B41847" s="36"/>
      <c r="C41847" s="36"/>
      <c r="E41847" s="1"/>
      <c r="F41847" s="1"/>
      <c r="G41847" s="1"/>
    </row>
    <row r="41848">
      <c r="B41848" s="36"/>
      <c r="C41848" s="36"/>
      <c r="E41848" s="1"/>
      <c r="F41848" s="1"/>
      <c r="G41848" s="1"/>
    </row>
    <row r="41849">
      <c r="B41849" s="36"/>
      <c r="C41849" s="36"/>
      <c r="E41849" s="1"/>
      <c r="F41849" s="1"/>
      <c r="G41849" s="1"/>
    </row>
    <row r="41850">
      <c r="B41850" s="36"/>
      <c r="C41850" s="36"/>
      <c r="E41850" s="1"/>
      <c r="F41850" s="1"/>
      <c r="G41850" s="1"/>
    </row>
    <row r="41851">
      <c r="B41851" s="36"/>
      <c r="C41851" s="36"/>
      <c r="E41851" s="1"/>
      <c r="F41851" s="1"/>
      <c r="G41851" s="1"/>
    </row>
    <row r="41852">
      <c r="B41852" s="36"/>
      <c r="C41852" s="36"/>
      <c r="E41852" s="1"/>
      <c r="F41852" s="1"/>
      <c r="G41852" s="1"/>
    </row>
    <row r="41853">
      <c r="B41853" s="36"/>
      <c r="C41853" s="36"/>
      <c r="E41853" s="1"/>
      <c r="F41853" s="1"/>
      <c r="G41853" s="1"/>
    </row>
    <row r="41854">
      <c r="B41854" s="36"/>
      <c r="C41854" s="36"/>
      <c r="E41854" s="1"/>
      <c r="F41854" s="1"/>
      <c r="G41854" s="1"/>
    </row>
    <row r="41855">
      <c r="B41855" s="36"/>
      <c r="C41855" s="36"/>
      <c r="E41855" s="1"/>
      <c r="F41855" s="1"/>
      <c r="G41855" s="1"/>
    </row>
    <row r="41856">
      <c r="B41856" s="36"/>
      <c r="C41856" s="36"/>
      <c r="E41856" s="1"/>
      <c r="F41856" s="1"/>
      <c r="G41856" s="1"/>
    </row>
    <row r="41857">
      <c r="B41857" s="36"/>
      <c r="C41857" s="36"/>
      <c r="E41857" s="1"/>
      <c r="F41857" s="1"/>
      <c r="G41857" s="1"/>
    </row>
    <row r="41858">
      <c r="B41858" s="36"/>
      <c r="C41858" s="36"/>
      <c r="E41858" s="1"/>
      <c r="F41858" s="1"/>
      <c r="G41858" s="1"/>
    </row>
    <row r="41859">
      <c r="B41859" s="36"/>
      <c r="C41859" s="36"/>
      <c r="E41859" s="1"/>
      <c r="F41859" s="1"/>
      <c r="G41859" s="1"/>
    </row>
    <row r="41860">
      <c r="B41860" s="36"/>
      <c r="C41860" s="36"/>
      <c r="E41860" s="1"/>
      <c r="F41860" s="1"/>
      <c r="G41860" s="1"/>
    </row>
    <row r="41861">
      <c r="B41861" s="36"/>
      <c r="C41861" s="36"/>
      <c r="E41861" s="1"/>
      <c r="F41861" s="1"/>
      <c r="G41861" s="1"/>
    </row>
    <row r="41862">
      <c r="B41862" s="36"/>
      <c r="C41862" s="36"/>
      <c r="E41862" s="1"/>
      <c r="F41862" s="1"/>
      <c r="G41862" s="1"/>
    </row>
    <row r="41863">
      <c r="B41863" s="36"/>
      <c r="C41863" s="36"/>
      <c r="E41863" s="1"/>
      <c r="F41863" s="1"/>
      <c r="G41863" s="1"/>
    </row>
    <row r="41864">
      <c r="B41864" s="36"/>
      <c r="C41864" s="36"/>
      <c r="E41864" s="1"/>
      <c r="F41864" s="1"/>
      <c r="G41864" s="1"/>
    </row>
    <row r="41865">
      <c r="B41865" s="36"/>
      <c r="C41865" s="36"/>
      <c r="E41865" s="1"/>
      <c r="F41865" s="1"/>
      <c r="G41865" s="1"/>
    </row>
    <row r="41866">
      <c r="B41866" s="36"/>
      <c r="C41866" s="36"/>
      <c r="E41866" s="1"/>
      <c r="F41866" s="1"/>
      <c r="G41866" s="1"/>
    </row>
    <row r="41867">
      <c r="B41867" s="36"/>
      <c r="C41867" s="36"/>
      <c r="E41867" s="1"/>
      <c r="F41867" s="1"/>
      <c r="G41867" s="1"/>
    </row>
    <row r="41868">
      <c r="B41868" s="36"/>
      <c r="C41868" s="36"/>
      <c r="E41868" s="1"/>
      <c r="F41868" s="1"/>
      <c r="G41868" s="1"/>
    </row>
    <row r="41869">
      <c r="B41869" s="36"/>
      <c r="C41869" s="36"/>
      <c r="E41869" s="1"/>
      <c r="F41869" s="1"/>
      <c r="G41869" s="1"/>
    </row>
    <row r="41870">
      <c r="B41870" s="36"/>
      <c r="C41870" s="36"/>
      <c r="E41870" s="1"/>
      <c r="F41870" s="1"/>
      <c r="G41870" s="1"/>
    </row>
    <row r="41871">
      <c r="B41871" s="36"/>
      <c r="C41871" s="36"/>
      <c r="E41871" s="1"/>
      <c r="F41871" s="1"/>
      <c r="G41871" s="1"/>
    </row>
    <row r="41872">
      <c r="B41872" s="36"/>
      <c r="C41872" s="36"/>
      <c r="E41872" s="1"/>
      <c r="F41872" s="1"/>
      <c r="G41872" s="1"/>
    </row>
    <row r="41873">
      <c r="B41873" s="36"/>
      <c r="C41873" s="36"/>
      <c r="E41873" s="1"/>
      <c r="F41873" s="1"/>
      <c r="G41873" s="1"/>
    </row>
    <row r="41874">
      <c r="B41874" s="36"/>
      <c r="C41874" s="36"/>
      <c r="E41874" s="1"/>
      <c r="F41874" s="1"/>
      <c r="G41874" s="1"/>
    </row>
    <row r="41875">
      <c r="B41875" s="36"/>
      <c r="C41875" s="36"/>
      <c r="E41875" s="1"/>
      <c r="F41875" s="1"/>
      <c r="G41875" s="1"/>
    </row>
    <row r="41876">
      <c r="B41876" s="36"/>
      <c r="C41876" s="36"/>
      <c r="E41876" s="1"/>
      <c r="F41876" s="1"/>
      <c r="G41876" s="1"/>
    </row>
    <row r="41877">
      <c r="B41877" s="36"/>
      <c r="C41877" s="36"/>
      <c r="E41877" s="1"/>
      <c r="F41877" s="1"/>
      <c r="G41877" s="1"/>
    </row>
    <row r="41878">
      <c r="B41878" s="36"/>
      <c r="C41878" s="36"/>
      <c r="E41878" s="1"/>
      <c r="F41878" s="1"/>
      <c r="G41878" s="1"/>
    </row>
    <row r="41879">
      <c r="B41879" s="36"/>
      <c r="C41879" s="36"/>
      <c r="E41879" s="1"/>
      <c r="F41879" s="1"/>
      <c r="G41879" s="1"/>
    </row>
    <row r="41880">
      <c r="B41880" s="36"/>
      <c r="C41880" s="36"/>
      <c r="E41880" s="1"/>
      <c r="F41880" s="1"/>
      <c r="G41880" s="1"/>
    </row>
    <row r="41881">
      <c r="B41881" s="36"/>
      <c r="C41881" s="36"/>
      <c r="E41881" s="1"/>
      <c r="F41881" s="1"/>
      <c r="G41881" s="1"/>
    </row>
    <row r="41882">
      <c r="B41882" s="36"/>
      <c r="C41882" s="36"/>
      <c r="E41882" s="1"/>
      <c r="F41882" s="1"/>
      <c r="G41882" s="1"/>
    </row>
    <row r="41883">
      <c r="B41883" s="36"/>
      <c r="C41883" s="36"/>
      <c r="E41883" s="1"/>
      <c r="F41883" s="1"/>
      <c r="G41883" s="1"/>
    </row>
    <row r="41884">
      <c r="B41884" s="36"/>
      <c r="C41884" s="36"/>
      <c r="E41884" s="1"/>
      <c r="F41884" s="1"/>
      <c r="G41884" s="1"/>
    </row>
    <row r="41885">
      <c r="B41885" s="36"/>
      <c r="C41885" s="36"/>
      <c r="E41885" s="1"/>
      <c r="F41885" s="1"/>
      <c r="G41885" s="1"/>
    </row>
    <row r="41886">
      <c r="B41886" s="36"/>
      <c r="C41886" s="36"/>
      <c r="E41886" s="1"/>
      <c r="F41886" s="1"/>
      <c r="G41886" s="1"/>
    </row>
    <row r="41887">
      <c r="B41887" s="36"/>
      <c r="C41887" s="36"/>
      <c r="E41887" s="1"/>
      <c r="F41887" s="1"/>
      <c r="G41887" s="1"/>
    </row>
    <row r="41888">
      <c r="B41888" s="36"/>
      <c r="C41888" s="36"/>
      <c r="E41888" s="1"/>
      <c r="F41888" s="1"/>
      <c r="G41888" s="1"/>
    </row>
    <row r="41889">
      <c r="B41889" s="36"/>
      <c r="C41889" s="36"/>
      <c r="E41889" s="1"/>
      <c r="F41889" s="1"/>
      <c r="G41889" s="1"/>
    </row>
    <row r="41890">
      <c r="B41890" s="36"/>
      <c r="C41890" s="36"/>
      <c r="E41890" s="1"/>
      <c r="F41890" s="1"/>
      <c r="G41890" s="1"/>
    </row>
    <row r="41891">
      <c r="B41891" s="36"/>
      <c r="C41891" s="36"/>
      <c r="E41891" s="1"/>
      <c r="F41891" s="1"/>
      <c r="G41891" s="1"/>
    </row>
    <row r="41892">
      <c r="B41892" s="36"/>
      <c r="C41892" s="36"/>
      <c r="E41892" s="1"/>
      <c r="F41892" s="1"/>
      <c r="G41892" s="1"/>
    </row>
    <row r="41893">
      <c r="B41893" s="36"/>
      <c r="C41893" s="36"/>
      <c r="E41893" s="1"/>
      <c r="F41893" s="1"/>
      <c r="G41893" s="1"/>
    </row>
    <row r="41894">
      <c r="B41894" s="36"/>
      <c r="C41894" s="36"/>
      <c r="E41894" s="1"/>
      <c r="F41894" s="1"/>
      <c r="G41894" s="1"/>
    </row>
    <row r="41895">
      <c r="B41895" s="36"/>
      <c r="C41895" s="36"/>
      <c r="E41895" s="1"/>
      <c r="F41895" s="1"/>
      <c r="G41895" s="1"/>
    </row>
    <row r="41896">
      <c r="B41896" s="36"/>
      <c r="C41896" s="36"/>
      <c r="E41896" s="1"/>
      <c r="F41896" s="1"/>
      <c r="G41896" s="1"/>
    </row>
    <row r="41897">
      <c r="B41897" s="36"/>
      <c r="C41897" s="36"/>
      <c r="E41897" s="1"/>
      <c r="F41897" s="1"/>
      <c r="G41897" s="1"/>
    </row>
    <row r="41898">
      <c r="B41898" s="36"/>
      <c r="C41898" s="36"/>
      <c r="E41898" s="1"/>
      <c r="F41898" s="1"/>
      <c r="G41898" s="1"/>
    </row>
    <row r="41899">
      <c r="B41899" s="36"/>
      <c r="C41899" s="36"/>
      <c r="E41899" s="1"/>
      <c r="F41899" s="1"/>
      <c r="G41899" s="1"/>
    </row>
    <row r="41900">
      <c r="B41900" s="36"/>
      <c r="C41900" s="36"/>
      <c r="E41900" s="1"/>
      <c r="F41900" s="1"/>
      <c r="G41900" s="1"/>
    </row>
    <row r="41901">
      <c r="B41901" s="36"/>
      <c r="C41901" s="36"/>
      <c r="E41901" s="1"/>
      <c r="F41901" s="1"/>
      <c r="G41901" s="1"/>
    </row>
    <row r="41902">
      <c r="B41902" s="36"/>
      <c r="C41902" s="36"/>
      <c r="E41902" s="1"/>
      <c r="F41902" s="1"/>
      <c r="G41902" s="1"/>
    </row>
    <row r="41903">
      <c r="B41903" s="36"/>
      <c r="C41903" s="36"/>
      <c r="E41903" s="1"/>
      <c r="F41903" s="1"/>
      <c r="G41903" s="1"/>
    </row>
    <row r="41904">
      <c r="B41904" s="36"/>
      <c r="C41904" s="36"/>
      <c r="E41904" s="1"/>
      <c r="F41904" s="1"/>
      <c r="G41904" s="1"/>
    </row>
    <row r="41905">
      <c r="B41905" s="36"/>
      <c r="C41905" s="36"/>
      <c r="E41905" s="1"/>
      <c r="F41905" s="1"/>
      <c r="G41905" s="1"/>
    </row>
    <row r="41906">
      <c r="B41906" s="36"/>
      <c r="C41906" s="36"/>
      <c r="E41906" s="1"/>
      <c r="F41906" s="1"/>
      <c r="G41906" s="1"/>
    </row>
    <row r="41907">
      <c r="B41907" s="36"/>
      <c r="C41907" s="36"/>
      <c r="E41907" s="1"/>
      <c r="F41907" s="1"/>
      <c r="G41907" s="1"/>
    </row>
    <row r="41908">
      <c r="B41908" s="36"/>
      <c r="C41908" s="36"/>
      <c r="E41908" s="1"/>
      <c r="F41908" s="1"/>
      <c r="G41908" s="1"/>
    </row>
    <row r="41909">
      <c r="B41909" s="36"/>
      <c r="C41909" s="36"/>
      <c r="E41909" s="1"/>
      <c r="F41909" s="1"/>
      <c r="G41909" s="1"/>
    </row>
    <row r="41910">
      <c r="B41910" s="36"/>
      <c r="C41910" s="36"/>
      <c r="E41910" s="1"/>
      <c r="F41910" s="1"/>
      <c r="G41910" s="1"/>
    </row>
    <row r="41911">
      <c r="B41911" s="36"/>
      <c r="C41911" s="36"/>
      <c r="E41911" s="1"/>
      <c r="F41911" s="1"/>
      <c r="G41911" s="1"/>
    </row>
    <row r="41912">
      <c r="B41912" s="36"/>
      <c r="C41912" s="36"/>
      <c r="E41912" s="1"/>
      <c r="F41912" s="1"/>
      <c r="G41912" s="1"/>
    </row>
    <row r="41913">
      <c r="B41913" s="36"/>
      <c r="C41913" s="36"/>
      <c r="E41913" s="1"/>
      <c r="F41913" s="1"/>
      <c r="G41913" s="1"/>
    </row>
    <row r="41914">
      <c r="B41914" s="36"/>
      <c r="C41914" s="36"/>
      <c r="E41914" s="1"/>
      <c r="F41914" s="1"/>
      <c r="G41914" s="1"/>
    </row>
    <row r="41915">
      <c r="B41915" s="36"/>
      <c r="C41915" s="36"/>
      <c r="E41915" s="1"/>
      <c r="F41915" s="1"/>
      <c r="G41915" s="1"/>
    </row>
    <row r="41916">
      <c r="B41916" s="36"/>
      <c r="C41916" s="36"/>
      <c r="E41916" s="1"/>
      <c r="F41916" s="1"/>
      <c r="G41916" s="1"/>
    </row>
    <row r="41917">
      <c r="B41917" s="36"/>
      <c r="C41917" s="36"/>
      <c r="E41917" s="1"/>
      <c r="F41917" s="1"/>
      <c r="G41917" s="1"/>
    </row>
    <row r="41918">
      <c r="B41918" s="36"/>
      <c r="C41918" s="36"/>
      <c r="E41918" s="1"/>
      <c r="F41918" s="1"/>
      <c r="G41918" s="1"/>
    </row>
    <row r="41919">
      <c r="B41919" s="36"/>
      <c r="C41919" s="36"/>
      <c r="E41919" s="1"/>
      <c r="F41919" s="1"/>
      <c r="G41919" s="1"/>
    </row>
    <row r="41920">
      <c r="B41920" s="36"/>
      <c r="C41920" s="36"/>
      <c r="E41920" s="1"/>
      <c r="F41920" s="1"/>
      <c r="G41920" s="1"/>
    </row>
    <row r="41921">
      <c r="B41921" s="36"/>
      <c r="C41921" s="36"/>
      <c r="E41921" s="1"/>
      <c r="F41921" s="1"/>
      <c r="G41921" s="1"/>
    </row>
    <row r="41922">
      <c r="B41922" s="36"/>
      <c r="C41922" s="36"/>
      <c r="E41922" s="1"/>
      <c r="F41922" s="1"/>
      <c r="G41922" s="1"/>
    </row>
    <row r="41923">
      <c r="B41923" s="36"/>
      <c r="C41923" s="36"/>
      <c r="E41923" s="1"/>
      <c r="F41923" s="1"/>
      <c r="G41923" s="1"/>
    </row>
    <row r="41924">
      <c r="B41924" s="36"/>
      <c r="C41924" s="36"/>
      <c r="E41924" s="1"/>
      <c r="F41924" s="1"/>
      <c r="G41924" s="1"/>
    </row>
    <row r="41925">
      <c r="B41925" s="36"/>
      <c r="C41925" s="36"/>
      <c r="E41925" s="1"/>
      <c r="F41925" s="1"/>
      <c r="G41925" s="1"/>
    </row>
    <row r="41926">
      <c r="B41926" s="36"/>
      <c r="C41926" s="36"/>
      <c r="E41926" s="1"/>
      <c r="F41926" s="1"/>
      <c r="G41926" s="1"/>
    </row>
    <row r="41927">
      <c r="B41927" s="36"/>
      <c r="C41927" s="36"/>
      <c r="E41927" s="1"/>
      <c r="F41927" s="1"/>
      <c r="G41927" s="1"/>
    </row>
    <row r="41928">
      <c r="B41928" s="36"/>
      <c r="C41928" s="36"/>
      <c r="E41928" s="1"/>
      <c r="F41928" s="1"/>
      <c r="G41928" s="1"/>
    </row>
    <row r="41929">
      <c r="B41929" s="36"/>
      <c r="C41929" s="36"/>
      <c r="E41929" s="1"/>
      <c r="F41929" s="1"/>
      <c r="G41929" s="1"/>
    </row>
    <row r="41930">
      <c r="B41930" s="36"/>
      <c r="C41930" s="36"/>
      <c r="E41930" s="1"/>
      <c r="F41930" s="1"/>
      <c r="G41930" s="1"/>
    </row>
    <row r="41931">
      <c r="B41931" s="36"/>
      <c r="C41931" s="36"/>
      <c r="E41931" s="1"/>
      <c r="F41931" s="1"/>
      <c r="G41931" s="1"/>
    </row>
    <row r="41932">
      <c r="B41932" s="36"/>
      <c r="C41932" s="36"/>
      <c r="E41932" s="1"/>
      <c r="F41932" s="1"/>
      <c r="G41932" s="1"/>
    </row>
    <row r="41933">
      <c r="B41933" s="36"/>
      <c r="C41933" s="36"/>
      <c r="E41933" s="1"/>
      <c r="F41933" s="1"/>
      <c r="G41933" s="1"/>
    </row>
    <row r="41934">
      <c r="B41934" s="36"/>
      <c r="C41934" s="36"/>
      <c r="E41934" s="1"/>
      <c r="F41934" s="1"/>
      <c r="G41934" s="1"/>
    </row>
    <row r="41935">
      <c r="B41935" s="36"/>
      <c r="C41935" s="36"/>
      <c r="E41935" s="1"/>
      <c r="F41935" s="1"/>
      <c r="G41935" s="1"/>
    </row>
    <row r="41936">
      <c r="B41936" s="36"/>
      <c r="C41936" s="36"/>
      <c r="E41936" s="1"/>
      <c r="F41936" s="1"/>
      <c r="G41936" s="1"/>
    </row>
    <row r="41937">
      <c r="B41937" s="36"/>
      <c r="C41937" s="36"/>
      <c r="E41937" s="1"/>
      <c r="F41937" s="1"/>
      <c r="G41937" s="1"/>
    </row>
    <row r="41938">
      <c r="B41938" s="36"/>
      <c r="C41938" s="36"/>
      <c r="E41938" s="1"/>
      <c r="F41938" s="1"/>
      <c r="G41938" s="1"/>
    </row>
    <row r="41939">
      <c r="B41939" s="36"/>
      <c r="C41939" s="36"/>
      <c r="E41939" s="1"/>
      <c r="F41939" s="1"/>
      <c r="G41939" s="1"/>
    </row>
    <row r="41940">
      <c r="B41940" s="36"/>
      <c r="C41940" s="36"/>
      <c r="E41940" s="1"/>
      <c r="F41940" s="1"/>
      <c r="G41940" s="1"/>
    </row>
    <row r="41941">
      <c r="B41941" s="36"/>
      <c r="C41941" s="36"/>
      <c r="E41941" s="1"/>
      <c r="F41941" s="1"/>
      <c r="G41941" s="1"/>
    </row>
    <row r="41942">
      <c r="B41942" s="36"/>
      <c r="C41942" s="36"/>
      <c r="E41942" s="1"/>
      <c r="F41942" s="1"/>
      <c r="G41942" s="1"/>
    </row>
    <row r="41943">
      <c r="B41943" s="36"/>
      <c r="C41943" s="36"/>
      <c r="E41943" s="1"/>
      <c r="F41943" s="1"/>
      <c r="G41943" s="1"/>
    </row>
    <row r="41944">
      <c r="B41944" s="36"/>
      <c r="C41944" s="36"/>
      <c r="E41944" s="1"/>
      <c r="F41944" s="1"/>
      <c r="G41944" s="1"/>
    </row>
    <row r="41945">
      <c r="B41945" s="36"/>
      <c r="C41945" s="36"/>
      <c r="E41945" s="1"/>
      <c r="F41945" s="1"/>
      <c r="G41945" s="1"/>
    </row>
    <row r="41946">
      <c r="B41946" s="36"/>
      <c r="C41946" s="36"/>
      <c r="E41946" s="1"/>
      <c r="F41946" s="1"/>
      <c r="G41946" s="1"/>
    </row>
    <row r="41947">
      <c r="B41947" s="36"/>
      <c r="C41947" s="36"/>
      <c r="E41947" s="1"/>
      <c r="F41947" s="1"/>
      <c r="G41947" s="1"/>
    </row>
    <row r="41948">
      <c r="B41948" s="36"/>
      <c r="C41948" s="36"/>
      <c r="E41948" s="1"/>
      <c r="F41948" s="1"/>
      <c r="G41948" s="1"/>
    </row>
    <row r="41949">
      <c r="B41949" s="36"/>
      <c r="C41949" s="36"/>
      <c r="E41949" s="1"/>
      <c r="F41949" s="1"/>
      <c r="G41949" s="1"/>
    </row>
    <row r="41950">
      <c r="B41950" s="36"/>
      <c r="C41950" s="36"/>
      <c r="E41950" s="1"/>
      <c r="F41950" s="1"/>
      <c r="G41950" s="1"/>
    </row>
    <row r="41951">
      <c r="B41951" s="36"/>
      <c r="C41951" s="36"/>
      <c r="E41951" s="1"/>
      <c r="F41951" s="1"/>
      <c r="G41951" s="1"/>
    </row>
    <row r="41952">
      <c r="B41952" s="36"/>
      <c r="C41952" s="36"/>
      <c r="E41952" s="1"/>
      <c r="F41952" s="1"/>
      <c r="G41952" s="1"/>
    </row>
    <row r="41953">
      <c r="B41953" s="36"/>
      <c r="C41953" s="36"/>
      <c r="E41953" s="1"/>
      <c r="F41953" s="1"/>
      <c r="G41953" s="1"/>
    </row>
    <row r="41954">
      <c r="B41954" s="36"/>
      <c r="C41954" s="36"/>
      <c r="E41954" s="1"/>
      <c r="F41954" s="1"/>
      <c r="G41954" s="1"/>
    </row>
    <row r="41955">
      <c r="B41955" s="36"/>
      <c r="C41955" s="36"/>
      <c r="E41955" s="1"/>
      <c r="F41955" s="1"/>
      <c r="G41955" s="1"/>
    </row>
    <row r="41956">
      <c r="B41956" s="36"/>
      <c r="C41956" s="36"/>
      <c r="E41956" s="1"/>
      <c r="F41956" s="1"/>
      <c r="G41956" s="1"/>
    </row>
    <row r="41957">
      <c r="B41957" s="36"/>
      <c r="C41957" s="36"/>
      <c r="E41957" s="1"/>
      <c r="F41957" s="1"/>
      <c r="G41957" s="1"/>
    </row>
    <row r="41958">
      <c r="B41958" s="36"/>
      <c r="C41958" s="36"/>
      <c r="E41958" s="1"/>
      <c r="F41958" s="1"/>
      <c r="G41958" s="1"/>
    </row>
    <row r="41959">
      <c r="B41959" s="36"/>
      <c r="C41959" s="36"/>
      <c r="E41959" s="1"/>
      <c r="F41959" s="1"/>
      <c r="G41959" s="1"/>
    </row>
    <row r="41960">
      <c r="B41960" s="36"/>
      <c r="C41960" s="36"/>
      <c r="E41960" s="1"/>
      <c r="F41960" s="1"/>
      <c r="G41960" s="1"/>
    </row>
    <row r="41961">
      <c r="B41961" s="36"/>
      <c r="C41961" s="36"/>
      <c r="E41961" s="1"/>
      <c r="F41961" s="1"/>
      <c r="G41961" s="1"/>
    </row>
    <row r="41962">
      <c r="B41962" s="36"/>
      <c r="C41962" s="36"/>
      <c r="E41962" s="1"/>
      <c r="F41962" s="1"/>
      <c r="G41962" s="1"/>
    </row>
    <row r="41963">
      <c r="B41963" s="36"/>
      <c r="C41963" s="36"/>
      <c r="E41963" s="1"/>
      <c r="F41963" s="1"/>
      <c r="G41963" s="1"/>
    </row>
    <row r="41964">
      <c r="B41964" s="36"/>
      <c r="C41964" s="36"/>
      <c r="E41964" s="1"/>
      <c r="F41964" s="1"/>
      <c r="G41964" s="1"/>
    </row>
    <row r="41965">
      <c r="B41965" s="36"/>
      <c r="C41965" s="36"/>
      <c r="E41965" s="1"/>
      <c r="F41965" s="1"/>
      <c r="G41965" s="1"/>
    </row>
    <row r="41966">
      <c r="B41966" s="36"/>
      <c r="C41966" s="36"/>
      <c r="E41966" s="1"/>
      <c r="F41966" s="1"/>
      <c r="G41966" s="1"/>
    </row>
    <row r="41967">
      <c r="B41967" s="36"/>
      <c r="C41967" s="36"/>
      <c r="E41967" s="1"/>
      <c r="F41967" s="1"/>
      <c r="G41967" s="1"/>
    </row>
    <row r="41968">
      <c r="B41968" s="36"/>
      <c r="C41968" s="36"/>
      <c r="E41968" s="1"/>
      <c r="F41968" s="1"/>
      <c r="G41968" s="1"/>
    </row>
    <row r="41969">
      <c r="B41969" s="36"/>
      <c r="C41969" s="36"/>
      <c r="E41969" s="1"/>
      <c r="F41969" s="1"/>
      <c r="G41969" s="1"/>
    </row>
    <row r="41970">
      <c r="B41970" s="36"/>
      <c r="C41970" s="36"/>
      <c r="E41970" s="1"/>
      <c r="F41970" s="1"/>
      <c r="G41970" s="1"/>
    </row>
    <row r="41971">
      <c r="B41971" s="36"/>
      <c r="C41971" s="36"/>
      <c r="E41971" s="1"/>
      <c r="F41971" s="1"/>
      <c r="G41971" s="1"/>
    </row>
    <row r="41972">
      <c r="B41972" s="36"/>
      <c r="C41972" s="36"/>
      <c r="E41972" s="1"/>
      <c r="F41972" s="1"/>
      <c r="G41972" s="1"/>
    </row>
    <row r="41973">
      <c r="B41973" s="36"/>
      <c r="C41973" s="36"/>
      <c r="E41973" s="1"/>
      <c r="F41973" s="1"/>
      <c r="G41973" s="1"/>
    </row>
    <row r="41974">
      <c r="B41974" s="36"/>
      <c r="C41974" s="36"/>
      <c r="E41974" s="1"/>
      <c r="F41974" s="1"/>
      <c r="G41974" s="1"/>
    </row>
    <row r="41975">
      <c r="B41975" s="36"/>
      <c r="C41975" s="36"/>
      <c r="E41975" s="1"/>
      <c r="F41975" s="1"/>
      <c r="G41975" s="1"/>
    </row>
    <row r="41976">
      <c r="B41976" s="36"/>
      <c r="C41976" s="36"/>
      <c r="E41976" s="1"/>
      <c r="F41976" s="1"/>
      <c r="G41976" s="1"/>
    </row>
    <row r="41977">
      <c r="B41977" s="36"/>
      <c r="C41977" s="36"/>
      <c r="E41977" s="1"/>
      <c r="F41977" s="1"/>
      <c r="G41977" s="1"/>
    </row>
    <row r="41978">
      <c r="B41978" s="36"/>
      <c r="C41978" s="36"/>
      <c r="E41978" s="1"/>
      <c r="F41978" s="1"/>
      <c r="G41978" s="1"/>
    </row>
    <row r="41979">
      <c r="B41979" s="36"/>
      <c r="C41979" s="36"/>
      <c r="E41979" s="1"/>
      <c r="F41979" s="1"/>
      <c r="G41979" s="1"/>
    </row>
    <row r="41980">
      <c r="B41980" s="36"/>
      <c r="C41980" s="36"/>
      <c r="E41980" s="1"/>
      <c r="F41980" s="1"/>
      <c r="G41980" s="1"/>
    </row>
    <row r="41981">
      <c r="B41981" s="36"/>
      <c r="C41981" s="36"/>
      <c r="E41981" s="1"/>
      <c r="F41981" s="1"/>
      <c r="G41981" s="1"/>
    </row>
    <row r="41982">
      <c r="B41982" s="36"/>
      <c r="C41982" s="36"/>
      <c r="E41982" s="1"/>
      <c r="F41982" s="1"/>
      <c r="G41982" s="1"/>
    </row>
    <row r="41983">
      <c r="B41983" s="36"/>
      <c r="C41983" s="36"/>
      <c r="E41983" s="1"/>
      <c r="F41983" s="1"/>
      <c r="G41983" s="1"/>
    </row>
    <row r="41984">
      <c r="B41984" s="36"/>
      <c r="C41984" s="36"/>
      <c r="E41984" s="1"/>
      <c r="F41984" s="1"/>
      <c r="G41984" s="1"/>
    </row>
    <row r="41985">
      <c r="B41985" s="36"/>
      <c r="C41985" s="36"/>
      <c r="E41985" s="1"/>
      <c r="F41985" s="1"/>
      <c r="G41985" s="1"/>
    </row>
    <row r="41986">
      <c r="B41986" s="36"/>
      <c r="C41986" s="36"/>
      <c r="E41986" s="1"/>
      <c r="F41986" s="1"/>
      <c r="G41986" s="1"/>
    </row>
    <row r="41987">
      <c r="B41987" s="36"/>
      <c r="C41987" s="36"/>
      <c r="E41987" s="1"/>
      <c r="F41987" s="1"/>
      <c r="G41987" s="1"/>
    </row>
    <row r="41988">
      <c r="B41988" s="36"/>
      <c r="C41988" s="36"/>
      <c r="E41988" s="1"/>
      <c r="F41988" s="1"/>
      <c r="G41988" s="1"/>
    </row>
    <row r="41989">
      <c r="B41989" s="36"/>
      <c r="C41989" s="36"/>
      <c r="E41989" s="1"/>
      <c r="F41989" s="1"/>
      <c r="G41989" s="1"/>
    </row>
    <row r="41990">
      <c r="B41990" s="36"/>
      <c r="C41990" s="36"/>
      <c r="E41990" s="1"/>
      <c r="F41990" s="1"/>
      <c r="G41990" s="1"/>
    </row>
    <row r="41991">
      <c r="B41991" s="36"/>
      <c r="C41991" s="36"/>
      <c r="E41991" s="1"/>
      <c r="F41991" s="1"/>
      <c r="G41991" s="1"/>
    </row>
    <row r="41992">
      <c r="B41992" s="36"/>
      <c r="C41992" s="36"/>
      <c r="E41992" s="1"/>
      <c r="F41992" s="1"/>
      <c r="G41992" s="1"/>
    </row>
    <row r="41993">
      <c r="B41993" s="36"/>
      <c r="C41993" s="36"/>
      <c r="E41993" s="1"/>
      <c r="F41993" s="1"/>
      <c r="G41993" s="1"/>
    </row>
    <row r="41994">
      <c r="B41994" s="36"/>
      <c r="C41994" s="36"/>
      <c r="E41994" s="1"/>
      <c r="F41994" s="1"/>
      <c r="G41994" s="1"/>
    </row>
    <row r="41995">
      <c r="B41995" s="36"/>
      <c r="C41995" s="36"/>
      <c r="E41995" s="1"/>
      <c r="F41995" s="1"/>
      <c r="G41995" s="1"/>
    </row>
    <row r="41996">
      <c r="B41996" s="36"/>
      <c r="C41996" s="36"/>
      <c r="E41996" s="1"/>
      <c r="F41996" s="1"/>
      <c r="G41996" s="1"/>
    </row>
    <row r="41997">
      <c r="B41997" s="36"/>
      <c r="C41997" s="36"/>
      <c r="E41997" s="1"/>
      <c r="F41997" s="1"/>
      <c r="G41997" s="1"/>
    </row>
    <row r="41998">
      <c r="B41998" s="36"/>
      <c r="C41998" s="36"/>
      <c r="E41998" s="1"/>
      <c r="F41998" s="1"/>
      <c r="G41998" s="1"/>
    </row>
    <row r="41999">
      <c r="B41999" s="36"/>
      <c r="C41999" s="36"/>
      <c r="E41999" s="1"/>
      <c r="F41999" s="1"/>
      <c r="G41999" s="1"/>
    </row>
    <row r="42000">
      <c r="B42000" s="36"/>
      <c r="C42000" s="36"/>
      <c r="E42000" s="1"/>
      <c r="F42000" s="1"/>
      <c r="G42000" s="1"/>
    </row>
    <row r="42001">
      <c r="B42001" s="36"/>
      <c r="C42001" s="36"/>
      <c r="E42001" s="1"/>
      <c r="F42001" s="1"/>
      <c r="G42001" s="1"/>
    </row>
    <row r="42002">
      <c r="B42002" s="36"/>
      <c r="C42002" s="36"/>
      <c r="E42002" s="1"/>
      <c r="F42002" s="1"/>
      <c r="G42002" s="1"/>
    </row>
    <row r="42003">
      <c r="B42003" s="36"/>
      <c r="C42003" s="36"/>
      <c r="E42003" s="1"/>
      <c r="F42003" s="1"/>
      <c r="G42003" s="1"/>
    </row>
    <row r="42004">
      <c r="B42004" s="36"/>
      <c r="C42004" s="36"/>
      <c r="E42004" s="1"/>
      <c r="F42004" s="1"/>
      <c r="G42004" s="1"/>
    </row>
    <row r="42005">
      <c r="B42005" s="36"/>
      <c r="C42005" s="36"/>
      <c r="E42005" s="1"/>
      <c r="F42005" s="1"/>
      <c r="G42005" s="1"/>
    </row>
    <row r="42006">
      <c r="B42006" s="36"/>
      <c r="C42006" s="36"/>
      <c r="E42006" s="1"/>
      <c r="F42006" s="1"/>
      <c r="G42006" s="1"/>
    </row>
    <row r="42007">
      <c r="B42007" s="36"/>
      <c r="C42007" s="36"/>
      <c r="E42007" s="1"/>
      <c r="F42007" s="1"/>
      <c r="G42007" s="1"/>
    </row>
    <row r="42008">
      <c r="B42008" s="36"/>
      <c r="C42008" s="36"/>
      <c r="E42008" s="1"/>
      <c r="F42008" s="1"/>
      <c r="G42008" s="1"/>
    </row>
    <row r="42009">
      <c r="B42009" s="36"/>
      <c r="C42009" s="36"/>
      <c r="E42009" s="1"/>
      <c r="F42009" s="1"/>
      <c r="G42009" s="1"/>
    </row>
    <row r="42010">
      <c r="B42010" s="36"/>
      <c r="C42010" s="36"/>
      <c r="E42010" s="1"/>
      <c r="F42010" s="1"/>
      <c r="G42010" s="1"/>
    </row>
    <row r="42011">
      <c r="B42011" s="36"/>
      <c r="C42011" s="36"/>
      <c r="E42011" s="1"/>
      <c r="F42011" s="1"/>
      <c r="G42011" s="1"/>
    </row>
    <row r="42012">
      <c r="B42012" s="36"/>
      <c r="C42012" s="36"/>
      <c r="E42012" s="1"/>
      <c r="F42012" s="1"/>
      <c r="G42012" s="1"/>
    </row>
    <row r="42013">
      <c r="B42013" s="36"/>
      <c r="C42013" s="36"/>
      <c r="E42013" s="1"/>
      <c r="F42013" s="1"/>
      <c r="G42013" s="1"/>
    </row>
    <row r="42014">
      <c r="B42014" s="36"/>
      <c r="C42014" s="36"/>
      <c r="E42014" s="1"/>
      <c r="F42014" s="1"/>
      <c r="G42014" s="1"/>
    </row>
    <row r="42015">
      <c r="B42015" s="36"/>
      <c r="C42015" s="36"/>
      <c r="E42015" s="1"/>
      <c r="F42015" s="1"/>
      <c r="G42015" s="1"/>
    </row>
    <row r="42016">
      <c r="B42016" s="36"/>
      <c r="C42016" s="36"/>
      <c r="E42016" s="1"/>
      <c r="F42016" s="1"/>
      <c r="G42016" s="1"/>
    </row>
    <row r="42017">
      <c r="B42017" s="36"/>
      <c r="C42017" s="36"/>
      <c r="E42017" s="1"/>
      <c r="F42017" s="1"/>
      <c r="G42017" s="1"/>
    </row>
    <row r="42018">
      <c r="B42018" s="36"/>
      <c r="C42018" s="36"/>
      <c r="E42018" s="1"/>
      <c r="F42018" s="1"/>
      <c r="G42018" s="1"/>
    </row>
    <row r="42019">
      <c r="B42019" s="36"/>
      <c r="C42019" s="36"/>
      <c r="E42019" s="1"/>
      <c r="F42019" s="1"/>
      <c r="G42019" s="1"/>
    </row>
    <row r="42020">
      <c r="B42020" s="36"/>
      <c r="C42020" s="36"/>
      <c r="E42020" s="1"/>
      <c r="F42020" s="1"/>
      <c r="G42020" s="1"/>
    </row>
    <row r="42021">
      <c r="B42021" s="36"/>
      <c r="C42021" s="36"/>
      <c r="E42021" s="1"/>
      <c r="F42021" s="1"/>
      <c r="G42021" s="1"/>
    </row>
    <row r="42022">
      <c r="B42022" s="36"/>
      <c r="C42022" s="36"/>
      <c r="E42022" s="1"/>
      <c r="F42022" s="1"/>
      <c r="G42022" s="1"/>
    </row>
    <row r="42023">
      <c r="B42023" s="36"/>
      <c r="C42023" s="36"/>
      <c r="E42023" s="1"/>
      <c r="F42023" s="1"/>
      <c r="G42023" s="1"/>
    </row>
    <row r="42024">
      <c r="B42024" s="36"/>
      <c r="C42024" s="36"/>
      <c r="E42024" s="1"/>
      <c r="F42024" s="1"/>
      <c r="G42024" s="1"/>
    </row>
    <row r="42025">
      <c r="B42025" s="36"/>
      <c r="C42025" s="36"/>
      <c r="E42025" s="1"/>
      <c r="F42025" s="1"/>
      <c r="G42025" s="1"/>
    </row>
    <row r="42026">
      <c r="B42026" s="36"/>
      <c r="C42026" s="36"/>
      <c r="E42026" s="1"/>
      <c r="F42026" s="1"/>
      <c r="G42026" s="1"/>
    </row>
    <row r="42027">
      <c r="B42027" s="36"/>
      <c r="C42027" s="36"/>
      <c r="E42027" s="1"/>
      <c r="F42027" s="1"/>
      <c r="G42027" s="1"/>
    </row>
    <row r="42028">
      <c r="B42028" s="36"/>
      <c r="C42028" s="36"/>
      <c r="E42028" s="1"/>
      <c r="F42028" s="1"/>
      <c r="G42028" s="1"/>
    </row>
    <row r="42029">
      <c r="B42029" s="36"/>
      <c r="C42029" s="36"/>
      <c r="E42029" s="1"/>
      <c r="F42029" s="1"/>
      <c r="G42029" s="1"/>
    </row>
    <row r="42030">
      <c r="B42030" s="36"/>
      <c r="C42030" s="36"/>
      <c r="E42030" s="1"/>
      <c r="F42030" s="1"/>
      <c r="G42030" s="1"/>
    </row>
    <row r="42031">
      <c r="B42031" s="36"/>
      <c r="C42031" s="36"/>
      <c r="E42031" s="1"/>
      <c r="F42031" s="1"/>
      <c r="G42031" s="1"/>
    </row>
    <row r="42032">
      <c r="B42032" s="36"/>
      <c r="C42032" s="36"/>
      <c r="E42032" s="1"/>
      <c r="F42032" s="1"/>
      <c r="G42032" s="1"/>
    </row>
    <row r="42033">
      <c r="B42033" s="36"/>
      <c r="C42033" s="36"/>
      <c r="E42033" s="1"/>
      <c r="F42033" s="1"/>
      <c r="G42033" s="1"/>
    </row>
    <row r="42034">
      <c r="B42034" s="36"/>
      <c r="C42034" s="36"/>
      <c r="E42034" s="1"/>
      <c r="F42034" s="1"/>
      <c r="G42034" s="1"/>
    </row>
    <row r="42035">
      <c r="B42035" s="36"/>
      <c r="C42035" s="36"/>
      <c r="E42035" s="1"/>
      <c r="F42035" s="1"/>
      <c r="G42035" s="1"/>
    </row>
    <row r="42036">
      <c r="B42036" s="36"/>
      <c r="C42036" s="36"/>
      <c r="E42036" s="1"/>
      <c r="F42036" s="1"/>
      <c r="G42036" s="1"/>
    </row>
    <row r="42037">
      <c r="B42037" s="36"/>
      <c r="C42037" s="36"/>
      <c r="E42037" s="1"/>
      <c r="F42037" s="1"/>
      <c r="G42037" s="1"/>
    </row>
    <row r="42038">
      <c r="B42038" s="36"/>
      <c r="C42038" s="36"/>
      <c r="E42038" s="1"/>
      <c r="F42038" s="1"/>
      <c r="G42038" s="1"/>
    </row>
    <row r="42039">
      <c r="B42039" s="36"/>
      <c r="C42039" s="36"/>
      <c r="E42039" s="1"/>
      <c r="F42039" s="1"/>
      <c r="G42039" s="1"/>
    </row>
    <row r="42040">
      <c r="B42040" s="36"/>
      <c r="C42040" s="36"/>
      <c r="E42040" s="1"/>
      <c r="F42040" s="1"/>
      <c r="G42040" s="1"/>
    </row>
    <row r="42041">
      <c r="B42041" s="36"/>
      <c r="C42041" s="36"/>
      <c r="E42041" s="1"/>
      <c r="F42041" s="1"/>
      <c r="G42041" s="1"/>
    </row>
    <row r="42042">
      <c r="B42042" s="36"/>
      <c r="C42042" s="36"/>
      <c r="E42042" s="1"/>
      <c r="F42042" s="1"/>
      <c r="G42042" s="1"/>
    </row>
    <row r="42043">
      <c r="B42043" s="36"/>
      <c r="C42043" s="36"/>
      <c r="E42043" s="1"/>
      <c r="F42043" s="1"/>
      <c r="G42043" s="1"/>
    </row>
    <row r="42044">
      <c r="B42044" s="36"/>
      <c r="C42044" s="36"/>
      <c r="E42044" s="1"/>
      <c r="F42044" s="1"/>
      <c r="G42044" s="1"/>
    </row>
    <row r="42045">
      <c r="B42045" s="36"/>
      <c r="C42045" s="36"/>
      <c r="E42045" s="1"/>
      <c r="F42045" s="1"/>
      <c r="G42045" s="1"/>
    </row>
    <row r="42046">
      <c r="B42046" s="36"/>
      <c r="C42046" s="36"/>
      <c r="E42046" s="1"/>
      <c r="F42046" s="1"/>
      <c r="G42046" s="1"/>
    </row>
    <row r="42047">
      <c r="B42047" s="36"/>
      <c r="C42047" s="36"/>
      <c r="E42047" s="1"/>
      <c r="F42047" s="1"/>
      <c r="G42047" s="1"/>
    </row>
    <row r="42048">
      <c r="B42048" s="36"/>
      <c r="C42048" s="36"/>
      <c r="E42048" s="1"/>
      <c r="F42048" s="1"/>
      <c r="G42048" s="1"/>
    </row>
    <row r="42049">
      <c r="B42049" s="36"/>
      <c r="C42049" s="36"/>
      <c r="E42049" s="1"/>
      <c r="F42049" s="1"/>
      <c r="G42049" s="1"/>
    </row>
    <row r="42050">
      <c r="B42050" s="36"/>
      <c r="C42050" s="36"/>
      <c r="E42050" s="1"/>
      <c r="F42050" s="1"/>
      <c r="G42050" s="1"/>
    </row>
    <row r="42051">
      <c r="B42051" s="36"/>
      <c r="C42051" s="36"/>
      <c r="E42051" s="1"/>
      <c r="F42051" s="1"/>
      <c r="G42051" s="1"/>
    </row>
    <row r="42052">
      <c r="B42052" s="36"/>
      <c r="C42052" s="36"/>
      <c r="E42052" s="1"/>
      <c r="F42052" s="1"/>
      <c r="G42052" s="1"/>
    </row>
    <row r="42053">
      <c r="B42053" s="36"/>
      <c r="C42053" s="36"/>
      <c r="E42053" s="1"/>
      <c r="F42053" s="1"/>
      <c r="G42053" s="1"/>
    </row>
    <row r="42054">
      <c r="B42054" s="36"/>
      <c r="C42054" s="36"/>
      <c r="E42054" s="1"/>
      <c r="F42054" s="1"/>
      <c r="G42054" s="1"/>
    </row>
    <row r="42055">
      <c r="B42055" s="36"/>
      <c r="C42055" s="36"/>
      <c r="E42055" s="1"/>
      <c r="F42055" s="1"/>
      <c r="G42055" s="1"/>
    </row>
    <row r="42056">
      <c r="B42056" s="36"/>
      <c r="C42056" s="36"/>
      <c r="E42056" s="1"/>
      <c r="F42056" s="1"/>
      <c r="G42056" s="1"/>
    </row>
    <row r="42057">
      <c r="B42057" s="36"/>
      <c r="C42057" s="36"/>
      <c r="E42057" s="1"/>
      <c r="F42057" s="1"/>
      <c r="G42057" s="1"/>
    </row>
    <row r="42058">
      <c r="B42058" s="36"/>
      <c r="C42058" s="36"/>
      <c r="E42058" s="1"/>
      <c r="F42058" s="1"/>
      <c r="G42058" s="1"/>
    </row>
    <row r="42059">
      <c r="B42059" s="36"/>
      <c r="C42059" s="36"/>
      <c r="E42059" s="1"/>
      <c r="F42059" s="1"/>
      <c r="G42059" s="1"/>
    </row>
    <row r="42060">
      <c r="B42060" s="36"/>
      <c r="C42060" s="36"/>
      <c r="E42060" s="1"/>
      <c r="F42060" s="1"/>
      <c r="G42060" s="1"/>
    </row>
    <row r="42061">
      <c r="B42061" s="36"/>
      <c r="C42061" s="36"/>
      <c r="E42061" s="1"/>
      <c r="F42061" s="1"/>
      <c r="G42061" s="1"/>
    </row>
    <row r="42062">
      <c r="B42062" s="36"/>
      <c r="C42062" s="36"/>
      <c r="E42062" s="1"/>
      <c r="F42062" s="1"/>
      <c r="G42062" s="1"/>
    </row>
    <row r="42063">
      <c r="B42063" s="36"/>
      <c r="C42063" s="36"/>
      <c r="E42063" s="1"/>
      <c r="F42063" s="1"/>
      <c r="G42063" s="1"/>
    </row>
    <row r="42064">
      <c r="B42064" s="36"/>
      <c r="C42064" s="36"/>
      <c r="E42064" s="1"/>
      <c r="F42064" s="1"/>
      <c r="G42064" s="1"/>
    </row>
    <row r="42065">
      <c r="B42065" s="36"/>
      <c r="C42065" s="36"/>
      <c r="E42065" s="1"/>
      <c r="F42065" s="1"/>
      <c r="G42065" s="1"/>
    </row>
    <row r="42066">
      <c r="B42066" s="36"/>
      <c r="C42066" s="36"/>
      <c r="E42066" s="1"/>
      <c r="F42066" s="1"/>
      <c r="G42066" s="1"/>
    </row>
    <row r="42067">
      <c r="B42067" s="36"/>
      <c r="C42067" s="36"/>
      <c r="E42067" s="1"/>
      <c r="F42067" s="1"/>
      <c r="G42067" s="1"/>
    </row>
    <row r="42068">
      <c r="B42068" s="36"/>
      <c r="C42068" s="36"/>
      <c r="E42068" s="1"/>
      <c r="F42068" s="1"/>
      <c r="G42068" s="1"/>
    </row>
    <row r="42069">
      <c r="B42069" s="36"/>
      <c r="C42069" s="36"/>
      <c r="E42069" s="1"/>
      <c r="F42069" s="1"/>
      <c r="G42069" s="1"/>
    </row>
    <row r="42070">
      <c r="B42070" s="36"/>
      <c r="C42070" s="36"/>
      <c r="E42070" s="1"/>
      <c r="F42070" s="1"/>
      <c r="G42070" s="1"/>
    </row>
    <row r="42071">
      <c r="B42071" s="36"/>
      <c r="C42071" s="36"/>
      <c r="E42071" s="1"/>
      <c r="F42071" s="1"/>
      <c r="G42071" s="1"/>
    </row>
    <row r="42072">
      <c r="B42072" s="36"/>
      <c r="C42072" s="36"/>
      <c r="E42072" s="1"/>
      <c r="F42072" s="1"/>
      <c r="G42072" s="1"/>
    </row>
    <row r="42073">
      <c r="B42073" s="36"/>
      <c r="C42073" s="36"/>
      <c r="E42073" s="1"/>
      <c r="F42073" s="1"/>
      <c r="G42073" s="1"/>
    </row>
    <row r="42074">
      <c r="B42074" s="36"/>
      <c r="C42074" s="36"/>
      <c r="E42074" s="1"/>
      <c r="F42074" s="1"/>
      <c r="G42074" s="1"/>
    </row>
    <row r="42075">
      <c r="B42075" s="36"/>
      <c r="C42075" s="36"/>
      <c r="E42075" s="1"/>
      <c r="F42075" s="1"/>
      <c r="G42075" s="1"/>
    </row>
    <row r="42076">
      <c r="B42076" s="36"/>
      <c r="C42076" s="36"/>
      <c r="E42076" s="1"/>
      <c r="F42076" s="1"/>
      <c r="G42076" s="1"/>
    </row>
    <row r="42077">
      <c r="B42077" s="36"/>
      <c r="C42077" s="36"/>
      <c r="E42077" s="1"/>
      <c r="F42077" s="1"/>
      <c r="G42077" s="1"/>
    </row>
    <row r="42078">
      <c r="B42078" s="36"/>
      <c r="C42078" s="36"/>
      <c r="E42078" s="1"/>
      <c r="F42078" s="1"/>
      <c r="G42078" s="1"/>
    </row>
    <row r="42079">
      <c r="B42079" s="36"/>
      <c r="C42079" s="36"/>
      <c r="E42079" s="1"/>
      <c r="F42079" s="1"/>
      <c r="G42079" s="1"/>
    </row>
    <row r="42080">
      <c r="B42080" s="36"/>
      <c r="C42080" s="36"/>
      <c r="E42080" s="1"/>
      <c r="F42080" s="1"/>
      <c r="G42080" s="1"/>
    </row>
    <row r="42081">
      <c r="B42081" s="36"/>
      <c r="C42081" s="36"/>
      <c r="E42081" s="1"/>
      <c r="F42081" s="1"/>
      <c r="G42081" s="1"/>
    </row>
    <row r="42082">
      <c r="B42082" s="36"/>
      <c r="C42082" s="36"/>
      <c r="E42082" s="1"/>
      <c r="F42082" s="1"/>
      <c r="G42082" s="1"/>
    </row>
    <row r="42083">
      <c r="B42083" s="36"/>
      <c r="C42083" s="36"/>
      <c r="E42083" s="1"/>
      <c r="F42083" s="1"/>
      <c r="G42083" s="1"/>
    </row>
    <row r="42084">
      <c r="B42084" s="36"/>
      <c r="C42084" s="36"/>
      <c r="E42084" s="1"/>
      <c r="F42084" s="1"/>
      <c r="G42084" s="1"/>
    </row>
    <row r="42085">
      <c r="B42085" s="36"/>
      <c r="C42085" s="36"/>
      <c r="E42085" s="1"/>
      <c r="F42085" s="1"/>
      <c r="G42085" s="1"/>
    </row>
    <row r="42086">
      <c r="B42086" s="36"/>
      <c r="C42086" s="36"/>
      <c r="E42086" s="1"/>
      <c r="F42086" s="1"/>
      <c r="G42086" s="1"/>
    </row>
    <row r="42087">
      <c r="B42087" s="36"/>
      <c r="C42087" s="36"/>
      <c r="E42087" s="1"/>
      <c r="F42087" s="1"/>
      <c r="G42087" s="1"/>
    </row>
    <row r="42088">
      <c r="B42088" s="36"/>
      <c r="C42088" s="36"/>
      <c r="E42088" s="1"/>
      <c r="F42088" s="1"/>
      <c r="G42088" s="1"/>
    </row>
    <row r="42089">
      <c r="B42089" s="36"/>
      <c r="C42089" s="36"/>
      <c r="E42089" s="1"/>
      <c r="F42089" s="1"/>
      <c r="G42089" s="1"/>
    </row>
    <row r="42090">
      <c r="B42090" s="36"/>
      <c r="C42090" s="36"/>
      <c r="E42090" s="1"/>
      <c r="F42090" s="1"/>
      <c r="G42090" s="1"/>
    </row>
    <row r="42091">
      <c r="B42091" s="36"/>
      <c r="C42091" s="36"/>
      <c r="E42091" s="1"/>
      <c r="F42091" s="1"/>
      <c r="G42091" s="1"/>
    </row>
    <row r="42092">
      <c r="B42092" s="36"/>
      <c r="C42092" s="36"/>
      <c r="E42092" s="1"/>
      <c r="F42092" s="1"/>
      <c r="G42092" s="1"/>
    </row>
    <row r="42093">
      <c r="B42093" s="36"/>
      <c r="C42093" s="36"/>
      <c r="E42093" s="1"/>
      <c r="F42093" s="1"/>
      <c r="G42093" s="1"/>
    </row>
    <row r="42094">
      <c r="B42094" s="36"/>
      <c r="C42094" s="36"/>
      <c r="E42094" s="1"/>
      <c r="F42094" s="1"/>
      <c r="G42094" s="1"/>
    </row>
    <row r="42095">
      <c r="B42095" s="36"/>
      <c r="C42095" s="36"/>
      <c r="E42095" s="1"/>
      <c r="F42095" s="1"/>
      <c r="G42095" s="1"/>
    </row>
    <row r="42096">
      <c r="B42096" s="36"/>
      <c r="C42096" s="36"/>
      <c r="E42096" s="1"/>
      <c r="F42096" s="1"/>
      <c r="G42096" s="1"/>
    </row>
    <row r="42097">
      <c r="B42097" s="36"/>
      <c r="C42097" s="36"/>
      <c r="E42097" s="1"/>
      <c r="F42097" s="1"/>
      <c r="G42097" s="1"/>
    </row>
    <row r="42098">
      <c r="B42098" s="36"/>
      <c r="C42098" s="36"/>
      <c r="E42098" s="1"/>
      <c r="F42098" s="1"/>
      <c r="G42098" s="1"/>
    </row>
    <row r="42099">
      <c r="B42099" s="36"/>
      <c r="C42099" s="36"/>
      <c r="E42099" s="1"/>
      <c r="F42099" s="1"/>
      <c r="G42099" s="1"/>
    </row>
    <row r="42100">
      <c r="B42100" s="36"/>
      <c r="C42100" s="36"/>
      <c r="E42100" s="1"/>
      <c r="F42100" s="1"/>
      <c r="G42100" s="1"/>
    </row>
    <row r="42101">
      <c r="B42101" s="36"/>
      <c r="C42101" s="36"/>
      <c r="E42101" s="1"/>
      <c r="F42101" s="1"/>
      <c r="G42101" s="1"/>
    </row>
    <row r="42102">
      <c r="B42102" s="36"/>
      <c r="C42102" s="36"/>
      <c r="E42102" s="1"/>
      <c r="F42102" s="1"/>
      <c r="G42102" s="1"/>
    </row>
    <row r="42103">
      <c r="B42103" s="36"/>
      <c r="C42103" s="36"/>
      <c r="E42103" s="1"/>
      <c r="F42103" s="1"/>
      <c r="G42103" s="1"/>
    </row>
    <row r="42104">
      <c r="B42104" s="36"/>
      <c r="C42104" s="36"/>
      <c r="E42104" s="1"/>
      <c r="F42104" s="1"/>
      <c r="G42104" s="1"/>
    </row>
    <row r="42105">
      <c r="B42105" s="36"/>
      <c r="C42105" s="36"/>
      <c r="E42105" s="1"/>
      <c r="F42105" s="1"/>
      <c r="G42105" s="1"/>
    </row>
    <row r="42106">
      <c r="B42106" s="36"/>
      <c r="C42106" s="36"/>
      <c r="E42106" s="1"/>
      <c r="F42106" s="1"/>
      <c r="G42106" s="1"/>
    </row>
    <row r="42107">
      <c r="B42107" s="36"/>
      <c r="C42107" s="36"/>
      <c r="E42107" s="1"/>
      <c r="F42107" s="1"/>
      <c r="G42107" s="1"/>
    </row>
    <row r="42108">
      <c r="B42108" s="36"/>
      <c r="C42108" s="36"/>
      <c r="E42108" s="1"/>
      <c r="F42108" s="1"/>
      <c r="G42108" s="1"/>
    </row>
    <row r="42109">
      <c r="B42109" s="36"/>
      <c r="C42109" s="36"/>
      <c r="E42109" s="1"/>
      <c r="F42109" s="1"/>
      <c r="G42109" s="1"/>
    </row>
    <row r="42110">
      <c r="B42110" s="36"/>
      <c r="C42110" s="36"/>
      <c r="E42110" s="1"/>
      <c r="F42110" s="1"/>
      <c r="G42110" s="1"/>
    </row>
    <row r="42111">
      <c r="B42111" s="36"/>
      <c r="C42111" s="36"/>
      <c r="E42111" s="1"/>
      <c r="F42111" s="1"/>
      <c r="G42111" s="1"/>
    </row>
    <row r="42112">
      <c r="B42112" s="36"/>
      <c r="C42112" s="36"/>
      <c r="E42112" s="1"/>
      <c r="F42112" s="1"/>
      <c r="G42112" s="1"/>
    </row>
    <row r="42113">
      <c r="B42113" s="36"/>
      <c r="C42113" s="36"/>
      <c r="E42113" s="1"/>
      <c r="F42113" s="1"/>
      <c r="G42113" s="1"/>
    </row>
    <row r="42114">
      <c r="B42114" s="36"/>
      <c r="C42114" s="36"/>
      <c r="E42114" s="1"/>
      <c r="F42114" s="1"/>
      <c r="G42114" s="1"/>
    </row>
    <row r="42115">
      <c r="B42115" s="36"/>
      <c r="C42115" s="36"/>
      <c r="E42115" s="1"/>
      <c r="F42115" s="1"/>
      <c r="G42115" s="1"/>
    </row>
    <row r="42116">
      <c r="B42116" s="36"/>
      <c r="C42116" s="36"/>
      <c r="E42116" s="1"/>
      <c r="F42116" s="1"/>
      <c r="G42116" s="1"/>
    </row>
    <row r="42117">
      <c r="B42117" s="36"/>
      <c r="C42117" s="36"/>
      <c r="E42117" s="1"/>
      <c r="F42117" s="1"/>
      <c r="G42117" s="1"/>
    </row>
    <row r="42118">
      <c r="B42118" s="36"/>
      <c r="C42118" s="36"/>
      <c r="E42118" s="1"/>
      <c r="F42118" s="1"/>
      <c r="G42118" s="1"/>
    </row>
    <row r="42119">
      <c r="B42119" s="36"/>
      <c r="C42119" s="36"/>
      <c r="E42119" s="1"/>
      <c r="F42119" s="1"/>
      <c r="G42119" s="1"/>
    </row>
    <row r="42120">
      <c r="B42120" s="36"/>
      <c r="C42120" s="36"/>
      <c r="E42120" s="1"/>
      <c r="F42120" s="1"/>
      <c r="G42120" s="1"/>
    </row>
    <row r="42121">
      <c r="B42121" s="36"/>
      <c r="C42121" s="36"/>
      <c r="E42121" s="1"/>
      <c r="F42121" s="1"/>
      <c r="G42121" s="1"/>
    </row>
    <row r="42122">
      <c r="B42122" s="36"/>
      <c r="C42122" s="36"/>
      <c r="E42122" s="1"/>
      <c r="F42122" s="1"/>
      <c r="G42122" s="1"/>
    </row>
    <row r="42123">
      <c r="B42123" s="36"/>
      <c r="C42123" s="36"/>
      <c r="E42123" s="1"/>
      <c r="F42123" s="1"/>
      <c r="G42123" s="1"/>
    </row>
    <row r="42124">
      <c r="B42124" s="36"/>
      <c r="C42124" s="36"/>
      <c r="E42124" s="1"/>
      <c r="F42124" s="1"/>
      <c r="G42124" s="1"/>
    </row>
    <row r="42125">
      <c r="B42125" s="36"/>
      <c r="C42125" s="36"/>
      <c r="E42125" s="1"/>
      <c r="F42125" s="1"/>
      <c r="G42125" s="1"/>
    </row>
    <row r="42126">
      <c r="B42126" s="36"/>
      <c r="C42126" s="36"/>
      <c r="E42126" s="1"/>
      <c r="F42126" s="1"/>
      <c r="G42126" s="1"/>
    </row>
    <row r="42127">
      <c r="B42127" s="36"/>
      <c r="C42127" s="36"/>
      <c r="E42127" s="1"/>
      <c r="F42127" s="1"/>
      <c r="G42127" s="1"/>
    </row>
    <row r="42128">
      <c r="B42128" s="36"/>
      <c r="C42128" s="36"/>
      <c r="E42128" s="1"/>
      <c r="F42128" s="1"/>
      <c r="G42128" s="1"/>
    </row>
    <row r="42129">
      <c r="B42129" s="36"/>
      <c r="C42129" s="36"/>
      <c r="E42129" s="1"/>
      <c r="F42129" s="1"/>
      <c r="G42129" s="1"/>
    </row>
    <row r="42130">
      <c r="B42130" s="36"/>
      <c r="C42130" s="36"/>
      <c r="E42130" s="1"/>
      <c r="F42130" s="1"/>
      <c r="G42130" s="1"/>
    </row>
    <row r="42131">
      <c r="B42131" s="36"/>
      <c r="C42131" s="36"/>
      <c r="E42131" s="1"/>
      <c r="F42131" s="1"/>
      <c r="G42131" s="1"/>
    </row>
    <row r="42132">
      <c r="B42132" s="36"/>
      <c r="C42132" s="36"/>
      <c r="E42132" s="1"/>
      <c r="F42132" s="1"/>
      <c r="G42132" s="1"/>
    </row>
    <row r="42133">
      <c r="B42133" s="36"/>
      <c r="C42133" s="36"/>
      <c r="E42133" s="1"/>
      <c r="F42133" s="1"/>
      <c r="G42133" s="1"/>
    </row>
    <row r="42134">
      <c r="B42134" s="36"/>
      <c r="C42134" s="36"/>
      <c r="E42134" s="1"/>
      <c r="F42134" s="1"/>
      <c r="G42134" s="1"/>
    </row>
    <row r="42135">
      <c r="B42135" s="36"/>
      <c r="C42135" s="36"/>
      <c r="E42135" s="1"/>
      <c r="F42135" s="1"/>
      <c r="G42135" s="1"/>
    </row>
    <row r="42136">
      <c r="B42136" s="36"/>
      <c r="C42136" s="36"/>
      <c r="E42136" s="1"/>
      <c r="F42136" s="1"/>
      <c r="G42136" s="1"/>
    </row>
    <row r="42137">
      <c r="B42137" s="36"/>
      <c r="C42137" s="36"/>
      <c r="E42137" s="1"/>
      <c r="F42137" s="1"/>
      <c r="G42137" s="1"/>
    </row>
    <row r="42138">
      <c r="B42138" s="36"/>
      <c r="C42138" s="36"/>
      <c r="E42138" s="1"/>
      <c r="F42138" s="1"/>
      <c r="G42138" s="1"/>
    </row>
    <row r="42139">
      <c r="B42139" s="36"/>
      <c r="C42139" s="36"/>
      <c r="E42139" s="1"/>
      <c r="F42139" s="1"/>
      <c r="G42139" s="1"/>
    </row>
    <row r="42140">
      <c r="B42140" s="36"/>
      <c r="C42140" s="36"/>
      <c r="E42140" s="1"/>
      <c r="F42140" s="1"/>
      <c r="G42140" s="1"/>
    </row>
    <row r="42141">
      <c r="B42141" s="36"/>
      <c r="C42141" s="36"/>
      <c r="E42141" s="1"/>
      <c r="F42141" s="1"/>
      <c r="G42141" s="1"/>
    </row>
    <row r="42142">
      <c r="B42142" s="36"/>
      <c r="C42142" s="36"/>
      <c r="E42142" s="1"/>
      <c r="F42142" s="1"/>
      <c r="G42142" s="1"/>
    </row>
    <row r="42143">
      <c r="B42143" s="36"/>
      <c r="C42143" s="36"/>
      <c r="E42143" s="1"/>
      <c r="F42143" s="1"/>
      <c r="G42143" s="1"/>
    </row>
    <row r="42144">
      <c r="B42144" s="36"/>
      <c r="C42144" s="36"/>
      <c r="E42144" s="1"/>
      <c r="F42144" s="1"/>
      <c r="G42144" s="1"/>
    </row>
    <row r="42145">
      <c r="B42145" s="36"/>
      <c r="C42145" s="36"/>
      <c r="E42145" s="1"/>
      <c r="F42145" s="1"/>
      <c r="G42145" s="1"/>
    </row>
    <row r="42146">
      <c r="B42146" s="36"/>
      <c r="C42146" s="36"/>
      <c r="E42146" s="1"/>
      <c r="F42146" s="1"/>
      <c r="G42146" s="1"/>
    </row>
    <row r="42147">
      <c r="B42147" s="36"/>
      <c r="C42147" s="36"/>
      <c r="E42147" s="1"/>
      <c r="F42147" s="1"/>
      <c r="G42147" s="1"/>
    </row>
    <row r="42148">
      <c r="B42148" s="36"/>
      <c r="C42148" s="36"/>
      <c r="E42148" s="1"/>
      <c r="F42148" s="1"/>
      <c r="G42148" s="1"/>
    </row>
    <row r="42149">
      <c r="B42149" s="36"/>
      <c r="C42149" s="36"/>
      <c r="E42149" s="1"/>
      <c r="F42149" s="1"/>
      <c r="G42149" s="1"/>
    </row>
    <row r="42150">
      <c r="B42150" s="36"/>
      <c r="C42150" s="36"/>
      <c r="E42150" s="1"/>
      <c r="F42150" s="1"/>
      <c r="G42150" s="1"/>
    </row>
    <row r="42151">
      <c r="B42151" s="36"/>
      <c r="C42151" s="36"/>
      <c r="E42151" s="1"/>
      <c r="F42151" s="1"/>
      <c r="G42151" s="1"/>
    </row>
    <row r="42152">
      <c r="B42152" s="36"/>
      <c r="C42152" s="36"/>
      <c r="E42152" s="1"/>
      <c r="F42152" s="1"/>
      <c r="G42152" s="1"/>
    </row>
    <row r="42153">
      <c r="B42153" s="36"/>
      <c r="C42153" s="36"/>
      <c r="E42153" s="1"/>
      <c r="F42153" s="1"/>
      <c r="G42153" s="1"/>
    </row>
    <row r="42154">
      <c r="B42154" s="36"/>
      <c r="C42154" s="36"/>
      <c r="E42154" s="1"/>
      <c r="F42154" s="1"/>
      <c r="G42154" s="1"/>
    </row>
    <row r="42155">
      <c r="B42155" s="36"/>
      <c r="C42155" s="36"/>
      <c r="E42155" s="1"/>
      <c r="F42155" s="1"/>
      <c r="G42155" s="1"/>
    </row>
    <row r="42156">
      <c r="B42156" s="36"/>
      <c r="C42156" s="36"/>
      <c r="E42156" s="1"/>
      <c r="F42156" s="1"/>
      <c r="G42156" s="1"/>
    </row>
    <row r="42157">
      <c r="B42157" s="36"/>
      <c r="C42157" s="36"/>
      <c r="E42157" s="1"/>
      <c r="F42157" s="1"/>
      <c r="G42157" s="1"/>
    </row>
    <row r="42158">
      <c r="B42158" s="36"/>
      <c r="C42158" s="36"/>
      <c r="E42158" s="1"/>
      <c r="F42158" s="1"/>
      <c r="G42158" s="1"/>
    </row>
    <row r="42159">
      <c r="B42159" s="36"/>
      <c r="C42159" s="36"/>
      <c r="E42159" s="1"/>
      <c r="F42159" s="1"/>
      <c r="G42159" s="1"/>
    </row>
    <row r="42160">
      <c r="B42160" s="36"/>
      <c r="C42160" s="36"/>
      <c r="E42160" s="1"/>
      <c r="F42160" s="1"/>
      <c r="G42160" s="1"/>
    </row>
    <row r="42161">
      <c r="B42161" s="36"/>
      <c r="C42161" s="36"/>
      <c r="E42161" s="1"/>
      <c r="F42161" s="1"/>
      <c r="G42161" s="1"/>
    </row>
    <row r="42162">
      <c r="B42162" s="36"/>
      <c r="C42162" s="36"/>
      <c r="E42162" s="1"/>
      <c r="F42162" s="1"/>
      <c r="G42162" s="1"/>
    </row>
    <row r="42163">
      <c r="B42163" s="36"/>
      <c r="C42163" s="36"/>
      <c r="E42163" s="1"/>
      <c r="F42163" s="1"/>
      <c r="G42163" s="1"/>
    </row>
    <row r="42164">
      <c r="B42164" s="36"/>
      <c r="C42164" s="36"/>
      <c r="E42164" s="1"/>
      <c r="F42164" s="1"/>
      <c r="G42164" s="1"/>
    </row>
    <row r="42165">
      <c r="B42165" s="36"/>
      <c r="C42165" s="36"/>
      <c r="E42165" s="1"/>
      <c r="F42165" s="1"/>
      <c r="G42165" s="1"/>
    </row>
    <row r="42166">
      <c r="B42166" s="36"/>
      <c r="C42166" s="36"/>
      <c r="E42166" s="1"/>
      <c r="F42166" s="1"/>
      <c r="G42166" s="1"/>
    </row>
    <row r="42167">
      <c r="B42167" s="36"/>
      <c r="C42167" s="36"/>
      <c r="E42167" s="1"/>
      <c r="F42167" s="1"/>
      <c r="G42167" s="1"/>
    </row>
    <row r="42168">
      <c r="B42168" s="36"/>
      <c r="C42168" s="36"/>
      <c r="E42168" s="1"/>
      <c r="F42168" s="1"/>
      <c r="G42168" s="1"/>
    </row>
    <row r="42169">
      <c r="B42169" s="36"/>
      <c r="C42169" s="36"/>
      <c r="E42169" s="1"/>
      <c r="F42169" s="1"/>
      <c r="G42169" s="1"/>
    </row>
    <row r="42170">
      <c r="B42170" s="36"/>
      <c r="C42170" s="36"/>
      <c r="E42170" s="1"/>
      <c r="F42170" s="1"/>
      <c r="G42170" s="1"/>
    </row>
    <row r="42171">
      <c r="B42171" s="36"/>
      <c r="C42171" s="36"/>
      <c r="E42171" s="1"/>
      <c r="F42171" s="1"/>
      <c r="G42171" s="1"/>
    </row>
    <row r="42172">
      <c r="B42172" s="36"/>
      <c r="C42172" s="36"/>
      <c r="E42172" s="1"/>
      <c r="F42172" s="1"/>
      <c r="G42172" s="1"/>
    </row>
    <row r="42173">
      <c r="B42173" s="36"/>
      <c r="C42173" s="36"/>
      <c r="E42173" s="1"/>
      <c r="F42173" s="1"/>
      <c r="G42173" s="1"/>
    </row>
    <row r="42174">
      <c r="B42174" s="36"/>
      <c r="C42174" s="36"/>
      <c r="E42174" s="1"/>
      <c r="F42174" s="1"/>
      <c r="G42174" s="1"/>
    </row>
    <row r="42175">
      <c r="B42175" s="36"/>
      <c r="C42175" s="36"/>
      <c r="E42175" s="1"/>
      <c r="F42175" s="1"/>
      <c r="G42175" s="1"/>
    </row>
    <row r="42176">
      <c r="B42176" s="36"/>
      <c r="C42176" s="36"/>
      <c r="E42176" s="1"/>
      <c r="F42176" s="1"/>
      <c r="G42176" s="1"/>
    </row>
    <row r="42177">
      <c r="B42177" s="36"/>
      <c r="C42177" s="36"/>
      <c r="E42177" s="1"/>
      <c r="F42177" s="1"/>
      <c r="G42177" s="1"/>
    </row>
    <row r="42178">
      <c r="B42178" s="36"/>
      <c r="C42178" s="36"/>
      <c r="E42178" s="1"/>
      <c r="F42178" s="1"/>
      <c r="G42178" s="1"/>
    </row>
    <row r="42179">
      <c r="B42179" s="36"/>
      <c r="C42179" s="36"/>
      <c r="E42179" s="1"/>
      <c r="F42179" s="1"/>
      <c r="G42179" s="1"/>
    </row>
    <row r="42180">
      <c r="B42180" s="36"/>
      <c r="C42180" s="36"/>
      <c r="E42180" s="1"/>
      <c r="F42180" s="1"/>
      <c r="G42180" s="1"/>
    </row>
    <row r="42181">
      <c r="B42181" s="36"/>
      <c r="C42181" s="36"/>
      <c r="E42181" s="1"/>
      <c r="F42181" s="1"/>
      <c r="G42181" s="1"/>
    </row>
    <row r="42182">
      <c r="B42182" s="36"/>
      <c r="C42182" s="36"/>
      <c r="E42182" s="1"/>
      <c r="F42182" s="1"/>
      <c r="G42182" s="1"/>
    </row>
    <row r="42183">
      <c r="B42183" s="36"/>
      <c r="C42183" s="36"/>
      <c r="E42183" s="1"/>
      <c r="F42183" s="1"/>
      <c r="G42183" s="1"/>
    </row>
    <row r="42184">
      <c r="B42184" s="36"/>
      <c r="C42184" s="36"/>
      <c r="E42184" s="1"/>
      <c r="F42184" s="1"/>
      <c r="G42184" s="1"/>
    </row>
    <row r="42185">
      <c r="B42185" s="36"/>
      <c r="C42185" s="36"/>
      <c r="E42185" s="1"/>
      <c r="F42185" s="1"/>
      <c r="G42185" s="1"/>
    </row>
    <row r="42186">
      <c r="B42186" s="36"/>
      <c r="C42186" s="36"/>
      <c r="E42186" s="1"/>
      <c r="F42186" s="1"/>
      <c r="G42186" s="1"/>
    </row>
    <row r="42187">
      <c r="B42187" s="36"/>
      <c r="C42187" s="36"/>
      <c r="E42187" s="1"/>
      <c r="F42187" s="1"/>
      <c r="G42187" s="1"/>
    </row>
    <row r="42188">
      <c r="B42188" s="36"/>
      <c r="C42188" s="36"/>
      <c r="E42188" s="1"/>
      <c r="F42188" s="1"/>
      <c r="G42188" s="1"/>
    </row>
    <row r="42189">
      <c r="B42189" s="36"/>
      <c r="C42189" s="36"/>
      <c r="E42189" s="1"/>
      <c r="F42189" s="1"/>
      <c r="G42189" s="1"/>
    </row>
    <row r="42190">
      <c r="B42190" s="36"/>
      <c r="C42190" s="36"/>
      <c r="E42190" s="1"/>
      <c r="F42190" s="1"/>
      <c r="G42190" s="1"/>
    </row>
    <row r="42191">
      <c r="B42191" s="36"/>
      <c r="C42191" s="36"/>
      <c r="E42191" s="1"/>
      <c r="F42191" s="1"/>
      <c r="G42191" s="1"/>
    </row>
    <row r="42192">
      <c r="B42192" s="36"/>
      <c r="C42192" s="36"/>
      <c r="E42192" s="1"/>
      <c r="F42192" s="1"/>
      <c r="G42192" s="1"/>
    </row>
    <row r="42193">
      <c r="B42193" s="36"/>
      <c r="C42193" s="36"/>
      <c r="E42193" s="1"/>
      <c r="F42193" s="1"/>
      <c r="G42193" s="1"/>
    </row>
    <row r="42194">
      <c r="B42194" s="36"/>
      <c r="C42194" s="36"/>
      <c r="E42194" s="1"/>
      <c r="F42194" s="1"/>
      <c r="G42194" s="1"/>
    </row>
    <row r="42195">
      <c r="B42195" s="36"/>
      <c r="C42195" s="36"/>
      <c r="E42195" s="1"/>
      <c r="F42195" s="1"/>
      <c r="G42195" s="1"/>
    </row>
    <row r="42196">
      <c r="B42196" s="36"/>
      <c r="C42196" s="36"/>
      <c r="E42196" s="1"/>
      <c r="F42196" s="1"/>
      <c r="G42196" s="1"/>
    </row>
    <row r="42197">
      <c r="B42197" s="36"/>
      <c r="C42197" s="36"/>
      <c r="E42197" s="1"/>
      <c r="F42197" s="1"/>
      <c r="G42197" s="1"/>
    </row>
    <row r="42198">
      <c r="B42198" s="36"/>
      <c r="C42198" s="36"/>
      <c r="E42198" s="1"/>
      <c r="F42198" s="1"/>
      <c r="G42198" s="1"/>
    </row>
    <row r="42199">
      <c r="B42199" s="36"/>
      <c r="C42199" s="36"/>
      <c r="E42199" s="1"/>
      <c r="F42199" s="1"/>
      <c r="G42199" s="1"/>
    </row>
    <row r="42200">
      <c r="B42200" s="36"/>
      <c r="C42200" s="36"/>
      <c r="E42200" s="1"/>
      <c r="F42200" s="1"/>
      <c r="G42200" s="1"/>
    </row>
    <row r="42201">
      <c r="B42201" s="36"/>
      <c r="C42201" s="36"/>
      <c r="E42201" s="1"/>
      <c r="F42201" s="1"/>
      <c r="G42201" s="1"/>
    </row>
    <row r="42202">
      <c r="B42202" s="36"/>
      <c r="C42202" s="36"/>
      <c r="E42202" s="1"/>
      <c r="F42202" s="1"/>
      <c r="G42202" s="1"/>
    </row>
    <row r="42203">
      <c r="B42203" s="36"/>
      <c r="C42203" s="36"/>
      <c r="E42203" s="1"/>
      <c r="F42203" s="1"/>
      <c r="G42203" s="1"/>
    </row>
    <row r="42204">
      <c r="B42204" s="36"/>
      <c r="C42204" s="36"/>
      <c r="E42204" s="1"/>
      <c r="F42204" s="1"/>
      <c r="G42204" s="1"/>
    </row>
    <row r="42205">
      <c r="B42205" s="36"/>
      <c r="C42205" s="36"/>
      <c r="E42205" s="1"/>
      <c r="F42205" s="1"/>
      <c r="G42205" s="1"/>
    </row>
    <row r="42206">
      <c r="B42206" s="36"/>
      <c r="C42206" s="36"/>
      <c r="E42206" s="1"/>
      <c r="F42206" s="1"/>
      <c r="G42206" s="1"/>
    </row>
    <row r="42207">
      <c r="B42207" s="36"/>
      <c r="C42207" s="36"/>
      <c r="E42207" s="1"/>
      <c r="F42207" s="1"/>
      <c r="G42207" s="1"/>
    </row>
    <row r="42208">
      <c r="B42208" s="36"/>
      <c r="C42208" s="36"/>
      <c r="E42208" s="1"/>
      <c r="F42208" s="1"/>
      <c r="G42208" s="1"/>
    </row>
    <row r="42209">
      <c r="B42209" s="36"/>
      <c r="C42209" s="36"/>
      <c r="E42209" s="1"/>
      <c r="F42209" s="1"/>
      <c r="G42209" s="1"/>
    </row>
    <row r="42210">
      <c r="B42210" s="36"/>
      <c r="C42210" s="36"/>
      <c r="E42210" s="1"/>
      <c r="F42210" s="1"/>
      <c r="G42210" s="1"/>
    </row>
    <row r="42211">
      <c r="B42211" s="36"/>
      <c r="C42211" s="36"/>
      <c r="E42211" s="1"/>
      <c r="F42211" s="1"/>
      <c r="G42211" s="1"/>
    </row>
    <row r="42212">
      <c r="B42212" s="36"/>
      <c r="C42212" s="36"/>
      <c r="E42212" s="1"/>
      <c r="F42212" s="1"/>
      <c r="G42212" s="1"/>
    </row>
    <row r="42213">
      <c r="B42213" s="36"/>
      <c r="C42213" s="36"/>
      <c r="E42213" s="1"/>
      <c r="F42213" s="1"/>
      <c r="G42213" s="1"/>
    </row>
    <row r="42214">
      <c r="B42214" s="36"/>
      <c r="C42214" s="36"/>
      <c r="E42214" s="1"/>
      <c r="F42214" s="1"/>
      <c r="G42214" s="1"/>
    </row>
    <row r="42215">
      <c r="B42215" s="36"/>
      <c r="C42215" s="36"/>
      <c r="E42215" s="1"/>
      <c r="F42215" s="1"/>
      <c r="G42215" s="1"/>
    </row>
    <row r="42216">
      <c r="B42216" s="36"/>
      <c r="C42216" s="36"/>
      <c r="E42216" s="1"/>
      <c r="F42216" s="1"/>
      <c r="G42216" s="1"/>
    </row>
    <row r="42217">
      <c r="B42217" s="36"/>
      <c r="C42217" s="36"/>
      <c r="E42217" s="1"/>
      <c r="F42217" s="1"/>
      <c r="G42217" s="1"/>
    </row>
    <row r="42218">
      <c r="B42218" s="36"/>
      <c r="C42218" s="36"/>
      <c r="E42218" s="1"/>
      <c r="F42218" s="1"/>
      <c r="G42218" s="1"/>
    </row>
    <row r="42219">
      <c r="B42219" s="36"/>
      <c r="C42219" s="36"/>
      <c r="E42219" s="1"/>
      <c r="F42219" s="1"/>
      <c r="G42219" s="1"/>
    </row>
    <row r="42220">
      <c r="B42220" s="36"/>
      <c r="C42220" s="36"/>
      <c r="E42220" s="1"/>
      <c r="F42220" s="1"/>
      <c r="G42220" s="1"/>
    </row>
    <row r="42221">
      <c r="B42221" s="36"/>
      <c r="C42221" s="36"/>
      <c r="E42221" s="1"/>
      <c r="F42221" s="1"/>
      <c r="G42221" s="1"/>
    </row>
    <row r="42222">
      <c r="B42222" s="36"/>
      <c r="C42222" s="36"/>
      <c r="E42222" s="1"/>
      <c r="F42222" s="1"/>
      <c r="G42222" s="1"/>
    </row>
    <row r="42223">
      <c r="B42223" s="36"/>
      <c r="C42223" s="36"/>
      <c r="E42223" s="1"/>
      <c r="F42223" s="1"/>
      <c r="G42223" s="1"/>
    </row>
    <row r="42224">
      <c r="B42224" s="36"/>
      <c r="C42224" s="36"/>
      <c r="E42224" s="1"/>
      <c r="F42224" s="1"/>
      <c r="G42224" s="1"/>
    </row>
    <row r="42225">
      <c r="B42225" s="36"/>
      <c r="C42225" s="36"/>
      <c r="E42225" s="1"/>
      <c r="F42225" s="1"/>
      <c r="G42225" s="1"/>
    </row>
    <row r="42226">
      <c r="B42226" s="36"/>
      <c r="C42226" s="36"/>
      <c r="E42226" s="1"/>
      <c r="F42226" s="1"/>
      <c r="G42226" s="1"/>
    </row>
    <row r="42227">
      <c r="B42227" s="36"/>
      <c r="C42227" s="36"/>
      <c r="E42227" s="1"/>
      <c r="F42227" s="1"/>
      <c r="G42227" s="1"/>
    </row>
    <row r="42228">
      <c r="B42228" s="36"/>
      <c r="C42228" s="36"/>
      <c r="E42228" s="1"/>
      <c r="F42228" s="1"/>
      <c r="G42228" s="1"/>
    </row>
    <row r="42229">
      <c r="B42229" s="36"/>
      <c r="C42229" s="36"/>
      <c r="E42229" s="1"/>
      <c r="F42229" s="1"/>
      <c r="G42229" s="1"/>
    </row>
    <row r="42230">
      <c r="B42230" s="36"/>
      <c r="C42230" s="36"/>
      <c r="E42230" s="1"/>
      <c r="F42230" s="1"/>
      <c r="G42230" s="1"/>
    </row>
    <row r="42231">
      <c r="B42231" s="36"/>
      <c r="C42231" s="36"/>
      <c r="E42231" s="1"/>
      <c r="F42231" s="1"/>
      <c r="G42231" s="1"/>
    </row>
    <row r="42232">
      <c r="B42232" s="36"/>
      <c r="C42232" s="36"/>
      <c r="E42232" s="1"/>
      <c r="F42232" s="1"/>
      <c r="G42232" s="1"/>
    </row>
    <row r="42233">
      <c r="B42233" s="36"/>
      <c r="C42233" s="36"/>
      <c r="E42233" s="1"/>
      <c r="F42233" s="1"/>
      <c r="G42233" s="1"/>
    </row>
    <row r="42234">
      <c r="B42234" s="36"/>
      <c r="C42234" s="36"/>
      <c r="E42234" s="1"/>
      <c r="F42234" s="1"/>
      <c r="G42234" s="1"/>
    </row>
    <row r="42235">
      <c r="B42235" s="36"/>
      <c r="C42235" s="36"/>
      <c r="E42235" s="1"/>
      <c r="F42235" s="1"/>
      <c r="G42235" s="1"/>
    </row>
    <row r="42236">
      <c r="B42236" s="36"/>
      <c r="C42236" s="36"/>
      <c r="E42236" s="1"/>
      <c r="F42236" s="1"/>
      <c r="G42236" s="1"/>
    </row>
    <row r="42237">
      <c r="B42237" s="36"/>
      <c r="C42237" s="36"/>
      <c r="E42237" s="1"/>
      <c r="F42237" s="1"/>
      <c r="G42237" s="1"/>
    </row>
    <row r="42238">
      <c r="B42238" s="36"/>
      <c r="C42238" s="36"/>
      <c r="E42238" s="1"/>
      <c r="F42238" s="1"/>
      <c r="G42238" s="1"/>
    </row>
    <row r="42239">
      <c r="B42239" s="36"/>
      <c r="C42239" s="36"/>
      <c r="E42239" s="1"/>
      <c r="F42239" s="1"/>
      <c r="G42239" s="1"/>
    </row>
    <row r="42240">
      <c r="B42240" s="36"/>
      <c r="C42240" s="36"/>
      <c r="E42240" s="1"/>
      <c r="F42240" s="1"/>
      <c r="G42240" s="1"/>
    </row>
    <row r="42241">
      <c r="B42241" s="36"/>
      <c r="C42241" s="36"/>
      <c r="E42241" s="1"/>
      <c r="F42241" s="1"/>
      <c r="G42241" s="1"/>
    </row>
    <row r="42242">
      <c r="B42242" s="36"/>
      <c r="C42242" s="36"/>
      <c r="E42242" s="1"/>
      <c r="F42242" s="1"/>
      <c r="G42242" s="1"/>
    </row>
    <row r="42243">
      <c r="B42243" s="36"/>
      <c r="C42243" s="36"/>
      <c r="E42243" s="1"/>
      <c r="F42243" s="1"/>
      <c r="G42243" s="1"/>
    </row>
    <row r="42244">
      <c r="B42244" s="36"/>
      <c r="C42244" s="36"/>
      <c r="E42244" s="1"/>
      <c r="F42244" s="1"/>
      <c r="G42244" s="1"/>
    </row>
    <row r="42245">
      <c r="B42245" s="36"/>
      <c r="C42245" s="36"/>
      <c r="E42245" s="1"/>
      <c r="F42245" s="1"/>
      <c r="G42245" s="1"/>
    </row>
    <row r="42246">
      <c r="B42246" s="36"/>
      <c r="C42246" s="36"/>
      <c r="E42246" s="1"/>
      <c r="F42246" s="1"/>
      <c r="G42246" s="1"/>
    </row>
    <row r="42247">
      <c r="B42247" s="36"/>
      <c r="C42247" s="36"/>
      <c r="E42247" s="1"/>
      <c r="F42247" s="1"/>
      <c r="G42247" s="1"/>
    </row>
    <row r="42248">
      <c r="B42248" s="36"/>
      <c r="C42248" s="36"/>
      <c r="E42248" s="1"/>
      <c r="F42248" s="1"/>
      <c r="G42248" s="1"/>
    </row>
    <row r="42249">
      <c r="B42249" s="36"/>
      <c r="C42249" s="36"/>
      <c r="E42249" s="1"/>
      <c r="F42249" s="1"/>
      <c r="G42249" s="1"/>
    </row>
    <row r="42250">
      <c r="B42250" s="36"/>
      <c r="C42250" s="36"/>
      <c r="E42250" s="1"/>
      <c r="F42250" s="1"/>
      <c r="G42250" s="1"/>
    </row>
    <row r="42251">
      <c r="B42251" s="36"/>
      <c r="C42251" s="36"/>
      <c r="E42251" s="1"/>
      <c r="F42251" s="1"/>
      <c r="G42251" s="1"/>
    </row>
    <row r="42252">
      <c r="B42252" s="36"/>
      <c r="C42252" s="36"/>
      <c r="E42252" s="1"/>
      <c r="F42252" s="1"/>
      <c r="G42252" s="1"/>
    </row>
    <row r="42253">
      <c r="B42253" s="36"/>
      <c r="C42253" s="36"/>
      <c r="E42253" s="1"/>
      <c r="F42253" s="1"/>
      <c r="G42253" s="1"/>
    </row>
    <row r="42254">
      <c r="B42254" s="36"/>
      <c r="C42254" s="36"/>
      <c r="E42254" s="1"/>
      <c r="F42254" s="1"/>
      <c r="G42254" s="1"/>
    </row>
    <row r="42255">
      <c r="B42255" s="36"/>
      <c r="C42255" s="36"/>
      <c r="E42255" s="1"/>
      <c r="F42255" s="1"/>
      <c r="G42255" s="1"/>
    </row>
    <row r="42256">
      <c r="B42256" s="36"/>
      <c r="C42256" s="36"/>
      <c r="E42256" s="1"/>
      <c r="F42256" s="1"/>
      <c r="G42256" s="1"/>
    </row>
    <row r="42257">
      <c r="B42257" s="36"/>
      <c r="C42257" s="36"/>
      <c r="E42257" s="1"/>
      <c r="F42257" s="1"/>
      <c r="G42257" s="1"/>
    </row>
    <row r="42258">
      <c r="B42258" s="36"/>
      <c r="C42258" s="36"/>
      <c r="E42258" s="1"/>
      <c r="F42258" s="1"/>
      <c r="G42258" s="1"/>
    </row>
    <row r="42259">
      <c r="B42259" s="36"/>
      <c r="C42259" s="36"/>
      <c r="E42259" s="1"/>
      <c r="F42259" s="1"/>
      <c r="G42259" s="1"/>
    </row>
    <row r="42260">
      <c r="B42260" s="36"/>
      <c r="C42260" s="36"/>
      <c r="E42260" s="1"/>
      <c r="F42260" s="1"/>
      <c r="G42260" s="1"/>
    </row>
    <row r="42261">
      <c r="B42261" s="36"/>
      <c r="C42261" s="36"/>
      <c r="E42261" s="1"/>
      <c r="F42261" s="1"/>
      <c r="G42261" s="1"/>
    </row>
    <row r="42262">
      <c r="B42262" s="36"/>
      <c r="C42262" s="36"/>
      <c r="E42262" s="1"/>
      <c r="F42262" s="1"/>
      <c r="G42262" s="1"/>
    </row>
    <row r="42263">
      <c r="B42263" s="36"/>
      <c r="C42263" s="36"/>
      <c r="E42263" s="1"/>
      <c r="F42263" s="1"/>
      <c r="G42263" s="1"/>
    </row>
    <row r="42264">
      <c r="B42264" s="36"/>
      <c r="C42264" s="36"/>
      <c r="E42264" s="1"/>
      <c r="F42264" s="1"/>
      <c r="G42264" s="1"/>
    </row>
    <row r="42265">
      <c r="B42265" s="36"/>
      <c r="C42265" s="36"/>
      <c r="E42265" s="1"/>
      <c r="F42265" s="1"/>
      <c r="G42265" s="1"/>
    </row>
    <row r="42266">
      <c r="B42266" s="36"/>
      <c r="C42266" s="36"/>
      <c r="E42266" s="1"/>
      <c r="F42266" s="1"/>
      <c r="G42266" s="1"/>
    </row>
    <row r="42267">
      <c r="B42267" s="36"/>
      <c r="C42267" s="36"/>
      <c r="E42267" s="1"/>
      <c r="F42267" s="1"/>
      <c r="G42267" s="1"/>
    </row>
    <row r="42268">
      <c r="B42268" s="36"/>
      <c r="C42268" s="36"/>
      <c r="E42268" s="1"/>
      <c r="F42268" s="1"/>
      <c r="G42268" s="1"/>
    </row>
    <row r="42269">
      <c r="B42269" s="36"/>
      <c r="C42269" s="36"/>
      <c r="E42269" s="1"/>
      <c r="F42269" s="1"/>
      <c r="G42269" s="1"/>
    </row>
    <row r="42270">
      <c r="B42270" s="36"/>
      <c r="C42270" s="36"/>
      <c r="E42270" s="1"/>
      <c r="F42270" s="1"/>
      <c r="G42270" s="1"/>
    </row>
    <row r="42271">
      <c r="B42271" s="36"/>
      <c r="C42271" s="36"/>
      <c r="E42271" s="1"/>
      <c r="F42271" s="1"/>
      <c r="G42271" s="1"/>
    </row>
    <row r="42272">
      <c r="B42272" s="36"/>
      <c r="C42272" s="36"/>
      <c r="E42272" s="1"/>
      <c r="F42272" s="1"/>
      <c r="G42272" s="1"/>
    </row>
    <row r="42273">
      <c r="B42273" s="36"/>
      <c r="C42273" s="36"/>
      <c r="E42273" s="1"/>
      <c r="F42273" s="1"/>
      <c r="G42273" s="1"/>
    </row>
    <row r="42274">
      <c r="B42274" s="36"/>
      <c r="C42274" s="36"/>
      <c r="E42274" s="1"/>
      <c r="F42274" s="1"/>
      <c r="G42274" s="1"/>
    </row>
    <row r="42275">
      <c r="B42275" s="36"/>
      <c r="C42275" s="36"/>
      <c r="E42275" s="1"/>
      <c r="F42275" s="1"/>
      <c r="G42275" s="1"/>
    </row>
    <row r="42276">
      <c r="B42276" s="36"/>
      <c r="C42276" s="36"/>
      <c r="E42276" s="1"/>
      <c r="F42276" s="1"/>
      <c r="G42276" s="1"/>
    </row>
    <row r="42277">
      <c r="B42277" s="36"/>
      <c r="C42277" s="36"/>
      <c r="E42277" s="1"/>
      <c r="F42277" s="1"/>
      <c r="G42277" s="1"/>
    </row>
    <row r="42278">
      <c r="B42278" s="36"/>
      <c r="C42278" s="36"/>
      <c r="E42278" s="1"/>
      <c r="F42278" s="1"/>
      <c r="G42278" s="1"/>
    </row>
    <row r="42279">
      <c r="B42279" s="36"/>
      <c r="C42279" s="36"/>
      <c r="E42279" s="1"/>
      <c r="F42279" s="1"/>
      <c r="G42279" s="1"/>
    </row>
    <row r="42280">
      <c r="B42280" s="36"/>
      <c r="C42280" s="36"/>
      <c r="E42280" s="1"/>
      <c r="F42280" s="1"/>
      <c r="G42280" s="1"/>
    </row>
    <row r="42281">
      <c r="B42281" s="36"/>
      <c r="C42281" s="36"/>
      <c r="E42281" s="1"/>
      <c r="F42281" s="1"/>
      <c r="G42281" s="1"/>
    </row>
    <row r="42282">
      <c r="B42282" s="36"/>
      <c r="C42282" s="36"/>
      <c r="E42282" s="1"/>
      <c r="F42282" s="1"/>
      <c r="G42282" s="1"/>
    </row>
    <row r="42283">
      <c r="B42283" s="36"/>
      <c r="C42283" s="36"/>
      <c r="E42283" s="1"/>
      <c r="F42283" s="1"/>
      <c r="G42283" s="1"/>
    </row>
    <row r="42284">
      <c r="B42284" s="36"/>
      <c r="C42284" s="36"/>
      <c r="E42284" s="1"/>
      <c r="F42284" s="1"/>
      <c r="G42284" s="1"/>
    </row>
    <row r="42285">
      <c r="B42285" s="36"/>
      <c r="C42285" s="36"/>
      <c r="E42285" s="1"/>
      <c r="F42285" s="1"/>
      <c r="G42285" s="1"/>
    </row>
    <row r="42286">
      <c r="B42286" s="36"/>
      <c r="C42286" s="36"/>
      <c r="E42286" s="1"/>
      <c r="F42286" s="1"/>
      <c r="G42286" s="1"/>
    </row>
    <row r="42287">
      <c r="B42287" s="36"/>
      <c r="C42287" s="36"/>
      <c r="E42287" s="1"/>
      <c r="F42287" s="1"/>
      <c r="G42287" s="1"/>
    </row>
    <row r="42288">
      <c r="B42288" s="36"/>
      <c r="C42288" s="36"/>
      <c r="E42288" s="1"/>
      <c r="F42288" s="1"/>
      <c r="G42288" s="1"/>
    </row>
    <row r="42289">
      <c r="B42289" s="36"/>
      <c r="C42289" s="36"/>
      <c r="E42289" s="1"/>
      <c r="F42289" s="1"/>
      <c r="G42289" s="1"/>
    </row>
    <row r="42290">
      <c r="B42290" s="36"/>
      <c r="C42290" s="36"/>
      <c r="E42290" s="1"/>
      <c r="F42290" s="1"/>
      <c r="G42290" s="1"/>
    </row>
    <row r="42291">
      <c r="B42291" s="36"/>
      <c r="C42291" s="36"/>
      <c r="E42291" s="1"/>
      <c r="F42291" s="1"/>
      <c r="G42291" s="1"/>
    </row>
    <row r="42292">
      <c r="B42292" s="36"/>
      <c r="C42292" s="36"/>
      <c r="E42292" s="1"/>
      <c r="F42292" s="1"/>
      <c r="G42292" s="1"/>
    </row>
    <row r="42293">
      <c r="B42293" s="36"/>
      <c r="C42293" s="36"/>
      <c r="E42293" s="1"/>
      <c r="F42293" s="1"/>
      <c r="G42293" s="1"/>
    </row>
    <row r="42294">
      <c r="B42294" s="36"/>
      <c r="C42294" s="36"/>
      <c r="E42294" s="1"/>
      <c r="F42294" s="1"/>
      <c r="G42294" s="1"/>
    </row>
    <row r="42295">
      <c r="B42295" s="36"/>
      <c r="C42295" s="36"/>
      <c r="E42295" s="1"/>
      <c r="F42295" s="1"/>
      <c r="G42295" s="1"/>
    </row>
    <row r="42296">
      <c r="B42296" s="36"/>
      <c r="C42296" s="36"/>
      <c r="E42296" s="1"/>
      <c r="F42296" s="1"/>
      <c r="G42296" s="1"/>
    </row>
    <row r="42297">
      <c r="B42297" s="36"/>
      <c r="C42297" s="36"/>
      <c r="E42297" s="1"/>
      <c r="F42297" s="1"/>
      <c r="G42297" s="1"/>
    </row>
    <row r="42298">
      <c r="B42298" s="36"/>
      <c r="C42298" s="36"/>
      <c r="E42298" s="1"/>
      <c r="F42298" s="1"/>
      <c r="G42298" s="1"/>
    </row>
    <row r="42299">
      <c r="B42299" s="36"/>
      <c r="C42299" s="36"/>
      <c r="E42299" s="1"/>
      <c r="F42299" s="1"/>
      <c r="G42299" s="1"/>
    </row>
    <row r="42300">
      <c r="B42300" s="36"/>
      <c r="C42300" s="36"/>
      <c r="E42300" s="1"/>
      <c r="F42300" s="1"/>
      <c r="G42300" s="1"/>
    </row>
    <row r="42301">
      <c r="B42301" s="36"/>
      <c r="C42301" s="36"/>
      <c r="E42301" s="1"/>
      <c r="F42301" s="1"/>
      <c r="G42301" s="1"/>
    </row>
    <row r="42302">
      <c r="B42302" s="36"/>
      <c r="C42302" s="36"/>
      <c r="E42302" s="1"/>
      <c r="F42302" s="1"/>
      <c r="G42302" s="1"/>
    </row>
    <row r="42303">
      <c r="B42303" s="36"/>
      <c r="C42303" s="36"/>
      <c r="E42303" s="1"/>
      <c r="F42303" s="1"/>
      <c r="G42303" s="1"/>
    </row>
    <row r="42304">
      <c r="B42304" s="36"/>
      <c r="C42304" s="36"/>
      <c r="E42304" s="1"/>
      <c r="F42304" s="1"/>
      <c r="G42304" s="1"/>
    </row>
    <row r="42305">
      <c r="B42305" s="36"/>
      <c r="C42305" s="36"/>
      <c r="E42305" s="1"/>
      <c r="F42305" s="1"/>
      <c r="G42305" s="1"/>
    </row>
    <row r="42306">
      <c r="B42306" s="36"/>
      <c r="C42306" s="36"/>
      <c r="E42306" s="1"/>
      <c r="F42306" s="1"/>
      <c r="G42306" s="1"/>
    </row>
    <row r="42307">
      <c r="B42307" s="36"/>
      <c r="C42307" s="36"/>
      <c r="E42307" s="1"/>
      <c r="F42307" s="1"/>
      <c r="G42307" s="1"/>
    </row>
    <row r="42308">
      <c r="B42308" s="36"/>
      <c r="C42308" s="36"/>
      <c r="E42308" s="1"/>
      <c r="F42308" s="1"/>
      <c r="G42308" s="1"/>
    </row>
    <row r="42309">
      <c r="B42309" s="36"/>
      <c r="C42309" s="36"/>
      <c r="E42309" s="1"/>
      <c r="F42309" s="1"/>
      <c r="G42309" s="1"/>
    </row>
    <row r="42310">
      <c r="B42310" s="36"/>
      <c r="C42310" s="36"/>
      <c r="E42310" s="1"/>
      <c r="F42310" s="1"/>
      <c r="G42310" s="1"/>
    </row>
    <row r="42311">
      <c r="B42311" s="36"/>
      <c r="C42311" s="36"/>
      <c r="E42311" s="1"/>
      <c r="F42311" s="1"/>
      <c r="G42311" s="1"/>
    </row>
    <row r="42312">
      <c r="B42312" s="36"/>
      <c r="C42312" s="36"/>
      <c r="E42312" s="1"/>
      <c r="F42312" s="1"/>
      <c r="G42312" s="1"/>
    </row>
    <row r="42313">
      <c r="B42313" s="36"/>
      <c r="C42313" s="36"/>
      <c r="E42313" s="1"/>
      <c r="F42313" s="1"/>
      <c r="G42313" s="1"/>
    </row>
    <row r="42314">
      <c r="B42314" s="36"/>
      <c r="C42314" s="36"/>
      <c r="E42314" s="1"/>
      <c r="F42314" s="1"/>
      <c r="G42314" s="1"/>
    </row>
    <row r="42315">
      <c r="B42315" s="36"/>
      <c r="C42315" s="36"/>
      <c r="E42315" s="1"/>
      <c r="F42315" s="1"/>
      <c r="G42315" s="1"/>
    </row>
    <row r="42316">
      <c r="B42316" s="36"/>
      <c r="C42316" s="36"/>
      <c r="E42316" s="1"/>
      <c r="F42316" s="1"/>
      <c r="G42316" s="1"/>
    </row>
    <row r="42317">
      <c r="B42317" s="36"/>
      <c r="C42317" s="36"/>
      <c r="E42317" s="1"/>
      <c r="F42317" s="1"/>
      <c r="G42317" s="1"/>
    </row>
    <row r="42318">
      <c r="B42318" s="36"/>
      <c r="C42318" s="36"/>
      <c r="E42318" s="1"/>
      <c r="F42318" s="1"/>
      <c r="G42318" s="1"/>
    </row>
    <row r="42319">
      <c r="B42319" s="36"/>
      <c r="C42319" s="36"/>
      <c r="E42319" s="1"/>
      <c r="F42319" s="1"/>
      <c r="G42319" s="1"/>
    </row>
    <row r="42320">
      <c r="B42320" s="36"/>
      <c r="C42320" s="36"/>
      <c r="E42320" s="1"/>
      <c r="F42320" s="1"/>
      <c r="G42320" s="1"/>
    </row>
    <row r="42321">
      <c r="B42321" s="36"/>
      <c r="C42321" s="36"/>
      <c r="E42321" s="1"/>
      <c r="F42321" s="1"/>
      <c r="G42321" s="1"/>
    </row>
    <row r="42322">
      <c r="B42322" s="36"/>
      <c r="C42322" s="36"/>
      <c r="E42322" s="1"/>
      <c r="F42322" s="1"/>
      <c r="G42322" s="1"/>
    </row>
    <row r="42323">
      <c r="B42323" s="36"/>
      <c r="C42323" s="36"/>
      <c r="E42323" s="1"/>
      <c r="F42323" s="1"/>
      <c r="G42323" s="1"/>
    </row>
    <row r="42324">
      <c r="B42324" s="36"/>
      <c r="C42324" s="36"/>
      <c r="E42324" s="1"/>
      <c r="F42324" s="1"/>
      <c r="G42324" s="1"/>
    </row>
    <row r="42325">
      <c r="B42325" s="36"/>
      <c r="C42325" s="36"/>
      <c r="E42325" s="1"/>
      <c r="F42325" s="1"/>
      <c r="G42325" s="1"/>
    </row>
    <row r="42326">
      <c r="B42326" s="36"/>
      <c r="C42326" s="36"/>
      <c r="E42326" s="1"/>
      <c r="F42326" s="1"/>
      <c r="G42326" s="1"/>
    </row>
    <row r="42327">
      <c r="B42327" s="36"/>
      <c r="C42327" s="36"/>
      <c r="E42327" s="1"/>
      <c r="F42327" s="1"/>
      <c r="G42327" s="1"/>
    </row>
    <row r="42328">
      <c r="B42328" s="36"/>
      <c r="C42328" s="36"/>
      <c r="E42328" s="1"/>
      <c r="F42328" s="1"/>
      <c r="G42328" s="1"/>
    </row>
    <row r="42329">
      <c r="B42329" s="36"/>
      <c r="C42329" s="36"/>
      <c r="E42329" s="1"/>
      <c r="F42329" s="1"/>
      <c r="G42329" s="1"/>
    </row>
    <row r="42330">
      <c r="B42330" s="36"/>
      <c r="C42330" s="36"/>
      <c r="E42330" s="1"/>
      <c r="F42330" s="1"/>
      <c r="G42330" s="1"/>
    </row>
    <row r="42331">
      <c r="B42331" s="36"/>
      <c r="C42331" s="36"/>
      <c r="E42331" s="1"/>
      <c r="F42331" s="1"/>
      <c r="G42331" s="1"/>
    </row>
    <row r="42332">
      <c r="B42332" s="36"/>
      <c r="C42332" s="36"/>
      <c r="E42332" s="1"/>
      <c r="F42332" s="1"/>
      <c r="G42332" s="1"/>
    </row>
    <row r="42333">
      <c r="B42333" s="36"/>
      <c r="C42333" s="36"/>
      <c r="E42333" s="1"/>
      <c r="F42333" s="1"/>
      <c r="G42333" s="1"/>
    </row>
    <row r="42334">
      <c r="B42334" s="36"/>
      <c r="C42334" s="36"/>
      <c r="E42334" s="1"/>
      <c r="F42334" s="1"/>
      <c r="G42334" s="1"/>
    </row>
    <row r="42335">
      <c r="B42335" s="36"/>
      <c r="C42335" s="36"/>
      <c r="E42335" s="1"/>
      <c r="F42335" s="1"/>
      <c r="G42335" s="1"/>
    </row>
    <row r="42336">
      <c r="B42336" s="36"/>
      <c r="C42336" s="36"/>
      <c r="E42336" s="1"/>
      <c r="F42336" s="1"/>
      <c r="G42336" s="1"/>
    </row>
    <row r="42337">
      <c r="B42337" s="36"/>
      <c r="C42337" s="36"/>
      <c r="E42337" s="1"/>
      <c r="F42337" s="1"/>
      <c r="G42337" s="1"/>
    </row>
    <row r="42338">
      <c r="B42338" s="36"/>
      <c r="C42338" s="36"/>
      <c r="E42338" s="1"/>
      <c r="F42338" s="1"/>
      <c r="G42338" s="1"/>
    </row>
    <row r="42339">
      <c r="B42339" s="36"/>
      <c r="C42339" s="36"/>
      <c r="E42339" s="1"/>
      <c r="F42339" s="1"/>
      <c r="G42339" s="1"/>
    </row>
    <row r="42340">
      <c r="B42340" s="36"/>
      <c r="C42340" s="36"/>
      <c r="E42340" s="1"/>
      <c r="F42340" s="1"/>
      <c r="G42340" s="1"/>
    </row>
    <row r="42341">
      <c r="B42341" s="36"/>
      <c r="C42341" s="36"/>
      <c r="E42341" s="1"/>
      <c r="F42341" s="1"/>
      <c r="G42341" s="1"/>
    </row>
    <row r="42342">
      <c r="B42342" s="36"/>
      <c r="C42342" s="36"/>
      <c r="E42342" s="1"/>
      <c r="F42342" s="1"/>
      <c r="G42342" s="1"/>
    </row>
    <row r="42343">
      <c r="B42343" s="36"/>
      <c r="C42343" s="36"/>
      <c r="E42343" s="1"/>
      <c r="F42343" s="1"/>
      <c r="G42343" s="1"/>
    </row>
    <row r="42344">
      <c r="B42344" s="36"/>
      <c r="C42344" s="36"/>
      <c r="E42344" s="1"/>
      <c r="F42344" s="1"/>
      <c r="G42344" s="1"/>
    </row>
    <row r="42345">
      <c r="B42345" s="36"/>
      <c r="C42345" s="36"/>
      <c r="E42345" s="1"/>
      <c r="F42345" s="1"/>
      <c r="G42345" s="1"/>
    </row>
    <row r="42346">
      <c r="B42346" s="36"/>
      <c r="C42346" s="36"/>
      <c r="E42346" s="1"/>
      <c r="F42346" s="1"/>
      <c r="G42346" s="1"/>
    </row>
    <row r="42347">
      <c r="B42347" s="36"/>
      <c r="C42347" s="36"/>
      <c r="E42347" s="1"/>
      <c r="F42347" s="1"/>
      <c r="G42347" s="1"/>
    </row>
    <row r="42348">
      <c r="B42348" s="36"/>
      <c r="C42348" s="36"/>
      <c r="E42348" s="1"/>
      <c r="F42348" s="1"/>
      <c r="G42348" s="1"/>
    </row>
    <row r="42349">
      <c r="B42349" s="36"/>
      <c r="C42349" s="36"/>
      <c r="E42349" s="1"/>
      <c r="F42349" s="1"/>
      <c r="G42349" s="1"/>
    </row>
    <row r="42350">
      <c r="B42350" s="36"/>
      <c r="C42350" s="36"/>
      <c r="E42350" s="1"/>
      <c r="F42350" s="1"/>
      <c r="G42350" s="1"/>
    </row>
    <row r="42351">
      <c r="B42351" s="36"/>
      <c r="C42351" s="36"/>
      <c r="E42351" s="1"/>
      <c r="F42351" s="1"/>
      <c r="G42351" s="1"/>
    </row>
    <row r="42352">
      <c r="B42352" s="36"/>
      <c r="C42352" s="36"/>
      <c r="E42352" s="1"/>
      <c r="F42352" s="1"/>
      <c r="G42352" s="1"/>
    </row>
    <row r="42353">
      <c r="B42353" s="36"/>
      <c r="C42353" s="36"/>
      <c r="E42353" s="1"/>
      <c r="F42353" s="1"/>
      <c r="G42353" s="1"/>
    </row>
    <row r="42354">
      <c r="B42354" s="36"/>
      <c r="C42354" s="36"/>
      <c r="E42354" s="1"/>
      <c r="F42354" s="1"/>
      <c r="G42354" s="1"/>
    </row>
    <row r="42355">
      <c r="B42355" s="36"/>
      <c r="C42355" s="36"/>
      <c r="E42355" s="1"/>
      <c r="F42355" s="1"/>
      <c r="G42355" s="1"/>
    </row>
    <row r="42356">
      <c r="B42356" s="36"/>
      <c r="C42356" s="36"/>
      <c r="E42356" s="1"/>
      <c r="F42356" s="1"/>
      <c r="G42356" s="1"/>
    </row>
    <row r="42357">
      <c r="B42357" s="36"/>
      <c r="C42357" s="36"/>
      <c r="E42357" s="1"/>
      <c r="F42357" s="1"/>
      <c r="G42357" s="1"/>
    </row>
    <row r="42358">
      <c r="B42358" s="36"/>
      <c r="C42358" s="36"/>
      <c r="E42358" s="1"/>
      <c r="F42358" s="1"/>
      <c r="G42358" s="1"/>
    </row>
    <row r="42359">
      <c r="B42359" s="36"/>
      <c r="C42359" s="36"/>
      <c r="E42359" s="1"/>
      <c r="F42359" s="1"/>
      <c r="G42359" s="1"/>
    </row>
    <row r="42360">
      <c r="B42360" s="36"/>
      <c r="C42360" s="36"/>
      <c r="E42360" s="1"/>
      <c r="F42360" s="1"/>
      <c r="G42360" s="1"/>
    </row>
    <row r="42361">
      <c r="B42361" s="36"/>
      <c r="C42361" s="36"/>
      <c r="E42361" s="1"/>
      <c r="F42361" s="1"/>
      <c r="G42361" s="1"/>
    </row>
    <row r="42362">
      <c r="B42362" s="36"/>
      <c r="C42362" s="36"/>
      <c r="E42362" s="1"/>
      <c r="F42362" s="1"/>
      <c r="G42362" s="1"/>
    </row>
    <row r="42363">
      <c r="B42363" s="36"/>
      <c r="C42363" s="36"/>
      <c r="E42363" s="1"/>
      <c r="F42363" s="1"/>
      <c r="G42363" s="1"/>
    </row>
    <row r="42364">
      <c r="B42364" s="36"/>
      <c r="C42364" s="36"/>
      <c r="E42364" s="1"/>
      <c r="F42364" s="1"/>
      <c r="G42364" s="1"/>
    </row>
    <row r="42365">
      <c r="B42365" s="36"/>
      <c r="C42365" s="36"/>
      <c r="E42365" s="1"/>
      <c r="F42365" s="1"/>
      <c r="G42365" s="1"/>
    </row>
    <row r="42366">
      <c r="B42366" s="36"/>
      <c r="C42366" s="36"/>
      <c r="E42366" s="1"/>
      <c r="F42366" s="1"/>
      <c r="G42366" s="1"/>
    </row>
    <row r="42367">
      <c r="B42367" s="36"/>
      <c r="C42367" s="36"/>
      <c r="E42367" s="1"/>
      <c r="F42367" s="1"/>
      <c r="G42367" s="1"/>
    </row>
    <row r="42368">
      <c r="B42368" s="36"/>
      <c r="C42368" s="36"/>
      <c r="E42368" s="1"/>
      <c r="F42368" s="1"/>
      <c r="G42368" s="1"/>
    </row>
    <row r="42369">
      <c r="B42369" s="36"/>
      <c r="C42369" s="36"/>
      <c r="E42369" s="1"/>
      <c r="F42369" s="1"/>
      <c r="G42369" s="1"/>
    </row>
    <row r="42370">
      <c r="B42370" s="36"/>
      <c r="C42370" s="36"/>
      <c r="E42370" s="1"/>
      <c r="F42370" s="1"/>
      <c r="G42370" s="1"/>
    </row>
    <row r="42371">
      <c r="B42371" s="36"/>
      <c r="C42371" s="36"/>
      <c r="E42371" s="1"/>
      <c r="F42371" s="1"/>
      <c r="G42371" s="1"/>
    </row>
    <row r="42372">
      <c r="B42372" s="36"/>
      <c r="C42372" s="36"/>
      <c r="E42372" s="1"/>
      <c r="F42372" s="1"/>
      <c r="G42372" s="1"/>
    </row>
    <row r="42373">
      <c r="B42373" s="36"/>
      <c r="C42373" s="36"/>
      <c r="E42373" s="1"/>
      <c r="F42373" s="1"/>
      <c r="G42373" s="1"/>
    </row>
    <row r="42374">
      <c r="B42374" s="36"/>
      <c r="C42374" s="36"/>
      <c r="E42374" s="1"/>
      <c r="F42374" s="1"/>
      <c r="G42374" s="1"/>
    </row>
    <row r="42375">
      <c r="B42375" s="36"/>
      <c r="C42375" s="36"/>
      <c r="E42375" s="1"/>
      <c r="F42375" s="1"/>
      <c r="G42375" s="1"/>
    </row>
    <row r="42376">
      <c r="B42376" s="36"/>
      <c r="C42376" s="36"/>
      <c r="E42376" s="1"/>
      <c r="F42376" s="1"/>
      <c r="G42376" s="1"/>
    </row>
    <row r="42377">
      <c r="B42377" s="36"/>
      <c r="C42377" s="36"/>
      <c r="E42377" s="1"/>
      <c r="F42377" s="1"/>
      <c r="G42377" s="1"/>
    </row>
    <row r="42378">
      <c r="B42378" s="36"/>
      <c r="C42378" s="36"/>
      <c r="E42378" s="1"/>
      <c r="F42378" s="1"/>
      <c r="G42378" s="1"/>
    </row>
    <row r="42379">
      <c r="B42379" s="36"/>
      <c r="C42379" s="36"/>
      <c r="E42379" s="1"/>
      <c r="F42379" s="1"/>
      <c r="G42379" s="1"/>
    </row>
    <row r="42380">
      <c r="B42380" s="36"/>
      <c r="C42380" s="36"/>
      <c r="E42380" s="1"/>
      <c r="F42380" s="1"/>
      <c r="G42380" s="1"/>
    </row>
    <row r="42381">
      <c r="B42381" s="36"/>
      <c r="C42381" s="36"/>
      <c r="E42381" s="1"/>
      <c r="F42381" s="1"/>
      <c r="G42381" s="1"/>
    </row>
    <row r="42382">
      <c r="B42382" s="36"/>
      <c r="C42382" s="36"/>
      <c r="E42382" s="1"/>
      <c r="F42382" s="1"/>
      <c r="G42382" s="1"/>
    </row>
    <row r="42383">
      <c r="B42383" s="36"/>
      <c r="C42383" s="36"/>
      <c r="E42383" s="1"/>
      <c r="F42383" s="1"/>
      <c r="G42383" s="1"/>
    </row>
    <row r="42384">
      <c r="B42384" s="36"/>
      <c r="C42384" s="36"/>
      <c r="E42384" s="1"/>
      <c r="F42384" s="1"/>
      <c r="G42384" s="1"/>
    </row>
    <row r="42385">
      <c r="B42385" s="36"/>
      <c r="C42385" s="36"/>
      <c r="E42385" s="1"/>
      <c r="F42385" s="1"/>
      <c r="G42385" s="1"/>
    </row>
    <row r="42386">
      <c r="B42386" s="36"/>
      <c r="C42386" s="36"/>
      <c r="E42386" s="1"/>
      <c r="F42386" s="1"/>
      <c r="G42386" s="1"/>
    </row>
    <row r="42387">
      <c r="B42387" s="36"/>
      <c r="C42387" s="36"/>
      <c r="E42387" s="1"/>
      <c r="F42387" s="1"/>
      <c r="G42387" s="1"/>
    </row>
    <row r="42388">
      <c r="B42388" s="36"/>
      <c r="C42388" s="36"/>
      <c r="E42388" s="1"/>
      <c r="F42388" s="1"/>
      <c r="G42388" s="1"/>
    </row>
    <row r="42389">
      <c r="B42389" s="36"/>
      <c r="C42389" s="36"/>
      <c r="E42389" s="1"/>
      <c r="F42389" s="1"/>
      <c r="G42389" s="1"/>
    </row>
    <row r="42390">
      <c r="B42390" s="36"/>
      <c r="C42390" s="36"/>
      <c r="E42390" s="1"/>
      <c r="F42390" s="1"/>
      <c r="G42390" s="1"/>
    </row>
    <row r="42391">
      <c r="B42391" s="36"/>
      <c r="C42391" s="36"/>
      <c r="E42391" s="1"/>
      <c r="F42391" s="1"/>
      <c r="G42391" s="1"/>
    </row>
    <row r="42392">
      <c r="B42392" s="36"/>
      <c r="C42392" s="36"/>
      <c r="E42392" s="1"/>
      <c r="F42392" s="1"/>
      <c r="G42392" s="1"/>
    </row>
    <row r="42393">
      <c r="B42393" s="36"/>
      <c r="C42393" s="36"/>
      <c r="E42393" s="1"/>
      <c r="F42393" s="1"/>
      <c r="G42393" s="1"/>
    </row>
    <row r="42394">
      <c r="B42394" s="36"/>
      <c r="C42394" s="36"/>
      <c r="E42394" s="1"/>
      <c r="F42394" s="1"/>
      <c r="G42394" s="1"/>
    </row>
    <row r="42395">
      <c r="B42395" s="36"/>
      <c r="C42395" s="36"/>
      <c r="E42395" s="1"/>
      <c r="F42395" s="1"/>
      <c r="G42395" s="1"/>
    </row>
    <row r="42396">
      <c r="B42396" s="36"/>
      <c r="C42396" s="36"/>
      <c r="E42396" s="1"/>
      <c r="F42396" s="1"/>
      <c r="G42396" s="1"/>
    </row>
    <row r="42397">
      <c r="B42397" s="36"/>
      <c r="C42397" s="36"/>
      <c r="E42397" s="1"/>
      <c r="F42397" s="1"/>
      <c r="G42397" s="1"/>
    </row>
    <row r="42398">
      <c r="B42398" s="36"/>
      <c r="C42398" s="36"/>
      <c r="E42398" s="1"/>
      <c r="F42398" s="1"/>
      <c r="G42398" s="1"/>
    </row>
    <row r="42399">
      <c r="B42399" s="36"/>
      <c r="C42399" s="36"/>
      <c r="E42399" s="1"/>
      <c r="F42399" s="1"/>
      <c r="G42399" s="1"/>
    </row>
    <row r="42400">
      <c r="B42400" s="36"/>
      <c r="C42400" s="36"/>
      <c r="E42400" s="1"/>
      <c r="F42400" s="1"/>
      <c r="G42400" s="1"/>
    </row>
    <row r="42401">
      <c r="B42401" s="36"/>
      <c r="C42401" s="36"/>
      <c r="E42401" s="1"/>
      <c r="F42401" s="1"/>
      <c r="G42401" s="1"/>
    </row>
    <row r="42402">
      <c r="B42402" s="36"/>
      <c r="C42402" s="36"/>
      <c r="E42402" s="1"/>
      <c r="F42402" s="1"/>
      <c r="G42402" s="1"/>
    </row>
    <row r="42403">
      <c r="B42403" s="36"/>
      <c r="C42403" s="36"/>
      <c r="E42403" s="1"/>
      <c r="F42403" s="1"/>
      <c r="G42403" s="1"/>
    </row>
    <row r="42404">
      <c r="B42404" s="36"/>
      <c r="C42404" s="36"/>
      <c r="E42404" s="1"/>
      <c r="F42404" s="1"/>
      <c r="G42404" s="1"/>
    </row>
    <row r="42405">
      <c r="B42405" s="36"/>
      <c r="C42405" s="36"/>
      <c r="E42405" s="1"/>
      <c r="F42405" s="1"/>
      <c r="G42405" s="1"/>
    </row>
    <row r="42406">
      <c r="B42406" s="36"/>
      <c r="C42406" s="36"/>
      <c r="E42406" s="1"/>
      <c r="F42406" s="1"/>
      <c r="G42406" s="1"/>
    </row>
    <row r="42407">
      <c r="B42407" s="36"/>
      <c r="C42407" s="36"/>
      <c r="E42407" s="1"/>
      <c r="F42407" s="1"/>
      <c r="G42407" s="1"/>
    </row>
    <row r="42408">
      <c r="B42408" s="36"/>
      <c r="C42408" s="36"/>
      <c r="E42408" s="1"/>
      <c r="F42408" s="1"/>
      <c r="G42408" s="1"/>
    </row>
    <row r="42409">
      <c r="B42409" s="36"/>
      <c r="C42409" s="36"/>
      <c r="E42409" s="1"/>
      <c r="F42409" s="1"/>
      <c r="G42409" s="1"/>
    </row>
    <row r="42410">
      <c r="B42410" s="36"/>
      <c r="C42410" s="36"/>
      <c r="E42410" s="1"/>
      <c r="F42410" s="1"/>
      <c r="G42410" s="1"/>
    </row>
    <row r="42411">
      <c r="B42411" s="36"/>
      <c r="C42411" s="36"/>
      <c r="E42411" s="1"/>
      <c r="F42411" s="1"/>
      <c r="G42411" s="1"/>
    </row>
    <row r="42412">
      <c r="B42412" s="36"/>
      <c r="C42412" s="36"/>
      <c r="E42412" s="1"/>
      <c r="F42412" s="1"/>
      <c r="G42412" s="1"/>
    </row>
    <row r="42413">
      <c r="B42413" s="36"/>
      <c r="C42413" s="36"/>
      <c r="E42413" s="1"/>
      <c r="F42413" s="1"/>
      <c r="G42413" s="1"/>
    </row>
    <row r="42414">
      <c r="B42414" s="36"/>
      <c r="C42414" s="36"/>
      <c r="E42414" s="1"/>
      <c r="F42414" s="1"/>
      <c r="G42414" s="1"/>
    </row>
    <row r="42415">
      <c r="B42415" s="36"/>
      <c r="C42415" s="36"/>
      <c r="E42415" s="1"/>
      <c r="F42415" s="1"/>
      <c r="G42415" s="1"/>
    </row>
    <row r="42416">
      <c r="B42416" s="36"/>
      <c r="C42416" s="36"/>
      <c r="E42416" s="1"/>
      <c r="F42416" s="1"/>
      <c r="G42416" s="1"/>
    </row>
    <row r="42417">
      <c r="B42417" s="36"/>
      <c r="C42417" s="36"/>
      <c r="E42417" s="1"/>
      <c r="F42417" s="1"/>
      <c r="G42417" s="1"/>
    </row>
    <row r="42418">
      <c r="B42418" s="36"/>
      <c r="C42418" s="36"/>
      <c r="E42418" s="1"/>
      <c r="F42418" s="1"/>
      <c r="G42418" s="1"/>
    </row>
    <row r="42419">
      <c r="B42419" s="36"/>
      <c r="C42419" s="36"/>
      <c r="E42419" s="1"/>
      <c r="F42419" s="1"/>
      <c r="G42419" s="1"/>
    </row>
    <row r="42420">
      <c r="B42420" s="36"/>
      <c r="C42420" s="36"/>
      <c r="E42420" s="1"/>
      <c r="F42420" s="1"/>
      <c r="G42420" s="1"/>
    </row>
    <row r="42421">
      <c r="B42421" s="36"/>
      <c r="C42421" s="36"/>
      <c r="E42421" s="1"/>
      <c r="F42421" s="1"/>
      <c r="G42421" s="1"/>
    </row>
    <row r="42422">
      <c r="B42422" s="36"/>
      <c r="C42422" s="36"/>
      <c r="E42422" s="1"/>
      <c r="F42422" s="1"/>
      <c r="G42422" s="1"/>
    </row>
    <row r="42423">
      <c r="B42423" s="36"/>
      <c r="C42423" s="36"/>
      <c r="E42423" s="1"/>
      <c r="F42423" s="1"/>
      <c r="G42423" s="1"/>
    </row>
    <row r="42424">
      <c r="B42424" s="36"/>
      <c r="C42424" s="36"/>
      <c r="E42424" s="1"/>
      <c r="F42424" s="1"/>
      <c r="G42424" s="1"/>
    </row>
    <row r="42425">
      <c r="B42425" s="36"/>
      <c r="C42425" s="36"/>
      <c r="E42425" s="1"/>
      <c r="F42425" s="1"/>
      <c r="G42425" s="1"/>
    </row>
    <row r="42426">
      <c r="B42426" s="36"/>
      <c r="C42426" s="36"/>
      <c r="E42426" s="1"/>
      <c r="F42426" s="1"/>
      <c r="G42426" s="1"/>
    </row>
    <row r="42427">
      <c r="B42427" s="36"/>
      <c r="C42427" s="36"/>
      <c r="E42427" s="1"/>
      <c r="F42427" s="1"/>
      <c r="G42427" s="1"/>
    </row>
    <row r="42428">
      <c r="B42428" s="36"/>
      <c r="C42428" s="36"/>
      <c r="E42428" s="1"/>
      <c r="F42428" s="1"/>
      <c r="G42428" s="1"/>
    </row>
    <row r="42429">
      <c r="B42429" s="36"/>
      <c r="C42429" s="36"/>
      <c r="E42429" s="1"/>
      <c r="F42429" s="1"/>
      <c r="G42429" s="1"/>
    </row>
    <row r="42430">
      <c r="B42430" s="36"/>
      <c r="C42430" s="36"/>
      <c r="E42430" s="1"/>
      <c r="F42430" s="1"/>
      <c r="G42430" s="1"/>
    </row>
    <row r="42431">
      <c r="B42431" s="36"/>
      <c r="C42431" s="36"/>
      <c r="E42431" s="1"/>
      <c r="F42431" s="1"/>
      <c r="G42431" s="1"/>
    </row>
    <row r="42432">
      <c r="B42432" s="36"/>
      <c r="C42432" s="36"/>
      <c r="E42432" s="1"/>
      <c r="F42432" s="1"/>
      <c r="G42432" s="1"/>
    </row>
    <row r="42433">
      <c r="B42433" s="36"/>
      <c r="C42433" s="36"/>
      <c r="E42433" s="1"/>
      <c r="F42433" s="1"/>
      <c r="G42433" s="1"/>
    </row>
    <row r="42434">
      <c r="B42434" s="36"/>
      <c r="C42434" s="36"/>
      <c r="E42434" s="1"/>
      <c r="F42434" s="1"/>
      <c r="G42434" s="1"/>
    </row>
    <row r="42435">
      <c r="B42435" s="36"/>
      <c r="C42435" s="36"/>
      <c r="E42435" s="1"/>
      <c r="F42435" s="1"/>
      <c r="G42435" s="1"/>
    </row>
    <row r="42436">
      <c r="B42436" s="36"/>
      <c r="C42436" s="36"/>
      <c r="E42436" s="1"/>
      <c r="F42436" s="1"/>
      <c r="G42436" s="1"/>
    </row>
    <row r="42437">
      <c r="B42437" s="36"/>
      <c r="C42437" s="36"/>
      <c r="E42437" s="1"/>
      <c r="F42437" s="1"/>
      <c r="G42437" s="1"/>
    </row>
    <row r="42438">
      <c r="B42438" s="36"/>
      <c r="C42438" s="36"/>
      <c r="E42438" s="1"/>
      <c r="F42438" s="1"/>
      <c r="G42438" s="1"/>
    </row>
    <row r="42439">
      <c r="B42439" s="36"/>
      <c r="C42439" s="36"/>
      <c r="E42439" s="1"/>
      <c r="F42439" s="1"/>
      <c r="G42439" s="1"/>
    </row>
    <row r="42440">
      <c r="B42440" s="36"/>
      <c r="C42440" s="36"/>
      <c r="E42440" s="1"/>
      <c r="F42440" s="1"/>
      <c r="G42440" s="1"/>
    </row>
    <row r="42441">
      <c r="B42441" s="36"/>
      <c r="C42441" s="36"/>
      <c r="E42441" s="1"/>
      <c r="F42441" s="1"/>
      <c r="G42441" s="1"/>
    </row>
    <row r="42442">
      <c r="B42442" s="36"/>
      <c r="C42442" s="36"/>
      <c r="E42442" s="1"/>
      <c r="F42442" s="1"/>
      <c r="G42442" s="1"/>
    </row>
    <row r="42443">
      <c r="B42443" s="36"/>
      <c r="C42443" s="36"/>
      <c r="E42443" s="1"/>
      <c r="F42443" s="1"/>
      <c r="G42443" s="1"/>
    </row>
    <row r="42444">
      <c r="B42444" s="36"/>
      <c r="C42444" s="36"/>
      <c r="E42444" s="1"/>
      <c r="F42444" s="1"/>
      <c r="G42444" s="1"/>
    </row>
    <row r="42445">
      <c r="B42445" s="36"/>
      <c r="C42445" s="36"/>
      <c r="E42445" s="1"/>
      <c r="F42445" s="1"/>
      <c r="G42445" s="1"/>
    </row>
    <row r="42446">
      <c r="B42446" s="36"/>
      <c r="C42446" s="36"/>
      <c r="E42446" s="1"/>
      <c r="F42446" s="1"/>
      <c r="G42446" s="1"/>
    </row>
    <row r="42447">
      <c r="B42447" s="36"/>
      <c r="C42447" s="36"/>
      <c r="E42447" s="1"/>
      <c r="F42447" s="1"/>
      <c r="G42447" s="1"/>
    </row>
    <row r="42448">
      <c r="B42448" s="36"/>
      <c r="C42448" s="36"/>
      <c r="E42448" s="1"/>
      <c r="F42448" s="1"/>
      <c r="G42448" s="1"/>
    </row>
    <row r="42449">
      <c r="B42449" s="36"/>
      <c r="C42449" s="36"/>
      <c r="E42449" s="1"/>
      <c r="F42449" s="1"/>
      <c r="G42449" s="1"/>
    </row>
    <row r="42450">
      <c r="B42450" s="36"/>
      <c r="C42450" s="36"/>
      <c r="E42450" s="1"/>
      <c r="F42450" s="1"/>
      <c r="G42450" s="1"/>
    </row>
    <row r="42451">
      <c r="B42451" s="36"/>
      <c r="C42451" s="36"/>
      <c r="E42451" s="1"/>
      <c r="F42451" s="1"/>
      <c r="G42451" s="1"/>
    </row>
    <row r="42452">
      <c r="B42452" s="36"/>
      <c r="C42452" s="36"/>
      <c r="E42452" s="1"/>
      <c r="F42452" s="1"/>
      <c r="G42452" s="1"/>
    </row>
    <row r="42453">
      <c r="B42453" s="36"/>
      <c r="C42453" s="36"/>
      <c r="E42453" s="1"/>
      <c r="F42453" s="1"/>
      <c r="G42453" s="1"/>
    </row>
    <row r="42454">
      <c r="B42454" s="36"/>
      <c r="C42454" s="36"/>
      <c r="E42454" s="1"/>
      <c r="F42454" s="1"/>
      <c r="G42454" s="1"/>
    </row>
    <row r="42455">
      <c r="B42455" s="36"/>
      <c r="C42455" s="36"/>
      <c r="E42455" s="1"/>
      <c r="F42455" s="1"/>
      <c r="G42455" s="1"/>
    </row>
    <row r="42456">
      <c r="B42456" s="36"/>
      <c r="C42456" s="36"/>
      <c r="E42456" s="1"/>
      <c r="F42456" s="1"/>
      <c r="G42456" s="1"/>
    </row>
    <row r="42457">
      <c r="B42457" s="36"/>
      <c r="C42457" s="36"/>
      <c r="E42457" s="1"/>
      <c r="F42457" s="1"/>
      <c r="G42457" s="1"/>
    </row>
    <row r="42458">
      <c r="B42458" s="36"/>
      <c r="C42458" s="36"/>
      <c r="E42458" s="1"/>
      <c r="F42458" s="1"/>
      <c r="G42458" s="1"/>
    </row>
    <row r="42459">
      <c r="B42459" s="36"/>
      <c r="C42459" s="36"/>
      <c r="E42459" s="1"/>
      <c r="F42459" s="1"/>
      <c r="G42459" s="1"/>
    </row>
    <row r="42460">
      <c r="B42460" s="36"/>
      <c r="C42460" s="36"/>
      <c r="E42460" s="1"/>
      <c r="F42460" s="1"/>
      <c r="G42460" s="1"/>
    </row>
    <row r="42461">
      <c r="B42461" s="36"/>
      <c r="C42461" s="36"/>
      <c r="E42461" s="1"/>
      <c r="F42461" s="1"/>
      <c r="G42461" s="1"/>
    </row>
    <row r="42462">
      <c r="B42462" s="36"/>
      <c r="C42462" s="36"/>
      <c r="E42462" s="1"/>
      <c r="F42462" s="1"/>
      <c r="G42462" s="1"/>
    </row>
    <row r="42463">
      <c r="B42463" s="36"/>
      <c r="C42463" s="36"/>
      <c r="E42463" s="1"/>
      <c r="F42463" s="1"/>
      <c r="G42463" s="1"/>
    </row>
    <row r="42464">
      <c r="B42464" s="36"/>
      <c r="C42464" s="36"/>
      <c r="E42464" s="1"/>
      <c r="F42464" s="1"/>
      <c r="G42464" s="1"/>
    </row>
    <row r="42465">
      <c r="B42465" s="36"/>
      <c r="C42465" s="36"/>
      <c r="E42465" s="1"/>
      <c r="F42465" s="1"/>
      <c r="G42465" s="1"/>
    </row>
    <row r="42466">
      <c r="B42466" s="36"/>
      <c r="C42466" s="36"/>
      <c r="E42466" s="1"/>
      <c r="F42466" s="1"/>
      <c r="G42466" s="1"/>
    </row>
    <row r="42467">
      <c r="B42467" s="36"/>
      <c r="C42467" s="36"/>
      <c r="E42467" s="1"/>
      <c r="F42467" s="1"/>
      <c r="G42467" s="1"/>
    </row>
    <row r="42468">
      <c r="B42468" s="36"/>
      <c r="C42468" s="36"/>
      <c r="E42468" s="1"/>
      <c r="F42468" s="1"/>
      <c r="G42468" s="1"/>
    </row>
    <row r="42469">
      <c r="B42469" s="36"/>
      <c r="C42469" s="36"/>
      <c r="E42469" s="1"/>
      <c r="F42469" s="1"/>
      <c r="G42469" s="1"/>
    </row>
    <row r="42470">
      <c r="B42470" s="36"/>
      <c r="C42470" s="36"/>
      <c r="E42470" s="1"/>
      <c r="F42470" s="1"/>
      <c r="G42470" s="1"/>
    </row>
    <row r="42471">
      <c r="B42471" s="36"/>
      <c r="C42471" s="36"/>
      <c r="E42471" s="1"/>
      <c r="F42471" s="1"/>
      <c r="G42471" s="1"/>
    </row>
    <row r="42472">
      <c r="B42472" s="36"/>
      <c r="C42472" s="36"/>
      <c r="E42472" s="1"/>
      <c r="F42472" s="1"/>
      <c r="G42472" s="1"/>
    </row>
    <row r="42473">
      <c r="B42473" s="36"/>
      <c r="C42473" s="36"/>
      <c r="E42473" s="1"/>
      <c r="F42473" s="1"/>
      <c r="G42473" s="1"/>
    </row>
    <row r="42474">
      <c r="B42474" s="36"/>
      <c r="C42474" s="36"/>
      <c r="E42474" s="1"/>
      <c r="F42474" s="1"/>
      <c r="G42474" s="1"/>
    </row>
    <row r="42475">
      <c r="B42475" s="36"/>
      <c r="C42475" s="36"/>
      <c r="E42475" s="1"/>
      <c r="F42475" s="1"/>
      <c r="G42475" s="1"/>
    </row>
    <row r="42476">
      <c r="B42476" s="36"/>
      <c r="C42476" s="36"/>
      <c r="E42476" s="1"/>
      <c r="F42476" s="1"/>
      <c r="G42476" s="1"/>
    </row>
    <row r="42477">
      <c r="B42477" s="36"/>
      <c r="C42477" s="36"/>
      <c r="E42477" s="1"/>
      <c r="F42477" s="1"/>
      <c r="G42477" s="1"/>
    </row>
    <row r="42478">
      <c r="B42478" s="36"/>
      <c r="C42478" s="36"/>
      <c r="E42478" s="1"/>
      <c r="F42478" s="1"/>
      <c r="G42478" s="1"/>
    </row>
    <row r="42479">
      <c r="B42479" s="36"/>
      <c r="C42479" s="36"/>
      <c r="E42479" s="1"/>
      <c r="F42479" s="1"/>
      <c r="G42479" s="1"/>
    </row>
    <row r="42480">
      <c r="B42480" s="36"/>
      <c r="C42480" s="36"/>
      <c r="E42480" s="1"/>
      <c r="F42480" s="1"/>
      <c r="G42480" s="1"/>
    </row>
    <row r="42481">
      <c r="B42481" s="36"/>
      <c r="C42481" s="36"/>
      <c r="E42481" s="1"/>
      <c r="F42481" s="1"/>
      <c r="G42481" s="1"/>
    </row>
    <row r="42482">
      <c r="B42482" s="36"/>
      <c r="C42482" s="36"/>
      <c r="E42482" s="1"/>
      <c r="F42482" s="1"/>
      <c r="G42482" s="1"/>
    </row>
    <row r="42483">
      <c r="B42483" s="36"/>
      <c r="C42483" s="36"/>
      <c r="E42483" s="1"/>
      <c r="F42483" s="1"/>
      <c r="G42483" s="1"/>
    </row>
    <row r="42484">
      <c r="B42484" s="36"/>
      <c r="C42484" s="36"/>
      <c r="E42484" s="1"/>
      <c r="F42484" s="1"/>
      <c r="G42484" s="1"/>
    </row>
    <row r="42485">
      <c r="B42485" s="36"/>
      <c r="C42485" s="36"/>
      <c r="E42485" s="1"/>
      <c r="F42485" s="1"/>
      <c r="G42485" s="1"/>
    </row>
    <row r="42486">
      <c r="B42486" s="36"/>
      <c r="C42486" s="36"/>
      <c r="E42486" s="1"/>
      <c r="F42486" s="1"/>
      <c r="G42486" s="1"/>
    </row>
    <row r="42487">
      <c r="B42487" s="36"/>
      <c r="C42487" s="36"/>
      <c r="E42487" s="1"/>
      <c r="F42487" s="1"/>
      <c r="G42487" s="1"/>
    </row>
    <row r="42488">
      <c r="B42488" s="36"/>
      <c r="C42488" s="36"/>
      <c r="E42488" s="1"/>
      <c r="F42488" s="1"/>
      <c r="G42488" s="1"/>
    </row>
    <row r="42489">
      <c r="B42489" s="36"/>
      <c r="C42489" s="36"/>
      <c r="E42489" s="1"/>
      <c r="F42489" s="1"/>
      <c r="G42489" s="1"/>
    </row>
    <row r="42490">
      <c r="B42490" s="36"/>
      <c r="C42490" s="36"/>
      <c r="E42490" s="1"/>
      <c r="F42490" s="1"/>
      <c r="G42490" s="1"/>
    </row>
    <row r="42491">
      <c r="B42491" s="36"/>
      <c r="C42491" s="36"/>
      <c r="E42491" s="1"/>
      <c r="F42491" s="1"/>
      <c r="G42491" s="1"/>
    </row>
    <row r="42492">
      <c r="B42492" s="36"/>
      <c r="C42492" s="36"/>
      <c r="E42492" s="1"/>
      <c r="F42492" s="1"/>
      <c r="G42492" s="1"/>
    </row>
    <row r="42493">
      <c r="B42493" s="36"/>
      <c r="C42493" s="36"/>
      <c r="E42493" s="1"/>
      <c r="F42493" s="1"/>
      <c r="G42493" s="1"/>
    </row>
    <row r="42494">
      <c r="B42494" s="36"/>
      <c r="C42494" s="36"/>
      <c r="E42494" s="1"/>
      <c r="F42494" s="1"/>
      <c r="G42494" s="1"/>
    </row>
    <row r="42495">
      <c r="B42495" s="36"/>
      <c r="C42495" s="36"/>
      <c r="E42495" s="1"/>
      <c r="F42495" s="1"/>
      <c r="G42495" s="1"/>
    </row>
    <row r="42496">
      <c r="B42496" s="36"/>
      <c r="C42496" s="36"/>
      <c r="E42496" s="1"/>
      <c r="F42496" s="1"/>
      <c r="G42496" s="1"/>
    </row>
    <row r="42497">
      <c r="B42497" s="36"/>
      <c r="C42497" s="36"/>
      <c r="E42497" s="1"/>
      <c r="F42497" s="1"/>
      <c r="G42497" s="1"/>
    </row>
    <row r="42498">
      <c r="B42498" s="36"/>
      <c r="C42498" s="36"/>
      <c r="E42498" s="1"/>
      <c r="F42498" s="1"/>
      <c r="G42498" s="1"/>
    </row>
    <row r="42499">
      <c r="B42499" s="36"/>
      <c r="C42499" s="36"/>
      <c r="E42499" s="1"/>
      <c r="F42499" s="1"/>
      <c r="G42499" s="1"/>
    </row>
    <row r="42500">
      <c r="B42500" s="36"/>
      <c r="C42500" s="36"/>
      <c r="E42500" s="1"/>
      <c r="F42500" s="1"/>
      <c r="G42500" s="1"/>
    </row>
    <row r="42501">
      <c r="B42501" s="36"/>
      <c r="C42501" s="36"/>
      <c r="E42501" s="1"/>
      <c r="F42501" s="1"/>
      <c r="G42501" s="1"/>
    </row>
    <row r="42502">
      <c r="B42502" s="36"/>
      <c r="C42502" s="36"/>
      <c r="E42502" s="1"/>
      <c r="F42502" s="1"/>
      <c r="G42502" s="1"/>
    </row>
    <row r="42503">
      <c r="B42503" s="36"/>
      <c r="C42503" s="36"/>
      <c r="E42503" s="1"/>
      <c r="F42503" s="1"/>
      <c r="G42503" s="1"/>
    </row>
    <row r="42504">
      <c r="B42504" s="36"/>
      <c r="C42504" s="36"/>
      <c r="E42504" s="1"/>
      <c r="F42504" s="1"/>
      <c r="G42504" s="1"/>
    </row>
    <row r="42505">
      <c r="B42505" s="36"/>
      <c r="C42505" s="36"/>
      <c r="E42505" s="1"/>
      <c r="F42505" s="1"/>
      <c r="G42505" s="1"/>
    </row>
    <row r="42506">
      <c r="B42506" s="36"/>
      <c r="C42506" s="36"/>
      <c r="E42506" s="1"/>
      <c r="F42506" s="1"/>
      <c r="G42506" s="1"/>
    </row>
    <row r="42507">
      <c r="B42507" s="36"/>
      <c r="C42507" s="36"/>
      <c r="E42507" s="1"/>
      <c r="F42507" s="1"/>
      <c r="G42507" s="1"/>
    </row>
    <row r="42508">
      <c r="B42508" s="36"/>
      <c r="C42508" s="36"/>
      <c r="E42508" s="1"/>
      <c r="F42508" s="1"/>
      <c r="G42508" s="1"/>
    </row>
    <row r="42509">
      <c r="B42509" s="36"/>
      <c r="C42509" s="36"/>
      <c r="E42509" s="1"/>
      <c r="F42509" s="1"/>
      <c r="G42509" s="1"/>
    </row>
    <row r="42510">
      <c r="B42510" s="36"/>
      <c r="C42510" s="36"/>
      <c r="E42510" s="1"/>
      <c r="F42510" s="1"/>
      <c r="G42510" s="1"/>
    </row>
    <row r="42511">
      <c r="B42511" s="36"/>
      <c r="C42511" s="36"/>
      <c r="E42511" s="1"/>
      <c r="F42511" s="1"/>
      <c r="G42511" s="1"/>
    </row>
    <row r="42512">
      <c r="B42512" s="36"/>
      <c r="C42512" s="36"/>
      <c r="E42512" s="1"/>
      <c r="F42512" s="1"/>
      <c r="G42512" s="1"/>
    </row>
    <row r="42513">
      <c r="B42513" s="36"/>
      <c r="C42513" s="36"/>
      <c r="E42513" s="1"/>
      <c r="F42513" s="1"/>
      <c r="G42513" s="1"/>
    </row>
    <row r="42514">
      <c r="B42514" s="36"/>
      <c r="C42514" s="36"/>
      <c r="E42514" s="1"/>
      <c r="F42514" s="1"/>
      <c r="G42514" s="1"/>
    </row>
    <row r="42515">
      <c r="B42515" s="36"/>
      <c r="C42515" s="36"/>
      <c r="E42515" s="1"/>
      <c r="F42515" s="1"/>
      <c r="G42515" s="1"/>
    </row>
    <row r="42516">
      <c r="B42516" s="36"/>
      <c r="C42516" s="36"/>
      <c r="E42516" s="1"/>
      <c r="F42516" s="1"/>
      <c r="G42516" s="1"/>
    </row>
    <row r="42517">
      <c r="B42517" s="36"/>
      <c r="C42517" s="36"/>
      <c r="E42517" s="1"/>
      <c r="F42517" s="1"/>
      <c r="G42517" s="1"/>
    </row>
    <row r="42518">
      <c r="B42518" s="36"/>
      <c r="C42518" s="36"/>
      <c r="E42518" s="1"/>
      <c r="F42518" s="1"/>
      <c r="G42518" s="1"/>
    </row>
    <row r="42519">
      <c r="B42519" s="36"/>
      <c r="C42519" s="36"/>
      <c r="E42519" s="1"/>
      <c r="F42519" s="1"/>
      <c r="G42519" s="1"/>
    </row>
    <row r="42520">
      <c r="B42520" s="36"/>
      <c r="C42520" s="36"/>
      <c r="E42520" s="1"/>
      <c r="F42520" s="1"/>
      <c r="G42520" s="1"/>
    </row>
    <row r="42521">
      <c r="B42521" s="36"/>
      <c r="C42521" s="36"/>
      <c r="E42521" s="1"/>
      <c r="F42521" s="1"/>
      <c r="G42521" s="1"/>
    </row>
    <row r="42522">
      <c r="B42522" s="36"/>
      <c r="C42522" s="36"/>
      <c r="E42522" s="1"/>
      <c r="F42522" s="1"/>
      <c r="G42522" s="1"/>
    </row>
    <row r="42523">
      <c r="B42523" s="36"/>
      <c r="C42523" s="36"/>
      <c r="E42523" s="1"/>
      <c r="F42523" s="1"/>
      <c r="G42523" s="1"/>
    </row>
    <row r="42524">
      <c r="B42524" s="36"/>
      <c r="C42524" s="36"/>
      <c r="E42524" s="1"/>
      <c r="F42524" s="1"/>
      <c r="G42524" s="1"/>
    </row>
    <row r="42525">
      <c r="B42525" s="36"/>
      <c r="C42525" s="36"/>
      <c r="E42525" s="1"/>
      <c r="F42525" s="1"/>
      <c r="G42525" s="1"/>
    </row>
    <row r="42526">
      <c r="B42526" s="36"/>
      <c r="C42526" s="36"/>
      <c r="E42526" s="1"/>
      <c r="F42526" s="1"/>
      <c r="G42526" s="1"/>
    </row>
    <row r="42527">
      <c r="B42527" s="36"/>
      <c r="C42527" s="36"/>
      <c r="E42527" s="1"/>
      <c r="F42527" s="1"/>
      <c r="G42527" s="1"/>
    </row>
    <row r="42528">
      <c r="B42528" s="36"/>
      <c r="C42528" s="36"/>
      <c r="E42528" s="1"/>
      <c r="F42528" s="1"/>
      <c r="G42528" s="1"/>
    </row>
    <row r="42529">
      <c r="B42529" s="36"/>
      <c r="C42529" s="36"/>
      <c r="E42529" s="1"/>
      <c r="F42529" s="1"/>
      <c r="G42529" s="1"/>
    </row>
    <row r="42530">
      <c r="B42530" s="36"/>
      <c r="C42530" s="36"/>
      <c r="E42530" s="1"/>
      <c r="F42530" s="1"/>
      <c r="G42530" s="1"/>
    </row>
    <row r="42531">
      <c r="B42531" s="36"/>
      <c r="C42531" s="36"/>
      <c r="E42531" s="1"/>
      <c r="F42531" s="1"/>
      <c r="G42531" s="1"/>
    </row>
    <row r="42532">
      <c r="B42532" s="36"/>
      <c r="C42532" s="36"/>
      <c r="E42532" s="1"/>
      <c r="F42532" s="1"/>
      <c r="G42532" s="1"/>
    </row>
    <row r="42533">
      <c r="B42533" s="36"/>
      <c r="C42533" s="36"/>
      <c r="E42533" s="1"/>
      <c r="F42533" s="1"/>
      <c r="G42533" s="1"/>
    </row>
    <row r="42534">
      <c r="B42534" s="36"/>
      <c r="C42534" s="36"/>
      <c r="E42534" s="1"/>
      <c r="F42534" s="1"/>
      <c r="G42534" s="1"/>
    </row>
    <row r="42535">
      <c r="B42535" s="36"/>
      <c r="C42535" s="36"/>
      <c r="E42535" s="1"/>
      <c r="F42535" s="1"/>
      <c r="G42535" s="1"/>
    </row>
    <row r="42536">
      <c r="B42536" s="36"/>
      <c r="C42536" s="36"/>
      <c r="E42536" s="1"/>
      <c r="F42536" s="1"/>
      <c r="G42536" s="1"/>
    </row>
    <row r="42537">
      <c r="B42537" s="36"/>
      <c r="C42537" s="36"/>
      <c r="E42537" s="1"/>
      <c r="F42537" s="1"/>
      <c r="G42537" s="1"/>
    </row>
    <row r="42538">
      <c r="B42538" s="36"/>
      <c r="C42538" s="36"/>
      <c r="E42538" s="1"/>
      <c r="F42538" s="1"/>
      <c r="G42538" s="1"/>
    </row>
    <row r="42539">
      <c r="B42539" s="36"/>
      <c r="C42539" s="36"/>
      <c r="E42539" s="1"/>
      <c r="F42539" s="1"/>
      <c r="G42539" s="1"/>
    </row>
    <row r="42540">
      <c r="B42540" s="36"/>
      <c r="C42540" s="36"/>
      <c r="E42540" s="1"/>
      <c r="F42540" s="1"/>
      <c r="G42540" s="1"/>
    </row>
    <row r="42541">
      <c r="B42541" s="36"/>
      <c r="C42541" s="36"/>
      <c r="E42541" s="1"/>
      <c r="F42541" s="1"/>
      <c r="G42541" s="1"/>
    </row>
    <row r="42542">
      <c r="B42542" s="36"/>
      <c r="C42542" s="36"/>
      <c r="E42542" s="1"/>
      <c r="F42542" s="1"/>
      <c r="G42542" s="1"/>
    </row>
    <row r="42543">
      <c r="B42543" s="36"/>
      <c r="C42543" s="36"/>
      <c r="E42543" s="1"/>
      <c r="F42543" s="1"/>
      <c r="G42543" s="1"/>
    </row>
    <row r="42544">
      <c r="B42544" s="36"/>
      <c r="C42544" s="36"/>
      <c r="E42544" s="1"/>
      <c r="F42544" s="1"/>
      <c r="G42544" s="1"/>
    </row>
    <row r="42545">
      <c r="B42545" s="36"/>
      <c r="C42545" s="36"/>
      <c r="E42545" s="1"/>
      <c r="F42545" s="1"/>
      <c r="G42545" s="1"/>
    </row>
    <row r="42546">
      <c r="B42546" s="36"/>
      <c r="C42546" s="36"/>
      <c r="E42546" s="1"/>
      <c r="F42546" s="1"/>
      <c r="G42546" s="1"/>
    </row>
    <row r="42547">
      <c r="B42547" s="36"/>
      <c r="C42547" s="36"/>
      <c r="E42547" s="1"/>
      <c r="F42547" s="1"/>
      <c r="G42547" s="1"/>
    </row>
    <row r="42548">
      <c r="B42548" s="36"/>
      <c r="C42548" s="36"/>
      <c r="E42548" s="1"/>
      <c r="F42548" s="1"/>
      <c r="G42548" s="1"/>
    </row>
    <row r="42549">
      <c r="B42549" s="36"/>
      <c r="C42549" s="36"/>
      <c r="E42549" s="1"/>
      <c r="F42549" s="1"/>
      <c r="G42549" s="1"/>
    </row>
    <row r="42550">
      <c r="B42550" s="36"/>
      <c r="C42550" s="36"/>
      <c r="E42550" s="1"/>
      <c r="F42550" s="1"/>
      <c r="G42550" s="1"/>
    </row>
    <row r="42551">
      <c r="B42551" s="36"/>
      <c r="C42551" s="36"/>
      <c r="E42551" s="1"/>
      <c r="F42551" s="1"/>
      <c r="G42551" s="1"/>
    </row>
    <row r="42552">
      <c r="B42552" s="36"/>
      <c r="C42552" s="36"/>
      <c r="E42552" s="1"/>
      <c r="F42552" s="1"/>
      <c r="G42552" s="1"/>
    </row>
    <row r="42553">
      <c r="B42553" s="36"/>
      <c r="C42553" s="36"/>
      <c r="E42553" s="1"/>
      <c r="F42553" s="1"/>
      <c r="G42553" s="1"/>
    </row>
    <row r="42554">
      <c r="B42554" s="36"/>
      <c r="C42554" s="36"/>
      <c r="E42554" s="1"/>
      <c r="F42554" s="1"/>
      <c r="G42554" s="1"/>
    </row>
    <row r="42555">
      <c r="B42555" s="36"/>
      <c r="C42555" s="36"/>
      <c r="E42555" s="1"/>
      <c r="F42555" s="1"/>
      <c r="G42555" s="1"/>
    </row>
    <row r="42556">
      <c r="B42556" s="36"/>
      <c r="C42556" s="36"/>
      <c r="E42556" s="1"/>
      <c r="F42556" s="1"/>
      <c r="G42556" s="1"/>
    </row>
    <row r="42557">
      <c r="B42557" s="36"/>
      <c r="C42557" s="36"/>
      <c r="E42557" s="1"/>
      <c r="F42557" s="1"/>
      <c r="G42557" s="1"/>
    </row>
    <row r="42558">
      <c r="B42558" s="36"/>
      <c r="C42558" s="36"/>
      <c r="E42558" s="1"/>
      <c r="F42558" s="1"/>
      <c r="G42558" s="1"/>
    </row>
    <row r="42559">
      <c r="B42559" s="36"/>
      <c r="C42559" s="36"/>
      <c r="E42559" s="1"/>
      <c r="F42559" s="1"/>
      <c r="G42559" s="1"/>
    </row>
    <row r="42560">
      <c r="B42560" s="36"/>
      <c r="C42560" s="36"/>
      <c r="E42560" s="1"/>
      <c r="F42560" s="1"/>
      <c r="G42560" s="1"/>
    </row>
    <row r="42561">
      <c r="B42561" s="36"/>
      <c r="C42561" s="36"/>
      <c r="E42561" s="1"/>
      <c r="F42561" s="1"/>
      <c r="G42561" s="1"/>
    </row>
    <row r="42562">
      <c r="B42562" s="36"/>
      <c r="C42562" s="36"/>
      <c r="E42562" s="1"/>
      <c r="F42562" s="1"/>
      <c r="G42562" s="1"/>
    </row>
    <row r="42563">
      <c r="B42563" s="36"/>
      <c r="C42563" s="36"/>
      <c r="E42563" s="1"/>
      <c r="F42563" s="1"/>
      <c r="G42563" s="1"/>
    </row>
    <row r="42564">
      <c r="B42564" s="36"/>
      <c r="C42564" s="36"/>
      <c r="E42564" s="1"/>
      <c r="F42564" s="1"/>
      <c r="G42564" s="1"/>
    </row>
    <row r="42565">
      <c r="B42565" s="36"/>
      <c r="C42565" s="36"/>
      <c r="E42565" s="1"/>
      <c r="F42565" s="1"/>
      <c r="G42565" s="1"/>
    </row>
    <row r="42566">
      <c r="B42566" s="36"/>
      <c r="C42566" s="36"/>
      <c r="E42566" s="1"/>
      <c r="F42566" s="1"/>
      <c r="G42566" s="1"/>
    </row>
    <row r="42567">
      <c r="B42567" s="36"/>
      <c r="C42567" s="36"/>
      <c r="E42567" s="1"/>
      <c r="F42567" s="1"/>
      <c r="G42567" s="1"/>
    </row>
    <row r="42568">
      <c r="B42568" s="36"/>
      <c r="C42568" s="36"/>
      <c r="E42568" s="1"/>
      <c r="F42568" s="1"/>
      <c r="G42568" s="1"/>
    </row>
    <row r="42569">
      <c r="B42569" s="36"/>
      <c r="C42569" s="36"/>
      <c r="E42569" s="1"/>
      <c r="F42569" s="1"/>
      <c r="G42569" s="1"/>
    </row>
    <row r="42570">
      <c r="B42570" s="36"/>
      <c r="C42570" s="36"/>
      <c r="E42570" s="1"/>
      <c r="F42570" s="1"/>
      <c r="G42570" s="1"/>
    </row>
    <row r="42571">
      <c r="B42571" s="36"/>
      <c r="C42571" s="36"/>
      <c r="E42571" s="1"/>
      <c r="F42571" s="1"/>
      <c r="G42571" s="1"/>
    </row>
    <row r="42572">
      <c r="B42572" s="36"/>
      <c r="C42572" s="36"/>
      <c r="E42572" s="1"/>
      <c r="F42572" s="1"/>
      <c r="G42572" s="1"/>
    </row>
    <row r="42573">
      <c r="B42573" s="36"/>
      <c r="C42573" s="36"/>
      <c r="E42573" s="1"/>
      <c r="F42573" s="1"/>
      <c r="G42573" s="1"/>
    </row>
    <row r="42574">
      <c r="B42574" s="36"/>
      <c r="C42574" s="36"/>
      <c r="E42574" s="1"/>
      <c r="F42574" s="1"/>
      <c r="G42574" s="1"/>
    </row>
    <row r="42575">
      <c r="B42575" s="36"/>
      <c r="C42575" s="36"/>
      <c r="E42575" s="1"/>
      <c r="F42575" s="1"/>
      <c r="G42575" s="1"/>
    </row>
    <row r="42576">
      <c r="B42576" s="36"/>
      <c r="C42576" s="36"/>
      <c r="E42576" s="1"/>
      <c r="F42576" s="1"/>
      <c r="G42576" s="1"/>
    </row>
    <row r="42577">
      <c r="B42577" s="36"/>
      <c r="C42577" s="36"/>
      <c r="E42577" s="1"/>
      <c r="F42577" s="1"/>
      <c r="G42577" s="1"/>
    </row>
    <row r="42578">
      <c r="B42578" s="36"/>
      <c r="C42578" s="36"/>
      <c r="E42578" s="1"/>
      <c r="F42578" s="1"/>
      <c r="G42578" s="1"/>
    </row>
    <row r="42579">
      <c r="B42579" s="36"/>
      <c r="C42579" s="36"/>
      <c r="E42579" s="1"/>
      <c r="F42579" s="1"/>
      <c r="G42579" s="1"/>
    </row>
    <row r="42580">
      <c r="B42580" s="36"/>
      <c r="C42580" s="36"/>
      <c r="E42580" s="1"/>
      <c r="F42580" s="1"/>
      <c r="G42580" s="1"/>
    </row>
    <row r="42581">
      <c r="B42581" s="36"/>
      <c r="C42581" s="36"/>
      <c r="E42581" s="1"/>
      <c r="F42581" s="1"/>
      <c r="G42581" s="1"/>
    </row>
    <row r="42582">
      <c r="B42582" s="36"/>
      <c r="C42582" s="36"/>
      <c r="E42582" s="1"/>
      <c r="F42582" s="1"/>
      <c r="G42582" s="1"/>
    </row>
    <row r="42583">
      <c r="B42583" s="36"/>
      <c r="C42583" s="36"/>
      <c r="E42583" s="1"/>
      <c r="F42583" s="1"/>
      <c r="G42583" s="1"/>
    </row>
    <row r="42584">
      <c r="B42584" s="36"/>
      <c r="C42584" s="36"/>
      <c r="E42584" s="1"/>
      <c r="F42584" s="1"/>
      <c r="G42584" s="1"/>
    </row>
    <row r="42585">
      <c r="B42585" s="36"/>
      <c r="C42585" s="36"/>
      <c r="E42585" s="1"/>
      <c r="F42585" s="1"/>
      <c r="G42585" s="1"/>
    </row>
    <row r="42586">
      <c r="B42586" s="36"/>
      <c r="C42586" s="36"/>
      <c r="E42586" s="1"/>
      <c r="F42586" s="1"/>
      <c r="G42586" s="1"/>
    </row>
    <row r="42587">
      <c r="B42587" s="36"/>
      <c r="C42587" s="36"/>
      <c r="E42587" s="1"/>
      <c r="F42587" s="1"/>
      <c r="G42587" s="1"/>
    </row>
    <row r="42588">
      <c r="B42588" s="36"/>
      <c r="C42588" s="36"/>
      <c r="E42588" s="1"/>
      <c r="F42588" s="1"/>
      <c r="G42588" s="1"/>
    </row>
    <row r="42589">
      <c r="B42589" s="36"/>
      <c r="C42589" s="36"/>
      <c r="E42589" s="1"/>
      <c r="F42589" s="1"/>
      <c r="G42589" s="1"/>
    </row>
    <row r="42590">
      <c r="B42590" s="36"/>
      <c r="C42590" s="36"/>
      <c r="E42590" s="1"/>
      <c r="F42590" s="1"/>
      <c r="G42590" s="1"/>
    </row>
    <row r="42591">
      <c r="B42591" s="36"/>
      <c r="C42591" s="36"/>
      <c r="E42591" s="1"/>
      <c r="F42591" s="1"/>
      <c r="G42591" s="1"/>
    </row>
    <row r="42592">
      <c r="B42592" s="36"/>
      <c r="C42592" s="36"/>
      <c r="E42592" s="1"/>
      <c r="F42592" s="1"/>
      <c r="G42592" s="1"/>
    </row>
    <row r="42593">
      <c r="B42593" s="36"/>
      <c r="C42593" s="36"/>
      <c r="E42593" s="1"/>
      <c r="F42593" s="1"/>
      <c r="G42593" s="1"/>
    </row>
    <row r="42594">
      <c r="B42594" s="36"/>
      <c r="C42594" s="36"/>
      <c r="E42594" s="1"/>
      <c r="F42594" s="1"/>
      <c r="G42594" s="1"/>
    </row>
    <row r="42595">
      <c r="B42595" s="36"/>
      <c r="C42595" s="36"/>
      <c r="E42595" s="1"/>
      <c r="F42595" s="1"/>
      <c r="G42595" s="1"/>
    </row>
    <row r="42596">
      <c r="B42596" s="36"/>
      <c r="C42596" s="36"/>
      <c r="E42596" s="1"/>
      <c r="F42596" s="1"/>
      <c r="G42596" s="1"/>
    </row>
    <row r="42597">
      <c r="B42597" s="36"/>
      <c r="C42597" s="36"/>
      <c r="E42597" s="1"/>
      <c r="F42597" s="1"/>
      <c r="G42597" s="1"/>
    </row>
    <row r="42598">
      <c r="B42598" s="36"/>
      <c r="C42598" s="36"/>
      <c r="E42598" s="1"/>
      <c r="F42598" s="1"/>
      <c r="G42598" s="1"/>
    </row>
    <row r="42599">
      <c r="B42599" s="36"/>
      <c r="C42599" s="36"/>
      <c r="E42599" s="1"/>
      <c r="F42599" s="1"/>
      <c r="G42599" s="1"/>
    </row>
    <row r="42600">
      <c r="B42600" s="36"/>
      <c r="C42600" s="36"/>
      <c r="E42600" s="1"/>
      <c r="F42600" s="1"/>
      <c r="G42600" s="1"/>
    </row>
    <row r="42601">
      <c r="B42601" s="36"/>
      <c r="C42601" s="36"/>
      <c r="E42601" s="1"/>
      <c r="F42601" s="1"/>
      <c r="G42601" s="1"/>
    </row>
    <row r="42602">
      <c r="B42602" s="36"/>
      <c r="C42602" s="36"/>
      <c r="E42602" s="1"/>
      <c r="F42602" s="1"/>
      <c r="G42602" s="1"/>
    </row>
    <row r="42603">
      <c r="B42603" s="36"/>
      <c r="C42603" s="36"/>
      <c r="E42603" s="1"/>
      <c r="F42603" s="1"/>
      <c r="G42603" s="1"/>
    </row>
    <row r="42604">
      <c r="B42604" s="36"/>
      <c r="C42604" s="36"/>
      <c r="E42604" s="1"/>
      <c r="F42604" s="1"/>
      <c r="G42604" s="1"/>
    </row>
    <row r="42605">
      <c r="B42605" s="36"/>
      <c r="C42605" s="36"/>
      <c r="E42605" s="1"/>
      <c r="F42605" s="1"/>
      <c r="G42605" s="1"/>
    </row>
    <row r="42606">
      <c r="B42606" s="36"/>
      <c r="C42606" s="36"/>
      <c r="E42606" s="1"/>
      <c r="F42606" s="1"/>
      <c r="G42606" s="1"/>
    </row>
    <row r="42607">
      <c r="B42607" s="36"/>
      <c r="C42607" s="36"/>
      <c r="E42607" s="1"/>
      <c r="F42607" s="1"/>
      <c r="G42607" s="1"/>
    </row>
    <row r="42608">
      <c r="B42608" s="36"/>
      <c r="C42608" s="36"/>
      <c r="E42608" s="1"/>
      <c r="F42608" s="1"/>
      <c r="G42608" s="1"/>
    </row>
    <row r="42609">
      <c r="B42609" s="36"/>
      <c r="C42609" s="36"/>
      <c r="E42609" s="1"/>
      <c r="F42609" s="1"/>
      <c r="G42609" s="1"/>
    </row>
    <row r="42610">
      <c r="B42610" s="36"/>
      <c r="C42610" s="36"/>
      <c r="E42610" s="1"/>
      <c r="F42610" s="1"/>
      <c r="G42610" s="1"/>
    </row>
    <row r="42611">
      <c r="B42611" s="36"/>
      <c r="C42611" s="36"/>
      <c r="E42611" s="1"/>
      <c r="F42611" s="1"/>
      <c r="G42611" s="1"/>
    </row>
    <row r="42612">
      <c r="B42612" s="36"/>
      <c r="C42612" s="36"/>
      <c r="E42612" s="1"/>
      <c r="F42612" s="1"/>
      <c r="G42612" s="1"/>
    </row>
    <row r="42613">
      <c r="B42613" s="36"/>
      <c r="C42613" s="36"/>
      <c r="E42613" s="1"/>
      <c r="F42613" s="1"/>
      <c r="G42613" s="1"/>
    </row>
    <row r="42614">
      <c r="B42614" s="36"/>
      <c r="C42614" s="36"/>
      <c r="E42614" s="1"/>
      <c r="F42614" s="1"/>
      <c r="G42614" s="1"/>
    </row>
    <row r="42615">
      <c r="B42615" s="36"/>
      <c r="C42615" s="36"/>
      <c r="E42615" s="1"/>
      <c r="F42615" s="1"/>
      <c r="G42615" s="1"/>
    </row>
    <row r="42616">
      <c r="B42616" s="36"/>
      <c r="C42616" s="36"/>
      <c r="E42616" s="1"/>
      <c r="F42616" s="1"/>
      <c r="G42616" s="1"/>
    </row>
    <row r="42617">
      <c r="B42617" s="36"/>
      <c r="C42617" s="36"/>
      <c r="E42617" s="1"/>
      <c r="F42617" s="1"/>
      <c r="G42617" s="1"/>
    </row>
    <row r="42618">
      <c r="B42618" s="36"/>
      <c r="C42618" s="36"/>
      <c r="E42618" s="1"/>
      <c r="F42618" s="1"/>
      <c r="G42618" s="1"/>
    </row>
    <row r="42619">
      <c r="B42619" s="36"/>
      <c r="C42619" s="36"/>
      <c r="E42619" s="1"/>
      <c r="F42619" s="1"/>
      <c r="G42619" s="1"/>
    </row>
    <row r="42620">
      <c r="B42620" s="36"/>
      <c r="C42620" s="36"/>
      <c r="E42620" s="1"/>
      <c r="F42620" s="1"/>
      <c r="G42620" s="1"/>
    </row>
    <row r="42621">
      <c r="B42621" s="36"/>
      <c r="C42621" s="36"/>
      <c r="E42621" s="1"/>
      <c r="F42621" s="1"/>
      <c r="G42621" s="1"/>
    </row>
    <row r="42622">
      <c r="B42622" s="36"/>
      <c r="C42622" s="36"/>
      <c r="E42622" s="1"/>
      <c r="F42622" s="1"/>
      <c r="G42622" s="1"/>
    </row>
    <row r="42623">
      <c r="B42623" s="36"/>
      <c r="C42623" s="36"/>
      <c r="E42623" s="1"/>
      <c r="F42623" s="1"/>
      <c r="G42623" s="1"/>
    </row>
    <row r="42624">
      <c r="B42624" s="36"/>
      <c r="C42624" s="36"/>
      <c r="E42624" s="1"/>
      <c r="F42624" s="1"/>
      <c r="G42624" s="1"/>
    </row>
    <row r="42625">
      <c r="B42625" s="36"/>
      <c r="C42625" s="36"/>
      <c r="E42625" s="1"/>
      <c r="F42625" s="1"/>
      <c r="G42625" s="1"/>
    </row>
    <row r="42626">
      <c r="B42626" s="36"/>
      <c r="C42626" s="36"/>
      <c r="E42626" s="1"/>
      <c r="F42626" s="1"/>
      <c r="G42626" s="1"/>
    </row>
    <row r="42627">
      <c r="B42627" s="36"/>
      <c r="C42627" s="36"/>
      <c r="E42627" s="1"/>
      <c r="F42627" s="1"/>
      <c r="G42627" s="1"/>
    </row>
    <row r="42628">
      <c r="B42628" s="36"/>
      <c r="C42628" s="36"/>
      <c r="E42628" s="1"/>
      <c r="F42628" s="1"/>
      <c r="G42628" s="1"/>
    </row>
    <row r="42629">
      <c r="B42629" s="36"/>
      <c r="C42629" s="36"/>
      <c r="E42629" s="1"/>
      <c r="F42629" s="1"/>
      <c r="G42629" s="1"/>
    </row>
    <row r="42630">
      <c r="B42630" s="36"/>
      <c r="C42630" s="36"/>
      <c r="E42630" s="1"/>
      <c r="F42630" s="1"/>
      <c r="G42630" s="1"/>
    </row>
    <row r="42631">
      <c r="B42631" s="36"/>
      <c r="C42631" s="36"/>
      <c r="E42631" s="1"/>
      <c r="F42631" s="1"/>
      <c r="G42631" s="1"/>
    </row>
    <row r="42632">
      <c r="B42632" s="36"/>
      <c r="C42632" s="36"/>
      <c r="E42632" s="1"/>
      <c r="F42632" s="1"/>
      <c r="G42632" s="1"/>
    </row>
    <row r="42633">
      <c r="B42633" s="36"/>
      <c r="C42633" s="36"/>
      <c r="E42633" s="1"/>
      <c r="F42633" s="1"/>
      <c r="G42633" s="1"/>
    </row>
    <row r="42634">
      <c r="B42634" s="36"/>
      <c r="C42634" s="36"/>
      <c r="E42634" s="1"/>
      <c r="F42634" s="1"/>
      <c r="G42634" s="1"/>
    </row>
    <row r="42635">
      <c r="B42635" s="36"/>
      <c r="C42635" s="36"/>
      <c r="E42635" s="1"/>
      <c r="F42635" s="1"/>
      <c r="G42635" s="1"/>
    </row>
    <row r="42636">
      <c r="B42636" s="36"/>
      <c r="C42636" s="36"/>
      <c r="E42636" s="1"/>
      <c r="F42636" s="1"/>
      <c r="G42636" s="1"/>
    </row>
    <row r="42637">
      <c r="B42637" s="36"/>
      <c r="C42637" s="36"/>
      <c r="E42637" s="1"/>
      <c r="F42637" s="1"/>
      <c r="G42637" s="1"/>
    </row>
    <row r="42638">
      <c r="B42638" s="36"/>
      <c r="C42638" s="36"/>
      <c r="E42638" s="1"/>
      <c r="F42638" s="1"/>
      <c r="G42638" s="1"/>
    </row>
    <row r="42639">
      <c r="B42639" s="36"/>
      <c r="C42639" s="36"/>
      <c r="E42639" s="1"/>
      <c r="F42639" s="1"/>
      <c r="G42639" s="1"/>
    </row>
    <row r="42640">
      <c r="B42640" s="36"/>
      <c r="C42640" s="36"/>
      <c r="E42640" s="1"/>
      <c r="F42640" s="1"/>
      <c r="G42640" s="1"/>
    </row>
    <row r="42641">
      <c r="B42641" s="36"/>
      <c r="C42641" s="36"/>
      <c r="E42641" s="1"/>
      <c r="F42641" s="1"/>
      <c r="G42641" s="1"/>
    </row>
    <row r="42642">
      <c r="B42642" s="36"/>
      <c r="C42642" s="36"/>
      <c r="E42642" s="1"/>
      <c r="F42642" s="1"/>
      <c r="G42642" s="1"/>
    </row>
    <row r="42643">
      <c r="B42643" s="36"/>
      <c r="C42643" s="36"/>
      <c r="E42643" s="1"/>
      <c r="F42643" s="1"/>
      <c r="G42643" s="1"/>
    </row>
    <row r="42644">
      <c r="B42644" s="36"/>
      <c r="C42644" s="36"/>
      <c r="E42644" s="1"/>
      <c r="F42644" s="1"/>
      <c r="G42644" s="1"/>
    </row>
    <row r="42645">
      <c r="B42645" s="36"/>
      <c r="C42645" s="36"/>
      <c r="E42645" s="1"/>
      <c r="F42645" s="1"/>
      <c r="G42645" s="1"/>
    </row>
    <row r="42646">
      <c r="B42646" s="36"/>
      <c r="C42646" s="36"/>
      <c r="E42646" s="1"/>
      <c r="F42646" s="1"/>
      <c r="G42646" s="1"/>
    </row>
    <row r="42647">
      <c r="B42647" s="36"/>
      <c r="C42647" s="36"/>
      <c r="E42647" s="1"/>
      <c r="F42647" s="1"/>
      <c r="G42647" s="1"/>
    </row>
    <row r="42648">
      <c r="B42648" s="36"/>
      <c r="C42648" s="36"/>
      <c r="E42648" s="1"/>
      <c r="F42648" s="1"/>
      <c r="G42648" s="1"/>
    </row>
    <row r="42649">
      <c r="B42649" s="36"/>
      <c r="C42649" s="36"/>
      <c r="E42649" s="1"/>
      <c r="F42649" s="1"/>
      <c r="G42649" s="1"/>
    </row>
    <row r="42650">
      <c r="B42650" s="36"/>
      <c r="C42650" s="36"/>
      <c r="E42650" s="1"/>
      <c r="F42650" s="1"/>
      <c r="G42650" s="1"/>
    </row>
    <row r="42651">
      <c r="B42651" s="36"/>
      <c r="C42651" s="36"/>
      <c r="E42651" s="1"/>
      <c r="F42651" s="1"/>
      <c r="G42651" s="1"/>
    </row>
    <row r="42652">
      <c r="B42652" s="36"/>
      <c r="C42652" s="36"/>
      <c r="E42652" s="1"/>
      <c r="F42652" s="1"/>
      <c r="G42652" s="1"/>
    </row>
    <row r="42653">
      <c r="B42653" s="36"/>
      <c r="C42653" s="36"/>
      <c r="E42653" s="1"/>
      <c r="F42653" s="1"/>
      <c r="G42653" s="1"/>
    </row>
    <row r="42654">
      <c r="B42654" s="36"/>
      <c r="C42654" s="36"/>
      <c r="E42654" s="1"/>
      <c r="F42654" s="1"/>
      <c r="G42654" s="1"/>
    </row>
    <row r="42655">
      <c r="B42655" s="36"/>
      <c r="C42655" s="36"/>
      <c r="E42655" s="1"/>
      <c r="F42655" s="1"/>
      <c r="G42655" s="1"/>
    </row>
    <row r="42656">
      <c r="B42656" s="36"/>
      <c r="C42656" s="36"/>
      <c r="E42656" s="1"/>
      <c r="F42656" s="1"/>
      <c r="G42656" s="1"/>
    </row>
    <row r="42657">
      <c r="B42657" s="36"/>
      <c r="C42657" s="36"/>
      <c r="E42657" s="1"/>
      <c r="F42657" s="1"/>
      <c r="G42657" s="1"/>
    </row>
    <row r="42658">
      <c r="B42658" s="36"/>
      <c r="C42658" s="36"/>
      <c r="E42658" s="1"/>
      <c r="F42658" s="1"/>
      <c r="G42658" s="1"/>
    </row>
    <row r="42659">
      <c r="B42659" s="36"/>
      <c r="C42659" s="36"/>
      <c r="E42659" s="1"/>
      <c r="F42659" s="1"/>
      <c r="G42659" s="1"/>
    </row>
    <row r="42660">
      <c r="B42660" s="36"/>
      <c r="C42660" s="36"/>
      <c r="E42660" s="1"/>
      <c r="F42660" s="1"/>
      <c r="G42660" s="1"/>
    </row>
    <row r="42661">
      <c r="B42661" s="36"/>
      <c r="C42661" s="36"/>
      <c r="E42661" s="1"/>
      <c r="F42661" s="1"/>
      <c r="G42661" s="1"/>
    </row>
    <row r="42662">
      <c r="B42662" s="36"/>
      <c r="C42662" s="36"/>
      <c r="E42662" s="1"/>
      <c r="F42662" s="1"/>
      <c r="G42662" s="1"/>
    </row>
    <row r="42663">
      <c r="B42663" s="36"/>
      <c r="C42663" s="36"/>
      <c r="E42663" s="1"/>
      <c r="F42663" s="1"/>
      <c r="G42663" s="1"/>
    </row>
    <row r="42664">
      <c r="B42664" s="36"/>
      <c r="C42664" s="36"/>
      <c r="E42664" s="1"/>
      <c r="F42664" s="1"/>
      <c r="G42664" s="1"/>
    </row>
    <row r="42665">
      <c r="B42665" s="36"/>
      <c r="C42665" s="36"/>
      <c r="E42665" s="1"/>
      <c r="F42665" s="1"/>
      <c r="G42665" s="1"/>
    </row>
    <row r="42666">
      <c r="B42666" s="36"/>
      <c r="C42666" s="36"/>
      <c r="E42666" s="1"/>
      <c r="F42666" s="1"/>
      <c r="G42666" s="1"/>
    </row>
    <row r="42667">
      <c r="B42667" s="36"/>
      <c r="C42667" s="36"/>
      <c r="E42667" s="1"/>
      <c r="F42667" s="1"/>
      <c r="G42667" s="1"/>
    </row>
    <row r="42668">
      <c r="B42668" s="36"/>
      <c r="C42668" s="36"/>
      <c r="E42668" s="1"/>
      <c r="F42668" s="1"/>
      <c r="G42668" s="1"/>
    </row>
    <row r="42669">
      <c r="B42669" s="36"/>
      <c r="C42669" s="36"/>
      <c r="E42669" s="1"/>
      <c r="F42669" s="1"/>
      <c r="G42669" s="1"/>
    </row>
    <row r="42670">
      <c r="B42670" s="36"/>
      <c r="C42670" s="36"/>
      <c r="E42670" s="1"/>
      <c r="F42670" s="1"/>
      <c r="G42670" s="1"/>
    </row>
    <row r="42671">
      <c r="B42671" s="36"/>
      <c r="C42671" s="36"/>
      <c r="E42671" s="1"/>
      <c r="F42671" s="1"/>
      <c r="G42671" s="1"/>
    </row>
    <row r="42672">
      <c r="B42672" s="36"/>
      <c r="C42672" s="36"/>
      <c r="E42672" s="1"/>
      <c r="F42672" s="1"/>
      <c r="G42672" s="1"/>
    </row>
    <row r="42673">
      <c r="B42673" s="36"/>
      <c r="C42673" s="36"/>
      <c r="E42673" s="1"/>
      <c r="F42673" s="1"/>
      <c r="G42673" s="1"/>
    </row>
    <row r="42674">
      <c r="B42674" s="36"/>
      <c r="C42674" s="36"/>
      <c r="E42674" s="1"/>
      <c r="F42674" s="1"/>
      <c r="G42674" s="1"/>
    </row>
    <row r="42675">
      <c r="B42675" s="36"/>
      <c r="C42675" s="36"/>
      <c r="E42675" s="1"/>
      <c r="F42675" s="1"/>
      <c r="G42675" s="1"/>
    </row>
    <row r="42676">
      <c r="B42676" s="36"/>
      <c r="C42676" s="36"/>
      <c r="E42676" s="1"/>
      <c r="F42676" s="1"/>
      <c r="G42676" s="1"/>
    </row>
    <row r="42677">
      <c r="B42677" s="36"/>
      <c r="C42677" s="36"/>
      <c r="E42677" s="1"/>
      <c r="F42677" s="1"/>
      <c r="G42677" s="1"/>
    </row>
    <row r="42678">
      <c r="B42678" s="36"/>
      <c r="C42678" s="36"/>
      <c r="E42678" s="1"/>
      <c r="F42678" s="1"/>
      <c r="G42678" s="1"/>
    </row>
    <row r="42679">
      <c r="B42679" s="36"/>
      <c r="C42679" s="36"/>
      <c r="E42679" s="1"/>
      <c r="F42679" s="1"/>
      <c r="G42679" s="1"/>
    </row>
    <row r="42680">
      <c r="B42680" s="36"/>
      <c r="C42680" s="36"/>
      <c r="E42680" s="1"/>
      <c r="F42680" s="1"/>
      <c r="G42680" s="1"/>
    </row>
    <row r="42681">
      <c r="B42681" s="36"/>
      <c r="C42681" s="36"/>
      <c r="E42681" s="1"/>
      <c r="F42681" s="1"/>
      <c r="G42681" s="1"/>
    </row>
    <row r="42682">
      <c r="B42682" s="36"/>
      <c r="C42682" s="36"/>
      <c r="E42682" s="1"/>
      <c r="F42682" s="1"/>
      <c r="G42682" s="1"/>
    </row>
    <row r="42683">
      <c r="B42683" s="36"/>
      <c r="C42683" s="36"/>
      <c r="E42683" s="1"/>
      <c r="F42683" s="1"/>
      <c r="G42683" s="1"/>
    </row>
    <row r="42684">
      <c r="B42684" s="36"/>
      <c r="C42684" s="36"/>
      <c r="E42684" s="1"/>
      <c r="F42684" s="1"/>
      <c r="G42684" s="1"/>
    </row>
    <row r="42685">
      <c r="B42685" s="36"/>
      <c r="C42685" s="36"/>
      <c r="E42685" s="1"/>
      <c r="F42685" s="1"/>
      <c r="G42685" s="1"/>
    </row>
    <row r="42686">
      <c r="B42686" s="36"/>
      <c r="C42686" s="36"/>
      <c r="E42686" s="1"/>
      <c r="F42686" s="1"/>
      <c r="G42686" s="1"/>
    </row>
    <row r="42687">
      <c r="B42687" s="36"/>
      <c r="C42687" s="36"/>
      <c r="E42687" s="1"/>
      <c r="F42687" s="1"/>
      <c r="G42687" s="1"/>
    </row>
    <row r="42688">
      <c r="B42688" s="36"/>
      <c r="C42688" s="36"/>
      <c r="E42688" s="1"/>
      <c r="F42688" s="1"/>
      <c r="G42688" s="1"/>
    </row>
    <row r="42689">
      <c r="B42689" s="36"/>
      <c r="C42689" s="36"/>
      <c r="E42689" s="1"/>
      <c r="F42689" s="1"/>
      <c r="G42689" s="1"/>
    </row>
    <row r="42690">
      <c r="B42690" s="36"/>
      <c r="C42690" s="36"/>
      <c r="E42690" s="1"/>
      <c r="F42690" s="1"/>
      <c r="G42690" s="1"/>
    </row>
    <row r="42691">
      <c r="B42691" s="36"/>
      <c r="C42691" s="36"/>
      <c r="E42691" s="1"/>
      <c r="F42691" s="1"/>
      <c r="G42691" s="1"/>
    </row>
    <row r="42692">
      <c r="B42692" s="36"/>
      <c r="C42692" s="36"/>
      <c r="E42692" s="1"/>
      <c r="F42692" s="1"/>
      <c r="G42692" s="1"/>
    </row>
    <row r="42693">
      <c r="B42693" s="36"/>
      <c r="C42693" s="36"/>
      <c r="E42693" s="1"/>
      <c r="F42693" s="1"/>
      <c r="G42693" s="1"/>
    </row>
    <row r="42694">
      <c r="B42694" s="36"/>
      <c r="C42694" s="36"/>
      <c r="E42694" s="1"/>
      <c r="F42694" s="1"/>
      <c r="G42694" s="1"/>
    </row>
    <row r="42695">
      <c r="B42695" s="36"/>
      <c r="C42695" s="36"/>
      <c r="E42695" s="1"/>
      <c r="F42695" s="1"/>
      <c r="G42695" s="1"/>
    </row>
    <row r="42696">
      <c r="B42696" s="36"/>
      <c r="C42696" s="36"/>
      <c r="E42696" s="1"/>
      <c r="F42696" s="1"/>
      <c r="G42696" s="1"/>
    </row>
    <row r="42697">
      <c r="B42697" s="36"/>
      <c r="C42697" s="36"/>
      <c r="E42697" s="1"/>
      <c r="F42697" s="1"/>
      <c r="G42697" s="1"/>
    </row>
    <row r="42698">
      <c r="B42698" s="36"/>
      <c r="C42698" s="36"/>
      <c r="E42698" s="1"/>
      <c r="F42698" s="1"/>
      <c r="G42698" s="1"/>
    </row>
    <row r="42699">
      <c r="B42699" s="36"/>
      <c r="C42699" s="36"/>
      <c r="E42699" s="1"/>
      <c r="F42699" s="1"/>
      <c r="G42699" s="1"/>
    </row>
    <row r="42700">
      <c r="B42700" s="36"/>
      <c r="C42700" s="36"/>
      <c r="E42700" s="1"/>
      <c r="F42700" s="1"/>
      <c r="G42700" s="1"/>
    </row>
    <row r="42701">
      <c r="B42701" s="36"/>
      <c r="C42701" s="36"/>
      <c r="E42701" s="1"/>
      <c r="F42701" s="1"/>
      <c r="G42701" s="1"/>
    </row>
    <row r="42702">
      <c r="B42702" s="36"/>
      <c r="C42702" s="36"/>
      <c r="E42702" s="1"/>
      <c r="F42702" s="1"/>
      <c r="G42702" s="1"/>
    </row>
    <row r="42703">
      <c r="B42703" s="36"/>
      <c r="C42703" s="36"/>
      <c r="E42703" s="1"/>
      <c r="F42703" s="1"/>
      <c r="G42703" s="1"/>
    </row>
    <row r="42704">
      <c r="B42704" s="36"/>
      <c r="C42704" s="36"/>
      <c r="E42704" s="1"/>
      <c r="F42704" s="1"/>
      <c r="G42704" s="1"/>
    </row>
    <row r="42705">
      <c r="B42705" s="36"/>
      <c r="C42705" s="36"/>
      <c r="E42705" s="1"/>
      <c r="F42705" s="1"/>
      <c r="G42705" s="1"/>
    </row>
    <row r="42706">
      <c r="B42706" s="36"/>
      <c r="C42706" s="36"/>
      <c r="E42706" s="1"/>
      <c r="F42706" s="1"/>
      <c r="G42706" s="1"/>
    </row>
    <row r="42707">
      <c r="B42707" s="36"/>
      <c r="C42707" s="36"/>
      <c r="E42707" s="1"/>
      <c r="F42707" s="1"/>
      <c r="G42707" s="1"/>
    </row>
    <row r="42708">
      <c r="B42708" s="36"/>
      <c r="C42708" s="36"/>
      <c r="E42708" s="1"/>
      <c r="F42708" s="1"/>
      <c r="G42708" s="1"/>
    </row>
    <row r="42709">
      <c r="B42709" s="36"/>
      <c r="C42709" s="36"/>
      <c r="E42709" s="1"/>
      <c r="F42709" s="1"/>
      <c r="G42709" s="1"/>
    </row>
    <row r="42710">
      <c r="B42710" s="36"/>
      <c r="C42710" s="36"/>
      <c r="E42710" s="1"/>
      <c r="F42710" s="1"/>
      <c r="G42710" s="1"/>
    </row>
    <row r="42711">
      <c r="B42711" s="36"/>
      <c r="C42711" s="36"/>
      <c r="E42711" s="1"/>
      <c r="F42711" s="1"/>
      <c r="G42711" s="1"/>
    </row>
    <row r="42712">
      <c r="B42712" s="36"/>
      <c r="C42712" s="36"/>
      <c r="E42712" s="1"/>
      <c r="F42712" s="1"/>
      <c r="G42712" s="1"/>
    </row>
    <row r="42713">
      <c r="B42713" s="36"/>
      <c r="C42713" s="36"/>
      <c r="E42713" s="1"/>
      <c r="F42713" s="1"/>
      <c r="G42713" s="1"/>
    </row>
    <row r="42714">
      <c r="B42714" s="36"/>
      <c r="C42714" s="36"/>
      <c r="E42714" s="1"/>
      <c r="F42714" s="1"/>
      <c r="G42714" s="1"/>
    </row>
    <row r="42715">
      <c r="B42715" s="36"/>
      <c r="C42715" s="36"/>
      <c r="E42715" s="1"/>
      <c r="F42715" s="1"/>
      <c r="G42715" s="1"/>
    </row>
    <row r="42716">
      <c r="B42716" s="36"/>
      <c r="C42716" s="36"/>
      <c r="E42716" s="1"/>
      <c r="F42716" s="1"/>
      <c r="G42716" s="1"/>
    </row>
    <row r="42717">
      <c r="B42717" s="36"/>
      <c r="C42717" s="36"/>
      <c r="E42717" s="1"/>
      <c r="F42717" s="1"/>
      <c r="G42717" s="1"/>
    </row>
    <row r="42718">
      <c r="B42718" s="36"/>
      <c r="C42718" s="36"/>
      <c r="E42718" s="1"/>
      <c r="F42718" s="1"/>
      <c r="G42718" s="1"/>
    </row>
    <row r="42719">
      <c r="B42719" s="36"/>
      <c r="C42719" s="36"/>
      <c r="E42719" s="1"/>
      <c r="F42719" s="1"/>
      <c r="G42719" s="1"/>
    </row>
    <row r="42720">
      <c r="B42720" s="36"/>
      <c r="C42720" s="36"/>
      <c r="E42720" s="1"/>
      <c r="F42720" s="1"/>
      <c r="G42720" s="1"/>
    </row>
    <row r="42721">
      <c r="B42721" s="36"/>
      <c r="C42721" s="36"/>
      <c r="E42721" s="1"/>
      <c r="F42721" s="1"/>
      <c r="G42721" s="1"/>
    </row>
    <row r="42722">
      <c r="B42722" s="36"/>
      <c r="C42722" s="36"/>
      <c r="E42722" s="1"/>
      <c r="F42722" s="1"/>
      <c r="G42722" s="1"/>
    </row>
    <row r="42723">
      <c r="B42723" s="36"/>
      <c r="C42723" s="36"/>
      <c r="E42723" s="1"/>
      <c r="F42723" s="1"/>
      <c r="G42723" s="1"/>
    </row>
    <row r="42724">
      <c r="B42724" s="36"/>
      <c r="C42724" s="36"/>
      <c r="E42724" s="1"/>
      <c r="F42724" s="1"/>
      <c r="G42724" s="1"/>
    </row>
    <row r="42725">
      <c r="B42725" s="36"/>
      <c r="C42725" s="36"/>
      <c r="E42725" s="1"/>
      <c r="F42725" s="1"/>
      <c r="G42725" s="1"/>
    </row>
    <row r="42726">
      <c r="B42726" s="36"/>
      <c r="C42726" s="36"/>
      <c r="E42726" s="1"/>
      <c r="F42726" s="1"/>
      <c r="G42726" s="1"/>
    </row>
    <row r="42727">
      <c r="B42727" s="36"/>
      <c r="C42727" s="36"/>
      <c r="E42727" s="1"/>
      <c r="F42727" s="1"/>
      <c r="G42727" s="1"/>
    </row>
    <row r="42728">
      <c r="B42728" s="36"/>
      <c r="C42728" s="36"/>
      <c r="E42728" s="1"/>
      <c r="F42728" s="1"/>
      <c r="G42728" s="1"/>
    </row>
    <row r="42729">
      <c r="B42729" s="36"/>
      <c r="C42729" s="36"/>
      <c r="E42729" s="1"/>
      <c r="F42729" s="1"/>
      <c r="G42729" s="1"/>
    </row>
    <row r="42730">
      <c r="B42730" s="36"/>
      <c r="C42730" s="36"/>
      <c r="E42730" s="1"/>
      <c r="F42730" s="1"/>
      <c r="G42730" s="1"/>
    </row>
    <row r="42731">
      <c r="B42731" s="36"/>
      <c r="C42731" s="36"/>
      <c r="E42731" s="1"/>
      <c r="F42731" s="1"/>
      <c r="G42731" s="1"/>
    </row>
    <row r="42732">
      <c r="B42732" s="36"/>
      <c r="C42732" s="36"/>
      <c r="E42732" s="1"/>
      <c r="F42732" s="1"/>
      <c r="G42732" s="1"/>
    </row>
    <row r="42733">
      <c r="B42733" s="36"/>
      <c r="C42733" s="36"/>
      <c r="E42733" s="1"/>
      <c r="F42733" s="1"/>
      <c r="G42733" s="1"/>
    </row>
    <row r="42734">
      <c r="B42734" s="36"/>
      <c r="C42734" s="36"/>
      <c r="E42734" s="1"/>
      <c r="F42734" s="1"/>
      <c r="G42734" s="1"/>
    </row>
    <row r="42735">
      <c r="B42735" s="36"/>
      <c r="C42735" s="36"/>
      <c r="E42735" s="1"/>
      <c r="F42735" s="1"/>
      <c r="G42735" s="1"/>
    </row>
    <row r="42736">
      <c r="B42736" s="36"/>
      <c r="C42736" s="36"/>
      <c r="E42736" s="1"/>
      <c r="F42736" s="1"/>
      <c r="G42736" s="1"/>
    </row>
    <row r="42737">
      <c r="B42737" s="36"/>
      <c r="C42737" s="36"/>
      <c r="E42737" s="1"/>
      <c r="F42737" s="1"/>
      <c r="G42737" s="1"/>
    </row>
    <row r="42738">
      <c r="B42738" s="36"/>
      <c r="C42738" s="36"/>
      <c r="E42738" s="1"/>
      <c r="F42738" s="1"/>
      <c r="G42738" s="1"/>
    </row>
    <row r="42739">
      <c r="B42739" s="36"/>
      <c r="C42739" s="36"/>
      <c r="E42739" s="1"/>
      <c r="F42739" s="1"/>
      <c r="G42739" s="1"/>
    </row>
    <row r="42740">
      <c r="B42740" s="36"/>
      <c r="C42740" s="36"/>
      <c r="E42740" s="1"/>
      <c r="F42740" s="1"/>
      <c r="G42740" s="1"/>
    </row>
    <row r="42741">
      <c r="B42741" s="36"/>
      <c r="C42741" s="36"/>
      <c r="E42741" s="1"/>
      <c r="F42741" s="1"/>
      <c r="G42741" s="1"/>
    </row>
    <row r="42742">
      <c r="B42742" s="36"/>
      <c r="C42742" s="36"/>
      <c r="E42742" s="1"/>
      <c r="F42742" s="1"/>
      <c r="G42742" s="1"/>
    </row>
    <row r="42743">
      <c r="B42743" s="36"/>
      <c r="C42743" s="36"/>
      <c r="E42743" s="1"/>
      <c r="F42743" s="1"/>
      <c r="G42743" s="1"/>
    </row>
    <row r="42744">
      <c r="B42744" s="36"/>
      <c r="C42744" s="36"/>
      <c r="E42744" s="1"/>
      <c r="F42744" s="1"/>
      <c r="G42744" s="1"/>
    </row>
    <row r="42745">
      <c r="B42745" s="36"/>
      <c r="C42745" s="36"/>
      <c r="E42745" s="1"/>
      <c r="F42745" s="1"/>
      <c r="G42745" s="1"/>
    </row>
    <row r="42746">
      <c r="B42746" s="36"/>
      <c r="C42746" s="36"/>
      <c r="E42746" s="1"/>
      <c r="F42746" s="1"/>
      <c r="G42746" s="1"/>
    </row>
    <row r="42747">
      <c r="B42747" s="36"/>
      <c r="C42747" s="36"/>
      <c r="E42747" s="1"/>
      <c r="F42747" s="1"/>
      <c r="G42747" s="1"/>
    </row>
    <row r="42748">
      <c r="B42748" s="36"/>
      <c r="C42748" s="36"/>
      <c r="E42748" s="1"/>
      <c r="F42748" s="1"/>
      <c r="G42748" s="1"/>
    </row>
    <row r="42749">
      <c r="B42749" s="36"/>
      <c r="C42749" s="36"/>
      <c r="E42749" s="1"/>
      <c r="F42749" s="1"/>
      <c r="G42749" s="1"/>
    </row>
    <row r="42750">
      <c r="B42750" s="36"/>
      <c r="C42750" s="36"/>
      <c r="E42750" s="1"/>
      <c r="F42750" s="1"/>
      <c r="G42750" s="1"/>
    </row>
    <row r="42751">
      <c r="B42751" s="36"/>
      <c r="C42751" s="36"/>
      <c r="E42751" s="1"/>
      <c r="F42751" s="1"/>
      <c r="G42751" s="1"/>
    </row>
    <row r="42752">
      <c r="B42752" s="36"/>
      <c r="C42752" s="36"/>
      <c r="E42752" s="1"/>
      <c r="F42752" s="1"/>
      <c r="G42752" s="1"/>
    </row>
    <row r="42753">
      <c r="B42753" s="36"/>
      <c r="C42753" s="36"/>
      <c r="E42753" s="1"/>
      <c r="F42753" s="1"/>
      <c r="G42753" s="1"/>
    </row>
    <row r="42754">
      <c r="B42754" s="36"/>
      <c r="C42754" s="36"/>
      <c r="E42754" s="1"/>
      <c r="F42754" s="1"/>
      <c r="G42754" s="1"/>
    </row>
    <row r="42755">
      <c r="B42755" s="36"/>
      <c r="C42755" s="36"/>
      <c r="E42755" s="1"/>
      <c r="F42755" s="1"/>
      <c r="G42755" s="1"/>
    </row>
    <row r="42756">
      <c r="B42756" s="36"/>
      <c r="C42756" s="36"/>
      <c r="E42756" s="1"/>
      <c r="F42756" s="1"/>
      <c r="G42756" s="1"/>
    </row>
    <row r="42757">
      <c r="B42757" s="36"/>
      <c r="C42757" s="36"/>
      <c r="E42757" s="1"/>
      <c r="F42757" s="1"/>
      <c r="G42757" s="1"/>
    </row>
    <row r="42758">
      <c r="B42758" s="36"/>
      <c r="C42758" s="36"/>
      <c r="E42758" s="1"/>
      <c r="F42758" s="1"/>
      <c r="G42758" s="1"/>
    </row>
    <row r="42759">
      <c r="B42759" s="36"/>
      <c r="C42759" s="36"/>
      <c r="E42759" s="1"/>
      <c r="F42759" s="1"/>
      <c r="G42759" s="1"/>
    </row>
    <row r="42760">
      <c r="B42760" s="36"/>
      <c r="C42760" s="36"/>
      <c r="E42760" s="1"/>
      <c r="F42760" s="1"/>
      <c r="G42760" s="1"/>
    </row>
    <row r="42761">
      <c r="B42761" s="36"/>
      <c r="C42761" s="36"/>
      <c r="E42761" s="1"/>
      <c r="F42761" s="1"/>
      <c r="G42761" s="1"/>
    </row>
    <row r="42762">
      <c r="B42762" s="36"/>
      <c r="C42762" s="36"/>
      <c r="E42762" s="1"/>
      <c r="F42762" s="1"/>
      <c r="G42762" s="1"/>
    </row>
    <row r="42763">
      <c r="B42763" s="36"/>
      <c r="C42763" s="36"/>
      <c r="E42763" s="1"/>
      <c r="F42763" s="1"/>
      <c r="G42763" s="1"/>
    </row>
    <row r="42764">
      <c r="B42764" s="36"/>
      <c r="C42764" s="36"/>
      <c r="E42764" s="1"/>
      <c r="F42764" s="1"/>
      <c r="G42764" s="1"/>
    </row>
    <row r="42765">
      <c r="B42765" s="36"/>
      <c r="C42765" s="36"/>
      <c r="E42765" s="1"/>
      <c r="F42765" s="1"/>
      <c r="G42765" s="1"/>
    </row>
    <row r="42766">
      <c r="B42766" s="36"/>
      <c r="C42766" s="36"/>
      <c r="E42766" s="1"/>
      <c r="F42766" s="1"/>
      <c r="G42766" s="1"/>
    </row>
    <row r="42767">
      <c r="B42767" s="36"/>
      <c r="C42767" s="36"/>
      <c r="E42767" s="1"/>
      <c r="F42767" s="1"/>
      <c r="G42767" s="1"/>
    </row>
    <row r="42768">
      <c r="B42768" s="36"/>
      <c r="C42768" s="36"/>
      <c r="E42768" s="1"/>
      <c r="F42768" s="1"/>
      <c r="G42768" s="1"/>
    </row>
    <row r="42769">
      <c r="B42769" s="36"/>
      <c r="C42769" s="36"/>
      <c r="E42769" s="1"/>
      <c r="F42769" s="1"/>
      <c r="G42769" s="1"/>
    </row>
    <row r="42770">
      <c r="B42770" s="36"/>
      <c r="C42770" s="36"/>
      <c r="E42770" s="1"/>
      <c r="F42770" s="1"/>
      <c r="G42770" s="1"/>
    </row>
    <row r="42771">
      <c r="B42771" s="36"/>
      <c r="C42771" s="36"/>
      <c r="E42771" s="1"/>
      <c r="F42771" s="1"/>
      <c r="G42771" s="1"/>
    </row>
    <row r="42772">
      <c r="B42772" s="36"/>
      <c r="C42772" s="36"/>
      <c r="E42772" s="1"/>
      <c r="F42772" s="1"/>
      <c r="G42772" s="1"/>
    </row>
    <row r="42773">
      <c r="B42773" s="36"/>
      <c r="C42773" s="36"/>
      <c r="E42773" s="1"/>
      <c r="F42773" s="1"/>
      <c r="G42773" s="1"/>
    </row>
    <row r="42774">
      <c r="B42774" s="36"/>
      <c r="C42774" s="36"/>
      <c r="E42774" s="1"/>
      <c r="F42774" s="1"/>
      <c r="G42774" s="1"/>
    </row>
    <row r="42775">
      <c r="B42775" s="36"/>
      <c r="C42775" s="36"/>
      <c r="E42775" s="1"/>
      <c r="F42775" s="1"/>
      <c r="G42775" s="1"/>
    </row>
    <row r="42776">
      <c r="B42776" s="36"/>
      <c r="C42776" s="36"/>
      <c r="E42776" s="1"/>
      <c r="F42776" s="1"/>
      <c r="G42776" s="1"/>
    </row>
    <row r="42777">
      <c r="B42777" s="36"/>
      <c r="C42777" s="36"/>
      <c r="E42777" s="1"/>
      <c r="F42777" s="1"/>
      <c r="G42777" s="1"/>
    </row>
    <row r="42778">
      <c r="B42778" s="36"/>
      <c r="C42778" s="36"/>
      <c r="E42778" s="1"/>
      <c r="F42778" s="1"/>
      <c r="G42778" s="1"/>
    </row>
    <row r="42779">
      <c r="B42779" s="36"/>
      <c r="C42779" s="36"/>
      <c r="E42779" s="1"/>
      <c r="F42779" s="1"/>
      <c r="G42779" s="1"/>
    </row>
    <row r="42780">
      <c r="B42780" s="36"/>
      <c r="C42780" s="36"/>
      <c r="E42780" s="1"/>
      <c r="F42780" s="1"/>
      <c r="G42780" s="1"/>
    </row>
    <row r="42781">
      <c r="B42781" s="36"/>
      <c r="C42781" s="36"/>
      <c r="E42781" s="1"/>
      <c r="F42781" s="1"/>
      <c r="G42781" s="1"/>
    </row>
    <row r="42782">
      <c r="B42782" s="36"/>
      <c r="C42782" s="36"/>
      <c r="E42782" s="1"/>
      <c r="F42782" s="1"/>
      <c r="G42782" s="1"/>
    </row>
    <row r="42783">
      <c r="B42783" s="36"/>
      <c r="C42783" s="36"/>
      <c r="E42783" s="1"/>
      <c r="F42783" s="1"/>
      <c r="G42783" s="1"/>
    </row>
    <row r="42784">
      <c r="B42784" s="36"/>
      <c r="C42784" s="36"/>
      <c r="E42784" s="1"/>
      <c r="F42784" s="1"/>
      <c r="G42784" s="1"/>
    </row>
    <row r="42785">
      <c r="B42785" s="36"/>
      <c r="C42785" s="36"/>
      <c r="E42785" s="1"/>
      <c r="F42785" s="1"/>
      <c r="G42785" s="1"/>
    </row>
    <row r="42786">
      <c r="B42786" s="36"/>
      <c r="C42786" s="36"/>
      <c r="E42786" s="1"/>
      <c r="F42786" s="1"/>
      <c r="G42786" s="1"/>
    </row>
    <row r="42787">
      <c r="B42787" s="36"/>
      <c r="C42787" s="36"/>
      <c r="E42787" s="1"/>
      <c r="F42787" s="1"/>
      <c r="G42787" s="1"/>
    </row>
    <row r="42788">
      <c r="B42788" s="36"/>
      <c r="C42788" s="36"/>
      <c r="E42788" s="1"/>
      <c r="F42788" s="1"/>
      <c r="G42788" s="1"/>
    </row>
    <row r="42789">
      <c r="B42789" s="36"/>
      <c r="C42789" s="36"/>
      <c r="E42789" s="1"/>
      <c r="F42789" s="1"/>
      <c r="G42789" s="1"/>
    </row>
    <row r="42790">
      <c r="B42790" s="36"/>
      <c r="C42790" s="36"/>
      <c r="E42790" s="1"/>
      <c r="F42790" s="1"/>
      <c r="G42790" s="1"/>
    </row>
    <row r="42791">
      <c r="B42791" s="36"/>
      <c r="C42791" s="36"/>
      <c r="E42791" s="1"/>
      <c r="F42791" s="1"/>
      <c r="G42791" s="1"/>
    </row>
    <row r="42792">
      <c r="B42792" s="36"/>
      <c r="C42792" s="36"/>
      <c r="E42792" s="1"/>
      <c r="F42792" s="1"/>
      <c r="G42792" s="1"/>
    </row>
    <row r="42793">
      <c r="B42793" s="36"/>
      <c r="C42793" s="36"/>
      <c r="E42793" s="1"/>
      <c r="F42793" s="1"/>
      <c r="G42793" s="1"/>
    </row>
    <row r="42794">
      <c r="B42794" s="36"/>
      <c r="C42794" s="36"/>
      <c r="E42794" s="1"/>
      <c r="F42794" s="1"/>
      <c r="G42794" s="1"/>
    </row>
    <row r="42795">
      <c r="B42795" s="36"/>
      <c r="C42795" s="36"/>
      <c r="E42795" s="1"/>
      <c r="F42795" s="1"/>
      <c r="G42795" s="1"/>
    </row>
    <row r="42796">
      <c r="B42796" s="36"/>
      <c r="C42796" s="36"/>
      <c r="E42796" s="1"/>
      <c r="F42796" s="1"/>
      <c r="G42796" s="1"/>
    </row>
    <row r="42797">
      <c r="B42797" s="36"/>
      <c r="C42797" s="36"/>
      <c r="E42797" s="1"/>
      <c r="F42797" s="1"/>
      <c r="G42797" s="1"/>
    </row>
    <row r="42798">
      <c r="B42798" s="36"/>
      <c r="C42798" s="36"/>
      <c r="E42798" s="1"/>
      <c r="F42798" s="1"/>
      <c r="G42798" s="1"/>
    </row>
    <row r="42799">
      <c r="B42799" s="36"/>
      <c r="C42799" s="36"/>
      <c r="E42799" s="1"/>
      <c r="F42799" s="1"/>
      <c r="G42799" s="1"/>
    </row>
    <row r="42800">
      <c r="B42800" s="36"/>
      <c r="C42800" s="36"/>
      <c r="E42800" s="1"/>
      <c r="F42800" s="1"/>
      <c r="G42800" s="1"/>
    </row>
    <row r="42801">
      <c r="B42801" s="36"/>
      <c r="C42801" s="36"/>
      <c r="E42801" s="1"/>
      <c r="F42801" s="1"/>
      <c r="G42801" s="1"/>
    </row>
    <row r="42802">
      <c r="B42802" s="36"/>
      <c r="C42802" s="36"/>
      <c r="E42802" s="1"/>
      <c r="F42802" s="1"/>
      <c r="G42802" s="1"/>
    </row>
    <row r="42803">
      <c r="B42803" s="36"/>
      <c r="C42803" s="36"/>
      <c r="E42803" s="1"/>
      <c r="F42803" s="1"/>
      <c r="G42803" s="1"/>
    </row>
    <row r="42804">
      <c r="B42804" s="36"/>
      <c r="C42804" s="36"/>
      <c r="E42804" s="1"/>
      <c r="F42804" s="1"/>
      <c r="G42804" s="1"/>
    </row>
    <row r="42805">
      <c r="B42805" s="36"/>
      <c r="C42805" s="36"/>
      <c r="E42805" s="1"/>
      <c r="F42805" s="1"/>
      <c r="G42805" s="1"/>
    </row>
    <row r="42806">
      <c r="B42806" s="36"/>
      <c r="C42806" s="36"/>
      <c r="E42806" s="1"/>
      <c r="F42806" s="1"/>
      <c r="G42806" s="1"/>
    </row>
    <row r="42807">
      <c r="B42807" s="36"/>
      <c r="C42807" s="36"/>
      <c r="E42807" s="1"/>
      <c r="F42807" s="1"/>
      <c r="G42807" s="1"/>
    </row>
    <row r="42808">
      <c r="B42808" s="36"/>
      <c r="C42808" s="36"/>
      <c r="E42808" s="1"/>
      <c r="F42808" s="1"/>
      <c r="G42808" s="1"/>
    </row>
    <row r="42809">
      <c r="B42809" s="36"/>
      <c r="C42809" s="36"/>
      <c r="E42809" s="1"/>
      <c r="F42809" s="1"/>
      <c r="G42809" s="1"/>
    </row>
    <row r="42810">
      <c r="B42810" s="36"/>
      <c r="C42810" s="36"/>
      <c r="E42810" s="1"/>
      <c r="F42810" s="1"/>
      <c r="G42810" s="1"/>
    </row>
    <row r="42811">
      <c r="B42811" s="36"/>
      <c r="C42811" s="36"/>
      <c r="E42811" s="1"/>
      <c r="F42811" s="1"/>
      <c r="G42811" s="1"/>
    </row>
    <row r="42812">
      <c r="B42812" s="36"/>
      <c r="C42812" s="36"/>
      <c r="E42812" s="1"/>
      <c r="F42812" s="1"/>
      <c r="G42812" s="1"/>
    </row>
    <row r="42813">
      <c r="B42813" s="36"/>
      <c r="C42813" s="36"/>
      <c r="E42813" s="1"/>
      <c r="F42813" s="1"/>
      <c r="G42813" s="1"/>
    </row>
    <row r="42814">
      <c r="B42814" s="36"/>
      <c r="C42814" s="36"/>
      <c r="E42814" s="1"/>
      <c r="F42814" s="1"/>
      <c r="G42814" s="1"/>
    </row>
    <row r="42815">
      <c r="B42815" s="36"/>
      <c r="C42815" s="36"/>
      <c r="E42815" s="1"/>
      <c r="F42815" s="1"/>
      <c r="G42815" s="1"/>
    </row>
    <row r="42816">
      <c r="B42816" s="36"/>
      <c r="C42816" s="36"/>
      <c r="E42816" s="1"/>
      <c r="F42816" s="1"/>
      <c r="G42816" s="1"/>
    </row>
    <row r="42817">
      <c r="B42817" s="36"/>
      <c r="C42817" s="36"/>
      <c r="E42817" s="1"/>
      <c r="F42817" s="1"/>
      <c r="G42817" s="1"/>
    </row>
    <row r="42818">
      <c r="B42818" s="36"/>
      <c r="C42818" s="36"/>
      <c r="E42818" s="1"/>
      <c r="F42818" s="1"/>
      <c r="G42818" s="1"/>
    </row>
    <row r="42819">
      <c r="B42819" s="36"/>
      <c r="C42819" s="36"/>
      <c r="E42819" s="1"/>
      <c r="F42819" s="1"/>
      <c r="G42819" s="1"/>
    </row>
    <row r="42820">
      <c r="B42820" s="36"/>
      <c r="C42820" s="36"/>
      <c r="E42820" s="1"/>
      <c r="F42820" s="1"/>
      <c r="G42820" s="1"/>
    </row>
    <row r="42821">
      <c r="B42821" s="36"/>
      <c r="C42821" s="36"/>
      <c r="E42821" s="1"/>
      <c r="F42821" s="1"/>
      <c r="G42821" s="1"/>
    </row>
    <row r="42822">
      <c r="B42822" s="36"/>
      <c r="C42822" s="36"/>
      <c r="E42822" s="1"/>
      <c r="F42822" s="1"/>
      <c r="G42822" s="1"/>
    </row>
    <row r="42823">
      <c r="B42823" s="36"/>
      <c r="C42823" s="36"/>
      <c r="E42823" s="1"/>
      <c r="F42823" s="1"/>
      <c r="G42823" s="1"/>
    </row>
    <row r="42824">
      <c r="B42824" s="36"/>
      <c r="C42824" s="36"/>
      <c r="E42824" s="1"/>
      <c r="F42824" s="1"/>
      <c r="G42824" s="1"/>
    </row>
    <row r="42825">
      <c r="B42825" s="36"/>
      <c r="C42825" s="36"/>
      <c r="E42825" s="1"/>
      <c r="F42825" s="1"/>
      <c r="G42825" s="1"/>
    </row>
    <row r="42826">
      <c r="B42826" s="36"/>
      <c r="C42826" s="36"/>
      <c r="E42826" s="1"/>
      <c r="F42826" s="1"/>
      <c r="G42826" s="1"/>
    </row>
    <row r="42827">
      <c r="B42827" s="36"/>
      <c r="C42827" s="36"/>
      <c r="E42827" s="1"/>
      <c r="F42827" s="1"/>
      <c r="G42827" s="1"/>
    </row>
    <row r="42828">
      <c r="B42828" s="36"/>
      <c r="C42828" s="36"/>
      <c r="E42828" s="1"/>
      <c r="F42828" s="1"/>
      <c r="G42828" s="1"/>
    </row>
    <row r="42829">
      <c r="B42829" s="36"/>
      <c r="C42829" s="36"/>
      <c r="E42829" s="1"/>
      <c r="F42829" s="1"/>
      <c r="G42829" s="1"/>
    </row>
    <row r="42830">
      <c r="B42830" s="36"/>
      <c r="C42830" s="36"/>
      <c r="E42830" s="1"/>
      <c r="F42830" s="1"/>
      <c r="G42830" s="1"/>
    </row>
    <row r="42831">
      <c r="B42831" s="36"/>
      <c r="C42831" s="36"/>
      <c r="E42831" s="1"/>
      <c r="F42831" s="1"/>
      <c r="G42831" s="1"/>
    </row>
    <row r="42832">
      <c r="B42832" s="36"/>
      <c r="C42832" s="36"/>
      <c r="E42832" s="1"/>
      <c r="F42832" s="1"/>
      <c r="G42832" s="1"/>
    </row>
    <row r="42833">
      <c r="B42833" s="36"/>
      <c r="C42833" s="36"/>
      <c r="E42833" s="1"/>
      <c r="F42833" s="1"/>
      <c r="G42833" s="1"/>
    </row>
    <row r="42834">
      <c r="B42834" s="36"/>
      <c r="C42834" s="36"/>
      <c r="E42834" s="1"/>
      <c r="F42834" s="1"/>
      <c r="G42834" s="1"/>
    </row>
    <row r="42835">
      <c r="B42835" s="36"/>
      <c r="C42835" s="36"/>
      <c r="E42835" s="1"/>
      <c r="F42835" s="1"/>
      <c r="G42835" s="1"/>
    </row>
    <row r="42836">
      <c r="B42836" s="36"/>
      <c r="C42836" s="36"/>
      <c r="E42836" s="1"/>
      <c r="F42836" s="1"/>
      <c r="G42836" s="1"/>
    </row>
    <row r="42837">
      <c r="B42837" s="36"/>
      <c r="C42837" s="36"/>
      <c r="E42837" s="1"/>
      <c r="F42837" s="1"/>
      <c r="G42837" s="1"/>
    </row>
    <row r="42838">
      <c r="B42838" s="36"/>
      <c r="C42838" s="36"/>
      <c r="E42838" s="1"/>
      <c r="F42838" s="1"/>
      <c r="G42838" s="1"/>
    </row>
    <row r="42839">
      <c r="B42839" s="36"/>
      <c r="C42839" s="36"/>
      <c r="E42839" s="1"/>
      <c r="F42839" s="1"/>
      <c r="G42839" s="1"/>
    </row>
    <row r="42840">
      <c r="B42840" s="36"/>
      <c r="C42840" s="36"/>
      <c r="E42840" s="1"/>
      <c r="F42840" s="1"/>
      <c r="G42840" s="1"/>
    </row>
    <row r="42841">
      <c r="B42841" s="36"/>
      <c r="C42841" s="36"/>
      <c r="E42841" s="1"/>
      <c r="F42841" s="1"/>
      <c r="G42841" s="1"/>
    </row>
    <row r="42842">
      <c r="B42842" s="36"/>
      <c r="C42842" s="36"/>
      <c r="E42842" s="1"/>
      <c r="F42842" s="1"/>
      <c r="G42842" s="1"/>
    </row>
    <row r="42843">
      <c r="B42843" s="36"/>
      <c r="C42843" s="36"/>
      <c r="E42843" s="1"/>
      <c r="F42843" s="1"/>
      <c r="G42843" s="1"/>
    </row>
    <row r="42844">
      <c r="B42844" s="36"/>
      <c r="C42844" s="36"/>
      <c r="E42844" s="1"/>
      <c r="F42844" s="1"/>
      <c r="G42844" s="1"/>
    </row>
    <row r="42845">
      <c r="B42845" s="36"/>
      <c r="C42845" s="36"/>
      <c r="E42845" s="1"/>
      <c r="F42845" s="1"/>
      <c r="G42845" s="1"/>
    </row>
    <row r="42846">
      <c r="B42846" s="36"/>
      <c r="C42846" s="36"/>
      <c r="E42846" s="1"/>
      <c r="F42846" s="1"/>
      <c r="G42846" s="1"/>
    </row>
    <row r="42847">
      <c r="B42847" s="36"/>
      <c r="C42847" s="36"/>
      <c r="E42847" s="1"/>
      <c r="F42847" s="1"/>
      <c r="G42847" s="1"/>
    </row>
    <row r="42848">
      <c r="B42848" s="36"/>
      <c r="C42848" s="36"/>
      <c r="E42848" s="1"/>
      <c r="F42848" s="1"/>
      <c r="G42848" s="1"/>
    </row>
    <row r="42849">
      <c r="B42849" s="36"/>
      <c r="C42849" s="36"/>
      <c r="E42849" s="1"/>
      <c r="F42849" s="1"/>
      <c r="G42849" s="1"/>
    </row>
    <row r="42850">
      <c r="B42850" s="36"/>
      <c r="C42850" s="36"/>
      <c r="E42850" s="1"/>
      <c r="F42850" s="1"/>
      <c r="G42850" s="1"/>
    </row>
    <row r="42851">
      <c r="B42851" s="36"/>
      <c r="C42851" s="36"/>
      <c r="E42851" s="1"/>
      <c r="F42851" s="1"/>
      <c r="G42851" s="1"/>
    </row>
    <row r="42852">
      <c r="B42852" s="36"/>
      <c r="C42852" s="36"/>
      <c r="E42852" s="1"/>
      <c r="F42852" s="1"/>
      <c r="G42852" s="1"/>
    </row>
    <row r="42853">
      <c r="B42853" s="36"/>
      <c r="C42853" s="36"/>
      <c r="E42853" s="1"/>
      <c r="F42853" s="1"/>
      <c r="G42853" s="1"/>
    </row>
    <row r="42854">
      <c r="B42854" s="36"/>
      <c r="C42854" s="36"/>
      <c r="E42854" s="1"/>
      <c r="F42854" s="1"/>
      <c r="G42854" s="1"/>
    </row>
    <row r="42855">
      <c r="B42855" s="36"/>
      <c r="C42855" s="36"/>
      <c r="E42855" s="1"/>
      <c r="F42855" s="1"/>
      <c r="G42855" s="1"/>
    </row>
    <row r="42856">
      <c r="B42856" s="36"/>
      <c r="C42856" s="36"/>
      <c r="E42856" s="1"/>
      <c r="F42856" s="1"/>
      <c r="G42856" s="1"/>
    </row>
    <row r="42857">
      <c r="B42857" s="36"/>
      <c r="C42857" s="36"/>
      <c r="E42857" s="1"/>
      <c r="F42857" s="1"/>
      <c r="G42857" s="1"/>
    </row>
    <row r="42858">
      <c r="B42858" s="36"/>
      <c r="C42858" s="36"/>
      <c r="E42858" s="1"/>
      <c r="F42858" s="1"/>
      <c r="G42858" s="1"/>
    </row>
    <row r="42859">
      <c r="B42859" s="36"/>
      <c r="C42859" s="36"/>
      <c r="E42859" s="1"/>
      <c r="F42859" s="1"/>
      <c r="G42859" s="1"/>
    </row>
    <row r="42860">
      <c r="B42860" s="36"/>
      <c r="C42860" s="36"/>
      <c r="E42860" s="1"/>
      <c r="F42860" s="1"/>
      <c r="G42860" s="1"/>
    </row>
    <row r="42861">
      <c r="B42861" s="36"/>
      <c r="C42861" s="36"/>
      <c r="E42861" s="1"/>
      <c r="F42861" s="1"/>
      <c r="G42861" s="1"/>
    </row>
    <row r="42862">
      <c r="B42862" s="36"/>
      <c r="C42862" s="36"/>
      <c r="E42862" s="1"/>
      <c r="F42862" s="1"/>
      <c r="G42862" s="1"/>
    </row>
    <row r="42863">
      <c r="B42863" s="36"/>
      <c r="C42863" s="36"/>
      <c r="E42863" s="1"/>
      <c r="F42863" s="1"/>
      <c r="G42863" s="1"/>
    </row>
    <row r="42864">
      <c r="B42864" s="36"/>
      <c r="C42864" s="36"/>
      <c r="E42864" s="1"/>
      <c r="F42864" s="1"/>
      <c r="G42864" s="1"/>
    </row>
    <row r="42865">
      <c r="B42865" s="36"/>
      <c r="C42865" s="36"/>
      <c r="E42865" s="1"/>
      <c r="F42865" s="1"/>
      <c r="G42865" s="1"/>
    </row>
    <row r="42866">
      <c r="B42866" s="36"/>
      <c r="C42866" s="36"/>
      <c r="E42866" s="1"/>
      <c r="F42866" s="1"/>
      <c r="G42866" s="1"/>
    </row>
    <row r="42867">
      <c r="B42867" s="36"/>
      <c r="C42867" s="36"/>
      <c r="E42867" s="1"/>
      <c r="F42867" s="1"/>
      <c r="G42867" s="1"/>
    </row>
    <row r="42868">
      <c r="B42868" s="36"/>
      <c r="C42868" s="36"/>
      <c r="E42868" s="1"/>
      <c r="F42868" s="1"/>
      <c r="G42868" s="1"/>
    </row>
    <row r="42869">
      <c r="B42869" s="36"/>
      <c r="C42869" s="36"/>
      <c r="E42869" s="1"/>
      <c r="F42869" s="1"/>
      <c r="G42869" s="1"/>
    </row>
    <row r="42870">
      <c r="B42870" s="36"/>
      <c r="C42870" s="36"/>
      <c r="E42870" s="1"/>
      <c r="F42870" s="1"/>
      <c r="G42870" s="1"/>
    </row>
    <row r="42871">
      <c r="B42871" s="36"/>
      <c r="C42871" s="36"/>
      <c r="E42871" s="1"/>
      <c r="F42871" s="1"/>
      <c r="G42871" s="1"/>
    </row>
    <row r="42872">
      <c r="B42872" s="36"/>
      <c r="C42872" s="36"/>
      <c r="E42872" s="1"/>
      <c r="F42872" s="1"/>
      <c r="G42872" s="1"/>
    </row>
    <row r="42873">
      <c r="B42873" s="36"/>
      <c r="C42873" s="36"/>
      <c r="E42873" s="1"/>
      <c r="F42873" s="1"/>
      <c r="G42873" s="1"/>
    </row>
    <row r="42874">
      <c r="B42874" s="36"/>
      <c r="C42874" s="36"/>
      <c r="E42874" s="1"/>
      <c r="F42874" s="1"/>
      <c r="G42874" s="1"/>
    </row>
    <row r="42875">
      <c r="B42875" s="36"/>
      <c r="C42875" s="36"/>
      <c r="E42875" s="1"/>
      <c r="F42875" s="1"/>
      <c r="G42875" s="1"/>
    </row>
    <row r="42876">
      <c r="B42876" s="36"/>
      <c r="C42876" s="36"/>
      <c r="E42876" s="1"/>
      <c r="F42876" s="1"/>
      <c r="G42876" s="1"/>
    </row>
    <row r="42877">
      <c r="B42877" s="36"/>
      <c r="C42877" s="36"/>
      <c r="E42877" s="1"/>
      <c r="F42877" s="1"/>
      <c r="G42877" s="1"/>
    </row>
    <row r="42878">
      <c r="B42878" s="36"/>
      <c r="C42878" s="36"/>
      <c r="E42878" s="1"/>
      <c r="F42878" s="1"/>
      <c r="G42878" s="1"/>
    </row>
    <row r="42879">
      <c r="B42879" s="36"/>
      <c r="C42879" s="36"/>
      <c r="E42879" s="1"/>
      <c r="F42879" s="1"/>
      <c r="G42879" s="1"/>
    </row>
    <row r="42880">
      <c r="B42880" s="36"/>
      <c r="C42880" s="36"/>
      <c r="E42880" s="1"/>
      <c r="F42880" s="1"/>
      <c r="G42880" s="1"/>
    </row>
    <row r="42881">
      <c r="B42881" s="36"/>
      <c r="C42881" s="36"/>
      <c r="E42881" s="1"/>
      <c r="F42881" s="1"/>
      <c r="G42881" s="1"/>
    </row>
    <row r="42882">
      <c r="B42882" s="36"/>
      <c r="C42882" s="36"/>
      <c r="E42882" s="1"/>
      <c r="F42882" s="1"/>
      <c r="G42882" s="1"/>
    </row>
    <row r="42883">
      <c r="B42883" s="36"/>
      <c r="C42883" s="36"/>
      <c r="E42883" s="1"/>
      <c r="F42883" s="1"/>
      <c r="G42883" s="1"/>
    </row>
    <row r="42884">
      <c r="B42884" s="36"/>
      <c r="C42884" s="36"/>
      <c r="E42884" s="1"/>
      <c r="F42884" s="1"/>
      <c r="G42884" s="1"/>
    </row>
    <row r="42885">
      <c r="B42885" s="36"/>
      <c r="C42885" s="36"/>
      <c r="E42885" s="1"/>
      <c r="F42885" s="1"/>
      <c r="G42885" s="1"/>
    </row>
    <row r="42886">
      <c r="B42886" s="36"/>
      <c r="C42886" s="36"/>
      <c r="E42886" s="1"/>
      <c r="F42886" s="1"/>
      <c r="G42886" s="1"/>
    </row>
    <row r="42887">
      <c r="B42887" s="36"/>
      <c r="C42887" s="36"/>
      <c r="E42887" s="1"/>
      <c r="F42887" s="1"/>
      <c r="G42887" s="1"/>
    </row>
    <row r="42888">
      <c r="B42888" s="36"/>
      <c r="C42888" s="36"/>
      <c r="E42888" s="1"/>
      <c r="F42888" s="1"/>
      <c r="G42888" s="1"/>
    </row>
    <row r="42889">
      <c r="B42889" s="36"/>
      <c r="C42889" s="36"/>
      <c r="E42889" s="1"/>
      <c r="F42889" s="1"/>
      <c r="G42889" s="1"/>
    </row>
    <row r="42890">
      <c r="B42890" s="36"/>
      <c r="C42890" s="36"/>
      <c r="E42890" s="1"/>
      <c r="F42890" s="1"/>
      <c r="G42890" s="1"/>
    </row>
    <row r="42891">
      <c r="B42891" s="36"/>
      <c r="C42891" s="36"/>
      <c r="E42891" s="1"/>
      <c r="F42891" s="1"/>
      <c r="G42891" s="1"/>
    </row>
    <row r="42892">
      <c r="B42892" s="36"/>
      <c r="C42892" s="36"/>
      <c r="E42892" s="1"/>
      <c r="F42892" s="1"/>
      <c r="G42892" s="1"/>
    </row>
    <row r="42893">
      <c r="B42893" s="36"/>
      <c r="C42893" s="36"/>
      <c r="E42893" s="1"/>
      <c r="F42893" s="1"/>
      <c r="G42893" s="1"/>
    </row>
    <row r="42894">
      <c r="B42894" s="36"/>
      <c r="C42894" s="36"/>
      <c r="E42894" s="1"/>
      <c r="F42894" s="1"/>
      <c r="G42894" s="1"/>
    </row>
    <row r="42895">
      <c r="B42895" s="36"/>
      <c r="C42895" s="36"/>
      <c r="E42895" s="1"/>
      <c r="F42895" s="1"/>
      <c r="G42895" s="1"/>
    </row>
    <row r="42896">
      <c r="B42896" s="36"/>
      <c r="C42896" s="36"/>
      <c r="E42896" s="1"/>
      <c r="F42896" s="1"/>
      <c r="G42896" s="1"/>
    </row>
    <row r="42897">
      <c r="B42897" s="36"/>
      <c r="C42897" s="36"/>
      <c r="E42897" s="1"/>
      <c r="F42897" s="1"/>
      <c r="G42897" s="1"/>
    </row>
    <row r="42898">
      <c r="B42898" s="36"/>
      <c r="C42898" s="36"/>
      <c r="E42898" s="1"/>
      <c r="F42898" s="1"/>
      <c r="G42898" s="1"/>
    </row>
    <row r="42899">
      <c r="B42899" s="36"/>
      <c r="C42899" s="36"/>
      <c r="E42899" s="1"/>
      <c r="F42899" s="1"/>
      <c r="G42899" s="1"/>
    </row>
    <row r="42900">
      <c r="B42900" s="36"/>
      <c r="C42900" s="36"/>
      <c r="E42900" s="1"/>
      <c r="F42900" s="1"/>
      <c r="G42900" s="1"/>
    </row>
    <row r="42901">
      <c r="B42901" s="36"/>
      <c r="C42901" s="36"/>
      <c r="E42901" s="1"/>
      <c r="F42901" s="1"/>
      <c r="G42901" s="1"/>
    </row>
    <row r="42902">
      <c r="B42902" s="36"/>
      <c r="C42902" s="36"/>
      <c r="E42902" s="1"/>
      <c r="F42902" s="1"/>
      <c r="G42902" s="1"/>
    </row>
    <row r="42903">
      <c r="B42903" s="36"/>
      <c r="C42903" s="36"/>
      <c r="E42903" s="1"/>
      <c r="F42903" s="1"/>
      <c r="G42903" s="1"/>
    </row>
    <row r="42904">
      <c r="B42904" s="36"/>
      <c r="C42904" s="36"/>
      <c r="E42904" s="1"/>
      <c r="F42904" s="1"/>
      <c r="G42904" s="1"/>
    </row>
    <row r="42905">
      <c r="B42905" s="36"/>
      <c r="C42905" s="36"/>
      <c r="E42905" s="1"/>
      <c r="F42905" s="1"/>
      <c r="G42905" s="1"/>
    </row>
    <row r="42906">
      <c r="B42906" s="36"/>
      <c r="C42906" s="36"/>
      <c r="E42906" s="1"/>
      <c r="F42906" s="1"/>
      <c r="G42906" s="1"/>
    </row>
    <row r="42907">
      <c r="B42907" s="36"/>
      <c r="C42907" s="36"/>
      <c r="E42907" s="1"/>
      <c r="F42907" s="1"/>
      <c r="G42907" s="1"/>
    </row>
    <row r="42908">
      <c r="B42908" s="36"/>
      <c r="C42908" s="36"/>
      <c r="E42908" s="1"/>
      <c r="F42908" s="1"/>
      <c r="G42908" s="1"/>
    </row>
    <row r="42909">
      <c r="B42909" s="36"/>
      <c r="C42909" s="36"/>
      <c r="E42909" s="1"/>
      <c r="F42909" s="1"/>
      <c r="G42909" s="1"/>
    </row>
    <row r="42910">
      <c r="B42910" s="36"/>
      <c r="C42910" s="36"/>
      <c r="E42910" s="1"/>
      <c r="F42910" s="1"/>
      <c r="G42910" s="1"/>
    </row>
    <row r="42911">
      <c r="B42911" s="36"/>
      <c r="C42911" s="36"/>
      <c r="E42911" s="1"/>
      <c r="F42911" s="1"/>
      <c r="G42911" s="1"/>
    </row>
    <row r="42912">
      <c r="B42912" s="36"/>
      <c r="C42912" s="36"/>
      <c r="E42912" s="1"/>
      <c r="F42912" s="1"/>
      <c r="G42912" s="1"/>
    </row>
    <row r="42913">
      <c r="B42913" s="36"/>
      <c r="C42913" s="36"/>
      <c r="E42913" s="1"/>
      <c r="F42913" s="1"/>
      <c r="G42913" s="1"/>
    </row>
    <row r="42914">
      <c r="B42914" s="36"/>
      <c r="C42914" s="36"/>
      <c r="E42914" s="1"/>
      <c r="F42914" s="1"/>
      <c r="G42914" s="1"/>
    </row>
    <row r="42915">
      <c r="B42915" s="36"/>
      <c r="C42915" s="36"/>
      <c r="E42915" s="1"/>
      <c r="F42915" s="1"/>
      <c r="G42915" s="1"/>
    </row>
    <row r="42916">
      <c r="B42916" s="36"/>
      <c r="C42916" s="36"/>
      <c r="E42916" s="1"/>
      <c r="F42916" s="1"/>
      <c r="G42916" s="1"/>
    </row>
    <row r="42917">
      <c r="B42917" s="36"/>
      <c r="C42917" s="36"/>
      <c r="E42917" s="1"/>
      <c r="F42917" s="1"/>
      <c r="G42917" s="1"/>
    </row>
    <row r="42918">
      <c r="B42918" s="36"/>
      <c r="C42918" s="36"/>
      <c r="E42918" s="1"/>
      <c r="F42918" s="1"/>
      <c r="G42918" s="1"/>
    </row>
    <row r="42919">
      <c r="B42919" s="36"/>
      <c r="C42919" s="36"/>
      <c r="E42919" s="1"/>
      <c r="F42919" s="1"/>
      <c r="G42919" s="1"/>
    </row>
    <row r="42920">
      <c r="B42920" s="36"/>
      <c r="C42920" s="36"/>
      <c r="E42920" s="1"/>
      <c r="F42920" s="1"/>
      <c r="G42920" s="1"/>
    </row>
    <row r="42921">
      <c r="B42921" s="36"/>
      <c r="C42921" s="36"/>
      <c r="E42921" s="1"/>
      <c r="F42921" s="1"/>
      <c r="G42921" s="1"/>
    </row>
    <row r="42922">
      <c r="B42922" s="36"/>
      <c r="C42922" s="36"/>
      <c r="E42922" s="1"/>
      <c r="F42922" s="1"/>
      <c r="G42922" s="1"/>
    </row>
    <row r="42923">
      <c r="B42923" s="36"/>
      <c r="C42923" s="36"/>
      <c r="E42923" s="1"/>
      <c r="F42923" s="1"/>
      <c r="G42923" s="1"/>
    </row>
    <row r="42924">
      <c r="B42924" s="36"/>
      <c r="C42924" s="36"/>
      <c r="E42924" s="1"/>
      <c r="F42924" s="1"/>
      <c r="G42924" s="1"/>
    </row>
    <row r="42925">
      <c r="B42925" s="36"/>
      <c r="C42925" s="36"/>
      <c r="E42925" s="1"/>
      <c r="F42925" s="1"/>
      <c r="G42925" s="1"/>
    </row>
    <row r="42926">
      <c r="B42926" s="36"/>
      <c r="C42926" s="36"/>
      <c r="E42926" s="1"/>
      <c r="F42926" s="1"/>
      <c r="G42926" s="1"/>
    </row>
    <row r="42927">
      <c r="B42927" s="36"/>
      <c r="C42927" s="36"/>
      <c r="E42927" s="1"/>
      <c r="F42927" s="1"/>
      <c r="G42927" s="1"/>
    </row>
    <row r="42928">
      <c r="B42928" s="36"/>
      <c r="C42928" s="36"/>
      <c r="E42928" s="1"/>
      <c r="F42928" s="1"/>
      <c r="G42928" s="1"/>
    </row>
    <row r="42929">
      <c r="B42929" s="36"/>
      <c r="C42929" s="36"/>
      <c r="E42929" s="1"/>
      <c r="F42929" s="1"/>
      <c r="G42929" s="1"/>
    </row>
    <row r="42930">
      <c r="B42930" s="36"/>
      <c r="C42930" s="36"/>
      <c r="E42930" s="1"/>
      <c r="F42930" s="1"/>
      <c r="G42930" s="1"/>
    </row>
    <row r="42931">
      <c r="B42931" s="36"/>
      <c r="C42931" s="36"/>
      <c r="E42931" s="1"/>
      <c r="F42931" s="1"/>
      <c r="G42931" s="1"/>
    </row>
    <row r="42932">
      <c r="B42932" s="36"/>
      <c r="C42932" s="36"/>
      <c r="E42932" s="1"/>
      <c r="F42932" s="1"/>
      <c r="G42932" s="1"/>
    </row>
    <row r="42933">
      <c r="B42933" s="36"/>
      <c r="C42933" s="36"/>
      <c r="E42933" s="1"/>
      <c r="F42933" s="1"/>
      <c r="G42933" s="1"/>
    </row>
    <row r="42934">
      <c r="B42934" s="36"/>
      <c r="C42934" s="36"/>
      <c r="E42934" s="1"/>
      <c r="F42934" s="1"/>
      <c r="G42934" s="1"/>
    </row>
    <row r="42935">
      <c r="B42935" s="36"/>
      <c r="C42935" s="36"/>
      <c r="E42935" s="1"/>
      <c r="F42935" s="1"/>
      <c r="G42935" s="1"/>
    </row>
    <row r="42936">
      <c r="B42936" s="36"/>
      <c r="C42936" s="36"/>
      <c r="E42936" s="1"/>
      <c r="F42936" s="1"/>
      <c r="G42936" s="1"/>
    </row>
    <row r="42937">
      <c r="B42937" s="36"/>
      <c r="C42937" s="36"/>
      <c r="E42937" s="1"/>
      <c r="F42937" s="1"/>
      <c r="G42937" s="1"/>
    </row>
    <row r="42938">
      <c r="B42938" s="36"/>
      <c r="C42938" s="36"/>
      <c r="E42938" s="1"/>
      <c r="F42938" s="1"/>
      <c r="G42938" s="1"/>
    </row>
    <row r="42939">
      <c r="B42939" s="36"/>
      <c r="C42939" s="36"/>
      <c r="E42939" s="1"/>
      <c r="F42939" s="1"/>
      <c r="G42939" s="1"/>
    </row>
    <row r="42940">
      <c r="B42940" s="36"/>
      <c r="C42940" s="36"/>
      <c r="E42940" s="1"/>
      <c r="F42940" s="1"/>
      <c r="G42940" s="1"/>
    </row>
    <row r="42941">
      <c r="B42941" s="36"/>
      <c r="C42941" s="36"/>
      <c r="E42941" s="1"/>
      <c r="F42941" s="1"/>
      <c r="G42941" s="1"/>
    </row>
    <row r="42942">
      <c r="B42942" s="36"/>
      <c r="C42942" s="36"/>
      <c r="E42942" s="1"/>
      <c r="F42942" s="1"/>
      <c r="G42942" s="1"/>
    </row>
    <row r="42943">
      <c r="B42943" s="36"/>
      <c r="C42943" s="36"/>
      <c r="E42943" s="1"/>
      <c r="F42943" s="1"/>
      <c r="G42943" s="1"/>
    </row>
    <row r="42944">
      <c r="B42944" s="36"/>
      <c r="C42944" s="36"/>
      <c r="E42944" s="1"/>
      <c r="F42944" s="1"/>
      <c r="G42944" s="1"/>
    </row>
    <row r="42945">
      <c r="B42945" s="36"/>
      <c r="C42945" s="36"/>
      <c r="E42945" s="1"/>
      <c r="F42945" s="1"/>
      <c r="G42945" s="1"/>
    </row>
    <row r="42946">
      <c r="B42946" s="36"/>
      <c r="C42946" s="36"/>
      <c r="E42946" s="1"/>
      <c r="F42946" s="1"/>
      <c r="G42946" s="1"/>
    </row>
    <row r="42947">
      <c r="B42947" s="36"/>
      <c r="C42947" s="36"/>
      <c r="E42947" s="1"/>
      <c r="F42947" s="1"/>
      <c r="G42947" s="1"/>
    </row>
    <row r="42948">
      <c r="B42948" s="36"/>
      <c r="C42948" s="36"/>
      <c r="E42948" s="1"/>
      <c r="F42948" s="1"/>
      <c r="G42948" s="1"/>
    </row>
    <row r="42949">
      <c r="B42949" s="36"/>
      <c r="C42949" s="36"/>
      <c r="E42949" s="1"/>
      <c r="F42949" s="1"/>
      <c r="G42949" s="1"/>
    </row>
    <row r="42950">
      <c r="B42950" s="36"/>
      <c r="C42950" s="36"/>
      <c r="E42950" s="1"/>
      <c r="F42950" s="1"/>
      <c r="G42950" s="1"/>
    </row>
    <row r="42951">
      <c r="B42951" s="36"/>
      <c r="C42951" s="36"/>
      <c r="E42951" s="1"/>
      <c r="F42951" s="1"/>
      <c r="G42951" s="1"/>
    </row>
    <row r="42952">
      <c r="B42952" s="36"/>
      <c r="C42952" s="36"/>
      <c r="E42952" s="1"/>
      <c r="F42952" s="1"/>
      <c r="G42952" s="1"/>
    </row>
    <row r="42953">
      <c r="B42953" s="36"/>
      <c r="C42953" s="36"/>
      <c r="E42953" s="1"/>
      <c r="F42953" s="1"/>
      <c r="G42953" s="1"/>
    </row>
    <row r="42954">
      <c r="B42954" s="36"/>
      <c r="C42954" s="36"/>
      <c r="E42954" s="1"/>
      <c r="F42954" s="1"/>
      <c r="G42954" s="1"/>
    </row>
    <row r="42955">
      <c r="B42955" s="36"/>
      <c r="C42955" s="36"/>
      <c r="E42955" s="1"/>
      <c r="F42955" s="1"/>
      <c r="G42955" s="1"/>
    </row>
    <row r="42956">
      <c r="B42956" s="36"/>
      <c r="C42956" s="36"/>
      <c r="E42956" s="1"/>
      <c r="F42956" s="1"/>
      <c r="G42956" s="1"/>
    </row>
    <row r="42957">
      <c r="B42957" s="36"/>
      <c r="C42957" s="36"/>
      <c r="E42957" s="1"/>
      <c r="F42957" s="1"/>
      <c r="G42957" s="1"/>
    </row>
    <row r="42958">
      <c r="B42958" s="36"/>
      <c r="C42958" s="36"/>
      <c r="E42958" s="1"/>
      <c r="F42958" s="1"/>
      <c r="G42958" s="1"/>
    </row>
    <row r="42959">
      <c r="B42959" s="36"/>
      <c r="C42959" s="36"/>
      <c r="E42959" s="1"/>
      <c r="F42959" s="1"/>
      <c r="G42959" s="1"/>
    </row>
    <row r="42960">
      <c r="B42960" s="36"/>
      <c r="C42960" s="36"/>
      <c r="E42960" s="1"/>
      <c r="F42960" s="1"/>
      <c r="G42960" s="1"/>
    </row>
    <row r="42961">
      <c r="B42961" s="36"/>
      <c r="C42961" s="36"/>
      <c r="E42961" s="1"/>
      <c r="F42961" s="1"/>
      <c r="G42961" s="1"/>
    </row>
    <row r="42962">
      <c r="B42962" s="36"/>
      <c r="C42962" s="36"/>
      <c r="E42962" s="1"/>
      <c r="F42962" s="1"/>
      <c r="G42962" s="1"/>
    </row>
    <row r="42963">
      <c r="B42963" s="36"/>
      <c r="C42963" s="36"/>
      <c r="E42963" s="1"/>
      <c r="F42963" s="1"/>
      <c r="G42963" s="1"/>
    </row>
    <row r="42964">
      <c r="B42964" s="36"/>
      <c r="C42964" s="36"/>
      <c r="E42964" s="1"/>
      <c r="F42964" s="1"/>
      <c r="G42964" s="1"/>
    </row>
    <row r="42965">
      <c r="B42965" s="36"/>
      <c r="C42965" s="36"/>
      <c r="E42965" s="1"/>
      <c r="F42965" s="1"/>
      <c r="G42965" s="1"/>
    </row>
    <row r="42966">
      <c r="B42966" s="36"/>
      <c r="C42966" s="36"/>
      <c r="E42966" s="1"/>
      <c r="F42966" s="1"/>
      <c r="G42966" s="1"/>
    </row>
    <row r="42967">
      <c r="B42967" s="36"/>
      <c r="C42967" s="36"/>
      <c r="E42967" s="1"/>
      <c r="F42967" s="1"/>
      <c r="G42967" s="1"/>
    </row>
    <row r="42968">
      <c r="B42968" s="36"/>
      <c r="C42968" s="36"/>
      <c r="E42968" s="1"/>
      <c r="F42968" s="1"/>
      <c r="G42968" s="1"/>
    </row>
    <row r="42969">
      <c r="B42969" s="36"/>
      <c r="C42969" s="36"/>
      <c r="E42969" s="1"/>
      <c r="F42969" s="1"/>
      <c r="G42969" s="1"/>
    </row>
    <row r="42970">
      <c r="B42970" s="36"/>
      <c r="C42970" s="36"/>
      <c r="E42970" s="1"/>
      <c r="F42970" s="1"/>
      <c r="G42970" s="1"/>
    </row>
    <row r="42971">
      <c r="B42971" s="36"/>
      <c r="C42971" s="36"/>
      <c r="E42971" s="1"/>
      <c r="F42971" s="1"/>
      <c r="G42971" s="1"/>
    </row>
    <row r="42972">
      <c r="B42972" s="36"/>
      <c r="C42972" s="36"/>
      <c r="E42972" s="1"/>
      <c r="F42972" s="1"/>
      <c r="G42972" s="1"/>
    </row>
    <row r="42973">
      <c r="B42973" s="36"/>
      <c r="C42973" s="36"/>
      <c r="E42973" s="1"/>
      <c r="F42973" s="1"/>
      <c r="G42973" s="1"/>
    </row>
    <row r="42974">
      <c r="B42974" s="36"/>
      <c r="C42974" s="36"/>
      <c r="E42974" s="1"/>
      <c r="F42974" s="1"/>
      <c r="G42974" s="1"/>
    </row>
    <row r="42975">
      <c r="B42975" s="36"/>
      <c r="C42975" s="36"/>
      <c r="E42975" s="1"/>
      <c r="F42975" s="1"/>
      <c r="G42975" s="1"/>
    </row>
    <row r="42976">
      <c r="B42976" s="36"/>
      <c r="C42976" s="36"/>
      <c r="E42976" s="1"/>
      <c r="F42976" s="1"/>
      <c r="G42976" s="1"/>
    </row>
    <row r="42977">
      <c r="B42977" s="36"/>
      <c r="C42977" s="36"/>
      <c r="E42977" s="1"/>
      <c r="F42977" s="1"/>
      <c r="G42977" s="1"/>
    </row>
    <row r="42978">
      <c r="B42978" s="36"/>
      <c r="C42978" s="36"/>
      <c r="E42978" s="1"/>
      <c r="F42978" s="1"/>
      <c r="G42978" s="1"/>
    </row>
    <row r="42979">
      <c r="B42979" s="36"/>
      <c r="C42979" s="36"/>
      <c r="E42979" s="1"/>
      <c r="F42979" s="1"/>
      <c r="G42979" s="1"/>
    </row>
    <row r="42980">
      <c r="B42980" s="36"/>
      <c r="C42980" s="36"/>
      <c r="E42980" s="1"/>
      <c r="F42980" s="1"/>
      <c r="G42980" s="1"/>
    </row>
    <row r="42981">
      <c r="B42981" s="36"/>
      <c r="C42981" s="36"/>
      <c r="E42981" s="1"/>
      <c r="F42981" s="1"/>
      <c r="G42981" s="1"/>
    </row>
    <row r="42982">
      <c r="B42982" s="36"/>
      <c r="C42982" s="36"/>
      <c r="E42982" s="1"/>
      <c r="F42982" s="1"/>
      <c r="G42982" s="1"/>
    </row>
    <row r="42983">
      <c r="B42983" s="36"/>
      <c r="C42983" s="36"/>
      <c r="E42983" s="1"/>
      <c r="F42983" s="1"/>
      <c r="G42983" s="1"/>
    </row>
    <row r="42984">
      <c r="B42984" s="36"/>
      <c r="C42984" s="36"/>
      <c r="E42984" s="1"/>
      <c r="F42984" s="1"/>
      <c r="G42984" s="1"/>
    </row>
    <row r="42985">
      <c r="B42985" s="36"/>
      <c r="C42985" s="36"/>
      <c r="E42985" s="1"/>
      <c r="F42985" s="1"/>
      <c r="G42985" s="1"/>
    </row>
    <row r="42986">
      <c r="B42986" s="36"/>
      <c r="C42986" s="36"/>
      <c r="E42986" s="1"/>
      <c r="F42986" s="1"/>
      <c r="G42986" s="1"/>
    </row>
    <row r="42987">
      <c r="B42987" s="36"/>
      <c r="C42987" s="36"/>
      <c r="E42987" s="1"/>
      <c r="F42987" s="1"/>
      <c r="G42987" s="1"/>
    </row>
    <row r="42988">
      <c r="B42988" s="36"/>
      <c r="C42988" s="36"/>
      <c r="E42988" s="1"/>
      <c r="F42988" s="1"/>
      <c r="G42988" s="1"/>
    </row>
    <row r="42989">
      <c r="B42989" s="36"/>
      <c r="C42989" s="36"/>
      <c r="E42989" s="1"/>
      <c r="F42989" s="1"/>
      <c r="G42989" s="1"/>
    </row>
    <row r="42990">
      <c r="B42990" s="36"/>
      <c r="C42990" s="36"/>
      <c r="E42990" s="1"/>
      <c r="F42990" s="1"/>
      <c r="G42990" s="1"/>
    </row>
    <row r="42991">
      <c r="B42991" s="36"/>
      <c r="C42991" s="36"/>
      <c r="E42991" s="1"/>
      <c r="F42991" s="1"/>
      <c r="G42991" s="1"/>
    </row>
    <row r="42992">
      <c r="B42992" s="36"/>
      <c r="C42992" s="36"/>
      <c r="E42992" s="1"/>
      <c r="F42992" s="1"/>
      <c r="G42992" s="1"/>
    </row>
    <row r="42993">
      <c r="B42993" s="36"/>
      <c r="C42993" s="36"/>
      <c r="E42993" s="1"/>
      <c r="F42993" s="1"/>
      <c r="G42993" s="1"/>
    </row>
    <row r="42994">
      <c r="B42994" s="36"/>
      <c r="C42994" s="36"/>
      <c r="E42994" s="1"/>
      <c r="F42994" s="1"/>
      <c r="G42994" s="1"/>
    </row>
    <row r="42995">
      <c r="B42995" s="36"/>
      <c r="C42995" s="36"/>
      <c r="E42995" s="1"/>
      <c r="F42995" s="1"/>
      <c r="G42995" s="1"/>
    </row>
    <row r="42996">
      <c r="B42996" s="36"/>
      <c r="C42996" s="36"/>
      <c r="E42996" s="1"/>
      <c r="F42996" s="1"/>
      <c r="G42996" s="1"/>
    </row>
    <row r="42997">
      <c r="B42997" s="36"/>
      <c r="C42997" s="36"/>
      <c r="E42997" s="1"/>
      <c r="F42997" s="1"/>
      <c r="G42997" s="1"/>
    </row>
    <row r="42998">
      <c r="B42998" s="36"/>
      <c r="C42998" s="36"/>
      <c r="E42998" s="1"/>
      <c r="F42998" s="1"/>
      <c r="G42998" s="1"/>
    </row>
    <row r="42999">
      <c r="B42999" s="36"/>
      <c r="C42999" s="36"/>
      <c r="E42999" s="1"/>
      <c r="F42999" s="1"/>
      <c r="G42999" s="1"/>
    </row>
    <row r="43000">
      <c r="B43000" s="36"/>
      <c r="C43000" s="36"/>
      <c r="E43000" s="1"/>
      <c r="F43000" s="1"/>
      <c r="G43000" s="1"/>
    </row>
    <row r="43001">
      <c r="B43001" s="36"/>
      <c r="C43001" s="36"/>
      <c r="E43001" s="1"/>
      <c r="F43001" s="1"/>
      <c r="G43001" s="1"/>
    </row>
    <row r="43002">
      <c r="B43002" s="36"/>
      <c r="C43002" s="36"/>
      <c r="E43002" s="1"/>
      <c r="F43002" s="1"/>
      <c r="G43002" s="1"/>
    </row>
    <row r="43003">
      <c r="B43003" s="36"/>
      <c r="C43003" s="36"/>
      <c r="E43003" s="1"/>
      <c r="F43003" s="1"/>
      <c r="G43003" s="1"/>
    </row>
    <row r="43004">
      <c r="B43004" s="36"/>
      <c r="C43004" s="36"/>
      <c r="E43004" s="1"/>
      <c r="F43004" s="1"/>
      <c r="G43004" s="1"/>
    </row>
    <row r="43005">
      <c r="B43005" s="36"/>
      <c r="C43005" s="36"/>
      <c r="E43005" s="1"/>
      <c r="F43005" s="1"/>
      <c r="G43005" s="1"/>
    </row>
    <row r="43006">
      <c r="B43006" s="36"/>
      <c r="C43006" s="36"/>
      <c r="E43006" s="1"/>
      <c r="F43006" s="1"/>
      <c r="G43006" s="1"/>
    </row>
    <row r="43007">
      <c r="B43007" s="36"/>
      <c r="C43007" s="36"/>
      <c r="E43007" s="1"/>
      <c r="F43007" s="1"/>
      <c r="G43007" s="1"/>
    </row>
    <row r="43008">
      <c r="B43008" s="36"/>
      <c r="C43008" s="36"/>
      <c r="E43008" s="1"/>
      <c r="F43008" s="1"/>
      <c r="G43008" s="1"/>
    </row>
    <row r="43009">
      <c r="B43009" s="36"/>
      <c r="C43009" s="36"/>
      <c r="E43009" s="1"/>
      <c r="F43009" s="1"/>
      <c r="G43009" s="1"/>
    </row>
    <row r="43010">
      <c r="B43010" s="36"/>
      <c r="C43010" s="36"/>
      <c r="E43010" s="1"/>
      <c r="F43010" s="1"/>
      <c r="G43010" s="1"/>
    </row>
    <row r="43011">
      <c r="B43011" s="36"/>
      <c r="C43011" s="36"/>
      <c r="E43011" s="1"/>
      <c r="F43011" s="1"/>
      <c r="G43011" s="1"/>
    </row>
    <row r="43012">
      <c r="B43012" s="36"/>
      <c r="C43012" s="36"/>
      <c r="E43012" s="1"/>
      <c r="F43012" s="1"/>
      <c r="G43012" s="1"/>
    </row>
    <row r="43013">
      <c r="B43013" s="36"/>
      <c r="C43013" s="36"/>
      <c r="E43013" s="1"/>
      <c r="F43013" s="1"/>
      <c r="G43013" s="1"/>
    </row>
    <row r="43014">
      <c r="B43014" s="36"/>
      <c r="C43014" s="36"/>
      <c r="E43014" s="1"/>
      <c r="F43014" s="1"/>
      <c r="G43014" s="1"/>
    </row>
    <row r="43015">
      <c r="B43015" s="36"/>
      <c r="C43015" s="36"/>
      <c r="E43015" s="1"/>
      <c r="F43015" s="1"/>
      <c r="G43015" s="1"/>
    </row>
    <row r="43016">
      <c r="B43016" s="36"/>
      <c r="C43016" s="36"/>
      <c r="E43016" s="1"/>
      <c r="F43016" s="1"/>
      <c r="G43016" s="1"/>
    </row>
    <row r="43017">
      <c r="B43017" s="36"/>
      <c r="C43017" s="36"/>
      <c r="E43017" s="1"/>
      <c r="F43017" s="1"/>
      <c r="G43017" s="1"/>
    </row>
    <row r="43018">
      <c r="B43018" s="36"/>
      <c r="C43018" s="36"/>
      <c r="E43018" s="1"/>
      <c r="F43018" s="1"/>
      <c r="G43018" s="1"/>
    </row>
    <row r="43019">
      <c r="B43019" s="36"/>
      <c r="C43019" s="36"/>
      <c r="E43019" s="1"/>
      <c r="F43019" s="1"/>
      <c r="G43019" s="1"/>
    </row>
    <row r="43020">
      <c r="B43020" s="36"/>
      <c r="C43020" s="36"/>
      <c r="E43020" s="1"/>
      <c r="F43020" s="1"/>
      <c r="G43020" s="1"/>
    </row>
    <row r="43021">
      <c r="B43021" s="36"/>
      <c r="C43021" s="36"/>
      <c r="E43021" s="1"/>
      <c r="F43021" s="1"/>
      <c r="G43021" s="1"/>
    </row>
    <row r="43022">
      <c r="B43022" s="36"/>
      <c r="C43022" s="36"/>
      <c r="E43022" s="1"/>
      <c r="F43022" s="1"/>
      <c r="G43022" s="1"/>
    </row>
    <row r="43023">
      <c r="B43023" s="36"/>
      <c r="C43023" s="36"/>
      <c r="E43023" s="1"/>
      <c r="F43023" s="1"/>
      <c r="G43023" s="1"/>
    </row>
    <row r="43024">
      <c r="B43024" s="36"/>
      <c r="C43024" s="36"/>
      <c r="E43024" s="1"/>
      <c r="F43024" s="1"/>
      <c r="G43024" s="1"/>
    </row>
    <row r="43025">
      <c r="B43025" s="36"/>
      <c r="C43025" s="36"/>
      <c r="E43025" s="1"/>
      <c r="F43025" s="1"/>
      <c r="G43025" s="1"/>
    </row>
    <row r="43026">
      <c r="B43026" s="36"/>
      <c r="C43026" s="36"/>
      <c r="E43026" s="1"/>
      <c r="F43026" s="1"/>
      <c r="G43026" s="1"/>
    </row>
    <row r="43027">
      <c r="B43027" s="36"/>
      <c r="C43027" s="36"/>
      <c r="E43027" s="1"/>
      <c r="F43027" s="1"/>
      <c r="G43027" s="1"/>
    </row>
    <row r="43028">
      <c r="B43028" s="36"/>
      <c r="C43028" s="36"/>
      <c r="E43028" s="1"/>
      <c r="F43028" s="1"/>
      <c r="G43028" s="1"/>
    </row>
    <row r="43029">
      <c r="B43029" s="36"/>
      <c r="C43029" s="36"/>
      <c r="E43029" s="1"/>
      <c r="F43029" s="1"/>
      <c r="G43029" s="1"/>
    </row>
    <row r="43030">
      <c r="B43030" s="36"/>
      <c r="C43030" s="36"/>
      <c r="E43030" s="1"/>
      <c r="F43030" s="1"/>
      <c r="G43030" s="1"/>
    </row>
    <row r="43031">
      <c r="B43031" s="36"/>
      <c r="C43031" s="36"/>
      <c r="E43031" s="1"/>
      <c r="F43031" s="1"/>
      <c r="G43031" s="1"/>
    </row>
    <row r="43032">
      <c r="B43032" s="36"/>
      <c r="C43032" s="36"/>
      <c r="E43032" s="1"/>
      <c r="F43032" s="1"/>
      <c r="G43032" s="1"/>
    </row>
    <row r="43033">
      <c r="B43033" s="36"/>
      <c r="C43033" s="36"/>
      <c r="E43033" s="1"/>
      <c r="F43033" s="1"/>
      <c r="G43033" s="1"/>
    </row>
    <row r="43034">
      <c r="B43034" s="36"/>
      <c r="C43034" s="36"/>
      <c r="E43034" s="1"/>
      <c r="F43034" s="1"/>
      <c r="G43034" s="1"/>
    </row>
    <row r="43035">
      <c r="B43035" s="36"/>
      <c r="C43035" s="36"/>
      <c r="E43035" s="1"/>
      <c r="F43035" s="1"/>
      <c r="G43035" s="1"/>
    </row>
    <row r="43036">
      <c r="B43036" s="36"/>
      <c r="C43036" s="36"/>
      <c r="E43036" s="1"/>
      <c r="F43036" s="1"/>
      <c r="G43036" s="1"/>
    </row>
    <row r="43037">
      <c r="B43037" s="36"/>
      <c r="C43037" s="36"/>
      <c r="E43037" s="1"/>
      <c r="F43037" s="1"/>
      <c r="G43037" s="1"/>
    </row>
    <row r="43038">
      <c r="B43038" s="36"/>
      <c r="C43038" s="36"/>
      <c r="E43038" s="1"/>
      <c r="F43038" s="1"/>
      <c r="G43038" s="1"/>
    </row>
    <row r="43039">
      <c r="B43039" s="36"/>
      <c r="C43039" s="36"/>
      <c r="E43039" s="1"/>
      <c r="F43039" s="1"/>
      <c r="G43039" s="1"/>
    </row>
    <row r="43040">
      <c r="B43040" s="36"/>
      <c r="C43040" s="36"/>
      <c r="E43040" s="1"/>
      <c r="F43040" s="1"/>
      <c r="G43040" s="1"/>
    </row>
    <row r="43041">
      <c r="B43041" s="36"/>
      <c r="C43041" s="36"/>
      <c r="E43041" s="1"/>
      <c r="F43041" s="1"/>
      <c r="G43041" s="1"/>
    </row>
    <row r="43042">
      <c r="B43042" s="36"/>
      <c r="C43042" s="36"/>
      <c r="E43042" s="1"/>
      <c r="F43042" s="1"/>
      <c r="G43042" s="1"/>
    </row>
    <row r="43043">
      <c r="B43043" s="36"/>
      <c r="C43043" s="36"/>
      <c r="E43043" s="1"/>
      <c r="F43043" s="1"/>
      <c r="G43043" s="1"/>
    </row>
    <row r="43044">
      <c r="B43044" s="36"/>
      <c r="C43044" s="36"/>
      <c r="E43044" s="1"/>
      <c r="F43044" s="1"/>
      <c r="G43044" s="1"/>
    </row>
    <row r="43045">
      <c r="B43045" s="36"/>
      <c r="C43045" s="36"/>
      <c r="E43045" s="1"/>
      <c r="F43045" s="1"/>
      <c r="G43045" s="1"/>
    </row>
    <row r="43046">
      <c r="B43046" s="36"/>
      <c r="C43046" s="36"/>
      <c r="E43046" s="1"/>
      <c r="F43046" s="1"/>
      <c r="G43046" s="1"/>
    </row>
    <row r="43047">
      <c r="B43047" s="36"/>
      <c r="C43047" s="36"/>
      <c r="E43047" s="1"/>
      <c r="F43047" s="1"/>
      <c r="G43047" s="1"/>
    </row>
    <row r="43048">
      <c r="B43048" s="36"/>
      <c r="C43048" s="36"/>
      <c r="E43048" s="1"/>
      <c r="F43048" s="1"/>
      <c r="G43048" s="1"/>
    </row>
    <row r="43049">
      <c r="B43049" s="36"/>
      <c r="C43049" s="36"/>
      <c r="E43049" s="1"/>
      <c r="F43049" s="1"/>
      <c r="G43049" s="1"/>
    </row>
    <row r="43050">
      <c r="B43050" s="36"/>
      <c r="C43050" s="36"/>
      <c r="E43050" s="1"/>
      <c r="F43050" s="1"/>
      <c r="G43050" s="1"/>
    </row>
    <row r="43051">
      <c r="B43051" s="36"/>
      <c r="C43051" s="36"/>
      <c r="E43051" s="1"/>
      <c r="F43051" s="1"/>
      <c r="G43051" s="1"/>
    </row>
    <row r="43052">
      <c r="B43052" s="36"/>
      <c r="C43052" s="36"/>
      <c r="E43052" s="1"/>
      <c r="F43052" s="1"/>
      <c r="G43052" s="1"/>
    </row>
    <row r="43053">
      <c r="B43053" s="36"/>
      <c r="C43053" s="36"/>
      <c r="E43053" s="1"/>
      <c r="F43053" s="1"/>
      <c r="G43053" s="1"/>
    </row>
    <row r="43054">
      <c r="B43054" s="36"/>
      <c r="C43054" s="36"/>
      <c r="E43054" s="1"/>
      <c r="F43054" s="1"/>
      <c r="G43054" s="1"/>
    </row>
    <row r="43055">
      <c r="B43055" s="36"/>
      <c r="C43055" s="36"/>
      <c r="E43055" s="1"/>
      <c r="F43055" s="1"/>
      <c r="G43055" s="1"/>
    </row>
    <row r="43056">
      <c r="B43056" s="36"/>
      <c r="C43056" s="36"/>
      <c r="E43056" s="1"/>
      <c r="F43056" s="1"/>
      <c r="G43056" s="1"/>
    </row>
    <row r="43057">
      <c r="B43057" s="36"/>
      <c r="C43057" s="36"/>
      <c r="E43057" s="1"/>
      <c r="F43057" s="1"/>
      <c r="G43057" s="1"/>
    </row>
    <row r="43058">
      <c r="B43058" s="36"/>
      <c r="C43058" s="36"/>
      <c r="E43058" s="1"/>
      <c r="F43058" s="1"/>
      <c r="G43058" s="1"/>
    </row>
    <row r="43059">
      <c r="B43059" s="36"/>
      <c r="C43059" s="36"/>
      <c r="E43059" s="1"/>
      <c r="F43059" s="1"/>
      <c r="G43059" s="1"/>
    </row>
    <row r="43060">
      <c r="B43060" s="36"/>
      <c r="C43060" s="36"/>
      <c r="E43060" s="1"/>
      <c r="F43060" s="1"/>
      <c r="G43060" s="1"/>
    </row>
    <row r="43061">
      <c r="B43061" s="36"/>
      <c r="C43061" s="36"/>
      <c r="E43061" s="1"/>
      <c r="F43061" s="1"/>
      <c r="G43061" s="1"/>
    </row>
    <row r="43062">
      <c r="B43062" s="36"/>
      <c r="C43062" s="36"/>
      <c r="E43062" s="1"/>
      <c r="F43062" s="1"/>
      <c r="G43062" s="1"/>
    </row>
    <row r="43063">
      <c r="B43063" s="36"/>
      <c r="C43063" s="36"/>
      <c r="E43063" s="1"/>
      <c r="F43063" s="1"/>
      <c r="G43063" s="1"/>
    </row>
    <row r="43064">
      <c r="B43064" s="36"/>
      <c r="C43064" s="36"/>
      <c r="E43064" s="1"/>
      <c r="F43064" s="1"/>
      <c r="G43064" s="1"/>
    </row>
    <row r="43065">
      <c r="B43065" s="36"/>
      <c r="C43065" s="36"/>
      <c r="E43065" s="1"/>
      <c r="F43065" s="1"/>
      <c r="G43065" s="1"/>
    </row>
    <row r="43066">
      <c r="B43066" s="36"/>
      <c r="C43066" s="36"/>
      <c r="E43066" s="1"/>
      <c r="F43066" s="1"/>
      <c r="G43066" s="1"/>
    </row>
    <row r="43067">
      <c r="B43067" s="36"/>
      <c r="C43067" s="36"/>
      <c r="E43067" s="1"/>
      <c r="F43067" s="1"/>
      <c r="G43067" s="1"/>
    </row>
    <row r="43068">
      <c r="B43068" s="36"/>
      <c r="C43068" s="36"/>
      <c r="E43068" s="1"/>
      <c r="F43068" s="1"/>
      <c r="G43068" s="1"/>
    </row>
    <row r="43069">
      <c r="B43069" s="36"/>
      <c r="C43069" s="36"/>
      <c r="E43069" s="1"/>
      <c r="F43069" s="1"/>
      <c r="G43069" s="1"/>
    </row>
    <row r="43070">
      <c r="B43070" s="36"/>
      <c r="C43070" s="36"/>
      <c r="E43070" s="1"/>
      <c r="F43070" s="1"/>
      <c r="G43070" s="1"/>
    </row>
    <row r="43071">
      <c r="B43071" s="36"/>
      <c r="C43071" s="36"/>
      <c r="E43071" s="1"/>
      <c r="F43071" s="1"/>
      <c r="G43071" s="1"/>
    </row>
    <row r="43072">
      <c r="B43072" s="36"/>
      <c r="C43072" s="36"/>
      <c r="E43072" s="1"/>
      <c r="F43072" s="1"/>
      <c r="G43072" s="1"/>
    </row>
    <row r="43073">
      <c r="B43073" s="36"/>
      <c r="C43073" s="36"/>
      <c r="E43073" s="1"/>
      <c r="F43073" s="1"/>
      <c r="G43073" s="1"/>
    </row>
    <row r="43074">
      <c r="B43074" s="36"/>
      <c r="C43074" s="36"/>
      <c r="E43074" s="1"/>
      <c r="F43074" s="1"/>
      <c r="G43074" s="1"/>
    </row>
    <row r="43075">
      <c r="B43075" s="36"/>
      <c r="C43075" s="36"/>
      <c r="E43075" s="1"/>
      <c r="F43075" s="1"/>
      <c r="G43075" s="1"/>
    </row>
    <row r="43076">
      <c r="B43076" s="36"/>
      <c r="C43076" s="36"/>
      <c r="E43076" s="1"/>
      <c r="F43076" s="1"/>
      <c r="G43076" s="1"/>
    </row>
    <row r="43077">
      <c r="B43077" s="36"/>
      <c r="C43077" s="36"/>
      <c r="E43077" s="1"/>
      <c r="F43077" s="1"/>
      <c r="G43077" s="1"/>
    </row>
    <row r="43078">
      <c r="B43078" s="36"/>
      <c r="C43078" s="36"/>
      <c r="E43078" s="1"/>
      <c r="F43078" s="1"/>
      <c r="G43078" s="1"/>
    </row>
    <row r="43079">
      <c r="B43079" s="36"/>
      <c r="C43079" s="36"/>
      <c r="E43079" s="1"/>
      <c r="F43079" s="1"/>
      <c r="G43079" s="1"/>
    </row>
    <row r="43080">
      <c r="B43080" s="36"/>
      <c r="C43080" s="36"/>
      <c r="E43080" s="1"/>
      <c r="F43080" s="1"/>
      <c r="G43080" s="1"/>
    </row>
    <row r="43081">
      <c r="B43081" s="36"/>
      <c r="C43081" s="36"/>
      <c r="E43081" s="1"/>
      <c r="F43081" s="1"/>
      <c r="G43081" s="1"/>
    </row>
    <row r="43082">
      <c r="B43082" s="36"/>
      <c r="C43082" s="36"/>
      <c r="E43082" s="1"/>
      <c r="F43082" s="1"/>
      <c r="G43082" s="1"/>
    </row>
    <row r="43083">
      <c r="B43083" s="36"/>
      <c r="C43083" s="36"/>
      <c r="E43083" s="1"/>
      <c r="F43083" s="1"/>
      <c r="G43083" s="1"/>
    </row>
    <row r="43084">
      <c r="B43084" s="36"/>
      <c r="C43084" s="36"/>
      <c r="E43084" s="1"/>
      <c r="F43084" s="1"/>
      <c r="G43084" s="1"/>
    </row>
    <row r="43085">
      <c r="B43085" s="36"/>
      <c r="C43085" s="36"/>
      <c r="E43085" s="1"/>
      <c r="F43085" s="1"/>
      <c r="G43085" s="1"/>
    </row>
    <row r="43086">
      <c r="B43086" s="36"/>
      <c r="C43086" s="36"/>
      <c r="E43086" s="1"/>
      <c r="F43086" s="1"/>
      <c r="G43086" s="1"/>
    </row>
    <row r="43087">
      <c r="B43087" s="36"/>
      <c r="C43087" s="36"/>
      <c r="E43087" s="1"/>
      <c r="F43087" s="1"/>
      <c r="G43087" s="1"/>
    </row>
    <row r="43088">
      <c r="B43088" s="36"/>
      <c r="C43088" s="36"/>
      <c r="E43088" s="1"/>
      <c r="F43088" s="1"/>
      <c r="G43088" s="1"/>
    </row>
    <row r="43089">
      <c r="B43089" s="36"/>
      <c r="C43089" s="36"/>
      <c r="E43089" s="1"/>
      <c r="F43089" s="1"/>
      <c r="G43089" s="1"/>
    </row>
    <row r="43090">
      <c r="B43090" s="36"/>
      <c r="C43090" s="36"/>
      <c r="E43090" s="1"/>
      <c r="F43090" s="1"/>
      <c r="G43090" s="1"/>
    </row>
    <row r="43091">
      <c r="B43091" s="36"/>
      <c r="C43091" s="36"/>
      <c r="E43091" s="1"/>
      <c r="F43091" s="1"/>
      <c r="G43091" s="1"/>
    </row>
    <row r="43092">
      <c r="B43092" s="36"/>
      <c r="C43092" s="36"/>
      <c r="E43092" s="1"/>
      <c r="F43092" s="1"/>
      <c r="G43092" s="1"/>
    </row>
    <row r="43093">
      <c r="B43093" s="36"/>
      <c r="C43093" s="36"/>
      <c r="E43093" s="1"/>
      <c r="F43093" s="1"/>
      <c r="G43093" s="1"/>
    </row>
    <row r="43094">
      <c r="B43094" s="36"/>
      <c r="C43094" s="36"/>
      <c r="E43094" s="1"/>
      <c r="F43094" s="1"/>
      <c r="G43094" s="1"/>
    </row>
    <row r="43095">
      <c r="B43095" s="36"/>
      <c r="C43095" s="36"/>
      <c r="E43095" s="1"/>
      <c r="F43095" s="1"/>
      <c r="G43095" s="1"/>
    </row>
    <row r="43096">
      <c r="B43096" s="36"/>
      <c r="C43096" s="36"/>
      <c r="E43096" s="1"/>
      <c r="F43096" s="1"/>
      <c r="G43096" s="1"/>
    </row>
    <row r="43097">
      <c r="B43097" s="36"/>
      <c r="C43097" s="36"/>
      <c r="E43097" s="1"/>
      <c r="F43097" s="1"/>
      <c r="G43097" s="1"/>
    </row>
    <row r="43098">
      <c r="B43098" s="36"/>
      <c r="C43098" s="36"/>
      <c r="E43098" s="1"/>
      <c r="F43098" s="1"/>
      <c r="G43098" s="1"/>
    </row>
    <row r="43099">
      <c r="B43099" s="36"/>
      <c r="C43099" s="36"/>
      <c r="E43099" s="1"/>
      <c r="F43099" s="1"/>
      <c r="G43099" s="1"/>
    </row>
    <row r="43100">
      <c r="B43100" s="36"/>
      <c r="C43100" s="36"/>
      <c r="E43100" s="1"/>
      <c r="F43100" s="1"/>
      <c r="G43100" s="1"/>
    </row>
    <row r="43101">
      <c r="B43101" s="36"/>
      <c r="C43101" s="36"/>
      <c r="E43101" s="1"/>
      <c r="F43101" s="1"/>
      <c r="G43101" s="1"/>
    </row>
    <row r="43102">
      <c r="B43102" s="36"/>
      <c r="C43102" s="36"/>
      <c r="E43102" s="1"/>
      <c r="F43102" s="1"/>
      <c r="G43102" s="1"/>
    </row>
    <row r="43103">
      <c r="B43103" s="36"/>
      <c r="C43103" s="36"/>
      <c r="E43103" s="1"/>
      <c r="F43103" s="1"/>
      <c r="G43103" s="1"/>
    </row>
    <row r="43104">
      <c r="B43104" s="36"/>
      <c r="C43104" s="36"/>
      <c r="E43104" s="1"/>
      <c r="F43104" s="1"/>
      <c r="G43104" s="1"/>
    </row>
    <row r="43105">
      <c r="B43105" s="36"/>
      <c r="C43105" s="36"/>
      <c r="E43105" s="1"/>
      <c r="F43105" s="1"/>
      <c r="G43105" s="1"/>
    </row>
    <row r="43106">
      <c r="B43106" s="36"/>
      <c r="C43106" s="36"/>
      <c r="E43106" s="1"/>
      <c r="F43106" s="1"/>
      <c r="G43106" s="1"/>
    </row>
    <row r="43107">
      <c r="B43107" s="36"/>
      <c r="C43107" s="36"/>
      <c r="E43107" s="1"/>
      <c r="F43107" s="1"/>
      <c r="G43107" s="1"/>
    </row>
    <row r="43108">
      <c r="B43108" s="36"/>
      <c r="C43108" s="36"/>
      <c r="E43108" s="1"/>
      <c r="F43108" s="1"/>
      <c r="G43108" s="1"/>
    </row>
    <row r="43109">
      <c r="B43109" s="36"/>
      <c r="C43109" s="36"/>
      <c r="E43109" s="1"/>
      <c r="F43109" s="1"/>
      <c r="G43109" s="1"/>
    </row>
    <row r="43110">
      <c r="B43110" s="36"/>
      <c r="C43110" s="36"/>
      <c r="E43110" s="1"/>
      <c r="F43110" s="1"/>
      <c r="G43110" s="1"/>
    </row>
    <row r="43111">
      <c r="B43111" s="36"/>
      <c r="C43111" s="36"/>
      <c r="E43111" s="1"/>
      <c r="F43111" s="1"/>
      <c r="G43111" s="1"/>
    </row>
    <row r="43112">
      <c r="B43112" s="36"/>
      <c r="C43112" s="36"/>
      <c r="E43112" s="1"/>
      <c r="F43112" s="1"/>
      <c r="G43112" s="1"/>
    </row>
    <row r="43113">
      <c r="B43113" s="36"/>
      <c r="C43113" s="36"/>
      <c r="E43113" s="1"/>
      <c r="F43113" s="1"/>
      <c r="G43113" s="1"/>
    </row>
    <row r="43114">
      <c r="B43114" s="36"/>
      <c r="C43114" s="36"/>
      <c r="E43114" s="1"/>
      <c r="F43114" s="1"/>
      <c r="G43114" s="1"/>
    </row>
    <row r="43115">
      <c r="B43115" s="36"/>
      <c r="C43115" s="36"/>
      <c r="E43115" s="1"/>
      <c r="F43115" s="1"/>
      <c r="G43115" s="1"/>
    </row>
    <row r="43116">
      <c r="B43116" s="36"/>
      <c r="C43116" s="36"/>
      <c r="E43116" s="1"/>
      <c r="F43116" s="1"/>
      <c r="G43116" s="1"/>
    </row>
    <row r="43117">
      <c r="B43117" s="36"/>
      <c r="C43117" s="36"/>
      <c r="E43117" s="1"/>
      <c r="F43117" s="1"/>
      <c r="G43117" s="1"/>
    </row>
    <row r="43118">
      <c r="B43118" s="36"/>
      <c r="C43118" s="36"/>
      <c r="E43118" s="1"/>
      <c r="F43118" s="1"/>
      <c r="G43118" s="1"/>
    </row>
    <row r="43119">
      <c r="B43119" s="36"/>
      <c r="C43119" s="36"/>
      <c r="E43119" s="1"/>
      <c r="F43119" s="1"/>
      <c r="G43119" s="1"/>
    </row>
    <row r="43120">
      <c r="B43120" s="36"/>
      <c r="C43120" s="36"/>
      <c r="E43120" s="1"/>
      <c r="F43120" s="1"/>
      <c r="G43120" s="1"/>
    </row>
    <row r="43121">
      <c r="B43121" s="36"/>
      <c r="C43121" s="36"/>
      <c r="E43121" s="1"/>
      <c r="F43121" s="1"/>
      <c r="G43121" s="1"/>
    </row>
    <row r="43122">
      <c r="B43122" s="36"/>
      <c r="C43122" s="36"/>
      <c r="E43122" s="1"/>
      <c r="F43122" s="1"/>
      <c r="G43122" s="1"/>
    </row>
    <row r="43123">
      <c r="B43123" s="36"/>
      <c r="C43123" s="36"/>
      <c r="E43123" s="1"/>
      <c r="F43123" s="1"/>
      <c r="G43123" s="1"/>
    </row>
    <row r="43124">
      <c r="B43124" s="36"/>
      <c r="C43124" s="36"/>
      <c r="E43124" s="1"/>
      <c r="F43124" s="1"/>
      <c r="G43124" s="1"/>
    </row>
    <row r="43125">
      <c r="B43125" s="36"/>
      <c r="C43125" s="36"/>
      <c r="E43125" s="1"/>
      <c r="F43125" s="1"/>
      <c r="G43125" s="1"/>
    </row>
    <row r="43126">
      <c r="B43126" s="36"/>
      <c r="C43126" s="36"/>
      <c r="E43126" s="1"/>
      <c r="F43126" s="1"/>
      <c r="G43126" s="1"/>
    </row>
    <row r="43127">
      <c r="B43127" s="36"/>
      <c r="C43127" s="36"/>
      <c r="E43127" s="1"/>
      <c r="F43127" s="1"/>
      <c r="G43127" s="1"/>
    </row>
    <row r="43128">
      <c r="B43128" s="36"/>
      <c r="C43128" s="36"/>
      <c r="E43128" s="1"/>
      <c r="F43128" s="1"/>
      <c r="G43128" s="1"/>
    </row>
    <row r="43129">
      <c r="B43129" s="36"/>
      <c r="C43129" s="36"/>
      <c r="E43129" s="1"/>
      <c r="F43129" s="1"/>
      <c r="G43129" s="1"/>
    </row>
    <row r="43130">
      <c r="B43130" s="36"/>
      <c r="C43130" s="36"/>
      <c r="E43130" s="1"/>
      <c r="F43130" s="1"/>
      <c r="G43130" s="1"/>
    </row>
    <row r="43131">
      <c r="B43131" s="36"/>
      <c r="C43131" s="36"/>
      <c r="E43131" s="1"/>
      <c r="F43131" s="1"/>
      <c r="G43131" s="1"/>
    </row>
    <row r="43132">
      <c r="B43132" s="36"/>
      <c r="C43132" s="36"/>
      <c r="E43132" s="1"/>
      <c r="F43132" s="1"/>
      <c r="G43132" s="1"/>
    </row>
    <row r="43133">
      <c r="B43133" s="36"/>
      <c r="C43133" s="36"/>
      <c r="E43133" s="1"/>
      <c r="F43133" s="1"/>
      <c r="G43133" s="1"/>
    </row>
    <row r="43134">
      <c r="B43134" s="36"/>
      <c r="C43134" s="36"/>
      <c r="E43134" s="1"/>
      <c r="F43134" s="1"/>
      <c r="G43134" s="1"/>
    </row>
    <row r="43135">
      <c r="B43135" s="36"/>
      <c r="C43135" s="36"/>
      <c r="E43135" s="1"/>
      <c r="F43135" s="1"/>
      <c r="G43135" s="1"/>
    </row>
    <row r="43136">
      <c r="B43136" s="36"/>
      <c r="C43136" s="36"/>
      <c r="E43136" s="1"/>
      <c r="F43136" s="1"/>
      <c r="G43136" s="1"/>
    </row>
    <row r="43137">
      <c r="B43137" s="36"/>
      <c r="C43137" s="36"/>
      <c r="E43137" s="1"/>
      <c r="F43137" s="1"/>
      <c r="G43137" s="1"/>
    </row>
    <row r="43138">
      <c r="B43138" s="36"/>
      <c r="C43138" s="36"/>
      <c r="E43138" s="1"/>
      <c r="F43138" s="1"/>
      <c r="G43138" s="1"/>
    </row>
    <row r="43139">
      <c r="B43139" s="36"/>
      <c r="C43139" s="36"/>
      <c r="E43139" s="1"/>
      <c r="F43139" s="1"/>
      <c r="G43139" s="1"/>
    </row>
    <row r="43140">
      <c r="B43140" s="36"/>
      <c r="C43140" s="36"/>
      <c r="E43140" s="1"/>
      <c r="F43140" s="1"/>
      <c r="G43140" s="1"/>
    </row>
    <row r="43141">
      <c r="B43141" s="36"/>
      <c r="C43141" s="36"/>
      <c r="E43141" s="1"/>
      <c r="F43141" s="1"/>
      <c r="G43141" s="1"/>
    </row>
    <row r="43142">
      <c r="B43142" s="36"/>
      <c r="C43142" s="36"/>
      <c r="E43142" s="1"/>
      <c r="F43142" s="1"/>
      <c r="G43142" s="1"/>
    </row>
    <row r="43143">
      <c r="B43143" s="36"/>
      <c r="C43143" s="36"/>
      <c r="E43143" s="1"/>
      <c r="F43143" s="1"/>
      <c r="G43143" s="1"/>
    </row>
    <row r="43144">
      <c r="B43144" s="36"/>
      <c r="C43144" s="36"/>
      <c r="E43144" s="1"/>
      <c r="F43144" s="1"/>
      <c r="G43144" s="1"/>
    </row>
    <row r="43145">
      <c r="B43145" s="36"/>
      <c r="C43145" s="36"/>
      <c r="E43145" s="1"/>
      <c r="F43145" s="1"/>
      <c r="G43145" s="1"/>
    </row>
    <row r="43146">
      <c r="B43146" s="36"/>
      <c r="C43146" s="36"/>
      <c r="E43146" s="1"/>
      <c r="F43146" s="1"/>
      <c r="G43146" s="1"/>
    </row>
    <row r="43147">
      <c r="B43147" s="36"/>
      <c r="C43147" s="36"/>
      <c r="E43147" s="1"/>
      <c r="F43147" s="1"/>
      <c r="G43147" s="1"/>
    </row>
    <row r="43148">
      <c r="B43148" s="36"/>
      <c r="C43148" s="36"/>
      <c r="E43148" s="1"/>
      <c r="F43148" s="1"/>
      <c r="G43148" s="1"/>
    </row>
    <row r="43149">
      <c r="B43149" s="36"/>
      <c r="C43149" s="36"/>
      <c r="E43149" s="1"/>
      <c r="F43149" s="1"/>
      <c r="G43149" s="1"/>
    </row>
    <row r="43150">
      <c r="B43150" s="36"/>
      <c r="C43150" s="36"/>
      <c r="E43150" s="1"/>
      <c r="F43150" s="1"/>
      <c r="G43150" s="1"/>
    </row>
    <row r="43151">
      <c r="B43151" s="36"/>
      <c r="C43151" s="36"/>
      <c r="E43151" s="1"/>
      <c r="F43151" s="1"/>
      <c r="G43151" s="1"/>
    </row>
    <row r="43152">
      <c r="B43152" s="36"/>
      <c r="C43152" s="36"/>
      <c r="E43152" s="1"/>
      <c r="F43152" s="1"/>
      <c r="G43152" s="1"/>
    </row>
    <row r="43153">
      <c r="B43153" s="36"/>
      <c r="C43153" s="36"/>
      <c r="E43153" s="1"/>
      <c r="F43153" s="1"/>
      <c r="G43153" s="1"/>
    </row>
    <row r="43154">
      <c r="B43154" s="36"/>
      <c r="C43154" s="36"/>
      <c r="E43154" s="1"/>
      <c r="F43154" s="1"/>
      <c r="G43154" s="1"/>
    </row>
    <row r="43155">
      <c r="B43155" s="36"/>
      <c r="C43155" s="36"/>
      <c r="E43155" s="1"/>
      <c r="F43155" s="1"/>
      <c r="G43155" s="1"/>
    </row>
    <row r="43156">
      <c r="B43156" s="36"/>
      <c r="C43156" s="36"/>
      <c r="E43156" s="1"/>
      <c r="F43156" s="1"/>
      <c r="G43156" s="1"/>
    </row>
    <row r="43157">
      <c r="B43157" s="36"/>
      <c r="C43157" s="36"/>
      <c r="E43157" s="1"/>
      <c r="F43157" s="1"/>
      <c r="G43157" s="1"/>
    </row>
    <row r="43158">
      <c r="B43158" s="36"/>
      <c r="C43158" s="36"/>
      <c r="E43158" s="1"/>
      <c r="F43158" s="1"/>
      <c r="G43158" s="1"/>
    </row>
    <row r="43159">
      <c r="B43159" s="36"/>
      <c r="C43159" s="36"/>
      <c r="E43159" s="1"/>
      <c r="F43159" s="1"/>
      <c r="G43159" s="1"/>
    </row>
    <row r="43160">
      <c r="B43160" s="36"/>
      <c r="C43160" s="36"/>
      <c r="E43160" s="1"/>
      <c r="F43160" s="1"/>
      <c r="G43160" s="1"/>
    </row>
    <row r="43161">
      <c r="B43161" s="36"/>
      <c r="C43161" s="36"/>
      <c r="E43161" s="1"/>
      <c r="F43161" s="1"/>
      <c r="G43161" s="1"/>
    </row>
    <row r="43162">
      <c r="B43162" s="36"/>
      <c r="C43162" s="36"/>
      <c r="E43162" s="1"/>
      <c r="F43162" s="1"/>
      <c r="G43162" s="1"/>
    </row>
    <row r="43163">
      <c r="B43163" s="36"/>
      <c r="C43163" s="36"/>
      <c r="E43163" s="1"/>
      <c r="F43163" s="1"/>
      <c r="G43163" s="1"/>
    </row>
    <row r="43164">
      <c r="B43164" s="36"/>
      <c r="C43164" s="36"/>
      <c r="E43164" s="1"/>
      <c r="F43164" s="1"/>
      <c r="G43164" s="1"/>
    </row>
    <row r="43165">
      <c r="B43165" s="36"/>
      <c r="C43165" s="36"/>
      <c r="E43165" s="1"/>
      <c r="F43165" s="1"/>
      <c r="G43165" s="1"/>
    </row>
    <row r="43166">
      <c r="B43166" s="36"/>
      <c r="C43166" s="36"/>
      <c r="E43166" s="1"/>
      <c r="F43166" s="1"/>
      <c r="G43166" s="1"/>
    </row>
    <row r="43167">
      <c r="B43167" s="36"/>
      <c r="C43167" s="36"/>
      <c r="E43167" s="1"/>
      <c r="F43167" s="1"/>
      <c r="G43167" s="1"/>
    </row>
    <row r="43168">
      <c r="B43168" s="36"/>
      <c r="C43168" s="36"/>
      <c r="E43168" s="1"/>
      <c r="F43168" s="1"/>
      <c r="G43168" s="1"/>
    </row>
    <row r="43169">
      <c r="B43169" s="36"/>
      <c r="C43169" s="36"/>
      <c r="E43169" s="1"/>
      <c r="F43169" s="1"/>
      <c r="G43169" s="1"/>
    </row>
    <row r="43170">
      <c r="B43170" s="36"/>
      <c r="C43170" s="36"/>
      <c r="E43170" s="1"/>
      <c r="F43170" s="1"/>
      <c r="G43170" s="1"/>
    </row>
    <row r="43171">
      <c r="B43171" s="36"/>
      <c r="C43171" s="36"/>
      <c r="E43171" s="1"/>
      <c r="F43171" s="1"/>
      <c r="G43171" s="1"/>
    </row>
    <row r="43172">
      <c r="B43172" s="36"/>
      <c r="C43172" s="36"/>
      <c r="E43172" s="1"/>
      <c r="F43172" s="1"/>
      <c r="G43172" s="1"/>
    </row>
    <row r="43173">
      <c r="B43173" s="36"/>
      <c r="C43173" s="36"/>
      <c r="E43173" s="1"/>
      <c r="F43173" s="1"/>
      <c r="G43173" s="1"/>
    </row>
    <row r="43174">
      <c r="B43174" s="36"/>
      <c r="C43174" s="36"/>
      <c r="E43174" s="1"/>
      <c r="F43174" s="1"/>
      <c r="G43174" s="1"/>
    </row>
    <row r="43175">
      <c r="B43175" s="36"/>
      <c r="C43175" s="36"/>
      <c r="E43175" s="1"/>
      <c r="F43175" s="1"/>
      <c r="G43175" s="1"/>
    </row>
    <row r="43176">
      <c r="B43176" s="36"/>
      <c r="C43176" s="36"/>
      <c r="E43176" s="1"/>
      <c r="F43176" s="1"/>
      <c r="G43176" s="1"/>
    </row>
    <row r="43177">
      <c r="B43177" s="36"/>
      <c r="C43177" s="36"/>
      <c r="E43177" s="1"/>
      <c r="F43177" s="1"/>
      <c r="G43177" s="1"/>
    </row>
    <row r="43178">
      <c r="B43178" s="36"/>
      <c r="C43178" s="36"/>
      <c r="E43178" s="1"/>
      <c r="F43178" s="1"/>
      <c r="G43178" s="1"/>
    </row>
    <row r="43179">
      <c r="B43179" s="36"/>
      <c r="C43179" s="36"/>
      <c r="E43179" s="1"/>
      <c r="F43179" s="1"/>
      <c r="G43179" s="1"/>
    </row>
    <row r="43180">
      <c r="B43180" s="36"/>
      <c r="C43180" s="36"/>
      <c r="E43180" s="1"/>
      <c r="F43180" s="1"/>
      <c r="G43180" s="1"/>
    </row>
    <row r="43181">
      <c r="B43181" s="36"/>
      <c r="C43181" s="36"/>
      <c r="E43181" s="1"/>
      <c r="F43181" s="1"/>
      <c r="G43181" s="1"/>
    </row>
    <row r="43182">
      <c r="B43182" s="36"/>
      <c r="C43182" s="36"/>
      <c r="E43182" s="1"/>
      <c r="F43182" s="1"/>
      <c r="G43182" s="1"/>
    </row>
    <row r="43183">
      <c r="B43183" s="36"/>
      <c r="C43183" s="36"/>
      <c r="E43183" s="1"/>
      <c r="F43183" s="1"/>
      <c r="G43183" s="1"/>
    </row>
    <row r="43184">
      <c r="B43184" s="36"/>
      <c r="C43184" s="36"/>
      <c r="E43184" s="1"/>
      <c r="F43184" s="1"/>
      <c r="G43184" s="1"/>
    </row>
    <row r="43185">
      <c r="B43185" s="36"/>
      <c r="C43185" s="36"/>
      <c r="E43185" s="1"/>
      <c r="F43185" s="1"/>
      <c r="G43185" s="1"/>
    </row>
    <row r="43186">
      <c r="B43186" s="36"/>
      <c r="C43186" s="36"/>
      <c r="E43186" s="1"/>
      <c r="F43186" s="1"/>
      <c r="G43186" s="1"/>
    </row>
    <row r="43187">
      <c r="B43187" s="36"/>
      <c r="C43187" s="36"/>
      <c r="E43187" s="1"/>
      <c r="F43187" s="1"/>
      <c r="G43187" s="1"/>
    </row>
    <row r="43188">
      <c r="B43188" s="36"/>
      <c r="C43188" s="36"/>
      <c r="E43188" s="1"/>
      <c r="F43188" s="1"/>
      <c r="G43188" s="1"/>
    </row>
    <row r="43189">
      <c r="B43189" s="36"/>
      <c r="C43189" s="36"/>
      <c r="E43189" s="1"/>
      <c r="F43189" s="1"/>
      <c r="G43189" s="1"/>
    </row>
    <row r="43190">
      <c r="B43190" s="36"/>
      <c r="C43190" s="36"/>
      <c r="E43190" s="1"/>
      <c r="F43190" s="1"/>
      <c r="G43190" s="1"/>
    </row>
    <row r="43191">
      <c r="B43191" s="36"/>
      <c r="C43191" s="36"/>
      <c r="E43191" s="1"/>
      <c r="F43191" s="1"/>
      <c r="G43191" s="1"/>
    </row>
    <row r="43192">
      <c r="B43192" s="36"/>
      <c r="C43192" s="36"/>
      <c r="E43192" s="1"/>
      <c r="F43192" s="1"/>
      <c r="G43192" s="1"/>
    </row>
    <row r="43193">
      <c r="B43193" s="36"/>
      <c r="C43193" s="36"/>
      <c r="E43193" s="1"/>
      <c r="F43193" s="1"/>
      <c r="G43193" s="1"/>
    </row>
    <row r="43194">
      <c r="B43194" s="36"/>
      <c r="C43194" s="36"/>
      <c r="E43194" s="1"/>
      <c r="F43194" s="1"/>
      <c r="G43194" s="1"/>
    </row>
    <row r="43195">
      <c r="B43195" s="36"/>
      <c r="C43195" s="36"/>
      <c r="E43195" s="1"/>
      <c r="F43195" s="1"/>
      <c r="G43195" s="1"/>
    </row>
    <row r="43196">
      <c r="B43196" s="36"/>
      <c r="C43196" s="36"/>
      <c r="E43196" s="1"/>
      <c r="F43196" s="1"/>
      <c r="G43196" s="1"/>
    </row>
    <row r="43197">
      <c r="B43197" s="36"/>
      <c r="C43197" s="36"/>
      <c r="E43197" s="1"/>
      <c r="F43197" s="1"/>
      <c r="G43197" s="1"/>
    </row>
    <row r="43198">
      <c r="B43198" s="36"/>
      <c r="C43198" s="36"/>
      <c r="E43198" s="1"/>
      <c r="F43198" s="1"/>
      <c r="G43198" s="1"/>
    </row>
    <row r="43199">
      <c r="B43199" s="36"/>
      <c r="C43199" s="36"/>
      <c r="E43199" s="1"/>
      <c r="F43199" s="1"/>
      <c r="G43199" s="1"/>
    </row>
    <row r="43200">
      <c r="B43200" s="36"/>
      <c r="C43200" s="36"/>
      <c r="E43200" s="1"/>
      <c r="F43200" s="1"/>
      <c r="G43200" s="1"/>
    </row>
    <row r="43201">
      <c r="B43201" s="36"/>
      <c r="C43201" s="36"/>
      <c r="E43201" s="1"/>
      <c r="F43201" s="1"/>
      <c r="G43201" s="1"/>
    </row>
    <row r="43202">
      <c r="B43202" s="36"/>
      <c r="C43202" s="36"/>
      <c r="E43202" s="1"/>
      <c r="F43202" s="1"/>
      <c r="G43202" s="1"/>
    </row>
    <row r="43203">
      <c r="B43203" s="36"/>
      <c r="C43203" s="36"/>
      <c r="E43203" s="1"/>
      <c r="F43203" s="1"/>
      <c r="G43203" s="1"/>
    </row>
    <row r="43204">
      <c r="B43204" s="36"/>
      <c r="C43204" s="36"/>
      <c r="E43204" s="1"/>
      <c r="F43204" s="1"/>
      <c r="G43204" s="1"/>
    </row>
    <row r="43205">
      <c r="B43205" s="36"/>
      <c r="C43205" s="36"/>
      <c r="E43205" s="1"/>
      <c r="F43205" s="1"/>
      <c r="G43205" s="1"/>
    </row>
    <row r="43206">
      <c r="B43206" s="36"/>
      <c r="C43206" s="36"/>
      <c r="E43206" s="1"/>
      <c r="F43206" s="1"/>
      <c r="G43206" s="1"/>
    </row>
    <row r="43207">
      <c r="B43207" s="36"/>
      <c r="C43207" s="36"/>
      <c r="E43207" s="1"/>
      <c r="F43207" s="1"/>
      <c r="G43207" s="1"/>
    </row>
    <row r="43208">
      <c r="B43208" s="36"/>
      <c r="C43208" s="36"/>
      <c r="E43208" s="1"/>
      <c r="F43208" s="1"/>
      <c r="G43208" s="1"/>
    </row>
    <row r="43209">
      <c r="B43209" s="36"/>
      <c r="C43209" s="36"/>
      <c r="E43209" s="1"/>
      <c r="F43209" s="1"/>
      <c r="G43209" s="1"/>
    </row>
    <row r="43210">
      <c r="B43210" s="36"/>
      <c r="C43210" s="36"/>
      <c r="E43210" s="1"/>
      <c r="F43210" s="1"/>
      <c r="G43210" s="1"/>
    </row>
    <row r="43211">
      <c r="B43211" s="36"/>
      <c r="C43211" s="36"/>
      <c r="E43211" s="1"/>
      <c r="F43211" s="1"/>
      <c r="G43211" s="1"/>
    </row>
    <row r="43212">
      <c r="B43212" s="36"/>
      <c r="C43212" s="36"/>
      <c r="E43212" s="1"/>
      <c r="F43212" s="1"/>
      <c r="G43212" s="1"/>
    </row>
    <row r="43213">
      <c r="B43213" s="36"/>
      <c r="C43213" s="36"/>
      <c r="E43213" s="1"/>
      <c r="F43213" s="1"/>
      <c r="G43213" s="1"/>
    </row>
    <row r="43214">
      <c r="B43214" s="36"/>
      <c r="C43214" s="36"/>
      <c r="E43214" s="1"/>
      <c r="F43214" s="1"/>
      <c r="G43214" s="1"/>
    </row>
    <row r="43215">
      <c r="B43215" s="36"/>
      <c r="C43215" s="36"/>
      <c r="E43215" s="1"/>
      <c r="F43215" s="1"/>
      <c r="G43215" s="1"/>
    </row>
    <row r="43216">
      <c r="B43216" s="36"/>
      <c r="C43216" s="36"/>
      <c r="E43216" s="1"/>
      <c r="F43216" s="1"/>
      <c r="G43216" s="1"/>
    </row>
    <row r="43217">
      <c r="B43217" s="36"/>
      <c r="C43217" s="36"/>
      <c r="E43217" s="1"/>
      <c r="F43217" s="1"/>
      <c r="G43217" s="1"/>
    </row>
    <row r="43218">
      <c r="B43218" s="36"/>
      <c r="C43218" s="36"/>
      <c r="E43218" s="1"/>
      <c r="F43218" s="1"/>
      <c r="G43218" s="1"/>
    </row>
    <row r="43219">
      <c r="B43219" s="36"/>
      <c r="C43219" s="36"/>
      <c r="E43219" s="1"/>
      <c r="F43219" s="1"/>
      <c r="G43219" s="1"/>
    </row>
    <row r="43220">
      <c r="B43220" s="36"/>
      <c r="C43220" s="36"/>
      <c r="E43220" s="1"/>
      <c r="F43220" s="1"/>
      <c r="G43220" s="1"/>
    </row>
    <row r="43221">
      <c r="B43221" s="36"/>
      <c r="C43221" s="36"/>
      <c r="E43221" s="1"/>
      <c r="F43221" s="1"/>
      <c r="G43221" s="1"/>
    </row>
    <row r="43222">
      <c r="B43222" s="36"/>
      <c r="C43222" s="36"/>
      <c r="E43222" s="1"/>
      <c r="F43222" s="1"/>
      <c r="G43222" s="1"/>
    </row>
    <row r="43223">
      <c r="B43223" s="36"/>
      <c r="C43223" s="36"/>
      <c r="E43223" s="1"/>
      <c r="F43223" s="1"/>
      <c r="G43223" s="1"/>
    </row>
    <row r="43224">
      <c r="B43224" s="36"/>
      <c r="C43224" s="36"/>
      <c r="E43224" s="1"/>
      <c r="F43224" s="1"/>
      <c r="G43224" s="1"/>
    </row>
    <row r="43225">
      <c r="B43225" s="36"/>
      <c r="C43225" s="36"/>
      <c r="E43225" s="1"/>
      <c r="F43225" s="1"/>
      <c r="G43225" s="1"/>
    </row>
    <row r="43226">
      <c r="B43226" s="36"/>
      <c r="C43226" s="36"/>
      <c r="E43226" s="1"/>
      <c r="F43226" s="1"/>
      <c r="G43226" s="1"/>
    </row>
    <row r="43227">
      <c r="B43227" s="36"/>
      <c r="C43227" s="36"/>
      <c r="E43227" s="1"/>
      <c r="F43227" s="1"/>
      <c r="G43227" s="1"/>
    </row>
    <row r="43228">
      <c r="B43228" s="36"/>
      <c r="C43228" s="36"/>
      <c r="E43228" s="1"/>
      <c r="F43228" s="1"/>
      <c r="G43228" s="1"/>
    </row>
    <row r="43229">
      <c r="B43229" s="36"/>
      <c r="C43229" s="36"/>
      <c r="E43229" s="1"/>
      <c r="F43229" s="1"/>
      <c r="G43229" s="1"/>
    </row>
    <row r="43230">
      <c r="B43230" s="36"/>
      <c r="C43230" s="36"/>
      <c r="E43230" s="1"/>
      <c r="F43230" s="1"/>
      <c r="G43230" s="1"/>
    </row>
    <row r="43231">
      <c r="B43231" s="36"/>
      <c r="C43231" s="36"/>
      <c r="E43231" s="1"/>
      <c r="F43231" s="1"/>
      <c r="G43231" s="1"/>
    </row>
    <row r="43232">
      <c r="B43232" s="36"/>
      <c r="C43232" s="36"/>
      <c r="E43232" s="1"/>
      <c r="F43232" s="1"/>
      <c r="G43232" s="1"/>
    </row>
    <row r="43233">
      <c r="B43233" s="36"/>
      <c r="C43233" s="36"/>
      <c r="E43233" s="1"/>
      <c r="F43233" s="1"/>
      <c r="G43233" s="1"/>
    </row>
    <row r="43234">
      <c r="B43234" s="36"/>
      <c r="C43234" s="36"/>
      <c r="E43234" s="1"/>
      <c r="F43234" s="1"/>
      <c r="G43234" s="1"/>
    </row>
    <row r="43235">
      <c r="B43235" s="36"/>
      <c r="C43235" s="36"/>
      <c r="E43235" s="1"/>
      <c r="F43235" s="1"/>
      <c r="G43235" s="1"/>
    </row>
    <row r="43236">
      <c r="B43236" s="36"/>
      <c r="C43236" s="36"/>
      <c r="E43236" s="1"/>
      <c r="F43236" s="1"/>
      <c r="G43236" s="1"/>
    </row>
    <row r="43237">
      <c r="B43237" s="36"/>
      <c r="C43237" s="36"/>
      <c r="E43237" s="1"/>
      <c r="F43237" s="1"/>
      <c r="G43237" s="1"/>
    </row>
    <row r="43238">
      <c r="B43238" s="36"/>
      <c r="C43238" s="36"/>
      <c r="E43238" s="1"/>
      <c r="F43238" s="1"/>
      <c r="G43238" s="1"/>
    </row>
    <row r="43239">
      <c r="B43239" s="36"/>
      <c r="C43239" s="36"/>
      <c r="E43239" s="1"/>
      <c r="F43239" s="1"/>
      <c r="G43239" s="1"/>
    </row>
    <row r="43240">
      <c r="B43240" s="36"/>
      <c r="C43240" s="36"/>
      <c r="E43240" s="1"/>
      <c r="F43240" s="1"/>
      <c r="G43240" s="1"/>
    </row>
    <row r="43241">
      <c r="B43241" s="36"/>
      <c r="C43241" s="36"/>
      <c r="E43241" s="1"/>
      <c r="F43241" s="1"/>
      <c r="G43241" s="1"/>
    </row>
    <row r="43242">
      <c r="B43242" s="36"/>
      <c r="C43242" s="36"/>
      <c r="E43242" s="1"/>
      <c r="F43242" s="1"/>
      <c r="G43242" s="1"/>
    </row>
    <row r="43243">
      <c r="B43243" s="36"/>
      <c r="C43243" s="36"/>
      <c r="E43243" s="1"/>
      <c r="F43243" s="1"/>
      <c r="G43243" s="1"/>
    </row>
    <row r="43244">
      <c r="B43244" s="36"/>
      <c r="C43244" s="36"/>
      <c r="E43244" s="1"/>
      <c r="F43244" s="1"/>
      <c r="G43244" s="1"/>
    </row>
    <row r="43245">
      <c r="B43245" s="36"/>
      <c r="C43245" s="36"/>
      <c r="E43245" s="1"/>
      <c r="F43245" s="1"/>
      <c r="G43245" s="1"/>
    </row>
    <row r="43246">
      <c r="B43246" s="36"/>
      <c r="C43246" s="36"/>
      <c r="E43246" s="1"/>
      <c r="F43246" s="1"/>
      <c r="G43246" s="1"/>
    </row>
    <row r="43247">
      <c r="B43247" s="36"/>
      <c r="C43247" s="36"/>
      <c r="E43247" s="1"/>
      <c r="F43247" s="1"/>
      <c r="G43247" s="1"/>
    </row>
    <row r="43248">
      <c r="B43248" s="36"/>
      <c r="C43248" s="36"/>
      <c r="E43248" s="1"/>
      <c r="F43248" s="1"/>
      <c r="G43248" s="1"/>
    </row>
    <row r="43249">
      <c r="B43249" s="36"/>
      <c r="C43249" s="36"/>
      <c r="E43249" s="1"/>
      <c r="F43249" s="1"/>
      <c r="G43249" s="1"/>
    </row>
    <row r="43250">
      <c r="B43250" s="36"/>
      <c r="C43250" s="36"/>
      <c r="E43250" s="1"/>
      <c r="F43250" s="1"/>
      <c r="G43250" s="1"/>
    </row>
    <row r="43251">
      <c r="B43251" s="36"/>
      <c r="C43251" s="36"/>
      <c r="E43251" s="1"/>
      <c r="F43251" s="1"/>
      <c r="G43251" s="1"/>
    </row>
    <row r="43252">
      <c r="B43252" s="36"/>
      <c r="C43252" s="36"/>
      <c r="E43252" s="1"/>
      <c r="F43252" s="1"/>
      <c r="G43252" s="1"/>
    </row>
    <row r="43253">
      <c r="B43253" s="36"/>
      <c r="C43253" s="36"/>
      <c r="E43253" s="1"/>
      <c r="F43253" s="1"/>
      <c r="G43253" s="1"/>
    </row>
    <row r="43254">
      <c r="B43254" s="36"/>
      <c r="C43254" s="36"/>
      <c r="E43254" s="1"/>
      <c r="F43254" s="1"/>
      <c r="G43254" s="1"/>
    </row>
    <row r="43255">
      <c r="B43255" s="36"/>
      <c r="C43255" s="36"/>
      <c r="E43255" s="1"/>
      <c r="F43255" s="1"/>
      <c r="G43255" s="1"/>
    </row>
    <row r="43256">
      <c r="B43256" s="36"/>
      <c r="C43256" s="36"/>
      <c r="E43256" s="1"/>
      <c r="F43256" s="1"/>
      <c r="G43256" s="1"/>
    </row>
    <row r="43257">
      <c r="B43257" s="36"/>
      <c r="C43257" s="36"/>
      <c r="E43257" s="1"/>
      <c r="F43257" s="1"/>
      <c r="G43257" s="1"/>
    </row>
    <row r="43258">
      <c r="B43258" s="36"/>
      <c r="C43258" s="36"/>
      <c r="E43258" s="1"/>
      <c r="F43258" s="1"/>
      <c r="G43258" s="1"/>
    </row>
    <row r="43259">
      <c r="B43259" s="36"/>
      <c r="C43259" s="36"/>
      <c r="E43259" s="1"/>
      <c r="F43259" s="1"/>
      <c r="G43259" s="1"/>
    </row>
    <row r="43260">
      <c r="B43260" s="36"/>
      <c r="C43260" s="36"/>
      <c r="E43260" s="1"/>
      <c r="F43260" s="1"/>
      <c r="G43260" s="1"/>
    </row>
    <row r="43261">
      <c r="B43261" s="36"/>
      <c r="C43261" s="36"/>
      <c r="E43261" s="1"/>
      <c r="F43261" s="1"/>
      <c r="G43261" s="1"/>
    </row>
    <row r="43262">
      <c r="B43262" s="36"/>
      <c r="C43262" s="36"/>
      <c r="E43262" s="1"/>
      <c r="F43262" s="1"/>
      <c r="G43262" s="1"/>
    </row>
    <row r="43263">
      <c r="B43263" s="36"/>
      <c r="C43263" s="36"/>
      <c r="E43263" s="1"/>
      <c r="F43263" s="1"/>
      <c r="G43263" s="1"/>
    </row>
    <row r="43264">
      <c r="B43264" s="36"/>
      <c r="C43264" s="36"/>
      <c r="E43264" s="1"/>
      <c r="F43264" s="1"/>
      <c r="G43264" s="1"/>
    </row>
    <row r="43265">
      <c r="B43265" s="36"/>
      <c r="C43265" s="36"/>
      <c r="E43265" s="1"/>
      <c r="F43265" s="1"/>
      <c r="G43265" s="1"/>
    </row>
    <row r="43266">
      <c r="B43266" s="36"/>
      <c r="C43266" s="36"/>
      <c r="E43266" s="1"/>
      <c r="F43266" s="1"/>
      <c r="G43266" s="1"/>
    </row>
    <row r="43267">
      <c r="B43267" s="36"/>
      <c r="C43267" s="36"/>
      <c r="E43267" s="1"/>
      <c r="F43267" s="1"/>
      <c r="G43267" s="1"/>
    </row>
    <row r="43268">
      <c r="B43268" s="36"/>
      <c r="C43268" s="36"/>
      <c r="E43268" s="1"/>
      <c r="F43268" s="1"/>
      <c r="G43268" s="1"/>
    </row>
    <row r="43269">
      <c r="B43269" s="36"/>
      <c r="C43269" s="36"/>
      <c r="E43269" s="1"/>
      <c r="F43269" s="1"/>
      <c r="G43269" s="1"/>
    </row>
    <row r="43270">
      <c r="B43270" s="36"/>
      <c r="C43270" s="36"/>
      <c r="E43270" s="1"/>
      <c r="F43270" s="1"/>
      <c r="G43270" s="1"/>
    </row>
    <row r="43271">
      <c r="B43271" s="36"/>
      <c r="C43271" s="36"/>
      <c r="E43271" s="1"/>
      <c r="F43271" s="1"/>
      <c r="G43271" s="1"/>
    </row>
    <row r="43272">
      <c r="B43272" s="36"/>
      <c r="C43272" s="36"/>
      <c r="E43272" s="1"/>
      <c r="F43272" s="1"/>
      <c r="G43272" s="1"/>
    </row>
    <row r="43273">
      <c r="B43273" s="36"/>
      <c r="C43273" s="36"/>
      <c r="E43273" s="1"/>
      <c r="F43273" s="1"/>
      <c r="G43273" s="1"/>
    </row>
    <row r="43274">
      <c r="B43274" s="36"/>
      <c r="C43274" s="36"/>
      <c r="E43274" s="1"/>
      <c r="F43274" s="1"/>
      <c r="G43274" s="1"/>
    </row>
    <row r="43275">
      <c r="B43275" s="36"/>
      <c r="C43275" s="36"/>
      <c r="E43275" s="1"/>
      <c r="F43275" s="1"/>
      <c r="G43275" s="1"/>
    </row>
    <row r="43276">
      <c r="B43276" s="36"/>
      <c r="C43276" s="36"/>
      <c r="E43276" s="1"/>
      <c r="F43276" s="1"/>
      <c r="G43276" s="1"/>
    </row>
    <row r="43277">
      <c r="B43277" s="36"/>
      <c r="C43277" s="36"/>
      <c r="E43277" s="1"/>
      <c r="F43277" s="1"/>
      <c r="G43277" s="1"/>
    </row>
    <row r="43278">
      <c r="B43278" s="36"/>
      <c r="C43278" s="36"/>
      <c r="E43278" s="1"/>
      <c r="F43278" s="1"/>
      <c r="G43278" s="1"/>
    </row>
    <row r="43279">
      <c r="B43279" s="36"/>
      <c r="C43279" s="36"/>
      <c r="E43279" s="1"/>
      <c r="F43279" s="1"/>
      <c r="G43279" s="1"/>
    </row>
    <row r="43280">
      <c r="B43280" s="36"/>
      <c r="C43280" s="36"/>
      <c r="E43280" s="1"/>
      <c r="F43280" s="1"/>
      <c r="G43280" s="1"/>
    </row>
    <row r="43281">
      <c r="B43281" s="36"/>
      <c r="C43281" s="36"/>
      <c r="E43281" s="1"/>
      <c r="F43281" s="1"/>
      <c r="G43281" s="1"/>
    </row>
    <row r="43282">
      <c r="B43282" s="36"/>
      <c r="C43282" s="36"/>
      <c r="E43282" s="1"/>
      <c r="F43282" s="1"/>
      <c r="G43282" s="1"/>
    </row>
    <row r="43283">
      <c r="B43283" s="36"/>
      <c r="C43283" s="36"/>
      <c r="E43283" s="1"/>
      <c r="F43283" s="1"/>
      <c r="G43283" s="1"/>
    </row>
    <row r="43284">
      <c r="B43284" s="36"/>
      <c r="C43284" s="36"/>
      <c r="E43284" s="1"/>
      <c r="F43284" s="1"/>
      <c r="G43284" s="1"/>
    </row>
    <row r="43285">
      <c r="B43285" s="36"/>
      <c r="C43285" s="36"/>
      <c r="E43285" s="1"/>
      <c r="F43285" s="1"/>
      <c r="G43285" s="1"/>
    </row>
    <row r="43286">
      <c r="B43286" s="36"/>
      <c r="C43286" s="36"/>
      <c r="E43286" s="1"/>
      <c r="F43286" s="1"/>
      <c r="G43286" s="1"/>
    </row>
    <row r="43287">
      <c r="B43287" s="36"/>
      <c r="C43287" s="36"/>
      <c r="E43287" s="1"/>
      <c r="F43287" s="1"/>
      <c r="G43287" s="1"/>
    </row>
    <row r="43288">
      <c r="B43288" s="36"/>
      <c r="C43288" s="36"/>
      <c r="E43288" s="1"/>
      <c r="F43288" s="1"/>
      <c r="G43288" s="1"/>
    </row>
    <row r="43289">
      <c r="B43289" s="36"/>
      <c r="C43289" s="36"/>
      <c r="E43289" s="1"/>
      <c r="F43289" s="1"/>
      <c r="G43289" s="1"/>
    </row>
    <row r="43290">
      <c r="B43290" s="36"/>
      <c r="C43290" s="36"/>
      <c r="E43290" s="1"/>
      <c r="F43290" s="1"/>
      <c r="G43290" s="1"/>
    </row>
    <row r="43291">
      <c r="B43291" s="36"/>
      <c r="C43291" s="36"/>
      <c r="E43291" s="1"/>
      <c r="F43291" s="1"/>
      <c r="G43291" s="1"/>
    </row>
    <row r="43292">
      <c r="B43292" s="36"/>
      <c r="C43292" s="36"/>
      <c r="E43292" s="1"/>
      <c r="F43292" s="1"/>
      <c r="G43292" s="1"/>
    </row>
    <row r="43293">
      <c r="B43293" s="36"/>
      <c r="C43293" s="36"/>
      <c r="E43293" s="1"/>
      <c r="F43293" s="1"/>
      <c r="G43293" s="1"/>
    </row>
    <row r="43294">
      <c r="B43294" s="36"/>
      <c r="C43294" s="36"/>
      <c r="E43294" s="1"/>
      <c r="F43294" s="1"/>
      <c r="G43294" s="1"/>
    </row>
    <row r="43295">
      <c r="B43295" s="36"/>
      <c r="C43295" s="36"/>
      <c r="E43295" s="1"/>
      <c r="F43295" s="1"/>
      <c r="G43295" s="1"/>
    </row>
    <row r="43296">
      <c r="B43296" s="36"/>
      <c r="C43296" s="36"/>
      <c r="E43296" s="1"/>
      <c r="F43296" s="1"/>
      <c r="G43296" s="1"/>
    </row>
    <row r="43297">
      <c r="B43297" s="36"/>
      <c r="C43297" s="36"/>
      <c r="E43297" s="1"/>
      <c r="F43297" s="1"/>
      <c r="G43297" s="1"/>
    </row>
    <row r="43298">
      <c r="B43298" s="36"/>
      <c r="C43298" s="36"/>
      <c r="E43298" s="1"/>
      <c r="F43298" s="1"/>
      <c r="G43298" s="1"/>
    </row>
    <row r="43299">
      <c r="B43299" s="36"/>
      <c r="C43299" s="36"/>
      <c r="E43299" s="1"/>
      <c r="F43299" s="1"/>
      <c r="G43299" s="1"/>
    </row>
    <row r="43300">
      <c r="B43300" s="36"/>
      <c r="C43300" s="36"/>
      <c r="E43300" s="1"/>
      <c r="F43300" s="1"/>
      <c r="G43300" s="1"/>
    </row>
    <row r="43301">
      <c r="B43301" s="36"/>
      <c r="C43301" s="36"/>
      <c r="E43301" s="1"/>
      <c r="F43301" s="1"/>
      <c r="G43301" s="1"/>
    </row>
    <row r="43302">
      <c r="B43302" s="36"/>
      <c r="C43302" s="36"/>
      <c r="E43302" s="1"/>
      <c r="F43302" s="1"/>
      <c r="G43302" s="1"/>
    </row>
    <row r="43303">
      <c r="B43303" s="36"/>
      <c r="C43303" s="36"/>
      <c r="E43303" s="1"/>
      <c r="F43303" s="1"/>
      <c r="G43303" s="1"/>
    </row>
    <row r="43304">
      <c r="B43304" s="36"/>
      <c r="C43304" s="36"/>
      <c r="E43304" s="1"/>
      <c r="F43304" s="1"/>
      <c r="G43304" s="1"/>
    </row>
    <row r="43305">
      <c r="B43305" s="36"/>
      <c r="C43305" s="36"/>
      <c r="E43305" s="1"/>
      <c r="F43305" s="1"/>
      <c r="G43305" s="1"/>
    </row>
    <row r="43306">
      <c r="B43306" s="36"/>
      <c r="C43306" s="36"/>
      <c r="E43306" s="1"/>
      <c r="F43306" s="1"/>
      <c r="G43306" s="1"/>
    </row>
    <row r="43307">
      <c r="B43307" s="36"/>
      <c r="C43307" s="36"/>
      <c r="E43307" s="1"/>
      <c r="F43307" s="1"/>
      <c r="G43307" s="1"/>
    </row>
    <row r="43308">
      <c r="B43308" s="36"/>
      <c r="C43308" s="36"/>
      <c r="E43308" s="1"/>
      <c r="F43308" s="1"/>
      <c r="G43308" s="1"/>
    </row>
    <row r="43309">
      <c r="B43309" s="36"/>
      <c r="C43309" s="36"/>
      <c r="E43309" s="1"/>
      <c r="F43309" s="1"/>
      <c r="G43309" s="1"/>
    </row>
    <row r="43310">
      <c r="B43310" s="36"/>
      <c r="C43310" s="36"/>
      <c r="E43310" s="1"/>
      <c r="F43310" s="1"/>
      <c r="G43310" s="1"/>
    </row>
    <row r="43311">
      <c r="B43311" s="36"/>
      <c r="C43311" s="36"/>
      <c r="E43311" s="1"/>
      <c r="F43311" s="1"/>
      <c r="G43311" s="1"/>
    </row>
    <row r="43312">
      <c r="B43312" s="36"/>
      <c r="C43312" s="36"/>
      <c r="E43312" s="1"/>
      <c r="F43312" s="1"/>
      <c r="G43312" s="1"/>
    </row>
    <row r="43313">
      <c r="B43313" s="36"/>
      <c r="C43313" s="36"/>
      <c r="E43313" s="1"/>
      <c r="F43313" s="1"/>
      <c r="G43313" s="1"/>
    </row>
    <row r="43314">
      <c r="B43314" s="36"/>
      <c r="C43314" s="36"/>
      <c r="E43314" s="1"/>
      <c r="F43314" s="1"/>
      <c r="G43314" s="1"/>
    </row>
    <row r="43315">
      <c r="B43315" s="36"/>
      <c r="C43315" s="36"/>
      <c r="E43315" s="1"/>
      <c r="F43315" s="1"/>
      <c r="G43315" s="1"/>
    </row>
    <row r="43316">
      <c r="B43316" s="36"/>
      <c r="C43316" s="36"/>
      <c r="E43316" s="1"/>
      <c r="F43316" s="1"/>
      <c r="G43316" s="1"/>
    </row>
    <row r="43317">
      <c r="B43317" s="36"/>
      <c r="C43317" s="36"/>
      <c r="E43317" s="1"/>
      <c r="F43317" s="1"/>
      <c r="G43317" s="1"/>
    </row>
    <row r="43318">
      <c r="B43318" s="36"/>
      <c r="C43318" s="36"/>
      <c r="E43318" s="1"/>
      <c r="F43318" s="1"/>
      <c r="G43318" s="1"/>
    </row>
    <row r="43319">
      <c r="B43319" s="36"/>
      <c r="C43319" s="36"/>
      <c r="E43319" s="1"/>
      <c r="F43319" s="1"/>
      <c r="G43319" s="1"/>
    </row>
    <row r="43320">
      <c r="B43320" s="36"/>
      <c r="C43320" s="36"/>
      <c r="E43320" s="1"/>
      <c r="F43320" s="1"/>
      <c r="G43320" s="1"/>
    </row>
    <row r="43321">
      <c r="B43321" s="36"/>
      <c r="C43321" s="36"/>
      <c r="E43321" s="1"/>
      <c r="F43321" s="1"/>
      <c r="G43321" s="1"/>
    </row>
    <row r="43322">
      <c r="B43322" s="36"/>
      <c r="C43322" s="36"/>
      <c r="E43322" s="1"/>
      <c r="F43322" s="1"/>
      <c r="G43322" s="1"/>
    </row>
    <row r="43323">
      <c r="B43323" s="36"/>
      <c r="C43323" s="36"/>
      <c r="E43323" s="1"/>
      <c r="F43323" s="1"/>
      <c r="G43323" s="1"/>
    </row>
    <row r="43324">
      <c r="B43324" s="36"/>
      <c r="C43324" s="36"/>
      <c r="E43324" s="1"/>
      <c r="F43324" s="1"/>
      <c r="G43324" s="1"/>
    </row>
    <row r="43325">
      <c r="B43325" s="36"/>
      <c r="C43325" s="36"/>
      <c r="E43325" s="1"/>
      <c r="F43325" s="1"/>
      <c r="G43325" s="1"/>
    </row>
    <row r="43326">
      <c r="B43326" s="36"/>
      <c r="C43326" s="36"/>
      <c r="E43326" s="1"/>
      <c r="F43326" s="1"/>
      <c r="G43326" s="1"/>
    </row>
    <row r="43327">
      <c r="B43327" s="36"/>
      <c r="C43327" s="36"/>
      <c r="E43327" s="1"/>
      <c r="F43327" s="1"/>
      <c r="G43327" s="1"/>
    </row>
    <row r="43328">
      <c r="B43328" s="36"/>
      <c r="C43328" s="36"/>
      <c r="E43328" s="1"/>
      <c r="F43328" s="1"/>
      <c r="G43328" s="1"/>
    </row>
    <row r="43329">
      <c r="B43329" s="36"/>
      <c r="C43329" s="36"/>
      <c r="E43329" s="1"/>
      <c r="F43329" s="1"/>
      <c r="G43329" s="1"/>
    </row>
    <row r="43330">
      <c r="B43330" s="36"/>
      <c r="C43330" s="36"/>
      <c r="E43330" s="1"/>
      <c r="F43330" s="1"/>
      <c r="G43330" s="1"/>
    </row>
    <row r="43331">
      <c r="B43331" s="36"/>
      <c r="C43331" s="36"/>
      <c r="E43331" s="1"/>
      <c r="F43331" s="1"/>
      <c r="G43331" s="1"/>
    </row>
    <row r="43332">
      <c r="B43332" s="36"/>
      <c r="C43332" s="36"/>
      <c r="E43332" s="1"/>
      <c r="F43332" s="1"/>
      <c r="G43332" s="1"/>
    </row>
    <row r="43333">
      <c r="B43333" s="36"/>
      <c r="C43333" s="36"/>
      <c r="E43333" s="1"/>
      <c r="F43333" s="1"/>
      <c r="G43333" s="1"/>
    </row>
    <row r="43334">
      <c r="B43334" s="36"/>
      <c r="C43334" s="36"/>
      <c r="E43334" s="1"/>
      <c r="F43334" s="1"/>
      <c r="G43334" s="1"/>
    </row>
    <row r="43335">
      <c r="B43335" s="36"/>
      <c r="C43335" s="36"/>
      <c r="E43335" s="1"/>
      <c r="F43335" s="1"/>
      <c r="G43335" s="1"/>
    </row>
    <row r="43336">
      <c r="B43336" s="36"/>
      <c r="C43336" s="36"/>
      <c r="E43336" s="1"/>
      <c r="F43336" s="1"/>
      <c r="G43336" s="1"/>
    </row>
    <row r="43337">
      <c r="B43337" s="36"/>
      <c r="C43337" s="36"/>
      <c r="E43337" s="1"/>
      <c r="F43337" s="1"/>
      <c r="G43337" s="1"/>
    </row>
    <row r="43338">
      <c r="B43338" s="36"/>
      <c r="C43338" s="36"/>
      <c r="E43338" s="1"/>
      <c r="F43338" s="1"/>
      <c r="G43338" s="1"/>
    </row>
    <row r="43339">
      <c r="B43339" s="36"/>
      <c r="C43339" s="36"/>
      <c r="E43339" s="1"/>
      <c r="F43339" s="1"/>
      <c r="G43339" s="1"/>
    </row>
    <row r="43340">
      <c r="B43340" s="36"/>
      <c r="C43340" s="36"/>
      <c r="E43340" s="1"/>
      <c r="F43340" s="1"/>
      <c r="G43340" s="1"/>
    </row>
    <row r="43341">
      <c r="B43341" s="36"/>
      <c r="C43341" s="36"/>
      <c r="E43341" s="1"/>
      <c r="F43341" s="1"/>
      <c r="G43341" s="1"/>
    </row>
    <row r="43342">
      <c r="B43342" s="36"/>
      <c r="C43342" s="36"/>
      <c r="E43342" s="1"/>
      <c r="F43342" s="1"/>
      <c r="G43342" s="1"/>
    </row>
    <row r="43343">
      <c r="B43343" s="36"/>
      <c r="C43343" s="36"/>
      <c r="E43343" s="1"/>
      <c r="F43343" s="1"/>
      <c r="G43343" s="1"/>
    </row>
    <row r="43344">
      <c r="B43344" s="36"/>
      <c r="C43344" s="36"/>
      <c r="E43344" s="1"/>
      <c r="F43344" s="1"/>
      <c r="G43344" s="1"/>
    </row>
    <row r="43345">
      <c r="B43345" s="36"/>
      <c r="C43345" s="36"/>
      <c r="E43345" s="1"/>
      <c r="F43345" s="1"/>
      <c r="G43345" s="1"/>
    </row>
    <row r="43346">
      <c r="B43346" s="36"/>
      <c r="C43346" s="36"/>
      <c r="E43346" s="1"/>
      <c r="F43346" s="1"/>
      <c r="G43346" s="1"/>
    </row>
    <row r="43347">
      <c r="B43347" s="36"/>
      <c r="C43347" s="36"/>
      <c r="E43347" s="1"/>
      <c r="F43347" s="1"/>
      <c r="G43347" s="1"/>
    </row>
    <row r="43348">
      <c r="B43348" s="36"/>
      <c r="C43348" s="36"/>
      <c r="E43348" s="1"/>
      <c r="F43348" s="1"/>
      <c r="G43348" s="1"/>
    </row>
    <row r="43349">
      <c r="B43349" s="36"/>
      <c r="C43349" s="36"/>
      <c r="E43349" s="1"/>
      <c r="F43349" s="1"/>
      <c r="G43349" s="1"/>
    </row>
    <row r="43350">
      <c r="B43350" s="36"/>
      <c r="C43350" s="36"/>
      <c r="E43350" s="1"/>
      <c r="F43350" s="1"/>
      <c r="G43350" s="1"/>
    </row>
    <row r="43351">
      <c r="B43351" s="36"/>
      <c r="C43351" s="36"/>
      <c r="E43351" s="1"/>
      <c r="F43351" s="1"/>
      <c r="G43351" s="1"/>
    </row>
    <row r="43352">
      <c r="B43352" s="36"/>
      <c r="C43352" s="36"/>
      <c r="E43352" s="1"/>
      <c r="F43352" s="1"/>
      <c r="G43352" s="1"/>
    </row>
    <row r="43353">
      <c r="B43353" s="36"/>
      <c r="C43353" s="36"/>
      <c r="E43353" s="1"/>
      <c r="F43353" s="1"/>
      <c r="G43353" s="1"/>
    </row>
    <row r="43354">
      <c r="B43354" s="36"/>
      <c r="C43354" s="36"/>
      <c r="E43354" s="1"/>
      <c r="F43354" s="1"/>
      <c r="G43354" s="1"/>
    </row>
    <row r="43355">
      <c r="B43355" s="36"/>
      <c r="C43355" s="36"/>
      <c r="E43355" s="1"/>
      <c r="F43355" s="1"/>
      <c r="G43355" s="1"/>
    </row>
    <row r="43356">
      <c r="B43356" s="36"/>
      <c r="C43356" s="36"/>
      <c r="E43356" s="1"/>
      <c r="F43356" s="1"/>
      <c r="G43356" s="1"/>
    </row>
    <row r="43357">
      <c r="B43357" s="36"/>
      <c r="C43357" s="36"/>
      <c r="E43357" s="1"/>
      <c r="F43357" s="1"/>
      <c r="G43357" s="1"/>
    </row>
    <row r="43358">
      <c r="B43358" s="36"/>
      <c r="C43358" s="36"/>
      <c r="E43358" s="1"/>
      <c r="F43358" s="1"/>
      <c r="G43358" s="1"/>
    </row>
    <row r="43359">
      <c r="B43359" s="36"/>
      <c r="C43359" s="36"/>
      <c r="E43359" s="1"/>
      <c r="F43359" s="1"/>
      <c r="G43359" s="1"/>
    </row>
    <row r="43360">
      <c r="B43360" s="36"/>
      <c r="C43360" s="36"/>
      <c r="E43360" s="1"/>
      <c r="F43360" s="1"/>
      <c r="G43360" s="1"/>
    </row>
    <row r="43361">
      <c r="B43361" s="36"/>
      <c r="C43361" s="36"/>
      <c r="E43361" s="1"/>
      <c r="F43361" s="1"/>
      <c r="G43361" s="1"/>
    </row>
    <row r="43362">
      <c r="B43362" s="36"/>
      <c r="C43362" s="36"/>
      <c r="E43362" s="1"/>
      <c r="F43362" s="1"/>
      <c r="G43362" s="1"/>
    </row>
    <row r="43363">
      <c r="B43363" s="36"/>
      <c r="C43363" s="36"/>
      <c r="E43363" s="1"/>
      <c r="F43363" s="1"/>
      <c r="G43363" s="1"/>
    </row>
    <row r="43364">
      <c r="B43364" s="36"/>
      <c r="C43364" s="36"/>
      <c r="E43364" s="1"/>
      <c r="F43364" s="1"/>
      <c r="G43364" s="1"/>
    </row>
    <row r="43365">
      <c r="B43365" s="36"/>
      <c r="C43365" s="36"/>
      <c r="E43365" s="1"/>
      <c r="F43365" s="1"/>
      <c r="G43365" s="1"/>
    </row>
    <row r="43366">
      <c r="B43366" s="36"/>
      <c r="C43366" s="36"/>
      <c r="E43366" s="1"/>
      <c r="F43366" s="1"/>
      <c r="G43366" s="1"/>
    </row>
    <row r="43367">
      <c r="B43367" s="36"/>
      <c r="C43367" s="36"/>
      <c r="E43367" s="1"/>
      <c r="F43367" s="1"/>
      <c r="G43367" s="1"/>
    </row>
    <row r="43368">
      <c r="B43368" s="36"/>
      <c r="C43368" s="36"/>
      <c r="E43368" s="1"/>
      <c r="F43368" s="1"/>
      <c r="G43368" s="1"/>
    </row>
    <row r="43369">
      <c r="B43369" s="36"/>
      <c r="C43369" s="36"/>
      <c r="E43369" s="1"/>
      <c r="F43369" s="1"/>
      <c r="G43369" s="1"/>
    </row>
    <row r="43370">
      <c r="B43370" s="36"/>
      <c r="C43370" s="36"/>
      <c r="E43370" s="1"/>
      <c r="F43370" s="1"/>
      <c r="G43370" s="1"/>
    </row>
    <row r="43371">
      <c r="B43371" s="36"/>
      <c r="C43371" s="36"/>
      <c r="E43371" s="1"/>
      <c r="F43371" s="1"/>
      <c r="G43371" s="1"/>
    </row>
    <row r="43372">
      <c r="B43372" s="36"/>
      <c r="C43372" s="36"/>
      <c r="E43372" s="1"/>
      <c r="F43372" s="1"/>
      <c r="G43372" s="1"/>
    </row>
    <row r="43373">
      <c r="B43373" s="36"/>
      <c r="C43373" s="36"/>
      <c r="E43373" s="1"/>
      <c r="F43373" s="1"/>
      <c r="G43373" s="1"/>
    </row>
    <row r="43374">
      <c r="B43374" s="36"/>
      <c r="C43374" s="36"/>
      <c r="E43374" s="1"/>
      <c r="F43374" s="1"/>
      <c r="G43374" s="1"/>
    </row>
    <row r="43375">
      <c r="B43375" s="36"/>
      <c r="C43375" s="36"/>
      <c r="E43375" s="1"/>
      <c r="F43375" s="1"/>
      <c r="G43375" s="1"/>
    </row>
    <row r="43376">
      <c r="B43376" s="36"/>
      <c r="C43376" s="36"/>
      <c r="E43376" s="1"/>
      <c r="F43376" s="1"/>
      <c r="G43376" s="1"/>
    </row>
    <row r="43377">
      <c r="B43377" s="36"/>
      <c r="C43377" s="36"/>
      <c r="E43377" s="1"/>
      <c r="F43377" s="1"/>
      <c r="G43377" s="1"/>
    </row>
    <row r="43378">
      <c r="B43378" s="36"/>
      <c r="C43378" s="36"/>
      <c r="E43378" s="1"/>
      <c r="F43378" s="1"/>
      <c r="G43378" s="1"/>
    </row>
    <row r="43379">
      <c r="B43379" s="36"/>
      <c r="C43379" s="36"/>
      <c r="E43379" s="1"/>
      <c r="F43379" s="1"/>
      <c r="G43379" s="1"/>
    </row>
    <row r="43380">
      <c r="B43380" s="36"/>
      <c r="C43380" s="36"/>
      <c r="E43380" s="1"/>
      <c r="F43380" s="1"/>
      <c r="G43380" s="1"/>
    </row>
    <row r="43381">
      <c r="B43381" s="36"/>
      <c r="C43381" s="36"/>
      <c r="E43381" s="1"/>
      <c r="F43381" s="1"/>
      <c r="G43381" s="1"/>
    </row>
    <row r="43382">
      <c r="B43382" s="36"/>
      <c r="C43382" s="36"/>
      <c r="E43382" s="1"/>
      <c r="F43382" s="1"/>
      <c r="G43382" s="1"/>
    </row>
    <row r="43383">
      <c r="B43383" s="36"/>
      <c r="C43383" s="36"/>
      <c r="E43383" s="1"/>
      <c r="F43383" s="1"/>
      <c r="G43383" s="1"/>
    </row>
    <row r="43384">
      <c r="B43384" s="36"/>
      <c r="C43384" s="36"/>
      <c r="E43384" s="1"/>
      <c r="F43384" s="1"/>
      <c r="G43384" s="1"/>
    </row>
    <row r="43385">
      <c r="B43385" s="36"/>
      <c r="C43385" s="36"/>
      <c r="E43385" s="1"/>
      <c r="F43385" s="1"/>
      <c r="G43385" s="1"/>
    </row>
    <row r="43386">
      <c r="B43386" s="36"/>
      <c r="C43386" s="36"/>
      <c r="E43386" s="1"/>
      <c r="F43386" s="1"/>
      <c r="G43386" s="1"/>
    </row>
    <row r="43387">
      <c r="B43387" s="36"/>
      <c r="C43387" s="36"/>
      <c r="E43387" s="1"/>
      <c r="F43387" s="1"/>
      <c r="G43387" s="1"/>
    </row>
    <row r="43388">
      <c r="B43388" s="36"/>
      <c r="C43388" s="36"/>
      <c r="E43388" s="1"/>
      <c r="F43388" s="1"/>
      <c r="G43388" s="1"/>
    </row>
    <row r="43389">
      <c r="B43389" s="36"/>
      <c r="C43389" s="36"/>
      <c r="E43389" s="1"/>
      <c r="F43389" s="1"/>
      <c r="G43389" s="1"/>
    </row>
    <row r="43390">
      <c r="B43390" s="36"/>
      <c r="C43390" s="36"/>
      <c r="E43390" s="1"/>
      <c r="F43390" s="1"/>
      <c r="G43390" s="1"/>
    </row>
    <row r="43391">
      <c r="B43391" s="36"/>
      <c r="C43391" s="36"/>
      <c r="E43391" s="1"/>
      <c r="F43391" s="1"/>
      <c r="G43391" s="1"/>
    </row>
    <row r="43392">
      <c r="B43392" s="36"/>
      <c r="C43392" s="36"/>
      <c r="E43392" s="1"/>
      <c r="F43392" s="1"/>
      <c r="G43392" s="1"/>
    </row>
    <row r="43393">
      <c r="B43393" s="36"/>
      <c r="C43393" s="36"/>
      <c r="E43393" s="1"/>
      <c r="F43393" s="1"/>
      <c r="G43393" s="1"/>
    </row>
    <row r="43394">
      <c r="B43394" s="36"/>
      <c r="C43394" s="36"/>
      <c r="E43394" s="1"/>
      <c r="F43394" s="1"/>
      <c r="G43394" s="1"/>
    </row>
    <row r="43395">
      <c r="B43395" s="36"/>
      <c r="C43395" s="36"/>
      <c r="E43395" s="1"/>
      <c r="F43395" s="1"/>
      <c r="G43395" s="1"/>
    </row>
    <row r="43396">
      <c r="B43396" s="36"/>
      <c r="C43396" s="36"/>
      <c r="E43396" s="1"/>
      <c r="F43396" s="1"/>
      <c r="G43396" s="1"/>
    </row>
    <row r="43397">
      <c r="B43397" s="36"/>
      <c r="C43397" s="36"/>
      <c r="E43397" s="1"/>
      <c r="F43397" s="1"/>
      <c r="G43397" s="1"/>
    </row>
    <row r="43398">
      <c r="B43398" s="36"/>
      <c r="C43398" s="36"/>
      <c r="E43398" s="1"/>
      <c r="F43398" s="1"/>
      <c r="G43398" s="1"/>
    </row>
    <row r="43399">
      <c r="B43399" s="36"/>
      <c r="C43399" s="36"/>
      <c r="E43399" s="1"/>
      <c r="F43399" s="1"/>
      <c r="G43399" s="1"/>
    </row>
    <row r="43400">
      <c r="B43400" s="36"/>
      <c r="C43400" s="36"/>
      <c r="E43400" s="1"/>
      <c r="F43400" s="1"/>
      <c r="G43400" s="1"/>
    </row>
    <row r="43401">
      <c r="B43401" s="36"/>
      <c r="C43401" s="36"/>
      <c r="E43401" s="1"/>
      <c r="F43401" s="1"/>
      <c r="G43401" s="1"/>
    </row>
    <row r="43402">
      <c r="B43402" s="36"/>
      <c r="C43402" s="36"/>
      <c r="E43402" s="1"/>
      <c r="F43402" s="1"/>
      <c r="G43402" s="1"/>
    </row>
    <row r="43403">
      <c r="B43403" s="36"/>
      <c r="C43403" s="36"/>
      <c r="E43403" s="1"/>
      <c r="F43403" s="1"/>
      <c r="G43403" s="1"/>
    </row>
    <row r="43404">
      <c r="B43404" s="36"/>
      <c r="C43404" s="36"/>
      <c r="E43404" s="1"/>
      <c r="F43404" s="1"/>
      <c r="G43404" s="1"/>
    </row>
    <row r="43405">
      <c r="B43405" s="36"/>
      <c r="C43405" s="36"/>
      <c r="E43405" s="1"/>
      <c r="F43405" s="1"/>
      <c r="G43405" s="1"/>
    </row>
    <row r="43406">
      <c r="B43406" s="36"/>
      <c r="C43406" s="36"/>
      <c r="E43406" s="1"/>
      <c r="F43406" s="1"/>
      <c r="G43406" s="1"/>
    </row>
    <row r="43407">
      <c r="B43407" s="36"/>
      <c r="C43407" s="36"/>
      <c r="E43407" s="1"/>
      <c r="F43407" s="1"/>
      <c r="G43407" s="1"/>
    </row>
    <row r="43408">
      <c r="B43408" s="36"/>
      <c r="C43408" s="36"/>
      <c r="E43408" s="1"/>
      <c r="F43408" s="1"/>
      <c r="G43408" s="1"/>
    </row>
    <row r="43409">
      <c r="B43409" s="36"/>
      <c r="C43409" s="36"/>
      <c r="E43409" s="1"/>
      <c r="F43409" s="1"/>
      <c r="G43409" s="1"/>
    </row>
    <row r="43410">
      <c r="B43410" s="36"/>
      <c r="C43410" s="36"/>
      <c r="E43410" s="1"/>
      <c r="F43410" s="1"/>
      <c r="G43410" s="1"/>
    </row>
    <row r="43411">
      <c r="B43411" s="36"/>
      <c r="C43411" s="36"/>
      <c r="E43411" s="1"/>
      <c r="F43411" s="1"/>
      <c r="G43411" s="1"/>
    </row>
    <row r="43412">
      <c r="B43412" s="36"/>
      <c r="C43412" s="36"/>
      <c r="E43412" s="1"/>
      <c r="F43412" s="1"/>
      <c r="G43412" s="1"/>
    </row>
    <row r="43413">
      <c r="B43413" s="36"/>
      <c r="C43413" s="36"/>
      <c r="E43413" s="1"/>
      <c r="F43413" s="1"/>
      <c r="G43413" s="1"/>
    </row>
    <row r="43414">
      <c r="B43414" s="36"/>
      <c r="C43414" s="36"/>
      <c r="E43414" s="1"/>
      <c r="F43414" s="1"/>
      <c r="G43414" s="1"/>
    </row>
    <row r="43415">
      <c r="B43415" s="36"/>
      <c r="C43415" s="36"/>
      <c r="E43415" s="1"/>
      <c r="F43415" s="1"/>
      <c r="G43415" s="1"/>
    </row>
    <row r="43416">
      <c r="B43416" s="36"/>
      <c r="C43416" s="36"/>
      <c r="E43416" s="1"/>
      <c r="F43416" s="1"/>
      <c r="G43416" s="1"/>
    </row>
    <row r="43417">
      <c r="B43417" s="36"/>
      <c r="C43417" s="36"/>
      <c r="E43417" s="1"/>
      <c r="F43417" s="1"/>
      <c r="G43417" s="1"/>
    </row>
    <row r="43418">
      <c r="B43418" s="36"/>
      <c r="C43418" s="36"/>
      <c r="E43418" s="1"/>
      <c r="F43418" s="1"/>
      <c r="G43418" s="1"/>
    </row>
    <row r="43419">
      <c r="B43419" s="36"/>
      <c r="C43419" s="36"/>
      <c r="E43419" s="1"/>
      <c r="F43419" s="1"/>
      <c r="G43419" s="1"/>
    </row>
    <row r="43420">
      <c r="B43420" s="36"/>
      <c r="C43420" s="36"/>
      <c r="E43420" s="1"/>
      <c r="F43420" s="1"/>
      <c r="G43420" s="1"/>
    </row>
    <row r="43421">
      <c r="B43421" s="36"/>
      <c r="C43421" s="36"/>
      <c r="E43421" s="1"/>
      <c r="F43421" s="1"/>
      <c r="G43421" s="1"/>
    </row>
    <row r="43422">
      <c r="B43422" s="36"/>
      <c r="C43422" s="36"/>
      <c r="E43422" s="1"/>
      <c r="F43422" s="1"/>
      <c r="G43422" s="1"/>
    </row>
    <row r="43423">
      <c r="B43423" s="36"/>
      <c r="C43423" s="36"/>
      <c r="E43423" s="1"/>
      <c r="F43423" s="1"/>
      <c r="G43423" s="1"/>
    </row>
    <row r="43424">
      <c r="B43424" s="36"/>
      <c r="C43424" s="36"/>
      <c r="E43424" s="1"/>
      <c r="F43424" s="1"/>
      <c r="G43424" s="1"/>
    </row>
    <row r="43425">
      <c r="B43425" s="36"/>
      <c r="C43425" s="36"/>
      <c r="E43425" s="1"/>
      <c r="F43425" s="1"/>
      <c r="G43425" s="1"/>
    </row>
    <row r="43426">
      <c r="B43426" s="36"/>
      <c r="C43426" s="36"/>
      <c r="E43426" s="1"/>
      <c r="F43426" s="1"/>
      <c r="G43426" s="1"/>
    </row>
    <row r="43427">
      <c r="B43427" s="36"/>
      <c r="C43427" s="36"/>
      <c r="E43427" s="1"/>
      <c r="F43427" s="1"/>
      <c r="G43427" s="1"/>
    </row>
    <row r="43428">
      <c r="B43428" s="36"/>
      <c r="C43428" s="36"/>
      <c r="E43428" s="1"/>
      <c r="F43428" s="1"/>
      <c r="G43428" s="1"/>
    </row>
    <row r="43429">
      <c r="B43429" s="36"/>
      <c r="C43429" s="36"/>
      <c r="E43429" s="1"/>
      <c r="F43429" s="1"/>
      <c r="G43429" s="1"/>
    </row>
    <row r="43430">
      <c r="B43430" s="36"/>
      <c r="C43430" s="36"/>
      <c r="E43430" s="1"/>
      <c r="F43430" s="1"/>
      <c r="G43430" s="1"/>
    </row>
    <row r="43431">
      <c r="B43431" s="36"/>
      <c r="C43431" s="36"/>
      <c r="E43431" s="1"/>
      <c r="F43431" s="1"/>
      <c r="G43431" s="1"/>
    </row>
    <row r="43432">
      <c r="B43432" s="36"/>
      <c r="C43432" s="36"/>
      <c r="E43432" s="1"/>
      <c r="F43432" s="1"/>
      <c r="G43432" s="1"/>
    </row>
    <row r="43433">
      <c r="B43433" s="36"/>
      <c r="C43433" s="36"/>
      <c r="E43433" s="1"/>
      <c r="F43433" s="1"/>
      <c r="G43433" s="1"/>
    </row>
    <row r="43434">
      <c r="B43434" s="36"/>
      <c r="C43434" s="36"/>
      <c r="E43434" s="1"/>
      <c r="F43434" s="1"/>
      <c r="G43434" s="1"/>
    </row>
    <row r="43435">
      <c r="B43435" s="36"/>
      <c r="C43435" s="36"/>
      <c r="E43435" s="1"/>
      <c r="F43435" s="1"/>
      <c r="G43435" s="1"/>
    </row>
    <row r="43436">
      <c r="B43436" s="36"/>
      <c r="C43436" s="36"/>
      <c r="E43436" s="1"/>
      <c r="F43436" s="1"/>
      <c r="G43436" s="1"/>
    </row>
    <row r="43437">
      <c r="B43437" s="36"/>
      <c r="C43437" s="36"/>
      <c r="E43437" s="1"/>
      <c r="F43437" s="1"/>
      <c r="G43437" s="1"/>
    </row>
    <row r="43438">
      <c r="B43438" s="36"/>
      <c r="C43438" s="36"/>
      <c r="E43438" s="1"/>
      <c r="F43438" s="1"/>
      <c r="G43438" s="1"/>
    </row>
    <row r="43439">
      <c r="B43439" s="36"/>
      <c r="C43439" s="36"/>
      <c r="E43439" s="1"/>
      <c r="F43439" s="1"/>
      <c r="G43439" s="1"/>
    </row>
    <row r="43440">
      <c r="B43440" s="36"/>
      <c r="C43440" s="36"/>
      <c r="E43440" s="1"/>
      <c r="F43440" s="1"/>
      <c r="G43440" s="1"/>
    </row>
    <row r="43441">
      <c r="B43441" s="36"/>
      <c r="C43441" s="36"/>
      <c r="E43441" s="1"/>
      <c r="F43441" s="1"/>
      <c r="G43441" s="1"/>
    </row>
    <row r="43442">
      <c r="B43442" s="36"/>
      <c r="C43442" s="36"/>
      <c r="E43442" s="1"/>
      <c r="F43442" s="1"/>
      <c r="G43442" s="1"/>
    </row>
    <row r="43443">
      <c r="B43443" s="36"/>
      <c r="C43443" s="36"/>
      <c r="E43443" s="1"/>
      <c r="F43443" s="1"/>
      <c r="G43443" s="1"/>
    </row>
    <row r="43444">
      <c r="B43444" s="36"/>
      <c r="C43444" s="36"/>
      <c r="E43444" s="1"/>
      <c r="F43444" s="1"/>
      <c r="G43444" s="1"/>
    </row>
    <row r="43445">
      <c r="B43445" s="36"/>
      <c r="C43445" s="36"/>
      <c r="E43445" s="1"/>
      <c r="F43445" s="1"/>
      <c r="G43445" s="1"/>
    </row>
    <row r="43446">
      <c r="B43446" s="36"/>
      <c r="C43446" s="36"/>
      <c r="E43446" s="1"/>
      <c r="F43446" s="1"/>
      <c r="G43446" s="1"/>
    </row>
    <row r="43447">
      <c r="B43447" s="36"/>
      <c r="C43447" s="36"/>
      <c r="E43447" s="1"/>
      <c r="F43447" s="1"/>
      <c r="G43447" s="1"/>
    </row>
    <row r="43448">
      <c r="B43448" s="36"/>
      <c r="C43448" s="36"/>
      <c r="E43448" s="1"/>
      <c r="F43448" s="1"/>
      <c r="G43448" s="1"/>
    </row>
    <row r="43449">
      <c r="B43449" s="36"/>
      <c r="C43449" s="36"/>
      <c r="E43449" s="1"/>
      <c r="F43449" s="1"/>
      <c r="G43449" s="1"/>
    </row>
    <row r="43450">
      <c r="B43450" s="36"/>
      <c r="C43450" s="36"/>
      <c r="E43450" s="1"/>
      <c r="F43450" s="1"/>
      <c r="G43450" s="1"/>
    </row>
    <row r="43451">
      <c r="B43451" s="36"/>
      <c r="C43451" s="36"/>
      <c r="E43451" s="1"/>
      <c r="F43451" s="1"/>
      <c r="G43451" s="1"/>
    </row>
    <row r="43452">
      <c r="B43452" s="36"/>
      <c r="C43452" s="36"/>
      <c r="E43452" s="1"/>
      <c r="F43452" s="1"/>
      <c r="G43452" s="1"/>
    </row>
    <row r="43453">
      <c r="B43453" s="36"/>
      <c r="C43453" s="36"/>
      <c r="E43453" s="1"/>
      <c r="F43453" s="1"/>
      <c r="G43453" s="1"/>
    </row>
    <row r="43454">
      <c r="B43454" s="36"/>
      <c r="C43454" s="36"/>
      <c r="E43454" s="1"/>
      <c r="F43454" s="1"/>
      <c r="G43454" s="1"/>
    </row>
    <row r="43455">
      <c r="B43455" s="36"/>
      <c r="C43455" s="36"/>
      <c r="E43455" s="1"/>
      <c r="F43455" s="1"/>
      <c r="G43455" s="1"/>
    </row>
    <row r="43456">
      <c r="B43456" s="36"/>
      <c r="C43456" s="36"/>
      <c r="E43456" s="1"/>
      <c r="F43456" s="1"/>
      <c r="G43456" s="1"/>
    </row>
    <row r="43457">
      <c r="B43457" s="36"/>
      <c r="C43457" s="36"/>
      <c r="E43457" s="1"/>
      <c r="F43457" s="1"/>
      <c r="G43457" s="1"/>
    </row>
    <row r="43458">
      <c r="B43458" s="36"/>
      <c r="C43458" s="36"/>
      <c r="E43458" s="1"/>
      <c r="F43458" s="1"/>
      <c r="G43458" s="1"/>
    </row>
    <row r="43459">
      <c r="B43459" s="36"/>
      <c r="C43459" s="36"/>
      <c r="E43459" s="1"/>
      <c r="F43459" s="1"/>
      <c r="G43459" s="1"/>
    </row>
    <row r="43460">
      <c r="B43460" s="36"/>
      <c r="C43460" s="36"/>
      <c r="E43460" s="1"/>
      <c r="F43460" s="1"/>
      <c r="G43460" s="1"/>
    </row>
    <row r="43461">
      <c r="B43461" s="36"/>
      <c r="C43461" s="36"/>
      <c r="E43461" s="1"/>
      <c r="F43461" s="1"/>
      <c r="G43461" s="1"/>
    </row>
    <row r="43462">
      <c r="B43462" s="36"/>
      <c r="C43462" s="36"/>
      <c r="E43462" s="1"/>
      <c r="F43462" s="1"/>
      <c r="G43462" s="1"/>
    </row>
    <row r="43463">
      <c r="B43463" s="36"/>
      <c r="C43463" s="36"/>
      <c r="E43463" s="1"/>
      <c r="F43463" s="1"/>
      <c r="G43463" s="1"/>
    </row>
    <row r="43464">
      <c r="B43464" s="36"/>
      <c r="C43464" s="36"/>
      <c r="E43464" s="1"/>
      <c r="F43464" s="1"/>
      <c r="G43464" s="1"/>
    </row>
    <row r="43465">
      <c r="B43465" s="36"/>
      <c r="C43465" s="36"/>
      <c r="E43465" s="1"/>
      <c r="F43465" s="1"/>
      <c r="G43465" s="1"/>
    </row>
    <row r="43466">
      <c r="B43466" s="36"/>
      <c r="C43466" s="36"/>
      <c r="E43466" s="1"/>
      <c r="F43466" s="1"/>
      <c r="G43466" s="1"/>
    </row>
    <row r="43467">
      <c r="B43467" s="36"/>
      <c r="C43467" s="36"/>
      <c r="E43467" s="1"/>
      <c r="F43467" s="1"/>
      <c r="G43467" s="1"/>
    </row>
    <row r="43468">
      <c r="B43468" s="36"/>
      <c r="C43468" s="36"/>
      <c r="E43468" s="1"/>
      <c r="F43468" s="1"/>
      <c r="G43468" s="1"/>
    </row>
    <row r="43469">
      <c r="B43469" s="36"/>
      <c r="C43469" s="36"/>
      <c r="E43469" s="1"/>
      <c r="F43469" s="1"/>
      <c r="G43469" s="1"/>
    </row>
    <row r="43470">
      <c r="B43470" s="36"/>
      <c r="C43470" s="36"/>
      <c r="E43470" s="1"/>
      <c r="F43470" s="1"/>
      <c r="G43470" s="1"/>
    </row>
    <row r="43471">
      <c r="B43471" s="36"/>
      <c r="C43471" s="36"/>
      <c r="E43471" s="1"/>
      <c r="F43471" s="1"/>
      <c r="G43471" s="1"/>
    </row>
    <row r="43472">
      <c r="B43472" s="36"/>
      <c r="C43472" s="36"/>
      <c r="E43472" s="1"/>
      <c r="F43472" s="1"/>
      <c r="G43472" s="1"/>
    </row>
    <row r="43473">
      <c r="B43473" s="36"/>
      <c r="C43473" s="36"/>
      <c r="E43473" s="1"/>
      <c r="F43473" s="1"/>
      <c r="G43473" s="1"/>
    </row>
    <row r="43474">
      <c r="B43474" s="36"/>
      <c r="C43474" s="36"/>
      <c r="E43474" s="1"/>
      <c r="F43474" s="1"/>
      <c r="G43474" s="1"/>
    </row>
    <row r="43475">
      <c r="B43475" s="36"/>
      <c r="C43475" s="36"/>
      <c r="E43475" s="1"/>
      <c r="F43475" s="1"/>
      <c r="G43475" s="1"/>
    </row>
    <row r="43476">
      <c r="B43476" s="36"/>
      <c r="C43476" s="36"/>
      <c r="E43476" s="1"/>
      <c r="F43476" s="1"/>
      <c r="G43476" s="1"/>
    </row>
    <row r="43477">
      <c r="B43477" s="36"/>
      <c r="C43477" s="36"/>
      <c r="E43477" s="1"/>
      <c r="F43477" s="1"/>
      <c r="G43477" s="1"/>
    </row>
    <row r="43478">
      <c r="B43478" s="36"/>
      <c r="C43478" s="36"/>
      <c r="E43478" s="1"/>
      <c r="F43478" s="1"/>
      <c r="G43478" s="1"/>
    </row>
    <row r="43479">
      <c r="B43479" s="36"/>
      <c r="C43479" s="36"/>
      <c r="E43479" s="1"/>
      <c r="F43479" s="1"/>
      <c r="G43479" s="1"/>
    </row>
    <row r="43480">
      <c r="B43480" s="36"/>
      <c r="C43480" s="36"/>
      <c r="E43480" s="1"/>
      <c r="F43480" s="1"/>
      <c r="G43480" s="1"/>
    </row>
    <row r="43481">
      <c r="B43481" s="36"/>
      <c r="C43481" s="36"/>
      <c r="E43481" s="1"/>
      <c r="F43481" s="1"/>
      <c r="G43481" s="1"/>
    </row>
    <row r="43482">
      <c r="B43482" s="36"/>
      <c r="C43482" s="36"/>
      <c r="E43482" s="1"/>
      <c r="F43482" s="1"/>
      <c r="G43482" s="1"/>
    </row>
    <row r="43483">
      <c r="B43483" s="36"/>
      <c r="C43483" s="36"/>
      <c r="E43483" s="1"/>
      <c r="F43483" s="1"/>
      <c r="G43483" s="1"/>
    </row>
    <row r="43484">
      <c r="B43484" s="36"/>
      <c r="C43484" s="36"/>
      <c r="E43484" s="1"/>
      <c r="F43484" s="1"/>
      <c r="G43484" s="1"/>
    </row>
    <row r="43485">
      <c r="B43485" s="36"/>
      <c r="C43485" s="36"/>
      <c r="E43485" s="1"/>
      <c r="F43485" s="1"/>
      <c r="G43485" s="1"/>
    </row>
    <row r="43486">
      <c r="B43486" s="36"/>
      <c r="C43486" s="36"/>
      <c r="E43486" s="1"/>
      <c r="F43486" s="1"/>
      <c r="G43486" s="1"/>
    </row>
    <row r="43487">
      <c r="B43487" s="36"/>
      <c r="C43487" s="36"/>
      <c r="E43487" s="1"/>
      <c r="F43487" s="1"/>
      <c r="G43487" s="1"/>
    </row>
    <row r="43488">
      <c r="B43488" s="36"/>
      <c r="C43488" s="36"/>
      <c r="E43488" s="1"/>
      <c r="F43488" s="1"/>
      <c r="G43488" s="1"/>
    </row>
    <row r="43489">
      <c r="B43489" s="36"/>
      <c r="C43489" s="36"/>
      <c r="E43489" s="1"/>
      <c r="F43489" s="1"/>
      <c r="G43489" s="1"/>
    </row>
    <row r="43490">
      <c r="B43490" s="36"/>
      <c r="C43490" s="36"/>
      <c r="E43490" s="1"/>
      <c r="F43490" s="1"/>
      <c r="G43490" s="1"/>
    </row>
    <row r="43491">
      <c r="B43491" s="36"/>
      <c r="C43491" s="36"/>
      <c r="E43491" s="1"/>
      <c r="F43491" s="1"/>
      <c r="G43491" s="1"/>
    </row>
    <row r="43492">
      <c r="B43492" s="36"/>
      <c r="C43492" s="36"/>
      <c r="E43492" s="1"/>
      <c r="F43492" s="1"/>
      <c r="G43492" s="1"/>
    </row>
    <row r="43493">
      <c r="B43493" s="36"/>
      <c r="C43493" s="36"/>
      <c r="E43493" s="1"/>
      <c r="F43493" s="1"/>
      <c r="G43493" s="1"/>
    </row>
    <row r="43494">
      <c r="B43494" s="36"/>
      <c r="C43494" s="36"/>
      <c r="E43494" s="1"/>
      <c r="F43494" s="1"/>
      <c r="G43494" s="1"/>
    </row>
    <row r="43495">
      <c r="B43495" s="36"/>
      <c r="C43495" s="36"/>
      <c r="E43495" s="1"/>
      <c r="F43495" s="1"/>
      <c r="G43495" s="1"/>
    </row>
    <row r="43496">
      <c r="B43496" s="36"/>
      <c r="C43496" s="36"/>
      <c r="E43496" s="1"/>
      <c r="F43496" s="1"/>
      <c r="G43496" s="1"/>
    </row>
    <row r="43497">
      <c r="B43497" s="36"/>
      <c r="C43497" s="36"/>
      <c r="E43497" s="1"/>
      <c r="F43497" s="1"/>
      <c r="G43497" s="1"/>
    </row>
    <row r="43498">
      <c r="B43498" s="36"/>
      <c r="C43498" s="36"/>
      <c r="E43498" s="1"/>
      <c r="F43498" s="1"/>
      <c r="G43498" s="1"/>
    </row>
    <row r="43499">
      <c r="B43499" s="36"/>
      <c r="C43499" s="36"/>
      <c r="E43499" s="1"/>
      <c r="F43499" s="1"/>
      <c r="G43499" s="1"/>
    </row>
    <row r="43500">
      <c r="B43500" s="36"/>
      <c r="C43500" s="36"/>
      <c r="E43500" s="1"/>
      <c r="F43500" s="1"/>
      <c r="G43500" s="1"/>
    </row>
    <row r="43501">
      <c r="B43501" s="36"/>
      <c r="C43501" s="36"/>
      <c r="E43501" s="1"/>
      <c r="F43501" s="1"/>
      <c r="G43501" s="1"/>
    </row>
    <row r="43502">
      <c r="B43502" s="36"/>
      <c r="C43502" s="36"/>
      <c r="E43502" s="1"/>
      <c r="F43502" s="1"/>
      <c r="G43502" s="1"/>
    </row>
    <row r="43503">
      <c r="B43503" s="36"/>
      <c r="C43503" s="36"/>
      <c r="E43503" s="1"/>
      <c r="F43503" s="1"/>
      <c r="G43503" s="1"/>
    </row>
    <row r="43504">
      <c r="B43504" s="36"/>
      <c r="C43504" s="36"/>
      <c r="E43504" s="1"/>
      <c r="F43504" s="1"/>
      <c r="G43504" s="1"/>
    </row>
    <row r="43505">
      <c r="B43505" s="36"/>
      <c r="C43505" s="36"/>
      <c r="E43505" s="1"/>
      <c r="F43505" s="1"/>
      <c r="G43505" s="1"/>
    </row>
    <row r="43506">
      <c r="B43506" s="36"/>
      <c r="C43506" s="36"/>
      <c r="E43506" s="1"/>
      <c r="F43506" s="1"/>
      <c r="G43506" s="1"/>
    </row>
    <row r="43507">
      <c r="B43507" s="36"/>
      <c r="C43507" s="36"/>
      <c r="E43507" s="1"/>
      <c r="F43507" s="1"/>
      <c r="G43507" s="1"/>
    </row>
    <row r="43508">
      <c r="B43508" s="36"/>
      <c r="C43508" s="36"/>
      <c r="E43508" s="1"/>
      <c r="F43508" s="1"/>
      <c r="G43508" s="1"/>
    </row>
    <row r="43509">
      <c r="B43509" s="36"/>
      <c r="C43509" s="36"/>
      <c r="E43509" s="1"/>
      <c r="F43509" s="1"/>
      <c r="G43509" s="1"/>
    </row>
    <row r="43510">
      <c r="B43510" s="36"/>
      <c r="C43510" s="36"/>
      <c r="E43510" s="1"/>
      <c r="F43510" s="1"/>
      <c r="G43510" s="1"/>
    </row>
    <row r="43511">
      <c r="B43511" s="36"/>
      <c r="C43511" s="36"/>
      <c r="E43511" s="1"/>
      <c r="F43511" s="1"/>
      <c r="G43511" s="1"/>
    </row>
    <row r="43512">
      <c r="B43512" s="36"/>
      <c r="C43512" s="36"/>
      <c r="E43512" s="1"/>
      <c r="F43512" s="1"/>
      <c r="G43512" s="1"/>
    </row>
    <row r="43513">
      <c r="B43513" s="36"/>
      <c r="C43513" s="36"/>
      <c r="E43513" s="1"/>
      <c r="F43513" s="1"/>
      <c r="G43513" s="1"/>
    </row>
    <row r="43514">
      <c r="B43514" s="36"/>
      <c r="C43514" s="36"/>
      <c r="E43514" s="1"/>
      <c r="F43514" s="1"/>
      <c r="G43514" s="1"/>
    </row>
    <row r="43515">
      <c r="B43515" s="36"/>
      <c r="C43515" s="36"/>
      <c r="E43515" s="1"/>
      <c r="F43515" s="1"/>
      <c r="G43515" s="1"/>
    </row>
    <row r="43516">
      <c r="B43516" s="36"/>
      <c r="C43516" s="36"/>
      <c r="E43516" s="1"/>
      <c r="F43516" s="1"/>
      <c r="G43516" s="1"/>
    </row>
    <row r="43517">
      <c r="B43517" s="36"/>
      <c r="C43517" s="36"/>
      <c r="E43517" s="1"/>
      <c r="F43517" s="1"/>
      <c r="G43517" s="1"/>
    </row>
    <row r="43518">
      <c r="B43518" s="36"/>
      <c r="C43518" s="36"/>
      <c r="E43518" s="1"/>
      <c r="F43518" s="1"/>
      <c r="G43518" s="1"/>
    </row>
    <row r="43519">
      <c r="B43519" s="36"/>
      <c r="C43519" s="36"/>
      <c r="E43519" s="1"/>
      <c r="F43519" s="1"/>
      <c r="G43519" s="1"/>
    </row>
    <row r="43520">
      <c r="B43520" s="36"/>
      <c r="C43520" s="36"/>
      <c r="E43520" s="1"/>
      <c r="F43520" s="1"/>
      <c r="G43520" s="1"/>
    </row>
    <row r="43521">
      <c r="B43521" s="36"/>
      <c r="C43521" s="36"/>
      <c r="E43521" s="1"/>
      <c r="F43521" s="1"/>
      <c r="G43521" s="1"/>
    </row>
    <row r="43522">
      <c r="B43522" s="36"/>
      <c r="C43522" s="36"/>
      <c r="E43522" s="1"/>
      <c r="F43522" s="1"/>
      <c r="G43522" s="1"/>
    </row>
    <row r="43523">
      <c r="B43523" s="36"/>
      <c r="C43523" s="36"/>
      <c r="E43523" s="1"/>
      <c r="F43523" s="1"/>
      <c r="G43523" s="1"/>
    </row>
    <row r="43524">
      <c r="B43524" s="36"/>
      <c r="C43524" s="36"/>
      <c r="E43524" s="1"/>
      <c r="F43524" s="1"/>
      <c r="G43524" s="1"/>
    </row>
    <row r="43525">
      <c r="B43525" s="36"/>
      <c r="C43525" s="36"/>
      <c r="E43525" s="1"/>
      <c r="F43525" s="1"/>
      <c r="G43525" s="1"/>
    </row>
    <row r="43526">
      <c r="B43526" s="36"/>
      <c r="C43526" s="36"/>
      <c r="E43526" s="1"/>
      <c r="F43526" s="1"/>
      <c r="G43526" s="1"/>
    </row>
    <row r="43527">
      <c r="B43527" s="36"/>
      <c r="C43527" s="36"/>
      <c r="E43527" s="1"/>
      <c r="F43527" s="1"/>
      <c r="G43527" s="1"/>
    </row>
    <row r="43528">
      <c r="B43528" s="36"/>
      <c r="C43528" s="36"/>
      <c r="E43528" s="1"/>
      <c r="F43528" s="1"/>
      <c r="G43528" s="1"/>
    </row>
    <row r="43529">
      <c r="B43529" s="36"/>
      <c r="C43529" s="36"/>
      <c r="E43529" s="1"/>
      <c r="F43529" s="1"/>
      <c r="G43529" s="1"/>
    </row>
    <row r="43530">
      <c r="B43530" s="36"/>
      <c r="C43530" s="36"/>
      <c r="E43530" s="1"/>
      <c r="F43530" s="1"/>
      <c r="G43530" s="1"/>
    </row>
    <row r="43531">
      <c r="B43531" s="36"/>
      <c r="C43531" s="36"/>
      <c r="E43531" s="1"/>
      <c r="F43531" s="1"/>
      <c r="G43531" s="1"/>
    </row>
    <row r="43532">
      <c r="B43532" s="36"/>
      <c r="C43532" s="36"/>
      <c r="E43532" s="1"/>
      <c r="F43532" s="1"/>
      <c r="G43532" s="1"/>
    </row>
    <row r="43533">
      <c r="B43533" s="36"/>
      <c r="C43533" s="36"/>
      <c r="E43533" s="1"/>
      <c r="F43533" s="1"/>
      <c r="G43533" s="1"/>
    </row>
    <row r="43534">
      <c r="B43534" s="36"/>
      <c r="C43534" s="36"/>
      <c r="E43534" s="1"/>
      <c r="F43534" s="1"/>
      <c r="G43534" s="1"/>
    </row>
    <row r="43535">
      <c r="B43535" s="36"/>
      <c r="C43535" s="36"/>
      <c r="E43535" s="1"/>
      <c r="F43535" s="1"/>
      <c r="G43535" s="1"/>
    </row>
    <row r="43536">
      <c r="B43536" s="36"/>
      <c r="C43536" s="36"/>
      <c r="E43536" s="1"/>
      <c r="F43536" s="1"/>
      <c r="G43536" s="1"/>
    </row>
    <row r="43537">
      <c r="B43537" s="36"/>
      <c r="C43537" s="36"/>
      <c r="E43537" s="1"/>
      <c r="F43537" s="1"/>
      <c r="G43537" s="1"/>
    </row>
    <row r="43538">
      <c r="B43538" s="36"/>
      <c r="C43538" s="36"/>
      <c r="E43538" s="1"/>
      <c r="F43538" s="1"/>
      <c r="G43538" s="1"/>
    </row>
    <row r="43539">
      <c r="B43539" s="36"/>
      <c r="C43539" s="36"/>
      <c r="E43539" s="1"/>
      <c r="F43539" s="1"/>
      <c r="G43539" s="1"/>
    </row>
    <row r="43540">
      <c r="B43540" s="36"/>
      <c r="C43540" s="36"/>
      <c r="E43540" s="1"/>
      <c r="F43540" s="1"/>
      <c r="G43540" s="1"/>
    </row>
    <row r="43541">
      <c r="B43541" s="36"/>
      <c r="C43541" s="36"/>
      <c r="E43541" s="1"/>
      <c r="F43541" s="1"/>
      <c r="G43541" s="1"/>
    </row>
    <row r="43542">
      <c r="B43542" s="36"/>
      <c r="C43542" s="36"/>
      <c r="E43542" s="1"/>
      <c r="F43542" s="1"/>
      <c r="G43542" s="1"/>
    </row>
    <row r="43543">
      <c r="B43543" s="36"/>
      <c r="C43543" s="36"/>
      <c r="E43543" s="1"/>
      <c r="F43543" s="1"/>
      <c r="G43543" s="1"/>
    </row>
    <row r="43544">
      <c r="B43544" s="36"/>
      <c r="C43544" s="36"/>
      <c r="E43544" s="1"/>
      <c r="F43544" s="1"/>
      <c r="G43544" s="1"/>
    </row>
    <row r="43545">
      <c r="B43545" s="36"/>
      <c r="C43545" s="36"/>
      <c r="E43545" s="1"/>
      <c r="F43545" s="1"/>
      <c r="G43545" s="1"/>
    </row>
    <row r="43546">
      <c r="B43546" s="36"/>
      <c r="C43546" s="36"/>
      <c r="E43546" s="1"/>
      <c r="F43546" s="1"/>
      <c r="G43546" s="1"/>
    </row>
    <row r="43547">
      <c r="B43547" s="36"/>
      <c r="C43547" s="36"/>
      <c r="E43547" s="1"/>
      <c r="F43547" s="1"/>
      <c r="G43547" s="1"/>
    </row>
    <row r="43548">
      <c r="B43548" s="36"/>
      <c r="C43548" s="36"/>
      <c r="E43548" s="1"/>
      <c r="F43548" s="1"/>
      <c r="G43548" s="1"/>
    </row>
    <row r="43549">
      <c r="B43549" s="36"/>
      <c r="C43549" s="36"/>
      <c r="E43549" s="1"/>
      <c r="F43549" s="1"/>
      <c r="G43549" s="1"/>
    </row>
    <row r="43550">
      <c r="B43550" s="36"/>
      <c r="C43550" s="36"/>
      <c r="E43550" s="1"/>
      <c r="F43550" s="1"/>
      <c r="G43550" s="1"/>
    </row>
    <row r="43551">
      <c r="B43551" s="36"/>
      <c r="C43551" s="36"/>
      <c r="E43551" s="1"/>
      <c r="F43551" s="1"/>
      <c r="G43551" s="1"/>
    </row>
    <row r="43552">
      <c r="B43552" s="36"/>
      <c r="C43552" s="36"/>
      <c r="E43552" s="1"/>
      <c r="F43552" s="1"/>
      <c r="G43552" s="1"/>
    </row>
    <row r="43553">
      <c r="B43553" s="36"/>
      <c r="C43553" s="36"/>
      <c r="E43553" s="1"/>
      <c r="F43553" s="1"/>
      <c r="G43553" s="1"/>
    </row>
    <row r="43554">
      <c r="B43554" s="36"/>
      <c r="C43554" s="36"/>
      <c r="E43554" s="1"/>
      <c r="F43554" s="1"/>
      <c r="G43554" s="1"/>
    </row>
    <row r="43555">
      <c r="B43555" s="36"/>
      <c r="C43555" s="36"/>
      <c r="E43555" s="1"/>
      <c r="F43555" s="1"/>
      <c r="G43555" s="1"/>
    </row>
    <row r="43556">
      <c r="B43556" s="36"/>
      <c r="C43556" s="36"/>
      <c r="E43556" s="1"/>
      <c r="F43556" s="1"/>
      <c r="G43556" s="1"/>
    </row>
    <row r="43557">
      <c r="B43557" s="36"/>
      <c r="C43557" s="36"/>
      <c r="E43557" s="1"/>
      <c r="F43557" s="1"/>
      <c r="G43557" s="1"/>
    </row>
    <row r="43558">
      <c r="B43558" s="36"/>
      <c r="C43558" s="36"/>
      <c r="E43558" s="1"/>
      <c r="F43558" s="1"/>
      <c r="G43558" s="1"/>
    </row>
    <row r="43559">
      <c r="B43559" s="36"/>
      <c r="C43559" s="36"/>
      <c r="E43559" s="1"/>
      <c r="F43559" s="1"/>
      <c r="G43559" s="1"/>
    </row>
    <row r="43560">
      <c r="B43560" s="36"/>
      <c r="C43560" s="36"/>
      <c r="E43560" s="1"/>
      <c r="F43560" s="1"/>
      <c r="G43560" s="1"/>
    </row>
    <row r="43561">
      <c r="B43561" s="36"/>
      <c r="C43561" s="36"/>
      <c r="E43561" s="1"/>
      <c r="F43561" s="1"/>
      <c r="G43561" s="1"/>
    </row>
    <row r="43562">
      <c r="B43562" s="36"/>
      <c r="C43562" s="36"/>
      <c r="E43562" s="1"/>
      <c r="F43562" s="1"/>
      <c r="G43562" s="1"/>
    </row>
    <row r="43563">
      <c r="B43563" s="36"/>
      <c r="C43563" s="36"/>
      <c r="E43563" s="1"/>
      <c r="F43563" s="1"/>
      <c r="G43563" s="1"/>
    </row>
    <row r="43564">
      <c r="B43564" s="36"/>
      <c r="C43564" s="36"/>
      <c r="E43564" s="1"/>
      <c r="F43564" s="1"/>
      <c r="G43564" s="1"/>
    </row>
    <row r="43565">
      <c r="B43565" s="36"/>
      <c r="C43565" s="36"/>
      <c r="E43565" s="1"/>
      <c r="F43565" s="1"/>
      <c r="G43565" s="1"/>
    </row>
    <row r="43566">
      <c r="B43566" s="36"/>
      <c r="C43566" s="36"/>
      <c r="E43566" s="1"/>
      <c r="F43566" s="1"/>
      <c r="G43566" s="1"/>
    </row>
    <row r="43567">
      <c r="B43567" s="36"/>
      <c r="C43567" s="36"/>
      <c r="E43567" s="1"/>
      <c r="F43567" s="1"/>
      <c r="G43567" s="1"/>
    </row>
    <row r="43568">
      <c r="B43568" s="36"/>
      <c r="C43568" s="36"/>
      <c r="E43568" s="1"/>
      <c r="F43568" s="1"/>
      <c r="G43568" s="1"/>
    </row>
    <row r="43569">
      <c r="B43569" s="36"/>
      <c r="C43569" s="36"/>
      <c r="E43569" s="1"/>
      <c r="F43569" s="1"/>
      <c r="G43569" s="1"/>
    </row>
    <row r="43570">
      <c r="B43570" s="36"/>
      <c r="C43570" s="36"/>
      <c r="E43570" s="1"/>
      <c r="F43570" s="1"/>
      <c r="G43570" s="1"/>
    </row>
    <row r="43571">
      <c r="B43571" s="36"/>
      <c r="C43571" s="36"/>
      <c r="E43571" s="1"/>
      <c r="F43571" s="1"/>
      <c r="G43571" s="1"/>
    </row>
    <row r="43572">
      <c r="B43572" s="36"/>
      <c r="C43572" s="36"/>
      <c r="E43572" s="1"/>
      <c r="F43572" s="1"/>
      <c r="G43572" s="1"/>
    </row>
    <row r="43573">
      <c r="B43573" s="36"/>
      <c r="C43573" s="36"/>
      <c r="E43573" s="1"/>
      <c r="F43573" s="1"/>
      <c r="G43573" s="1"/>
    </row>
    <row r="43574">
      <c r="B43574" s="36"/>
      <c r="C43574" s="36"/>
      <c r="E43574" s="1"/>
      <c r="F43574" s="1"/>
      <c r="G43574" s="1"/>
    </row>
    <row r="43575">
      <c r="B43575" s="36"/>
      <c r="C43575" s="36"/>
      <c r="E43575" s="1"/>
      <c r="F43575" s="1"/>
      <c r="G43575" s="1"/>
    </row>
    <row r="43576">
      <c r="B43576" s="36"/>
      <c r="C43576" s="36"/>
      <c r="E43576" s="1"/>
      <c r="F43576" s="1"/>
      <c r="G43576" s="1"/>
    </row>
    <row r="43577">
      <c r="B43577" s="36"/>
      <c r="C43577" s="36"/>
      <c r="E43577" s="1"/>
      <c r="F43577" s="1"/>
      <c r="G43577" s="1"/>
    </row>
    <row r="43578">
      <c r="B43578" s="36"/>
      <c r="C43578" s="36"/>
      <c r="E43578" s="1"/>
      <c r="F43578" s="1"/>
      <c r="G43578" s="1"/>
    </row>
    <row r="43579">
      <c r="B43579" s="36"/>
      <c r="C43579" s="36"/>
      <c r="E43579" s="1"/>
      <c r="F43579" s="1"/>
      <c r="G43579" s="1"/>
    </row>
    <row r="43580">
      <c r="B43580" s="36"/>
      <c r="C43580" s="36"/>
      <c r="E43580" s="1"/>
      <c r="F43580" s="1"/>
      <c r="G43580" s="1"/>
    </row>
    <row r="43581">
      <c r="B43581" s="36"/>
      <c r="C43581" s="36"/>
      <c r="E43581" s="1"/>
      <c r="F43581" s="1"/>
      <c r="G43581" s="1"/>
    </row>
    <row r="43582">
      <c r="B43582" s="36"/>
      <c r="C43582" s="36"/>
      <c r="E43582" s="1"/>
      <c r="F43582" s="1"/>
      <c r="G43582" s="1"/>
    </row>
    <row r="43583">
      <c r="B43583" s="36"/>
      <c r="C43583" s="36"/>
      <c r="E43583" s="1"/>
      <c r="F43583" s="1"/>
      <c r="G43583" s="1"/>
    </row>
    <row r="43584">
      <c r="B43584" s="36"/>
      <c r="C43584" s="36"/>
      <c r="E43584" s="1"/>
      <c r="F43584" s="1"/>
      <c r="G43584" s="1"/>
    </row>
    <row r="43585">
      <c r="B43585" s="36"/>
      <c r="C43585" s="36"/>
      <c r="E43585" s="1"/>
      <c r="F43585" s="1"/>
      <c r="G43585" s="1"/>
    </row>
    <row r="43586">
      <c r="B43586" s="36"/>
      <c r="C43586" s="36"/>
      <c r="E43586" s="1"/>
      <c r="F43586" s="1"/>
      <c r="G43586" s="1"/>
    </row>
    <row r="43587">
      <c r="B43587" s="36"/>
      <c r="C43587" s="36"/>
      <c r="E43587" s="1"/>
      <c r="F43587" s="1"/>
      <c r="G43587" s="1"/>
    </row>
    <row r="43588">
      <c r="B43588" s="36"/>
      <c r="C43588" s="36"/>
      <c r="E43588" s="1"/>
      <c r="F43588" s="1"/>
      <c r="G43588" s="1"/>
    </row>
    <row r="43589">
      <c r="B43589" s="36"/>
      <c r="C43589" s="36"/>
      <c r="E43589" s="1"/>
      <c r="F43589" s="1"/>
      <c r="G43589" s="1"/>
    </row>
    <row r="43590">
      <c r="B43590" s="36"/>
      <c r="C43590" s="36"/>
      <c r="E43590" s="1"/>
      <c r="F43590" s="1"/>
      <c r="G43590" s="1"/>
    </row>
    <row r="43591">
      <c r="B43591" s="36"/>
      <c r="C43591" s="36"/>
      <c r="E43591" s="1"/>
      <c r="F43591" s="1"/>
      <c r="G43591" s="1"/>
    </row>
    <row r="43592">
      <c r="B43592" s="36"/>
      <c r="C43592" s="36"/>
      <c r="E43592" s="1"/>
      <c r="F43592" s="1"/>
      <c r="G43592" s="1"/>
    </row>
    <row r="43593">
      <c r="B43593" s="36"/>
      <c r="C43593" s="36"/>
      <c r="E43593" s="1"/>
      <c r="F43593" s="1"/>
      <c r="G43593" s="1"/>
    </row>
    <row r="43594">
      <c r="B43594" s="36"/>
      <c r="C43594" s="36"/>
      <c r="E43594" s="1"/>
      <c r="F43594" s="1"/>
      <c r="G43594" s="1"/>
    </row>
    <row r="43595">
      <c r="B43595" s="36"/>
      <c r="C43595" s="36"/>
      <c r="E43595" s="1"/>
      <c r="F43595" s="1"/>
      <c r="G43595" s="1"/>
    </row>
    <row r="43596">
      <c r="B43596" s="36"/>
      <c r="C43596" s="36"/>
      <c r="E43596" s="1"/>
      <c r="F43596" s="1"/>
      <c r="G43596" s="1"/>
    </row>
    <row r="43597">
      <c r="B43597" s="36"/>
      <c r="C43597" s="36"/>
      <c r="E43597" s="1"/>
      <c r="F43597" s="1"/>
      <c r="G43597" s="1"/>
    </row>
    <row r="43598">
      <c r="B43598" s="36"/>
      <c r="C43598" s="36"/>
      <c r="E43598" s="1"/>
      <c r="F43598" s="1"/>
      <c r="G43598" s="1"/>
    </row>
    <row r="43599">
      <c r="B43599" s="36"/>
      <c r="C43599" s="36"/>
      <c r="E43599" s="1"/>
      <c r="F43599" s="1"/>
      <c r="G43599" s="1"/>
    </row>
    <row r="43600">
      <c r="B43600" s="36"/>
      <c r="C43600" s="36"/>
      <c r="E43600" s="1"/>
      <c r="F43600" s="1"/>
      <c r="G43600" s="1"/>
    </row>
    <row r="43601">
      <c r="B43601" s="36"/>
      <c r="C43601" s="36"/>
      <c r="E43601" s="1"/>
      <c r="F43601" s="1"/>
      <c r="G43601" s="1"/>
    </row>
    <row r="43602">
      <c r="B43602" s="36"/>
      <c r="C43602" s="36"/>
      <c r="E43602" s="1"/>
      <c r="F43602" s="1"/>
      <c r="G43602" s="1"/>
    </row>
    <row r="43603">
      <c r="B43603" s="36"/>
      <c r="C43603" s="36"/>
      <c r="E43603" s="1"/>
      <c r="F43603" s="1"/>
      <c r="G43603" s="1"/>
    </row>
    <row r="43604">
      <c r="B43604" s="36"/>
      <c r="C43604" s="36"/>
      <c r="E43604" s="1"/>
      <c r="F43604" s="1"/>
      <c r="G43604" s="1"/>
    </row>
    <row r="43605">
      <c r="B43605" s="36"/>
      <c r="C43605" s="36"/>
      <c r="E43605" s="1"/>
      <c r="F43605" s="1"/>
      <c r="G43605" s="1"/>
    </row>
    <row r="43606">
      <c r="B43606" s="36"/>
      <c r="C43606" s="36"/>
      <c r="E43606" s="1"/>
      <c r="F43606" s="1"/>
      <c r="G43606" s="1"/>
    </row>
    <row r="43607">
      <c r="B43607" s="36"/>
      <c r="C43607" s="36"/>
      <c r="E43607" s="1"/>
      <c r="F43607" s="1"/>
      <c r="G43607" s="1"/>
    </row>
    <row r="43608">
      <c r="B43608" s="36"/>
      <c r="C43608" s="36"/>
      <c r="E43608" s="1"/>
      <c r="F43608" s="1"/>
      <c r="G43608" s="1"/>
    </row>
    <row r="43609">
      <c r="B43609" s="36"/>
      <c r="C43609" s="36"/>
      <c r="E43609" s="1"/>
      <c r="F43609" s="1"/>
      <c r="G43609" s="1"/>
    </row>
    <row r="43610">
      <c r="B43610" s="36"/>
      <c r="C43610" s="36"/>
      <c r="E43610" s="1"/>
      <c r="F43610" s="1"/>
      <c r="G43610" s="1"/>
    </row>
    <row r="43611">
      <c r="B43611" s="36"/>
      <c r="C43611" s="36"/>
      <c r="E43611" s="1"/>
      <c r="F43611" s="1"/>
      <c r="G43611" s="1"/>
    </row>
    <row r="43612">
      <c r="B43612" s="36"/>
      <c r="C43612" s="36"/>
      <c r="E43612" s="1"/>
      <c r="F43612" s="1"/>
      <c r="G43612" s="1"/>
    </row>
    <row r="43613">
      <c r="B43613" s="36"/>
      <c r="C43613" s="36"/>
      <c r="E43613" s="1"/>
      <c r="F43613" s="1"/>
      <c r="G43613" s="1"/>
    </row>
    <row r="43614">
      <c r="B43614" s="36"/>
      <c r="C43614" s="36"/>
      <c r="E43614" s="1"/>
      <c r="F43614" s="1"/>
      <c r="G43614" s="1"/>
    </row>
    <row r="43615">
      <c r="B43615" s="36"/>
      <c r="C43615" s="36"/>
      <c r="E43615" s="1"/>
      <c r="F43615" s="1"/>
      <c r="G43615" s="1"/>
    </row>
    <row r="43616">
      <c r="B43616" s="36"/>
      <c r="C43616" s="36"/>
      <c r="E43616" s="1"/>
      <c r="F43616" s="1"/>
      <c r="G43616" s="1"/>
    </row>
    <row r="43617">
      <c r="B43617" s="36"/>
      <c r="C43617" s="36"/>
      <c r="E43617" s="1"/>
      <c r="F43617" s="1"/>
      <c r="G43617" s="1"/>
    </row>
    <row r="43618">
      <c r="B43618" s="36"/>
      <c r="C43618" s="36"/>
      <c r="E43618" s="1"/>
      <c r="F43618" s="1"/>
      <c r="G43618" s="1"/>
    </row>
    <row r="43619">
      <c r="B43619" s="36"/>
      <c r="C43619" s="36"/>
      <c r="E43619" s="1"/>
      <c r="F43619" s="1"/>
      <c r="G43619" s="1"/>
    </row>
    <row r="43620">
      <c r="B43620" s="36"/>
      <c r="C43620" s="36"/>
      <c r="E43620" s="1"/>
      <c r="F43620" s="1"/>
      <c r="G43620" s="1"/>
    </row>
    <row r="43621">
      <c r="B43621" s="36"/>
      <c r="C43621" s="36"/>
      <c r="E43621" s="1"/>
      <c r="F43621" s="1"/>
      <c r="G43621" s="1"/>
    </row>
    <row r="43622">
      <c r="B43622" s="36"/>
      <c r="C43622" s="36"/>
      <c r="E43622" s="1"/>
      <c r="F43622" s="1"/>
      <c r="G43622" s="1"/>
    </row>
    <row r="43623">
      <c r="B43623" s="36"/>
      <c r="C43623" s="36"/>
      <c r="E43623" s="1"/>
      <c r="F43623" s="1"/>
      <c r="G43623" s="1"/>
    </row>
    <row r="43624">
      <c r="B43624" s="36"/>
      <c r="C43624" s="36"/>
      <c r="E43624" s="1"/>
      <c r="F43624" s="1"/>
      <c r="G43624" s="1"/>
    </row>
    <row r="43625">
      <c r="B43625" s="36"/>
      <c r="C43625" s="36"/>
      <c r="E43625" s="1"/>
      <c r="F43625" s="1"/>
      <c r="G43625" s="1"/>
    </row>
    <row r="43626">
      <c r="B43626" s="36"/>
      <c r="C43626" s="36"/>
      <c r="E43626" s="1"/>
      <c r="F43626" s="1"/>
      <c r="G43626" s="1"/>
    </row>
    <row r="43627">
      <c r="B43627" s="36"/>
      <c r="C43627" s="36"/>
      <c r="E43627" s="1"/>
      <c r="F43627" s="1"/>
      <c r="G43627" s="1"/>
    </row>
    <row r="43628">
      <c r="B43628" s="36"/>
      <c r="C43628" s="36"/>
      <c r="E43628" s="1"/>
      <c r="F43628" s="1"/>
      <c r="G43628" s="1"/>
    </row>
    <row r="43629">
      <c r="B43629" s="36"/>
      <c r="C43629" s="36"/>
      <c r="E43629" s="1"/>
      <c r="F43629" s="1"/>
      <c r="G43629" s="1"/>
    </row>
    <row r="43630">
      <c r="B43630" s="36"/>
      <c r="C43630" s="36"/>
      <c r="E43630" s="1"/>
      <c r="F43630" s="1"/>
      <c r="G43630" s="1"/>
    </row>
    <row r="43631">
      <c r="B43631" s="36"/>
      <c r="C43631" s="36"/>
      <c r="E43631" s="1"/>
      <c r="F43631" s="1"/>
      <c r="G43631" s="1"/>
    </row>
    <row r="43632">
      <c r="B43632" s="36"/>
      <c r="C43632" s="36"/>
      <c r="E43632" s="1"/>
      <c r="F43632" s="1"/>
      <c r="G43632" s="1"/>
    </row>
    <row r="43633">
      <c r="B43633" s="36"/>
      <c r="C43633" s="36"/>
      <c r="E43633" s="1"/>
      <c r="F43633" s="1"/>
      <c r="G43633" s="1"/>
    </row>
    <row r="43634">
      <c r="B43634" s="36"/>
      <c r="C43634" s="36"/>
      <c r="E43634" s="1"/>
      <c r="F43634" s="1"/>
      <c r="G43634" s="1"/>
    </row>
    <row r="43635">
      <c r="B43635" s="36"/>
      <c r="C43635" s="36"/>
      <c r="E43635" s="1"/>
      <c r="F43635" s="1"/>
      <c r="G43635" s="1"/>
    </row>
    <row r="43636">
      <c r="B43636" s="36"/>
      <c r="C43636" s="36"/>
      <c r="E43636" s="1"/>
      <c r="F43636" s="1"/>
      <c r="G43636" s="1"/>
    </row>
    <row r="43637">
      <c r="B43637" s="36"/>
      <c r="C43637" s="36"/>
      <c r="E43637" s="1"/>
      <c r="F43637" s="1"/>
      <c r="G43637" s="1"/>
    </row>
    <row r="43638">
      <c r="B43638" s="36"/>
      <c r="C43638" s="36"/>
      <c r="E43638" s="1"/>
      <c r="F43638" s="1"/>
      <c r="G43638" s="1"/>
    </row>
    <row r="43639">
      <c r="B43639" s="36"/>
      <c r="C43639" s="36"/>
      <c r="E43639" s="1"/>
      <c r="F43639" s="1"/>
      <c r="G43639" s="1"/>
    </row>
    <row r="43640">
      <c r="B43640" s="36"/>
      <c r="C43640" s="36"/>
      <c r="E43640" s="1"/>
      <c r="F43640" s="1"/>
      <c r="G43640" s="1"/>
    </row>
    <row r="43641">
      <c r="B43641" s="36"/>
      <c r="C43641" s="36"/>
      <c r="E43641" s="1"/>
      <c r="F43641" s="1"/>
      <c r="G43641" s="1"/>
    </row>
    <row r="43642">
      <c r="B43642" s="36"/>
      <c r="C43642" s="36"/>
      <c r="E43642" s="1"/>
      <c r="F43642" s="1"/>
      <c r="G43642" s="1"/>
    </row>
    <row r="43643">
      <c r="B43643" s="36"/>
      <c r="C43643" s="36"/>
      <c r="E43643" s="1"/>
      <c r="F43643" s="1"/>
      <c r="G43643" s="1"/>
    </row>
    <row r="43644">
      <c r="B43644" s="36"/>
      <c r="C43644" s="36"/>
      <c r="E43644" s="1"/>
      <c r="F43644" s="1"/>
      <c r="G43644" s="1"/>
    </row>
    <row r="43645">
      <c r="B43645" s="36"/>
      <c r="C43645" s="36"/>
      <c r="E43645" s="1"/>
      <c r="F43645" s="1"/>
      <c r="G43645" s="1"/>
    </row>
    <row r="43646">
      <c r="B43646" s="36"/>
      <c r="C43646" s="36"/>
      <c r="E43646" s="1"/>
      <c r="F43646" s="1"/>
      <c r="G43646" s="1"/>
    </row>
    <row r="43647">
      <c r="B43647" s="36"/>
      <c r="C43647" s="36"/>
      <c r="E43647" s="1"/>
      <c r="F43647" s="1"/>
      <c r="G43647" s="1"/>
    </row>
    <row r="43648">
      <c r="B43648" s="36"/>
      <c r="C43648" s="36"/>
      <c r="E43648" s="1"/>
      <c r="F43648" s="1"/>
      <c r="G43648" s="1"/>
    </row>
    <row r="43649">
      <c r="B43649" s="36"/>
      <c r="C43649" s="36"/>
      <c r="E43649" s="1"/>
      <c r="F43649" s="1"/>
      <c r="G43649" s="1"/>
    </row>
    <row r="43650">
      <c r="B43650" s="36"/>
      <c r="C43650" s="36"/>
      <c r="E43650" s="1"/>
      <c r="F43650" s="1"/>
      <c r="G43650" s="1"/>
    </row>
    <row r="43651">
      <c r="B43651" s="36"/>
      <c r="C43651" s="36"/>
      <c r="E43651" s="1"/>
      <c r="F43651" s="1"/>
      <c r="G43651" s="1"/>
    </row>
    <row r="43652">
      <c r="B43652" s="36"/>
      <c r="C43652" s="36"/>
      <c r="E43652" s="1"/>
      <c r="F43652" s="1"/>
      <c r="G43652" s="1"/>
    </row>
    <row r="43653">
      <c r="B43653" s="36"/>
      <c r="C43653" s="36"/>
      <c r="E43653" s="1"/>
      <c r="F43653" s="1"/>
      <c r="G43653" s="1"/>
    </row>
    <row r="43654">
      <c r="B43654" s="36"/>
      <c r="C43654" s="36"/>
      <c r="E43654" s="1"/>
      <c r="F43654" s="1"/>
      <c r="G43654" s="1"/>
    </row>
    <row r="43655">
      <c r="B43655" s="36"/>
      <c r="C43655" s="36"/>
      <c r="E43655" s="1"/>
      <c r="F43655" s="1"/>
      <c r="G43655" s="1"/>
    </row>
    <row r="43656">
      <c r="B43656" s="36"/>
      <c r="C43656" s="36"/>
      <c r="E43656" s="1"/>
      <c r="F43656" s="1"/>
      <c r="G43656" s="1"/>
    </row>
    <row r="43657">
      <c r="B43657" s="36"/>
      <c r="C43657" s="36"/>
      <c r="E43657" s="1"/>
      <c r="F43657" s="1"/>
      <c r="G43657" s="1"/>
    </row>
    <row r="43658">
      <c r="B43658" s="36"/>
      <c r="C43658" s="36"/>
      <c r="E43658" s="1"/>
      <c r="F43658" s="1"/>
      <c r="G43658" s="1"/>
    </row>
    <row r="43659">
      <c r="B43659" s="36"/>
      <c r="C43659" s="36"/>
      <c r="E43659" s="1"/>
      <c r="F43659" s="1"/>
      <c r="G43659" s="1"/>
    </row>
    <row r="43660">
      <c r="B43660" s="36"/>
      <c r="C43660" s="36"/>
      <c r="E43660" s="1"/>
      <c r="F43660" s="1"/>
      <c r="G43660" s="1"/>
    </row>
    <row r="43661">
      <c r="B43661" s="36"/>
      <c r="C43661" s="36"/>
      <c r="E43661" s="1"/>
      <c r="F43661" s="1"/>
      <c r="G43661" s="1"/>
    </row>
    <row r="43662">
      <c r="B43662" s="36"/>
      <c r="C43662" s="36"/>
      <c r="E43662" s="1"/>
      <c r="F43662" s="1"/>
      <c r="G43662" s="1"/>
    </row>
    <row r="43663">
      <c r="B43663" s="36"/>
      <c r="C43663" s="36"/>
      <c r="E43663" s="1"/>
      <c r="F43663" s="1"/>
      <c r="G43663" s="1"/>
    </row>
    <row r="43664">
      <c r="B43664" s="36"/>
      <c r="C43664" s="36"/>
      <c r="E43664" s="1"/>
      <c r="F43664" s="1"/>
      <c r="G43664" s="1"/>
    </row>
    <row r="43665">
      <c r="B43665" s="36"/>
      <c r="C43665" s="36"/>
      <c r="E43665" s="1"/>
      <c r="F43665" s="1"/>
      <c r="G43665" s="1"/>
    </row>
    <row r="43666">
      <c r="B43666" s="36"/>
      <c r="C43666" s="36"/>
      <c r="E43666" s="1"/>
      <c r="F43666" s="1"/>
      <c r="G43666" s="1"/>
    </row>
    <row r="43667">
      <c r="B43667" s="36"/>
      <c r="C43667" s="36"/>
      <c r="E43667" s="1"/>
      <c r="F43667" s="1"/>
      <c r="G43667" s="1"/>
    </row>
    <row r="43668">
      <c r="B43668" s="36"/>
      <c r="C43668" s="36"/>
      <c r="E43668" s="1"/>
      <c r="F43668" s="1"/>
      <c r="G43668" s="1"/>
    </row>
    <row r="43669">
      <c r="B43669" s="36"/>
      <c r="C43669" s="36"/>
      <c r="E43669" s="1"/>
      <c r="F43669" s="1"/>
      <c r="G43669" s="1"/>
    </row>
    <row r="43670">
      <c r="B43670" s="36"/>
      <c r="C43670" s="36"/>
      <c r="E43670" s="1"/>
      <c r="F43670" s="1"/>
      <c r="G43670" s="1"/>
    </row>
    <row r="43671">
      <c r="B43671" s="36"/>
      <c r="C43671" s="36"/>
      <c r="E43671" s="1"/>
      <c r="F43671" s="1"/>
      <c r="G43671" s="1"/>
    </row>
    <row r="43672">
      <c r="B43672" s="36"/>
      <c r="C43672" s="36"/>
      <c r="E43672" s="1"/>
      <c r="F43672" s="1"/>
      <c r="G43672" s="1"/>
    </row>
    <row r="43673">
      <c r="B43673" s="36"/>
      <c r="C43673" s="36"/>
      <c r="E43673" s="1"/>
      <c r="F43673" s="1"/>
      <c r="G43673" s="1"/>
    </row>
    <row r="43674">
      <c r="B43674" s="36"/>
      <c r="C43674" s="36"/>
      <c r="E43674" s="1"/>
      <c r="F43674" s="1"/>
      <c r="G43674" s="1"/>
    </row>
    <row r="43675">
      <c r="B43675" s="36"/>
      <c r="C43675" s="36"/>
      <c r="E43675" s="1"/>
      <c r="F43675" s="1"/>
      <c r="G43675" s="1"/>
    </row>
    <row r="43676">
      <c r="B43676" s="36"/>
      <c r="C43676" s="36"/>
      <c r="E43676" s="1"/>
      <c r="F43676" s="1"/>
      <c r="G43676" s="1"/>
    </row>
    <row r="43677">
      <c r="B43677" s="36"/>
      <c r="C43677" s="36"/>
      <c r="E43677" s="1"/>
      <c r="F43677" s="1"/>
      <c r="G43677" s="1"/>
    </row>
    <row r="43678">
      <c r="B43678" s="36"/>
      <c r="C43678" s="36"/>
      <c r="E43678" s="1"/>
      <c r="F43678" s="1"/>
      <c r="G43678" s="1"/>
    </row>
    <row r="43679">
      <c r="B43679" s="36"/>
      <c r="C43679" s="36"/>
      <c r="E43679" s="1"/>
      <c r="F43679" s="1"/>
      <c r="G43679" s="1"/>
    </row>
    <row r="43680">
      <c r="B43680" s="36"/>
      <c r="C43680" s="36"/>
      <c r="E43680" s="1"/>
      <c r="F43680" s="1"/>
      <c r="G43680" s="1"/>
    </row>
    <row r="43681">
      <c r="B43681" s="36"/>
      <c r="C43681" s="36"/>
      <c r="E43681" s="1"/>
      <c r="F43681" s="1"/>
      <c r="G43681" s="1"/>
    </row>
    <row r="43682">
      <c r="B43682" s="36"/>
      <c r="C43682" s="36"/>
      <c r="E43682" s="1"/>
      <c r="F43682" s="1"/>
      <c r="G43682" s="1"/>
    </row>
    <row r="43683">
      <c r="B43683" s="36"/>
      <c r="C43683" s="36"/>
      <c r="E43683" s="1"/>
      <c r="F43683" s="1"/>
      <c r="G43683" s="1"/>
    </row>
    <row r="43684">
      <c r="B43684" s="36"/>
      <c r="C43684" s="36"/>
      <c r="E43684" s="1"/>
      <c r="F43684" s="1"/>
      <c r="G43684" s="1"/>
    </row>
    <row r="43685">
      <c r="B43685" s="36"/>
      <c r="C43685" s="36"/>
      <c r="E43685" s="1"/>
      <c r="F43685" s="1"/>
      <c r="G43685" s="1"/>
    </row>
    <row r="43686">
      <c r="B43686" s="36"/>
      <c r="C43686" s="36"/>
      <c r="E43686" s="1"/>
      <c r="F43686" s="1"/>
      <c r="G43686" s="1"/>
    </row>
    <row r="43687">
      <c r="B43687" s="36"/>
      <c r="C43687" s="36"/>
      <c r="E43687" s="1"/>
      <c r="F43687" s="1"/>
      <c r="G43687" s="1"/>
    </row>
    <row r="43688">
      <c r="B43688" s="36"/>
      <c r="C43688" s="36"/>
      <c r="E43688" s="1"/>
      <c r="F43688" s="1"/>
      <c r="G43688" s="1"/>
    </row>
    <row r="43689">
      <c r="B43689" s="36"/>
      <c r="C43689" s="36"/>
      <c r="E43689" s="1"/>
      <c r="F43689" s="1"/>
      <c r="G43689" s="1"/>
    </row>
    <row r="43690">
      <c r="B43690" s="36"/>
      <c r="C43690" s="36"/>
      <c r="E43690" s="1"/>
      <c r="F43690" s="1"/>
      <c r="G43690" s="1"/>
    </row>
    <row r="43691">
      <c r="B43691" s="36"/>
      <c r="C43691" s="36"/>
      <c r="E43691" s="1"/>
      <c r="F43691" s="1"/>
      <c r="G43691" s="1"/>
    </row>
    <row r="43692">
      <c r="B43692" s="36"/>
      <c r="C43692" s="36"/>
      <c r="E43692" s="1"/>
      <c r="F43692" s="1"/>
      <c r="G43692" s="1"/>
    </row>
    <row r="43693">
      <c r="B43693" s="36"/>
      <c r="C43693" s="36"/>
      <c r="E43693" s="1"/>
      <c r="F43693" s="1"/>
      <c r="G43693" s="1"/>
    </row>
    <row r="43694">
      <c r="B43694" s="36"/>
      <c r="C43694" s="36"/>
      <c r="E43694" s="1"/>
      <c r="F43694" s="1"/>
      <c r="G43694" s="1"/>
    </row>
    <row r="43695">
      <c r="B43695" s="36"/>
      <c r="C43695" s="36"/>
      <c r="E43695" s="1"/>
      <c r="F43695" s="1"/>
      <c r="G43695" s="1"/>
    </row>
    <row r="43696">
      <c r="B43696" s="36"/>
      <c r="C43696" s="36"/>
      <c r="E43696" s="1"/>
      <c r="F43696" s="1"/>
      <c r="G43696" s="1"/>
    </row>
    <row r="43697">
      <c r="B43697" s="36"/>
      <c r="C43697" s="36"/>
      <c r="E43697" s="1"/>
      <c r="F43697" s="1"/>
      <c r="G43697" s="1"/>
    </row>
    <row r="43698">
      <c r="B43698" s="36"/>
      <c r="C43698" s="36"/>
      <c r="E43698" s="1"/>
      <c r="F43698" s="1"/>
      <c r="G43698" s="1"/>
    </row>
    <row r="43699">
      <c r="B43699" s="36"/>
      <c r="C43699" s="36"/>
      <c r="E43699" s="1"/>
      <c r="F43699" s="1"/>
      <c r="G43699" s="1"/>
    </row>
    <row r="43700">
      <c r="B43700" s="36"/>
      <c r="C43700" s="36"/>
      <c r="E43700" s="1"/>
      <c r="F43700" s="1"/>
      <c r="G43700" s="1"/>
    </row>
    <row r="43701">
      <c r="B43701" s="36"/>
      <c r="C43701" s="36"/>
      <c r="E43701" s="1"/>
      <c r="F43701" s="1"/>
      <c r="G43701" s="1"/>
    </row>
    <row r="43702">
      <c r="B43702" s="36"/>
      <c r="C43702" s="36"/>
      <c r="E43702" s="1"/>
      <c r="F43702" s="1"/>
      <c r="G43702" s="1"/>
    </row>
    <row r="43703">
      <c r="B43703" s="36"/>
      <c r="C43703" s="36"/>
      <c r="E43703" s="1"/>
      <c r="F43703" s="1"/>
      <c r="G43703" s="1"/>
    </row>
    <row r="43704">
      <c r="B43704" s="36"/>
      <c r="C43704" s="36"/>
      <c r="E43704" s="1"/>
      <c r="F43704" s="1"/>
      <c r="G43704" s="1"/>
    </row>
    <row r="43705">
      <c r="B43705" s="36"/>
      <c r="C43705" s="36"/>
      <c r="E43705" s="1"/>
      <c r="F43705" s="1"/>
      <c r="G43705" s="1"/>
    </row>
    <row r="43706">
      <c r="B43706" s="36"/>
      <c r="C43706" s="36"/>
      <c r="E43706" s="1"/>
      <c r="F43706" s="1"/>
      <c r="G43706" s="1"/>
    </row>
    <row r="43707">
      <c r="B43707" s="36"/>
      <c r="C43707" s="36"/>
      <c r="E43707" s="1"/>
      <c r="F43707" s="1"/>
      <c r="G43707" s="1"/>
    </row>
    <row r="43708">
      <c r="B43708" s="36"/>
      <c r="C43708" s="36"/>
      <c r="E43708" s="1"/>
      <c r="F43708" s="1"/>
      <c r="G43708" s="1"/>
    </row>
    <row r="43709">
      <c r="B43709" s="36"/>
      <c r="C43709" s="36"/>
      <c r="E43709" s="1"/>
      <c r="F43709" s="1"/>
      <c r="G43709" s="1"/>
    </row>
    <row r="43710">
      <c r="B43710" s="36"/>
      <c r="C43710" s="36"/>
      <c r="E43710" s="1"/>
      <c r="F43710" s="1"/>
      <c r="G43710" s="1"/>
    </row>
    <row r="43711">
      <c r="B43711" s="36"/>
      <c r="C43711" s="36"/>
      <c r="E43711" s="1"/>
      <c r="F43711" s="1"/>
      <c r="G43711" s="1"/>
    </row>
    <row r="43712">
      <c r="B43712" s="36"/>
      <c r="C43712" s="36"/>
      <c r="E43712" s="1"/>
      <c r="F43712" s="1"/>
      <c r="G43712" s="1"/>
    </row>
    <row r="43713">
      <c r="B43713" s="36"/>
      <c r="C43713" s="36"/>
      <c r="E43713" s="1"/>
      <c r="F43713" s="1"/>
      <c r="G43713" s="1"/>
    </row>
    <row r="43714">
      <c r="B43714" s="36"/>
      <c r="C43714" s="36"/>
      <c r="E43714" s="1"/>
      <c r="F43714" s="1"/>
      <c r="G43714" s="1"/>
    </row>
    <row r="43715">
      <c r="B43715" s="36"/>
      <c r="C43715" s="36"/>
      <c r="E43715" s="1"/>
      <c r="F43715" s="1"/>
      <c r="G43715" s="1"/>
    </row>
    <row r="43716">
      <c r="B43716" s="36"/>
      <c r="C43716" s="36"/>
      <c r="E43716" s="1"/>
      <c r="F43716" s="1"/>
      <c r="G43716" s="1"/>
    </row>
    <row r="43717">
      <c r="B43717" s="36"/>
      <c r="C43717" s="36"/>
      <c r="E43717" s="1"/>
      <c r="F43717" s="1"/>
      <c r="G43717" s="1"/>
    </row>
    <row r="43718">
      <c r="B43718" s="36"/>
      <c r="C43718" s="36"/>
      <c r="E43718" s="1"/>
      <c r="F43718" s="1"/>
      <c r="G43718" s="1"/>
    </row>
    <row r="43719">
      <c r="B43719" s="36"/>
      <c r="C43719" s="36"/>
      <c r="E43719" s="1"/>
      <c r="F43719" s="1"/>
      <c r="G43719" s="1"/>
    </row>
    <row r="43720">
      <c r="B43720" s="36"/>
      <c r="C43720" s="36"/>
      <c r="E43720" s="1"/>
      <c r="F43720" s="1"/>
      <c r="G43720" s="1"/>
    </row>
    <row r="43721">
      <c r="B43721" s="36"/>
      <c r="C43721" s="36"/>
      <c r="E43721" s="1"/>
      <c r="F43721" s="1"/>
      <c r="G43721" s="1"/>
    </row>
    <row r="43722">
      <c r="B43722" s="36"/>
      <c r="C43722" s="36"/>
      <c r="E43722" s="1"/>
      <c r="F43722" s="1"/>
      <c r="G43722" s="1"/>
    </row>
    <row r="43723">
      <c r="B43723" s="36"/>
      <c r="C43723" s="36"/>
      <c r="E43723" s="1"/>
      <c r="F43723" s="1"/>
      <c r="G43723" s="1"/>
    </row>
    <row r="43724">
      <c r="B43724" s="36"/>
      <c r="C43724" s="36"/>
      <c r="E43724" s="1"/>
      <c r="F43724" s="1"/>
      <c r="G43724" s="1"/>
    </row>
    <row r="43725">
      <c r="B43725" s="36"/>
      <c r="C43725" s="36"/>
      <c r="E43725" s="1"/>
      <c r="F43725" s="1"/>
      <c r="G43725" s="1"/>
    </row>
    <row r="43726">
      <c r="B43726" s="36"/>
      <c r="C43726" s="36"/>
      <c r="E43726" s="1"/>
      <c r="F43726" s="1"/>
      <c r="G43726" s="1"/>
    </row>
    <row r="43727">
      <c r="B43727" s="36"/>
      <c r="C43727" s="36"/>
      <c r="E43727" s="1"/>
      <c r="F43727" s="1"/>
      <c r="G43727" s="1"/>
    </row>
    <row r="43728">
      <c r="B43728" s="36"/>
      <c r="C43728" s="36"/>
      <c r="E43728" s="1"/>
      <c r="F43728" s="1"/>
      <c r="G43728" s="1"/>
    </row>
    <row r="43729">
      <c r="B43729" s="36"/>
      <c r="C43729" s="36"/>
      <c r="E43729" s="1"/>
      <c r="F43729" s="1"/>
      <c r="G43729" s="1"/>
    </row>
    <row r="43730">
      <c r="B43730" s="36"/>
      <c r="C43730" s="36"/>
      <c r="E43730" s="1"/>
      <c r="F43730" s="1"/>
      <c r="G43730" s="1"/>
    </row>
    <row r="43731">
      <c r="B43731" s="36"/>
      <c r="C43731" s="36"/>
      <c r="E43731" s="1"/>
      <c r="F43731" s="1"/>
      <c r="G43731" s="1"/>
    </row>
    <row r="43732">
      <c r="B43732" s="36"/>
      <c r="C43732" s="36"/>
      <c r="E43732" s="1"/>
      <c r="F43732" s="1"/>
      <c r="G43732" s="1"/>
    </row>
    <row r="43733">
      <c r="B43733" s="36"/>
      <c r="C43733" s="36"/>
      <c r="E43733" s="1"/>
      <c r="F43733" s="1"/>
      <c r="G43733" s="1"/>
    </row>
    <row r="43734">
      <c r="B43734" s="36"/>
      <c r="C43734" s="36"/>
      <c r="E43734" s="1"/>
      <c r="F43734" s="1"/>
      <c r="G43734" s="1"/>
    </row>
    <row r="43735">
      <c r="B43735" s="36"/>
      <c r="C43735" s="36"/>
      <c r="E43735" s="1"/>
      <c r="F43735" s="1"/>
      <c r="G43735" s="1"/>
    </row>
    <row r="43736">
      <c r="B43736" s="36"/>
      <c r="C43736" s="36"/>
      <c r="E43736" s="1"/>
      <c r="F43736" s="1"/>
      <c r="G43736" s="1"/>
    </row>
    <row r="43737">
      <c r="B43737" s="36"/>
      <c r="C43737" s="36"/>
      <c r="E43737" s="1"/>
      <c r="F43737" s="1"/>
      <c r="G43737" s="1"/>
    </row>
    <row r="43738">
      <c r="B43738" s="36"/>
      <c r="C43738" s="36"/>
      <c r="E43738" s="1"/>
      <c r="F43738" s="1"/>
      <c r="G43738" s="1"/>
    </row>
    <row r="43739">
      <c r="B43739" s="36"/>
      <c r="C43739" s="36"/>
      <c r="E43739" s="1"/>
      <c r="F43739" s="1"/>
      <c r="G43739" s="1"/>
    </row>
    <row r="43740">
      <c r="B43740" s="36"/>
      <c r="C43740" s="36"/>
      <c r="E43740" s="1"/>
      <c r="F43740" s="1"/>
      <c r="G43740" s="1"/>
    </row>
    <row r="43741">
      <c r="B43741" s="36"/>
      <c r="C43741" s="36"/>
      <c r="E43741" s="1"/>
      <c r="F43741" s="1"/>
      <c r="G43741" s="1"/>
    </row>
    <row r="43742">
      <c r="B43742" s="36"/>
      <c r="C43742" s="36"/>
      <c r="E43742" s="1"/>
      <c r="F43742" s="1"/>
      <c r="G43742" s="1"/>
    </row>
    <row r="43743">
      <c r="B43743" s="36"/>
      <c r="C43743" s="36"/>
      <c r="E43743" s="1"/>
      <c r="F43743" s="1"/>
      <c r="G43743" s="1"/>
    </row>
    <row r="43744">
      <c r="B43744" s="36"/>
      <c r="C43744" s="36"/>
      <c r="E43744" s="1"/>
      <c r="F43744" s="1"/>
      <c r="G43744" s="1"/>
    </row>
    <row r="43745">
      <c r="B43745" s="36"/>
      <c r="C43745" s="36"/>
      <c r="E43745" s="1"/>
      <c r="F43745" s="1"/>
      <c r="G43745" s="1"/>
    </row>
    <row r="43746">
      <c r="B43746" s="36"/>
      <c r="C43746" s="36"/>
      <c r="E43746" s="1"/>
      <c r="F43746" s="1"/>
      <c r="G43746" s="1"/>
    </row>
    <row r="43747">
      <c r="B43747" s="36"/>
      <c r="C43747" s="36"/>
      <c r="E43747" s="1"/>
      <c r="F43747" s="1"/>
      <c r="G43747" s="1"/>
    </row>
    <row r="43748">
      <c r="B43748" s="36"/>
      <c r="C43748" s="36"/>
      <c r="E43748" s="1"/>
      <c r="F43748" s="1"/>
      <c r="G43748" s="1"/>
    </row>
    <row r="43749">
      <c r="B43749" s="36"/>
      <c r="C43749" s="36"/>
      <c r="E43749" s="1"/>
      <c r="F43749" s="1"/>
      <c r="G43749" s="1"/>
    </row>
    <row r="43750">
      <c r="B43750" s="36"/>
      <c r="C43750" s="36"/>
      <c r="E43750" s="1"/>
      <c r="F43750" s="1"/>
      <c r="G43750" s="1"/>
    </row>
    <row r="43751">
      <c r="B43751" s="36"/>
      <c r="C43751" s="36"/>
      <c r="E43751" s="1"/>
      <c r="F43751" s="1"/>
      <c r="G43751" s="1"/>
    </row>
    <row r="43752">
      <c r="B43752" s="36"/>
      <c r="C43752" s="36"/>
      <c r="E43752" s="1"/>
      <c r="F43752" s="1"/>
      <c r="G43752" s="1"/>
    </row>
    <row r="43753">
      <c r="B43753" s="36"/>
      <c r="C43753" s="36"/>
      <c r="E43753" s="1"/>
      <c r="F43753" s="1"/>
      <c r="G43753" s="1"/>
    </row>
    <row r="43754">
      <c r="B43754" s="36"/>
      <c r="C43754" s="36"/>
      <c r="E43754" s="1"/>
      <c r="F43754" s="1"/>
      <c r="G43754" s="1"/>
    </row>
    <row r="43755">
      <c r="B43755" s="36"/>
      <c r="C43755" s="36"/>
      <c r="E43755" s="1"/>
      <c r="F43755" s="1"/>
      <c r="G43755" s="1"/>
    </row>
    <row r="43756">
      <c r="B43756" s="36"/>
      <c r="C43756" s="36"/>
      <c r="E43756" s="1"/>
      <c r="F43756" s="1"/>
      <c r="G43756" s="1"/>
    </row>
    <row r="43757">
      <c r="B43757" s="36"/>
      <c r="C43757" s="36"/>
      <c r="E43757" s="1"/>
      <c r="F43757" s="1"/>
      <c r="G43757" s="1"/>
    </row>
    <row r="43758">
      <c r="B43758" s="36"/>
      <c r="C43758" s="36"/>
      <c r="E43758" s="1"/>
      <c r="F43758" s="1"/>
      <c r="G43758" s="1"/>
    </row>
    <row r="43759">
      <c r="B43759" s="36"/>
      <c r="C43759" s="36"/>
      <c r="E43759" s="1"/>
      <c r="F43759" s="1"/>
      <c r="G43759" s="1"/>
    </row>
    <row r="43760">
      <c r="B43760" s="36"/>
      <c r="C43760" s="36"/>
      <c r="E43760" s="1"/>
      <c r="F43760" s="1"/>
      <c r="G43760" s="1"/>
    </row>
    <row r="43761">
      <c r="B43761" s="36"/>
      <c r="C43761" s="36"/>
      <c r="E43761" s="1"/>
      <c r="F43761" s="1"/>
      <c r="G43761" s="1"/>
    </row>
    <row r="43762">
      <c r="B43762" s="36"/>
      <c r="C43762" s="36"/>
      <c r="E43762" s="1"/>
      <c r="F43762" s="1"/>
      <c r="G43762" s="1"/>
    </row>
    <row r="43763">
      <c r="B43763" s="36"/>
      <c r="C43763" s="36"/>
      <c r="E43763" s="1"/>
      <c r="F43763" s="1"/>
      <c r="G43763" s="1"/>
    </row>
    <row r="43764">
      <c r="B43764" s="36"/>
      <c r="C43764" s="36"/>
      <c r="E43764" s="1"/>
      <c r="F43764" s="1"/>
      <c r="G43764" s="1"/>
    </row>
    <row r="43765">
      <c r="B43765" s="36"/>
      <c r="C43765" s="36"/>
      <c r="E43765" s="1"/>
      <c r="F43765" s="1"/>
      <c r="G43765" s="1"/>
    </row>
    <row r="43766">
      <c r="B43766" s="36"/>
      <c r="C43766" s="36"/>
      <c r="E43766" s="1"/>
      <c r="F43766" s="1"/>
      <c r="G43766" s="1"/>
    </row>
    <row r="43767">
      <c r="B43767" s="36"/>
      <c r="C43767" s="36"/>
      <c r="E43767" s="1"/>
      <c r="F43767" s="1"/>
      <c r="G43767" s="1"/>
    </row>
    <row r="43768">
      <c r="B43768" s="36"/>
      <c r="C43768" s="36"/>
      <c r="E43768" s="1"/>
      <c r="F43768" s="1"/>
      <c r="G43768" s="1"/>
    </row>
    <row r="43769">
      <c r="B43769" s="36"/>
      <c r="C43769" s="36"/>
      <c r="E43769" s="1"/>
      <c r="F43769" s="1"/>
      <c r="G43769" s="1"/>
    </row>
    <row r="43770">
      <c r="B43770" s="36"/>
      <c r="C43770" s="36"/>
      <c r="E43770" s="1"/>
      <c r="F43770" s="1"/>
      <c r="G43770" s="1"/>
    </row>
    <row r="43771">
      <c r="B43771" s="36"/>
      <c r="C43771" s="36"/>
      <c r="E43771" s="1"/>
      <c r="F43771" s="1"/>
      <c r="G43771" s="1"/>
    </row>
    <row r="43772">
      <c r="B43772" s="36"/>
      <c r="C43772" s="36"/>
      <c r="E43772" s="1"/>
      <c r="F43772" s="1"/>
      <c r="G43772" s="1"/>
    </row>
    <row r="43773">
      <c r="B43773" s="36"/>
      <c r="C43773" s="36"/>
      <c r="E43773" s="1"/>
      <c r="F43773" s="1"/>
      <c r="G43773" s="1"/>
    </row>
    <row r="43774">
      <c r="B43774" s="36"/>
      <c r="C43774" s="36"/>
      <c r="E43774" s="1"/>
      <c r="F43774" s="1"/>
      <c r="G43774" s="1"/>
    </row>
    <row r="43775">
      <c r="B43775" s="36"/>
      <c r="C43775" s="36"/>
      <c r="E43775" s="1"/>
      <c r="F43775" s="1"/>
      <c r="G43775" s="1"/>
    </row>
    <row r="43776">
      <c r="B43776" s="36"/>
      <c r="C43776" s="36"/>
      <c r="E43776" s="1"/>
      <c r="F43776" s="1"/>
      <c r="G43776" s="1"/>
    </row>
    <row r="43777">
      <c r="B43777" s="36"/>
      <c r="C43777" s="36"/>
      <c r="E43777" s="1"/>
      <c r="F43777" s="1"/>
      <c r="G43777" s="1"/>
    </row>
    <row r="43778">
      <c r="B43778" s="36"/>
      <c r="C43778" s="36"/>
      <c r="E43778" s="1"/>
      <c r="F43778" s="1"/>
      <c r="G43778" s="1"/>
    </row>
    <row r="43779">
      <c r="B43779" s="36"/>
      <c r="C43779" s="36"/>
      <c r="E43779" s="1"/>
      <c r="F43779" s="1"/>
      <c r="G43779" s="1"/>
    </row>
    <row r="43780">
      <c r="B43780" s="36"/>
      <c r="C43780" s="36"/>
      <c r="E43780" s="1"/>
      <c r="F43780" s="1"/>
      <c r="G43780" s="1"/>
    </row>
    <row r="43781">
      <c r="B43781" s="36"/>
      <c r="C43781" s="36"/>
      <c r="E43781" s="1"/>
      <c r="F43781" s="1"/>
      <c r="G43781" s="1"/>
    </row>
    <row r="43782">
      <c r="B43782" s="36"/>
      <c r="C43782" s="36"/>
      <c r="E43782" s="1"/>
      <c r="F43782" s="1"/>
      <c r="G43782" s="1"/>
    </row>
    <row r="43783">
      <c r="B43783" s="36"/>
      <c r="C43783" s="36"/>
      <c r="E43783" s="1"/>
      <c r="F43783" s="1"/>
      <c r="G43783" s="1"/>
    </row>
    <row r="43784">
      <c r="B43784" s="36"/>
      <c r="C43784" s="36"/>
      <c r="E43784" s="1"/>
      <c r="F43784" s="1"/>
      <c r="G43784" s="1"/>
    </row>
    <row r="43785">
      <c r="B43785" s="36"/>
      <c r="C43785" s="36"/>
      <c r="E43785" s="1"/>
      <c r="F43785" s="1"/>
      <c r="G43785" s="1"/>
    </row>
    <row r="43786">
      <c r="B43786" s="36"/>
      <c r="C43786" s="36"/>
      <c r="E43786" s="1"/>
      <c r="F43786" s="1"/>
      <c r="G43786" s="1"/>
    </row>
    <row r="43787">
      <c r="B43787" s="36"/>
      <c r="C43787" s="36"/>
      <c r="E43787" s="1"/>
      <c r="F43787" s="1"/>
      <c r="G43787" s="1"/>
    </row>
    <row r="43788">
      <c r="B43788" s="36"/>
      <c r="C43788" s="36"/>
      <c r="E43788" s="1"/>
      <c r="F43788" s="1"/>
      <c r="G43788" s="1"/>
    </row>
    <row r="43789">
      <c r="B43789" s="36"/>
      <c r="C43789" s="36"/>
      <c r="E43789" s="1"/>
      <c r="F43789" s="1"/>
      <c r="G43789" s="1"/>
    </row>
    <row r="43790">
      <c r="B43790" s="36"/>
      <c r="C43790" s="36"/>
      <c r="E43790" s="1"/>
      <c r="F43790" s="1"/>
      <c r="G43790" s="1"/>
    </row>
    <row r="43791">
      <c r="B43791" s="36"/>
      <c r="C43791" s="36"/>
      <c r="E43791" s="1"/>
      <c r="F43791" s="1"/>
      <c r="G43791" s="1"/>
    </row>
    <row r="43792">
      <c r="B43792" s="36"/>
      <c r="C43792" s="36"/>
      <c r="E43792" s="1"/>
      <c r="F43792" s="1"/>
      <c r="G43792" s="1"/>
    </row>
    <row r="43793">
      <c r="B43793" s="36"/>
      <c r="C43793" s="36"/>
      <c r="E43793" s="1"/>
      <c r="F43793" s="1"/>
      <c r="G43793" s="1"/>
    </row>
    <row r="43794">
      <c r="B43794" s="36"/>
      <c r="C43794" s="36"/>
      <c r="E43794" s="1"/>
      <c r="F43794" s="1"/>
      <c r="G43794" s="1"/>
    </row>
    <row r="43795">
      <c r="B43795" s="36"/>
      <c r="C43795" s="36"/>
      <c r="E43795" s="1"/>
      <c r="F43795" s="1"/>
      <c r="G43795" s="1"/>
    </row>
    <row r="43796">
      <c r="B43796" s="36"/>
      <c r="C43796" s="36"/>
      <c r="E43796" s="1"/>
      <c r="F43796" s="1"/>
      <c r="G43796" s="1"/>
    </row>
    <row r="43797">
      <c r="B43797" s="36"/>
      <c r="C43797" s="36"/>
      <c r="E43797" s="1"/>
      <c r="F43797" s="1"/>
      <c r="G43797" s="1"/>
    </row>
    <row r="43798">
      <c r="B43798" s="36"/>
      <c r="C43798" s="36"/>
      <c r="E43798" s="1"/>
      <c r="F43798" s="1"/>
      <c r="G43798" s="1"/>
    </row>
    <row r="43799">
      <c r="B43799" s="36"/>
      <c r="C43799" s="36"/>
      <c r="E43799" s="1"/>
      <c r="F43799" s="1"/>
      <c r="G43799" s="1"/>
    </row>
    <row r="43800">
      <c r="B43800" s="36"/>
      <c r="C43800" s="36"/>
      <c r="E43800" s="1"/>
      <c r="F43800" s="1"/>
      <c r="G43800" s="1"/>
    </row>
    <row r="43801">
      <c r="B43801" s="36"/>
      <c r="C43801" s="36"/>
      <c r="E43801" s="1"/>
      <c r="F43801" s="1"/>
      <c r="G43801" s="1"/>
    </row>
    <row r="43802">
      <c r="B43802" s="36"/>
      <c r="C43802" s="36"/>
      <c r="E43802" s="1"/>
      <c r="F43802" s="1"/>
      <c r="G43802" s="1"/>
    </row>
    <row r="43803">
      <c r="B43803" s="36"/>
      <c r="C43803" s="36"/>
      <c r="E43803" s="1"/>
      <c r="F43803" s="1"/>
      <c r="G43803" s="1"/>
    </row>
    <row r="43804">
      <c r="B43804" s="36"/>
      <c r="C43804" s="36"/>
      <c r="E43804" s="1"/>
      <c r="F43804" s="1"/>
      <c r="G43804" s="1"/>
    </row>
    <row r="43805">
      <c r="B43805" s="36"/>
      <c r="C43805" s="36"/>
      <c r="E43805" s="1"/>
      <c r="F43805" s="1"/>
      <c r="G43805" s="1"/>
    </row>
    <row r="43806">
      <c r="B43806" s="36"/>
      <c r="C43806" s="36"/>
      <c r="E43806" s="1"/>
      <c r="F43806" s="1"/>
      <c r="G43806" s="1"/>
    </row>
    <row r="43807">
      <c r="B43807" s="36"/>
      <c r="C43807" s="36"/>
      <c r="E43807" s="1"/>
      <c r="F43807" s="1"/>
      <c r="G43807" s="1"/>
    </row>
    <row r="43808">
      <c r="B43808" s="36"/>
      <c r="C43808" s="36"/>
      <c r="E43808" s="1"/>
      <c r="F43808" s="1"/>
      <c r="G43808" s="1"/>
    </row>
    <row r="43809">
      <c r="B43809" s="36"/>
      <c r="C43809" s="36"/>
      <c r="E43809" s="1"/>
      <c r="F43809" s="1"/>
      <c r="G43809" s="1"/>
    </row>
    <row r="43810">
      <c r="B43810" s="36"/>
      <c r="C43810" s="36"/>
      <c r="E43810" s="1"/>
      <c r="F43810" s="1"/>
      <c r="G43810" s="1"/>
    </row>
    <row r="43811">
      <c r="B43811" s="36"/>
      <c r="C43811" s="36"/>
      <c r="E43811" s="1"/>
      <c r="F43811" s="1"/>
      <c r="G43811" s="1"/>
    </row>
    <row r="43812">
      <c r="B43812" s="36"/>
      <c r="C43812" s="36"/>
      <c r="E43812" s="1"/>
      <c r="F43812" s="1"/>
      <c r="G43812" s="1"/>
    </row>
    <row r="43813">
      <c r="B43813" s="36"/>
      <c r="C43813" s="36"/>
      <c r="E43813" s="1"/>
      <c r="F43813" s="1"/>
      <c r="G43813" s="1"/>
    </row>
    <row r="43814">
      <c r="B43814" s="36"/>
      <c r="C43814" s="36"/>
      <c r="E43814" s="1"/>
      <c r="F43814" s="1"/>
      <c r="G43814" s="1"/>
    </row>
    <row r="43815">
      <c r="B43815" s="36"/>
      <c r="C43815" s="36"/>
      <c r="E43815" s="1"/>
      <c r="F43815" s="1"/>
      <c r="G43815" s="1"/>
    </row>
    <row r="43816">
      <c r="B43816" s="36"/>
      <c r="C43816" s="36"/>
      <c r="E43816" s="1"/>
      <c r="F43816" s="1"/>
      <c r="G43816" s="1"/>
    </row>
    <row r="43817">
      <c r="B43817" s="36"/>
      <c r="C43817" s="36"/>
      <c r="E43817" s="1"/>
      <c r="F43817" s="1"/>
      <c r="G43817" s="1"/>
    </row>
    <row r="43818">
      <c r="B43818" s="36"/>
      <c r="C43818" s="36"/>
      <c r="E43818" s="1"/>
      <c r="F43818" s="1"/>
      <c r="G43818" s="1"/>
    </row>
    <row r="43819">
      <c r="B43819" s="36"/>
      <c r="C43819" s="36"/>
      <c r="E43819" s="1"/>
      <c r="F43819" s="1"/>
      <c r="G43819" s="1"/>
    </row>
    <row r="43820">
      <c r="B43820" s="36"/>
      <c r="C43820" s="36"/>
      <c r="E43820" s="1"/>
      <c r="F43820" s="1"/>
      <c r="G43820" s="1"/>
    </row>
    <row r="43821">
      <c r="B43821" s="36"/>
      <c r="C43821" s="36"/>
      <c r="E43821" s="1"/>
      <c r="F43821" s="1"/>
      <c r="G43821" s="1"/>
    </row>
    <row r="43822">
      <c r="B43822" s="36"/>
      <c r="C43822" s="36"/>
      <c r="E43822" s="1"/>
      <c r="F43822" s="1"/>
      <c r="G43822" s="1"/>
    </row>
    <row r="43823">
      <c r="B43823" s="36"/>
      <c r="C43823" s="36"/>
      <c r="E43823" s="1"/>
      <c r="F43823" s="1"/>
      <c r="G43823" s="1"/>
    </row>
    <row r="43824">
      <c r="B43824" s="36"/>
      <c r="C43824" s="36"/>
      <c r="E43824" s="1"/>
      <c r="F43824" s="1"/>
      <c r="G43824" s="1"/>
    </row>
    <row r="43825">
      <c r="B43825" s="36"/>
      <c r="C43825" s="36"/>
      <c r="E43825" s="1"/>
      <c r="F43825" s="1"/>
      <c r="G43825" s="1"/>
    </row>
    <row r="43826">
      <c r="B43826" s="36"/>
      <c r="C43826" s="36"/>
      <c r="E43826" s="1"/>
      <c r="F43826" s="1"/>
      <c r="G43826" s="1"/>
    </row>
    <row r="43827">
      <c r="B43827" s="36"/>
      <c r="C43827" s="36"/>
      <c r="E43827" s="1"/>
      <c r="F43827" s="1"/>
      <c r="G43827" s="1"/>
    </row>
    <row r="43828">
      <c r="B43828" s="36"/>
      <c r="C43828" s="36"/>
      <c r="E43828" s="1"/>
      <c r="F43828" s="1"/>
      <c r="G43828" s="1"/>
    </row>
    <row r="43829">
      <c r="B43829" s="36"/>
      <c r="C43829" s="36"/>
      <c r="E43829" s="1"/>
      <c r="F43829" s="1"/>
      <c r="G43829" s="1"/>
    </row>
    <row r="43830">
      <c r="B43830" s="36"/>
      <c r="C43830" s="36"/>
      <c r="E43830" s="1"/>
      <c r="F43830" s="1"/>
      <c r="G43830" s="1"/>
    </row>
    <row r="43831">
      <c r="B43831" s="36"/>
      <c r="C43831" s="36"/>
      <c r="E43831" s="1"/>
      <c r="F43831" s="1"/>
      <c r="G43831" s="1"/>
    </row>
    <row r="43832">
      <c r="B43832" s="36"/>
      <c r="C43832" s="36"/>
      <c r="E43832" s="1"/>
      <c r="F43832" s="1"/>
      <c r="G43832" s="1"/>
    </row>
    <row r="43833">
      <c r="B43833" s="36"/>
      <c r="C43833" s="36"/>
      <c r="E43833" s="1"/>
      <c r="F43833" s="1"/>
      <c r="G43833" s="1"/>
    </row>
    <row r="43834">
      <c r="B43834" s="36"/>
      <c r="C43834" s="36"/>
      <c r="E43834" s="1"/>
      <c r="F43834" s="1"/>
      <c r="G43834" s="1"/>
    </row>
    <row r="43835">
      <c r="B43835" s="36"/>
      <c r="C43835" s="36"/>
      <c r="E43835" s="1"/>
      <c r="F43835" s="1"/>
      <c r="G43835" s="1"/>
    </row>
    <row r="43836">
      <c r="B43836" s="36"/>
      <c r="C43836" s="36"/>
      <c r="E43836" s="1"/>
      <c r="F43836" s="1"/>
      <c r="G43836" s="1"/>
    </row>
    <row r="43837">
      <c r="B43837" s="36"/>
      <c r="C43837" s="36"/>
      <c r="E43837" s="1"/>
      <c r="F43837" s="1"/>
      <c r="G43837" s="1"/>
    </row>
    <row r="43838">
      <c r="B43838" s="36"/>
      <c r="C43838" s="36"/>
      <c r="E43838" s="1"/>
      <c r="F43838" s="1"/>
      <c r="G43838" s="1"/>
    </row>
    <row r="43839">
      <c r="B43839" s="36"/>
      <c r="C43839" s="36"/>
      <c r="E43839" s="1"/>
      <c r="F43839" s="1"/>
      <c r="G43839" s="1"/>
    </row>
    <row r="43840">
      <c r="B43840" s="36"/>
      <c r="C43840" s="36"/>
      <c r="E43840" s="1"/>
      <c r="F43840" s="1"/>
      <c r="G43840" s="1"/>
    </row>
    <row r="43841">
      <c r="B43841" s="36"/>
      <c r="C43841" s="36"/>
      <c r="E43841" s="1"/>
      <c r="F43841" s="1"/>
      <c r="G43841" s="1"/>
    </row>
    <row r="43842">
      <c r="B43842" s="36"/>
      <c r="C43842" s="36"/>
      <c r="E43842" s="1"/>
      <c r="F43842" s="1"/>
      <c r="G43842" s="1"/>
    </row>
    <row r="43843">
      <c r="B43843" s="36"/>
      <c r="C43843" s="36"/>
      <c r="E43843" s="1"/>
      <c r="F43843" s="1"/>
      <c r="G43843" s="1"/>
    </row>
    <row r="43844">
      <c r="B43844" s="36"/>
      <c r="C43844" s="36"/>
      <c r="E43844" s="1"/>
      <c r="F43844" s="1"/>
      <c r="G43844" s="1"/>
    </row>
    <row r="43845">
      <c r="B43845" s="36"/>
      <c r="C43845" s="36"/>
      <c r="E43845" s="1"/>
      <c r="F43845" s="1"/>
      <c r="G43845" s="1"/>
    </row>
    <row r="43846">
      <c r="B43846" s="36"/>
      <c r="C43846" s="36"/>
      <c r="E43846" s="1"/>
      <c r="F43846" s="1"/>
      <c r="G43846" s="1"/>
    </row>
    <row r="43847">
      <c r="B43847" s="36"/>
      <c r="C43847" s="36"/>
      <c r="E43847" s="1"/>
      <c r="F43847" s="1"/>
      <c r="G43847" s="1"/>
    </row>
    <row r="43848">
      <c r="B43848" s="36"/>
      <c r="C43848" s="36"/>
      <c r="E43848" s="1"/>
      <c r="F43848" s="1"/>
      <c r="G43848" s="1"/>
    </row>
    <row r="43849">
      <c r="B43849" s="36"/>
      <c r="C43849" s="36"/>
      <c r="E43849" s="1"/>
      <c r="F43849" s="1"/>
      <c r="G43849" s="1"/>
    </row>
    <row r="43850">
      <c r="B43850" s="36"/>
      <c r="C43850" s="36"/>
      <c r="E43850" s="1"/>
      <c r="F43850" s="1"/>
      <c r="G43850" s="1"/>
    </row>
    <row r="43851">
      <c r="B43851" s="36"/>
      <c r="C43851" s="36"/>
      <c r="E43851" s="1"/>
      <c r="F43851" s="1"/>
      <c r="G43851" s="1"/>
    </row>
    <row r="43852">
      <c r="B43852" s="36"/>
      <c r="C43852" s="36"/>
      <c r="E43852" s="1"/>
      <c r="F43852" s="1"/>
      <c r="G43852" s="1"/>
    </row>
    <row r="43853">
      <c r="B43853" s="36"/>
      <c r="C43853" s="36"/>
      <c r="E43853" s="1"/>
      <c r="F43853" s="1"/>
      <c r="G43853" s="1"/>
    </row>
    <row r="43854">
      <c r="B43854" s="36"/>
      <c r="C43854" s="36"/>
      <c r="E43854" s="1"/>
      <c r="F43854" s="1"/>
      <c r="G43854" s="1"/>
    </row>
    <row r="43855">
      <c r="B43855" s="36"/>
      <c r="C43855" s="36"/>
      <c r="E43855" s="1"/>
      <c r="F43855" s="1"/>
      <c r="G43855" s="1"/>
    </row>
    <row r="43856">
      <c r="B43856" s="36"/>
      <c r="C43856" s="36"/>
      <c r="E43856" s="1"/>
      <c r="F43856" s="1"/>
      <c r="G43856" s="1"/>
    </row>
    <row r="43857">
      <c r="B43857" s="36"/>
      <c r="C43857" s="36"/>
      <c r="E43857" s="1"/>
      <c r="F43857" s="1"/>
      <c r="G43857" s="1"/>
    </row>
    <row r="43858">
      <c r="B43858" s="36"/>
      <c r="C43858" s="36"/>
      <c r="E43858" s="1"/>
      <c r="F43858" s="1"/>
      <c r="G43858" s="1"/>
    </row>
    <row r="43859">
      <c r="B43859" s="36"/>
      <c r="C43859" s="36"/>
      <c r="E43859" s="1"/>
      <c r="F43859" s="1"/>
      <c r="G43859" s="1"/>
    </row>
    <row r="43860">
      <c r="B43860" s="36"/>
      <c r="C43860" s="36"/>
      <c r="E43860" s="1"/>
      <c r="F43860" s="1"/>
      <c r="G43860" s="1"/>
    </row>
    <row r="43861">
      <c r="B43861" s="36"/>
      <c r="C43861" s="36"/>
      <c r="E43861" s="1"/>
      <c r="F43861" s="1"/>
      <c r="G43861" s="1"/>
    </row>
    <row r="43862">
      <c r="B43862" s="36"/>
      <c r="C43862" s="36"/>
      <c r="E43862" s="1"/>
      <c r="F43862" s="1"/>
      <c r="G43862" s="1"/>
    </row>
    <row r="43863">
      <c r="B43863" s="36"/>
      <c r="C43863" s="36"/>
      <c r="E43863" s="1"/>
      <c r="F43863" s="1"/>
      <c r="G43863" s="1"/>
    </row>
    <row r="43864">
      <c r="B43864" s="36"/>
      <c r="C43864" s="36"/>
      <c r="E43864" s="1"/>
      <c r="F43864" s="1"/>
      <c r="G43864" s="1"/>
    </row>
    <row r="43865">
      <c r="B43865" s="36"/>
      <c r="C43865" s="36"/>
      <c r="E43865" s="1"/>
      <c r="F43865" s="1"/>
      <c r="G43865" s="1"/>
    </row>
    <row r="43866">
      <c r="B43866" s="36"/>
      <c r="C43866" s="36"/>
      <c r="E43866" s="1"/>
      <c r="F43866" s="1"/>
      <c r="G43866" s="1"/>
    </row>
    <row r="43867">
      <c r="B43867" s="36"/>
      <c r="C43867" s="36"/>
      <c r="E43867" s="1"/>
      <c r="F43867" s="1"/>
      <c r="G43867" s="1"/>
    </row>
    <row r="43868">
      <c r="B43868" s="36"/>
      <c r="C43868" s="36"/>
      <c r="E43868" s="1"/>
      <c r="F43868" s="1"/>
      <c r="G43868" s="1"/>
    </row>
    <row r="43869">
      <c r="B43869" s="36"/>
      <c r="C43869" s="36"/>
      <c r="E43869" s="1"/>
      <c r="F43869" s="1"/>
      <c r="G43869" s="1"/>
    </row>
    <row r="43870">
      <c r="B43870" s="36"/>
      <c r="C43870" s="36"/>
      <c r="E43870" s="1"/>
      <c r="F43870" s="1"/>
      <c r="G43870" s="1"/>
    </row>
    <row r="43871">
      <c r="B43871" s="36"/>
      <c r="C43871" s="36"/>
      <c r="E43871" s="1"/>
      <c r="F43871" s="1"/>
      <c r="G43871" s="1"/>
    </row>
    <row r="43872">
      <c r="B43872" s="36"/>
      <c r="C43872" s="36"/>
      <c r="E43872" s="1"/>
      <c r="F43872" s="1"/>
      <c r="G43872" s="1"/>
    </row>
    <row r="43873">
      <c r="B43873" s="36"/>
      <c r="C43873" s="36"/>
      <c r="E43873" s="1"/>
      <c r="F43873" s="1"/>
      <c r="G43873" s="1"/>
    </row>
    <row r="43874">
      <c r="B43874" s="36"/>
      <c r="C43874" s="36"/>
      <c r="E43874" s="1"/>
      <c r="F43874" s="1"/>
      <c r="G43874" s="1"/>
    </row>
    <row r="43875">
      <c r="B43875" s="36"/>
      <c r="C43875" s="36"/>
      <c r="E43875" s="1"/>
      <c r="F43875" s="1"/>
      <c r="G43875" s="1"/>
    </row>
    <row r="43876">
      <c r="B43876" s="36"/>
      <c r="C43876" s="36"/>
      <c r="E43876" s="1"/>
      <c r="F43876" s="1"/>
      <c r="G43876" s="1"/>
    </row>
    <row r="43877">
      <c r="B43877" s="36"/>
      <c r="C43877" s="36"/>
      <c r="E43877" s="1"/>
      <c r="F43877" s="1"/>
      <c r="G43877" s="1"/>
    </row>
    <row r="43878">
      <c r="B43878" s="36"/>
      <c r="C43878" s="36"/>
      <c r="E43878" s="1"/>
      <c r="F43878" s="1"/>
      <c r="G43878" s="1"/>
    </row>
    <row r="43879">
      <c r="B43879" s="36"/>
      <c r="C43879" s="36"/>
      <c r="E43879" s="1"/>
      <c r="F43879" s="1"/>
      <c r="G43879" s="1"/>
    </row>
    <row r="43880">
      <c r="B43880" s="36"/>
      <c r="C43880" s="36"/>
      <c r="E43880" s="1"/>
      <c r="F43880" s="1"/>
      <c r="G43880" s="1"/>
    </row>
    <row r="43881">
      <c r="B43881" s="36"/>
      <c r="C43881" s="36"/>
      <c r="E43881" s="1"/>
      <c r="F43881" s="1"/>
      <c r="G43881" s="1"/>
    </row>
    <row r="43882">
      <c r="B43882" s="36"/>
      <c r="C43882" s="36"/>
      <c r="E43882" s="1"/>
      <c r="F43882" s="1"/>
      <c r="G43882" s="1"/>
    </row>
    <row r="43883">
      <c r="B43883" s="36"/>
      <c r="C43883" s="36"/>
      <c r="E43883" s="1"/>
      <c r="F43883" s="1"/>
      <c r="G43883" s="1"/>
    </row>
    <row r="43884">
      <c r="B43884" s="36"/>
      <c r="C43884" s="36"/>
      <c r="E43884" s="1"/>
      <c r="F43884" s="1"/>
      <c r="G43884" s="1"/>
    </row>
    <row r="43885">
      <c r="B43885" s="36"/>
      <c r="C43885" s="36"/>
      <c r="E43885" s="1"/>
      <c r="F43885" s="1"/>
      <c r="G43885" s="1"/>
    </row>
    <row r="43886">
      <c r="B43886" s="36"/>
      <c r="C43886" s="36"/>
      <c r="E43886" s="1"/>
      <c r="F43886" s="1"/>
      <c r="G43886" s="1"/>
    </row>
    <row r="43887">
      <c r="B43887" s="36"/>
      <c r="C43887" s="36"/>
      <c r="E43887" s="1"/>
      <c r="F43887" s="1"/>
      <c r="G43887" s="1"/>
    </row>
    <row r="43888">
      <c r="B43888" s="36"/>
      <c r="C43888" s="36"/>
      <c r="E43888" s="1"/>
      <c r="F43888" s="1"/>
      <c r="G43888" s="1"/>
    </row>
    <row r="43889">
      <c r="B43889" s="36"/>
      <c r="C43889" s="36"/>
      <c r="E43889" s="1"/>
      <c r="F43889" s="1"/>
      <c r="G43889" s="1"/>
    </row>
    <row r="43890">
      <c r="B43890" s="36"/>
      <c r="C43890" s="36"/>
      <c r="E43890" s="1"/>
      <c r="F43890" s="1"/>
      <c r="G43890" s="1"/>
    </row>
    <row r="43891">
      <c r="B43891" s="36"/>
      <c r="C43891" s="36"/>
      <c r="E43891" s="1"/>
      <c r="F43891" s="1"/>
      <c r="G43891" s="1"/>
    </row>
    <row r="43892">
      <c r="B43892" s="36"/>
      <c r="C43892" s="36"/>
      <c r="E43892" s="1"/>
      <c r="F43892" s="1"/>
      <c r="G43892" s="1"/>
    </row>
    <row r="43893">
      <c r="B43893" s="36"/>
      <c r="C43893" s="36"/>
      <c r="E43893" s="1"/>
      <c r="F43893" s="1"/>
      <c r="G43893" s="1"/>
    </row>
    <row r="43894">
      <c r="B43894" s="36"/>
      <c r="C43894" s="36"/>
      <c r="E43894" s="1"/>
      <c r="F43894" s="1"/>
      <c r="G43894" s="1"/>
    </row>
    <row r="43895">
      <c r="B43895" s="36"/>
      <c r="C43895" s="36"/>
      <c r="E43895" s="1"/>
      <c r="F43895" s="1"/>
      <c r="G43895" s="1"/>
    </row>
    <row r="43896">
      <c r="B43896" s="36"/>
      <c r="C43896" s="36"/>
      <c r="E43896" s="1"/>
      <c r="F43896" s="1"/>
      <c r="G43896" s="1"/>
    </row>
    <row r="43897">
      <c r="B43897" s="36"/>
      <c r="C43897" s="36"/>
      <c r="E43897" s="1"/>
      <c r="F43897" s="1"/>
      <c r="G43897" s="1"/>
    </row>
    <row r="43898">
      <c r="B43898" s="36"/>
      <c r="C43898" s="36"/>
      <c r="E43898" s="1"/>
      <c r="F43898" s="1"/>
      <c r="G43898" s="1"/>
    </row>
    <row r="43899">
      <c r="B43899" s="36"/>
      <c r="C43899" s="36"/>
      <c r="E43899" s="1"/>
      <c r="F43899" s="1"/>
      <c r="G43899" s="1"/>
    </row>
    <row r="43900">
      <c r="B43900" s="36"/>
      <c r="C43900" s="36"/>
      <c r="E43900" s="1"/>
      <c r="F43900" s="1"/>
      <c r="G43900" s="1"/>
    </row>
    <row r="43901">
      <c r="B43901" s="36"/>
      <c r="C43901" s="36"/>
      <c r="E43901" s="1"/>
      <c r="F43901" s="1"/>
      <c r="G43901" s="1"/>
    </row>
    <row r="43902">
      <c r="B43902" s="36"/>
      <c r="C43902" s="36"/>
      <c r="E43902" s="1"/>
      <c r="F43902" s="1"/>
      <c r="G43902" s="1"/>
    </row>
    <row r="43903">
      <c r="B43903" s="36"/>
      <c r="C43903" s="36"/>
      <c r="E43903" s="1"/>
      <c r="F43903" s="1"/>
      <c r="G43903" s="1"/>
    </row>
    <row r="43904">
      <c r="B43904" s="36"/>
      <c r="C43904" s="36"/>
      <c r="E43904" s="1"/>
      <c r="F43904" s="1"/>
      <c r="G43904" s="1"/>
    </row>
    <row r="43905">
      <c r="B43905" s="36"/>
      <c r="C43905" s="36"/>
      <c r="E43905" s="1"/>
      <c r="F43905" s="1"/>
      <c r="G43905" s="1"/>
    </row>
    <row r="43906">
      <c r="B43906" s="36"/>
      <c r="C43906" s="36"/>
      <c r="E43906" s="1"/>
      <c r="F43906" s="1"/>
      <c r="G43906" s="1"/>
    </row>
    <row r="43907">
      <c r="B43907" s="36"/>
      <c r="C43907" s="36"/>
      <c r="E43907" s="1"/>
      <c r="F43907" s="1"/>
      <c r="G43907" s="1"/>
    </row>
    <row r="43908">
      <c r="B43908" s="36"/>
      <c r="C43908" s="36"/>
      <c r="E43908" s="1"/>
      <c r="F43908" s="1"/>
      <c r="G43908" s="1"/>
    </row>
    <row r="43909">
      <c r="B43909" s="36"/>
      <c r="C43909" s="36"/>
      <c r="E43909" s="1"/>
      <c r="F43909" s="1"/>
      <c r="G43909" s="1"/>
    </row>
    <row r="43910">
      <c r="B43910" s="36"/>
      <c r="C43910" s="36"/>
      <c r="E43910" s="1"/>
      <c r="F43910" s="1"/>
      <c r="G43910" s="1"/>
    </row>
    <row r="43911">
      <c r="B43911" s="36"/>
      <c r="C43911" s="36"/>
      <c r="E43911" s="1"/>
      <c r="F43911" s="1"/>
      <c r="G43911" s="1"/>
    </row>
    <row r="43912">
      <c r="B43912" s="36"/>
      <c r="C43912" s="36"/>
      <c r="E43912" s="1"/>
      <c r="F43912" s="1"/>
      <c r="G43912" s="1"/>
    </row>
    <row r="43913">
      <c r="B43913" s="36"/>
      <c r="C43913" s="36"/>
      <c r="E43913" s="1"/>
      <c r="F43913" s="1"/>
      <c r="G43913" s="1"/>
    </row>
    <row r="43914">
      <c r="B43914" s="36"/>
      <c r="C43914" s="36"/>
      <c r="E43914" s="1"/>
      <c r="F43914" s="1"/>
      <c r="G43914" s="1"/>
    </row>
    <row r="43915">
      <c r="B43915" s="36"/>
      <c r="C43915" s="36"/>
      <c r="E43915" s="1"/>
      <c r="F43915" s="1"/>
      <c r="G43915" s="1"/>
    </row>
    <row r="43916">
      <c r="B43916" s="36"/>
      <c r="C43916" s="36"/>
      <c r="E43916" s="1"/>
      <c r="F43916" s="1"/>
      <c r="G43916" s="1"/>
    </row>
    <row r="43917">
      <c r="B43917" s="36"/>
      <c r="C43917" s="36"/>
      <c r="E43917" s="1"/>
      <c r="F43917" s="1"/>
      <c r="G43917" s="1"/>
    </row>
    <row r="43918">
      <c r="B43918" s="36"/>
      <c r="C43918" s="36"/>
      <c r="E43918" s="1"/>
      <c r="F43918" s="1"/>
      <c r="G43918" s="1"/>
    </row>
    <row r="43919">
      <c r="B43919" s="36"/>
      <c r="C43919" s="36"/>
      <c r="E43919" s="1"/>
      <c r="F43919" s="1"/>
      <c r="G43919" s="1"/>
    </row>
    <row r="43920">
      <c r="B43920" s="36"/>
      <c r="C43920" s="36"/>
      <c r="E43920" s="1"/>
      <c r="F43920" s="1"/>
      <c r="G43920" s="1"/>
    </row>
    <row r="43921">
      <c r="B43921" s="36"/>
      <c r="C43921" s="36"/>
      <c r="E43921" s="1"/>
      <c r="F43921" s="1"/>
      <c r="G43921" s="1"/>
    </row>
    <row r="43922">
      <c r="B43922" s="36"/>
      <c r="C43922" s="36"/>
      <c r="E43922" s="1"/>
      <c r="F43922" s="1"/>
      <c r="G43922" s="1"/>
    </row>
    <row r="43923">
      <c r="B43923" s="36"/>
      <c r="C43923" s="36"/>
      <c r="E43923" s="1"/>
      <c r="F43923" s="1"/>
      <c r="G43923" s="1"/>
    </row>
    <row r="43924">
      <c r="B43924" s="36"/>
      <c r="C43924" s="36"/>
      <c r="E43924" s="1"/>
      <c r="F43924" s="1"/>
      <c r="G43924" s="1"/>
    </row>
    <row r="43925">
      <c r="B43925" s="36"/>
      <c r="C43925" s="36"/>
      <c r="E43925" s="1"/>
      <c r="F43925" s="1"/>
      <c r="G43925" s="1"/>
    </row>
    <row r="43926">
      <c r="B43926" s="36"/>
      <c r="C43926" s="36"/>
      <c r="E43926" s="1"/>
      <c r="F43926" s="1"/>
      <c r="G43926" s="1"/>
    </row>
    <row r="43927">
      <c r="B43927" s="36"/>
      <c r="C43927" s="36"/>
      <c r="E43927" s="1"/>
      <c r="F43927" s="1"/>
      <c r="G43927" s="1"/>
    </row>
    <row r="43928">
      <c r="B43928" s="36"/>
      <c r="C43928" s="36"/>
      <c r="E43928" s="1"/>
      <c r="F43928" s="1"/>
      <c r="G43928" s="1"/>
    </row>
    <row r="43929">
      <c r="B43929" s="36"/>
      <c r="C43929" s="36"/>
      <c r="E43929" s="1"/>
      <c r="F43929" s="1"/>
      <c r="G43929" s="1"/>
    </row>
    <row r="43930">
      <c r="B43930" s="36"/>
      <c r="C43930" s="36"/>
      <c r="E43930" s="1"/>
      <c r="F43930" s="1"/>
      <c r="G43930" s="1"/>
    </row>
    <row r="43931">
      <c r="B43931" s="36"/>
      <c r="C43931" s="36"/>
      <c r="E43931" s="1"/>
      <c r="F43931" s="1"/>
      <c r="G43931" s="1"/>
    </row>
    <row r="43932">
      <c r="B43932" s="36"/>
      <c r="C43932" s="36"/>
      <c r="E43932" s="1"/>
      <c r="F43932" s="1"/>
      <c r="G43932" s="1"/>
    </row>
    <row r="43933">
      <c r="B43933" s="36"/>
      <c r="C43933" s="36"/>
      <c r="E43933" s="1"/>
      <c r="F43933" s="1"/>
      <c r="G43933" s="1"/>
    </row>
    <row r="43934">
      <c r="B43934" s="36"/>
      <c r="C43934" s="36"/>
      <c r="E43934" s="1"/>
      <c r="F43934" s="1"/>
      <c r="G43934" s="1"/>
    </row>
    <row r="43935">
      <c r="B43935" s="36"/>
      <c r="C43935" s="36"/>
      <c r="E43935" s="1"/>
      <c r="F43935" s="1"/>
      <c r="G43935" s="1"/>
    </row>
    <row r="43936">
      <c r="B43936" s="36"/>
      <c r="C43936" s="36"/>
      <c r="E43936" s="1"/>
      <c r="F43936" s="1"/>
      <c r="G43936" s="1"/>
    </row>
    <row r="43937">
      <c r="B43937" s="36"/>
      <c r="C43937" s="36"/>
      <c r="E43937" s="1"/>
      <c r="F43937" s="1"/>
      <c r="G43937" s="1"/>
    </row>
    <row r="43938">
      <c r="B43938" s="36"/>
      <c r="C43938" s="36"/>
      <c r="E43938" s="1"/>
      <c r="F43938" s="1"/>
      <c r="G43938" s="1"/>
    </row>
    <row r="43939">
      <c r="B43939" s="36"/>
      <c r="C43939" s="36"/>
      <c r="E43939" s="1"/>
      <c r="F43939" s="1"/>
      <c r="G43939" s="1"/>
    </row>
    <row r="43940">
      <c r="B43940" s="36"/>
      <c r="C43940" s="36"/>
      <c r="E43940" s="1"/>
      <c r="F43940" s="1"/>
      <c r="G43940" s="1"/>
    </row>
    <row r="43941">
      <c r="B43941" s="36"/>
      <c r="C43941" s="36"/>
      <c r="E43941" s="1"/>
      <c r="F43941" s="1"/>
      <c r="G43941" s="1"/>
    </row>
    <row r="43942">
      <c r="B43942" s="36"/>
      <c r="C43942" s="36"/>
      <c r="E43942" s="1"/>
      <c r="F43942" s="1"/>
      <c r="G43942" s="1"/>
    </row>
    <row r="43943">
      <c r="B43943" s="36"/>
      <c r="C43943" s="36"/>
      <c r="E43943" s="1"/>
      <c r="F43943" s="1"/>
      <c r="G43943" s="1"/>
    </row>
    <row r="43944">
      <c r="B43944" s="36"/>
      <c r="C43944" s="36"/>
      <c r="E43944" s="1"/>
      <c r="F43944" s="1"/>
      <c r="G43944" s="1"/>
    </row>
    <row r="43945">
      <c r="B43945" s="36"/>
      <c r="C43945" s="36"/>
      <c r="E43945" s="1"/>
      <c r="F43945" s="1"/>
      <c r="G43945" s="1"/>
    </row>
    <row r="43946">
      <c r="B43946" s="36"/>
      <c r="C43946" s="36"/>
      <c r="E43946" s="1"/>
      <c r="F43946" s="1"/>
      <c r="G43946" s="1"/>
    </row>
    <row r="43947">
      <c r="B43947" s="36"/>
      <c r="C43947" s="36"/>
      <c r="E43947" s="1"/>
      <c r="F43947" s="1"/>
      <c r="G43947" s="1"/>
    </row>
    <row r="43948">
      <c r="B43948" s="36"/>
      <c r="C43948" s="36"/>
      <c r="E43948" s="1"/>
      <c r="F43948" s="1"/>
      <c r="G43948" s="1"/>
    </row>
    <row r="43949">
      <c r="B43949" s="36"/>
      <c r="C43949" s="36"/>
      <c r="E43949" s="1"/>
      <c r="F43949" s="1"/>
      <c r="G43949" s="1"/>
    </row>
    <row r="43950">
      <c r="B43950" s="36"/>
      <c r="C43950" s="36"/>
      <c r="E43950" s="1"/>
      <c r="F43950" s="1"/>
      <c r="G43950" s="1"/>
    </row>
    <row r="43951">
      <c r="B43951" s="36"/>
      <c r="C43951" s="36"/>
      <c r="E43951" s="1"/>
      <c r="F43951" s="1"/>
      <c r="G43951" s="1"/>
    </row>
    <row r="43952">
      <c r="B43952" s="36"/>
      <c r="C43952" s="36"/>
      <c r="E43952" s="1"/>
      <c r="F43952" s="1"/>
      <c r="G43952" s="1"/>
    </row>
    <row r="43953">
      <c r="B43953" s="36"/>
      <c r="C43953" s="36"/>
      <c r="E43953" s="1"/>
      <c r="F43953" s="1"/>
      <c r="G43953" s="1"/>
    </row>
    <row r="43954">
      <c r="B43954" s="36"/>
      <c r="C43954" s="36"/>
      <c r="E43954" s="1"/>
      <c r="F43954" s="1"/>
      <c r="G43954" s="1"/>
    </row>
    <row r="43955">
      <c r="B43955" s="36"/>
      <c r="C43955" s="36"/>
      <c r="E43955" s="1"/>
      <c r="F43955" s="1"/>
      <c r="G43955" s="1"/>
    </row>
    <row r="43956">
      <c r="B43956" s="36"/>
      <c r="C43956" s="36"/>
      <c r="E43956" s="1"/>
      <c r="F43956" s="1"/>
      <c r="G43956" s="1"/>
    </row>
    <row r="43957">
      <c r="B43957" s="36"/>
      <c r="C43957" s="36"/>
      <c r="E43957" s="1"/>
      <c r="F43957" s="1"/>
      <c r="G43957" s="1"/>
    </row>
    <row r="43958">
      <c r="B43958" s="36"/>
      <c r="C43958" s="36"/>
      <c r="E43958" s="1"/>
      <c r="F43958" s="1"/>
      <c r="G43958" s="1"/>
    </row>
    <row r="43959">
      <c r="B43959" s="36"/>
      <c r="C43959" s="36"/>
      <c r="E43959" s="1"/>
      <c r="F43959" s="1"/>
      <c r="G43959" s="1"/>
    </row>
    <row r="43960">
      <c r="B43960" s="36"/>
      <c r="C43960" s="36"/>
      <c r="E43960" s="1"/>
      <c r="F43960" s="1"/>
      <c r="G43960" s="1"/>
    </row>
    <row r="43961">
      <c r="B43961" s="36"/>
      <c r="C43961" s="36"/>
      <c r="E43961" s="1"/>
      <c r="F43961" s="1"/>
      <c r="G43961" s="1"/>
    </row>
    <row r="43962">
      <c r="B43962" s="36"/>
      <c r="C43962" s="36"/>
      <c r="E43962" s="1"/>
      <c r="F43962" s="1"/>
      <c r="G43962" s="1"/>
    </row>
    <row r="43963">
      <c r="B43963" s="36"/>
      <c r="C43963" s="36"/>
      <c r="E43963" s="1"/>
      <c r="F43963" s="1"/>
      <c r="G43963" s="1"/>
    </row>
    <row r="43964">
      <c r="B43964" s="36"/>
      <c r="C43964" s="36"/>
      <c r="E43964" s="1"/>
      <c r="F43964" s="1"/>
      <c r="G43964" s="1"/>
    </row>
    <row r="43965">
      <c r="B43965" s="36"/>
      <c r="C43965" s="36"/>
      <c r="E43965" s="1"/>
      <c r="F43965" s="1"/>
      <c r="G43965" s="1"/>
    </row>
    <row r="43966">
      <c r="B43966" s="36"/>
      <c r="C43966" s="36"/>
      <c r="E43966" s="1"/>
      <c r="F43966" s="1"/>
      <c r="G43966" s="1"/>
    </row>
    <row r="43967">
      <c r="B43967" s="36"/>
      <c r="C43967" s="36"/>
      <c r="E43967" s="1"/>
      <c r="F43967" s="1"/>
      <c r="G43967" s="1"/>
    </row>
    <row r="43968">
      <c r="B43968" s="36"/>
      <c r="C43968" s="36"/>
      <c r="E43968" s="1"/>
      <c r="F43968" s="1"/>
      <c r="G43968" s="1"/>
    </row>
    <row r="43969">
      <c r="B43969" s="36"/>
      <c r="C43969" s="36"/>
      <c r="E43969" s="1"/>
      <c r="F43969" s="1"/>
      <c r="G43969" s="1"/>
    </row>
    <row r="43970">
      <c r="B43970" s="36"/>
      <c r="C43970" s="36"/>
      <c r="E43970" s="1"/>
      <c r="F43970" s="1"/>
      <c r="G43970" s="1"/>
    </row>
    <row r="43971">
      <c r="B43971" s="36"/>
      <c r="C43971" s="36"/>
      <c r="E43971" s="1"/>
      <c r="F43971" s="1"/>
      <c r="G43971" s="1"/>
    </row>
    <row r="43972">
      <c r="B43972" s="36"/>
      <c r="C43972" s="36"/>
      <c r="E43972" s="1"/>
      <c r="F43972" s="1"/>
      <c r="G43972" s="1"/>
    </row>
    <row r="43973">
      <c r="B43973" s="36"/>
      <c r="C43973" s="36"/>
      <c r="E43973" s="1"/>
      <c r="F43973" s="1"/>
      <c r="G43973" s="1"/>
    </row>
    <row r="43974">
      <c r="B43974" s="36"/>
      <c r="C43974" s="36"/>
      <c r="E43974" s="1"/>
      <c r="F43974" s="1"/>
      <c r="G43974" s="1"/>
    </row>
    <row r="43975">
      <c r="B43975" s="36"/>
      <c r="C43975" s="36"/>
      <c r="E43975" s="1"/>
      <c r="F43975" s="1"/>
      <c r="G43975" s="1"/>
    </row>
    <row r="43976">
      <c r="B43976" s="36"/>
      <c r="C43976" s="36"/>
      <c r="E43976" s="1"/>
      <c r="F43976" s="1"/>
      <c r="G43976" s="1"/>
    </row>
    <row r="43977">
      <c r="B43977" s="36"/>
      <c r="C43977" s="36"/>
      <c r="E43977" s="1"/>
      <c r="F43977" s="1"/>
      <c r="G43977" s="1"/>
    </row>
    <row r="43978">
      <c r="B43978" s="36"/>
      <c r="C43978" s="36"/>
      <c r="E43978" s="1"/>
      <c r="F43978" s="1"/>
      <c r="G43978" s="1"/>
    </row>
    <row r="43979">
      <c r="B43979" s="36"/>
      <c r="C43979" s="36"/>
      <c r="E43979" s="1"/>
      <c r="F43979" s="1"/>
      <c r="G43979" s="1"/>
    </row>
    <row r="43980">
      <c r="B43980" s="36"/>
      <c r="C43980" s="36"/>
      <c r="E43980" s="1"/>
      <c r="F43980" s="1"/>
      <c r="G43980" s="1"/>
    </row>
    <row r="43981">
      <c r="B43981" s="36"/>
      <c r="C43981" s="36"/>
      <c r="E43981" s="1"/>
      <c r="F43981" s="1"/>
      <c r="G43981" s="1"/>
    </row>
    <row r="43982">
      <c r="B43982" s="36"/>
      <c r="C43982" s="36"/>
      <c r="E43982" s="1"/>
      <c r="F43982" s="1"/>
      <c r="G43982" s="1"/>
    </row>
    <row r="43983">
      <c r="B43983" s="36"/>
      <c r="C43983" s="36"/>
      <c r="E43983" s="1"/>
      <c r="F43983" s="1"/>
      <c r="G43983" s="1"/>
    </row>
    <row r="43984">
      <c r="B43984" s="36"/>
      <c r="C43984" s="36"/>
      <c r="E43984" s="1"/>
      <c r="F43984" s="1"/>
      <c r="G43984" s="1"/>
    </row>
    <row r="43985">
      <c r="B43985" s="36"/>
      <c r="C43985" s="36"/>
      <c r="E43985" s="1"/>
      <c r="F43985" s="1"/>
      <c r="G43985" s="1"/>
    </row>
    <row r="43986">
      <c r="B43986" s="36"/>
      <c r="C43986" s="36"/>
      <c r="E43986" s="1"/>
      <c r="F43986" s="1"/>
      <c r="G43986" s="1"/>
    </row>
    <row r="43987">
      <c r="B43987" s="36"/>
      <c r="C43987" s="36"/>
      <c r="E43987" s="1"/>
      <c r="F43987" s="1"/>
      <c r="G43987" s="1"/>
    </row>
    <row r="43988">
      <c r="B43988" s="36"/>
      <c r="C43988" s="36"/>
      <c r="E43988" s="1"/>
      <c r="F43988" s="1"/>
      <c r="G43988" s="1"/>
    </row>
    <row r="43989">
      <c r="B43989" s="36"/>
      <c r="C43989" s="36"/>
      <c r="E43989" s="1"/>
      <c r="F43989" s="1"/>
      <c r="G43989" s="1"/>
    </row>
    <row r="43990">
      <c r="B43990" s="36"/>
      <c r="C43990" s="36"/>
      <c r="E43990" s="1"/>
      <c r="F43990" s="1"/>
      <c r="G43990" s="1"/>
    </row>
    <row r="43991">
      <c r="B43991" s="36"/>
      <c r="C43991" s="36"/>
      <c r="E43991" s="1"/>
      <c r="F43991" s="1"/>
      <c r="G43991" s="1"/>
    </row>
    <row r="43992">
      <c r="B43992" s="36"/>
      <c r="C43992" s="36"/>
      <c r="E43992" s="1"/>
      <c r="F43992" s="1"/>
      <c r="G43992" s="1"/>
    </row>
    <row r="43993">
      <c r="B43993" s="36"/>
      <c r="C43993" s="36"/>
      <c r="E43993" s="1"/>
      <c r="F43993" s="1"/>
      <c r="G43993" s="1"/>
    </row>
    <row r="43994">
      <c r="B43994" s="36"/>
      <c r="C43994" s="36"/>
      <c r="E43994" s="1"/>
      <c r="F43994" s="1"/>
      <c r="G43994" s="1"/>
    </row>
    <row r="43995">
      <c r="B43995" s="36"/>
      <c r="C43995" s="36"/>
      <c r="E43995" s="1"/>
      <c r="F43995" s="1"/>
      <c r="G43995" s="1"/>
    </row>
    <row r="43996">
      <c r="B43996" s="36"/>
      <c r="C43996" s="36"/>
      <c r="E43996" s="1"/>
      <c r="F43996" s="1"/>
      <c r="G43996" s="1"/>
    </row>
    <row r="43997">
      <c r="B43997" s="36"/>
      <c r="C43997" s="36"/>
      <c r="E43997" s="1"/>
      <c r="F43997" s="1"/>
      <c r="G43997" s="1"/>
    </row>
    <row r="43998">
      <c r="B43998" s="36"/>
      <c r="C43998" s="36"/>
      <c r="E43998" s="1"/>
      <c r="F43998" s="1"/>
      <c r="G43998" s="1"/>
    </row>
    <row r="43999">
      <c r="B43999" s="36"/>
      <c r="C43999" s="36"/>
      <c r="E43999" s="1"/>
      <c r="F43999" s="1"/>
      <c r="G43999" s="1"/>
    </row>
    <row r="44000">
      <c r="B44000" s="36"/>
      <c r="C44000" s="36"/>
      <c r="E44000" s="1"/>
      <c r="F44000" s="1"/>
      <c r="G44000" s="1"/>
    </row>
    <row r="44001">
      <c r="B44001" s="36"/>
      <c r="C44001" s="36"/>
      <c r="E44001" s="1"/>
      <c r="F44001" s="1"/>
      <c r="G44001" s="1"/>
    </row>
    <row r="44002">
      <c r="B44002" s="36"/>
      <c r="C44002" s="36"/>
      <c r="E44002" s="1"/>
      <c r="F44002" s="1"/>
      <c r="G44002" s="1"/>
    </row>
    <row r="44003">
      <c r="B44003" s="36"/>
      <c r="C44003" s="36"/>
      <c r="E44003" s="1"/>
      <c r="F44003" s="1"/>
      <c r="G44003" s="1"/>
    </row>
    <row r="44004">
      <c r="B44004" s="36"/>
      <c r="C44004" s="36"/>
      <c r="E44004" s="1"/>
      <c r="F44004" s="1"/>
      <c r="G44004" s="1"/>
    </row>
    <row r="44005">
      <c r="B44005" s="36"/>
      <c r="C44005" s="36"/>
      <c r="E44005" s="1"/>
      <c r="F44005" s="1"/>
      <c r="G44005" s="1"/>
    </row>
    <row r="44006">
      <c r="B44006" s="36"/>
      <c r="C44006" s="36"/>
      <c r="E44006" s="1"/>
      <c r="F44006" s="1"/>
      <c r="G44006" s="1"/>
    </row>
    <row r="44007">
      <c r="B44007" s="36"/>
      <c r="C44007" s="36"/>
      <c r="E44007" s="1"/>
      <c r="F44007" s="1"/>
      <c r="G44007" s="1"/>
    </row>
    <row r="44008">
      <c r="B44008" s="36"/>
      <c r="C44008" s="36"/>
      <c r="E44008" s="1"/>
      <c r="F44008" s="1"/>
      <c r="G44008" s="1"/>
    </row>
    <row r="44009">
      <c r="B44009" s="36"/>
      <c r="C44009" s="36"/>
      <c r="E44009" s="1"/>
      <c r="F44009" s="1"/>
      <c r="G44009" s="1"/>
    </row>
    <row r="44010">
      <c r="B44010" s="36"/>
      <c r="C44010" s="36"/>
      <c r="E44010" s="1"/>
      <c r="F44010" s="1"/>
      <c r="G44010" s="1"/>
    </row>
    <row r="44011">
      <c r="B44011" s="36"/>
      <c r="C44011" s="36"/>
      <c r="E44011" s="1"/>
      <c r="F44011" s="1"/>
      <c r="G44011" s="1"/>
    </row>
    <row r="44012">
      <c r="B44012" s="36"/>
      <c r="C44012" s="36"/>
      <c r="E44012" s="1"/>
      <c r="F44012" s="1"/>
      <c r="G44012" s="1"/>
    </row>
    <row r="44013">
      <c r="B44013" s="36"/>
      <c r="C44013" s="36"/>
      <c r="E44013" s="1"/>
      <c r="F44013" s="1"/>
      <c r="G44013" s="1"/>
    </row>
    <row r="44014">
      <c r="B44014" s="36"/>
      <c r="C44014" s="36"/>
      <c r="E44014" s="1"/>
      <c r="F44014" s="1"/>
      <c r="G44014" s="1"/>
    </row>
    <row r="44015">
      <c r="B44015" s="36"/>
      <c r="C44015" s="36"/>
      <c r="E44015" s="1"/>
      <c r="F44015" s="1"/>
      <c r="G44015" s="1"/>
    </row>
    <row r="44016">
      <c r="B44016" s="36"/>
      <c r="C44016" s="36"/>
      <c r="E44016" s="1"/>
      <c r="F44016" s="1"/>
      <c r="G44016" s="1"/>
    </row>
    <row r="44017">
      <c r="B44017" s="36"/>
      <c r="C44017" s="36"/>
      <c r="E44017" s="1"/>
      <c r="F44017" s="1"/>
      <c r="G44017" s="1"/>
    </row>
    <row r="44018">
      <c r="B44018" s="36"/>
      <c r="C44018" s="36"/>
      <c r="E44018" s="1"/>
      <c r="F44018" s="1"/>
      <c r="G44018" s="1"/>
    </row>
    <row r="44019">
      <c r="B44019" s="36"/>
      <c r="C44019" s="36"/>
      <c r="E44019" s="1"/>
      <c r="F44019" s="1"/>
      <c r="G44019" s="1"/>
    </row>
    <row r="44020">
      <c r="B44020" s="36"/>
      <c r="C44020" s="36"/>
      <c r="E44020" s="1"/>
      <c r="F44020" s="1"/>
      <c r="G44020" s="1"/>
    </row>
    <row r="44021">
      <c r="B44021" s="36"/>
      <c r="C44021" s="36"/>
      <c r="E44021" s="1"/>
      <c r="F44021" s="1"/>
      <c r="G44021" s="1"/>
    </row>
    <row r="44022">
      <c r="B44022" s="36"/>
      <c r="C44022" s="36"/>
      <c r="E44022" s="1"/>
      <c r="F44022" s="1"/>
      <c r="G44022" s="1"/>
    </row>
    <row r="44023">
      <c r="B44023" s="36"/>
      <c r="C44023" s="36"/>
      <c r="E44023" s="1"/>
      <c r="F44023" s="1"/>
      <c r="G44023" s="1"/>
    </row>
    <row r="44024">
      <c r="B44024" s="36"/>
      <c r="C44024" s="36"/>
      <c r="E44024" s="1"/>
      <c r="F44024" s="1"/>
      <c r="G44024" s="1"/>
    </row>
    <row r="44025">
      <c r="B44025" s="36"/>
      <c r="C44025" s="36"/>
      <c r="E44025" s="1"/>
      <c r="F44025" s="1"/>
      <c r="G44025" s="1"/>
    </row>
    <row r="44026">
      <c r="B44026" s="36"/>
      <c r="C44026" s="36"/>
      <c r="E44026" s="1"/>
      <c r="F44026" s="1"/>
      <c r="G44026" s="1"/>
    </row>
    <row r="44027">
      <c r="B44027" s="36"/>
      <c r="C44027" s="36"/>
      <c r="E44027" s="1"/>
      <c r="F44027" s="1"/>
      <c r="G44027" s="1"/>
    </row>
    <row r="44028">
      <c r="B44028" s="36"/>
      <c r="C44028" s="36"/>
      <c r="E44028" s="1"/>
      <c r="F44028" s="1"/>
      <c r="G44028" s="1"/>
    </row>
    <row r="44029">
      <c r="B44029" s="36"/>
      <c r="C44029" s="36"/>
      <c r="E44029" s="1"/>
      <c r="F44029" s="1"/>
      <c r="G44029" s="1"/>
    </row>
    <row r="44030">
      <c r="B44030" s="36"/>
      <c r="C44030" s="36"/>
      <c r="E44030" s="1"/>
      <c r="F44030" s="1"/>
      <c r="G44030" s="1"/>
    </row>
    <row r="44031">
      <c r="B44031" s="36"/>
      <c r="C44031" s="36"/>
      <c r="E44031" s="1"/>
      <c r="F44031" s="1"/>
      <c r="G44031" s="1"/>
    </row>
    <row r="44032">
      <c r="B44032" s="36"/>
      <c r="C44032" s="36"/>
      <c r="E44032" s="1"/>
      <c r="F44032" s="1"/>
      <c r="G44032" s="1"/>
    </row>
    <row r="44033">
      <c r="B44033" s="36"/>
      <c r="C44033" s="36"/>
      <c r="E44033" s="1"/>
      <c r="F44033" s="1"/>
      <c r="G44033" s="1"/>
    </row>
    <row r="44034">
      <c r="B44034" s="36"/>
      <c r="C44034" s="36"/>
      <c r="E44034" s="1"/>
      <c r="F44034" s="1"/>
      <c r="G44034" s="1"/>
    </row>
    <row r="44035">
      <c r="B44035" s="36"/>
      <c r="C44035" s="36"/>
      <c r="E44035" s="1"/>
      <c r="F44035" s="1"/>
      <c r="G44035" s="1"/>
    </row>
    <row r="44036">
      <c r="B44036" s="36"/>
      <c r="C44036" s="36"/>
      <c r="E44036" s="1"/>
      <c r="F44036" s="1"/>
      <c r="G44036" s="1"/>
    </row>
    <row r="44037">
      <c r="B44037" s="36"/>
      <c r="C44037" s="36"/>
      <c r="E44037" s="1"/>
      <c r="F44037" s="1"/>
      <c r="G44037" s="1"/>
    </row>
    <row r="44038">
      <c r="B44038" s="36"/>
      <c r="C44038" s="36"/>
      <c r="E44038" s="1"/>
      <c r="F44038" s="1"/>
      <c r="G44038" s="1"/>
    </row>
    <row r="44039">
      <c r="B44039" s="36"/>
      <c r="C44039" s="36"/>
      <c r="E44039" s="1"/>
      <c r="F44039" s="1"/>
      <c r="G44039" s="1"/>
    </row>
    <row r="44040">
      <c r="B44040" s="36"/>
      <c r="C44040" s="36"/>
      <c r="E44040" s="1"/>
      <c r="F44040" s="1"/>
      <c r="G44040" s="1"/>
    </row>
    <row r="44041">
      <c r="B44041" s="36"/>
      <c r="C44041" s="36"/>
      <c r="E44041" s="1"/>
      <c r="F44041" s="1"/>
      <c r="G44041" s="1"/>
    </row>
    <row r="44042">
      <c r="B44042" s="36"/>
      <c r="C44042" s="36"/>
      <c r="E44042" s="1"/>
      <c r="F44042" s="1"/>
      <c r="G44042" s="1"/>
    </row>
    <row r="44043">
      <c r="B44043" s="36"/>
      <c r="C44043" s="36"/>
      <c r="E44043" s="1"/>
      <c r="F44043" s="1"/>
      <c r="G44043" s="1"/>
    </row>
    <row r="44044">
      <c r="B44044" s="36"/>
      <c r="C44044" s="36"/>
      <c r="E44044" s="1"/>
      <c r="F44044" s="1"/>
      <c r="G44044" s="1"/>
    </row>
    <row r="44045">
      <c r="B44045" s="36"/>
      <c r="C44045" s="36"/>
      <c r="E44045" s="1"/>
      <c r="F44045" s="1"/>
      <c r="G44045" s="1"/>
    </row>
    <row r="44046">
      <c r="B44046" s="36"/>
      <c r="C44046" s="36"/>
      <c r="E44046" s="1"/>
      <c r="F44046" s="1"/>
      <c r="G44046" s="1"/>
    </row>
    <row r="44047">
      <c r="B44047" s="36"/>
      <c r="C44047" s="36"/>
      <c r="E44047" s="1"/>
      <c r="F44047" s="1"/>
      <c r="G44047" s="1"/>
    </row>
    <row r="44048">
      <c r="B44048" s="36"/>
      <c r="C44048" s="36"/>
      <c r="E44048" s="1"/>
      <c r="F44048" s="1"/>
      <c r="G44048" s="1"/>
    </row>
    <row r="44049">
      <c r="B44049" s="36"/>
      <c r="C44049" s="36"/>
      <c r="E44049" s="1"/>
      <c r="F44049" s="1"/>
      <c r="G44049" s="1"/>
    </row>
    <row r="44050">
      <c r="B44050" s="36"/>
      <c r="C44050" s="36"/>
      <c r="E44050" s="1"/>
      <c r="F44050" s="1"/>
      <c r="G44050" s="1"/>
    </row>
    <row r="44051">
      <c r="B44051" s="36"/>
      <c r="C44051" s="36"/>
      <c r="E44051" s="1"/>
      <c r="F44051" s="1"/>
      <c r="G44051" s="1"/>
    </row>
    <row r="44052">
      <c r="B44052" s="36"/>
      <c r="C44052" s="36"/>
      <c r="E44052" s="1"/>
      <c r="F44052" s="1"/>
      <c r="G44052" s="1"/>
    </row>
    <row r="44053">
      <c r="B44053" s="36"/>
      <c r="C44053" s="36"/>
      <c r="E44053" s="1"/>
      <c r="F44053" s="1"/>
      <c r="G44053" s="1"/>
    </row>
    <row r="44054">
      <c r="B44054" s="36"/>
      <c r="C44054" s="36"/>
      <c r="E44054" s="1"/>
      <c r="F44054" s="1"/>
      <c r="G44054" s="1"/>
    </row>
    <row r="44055">
      <c r="B44055" s="36"/>
      <c r="C44055" s="36"/>
      <c r="E44055" s="1"/>
      <c r="F44055" s="1"/>
      <c r="G44055" s="1"/>
    </row>
    <row r="44056">
      <c r="B44056" s="36"/>
      <c r="C44056" s="36"/>
      <c r="E44056" s="1"/>
      <c r="F44056" s="1"/>
      <c r="G44056" s="1"/>
    </row>
    <row r="44057">
      <c r="B44057" s="36"/>
      <c r="C44057" s="36"/>
      <c r="E44057" s="1"/>
      <c r="F44057" s="1"/>
      <c r="G44057" s="1"/>
    </row>
    <row r="44058">
      <c r="B44058" s="36"/>
      <c r="C44058" s="36"/>
      <c r="E44058" s="1"/>
      <c r="F44058" s="1"/>
      <c r="G44058" s="1"/>
    </row>
    <row r="44059">
      <c r="B44059" s="36"/>
      <c r="C44059" s="36"/>
      <c r="E44059" s="1"/>
      <c r="F44059" s="1"/>
      <c r="G44059" s="1"/>
    </row>
    <row r="44060">
      <c r="B44060" s="36"/>
      <c r="C44060" s="36"/>
      <c r="E44060" s="1"/>
      <c r="F44060" s="1"/>
      <c r="G44060" s="1"/>
    </row>
    <row r="44061">
      <c r="B44061" s="36"/>
      <c r="C44061" s="36"/>
      <c r="E44061" s="1"/>
      <c r="F44061" s="1"/>
      <c r="G44061" s="1"/>
    </row>
    <row r="44062">
      <c r="B44062" s="36"/>
      <c r="C44062" s="36"/>
      <c r="E44062" s="1"/>
      <c r="F44062" s="1"/>
      <c r="G44062" s="1"/>
    </row>
    <row r="44063">
      <c r="B44063" s="36"/>
      <c r="C44063" s="36"/>
      <c r="E44063" s="1"/>
      <c r="F44063" s="1"/>
      <c r="G44063" s="1"/>
    </row>
    <row r="44064">
      <c r="B44064" s="36"/>
      <c r="C44064" s="36"/>
      <c r="E44064" s="1"/>
      <c r="F44064" s="1"/>
      <c r="G44064" s="1"/>
    </row>
    <row r="44065">
      <c r="B44065" s="36"/>
      <c r="C44065" s="36"/>
      <c r="E44065" s="1"/>
      <c r="F44065" s="1"/>
      <c r="G44065" s="1"/>
    </row>
    <row r="44066">
      <c r="B44066" s="36"/>
      <c r="C44066" s="36"/>
      <c r="E44066" s="1"/>
      <c r="F44066" s="1"/>
      <c r="G44066" s="1"/>
    </row>
    <row r="44067">
      <c r="B44067" s="36"/>
      <c r="C44067" s="36"/>
      <c r="E44067" s="1"/>
      <c r="F44067" s="1"/>
      <c r="G44067" s="1"/>
    </row>
    <row r="44068">
      <c r="B44068" s="36"/>
      <c r="C44068" s="36"/>
      <c r="E44068" s="1"/>
      <c r="F44068" s="1"/>
      <c r="G44068" s="1"/>
    </row>
    <row r="44069">
      <c r="B44069" s="36"/>
      <c r="C44069" s="36"/>
      <c r="E44069" s="1"/>
      <c r="F44069" s="1"/>
      <c r="G44069" s="1"/>
    </row>
    <row r="44070">
      <c r="B44070" s="36"/>
      <c r="C44070" s="36"/>
      <c r="E44070" s="1"/>
      <c r="F44070" s="1"/>
      <c r="G44070" s="1"/>
    </row>
    <row r="44071">
      <c r="B44071" s="36"/>
      <c r="C44071" s="36"/>
      <c r="E44071" s="1"/>
      <c r="F44071" s="1"/>
      <c r="G44071" s="1"/>
    </row>
    <row r="44072">
      <c r="B44072" s="36"/>
      <c r="C44072" s="36"/>
      <c r="E44072" s="1"/>
      <c r="F44072" s="1"/>
      <c r="G44072" s="1"/>
    </row>
    <row r="44073">
      <c r="B44073" s="36"/>
      <c r="C44073" s="36"/>
      <c r="E44073" s="1"/>
      <c r="F44073" s="1"/>
      <c r="G44073" s="1"/>
    </row>
    <row r="44074">
      <c r="B44074" s="36"/>
      <c r="C44074" s="36"/>
      <c r="E44074" s="1"/>
      <c r="F44074" s="1"/>
      <c r="G44074" s="1"/>
    </row>
    <row r="44075">
      <c r="B44075" s="36"/>
      <c r="C44075" s="36"/>
      <c r="E44075" s="1"/>
      <c r="F44075" s="1"/>
      <c r="G44075" s="1"/>
    </row>
    <row r="44076">
      <c r="B44076" s="36"/>
      <c r="C44076" s="36"/>
      <c r="E44076" s="1"/>
      <c r="F44076" s="1"/>
      <c r="G44076" s="1"/>
    </row>
    <row r="44077">
      <c r="B44077" s="36"/>
      <c r="C44077" s="36"/>
      <c r="E44077" s="1"/>
      <c r="F44077" s="1"/>
      <c r="G44077" s="1"/>
    </row>
    <row r="44078">
      <c r="B44078" s="36"/>
      <c r="C44078" s="36"/>
      <c r="E44078" s="1"/>
      <c r="F44078" s="1"/>
      <c r="G44078" s="1"/>
    </row>
    <row r="44079">
      <c r="B44079" s="36"/>
      <c r="C44079" s="36"/>
      <c r="E44079" s="1"/>
      <c r="F44079" s="1"/>
      <c r="G44079" s="1"/>
    </row>
    <row r="44080">
      <c r="B44080" s="36"/>
      <c r="C44080" s="36"/>
      <c r="E44080" s="1"/>
      <c r="F44080" s="1"/>
      <c r="G44080" s="1"/>
    </row>
    <row r="44081">
      <c r="B44081" s="36"/>
      <c r="C44081" s="36"/>
      <c r="E44081" s="1"/>
      <c r="F44081" s="1"/>
      <c r="G44081" s="1"/>
    </row>
    <row r="44082">
      <c r="B44082" s="36"/>
      <c r="C44082" s="36"/>
      <c r="E44082" s="1"/>
      <c r="F44082" s="1"/>
      <c r="G44082" s="1"/>
    </row>
    <row r="44083">
      <c r="B44083" s="36"/>
      <c r="C44083" s="36"/>
      <c r="E44083" s="1"/>
      <c r="F44083" s="1"/>
      <c r="G44083" s="1"/>
    </row>
    <row r="44084">
      <c r="B44084" s="36"/>
      <c r="C44084" s="36"/>
      <c r="E44084" s="1"/>
      <c r="F44084" s="1"/>
      <c r="G44084" s="1"/>
    </row>
    <row r="44085">
      <c r="B44085" s="36"/>
      <c r="C44085" s="36"/>
      <c r="E44085" s="1"/>
      <c r="F44085" s="1"/>
      <c r="G44085" s="1"/>
    </row>
    <row r="44086">
      <c r="B44086" s="36"/>
      <c r="C44086" s="36"/>
      <c r="E44086" s="1"/>
      <c r="F44086" s="1"/>
      <c r="G44086" s="1"/>
    </row>
    <row r="44087">
      <c r="B44087" s="36"/>
      <c r="C44087" s="36"/>
      <c r="E44087" s="1"/>
      <c r="F44087" s="1"/>
      <c r="G44087" s="1"/>
    </row>
    <row r="44088">
      <c r="B44088" s="36"/>
      <c r="C44088" s="36"/>
      <c r="E44088" s="1"/>
      <c r="F44088" s="1"/>
      <c r="G44088" s="1"/>
    </row>
    <row r="44089">
      <c r="B44089" s="36"/>
      <c r="C44089" s="36"/>
      <c r="E44089" s="1"/>
      <c r="F44089" s="1"/>
      <c r="G44089" s="1"/>
    </row>
    <row r="44090">
      <c r="B44090" s="36"/>
      <c r="C44090" s="36"/>
      <c r="E44090" s="1"/>
      <c r="F44090" s="1"/>
      <c r="G44090" s="1"/>
    </row>
    <row r="44091">
      <c r="B44091" s="36"/>
      <c r="C44091" s="36"/>
      <c r="E44091" s="1"/>
      <c r="F44091" s="1"/>
      <c r="G44091" s="1"/>
    </row>
    <row r="44092">
      <c r="B44092" s="36"/>
      <c r="C44092" s="36"/>
      <c r="E44092" s="1"/>
      <c r="F44092" s="1"/>
      <c r="G44092" s="1"/>
    </row>
    <row r="44093">
      <c r="B44093" s="36"/>
      <c r="C44093" s="36"/>
      <c r="E44093" s="1"/>
      <c r="F44093" s="1"/>
      <c r="G44093" s="1"/>
    </row>
    <row r="44094">
      <c r="B44094" s="36"/>
      <c r="C44094" s="36"/>
      <c r="E44094" s="1"/>
      <c r="F44094" s="1"/>
      <c r="G44094" s="1"/>
    </row>
    <row r="44095">
      <c r="B44095" s="36"/>
      <c r="C44095" s="36"/>
      <c r="E44095" s="1"/>
      <c r="F44095" s="1"/>
      <c r="G44095" s="1"/>
    </row>
    <row r="44096">
      <c r="B44096" s="36"/>
      <c r="C44096" s="36"/>
      <c r="E44096" s="1"/>
      <c r="F44096" s="1"/>
      <c r="G44096" s="1"/>
    </row>
    <row r="44097">
      <c r="B44097" s="36"/>
      <c r="C44097" s="36"/>
      <c r="E44097" s="1"/>
      <c r="F44097" s="1"/>
      <c r="G44097" s="1"/>
    </row>
    <row r="44098">
      <c r="B44098" s="36"/>
      <c r="C44098" s="36"/>
      <c r="E44098" s="1"/>
      <c r="F44098" s="1"/>
      <c r="G44098" s="1"/>
    </row>
    <row r="44099">
      <c r="B44099" s="36"/>
      <c r="C44099" s="36"/>
      <c r="E44099" s="1"/>
      <c r="F44099" s="1"/>
      <c r="G44099" s="1"/>
    </row>
    <row r="44100">
      <c r="B44100" s="36"/>
      <c r="C44100" s="36"/>
      <c r="E44100" s="1"/>
      <c r="F44100" s="1"/>
      <c r="G44100" s="1"/>
    </row>
    <row r="44101">
      <c r="B44101" s="36"/>
      <c r="C44101" s="36"/>
      <c r="E44101" s="1"/>
      <c r="F44101" s="1"/>
      <c r="G44101" s="1"/>
    </row>
    <row r="44102">
      <c r="B44102" s="36"/>
      <c r="C44102" s="36"/>
      <c r="E44102" s="1"/>
      <c r="F44102" s="1"/>
      <c r="G44102" s="1"/>
    </row>
    <row r="44103">
      <c r="B44103" s="36"/>
      <c r="C44103" s="36"/>
      <c r="E44103" s="1"/>
      <c r="F44103" s="1"/>
      <c r="G44103" s="1"/>
    </row>
    <row r="44104">
      <c r="B44104" s="36"/>
      <c r="C44104" s="36"/>
      <c r="E44104" s="1"/>
      <c r="F44104" s="1"/>
      <c r="G44104" s="1"/>
    </row>
    <row r="44105">
      <c r="B44105" s="36"/>
      <c r="C44105" s="36"/>
      <c r="E44105" s="1"/>
      <c r="F44105" s="1"/>
      <c r="G44105" s="1"/>
    </row>
    <row r="44106">
      <c r="B44106" s="36"/>
      <c r="C44106" s="36"/>
      <c r="E44106" s="1"/>
      <c r="F44106" s="1"/>
      <c r="G44106" s="1"/>
    </row>
    <row r="44107">
      <c r="B44107" s="36"/>
      <c r="C44107" s="36"/>
      <c r="E44107" s="1"/>
      <c r="F44107" s="1"/>
      <c r="G44107" s="1"/>
    </row>
    <row r="44108">
      <c r="B44108" s="36"/>
      <c r="C44108" s="36"/>
      <c r="E44108" s="1"/>
      <c r="F44108" s="1"/>
      <c r="G44108" s="1"/>
    </row>
    <row r="44109">
      <c r="B44109" s="36"/>
      <c r="C44109" s="36"/>
      <c r="E44109" s="1"/>
      <c r="F44109" s="1"/>
      <c r="G44109" s="1"/>
    </row>
    <row r="44110">
      <c r="B44110" s="36"/>
      <c r="C44110" s="36"/>
      <c r="E44110" s="1"/>
      <c r="F44110" s="1"/>
      <c r="G44110" s="1"/>
    </row>
    <row r="44111">
      <c r="B44111" s="36"/>
      <c r="C44111" s="36"/>
      <c r="E44111" s="1"/>
      <c r="F44111" s="1"/>
      <c r="G44111" s="1"/>
    </row>
    <row r="44112">
      <c r="B44112" s="36"/>
      <c r="C44112" s="36"/>
      <c r="E44112" s="1"/>
      <c r="F44112" s="1"/>
      <c r="G44112" s="1"/>
    </row>
    <row r="44113">
      <c r="B44113" s="36"/>
      <c r="C44113" s="36"/>
      <c r="E44113" s="1"/>
      <c r="F44113" s="1"/>
      <c r="G44113" s="1"/>
    </row>
    <row r="44114">
      <c r="B44114" s="36"/>
      <c r="C44114" s="36"/>
      <c r="E44114" s="1"/>
      <c r="F44114" s="1"/>
      <c r="G44114" s="1"/>
    </row>
    <row r="44115">
      <c r="B44115" s="36"/>
      <c r="C44115" s="36"/>
      <c r="E44115" s="1"/>
      <c r="F44115" s="1"/>
      <c r="G44115" s="1"/>
    </row>
    <row r="44116">
      <c r="B44116" s="36"/>
      <c r="C44116" s="36"/>
      <c r="E44116" s="1"/>
      <c r="F44116" s="1"/>
      <c r="G44116" s="1"/>
    </row>
    <row r="44117">
      <c r="B44117" s="36"/>
      <c r="C44117" s="36"/>
      <c r="E44117" s="1"/>
      <c r="F44117" s="1"/>
      <c r="G44117" s="1"/>
    </row>
    <row r="44118">
      <c r="B44118" s="36"/>
      <c r="C44118" s="36"/>
      <c r="E44118" s="1"/>
      <c r="F44118" s="1"/>
      <c r="G44118" s="1"/>
    </row>
    <row r="44119">
      <c r="B44119" s="36"/>
      <c r="C44119" s="36"/>
      <c r="E44119" s="1"/>
      <c r="F44119" s="1"/>
      <c r="G44119" s="1"/>
    </row>
    <row r="44120">
      <c r="B44120" s="36"/>
      <c r="C44120" s="36"/>
      <c r="E44120" s="1"/>
      <c r="F44120" s="1"/>
      <c r="G44120" s="1"/>
    </row>
    <row r="44121">
      <c r="B44121" s="36"/>
      <c r="C44121" s="36"/>
      <c r="E44121" s="1"/>
      <c r="F44121" s="1"/>
      <c r="G44121" s="1"/>
    </row>
    <row r="44122">
      <c r="B44122" s="36"/>
      <c r="C44122" s="36"/>
      <c r="E44122" s="1"/>
      <c r="F44122" s="1"/>
      <c r="G44122" s="1"/>
    </row>
    <row r="44123">
      <c r="B44123" s="36"/>
      <c r="C44123" s="36"/>
      <c r="E44123" s="1"/>
      <c r="F44123" s="1"/>
      <c r="G44123" s="1"/>
    </row>
    <row r="44124">
      <c r="B44124" s="36"/>
      <c r="C44124" s="36"/>
      <c r="E44124" s="1"/>
      <c r="F44124" s="1"/>
      <c r="G44124" s="1"/>
    </row>
    <row r="44125">
      <c r="B44125" s="36"/>
      <c r="C44125" s="36"/>
      <c r="E44125" s="1"/>
      <c r="F44125" s="1"/>
      <c r="G44125" s="1"/>
    </row>
    <row r="44126">
      <c r="B44126" s="36"/>
      <c r="C44126" s="36"/>
      <c r="E44126" s="1"/>
      <c r="F44126" s="1"/>
      <c r="G44126" s="1"/>
    </row>
    <row r="44127">
      <c r="B44127" s="36"/>
      <c r="C44127" s="36"/>
      <c r="E44127" s="1"/>
      <c r="F44127" s="1"/>
      <c r="G44127" s="1"/>
    </row>
    <row r="44128">
      <c r="B44128" s="36"/>
      <c r="C44128" s="36"/>
      <c r="E44128" s="1"/>
      <c r="F44128" s="1"/>
      <c r="G44128" s="1"/>
    </row>
    <row r="44129">
      <c r="B44129" s="36"/>
      <c r="C44129" s="36"/>
      <c r="E44129" s="1"/>
      <c r="F44129" s="1"/>
      <c r="G44129" s="1"/>
    </row>
    <row r="44130">
      <c r="B44130" s="36"/>
      <c r="C44130" s="36"/>
      <c r="E44130" s="1"/>
      <c r="F44130" s="1"/>
      <c r="G44130" s="1"/>
    </row>
    <row r="44131">
      <c r="B44131" s="36"/>
      <c r="C44131" s="36"/>
      <c r="E44131" s="1"/>
      <c r="F44131" s="1"/>
      <c r="G44131" s="1"/>
    </row>
    <row r="44132">
      <c r="B44132" s="36"/>
      <c r="C44132" s="36"/>
      <c r="E44132" s="1"/>
      <c r="F44132" s="1"/>
      <c r="G44132" s="1"/>
    </row>
    <row r="44133">
      <c r="B44133" s="36"/>
      <c r="C44133" s="36"/>
      <c r="E44133" s="1"/>
      <c r="F44133" s="1"/>
      <c r="G44133" s="1"/>
    </row>
    <row r="44134">
      <c r="B44134" s="36"/>
      <c r="C44134" s="36"/>
      <c r="E44134" s="1"/>
      <c r="F44134" s="1"/>
      <c r="G44134" s="1"/>
    </row>
    <row r="44135">
      <c r="B44135" s="36"/>
      <c r="C44135" s="36"/>
      <c r="E44135" s="1"/>
      <c r="F44135" s="1"/>
      <c r="G44135" s="1"/>
    </row>
    <row r="44136">
      <c r="B44136" s="36"/>
      <c r="C44136" s="36"/>
      <c r="E44136" s="1"/>
      <c r="F44136" s="1"/>
      <c r="G44136" s="1"/>
    </row>
    <row r="44137">
      <c r="B44137" s="36"/>
      <c r="C44137" s="36"/>
      <c r="E44137" s="1"/>
      <c r="F44137" s="1"/>
      <c r="G44137" s="1"/>
    </row>
    <row r="44138">
      <c r="B44138" s="36"/>
      <c r="C44138" s="36"/>
      <c r="E44138" s="1"/>
      <c r="F44138" s="1"/>
      <c r="G44138" s="1"/>
    </row>
    <row r="44139">
      <c r="B44139" s="36"/>
      <c r="C44139" s="36"/>
      <c r="E44139" s="1"/>
      <c r="F44139" s="1"/>
      <c r="G44139" s="1"/>
    </row>
    <row r="44140">
      <c r="B44140" s="36"/>
      <c r="C44140" s="36"/>
      <c r="E44140" s="1"/>
      <c r="F44140" s="1"/>
      <c r="G44140" s="1"/>
    </row>
    <row r="44141">
      <c r="B44141" s="36"/>
      <c r="C44141" s="36"/>
      <c r="E44141" s="1"/>
      <c r="F44141" s="1"/>
      <c r="G44141" s="1"/>
    </row>
    <row r="44142">
      <c r="B44142" s="36"/>
      <c r="C44142" s="36"/>
      <c r="E44142" s="1"/>
      <c r="F44142" s="1"/>
      <c r="G44142" s="1"/>
    </row>
    <row r="44143">
      <c r="B44143" s="36"/>
      <c r="C44143" s="36"/>
      <c r="E44143" s="1"/>
      <c r="F44143" s="1"/>
      <c r="G44143" s="1"/>
    </row>
    <row r="44144">
      <c r="B44144" s="36"/>
      <c r="C44144" s="36"/>
      <c r="E44144" s="1"/>
      <c r="F44144" s="1"/>
      <c r="G44144" s="1"/>
    </row>
    <row r="44145">
      <c r="B44145" s="36"/>
      <c r="C44145" s="36"/>
      <c r="E44145" s="1"/>
      <c r="F44145" s="1"/>
      <c r="G44145" s="1"/>
    </row>
    <row r="44146">
      <c r="B44146" s="36"/>
      <c r="C44146" s="36"/>
      <c r="E44146" s="1"/>
      <c r="F44146" s="1"/>
      <c r="G44146" s="1"/>
    </row>
    <row r="44147">
      <c r="B44147" s="36"/>
      <c r="C44147" s="36"/>
      <c r="E44147" s="1"/>
      <c r="F44147" s="1"/>
      <c r="G44147" s="1"/>
    </row>
    <row r="44148">
      <c r="B44148" s="36"/>
      <c r="C44148" s="36"/>
      <c r="E44148" s="1"/>
      <c r="F44148" s="1"/>
      <c r="G44148" s="1"/>
    </row>
    <row r="44149">
      <c r="B44149" s="36"/>
      <c r="C44149" s="36"/>
      <c r="E44149" s="1"/>
      <c r="F44149" s="1"/>
      <c r="G44149" s="1"/>
    </row>
    <row r="44150">
      <c r="B44150" s="36"/>
      <c r="C44150" s="36"/>
      <c r="E44150" s="1"/>
      <c r="F44150" s="1"/>
      <c r="G44150" s="1"/>
    </row>
    <row r="44151">
      <c r="B44151" s="36"/>
      <c r="C44151" s="36"/>
      <c r="E44151" s="1"/>
      <c r="F44151" s="1"/>
      <c r="G44151" s="1"/>
    </row>
    <row r="44152">
      <c r="B44152" s="36"/>
      <c r="C44152" s="36"/>
      <c r="E44152" s="1"/>
      <c r="F44152" s="1"/>
      <c r="G44152" s="1"/>
    </row>
    <row r="44153">
      <c r="B44153" s="36"/>
      <c r="C44153" s="36"/>
      <c r="E44153" s="1"/>
      <c r="F44153" s="1"/>
      <c r="G44153" s="1"/>
    </row>
    <row r="44154">
      <c r="B44154" s="36"/>
      <c r="C44154" s="36"/>
      <c r="E44154" s="1"/>
      <c r="F44154" s="1"/>
      <c r="G44154" s="1"/>
    </row>
    <row r="44155">
      <c r="B44155" s="36"/>
      <c r="C44155" s="36"/>
      <c r="E44155" s="1"/>
      <c r="F44155" s="1"/>
      <c r="G44155" s="1"/>
    </row>
    <row r="44156">
      <c r="B44156" s="36"/>
      <c r="C44156" s="36"/>
      <c r="E44156" s="1"/>
      <c r="F44156" s="1"/>
      <c r="G44156" s="1"/>
    </row>
    <row r="44157">
      <c r="B44157" s="36"/>
      <c r="C44157" s="36"/>
      <c r="E44157" s="1"/>
      <c r="F44157" s="1"/>
      <c r="G44157" s="1"/>
    </row>
    <row r="44158">
      <c r="B44158" s="36"/>
      <c r="C44158" s="36"/>
      <c r="E44158" s="1"/>
      <c r="F44158" s="1"/>
      <c r="G44158" s="1"/>
    </row>
    <row r="44159">
      <c r="B44159" s="36"/>
      <c r="C44159" s="36"/>
      <c r="E44159" s="1"/>
      <c r="F44159" s="1"/>
      <c r="G44159" s="1"/>
    </row>
    <row r="44160">
      <c r="B44160" s="36"/>
      <c r="C44160" s="36"/>
      <c r="E44160" s="1"/>
      <c r="F44160" s="1"/>
      <c r="G44160" s="1"/>
    </row>
    <row r="44161">
      <c r="B44161" s="36"/>
      <c r="C44161" s="36"/>
      <c r="E44161" s="1"/>
      <c r="F44161" s="1"/>
      <c r="G44161" s="1"/>
    </row>
    <row r="44162">
      <c r="B44162" s="36"/>
      <c r="C44162" s="36"/>
      <c r="E44162" s="1"/>
      <c r="F44162" s="1"/>
      <c r="G44162" s="1"/>
    </row>
    <row r="44163">
      <c r="B44163" s="36"/>
      <c r="C44163" s="36"/>
      <c r="E44163" s="1"/>
      <c r="F44163" s="1"/>
      <c r="G44163" s="1"/>
    </row>
    <row r="44164">
      <c r="B44164" s="36"/>
      <c r="C44164" s="36"/>
      <c r="E44164" s="1"/>
      <c r="F44164" s="1"/>
      <c r="G44164" s="1"/>
    </row>
    <row r="44165">
      <c r="B44165" s="36"/>
      <c r="C44165" s="36"/>
      <c r="E44165" s="1"/>
      <c r="F44165" s="1"/>
      <c r="G44165" s="1"/>
    </row>
    <row r="44166">
      <c r="B44166" s="36"/>
      <c r="C44166" s="36"/>
      <c r="E44166" s="1"/>
      <c r="F44166" s="1"/>
      <c r="G44166" s="1"/>
    </row>
    <row r="44167">
      <c r="B44167" s="36"/>
      <c r="C44167" s="36"/>
      <c r="E44167" s="1"/>
      <c r="F44167" s="1"/>
      <c r="G44167" s="1"/>
    </row>
    <row r="44168">
      <c r="B44168" s="36"/>
      <c r="C44168" s="36"/>
      <c r="E44168" s="1"/>
      <c r="F44168" s="1"/>
      <c r="G44168" s="1"/>
    </row>
    <row r="44169">
      <c r="B44169" s="36"/>
      <c r="C44169" s="36"/>
      <c r="E44169" s="1"/>
      <c r="F44169" s="1"/>
      <c r="G44169" s="1"/>
    </row>
    <row r="44170">
      <c r="B44170" s="36"/>
      <c r="C44170" s="36"/>
      <c r="E44170" s="1"/>
      <c r="F44170" s="1"/>
      <c r="G44170" s="1"/>
    </row>
    <row r="44171">
      <c r="B44171" s="36"/>
      <c r="C44171" s="36"/>
      <c r="E44171" s="1"/>
      <c r="F44171" s="1"/>
      <c r="G44171" s="1"/>
    </row>
    <row r="44172">
      <c r="B44172" s="36"/>
      <c r="C44172" s="36"/>
      <c r="E44172" s="1"/>
      <c r="F44172" s="1"/>
      <c r="G44172" s="1"/>
    </row>
    <row r="44173">
      <c r="B44173" s="36"/>
      <c r="C44173" s="36"/>
      <c r="E44173" s="1"/>
      <c r="F44173" s="1"/>
      <c r="G44173" s="1"/>
    </row>
    <row r="44174">
      <c r="B44174" s="36"/>
      <c r="C44174" s="36"/>
      <c r="E44174" s="1"/>
      <c r="F44174" s="1"/>
      <c r="G44174" s="1"/>
    </row>
    <row r="44175">
      <c r="B44175" s="36"/>
      <c r="C44175" s="36"/>
      <c r="E44175" s="1"/>
      <c r="F44175" s="1"/>
      <c r="G44175" s="1"/>
    </row>
    <row r="44176">
      <c r="B44176" s="36"/>
      <c r="C44176" s="36"/>
      <c r="E44176" s="1"/>
      <c r="F44176" s="1"/>
      <c r="G44176" s="1"/>
    </row>
    <row r="44177">
      <c r="B44177" s="36"/>
      <c r="C44177" s="36"/>
      <c r="E44177" s="1"/>
      <c r="F44177" s="1"/>
      <c r="G44177" s="1"/>
    </row>
    <row r="44178">
      <c r="B44178" s="36"/>
      <c r="C44178" s="36"/>
      <c r="E44178" s="1"/>
      <c r="F44178" s="1"/>
      <c r="G44178" s="1"/>
    </row>
    <row r="44179">
      <c r="B44179" s="36"/>
      <c r="C44179" s="36"/>
      <c r="E44179" s="1"/>
      <c r="F44179" s="1"/>
      <c r="G44179" s="1"/>
    </row>
    <row r="44180">
      <c r="B44180" s="36"/>
      <c r="C44180" s="36"/>
      <c r="E44180" s="1"/>
      <c r="F44180" s="1"/>
      <c r="G44180" s="1"/>
    </row>
    <row r="44181">
      <c r="B44181" s="36"/>
      <c r="C44181" s="36"/>
      <c r="E44181" s="1"/>
      <c r="F44181" s="1"/>
      <c r="G44181" s="1"/>
    </row>
    <row r="44182">
      <c r="B44182" s="36"/>
      <c r="C44182" s="36"/>
      <c r="E44182" s="1"/>
      <c r="F44182" s="1"/>
      <c r="G44182" s="1"/>
    </row>
    <row r="44183">
      <c r="B44183" s="36"/>
      <c r="C44183" s="36"/>
      <c r="E44183" s="1"/>
      <c r="F44183" s="1"/>
      <c r="G44183" s="1"/>
    </row>
    <row r="44184">
      <c r="B44184" s="36"/>
      <c r="C44184" s="36"/>
      <c r="E44184" s="1"/>
      <c r="F44184" s="1"/>
      <c r="G44184" s="1"/>
    </row>
    <row r="44185">
      <c r="B44185" s="36"/>
      <c r="C44185" s="36"/>
      <c r="E44185" s="1"/>
      <c r="F44185" s="1"/>
      <c r="G44185" s="1"/>
    </row>
    <row r="44186">
      <c r="B44186" s="36"/>
      <c r="C44186" s="36"/>
      <c r="E44186" s="1"/>
      <c r="F44186" s="1"/>
      <c r="G44186" s="1"/>
    </row>
    <row r="44187">
      <c r="B44187" s="36"/>
      <c r="C44187" s="36"/>
      <c r="E44187" s="1"/>
      <c r="F44187" s="1"/>
      <c r="G44187" s="1"/>
    </row>
    <row r="44188">
      <c r="B44188" s="36"/>
      <c r="C44188" s="36"/>
      <c r="E44188" s="1"/>
      <c r="F44188" s="1"/>
      <c r="G44188" s="1"/>
    </row>
    <row r="44189">
      <c r="B44189" s="36"/>
      <c r="C44189" s="36"/>
      <c r="E44189" s="1"/>
      <c r="F44189" s="1"/>
      <c r="G44189" s="1"/>
    </row>
    <row r="44190">
      <c r="B44190" s="36"/>
      <c r="C44190" s="36"/>
      <c r="E44190" s="1"/>
      <c r="F44190" s="1"/>
      <c r="G44190" s="1"/>
    </row>
    <row r="44191">
      <c r="B44191" s="36"/>
      <c r="C44191" s="36"/>
      <c r="E44191" s="1"/>
      <c r="F44191" s="1"/>
      <c r="G44191" s="1"/>
    </row>
    <row r="44192">
      <c r="B44192" s="36"/>
      <c r="C44192" s="36"/>
      <c r="E44192" s="1"/>
      <c r="F44192" s="1"/>
      <c r="G44192" s="1"/>
    </row>
    <row r="44193">
      <c r="B44193" s="36"/>
      <c r="C44193" s="36"/>
      <c r="E44193" s="1"/>
      <c r="F44193" s="1"/>
      <c r="G44193" s="1"/>
    </row>
    <row r="44194">
      <c r="B44194" s="36"/>
      <c r="C44194" s="36"/>
      <c r="E44194" s="1"/>
      <c r="F44194" s="1"/>
      <c r="G44194" s="1"/>
    </row>
    <row r="44195">
      <c r="B44195" s="36"/>
      <c r="C44195" s="36"/>
      <c r="E44195" s="1"/>
      <c r="F44195" s="1"/>
      <c r="G44195" s="1"/>
    </row>
    <row r="44196">
      <c r="B44196" s="36"/>
      <c r="C44196" s="36"/>
      <c r="E44196" s="1"/>
      <c r="F44196" s="1"/>
      <c r="G44196" s="1"/>
    </row>
    <row r="44197">
      <c r="B44197" s="36"/>
      <c r="C44197" s="36"/>
      <c r="E44197" s="1"/>
      <c r="F44197" s="1"/>
      <c r="G44197" s="1"/>
    </row>
    <row r="44198">
      <c r="B44198" s="36"/>
      <c r="C44198" s="36"/>
      <c r="E44198" s="1"/>
      <c r="F44198" s="1"/>
      <c r="G44198" s="1"/>
    </row>
    <row r="44199">
      <c r="B44199" s="36"/>
      <c r="C44199" s="36"/>
      <c r="E44199" s="1"/>
      <c r="F44199" s="1"/>
      <c r="G44199" s="1"/>
    </row>
    <row r="44200">
      <c r="B44200" s="36"/>
      <c r="C44200" s="36"/>
      <c r="E44200" s="1"/>
      <c r="F44200" s="1"/>
      <c r="G44200" s="1"/>
    </row>
    <row r="44201">
      <c r="B44201" s="36"/>
      <c r="C44201" s="36"/>
      <c r="E44201" s="1"/>
      <c r="F44201" s="1"/>
      <c r="G44201" s="1"/>
    </row>
    <row r="44202">
      <c r="B44202" s="36"/>
      <c r="C44202" s="36"/>
      <c r="E44202" s="1"/>
      <c r="F44202" s="1"/>
      <c r="G44202" s="1"/>
    </row>
    <row r="44203">
      <c r="B44203" s="36"/>
      <c r="C44203" s="36"/>
      <c r="E44203" s="1"/>
      <c r="F44203" s="1"/>
      <c r="G44203" s="1"/>
    </row>
    <row r="44204">
      <c r="B44204" s="36"/>
      <c r="C44204" s="36"/>
      <c r="E44204" s="1"/>
      <c r="F44204" s="1"/>
      <c r="G44204" s="1"/>
    </row>
    <row r="44205">
      <c r="B44205" s="36"/>
      <c r="C44205" s="36"/>
      <c r="E44205" s="1"/>
      <c r="F44205" s="1"/>
      <c r="G44205" s="1"/>
    </row>
    <row r="44206">
      <c r="B44206" s="36"/>
      <c r="C44206" s="36"/>
      <c r="E44206" s="1"/>
      <c r="F44206" s="1"/>
      <c r="G44206" s="1"/>
    </row>
    <row r="44207">
      <c r="B44207" s="36"/>
      <c r="C44207" s="36"/>
      <c r="E44207" s="1"/>
      <c r="F44207" s="1"/>
      <c r="G44207" s="1"/>
    </row>
    <row r="44208">
      <c r="B44208" s="36"/>
      <c r="C44208" s="36"/>
      <c r="E44208" s="1"/>
      <c r="F44208" s="1"/>
      <c r="G44208" s="1"/>
    </row>
    <row r="44209">
      <c r="B44209" s="36"/>
      <c r="C44209" s="36"/>
      <c r="E44209" s="1"/>
      <c r="F44209" s="1"/>
      <c r="G44209" s="1"/>
    </row>
    <row r="44210">
      <c r="B44210" s="36"/>
      <c r="C44210" s="36"/>
      <c r="E44210" s="1"/>
      <c r="F44210" s="1"/>
      <c r="G44210" s="1"/>
    </row>
    <row r="44211">
      <c r="B44211" s="36"/>
      <c r="C44211" s="36"/>
      <c r="E44211" s="1"/>
      <c r="F44211" s="1"/>
      <c r="G44211" s="1"/>
    </row>
    <row r="44212">
      <c r="B44212" s="36"/>
      <c r="C44212" s="36"/>
      <c r="E44212" s="1"/>
      <c r="F44212" s="1"/>
      <c r="G44212" s="1"/>
    </row>
    <row r="44213">
      <c r="B44213" s="36"/>
      <c r="C44213" s="36"/>
      <c r="E44213" s="1"/>
      <c r="F44213" s="1"/>
      <c r="G44213" s="1"/>
    </row>
    <row r="44214">
      <c r="B44214" s="36"/>
      <c r="C44214" s="36"/>
      <c r="E44214" s="1"/>
      <c r="F44214" s="1"/>
      <c r="G44214" s="1"/>
    </row>
    <row r="44215">
      <c r="B44215" s="36"/>
      <c r="C44215" s="36"/>
      <c r="E44215" s="1"/>
      <c r="F44215" s="1"/>
      <c r="G44215" s="1"/>
    </row>
    <row r="44216">
      <c r="B44216" s="36"/>
      <c r="C44216" s="36"/>
      <c r="E44216" s="1"/>
      <c r="F44216" s="1"/>
      <c r="G44216" s="1"/>
    </row>
    <row r="44217">
      <c r="B44217" s="36"/>
      <c r="C44217" s="36"/>
      <c r="E44217" s="1"/>
      <c r="F44217" s="1"/>
      <c r="G44217" s="1"/>
    </row>
    <row r="44218">
      <c r="B44218" s="36"/>
      <c r="C44218" s="36"/>
      <c r="E44218" s="1"/>
      <c r="F44218" s="1"/>
      <c r="G44218" s="1"/>
    </row>
    <row r="44219">
      <c r="B44219" s="36"/>
      <c r="C44219" s="36"/>
      <c r="E44219" s="1"/>
      <c r="F44219" s="1"/>
      <c r="G44219" s="1"/>
    </row>
    <row r="44220">
      <c r="B44220" s="36"/>
      <c r="C44220" s="36"/>
      <c r="E44220" s="1"/>
      <c r="F44220" s="1"/>
      <c r="G44220" s="1"/>
    </row>
    <row r="44221">
      <c r="B44221" s="36"/>
      <c r="C44221" s="36"/>
      <c r="E44221" s="1"/>
      <c r="F44221" s="1"/>
      <c r="G44221" s="1"/>
    </row>
    <row r="44222">
      <c r="B44222" s="36"/>
      <c r="C44222" s="36"/>
      <c r="E44222" s="1"/>
      <c r="F44222" s="1"/>
      <c r="G44222" s="1"/>
    </row>
    <row r="44223">
      <c r="B44223" s="36"/>
      <c r="C44223" s="36"/>
      <c r="E44223" s="1"/>
      <c r="F44223" s="1"/>
      <c r="G44223" s="1"/>
    </row>
    <row r="44224">
      <c r="B44224" s="36"/>
      <c r="C44224" s="36"/>
      <c r="E44224" s="1"/>
      <c r="F44224" s="1"/>
      <c r="G44224" s="1"/>
    </row>
    <row r="44225">
      <c r="B44225" s="36"/>
      <c r="C44225" s="36"/>
      <c r="E44225" s="1"/>
      <c r="F44225" s="1"/>
      <c r="G44225" s="1"/>
    </row>
    <row r="44226">
      <c r="B44226" s="36"/>
      <c r="C44226" s="36"/>
      <c r="E44226" s="1"/>
      <c r="F44226" s="1"/>
      <c r="G44226" s="1"/>
    </row>
    <row r="44227">
      <c r="B44227" s="36"/>
      <c r="C44227" s="36"/>
      <c r="E44227" s="1"/>
      <c r="F44227" s="1"/>
      <c r="G44227" s="1"/>
    </row>
    <row r="44228">
      <c r="B44228" s="36"/>
      <c r="C44228" s="36"/>
      <c r="E44228" s="1"/>
      <c r="F44228" s="1"/>
      <c r="G44228" s="1"/>
    </row>
    <row r="44229">
      <c r="B44229" s="36"/>
      <c r="C44229" s="36"/>
      <c r="E44229" s="1"/>
      <c r="F44229" s="1"/>
      <c r="G44229" s="1"/>
    </row>
    <row r="44230">
      <c r="B44230" s="36"/>
      <c r="C44230" s="36"/>
      <c r="E44230" s="1"/>
      <c r="F44230" s="1"/>
      <c r="G44230" s="1"/>
    </row>
    <row r="44231">
      <c r="B44231" s="36"/>
      <c r="C44231" s="36"/>
      <c r="E44231" s="1"/>
      <c r="F44231" s="1"/>
      <c r="G44231" s="1"/>
    </row>
    <row r="44232">
      <c r="B44232" s="36"/>
      <c r="C44232" s="36"/>
      <c r="E44232" s="1"/>
      <c r="F44232" s="1"/>
      <c r="G44232" s="1"/>
    </row>
    <row r="44233">
      <c r="B44233" s="36"/>
      <c r="C44233" s="36"/>
      <c r="E44233" s="1"/>
      <c r="F44233" s="1"/>
      <c r="G44233" s="1"/>
    </row>
    <row r="44234">
      <c r="B44234" s="36"/>
      <c r="C44234" s="36"/>
      <c r="E44234" s="1"/>
      <c r="F44234" s="1"/>
      <c r="G44234" s="1"/>
    </row>
    <row r="44235">
      <c r="B44235" s="36"/>
      <c r="C44235" s="36"/>
      <c r="E44235" s="1"/>
      <c r="F44235" s="1"/>
      <c r="G44235" s="1"/>
    </row>
    <row r="44236">
      <c r="B44236" s="36"/>
      <c r="C44236" s="36"/>
      <c r="E44236" s="1"/>
      <c r="F44236" s="1"/>
      <c r="G44236" s="1"/>
    </row>
    <row r="44237">
      <c r="B44237" s="36"/>
      <c r="C44237" s="36"/>
      <c r="E44237" s="1"/>
      <c r="F44237" s="1"/>
      <c r="G44237" s="1"/>
    </row>
    <row r="44238">
      <c r="B44238" s="36"/>
      <c r="C44238" s="36"/>
      <c r="E44238" s="1"/>
      <c r="F44238" s="1"/>
      <c r="G44238" s="1"/>
    </row>
    <row r="44239">
      <c r="B44239" s="36"/>
      <c r="C44239" s="36"/>
      <c r="E44239" s="1"/>
      <c r="F44239" s="1"/>
      <c r="G44239" s="1"/>
    </row>
    <row r="44240">
      <c r="B44240" s="36"/>
      <c r="C44240" s="36"/>
      <c r="E44240" s="1"/>
      <c r="F44240" s="1"/>
      <c r="G44240" s="1"/>
    </row>
    <row r="44241">
      <c r="B44241" s="36"/>
      <c r="C44241" s="36"/>
      <c r="E44241" s="1"/>
      <c r="F44241" s="1"/>
      <c r="G44241" s="1"/>
    </row>
    <row r="44242">
      <c r="B44242" s="36"/>
      <c r="C44242" s="36"/>
      <c r="E44242" s="1"/>
      <c r="F44242" s="1"/>
      <c r="G44242" s="1"/>
    </row>
    <row r="44243">
      <c r="B44243" s="36"/>
      <c r="C44243" s="36"/>
      <c r="E44243" s="1"/>
      <c r="F44243" s="1"/>
      <c r="G44243" s="1"/>
    </row>
    <row r="44244">
      <c r="B44244" s="36"/>
      <c r="C44244" s="36"/>
      <c r="E44244" s="1"/>
      <c r="F44244" s="1"/>
      <c r="G44244" s="1"/>
    </row>
    <row r="44245">
      <c r="B44245" s="36"/>
      <c r="C44245" s="36"/>
      <c r="E44245" s="1"/>
      <c r="F44245" s="1"/>
      <c r="G44245" s="1"/>
    </row>
    <row r="44246">
      <c r="B44246" s="36"/>
      <c r="C44246" s="36"/>
      <c r="E44246" s="1"/>
      <c r="F44246" s="1"/>
      <c r="G44246" s="1"/>
    </row>
    <row r="44247">
      <c r="B44247" s="36"/>
      <c r="C44247" s="36"/>
      <c r="E44247" s="1"/>
      <c r="F44247" s="1"/>
      <c r="G44247" s="1"/>
    </row>
    <row r="44248">
      <c r="B44248" s="36"/>
      <c r="C44248" s="36"/>
      <c r="E44248" s="1"/>
      <c r="F44248" s="1"/>
      <c r="G44248" s="1"/>
    </row>
    <row r="44249">
      <c r="B44249" s="36"/>
      <c r="C44249" s="36"/>
      <c r="E44249" s="1"/>
      <c r="F44249" s="1"/>
      <c r="G44249" s="1"/>
    </row>
    <row r="44250">
      <c r="B44250" s="36"/>
      <c r="C44250" s="36"/>
      <c r="E44250" s="1"/>
      <c r="F44250" s="1"/>
      <c r="G44250" s="1"/>
    </row>
    <row r="44251">
      <c r="B44251" s="36"/>
      <c r="C44251" s="36"/>
      <c r="E44251" s="1"/>
      <c r="F44251" s="1"/>
      <c r="G44251" s="1"/>
    </row>
    <row r="44252">
      <c r="B44252" s="36"/>
      <c r="C44252" s="36"/>
      <c r="E44252" s="1"/>
      <c r="F44252" s="1"/>
      <c r="G44252" s="1"/>
    </row>
    <row r="44253">
      <c r="B44253" s="36"/>
      <c r="C44253" s="36"/>
      <c r="E44253" s="1"/>
      <c r="F44253" s="1"/>
      <c r="G44253" s="1"/>
    </row>
    <row r="44254">
      <c r="B44254" s="36"/>
      <c r="C44254" s="36"/>
      <c r="E44254" s="1"/>
      <c r="F44254" s="1"/>
      <c r="G44254" s="1"/>
    </row>
    <row r="44255">
      <c r="B44255" s="36"/>
      <c r="C44255" s="36"/>
      <c r="E44255" s="1"/>
      <c r="F44255" s="1"/>
      <c r="G44255" s="1"/>
    </row>
    <row r="44256">
      <c r="B44256" s="36"/>
      <c r="C44256" s="36"/>
      <c r="E44256" s="1"/>
      <c r="F44256" s="1"/>
      <c r="G44256" s="1"/>
    </row>
    <row r="44257">
      <c r="B44257" s="36"/>
      <c r="C44257" s="36"/>
      <c r="E44257" s="1"/>
      <c r="F44257" s="1"/>
      <c r="G44257" s="1"/>
    </row>
    <row r="44258">
      <c r="B44258" s="36"/>
      <c r="C44258" s="36"/>
      <c r="E44258" s="1"/>
      <c r="F44258" s="1"/>
      <c r="G44258" s="1"/>
    </row>
    <row r="44259">
      <c r="B44259" s="36"/>
      <c r="C44259" s="36"/>
      <c r="E44259" s="1"/>
      <c r="F44259" s="1"/>
      <c r="G44259" s="1"/>
    </row>
    <row r="44260">
      <c r="B44260" s="36"/>
      <c r="C44260" s="36"/>
      <c r="E44260" s="1"/>
      <c r="F44260" s="1"/>
      <c r="G44260" s="1"/>
    </row>
    <row r="44261">
      <c r="B44261" s="36"/>
      <c r="C44261" s="36"/>
      <c r="E44261" s="1"/>
      <c r="F44261" s="1"/>
      <c r="G44261" s="1"/>
    </row>
    <row r="44262">
      <c r="B44262" s="36"/>
      <c r="C44262" s="36"/>
      <c r="E44262" s="1"/>
      <c r="F44262" s="1"/>
      <c r="G44262" s="1"/>
    </row>
    <row r="44263">
      <c r="B44263" s="36"/>
      <c r="C44263" s="36"/>
      <c r="E44263" s="1"/>
      <c r="F44263" s="1"/>
      <c r="G44263" s="1"/>
    </row>
    <row r="44264">
      <c r="B44264" s="36"/>
      <c r="C44264" s="36"/>
      <c r="E44264" s="1"/>
      <c r="F44264" s="1"/>
      <c r="G44264" s="1"/>
    </row>
    <row r="44265">
      <c r="B44265" s="36"/>
      <c r="C44265" s="36"/>
      <c r="E44265" s="1"/>
      <c r="F44265" s="1"/>
      <c r="G44265" s="1"/>
    </row>
    <row r="44266">
      <c r="B44266" s="36"/>
      <c r="C44266" s="36"/>
      <c r="E44266" s="1"/>
      <c r="F44266" s="1"/>
      <c r="G44266" s="1"/>
    </row>
    <row r="44267">
      <c r="B44267" s="36"/>
      <c r="C44267" s="36"/>
      <c r="E44267" s="1"/>
      <c r="F44267" s="1"/>
      <c r="G44267" s="1"/>
    </row>
    <row r="44268">
      <c r="B44268" s="36"/>
      <c r="C44268" s="36"/>
      <c r="E44268" s="1"/>
      <c r="F44268" s="1"/>
      <c r="G44268" s="1"/>
    </row>
    <row r="44269">
      <c r="B44269" s="36"/>
      <c r="C44269" s="36"/>
      <c r="E44269" s="1"/>
      <c r="F44269" s="1"/>
      <c r="G44269" s="1"/>
    </row>
    <row r="44270">
      <c r="B44270" s="36"/>
      <c r="C44270" s="36"/>
      <c r="E44270" s="1"/>
      <c r="F44270" s="1"/>
      <c r="G44270" s="1"/>
    </row>
    <row r="44271">
      <c r="B44271" s="36"/>
      <c r="C44271" s="36"/>
      <c r="E44271" s="1"/>
      <c r="F44271" s="1"/>
      <c r="G44271" s="1"/>
    </row>
    <row r="44272">
      <c r="B44272" s="36"/>
      <c r="C44272" s="36"/>
      <c r="E44272" s="1"/>
      <c r="F44272" s="1"/>
      <c r="G44272" s="1"/>
    </row>
    <row r="44273">
      <c r="B44273" s="36"/>
      <c r="C44273" s="36"/>
      <c r="E44273" s="1"/>
      <c r="F44273" s="1"/>
      <c r="G44273" s="1"/>
    </row>
    <row r="44274">
      <c r="B44274" s="36"/>
      <c r="C44274" s="36"/>
      <c r="E44274" s="1"/>
      <c r="F44274" s="1"/>
      <c r="G44274" s="1"/>
    </row>
    <row r="44275">
      <c r="B44275" s="36"/>
      <c r="C44275" s="36"/>
      <c r="E44275" s="1"/>
      <c r="F44275" s="1"/>
      <c r="G44275" s="1"/>
    </row>
    <row r="44276">
      <c r="B44276" s="36"/>
      <c r="C44276" s="36"/>
      <c r="E44276" s="1"/>
      <c r="F44276" s="1"/>
      <c r="G44276" s="1"/>
    </row>
    <row r="44277">
      <c r="B44277" s="36"/>
      <c r="C44277" s="36"/>
      <c r="E44277" s="1"/>
      <c r="F44277" s="1"/>
      <c r="G44277" s="1"/>
    </row>
    <row r="44278">
      <c r="B44278" s="36"/>
      <c r="C44278" s="36"/>
      <c r="E44278" s="1"/>
      <c r="F44278" s="1"/>
      <c r="G44278" s="1"/>
    </row>
    <row r="44279">
      <c r="B44279" s="36"/>
      <c r="C44279" s="36"/>
      <c r="E44279" s="1"/>
      <c r="F44279" s="1"/>
      <c r="G44279" s="1"/>
    </row>
    <row r="44280">
      <c r="B44280" s="36"/>
      <c r="C44280" s="36"/>
      <c r="E44280" s="1"/>
      <c r="F44280" s="1"/>
      <c r="G44280" s="1"/>
    </row>
    <row r="44281">
      <c r="B44281" s="36"/>
      <c r="C44281" s="36"/>
      <c r="E44281" s="1"/>
      <c r="F44281" s="1"/>
      <c r="G44281" s="1"/>
    </row>
    <row r="44282">
      <c r="B44282" s="36"/>
      <c r="C44282" s="36"/>
      <c r="E44282" s="1"/>
      <c r="F44282" s="1"/>
      <c r="G44282" s="1"/>
    </row>
    <row r="44283">
      <c r="B44283" s="36"/>
      <c r="C44283" s="36"/>
      <c r="E44283" s="1"/>
      <c r="F44283" s="1"/>
      <c r="G44283" s="1"/>
    </row>
    <row r="44284">
      <c r="B44284" s="36"/>
      <c r="C44284" s="36"/>
      <c r="E44284" s="1"/>
      <c r="F44284" s="1"/>
      <c r="G44284" s="1"/>
    </row>
    <row r="44285">
      <c r="B44285" s="36"/>
      <c r="C44285" s="36"/>
      <c r="E44285" s="1"/>
      <c r="F44285" s="1"/>
      <c r="G44285" s="1"/>
    </row>
    <row r="44286">
      <c r="B44286" s="36"/>
      <c r="C44286" s="36"/>
      <c r="E44286" s="1"/>
      <c r="F44286" s="1"/>
      <c r="G44286" s="1"/>
    </row>
    <row r="44287">
      <c r="B44287" s="36"/>
      <c r="C44287" s="36"/>
      <c r="E44287" s="1"/>
      <c r="F44287" s="1"/>
      <c r="G44287" s="1"/>
    </row>
    <row r="44288">
      <c r="B44288" s="36"/>
      <c r="C44288" s="36"/>
      <c r="E44288" s="1"/>
      <c r="F44288" s="1"/>
      <c r="G44288" s="1"/>
    </row>
    <row r="44289">
      <c r="B44289" s="36"/>
      <c r="C44289" s="36"/>
      <c r="E44289" s="1"/>
      <c r="F44289" s="1"/>
      <c r="G44289" s="1"/>
    </row>
    <row r="44290">
      <c r="B44290" s="36"/>
      <c r="C44290" s="36"/>
      <c r="E44290" s="1"/>
      <c r="F44290" s="1"/>
      <c r="G44290" s="1"/>
    </row>
    <row r="44291">
      <c r="B44291" s="36"/>
      <c r="C44291" s="36"/>
      <c r="E44291" s="1"/>
      <c r="F44291" s="1"/>
      <c r="G44291" s="1"/>
    </row>
    <row r="44292">
      <c r="B44292" s="36"/>
      <c r="C44292" s="36"/>
      <c r="E44292" s="1"/>
      <c r="F44292" s="1"/>
      <c r="G44292" s="1"/>
    </row>
    <row r="44293">
      <c r="B44293" s="36"/>
      <c r="C44293" s="36"/>
      <c r="E44293" s="1"/>
      <c r="F44293" s="1"/>
      <c r="G44293" s="1"/>
    </row>
    <row r="44294">
      <c r="B44294" s="36"/>
      <c r="C44294" s="36"/>
      <c r="E44294" s="1"/>
      <c r="F44294" s="1"/>
      <c r="G44294" s="1"/>
    </row>
    <row r="44295">
      <c r="B44295" s="36"/>
      <c r="C44295" s="36"/>
      <c r="E44295" s="1"/>
      <c r="F44295" s="1"/>
      <c r="G44295" s="1"/>
    </row>
    <row r="44296">
      <c r="B44296" s="36"/>
      <c r="C44296" s="36"/>
      <c r="E44296" s="1"/>
      <c r="F44296" s="1"/>
      <c r="G44296" s="1"/>
    </row>
    <row r="44297">
      <c r="B44297" s="36"/>
      <c r="C44297" s="36"/>
      <c r="E44297" s="1"/>
      <c r="F44297" s="1"/>
      <c r="G44297" s="1"/>
    </row>
    <row r="44298">
      <c r="B44298" s="36"/>
      <c r="C44298" s="36"/>
      <c r="E44298" s="1"/>
      <c r="F44298" s="1"/>
      <c r="G44298" s="1"/>
    </row>
    <row r="44299">
      <c r="B44299" s="36"/>
      <c r="C44299" s="36"/>
      <c r="E44299" s="1"/>
      <c r="F44299" s="1"/>
      <c r="G44299" s="1"/>
    </row>
    <row r="44300">
      <c r="B44300" s="36"/>
      <c r="C44300" s="36"/>
      <c r="E44300" s="1"/>
      <c r="F44300" s="1"/>
      <c r="G44300" s="1"/>
    </row>
    <row r="44301">
      <c r="B44301" s="36"/>
      <c r="C44301" s="36"/>
      <c r="E44301" s="1"/>
      <c r="F44301" s="1"/>
      <c r="G44301" s="1"/>
    </row>
    <row r="44302">
      <c r="B44302" s="36"/>
      <c r="C44302" s="36"/>
      <c r="E44302" s="1"/>
      <c r="F44302" s="1"/>
      <c r="G44302" s="1"/>
    </row>
    <row r="44303">
      <c r="B44303" s="36"/>
      <c r="C44303" s="36"/>
      <c r="E44303" s="1"/>
      <c r="F44303" s="1"/>
      <c r="G44303" s="1"/>
    </row>
    <row r="44304">
      <c r="B44304" s="36"/>
      <c r="C44304" s="36"/>
      <c r="E44304" s="1"/>
      <c r="F44304" s="1"/>
      <c r="G44304" s="1"/>
    </row>
    <row r="44305">
      <c r="B44305" s="36"/>
      <c r="C44305" s="36"/>
      <c r="E44305" s="1"/>
      <c r="F44305" s="1"/>
      <c r="G44305" s="1"/>
    </row>
    <row r="44306">
      <c r="B44306" s="36"/>
      <c r="C44306" s="36"/>
      <c r="E44306" s="1"/>
      <c r="F44306" s="1"/>
      <c r="G44306" s="1"/>
    </row>
    <row r="44307">
      <c r="B44307" s="36"/>
      <c r="C44307" s="36"/>
      <c r="E44307" s="1"/>
      <c r="F44307" s="1"/>
      <c r="G44307" s="1"/>
    </row>
    <row r="44308">
      <c r="B44308" s="36"/>
      <c r="C44308" s="36"/>
      <c r="E44308" s="1"/>
      <c r="F44308" s="1"/>
      <c r="G44308" s="1"/>
    </row>
    <row r="44309">
      <c r="B44309" s="36"/>
      <c r="C44309" s="36"/>
      <c r="E44309" s="1"/>
      <c r="F44309" s="1"/>
      <c r="G44309" s="1"/>
    </row>
    <row r="44310">
      <c r="B44310" s="36"/>
      <c r="C44310" s="36"/>
      <c r="E44310" s="1"/>
      <c r="F44310" s="1"/>
      <c r="G44310" s="1"/>
    </row>
    <row r="44311">
      <c r="B44311" s="36"/>
      <c r="C44311" s="36"/>
      <c r="E44311" s="1"/>
      <c r="F44311" s="1"/>
      <c r="G44311" s="1"/>
    </row>
    <row r="44312">
      <c r="B44312" s="36"/>
      <c r="C44312" s="36"/>
      <c r="E44312" s="1"/>
      <c r="F44312" s="1"/>
      <c r="G44312" s="1"/>
    </row>
    <row r="44313">
      <c r="B44313" s="36"/>
      <c r="C44313" s="36"/>
      <c r="E44313" s="1"/>
      <c r="F44313" s="1"/>
      <c r="G44313" s="1"/>
    </row>
    <row r="44314">
      <c r="B44314" s="36"/>
      <c r="C44314" s="36"/>
      <c r="E44314" s="1"/>
      <c r="F44314" s="1"/>
      <c r="G44314" s="1"/>
    </row>
    <row r="44315">
      <c r="B44315" s="36"/>
      <c r="C44315" s="36"/>
      <c r="E44315" s="1"/>
      <c r="F44315" s="1"/>
      <c r="G44315" s="1"/>
    </row>
    <row r="44316">
      <c r="B44316" s="36"/>
      <c r="C44316" s="36"/>
      <c r="E44316" s="1"/>
      <c r="F44316" s="1"/>
      <c r="G44316" s="1"/>
    </row>
    <row r="44317">
      <c r="B44317" s="36"/>
      <c r="C44317" s="36"/>
      <c r="E44317" s="1"/>
      <c r="F44317" s="1"/>
      <c r="G44317" s="1"/>
    </row>
    <row r="44318">
      <c r="B44318" s="36"/>
      <c r="C44318" s="36"/>
      <c r="E44318" s="1"/>
      <c r="F44318" s="1"/>
      <c r="G44318" s="1"/>
    </row>
    <row r="44319">
      <c r="B44319" s="36"/>
      <c r="C44319" s="36"/>
      <c r="E44319" s="1"/>
      <c r="F44319" s="1"/>
      <c r="G44319" s="1"/>
    </row>
    <row r="44320">
      <c r="B44320" s="36"/>
      <c r="C44320" s="36"/>
      <c r="E44320" s="1"/>
      <c r="F44320" s="1"/>
      <c r="G44320" s="1"/>
    </row>
    <row r="44321">
      <c r="B44321" s="36"/>
      <c r="C44321" s="36"/>
      <c r="E44321" s="1"/>
      <c r="F44321" s="1"/>
      <c r="G44321" s="1"/>
    </row>
    <row r="44322">
      <c r="B44322" s="36"/>
      <c r="C44322" s="36"/>
      <c r="E44322" s="1"/>
      <c r="F44322" s="1"/>
      <c r="G44322" s="1"/>
    </row>
    <row r="44323">
      <c r="B44323" s="36"/>
      <c r="C44323" s="36"/>
      <c r="E44323" s="1"/>
      <c r="F44323" s="1"/>
      <c r="G44323" s="1"/>
    </row>
    <row r="44324">
      <c r="B44324" s="36"/>
      <c r="C44324" s="36"/>
      <c r="E44324" s="1"/>
      <c r="F44324" s="1"/>
      <c r="G44324" s="1"/>
    </row>
    <row r="44325">
      <c r="B44325" s="36"/>
      <c r="C44325" s="36"/>
      <c r="E44325" s="1"/>
      <c r="F44325" s="1"/>
      <c r="G44325" s="1"/>
    </row>
    <row r="44326">
      <c r="B44326" s="36"/>
      <c r="C44326" s="36"/>
      <c r="E44326" s="1"/>
      <c r="F44326" s="1"/>
      <c r="G44326" s="1"/>
    </row>
    <row r="44327">
      <c r="B44327" s="36"/>
      <c r="C44327" s="36"/>
      <c r="E44327" s="1"/>
      <c r="F44327" s="1"/>
      <c r="G44327" s="1"/>
    </row>
    <row r="44328">
      <c r="B44328" s="36"/>
      <c r="C44328" s="36"/>
      <c r="E44328" s="1"/>
      <c r="F44328" s="1"/>
      <c r="G44328" s="1"/>
    </row>
    <row r="44329">
      <c r="B44329" s="36"/>
      <c r="C44329" s="36"/>
      <c r="E44329" s="1"/>
      <c r="F44329" s="1"/>
      <c r="G44329" s="1"/>
    </row>
    <row r="44330">
      <c r="B44330" s="36"/>
      <c r="C44330" s="36"/>
      <c r="E44330" s="1"/>
      <c r="F44330" s="1"/>
      <c r="G44330" s="1"/>
    </row>
    <row r="44331">
      <c r="B44331" s="36"/>
      <c r="C44331" s="36"/>
      <c r="E44331" s="1"/>
      <c r="F44331" s="1"/>
      <c r="G44331" s="1"/>
    </row>
    <row r="44332">
      <c r="B44332" s="36"/>
      <c r="C44332" s="36"/>
      <c r="E44332" s="1"/>
      <c r="F44332" s="1"/>
      <c r="G44332" s="1"/>
    </row>
    <row r="44333">
      <c r="B44333" s="36"/>
      <c r="C44333" s="36"/>
      <c r="E44333" s="1"/>
      <c r="F44333" s="1"/>
      <c r="G44333" s="1"/>
    </row>
    <row r="44334">
      <c r="B44334" s="36"/>
      <c r="C44334" s="36"/>
      <c r="E44334" s="1"/>
      <c r="F44334" s="1"/>
      <c r="G44334" s="1"/>
    </row>
    <row r="44335">
      <c r="B44335" s="36"/>
      <c r="C44335" s="36"/>
      <c r="E44335" s="1"/>
      <c r="F44335" s="1"/>
      <c r="G44335" s="1"/>
    </row>
    <row r="44336">
      <c r="B44336" s="36"/>
      <c r="C44336" s="36"/>
      <c r="E44336" s="1"/>
      <c r="F44336" s="1"/>
      <c r="G44336" s="1"/>
    </row>
    <row r="44337">
      <c r="B44337" s="36"/>
      <c r="C44337" s="36"/>
      <c r="E44337" s="1"/>
      <c r="F44337" s="1"/>
      <c r="G44337" s="1"/>
    </row>
    <row r="44338">
      <c r="B44338" s="36"/>
      <c r="C44338" s="36"/>
      <c r="E44338" s="1"/>
      <c r="F44338" s="1"/>
      <c r="G44338" s="1"/>
    </row>
    <row r="44339">
      <c r="B44339" s="36"/>
      <c r="C44339" s="36"/>
      <c r="E44339" s="1"/>
      <c r="F44339" s="1"/>
      <c r="G44339" s="1"/>
    </row>
    <row r="44340">
      <c r="B44340" s="36"/>
      <c r="C44340" s="36"/>
      <c r="E44340" s="1"/>
      <c r="F44340" s="1"/>
      <c r="G44340" s="1"/>
    </row>
    <row r="44341">
      <c r="B44341" s="36"/>
      <c r="C44341" s="36"/>
      <c r="E44341" s="1"/>
      <c r="F44341" s="1"/>
      <c r="G44341" s="1"/>
    </row>
    <row r="44342">
      <c r="B44342" s="36"/>
      <c r="C44342" s="36"/>
      <c r="E44342" s="1"/>
      <c r="F44342" s="1"/>
      <c r="G44342" s="1"/>
    </row>
    <row r="44343">
      <c r="B44343" s="36"/>
      <c r="C44343" s="36"/>
      <c r="E44343" s="1"/>
      <c r="F44343" s="1"/>
      <c r="G44343" s="1"/>
    </row>
    <row r="44344">
      <c r="B44344" s="36"/>
      <c r="C44344" s="36"/>
      <c r="E44344" s="1"/>
      <c r="F44344" s="1"/>
      <c r="G44344" s="1"/>
    </row>
    <row r="44345">
      <c r="B44345" s="36"/>
      <c r="C44345" s="36"/>
      <c r="E44345" s="1"/>
      <c r="F44345" s="1"/>
      <c r="G44345" s="1"/>
    </row>
    <row r="44346">
      <c r="B44346" s="36"/>
      <c r="C44346" s="36"/>
      <c r="E44346" s="1"/>
      <c r="F44346" s="1"/>
      <c r="G44346" s="1"/>
    </row>
    <row r="44347">
      <c r="B44347" s="36"/>
      <c r="C44347" s="36"/>
      <c r="E44347" s="1"/>
      <c r="F44347" s="1"/>
      <c r="G44347" s="1"/>
    </row>
    <row r="44348">
      <c r="B44348" s="36"/>
      <c r="C44348" s="36"/>
      <c r="E44348" s="1"/>
      <c r="F44348" s="1"/>
      <c r="G44348" s="1"/>
    </row>
    <row r="44349">
      <c r="B44349" s="36"/>
      <c r="C44349" s="36"/>
      <c r="E44349" s="1"/>
      <c r="F44349" s="1"/>
      <c r="G44349" s="1"/>
    </row>
    <row r="44350">
      <c r="B44350" s="36"/>
      <c r="C44350" s="36"/>
      <c r="E44350" s="1"/>
      <c r="F44350" s="1"/>
      <c r="G44350" s="1"/>
    </row>
    <row r="44351">
      <c r="B44351" s="36"/>
      <c r="C44351" s="36"/>
      <c r="E44351" s="1"/>
      <c r="F44351" s="1"/>
      <c r="G44351" s="1"/>
    </row>
    <row r="44352">
      <c r="B44352" s="36"/>
      <c r="C44352" s="36"/>
      <c r="E44352" s="1"/>
      <c r="F44352" s="1"/>
      <c r="G44352" s="1"/>
    </row>
    <row r="44353">
      <c r="B44353" s="36"/>
      <c r="C44353" s="36"/>
      <c r="E44353" s="1"/>
      <c r="F44353" s="1"/>
      <c r="G44353" s="1"/>
    </row>
    <row r="44354">
      <c r="B44354" s="36"/>
      <c r="C44354" s="36"/>
      <c r="E44354" s="1"/>
      <c r="F44354" s="1"/>
      <c r="G44354" s="1"/>
    </row>
    <row r="44355">
      <c r="B44355" s="36"/>
      <c r="C44355" s="36"/>
      <c r="E44355" s="1"/>
      <c r="F44355" s="1"/>
      <c r="G44355" s="1"/>
    </row>
    <row r="44356">
      <c r="B44356" s="36"/>
      <c r="C44356" s="36"/>
      <c r="E44356" s="1"/>
      <c r="F44356" s="1"/>
      <c r="G44356" s="1"/>
    </row>
    <row r="44357">
      <c r="B44357" s="36"/>
      <c r="C44357" s="36"/>
      <c r="E44357" s="1"/>
      <c r="F44357" s="1"/>
      <c r="G44357" s="1"/>
    </row>
    <row r="44358">
      <c r="B44358" s="36"/>
      <c r="C44358" s="36"/>
      <c r="E44358" s="1"/>
      <c r="F44358" s="1"/>
      <c r="G44358" s="1"/>
    </row>
    <row r="44359">
      <c r="B44359" s="36"/>
      <c r="C44359" s="36"/>
      <c r="E44359" s="1"/>
      <c r="F44359" s="1"/>
      <c r="G44359" s="1"/>
    </row>
    <row r="44360">
      <c r="B44360" s="36"/>
      <c r="C44360" s="36"/>
      <c r="E44360" s="1"/>
      <c r="F44360" s="1"/>
      <c r="G44360" s="1"/>
    </row>
    <row r="44361">
      <c r="B44361" s="36"/>
      <c r="C44361" s="36"/>
      <c r="E44361" s="1"/>
      <c r="F44361" s="1"/>
      <c r="G44361" s="1"/>
    </row>
    <row r="44362">
      <c r="B44362" s="36"/>
      <c r="C44362" s="36"/>
      <c r="E44362" s="1"/>
      <c r="F44362" s="1"/>
      <c r="G44362" s="1"/>
    </row>
    <row r="44363">
      <c r="B44363" s="36"/>
      <c r="C44363" s="36"/>
      <c r="E44363" s="1"/>
      <c r="F44363" s="1"/>
      <c r="G44363" s="1"/>
    </row>
    <row r="44364">
      <c r="B44364" s="36"/>
      <c r="C44364" s="36"/>
      <c r="E44364" s="1"/>
      <c r="F44364" s="1"/>
      <c r="G44364" s="1"/>
    </row>
    <row r="44365">
      <c r="B44365" s="36"/>
      <c r="C44365" s="36"/>
      <c r="E44365" s="1"/>
      <c r="F44365" s="1"/>
      <c r="G44365" s="1"/>
    </row>
    <row r="44366">
      <c r="B44366" s="36"/>
      <c r="C44366" s="36"/>
      <c r="E44366" s="1"/>
      <c r="F44366" s="1"/>
      <c r="G44366" s="1"/>
    </row>
    <row r="44367">
      <c r="B44367" s="36"/>
      <c r="C44367" s="36"/>
      <c r="E44367" s="1"/>
      <c r="F44367" s="1"/>
      <c r="G44367" s="1"/>
    </row>
    <row r="44368">
      <c r="B44368" s="36"/>
      <c r="C44368" s="36"/>
      <c r="E44368" s="1"/>
      <c r="F44368" s="1"/>
      <c r="G44368" s="1"/>
    </row>
    <row r="44369">
      <c r="B44369" s="36"/>
      <c r="C44369" s="36"/>
      <c r="E44369" s="1"/>
      <c r="F44369" s="1"/>
      <c r="G44369" s="1"/>
    </row>
    <row r="44370">
      <c r="B44370" s="36"/>
      <c r="C44370" s="36"/>
      <c r="E44370" s="1"/>
      <c r="F44370" s="1"/>
      <c r="G44370" s="1"/>
    </row>
    <row r="44371">
      <c r="B44371" s="36"/>
      <c r="C44371" s="36"/>
      <c r="E44371" s="1"/>
      <c r="F44371" s="1"/>
      <c r="G44371" s="1"/>
    </row>
    <row r="44372">
      <c r="B44372" s="36"/>
      <c r="C44372" s="36"/>
      <c r="E44372" s="1"/>
      <c r="F44372" s="1"/>
      <c r="G44372" s="1"/>
    </row>
    <row r="44373">
      <c r="B44373" s="36"/>
      <c r="C44373" s="36"/>
      <c r="E44373" s="1"/>
      <c r="F44373" s="1"/>
      <c r="G44373" s="1"/>
    </row>
    <row r="44374">
      <c r="B44374" s="36"/>
      <c r="C44374" s="36"/>
      <c r="E44374" s="1"/>
      <c r="F44374" s="1"/>
      <c r="G44374" s="1"/>
    </row>
    <row r="44375">
      <c r="B44375" s="36"/>
      <c r="C44375" s="36"/>
      <c r="E44375" s="1"/>
      <c r="F44375" s="1"/>
      <c r="G44375" s="1"/>
    </row>
    <row r="44376">
      <c r="B44376" s="36"/>
      <c r="C44376" s="36"/>
      <c r="E44376" s="1"/>
      <c r="F44376" s="1"/>
      <c r="G44376" s="1"/>
    </row>
    <row r="44377">
      <c r="B44377" s="36"/>
      <c r="C44377" s="36"/>
      <c r="E44377" s="1"/>
      <c r="F44377" s="1"/>
      <c r="G44377" s="1"/>
    </row>
    <row r="44378">
      <c r="B44378" s="36"/>
      <c r="C44378" s="36"/>
      <c r="E44378" s="1"/>
      <c r="F44378" s="1"/>
      <c r="G44378" s="1"/>
    </row>
    <row r="44379">
      <c r="B44379" s="36"/>
      <c r="C44379" s="36"/>
      <c r="E44379" s="1"/>
      <c r="F44379" s="1"/>
      <c r="G44379" s="1"/>
    </row>
    <row r="44380">
      <c r="B44380" s="36"/>
      <c r="C44380" s="36"/>
      <c r="E44380" s="1"/>
      <c r="F44380" s="1"/>
      <c r="G44380" s="1"/>
    </row>
    <row r="44381">
      <c r="B44381" s="36"/>
      <c r="C44381" s="36"/>
      <c r="E44381" s="1"/>
      <c r="F44381" s="1"/>
      <c r="G44381" s="1"/>
    </row>
    <row r="44382">
      <c r="B44382" s="36"/>
      <c r="C44382" s="36"/>
      <c r="E44382" s="1"/>
      <c r="F44382" s="1"/>
      <c r="G44382" s="1"/>
    </row>
    <row r="44383">
      <c r="B44383" s="36"/>
      <c r="C44383" s="36"/>
      <c r="E44383" s="1"/>
      <c r="F44383" s="1"/>
      <c r="G44383" s="1"/>
    </row>
    <row r="44384">
      <c r="B44384" s="36"/>
      <c r="C44384" s="36"/>
      <c r="E44384" s="1"/>
      <c r="F44384" s="1"/>
      <c r="G44384" s="1"/>
    </row>
    <row r="44385">
      <c r="B44385" s="36"/>
      <c r="C44385" s="36"/>
      <c r="E44385" s="1"/>
      <c r="F44385" s="1"/>
      <c r="G44385" s="1"/>
    </row>
    <row r="44386">
      <c r="B44386" s="36"/>
      <c r="C44386" s="36"/>
      <c r="E44386" s="1"/>
      <c r="F44386" s="1"/>
      <c r="G44386" s="1"/>
    </row>
    <row r="44387">
      <c r="B44387" s="36"/>
      <c r="C44387" s="36"/>
      <c r="E44387" s="1"/>
      <c r="F44387" s="1"/>
      <c r="G44387" s="1"/>
    </row>
    <row r="44388">
      <c r="B44388" s="36"/>
      <c r="C44388" s="36"/>
      <c r="E44388" s="1"/>
      <c r="F44388" s="1"/>
      <c r="G44388" s="1"/>
    </row>
    <row r="44389">
      <c r="B44389" s="36"/>
      <c r="C44389" s="36"/>
      <c r="E44389" s="1"/>
      <c r="F44389" s="1"/>
      <c r="G44389" s="1"/>
    </row>
    <row r="44390">
      <c r="B44390" s="36"/>
      <c r="C44390" s="36"/>
      <c r="E44390" s="1"/>
      <c r="F44390" s="1"/>
      <c r="G44390" s="1"/>
    </row>
    <row r="44391">
      <c r="B44391" s="36"/>
      <c r="C44391" s="36"/>
      <c r="E44391" s="1"/>
      <c r="F44391" s="1"/>
      <c r="G44391" s="1"/>
    </row>
    <row r="44392">
      <c r="B44392" s="36"/>
      <c r="C44392" s="36"/>
      <c r="E44392" s="1"/>
      <c r="F44392" s="1"/>
      <c r="G44392" s="1"/>
    </row>
    <row r="44393">
      <c r="B44393" s="36"/>
      <c r="C44393" s="36"/>
      <c r="E44393" s="1"/>
      <c r="F44393" s="1"/>
      <c r="G44393" s="1"/>
    </row>
    <row r="44394">
      <c r="B44394" s="36"/>
      <c r="C44394" s="36"/>
      <c r="E44394" s="1"/>
      <c r="F44394" s="1"/>
      <c r="G44394" s="1"/>
    </row>
    <row r="44395">
      <c r="B44395" s="36"/>
      <c r="C44395" s="36"/>
      <c r="E44395" s="1"/>
      <c r="F44395" s="1"/>
      <c r="G44395" s="1"/>
    </row>
    <row r="44396">
      <c r="B44396" s="36"/>
      <c r="C44396" s="36"/>
      <c r="E44396" s="1"/>
      <c r="F44396" s="1"/>
      <c r="G44396" s="1"/>
    </row>
    <row r="44397">
      <c r="B44397" s="36"/>
      <c r="C44397" s="36"/>
      <c r="E44397" s="1"/>
      <c r="F44397" s="1"/>
      <c r="G44397" s="1"/>
    </row>
    <row r="44398">
      <c r="B44398" s="36"/>
      <c r="C44398" s="36"/>
      <c r="E44398" s="1"/>
      <c r="F44398" s="1"/>
      <c r="G44398" s="1"/>
    </row>
    <row r="44399">
      <c r="B44399" s="36"/>
      <c r="C44399" s="36"/>
      <c r="E44399" s="1"/>
      <c r="F44399" s="1"/>
      <c r="G44399" s="1"/>
    </row>
    <row r="44400">
      <c r="B44400" s="36"/>
      <c r="C44400" s="36"/>
      <c r="E44400" s="1"/>
      <c r="F44400" s="1"/>
      <c r="G44400" s="1"/>
    </row>
    <row r="44401">
      <c r="B44401" s="36"/>
      <c r="C44401" s="36"/>
      <c r="E44401" s="1"/>
      <c r="F44401" s="1"/>
      <c r="G44401" s="1"/>
    </row>
    <row r="44402">
      <c r="B44402" s="36"/>
      <c r="C44402" s="36"/>
      <c r="E44402" s="1"/>
      <c r="F44402" s="1"/>
      <c r="G44402" s="1"/>
    </row>
    <row r="44403">
      <c r="B44403" s="36"/>
      <c r="C44403" s="36"/>
      <c r="E44403" s="1"/>
      <c r="F44403" s="1"/>
      <c r="G44403" s="1"/>
    </row>
    <row r="44404">
      <c r="B44404" s="36"/>
      <c r="C44404" s="36"/>
      <c r="E44404" s="1"/>
      <c r="F44404" s="1"/>
      <c r="G44404" s="1"/>
    </row>
    <row r="44405">
      <c r="B44405" s="36"/>
      <c r="C44405" s="36"/>
      <c r="E44405" s="1"/>
      <c r="F44405" s="1"/>
      <c r="G44405" s="1"/>
    </row>
    <row r="44406">
      <c r="B44406" s="36"/>
      <c r="C44406" s="36"/>
      <c r="E44406" s="1"/>
      <c r="F44406" s="1"/>
      <c r="G44406" s="1"/>
    </row>
    <row r="44407">
      <c r="B44407" s="36"/>
      <c r="C44407" s="36"/>
      <c r="E44407" s="1"/>
      <c r="F44407" s="1"/>
      <c r="G44407" s="1"/>
    </row>
    <row r="44408">
      <c r="B44408" s="36"/>
      <c r="C44408" s="36"/>
      <c r="E44408" s="1"/>
      <c r="F44408" s="1"/>
      <c r="G44408" s="1"/>
    </row>
    <row r="44409">
      <c r="B44409" s="36"/>
      <c r="C44409" s="36"/>
      <c r="E44409" s="1"/>
      <c r="F44409" s="1"/>
      <c r="G44409" s="1"/>
    </row>
    <row r="44410">
      <c r="B44410" s="36"/>
      <c r="C44410" s="36"/>
      <c r="E44410" s="1"/>
      <c r="F44410" s="1"/>
      <c r="G44410" s="1"/>
    </row>
    <row r="44411">
      <c r="B44411" s="36"/>
      <c r="C44411" s="36"/>
      <c r="E44411" s="1"/>
      <c r="F44411" s="1"/>
      <c r="G44411" s="1"/>
    </row>
    <row r="44412">
      <c r="B44412" s="36"/>
      <c r="C44412" s="36"/>
      <c r="E44412" s="1"/>
      <c r="F44412" s="1"/>
      <c r="G44412" s="1"/>
    </row>
    <row r="44413">
      <c r="B44413" s="36"/>
      <c r="C44413" s="36"/>
      <c r="E44413" s="1"/>
      <c r="F44413" s="1"/>
      <c r="G44413" s="1"/>
    </row>
    <row r="44414">
      <c r="B44414" s="36"/>
      <c r="C44414" s="36"/>
      <c r="E44414" s="1"/>
      <c r="F44414" s="1"/>
      <c r="G44414" s="1"/>
    </row>
    <row r="44415">
      <c r="B44415" s="36"/>
      <c r="C44415" s="36"/>
      <c r="E44415" s="1"/>
      <c r="F44415" s="1"/>
      <c r="G44415" s="1"/>
    </row>
    <row r="44416">
      <c r="B44416" s="36"/>
      <c r="C44416" s="36"/>
      <c r="E44416" s="1"/>
      <c r="F44416" s="1"/>
      <c r="G44416" s="1"/>
    </row>
    <row r="44417">
      <c r="B44417" s="36"/>
      <c r="C44417" s="36"/>
      <c r="E44417" s="1"/>
      <c r="F44417" s="1"/>
      <c r="G44417" s="1"/>
    </row>
    <row r="44418">
      <c r="B44418" s="36"/>
      <c r="C44418" s="36"/>
      <c r="E44418" s="1"/>
      <c r="F44418" s="1"/>
      <c r="G44418" s="1"/>
    </row>
    <row r="44419">
      <c r="B44419" s="36"/>
      <c r="C44419" s="36"/>
      <c r="E44419" s="1"/>
      <c r="F44419" s="1"/>
      <c r="G44419" s="1"/>
    </row>
    <row r="44420">
      <c r="B44420" s="36"/>
      <c r="C44420" s="36"/>
      <c r="E44420" s="1"/>
      <c r="F44420" s="1"/>
      <c r="G44420" s="1"/>
    </row>
    <row r="44421">
      <c r="B44421" s="36"/>
      <c r="C44421" s="36"/>
      <c r="E44421" s="1"/>
      <c r="F44421" s="1"/>
      <c r="G44421" s="1"/>
    </row>
    <row r="44422">
      <c r="B44422" s="36"/>
      <c r="C44422" s="36"/>
      <c r="E44422" s="1"/>
      <c r="F44422" s="1"/>
      <c r="G44422" s="1"/>
    </row>
    <row r="44423">
      <c r="B44423" s="36"/>
      <c r="C44423" s="36"/>
      <c r="E44423" s="1"/>
      <c r="F44423" s="1"/>
      <c r="G44423" s="1"/>
    </row>
    <row r="44424">
      <c r="B44424" s="36"/>
      <c r="C44424" s="36"/>
      <c r="E44424" s="1"/>
      <c r="F44424" s="1"/>
      <c r="G44424" s="1"/>
    </row>
    <row r="44425">
      <c r="B44425" s="36"/>
      <c r="C44425" s="36"/>
      <c r="E44425" s="1"/>
      <c r="F44425" s="1"/>
      <c r="G44425" s="1"/>
    </row>
    <row r="44426">
      <c r="B44426" s="36"/>
      <c r="C44426" s="36"/>
      <c r="E44426" s="1"/>
      <c r="F44426" s="1"/>
      <c r="G44426" s="1"/>
    </row>
    <row r="44427">
      <c r="B44427" s="36"/>
      <c r="C44427" s="36"/>
      <c r="E44427" s="1"/>
      <c r="F44427" s="1"/>
      <c r="G44427" s="1"/>
    </row>
    <row r="44428">
      <c r="B44428" s="36"/>
      <c r="C44428" s="36"/>
      <c r="E44428" s="1"/>
      <c r="F44428" s="1"/>
      <c r="G44428" s="1"/>
    </row>
    <row r="44429">
      <c r="B44429" s="36"/>
      <c r="C44429" s="36"/>
      <c r="E44429" s="1"/>
      <c r="F44429" s="1"/>
      <c r="G44429" s="1"/>
    </row>
    <row r="44430">
      <c r="B44430" s="36"/>
      <c r="C44430" s="36"/>
      <c r="E44430" s="1"/>
      <c r="F44430" s="1"/>
      <c r="G44430" s="1"/>
    </row>
    <row r="44431">
      <c r="B44431" s="36"/>
      <c r="C44431" s="36"/>
      <c r="E44431" s="1"/>
      <c r="F44431" s="1"/>
      <c r="G44431" s="1"/>
    </row>
    <row r="44432">
      <c r="B44432" s="36"/>
      <c r="C44432" s="36"/>
      <c r="E44432" s="1"/>
      <c r="F44432" s="1"/>
      <c r="G44432" s="1"/>
    </row>
    <row r="44433">
      <c r="B44433" s="36"/>
      <c r="C44433" s="36"/>
      <c r="E44433" s="1"/>
      <c r="F44433" s="1"/>
      <c r="G44433" s="1"/>
    </row>
    <row r="44434">
      <c r="B44434" s="36"/>
      <c r="C44434" s="36"/>
      <c r="E44434" s="1"/>
      <c r="F44434" s="1"/>
      <c r="G44434" s="1"/>
    </row>
    <row r="44435">
      <c r="B44435" s="36"/>
      <c r="C44435" s="36"/>
      <c r="E44435" s="1"/>
      <c r="F44435" s="1"/>
      <c r="G44435" s="1"/>
    </row>
    <row r="44436">
      <c r="B44436" s="36"/>
      <c r="C44436" s="36"/>
      <c r="E44436" s="1"/>
      <c r="F44436" s="1"/>
      <c r="G44436" s="1"/>
    </row>
    <row r="44437">
      <c r="B44437" s="36"/>
      <c r="C44437" s="36"/>
      <c r="E44437" s="1"/>
      <c r="F44437" s="1"/>
      <c r="G44437" s="1"/>
    </row>
    <row r="44438">
      <c r="B44438" s="36"/>
      <c r="C44438" s="36"/>
      <c r="E44438" s="1"/>
      <c r="F44438" s="1"/>
      <c r="G44438" s="1"/>
    </row>
    <row r="44439">
      <c r="B44439" s="36"/>
      <c r="C44439" s="36"/>
      <c r="E44439" s="1"/>
      <c r="F44439" s="1"/>
      <c r="G44439" s="1"/>
    </row>
    <row r="44440">
      <c r="B44440" s="36"/>
      <c r="C44440" s="36"/>
      <c r="E44440" s="1"/>
      <c r="F44440" s="1"/>
      <c r="G44440" s="1"/>
    </row>
    <row r="44441">
      <c r="B44441" s="36"/>
      <c r="C44441" s="36"/>
      <c r="E44441" s="1"/>
      <c r="F44441" s="1"/>
      <c r="G44441" s="1"/>
    </row>
    <row r="44442">
      <c r="B44442" s="36"/>
      <c r="C44442" s="36"/>
      <c r="E44442" s="1"/>
      <c r="F44442" s="1"/>
      <c r="G44442" s="1"/>
    </row>
    <row r="44443">
      <c r="B44443" s="36"/>
      <c r="C44443" s="36"/>
      <c r="E44443" s="1"/>
      <c r="F44443" s="1"/>
      <c r="G44443" s="1"/>
    </row>
    <row r="44444">
      <c r="B44444" s="36"/>
      <c r="C44444" s="36"/>
      <c r="E44444" s="1"/>
      <c r="F44444" s="1"/>
      <c r="G44444" s="1"/>
    </row>
    <row r="44445">
      <c r="B44445" s="36"/>
      <c r="C44445" s="36"/>
      <c r="E44445" s="1"/>
      <c r="F44445" s="1"/>
      <c r="G44445" s="1"/>
    </row>
    <row r="44446">
      <c r="B44446" s="36"/>
      <c r="C44446" s="36"/>
      <c r="E44446" s="1"/>
      <c r="F44446" s="1"/>
      <c r="G44446" s="1"/>
    </row>
    <row r="44447">
      <c r="B44447" s="36"/>
      <c r="C44447" s="36"/>
      <c r="E44447" s="1"/>
      <c r="F44447" s="1"/>
      <c r="G44447" s="1"/>
    </row>
    <row r="44448">
      <c r="B44448" s="36"/>
      <c r="C44448" s="36"/>
      <c r="E44448" s="1"/>
      <c r="F44448" s="1"/>
      <c r="G44448" s="1"/>
    </row>
    <row r="44449">
      <c r="B44449" s="36"/>
      <c r="C44449" s="36"/>
      <c r="E44449" s="1"/>
      <c r="F44449" s="1"/>
      <c r="G44449" s="1"/>
    </row>
    <row r="44450">
      <c r="B44450" s="36"/>
      <c r="C44450" s="36"/>
      <c r="E44450" s="1"/>
      <c r="F44450" s="1"/>
      <c r="G44450" s="1"/>
    </row>
    <row r="44451">
      <c r="B44451" s="36"/>
      <c r="C44451" s="36"/>
      <c r="E44451" s="1"/>
      <c r="F44451" s="1"/>
      <c r="G44451" s="1"/>
    </row>
    <row r="44452">
      <c r="B44452" s="36"/>
      <c r="C44452" s="36"/>
      <c r="E44452" s="1"/>
      <c r="F44452" s="1"/>
      <c r="G44452" s="1"/>
    </row>
    <row r="44453">
      <c r="B44453" s="36"/>
      <c r="C44453" s="36"/>
      <c r="E44453" s="1"/>
      <c r="F44453" s="1"/>
      <c r="G44453" s="1"/>
    </row>
    <row r="44454">
      <c r="B44454" s="36"/>
      <c r="C44454" s="36"/>
      <c r="E44454" s="1"/>
      <c r="F44454" s="1"/>
      <c r="G44454" s="1"/>
    </row>
    <row r="44455">
      <c r="B44455" s="36"/>
      <c r="C44455" s="36"/>
      <c r="E44455" s="1"/>
      <c r="F44455" s="1"/>
      <c r="G44455" s="1"/>
    </row>
    <row r="44456">
      <c r="B44456" s="36"/>
      <c r="C44456" s="36"/>
      <c r="E44456" s="1"/>
      <c r="F44456" s="1"/>
      <c r="G44456" s="1"/>
    </row>
    <row r="44457">
      <c r="B44457" s="36"/>
      <c r="C44457" s="36"/>
      <c r="E44457" s="1"/>
      <c r="F44457" s="1"/>
      <c r="G44457" s="1"/>
    </row>
    <row r="44458">
      <c r="B44458" s="36"/>
      <c r="C44458" s="36"/>
      <c r="E44458" s="1"/>
      <c r="F44458" s="1"/>
      <c r="G44458" s="1"/>
    </row>
    <row r="44459">
      <c r="B44459" s="36"/>
      <c r="C44459" s="36"/>
      <c r="E44459" s="1"/>
      <c r="F44459" s="1"/>
      <c r="G44459" s="1"/>
    </row>
    <row r="44460">
      <c r="B44460" s="36"/>
      <c r="C44460" s="36"/>
      <c r="E44460" s="1"/>
      <c r="F44460" s="1"/>
      <c r="G44460" s="1"/>
    </row>
    <row r="44461">
      <c r="B44461" s="36"/>
      <c r="C44461" s="36"/>
      <c r="E44461" s="1"/>
      <c r="F44461" s="1"/>
      <c r="G44461" s="1"/>
    </row>
    <row r="44462">
      <c r="B44462" s="36"/>
      <c r="C44462" s="36"/>
      <c r="E44462" s="1"/>
      <c r="F44462" s="1"/>
      <c r="G44462" s="1"/>
    </row>
    <row r="44463">
      <c r="B44463" s="36"/>
      <c r="C44463" s="36"/>
      <c r="E44463" s="1"/>
      <c r="F44463" s="1"/>
      <c r="G44463" s="1"/>
    </row>
    <row r="44464">
      <c r="B44464" s="36"/>
      <c r="C44464" s="36"/>
      <c r="E44464" s="1"/>
      <c r="F44464" s="1"/>
      <c r="G44464" s="1"/>
    </row>
    <row r="44465">
      <c r="B44465" s="36"/>
      <c r="C44465" s="36"/>
      <c r="E44465" s="1"/>
      <c r="F44465" s="1"/>
      <c r="G44465" s="1"/>
    </row>
    <row r="44466">
      <c r="B44466" s="36"/>
      <c r="C44466" s="36"/>
      <c r="E44466" s="1"/>
      <c r="F44466" s="1"/>
      <c r="G44466" s="1"/>
    </row>
    <row r="44467">
      <c r="B44467" s="36"/>
      <c r="C44467" s="36"/>
      <c r="E44467" s="1"/>
      <c r="F44467" s="1"/>
      <c r="G44467" s="1"/>
    </row>
    <row r="44468">
      <c r="B44468" s="36"/>
      <c r="C44468" s="36"/>
      <c r="E44468" s="1"/>
      <c r="F44468" s="1"/>
      <c r="G44468" s="1"/>
    </row>
    <row r="44469">
      <c r="B44469" s="36"/>
      <c r="C44469" s="36"/>
      <c r="E44469" s="1"/>
      <c r="F44469" s="1"/>
      <c r="G44469" s="1"/>
    </row>
    <row r="44470">
      <c r="B44470" s="36"/>
      <c r="C44470" s="36"/>
      <c r="E44470" s="1"/>
      <c r="F44470" s="1"/>
      <c r="G44470" s="1"/>
    </row>
    <row r="44471">
      <c r="B44471" s="36"/>
      <c r="C44471" s="36"/>
      <c r="E44471" s="1"/>
      <c r="F44471" s="1"/>
      <c r="G44471" s="1"/>
    </row>
    <row r="44472">
      <c r="B44472" s="36"/>
      <c r="C44472" s="36"/>
      <c r="E44472" s="1"/>
      <c r="F44472" s="1"/>
      <c r="G44472" s="1"/>
    </row>
    <row r="44473">
      <c r="B44473" s="36"/>
      <c r="C44473" s="36"/>
      <c r="E44473" s="1"/>
      <c r="F44473" s="1"/>
      <c r="G44473" s="1"/>
    </row>
    <row r="44474">
      <c r="B44474" s="36"/>
      <c r="C44474" s="36"/>
      <c r="E44474" s="1"/>
      <c r="F44474" s="1"/>
      <c r="G44474" s="1"/>
    </row>
    <row r="44475">
      <c r="B44475" s="36"/>
      <c r="C44475" s="36"/>
      <c r="E44475" s="1"/>
      <c r="F44475" s="1"/>
      <c r="G44475" s="1"/>
    </row>
    <row r="44476">
      <c r="B44476" s="36"/>
      <c r="C44476" s="36"/>
      <c r="E44476" s="1"/>
      <c r="F44476" s="1"/>
      <c r="G44476" s="1"/>
    </row>
    <row r="44477">
      <c r="B44477" s="36"/>
      <c r="C44477" s="36"/>
      <c r="E44477" s="1"/>
      <c r="F44477" s="1"/>
      <c r="G44477" s="1"/>
    </row>
    <row r="44478">
      <c r="B44478" s="36"/>
      <c r="C44478" s="36"/>
      <c r="E44478" s="1"/>
      <c r="F44478" s="1"/>
      <c r="G44478" s="1"/>
    </row>
    <row r="44479">
      <c r="B44479" s="36"/>
      <c r="C44479" s="36"/>
      <c r="E44479" s="1"/>
      <c r="F44479" s="1"/>
      <c r="G44479" s="1"/>
    </row>
    <row r="44480">
      <c r="B44480" s="36"/>
      <c r="C44480" s="36"/>
      <c r="E44480" s="1"/>
      <c r="F44480" s="1"/>
      <c r="G44480" s="1"/>
    </row>
    <row r="44481">
      <c r="B44481" s="36"/>
      <c r="C44481" s="36"/>
      <c r="E44481" s="1"/>
      <c r="F44481" s="1"/>
      <c r="G44481" s="1"/>
    </row>
    <row r="44482">
      <c r="B44482" s="36"/>
      <c r="C44482" s="36"/>
      <c r="E44482" s="1"/>
      <c r="F44482" s="1"/>
      <c r="G44482" s="1"/>
    </row>
    <row r="44483">
      <c r="B44483" s="36"/>
      <c r="C44483" s="36"/>
      <c r="E44483" s="1"/>
      <c r="F44483" s="1"/>
      <c r="G44483" s="1"/>
    </row>
    <row r="44484">
      <c r="B44484" s="36"/>
      <c r="C44484" s="36"/>
      <c r="E44484" s="1"/>
      <c r="F44484" s="1"/>
      <c r="G44484" s="1"/>
    </row>
    <row r="44485">
      <c r="B44485" s="36"/>
      <c r="C44485" s="36"/>
      <c r="E44485" s="1"/>
      <c r="F44485" s="1"/>
      <c r="G44485" s="1"/>
    </row>
    <row r="44486">
      <c r="B44486" s="36"/>
      <c r="C44486" s="36"/>
      <c r="E44486" s="1"/>
      <c r="F44486" s="1"/>
      <c r="G44486" s="1"/>
    </row>
    <row r="44487">
      <c r="B44487" s="36"/>
      <c r="C44487" s="36"/>
      <c r="E44487" s="1"/>
      <c r="F44487" s="1"/>
      <c r="G44487" s="1"/>
    </row>
    <row r="44488">
      <c r="B44488" s="36"/>
      <c r="C44488" s="36"/>
      <c r="E44488" s="1"/>
      <c r="F44488" s="1"/>
      <c r="G44488" s="1"/>
    </row>
    <row r="44489">
      <c r="B44489" s="36"/>
      <c r="C44489" s="36"/>
      <c r="E44489" s="1"/>
      <c r="F44489" s="1"/>
      <c r="G44489" s="1"/>
    </row>
    <row r="44490">
      <c r="B44490" s="36"/>
      <c r="C44490" s="36"/>
      <c r="E44490" s="1"/>
      <c r="F44490" s="1"/>
      <c r="G44490" s="1"/>
    </row>
    <row r="44491">
      <c r="B44491" s="36"/>
      <c r="C44491" s="36"/>
      <c r="E44491" s="1"/>
      <c r="F44491" s="1"/>
      <c r="G44491" s="1"/>
    </row>
    <row r="44492">
      <c r="B44492" s="36"/>
      <c r="C44492" s="36"/>
      <c r="E44492" s="1"/>
      <c r="F44492" s="1"/>
      <c r="G44492" s="1"/>
    </row>
    <row r="44493">
      <c r="B44493" s="36"/>
      <c r="C44493" s="36"/>
      <c r="E44493" s="1"/>
      <c r="F44493" s="1"/>
      <c r="G44493" s="1"/>
    </row>
    <row r="44494">
      <c r="B44494" s="36"/>
      <c r="C44494" s="36"/>
      <c r="E44494" s="1"/>
      <c r="F44494" s="1"/>
      <c r="G44494" s="1"/>
    </row>
    <row r="44495">
      <c r="B44495" s="36"/>
      <c r="C44495" s="36"/>
      <c r="E44495" s="1"/>
      <c r="F44495" s="1"/>
      <c r="G44495" s="1"/>
    </row>
    <row r="44496">
      <c r="B44496" s="36"/>
      <c r="C44496" s="36"/>
      <c r="E44496" s="1"/>
      <c r="F44496" s="1"/>
      <c r="G44496" s="1"/>
    </row>
    <row r="44497">
      <c r="B44497" s="36"/>
      <c r="C44497" s="36"/>
      <c r="E44497" s="1"/>
      <c r="F44497" s="1"/>
      <c r="G44497" s="1"/>
    </row>
    <row r="44498">
      <c r="B44498" s="36"/>
      <c r="C44498" s="36"/>
      <c r="E44498" s="1"/>
      <c r="F44498" s="1"/>
      <c r="G44498" s="1"/>
    </row>
    <row r="44499">
      <c r="B44499" s="36"/>
      <c r="C44499" s="36"/>
      <c r="E44499" s="1"/>
      <c r="F44499" s="1"/>
      <c r="G44499" s="1"/>
    </row>
    <row r="44500">
      <c r="B44500" s="36"/>
      <c r="C44500" s="36"/>
      <c r="E44500" s="1"/>
      <c r="F44500" s="1"/>
      <c r="G44500" s="1"/>
    </row>
    <row r="44501">
      <c r="B44501" s="36"/>
      <c r="C44501" s="36"/>
      <c r="E44501" s="1"/>
      <c r="F44501" s="1"/>
      <c r="G44501" s="1"/>
    </row>
    <row r="44502">
      <c r="B44502" s="36"/>
      <c r="C44502" s="36"/>
      <c r="E44502" s="1"/>
      <c r="F44502" s="1"/>
      <c r="G44502" s="1"/>
    </row>
    <row r="44503">
      <c r="B44503" s="36"/>
      <c r="C44503" s="36"/>
      <c r="E44503" s="1"/>
      <c r="F44503" s="1"/>
      <c r="G44503" s="1"/>
    </row>
    <row r="44504">
      <c r="B44504" s="36"/>
      <c r="C44504" s="36"/>
      <c r="E44504" s="1"/>
      <c r="F44504" s="1"/>
      <c r="G44504" s="1"/>
    </row>
    <row r="44505">
      <c r="B44505" s="36"/>
      <c r="C44505" s="36"/>
      <c r="E44505" s="1"/>
      <c r="F44505" s="1"/>
      <c r="G44505" s="1"/>
    </row>
    <row r="44506">
      <c r="B44506" s="36"/>
      <c r="C44506" s="36"/>
      <c r="E44506" s="1"/>
      <c r="F44506" s="1"/>
      <c r="G44506" s="1"/>
    </row>
    <row r="44507">
      <c r="B44507" s="36"/>
      <c r="C44507" s="36"/>
      <c r="E44507" s="1"/>
      <c r="F44507" s="1"/>
      <c r="G44507" s="1"/>
    </row>
    <row r="44508">
      <c r="B44508" s="36"/>
      <c r="C44508" s="36"/>
      <c r="E44508" s="1"/>
      <c r="F44508" s="1"/>
      <c r="G44508" s="1"/>
    </row>
    <row r="44509">
      <c r="B44509" s="36"/>
      <c r="C44509" s="36"/>
      <c r="E44509" s="1"/>
      <c r="F44509" s="1"/>
      <c r="G44509" s="1"/>
    </row>
    <row r="44510">
      <c r="B44510" s="36"/>
      <c r="C44510" s="36"/>
      <c r="E44510" s="1"/>
      <c r="F44510" s="1"/>
      <c r="G44510" s="1"/>
    </row>
    <row r="44511">
      <c r="B44511" s="36"/>
      <c r="C44511" s="36"/>
      <c r="E44511" s="1"/>
      <c r="F44511" s="1"/>
      <c r="G44511" s="1"/>
    </row>
    <row r="44512">
      <c r="B44512" s="36"/>
      <c r="C44512" s="36"/>
      <c r="E44512" s="1"/>
      <c r="F44512" s="1"/>
      <c r="G44512" s="1"/>
    </row>
    <row r="44513">
      <c r="B44513" s="36"/>
      <c r="C44513" s="36"/>
      <c r="E44513" s="1"/>
      <c r="F44513" s="1"/>
      <c r="G44513" s="1"/>
    </row>
    <row r="44514">
      <c r="B44514" s="36"/>
      <c r="C44514" s="36"/>
      <c r="E44514" s="1"/>
      <c r="F44514" s="1"/>
      <c r="G44514" s="1"/>
    </row>
    <row r="44515">
      <c r="B44515" s="36"/>
      <c r="C44515" s="36"/>
      <c r="E44515" s="1"/>
      <c r="F44515" s="1"/>
      <c r="G44515" s="1"/>
    </row>
    <row r="44516">
      <c r="B44516" s="36"/>
      <c r="C44516" s="36"/>
      <c r="E44516" s="1"/>
      <c r="F44516" s="1"/>
      <c r="G44516" s="1"/>
    </row>
    <row r="44517">
      <c r="B44517" s="36"/>
      <c r="C44517" s="36"/>
      <c r="E44517" s="1"/>
      <c r="F44517" s="1"/>
      <c r="G44517" s="1"/>
    </row>
    <row r="44518">
      <c r="B44518" s="36"/>
      <c r="C44518" s="36"/>
      <c r="E44518" s="1"/>
      <c r="F44518" s="1"/>
      <c r="G44518" s="1"/>
    </row>
    <row r="44519">
      <c r="B44519" s="36"/>
      <c r="C44519" s="36"/>
      <c r="E44519" s="1"/>
      <c r="F44519" s="1"/>
      <c r="G44519" s="1"/>
    </row>
    <row r="44520">
      <c r="B44520" s="36"/>
      <c r="C44520" s="36"/>
      <c r="E44520" s="1"/>
      <c r="F44520" s="1"/>
      <c r="G44520" s="1"/>
    </row>
    <row r="44521">
      <c r="B44521" s="36"/>
      <c r="C44521" s="36"/>
      <c r="E44521" s="1"/>
      <c r="F44521" s="1"/>
      <c r="G44521" s="1"/>
    </row>
    <row r="44522">
      <c r="B44522" s="36"/>
      <c r="C44522" s="36"/>
      <c r="E44522" s="1"/>
      <c r="F44522" s="1"/>
      <c r="G44522" s="1"/>
    </row>
    <row r="44523">
      <c r="B44523" s="36"/>
      <c r="C44523" s="36"/>
      <c r="E44523" s="1"/>
      <c r="F44523" s="1"/>
      <c r="G44523" s="1"/>
    </row>
    <row r="44524">
      <c r="B44524" s="36"/>
      <c r="C44524" s="36"/>
      <c r="E44524" s="1"/>
      <c r="F44524" s="1"/>
      <c r="G44524" s="1"/>
    </row>
    <row r="44525">
      <c r="B44525" s="36"/>
      <c r="C44525" s="36"/>
      <c r="E44525" s="1"/>
      <c r="F44525" s="1"/>
      <c r="G44525" s="1"/>
    </row>
    <row r="44526">
      <c r="B44526" s="36"/>
      <c r="C44526" s="36"/>
      <c r="E44526" s="1"/>
      <c r="F44526" s="1"/>
      <c r="G44526" s="1"/>
    </row>
    <row r="44527">
      <c r="B44527" s="36"/>
      <c r="C44527" s="36"/>
      <c r="E44527" s="1"/>
      <c r="F44527" s="1"/>
      <c r="G44527" s="1"/>
    </row>
    <row r="44528">
      <c r="B44528" s="36"/>
      <c r="C44528" s="36"/>
      <c r="E44528" s="1"/>
      <c r="F44528" s="1"/>
      <c r="G44528" s="1"/>
    </row>
    <row r="44529">
      <c r="B44529" s="36"/>
      <c r="C44529" s="36"/>
      <c r="E44529" s="1"/>
      <c r="F44529" s="1"/>
      <c r="G44529" s="1"/>
    </row>
    <row r="44530">
      <c r="B44530" s="36"/>
      <c r="C44530" s="36"/>
      <c r="E44530" s="1"/>
      <c r="F44530" s="1"/>
      <c r="G44530" s="1"/>
    </row>
    <row r="44531">
      <c r="B44531" s="36"/>
      <c r="C44531" s="36"/>
      <c r="E44531" s="1"/>
      <c r="F44531" s="1"/>
      <c r="G44531" s="1"/>
    </row>
    <row r="44532">
      <c r="B44532" s="36"/>
      <c r="C44532" s="36"/>
      <c r="E44532" s="1"/>
      <c r="F44532" s="1"/>
      <c r="G44532" s="1"/>
    </row>
    <row r="44533">
      <c r="B44533" s="36"/>
      <c r="C44533" s="36"/>
      <c r="E44533" s="1"/>
      <c r="F44533" s="1"/>
      <c r="G44533" s="1"/>
    </row>
    <row r="44534">
      <c r="B44534" s="36"/>
      <c r="C44534" s="36"/>
      <c r="E44534" s="1"/>
      <c r="F44534" s="1"/>
      <c r="G44534" s="1"/>
    </row>
    <row r="44535">
      <c r="B44535" s="36"/>
      <c r="C44535" s="36"/>
      <c r="E44535" s="1"/>
      <c r="F44535" s="1"/>
      <c r="G44535" s="1"/>
    </row>
    <row r="44536">
      <c r="B44536" s="36"/>
      <c r="C44536" s="36"/>
      <c r="E44536" s="1"/>
      <c r="F44536" s="1"/>
      <c r="G44536" s="1"/>
    </row>
    <row r="44537">
      <c r="B44537" s="36"/>
      <c r="C44537" s="36"/>
      <c r="E44537" s="1"/>
      <c r="F44537" s="1"/>
      <c r="G44537" s="1"/>
    </row>
    <row r="44538">
      <c r="B44538" s="36"/>
      <c r="C44538" s="36"/>
      <c r="E44538" s="1"/>
      <c r="F44538" s="1"/>
      <c r="G44538" s="1"/>
    </row>
    <row r="44539">
      <c r="B44539" s="36"/>
      <c r="C44539" s="36"/>
      <c r="E44539" s="1"/>
      <c r="F44539" s="1"/>
      <c r="G44539" s="1"/>
    </row>
    <row r="44540">
      <c r="B44540" s="36"/>
      <c r="C44540" s="36"/>
      <c r="E44540" s="1"/>
      <c r="F44540" s="1"/>
      <c r="G44540" s="1"/>
    </row>
    <row r="44541">
      <c r="B44541" s="36"/>
      <c r="C44541" s="36"/>
      <c r="E44541" s="1"/>
      <c r="F44541" s="1"/>
      <c r="G44541" s="1"/>
    </row>
    <row r="44542">
      <c r="B44542" s="36"/>
      <c r="C44542" s="36"/>
      <c r="E44542" s="1"/>
      <c r="F44542" s="1"/>
      <c r="G44542" s="1"/>
    </row>
    <row r="44543">
      <c r="B44543" s="36"/>
      <c r="C44543" s="36"/>
      <c r="E44543" s="1"/>
      <c r="F44543" s="1"/>
      <c r="G44543" s="1"/>
    </row>
    <row r="44544">
      <c r="B44544" s="36"/>
      <c r="C44544" s="36"/>
      <c r="E44544" s="1"/>
      <c r="F44544" s="1"/>
      <c r="G44544" s="1"/>
    </row>
    <row r="44545">
      <c r="B44545" s="36"/>
      <c r="C44545" s="36"/>
      <c r="E44545" s="1"/>
      <c r="F44545" s="1"/>
      <c r="G44545" s="1"/>
    </row>
    <row r="44546">
      <c r="B44546" s="36"/>
      <c r="C44546" s="36"/>
      <c r="E44546" s="1"/>
      <c r="F44546" s="1"/>
      <c r="G44546" s="1"/>
    </row>
    <row r="44547">
      <c r="B44547" s="36"/>
      <c r="C44547" s="36"/>
      <c r="E44547" s="1"/>
      <c r="F44547" s="1"/>
      <c r="G44547" s="1"/>
    </row>
    <row r="44548">
      <c r="B44548" s="36"/>
      <c r="C44548" s="36"/>
      <c r="E44548" s="1"/>
      <c r="F44548" s="1"/>
      <c r="G44548" s="1"/>
    </row>
    <row r="44549">
      <c r="B44549" s="36"/>
      <c r="C44549" s="36"/>
      <c r="E44549" s="1"/>
      <c r="F44549" s="1"/>
      <c r="G44549" s="1"/>
    </row>
    <row r="44550">
      <c r="B44550" s="36"/>
      <c r="C44550" s="36"/>
      <c r="E44550" s="1"/>
      <c r="F44550" s="1"/>
      <c r="G44550" s="1"/>
    </row>
    <row r="44551">
      <c r="B44551" s="36"/>
      <c r="C44551" s="36"/>
      <c r="E44551" s="1"/>
      <c r="F44551" s="1"/>
      <c r="G44551" s="1"/>
    </row>
    <row r="44552">
      <c r="B44552" s="36"/>
      <c r="C44552" s="36"/>
      <c r="E44552" s="1"/>
      <c r="F44552" s="1"/>
      <c r="G44552" s="1"/>
    </row>
    <row r="44553">
      <c r="B44553" s="36"/>
      <c r="C44553" s="36"/>
      <c r="E44553" s="1"/>
      <c r="F44553" s="1"/>
      <c r="G44553" s="1"/>
    </row>
    <row r="44554">
      <c r="B44554" s="36"/>
      <c r="C44554" s="36"/>
      <c r="E44554" s="1"/>
      <c r="F44554" s="1"/>
      <c r="G44554" s="1"/>
    </row>
    <row r="44555">
      <c r="B44555" s="36"/>
      <c r="C44555" s="36"/>
      <c r="E44555" s="1"/>
      <c r="F44555" s="1"/>
      <c r="G44555" s="1"/>
    </row>
    <row r="44556">
      <c r="B44556" s="36"/>
      <c r="C44556" s="36"/>
      <c r="E44556" s="1"/>
      <c r="F44556" s="1"/>
      <c r="G44556" s="1"/>
    </row>
    <row r="44557">
      <c r="B44557" s="36"/>
      <c r="C44557" s="36"/>
      <c r="E44557" s="1"/>
      <c r="F44557" s="1"/>
      <c r="G44557" s="1"/>
    </row>
    <row r="44558">
      <c r="B44558" s="36"/>
      <c r="C44558" s="36"/>
      <c r="E44558" s="1"/>
      <c r="F44558" s="1"/>
      <c r="G44558" s="1"/>
    </row>
    <row r="44559">
      <c r="B44559" s="36"/>
      <c r="C44559" s="36"/>
      <c r="E44559" s="1"/>
      <c r="F44559" s="1"/>
      <c r="G44559" s="1"/>
    </row>
    <row r="44560">
      <c r="B44560" s="36"/>
      <c r="C44560" s="36"/>
      <c r="E44560" s="1"/>
      <c r="F44560" s="1"/>
      <c r="G44560" s="1"/>
    </row>
    <row r="44561">
      <c r="B44561" s="36"/>
      <c r="C44561" s="36"/>
      <c r="E44561" s="1"/>
      <c r="F44561" s="1"/>
      <c r="G44561" s="1"/>
    </row>
    <row r="44562">
      <c r="B44562" s="36"/>
      <c r="C44562" s="36"/>
      <c r="E44562" s="1"/>
      <c r="F44562" s="1"/>
      <c r="G44562" s="1"/>
    </row>
    <row r="44563">
      <c r="B44563" s="36"/>
      <c r="C44563" s="36"/>
      <c r="E44563" s="1"/>
      <c r="F44563" s="1"/>
      <c r="G44563" s="1"/>
    </row>
    <row r="44564">
      <c r="B44564" s="36"/>
      <c r="C44564" s="36"/>
      <c r="E44564" s="1"/>
      <c r="F44564" s="1"/>
      <c r="G44564" s="1"/>
    </row>
    <row r="44565">
      <c r="B44565" s="36"/>
      <c r="C44565" s="36"/>
      <c r="E44565" s="1"/>
      <c r="F44565" s="1"/>
      <c r="G44565" s="1"/>
    </row>
    <row r="44566">
      <c r="B44566" s="36"/>
      <c r="C44566" s="36"/>
      <c r="E44566" s="1"/>
      <c r="F44566" s="1"/>
      <c r="G44566" s="1"/>
    </row>
    <row r="44567">
      <c r="B44567" s="36"/>
      <c r="C44567" s="36"/>
      <c r="E44567" s="1"/>
      <c r="F44567" s="1"/>
      <c r="G44567" s="1"/>
    </row>
    <row r="44568">
      <c r="B44568" s="36"/>
      <c r="C44568" s="36"/>
      <c r="E44568" s="1"/>
      <c r="F44568" s="1"/>
      <c r="G44568" s="1"/>
    </row>
    <row r="44569">
      <c r="B44569" s="36"/>
      <c r="C44569" s="36"/>
      <c r="E44569" s="1"/>
      <c r="F44569" s="1"/>
      <c r="G44569" s="1"/>
    </row>
    <row r="44570">
      <c r="B44570" s="36"/>
      <c r="C44570" s="36"/>
      <c r="E44570" s="1"/>
      <c r="F44570" s="1"/>
      <c r="G44570" s="1"/>
    </row>
    <row r="44571">
      <c r="B44571" s="36"/>
      <c r="C44571" s="36"/>
      <c r="E44571" s="1"/>
      <c r="F44571" s="1"/>
      <c r="G44571" s="1"/>
    </row>
    <row r="44572">
      <c r="B44572" s="36"/>
      <c r="C44572" s="36"/>
      <c r="E44572" s="1"/>
      <c r="F44572" s="1"/>
      <c r="G44572" s="1"/>
    </row>
    <row r="44573">
      <c r="B44573" s="36"/>
      <c r="C44573" s="36"/>
      <c r="E44573" s="1"/>
      <c r="F44573" s="1"/>
      <c r="G44573" s="1"/>
    </row>
    <row r="44574">
      <c r="B44574" s="36"/>
      <c r="C44574" s="36"/>
      <c r="E44574" s="1"/>
      <c r="F44574" s="1"/>
      <c r="G44574" s="1"/>
    </row>
    <row r="44575">
      <c r="B44575" s="36"/>
      <c r="C44575" s="36"/>
      <c r="E44575" s="1"/>
      <c r="F44575" s="1"/>
      <c r="G44575" s="1"/>
    </row>
    <row r="44576">
      <c r="B44576" s="36"/>
      <c r="C44576" s="36"/>
      <c r="E44576" s="1"/>
      <c r="F44576" s="1"/>
      <c r="G44576" s="1"/>
    </row>
    <row r="44577">
      <c r="B44577" s="36"/>
      <c r="C44577" s="36"/>
      <c r="E44577" s="1"/>
      <c r="F44577" s="1"/>
      <c r="G44577" s="1"/>
    </row>
    <row r="44578">
      <c r="B44578" s="36"/>
      <c r="C44578" s="36"/>
      <c r="E44578" s="1"/>
      <c r="F44578" s="1"/>
      <c r="G44578" s="1"/>
    </row>
    <row r="44579">
      <c r="B44579" s="36"/>
      <c r="C44579" s="36"/>
      <c r="E44579" s="1"/>
      <c r="F44579" s="1"/>
      <c r="G44579" s="1"/>
    </row>
    <row r="44580">
      <c r="B44580" s="36"/>
      <c r="C44580" s="36"/>
      <c r="E44580" s="1"/>
      <c r="F44580" s="1"/>
      <c r="G44580" s="1"/>
    </row>
    <row r="44581">
      <c r="B44581" s="36"/>
      <c r="C44581" s="36"/>
      <c r="E44581" s="1"/>
      <c r="F44581" s="1"/>
      <c r="G44581" s="1"/>
    </row>
    <row r="44582">
      <c r="B44582" s="36"/>
      <c r="C44582" s="36"/>
      <c r="E44582" s="1"/>
      <c r="F44582" s="1"/>
      <c r="G44582" s="1"/>
    </row>
    <row r="44583">
      <c r="B44583" s="36"/>
      <c r="C44583" s="36"/>
      <c r="E44583" s="1"/>
      <c r="F44583" s="1"/>
      <c r="G44583" s="1"/>
    </row>
    <row r="44584">
      <c r="B44584" s="36"/>
      <c r="C44584" s="36"/>
      <c r="E44584" s="1"/>
      <c r="F44584" s="1"/>
      <c r="G44584" s="1"/>
    </row>
    <row r="44585">
      <c r="B44585" s="36"/>
      <c r="C44585" s="36"/>
      <c r="E44585" s="1"/>
      <c r="F44585" s="1"/>
      <c r="G44585" s="1"/>
    </row>
    <row r="44586">
      <c r="B44586" s="36"/>
      <c r="C44586" s="36"/>
      <c r="E44586" s="1"/>
      <c r="F44586" s="1"/>
      <c r="G44586" s="1"/>
    </row>
    <row r="44587">
      <c r="B44587" s="36"/>
      <c r="C44587" s="36"/>
      <c r="E44587" s="1"/>
      <c r="F44587" s="1"/>
      <c r="G44587" s="1"/>
    </row>
    <row r="44588">
      <c r="B44588" s="36"/>
      <c r="C44588" s="36"/>
      <c r="E44588" s="1"/>
      <c r="F44588" s="1"/>
      <c r="G44588" s="1"/>
    </row>
    <row r="44589">
      <c r="B44589" s="36"/>
      <c r="C44589" s="36"/>
      <c r="E44589" s="1"/>
      <c r="F44589" s="1"/>
      <c r="G44589" s="1"/>
    </row>
    <row r="44590">
      <c r="B44590" s="36"/>
      <c r="C44590" s="36"/>
      <c r="E44590" s="1"/>
      <c r="F44590" s="1"/>
      <c r="G44590" s="1"/>
    </row>
    <row r="44591">
      <c r="B44591" s="36"/>
      <c r="C44591" s="36"/>
      <c r="E44591" s="1"/>
      <c r="F44591" s="1"/>
      <c r="G44591" s="1"/>
    </row>
    <row r="44592">
      <c r="B44592" s="36"/>
      <c r="C44592" s="36"/>
      <c r="E44592" s="1"/>
      <c r="F44592" s="1"/>
      <c r="G44592" s="1"/>
    </row>
    <row r="44593">
      <c r="B44593" s="36"/>
      <c r="C44593" s="36"/>
      <c r="E44593" s="1"/>
      <c r="F44593" s="1"/>
      <c r="G44593" s="1"/>
    </row>
    <row r="44594">
      <c r="B44594" s="36"/>
      <c r="C44594" s="36"/>
      <c r="E44594" s="1"/>
      <c r="F44594" s="1"/>
      <c r="G44594" s="1"/>
    </row>
    <row r="44595">
      <c r="B44595" s="36"/>
      <c r="C44595" s="36"/>
      <c r="E44595" s="1"/>
      <c r="F44595" s="1"/>
      <c r="G44595" s="1"/>
    </row>
    <row r="44596">
      <c r="B44596" s="36"/>
      <c r="C44596" s="36"/>
      <c r="E44596" s="1"/>
      <c r="F44596" s="1"/>
      <c r="G44596" s="1"/>
    </row>
    <row r="44597">
      <c r="B44597" s="36"/>
      <c r="C44597" s="36"/>
      <c r="E44597" s="1"/>
      <c r="F44597" s="1"/>
      <c r="G44597" s="1"/>
    </row>
    <row r="44598">
      <c r="B44598" s="36"/>
      <c r="C44598" s="36"/>
      <c r="E44598" s="1"/>
      <c r="F44598" s="1"/>
      <c r="G44598" s="1"/>
    </row>
    <row r="44599">
      <c r="B44599" s="36"/>
      <c r="C44599" s="36"/>
      <c r="E44599" s="1"/>
      <c r="F44599" s="1"/>
      <c r="G44599" s="1"/>
    </row>
    <row r="44600">
      <c r="B44600" s="36"/>
      <c r="C44600" s="36"/>
      <c r="E44600" s="1"/>
      <c r="F44600" s="1"/>
      <c r="G44600" s="1"/>
    </row>
    <row r="44601">
      <c r="B44601" s="36"/>
      <c r="C44601" s="36"/>
      <c r="E44601" s="1"/>
      <c r="F44601" s="1"/>
      <c r="G44601" s="1"/>
    </row>
    <row r="44602">
      <c r="B44602" s="36"/>
      <c r="C44602" s="36"/>
      <c r="E44602" s="1"/>
      <c r="F44602" s="1"/>
      <c r="G44602" s="1"/>
    </row>
    <row r="44603">
      <c r="B44603" s="36"/>
      <c r="C44603" s="36"/>
      <c r="E44603" s="1"/>
      <c r="F44603" s="1"/>
      <c r="G44603" s="1"/>
    </row>
    <row r="44604">
      <c r="B44604" s="36"/>
      <c r="C44604" s="36"/>
      <c r="E44604" s="1"/>
      <c r="F44604" s="1"/>
      <c r="G44604" s="1"/>
    </row>
    <row r="44605">
      <c r="B44605" s="36"/>
      <c r="C44605" s="36"/>
      <c r="E44605" s="1"/>
      <c r="F44605" s="1"/>
      <c r="G44605" s="1"/>
    </row>
    <row r="44606">
      <c r="B44606" s="36"/>
      <c r="C44606" s="36"/>
      <c r="E44606" s="1"/>
      <c r="F44606" s="1"/>
      <c r="G44606" s="1"/>
    </row>
    <row r="44607">
      <c r="B44607" s="36"/>
      <c r="C44607" s="36"/>
      <c r="E44607" s="1"/>
      <c r="F44607" s="1"/>
      <c r="G44607" s="1"/>
    </row>
    <row r="44608">
      <c r="B44608" s="36"/>
      <c r="C44608" s="36"/>
      <c r="E44608" s="1"/>
      <c r="F44608" s="1"/>
      <c r="G44608" s="1"/>
    </row>
    <row r="44609">
      <c r="B44609" s="36"/>
      <c r="C44609" s="36"/>
      <c r="E44609" s="1"/>
      <c r="F44609" s="1"/>
      <c r="G44609" s="1"/>
    </row>
    <row r="44610">
      <c r="B44610" s="36"/>
      <c r="C44610" s="36"/>
      <c r="E44610" s="1"/>
      <c r="F44610" s="1"/>
      <c r="G44610" s="1"/>
    </row>
    <row r="44611">
      <c r="B44611" s="36"/>
      <c r="C44611" s="36"/>
      <c r="E44611" s="1"/>
      <c r="F44611" s="1"/>
      <c r="G44611" s="1"/>
    </row>
    <row r="44612">
      <c r="B44612" s="36"/>
      <c r="C44612" s="36"/>
      <c r="E44612" s="1"/>
      <c r="F44612" s="1"/>
      <c r="G44612" s="1"/>
    </row>
    <row r="44613">
      <c r="B44613" s="36"/>
      <c r="C44613" s="36"/>
      <c r="E44613" s="1"/>
      <c r="F44613" s="1"/>
      <c r="G44613" s="1"/>
    </row>
    <row r="44614">
      <c r="B44614" s="36"/>
      <c r="C44614" s="36"/>
      <c r="E44614" s="1"/>
      <c r="F44614" s="1"/>
      <c r="G44614" s="1"/>
    </row>
    <row r="44615">
      <c r="B44615" s="36"/>
      <c r="C44615" s="36"/>
      <c r="E44615" s="1"/>
      <c r="F44615" s="1"/>
      <c r="G44615" s="1"/>
    </row>
    <row r="44616">
      <c r="B44616" s="36"/>
      <c r="C44616" s="36"/>
      <c r="E44616" s="1"/>
      <c r="F44616" s="1"/>
      <c r="G44616" s="1"/>
    </row>
    <row r="44617">
      <c r="B44617" s="36"/>
      <c r="C44617" s="36"/>
      <c r="E44617" s="1"/>
      <c r="F44617" s="1"/>
      <c r="G44617" s="1"/>
    </row>
    <row r="44618">
      <c r="B44618" s="36"/>
      <c r="C44618" s="36"/>
      <c r="E44618" s="1"/>
      <c r="F44618" s="1"/>
      <c r="G44618" s="1"/>
    </row>
    <row r="44619">
      <c r="B44619" s="36"/>
      <c r="C44619" s="36"/>
      <c r="E44619" s="1"/>
      <c r="F44619" s="1"/>
      <c r="G44619" s="1"/>
    </row>
    <row r="44620">
      <c r="B44620" s="36"/>
      <c r="C44620" s="36"/>
      <c r="E44620" s="1"/>
      <c r="F44620" s="1"/>
      <c r="G44620" s="1"/>
    </row>
    <row r="44621">
      <c r="B44621" s="36"/>
      <c r="C44621" s="36"/>
      <c r="E44621" s="1"/>
      <c r="F44621" s="1"/>
      <c r="G44621" s="1"/>
    </row>
    <row r="44622">
      <c r="B44622" s="36"/>
      <c r="C44622" s="36"/>
      <c r="E44622" s="1"/>
      <c r="F44622" s="1"/>
      <c r="G44622" s="1"/>
    </row>
    <row r="44623">
      <c r="B44623" s="36"/>
      <c r="C44623" s="36"/>
      <c r="E44623" s="1"/>
      <c r="F44623" s="1"/>
      <c r="G44623" s="1"/>
    </row>
    <row r="44624">
      <c r="B44624" s="36"/>
      <c r="C44624" s="36"/>
      <c r="E44624" s="1"/>
      <c r="F44624" s="1"/>
      <c r="G44624" s="1"/>
    </row>
    <row r="44625">
      <c r="B44625" s="36"/>
      <c r="C44625" s="36"/>
      <c r="E44625" s="1"/>
      <c r="F44625" s="1"/>
      <c r="G44625" s="1"/>
    </row>
    <row r="44626">
      <c r="B44626" s="36"/>
      <c r="C44626" s="36"/>
      <c r="E44626" s="1"/>
      <c r="F44626" s="1"/>
      <c r="G44626" s="1"/>
    </row>
    <row r="44627">
      <c r="B44627" s="36"/>
      <c r="C44627" s="36"/>
      <c r="E44627" s="1"/>
      <c r="F44627" s="1"/>
      <c r="G44627" s="1"/>
    </row>
    <row r="44628">
      <c r="B44628" s="36"/>
      <c r="C44628" s="36"/>
      <c r="E44628" s="1"/>
      <c r="F44628" s="1"/>
      <c r="G44628" s="1"/>
    </row>
    <row r="44629">
      <c r="B44629" s="36"/>
      <c r="C44629" s="36"/>
      <c r="E44629" s="1"/>
      <c r="F44629" s="1"/>
      <c r="G44629" s="1"/>
    </row>
    <row r="44630">
      <c r="B44630" s="36"/>
      <c r="C44630" s="36"/>
      <c r="E44630" s="1"/>
      <c r="F44630" s="1"/>
      <c r="G44630" s="1"/>
    </row>
    <row r="44631">
      <c r="B44631" s="36"/>
      <c r="C44631" s="36"/>
      <c r="E44631" s="1"/>
      <c r="F44631" s="1"/>
      <c r="G44631" s="1"/>
    </row>
    <row r="44632">
      <c r="B44632" s="36"/>
      <c r="C44632" s="36"/>
      <c r="E44632" s="1"/>
      <c r="F44632" s="1"/>
      <c r="G44632" s="1"/>
    </row>
    <row r="44633">
      <c r="B44633" s="36"/>
      <c r="C44633" s="36"/>
      <c r="E44633" s="1"/>
      <c r="F44633" s="1"/>
      <c r="G44633" s="1"/>
    </row>
    <row r="44634">
      <c r="B44634" s="36"/>
      <c r="C44634" s="36"/>
      <c r="E44634" s="1"/>
      <c r="F44634" s="1"/>
      <c r="G44634" s="1"/>
    </row>
    <row r="44635">
      <c r="B44635" s="36"/>
      <c r="C44635" s="36"/>
      <c r="E44635" s="1"/>
      <c r="F44635" s="1"/>
      <c r="G44635" s="1"/>
    </row>
    <row r="44636">
      <c r="B44636" s="36"/>
      <c r="C44636" s="36"/>
      <c r="E44636" s="1"/>
      <c r="F44636" s="1"/>
      <c r="G44636" s="1"/>
    </row>
    <row r="44637">
      <c r="B44637" s="36"/>
      <c r="C44637" s="36"/>
      <c r="E44637" s="1"/>
      <c r="F44637" s="1"/>
      <c r="G44637" s="1"/>
    </row>
    <row r="44638">
      <c r="B44638" s="36"/>
      <c r="C44638" s="36"/>
      <c r="E44638" s="1"/>
      <c r="F44638" s="1"/>
      <c r="G44638" s="1"/>
    </row>
    <row r="44639">
      <c r="B44639" s="36"/>
      <c r="C44639" s="36"/>
      <c r="E44639" s="1"/>
      <c r="F44639" s="1"/>
      <c r="G44639" s="1"/>
    </row>
    <row r="44640">
      <c r="B44640" s="36"/>
      <c r="C44640" s="36"/>
      <c r="E44640" s="1"/>
      <c r="F44640" s="1"/>
      <c r="G44640" s="1"/>
    </row>
    <row r="44641">
      <c r="B44641" s="36"/>
      <c r="C44641" s="36"/>
      <c r="E44641" s="1"/>
      <c r="F44641" s="1"/>
      <c r="G44641" s="1"/>
    </row>
    <row r="44642">
      <c r="B44642" s="36"/>
      <c r="C44642" s="36"/>
      <c r="E44642" s="1"/>
      <c r="F44642" s="1"/>
      <c r="G44642" s="1"/>
    </row>
    <row r="44643">
      <c r="B44643" s="36"/>
      <c r="C44643" s="36"/>
      <c r="E44643" s="1"/>
      <c r="F44643" s="1"/>
      <c r="G44643" s="1"/>
    </row>
    <row r="44644">
      <c r="B44644" s="36"/>
      <c r="C44644" s="36"/>
      <c r="E44644" s="1"/>
      <c r="F44644" s="1"/>
      <c r="G44644" s="1"/>
    </row>
    <row r="44645">
      <c r="B44645" s="36"/>
      <c r="C44645" s="36"/>
      <c r="E44645" s="1"/>
      <c r="F44645" s="1"/>
      <c r="G44645" s="1"/>
    </row>
    <row r="44646">
      <c r="B44646" s="36"/>
      <c r="C44646" s="36"/>
      <c r="E44646" s="1"/>
      <c r="F44646" s="1"/>
      <c r="G44646" s="1"/>
    </row>
    <row r="44647">
      <c r="B44647" s="36"/>
      <c r="C44647" s="36"/>
      <c r="E44647" s="1"/>
      <c r="F44647" s="1"/>
      <c r="G44647" s="1"/>
    </row>
    <row r="44648">
      <c r="B44648" s="36"/>
      <c r="C44648" s="36"/>
      <c r="E44648" s="1"/>
      <c r="F44648" s="1"/>
      <c r="G44648" s="1"/>
    </row>
    <row r="44649">
      <c r="B44649" s="36"/>
      <c r="C44649" s="36"/>
      <c r="E44649" s="1"/>
      <c r="F44649" s="1"/>
      <c r="G44649" s="1"/>
    </row>
    <row r="44650">
      <c r="B44650" s="36"/>
      <c r="C44650" s="36"/>
      <c r="E44650" s="1"/>
      <c r="F44650" s="1"/>
      <c r="G44650" s="1"/>
    </row>
    <row r="44651">
      <c r="B44651" s="36"/>
      <c r="C44651" s="36"/>
      <c r="E44651" s="1"/>
      <c r="F44651" s="1"/>
      <c r="G44651" s="1"/>
    </row>
    <row r="44652">
      <c r="B44652" s="36"/>
      <c r="C44652" s="36"/>
      <c r="E44652" s="1"/>
      <c r="F44652" s="1"/>
      <c r="G44652" s="1"/>
    </row>
    <row r="44653">
      <c r="B44653" s="36"/>
      <c r="C44653" s="36"/>
      <c r="E44653" s="1"/>
      <c r="F44653" s="1"/>
      <c r="G44653" s="1"/>
    </row>
    <row r="44654">
      <c r="B44654" s="36"/>
      <c r="C44654" s="36"/>
      <c r="E44654" s="1"/>
      <c r="F44654" s="1"/>
      <c r="G44654" s="1"/>
    </row>
    <row r="44655">
      <c r="B44655" s="36"/>
      <c r="C44655" s="36"/>
      <c r="E44655" s="1"/>
      <c r="F44655" s="1"/>
      <c r="G44655" s="1"/>
    </row>
    <row r="44656">
      <c r="B44656" s="36"/>
      <c r="C44656" s="36"/>
      <c r="E44656" s="1"/>
      <c r="F44656" s="1"/>
      <c r="G44656" s="1"/>
    </row>
    <row r="44657">
      <c r="B44657" s="36"/>
      <c r="C44657" s="36"/>
      <c r="E44657" s="1"/>
      <c r="F44657" s="1"/>
      <c r="G44657" s="1"/>
    </row>
    <row r="44658">
      <c r="B44658" s="36"/>
      <c r="C44658" s="36"/>
      <c r="E44658" s="1"/>
      <c r="F44658" s="1"/>
      <c r="G44658" s="1"/>
    </row>
    <row r="44659">
      <c r="B44659" s="36"/>
      <c r="C44659" s="36"/>
      <c r="E44659" s="1"/>
      <c r="F44659" s="1"/>
      <c r="G44659" s="1"/>
    </row>
    <row r="44660">
      <c r="B44660" s="36"/>
      <c r="C44660" s="36"/>
      <c r="E44660" s="1"/>
      <c r="F44660" s="1"/>
      <c r="G44660" s="1"/>
    </row>
    <row r="44661">
      <c r="B44661" s="36"/>
      <c r="C44661" s="36"/>
      <c r="E44661" s="1"/>
      <c r="F44661" s="1"/>
      <c r="G44661" s="1"/>
    </row>
    <row r="44662">
      <c r="B44662" s="36"/>
      <c r="C44662" s="36"/>
      <c r="E44662" s="1"/>
      <c r="F44662" s="1"/>
      <c r="G44662" s="1"/>
    </row>
    <row r="44663">
      <c r="B44663" s="36"/>
      <c r="C44663" s="36"/>
      <c r="E44663" s="1"/>
      <c r="F44663" s="1"/>
      <c r="G44663" s="1"/>
    </row>
    <row r="44664">
      <c r="B44664" s="36"/>
      <c r="C44664" s="36"/>
      <c r="E44664" s="1"/>
      <c r="F44664" s="1"/>
      <c r="G44664" s="1"/>
    </row>
    <row r="44665">
      <c r="B44665" s="36"/>
      <c r="C44665" s="36"/>
      <c r="E44665" s="1"/>
      <c r="F44665" s="1"/>
      <c r="G44665" s="1"/>
    </row>
    <row r="44666">
      <c r="B44666" s="36"/>
      <c r="C44666" s="36"/>
      <c r="E44666" s="1"/>
      <c r="F44666" s="1"/>
      <c r="G44666" s="1"/>
    </row>
    <row r="44667">
      <c r="B44667" s="36"/>
      <c r="C44667" s="36"/>
      <c r="E44667" s="1"/>
      <c r="F44667" s="1"/>
      <c r="G44667" s="1"/>
    </row>
    <row r="44668">
      <c r="B44668" s="36"/>
      <c r="C44668" s="36"/>
      <c r="E44668" s="1"/>
      <c r="F44668" s="1"/>
      <c r="G44668" s="1"/>
    </row>
    <row r="44669">
      <c r="B44669" s="36"/>
      <c r="C44669" s="36"/>
      <c r="E44669" s="1"/>
      <c r="F44669" s="1"/>
      <c r="G44669" s="1"/>
    </row>
    <row r="44670">
      <c r="B44670" s="36"/>
      <c r="C44670" s="36"/>
      <c r="E44670" s="1"/>
      <c r="F44670" s="1"/>
      <c r="G44670" s="1"/>
    </row>
    <row r="44671">
      <c r="B44671" s="36"/>
      <c r="C44671" s="36"/>
      <c r="E44671" s="1"/>
      <c r="F44671" s="1"/>
      <c r="G44671" s="1"/>
    </row>
    <row r="44672">
      <c r="B44672" s="36"/>
      <c r="C44672" s="36"/>
      <c r="E44672" s="1"/>
      <c r="F44672" s="1"/>
      <c r="G44672" s="1"/>
    </row>
    <row r="44673">
      <c r="B44673" s="36"/>
      <c r="C44673" s="36"/>
      <c r="E44673" s="1"/>
      <c r="F44673" s="1"/>
      <c r="G44673" s="1"/>
    </row>
    <row r="44674">
      <c r="B44674" s="36"/>
      <c r="C44674" s="36"/>
      <c r="E44674" s="1"/>
      <c r="F44674" s="1"/>
      <c r="G44674" s="1"/>
    </row>
    <row r="44675">
      <c r="B44675" s="36"/>
      <c r="C44675" s="36"/>
      <c r="E44675" s="1"/>
      <c r="F44675" s="1"/>
      <c r="G44675" s="1"/>
    </row>
    <row r="44676">
      <c r="B44676" s="36"/>
      <c r="C44676" s="36"/>
      <c r="E44676" s="1"/>
      <c r="F44676" s="1"/>
      <c r="G44676" s="1"/>
    </row>
    <row r="44677">
      <c r="B44677" s="36"/>
      <c r="C44677" s="36"/>
      <c r="E44677" s="1"/>
      <c r="F44677" s="1"/>
      <c r="G44677" s="1"/>
    </row>
    <row r="44678">
      <c r="B44678" s="36"/>
      <c r="C44678" s="36"/>
      <c r="E44678" s="1"/>
      <c r="F44678" s="1"/>
      <c r="G44678" s="1"/>
    </row>
    <row r="44679">
      <c r="B44679" s="36"/>
      <c r="C44679" s="36"/>
      <c r="E44679" s="1"/>
      <c r="F44679" s="1"/>
      <c r="G44679" s="1"/>
    </row>
    <row r="44680">
      <c r="B44680" s="36"/>
      <c r="C44680" s="36"/>
      <c r="E44680" s="1"/>
      <c r="F44680" s="1"/>
      <c r="G44680" s="1"/>
    </row>
    <row r="44681">
      <c r="B44681" s="36"/>
      <c r="C44681" s="36"/>
      <c r="E44681" s="1"/>
      <c r="F44681" s="1"/>
      <c r="G44681" s="1"/>
    </row>
    <row r="44682">
      <c r="B44682" s="36"/>
      <c r="C44682" s="36"/>
      <c r="E44682" s="1"/>
      <c r="F44682" s="1"/>
      <c r="G44682" s="1"/>
    </row>
    <row r="44683">
      <c r="B44683" s="36"/>
      <c r="C44683" s="36"/>
      <c r="E44683" s="1"/>
      <c r="F44683" s="1"/>
      <c r="G44683" s="1"/>
    </row>
    <row r="44684">
      <c r="B44684" s="36"/>
      <c r="C44684" s="36"/>
      <c r="E44684" s="1"/>
      <c r="F44684" s="1"/>
      <c r="G44684" s="1"/>
    </row>
    <row r="44685">
      <c r="B44685" s="36"/>
      <c r="C44685" s="36"/>
      <c r="E44685" s="1"/>
      <c r="F44685" s="1"/>
      <c r="G44685" s="1"/>
    </row>
    <row r="44686">
      <c r="B44686" s="36"/>
      <c r="C44686" s="36"/>
      <c r="E44686" s="1"/>
      <c r="F44686" s="1"/>
      <c r="G44686" s="1"/>
    </row>
    <row r="44687">
      <c r="B44687" s="36"/>
      <c r="C44687" s="36"/>
      <c r="E44687" s="1"/>
      <c r="F44687" s="1"/>
      <c r="G44687" s="1"/>
    </row>
    <row r="44688">
      <c r="B44688" s="36"/>
      <c r="C44688" s="36"/>
      <c r="E44688" s="1"/>
      <c r="F44688" s="1"/>
      <c r="G44688" s="1"/>
    </row>
    <row r="44689">
      <c r="B44689" s="36"/>
      <c r="C44689" s="36"/>
      <c r="E44689" s="1"/>
      <c r="F44689" s="1"/>
      <c r="G44689" s="1"/>
    </row>
    <row r="44690">
      <c r="B44690" s="36"/>
      <c r="C44690" s="36"/>
      <c r="E44690" s="1"/>
      <c r="F44690" s="1"/>
      <c r="G44690" s="1"/>
    </row>
    <row r="44691">
      <c r="B44691" s="36"/>
      <c r="C44691" s="36"/>
      <c r="E44691" s="1"/>
      <c r="F44691" s="1"/>
      <c r="G44691" s="1"/>
    </row>
    <row r="44692">
      <c r="B44692" s="36"/>
      <c r="C44692" s="36"/>
      <c r="E44692" s="1"/>
      <c r="F44692" s="1"/>
      <c r="G44692" s="1"/>
    </row>
    <row r="44693">
      <c r="B44693" s="36"/>
      <c r="C44693" s="36"/>
      <c r="E44693" s="1"/>
      <c r="F44693" s="1"/>
      <c r="G44693" s="1"/>
    </row>
    <row r="44694">
      <c r="B44694" s="36"/>
      <c r="C44694" s="36"/>
      <c r="E44694" s="1"/>
      <c r="F44694" s="1"/>
      <c r="G44694" s="1"/>
    </row>
    <row r="44695">
      <c r="B44695" s="36"/>
      <c r="C44695" s="36"/>
      <c r="E44695" s="1"/>
      <c r="F44695" s="1"/>
      <c r="G44695" s="1"/>
    </row>
    <row r="44696">
      <c r="B44696" s="36"/>
      <c r="C44696" s="36"/>
      <c r="E44696" s="1"/>
      <c r="F44696" s="1"/>
      <c r="G44696" s="1"/>
    </row>
    <row r="44697">
      <c r="B44697" s="36"/>
      <c r="C44697" s="36"/>
      <c r="E44697" s="1"/>
      <c r="F44697" s="1"/>
      <c r="G44697" s="1"/>
    </row>
    <row r="44698">
      <c r="B44698" s="36"/>
      <c r="C44698" s="36"/>
      <c r="E44698" s="1"/>
      <c r="F44698" s="1"/>
      <c r="G44698" s="1"/>
    </row>
    <row r="44699">
      <c r="B44699" s="36"/>
      <c r="C44699" s="36"/>
      <c r="E44699" s="1"/>
      <c r="F44699" s="1"/>
      <c r="G44699" s="1"/>
    </row>
    <row r="44700">
      <c r="B44700" s="36"/>
      <c r="C44700" s="36"/>
      <c r="E44700" s="1"/>
      <c r="F44700" s="1"/>
      <c r="G44700" s="1"/>
    </row>
    <row r="44701">
      <c r="B44701" s="36"/>
      <c r="C44701" s="36"/>
      <c r="E44701" s="1"/>
      <c r="F44701" s="1"/>
      <c r="G44701" s="1"/>
    </row>
    <row r="44702">
      <c r="B44702" s="36"/>
      <c r="C44702" s="36"/>
      <c r="E44702" s="1"/>
      <c r="F44702" s="1"/>
      <c r="G44702" s="1"/>
    </row>
    <row r="44703">
      <c r="B44703" s="36"/>
      <c r="C44703" s="36"/>
      <c r="E44703" s="1"/>
      <c r="F44703" s="1"/>
      <c r="G44703" s="1"/>
    </row>
    <row r="44704">
      <c r="B44704" s="36"/>
      <c r="C44704" s="36"/>
      <c r="E44704" s="1"/>
      <c r="F44704" s="1"/>
      <c r="G44704" s="1"/>
    </row>
    <row r="44705">
      <c r="B44705" s="36"/>
      <c r="C44705" s="36"/>
      <c r="E44705" s="1"/>
      <c r="F44705" s="1"/>
      <c r="G44705" s="1"/>
    </row>
    <row r="44706">
      <c r="B44706" s="36"/>
      <c r="C44706" s="36"/>
      <c r="E44706" s="1"/>
      <c r="F44706" s="1"/>
      <c r="G44706" s="1"/>
    </row>
    <row r="44707">
      <c r="B44707" s="36"/>
      <c r="C44707" s="36"/>
      <c r="E44707" s="1"/>
      <c r="F44707" s="1"/>
      <c r="G44707" s="1"/>
    </row>
    <row r="44708">
      <c r="B44708" s="36"/>
      <c r="C44708" s="36"/>
      <c r="E44708" s="1"/>
      <c r="F44708" s="1"/>
      <c r="G44708" s="1"/>
    </row>
    <row r="44709">
      <c r="B44709" s="36"/>
      <c r="C44709" s="36"/>
      <c r="E44709" s="1"/>
      <c r="F44709" s="1"/>
      <c r="G44709" s="1"/>
    </row>
    <row r="44710">
      <c r="B44710" s="36"/>
      <c r="C44710" s="36"/>
      <c r="E44710" s="1"/>
      <c r="F44710" s="1"/>
      <c r="G44710" s="1"/>
    </row>
    <row r="44711">
      <c r="B44711" s="36"/>
      <c r="C44711" s="36"/>
      <c r="E44711" s="1"/>
      <c r="F44711" s="1"/>
      <c r="G44711" s="1"/>
    </row>
    <row r="44712">
      <c r="B44712" s="36"/>
      <c r="C44712" s="36"/>
      <c r="E44712" s="1"/>
      <c r="F44712" s="1"/>
      <c r="G44712" s="1"/>
    </row>
    <row r="44713">
      <c r="B44713" s="36"/>
      <c r="C44713" s="36"/>
      <c r="E44713" s="1"/>
      <c r="F44713" s="1"/>
      <c r="G44713" s="1"/>
    </row>
    <row r="44714">
      <c r="B44714" s="36"/>
      <c r="C44714" s="36"/>
      <c r="E44714" s="1"/>
      <c r="F44714" s="1"/>
      <c r="G44714" s="1"/>
    </row>
    <row r="44715">
      <c r="B44715" s="36"/>
      <c r="C44715" s="36"/>
      <c r="E44715" s="1"/>
      <c r="F44715" s="1"/>
      <c r="G44715" s="1"/>
    </row>
    <row r="44716">
      <c r="B44716" s="36"/>
      <c r="C44716" s="36"/>
      <c r="E44716" s="1"/>
      <c r="F44716" s="1"/>
      <c r="G44716" s="1"/>
    </row>
    <row r="44717">
      <c r="B44717" s="36"/>
      <c r="C44717" s="36"/>
      <c r="E44717" s="1"/>
      <c r="F44717" s="1"/>
      <c r="G44717" s="1"/>
    </row>
    <row r="44718">
      <c r="B44718" s="36"/>
      <c r="C44718" s="36"/>
      <c r="E44718" s="1"/>
      <c r="F44718" s="1"/>
      <c r="G44718" s="1"/>
    </row>
    <row r="44719">
      <c r="B44719" s="36"/>
      <c r="C44719" s="36"/>
      <c r="E44719" s="1"/>
      <c r="F44719" s="1"/>
      <c r="G44719" s="1"/>
    </row>
    <row r="44720">
      <c r="B44720" s="36"/>
      <c r="C44720" s="36"/>
      <c r="E44720" s="1"/>
      <c r="F44720" s="1"/>
      <c r="G44720" s="1"/>
    </row>
    <row r="44721">
      <c r="B44721" s="36"/>
      <c r="C44721" s="36"/>
      <c r="E44721" s="1"/>
      <c r="F44721" s="1"/>
      <c r="G44721" s="1"/>
    </row>
    <row r="44722">
      <c r="B44722" s="36"/>
      <c r="C44722" s="36"/>
      <c r="E44722" s="1"/>
      <c r="F44722" s="1"/>
      <c r="G44722" s="1"/>
    </row>
    <row r="44723">
      <c r="B44723" s="36"/>
      <c r="C44723" s="36"/>
      <c r="E44723" s="1"/>
      <c r="F44723" s="1"/>
      <c r="G44723" s="1"/>
    </row>
    <row r="44724">
      <c r="B44724" s="36"/>
      <c r="C44724" s="36"/>
      <c r="E44724" s="1"/>
      <c r="F44724" s="1"/>
      <c r="G44724" s="1"/>
    </row>
    <row r="44725">
      <c r="B44725" s="36"/>
      <c r="C44725" s="36"/>
      <c r="E44725" s="1"/>
      <c r="F44725" s="1"/>
      <c r="G44725" s="1"/>
    </row>
    <row r="44726">
      <c r="B44726" s="36"/>
      <c r="C44726" s="36"/>
      <c r="E44726" s="1"/>
      <c r="F44726" s="1"/>
      <c r="G44726" s="1"/>
    </row>
    <row r="44727">
      <c r="B44727" s="36"/>
      <c r="C44727" s="36"/>
      <c r="E44727" s="1"/>
      <c r="F44727" s="1"/>
      <c r="G44727" s="1"/>
    </row>
    <row r="44728">
      <c r="B44728" s="36"/>
      <c r="C44728" s="36"/>
      <c r="E44728" s="1"/>
      <c r="F44728" s="1"/>
      <c r="G44728" s="1"/>
    </row>
    <row r="44729">
      <c r="B44729" s="36"/>
      <c r="C44729" s="36"/>
      <c r="E44729" s="1"/>
      <c r="F44729" s="1"/>
      <c r="G44729" s="1"/>
    </row>
    <row r="44730">
      <c r="B44730" s="36"/>
      <c r="C44730" s="36"/>
      <c r="E44730" s="1"/>
      <c r="F44730" s="1"/>
      <c r="G44730" s="1"/>
    </row>
    <row r="44731">
      <c r="B44731" s="36"/>
      <c r="C44731" s="36"/>
      <c r="E44731" s="1"/>
      <c r="F44731" s="1"/>
      <c r="G44731" s="1"/>
    </row>
    <row r="44732">
      <c r="B44732" s="36"/>
      <c r="C44732" s="36"/>
      <c r="E44732" s="1"/>
      <c r="F44732" s="1"/>
      <c r="G44732" s="1"/>
    </row>
    <row r="44733">
      <c r="B44733" s="36"/>
      <c r="C44733" s="36"/>
      <c r="E44733" s="1"/>
      <c r="F44733" s="1"/>
      <c r="G44733" s="1"/>
    </row>
    <row r="44734">
      <c r="B44734" s="36"/>
      <c r="C44734" s="36"/>
      <c r="E44734" s="1"/>
      <c r="F44734" s="1"/>
      <c r="G44734" s="1"/>
    </row>
    <row r="44735">
      <c r="B44735" s="36"/>
      <c r="C44735" s="36"/>
      <c r="E44735" s="1"/>
      <c r="F44735" s="1"/>
      <c r="G44735" s="1"/>
    </row>
    <row r="44736">
      <c r="B44736" s="36"/>
      <c r="C44736" s="36"/>
      <c r="E44736" s="1"/>
      <c r="F44736" s="1"/>
      <c r="G44736" s="1"/>
    </row>
    <row r="44737">
      <c r="B44737" s="36"/>
      <c r="C44737" s="36"/>
      <c r="E44737" s="1"/>
      <c r="F44737" s="1"/>
      <c r="G44737" s="1"/>
    </row>
    <row r="44738">
      <c r="B44738" s="36"/>
      <c r="C44738" s="36"/>
      <c r="E44738" s="1"/>
      <c r="F44738" s="1"/>
      <c r="G44738" s="1"/>
    </row>
    <row r="44739">
      <c r="B44739" s="36"/>
      <c r="C44739" s="36"/>
      <c r="E44739" s="1"/>
      <c r="F44739" s="1"/>
      <c r="G44739" s="1"/>
    </row>
    <row r="44740">
      <c r="B44740" s="36"/>
      <c r="C44740" s="36"/>
      <c r="E44740" s="1"/>
      <c r="F44740" s="1"/>
      <c r="G44740" s="1"/>
    </row>
    <row r="44741">
      <c r="B44741" s="36"/>
      <c r="C44741" s="36"/>
      <c r="E44741" s="1"/>
      <c r="F44741" s="1"/>
      <c r="G44741" s="1"/>
    </row>
    <row r="44742">
      <c r="B44742" s="36"/>
      <c r="C44742" s="36"/>
      <c r="E44742" s="1"/>
      <c r="F44742" s="1"/>
      <c r="G44742" s="1"/>
    </row>
    <row r="44743">
      <c r="B44743" s="36"/>
      <c r="C44743" s="36"/>
      <c r="E44743" s="1"/>
      <c r="F44743" s="1"/>
      <c r="G44743" s="1"/>
    </row>
    <row r="44744">
      <c r="B44744" s="36"/>
      <c r="C44744" s="36"/>
      <c r="E44744" s="1"/>
      <c r="F44744" s="1"/>
      <c r="G44744" s="1"/>
    </row>
    <row r="44745">
      <c r="B44745" s="36"/>
      <c r="C44745" s="36"/>
      <c r="E44745" s="1"/>
      <c r="F44745" s="1"/>
      <c r="G44745" s="1"/>
    </row>
    <row r="44746">
      <c r="B44746" s="36"/>
      <c r="C44746" s="36"/>
      <c r="E44746" s="1"/>
      <c r="F44746" s="1"/>
      <c r="G44746" s="1"/>
    </row>
    <row r="44747">
      <c r="B44747" s="36"/>
      <c r="C44747" s="36"/>
      <c r="E44747" s="1"/>
      <c r="F44747" s="1"/>
      <c r="G44747" s="1"/>
    </row>
    <row r="44748">
      <c r="B44748" s="36"/>
      <c r="C44748" s="36"/>
      <c r="E44748" s="1"/>
      <c r="F44748" s="1"/>
      <c r="G44748" s="1"/>
    </row>
    <row r="44749">
      <c r="B44749" s="36"/>
      <c r="C44749" s="36"/>
      <c r="E44749" s="1"/>
      <c r="F44749" s="1"/>
      <c r="G44749" s="1"/>
    </row>
    <row r="44750">
      <c r="B44750" s="36"/>
      <c r="C44750" s="36"/>
      <c r="E44750" s="1"/>
      <c r="F44750" s="1"/>
      <c r="G44750" s="1"/>
    </row>
    <row r="44751">
      <c r="B44751" s="36"/>
      <c r="C44751" s="36"/>
      <c r="E44751" s="1"/>
      <c r="F44751" s="1"/>
      <c r="G44751" s="1"/>
    </row>
    <row r="44752">
      <c r="B44752" s="36"/>
      <c r="C44752" s="36"/>
      <c r="E44752" s="1"/>
      <c r="F44752" s="1"/>
      <c r="G44752" s="1"/>
    </row>
    <row r="44753">
      <c r="B44753" s="36"/>
      <c r="C44753" s="36"/>
      <c r="E44753" s="1"/>
      <c r="F44753" s="1"/>
      <c r="G44753" s="1"/>
    </row>
    <row r="44754">
      <c r="B44754" s="36"/>
      <c r="C44754" s="36"/>
      <c r="E44754" s="1"/>
      <c r="F44754" s="1"/>
      <c r="G44754" s="1"/>
    </row>
    <row r="44755">
      <c r="B44755" s="36"/>
      <c r="C44755" s="36"/>
      <c r="E44755" s="1"/>
      <c r="F44755" s="1"/>
      <c r="G44755" s="1"/>
    </row>
    <row r="44756">
      <c r="B44756" s="36"/>
      <c r="C44756" s="36"/>
      <c r="E44756" s="1"/>
      <c r="F44756" s="1"/>
      <c r="G44756" s="1"/>
    </row>
    <row r="44757">
      <c r="B44757" s="36"/>
      <c r="C44757" s="36"/>
      <c r="E44757" s="1"/>
      <c r="F44757" s="1"/>
      <c r="G44757" s="1"/>
    </row>
    <row r="44758">
      <c r="B44758" s="36"/>
      <c r="C44758" s="36"/>
      <c r="E44758" s="1"/>
      <c r="F44758" s="1"/>
      <c r="G44758" s="1"/>
    </row>
    <row r="44759">
      <c r="B44759" s="36"/>
      <c r="C44759" s="36"/>
      <c r="E44759" s="1"/>
      <c r="F44759" s="1"/>
      <c r="G44759" s="1"/>
    </row>
    <row r="44760">
      <c r="B44760" s="36"/>
      <c r="C44760" s="36"/>
      <c r="E44760" s="1"/>
      <c r="F44760" s="1"/>
      <c r="G44760" s="1"/>
    </row>
    <row r="44761">
      <c r="B44761" s="36"/>
      <c r="C44761" s="36"/>
      <c r="E44761" s="1"/>
      <c r="F44761" s="1"/>
      <c r="G44761" s="1"/>
    </row>
    <row r="44762">
      <c r="B44762" s="36"/>
      <c r="C44762" s="36"/>
      <c r="E44762" s="1"/>
      <c r="F44762" s="1"/>
      <c r="G44762" s="1"/>
    </row>
    <row r="44763">
      <c r="B44763" s="36"/>
      <c r="C44763" s="36"/>
      <c r="E44763" s="1"/>
      <c r="F44763" s="1"/>
      <c r="G44763" s="1"/>
    </row>
    <row r="44764">
      <c r="B44764" s="36"/>
      <c r="C44764" s="36"/>
      <c r="E44764" s="1"/>
      <c r="F44764" s="1"/>
      <c r="G44764" s="1"/>
    </row>
    <row r="44765">
      <c r="B44765" s="36"/>
      <c r="C44765" s="36"/>
      <c r="E44765" s="1"/>
      <c r="F44765" s="1"/>
      <c r="G44765" s="1"/>
    </row>
    <row r="44766">
      <c r="B44766" s="36"/>
      <c r="C44766" s="36"/>
      <c r="E44766" s="1"/>
      <c r="F44766" s="1"/>
      <c r="G44766" s="1"/>
    </row>
    <row r="44767">
      <c r="B44767" s="36"/>
      <c r="C44767" s="36"/>
      <c r="E44767" s="1"/>
      <c r="F44767" s="1"/>
      <c r="G44767" s="1"/>
    </row>
    <row r="44768">
      <c r="B44768" s="36"/>
      <c r="C44768" s="36"/>
      <c r="E44768" s="1"/>
      <c r="F44768" s="1"/>
      <c r="G44768" s="1"/>
    </row>
    <row r="44769">
      <c r="B44769" s="36"/>
      <c r="C44769" s="36"/>
      <c r="E44769" s="1"/>
      <c r="F44769" s="1"/>
      <c r="G44769" s="1"/>
    </row>
    <row r="44770">
      <c r="B44770" s="36"/>
      <c r="C44770" s="36"/>
      <c r="E44770" s="1"/>
      <c r="F44770" s="1"/>
      <c r="G44770" s="1"/>
    </row>
    <row r="44771">
      <c r="B44771" s="36"/>
      <c r="C44771" s="36"/>
      <c r="E44771" s="1"/>
      <c r="F44771" s="1"/>
      <c r="G44771" s="1"/>
    </row>
    <row r="44772">
      <c r="B44772" s="36"/>
      <c r="C44772" s="36"/>
      <c r="E44772" s="1"/>
      <c r="F44772" s="1"/>
      <c r="G44772" s="1"/>
    </row>
    <row r="44773">
      <c r="B44773" s="36"/>
      <c r="C44773" s="36"/>
      <c r="E44773" s="1"/>
      <c r="F44773" s="1"/>
      <c r="G44773" s="1"/>
    </row>
    <row r="44774">
      <c r="B44774" s="36"/>
      <c r="C44774" s="36"/>
      <c r="E44774" s="1"/>
      <c r="F44774" s="1"/>
      <c r="G44774" s="1"/>
    </row>
    <row r="44775">
      <c r="B44775" s="36"/>
      <c r="C44775" s="36"/>
      <c r="E44775" s="1"/>
      <c r="F44775" s="1"/>
      <c r="G44775" s="1"/>
    </row>
    <row r="44776">
      <c r="B44776" s="36"/>
      <c r="C44776" s="36"/>
      <c r="E44776" s="1"/>
      <c r="F44776" s="1"/>
      <c r="G44776" s="1"/>
    </row>
    <row r="44777">
      <c r="B44777" s="36"/>
      <c r="C44777" s="36"/>
      <c r="E44777" s="1"/>
      <c r="F44777" s="1"/>
      <c r="G44777" s="1"/>
    </row>
    <row r="44778">
      <c r="B44778" s="36"/>
      <c r="C44778" s="36"/>
      <c r="E44778" s="1"/>
      <c r="F44778" s="1"/>
      <c r="G44778" s="1"/>
    </row>
    <row r="44779">
      <c r="B44779" s="36"/>
      <c r="C44779" s="36"/>
      <c r="E44779" s="1"/>
      <c r="F44779" s="1"/>
      <c r="G44779" s="1"/>
    </row>
    <row r="44780">
      <c r="B44780" s="36"/>
      <c r="C44780" s="36"/>
      <c r="E44780" s="1"/>
      <c r="F44780" s="1"/>
      <c r="G44780" s="1"/>
    </row>
    <row r="44781">
      <c r="B44781" s="36"/>
      <c r="C44781" s="36"/>
      <c r="E44781" s="1"/>
      <c r="F44781" s="1"/>
      <c r="G44781" s="1"/>
    </row>
    <row r="44782">
      <c r="B44782" s="36"/>
      <c r="C44782" s="36"/>
      <c r="E44782" s="1"/>
      <c r="F44782" s="1"/>
      <c r="G44782" s="1"/>
    </row>
    <row r="44783">
      <c r="B44783" s="36"/>
      <c r="C44783" s="36"/>
      <c r="E44783" s="1"/>
      <c r="F44783" s="1"/>
      <c r="G44783" s="1"/>
    </row>
    <row r="44784">
      <c r="B44784" s="36"/>
      <c r="C44784" s="36"/>
      <c r="E44784" s="1"/>
      <c r="F44784" s="1"/>
      <c r="G44784" s="1"/>
    </row>
    <row r="44785">
      <c r="B44785" s="36"/>
      <c r="C44785" s="36"/>
      <c r="E44785" s="1"/>
      <c r="F44785" s="1"/>
      <c r="G44785" s="1"/>
    </row>
    <row r="44786">
      <c r="B44786" s="36"/>
      <c r="C44786" s="36"/>
      <c r="E44786" s="1"/>
      <c r="F44786" s="1"/>
      <c r="G44786" s="1"/>
    </row>
    <row r="44787">
      <c r="B44787" s="36"/>
      <c r="C44787" s="36"/>
      <c r="E44787" s="1"/>
      <c r="F44787" s="1"/>
      <c r="G44787" s="1"/>
    </row>
    <row r="44788">
      <c r="B44788" s="36"/>
      <c r="C44788" s="36"/>
      <c r="E44788" s="1"/>
      <c r="F44788" s="1"/>
      <c r="G44788" s="1"/>
    </row>
    <row r="44789">
      <c r="B44789" s="36"/>
      <c r="C44789" s="36"/>
      <c r="E44789" s="1"/>
      <c r="F44789" s="1"/>
      <c r="G44789" s="1"/>
    </row>
    <row r="44790">
      <c r="B44790" s="36"/>
      <c r="C44790" s="36"/>
      <c r="E44790" s="1"/>
      <c r="F44790" s="1"/>
      <c r="G44790" s="1"/>
    </row>
    <row r="44791">
      <c r="B44791" s="36"/>
      <c r="C44791" s="36"/>
      <c r="E44791" s="1"/>
      <c r="F44791" s="1"/>
      <c r="G44791" s="1"/>
    </row>
    <row r="44792">
      <c r="B44792" s="36"/>
      <c r="C44792" s="36"/>
      <c r="E44792" s="1"/>
      <c r="F44792" s="1"/>
      <c r="G44792" s="1"/>
    </row>
    <row r="44793">
      <c r="B44793" s="36"/>
      <c r="C44793" s="36"/>
      <c r="E44793" s="1"/>
      <c r="F44793" s="1"/>
      <c r="G44793" s="1"/>
    </row>
    <row r="44794">
      <c r="B44794" s="36"/>
      <c r="C44794" s="36"/>
      <c r="E44794" s="1"/>
      <c r="F44794" s="1"/>
      <c r="G44794" s="1"/>
    </row>
    <row r="44795">
      <c r="B44795" s="36"/>
      <c r="C44795" s="36"/>
      <c r="E44795" s="1"/>
      <c r="F44795" s="1"/>
      <c r="G44795" s="1"/>
    </row>
    <row r="44796">
      <c r="B44796" s="36"/>
      <c r="C44796" s="36"/>
      <c r="E44796" s="1"/>
      <c r="F44796" s="1"/>
      <c r="G44796" s="1"/>
    </row>
    <row r="44797">
      <c r="B44797" s="36"/>
      <c r="C44797" s="36"/>
      <c r="E44797" s="1"/>
      <c r="F44797" s="1"/>
      <c r="G44797" s="1"/>
    </row>
    <row r="44798">
      <c r="B44798" s="36"/>
      <c r="C44798" s="36"/>
      <c r="E44798" s="1"/>
      <c r="F44798" s="1"/>
      <c r="G44798" s="1"/>
    </row>
    <row r="44799">
      <c r="B44799" s="36"/>
      <c r="C44799" s="36"/>
      <c r="E44799" s="1"/>
      <c r="F44799" s="1"/>
      <c r="G44799" s="1"/>
    </row>
    <row r="44800">
      <c r="B44800" s="36"/>
      <c r="C44800" s="36"/>
      <c r="E44800" s="1"/>
      <c r="F44800" s="1"/>
      <c r="G44800" s="1"/>
    </row>
    <row r="44801">
      <c r="B44801" s="36"/>
      <c r="C44801" s="36"/>
      <c r="E44801" s="1"/>
      <c r="F44801" s="1"/>
      <c r="G44801" s="1"/>
    </row>
    <row r="44802">
      <c r="B44802" s="36"/>
      <c r="C44802" s="36"/>
      <c r="E44802" s="1"/>
      <c r="F44802" s="1"/>
      <c r="G44802" s="1"/>
    </row>
    <row r="44803">
      <c r="B44803" s="36"/>
      <c r="C44803" s="36"/>
      <c r="E44803" s="1"/>
      <c r="F44803" s="1"/>
      <c r="G44803" s="1"/>
    </row>
    <row r="44804">
      <c r="B44804" s="36"/>
      <c r="C44804" s="36"/>
      <c r="E44804" s="1"/>
      <c r="F44804" s="1"/>
      <c r="G44804" s="1"/>
    </row>
    <row r="44805">
      <c r="B44805" s="36"/>
      <c r="C44805" s="36"/>
      <c r="E44805" s="1"/>
      <c r="F44805" s="1"/>
      <c r="G44805" s="1"/>
    </row>
    <row r="44806">
      <c r="B44806" s="36"/>
      <c r="C44806" s="36"/>
      <c r="E44806" s="1"/>
      <c r="F44806" s="1"/>
      <c r="G44806" s="1"/>
    </row>
    <row r="44807">
      <c r="B44807" s="36"/>
      <c r="C44807" s="36"/>
      <c r="E44807" s="1"/>
      <c r="F44807" s="1"/>
      <c r="G44807" s="1"/>
    </row>
    <row r="44808">
      <c r="B44808" s="36"/>
      <c r="C44808" s="36"/>
      <c r="E44808" s="1"/>
      <c r="F44808" s="1"/>
      <c r="G44808" s="1"/>
    </row>
    <row r="44809">
      <c r="B44809" s="36"/>
      <c r="C44809" s="36"/>
      <c r="E44809" s="1"/>
      <c r="F44809" s="1"/>
      <c r="G44809" s="1"/>
    </row>
    <row r="44810">
      <c r="B44810" s="36"/>
      <c r="C44810" s="36"/>
      <c r="E44810" s="1"/>
      <c r="F44810" s="1"/>
      <c r="G44810" s="1"/>
    </row>
    <row r="44811">
      <c r="B44811" s="36"/>
      <c r="C44811" s="36"/>
      <c r="E44811" s="1"/>
      <c r="F44811" s="1"/>
      <c r="G44811" s="1"/>
    </row>
    <row r="44812">
      <c r="B44812" s="36"/>
      <c r="C44812" s="36"/>
      <c r="E44812" s="1"/>
      <c r="F44812" s="1"/>
      <c r="G44812" s="1"/>
    </row>
    <row r="44813">
      <c r="B44813" s="36"/>
      <c r="C44813" s="36"/>
      <c r="E44813" s="1"/>
      <c r="F44813" s="1"/>
      <c r="G44813" s="1"/>
    </row>
    <row r="44814">
      <c r="B44814" s="36"/>
      <c r="C44814" s="36"/>
      <c r="E44814" s="1"/>
      <c r="F44814" s="1"/>
      <c r="G44814" s="1"/>
    </row>
    <row r="44815">
      <c r="B44815" s="36"/>
      <c r="C44815" s="36"/>
      <c r="E44815" s="1"/>
      <c r="F44815" s="1"/>
      <c r="G44815" s="1"/>
    </row>
    <row r="44816">
      <c r="B44816" s="36"/>
      <c r="C44816" s="36"/>
      <c r="E44816" s="1"/>
      <c r="F44816" s="1"/>
      <c r="G44816" s="1"/>
    </row>
    <row r="44817">
      <c r="B44817" s="36"/>
      <c r="C44817" s="36"/>
      <c r="E44817" s="1"/>
      <c r="F44817" s="1"/>
      <c r="G44817" s="1"/>
    </row>
    <row r="44818">
      <c r="B44818" s="36"/>
      <c r="C44818" s="36"/>
      <c r="E44818" s="1"/>
      <c r="F44818" s="1"/>
      <c r="G44818" s="1"/>
    </row>
    <row r="44819">
      <c r="B44819" s="36"/>
      <c r="C44819" s="36"/>
      <c r="E44819" s="1"/>
      <c r="F44819" s="1"/>
      <c r="G44819" s="1"/>
    </row>
    <row r="44820">
      <c r="B44820" s="36"/>
      <c r="C44820" s="36"/>
      <c r="E44820" s="1"/>
      <c r="F44820" s="1"/>
      <c r="G44820" s="1"/>
    </row>
    <row r="44821">
      <c r="B44821" s="36"/>
      <c r="C44821" s="36"/>
      <c r="E44821" s="1"/>
      <c r="F44821" s="1"/>
      <c r="G44821" s="1"/>
    </row>
    <row r="44822">
      <c r="B44822" s="36"/>
      <c r="C44822" s="36"/>
      <c r="E44822" s="1"/>
      <c r="F44822" s="1"/>
      <c r="G44822" s="1"/>
    </row>
    <row r="44823">
      <c r="B44823" s="36"/>
      <c r="C44823" s="36"/>
      <c r="E44823" s="1"/>
      <c r="F44823" s="1"/>
      <c r="G44823" s="1"/>
    </row>
    <row r="44824">
      <c r="B44824" s="36"/>
      <c r="C44824" s="36"/>
      <c r="E44824" s="1"/>
      <c r="F44824" s="1"/>
      <c r="G44824" s="1"/>
    </row>
    <row r="44825">
      <c r="B44825" s="36"/>
      <c r="C44825" s="36"/>
      <c r="E44825" s="1"/>
      <c r="F44825" s="1"/>
      <c r="G44825" s="1"/>
    </row>
    <row r="44826">
      <c r="B44826" s="36"/>
      <c r="C44826" s="36"/>
      <c r="E44826" s="1"/>
      <c r="F44826" s="1"/>
      <c r="G44826" s="1"/>
    </row>
    <row r="44827">
      <c r="B44827" s="36"/>
      <c r="C44827" s="36"/>
      <c r="E44827" s="1"/>
      <c r="F44827" s="1"/>
      <c r="G44827" s="1"/>
    </row>
    <row r="44828">
      <c r="B44828" s="36"/>
      <c r="C44828" s="36"/>
      <c r="E44828" s="1"/>
      <c r="F44828" s="1"/>
      <c r="G44828" s="1"/>
    </row>
    <row r="44829">
      <c r="B44829" s="36"/>
      <c r="C44829" s="36"/>
      <c r="E44829" s="1"/>
      <c r="F44829" s="1"/>
      <c r="G44829" s="1"/>
    </row>
    <row r="44830">
      <c r="B44830" s="36"/>
      <c r="C44830" s="36"/>
      <c r="E44830" s="1"/>
      <c r="F44830" s="1"/>
      <c r="G44830" s="1"/>
    </row>
    <row r="44831">
      <c r="B44831" s="36"/>
      <c r="C44831" s="36"/>
      <c r="E44831" s="1"/>
      <c r="F44831" s="1"/>
      <c r="G44831" s="1"/>
    </row>
    <row r="44832">
      <c r="B44832" s="36"/>
      <c r="C44832" s="36"/>
      <c r="E44832" s="1"/>
      <c r="F44832" s="1"/>
      <c r="G44832" s="1"/>
    </row>
    <row r="44833">
      <c r="B44833" s="36"/>
      <c r="C44833" s="36"/>
      <c r="E44833" s="1"/>
      <c r="F44833" s="1"/>
      <c r="G44833" s="1"/>
    </row>
    <row r="44834">
      <c r="B44834" s="36"/>
      <c r="C44834" s="36"/>
      <c r="E44834" s="1"/>
      <c r="F44834" s="1"/>
      <c r="G44834" s="1"/>
    </row>
    <row r="44835">
      <c r="B44835" s="36"/>
      <c r="C44835" s="36"/>
      <c r="E44835" s="1"/>
      <c r="F44835" s="1"/>
      <c r="G44835" s="1"/>
    </row>
    <row r="44836">
      <c r="B44836" s="36"/>
      <c r="C44836" s="36"/>
      <c r="E44836" s="1"/>
      <c r="F44836" s="1"/>
      <c r="G44836" s="1"/>
    </row>
    <row r="44837">
      <c r="B44837" s="36"/>
      <c r="C44837" s="36"/>
      <c r="E44837" s="1"/>
      <c r="F44837" s="1"/>
      <c r="G44837" s="1"/>
    </row>
    <row r="44838">
      <c r="B44838" s="36"/>
      <c r="C44838" s="36"/>
      <c r="E44838" s="1"/>
      <c r="F44838" s="1"/>
      <c r="G44838" s="1"/>
    </row>
    <row r="44839">
      <c r="B44839" s="36"/>
      <c r="C44839" s="36"/>
      <c r="E44839" s="1"/>
      <c r="F44839" s="1"/>
      <c r="G44839" s="1"/>
    </row>
    <row r="44840">
      <c r="B44840" s="36"/>
      <c r="C44840" s="36"/>
      <c r="E44840" s="1"/>
      <c r="F44840" s="1"/>
      <c r="G44840" s="1"/>
    </row>
    <row r="44841">
      <c r="B44841" s="36"/>
      <c r="C44841" s="36"/>
      <c r="E44841" s="1"/>
      <c r="F44841" s="1"/>
      <c r="G44841" s="1"/>
    </row>
    <row r="44842">
      <c r="B44842" s="36"/>
      <c r="C44842" s="36"/>
      <c r="E44842" s="1"/>
      <c r="F44842" s="1"/>
      <c r="G44842" s="1"/>
    </row>
    <row r="44843">
      <c r="B44843" s="36"/>
      <c r="C44843" s="36"/>
      <c r="E44843" s="1"/>
      <c r="F44843" s="1"/>
      <c r="G44843" s="1"/>
    </row>
    <row r="44844">
      <c r="B44844" s="36"/>
      <c r="C44844" s="36"/>
      <c r="E44844" s="1"/>
      <c r="F44844" s="1"/>
      <c r="G44844" s="1"/>
    </row>
    <row r="44845">
      <c r="B44845" s="36"/>
      <c r="C44845" s="36"/>
      <c r="E44845" s="1"/>
      <c r="F44845" s="1"/>
      <c r="G44845" s="1"/>
    </row>
    <row r="44846">
      <c r="B44846" s="36"/>
      <c r="C44846" s="36"/>
      <c r="E44846" s="1"/>
      <c r="F44846" s="1"/>
      <c r="G44846" s="1"/>
    </row>
    <row r="44847">
      <c r="B44847" s="36"/>
      <c r="C44847" s="36"/>
      <c r="E44847" s="1"/>
      <c r="F44847" s="1"/>
      <c r="G44847" s="1"/>
    </row>
    <row r="44848">
      <c r="B44848" s="36"/>
      <c r="C44848" s="36"/>
      <c r="E44848" s="1"/>
      <c r="F44848" s="1"/>
      <c r="G44848" s="1"/>
    </row>
    <row r="44849">
      <c r="B44849" s="36"/>
      <c r="C44849" s="36"/>
      <c r="E44849" s="1"/>
      <c r="F44849" s="1"/>
      <c r="G44849" s="1"/>
    </row>
    <row r="44850">
      <c r="B44850" s="36"/>
      <c r="C44850" s="36"/>
      <c r="E44850" s="1"/>
      <c r="F44850" s="1"/>
      <c r="G44850" s="1"/>
    </row>
    <row r="44851">
      <c r="B44851" s="36"/>
      <c r="C44851" s="36"/>
      <c r="E44851" s="1"/>
      <c r="F44851" s="1"/>
      <c r="G44851" s="1"/>
    </row>
    <row r="44852">
      <c r="B44852" s="36"/>
      <c r="C44852" s="36"/>
      <c r="E44852" s="1"/>
      <c r="F44852" s="1"/>
      <c r="G44852" s="1"/>
    </row>
    <row r="44853">
      <c r="B44853" s="36"/>
      <c r="C44853" s="36"/>
      <c r="E44853" s="1"/>
      <c r="F44853" s="1"/>
      <c r="G44853" s="1"/>
    </row>
    <row r="44854">
      <c r="B44854" s="36"/>
      <c r="C44854" s="36"/>
      <c r="E44854" s="1"/>
      <c r="F44854" s="1"/>
      <c r="G44854" s="1"/>
    </row>
    <row r="44855">
      <c r="B44855" s="36"/>
      <c r="C44855" s="36"/>
      <c r="E44855" s="1"/>
      <c r="F44855" s="1"/>
      <c r="G44855" s="1"/>
    </row>
    <row r="44856">
      <c r="B44856" s="36"/>
      <c r="C44856" s="36"/>
      <c r="E44856" s="1"/>
      <c r="F44856" s="1"/>
      <c r="G44856" s="1"/>
    </row>
    <row r="44857">
      <c r="B44857" s="36"/>
      <c r="C44857" s="36"/>
      <c r="E44857" s="1"/>
      <c r="F44857" s="1"/>
      <c r="G44857" s="1"/>
    </row>
    <row r="44858">
      <c r="B44858" s="36"/>
      <c r="C44858" s="36"/>
      <c r="E44858" s="1"/>
      <c r="F44858" s="1"/>
      <c r="G44858" s="1"/>
    </row>
    <row r="44859">
      <c r="B44859" s="36"/>
      <c r="C44859" s="36"/>
      <c r="E44859" s="1"/>
      <c r="F44859" s="1"/>
      <c r="G44859" s="1"/>
    </row>
    <row r="44860">
      <c r="B44860" s="36"/>
      <c r="C44860" s="36"/>
      <c r="E44860" s="1"/>
      <c r="F44860" s="1"/>
      <c r="G44860" s="1"/>
    </row>
    <row r="44861">
      <c r="B44861" s="36"/>
      <c r="C44861" s="36"/>
      <c r="E44861" s="1"/>
      <c r="F44861" s="1"/>
      <c r="G44861" s="1"/>
    </row>
    <row r="44862">
      <c r="B44862" s="36"/>
      <c r="C44862" s="36"/>
      <c r="E44862" s="1"/>
      <c r="F44862" s="1"/>
      <c r="G44862" s="1"/>
    </row>
    <row r="44863">
      <c r="B44863" s="36"/>
      <c r="C44863" s="36"/>
      <c r="E44863" s="1"/>
      <c r="F44863" s="1"/>
      <c r="G44863" s="1"/>
    </row>
    <row r="44864">
      <c r="B44864" s="36"/>
      <c r="C44864" s="36"/>
      <c r="E44864" s="1"/>
      <c r="F44864" s="1"/>
      <c r="G44864" s="1"/>
    </row>
    <row r="44865">
      <c r="B44865" s="36"/>
      <c r="C44865" s="36"/>
      <c r="E44865" s="1"/>
      <c r="F44865" s="1"/>
      <c r="G44865" s="1"/>
    </row>
    <row r="44866">
      <c r="B44866" s="36"/>
      <c r="C44866" s="36"/>
      <c r="E44866" s="1"/>
      <c r="F44866" s="1"/>
      <c r="G44866" s="1"/>
    </row>
    <row r="44867">
      <c r="B44867" s="36"/>
      <c r="C44867" s="36"/>
      <c r="E44867" s="1"/>
      <c r="F44867" s="1"/>
      <c r="G44867" s="1"/>
    </row>
    <row r="44868">
      <c r="B44868" s="36"/>
      <c r="C44868" s="36"/>
      <c r="E44868" s="1"/>
      <c r="F44868" s="1"/>
      <c r="G44868" s="1"/>
    </row>
    <row r="44869">
      <c r="B44869" s="36"/>
      <c r="C44869" s="36"/>
      <c r="E44869" s="1"/>
      <c r="F44869" s="1"/>
      <c r="G44869" s="1"/>
    </row>
    <row r="44870">
      <c r="B44870" s="36"/>
      <c r="C44870" s="36"/>
      <c r="E44870" s="1"/>
      <c r="F44870" s="1"/>
      <c r="G44870" s="1"/>
    </row>
    <row r="44871">
      <c r="B44871" s="36"/>
      <c r="C44871" s="36"/>
      <c r="E44871" s="1"/>
      <c r="F44871" s="1"/>
      <c r="G44871" s="1"/>
    </row>
    <row r="44872">
      <c r="B44872" s="36"/>
      <c r="C44872" s="36"/>
      <c r="E44872" s="1"/>
      <c r="F44872" s="1"/>
      <c r="G44872" s="1"/>
    </row>
    <row r="44873">
      <c r="B44873" s="36"/>
      <c r="C44873" s="36"/>
      <c r="E44873" s="1"/>
      <c r="F44873" s="1"/>
      <c r="G44873" s="1"/>
    </row>
    <row r="44874">
      <c r="B44874" s="36"/>
      <c r="C44874" s="36"/>
      <c r="E44874" s="1"/>
      <c r="F44874" s="1"/>
      <c r="G44874" s="1"/>
    </row>
    <row r="44875">
      <c r="B44875" s="36"/>
      <c r="C44875" s="36"/>
      <c r="E44875" s="1"/>
      <c r="F44875" s="1"/>
      <c r="G44875" s="1"/>
    </row>
    <row r="44876">
      <c r="B44876" s="36"/>
      <c r="C44876" s="36"/>
      <c r="E44876" s="1"/>
      <c r="F44876" s="1"/>
      <c r="G44876" s="1"/>
    </row>
    <row r="44877">
      <c r="B44877" s="36"/>
      <c r="C44877" s="36"/>
      <c r="E44877" s="1"/>
      <c r="F44877" s="1"/>
      <c r="G44877" s="1"/>
    </row>
    <row r="44878">
      <c r="B44878" s="36"/>
      <c r="C44878" s="36"/>
      <c r="E44878" s="1"/>
      <c r="F44878" s="1"/>
      <c r="G44878" s="1"/>
    </row>
    <row r="44879">
      <c r="B44879" s="36"/>
      <c r="C44879" s="36"/>
      <c r="E44879" s="1"/>
      <c r="F44879" s="1"/>
      <c r="G44879" s="1"/>
    </row>
    <row r="44880">
      <c r="B44880" s="36"/>
      <c r="C44880" s="36"/>
      <c r="E44880" s="1"/>
      <c r="F44880" s="1"/>
      <c r="G44880" s="1"/>
    </row>
    <row r="44881">
      <c r="B44881" s="36"/>
      <c r="C44881" s="36"/>
      <c r="E44881" s="1"/>
      <c r="F44881" s="1"/>
      <c r="G44881" s="1"/>
    </row>
    <row r="44882">
      <c r="B44882" s="36"/>
      <c r="C44882" s="36"/>
      <c r="E44882" s="1"/>
      <c r="F44882" s="1"/>
      <c r="G44882" s="1"/>
    </row>
    <row r="44883">
      <c r="B44883" s="36"/>
      <c r="C44883" s="36"/>
      <c r="E44883" s="1"/>
      <c r="F44883" s="1"/>
      <c r="G44883" s="1"/>
    </row>
    <row r="44884">
      <c r="B44884" s="36"/>
      <c r="C44884" s="36"/>
      <c r="E44884" s="1"/>
      <c r="F44884" s="1"/>
      <c r="G44884" s="1"/>
    </row>
    <row r="44885">
      <c r="B44885" s="36"/>
      <c r="C44885" s="36"/>
      <c r="E44885" s="1"/>
      <c r="F44885" s="1"/>
      <c r="G44885" s="1"/>
    </row>
    <row r="44886">
      <c r="B44886" s="36"/>
      <c r="C44886" s="36"/>
      <c r="E44886" s="1"/>
      <c r="F44886" s="1"/>
      <c r="G44886" s="1"/>
    </row>
    <row r="44887">
      <c r="B44887" s="36"/>
      <c r="C44887" s="36"/>
      <c r="E44887" s="1"/>
      <c r="F44887" s="1"/>
      <c r="G44887" s="1"/>
    </row>
    <row r="44888">
      <c r="B44888" s="36"/>
      <c r="C44888" s="36"/>
      <c r="E44888" s="1"/>
      <c r="F44888" s="1"/>
      <c r="G44888" s="1"/>
    </row>
    <row r="44889">
      <c r="B44889" s="36"/>
      <c r="C44889" s="36"/>
      <c r="E44889" s="1"/>
      <c r="F44889" s="1"/>
      <c r="G44889" s="1"/>
    </row>
    <row r="44890">
      <c r="B44890" s="36"/>
      <c r="C44890" s="36"/>
      <c r="E44890" s="1"/>
      <c r="F44890" s="1"/>
      <c r="G44890" s="1"/>
    </row>
    <row r="44891">
      <c r="B44891" s="36"/>
      <c r="C44891" s="36"/>
      <c r="E44891" s="1"/>
      <c r="F44891" s="1"/>
      <c r="G44891" s="1"/>
    </row>
    <row r="44892">
      <c r="B44892" s="36"/>
      <c r="C44892" s="36"/>
      <c r="E44892" s="1"/>
      <c r="F44892" s="1"/>
      <c r="G44892" s="1"/>
    </row>
    <row r="44893">
      <c r="B44893" s="36"/>
      <c r="C44893" s="36"/>
      <c r="E44893" s="1"/>
      <c r="F44893" s="1"/>
      <c r="G44893" s="1"/>
    </row>
    <row r="44894">
      <c r="B44894" s="36"/>
      <c r="C44894" s="36"/>
      <c r="E44894" s="1"/>
      <c r="F44894" s="1"/>
      <c r="G44894" s="1"/>
    </row>
    <row r="44895">
      <c r="B44895" s="36"/>
      <c r="C44895" s="36"/>
      <c r="E44895" s="1"/>
      <c r="F44895" s="1"/>
      <c r="G44895" s="1"/>
    </row>
    <row r="44896">
      <c r="B44896" s="36"/>
      <c r="C44896" s="36"/>
      <c r="E44896" s="1"/>
      <c r="F44896" s="1"/>
      <c r="G44896" s="1"/>
    </row>
    <row r="44897">
      <c r="B44897" s="36"/>
      <c r="C44897" s="36"/>
      <c r="E44897" s="1"/>
      <c r="F44897" s="1"/>
      <c r="G44897" s="1"/>
    </row>
    <row r="44898">
      <c r="B44898" s="36"/>
      <c r="C44898" s="36"/>
      <c r="E44898" s="1"/>
      <c r="F44898" s="1"/>
      <c r="G44898" s="1"/>
    </row>
    <row r="44899">
      <c r="B44899" s="36"/>
      <c r="C44899" s="36"/>
      <c r="E44899" s="1"/>
      <c r="F44899" s="1"/>
      <c r="G44899" s="1"/>
    </row>
    <row r="44900">
      <c r="B44900" s="36"/>
      <c r="C44900" s="36"/>
      <c r="E44900" s="1"/>
      <c r="F44900" s="1"/>
      <c r="G44900" s="1"/>
    </row>
    <row r="44901">
      <c r="B44901" s="36"/>
      <c r="C44901" s="36"/>
      <c r="E44901" s="1"/>
      <c r="F44901" s="1"/>
      <c r="G44901" s="1"/>
    </row>
    <row r="44902">
      <c r="B44902" s="36"/>
      <c r="C44902" s="36"/>
      <c r="E44902" s="1"/>
      <c r="F44902" s="1"/>
      <c r="G44902" s="1"/>
    </row>
    <row r="44903">
      <c r="B44903" s="36"/>
      <c r="C44903" s="36"/>
      <c r="E44903" s="1"/>
      <c r="F44903" s="1"/>
      <c r="G44903" s="1"/>
    </row>
    <row r="44904">
      <c r="B44904" s="36"/>
      <c r="C44904" s="36"/>
      <c r="E44904" s="1"/>
      <c r="F44904" s="1"/>
      <c r="G44904" s="1"/>
    </row>
    <row r="44905">
      <c r="B44905" s="36"/>
      <c r="C44905" s="36"/>
      <c r="E44905" s="1"/>
      <c r="F44905" s="1"/>
      <c r="G44905" s="1"/>
    </row>
    <row r="44906">
      <c r="B44906" s="36"/>
      <c r="C44906" s="36"/>
      <c r="E44906" s="1"/>
      <c r="F44906" s="1"/>
      <c r="G44906" s="1"/>
    </row>
    <row r="44907">
      <c r="B44907" s="36"/>
      <c r="C44907" s="36"/>
      <c r="E44907" s="1"/>
      <c r="F44907" s="1"/>
      <c r="G44907" s="1"/>
    </row>
    <row r="44908">
      <c r="B44908" s="36"/>
      <c r="C44908" s="36"/>
      <c r="E44908" s="1"/>
      <c r="F44908" s="1"/>
      <c r="G44908" s="1"/>
    </row>
    <row r="44909">
      <c r="B44909" s="36"/>
      <c r="C44909" s="36"/>
      <c r="E44909" s="1"/>
      <c r="F44909" s="1"/>
      <c r="G44909" s="1"/>
    </row>
    <row r="44910">
      <c r="B44910" s="36"/>
      <c r="C44910" s="36"/>
      <c r="E44910" s="1"/>
      <c r="F44910" s="1"/>
      <c r="G44910" s="1"/>
    </row>
    <row r="44911">
      <c r="B44911" s="36"/>
      <c r="C44911" s="36"/>
      <c r="E44911" s="1"/>
      <c r="F44911" s="1"/>
      <c r="G44911" s="1"/>
    </row>
    <row r="44912">
      <c r="B44912" s="36"/>
      <c r="C44912" s="36"/>
      <c r="E44912" s="1"/>
      <c r="F44912" s="1"/>
      <c r="G44912" s="1"/>
    </row>
    <row r="44913">
      <c r="B44913" s="36"/>
      <c r="C44913" s="36"/>
      <c r="E44913" s="1"/>
      <c r="F44913" s="1"/>
      <c r="G44913" s="1"/>
    </row>
    <row r="44914">
      <c r="B44914" s="36"/>
      <c r="C44914" s="36"/>
      <c r="E44914" s="1"/>
      <c r="F44914" s="1"/>
      <c r="G44914" s="1"/>
    </row>
    <row r="44915">
      <c r="B44915" s="36"/>
      <c r="C44915" s="36"/>
      <c r="E44915" s="1"/>
      <c r="F44915" s="1"/>
      <c r="G44915" s="1"/>
    </row>
    <row r="44916">
      <c r="B44916" s="36"/>
      <c r="C44916" s="36"/>
      <c r="E44916" s="1"/>
      <c r="F44916" s="1"/>
      <c r="G44916" s="1"/>
    </row>
    <row r="44917">
      <c r="B44917" s="36"/>
      <c r="C44917" s="36"/>
      <c r="E44917" s="1"/>
      <c r="F44917" s="1"/>
      <c r="G44917" s="1"/>
    </row>
    <row r="44918">
      <c r="B44918" s="36"/>
      <c r="C44918" s="36"/>
      <c r="E44918" s="1"/>
      <c r="F44918" s="1"/>
      <c r="G44918" s="1"/>
    </row>
    <row r="44919">
      <c r="B44919" s="36"/>
      <c r="C44919" s="36"/>
      <c r="E44919" s="1"/>
      <c r="F44919" s="1"/>
      <c r="G44919" s="1"/>
    </row>
    <row r="44920">
      <c r="B44920" s="36"/>
      <c r="C44920" s="36"/>
      <c r="E44920" s="1"/>
      <c r="F44920" s="1"/>
      <c r="G44920" s="1"/>
    </row>
    <row r="44921">
      <c r="B44921" s="36"/>
      <c r="C44921" s="36"/>
      <c r="E44921" s="1"/>
      <c r="F44921" s="1"/>
      <c r="G44921" s="1"/>
    </row>
    <row r="44922">
      <c r="B44922" s="36"/>
      <c r="C44922" s="36"/>
      <c r="E44922" s="1"/>
      <c r="F44922" s="1"/>
      <c r="G44922" s="1"/>
    </row>
    <row r="44923">
      <c r="B44923" s="36"/>
      <c r="C44923" s="36"/>
      <c r="E44923" s="1"/>
      <c r="F44923" s="1"/>
      <c r="G44923" s="1"/>
    </row>
    <row r="44924">
      <c r="B44924" s="36"/>
      <c r="C44924" s="36"/>
      <c r="E44924" s="1"/>
      <c r="F44924" s="1"/>
      <c r="G44924" s="1"/>
    </row>
    <row r="44925">
      <c r="B44925" s="36"/>
      <c r="C44925" s="36"/>
      <c r="E44925" s="1"/>
      <c r="F44925" s="1"/>
      <c r="G44925" s="1"/>
    </row>
    <row r="44926">
      <c r="B44926" s="36"/>
      <c r="C44926" s="36"/>
      <c r="E44926" s="1"/>
      <c r="F44926" s="1"/>
      <c r="G44926" s="1"/>
    </row>
    <row r="44927">
      <c r="B44927" s="36"/>
      <c r="C44927" s="36"/>
      <c r="E44927" s="1"/>
      <c r="F44927" s="1"/>
      <c r="G44927" s="1"/>
    </row>
    <row r="44928">
      <c r="B44928" s="36"/>
      <c r="C44928" s="36"/>
      <c r="E44928" s="1"/>
      <c r="F44928" s="1"/>
      <c r="G44928" s="1"/>
    </row>
    <row r="44929">
      <c r="B44929" s="36"/>
      <c r="C44929" s="36"/>
      <c r="E44929" s="1"/>
      <c r="F44929" s="1"/>
      <c r="G44929" s="1"/>
    </row>
    <row r="44930">
      <c r="B44930" s="36"/>
      <c r="C44930" s="36"/>
      <c r="E44930" s="1"/>
      <c r="F44930" s="1"/>
      <c r="G44930" s="1"/>
    </row>
    <row r="44931">
      <c r="B44931" s="36"/>
      <c r="C44931" s="36"/>
      <c r="E44931" s="1"/>
      <c r="F44931" s="1"/>
      <c r="G44931" s="1"/>
    </row>
    <row r="44932">
      <c r="B44932" s="36"/>
      <c r="C44932" s="36"/>
      <c r="E44932" s="1"/>
      <c r="F44932" s="1"/>
      <c r="G44932" s="1"/>
    </row>
    <row r="44933">
      <c r="B44933" s="36"/>
      <c r="C44933" s="36"/>
      <c r="E44933" s="1"/>
      <c r="F44933" s="1"/>
      <c r="G44933" s="1"/>
    </row>
    <row r="44934">
      <c r="B44934" s="36"/>
      <c r="C44934" s="36"/>
      <c r="E44934" s="1"/>
      <c r="F44934" s="1"/>
      <c r="G44934" s="1"/>
    </row>
    <row r="44935">
      <c r="B44935" s="36"/>
      <c r="C44935" s="36"/>
      <c r="E44935" s="1"/>
      <c r="F44935" s="1"/>
      <c r="G44935" s="1"/>
    </row>
    <row r="44936">
      <c r="B44936" s="36"/>
      <c r="C44936" s="36"/>
      <c r="E44936" s="1"/>
      <c r="F44936" s="1"/>
      <c r="G44936" s="1"/>
    </row>
    <row r="44937">
      <c r="B44937" s="36"/>
      <c r="C44937" s="36"/>
      <c r="E44937" s="1"/>
      <c r="F44937" s="1"/>
      <c r="G44937" s="1"/>
    </row>
    <row r="44938">
      <c r="B44938" s="36"/>
      <c r="C44938" s="36"/>
      <c r="E44938" s="1"/>
      <c r="F44938" s="1"/>
      <c r="G44938" s="1"/>
    </row>
    <row r="44939">
      <c r="B44939" s="36"/>
      <c r="C44939" s="36"/>
      <c r="E44939" s="1"/>
      <c r="F44939" s="1"/>
      <c r="G44939" s="1"/>
    </row>
    <row r="44940">
      <c r="B44940" s="36"/>
      <c r="C44940" s="36"/>
      <c r="E44940" s="1"/>
      <c r="F44940" s="1"/>
      <c r="G44940" s="1"/>
    </row>
    <row r="44941">
      <c r="B44941" s="36"/>
      <c r="C44941" s="36"/>
      <c r="E44941" s="1"/>
      <c r="F44941" s="1"/>
      <c r="G44941" s="1"/>
    </row>
    <row r="44942">
      <c r="B44942" s="36"/>
      <c r="C44942" s="36"/>
      <c r="E44942" s="1"/>
      <c r="F44942" s="1"/>
      <c r="G44942" s="1"/>
    </row>
    <row r="44943">
      <c r="B44943" s="36"/>
      <c r="C44943" s="36"/>
      <c r="E44943" s="1"/>
      <c r="F44943" s="1"/>
      <c r="G44943" s="1"/>
    </row>
    <row r="44944">
      <c r="B44944" s="36"/>
      <c r="C44944" s="36"/>
      <c r="E44944" s="1"/>
      <c r="F44944" s="1"/>
      <c r="G44944" s="1"/>
    </row>
    <row r="44945">
      <c r="B44945" s="36"/>
      <c r="C44945" s="36"/>
      <c r="E44945" s="1"/>
      <c r="F44945" s="1"/>
      <c r="G44945" s="1"/>
    </row>
    <row r="44946">
      <c r="B44946" s="36"/>
      <c r="C44946" s="36"/>
      <c r="E44946" s="1"/>
      <c r="F44946" s="1"/>
      <c r="G44946" s="1"/>
    </row>
    <row r="44947">
      <c r="B44947" s="36"/>
      <c r="C44947" s="36"/>
      <c r="E44947" s="1"/>
      <c r="F44947" s="1"/>
      <c r="G44947" s="1"/>
    </row>
    <row r="44948">
      <c r="B44948" s="36"/>
      <c r="C44948" s="36"/>
      <c r="E44948" s="1"/>
      <c r="F44948" s="1"/>
      <c r="G44948" s="1"/>
    </row>
    <row r="44949">
      <c r="B44949" s="36"/>
      <c r="C44949" s="36"/>
      <c r="E44949" s="1"/>
      <c r="F44949" s="1"/>
      <c r="G44949" s="1"/>
    </row>
    <row r="44950">
      <c r="B44950" s="36"/>
      <c r="C44950" s="36"/>
      <c r="E44950" s="1"/>
      <c r="F44950" s="1"/>
      <c r="G44950" s="1"/>
    </row>
    <row r="44951">
      <c r="B44951" s="36"/>
      <c r="C44951" s="36"/>
      <c r="E44951" s="1"/>
      <c r="F44951" s="1"/>
      <c r="G44951" s="1"/>
    </row>
    <row r="44952">
      <c r="B44952" s="36"/>
      <c r="C44952" s="36"/>
      <c r="E44952" s="1"/>
      <c r="F44952" s="1"/>
      <c r="G44952" s="1"/>
    </row>
    <row r="44953">
      <c r="B44953" s="36"/>
      <c r="C44953" s="36"/>
      <c r="E44953" s="1"/>
      <c r="F44953" s="1"/>
      <c r="G44953" s="1"/>
    </row>
    <row r="44954">
      <c r="B44954" s="36"/>
      <c r="C44954" s="36"/>
      <c r="E44954" s="1"/>
      <c r="F44954" s="1"/>
      <c r="G44954" s="1"/>
    </row>
    <row r="44955">
      <c r="B44955" s="36"/>
      <c r="C44955" s="36"/>
      <c r="E44955" s="1"/>
      <c r="F44955" s="1"/>
      <c r="G44955" s="1"/>
    </row>
    <row r="44956">
      <c r="B44956" s="36"/>
      <c r="C44956" s="36"/>
      <c r="E44956" s="1"/>
      <c r="F44956" s="1"/>
      <c r="G44956" s="1"/>
    </row>
    <row r="44957">
      <c r="B44957" s="36"/>
      <c r="C44957" s="36"/>
      <c r="E44957" s="1"/>
      <c r="F44957" s="1"/>
      <c r="G44957" s="1"/>
    </row>
    <row r="44958">
      <c r="B44958" s="36"/>
      <c r="C44958" s="36"/>
      <c r="E44958" s="1"/>
      <c r="F44958" s="1"/>
      <c r="G44958" s="1"/>
    </row>
    <row r="44959">
      <c r="B44959" s="36"/>
      <c r="C44959" s="36"/>
      <c r="E44959" s="1"/>
      <c r="F44959" s="1"/>
      <c r="G44959" s="1"/>
    </row>
    <row r="44960">
      <c r="B44960" s="36"/>
      <c r="C44960" s="36"/>
      <c r="E44960" s="1"/>
      <c r="F44960" s="1"/>
      <c r="G44960" s="1"/>
    </row>
    <row r="44961">
      <c r="B44961" s="36"/>
      <c r="C44961" s="36"/>
      <c r="E44961" s="1"/>
      <c r="F44961" s="1"/>
      <c r="G44961" s="1"/>
    </row>
    <row r="44962">
      <c r="B44962" s="36"/>
      <c r="C44962" s="36"/>
      <c r="E44962" s="1"/>
      <c r="F44962" s="1"/>
      <c r="G44962" s="1"/>
    </row>
    <row r="44963">
      <c r="B44963" s="36"/>
      <c r="C44963" s="36"/>
      <c r="E44963" s="1"/>
      <c r="F44963" s="1"/>
      <c r="G44963" s="1"/>
    </row>
    <row r="44964">
      <c r="B44964" s="36"/>
      <c r="C44964" s="36"/>
      <c r="E44964" s="1"/>
      <c r="F44964" s="1"/>
      <c r="G44964" s="1"/>
    </row>
    <row r="44965">
      <c r="B44965" s="36"/>
      <c r="C44965" s="36"/>
      <c r="E44965" s="1"/>
      <c r="F44965" s="1"/>
      <c r="G44965" s="1"/>
    </row>
    <row r="44966">
      <c r="B44966" s="36"/>
      <c r="C44966" s="36"/>
      <c r="E44966" s="1"/>
      <c r="F44966" s="1"/>
      <c r="G44966" s="1"/>
    </row>
    <row r="44967">
      <c r="B44967" s="36"/>
      <c r="C44967" s="36"/>
      <c r="E44967" s="1"/>
      <c r="F44967" s="1"/>
      <c r="G44967" s="1"/>
    </row>
    <row r="44968">
      <c r="B44968" s="36"/>
      <c r="C44968" s="36"/>
      <c r="E44968" s="1"/>
      <c r="F44968" s="1"/>
      <c r="G44968" s="1"/>
    </row>
    <row r="44969">
      <c r="B44969" s="36"/>
      <c r="C44969" s="36"/>
      <c r="E44969" s="1"/>
      <c r="F44969" s="1"/>
      <c r="G44969" s="1"/>
    </row>
    <row r="44970">
      <c r="B44970" s="36"/>
      <c r="C44970" s="36"/>
      <c r="E44970" s="1"/>
      <c r="F44970" s="1"/>
      <c r="G44970" s="1"/>
    </row>
    <row r="44971">
      <c r="B44971" s="36"/>
      <c r="C44971" s="36"/>
      <c r="E44971" s="1"/>
      <c r="F44971" s="1"/>
      <c r="G44971" s="1"/>
    </row>
    <row r="44972">
      <c r="B44972" s="36"/>
      <c r="C44972" s="36"/>
      <c r="E44972" s="1"/>
      <c r="F44972" s="1"/>
      <c r="G44972" s="1"/>
    </row>
    <row r="44973">
      <c r="B44973" s="36"/>
      <c r="C44973" s="36"/>
      <c r="E44973" s="1"/>
      <c r="F44973" s="1"/>
      <c r="G44973" s="1"/>
    </row>
    <row r="44974">
      <c r="B44974" s="36"/>
      <c r="C44974" s="36"/>
      <c r="E44974" s="1"/>
      <c r="F44974" s="1"/>
      <c r="G44974" s="1"/>
    </row>
    <row r="44975">
      <c r="B44975" s="36"/>
      <c r="C44975" s="36"/>
      <c r="E44975" s="1"/>
      <c r="F44975" s="1"/>
      <c r="G44975" s="1"/>
    </row>
    <row r="44976">
      <c r="B44976" s="36"/>
      <c r="C44976" s="36"/>
      <c r="E44976" s="1"/>
      <c r="F44976" s="1"/>
      <c r="G44976" s="1"/>
    </row>
    <row r="44977">
      <c r="B44977" s="36"/>
      <c r="C44977" s="36"/>
      <c r="E44977" s="1"/>
      <c r="F44977" s="1"/>
      <c r="G44977" s="1"/>
    </row>
    <row r="44978">
      <c r="B44978" s="36"/>
      <c r="C44978" s="36"/>
      <c r="E44978" s="1"/>
      <c r="F44978" s="1"/>
      <c r="G44978" s="1"/>
    </row>
    <row r="44979">
      <c r="B44979" s="36"/>
      <c r="C44979" s="36"/>
      <c r="E44979" s="1"/>
      <c r="F44979" s="1"/>
      <c r="G44979" s="1"/>
    </row>
    <row r="44980">
      <c r="B44980" s="36"/>
      <c r="C44980" s="36"/>
      <c r="E44980" s="1"/>
      <c r="F44980" s="1"/>
      <c r="G44980" s="1"/>
    </row>
    <row r="44981">
      <c r="B44981" s="36"/>
      <c r="C44981" s="36"/>
      <c r="E44981" s="1"/>
      <c r="F44981" s="1"/>
      <c r="G44981" s="1"/>
    </row>
    <row r="44982">
      <c r="B44982" s="36"/>
      <c r="C44982" s="36"/>
      <c r="E44982" s="1"/>
      <c r="F44982" s="1"/>
      <c r="G44982" s="1"/>
    </row>
    <row r="44983">
      <c r="B44983" s="36"/>
      <c r="C44983" s="36"/>
      <c r="E44983" s="1"/>
      <c r="F44983" s="1"/>
      <c r="G44983" s="1"/>
    </row>
    <row r="44984">
      <c r="B44984" s="36"/>
      <c r="C44984" s="36"/>
      <c r="E44984" s="1"/>
      <c r="F44984" s="1"/>
      <c r="G44984" s="1"/>
    </row>
    <row r="44985">
      <c r="B44985" s="36"/>
      <c r="C44985" s="36"/>
      <c r="E44985" s="1"/>
      <c r="F44985" s="1"/>
      <c r="G44985" s="1"/>
    </row>
    <row r="44986">
      <c r="B44986" s="36"/>
      <c r="C44986" s="36"/>
      <c r="E44986" s="1"/>
      <c r="F44986" s="1"/>
      <c r="G44986" s="1"/>
    </row>
    <row r="44987">
      <c r="B44987" s="36"/>
      <c r="C44987" s="36"/>
      <c r="E44987" s="1"/>
      <c r="F44987" s="1"/>
      <c r="G44987" s="1"/>
    </row>
    <row r="44988">
      <c r="B44988" s="36"/>
      <c r="C44988" s="36"/>
      <c r="E44988" s="1"/>
      <c r="F44988" s="1"/>
      <c r="G44988" s="1"/>
    </row>
    <row r="44989">
      <c r="B44989" s="36"/>
      <c r="C44989" s="36"/>
      <c r="E44989" s="1"/>
      <c r="F44989" s="1"/>
      <c r="G44989" s="1"/>
    </row>
    <row r="44990">
      <c r="B44990" s="36"/>
      <c r="C44990" s="36"/>
      <c r="E44990" s="1"/>
      <c r="F44990" s="1"/>
      <c r="G44990" s="1"/>
    </row>
    <row r="44991">
      <c r="B44991" s="36"/>
      <c r="C44991" s="36"/>
      <c r="E44991" s="1"/>
      <c r="F44991" s="1"/>
      <c r="G44991" s="1"/>
    </row>
    <row r="44992">
      <c r="B44992" s="36"/>
      <c r="C44992" s="36"/>
      <c r="E44992" s="1"/>
      <c r="F44992" s="1"/>
      <c r="G44992" s="1"/>
    </row>
    <row r="44993">
      <c r="B44993" s="36"/>
      <c r="C44993" s="36"/>
      <c r="E44993" s="1"/>
      <c r="F44993" s="1"/>
      <c r="G44993" s="1"/>
    </row>
    <row r="44994">
      <c r="B44994" s="36"/>
      <c r="C44994" s="36"/>
      <c r="E44994" s="1"/>
      <c r="F44994" s="1"/>
      <c r="G44994" s="1"/>
    </row>
    <row r="44995">
      <c r="B44995" s="36"/>
      <c r="C44995" s="36"/>
      <c r="E44995" s="1"/>
      <c r="F44995" s="1"/>
      <c r="G44995" s="1"/>
    </row>
    <row r="44996">
      <c r="B44996" s="36"/>
      <c r="C44996" s="36"/>
      <c r="E44996" s="1"/>
      <c r="F44996" s="1"/>
      <c r="G44996" s="1"/>
    </row>
    <row r="44997">
      <c r="B44997" s="36"/>
      <c r="C44997" s="36"/>
      <c r="E44997" s="1"/>
      <c r="F44997" s="1"/>
      <c r="G44997" s="1"/>
    </row>
    <row r="44998">
      <c r="B44998" s="36"/>
      <c r="C44998" s="36"/>
      <c r="E44998" s="1"/>
      <c r="F44998" s="1"/>
      <c r="G44998" s="1"/>
    </row>
    <row r="44999">
      <c r="B44999" s="36"/>
      <c r="C44999" s="36"/>
      <c r="E44999" s="1"/>
      <c r="F44999" s="1"/>
      <c r="G44999" s="1"/>
    </row>
    <row r="45000">
      <c r="B45000" s="36"/>
      <c r="C45000" s="36"/>
      <c r="E45000" s="1"/>
      <c r="F45000" s="1"/>
      <c r="G45000" s="1"/>
    </row>
    <row r="45001">
      <c r="B45001" s="36"/>
      <c r="C45001" s="36"/>
      <c r="E45001" s="1"/>
      <c r="F45001" s="1"/>
      <c r="G45001" s="1"/>
    </row>
    <row r="45002">
      <c r="B45002" s="36"/>
      <c r="C45002" s="36"/>
      <c r="E45002" s="1"/>
      <c r="F45002" s="1"/>
      <c r="G45002" s="1"/>
    </row>
    <row r="45003">
      <c r="B45003" s="36"/>
      <c r="C45003" s="36"/>
      <c r="E45003" s="1"/>
      <c r="F45003" s="1"/>
      <c r="G45003" s="1"/>
    </row>
    <row r="45004">
      <c r="B45004" s="36"/>
      <c r="C45004" s="36"/>
      <c r="E45004" s="1"/>
      <c r="F45004" s="1"/>
      <c r="G45004" s="1"/>
    </row>
    <row r="45005">
      <c r="B45005" s="36"/>
      <c r="C45005" s="36"/>
      <c r="E45005" s="1"/>
      <c r="F45005" s="1"/>
      <c r="G45005" s="1"/>
    </row>
    <row r="45006">
      <c r="B45006" s="36"/>
      <c r="C45006" s="36"/>
      <c r="E45006" s="1"/>
      <c r="F45006" s="1"/>
      <c r="G45006" s="1"/>
    </row>
    <row r="45007">
      <c r="B45007" s="36"/>
      <c r="C45007" s="36"/>
      <c r="E45007" s="1"/>
      <c r="F45007" s="1"/>
      <c r="G45007" s="1"/>
    </row>
    <row r="45008">
      <c r="B45008" s="36"/>
      <c r="C45008" s="36"/>
      <c r="E45008" s="1"/>
      <c r="F45008" s="1"/>
      <c r="G45008" s="1"/>
    </row>
    <row r="45009">
      <c r="B45009" s="36"/>
      <c r="C45009" s="36"/>
      <c r="E45009" s="1"/>
      <c r="F45009" s="1"/>
      <c r="G45009" s="1"/>
    </row>
    <row r="45010">
      <c r="B45010" s="36"/>
      <c r="C45010" s="36"/>
      <c r="E45010" s="1"/>
      <c r="F45010" s="1"/>
      <c r="G45010" s="1"/>
    </row>
    <row r="45011">
      <c r="B45011" s="36"/>
      <c r="C45011" s="36"/>
      <c r="E45011" s="1"/>
      <c r="F45011" s="1"/>
      <c r="G45011" s="1"/>
    </row>
    <row r="45012">
      <c r="B45012" s="36"/>
      <c r="C45012" s="36"/>
      <c r="E45012" s="1"/>
      <c r="F45012" s="1"/>
      <c r="G45012" s="1"/>
    </row>
    <row r="45013">
      <c r="B45013" s="36"/>
      <c r="C45013" s="36"/>
      <c r="E45013" s="1"/>
      <c r="F45013" s="1"/>
      <c r="G45013" s="1"/>
    </row>
    <row r="45014">
      <c r="B45014" s="36"/>
      <c r="C45014" s="36"/>
      <c r="E45014" s="1"/>
      <c r="F45014" s="1"/>
      <c r="G45014" s="1"/>
    </row>
    <row r="45015">
      <c r="B45015" s="36"/>
      <c r="C45015" s="36"/>
      <c r="E45015" s="1"/>
      <c r="F45015" s="1"/>
      <c r="G45015" s="1"/>
    </row>
    <row r="45016">
      <c r="B45016" s="36"/>
      <c r="C45016" s="36"/>
      <c r="E45016" s="1"/>
      <c r="F45016" s="1"/>
      <c r="G45016" s="1"/>
    </row>
    <row r="45017">
      <c r="B45017" s="36"/>
      <c r="C45017" s="36"/>
      <c r="E45017" s="1"/>
      <c r="F45017" s="1"/>
      <c r="G45017" s="1"/>
    </row>
    <row r="45018">
      <c r="B45018" s="36"/>
      <c r="C45018" s="36"/>
      <c r="E45018" s="1"/>
      <c r="F45018" s="1"/>
      <c r="G45018" s="1"/>
    </row>
    <row r="45019">
      <c r="B45019" s="36"/>
      <c r="C45019" s="36"/>
      <c r="E45019" s="1"/>
      <c r="F45019" s="1"/>
      <c r="G45019" s="1"/>
    </row>
    <row r="45020">
      <c r="B45020" s="36"/>
      <c r="C45020" s="36"/>
      <c r="E45020" s="1"/>
      <c r="F45020" s="1"/>
      <c r="G45020" s="1"/>
    </row>
    <row r="45021">
      <c r="B45021" s="36"/>
      <c r="C45021" s="36"/>
      <c r="E45021" s="1"/>
      <c r="F45021" s="1"/>
      <c r="G45021" s="1"/>
    </row>
    <row r="45022">
      <c r="B45022" s="36"/>
      <c r="C45022" s="36"/>
      <c r="E45022" s="1"/>
      <c r="F45022" s="1"/>
      <c r="G45022" s="1"/>
    </row>
    <row r="45023">
      <c r="B45023" s="36"/>
      <c r="C45023" s="36"/>
      <c r="E45023" s="1"/>
      <c r="F45023" s="1"/>
      <c r="G45023" s="1"/>
    </row>
    <row r="45024">
      <c r="B45024" s="36"/>
      <c r="C45024" s="36"/>
      <c r="E45024" s="1"/>
      <c r="F45024" s="1"/>
      <c r="G45024" s="1"/>
    </row>
    <row r="45025">
      <c r="B45025" s="36"/>
      <c r="C45025" s="36"/>
      <c r="E45025" s="1"/>
      <c r="F45025" s="1"/>
      <c r="G45025" s="1"/>
    </row>
    <row r="45026">
      <c r="B45026" s="36"/>
      <c r="C45026" s="36"/>
      <c r="E45026" s="1"/>
      <c r="F45026" s="1"/>
      <c r="G45026" s="1"/>
    </row>
    <row r="45027">
      <c r="B45027" s="36"/>
      <c r="C45027" s="36"/>
      <c r="E45027" s="1"/>
      <c r="F45027" s="1"/>
      <c r="G45027" s="1"/>
    </row>
    <row r="45028">
      <c r="B45028" s="36"/>
      <c r="C45028" s="36"/>
      <c r="E45028" s="1"/>
      <c r="F45028" s="1"/>
      <c r="G45028" s="1"/>
    </row>
    <row r="45029">
      <c r="B45029" s="36"/>
      <c r="C45029" s="36"/>
      <c r="E45029" s="1"/>
      <c r="F45029" s="1"/>
      <c r="G45029" s="1"/>
    </row>
    <row r="45030">
      <c r="B45030" s="36"/>
      <c r="C45030" s="36"/>
      <c r="E45030" s="1"/>
      <c r="F45030" s="1"/>
      <c r="G45030" s="1"/>
    </row>
    <row r="45031">
      <c r="B45031" s="36"/>
      <c r="C45031" s="36"/>
      <c r="E45031" s="1"/>
      <c r="F45031" s="1"/>
      <c r="G45031" s="1"/>
    </row>
    <row r="45032">
      <c r="B45032" s="36"/>
      <c r="C45032" s="36"/>
      <c r="E45032" s="1"/>
      <c r="F45032" s="1"/>
      <c r="G45032" s="1"/>
    </row>
    <row r="45033">
      <c r="B45033" s="36"/>
      <c r="C45033" s="36"/>
      <c r="E45033" s="1"/>
      <c r="F45033" s="1"/>
      <c r="G45033" s="1"/>
    </row>
    <row r="45034">
      <c r="B45034" s="36"/>
      <c r="C45034" s="36"/>
      <c r="E45034" s="1"/>
      <c r="F45034" s="1"/>
      <c r="G45034" s="1"/>
    </row>
    <row r="45035">
      <c r="B45035" s="36"/>
      <c r="C45035" s="36"/>
      <c r="E45035" s="1"/>
      <c r="F45035" s="1"/>
      <c r="G45035" s="1"/>
    </row>
    <row r="45036">
      <c r="B45036" s="36"/>
      <c r="C45036" s="36"/>
      <c r="E45036" s="1"/>
      <c r="F45036" s="1"/>
      <c r="G45036" s="1"/>
    </row>
    <row r="45037">
      <c r="B45037" s="36"/>
      <c r="C45037" s="36"/>
      <c r="E45037" s="1"/>
      <c r="F45037" s="1"/>
      <c r="G45037" s="1"/>
    </row>
    <row r="45038">
      <c r="B45038" s="36"/>
      <c r="C45038" s="36"/>
      <c r="E45038" s="1"/>
      <c r="F45038" s="1"/>
      <c r="G45038" s="1"/>
    </row>
    <row r="45039">
      <c r="B45039" s="36"/>
      <c r="C45039" s="36"/>
      <c r="E45039" s="1"/>
      <c r="F45039" s="1"/>
      <c r="G45039" s="1"/>
    </row>
    <row r="45040">
      <c r="B45040" s="36"/>
      <c r="C45040" s="36"/>
      <c r="E45040" s="1"/>
      <c r="F45040" s="1"/>
      <c r="G45040" s="1"/>
    </row>
    <row r="45041">
      <c r="B45041" s="36"/>
      <c r="C45041" s="36"/>
      <c r="E45041" s="1"/>
      <c r="F45041" s="1"/>
      <c r="G45041" s="1"/>
    </row>
    <row r="45042">
      <c r="B45042" s="36"/>
      <c r="C45042" s="36"/>
      <c r="E45042" s="1"/>
      <c r="F45042" s="1"/>
      <c r="G45042" s="1"/>
    </row>
    <row r="45043">
      <c r="B45043" s="36"/>
      <c r="C45043" s="36"/>
      <c r="E45043" s="1"/>
      <c r="F45043" s="1"/>
      <c r="G45043" s="1"/>
    </row>
    <row r="45044">
      <c r="B45044" s="36"/>
      <c r="C45044" s="36"/>
      <c r="E45044" s="1"/>
      <c r="F45044" s="1"/>
      <c r="G45044" s="1"/>
    </row>
    <row r="45045">
      <c r="B45045" s="36"/>
      <c r="C45045" s="36"/>
      <c r="E45045" s="1"/>
      <c r="F45045" s="1"/>
      <c r="G45045" s="1"/>
    </row>
    <row r="45046">
      <c r="B45046" s="36"/>
      <c r="C45046" s="36"/>
      <c r="E45046" s="1"/>
      <c r="F45046" s="1"/>
      <c r="G45046" s="1"/>
    </row>
    <row r="45047">
      <c r="B45047" s="36"/>
      <c r="C45047" s="36"/>
      <c r="E45047" s="1"/>
      <c r="F45047" s="1"/>
      <c r="G45047" s="1"/>
    </row>
    <row r="45048">
      <c r="B45048" s="36"/>
      <c r="C45048" s="36"/>
      <c r="E45048" s="1"/>
      <c r="F45048" s="1"/>
      <c r="G45048" s="1"/>
    </row>
    <row r="45049">
      <c r="B45049" s="36"/>
      <c r="C45049" s="36"/>
      <c r="E45049" s="1"/>
      <c r="F45049" s="1"/>
      <c r="G45049" s="1"/>
    </row>
    <row r="45050">
      <c r="B45050" s="36"/>
      <c r="C45050" s="36"/>
      <c r="E45050" s="1"/>
      <c r="F45050" s="1"/>
      <c r="G45050" s="1"/>
    </row>
    <row r="45051">
      <c r="B45051" s="36"/>
      <c r="C45051" s="36"/>
      <c r="E45051" s="1"/>
      <c r="F45051" s="1"/>
      <c r="G45051" s="1"/>
    </row>
    <row r="45052">
      <c r="B45052" s="36"/>
      <c r="C45052" s="36"/>
      <c r="E45052" s="1"/>
      <c r="F45052" s="1"/>
      <c r="G45052" s="1"/>
    </row>
    <row r="45053">
      <c r="B45053" s="36"/>
      <c r="C45053" s="36"/>
      <c r="E45053" s="1"/>
      <c r="F45053" s="1"/>
      <c r="G45053" s="1"/>
    </row>
    <row r="45054">
      <c r="B45054" s="36"/>
      <c r="C45054" s="36"/>
      <c r="E45054" s="1"/>
      <c r="F45054" s="1"/>
      <c r="G45054" s="1"/>
    </row>
    <row r="45055">
      <c r="B45055" s="36"/>
      <c r="C45055" s="36"/>
      <c r="E45055" s="1"/>
      <c r="F45055" s="1"/>
      <c r="G45055" s="1"/>
    </row>
    <row r="45056">
      <c r="B45056" s="36"/>
      <c r="C45056" s="36"/>
      <c r="E45056" s="1"/>
      <c r="F45056" s="1"/>
      <c r="G45056" s="1"/>
    </row>
    <row r="45057">
      <c r="B45057" s="36"/>
      <c r="C45057" s="36"/>
      <c r="E45057" s="1"/>
      <c r="F45057" s="1"/>
      <c r="G45057" s="1"/>
    </row>
    <row r="45058">
      <c r="B45058" s="36"/>
      <c r="C45058" s="36"/>
      <c r="E45058" s="1"/>
      <c r="F45058" s="1"/>
      <c r="G45058" s="1"/>
    </row>
    <row r="45059">
      <c r="B45059" s="36"/>
      <c r="C45059" s="36"/>
      <c r="E45059" s="1"/>
      <c r="F45059" s="1"/>
      <c r="G45059" s="1"/>
    </row>
    <row r="45060">
      <c r="B45060" s="36"/>
      <c r="C45060" s="36"/>
      <c r="E45060" s="1"/>
      <c r="F45060" s="1"/>
      <c r="G45060" s="1"/>
    </row>
    <row r="45061">
      <c r="B45061" s="36"/>
      <c r="C45061" s="36"/>
      <c r="E45061" s="1"/>
      <c r="F45061" s="1"/>
      <c r="G45061" s="1"/>
    </row>
    <row r="45062">
      <c r="B45062" s="36"/>
      <c r="C45062" s="36"/>
      <c r="E45062" s="1"/>
      <c r="F45062" s="1"/>
      <c r="G45062" s="1"/>
    </row>
    <row r="45063">
      <c r="B45063" s="36"/>
      <c r="C45063" s="36"/>
      <c r="E45063" s="1"/>
      <c r="F45063" s="1"/>
      <c r="G45063" s="1"/>
    </row>
    <row r="45064">
      <c r="B45064" s="36"/>
      <c r="C45064" s="36"/>
      <c r="E45064" s="1"/>
      <c r="F45064" s="1"/>
      <c r="G45064" s="1"/>
    </row>
    <row r="45065">
      <c r="B45065" s="36"/>
      <c r="C45065" s="36"/>
      <c r="E45065" s="1"/>
      <c r="F45065" s="1"/>
      <c r="G45065" s="1"/>
    </row>
    <row r="45066">
      <c r="B45066" s="36"/>
      <c r="C45066" s="36"/>
      <c r="E45066" s="1"/>
      <c r="F45066" s="1"/>
      <c r="G45066" s="1"/>
    </row>
    <row r="45067">
      <c r="B45067" s="36"/>
      <c r="C45067" s="36"/>
      <c r="E45067" s="1"/>
      <c r="F45067" s="1"/>
      <c r="G45067" s="1"/>
    </row>
    <row r="45068">
      <c r="B45068" s="36"/>
      <c r="C45068" s="36"/>
      <c r="E45068" s="1"/>
      <c r="F45068" s="1"/>
      <c r="G45068" s="1"/>
    </row>
    <row r="45069">
      <c r="B45069" s="36"/>
      <c r="C45069" s="36"/>
      <c r="E45069" s="1"/>
      <c r="F45069" s="1"/>
      <c r="G45069" s="1"/>
    </row>
    <row r="45070">
      <c r="B45070" s="36"/>
      <c r="C45070" s="36"/>
      <c r="E45070" s="1"/>
      <c r="F45070" s="1"/>
      <c r="G45070" s="1"/>
    </row>
    <row r="45071">
      <c r="B45071" s="36"/>
      <c r="C45071" s="36"/>
      <c r="E45071" s="1"/>
      <c r="F45071" s="1"/>
      <c r="G45071" s="1"/>
    </row>
    <row r="45072">
      <c r="B45072" s="36"/>
      <c r="C45072" s="36"/>
      <c r="E45072" s="1"/>
      <c r="F45072" s="1"/>
      <c r="G45072" s="1"/>
    </row>
    <row r="45073">
      <c r="B45073" s="36"/>
      <c r="C45073" s="36"/>
      <c r="E45073" s="1"/>
      <c r="F45073" s="1"/>
      <c r="G45073" s="1"/>
    </row>
    <row r="45074">
      <c r="B45074" s="36"/>
      <c r="C45074" s="36"/>
      <c r="E45074" s="1"/>
      <c r="F45074" s="1"/>
      <c r="G45074" s="1"/>
    </row>
    <row r="45075">
      <c r="B45075" s="36"/>
      <c r="C45075" s="36"/>
      <c r="E45075" s="1"/>
      <c r="F45075" s="1"/>
      <c r="G45075" s="1"/>
    </row>
    <row r="45076">
      <c r="B45076" s="36"/>
      <c r="C45076" s="36"/>
      <c r="E45076" s="1"/>
      <c r="F45076" s="1"/>
      <c r="G45076" s="1"/>
    </row>
    <row r="45077">
      <c r="B45077" s="36"/>
      <c r="C45077" s="36"/>
      <c r="E45077" s="1"/>
      <c r="F45077" s="1"/>
      <c r="G45077" s="1"/>
    </row>
    <row r="45078">
      <c r="B45078" s="36"/>
      <c r="C45078" s="36"/>
      <c r="E45078" s="1"/>
      <c r="F45078" s="1"/>
      <c r="G45078" s="1"/>
    </row>
    <row r="45079">
      <c r="B45079" s="36"/>
      <c r="C45079" s="36"/>
      <c r="E45079" s="1"/>
      <c r="F45079" s="1"/>
      <c r="G45079" s="1"/>
    </row>
    <row r="45080">
      <c r="B45080" s="36"/>
      <c r="C45080" s="36"/>
      <c r="E45080" s="1"/>
      <c r="F45080" s="1"/>
      <c r="G45080" s="1"/>
    </row>
    <row r="45081">
      <c r="B45081" s="36"/>
      <c r="C45081" s="36"/>
      <c r="E45081" s="1"/>
      <c r="F45081" s="1"/>
      <c r="G45081" s="1"/>
    </row>
    <row r="45082">
      <c r="B45082" s="36"/>
      <c r="C45082" s="36"/>
      <c r="E45082" s="1"/>
      <c r="F45082" s="1"/>
      <c r="G45082" s="1"/>
    </row>
    <row r="45083">
      <c r="B45083" s="36"/>
      <c r="C45083" s="36"/>
      <c r="E45083" s="1"/>
      <c r="F45083" s="1"/>
      <c r="G45083" s="1"/>
    </row>
    <row r="45084">
      <c r="B45084" s="36"/>
      <c r="C45084" s="36"/>
      <c r="E45084" s="1"/>
      <c r="F45084" s="1"/>
      <c r="G45084" s="1"/>
    </row>
    <row r="45085">
      <c r="B45085" s="36"/>
      <c r="C45085" s="36"/>
      <c r="E45085" s="1"/>
      <c r="F45085" s="1"/>
      <c r="G45085" s="1"/>
    </row>
    <row r="45086">
      <c r="B45086" s="36"/>
      <c r="C45086" s="36"/>
      <c r="E45086" s="1"/>
      <c r="F45086" s="1"/>
      <c r="G45086" s="1"/>
    </row>
    <row r="45087">
      <c r="B45087" s="36"/>
      <c r="C45087" s="36"/>
      <c r="E45087" s="1"/>
      <c r="F45087" s="1"/>
      <c r="G45087" s="1"/>
    </row>
    <row r="45088">
      <c r="B45088" s="36"/>
      <c r="C45088" s="36"/>
      <c r="E45088" s="1"/>
      <c r="F45088" s="1"/>
      <c r="G45088" s="1"/>
    </row>
    <row r="45089">
      <c r="B45089" s="36"/>
      <c r="C45089" s="36"/>
      <c r="E45089" s="1"/>
      <c r="F45089" s="1"/>
      <c r="G45089" s="1"/>
    </row>
    <row r="45090">
      <c r="B45090" s="36"/>
      <c r="C45090" s="36"/>
      <c r="E45090" s="1"/>
      <c r="F45090" s="1"/>
      <c r="G45090" s="1"/>
    </row>
    <row r="45091">
      <c r="B45091" s="36"/>
      <c r="C45091" s="36"/>
      <c r="E45091" s="1"/>
      <c r="F45091" s="1"/>
      <c r="G45091" s="1"/>
    </row>
    <row r="45092">
      <c r="B45092" s="36"/>
      <c r="C45092" s="36"/>
      <c r="E45092" s="1"/>
      <c r="F45092" s="1"/>
      <c r="G45092" s="1"/>
    </row>
    <row r="45093">
      <c r="B45093" s="36"/>
      <c r="C45093" s="36"/>
      <c r="E45093" s="1"/>
      <c r="F45093" s="1"/>
      <c r="G45093" s="1"/>
    </row>
    <row r="45094">
      <c r="B45094" s="36"/>
      <c r="C45094" s="36"/>
      <c r="E45094" s="1"/>
      <c r="F45094" s="1"/>
      <c r="G45094" s="1"/>
    </row>
    <row r="45095">
      <c r="B45095" s="36"/>
      <c r="C45095" s="36"/>
      <c r="E45095" s="1"/>
      <c r="F45095" s="1"/>
      <c r="G45095" s="1"/>
    </row>
    <row r="45096">
      <c r="B45096" s="36"/>
      <c r="C45096" s="36"/>
      <c r="E45096" s="1"/>
      <c r="F45096" s="1"/>
      <c r="G45096" s="1"/>
    </row>
    <row r="45097">
      <c r="B45097" s="36"/>
      <c r="C45097" s="36"/>
      <c r="E45097" s="1"/>
      <c r="F45097" s="1"/>
      <c r="G45097" s="1"/>
    </row>
    <row r="45098">
      <c r="B45098" s="36"/>
      <c r="C45098" s="36"/>
      <c r="E45098" s="1"/>
      <c r="F45098" s="1"/>
      <c r="G45098" s="1"/>
    </row>
    <row r="45099">
      <c r="B45099" s="36"/>
      <c r="C45099" s="36"/>
      <c r="E45099" s="1"/>
      <c r="F45099" s="1"/>
      <c r="G45099" s="1"/>
    </row>
    <row r="45100">
      <c r="B45100" s="36"/>
      <c r="C45100" s="36"/>
      <c r="E45100" s="1"/>
      <c r="F45100" s="1"/>
      <c r="G45100" s="1"/>
    </row>
    <row r="45101">
      <c r="B45101" s="36"/>
      <c r="C45101" s="36"/>
      <c r="E45101" s="1"/>
      <c r="F45101" s="1"/>
      <c r="G45101" s="1"/>
    </row>
    <row r="45102">
      <c r="B45102" s="36"/>
      <c r="C45102" s="36"/>
      <c r="E45102" s="1"/>
      <c r="F45102" s="1"/>
      <c r="G45102" s="1"/>
    </row>
    <row r="45103">
      <c r="B45103" s="36"/>
      <c r="C45103" s="36"/>
      <c r="E45103" s="1"/>
      <c r="F45103" s="1"/>
      <c r="G45103" s="1"/>
    </row>
    <row r="45104">
      <c r="B45104" s="36"/>
      <c r="C45104" s="36"/>
      <c r="E45104" s="1"/>
      <c r="F45104" s="1"/>
      <c r="G45104" s="1"/>
    </row>
    <row r="45105">
      <c r="B45105" s="36"/>
      <c r="C45105" s="36"/>
      <c r="E45105" s="1"/>
      <c r="F45105" s="1"/>
      <c r="G45105" s="1"/>
    </row>
    <row r="45106">
      <c r="B45106" s="36"/>
      <c r="C45106" s="36"/>
      <c r="E45106" s="1"/>
      <c r="F45106" s="1"/>
      <c r="G45106" s="1"/>
    </row>
    <row r="45107">
      <c r="B45107" s="36"/>
      <c r="C45107" s="36"/>
      <c r="E45107" s="1"/>
      <c r="F45107" s="1"/>
      <c r="G45107" s="1"/>
    </row>
    <row r="45108">
      <c r="B45108" s="36"/>
      <c r="C45108" s="36"/>
      <c r="E45108" s="1"/>
      <c r="F45108" s="1"/>
      <c r="G45108" s="1"/>
    </row>
    <row r="45109">
      <c r="B45109" s="36"/>
      <c r="C45109" s="36"/>
      <c r="E45109" s="1"/>
      <c r="F45109" s="1"/>
      <c r="G45109" s="1"/>
    </row>
    <row r="45110">
      <c r="B45110" s="36"/>
      <c r="C45110" s="36"/>
      <c r="E45110" s="1"/>
      <c r="F45110" s="1"/>
      <c r="G45110" s="1"/>
    </row>
    <row r="45111">
      <c r="B45111" s="36"/>
      <c r="C45111" s="36"/>
      <c r="E45111" s="1"/>
      <c r="F45111" s="1"/>
      <c r="G45111" s="1"/>
    </row>
    <row r="45112">
      <c r="B45112" s="36"/>
      <c r="C45112" s="36"/>
      <c r="E45112" s="1"/>
      <c r="F45112" s="1"/>
      <c r="G45112" s="1"/>
    </row>
    <row r="45113">
      <c r="B45113" s="36"/>
      <c r="C45113" s="36"/>
      <c r="E45113" s="1"/>
      <c r="F45113" s="1"/>
      <c r="G45113" s="1"/>
    </row>
    <row r="45114">
      <c r="B45114" s="36"/>
      <c r="C45114" s="36"/>
      <c r="E45114" s="1"/>
      <c r="F45114" s="1"/>
      <c r="G45114" s="1"/>
    </row>
    <row r="45115">
      <c r="B45115" s="36"/>
      <c r="C45115" s="36"/>
      <c r="E45115" s="1"/>
      <c r="F45115" s="1"/>
      <c r="G45115" s="1"/>
    </row>
    <row r="45116">
      <c r="B45116" s="36"/>
      <c r="C45116" s="36"/>
      <c r="E45116" s="1"/>
      <c r="F45116" s="1"/>
      <c r="G45116" s="1"/>
    </row>
    <row r="45117">
      <c r="B45117" s="36"/>
      <c r="C45117" s="36"/>
      <c r="E45117" s="1"/>
      <c r="F45117" s="1"/>
      <c r="G45117" s="1"/>
    </row>
    <row r="45118">
      <c r="B45118" s="36"/>
      <c r="C45118" s="36"/>
      <c r="E45118" s="1"/>
      <c r="F45118" s="1"/>
      <c r="G45118" s="1"/>
    </row>
    <row r="45119">
      <c r="B45119" s="36"/>
      <c r="C45119" s="36"/>
      <c r="E45119" s="1"/>
      <c r="F45119" s="1"/>
      <c r="G45119" s="1"/>
    </row>
    <row r="45120">
      <c r="B45120" s="36"/>
      <c r="C45120" s="36"/>
      <c r="E45120" s="1"/>
      <c r="F45120" s="1"/>
      <c r="G45120" s="1"/>
    </row>
    <row r="45121">
      <c r="B45121" s="36"/>
      <c r="C45121" s="36"/>
      <c r="E45121" s="1"/>
      <c r="F45121" s="1"/>
      <c r="G45121" s="1"/>
    </row>
    <row r="45122">
      <c r="B45122" s="36"/>
      <c r="C45122" s="36"/>
      <c r="E45122" s="1"/>
      <c r="F45122" s="1"/>
      <c r="G45122" s="1"/>
    </row>
    <row r="45123">
      <c r="B45123" s="36"/>
      <c r="C45123" s="36"/>
      <c r="E45123" s="1"/>
      <c r="F45123" s="1"/>
      <c r="G45123" s="1"/>
    </row>
    <row r="45124">
      <c r="B45124" s="36"/>
      <c r="C45124" s="36"/>
      <c r="E45124" s="1"/>
      <c r="F45124" s="1"/>
      <c r="G45124" s="1"/>
    </row>
    <row r="45125">
      <c r="B45125" s="36"/>
      <c r="C45125" s="36"/>
      <c r="E45125" s="1"/>
      <c r="F45125" s="1"/>
      <c r="G45125" s="1"/>
    </row>
    <row r="45126">
      <c r="B45126" s="36"/>
      <c r="C45126" s="36"/>
      <c r="E45126" s="1"/>
      <c r="F45126" s="1"/>
      <c r="G45126" s="1"/>
    </row>
    <row r="45127">
      <c r="B45127" s="36"/>
      <c r="C45127" s="36"/>
      <c r="E45127" s="1"/>
      <c r="F45127" s="1"/>
      <c r="G45127" s="1"/>
    </row>
    <row r="45128">
      <c r="B45128" s="36"/>
      <c r="C45128" s="36"/>
      <c r="E45128" s="1"/>
      <c r="F45128" s="1"/>
      <c r="G45128" s="1"/>
    </row>
    <row r="45129">
      <c r="B45129" s="36"/>
      <c r="C45129" s="36"/>
      <c r="E45129" s="1"/>
      <c r="F45129" s="1"/>
      <c r="G45129" s="1"/>
    </row>
    <row r="45130">
      <c r="B45130" s="36"/>
      <c r="C45130" s="36"/>
      <c r="E45130" s="1"/>
      <c r="F45130" s="1"/>
      <c r="G45130" s="1"/>
    </row>
    <row r="45131">
      <c r="B45131" s="36"/>
      <c r="C45131" s="36"/>
      <c r="E45131" s="1"/>
      <c r="F45131" s="1"/>
      <c r="G45131" s="1"/>
    </row>
    <row r="45132">
      <c r="B45132" s="36"/>
      <c r="C45132" s="36"/>
      <c r="E45132" s="1"/>
      <c r="F45132" s="1"/>
      <c r="G45132" s="1"/>
    </row>
    <row r="45133">
      <c r="B45133" s="36"/>
      <c r="C45133" s="36"/>
      <c r="E45133" s="1"/>
      <c r="F45133" s="1"/>
      <c r="G45133" s="1"/>
    </row>
    <row r="45134">
      <c r="B45134" s="36"/>
      <c r="C45134" s="36"/>
      <c r="E45134" s="1"/>
      <c r="F45134" s="1"/>
      <c r="G45134" s="1"/>
    </row>
    <row r="45135">
      <c r="B45135" s="36"/>
      <c r="C45135" s="36"/>
      <c r="E45135" s="1"/>
      <c r="F45135" s="1"/>
      <c r="G45135" s="1"/>
    </row>
    <row r="45136">
      <c r="B45136" s="36"/>
      <c r="C45136" s="36"/>
      <c r="E45136" s="1"/>
      <c r="F45136" s="1"/>
      <c r="G45136" s="1"/>
    </row>
    <row r="45137">
      <c r="B45137" s="36"/>
      <c r="C45137" s="36"/>
      <c r="E45137" s="1"/>
      <c r="F45137" s="1"/>
      <c r="G45137" s="1"/>
    </row>
    <row r="45138">
      <c r="B45138" s="36"/>
      <c r="C45138" s="36"/>
      <c r="E45138" s="1"/>
      <c r="F45138" s="1"/>
      <c r="G45138" s="1"/>
    </row>
    <row r="45139">
      <c r="B45139" s="36"/>
      <c r="C45139" s="36"/>
      <c r="E45139" s="1"/>
      <c r="F45139" s="1"/>
      <c r="G45139" s="1"/>
    </row>
    <row r="45140">
      <c r="B45140" s="36"/>
      <c r="C45140" s="36"/>
      <c r="E45140" s="1"/>
      <c r="F45140" s="1"/>
      <c r="G45140" s="1"/>
    </row>
    <row r="45141">
      <c r="B45141" s="36"/>
      <c r="C45141" s="36"/>
      <c r="E45141" s="1"/>
      <c r="F45141" s="1"/>
      <c r="G45141" s="1"/>
    </row>
    <row r="45142">
      <c r="B45142" s="36"/>
      <c r="C45142" s="36"/>
      <c r="E45142" s="1"/>
      <c r="F45142" s="1"/>
      <c r="G45142" s="1"/>
    </row>
    <row r="45143">
      <c r="B45143" s="36"/>
      <c r="C45143" s="36"/>
      <c r="E45143" s="1"/>
      <c r="F45143" s="1"/>
      <c r="G45143" s="1"/>
    </row>
    <row r="45144">
      <c r="B45144" s="36"/>
      <c r="C45144" s="36"/>
      <c r="E45144" s="1"/>
      <c r="F45144" s="1"/>
      <c r="G45144" s="1"/>
    </row>
    <row r="45145">
      <c r="B45145" s="36"/>
      <c r="C45145" s="36"/>
      <c r="E45145" s="1"/>
      <c r="F45145" s="1"/>
      <c r="G45145" s="1"/>
    </row>
    <row r="45146">
      <c r="B45146" s="36"/>
      <c r="C45146" s="36"/>
      <c r="E45146" s="1"/>
      <c r="F45146" s="1"/>
      <c r="G45146" s="1"/>
    </row>
    <row r="45147">
      <c r="B45147" s="36"/>
      <c r="C45147" s="36"/>
      <c r="E45147" s="1"/>
      <c r="F45147" s="1"/>
      <c r="G45147" s="1"/>
    </row>
    <row r="45148">
      <c r="B45148" s="36"/>
      <c r="C45148" s="36"/>
      <c r="E45148" s="1"/>
      <c r="F45148" s="1"/>
      <c r="G45148" s="1"/>
    </row>
    <row r="45149">
      <c r="B45149" s="36"/>
      <c r="C45149" s="36"/>
      <c r="E45149" s="1"/>
      <c r="F45149" s="1"/>
      <c r="G45149" s="1"/>
    </row>
    <row r="45150">
      <c r="B45150" s="36"/>
      <c r="C45150" s="36"/>
      <c r="E45150" s="1"/>
      <c r="F45150" s="1"/>
      <c r="G45150" s="1"/>
    </row>
    <row r="45151">
      <c r="B45151" s="36"/>
      <c r="C45151" s="36"/>
      <c r="E45151" s="1"/>
      <c r="F45151" s="1"/>
      <c r="G45151" s="1"/>
    </row>
    <row r="45152">
      <c r="B45152" s="36"/>
      <c r="C45152" s="36"/>
      <c r="E45152" s="1"/>
      <c r="F45152" s="1"/>
      <c r="G45152" s="1"/>
    </row>
    <row r="45153">
      <c r="B45153" s="36"/>
      <c r="C45153" s="36"/>
      <c r="E45153" s="1"/>
      <c r="F45153" s="1"/>
      <c r="G45153" s="1"/>
    </row>
    <row r="45154">
      <c r="B45154" s="36"/>
      <c r="C45154" s="36"/>
      <c r="E45154" s="1"/>
      <c r="F45154" s="1"/>
      <c r="G45154" s="1"/>
    </row>
    <row r="45155">
      <c r="B45155" s="36"/>
      <c r="C45155" s="36"/>
      <c r="E45155" s="1"/>
      <c r="F45155" s="1"/>
      <c r="G45155" s="1"/>
    </row>
    <row r="45156">
      <c r="B45156" s="36"/>
      <c r="C45156" s="36"/>
      <c r="E45156" s="1"/>
      <c r="F45156" s="1"/>
      <c r="G45156" s="1"/>
    </row>
    <row r="45157">
      <c r="B45157" s="36"/>
      <c r="C45157" s="36"/>
      <c r="E45157" s="1"/>
      <c r="F45157" s="1"/>
      <c r="G45157" s="1"/>
    </row>
    <row r="45158">
      <c r="B45158" s="36"/>
      <c r="C45158" s="36"/>
      <c r="E45158" s="1"/>
      <c r="F45158" s="1"/>
      <c r="G45158" s="1"/>
    </row>
    <row r="45159">
      <c r="B45159" s="36"/>
      <c r="C45159" s="36"/>
      <c r="E45159" s="1"/>
      <c r="F45159" s="1"/>
      <c r="G45159" s="1"/>
    </row>
    <row r="45160">
      <c r="B45160" s="36"/>
      <c r="C45160" s="36"/>
      <c r="E45160" s="1"/>
      <c r="F45160" s="1"/>
      <c r="G45160" s="1"/>
    </row>
    <row r="45161">
      <c r="B45161" s="36"/>
      <c r="C45161" s="36"/>
      <c r="E45161" s="1"/>
      <c r="F45161" s="1"/>
      <c r="G45161" s="1"/>
    </row>
    <row r="45162">
      <c r="B45162" s="36"/>
      <c r="C45162" s="36"/>
      <c r="E45162" s="1"/>
      <c r="F45162" s="1"/>
      <c r="G45162" s="1"/>
    </row>
    <row r="45163">
      <c r="B45163" s="36"/>
      <c r="C45163" s="36"/>
      <c r="E45163" s="1"/>
      <c r="F45163" s="1"/>
      <c r="G45163" s="1"/>
    </row>
    <row r="45164">
      <c r="B45164" s="36"/>
      <c r="C45164" s="36"/>
      <c r="E45164" s="1"/>
      <c r="F45164" s="1"/>
      <c r="G45164" s="1"/>
    </row>
    <row r="45165">
      <c r="B45165" s="36"/>
      <c r="C45165" s="36"/>
      <c r="E45165" s="1"/>
      <c r="F45165" s="1"/>
      <c r="G45165" s="1"/>
    </row>
    <row r="45166">
      <c r="B45166" s="36"/>
      <c r="C45166" s="36"/>
      <c r="E45166" s="1"/>
      <c r="F45166" s="1"/>
      <c r="G45166" s="1"/>
    </row>
    <row r="45167">
      <c r="B45167" s="36"/>
      <c r="C45167" s="36"/>
      <c r="E45167" s="1"/>
      <c r="F45167" s="1"/>
      <c r="G45167" s="1"/>
    </row>
    <row r="45168">
      <c r="B45168" s="36"/>
      <c r="C45168" s="36"/>
      <c r="E45168" s="1"/>
      <c r="F45168" s="1"/>
      <c r="G45168" s="1"/>
    </row>
    <row r="45169">
      <c r="B45169" s="36"/>
      <c r="C45169" s="36"/>
      <c r="E45169" s="1"/>
      <c r="F45169" s="1"/>
      <c r="G45169" s="1"/>
    </row>
    <row r="45170">
      <c r="B45170" s="36"/>
      <c r="C45170" s="36"/>
      <c r="E45170" s="1"/>
      <c r="F45170" s="1"/>
      <c r="G45170" s="1"/>
    </row>
    <row r="45171">
      <c r="B45171" s="36"/>
      <c r="C45171" s="36"/>
      <c r="E45171" s="1"/>
      <c r="F45171" s="1"/>
      <c r="G45171" s="1"/>
    </row>
    <row r="45172">
      <c r="B45172" s="36"/>
      <c r="C45172" s="36"/>
      <c r="E45172" s="1"/>
      <c r="F45172" s="1"/>
      <c r="G45172" s="1"/>
    </row>
    <row r="45173">
      <c r="B45173" s="36"/>
      <c r="C45173" s="36"/>
      <c r="E45173" s="1"/>
      <c r="F45173" s="1"/>
      <c r="G45173" s="1"/>
    </row>
    <row r="45174">
      <c r="B45174" s="36"/>
      <c r="C45174" s="36"/>
      <c r="E45174" s="1"/>
      <c r="F45174" s="1"/>
      <c r="G45174" s="1"/>
    </row>
    <row r="45175">
      <c r="B45175" s="36"/>
      <c r="C45175" s="36"/>
      <c r="E45175" s="1"/>
      <c r="F45175" s="1"/>
      <c r="G45175" s="1"/>
    </row>
    <row r="45176">
      <c r="B45176" s="36"/>
      <c r="C45176" s="36"/>
      <c r="E45176" s="1"/>
      <c r="F45176" s="1"/>
      <c r="G45176" s="1"/>
    </row>
    <row r="45177">
      <c r="B45177" s="36"/>
      <c r="C45177" s="36"/>
      <c r="E45177" s="1"/>
      <c r="F45177" s="1"/>
      <c r="G45177" s="1"/>
    </row>
    <row r="45178">
      <c r="B45178" s="36"/>
      <c r="C45178" s="36"/>
      <c r="E45178" s="1"/>
      <c r="F45178" s="1"/>
      <c r="G45178" s="1"/>
    </row>
    <row r="45179">
      <c r="B45179" s="36"/>
      <c r="C45179" s="36"/>
      <c r="E45179" s="1"/>
      <c r="F45179" s="1"/>
      <c r="G45179" s="1"/>
    </row>
    <row r="45180">
      <c r="B45180" s="36"/>
      <c r="C45180" s="36"/>
      <c r="E45180" s="1"/>
      <c r="F45180" s="1"/>
      <c r="G45180" s="1"/>
    </row>
    <row r="45181">
      <c r="B45181" s="36"/>
      <c r="C45181" s="36"/>
      <c r="E45181" s="1"/>
      <c r="F45181" s="1"/>
      <c r="G45181" s="1"/>
    </row>
    <row r="45182">
      <c r="B45182" s="36"/>
      <c r="C45182" s="36"/>
      <c r="E45182" s="1"/>
      <c r="F45182" s="1"/>
      <c r="G45182" s="1"/>
    </row>
    <row r="45183">
      <c r="B45183" s="36"/>
      <c r="C45183" s="36"/>
      <c r="E45183" s="1"/>
      <c r="F45183" s="1"/>
      <c r="G45183" s="1"/>
    </row>
    <row r="45184">
      <c r="B45184" s="36"/>
      <c r="C45184" s="36"/>
      <c r="E45184" s="1"/>
      <c r="F45184" s="1"/>
      <c r="G45184" s="1"/>
    </row>
    <row r="45185">
      <c r="B45185" s="36"/>
      <c r="C45185" s="36"/>
      <c r="E45185" s="1"/>
      <c r="F45185" s="1"/>
      <c r="G45185" s="1"/>
    </row>
    <row r="45186">
      <c r="B45186" s="36"/>
      <c r="C45186" s="36"/>
      <c r="E45186" s="1"/>
      <c r="F45186" s="1"/>
      <c r="G45186" s="1"/>
    </row>
    <row r="45187">
      <c r="B45187" s="36"/>
      <c r="C45187" s="36"/>
      <c r="E45187" s="1"/>
      <c r="F45187" s="1"/>
      <c r="G45187" s="1"/>
    </row>
    <row r="45188">
      <c r="B45188" s="36"/>
      <c r="C45188" s="36"/>
      <c r="E45188" s="1"/>
      <c r="F45188" s="1"/>
      <c r="G45188" s="1"/>
    </row>
    <row r="45189">
      <c r="B45189" s="36"/>
      <c r="C45189" s="36"/>
      <c r="E45189" s="1"/>
      <c r="F45189" s="1"/>
      <c r="G45189" s="1"/>
    </row>
    <row r="45190">
      <c r="B45190" s="36"/>
      <c r="C45190" s="36"/>
      <c r="E45190" s="1"/>
      <c r="F45190" s="1"/>
      <c r="G45190" s="1"/>
    </row>
    <row r="45191">
      <c r="B45191" s="36"/>
      <c r="C45191" s="36"/>
      <c r="E45191" s="1"/>
      <c r="F45191" s="1"/>
      <c r="G45191" s="1"/>
    </row>
    <row r="45192">
      <c r="B45192" s="36"/>
      <c r="C45192" s="36"/>
      <c r="E45192" s="1"/>
      <c r="F45192" s="1"/>
      <c r="G45192" s="1"/>
    </row>
    <row r="45193">
      <c r="B45193" s="36"/>
      <c r="C45193" s="36"/>
      <c r="E45193" s="1"/>
      <c r="F45193" s="1"/>
      <c r="G45193" s="1"/>
    </row>
    <row r="45194">
      <c r="B45194" s="36"/>
      <c r="C45194" s="36"/>
      <c r="E45194" s="1"/>
      <c r="F45194" s="1"/>
      <c r="G45194" s="1"/>
    </row>
    <row r="45195">
      <c r="B45195" s="36"/>
      <c r="C45195" s="36"/>
      <c r="E45195" s="1"/>
      <c r="F45195" s="1"/>
      <c r="G45195" s="1"/>
    </row>
    <row r="45196">
      <c r="B45196" s="36"/>
      <c r="C45196" s="36"/>
      <c r="E45196" s="1"/>
      <c r="F45196" s="1"/>
      <c r="G45196" s="1"/>
    </row>
    <row r="45197">
      <c r="B45197" s="36"/>
      <c r="C45197" s="36"/>
      <c r="E45197" s="1"/>
      <c r="F45197" s="1"/>
      <c r="G45197" s="1"/>
    </row>
    <row r="45198">
      <c r="B45198" s="36"/>
      <c r="C45198" s="36"/>
      <c r="E45198" s="1"/>
      <c r="F45198" s="1"/>
      <c r="G45198" s="1"/>
    </row>
    <row r="45199">
      <c r="B45199" s="36"/>
      <c r="C45199" s="36"/>
      <c r="E45199" s="1"/>
      <c r="F45199" s="1"/>
      <c r="G45199" s="1"/>
    </row>
    <row r="45200">
      <c r="B45200" s="36"/>
      <c r="C45200" s="36"/>
      <c r="E45200" s="1"/>
      <c r="F45200" s="1"/>
      <c r="G45200" s="1"/>
    </row>
    <row r="45201">
      <c r="B45201" s="36"/>
      <c r="C45201" s="36"/>
      <c r="E45201" s="1"/>
      <c r="F45201" s="1"/>
      <c r="G45201" s="1"/>
    </row>
    <row r="45202">
      <c r="B45202" s="36"/>
      <c r="C45202" s="36"/>
      <c r="E45202" s="1"/>
      <c r="F45202" s="1"/>
      <c r="G45202" s="1"/>
    </row>
    <row r="45203">
      <c r="B45203" s="36"/>
      <c r="C45203" s="36"/>
      <c r="E45203" s="1"/>
      <c r="F45203" s="1"/>
      <c r="G45203" s="1"/>
    </row>
    <row r="45204">
      <c r="B45204" s="36"/>
      <c r="C45204" s="36"/>
      <c r="E45204" s="1"/>
      <c r="F45204" s="1"/>
      <c r="G45204" s="1"/>
    </row>
    <row r="45205">
      <c r="B45205" s="36"/>
      <c r="C45205" s="36"/>
      <c r="E45205" s="1"/>
      <c r="F45205" s="1"/>
      <c r="G45205" s="1"/>
    </row>
    <row r="45206">
      <c r="B45206" s="36"/>
      <c r="C45206" s="36"/>
      <c r="E45206" s="1"/>
      <c r="F45206" s="1"/>
      <c r="G45206" s="1"/>
    </row>
    <row r="45207">
      <c r="B45207" s="36"/>
      <c r="C45207" s="36"/>
      <c r="E45207" s="1"/>
      <c r="F45207" s="1"/>
      <c r="G45207" s="1"/>
    </row>
    <row r="45208">
      <c r="B45208" s="36"/>
      <c r="C45208" s="36"/>
      <c r="E45208" s="1"/>
      <c r="F45208" s="1"/>
      <c r="G45208" s="1"/>
    </row>
    <row r="45209">
      <c r="B45209" s="36"/>
      <c r="C45209" s="36"/>
      <c r="E45209" s="1"/>
      <c r="F45209" s="1"/>
      <c r="G45209" s="1"/>
    </row>
    <row r="45210">
      <c r="B45210" s="36"/>
      <c r="C45210" s="36"/>
      <c r="E45210" s="1"/>
      <c r="F45210" s="1"/>
      <c r="G45210" s="1"/>
    </row>
    <row r="45211">
      <c r="B45211" s="36"/>
      <c r="C45211" s="36"/>
      <c r="E45211" s="1"/>
      <c r="F45211" s="1"/>
      <c r="G45211" s="1"/>
    </row>
    <row r="45212">
      <c r="B45212" s="36"/>
      <c r="C45212" s="36"/>
      <c r="E45212" s="1"/>
      <c r="F45212" s="1"/>
      <c r="G45212" s="1"/>
    </row>
    <row r="45213">
      <c r="B45213" s="36"/>
      <c r="C45213" s="36"/>
      <c r="E45213" s="1"/>
      <c r="F45213" s="1"/>
      <c r="G45213" s="1"/>
    </row>
    <row r="45214">
      <c r="B45214" s="36"/>
      <c r="C45214" s="36"/>
      <c r="E45214" s="1"/>
      <c r="F45214" s="1"/>
      <c r="G45214" s="1"/>
    </row>
    <row r="45215">
      <c r="B45215" s="36"/>
      <c r="C45215" s="36"/>
      <c r="E45215" s="1"/>
      <c r="F45215" s="1"/>
      <c r="G45215" s="1"/>
    </row>
    <row r="45216">
      <c r="B45216" s="36"/>
      <c r="C45216" s="36"/>
      <c r="E45216" s="1"/>
      <c r="F45216" s="1"/>
      <c r="G45216" s="1"/>
    </row>
    <row r="45217">
      <c r="B45217" s="36"/>
      <c r="C45217" s="36"/>
      <c r="E45217" s="1"/>
      <c r="F45217" s="1"/>
      <c r="G45217" s="1"/>
    </row>
    <row r="45218">
      <c r="B45218" s="36"/>
      <c r="C45218" s="36"/>
      <c r="E45218" s="1"/>
      <c r="F45218" s="1"/>
      <c r="G45218" s="1"/>
    </row>
    <row r="45219">
      <c r="B45219" s="36"/>
      <c r="C45219" s="36"/>
      <c r="E45219" s="1"/>
      <c r="F45219" s="1"/>
      <c r="G45219" s="1"/>
    </row>
    <row r="45220">
      <c r="B45220" s="36"/>
      <c r="C45220" s="36"/>
      <c r="E45220" s="1"/>
      <c r="F45220" s="1"/>
      <c r="G45220" s="1"/>
    </row>
    <row r="45221">
      <c r="B45221" s="36"/>
      <c r="C45221" s="36"/>
      <c r="E45221" s="1"/>
      <c r="F45221" s="1"/>
      <c r="G45221" s="1"/>
    </row>
    <row r="45222">
      <c r="B45222" s="36"/>
      <c r="C45222" s="36"/>
      <c r="E45222" s="1"/>
      <c r="F45222" s="1"/>
      <c r="G45222" s="1"/>
    </row>
    <row r="45223">
      <c r="B45223" s="36"/>
      <c r="C45223" s="36"/>
      <c r="E45223" s="1"/>
      <c r="F45223" s="1"/>
      <c r="G45223" s="1"/>
    </row>
    <row r="45224">
      <c r="B45224" s="36"/>
      <c r="C45224" s="36"/>
      <c r="E45224" s="1"/>
      <c r="F45224" s="1"/>
      <c r="G45224" s="1"/>
    </row>
    <row r="45225">
      <c r="B45225" s="36"/>
      <c r="C45225" s="36"/>
      <c r="E45225" s="1"/>
      <c r="F45225" s="1"/>
      <c r="G45225" s="1"/>
    </row>
    <row r="45226">
      <c r="B45226" s="36"/>
      <c r="C45226" s="36"/>
      <c r="E45226" s="1"/>
      <c r="F45226" s="1"/>
      <c r="G45226" s="1"/>
    </row>
    <row r="45227">
      <c r="B45227" s="36"/>
      <c r="C45227" s="36"/>
      <c r="E45227" s="1"/>
      <c r="F45227" s="1"/>
      <c r="G45227" s="1"/>
    </row>
    <row r="45228">
      <c r="B45228" s="36"/>
      <c r="C45228" s="36"/>
      <c r="E45228" s="1"/>
      <c r="F45228" s="1"/>
      <c r="G45228" s="1"/>
    </row>
    <row r="45229">
      <c r="B45229" s="36"/>
      <c r="C45229" s="36"/>
      <c r="E45229" s="1"/>
      <c r="F45229" s="1"/>
      <c r="G45229" s="1"/>
    </row>
    <row r="45230">
      <c r="B45230" s="36"/>
      <c r="C45230" s="36"/>
      <c r="E45230" s="1"/>
      <c r="F45230" s="1"/>
      <c r="G45230" s="1"/>
    </row>
    <row r="45231">
      <c r="B45231" s="36"/>
      <c r="C45231" s="36"/>
      <c r="E45231" s="1"/>
      <c r="F45231" s="1"/>
      <c r="G45231" s="1"/>
    </row>
    <row r="45232">
      <c r="B45232" s="36"/>
      <c r="C45232" s="36"/>
      <c r="E45232" s="1"/>
      <c r="F45232" s="1"/>
      <c r="G45232" s="1"/>
    </row>
    <row r="45233">
      <c r="B45233" s="36"/>
      <c r="C45233" s="36"/>
      <c r="E45233" s="1"/>
      <c r="F45233" s="1"/>
      <c r="G45233" s="1"/>
    </row>
    <row r="45234">
      <c r="B45234" s="36"/>
      <c r="C45234" s="36"/>
      <c r="E45234" s="1"/>
      <c r="F45234" s="1"/>
      <c r="G45234" s="1"/>
    </row>
    <row r="45235">
      <c r="B45235" s="36"/>
      <c r="C45235" s="36"/>
      <c r="E45235" s="1"/>
      <c r="F45235" s="1"/>
      <c r="G45235" s="1"/>
    </row>
    <row r="45236">
      <c r="B45236" s="36"/>
      <c r="C45236" s="36"/>
      <c r="E45236" s="1"/>
      <c r="F45236" s="1"/>
      <c r="G45236" s="1"/>
    </row>
    <row r="45237">
      <c r="B45237" s="36"/>
      <c r="C45237" s="36"/>
      <c r="E45237" s="1"/>
      <c r="F45237" s="1"/>
      <c r="G45237" s="1"/>
    </row>
    <row r="45238">
      <c r="B45238" s="36"/>
      <c r="C45238" s="36"/>
      <c r="E45238" s="1"/>
      <c r="F45238" s="1"/>
      <c r="G45238" s="1"/>
    </row>
    <row r="45239">
      <c r="B45239" s="36"/>
      <c r="C45239" s="36"/>
      <c r="E45239" s="1"/>
      <c r="F45239" s="1"/>
      <c r="G45239" s="1"/>
    </row>
    <row r="45240">
      <c r="B45240" s="36"/>
      <c r="C45240" s="36"/>
      <c r="E45240" s="1"/>
      <c r="F45240" s="1"/>
      <c r="G45240" s="1"/>
    </row>
    <row r="45241">
      <c r="B45241" s="36"/>
      <c r="C45241" s="36"/>
      <c r="E45241" s="1"/>
      <c r="F45241" s="1"/>
      <c r="G45241" s="1"/>
    </row>
    <row r="45242">
      <c r="B45242" s="36"/>
      <c r="C45242" s="36"/>
      <c r="E45242" s="1"/>
      <c r="F45242" s="1"/>
      <c r="G45242" s="1"/>
    </row>
    <row r="45243">
      <c r="B45243" s="36"/>
      <c r="C45243" s="36"/>
      <c r="E45243" s="1"/>
      <c r="F45243" s="1"/>
      <c r="G45243" s="1"/>
    </row>
    <row r="45244">
      <c r="B45244" s="36"/>
      <c r="C45244" s="36"/>
      <c r="E45244" s="1"/>
      <c r="F45244" s="1"/>
      <c r="G45244" s="1"/>
    </row>
    <row r="45245">
      <c r="B45245" s="36"/>
      <c r="C45245" s="36"/>
      <c r="E45245" s="1"/>
      <c r="F45245" s="1"/>
      <c r="G45245" s="1"/>
    </row>
    <row r="45246">
      <c r="B45246" s="36"/>
      <c r="C45246" s="36"/>
      <c r="E45246" s="1"/>
      <c r="F45246" s="1"/>
      <c r="G45246" s="1"/>
    </row>
    <row r="45247">
      <c r="B45247" s="36"/>
      <c r="C45247" s="36"/>
      <c r="E45247" s="1"/>
      <c r="F45247" s="1"/>
      <c r="G45247" s="1"/>
    </row>
    <row r="45248">
      <c r="B45248" s="36"/>
      <c r="C45248" s="36"/>
      <c r="E45248" s="1"/>
      <c r="F45248" s="1"/>
      <c r="G45248" s="1"/>
    </row>
    <row r="45249">
      <c r="B45249" s="36"/>
      <c r="C45249" s="36"/>
      <c r="E45249" s="1"/>
      <c r="F45249" s="1"/>
      <c r="G45249" s="1"/>
    </row>
    <row r="45250">
      <c r="B45250" s="36"/>
      <c r="C45250" s="36"/>
      <c r="E45250" s="1"/>
      <c r="F45250" s="1"/>
      <c r="G45250" s="1"/>
    </row>
    <row r="45251">
      <c r="B45251" s="36"/>
      <c r="C45251" s="36"/>
      <c r="E45251" s="1"/>
      <c r="F45251" s="1"/>
      <c r="G45251" s="1"/>
    </row>
    <row r="45252">
      <c r="B45252" s="36"/>
      <c r="C45252" s="36"/>
      <c r="E45252" s="1"/>
      <c r="F45252" s="1"/>
      <c r="G45252" s="1"/>
    </row>
    <row r="45253">
      <c r="B45253" s="36"/>
      <c r="C45253" s="36"/>
      <c r="E45253" s="1"/>
      <c r="F45253" s="1"/>
      <c r="G45253" s="1"/>
    </row>
    <row r="45254">
      <c r="B45254" s="36"/>
      <c r="C45254" s="36"/>
      <c r="E45254" s="1"/>
      <c r="F45254" s="1"/>
      <c r="G45254" s="1"/>
    </row>
    <row r="45255">
      <c r="B45255" s="36"/>
      <c r="C45255" s="36"/>
      <c r="E45255" s="1"/>
      <c r="F45255" s="1"/>
      <c r="G45255" s="1"/>
    </row>
    <row r="45256">
      <c r="B45256" s="36"/>
      <c r="C45256" s="36"/>
      <c r="E45256" s="1"/>
      <c r="F45256" s="1"/>
      <c r="G45256" s="1"/>
    </row>
    <row r="45257">
      <c r="B45257" s="36"/>
      <c r="C45257" s="36"/>
      <c r="E45257" s="1"/>
      <c r="F45257" s="1"/>
      <c r="G45257" s="1"/>
    </row>
    <row r="45258">
      <c r="B45258" s="36"/>
      <c r="C45258" s="36"/>
      <c r="E45258" s="1"/>
      <c r="F45258" s="1"/>
      <c r="G45258" s="1"/>
    </row>
    <row r="45259">
      <c r="B45259" s="36"/>
      <c r="C45259" s="36"/>
      <c r="E45259" s="1"/>
      <c r="F45259" s="1"/>
      <c r="G45259" s="1"/>
    </row>
    <row r="45260">
      <c r="B45260" s="36"/>
      <c r="C45260" s="36"/>
      <c r="E45260" s="1"/>
      <c r="F45260" s="1"/>
      <c r="G45260" s="1"/>
    </row>
    <row r="45261">
      <c r="B45261" s="36"/>
      <c r="C45261" s="36"/>
      <c r="E45261" s="1"/>
      <c r="F45261" s="1"/>
      <c r="G45261" s="1"/>
    </row>
    <row r="45262">
      <c r="B45262" s="36"/>
      <c r="C45262" s="36"/>
      <c r="E45262" s="1"/>
      <c r="F45262" s="1"/>
      <c r="G45262" s="1"/>
    </row>
    <row r="45263">
      <c r="B45263" s="36"/>
      <c r="C45263" s="36"/>
      <c r="E45263" s="1"/>
      <c r="F45263" s="1"/>
      <c r="G45263" s="1"/>
    </row>
    <row r="45264">
      <c r="B45264" s="36"/>
      <c r="C45264" s="36"/>
      <c r="E45264" s="1"/>
      <c r="F45264" s="1"/>
      <c r="G45264" s="1"/>
    </row>
    <row r="45265">
      <c r="B45265" s="36"/>
      <c r="C45265" s="36"/>
      <c r="E45265" s="1"/>
      <c r="F45265" s="1"/>
      <c r="G45265" s="1"/>
    </row>
    <row r="45266">
      <c r="B45266" s="36"/>
      <c r="C45266" s="36"/>
      <c r="E45266" s="1"/>
      <c r="F45266" s="1"/>
      <c r="G45266" s="1"/>
    </row>
    <row r="45267">
      <c r="B45267" s="36"/>
      <c r="C45267" s="36"/>
      <c r="E45267" s="1"/>
      <c r="F45267" s="1"/>
      <c r="G45267" s="1"/>
    </row>
    <row r="45268">
      <c r="B45268" s="36"/>
      <c r="C45268" s="36"/>
      <c r="E45268" s="1"/>
      <c r="F45268" s="1"/>
      <c r="G45268" s="1"/>
    </row>
    <row r="45269">
      <c r="B45269" s="36"/>
      <c r="C45269" s="36"/>
      <c r="E45269" s="1"/>
      <c r="F45269" s="1"/>
      <c r="G45269" s="1"/>
    </row>
    <row r="45270">
      <c r="B45270" s="36"/>
      <c r="C45270" s="36"/>
      <c r="E45270" s="1"/>
      <c r="F45270" s="1"/>
      <c r="G45270" s="1"/>
    </row>
    <row r="45271">
      <c r="B45271" s="36"/>
      <c r="C45271" s="36"/>
      <c r="E45271" s="1"/>
      <c r="F45271" s="1"/>
      <c r="G45271" s="1"/>
    </row>
    <row r="45272">
      <c r="B45272" s="36"/>
      <c r="C45272" s="36"/>
      <c r="E45272" s="1"/>
      <c r="F45272" s="1"/>
      <c r="G45272" s="1"/>
    </row>
    <row r="45273">
      <c r="B45273" s="36"/>
      <c r="C45273" s="36"/>
      <c r="E45273" s="1"/>
      <c r="F45273" s="1"/>
      <c r="G45273" s="1"/>
    </row>
    <row r="45274">
      <c r="B45274" s="36"/>
      <c r="C45274" s="36"/>
      <c r="E45274" s="1"/>
      <c r="F45274" s="1"/>
      <c r="G45274" s="1"/>
    </row>
    <row r="45275">
      <c r="B45275" s="36"/>
      <c r="C45275" s="36"/>
      <c r="E45275" s="1"/>
      <c r="F45275" s="1"/>
      <c r="G45275" s="1"/>
    </row>
    <row r="45276">
      <c r="B45276" s="36"/>
      <c r="C45276" s="36"/>
      <c r="E45276" s="1"/>
      <c r="F45276" s="1"/>
      <c r="G45276" s="1"/>
    </row>
    <row r="45277">
      <c r="B45277" s="36"/>
      <c r="C45277" s="36"/>
      <c r="E45277" s="1"/>
      <c r="F45277" s="1"/>
      <c r="G45277" s="1"/>
    </row>
    <row r="45278">
      <c r="B45278" s="36"/>
      <c r="C45278" s="36"/>
      <c r="E45278" s="1"/>
      <c r="F45278" s="1"/>
      <c r="G45278" s="1"/>
    </row>
    <row r="45279">
      <c r="B45279" s="36"/>
      <c r="C45279" s="36"/>
      <c r="E45279" s="1"/>
      <c r="F45279" s="1"/>
      <c r="G45279" s="1"/>
    </row>
    <row r="45280">
      <c r="B45280" s="36"/>
      <c r="C45280" s="36"/>
      <c r="E45280" s="1"/>
      <c r="F45280" s="1"/>
      <c r="G45280" s="1"/>
    </row>
    <row r="45281">
      <c r="B45281" s="36"/>
      <c r="C45281" s="36"/>
      <c r="E45281" s="1"/>
      <c r="F45281" s="1"/>
      <c r="G45281" s="1"/>
    </row>
    <row r="45282">
      <c r="B45282" s="36"/>
      <c r="C45282" s="36"/>
      <c r="E45282" s="1"/>
      <c r="F45282" s="1"/>
      <c r="G45282" s="1"/>
    </row>
    <row r="45283">
      <c r="B45283" s="36"/>
      <c r="C45283" s="36"/>
      <c r="E45283" s="1"/>
      <c r="F45283" s="1"/>
      <c r="G45283" s="1"/>
    </row>
    <row r="45284">
      <c r="B45284" s="36"/>
      <c r="C45284" s="36"/>
      <c r="E45284" s="1"/>
      <c r="F45284" s="1"/>
      <c r="G45284" s="1"/>
    </row>
    <row r="45285">
      <c r="B45285" s="36"/>
      <c r="C45285" s="36"/>
      <c r="E45285" s="1"/>
      <c r="F45285" s="1"/>
      <c r="G45285" s="1"/>
    </row>
    <row r="45286">
      <c r="B45286" s="36"/>
      <c r="C45286" s="36"/>
      <c r="E45286" s="1"/>
      <c r="F45286" s="1"/>
      <c r="G45286" s="1"/>
    </row>
    <row r="45287">
      <c r="B45287" s="36"/>
      <c r="C45287" s="36"/>
      <c r="E45287" s="1"/>
      <c r="F45287" s="1"/>
      <c r="G45287" s="1"/>
    </row>
    <row r="45288">
      <c r="B45288" s="36"/>
      <c r="C45288" s="36"/>
      <c r="E45288" s="1"/>
      <c r="F45288" s="1"/>
      <c r="G45288" s="1"/>
    </row>
    <row r="45289">
      <c r="B45289" s="36"/>
      <c r="C45289" s="36"/>
      <c r="E45289" s="1"/>
      <c r="F45289" s="1"/>
      <c r="G45289" s="1"/>
    </row>
    <row r="45290">
      <c r="B45290" s="36"/>
      <c r="C45290" s="36"/>
      <c r="E45290" s="1"/>
      <c r="F45290" s="1"/>
      <c r="G45290" s="1"/>
    </row>
    <row r="45291">
      <c r="B45291" s="36"/>
      <c r="C45291" s="36"/>
      <c r="E45291" s="1"/>
      <c r="F45291" s="1"/>
      <c r="G45291" s="1"/>
    </row>
    <row r="45292">
      <c r="B45292" s="36"/>
      <c r="C45292" s="36"/>
      <c r="E45292" s="1"/>
      <c r="F45292" s="1"/>
      <c r="G45292" s="1"/>
    </row>
    <row r="45293">
      <c r="B45293" s="36"/>
      <c r="C45293" s="36"/>
      <c r="E45293" s="1"/>
      <c r="F45293" s="1"/>
      <c r="G45293" s="1"/>
    </row>
    <row r="45294">
      <c r="B45294" s="36"/>
      <c r="C45294" s="36"/>
      <c r="E45294" s="1"/>
      <c r="F45294" s="1"/>
      <c r="G45294" s="1"/>
    </row>
    <row r="45295">
      <c r="B45295" s="36"/>
      <c r="C45295" s="36"/>
      <c r="E45295" s="1"/>
      <c r="F45295" s="1"/>
      <c r="G45295" s="1"/>
    </row>
    <row r="45296">
      <c r="B45296" s="36"/>
      <c r="C45296" s="36"/>
      <c r="E45296" s="1"/>
      <c r="F45296" s="1"/>
      <c r="G45296" s="1"/>
    </row>
    <row r="45297">
      <c r="B45297" s="36"/>
      <c r="C45297" s="36"/>
      <c r="E45297" s="1"/>
      <c r="F45297" s="1"/>
      <c r="G45297" s="1"/>
    </row>
    <row r="45298">
      <c r="B45298" s="36"/>
      <c r="C45298" s="36"/>
      <c r="E45298" s="1"/>
      <c r="F45298" s="1"/>
      <c r="G45298" s="1"/>
    </row>
    <row r="45299">
      <c r="B45299" s="36"/>
      <c r="C45299" s="36"/>
      <c r="E45299" s="1"/>
      <c r="F45299" s="1"/>
      <c r="G45299" s="1"/>
    </row>
    <row r="45300">
      <c r="B45300" s="36"/>
      <c r="C45300" s="36"/>
      <c r="E45300" s="1"/>
      <c r="F45300" s="1"/>
      <c r="G45300" s="1"/>
    </row>
    <row r="45301">
      <c r="B45301" s="36"/>
      <c r="C45301" s="36"/>
      <c r="E45301" s="1"/>
      <c r="F45301" s="1"/>
      <c r="G45301" s="1"/>
    </row>
    <row r="45302">
      <c r="B45302" s="36"/>
      <c r="C45302" s="36"/>
      <c r="E45302" s="1"/>
      <c r="F45302" s="1"/>
      <c r="G45302" s="1"/>
    </row>
    <row r="45303">
      <c r="B45303" s="36"/>
      <c r="C45303" s="36"/>
      <c r="E45303" s="1"/>
      <c r="F45303" s="1"/>
      <c r="G45303" s="1"/>
    </row>
    <row r="45304">
      <c r="B45304" s="36"/>
      <c r="C45304" s="36"/>
      <c r="E45304" s="1"/>
      <c r="F45304" s="1"/>
      <c r="G45304" s="1"/>
    </row>
    <row r="45305">
      <c r="B45305" s="36"/>
      <c r="C45305" s="36"/>
      <c r="E45305" s="1"/>
      <c r="F45305" s="1"/>
      <c r="G45305" s="1"/>
    </row>
    <row r="45306">
      <c r="B45306" s="36"/>
      <c r="C45306" s="36"/>
      <c r="E45306" s="1"/>
      <c r="F45306" s="1"/>
      <c r="G45306" s="1"/>
    </row>
    <row r="45307">
      <c r="B45307" s="36"/>
      <c r="C45307" s="36"/>
      <c r="E45307" s="1"/>
      <c r="F45307" s="1"/>
      <c r="G45307" s="1"/>
    </row>
    <row r="45308">
      <c r="B45308" s="36"/>
      <c r="C45308" s="36"/>
      <c r="E45308" s="1"/>
      <c r="F45308" s="1"/>
      <c r="G45308" s="1"/>
    </row>
    <row r="45309">
      <c r="B45309" s="36"/>
      <c r="C45309" s="36"/>
      <c r="E45309" s="1"/>
      <c r="F45309" s="1"/>
      <c r="G45309" s="1"/>
    </row>
    <row r="45310">
      <c r="B45310" s="36"/>
      <c r="C45310" s="36"/>
      <c r="E45310" s="1"/>
      <c r="F45310" s="1"/>
      <c r="G45310" s="1"/>
    </row>
    <row r="45311">
      <c r="B45311" s="36"/>
      <c r="C45311" s="36"/>
      <c r="E45311" s="1"/>
      <c r="F45311" s="1"/>
      <c r="G45311" s="1"/>
    </row>
    <row r="45312">
      <c r="B45312" s="36"/>
      <c r="C45312" s="36"/>
      <c r="E45312" s="1"/>
      <c r="F45312" s="1"/>
      <c r="G45312" s="1"/>
    </row>
    <row r="45313">
      <c r="B45313" s="36"/>
      <c r="C45313" s="36"/>
      <c r="E45313" s="1"/>
      <c r="F45313" s="1"/>
      <c r="G45313" s="1"/>
    </row>
    <row r="45314">
      <c r="B45314" s="36"/>
      <c r="C45314" s="36"/>
      <c r="E45314" s="1"/>
      <c r="F45314" s="1"/>
      <c r="G45314" s="1"/>
    </row>
    <row r="45315">
      <c r="B45315" s="36"/>
      <c r="C45315" s="36"/>
      <c r="E45315" s="1"/>
      <c r="F45315" s="1"/>
      <c r="G45315" s="1"/>
    </row>
    <row r="45316">
      <c r="B45316" s="36"/>
      <c r="C45316" s="36"/>
      <c r="E45316" s="1"/>
      <c r="F45316" s="1"/>
      <c r="G45316" s="1"/>
    </row>
    <row r="45317">
      <c r="B45317" s="36"/>
      <c r="C45317" s="36"/>
      <c r="E45317" s="1"/>
      <c r="F45317" s="1"/>
      <c r="G45317" s="1"/>
    </row>
    <row r="45318">
      <c r="B45318" s="36"/>
      <c r="C45318" s="36"/>
      <c r="E45318" s="1"/>
      <c r="F45318" s="1"/>
      <c r="G45318" s="1"/>
    </row>
    <row r="45319">
      <c r="B45319" s="36"/>
      <c r="C45319" s="36"/>
      <c r="E45319" s="1"/>
      <c r="F45319" s="1"/>
      <c r="G45319" s="1"/>
    </row>
    <row r="45320">
      <c r="B45320" s="36"/>
      <c r="C45320" s="36"/>
      <c r="E45320" s="1"/>
      <c r="F45320" s="1"/>
      <c r="G45320" s="1"/>
    </row>
    <row r="45321">
      <c r="B45321" s="36"/>
      <c r="C45321" s="36"/>
      <c r="E45321" s="1"/>
      <c r="F45321" s="1"/>
      <c r="G45321" s="1"/>
    </row>
    <row r="45322">
      <c r="B45322" s="36"/>
      <c r="C45322" s="36"/>
      <c r="E45322" s="1"/>
      <c r="F45322" s="1"/>
      <c r="G45322" s="1"/>
    </row>
    <row r="45323">
      <c r="B45323" s="36"/>
      <c r="C45323" s="36"/>
      <c r="E45323" s="1"/>
      <c r="F45323" s="1"/>
      <c r="G45323" s="1"/>
    </row>
    <row r="45324">
      <c r="B45324" s="36"/>
      <c r="C45324" s="36"/>
      <c r="E45324" s="1"/>
      <c r="F45324" s="1"/>
      <c r="G45324" s="1"/>
    </row>
    <row r="45325">
      <c r="B45325" s="36"/>
      <c r="C45325" s="36"/>
      <c r="E45325" s="1"/>
      <c r="F45325" s="1"/>
      <c r="G45325" s="1"/>
    </row>
    <row r="45326">
      <c r="B45326" s="36"/>
      <c r="C45326" s="36"/>
      <c r="E45326" s="1"/>
      <c r="F45326" s="1"/>
      <c r="G45326" s="1"/>
    </row>
    <row r="45327">
      <c r="B45327" s="36"/>
      <c r="C45327" s="36"/>
      <c r="E45327" s="1"/>
      <c r="F45327" s="1"/>
      <c r="G45327" s="1"/>
    </row>
    <row r="45328">
      <c r="B45328" s="36"/>
      <c r="C45328" s="36"/>
      <c r="E45328" s="1"/>
      <c r="F45328" s="1"/>
      <c r="G45328" s="1"/>
    </row>
    <row r="45329">
      <c r="B45329" s="36"/>
      <c r="C45329" s="36"/>
      <c r="E45329" s="1"/>
      <c r="F45329" s="1"/>
      <c r="G45329" s="1"/>
    </row>
    <row r="45330">
      <c r="B45330" s="36"/>
      <c r="C45330" s="36"/>
      <c r="E45330" s="1"/>
      <c r="F45330" s="1"/>
      <c r="G45330" s="1"/>
    </row>
    <row r="45331">
      <c r="B45331" s="36"/>
      <c r="C45331" s="36"/>
      <c r="E45331" s="1"/>
      <c r="F45331" s="1"/>
      <c r="G45331" s="1"/>
    </row>
    <row r="45332">
      <c r="B45332" s="36"/>
      <c r="C45332" s="36"/>
      <c r="E45332" s="1"/>
      <c r="F45332" s="1"/>
      <c r="G45332" s="1"/>
    </row>
    <row r="45333">
      <c r="B45333" s="36"/>
      <c r="C45333" s="36"/>
      <c r="E45333" s="1"/>
      <c r="F45333" s="1"/>
      <c r="G45333" s="1"/>
    </row>
    <row r="45334">
      <c r="B45334" s="36"/>
      <c r="C45334" s="36"/>
      <c r="E45334" s="1"/>
      <c r="F45334" s="1"/>
      <c r="G45334" s="1"/>
    </row>
    <row r="45335">
      <c r="B45335" s="36"/>
      <c r="C45335" s="36"/>
      <c r="E45335" s="1"/>
      <c r="F45335" s="1"/>
      <c r="G45335" s="1"/>
    </row>
    <row r="45336">
      <c r="B45336" s="36"/>
      <c r="C45336" s="36"/>
      <c r="E45336" s="1"/>
      <c r="F45336" s="1"/>
      <c r="G45336" s="1"/>
    </row>
    <row r="45337">
      <c r="B45337" s="36"/>
      <c r="C45337" s="36"/>
      <c r="E45337" s="1"/>
      <c r="F45337" s="1"/>
      <c r="G45337" s="1"/>
    </row>
    <row r="45338">
      <c r="B45338" s="36"/>
      <c r="C45338" s="36"/>
      <c r="E45338" s="1"/>
      <c r="F45338" s="1"/>
      <c r="G45338" s="1"/>
    </row>
    <row r="45339">
      <c r="B45339" s="36"/>
      <c r="C45339" s="36"/>
      <c r="E45339" s="1"/>
      <c r="F45339" s="1"/>
      <c r="G45339" s="1"/>
    </row>
    <row r="45340">
      <c r="B45340" s="36"/>
      <c r="C45340" s="36"/>
      <c r="E45340" s="1"/>
      <c r="F45340" s="1"/>
      <c r="G45340" s="1"/>
    </row>
    <row r="45341">
      <c r="B45341" s="36"/>
      <c r="C45341" s="36"/>
      <c r="E45341" s="1"/>
      <c r="F45341" s="1"/>
      <c r="G45341" s="1"/>
    </row>
    <row r="45342">
      <c r="B45342" s="36"/>
      <c r="C45342" s="36"/>
      <c r="E45342" s="1"/>
      <c r="F45342" s="1"/>
      <c r="G45342" s="1"/>
    </row>
    <row r="45343">
      <c r="B45343" s="36"/>
      <c r="C45343" s="36"/>
      <c r="E45343" s="1"/>
      <c r="F45343" s="1"/>
      <c r="G45343" s="1"/>
    </row>
    <row r="45344">
      <c r="B45344" s="36"/>
      <c r="C45344" s="36"/>
      <c r="E45344" s="1"/>
      <c r="F45344" s="1"/>
      <c r="G45344" s="1"/>
    </row>
    <row r="45345">
      <c r="B45345" s="36"/>
      <c r="C45345" s="36"/>
      <c r="E45345" s="1"/>
      <c r="F45345" s="1"/>
      <c r="G45345" s="1"/>
    </row>
    <row r="45346">
      <c r="B45346" s="36"/>
      <c r="C45346" s="36"/>
      <c r="E45346" s="1"/>
      <c r="F45346" s="1"/>
      <c r="G45346" s="1"/>
    </row>
    <row r="45347">
      <c r="B45347" s="36"/>
      <c r="C45347" s="36"/>
      <c r="E45347" s="1"/>
      <c r="F45347" s="1"/>
      <c r="G45347" s="1"/>
    </row>
    <row r="45348">
      <c r="B45348" s="36"/>
      <c r="C45348" s="36"/>
      <c r="E45348" s="1"/>
      <c r="F45348" s="1"/>
      <c r="G45348" s="1"/>
    </row>
    <row r="45349">
      <c r="B45349" s="36"/>
      <c r="C45349" s="36"/>
      <c r="E45349" s="1"/>
      <c r="F45349" s="1"/>
      <c r="G45349" s="1"/>
    </row>
    <row r="45350">
      <c r="B45350" s="36"/>
      <c r="C45350" s="36"/>
      <c r="E45350" s="1"/>
      <c r="F45350" s="1"/>
      <c r="G45350" s="1"/>
    </row>
    <row r="45351">
      <c r="B45351" s="36"/>
      <c r="C45351" s="36"/>
      <c r="E45351" s="1"/>
      <c r="F45351" s="1"/>
      <c r="G45351" s="1"/>
    </row>
    <row r="45352">
      <c r="B45352" s="36"/>
      <c r="C45352" s="36"/>
      <c r="E45352" s="1"/>
      <c r="F45352" s="1"/>
      <c r="G45352" s="1"/>
    </row>
    <row r="45353">
      <c r="B45353" s="36"/>
      <c r="C45353" s="36"/>
      <c r="E45353" s="1"/>
      <c r="F45353" s="1"/>
      <c r="G45353" s="1"/>
    </row>
    <row r="45354">
      <c r="B45354" s="36"/>
      <c r="C45354" s="36"/>
      <c r="E45354" s="1"/>
      <c r="F45354" s="1"/>
      <c r="G45354" s="1"/>
    </row>
    <row r="45355">
      <c r="B45355" s="36"/>
      <c r="C45355" s="36"/>
      <c r="E45355" s="1"/>
      <c r="F45355" s="1"/>
      <c r="G45355" s="1"/>
    </row>
    <row r="45356">
      <c r="B45356" s="36"/>
      <c r="C45356" s="36"/>
      <c r="E45356" s="1"/>
      <c r="F45356" s="1"/>
      <c r="G45356" s="1"/>
    </row>
    <row r="45357">
      <c r="B45357" s="36"/>
      <c r="C45357" s="36"/>
      <c r="E45357" s="1"/>
      <c r="F45357" s="1"/>
      <c r="G45357" s="1"/>
    </row>
    <row r="45358">
      <c r="B45358" s="36"/>
      <c r="C45358" s="36"/>
      <c r="E45358" s="1"/>
      <c r="F45358" s="1"/>
      <c r="G45358" s="1"/>
    </row>
    <row r="45359">
      <c r="B45359" s="36"/>
      <c r="C45359" s="36"/>
      <c r="E45359" s="1"/>
      <c r="F45359" s="1"/>
      <c r="G45359" s="1"/>
    </row>
    <row r="45360">
      <c r="B45360" s="36"/>
      <c r="C45360" s="36"/>
      <c r="E45360" s="1"/>
      <c r="F45360" s="1"/>
      <c r="G45360" s="1"/>
    </row>
    <row r="45361">
      <c r="B45361" s="36"/>
      <c r="C45361" s="36"/>
      <c r="E45361" s="1"/>
      <c r="F45361" s="1"/>
      <c r="G45361" s="1"/>
    </row>
    <row r="45362">
      <c r="B45362" s="36"/>
      <c r="C45362" s="36"/>
      <c r="E45362" s="1"/>
      <c r="F45362" s="1"/>
      <c r="G45362" s="1"/>
    </row>
    <row r="45363">
      <c r="B45363" s="36"/>
      <c r="C45363" s="36"/>
      <c r="E45363" s="1"/>
      <c r="F45363" s="1"/>
      <c r="G45363" s="1"/>
    </row>
    <row r="45364">
      <c r="B45364" s="36"/>
      <c r="C45364" s="36"/>
      <c r="E45364" s="1"/>
      <c r="F45364" s="1"/>
      <c r="G45364" s="1"/>
    </row>
    <row r="45365">
      <c r="B45365" s="36"/>
      <c r="C45365" s="36"/>
      <c r="E45365" s="1"/>
      <c r="F45365" s="1"/>
      <c r="G45365" s="1"/>
    </row>
    <row r="45366">
      <c r="B45366" s="36"/>
      <c r="C45366" s="36"/>
      <c r="E45366" s="1"/>
      <c r="F45366" s="1"/>
      <c r="G45366" s="1"/>
    </row>
    <row r="45367">
      <c r="B45367" s="36"/>
      <c r="C45367" s="36"/>
      <c r="E45367" s="1"/>
      <c r="F45367" s="1"/>
      <c r="G45367" s="1"/>
    </row>
    <row r="45368">
      <c r="B45368" s="36"/>
      <c r="C45368" s="36"/>
      <c r="E45368" s="1"/>
      <c r="F45368" s="1"/>
      <c r="G45368" s="1"/>
    </row>
    <row r="45369">
      <c r="B45369" s="36"/>
      <c r="C45369" s="36"/>
      <c r="E45369" s="1"/>
      <c r="F45369" s="1"/>
      <c r="G45369" s="1"/>
    </row>
    <row r="45370">
      <c r="B45370" s="36"/>
      <c r="C45370" s="36"/>
      <c r="E45370" s="1"/>
      <c r="F45370" s="1"/>
      <c r="G45370" s="1"/>
    </row>
    <row r="45371">
      <c r="B45371" s="36"/>
      <c r="C45371" s="36"/>
      <c r="E45371" s="1"/>
      <c r="F45371" s="1"/>
      <c r="G45371" s="1"/>
    </row>
    <row r="45372">
      <c r="B45372" s="36"/>
      <c r="C45372" s="36"/>
      <c r="E45372" s="1"/>
      <c r="F45372" s="1"/>
      <c r="G45372" s="1"/>
    </row>
    <row r="45373">
      <c r="B45373" s="36"/>
      <c r="C45373" s="36"/>
      <c r="E45373" s="1"/>
      <c r="F45373" s="1"/>
      <c r="G45373" s="1"/>
    </row>
    <row r="45374">
      <c r="B45374" s="36"/>
      <c r="C45374" s="36"/>
      <c r="E45374" s="1"/>
      <c r="F45374" s="1"/>
      <c r="G45374" s="1"/>
    </row>
    <row r="45375">
      <c r="B45375" s="36"/>
      <c r="C45375" s="36"/>
      <c r="E45375" s="1"/>
      <c r="F45375" s="1"/>
      <c r="G45375" s="1"/>
    </row>
    <row r="45376">
      <c r="B45376" s="36"/>
      <c r="C45376" s="36"/>
      <c r="E45376" s="1"/>
      <c r="F45376" s="1"/>
      <c r="G45376" s="1"/>
    </row>
    <row r="45377">
      <c r="B45377" s="36"/>
      <c r="C45377" s="36"/>
      <c r="E45377" s="1"/>
      <c r="F45377" s="1"/>
      <c r="G45377" s="1"/>
    </row>
    <row r="45378">
      <c r="B45378" s="36"/>
      <c r="C45378" s="36"/>
      <c r="E45378" s="1"/>
      <c r="F45378" s="1"/>
      <c r="G45378" s="1"/>
    </row>
    <row r="45379">
      <c r="B45379" s="36"/>
      <c r="C45379" s="36"/>
      <c r="E45379" s="1"/>
      <c r="F45379" s="1"/>
      <c r="G45379" s="1"/>
    </row>
    <row r="45380">
      <c r="B45380" s="36"/>
      <c r="C45380" s="36"/>
      <c r="E45380" s="1"/>
      <c r="F45380" s="1"/>
      <c r="G45380" s="1"/>
    </row>
    <row r="45381">
      <c r="B45381" s="36"/>
      <c r="C45381" s="36"/>
      <c r="E45381" s="1"/>
      <c r="F45381" s="1"/>
      <c r="G45381" s="1"/>
    </row>
    <row r="45382">
      <c r="B45382" s="36"/>
      <c r="C45382" s="36"/>
      <c r="E45382" s="1"/>
      <c r="F45382" s="1"/>
      <c r="G45382" s="1"/>
    </row>
    <row r="45383">
      <c r="B45383" s="36"/>
      <c r="C45383" s="36"/>
      <c r="E45383" s="1"/>
      <c r="F45383" s="1"/>
      <c r="G45383" s="1"/>
    </row>
    <row r="45384">
      <c r="B45384" s="36"/>
      <c r="C45384" s="36"/>
      <c r="E45384" s="1"/>
      <c r="F45384" s="1"/>
      <c r="G45384" s="1"/>
    </row>
    <row r="45385">
      <c r="B45385" s="36"/>
      <c r="C45385" s="36"/>
      <c r="E45385" s="1"/>
      <c r="F45385" s="1"/>
      <c r="G45385" s="1"/>
    </row>
    <row r="45386">
      <c r="B45386" s="36"/>
      <c r="C45386" s="36"/>
      <c r="E45386" s="1"/>
      <c r="F45386" s="1"/>
      <c r="G45386" s="1"/>
    </row>
    <row r="45387">
      <c r="B45387" s="36"/>
      <c r="C45387" s="36"/>
      <c r="E45387" s="1"/>
      <c r="F45387" s="1"/>
      <c r="G45387" s="1"/>
    </row>
    <row r="45388">
      <c r="B45388" s="36"/>
      <c r="C45388" s="36"/>
      <c r="E45388" s="1"/>
      <c r="F45388" s="1"/>
      <c r="G45388" s="1"/>
    </row>
    <row r="45389">
      <c r="B45389" s="36"/>
      <c r="C45389" s="36"/>
      <c r="E45389" s="1"/>
      <c r="F45389" s="1"/>
      <c r="G45389" s="1"/>
    </row>
    <row r="45390">
      <c r="B45390" s="36"/>
      <c r="C45390" s="36"/>
      <c r="E45390" s="1"/>
      <c r="F45390" s="1"/>
      <c r="G45390" s="1"/>
    </row>
    <row r="45391">
      <c r="B45391" s="36"/>
      <c r="C45391" s="36"/>
      <c r="E45391" s="1"/>
      <c r="F45391" s="1"/>
      <c r="G45391" s="1"/>
    </row>
    <row r="45392">
      <c r="B45392" s="36"/>
      <c r="C45392" s="36"/>
      <c r="E45392" s="1"/>
      <c r="F45392" s="1"/>
      <c r="G45392" s="1"/>
    </row>
    <row r="45393">
      <c r="B45393" s="36"/>
      <c r="C45393" s="36"/>
      <c r="E45393" s="1"/>
      <c r="F45393" s="1"/>
      <c r="G45393" s="1"/>
    </row>
    <row r="45394">
      <c r="B45394" s="36"/>
      <c r="C45394" s="36"/>
      <c r="E45394" s="1"/>
      <c r="F45394" s="1"/>
      <c r="G45394" s="1"/>
    </row>
    <row r="45395">
      <c r="B45395" s="36"/>
      <c r="C45395" s="36"/>
      <c r="E45395" s="1"/>
      <c r="F45395" s="1"/>
      <c r="G45395" s="1"/>
    </row>
    <row r="45396">
      <c r="B45396" s="36"/>
      <c r="C45396" s="36"/>
      <c r="E45396" s="1"/>
      <c r="F45396" s="1"/>
      <c r="G45396" s="1"/>
    </row>
    <row r="45397">
      <c r="B45397" s="36"/>
      <c r="C45397" s="36"/>
      <c r="E45397" s="1"/>
      <c r="F45397" s="1"/>
      <c r="G45397" s="1"/>
    </row>
    <row r="45398">
      <c r="B45398" s="36"/>
      <c r="C45398" s="36"/>
      <c r="E45398" s="1"/>
      <c r="F45398" s="1"/>
      <c r="G45398" s="1"/>
    </row>
    <row r="45399">
      <c r="B45399" s="36"/>
      <c r="C45399" s="36"/>
      <c r="E45399" s="1"/>
      <c r="F45399" s="1"/>
      <c r="G45399" s="1"/>
    </row>
    <row r="45400">
      <c r="B45400" s="36"/>
      <c r="C45400" s="36"/>
      <c r="E45400" s="1"/>
      <c r="F45400" s="1"/>
      <c r="G45400" s="1"/>
    </row>
    <row r="45401">
      <c r="B45401" s="36"/>
      <c r="C45401" s="36"/>
      <c r="E45401" s="1"/>
      <c r="F45401" s="1"/>
      <c r="G45401" s="1"/>
    </row>
    <row r="45402">
      <c r="B45402" s="36"/>
      <c r="C45402" s="36"/>
      <c r="E45402" s="1"/>
      <c r="F45402" s="1"/>
      <c r="G45402" s="1"/>
    </row>
    <row r="45403">
      <c r="B45403" s="36"/>
      <c r="C45403" s="36"/>
      <c r="E45403" s="1"/>
      <c r="F45403" s="1"/>
      <c r="G45403" s="1"/>
    </row>
    <row r="45404">
      <c r="B45404" s="36"/>
      <c r="C45404" s="36"/>
      <c r="E45404" s="1"/>
      <c r="F45404" s="1"/>
      <c r="G45404" s="1"/>
    </row>
    <row r="45405">
      <c r="B45405" s="36"/>
      <c r="C45405" s="36"/>
      <c r="E45405" s="1"/>
      <c r="F45405" s="1"/>
      <c r="G45405" s="1"/>
    </row>
    <row r="45406">
      <c r="B45406" s="36"/>
      <c r="C45406" s="36"/>
      <c r="E45406" s="1"/>
      <c r="F45406" s="1"/>
      <c r="G45406" s="1"/>
    </row>
    <row r="45407">
      <c r="B45407" s="36"/>
      <c r="C45407" s="36"/>
      <c r="E45407" s="1"/>
      <c r="F45407" s="1"/>
      <c r="G45407" s="1"/>
    </row>
    <row r="45408">
      <c r="B45408" s="36"/>
      <c r="C45408" s="36"/>
      <c r="E45408" s="1"/>
      <c r="F45408" s="1"/>
      <c r="G45408" s="1"/>
    </row>
    <row r="45409">
      <c r="B45409" s="36"/>
      <c r="C45409" s="36"/>
      <c r="E45409" s="1"/>
      <c r="F45409" s="1"/>
      <c r="G45409" s="1"/>
    </row>
    <row r="45410">
      <c r="B45410" s="36"/>
      <c r="C45410" s="36"/>
      <c r="E45410" s="1"/>
      <c r="F45410" s="1"/>
      <c r="G45410" s="1"/>
    </row>
    <row r="45411">
      <c r="B45411" s="36"/>
      <c r="C45411" s="36"/>
      <c r="E45411" s="1"/>
      <c r="F45411" s="1"/>
      <c r="G45411" s="1"/>
    </row>
    <row r="45412">
      <c r="B45412" s="36"/>
      <c r="C45412" s="36"/>
      <c r="E45412" s="1"/>
      <c r="F45412" s="1"/>
      <c r="G45412" s="1"/>
    </row>
    <row r="45413">
      <c r="B45413" s="36"/>
      <c r="C45413" s="36"/>
      <c r="E45413" s="1"/>
      <c r="F45413" s="1"/>
      <c r="G45413" s="1"/>
    </row>
    <row r="45414">
      <c r="B45414" s="36"/>
      <c r="C45414" s="36"/>
      <c r="E45414" s="1"/>
      <c r="F45414" s="1"/>
      <c r="G45414" s="1"/>
    </row>
    <row r="45415">
      <c r="B45415" s="36"/>
      <c r="C45415" s="36"/>
      <c r="E45415" s="1"/>
      <c r="F45415" s="1"/>
      <c r="G45415" s="1"/>
    </row>
    <row r="45416">
      <c r="B45416" s="36"/>
      <c r="C45416" s="36"/>
      <c r="E45416" s="1"/>
      <c r="F45416" s="1"/>
      <c r="G45416" s="1"/>
    </row>
    <row r="45417">
      <c r="B45417" s="36"/>
      <c r="C45417" s="36"/>
      <c r="E45417" s="1"/>
      <c r="F45417" s="1"/>
      <c r="G45417" s="1"/>
    </row>
    <row r="45418">
      <c r="B45418" s="36"/>
      <c r="C45418" s="36"/>
      <c r="E45418" s="1"/>
      <c r="F45418" s="1"/>
      <c r="G45418" s="1"/>
    </row>
    <row r="45419">
      <c r="B45419" s="36"/>
      <c r="C45419" s="36"/>
      <c r="E45419" s="1"/>
      <c r="F45419" s="1"/>
      <c r="G45419" s="1"/>
    </row>
    <row r="45420">
      <c r="B45420" s="36"/>
      <c r="C45420" s="36"/>
      <c r="E45420" s="1"/>
      <c r="F45420" s="1"/>
      <c r="G45420" s="1"/>
    </row>
    <row r="45421">
      <c r="B45421" s="36"/>
      <c r="C45421" s="36"/>
      <c r="E45421" s="1"/>
      <c r="F45421" s="1"/>
      <c r="G45421" s="1"/>
    </row>
    <row r="45422">
      <c r="B45422" s="36"/>
      <c r="C45422" s="36"/>
      <c r="E45422" s="1"/>
      <c r="F45422" s="1"/>
      <c r="G45422" s="1"/>
    </row>
    <row r="45423">
      <c r="B45423" s="36"/>
      <c r="C45423" s="36"/>
      <c r="E45423" s="1"/>
      <c r="F45423" s="1"/>
      <c r="G45423" s="1"/>
    </row>
    <row r="45424">
      <c r="B45424" s="36"/>
      <c r="C45424" s="36"/>
      <c r="E45424" s="1"/>
      <c r="F45424" s="1"/>
      <c r="G45424" s="1"/>
    </row>
    <row r="45425">
      <c r="B45425" s="36"/>
      <c r="C45425" s="36"/>
      <c r="E45425" s="1"/>
      <c r="F45425" s="1"/>
      <c r="G45425" s="1"/>
    </row>
    <row r="45426">
      <c r="B45426" s="36"/>
      <c r="C45426" s="36"/>
      <c r="E45426" s="1"/>
      <c r="F45426" s="1"/>
      <c r="G45426" s="1"/>
    </row>
    <row r="45427">
      <c r="B45427" s="36"/>
      <c r="C45427" s="36"/>
      <c r="E45427" s="1"/>
      <c r="F45427" s="1"/>
      <c r="G45427" s="1"/>
    </row>
    <row r="45428">
      <c r="B45428" s="36"/>
      <c r="C45428" s="36"/>
      <c r="E45428" s="1"/>
      <c r="F45428" s="1"/>
      <c r="G45428" s="1"/>
    </row>
    <row r="45429">
      <c r="B45429" s="36"/>
      <c r="C45429" s="36"/>
      <c r="E45429" s="1"/>
      <c r="F45429" s="1"/>
      <c r="G45429" s="1"/>
    </row>
    <row r="45430">
      <c r="B45430" s="36"/>
      <c r="C45430" s="36"/>
      <c r="E45430" s="1"/>
      <c r="F45430" s="1"/>
      <c r="G45430" s="1"/>
    </row>
    <row r="45431">
      <c r="B45431" s="36"/>
      <c r="C45431" s="36"/>
      <c r="E45431" s="1"/>
      <c r="F45431" s="1"/>
      <c r="G45431" s="1"/>
    </row>
    <row r="45432">
      <c r="B45432" s="36"/>
      <c r="C45432" s="36"/>
      <c r="E45432" s="1"/>
      <c r="F45432" s="1"/>
      <c r="G45432" s="1"/>
    </row>
    <row r="45433">
      <c r="B45433" s="36"/>
      <c r="C45433" s="36"/>
      <c r="E45433" s="1"/>
      <c r="F45433" s="1"/>
      <c r="G45433" s="1"/>
    </row>
    <row r="45434">
      <c r="B45434" s="36"/>
      <c r="C45434" s="36"/>
      <c r="E45434" s="1"/>
      <c r="F45434" s="1"/>
      <c r="G45434" s="1"/>
    </row>
    <row r="45435">
      <c r="B45435" s="36"/>
      <c r="C45435" s="36"/>
      <c r="E45435" s="1"/>
      <c r="F45435" s="1"/>
      <c r="G45435" s="1"/>
    </row>
    <row r="45436">
      <c r="B45436" s="36"/>
      <c r="C45436" s="36"/>
      <c r="E45436" s="1"/>
      <c r="F45436" s="1"/>
      <c r="G45436" s="1"/>
    </row>
    <row r="45437">
      <c r="B45437" s="36"/>
      <c r="C45437" s="36"/>
      <c r="E45437" s="1"/>
      <c r="F45437" s="1"/>
      <c r="G45437" s="1"/>
    </row>
    <row r="45438">
      <c r="B45438" s="36"/>
      <c r="C45438" s="36"/>
      <c r="E45438" s="1"/>
      <c r="F45438" s="1"/>
      <c r="G45438" s="1"/>
    </row>
    <row r="45439">
      <c r="B45439" s="36"/>
      <c r="C45439" s="36"/>
      <c r="E45439" s="1"/>
      <c r="F45439" s="1"/>
      <c r="G45439" s="1"/>
    </row>
    <row r="45440">
      <c r="B45440" s="36"/>
      <c r="C45440" s="36"/>
      <c r="E45440" s="1"/>
      <c r="F45440" s="1"/>
      <c r="G45440" s="1"/>
    </row>
    <row r="45441">
      <c r="B45441" s="36"/>
      <c r="C45441" s="36"/>
      <c r="E45441" s="1"/>
      <c r="F45441" s="1"/>
      <c r="G45441" s="1"/>
    </row>
    <row r="45442">
      <c r="B45442" s="36"/>
      <c r="C45442" s="36"/>
      <c r="E45442" s="1"/>
      <c r="F45442" s="1"/>
      <c r="G45442" s="1"/>
    </row>
    <row r="45443">
      <c r="B45443" s="36"/>
      <c r="C45443" s="36"/>
      <c r="E45443" s="1"/>
      <c r="F45443" s="1"/>
      <c r="G45443" s="1"/>
    </row>
    <row r="45444">
      <c r="B45444" s="36"/>
      <c r="C45444" s="36"/>
      <c r="E45444" s="1"/>
      <c r="F45444" s="1"/>
      <c r="G45444" s="1"/>
    </row>
    <row r="45445">
      <c r="B45445" s="36"/>
      <c r="C45445" s="36"/>
      <c r="E45445" s="1"/>
      <c r="F45445" s="1"/>
      <c r="G45445" s="1"/>
    </row>
    <row r="45446">
      <c r="B45446" s="36"/>
      <c r="C45446" s="36"/>
      <c r="E45446" s="1"/>
      <c r="F45446" s="1"/>
      <c r="G45446" s="1"/>
    </row>
    <row r="45447">
      <c r="B45447" s="36"/>
      <c r="C45447" s="36"/>
      <c r="E45447" s="1"/>
      <c r="F45447" s="1"/>
      <c r="G45447" s="1"/>
    </row>
    <row r="45448">
      <c r="B45448" s="36"/>
      <c r="C45448" s="36"/>
      <c r="E45448" s="1"/>
      <c r="F45448" s="1"/>
      <c r="G45448" s="1"/>
    </row>
    <row r="45449">
      <c r="B45449" s="36"/>
      <c r="C45449" s="36"/>
      <c r="E45449" s="1"/>
      <c r="F45449" s="1"/>
      <c r="G45449" s="1"/>
    </row>
    <row r="45450">
      <c r="B45450" s="36"/>
      <c r="C45450" s="36"/>
      <c r="E45450" s="1"/>
      <c r="F45450" s="1"/>
      <c r="G45450" s="1"/>
    </row>
    <row r="45451">
      <c r="B45451" s="36"/>
      <c r="C45451" s="36"/>
      <c r="E45451" s="1"/>
      <c r="F45451" s="1"/>
      <c r="G45451" s="1"/>
    </row>
    <row r="45452">
      <c r="B45452" s="36"/>
      <c r="C45452" s="36"/>
      <c r="E45452" s="1"/>
      <c r="F45452" s="1"/>
      <c r="G45452" s="1"/>
    </row>
    <row r="45453">
      <c r="B45453" s="36"/>
      <c r="C45453" s="36"/>
      <c r="E45453" s="1"/>
      <c r="F45453" s="1"/>
      <c r="G45453" s="1"/>
    </row>
    <row r="45454">
      <c r="B45454" s="36"/>
      <c r="C45454" s="36"/>
      <c r="E45454" s="1"/>
      <c r="F45454" s="1"/>
      <c r="G45454" s="1"/>
    </row>
    <row r="45455">
      <c r="B45455" s="36"/>
      <c r="C45455" s="36"/>
      <c r="E45455" s="1"/>
      <c r="F45455" s="1"/>
      <c r="G45455" s="1"/>
    </row>
    <row r="45456">
      <c r="B45456" s="36"/>
      <c r="C45456" s="36"/>
      <c r="E45456" s="1"/>
      <c r="F45456" s="1"/>
      <c r="G45456" s="1"/>
    </row>
    <row r="45457">
      <c r="B45457" s="36"/>
      <c r="C45457" s="36"/>
      <c r="E45457" s="1"/>
      <c r="F45457" s="1"/>
      <c r="G45457" s="1"/>
    </row>
    <row r="45458">
      <c r="B45458" s="36"/>
      <c r="C45458" s="36"/>
      <c r="E45458" s="1"/>
      <c r="F45458" s="1"/>
      <c r="G45458" s="1"/>
    </row>
    <row r="45459">
      <c r="B45459" s="36"/>
      <c r="C45459" s="36"/>
      <c r="E45459" s="1"/>
      <c r="F45459" s="1"/>
      <c r="G45459" s="1"/>
    </row>
    <row r="45460">
      <c r="B45460" s="36"/>
      <c r="C45460" s="36"/>
      <c r="E45460" s="1"/>
      <c r="F45460" s="1"/>
      <c r="G45460" s="1"/>
    </row>
    <row r="45461">
      <c r="B45461" s="36"/>
      <c r="C45461" s="36"/>
      <c r="E45461" s="1"/>
      <c r="F45461" s="1"/>
      <c r="G45461" s="1"/>
    </row>
    <row r="45462">
      <c r="B45462" s="36"/>
      <c r="C45462" s="36"/>
      <c r="E45462" s="1"/>
      <c r="F45462" s="1"/>
      <c r="G45462" s="1"/>
    </row>
    <row r="45463">
      <c r="B45463" s="36"/>
      <c r="C45463" s="36"/>
      <c r="E45463" s="1"/>
      <c r="F45463" s="1"/>
      <c r="G45463" s="1"/>
    </row>
    <row r="45464">
      <c r="B45464" s="36"/>
      <c r="C45464" s="36"/>
      <c r="E45464" s="1"/>
      <c r="F45464" s="1"/>
      <c r="G45464" s="1"/>
    </row>
    <row r="45465">
      <c r="B45465" s="36"/>
      <c r="C45465" s="36"/>
      <c r="E45465" s="1"/>
      <c r="F45465" s="1"/>
      <c r="G45465" s="1"/>
    </row>
    <row r="45466">
      <c r="B45466" s="36"/>
      <c r="C45466" s="36"/>
      <c r="E45466" s="1"/>
      <c r="F45466" s="1"/>
      <c r="G45466" s="1"/>
    </row>
    <row r="45467">
      <c r="B45467" s="36"/>
      <c r="C45467" s="36"/>
      <c r="E45467" s="1"/>
      <c r="F45467" s="1"/>
      <c r="G45467" s="1"/>
    </row>
    <row r="45468">
      <c r="B45468" s="36"/>
      <c r="C45468" s="36"/>
      <c r="E45468" s="1"/>
      <c r="F45468" s="1"/>
      <c r="G45468" s="1"/>
    </row>
    <row r="45469">
      <c r="B45469" s="36"/>
      <c r="C45469" s="36"/>
      <c r="E45469" s="1"/>
      <c r="F45469" s="1"/>
      <c r="G45469" s="1"/>
    </row>
    <row r="45470">
      <c r="B45470" s="36"/>
      <c r="C45470" s="36"/>
      <c r="E45470" s="1"/>
      <c r="F45470" s="1"/>
      <c r="G45470" s="1"/>
    </row>
    <row r="45471">
      <c r="B45471" s="36"/>
      <c r="C45471" s="36"/>
      <c r="E45471" s="1"/>
      <c r="F45471" s="1"/>
      <c r="G45471" s="1"/>
    </row>
    <row r="45472">
      <c r="B45472" s="36"/>
      <c r="C45472" s="36"/>
      <c r="E45472" s="1"/>
      <c r="F45472" s="1"/>
      <c r="G45472" s="1"/>
    </row>
    <row r="45473">
      <c r="B45473" s="36"/>
      <c r="C45473" s="36"/>
      <c r="E45473" s="1"/>
      <c r="F45473" s="1"/>
      <c r="G45473" s="1"/>
    </row>
    <row r="45474">
      <c r="B45474" s="36"/>
      <c r="C45474" s="36"/>
      <c r="E45474" s="1"/>
      <c r="F45474" s="1"/>
      <c r="G45474" s="1"/>
    </row>
    <row r="45475">
      <c r="B45475" s="36"/>
      <c r="C45475" s="36"/>
      <c r="E45475" s="1"/>
      <c r="F45475" s="1"/>
      <c r="G45475" s="1"/>
    </row>
    <row r="45476">
      <c r="B45476" s="36"/>
      <c r="C45476" s="36"/>
      <c r="E45476" s="1"/>
      <c r="F45476" s="1"/>
      <c r="G45476" s="1"/>
    </row>
    <row r="45477">
      <c r="B45477" s="36"/>
      <c r="C45477" s="36"/>
      <c r="E45477" s="1"/>
      <c r="F45477" s="1"/>
      <c r="G45477" s="1"/>
    </row>
    <row r="45478">
      <c r="B45478" s="36"/>
      <c r="C45478" s="36"/>
      <c r="E45478" s="1"/>
      <c r="F45478" s="1"/>
      <c r="G45478" s="1"/>
    </row>
    <row r="45479">
      <c r="B45479" s="36"/>
      <c r="C45479" s="36"/>
      <c r="E45479" s="1"/>
      <c r="F45479" s="1"/>
      <c r="G45479" s="1"/>
    </row>
    <row r="45480">
      <c r="B45480" s="36"/>
      <c r="C45480" s="36"/>
      <c r="E45480" s="1"/>
      <c r="F45480" s="1"/>
      <c r="G45480" s="1"/>
    </row>
    <row r="45481">
      <c r="B45481" s="36"/>
      <c r="C45481" s="36"/>
      <c r="E45481" s="1"/>
      <c r="F45481" s="1"/>
      <c r="G45481" s="1"/>
    </row>
    <row r="45482">
      <c r="B45482" s="36"/>
      <c r="C45482" s="36"/>
      <c r="E45482" s="1"/>
      <c r="F45482" s="1"/>
      <c r="G45482" s="1"/>
    </row>
    <row r="45483">
      <c r="B45483" s="36"/>
      <c r="C45483" s="36"/>
      <c r="E45483" s="1"/>
      <c r="F45483" s="1"/>
      <c r="G45483" s="1"/>
    </row>
    <row r="45484">
      <c r="B45484" s="36"/>
      <c r="C45484" s="36"/>
      <c r="E45484" s="1"/>
      <c r="F45484" s="1"/>
      <c r="G45484" s="1"/>
    </row>
    <row r="45485">
      <c r="B45485" s="36"/>
      <c r="C45485" s="36"/>
      <c r="E45485" s="1"/>
      <c r="F45485" s="1"/>
      <c r="G45485" s="1"/>
    </row>
    <row r="45486">
      <c r="B45486" s="36"/>
      <c r="C45486" s="36"/>
      <c r="E45486" s="1"/>
      <c r="F45486" s="1"/>
      <c r="G45486" s="1"/>
    </row>
    <row r="45487">
      <c r="B45487" s="36"/>
      <c r="C45487" s="36"/>
      <c r="E45487" s="1"/>
      <c r="F45487" s="1"/>
      <c r="G45487" s="1"/>
    </row>
    <row r="45488">
      <c r="B45488" s="36"/>
      <c r="C45488" s="36"/>
      <c r="E45488" s="1"/>
      <c r="F45488" s="1"/>
      <c r="G45488" s="1"/>
    </row>
    <row r="45489">
      <c r="B45489" s="36"/>
      <c r="C45489" s="36"/>
      <c r="E45489" s="1"/>
      <c r="F45489" s="1"/>
      <c r="G45489" s="1"/>
    </row>
    <row r="45490">
      <c r="B45490" s="36"/>
      <c r="C45490" s="36"/>
      <c r="E45490" s="1"/>
      <c r="F45490" s="1"/>
      <c r="G45490" s="1"/>
    </row>
    <row r="45491">
      <c r="B45491" s="36"/>
      <c r="C45491" s="36"/>
      <c r="E45491" s="1"/>
      <c r="F45491" s="1"/>
      <c r="G45491" s="1"/>
    </row>
    <row r="45492">
      <c r="B45492" s="36"/>
      <c r="C45492" s="36"/>
      <c r="E45492" s="1"/>
      <c r="F45492" s="1"/>
      <c r="G45492" s="1"/>
    </row>
    <row r="45493">
      <c r="B45493" s="36"/>
      <c r="C45493" s="36"/>
      <c r="E45493" s="1"/>
      <c r="F45493" s="1"/>
      <c r="G45493" s="1"/>
    </row>
    <row r="45494">
      <c r="B45494" s="36"/>
      <c r="C45494" s="36"/>
      <c r="E45494" s="1"/>
      <c r="F45494" s="1"/>
      <c r="G45494" s="1"/>
    </row>
    <row r="45495">
      <c r="B45495" s="36"/>
      <c r="C45495" s="36"/>
      <c r="E45495" s="1"/>
      <c r="F45495" s="1"/>
      <c r="G45495" s="1"/>
    </row>
    <row r="45496">
      <c r="B45496" s="36"/>
      <c r="C45496" s="36"/>
      <c r="E45496" s="1"/>
      <c r="F45496" s="1"/>
      <c r="G45496" s="1"/>
    </row>
    <row r="45497">
      <c r="B45497" s="36"/>
      <c r="C45497" s="36"/>
      <c r="E45497" s="1"/>
      <c r="F45497" s="1"/>
      <c r="G45497" s="1"/>
    </row>
    <row r="45498">
      <c r="B45498" s="36"/>
      <c r="C45498" s="36"/>
      <c r="E45498" s="1"/>
      <c r="F45498" s="1"/>
      <c r="G45498" s="1"/>
    </row>
    <row r="45499">
      <c r="B45499" s="36"/>
      <c r="C45499" s="36"/>
      <c r="E45499" s="1"/>
      <c r="F45499" s="1"/>
      <c r="G45499" s="1"/>
    </row>
    <row r="45500">
      <c r="B45500" s="36"/>
      <c r="C45500" s="36"/>
      <c r="E45500" s="1"/>
      <c r="F45500" s="1"/>
      <c r="G45500" s="1"/>
    </row>
    <row r="45501">
      <c r="B45501" s="36"/>
      <c r="C45501" s="36"/>
      <c r="E45501" s="1"/>
      <c r="F45501" s="1"/>
      <c r="G45501" s="1"/>
    </row>
    <row r="45502">
      <c r="B45502" s="36"/>
      <c r="C45502" s="36"/>
      <c r="E45502" s="1"/>
      <c r="F45502" s="1"/>
      <c r="G45502" s="1"/>
    </row>
    <row r="45503">
      <c r="B45503" s="36"/>
      <c r="C45503" s="36"/>
      <c r="E45503" s="1"/>
      <c r="F45503" s="1"/>
      <c r="G45503" s="1"/>
    </row>
    <row r="45504">
      <c r="B45504" s="36"/>
      <c r="C45504" s="36"/>
      <c r="E45504" s="1"/>
      <c r="F45504" s="1"/>
      <c r="G45504" s="1"/>
    </row>
    <row r="45505">
      <c r="B45505" s="36"/>
      <c r="C45505" s="36"/>
      <c r="E45505" s="1"/>
      <c r="F45505" s="1"/>
      <c r="G45505" s="1"/>
    </row>
    <row r="45506">
      <c r="B45506" s="36"/>
      <c r="C45506" s="36"/>
      <c r="E45506" s="1"/>
      <c r="F45506" s="1"/>
      <c r="G45506" s="1"/>
    </row>
    <row r="45507">
      <c r="B45507" s="36"/>
      <c r="C45507" s="36"/>
      <c r="E45507" s="1"/>
      <c r="F45507" s="1"/>
      <c r="G45507" s="1"/>
    </row>
    <row r="45508">
      <c r="B45508" s="36"/>
      <c r="C45508" s="36"/>
      <c r="E45508" s="1"/>
      <c r="F45508" s="1"/>
      <c r="G45508" s="1"/>
    </row>
    <row r="45509">
      <c r="B45509" s="36"/>
      <c r="C45509" s="36"/>
      <c r="E45509" s="1"/>
      <c r="F45509" s="1"/>
      <c r="G45509" s="1"/>
    </row>
    <row r="45510">
      <c r="B45510" s="36"/>
      <c r="C45510" s="36"/>
      <c r="E45510" s="1"/>
      <c r="F45510" s="1"/>
      <c r="G45510" s="1"/>
    </row>
    <row r="45511">
      <c r="B45511" s="36"/>
      <c r="C45511" s="36"/>
      <c r="E45511" s="1"/>
      <c r="F45511" s="1"/>
      <c r="G45511" s="1"/>
    </row>
    <row r="45512">
      <c r="B45512" s="36"/>
      <c r="C45512" s="36"/>
      <c r="E45512" s="1"/>
      <c r="F45512" s="1"/>
      <c r="G45512" s="1"/>
    </row>
    <row r="45513">
      <c r="B45513" s="36"/>
      <c r="C45513" s="36"/>
      <c r="E45513" s="1"/>
      <c r="F45513" s="1"/>
      <c r="G45513" s="1"/>
    </row>
    <row r="45514">
      <c r="B45514" s="36"/>
      <c r="C45514" s="36"/>
      <c r="E45514" s="1"/>
      <c r="F45514" s="1"/>
      <c r="G45514" s="1"/>
    </row>
    <row r="45515">
      <c r="B45515" s="36"/>
      <c r="C45515" s="36"/>
      <c r="E45515" s="1"/>
      <c r="F45515" s="1"/>
      <c r="G45515" s="1"/>
    </row>
    <row r="45516">
      <c r="B45516" s="36"/>
      <c r="C45516" s="36"/>
      <c r="E45516" s="1"/>
      <c r="F45516" s="1"/>
      <c r="G45516" s="1"/>
    </row>
    <row r="45517">
      <c r="B45517" s="36"/>
      <c r="C45517" s="36"/>
      <c r="E45517" s="1"/>
      <c r="F45517" s="1"/>
      <c r="G45517" s="1"/>
    </row>
    <row r="45518">
      <c r="B45518" s="36"/>
      <c r="C45518" s="36"/>
      <c r="E45518" s="1"/>
      <c r="F45518" s="1"/>
      <c r="G45518" s="1"/>
    </row>
    <row r="45519">
      <c r="B45519" s="36"/>
      <c r="C45519" s="36"/>
      <c r="E45519" s="1"/>
      <c r="F45519" s="1"/>
      <c r="G45519" s="1"/>
    </row>
    <row r="45520">
      <c r="B45520" s="36"/>
      <c r="C45520" s="36"/>
      <c r="E45520" s="1"/>
      <c r="F45520" s="1"/>
      <c r="G45520" s="1"/>
    </row>
    <row r="45521">
      <c r="B45521" s="36"/>
      <c r="C45521" s="36"/>
      <c r="E45521" s="1"/>
      <c r="F45521" s="1"/>
      <c r="G45521" s="1"/>
    </row>
    <row r="45522">
      <c r="B45522" s="36"/>
      <c r="C45522" s="36"/>
      <c r="E45522" s="1"/>
      <c r="F45522" s="1"/>
      <c r="G45522" s="1"/>
    </row>
    <row r="45523">
      <c r="B45523" s="36"/>
      <c r="C45523" s="36"/>
      <c r="E45523" s="1"/>
      <c r="F45523" s="1"/>
      <c r="G45523" s="1"/>
    </row>
    <row r="45524">
      <c r="B45524" s="36"/>
      <c r="C45524" s="36"/>
      <c r="E45524" s="1"/>
      <c r="F45524" s="1"/>
      <c r="G45524" s="1"/>
    </row>
    <row r="45525">
      <c r="B45525" s="36"/>
      <c r="C45525" s="36"/>
      <c r="E45525" s="1"/>
      <c r="F45525" s="1"/>
      <c r="G45525" s="1"/>
    </row>
    <row r="45526">
      <c r="B45526" s="36"/>
      <c r="C45526" s="36"/>
      <c r="E45526" s="1"/>
      <c r="F45526" s="1"/>
      <c r="G45526" s="1"/>
    </row>
    <row r="45527">
      <c r="B45527" s="36"/>
      <c r="C45527" s="36"/>
      <c r="E45527" s="1"/>
      <c r="F45527" s="1"/>
      <c r="G45527" s="1"/>
    </row>
    <row r="45528">
      <c r="B45528" s="36"/>
      <c r="C45528" s="36"/>
      <c r="E45528" s="1"/>
      <c r="F45528" s="1"/>
      <c r="G45528" s="1"/>
    </row>
    <row r="45529">
      <c r="B45529" s="36"/>
      <c r="C45529" s="36"/>
      <c r="E45529" s="1"/>
      <c r="F45529" s="1"/>
      <c r="G45529" s="1"/>
    </row>
    <row r="45530">
      <c r="B45530" s="36"/>
      <c r="C45530" s="36"/>
      <c r="E45530" s="1"/>
      <c r="F45530" s="1"/>
      <c r="G45530" s="1"/>
    </row>
    <row r="45531">
      <c r="B45531" s="36"/>
      <c r="C45531" s="36"/>
      <c r="E45531" s="1"/>
      <c r="F45531" s="1"/>
      <c r="G45531" s="1"/>
    </row>
    <row r="45532">
      <c r="B45532" s="36"/>
      <c r="C45532" s="36"/>
      <c r="E45532" s="1"/>
      <c r="F45532" s="1"/>
      <c r="G45532" s="1"/>
    </row>
    <row r="45533">
      <c r="B45533" s="36"/>
      <c r="C45533" s="36"/>
      <c r="E45533" s="1"/>
      <c r="F45533" s="1"/>
      <c r="G45533" s="1"/>
    </row>
    <row r="45534">
      <c r="B45534" s="36"/>
      <c r="C45534" s="36"/>
      <c r="E45534" s="1"/>
      <c r="F45534" s="1"/>
      <c r="G45534" s="1"/>
    </row>
    <row r="45535">
      <c r="B45535" s="36"/>
      <c r="C45535" s="36"/>
      <c r="E45535" s="1"/>
      <c r="F45535" s="1"/>
      <c r="G45535" s="1"/>
    </row>
    <row r="45536">
      <c r="B45536" s="36"/>
      <c r="C45536" s="36"/>
      <c r="E45536" s="1"/>
      <c r="F45536" s="1"/>
      <c r="G45536" s="1"/>
    </row>
    <row r="45537">
      <c r="B45537" s="36"/>
      <c r="C45537" s="36"/>
      <c r="E45537" s="1"/>
      <c r="F45537" s="1"/>
      <c r="G45537" s="1"/>
    </row>
    <row r="45538">
      <c r="B45538" s="36"/>
      <c r="C45538" s="36"/>
      <c r="E45538" s="1"/>
      <c r="F45538" s="1"/>
      <c r="G45538" s="1"/>
    </row>
    <row r="45539">
      <c r="B45539" s="36"/>
      <c r="C45539" s="36"/>
      <c r="E45539" s="1"/>
      <c r="F45539" s="1"/>
      <c r="G45539" s="1"/>
    </row>
    <row r="45540">
      <c r="B45540" s="36"/>
      <c r="C45540" s="36"/>
      <c r="E45540" s="1"/>
      <c r="F45540" s="1"/>
      <c r="G45540" s="1"/>
    </row>
    <row r="45541">
      <c r="B45541" s="36"/>
      <c r="C45541" s="36"/>
      <c r="E45541" s="1"/>
      <c r="F45541" s="1"/>
      <c r="G45541" s="1"/>
    </row>
    <row r="45542">
      <c r="B45542" s="36"/>
      <c r="C45542" s="36"/>
      <c r="E45542" s="1"/>
      <c r="F45542" s="1"/>
      <c r="G45542" s="1"/>
    </row>
    <row r="45543">
      <c r="B45543" s="36"/>
      <c r="C45543" s="36"/>
      <c r="E45543" s="1"/>
      <c r="F45543" s="1"/>
      <c r="G45543" s="1"/>
    </row>
    <row r="45544">
      <c r="B45544" s="36"/>
      <c r="C45544" s="36"/>
      <c r="E45544" s="1"/>
      <c r="F45544" s="1"/>
      <c r="G45544" s="1"/>
    </row>
    <row r="45545">
      <c r="B45545" s="36"/>
      <c r="C45545" s="36"/>
      <c r="E45545" s="1"/>
      <c r="F45545" s="1"/>
      <c r="G45545" s="1"/>
    </row>
    <row r="45546">
      <c r="B45546" s="36"/>
      <c r="C45546" s="36"/>
      <c r="E45546" s="1"/>
      <c r="F45546" s="1"/>
      <c r="G45546" s="1"/>
    </row>
    <row r="45547">
      <c r="B45547" s="36"/>
      <c r="C45547" s="36"/>
      <c r="E45547" s="1"/>
      <c r="F45547" s="1"/>
      <c r="G45547" s="1"/>
    </row>
    <row r="45548">
      <c r="B45548" s="36"/>
      <c r="C45548" s="36"/>
      <c r="E45548" s="1"/>
      <c r="F45548" s="1"/>
      <c r="G45548" s="1"/>
    </row>
    <row r="45549">
      <c r="B45549" s="36"/>
      <c r="C45549" s="36"/>
      <c r="E45549" s="1"/>
      <c r="F45549" s="1"/>
      <c r="G45549" s="1"/>
    </row>
    <row r="45550">
      <c r="B45550" s="36"/>
      <c r="C45550" s="36"/>
      <c r="E45550" s="1"/>
      <c r="F45550" s="1"/>
      <c r="G45550" s="1"/>
    </row>
    <row r="45551">
      <c r="B45551" s="36"/>
      <c r="C45551" s="36"/>
      <c r="E45551" s="1"/>
      <c r="F45551" s="1"/>
      <c r="G45551" s="1"/>
    </row>
    <row r="45552">
      <c r="B45552" s="36"/>
      <c r="C45552" s="36"/>
      <c r="E45552" s="1"/>
      <c r="F45552" s="1"/>
      <c r="G45552" s="1"/>
    </row>
    <row r="45553">
      <c r="B45553" s="36"/>
      <c r="C45553" s="36"/>
      <c r="E45553" s="1"/>
      <c r="F45553" s="1"/>
      <c r="G45553" s="1"/>
    </row>
    <row r="45554">
      <c r="B45554" s="36"/>
      <c r="C45554" s="36"/>
      <c r="E45554" s="1"/>
      <c r="F45554" s="1"/>
      <c r="G45554" s="1"/>
    </row>
    <row r="45555">
      <c r="B45555" s="36"/>
      <c r="C45555" s="36"/>
      <c r="E45555" s="1"/>
      <c r="F45555" s="1"/>
      <c r="G45555" s="1"/>
    </row>
    <row r="45556">
      <c r="B45556" s="36"/>
      <c r="C45556" s="36"/>
      <c r="E45556" s="1"/>
      <c r="F45556" s="1"/>
      <c r="G45556" s="1"/>
    </row>
    <row r="45557">
      <c r="B45557" s="36"/>
      <c r="C45557" s="36"/>
      <c r="E45557" s="1"/>
      <c r="F45557" s="1"/>
      <c r="G45557" s="1"/>
    </row>
    <row r="45558">
      <c r="B45558" s="36"/>
      <c r="C45558" s="36"/>
      <c r="E45558" s="1"/>
      <c r="F45558" s="1"/>
      <c r="G45558" s="1"/>
    </row>
    <row r="45559">
      <c r="B45559" s="36"/>
      <c r="C45559" s="36"/>
      <c r="E45559" s="1"/>
      <c r="F45559" s="1"/>
      <c r="G45559" s="1"/>
    </row>
    <row r="45560">
      <c r="B45560" s="36"/>
      <c r="C45560" s="36"/>
      <c r="E45560" s="1"/>
      <c r="F45560" s="1"/>
      <c r="G45560" s="1"/>
    </row>
    <row r="45561">
      <c r="B45561" s="36"/>
      <c r="C45561" s="36"/>
      <c r="E45561" s="1"/>
      <c r="F45561" s="1"/>
      <c r="G45561" s="1"/>
    </row>
    <row r="45562">
      <c r="B45562" s="36"/>
      <c r="C45562" s="36"/>
      <c r="E45562" s="1"/>
      <c r="F45562" s="1"/>
      <c r="G45562" s="1"/>
    </row>
    <row r="45563">
      <c r="B45563" s="36"/>
      <c r="C45563" s="36"/>
      <c r="E45563" s="1"/>
      <c r="F45563" s="1"/>
      <c r="G45563" s="1"/>
    </row>
    <row r="45564">
      <c r="B45564" s="36"/>
      <c r="C45564" s="36"/>
      <c r="E45564" s="1"/>
      <c r="F45564" s="1"/>
      <c r="G45564" s="1"/>
    </row>
    <row r="45565">
      <c r="B45565" s="36"/>
      <c r="C45565" s="36"/>
      <c r="E45565" s="1"/>
      <c r="F45565" s="1"/>
      <c r="G45565" s="1"/>
    </row>
    <row r="45566">
      <c r="B45566" s="36"/>
      <c r="C45566" s="36"/>
      <c r="E45566" s="1"/>
      <c r="F45566" s="1"/>
      <c r="G45566" s="1"/>
    </row>
    <row r="45567">
      <c r="B45567" s="36"/>
      <c r="C45567" s="36"/>
      <c r="E45567" s="1"/>
      <c r="F45567" s="1"/>
      <c r="G45567" s="1"/>
    </row>
    <row r="45568">
      <c r="B45568" s="36"/>
      <c r="C45568" s="36"/>
      <c r="E45568" s="1"/>
      <c r="F45568" s="1"/>
      <c r="G45568" s="1"/>
    </row>
    <row r="45569">
      <c r="B45569" s="36"/>
      <c r="C45569" s="36"/>
      <c r="E45569" s="1"/>
      <c r="F45569" s="1"/>
      <c r="G45569" s="1"/>
    </row>
    <row r="45570">
      <c r="B45570" s="36"/>
      <c r="C45570" s="36"/>
      <c r="E45570" s="1"/>
      <c r="F45570" s="1"/>
      <c r="G45570" s="1"/>
    </row>
    <row r="45571">
      <c r="B45571" s="36"/>
      <c r="C45571" s="36"/>
      <c r="E45571" s="1"/>
      <c r="F45571" s="1"/>
      <c r="G45571" s="1"/>
    </row>
    <row r="45572">
      <c r="B45572" s="36"/>
      <c r="C45572" s="36"/>
      <c r="E45572" s="1"/>
      <c r="F45572" s="1"/>
      <c r="G45572" s="1"/>
    </row>
    <row r="45573">
      <c r="B45573" s="36"/>
      <c r="C45573" s="36"/>
      <c r="E45573" s="1"/>
      <c r="F45573" s="1"/>
      <c r="G45573" s="1"/>
    </row>
    <row r="45574">
      <c r="B45574" s="36"/>
      <c r="C45574" s="36"/>
      <c r="E45574" s="1"/>
      <c r="F45574" s="1"/>
      <c r="G45574" s="1"/>
    </row>
    <row r="45575">
      <c r="B45575" s="36"/>
      <c r="C45575" s="36"/>
      <c r="E45575" s="1"/>
      <c r="F45575" s="1"/>
      <c r="G45575" s="1"/>
    </row>
    <row r="45576">
      <c r="B45576" s="36"/>
      <c r="C45576" s="36"/>
      <c r="E45576" s="1"/>
      <c r="F45576" s="1"/>
      <c r="G45576" s="1"/>
    </row>
    <row r="45577">
      <c r="B45577" s="36"/>
      <c r="C45577" s="36"/>
      <c r="E45577" s="1"/>
      <c r="F45577" s="1"/>
      <c r="G45577" s="1"/>
    </row>
    <row r="45578">
      <c r="B45578" s="36"/>
      <c r="C45578" s="36"/>
      <c r="E45578" s="1"/>
      <c r="F45578" s="1"/>
      <c r="G45578" s="1"/>
    </row>
    <row r="45579">
      <c r="B45579" s="36"/>
      <c r="C45579" s="36"/>
      <c r="E45579" s="1"/>
      <c r="F45579" s="1"/>
      <c r="G45579" s="1"/>
    </row>
    <row r="45580">
      <c r="B45580" s="36"/>
      <c r="C45580" s="36"/>
      <c r="E45580" s="1"/>
      <c r="F45580" s="1"/>
      <c r="G45580" s="1"/>
    </row>
    <row r="45581">
      <c r="B45581" s="36"/>
      <c r="C45581" s="36"/>
      <c r="E45581" s="1"/>
      <c r="F45581" s="1"/>
      <c r="G45581" s="1"/>
    </row>
    <row r="45582">
      <c r="B45582" s="36"/>
      <c r="C45582" s="36"/>
      <c r="E45582" s="1"/>
      <c r="F45582" s="1"/>
      <c r="G45582" s="1"/>
    </row>
    <row r="45583">
      <c r="B45583" s="36"/>
      <c r="C45583" s="36"/>
      <c r="E45583" s="1"/>
      <c r="F45583" s="1"/>
      <c r="G45583" s="1"/>
    </row>
    <row r="45584">
      <c r="B45584" s="36"/>
      <c r="C45584" s="36"/>
      <c r="E45584" s="1"/>
      <c r="F45584" s="1"/>
      <c r="G45584" s="1"/>
    </row>
    <row r="45585">
      <c r="B45585" s="36"/>
      <c r="C45585" s="36"/>
      <c r="E45585" s="1"/>
      <c r="F45585" s="1"/>
      <c r="G45585" s="1"/>
    </row>
    <row r="45586">
      <c r="B45586" s="36"/>
      <c r="C45586" s="36"/>
      <c r="E45586" s="1"/>
      <c r="F45586" s="1"/>
      <c r="G45586" s="1"/>
    </row>
    <row r="45587">
      <c r="B45587" s="36"/>
      <c r="C45587" s="36"/>
      <c r="E45587" s="1"/>
      <c r="F45587" s="1"/>
      <c r="G45587" s="1"/>
    </row>
    <row r="45588">
      <c r="B45588" s="36"/>
      <c r="C45588" s="36"/>
      <c r="E45588" s="1"/>
      <c r="F45588" s="1"/>
      <c r="G45588" s="1"/>
    </row>
    <row r="45589">
      <c r="B45589" s="36"/>
      <c r="C45589" s="36"/>
      <c r="E45589" s="1"/>
      <c r="F45589" s="1"/>
      <c r="G45589" s="1"/>
    </row>
    <row r="45590">
      <c r="B45590" s="36"/>
      <c r="C45590" s="36"/>
      <c r="E45590" s="1"/>
      <c r="F45590" s="1"/>
      <c r="G45590" s="1"/>
    </row>
    <row r="45591">
      <c r="B45591" s="36"/>
      <c r="C45591" s="36"/>
      <c r="E45591" s="1"/>
      <c r="F45591" s="1"/>
      <c r="G45591" s="1"/>
    </row>
    <row r="45592">
      <c r="B45592" s="36"/>
      <c r="C45592" s="36"/>
      <c r="E45592" s="1"/>
      <c r="F45592" s="1"/>
      <c r="G45592" s="1"/>
    </row>
    <row r="45593">
      <c r="B45593" s="36"/>
      <c r="C45593" s="36"/>
      <c r="E45593" s="1"/>
      <c r="F45593" s="1"/>
      <c r="G45593" s="1"/>
    </row>
    <row r="45594">
      <c r="B45594" s="36"/>
      <c r="C45594" s="36"/>
      <c r="E45594" s="1"/>
      <c r="F45594" s="1"/>
      <c r="G45594" s="1"/>
    </row>
    <row r="45595">
      <c r="B45595" s="36"/>
      <c r="C45595" s="36"/>
      <c r="E45595" s="1"/>
      <c r="F45595" s="1"/>
      <c r="G45595" s="1"/>
    </row>
    <row r="45596">
      <c r="B45596" s="36"/>
      <c r="C45596" s="36"/>
      <c r="E45596" s="1"/>
      <c r="F45596" s="1"/>
      <c r="G45596" s="1"/>
    </row>
    <row r="45597">
      <c r="B45597" s="36"/>
      <c r="C45597" s="36"/>
      <c r="E45597" s="1"/>
      <c r="F45597" s="1"/>
      <c r="G45597" s="1"/>
    </row>
    <row r="45598">
      <c r="B45598" s="36"/>
      <c r="C45598" s="36"/>
      <c r="E45598" s="1"/>
      <c r="F45598" s="1"/>
      <c r="G45598" s="1"/>
    </row>
    <row r="45599">
      <c r="B45599" s="36"/>
      <c r="C45599" s="36"/>
      <c r="E45599" s="1"/>
      <c r="F45599" s="1"/>
      <c r="G45599" s="1"/>
    </row>
    <row r="45600">
      <c r="B45600" s="36"/>
      <c r="C45600" s="36"/>
      <c r="E45600" s="1"/>
      <c r="F45600" s="1"/>
      <c r="G45600" s="1"/>
    </row>
    <row r="45601">
      <c r="B45601" s="36"/>
      <c r="C45601" s="36"/>
      <c r="E45601" s="1"/>
      <c r="F45601" s="1"/>
      <c r="G45601" s="1"/>
    </row>
    <row r="45602">
      <c r="B45602" s="36"/>
      <c r="C45602" s="36"/>
      <c r="E45602" s="1"/>
      <c r="F45602" s="1"/>
      <c r="G45602" s="1"/>
    </row>
    <row r="45603">
      <c r="B45603" s="36"/>
      <c r="C45603" s="36"/>
      <c r="E45603" s="1"/>
      <c r="F45603" s="1"/>
      <c r="G45603" s="1"/>
    </row>
    <row r="45604">
      <c r="B45604" s="36"/>
      <c r="C45604" s="36"/>
      <c r="E45604" s="1"/>
      <c r="F45604" s="1"/>
      <c r="G45604" s="1"/>
    </row>
    <row r="45605">
      <c r="B45605" s="36"/>
      <c r="C45605" s="36"/>
      <c r="E45605" s="1"/>
      <c r="F45605" s="1"/>
      <c r="G45605" s="1"/>
    </row>
    <row r="45606">
      <c r="B45606" s="36"/>
      <c r="C45606" s="36"/>
      <c r="E45606" s="1"/>
      <c r="F45606" s="1"/>
      <c r="G45606" s="1"/>
    </row>
    <row r="45607">
      <c r="B45607" s="36"/>
      <c r="C45607" s="36"/>
      <c r="E45607" s="1"/>
      <c r="F45607" s="1"/>
      <c r="G45607" s="1"/>
    </row>
    <row r="45608">
      <c r="B45608" s="36"/>
      <c r="C45608" s="36"/>
      <c r="E45608" s="1"/>
      <c r="F45608" s="1"/>
      <c r="G45608" s="1"/>
    </row>
    <row r="45609">
      <c r="B45609" s="36"/>
      <c r="C45609" s="36"/>
      <c r="E45609" s="1"/>
      <c r="F45609" s="1"/>
      <c r="G45609" s="1"/>
    </row>
    <row r="45610">
      <c r="B45610" s="36"/>
      <c r="C45610" s="36"/>
      <c r="E45610" s="1"/>
      <c r="F45610" s="1"/>
      <c r="G45610" s="1"/>
    </row>
    <row r="45611">
      <c r="B45611" s="36"/>
      <c r="C45611" s="36"/>
      <c r="E45611" s="1"/>
      <c r="F45611" s="1"/>
      <c r="G45611" s="1"/>
    </row>
    <row r="45612">
      <c r="B45612" s="36"/>
      <c r="C45612" s="36"/>
      <c r="E45612" s="1"/>
      <c r="F45612" s="1"/>
      <c r="G45612" s="1"/>
    </row>
    <row r="45613">
      <c r="B45613" s="36"/>
      <c r="C45613" s="36"/>
      <c r="E45613" s="1"/>
      <c r="F45613" s="1"/>
      <c r="G45613" s="1"/>
    </row>
    <row r="45614">
      <c r="B45614" s="36"/>
      <c r="C45614" s="36"/>
      <c r="E45614" s="1"/>
      <c r="F45614" s="1"/>
      <c r="G45614" s="1"/>
    </row>
    <row r="45615">
      <c r="B45615" s="36"/>
      <c r="C45615" s="36"/>
      <c r="E45615" s="1"/>
      <c r="F45615" s="1"/>
      <c r="G45615" s="1"/>
    </row>
    <row r="45616">
      <c r="B45616" s="36"/>
      <c r="C45616" s="36"/>
      <c r="E45616" s="1"/>
      <c r="F45616" s="1"/>
      <c r="G45616" s="1"/>
    </row>
    <row r="45617">
      <c r="B45617" s="36"/>
      <c r="C45617" s="36"/>
      <c r="E45617" s="1"/>
      <c r="F45617" s="1"/>
      <c r="G45617" s="1"/>
    </row>
    <row r="45618">
      <c r="B45618" s="36"/>
      <c r="C45618" s="36"/>
      <c r="E45618" s="1"/>
      <c r="F45618" s="1"/>
      <c r="G45618" s="1"/>
    </row>
    <row r="45619">
      <c r="B45619" s="36"/>
      <c r="C45619" s="36"/>
      <c r="E45619" s="1"/>
      <c r="F45619" s="1"/>
      <c r="G45619" s="1"/>
    </row>
    <row r="45620">
      <c r="B45620" s="36"/>
      <c r="C45620" s="36"/>
      <c r="E45620" s="1"/>
      <c r="F45620" s="1"/>
      <c r="G45620" s="1"/>
    </row>
    <row r="45621">
      <c r="B45621" s="36"/>
      <c r="C45621" s="36"/>
      <c r="E45621" s="1"/>
      <c r="F45621" s="1"/>
      <c r="G45621" s="1"/>
    </row>
    <row r="45622">
      <c r="B45622" s="36"/>
      <c r="C45622" s="36"/>
      <c r="E45622" s="1"/>
      <c r="F45622" s="1"/>
      <c r="G45622" s="1"/>
    </row>
    <row r="45623">
      <c r="B45623" s="36"/>
      <c r="C45623" s="36"/>
      <c r="E45623" s="1"/>
      <c r="F45623" s="1"/>
      <c r="G45623" s="1"/>
    </row>
    <row r="45624">
      <c r="B45624" s="36"/>
      <c r="C45624" s="36"/>
      <c r="E45624" s="1"/>
      <c r="F45624" s="1"/>
      <c r="G45624" s="1"/>
    </row>
    <row r="45625">
      <c r="B45625" s="36"/>
      <c r="C45625" s="36"/>
      <c r="E45625" s="1"/>
      <c r="F45625" s="1"/>
      <c r="G45625" s="1"/>
    </row>
    <row r="45626">
      <c r="B45626" s="36"/>
      <c r="C45626" s="36"/>
      <c r="E45626" s="1"/>
      <c r="F45626" s="1"/>
      <c r="G45626" s="1"/>
    </row>
    <row r="45627">
      <c r="B45627" s="36"/>
      <c r="C45627" s="36"/>
      <c r="E45627" s="1"/>
      <c r="F45627" s="1"/>
      <c r="G45627" s="1"/>
    </row>
    <row r="45628">
      <c r="B45628" s="36"/>
      <c r="C45628" s="36"/>
      <c r="E45628" s="1"/>
      <c r="F45628" s="1"/>
      <c r="G45628" s="1"/>
    </row>
    <row r="45629">
      <c r="B45629" s="36"/>
      <c r="C45629" s="36"/>
      <c r="E45629" s="1"/>
      <c r="F45629" s="1"/>
      <c r="G45629" s="1"/>
    </row>
    <row r="45630">
      <c r="B45630" s="36"/>
      <c r="C45630" s="36"/>
      <c r="E45630" s="1"/>
      <c r="F45630" s="1"/>
      <c r="G45630" s="1"/>
    </row>
    <row r="45631">
      <c r="B45631" s="36"/>
      <c r="C45631" s="36"/>
      <c r="E45631" s="1"/>
      <c r="F45631" s="1"/>
      <c r="G45631" s="1"/>
    </row>
    <row r="45632">
      <c r="B45632" s="36"/>
      <c r="C45632" s="36"/>
      <c r="E45632" s="1"/>
      <c r="F45632" s="1"/>
      <c r="G45632" s="1"/>
    </row>
    <row r="45633">
      <c r="B45633" s="36"/>
      <c r="C45633" s="36"/>
      <c r="E45633" s="1"/>
      <c r="F45633" s="1"/>
      <c r="G45633" s="1"/>
    </row>
    <row r="45634">
      <c r="B45634" s="36"/>
      <c r="C45634" s="36"/>
      <c r="E45634" s="1"/>
      <c r="F45634" s="1"/>
      <c r="G45634" s="1"/>
    </row>
    <row r="45635">
      <c r="B45635" s="36"/>
      <c r="C45635" s="36"/>
      <c r="E45635" s="1"/>
      <c r="F45635" s="1"/>
      <c r="G45635" s="1"/>
    </row>
    <row r="45636">
      <c r="B45636" s="36"/>
      <c r="C45636" s="36"/>
      <c r="E45636" s="1"/>
      <c r="F45636" s="1"/>
      <c r="G45636" s="1"/>
    </row>
    <row r="45637">
      <c r="B45637" s="36"/>
      <c r="C45637" s="36"/>
      <c r="E45637" s="1"/>
      <c r="F45637" s="1"/>
      <c r="G45637" s="1"/>
    </row>
    <row r="45638">
      <c r="B45638" s="36"/>
      <c r="C45638" s="36"/>
      <c r="E45638" s="1"/>
      <c r="F45638" s="1"/>
      <c r="G45638" s="1"/>
    </row>
    <row r="45639">
      <c r="B45639" s="36"/>
      <c r="C45639" s="36"/>
      <c r="E45639" s="1"/>
      <c r="F45639" s="1"/>
      <c r="G45639" s="1"/>
    </row>
    <row r="45640">
      <c r="B45640" s="36"/>
      <c r="C45640" s="36"/>
      <c r="E45640" s="1"/>
      <c r="F45640" s="1"/>
      <c r="G45640" s="1"/>
    </row>
    <row r="45641">
      <c r="B45641" s="36"/>
      <c r="C45641" s="36"/>
      <c r="E45641" s="1"/>
      <c r="F45641" s="1"/>
      <c r="G45641" s="1"/>
    </row>
    <row r="45642">
      <c r="B45642" s="36"/>
      <c r="C45642" s="36"/>
      <c r="E45642" s="1"/>
      <c r="F45642" s="1"/>
      <c r="G45642" s="1"/>
    </row>
    <row r="45643">
      <c r="B45643" s="36"/>
      <c r="C45643" s="36"/>
      <c r="E45643" s="1"/>
      <c r="F45643" s="1"/>
      <c r="G45643" s="1"/>
    </row>
    <row r="45644">
      <c r="B45644" s="36"/>
      <c r="C45644" s="36"/>
      <c r="E45644" s="1"/>
      <c r="F45644" s="1"/>
      <c r="G45644" s="1"/>
    </row>
    <row r="45645">
      <c r="B45645" s="36"/>
      <c r="C45645" s="36"/>
      <c r="E45645" s="1"/>
      <c r="F45645" s="1"/>
      <c r="G45645" s="1"/>
    </row>
    <row r="45646">
      <c r="B45646" s="36"/>
      <c r="C45646" s="36"/>
      <c r="E45646" s="1"/>
      <c r="F45646" s="1"/>
      <c r="G45646" s="1"/>
    </row>
    <row r="45647">
      <c r="B45647" s="36"/>
      <c r="C45647" s="36"/>
      <c r="E45647" s="1"/>
      <c r="F45647" s="1"/>
      <c r="G45647" s="1"/>
    </row>
    <row r="45648">
      <c r="B45648" s="36"/>
      <c r="C45648" s="36"/>
      <c r="E45648" s="1"/>
      <c r="F45648" s="1"/>
      <c r="G45648" s="1"/>
    </row>
    <row r="45649">
      <c r="B45649" s="36"/>
      <c r="C45649" s="36"/>
      <c r="E45649" s="1"/>
      <c r="F45649" s="1"/>
      <c r="G45649" s="1"/>
    </row>
    <row r="45650">
      <c r="B45650" s="36"/>
      <c r="C45650" s="36"/>
      <c r="E45650" s="1"/>
      <c r="F45650" s="1"/>
      <c r="G45650" s="1"/>
    </row>
    <row r="45651">
      <c r="B45651" s="36"/>
      <c r="C45651" s="36"/>
      <c r="E45651" s="1"/>
      <c r="F45651" s="1"/>
      <c r="G45651" s="1"/>
    </row>
    <row r="45652">
      <c r="B45652" s="36"/>
      <c r="C45652" s="36"/>
      <c r="E45652" s="1"/>
      <c r="F45652" s="1"/>
      <c r="G45652" s="1"/>
    </row>
    <row r="45653">
      <c r="B45653" s="36"/>
      <c r="C45653" s="36"/>
      <c r="E45653" s="1"/>
      <c r="F45653" s="1"/>
      <c r="G45653" s="1"/>
    </row>
    <row r="45654">
      <c r="B45654" s="36"/>
      <c r="C45654" s="36"/>
      <c r="E45654" s="1"/>
      <c r="F45654" s="1"/>
      <c r="G45654" s="1"/>
    </row>
    <row r="45655">
      <c r="B45655" s="36"/>
      <c r="C45655" s="36"/>
      <c r="E45655" s="1"/>
      <c r="F45655" s="1"/>
      <c r="G45655" s="1"/>
    </row>
    <row r="45656">
      <c r="B45656" s="36"/>
      <c r="C45656" s="36"/>
      <c r="E45656" s="1"/>
      <c r="F45656" s="1"/>
      <c r="G45656" s="1"/>
    </row>
    <row r="45657">
      <c r="B45657" s="36"/>
      <c r="C45657" s="36"/>
      <c r="E45657" s="1"/>
      <c r="F45657" s="1"/>
      <c r="G45657" s="1"/>
    </row>
    <row r="45658">
      <c r="B45658" s="36"/>
      <c r="C45658" s="36"/>
      <c r="E45658" s="1"/>
      <c r="F45658" s="1"/>
      <c r="G45658" s="1"/>
    </row>
    <row r="45659">
      <c r="B45659" s="36"/>
      <c r="C45659" s="36"/>
      <c r="E45659" s="1"/>
      <c r="F45659" s="1"/>
      <c r="G45659" s="1"/>
    </row>
    <row r="45660">
      <c r="B45660" s="36"/>
      <c r="C45660" s="36"/>
      <c r="E45660" s="1"/>
      <c r="F45660" s="1"/>
      <c r="G45660" s="1"/>
    </row>
    <row r="45661">
      <c r="B45661" s="36"/>
      <c r="C45661" s="36"/>
      <c r="E45661" s="1"/>
      <c r="F45661" s="1"/>
      <c r="G45661" s="1"/>
    </row>
    <row r="45662">
      <c r="B45662" s="36"/>
      <c r="C45662" s="36"/>
      <c r="E45662" s="1"/>
      <c r="F45662" s="1"/>
      <c r="G45662" s="1"/>
    </row>
    <row r="45663">
      <c r="B45663" s="36"/>
      <c r="C45663" s="36"/>
      <c r="E45663" s="1"/>
      <c r="F45663" s="1"/>
      <c r="G45663" s="1"/>
    </row>
    <row r="45664">
      <c r="B45664" s="36"/>
      <c r="C45664" s="36"/>
      <c r="E45664" s="1"/>
      <c r="F45664" s="1"/>
      <c r="G45664" s="1"/>
    </row>
    <row r="45665">
      <c r="B45665" s="36"/>
      <c r="C45665" s="36"/>
      <c r="E45665" s="1"/>
      <c r="F45665" s="1"/>
      <c r="G45665" s="1"/>
    </row>
    <row r="45666">
      <c r="B45666" s="36"/>
      <c r="C45666" s="36"/>
      <c r="E45666" s="1"/>
      <c r="F45666" s="1"/>
      <c r="G45666" s="1"/>
    </row>
    <row r="45667">
      <c r="B45667" s="36"/>
      <c r="C45667" s="36"/>
      <c r="E45667" s="1"/>
      <c r="F45667" s="1"/>
      <c r="G45667" s="1"/>
    </row>
    <row r="45668">
      <c r="B45668" s="36"/>
      <c r="C45668" s="36"/>
      <c r="E45668" s="1"/>
      <c r="F45668" s="1"/>
      <c r="G45668" s="1"/>
    </row>
    <row r="45669">
      <c r="B45669" s="36"/>
      <c r="C45669" s="36"/>
      <c r="E45669" s="1"/>
      <c r="F45669" s="1"/>
      <c r="G45669" s="1"/>
    </row>
    <row r="45670">
      <c r="B45670" s="36"/>
      <c r="C45670" s="36"/>
      <c r="E45670" s="1"/>
      <c r="F45670" s="1"/>
      <c r="G45670" s="1"/>
    </row>
    <row r="45671">
      <c r="B45671" s="36"/>
      <c r="C45671" s="36"/>
      <c r="E45671" s="1"/>
      <c r="F45671" s="1"/>
      <c r="G45671" s="1"/>
    </row>
    <row r="45672">
      <c r="B45672" s="36"/>
      <c r="C45672" s="36"/>
      <c r="E45672" s="1"/>
      <c r="F45672" s="1"/>
      <c r="G45672" s="1"/>
    </row>
    <row r="45673">
      <c r="B45673" s="36"/>
      <c r="C45673" s="36"/>
      <c r="E45673" s="1"/>
      <c r="F45673" s="1"/>
      <c r="G45673" s="1"/>
    </row>
    <row r="45674">
      <c r="B45674" s="36"/>
      <c r="C45674" s="36"/>
      <c r="E45674" s="1"/>
      <c r="F45674" s="1"/>
      <c r="G45674" s="1"/>
    </row>
    <row r="45675">
      <c r="B45675" s="36"/>
      <c r="C45675" s="36"/>
      <c r="E45675" s="1"/>
      <c r="F45675" s="1"/>
      <c r="G45675" s="1"/>
    </row>
    <row r="45676">
      <c r="B45676" s="36"/>
      <c r="C45676" s="36"/>
      <c r="E45676" s="1"/>
      <c r="F45676" s="1"/>
      <c r="G45676" s="1"/>
    </row>
    <row r="45677">
      <c r="B45677" s="36"/>
      <c r="C45677" s="36"/>
      <c r="E45677" s="1"/>
      <c r="F45677" s="1"/>
      <c r="G45677" s="1"/>
    </row>
    <row r="45678">
      <c r="B45678" s="36"/>
      <c r="C45678" s="36"/>
      <c r="E45678" s="1"/>
      <c r="F45678" s="1"/>
      <c r="G45678" s="1"/>
    </row>
    <row r="45679">
      <c r="B45679" s="36"/>
      <c r="C45679" s="36"/>
      <c r="E45679" s="1"/>
      <c r="F45679" s="1"/>
      <c r="G45679" s="1"/>
    </row>
    <row r="45680">
      <c r="B45680" s="36"/>
      <c r="C45680" s="36"/>
      <c r="E45680" s="1"/>
      <c r="F45680" s="1"/>
      <c r="G45680" s="1"/>
    </row>
    <row r="45681">
      <c r="B45681" s="36"/>
      <c r="C45681" s="36"/>
      <c r="E45681" s="1"/>
      <c r="F45681" s="1"/>
      <c r="G45681" s="1"/>
    </row>
    <row r="45682">
      <c r="B45682" s="36"/>
      <c r="C45682" s="36"/>
      <c r="E45682" s="1"/>
      <c r="F45682" s="1"/>
      <c r="G45682" s="1"/>
    </row>
    <row r="45683">
      <c r="B45683" s="36"/>
      <c r="C45683" s="36"/>
      <c r="E45683" s="1"/>
      <c r="F45683" s="1"/>
      <c r="G45683" s="1"/>
    </row>
    <row r="45684">
      <c r="B45684" s="36"/>
      <c r="C45684" s="36"/>
      <c r="E45684" s="1"/>
      <c r="F45684" s="1"/>
      <c r="G45684" s="1"/>
    </row>
    <row r="45685">
      <c r="B45685" s="36"/>
      <c r="C45685" s="36"/>
      <c r="E45685" s="1"/>
      <c r="F45685" s="1"/>
      <c r="G45685" s="1"/>
    </row>
    <row r="45686">
      <c r="B45686" s="36"/>
      <c r="C45686" s="36"/>
      <c r="E45686" s="1"/>
      <c r="F45686" s="1"/>
      <c r="G45686" s="1"/>
    </row>
    <row r="45687">
      <c r="B45687" s="36"/>
      <c r="C45687" s="36"/>
      <c r="E45687" s="1"/>
      <c r="F45687" s="1"/>
      <c r="G45687" s="1"/>
    </row>
    <row r="45688">
      <c r="B45688" s="36"/>
      <c r="C45688" s="36"/>
      <c r="E45688" s="1"/>
      <c r="F45688" s="1"/>
      <c r="G45688" s="1"/>
    </row>
    <row r="45689">
      <c r="B45689" s="36"/>
      <c r="C45689" s="36"/>
      <c r="E45689" s="1"/>
      <c r="F45689" s="1"/>
      <c r="G45689" s="1"/>
    </row>
    <row r="45690">
      <c r="B45690" s="36"/>
      <c r="C45690" s="36"/>
      <c r="E45690" s="1"/>
      <c r="F45690" s="1"/>
      <c r="G45690" s="1"/>
    </row>
    <row r="45691">
      <c r="B45691" s="36"/>
      <c r="C45691" s="36"/>
      <c r="E45691" s="1"/>
      <c r="F45691" s="1"/>
      <c r="G45691" s="1"/>
    </row>
    <row r="45692">
      <c r="B45692" s="36"/>
      <c r="C45692" s="36"/>
      <c r="E45692" s="1"/>
      <c r="F45692" s="1"/>
      <c r="G45692" s="1"/>
    </row>
    <row r="45693">
      <c r="B45693" s="36"/>
      <c r="C45693" s="36"/>
      <c r="E45693" s="1"/>
      <c r="F45693" s="1"/>
      <c r="G45693" s="1"/>
    </row>
    <row r="45694">
      <c r="B45694" s="36"/>
      <c r="C45694" s="36"/>
      <c r="E45694" s="1"/>
      <c r="F45694" s="1"/>
      <c r="G45694" s="1"/>
    </row>
    <row r="45695">
      <c r="B45695" s="36"/>
      <c r="C45695" s="36"/>
      <c r="E45695" s="1"/>
      <c r="F45695" s="1"/>
      <c r="G45695" s="1"/>
    </row>
    <row r="45696">
      <c r="B45696" s="36"/>
      <c r="C45696" s="36"/>
      <c r="E45696" s="1"/>
      <c r="F45696" s="1"/>
      <c r="G45696" s="1"/>
    </row>
    <row r="45697">
      <c r="B45697" s="36"/>
      <c r="C45697" s="36"/>
      <c r="E45697" s="1"/>
      <c r="F45697" s="1"/>
      <c r="G45697" s="1"/>
    </row>
    <row r="45698">
      <c r="B45698" s="36"/>
      <c r="C45698" s="36"/>
      <c r="E45698" s="1"/>
      <c r="F45698" s="1"/>
      <c r="G45698" s="1"/>
    </row>
    <row r="45699">
      <c r="B45699" s="36"/>
      <c r="C45699" s="36"/>
      <c r="E45699" s="1"/>
      <c r="F45699" s="1"/>
      <c r="G45699" s="1"/>
    </row>
    <row r="45700">
      <c r="B45700" s="36"/>
      <c r="C45700" s="36"/>
      <c r="E45700" s="1"/>
      <c r="F45700" s="1"/>
      <c r="G45700" s="1"/>
    </row>
    <row r="45701">
      <c r="B45701" s="36"/>
      <c r="C45701" s="36"/>
      <c r="E45701" s="1"/>
      <c r="F45701" s="1"/>
      <c r="G45701" s="1"/>
    </row>
    <row r="45702">
      <c r="B45702" s="36"/>
      <c r="C45702" s="36"/>
      <c r="E45702" s="1"/>
      <c r="F45702" s="1"/>
      <c r="G45702" s="1"/>
    </row>
    <row r="45703">
      <c r="B45703" s="36"/>
      <c r="C45703" s="36"/>
      <c r="E45703" s="1"/>
      <c r="F45703" s="1"/>
      <c r="G45703" s="1"/>
    </row>
    <row r="45704">
      <c r="B45704" s="36"/>
      <c r="C45704" s="36"/>
      <c r="E45704" s="1"/>
      <c r="F45704" s="1"/>
      <c r="G45704" s="1"/>
    </row>
    <row r="45705">
      <c r="B45705" s="36"/>
      <c r="C45705" s="36"/>
      <c r="E45705" s="1"/>
      <c r="F45705" s="1"/>
      <c r="G45705" s="1"/>
    </row>
    <row r="45706">
      <c r="B45706" s="36"/>
      <c r="C45706" s="36"/>
      <c r="E45706" s="1"/>
      <c r="F45706" s="1"/>
      <c r="G45706" s="1"/>
    </row>
    <row r="45707">
      <c r="B45707" s="36"/>
      <c r="C45707" s="36"/>
      <c r="E45707" s="1"/>
      <c r="F45707" s="1"/>
      <c r="G45707" s="1"/>
    </row>
    <row r="45708">
      <c r="B45708" s="36"/>
      <c r="C45708" s="36"/>
      <c r="E45708" s="1"/>
      <c r="F45708" s="1"/>
      <c r="G45708" s="1"/>
    </row>
    <row r="45709">
      <c r="B45709" s="36"/>
      <c r="C45709" s="36"/>
      <c r="E45709" s="1"/>
      <c r="F45709" s="1"/>
      <c r="G45709" s="1"/>
    </row>
    <row r="45710">
      <c r="B45710" s="36"/>
      <c r="C45710" s="36"/>
      <c r="E45710" s="1"/>
      <c r="F45710" s="1"/>
      <c r="G45710" s="1"/>
    </row>
    <row r="45711">
      <c r="B45711" s="36"/>
      <c r="C45711" s="36"/>
      <c r="E45711" s="1"/>
      <c r="F45711" s="1"/>
      <c r="G45711" s="1"/>
    </row>
    <row r="45712">
      <c r="B45712" s="36"/>
      <c r="C45712" s="36"/>
      <c r="E45712" s="1"/>
      <c r="F45712" s="1"/>
      <c r="G45712" s="1"/>
    </row>
    <row r="45713">
      <c r="B45713" s="36"/>
      <c r="C45713" s="36"/>
      <c r="E45713" s="1"/>
      <c r="F45713" s="1"/>
      <c r="G45713" s="1"/>
    </row>
    <row r="45714">
      <c r="B45714" s="36"/>
      <c r="C45714" s="36"/>
      <c r="E45714" s="1"/>
      <c r="F45714" s="1"/>
      <c r="G45714" s="1"/>
    </row>
    <row r="45715">
      <c r="B45715" s="36"/>
      <c r="C45715" s="36"/>
      <c r="E45715" s="1"/>
      <c r="F45715" s="1"/>
      <c r="G45715" s="1"/>
    </row>
    <row r="45716">
      <c r="B45716" s="36"/>
      <c r="C45716" s="36"/>
      <c r="E45716" s="1"/>
      <c r="F45716" s="1"/>
      <c r="G45716" s="1"/>
    </row>
    <row r="45717">
      <c r="B45717" s="36"/>
      <c r="C45717" s="36"/>
      <c r="E45717" s="1"/>
      <c r="F45717" s="1"/>
      <c r="G45717" s="1"/>
    </row>
    <row r="45718">
      <c r="B45718" s="36"/>
      <c r="C45718" s="36"/>
      <c r="E45718" s="1"/>
      <c r="F45718" s="1"/>
      <c r="G45718" s="1"/>
    </row>
    <row r="45719">
      <c r="B45719" s="36"/>
      <c r="C45719" s="36"/>
      <c r="E45719" s="1"/>
      <c r="F45719" s="1"/>
      <c r="G45719" s="1"/>
    </row>
    <row r="45720">
      <c r="B45720" s="36"/>
      <c r="C45720" s="36"/>
      <c r="E45720" s="1"/>
      <c r="F45720" s="1"/>
      <c r="G45720" s="1"/>
    </row>
    <row r="45721">
      <c r="B45721" s="36"/>
      <c r="C45721" s="36"/>
      <c r="E45721" s="1"/>
      <c r="F45721" s="1"/>
      <c r="G45721" s="1"/>
    </row>
    <row r="45722">
      <c r="B45722" s="36"/>
      <c r="C45722" s="36"/>
      <c r="E45722" s="1"/>
      <c r="F45722" s="1"/>
      <c r="G45722" s="1"/>
    </row>
    <row r="45723">
      <c r="B45723" s="36"/>
      <c r="C45723" s="36"/>
      <c r="E45723" s="1"/>
      <c r="F45723" s="1"/>
      <c r="G45723" s="1"/>
    </row>
    <row r="45724">
      <c r="B45724" s="36"/>
      <c r="C45724" s="36"/>
      <c r="E45724" s="1"/>
      <c r="F45724" s="1"/>
      <c r="G45724" s="1"/>
    </row>
    <row r="45725">
      <c r="B45725" s="36"/>
      <c r="C45725" s="36"/>
      <c r="E45725" s="1"/>
      <c r="F45725" s="1"/>
      <c r="G45725" s="1"/>
    </row>
    <row r="45726">
      <c r="B45726" s="36"/>
      <c r="C45726" s="36"/>
      <c r="E45726" s="1"/>
      <c r="F45726" s="1"/>
      <c r="G45726" s="1"/>
    </row>
    <row r="45727">
      <c r="B45727" s="36"/>
      <c r="C45727" s="36"/>
      <c r="E45727" s="1"/>
      <c r="F45727" s="1"/>
      <c r="G45727" s="1"/>
    </row>
    <row r="45728">
      <c r="B45728" s="36"/>
      <c r="C45728" s="36"/>
      <c r="E45728" s="1"/>
      <c r="F45728" s="1"/>
      <c r="G45728" s="1"/>
    </row>
    <row r="45729">
      <c r="B45729" s="36"/>
      <c r="C45729" s="36"/>
      <c r="E45729" s="1"/>
      <c r="F45729" s="1"/>
      <c r="G45729" s="1"/>
    </row>
    <row r="45730">
      <c r="B45730" s="36"/>
      <c r="C45730" s="36"/>
      <c r="E45730" s="1"/>
      <c r="F45730" s="1"/>
      <c r="G45730" s="1"/>
    </row>
    <row r="45731">
      <c r="B45731" s="36"/>
      <c r="C45731" s="36"/>
      <c r="E45731" s="1"/>
      <c r="F45731" s="1"/>
      <c r="G45731" s="1"/>
    </row>
    <row r="45732">
      <c r="B45732" s="36"/>
      <c r="C45732" s="36"/>
      <c r="E45732" s="1"/>
      <c r="F45732" s="1"/>
      <c r="G45732" s="1"/>
    </row>
    <row r="45733">
      <c r="B45733" s="36"/>
      <c r="C45733" s="36"/>
      <c r="E45733" s="1"/>
      <c r="F45733" s="1"/>
      <c r="G45733" s="1"/>
    </row>
    <row r="45734">
      <c r="B45734" s="36"/>
      <c r="C45734" s="36"/>
      <c r="E45734" s="1"/>
      <c r="F45734" s="1"/>
      <c r="G45734" s="1"/>
    </row>
    <row r="45735">
      <c r="B45735" s="36"/>
      <c r="C45735" s="36"/>
      <c r="E45735" s="1"/>
      <c r="F45735" s="1"/>
      <c r="G45735" s="1"/>
    </row>
    <row r="45736">
      <c r="B45736" s="36"/>
      <c r="C45736" s="36"/>
      <c r="E45736" s="1"/>
      <c r="F45736" s="1"/>
      <c r="G45736" s="1"/>
    </row>
    <row r="45737">
      <c r="B45737" s="36"/>
      <c r="C45737" s="36"/>
      <c r="E45737" s="1"/>
      <c r="F45737" s="1"/>
      <c r="G45737" s="1"/>
    </row>
    <row r="45738">
      <c r="B45738" s="36"/>
      <c r="C45738" s="36"/>
      <c r="E45738" s="1"/>
      <c r="F45738" s="1"/>
      <c r="G45738" s="1"/>
    </row>
    <row r="45739">
      <c r="B45739" s="36"/>
      <c r="C45739" s="36"/>
      <c r="E45739" s="1"/>
      <c r="F45739" s="1"/>
      <c r="G45739" s="1"/>
    </row>
    <row r="45740">
      <c r="B45740" s="36"/>
      <c r="C45740" s="36"/>
      <c r="E45740" s="1"/>
      <c r="F45740" s="1"/>
      <c r="G45740" s="1"/>
    </row>
    <row r="45741">
      <c r="B45741" s="36"/>
      <c r="C45741" s="36"/>
      <c r="E45741" s="1"/>
      <c r="F45741" s="1"/>
      <c r="G45741" s="1"/>
    </row>
    <row r="45742">
      <c r="B45742" s="36"/>
      <c r="C45742" s="36"/>
      <c r="E45742" s="1"/>
      <c r="F45742" s="1"/>
      <c r="G45742" s="1"/>
    </row>
    <row r="45743">
      <c r="B45743" s="36"/>
      <c r="C45743" s="36"/>
      <c r="E45743" s="1"/>
      <c r="F45743" s="1"/>
      <c r="G45743" s="1"/>
    </row>
    <row r="45744">
      <c r="B45744" s="36"/>
      <c r="C45744" s="36"/>
      <c r="E45744" s="1"/>
      <c r="F45744" s="1"/>
      <c r="G45744" s="1"/>
    </row>
    <row r="45745">
      <c r="B45745" s="36"/>
      <c r="C45745" s="36"/>
      <c r="E45745" s="1"/>
      <c r="F45745" s="1"/>
      <c r="G45745" s="1"/>
    </row>
    <row r="45746">
      <c r="B45746" s="36"/>
      <c r="C45746" s="36"/>
      <c r="E45746" s="1"/>
      <c r="F45746" s="1"/>
      <c r="G45746" s="1"/>
    </row>
    <row r="45747">
      <c r="B45747" s="36"/>
      <c r="C45747" s="36"/>
      <c r="E45747" s="1"/>
      <c r="F45747" s="1"/>
      <c r="G45747" s="1"/>
    </row>
    <row r="45748">
      <c r="B45748" s="36"/>
      <c r="C45748" s="36"/>
      <c r="E45748" s="1"/>
      <c r="F45748" s="1"/>
      <c r="G45748" s="1"/>
    </row>
    <row r="45749">
      <c r="B45749" s="36"/>
      <c r="C45749" s="36"/>
      <c r="E45749" s="1"/>
      <c r="F45749" s="1"/>
      <c r="G45749" s="1"/>
    </row>
    <row r="45750">
      <c r="B45750" s="36"/>
      <c r="C45750" s="36"/>
      <c r="E45750" s="1"/>
      <c r="F45750" s="1"/>
      <c r="G45750" s="1"/>
    </row>
    <row r="45751">
      <c r="B45751" s="36"/>
      <c r="C45751" s="36"/>
      <c r="E45751" s="1"/>
      <c r="F45751" s="1"/>
      <c r="G45751" s="1"/>
    </row>
    <row r="45752">
      <c r="B45752" s="36"/>
      <c r="C45752" s="36"/>
      <c r="E45752" s="1"/>
      <c r="F45752" s="1"/>
      <c r="G45752" s="1"/>
    </row>
    <row r="45753">
      <c r="B45753" s="36"/>
      <c r="C45753" s="36"/>
      <c r="E45753" s="1"/>
      <c r="F45753" s="1"/>
      <c r="G45753" s="1"/>
    </row>
    <row r="45754">
      <c r="B45754" s="36"/>
      <c r="C45754" s="36"/>
      <c r="E45754" s="1"/>
      <c r="F45754" s="1"/>
      <c r="G45754" s="1"/>
    </row>
    <row r="45755">
      <c r="B45755" s="36"/>
      <c r="C45755" s="36"/>
      <c r="E45755" s="1"/>
      <c r="F45755" s="1"/>
      <c r="G45755" s="1"/>
    </row>
    <row r="45756">
      <c r="B45756" s="36"/>
      <c r="C45756" s="36"/>
      <c r="E45756" s="1"/>
      <c r="F45756" s="1"/>
      <c r="G45756" s="1"/>
    </row>
    <row r="45757">
      <c r="B45757" s="36"/>
      <c r="C45757" s="36"/>
      <c r="E45757" s="1"/>
      <c r="F45757" s="1"/>
      <c r="G45757" s="1"/>
    </row>
    <row r="45758">
      <c r="B45758" s="36"/>
      <c r="C45758" s="36"/>
      <c r="E45758" s="1"/>
      <c r="F45758" s="1"/>
      <c r="G45758" s="1"/>
    </row>
    <row r="45759">
      <c r="B45759" s="36"/>
      <c r="C45759" s="36"/>
      <c r="E45759" s="1"/>
      <c r="F45759" s="1"/>
      <c r="G45759" s="1"/>
    </row>
    <row r="45760">
      <c r="B45760" s="36"/>
      <c r="C45760" s="36"/>
      <c r="E45760" s="1"/>
      <c r="F45760" s="1"/>
      <c r="G45760" s="1"/>
    </row>
    <row r="45761">
      <c r="B45761" s="36"/>
      <c r="C45761" s="36"/>
      <c r="E45761" s="1"/>
      <c r="F45761" s="1"/>
      <c r="G45761" s="1"/>
    </row>
    <row r="45762">
      <c r="B45762" s="36"/>
      <c r="C45762" s="36"/>
      <c r="E45762" s="1"/>
      <c r="F45762" s="1"/>
      <c r="G45762" s="1"/>
    </row>
    <row r="45763">
      <c r="B45763" s="36"/>
      <c r="C45763" s="36"/>
      <c r="E45763" s="1"/>
      <c r="F45763" s="1"/>
      <c r="G45763" s="1"/>
    </row>
    <row r="45764">
      <c r="B45764" s="36"/>
      <c r="C45764" s="36"/>
      <c r="E45764" s="1"/>
      <c r="F45764" s="1"/>
      <c r="G45764" s="1"/>
    </row>
    <row r="45765">
      <c r="B45765" s="36"/>
      <c r="C45765" s="36"/>
      <c r="E45765" s="1"/>
      <c r="F45765" s="1"/>
      <c r="G45765" s="1"/>
    </row>
    <row r="45766">
      <c r="B45766" s="36"/>
      <c r="C45766" s="36"/>
      <c r="E45766" s="1"/>
      <c r="F45766" s="1"/>
      <c r="G45766" s="1"/>
    </row>
    <row r="45767">
      <c r="B45767" s="36"/>
      <c r="C45767" s="36"/>
      <c r="E45767" s="1"/>
      <c r="F45767" s="1"/>
      <c r="G45767" s="1"/>
    </row>
    <row r="45768">
      <c r="B45768" s="36"/>
      <c r="C45768" s="36"/>
      <c r="E45768" s="1"/>
      <c r="F45768" s="1"/>
      <c r="G45768" s="1"/>
    </row>
    <row r="45769">
      <c r="B45769" s="36"/>
      <c r="C45769" s="36"/>
      <c r="E45769" s="1"/>
      <c r="F45769" s="1"/>
      <c r="G45769" s="1"/>
    </row>
    <row r="45770">
      <c r="B45770" s="36"/>
      <c r="C45770" s="36"/>
      <c r="E45770" s="1"/>
      <c r="F45770" s="1"/>
      <c r="G45770" s="1"/>
    </row>
    <row r="45771">
      <c r="B45771" s="36"/>
      <c r="C45771" s="36"/>
      <c r="E45771" s="1"/>
      <c r="F45771" s="1"/>
      <c r="G45771" s="1"/>
    </row>
    <row r="45772">
      <c r="B45772" s="36"/>
      <c r="C45772" s="36"/>
      <c r="E45772" s="1"/>
      <c r="F45772" s="1"/>
      <c r="G45772" s="1"/>
    </row>
    <row r="45773">
      <c r="B45773" s="36"/>
      <c r="C45773" s="36"/>
      <c r="E45773" s="1"/>
      <c r="F45773" s="1"/>
      <c r="G45773" s="1"/>
    </row>
    <row r="45774">
      <c r="B45774" s="36"/>
      <c r="C45774" s="36"/>
      <c r="E45774" s="1"/>
      <c r="F45774" s="1"/>
      <c r="G45774" s="1"/>
    </row>
    <row r="45775">
      <c r="B45775" s="36"/>
      <c r="C45775" s="36"/>
      <c r="E45775" s="1"/>
      <c r="F45775" s="1"/>
      <c r="G45775" s="1"/>
    </row>
    <row r="45776">
      <c r="B45776" s="36"/>
      <c r="C45776" s="36"/>
      <c r="E45776" s="1"/>
      <c r="F45776" s="1"/>
      <c r="G45776" s="1"/>
    </row>
    <row r="45777">
      <c r="B45777" s="36"/>
      <c r="C45777" s="36"/>
      <c r="E45777" s="1"/>
      <c r="F45777" s="1"/>
      <c r="G45777" s="1"/>
    </row>
    <row r="45778">
      <c r="B45778" s="36"/>
      <c r="C45778" s="36"/>
      <c r="E45778" s="1"/>
      <c r="F45778" s="1"/>
      <c r="G45778" s="1"/>
    </row>
    <row r="45779">
      <c r="B45779" s="36"/>
      <c r="C45779" s="36"/>
      <c r="E45779" s="1"/>
      <c r="F45779" s="1"/>
      <c r="G45779" s="1"/>
    </row>
    <row r="45780">
      <c r="B45780" s="36"/>
      <c r="C45780" s="36"/>
      <c r="E45780" s="1"/>
      <c r="F45780" s="1"/>
      <c r="G45780" s="1"/>
    </row>
    <row r="45781">
      <c r="B45781" s="36"/>
      <c r="C45781" s="36"/>
      <c r="E45781" s="1"/>
      <c r="F45781" s="1"/>
      <c r="G45781" s="1"/>
    </row>
    <row r="45782">
      <c r="B45782" s="36"/>
      <c r="C45782" s="36"/>
      <c r="E45782" s="1"/>
      <c r="F45782" s="1"/>
      <c r="G45782" s="1"/>
    </row>
    <row r="45783">
      <c r="B45783" s="36"/>
      <c r="C45783" s="36"/>
      <c r="E45783" s="1"/>
      <c r="F45783" s="1"/>
      <c r="G45783" s="1"/>
    </row>
    <row r="45784">
      <c r="B45784" s="36"/>
      <c r="C45784" s="36"/>
      <c r="E45784" s="1"/>
      <c r="F45784" s="1"/>
      <c r="G45784" s="1"/>
    </row>
    <row r="45785">
      <c r="B45785" s="36"/>
      <c r="C45785" s="36"/>
      <c r="E45785" s="1"/>
      <c r="F45785" s="1"/>
      <c r="G45785" s="1"/>
    </row>
    <row r="45786">
      <c r="B45786" s="36"/>
      <c r="C45786" s="36"/>
      <c r="E45786" s="1"/>
      <c r="F45786" s="1"/>
      <c r="G45786" s="1"/>
    </row>
    <row r="45787">
      <c r="B45787" s="36"/>
      <c r="C45787" s="36"/>
      <c r="E45787" s="1"/>
      <c r="F45787" s="1"/>
      <c r="G45787" s="1"/>
    </row>
    <row r="45788">
      <c r="B45788" s="36"/>
      <c r="C45788" s="36"/>
      <c r="E45788" s="1"/>
      <c r="F45788" s="1"/>
      <c r="G45788" s="1"/>
    </row>
    <row r="45789">
      <c r="B45789" s="36"/>
      <c r="C45789" s="36"/>
      <c r="E45789" s="1"/>
      <c r="F45789" s="1"/>
      <c r="G45789" s="1"/>
    </row>
    <row r="45790">
      <c r="B45790" s="36"/>
      <c r="C45790" s="36"/>
      <c r="E45790" s="1"/>
      <c r="F45790" s="1"/>
      <c r="G45790" s="1"/>
    </row>
    <row r="45791">
      <c r="B45791" s="36"/>
      <c r="C45791" s="36"/>
      <c r="E45791" s="1"/>
      <c r="F45791" s="1"/>
      <c r="G45791" s="1"/>
    </row>
    <row r="45792">
      <c r="B45792" s="36"/>
      <c r="C45792" s="36"/>
      <c r="E45792" s="1"/>
      <c r="F45792" s="1"/>
      <c r="G45792" s="1"/>
    </row>
    <row r="45793">
      <c r="B45793" s="36"/>
      <c r="C45793" s="36"/>
      <c r="E45793" s="1"/>
      <c r="F45793" s="1"/>
      <c r="G45793" s="1"/>
    </row>
    <row r="45794">
      <c r="B45794" s="36"/>
      <c r="C45794" s="36"/>
      <c r="E45794" s="1"/>
      <c r="F45794" s="1"/>
      <c r="G45794" s="1"/>
    </row>
    <row r="45795">
      <c r="B45795" s="36"/>
      <c r="C45795" s="36"/>
      <c r="E45795" s="1"/>
      <c r="F45795" s="1"/>
      <c r="G45795" s="1"/>
    </row>
    <row r="45796">
      <c r="B45796" s="36"/>
      <c r="C45796" s="36"/>
      <c r="E45796" s="1"/>
      <c r="F45796" s="1"/>
      <c r="G45796" s="1"/>
    </row>
    <row r="45797">
      <c r="B45797" s="36"/>
      <c r="C45797" s="36"/>
      <c r="E45797" s="1"/>
      <c r="F45797" s="1"/>
      <c r="G45797" s="1"/>
    </row>
    <row r="45798">
      <c r="B45798" s="36"/>
      <c r="C45798" s="36"/>
      <c r="E45798" s="1"/>
      <c r="F45798" s="1"/>
      <c r="G45798" s="1"/>
    </row>
    <row r="45799">
      <c r="B45799" s="36"/>
      <c r="C45799" s="36"/>
      <c r="E45799" s="1"/>
      <c r="F45799" s="1"/>
      <c r="G45799" s="1"/>
    </row>
    <row r="45800">
      <c r="B45800" s="36"/>
      <c r="C45800" s="36"/>
      <c r="E45800" s="1"/>
      <c r="F45800" s="1"/>
      <c r="G45800" s="1"/>
    </row>
    <row r="45801">
      <c r="B45801" s="36"/>
      <c r="C45801" s="36"/>
      <c r="E45801" s="1"/>
      <c r="F45801" s="1"/>
      <c r="G45801" s="1"/>
    </row>
    <row r="45802">
      <c r="B45802" s="36"/>
      <c r="C45802" s="36"/>
      <c r="E45802" s="1"/>
      <c r="F45802" s="1"/>
      <c r="G45802" s="1"/>
    </row>
    <row r="45803">
      <c r="B45803" s="36"/>
      <c r="C45803" s="36"/>
      <c r="E45803" s="1"/>
      <c r="F45803" s="1"/>
      <c r="G45803" s="1"/>
    </row>
    <row r="45804">
      <c r="B45804" s="36"/>
      <c r="C45804" s="36"/>
      <c r="E45804" s="1"/>
      <c r="F45804" s="1"/>
      <c r="G45804" s="1"/>
    </row>
    <row r="45805">
      <c r="B45805" s="36"/>
      <c r="C45805" s="36"/>
      <c r="E45805" s="1"/>
      <c r="F45805" s="1"/>
      <c r="G45805" s="1"/>
    </row>
    <row r="45806">
      <c r="B45806" s="36"/>
      <c r="C45806" s="36"/>
      <c r="E45806" s="1"/>
      <c r="F45806" s="1"/>
      <c r="G45806" s="1"/>
    </row>
    <row r="45807">
      <c r="B45807" s="36"/>
      <c r="C45807" s="36"/>
      <c r="E45807" s="1"/>
      <c r="F45807" s="1"/>
      <c r="G45807" s="1"/>
    </row>
    <row r="45808">
      <c r="B45808" s="36"/>
      <c r="C45808" s="36"/>
      <c r="E45808" s="1"/>
      <c r="F45808" s="1"/>
      <c r="G45808" s="1"/>
    </row>
    <row r="45809">
      <c r="B45809" s="36"/>
      <c r="C45809" s="36"/>
      <c r="E45809" s="1"/>
      <c r="F45809" s="1"/>
      <c r="G45809" s="1"/>
    </row>
    <row r="45810">
      <c r="B45810" s="36"/>
      <c r="C45810" s="36"/>
      <c r="E45810" s="1"/>
      <c r="F45810" s="1"/>
      <c r="G45810" s="1"/>
    </row>
    <row r="45811">
      <c r="B45811" s="36"/>
      <c r="C45811" s="36"/>
      <c r="E45811" s="1"/>
      <c r="F45811" s="1"/>
      <c r="G45811" s="1"/>
    </row>
    <row r="45812">
      <c r="B45812" s="36"/>
      <c r="C45812" s="36"/>
      <c r="E45812" s="1"/>
      <c r="F45812" s="1"/>
      <c r="G45812" s="1"/>
    </row>
    <row r="45813">
      <c r="B45813" s="36"/>
      <c r="C45813" s="36"/>
      <c r="E45813" s="1"/>
      <c r="F45813" s="1"/>
      <c r="G45813" s="1"/>
    </row>
    <row r="45814">
      <c r="B45814" s="36"/>
      <c r="C45814" s="36"/>
      <c r="E45814" s="1"/>
      <c r="F45814" s="1"/>
      <c r="G45814" s="1"/>
    </row>
    <row r="45815">
      <c r="B45815" s="36"/>
      <c r="C45815" s="36"/>
      <c r="E45815" s="1"/>
      <c r="F45815" s="1"/>
      <c r="G45815" s="1"/>
    </row>
    <row r="45816">
      <c r="B45816" s="36"/>
      <c r="C45816" s="36"/>
      <c r="E45816" s="1"/>
      <c r="F45816" s="1"/>
      <c r="G45816" s="1"/>
    </row>
    <row r="45817">
      <c r="B45817" s="36"/>
      <c r="C45817" s="36"/>
      <c r="E45817" s="1"/>
      <c r="F45817" s="1"/>
      <c r="G45817" s="1"/>
    </row>
    <row r="45818">
      <c r="B45818" s="36"/>
      <c r="C45818" s="36"/>
      <c r="E45818" s="1"/>
      <c r="F45818" s="1"/>
      <c r="G45818" s="1"/>
    </row>
    <row r="45819">
      <c r="B45819" s="36"/>
      <c r="C45819" s="36"/>
      <c r="E45819" s="1"/>
      <c r="F45819" s="1"/>
      <c r="G45819" s="1"/>
    </row>
    <row r="45820">
      <c r="B45820" s="36"/>
      <c r="C45820" s="36"/>
      <c r="E45820" s="1"/>
      <c r="F45820" s="1"/>
      <c r="G45820" s="1"/>
    </row>
    <row r="45821">
      <c r="B45821" s="36"/>
      <c r="C45821" s="36"/>
      <c r="E45821" s="1"/>
      <c r="F45821" s="1"/>
      <c r="G45821" s="1"/>
    </row>
    <row r="45822">
      <c r="B45822" s="36"/>
      <c r="C45822" s="36"/>
      <c r="E45822" s="1"/>
      <c r="F45822" s="1"/>
      <c r="G45822" s="1"/>
    </row>
    <row r="45823">
      <c r="B45823" s="36"/>
      <c r="C45823" s="36"/>
      <c r="E45823" s="1"/>
      <c r="F45823" s="1"/>
      <c r="G45823" s="1"/>
    </row>
    <row r="45824">
      <c r="B45824" s="36"/>
      <c r="C45824" s="36"/>
      <c r="E45824" s="1"/>
      <c r="F45824" s="1"/>
      <c r="G45824" s="1"/>
    </row>
    <row r="45825">
      <c r="B45825" s="36"/>
      <c r="C45825" s="36"/>
      <c r="E45825" s="1"/>
      <c r="F45825" s="1"/>
      <c r="G45825" s="1"/>
    </row>
    <row r="45826">
      <c r="B45826" s="36"/>
      <c r="C45826" s="36"/>
      <c r="E45826" s="1"/>
      <c r="F45826" s="1"/>
      <c r="G45826" s="1"/>
    </row>
    <row r="45827">
      <c r="B45827" s="36"/>
      <c r="C45827" s="36"/>
      <c r="E45827" s="1"/>
      <c r="F45827" s="1"/>
      <c r="G45827" s="1"/>
    </row>
    <row r="45828">
      <c r="B45828" s="36"/>
      <c r="C45828" s="36"/>
      <c r="E45828" s="1"/>
      <c r="F45828" s="1"/>
      <c r="G45828" s="1"/>
    </row>
    <row r="45829">
      <c r="B45829" s="36"/>
      <c r="C45829" s="36"/>
      <c r="E45829" s="1"/>
      <c r="F45829" s="1"/>
      <c r="G45829" s="1"/>
    </row>
    <row r="45830">
      <c r="B45830" s="36"/>
      <c r="C45830" s="36"/>
      <c r="E45830" s="1"/>
      <c r="F45830" s="1"/>
      <c r="G45830" s="1"/>
    </row>
    <row r="45831">
      <c r="B45831" s="36"/>
      <c r="C45831" s="36"/>
      <c r="E45831" s="1"/>
      <c r="F45831" s="1"/>
      <c r="G45831" s="1"/>
    </row>
    <row r="45832">
      <c r="B45832" s="36"/>
      <c r="C45832" s="36"/>
      <c r="E45832" s="1"/>
      <c r="F45832" s="1"/>
      <c r="G45832" s="1"/>
    </row>
    <row r="45833">
      <c r="B45833" s="36"/>
      <c r="C45833" s="36"/>
      <c r="E45833" s="1"/>
      <c r="F45833" s="1"/>
      <c r="G45833" s="1"/>
    </row>
    <row r="45834">
      <c r="B45834" s="36"/>
      <c r="C45834" s="36"/>
      <c r="E45834" s="1"/>
      <c r="F45834" s="1"/>
      <c r="G45834" s="1"/>
    </row>
    <row r="45835">
      <c r="B45835" s="36"/>
      <c r="C45835" s="36"/>
      <c r="E45835" s="1"/>
      <c r="F45835" s="1"/>
      <c r="G45835" s="1"/>
    </row>
    <row r="45836">
      <c r="B45836" s="36"/>
      <c r="C45836" s="36"/>
      <c r="E45836" s="1"/>
      <c r="F45836" s="1"/>
      <c r="G45836" s="1"/>
    </row>
    <row r="45837">
      <c r="B45837" s="36"/>
      <c r="C45837" s="36"/>
      <c r="E45837" s="1"/>
      <c r="F45837" s="1"/>
      <c r="G45837" s="1"/>
    </row>
    <row r="45838">
      <c r="B45838" s="36"/>
      <c r="C45838" s="36"/>
      <c r="E45838" s="1"/>
      <c r="F45838" s="1"/>
      <c r="G45838" s="1"/>
    </row>
    <row r="45839">
      <c r="B45839" s="36"/>
      <c r="C45839" s="36"/>
      <c r="E45839" s="1"/>
      <c r="F45839" s="1"/>
      <c r="G45839" s="1"/>
    </row>
    <row r="45840">
      <c r="B45840" s="36"/>
      <c r="C45840" s="36"/>
      <c r="E45840" s="1"/>
      <c r="F45840" s="1"/>
      <c r="G45840" s="1"/>
    </row>
    <row r="45841">
      <c r="B45841" s="36"/>
      <c r="C45841" s="36"/>
      <c r="E45841" s="1"/>
      <c r="F45841" s="1"/>
      <c r="G45841" s="1"/>
    </row>
    <row r="45842">
      <c r="B45842" s="36"/>
      <c r="C45842" s="36"/>
      <c r="E45842" s="1"/>
      <c r="F45842" s="1"/>
      <c r="G45842" s="1"/>
    </row>
    <row r="45843">
      <c r="B45843" s="36"/>
      <c r="C45843" s="36"/>
      <c r="E45843" s="1"/>
      <c r="F45843" s="1"/>
      <c r="G45843" s="1"/>
    </row>
    <row r="45844">
      <c r="B45844" s="36"/>
      <c r="C45844" s="36"/>
      <c r="E45844" s="1"/>
      <c r="F45844" s="1"/>
      <c r="G45844" s="1"/>
    </row>
    <row r="45845">
      <c r="B45845" s="36"/>
      <c r="C45845" s="36"/>
      <c r="E45845" s="1"/>
      <c r="F45845" s="1"/>
      <c r="G45845" s="1"/>
    </row>
    <row r="45846">
      <c r="B45846" s="36"/>
      <c r="C45846" s="36"/>
      <c r="E45846" s="1"/>
      <c r="F45846" s="1"/>
      <c r="G45846" s="1"/>
    </row>
    <row r="45847">
      <c r="B45847" s="36"/>
      <c r="C45847" s="36"/>
      <c r="E45847" s="1"/>
      <c r="F45847" s="1"/>
      <c r="G45847" s="1"/>
    </row>
    <row r="45848">
      <c r="B45848" s="36"/>
      <c r="C45848" s="36"/>
      <c r="E45848" s="1"/>
      <c r="F45848" s="1"/>
      <c r="G45848" s="1"/>
    </row>
    <row r="45849">
      <c r="B45849" s="36"/>
      <c r="C45849" s="36"/>
      <c r="E45849" s="1"/>
      <c r="F45849" s="1"/>
      <c r="G45849" s="1"/>
    </row>
    <row r="45850">
      <c r="B45850" s="36"/>
      <c r="C45850" s="36"/>
      <c r="E45850" s="1"/>
      <c r="F45850" s="1"/>
      <c r="G45850" s="1"/>
    </row>
    <row r="45851">
      <c r="B45851" s="36"/>
      <c r="C45851" s="36"/>
      <c r="E45851" s="1"/>
      <c r="F45851" s="1"/>
      <c r="G45851" s="1"/>
    </row>
    <row r="45852">
      <c r="B45852" s="36"/>
      <c r="C45852" s="36"/>
      <c r="E45852" s="1"/>
      <c r="F45852" s="1"/>
      <c r="G45852" s="1"/>
    </row>
    <row r="45853">
      <c r="B45853" s="36"/>
      <c r="C45853" s="36"/>
      <c r="E45853" s="1"/>
      <c r="F45853" s="1"/>
      <c r="G45853" s="1"/>
    </row>
    <row r="45854">
      <c r="B45854" s="36"/>
      <c r="C45854" s="36"/>
      <c r="E45854" s="1"/>
      <c r="F45854" s="1"/>
      <c r="G45854" s="1"/>
    </row>
    <row r="45855">
      <c r="B45855" s="36"/>
      <c r="C45855" s="36"/>
      <c r="E45855" s="1"/>
      <c r="F45855" s="1"/>
      <c r="G45855" s="1"/>
    </row>
    <row r="45856">
      <c r="B45856" s="36"/>
      <c r="C45856" s="36"/>
      <c r="E45856" s="1"/>
      <c r="F45856" s="1"/>
      <c r="G45856" s="1"/>
    </row>
    <row r="45857">
      <c r="B45857" s="36"/>
      <c r="C45857" s="36"/>
      <c r="E45857" s="1"/>
      <c r="F45857" s="1"/>
      <c r="G45857" s="1"/>
    </row>
    <row r="45858">
      <c r="B45858" s="36"/>
      <c r="C45858" s="36"/>
      <c r="E45858" s="1"/>
      <c r="F45858" s="1"/>
      <c r="G45858" s="1"/>
    </row>
    <row r="45859">
      <c r="B45859" s="36"/>
      <c r="C45859" s="36"/>
      <c r="E45859" s="1"/>
      <c r="F45859" s="1"/>
      <c r="G45859" s="1"/>
    </row>
    <row r="45860">
      <c r="B45860" s="36"/>
      <c r="C45860" s="36"/>
      <c r="E45860" s="1"/>
      <c r="F45860" s="1"/>
      <c r="G45860" s="1"/>
    </row>
    <row r="45861">
      <c r="B45861" s="36"/>
      <c r="C45861" s="36"/>
      <c r="E45861" s="1"/>
      <c r="F45861" s="1"/>
      <c r="G45861" s="1"/>
    </row>
    <row r="45862">
      <c r="B45862" s="36"/>
      <c r="C45862" s="36"/>
      <c r="E45862" s="1"/>
      <c r="F45862" s="1"/>
      <c r="G45862" s="1"/>
    </row>
    <row r="45863">
      <c r="B45863" s="36"/>
      <c r="C45863" s="36"/>
      <c r="E45863" s="1"/>
      <c r="F45863" s="1"/>
      <c r="G45863" s="1"/>
    </row>
    <row r="45864">
      <c r="B45864" s="36"/>
      <c r="C45864" s="36"/>
      <c r="E45864" s="1"/>
      <c r="F45864" s="1"/>
      <c r="G45864" s="1"/>
    </row>
    <row r="45865">
      <c r="B45865" s="36"/>
      <c r="C45865" s="36"/>
      <c r="E45865" s="1"/>
      <c r="F45865" s="1"/>
      <c r="G45865" s="1"/>
    </row>
    <row r="45866">
      <c r="B45866" s="36"/>
      <c r="C45866" s="36"/>
      <c r="E45866" s="1"/>
      <c r="F45866" s="1"/>
      <c r="G45866" s="1"/>
    </row>
    <row r="45867">
      <c r="B45867" s="36"/>
      <c r="C45867" s="36"/>
      <c r="E45867" s="1"/>
      <c r="F45867" s="1"/>
      <c r="G45867" s="1"/>
    </row>
    <row r="45868">
      <c r="B45868" s="36"/>
      <c r="C45868" s="36"/>
      <c r="E45868" s="1"/>
      <c r="F45868" s="1"/>
      <c r="G45868" s="1"/>
    </row>
    <row r="45869">
      <c r="B45869" s="36"/>
      <c r="C45869" s="36"/>
      <c r="E45869" s="1"/>
      <c r="F45869" s="1"/>
      <c r="G45869" s="1"/>
    </row>
    <row r="45870">
      <c r="B45870" s="36"/>
      <c r="C45870" s="36"/>
      <c r="E45870" s="1"/>
      <c r="F45870" s="1"/>
      <c r="G45870" s="1"/>
    </row>
    <row r="45871">
      <c r="B45871" s="36"/>
      <c r="C45871" s="36"/>
      <c r="E45871" s="1"/>
      <c r="F45871" s="1"/>
      <c r="G45871" s="1"/>
    </row>
    <row r="45872">
      <c r="B45872" s="36"/>
      <c r="C45872" s="36"/>
      <c r="E45872" s="1"/>
      <c r="F45872" s="1"/>
      <c r="G45872" s="1"/>
    </row>
    <row r="45873">
      <c r="B45873" s="36"/>
      <c r="C45873" s="36"/>
      <c r="E45873" s="1"/>
      <c r="F45873" s="1"/>
      <c r="G45873" s="1"/>
    </row>
    <row r="45874">
      <c r="B45874" s="36"/>
      <c r="C45874" s="36"/>
      <c r="E45874" s="1"/>
      <c r="F45874" s="1"/>
      <c r="G45874" s="1"/>
    </row>
    <row r="45875">
      <c r="B45875" s="36"/>
      <c r="C45875" s="36"/>
      <c r="E45875" s="1"/>
      <c r="F45875" s="1"/>
      <c r="G45875" s="1"/>
    </row>
    <row r="45876">
      <c r="B45876" s="36"/>
      <c r="C45876" s="36"/>
      <c r="E45876" s="1"/>
      <c r="F45876" s="1"/>
      <c r="G45876" s="1"/>
    </row>
    <row r="45877">
      <c r="B45877" s="36"/>
      <c r="C45877" s="36"/>
      <c r="E45877" s="1"/>
      <c r="F45877" s="1"/>
      <c r="G45877" s="1"/>
    </row>
    <row r="45878">
      <c r="B45878" s="36"/>
      <c r="C45878" s="36"/>
      <c r="E45878" s="1"/>
      <c r="F45878" s="1"/>
      <c r="G45878" s="1"/>
    </row>
    <row r="45879">
      <c r="B45879" s="36"/>
      <c r="C45879" s="36"/>
      <c r="E45879" s="1"/>
      <c r="F45879" s="1"/>
      <c r="G45879" s="1"/>
    </row>
    <row r="45880">
      <c r="B45880" s="36"/>
      <c r="C45880" s="36"/>
      <c r="E45880" s="1"/>
      <c r="F45880" s="1"/>
      <c r="G45880" s="1"/>
    </row>
    <row r="45881">
      <c r="B45881" s="36"/>
      <c r="C45881" s="36"/>
      <c r="E45881" s="1"/>
      <c r="F45881" s="1"/>
      <c r="G45881" s="1"/>
    </row>
    <row r="45882">
      <c r="B45882" s="36"/>
      <c r="C45882" s="36"/>
      <c r="E45882" s="1"/>
      <c r="F45882" s="1"/>
      <c r="G45882" s="1"/>
    </row>
    <row r="45883">
      <c r="B45883" s="36"/>
      <c r="C45883" s="36"/>
      <c r="E45883" s="1"/>
      <c r="F45883" s="1"/>
      <c r="G45883" s="1"/>
    </row>
    <row r="45884">
      <c r="B45884" s="36"/>
      <c r="C45884" s="36"/>
      <c r="E45884" s="1"/>
      <c r="F45884" s="1"/>
      <c r="G45884" s="1"/>
    </row>
    <row r="45885">
      <c r="B45885" s="36"/>
      <c r="C45885" s="36"/>
      <c r="E45885" s="1"/>
      <c r="F45885" s="1"/>
      <c r="G45885" s="1"/>
    </row>
    <row r="45886">
      <c r="B45886" s="36"/>
      <c r="C45886" s="36"/>
      <c r="E45886" s="1"/>
      <c r="F45886" s="1"/>
      <c r="G45886" s="1"/>
    </row>
    <row r="45887">
      <c r="B45887" s="36"/>
      <c r="C45887" s="36"/>
      <c r="E45887" s="1"/>
      <c r="F45887" s="1"/>
      <c r="G45887" s="1"/>
    </row>
    <row r="45888">
      <c r="B45888" s="36"/>
      <c r="C45888" s="36"/>
      <c r="E45888" s="1"/>
      <c r="F45888" s="1"/>
      <c r="G45888" s="1"/>
    </row>
    <row r="45889">
      <c r="B45889" s="36"/>
      <c r="C45889" s="36"/>
      <c r="E45889" s="1"/>
      <c r="F45889" s="1"/>
      <c r="G45889" s="1"/>
    </row>
    <row r="45890">
      <c r="B45890" s="36"/>
      <c r="C45890" s="36"/>
      <c r="E45890" s="1"/>
      <c r="F45890" s="1"/>
      <c r="G45890" s="1"/>
    </row>
    <row r="45891">
      <c r="B45891" s="36"/>
      <c r="C45891" s="36"/>
      <c r="E45891" s="1"/>
      <c r="F45891" s="1"/>
      <c r="G45891" s="1"/>
    </row>
    <row r="45892">
      <c r="B45892" s="36"/>
      <c r="C45892" s="36"/>
      <c r="E45892" s="1"/>
      <c r="F45892" s="1"/>
      <c r="G45892" s="1"/>
    </row>
    <row r="45893">
      <c r="B45893" s="36"/>
      <c r="C45893" s="36"/>
      <c r="E45893" s="1"/>
      <c r="F45893" s="1"/>
      <c r="G45893" s="1"/>
    </row>
    <row r="45894">
      <c r="B45894" s="36"/>
      <c r="C45894" s="36"/>
      <c r="E45894" s="1"/>
      <c r="F45894" s="1"/>
      <c r="G45894" s="1"/>
    </row>
    <row r="45895">
      <c r="B45895" s="36"/>
      <c r="C45895" s="36"/>
      <c r="E45895" s="1"/>
      <c r="F45895" s="1"/>
      <c r="G45895" s="1"/>
    </row>
    <row r="45896">
      <c r="B45896" s="36"/>
      <c r="C45896" s="36"/>
      <c r="E45896" s="1"/>
      <c r="F45896" s="1"/>
      <c r="G45896" s="1"/>
    </row>
    <row r="45897">
      <c r="B45897" s="36"/>
      <c r="C45897" s="36"/>
      <c r="E45897" s="1"/>
      <c r="F45897" s="1"/>
      <c r="G45897" s="1"/>
    </row>
    <row r="45898">
      <c r="B45898" s="36"/>
      <c r="C45898" s="36"/>
      <c r="E45898" s="1"/>
      <c r="F45898" s="1"/>
      <c r="G45898" s="1"/>
    </row>
    <row r="45899">
      <c r="B45899" s="36"/>
      <c r="C45899" s="36"/>
      <c r="E45899" s="1"/>
      <c r="F45899" s="1"/>
      <c r="G45899" s="1"/>
    </row>
    <row r="45900">
      <c r="B45900" s="36"/>
      <c r="C45900" s="36"/>
      <c r="E45900" s="1"/>
      <c r="F45900" s="1"/>
      <c r="G45900" s="1"/>
    </row>
    <row r="45901">
      <c r="B45901" s="36"/>
      <c r="C45901" s="36"/>
      <c r="E45901" s="1"/>
      <c r="F45901" s="1"/>
      <c r="G45901" s="1"/>
    </row>
    <row r="45902">
      <c r="B45902" s="36"/>
      <c r="C45902" s="36"/>
      <c r="E45902" s="1"/>
      <c r="F45902" s="1"/>
      <c r="G45902" s="1"/>
    </row>
    <row r="45903">
      <c r="B45903" s="36"/>
      <c r="C45903" s="36"/>
      <c r="E45903" s="1"/>
      <c r="F45903" s="1"/>
      <c r="G45903" s="1"/>
    </row>
    <row r="45904">
      <c r="B45904" s="36"/>
      <c r="C45904" s="36"/>
      <c r="E45904" s="1"/>
      <c r="F45904" s="1"/>
      <c r="G45904" s="1"/>
    </row>
    <row r="45905">
      <c r="B45905" s="36"/>
      <c r="C45905" s="36"/>
      <c r="E45905" s="1"/>
      <c r="F45905" s="1"/>
      <c r="G45905" s="1"/>
    </row>
    <row r="45906">
      <c r="B45906" s="36"/>
      <c r="C45906" s="36"/>
      <c r="E45906" s="1"/>
      <c r="F45906" s="1"/>
      <c r="G45906" s="1"/>
    </row>
    <row r="45907">
      <c r="B45907" s="36"/>
      <c r="C45907" s="36"/>
      <c r="E45907" s="1"/>
      <c r="F45907" s="1"/>
      <c r="G45907" s="1"/>
    </row>
    <row r="45908">
      <c r="B45908" s="36"/>
      <c r="C45908" s="36"/>
      <c r="E45908" s="1"/>
      <c r="F45908" s="1"/>
      <c r="G45908" s="1"/>
    </row>
    <row r="45909">
      <c r="B45909" s="36"/>
      <c r="C45909" s="36"/>
      <c r="E45909" s="1"/>
      <c r="F45909" s="1"/>
      <c r="G45909" s="1"/>
    </row>
    <row r="45910">
      <c r="B45910" s="36"/>
      <c r="C45910" s="36"/>
      <c r="E45910" s="1"/>
      <c r="F45910" s="1"/>
      <c r="G45910" s="1"/>
    </row>
    <row r="45911">
      <c r="B45911" s="36"/>
      <c r="C45911" s="36"/>
      <c r="E45911" s="1"/>
      <c r="F45911" s="1"/>
      <c r="G45911" s="1"/>
    </row>
    <row r="45912">
      <c r="B45912" s="36"/>
      <c r="C45912" s="36"/>
      <c r="E45912" s="1"/>
      <c r="F45912" s="1"/>
      <c r="G45912" s="1"/>
    </row>
    <row r="45913">
      <c r="B45913" s="36"/>
      <c r="C45913" s="36"/>
      <c r="E45913" s="1"/>
      <c r="F45913" s="1"/>
      <c r="G45913" s="1"/>
    </row>
    <row r="45914">
      <c r="B45914" s="36"/>
      <c r="C45914" s="36"/>
      <c r="E45914" s="1"/>
      <c r="F45914" s="1"/>
      <c r="G45914" s="1"/>
    </row>
    <row r="45915">
      <c r="B45915" s="36"/>
      <c r="C45915" s="36"/>
      <c r="E45915" s="1"/>
      <c r="F45915" s="1"/>
      <c r="G45915" s="1"/>
    </row>
    <row r="45916">
      <c r="B45916" s="36"/>
      <c r="C45916" s="36"/>
      <c r="E45916" s="1"/>
      <c r="F45916" s="1"/>
      <c r="G45916" s="1"/>
    </row>
    <row r="45917">
      <c r="B45917" s="36"/>
      <c r="C45917" s="36"/>
      <c r="E45917" s="1"/>
      <c r="F45917" s="1"/>
      <c r="G45917" s="1"/>
    </row>
    <row r="45918">
      <c r="B45918" s="36"/>
      <c r="C45918" s="36"/>
      <c r="E45918" s="1"/>
      <c r="F45918" s="1"/>
      <c r="G45918" s="1"/>
    </row>
    <row r="45919">
      <c r="B45919" s="36"/>
      <c r="C45919" s="36"/>
      <c r="E45919" s="1"/>
      <c r="F45919" s="1"/>
      <c r="G45919" s="1"/>
    </row>
    <row r="45920">
      <c r="B45920" s="36"/>
      <c r="C45920" s="36"/>
      <c r="E45920" s="1"/>
      <c r="F45920" s="1"/>
      <c r="G45920" s="1"/>
    </row>
    <row r="45921">
      <c r="B45921" s="36"/>
      <c r="C45921" s="36"/>
      <c r="E45921" s="1"/>
      <c r="F45921" s="1"/>
      <c r="G45921" s="1"/>
    </row>
    <row r="45922">
      <c r="B45922" s="36"/>
      <c r="C45922" s="36"/>
      <c r="E45922" s="1"/>
      <c r="F45922" s="1"/>
      <c r="G45922" s="1"/>
    </row>
    <row r="45923">
      <c r="B45923" s="36"/>
      <c r="C45923" s="36"/>
      <c r="E45923" s="1"/>
      <c r="F45923" s="1"/>
      <c r="G45923" s="1"/>
    </row>
    <row r="45924">
      <c r="B45924" s="36"/>
      <c r="C45924" s="36"/>
      <c r="E45924" s="1"/>
      <c r="F45924" s="1"/>
      <c r="G45924" s="1"/>
    </row>
    <row r="45925">
      <c r="B45925" s="36"/>
      <c r="C45925" s="36"/>
      <c r="E45925" s="1"/>
      <c r="F45925" s="1"/>
      <c r="G45925" s="1"/>
    </row>
    <row r="45926">
      <c r="B45926" s="36"/>
      <c r="C45926" s="36"/>
      <c r="E45926" s="1"/>
      <c r="F45926" s="1"/>
      <c r="G45926" s="1"/>
    </row>
    <row r="45927">
      <c r="B45927" s="36"/>
      <c r="C45927" s="36"/>
      <c r="E45927" s="1"/>
      <c r="F45927" s="1"/>
      <c r="G45927" s="1"/>
    </row>
    <row r="45928">
      <c r="B45928" s="36"/>
      <c r="C45928" s="36"/>
      <c r="E45928" s="1"/>
      <c r="F45928" s="1"/>
      <c r="G45928" s="1"/>
    </row>
    <row r="45929">
      <c r="B45929" s="36"/>
      <c r="C45929" s="36"/>
      <c r="E45929" s="1"/>
      <c r="F45929" s="1"/>
      <c r="G45929" s="1"/>
    </row>
    <row r="45930">
      <c r="B45930" s="36"/>
      <c r="C45930" s="36"/>
      <c r="E45930" s="1"/>
      <c r="F45930" s="1"/>
      <c r="G45930" s="1"/>
    </row>
    <row r="45931">
      <c r="B45931" s="36"/>
      <c r="C45931" s="36"/>
      <c r="E45931" s="1"/>
      <c r="F45931" s="1"/>
      <c r="G45931" s="1"/>
    </row>
    <row r="45932">
      <c r="B45932" s="36"/>
      <c r="C45932" s="36"/>
      <c r="E45932" s="1"/>
      <c r="F45932" s="1"/>
      <c r="G45932" s="1"/>
    </row>
    <row r="45933">
      <c r="B45933" s="36"/>
      <c r="C45933" s="36"/>
      <c r="E45933" s="1"/>
      <c r="F45933" s="1"/>
      <c r="G45933" s="1"/>
    </row>
    <row r="45934">
      <c r="B45934" s="36"/>
      <c r="C45934" s="36"/>
      <c r="E45934" s="1"/>
      <c r="F45934" s="1"/>
      <c r="G45934" s="1"/>
    </row>
    <row r="45935">
      <c r="B45935" s="36"/>
      <c r="C45935" s="36"/>
      <c r="E45935" s="1"/>
      <c r="F45935" s="1"/>
      <c r="G45935" s="1"/>
    </row>
    <row r="45936">
      <c r="B45936" s="36"/>
      <c r="C45936" s="36"/>
      <c r="E45936" s="1"/>
      <c r="F45936" s="1"/>
      <c r="G45936" s="1"/>
    </row>
    <row r="45937">
      <c r="B45937" s="36"/>
      <c r="C45937" s="36"/>
      <c r="E45937" s="1"/>
      <c r="F45937" s="1"/>
      <c r="G45937" s="1"/>
    </row>
    <row r="45938">
      <c r="B45938" s="36"/>
      <c r="C45938" s="36"/>
      <c r="E45938" s="1"/>
      <c r="F45938" s="1"/>
      <c r="G45938" s="1"/>
    </row>
    <row r="45939">
      <c r="B45939" s="36"/>
      <c r="C45939" s="36"/>
      <c r="E45939" s="1"/>
      <c r="F45939" s="1"/>
      <c r="G45939" s="1"/>
    </row>
    <row r="45940">
      <c r="B45940" s="36"/>
      <c r="C45940" s="36"/>
      <c r="E45940" s="1"/>
      <c r="F45940" s="1"/>
      <c r="G45940" s="1"/>
    </row>
    <row r="45941">
      <c r="B45941" s="36"/>
      <c r="C45941" s="36"/>
      <c r="E45941" s="1"/>
      <c r="F45941" s="1"/>
      <c r="G45941" s="1"/>
    </row>
    <row r="45942">
      <c r="B45942" s="36"/>
      <c r="C45942" s="36"/>
      <c r="E45942" s="1"/>
      <c r="F45942" s="1"/>
      <c r="G45942" s="1"/>
    </row>
    <row r="45943">
      <c r="B45943" s="36"/>
      <c r="C45943" s="36"/>
      <c r="E45943" s="1"/>
      <c r="F45943" s="1"/>
      <c r="G45943" s="1"/>
    </row>
    <row r="45944">
      <c r="B45944" s="36"/>
      <c r="C45944" s="36"/>
      <c r="E45944" s="1"/>
      <c r="F45944" s="1"/>
      <c r="G45944" s="1"/>
    </row>
    <row r="45945">
      <c r="B45945" s="36"/>
      <c r="C45945" s="36"/>
      <c r="E45945" s="1"/>
      <c r="F45945" s="1"/>
      <c r="G45945" s="1"/>
    </row>
    <row r="45946">
      <c r="B45946" s="36"/>
      <c r="C45946" s="36"/>
      <c r="E45946" s="1"/>
      <c r="F45946" s="1"/>
      <c r="G45946" s="1"/>
    </row>
    <row r="45947">
      <c r="B45947" s="36"/>
      <c r="C45947" s="36"/>
      <c r="E45947" s="1"/>
      <c r="F45947" s="1"/>
      <c r="G45947" s="1"/>
    </row>
    <row r="45948">
      <c r="B45948" s="36"/>
      <c r="C45948" s="36"/>
      <c r="E45948" s="1"/>
      <c r="F45948" s="1"/>
      <c r="G45948" s="1"/>
    </row>
    <row r="45949">
      <c r="B45949" s="36"/>
      <c r="C45949" s="36"/>
      <c r="E45949" s="1"/>
      <c r="F45949" s="1"/>
      <c r="G45949" s="1"/>
    </row>
    <row r="45950">
      <c r="B45950" s="36"/>
      <c r="C45950" s="36"/>
      <c r="E45950" s="1"/>
      <c r="F45950" s="1"/>
      <c r="G45950" s="1"/>
    </row>
    <row r="45951">
      <c r="B45951" s="36"/>
      <c r="C45951" s="36"/>
      <c r="E45951" s="1"/>
      <c r="F45951" s="1"/>
      <c r="G45951" s="1"/>
    </row>
    <row r="45952">
      <c r="B45952" s="36"/>
      <c r="C45952" s="36"/>
      <c r="E45952" s="1"/>
      <c r="F45952" s="1"/>
      <c r="G45952" s="1"/>
    </row>
    <row r="45953">
      <c r="B45953" s="36"/>
      <c r="C45953" s="36"/>
      <c r="E45953" s="1"/>
      <c r="F45953" s="1"/>
      <c r="G45953" s="1"/>
    </row>
    <row r="45954">
      <c r="B45954" s="36"/>
      <c r="C45954" s="36"/>
      <c r="E45954" s="1"/>
      <c r="F45954" s="1"/>
      <c r="G45954" s="1"/>
    </row>
    <row r="45955">
      <c r="B45955" s="36"/>
      <c r="C45955" s="36"/>
      <c r="E45955" s="1"/>
      <c r="F45955" s="1"/>
      <c r="G45955" s="1"/>
    </row>
    <row r="45956">
      <c r="B45956" s="36"/>
      <c r="C45956" s="36"/>
      <c r="E45956" s="1"/>
      <c r="F45956" s="1"/>
      <c r="G45956" s="1"/>
    </row>
    <row r="45957">
      <c r="B45957" s="36"/>
      <c r="C45957" s="36"/>
      <c r="E45957" s="1"/>
      <c r="F45957" s="1"/>
      <c r="G45957" s="1"/>
    </row>
    <row r="45958">
      <c r="B45958" s="36"/>
      <c r="C45958" s="36"/>
      <c r="E45958" s="1"/>
      <c r="F45958" s="1"/>
      <c r="G45958" s="1"/>
    </row>
    <row r="45959">
      <c r="B45959" s="36"/>
      <c r="C45959" s="36"/>
      <c r="E45959" s="1"/>
      <c r="F45959" s="1"/>
      <c r="G45959" s="1"/>
    </row>
    <row r="45960">
      <c r="B45960" s="36"/>
      <c r="C45960" s="36"/>
      <c r="E45960" s="1"/>
      <c r="F45960" s="1"/>
      <c r="G45960" s="1"/>
    </row>
    <row r="45961">
      <c r="B45961" s="36"/>
      <c r="C45961" s="36"/>
      <c r="E45961" s="1"/>
      <c r="F45961" s="1"/>
      <c r="G45961" s="1"/>
    </row>
    <row r="45962">
      <c r="B45962" s="36"/>
      <c r="C45962" s="36"/>
      <c r="E45962" s="1"/>
      <c r="F45962" s="1"/>
      <c r="G45962" s="1"/>
    </row>
    <row r="45963">
      <c r="B45963" s="36"/>
      <c r="C45963" s="36"/>
      <c r="E45963" s="1"/>
      <c r="F45963" s="1"/>
      <c r="G45963" s="1"/>
    </row>
    <row r="45964">
      <c r="B45964" s="36"/>
      <c r="C45964" s="36"/>
      <c r="E45964" s="1"/>
      <c r="F45964" s="1"/>
      <c r="G45964" s="1"/>
    </row>
    <row r="45965">
      <c r="B45965" s="36"/>
      <c r="C45965" s="36"/>
      <c r="E45965" s="1"/>
      <c r="F45965" s="1"/>
      <c r="G45965" s="1"/>
    </row>
    <row r="45966">
      <c r="B45966" s="36"/>
      <c r="C45966" s="36"/>
      <c r="E45966" s="1"/>
      <c r="F45966" s="1"/>
      <c r="G45966" s="1"/>
    </row>
    <row r="45967">
      <c r="B45967" s="36"/>
      <c r="C45967" s="36"/>
      <c r="E45967" s="1"/>
      <c r="F45967" s="1"/>
      <c r="G45967" s="1"/>
    </row>
    <row r="45968">
      <c r="B45968" s="36"/>
      <c r="C45968" s="36"/>
      <c r="E45968" s="1"/>
      <c r="F45968" s="1"/>
      <c r="G45968" s="1"/>
    </row>
    <row r="45969">
      <c r="B45969" s="36"/>
      <c r="C45969" s="36"/>
      <c r="E45969" s="1"/>
      <c r="F45969" s="1"/>
      <c r="G45969" s="1"/>
    </row>
    <row r="45970">
      <c r="B45970" s="36"/>
      <c r="C45970" s="36"/>
      <c r="E45970" s="1"/>
      <c r="F45970" s="1"/>
      <c r="G45970" s="1"/>
    </row>
    <row r="45971">
      <c r="B45971" s="36"/>
      <c r="C45971" s="36"/>
      <c r="E45971" s="1"/>
      <c r="F45971" s="1"/>
      <c r="G45971" s="1"/>
    </row>
    <row r="45972">
      <c r="B45972" s="36"/>
      <c r="C45972" s="36"/>
      <c r="E45972" s="1"/>
      <c r="F45972" s="1"/>
      <c r="G45972" s="1"/>
    </row>
    <row r="45973">
      <c r="B45973" s="36"/>
      <c r="C45973" s="36"/>
      <c r="E45973" s="1"/>
      <c r="F45973" s="1"/>
      <c r="G45973" s="1"/>
    </row>
    <row r="45974">
      <c r="B45974" s="36"/>
      <c r="C45974" s="36"/>
      <c r="E45974" s="1"/>
      <c r="F45974" s="1"/>
      <c r="G45974" s="1"/>
    </row>
    <row r="45975">
      <c r="B45975" s="36"/>
      <c r="C45975" s="36"/>
      <c r="E45975" s="1"/>
      <c r="F45975" s="1"/>
      <c r="G45975" s="1"/>
    </row>
    <row r="45976">
      <c r="B45976" s="36"/>
      <c r="C45976" s="36"/>
      <c r="E45976" s="1"/>
      <c r="F45976" s="1"/>
      <c r="G45976" s="1"/>
    </row>
    <row r="45977">
      <c r="B45977" s="36"/>
      <c r="C45977" s="36"/>
      <c r="E45977" s="1"/>
      <c r="F45977" s="1"/>
      <c r="G45977" s="1"/>
    </row>
    <row r="45978">
      <c r="B45978" s="36"/>
      <c r="C45978" s="36"/>
      <c r="E45978" s="1"/>
      <c r="F45978" s="1"/>
      <c r="G45978" s="1"/>
    </row>
    <row r="45979">
      <c r="B45979" s="36"/>
      <c r="C45979" s="36"/>
      <c r="E45979" s="1"/>
      <c r="F45979" s="1"/>
      <c r="G45979" s="1"/>
    </row>
    <row r="45980">
      <c r="B45980" s="36"/>
      <c r="C45980" s="36"/>
      <c r="E45980" s="1"/>
      <c r="F45980" s="1"/>
      <c r="G45980" s="1"/>
    </row>
    <row r="45981">
      <c r="B45981" s="36"/>
      <c r="C45981" s="36"/>
      <c r="E45981" s="1"/>
      <c r="F45981" s="1"/>
      <c r="G45981" s="1"/>
    </row>
    <row r="45982">
      <c r="B45982" s="36"/>
      <c r="C45982" s="36"/>
      <c r="E45982" s="1"/>
      <c r="F45982" s="1"/>
      <c r="G45982" s="1"/>
    </row>
    <row r="45983">
      <c r="B45983" s="36"/>
      <c r="C45983" s="36"/>
      <c r="E45983" s="1"/>
      <c r="F45983" s="1"/>
      <c r="G45983" s="1"/>
    </row>
    <row r="45984">
      <c r="B45984" s="36"/>
      <c r="C45984" s="36"/>
      <c r="E45984" s="1"/>
      <c r="F45984" s="1"/>
      <c r="G45984" s="1"/>
    </row>
    <row r="45985">
      <c r="B45985" s="36"/>
      <c r="C45985" s="36"/>
      <c r="E45985" s="1"/>
      <c r="F45985" s="1"/>
      <c r="G45985" s="1"/>
    </row>
    <row r="45986">
      <c r="B45986" s="36"/>
      <c r="C45986" s="36"/>
      <c r="E45986" s="1"/>
      <c r="F45986" s="1"/>
      <c r="G45986" s="1"/>
    </row>
    <row r="45987">
      <c r="B45987" s="36"/>
      <c r="C45987" s="36"/>
      <c r="E45987" s="1"/>
      <c r="F45987" s="1"/>
      <c r="G45987" s="1"/>
    </row>
    <row r="45988">
      <c r="B45988" s="36"/>
      <c r="C45988" s="36"/>
      <c r="E45988" s="1"/>
      <c r="F45988" s="1"/>
      <c r="G45988" s="1"/>
    </row>
    <row r="45989">
      <c r="B45989" s="36"/>
      <c r="C45989" s="36"/>
      <c r="E45989" s="1"/>
      <c r="F45989" s="1"/>
      <c r="G45989" s="1"/>
    </row>
    <row r="45990">
      <c r="B45990" s="36"/>
      <c r="C45990" s="36"/>
      <c r="E45990" s="1"/>
      <c r="F45990" s="1"/>
      <c r="G45990" s="1"/>
    </row>
    <row r="45991">
      <c r="B45991" s="36"/>
      <c r="C45991" s="36"/>
      <c r="E45991" s="1"/>
      <c r="F45991" s="1"/>
      <c r="G45991" s="1"/>
    </row>
    <row r="45992">
      <c r="B45992" s="36"/>
      <c r="C45992" s="36"/>
      <c r="E45992" s="1"/>
      <c r="F45992" s="1"/>
      <c r="G45992" s="1"/>
    </row>
    <row r="45993">
      <c r="B45993" s="36"/>
      <c r="C45993" s="36"/>
      <c r="E45993" s="1"/>
      <c r="F45993" s="1"/>
      <c r="G45993" s="1"/>
    </row>
    <row r="45994">
      <c r="B45994" s="36"/>
      <c r="C45994" s="36"/>
      <c r="E45994" s="1"/>
      <c r="F45994" s="1"/>
      <c r="G45994" s="1"/>
    </row>
    <row r="45995">
      <c r="B45995" s="36"/>
      <c r="C45995" s="36"/>
      <c r="E45995" s="1"/>
      <c r="F45995" s="1"/>
      <c r="G45995" s="1"/>
    </row>
    <row r="45996">
      <c r="B45996" s="36"/>
      <c r="C45996" s="36"/>
      <c r="E45996" s="1"/>
      <c r="F45996" s="1"/>
      <c r="G45996" s="1"/>
    </row>
    <row r="45997">
      <c r="B45997" s="36"/>
      <c r="C45997" s="36"/>
      <c r="E45997" s="1"/>
      <c r="F45997" s="1"/>
      <c r="G45997" s="1"/>
    </row>
    <row r="45998">
      <c r="B45998" s="36"/>
      <c r="C45998" s="36"/>
      <c r="E45998" s="1"/>
      <c r="F45998" s="1"/>
      <c r="G45998" s="1"/>
    </row>
    <row r="45999">
      <c r="B45999" s="36"/>
      <c r="C45999" s="36"/>
      <c r="E45999" s="1"/>
      <c r="F45999" s="1"/>
      <c r="G45999" s="1"/>
    </row>
    <row r="46000">
      <c r="B46000" s="36"/>
      <c r="C46000" s="36"/>
      <c r="E46000" s="1"/>
      <c r="F46000" s="1"/>
      <c r="G46000" s="1"/>
    </row>
    <row r="46001">
      <c r="B46001" s="36"/>
      <c r="C46001" s="36"/>
      <c r="E46001" s="1"/>
      <c r="F46001" s="1"/>
      <c r="G46001" s="1"/>
    </row>
    <row r="46002">
      <c r="B46002" s="36"/>
      <c r="C46002" s="36"/>
      <c r="E46002" s="1"/>
      <c r="F46002" s="1"/>
      <c r="G46002" s="1"/>
    </row>
    <row r="46003">
      <c r="B46003" s="36"/>
      <c r="C46003" s="36"/>
      <c r="E46003" s="1"/>
      <c r="F46003" s="1"/>
      <c r="G46003" s="1"/>
    </row>
    <row r="46004">
      <c r="B46004" s="36"/>
      <c r="C46004" s="36"/>
      <c r="E46004" s="1"/>
      <c r="F46004" s="1"/>
      <c r="G46004" s="1"/>
    </row>
    <row r="46005">
      <c r="B46005" s="36"/>
      <c r="C46005" s="36"/>
      <c r="E46005" s="1"/>
      <c r="F46005" s="1"/>
      <c r="G46005" s="1"/>
    </row>
    <row r="46006">
      <c r="B46006" s="36"/>
      <c r="C46006" s="36"/>
      <c r="E46006" s="1"/>
      <c r="F46006" s="1"/>
      <c r="G46006" s="1"/>
    </row>
    <row r="46007">
      <c r="B46007" s="36"/>
      <c r="C46007" s="36"/>
      <c r="E46007" s="1"/>
      <c r="F46007" s="1"/>
      <c r="G46007" s="1"/>
    </row>
    <row r="46008">
      <c r="B46008" s="36"/>
      <c r="C46008" s="36"/>
      <c r="E46008" s="1"/>
      <c r="F46008" s="1"/>
      <c r="G46008" s="1"/>
    </row>
    <row r="46009">
      <c r="B46009" s="36"/>
      <c r="C46009" s="36"/>
      <c r="E46009" s="1"/>
      <c r="F46009" s="1"/>
      <c r="G46009" s="1"/>
    </row>
    <row r="46010">
      <c r="B46010" s="36"/>
      <c r="C46010" s="36"/>
      <c r="E46010" s="1"/>
      <c r="F46010" s="1"/>
      <c r="G46010" s="1"/>
    </row>
    <row r="46011">
      <c r="B46011" s="36"/>
      <c r="C46011" s="36"/>
      <c r="E46011" s="1"/>
      <c r="F46011" s="1"/>
      <c r="G46011" s="1"/>
    </row>
    <row r="46012">
      <c r="B46012" s="36"/>
      <c r="C46012" s="36"/>
      <c r="E46012" s="1"/>
      <c r="F46012" s="1"/>
      <c r="G46012" s="1"/>
    </row>
    <row r="46013">
      <c r="B46013" s="36"/>
      <c r="C46013" s="36"/>
      <c r="E46013" s="1"/>
      <c r="F46013" s="1"/>
      <c r="G46013" s="1"/>
    </row>
    <row r="46014">
      <c r="B46014" s="36"/>
      <c r="C46014" s="36"/>
      <c r="E46014" s="1"/>
      <c r="F46014" s="1"/>
      <c r="G46014" s="1"/>
    </row>
    <row r="46015">
      <c r="B46015" s="36"/>
      <c r="C46015" s="36"/>
      <c r="E46015" s="1"/>
      <c r="F46015" s="1"/>
      <c r="G46015" s="1"/>
    </row>
    <row r="46016">
      <c r="B46016" s="36"/>
      <c r="C46016" s="36"/>
      <c r="E46016" s="1"/>
      <c r="F46016" s="1"/>
      <c r="G46016" s="1"/>
    </row>
    <row r="46017">
      <c r="B46017" s="36"/>
      <c r="C46017" s="36"/>
      <c r="E46017" s="1"/>
      <c r="F46017" s="1"/>
      <c r="G46017" s="1"/>
    </row>
    <row r="46018">
      <c r="B46018" s="36"/>
      <c r="C46018" s="36"/>
      <c r="E46018" s="1"/>
      <c r="F46018" s="1"/>
      <c r="G46018" s="1"/>
    </row>
    <row r="46019">
      <c r="B46019" s="36"/>
      <c r="C46019" s="36"/>
      <c r="E46019" s="1"/>
      <c r="F46019" s="1"/>
      <c r="G46019" s="1"/>
    </row>
    <row r="46020">
      <c r="B46020" s="36"/>
      <c r="C46020" s="36"/>
      <c r="E46020" s="1"/>
      <c r="F46020" s="1"/>
      <c r="G46020" s="1"/>
    </row>
    <row r="46021">
      <c r="B46021" s="36"/>
      <c r="C46021" s="36"/>
      <c r="E46021" s="1"/>
      <c r="F46021" s="1"/>
      <c r="G46021" s="1"/>
    </row>
    <row r="46022">
      <c r="B46022" s="36"/>
      <c r="C46022" s="36"/>
      <c r="E46022" s="1"/>
      <c r="F46022" s="1"/>
      <c r="G46022" s="1"/>
    </row>
    <row r="46023">
      <c r="B46023" s="36"/>
      <c r="C46023" s="36"/>
      <c r="E46023" s="1"/>
      <c r="F46023" s="1"/>
      <c r="G46023" s="1"/>
    </row>
    <row r="46024">
      <c r="B46024" s="36"/>
      <c r="C46024" s="36"/>
      <c r="E46024" s="1"/>
      <c r="F46024" s="1"/>
      <c r="G46024" s="1"/>
    </row>
    <row r="46025">
      <c r="B46025" s="36"/>
      <c r="C46025" s="36"/>
      <c r="E46025" s="1"/>
      <c r="F46025" s="1"/>
      <c r="G46025" s="1"/>
    </row>
    <row r="46026">
      <c r="B46026" s="36"/>
      <c r="C46026" s="36"/>
      <c r="E46026" s="1"/>
      <c r="F46026" s="1"/>
      <c r="G46026" s="1"/>
    </row>
    <row r="46027">
      <c r="B46027" s="36"/>
      <c r="C46027" s="36"/>
      <c r="E46027" s="1"/>
      <c r="F46027" s="1"/>
      <c r="G46027" s="1"/>
    </row>
    <row r="46028">
      <c r="B46028" s="36"/>
      <c r="C46028" s="36"/>
      <c r="E46028" s="1"/>
      <c r="F46028" s="1"/>
      <c r="G46028" s="1"/>
    </row>
    <row r="46029">
      <c r="B46029" s="36"/>
      <c r="C46029" s="36"/>
      <c r="E46029" s="1"/>
      <c r="F46029" s="1"/>
      <c r="G46029" s="1"/>
    </row>
    <row r="46030">
      <c r="B46030" s="36"/>
      <c r="C46030" s="36"/>
      <c r="E46030" s="1"/>
      <c r="F46030" s="1"/>
      <c r="G46030" s="1"/>
    </row>
    <row r="46031">
      <c r="B46031" s="36"/>
      <c r="C46031" s="36"/>
      <c r="E46031" s="1"/>
      <c r="F46031" s="1"/>
      <c r="G46031" s="1"/>
    </row>
    <row r="46032">
      <c r="B46032" s="36"/>
      <c r="C46032" s="36"/>
      <c r="E46032" s="1"/>
      <c r="F46032" s="1"/>
      <c r="G46032" s="1"/>
    </row>
    <row r="46033">
      <c r="B46033" s="36"/>
      <c r="C46033" s="36"/>
      <c r="E46033" s="1"/>
      <c r="F46033" s="1"/>
      <c r="G46033" s="1"/>
    </row>
    <row r="46034">
      <c r="B46034" s="36"/>
      <c r="C46034" s="36"/>
      <c r="E46034" s="1"/>
      <c r="F46034" s="1"/>
      <c r="G46034" s="1"/>
    </row>
    <row r="46035">
      <c r="B46035" s="36"/>
      <c r="C46035" s="36"/>
      <c r="E46035" s="1"/>
      <c r="F46035" s="1"/>
      <c r="G46035" s="1"/>
    </row>
    <row r="46036">
      <c r="B46036" s="36"/>
      <c r="C46036" s="36"/>
      <c r="E46036" s="1"/>
      <c r="F46036" s="1"/>
      <c r="G46036" s="1"/>
    </row>
    <row r="46037">
      <c r="B46037" s="36"/>
      <c r="C46037" s="36"/>
      <c r="E46037" s="1"/>
      <c r="F46037" s="1"/>
      <c r="G46037" s="1"/>
    </row>
    <row r="46038">
      <c r="B46038" s="36"/>
      <c r="C46038" s="36"/>
      <c r="E46038" s="1"/>
      <c r="F46038" s="1"/>
      <c r="G46038" s="1"/>
    </row>
    <row r="46039">
      <c r="B46039" s="36"/>
      <c r="C46039" s="36"/>
      <c r="E46039" s="1"/>
      <c r="F46039" s="1"/>
      <c r="G46039" s="1"/>
    </row>
    <row r="46040">
      <c r="B46040" s="36"/>
      <c r="C46040" s="36"/>
      <c r="E46040" s="1"/>
      <c r="F46040" s="1"/>
      <c r="G46040" s="1"/>
    </row>
    <row r="46041">
      <c r="B46041" s="36"/>
      <c r="C46041" s="36"/>
      <c r="E46041" s="1"/>
      <c r="F46041" s="1"/>
      <c r="G46041" s="1"/>
    </row>
    <row r="46042">
      <c r="B46042" s="36"/>
      <c r="C46042" s="36"/>
      <c r="E46042" s="1"/>
      <c r="F46042" s="1"/>
      <c r="G46042" s="1"/>
    </row>
    <row r="46043">
      <c r="B46043" s="36"/>
      <c r="C46043" s="36"/>
      <c r="E46043" s="1"/>
      <c r="F46043" s="1"/>
      <c r="G46043" s="1"/>
    </row>
    <row r="46044">
      <c r="B46044" s="36"/>
      <c r="C46044" s="36"/>
      <c r="E46044" s="1"/>
      <c r="F46044" s="1"/>
      <c r="G46044" s="1"/>
    </row>
    <row r="46045">
      <c r="B46045" s="36"/>
      <c r="C46045" s="36"/>
      <c r="E46045" s="1"/>
      <c r="F46045" s="1"/>
      <c r="G46045" s="1"/>
    </row>
    <row r="46046">
      <c r="B46046" s="36"/>
      <c r="C46046" s="36"/>
      <c r="E46046" s="1"/>
      <c r="F46046" s="1"/>
      <c r="G46046" s="1"/>
    </row>
    <row r="46047">
      <c r="B46047" s="36"/>
      <c r="C46047" s="36"/>
      <c r="E46047" s="1"/>
      <c r="F46047" s="1"/>
      <c r="G46047" s="1"/>
    </row>
    <row r="46048">
      <c r="B46048" s="36"/>
      <c r="C46048" s="36"/>
      <c r="E46048" s="1"/>
      <c r="F46048" s="1"/>
      <c r="G46048" s="1"/>
    </row>
    <row r="46049">
      <c r="B46049" s="36"/>
      <c r="C46049" s="36"/>
      <c r="E46049" s="1"/>
      <c r="F46049" s="1"/>
      <c r="G46049" s="1"/>
    </row>
    <row r="46050">
      <c r="B46050" s="36"/>
      <c r="C46050" s="36"/>
      <c r="E46050" s="1"/>
      <c r="F46050" s="1"/>
      <c r="G46050" s="1"/>
    </row>
    <row r="46051">
      <c r="B46051" s="36"/>
      <c r="C46051" s="36"/>
      <c r="E46051" s="1"/>
      <c r="F46051" s="1"/>
      <c r="G46051" s="1"/>
    </row>
    <row r="46052">
      <c r="B46052" s="36"/>
      <c r="C46052" s="36"/>
      <c r="E46052" s="1"/>
      <c r="F46052" s="1"/>
      <c r="G46052" s="1"/>
    </row>
    <row r="46053">
      <c r="B46053" s="36"/>
      <c r="C46053" s="36"/>
      <c r="E46053" s="1"/>
      <c r="F46053" s="1"/>
      <c r="G46053" s="1"/>
    </row>
    <row r="46054">
      <c r="B46054" s="36"/>
      <c r="C46054" s="36"/>
      <c r="E46054" s="1"/>
      <c r="F46054" s="1"/>
      <c r="G46054" s="1"/>
    </row>
    <row r="46055">
      <c r="B46055" s="36"/>
      <c r="C46055" s="36"/>
      <c r="E46055" s="1"/>
      <c r="F46055" s="1"/>
      <c r="G46055" s="1"/>
    </row>
    <row r="46056">
      <c r="B46056" s="36"/>
      <c r="C46056" s="36"/>
      <c r="E46056" s="1"/>
      <c r="F46056" s="1"/>
      <c r="G46056" s="1"/>
    </row>
    <row r="46057">
      <c r="B46057" s="36"/>
      <c r="C46057" s="36"/>
      <c r="E46057" s="1"/>
      <c r="F46057" s="1"/>
      <c r="G46057" s="1"/>
    </row>
    <row r="46058">
      <c r="B46058" s="36"/>
      <c r="C46058" s="36"/>
      <c r="E46058" s="1"/>
      <c r="F46058" s="1"/>
      <c r="G46058" s="1"/>
    </row>
    <row r="46059">
      <c r="B46059" s="36"/>
      <c r="C46059" s="36"/>
      <c r="E46059" s="1"/>
      <c r="F46059" s="1"/>
      <c r="G46059" s="1"/>
    </row>
    <row r="46060">
      <c r="B46060" s="36"/>
      <c r="C46060" s="36"/>
      <c r="E46060" s="1"/>
      <c r="F46060" s="1"/>
      <c r="G46060" s="1"/>
    </row>
    <row r="46061">
      <c r="B46061" s="36"/>
      <c r="C46061" s="36"/>
      <c r="E46061" s="1"/>
      <c r="F46061" s="1"/>
      <c r="G46061" s="1"/>
    </row>
    <row r="46062">
      <c r="B46062" s="36"/>
      <c r="C46062" s="36"/>
      <c r="E46062" s="1"/>
      <c r="F46062" s="1"/>
      <c r="G46062" s="1"/>
    </row>
    <row r="46063">
      <c r="B46063" s="36"/>
      <c r="C46063" s="36"/>
      <c r="E46063" s="1"/>
      <c r="F46063" s="1"/>
      <c r="G46063" s="1"/>
    </row>
    <row r="46064">
      <c r="B46064" s="36"/>
      <c r="C46064" s="36"/>
      <c r="E46064" s="1"/>
      <c r="F46064" s="1"/>
      <c r="G46064" s="1"/>
    </row>
    <row r="46065">
      <c r="B46065" s="36"/>
      <c r="C46065" s="36"/>
      <c r="E46065" s="1"/>
      <c r="F46065" s="1"/>
      <c r="G46065" s="1"/>
    </row>
    <row r="46066">
      <c r="B46066" s="36"/>
      <c r="C46066" s="36"/>
      <c r="E46066" s="1"/>
      <c r="F46066" s="1"/>
      <c r="G46066" s="1"/>
    </row>
    <row r="46067">
      <c r="B46067" s="36"/>
      <c r="C46067" s="36"/>
      <c r="E46067" s="1"/>
      <c r="F46067" s="1"/>
      <c r="G46067" s="1"/>
    </row>
    <row r="46068">
      <c r="B46068" s="36"/>
      <c r="C46068" s="36"/>
      <c r="E46068" s="1"/>
      <c r="F46068" s="1"/>
      <c r="G46068" s="1"/>
    </row>
    <row r="46069">
      <c r="B46069" s="36"/>
      <c r="C46069" s="36"/>
      <c r="E46069" s="1"/>
      <c r="F46069" s="1"/>
      <c r="G46069" s="1"/>
    </row>
    <row r="46070">
      <c r="B46070" s="36"/>
      <c r="C46070" s="36"/>
      <c r="E46070" s="1"/>
      <c r="F46070" s="1"/>
      <c r="G46070" s="1"/>
    </row>
    <row r="46071">
      <c r="B46071" s="36"/>
      <c r="C46071" s="36"/>
      <c r="E46071" s="1"/>
      <c r="F46071" s="1"/>
      <c r="G46071" s="1"/>
    </row>
    <row r="46072">
      <c r="B46072" s="36"/>
      <c r="C46072" s="36"/>
      <c r="E46072" s="1"/>
      <c r="F46072" s="1"/>
      <c r="G46072" s="1"/>
    </row>
    <row r="46073">
      <c r="B46073" s="36"/>
      <c r="C46073" s="36"/>
      <c r="E46073" s="1"/>
      <c r="F46073" s="1"/>
      <c r="G46073" s="1"/>
    </row>
    <row r="46074">
      <c r="B46074" s="36"/>
      <c r="C46074" s="36"/>
      <c r="E46074" s="1"/>
      <c r="F46074" s="1"/>
      <c r="G46074" s="1"/>
    </row>
    <row r="46075">
      <c r="B46075" s="36"/>
      <c r="C46075" s="36"/>
      <c r="E46075" s="1"/>
      <c r="F46075" s="1"/>
      <c r="G46075" s="1"/>
    </row>
    <row r="46076">
      <c r="B46076" s="36"/>
      <c r="C46076" s="36"/>
      <c r="E46076" s="1"/>
      <c r="F46076" s="1"/>
      <c r="G46076" s="1"/>
    </row>
    <row r="46077">
      <c r="B46077" s="36"/>
      <c r="C46077" s="36"/>
      <c r="E46077" s="1"/>
      <c r="F46077" s="1"/>
      <c r="G46077" s="1"/>
    </row>
    <row r="46078">
      <c r="B46078" s="36"/>
      <c r="C46078" s="36"/>
      <c r="E46078" s="1"/>
      <c r="F46078" s="1"/>
      <c r="G46078" s="1"/>
    </row>
    <row r="46079">
      <c r="B46079" s="36"/>
      <c r="C46079" s="36"/>
      <c r="E46079" s="1"/>
      <c r="F46079" s="1"/>
      <c r="G46079" s="1"/>
    </row>
    <row r="46080">
      <c r="B46080" s="36"/>
      <c r="C46080" s="36"/>
      <c r="E46080" s="1"/>
      <c r="F46080" s="1"/>
      <c r="G46080" s="1"/>
    </row>
    <row r="46081">
      <c r="B46081" s="36"/>
      <c r="C46081" s="36"/>
      <c r="E46081" s="1"/>
      <c r="F46081" s="1"/>
      <c r="G46081" s="1"/>
    </row>
    <row r="46082">
      <c r="B46082" s="36"/>
      <c r="C46082" s="36"/>
      <c r="E46082" s="1"/>
      <c r="F46082" s="1"/>
      <c r="G46082" s="1"/>
    </row>
    <row r="46083">
      <c r="B46083" s="36"/>
      <c r="C46083" s="36"/>
      <c r="E46083" s="1"/>
      <c r="F46083" s="1"/>
      <c r="G46083" s="1"/>
    </row>
    <row r="46084">
      <c r="B46084" s="36"/>
      <c r="C46084" s="36"/>
      <c r="E46084" s="1"/>
      <c r="F46084" s="1"/>
      <c r="G46084" s="1"/>
    </row>
    <row r="46085">
      <c r="B46085" s="36"/>
      <c r="C46085" s="36"/>
      <c r="E46085" s="1"/>
      <c r="F46085" s="1"/>
      <c r="G46085" s="1"/>
    </row>
    <row r="46086">
      <c r="B46086" s="36"/>
      <c r="C46086" s="36"/>
      <c r="E46086" s="1"/>
      <c r="F46086" s="1"/>
      <c r="G46086" s="1"/>
    </row>
    <row r="46087">
      <c r="B46087" s="36"/>
      <c r="C46087" s="36"/>
      <c r="E46087" s="1"/>
      <c r="F46087" s="1"/>
      <c r="G46087" s="1"/>
    </row>
    <row r="46088">
      <c r="B46088" s="36"/>
      <c r="C46088" s="36"/>
      <c r="E46088" s="1"/>
      <c r="F46088" s="1"/>
      <c r="G46088" s="1"/>
    </row>
    <row r="46089">
      <c r="B46089" s="36"/>
      <c r="C46089" s="36"/>
      <c r="E46089" s="1"/>
      <c r="F46089" s="1"/>
      <c r="G46089" s="1"/>
    </row>
    <row r="46090">
      <c r="B46090" s="36"/>
      <c r="C46090" s="36"/>
      <c r="E46090" s="1"/>
      <c r="F46090" s="1"/>
      <c r="G46090" s="1"/>
    </row>
    <row r="46091">
      <c r="B46091" s="36"/>
      <c r="C46091" s="36"/>
      <c r="E46091" s="1"/>
      <c r="F46091" s="1"/>
      <c r="G46091" s="1"/>
    </row>
    <row r="46092">
      <c r="B46092" s="36"/>
      <c r="C46092" s="36"/>
      <c r="E46092" s="1"/>
      <c r="F46092" s="1"/>
      <c r="G46092" s="1"/>
    </row>
    <row r="46093">
      <c r="B46093" s="36"/>
      <c r="C46093" s="36"/>
      <c r="E46093" s="1"/>
      <c r="F46093" s="1"/>
      <c r="G46093" s="1"/>
    </row>
    <row r="46094">
      <c r="B46094" s="36"/>
      <c r="C46094" s="36"/>
      <c r="E46094" s="1"/>
      <c r="F46094" s="1"/>
      <c r="G46094" s="1"/>
    </row>
    <row r="46095">
      <c r="B46095" s="36"/>
      <c r="C46095" s="36"/>
      <c r="E46095" s="1"/>
      <c r="F46095" s="1"/>
      <c r="G46095" s="1"/>
    </row>
    <row r="46096">
      <c r="B46096" s="36"/>
      <c r="C46096" s="36"/>
      <c r="E46096" s="1"/>
      <c r="F46096" s="1"/>
      <c r="G46096" s="1"/>
    </row>
    <row r="46097">
      <c r="B46097" s="36"/>
      <c r="C46097" s="36"/>
      <c r="E46097" s="1"/>
      <c r="F46097" s="1"/>
      <c r="G46097" s="1"/>
    </row>
    <row r="46098">
      <c r="B46098" s="36"/>
      <c r="C46098" s="36"/>
      <c r="E46098" s="1"/>
      <c r="F46098" s="1"/>
      <c r="G46098" s="1"/>
    </row>
    <row r="46099">
      <c r="B46099" s="36"/>
      <c r="C46099" s="36"/>
      <c r="E46099" s="1"/>
      <c r="F46099" s="1"/>
      <c r="G46099" s="1"/>
    </row>
    <row r="46100">
      <c r="B46100" s="36"/>
      <c r="C46100" s="36"/>
      <c r="E46100" s="1"/>
      <c r="F46100" s="1"/>
      <c r="G46100" s="1"/>
    </row>
    <row r="46101">
      <c r="B46101" s="36"/>
      <c r="C46101" s="36"/>
      <c r="E46101" s="1"/>
      <c r="F46101" s="1"/>
      <c r="G46101" s="1"/>
    </row>
    <row r="46102">
      <c r="B46102" s="36"/>
      <c r="C46102" s="36"/>
      <c r="E46102" s="1"/>
      <c r="F46102" s="1"/>
      <c r="G46102" s="1"/>
    </row>
    <row r="46103">
      <c r="B46103" s="36"/>
      <c r="C46103" s="36"/>
      <c r="E46103" s="1"/>
      <c r="F46103" s="1"/>
      <c r="G46103" s="1"/>
    </row>
    <row r="46104">
      <c r="B46104" s="36"/>
      <c r="C46104" s="36"/>
      <c r="E46104" s="1"/>
      <c r="F46104" s="1"/>
      <c r="G46104" s="1"/>
    </row>
    <row r="46105">
      <c r="B46105" s="36"/>
      <c r="C46105" s="36"/>
      <c r="E46105" s="1"/>
      <c r="F46105" s="1"/>
      <c r="G46105" s="1"/>
    </row>
    <row r="46106">
      <c r="B46106" s="36"/>
      <c r="C46106" s="36"/>
      <c r="E46106" s="1"/>
      <c r="F46106" s="1"/>
      <c r="G46106" s="1"/>
    </row>
    <row r="46107">
      <c r="B46107" s="36"/>
      <c r="C46107" s="36"/>
      <c r="E46107" s="1"/>
      <c r="F46107" s="1"/>
      <c r="G46107" s="1"/>
    </row>
    <row r="46108">
      <c r="B46108" s="36"/>
      <c r="C46108" s="36"/>
      <c r="E46108" s="1"/>
      <c r="F46108" s="1"/>
      <c r="G46108" s="1"/>
    </row>
    <row r="46109">
      <c r="B46109" s="36"/>
      <c r="C46109" s="36"/>
      <c r="E46109" s="1"/>
      <c r="F46109" s="1"/>
      <c r="G46109" s="1"/>
    </row>
    <row r="46110">
      <c r="B46110" s="36"/>
      <c r="C46110" s="36"/>
      <c r="E46110" s="1"/>
      <c r="F46110" s="1"/>
      <c r="G46110" s="1"/>
    </row>
    <row r="46111">
      <c r="B46111" s="36"/>
      <c r="C46111" s="36"/>
      <c r="E46111" s="1"/>
      <c r="F46111" s="1"/>
      <c r="G46111" s="1"/>
    </row>
    <row r="46112">
      <c r="B46112" s="36"/>
      <c r="C46112" s="36"/>
      <c r="E46112" s="1"/>
      <c r="F46112" s="1"/>
      <c r="G46112" s="1"/>
    </row>
    <row r="46113">
      <c r="B46113" s="36"/>
      <c r="C46113" s="36"/>
      <c r="E46113" s="1"/>
      <c r="F46113" s="1"/>
      <c r="G46113" s="1"/>
    </row>
    <row r="46114">
      <c r="B46114" s="36"/>
      <c r="C46114" s="36"/>
      <c r="E46114" s="1"/>
      <c r="F46114" s="1"/>
      <c r="G46114" s="1"/>
    </row>
    <row r="46115">
      <c r="B46115" s="36"/>
      <c r="C46115" s="36"/>
      <c r="E46115" s="1"/>
      <c r="F46115" s="1"/>
      <c r="G46115" s="1"/>
    </row>
    <row r="46116">
      <c r="B46116" s="36"/>
      <c r="C46116" s="36"/>
      <c r="E46116" s="1"/>
      <c r="F46116" s="1"/>
      <c r="G46116" s="1"/>
    </row>
    <row r="46117">
      <c r="B46117" s="36"/>
      <c r="C46117" s="36"/>
      <c r="E46117" s="1"/>
      <c r="F46117" s="1"/>
      <c r="G46117" s="1"/>
    </row>
    <row r="46118">
      <c r="B46118" s="36"/>
      <c r="C46118" s="36"/>
      <c r="E46118" s="1"/>
      <c r="F46118" s="1"/>
      <c r="G46118" s="1"/>
    </row>
    <row r="46119">
      <c r="B46119" s="36"/>
      <c r="C46119" s="36"/>
      <c r="E46119" s="1"/>
      <c r="F46119" s="1"/>
      <c r="G46119" s="1"/>
    </row>
    <row r="46120">
      <c r="B46120" s="36"/>
      <c r="C46120" s="36"/>
      <c r="E46120" s="1"/>
      <c r="F46120" s="1"/>
      <c r="G46120" s="1"/>
    </row>
    <row r="46121">
      <c r="B46121" s="36"/>
      <c r="C46121" s="36"/>
      <c r="E46121" s="1"/>
      <c r="F46121" s="1"/>
      <c r="G46121" s="1"/>
    </row>
    <row r="46122">
      <c r="B46122" s="36"/>
      <c r="C46122" s="36"/>
      <c r="E46122" s="1"/>
      <c r="F46122" s="1"/>
      <c r="G46122" s="1"/>
    </row>
    <row r="46123">
      <c r="B46123" s="36"/>
      <c r="C46123" s="36"/>
      <c r="E46123" s="1"/>
      <c r="F46123" s="1"/>
      <c r="G46123" s="1"/>
    </row>
    <row r="46124">
      <c r="B46124" s="36"/>
      <c r="C46124" s="36"/>
      <c r="E46124" s="1"/>
      <c r="F46124" s="1"/>
      <c r="G46124" s="1"/>
    </row>
    <row r="46125">
      <c r="B46125" s="36"/>
      <c r="C46125" s="36"/>
      <c r="E46125" s="1"/>
      <c r="F46125" s="1"/>
      <c r="G46125" s="1"/>
    </row>
    <row r="46126">
      <c r="B46126" s="36"/>
      <c r="C46126" s="36"/>
      <c r="E46126" s="1"/>
      <c r="F46126" s="1"/>
      <c r="G46126" s="1"/>
    </row>
    <row r="46127">
      <c r="B46127" s="36"/>
      <c r="C46127" s="36"/>
      <c r="E46127" s="1"/>
      <c r="F46127" s="1"/>
      <c r="G46127" s="1"/>
    </row>
    <row r="46128">
      <c r="B46128" s="36"/>
      <c r="C46128" s="36"/>
      <c r="E46128" s="1"/>
      <c r="F46128" s="1"/>
      <c r="G46128" s="1"/>
    </row>
    <row r="46129">
      <c r="B46129" s="36"/>
      <c r="C46129" s="36"/>
      <c r="E46129" s="1"/>
      <c r="F46129" s="1"/>
      <c r="G46129" s="1"/>
    </row>
    <row r="46130">
      <c r="B46130" s="36"/>
      <c r="C46130" s="36"/>
      <c r="E46130" s="1"/>
      <c r="F46130" s="1"/>
      <c r="G46130" s="1"/>
    </row>
    <row r="46131">
      <c r="B46131" s="36"/>
      <c r="C46131" s="36"/>
      <c r="E46131" s="1"/>
      <c r="F46131" s="1"/>
      <c r="G46131" s="1"/>
    </row>
    <row r="46132">
      <c r="B46132" s="36"/>
      <c r="C46132" s="36"/>
      <c r="E46132" s="1"/>
      <c r="F46132" s="1"/>
      <c r="G46132" s="1"/>
    </row>
    <row r="46133">
      <c r="B46133" s="36"/>
      <c r="C46133" s="36"/>
      <c r="E46133" s="1"/>
      <c r="F46133" s="1"/>
      <c r="G46133" s="1"/>
    </row>
    <row r="46134">
      <c r="B46134" s="36"/>
      <c r="C46134" s="36"/>
      <c r="E46134" s="1"/>
      <c r="F46134" s="1"/>
      <c r="G46134" s="1"/>
    </row>
    <row r="46135">
      <c r="B46135" s="36"/>
      <c r="C46135" s="36"/>
      <c r="E46135" s="1"/>
      <c r="F46135" s="1"/>
      <c r="G46135" s="1"/>
    </row>
    <row r="46136">
      <c r="B46136" s="36"/>
      <c r="C46136" s="36"/>
      <c r="E46136" s="1"/>
      <c r="F46136" s="1"/>
      <c r="G46136" s="1"/>
    </row>
    <row r="46137">
      <c r="B46137" s="36"/>
      <c r="C46137" s="36"/>
      <c r="E46137" s="1"/>
      <c r="F46137" s="1"/>
      <c r="G46137" s="1"/>
    </row>
    <row r="46138">
      <c r="B46138" s="36"/>
      <c r="C46138" s="36"/>
      <c r="E46138" s="1"/>
      <c r="F46138" s="1"/>
      <c r="G46138" s="1"/>
    </row>
    <row r="46139">
      <c r="B46139" s="36"/>
      <c r="C46139" s="36"/>
      <c r="E46139" s="1"/>
      <c r="F46139" s="1"/>
      <c r="G46139" s="1"/>
    </row>
    <row r="46140">
      <c r="B46140" s="36"/>
      <c r="C46140" s="36"/>
      <c r="E46140" s="1"/>
      <c r="F46140" s="1"/>
      <c r="G46140" s="1"/>
    </row>
    <row r="46141">
      <c r="B46141" s="36"/>
      <c r="C46141" s="36"/>
      <c r="E46141" s="1"/>
      <c r="F46141" s="1"/>
      <c r="G46141" s="1"/>
    </row>
    <row r="46142">
      <c r="B46142" s="36"/>
      <c r="C46142" s="36"/>
      <c r="E46142" s="1"/>
      <c r="F46142" s="1"/>
      <c r="G46142" s="1"/>
    </row>
    <row r="46143">
      <c r="B46143" s="36"/>
      <c r="C46143" s="36"/>
      <c r="E46143" s="1"/>
      <c r="F46143" s="1"/>
      <c r="G46143" s="1"/>
    </row>
    <row r="46144">
      <c r="B46144" s="36"/>
      <c r="C46144" s="36"/>
      <c r="E46144" s="1"/>
      <c r="F46144" s="1"/>
      <c r="G46144" s="1"/>
    </row>
    <row r="46145">
      <c r="B46145" s="36"/>
      <c r="C46145" s="36"/>
      <c r="E46145" s="1"/>
      <c r="F46145" s="1"/>
      <c r="G46145" s="1"/>
    </row>
    <row r="46146">
      <c r="B46146" s="36"/>
      <c r="C46146" s="36"/>
      <c r="E46146" s="1"/>
      <c r="F46146" s="1"/>
      <c r="G46146" s="1"/>
    </row>
    <row r="46147">
      <c r="B46147" s="36"/>
      <c r="C46147" s="36"/>
      <c r="E46147" s="1"/>
      <c r="F46147" s="1"/>
      <c r="G46147" s="1"/>
    </row>
    <row r="46148">
      <c r="B46148" s="36"/>
      <c r="C46148" s="36"/>
      <c r="E46148" s="1"/>
      <c r="F46148" s="1"/>
      <c r="G46148" s="1"/>
    </row>
    <row r="46149">
      <c r="B46149" s="36"/>
      <c r="C46149" s="36"/>
      <c r="E46149" s="1"/>
      <c r="F46149" s="1"/>
      <c r="G46149" s="1"/>
    </row>
    <row r="46150">
      <c r="B46150" s="36"/>
      <c r="C46150" s="36"/>
      <c r="E46150" s="1"/>
      <c r="F46150" s="1"/>
      <c r="G46150" s="1"/>
    </row>
    <row r="46151">
      <c r="B46151" s="36"/>
      <c r="C46151" s="36"/>
      <c r="E46151" s="1"/>
      <c r="F46151" s="1"/>
      <c r="G46151" s="1"/>
    </row>
    <row r="46152">
      <c r="B46152" s="36"/>
      <c r="C46152" s="36"/>
      <c r="E46152" s="1"/>
      <c r="F46152" s="1"/>
      <c r="G46152" s="1"/>
    </row>
    <row r="46153">
      <c r="B46153" s="36"/>
      <c r="C46153" s="36"/>
      <c r="E46153" s="1"/>
      <c r="F46153" s="1"/>
      <c r="G46153" s="1"/>
    </row>
    <row r="46154">
      <c r="B46154" s="36"/>
      <c r="C46154" s="36"/>
      <c r="E46154" s="1"/>
      <c r="F46154" s="1"/>
      <c r="G46154" s="1"/>
    </row>
    <row r="46155">
      <c r="B46155" s="36"/>
      <c r="C46155" s="36"/>
      <c r="E46155" s="1"/>
      <c r="F46155" s="1"/>
      <c r="G46155" s="1"/>
    </row>
    <row r="46156">
      <c r="B46156" s="36"/>
      <c r="C46156" s="36"/>
      <c r="E46156" s="1"/>
      <c r="F46156" s="1"/>
      <c r="G46156" s="1"/>
    </row>
    <row r="46157">
      <c r="B46157" s="36"/>
      <c r="C46157" s="36"/>
      <c r="E46157" s="1"/>
      <c r="F46157" s="1"/>
      <c r="G46157" s="1"/>
    </row>
    <row r="46158">
      <c r="B46158" s="36"/>
      <c r="C46158" s="36"/>
      <c r="E46158" s="1"/>
      <c r="F46158" s="1"/>
      <c r="G46158" s="1"/>
    </row>
    <row r="46159">
      <c r="B46159" s="36"/>
      <c r="C46159" s="36"/>
      <c r="E46159" s="1"/>
      <c r="F46159" s="1"/>
      <c r="G46159" s="1"/>
    </row>
    <row r="46160">
      <c r="B46160" s="36"/>
      <c r="C46160" s="36"/>
      <c r="E46160" s="1"/>
      <c r="F46160" s="1"/>
      <c r="G46160" s="1"/>
    </row>
    <row r="46161">
      <c r="B46161" s="36"/>
      <c r="C46161" s="36"/>
      <c r="E46161" s="1"/>
      <c r="F46161" s="1"/>
      <c r="G46161" s="1"/>
    </row>
    <row r="46162">
      <c r="B46162" s="36"/>
      <c r="C46162" s="36"/>
      <c r="E46162" s="1"/>
      <c r="F46162" s="1"/>
      <c r="G46162" s="1"/>
    </row>
    <row r="46163">
      <c r="B46163" s="36"/>
      <c r="C46163" s="36"/>
      <c r="E46163" s="1"/>
      <c r="F46163" s="1"/>
      <c r="G46163" s="1"/>
    </row>
    <row r="46164">
      <c r="B46164" s="36"/>
      <c r="C46164" s="36"/>
      <c r="E46164" s="1"/>
      <c r="F46164" s="1"/>
      <c r="G46164" s="1"/>
    </row>
    <row r="46165">
      <c r="B46165" s="36"/>
      <c r="C46165" s="36"/>
      <c r="E46165" s="1"/>
      <c r="F46165" s="1"/>
      <c r="G46165" s="1"/>
    </row>
    <row r="46166">
      <c r="B46166" s="36"/>
      <c r="C46166" s="36"/>
      <c r="E46166" s="1"/>
      <c r="F46166" s="1"/>
      <c r="G46166" s="1"/>
    </row>
    <row r="46167">
      <c r="B46167" s="36"/>
      <c r="C46167" s="36"/>
      <c r="E46167" s="1"/>
      <c r="F46167" s="1"/>
      <c r="G46167" s="1"/>
    </row>
    <row r="46168">
      <c r="B46168" s="36"/>
      <c r="C46168" s="36"/>
      <c r="E46168" s="1"/>
      <c r="F46168" s="1"/>
      <c r="G46168" s="1"/>
    </row>
    <row r="46169">
      <c r="B46169" s="36"/>
      <c r="C46169" s="36"/>
      <c r="E46169" s="1"/>
      <c r="F46169" s="1"/>
      <c r="G46169" s="1"/>
    </row>
    <row r="46170">
      <c r="B46170" s="36"/>
      <c r="C46170" s="36"/>
      <c r="E46170" s="1"/>
      <c r="F46170" s="1"/>
      <c r="G46170" s="1"/>
    </row>
    <row r="46171">
      <c r="B46171" s="36"/>
      <c r="C46171" s="36"/>
      <c r="E46171" s="1"/>
      <c r="F46171" s="1"/>
      <c r="G46171" s="1"/>
    </row>
    <row r="46172">
      <c r="B46172" s="36"/>
      <c r="C46172" s="36"/>
      <c r="E46172" s="1"/>
      <c r="F46172" s="1"/>
      <c r="G46172" s="1"/>
    </row>
    <row r="46173">
      <c r="B46173" s="36"/>
      <c r="C46173" s="36"/>
      <c r="E46173" s="1"/>
      <c r="F46173" s="1"/>
      <c r="G46173" s="1"/>
    </row>
    <row r="46174">
      <c r="B46174" s="36"/>
      <c r="C46174" s="36"/>
      <c r="E46174" s="1"/>
      <c r="F46174" s="1"/>
      <c r="G46174" s="1"/>
    </row>
    <row r="46175">
      <c r="B46175" s="36"/>
      <c r="C46175" s="36"/>
      <c r="E46175" s="1"/>
      <c r="F46175" s="1"/>
      <c r="G46175" s="1"/>
    </row>
    <row r="46176">
      <c r="B46176" s="36"/>
      <c r="C46176" s="36"/>
      <c r="E46176" s="1"/>
      <c r="F46176" s="1"/>
      <c r="G46176" s="1"/>
    </row>
    <row r="46177">
      <c r="B46177" s="36"/>
      <c r="C46177" s="36"/>
      <c r="E46177" s="1"/>
      <c r="F46177" s="1"/>
      <c r="G46177" s="1"/>
    </row>
    <row r="46178">
      <c r="B46178" s="36"/>
      <c r="C46178" s="36"/>
      <c r="E46178" s="1"/>
      <c r="F46178" s="1"/>
      <c r="G46178" s="1"/>
    </row>
    <row r="46179">
      <c r="B46179" s="36"/>
      <c r="C46179" s="36"/>
      <c r="E46179" s="1"/>
      <c r="F46179" s="1"/>
      <c r="G46179" s="1"/>
    </row>
    <row r="46180">
      <c r="B46180" s="36"/>
      <c r="C46180" s="36"/>
      <c r="E46180" s="1"/>
      <c r="F46180" s="1"/>
      <c r="G46180" s="1"/>
    </row>
    <row r="46181">
      <c r="B46181" s="36"/>
      <c r="C46181" s="36"/>
      <c r="E46181" s="1"/>
      <c r="F46181" s="1"/>
      <c r="G46181" s="1"/>
    </row>
    <row r="46182">
      <c r="B46182" s="36"/>
      <c r="C46182" s="36"/>
      <c r="E46182" s="1"/>
      <c r="F46182" s="1"/>
      <c r="G46182" s="1"/>
    </row>
    <row r="46183">
      <c r="B46183" s="36"/>
      <c r="C46183" s="36"/>
      <c r="E46183" s="1"/>
      <c r="F46183" s="1"/>
      <c r="G46183" s="1"/>
    </row>
    <row r="46184">
      <c r="B46184" s="36"/>
      <c r="C46184" s="36"/>
      <c r="E46184" s="1"/>
      <c r="F46184" s="1"/>
      <c r="G46184" s="1"/>
    </row>
    <row r="46185">
      <c r="B46185" s="36"/>
      <c r="C46185" s="36"/>
      <c r="E46185" s="1"/>
      <c r="F46185" s="1"/>
      <c r="G46185" s="1"/>
    </row>
    <row r="46186">
      <c r="B46186" s="36"/>
      <c r="C46186" s="36"/>
      <c r="E46186" s="1"/>
      <c r="F46186" s="1"/>
      <c r="G46186" s="1"/>
    </row>
    <row r="46187">
      <c r="B46187" s="36"/>
      <c r="C46187" s="36"/>
      <c r="E46187" s="1"/>
      <c r="F46187" s="1"/>
      <c r="G46187" s="1"/>
    </row>
    <row r="46188">
      <c r="B46188" s="36"/>
      <c r="C46188" s="36"/>
      <c r="E46188" s="1"/>
      <c r="F46188" s="1"/>
      <c r="G46188" s="1"/>
    </row>
    <row r="46189">
      <c r="B46189" s="36"/>
      <c r="C46189" s="36"/>
      <c r="E46189" s="1"/>
      <c r="F46189" s="1"/>
      <c r="G46189" s="1"/>
    </row>
    <row r="46190">
      <c r="B46190" s="36"/>
      <c r="C46190" s="36"/>
      <c r="E46190" s="1"/>
      <c r="F46190" s="1"/>
      <c r="G46190" s="1"/>
    </row>
    <row r="46191">
      <c r="B46191" s="36"/>
      <c r="C46191" s="36"/>
      <c r="E46191" s="1"/>
      <c r="F46191" s="1"/>
      <c r="G46191" s="1"/>
    </row>
    <row r="46192">
      <c r="B46192" s="36"/>
      <c r="C46192" s="36"/>
      <c r="E46192" s="1"/>
      <c r="F46192" s="1"/>
      <c r="G46192" s="1"/>
    </row>
    <row r="46193">
      <c r="B46193" s="36"/>
      <c r="C46193" s="36"/>
      <c r="E46193" s="1"/>
      <c r="F46193" s="1"/>
      <c r="G46193" s="1"/>
    </row>
    <row r="46194">
      <c r="B46194" s="36"/>
      <c r="C46194" s="36"/>
      <c r="E46194" s="1"/>
      <c r="F46194" s="1"/>
      <c r="G46194" s="1"/>
    </row>
    <row r="46195">
      <c r="B46195" s="36"/>
      <c r="C46195" s="36"/>
      <c r="E46195" s="1"/>
      <c r="F46195" s="1"/>
      <c r="G46195" s="1"/>
    </row>
    <row r="46196">
      <c r="B46196" s="36"/>
      <c r="C46196" s="36"/>
      <c r="E46196" s="1"/>
      <c r="F46196" s="1"/>
      <c r="G46196" s="1"/>
    </row>
    <row r="46197">
      <c r="B46197" s="36"/>
      <c r="C46197" s="36"/>
      <c r="E46197" s="1"/>
      <c r="F46197" s="1"/>
      <c r="G46197" s="1"/>
    </row>
    <row r="46198">
      <c r="B46198" s="36"/>
      <c r="C46198" s="36"/>
      <c r="E46198" s="1"/>
      <c r="F46198" s="1"/>
      <c r="G46198" s="1"/>
    </row>
    <row r="46199">
      <c r="B46199" s="36"/>
      <c r="C46199" s="36"/>
      <c r="E46199" s="1"/>
      <c r="F46199" s="1"/>
      <c r="G46199" s="1"/>
    </row>
    <row r="46200">
      <c r="B46200" s="36"/>
      <c r="C46200" s="36"/>
      <c r="E46200" s="1"/>
      <c r="F46200" s="1"/>
      <c r="G46200" s="1"/>
    </row>
    <row r="46201">
      <c r="B46201" s="36"/>
      <c r="C46201" s="36"/>
      <c r="E46201" s="1"/>
      <c r="F46201" s="1"/>
      <c r="G46201" s="1"/>
    </row>
    <row r="46202">
      <c r="B46202" s="36"/>
      <c r="C46202" s="36"/>
      <c r="E46202" s="1"/>
      <c r="F46202" s="1"/>
      <c r="G46202" s="1"/>
    </row>
    <row r="46203">
      <c r="B46203" s="36"/>
      <c r="C46203" s="36"/>
      <c r="E46203" s="1"/>
      <c r="F46203" s="1"/>
      <c r="G46203" s="1"/>
    </row>
    <row r="46204">
      <c r="B46204" s="36"/>
      <c r="C46204" s="36"/>
      <c r="E46204" s="1"/>
      <c r="F46204" s="1"/>
      <c r="G46204" s="1"/>
    </row>
    <row r="46205">
      <c r="B46205" s="36"/>
      <c r="C46205" s="36"/>
      <c r="E46205" s="1"/>
      <c r="F46205" s="1"/>
      <c r="G46205" s="1"/>
    </row>
    <row r="46206">
      <c r="B46206" s="36"/>
      <c r="C46206" s="36"/>
      <c r="E46206" s="1"/>
      <c r="F46206" s="1"/>
      <c r="G46206" s="1"/>
    </row>
    <row r="46207">
      <c r="B46207" s="36"/>
      <c r="C46207" s="36"/>
      <c r="E46207" s="1"/>
      <c r="F46207" s="1"/>
      <c r="G46207" s="1"/>
    </row>
    <row r="46208">
      <c r="B46208" s="36"/>
      <c r="C46208" s="36"/>
      <c r="E46208" s="1"/>
      <c r="F46208" s="1"/>
      <c r="G46208" s="1"/>
    </row>
    <row r="46209">
      <c r="B46209" s="36"/>
      <c r="C46209" s="36"/>
      <c r="E46209" s="1"/>
      <c r="F46209" s="1"/>
      <c r="G46209" s="1"/>
    </row>
    <row r="46210">
      <c r="B46210" s="36"/>
      <c r="C46210" s="36"/>
      <c r="E46210" s="1"/>
      <c r="F46210" s="1"/>
      <c r="G46210" s="1"/>
    </row>
    <row r="46211">
      <c r="B46211" s="36"/>
      <c r="C46211" s="36"/>
      <c r="E46211" s="1"/>
      <c r="F46211" s="1"/>
      <c r="G46211" s="1"/>
    </row>
    <row r="46212">
      <c r="B46212" s="36"/>
      <c r="C46212" s="36"/>
      <c r="E46212" s="1"/>
      <c r="F46212" s="1"/>
      <c r="G46212" s="1"/>
    </row>
    <row r="46213">
      <c r="B46213" s="36"/>
      <c r="C46213" s="36"/>
      <c r="E46213" s="1"/>
      <c r="F46213" s="1"/>
      <c r="G46213" s="1"/>
    </row>
    <row r="46214">
      <c r="B46214" s="36"/>
      <c r="C46214" s="36"/>
      <c r="E46214" s="1"/>
      <c r="F46214" s="1"/>
      <c r="G46214" s="1"/>
    </row>
    <row r="46215">
      <c r="B46215" s="36"/>
      <c r="C46215" s="36"/>
      <c r="E46215" s="1"/>
      <c r="F46215" s="1"/>
      <c r="G46215" s="1"/>
    </row>
    <row r="46216">
      <c r="B46216" s="36"/>
      <c r="C46216" s="36"/>
      <c r="E46216" s="1"/>
      <c r="F46216" s="1"/>
      <c r="G46216" s="1"/>
    </row>
    <row r="46217">
      <c r="B46217" s="36"/>
      <c r="C46217" s="36"/>
      <c r="E46217" s="1"/>
      <c r="F46217" s="1"/>
      <c r="G46217" s="1"/>
    </row>
    <row r="46218">
      <c r="B46218" s="36"/>
      <c r="C46218" s="36"/>
      <c r="E46218" s="1"/>
      <c r="F46218" s="1"/>
      <c r="G46218" s="1"/>
    </row>
    <row r="46219">
      <c r="B46219" s="36"/>
      <c r="C46219" s="36"/>
      <c r="E46219" s="1"/>
      <c r="F46219" s="1"/>
      <c r="G46219" s="1"/>
    </row>
    <row r="46220">
      <c r="B46220" s="36"/>
      <c r="C46220" s="36"/>
      <c r="E46220" s="1"/>
      <c r="F46220" s="1"/>
      <c r="G46220" s="1"/>
    </row>
    <row r="46221">
      <c r="B46221" s="36"/>
      <c r="C46221" s="36"/>
      <c r="E46221" s="1"/>
      <c r="F46221" s="1"/>
      <c r="G46221" s="1"/>
    </row>
    <row r="46222">
      <c r="B46222" s="36"/>
      <c r="C46222" s="36"/>
      <c r="E46222" s="1"/>
      <c r="F46222" s="1"/>
      <c r="G46222" s="1"/>
    </row>
    <row r="46223">
      <c r="B46223" s="36"/>
      <c r="C46223" s="36"/>
      <c r="E46223" s="1"/>
      <c r="F46223" s="1"/>
      <c r="G46223" s="1"/>
    </row>
    <row r="46224">
      <c r="B46224" s="36"/>
      <c r="C46224" s="36"/>
      <c r="E46224" s="1"/>
      <c r="F46224" s="1"/>
      <c r="G46224" s="1"/>
    </row>
    <row r="46225">
      <c r="B46225" s="36"/>
      <c r="C46225" s="36"/>
      <c r="E46225" s="1"/>
      <c r="F46225" s="1"/>
      <c r="G46225" s="1"/>
    </row>
    <row r="46226">
      <c r="B46226" s="36"/>
      <c r="C46226" s="36"/>
      <c r="E46226" s="1"/>
      <c r="F46226" s="1"/>
      <c r="G46226" s="1"/>
    </row>
    <row r="46227">
      <c r="B46227" s="36"/>
      <c r="C46227" s="36"/>
      <c r="E46227" s="1"/>
      <c r="F46227" s="1"/>
      <c r="G46227" s="1"/>
    </row>
    <row r="46228">
      <c r="B46228" s="36"/>
      <c r="C46228" s="36"/>
      <c r="E46228" s="1"/>
      <c r="F46228" s="1"/>
      <c r="G46228" s="1"/>
    </row>
    <row r="46229">
      <c r="B46229" s="36"/>
      <c r="C46229" s="36"/>
      <c r="E46229" s="1"/>
      <c r="F46229" s="1"/>
      <c r="G46229" s="1"/>
    </row>
    <row r="46230">
      <c r="B46230" s="36"/>
      <c r="C46230" s="36"/>
      <c r="E46230" s="1"/>
      <c r="F46230" s="1"/>
      <c r="G46230" s="1"/>
    </row>
    <row r="46231">
      <c r="B46231" s="36"/>
      <c r="C46231" s="36"/>
      <c r="E46231" s="1"/>
      <c r="F46231" s="1"/>
      <c r="G46231" s="1"/>
    </row>
    <row r="46232">
      <c r="B46232" s="36"/>
      <c r="C46232" s="36"/>
      <c r="E46232" s="1"/>
      <c r="F46232" s="1"/>
      <c r="G46232" s="1"/>
    </row>
    <row r="46233">
      <c r="B46233" s="36"/>
      <c r="C46233" s="36"/>
      <c r="E46233" s="1"/>
      <c r="F46233" s="1"/>
      <c r="G46233" s="1"/>
    </row>
    <row r="46234">
      <c r="B46234" s="36"/>
      <c r="C46234" s="36"/>
      <c r="E46234" s="1"/>
      <c r="F46234" s="1"/>
      <c r="G46234" s="1"/>
    </row>
    <row r="46235">
      <c r="B46235" s="36"/>
      <c r="C46235" s="36"/>
      <c r="E46235" s="1"/>
      <c r="F46235" s="1"/>
      <c r="G46235" s="1"/>
    </row>
    <row r="46236">
      <c r="B46236" s="36"/>
      <c r="C46236" s="36"/>
      <c r="E46236" s="1"/>
      <c r="F46236" s="1"/>
      <c r="G46236" s="1"/>
    </row>
    <row r="46237">
      <c r="B46237" s="36"/>
      <c r="C46237" s="36"/>
      <c r="E46237" s="1"/>
      <c r="F46237" s="1"/>
      <c r="G46237" s="1"/>
    </row>
    <row r="46238">
      <c r="B46238" s="36"/>
      <c r="C46238" s="36"/>
      <c r="E46238" s="1"/>
      <c r="F46238" s="1"/>
      <c r="G46238" s="1"/>
    </row>
    <row r="46239">
      <c r="B46239" s="36"/>
      <c r="C46239" s="36"/>
      <c r="E46239" s="1"/>
      <c r="F46239" s="1"/>
      <c r="G46239" s="1"/>
    </row>
    <row r="46240">
      <c r="B46240" s="36"/>
      <c r="C46240" s="36"/>
      <c r="E46240" s="1"/>
      <c r="F46240" s="1"/>
      <c r="G46240" s="1"/>
    </row>
    <row r="46241">
      <c r="B46241" s="36"/>
      <c r="C46241" s="36"/>
      <c r="E46241" s="1"/>
      <c r="F46241" s="1"/>
      <c r="G46241" s="1"/>
    </row>
    <row r="46242">
      <c r="B46242" s="36"/>
      <c r="C46242" s="36"/>
      <c r="E46242" s="1"/>
      <c r="F46242" s="1"/>
      <c r="G46242" s="1"/>
    </row>
    <row r="46243">
      <c r="B46243" s="36"/>
      <c r="C46243" s="36"/>
      <c r="E46243" s="1"/>
      <c r="F46243" s="1"/>
      <c r="G46243" s="1"/>
    </row>
    <row r="46244">
      <c r="B46244" s="36"/>
      <c r="C46244" s="36"/>
      <c r="E46244" s="1"/>
      <c r="F46244" s="1"/>
      <c r="G46244" s="1"/>
    </row>
    <row r="46245">
      <c r="B46245" s="36"/>
      <c r="C46245" s="36"/>
      <c r="E46245" s="1"/>
      <c r="F46245" s="1"/>
      <c r="G46245" s="1"/>
    </row>
    <row r="46246">
      <c r="B46246" s="36"/>
      <c r="C46246" s="36"/>
      <c r="E46246" s="1"/>
      <c r="F46246" s="1"/>
      <c r="G46246" s="1"/>
    </row>
    <row r="46247">
      <c r="B46247" s="36"/>
      <c r="C46247" s="36"/>
      <c r="E46247" s="1"/>
      <c r="F46247" s="1"/>
      <c r="G46247" s="1"/>
    </row>
    <row r="46248">
      <c r="B46248" s="36"/>
      <c r="C46248" s="36"/>
      <c r="E46248" s="1"/>
      <c r="F46248" s="1"/>
      <c r="G46248" s="1"/>
    </row>
    <row r="46249">
      <c r="B46249" s="36"/>
      <c r="C46249" s="36"/>
      <c r="E46249" s="1"/>
      <c r="F46249" s="1"/>
      <c r="G46249" s="1"/>
    </row>
    <row r="46250">
      <c r="B46250" s="36"/>
      <c r="C46250" s="36"/>
      <c r="E46250" s="1"/>
      <c r="F46250" s="1"/>
      <c r="G46250" s="1"/>
    </row>
    <row r="46251">
      <c r="B46251" s="36"/>
      <c r="C46251" s="36"/>
      <c r="E46251" s="1"/>
      <c r="F46251" s="1"/>
      <c r="G46251" s="1"/>
    </row>
    <row r="46252">
      <c r="B46252" s="36"/>
      <c r="C46252" s="36"/>
      <c r="E46252" s="1"/>
      <c r="F46252" s="1"/>
      <c r="G46252" s="1"/>
    </row>
    <row r="46253">
      <c r="B46253" s="36"/>
      <c r="C46253" s="36"/>
      <c r="E46253" s="1"/>
      <c r="F46253" s="1"/>
      <c r="G46253" s="1"/>
    </row>
    <row r="46254">
      <c r="B46254" s="36"/>
      <c r="C46254" s="36"/>
      <c r="E46254" s="1"/>
      <c r="F46254" s="1"/>
      <c r="G46254" s="1"/>
    </row>
    <row r="46255">
      <c r="B46255" s="36"/>
      <c r="C46255" s="36"/>
      <c r="E46255" s="1"/>
      <c r="F46255" s="1"/>
      <c r="G46255" s="1"/>
    </row>
    <row r="46256">
      <c r="B46256" s="36"/>
      <c r="C46256" s="36"/>
      <c r="E46256" s="1"/>
      <c r="F46256" s="1"/>
      <c r="G46256" s="1"/>
    </row>
    <row r="46257">
      <c r="B46257" s="36"/>
      <c r="C46257" s="36"/>
      <c r="E46257" s="1"/>
      <c r="F46257" s="1"/>
      <c r="G46257" s="1"/>
    </row>
    <row r="46258">
      <c r="B46258" s="36"/>
      <c r="C46258" s="36"/>
      <c r="E46258" s="1"/>
      <c r="F46258" s="1"/>
      <c r="G46258" s="1"/>
    </row>
    <row r="46259">
      <c r="B46259" s="36"/>
      <c r="C46259" s="36"/>
      <c r="E46259" s="1"/>
      <c r="F46259" s="1"/>
      <c r="G46259" s="1"/>
    </row>
    <row r="46260">
      <c r="B46260" s="36"/>
      <c r="C46260" s="36"/>
      <c r="E46260" s="1"/>
      <c r="F46260" s="1"/>
      <c r="G46260" s="1"/>
    </row>
    <row r="46261">
      <c r="B46261" s="36"/>
      <c r="C46261" s="36"/>
      <c r="E46261" s="1"/>
      <c r="F46261" s="1"/>
      <c r="G46261" s="1"/>
    </row>
    <row r="46262">
      <c r="B46262" s="36"/>
      <c r="C46262" s="36"/>
      <c r="E46262" s="1"/>
      <c r="F46262" s="1"/>
      <c r="G46262" s="1"/>
    </row>
    <row r="46263">
      <c r="B46263" s="36"/>
      <c r="C46263" s="36"/>
      <c r="E46263" s="1"/>
      <c r="F46263" s="1"/>
      <c r="G46263" s="1"/>
    </row>
    <row r="46264">
      <c r="B46264" s="36"/>
      <c r="C46264" s="36"/>
      <c r="E46264" s="1"/>
      <c r="F46264" s="1"/>
      <c r="G46264" s="1"/>
    </row>
    <row r="46265">
      <c r="B46265" s="36"/>
      <c r="C46265" s="36"/>
      <c r="E46265" s="1"/>
      <c r="F46265" s="1"/>
      <c r="G46265" s="1"/>
    </row>
    <row r="46266">
      <c r="B46266" s="36"/>
      <c r="C46266" s="36"/>
      <c r="E46266" s="1"/>
      <c r="F46266" s="1"/>
      <c r="G46266" s="1"/>
    </row>
    <row r="46267">
      <c r="B46267" s="36"/>
      <c r="C46267" s="36"/>
      <c r="E46267" s="1"/>
      <c r="F46267" s="1"/>
      <c r="G46267" s="1"/>
    </row>
    <row r="46268">
      <c r="B46268" s="36"/>
      <c r="C46268" s="36"/>
      <c r="E46268" s="1"/>
      <c r="F46268" s="1"/>
      <c r="G46268" s="1"/>
    </row>
    <row r="46269">
      <c r="B46269" s="36"/>
      <c r="C46269" s="36"/>
      <c r="E46269" s="1"/>
      <c r="F46269" s="1"/>
      <c r="G46269" s="1"/>
    </row>
    <row r="46270">
      <c r="B46270" s="36"/>
      <c r="C46270" s="36"/>
      <c r="E46270" s="1"/>
      <c r="F46270" s="1"/>
      <c r="G46270" s="1"/>
    </row>
    <row r="46271">
      <c r="B46271" s="36"/>
      <c r="C46271" s="36"/>
      <c r="E46271" s="1"/>
      <c r="F46271" s="1"/>
      <c r="G46271" s="1"/>
    </row>
    <row r="46272">
      <c r="B46272" s="36"/>
      <c r="C46272" s="36"/>
      <c r="E46272" s="1"/>
      <c r="F46272" s="1"/>
      <c r="G46272" s="1"/>
    </row>
    <row r="46273">
      <c r="B46273" s="36"/>
      <c r="C46273" s="36"/>
      <c r="E46273" s="1"/>
      <c r="F46273" s="1"/>
      <c r="G46273" s="1"/>
    </row>
    <row r="46274">
      <c r="B46274" s="36"/>
      <c r="C46274" s="36"/>
      <c r="E46274" s="1"/>
      <c r="F46274" s="1"/>
      <c r="G46274" s="1"/>
    </row>
    <row r="46275">
      <c r="B46275" s="36"/>
      <c r="C46275" s="36"/>
      <c r="E46275" s="1"/>
      <c r="F46275" s="1"/>
      <c r="G46275" s="1"/>
    </row>
    <row r="46276">
      <c r="B46276" s="36"/>
      <c r="C46276" s="36"/>
      <c r="E46276" s="1"/>
      <c r="F46276" s="1"/>
      <c r="G46276" s="1"/>
    </row>
    <row r="46277">
      <c r="B46277" s="36"/>
      <c r="C46277" s="36"/>
      <c r="E46277" s="1"/>
      <c r="F46277" s="1"/>
      <c r="G46277" s="1"/>
    </row>
    <row r="46278">
      <c r="B46278" s="36"/>
      <c r="C46278" s="36"/>
      <c r="E46278" s="1"/>
      <c r="F46278" s="1"/>
      <c r="G46278" s="1"/>
    </row>
    <row r="46279">
      <c r="B46279" s="36"/>
      <c r="C46279" s="36"/>
      <c r="E46279" s="1"/>
      <c r="F46279" s="1"/>
      <c r="G46279" s="1"/>
    </row>
    <row r="46280">
      <c r="B46280" s="36"/>
      <c r="C46280" s="36"/>
      <c r="E46280" s="1"/>
      <c r="F46280" s="1"/>
      <c r="G46280" s="1"/>
    </row>
    <row r="46281">
      <c r="B46281" s="36"/>
      <c r="C46281" s="36"/>
      <c r="E46281" s="1"/>
      <c r="F46281" s="1"/>
      <c r="G46281" s="1"/>
    </row>
    <row r="46282">
      <c r="B46282" s="36"/>
      <c r="C46282" s="36"/>
      <c r="E46282" s="1"/>
      <c r="F46282" s="1"/>
      <c r="G46282" s="1"/>
    </row>
    <row r="46283">
      <c r="B46283" s="36"/>
      <c r="C46283" s="36"/>
      <c r="E46283" s="1"/>
      <c r="F46283" s="1"/>
      <c r="G46283" s="1"/>
    </row>
    <row r="46284">
      <c r="B46284" s="36"/>
      <c r="C46284" s="36"/>
      <c r="E46284" s="1"/>
      <c r="F46284" s="1"/>
      <c r="G46284" s="1"/>
    </row>
    <row r="46285">
      <c r="B46285" s="36"/>
      <c r="C46285" s="36"/>
      <c r="E46285" s="1"/>
      <c r="F46285" s="1"/>
      <c r="G46285" s="1"/>
    </row>
    <row r="46286">
      <c r="B46286" s="36"/>
      <c r="C46286" s="36"/>
      <c r="E46286" s="1"/>
      <c r="F46286" s="1"/>
      <c r="G46286" s="1"/>
    </row>
    <row r="46287">
      <c r="B46287" s="36"/>
      <c r="C46287" s="36"/>
      <c r="E46287" s="1"/>
      <c r="F46287" s="1"/>
      <c r="G46287" s="1"/>
    </row>
    <row r="46288">
      <c r="B46288" s="36"/>
      <c r="C46288" s="36"/>
      <c r="E46288" s="1"/>
      <c r="F46288" s="1"/>
      <c r="G46288" s="1"/>
    </row>
    <row r="46289">
      <c r="B46289" s="36"/>
      <c r="C46289" s="36"/>
      <c r="E46289" s="1"/>
      <c r="F46289" s="1"/>
      <c r="G46289" s="1"/>
    </row>
    <row r="46290">
      <c r="B46290" s="36"/>
      <c r="C46290" s="36"/>
      <c r="E46290" s="1"/>
      <c r="F46290" s="1"/>
      <c r="G46290" s="1"/>
    </row>
    <row r="46291">
      <c r="B46291" s="36"/>
      <c r="C46291" s="36"/>
      <c r="E46291" s="1"/>
      <c r="F46291" s="1"/>
      <c r="G46291" s="1"/>
    </row>
    <row r="46292">
      <c r="B46292" s="36"/>
      <c r="C46292" s="36"/>
      <c r="E46292" s="1"/>
      <c r="F46292" s="1"/>
      <c r="G46292" s="1"/>
    </row>
    <row r="46293">
      <c r="B46293" s="36"/>
      <c r="C46293" s="36"/>
      <c r="E46293" s="1"/>
      <c r="F46293" s="1"/>
      <c r="G46293" s="1"/>
    </row>
    <row r="46294">
      <c r="B46294" s="36"/>
      <c r="C46294" s="36"/>
      <c r="E46294" s="1"/>
      <c r="F46294" s="1"/>
      <c r="G46294" s="1"/>
    </row>
    <row r="46295">
      <c r="B46295" s="36"/>
      <c r="C46295" s="36"/>
      <c r="E46295" s="1"/>
      <c r="F46295" s="1"/>
      <c r="G46295" s="1"/>
    </row>
    <row r="46296">
      <c r="B46296" s="36"/>
      <c r="C46296" s="36"/>
      <c r="E46296" s="1"/>
      <c r="F46296" s="1"/>
      <c r="G46296" s="1"/>
    </row>
    <row r="46297">
      <c r="B46297" s="36"/>
      <c r="C46297" s="36"/>
      <c r="E46297" s="1"/>
      <c r="F46297" s="1"/>
      <c r="G46297" s="1"/>
    </row>
    <row r="46298">
      <c r="B46298" s="36"/>
      <c r="C46298" s="36"/>
      <c r="E46298" s="1"/>
      <c r="F46298" s="1"/>
      <c r="G46298" s="1"/>
    </row>
    <row r="46299">
      <c r="B46299" s="36"/>
      <c r="C46299" s="36"/>
      <c r="E46299" s="1"/>
      <c r="F46299" s="1"/>
      <c r="G46299" s="1"/>
    </row>
    <row r="46300">
      <c r="B46300" s="36"/>
      <c r="C46300" s="36"/>
      <c r="E46300" s="1"/>
      <c r="F46300" s="1"/>
      <c r="G46300" s="1"/>
    </row>
    <row r="46301">
      <c r="B46301" s="36"/>
      <c r="C46301" s="36"/>
      <c r="E46301" s="1"/>
      <c r="F46301" s="1"/>
      <c r="G46301" s="1"/>
    </row>
    <row r="46302">
      <c r="B46302" s="36"/>
      <c r="C46302" s="36"/>
      <c r="E46302" s="1"/>
      <c r="F46302" s="1"/>
      <c r="G46302" s="1"/>
    </row>
    <row r="46303">
      <c r="B46303" s="36"/>
      <c r="C46303" s="36"/>
      <c r="E46303" s="1"/>
      <c r="F46303" s="1"/>
      <c r="G46303" s="1"/>
    </row>
    <row r="46304">
      <c r="B46304" s="36"/>
      <c r="C46304" s="36"/>
      <c r="E46304" s="1"/>
      <c r="F46304" s="1"/>
      <c r="G46304" s="1"/>
    </row>
    <row r="46305">
      <c r="B46305" s="36"/>
      <c r="C46305" s="36"/>
      <c r="E46305" s="1"/>
      <c r="F46305" s="1"/>
      <c r="G46305" s="1"/>
    </row>
    <row r="46306">
      <c r="B46306" s="36"/>
      <c r="C46306" s="36"/>
      <c r="E46306" s="1"/>
      <c r="F46306" s="1"/>
      <c r="G46306" s="1"/>
    </row>
    <row r="46307">
      <c r="B46307" s="36"/>
      <c r="C46307" s="36"/>
      <c r="E46307" s="1"/>
      <c r="F46307" s="1"/>
      <c r="G46307" s="1"/>
    </row>
    <row r="46308">
      <c r="B46308" s="36"/>
      <c r="C46308" s="36"/>
      <c r="E46308" s="1"/>
      <c r="F46308" s="1"/>
      <c r="G46308" s="1"/>
    </row>
    <row r="46309">
      <c r="B46309" s="36"/>
      <c r="C46309" s="36"/>
      <c r="E46309" s="1"/>
      <c r="F46309" s="1"/>
      <c r="G46309" s="1"/>
    </row>
    <row r="46310">
      <c r="B46310" s="36"/>
      <c r="C46310" s="36"/>
      <c r="E46310" s="1"/>
      <c r="F46310" s="1"/>
      <c r="G46310" s="1"/>
    </row>
    <row r="46311">
      <c r="B46311" s="36"/>
      <c r="C46311" s="36"/>
      <c r="E46311" s="1"/>
      <c r="F46311" s="1"/>
      <c r="G46311" s="1"/>
    </row>
    <row r="46312">
      <c r="B46312" s="36"/>
      <c r="C46312" s="36"/>
      <c r="E46312" s="1"/>
      <c r="F46312" s="1"/>
      <c r="G46312" s="1"/>
    </row>
    <row r="46313">
      <c r="B46313" s="36"/>
      <c r="C46313" s="36"/>
      <c r="E46313" s="1"/>
      <c r="F46313" s="1"/>
      <c r="G46313" s="1"/>
    </row>
    <row r="46314">
      <c r="B46314" s="36"/>
      <c r="C46314" s="36"/>
      <c r="E46314" s="1"/>
      <c r="F46314" s="1"/>
      <c r="G46314" s="1"/>
    </row>
    <row r="46315">
      <c r="B46315" s="36"/>
      <c r="C46315" s="36"/>
      <c r="E46315" s="1"/>
      <c r="F46315" s="1"/>
      <c r="G46315" s="1"/>
    </row>
    <row r="46316">
      <c r="B46316" s="36"/>
      <c r="C46316" s="36"/>
      <c r="E46316" s="1"/>
      <c r="F46316" s="1"/>
      <c r="G46316" s="1"/>
    </row>
    <row r="46317">
      <c r="B46317" s="36"/>
      <c r="C46317" s="36"/>
      <c r="E46317" s="1"/>
      <c r="F46317" s="1"/>
      <c r="G46317" s="1"/>
    </row>
    <row r="46318">
      <c r="B46318" s="36"/>
      <c r="C46318" s="36"/>
      <c r="E46318" s="1"/>
      <c r="F46318" s="1"/>
      <c r="G46318" s="1"/>
    </row>
    <row r="46319">
      <c r="B46319" s="36"/>
      <c r="C46319" s="36"/>
      <c r="E46319" s="1"/>
      <c r="F46319" s="1"/>
      <c r="G46319" s="1"/>
    </row>
    <row r="46320">
      <c r="B46320" s="36"/>
      <c r="C46320" s="36"/>
      <c r="E46320" s="1"/>
      <c r="F46320" s="1"/>
      <c r="G46320" s="1"/>
    </row>
    <row r="46321">
      <c r="B46321" s="36"/>
      <c r="C46321" s="36"/>
      <c r="E46321" s="1"/>
      <c r="F46321" s="1"/>
      <c r="G46321" s="1"/>
    </row>
    <row r="46322">
      <c r="B46322" s="36"/>
      <c r="C46322" s="36"/>
      <c r="E46322" s="1"/>
      <c r="F46322" s="1"/>
      <c r="G46322" s="1"/>
    </row>
    <row r="46323">
      <c r="B46323" s="36"/>
      <c r="C46323" s="36"/>
      <c r="E46323" s="1"/>
      <c r="F46323" s="1"/>
      <c r="G46323" s="1"/>
    </row>
    <row r="46324">
      <c r="B46324" s="36"/>
      <c r="C46324" s="36"/>
      <c r="E46324" s="1"/>
      <c r="F46324" s="1"/>
      <c r="G46324" s="1"/>
    </row>
    <row r="46325">
      <c r="B46325" s="36"/>
      <c r="C46325" s="36"/>
      <c r="E46325" s="1"/>
      <c r="F46325" s="1"/>
      <c r="G46325" s="1"/>
    </row>
    <row r="46326">
      <c r="B46326" s="36"/>
      <c r="C46326" s="36"/>
      <c r="E46326" s="1"/>
      <c r="F46326" s="1"/>
      <c r="G46326" s="1"/>
    </row>
    <row r="46327">
      <c r="B46327" s="36"/>
      <c r="C46327" s="36"/>
      <c r="E46327" s="1"/>
      <c r="F46327" s="1"/>
      <c r="G46327" s="1"/>
    </row>
    <row r="46328">
      <c r="B46328" s="36"/>
      <c r="C46328" s="36"/>
      <c r="E46328" s="1"/>
      <c r="F46328" s="1"/>
      <c r="G46328" s="1"/>
    </row>
    <row r="46329">
      <c r="B46329" s="36"/>
      <c r="C46329" s="36"/>
      <c r="E46329" s="1"/>
      <c r="F46329" s="1"/>
      <c r="G46329" s="1"/>
    </row>
    <row r="46330">
      <c r="B46330" s="36"/>
      <c r="C46330" s="36"/>
      <c r="E46330" s="1"/>
      <c r="F46330" s="1"/>
      <c r="G46330" s="1"/>
    </row>
    <row r="46331">
      <c r="B46331" s="36"/>
      <c r="C46331" s="36"/>
      <c r="E46331" s="1"/>
      <c r="F46331" s="1"/>
      <c r="G46331" s="1"/>
    </row>
    <row r="46332">
      <c r="B46332" s="36"/>
      <c r="C46332" s="36"/>
      <c r="E46332" s="1"/>
      <c r="F46332" s="1"/>
      <c r="G46332" s="1"/>
    </row>
    <row r="46333">
      <c r="B46333" s="36"/>
      <c r="C46333" s="36"/>
      <c r="E46333" s="1"/>
      <c r="F46333" s="1"/>
      <c r="G46333" s="1"/>
    </row>
    <row r="46334">
      <c r="B46334" s="36"/>
      <c r="C46334" s="36"/>
      <c r="E46334" s="1"/>
      <c r="F46334" s="1"/>
      <c r="G46334" s="1"/>
    </row>
    <row r="46335">
      <c r="B46335" s="36"/>
      <c r="C46335" s="36"/>
      <c r="E46335" s="1"/>
      <c r="F46335" s="1"/>
      <c r="G46335" s="1"/>
    </row>
    <row r="46336">
      <c r="B46336" s="36"/>
      <c r="C46336" s="36"/>
      <c r="E46336" s="1"/>
      <c r="F46336" s="1"/>
      <c r="G46336" s="1"/>
    </row>
    <row r="46337">
      <c r="B46337" s="36"/>
      <c r="C46337" s="36"/>
      <c r="E46337" s="1"/>
      <c r="F46337" s="1"/>
      <c r="G46337" s="1"/>
    </row>
    <row r="46338">
      <c r="B46338" s="36"/>
      <c r="C46338" s="36"/>
      <c r="E46338" s="1"/>
      <c r="F46338" s="1"/>
      <c r="G46338" s="1"/>
    </row>
    <row r="46339">
      <c r="B46339" s="36"/>
      <c r="C46339" s="36"/>
      <c r="E46339" s="1"/>
      <c r="F46339" s="1"/>
      <c r="G46339" s="1"/>
    </row>
    <row r="46340">
      <c r="B46340" s="36"/>
      <c r="C46340" s="36"/>
      <c r="E46340" s="1"/>
      <c r="F46340" s="1"/>
      <c r="G46340" s="1"/>
    </row>
    <row r="46341">
      <c r="B46341" s="36"/>
      <c r="C46341" s="36"/>
      <c r="E46341" s="1"/>
      <c r="F46341" s="1"/>
      <c r="G46341" s="1"/>
    </row>
    <row r="46342">
      <c r="B46342" s="36"/>
      <c r="C46342" s="36"/>
      <c r="E46342" s="1"/>
      <c r="F46342" s="1"/>
      <c r="G46342" s="1"/>
    </row>
    <row r="46343">
      <c r="B46343" s="36"/>
      <c r="C46343" s="36"/>
      <c r="E46343" s="1"/>
      <c r="F46343" s="1"/>
      <c r="G46343" s="1"/>
    </row>
    <row r="46344">
      <c r="B46344" s="36"/>
      <c r="C46344" s="36"/>
      <c r="E46344" s="1"/>
      <c r="F46344" s="1"/>
      <c r="G46344" s="1"/>
    </row>
    <row r="46345">
      <c r="B46345" s="36"/>
      <c r="C46345" s="36"/>
      <c r="E46345" s="1"/>
      <c r="F46345" s="1"/>
      <c r="G46345" s="1"/>
    </row>
    <row r="46346">
      <c r="B46346" s="36"/>
      <c r="C46346" s="36"/>
      <c r="E46346" s="1"/>
      <c r="F46346" s="1"/>
      <c r="G46346" s="1"/>
    </row>
    <row r="46347">
      <c r="B46347" s="36"/>
      <c r="C46347" s="36"/>
      <c r="E46347" s="1"/>
      <c r="F46347" s="1"/>
      <c r="G46347" s="1"/>
    </row>
    <row r="46348">
      <c r="B46348" s="36"/>
      <c r="C46348" s="36"/>
      <c r="E46348" s="1"/>
      <c r="F46348" s="1"/>
      <c r="G46348" s="1"/>
    </row>
    <row r="46349">
      <c r="B46349" s="36"/>
      <c r="C46349" s="36"/>
      <c r="E46349" s="1"/>
      <c r="F46349" s="1"/>
      <c r="G46349" s="1"/>
    </row>
    <row r="46350">
      <c r="B46350" s="36"/>
      <c r="C46350" s="36"/>
      <c r="E46350" s="1"/>
      <c r="F46350" s="1"/>
      <c r="G46350" s="1"/>
    </row>
    <row r="46351">
      <c r="B46351" s="36"/>
      <c r="C46351" s="36"/>
      <c r="E46351" s="1"/>
      <c r="F46351" s="1"/>
      <c r="G46351" s="1"/>
    </row>
    <row r="46352">
      <c r="B46352" s="36"/>
      <c r="C46352" s="36"/>
      <c r="E46352" s="1"/>
      <c r="F46352" s="1"/>
      <c r="G46352" s="1"/>
    </row>
    <row r="46353">
      <c r="B46353" s="36"/>
      <c r="C46353" s="36"/>
      <c r="E46353" s="1"/>
      <c r="F46353" s="1"/>
      <c r="G46353" s="1"/>
    </row>
    <row r="46354">
      <c r="B46354" s="36"/>
      <c r="C46354" s="36"/>
      <c r="E46354" s="1"/>
      <c r="F46354" s="1"/>
      <c r="G46354" s="1"/>
    </row>
    <row r="46355">
      <c r="B46355" s="36"/>
      <c r="C46355" s="36"/>
      <c r="E46355" s="1"/>
      <c r="F46355" s="1"/>
      <c r="G46355" s="1"/>
    </row>
    <row r="46356">
      <c r="B46356" s="36"/>
      <c r="C46356" s="36"/>
      <c r="E46356" s="1"/>
      <c r="F46356" s="1"/>
      <c r="G46356" s="1"/>
    </row>
    <row r="46357">
      <c r="B46357" s="36"/>
      <c r="C46357" s="36"/>
      <c r="E46357" s="1"/>
      <c r="F46357" s="1"/>
      <c r="G46357" s="1"/>
    </row>
    <row r="46358">
      <c r="B46358" s="36"/>
      <c r="C46358" s="36"/>
      <c r="E46358" s="1"/>
      <c r="F46358" s="1"/>
      <c r="G46358" s="1"/>
    </row>
    <row r="46359">
      <c r="B46359" s="36"/>
      <c r="C46359" s="36"/>
      <c r="E46359" s="1"/>
      <c r="F46359" s="1"/>
      <c r="G46359" s="1"/>
    </row>
    <row r="46360">
      <c r="B46360" s="36"/>
      <c r="C46360" s="36"/>
      <c r="E46360" s="1"/>
      <c r="F46360" s="1"/>
      <c r="G46360" s="1"/>
    </row>
    <row r="46361">
      <c r="B46361" s="36"/>
      <c r="C46361" s="36"/>
      <c r="E46361" s="1"/>
      <c r="F46361" s="1"/>
      <c r="G46361" s="1"/>
    </row>
    <row r="46362">
      <c r="B46362" s="36"/>
      <c r="C46362" s="36"/>
      <c r="E46362" s="1"/>
      <c r="F46362" s="1"/>
      <c r="G46362" s="1"/>
    </row>
    <row r="46363">
      <c r="B46363" s="36"/>
      <c r="C46363" s="36"/>
      <c r="E46363" s="1"/>
      <c r="F46363" s="1"/>
      <c r="G46363" s="1"/>
    </row>
    <row r="46364">
      <c r="B46364" s="36"/>
      <c r="C46364" s="36"/>
      <c r="E46364" s="1"/>
      <c r="F46364" s="1"/>
      <c r="G46364" s="1"/>
    </row>
    <row r="46365">
      <c r="B46365" s="36"/>
      <c r="C46365" s="36"/>
      <c r="E46365" s="1"/>
      <c r="F46365" s="1"/>
      <c r="G46365" s="1"/>
    </row>
    <row r="46366">
      <c r="B46366" s="36"/>
      <c r="C46366" s="36"/>
      <c r="E46366" s="1"/>
      <c r="F46366" s="1"/>
      <c r="G46366" s="1"/>
    </row>
    <row r="46367">
      <c r="B46367" s="36"/>
      <c r="C46367" s="36"/>
      <c r="E46367" s="1"/>
      <c r="F46367" s="1"/>
      <c r="G46367" s="1"/>
    </row>
    <row r="46368">
      <c r="B46368" s="36"/>
      <c r="C46368" s="36"/>
      <c r="E46368" s="1"/>
      <c r="F46368" s="1"/>
      <c r="G46368" s="1"/>
    </row>
    <row r="46369">
      <c r="B46369" s="36"/>
      <c r="C46369" s="36"/>
      <c r="E46369" s="1"/>
      <c r="F46369" s="1"/>
      <c r="G46369" s="1"/>
    </row>
    <row r="46370">
      <c r="B46370" s="36"/>
      <c r="C46370" s="36"/>
      <c r="E46370" s="1"/>
      <c r="F46370" s="1"/>
      <c r="G46370" s="1"/>
    </row>
    <row r="46371">
      <c r="B46371" s="36"/>
      <c r="C46371" s="36"/>
      <c r="E46371" s="1"/>
      <c r="F46371" s="1"/>
      <c r="G46371" s="1"/>
    </row>
    <row r="46372">
      <c r="B46372" s="36"/>
      <c r="C46372" s="36"/>
      <c r="E46372" s="1"/>
      <c r="F46372" s="1"/>
      <c r="G46372" s="1"/>
    </row>
    <row r="46373">
      <c r="B46373" s="36"/>
      <c r="C46373" s="36"/>
      <c r="E46373" s="1"/>
      <c r="F46373" s="1"/>
      <c r="G46373" s="1"/>
    </row>
    <row r="46374">
      <c r="B46374" s="36"/>
      <c r="C46374" s="36"/>
      <c r="E46374" s="1"/>
      <c r="F46374" s="1"/>
      <c r="G46374" s="1"/>
    </row>
    <row r="46375">
      <c r="B46375" s="36"/>
      <c r="C46375" s="36"/>
      <c r="E46375" s="1"/>
      <c r="F46375" s="1"/>
      <c r="G46375" s="1"/>
    </row>
    <row r="46376">
      <c r="B46376" s="36"/>
      <c r="C46376" s="36"/>
      <c r="E46376" s="1"/>
      <c r="F46376" s="1"/>
      <c r="G46376" s="1"/>
    </row>
    <row r="46377">
      <c r="B46377" s="36"/>
      <c r="C46377" s="36"/>
      <c r="E46377" s="1"/>
      <c r="F46377" s="1"/>
      <c r="G46377" s="1"/>
    </row>
    <row r="46378">
      <c r="B46378" s="36"/>
      <c r="C46378" s="36"/>
      <c r="E46378" s="1"/>
      <c r="F46378" s="1"/>
      <c r="G46378" s="1"/>
    </row>
    <row r="46379">
      <c r="B46379" s="36"/>
      <c r="C46379" s="36"/>
      <c r="E46379" s="1"/>
      <c r="F46379" s="1"/>
      <c r="G46379" s="1"/>
    </row>
    <row r="46380">
      <c r="B46380" s="36"/>
      <c r="C46380" s="36"/>
      <c r="E46380" s="1"/>
      <c r="F46380" s="1"/>
      <c r="G46380" s="1"/>
    </row>
    <row r="46381">
      <c r="B46381" s="36"/>
      <c r="C46381" s="36"/>
      <c r="E46381" s="1"/>
      <c r="F46381" s="1"/>
      <c r="G46381" s="1"/>
    </row>
    <row r="46382">
      <c r="B46382" s="36"/>
      <c r="C46382" s="36"/>
      <c r="E46382" s="1"/>
      <c r="F46382" s="1"/>
      <c r="G46382" s="1"/>
    </row>
    <row r="46383">
      <c r="B46383" s="36"/>
      <c r="C46383" s="36"/>
      <c r="E46383" s="1"/>
      <c r="F46383" s="1"/>
      <c r="G46383" s="1"/>
    </row>
    <row r="46384">
      <c r="B46384" s="36"/>
      <c r="C46384" s="36"/>
      <c r="E46384" s="1"/>
      <c r="F46384" s="1"/>
      <c r="G46384" s="1"/>
    </row>
    <row r="46385">
      <c r="B46385" s="36"/>
      <c r="C46385" s="36"/>
      <c r="E46385" s="1"/>
      <c r="F46385" s="1"/>
      <c r="G46385" s="1"/>
    </row>
    <row r="46386">
      <c r="B46386" s="36"/>
      <c r="C46386" s="36"/>
      <c r="E46386" s="1"/>
      <c r="F46386" s="1"/>
      <c r="G46386" s="1"/>
    </row>
    <row r="46387">
      <c r="B46387" s="36"/>
      <c r="C46387" s="36"/>
      <c r="E46387" s="1"/>
      <c r="F46387" s="1"/>
      <c r="G46387" s="1"/>
    </row>
    <row r="46388">
      <c r="B46388" s="36"/>
      <c r="C46388" s="36"/>
      <c r="E46388" s="1"/>
      <c r="F46388" s="1"/>
      <c r="G46388" s="1"/>
    </row>
    <row r="46389">
      <c r="B46389" s="36"/>
      <c r="C46389" s="36"/>
      <c r="E46389" s="1"/>
      <c r="F46389" s="1"/>
      <c r="G46389" s="1"/>
    </row>
    <row r="46390">
      <c r="B46390" s="36"/>
      <c r="C46390" s="36"/>
      <c r="E46390" s="1"/>
      <c r="F46390" s="1"/>
      <c r="G46390" s="1"/>
    </row>
    <row r="46391">
      <c r="B46391" s="36"/>
      <c r="C46391" s="36"/>
      <c r="E46391" s="1"/>
      <c r="F46391" s="1"/>
      <c r="G46391" s="1"/>
    </row>
    <row r="46392">
      <c r="B46392" s="36"/>
      <c r="C46392" s="36"/>
      <c r="E46392" s="1"/>
      <c r="F46392" s="1"/>
      <c r="G46392" s="1"/>
    </row>
    <row r="46393">
      <c r="B46393" s="36"/>
      <c r="C46393" s="36"/>
      <c r="E46393" s="1"/>
      <c r="F46393" s="1"/>
      <c r="G46393" s="1"/>
    </row>
    <row r="46394">
      <c r="B46394" s="36"/>
      <c r="C46394" s="36"/>
      <c r="E46394" s="1"/>
      <c r="F46394" s="1"/>
      <c r="G46394" s="1"/>
    </row>
    <row r="46395">
      <c r="B46395" s="36"/>
      <c r="C46395" s="36"/>
      <c r="E46395" s="1"/>
      <c r="F46395" s="1"/>
      <c r="G46395" s="1"/>
    </row>
    <row r="46396">
      <c r="B46396" s="36"/>
      <c r="C46396" s="36"/>
      <c r="E46396" s="1"/>
      <c r="F46396" s="1"/>
      <c r="G46396" s="1"/>
    </row>
    <row r="46397">
      <c r="B46397" s="36"/>
      <c r="C46397" s="36"/>
      <c r="E46397" s="1"/>
      <c r="F46397" s="1"/>
      <c r="G46397" s="1"/>
    </row>
    <row r="46398">
      <c r="B46398" s="36"/>
      <c r="C46398" s="36"/>
      <c r="E46398" s="1"/>
      <c r="F46398" s="1"/>
      <c r="G46398" s="1"/>
    </row>
    <row r="46399">
      <c r="B46399" s="36"/>
      <c r="C46399" s="36"/>
      <c r="E46399" s="1"/>
      <c r="F46399" s="1"/>
      <c r="G46399" s="1"/>
    </row>
    <row r="46400">
      <c r="B46400" s="36"/>
      <c r="C46400" s="36"/>
      <c r="E46400" s="1"/>
      <c r="F46400" s="1"/>
      <c r="G46400" s="1"/>
    </row>
    <row r="46401">
      <c r="B46401" s="36"/>
      <c r="C46401" s="36"/>
      <c r="E46401" s="1"/>
      <c r="F46401" s="1"/>
      <c r="G46401" s="1"/>
    </row>
    <row r="46402">
      <c r="B46402" s="36"/>
      <c r="C46402" s="36"/>
      <c r="E46402" s="1"/>
      <c r="F46402" s="1"/>
      <c r="G46402" s="1"/>
    </row>
    <row r="46403">
      <c r="B46403" s="36"/>
      <c r="C46403" s="36"/>
      <c r="E46403" s="1"/>
      <c r="F46403" s="1"/>
      <c r="G46403" s="1"/>
    </row>
    <row r="46404">
      <c r="B46404" s="36"/>
      <c r="C46404" s="36"/>
      <c r="E46404" s="1"/>
      <c r="F46404" s="1"/>
      <c r="G46404" s="1"/>
    </row>
    <row r="46405">
      <c r="B46405" s="36"/>
      <c r="C46405" s="36"/>
      <c r="E46405" s="1"/>
      <c r="F46405" s="1"/>
      <c r="G46405" s="1"/>
    </row>
    <row r="46406">
      <c r="B46406" s="36"/>
      <c r="C46406" s="36"/>
      <c r="E46406" s="1"/>
      <c r="F46406" s="1"/>
      <c r="G46406" s="1"/>
    </row>
    <row r="46407">
      <c r="B46407" s="36"/>
      <c r="C46407" s="36"/>
      <c r="E46407" s="1"/>
      <c r="F46407" s="1"/>
      <c r="G46407" s="1"/>
    </row>
    <row r="46408">
      <c r="B46408" s="36"/>
      <c r="C46408" s="36"/>
      <c r="E46408" s="1"/>
      <c r="F46408" s="1"/>
      <c r="G46408" s="1"/>
    </row>
    <row r="46409">
      <c r="B46409" s="36"/>
      <c r="C46409" s="36"/>
      <c r="E46409" s="1"/>
      <c r="F46409" s="1"/>
      <c r="G46409" s="1"/>
    </row>
    <row r="46410">
      <c r="B46410" s="36"/>
      <c r="C46410" s="36"/>
      <c r="E46410" s="1"/>
      <c r="F46410" s="1"/>
      <c r="G46410" s="1"/>
    </row>
    <row r="46411">
      <c r="B46411" s="36"/>
      <c r="C46411" s="36"/>
      <c r="E46411" s="1"/>
      <c r="F46411" s="1"/>
      <c r="G46411" s="1"/>
    </row>
    <row r="46412">
      <c r="B46412" s="36"/>
      <c r="C46412" s="36"/>
      <c r="E46412" s="1"/>
      <c r="F46412" s="1"/>
      <c r="G46412" s="1"/>
    </row>
    <row r="46413">
      <c r="B46413" s="36"/>
      <c r="C46413" s="36"/>
      <c r="E46413" s="1"/>
      <c r="F46413" s="1"/>
      <c r="G46413" s="1"/>
    </row>
    <row r="46414">
      <c r="B46414" s="36"/>
      <c r="C46414" s="36"/>
      <c r="E46414" s="1"/>
      <c r="F46414" s="1"/>
      <c r="G46414" s="1"/>
    </row>
    <row r="46415">
      <c r="B46415" s="36"/>
      <c r="C46415" s="36"/>
      <c r="E46415" s="1"/>
      <c r="F46415" s="1"/>
      <c r="G46415" s="1"/>
    </row>
    <row r="46416">
      <c r="B46416" s="36"/>
      <c r="C46416" s="36"/>
      <c r="E46416" s="1"/>
      <c r="F46416" s="1"/>
      <c r="G46416" s="1"/>
    </row>
    <row r="46417">
      <c r="B46417" s="36"/>
      <c r="C46417" s="36"/>
      <c r="E46417" s="1"/>
      <c r="F46417" s="1"/>
      <c r="G46417" s="1"/>
    </row>
    <row r="46418">
      <c r="B46418" s="36"/>
      <c r="C46418" s="36"/>
      <c r="E46418" s="1"/>
      <c r="F46418" s="1"/>
      <c r="G46418" s="1"/>
    </row>
    <row r="46419">
      <c r="B46419" s="36"/>
      <c r="C46419" s="36"/>
      <c r="E46419" s="1"/>
      <c r="F46419" s="1"/>
      <c r="G46419" s="1"/>
    </row>
    <row r="46420">
      <c r="B46420" s="36"/>
      <c r="C46420" s="36"/>
      <c r="E46420" s="1"/>
      <c r="F46420" s="1"/>
      <c r="G46420" s="1"/>
    </row>
    <row r="46421">
      <c r="B46421" s="36"/>
      <c r="C46421" s="36"/>
      <c r="E46421" s="1"/>
      <c r="F46421" s="1"/>
      <c r="G46421" s="1"/>
    </row>
    <row r="46422">
      <c r="B46422" s="36"/>
      <c r="C46422" s="36"/>
      <c r="E46422" s="1"/>
      <c r="F46422" s="1"/>
      <c r="G46422" s="1"/>
    </row>
    <row r="46423">
      <c r="B46423" s="36"/>
      <c r="C46423" s="36"/>
      <c r="E46423" s="1"/>
      <c r="F46423" s="1"/>
      <c r="G46423" s="1"/>
    </row>
    <row r="46424">
      <c r="B46424" s="36"/>
      <c r="C46424" s="36"/>
      <c r="E46424" s="1"/>
      <c r="F46424" s="1"/>
      <c r="G46424" s="1"/>
    </row>
    <row r="46425">
      <c r="B46425" s="36"/>
      <c r="C46425" s="36"/>
      <c r="E46425" s="1"/>
      <c r="F46425" s="1"/>
      <c r="G46425" s="1"/>
    </row>
    <row r="46426">
      <c r="B46426" s="36"/>
      <c r="C46426" s="36"/>
      <c r="E46426" s="1"/>
      <c r="F46426" s="1"/>
      <c r="G46426" s="1"/>
    </row>
    <row r="46427">
      <c r="B46427" s="36"/>
      <c r="C46427" s="36"/>
      <c r="E46427" s="1"/>
      <c r="F46427" s="1"/>
      <c r="G46427" s="1"/>
    </row>
    <row r="46428">
      <c r="B46428" s="36"/>
      <c r="C46428" s="36"/>
      <c r="E46428" s="1"/>
      <c r="F46428" s="1"/>
      <c r="G46428" s="1"/>
    </row>
    <row r="46429">
      <c r="B46429" s="36"/>
      <c r="C46429" s="36"/>
      <c r="E46429" s="1"/>
      <c r="F46429" s="1"/>
      <c r="G46429" s="1"/>
    </row>
    <row r="46430">
      <c r="B46430" s="36"/>
      <c r="C46430" s="36"/>
      <c r="E46430" s="1"/>
      <c r="F46430" s="1"/>
      <c r="G46430" s="1"/>
    </row>
    <row r="46431">
      <c r="B46431" s="36"/>
      <c r="C46431" s="36"/>
      <c r="E46431" s="1"/>
      <c r="F46431" s="1"/>
      <c r="G46431" s="1"/>
    </row>
    <row r="46432">
      <c r="B46432" s="36"/>
      <c r="C46432" s="36"/>
      <c r="E46432" s="1"/>
      <c r="F46432" s="1"/>
      <c r="G46432" s="1"/>
    </row>
    <row r="46433">
      <c r="B46433" s="36"/>
      <c r="C46433" s="36"/>
      <c r="E46433" s="1"/>
      <c r="F46433" s="1"/>
      <c r="G46433" s="1"/>
    </row>
    <row r="46434">
      <c r="B46434" s="36"/>
      <c r="C46434" s="36"/>
      <c r="E46434" s="1"/>
      <c r="F46434" s="1"/>
      <c r="G46434" s="1"/>
    </row>
    <row r="46435">
      <c r="B46435" s="36"/>
      <c r="C46435" s="36"/>
      <c r="E46435" s="1"/>
      <c r="F46435" s="1"/>
      <c r="G46435" s="1"/>
    </row>
    <row r="46436">
      <c r="B46436" s="36"/>
      <c r="C46436" s="36"/>
      <c r="E46436" s="1"/>
      <c r="F46436" s="1"/>
      <c r="G46436" s="1"/>
    </row>
    <row r="46437">
      <c r="B46437" s="36"/>
      <c r="C46437" s="36"/>
      <c r="E46437" s="1"/>
      <c r="F46437" s="1"/>
      <c r="G46437" s="1"/>
    </row>
    <row r="46438">
      <c r="B46438" s="36"/>
      <c r="C46438" s="36"/>
      <c r="E46438" s="1"/>
      <c r="F46438" s="1"/>
      <c r="G46438" s="1"/>
    </row>
    <row r="46439">
      <c r="B46439" s="36"/>
      <c r="C46439" s="36"/>
      <c r="E46439" s="1"/>
      <c r="F46439" s="1"/>
      <c r="G46439" s="1"/>
    </row>
    <row r="46440">
      <c r="B46440" s="36"/>
      <c r="C46440" s="36"/>
      <c r="E46440" s="1"/>
      <c r="F46440" s="1"/>
      <c r="G46440" s="1"/>
    </row>
    <row r="46441">
      <c r="B46441" s="36"/>
      <c r="C46441" s="36"/>
      <c r="E46441" s="1"/>
      <c r="F46441" s="1"/>
      <c r="G46441" s="1"/>
    </row>
    <row r="46442">
      <c r="B46442" s="36"/>
      <c r="C46442" s="36"/>
      <c r="E46442" s="1"/>
      <c r="F46442" s="1"/>
      <c r="G46442" s="1"/>
    </row>
    <row r="46443">
      <c r="B46443" s="36"/>
      <c r="C46443" s="36"/>
      <c r="E46443" s="1"/>
      <c r="F46443" s="1"/>
      <c r="G46443" s="1"/>
    </row>
    <row r="46444">
      <c r="B46444" s="36"/>
      <c r="C46444" s="36"/>
      <c r="E46444" s="1"/>
      <c r="F46444" s="1"/>
      <c r="G46444" s="1"/>
    </row>
    <row r="46445">
      <c r="B46445" s="36"/>
      <c r="C46445" s="36"/>
      <c r="E46445" s="1"/>
      <c r="F46445" s="1"/>
      <c r="G46445" s="1"/>
    </row>
    <row r="46446">
      <c r="B46446" s="36"/>
      <c r="C46446" s="36"/>
      <c r="E46446" s="1"/>
      <c r="F46446" s="1"/>
      <c r="G46446" s="1"/>
    </row>
    <row r="46447">
      <c r="B46447" s="36"/>
      <c r="C46447" s="36"/>
      <c r="E46447" s="1"/>
      <c r="F46447" s="1"/>
      <c r="G46447" s="1"/>
    </row>
    <row r="46448">
      <c r="B46448" s="36"/>
      <c r="C46448" s="36"/>
      <c r="E46448" s="1"/>
      <c r="F46448" s="1"/>
      <c r="G46448" s="1"/>
    </row>
    <row r="46449">
      <c r="B46449" s="36"/>
      <c r="C46449" s="36"/>
      <c r="E46449" s="1"/>
      <c r="F46449" s="1"/>
      <c r="G46449" s="1"/>
    </row>
    <row r="46450">
      <c r="B46450" s="36"/>
      <c r="C46450" s="36"/>
      <c r="E46450" s="1"/>
      <c r="F46450" s="1"/>
      <c r="G46450" s="1"/>
    </row>
    <row r="46451">
      <c r="B46451" s="36"/>
      <c r="C46451" s="36"/>
      <c r="E46451" s="1"/>
      <c r="F46451" s="1"/>
      <c r="G46451" s="1"/>
    </row>
    <row r="46452">
      <c r="B46452" s="36"/>
      <c r="C46452" s="36"/>
      <c r="E46452" s="1"/>
      <c r="F46452" s="1"/>
      <c r="G46452" s="1"/>
    </row>
    <row r="46453">
      <c r="B46453" s="36"/>
      <c r="C46453" s="36"/>
      <c r="E46453" s="1"/>
      <c r="F46453" s="1"/>
      <c r="G46453" s="1"/>
    </row>
    <row r="46454">
      <c r="B46454" s="36"/>
      <c r="C46454" s="36"/>
      <c r="E46454" s="1"/>
      <c r="F46454" s="1"/>
      <c r="G46454" s="1"/>
    </row>
    <row r="46455">
      <c r="B46455" s="36"/>
      <c r="C46455" s="36"/>
      <c r="E46455" s="1"/>
      <c r="F46455" s="1"/>
      <c r="G46455" s="1"/>
    </row>
    <row r="46456">
      <c r="B46456" s="36"/>
      <c r="C46456" s="36"/>
      <c r="E46456" s="1"/>
      <c r="F46456" s="1"/>
      <c r="G46456" s="1"/>
    </row>
    <row r="46457">
      <c r="B46457" s="36"/>
      <c r="C46457" s="36"/>
      <c r="E46457" s="1"/>
      <c r="F46457" s="1"/>
      <c r="G46457" s="1"/>
    </row>
    <row r="46458">
      <c r="B46458" s="36"/>
      <c r="C46458" s="36"/>
      <c r="E46458" s="1"/>
      <c r="F46458" s="1"/>
      <c r="G46458" s="1"/>
    </row>
    <row r="46459">
      <c r="B46459" s="36"/>
      <c r="C46459" s="36"/>
      <c r="E46459" s="1"/>
      <c r="F46459" s="1"/>
      <c r="G46459" s="1"/>
    </row>
    <row r="46460">
      <c r="B46460" s="36"/>
      <c r="C46460" s="36"/>
      <c r="E46460" s="1"/>
      <c r="F46460" s="1"/>
      <c r="G46460" s="1"/>
    </row>
    <row r="46461">
      <c r="B46461" s="36"/>
      <c r="C46461" s="36"/>
      <c r="E46461" s="1"/>
      <c r="F46461" s="1"/>
      <c r="G46461" s="1"/>
    </row>
    <row r="46462">
      <c r="B46462" s="36"/>
      <c r="C46462" s="36"/>
      <c r="E46462" s="1"/>
      <c r="F46462" s="1"/>
      <c r="G46462" s="1"/>
    </row>
    <row r="46463">
      <c r="B46463" s="36"/>
      <c r="C46463" s="36"/>
      <c r="E46463" s="1"/>
      <c r="F46463" s="1"/>
      <c r="G46463" s="1"/>
    </row>
    <row r="46464">
      <c r="B46464" s="36"/>
      <c r="C46464" s="36"/>
      <c r="E46464" s="1"/>
      <c r="F46464" s="1"/>
      <c r="G46464" s="1"/>
    </row>
    <row r="46465">
      <c r="B46465" s="36"/>
      <c r="C46465" s="36"/>
      <c r="E46465" s="1"/>
      <c r="F46465" s="1"/>
      <c r="G46465" s="1"/>
    </row>
    <row r="46466">
      <c r="B46466" s="36"/>
      <c r="C46466" s="36"/>
      <c r="E46466" s="1"/>
      <c r="F46466" s="1"/>
      <c r="G46466" s="1"/>
    </row>
    <row r="46467">
      <c r="B46467" s="36"/>
      <c r="C46467" s="36"/>
      <c r="E46467" s="1"/>
      <c r="F46467" s="1"/>
      <c r="G46467" s="1"/>
    </row>
    <row r="46468">
      <c r="B46468" s="36"/>
      <c r="C46468" s="36"/>
      <c r="E46468" s="1"/>
      <c r="F46468" s="1"/>
      <c r="G46468" s="1"/>
    </row>
    <row r="46469">
      <c r="B46469" s="36"/>
      <c r="C46469" s="36"/>
      <c r="E46469" s="1"/>
      <c r="F46469" s="1"/>
      <c r="G46469" s="1"/>
    </row>
    <row r="46470">
      <c r="B46470" s="36"/>
      <c r="C46470" s="36"/>
      <c r="E46470" s="1"/>
      <c r="F46470" s="1"/>
      <c r="G46470" s="1"/>
    </row>
    <row r="46471">
      <c r="B46471" s="36"/>
      <c r="C46471" s="36"/>
      <c r="E46471" s="1"/>
      <c r="F46471" s="1"/>
      <c r="G46471" s="1"/>
    </row>
    <row r="46472">
      <c r="B46472" s="36"/>
      <c r="C46472" s="36"/>
      <c r="E46472" s="1"/>
      <c r="F46472" s="1"/>
      <c r="G46472" s="1"/>
    </row>
    <row r="46473">
      <c r="B46473" s="36"/>
      <c r="C46473" s="36"/>
      <c r="E46473" s="1"/>
      <c r="F46473" s="1"/>
      <c r="G46473" s="1"/>
    </row>
    <row r="46474">
      <c r="B46474" s="36"/>
      <c r="C46474" s="36"/>
      <c r="E46474" s="1"/>
      <c r="F46474" s="1"/>
      <c r="G46474" s="1"/>
    </row>
    <row r="46475">
      <c r="B46475" s="36"/>
      <c r="C46475" s="36"/>
      <c r="E46475" s="1"/>
      <c r="F46475" s="1"/>
      <c r="G46475" s="1"/>
    </row>
    <row r="46476">
      <c r="B46476" s="36"/>
      <c r="C46476" s="36"/>
      <c r="E46476" s="1"/>
      <c r="F46476" s="1"/>
      <c r="G46476" s="1"/>
    </row>
    <row r="46477">
      <c r="B46477" s="36"/>
      <c r="C46477" s="36"/>
      <c r="E46477" s="1"/>
      <c r="F46477" s="1"/>
      <c r="G46477" s="1"/>
    </row>
    <row r="46478">
      <c r="B46478" s="36"/>
      <c r="C46478" s="36"/>
      <c r="E46478" s="1"/>
      <c r="F46478" s="1"/>
      <c r="G46478" s="1"/>
    </row>
    <row r="46479">
      <c r="B46479" s="36"/>
      <c r="C46479" s="36"/>
      <c r="E46479" s="1"/>
      <c r="F46479" s="1"/>
      <c r="G46479" s="1"/>
    </row>
    <row r="46480">
      <c r="B46480" s="36"/>
      <c r="C46480" s="36"/>
      <c r="E46480" s="1"/>
      <c r="F46480" s="1"/>
      <c r="G46480" s="1"/>
    </row>
    <row r="46481">
      <c r="B46481" s="36"/>
      <c r="C46481" s="36"/>
      <c r="E46481" s="1"/>
      <c r="F46481" s="1"/>
      <c r="G46481" s="1"/>
    </row>
    <row r="46482">
      <c r="B46482" s="36"/>
      <c r="C46482" s="36"/>
      <c r="E46482" s="1"/>
      <c r="F46482" s="1"/>
      <c r="G46482" s="1"/>
    </row>
    <row r="46483">
      <c r="B46483" s="36"/>
      <c r="C46483" s="36"/>
      <c r="E46483" s="1"/>
      <c r="F46483" s="1"/>
      <c r="G46483" s="1"/>
    </row>
    <row r="46484">
      <c r="B46484" s="36"/>
      <c r="C46484" s="36"/>
      <c r="E46484" s="1"/>
      <c r="F46484" s="1"/>
      <c r="G46484" s="1"/>
    </row>
    <row r="46485">
      <c r="B46485" s="36"/>
      <c r="C46485" s="36"/>
      <c r="E46485" s="1"/>
      <c r="F46485" s="1"/>
      <c r="G46485" s="1"/>
    </row>
    <row r="46486">
      <c r="B46486" s="36"/>
      <c r="C46486" s="36"/>
      <c r="E46486" s="1"/>
      <c r="F46486" s="1"/>
      <c r="G46486" s="1"/>
    </row>
    <row r="46487">
      <c r="B46487" s="36"/>
      <c r="C46487" s="36"/>
      <c r="E46487" s="1"/>
      <c r="F46487" s="1"/>
      <c r="G46487" s="1"/>
    </row>
    <row r="46488">
      <c r="B46488" s="36"/>
      <c r="C46488" s="36"/>
      <c r="E46488" s="1"/>
      <c r="F46488" s="1"/>
      <c r="G46488" s="1"/>
    </row>
    <row r="46489">
      <c r="B46489" s="36"/>
      <c r="C46489" s="36"/>
      <c r="E46489" s="1"/>
      <c r="F46489" s="1"/>
      <c r="G46489" s="1"/>
    </row>
    <row r="46490">
      <c r="B46490" s="36"/>
      <c r="C46490" s="36"/>
      <c r="E46490" s="1"/>
      <c r="F46490" s="1"/>
      <c r="G46490" s="1"/>
    </row>
    <row r="46491">
      <c r="B46491" s="36"/>
      <c r="C46491" s="36"/>
      <c r="E46491" s="1"/>
      <c r="F46491" s="1"/>
      <c r="G46491" s="1"/>
    </row>
    <row r="46492">
      <c r="B46492" s="36"/>
      <c r="C46492" s="36"/>
      <c r="E46492" s="1"/>
      <c r="F46492" s="1"/>
      <c r="G46492" s="1"/>
    </row>
    <row r="46493">
      <c r="B46493" s="36"/>
      <c r="C46493" s="36"/>
      <c r="E46493" s="1"/>
      <c r="F46493" s="1"/>
      <c r="G46493" s="1"/>
    </row>
    <row r="46494">
      <c r="B46494" s="36"/>
      <c r="C46494" s="36"/>
      <c r="E46494" s="1"/>
      <c r="F46494" s="1"/>
      <c r="G46494" s="1"/>
    </row>
    <row r="46495">
      <c r="B46495" s="36"/>
      <c r="C46495" s="36"/>
      <c r="E46495" s="1"/>
      <c r="F46495" s="1"/>
      <c r="G46495" s="1"/>
    </row>
    <row r="46496">
      <c r="B46496" s="36"/>
      <c r="C46496" s="36"/>
      <c r="E46496" s="1"/>
      <c r="F46496" s="1"/>
      <c r="G46496" s="1"/>
    </row>
    <row r="46497">
      <c r="B46497" s="36"/>
      <c r="C46497" s="36"/>
      <c r="E46497" s="1"/>
      <c r="F46497" s="1"/>
      <c r="G46497" s="1"/>
    </row>
    <row r="46498">
      <c r="B46498" s="36"/>
      <c r="C46498" s="36"/>
      <c r="E46498" s="1"/>
      <c r="F46498" s="1"/>
      <c r="G46498" s="1"/>
    </row>
    <row r="46499">
      <c r="B46499" s="36"/>
      <c r="C46499" s="36"/>
      <c r="E46499" s="1"/>
      <c r="F46499" s="1"/>
      <c r="G46499" s="1"/>
    </row>
    <row r="46500">
      <c r="B46500" s="36"/>
      <c r="C46500" s="36"/>
      <c r="E46500" s="1"/>
      <c r="F46500" s="1"/>
      <c r="G46500" s="1"/>
    </row>
    <row r="46501">
      <c r="B46501" s="36"/>
      <c r="C46501" s="36"/>
      <c r="E46501" s="1"/>
      <c r="F46501" s="1"/>
      <c r="G46501" s="1"/>
    </row>
    <row r="46502">
      <c r="B46502" s="36"/>
      <c r="C46502" s="36"/>
      <c r="E46502" s="1"/>
      <c r="F46502" s="1"/>
      <c r="G46502" s="1"/>
    </row>
    <row r="46503">
      <c r="B46503" s="36"/>
      <c r="C46503" s="36"/>
      <c r="E46503" s="1"/>
      <c r="F46503" s="1"/>
      <c r="G46503" s="1"/>
    </row>
    <row r="46504">
      <c r="B46504" s="36"/>
      <c r="C46504" s="36"/>
      <c r="E46504" s="1"/>
      <c r="F46504" s="1"/>
      <c r="G46504" s="1"/>
    </row>
    <row r="46505">
      <c r="B46505" s="36"/>
      <c r="C46505" s="36"/>
      <c r="E46505" s="1"/>
      <c r="F46505" s="1"/>
      <c r="G46505" s="1"/>
    </row>
    <row r="46506">
      <c r="B46506" s="36"/>
      <c r="C46506" s="36"/>
      <c r="E46506" s="1"/>
      <c r="F46506" s="1"/>
      <c r="G46506" s="1"/>
    </row>
    <row r="46507">
      <c r="B46507" s="36"/>
      <c r="C46507" s="36"/>
      <c r="E46507" s="1"/>
      <c r="F46507" s="1"/>
      <c r="G46507" s="1"/>
    </row>
    <row r="46508">
      <c r="B46508" s="36"/>
      <c r="C46508" s="36"/>
      <c r="E46508" s="1"/>
      <c r="F46508" s="1"/>
      <c r="G46508" s="1"/>
    </row>
    <row r="46509">
      <c r="B46509" s="36"/>
      <c r="C46509" s="36"/>
      <c r="E46509" s="1"/>
      <c r="F46509" s="1"/>
      <c r="G46509" s="1"/>
    </row>
    <row r="46510">
      <c r="B46510" s="36"/>
      <c r="C46510" s="36"/>
      <c r="E46510" s="1"/>
      <c r="F46510" s="1"/>
      <c r="G46510" s="1"/>
    </row>
    <row r="46511">
      <c r="B46511" s="36"/>
      <c r="C46511" s="36"/>
      <c r="E46511" s="1"/>
      <c r="F46511" s="1"/>
      <c r="G46511" s="1"/>
    </row>
    <row r="46512">
      <c r="B46512" s="36"/>
      <c r="C46512" s="36"/>
      <c r="E46512" s="1"/>
      <c r="F46512" s="1"/>
      <c r="G46512" s="1"/>
    </row>
    <row r="46513">
      <c r="B46513" s="36"/>
      <c r="C46513" s="36"/>
      <c r="E46513" s="1"/>
      <c r="F46513" s="1"/>
      <c r="G46513" s="1"/>
    </row>
    <row r="46514">
      <c r="B46514" s="36"/>
      <c r="C46514" s="36"/>
      <c r="E46514" s="1"/>
      <c r="F46514" s="1"/>
      <c r="G46514" s="1"/>
    </row>
    <row r="46515">
      <c r="B46515" s="36"/>
      <c r="C46515" s="36"/>
      <c r="E46515" s="1"/>
      <c r="F46515" s="1"/>
      <c r="G46515" s="1"/>
    </row>
    <row r="46516">
      <c r="B46516" s="36"/>
      <c r="C46516" s="36"/>
      <c r="E46516" s="1"/>
      <c r="F46516" s="1"/>
      <c r="G46516" s="1"/>
    </row>
    <row r="46517">
      <c r="B46517" s="36"/>
      <c r="C46517" s="36"/>
      <c r="E46517" s="1"/>
      <c r="F46517" s="1"/>
      <c r="G46517" s="1"/>
    </row>
    <row r="46518">
      <c r="B46518" s="36"/>
      <c r="C46518" s="36"/>
      <c r="E46518" s="1"/>
      <c r="F46518" s="1"/>
      <c r="G46518" s="1"/>
    </row>
    <row r="46519">
      <c r="B46519" s="36"/>
      <c r="C46519" s="36"/>
      <c r="E46519" s="1"/>
      <c r="F46519" s="1"/>
      <c r="G46519" s="1"/>
    </row>
    <row r="46520">
      <c r="B46520" s="36"/>
      <c r="C46520" s="36"/>
      <c r="E46520" s="1"/>
      <c r="F46520" s="1"/>
      <c r="G46520" s="1"/>
    </row>
    <row r="46521">
      <c r="B46521" s="36"/>
      <c r="C46521" s="36"/>
      <c r="E46521" s="1"/>
      <c r="F46521" s="1"/>
      <c r="G46521" s="1"/>
    </row>
    <row r="46522">
      <c r="B46522" s="36"/>
      <c r="C46522" s="36"/>
      <c r="E46522" s="1"/>
      <c r="F46522" s="1"/>
      <c r="G46522" s="1"/>
    </row>
    <row r="46523">
      <c r="B46523" s="36"/>
      <c r="C46523" s="36"/>
      <c r="E46523" s="1"/>
      <c r="F46523" s="1"/>
      <c r="G46523" s="1"/>
    </row>
    <row r="46524">
      <c r="B46524" s="36"/>
      <c r="C46524" s="36"/>
      <c r="E46524" s="1"/>
      <c r="F46524" s="1"/>
      <c r="G46524" s="1"/>
    </row>
    <row r="46525">
      <c r="B46525" s="36"/>
      <c r="C46525" s="36"/>
      <c r="E46525" s="1"/>
      <c r="F46525" s="1"/>
      <c r="G46525" s="1"/>
    </row>
    <row r="46526">
      <c r="B46526" s="36"/>
      <c r="C46526" s="36"/>
      <c r="E46526" s="1"/>
      <c r="F46526" s="1"/>
      <c r="G46526" s="1"/>
    </row>
    <row r="46527">
      <c r="B46527" s="36"/>
      <c r="C46527" s="36"/>
      <c r="E46527" s="1"/>
      <c r="F46527" s="1"/>
      <c r="G46527" s="1"/>
    </row>
    <row r="46528">
      <c r="B46528" s="36"/>
      <c r="C46528" s="36"/>
      <c r="E46528" s="1"/>
      <c r="F46528" s="1"/>
      <c r="G46528" s="1"/>
    </row>
    <row r="46529">
      <c r="B46529" s="36"/>
      <c r="C46529" s="36"/>
      <c r="E46529" s="1"/>
      <c r="F46529" s="1"/>
      <c r="G46529" s="1"/>
    </row>
    <row r="46530">
      <c r="B46530" s="36"/>
      <c r="C46530" s="36"/>
      <c r="E46530" s="1"/>
      <c r="F46530" s="1"/>
      <c r="G46530" s="1"/>
    </row>
    <row r="46531">
      <c r="B46531" s="36"/>
      <c r="C46531" s="36"/>
      <c r="E46531" s="1"/>
      <c r="F46531" s="1"/>
      <c r="G46531" s="1"/>
    </row>
    <row r="46532">
      <c r="B46532" s="36"/>
      <c r="C46532" s="36"/>
      <c r="E46532" s="1"/>
      <c r="F46532" s="1"/>
      <c r="G46532" s="1"/>
    </row>
    <row r="46533">
      <c r="B46533" s="36"/>
      <c r="C46533" s="36"/>
      <c r="E46533" s="1"/>
      <c r="F46533" s="1"/>
      <c r="G46533" s="1"/>
    </row>
    <row r="46534">
      <c r="B46534" s="36"/>
      <c r="C46534" s="36"/>
      <c r="E46534" s="1"/>
      <c r="F46534" s="1"/>
      <c r="G46534" s="1"/>
    </row>
    <row r="46535">
      <c r="B46535" s="36"/>
      <c r="C46535" s="36"/>
      <c r="E46535" s="1"/>
      <c r="F46535" s="1"/>
      <c r="G46535" s="1"/>
    </row>
    <row r="46536">
      <c r="B46536" s="36"/>
      <c r="C46536" s="36"/>
      <c r="E46536" s="1"/>
      <c r="F46536" s="1"/>
      <c r="G46536" s="1"/>
    </row>
    <row r="46537">
      <c r="B46537" s="36"/>
      <c r="C46537" s="36"/>
      <c r="E46537" s="1"/>
      <c r="F46537" s="1"/>
      <c r="G46537" s="1"/>
    </row>
    <row r="46538">
      <c r="B46538" s="36"/>
      <c r="C46538" s="36"/>
      <c r="E46538" s="1"/>
      <c r="F46538" s="1"/>
      <c r="G46538" s="1"/>
    </row>
    <row r="46539">
      <c r="B46539" s="36"/>
      <c r="C46539" s="36"/>
      <c r="E46539" s="1"/>
      <c r="F46539" s="1"/>
      <c r="G46539" s="1"/>
    </row>
    <row r="46540">
      <c r="B46540" s="36"/>
      <c r="C46540" s="36"/>
      <c r="E46540" s="1"/>
      <c r="F46540" s="1"/>
      <c r="G46540" s="1"/>
    </row>
    <row r="46541">
      <c r="B46541" s="36"/>
      <c r="C46541" s="36"/>
      <c r="E46541" s="1"/>
      <c r="F46541" s="1"/>
      <c r="G46541" s="1"/>
    </row>
    <row r="46542">
      <c r="B46542" s="36"/>
      <c r="C46542" s="36"/>
      <c r="E46542" s="1"/>
      <c r="F46542" s="1"/>
      <c r="G46542" s="1"/>
    </row>
    <row r="46543">
      <c r="B46543" s="36"/>
      <c r="C46543" s="36"/>
      <c r="E46543" s="1"/>
      <c r="F46543" s="1"/>
      <c r="G46543" s="1"/>
    </row>
    <row r="46544">
      <c r="B46544" s="36"/>
      <c r="C46544" s="36"/>
      <c r="E46544" s="1"/>
      <c r="F46544" s="1"/>
      <c r="G46544" s="1"/>
    </row>
    <row r="46545">
      <c r="B46545" s="36"/>
      <c r="C46545" s="36"/>
      <c r="E46545" s="1"/>
      <c r="F46545" s="1"/>
      <c r="G46545" s="1"/>
    </row>
    <row r="46546">
      <c r="B46546" s="36"/>
      <c r="C46546" s="36"/>
      <c r="E46546" s="1"/>
      <c r="F46546" s="1"/>
      <c r="G46546" s="1"/>
    </row>
    <row r="46547">
      <c r="B46547" s="36"/>
      <c r="C46547" s="36"/>
      <c r="E46547" s="1"/>
      <c r="F46547" s="1"/>
      <c r="G46547" s="1"/>
    </row>
    <row r="46548">
      <c r="B46548" s="36"/>
      <c r="C46548" s="36"/>
      <c r="E46548" s="1"/>
      <c r="F46548" s="1"/>
      <c r="G46548" s="1"/>
    </row>
    <row r="46549">
      <c r="B46549" s="36"/>
      <c r="C46549" s="36"/>
      <c r="E46549" s="1"/>
      <c r="F46549" s="1"/>
      <c r="G46549" s="1"/>
    </row>
    <row r="46550">
      <c r="B46550" s="36"/>
      <c r="C46550" s="36"/>
      <c r="E46550" s="1"/>
      <c r="F46550" s="1"/>
      <c r="G46550" s="1"/>
    </row>
    <row r="46551">
      <c r="B46551" s="36"/>
      <c r="C46551" s="36"/>
      <c r="E46551" s="1"/>
      <c r="F46551" s="1"/>
      <c r="G46551" s="1"/>
    </row>
    <row r="46552">
      <c r="B46552" s="36"/>
      <c r="C46552" s="36"/>
      <c r="E46552" s="1"/>
      <c r="F46552" s="1"/>
      <c r="G46552" s="1"/>
    </row>
    <row r="46553">
      <c r="B46553" s="36"/>
      <c r="C46553" s="36"/>
      <c r="E46553" s="1"/>
      <c r="F46553" s="1"/>
      <c r="G46553" s="1"/>
    </row>
    <row r="46554">
      <c r="B46554" s="36"/>
      <c r="C46554" s="36"/>
      <c r="E46554" s="1"/>
      <c r="F46554" s="1"/>
      <c r="G46554" s="1"/>
    </row>
    <row r="46555">
      <c r="B46555" s="36"/>
      <c r="C46555" s="36"/>
      <c r="E46555" s="1"/>
      <c r="F46555" s="1"/>
      <c r="G46555" s="1"/>
    </row>
    <row r="46556">
      <c r="B46556" s="36"/>
      <c r="C46556" s="36"/>
      <c r="E46556" s="1"/>
      <c r="F46556" s="1"/>
      <c r="G46556" s="1"/>
    </row>
    <row r="46557">
      <c r="B46557" s="36"/>
      <c r="C46557" s="36"/>
      <c r="E46557" s="1"/>
      <c r="F46557" s="1"/>
      <c r="G46557" s="1"/>
    </row>
    <row r="46558">
      <c r="B46558" s="36"/>
      <c r="C46558" s="36"/>
      <c r="E46558" s="1"/>
      <c r="F46558" s="1"/>
      <c r="G46558" s="1"/>
    </row>
    <row r="46559">
      <c r="B46559" s="36"/>
      <c r="C46559" s="36"/>
      <c r="E46559" s="1"/>
      <c r="F46559" s="1"/>
      <c r="G46559" s="1"/>
    </row>
    <row r="46560">
      <c r="B46560" s="36"/>
      <c r="C46560" s="36"/>
      <c r="E46560" s="1"/>
      <c r="F46560" s="1"/>
      <c r="G46560" s="1"/>
    </row>
    <row r="46561">
      <c r="B46561" s="36"/>
      <c r="C46561" s="36"/>
      <c r="E46561" s="1"/>
      <c r="F46561" s="1"/>
      <c r="G46561" s="1"/>
    </row>
    <row r="46562">
      <c r="B46562" s="36"/>
      <c r="C46562" s="36"/>
      <c r="E46562" s="1"/>
      <c r="F46562" s="1"/>
      <c r="G46562" s="1"/>
    </row>
    <row r="46563">
      <c r="B46563" s="36"/>
      <c r="C46563" s="36"/>
      <c r="E46563" s="1"/>
      <c r="F46563" s="1"/>
      <c r="G46563" s="1"/>
    </row>
    <row r="46564">
      <c r="B46564" s="36"/>
      <c r="C46564" s="36"/>
      <c r="E46564" s="1"/>
      <c r="F46564" s="1"/>
      <c r="G46564" s="1"/>
    </row>
    <row r="46565">
      <c r="B46565" s="36"/>
      <c r="C46565" s="36"/>
      <c r="E46565" s="1"/>
      <c r="F46565" s="1"/>
      <c r="G46565" s="1"/>
    </row>
    <row r="46566">
      <c r="B46566" s="36"/>
      <c r="C46566" s="36"/>
      <c r="E46566" s="1"/>
      <c r="F46566" s="1"/>
      <c r="G46566" s="1"/>
    </row>
    <row r="46567">
      <c r="B46567" s="36"/>
      <c r="C46567" s="36"/>
      <c r="E46567" s="1"/>
      <c r="F46567" s="1"/>
      <c r="G46567" s="1"/>
    </row>
    <row r="46568">
      <c r="B46568" s="36"/>
      <c r="C46568" s="36"/>
      <c r="E46568" s="1"/>
      <c r="F46568" s="1"/>
      <c r="G46568" s="1"/>
    </row>
    <row r="46569">
      <c r="B46569" s="36"/>
      <c r="C46569" s="36"/>
      <c r="E46569" s="1"/>
      <c r="F46569" s="1"/>
      <c r="G46569" s="1"/>
    </row>
    <row r="46570">
      <c r="B46570" s="36"/>
      <c r="C46570" s="36"/>
      <c r="E46570" s="1"/>
      <c r="F46570" s="1"/>
      <c r="G46570" s="1"/>
    </row>
    <row r="46571">
      <c r="B46571" s="36"/>
      <c r="C46571" s="36"/>
      <c r="E46571" s="1"/>
      <c r="F46571" s="1"/>
      <c r="G46571" s="1"/>
    </row>
    <row r="46572">
      <c r="B46572" s="36"/>
      <c r="C46572" s="36"/>
      <c r="E46572" s="1"/>
      <c r="F46572" s="1"/>
      <c r="G46572" s="1"/>
    </row>
    <row r="46573">
      <c r="B46573" s="36"/>
      <c r="C46573" s="36"/>
      <c r="E46573" s="1"/>
      <c r="F46573" s="1"/>
      <c r="G46573" s="1"/>
    </row>
    <row r="46574">
      <c r="B46574" s="36"/>
      <c r="C46574" s="36"/>
      <c r="E46574" s="1"/>
      <c r="F46574" s="1"/>
      <c r="G46574" s="1"/>
    </row>
    <row r="46575">
      <c r="B46575" s="36"/>
      <c r="C46575" s="36"/>
      <c r="E46575" s="1"/>
      <c r="F46575" s="1"/>
      <c r="G46575" s="1"/>
    </row>
    <row r="46576">
      <c r="B46576" s="36"/>
      <c r="C46576" s="36"/>
      <c r="E46576" s="1"/>
      <c r="F46576" s="1"/>
      <c r="G46576" s="1"/>
    </row>
    <row r="46577">
      <c r="B46577" s="36"/>
      <c r="C46577" s="36"/>
      <c r="E46577" s="1"/>
      <c r="F46577" s="1"/>
      <c r="G46577" s="1"/>
    </row>
    <row r="46578">
      <c r="B46578" s="36"/>
      <c r="C46578" s="36"/>
      <c r="E46578" s="1"/>
      <c r="F46578" s="1"/>
      <c r="G46578" s="1"/>
    </row>
    <row r="46579">
      <c r="B46579" s="36"/>
      <c r="C46579" s="36"/>
      <c r="E46579" s="1"/>
      <c r="F46579" s="1"/>
      <c r="G46579" s="1"/>
    </row>
    <row r="46580">
      <c r="B46580" s="36"/>
      <c r="C46580" s="36"/>
      <c r="E46580" s="1"/>
      <c r="F46580" s="1"/>
      <c r="G46580" s="1"/>
    </row>
    <row r="46581">
      <c r="B46581" s="36"/>
      <c r="C46581" s="36"/>
      <c r="E46581" s="1"/>
      <c r="F46581" s="1"/>
      <c r="G46581" s="1"/>
    </row>
    <row r="46582">
      <c r="B46582" s="36"/>
      <c r="C46582" s="36"/>
      <c r="E46582" s="1"/>
      <c r="F46582" s="1"/>
      <c r="G46582" s="1"/>
    </row>
    <row r="46583">
      <c r="B46583" s="36"/>
      <c r="C46583" s="36"/>
      <c r="E46583" s="1"/>
      <c r="F46583" s="1"/>
      <c r="G46583" s="1"/>
    </row>
    <row r="46584">
      <c r="B46584" s="36"/>
      <c r="C46584" s="36"/>
      <c r="E46584" s="1"/>
      <c r="F46584" s="1"/>
      <c r="G46584" s="1"/>
    </row>
    <row r="46585">
      <c r="B46585" s="36"/>
      <c r="C46585" s="36"/>
      <c r="E46585" s="1"/>
      <c r="F46585" s="1"/>
      <c r="G46585" s="1"/>
    </row>
    <row r="46586">
      <c r="B46586" s="36"/>
      <c r="C46586" s="36"/>
      <c r="E46586" s="1"/>
      <c r="F46586" s="1"/>
      <c r="G46586" s="1"/>
    </row>
    <row r="46587">
      <c r="B46587" s="36"/>
      <c r="C46587" s="36"/>
      <c r="E46587" s="1"/>
      <c r="F46587" s="1"/>
      <c r="G46587" s="1"/>
    </row>
    <row r="46588">
      <c r="B46588" s="36"/>
      <c r="C46588" s="36"/>
      <c r="E46588" s="1"/>
      <c r="F46588" s="1"/>
      <c r="G46588" s="1"/>
    </row>
    <row r="46589">
      <c r="B46589" s="36"/>
      <c r="C46589" s="36"/>
      <c r="E46589" s="1"/>
      <c r="F46589" s="1"/>
      <c r="G46589" s="1"/>
    </row>
    <row r="46590">
      <c r="B46590" s="36"/>
      <c r="C46590" s="36"/>
      <c r="E46590" s="1"/>
      <c r="F46590" s="1"/>
      <c r="G46590" s="1"/>
    </row>
    <row r="46591">
      <c r="B46591" s="36"/>
      <c r="C46591" s="36"/>
      <c r="E46591" s="1"/>
      <c r="F46591" s="1"/>
      <c r="G46591" s="1"/>
    </row>
    <row r="46592">
      <c r="B46592" s="36"/>
      <c r="C46592" s="36"/>
      <c r="E46592" s="1"/>
      <c r="F46592" s="1"/>
      <c r="G46592" s="1"/>
    </row>
    <row r="46593">
      <c r="B46593" s="36"/>
      <c r="C46593" s="36"/>
      <c r="E46593" s="1"/>
      <c r="F46593" s="1"/>
      <c r="G46593" s="1"/>
    </row>
    <row r="46594">
      <c r="B46594" s="36"/>
      <c r="C46594" s="36"/>
      <c r="E46594" s="1"/>
      <c r="F46594" s="1"/>
      <c r="G46594" s="1"/>
    </row>
    <row r="46595">
      <c r="B46595" s="36"/>
      <c r="C46595" s="36"/>
      <c r="E46595" s="1"/>
      <c r="F46595" s="1"/>
      <c r="G46595" s="1"/>
    </row>
    <row r="46596">
      <c r="B46596" s="36"/>
      <c r="C46596" s="36"/>
      <c r="E46596" s="1"/>
      <c r="F46596" s="1"/>
      <c r="G46596" s="1"/>
    </row>
    <row r="46597">
      <c r="B46597" s="36"/>
      <c r="C46597" s="36"/>
      <c r="E46597" s="1"/>
      <c r="F46597" s="1"/>
      <c r="G46597" s="1"/>
    </row>
    <row r="46598">
      <c r="B46598" s="36"/>
      <c r="C46598" s="36"/>
      <c r="E46598" s="1"/>
      <c r="F46598" s="1"/>
      <c r="G46598" s="1"/>
    </row>
    <row r="46599">
      <c r="B46599" s="36"/>
      <c r="C46599" s="36"/>
      <c r="E46599" s="1"/>
      <c r="F46599" s="1"/>
      <c r="G46599" s="1"/>
    </row>
    <row r="46600">
      <c r="B46600" s="36"/>
      <c r="C46600" s="36"/>
      <c r="E46600" s="1"/>
      <c r="F46600" s="1"/>
      <c r="G46600" s="1"/>
    </row>
    <row r="46601">
      <c r="B46601" s="36"/>
      <c r="C46601" s="36"/>
      <c r="E46601" s="1"/>
      <c r="F46601" s="1"/>
      <c r="G46601" s="1"/>
    </row>
    <row r="46602">
      <c r="B46602" s="36"/>
      <c r="C46602" s="36"/>
      <c r="E46602" s="1"/>
      <c r="F46602" s="1"/>
      <c r="G46602" s="1"/>
    </row>
    <row r="46603">
      <c r="B46603" s="36"/>
      <c r="C46603" s="36"/>
      <c r="E46603" s="1"/>
      <c r="F46603" s="1"/>
      <c r="G46603" s="1"/>
    </row>
    <row r="46604">
      <c r="B46604" s="36"/>
      <c r="C46604" s="36"/>
      <c r="E46604" s="1"/>
      <c r="F46604" s="1"/>
      <c r="G46604" s="1"/>
    </row>
    <row r="46605">
      <c r="B46605" s="36"/>
      <c r="C46605" s="36"/>
      <c r="E46605" s="1"/>
      <c r="F46605" s="1"/>
      <c r="G46605" s="1"/>
    </row>
    <row r="46606">
      <c r="B46606" s="36"/>
      <c r="C46606" s="36"/>
      <c r="E46606" s="1"/>
      <c r="F46606" s="1"/>
      <c r="G46606" s="1"/>
    </row>
    <row r="46607">
      <c r="B46607" s="36"/>
      <c r="C46607" s="36"/>
      <c r="E46607" s="1"/>
      <c r="F46607" s="1"/>
      <c r="G46607" s="1"/>
    </row>
    <row r="46608">
      <c r="B46608" s="36"/>
      <c r="C46608" s="36"/>
      <c r="E46608" s="1"/>
      <c r="F46608" s="1"/>
      <c r="G46608" s="1"/>
    </row>
    <row r="46609">
      <c r="B46609" s="36"/>
      <c r="C46609" s="36"/>
      <c r="E46609" s="1"/>
      <c r="F46609" s="1"/>
      <c r="G46609" s="1"/>
    </row>
    <row r="46610">
      <c r="B46610" s="36"/>
      <c r="C46610" s="36"/>
      <c r="E46610" s="1"/>
      <c r="F46610" s="1"/>
      <c r="G46610" s="1"/>
    </row>
    <row r="46611">
      <c r="B46611" s="36"/>
      <c r="C46611" s="36"/>
      <c r="E46611" s="1"/>
      <c r="F46611" s="1"/>
      <c r="G46611" s="1"/>
    </row>
    <row r="46612">
      <c r="B46612" s="36"/>
      <c r="C46612" s="36"/>
      <c r="E46612" s="1"/>
      <c r="F46612" s="1"/>
      <c r="G46612" s="1"/>
    </row>
    <row r="46613">
      <c r="B46613" s="36"/>
      <c r="C46613" s="36"/>
      <c r="E46613" s="1"/>
      <c r="F46613" s="1"/>
      <c r="G46613" s="1"/>
    </row>
    <row r="46614">
      <c r="B46614" s="36"/>
      <c r="C46614" s="36"/>
      <c r="E46614" s="1"/>
      <c r="F46614" s="1"/>
      <c r="G46614" s="1"/>
    </row>
    <row r="46615">
      <c r="B46615" s="36"/>
      <c r="C46615" s="36"/>
      <c r="E46615" s="1"/>
      <c r="F46615" s="1"/>
      <c r="G46615" s="1"/>
    </row>
    <row r="46616">
      <c r="B46616" s="36"/>
      <c r="C46616" s="36"/>
      <c r="E46616" s="1"/>
      <c r="F46616" s="1"/>
      <c r="G46616" s="1"/>
    </row>
    <row r="46617">
      <c r="B46617" s="36"/>
      <c r="C46617" s="36"/>
      <c r="E46617" s="1"/>
      <c r="F46617" s="1"/>
      <c r="G46617" s="1"/>
    </row>
    <row r="46618">
      <c r="B46618" s="36"/>
      <c r="C46618" s="36"/>
      <c r="E46618" s="1"/>
      <c r="F46618" s="1"/>
      <c r="G46618" s="1"/>
    </row>
    <row r="46619">
      <c r="B46619" s="36"/>
      <c r="C46619" s="36"/>
      <c r="E46619" s="1"/>
      <c r="F46619" s="1"/>
      <c r="G46619" s="1"/>
    </row>
    <row r="46620">
      <c r="B46620" s="36"/>
      <c r="C46620" s="36"/>
      <c r="E46620" s="1"/>
      <c r="F46620" s="1"/>
      <c r="G46620" s="1"/>
    </row>
    <row r="46621">
      <c r="B46621" s="36"/>
      <c r="C46621" s="36"/>
      <c r="E46621" s="1"/>
      <c r="F46621" s="1"/>
      <c r="G46621" s="1"/>
    </row>
    <row r="46622">
      <c r="B46622" s="36"/>
      <c r="C46622" s="36"/>
      <c r="E46622" s="1"/>
      <c r="F46622" s="1"/>
      <c r="G46622" s="1"/>
    </row>
    <row r="46623">
      <c r="B46623" s="36"/>
      <c r="C46623" s="36"/>
      <c r="E46623" s="1"/>
      <c r="F46623" s="1"/>
      <c r="G46623" s="1"/>
    </row>
    <row r="46624">
      <c r="B46624" s="36"/>
      <c r="C46624" s="36"/>
      <c r="E46624" s="1"/>
      <c r="F46624" s="1"/>
      <c r="G46624" s="1"/>
    </row>
    <row r="46625">
      <c r="B46625" s="36"/>
      <c r="C46625" s="36"/>
      <c r="E46625" s="1"/>
      <c r="F46625" s="1"/>
      <c r="G46625" s="1"/>
    </row>
    <row r="46626">
      <c r="B46626" s="36"/>
      <c r="C46626" s="36"/>
      <c r="E46626" s="1"/>
      <c r="F46626" s="1"/>
      <c r="G46626" s="1"/>
    </row>
    <row r="46627">
      <c r="B46627" s="36"/>
      <c r="C46627" s="36"/>
      <c r="E46627" s="1"/>
      <c r="F46627" s="1"/>
      <c r="G46627" s="1"/>
    </row>
    <row r="46628">
      <c r="B46628" s="36"/>
      <c r="C46628" s="36"/>
      <c r="E46628" s="1"/>
      <c r="F46628" s="1"/>
      <c r="G46628" s="1"/>
    </row>
    <row r="46629">
      <c r="B46629" s="36"/>
      <c r="C46629" s="36"/>
      <c r="E46629" s="1"/>
      <c r="F46629" s="1"/>
      <c r="G46629" s="1"/>
    </row>
    <row r="46630">
      <c r="B46630" s="36"/>
      <c r="C46630" s="36"/>
      <c r="E46630" s="1"/>
      <c r="F46630" s="1"/>
      <c r="G46630" s="1"/>
    </row>
    <row r="46631">
      <c r="B46631" s="36"/>
      <c r="C46631" s="36"/>
      <c r="E46631" s="1"/>
      <c r="F46631" s="1"/>
      <c r="G46631" s="1"/>
    </row>
    <row r="46632">
      <c r="B46632" s="36"/>
      <c r="C46632" s="36"/>
      <c r="E46632" s="1"/>
      <c r="F46632" s="1"/>
      <c r="G46632" s="1"/>
    </row>
    <row r="46633">
      <c r="B46633" s="36"/>
      <c r="C46633" s="36"/>
      <c r="E46633" s="1"/>
      <c r="F46633" s="1"/>
      <c r="G46633" s="1"/>
    </row>
    <row r="46634">
      <c r="B46634" s="36"/>
      <c r="C46634" s="36"/>
      <c r="E46634" s="1"/>
      <c r="F46634" s="1"/>
      <c r="G46634" s="1"/>
    </row>
    <row r="46635">
      <c r="B46635" s="36"/>
      <c r="C46635" s="36"/>
      <c r="E46635" s="1"/>
      <c r="F46635" s="1"/>
      <c r="G46635" s="1"/>
    </row>
    <row r="46636">
      <c r="B46636" s="36"/>
      <c r="C46636" s="36"/>
      <c r="E46636" s="1"/>
      <c r="F46636" s="1"/>
      <c r="G46636" s="1"/>
    </row>
    <row r="46637">
      <c r="B46637" s="36"/>
      <c r="C46637" s="36"/>
      <c r="E46637" s="1"/>
      <c r="F46637" s="1"/>
      <c r="G46637" s="1"/>
    </row>
    <row r="46638">
      <c r="B46638" s="36"/>
      <c r="C46638" s="36"/>
      <c r="E46638" s="1"/>
      <c r="F46638" s="1"/>
      <c r="G46638" s="1"/>
    </row>
    <row r="46639">
      <c r="B46639" s="36"/>
      <c r="C46639" s="36"/>
      <c r="E46639" s="1"/>
      <c r="F46639" s="1"/>
      <c r="G46639" s="1"/>
    </row>
    <row r="46640">
      <c r="B46640" s="36"/>
      <c r="C46640" s="36"/>
      <c r="E46640" s="1"/>
      <c r="F46640" s="1"/>
      <c r="G46640" s="1"/>
    </row>
    <row r="46641">
      <c r="B46641" s="36"/>
      <c r="C46641" s="36"/>
      <c r="E46641" s="1"/>
      <c r="F46641" s="1"/>
      <c r="G46641" s="1"/>
    </row>
    <row r="46642">
      <c r="B46642" s="36"/>
      <c r="C46642" s="36"/>
      <c r="E46642" s="1"/>
      <c r="F46642" s="1"/>
      <c r="G46642" s="1"/>
    </row>
    <row r="46643">
      <c r="B46643" s="36"/>
      <c r="C46643" s="36"/>
      <c r="E46643" s="1"/>
      <c r="F46643" s="1"/>
      <c r="G46643" s="1"/>
    </row>
    <row r="46644">
      <c r="B46644" s="36"/>
      <c r="C46644" s="36"/>
      <c r="E46644" s="1"/>
      <c r="F46644" s="1"/>
      <c r="G46644" s="1"/>
    </row>
    <row r="46645">
      <c r="B46645" s="36"/>
      <c r="C46645" s="36"/>
      <c r="E46645" s="1"/>
      <c r="F46645" s="1"/>
      <c r="G46645" s="1"/>
    </row>
    <row r="46646">
      <c r="B46646" s="36"/>
      <c r="C46646" s="36"/>
      <c r="E46646" s="1"/>
      <c r="F46646" s="1"/>
      <c r="G46646" s="1"/>
    </row>
    <row r="46647">
      <c r="B46647" s="36"/>
      <c r="C46647" s="36"/>
      <c r="E46647" s="1"/>
      <c r="F46647" s="1"/>
      <c r="G46647" s="1"/>
    </row>
    <row r="46648">
      <c r="B46648" s="36"/>
      <c r="C46648" s="36"/>
      <c r="E46648" s="1"/>
      <c r="F46648" s="1"/>
      <c r="G46648" s="1"/>
    </row>
    <row r="46649">
      <c r="B46649" s="36"/>
      <c r="C46649" s="36"/>
      <c r="E46649" s="1"/>
      <c r="F46649" s="1"/>
      <c r="G46649" s="1"/>
    </row>
    <row r="46650">
      <c r="B46650" s="36"/>
      <c r="C46650" s="36"/>
      <c r="E46650" s="1"/>
      <c r="F46650" s="1"/>
      <c r="G46650" s="1"/>
    </row>
    <row r="46651">
      <c r="B46651" s="36"/>
      <c r="C46651" s="36"/>
      <c r="E46651" s="1"/>
      <c r="F46651" s="1"/>
      <c r="G46651" s="1"/>
    </row>
    <row r="46652">
      <c r="B46652" s="36"/>
      <c r="C46652" s="36"/>
      <c r="E46652" s="1"/>
      <c r="F46652" s="1"/>
      <c r="G46652" s="1"/>
    </row>
    <row r="46653">
      <c r="B46653" s="36"/>
      <c r="C46653" s="36"/>
      <c r="E46653" s="1"/>
      <c r="F46653" s="1"/>
      <c r="G46653" s="1"/>
    </row>
    <row r="46654">
      <c r="B46654" s="36"/>
      <c r="C46654" s="36"/>
      <c r="E46654" s="1"/>
      <c r="F46654" s="1"/>
      <c r="G46654" s="1"/>
    </row>
    <row r="46655">
      <c r="B46655" s="36"/>
      <c r="C46655" s="36"/>
      <c r="E46655" s="1"/>
      <c r="F46655" s="1"/>
      <c r="G46655" s="1"/>
    </row>
    <row r="46656">
      <c r="B46656" s="36"/>
      <c r="C46656" s="36"/>
      <c r="E46656" s="1"/>
      <c r="F46656" s="1"/>
      <c r="G46656" s="1"/>
    </row>
    <row r="46657">
      <c r="B46657" s="36"/>
      <c r="C46657" s="36"/>
      <c r="E46657" s="1"/>
      <c r="F46657" s="1"/>
      <c r="G46657" s="1"/>
    </row>
    <row r="46658">
      <c r="B46658" s="36"/>
      <c r="C46658" s="36"/>
      <c r="E46658" s="1"/>
      <c r="F46658" s="1"/>
      <c r="G46658" s="1"/>
    </row>
    <row r="46659">
      <c r="B46659" s="36"/>
      <c r="C46659" s="36"/>
      <c r="E46659" s="1"/>
      <c r="F46659" s="1"/>
      <c r="G46659" s="1"/>
    </row>
    <row r="46660">
      <c r="B46660" s="36"/>
      <c r="C46660" s="36"/>
      <c r="E46660" s="1"/>
      <c r="F46660" s="1"/>
      <c r="G46660" s="1"/>
    </row>
    <row r="46661">
      <c r="B46661" s="36"/>
      <c r="C46661" s="36"/>
      <c r="E46661" s="1"/>
      <c r="F46661" s="1"/>
      <c r="G46661" s="1"/>
    </row>
    <row r="46662">
      <c r="B46662" s="36"/>
      <c r="C46662" s="36"/>
      <c r="E46662" s="1"/>
      <c r="F46662" s="1"/>
      <c r="G46662" s="1"/>
    </row>
    <row r="46663">
      <c r="B46663" s="36"/>
      <c r="C46663" s="36"/>
      <c r="E46663" s="1"/>
      <c r="F46663" s="1"/>
      <c r="G46663" s="1"/>
    </row>
    <row r="46664">
      <c r="B46664" s="36"/>
      <c r="C46664" s="36"/>
      <c r="E46664" s="1"/>
      <c r="F46664" s="1"/>
      <c r="G46664" s="1"/>
    </row>
    <row r="46665">
      <c r="B46665" s="36"/>
      <c r="C46665" s="36"/>
      <c r="E46665" s="1"/>
      <c r="F46665" s="1"/>
      <c r="G46665" s="1"/>
    </row>
    <row r="46666">
      <c r="B46666" s="36"/>
      <c r="C46666" s="36"/>
      <c r="E46666" s="1"/>
      <c r="F46666" s="1"/>
      <c r="G46666" s="1"/>
    </row>
    <row r="46667">
      <c r="B46667" s="36"/>
      <c r="C46667" s="36"/>
      <c r="E46667" s="1"/>
      <c r="F46667" s="1"/>
      <c r="G46667" s="1"/>
    </row>
    <row r="46668">
      <c r="B46668" s="36"/>
      <c r="C46668" s="36"/>
      <c r="E46668" s="1"/>
      <c r="F46668" s="1"/>
      <c r="G46668" s="1"/>
    </row>
    <row r="46669">
      <c r="B46669" s="36"/>
      <c r="C46669" s="36"/>
      <c r="E46669" s="1"/>
      <c r="F46669" s="1"/>
      <c r="G46669" s="1"/>
    </row>
    <row r="46670">
      <c r="B46670" s="36"/>
      <c r="C46670" s="36"/>
      <c r="E46670" s="1"/>
      <c r="F46670" s="1"/>
      <c r="G46670" s="1"/>
    </row>
    <row r="46671">
      <c r="B46671" s="36"/>
      <c r="C46671" s="36"/>
      <c r="E46671" s="1"/>
      <c r="F46671" s="1"/>
      <c r="G46671" s="1"/>
    </row>
    <row r="46672">
      <c r="B46672" s="36"/>
      <c r="C46672" s="36"/>
      <c r="E46672" s="1"/>
      <c r="F46672" s="1"/>
      <c r="G46672" s="1"/>
    </row>
    <row r="46673">
      <c r="B46673" s="36"/>
      <c r="C46673" s="36"/>
      <c r="E46673" s="1"/>
      <c r="F46673" s="1"/>
      <c r="G46673" s="1"/>
    </row>
    <row r="46674">
      <c r="B46674" s="36"/>
      <c r="C46674" s="36"/>
      <c r="E46674" s="1"/>
      <c r="F46674" s="1"/>
      <c r="G46674" s="1"/>
    </row>
    <row r="46675">
      <c r="B46675" s="36"/>
      <c r="C46675" s="36"/>
      <c r="E46675" s="1"/>
      <c r="F46675" s="1"/>
      <c r="G46675" s="1"/>
    </row>
    <row r="46676">
      <c r="B46676" s="36"/>
      <c r="C46676" s="36"/>
      <c r="E46676" s="1"/>
      <c r="F46676" s="1"/>
      <c r="G46676" s="1"/>
    </row>
    <row r="46677">
      <c r="B46677" s="36"/>
      <c r="C46677" s="36"/>
      <c r="E46677" s="1"/>
      <c r="F46677" s="1"/>
      <c r="G46677" s="1"/>
    </row>
    <row r="46678">
      <c r="B46678" s="36"/>
      <c r="C46678" s="36"/>
      <c r="E46678" s="1"/>
      <c r="F46678" s="1"/>
      <c r="G46678" s="1"/>
    </row>
    <row r="46679">
      <c r="B46679" s="36"/>
      <c r="C46679" s="36"/>
      <c r="E46679" s="1"/>
      <c r="F46679" s="1"/>
      <c r="G46679" s="1"/>
    </row>
    <row r="46680">
      <c r="B46680" s="36"/>
      <c r="C46680" s="36"/>
      <c r="E46680" s="1"/>
      <c r="F46680" s="1"/>
      <c r="G46680" s="1"/>
    </row>
    <row r="46681">
      <c r="B46681" s="36"/>
      <c r="C46681" s="36"/>
      <c r="E46681" s="1"/>
      <c r="F46681" s="1"/>
      <c r="G46681" s="1"/>
    </row>
    <row r="46682">
      <c r="B46682" s="36"/>
      <c r="C46682" s="36"/>
      <c r="E46682" s="1"/>
      <c r="F46682" s="1"/>
      <c r="G46682" s="1"/>
    </row>
    <row r="46683">
      <c r="B46683" s="36"/>
      <c r="C46683" s="36"/>
      <c r="E46683" s="1"/>
      <c r="F46683" s="1"/>
      <c r="G46683" s="1"/>
    </row>
    <row r="46684">
      <c r="B46684" s="36"/>
      <c r="C46684" s="36"/>
      <c r="E46684" s="1"/>
      <c r="F46684" s="1"/>
      <c r="G46684" s="1"/>
    </row>
    <row r="46685">
      <c r="B46685" s="36"/>
      <c r="C46685" s="36"/>
      <c r="E46685" s="1"/>
      <c r="F46685" s="1"/>
      <c r="G46685" s="1"/>
    </row>
    <row r="46686">
      <c r="B46686" s="36"/>
      <c r="C46686" s="36"/>
      <c r="E46686" s="1"/>
      <c r="F46686" s="1"/>
      <c r="G46686" s="1"/>
    </row>
    <row r="46687">
      <c r="B46687" s="36"/>
      <c r="C46687" s="36"/>
      <c r="E46687" s="1"/>
      <c r="F46687" s="1"/>
      <c r="G46687" s="1"/>
    </row>
    <row r="46688">
      <c r="B46688" s="36"/>
      <c r="C46688" s="36"/>
      <c r="E46688" s="1"/>
      <c r="F46688" s="1"/>
      <c r="G46688" s="1"/>
    </row>
    <row r="46689">
      <c r="B46689" s="36"/>
      <c r="C46689" s="36"/>
      <c r="E46689" s="1"/>
      <c r="F46689" s="1"/>
      <c r="G46689" s="1"/>
    </row>
    <row r="46690">
      <c r="B46690" s="36"/>
      <c r="C46690" s="36"/>
      <c r="E46690" s="1"/>
      <c r="F46690" s="1"/>
      <c r="G46690" s="1"/>
    </row>
    <row r="46691">
      <c r="B46691" s="36"/>
      <c r="C46691" s="36"/>
      <c r="E46691" s="1"/>
      <c r="F46691" s="1"/>
      <c r="G46691" s="1"/>
    </row>
    <row r="46692">
      <c r="B46692" s="36"/>
      <c r="C46692" s="36"/>
      <c r="E46692" s="1"/>
      <c r="F46692" s="1"/>
      <c r="G46692" s="1"/>
    </row>
    <row r="46693">
      <c r="B46693" s="36"/>
      <c r="C46693" s="36"/>
      <c r="E46693" s="1"/>
      <c r="F46693" s="1"/>
      <c r="G46693" s="1"/>
    </row>
    <row r="46694">
      <c r="B46694" s="36"/>
      <c r="C46694" s="36"/>
      <c r="E46694" s="1"/>
      <c r="F46694" s="1"/>
      <c r="G46694" s="1"/>
    </row>
    <row r="46695">
      <c r="B46695" s="36"/>
      <c r="C46695" s="36"/>
      <c r="E46695" s="1"/>
      <c r="F46695" s="1"/>
      <c r="G46695" s="1"/>
    </row>
    <row r="46696">
      <c r="B46696" s="36"/>
      <c r="C46696" s="36"/>
      <c r="E46696" s="1"/>
      <c r="F46696" s="1"/>
      <c r="G46696" s="1"/>
    </row>
    <row r="46697">
      <c r="B46697" s="36"/>
      <c r="C46697" s="36"/>
      <c r="E46697" s="1"/>
      <c r="F46697" s="1"/>
      <c r="G46697" s="1"/>
    </row>
    <row r="46698">
      <c r="B46698" s="36"/>
      <c r="C46698" s="36"/>
      <c r="E46698" s="1"/>
      <c r="F46698" s="1"/>
      <c r="G46698" s="1"/>
    </row>
    <row r="46699">
      <c r="B46699" s="36"/>
      <c r="C46699" s="36"/>
      <c r="E46699" s="1"/>
      <c r="F46699" s="1"/>
      <c r="G46699" s="1"/>
    </row>
    <row r="46700">
      <c r="B46700" s="36"/>
      <c r="C46700" s="36"/>
      <c r="E46700" s="1"/>
      <c r="F46700" s="1"/>
      <c r="G46700" s="1"/>
    </row>
    <row r="46701">
      <c r="B46701" s="36"/>
      <c r="C46701" s="36"/>
      <c r="E46701" s="1"/>
      <c r="F46701" s="1"/>
      <c r="G46701" s="1"/>
    </row>
    <row r="46702">
      <c r="B46702" s="36"/>
      <c r="C46702" s="36"/>
      <c r="E46702" s="1"/>
      <c r="F46702" s="1"/>
      <c r="G46702" s="1"/>
    </row>
    <row r="46703">
      <c r="B46703" s="36"/>
      <c r="C46703" s="36"/>
      <c r="E46703" s="1"/>
      <c r="F46703" s="1"/>
      <c r="G46703" s="1"/>
    </row>
    <row r="46704">
      <c r="B46704" s="36"/>
      <c r="C46704" s="36"/>
      <c r="E46704" s="1"/>
      <c r="F46704" s="1"/>
      <c r="G46704" s="1"/>
    </row>
    <row r="46705">
      <c r="B46705" s="36"/>
      <c r="C46705" s="36"/>
      <c r="E46705" s="1"/>
      <c r="F46705" s="1"/>
      <c r="G46705" s="1"/>
    </row>
    <row r="46706">
      <c r="B46706" s="36"/>
      <c r="C46706" s="36"/>
      <c r="E46706" s="1"/>
      <c r="F46706" s="1"/>
      <c r="G46706" s="1"/>
    </row>
    <row r="46707">
      <c r="B46707" s="36"/>
      <c r="C46707" s="36"/>
      <c r="E46707" s="1"/>
      <c r="F46707" s="1"/>
      <c r="G46707" s="1"/>
    </row>
    <row r="46708">
      <c r="B46708" s="36"/>
      <c r="C46708" s="36"/>
      <c r="E46708" s="1"/>
      <c r="F46708" s="1"/>
      <c r="G46708" s="1"/>
    </row>
    <row r="46709">
      <c r="B46709" s="36"/>
      <c r="C46709" s="36"/>
      <c r="E46709" s="1"/>
      <c r="F46709" s="1"/>
      <c r="G46709" s="1"/>
    </row>
    <row r="46710">
      <c r="B46710" s="36"/>
      <c r="C46710" s="36"/>
      <c r="E46710" s="1"/>
      <c r="F46710" s="1"/>
      <c r="G46710" s="1"/>
    </row>
    <row r="46711">
      <c r="B46711" s="36"/>
      <c r="C46711" s="36"/>
      <c r="E46711" s="1"/>
      <c r="F46711" s="1"/>
      <c r="G46711" s="1"/>
    </row>
    <row r="46712">
      <c r="B46712" s="36"/>
      <c r="C46712" s="36"/>
      <c r="E46712" s="1"/>
      <c r="F46712" s="1"/>
      <c r="G46712" s="1"/>
    </row>
    <row r="46713">
      <c r="B46713" s="36"/>
      <c r="C46713" s="36"/>
      <c r="E46713" s="1"/>
      <c r="F46713" s="1"/>
      <c r="G46713" s="1"/>
    </row>
    <row r="46714">
      <c r="B46714" s="36"/>
      <c r="C46714" s="36"/>
      <c r="E46714" s="1"/>
      <c r="F46714" s="1"/>
      <c r="G46714" s="1"/>
    </row>
    <row r="46715">
      <c r="B46715" s="36"/>
      <c r="C46715" s="36"/>
      <c r="E46715" s="1"/>
      <c r="F46715" s="1"/>
      <c r="G46715" s="1"/>
    </row>
    <row r="46716">
      <c r="B46716" s="36"/>
      <c r="C46716" s="36"/>
      <c r="E46716" s="1"/>
      <c r="F46716" s="1"/>
      <c r="G46716" s="1"/>
    </row>
    <row r="46717">
      <c r="B46717" s="36"/>
      <c r="C46717" s="36"/>
      <c r="E46717" s="1"/>
      <c r="F46717" s="1"/>
      <c r="G46717" s="1"/>
    </row>
    <row r="46718">
      <c r="B46718" s="36"/>
      <c r="C46718" s="36"/>
      <c r="E46718" s="1"/>
      <c r="F46718" s="1"/>
      <c r="G46718" s="1"/>
    </row>
    <row r="46719">
      <c r="B46719" s="36"/>
      <c r="C46719" s="36"/>
      <c r="E46719" s="1"/>
      <c r="F46719" s="1"/>
      <c r="G46719" s="1"/>
    </row>
    <row r="46720">
      <c r="B46720" s="36"/>
      <c r="C46720" s="36"/>
      <c r="E46720" s="1"/>
      <c r="F46720" s="1"/>
      <c r="G46720" s="1"/>
    </row>
    <row r="46721">
      <c r="B46721" s="36"/>
      <c r="C46721" s="36"/>
      <c r="E46721" s="1"/>
      <c r="F46721" s="1"/>
      <c r="G46721" s="1"/>
    </row>
    <row r="46722">
      <c r="B46722" s="36"/>
      <c r="C46722" s="36"/>
      <c r="E46722" s="1"/>
      <c r="F46722" s="1"/>
      <c r="G46722" s="1"/>
    </row>
    <row r="46723">
      <c r="B46723" s="36"/>
      <c r="C46723" s="36"/>
      <c r="E46723" s="1"/>
      <c r="F46723" s="1"/>
      <c r="G46723" s="1"/>
    </row>
    <row r="46724">
      <c r="B46724" s="36"/>
      <c r="C46724" s="36"/>
      <c r="E46724" s="1"/>
      <c r="F46724" s="1"/>
      <c r="G46724" s="1"/>
    </row>
    <row r="46725">
      <c r="B46725" s="36"/>
      <c r="C46725" s="36"/>
      <c r="E46725" s="1"/>
      <c r="F46725" s="1"/>
      <c r="G46725" s="1"/>
    </row>
    <row r="46726">
      <c r="B46726" s="36"/>
      <c r="C46726" s="36"/>
      <c r="E46726" s="1"/>
      <c r="F46726" s="1"/>
      <c r="G46726" s="1"/>
    </row>
    <row r="46727">
      <c r="B46727" s="36"/>
      <c r="C46727" s="36"/>
      <c r="E46727" s="1"/>
      <c r="F46727" s="1"/>
      <c r="G46727" s="1"/>
    </row>
    <row r="46728">
      <c r="B46728" s="36"/>
      <c r="C46728" s="36"/>
      <c r="E46728" s="1"/>
      <c r="F46728" s="1"/>
      <c r="G46728" s="1"/>
    </row>
    <row r="46729">
      <c r="B46729" s="36"/>
      <c r="C46729" s="36"/>
      <c r="E46729" s="1"/>
      <c r="F46729" s="1"/>
      <c r="G46729" s="1"/>
    </row>
    <row r="46730">
      <c r="B46730" s="36"/>
      <c r="C46730" s="36"/>
      <c r="E46730" s="1"/>
      <c r="F46730" s="1"/>
      <c r="G46730" s="1"/>
    </row>
    <row r="46731">
      <c r="B46731" s="36"/>
      <c r="C46731" s="36"/>
      <c r="E46731" s="1"/>
      <c r="F46731" s="1"/>
      <c r="G46731" s="1"/>
    </row>
    <row r="46732">
      <c r="B46732" s="36"/>
      <c r="C46732" s="36"/>
      <c r="E46732" s="1"/>
      <c r="F46732" s="1"/>
      <c r="G46732" s="1"/>
    </row>
    <row r="46733">
      <c r="B46733" s="36"/>
      <c r="C46733" s="36"/>
      <c r="E46733" s="1"/>
      <c r="F46733" s="1"/>
      <c r="G46733" s="1"/>
    </row>
    <row r="46734">
      <c r="B46734" s="36"/>
      <c r="C46734" s="36"/>
      <c r="E46734" s="1"/>
      <c r="F46734" s="1"/>
      <c r="G46734" s="1"/>
    </row>
    <row r="46735">
      <c r="B46735" s="36"/>
      <c r="C46735" s="36"/>
      <c r="E46735" s="1"/>
      <c r="F46735" s="1"/>
      <c r="G46735" s="1"/>
    </row>
    <row r="46736">
      <c r="B46736" s="36"/>
      <c r="C46736" s="36"/>
      <c r="E46736" s="1"/>
      <c r="F46736" s="1"/>
      <c r="G46736" s="1"/>
    </row>
    <row r="46737">
      <c r="B46737" s="36"/>
      <c r="C46737" s="36"/>
      <c r="E46737" s="1"/>
      <c r="F46737" s="1"/>
      <c r="G46737" s="1"/>
    </row>
    <row r="46738">
      <c r="B46738" s="36"/>
      <c r="C46738" s="36"/>
      <c r="E46738" s="1"/>
      <c r="F46738" s="1"/>
      <c r="G46738" s="1"/>
    </row>
    <row r="46739">
      <c r="B46739" s="36"/>
      <c r="C46739" s="36"/>
      <c r="E46739" s="1"/>
      <c r="F46739" s="1"/>
      <c r="G46739" s="1"/>
    </row>
    <row r="46740">
      <c r="B46740" s="36"/>
      <c r="C46740" s="36"/>
      <c r="E46740" s="1"/>
      <c r="F46740" s="1"/>
      <c r="G46740" s="1"/>
    </row>
    <row r="46741">
      <c r="B46741" s="36"/>
      <c r="C46741" s="36"/>
      <c r="E46741" s="1"/>
      <c r="F46741" s="1"/>
      <c r="G46741" s="1"/>
    </row>
    <row r="46742">
      <c r="B46742" s="36"/>
      <c r="C46742" s="36"/>
      <c r="E46742" s="1"/>
      <c r="F46742" s="1"/>
      <c r="G46742" s="1"/>
    </row>
    <row r="46743">
      <c r="B46743" s="36"/>
      <c r="C46743" s="36"/>
      <c r="E46743" s="1"/>
      <c r="F46743" s="1"/>
      <c r="G46743" s="1"/>
    </row>
    <row r="46744">
      <c r="B46744" s="36"/>
      <c r="C46744" s="36"/>
      <c r="E46744" s="1"/>
      <c r="F46744" s="1"/>
      <c r="G46744" s="1"/>
    </row>
    <row r="46745">
      <c r="B46745" s="36"/>
      <c r="C46745" s="36"/>
      <c r="E46745" s="1"/>
      <c r="F46745" s="1"/>
      <c r="G46745" s="1"/>
    </row>
    <row r="46746">
      <c r="B46746" s="36"/>
      <c r="C46746" s="36"/>
      <c r="E46746" s="1"/>
      <c r="F46746" s="1"/>
      <c r="G46746" s="1"/>
    </row>
    <row r="46747">
      <c r="B46747" s="36"/>
      <c r="C46747" s="36"/>
      <c r="E46747" s="1"/>
      <c r="F46747" s="1"/>
      <c r="G46747" s="1"/>
    </row>
    <row r="46748">
      <c r="B46748" s="36"/>
      <c r="C46748" s="36"/>
      <c r="E46748" s="1"/>
      <c r="F46748" s="1"/>
      <c r="G46748" s="1"/>
    </row>
    <row r="46749">
      <c r="B46749" s="36"/>
      <c r="C46749" s="36"/>
      <c r="E46749" s="1"/>
      <c r="F46749" s="1"/>
      <c r="G46749" s="1"/>
    </row>
    <row r="46750">
      <c r="B46750" s="36"/>
      <c r="C46750" s="36"/>
      <c r="E46750" s="1"/>
      <c r="F46750" s="1"/>
      <c r="G46750" s="1"/>
    </row>
    <row r="46751">
      <c r="B46751" s="36"/>
      <c r="C46751" s="36"/>
      <c r="E46751" s="1"/>
      <c r="F46751" s="1"/>
      <c r="G46751" s="1"/>
    </row>
    <row r="46752">
      <c r="B46752" s="36"/>
      <c r="C46752" s="36"/>
      <c r="E46752" s="1"/>
      <c r="F46752" s="1"/>
      <c r="G46752" s="1"/>
    </row>
    <row r="46753">
      <c r="B46753" s="36"/>
      <c r="C46753" s="36"/>
      <c r="E46753" s="1"/>
      <c r="F46753" s="1"/>
      <c r="G46753" s="1"/>
    </row>
    <row r="46754">
      <c r="B46754" s="36"/>
      <c r="C46754" s="36"/>
      <c r="E46754" s="1"/>
      <c r="F46754" s="1"/>
      <c r="G46754" s="1"/>
    </row>
    <row r="46755">
      <c r="B46755" s="36"/>
      <c r="C46755" s="36"/>
      <c r="E46755" s="1"/>
      <c r="F46755" s="1"/>
      <c r="G46755" s="1"/>
    </row>
    <row r="46756">
      <c r="B46756" s="36"/>
      <c r="C46756" s="36"/>
      <c r="E46756" s="1"/>
      <c r="F46756" s="1"/>
      <c r="G46756" s="1"/>
    </row>
    <row r="46757">
      <c r="B46757" s="36"/>
      <c r="C46757" s="36"/>
      <c r="E46757" s="1"/>
      <c r="F46757" s="1"/>
      <c r="G46757" s="1"/>
    </row>
    <row r="46758">
      <c r="B46758" s="36"/>
      <c r="C46758" s="36"/>
      <c r="E46758" s="1"/>
      <c r="F46758" s="1"/>
      <c r="G46758" s="1"/>
    </row>
    <row r="46759">
      <c r="B46759" s="36"/>
      <c r="C46759" s="36"/>
      <c r="E46759" s="1"/>
      <c r="F46759" s="1"/>
      <c r="G46759" s="1"/>
    </row>
    <row r="46760">
      <c r="B46760" s="36"/>
      <c r="C46760" s="36"/>
      <c r="E46760" s="1"/>
      <c r="F46760" s="1"/>
      <c r="G46760" s="1"/>
    </row>
    <row r="46761">
      <c r="B46761" s="36"/>
      <c r="C46761" s="36"/>
      <c r="E46761" s="1"/>
      <c r="F46761" s="1"/>
      <c r="G46761" s="1"/>
    </row>
    <row r="46762">
      <c r="B46762" s="36"/>
      <c r="C46762" s="36"/>
      <c r="E46762" s="1"/>
      <c r="F46762" s="1"/>
      <c r="G46762" s="1"/>
    </row>
    <row r="46763">
      <c r="B46763" s="36"/>
      <c r="C46763" s="36"/>
      <c r="E46763" s="1"/>
      <c r="F46763" s="1"/>
      <c r="G46763" s="1"/>
    </row>
    <row r="46764">
      <c r="B46764" s="36"/>
      <c r="C46764" s="36"/>
      <c r="E46764" s="1"/>
      <c r="F46764" s="1"/>
      <c r="G46764" s="1"/>
    </row>
    <row r="46765">
      <c r="B46765" s="36"/>
      <c r="C46765" s="36"/>
      <c r="E46765" s="1"/>
      <c r="F46765" s="1"/>
      <c r="G46765" s="1"/>
    </row>
    <row r="46766">
      <c r="B46766" s="36"/>
      <c r="C46766" s="36"/>
      <c r="E46766" s="1"/>
      <c r="F46766" s="1"/>
      <c r="G46766" s="1"/>
    </row>
    <row r="46767">
      <c r="B46767" s="36"/>
      <c r="C46767" s="36"/>
      <c r="E46767" s="1"/>
      <c r="F46767" s="1"/>
      <c r="G46767" s="1"/>
    </row>
    <row r="46768">
      <c r="B46768" s="36"/>
      <c r="C46768" s="36"/>
      <c r="E46768" s="1"/>
      <c r="F46768" s="1"/>
      <c r="G46768" s="1"/>
    </row>
    <row r="46769">
      <c r="B46769" s="36"/>
      <c r="C46769" s="36"/>
      <c r="E46769" s="1"/>
      <c r="F46769" s="1"/>
      <c r="G46769" s="1"/>
    </row>
    <row r="46770">
      <c r="B46770" s="36"/>
      <c r="C46770" s="36"/>
      <c r="E46770" s="1"/>
      <c r="F46770" s="1"/>
      <c r="G46770" s="1"/>
    </row>
    <row r="46771">
      <c r="B46771" s="36"/>
      <c r="C46771" s="36"/>
      <c r="E46771" s="1"/>
      <c r="F46771" s="1"/>
      <c r="G46771" s="1"/>
    </row>
    <row r="46772">
      <c r="B46772" s="36"/>
      <c r="C46772" s="36"/>
      <c r="E46772" s="1"/>
      <c r="F46772" s="1"/>
      <c r="G46772" s="1"/>
    </row>
    <row r="46773">
      <c r="B46773" s="36"/>
      <c r="C46773" s="36"/>
      <c r="E46773" s="1"/>
      <c r="F46773" s="1"/>
      <c r="G46773" s="1"/>
    </row>
    <row r="46774">
      <c r="B46774" s="36"/>
      <c r="C46774" s="36"/>
      <c r="E46774" s="1"/>
      <c r="F46774" s="1"/>
      <c r="G46774" s="1"/>
    </row>
    <row r="46775">
      <c r="B46775" s="36"/>
      <c r="C46775" s="36"/>
      <c r="E46775" s="1"/>
      <c r="F46775" s="1"/>
      <c r="G46775" s="1"/>
    </row>
    <row r="46776">
      <c r="B46776" s="36"/>
      <c r="C46776" s="36"/>
      <c r="E46776" s="1"/>
      <c r="F46776" s="1"/>
      <c r="G46776" s="1"/>
    </row>
    <row r="46777">
      <c r="B46777" s="36"/>
      <c r="C46777" s="36"/>
      <c r="E46777" s="1"/>
      <c r="F46777" s="1"/>
      <c r="G46777" s="1"/>
    </row>
    <row r="46778">
      <c r="B46778" s="36"/>
      <c r="C46778" s="36"/>
      <c r="E46778" s="1"/>
      <c r="F46778" s="1"/>
      <c r="G46778" s="1"/>
    </row>
    <row r="46779">
      <c r="B46779" s="36"/>
      <c r="C46779" s="36"/>
      <c r="E46779" s="1"/>
      <c r="F46779" s="1"/>
      <c r="G46779" s="1"/>
    </row>
    <row r="46780">
      <c r="B46780" s="36"/>
      <c r="C46780" s="36"/>
      <c r="E46780" s="1"/>
      <c r="F46780" s="1"/>
      <c r="G46780" s="1"/>
    </row>
    <row r="46781">
      <c r="B46781" s="36"/>
      <c r="C46781" s="36"/>
      <c r="E46781" s="1"/>
      <c r="F46781" s="1"/>
      <c r="G46781" s="1"/>
    </row>
    <row r="46782">
      <c r="B46782" s="36"/>
      <c r="C46782" s="36"/>
      <c r="E46782" s="1"/>
      <c r="F46782" s="1"/>
      <c r="G46782" s="1"/>
    </row>
    <row r="46783">
      <c r="B46783" s="36"/>
      <c r="C46783" s="36"/>
      <c r="E46783" s="1"/>
      <c r="F46783" s="1"/>
      <c r="G46783" s="1"/>
    </row>
    <row r="46784">
      <c r="B46784" s="36"/>
      <c r="C46784" s="36"/>
      <c r="E46784" s="1"/>
      <c r="F46784" s="1"/>
      <c r="G46784" s="1"/>
    </row>
    <row r="46785">
      <c r="B46785" s="36"/>
      <c r="C46785" s="36"/>
      <c r="E46785" s="1"/>
      <c r="F46785" s="1"/>
      <c r="G46785" s="1"/>
    </row>
    <row r="46786">
      <c r="B46786" s="36"/>
      <c r="C46786" s="36"/>
      <c r="E46786" s="1"/>
      <c r="F46786" s="1"/>
      <c r="G46786" s="1"/>
    </row>
    <row r="46787">
      <c r="B46787" s="36"/>
      <c r="C46787" s="36"/>
      <c r="E46787" s="1"/>
      <c r="F46787" s="1"/>
      <c r="G46787" s="1"/>
    </row>
    <row r="46788">
      <c r="B46788" s="36"/>
      <c r="C46788" s="36"/>
      <c r="E46788" s="1"/>
      <c r="F46788" s="1"/>
      <c r="G46788" s="1"/>
    </row>
    <row r="46789">
      <c r="B46789" s="36"/>
      <c r="C46789" s="36"/>
      <c r="E46789" s="1"/>
      <c r="F46789" s="1"/>
      <c r="G46789" s="1"/>
    </row>
    <row r="46790">
      <c r="B46790" s="36"/>
      <c r="C46790" s="36"/>
      <c r="E46790" s="1"/>
      <c r="F46790" s="1"/>
      <c r="G46790" s="1"/>
    </row>
    <row r="46791">
      <c r="B46791" s="36"/>
      <c r="C46791" s="36"/>
      <c r="E46791" s="1"/>
      <c r="F46791" s="1"/>
      <c r="G46791" s="1"/>
    </row>
    <row r="46792">
      <c r="B46792" s="36"/>
      <c r="C46792" s="36"/>
      <c r="E46792" s="1"/>
      <c r="F46792" s="1"/>
      <c r="G46792" s="1"/>
    </row>
    <row r="46793">
      <c r="B46793" s="36"/>
      <c r="C46793" s="36"/>
      <c r="E46793" s="1"/>
      <c r="F46793" s="1"/>
      <c r="G46793" s="1"/>
    </row>
    <row r="46794">
      <c r="B46794" s="36"/>
      <c r="C46794" s="36"/>
      <c r="E46794" s="1"/>
      <c r="F46794" s="1"/>
      <c r="G46794" s="1"/>
    </row>
    <row r="46795">
      <c r="B46795" s="36"/>
      <c r="C46795" s="36"/>
      <c r="E46795" s="1"/>
      <c r="F46795" s="1"/>
      <c r="G46795" s="1"/>
    </row>
    <row r="46796">
      <c r="B46796" s="36"/>
      <c r="C46796" s="36"/>
      <c r="E46796" s="1"/>
      <c r="F46796" s="1"/>
      <c r="G46796" s="1"/>
    </row>
    <row r="46797">
      <c r="B46797" s="36"/>
      <c r="C46797" s="36"/>
      <c r="E46797" s="1"/>
      <c r="F46797" s="1"/>
      <c r="G46797" s="1"/>
    </row>
    <row r="46798">
      <c r="B46798" s="36"/>
      <c r="C46798" s="36"/>
      <c r="E46798" s="1"/>
      <c r="F46798" s="1"/>
      <c r="G46798" s="1"/>
    </row>
    <row r="46799">
      <c r="B46799" s="36"/>
      <c r="C46799" s="36"/>
      <c r="E46799" s="1"/>
      <c r="F46799" s="1"/>
      <c r="G46799" s="1"/>
    </row>
    <row r="46800">
      <c r="B46800" s="36"/>
      <c r="C46800" s="36"/>
      <c r="E46800" s="1"/>
      <c r="F46800" s="1"/>
      <c r="G46800" s="1"/>
    </row>
    <row r="46801">
      <c r="B46801" s="36"/>
      <c r="C46801" s="36"/>
      <c r="E46801" s="1"/>
      <c r="F46801" s="1"/>
      <c r="G46801" s="1"/>
    </row>
    <row r="46802">
      <c r="B46802" s="36"/>
      <c r="C46802" s="36"/>
      <c r="E46802" s="1"/>
      <c r="F46802" s="1"/>
      <c r="G46802" s="1"/>
    </row>
    <row r="46803">
      <c r="B46803" s="36"/>
      <c r="C46803" s="36"/>
      <c r="E46803" s="1"/>
      <c r="F46803" s="1"/>
      <c r="G46803" s="1"/>
    </row>
    <row r="46804">
      <c r="B46804" s="36"/>
      <c r="C46804" s="36"/>
      <c r="E46804" s="1"/>
      <c r="F46804" s="1"/>
      <c r="G46804" s="1"/>
    </row>
    <row r="46805">
      <c r="B46805" s="36"/>
      <c r="C46805" s="36"/>
      <c r="E46805" s="1"/>
      <c r="F46805" s="1"/>
      <c r="G46805" s="1"/>
    </row>
    <row r="46806">
      <c r="B46806" s="36"/>
      <c r="C46806" s="36"/>
      <c r="E46806" s="1"/>
      <c r="F46806" s="1"/>
      <c r="G46806" s="1"/>
    </row>
    <row r="46807">
      <c r="B46807" s="36"/>
      <c r="C46807" s="36"/>
      <c r="E46807" s="1"/>
      <c r="F46807" s="1"/>
      <c r="G46807" s="1"/>
    </row>
    <row r="46808">
      <c r="B46808" s="36"/>
      <c r="C46808" s="36"/>
      <c r="E46808" s="1"/>
      <c r="F46808" s="1"/>
      <c r="G46808" s="1"/>
    </row>
    <row r="46809">
      <c r="B46809" s="36"/>
      <c r="C46809" s="36"/>
      <c r="E46809" s="1"/>
      <c r="F46809" s="1"/>
      <c r="G46809" s="1"/>
    </row>
    <row r="46810">
      <c r="B46810" s="36"/>
      <c r="C46810" s="36"/>
      <c r="E46810" s="1"/>
      <c r="F46810" s="1"/>
      <c r="G46810" s="1"/>
    </row>
    <row r="46811">
      <c r="B46811" s="36"/>
      <c r="C46811" s="36"/>
      <c r="E46811" s="1"/>
      <c r="F46811" s="1"/>
      <c r="G46811" s="1"/>
    </row>
    <row r="46812">
      <c r="B46812" s="36"/>
      <c r="C46812" s="36"/>
      <c r="E46812" s="1"/>
      <c r="F46812" s="1"/>
      <c r="G46812" s="1"/>
    </row>
    <row r="46813">
      <c r="B46813" s="36"/>
      <c r="C46813" s="36"/>
      <c r="E46813" s="1"/>
      <c r="F46813" s="1"/>
      <c r="G46813" s="1"/>
    </row>
    <row r="46814">
      <c r="B46814" s="36"/>
      <c r="C46814" s="36"/>
      <c r="E46814" s="1"/>
      <c r="F46814" s="1"/>
      <c r="G46814" s="1"/>
    </row>
    <row r="46815">
      <c r="B46815" s="36"/>
      <c r="C46815" s="36"/>
      <c r="E46815" s="1"/>
      <c r="F46815" s="1"/>
      <c r="G46815" s="1"/>
    </row>
    <row r="46816">
      <c r="B46816" s="36"/>
      <c r="C46816" s="36"/>
      <c r="E46816" s="1"/>
      <c r="F46816" s="1"/>
      <c r="G46816" s="1"/>
    </row>
    <row r="46817">
      <c r="B46817" s="36"/>
      <c r="C46817" s="36"/>
      <c r="E46817" s="1"/>
      <c r="F46817" s="1"/>
      <c r="G46817" s="1"/>
    </row>
    <row r="46818">
      <c r="B46818" s="36"/>
      <c r="C46818" s="36"/>
      <c r="E46818" s="1"/>
      <c r="F46818" s="1"/>
      <c r="G46818" s="1"/>
    </row>
    <row r="46819">
      <c r="B46819" s="36"/>
      <c r="C46819" s="36"/>
      <c r="E46819" s="1"/>
      <c r="F46819" s="1"/>
      <c r="G46819" s="1"/>
    </row>
    <row r="46820">
      <c r="B46820" s="36"/>
      <c r="C46820" s="36"/>
      <c r="E46820" s="1"/>
      <c r="F46820" s="1"/>
      <c r="G46820" s="1"/>
    </row>
    <row r="46821">
      <c r="B46821" s="36"/>
      <c r="C46821" s="36"/>
      <c r="E46821" s="1"/>
      <c r="F46821" s="1"/>
      <c r="G46821" s="1"/>
    </row>
    <row r="46822">
      <c r="B46822" s="36"/>
      <c r="C46822" s="36"/>
      <c r="E46822" s="1"/>
      <c r="F46822" s="1"/>
      <c r="G46822" s="1"/>
    </row>
    <row r="46823">
      <c r="B46823" s="36"/>
      <c r="C46823" s="36"/>
      <c r="E46823" s="1"/>
      <c r="F46823" s="1"/>
      <c r="G46823" s="1"/>
    </row>
    <row r="46824">
      <c r="B46824" s="36"/>
      <c r="C46824" s="36"/>
      <c r="E46824" s="1"/>
      <c r="F46824" s="1"/>
      <c r="G46824" s="1"/>
    </row>
    <row r="46825">
      <c r="B46825" s="36"/>
      <c r="C46825" s="36"/>
      <c r="E46825" s="1"/>
      <c r="F46825" s="1"/>
      <c r="G46825" s="1"/>
    </row>
    <row r="46826">
      <c r="B46826" s="36"/>
      <c r="C46826" s="36"/>
      <c r="E46826" s="1"/>
      <c r="F46826" s="1"/>
      <c r="G46826" s="1"/>
    </row>
    <row r="46827">
      <c r="B46827" s="36"/>
      <c r="C46827" s="36"/>
      <c r="E46827" s="1"/>
      <c r="F46827" s="1"/>
      <c r="G46827" s="1"/>
    </row>
    <row r="46828">
      <c r="B46828" s="36"/>
      <c r="C46828" s="36"/>
      <c r="E46828" s="1"/>
      <c r="F46828" s="1"/>
      <c r="G46828" s="1"/>
    </row>
    <row r="46829">
      <c r="B46829" s="36"/>
      <c r="C46829" s="36"/>
      <c r="E46829" s="1"/>
      <c r="F46829" s="1"/>
      <c r="G46829" s="1"/>
    </row>
    <row r="46830">
      <c r="B46830" s="36"/>
      <c r="C46830" s="36"/>
      <c r="E46830" s="1"/>
      <c r="F46830" s="1"/>
      <c r="G46830" s="1"/>
    </row>
    <row r="46831">
      <c r="B46831" s="36"/>
      <c r="C46831" s="36"/>
      <c r="E46831" s="1"/>
      <c r="F46831" s="1"/>
      <c r="G46831" s="1"/>
    </row>
    <row r="46832">
      <c r="B46832" s="36"/>
      <c r="C46832" s="36"/>
      <c r="E46832" s="1"/>
      <c r="F46832" s="1"/>
      <c r="G46832" s="1"/>
    </row>
    <row r="46833">
      <c r="B46833" s="36"/>
      <c r="C46833" s="36"/>
      <c r="E46833" s="1"/>
      <c r="F46833" s="1"/>
      <c r="G46833" s="1"/>
    </row>
    <row r="46834">
      <c r="B46834" s="36"/>
      <c r="C46834" s="36"/>
      <c r="E46834" s="1"/>
      <c r="F46834" s="1"/>
      <c r="G46834" s="1"/>
    </row>
    <row r="46835">
      <c r="B46835" s="36"/>
      <c r="C46835" s="36"/>
      <c r="E46835" s="1"/>
      <c r="F46835" s="1"/>
      <c r="G46835" s="1"/>
    </row>
    <row r="46836">
      <c r="B46836" s="36"/>
      <c r="C46836" s="36"/>
      <c r="E46836" s="1"/>
      <c r="F46836" s="1"/>
      <c r="G46836" s="1"/>
    </row>
    <row r="46837">
      <c r="B46837" s="36"/>
      <c r="C46837" s="36"/>
      <c r="E46837" s="1"/>
      <c r="F46837" s="1"/>
      <c r="G46837" s="1"/>
    </row>
    <row r="46838">
      <c r="B46838" s="36"/>
      <c r="C46838" s="36"/>
      <c r="E46838" s="1"/>
      <c r="F46838" s="1"/>
      <c r="G46838" s="1"/>
    </row>
    <row r="46839">
      <c r="B46839" s="36"/>
      <c r="C46839" s="36"/>
      <c r="E46839" s="1"/>
      <c r="F46839" s="1"/>
      <c r="G46839" s="1"/>
    </row>
    <row r="46840">
      <c r="B46840" s="36"/>
      <c r="C46840" s="36"/>
      <c r="E46840" s="1"/>
      <c r="F46840" s="1"/>
      <c r="G46840" s="1"/>
    </row>
    <row r="46841">
      <c r="B46841" s="36"/>
      <c r="C46841" s="36"/>
      <c r="E46841" s="1"/>
      <c r="F46841" s="1"/>
      <c r="G46841" s="1"/>
    </row>
    <row r="46842">
      <c r="B46842" s="36"/>
      <c r="C46842" s="36"/>
      <c r="E46842" s="1"/>
      <c r="F46842" s="1"/>
      <c r="G46842" s="1"/>
    </row>
    <row r="46843">
      <c r="B46843" s="36"/>
      <c r="C46843" s="36"/>
      <c r="E46843" s="1"/>
      <c r="F46843" s="1"/>
      <c r="G46843" s="1"/>
    </row>
    <row r="46844">
      <c r="B46844" s="36"/>
      <c r="C46844" s="36"/>
      <c r="E46844" s="1"/>
      <c r="F46844" s="1"/>
      <c r="G46844" s="1"/>
    </row>
    <row r="46845">
      <c r="B46845" s="36"/>
      <c r="C46845" s="36"/>
      <c r="E46845" s="1"/>
      <c r="F46845" s="1"/>
      <c r="G46845" s="1"/>
    </row>
    <row r="46846">
      <c r="B46846" s="36"/>
      <c r="C46846" s="36"/>
      <c r="E46846" s="1"/>
      <c r="F46846" s="1"/>
      <c r="G46846" s="1"/>
    </row>
    <row r="46847">
      <c r="B46847" s="36"/>
      <c r="C46847" s="36"/>
      <c r="E46847" s="1"/>
      <c r="F46847" s="1"/>
      <c r="G46847" s="1"/>
    </row>
    <row r="46848">
      <c r="B46848" s="36"/>
      <c r="C46848" s="36"/>
      <c r="E46848" s="1"/>
      <c r="F46848" s="1"/>
      <c r="G46848" s="1"/>
    </row>
    <row r="46849">
      <c r="B46849" s="36"/>
      <c r="C46849" s="36"/>
      <c r="E46849" s="1"/>
      <c r="F46849" s="1"/>
      <c r="G46849" s="1"/>
    </row>
    <row r="46850">
      <c r="B46850" s="36"/>
      <c r="C46850" s="36"/>
      <c r="E46850" s="1"/>
      <c r="F46850" s="1"/>
      <c r="G46850" s="1"/>
    </row>
    <row r="46851">
      <c r="B46851" s="36"/>
      <c r="C46851" s="36"/>
      <c r="E46851" s="1"/>
      <c r="F46851" s="1"/>
      <c r="G46851" s="1"/>
    </row>
    <row r="46852">
      <c r="B46852" s="36"/>
      <c r="C46852" s="36"/>
      <c r="E46852" s="1"/>
      <c r="F46852" s="1"/>
      <c r="G46852" s="1"/>
    </row>
    <row r="46853">
      <c r="B46853" s="36"/>
      <c r="C46853" s="36"/>
      <c r="E46853" s="1"/>
      <c r="F46853" s="1"/>
      <c r="G46853" s="1"/>
    </row>
    <row r="46854">
      <c r="B46854" s="36"/>
      <c r="C46854" s="36"/>
      <c r="E46854" s="1"/>
      <c r="F46854" s="1"/>
      <c r="G46854" s="1"/>
    </row>
    <row r="46855">
      <c r="B46855" s="36"/>
      <c r="C46855" s="36"/>
      <c r="E46855" s="1"/>
      <c r="F46855" s="1"/>
      <c r="G46855" s="1"/>
    </row>
    <row r="46856">
      <c r="B46856" s="36"/>
      <c r="C46856" s="36"/>
      <c r="E46856" s="1"/>
      <c r="F46856" s="1"/>
      <c r="G46856" s="1"/>
    </row>
    <row r="46857">
      <c r="B46857" s="36"/>
      <c r="C46857" s="36"/>
      <c r="E46857" s="1"/>
      <c r="F46857" s="1"/>
      <c r="G46857" s="1"/>
    </row>
    <row r="46858">
      <c r="B46858" s="36"/>
      <c r="C46858" s="36"/>
      <c r="E46858" s="1"/>
      <c r="F46858" s="1"/>
      <c r="G46858" s="1"/>
    </row>
    <row r="46859">
      <c r="B46859" s="36"/>
      <c r="C46859" s="36"/>
      <c r="E46859" s="1"/>
      <c r="F46859" s="1"/>
      <c r="G46859" s="1"/>
    </row>
    <row r="46860">
      <c r="B46860" s="36"/>
      <c r="C46860" s="36"/>
      <c r="E46860" s="1"/>
      <c r="F46860" s="1"/>
      <c r="G46860" s="1"/>
    </row>
    <row r="46861">
      <c r="B46861" s="36"/>
      <c r="C46861" s="36"/>
      <c r="E46861" s="1"/>
      <c r="F46861" s="1"/>
      <c r="G46861" s="1"/>
    </row>
    <row r="46862">
      <c r="B46862" s="36"/>
      <c r="C46862" s="36"/>
      <c r="E46862" s="1"/>
      <c r="F46862" s="1"/>
      <c r="G46862" s="1"/>
    </row>
    <row r="46863">
      <c r="B46863" s="36"/>
      <c r="C46863" s="36"/>
      <c r="E46863" s="1"/>
      <c r="F46863" s="1"/>
      <c r="G46863" s="1"/>
    </row>
    <row r="46864">
      <c r="B46864" s="36"/>
      <c r="C46864" s="36"/>
      <c r="E46864" s="1"/>
      <c r="F46864" s="1"/>
      <c r="G46864" s="1"/>
    </row>
    <row r="46865">
      <c r="B46865" s="36"/>
      <c r="C46865" s="36"/>
      <c r="E46865" s="1"/>
      <c r="F46865" s="1"/>
      <c r="G46865" s="1"/>
    </row>
    <row r="46866">
      <c r="B46866" s="36"/>
      <c r="C46866" s="36"/>
      <c r="E46866" s="1"/>
      <c r="F46866" s="1"/>
      <c r="G46866" s="1"/>
    </row>
    <row r="46867">
      <c r="B46867" s="36"/>
      <c r="C46867" s="36"/>
      <c r="E46867" s="1"/>
      <c r="F46867" s="1"/>
      <c r="G46867" s="1"/>
    </row>
    <row r="46868">
      <c r="B46868" s="36"/>
      <c r="C46868" s="36"/>
      <c r="E46868" s="1"/>
      <c r="F46868" s="1"/>
      <c r="G46868" s="1"/>
    </row>
    <row r="46869">
      <c r="B46869" s="36"/>
      <c r="C46869" s="36"/>
      <c r="E46869" s="1"/>
      <c r="F46869" s="1"/>
      <c r="G46869" s="1"/>
    </row>
    <row r="46870">
      <c r="B46870" s="36"/>
      <c r="C46870" s="36"/>
      <c r="E46870" s="1"/>
      <c r="F46870" s="1"/>
      <c r="G46870" s="1"/>
    </row>
    <row r="46871">
      <c r="B46871" s="36"/>
      <c r="C46871" s="36"/>
      <c r="E46871" s="1"/>
      <c r="F46871" s="1"/>
      <c r="G46871" s="1"/>
    </row>
    <row r="46872">
      <c r="B46872" s="36"/>
      <c r="C46872" s="36"/>
      <c r="E46872" s="1"/>
      <c r="F46872" s="1"/>
      <c r="G46872" s="1"/>
    </row>
    <row r="46873">
      <c r="B46873" s="36"/>
      <c r="C46873" s="36"/>
      <c r="E46873" s="1"/>
      <c r="F46873" s="1"/>
      <c r="G46873" s="1"/>
    </row>
    <row r="46874">
      <c r="B46874" s="36"/>
      <c r="C46874" s="36"/>
      <c r="E46874" s="1"/>
      <c r="F46874" s="1"/>
      <c r="G46874" s="1"/>
    </row>
    <row r="46875">
      <c r="B46875" s="36"/>
      <c r="C46875" s="36"/>
      <c r="E46875" s="1"/>
      <c r="F46875" s="1"/>
      <c r="G46875" s="1"/>
    </row>
    <row r="46876">
      <c r="B46876" s="36"/>
      <c r="C46876" s="36"/>
      <c r="E46876" s="1"/>
      <c r="F46876" s="1"/>
      <c r="G46876" s="1"/>
    </row>
    <row r="46877">
      <c r="B46877" s="36"/>
      <c r="C46877" s="36"/>
      <c r="E46877" s="1"/>
      <c r="F46877" s="1"/>
      <c r="G46877" s="1"/>
    </row>
    <row r="46878">
      <c r="B46878" s="36"/>
      <c r="C46878" s="36"/>
      <c r="E46878" s="1"/>
      <c r="F46878" s="1"/>
      <c r="G46878" s="1"/>
    </row>
    <row r="46879">
      <c r="B46879" s="36"/>
      <c r="C46879" s="36"/>
      <c r="E46879" s="1"/>
      <c r="F46879" s="1"/>
      <c r="G46879" s="1"/>
    </row>
    <row r="46880">
      <c r="B46880" s="36"/>
      <c r="C46880" s="36"/>
      <c r="E46880" s="1"/>
      <c r="F46880" s="1"/>
      <c r="G46880" s="1"/>
    </row>
    <row r="46881">
      <c r="B46881" s="36"/>
      <c r="C46881" s="36"/>
      <c r="E46881" s="1"/>
      <c r="F46881" s="1"/>
      <c r="G46881" s="1"/>
    </row>
    <row r="46882">
      <c r="B46882" s="36"/>
      <c r="C46882" s="36"/>
      <c r="E46882" s="1"/>
      <c r="F46882" s="1"/>
      <c r="G46882" s="1"/>
    </row>
    <row r="46883">
      <c r="B46883" s="36"/>
      <c r="C46883" s="36"/>
      <c r="E46883" s="1"/>
      <c r="F46883" s="1"/>
      <c r="G46883" s="1"/>
    </row>
    <row r="46884">
      <c r="B46884" s="36"/>
      <c r="C46884" s="36"/>
      <c r="E46884" s="1"/>
      <c r="F46884" s="1"/>
      <c r="G46884" s="1"/>
    </row>
    <row r="46885">
      <c r="B46885" s="36"/>
      <c r="C46885" s="36"/>
      <c r="E46885" s="1"/>
      <c r="F46885" s="1"/>
      <c r="G46885" s="1"/>
    </row>
    <row r="46886">
      <c r="B46886" s="36"/>
      <c r="C46886" s="36"/>
      <c r="E46886" s="1"/>
      <c r="F46886" s="1"/>
      <c r="G46886" s="1"/>
    </row>
    <row r="46887">
      <c r="B46887" s="36"/>
      <c r="C46887" s="36"/>
      <c r="E46887" s="1"/>
      <c r="F46887" s="1"/>
      <c r="G46887" s="1"/>
    </row>
    <row r="46888">
      <c r="B46888" s="36"/>
      <c r="C46888" s="36"/>
      <c r="E46888" s="1"/>
      <c r="F46888" s="1"/>
      <c r="G46888" s="1"/>
    </row>
    <row r="46889">
      <c r="B46889" s="36"/>
      <c r="C46889" s="36"/>
      <c r="E46889" s="1"/>
      <c r="F46889" s="1"/>
      <c r="G46889" s="1"/>
    </row>
    <row r="46890">
      <c r="B46890" s="36"/>
      <c r="C46890" s="36"/>
      <c r="E46890" s="1"/>
      <c r="F46890" s="1"/>
      <c r="G46890" s="1"/>
    </row>
    <row r="46891">
      <c r="B46891" s="36"/>
      <c r="C46891" s="36"/>
      <c r="E46891" s="1"/>
      <c r="F46891" s="1"/>
      <c r="G46891" s="1"/>
    </row>
    <row r="46892">
      <c r="B46892" s="36"/>
      <c r="C46892" s="36"/>
      <c r="E46892" s="1"/>
      <c r="F46892" s="1"/>
      <c r="G46892" s="1"/>
    </row>
    <row r="46893">
      <c r="B46893" s="36"/>
      <c r="C46893" s="36"/>
      <c r="E46893" s="1"/>
      <c r="F46893" s="1"/>
      <c r="G46893" s="1"/>
    </row>
    <row r="46894">
      <c r="B46894" s="36"/>
      <c r="C46894" s="36"/>
      <c r="E46894" s="1"/>
      <c r="F46894" s="1"/>
      <c r="G46894" s="1"/>
    </row>
    <row r="46895">
      <c r="B46895" s="36"/>
      <c r="C46895" s="36"/>
      <c r="E46895" s="1"/>
      <c r="F46895" s="1"/>
      <c r="G46895" s="1"/>
    </row>
    <row r="46896">
      <c r="B46896" s="36"/>
      <c r="C46896" s="36"/>
      <c r="E46896" s="1"/>
      <c r="F46896" s="1"/>
      <c r="G46896" s="1"/>
    </row>
    <row r="46897">
      <c r="B46897" s="36"/>
      <c r="C46897" s="36"/>
      <c r="E46897" s="1"/>
      <c r="F46897" s="1"/>
      <c r="G46897" s="1"/>
    </row>
    <row r="46898">
      <c r="B46898" s="36"/>
      <c r="C46898" s="36"/>
      <c r="E46898" s="1"/>
      <c r="F46898" s="1"/>
      <c r="G46898" s="1"/>
    </row>
    <row r="46899">
      <c r="B46899" s="36"/>
      <c r="C46899" s="36"/>
      <c r="E46899" s="1"/>
      <c r="F46899" s="1"/>
      <c r="G46899" s="1"/>
    </row>
    <row r="46900">
      <c r="B46900" s="36"/>
      <c r="C46900" s="36"/>
      <c r="E46900" s="1"/>
      <c r="F46900" s="1"/>
      <c r="G46900" s="1"/>
    </row>
    <row r="46901">
      <c r="B46901" s="36"/>
      <c r="C46901" s="36"/>
      <c r="E46901" s="1"/>
      <c r="F46901" s="1"/>
      <c r="G46901" s="1"/>
    </row>
    <row r="46902">
      <c r="B46902" s="36"/>
      <c r="C46902" s="36"/>
      <c r="E46902" s="1"/>
      <c r="F46902" s="1"/>
      <c r="G46902" s="1"/>
    </row>
    <row r="46903">
      <c r="B46903" s="36"/>
      <c r="C46903" s="36"/>
      <c r="E46903" s="1"/>
      <c r="F46903" s="1"/>
      <c r="G46903" s="1"/>
    </row>
    <row r="46904">
      <c r="B46904" s="36"/>
      <c r="C46904" s="36"/>
      <c r="E46904" s="1"/>
      <c r="F46904" s="1"/>
      <c r="G46904" s="1"/>
    </row>
    <row r="46905">
      <c r="B46905" s="36"/>
      <c r="C46905" s="36"/>
      <c r="E46905" s="1"/>
      <c r="F46905" s="1"/>
      <c r="G46905" s="1"/>
    </row>
    <row r="46906">
      <c r="B46906" s="36"/>
      <c r="C46906" s="36"/>
      <c r="E46906" s="1"/>
      <c r="F46906" s="1"/>
      <c r="G46906" s="1"/>
    </row>
    <row r="46907">
      <c r="B46907" s="36"/>
      <c r="C46907" s="36"/>
      <c r="E46907" s="1"/>
      <c r="F46907" s="1"/>
      <c r="G46907" s="1"/>
    </row>
    <row r="46908">
      <c r="B46908" s="36"/>
      <c r="C46908" s="36"/>
      <c r="E46908" s="1"/>
      <c r="F46908" s="1"/>
      <c r="G46908" s="1"/>
    </row>
    <row r="46909">
      <c r="B46909" s="36"/>
      <c r="C46909" s="36"/>
      <c r="E46909" s="1"/>
      <c r="F46909" s="1"/>
      <c r="G46909" s="1"/>
    </row>
    <row r="46910">
      <c r="B46910" s="36"/>
      <c r="C46910" s="36"/>
      <c r="E46910" s="1"/>
      <c r="F46910" s="1"/>
      <c r="G46910" s="1"/>
    </row>
    <row r="46911">
      <c r="B46911" s="36"/>
      <c r="C46911" s="36"/>
      <c r="E46911" s="1"/>
      <c r="F46911" s="1"/>
      <c r="G46911" s="1"/>
    </row>
    <row r="46912">
      <c r="B46912" s="36"/>
      <c r="C46912" s="36"/>
      <c r="E46912" s="1"/>
      <c r="F46912" s="1"/>
      <c r="G46912" s="1"/>
    </row>
    <row r="46913">
      <c r="B46913" s="36"/>
      <c r="C46913" s="36"/>
      <c r="E46913" s="1"/>
      <c r="F46913" s="1"/>
      <c r="G46913" s="1"/>
    </row>
    <row r="46914">
      <c r="B46914" s="36"/>
      <c r="C46914" s="36"/>
      <c r="E46914" s="1"/>
      <c r="F46914" s="1"/>
      <c r="G46914" s="1"/>
    </row>
    <row r="46915">
      <c r="B46915" s="36"/>
      <c r="C46915" s="36"/>
      <c r="E46915" s="1"/>
      <c r="F46915" s="1"/>
      <c r="G46915" s="1"/>
    </row>
    <row r="46916">
      <c r="B46916" s="36"/>
      <c r="C46916" s="36"/>
      <c r="E46916" s="1"/>
      <c r="F46916" s="1"/>
      <c r="G46916" s="1"/>
    </row>
    <row r="46917">
      <c r="B46917" s="36"/>
      <c r="C46917" s="36"/>
      <c r="E46917" s="1"/>
      <c r="F46917" s="1"/>
      <c r="G46917" s="1"/>
    </row>
    <row r="46918">
      <c r="B46918" s="36"/>
      <c r="C46918" s="36"/>
      <c r="E46918" s="1"/>
      <c r="F46918" s="1"/>
      <c r="G46918" s="1"/>
    </row>
    <row r="46919">
      <c r="B46919" s="36"/>
      <c r="C46919" s="36"/>
      <c r="E46919" s="1"/>
      <c r="F46919" s="1"/>
      <c r="G46919" s="1"/>
    </row>
    <row r="46920">
      <c r="B46920" s="36"/>
      <c r="C46920" s="36"/>
      <c r="E46920" s="1"/>
      <c r="F46920" s="1"/>
      <c r="G46920" s="1"/>
    </row>
    <row r="46921">
      <c r="B46921" s="36"/>
      <c r="C46921" s="36"/>
      <c r="E46921" s="1"/>
      <c r="F46921" s="1"/>
      <c r="G46921" s="1"/>
    </row>
    <row r="46922">
      <c r="B46922" s="36"/>
      <c r="C46922" s="36"/>
      <c r="E46922" s="1"/>
      <c r="F46922" s="1"/>
      <c r="G46922" s="1"/>
    </row>
    <row r="46923">
      <c r="B46923" s="36"/>
      <c r="C46923" s="36"/>
      <c r="E46923" s="1"/>
      <c r="F46923" s="1"/>
      <c r="G46923" s="1"/>
    </row>
    <row r="46924">
      <c r="B46924" s="36"/>
      <c r="C46924" s="36"/>
      <c r="E46924" s="1"/>
      <c r="F46924" s="1"/>
      <c r="G46924" s="1"/>
    </row>
    <row r="46925">
      <c r="B46925" s="36"/>
      <c r="C46925" s="36"/>
      <c r="E46925" s="1"/>
      <c r="F46925" s="1"/>
      <c r="G46925" s="1"/>
    </row>
    <row r="46926">
      <c r="B46926" s="36"/>
      <c r="C46926" s="36"/>
      <c r="E46926" s="1"/>
      <c r="F46926" s="1"/>
      <c r="G46926" s="1"/>
    </row>
    <row r="46927">
      <c r="B46927" s="36"/>
      <c r="C46927" s="36"/>
      <c r="E46927" s="1"/>
      <c r="F46927" s="1"/>
      <c r="G46927" s="1"/>
    </row>
    <row r="46928">
      <c r="B46928" s="36"/>
      <c r="C46928" s="36"/>
      <c r="E46928" s="1"/>
      <c r="F46928" s="1"/>
      <c r="G46928" s="1"/>
    </row>
    <row r="46929">
      <c r="B46929" s="36"/>
      <c r="C46929" s="36"/>
      <c r="E46929" s="1"/>
      <c r="F46929" s="1"/>
      <c r="G46929" s="1"/>
    </row>
    <row r="46930">
      <c r="B46930" s="36"/>
      <c r="C46930" s="36"/>
      <c r="E46930" s="1"/>
      <c r="F46930" s="1"/>
      <c r="G46930" s="1"/>
    </row>
    <row r="46931">
      <c r="B46931" s="36"/>
      <c r="C46931" s="36"/>
      <c r="E46931" s="1"/>
      <c r="F46931" s="1"/>
      <c r="G46931" s="1"/>
    </row>
    <row r="46932">
      <c r="B46932" s="36"/>
      <c r="C46932" s="36"/>
      <c r="E46932" s="1"/>
      <c r="F46932" s="1"/>
      <c r="G46932" s="1"/>
    </row>
    <row r="46933">
      <c r="B46933" s="36"/>
      <c r="C46933" s="36"/>
      <c r="E46933" s="1"/>
      <c r="F46933" s="1"/>
      <c r="G46933" s="1"/>
    </row>
    <row r="46934">
      <c r="B46934" s="36"/>
      <c r="C46934" s="36"/>
      <c r="E46934" s="1"/>
      <c r="F46934" s="1"/>
      <c r="G46934" s="1"/>
    </row>
    <row r="46935">
      <c r="B46935" s="36"/>
      <c r="C46935" s="36"/>
      <c r="E46935" s="1"/>
      <c r="F46935" s="1"/>
      <c r="G46935" s="1"/>
    </row>
    <row r="46936">
      <c r="B46936" s="36"/>
      <c r="C46936" s="36"/>
      <c r="E46936" s="1"/>
      <c r="F46936" s="1"/>
      <c r="G46936" s="1"/>
    </row>
    <row r="46937">
      <c r="B46937" s="36"/>
      <c r="C46937" s="36"/>
      <c r="E46937" s="1"/>
      <c r="F46937" s="1"/>
      <c r="G46937" s="1"/>
    </row>
    <row r="46938">
      <c r="B46938" s="36"/>
      <c r="C46938" s="36"/>
      <c r="E46938" s="1"/>
      <c r="F46938" s="1"/>
      <c r="G46938" s="1"/>
    </row>
    <row r="46939">
      <c r="B46939" s="36"/>
      <c r="C46939" s="36"/>
      <c r="E46939" s="1"/>
      <c r="F46939" s="1"/>
      <c r="G46939" s="1"/>
    </row>
    <row r="46940">
      <c r="B46940" s="36"/>
      <c r="C46940" s="36"/>
      <c r="E46940" s="1"/>
      <c r="F46940" s="1"/>
      <c r="G46940" s="1"/>
    </row>
    <row r="46941">
      <c r="B46941" s="36"/>
      <c r="C46941" s="36"/>
      <c r="E46941" s="1"/>
      <c r="F46941" s="1"/>
      <c r="G46941" s="1"/>
    </row>
    <row r="46942">
      <c r="B46942" s="36"/>
      <c r="C46942" s="36"/>
      <c r="E46942" s="1"/>
      <c r="F46942" s="1"/>
      <c r="G46942" s="1"/>
    </row>
    <row r="46943">
      <c r="B46943" s="36"/>
      <c r="C46943" s="36"/>
      <c r="E46943" s="1"/>
      <c r="F46943" s="1"/>
      <c r="G46943" s="1"/>
    </row>
    <row r="46944">
      <c r="B46944" s="36"/>
      <c r="C46944" s="36"/>
      <c r="E46944" s="1"/>
      <c r="F46944" s="1"/>
      <c r="G46944" s="1"/>
    </row>
    <row r="46945">
      <c r="B46945" s="36"/>
      <c r="C46945" s="36"/>
      <c r="E46945" s="1"/>
      <c r="F46945" s="1"/>
      <c r="G46945" s="1"/>
    </row>
    <row r="46946">
      <c r="B46946" s="36"/>
      <c r="C46946" s="36"/>
      <c r="E46946" s="1"/>
      <c r="F46946" s="1"/>
      <c r="G46946" s="1"/>
    </row>
    <row r="46947">
      <c r="B46947" s="36"/>
      <c r="C46947" s="36"/>
      <c r="E46947" s="1"/>
      <c r="F46947" s="1"/>
      <c r="G46947" s="1"/>
    </row>
    <row r="46948">
      <c r="B46948" s="36"/>
      <c r="C46948" s="36"/>
      <c r="E46948" s="1"/>
      <c r="F46948" s="1"/>
      <c r="G46948" s="1"/>
    </row>
    <row r="46949">
      <c r="B46949" s="36"/>
      <c r="C46949" s="36"/>
      <c r="E46949" s="1"/>
      <c r="F46949" s="1"/>
      <c r="G46949" s="1"/>
    </row>
    <row r="46950">
      <c r="B46950" s="36"/>
      <c r="C46950" s="36"/>
      <c r="E46950" s="1"/>
      <c r="F46950" s="1"/>
      <c r="G46950" s="1"/>
    </row>
    <row r="46951">
      <c r="B46951" s="36"/>
      <c r="C46951" s="36"/>
      <c r="E46951" s="1"/>
      <c r="F46951" s="1"/>
      <c r="G46951" s="1"/>
    </row>
    <row r="46952">
      <c r="B46952" s="36"/>
      <c r="C46952" s="36"/>
      <c r="E46952" s="1"/>
      <c r="F46952" s="1"/>
      <c r="G46952" s="1"/>
    </row>
    <row r="46953">
      <c r="B46953" s="36"/>
      <c r="C46953" s="36"/>
      <c r="E46953" s="1"/>
      <c r="F46953" s="1"/>
      <c r="G46953" s="1"/>
    </row>
    <row r="46954">
      <c r="B46954" s="36"/>
      <c r="C46954" s="36"/>
      <c r="E46954" s="1"/>
      <c r="F46954" s="1"/>
      <c r="G46954" s="1"/>
    </row>
    <row r="46955">
      <c r="B46955" s="36"/>
      <c r="C46955" s="36"/>
      <c r="E46955" s="1"/>
      <c r="F46955" s="1"/>
      <c r="G46955" s="1"/>
    </row>
    <row r="46956">
      <c r="B46956" s="36"/>
      <c r="C46956" s="36"/>
      <c r="E46956" s="1"/>
      <c r="F46956" s="1"/>
      <c r="G46956" s="1"/>
    </row>
    <row r="46957">
      <c r="B46957" s="36"/>
      <c r="C46957" s="36"/>
      <c r="E46957" s="1"/>
      <c r="F46957" s="1"/>
      <c r="G46957" s="1"/>
    </row>
    <row r="46958">
      <c r="B46958" s="36"/>
      <c r="C46958" s="36"/>
      <c r="E46958" s="1"/>
      <c r="F46958" s="1"/>
      <c r="G46958" s="1"/>
    </row>
    <row r="46959">
      <c r="B46959" s="36"/>
      <c r="C46959" s="36"/>
      <c r="E46959" s="1"/>
      <c r="F46959" s="1"/>
      <c r="G46959" s="1"/>
    </row>
    <row r="46960">
      <c r="B46960" s="36"/>
      <c r="C46960" s="36"/>
      <c r="E46960" s="1"/>
      <c r="F46960" s="1"/>
      <c r="G46960" s="1"/>
    </row>
    <row r="46961">
      <c r="B46961" s="36"/>
      <c r="C46961" s="36"/>
      <c r="E46961" s="1"/>
      <c r="F46961" s="1"/>
      <c r="G46961" s="1"/>
    </row>
    <row r="46962">
      <c r="B46962" s="36"/>
      <c r="C46962" s="36"/>
      <c r="E46962" s="1"/>
      <c r="F46962" s="1"/>
      <c r="G46962" s="1"/>
    </row>
    <row r="46963">
      <c r="B46963" s="36"/>
      <c r="C46963" s="36"/>
      <c r="E46963" s="1"/>
      <c r="F46963" s="1"/>
      <c r="G46963" s="1"/>
    </row>
    <row r="46964">
      <c r="B46964" s="36"/>
      <c r="C46964" s="36"/>
      <c r="E46964" s="1"/>
      <c r="F46964" s="1"/>
      <c r="G46964" s="1"/>
    </row>
    <row r="46965">
      <c r="B46965" s="36"/>
      <c r="C46965" s="36"/>
      <c r="E46965" s="1"/>
      <c r="F46965" s="1"/>
      <c r="G46965" s="1"/>
    </row>
    <row r="46966">
      <c r="B46966" s="36"/>
      <c r="C46966" s="36"/>
      <c r="E46966" s="1"/>
      <c r="F46966" s="1"/>
      <c r="G46966" s="1"/>
    </row>
    <row r="46967">
      <c r="B46967" s="36"/>
      <c r="C46967" s="36"/>
      <c r="E46967" s="1"/>
      <c r="F46967" s="1"/>
      <c r="G46967" s="1"/>
    </row>
    <row r="46968">
      <c r="B46968" s="36"/>
      <c r="C46968" s="36"/>
      <c r="E46968" s="1"/>
      <c r="F46968" s="1"/>
      <c r="G46968" s="1"/>
    </row>
    <row r="46969">
      <c r="B46969" s="36"/>
      <c r="C46969" s="36"/>
      <c r="E46969" s="1"/>
      <c r="F46969" s="1"/>
      <c r="G46969" s="1"/>
    </row>
    <row r="46970">
      <c r="B46970" s="36"/>
      <c r="C46970" s="36"/>
      <c r="E46970" s="1"/>
      <c r="F46970" s="1"/>
      <c r="G46970" s="1"/>
    </row>
    <row r="46971">
      <c r="B46971" s="36"/>
      <c r="C46971" s="36"/>
      <c r="E46971" s="1"/>
      <c r="F46971" s="1"/>
      <c r="G46971" s="1"/>
    </row>
    <row r="46972">
      <c r="B46972" s="36"/>
      <c r="C46972" s="36"/>
      <c r="E46972" s="1"/>
      <c r="F46972" s="1"/>
      <c r="G46972" s="1"/>
    </row>
    <row r="46973">
      <c r="B46973" s="36"/>
      <c r="C46973" s="36"/>
      <c r="E46973" s="1"/>
      <c r="F46973" s="1"/>
      <c r="G46973" s="1"/>
    </row>
    <row r="46974">
      <c r="B46974" s="36"/>
      <c r="C46974" s="36"/>
      <c r="E46974" s="1"/>
      <c r="F46974" s="1"/>
      <c r="G46974" s="1"/>
    </row>
    <row r="46975">
      <c r="B46975" s="36"/>
      <c r="C46975" s="36"/>
      <c r="E46975" s="1"/>
      <c r="F46975" s="1"/>
      <c r="G46975" s="1"/>
    </row>
    <row r="46976">
      <c r="B46976" s="36"/>
      <c r="C46976" s="36"/>
      <c r="E46976" s="1"/>
      <c r="F46976" s="1"/>
      <c r="G46976" s="1"/>
    </row>
    <row r="46977">
      <c r="B46977" s="36"/>
      <c r="C46977" s="36"/>
      <c r="E46977" s="1"/>
      <c r="F46977" s="1"/>
      <c r="G46977" s="1"/>
    </row>
    <row r="46978">
      <c r="B46978" s="36"/>
      <c r="C46978" s="36"/>
      <c r="E46978" s="1"/>
      <c r="F46978" s="1"/>
      <c r="G46978" s="1"/>
    </row>
    <row r="46979">
      <c r="B46979" s="36"/>
      <c r="C46979" s="36"/>
      <c r="E46979" s="1"/>
      <c r="F46979" s="1"/>
      <c r="G46979" s="1"/>
    </row>
    <row r="46980">
      <c r="B46980" s="36"/>
      <c r="C46980" s="36"/>
      <c r="E46980" s="1"/>
      <c r="F46980" s="1"/>
      <c r="G46980" s="1"/>
    </row>
    <row r="46981">
      <c r="B46981" s="36"/>
      <c r="C46981" s="36"/>
      <c r="E46981" s="1"/>
      <c r="F46981" s="1"/>
      <c r="G46981" s="1"/>
    </row>
    <row r="46982">
      <c r="B46982" s="36"/>
      <c r="C46982" s="36"/>
      <c r="E46982" s="1"/>
      <c r="F46982" s="1"/>
      <c r="G46982" s="1"/>
    </row>
    <row r="46983">
      <c r="B46983" s="36"/>
      <c r="C46983" s="36"/>
      <c r="E46983" s="1"/>
      <c r="F46983" s="1"/>
      <c r="G46983" s="1"/>
    </row>
    <row r="46984">
      <c r="B46984" s="36"/>
      <c r="C46984" s="36"/>
      <c r="E46984" s="1"/>
      <c r="F46984" s="1"/>
      <c r="G46984" s="1"/>
    </row>
    <row r="46985">
      <c r="B46985" s="36"/>
      <c r="C46985" s="36"/>
      <c r="E46985" s="1"/>
      <c r="F46985" s="1"/>
      <c r="G46985" s="1"/>
    </row>
    <row r="46986">
      <c r="B46986" s="36"/>
      <c r="C46986" s="36"/>
      <c r="E46986" s="1"/>
      <c r="F46986" s="1"/>
      <c r="G46986" s="1"/>
    </row>
    <row r="46987">
      <c r="B46987" s="36"/>
      <c r="C46987" s="36"/>
      <c r="E46987" s="1"/>
      <c r="F46987" s="1"/>
      <c r="G46987" s="1"/>
    </row>
    <row r="46988">
      <c r="B46988" s="36"/>
      <c r="C46988" s="36"/>
      <c r="E46988" s="1"/>
      <c r="F46988" s="1"/>
      <c r="G46988" s="1"/>
    </row>
    <row r="46989">
      <c r="B46989" s="36"/>
      <c r="C46989" s="36"/>
      <c r="E46989" s="1"/>
      <c r="F46989" s="1"/>
      <c r="G46989" s="1"/>
    </row>
    <row r="46990">
      <c r="B46990" s="36"/>
      <c r="C46990" s="36"/>
      <c r="E46990" s="1"/>
      <c r="F46990" s="1"/>
      <c r="G46990" s="1"/>
    </row>
    <row r="46991">
      <c r="B46991" s="36"/>
      <c r="C46991" s="36"/>
      <c r="E46991" s="1"/>
      <c r="F46991" s="1"/>
      <c r="G46991" s="1"/>
    </row>
    <row r="46992">
      <c r="B46992" s="36"/>
      <c r="C46992" s="36"/>
      <c r="E46992" s="1"/>
      <c r="F46992" s="1"/>
      <c r="G46992" s="1"/>
    </row>
    <row r="46993">
      <c r="B46993" s="36"/>
      <c r="C46993" s="36"/>
      <c r="E46993" s="1"/>
      <c r="F46993" s="1"/>
      <c r="G46993" s="1"/>
    </row>
    <row r="46994">
      <c r="B46994" s="36"/>
      <c r="C46994" s="36"/>
      <c r="E46994" s="1"/>
      <c r="F46994" s="1"/>
      <c r="G46994" s="1"/>
    </row>
    <row r="46995">
      <c r="B46995" s="36"/>
      <c r="C46995" s="36"/>
      <c r="E46995" s="1"/>
      <c r="F46995" s="1"/>
      <c r="G46995" s="1"/>
    </row>
    <row r="46996">
      <c r="B46996" s="36"/>
      <c r="C46996" s="36"/>
      <c r="E46996" s="1"/>
      <c r="F46996" s="1"/>
      <c r="G46996" s="1"/>
    </row>
    <row r="46997">
      <c r="B46997" s="36"/>
      <c r="C46997" s="36"/>
      <c r="E46997" s="1"/>
      <c r="F46997" s="1"/>
      <c r="G46997" s="1"/>
    </row>
    <row r="46998">
      <c r="B46998" s="36"/>
      <c r="C46998" s="36"/>
      <c r="E46998" s="1"/>
      <c r="F46998" s="1"/>
      <c r="G46998" s="1"/>
    </row>
    <row r="46999">
      <c r="B46999" s="36"/>
      <c r="C46999" s="36"/>
      <c r="E46999" s="1"/>
      <c r="F46999" s="1"/>
      <c r="G46999" s="1"/>
    </row>
    <row r="47000">
      <c r="B47000" s="36"/>
      <c r="C47000" s="36"/>
      <c r="E47000" s="1"/>
      <c r="F47000" s="1"/>
      <c r="G47000" s="1"/>
    </row>
    <row r="47001">
      <c r="B47001" s="36"/>
      <c r="C47001" s="36"/>
      <c r="E47001" s="1"/>
      <c r="F47001" s="1"/>
      <c r="G47001" s="1"/>
    </row>
    <row r="47002">
      <c r="B47002" s="36"/>
      <c r="C47002" s="36"/>
      <c r="E47002" s="1"/>
      <c r="F47002" s="1"/>
      <c r="G47002" s="1"/>
    </row>
    <row r="47003">
      <c r="B47003" s="36"/>
      <c r="C47003" s="36"/>
      <c r="E47003" s="1"/>
      <c r="F47003" s="1"/>
      <c r="G47003" s="1"/>
    </row>
    <row r="47004">
      <c r="B47004" s="36"/>
      <c r="C47004" s="36"/>
      <c r="E47004" s="1"/>
      <c r="F47004" s="1"/>
      <c r="G47004" s="1"/>
    </row>
    <row r="47005">
      <c r="B47005" s="36"/>
      <c r="C47005" s="36"/>
      <c r="E47005" s="1"/>
      <c r="F47005" s="1"/>
      <c r="G47005" s="1"/>
    </row>
    <row r="47006">
      <c r="B47006" s="36"/>
      <c r="C47006" s="36"/>
      <c r="E47006" s="1"/>
      <c r="F47006" s="1"/>
      <c r="G47006" s="1"/>
    </row>
    <row r="47007">
      <c r="B47007" s="36"/>
      <c r="C47007" s="36"/>
      <c r="E47007" s="1"/>
      <c r="F47007" s="1"/>
      <c r="G47007" s="1"/>
    </row>
    <row r="47008">
      <c r="B47008" s="36"/>
      <c r="C47008" s="36"/>
      <c r="E47008" s="1"/>
      <c r="F47008" s="1"/>
      <c r="G47008" s="1"/>
    </row>
    <row r="47009">
      <c r="B47009" s="36"/>
      <c r="C47009" s="36"/>
      <c r="E47009" s="1"/>
      <c r="F47009" s="1"/>
      <c r="G47009" s="1"/>
    </row>
    <row r="47010">
      <c r="B47010" s="36"/>
      <c r="C47010" s="36"/>
      <c r="E47010" s="1"/>
      <c r="F47010" s="1"/>
      <c r="G47010" s="1"/>
    </row>
    <row r="47011">
      <c r="B47011" s="36"/>
      <c r="C47011" s="36"/>
      <c r="E47011" s="1"/>
      <c r="F47011" s="1"/>
      <c r="G47011" s="1"/>
    </row>
    <row r="47012">
      <c r="B47012" s="36"/>
      <c r="C47012" s="36"/>
      <c r="E47012" s="1"/>
      <c r="F47012" s="1"/>
      <c r="G47012" s="1"/>
    </row>
    <row r="47013">
      <c r="B47013" s="36"/>
      <c r="C47013" s="36"/>
      <c r="E47013" s="1"/>
      <c r="F47013" s="1"/>
      <c r="G47013" s="1"/>
    </row>
    <row r="47014">
      <c r="B47014" s="36"/>
      <c r="C47014" s="36"/>
      <c r="E47014" s="1"/>
      <c r="F47014" s="1"/>
      <c r="G47014" s="1"/>
    </row>
    <row r="47015">
      <c r="B47015" s="36"/>
      <c r="C47015" s="36"/>
      <c r="E47015" s="1"/>
      <c r="F47015" s="1"/>
      <c r="G47015" s="1"/>
    </row>
    <row r="47016">
      <c r="B47016" s="36"/>
      <c r="C47016" s="36"/>
      <c r="E47016" s="1"/>
      <c r="F47016" s="1"/>
      <c r="G47016" s="1"/>
    </row>
    <row r="47017">
      <c r="B47017" s="36"/>
      <c r="C47017" s="36"/>
      <c r="E47017" s="1"/>
      <c r="F47017" s="1"/>
      <c r="G47017" s="1"/>
    </row>
    <row r="47018">
      <c r="B47018" s="36"/>
      <c r="C47018" s="36"/>
      <c r="E47018" s="1"/>
      <c r="F47018" s="1"/>
      <c r="G47018" s="1"/>
    </row>
    <row r="47019">
      <c r="B47019" s="36"/>
      <c r="C47019" s="36"/>
      <c r="E47019" s="1"/>
      <c r="F47019" s="1"/>
      <c r="G47019" s="1"/>
    </row>
    <row r="47020">
      <c r="B47020" s="36"/>
      <c r="C47020" s="36"/>
      <c r="E47020" s="1"/>
      <c r="F47020" s="1"/>
      <c r="G47020" s="1"/>
    </row>
    <row r="47021">
      <c r="B47021" s="36"/>
      <c r="C47021" s="36"/>
      <c r="E47021" s="1"/>
      <c r="F47021" s="1"/>
      <c r="G47021" s="1"/>
    </row>
    <row r="47022">
      <c r="B47022" s="36"/>
      <c r="C47022" s="36"/>
      <c r="E47022" s="1"/>
      <c r="F47022" s="1"/>
      <c r="G47022" s="1"/>
    </row>
    <row r="47023">
      <c r="B47023" s="36"/>
      <c r="C47023" s="36"/>
      <c r="E47023" s="1"/>
      <c r="F47023" s="1"/>
      <c r="G47023" s="1"/>
    </row>
    <row r="47024">
      <c r="B47024" s="36"/>
      <c r="C47024" s="36"/>
      <c r="E47024" s="1"/>
      <c r="F47024" s="1"/>
      <c r="G47024" s="1"/>
    </row>
    <row r="47025">
      <c r="B47025" s="36"/>
      <c r="C47025" s="36"/>
      <c r="E47025" s="1"/>
      <c r="F47025" s="1"/>
      <c r="G47025" s="1"/>
    </row>
    <row r="47026">
      <c r="B47026" s="36"/>
      <c r="C47026" s="36"/>
      <c r="E47026" s="1"/>
      <c r="F47026" s="1"/>
      <c r="G47026" s="1"/>
    </row>
    <row r="47027">
      <c r="B47027" s="36"/>
      <c r="C47027" s="36"/>
      <c r="E47027" s="1"/>
      <c r="F47027" s="1"/>
      <c r="G47027" s="1"/>
    </row>
    <row r="47028">
      <c r="B47028" s="36"/>
      <c r="C47028" s="36"/>
      <c r="E47028" s="1"/>
      <c r="F47028" s="1"/>
      <c r="G47028" s="1"/>
    </row>
    <row r="47029">
      <c r="B47029" s="36"/>
      <c r="C47029" s="36"/>
      <c r="E47029" s="1"/>
      <c r="F47029" s="1"/>
      <c r="G47029" s="1"/>
    </row>
    <row r="47030">
      <c r="B47030" s="36"/>
      <c r="C47030" s="36"/>
      <c r="E47030" s="1"/>
      <c r="F47030" s="1"/>
      <c r="G47030" s="1"/>
    </row>
    <row r="47031">
      <c r="B47031" s="36"/>
      <c r="C47031" s="36"/>
      <c r="E47031" s="1"/>
      <c r="F47031" s="1"/>
      <c r="G47031" s="1"/>
    </row>
    <row r="47032">
      <c r="B47032" s="36"/>
      <c r="C47032" s="36"/>
      <c r="E47032" s="1"/>
      <c r="F47032" s="1"/>
      <c r="G47032" s="1"/>
    </row>
    <row r="47033">
      <c r="B47033" s="36"/>
      <c r="C47033" s="36"/>
      <c r="E47033" s="1"/>
      <c r="F47033" s="1"/>
      <c r="G47033" s="1"/>
    </row>
    <row r="47034">
      <c r="B47034" s="36"/>
      <c r="C47034" s="36"/>
      <c r="E47034" s="1"/>
      <c r="F47034" s="1"/>
      <c r="G47034" s="1"/>
    </row>
    <row r="47035">
      <c r="B47035" s="36"/>
      <c r="C47035" s="36"/>
      <c r="E47035" s="1"/>
      <c r="F47035" s="1"/>
      <c r="G47035" s="1"/>
    </row>
    <row r="47036">
      <c r="B47036" s="36"/>
      <c r="C47036" s="36"/>
      <c r="E47036" s="1"/>
      <c r="F47036" s="1"/>
      <c r="G47036" s="1"/>
    </row>
    <row r="47037">
      <c r="B47037" s="36"/>
      <c r="C47037" s="36"/>
      <c r="E47037" s="1"/>
      <c r="F47037" s="1"/>
      <c r="G47037" s="1"/>
    </row>
    <row r="47038">
      <c r="B47038" s="36"/>
      <c r="C47038" s="36"/>
      <c r="E47038" s="1"/>
      <c r="F47038" s="1"/>
      <c r="G47038" s="1"/>
    </row>
    <row r="47039">
      <c r="B47039" s="36"/>
      <c r="C47039" s="36"/>
      <c r="E47039" s="1"/>
      <c r="F47039" s="1"/>
      <c r="G47039" s="1"/>
    </row>
    <row r="47040">
      <c r="B47040" s="36"/>
      <c r="C47040" s="36"/>
      <c r="E47040" s="1"/>
      <c r="F47040" s="1"/>
      <c r="G47040" s="1"/>
    </row>
    <row r="47041">
      <c r="B47041" s="36"/>
      <c r="C47041" s="36"/>
      <c r="E47041" s="1"/>
      <c r="F47041" s="1"/>
      <c r="G47041" s="1"/>
    </row>
    <row r="47042">
      <c r="B47042" s="36"/>
      <c r="C47042" s="36"/>
      <c r="E47042" s="1"/>
      <c r="F47042" s="1"/>
      <c r="G47042" s="1"/>
    </row>
    <row r="47043">
      <c r="B47043" s="36"/>
      <c r="C47043" s="36"/>
      <c r="E47043" s="1"/>
      <c r="F47043" s="1"/>
      <c r="G47043" s="1"/>
    </row>
    <row r="47044">
      <c r="B47044" s="36"/>
      <c r="C47044" s="36"/>
      <c r="E47044" s="1"/>
      <c r="F47044" s="1"/>
      <c r="G47044" s="1"/>
    </row>
    <row r="47045">
      <c r="B47045" s="36"/>
      <c r="C47045" s="36"/>
      <c r="E47045" s="1"/>
      <c r="F47045" s="1"/>
      <c r="G47045" s="1"/>
    </row>
    <row r="47046">
      <c r="B47046" s="36"/>
      <c r="C47046" s="36"/>
      <c r="E47046" s="1"/>
      <c r="F47046" s="1"/>
      <c r="G47046" s="1"/>
    </row>
    <row r="47047">
      <c r="B47047" s="36"/>
      <c r="C47047" s="36"/>
      <c r="E47047" s="1"/>
      <c r="F47047" s="1"/>
      <c r="G47047" s="1"/>
    </row>
    <row r="47048">
      <c r="B47048" s="36"/>
      <c r="C47048" s="36"/>
      <c r="E47048" s="1"/>
      <c r="F47048" s="1"/>
      <c r="G47048" s="1"/>
    </row>
    <row r="47049">
      <c r="B47049" s="36"/>
      <c r="C47049" s="36"/>
      <c r="E47049" s="1"/>
      <c r="F47049" s="1"/>
      <c r="G47049" s="1"/>
    </row>
    <row r="47050">
      <c r="B47050" s="36"/>
      <c r="C47050" s="36"/>
      <c r="E47050" s="1"/>
      <c r="F47050" s="1"/>
      <c r="G47050" s="1"/>
    </row>
    <row r="47051">
      <c r="B47051" s="36"/>
      <c r="C47051" s="36"/>
      <c r="E47051" s="1"/>
      <c r="F47051" s="1"/>
      <c r="G47051" s="1"/>
    </row>
    <row r="47052">
      <c r="B47052" s="36"/>
      <c r="C47052" s="36"/>
      <c r="E47052" s="1"/>
      <c r="F47052" s="1"/>
      <c r="G47052" s="1"/>
    </row>
    <row r="47053">
      <c r="B47053" s="36"/>
      <c r="C47053" s="36"/>
      <c r="E47053" s="1"/>
      <c r="F47053" s="1"/>
      <c r="G47053" s="1"/>
    </row>
    <row r="47054">
      <c r="B47054" s="36"/>
      <c r="C47054" s="36"/>
      <c r="E47054" s="1"/>
      <c r="F47054" s="1"/>
      <c r="G47054" s="1"/>
    </row>
    <row r="47055">
      <c r="B47055" s="36"/>
      <c r="C47055" s="36"/>
      <c r="E47055" s="1"/>
      <c r="F47055" s="1"/>
      <c r="G47055" s="1"/>
    </row>
    <row r="47056">
      <c r="B47056" s="36"/>
      <c r="C47056" s="36"/>
      <c r="E47056" s="1"/>
      <c r="F47056" s="1"/>
      <c r="G47056" s="1"/>
    </row>
    <row r="47057">
      <c r="B47057" s="36"/>
      <c r="C47057" s="36"/>
      <c r="E47057" s="1"/>
      <c r="F47057" s="1"/>
      <c r="G47057" s="1"/>
    </row>
    <row r="47058">
      <c r="B47058" s="36"/>
      <c r="C47058" s="36"/>
      <c r="E47058" s="1"/>
      <c r="F47058" s="1"/>
      <c r="G47058" s="1"/>
    </row>
    <row r="47059">
      <c r="B47059" s="36"/>
      <c r="C47059" s="36"/>
      <c r="E47059" s="1"/>
      <c r="F47059" s="1"/>
      <c r="G47059" s="1"/>
    </row>
    <row r="47060">
      <c r="B47060" s="36"/>
      <c r="C47060" s="36"/>
      <c r="E47060" s="1"/>
      <c r="F47060" s="1"/>
      <c r="G47060" s="1"/>
    </row>
    <row r="47061">
      <c r="B47061" s="36"/>
      <c r="C47061" s="36"/>
      <c r="E47061" s="1"/>
      <c r="F47061" s="1"/>
      <c r="G47061" s="1"/>
    </row>
    <row r="47062">
      <c r="B47062" s="36"/>
      <c r="C47062" s="36"/>
      <c r="E47062" s="1"/>
      <c r="F47062" s="1"/>
      <c r="G47062" s="1"/>
    </row>
    <row r="47063">
      <c r="B47063" s="36"/>
      <c r="C47063" s="36"/>
      <c r="E47063" s="1"/>
      <c r="F47063" s="1"/>
      <c r="G47063" s="1"/>
    </row>
    <row r="47064">
      <c r="B47064" s="36"/>
      <c r="C47064" s="36"/>
      <c r="E47064" s="1"/>
      <c r="F47064" s="1"/>
      <c r="G47064" s="1"/>
    </row>
    <row r="47065">
      <c r="B47065" s="36"/>
      <c r="C47065" s="36"/>
      <c r="E47065" s="1"/>
      <c r="F47065" s="1"/>
      <c r="G47065" s="1"/>
    </row>
    <row r="47066">
      <c r="B47066" s="36"/>
      <c r="C47066" s="36"/>
      <c r="E47066" s="1"/>
      <c r="F47066" s="1"/>
      <c r="G47066" s="1"/>
    </row>
    <row r="47067">
      <c r="B47067" s="36"/>
      <c r="C47067" s="36"/>
      <c r="E47067" s="1"/>
      <c r="F47067" s="1"/>
      <c r="G47067" s="1"/>
    </row>
    <row r="47068">
      <c r="B47068" s="36"/>
      <c r="C47068" s="36"/>
      <c r="E47068" s="1"/>
      <c r="F47068" s="1"/>
      <c r="G47068" s="1"/>
    </row>
    <row r="47069">
      <c r="B47069" s="36"/>
      <c r="C47069" s="36"/>
      <c r="E47069" s="1"/>
      <c r="F47069" s="1"/>
      <c r="G47069" s="1"/>
    </row>
    <row r="47070">
      <c r="B47070" s="36"/>
      <c r="C47070" s="36"/>
      <c r="E47070" s="1"/>
      <c r="F47070" s="1"/>
      <c r="G47070" s="1"/>
    </row>
    <row r="47071">
      <c r="B47071" s="36"/>
      <c r="C47071" s="36"/>
      <c r="E47071" s="1"/>
      <c r="F47071" s="1"/>
      <c r="G47071" s="1"/>
    </row>
    <row r="47072">
      <c r="B47072" s="36"/>
      <c r="C47072" s="36"/>
      <c r="E47072" s="1"/>
      <c r="F47072" s="1"/>
      <c r="G47072" s="1"/>
    </row>
    <row r="47073">
      <c r="B47073" s="36"/>
      <c r="C47073" s="36"/>
      <c r="E47073" s="1"/>
      <c r="F47073" s="1"/>
      <c r="G47073" s="1"/>
    </row>
    <row r="47074">
      <c r="B47074" s="36"/>
      <c r="C47074" s="36"/>
      <c r="E47074" s="1"/>
      <c r="F47074" s="1"/>
      <c r="G47074" s="1"/>
    </row>
    <row r="47075">
      <c r="B47075" s="36"/>
      <c r="C47075" s="36"/>
      <c r="E47075" s="1"/>
      <c r="F47075" s="1"/>
      <c r="G47075" s="1"/>
    </row>
    <row r="47076">
      <c r="B47076" s="36"/>
      <c r="C47076" s="36"/>
      <c r="E47076" s="1"/>
      <c r="F47076" s="1"/>
      <c r="G47076" s="1"/>
    </row>
    <row r="47077">
      <c r="B47077" s="36"/>
      <c r="C47077" s="36"/>
      <c r="E47077" s="1"/>
      <c r="F47077" s="1"/>
      <c r="G47077" s="1"/>
    </row>
    <row r="47078">
      <c r="B47078" s="36"/>
      <c r="C47078" s="36"/>
      <c r="E47078" s="1"/>
      <c r="F47078" s="1"/>
      <c r="G47078" s="1"/>
    </row>
    <row r="47079">
      <c r="B47079" s="36"/>
      <c r="C47079" s="36"/>
      <c r="E47079" s="1"/>
      <c r="F47079" s="1"/>
      <c r="G47079" s="1"/>
    </row>
    <row r="47080">
      <c r="B47080" s="36"/>
      <c r="C47080" s="36"/>
      <c r="E47080" s="1"/>
      <c r="F47080" s="1"/>
      <c r="G47080" s="1"/>
    </row>
    <row r="47081">
      <c r="B47081" s="36"/>
      <c r="C47081" s="36"/>
      <c r="E47081" s="1"/>
      <c r="F47081" s="1"/>
      <c r="G47081" s="1"/>
    </row>
    <row r="47082">
      <c r="B47082" s="36"/>
      <c r="C47082" s="36"/>
      <c r="E47082" s="1"/>
      <c r="F47082" s="1"/>
      <c r="G47082" s="1"/>
    </row>
    <row r="47083">
      <c r="B47083" s="36"/>
      <c r="C47083" s="36"/>
      <c r="E47083" s="1"/>
      <c r="F47083" s="1"/>
      <c r="G47083" s="1"/>
    </row>
    <row r="47084">
      <c r="B47084" s="36"/>
      <c r="C47084" s="36"/>
      <c r="E47084" s="1"/>
      <c r="F47084" s="1"/>
      <c r="G47084" s="1"/>
    </row>
    <row r="47085">
      <c r="B47085" s="36"/>
      <c r="C47085" s="36"/>
      <c r="E47085" s="1"/>
      <c r="F47085" s="1"/>
      <c r="G47085" s="1"/>
    </row>
    <row r="47086">
      <c r="B47086" s="36"/>
      <c r="C47086" s="36"/>
      <c r="E47086" s="1"/>
      <c r="F47086" s="1"/>
      <c r="G47086" s="1"/>
    </row>
    <row r="47087">
      <c r="B47087" s="36"/>
      <c r="C47087" s="36"/>
      <c r="E47087" s="1"/>
      <c r="F47087" s="1"/>
      <c r="G47087" s="1"/>
    </row>
    <row r="47088">
      <c r="B47088" s="36"/>
      <c r="C47088" s="36"/>
      <c r="E47088" s="1"/>
      <c r="F47088" s="1"/>
      <c r="G47088" s="1"/>
    </row>
    <row r="47089">
      <c r="B47089" s="36"/>
      <c r="C47089" s="36"/>
      <c r="E47089" s="1"/>
      <c r="F47089" s="1"/>
      <c r="G47089" s="1"/>
    </row>
    <row r="47090">
      <c r="B47090" s="36"/>
      <c r="C47090" s="36"/>
      <c r="E47090" s="1"/>
      <c r="F47090" s="1"/>
      <c r="G47090" s="1"/>
    </row>
    <row r="47091">
      <c r="B47091" s="36"/>
      <c r="C47091" s="36"/>
      <c r="E47091" s="1"/>
      <c r="F47091" s="1"/>
      <c r="G47091" s="1"/>
    </row>
    <row r="47092">
      <c r="B47092" s="36"/>
      <c r="C47092" s="36"/>
      <c r="E47092" s="1"/>
      <c r="F47092" s="1"/>
      <c r="G47092" s="1"/>
    </row>
    <row r="47093">
      <c r="B47093" s="36"/>
      <c r="C47093" s="36"/>
      <c r="E47093" s="1"/>
      <c r="F47093" s="1"/>
      <c r="G47093" s="1"/>
    </row>
    <row r="47094">
      <c r="B47094" s="36"/>
      <c r="C47094" s="36"/>
      <c r="E47094" s="1"/>
      <c r="F47094" s="1"/>
      <c r="G47094" s="1"/>
    </row>
    <row r="47095">
      <c r="B47095" s="36"/>
      <c r="C47095" s="36"/>
      <c r="E47095" s="1"/>
      <c r="F47095" s="1"/>
      <c r="G47095" s="1"/>
    </row>
    <row r="47096">
      <c r="B47096" s="36"/>
      <c r="C47096" s="36"/>
      <c r="E47096" s="1"/>
      <c r="F47096" s="1"/>
      <c r="G47096" s="1"/>
    </row>
    <row r="47097">
      <c r="B47097" s="36"/>
      <c r="C47097" s="36"/>
      <c r="E47097" s="1"/>
      <c r="F47097" s="1"/>
      <c r="G47097" s="1"/>
    </row>
    <row r="47098">
      <c r="B47098" s="36"/>
      <c r="C47098" s="36"/>
      <c r="E47098" s="1"/>
      <c r="F47098" s="1"/>
      <c r="G47098" s="1"/>
    </row>
    <row r="47099">
      <c r="B47099" s="36"/>
      <c r="C47099" s="36"/>
      <c r="E47099" s="1"/>
      <c r="F47099" s="1"/>
      <c r="G47099" s="1"/>
    </row>
    <row r="47100">
      <c r="B47100" s="36"/>
      <c r="C47100" s="36"/>
      <c r="E47100" s="1"/>
      <c r="F47100" s="1"/>
      <c r="G47100" s="1"/>
    </row>
    <row r="47101">
      <c r="B47101" s="36"/>
      <c r="C47101" s="36"/>
      <c r="E47101" s="1"/>
      <c r="F47101" s="1"/>
      <c r="G47101" s="1"/>
    </row>
    <row r="47102">
      <c r="B47102" s="36"/>
      <c r="C47102" s="36"/>
      <c r="E47102" s="1"/>
      <c r="F47102" s="1"/>
      <c r="G47102" s="1"/>
    </row>
    <row r="47103">
      <c r="B47103" s="36"/>
      <c r="C47103" s="36"/>
      <c r="E47103" s="1"/>
      <c r="F47103" s="1"/>
      <c r="G47103" s="1"/>
    </row>
    <row r="47104">
      <c r="B47104" s="36"/>
      <c r="C47104" s="36"/>
      <c r="E47104" s="1"/>
      <c r="F47104" s="1"/>
      <c r="G47104" s="1"/>
    </row>
    <row r="47105">
      <c r="B47105" s="36"/>
      <c r="C47105" s="36"/>
      <c r="E47105" s="1"/>
      <c r="F47105" s="1"/>
      <c r="G47105" s="1"/>
    </row>
    <row r="47106">
      <c r="B47106" s="36"/>
      <c r="C47106" s="36"/>
      <c r="E47106" s="1"/>
      <c r="F47106" s="1"/>
      <c r="G47106" s="1"/>
    </row>
    <row r="47107">
      <c r="B47107" s="36"/>
      <c r="C47107" s="36"/>
      <c r="E47107" s="1"/>
      <c r="F47107" s="1"/>
      <c r="G47107" s="1"/>
    </row>
    <row r="47108">
      <c r="B47108" s="36"/>
      <c r="C47108" s="36"/>
      <c r="E47108" s="1"/>
      <c r="F47108" s="1"/>
      <c r="G47108" s="1"/>
    </row>
    <row r="47109">
      <c r="B47109" s="36"/>
      <c r="C47109" s="36"/>
      <c r="E47109" s="1"/>
      <c r="F47109" s="1"/>
      <c r="G47109" s="1"/>
    </row>
    <row r="47110">
      <c r="B47110" s="36"/>
      <c r="C47110" s="36"/>
      <c r="E47110" s="1"/>
      <c r="F47110" s="1"/>
      <c r="G47110" s="1"/>
    </row>
    <row r="47111">
      <c r="B47111" s="36"/>
      <c r="C47111" s="36"/>
      <c r="E47111" s="1"/>
      <c r="F47111" s="1"/>
      <c r="G47111" s="1"/>
    </row>
    <row r="47112">
      <c r="B47112" s="36"/>
      <c r="C47112" s="36"/>
      <c r="E47112" s="1"/>
      <c r="F47112" s="1"/>
      <c r="G47112" s="1"/>
    </row>
    <row r="47113">
      <c r="B47113" s="36"/>
      <c r="C47113" s="36"/>
      <c r="E47113" s="1"/>
      <c r="F47113" s="1"/>
      <c r="G47113" s="1"/>
    </row>
    <row r="47114">
      <c r="B47114" s="36"/>
      <c r="C47114" s="36"/>
      <c r="E47114" s="1"/>
      <c r="F47114" s="1"/>
      <c r="G47114" s="1"/>
    </row>
    <row r="47115">
      <c r="B47115" s="36"/>
      <c r="C47115" s="36"/>
      <c r="E47115" s="1"/>
      <c r="F47115" s="1"/>
      <c r="G47115" s="1"/>
    </row>
    <row r="47116">
      <c r="B47116" s="36"/>
      <c r="C47116" s="36"/>
      <c r="E47116" s="1"/>
      <c r="F47116" s="1"/>
      <c r="G47116" s="1"/>
    </row>
    <row r="47117">
      <c r="B47117" s="36"/>
      <c r="C47117" s="36"/>
      <c r="E47117" s="1"/>
      <c r="F47117" s="1"/>
      <c r="G47117" s="1"/>
    </row>
    <row r="47118">
      <c r="B47118" s="36"/>
      <c r="C47118" s="36"/>
      <c r="E47118" s="1"/>
      <c r="F47118" s="1"/>
      <c r="G47118" s="1"/>
    </row>
    <row r="47119">
      <c r="B47119" s="36"/>
      <c r="C47119" s="36"/>
      <c r="E47119" s="1"/>
      <c r="F47119" s="1"/>
      <c r="G47119" s="1"/>
    </row>
    <row r="47120">
      <c r="B47120" s="36"/>
      <c r="C47120" s="36"/>
      <c r="E47120" s="1"/>
      <c r="F47120" s="1"/>
      <c r="G47120" s="1"/>
    </row>
    <row r="47121">
      <c r="B47121" s="36"/>
      <c r="C47121" s="36"/>
      <c r="E47121" s="1"/>
      <c r="F47121" s="1"/>
      <c r="G47121" s="1"/>
    </row>
    <row r="47122">
      <c r="B47122" s="36"/>
      <c r="C47122" s="36"/>
      <c r="E47122" s="1"/>
      <c r="F47122" s="1"/>
      <c r="G47122" s="1"/>
    </row>
    <row r="47123">
      <c r="B47123" s="36"/>
      <c r="C47123" s="36"/>
      <c r="E47123" s="1"/>
      <c r="F47123" s="1"/>
      <c r="G47123" s="1"/>
    </row>
    <row r="47124">
      <c r="B47124" s="36"/>
      <c r="C47124" s="36"/>
      <c r="E47124" s="1"/>
      <c r="F47124" s="1"/>
      <c r="G47124" s="1"/>
    </row>
    <row r="47125">
      <c r="B47125" s="36"/>
      <c r="C47125" s="36"/>
      <c r="E47125" s="1"/>
      <c r="F47125" s="1"/>
      <c r="G47125" s="1"/>
    </row>
    <row r="47126">
      <c r="B47126" s="36"/>
      <c r="C47126" s="36"/>
      <c r="E47126" s="1"/>
      <c r="F47126" s="1"/>
      <c r="G47126" s="1"/>
    </row>
    <row r="47127">
      <c r="B47127" s="36"/>
      <c r="C47127" s="36"/>
      <c r="E47127" s="1"/>
      <c r="F47127" s="1"/>
      <c r="G47127" s="1"/>
    </row>
    <row r="47128">
      <c r="B47128" s="36"/>
      <c r="C47128" s="36"/>
      <c r="E47128" s="1"/>
      <c r="F47128" s="1"/>
      <c r="G47128" s="1"/>
    </row>
    <row r="47129">
      <c r="B47129" s="36"/>
      <c r="C47129" s="36"/>
      <c r="E47129" s="1"/>
      <c r="F47129" s="1"/>
      <c r="G47129" s="1"/>
    </row>
    <row r="47130">
      <c r="B47130" s="36"/>
      <c r="C47130" s="36"/>
      <c r="E47130" s="1"/>
      <c r="F47130" s="1"/>
      <c r="G47130" s="1"/>
    </row>
    <row r="47131">
      <c r="B47131" s="36"/>
      <c r="C47131" s="36"/>
      <c r="E47131" s="1"/>
      <c r="F47131" s="1"/>
      <c r="G47131" s="1"/>
    </row>
    <row r="47132">
      <c r="B47132" s="36"/>
      <c r="C47132" s="36"/>
      <c r="E47132" s="1"/>
      <c r="F47132" s="1"/>
      <c r="G47132" s="1"/>
    </row>
    <row r="47133">
      <c r="B47133" s="36"/>
      <c r="C47133" s="36"/>
      <c r="E47133" s="1"/>
      <c r="F47133" s="1"/>
      <c r="G47133" s="1"/>
    </row>
    <row r="47134">
      <c r="B47134" s="36"/>
      <c r="C47134" s="36"/>
      <c r="E47134" s="1"/>
      <c r="F47134" s="1"/>
      <c r="G47134" s="1"/>
    </row>
    <row r="47135">
      <c r="B47135" s="36"/>
      <c r="C47135" s="36"/>
      <c r="E47135" s="1"/>
      <c r="F47135" s="1"/>
      <c r="G47135" s="1"/>
    </row>
    <row r="47136">
      <c r="B47136" s="36"/>
      <c r="C47136" s="36"/>
      <c r="E47136" s="1"/>
      <c r="F47136" s="1"/>
      <c r="G47136" s="1"/>
    </row>
    <row r="47137">
      <c r="B47137" s="36"/>
      <c r="C47137" s="36"/>
      <c r="E47137" s="1"/>
      <c r="F47137" s="1"/>
      <c r="G47137" s="1"/>
    </row>
    <row r="47138">
      <c r="B47138" s="36"/>
      <c r="C47138" s="36"/>
      <c r="E47138" s="1"/>
      <c r="F47138" s="1"/>
      <c r="G47138" s="1"/>
    </row>
    <row r="47139">
      <c r="B47139" s="36"/>
      <c r="C47139" s="36"/>
      <c r="E47139" s="1"/>
      <c r="F47139" s="1"/>
      <c r="G47139" s="1"/>
    </row>
    <row r="47140">
      <c r="B47140" s="36"/>
      <c r="C47140" s="36"/>
      <c r="E47140" s="1"/>
      <c r="F47140" s="1"/>
      <c r="G47140" s="1"/>
    </row>
    <row r="47141">
      <c r="B47141" s="36"/>
      <c r="C47141" s="36"/>
      <c r="E47141" s="1"/>
      <c r="F47141" s="1"/>
      <c r="G47141" s="1"/>
    </row>
    <row r="47142">
      <c r="B47142" s="36"/>
      <c r="C47142" s="36"/>
      <c r="E47142" s="1"/>
      <c r="F47142" s="1"/>
      <c r="G47142" s="1"/>
    </row>
    <row r="47143">
      <c r="B47143" s="36"/>
      <c r="C47143" s="36"/>
      <c r="E47143" s="1"/>
      <c r="F47143" s="1"/>
      <c r="G47143" s="1"/>
    </row>
    <row r="47144">
      <c r="B47144" s="36"/>
      <c r="C47144" s="36"/>
      <c r="E47144" s="1"/>
      <c r="F47144" s="1"/>
      <c r="G47144" s="1"/>
    </row>
    <row r="47145">
      <c r="B47145" s="36"/>
      <c r="C47145" s="36"/>
      <c r="E47145" s="1"/>
      <c r="F47145" s="1"/>
      <c r="G47145" s="1"/>
    </row>
    <row r="47146">
      <c r="B47146" s="36"/>
      <c r="C47146" s="36"/>
      <c r="E47146" s="1"/>
      <c r="F47146" s="1"/>
      <c r="G47146" s="1"/>
    </row>
    <row r="47147">
      <c r="B47147" s="36"/>
      <c r="C47147" s="36"/>
      <c r="E47147" s="1"/>
      <c r="F47147" s="1"/>
      <c r="G47147" s="1"/>
    </row>
    <row r="47148">
      <c r="B47148" s="36"/>
      <c r="C47148" s="36"/>
      <c r="E47148" s="1"/>
      <c r="F47148" s="1"/>
      <c r="G47148" s="1"/>
    </row>
    <row r="47149">
      <c r="B47149" s="36"/>
      <c r="C47149" s="36"/>
      <c r="E47149" s="1"/>
      <c r="F47149" s="1"/>
      <c r="G47149" s="1"/>
    </row>
    <row r="47150">
      <c r="B47150" s="36"/>
      <c r="C47150" s="36"/>
      <c r="E47150" s="1"/>
      <c r="F47150" s="1"/>
      <c r="G47150" s="1"/>
    </row>
    <row r="47151">
      <c r="B47151" s="36"/>
      <c r="C47151" s="36"/>
      <c r="E47151" s="1"/>
      <c r="F47151" s="1"/>
      <c r="G47151" s="1"/>
    </row>
    <row r="47152">
      <c r="B47152" s="36"/>
      <c r="C47152" s="36"/>
      <c r="E47152" s="1"/>
      <c r="F47152" s="1"/>
      <c r="G47152" s="1"/>
    </row>
    <row r="47153">
      <c r="B47153" s="36"/>
      <c r="C47153" s="36"/>
      <c r="E47153" s="1"/>
      <c r="F47153" s="1"/>
      <c r="G47153" s="1"/>
    </row>
    <row r="47154">
      <c r="B47154" s="36"/>
      <c r="C47154" s="36"/>
      <c r="E47154" s="1"/>
      <c r="F47154" s="1"/>
      <c r="G47154" s="1"/>
    </row>
    <row r="47155">
      <c r="B47155" s="36"/>
      <c r="C47155" s="36"/>
      <c r="E47155" s="1"/>
      <c r="F47155" s="1"/>
      <c r="G47155" s="1"/>
    </row>
    <row r="47156">
      <c r="B47156" s="36"/>
      <c r="C47156" s="36"/>
      <c r="E47156" s="1"/>
      <c r="F47156" s="1"/>
      <c r="G47156" s="1"/>
    </row>
    <row r="47157">
      <c r="B47157" s="36"/>
      <c r="C47157" s="36"/>
      <c r="E47157" s="1"/>
      <c r="F47157" s="1"/>
      <c r="G47157" s="1"/>
    </row>
    <row r="47158">
      <c r="B47158" s="36"/>
      <c r="C47158" s="36"/>
      <c r="E47158" s="1"/>
      <c r="F47158" s="1"/>
      <c r="G47158" s="1"/>
    </row>
    <row r="47159">
      <c r="B47159" s="36"/>
      <c r="C47159" s="36"/>
      <c r="E47159" s="1"/>
      <c r="F47159" s="1"/>
      <c r="G47159" s="1"/>
    </row>
    <row r="47160">
      <c r="B47160" s="36"/>
      <c r="C47160" s="36"/>
      <c r="E47160" s="1"/>
      <c r="F47160" s="1"/>
      <c r="G47160" s="1"/>
    </row>
    <row r="47161">
      <c r="B47161" s="36"/>
      <c r="C47161" s="36"/>
      <c r="E47161" s="1"/>
      <c r="F47161" s="1"/>
      <c r="G47161" s="1"/>
    </row>
    <row r="47162">
      <c r="B47162" s="36"/>
      <c r="C47162" s="36"/>
      <c r="E47162" s="1"/>
      <c r="F47162" s="1"/>
      <c r="G47162" s="1"/>
    </row>
    <row r="47163">
      <c r="B47163" s="36"/>
      <c r="C47163" s="36"/>
      <c r="E47163" s="1"/>
      <c r="F47163" s="1"/>
      <c r="G47163" s="1"/>
    </row>
    <row r="47164">
      <c r="B47164" s="36"/>
      <c r="C47164" s="36"/>
      <c r="E47164" s="1"/>
      <c r="F47164" s="1"/>
      <c r="G47164" s="1"/>
    </row>
    <row r="47165">
      <c r="B47165" s="36"/>
      <c r="C47165" s="36"/>
      <c r="E47165" s="1"/>
      <c r="F47165" s="1"/>
      <c r="G47165" s="1"/>
    </row>
    <row r="47166">
      <c r="B47166" s="36"/>
      <c r="C47166" s="36"/>
      <c r="E47166" s="1"/>
      <c r="F47166" s="1"/>
      <c r="G47166" s="1"/>
    </row>
    <row r="47167">
      <c r="B47167" s="36"/>
      <c r="C47167" s="36"/>
      <c r="E47167" s="1"/>
      <c r="F47167" s="1"/>
      <c r="G47167" s="1"/>
    </row>
    <row r="47168">
      <c r="B47168" s="36"/>
      <c r="C47168" s="36"/>
      <c r="E47168" s="1"/>
      <c r="F47168" s="1"/>
      <c r="G47168" s="1"/>
    </row>
    <row r="47169">
      <c r="B47169" s="36"/>
      <c r="C47169" s="36"/>
      <c r="E47169" s="1"/>
      <c r="F47169" s="1"/>
      <c r="G47169" s="1"/>
    </row>
    <row r="47170">
      <c r="B47170" s="36"/>
      <c r="C47170" s="36"/>
      <c r="E47170" s="1"/>
      <c r="F47170" s="1"/>
      <c r="G47170" s="1"/>
    </row>
    <row r="47171">
      <c r="B47171" s="36"/>
      <c r="C47171" s="36"/>
      <c r="E47171" s="1"/>
      <c r="F47171" s="1"/>
      <c r="G47171" s="1"/>
    </row>
    <row r="47172">
      <c r="B47172" s="36"/>
      <c r="C47172" s="36"/>
      <c r="E47172" s="1"/>
      <c r="F47172" s="1"/>
      <c r="G47172" s="1"/>
    </row>
    <row r="47173">
      <c r="B47173" s="36"/>
      <c r="C47173" s="36"/>
      <c r="E47173" s="1"/>
      <c r="F47173" s="1"/>
      <c r="G47173" s="1"/>
    </row>
    <row r="47174">
      <c r="B47174" s="36"/>
      <c r="C47174" s="36"/>
      <c r="E47174" s="1"/>
      <c r="F47174" s="1"/>
      <c r="G47174" s="1"/>
    </row>
    <row r="47175">
      <c r="B47175" s="36"/>
      <c r="C47175" s="36"/>
      <c r="E47175" s="1"/>
      <c r="F47175" s="1"/>
      <c r="G47175" s="1"/>
    </row>
    <row r="47176">
      <c r="B47176" s="36"/>
      <c r="C47176" s="36"/>
      <c r="E47176" s="1"/>
      <c r="F47176" s="1"/>
      <c r="G47176" s="1"/>
    </row>
    <row r="47177">
      <c r="B47177" s="36"/>
      <c r="C47177" s="36"/>
      <c r="E47177" s="1"/>
      <c r="F47177" s="1"/>
      <c r="G47177" s="1"/>
    </row>
    <row r="47178">
      <c r="B47178" s="36"/>
      <c r="C47178" s="36"/>
      <c r="E47178" s="1"/>
      <c r="F47178" s="1"/>
      <c r="G47178" s="1"/>
    </row>
    <row r="47179">
      <c r="B47179" s="36"/>
      <c r="C47179" s="36"/>
      <c r="E47179" s="1"/>
      <c r="F47179" s="1"/>
      <c r="G47179" s="1"/>
    </row>
    <row r="47180">
      <c r="B47180" s="36"/>
      <c r="C47180" s="36"/>
      <c r="E47180" s="1"/>
      <c r="F47180" s="1"/>
      <c r="G47180" s="1"/>
    </row>
    <row r="47181">
      <c r="B47181" s="36"/>
      <c r="C47181" s="36"/>
      <c r="E47181" s="1"/>
      <c r="F47181" s="1"/>
      <c r="G47181" s="1"/>
    </row>
    <row r="47182">
      <c r="B47182" s="36"/>
      <c r="C47182" s="36"/>
      <c r="E47182" s="1"/>
      <c r="F47182" s="1"/>
      <c r="G47182" s="1"/>
    </row>
    <row r="47183">
      <c r="B47183" s="36"/>
      <c r="C47183" s="36"/>
      <c r="E47183" s="1"/>
      <c r="F47183" s="1"/>
      <c r="G47183" s="1"/>
    </row>
    <row r="47184">
      <c r="B47184" s="36"/>
      <c r="C47184" s="36"/>
      <c r="E47184" s="1"/>
      <c r="F47184" s="1"/>
      <c r="G47184" s="1"/>
    </row>
    <row r="47185">
      <c r="B47185" s="36"/>
      <c r="C47185" s="36"/>
      <c r="E47185" s="1"/>
      <c r="F47185" s="1"/>
      <c r="G47185" s="1"/>
    </row>
    <row r="47186">
      <c r="B47186" s="36"/>
      <c r="C47186" s="36"/>
      <c r="E47186" s="1"/>
      <c r="F47186" s="1"/>
      <c r="G47186" s="1"/>
    </row>
    <row r="47187">
      <c r="B47187" s="36"/>
      <c r="C47187" s="36"/>
      <c r="E47187" s="1"/>
      <c r="F47187" s="1"/>
      <c r="G47187" s="1"/>
    </row>
    <row r="47188">
      <c r="B47188" s="36"/>
      <c r="C47188" s="36"/>
      <c r="E47188" s="1"/>
      <c r="F47188" s="1"/>
      <c r="G47188" s="1"/>
    </row>
    <row r="47189">
      <c r="B47189" s="36"/>
      <c r="C47189" s="36"/>
      <c r="E47189" s="1"/>
      <c r="F47189" s="1"/>
      <c r="G47189" s="1"/>
    </row>
    <row r="47190">
      <c r="B47190" s="36"/>
      <c r="C47190" s="36"/>
      <c r="E47190" s="1"/>
      <c r="F47190" s="1"/>
      <c r="G47190" s="1"/>
    </row>
    <row r="47191">
      <c r="B47191" s="36"/>
      <c r="C47191" s="36"/>
      <c r="E47191" s="1"/>
      <c r="F47191" s="1"/>
      <c r="G47191" s="1"/>
    </row>
    <row r="47192">
      <c r="B47192" s="36"/>
      <c r="C47192" s="36"/>
      <c r="E47192" s="1"/>
      <c r="F47192" s="1"/>
      <c r="G47192" s="1"/>
    </row>
    <row r="47193">
      <c r="B47193" s="36"/>
      <c r="C47193" s="36"/>
      <c r="E47193" s="1"/>
      <c r="F47193" s="1"/>
      <c r="G47193" s="1"/>
    </row>
    <row r="47194">
      <c r="B47194" s="36"/>
      <c r="C47194" s="36"/>
      <c r="E47194" s="1"/>
      <c r="F47194" s="1"/>
      <c r="G47194" s="1"/>
    </row>
    <row r="47195">
      <c r="B47195" s="36"/>
      <c r="C47195" s="36"/>
      <c r="E47195" s="1"/>
      <c r="F47195" s="1"/>
      <c r="G47195" s="1"/>
    </row>
    <row r="47196">
      <c r="B47196" s="36"/>
      <c r="C47196" s="36"/>
      <c r="E47196" s="1"/>
      <c r="F47196" s="1"/>
      <c r="G47196" s="1"/>
    </row>
    <row r="47197">
      <c r="B47197" s="36"/>
      <c r="C47197" s="36"/>
      <c r="E47197" s="1"/>
      <c r="F47197" s="1"/>
      <c r="G47197" s="1"/>
    </row>
    <row r="47198">
      <c r="B47198" s="36"/>
      <c r="C47198" s="36"/>
      <c r="E47198" s="1"/>
      <c r="F47198" s="1"/>
      <c r="G47198" s="1"/>
    </row>
    <row r="47199">
      <c r="B47199" s="36"/>
      <c r="C47199" s="36"/>
      <c r="E47199" s="1"/>
      <c r="F47199" s="1"/>
      <c r="G47199" s="1"/>
    </row>
    <row r="47200">
      <c r="B47200" s="36"/>
      <c r="C47200" s="36"/>
      <c r="E47200" s="1"/>
      <c r="F47200" s="1"/>
      <c r="G47200" s="1"/>
    </row>
    <row r="47201">
      <c r="B47201" s="36"/>
      <c r="C47201" s="36"/>
      <c r="E47201" s="1"/>
      <c r="F47201" s="1"/>
      <c r="G47201" s="1"/>
    </row>
    <row r="47202">
      <c r="B47202" s="36"/>
      <c r="C47202" s="36"/>
      <c r="E47202" s="1"/>
      <c r="F47202" s="1"/>
      <c r="G47202" s="1"/>
    </row>
    <row r="47203">
      <c r="B47203" s="36"/>
      <c r="C47203" s="36"/>
      <c r="E47203" s="1"/>
      <c r="F47203" s="1"/>
      <c r="G47203" s="1"/>
    </row>
    <row r="47204">
      <c r="B47204" s="36"/>
      <c r="C47204" s="36"/>
      <c r="E47204" s="1"/>
      <c r="F47204" s="1"/>
      <c r="G47204" s="1"/>
    </row>
    <row r="47205">
      <c r="B47205" s="36"/>
      <c r="C47205" s="36"/>
      <c r="E47205" s="1"/>
      <c r="F47205" s="1"/>
      <c r="G47205" s="1"/>
    </row>
    <row r="47206">
      <c r="B47206" s="36"/>
      <c r="C47206" s="36"/>
      <c r="E47206" s="1"/>
      <c r="F47206" s="1"/>
      <c r="G47206" s="1"/>
    </row>
    <row r="47207">
      <c r="B47207" s="36"/>
      <c r="C47207" s="36"/>
      <c r="E47207" s="1"/>
      <c r="F47207" s="1"/>
      <c r="G47207" s="1"/>
    </row>
    <row r="47208">
      <c r="B47208" s="36"/>
      <c r="C47208" s="36"/>
      <c r="E47208" s="1"/>
      <c r="F47208" s="1"/>
      <c r="G47208" s="1"/>
    </row>
    <row r="47209">
      <c r="B47209" s="36"/>
      <c r="C47209" s="36"/>
      <c r="E47209" s="1"/>
      <c r="F47209" s="1"/>
      <c r="G47209" s="1"/>
    </row>
    <row r="47210">
      <c r="B47210" s="36"/>
      <c r="C47210" s="36"/>
      <c r="E47210" s="1"/>
      <c r="F47210" s="1"/>
      <c r="G47210" s="1"/>
    </row>
    <row r="47211">
      <c r="B47211" s="36"/>
      <c r="C47211" s="36"/>
      <c r="E47211" s="1"/>
      <c r="F47211" s="1"/>
      <c r="G47211" s="1"/>
    </row>
    <row r="47212">
      <c r="B47212" s="36"/>
      <c r="C47212" s="36"/>
      <c r="E47212" s="1"/>
      <c r="F47212" s="1"/>
      <c r="G47212" s="1"/>
    </row>
    <row r="47213">
      <c r="B47213" s="36"/>
      <c r="C47213" s="36"/>
      <c r="E47213" s="1"/>
      <c r="F47213" s="1"/>
      <c r="G47213" s="1"/>
    </row>
    <row r="47214">
      <c r="B47214" s="36"/>
      <c r="C47214" s="36"/>
      <c r="E47214" s="1"/>
      <c r="F47214" s="1"/>
      <c r="G47214" s="1"/>
    </row>
    <row r="47215">
      <c r="B47215" s="36"/>
      <c r="C47215" s="36"/>
      <c r="E47215" s="1"/>
      <c r="F47215" s="1"/>
      <c r="G47215" s="1"/>
    </row>
    <row r="47216">
      <c r="B47216" s="36"/>
      <c r="C47216" s="36"/>
      <c r="E47216" s="1"/>
      <c r="F47216" s="1"/>
      <c r="G47216" s="1"/>
    </row>
    <row r="47217">
      <c r="B47217" s="36"/>
      <c r="C47217" s="36"/>
      <c r="E47217" s="1"/>
      <c r="F47217" s="1"/>
      <c r="G47217" s="1"/>
    </row>
    <row r="47218">
      <c r="B47218" s="36"/>
      <c r="C47218" s="36"/>
      <c r="E47218" s="1"/>
      <c r="F47218" s="1"/>
      <c r="G47218" s="1"/>
    </row>
    <row r="47219">
      <c r="B47219" s="36"/>
      <c r="C47219" s="36"/>
      <c r="E47219" s="1"/>
      <c r="F47219" s="1"/>
      <c r="G47219" s="1"/>
    </row>
    <row r="47220">
      <c r="B47220" s="36"/>
      <c r="C47220" s="36"/>
      <c r="E47220" s="1"/>
      <c r="F47220" s="1"/>
      <c r="G47220" s="1"/>
    </row>
    <row r="47221">
      <c r="B47221" s="36"/>
      <c r="C47221" s="36"/>
      <c r="E47221" s="1"/>
      <c r="F47221" s="1"/>
      <c r="G47221" s="1"/>
    </row>
    <row r="47222">
      <c r="B47222" s="36"/>
      <c r="C47222" s="36"/>
      <c r="E47222" s="1"/>
      <c r="F47222" s="1"/>
      <c r="G47222" s="1"/>
    </row>
    <row r="47223">
      <c r="B47223" s="36"/>
      <c r="C47223" s="36"/>
      <c r="E47223" s="1"/>
      <c r="F47223" s="1"/>
      <c r="G47223" s="1"/>
    </row>
    <row r="47224">
      <c r="B47224" s="36"/>
      <c r="C47224" s="36"/>
      <c r="E47224" s="1"/>
      <c r="F47224" s="1"/>
      <c r="G47224" s="1"/>
    </row>
    <row r="47225">
      <c r="B47225" s="36"/>
      <c r="C47225" s="36"/>
      <c r="E47225" s="1"/>
      <c r="F47225" s="1"/>
      <c r="G47225" s="1"/>
    </row>
    <row r="47226">
      <c r="B47226" s="36"/>
      <c r="C47226" s="36"/>
      <c r="E47226" s="1"/>
      <c r="F47226" s="1"/>
      <c r="G47226" s="1"/>
    </row>
    <row r="47227">
      <c r="B47227" s="36"/>
      <c r="C47227" s="36"/>
      <c r="E47227" s="1"/>
      <c r="F47227" s="1"/>
      <c r="G47227" s="1"/>
    </row>
    <row r="47228">
      <c r="B47228" s="36"/>
      <c r="C47228" s="36"/>
      <c r="E47228" s="1"/>
      <c r="F47228" s="1"/>
      <c r="G47228" s="1"/>
    </row>
    <row r="47229">
      <c r="B47229" s="36"/>
      <c r="C47229" s="36"/>
      <c r="E47229" s="1"/>
      <c r="F47229" s="1"/>
      <c r="G47229" s="1"/>
    </row>
    <row r="47230">
      <c r="B47230" s="36"/>
      <c r="C47230" s="36"/>
      <c r="E47230" s="1"/>
      <c r="F47230" s="1"/>
      <c r="G47230" s="1"/>
    </row>
    <row r="47231">
      <c r="B47231" s="36"/>
      <c r="C47231" s="36"/>
      <c r="E47231" s="1"/>
      <c r="F47231" s="1"/>
      <c r="G47231" s="1"/>
    </row>
    <row r="47232">
      <c r="B47232" s="36"/>
      <c r="C47232" s="36"/>
      <c r="E47232" s="1"/>
      <c r="F47232" s="1"/>
      <c r="G47232" s="1"/>
    </row>
    <row r="47233">
      <c r="B47233" s="36"/>
      <c r="C47233" s="36"/>
      <c r="E47233" s="1"/>
      <c r="F47233" s="1"/>
      <c r="G47233" s="1"/>
    </row>
    <row r="47234">
      <c r="B47234" s="36"/>
      <c r="C47234" s="36"/>
      <c r="E47234" s="1"/>
      <c r="F47234" s="1"/>
      <c r="G47234" s="1"/>
    </row>
    <row r="47235">
      <c r="B47235" s="36"/>
      <c r="C47235" s="36"/>
      <c r="E47235" s="1"/>
      <c r="F47235" s="1"/>
      <c r="G47235" s="1"/>
    </row>
    <row r="47236">
      <c r="B47236" s="36"/>
      <c r="C47236" s="36"/>
      <c r="E47236" s="1"/>
      <c r="F47236" s="1"/>
      <c r="G47236" s="1"/>
    </row>
    <row r="47237">
      <c r="B47237" s="36"/>
      <c r="C47237" s="36"/>
      <c r="E47237" s="1"/>
      <c r="F47237" s="1"/>
      <c r="G47237" s="1"/>
    </row>
    <row r="47238">
      <c r="B47238" s="36"/>
      <c r="C47238" s="36"/>
      <c r="E47238" s="1"/>
      <c r="F47238" s="1"/>
      <c r="G47238" s="1"/>
    </row>
    <row r="47239">
      <c r="B47239" s="36"/>
      <c r="C47239" s="36"/>
      <c r="E47239" s="1"/>
      <c r="F47239" s="1"/>
      <c r="G47239" s="1"/>
    </row>
    <row r="47240">
      <c r="B47240" s="36"/>
      <c r="C47240" s="36"/>
      <c r="E47240" s="1"/>
      <c r="F47240" s="1"/>
      <c r="G47240" s="1"/>
    </row>
    <row r="47241">
      <c r="B47241" s="36"/>
      <c r="C47241" s="36"/>
      <c r="E47241" s="1"/>
      <c r="F47241" s="1"/>
      <c r="G47241" s="1"/>
    </row>
    <row r="47242">
      <c r="B47242" s="36"/>
      <c r="C47242" s="36"/>
      <c r="E47242" s="1"/>
      <c r="F47242" s="1"/>
      <c r="G47242" s="1"/>
    </row>
    <row r="47243">
      <c r="B47243" s="36"/>
      <c r="C47243" s="36"/>
      <c r="E47243" s="1"/>
      <c r="F47243" s="1"/>
      <c r="G47243" s="1"/>
    </row>
    <row r="47244">
      <c r="B47244" s="36"/>
      <c r="C47244" s="36"/>
      <c r="E47244" s="1"/>
      <c r="F47244" s="1"/>
      <c r="G47244" s="1"/>
    </row>
    <row r="47245">
      <c r="B47245" s="36"/>
      <c r="C47245" s="36"/>
      <c r="E47245" s="1"/>
      <c r="F47245" s="1"/>
      <c r="G47245" s="1"/>
    </row>
    <row r="47246">
      <c r="B47246" s="36"/>
      <c r="C47246" s="36"/>
      <c r="E47246" s="1"/>
      <c r="F47246" s="1"/>
      <c r="G47246" s="1"/>
    </row>
    <row r="47247">
      <c r="B47247" s="36"/>
      <c r="C47247" s="36"/>
      <c r="E47247" s="1"/>
      <c r="F47247" s="1"/>
      <c r="G47247" s="1"/>
    </row>
    <row r="47248">
      <c r="B47248" s="36"/>
      <c r="C47248" s="36"/>
      <c r="E47248" s="1"/>
      <c r="F47248" s="1"/>
      <c r="G47248" s="1"/>
    </row>
    <row r="47249">
      <c r="B47249" s="36"/>
      <c r="C47249" s="36"/>
      <c r="E47249" s="1"/>
      <c r="F47249" s="1"/>
      <c r="G47249" s="1"/>
    </row>
    <row r="47250">
      <c r="B47250" s="36"/>
      <c r="C47250" s="36"/>
      <c r="E47250" s="1"/>
      <c r="F47250" s="1"/>
      <c r="G47250" s="1"/>
    </row>
    <row r="47251">
      <c r="B47251" s="36"/>
      <c r="C47251" s="36"/>
      <c r="E47251" s="1"/>
      <c r="F47251" s="1"/>
      <c r="G47251" s="1"/>
    </row>
    <row r="47252">
      <c r="B47252" s="36"/>
      <c r="C47252" s="36"/>
      <c r="E47252" s="1"/>
      <c r="F47252" s="1"/>
      <c r="G47252" s="1"/>
    </row>
    <row r="47253">
      <c r="B47253" s="36"/>
      <c r="C47253" s="36"/>
      <c r="E47253" s="1"/>
      <c r="F47253" s="1"/>
      <c r="G47253" s="1"/>
    </row>
    <row r="47254">
      <c r="B47254" s="36"/>
      <c r="C47254" s="36"/>
      <c r="E47254" s="1"/>
      <c r="F47254" s="1"/>
      <c r="G47254" s="1"/>
    </row>
    <row r="47255">
      <c r="B47255" s="36"/>
      <c r="C47255" s="36"/>
      <c r="E47255" s="1"/>
      <c r="F47255" s="1"/>
      <c r="G47255" s="1"/>
    </row>
    <row r="47256">
      <c r="B47256" s="36"/>
      <c r="C47256" s="36"/>
      <c r="E47256" s="1"/>
      <c r="F47256" s="1"/>
      <c r="G47256" s="1"/>
    </row>
    <row r="47257">
      <c r="B47257" s="36"/>
      <c r="C47257" s="36"/>
      <c r="E47257" s="1"/>
      <c r="F47257" s="1"/>
      <c r="G47257" s="1"/>
    </row>
    <row r="47258">
      <c r="B47258" s="36"/>
      <c r="C47258" s="36"/>
      <c r="E47258" s="1"/>
      <c r="F47258" s="1"/>
      <c r="G47258" s="1"/>
    </row>
    <row r="47259">
      <c r="B47259" s="36"/>
      <c r="C47259" s="36"/>
      <c r="E47259" s="1"/>
      <c r="F47259" s="1"/>
      <c r="G47259" s="1"/>
    </row>
    <row r="47260">
      <c r="B47260" s="36"/>
      <c r="C47260" s="36"/>
      <c r="E47260" s="1"/>
      <c r="F47260" s="1"/>
      <c r="G47260" s="1"/>
    </row>
    <row r="47261">
      <c r="B47261" s="36"/>
      <c r="C47261" s="36"/>
      <c r="E47261" s="1"/>
      <c r="F47261" s="1"/>
      <c r="G47261" s="1"/>
    </row>
    <row r="47262">
      <c r="B47262" s="36"/>
      <c r="C47262" s="36"/>
      <c r="E47262" s="1"/>
      <c r="F47262" s="1"/>
      <c r="G47262" s="1"/>
    </row>
    <row r="47263">
      <c r="B47263" s="36"/>
      <c r="C47263" s="36"/>
      <c r="E47263" s="1"/>
      <c r="F47263" s="1"/>
      <c r="G47263" s="1"/>
    </row>
    <row r="47264">
      <c r="B47264" s="36"/>
      <c r="C47264" s="36"/>
      <c r="E47264" s="1"/>
      <c r="F47264" s="1"/>
      <c r="G47264" s="1"/>
    </row>
    <row r="47265">
      <c r="B47265" s="36"/>
      <c r="C47265" s="36"/>
      <c r="E47265" s="1"/>
      <c r="F47265" s="1"/>
      <c r="G47265" s="1"/>
    </row>
    <row r="47266">
      <c r="B47266" s="36"/>
      <c r="C47266" s="36"/>
      <c r="E47266" s="1"/>
      <c r="F47266" s="1"/>
      <c r="G47266" s="1"/>
    </row>
    <row r="47267">
      <c r="B47267" s="36"/>
      <c r="C47267" s="36"/>
      <c r="E47267" s="1"/>
      <c r="F47267" s="1"/>
      <c r="G47267" s="1"/>
    </row>
    <row r="47268">
      <c r="B47268" s="36"/>
      <c r="C47268" s="36"/>
      <c r="E47268" s="1"/>
      <c r="F47268" s="1"/>
      <c r="G47268" s="1"/>
    </row>
    <row r="47269">
      <c r="B47269" s="36"/>
      <c r="C47269" s="36"/>
      <c r="E47269" s="1"/>
      <c r="F47269" s="1"/>
      <c r="G47269" s="1"/>
    </row>
    <row r="47270">
      <c r="B47270" s="36"/>
      <c r="C47270" s="36"/>
      <c r="E47270" s="1"/>
      <c r="F47270" s="1"/>
      <c r="G47270" s="1"/>
    </row>
    <row r="47271">
      <c r="B47271" s="36"/>
      <c r="C47271" s="36"/>
      <c r="E47271" s="1"/>
      <c r="F47271" s="1"/>
      <c r="G47271" s="1"/>
    </row>
    <row r="47272">
      <c r="B47272" s="36"/>
      <c r="C47272" s="36"/>
      <c r="E47272" s="1"/>
      <c r="F47272" s="1"/>
      <c r="G47272" s="1"/>
    </row>
    <row r="47273">
      <c r="B47273" s="36"/>
      <c r="C47273" s="36"/>
      <c r="E47273" s="1"/>
      <c r="F47273" s="1"/>
      <c r="G47273" s="1"/>
    </row>
    <row r="47274">
      <c r="B47274" s="36"/>
      <c r="C47274" s="36"/>
      <c r="E47274" s="1"/>
      <c r="F47274" s="1"/>
      <c r="G47274" s="1"/>
    </row>
    <row r="47275">
      <c r="B47275" s="36"/>
      <c r="C47275" s="36"/>
      <c r="E47275" s="1"/>
      <c r="F47275" s="1"/>
      <c r="G47275" s="1"/>
    </row>
    <row r="47276">
      <c r="B47276" s="36"/>
      <c r="C47276" s="36"/>
      <c r="E47276" s="1"/>
      <c r="F47276" s="1"/>
      <c r="G47276" s="1"/>
    </row>
    <row r="47277">
      <c r="B47277" s="36"/>
      <c r="C47277" s="36"/>
      <c r="E47277" s="1"/>
      <c r="F47277" s="1"/>
      <c r="G47277" s="1"/>
    </row>
    <row r="47278">
      <c r="B47278" s="36"/>
      <c r="C47278" s="36"/>
      <c r="E47278" s="1"/>
      <c r="F47278" s="1"/>
      <c r="G47278" s="1"/>
    </row>
    <row r="47279">
      <c r="B47279" s="36"/>
      <c r="C47279" s="36"/>
      <c r="E47279" s="1"/>
      <c r="F47279" s="1"/>
      <c r="G47279" s="1"/>
    </row>
    <row r="47280">
      <c r="B47280" s="36"/>
      <c r="C47280" s="36"/>
      <c r="E47280" s="1"/>
      <c r="F47280" s="1"/>
      <c r="G47280" s="1"/>
    </row>
    <row r="47281">
      <c r="B47281" s="36"/>
      <c r="C47281" s="36"/>
      <c r="E47281" s="1"/>
      <c r="F47281" s="1"/>
      <c r="G47281" s="1"/>
    </row>
    <row r="47282">
      <c r="B47282" s="36"/>
      <c r="C47282" s="36"/>
      <c r="E47282" s="1"/>
      <c r="F47282" s="1"/>
      <c r="G47282" s="1"/>
    </row>
    <row r="47283">
      <c r="B47283" s="36"/>
      <c r="C47283" s="36"/>
      <c r="E47283" s="1"/>
      <c r="F47283" s="1"/>
      <c r="G47283" s="1"/>
    </row>
    <row r="47284">
      <c r="B47284" s="36"/>
      <c r="C47284" s="36"/>
      <c r="E47284" s="1"/>
      <c r="F47284" s="1"/>
      <c r="G47284" s="1"/>
    </row>
    <row r="47285">
      <c r="B47285" s="36"/>
      <c r="C47285" s="36"/>
      <c r="E47285" s="1"/>
      <c r="F47285" s="1"/>
      <c r="G47285" s="1"/>
    </row>
    <row r="47286">
      <c r="B47286" s="36"/>
      <c r="C47286" s="36"/>
      <c r="E47286" s="1"/>
      <c r="F47286" s="1"/>
      <c r="G47286" s="1"/>
    </row>
    <row r="47287">
      <c r="B47287" s="36"/>
      <c r="C47287" s="36"/>
      <c r="E47287" s="1"/>
      <c r="F47287" s="1"/>
      <c r="G47287" s="1"/>
    </row>
    <row r="47288">
      <c r="B47288" s="36"/>
      <c r="C47288" s="36"/>
      <c r="E47288" s="1"/>
      <c r="F47288" s="1"/>
      <c r="G47288" s="1"/>
    </row>
    <row r="47289">
      <c r="B47289" s="36"/>
      <c r="C47289" s="36"/>
      <c r="E47289" s="1"/>
      <c r="F47289" s="1"/>
      <c r="G47289" s="1"/>
    </row>
    <row r="47290">
      <c r="B47290" s="36"/>
      <c r="C47290" s="36"/>
      <c r="E47290" s="1"/>
      <c r="F47290" s="1"/>
      <c r="G47290" s="1"/>
    </row>
    <row r="47291">
      <c r="B47291" s="36"/>
      <c r="C47291" s="36"/>
      <c r="E47291" s="1"/>
      <c r="F47291" s="1"/>
      <c r="G47291" s="1"/>
    </row>
    <row r="47292">
      <c r="B47292" s="36"/>
      <c r="C47292" s="36"/>
      <c r="E47292" s="1"/>
      <c r="F47292" s="1"/>
      <c r="G47292" s="1"/>
    </row>
    <row r="47293">
      <c r="B47293" s="36"/>
      <c r="C47293" s="36"/>
      <c r="E47293" s="1"/>
      <c r="F47293" s="1"/>
      <c r="G47293" s="1"/>
    </row>
    <row r="47294">
      <c r="B47294" s="36"/>
      <c r="C47294" s="36"/>
      <c r="E47294" s="1"/>
      <c r="F47294" s="1"/>
      <c r="G47294" s="1"/>
    </row>
    <row r="47295">
      <c r="B47295" s="36"/>
      <c r="C47295" s="36"/>
      <c r="E47295" s="1"/>
      <c r="F47295" s="1"/>
      <c r="G47295" s="1"/>
    </row>
    <row r="47296">
      <c r="B47296" s="36"/>
      <c r="C47296" s="36"/>
      <c r="E47296" s="1"/>
      <c r="F47296" s="1"/>
      <c r="G47296" s="1"/>
    </row>
    <row r="47297">
      <c r="B47297" s="36"/>
      <c r="C47297" s="36"/>
      <c r="E47297" s="1"/>
      <c r="F47297" s="1"/>
      <c r="G47297" s="1"/>
    </row>
    <row r="47298">
      <c r="B47298" s="36"/>
      <c r="C47298" s="36"/>
      <c r="E47298" s="1"/>
      <c r="F47298" s="1"/>
      <c r="G47298" s="1"/>
    </row>
    <row r="47299">
      <c r="B47299" s="36"/>
      <c r="C47299" s="36"/>
      <c r="E47299" s="1"/>
      <c r="F47299" s="1"/>
      <c r="G47299" s="1"/>
    </row>
    <row r="47300">
      <c r="B47300" s="36"/>
      <c r="C47300" s="36"/>
      <c r="E47300" s="1"/>
      <c r="F47300" s="1"/>
      <c r="G47300" s="1"/>
    </row>
    <row r="47301">
      <c r="B47301" s="36"/>
      <c r="C47301" s="36"/>
      <c r="E47301" s="1"/>
      <c r="F47301" s="1"/>
      <c r="G47301" s="1"/>
    </row>
    <row r="47302">
      <c r="B47302" s="36"/>
      <c r="C47302" s="36"/>
      <c r="E47302" s="1"/>
      <c r="F47302" s="1"/>
      <c r="G47302" s="1"/>
    </row>
    <row r="47303">
      <c r="B47303" s="36"/>
      <c r="C47303" s="36"/>
      <c r="E47303" s="1"/>
      <c r="F47303" s="1"/>
      <c r="G47303" s="1"/>
    </row>
    <row r="47304">
      <c r="B47304" s="36"/>
      <c r="C47304" s="36"/>
      <c r="E47304" s="1"/>
      <c r="F47304" s="1"/>
      <c r="G47304" s="1"/>
    </row>
    <row r="47305">
      <c r="B47305" s="36"/>
      <c r="C47305" s="36"/>
      <c r="E47305" s="1"/>
      <c r="F47305" s="1"/>
      <c r="G47305" s="1"/>
    </row>
    <row r="47306">
      <c r="B47306" s="36"/>
      <c r="C47306" s="36"/>
      <c r="E47306" s="1"/>
      <c r="F47306" s="1"/>
      <c r="G47306" s="1"/>
    </row>
    <row r="47307">
      <c r="B47307" s="36"/>
      <c r="C47307" s="36"/>
      <c r="E47307" s="1"/>
      <c r="F47307" s="1"/>
      <c r="G47307" s="1"/>
    </row>
    <row r="47308">
      <c r="B47308" s="36"/>
      <c r="C47308" s="36"/>
      <c r="E47308" s="1"/>
      <c r="F47308" s="1"/>
      <c r="G47308" s="1"/>
    </row>
    <row r="47309">
      <c r="B47309" s="36"/>
      <c r="C47309" s="36"/>
      <c r="E47309" s="1"/>
      <c r="F47309" s="1"/>
      <c r="G47309" s="1"/>
    </row>
    <row r="47310">
      <c r="B47310" s="36"/>
      <c r="C47310" s="36"/>
      <c r="E47310" s="1"/>
      <c r="F47310" s="1"/>
      <c r="G47310" s="1"/>
    </row>
    <row r="47311">
      <c r="B47311" s="36"/>
      <c r="C47311" s="36"/>
      <c r="E47311" s="1"/>
      <c r="F47311" s="1"/>
      <c r="G47311" s="1"/>
    </row>
    <row r="47312">
      <c r="B47312" s="36"/>
      <c r="C47312" s="36"/>
      <c r="E47312" s="1"/>
      <c r="F47312" s="1"/>
      <c r="G47312" s="1"/>
    </row>
    <row r="47313">
      <c r="B47313" s="36"/>
      <c r="C47313" s="36"/>
      <c r="E47313" s="1"/>
      <c r="F47313" s="1"/>
      <c r="G47313" s="1"/>
    </row>
    <row r="47314">
      <c r="B47314" s="36"/>
      <c r="C47314" s="36"/>
      <c r="E47314" s="1"/>
      <c r="F47314" s="1"/>
      <c r="G47314" s="1"/>
    </row>
    <row r="47315">
      <c r="B47315" s="36"/>
      <c r="C47315" s="36"/>
      <c r="E47315" s="1"/>
      <c r="F47315" s="1"/>
      <c r="G47315" s="1"/>
    </row>
    <row r="47316">
      <c r="B47316" s="36"/>
      <c r="C47316" s="36"/>
      <c r="E47316" s="1"/>
      <c r="F47316" s="1"/>
      <c r="G47316" s="1"/>
    </row>
    <row r="47317">
      <c r="B47317" s="36"/>
      <c r="C47317" s="36"/>
      <c r="E47317" s="1"/>
      <c r="F47317" s="1"/>
      <c r="G47317" s="1"/>
    </row>
    <row r="47318">
      <c r="B47318" s="36"/>
      <c r="C47318" s="36"/>
      <c r="E47318" s="1"/>
      <c r="F47318" s="1"/>
      <c r="G47318" s="1"/>
    </row>
    <row r="47319">
      <c r="B47319" s="36"/>
      <c r="C47319" s="36"/>
      <c r="E47319" s="1"/>
      <c r="F47319" s="1"/>
      <c r="G47319" s="1"/>
    </row>
    <row r="47320">
      <c r="B47320" s="36"/>
      <c r="C47320" s="36"/>
      <c r="E47320" s="1"/>
      <c r="F47320" s="1"/>
      <c r="G47320" s="1"/>
    </row>
    <row r="47321">
      <c r="B47321" s="36"/>
      <c r="C47321" s="36"/>
      <c r="E47321" s="1"/>
      <c r="F47321" s="1"/>
      <c r="G47321" s="1"/>
    </row>
    <row r="47322">
      <c r="B47322" s="36"/>
      <c r="C47322" s="36"/>
      <c r="E47322" s="1"/>
      <c r="F47322" s="1"/>
      <c r="G47322" s="1"/>
    </row>
    <row r="47323">
      <c r="B47323" s="36"/>
      <c r="C47323" s="36"/>
      <c r="E47323" s="1"/>
      <c r="F47323" s="1"/>
      <c r="G47323" s="1"/>
    </row>
    <row r="47324">
      <c r="B47324" s="36"/>
      <c r="C47324" s="36"/>
      <c r="E47324" s="1"/>
      <c r="F47324" s="1"/>
      <c r="G47324" s="1"/>
    </row>
    <row r="47325">
      <c r="B47325" s="36"/>
      <c r="C47325" s="36"/>
      <c r="E47325" s="1"/>
      <c r="F47325" s="1"/>
      <c r="G47325" s="1"/>
    </row>
    <row r="47326">
      <c r="B47326" s="36"/>
      <c r="C47326" s="36"/>
      <c r="E47326" s="1"/>
      <c r="F47326" s="1"/>
      <c r="G47326" s="1"/>
    </row>
    <row r="47327">
      <c r="B47327" s="36"/>
      <c r="C47327" s="36"/>
      <c r="E47327" s="1"/>
      <c r="F47327" s="1"/>
      <c r="G47327" s="1"/>
    </row>
    <row r="47328">
      <c r="B47328" s="36"/>
      <c r="C47328" s="36"/>
      <c r="E47328" s="1"/>
      <c r="F47328" s="1"/>
      <c r="G47328" s="1"/>
    </row>
    <row r="47329">
      <c r="B47329" s="36"/>
      <c r="C47329" s="36"/>
      <c r="E47329" s="1"/>
      <c r="F47329" s="1"/>
      <c r="G47329" s="1"/>
    </row>
    <row r="47330">
      <c r="B47330" s="36"/>
      <c r="C47330" s="36"/>
      <c r="E47330" s="1"/>
      <c r="F47330" s="1"/>
      <c r="G47330" s="1"/>
    </row>
    <row r="47331">
      <c r="B47331" s="36"/>
      <c r="C47331" s="36"/>
      <c r="E47331" s="1"/>
      <c r="F47331" s="1"/>
      <c r="G47331" s="1"/>
    </row>
    <row r="47332">
      <c r="B47332" s="36"/>
      <c r="C47332" s="36"/>
      <c r="E47332" s="1"/>
      <c r="F47332" s="1"/>
      <c r="G47332" s="1"/>
    </row>
    <row r="47333">
      <c r="B47333" s="36"/>
      <c r="C47333" s="36"/>
      <c r="E47333" s="1"/>
      <c r="F47333" s="1"/>
      <c r="G47333" s="1"/>
    </row>
    <row r="47334">
      <c r="B47334" s="36"/>
      <c r="C47334" s="36"/>
      <c r="E47334" s="1"/>
      <c r="F47334" s="1"/>
      <c r="G47334" s="1"/>
    </row>
    <row r="47335">
      <c r="B47335" s="36"/>
      <c r="C47335" s="36"/>
      <c r="E47335" s="1"/>
      <c r="F47335" s="1"/>
      <c r="G47335" s="1"/>
    </row>
    <row r="47336">
      <c r="B47336" s="36"/>
      <c r="C47336" s="36"/>
      <c r="E47336" s="1"/>
      <c r="F47336" s="1"/>
      <c r="G47336" s="1"/>
    </row>
    <row r="47337">
      <c r="B47337" s="36"/>
      <c r="C47337" s="36"/>
      <c r="E47337" s="1"/>
      <c r="F47337" s="1"/>
      <c r="G47337" s="1"/>
    </row>
    <row r="47338">
      <c r="B47338" s="36"/>
      <c r="C47338" s="36"/>
      <c r="E47338" s="1"/>
      <c r="F47338" s="1"/>
      <c r="G47338" s="1"/>
    </row>
    <row r="47339">
      <c r="B47339" s="36"/>
      <c r="C47339" s="36"/>
      <c r="E47339" s="1"/>
      <c r="F47339" s="1"/>
      <c r="G47339" s="1"/>
    </row>
    <row r="47340">
      <c r="B47340" s="36"/>
      <c r="C47340" s="36"/>
      <c r="E47340" s="1"/>
      <c r="F47340" s="1"/>
      <c r="G47340" s="1"/>
    </row>
    <row r="47341">
      <c r="B47341" s="36"/>
      <c r="C47341" s="36"/>
      <c r="E47341" s="1"/>
      <c r="F47341" s="1"/>
      <c r="G47341" s="1"/>
    </row>
    <row r="47342">
      <c r="B47342" s="36"/>
      <c r="C47342" s="36"/>
      <c r="E47342" s="1"/>
      <c r="F47342" s="1"/>
      <c r="G47342" s="1"/>
    </row>
    <row r="47343">
      <c r="B47343" s="36"/>
      <c r="C47343" s="36"/>
      <c r="E47343" s="1"/>
      <c r="F47343" s="1"/>
      <c r="G47343" s="1"/>
    </row>
    <row r="47344">
      <c r="B47344" s="36"/>
      <c r="C47344" s="36"/>
      <c r="E47344" s="1"/>
      <c r="F47344" s="1"/>
      <c r="G47344" s="1"/>
    </row>
    <row r="47345">
      <c r="B47345" s="36"/>
      <c r="C47345" s="36"/>
      <c r="E47345" s="1"/>
      <c r="F47345" s="1"/>
      <c r="G47345" s="1"/>
    </row>
    <row r="47346">
      <c r="B47346" s="36"/>
      <c r="C47346" s="36"/>
      <c r="E47346" s="1"/>
      <c r="F47346" s="1"/>
      <c r="G47346" s="1"/>
    </row>
    <row r="47347">
      <c r="B47347" s="36"/>
      <c r="C47347" s="36"/>
      <c r="E47347" s="1"/>
      <c r="F47347" s="1"/>
      <c r="G47347" s="1"/>
    </row>
    <row r="47348">
      <c r="B47348" s="36"/>
      <c r="C47348" s="36"/>
      <c r="E47348" s="1"/>
      <c r="F47348" s="1"/>
      <c r="G47348" s="1"/>
    </row>
    <row r="47349">
      <c r="B47349" s="36"/>
      <c r="C47349" s="36"/>
      <c r="E47349" s="1"/>
      <c r="F47349" s="1"/>
      <c r="G47349" s="1"/>
    </row>
    <row r="47350">
      <c r="B47350" s="36"/>
      <c r="C47350" s="36"/>
      <c r="E47350" s="1"/>
      <c r="F47350" s="1"/>
      <c r="G47350" s="1"/>
    </row>
    <row r="47351">
      <c r="B47351" s="36"/>
      <c r="C47351" s="36"/>
      <c r="E47351" s="1"/>
      <c r="F47351" s="1"/>
      <c r="G47351" s="1"/>
    </row>
    <row r="47352">
      <c r="B47352" s="36"/>
      <c r="C47352" s="36"/>
      <c r="E47352" s="1"/>
      <c r="F47352" s="1"/>
      <c r="G47352" s="1"/>
    </row>
    <row r="47353">
      <c r="B47353" s="36"/>
      <c r="C47353" s="36"/>
      <c r="E47353" s="1"/>
      <c r="F47353" s="1"/>
      <c r="G47353" s="1"/>
    </row>
    <row r="47354">
      <c r="B47354" s="36"/>
      <c r="C47354" s="36"/>
      <c r="E47354" s="1"/>
      <c r="F47354" s="1"/>
      <c r="G47354" s="1"/>
    </row>
    <row r="47355">
      <c r="B47355" s="36"/>
      <c r="C47355" s="36"/>
      <c r="E47355" s="1"/>
      <c r="F47355" s="1"/>
      <c r="G47355" s="1"/>
    </row>
    <row r="47356">
      <c r="B47356" s="36"/>
      <c r="C47356" s="36"/>
      <c r="E47356" s="1"/>
      <c r="F47356" s="1"/>
      <c r="G47356" s="1"/>
    </row>
    <row r="47357">
      <c r="B47357" s="36"/>
      <c r="C47357" s="36"/>
      <c r="E47357" s="1"/>
      <c r="F47357" s="1"/>
      <c r="G47357" s="1"/>
    </row>
    <row r="47358">
      <c r="B47358" s="36"/>
      <c r="C47358" s="36"/>
      <c r="E47358" s="1"/>
      <c r="F47358" s="1"/>
      <c r="G47358" s="1"/>
    </row>
    <row r="47359">
      <c r="B47359" s="36"/>
      <c r="C47359" s="36"/>
      <c r="E47359" s="1"/>
      <c r="F47359" s="1"/>
      <c r="G47359" s="1"/>
    </row>
    <row r="47360">
      <c r="B47360" s="36"/>
      <c r="C47360" s="36"/>
      <c r="E47360" s="1"/>
      <c r="F47360" s="1"/>
      <c r="G47360" s="1"/>
    </row>
    <row r="47361">
      <c r="B47361" s="36"/>
      <c r="C47361" s="36"/>
      <c r="E47361" s="1"/>
      <c r="F47361" s="1"/>
      <c r="G47361" s="1"/>
    </row>
    <row r="47362">
      <c r="B47362" s="36"/>
      <c r="C47362" s="36"/>
      <c r="E47362" s="1"/>
      <c r="F47362" s="1"/>
      <c r="G47362" s="1"/>
    </row>
    <row r="47363">
      <c r="B47363" s="36"/>
      <c r="C47363" s="36"/>
      <c r="E47363" s="1"/>
      <c r="F47363" s="1"/>
      <c r="G47363" s="1"/>
    </row>
    <row r="47364">
      <c r="B47364" s="36"/>
      <c r="C47364" s="36"/>
      <c r="E47364" s="1"/>
      <c r="F47364" s="1"/>
      <c r="G47364" s="1"/>
    </row>
    <row r="47365">
      <c r="B47365" s="36"/>
      <c r="C47365" s="36"/>
      <c r="E47365" s="1"/>
      <c r="F47365" s="1"/>
      <c r="G47365" s="1"/>
    </row>
    <row r="47366">
      <c r="B47366" s="36"/>
      <c r="C47366" s="36"/>
      <c r="E47366" s="1"/>
      <c r="F47366" s="1"/>
      <c r="G47366" s="1"/>
    </row>
    <row r="47367">
      <c r="B47367" s="36"/>
      <c r="C47367" s="36"/>
      <c r="E47367" s="1"/>
      <c r="F47367" s="1"/>
      <c r="G47367" s="1"/>
    </row>
    <row r="47368">
      <c r="B47368" s="36"/>
      <c r="C47368" s="36"/>
      <c r="E47368" s="1"/>
      <c r="F47368" s="1"/>
      <c r="G47368" s="1"/>
    </row>
    <row r="47369">
      <c r="B47369" s="36"/>
      <c r="C47369" s="36"/>
      <c r="E47369" s="1"/>
      <c r="F47369" s="1"/>
      <c r="G47369" s="1"/>
    </row>
    <row r="47370">
      <c r="B47370" s="36"/>
      <c r="C47370" s="36"/>
      <c r="E47370" s="1"/>
      <c r="F47370" s="1"/>
      <c r="G47370" s="1"/>
    </row>
    <row r="47371">
      <c r="B47371" s="36"/>
      <c r="C47371" s="36"/>
      <c r="E47371" s="1"/>
      <c r="F47371" s="1"/>
      <c r="G47371" s="1"/>
    </row>
    <row r="47372">
      <c r="B47372" s="36"/>
      <c r="C47372" s="36"/>
      <c r="E47372" s="1"/>
      <c r="F47372" s="1"/>
      <c r="G47372" s="1"/>
    </row>
    <row r="47373">
      <c r="B47373" s="36"/>
      <c r="C47373" s="36"/>
      <c r="E47373" s="1"/>
      <c r="F47373" s="1"/>
      <c r="G47373" s="1"/>
    </row>
    <row r="47374">
      <c r="B47374" s="36"/>
      <c r="C47374" s="36"/>
      <c r="E47374" s="1"/>
      <c r="F47374" s="1"/>
      <c r="G47374" s="1"/>
    </row>
    <row r="47375">
      <c r="B47375" s="36"/>
      <c r="C47375" s="36"/>
      <c r="E47375" s="1"/>
      <c r="F47375" s="1"/>
      <c r="G47375" s="1"/>
    </row>
    <row r="47376">
      <c r="B47376" s="36"/>
      <c r="C47376" s="36"/>
      <c r="E47376" s="1"/>
      <c r="F47376" s="1"/>
      <c r="G47376" s="1"/>
    </row>
    <row r="47377">
      <c r="B47377" s="36"/>
      <c r="C47377" s="36"/>
      <c r="E47377" s="1"/>
      <c r="F47377" s="1"/>
      <c r="G47377" s="1"/>
    </row>
    <row r="47378">
      <c r="B47378" s="36"/>
      <c r="C47378" s="36"/>
      <c r="E47378" s="1"/>
      <c r="F47378" s="1"/>
      <c r="G47378" s="1"/>
    </row>
    <row r="47379">
      <c r="B47379" s="36"/>
      <c r="C47379" s="36"/>
      <c r="E47379" s="1"/>
      <c r="F47379" s="1"/>
      <c r="G47379" s="1"/>
    </row>
    <row r="47380">
      <c r="B47380" s="36"/>
      <c r="C47380" s="36"/>
      <c r="E47380" s="1"/>
      <c r="F47380" s="1"/>
      <c r="G47380" s="1"/>
    </row>
    <row r="47381">
      <c r="B47381" s="36"/>
      <c r="C47381" s="36"/>
      <c r="E47381" s="1"/>
      <c r="F47381" s="1"/>
      <c r="G47381" s="1"/>
    </row>
    <row r="47382">
      <c r="B47382" s="36"/>
      <c r="C47382" s="36"/>
      <c r="E47382" s="1"/>
      <c r="F47382" s="1"/>
      <c r="G47382" s="1"/>
    </row>
    <row r="47383">
      <c r="B47383" s="36"/>
      <c r="C47383" s="36"/>
      <c r="E47383" s="1"/>
      <c r="F47383" s="1"/>
      <c r="G47383" s="1"/>
    </row>
    <row r="47384">
      <c r="B47384" s="36"/>
      <c r="C47384" s="36"/>
      <c r="E47384" s="1"/>
      <c r="F47384" s="1"/>
      <c r="G47384" s="1"/>
    </row>
    <row r="47385">
      <c r="B47385" s="36"/>
      <c r="C47385" s="36"/>
      <c r="E47385" s="1"/>
      <c r="F47385" s="1"/>
      <c r="G47385" s="1"/>
    </row>
    <row r="47386">
      <c r="B47386" s="36"/>
      <c r="C47386" s="36"/>
      <c r="E47386" s="1"/>
      <c r="F47386" s="1"/>
      <c r="G47386" s="1"/>
    </row>
    <row r="47387">
      <c r="B47387" s="36"/>
      <c r="C47387" s="36"/>
      <c r="E47387" s="1"/>
      <c r="F47387" s="1"/>
      <c r="G47387" s="1"/>
    </row>
    <row r="47388">
      <c r="B47388" s="36"/>
      <c r="C47388" s="36"/>
      <c r="E47388" s="1"/>
      <c r="F47388" s="1"/>
      <c r="G47388" s="1"/>
    </row>
    <row r="47389">
      <c r="B47389" s="36"/>
      <c r="C47389" s="36"/>
      <c r="E47389" s="1"/>
      <c r="F47389" s="1"/>
      <c r="G47389" s="1"/>
    </row>
    <row r="47390">
      <c r="B47390" s="36"/>
      <c r="C47390" s="36"/>
      <c r="E47390" s="1"/>
      <c r="F47390" s="1"/>
      <c r="G47390" s="1"/>
    </row>
    <row r="47391">
      <c r="B47391" s="36"/>
      <c r="C47391" s="36"/>
      <c r="E47391" s="1"/>
      <c r="F47391" s="1"/>
      <c r="G47391" s="1"/>
    </row>
    <row r="47392">
      <c r="B47392" s="36"/>
      <c r="C47392" s="36"/>
      <c r="E47392" s="1"/>
      <c r="F47392" s="1"/>
      <c r="G47392" s="1"/>
    </row>
    <row r="47393">
      <c r="B47393" s="36"/>
      <c r="C47393" s="36"/>
      <c r="E47393" s="1"/>
      <c r="F47393" s="1"/>
      <c r="G47393" s="1"/>
    </row>
    <row r="47394">
      <c r="B47394" s="36"/>
      <c r="C47394" s="36"/>
      <c r="E47394" s="1"/>
      <c r="F47394" s="1"/>
      <c r="G47394" s="1"/>
    </row>
    <row r="47395">
      <c r="B47395" s="36"/>
      <c r="C47395" s="36"/>
      <c r="E47395" s="1"/>
      <c r="F47395" s="1"/>
      <c r="G47395" s="1"/>
    </row>
    <row r="47396">
      <c r="B47396" s="36"/>
      <c r="C47396" s="36"/>
      <c r="E47396" s="1"/>
      <c r="F47396" s="1"/>
      <c r="G47396" s="1"/>
    </row>
    <row r="47397">
      <c r="B47397" s="36"/>
      <c r="C47397" s="36"/>
      <c r="E47397" s="1"/>
      <c r="F47397" s="1"/>
      <c r="G47397" s="1"/>
    </row>
    <row r="47398">
      <c r="B47398" s="36"/>
      <c r="C47398" s="36"/>
      <c r="E47398" s="1"/>
      <c r="F47398" s="1"/>
      <c r="G47398" s="1"/>
    </row>
    <row r="47399">
      <c r="B47399" s="36"/>
      <c r="C47399" s="36"/>
      <c r="E47399" s="1"/>
      <c r="F47399" s="1"/>
      <c r="G47399" s="1"/>
    </row>
    <row r="47400">
      <c r="B47400" s="36"/>
      <c r="C47400" s="36"/>
      <c r="E47400" s="1"/>
      <c r="F47400" s="1"/>
      <c r="G47400" s="1"/>
    </row>
    <row r="47401">
      <c r="B47401" s="36"/>
      <c r="C47401" s="36"/>
      <c r="E47401" s="1"/>
      <c r="F47401" s="1"/>
      <c r="G47401" s="1"/>
    </row>
    <row r="47402">
      <c r="B47402" s="36"/>
      <c r="C47402" s="36"/>
      <c r="E47402" s="1"/>
      <c r="F47402" s="1"/>
      <c r="G47402" s="1"/>
    </row>
    <row r="47403">
      <c r="B47403" s="36"/>
      <c r="C47403" s="36"/>
      <c r="E47403" s="1"/>
      <c r="F47403" s="1"/>
      <c r="G47403" s="1"/>
    </row>
    <row r="47404">
      <c r="B47404" s="36"/>
      <c r="C47404" s="36"/>
      <c r="E47404" s="1"/>
      <c r="F47404" s="1"/>
      <c r="G47404" s="1"/>
    </row>
    <row r="47405">
      <c r="B47405" s="36"/>
      <c r="C47405" s="36"/>
      <c r="E47405" s="1"/>
      <c r="F47405" s="1"/>
      <c r="G47405" s="1"/>
    </row>
    <row r="47406">
      <c r="B47406" s="36"/>
      <c r="C47406" s="36"/>
      <c r="E47406" s="1"/>
      <c r="F47406" s="1"/>
      <c r="G47406" s="1"/>
    </row>
    <row r="47407">
      <c r="B47407" s="36"/>
      <c r="C47407" s="36"/>
      <c r="E47407" s="1"/>
      <c r="F47407" s="1"/>
      <c r="G47407" s="1"/>
    </row>
    <row r="47408">
      <c r="B47408" s="36"/>
      <c r="C47408" s="36"/>
      <c r="E47408" s="1"/>
      <c r="F47408" s="1"/>
      <c r="G47408" s="1"/>
    </row>
    <row r="47409">
      <c r="B47409" s="36"/>
      <c r="C47409" s="36"/>
      <c r="E47409" s="1"/>
      <c r="F47409" s="1"/>
      <c r="G47409" s="1"/>
    </row>
    <row r="47410">
      <c r="B47410" s="36"/>
      <c r="C47410" s="36"/>
      <c r="E47410" s="1"/>
      <c r="F47410" s="1"/>
      <c r="G47410" s="1"/>
    </row>
    <row r="47411">
      <c r="B47411" s="36"/>
      <c r="C47411" s="36"/>
      <c r="E47411" s="1"/>
      <c r="F47411" s="1"/>
      <c r="G47411" s="1"/>
    </row>
    <row r="47412">
      <c r="B47412" s="36"/>
      <c r="C47412" s="36"/>
      <c r="E47412" s="1"/>
      <c r="F47412" s="1"/>
      <c r="G47412" s="1"/>
    </row>
    <row r="47413">
      <c r="B47413" s="36"/>
      <c r="C47413" s="36"/>
      <c r="E47413" s="1"/>
      <c r="F47413" s="1"/>
      <c r="G47413" s="1"/>
    </row>
    <row r="47414">
      <c r="B47414" s="36"/>
      <c r="C47414" s="36"/>
      <c r="E47414" s="1"/>
      <c r="F47414" s="1"/>
      <c r="G47414" s="1"/>
    </row>
    <row r="47415">
      <c r="B47415" s="36"/>
      <c r="C47415" s="36"/>
      <c r="E47415" s="1"/>
      <c r="F47415" s="1"/>
      <c r="G47415" s="1"/>
    </row>
    <row r="47416">
      <c r="B47416" s="36"/>
      <c r="C47416" s="36"/>
      <c r="E47416" s="1"/>
      <c r="F47416" s="1"/>
      <c r="G47416" s="1"/>
    </row>
    <row r="47417">
      <c r="B47417" s="36"/>
      <c r="C47417" s="36"/>
      <c r="E47417" s="1"/>
      <c r="F47417" s="1"/>
      <c r="G47417" s="1"/>
    </row>
    <row r="47418">
      <c r="B47418" s="36"/>
      <c r="C47418" s="36"/>
      <c r="E47418" s="1"/>
      <c r="F47418" s="1"/>
      <c r="G47418" s="1"/>
    </row>
    <row r="47419">
      <c r="B47419" s="36"/>
      <c r="C47419" s="36"/>
      <c r="E47419" s="1"/>
      <c r="F47419" s="1"/>
      <c r="G47419" s="1"/>
    </row>
    <row r="47420">
      <c r="B47420" s="36"/>
      <c r="C47420" s="36"/>
      <c r="E47420" s="1"/>
      <c r="F47420" s="1"/>
      <c r="G47420" s="1"/>
    </row>
    <row r="47421">
      <c r="B47421" s="36"/>
      <c r="C47421" s="36"/>
      <c r="E47421" s="1"/>
      <c r="F47421" s="1"/>
      <c r="G47421" s="1"/>
    </row>
    <row r="47422">
      <c r="B47422" s="36"/>
      <c r="C47422" s="36"/>
      <c r="E47422" s="1"/>
      <c r="F47422" s="1"/>
      <c r="G47422" s="1"/>
    </row>
    <row r="47423">
      <c r="B47423" s="36"/>
      <c r="C47423" s="36"/>
      <c r="E47423" s="1"/>
      <c r="F47423" s="1"/>
      <c r="G47423" s="1"/>
    </row>
    <row r="47424">
      <c r="B47424" s="36"/>
      <c r="C47424" s="36"/>
      <c r="E47424" s="1"/>
      <c r="F47424" s="1"/>
      <c r="G47424" s="1"/>
    </row>
    <row r="47425">
      <c r="B47425" s="36"/>
      <c r="C47425" s="36"/>
      <c r="E47425" s="1"/>
      <c r="F47425" s="1"/>
      <c r="G47425" s="1"/>
    </row>
    <row r="47426">
      <c r="B47426" s="36"/>
      <c r="C47426" s="36"/>
      <c r="E47426" s="1"/>
      <c r="F47426" s="1"/>
      <c r="G47426" s="1"/>
    </row>
    <row r="47427">
      <c r="B47427" s="36"/>
      <c r="C47427" s="36"/>
      <c r="E47427" s="1"/>
      <c r="F47427" s="1"/>
      <c r="G47427" s="1"/>
    </row>
    <row r="47428">
      <c r="B47428" s="36"/>
      <c r="C47428" s="36"/>
      <c r="E47428" s="1"/>
      <c r="F47428" s="1"/>
      <c r="G47428" s="1"/>
    </row>
    <row r="47429">
      <c r="B47429" s="36"/>
      <c r="C47429" s="36"/>
      <c r="E47429" s="1"/>
      <c r="F47429" s="1"/>
      <c r="G47429" s="1"/>
    </row>
    <row r="47430">
      <c r="B47430" s="36"/>
      <c r="C47430" s="36"/>
      <c r="E47430" s="1"/>
      <c r="F47430" s="1"/>
      <c r="G47430" s="1"/>
    </row>
    <row r="47431">
      <c r="B47431" s="36"/>
      <c r="C47431" s="36"/>
      <c r="E47431" s="1"/>
      <c r="F47431" s="1"/>
      <c r="G47431" s="1"/>
    </row>
    <row r="47432">
      <c r="B47432" s="36"/>
      <c r="C47432" s="36"/>
      <c r="E47432" s="1"/>
      <c r="F47432" s="1"/>
      <c r="G47432" s="1"/>
    </row>
    <row r="47433">
      <c r="B47433" s="36"/>
      <c r="C47433" s="36"/>
      <c r="E47433" s="1"/>
      <c r="F47433" s="1"/>
      <c r="G47433" s="1"/>
    </row>
    <row r="47434">
      <c r="B47434" s="36"/>
      <c r="C47434" s="36"/>
      <c r="E47434" s="1"/>
      <c r="F47434" s="1"/>
      <c r="G47434" s="1"/>
    </row>
    <row r="47435">
      <c r="B47435" s="36"/>
      <c r="C47435" s="36"/>
      <c r="E47435" s="1"/>
      <c r="F47435" s="1"/>
      <c r="G47435" s="1"/>
    </row>
    <row r="47436">
      <c r="B47436" s="36"/>
      <c r="C47436" s="36"/>
      <c r="E47436" s="1"/>
      <c r="F47436" s="1"/>
      <c r="G47436" s="1"/>
    </row>
    <row r="47437">
      <c r="B47437" s="36"/>
      <c r="C47437" s="36"/>
      <c r="E47437" s="1"/>
      <c r="F47437" s="1"/>
      <c r="G47437" s="1"/>
    </row>
    <row r="47438">
      <c r="B47438" s="36"/>
      <c r="C47438" s="36"/>
      <c r="E47438" s="1"/>
      <c r="F47438" s="1"/>
      <c r="G47438" s="1"/>
    </row>
    <row r="47439">
      <c r="B47439" s="36"/>
      <c r="C47439" s="36"/>
      <c r="E47439" s="1"/>
      <c r="F47439" s="1"/>
      <c r="G47439" s="1"/>
    </row>
    <row r="47440">
      <c r="B47440" s="36"/>
      <c r="C47440" s="36"/>
      <c r="E47440" s="1"/>
      <c r="F47440" s="1"/>
      <c r="G47440" s="1"/>
    </row>
    <row r="47441">
      <c r="B47441" s="36"/>
      <c r="C47441" s="36"/>
      <c r="E47441" s="1"/>
      <c r="F47441" s="1"/>
      <c r="G47441" s="1"/>
    </row>
    <row r="47442">
      <c r="B47442" s="36"/>
      <c r="C47442" s="36"/>
      <c r="E47442" s="1"/>
      <c r="F47442" s="1"/>
      <c r="G47442" s="1"/>
    </row>
    <row r="47443">
      <c r="B47443" s="36"/>
      <c r="C47443" s="36"/>
      <c r="E47443" s="1"/>
      <c r="F47443" s="1"/>
      <c r="G47443" s="1"/>
    </row>
    <row r="47444">
      <c r="B47444" s="36"/>
      <c r="C47444" s="36"/>
      <c r="E47444" s="1"/>
      <c r="F47444" s="1"/>
      <c r="G47444" s="1"/>
    </row>
    <row r="47445">
      <c r="B47445" s="36"/>
      <c r="C47445" s="36"/>
      <c r="E47445" s="1"/>
      <c r="F47445" s="1"/>
      <c r="G47445" s="1"/>
    </row>
    <row r="47446">
      <c r="B47446" s="36"/>
      <c r="C47446" s="36"/>
      <c r="E47446" s="1"/>
      <c r="F47446" s="1"/>
      <c r="G47446" s="1"/>
    </row>
    <row r="47447">
      <c r="B47447" s="36"/>
      <c r="C47447" s="36"/>
      <c r="E47447" s="1"/>
      <c r="F47447" s="1"/>
      <c r="G47447" s="1"/>
    </row>
    <row r="47448">
      <c r="B47448" s="36"/>
      <c r="C47448" s="36"/>
      <c r="E47448" s="1"/>
      <c r="F47448" s="1"/>
      <c r="G47448" s="1"/>
    </row>
    <row r="47449">
      <c r="B47449" s="36"/>
      <c r="C47449" s="36"/>
      <c r="E47449" s="1"/>
      <c r="F47449" s="1"/>
      <c r="G47449" s="1"/>
    </row>
    <row r="47450">
      <c r="B47450" s="36"/>
      <c r="C47450" s="36"/>
      <c r="E47450" s="1"/>
      <c r="F47450" s="1"/>
      <c r="G47450" s="1"/>
    </row>
    <row r="47451">
      <c r="B47451" s="36"/>
      <c r="C47451" s="36"/>
      <c r="E47451" s="1"/>
      <c r="F47451" s="1"/>
      <c r="G47451" s="1"/>
    </row>
    <row r="47452">
      <c r="B47452" s="36"/>
      <c r="C47452" s="36"/>
      <c r="E47452" s="1"/>
      <c r="F47452" s="1"/>
      <c r="G47452" s="1"/>
    </row>
    <row r="47453">
      <c r="B47453" s="36"/>
      <c r="C47453" s="36"/>
      <c r="E47453" s="1"/>
      <c r="F47453" s="1"/>
      <c r="G47453" s="1"/>
    </row>
    <row r="47454">
      <c r="B47454" s="36"/>
      <c r="C47454" s="36"/>
      <c r="E47454" s="1"/>
      <c r="F47454" s="1"/>
      <c r="G47454" s="1"/>
    </row>
    <row r="47455">
      <c r="B47455" s="36"/>
      <c r="C47455" s="36"/>
      <c r="E47455" s="1"/>
      <c r="F47455" s="1"/>
      <c r="G47455" s="1"/>
    </row>
    <row r="47456">
      <c r="B47456" s="36"/>
      <c r="C47456" s="36"/>
      <c r="E47456" s="1"/>
      <c r="F47456" s="1"/>
      <c r="G47456" s="1"/>
    </row>
    <row r="47457">
      <c r="B47457" s="36"/>
      <c r="C47457" s="36"/>
      <c r="E47457" s="1"/>
      <c r="F47457" s="1"/>
      <c r="G47457" s="1"/>
    </row>
    <row r="47458">
      <c r="B47458" s="36"/>
      <c r="C47458" s="36"/>
      <c r="E47458" s="1"/>
      <c r="F47458" s="1"/>
      <c r="G47458" s="1"/>
    </row>
    <row r="47459">
      <c r="B47459" s="36"/>
      <c r="C47459" s="36"/>
      <c r="E47459" s="1"/>
      <c r="F47459" s="1"/>
      <c r="G47459" s="1"/>
    </row>
    <row r="47460">
      <c r="B47460" s="36"/>
      <c r="C47460" s="36"/>
      <c r="E47460" s="1"/>
      <c r="F47460" s="1"/>
      <c r="G47460" s="1"/>
    </row>
    <row r="47461">
      <c r="B47461" s="36"/>
      <c r="C47461" s="36"/>
      <c r="E47461" s="1"/>
      <c r="F47461" s="1"/>
      <c r="G47461" s="1"/>
    </row>
    <row r="47462">
      <c r="B47462" s="36"/>
      <c r="C47462" s="36"/>
      <c r="E47462" s="1"/>
      <c r="F47462" s="1"/>
      <c r="G47462" s="1"/>
    </row>
    <row r="47463">
      <c r="B47463" s="36"/>
      <c r="C47463" s="36"/>
      <c r="E47463" s="1"/>
      <c r="F47463" s="1"/>
      <c r="G47463" s="1"/>
    </row>
    <row r="47464">
      <c r="B47464" s="36"/>
      <c r="C47464" s="36"/>
      <c r="E47464" s="1"/>
      <c r="F47464" s="1"/>
      <c r="G47464" s="1"/>
    </row>
    <row r="47465">
      <c r="B47465" s="36"/>
      <c r="C47465" s="36"/>
      <c r="E47465" s="1"/>
      <c r="F47465" s="1"/>
      <c r="G47465" s="1"/>
    </row>
    <row r="47466">
      <c r="B47466" s="36"/>
      <c r="C47466" s="36"/>
      <c r="E47466" s="1"/>
      <c r="F47466" s="1"/>
      <c r="G47466" s="1"/>
    </row>
    <row r="47467">
      <c r="B47467" s="36"/>
      <c r="C47467" s="36"/>
      <c r="E47467" s="1"/>
      <c r="F47467" s="1"/>
      <c r="G47467" s="1"/>
    </row>
    <row r="47468">
      <c r="B47468" s="36"/>
      <c r="C47468" s="36"/>
      <c r="E47468" s="1"/>
      <c r="F47468" s="1"/>
      <c r="G47468" s="1"/>
    </row>
    <row r="47469">
      <c r="B47469" s="36"/>
      <c r="C47469" s="36"/>
      <c r="E47469" s="1"/>
      <c r="F47469" s="1"/>
      <c r="G47469" s="1"/>
    </row>
    <row r="47470">
      <c r="B47470" s="36"/>
      <c r="C47470" s="36"/>
      <c r="E47470" s="1"/>
      <c r="F47470" s="1"/>
      <c r="G47470" s="1"/>
    </row>
    <row r="47471">
      <c r="B47471" s="36"/>
      <c r="C47471" s="36"/>
      <c r="E47471" s="1"/>
      <c r="F47471" s="1"/>
      <c r="G47471" s="1"/>
    </row>
    <row r="47472">
      <c r="B47472" s="36"/>
      <c r="C47472" s="36"/>
      <c r="E47472" s="1"/>
      <c r="F47472" s="1"/>
      <c r="G47472" s="1"/>
    </row>
    <row r="47473">
      <c r="B47473" s="36"/>
      <c r="C47473" s="36"/>
      <c r="E47473" s="1"/>
      <c r="F47473" s="1"/>
      <c r="G47473" s="1"/>
    </row>
    <row r="47474">
      <c r="B47474" s="36"/>
      <c r="C47474" s="36"/>
      <c r="E47474" s="1"/>
      <c r="F47474" s="1"/>
      <c r="G47474" s="1"/>
    </row>
    <row r="47475">
      <c r="B47475" s="36"/>
      <c r="C47475" s="36"/>
      <c r="E47475" s="1"/>
      <c r="F47475" s="1"/>
      <c r="G47475" s="1"/>
    </row>
    <row r="47476">
      <c r="B47476" s="36"/>
      <c r="C47476" s="36"/>
      <c r="E47476" s="1"/>
      <c r="F47476" s="1"/>
      <c r="G47476" s="1"/>
    </row>
    <row r="47477">
      <c r="B47477" s="36"/>
      <c r="C47477" s="36"/>
      <c r="E47477" s="1"/>
      <c r="F47477" s="1"/>
      <c r="G47477" s="1"/>
    </row>
    <row r="47478">
      <c r="B47478" s="36"/>
      <c r="C47478" s="36"/>
      <c r="E47478" s="1"/>
      <c r="F47478" s="1"/>
      <c r="G47478" s="1"/>
    </row>
    <row r="47479">
      <c r="B47479" s="36"/>
      <c r="C47479" s="36"/>
      <c r="E47479" s="1"/>
      <c r="F47479" s="1"/>
      <c r="G47479" s="1"/>
    </row>
    <row r="47480">
      <c r="B47480" s="36"/>
      <c r="C47480" s="36"/>
      <c r="E47480" s="1"/>
      <c r="F47480" s="1"/>
      <c r="G47480" s="1"/>
    </row>
    <row r="47481">
      <c r="B47481" s="36"/>
      <c r="C47481" s="36"/>
      <c r="E47481" s="1"/>
      <c r="F47481" s="1"/>
      <c r="G47481" s="1"/>
    </row>
    <row r="47482">
      <c r="B47482" s="36"/>
      <c r="C47482" s="36"/>
      <c r="E47482" s="1"/>
      <c r="F47482" s="1"/>
      <c r="G47482" s="1"/>
    </row>
    <row r="47483">
      <c r="B47483" s="36"/>
      <c r="C47483" s="36"/>
      <c r="E47483" s="1"/>
      <c r="F47483" s="1"/>
      <c r="G47483" s="1"/>
    </row>
    <row r="47484">
      <c r="B47484" s="36"/>
      <c r="C47484" s="36"/>
      <c r="E47484" s="1"/>
      <c r="F47484" s="1"/>
      <c r="G47484" s="1"/>
    </row>
    <row r="47485">
      <c r="B47485" s="36"/>
      <c r="C47485" s="36"/>
      <c r="E47485" s="1"/>
      <c r="F47485" s="1"/>
      <c r="G47485" s="1"/>
    </row>
    <row r="47486">
      <c r="B47486" s="36"/>
      <c r="C47486" s="36"/>
      <c r="E47486" s="1"/>
      <c r="F47486" s="1"/>
      <c r="G47486" s="1"/>
    </row>
    <row r="47487">
      <c r="B47487" s="36"/>
      <c r="C47487" s="36"/>
      <c r="E47487" s="1"/>
      <c r="F47487" s="1"/>
      <c r="G47487" s="1"/>
    </row>
    <row r="47488">
      <c r="B47488" s="36"/>
      <c r="C47488" s="36"/>
      <c r="E47488" s="1"/>
      <c r="F47488" s="1"/>
      <c r="G47488" s="1"/>
    </row>
    <row r="47489">
      <c r="B47489" s="36"/>
      <c r="C47489" s="36"/>
      <c r="E47489" s="1"/>
      <c r="F47489" s="1"/>
      <c r="G47489" s="1"/>
    </row>
    <row r="47490">
      <c r="B47490" s="36"/>
      <c r="C47490" s="36"/>
      <c r="E47490" s="1"/>
      <c r="F47490" s="1"/>
      <c r="G47490" s="1"/>
    </row>
    <row r="47491">
      <c r="B47491" s="36"/>
      <c r="C47491" s="36"/>
      <c r="E47491" s="1"/>
      <c r="F47491" s="1"/>
      <c r="G47491" s="1"/>
    </row>
    <row r="47492">
      <c r="B47492" s="36"/>
      <c r="C47492" s="36"/>
      <c r="E47492" s="1"/>
      <c r="F47492" s="1"/>
      <c r="G47492" s="1"/>
    </row>
    <row r="47493">
      <c r="B47493" s="36"/>
      <c r="C47493" s="36"/>
      <c r="E47493" s="1"/>
      <c r="F47493" s="1"/>
      <c r="G47493" s="1"/>
    </row>
    <row r="47494">
      <c r="B47494" s="36"/>
      <c r="C47494" s="36"/>
      <c r="E47494" s="1"/>
      <c r="F47494" s="1"/>
      <c r="G47494" s="1"/>
    </row>
    <row r="47495">
      <c r="B47495" s="36"/>
      <c r="C47495" s="36"/>
      <c r="E47495" s="1"/>
      <c r="F47495" s="1"/>
      <c r="G47495" s="1"/>
    </row>
    <row r="47496">
      <c r="B47496" s="36"/>
      <c r="C47496" s="36"/>
      <c r="E47496" s="1"/>
      <c r="F47496" s="1"/>
      <c r="G47496" s="1"/>
    </row>
    <row r="47497">
      <c r="B47497" s="36"/>
      <c r="C47497" s="36"/>
      <c r="E47497" s="1"/>
      <c r="F47497" s="1"/>
      <c r="G47497" s="1"/>
    </row>
    <row r="47498">
      <c r="B47498" s="36"/>
      <c r="C47498" s="36"/>
      <c r="E47498" s="1"/>
      <c r="F47498" s="1"/>
      <c r="G47498" s="1"/>
    </row>
    <row r="47499">
      <c r="B47499" s="36"/>
      <c r="C47499" s="36"/>
      <c r="E47499" s="1"/>
      <c r="F47499" s="1"/>
      <c r="G47499" s="1"/>
    </row>
    <row r="47500">
      <c r="B47500" s="36"/>
      <c r="C47500" s="36"/>
      <c r="E47500" s="1"/>
      <c r="F47500" s="1"/>
      <c r="G47500" s="1"/>
    </row>
    <row r="47501">
      <c r="B47501" s="36"/>
      <c r="C47501" s="36"/>
      <c r="E47501" s="1"/>
      <c r="F47501" s="1"/>
      <c r="G47501" s="1"/>
    </row>
    <row r="47502">
      <c r="B47502" s="36"/>
      <c r="C47502" s="36"/>
      <c r="E47502" s="1"/>
      <c r="F47502" s="1"/>
      <c r="G47502" s="1"/>
    </row>
    <row r="47503">
      <c r="B47503" s="36"/>
      <c r="C47503" s="36"/>
      <c r="E47503" s="1"/>
      <c r="F47503" s="1"/>
      <c r="G47503" s="1"/>
    </row>
    <row r="47504">
      <c r="B47504" s="36"/>
      <c r="C47504" s="36"/>
      <c r="E47504" s="1"/>
      <c r="F47504" s="1"/>
      <c r="G47504" s="1"/>
    </row>
    <row r="47505">
      <c r="B47505" s="36"/>
      <c r="C47505" s="36"/>
      <c r="E47505" s="1"/>
      <c r="F47505" s="1"/>
      <c r="G47505" s="1"/>
    </row>
    <row r="47506">
      <c r="B47506" s="36"/>
      <c r="C47506" s="36"/>
      <c r="E47506" s="1"/>
      <c r="F47506" s="1"/>
      <c r="G47506" s="1"/>
    </row>
    <row r="47507">
      <c r="B47507" s="36"/>
      <c r="C47507" s="36"/>
      <c r="E47507" s="1"/>
      <c r="F47507" s="1"/>
      <c r="G47507" s="1"/>
    </row>
    <row r="47508">
      <c r="B47508" s="36"/>
      <c r="C47508" s="36"/>
      <c r="E47508" s="1"/>
      <c r="F47508" s="1"/>
      <c r="G47508" s="1"/>
    </row>
    <row r="47509">
      <c r="B47509" s="36"/>
      <c r="C47509" s="36"/>
      <c r="E47509" s="1"/>
      <c r="F47509" s="1"/>
      <c r="G47509" s="1"/>
    </row>
    <row r="47510">
      <c r="B47510" s="36"/>
      <c r="C47510" s="36"/>
      <c r="E47510" s="1"/>
      <c r="F47510" s="1"/>
      <c r="G47510" s="1"/>
    </row>
    <row r="47511">
      <c r="B47511" s="36"/>
      <c r="C47511" s="36"/>
      <c r="E47511" s="1"/>
      <c r="F47511" s="1"/>
      <c r="G47511" s="1"/>
    </row>
    <row r="47512">
      <c r="B47512" s="36"/>
      <c r="C47512" s="36"/>
      <c r="E47512" s="1"/>
      <c r="F47512" s="1"/>
      <c r="G47512" s="1"/>
    </row>
    <row r="47513">
      <c r="B47513" s="36"/>
      <c r="C47513" s="36"/>
      <c r="E47513" s="1"/>
      <c r="F47513" s="1"/>
      <c r="G47513" s="1"/>
    </row>
    <row r="47514">
      <c r="B47514" s="36"/>
      <c r="C47514" s="36"/>
      <c r="E47514" s="1"/>
      <c r="F47514" s="1"/>
      <c r="G47514" s="1"/>
    </row>
    <row r="47515">
      <c r="B47515" s="36"/>
      <c r="C47515" s="36"/>
      <c r="E47515" s="1"/>
      <c r="F47515" s="1"/>
      <c r="G47515" s="1"/>
    </row>
    <row r="47516">
      <c r="B47516" s="36"/>
      <c r="C47516" s="36"/>
      <c r="E47516" s="1"/>
      <c r="F47516" s="1"/>
      <c r="G47516" s="1"/>
    </row>
    <row r="47517">
      <c r="B47517" s="36"/>
      <c r="C47517" s="36"/>
      <c r="E47517" s="1"/>
      <c r="F47517" s="1"/>
      <c r="G47517" s="1"/>
    </row>
    <row r="47518">
      <c r="B47518" s="36"/>
      <c r="C47518" s="36"/>
      <c r="E47518" s="1"/>
      <c r="F47518" s="1"/>
      <c r="G47518" s="1"/>
    </row>
    <row r="47519">
      <c r="B47519" s="36"/>
      <c r="C47519" s="36"/>
      <c r="E47519" s="1"/>
      <c r="F47519" s="1"/>
      <c r="G47519" s="1"/>
    </row>
    <row r="47520">
      <c r="B47520" s="36"/>
      <c r="C47520" s="36"/>
      <c r="E47520" s="1"/>
      <c r="F47520" s="1"/>
      <c r="G47520" s="1"/>
    </row>
    <row r="47521">
      <c r="B47521" s="36"/>
      <c r="C47521" s="36"/>
      <c r="E47521" s="1"/>
      <c r="F47521" s="1"/>
      <c r="G47521" s="1"/>
    </row>
    <row r="47522">
      <c r="B47522" s="36"/>
      <c r="C47522" s="36"/>
      <c r="E47522" s="1"/>
      <c r="F47522" s="1"/>
      <c r="G47522" s="1"/>
    </row>
    <row r="47523">
      <c r="B47523" s="36"/>
      <c r="C47523" s="36"/>
      <c r="E47523" s="1"/>
      <c r="F47523" s="1"/>
      <c r="G47523" s="1"/>
    </row>
    <row r="47524">
      <c r="B47524" s="36"/>
      <c r="C47524" s="36"/>
      <c r="E47524" s="1"/>
      <c r="F47524" s="1"/>
      <c r="G47524" s="1"/>
    </row>
    <row r="47525">
      <c r="B47525" s="36"/>
      <c r="C47525" s="36"/>
      <c r="E47525" s="1"/>
      <c r="F47525" s="1"/>
      <c r="G47525" s="1"/>
    </row>
    <row r="47526">
      <c r="B47526" s="36"/>
      <c r="C47526" s="36"/>
      <c r="E47526" s="1"/>
      <c r="F47526" s="1"/>
      <c r="G47526" s="1"/>
    </row>
    <row r="47527">
      <c r="B47527" s="36"/>
      <c r="C47527" s="36"/>
      <c r="E47527" s="1"/>
      <c r="F47527" s="1"/>
      <c r="G47527" s="1"/>
    </row>
    <row r="47528">
      <c r="B47528" s="36"/>
      <c r="C47528" s="36"/>
      <c r="E47528" s="1"/>
      <c r="F47528" s="1"/>
      <c r="G47528" s="1"/>
    </row>
    <row r="47529">
      <c r="B47529" s="36"/>
      <c r="C47529" s="36"/>
      <c r="E47529" s="1"/>
      <c r="F47529" s="1"/>
      <c r="G47529" s="1"/>
    </row>
    <row r="47530">
      <c r="B47530" s="36"/>
      <c r="C47530" s="36"/>
      <c r="E47530" s="1"/>
      <c r="F47530" s="1"/>
      <c r="G47530" s="1"/>
    </row>
    <row r="47531">
      <c r="B47531" s="36"/>
      <c r="C47531" s="36"/>
      <c r="E47531" s="1"/>
      <c r="F47531" s="1"/>
      <c r="G47531" s="1"/>
    </row>
    <row r="47532">
      <c r="B47532" s="36"/>
      <c r="C47532" s="36"/>
      <c r="E47532" s="1"/>
      <c r="F47532" s="1"/>
      <c r="G47532" s="1"/>
    </row>
    <row r="47533">
      <c r="B47533" s="36"/>
      <c r="C47533" s="36"/>
      <c r="E47533" s="1"/>
      <c r="F47533" s="1"/>
      <c r="G47533" s="1"/>
    </row>
    <row r="47534">
      <c r="B47534" s="36"/>
      <c r="C47534" s="36"/>
      <c r="E47534" s="1"/>
      <c r="F47534" s="1"/>
      <c r="G47534" s="1"/>
    </row>
    <row r="47535">
      <c r="B47535" s="36"/>
      <c r="C47535" s="36"/>
      <c r="E47535" s="1"/>
      <c r="F47535" s="1"/>
      <c r="G47535" s="1"/>
    </row>
    <row r="47536">
      <c r="B47536" s="36"/>
      <c r="C47536" s="36"/>
      <c r="E47536" s="1"/>
      <c r="F47536" s="1"/>
      <c r="G47536" s="1"/>
    </row>
    <row r="47537">
      <c r="B47537" s="36"/>
      <c r="C47537" s="36"/>
      <c r="E47537" s="1"/>
      <c r="F47537" s="1"/>
      <c r="G47537" s="1"/>
    </row>
    <row r="47538">
      <c r="B47538" s="36"/>
      <c r="C47538" s="36"/>
      <c r="E47538" s="1"/>
      <c r="F47538" s="1"/>
      <c r="G47538" s="1"/>
    </row>
    <row r="47539">
      <c r="B47539" s="36"/>
      <c r="C47539" s="36"/>
      <c r="E47539" s="1"/>
      <c r="F47539" s="1"/>
      <c r="G47539" s="1"/>
    </row>
    <row r="47540">
      <c r="B47540" s="36"/>
      <c r="C47540" s="36"/>
      <c r="E47540" s="1"/>
      <c r="F47540" s="1"/>
      <c r="G47540" s="1"/>
    </row>
    <row r="47541">
      <c r="B47541" s="36"/>
      <c r="C47541" s="36"/>
      <c r="E47541" s="1"/>
      <c r="F47541" s="1"/>
      <c r="G47541" s="1"/>
    </row>
    <row r="47542">
      <c r="B47542" s="36"/>
      <c r="C47542" s="36"/>
      <c r="E47542" s="1"/>
      <c r="F47542" s="1"/>
      <c r="G47542" s="1"/>
    </row>
    <row r="47543">
      <c r="B47543" s="36"/>
      <c r="C47543" s="36"/>
      <c r="E47543" s="1"/>
      <c r="F47543" s="1"/>
      <c r="G47543" s="1"/>
    </row>
    <row r="47544">
      <c r="B47544" s="36"/>
      <c r="C47544" s="36"/>
      <c r="E47544" s="1"/>
      <c r="F47544" s="1"/>
      <c r="G47544" s="1"/>
    </row>
    <row r="47545">
      <c r="B47545" s="36"/>
      <c r="C47545" s="36"/>
      <c r="E47545" s="1"/>
      <c r="F47545" s="1"/>
      <c r="G47545" s="1"/>
    </row>
    <row r="47546">
      <c r="B47546" s="36"/>
      <c r="C47546" s="36"/>
      <c r="E47546" s="1"/>
      <c r="F47546" s="1"/>
      <c r="G47546" s="1"/>
    </row>
    <row r="47547">
      <c r="B47547" s="36"/>
      <c r="C47547" s="36"/>
      <c r="E47547" s="1"/>
      <c r="F47547" s="1"/>
      <c r="G47547" s="1"/>
    </row>
    <row r="47548">
      <c r="B47548" s="36"/>
      <c r="C47548" s="36"/>
      <c r="E47548" s="1"/>
      <c r="F47548" s="1"/>
      <c r="G47548" s="1"/>
    </row>
    <row r="47549">
      <c r="B47549" s="36"/>
      <c r="C47549" s="36"/>
      <c r="E47549" s="1"/>
      <c r="F47549" s="1"/>
      <c r="G47549" s="1"/>
    </row>
    <row r="47550">
      <c r="B47550" s="36"/>
      <c r="C47550" s="36"/>
      <c r="E47550" s="1"/>
      <c r="F47550" s="1"/>
      <c r="G47550" s="1"/>
    </row>
    <row r="47551">
      <c r="B47551" s="36"/>
      <c r="C47551" s="36"/>
      <c r="E47551" s="1"/>
      <c r="F47551" s="1"/>
      <c r="G47551" s="1"/>
    </row>
    <row r="47552">
      <c r="B47552" s="36"/>
      <c r="C47552" s="36"/>
      <c r="E47552" s="1"/>
      <c r="F47552" s="1"/>
      <c r="G47552" s="1"/>
    </row>
    <row r="47553">
      <c r="B47553" s="36"/>
      <c r="C47553" s="36"/>
      <c r="E47553" s="1"/>
      <c r="F47553" s="1"/>
      <c r="G47553" s="1"/>
    </row>
    <row r="47554">
      <c r="B47554" s="36"/>
      <c r="C47554" s="36"/>
      <c r="E47554" s="1"/>
      <c r="F47554" s="1"/>
      <c r="G47554" s="1"/>
    </row>
    <row r="47555">
      <c r="B47555" s="36"/>
      <c r="C47555" s="36"/>
      <c r="E47555" s="1"/>
      <c r="F47555" s="1"/>
      <c r="G47555" s="1"/>
    </row>
    <row r="47556">
      <c r="B47556" s="36"/>
      <c r="C47556" s="36"/>
      <c r="E47556" s="1"/>
      <c r="F47556" s="1"/>
      <c r="G47556" s="1"/>
    </row>
    <row r="47557">
      <c r="B47557" s="36"/>
      <c r="C47557" s="36"/>
      <c r="E47557" s="1"/>
      <c r="F47557" s="1"/>
      <c r="G47557" s="1"/>
    </row>
    <row r="47558">
      <c r="B47558" s="36"/>
      <c r="C47558" s="36"/>
      <c r="E47558" s="1"/>
      <c r="F47558" s="1"/>
      <c r="G47558" s="1"/>
    </row>
    <row r="47559">
      <c r="B47559" s="36"/>
      <c r="C47559" s="36"/>
      <c r="E47559" s="1"/>
      <c r="F47559" s="1"/>
      <c r="G47559" s="1"/>
    </row>
    <row r="47560">
      <c r="B47560" s="36"/>
      <c r="C47560" s="36"/>
      <c r="E47560" s="1"/>
      <c r="F47560" s="1"/>
      <c r="G47560" s="1"/>
    </row>
    <row r="47561">
      <c r="B47561" s="36"/>
      <c r="C47561" s="36"/>
      <c r="E47561" s="1"/>
      <c r="F47561" s="1"/>
      <c r="G47561" s="1"/>
    </row>
    <row r="47562">
      <c r="B47562" s="36"/>
      <c r="C47562" s="36"/>
      <c r="E47562" s="1"/>
      <c r="F47562" s="1"/>
      <c r="G47562" s="1"/>
    </row>
    <row r="47563">
      <c r="B47563" s="36"/>
      <c r="C47563" s="36"/>
      <c r="E47563" s="1"/>
      <c r="F47563" s="1"/>
      <c r="G47563" s="1"/>
    </row>
    <row r="47564">
      <c r="B47564" s="36"/>
      <c r="C47564" s="36"/>
      <c r="E47564" s="1"/>
      <c r="F47564" s="1"/>
      <c r="G47564" s="1"/>
    </row>
    <row r="47565">
      <c r="B47565" s="36"/>
      <c r="C47565" s="36"/>
      <c r="E47565" s="1"/>
      <c r="F47565" s="1"/>
      <c r="G47565" s="1"/>
    </row>
    <row r="47566">
      <c r="B47566" s="36"/>
      <c r="C47566" s="36"/>
      <c r="E47566" s="1"/>
      <c r="F47566" s="1"/>
      <c r="G47566" s="1"/>
    </row>
    <row r="47567">
      <c r="B47567" s="36"/>
      <c r="C47567" s="36"/>
      <c r="E47567" s="1"/>
      <c r="F47567" s="1"/>
      <c r="G47567" s="1"/>
    </row>
    <row r="47568">
      <c r="B47568" s="36"/>
      <c r="C47568" s="36"/>
      <c r="E47568" s="1"/>
      <c r="F47568" s="1"/>
      <c r="G47568" s="1"/>
    </row>
    <row r="47569">
      <c r="B47569" s="36"/>
      <c r="C47569" s="36"/>
      <c r="E47569" s="1"/>
      <c r="F47569" s="1"/>
      <c r="G47569" s="1"/>
    </row>
    <row r="47570">
      <c r="B47570" s="36"/>
      <c r="C47570" s="36"/>
      <c r="E47570" s="1"/>
      <c r="F47570" s="1"/>
      <c r="G47570" s="1"/>
    </row>
    <row r="47571">
      <c r="B47571" s="36"/>
      <c r="C47571" s="36"/>
      <c r="E47571" s="1"/>
      <c r="F47571" s="1"/>
      <c r="G47571" s="1"/>
    </row>
    <row r="47572">
      <c r="B47572" s="36"/>
      <c r="C47572" s="36"/>
      <c r="E47572" s="1"/>
      <c r="F47572" s="1"/>
      <c r="G47572" s="1"/>
    </row>
    <row r="47573">
      <c r="B47573" s="36"/>
      <c r="C47573" s="36"/>
      <c r="E47573" s="1"/>
      <c r="F47573" s="1"/>
      <c r="G47573" s="1"/>
    </row>
    <row r="47574">
      <c r="B47574" s="36"/>
      <c r="C47574" s="36"/>
      <c r="E47574" s="1"/>
      <c r="F47574" s="1"/>
      <c r="G47574" s="1"/>
    </row>
    <row r="47575">
      <c r="B47575" s="36"/>
      <c r="C47575" s="36"/>
      <c r="E47575" s="1"/>
      <c r="F47575" s="1"/>
      <c r="G47575" s="1"/>
    </row>
    <row r="47576">
      <c r="B47576" s="36"/>
      <c r="C47576" s="36"/>
      <c r="E47576" s="1"/>
      <c r="F47576" s="1"/>
      <c r="G47576" s="1"/>
    </row>
    <row r="47577">
      <c r="B47577" s="36"/>
      <c r="C47577" s="36"/>
      <c r="E47577" s="1"/>
      <c r="F47577" s="1"/>
      <c r="G47577" s="1"/>
    </row>
    <row r="47578">
      <c r="B47578" s="36"/>
      <c r="C47578" s="36"/>
      <c r="E47578" s="1"/>
      <c r="F47578" s="1"/>
      <c r="G47578" s="1"/>
    </row>
    <row r="47579">
      <c r="B47579" s="36"/>
      <c r="C47579" s="36"/>
      <c r="E47579" s="1"/>
      <c r="F47579" s="1"/>
      <c r="G47579" s="1"/>
    </row>
    <row r="47580">
      <c r="B47580" s="36"/>
      <c r="C47580" s="36"/>
      <c r="E47580" s="1"/>
      <c r="F47580" s="1"/>
      <c r="G47580" s="1"/>
    </row>
    <row r="47581">
      <c r="B47581" s="36"/>
      <c r="C47581" s="36"/>
      <c r="E47581" s="1"/>
      <c r="F47581" s="1"/>
      <c r="G47581" s="1"/>
    </row>
    <row r="47582">
      <c r="B47582" s="36"/>
      <c r="C47582" s="36"/>
      <c r="E47582" s="1"/>
      <c r="F47582" s="1"/>
      <c r="G47582" s="1"/>
    </row>
    <row r="47583">
      <c r="B47583" s="36"/>
      <c r="C47583" s="36"/>
      <c r="E47583" s="1"/>
      <c r="F47583" s="1"/>
      <c r="G47583" s="1"/>
    </row>
    <row r="47584">
      <c r="B47584" s="36"/>
      <c r="C47584" s="36"/>
      <c r="E47584" s="1"/>
      <c r="F47584" s="1"/>
      <c r="G47584" s="1"/>
    </row>
    <row r="47585">
      <c r="B47585" s="36"/>
      <c r="C47585" s="36"/>
      <c r="E47585" s="1"/>
      <c r="F47585" s="1"/>
      <c r="G47585" s="1"/>
    </row>
    <row r="47586">
      <c r="B47586" s="36"/>
      <c r="C47586" s="36"/>
      <c r="E47586" s="1"/>
      <c r="F47586" s="1"/>
      <c r="G47586" s="1"/>
    </row>
    <row r="47587">
      <c r="B47587" s="36"/>
      <c r="C47587" s="36"/>
      <c r="E47587" s="1"/>
      <c r="F47587" s="1"/>
      <c r="G47587" s="1"/>
    </row>
    <row r="47588">
      <c r="B47588" s="36"/>
      <c r="C47588" s="36"/>
      <c r="E47588" s="1"/>
      <c r="F47588" s="1"/>
      <c r="G47588" s="1"/>
    </row>
    <row r="47589">
      <c r="B47589" s="36"/>
      <c r="C47589" s="36"/>
      <c r="E47589" s="1"/>
      <c r="F47589" s="1"/>
      <c r="G47589" s="1"/>
    </row>
    <row r="47590">
      <c r="B47590" s="36"/>
      <c r="C47590" s="36"/>
      <c r="E47590" s="1"/>
      <c r="F47590" s="1"/>
      <c r="G47590" s="1"/>
    </row>
    <row r="47591">
      <c r="B47591" s="36"/>
      <c r="C47591" s="36"/>
      <c r="E47591" s="1"/>
      <c r="F47591" s="1"/>
      <c r="G47591" s="1"/>
    </row>
    <row r="47592">
      <c r="B47592" s="36"/>
      <c r="C47592" s="36"/>
      <c r="E47592" s="1"/>
      <c r="F47592" s="1"/>
      <c r="G47592" s="1"/>
    </row>
    <row r="47593">
      <c r="B47593" s="36"/>
      <c r="C47593" s="36"/>
      <c r="E47593" s="1"/>
      <c r="F47593" s="1"/>
      <c r="G47593" s="1"/>
    </row>
    <row r="47594">
      <c r="B47594" s="36"/>
      <c r="C47594" s="36"/>
      <c r="E47594" s="1"/>
      <c r="F47594" s="1"/>
      <c r="G47594" s="1"/>
    </row>
    <row r="47595">
      <c r="B47595" s="36"/>
      <c r="C47595" s="36"/>
      <c r="E47595" s="1"/>
      <c r="F47595" s="1"/>
      <c r="G47595" s="1"/>
    </row>
    <row r="47596">
      <c r="B47596" s="36"/>
      <c r="C47596" s="36"/>
      <c r="E47596" s="1"/>
      <c r="F47596" s="1"/>
      <c r="G47596" s="1"/>
    </row>
    <row r="47597">
      <c r="B47597" s="36"/>
      <c r="C47597" s="36"/>
      <c r="E47597" s="1"/>
      <c r="F47597" s="1"/>
      <c r="G47597" s="1"/>
    </row>
    <row r="47598">
      <c r="B47598" s="36"/>
      <c r="C47598" s="36"/>
      <c r="E47598" s="1"/>
      <c r="F47598" s="1"/>
      <c r="G47598" s="1"/>
    </row>
    <row r="47599">
      <c r="B47599" s="36"/>
      <c r="C47599" s="36"/>
      <c r="E47599" s="1"/>
      <c r="F47599" s="1"/>
      <c r="G47599" s="1"/>
    </row>
    <row r="47600">
      <c r="B47600" s="36"/>
      <c r="C47600" s="36"/>
      <c r="E47600" s="1"/>
      <c r="F47600" s="1"/>
      <c r="G47600" s="1"/>
    </row>
    <row r="47601">
      <c r="B47601" s="36"/>
      <c r="C47601" s="36"/>
      <c r="E47601" s="1"/>
      <c r="F47601" s="1"/>
      <c r="G47601" s="1"/>
    </row>
    <row r="47602">
      <c r="B47602" s="36"/>
      <c r="C47602" s="36"/>
      <c r="E47602" s="1"/>
      <c r="F47602" s="1"/>
      <c r="G47602" s="1"/>
    </row>
    <row r="47603">
      <c r="B47603" s="36"/>
      <c r="C47603" s="36"/>
      <c r="E47603" s="1"/>
      <c r="F47603" s="1"/>
      <c r="G47603" s="1"/>
    </row>
    <row r="47604">
      <c r="B47604" s="36"/>
      <c r="C47604" s="36"/>
      <c r="E47604" s="1"/>
      <c r="F47604" s="1"/>
      <c r="G47604" s="1"/>
    </row>
    <row r="47605">
      <c r="B47605" s="36"/>
      <c r="C47605" s="36"/>
      <c r="E47605" s="1"/>
      <c r="F47605" s="1"/>
      <c r="G47605" s="1"/>
    </row>
    <row r="47606">
      <c r="B47606" s="36"/>
      <c r="C47606" s="36"/>
      <c r="E47606" s="1"/>
      <c r="F47606" s="1"/>
      <c r="G47606" s="1"/>
    </row>
    <row r="47607">
      <c r="B47607" s="36"/>
      <c r="C47607" s="36"/>
      <c r="E47607" s="1"/>
      <c r="F47607" s="1"/>
      <c r="G47607" s="1"/>
    </row>
    <row r="47608">
      <c r="B47608" s="36"/>
      <c r="C47608" s="36"/>
      <c r="E47608" s="1"/>
      <c r="F47608" s="1"/>
      <c r="G47608" s="1"/>
    </row>
    <row r="47609">
      <c r="B47609" s="36"/>
      <c r="C47609" s="36"/>
      <c r="E47609" s="1"/>
      <c r="F47609" s="1"/>
      <c r="G47609" s="1"/>
    </row>
    <row r="47610">
      <c r="B47610" s="36"/>
      <c r="C47610" s="36"/>
      <c r="E47610" s="1"/>
      <c r="F47610" s="1"/>
      <c r="G47610" s="1"/>
    </row>
    <row r="47611">
      <c r="B47611" s="36"/>
      <c r="C47611" s="36"/>
      <c r="E47611" s="1"/>
      <c r="F47611" s="1"/>
      <c r="G47611" s="1"/>
    </row>
    <row r="47612">
      <c r="B47612" s="36"/>
      <c r="C47612" s="36"/>
      <c r="E47612" s="1"/>
      <c r="F47612" s="1"/>
      <c r="G47612" s="1"/>
    </row>
    <row r="47613">
      <c r="B47613" s="36"/>
      <c r="C47613" s="36"/>
      <c r="E47613" s="1"/>
      <c r="F47613" s="1"/>
      <c r="G47613" s="1"/>
    </row>
    <row r="47614">
      <c r="B47614" s="36"/>
      <c r="C47614" s="36"/>
      <c r="E47614" s="1"/>
      <c r="F47614" s="1"/>
      <c r="G47614" s="1"/>
    </row>
    <row r="47615">
      <c r="B47615" s="36"/>
      <c r="C47615" s="36"/>
      <c r="E47615" s="1"/>
      <c r="F47615" s="1"/>
      <c r="G47615" s="1"/>
    </row>
    <row r="47616">
      <c r="B47616" s="36"/>
      <c r="C47616" s="36"/>
      <c r="E47616" s="1"/>
      <c r="F47616" s="1"/>
      <c r="G47616" s="1"/>
    </row>
    <row r="47617">
      <c r="B47617" s="36"/>
      <c r="C47617" s="36"/>
      <c r="E47617" s="1"/>
      <c r="F47617" s="1"/>
      <c r="G47617" s="1"/>
    </row>
    <row r="47618">
      <c r="B47618" s="36"/>
      <c r="C47618" s="36"/>
      <c r="E47618" s="1"/>
      <c r="F47618" s="1"/>
      <c r="G47618" s="1"/>
    </row>
    <row r="47619">
      <c r="B47619" s="36"/>
      <c r="C47619" s="36"/>
      <c r="E47619" s="1"/>
      <c r="F47619" s="1"/>
      <c r="G47619" s="1"/>
    </row>
    <row r="47620">
      <c r="B47620" s="36"/>
      <c r="C47620" s="36"/>
      <c r="E47620" s="1"/>
      <c r="F47620" s="1"/>
      <c r="G47620" s="1"/>
    </row>
    <row r="47621">
      <c r="B47621" s="36"/>
      <c r="C47621" s="36"/>
      <c r="E47621" s="1"/>
      <c r="F47621" s="1"/>
      <c r="G47621" s="1"/>
    </row>
    <row r="47622">
      <c r="B47622" s="36"/>
      <c r="C47622" s="36"/>
      <c r="E47622" s="1"/>
      <c r="F47622" s="1"/>
      <c r="G47622" s="1"/>
    </row>
    <row r="47623">
      <c r="B47623" s="36"/>
      <c r="C47623" s="36"/>
      <c r="E47623" s="1"/>
      <c r="F47623" s="1"/>
      <c r="G47623" s="1"/>
    </row>
    <row r="47624">
      <c r="B47624" s="36"/>
      <c r="C47624" s="36"/>
      <c r="E47624" s="1"/>
      <c r="F47624" s="1"/>
      <c r="G47624" s="1"/>
    </row>
    <row r="47625">
      <c r="B47625" s="36"/>
      <c r="C47625" s="36"/>
      <c r="E47625" s="1"/>
      <c r="F47625" s="1"/>
      <c r="G47625" s="1"/>
    </row>
    <row r="47626">
      <c r="B47626" s="36"/>
      <c r="C47626" s="36"/>
      <c r="E47626" s="1"/>
      <c r="F47626" s="1"/>
      <c r="G47626" s="1"/>
    </row>
    <row r="47627">
      <c r="B47627" s="36"/>
      <c r="C47627" s="36"/>
      <c r="E47627" s="1"/>
      <c r="F47627" s="1"/>
      <c r="G47627" s="1"/>
    </row>
    <row r="47628">
      <c r="B47628" s="36"/>
      <c r="C47628" s="36"/>
      <c r="E47628" s="1"/>
      <c r="F47628" s="1"/>
      <c r="G47628" s="1"/>
    </row>
    <row r="47629">
      <c r="B47629" s="36"/>
      <c r="C47629" s="36"/>
      <c r="E47629" s="1"/>
      <c r="F47629" s="1"/>
      <c r="G47629" s="1"/>
    </row>
    <row r="47630">
      <c r="B47630" s="36"/>
      <c r="C47630" s="36"/>
      <c r="E47630" s="1"/>
      <c r="F47630" s="1"/>
      <c r="G47630" s="1"/>
    </row>
    <row r="47631">
      <c r="B47631" s="36"/>
      <c r="C47631" s="36"/>
      <c r="E47631" s="1"/>
      <c r="F47631" s="1"/>
      <c r="G47631" s="1"/>
    </row>
    <row r="47632">
      <c r="B47632" s="36"/>
      <c r="C47632" s="36"/>
      <c r="E47632" s="1"/>
      <c r="F47632" s="1"/>
      <c r="G47632" s="1"/>
    </row>
    <row r="47633">
      <c r="B47633" s="36"/>
      <c r="C47633" s="36"/>
      <c r="E47633" s="1"/>
      <c r="F47633" s="1"/>
      <c r="G47633" s="1"/>
    </row>
    <row r="47634">
      <c r="B47634" s="36"/>
      <c r="C47634" s="36"/>
      <c r="E47634" s="1"/>
      <c r="F47634" s="1"/>
      <c r="G47634" s="1"/>
    </row>
    <row r="47635">
      <c r="B47635" s="36"/>
      <c r="C47635" s="36"/>
      <c r="E47635" s="1"/>
      <c r="F47635" s="1"/>
      <c r="G47635" s="1"/>
    </row>
    <row r="47636">
      <c r="B47636" s="36"/>
      <c r="C47636" s="36"/>
      <c r="E47636" s="1"/>
      <c r="F47636" s="1"/>
      <c r="G47636" s="1"/>
    </row>
    <row r="47637">
      <c r="B47637" s="36"/>
      <c r="C47637" s="36"/>
      <c r="E47637" s="1"/>
      <c r="F47637" s="1"/>
      <c r="G47637" s="1"/>
    </row>
    <row r="47638">
      <c r="B47638" s="36"/>
      <c r="C47638" s="36"/>
      <c r="E47638" s="1"/>
      <c r="F47638" s="1"/>
      <c r="G47638" s="1"/>
    </row>
    <row r="47639">
      <c r="B47639" s="36"/>
      <c r="C47639" s="36"/>
      <c r="E47639" s="1"/>
      <c r="F47639" s="1"/>
      <c r="G47639" s="1"/>
    </row>
    <row r="47640">
      <c r="B47640" s="36"/>
      <c r="C47640" s="36"/>
      <c r="E47640" s="1"/>
      <c r="F47640" s="1"/>
      <c r="G47640" s="1"/>
    </row>
    <row r="47641">
      <c r="B47641" s="36"/>
      <c r="C47641" s="36"/>
      <c r="E47641" s="1"/>
      <c r="F47641" s="1"/>
      <c r="G47641" s="1"/>
    </row>
    <row r="47642">
      <c r="B47642" s="36"/>
      <c r="C47642" s="36"/>
      <c r="E47642" s="1"/>
      <c r="F47642" s="1"/>
      <c r="G47642" s="1"/>
    </row>
    <row r="47643">
      <c r="B47643" s="36"/>
      <c r="C47643" s="36"/>
      <c r="E47643" s="1"/>
      <c r="F47643" s="1"/>
      <c r="G47643" s="1"/>
    </row>
    <row r="47644">
      <c r="B47644" s="36"/>
      <c r="C47644" s="36"/>
      <c r="E47644" s="1"/>
      <c r="F47644" s="1"/>
      <c r="G47644" s="1"/>
    </row>
    <row r="47645">
      <c r="B47645" s="36"/>
      <c r="C47645" s="36"/>
      <c r="E47645" s="1"/>
      <c r="F47645" s="1"/>
      <c r="G47645" s="1"/>
    </row>
    <row r="47646">
      <c r="B47646" s="36"/>
      <c r="C47646" s="36"/>
      <c r="E47646" s="1"/>
      <c r="F47646" s="1"/>
      <c r="G47646" s="1"/>
    </row>
    <row r="47647">
      <c r="B47647" s="36"/>
      <c r="C47647" s="36"/>
      <c r="E47647" s="1"/>
      <c r="F47647" s="1"/>
      <c r="G47647" s="1"/>
    </row>
    <row r="47648">
      <c r="B47648" s="36"/>
      <c r="C47648" s="36"/>
      <c r="E47648" s="1"/>
      <c r="F47648" s="1"/>
      <c r="G47648" s="1"/>
    </row>
    <row r="47649">
      <c r="B47649" s="36"/>
      <c r="C47649" s="36"/>
      <c r="E47649" s="1"/>
      <c r="F47649" s="1"/>
      <c r="G47649" s="1"/>
    </row>
    <row r="47650">
      <c r="B47650" s="36"/>
      <c r="C47650" s="36"/>
      <c r="E47650" s="1"/>
      <c r="F47650" s="1"/>
      <c r="G47650" s="1"/>
    </row>
    <row r="47651">
      <c r="B47651" s="36"/>
      <c r="C47651" s="36"/>
      <c r="E47651" s="1"/>
      <c r="F47651" s="1"/>
      <c r="G47651" s="1"/>
    </row>
    <row r="47652">
      <c r="B47652" s="36"/>
      <c r="C47652" s="36"/>
      <c r="E47652" s="1"/>
      <c r="F47652" s="1"/>
      <c r="G47652" s="1"/>
    </row>
    <row r="47653">
      <c r="B47653" s="36"/>
      <c r="C47653" s="36"/>
      <c r="E47653" s="1"/>
      <c r="F47653" s="1"/>
      <c r="G47653" s="1"/>
    </row>
    <row r="47654">
      <c r="B47654" s="36"/>
      <c r="C47654" s="36"/>
      <c r="E47654" s="1"/>
      <c r="F47654" s="1"/>
      <c r="G47654" s="1"/>
    </row>
    <row r="47655">
      <c r="B47655" s="36"/>
      <c r="C47655" s="36"/>
      <c r="E47655" s="1"/>
      <c r="F47655" s="1"/>
      <c r="G47655" s="1"/>
    </row>
    <row r="47656">
      <c r="B47656" s="36"/>
      <c r="C47656" s="36"/>
      <c r="E47656" s="1"/>
      <c r="F47656" s="1"/>
      <c r="G47656" s="1"/>
    </row>
    <row r="47657">
      <c r="B47657" s="36"/>
      <c r="C47657" s="36"/>
      <c r="E47657" s="1"/>
      <c r="F47657" s="1"/>
      <c r="G47657" s="1"/>
    </row>
    <row r="47658">
      <c r="B47658" s="36"/>
      <c r="C47658" s="36"/>
      <c r="E47658" s="1"/>
      <c r="F47658" s="1"/>
      <c r="G47658" s="1"/>
    </row>
    <row r="47659">
      <c r="B47659" s="36"/>
      <c r="C47659" s="36"/>
      <c r="E47659" s="1"/>
      <c r="F47659" s="1"/>
      <c r="G47659" s="1"/>
    </row>
    <row r="47660">
      <c r="B47660" s="36"/>
      <c r="C47660" s="36"/>
      <c r="E47660" s="1"/>
      <c r="F47660" s="1"/>
      <c r="G47660" s="1"/>
    </row>
    <row r="47661">
      <c r="B47661" s="36"/>
      <c r="C47661" s="36"/>
      <c r="E47661" s="1"/>
      <c r="F47661" s="1"/>
      <c r="G47661" s="1"/>
    </row>
    <row r="47662">
      <c r="B47662" s="36"/>
      <c r="C47662" s="36"/>
      <c r="E47662" s="1"/>
      <c r="F47662" s="1"/>
      <c r="G47662" s="1"/>
    </row>
    <row r="47663">
      <c r="B47663" s="36"/>
      <c r="C47663" s="36"/>
      <c r="E47663" s="1"/>
      <c r="F47663" s="1"/>
      <c r="G47663" s="1"/>
    </row>
    <row r="47664">
      <c r="B47664" s="36"/>
      <c r="C47664" s="36"/>
      <c r="E47664" s="1"/>
      <c r="F47664" s="1"/>
      <c r="G47664" s="1"/>
    </row>
    <row r="47665">
      <c r="B47665" s="36"/>
      <c r="C47665" s="36"/>
      <c r="E47665" s="1"/>
      <c r="F47665" s="1"/>
      <c r="G47665" s="1"/>
    </row>
    <row r="47666">
      <c r="B47666" s="36"/>
      <c r="C47666" s="36"/>
      <c r="E47666" s="1"/>
      <c r="F47666" s="1"/>
      <c r="G47666" s="1"/>
    </row>
    <row r="47667">
      <c r="B47667" s="36"/>
      <c r="C47667" s="36"/>
      <c r="E47667" s="1"/>
      <c r="F47667" s="1"/>
      <c r="G47667" s="1"/>
    </row>
    <row r="47668">
      <c r="B47668" s="36"/>
      <c r="C47668" s="36"/>
      <c r="E47668" s="1"/>
      <c r="F47668" s="1"/>
      <c r="G47668" s="1"/>
    </row>
    <row r="47669">
      <c r="B47669" s="36"/>
      <c r="C47669" s="36"/>
      <c r="E47669" s="1"/>
      <c r="F47669" s="1"/>
      <c r="G47669" s="1"/>
    </row>
    <row r="47670">
      <c r="B47670" s="36"/>
      <c r="C47670" s="36"/>
      <c r="E47670" s="1"/>
      <c r="F47670" s="1"/>
      <c r="G47670" s="1"/>
    </row>
    <row r="47671">
      <c r="B47671" s="36"/>
      <c r="C47671" s="36"/>
      <c r="E47671" s="1"/>
      <c r="F47671" s="1"/>
      <c r="G47671" s="1"/>
    </row>
    <row r="47672">
      <c r="B47672" s="36"/>
      <c r="C47672" s="36"/>
      <c r="E47672" s="1"/>
      <c r="F47672" s="1"/>
      <c r="G47672" s="1"/>
    </row>
    <row r="47673">
      <c r="B47673" s="36"/>
      <c r="C47673" s="36"/>
      <c r="E47673" s="1"/>
      <c r="F47673" s="1"/>
      <c r="G47673" s="1"/>
    </row>
    <row r="47674">
      <c r="B47674" s="36"/>
      <c r="C47674" s="36"/>
      <c r="E47674" s="1"/>
      <c r="F47674" s="1"/>
      <c r="G47674" s="1"/>
    </row>
    <row r="47675">
      <c r="B47675" s="36"/>
      <c r="C47675" s="36"/>
      <c r="E47675" s="1"/>
      <c r="F47675" s="1"/>
      <c r="G47675" s="1"/>
    </row>
    <row r="47676">
      <c r="B47676" s="36"/>
      <c r="C47676" s="36"/>
      <c r="E47676" s="1"/>
      <c r="F47676" s="1"/>
      <c r="G47676" s="1"/>
    </row>
    <row r="47677">
      <c r="B47677" s="36"/>
      <c r="C47677" s="36"/>
      <c r="E47677" s="1"/>
      <c r="F47677" s="1"/>
      <c r="G47677" s="1"/>
    </row>
    <row r="47678">
      <c r="B47678" s="36"/>
      <c r="C47678" s="36"/>
      <c r="E47678" s="1"/>
      <c r="F47678" s="1"/>
      <c r="G47678" s="1"/>
    </row>
    <row r="47679">
      <c r="B47679" s="36"/>
      <c r="C47679" s="36"/>
      <c r="E47679" s="1"/>
      <c r="F47679" s="1"/>
      <c r="G47679" s="1"/>
    </row>
    <row r="47680">
      <c r="B47680" s="36"/>
      <c r="C47680" s="36"/>
      <c r="E47680" s="1"/>
      <c r="F47680" s="1"/>
      <c r="G47680" s="1"/>
    </row>
    <row r="47681">
      <c r="B47681" s="36"/>
      <c r="C47681" s="36"/>
      <c r="E47681" s="1"/>
      <c r="F47681" s="1"/>
      <c r="G47681" s="1"/>
    </row>
    <row r="47682">
      <c r="B47682" s="36"/>
      <c r="C47682" s="36"/>
      <c r="E47682" s="1"/>
      <c r="F47682" s="1"/>
      <c r="G47682" s="1"/>
    </row>
    <row r="47683">
      <c r="B47683" s="36"/>
      <c r="C47683" s="36"/>
      <c r="E47683" s="1"/>
      <c r="F47683" s="1"/>
      <c r="G47683" s="1"/>
    </row>
    <row r="47684">
      <c r="B47684" s="36"/>
      <c r="C47684" s="36"/>
      <c r="E47684" s="1"/>
      <c r="F47684" s="1"/>
      <c r="G47684" s="1"/>
    </row>
    <row r="47685">
      <c r="B47685" s="36"/>
      <c r="C47685" s="36"/>
      <c r="E47685" s="1"/>
      <c r="F47685" s="1"/>
      <c r="G47685" s="1"/>
    </row>
    <row r="47686">
      <c r="B47686" s="36"/>
      <c r="C47686" s="36"/>
      <c r="E47686" s="1"/>
      <c r="F47686" s="1"/>
      <c r="G47686" s="1"/>
    </row>
    <row r="47687">
      <c r="B47687" s="36"/>
      <c r="C47687" s="36"/>
      <c r="E47687" s="1"/>
      <c r="F47687" s="1"/>
      <c r="G47687" s="1"/>
    </row>
    <row r="47688">
      <c r="B47688" s="36"/>
      <c r="C47688" s="36"/>
      <c r="E47688" s="1"/>
      <c r="F47688" s="1"/>
      <c r="G47688" s="1"/>
    </row>
    <row r="47689">
      <c r="B47689" s="36"/>
      <c r="C47689" s="36"/>
      <c r="E47689" s="1"/>
      <c r="F47689" s="1"/>
      <c r="G47689" s="1"/>
    </row>
    <row r="47690">
      <c r="B47690" s="36"/>
      <c r="C47690" s="36"/>
      <c r="E47690" s="1"/>
      <c r="F47690" s="1"/>
      <c r="G47690" s="1"/>
    </row>
    <row r="47691">
      <c r="B47691" s="36"/>
      <c r="C47691" s="36"/>
      <c r="E47691" s="1"/>
      <c r="F47691" s="1"/>
      <c r="G47691" s="1"/>
    </row>
    <row r="47692">
      <c r="B47692" s="36"/>
      <c r="C47692" s="36"/>
      <c r="E47692" s="1"/>
      <c r="F47692" s="1"/>
      <c r="G47692" s="1"/>
    </row>
    <row r="47693">
      <c r="B47693" s="36"/>
      <c r="C47693" s="36"/>
      <c r="E47693" s="1"/>
      <c r="F47693" s="1"/>
      <c r="G47693" s="1"/>
    </row>
    <row r="47694">
      <c r="B47694" s="36"/>
      <c r="C47694" s="36"/>
      <c r="E47694" s="1"/>
      <c r="F47694" s="1"/>
      <c r="G47694" s="1"/>
    </row>
    <row r="47695">
      <c r="B47695" s="36"/>
      <c r="C47695" s="36"/>
      <c r="E47695" s="1"/>
      <c r="F47695" s="1"/>
      <c r="G47695" s="1"/>
    </row>
    <row r="47696">
      <c r="B47696" s="36"/>
      <c r="C47696" s="36"/>
      <c r="E47696" s="1"/>
      <c r="F47696" s="1"/>
      <c r="G47696" s="1"/>
    </row>
    <row r="47697">
      <c r="B47697" s="36"/>
      <c r="C47697" s="36"/>
      <c r="E47697" s="1"/>
      <c r="F47697" s="1"/>
      <c r="G47697" s="1"/>
    </row>
    <row r="47698">
      <c r="B47698" s="36"/>
      <c r="C47698" s="36"/>
      <c r="E47698" s="1"/>
      <c r="F47698" s="1"/>
      <c r="G47698" s="1"/>
    </row>
    <row r="47699">
      <c r="B47699" s="36"/>
      <c r="C47699" s="36"/>
      <c r="E47699" s="1"/>
      <c r="F47699" s="1"/>
      <c r="G47699" s="1"/>
    </row>
    <row r="47700">
      <c r="B47700" s="36"/>
      <c r="C47700" s="36"/>
      <c r="E47700" s="1"/>
      <c r="F47700" s="1"/>
      <c r="G47700" s="1"/>
    </row>
    <row r="47701">
      <c r="B47701" s="36"/>
      <c r="C47701" s="36"/>
      <c r="E47701" s="1"/>
      <c r="F47701" s="1"/>
      <c r="G47701" s="1"/>
    </row>
    <row r="47702">
      <c r="B47702" s="36"/>
      <c r="C47702" s="36"/>
      <c r="E47702" s="1"/>
      <c r="F47702" s="1"/>
      <c r="G47702" s="1"/>
    </row>
    <row r="47703">
      <c r="B47703" s="36"/>
      <c r="C47703" s="36"/>
      <c r="E47703" s="1"/>
      <c r="F47703" s="1"/>
      <c r="G47703" s="1"/>
    </row>
    <row r="47704">
      <c r="B47704" s="36"/>
      <c r="C47704" s="36"/>
      <c r="E47704" s="1"/>
      <c r="F47704" s="1"/>
      <c r="G47704" s="1"/>
    </row>
    <row r="47705">
      <c r="B47705" s="36"/>
      <c r="C47705" s="36"/>
      <c r="E47705" s="1"/>
      <c r="F47705" s="1"/>
      <c r="G47705" s="1"/>
    </row>
    <row r="47706">
      <c r="B47706" s="36"/>
      <c r="C47706" s="36"/>
      <c r="E47706" s="1"/>
      <c r="F47706" s="1"/>
      <c r="G47706" s="1"/>
    </row>
    <row r="47707">
      <c r="B47707" s="36"/>
      <c r="C47707" s="36"/>
      <c r="E47707" s="1"/>
      <c r="F47707" s="1"/>
      <c r="G47707" s="1"/>
    </row>
    <row r="47708">
      <c r="B47708" s="36"/>
      <c r="C47708" s="36"/>
      <c r="E47708" s="1"/>
      <c r="F47708" s="1"/>
      <c r="G47708" s="1"/>
    </row>
    <row r="47709">
      <c r="B47709" s="36"/>
      <c r="C47709" s="36"/>
      <c r="E47709" s="1"/>
      <c r="F47709" s="1"/>
      <c r="G47709" s="1"/>
    </row>
    <row r="47710">
      <c r="B47710" s="36"/>
      <c r="C47710" s="36"/>
      <c r="E47710" s="1"/>
      <c r="F47710" s="1"/>
      <c r="G47710" s="1"/>
    </row>
    <row r="47711">
      <c r="B47711" s="36"/>
      <c r="C47711" s="36"/>
      <c r="E47711" s="1"/>
      <c r="F47711" s="1"/>
      <c r="G47711" s="1"/>
    </row>
    <row r="47712">
      <c r="B47712" s="36"/>
      <c r="C47712" s="36"/>
      <c r="E47712" s="1"/>
      <c r="F47712" s="1"/>
      <c r="G47712" s="1"/>
    </row>
    <row r="47713">
      <c r="B47713" s="36"/>
      <c r="C47713" s="36"/>
      <c r="E47713" s="1"/>
      <c r="F47713" s="1"/>
      <c r="G47713" s="1"/>
    </row>
    <row r="47714">
      <c r="B47714" s="36"/>
      <c r="C47714" s="36"/>
      <c r="E47714" s="1"/>
      <c r="F47714" s="1"/>
      <c r="G47714" s="1"/>
    </row>
    <row r="47715">
      <c r="B47715" s="36"/>
      <c r="C47715" s="36"/>
      <c r="E47715" s="1"/>
      <c r="F47715" s="1"/>
      <c r="G47715" s="1"/>
    </row>
    <row r="47716">
      <c r="B47716" s="36"/>
      <c r="C47716" s="36"/>
      <c r="E47716" s="1"/>
      <c r="F47716" s="1"/>
      <c r="G47716" s="1"/>
    </row>
    <row r="47717">
      <c r="B47717" s="36"/>
      <c r="C47717" s="36"/>
      <c r="E47717" s="1"/>
      <c r="F47717" s="1"/>
      <c r="G47717" s="1"/>
    </row>
    <row r="47718">
      <c r="B47718" s="36"/>
      <c r="C47718" s="36"/>
      <c r="E47718" s="1"/>
      <c r="F47718" s="1"/>
      <c r="G47718" s="1"/>
    </row>
    <row r="47719">
      <c r="B47719" s="36"/>
      <c r="C47719" s="36"/>
      <c r="E47719" s="1"/>
      <c r="F47719" s="1"/>
      <c r="G47719" s="1"/>
    </row>
    <row r="47720">
      <c r="B47720" s="36"/>
      <c r="C47720" s="36"/>
      <c r="E47720" s="1"/>
      <c r="F47720" s="1"/>
      <c r="G47720" s="1"/>
    </row>
    <row r="47721">
      <c r="B47721" s="36"/>
      <c r="C47721" s="36"/>
      <c r="E47721" s="1"/>
      <c r="F47721" s="1"/>
      <c r="G47721" s="1"/>
    </row>
    <row r="47722">
      <c r="B47722" s="36"/>
      <c r="C47722" s="36"/>
      <c r="E47722" s="1"/>
      <c r="F47722" s="1"/>
      <c r="G47722" s="1"/>
    </row>
    <row r="47723">
      <c r="B47723" s="36"/>
      <c r="C47723" s="36"/>
      <c r="E47723" s="1"/>
      <c r="F47723" s="1"/>
      <c r="G47723" s="1"/>
    </row>
    <row r="47724">
      <c r="B47724" s="36"/>
      <c r="C47724" s="36"/>
      <c r="E47724" s="1"/>
      <c r="F47724" s="1"/>
      <c r="G47724" s="1"/>
    </row>
    <row r="47725">
      <c r="B47725" s="36"/>
      <c r="C47725" s="36"/>
      <c r="E47725" s="1"/>
      <c r="F47725" s="1"/>
      <c r="G47725" s="1"/>
    </row>
    <row r="47726">
      <c r="B47726" s="36"/>
      <c r="C47726" s="36"/>
      <c r="E47726" s="1"/>
      <c r="F47726" s="1"/>
      <c r="G47726" s="1"/>
    </row>
    <row r="47727">
      <c r="B47727" s="36"/>
      <c r="C47727" s="36"/>
      <c r="E47727" s="1"/>
      <c r="F47727" s="1"/>
      <c r="G47727" s="1"/>
    </row>
    <row r="47728">
      <c r="B47728" s="36"/>
      <c r="C47728" s="36"/>
      <c r="E47728" s="1"/>
      <c r="F47728" s="1"/>
      <c r="G47728" s="1"/>
    </row>
    <row r="47729">
      <c r="B47729" s="36"/>
      <c r="C47729" s="36"/>
      <c r="E47729" s="1"/>
      <c r="F47729" s="1"/>
      <c r="G47729" s="1"/>
    </row>
    <row r="47730">
      <c r="B47730" s="36"/>
      <c r="C47730" s="36"/>
      <c r="E47730" s="1"/>
      <c r="F47730" s="1"/>
      <c r="G47730" s="1"/>
    </row>
    <row r="47731">
      <c r="B47731" s="36"/>
      <c r="C47731" s="36"/>
      <c r="E47731" s="1"/>
      <c r="F47731" s="1"/>
      <c r="G47731" s="1"/>
    </row>
    <row r="47732">
      <c r="B47732" s="36"/>
      <c r="C47732" s="36"/>
      <c r="E47732" s="1"/>
      <c r="F47732" s="1"/>
      <c r="G47732" s="1"/>
    </row>
    <row r="47733">
      <c r="B47733" s="36"/>
      <c r="C47733" s="36"/>
      <c r="E47733" s="1"/>
      <c r="F47733" s="1"/>
      <c r="G47733" s="1"/>
    </row>
    <row r="47734">
      <c r="B47734" s="36"/>
      <c r="C47734" s="36"/>
      <c r="E47734" s="1"/>
      <c r="F47734" s="1"/>
      <c r="G47734" s="1"/>
    </row>
    <row r="47735">
      <c r="B47735" s="36"/>
      <c r="C47735" s="36"/>
      <c r="E47735" s="1"/>
      <c r="F47735" s="1"/>
      <c r="G47735" s="1"/>
    </row>
    <row r="47736">
      <c r="B47736" s="36"/>
      <c r="C47736" s="36"/>
      <c r="E47736" s="1"/>
      <c r="F47736" s="1"/>
      <c r="G47736" s="1"/>
    </row>
    <row r="47737">
      <c r="B47737" s="36"/>
      <c r="C47737" s="36"/>
      <c r="E47737" s="1"/>
      <c r="F47737" s="1"/>
      <c r="G47737" s="1"/>
    </row>
    <row r="47738">
      <c r="B47738" s="36"/>
      <c r="C47738" s="36"/>
      <c r="E47738" s="1"/>
      <c r="F47738" s="1"/>
      <c r="G47738" s="1"/>
    </row>
    <row r="47739">
      <c r="B47739" s="36"/>
      <c r="C47739" s="36"/>
      <c r="E47739" s="1"/>
      <c r="F47739" s="1"/>
      <c r="G47739" s="1"/>
    </row>
    <row r="47740">
      <c r="B47740" s="36"/>
      <c r="C47740" s="36"/>
      <c r="E47740" s="1"/>
      <c r="F47740" s="1"/>
      <c r="G47740" s="1"/>
    </row>
    <row r="47741">
      <c r="B47741" s="36"/>
      <c r="C47741" s="36"/>
      <c r="E47741" s="1"/>
      <c r="F47741" s="1"/>
      <c r="G47741" s="1"/>
    </row>
    <row r="47742">
      <c r="B47742" s="36"/>
      <c r="C47742" s="36"/>
      <c r="E47742" s="1"/>
      <c r="F47742" s="1"/>
      <c r="G47742" s="1"/>
    </row>
    <row r="47743">
      <c r="B47743" s="36"/>
      <c r="C47743" s="36"/>
      <c r="E47743" s="1"/>
      <c r="F47743" s="1"/>
      <c r="G47743" s="1"/>
    </row>
    <row r="47744">
      <c r="B47744" s="36"/>
      <c r="C47744" s="36"/>
      <c r="E47744" s="1"/>
      <c r="F47744" s="1"/>
      <c r="G47744" s="1"/>
    </row>
    <row r="47745">
      <c r="B47745" s="36"/>
      <c r="C47745" s="36"/>
      <c r="E47745" s="1"/>
      <c r="F47745" s="1"/>
      <c r="G47745" s="1"/>
    </row>
    <row r="47746">
      <c r="B47746" s="36"/>
      <c r="C47746" s="36"/>
      <c r="E47746" s="1"/>
      <c r="F47746" s="1"/>
      <c r="G47746" s="1"/>
    </row>
    <row r="47747">
      <c r="B47747" s="36"/>
      <c r="C47747" s="36"/>
      <c r="E47747" s="1"/>
      <c r="F47747" s="1"/>
      <c r="G47747" s="1"/>
    </row>
    <row r="47748">
      <c r="B47748" s="36"/>
      <c r="C47748" s="36"/>
      <c r="E47748" s="1"/>
      <c r="F47748" s="1"/>
      <c r="G47748" s="1"/>
    </row>
    <row r="47749">
      <c r="B47749" s="36"/>
      <c r="C47749" s="36"/>
      <c r="E47749" s="1"/>
      <c r="F47749" s="1"/>
      <c r="G47749" s="1"/>
    </row>
    <row r="47750">
      <c r="B47750" s="36"/>
      <c r="C47750" s="36"/>
      <c r="E47750" s="1"/>
      <c r="F47750" s="1"/>
      <c r="G47750" s="1"/>
    </row>
    <row r="47751">
      <c r="B47751" s="36"/>
      <c r="C47751" s="36"/>
      <c r="E47751" s="1"/>
      <c r="F47751" s="1"/>
      <c r="G47751" s="1"/>
    </row>
    <row r="47752">
      <c r="B47752" s="36"/>
      <c r="C47752" s="36"/>
      <c r="E47752" s="1"/>
      <c r="F47752" s="1"/>
      <c r="G47752" s="1"/>
    </row>
    <row r="47753">
      <c r="B47753" s="36"/>
      <c r="C47753" s="36"/>
      <c r="E47753" s="1"/>
      <c r="F47753" s="1"/>
      <c r="G47753" s="1"/>
    </row>
    <row r="47754">
      <c r="B47754" s="36"/>
      <c r="C47754" s="36"/>
      <c r="E47754" s="1"/>
      <c r="F47754" s="1"/>
      <c r="G47754" s="1"/>
    </row>
    <row r="47755">
      <c r="B47755" s="36"/>
      <c r="C47755" s="36"/>
      <c r="E47755" s="1"/>
      <c r="F47755" s="1"/>
      <c r="G47755" s="1"/>
    </row>
    <row r="47756">
      <c r="B47756" s="36"/>
      <c r="C47756" s="36"/>
      <c r="E47756" s="1"/>
      <c r="F47756" s="1"/>
      <c r="G47756" s="1"/>
    </row>
    <row r="47757">
      <c r="B47757" s="36"/>
      <c r="C47757" s="36"/>
      <c r="E47757" s="1"/>
      <c r="F47757" s="1"/>
      <c r="G47757" s="1"/>
    </row>
    <row r="47758">
      <c r="B47758" s="36"/>
      <c r="C47758" s="36"/>
      <c r="E47758" s="1"/>
      <c r="F47758" s="1"/>
      <c r="G47758" s="1"/>
    </row>
    <row r="47759">
      <c r="B47759" s="36"/>
      <c r="C47759" s="36"/>
      <c r="E47759" s="1"/>
      <c r="F47759" s="1"/>
      <c r="G47759" s="1"/>
    </row>
    <row r="47760">
      <c r="B47760" s="36"/>
      <c r="C47760" s="36"/>
      <c r="E47760" s="1"/>
      <c r="F47760" s="1"/>
      <c r="G47760" s="1"/>
    </row>
    <row r="47761">
      <c r="B47761" s="36"/>
      <c r="C47761" s="36"/>
      <c r="E47761" s="1"/>
      <c r="F47761" s="1"/>
      <c r="G47761" s="1"/>
    </row>
    <row r="47762">
      <c r="B47762" s="36"/>
      <c r="C47762" s="36"/>
      <c r="E47762" s="1"/>
      <c r="F47762" s="1"/>
      <c r="G47762" s="1"/>
    </row>
    <row r="47763">
      <c r="B47763" s="36"/>
      <c r="C47763" s="36"/>
      <c r="E47763" s="1"/>
      <c r="F47763" s="1"/>
      <c r="G47763" s="1"/>
    </row>
    <row r="47764">
      <c r="B47764" s="36"/>
      <c r="C47764" s="36"/>
      <c r="E47764" s="1"/>
      <c r="F47764" s="1"/>
      <c r="G47764" s="1"/>
    </row>
    <row r="47765">
      <c r="B47765" s="36"/>
      <c r="C47765" s="36"/>
      <c r="E47765" s="1"/>
      <c r="F47765" s="1"/>
      <c r="G47765" s="1"/>
    </row>
    <row r="47766">
      <c r="B47766" s="36"/>
      <c r="C47766" s="36"/>
      <c r="E47766" s="1"/>
      <c r="F47766" s="1"/>
      <c r="G47766" s="1"/>
    </row>
    <row r="47767">
      <c r="B47767" s="36"/>
      <c r="C47767" s="36"/>
      <c r="E47767" s="1"/>
      <c r="F47767" s="1"/>
      <c r="G47767" s="1"/>
    </row>
    <row r="47768">
      <c r="B47768" s="36"/>
      <c r="C47768" s="36"/>
      <c r="E47768" s="1"/>
      <c r="F47768" s="1"/>
      <c r="G47768" s="1"/>
    </row>
    <row r="47769">
      <c r="B47769" s="36"/>
      <c r="C47769" s="36"/>
      <c r="E47769" s="1"/>
      <c r="F47769" s="1"/>
      <c r="G47769" s="1"/>
    </row>
    <row r="47770">
      <c r="B47770" s="36"/>
      <c r="C47770" s="36"/>
      <c r="E47770" s="1"/>
      <c r="F47770" s="1"/>
      <c r="G47770" s="1"/>
    </row>
    <row r="47771">
      <c r="B47771" s="36"/>
      <c r="C47771" s="36"/>
      <c r="E47771" s="1"/>
      <c r="F47771" s="1"/>
      <c r="G47771" s="1"/>
    </row>
    <row r="47772">
      <c r="B47772" s="36"/>
      <c r="C47772" s="36"/>
      <c r="E47772" s="1"/>
      <c r="F47772" s="1"/>
      <c r="G47772" s="1"/>
    </row>
    <row r="47773">
      <c r="B47773" s="36"/>
      <c r="C47773" s="36"/>
      <c r="E47773" s="1"/>
      <c r="F47773" s="1"/>
      <c r="G47773" s="1"/>
    </row>
    <row r="47774">
      <c r="B47774" s="36"/>
      <c r="C47774" s="36"/>
      <c r="E47774" s="1"/>
      <c r="F47774" s="1"/>
      <c r="G47774" s="1"/>
    </row>
    <row r="47775">
      <c r="B47775" s="36"/>
      <c r="C47775" s="36"/>
      <c r="E47775" s="1"/>
      <c r="F47775" s="1"/>
      <c r="G47775" s="1"/>
    </row>
    <row r="47776">
      <c r="B47776" s="36"/>
      <c r="C47776" s="36"/>
      <c r="E47776" s="1"/>
      <c r="F47776" s="1"/>
      <c r="G47776" s="1"/>
    </row>
    <row r="47777">
      <c r="B47777" s="36"/>
      <c r="C47777" s="36"/>
      <c r="E47777" s="1"/>
      <c r="F47777" s="1"/>
      <c r="G47777" s="1"/>
    </row>
    <row r="47778">
      <c r="B47778" s="36"/>
      <c r="C47778" s="36"/>
      <c r="E47778" s="1"/>
      <c r="F47778" s="1"/>
      <c r="G47778" s="1"/>
    </row>
    <row r="47779">
      <c r="B47779" s="36"/>
      <c r="C47779" s="36"/>
      <c r="E47779" s="1"/>
      <c r="F47779" s="1"/>
      <c r="G47779" s="1"/>
    </row>
    <row r="47780">
      <c r="B47780" s="36"/>
      <c r="C47780" s="36"/>
      <c r="E47780" s="1"/>
      <c r="F47780" s="1"/>
      <c r="G47780" s="1"/>
    </row>
    <row r="47781">
      <c r="B47781" s="36"/>
      <c r="C47781" s="36"/>
      <c r="E47781" s="1"/>
      <c r="F47781" s="1"/>
      <c r="G47781" s="1"/>
    </row>
    <row r="47782">
      <c r="B47782" s="36"/>
      <c r="C47782" s="36"/>
      <c r="E47782" s="1"/>
      <c r="F47782" s="1"/>
      <c r="G47782" s="1"/>
    </row>
    <row r="47783">
      <c r="B47783" s="36"/>
      <c r="C47783" s="36"/>
      <c r="E47783" s="1"/>
      <c r="F47783" s="1"/>
      <c r="G47783" s="1"/>
    </row>
    <row r="47784">
      <c r="B47784" s="36"/>
      <c r="C47784" s="36"/>
      <c r="E47784" s="1"/>
      <c r="F47784" s="1"/>
      <c r="G47784" s="1"/>
    </row>
    <row r="47785">
      <c r="B47785" s="36"/>
      <c r="C47785" s="36"/>
      <c r="E47785" s="1"/>
      <c r="F47785" s="1"/>
      <c r="G47785" s="1"/>
    </row>
    <row r="47786">
      <c r="B47786" s="36"/>
      <c r="C47786" s="36"/>
      <c r="E47786" s="1"/>
      <c r="F47786" s="1"/>
      <c r="G47786" s="1"/>
    </row>
    <row r="47787">
      <c r="B47787" s="36"/>
      <c r="C47787" s="36"/>
      <c r="E47787" s="1"/>
      <c r="F47787" s="1"/>
      <c r="G47787" s="1"/>
    </row>
    <row r="47788">
      <c r="B47788" s="36"/>
      <c r="C47788" s="36"/>
      <c r="E47788" s="1"/>
      <c r="F47788" s="1"/>
      <c r="G47788" s="1"/>
    </row>
    <row r="47789">
      <c r="B47789" s="36"/>
      <c r="C47789" s="36"/>
      <c r="E47789" s="1"/>
      <c r="F47789" s="1"/>
      <c r="G47789" s="1"/>
    </row>
    <row r="47790">
      <c r="B47790" s="36"/>
      <c r="C47790" s="36"/>
      <c r="E47790" s="1"/>
      <c r="F47790" s="1"/>
      <c r="G47790" s="1"/>
    </row>
    <row r="47791">
      <c r="B47791" s="36"/>
      <c r="C47791" s="36"/>
      <c r="E47791" s="1"/>
      <c r="F47791" s="1"/>
      <c r="G47791" s="1"/>
    </row>
    <row r="47792">
      <c r="B47792" s="36"/>
      <c r="C47792" s="36"/>
      <c r="E47792" s="1"/>
      <c r="F47792" s="1"/>
      <c r="G47792" s="1"/>
    </row>
    <row r="47793">
      <c r="B47793" s="36"/>
      <c r="C47793" s="36"/>
      <c r="E47793" s="1"/>
      <c r="F47793" s="1"/>
      <c r="G47793" s="1"/>
    </row>
    <row r="47794">
      <c r="B47794" s="36"/>
      <c r="C47794" s="36"/>
      <c r="E47794" s="1"/>
      <c r="F47794" s="1"/>
      <c r="G47794" s="1"/>
    </row>
    <row r="47795">
      <c r="B47795" s="36"/>
      <c r="C47795" s="36"/>
      <c r="E47795" s="1"/>
      <c r="F47795" s="1"/>
      <c r="G47795" s="1"/>
    </row>
    <row r="47796">
      <c r="B47796" s="36"/>
      <c r="C47796" s="36"/>
      <c r="E47796" s="1"/>
      <c r="F47796" s="1"/>
      <c r="G47796" s="1"/>
    </row>
    <row r="47797">
      <c r="B47797" s="36"/>
      <c r="C47797" s="36"/>
      <c r="E47797" s="1"/>
      <c r="F47797" s="1"/>
      <c r="G47797" s="1"/>
    </row>
    <row r="47798">
      <c r="B47798" s="36"/>
      <c r="C47798" s="36"/>
      <c r="E47798" s="1"/>
      <c r="F47798" s="1"/>
      <c r="G47798" s="1"/>
    </row>
    <row r="47799">
      <c r="B47799" s="36"/>
      <c r="C47799" s="36"/>
      <c r="E47799" s="1"/>
      <c r="F47799" s="1"/>
      <c r="G47799" s="1"/>
    </row>
    <row r="47800">
      <c r="B47800" s="36"/>
      <c r="C47800" s="36"/>
      <c r="E47800" s="1"/>
      <c r="F47800" s="1"/>
      <c r="G47800" s="1"/>
    </row>
    <row r="47801">
      <c r="B47801" s="36"/>
      <c r="C47801" s="36"/>
      <c r="E47801" s="1"/>
      <c r="F47801" s="1"/>
      <c r="G47801" s="1"/>
    </row>
    <row r="47802">
      <c r="B47802" s="36"/>
      <c r="C47802" s="36"/>
      <c r="E47802" s="1"/>
      <c r="F47802" s="1"/>
      <c r="G47802" s="1"/>
    </row>
    <row r="47803">
      <c r="B47803" s="36"/>
      <c r="C47803" s="36"/>
      <c r="E47803" s="1"/>
      <c r="F47803" s="1"/>
      <c r="G47803" s="1"/>
    </row>
    <row r="47804">
      <c r="B47804" s="36"/>
      <c r="C47804" s="36"/>
      <c r="E47804" s="1"/>
      <c r="F47804" s="1"/>
      <c r="G47804" s="1"/>
    </row>
    <row r="47805">
      <c r="B47805" s="36"/>
      <c r="C47805" s="36"/>
      <c r="E47805" s="1"/>
      <c r="F47805" s="1"/>
      <c r="G47805" s="1"/>
    </row>
    <row r="47806">
      <c r="B47806" s="36"/>
      <c r="C47806" s="36"/>
      <c r="E47806" s="1"/>
      <c r="F47806" s="1"/>
      <c r="G47806" s="1"/>
    </row>
    <row r="47807">
      <c r="B47807" s="36"/>
      <c r="C47807" s="36"/>
      <c r="E47807" s="1"/>
      <c r="F47807" s="1"/>
      <c r="G47807" s="1"/>
    </row>
    <row r="47808">
      <c r="B47808" s="36"/>
      <c r="C47808" s="36"/>
      <c r="E47808" s="1"/>
      <c r="F47808" s="1"/>
      <c r="G47808" s="1"/>
    </row>
    <row r="47809">
      <c r="B47809" s="36"/>
      <c r="C47809" s="36"/>
      <c r="E47809" s="1"/>
      <c r="F47809" s="1"/>
      <c r="G47809" s="1"/>
    </row>
    <row r="47810">
      <c r="B47810" s="36"/>
      <c r="C47810" s="36"/>
      <c r="E47810" s="1"/>
      <c r="F47810" s="1"/>
      <c r="G47810" s="1"/>
    </row>
    <row r="47811">
      <c r="B47811" s="36"/>
      <c r="C47811" s="36"/>
      <c r="E47811" s="1"/>
      <c r="F47811" s="1"/>
      <c r="G47811" s="1"/>
    </row>
    <row r="47812">
      <c r="B47812" s="36"/>
      <c r="C47812" s="36"/>
      <c r="E47812" s="1"/>
      <c r="F47812" s="1"/>
      <c r="G47812" s="1"/>
    </row>
    <row r="47813">
      <c r="B47813" s="36"/>
      <c r="C47813" s="36"/>
      <c r="E47813" s="1"/>
      <c r="F47813" s="1"/>
      <c r="G47813" s="1"/>
    </row>
    <row r="47814">
      <c r="B47814" s="36"/>
      <c r="C47814" s="36"/>
      <c r="E47814" s="1"/>
      <c r="F47814" s="1"/>
      <c r="G47814" s="1"/>
    </row>
    <row r="47815">
      <c r="B47815" s="36"/>
      <c r="C47815" s="36"/>
      <c r="E47815" s="1"/>
      <c r="F47815" s="1"/>
      <c r="G47815" s="1"/>
    </row>
    <row r="47816">
      <c r="B47816" s="36"/>
      <c r="C47816" s="36"/>
      <c r="E47816" s="1"/>
      <c r="F47816" s="1"/>
      <c r="G47816" s="1"/>
    </row>
    <row r="47817">
      <c r="B47817" s="36"/>
      <c r="C47817" s="36"/>
      <c r="E47817" s="1"/>
      <c r="F47817" s="1"/>
      <c r="G47817" s="1"/>
    </row>
    <row r="47818">
      <c r="B47818" s="36"/>
      <c r="C47818" s="36"/>
      <c r="E47818" s="1"/>
      <c r="F47818" s="1"/>
      <c r="G47818" s="1"/>
    </row>
    <row r="47819">
      <c r="B47819" s="36"/>
      <c r="C47819" s="36"/>
      <c r="E47819" s="1"/>
      <c r="F47819" s="1"/>
      <c r="G47819" s="1"/>
    </row>
    <row r="47820">
      <c r="B47820" s="36"/>
      <c r="C47820" s="36"/>
      <c r="E47820" s="1"/>
      <c r="F47820" s="1"/>
      <c r="G47820" s="1"/>
    </row>
    <row r="47821">
      <c r="B47821" s="36"/>
      <c r="C47821" s="36"/>
      <c r="E47821" s="1"/>
      <c r="F47821" s="1"/>
      <c r="G47821" s="1"/>
    </row>
    <row r="47822">
      <c r="B47822" s="36"/>
      <c r="C47822" s="36"/>
      <c r="E47822" s="1"/>
      <c r="F47822" s="1"/>
      <c r="G47822" s="1"/>
    </row>
    <row r="47823">
      <c r="B47823" s="36"/>
      <c r="C47823" s="36"/>
      <c r="E47823" s="1"/>
      <c r="F47823" s="1"/>
      <c r="G47823" s="1"/>
    </row>
    <row r="47824">
      <c r="B47824" s="36"/>
      <c r="C47824" s="36"/>
      <c r="E47824" s="1"/>
      <c r="F47824" s="1"/>
      <c r="G47824" s="1"/>
    </row>
    <row r="47825">
      <c r="B47825" s="36"/>
      <c r="C47825" s="36"/>
      <c r="E47825" s="1"/>
      <c r="F47825" s="1"/>
      <c r="G47825" s="1"/>
    </row>
    <row r="47826">
      <c r="B47826" s="36"/>
      <c r="C47826" s="36"/>
      <c r="E47826" s="1"/>
      <c r="F47826" s="1"/>
      <c r="G47826" s="1"/>
    </row>
    <row r="47827">
      <c r="B47827" s="36"/>
      <c r="C47827" s="36"/>
      <c r="E47827" s="1"/>
      <c r="F47827" s="1"/>
      <c r="G47827" s="1"/>
    </row>
    <row r="47828">
      <c r="B47828" s="36"/>
      <c r="C47828" s="36"/>
      <c r="E47828" s="1"/>
      <c r="F47828" s="1"/>
      <c r="G47828" s="1"/>
    </row>
    <row r="47829">
      <c r="B47829" s="36"/>
      <c r="C47829" s="36"/>
      <c r="E47829" s="1"/>
      <c r="F47829" s="1"/>
      <c r="G47829" s="1"/>
    </row>
    <row r="47830">
      <c r="B47830" s="36"/>
      <c r="C47830" s="36"/>
      <c r="E47830" s="1"/>
      <c r="F47830" s="1"/>
      <c r="G47830" s="1"/>
    </row>
    <row r="47831">
      <c r="B47831" s="36"/>
      <c r="C47831" s="36"/>
      <c r="E47831" s="1"/>
      <c r="F47831" s="1"/>
      <c r="G47831" s="1"/>
    </row>
    <row r="47832">
      <c r="B47832" s="36"/>
      <c r="C47832" s="36"/>
      <c r="E47832" s="1"/>
      <c r="F47832" s="1"/>
      <c r="G47832" s="1"/>
    </row>
    <row r="47833">
      <c r="B47833" s="36"/>
      <c r="C47833" s="36"/>
      <c r="E47833" s="1"/>
      <c r="F47833" s="1"/>
      <c r="G47833" s="1"/>
    </row>
    <row r="47834">
      <c r="B47834" s="36"/>
      <c r="C47834" s="36"/>
      <c r="E47834" s="1"/>
      <c r="F47834" s="1"/>
      <c r="G47834" s="1"/>
    </row>
    <row r="47835">
      <c r="B47835" s="36"/>
      <c r="C47835" s="36"/>
      <c r="E47835" s="1"/>
      <c r="F47835" s="1"/>
      <c r="G47835" s="1"/>
    </row>
    <row r="47836">
      <c r="B47836" s="36"/>
      <c r="C47836" s="36"/>
      <c r="E47836" s="1"/>
      <c r="F47836" s="1"/>
      <c r="G47836" s="1"/>
    </row>
    <row r="47837">
      <c r="B47837" s="36"/>
      <c r="C47837" s="36"/>
      <c r="E47837" s="1"/>
      <c r="F47837" s="1"/>
      <c r="G47837" s="1"/>
    </row>
    <row r="47838">
      <c r="B47838" s="36"/>
      <c r="C47838" s="36"/>
      <c r="E47838" s="1"/>
      <c r="F47838" s="1"/>
      <c r="G47838" s="1"/>
    </row>
    <row r="47839">
      <c r="B47839" s="36"/>
      <c r="C47839" s="36"/>
      <c r="E47839" s="1"/>
      <c r="F47839" s="1"/>
      <c r="G47839" s="1"/>
    </row>
    <row r="47840">
      <c r="B47840" s="36"/>
      <c r="C47840" s="36"/>
      <c r="E47840" s="1"/>
      <c r="F47840" s="1"/>
      <c r="G47840" s="1"/>
    </row>
    <row r="47841">
      <c r="B47841" s="36"/>
      <c r="C47841" s="36"/>
      <c r="E47841" s="1"/>
      <c r="F47841" s="1"/>
      <c r="G47841" s="1"/>
    </row>
    <row r="47842">
      <c r="B47842" s="36"/>
      <c r="C47842" s="36"/>
      <c r="E47842" s="1"/>
      <c r="F47842" s="1"/>
      <c r="G47842" s="1"/>
    </row>
    <row r="47843">
      <c r="B47843" s="36"/>
      <c r="C47843" s="36"/>
      <c r="E47843" s="1"/>
      <c r="F47843" s="1"/>
      <c r="G47843" s="1"/>
    </row>
    <row r="47844">
      <c r="B47844" s="36"/>
      <c r="C47844" s="36"/>
      <c r="E47844" s="1"/>
      <c r="F47844" s="1"/>
      <c r="G47844" s="1"/>
    </row>
    <row r="47845">
      <c r="B47845" s="36"/>
      <c r="C47845" s="36"/>
      <c r="E47845" s="1"/>
      <c r="F47845" s="1"/>
      <c r="G47845" s="1"/>
    </row>
    <row r="47846">
      <c r="B47846" s="36"/>
      <c r="C47846" s="36"/>
      <c r="E47846" s="1"/>
      <c r="F47846" s="1"/>
      <c r="G47846" s="1"/>
    </row>
    <row r="47847">
      <c r="B47847" s="36"/>
      <c r="C47847" s="36"/>
      <c r="E47847" s="1"/>
      <c r="F47847" s="1"/>
      <c r="G47847" s="1"/>
    </row>
    <row r="47848">
      <c r="B47848" s="36"/>
      <c r="C47848" s="36"/>
      <c r="E47848" s="1"/>
      <c r="F47848" s="1"/>
      <c r="G47848" s="1"/>
    </row>
    <row r="47849">
      <c r="B47849" s="36"/>
      <c r="C47849" s="36"/>
      <c r="E47849" s="1"/>
      <c r="F47849" s="1"/>
      <c r="G47849" s="1"/>
    </row>
    <row r="47850">
      <c r="B47850" s="36"/>
      <c r="C47850" s="36"/>
      <c r="E47850" s="1"/>
      <c r="F47850" s="1"/>
      <c r="G47850" s="1"/>
    </row>
    <row r="47851">
      <c r="B47851" s="36"/>
      <c r="C47851" s="36"/>
      <c r="E47851" s="1"/>
      <c r="F47851" s="1"/>
      <c r="G47851" s="1"/>
    </row>
    <row r="47852">
      <c r="B47852" s="36"/>
      <c r="C47852" s="36"/>
      <c r="E47852" s="1"/>
      <c r="F47852" s="1"/>
      <c r="G47852" s="1"/>
    </row>
    <row r="47853">
      <c r="B47853" s="36"/>
      <c r="C47853" s="36"/>
      <c r="E47853" s="1"/>
      <c r="F47853" s="1"/>
      <c r="G47853" s="1"/>
    </row>
    <row r="47854">
      <c r="B47854" s="36"/>
      <c r="C47854" s="36"/>
      <c r="E47854" s="1"/>
      <c r="F47854" s="1"/>
      <c r="G47854" s="1"/>
    </row>
    <row r="47855">
      <c r="B47855" s="36"/>
      <c r="C47855" s="36"/>
      <c r="E47855" s="1"/>
      <c r="F47855" s="1"/>
      <c r="G47855" s="1"/>
    </row>
    <row r="47856">
      <c r="B47856" s="36"/>
      <c r="C47856" s="36"/>
      <c r="E47856" s="1"/>
      <c r="F47856" s="1"/>
      <c r="G47856" s="1"/>
    </row>
    <row r="47857">
      <c r="B47857" s="36"/>
      <c r="C47857" s="36"/>
      <c r="E47857" s="1"/>
      <c r="F47857" s="1"/>
      <c r="G47857" s="1"/>
    </row>
    <row r="47858">
      <c r="B47858" s="36"/>
      <c r="C47858" s="36"/>
      <c r="E47858" s="1"/>
      <c r="F47858" s="1"/>
      <c r="G47858" s="1"/>
    </row>
    <row r="47859">
      <c r="B47859" s="36"/>
      <c r="C47859" s="36"/>
      <c r="E47859" s="1"/>
      <c r="F47859" s="1"/>
      <c r="G47859" s="1"/>
    </row>
    <row r="47860">
      <c r="B47860" s="36"/>
      <c r="C47860" s="36"/>
      <c r="E47860" s="1"/>
      <c r="F47860" s="1"/>
      <c r="G47860" s="1"/>
    </row>
    <row r="47861">
      <c r="B47861" s="36"/>
      <c r="C47861" s="36"/>
      <c r="E47861" s="1"/>
      <c r="F47861" s="1"/>
      <c r="G47861" s="1"/>
    </row>
    <row r="47862">
      <c r="B47862" s="36"/>
      <c r="C47862" s="36"/>
      <c r="E47862" s="1"/>
      <c r="F47862" s="1"/>
      <c r="G47862" s="1"/>
    </row>
    <row r="47863">
      <c r="B47863" s="36"/>
      <c r="C47863" s="36"/>
      <c r="E47863" s="1"/>
      <c r="F47863" s="1"/>
      <c r="G47863" s="1"/>
    </row>
    <row r="47864">
      <c r="B47864" s="36"/>
      <c r="C47864" s="36"/>
      <c r="E47864" s="1"/>
      <c r="F47864" s="1"/>
      <c r="G47864" s="1"/>
    </row>
    <row r="47865">
      <c r="B47865" s="36"/>
      <c r="C47865" s="36"/>
      <c r="E47865" s="1"/>
      <c r="F47865" s="1"/>
      <c r="G47865" s="1"/>
    </row>
    <row r="47866">
      <c r="B47866" s="36"/>
      <c r="C47866" s="36"/>
      <c r="E47866" s="1"/>
      <c r="F47866" s="1"/>
      <c r="G47866" s="1"/>
    </row>
    <row r="47867">
      <c r="B47867" s="36"/>
      <c r="C47867" s="36"/>
      <c r="E47867" s="1"/>
      <c r="F47867" s="1"/>
      <c r="G47867" s="1"/>
    </row>
    <row r="47868">
      <c r="B47868" s="36"/>
      <c r="C47868" s="36"/>
      <c r="E47868" s="1"/>
      <c r="F47868" s="1"/>
      <c r="G47868" s="1"/>
    </row>
    <row r="47869">
      <c r="B47869" s="36"/>
      <c r="C47869" s="36"/>
      <c r="E47869" s="1"/>
      <c r="F47869" s="1"/>
      <c r="G47869" s="1"/>
    </row>
    <row r="47870">
      <c r="B47870" s="36"/>
      <c r="C47870" s="36"/>
      <c r="E47870" s="1"/>
      <c r="F47870" s="1"/>
      <c r="G47870" s="1"/>
    </row>
    <row r="47871">
      <c r="B47871" s="36"/>
      <c r="C47871" s="36"/>
      <c r="E47871" s="1"/>
      <c r="F47871" s="1"/>
      <c r="G47871" s="1"/>
    </row>
    <row r="47872">
      <c r="B47872" s="36"/>
      <c r="C47872" s="36"/>
      <c r="E47872" s="1"/>
      <c r="F47872" s="1"/>
      <c r="G47872" s="1"/>
    </row>
    <row r="47873">
      <c r="B47873" s="36"/>
      <c r="C47873" s="36"/>
      <c r="E47873" s="1"/>
      <c r="F47873" s="1"/>
      <c r="G47873" s="1"/>
    </row>
    <row r="47874">
      <c r="B47874" s="36"/>
      <c r="C47874" s="36"/>
      <c r="E47874" s="1"/>
      <c r="F47874" s="1"/>
      <c r="G47874" s="1"/>
    </row>
    <row r="47875">
      <c r="B47875" s="36"/>
      <c r="C47875" s="36"/>
      <c r="E47875" s="1"/>
      <c r="F47875" s="1"/>
      <c r="G47875" s="1"/>
    </row>
    <row r="47876">
      <c r="B47876" s="36"/>
      <c r="C47876" s="36"/>
      <c r="E47876" s="1"/>
      <c r="F47876" s="1"/>
      <c r="G47876" s="1"/>
    </row>
    <row r="47877">
      <c r="B47877" s="36"/>
      <c r="C47877" s="36"/>
      <c r="E47877" s="1"/>
      <c r="F47877" s="1"/>
      <c r="G47877" s="1"/>
    </row>
    <row r="47878">
      <c r="B47878" s="36"/>
      <c r="C47878" s="36"/>
      <c r="E47878" s="1"/>
      <c r="F47878" s="1"/>
      <c r="G47878" s="1"/>
    </row>
    <row r="47879">
      <c r="B47879" s="36"/>
      <c r="C47879" s="36"/>
      <c r="E47879" s="1"/>
      <c r="F47879" s="1"/>
      <c r="G47879" s="1"/>
    </row>
    <row r="47880">
      <c r="B47880" s="36"/>
      <c r="C47880" s="36"/>
      <c r="E47880" s="1"/>
      <c r="F47880" s="1"/>
      <c r="G47880" s="1"/>
    </row>
    <row r="47881">
      <c r="B47881" s="36"/>
      <c r="C47881" s="36"/>
      <c r="E47881" s="1"/>
      <c r="F47881" s="1"/>
      <c r="G47881" s="1"/>
    </row>
    <row r="47882">
      <c r="B47882" s="36"/>
      <c r="C47882" s="36"/>
      <c r="E47882" s="1"/>
      <c r="F47882" s="1"/>
      <c r="G47882" s="1"/>
    </row>
    <row r="47883">
      <c r="B47883" s="36"/>
      <c r="C47883" s="36"/>
      <c r="E47883" s="1"/>
      <c r="F47883" s="1"/>
      <c r="G47883" s="1"/>
    </row>
    <row r="47884">
      <c r="B47884" s="36"/>
      <c r="C47884" s="36"/>
      <c r="E47884" s="1"/>
      <c r="F47884" s="1"/>
      <c r="G47884" s="1"/>
    </row>
    <row r="47885">
      <c r="B47885" s="36"/>
      <c r="C47885" s="36"/>
      <c r="E47885" s="1"/>
      <c r="F47885" s="1"/>
      <c r="G47885" s="1"/>
    </row>
    <row r="47886">
      <c r="B47886" s="36"/>
      <c r="C47886" s="36"/>
      <c r="E47886" s="1"/>
      <c r="F47886" s="1"/>
      <c r="G47886" s="1"/>
    </row>
    <row r="47887">
      <c r="B47887" s="36"/>
      <c r="C47887" s="36"/>
      <c r="E47887" s="1"/>
      <c r="F47887" s="1"/>
      <c r="G47887" s="1"/>
    </row>
    <row r="47888">
      <c r="B47888" s="36"/>
      <c r="C47888" s="36"/>
      <c r="E47888" s="1"/>
      <c r="F47888" s="1"/>
      <c r="G47888" s="1"/>
    </row>
    <row r="47889">
      <c r="B47889" s="36"/>
      <c r="C47889" s="36"/>
      <c r="E47889" s="1"/>
      <c r="F47889" s="1"/>
      <c r="G47889" s="1"/>
    </row>
    <row r="47890">
      <c r="B47890" s="36"/>
      <c r="C47890" s="36"/>
      <c r="E47890" s="1"/>
      <c r="F47890" s="1"/>
      <c r="G47890" s="1"/>
    </row>
    <row r="47891">
      <c r="B47891" s="36"/>
      <c r="C47891" s="36"/>
      <c r="E47891" s="1"/>
      <c r="F47891" s="1"/>
      <c r="G47891" s="1"/>
    </row>
    <row r="47892">
      <c r="B47892" s="36"/>
      <c r="C47892" s="36"/>
      <c r="E47892" s="1"/>
      <c r="F47892" s="1"/>
      <c r="G47892" s="1"/>
    </row>
    <row r="47893">
      <c r="B47893" s="36"/>
      <c r="C47893" s="36"/>
      <c r="E47893" s="1"/>
      <c r="F47893" s="1"/>
      <c r="G47893" s="1"/>
    </row>
    <row r="47894">
      <c r="B47894" s="36"/>
      <c r="C47894" s="36"/>
      <c r="E47894" s="1"/>
      <c r="F47894" s="1"/>
      <c r="G47894" s="1"/>
    </row>
    <row r="47895">
      <c r="B47895" s="36"/>
      <c r="C47895" s="36"/>
      <c r="E47895" s="1"/>
      <c r="F47895" s="1"/>
      <c r="G47895" s="1"/>
    </row>
    <row r="47896">
      <c r="B47896" s="36"/>
      <c r="C47896" s="36"/>
      <c r="E47896" s="1"/>
      <c r="F47896" s="1"/>
      <c r="G47896" s="1"/>
    </row>
    <row r="47897">
      <c r="B47897" s="36"/>
      <c r="C47897" s="36"/>
      <c r="E47897" s="1"/>
      <c r="F47897" s="1"/>
      <c r="G47897" s="1"/>
    </row>
    <row r="47898">
      <c r="B47898" s="36"/>
      <c r="C47898" s="36"/>
      <c r="E47898" s="1"/>
      <c r="F47898" s="1"/>
      <c r="G47898" s="1"/>
    </row>
    <row r="47899">
      <c r="B47899" s="36"/>
      <c r="C47899" s="36"/>
      <c r="E47899" s="1"/>
      <c r="F47899" s="1"/>
      <c r="G47899" s="1"/>
    </row>
    <row r="47900">
      <c r="B47900" s="36"/>
      <c r="C47900" s="36"/>
      <c r="E47900" s="1"/>
      <c r="F47900" s="1"/>
      <c r="G47900" s="1"/>
    </row>
    <row r="47901">
      <c r="B47901" s="36"/>
      <c r="C47901" s="36"/>
      <c r="E47901" s="1"/>
      <c r="F47901" s="1"/>
      <c r="G47901" s="1"/>
    </row>
    <row r="47902">
      <c r="B47902" s="36"/>
      <c r="C47902" s="36"/>
      <c r="E47902" s="1"/>
      <c r="F47902" s="1"/>
      <c r="G47902" s="1"/>
    </row>
    <row r="47903">
      <c r="B47903" s="36"/>
      <c r="C47903" s="36"/>
      <c r="E47903" s="1"/>
      <c r="F47903" s="1"/>
      <c r="G47903" s="1"/>
    </row>
    <row r="47904">
      <c r="B47904" s="36"/>
      <c r="C47904" s="36"/>
      <c r="E47904" s="1"/>
      <c r="F47904" s="1"/>
      <c r="G47904" s="1"/>
    </row>
    <row r="47905">
      <c r="B47905" s="36"/>
      <c r="C47905" s="36"/>
      <c r="E47905" s="1"/>
      <c r="F47905" s="1"/>
      <c r="G47905" s="1"/>
    </row>
    <row r="47906">
      <c r="B47906" s="36"/>
      <c r="C47906" s="36"/>
      <c r="E47906" s="1"/>
      <c r="F47906" s="1"/>
      <c r="G47906" s="1"/>
    </row>
    <row r="47907">
      <c r="B47907" s="36"/>
      <c r="C47907" s="36"/>
      <c r="E47907" s="1"/>
      <c r="F47907" s="1"/>
      <c r="G47907" s="1"/>
    </row>
    <row r="47908">
      <c r="B47908" s="36"/>
      <c r="C47908" s="36"/>
      <c r="E47908" s="1"/>
      <c r="F47908" s="1"/>
      <c r="G47908" s="1"/>
    </row>
    <row r="47909">
      <c r="B47909" s="36"/>
      <c r="C47909" s="36"/>
      <c r="E47909" s="1"/>
      <c r="F47909" s="1"/>
      <c r="G47909" s="1"/>
    </row>
    <row r="47910">
      <c r="B47910" s="36"/>
      <c r="C47910" s="36"/>
      <c r="E47910" s="1"/>
      <c r="F47910" s="1"/>
      <c r="G47910" s="1"/>
    </row>
    <row r="47911">
      <c r="B47911" s="36"/>
      <c r="C47911" s="36"/>
      <c r="E47911" s="1"/>
      <c r="F47911" s="1"/>
      <c r="G47911" s="1"/>
    </row>
    <row r="47912">
      <c r="B47912" s="36"/>
      <c r="C47912" s="36"/>
      <c r="E47912" s="1"/>
      <c r="F47912" s="1"/>
      <c r="G47912" s="1"/>
    </row>
    <row r="47913">
      <c r="B47913" s="36"/>
      <c r="C47913" s="36"/>
      <c r="E47913" s="1"/>
      <c r="F47913" s="1"/>
      <c r="G47913" s="1"/>
    </row>
    <row r="47914">
      <c r="B47914" s="36"/>
      <c r="C47914" s="36"/>
      <c r="E47914" s="1"/>
      <c r="F47914" s="1"/>
      <c r="G47914" s="1"/>
    </row>
    <row r="47915">
      <c r="B47915" s="36"/>
      <c r="C47915" s="36"/>
      <c r="E47915" s="1"/>
      <c r="F47915" s="1"/>
      <c r="G47915" s="1"/>
    </row>
    <row r="47916">
      <c r="B47916" s="36"/>
      <c r="C47916" s="36"/>
      <c r="E47916" s="1"/>
      <c r="F47916" s="1"/>
      <c r="G47916" s="1"/>
    </row>
    <row r="47917">
      <c r="B47917" s="36"/>
      <c r="C47917" s="36"/>
      <c r="E47917" s="1"/>
      <c r="F47917" s="1"/>
      <c r="G47917" s="1"/>
    </row>
    <row r="47918">
      <c r="B47918" s="36"/>
      <c r="C47918" s="36"/>
      <c r="E47918" s="1"/>
      <c r="F47918" s="1"/>
      <c r="G47918" s="1"/>
    </row>
    <row r="47919">
      <c r="B47919" s="36"/>
      <c r="C47919" s="36"/>
      <c r="E47919" s="1"/>
      <c r="F47919" s="1"/>
      <c r="G47919" s="1"/>
    </row>
    <row r="47920">
      <c r="B47920" s="36"/>
      <c r="C47920" s="36"/>
      <c r="E47920" s="1"/>
      <c r="F47920" s="1"/>
      <c r="G47920" s="1"/>
    </row>
    <row r="47921">
      <c r="B47921" s="36"/>
      <c r="C47921" s="36"/>
      <c r="E47921" s="1"/>
      <c r="F47921" s="1"/>
      <c r="G47921" s="1"/>
    </row>
    <row r="47922">
      <c r="B47922" s="36"/>
      <c r="C47922" s="36"/>
      <c r="E47922" s="1"/>
      <c r="F47922" s="1"/>
      <c r="G47922" s="1"/>
    </row>
    <row r="47923">
      <c r="B47923" s="36"/>
      <c r="C47923" s="36"/>
      <c r="E47923" s="1"/>
      <c r="F47923" s="1"/>
      <c r="G47923" s="1"/>
    </row>
    <row r="47924">
      <c r="B47924" s="36"/>
      <c r="C47924" s="36"/>
      <c r="E47924" s="1"/>
      <c r="F47924" s="1"/>
      <c r="G47924" s="1"/>
    </row>
    <row r="47925">
      <c r="B47925" s="36"/>
      <c r="C47925" s="36"/>
      <c r="E47925" s="1"/>
      <c r="F47925" s="1"/>
      <c r="G47925" s="1"/>
    </row>
    <row r="47926">
      <c r="B47926" s="36"/>
      <c r="C47926" s="36"/>
      <c r="E47926" s="1"/>
      <c r="F47926" s="1"/>
      <c r="G47926" s="1"/>
    </row>
    <row r="47927">
      <c r="B47927" s="36"/>
      <c r="C47927" s="36"/>
      <c r="E47927" s="1"/>
      <c r="F47927" s="1"/>
      <c r="G47927" s="1"/>
    </row>
    <row r="47928">
      <c r="B47928" s="36"/>
      <c r="C47928" s="36"/>
      <c r="E47928" s="1"/>
      <c r="F47928" s="1"/>
      <c r="G47928" s="1"/>
    </row>
    <row r="47929">
      <c r="B47929" s="36"/>
      <c r="C47929" s="36"/>
      <c r="E47929" s="1"/>
      <c r="F47929" s="1"/>
      <c r="G47929" s="1"/>
    </row>
    <row r="47930">
      <c r="B47930" s="36"/>
      <c r="C47930" s="36"/>
      <c r="E47930" s="1"/>
      <c r="F47930" s="1"/>
      <c r="G47930" s="1"/>
    </row>
    <row r="47931">
      <c r="B47931" s="36"/>
      <c r="C47931" s="36"/>
      <c r="E47931" s="1"/>
      <c r="F47931" s="1"/>
      <c r="G47931" s="1"/>
    </row>
    <row r="47932">
      <c r="B47932" s="36"/>
      <c r="C47932" s="36"/>
      <c r="E47932" s="1"/>
      <c r="F47932" s="1"/>
      <c r="G47932" s="1"/>
    </row>
    <row r="47933">
      <c r="B47933" s="36"/>
      <c r="C47933" s="36"/>
      <c r="E47933" s="1"/>
      <c r="F47933" s="1"/>
      <c r="G47933" s="1"/>
    </row>
    <row r="47934">
      <c r="B47934" s="36"/>
      <c r="C47934" s="36"/>
      <c r="E47934" s="1"/>
      <c r="F47934" s="1"/>
      <c r="G47934" s="1"/>
    </row>
    <row r="47935">
      <c r="B47935" s="36"/>
      <c r="C47935" s="36"/>
      <c r="E47935" s="1"/>
      <c r="F47935" s="1"/>
      <c r="G47935" s="1"/>
    </row>
    <row r="47936">
      <c r="B47936" s="36"/>
      <c r="C47936" s="36"/>
      <c r="E47936" s="1"/>
      <c r="F47936" s="1"/>
      <c r="G47936" s="1"/>
    </row>
    <row r="47937">
      <c r="B47937" s="36"/>
      <c r="C47937" s="36"/>
      <c r="E47937" s="1"/>
      <c r="F47937" s="1"/>
      <c r="G47937" s="1"/>
    </row>
    <row r="47938">
      <c r="B47938" s="36"/>
      <c r="C47938" s="36"/>
      <c r="E47938" s="1"/>
      <c r="F47938" s="1"/>
      <c r="G47938" s="1"/>
    </row>
    <row r="47939">
      <c r="B47939" s="36"/>
      <c r="C47939" s="36"/>
      <c r="E47939" s="1"/>
      <c r="F47939" s="1"/>
      <c r="G47939" s="1"/>
    </row>
    <row r="47940">
      <c r="B47940" s="36"/>
      <c r="C47940" s="36"/>
      <c r="E47940" s="1"/>
      <c r="F47940" s="1"/>
      <c r="G47940" s="1"/>
    </row>
    <row r="47941">
      <c r="B47941" s="36"/>
      <c r="C47941" s="36"/>
      <c r="E47941" s="1"/>
      <c r="F47941" s="1"/>
      <c r="G47941" s="1"/>
    </row>
    <row r="47942">
      <c r="B47942" s="36"/>
      <c r="C47942" s="36"/>
      <c r="E47942" s="1"/>
      <c r="F47942" s="1"/>
      <c r="G47942" s="1"/>
    </row>
    <row r="47943">
      <c r="B47943" s="36"/>
      <c r="C47943" s="36"/>
      <c r="E47943" s="1"/>
      <c r="F47943" s="1"/>
      <c r="G47943" s="1"/>
    </row>
    <row r="47944">
      <c r="B47944" s="36"/>
      <c r="C47944" s="36"/>
      <c r="E47944" s="1"/>
      <c r="F47944" s="1"/>
      <c r="G47944" s="1"/>
    </row>
    <row r="47945">
      <c r="B47945" s="36"/>
      <c r="C47945" s="36"/>
      <c r="E47945" s="1"/>
      <c r="F47945" s="1"/>
      <c r="G47945" s="1"/>
    </row>
    <row r="47946">
      <c r="B47946" s="36"/>
      <c r="C47946" s="36"/>
      <c r="E47946" s="1"/>
      <c r="F47946" s="1"/>
      <c r="G47946" s="1"/>
    </row>
    <row r="47947">
      <c r="B47947" s="36"/>
      <c r="C47947" s="36"/>
      <c r="E47947" s="1"/>
      <c r="F47947" s="1"/>
      <c r="G47947" s="1"/>
    </row>
    <row r="47948">
      <c r="B47948" s="36"/>
      <c r="C47948" s="36"/>
      <c r="E47948" s="1"/>
      <c r="F47948" s="1"/>
      <c r="G47948" s="1"/>
    </row>
    <row r="47949">
      <c r="B47949" s="36"/>
      <c r="C47949" s="36"/>
      <c r="E47949" s="1"/>
      <c r="F47949" s="1"/>
      <c r="G47949" s="1"/>
    </row>
    <row r="47950">
      <c r="B47950" s="36"/>
      <c r="C47950" s="36"/>
      <c r="E47950" s="1"/>
      <c r="F47950" s="1"/>
      <c r="G47950" s="1"/>
    </row>
    <row r="47951">
      <c r="B47951" s="36"/>
      <c r="C47951" s="36"/>
      <c r="E47951" s="1"/>
      <c r="F47951" s="1"/>
      <c r="G47951" s="1"/>
    </row>
    <row r="47952">
      <c r="B47952" s="36"/>
      <c r="C47952" s="36"/>
      <c r="E47952" s="1"/>
      <c r="F47952" s="1"/>
      <c r="G47952" s="1"/>
    </row>
    <row r="47953">
      <c r="B47953" s="36"/>
      <c r="C47953" s="36"/>
      <c r="E47953" s="1"/>
      <c r="F47953" s="1"/>
      <c r="G47953" s="1"/>
    </row>
    <row r="47954">
      <c r="B47954" s="36"/>
      <c r="C47954" s="36"/>
      <c r="E47954" s="1"/>
      <c r="F47954" s="1"/>
      <c r="G47954" s="1"/>
    </row>
    <row r="47955">
      <c r="B47955" s="36"/>
      <c r="C47955" s="36"/>
      <c r="E47955" s="1"/>
      <c r="F47955" s="1"/>
      <c r="G47955" s="1"/>
    </row>
    <row r="47956">
      <c r="B47956" s="36"/>
      <c r="C47956" s="36"/>
      <c r="E47956" s="1"/>
      <c r="F47956" s="1"/>
      <c r="G47956" s="1"/>
    </row>
    <row r="47957">
      <c r="B47957" s="36"/>
      <c r="C47957" s="36"/>
      <c r="E47957" s="1"/>
      <c r="F47957" s="1"/>
      <c r="G47957" s="1"/>
    </row>
    <row r="47958">
      <c r="B47958" s="36"/>
      <c r="C47958" s="36"/>
      <c r="E47958" s="1"/>
      <c r="F47958" s="1"/>
      <c r="G47958" s="1"/>
    </row>
    <row r="47959">
      <c r="B47959" s="36"/>
      <c r="C47959" s="36"/>
      <c r="E47959" s="1"/>
      <c r="F47959" s="1"/>
      <c r="G47959" s="1"/>
    </row>
    <row r="47960">
      <c r="B47960" s="36"/>
      <c r="C47960" s="36"/>
      <c r="E47960" s="1"/>
      <c r="F47960" s="1"/>
      <c r="G47960" s="1"/>
    </row>
    <row r="47961">
      <c r="B47961" s="36"/>
      <c r="C47961" s="36"/>
      <c r="E47961" s="1"/>
      <c r="F47961" s="1"/>
      <c r="G47961" s="1"/>
    </row>
    <row r="47962">
      <c r="B47962" s="36"/>
      <c r="C47962" s="36"/>
      <c r="E47962" s="1"/>
      <c r="F47962" s="1"/>
      <c r="G47962" s="1"/>
    </row>
    <row r="47963">
      <c r="B47963" s="36"/>
      <c r="C47963" s="36"/>
      <c r="E47963" s="1"/>
      <c r="F47963" s="1"/>
      <c r="G47963" s="1"/>
    </row>
    <row r="47964">
      <c r="B47964" s="36"/>
      <c r="C47964" s="36"/>
      <c r="E47964" s="1"/>
      <c r="F47964" s="1"/>
      <c r="G47964" s="1"/>
    </row>
    <row r="47965">
      <c r="B47965" s="36"/>
      <c r="C47965" s="36"/>
      <c r="E47965" s="1"/>
      <c r="F47965" s="1"/>
      <c r="G47965" s="1"/>
    </row>
    <row r="47966">
      <c r="B47966" s="36"/>
      <c r="C47966" s="36"/>
      <c r="E47966" s="1"/>
      <c r="F47966" s="1"/>
      <c r="G47966" s="1"/>
    </row>
    <row r="47967">
      <c r="B47967" s="36"/>
      <c r="C47967" s="36"/>
      <c r="E47967" s="1"/>
      <c r="F47967" s="1"/>
      <c r="G47967" s="1"/>
    </row>
    <row r="47968">
      <c r="B47968" s="36"/>
      <c r="C47968" s="36"/>
      <c r="E47968" s="1"/>
      <c r="F47968" s="1"/>
      <c r="G47968" s="1"/>
    </row>
    <row r="47969">
      <c r="B47969" s="36"/>
      <c r="C47969" s="36"/>
      <c r="E47969" s="1"/>
      <c r="F47969" s="1"/>
      <c r="G47969" s="1"/>
    </row>
    <row r="47970">
      <c r="B47970" s="36"/>
      <c r="C47970" s="36"/>
      <c r="E47970" s="1"/>
      <c r="F47970" s="1"/>
      <c r="G47970" s="1"/>
    </row>
    <row r="47971">
      <c r="B47971" s="36"/>
      <c r="C47971" s="36"/>
      <c r="E47971" s="1"/>
      <c r="F47971" s="1"/>
      <c r="G47971" s="1"/>
    </row>
    <row r="47972">
      <c r="B47972" s="36"/>
      <c r="C47972" s="36"/>
      <c r="E47972" s="1"/>
      <c r="F47972" s="1"/>
      <c r="G47972" s="1"/>
    </row>
    <row r="47973">
      <c r="B47973" s="36"/>
      <c r="C47973" s="36"/>
      <c r="E47973" s="1"/>
      <c r="F47973" s="1"/>
      <c r="G47973" s="1"/>
    </row>
    <row r="47974">
      <c r="B47974" s="36"/>
      <c r="C47974" s="36"/>
      <c r="E47974" s="1"/>
      <c r="F47974" s="1"/>
      <c r="G47974" s="1"/>
    </row>
    <row r="47975">
      <c r="B47975" s="36"/>
      <c r="C47975" s="36"/>
      <c r="E47975" s="1"/>
      <c r="F47975" s="1"/>
      <c r="G47975" s="1"/>
    </row>
    <row r="47976">
      <c r="B47976" s="36"/>
      <c r="C47976" s="36"/>
      <c r="E47976" s="1"/>
      <c r="F47976" s="1"/>
      <c r="G47976" s="1"/>
    </row>
    <row r="47977">
      <c r="B47977" s="36"/>
      <c r="C47977" s="36"/>
      <c r="E47977" s="1"/>
      <c r="F47977" s="1"/>
      <c r="G47977" s="1"/>
    </row>
    <row r="47978">
      <c r="B47978" s="36"/>
      <c r="C47978" s="36"/>
      <c r="E47978" s="1"/>
      <c r="F47978" s="1"/>
      <c r="G47978" s="1"/>
    </row>
    <row r="47979">
      <c r="B47979" s="36"/>
      <c r="C47979" s="36"/>
      <c r="E47979" s="1"/>
      <c r="F47979" s="1"/>
      <c r="G47979" s="1"/>
    </row>
    <row r="47980">
      <c r="B47980" s="36"/>
      <c r="C47980" s="36"/>
      <c r="E47980" s="1"/>
      <c r="F47980" s="1"/>
      <c r="G47980" s="1"/>
    </row>
    <row r="47981">
      <c r="B47981" s="36"/>
      <c r="C47981" s="36"/>
      <c r="E47981" s="1"/>
      <c r="F47981" s="1"/>
      <c r="G47981" s="1"/>
    </row>
    <row r="47982">
      <c r="B47982" s="36"/>
      <c r="C47982" s="36"/>
      <c r="E47982" s="1"/>
      <c r="F47982" s="1"/>
      <c r="G47982" s="1"/>
    </row>
    <row r="47983">
      <c r="B47983" s="36"/>
      <c r="C47983" s="36"/>
      <c r="E47983" s="1"/>
      <c r="F47983" s="1"/>
      <c r="G47983" s="1"/>
    </row>
    <row r="47984">
      <c r="B47984" s="36"/>
      <c r="C47984" s="36"/>
      <c r="E47984" s="1"/>
      <c r="F47984" s="1"/>
      <c r="G47984" s="1"/>
    </row>
    <row r="47985">
      <c r="B47985" s="36"/>
      <c r="C47985" s="36"/>
      <c r="E47985" s="1"/>
      <c r="F47985" s="1"/>
      <c r="G47985" s="1"/>
    </row>
    <row r="47986">
      <c r="B47986" s="36"/>
      <c r="C47986" s="36"/>
      <c r="E47986" s="1"/>
      <c r="F47986" s="1"/>
      <c r="G47986" s="1"/>
    </row>
    <row r="47987">
      <c r="B47987" s="36"/>
      <c r="C47987" s="36"/>
      <c r="E47987" s="1"/>
      <c r="F47987" s="1"/>
      <c r="G47987" s="1"/>
    </row>
    <row r="47988">
      <c r="B47988" s="36"/>
      <c r="C47988" s="36"/>
      <c r="E47988" s="1"/>
      <c r="F47988" s="1"/>
      <c r="G47988" s="1"/>
    </row>
    <row r="47989">
      <c r="B47989" s="36"/>
      <c r="C47989" s="36"/>
      <c r="E47989" s="1"/>
      <c r="F47989" s="1"/>
      <c r="G47989" s="1"/>
    </row>
    <row r="47990">
      <c r="B47990" s="36"/>
      <c r="C47990" s="36"/>
      <c r="E47990" s="1"/>
      <c r="F47990" s="1"/>
      <c r="G47990" s="1"/>
    </row>
    <row r="47991">
      <c r="B47991" s="36"/>
      <c r="C47991" s="36"/>
      <c r="E47991" s="1"/>
      <c r="F47991" s="1"/>
      <c r="G47991" s="1"/>
    </row>
    <row r="47992">
      <c r="B47992" s="36"/>
      <c r="C47992" s="36"/>
      <c r="E47992" s="1"/>
      <c r="F47992" s="1"/>
      <c r="G47992" s="1"/>
    </row>
    <row r="47993">
      <c r="B47993" s="36"/>
      <c r="C47993" s="36"/>
      <c r="E47993" s="1"/>
      <c r="F47993" s="1"/>
      <c r="G47993" s="1"/>
    </row>
    <row r="47994">
      <c r="B47994" s="36"/>
      <c r="C47994" s="36"/>
      <c r="E47994" s="1"/>
      <c r="F47994" s="1"/>
      <c r="G47994" s="1"/>
    </row>
    <row r="47995">
      <c r="B47995" s="36"/>
      <c r="C47995" s="36"/>
      <c r="E47995" s="1"/>
      <c r="F47995" s="1"/>
      <c r="G47995" s="1"/>
    </row>
    <row r="47996">
      <c r="B47996" s="36"/>
      <c r="C47996" s="36"/>
      <c r="E47996" s="1"/>
      <c r="F47996" s="1"/>
      <c r="G47996" s="1"/>
    </row>
    <row r="47997">
      <c r="B47997" s="36"/>
      <c r="C47997" s="36"/>
      <c r="E47997" s="1"/>
      <c r="F47997" s="1"/>
      <c r="G47997" s="1"/>
    </row>
    <row r="47998">
      <c r="B47998" s="36"/>
      <c r="C47998" s="36"/>
      <c r="E47998" s="1"/>
      <c r="F47998" s="1"/>
      <c r="G47998" s="1"/>
    </row>
    <row r="47999">
      <c r="B47999" s="36"/>
      <c r="C47999" s="36"/>
      <c r="E47999" s="1"/>
      <c r="F47999" s="1"/>
      <c r="G47999" s="1"/>
    </row>
    <row r="48000">
      <c r="B48000" s="36"/>
      <c r="C48000" s="36"/>
      <c r="E48000" s="1"/>
      <c r="F48000" s="1"/>
      <c r="G48000" s="1"/>
    </row>
    <row r="48001">
      <c r="B48001" s="36"/>
      <c r="C48001" s="36"/>
      <c r="E48001" s="1"/>
      <c r="F48001" s="1"/>
      <c r="G48001" s="1"/>
    </row>
    <row r="48002">
      <c r="B48002" s="36"/>
      <c r="C48002" s="36"/>
      <c r="E48002" s="1"/>
      <c r="F48002" s="1"/>
      <c r="G48002" s="1"/>
    </row>
    <row r="48003">
      <c r="B48003" s="36"/>
      <c r="C48003" s="36"/>
      <c r="E48003" s="1"/>
      <c r="F48003" s="1"/>
      <c r="G48003" s="1"/>
    </row>
    <row r="48004">
      <c r="B48004" s="36"/>
      <c r="C48004" s="36"/>
      <c r="E48004" s="1"/>
      <c r="F48004" s="1"/>
      <c r="G48004" s="1"/>
    </row>
    <row r="48005">
      <c r="B48005" s="36"/>
      <c r="C48005" s="36"/>
      <c r="E48005" s="1"/>
      <c r="F48005" s="1"/>
      <c r="G48005" s="1"/>
    </row>
    <row r="48006">
      <c r="B48006" s="36"/>
      <c r="C48006" s="36"/>
      <c r="E48006" s="1"/>
      <c r="F48006" s="1"/>
      <c r="G48006" s="1"/>
    </row>
    <row r="48007">
      <c r="B48007" s="36"/>
      <c r="C48007" s="36"/>
      <c r="E48007" s="1"/>
      <c r="F48007" s="1"/>
      <c r="G48007" s="1"/>
    </row>
    <row r="48008">
      <c r="B48008" s="36"/>
      <c r="C48008" s="36"/>
      <c r="E48008" s="1"/>
      <c r="F48008" s="1"/>
      <c r="G48008" s="1"/>
    </row>
    <row r="48009">
      <c r="B48009" s="36"/>
      <c r="C48009" s="36"/>
      <c r="E48009" s="1"/>
      <c r="F48009" s="1"/>
      <c r="G48009" s="1"/>
    </row>
    <row r="48010">
      <c r="B48010" s="36"/>
      <c r="C48010" s="36"/>
      <c r="E48010" s="1"/>
      <c r="F48010" s="1"/>
      <c r="G48010" s="1"/>
    </row>
    <row r="48011">
      <c r="B48011" s="36"/>
      <c r="C48011" s="36"/>
      <c r="E48011" s="1"/>
      <c r="F48011" s="1"/>
      <c r="G48011" s="1"/>
    </row>
    <row r="48012">
      <c r="B48012" s="36"/>
      <c r="C48012" s="36"/>
      <c r="E48012" s="1"/>
      <c r="F48012" s="1"/>
      <c r="G48012" s="1"/>
    </row>
    <row r="48013">
      <c r="B48013" s="36"/>
      <c r="C48013" s="36"/>
      <c r="E48013" s="1"/>
      <c r="F48013" s="1"/>
      <c r="G48013" s="1"/>
    </row>
    <row r="48014">
      <c r="B48014" s="36"/>
      <c r="C48014" s="36"/>
      <c r="E48014" s="1"/>
      <c r="F48014" s="1"/>
      <c r="G48014" s="1"/>
    </row>
    <row r="48015">
      <c r="B48015" s="36"/>
      <c r="C48015" s="36"/>
      <c r="E48015" s="1"/>
      <c r="F48015" s="1"/>
      <c r="G48015" s="1"/>
    </row>
    <row r="48016">
      <c r="B48016" s="36"/>
      <c r="C48016" s="36"/>
      <c r="E48016" s="1"/>
      <c r="F48016" s="1"/>
      <c r="G48016" s="1"/>
    </row>
    <row r="48017">
      <c r="B48017" s="36"/>
      <c r="C48017" s="36"/>
      <c r="E48017" s="1"/>
      <c r="F48017" s="1"/>
      <c r="G48017" s="1"/>
    </row>
    <row r="48018">
      <c r="B48018" s="36"/>
      <c r="C48018" s="36"/>
      <c r="E48018" s="1"/>
      <c r="F48018" s="1"/>
      <c r="G48018" s="1"/>
    </row>
    <row r="48019">
      <c r="B48019" s="36"/>
      <c r="C48019" s="36"/>
      <c r="E48019" s="1"/>
      <c r="F48019" s="1"/>
      <c r="G48019" s="1"/>
    </row>
    <row r="48020">
      <c r="B48020" s="36"/>
      <c r="C48020" s="36"/>
      <c r="E48020" s="1"/>
      <c r="F48020" s="1"/>
      <c r="G48020" s="1"/>
    </row>
    <row r="48021">
      <c r="B48021" s="36"/>
      <c r="C48021" s="36"/>
      <c r="E48021" s="1"/>
      <c r="F48021" s="1"/>
      <c r="G48021" s="1"/>
    </row>
    <row r="48022">
      <c r="B48022" s="36"/>
      <c r="C48022" s="36"/>
      <c r="E48022" s="1"/>
      <c r="F48022" s="1"/>
      <c r="G48022" s="1"/>
    </row>
    <row r="48023">
      <c r="B48023" s="36"/>
      <c r="C48023" s="36"/>
      <c r="E48023" s="1"/>
      <c r="F48023" s="1"/>
      <c r="G48023" s="1"/>
    </row>
    <row r="48024">
      <c r="B48024" s="36"/>
      <c r="C48024" s="36"/>
      <c r="E48024" s="1"/>
      <c r="F48024" s="1"/>
      <c r="G48024" s="1"/>
    </row>
    <row r="48025">
      <c r="B48025" s="36"/>
      <c r="C48025" s="36"/>
      <c r="E48025" s="1"/>
      <c r="F48025" s="1"/>
      <c r="G48025" s="1"/>
    </row>
    <row r="48026">
      <c r="B48026" s="36"/>
      <c r="C48026" s="36"/>
      <c r="E48026" s="1"/>
      <c r="F48026" s="1"/>
      <c r="G48026" s="1"/>
    </row>
    <row r="48027">
      <c r="B48027" s="36"/>
      <c r="C48027" s="36"/>
      <c r="E48027" s="1"/>
      <c r="F48027" s="1"/>
      <c r="G48027" s="1"/>
    </row>
    <row r="48028">
      <c r="B48028" s="36"/>
      <c r="C48028" s="36"/>
      <c r="E48028" s="1"/>
      <c r="F48028" s="1"/>
      <c r="G48028" s="1"/>
    </row>
    <row r="48029">
      <c r="B48029" s="36"/>
      <c r="C48029" s="36"/>
      <c r="E48029" s="1"/>
      <c r="F48029" s="1"/>
      <c r="G48029" s="1"/>
    </row>
    <row r="48030">
      <c r="B48030" s="36"/>
      <c r="C48030" s="36"/>
      <c r="E48030" s="1"/>
      <c r="F48030" s="1"/>
      <c r="G48030" s="1"/>
    </row>
    <row r="48031">
      <c r="B48031" s="36"/>
      <c r="C48031" s="36"/>
      <c r="E48031" s="1"/>
      <c r="F48031" s="1"/>
      <c r="G48031" s="1"/>
    </row>
    <row r="48032">
      <c r="B48032" s="36"/>
      <c r="C48032" s="36"/>
      <c r="E48032" s="1"/>
      <c r="F48032" s="1"/>
      <c r="G48032" s="1"/>
    </row>
    <row r="48033">
      <c r="B48033" s="36"/>
      <c r="C48033" s="36"/>
      <c r="E48033" s="1"/>
      <c r="F48033" s="1"/>
      <c r="G48033" s="1"/>
    </row>
    <row r="48034">
      <c r="B48034" s="36"/>
      <c r="C48034" s="36"/>
      <c r="E48034" s="1"/>
      <c r="F48034" s="1"/>
      <c r="G48034" s="1"/>
    </row>
    <row r="48035">
      <c r="B48035" s="36"/>
      <c r="C48035" s="36"/>
      <c r="E48035" s="1"/>
      <c r="F48035" s="1"/>
      <c r="G48035" s="1"/>
    </row>
    <row r="48036">
      <c r="B48036" s="36"/>
      <c r="C48036" s="36"/>
      <c r="E48036" s="1"/>
      <c r="F48036" s="1"/>
      <c r="G48036" s="1"/>
    </row>
    <row r="48037">
      <c r="B48037" s="36"/>
      <c r="C48037" s="36"/>
      <c r="E48037" s="1"/>
      <c r="F48037" s="1"/>
      <c r="G48037" s="1"/>
    </row>
    <row r="48038">
      <c r="B48038" s="36"/>
      <c r="C48038" s="36"/>
      <c r="E48038" s="1"/>
      <c r="F48038" s="1"/>
      <c r="G48038" s="1"/>
    </row>
    <row r="48039">
      <c r="B48039" s="36"/>
      <c r="C48039" s="36"/>
      <c r="E48039" s="1"/>
      <c r="F48039" s="1"/>
      <c r="G48039" s="1"/>
    </row>
    <row r="48040">
      <c r="B48040" s="36"/>
      <c r="C48040" s="36"/>
      <c r="E48040" s="1"/>
      <c r="F48040" s="1"/>
      <c r="G48040" s="1"/>
    </row>
    <row r="48041">
      <c r="B48041" s="36"/>
      <c r="C48041" s="36"/>
      <c r="E48041" s="1"/>
      <c r="F48041" s="1"/>
      <c r="G48041" s="1"/>
    </row>
    <row r="48042">
      <c r="B48042" s="36"/>
      <c r="C48042" s="36"/>
      <c r="E48042" s="1"/>
      <c r="F48042" s="1"/>
      <c r="G48042" s="1"/>
    </row>
    <row r="48043">
      <c r="B48043" s="36"/>
      <c r="C48043" s="36"/>
      <c r="E48043" s="1"/>
      <c r="F48043" s="1"/>
      <c r="G48043" s="1"/>
    </row>
    <row r="48044">
      <c r="B48044" s="36"/>
      <c r="C48044" s="36"/>
      <c r="E48044" s="1"/>
      <c r="F48044" s="1"/>
      <c r="G48044" s="1"/>
    </row>
    <row r="48045">
      <c r="B48045" s="36"/>
      <c r="C48045" s="36"/>
      <c r="E48045" s="1"/>
      <c r="F48045" s="1"/>
      <c r="G48045" s="1"/>
    </row>
    <row r="48046">
      <c r="B48046" s="36"/>
      <c r="C48046" s="36"/>
      <c r="E48046" s="1"/>
      <c r="F48046" s="1"/>
      <c r="G48046" s="1"/>
    </row>
    <row r="48047">
      <c r="B48047" s="36"/>
      <c r="C48047" s="36"/>
      <c r="E48047" s="1"/>
      <c r="F48047" s="1"/>
      <c r="G48047" s="1"/>
    </row>
    <row r="48048">
      <c r="B48048" s="36"/>
      <c r="C48048" s="36"/>
      <c r="E48048" s="1"/>
      <c r="F48048" s="1"/>
      <c r="G48048" s="1"/>
    </row>
    <row r="48049">
      <c r="B48049" s="36"/>
      <c r="C48049" s="36"/>
      <c r="E48049" s="1"/>
      <c r="F48049" s="1"/>
      <c r="G48049" s="1"/>
    </row>
    <row r="48050">
      <c r="B48050" s="36"/>
      <c r="C48050" s="36"/>
      <c r="E48050" s="1"/>
      <c r="F48050" s="1"/>
      <c r="G48050" s="1"/>
    </row>
    <row r="48051">
      <c r="B48051" s="36"/>
      <c r="C48051" s="36"/>
      <c r="E48051" s="1"/>
      <c r="F48051" s="1"/>
      <c r="G48051" s="1"/>
    </row>
    <row r="48052">
      <c r="B48052" s="36"/>
      <c r="C48052" s="36"/>
      <c r="E48052" s="1"/>
      <c r="F48052" s="1"/>
      <c r="G48052" s="1"/>
    </row>
    <row r="48053">
      <c r="B48053" s="36"/>
      <c r="C48053" s="36"/>
      <c r="E48053" s="1"/>
      <c r="F48053" s="1"/>
      <c r="G48053" s="1"/>
    </row>
    <row r="48054">
      <c r="B48054" s="36"/>
      <c r="C48054" s="36"/>
      <c r="E48054" s="1"/>
      <c r="F48054" s="1"/>
      <c r="G48054" s="1"/>
    </row>
    <row r="48055">
      <c r="B48055" s="36"/>
      <c r="C48055" s="36"/>
      <c r="E48055" s="1"/>
      <c r="F48055" s="1"/>
      <c r="G48055" s="1"/>
    </row>
    <row r="48056">
      <c r="B48056" s="36"/>
      <c r="C48056" s="36"/>
      <c r="E48056" s="1"/>
      <c r="F48056" s="1"/>
      <c r="G48056" s="1"/>
    </row>
    <row r="48057">
      <c r="B48057" s="36"/>
      <c r="C48057" s="36"/>
      <c r="E48057" s="1"/>
      <c r="F48057" s="1"/>
      <c r="G48057" s="1"/>
    </row>
    <row r="48058">
      <c r="B48058" s="36"/>
      <c r="C48058" s="36"/>
      <c r="E48058" s="1"/>
      <c r="F48058" s="1"/>
      <c r="G48058" s="1"/>
    </row>
    <row r="48059">
      <c r="B48059" s="36"/>
      <c r="C48059" s="36"/>
      <c r="E48059" s="1"/>
      <c r="F48059" s="1"/>
      <c r="G48059" s="1"/>
    </row>
    <row r="48060">
      <c r="B48060" s="36"/>
      <c r="C48060" s="36"/>
      <c r="E48060" s="1"/>
      <c r="F48060" s="1"/>
      <c r="G48060" s="1"/>
    </row>
    <row r="48061">
      <c r="B48061" s="36"/>
      <c r="C48061" s="36"/>
      <c r="E48061" s="1"/>
      <c r="F48061" s="1"/>
      <c r="G48061" s="1"/>
    </row>
    <row r="48062">
      <c r="B48062" s="36"/>
      <c r="C48062" s="36"/>
      <c r="E48062" s="1"/>
      <c r="F48062" s="1"/>
      <c r="G48062" s="1"/>
    </row>
    <row r="48063">
      <c r="B48063" s="36"/>
      <c r="C48063" s="36"/>
      <c r="E48063" s="1"/>
      <c r="F48063" s="1"/>
      <c r="G48063" s="1"/>
    </row>
    <row r="48064">
      <c r="B48064" s="36"/>
      <c r="C48064" s="36"/>
      <c r="E48064" s="1"/>
      <c r="F48064" s="1"/>
      <c r="G48064" s="1"/>
    </row>
    <row r="48065">
      <c r="B48065" s="36"/>
      <c r="C48065" s="36"/>
      <c r="E48065" s="1"/>
      <c r="F48065" s="1"/>
      <c r="G48065" s="1"/>
    </row>
    <row r="48066">
      <c r="B48066" s="36"/>
      <c r="C48066" s="36"/>
      <c r="E48066" s="1"/>
      <c r="F48066" s="1"/>
      <c r="G48066" s="1"/>
    </row>
    <row r="48067">
      <c r="B48067" s="36"/>
      <c r="C48067" s="36"/>
      <c r="E48067" s="1"/>
      <c r="F48067" s="1"/>
      <c r="G48067" s="1"/>
    </row>
    <row r="48068">
      <c r="B48068" s="36"/>
      <c r="C48068" s="36"/>
      <c r="E48068" s="1"/>
      <c r="F48068" s="1"/>
      <c r="G48068" s="1"/>
    </row>
    <row r="48069">
      <c r="B48069" s="36"/>
      <c r="C48069" s="36"/>
      <c r="E48069" s="1"/>
      <c r="F48069" s="1"/>
      <c r="G48069" s="1"/>
    </row>
    <row r="48070">
      <c r="B48070" s="36"/>
      <c r="C48070" s="36"/>
      <c r="E48070" s="1"/>
      <c r="F48070" s="1"/>
      <c r="G48070" s="1"/>
    </row>
    <row r="48071">
      <c r="B48071" s="36"/>
      <c r="C48071" s="36"/>
      <c r="E48071" s="1"/>
      <c r="F48071" s="1"/>
      <c r="G48071" s="1"/>
    </row>
    <row r="48072">
      <c r="B48072" s="36"/>
      <c r="C48072" s="36"/>
      <c r="E48072" s="1"/>
      <c r="F48072" s="1"/>
      <c r="G48072" s="1"/>
    </row>
    <row r="48073">
      <c r="B48073" s="36"/>
      <c r="C48073" s="36"/>
      <c r="E48073" s="1"/>
      <c r="F48073" s="1"/>
      <c r="G48073" s="1"/>
    </row>
    <row r="48074">
      <c r="B48074" s="36"/>
      <c r="C48074" s="36"/>
      <c r="E48074" s="1"/>
      <c r="F48074" s="1"/>
      <c r="G48074" s="1"/>
    </row>
    <row r="48075">
      <c r="B48075" s="36"/>
      <c r="C48075" s="36"/>
      <c r="E48075" s="1"/>
      <c r="F48075" s="1"/>
      <c r="G48075" s="1"/>
    </row>
    <row r="48076">
      <c r="B48076" s="36"/>
      <c r="C48076" s="36"/>
      <c r="E48076" s="1"/>
      <c r="F48076" s="1"/>
      <c r="G48076" s="1"/>
    </row>
    <row r="48077">
      <c r="B48077" s="36"/>
      <c r="C48077" s="36"/>
      <c r="E48077" s="1"/>
      <c r="F48077" s="1"/>
      <c r="G48077" s="1"/>
    </row>
    <row r="48078">
      <c r="B48078" s="36"/>
      <c r="C48078" s="36"/>
      <c r="E48078" s="1"/>
      <c r="F48078" s="1"/>
      <c r="G48078" s="1"/>
    </row>
    <row r="48079">
      <c r="B48079" s="36"/>
      <c r="C48079" s="36"/>
      <c r="E48079" s="1"/>
      <c r="F48079" s="1"/>
      <c r="G48079" s="1"/>
    </row>
    <row r="48080">
      <c r="B48080" s="36"/>
      <c r="C48080" s="36"/>
      <c r="E48080" s="1"/>
      <c r="F48080" s="1"/>
      <c r="G48080" s="1"/>
    </row>
    <row r="48081">
      <c r="B48081" s="36"/>
      <c r="C48081" s="36"/>
      <c r="E48081" s="1"/>
      <c r="F48081" s="1"/>
      <c r="G48081" s="1"/>
    </row>
    <row r="48082">
      <c r="B48082" s="36"/>
      <c r="C48082" s="36"/>
      <c r="E48082" s="1"/>
      <c r="F48082" s="1"/>
      <c r="G48082" s="1"/>
    </row>
    <row r="48083">
      <c r="B48083" s="36"/>
      <c r="C48083" s="36"/>
      <c r="E48083" s="1"/>
      <c r="F48083" s="1"/>
      <c r="G48083" s="1"/>
    </row>
    <row r="48084">
      <c r="B48084" s="36"/>
      <c r="C48084" s="36"/>
      <c r="E48084" s="1"/>
      <c r="F48084" s="1"/>
      <c r="G48084" s="1"/>
    </row>
    <row r="48085">
      <c r="B48085" s="36"/>
      <c r="C48085" s="36"/>
      <c r="E48085" s="1"/>
      <c r="F48085" s="1"/>
      <c r="G48085" s="1"/>
    </row>
    <row r="48086">
      <c r="B48086" s="36"/>
      <c r="C48086" s="36"/>
      <c r="E48086" s="1"/>
      <c r="F48086" s="1"/>
      <c r="G48086" s="1"/>
    </row>
    <row r="48087">
      <c r="B48087" s="36"/>
      <c r="C48087" s="36"/>
      <c r="E48087" s="1"/>
      <c r="F48087" s="1"/>
      <c r="G48087" s="1"/>
    </row>
    <row r="48088">
      <c r="B48088" s="36"/>
      <c r="C48088" s="36"/>
      <c r="E48088" s="1"/>
      <c r="F48088" s="1"/>
      <c r="G48088" s="1"/>
    </row>
    <row r="48089">
      <c r="B48089" s="36"/>
      <c r="C48089" s="36"/>
      <c r="E48089" s="1"/>
      <c r="F48089" s="1"/>
      <c r="G48089" s="1"/>
    </row>
    <row r="48090">
      <c r="B48090" s="36"/>
      <c r="C48090" s="36"/>
      <c r="E48090" s="1"/>
      <c r="F48090" s="1"/>
      <c r="G48090" s="1"/>
    </row>
    <row r="48091">
      <c r="B48091" s="36"/>
      <c r="C48091" s="36"/>
      <c r="E48091" s="1"/>
      <c r="F48091" s="1"/>
      <c r="G48091" s="1"/>
    </row>
    <row r="48092">
      <c r="B48092" s="36"/>
      <c r="C48092" s="36"/>
      <c r="E48092" s="1"/>
      <c r="F48092" s="1"/>
      <c r="G48092" s="1"/>
    </row>
    <row r="48093">
      <c r="B48093" s="36"/>
      <c r="C48093" s="36"/>
      <c r="E48093" s="1"/>
      <c r="F48093" s="1"/>
      <c r="G48093" s="1"/>
    </row>
    <row r="48094">
      <c r="B48094" s="36"/>
      <c r="C48094" s="36"/>
      <c r="E48094" s="1"/>
      <c r="F48094" s="1"/>
      <c r="G48094" s="1"/>
    </row>
    <row r="48095">
      <c r="B48095" s="36"/>
      <c r="C48095" s="36"/>
      <c r="E48095" s="1"/>
      <c r="F48095" s="1"/>
      <c r="G48095" s="1"/>
    </row>
    <row r="48096">
      <c r="B48096" s="36"/>
      <c r="C48096" s="36"/>
      <c r="E48096" s="1"/>
      <c r="F48096" s="1"/>
      <c r="G48096" s="1"/>
    </row>
    <row r="48097">
      <c r="B48097" s="36"/>
      <c r="C48097" s="36"/>
      <c r="E48097" s="1"/>
      <c r="F48097" s="1"/>
      <c r="G48097" s="1"/>
    </row>
    <row r="48098">
      <c r="B48098" s="36"/>
      <c r="C48098" s="36"/>
      <c r="E48098" s="1"/>
      <c r="F48098" s="1"/>
      <c r="G48098" s="1"/>
    </row>
    <row r="48099">
      <c r="B48099" s="36"/>
      <c r="C48099" s="36"/>
      <c r="E48099" s="1"/>
      <c r="F48099" s="1"/>
      <c r="G48099" s="1"/>
    </row>
    <row r="48100">
      <c r="B48100" s="36"/>
      <c r="C48100" s="36"/>
      <c r="E48100" s="1"/>
      <c r="F48100" s="1"/>
      <c r="G48100" s="1"/>
    </row>
    <row r="48101">
      <c r="B48101" s="36"/>
      <c r="C48101" s="36"/>
      <c r="E48101" s="1"/>
      <c r="F48101" s="1"/>
      <c r="G48101" s="1"/>
    </row>
    <row r="48102">
      <c r="B48102" s="36"/>
      <c r="C48102" s="36"/>
      <c r="E48102" s="1"/>
      <c r="F48102" s="1"/>
      <c r="G48102" s="1"/>
    </row>
    <row r="48103">
      <c r="B48103" s="36"/>
      <c r="C48103" s="36"/>
      <c r="E48103" s="1"/>
      <c r="F48103" s="1"/>
      <c r="G48103" s="1"/>
    </row>
    <row r="48104">
      <c r="B48104" s="36"/>
      <c r="C48104" s="36"/>
      <c r="E48104" s="1"/>
      <c r="F48104" s="1"/>
      <c r="G48104" s="1"/>
    </row>
    <row r="48105">
      <c r="B48105" s="36"/>
      <c r="C48105" s="36"/>
      <c r="E48105" s="1"/>
      <c r="F48105" s="1"/>
      <c r="G48105" s="1"/>
    </row>
    <row r="48106">
      <c r="B48106" s="36"/>
      <c r="C48106" s="36"/>
      <c r="E48106" s="1"/>
      <c r="F48106" s="1"/>
      <c r="G48106" s="1"/>
    </row>
    <row r="48107">
      <c r="B48107" s="36"/>
      <c r="C48107" s="36"/>
      <c r="E48107" s="1"/>
      <c r="F48107" s="1"/>
      <c r="G48107" s="1"/>
    </row>
    <row r="48108">
      <c r="B48108" s="36"/>
      <c r="C48108" s="36"/>
      <c r="E48108" s="1"/>
      <c r="F48108" s="1"/>
      <c r="G48108" s="1"/>
    </row>
    <row r="48109">
      <c r="B48109" s="36"/>
      <c r="C48109" s="36"/>
      <c r="E48109" s="1"/>
      <c r="F48109" s="1"/>
      <c r="G48109" s="1"/>
    </row>
    <row r="48110">
      <c r="B48110" s="36"/>
      <c r="C48110" s="36"/>
      <c r="E48110" s="1"/>
      <c r="F48110" s="1"/>
      <c r="G48110" s="1"/>
    </row>
    <row r="48111">
      <c r="B48111" s="36"/>
      <c r="C48111" s="36"/>
      <c r="E48111" s="1"/>
      <c r="F48111" s="1"/>
      <c r="G48111" s="1"/>
    </row>
    <row r="48112">
      <c r="B48112" s="36"/>
      <c r="C48112" s="36"/>
      <c r="E48112" s="1"/>
      <c r="F48112" s="1"/>
      <c r="G48112" s="1"/>
    </row>
    <row r="48113">
      <c r="B48113" s="36"/>
      <c r="C48113" s="36"/>
      <c r="E48113" s="1"/>
      <c r="F48113" s="1"/>
      <c r="G48113" s="1"/>
    </row>
    <row r="48114">
      <c r="B48114" s="36"/>
      <c r="C48114" s="36"/>
      <c r="E48114" s="1"/>
      <c r="F48114" s="1"/>
      <c r="G48114" s="1"/>
    </row>
    <row r="48115">
      <c r="B48115" s="36"/>
      <c r="C48115" s="36"/>
      <c r="E48115" s="1"/>
      <c r="F48115" s="1"/>
      <c r="G48115" s="1"/>
    </row>
    <row r="48116">
      <c r="B48116" s="36"/>
      <c r="C48116" s="36"/>
      <c r="E48116" s="1"/>
      <c r="F48116" s="1"/>
      <c r="G48116" s="1"/>
    </row>
    <row r="48117">
      <c r="B48117" s="36"/>
      <c r="C48117" s="36"/>
      <c r="E48117" s="1"/>
      <c r="F48117" s="1"/>
      <c r="G48117" s="1"/>
    </row>
    <row r="48118">
      <c r="B48118" s="36"/>
      <c r="C48118" s="36"/>
      <c r="E48118" s="1"/>
      <c r="F48118" s="1"/>
      <c r="G48118" s="1"/>
    </row>
    <row r="48119">
      <c r="B48119" s="36"/>
      <c r="C48119" s="36"/>
      <c r="E48119" s="1"/>
      <c r="F48119" s="1"/>
      <c r="G48119" s="1"/>
    </row>
    <row r="48120">
      <c r="B48120" s="36"/>
      <c r="C48120" s="36"/>
      <c r="E48120" s="1"/>
      <c r="F48120" s="1"/>
      <c r="G48120" s="1"/>
    </row>
    <row r="48121">
      <c r="B48121" s="36"/>
      <c r="C48121" s="36"/>
      <c r="E48121" s="1"/>
      <c r="F48121" s="1"/>
      <c r="G48121" s="1"/>
    </row>
    <row r="48122">
      <c r="B48122" s="36"/>
      <c r="C48122" s="36"/>
      <c r="E48122" s="1"/>
      <c r="F48122" s="1"/>
      <c r="G48122" s="1"/>
    </row>
    <row r="48123">
      <c r="B48123" s="36"/>
      <c r="C48123" s="36"/>
      <c r="E48123" s="1"/>
      <c r="F48123" s="1"/>
      <c r="G48123" s="1"/>
    </row>
    <row r="48124">
      <c r="B48124" s="36"/>
      <c r="C48124" s="36"/>
      <c r="E48124" s="1"/>
      <c r="F48124" s="1"/>
      <c r="G48124" s="1"/>
    </row>
    <row r="48125">
      <c r="B48125" s="36"/>
      <c r="C48125" s="36"/>
      <c r="E48125" s="1"/>
      <c r="F48125" s="1"/>
      <c r="G48125" s="1"/>
    </row>
    <row r="48126">
      <c r="B48126" s="36"/>
      <c r="C48126" s="36"/>
      <c r="E48126" s="1"/>
      <c r="F48126" s="1"/>
      <c r="G48126" s="1"/>
    </row>
    <row r="48127">
      <c r="B48127" s="36"/>
      <c r="C48127" s="36"/>
      <c r="E48127" s="1"/>
      <c r="F48127" s="1"/>
      <c r="G48127" s="1"/>
    </row>
    <row r="48128">
      <c r="B48128" s="36"/>
      <c r="C48128" s="36"/>
      <c r="E48128" s="1"/>
      <c r="F48128" s="1"/>
      <c r="G48128" s="1"/>
    </row>
    <row r="48129">
      <c r="B48129" s="36"/>
      <c r="C48129" s="36"/>
      <c r="E48129" s="1"/>
      <c r="F48129" s="1"/>
      <c r="G48129" s="1"/>
    </row>
    <row r="48130">
      <c r="B48130" s="36"/>
      <c r="C48130" s="36"/>
      <c r="E48130" s="1"/>
      <c r="F48130" s="1"/>
      <c r="G48130" s="1"/>
    </row>
    <row r="48131">
      <c r="B48131" s="36"/>
      <c r="C48131" s="36"/>
      <c r="E48131" s="1"/>
      <c r="F48131" s="1"/>
      <c r="G48131" s="1"/>
    </row>
    <row r="48132">
      <c r="B48132" s="36"/>
      <c r="C48132" s="36"/>
      <c r="E48132" s="1"/>
      <c r="F48132" s="1"/>
      <c r="G48132" s="1"/>
    </row>
    <row r="48133">
      <c r="B48133" s="36"/>
      <c r="C48133" s="36"/>
      <c r="E48133" s="1"/>
      <c r="F48133" s="1"/>
      <c r="G48133" s="1"/>
    </row>
    <row r="48134">
      <c r="B48134" s="36"/>
      <c r="C48134" s="36"/>
      <c r="E48134" s="1"/>
      <c r="F48134" s="1"/>
      <c r="G48134" s="1"/>
    </row>
    <row r="48135">
      <c r="B48135" s="36"/>
      <c r="C48135" s="36"/>
      <c r="E48135" s="1"/>
      <c r="F48135" s="1"/>
      <c r="G48135" s="1"/>
    </row>
    <row r="48136">
      <c r="B48136" s="36"/>
      <c r="C48136" s="36"/>
      <c r="E48136" s="1"/>
      <c r="F48136" s="1"/>
      <c r="G48136" s="1"/>
    </row>
    <row r="48137">
      <c r="B48137" s="36"/>
      <c r="C48137" s="36"/>
      <c r="E48137" s="1"/>
      <c r="F48137" s="1"/>
      <c r="G48137" s="1"/>
    </row>
    <row r="48138">
      <c r="B48138" s="36"/>
      <c r="C48138" s="36"/>
      <c r="E48138" s="1"/>
      <c r="F48138" s="1"/>
      <c r="G48138" s="1"/>
    </row>
    <row r="48139">
      <c r="B48139" s="36"/>
      <c r="C48139" s="36"/>
      <c r="E48139" s="1"/>
      <c r="F48139" s="1"/>
      <c r="G48139" s="1"/>
    </row>
    <row r="48140">
      <c r="B48140" s="36"/>
      <c r="C48140" s="36"/>
      <c r="E48140" s="1"/>
      <c r="F48140" s="1"/>
      <c r="G48140" s="1"/>
    </row>
    <row r="48141">
      <c r="B48141" s="36"/>
      <c r="C48141" s="36"/>
      <c r="E48141" s="1"/>
      <c r="F48141" s="1"/>
      <c r="G48141" s="1"/>
    </row>
    <row r="48142">
      <c r="B48142" s="36"/>
      <c r="C48142" s="36"/>
      <c r="E48142" s="1"/>
      <c r="F48142" s="1"/>
      <c r="G48142" s="1"/>
    </row>
    <row r="48143">
      <c r="B48143" s="36"/>
      <c r="C48143" s="36"/>
      <c r="E48143" s="1"/>
      <c r="F48143" s="1"/>
      <c r="G48143" s="1"/>
    </row>
    <row r="48144">
      <c r="B48144" s="36"/>
      <c r="C48144" s="36"/>
      <c r="E48144" s="1"/>
      <c r="F48144" s="1"/>
      <c r="G48144" s="1"/>
    </row>
    <row r="48145">
      <c r="B48145" s="36"/>
      <c r="C48145" s="36"/>
      <c r="E48145" s="1"/>
      <c r="F48145" s="1"/>
      <c r="G48145" s="1"/>
    </row>
    <row r="48146">
      <c r="B48146" s="36"/>
      <c r="C48146" s="36"/>
      <c r="E48146" s="1"/>
      <c r="F48146" s="1"/>
      <c r="G48146" s="1"/>
    </row>
    <row r="48147">
      <c r="B48147" s="36"/>
      <c r="C48147" s="36"/>
      <c r="E48147" s="1"/>
      <c r="F48147" s="1"/>
      <c r="G48147" s="1"/>
    </row>
    <row r="48148">
      <c r="B48148" s="36"/>
      <c r="C48148" s="36"/>
      <c r="E48148" s="1"/>
      <c r="F48148" s="1"/>
      <c r="G48148" s="1"/>
    </row>
    <row r="48149">
      <c r="B48149" s="36"/>
      <c r="C48149" s="36"/>
      <c r="E48149" s="1"/>
      <c r="F48149" s="1"/>
      <c r="G48149" s="1"/>
    </row>
    <row r="48150">
      <c r="B48150" s="36"/>
      <c r="C48150" s="36"/>
      <c r="E48150" s="1"/>
      <c r="F48150" s="1"/>
      <c r="G48150" s="1"/>
    </row>
    <row r="48151">
      <c r="B48151" s="36"/>
      <c r="C48151" s="36"/>
      <c r="E48151" s="1"/>
      <c r="F48151" s="1"/>
      <c r="G48151" s="1"/>
    </row>
    <row r="48152">
      <c r="B48152" s="36"/>
      <c r="C48152" s="36"/>
      <c r="E48152" s="1"/>
      <c r="F48152" s="1"/>
      <c r="G48152" s="1"/>
    </row>
    <row r="48153">
      <c r="B48153" s="36"/>
      <c r="C48153" s="36"/>
      <c r="E48153" s="1"/>
      <c r="F48153" s="1"/>
      <c r="G48153" s="1"/>
    </row>
    <row r="48154">
      <c r="B48154" s="36"/>
      <c r="C48154" s="36"/>
      <c r="E48154" s="1"/>
      <c r="F48154" s="1"/>
      <c r="G48154" s="1"/>
    </row>
    <row r="48155">
      <c r="B48155" s="36"/>
      <c r="C48155" s="36"/>
      <c r="E48155" s="1"/>
      <c r="F48155" s="1"/>
      <c r="G48155" s="1"/>
    </row>
    <row r="48156">
      <c r="B48156" s="36"/>
      <c r="C48156" s="36"/>
      <c r="E48156" s="1"/>
      <c r="F48156" s="1"/>
      <c r="G48156" s="1"/>
    </row>
    <row r="48157">
      <c r="B48157" s="36"/>
      <c r="C48157" s="36"/>
      <c r="E48157" s="1"/>
      <c r="F48157" s="1"/>
      <c r="G48157" s="1"/>
    </row>
    <row r="48158">
      <c r="B48158" s="36"/>
      <c r="C48158" s="36"/>
      <c r="E48158" s="1"/>
      <c r="F48158" s="1"/>
      <c r="G48158" s="1"/>
    </row>
    <row r="48159">
      <c r="B48159" s="36"/>
      <c r="C48159" s="36"/>
      <c r="E48159" s="1"/>
      <c r="F48159" s="1"/>
      <c r="G48159" s="1"/>
    </row>
    <row r="48160">
      <c r="B48160" s="36"/>
      <c r="C48160" s="36"/>
      <c r="E48160" s="1"/>
      <c r="F48160" s="1"/>
      <c r="G48160" s="1"/>
    </row>
    <row r="48161">
      <c r="B48161" s="36"/>
      <c r="C48161" s="36"/>
      <c r="E48161" s="1"/>
      <c r="F48161" s="1"/>
      <c r="G48161" s="1"/>
    </row>
    <row r="48162">
      <c r="B48162" s="36"/>
      <c r="C48162" s="36"/>
      <c r="E48162" s="1"/>
      <c r="F48162" s="1"/>
      <c r="G48162" s="1"/>
    </row>
    <row r="48163">
      <c r="B48163" s="36"/>
      <c r="C48163" s="36"/>
      <c r="E48163" s="1"/>
      <c r="F48163" s="1"/>
      <c r="G48163" s="1"/>
    </row>
    <row r="48164">
      <c r="B48164" s="36"/>
      <c r="C48164" s="36"/>
      <c r="E48164" s="1"/>
      <c r="F48164" s="1"/>
      <c r="G48164" s="1"/>
    </row>
    <row r="48165">
      <c r="B48165" s="36"/>
      <c r="C48165" s="36"/>
      <c r="E48165" s="1"/>
      <c r="F48165" s="1"/>
      <c r="G48165" s="1"/>
    </row>
    <row r="48166">
      <c r="B48166" s="36"/>
      <c r="C48166" s="36"/>
      <c r="E48166" s="1"/>
      <c r="F48166" s="1"/>
      <c r="G48166" s="1"/>
    </row>
    <row r="48167">
      <c r="B48167" s="36"/>
      <c r="C48167" s="36"/>
      <c r="E48167" s="1"/>
      <c r="F48167" s="1"/>
      <c r="G48167" s="1"/>
    </row>
    <row r="48168">
      <c r="B48168" s="36"/>
      <c r="C48168" s="36"/>
      <c r="E48168" s="1"/>
      <c r="F48168" s="1"/>
      <c r="G48168" s="1"/>
    </row>
    <row r="48169">
      <c r="B48169" s="36"/>
      <c r="C48169" s="36"/>
      <c r="E48169" s="1"/>
      <c r="F48169" s="1"/>
      <c r="G48169" s="1"/>
    </row>
    <row r="48170">
      <c r="B48170" s="36"/>
      <c r="C48170" s="36"/>
      <c r="E48170" s="1"/>
      <c r="F48170" s="1"/>
      <c r="G48170" s="1"/>
    </row>
    <row r="48171">
      <c r="B48171" s="36"/>
      <c r="C48171" s="36"/>
      <c r="E48171" s="1"/>
      <c r="F48171" s="1"/>
      <c r="G48171" s="1"/>
    </row>
    <row r="48172">
      <c r="B48172" s="36"/>
      <c r="C48172" s="36"/>
      <c r="E48172" s="1"/>
      <c r="F48172" s="1"/>
      <c r="G48172" s="1"/>
    </row>
    <row r="48173">
      <c r="B48173" s="36"/>
      <c r="C48173" s="36"/>
      <c r="E48173" s="1"/>
      <c r="F48173" s="1"/>
      <c r="G48173" s="1"/>
    </row>
    <row r="48174">
      <c r="B48174" s="36"/>
      <c r="C48174" s="36"/>
      <c r="E48174" s="1"/>
      <c r="F48174" s="1"/>
      <c r="G48174" s="1"/>
    </row>
    <row r="48175">
      <c r="B48175" s="36"/>
      <c r="C48175" s="36"/>
      <c r="E48175" s="1"/>
      <c r="F48175" s="1"/>
      <c r="G48175" s="1"/>
    </row>
    <row r="48176">
      <c r="B48176" s="36"/>
      <c r="C48176" s="36"/>
      <c r="E48176" s="1"/>
      <c r="F48176" s="1"/>
      <c r="G48176" s="1"/>
    </row>
    <row r="48177">
      <c r="B48177" s="36"/>
      <c r="C48177" s="36"/>
      <c r="E48177" s="1"/>
      <c r="F48177" s="1"/>
      <c r="G48177" s="1"/>
    </row>
    <row r="48178">
      <c r="B48178" s="36"/>
      <c r="C48178" s="36"/>
      <c r="E48178" s="1"/>
      <c r="F48178" s="1"/>
      <c r="G48178" s="1"/>
    </row>
    <row r="48179">
      <c r="B48179" s="36"/>
      <c r="C48179" s="36"/>
      <c r="E48179" s="1"/>
      <c r="F48179" s="1"/>
      <c r="G48179" s="1"/>
    </row>
    <row r="48180">
      <c r="B48180" s="36"/>
      <c r="C48180" s="36"/>
      <c r="E48180" s="1"/>
      <c r="F48180" s="1"/>
      <c r="G48180" s="1"/>
    </row>
    <row r="48181">
      <c r="B48181" s="36"/>
      <c r="C48181" s="36"/>
      <c r="E48181" s="1"/>
      <c r="F48181" s="1"/>
      <c r="G48181" s="1"/>
    </row>
    <row r="48182">
      <c r="B48182" s="36"/>
      <c r="C48182" s="36"/>
      <c r="E48182" s="1"/>
      <c r="F48182" s="1"/>
      <c r="G48182" s="1"/>
    </row>
    <row r="48183">
      <c r="B48183" s="36"/>
      <c r="C48183" s="36"/>
      <c r="E48183" s="1"/>
      <c r="F48183" s="1"/>
      <c r="G48183" s="1"/>
    </row>
    <row r="48184">
      <c r="B48184" s="36"/>
      <c r="C48184" s="36"/>
      <c r="E48184" s="1"/>
      <c r="F48184" s="1"/>
      <c r="G48184" s="1"/>
    </row>
    <row r="48185">
      <c r="B48185" s="36"/>
      <c r="C48185" s="36"/>
      <c r="E48185" s="1"/>
      <c r="F48185" s="1"/>
      <c r="G48185" s="1"/>
    </row>
    <row r="48186">
      <c r="B48186" s="36"/>
      <c r="C48186" s="36"/>
      <c r="E48186" s="1"/>
      <c r="F48186" s="1"/>
      <c r="G48186" s="1"/>
    </row>
    <row r="48187">
      <c r="B48187" s="36"/>
      <c r="C48187" s="36"/>
      <c r="E48187" s="1"/>
      <c r="F48187" s="1"/>
      <c r="G48187" s="1"/>
    </row>
    <row r="48188">
      <c r="B48188" s="36"/>
      <c r="C48188" s="36"/>
      <c r="E48188" s="1"/>
      <c r="F48188" s="1"/>
      <c r="G48188" s="1"/>
    </row>
    <row r="48189">
      <c r="B48189" s="36"/>
      <c r="C48189" s="36"/>
      <c r="E48189" s="1"/>
      <c r="F48189" s="1"/>
      <c r="G48189" s="1"/>
    </row>
    <row r="48190">
      <c r="B48190" s="36"/>
      <c r="C48190" s="36"/>
      <c r="E48190" s="1"/>
      <c r="F48190" s="1"/>
      <c r="G48190" s="1"/>
    </row>
    <row r="48191">
      <c r="B48191" s="36"/>
      <c r="C48191" s="36"/>
      <c r="E48191" s="1"/>
      <c r="F48191" s="1"/>
      <c r="G48191" s="1"/>
    </row>
    <row r="48192">
      <c r="B48192" s="36"/>
      <c r="C48192" s="36"/>
      <c r="E48192" s="1"/>
      <c r="F48192" s="1"/>
      <c r="G48192" s="1"/>
    </row>
    <row r="48193">
      <c r="B48193" s="36"/>
      <c r="C48193" s="36"/>
      <c r="E48193" s="1"/>
      <c r="F48193" s="1"/>
      <c r="G48193" s="1"/>
    </row>
    <row r="48194">
      <c r="B48194" s="36"/>
      <c r="C48194" s="36"/>
      <c r="E48194" s="1"/>
      <c r="F48194" s="1"/>
      <c r="G48194" s="1"/>
    </row>
    <row r="48195">
      <c r="B48195" s="36"/>
      <c r="C48195" s="36"/>
      <c r="E48195" s="1"/>
      <c r="F48195" s="1"/>
      <c r="G48195" s="1"/>
    </row>
    <row r="48196">
      <c r="B48196" s="36"/>
      <c r="C48196" s="36"/>
      <c r="E48196" s="1"/>
      <c r="F48196" s="1"/>
      <c r="G48196" s="1"/>
    </row>
    <row r="48197">
      <c r="B48197" s="36"/>
      <c r="C48197" s="36"/>
      <c r="E48197" s="1"/>
      <c r="F48197" s="1"/>
      <c r="G48197" s="1"/>
    </row>
    <row r="48198">
      <c r="B48198" s="36"/>
      <c r="C48198" s="36"/>
      <c r="E48198" s="1"/>
      <c r="F48198" s="1"/>
      <c r="G48198" s="1"/>
    </row>
    <row r="48199">
      <c r="B48199" s="36"/>
      <c r="C48199" s="36"/>
      <c r="E48199" s="1"/>
      <c r="F48199" s="1"/>
      <c r="G48199" s="1"/>
    </row>
    <row r="48200">
      <c r="B48200" s="36"/>
      <c r="C48200" s="36"/>
      <c r="E48200" s="1"/>
      <c r="F48200" s="1"/>
      <c r="G48200" s="1"/>
    </row>
    <row r="48201">
      <c r="B48201" s="36"/>
      <c r="C48201" s="36"/>
      <c r="E48201" s="1"/>
      <c r="F48201" s="1"/>
      <c r="G48201" s="1"/>
    </row>
    <row r="48202">
      <c r="B48202" s="36"/>
      <c r="C48202" s="36"/>
      <c r="E48202" s="1"/>
      <c r="F48202" s="1"/>
      <c r="G48202" s="1"/>
    </row>
    <row r="48203">
      <c r="B48203" s="36"/>
      <c r="C48203" s="36"/>
      <c r="E48203" s="1"/>
      <c r="F48203" s="1"/>
      <c r="G48203" s="1"/>
    </row>
    <row r="48204">
      <c r="B48204" s="36"/>
      <c r="C48204" s="36"/>
      <c r="E48204" s="1"/>
      <c r="F48204" s="1"/>
      <c r="G48204" s="1"/>
    </row>
    <row r="48205">
      <c r="B48205" s="36"/>
      <c r="C48205" s="36"/>
      <c r="E48205" s="1"/>
      <c r="F48205" s="1"/>
      <c r="G48205" s="1"/>
    </row>
    <row r="48206">
      <c r="B48206" s="36"/>
      <c r="C48206" s="36"/>
      <c r="E48206" s="1"/>
      <c r="F48206" s="1"/>
      <c r="G48206" s="1"/>
    </row>
    <row r="48207">
      <c r="B48207" s="36"/>
      <c r="C48207" s="36"/>
      <c r="E48207" s="1"/>
      <c r="F48207" s="1"/>
      <c r="G48207" s="1"/>
    </row>
    <row r="48208">
      <c r="B48208" s="36"/>
      <c r="C48208" s="36"/>
      <c r="E48208" s="1"/>
      <c r="F48208" s="1"/>
      <c r="G48208" s="1"/>
    </row>
    <row r="48209">
      <c r="B48209" s="36"/>
      <c r="C48209" s="36"/>
      <c r="E48209" s="1"/>
      <c r="F48209" s="1"/>
      <c r="G48209" s="1"/>
    </row>
    <row r="48210">
      <c r="B48210" s="36"/>
      <c r="C48210" s="36"/>
      <c r="E48210" s="1"/>
      <c r="F48210" s="1"/>
      <c r="G48210" s="1"/>
    </row>
    <row r="48211">
      <c r="B48211" s="36"/>
      <c r="C48211" s="36"/>
      <c r="E48211" s="1"/>
      <c r="F48211" s="1"/>
      <c r="G48211" s="1"/>
    </row>
    <row r="48212">
      <c r="B48212" s="36"/>
      <c r="C48212" s="36"/>
      <c r="E48212" s="1"/>
      <c r="F48212" s="1"/>
      <c r="G48212" s="1"/>
    </row>
    <row r="48213">
      <c r="B48213" s="36"/>
      <c r="C48213" s="36"/>
      <c r="E48213" s="1"/>
      <c r="F48213" s="1"/>
      <c r="G48213" s="1"/>
    </row>
    <row r="48214">
      <c r="B48214" s="36"/>
      <c r="C48214" s="36"/>
      <c r="E48214" s="1"/>
      <c r="F48214" s="1"/>
      <c r="G48214" s="1"/>
    </row>
    <row r="48215">
      <c r="B48215" s="36"/>
      <c r="C48215" s="36"/>
      <c r="E48215" s="1"/>
      <c r="F48215" s="1"/>
      <c r="G48215" s="1"/>
    </row>
    <row r="48216">
      <c r="B48216" s="36"/>
      <c r="C48216" s="36"/>
      <c r="E48216" s="1"/>
      <c r="F48216" s="1"/>
      <c r="G48216" s="1"/>
    </row>
    <row r="48217">
      <c r="B48217" s="36"/>
      <c r="C48217" s="36"/>
      <c r="E48217" s="1"/>
      <c r="F48217" s="1"/>
      <c r="G48217" s="1"/>
    </row>
    <row r="48218">
      <c r="B48218" s="36"/>
      <c r="C48218" s="36"/>
      <c r="E48218" s="1"/>
      <c r="F48218" s="1"/>
      <c r="G48218" s="1"/>
    </row>
    <row r="48219">
      <c r="B48219" s="36"/>
      <c r="C48219" s="36"/>
      <c r="E48219" s="1"/>
      <c r="F48219" s="1"/>
      <c r="G48219" s="1"/>
    </row>
    <row r="48220">
      <c r="B48220" s="36"/>
      <c r="C48220" s="36"/>
      <c r="E48220" s="1"/>
      <c r="F48220" s="1"/>
      <c r="G48220" s="1"/>
    </row>
    <row r="48221">
      <c r="B48221" s="36"/>
      <c r="C48221" s="36"/>
      <c r="E48221" s="1"/>
      <c r="F48221" s="1"/>
      <c r="G48221" s="1"/>
    </row>
    <row r="48222">
      <c r="B48222" s="36"/>
      <c r="C48222" s="36"/>
      <c r="E48222" s="1"/>
      <c r="F48222" s="1"/>
      <c r="G48222" s="1"/>
    </row>
    <row r="48223">
      <c r="B48223" s="36"/>
      <c r="C48223" s="36"/>
      <c r="E48223" s="1"/>
      <c r="F48223" s="1"/>
      <c r="G48223" s="1"/>
    </row>
    <row r="48224">
      <c r="B48224" s="36"/>
      <c r="C48224" s="36"/>
      <c r="E48224" s="1"/>
      <c r="F48224" s="1"/>
      <c r="G48224" s="1"/>
    </row>
    <row r="48225">
      <c r="B48225" s="36"/>
      <c r="C48225" s="36"/>
      <c r="E48225" s="1"/>
      <c r="F48225" s="1"/>
      <c r="G48225" s="1"/>
    </row>
    <row r="48226">
      <c r="B48226" s="36"/>
      <c r="C48226" s="36"/>
      <c r="E48226" s="1"/>
      <c r="F48226" s="1"/>
      <c r="G48226" s="1"/>
    </row>
    <row r="48227">
      <c r="B48227" s="36"/>
      <c r="C48227" s="36"/>
      <c r="E48227" s="1"/>
      <c r="F48227" s="1"/>
      <c r="G48227" s="1"/>
    </row>
    <row r="48228">
      <c r="B48228" s="36"/>
      <c r="C48228" s="36"/>
      <c r="E48228" s="1"/>
      <c r="F48228" s="1"/>
      <c r="G48228" s="1"/>
    </row>
    <row r="48229">
      <c r="B48229" s="36"/>
      <c r="C48229" s="36"/>
      <c r="E48229" s="1"/>
      <c r="F48229" s="1"/>
      <c r="G48229" s="1"/>
    </row>
    <row r="48230">
      <c r="B48230" s="36"/>
      <c r="C48230" s="36"/>
      <c r="E48230" s="1"/>
      <c r="F48230" s="1"/>
      <c r="G48230" s="1"/>
    </row>
    <row r="48231">
      <c r="B48231" s="36"/>
      <c r="C48231" s="36"/>
      <c r="E48231" s="1"/>
      <c r="F48231" s="1"/>
      <c r="G48231" s="1"/>
    </row>
    <row r="48232">
      <c r="B48232" s="36"/>
      <c r="C48232" s="36"/>
      <c r="E48232" s="1"/>
      <c r="F48232" s="1"/>
      <c r="G48232" s="1"/>
    </row>
    <row r="48233">
      <c r="B48233" s="36"/>
      <c r="C48233" s="36"/>
      <c r="E48233" s="1"/>
      <c r="F48233" s="1"/>
      <c r="G48233" s="1"/>
    </row>
    <row r="48234">
      <c r="B48234" s="36"/>
      <c r="C48234" s="36"/>
      <c r="E48234" s="1"/>
      <c r="F48234" s="1"/>
      <c r="G48234" s="1"/>
    </row>
    <row r="48235">
      <c r="B48235" s="36"/>
      <c r="C48235" s="36"/>
      <c r="E48235" s="1"/>
      <c r="F48235" s="1"/>
      <c r="G48235" s="1"/>
    </row>
    <row r="48236">
      <c r="B48236" s="36"/>
      <c r="C48236" s="36"/>
      <c r="E48236" s="1"/>
      <c r="F48236" s="1"/>
      <c r="G48236" s="1"/>
    </row>
    <row r="48237">
      <c r="B48237" s="36"/>
      <c r="C48237" s="36"/>
      <c r="E48237" s="1"/>
      <c r="F48237" s="1"/>
      <c r="G48237" s="1"/>
    </row>
    <row r="48238">
      <c r="B48238" s="36"/>
      <c r="C48238" s="36"/>
      <c r="E48238" s="1"/>
      <c r="F48238" s="1"/>
      <c r="G48238" s="1"/>
    </row>
    <row r="48239">
      <c r="B48239" s="36"/>
      <c r="C48239" s="36"/>
      <c r="E48239" s="1"/>
      <c r="F48239" s="1"/>
      <c r="G48239" s="1"/>
    </row>
    <row r="48240">
      <c r="B48240" s="36"/>
      <c r="C48240" s="36"/>
      <c r="E48240" s="1"/>
      <c r="F48240" s="1"/>
      <c r="G48240" s="1"/>
    </row>
    <row r="48241">
      <c r="B48241" s="36"/>
      <c r="C48241" s="36"/>
      <c r="E48241" s="1"/>
      <c r="F48241" s="1"/>
      <c r="G48241" s="1"/>
    </row>
    <row r="48242">
      <c r="B48242" s="36"/>
      <c r="C48242" s="36"/>
      <c r="E48242" s="1"/>
      <c r="F48242" s="1"/>
      <c r="G48242" s="1"/>
    </row>
    <row r="48243">
      <c r="B48243" s="36"/>
      <c r="C48243" s="36"/>
      <c r="E48243" s="1"/>
      <c r="F48243" s="1"/>
      <c r="G48243" s="1"/>
    </row>
    <row r="48244">
      <c r="B48244" s="36"/>
      <c r="C48244" s="36"/>
      <c r="E48244" s="1"/>
      <c r="F48244" s="1"/>
      <c r="G48244" s="1"/>
    </row>
    <row r="48245">
      <c r="B48245" s="36"/>
      <c r="C48245" s="36"/>
      <c r="E48245" s="1"/>
      <c r="F48245" s="1"/>
      <c r="G48245" s="1"/>
    </row>
    <row r="48246">
      <c r="B48246" s="36"/>
      <c r="C48246" s="36"/>
      <c r="E48246" s="1"/>
      <c r="F48246" s="1"/>
      <c r="G48246" s="1"/>
    </row>
    <row r="48247">
      <c r="B48247" s="36"/>
      <c r="C48247" s="36"/>
      <c r="E48247" s="1"/>
      <c r="F48247" s="1"/>
      <c r="G48247" s="1"/>
    </row>
    <row r="48248">
      <c r="B48248" s="36"/>
      <c r="C48248" s="36"/>
      <c r="E48248" s="1"/>
      <c r="F48248" s="1"/>
      <c r="G48248" s="1"/>
    </row>
    <row r="48249">
      <c r="B48249" s="36"/>
      <c r="C48249" s="36"/>
      <c r="E48249" s="1"/>
      <c r="F48249" s="1"/>
      <c r="G48249" s="1"/>
    </row>
    <row r="48250">
      <c r="B48250" s="36"/>
      <c r="C48250" s="36"/>
      <c r="E48250" s="1"/>
      <c r="F48250" s="1"/>
      <c r="G48250" s="1"/>
    </row>
    <row r="48251">
      <c r="B48251" s="36"/>
      <c r="C48251" s="36"/>
      <c r="E48251" s="1"/>
      <c r="F48251" s="1"/>
      <c r="G48251" s="1"/>
    </row>
    <row r="48252">
      <c r="B48252" s="36"/>
      <c r="C48252" s="36"/>
      <c r="E48252" s="1"/>
      <c r="F48252" s="1"/>
      <c r="G48252" s="1"/>
    </row>
    <row r="48253">
      <c r="B48253" s="36"/>
      <c r="C48253" s="36"/>
      <c r="E48253" s="1"/>
      <c r="F48253" s="1"/>
      <c r="G48253" s="1"/>
    </row>
    <row r="48254">
      <c r="B48254" s="36"/>
      <c r="C48254" s="36"/>
      <c r="E48254" s="1"/>
      <c r="F48254" s="1"/>
      <c r="G48254" s="1"/>
    </row>
    <row r="48255">
      <c r="B48255" s="36"/>
      <c r="C48255" s="36"/>
      <c r="E48255" s="1"/>
      <c r="F48255" s="1"/>
      <c r="G48255" s="1"/>
    </row>
    <row r="48256">
      <c r="B48256" s="36"/>
      <c r="C48256" s="36"/>
      <c r="E48256" s="1"/>
      <c r="F48256" s="1"/>
      <c r="G48256" s="1"/>
    </row>
    <row r="48257">
      <c r="B48257" s="36"/>
      <c r="C48257" s="36"/>
      <c r="E48257" s="1"/>
      <c r="F48257" s="1"/>
      <c r="G48257" s="1"/>
    </row>
    <row r="48258">
      <c r="B48258" s="36"/>
      <c r="C48258" s="36"/>
      <c r="E48258" s="1"/>
      <c r="F48258" s="1"/>
      <c r="G48258" s="1"/>
    </row>
    <row r="48259">
      <c r="B48259" s="36"/>
      <c r="C48259" s="36"/>
      <c r="E48259" s="1"/>
      <c r="F48259" s="1"/>
      <c r="G48259" s="1"/>
    </row>
    <row r="48260">
      <c r="B48260" s="36"/>
      <c r="C48260" s="36"/>
      <c r="E48260" s="1"/>
      <c r="F48260" s="1"/>
      <c r="G48260" s="1"/>
    </row>
    <row r="48261">
      <c r="B48261" s="36"/>
      <c r="C48261" s="36"/>
      <c r="E48261" s="1"/>
      <c r="F48261" s="1"/>
      <c r="G48261" s="1"/>
    </row>
    <row r="48262">
      <c r="B48262" s="36"/>
      <c r="C48262" s="36"/>
      <c r="E48262" s="1"/>
      <c r="F48262" s="1"/>
      <c r="G48262" s="1"/>
    </row>
    <row r="48263">
      <c r="B48263" s="36"/>
      <c r="C48263" s="36"/>
      <c r="E48263" s="1"/>
      <c r="F48263" s="1"/>
      <c r="G48263" s="1"/>
    </row>
    <row r="48264">
      <c r="B48264" s="36"/>
      <c r="C48264" s="36"/>
      <c r="E48264" s="1"/>
      <c r="F48264" s="1"/>
      <c r="G48264" s="1"/>
    </row>
    <row r="48265">
      <c r="B48265" s="36"/>
      <c r="C48265" s="36"/>
      <c r="E48265" s="1"/>
      <c r="F48265" s="1"/>
      <c r="G48265" s="1"/>
    </row>
    <row r="48266">
      <c r="B48266" s="36"/>
      <c r="C48266" s="36"/>
      <c r="E48266" s="1"/>
      <c r="F48266" s="1"/>
      <c r="G48266" s="1"/>
    </row>
    <row r="48267">
      <c r="B48267" s="36"/>
      <c r="C48267" s="36"/>
      <c r="E48267" s="1"/>
      <c r="F48267" s="1"/>
      <c r="G48267" s="1"/>
    </row>
    <row r="48268">
      <c r="B48268" s="36"/>
      <c r="C48268" s="36"/>
      <c r="E48268" s="1"/>
      <c r="F48268" s="1"/>
      <c r="G48268" s="1"/>
    </row>
    <row r="48269">
      <c r="B48269" s="36"/>
      <c r="C48269" s="36"/>
      <c r="E48269" s="1"/>
      <c r="F48269" s="1"/>
      <c r="G48269" s="1"/>
    </row>
    <row r="48270">
      <c r="B48270" s="36"/>
      <c r="C48270" s="36"/>
      <c r="E48270" s="1"/>
      <c r="F48270" s="1"/>
      <c r="G48270" s="1"/>
    </row>
    <row r="48271">
      <c r="B48271" s="36"/>
      <c r="C48271" s="36"/>
      <c r="E48271" s="1"/>
      <c r="F48271" s="1"/>
      <c r="G48271" s="1"/>
    </row>
    <row r="48272">
      <c r="B48272" s="36"/>
      <c r="C48272" s="36"/>
      <c r="E48272" s="1"/>
      <c r="F48272" s="1"/>
      <c r="G48272" s="1"/>
    </row>
    <row r="48273">
      <c r="B48273" s="36"/>
      <c r="C48273" s="36"/>
      <c r="E48273" s="1"/>
      <c r="F48273" s="1"/>
      <c r="G48273" s="1"/>
    </row>
    <row r="48274">
      <c r="B48274" s="36"/>
      <c r="C48274" s="36"/>
      <c r="E48274" s="1"/>
      <c r="F48274" s="1"/>
      <c r="G48274" s="1"/>
    </row>
    <row r="48275">
      <c r="B48275" s="36"/>
      <c r="C48275" s="36"/>
      <c r="E48275" s="1"/>
      <c r="F48275" s="1"/>
      <c r="G48275" s="1"/>
    </row>
    <row r="48276">
      <c r="B48276" s="36"/>
      <c r="C48276" s="36"/>
      <c r="E48276" s="1"/>
      <c r="F48276" s="1"/>
      <c r="G48276" s="1"/>
    </row>
    <row r="48277">
      <c r="B48277" s="36"/>
      <c r="C48277" s="36"/>
      <c r="E48277" s="1"/>
      <c r="F48277" s="1"/>
      <c r="G48277" s="1"/>
    </row>
    <row r="48278">
      <c r="B48278" s="36"/>
      <c r="C48278" s="36"/>
      <c r="E48278" s="1"/>
      <c r="F48278" s="1"/>
      <c r="G48278" s="1"/>
    </row>
    <row r="48279">
      <c r="B48279" s="36"/>
      <c r="C48279" s="36"/>
      <c r="E48279" s="1"/>
      <c r="F48279" s="1"/>
      <c r="G48279" s="1"/>
    </row>
    <row r="48280">
      <c r="B48280" s="36"/>
      <c r="C48280" s="36"/>
      <c r="E48280" s="1"/>
      <c r="F48280" s="1"/>
      <c r="G48280" s="1"/>
    </row>
    <row r="48281">
      <c r="B48281" s="36"/>
      <c r="C48281" s="36"/>
      <c r="E48281" s="1"/>
      <c r="F48281" s="1"/>
      <c r="G48281" s="1"/>
    </row>
    <row r="48282">
      <c r="B48282" s="36"/>
      <c r="C48282" s="36"/>
      <c r="E48282" s="1"/>
      <c r="F48282" s="1"/>
      <c r="G48282" s="1"/>
    </row>
    <row r="48283">
      <c r="B48283" s="36"/>
      <c r="C48283" s="36"/>
      <c r="E48283" s="1"/>
      <c r="F48283" s="1"/>
      <c r="G48283" s="1"/>
    </row>
    <row r="48284">
      <c r="B48284" s="36"/>
      <c r="C48284" s="36"/>
      <c r="E48284" s="1"/>
      <c r="F48284" s="1"/>
      <c r="G48284" s="1"/>
    </row>
    <row r="48285">
      <c r="B48285" s="36"/>
      <c r="C48285" s="36"/>
      <c r="E48285" s="1"/>
      <c r="F48285" s="1"/>
      <c r="G48285" s="1"/>
    </row>
    <row r="48286">
      <c r="B48286" s="36"/>
      <c r="C48286" s="36"/>
      <c r="E48286" s="1"/>
      <c r="F48286" s="1"/>
      <c r="G48286" s="1"/>
    </row>
    <row r="48287">
      <c r="B48287" s="36"/>
      <c r="C48287" s="36"/>
      <c r="E48287" s="1"/>
      <c r="F48287" s="1"/>
      <c r="G48287" s="1"/>
    </row>
    <row r="48288">
      <c r="B48288" s="36"/>
      <c r="C48288" s="36"/>
      <c r="E48288" s="1"/>
      <c r="F48288" s="1"/>
      <c r="G48288" s="1"/>
    </row>
    <row r="48289">
      <c r="B48289" s="36"/>
      <c r="C48289" s="36"/>
      <c r="E48289" s="1"/>
      <c r="F48289" s="1"/>
      <c r="G48289" s="1"/>
    </row>
    <row r="48290">
      <c r="B48290" s="36"/>
      <c r="C48290" s="36"/>
      <c r="E48290" s="1"/>
      <c r="F48290" s="1"/>
      <c r="G48290" s="1"/>
    </row>
    <row r="48291">
      <c r="B48291" s="36"/>
      <c r="C48291" s="36"/>
      <c r="E48291" s="1"/>
      <c r="F48291" s="1"/>
      <c r="G48291" s="1"/>
    </row>
    <row r="48292">
      <c r="B48292" s="36"/>
      <c r="C48292" s="36"/>
      <c r="E48292" s="1"/>
      <c r="F48292" s="1"/>
      <c r="G48292" s="1"/>
    </row>
    <row r="48293">
      <c r="B48293" s="36"/>
      <c r="C48293" s="36"/>
      <c r="E48293" s="1"/>
      <c r="F48293" s="1"/>
      <c r="G48293" s="1"/>
    </row>
    <row r="48294">
      <c r="B48294" s="36"/>
      <c r="C48294" s="36"/>
      <c r="E48294" s="1"/>
      <c r="F48294" s="1"/>
      <c r="G48294" s="1"/>
    </row>
    <row r="48295">
      <c r="B48295" s="36"/>
      <c r="C48295" s="36"/>
      <c r="E48295" s="1"/>
      <c r="F48295" s="1"/>
      <c r="G48295" s="1"/>
    </row>
    <row r="48296">
      <c r="B48296" s="36"/>
      <c r="C48296" s="36"/>
      <c r="E48296" s="1"/>
      <c r="F48296" s="1"/>
      <c r="G48296" s="1"/>
    </row>
    <row r="48297">
      <c r="B48297" s="36"/>
      <c r="C48297" s="36"/>
      <c r="E48297" s="1"/>
      <c r="F48297" s="1"/>
      <c r="G48297" s="1"/>
    </row>
    <row r="48298">
      <c r="B48298" s="36"/>
      <c r="C48298" s="36"/>
      <c r="E48298" s="1"/>
      <c r="F48298" s="1"/>
      <c r="G48298" s="1"/>
    </row>
    <row r="48299">
      <c r="B48299" s="36"/>
      <c r="C48299" s="36"/>
      <c r="E48299" s="1"/>
      <c r="F48299" s="1"/>
      <c r="G48299" s="1"/>
    </row>
    <row r="48300">
      <c r="B48300" s="36"/>
      <c r="C48300" s="36"/>
      <c r="E48300" s="1"/>
      <c r="F48300" s="1"/>
      <c r="G48300" s="1"/>
    </row>
    <row r="48301">
      <c r="B48301" s="36"/>
      <c r="C48301" s="36"/>
      <c r="E48301" s="1"/>
      <c r="F48301" s="1"/>
      <c r="G48301" s="1"/>
    </row>
    <row r="48302">
      <c r="B48302" s="36"/>
      <c r="C48302" s="36"/>
      <c r="E48302" s="1"/>
      <c r="F48302" s="1"/>
      <c r="G48302" s="1"/>
    </row>
    <row r="48303">
      <c r="B48303" s="36"/>
      <c r="C48303" s="36"/>
      <c r="E48303" s="1"/>
      <c r="F48303" s="1"/>
      <c r="G48303" s="1"/>
    </row>
    <row r="48304">
      <c r="B48304" s="36"/>
      <c r="C48304" s="36"/>
      <c r="E48304" s="1"/>
      <c r="F48304" s="1"/>
      <c r="G48304" s="1"/>
    </row>
    <row r="48305">
      <c r="B48305" s="36"/>
      <c r="C48305" s="36"/>
      <c r="E48305" s="1"/>
      <c r="F48305" s="1"/>
      <c r="G48305" s="1"/>
    </row>
    <row r="48306">
      <c r="B48306" s="36"/>
      <c r="C48306" s="36"/>
      <c r="E48306" s="1"/>
      <c r="F48306" s="1"/>
      <c r="G48306" s="1"/>
    </row>
    <row r="48307">
      <c r="B48307" s="36"/>
      <c r="C48307" s="36"/>
      <c r="E48307" s="1"/>
      <c r="F48307" s="1"/>
      <c r="G48307" s="1"/>
    </row>
    <row r="48308">
      <c r="B48308" s="36"/>
      <c r="C48308" s="36"/>
      <c r="E48308" s="1"/>
      <c r="F48308" s="1"/>
      <c r="G48308" s="1"/>
    </row>
    <row r="48309">
      <c r="B48309" s="36"/>
      <c r="C48309" s="36"/>
      <c r="E48309" s="1"/>
      <c r="F48309" s="1"/>
      <c r="G48309" s="1"/>
    </row>
    <row r="48310">
      <c r="B48310" s="36"/>
      <c r="C48310" s="36"/>
      <c r="E48310" s="1"/>
      <c r="F48310" s="1"/>
      <c r="G48310" s="1"/>
    </row>
    <row r="48311">
      <c r="B48311" s="36"/>
      <c r="C48311" s="36"/>
      <c r="E48311" s="1"/>
      <c r="F48311" s="1"/>
      <c r="G48311" s="1"/>
    </row>
    <row r="48312">
      <c r="B48312" s="36"/>
      <c r="C48312" s="36"/>
      <c r="E48312" s="1"/>
      <c r="F48312" s="1"/>
      <c r="G48312" s="1"/>
    </row>
    <row r="48313">
      <c r="B48313" s="36"/>
      <c r="C48313" s="36"/>
      <c r="E48313" s="1"/>
      <c r="F48313" s="1"/>
      <c r="G48313" s="1"/>
    </row>
    <row r="48314">
      <c r="B48314" s="36"/>
      <c r="C48314" s="36"/>
      <c r="E48314" s="1"/>
      <c r="F48314" s="1"/>
      <c r="G48314" s="1"/>
    </row>
    <row r="48315">
      <c r="B48315" s="36"/>
      <c r="C48315" s="36"/>
      <c r="E48315" s="1"/>
      <c r="F48315" s="1"/>
      <c r="G48315" s="1"/>
    </row>
    <row r="48316">
      <c r="B48316" s="36"/>
      <c r="C48316" s="36"/>
      <c r="E48316" s="1"/>
      <c r="F48316" s="1"/>
      <c r="G48316" s="1"/>
    </row>
    <row r="48317">
      <c r="B48317" s="36"/>
      <c r="C48317" s="36"/>
      <c r="E48317" s="1"/>
      <c r="F48317" s="1"/>
      <c r="G48317" s="1"/>
    </row>
    <row r="48318">
      <c r="B48318" s="36"/>
      <c r="C48318" s="36"/>
      <c r="E48318" s="1"/>
      <c r="F48318" s="1"/>
      <c r="G48318" s="1"/>
    </row>
    <row r="48319">
      <c r="B48319" s="36"/>
      <c r="C48319" s="36"/>
      <c r="E48319" s="1"/>
      <c r="F48319" s="1"/>
      <c r="G48319" s="1"/>
    </row>
    <row r="48320">
      <c r="B48320" s="36"/>
      <c r="C48320" s="36"/>
      <c r="E48320" s="1"/>
      <c r="F48320" s="1"/>
      <c r="G48320" s="1"/>
    </row>
    <row r="48321">
      <c r="B48321" s="36"/>
      <c r="C48321" s="36"/>
      <c r="E48321" s="1"/>
      <c r="F48321" s="1"/>
      <c r="G48321" s="1"/>
    </row>
    <row r="48322">
      <c r="B48322" s="36"/>
      <c r="C48322" s="36"/>
      <c r="E48322" s="1"/>
      <c r="F48322" s="1"/>
      <c r="G48322" s="1"/>
    </row>
    <row r="48323">
      <c r="B48323" s="36"/>
      <c r="C48323" s="36"/>
      <c r="E48323" s="1"/>
      <c r="F48323" s="1"/>
      <c r="G48323" s="1"/>
    </row>
    <row r="48324">
      <c r="B48324" s="36"/>
      <c r="C48324" s="36"/>
      <c r="E48324" s="1"/>
      <c r="F48324" s="1"/>
      <c r="G48324" s="1"/>
    </row>
    <row r="48325">
      <c r="B48325" s="36"/>
      <c r="C48325" s="36"/>
      <c r="E48325" s="1"/>
      <c r="F48325" s="1"/>
      <c r="G48325" s="1"/>
    </row>
    <row r="48326">
      <c r="B48326" s="36"/>
      <c r="C48326" s="36"/>
      <c r="E48326" s="1"/>
      <c r="F48326" s="1"/>
      <c r="G48326" s="1"/>
    </row>
    <row r="48327">
      <c r="B48327" s="36"/>
      <c r="C48327" s="36"/>
      <c r="E48327" s="1"/>
      <c r="F48327" s="1"/>
      <c r="G48327" s="1"/>
    </row>
    <row r="48328">
      <c r="B48328" s="36"/>
      <c r="C48328" s="36"/>
      <c r="E48328" s="1"/>
      <c r="F48328" s="1"/>
      <c r="G48328" s="1"/>
    </row>
    <row r="48329">
      <c r="B48329" s="36"/>
      <c r="C48329" s="36"/>
      <c r="E48329" s="1"/>
      <c r="F48329" s="1"/>
      <c r="G48329" s="1"/>
    </row>
    <row r="48330">
      <c r="B48330" s="36"/>
      <c r="C48330" s="36"/>
      <c r="E48330" s="1"/>
      <c r="F48330" s="1"/>
      <c r="G48330" s="1"/>
    </row>
    <row r="48331">
      <c r="B48331" s="36"/>
      <c r="C48331" s="36"/>
      <c r="E48331" s="1"/>
      <c r="F48331" s="1"/>
      <c r="G48331" s="1"/>
    </row>
    <row r="48332">
      <c r="B48332" s="36"/>
      <c r="C48332" s="36"/>
      <c r="E48332" s="1"/>
      <c r="F48332" s="1"/>
      <c r="G48332" s="1"/>
    </row>
    <row r="48333">
      <c r="B48333" s="36"/>
      <c r="C48333" s="36"/>
      <c r="E48333" s="1"/>
      <c r="F48333" s="1"/>
      <c r="G48333" s="1"/>
    </row>
    <row r="48334">
      <c r="B48334" s="36"/>
      <c r="C48334" s="36"/>
      <c r="E48334" s="1"/>
      <c r="F48334" s="1"/>
      <c r="G48334" s="1"/>
    </row>
    <row r="48335">
      <c r="B48335" s="36"/>
      <c r="C48335" s="36"/>
      <c r="E48335" s="1"/>
      <c r="F48335" s="1"/>
      <c r="G48335" s="1"/>
    </row>
    <row r="48336">
      <c r="B48336" s="36"/>
      <c r="C48336" s="36"/>
      <c r="E48336" s="1"/>
      <c r="F48336" s="1"/>
      <c r="G48336" s="1"/>
    </row>
    <row r="48337">
      <c r="B48337" s="36"/>
      <c r="C48337" s="36"/>
      <c r="E48337" s="1"/>
      <c r="F48337" s="1"/>
      <c r="G48337" s="1"/>
    </row>
    <row r="48338">
      <c r="B48338" s="36"/>
      <c r="C48338" s="36"/>
      <c r="E48338" s="1"/>
      <c r="F48338" s="1"/>
      <c r="G48338" s="1"/>
    </row>
    <row r="48339">
      <c r="B48339" s="36"/>
      <c r="C48339" s="36"/>
      <c r="E48339" s="1"/>
      <c r="F48339" s="1"/>
      <c r="G48339" s="1"/>
    </row>
    <row r="48340">
      <c r="B48340" s="36"/>
      <c r="C48340" s="36"/>
      <c r="E48340" s="1"/>
      <c r="F48340" s="1"/>
      <c r="G48340" s="1"/>
    </row>
    <row r="48341">
      <c r="B48341" s="36"/>
      <c r="C48341" s="36"/>
      <c r="E48341" s="1"/>
      <c r="F48341" s="1"/>
      <c r="G48341" s="1"/>
    </row>
    <row r="48342">
      <c r="B48342" s="36"/>
      <c r="C48342" s="36"/>
      <c r="E48342" s="1"/>
      <c r="F48342" s="1"/>
      <c r="G48342" s="1"/>
    </row>
    <row r="48343">
      <c r="B48343" s="36"/>
      <c r="C48343" s="36"/>
      <c r="E48343" s="1"/>
      <c r="F48343" s="1"/>
      <c r="G48343" s="1"/>
    </row>
    <row r="48344">
      <c r="B48344" s="36"/>
      <c r="C48344" s="36"/>
      <c r="E48344" s="1"/>
      <c r="F48344" s="1"/>
      <c r="G48344" s="1"/>
    </row>
    <row r="48345">
      <c r="B48345" s="36"/>
      <c r="C48345" s="36"/>
      <c r="E48345" s="1"/>
      <c r="F48345" s="1"/>
      <c r="G48345" s="1"/>
    </row>
    <row r="48346">
      <c r="B48346" s="36"/>
      <c r="C48346" s="36"/>
      <c r="E48346" s="1"/>
      <c r="F48346" s="1"/>
      <c r="G48346" s="1"/>
    </row>
    <row r="48347">
      <c r="B48347" s="36"/>
      <c r="C48347" s="36"/>
      <c r="E48347" s="1"/>
      <c r="F48347" s="1"/>
      <c r="G48347" s="1"/>
    </row>
    <row r="48348">
      <c r="B48348" s="36"/>
      <c r="C48348" s="36"/>
      <c r="E48348" s="1"/>
      <c r="F48348" s="1"/>
      <c r="G48348" s="1"/>
    </row>
    <row r="48349">
      <c r="B48349" s="36"/>
      <c r="C48349" s="36"/>
      <c r="E48349" s="1"/>
      <c r="F48349" s="1"/>
      <c r="G48349" s="1"/>
    </row>
    <row r="48350">
      <c r="B48350" s="36"/>
      <c r="C48350" s="36"/>
      <c r="E48350" s="1"/>
      <c r="F48350" s="1"/>
      <c r="G48350" s="1"/>
    </row>
    <row r="48351">
      <c r="B48351" s="36"/>
      <c r="C48351" s="36"/>
      <c r="E48351" s="1"/>
      <c r="F48351" s="1"/>
      <c r="G48351" s="1"/>
    </row>
    <row r="48352">
      <c r="B48352" s="36"/>
      <c r="C48352" s="36"/>
      <c r="E48352" s="1"/>
      <c r="F48352" s="1"/>
      <c r="G48352" s="1"/>
    </row>
    <row r="48353">
      <c r="B48353" s="36"/>
      <c r="C48353" s="36"/>
      <c r="E48353" s="1"/>
      <c r="F48353" s="1"/>
      <c r="G48353" s="1"/>
    </row>
    <row r="48354">
      <c r="B48354" s="36"/>
      <c r="C48354" s="36"/>
      <c r="E48354" s="1"/>
      <c r="F48354" s="1"/>
      <c r="G48354" s="1"/>
    </row>
    <row r="48355">
      <c r="B48355" s="36"/>
      <c r="C48355" s="36"/>
      <c r="E48355" s="1"/>
      <c r="F48355" s="1"/>
      <c r="G48355" s="1"/>
    </row>
    <row r="48356">
      <c r="B48356" s="36"/>
      <c r="C48356" s="36"/>
      <c r="E48356" s="1"/>
      <c r="F48356" s="1"/>
      <c r="G48356" s="1"/>
    </row>
    <row r="48357">
      <c r="B48357" s="36"/>
      <c r="C48357" s="36"/>
      <c r="E48357" s="1"/>
      <c r="F48357" s="1"/>
      <c r="G48357" s="1"/>
    </row>
    <row r="48358">
      <c r="B48358" s="36"/>
      <c r="C48358" s="36"/>
      <c r="E48358" s="1"/>
      <c r="F48358" s="1"/>
      <c r="G48358" s="1"/>
    </row>
    <row r="48359">
      <c r="B48359" s="36"/>
      <c r="C48359" s="36"/>
      <c r="E48359" s="1"/>
      <c r="F48359" s="1"/>
      <c r="G48359" s="1"/>
    </row>
    <row r="48360">
      <c r="B48360" s="36"/>
      <c r="C48360" s="36"/>
      <c r="E48360" s="1"/>
      <c r="F48360" s="1"/>
      <c r="G48360" s="1"/>
    </row>
    <row r="48361">
      <c r="B48361" s="36"/>
      <c r="C48361" s="36"/>
      <c r="E48361" s="1"/>
      <c r="F48361" s="1"/>
      <c r="G48361" s="1"/>
    </row>
    <row r="48362">
      <c r="B48362" s="36"/>
      <c r="C48362" s="36"/>
      <c r="E48362" s="1"/>
      <c r="F48362" s="1"/>
      <c r="G48362" s="1"/>
    </row>
    <row r="48363">
      <c r="B48363" s="36"/>
      <c r="C48363" s="36"/>
      <c r="E48363" s="1"/>
      <c r="F48363" s="1"/>
      <c r="G48363" s="1"/>
    </row>
    <row r="48364">
      <c r="B48364" s="36"/>
      <c r="C48364" s="36"/>
      <c r="E48364" s="1"/>
      <c r="F48364" s="1"/>
      <c r="G48364" s="1"/>
    </row>
    <row r="48365">
      <c r="B48365" s="36"/>
      <c r="C48365" s="36"/>
      <c r="E48365" s="1"/>
      <c r="F48365" s="1"/>
      <c r="G48365" s="1"/>
    </row>
    <row r="48366">
      <c r="B48366" s="36"/>
      <c r="C48366" s="36"/>
      <c r="E48366" s="1"/>
      <c r="F48366" s="1"/>
      <c r="G48366" s="1"/>
    </row>
    <row r="48367">
      <c r="B48367" s="36"/>
      <c r="C48367" s="36"/>
      <c r="E48367" s="1"/>
      <c r="F48367" s="1"/>
      <c r="G48367" s="1"/>
    </row>
    <row r="48368">
      <c r="B48368" s="36"/>
      <c r="C48368" s="36"/>
      <c r="E48368" s="1"/>
      <c r="F48368" s="1"/>
      <c r="G48368" s="1"/>
    </row>
    <row r="48369">
      <c r="B48369" s="36"/>
      <c r="C48369" s="36"/>
      <c r="E48369" s="1"/>
      <c r="F48369" s="1"/>
      <c r="G48369" s="1"/>
    </row>
    <row r="48370">
      <c r="B48370" s="36"/>
      <c r="C48370" s="36"/>
      <c r="E48370" s="1"/>
      <c r="F48370" s="1"/>
      <c r="G48370" s="1"/>
    </row>
    <row r="48371">
      <c r="B48371" s="36"/>
      <c r="C48371" s="36"/>
      <c r="E48371" s="1"/>
      <c r="F48371" s="1"/>
      <c r="G48371" s="1"/>
    </row>
    <row r="48372">
      <c r="B48372" s="36"/>
      <c r="C48372" s="36"/>
      <c r="E48372" s="1"/>
      <c r="F48372" s="1"/>
      <c r="G48372" s="1"/>
    </row>
    <row r="48373">
      <c r="B48373" s="36"/>
      <c r="C48373" s="36"/>
      <c r="E48373" s="1"/>
      <c r="F48373" s="1"/>
      <c r="G48373" s="1"/>
    </row>
    <row r="48374">
      <c r="B48374" s="36"/>
      <c r="C48374" s="36"/>
      <c r="E48374" s="1"/>
      <c r="F48374" s="1"/>
      <c r="G48374" s="1"/>
    </row>
    <row r="48375">
      <c r="B48375" s="36"/>
      <c r="C48375" s="36"/>
      <c r="E48375" s="1"/>
      <c r="F48375" s="1"/>
      <c r="G48375" s="1"/>
    </row>
    <row r="48376">
      <c r="B48376" s="36"/>
      <c r="C48376" s="36"/>
      <c r="E48376" s="1"/>
      <c r="F48376" s="1"/>
      <c r="G48376" s="1"/>
    </row>
    <row r="48377">
      <c r="B48377" s="36"/>
      <c r="C48377" s="36"/>
      <c r="E48377" s="1"/>
      <c r="F48377" s="1"/>
      <c r="G48377" s="1"/>
    </row>
    <row r="48378">
      <c r="B48378" s="36"/>
      <c r="C48378" s="36"/>
      <c r="E48378" s="1"/>
      <c r="F48378" s="1"/>
      <c r="G48378" s="1"/>
    </row>
    <row r="48379">
      <c r="B48379" s="36"/>
      <c r="C48379" s="36"/>
      <c r="E48379" s="1"/>
      <c r="F48379" s="1"/>
      <c r="G48379" s="1"/>
    </row>
    <row r="48380">
      <c r="B48380" s="36"/>
      <c r="C48380" s="36"/>
      <c r="E48380" s="1"/>
      <c r="F48380" s="1"/>
      <c r="G48380" s="1"/>
    </row>
    <row r="48381">
      <c r="B48381" s="36"/>
      <c r="C48381" s="36"/>
      <c r="E48381" s="1"/>
      <c r="F48381" s="1"/>
      <c r="G48381" s="1"/>
    </row>
    <row r="48382">
      <c r="B48382" s="36"/>
      <c r="C48382" s="36"/>
      <c r="E48382" s="1"/>
      <c r="F48382" s="1"/>
      <c r="G48382" s="1"/>
    </row>
    <row r="48383">
      <c r="B48383" s="36"/>
      <c r="C48383" s="36"/>
      <c r="E48383" s="1"/>
      <c r="F48383" s="1"/>
      <c r="G48383" s="1"/>
    </row>
    <row r="48384">
      <c r="B48384" s="36"/>
      <c r="C48384" s="36"/>
      <c r="E48384" s="1"/>
      <c r="F48384" s="1"/>
      <c r="G48384" s="1"/>
    </row>
    <row r="48385">
      <c r="B48385" s="36"/>
      <c r="C48385" s="36"/>
      <c r="E48385" s="1"/>
      <c r="F48385" s="1"/>
      <c r="G48385" s="1"/>
    </row>
    <row r="48386">
      <c r="B48386" s="36"/>
      <c r="C48386" s="36"/>
      <c r="E48386" s="1"/>
      <c r="F48386" s="1"/>
      <c r="G48386" s="1"/>
    </row>
    <row r="48387">
      <c r="B48387" s="36"/>
      <c r="C48387" s="36"/>
      <c r="E48387" s="1"/>
      <c r="F48387" s="1"/>
      <c r="G48387" s="1"/>
    </row>
    <row r="48388">
      <c r="B48388" s="36"/>
      <c r="C48388" s="36"/>
      <c r="E48388" s="1"/>
      <c r="F48388" s="1"/>
      <c r="G48388" s="1"/>
    </row>
    <row r="48389">
      <c r="B48389" s="36"/>
      <c r="C48389" s="36"/>
      <c r="E48389" s="1"/>
      <c r="F48389" s="1"/>
      <c r="G48389" s="1"/>
    </row>
    <row r="48390">
      <c r="B48390" s="36"/>
      <c r="C48390" s="36"/>
      <c r="E48390" s="1"/>
      <c r="F48390" s="1"/>
      <c r="G48390" s="1"/>
    </row>
    <row r="48391">
      <c r="B48391" s="36"/>
      <c r="C48391" s="36"/>
      <c r="E48391" s="1"/>
      <c r="F48391" s="1"/>
      <c r="G48391" s="1"/>
    </row>
    <row r="48392">
      <c r="B48392" s="36"/>
      <c r="C48392" s="36"/>
      <c r="E48392" s="1"/>
      <c r="F48392" s="1"/>
      <c r="G48392" s="1"/>
    </row>
    <row r="48393">
      <c r="B48393" s="36"/>
      <c r="C48393" s="36"/>
      <c r="E48393" s="1"/>
      <c r="F48393" s="1"/>
      <c r="G48393" s="1"/>
    </row>
    <row r="48394">
      <c r="B48394" s="36"/>
      <c r="C48394" s="36"/>
      <c r="E48394" s="1"/>
      <c r="F48394" s="1"/>
      <c r="G48394" s="1"/>
    </row>
    <row r="48395">
      <c r="B48395" s="36"/>
      <c r="C48395" s="36"/>
      <c r="E48395" s="1"/>
      <c r="F48395" s="1"/>
      <c r="G48395" s="1"/>
    </row>
    <row r="48396">
      <c r="B48396" s="36"/>
      <c r="C48396" s="36"/>
      <c r="E48396" s="1"/>
      <c r="F48396" s="1"/>
      <c r="G48396" s="1"/>
    </row>
    <row r="48397">
      <c r="B48397" s="36"/>
      <c r="C48397" s="36"/>
      <c r="E48397" s="1"/>
      <c r="F48397" s="1"/>
      <c r="G48397" s="1"/>
    </row>
    <row r="48398">
      <c r="B48398" s="36"/>
      <c r="C48398" s="36"/>
      <c r="E48398" s="1"/>
      <c r="F48398" s="1"/>
      <c r="G48398" s="1"/>
    </row>
    <row r="48399">
      <c r="B48399" s="36"/>
      <c r="C48399" s="36"/>
      <c r="E48399" s="1"/>
      <c r="F48399" s="1"/>
      <c r="G48399" s="1"/>
    </row>
    <row r="48400">
      <c r="B48400" s="36"/>
      <c r="C48400" s="36"/>
      <c r="E48400" s="1"/>
      <c r="F48400" s="1"/>
      <c r="G48400" s="1"/>
    </row>
    <row r="48401">
      <c r="B48401" s="36"/>
      <c r="C48401" s="36"/>
      <c r="E48401" s="1"/>
      <c r="F48401" s="1"/>
      <c r="G48401" s="1"/>
    </row>
    <row r="48402">
      <c r="B48402" s="36"/>
      <c r="C48402" s="36"/>
      <c r="E48402" s="1"/>
      <c r="F48402" s="1"/>
      <c r="G48402" s="1"/>
    </row>
    <row r="48403">
      <c r="B48403" s="36"/>
      <c r="C48403" s="36"/>
      <c r="E48403" s="1"/>
      <c r="F48403" s="1"/>
      <c r="G48403" s="1"/>
    </row>
    <row r="48404">
      <c r="B48404" s="36"/>
      <c r="C48404" s="36"/>
      <c r="E48404" s="1"/>
      <c r="F48404" s="1"/>
      <c r="G48404" s="1"/>
    </row>
    <row r="48405">
      <c r="B48405" s="36"/>
      <c r="C48405" s="36"/>
      <c r="E48405" s="1"/>
      <c r="F48405" s="1"/>
      <c r="G48405" s="1"/>
    </row>
    <row r="48406">
      <c r="B48406" s="36"/>
      <c r="C48406" s="36"/>
      <c r="E48406" s="1"/>
      <c r="F48406" s="1"/>
      <c r="G48406" s="1"/>
    </row>
    <row r="48407">
      <c r="B48407" s="36"/>
      <c r="C48407" s="36"/>
      <c r="E48407" s="1"/>
      <c r="F48407" s="1"/>
      <c r="G48407" s="1"/>
    </row>
    <row r="48408">
      <c r="B48408" s="36"/>
      <c r="C48408" s="36"/>
      <c r="E48408" s="1"/>
      <c r="F48408" s="1"/>
      <c r="G48408" s="1"/>
    </row>
    <row r="48409">
      <c r="B48409" s="36"/>
      <c r="C48409" s="36"/>
      <c r="E48409" s="1"/>
      <c r="F48409" s="1"/>
      <c r="G48409" s="1"/>
    </row>
    <row r="48410">
      <c r="B48410" s="36"/>
      <c r="C48410" s="36"/>
      <c r="E48410" s="1"/>
      <c r="F48410" s="1"/>
      <c r="G48410" s="1"/>
    </row>
    <row r="48411">
      <c r="B48411" s="36"/>
      <c r="C48411" s="36"/>
      <c r="E48411" s="1"/>
      <c r="F48411" s="1"/>
      <c r="G48411" s="1"/>
    </row>
    <row r="48412">
      <c r="B48412" s="36"/>
      <c r="C48412" s="36"/>
      <c r="E48412" s="1"/>
      <c r="F48412" s="1"/>
      <c r="G48412" s="1"/>
    </row>
    <row r="48413">
      <c r="B48413" s="36"/>
      <c r="C48413" s="36"/>
      <c r="E48413" s="1"/>
      <c r="F48413" s="1"/>
      <c r="G48413" s="1"/>
    </row>
    <row r="48414">
      <c r="B48414" s="36"/>
      <c r="C48414" s="36"/>
      <c r="E48414" s="1"/>
      <c r="F48414" s="1"/>
      <c r="G48414" s="1"/>
    </row>
    <row r="48415">
      <c r="B48415" s="36"/>
      <c r="C48415" s="36"/>
      <c r="E48415" s="1"/>
      <c r="F48415" s="1"/>
      <c r="G48415" s="1"/>
    </row>
    <row r="48416">
      <c r="B48416" s="36"/>
      <c r="C48416" s="36"/>
      <c r="E48416" s="1"/>
      <c r="F48416" s="1"/>
      <c r="G48416" s="1"/>
    </row>
    <row r="48417">
      <c r="B48417" s="36"/>
      <c r="C48417" s="36"/>
      <c r="E48417" s="1"/>
      <c r="F48417" s="1"/>
      <c r="G48417" s="1"/>
    </row>
    <row r="48418">
      <c r="B48418" s="36"/>
      <c r="C48418" s="36"/>
      <c r="E48418" s="1"/>
      <c r="F48418" s="1"/>
      <c r="G48418" s="1"/>
    </row>
    <row r="48419">
      <c r="B48419" s="36"/>
      <c r="C48419" s="36"/>
      <c r="E48419" s="1"/>
      <c r="F48419" s="1"/>
      <c r="G48419" s="1"/>
    </row>
    <row r="48420">
      <c r="B48420" s="36"/>
      <c r="C48420" s="36"/>
      <c r="E48420" s="1"/>
      <c r="F48420" s="1"/>
      <c r="G48420" s="1"/>
    </row>
    <row r="48421">
      <c r="B48421" s="36"/>
      <c r="C48421" s="36"/>
      <c r="E48421" s="1"/>
      <c r="F48421" s="1"/>
      <c r="G48421" s="1"/>
    </row>
    <row r="48422">
      <c r="B48422" s="36"/>
      <c r="C48422" s="36"/>
      <c r="E48422" s="1"/>
      <c r="F48422" s="1"/>
      <c r="G48422" s="1"/>
    </row>
    <row r="48423">
      <c r="B48423" s="36"/>
      <c r="C48423" s="36"/>
      <c r="E48423" s="1"/>
      <c r="F48423" s="1"/>
      <c r="G48423" s="1"/>
    </row>
    <row r="48424">
      <c r="B48424" s="36"/>
      <c r="C48424" s="36"/>
      <c r="E48424" s="1"/>
      <c r="F48424" s="1"/>
      <c r="G48424" s="1"/>
    </row>
    <row r="48425">
      <c r="B48425" s="36"/>
      <c r="C48425" s="36"/>
      <c r="E48425" s="1"/>
      <c r="F48425" s="1"/>
      <c r="G48425" s="1"/>
    </row>
    <row r="48426">
      <c r="B48426" s="36"/>
      <c r="C48426" s="36"/>
      <c r="E48426" s="1"/>
      <c r="F48426" s="1"/>
      <c r="G48426" s="1"/>
    </row>
    <row r="48427">
      <c r="B48427" s="36"/>
      <c r="C48427" s="36"/>
      <c r="E48427" s="1"/>
      <c r="F48427" s="1"/>
      <c r="G48427" s="1"/>
    </row>
    <row r="48428">
      <c r="B48428" s="36"/>
      <c r="C48428" s="36"/>
      <c r="E48428" s="1"/>
      <c r="F48428" s="1"/>
      <c r="G48428" s="1"/>
    </row>
    <row r="48429">
      <c r="B48429" s="36"/>
      <c r="C48429" s="36"/>
      <c r="E48429" s="1"/>
      <c r="F48429" s="1"/>
      <c r="G48429" s="1"/>
    </row>
    <row r="48430">
      <c r="B48430" s="36"/>
      <c r="C48430" s="36"/>
      <c r="E48430" s="1"/>
      <c r="F48430" s="1"/>
      <c r="G48430" s="1"/>
    </row>
    <row r="48431">
      <c r="B48431" s="36"/>
      <c r="C48431" s="36"/>
      <c r="E48431" s="1"/>
      <c r="F48431" s="1"/>
      <c r="G48431" s="1"/>
    </row>
    <row r="48432">
      <c r="B48432" s="36"/>
      <c r="C48432" s="36"/>
      <c r="E48432" s="1"/>
      <c r="F48432" s="1"/>
      <c r="G48432" s="1"/>
    </row>
    <row r="48433">
      <c r="B48433" s="36"/>
      <c r="C48433" s="36"/>
      <c r="E48433" s="1"/>
      <c r="F48433" s="1"/>
      <c r="G48433" s="1"/>
    </row>
    <row r="48434">
      <c r="B48434" s="36"/>
      <c r="C48434" s="36"/>
      <c r="E48434" s="1"/>
      <c r="F48434" s="1"/>
      <c r="G48434" s="1"/>
    </row>
    <row r="48435">
      <c r="B48435" s="36"/>
      <c r="C48435" s="36"/>
      <c r="E48435" s="1"/>
      <c r="F48435" s="1"/>
      <c r="G48435" s="1"/>
    </row>
    <row r="48436">
      <c r="B48436" s="36"/>
      <c r="C48436" s="36"/>
      <c r="E48436" s="1"/>
      <c r="F48436" s="1"/>
      <c r="G48436" s="1"/>
    </row>
    <row r="48437">
      <c r="B48437" s="36"/>
      <c r="C48437" s="36"/>
      <c r="E48437" s="1"/>
      <c r="F48437" s="1"/>
      <c r="G48437" s="1"/>
    </row>
    <row r="48438">
      <c r="B48438" s="36"/>
      <c r="C48438" s="36"/>
      <c r="E48438" s="1"/>
      <c r="F48438" s="1"/>
      <c r="G48438" s="1"/>
    </row>
    <row r="48439">
      <c r="B48439" s="36"/>
      <c r="C48439" s="36"/>
      <c r="E48439" s="1"/>
      <c r="F48439" s="1"/>
      <c r="G48439" s="1"/>
    </row>
    <row r="48440">
      <c r="B48440" s="36"/>
      <c r="C48440" s="36"/>
      <c r="E48440" s="1"/>
      <c r="F48440" s="1"/>
      <c r="G48440" s="1"/>
    </row>
    <row r="48441">
      <c r="B48441" s="36"/>
      <c r="C48441" s="36"/>
      <c r="E48441" s="1"/>
      <c r="F48441" s="1"/>
      <c r="G48441" s="1"/>
    </row>
    <row r="48442">
      <c r="B48442" s="36"/>
      <c r="C48442" s="36"/>
      <c r="E48442" s="1"/>
      <c r="F48442" s="1"/>
      <c r="G48442" s="1"/>
    </row>
    <row r="48443">
      <c r="B48443" s="36"/>
      <c r="C48443" s="36"/>
      <c r="E48443" s="1"/>
      <c r="F48443" s="1"/>
      <c r="G48443" s="1"/>
    </row>
    <row r="48444">
      <c r="B48444" s="36"/>
      <c r="C48444" s="36"/>
      <c r="E48444" s="1"/>
      <c r="F48444" s="1"/>
      <c r="G48444" s="1"/>
    </row>
    <row r="48445">
      <c r="B48445" s="36"/>
      <c r="C48445" s="36"/>
      <c r="E48445" s="1"/>
      <c r="F48445" s="1"/>
      <c r="G48445" s="1"/>
    </row>
    <row r="48446">
      <c r="B48446" s="36"/>
      <c r="C48446" s="36"/>
      <c r="E48446" s="1"/>
      <c r="F48446" s="1"/>
      <c r="G48446" s="1"/>
    </row>
    <row r="48447">
      <c r="B48447" s="36"/>
      <c r="C48447" s="36"/>
      <c r="E48447" s="1"/>
      <c r="F48447" s="1"/>
      <c r="G48447" s="1"/>
    </row>
    <row r="48448">
      <c r="B48448" s="36"/>
      <c r="C48448" s="36"/>
      <c r="E48448" s="1"/>
      <c r="F48448" s="1"/>
      <c r="G48448" s="1"/>
    </row>
    <row r="48449">
      <c r="B48449" s="36"/>
      <c r="C48449" s="36"/>
      <c r="E48449" s="1"/>
      <c r="F48449" s="1"/>
      <c r="G48449" s="1"/>
    </row>
    <row r="48450">
      <c r="B48450" s="36"/>
      <c r="C48450" s="36"/>
      <c r="E48450" s="1"/>
      <c r="F48450" s="1"/>
      <c r="G48450" s="1"/>
    </row>
    <row r="48451">
      <c r="B48451" s="36"/>
      <c r="C48451" s="36"/>
      <c r="E48451" s="1"/>
      <c r="F48451" s="1"/>
      <c r="G48451" s="1"/>
    </row>
    <row r="48452">
      <c r="B48452" s="36"/>
      <c r="C48452" s="36"/>
      <c r="E48452" s="1"/>
      <c r="F48452" s="1"/>
      <c r="G48452" s="1"/>
    </row>
    <row r="48453">
      <c r="B48453" s="36"/>
      <c r="C48453" s="36"/>
      <c r="E48453" s="1"/>
      <c r="F48453" s="1"/>
      <c r="G48453" s="1"/>
    </row>
    <row r="48454">
      <c r="B48454" s="36"/>
      <c r="C48454" s="36"/>
      <c r="E48454" s="1"/>
      <c r="F48454" s="1"/>
      <c r="G48454" s="1"/>
    </row>
    <row r="48455">
      <c r="B48455" s="36"/>
      <c r="C48455" s="36"/>
      <c r="E48455" s="1"/>
      <c r="F48455" s="1"/>
      <c r="G48455" s="1"/>
    </row>
    <row r="48456">
      <c r="B48456" s="36"/>
      <c r="C48456" s="36"/>
      <c r="E48456" s="1"/>
      <c r="F48456" s="1"/>
      <c r="G48456" s="1"/>
    </row>
    <row r="48457">
      <c r="B48457" s="36"/>
      <c r="C48457" s="36"/>
      <c r="E48457" s="1"/>
      <c r="F48457" s="1"/>
      <c r="G48457" s="1"/>
    </row>
    <row r="48458">
      <c r="B48458" s="36"/>
      <c r="C48458" s="36"/>
      <c r="E48458" s="1"/>
      <c r="F48458" s="1"/>
      <c r="G48458" s="1"/>
    </row>
    <row r="48459">
      <c r="B48459" s="36"/>
      <c r="C48459" s="36"/>
      <c r="E48459" s="1"/>
      <c r="F48459" s="1"/>
      <c r="G48459" s="1"/>
    </row>
    <row r="48460">
      <c r="B48460" s="36"/>
      <c r="C48460" s="36"/>
      <c r="E48460" s="1"/>
      <c r="F48460" s="1"/>
      <c r="G48460" s="1"/>
    </row>
    <row r="48461">
      <c r="B48461" s="36"/>
      <c r="C48461" s="36"/>
      <c r="E48461" s="1"/>
      <c r="F48461" s="1"/>
      <c r="G48461" s="1"/>
    </row>
    <row r="48462">
      <c r="B48462" s="36"/>
      <c r="C48462" s="36"/>
      <c r="E48462" s="1"/>
      <c r="F48462" s="1"/>
      <c r="G48462" s="1"/>
    </row>
    <row r="48463">
      <c r="B48463" s="36"/>
      <c r="C48463" s="36"/>
      <c r="E48463" s="1"/>
      <c r="F48463" s="1"/>
      <c r="G48463" s="1"/>
    </row>
    <row r="48464">
      <c r="B48464" s="36"/>
      <c r="C48464" s="36"/>
      <c r="E48464" s="1"/>
      <c r="F48464" s="1"/>
      <c r="G48464" s="1"/>
    </row>
    <row r="48465">
      <c r="B48465" s="36"/>
      <c r="C48465" s="36"/>
      <c r="E48465" s="1"/>
      <c r="F48465" s="1"/>
      <c r="G48465" s="1"/>
    </row>
    <row r="48466">
      <c r="B48466" s="36"/>
      <c r="C48466" s="36"/>
      <c r="E48466" s="1"/>
      <c r="F48466" s="1"/>
      <c r="G48466" s="1"/>
    </row>
    <row r="48467">
      <c r="B48467" s="36"/>
      <c r="C48467" s="36"/>
      <c r="E48467" s="1"/>
      <c r="F48467" s="1"/>
      <c r="G48467" s="1"/>
    </row>
    <row r="48468">
      <c r="B48468" s="36"/>
      <c r="C48468" s="36"/>
      <c r="E48468" s="1"/>
      <c r="F48468" s="1"/>
      <c r="G48468" s="1"/>
    </row>
    <row r="48469">
      <c r="B48469" s="36"/>
      <c r="C48469" s="36"/>
      <c r="E48469" s="1"/>
      <c r="F48469" s="1"/>
      <c r="G48469" s="1"/>
    </row>
    <row r="48470">
      <c r="B48470" s="36"/>
      <c r="C48470" s="36"/>
      <c r="E48470" s="1"/>
      <c r="F48470" s="1"/>
      <c r="G48470" s="1"/>
    </row>
    <row r="48471">
      <c r="B48471" s="36"/>
      <c r="C48471" s="36"/>
      <c r="E48471" s="1"/>
      <c r="F48471" s="1"/>
      <c r="G48471" s="1"/>
    </row>
    <row r="48472">
      <c r="B48472" s="36"/>
      <c r="C48472" s="36"/>
      <c r="E48472" s="1"/>
      <c r="F48472" s="1"/>
      <c r="G48472" s="1"/>
    </row>
    <row r="48473">
      <c r="B48473" s="36"/>
      <c r="C48473" s="36"/>
      <c r="E48473" s="1"/>
      <c r="F48473" s="1"/>
      <c r="G48473" s="1"/>
    </row>
    <row r="48474">
      <c r="B48474" s="36"/>
      <c r="C48474" s="36"/>
      <c r="E48474" s="1"/>
      <c r="F48474" s="1"/>
      <c r="G48474" s="1"/>
    </row>
    <row r="48475">
      <c r="B48475" s="36"/>
      <c r="C48475" s="36"/>
      <c r="E48475" s="1"/>
      <c r="F48475" s="1"/>
      <c r="G48475" s="1"/>
    </row>
    <row r="48476">
      <c r="B48476" s="36"/>
      <c r="C48476" s="36"/>
      <c r="E48476" s="1"/>
      <c r="F48476" s="1"/>
      <c r="G48476" s="1"/>
    </row>
    <row r="48477">
      <c r="B48477" s="36"/>
      <c r="C48477" s="36"/>
      <c r="E48477" s="1"/>
      <c r="F48477" s="1"/>
      <c r="G48477" s="1"/>
    </row>
    <row r="48478">
      <c r="B48478" s="36"/>
      <c r="C48478" s="36"/>
      <c r="E48478" s="1"/>
      <c r="F48478" s="1"/>
      <c r="G48478" s="1"/>
    </row>
    <row r="48479">
      <c r="B48479" s="36"/>
      <c r="C48479" s="36"/>
      <c r="E48479" s="1"/>
      <c r="F48479" s="1"/>
      <c r="G48479" s="1"/>
    </row>
    <row r="48480">
      <c r="B48480" s="36"/>
      <c r="C48480" s="36"/>
      <c r="E48480" s="1"/>
      <c r="F48480" s="1"/>
      <c r="G48480" s="1"/>
    </row>
    <row r="48481">
      <c r="B48481" s="36"/>
      <c r="C48481" s="36"/>
      <c r="E48481" s="1"/>
      <c r="F48481" s="1"/>
      <c r="G48481" s="1"/>
    </row>
    <row r="48482">
      <c r="B48482" s="36"/>
      <c r="C48482" s="36"/>
      <c r="E48482" s="1"/>
      <c r="F48482" s="1"/>
      <c r="G48482" s="1"/>
    </row>
    <row r="48483">
      <c r="B48483" s="36"/>
      <c r="C48483" s="36"/>
      <c r="E48483" s="1"/>
      <c r="F48483" s="1"/>
      <c r="G48483" s="1"/>
    </row>
    <row r="48484">
      <c r="B48484" s="36"/>
      <c r="C48484" s="36"/>
      <c r="E48484" s="1"/>
      <c r="F48484" s="1"/>
      <c r="G48484" s="1"/>
    </row>
    <row r="48485">
      <c r="B48485" s="36"/>
      <c r="C48485" s="36"/>
      <c r="E48485" s="1"/>
      <c r="F48485" s="1"/>
      <c r="G48485" s="1"/>
    </row>
    <row r="48486">
      <c r="B48486" s="36"/>
      <c r="C48486" s="36"/>
      <c r="E48486" s="1"/>
      <c r="F48486" s="1"/>
      <c r="G48486" s="1"/>
    </row>
    <row r="48487">
      <c r="B48487" s="36"/>
      <c r="C48487" s="36"/>
      <c r="E48487" s="1"/>
      <c r="F48487" s="1"/>
      <c r="G48487" s="1"/>
    </row>
    <row r="48488">
      <c r="B48488" s="36"/>
      <c r="C48488" s="36"/>
      <c r="E48488" s="1"/>
      <c r="F48488" s="1"/>
      <c r="G48488" s="1"/>
    </row>
    <row r="48489">
      <c r="B48489" s="36"/>
      <c r="C48489" s="36"/>
      <c r="E48489" s="1"/>
      <c r="F48489" s="1"/>
      <c r="G48489" s="1"/>
    </row>
    <row r="48490">
      <c r="B48490" s="36"/>
      <c r="C48490" s="36"/>
      <c r="E48490" s="1"/>
      <c r="F48490" s="1"/>
      <c r="G48490" s="1"/>
    </row>
    <row r="48491">
      <c r="B48491" s="36"/>
      <c r="C48491" s="36"/>
      <c r="E48491" s="1"/>
      <c r="F48491" s="1"/>
      <c r="G48491" s="1"/>
    </row>
    <row r="48492">
      <c r="B48492" s="36"/>
      <c r="C48492" s="36"/>
      <c r="E48492" s="1"/>
      <c r="F48492" s="1"/>
      <c r="G48492" s="1"/>
    </row>
    <row r="48493">
      <c r="B48493" s="36"/>
      <c r="C48493" s="36"/>
      <c r="E48493" s="1"/>
      <c r="F48493" s="1"/>
      <c r="G48493" s="1"/>
    </row>
    <row r="48494">
      <c r="B48494" s="36"/>
      <c r="C48494" s="36"/>
      <c r="E48494" s="1"/>
      <c r="F48494" s="1"/>
      <c r="G48494" s="1"/>
    </row>
    <row r="48495">
      <c r="B48495" s="36"/>
      <c r="C48495" s="36"/>
      <c r="E48495" s="1"/>
      <c r="F48495" s="1"/>
      <c r="G48495" s="1"/>
    </row>
    <row r="48496">
      <c r="B48496" s="36"/>
      <c r="C48496" s="36"/>
      <c r="E48496" s="1"/>
      <c r="F48496" s="1"/>
      <c r="G48496" s="1"/>
    </row>
    <row r="48497">
      <c r="B48497" s="36"/>
      <c r="C48497" s="36"/>
      <c r="E48497" s="1"/>
      <c r="F48497" s="1"/>
      <c r="G48497" s="1"/>
    </row>
    <row r="48498">
      <c r="B48498" s="36"/>
      <c r="C48498" s="36"/>
      <c r="E48498" s="1"/>
      <c r="F48498" s="1"/>
      <c r="G48498" s="1"/>
    </row>
    <row r="48499">
      <c r="B48499" s="36"/>
      <c r="C48499" s="36"/>
      <c r="E48499" s="1"/>
      <c r="F48499" s="1"/>
      <c r="G48499" s="1"/>
    </row>
    <row r="48500">
      <c r="B48500" s="36"/>
      <c r="C48500" s="36"/>
      <c r="E48500" s="1"/>
      <c r="F48500" s="1"/>
      <c r="G48500" s="1"/>
    </row>
    <row r="48501">
      <c r="B48501" s="36"/>
      <c r="C48501" s="36"/>
      <c r="E48501" s="1"/>
      <c r="F48501" s="1"/>
      <c r="G48501" s="1"/>
    </row>
    <row r="48502">
      <c r="B48502" s="36"/>
      <c r="C48502" s="36"/>
      <c r="E48502" s="1"/>
      <c r="F48502" s="1"/>
      <c r="G48502" s="1"/>
    </row>
    <row r="48503">
      <c r="B48503" s="36"/>
      <c r="C48503" s="36"/>
      <c r="E48503" s="1"/>
      <c r="F48503" s="1"/>
      <c r="G48503" s="1"/>
    </row>
    <row r="48504">
      <c r="B48504" s="36"/>
      <c r="C48504" s="36"/>
      <c r="E48504" s="1"/>
      <c r="F48504" s="1"/>
      <c r="G48504" s="1"/>
    </row>
    <row r="48505">
      <c r="B48505" s="36"/>
      <c r="C48505" s="36"/>
      <c r="E48505" s="1"/>
      <c r="F48505" s="1"/>
      <c r="G48505" s="1"/>
    </row>
    <row r="48506">
      <c r="B48506" s="36"/>
      <c r="C48506" s="36"/>
      <c r="E48506" s="1"/>
      <c r="F48506" s="1"/>
      <c r="G48506" s="1"/>
    </row>
    <row r="48507">
      <c r="B48507" s="36"/>
      <c r="C48507" s="36"/>
      <c r="E48507" s="1"/>
      <c r="F48507" s="1"/>
      <c r="G48507" s="1"/>
    </row>
    <row r="48508">
      <c r="B48508" s="36"/>
      <c r="C48508" s="36"/>
      <c r="E48508" s="1"/>
      <c r="F48508" s="1"/>
      <c r="G48508" s="1"/>
    </row>
    <row r="48509">
      <c r="B48509" s="36"/>
      <c r="C48509" s="36"/>
      <c r="E48509" s="1"/>
      <c r="F48509" s="1"/>
      <c r="G48509" s="1"/>
    </row>
    <row r="48510">
      <c r="B48510" s="36"/>
      <c r="C48510" s="36"/>
      <c r="E48510" s="1"/>
      <c r="F48510" s="1"/>
      <c r="G48510" s="1"/>
    </row>
    <row r="48511">
      <c r="B48511" s="36"/>
      <c r="C48511" s="36"/>
      <c r="E48511" s="1"/>
      <c r="F48511" s="1"/>
      <c r="G48511" s="1"/>
    </row>
    <row r="48512">
      <c r="B48512" s="36"/>
      <c r="C48512" s="36"/>
      <c r="E48512" s="1"/>
      <c r="F48512" s="1"/>
      <c r="G48512" s="1"/>
    </row>
    <row r="48513">
      <c r="B48513" s="36"/>
      <c r="C48513" s="36"/>
      <c r="E48513" s="1"/>
      <c r="F48513" s="1"/>
      <c r="G48513" s="1"/>
    </row>
    <row r="48514">
      <c r="B48514" s="36"/>
      <c r="C48514" s="36"/>
      <c r="E48514" s="1"/>
      <c r="F48514" s="1"/>
      <c r="G48514" s="1"/>
    </row>
    <row r="48515">
      <c r="B48515" s="36"/>
      <c r="C48515" s="36"/>
      <c r="E48515" s="1"/>
      <c r="F48515" s="1"/>
      <c r="G48515" s="1"/>
    </row>
    <row r="48516">
      <c r="B48516" s="36"/>
      <c r="C48516" s="36"/>
      <c r="E48516" s="1"/>
      <c r="F48516" s="1"/>
      <c r="G48516" s="1"/>
    </row>
    <row r="48517">
      <c r="B48517" s="36"/>
      <c r="C48517" s="36"/>
      <c r="E48517" s="1"/>
      <c r="F48517" s="1"/>
      <c r="G48517" s="1"/>
    </row>
    <row r="48518">
      <c r="B48518" s="36"/>
      <c r="C48518" s="36"/>
      <c r="E48518" s="1"/>
      <c r="F48518" s="1"/>
      <c r="G48518" s="1"/>
    </row>
    <row r="48519">
      <c r="B48519" s="36"/>
      <c r="C48519" s="36"/>
      <c r="E48519" s="1"/>
      <c r="F48519" s="1"/>
      <c r="G48519" s="1"/>
    </row>
    <row r="48520">
      <c r="B48520" s="36"/>
      <c r="C48520" s="36"/>
      <c r="E48520" s="1"/>
      <c r="F48520" s="1"/>
      <c r="G48520" s="1"/>
    </row>
    <row r="48521">
      <c r="B48521" s="36"/>
      <c r="C48521" s="36"/>
      <c r="E48521" s="1"/>
      <c r="F48521" s="1"/>
      <c r="G48521" s="1"/>
    </row>
    <row r="48522">
      <c r="B48522" s="36"/>
      <c r="C48522" s="36"/>
      <c r="E48522" s="1"/>
      <c r="F48522" s="1"/>
      <c r="G48522" s="1"/>
    </row>
    <row r="48523">
      <c r="B48523" s="36"/>
      <c r="C48523" s="36"/>
      <c r="E48523" s="1"/>
      <c r="F48523" s="1"/>
      <c r="G48523" s="1"/>
    </row>
    <row r="48524">
      <c r="B48524" s="36"/>
      <c r="C48524" s="36"/>
      <c r="E48524" s="1"/>
      <c r="F48524" s="1"/>
      <c r="G48524" s="1"/>
    </row>
    <row r="48525">
      <c r="B48525" s="36"/>
      <c r="C48525" s="36"/>
      <c r="E48525" s="1"/>
      <c r="F48525" s="1"/>
      <c r="G48525" s="1"/>
    </row>
    <row r="48526">
      <c r="B48526" s="36"/>
      <c r="C48526" s="36"/>
      <c r="E48526" s="1"/>
      <c r="F48526" s="1"/>
      <c r="G48526" s="1"/>
    </row>
    <row r="48527">
      <c r="B48527" s="36"/>
      <c r="C48527" s="36"/>
      <c r="E48527" s="1"/>
      <c r="F48527" s="1"/>
      <c r="G48527" s="1"/>
    </row>
    <row r="48528">
      <c r="B48528" s="36"/>
      <c r="C48528" s="36"/>
      <c r="E48528" s="1"/>
      <c r="F48528" s="1"/>
      <c r="G48528" s="1"/>
    </row>
    <row r="48529">
      <c r="B48529" s="36"/>
      <c r="C48529" s="36"/>
      <c r="E48529" s="1"/>
      <c r="F48529" s="1"/>
      <c r="G48529" s="1"/>
    </row>
    <row r="48530">
      <c r="B48530" s="36"/>
      <c r="C48530" s="36"/>
      <c r="E48530" s="1"/>
      <c r="F48530" s="1"/>
      <c r="G48530" s="1"/>
    </row>
    <row r="48531">
      <c r="B48531" s="36"/>
      <c r="C48531" s="36"/>
      <c r="E48531" s="1"/>
      <c r="F48531" s="1"/>
      <c r="G48531" s="1"/>
    </row>
    <row r="48532">
      <c r="B48532" s="36"/>
      <c r="C48532" s="36"/>
      <c r="E48532" s="1"/>
      <c r="F48532" s="1"/>
      <c r="G48532" s="1"/>
    </row>
    <row r="48533">
      <c r="B48533" s="36"/>
      <c r="C48533" s="36"/>
      <c r="E48533" s="1"/>
      <c r="F48533" s="1"/>
      <c r="G48533" s="1"/>
    </row>
    <row r="48534">
      <c r="B48534" s="36"/>
      <c r="C48534" s="36"/>
      <c r="E48534" s="1"/>
      <c r="F48534" s="1"/>
      <c r="G48534" s="1"/>
    </row>
    <row r="48535">
      <c r="B48535" s="36"/>
      <c r="C48535" s="36"/>
      <c r="E48535" s="1"/>
      <c r="F48535" s="1"/>
      <c r="G48535" s="1"/>
    </row>
    <row r="48536">
      <c r="B48536" s="36"/>
      <c r="C48536" s="36"/>
      <c r="E48536" s="1"/>
      <c r="F48536" s="1"/>
      <c r="G48536" s="1"/>
    </row>
    <row r="48537">
      <c r="B48537" s="36"/>
      <c r="C48537" s="36"/>
      <c r="E48537" s="1"/>
      <c r="F48537" s="1"/>
      <c r="G48537" s="1"/>
    </row>
    <row r="48538">
      <c r="B48538" s="36"/>
      <c r="C48538" s="36"/>
      <c r="E48538" s="1"/>
      <c r="F48538" s="1"/>
      <c r="G48538" s="1"/>
    </row>
    <row r="48539">
      <c r="B48539" s="36"/>
      <c r="C48539" s="36"/>
      <c r="E48539" s="1"/>
      <c r="F48539" s="1"/>
      <c r="G48539" s="1"/>
    </row>
    <row r="48540">
      <c r="B48540" s="36"/>
      <c r="C48540" s="36"/>
      <c r="E48540" s="1"/>
      <c r="F48540" s="1"/>
      <c r="G48540" s="1"/>
    </row>
    <row r="48541">
      <c r="B48541" s="36"/>
      <c r="C48541" s="36"/>
      <c r="E48541" s="1"/>
      <c r="F48541" s="1"/>
      <c r="G48541" s="1"/>
    </row>
    <row r="48542">
      <c r="B48542" s="36"/>
      <c r="C48542" s="36"/>
      <c r="E48542" s="1"/>
      <c r="F48542" s="1"/>
      <c r="G48542" s="1"/>
    </row>
    <row r="48543">
      <c r="B48543" s="36"/>
      <c r="C48543" s="36"/>
      <c r="E48543" s="1"/>
      <c r="F48543" s="1"/>
      <c r="G48543" s="1"/>
    </row>
    <row r="48544">
      <c r="B48544" s="36"/>
      <c r="C48544" s="36"/>
      <c r="E48544" s="1"/>
      <c r="F48544" s="1"/>
      <c r="G48544" s="1"/>
    </row>
    <row r="48545">
      <c r="B48545" s="36"/>
      <c r="C48545" s="36"/>
      <c r="E48545" s="1"/>
      <c r="F48545" s="1"/>
      <c r="G48545" s="1"/>
    </row>
    <row r="48546">
      <c r="B48546" s="36"/>
      <c r="C48546" s="36"/>
      <c r="E48546" s="1"/>
      <c r="F48546" s="1"/>
      <c r="G48546" s="1"/>
    </row>
    <row r="48547">
      <c r="B48547" s="36"/>
      <c r="C48547" s="36"/>
      <c r="E48547" s="1"/>
      <c r="F48547" s="1"/>
      <c r="G48547" s="1"/>
    </row>
    <row r="48548">
      <c r="B48548" s="36"/>
      <c r="C48548" s="36"/>
      <c r="E48548" s="1"/>
      <c r="F48548" s="1"/>
      <c r="G48548" s="1"/>
    </row>
    <row r="48549">
      <c r="B48549" s="36"/>
      <c r="C48549" s="36"/>
      <c r="E48549" s="1"/>
      <c r="F48549" s="1"/>
      <c r="G48549" s="1"/>
    </row>
    <row r="48550">
      <c r="B48550" s="36"/>
      <c r="C48550" s="36"/>
      <c r="E48550" s="1"/>
      <c r="F48550" s="1"/>
      <c r="G48550" s="1"/>
    </row>
    <row r="48551">
      <c r="B48551" s="36"/>
      <c r="C48551" s="36"/>
      <c r="E48551" s="1"/>
      <c r="F48551" s="1"/>
      <c r="G48551" s="1"/>
    </row>
    <row r="48552">
      <c r="B48552" s="36"/>
      <c r="C48552" s="36"/>
      <c r="E48552" s="1"/>
      <c r="F48552" s="1"/>
      <c r="G48552" s="1"/>
    </row>
    <row r="48553">
      <c r="B48553" s="36"/>
      <c r="C48553" s="36"/>
      <c r="E48553" s="1"/>
      <c r="F48553" s="1"/>
      <c r="G48553" s="1"/>
    </row>
    <row r="48554">
      <c r="B48554" s="36"/>
      <c r="C48554" s="36"/>
      <c r="E48554" s="1"/>
      <c r="F48554" s="1"/>
      <c r="G48554" s="1"/>
    </row>
    <row r="48555">
      <c r="B48555" s="36"/>
      <c r="C48555" s="36"/>
      <c r="E48555" s="1"/>
      <c r="F48555" s="1"/>
      <c r="G48555" s="1"/>
    </row>
    <row r="48556">
      <c r="B48556" s="36"/>
      <c r="C48556" s="36"/>
      <c r="E48556" s="1"/>
      <c r="F48556" s="1"/>
      <c r="G48556" s="1"/>
    </row>
    <row r="48557">
      <c r="B48557" s="36"/>
      <c r="C48557" s="36"/>
      <c r="E48557" s="1"/>
      <c r="F48557" s="1"/>
      <c r="G48557" s="1"/>
    </row>
    <row r="48558">
      <c r="B48558" s="36"/>
      <c r="C48558" s="36"/>
      <c r="E48558" s="1"/>
      <c r="F48558" s="1"/>
      <c r="G48558" s="1"/>
    </row>
    <row r="48559">
      <c r="B48559" s="36"/>
      <c r="C48559" s="36"/>
      <c r="E48559" s="1"/>
      <c r="F48559" s="1"/>
      <c r="G48559" s="1"/>
    </row>
    <row r="48560">
      <c r="B48560" s="36"/>
      <c r="C48560" s="36"/>
      <c r="E48560" s="1"/>
      <c r="F48560" s="1"/>
      <c r="G48560" s="1"/>
    </row>
    <row r="48561">
      <c r="B48561" s="36"/>
      <c r="C48561" s="36"/>
      <c r="E48561" s="1"/>
      <c r="F48561" s="1"/>
      <c r="G48561" s="1"/>
    </row>
    <row r="48562">
      <c r="B48562" s="36"/>
      <c r="C48562" s="36"/>
      <c r="E48562" s="1"/>
      <c r="F48562" s="1"/>
      <c r="G48562" s="1"/>
    </row>
    <row r="48563">
      <c r="B48563" s="36"/>
      <c r="C48563" s="36"/>
      <c r="E48563" s="1"/>
      <c r="F48563" s="1"/>
      <c r="G48563" s="1"/>
    </row>
    <row r="48564">
      <c r="B48564" s="36"/>
      <c r="C48564" s="36"/>
      <c r="E48564" s="1"/>
      <c r="F48564" s="1"/>
      <c r="G48564" s="1"/>
    </row>
    <row r="48565">
      <c r="B48565" s="36"/>
      <c r="C48565" s="36"/>
      <c r="E48565" s="1"/>
      <c r="F48565" s="1"/>
      <c r="G48565" s="1"/>
    </row>
    <row r="48566">
      <c r="B48566" s="36"/>
      <c r="C48566" s="36"/>
      <c r="E48566" s="1"/>
      <c r="F48566" s="1"/>
      <c r="G48566" s="1"/>
    </row>
    <row r="48567">
      <c r="B48567" s="36"/>
      <c r="C48567" s="36"/>
      <c r="E48567" s="1"/>
      <c r="F48567" s="1"/>
      <c r="G48567" s="1"/>
    </row>
    <row r="48568">
      <c r="B48568" s="36"/>
      <c r="C48568" s="36"/>
      <c r="E48568" s="1"/>
      <c r="F48568" s="1"/>
      <c r="G48568" s="1"/>
    </row>
    <row r="48569">
      <c r="B48569" s="36"/>
      <c r="C48569" s="36"/>
      <c r="E48569" s="1"/>
      <c r="F48569" s="1"/>
      <c r="G48569" s="1"/>
    </row>
    <row r="48570">
      <c r="B48570" s="36"/>
      <c r="C48570" s="36"/>
      <c r="E48570" s="1"/>
      <c r="F48570" s="1"/>
      <c r="G48570" s="1"/>
    </row>
    <row r="48571">
      <c r="B48571" s="36"/>
      <c r="C48571" s="36"/>
      <c r="E48571" s="1"/>
      <c r="F48571" s="1"/>
      <c r="G48571" s="1"/>
    </row>
    <row r="48572">
      <c r="B48572" s="36"/>
      <c r="C48572" s="36"/>
      <c r="E48572" s="1"/>
      <c r="F48572" s="1"/>
      <c r="G48572" s="1"/>
    </row>
    <row r="48573">
      <c r="B48573" s="36"/>
      <c r="C48573" s="36"/>
      <c r="E48573" s="1"/>
      <c r="F48573" s="1"/>
      <c r="G48573" s="1"/>
    </row>
    <row r="48574">
      <c r="B48574" s="36"/>
      <c r="C48574" s="36"/>
      <c r="E48574" s="1"/>
      <c r="F48574" s="1"/>
      <c r="G48574" s="1"/>
    </row>
    <row r="48575">
      <c r="B48575" s="36"/>
      <c r="C48575" s="36"/>
      <c r="E48575" s="1"/>
      <c r="F48575" s="1"/>
      <c r="G48575" s="1"/>
    </row>
    <row r="48576">
      <c r="B48576" s="36"/>
      <c r="C48576" s="36"/>
      <c r="E48576" s="1"/>
      <c r="F48576" s="1"/>
      <c r="G48576" s="1"/>
    </row>
    <row r="48577">
      <c r="B48577" s="36"/>
      <c r="C48577" s="36"/>
      <c r="E48577" s="1"/>
      <c r="F48577" s="1"/>
      <c r="G48577" s="1"/>
    </row>
    <row r="48578">
      <c r="B48578" s="36"/>
      <c r="C48578" s="36"/>
      <c r="E48578" s="1"/>
      <c r="F48578" s="1"/>
      <c r="G48578" s="1"/>
    </row>
    <row r="48579">
      <c r="B48579" s="36"/>
      <c r="C48579" s="36"/>
      <c r="E48579" s="1"/>
      <c r="F48579" s="1"/>
      <c r="G48579" s="1"/>
    </row>
    <row r="48580">
      <c r="B48580" s="36"/>
      <c r="C48580" s="36"/>
      <c r="E48580" s="1"/>
      <c r="F48580" s="1"/>
      <c r="G48580" s="1"/>
    </row>
    <row r="48581">
      <c r="B48581" s="36"/>
      <c r="C48581" s="36"/>
      <c r="E48581" s="1"/>
      <c r="F48581" s="1"/>
      <c r="G48581" s="1"/>
    </row>
    <row r="48582">
      <c r="B48582" s="36"/>
      <c r="C48582" s="36"/>
      <c r="E48582" s="1"/>
      <c r="F48582" s="1"/>
      <c r="G48582" s="1"/>
    </row>
    <row r="48583">
      <c r="B48583" s="36"/>
      <c r="C48583" s="36"/>
      <c r="E48583" s="1"/>
      <c r="F48583" s="1"/>
      <c r="G48583" s="1"/>
    </row>
    <row r="48584">
      <c r="B48584" s="36"/>
      <c r="C48584" s="36"/>
      <c r="E48584" s="1"/>
      <c r="F48584" s="1"/>
      <c r="G48584" s="1"/>
    </row>
    <row r="48585">
      <c r="B48585" s="36"/>
      <c r="C48585" s="36"/>
      <c r="E48585" s="1"/>
      <c r="F48585" s="1"/>
      <c r="G48585" s="1"/>
    </row>
    <row r="48586">
      <c r="B48586" s="36"/>
      <c r="C48586" s="36"/>
      <c r="E48586" s="1"/>
      <c r="F48586" s="1"/>
      <c r="G48586" s="1"/>
    </row>
    <row r="48587">
      <c r="B48587" s="36"/>
      <c r="C48587" s="36"/>
      <c r="E48587" s="1"/>
      <c r="F48587" s="1"/>
      <c r="G48587" s="1"/>
    </row>
    <row r="48588">
      <c r="B48588" s="36"/>
      <c r="C48588" s="36"/>
      <c r="E48588" s="1"/>
      <c r="F48588" s="1"/>
      <c r="G48588" s="1"/>
    </row>
    <row r="48589">
      <c r="B48589" s="36"/>
      <c r="C48589" s="36"/>
      <c r="E48589" s="1"/>
      <c r="F48589" s="1"/>
      <c r="G48589" s="1"/>
    </row>
    <row r="48590">
      <c r="B48590" s="36"/>
      <c r="C48590" s="36"/>
      <c r="E48590" s="1"/>
      <c r="F48590" s="1"/>
      <c r="G48590" s="1"/>
    </row>
    <row r="48591">
      <c r="B48591" s="36"/>
      <c r="C48591" s="36"/>
      <c r="E48591" s="1"/>
      <c r="F48591" s="1"/>
      <c r="G48591" s="1"/>
    </row>
    <row r="48592">
      <c r="B48592" s="36"/>
      <c r="C48592" s="36"/>
      <c r="E48592" s="1"/>
      <c r="F48592" s="1"/>
      <c r="G48592" s="1"/>
    </row>
    <row r="48593">
      <c r="B48593" s="36"/>
      <c r="C48593" s="36"/>
      <c r="E48593" s="1"/>
      <c r="F48593" s="1"/>
      <c r="G48593" s="1"/>
    </row>
    <row r="48594">
      <c r="B48594" s="36"/>
      <c r="C48594" s="36"/>
      <c r="E48594" s="1"/>
      <c r="F48594" s="1"/>
      <c r="G48594" s="1"/>
    </row>
    <row r="48595">
      <c r="B48595" s="36"/>
      <c r="C48595" s="36"/>
      <c r="E48595" s="1"/>
      <c r="F48595" s="1"/>
      <c r="G48595" s="1"/>
    </row>
    <row r="48596">
      <c r="B48596" s="36"/>
      <c r="C48596" s="36"/>
      <c r="E48596" s="1"/>
      <c r="F48596" s="1"/>
      <c r="G48596" s="1"/>
    </row>
    <row r="48597">
      <c r="B48597" s="36"/>
      <c r="C48597" s="36"/>
      <c r="E48597" s="1"/>
      <c r="F48597" s="1"/>
      <c r="G48597" s="1"/>
    </row>
    <row r="48598">
      <c r="B48598" s="36"/>
      <c r="C48598" s="36"/>
      <c r="E48598" s="1"/>
      <c r="F48598" s="1"/>
      <c r="G48598" s="1"/>
    </row>
    <row r="48599">
      <c r="B48599" s="36"/>
      <c r="C48599" s="36"/>
      <c r="E48599" s="1"/>
      <c r="F48599" s="1"/>
      <c r="G48599" s="1"/>
    </row>
    <row r="48600">
      <c r="B48600" s="36"/>
      <c r="C48600" s="36"/>
      <c r="E48600" s="1"/>
      <c r="F48600" s="1"/>
      <c r="G48600" s="1"/>
    </row>
    <row r="48601">
      <c r="B48601" s="36"/>
      <c r="C48601" s="36"/>
      <c r="E48601" s="1"/>
      <c r="F48601" s="1"/>
      <c r="G48601" s="1"/>
    </row>
    <row r="48602">
      <c r="B48602" s="36"/>
      <c r="C48602" s="36"/>
      <c r="E48602" s="1"/>
      <c r="F48602" s="1"/>
      <c r="G48602" s="1"/>
    </row>
    <row r="48603">
      <c r="B48603" s="36"/>
      <c r="C48603" s="36"/>
      <c r="E48603" s="1"/>
      <c r="F48603" s="1"/>
      <c r="G48603" s="1"/>
    </row>
    <row r="48604">
      <c r="B48604" s="36"/>
      <c r="C48604" s="36"/>
      <c r="E48604" s="1"/>
      <c r="F48604" s="1"/>
      <c r="G48604" s="1"/>
    </row>
    <row r="48605">
      <c r="B48605" s="36"/>
      <c r="C48605" s="36"/>
      <c r="E48605" s="1"/>
      <c r="F48605" s="1"/>
      <c r="G48605" s="1"/>
    </row>
    <row r="48606">
      <c r="B48606" s="36"/>
      <c r="C48606" s="36"/>
      <c r="E48606" s="1"/>
      <c r="F48606" s="1"/>
      <c r="G48606" s="1"/>
    </row>
    <row r="48607">
      <c r="B48607" s="36"/>
      <c r="C48607" s="36"/>
      <c r="E48607" s="1"/>
      <c r="F48607" s="1"/>
      <c r="G48607" s="1"/>
    </row>
    <row r="48608">
      <c r="B48608" s="36"/>
      <c r="C48608" s="36"/>
      <c r="E48608" s="1"/>
      <c r="F48608" s="1"/>
      <c r="G48608" s="1"/>
    </row>
    <row r="48609">
      <c r="B48609" s="36"/>
      <c r="C48609" s="36"/>
      <c r="E48609" s="1"/>
      <c r="F48609" s="1"/>
      <c r="G48609" s="1"/>
    </row>
    <row r="48610">
      <c r="B48610" s="36"/>
      <c r="C48610" s="36"/>
      <c r="E48610" s="1"/>
      <c r="F48610" s="1"/>
      <c r="G48610" s="1"/>
    </row>
    <row r="48611">
      <c r="B48611" s="36"/>
      <c r="C48611" s="36"/>
      <c r="E48611" s="1"/>
      <c r="F48611" s="1"/>
      <c r="G48611" s="1"/>
    </row>
    <row r="48612">
      <c r="B48612" s="36"/>
      <c r="C48612" s="36"/>
      <c r="E48612" s="1"/>
      <c r="F48612" s="1"/>
      <c r="G48612" s="1"/>
    </row>
    <row r="48613">
      <c r="B48613" s="36"/>
      <c r="C48613" s="36"/>
      <c r="E48613" s="1"/>
      <c r="F48613" s="1"/>
      <c r="G48613" s="1"/>
    </row>
    <row r="48614">
      <c r="B48614" s="36"/>
      <c r="C48614" s="36"/>
      <c r="E48614" s="1"/>
      <c r="F48614" s="1"/>
      <c r="G48614" s="1"/>
    </row>
    <row r="48615">
      <c r="B48615" s="36"/>
      <c r="C48615" s="36"/>
      <c r="E48615" s="1"/>
      <c r="F48615" s="1"/>
      <c r="G48615" s="1"/>
    </row>
    <row r="48616">
      <c r="B48616" s="36"/>
      <c r="C48616" s="36"/>
      <c r="E48616" s="1"/>
      <c r="F48616" s="1"/>
      <c r="G48616" s="1"/>
    </row>
    <row r="48617">
      <c r="B48617" s="36"/>
      <c r="C48617" s="36"/>
      <c r="E48617" s="1"/>
      <c r="F48617" s="1"/>
      <c r="G48617" s="1"/>
    </row>
    <row r="48618">
      <c r="B48618" s="36"/>
      <c r="C48618" s="36"/>
      <c r="E48618" s="1"/>
      <c r="F48618" s="1"/>
      <c r="G48618" s="1"/>
    </row>
    <row r="48619">
      <c r="B48619" s="36"/>
      <c r="C48619" s="36"/>
      <c r="E48619" s="1"/>
      <c r="F48619" s="1"/>
      <c r="G48619" s="1"/>
    </row>
    <row r="48620">
      <c r="B48620" s="36"/>
      <c r="C48620" s="36"/>
      <c r="E48620" s="1"/>
      <c r="F48620" s="1"/>
      <c r="G48620" s="1"/>
    </row>
    <row r="48621">
      <c r="B48621" s="36"/>
      <c r="C48621" s="36"/>
      <c r="E48621" s="1"/>
      <c r="F48621" s="1"/>
      <c r="G48621" s="1"/>
    </row>
    <row r="48622">
      <c r="B48622" s="36"/>
      <c r="C48622" s="36"/>
      <c r="E48622" s="1"/>
      <c r="F48622" s="1"/>
      <c r="G48622" s="1"/>
    </row>
    <row r="48623">
      <c r="B48623" s="36"/>
      <c r="C48623" s="36"/>
      <c r="E48623" s="1"/>
      <c r="F48623" s="1"/>
      <c r="G48623" s="1"/>
    </row>
    <row r="48624">
      <c r="B48624" s="36"/>
      <c r="C48624" s="36"/>
      <c r="E48624" s="1"/>
      <c r="F48624" s="1"/>
      <c r="G48624" s="1"/>
    </row>
    <row r="48625">
      <c r="B48625" s="36"/>
      <c r="C48625" s="36"/>
      <c r="E48625" s="1"/>
      <c r="F48625" s="1"/>
      <c r="G48625" s="1"/>
    </row>
    <row r="48626">
      <c r="B48626" s="36"/>
      <c r="C48626" s="36"/>
      <c r="E48626" s="1"/>
      <c r="F48626" s="1"/>
      <c r="G48626" s="1"/>
    </row>
    <row r="48627">
      <c r="B48627" s="36"/>
      <c r="C48627" s="36"/>
      <c r="E48627" s="1"/>
      <c r="F48627" s="1"/>
      <c r="G48627" s="1"/>
    </row>
    <row r="48628">
      <c r="B48628" s="36"/>
      <c r="C48628" s="36"/>
      <c r="E48628" s="1"/>
      <c r="F48628" s="1"/>
      <c r="G48628" s="1"/>
    </row>
    <row r="48629">
      <c r="B48629" s="36"/>
      <c r="C48629" s="36"/>
      <c r="E48629" s="1"/>
      <c r="F48629" s="1"/>
      <c r="G48629" s="1"/>
    </row>
    <row r="48630">
      <c r="B48630" s="36"/>
      <c r="C48630" s="36"/>
      <c r="E48630" s="1"/>
      <c r="F48630" s="1"/>
      <c r="G48630" s="1"/>
    </row>
    <row r="48631">
      <c r="B48631" s="36"/>
      <c r="C48631" s="36"/>
      <c r="E48631" s="1"/>
      <c r="F48631" s="1"/>
      <c r="G48631" s="1"/>
    </row>
    <row r="48632">
      <c r="B48632" s="36"/>
      <c r="C48632" s="36"/>
      <c r="E48632" s="1"/>
      <c r="F48632" s="1"/>
      <c r="G48632" s="1"/>
    </row>
    <row r="48633">
      <c r="B48633" s="36"/>
      <c r="C48633" s="36"/>
      <c r="E48633" s="1"/>
      <c r="F48633" s="1"/>
      <c r="G48633" s="1"/>
    </row>
    <row r="48634">
      <c r="B48634" s="36"/>
      <c r="C48634" s="36"/>
      <c r="E48634" s="1"/>
      <c r="F48634" s="1"/>
      <c r="G48634" s="1"/>
    </row>
    <row r="48635">
      <c r="B48635" s="36"/>
      <c r="C48635" s="36"/>
      <c r="E48635" s="1"/>
      <c r="F48635" s="1"/>
      <c r="G48635" s="1"/>
    </row>
    <row r="48636">
      <c r="B48636" s="36"/>
      <c r="C48636" s="36"/>
      <c r="E48636" s="1"/>
      <c r="F48636" s="1"/>
      <c r="G48636" s="1"/>
    </row>
    <row r="48637">
      <c r="B48637" s="36"/>
      <c r="C48637" s="36"/>
      <c r="E48637" s="1"/>
      <c r="F48637" s="1"/>
      <c r="G48637" s="1"/>
    </row>
    <row r="48638">
      <c r="B48638" s="36"/>
      <c r="C48638" s="36"/>
      <c r="E48638" s="1"/>
      <c r="F48638" s="1"/>
      <c r="G48638" s="1"/>
    </row>
    <row r="48639">
      <c r="B48639" s="36"/>
      <c r="C48639" s="36"/>
      <c r="E48639" s="1"/>
      <c r="F48639" s="1"/>
      <c r="G48639" s="1"/>
    </row>
    <row r="48640">
      <c r="B48640" s="36"/>
      <c r="C48640" s="36"/>
      <c r="E48640" s="1"/>
      <c r="F48640" s="1"/>
      <c r="G48640" s="1"/>
    </row>
    <row r="48641">
      <c r="B48641" s="36"/>
      <c r="C48641" s="36"/>
      <c r="E48641" s="1"/>
      <c r="F48641" s="1"/>
      <c r="G48641" s="1"/>
    </row>
    <row r="48642">
      <c r="B48642" s="36"/>
      <c r="C48642" s="36"/>
      <c r="E48642" s="1"/>
      <c r="F48642" s="1"/>
      <c r="G48642" s="1"/>
    </row>
    <row r="48643">
      <c r="B48643" s="36"/>
      <c r="C48643" s="36"/>
      <c r="E48643" s="1"/>
      <c r="F48643" s="1"/>
      <c r="G48643" s="1"/>
    </row>
    <row r="48644">
      <c r="B48644" s="36"/>
      <c r="C48644" s="36"/>
      <c r="E48644" s="1"/>
      <c r="F48644" s="1"/>
      <c r="G48644" s="1"/>
    </row>
    <row r="48645">
      <c r="B48645" s="36"/>
      <c r="C48645" s="36"/>
      <c r="E48645" s="1"/>
      <c r="F48645" s="1"/>
      <c r="G48645" s="1"/>
    </row>
    <row r="48646">
      <c r="B48646" s="36"/>
      <c r="C48646" s="36"/>
      <c r="E48646" s="1"/>
      <c r="F48646" s="1"/>
      <c r="G48646" s="1"/>
    </row>
    <row r="48647">
      <c r="B48647" s="36"/>
      <c r="C48647" s="36"/>
      <c r="E48647" s="1"/>
      <c r="F48647" s="1"/>
      <c r="G48647" s="1"/>
    </row>
    <row r="48648">
      <c r="B48648" s="36"/>
      <c r="C48648" s="36"/>
      <c r="E48648" s="1"/>
      <c r="F48648" s="1"/>
      <c r="G48648" s="1"/>
    </row>
    <row r="48649">
      <c r="B48649" s="36"/>
      <c r="C48649" s="36"/>
      <c r="E48649" s="1"/>
      <c r="F48649" s="1"/>
      <c r="G48649" s="1"/>
    </row>
    <row r="48650">
      <c r="B48650" s="36"/>
      <c r="C48650" s="36"/>
      <c r="E48650" s="1"/>
      <c r="F48650" s="1"/>
      <c r="G48650" s="1"/>
    </row>
    <row r="48651">
      <c r="B48651" s="36"/>
      <c r="C48651" s="36"/>
      <c r="E48651" s="1"/>
      <c r="F48651" s="1"/>
      <c r="G48651" s="1"/>
    </row>
    <row r="48652">
      <c r="B48652" s="36"/>
      <c r="C48652" s="36"/>
      <c r="E48652" s="1"/>
      <c r="F48652" s="1"/>
      <c r="G48652" s="1"/>
    </row>
    <row r="48653">
      <c r="B48653" s="36"/>
      <c r="C48653" s="36"/>
      <c r="E48653" s="1"/>
      <c r="F48653" s="1"/>
      <c r="G48653" s="1"/>
    </row>
    <row r="48654">
      <c r="B48654" s="36"/>
      <c r="C48654" s="36"/>
      <c r="E48654" s="1"/>
      <c r="F48654" s="1"/>
      <c r="G48654" s="1"/>
    </row>
    <row r="48655">
      <c r="B48655" s="36"/>
      <c r="C48655" s="36"/>
      <c r="E48655" s="1"/>
      <c r="F48655" s="1"/>
      <c r="G48655" s="1"/>
    </row>
    <row r="48656">
      <c r="B48656" s="36"/>
      <c r="C48656" s="36"/>
      <c r="E48656" s="1"/>
      <c r="F48656" s="1"/>
      <c r="G48656" s="1"/>
    </row>
    <row r="48657">
      <c r="B48657" s="36"/>
      <c r="C48657" s="36"/>
      <c r="E48657" s="1"/>
      <c r="F48657" s="1"/>
      <c r="G48657" s="1"/>
    </row>
    <row r="48658">
      <c r="B48658" s="36"/>
      <c r="C48658" s="36"/>
      <c r="E48658" s="1"/>
      <c r="F48658" s="1"/>
      <c r="G48658" s="1"/>
    </row>
    <row r="48659">
      <c r="B48659" s="36"/>
      <c r="C48659" s="36"/>
      <c r="E48659" s="1"/>
      <c r="F48659" s="1"/>
      <c r="G48659" s="1"/>
    </row>
    <row r="48660">
      <c r="B48660" s="36"/>
      <c r="C48660" s="36"/>
      <c r="E48660" s="1"/>
      <c r="F48660" s="1"/>
      <c r="G48660" s="1"/>
    </row>
    <row r="48661">
      <c r="B48661" s="36"/>
      <c r="C48661" s="36"/>
      <c r="E48661" s="1"/>
      <c r="F48661" s="1"/>
      <c r="G48661" s="1"/>
    </row>
    <row r="48662">
      <c r="B48662" s="36"/>
      <c r="C48662" s="36"/>
      <c r="E48662" s="1"/>
      <c r="F48662" s="1"/>
      <c r="G48662" s="1"/>
    </row>
    <row r="48663">
      <c r="B48663" s="36"/>
      <c r="C48663" s="36"/>
      <c r="E48663" s="1"/>
      <c r="F48663" s="1"/>
      <c r="G48663" s="1"/>
    </row>
    <row r="48664">
      <c r="B48664" s="36"/>
      <c r="C48664" s="36"/>
      <c r="E48664" s="1"/>
      <c r="F48664" s="1"/>
      <c r="G48664" s="1"/>
    </row>
    <row r="48665">
      <c r="B48665" s="36"/>
      <c r="C48665" s="36"/>
      <c r="E48665" s="1"/>
      <c r="F48665" s="1"/>
      <c r="G48665" s="1"/>
    </row>
    <row r="48666">
      <c r="B48666" s="36"/>
      <c r="C48666" s="36"/>
      <c r="E48666" s="1"/>
      <c r="F48666" s="1"/>
      <c r="G48666" s="1"/>
    </row>
    <row r="48667">
      <c r="B48667" s="36"/>
      <c r="C48667" s="36"/>
      <c r="E48667" s="1"/>
      <c r="F48667" s="1"/>
      <c r="G48667" s="1"/>
    </row>
    <row r="48668">
      <c r="B48668" s="36"/>
      <c r="C48668" s="36"/>
      <c r="E48668" s="1"/>
      <c r="F48668" s="1"/>
      <c r="G48668" s="1"/>
    </row>
    <row r="48669">
      <c r="B48669" s="36"/>
      <c r="C48669" s="36"/>
      <c r="E48669" s="1"/>
      <c r="F48669" s="1"/>
      <c r="G48669" s="1"/>
    </row>
    <row r="48670">
      <c r="B48670" s="36"/>
      <c r="C48670" s="36"/>
      <c r="E48670" s="1"/>
      <c r="F48670" s="1"/>
      <c r="G48670" s="1"/>
    </row>
    <row r="48671">
      <c r="B48671" s="36"/>
      <c r="C48671" s="36"/>
      <c r="E48671" s="1"/>
      <c r="F48671" s="1"/>
      <c r="G48671" s="1"/>
    </row>
    <row r="48672">
      <c r="B48672" s="36"/>
      <c r="C48672" s="36"/>
      <c r="E48672" s="1"/>
      <c r="F48672" s="1"/>
      <c r="G48672" s="1"/>
    </row>
    <row r="48673">
      <c r="B48673" s="36"/>
      <c r="C48673" s="36"/>
      <c r="E48673" s="1"/>
      <c r="F48673" s="1"/>
      <c r="G48673" s="1"/>
    </row>
    <row r="48674">
      <c r="B48674" s="36"/>
      <c r="C48674" s="36"/>
      <c r="E48674" s="1"/>
      <c r="F48674" s="1"/>
      <c r="G48674" s="1"/>
    </row>
    <row r="48675">
      <c r="B48675" s="36"/>
      <c r="C48675" s="36"/>
      <c r="E48675" s="1"/>
      <c r="F48675" s="1"/>
      <c r="G48675" s="1"/>
    </row>
    <row r="48676">
      <c r="B48676" s="36"/>
      <c r="C48676" s="36"/>
      <c r="E48676" s="1"/>
      <c r="F48676" s="1"/>
      <c r="G48676" s="1"/>
    </row>
    <row r="48677">
      <c r="B48677" s="36"/>
      <c r="C48677" s="36"/>
      <c r="E48677" s="1"/>
      <c r="F48677" s="1"/>
      <c r="G48677" s="1"/>
    </row>
    <row r="48678">
      <c r="B48678" s="36"/>
      <c r="C48678" s="36"/>
      <c r="E48678" s="1"/>
      <c r="F48678" s="1"/>
      <c r="G48678" s="1"/>
    </row>
    <row r="48679">
      <c r="B48679" s="36"/>
      <c r="C48679" s="36"/>
      <c r="E48679" s="1"/>
      <c r="F48679" s="1"/>
      <c r="G48679" s="1"/>
    </row>
    <row r="48680">
      <c r="B48680" s="36"/>
      <c r="C48680" s="36"/>
      <c r="E48680" s="1"/>
      <c r="F48680" s="1"/>
      <c r="G48680" s="1"/>
    </row>
    <row r="48681">
      <c r="B48681" s="36"/>
      <c r="C48681" s="36"/>
      <c r="E48681" s="1"/>
      <c r="F48681" s="1"/>
      <c r="G48681" s="1"/>
    </row>
    <row r="48682">
      <c r="B48682" s="36"/>
      <c r="C48682" s="36"/>
      <c r="E48682" s="1"/>
      <c r="F48682" s="1"/>
      <c r="G48682" s="1"/>
    </row>
    <row r="48683">
      <c r="B48683" s="36"/>
      <c r="C48683" s="36"/>
      <c r="E48683" s="1"/>
      <c r="F48683" s="1"/>
      <c r="G48683" s="1"/>
    </row>
    <row r="48684">
      <c r="B48684" s="36"/>
      <c r="C48684" s="36"/>
      <c r="E48684" s="1"/>
      <c r="F48684" s="1"/>
      <c r="G48684" s="1"/>
    </row>
    <row r="48685">
      <c r="B48685" s="36"/>
      <c r="C48685" s="36"/>
      <c r="E48685" s="1"/>
      <c r="F48685" s="1"/>
      <c r="G48685" s="1"/>
    </row>
    <row r="48686">
      <c r="B48686" s="36"/>
      <c r="C48686" s="36"/>
      <c r="E48686" s="1"/>
      <c r="F48686" s="1"/>
      <c r="G48686" s="1"/>
    </row>
    <row r="48687">
      <c r="B48687" s="36"/>
      <c r="C48687" s="36"/>
      <c r="E48687" s="1"/>
      <c r="F48687" s="1"/>
      <c r="G48687" s="1"/>
    </row>
    <row r="48688">
      <c r="B48688" s="36"/>
      <c r="C48688" s="36"/>
      <c r="E48688" s="1"/>
      <c r="F48688" s="1"/>
      <c r="G48688" s="1"/>
    </row>
    <row r="48689">
      <c r="B48689" s="36"/>
      <c r="C48689" s="36"/>
      <c r="E48689" s="1"/>
      <c r="F48689" s="1"/>
      <c r="G48689" s="1"/>
    </row>
    <row r="48690">
      <c r="B48690" s="36"/>
      <c r="C48690" s="36"/>
      <c r="E48690" s="1"/>
      <c r="F48690" s="1"/>
      <c r="G48690" s="1"/>
    </row>
    <row r="48691">
      <c r="B48691" s="36"/>
      <c r="C48691" s="36"/>
      <c r="E48691" s="1"/>
      <c r="F48691" s="1"/>
      <c r="G48691" s="1"/>
    </row>
    <row r="48692">
      <c r="B48692" s="36"/>
      <c r="C48692" s="36"/>
      <c r="E48692" s="1"/>
      <c r="F48692" s="1"/>
      <c r="G48692" s="1"/>
    </row>
    <row r="48693">
      <c r="B48693" s="36"/>
      <c r="C48693" s="36"/>
      <c r="E48693" s="1"/>
      <c r="F48693" s="1"/>
      <c r="G48693" s="1"/>
    </row>
    <row r="48694">
      <c r="B48694" s="36"/>
      <c r="C48694" s="36"/>
      <c r="E48694" s="1"/>
      <c r="F48694" s="1"/>
      <c r="G48694" s="1"/>
    </row>
    <row r="48695">
      <c r="B48695" s="36"/>
      <c r="C48695" s="36"/>
      <c r="E48695" s="1"/>
      <c r="F48695" s="1"/>
      <c r="G48695" s="1"/>
    </row>
    <row r="48696">
      <c r="B48696" s="36"/>
      <c r="C48696" s="36"/>
      <c r="E48696" s="1"/>
      <c r="F48696" s="1"/>
      <c r="G48696" s="1"/>
    </row>
    <row r="48697">
      <c r="B48697" s="36"/>
      <c r="C48697" s="36"/>
      <c r="E48697" s="1"/>
      <c r="F48697" s="1"/>
      <c r="G48697" s="1"/>
    </row>
    <row r="48698">
      <c r="B48698" s="36"/>
      <c r="C48698" s="36"/>
      <c r="E48698" s="1"/>
      <c r="F48698" s="1"/>
      <c r="G48698" s="1"/>
    </row>
    <row r="48699">
      <c r="B48699" s="36"/>
      <c r="C48699" s="36"/>
      <c r="E48699" s="1"/>
      <c r="F48699" s="1"/>
      <c r="G48699" s="1"/>
    </row>
    <row r="48700">
      <c r="B48700" s="36"/>
      <c r="C48700" s="36"/>
      <c r="E48700" s="1"/>
      <c r="F48700" s="1"/>
      <c r="G48700" s="1"/>
    </row>
    <row r="48701">
      <c r="B48701" s="36"/>
      <c r="C48701" s="36"/>
      <c r="E48701" s="1"/>
      <c r="F48701" s="1"/>
      <c r="G48701" s="1"/>
    </row>
    <row r="48702">
      <c r="B48702" s="36"/>
      <c r="C48702" s="36"/>
      <c r="E48702" s="1"/>
      <c r="F48702" s="1"/>
      <c r="G48702" s="1"/>
    </row>
    <row r="48703">
      <c r="B48703" s="36"/>
      <c r="C48703" s="36"/>
      <c r="E48703" s="1"/>
      <c r="F48703" s="1"/>
      <c r="G48703" s="1"/>
    </row>
    <row r="48704">
      <c r="B48704" s="36"/>
      <c r="C48704" s="36"/>
      <c r="E48704" s="1"/>
      <c r="F48704" s="1"/>
      <c r="G48704" s="1"/>
    </row>
    <row r="48705">
      <c r="B48705" s="36"/>
      <c r="C48705" s="36"/>
      <c r="E48705" s="1"/>
      <c r="F48705" s="1"/>
      <c r="G48705" s="1"/>
    </row>
    <row r="48706">
      <c r="B48706" s="36"/>
      <c r="C48706" s="36"/>
      <c r="E48706" s="1"/>
      <c r="F48706" s="1"/>
      <c r="G48706" s="1"/>
    </row>
    <row r="48707">
      <c r="B48707" s="36"/>
      <c r="C48707" s="36"/>
      <c r="E48707" s="1"/>
      <c r="F48707" s="1"/>
      <c r="G48707" s="1"/>
    </row>
    <row r="48708">
      <c r="B48708" s="36"/>
      <c r="C48708" s="36"/>
      <c r="E48708" s="1"/>
      <c r="F48708" s="1"/>
      <c r="G48708" s="1"/>
    </row>
    <row r="48709">
      <c r="B48709" s="36"/>
      <c r="C48709" s="36"/>
      <c r="E48709" s="1"/>
      <c r="F48709" s="1"/>
      <c r="G48709" s="1"/>
    </row>
    <row r="48710">
      <c r="B48710" s="36"/>
      <c r="C48710" s="36"/>
      <c r="E48710" s="1"/>
      <c r="F48710" s="1"/>
      <c r="G48710" s="1"/>
    </row>
    <row r="48711">
      <c r="B48711" s="36"/>
      <c r="C48711" s="36"/>
      <c r="E48711" s="1"/>
      <c r="F48711" s="1"/>
      <c r="G48711" s="1"/>
    </row>
    <row r="48712">
      <c r="B48712" s="36"/>
      <c r="C48712" s="36"/>
      <c r="E48712" s="1"/>
      <c r="F48712" s="1"/>
      <c r="G48712" s="1"/>
    </row>
    <row r="48713">
      <c r="B48713" s="36"/>
      <c r="C48713" s="36"/>
      <c r="E48713" s="1"/>
      <c r="F48713" s="1"/>
      <c r="G48713" s="1"/>
    </row>
    <row r="48714">
      <c r="B48714" s="36"/>
      <c r="C48714" s="36"/>
      <c r="E48714" s="1"/>
      <c r="F48714" s="1"/>
      <c r="G48714" s="1"/>
    </row>
    <row r="48715">
      <c r="B48715" s="36"/>
      <c r="C48715" s="36"/>
      <c r="E48715" s="1"/>
      <c r="F48715" s="1"/>
      <c r="G48715" s="1"/>
    </row>
    <row r="48716">
      <c r="B48716" s="36"/>
      <c r="C48716" s="36"/>
      <c r="E48716" s="1"/>
      <c r="F48716" s="1"/>
      <c r="G48716" s="1"/>
    </row>
    <row r="48717">
      <c r="B48717" s="36"/>
      <c r="C48717" s="36"/>
      <c r="E48717" s="1"/>
      <c r="F48717" s="1"/>
      <c r="G48717" s="1"/>
    </row>
    <row r="48718">
      <c r="B48718" s="36"/>
      <c r="C48718" s="36"/>
      <c r="E48718" s="1"/>
      <c r="F48718" s="1"/>
      <c r="G48718" s="1"/>
    </row>
    <row r="48719">
      <c r="B48719" s="36"/>
      <c r="C48719" s="36"/>
      <c r="E48719" s="1"/>
      <c r="F48719" s="1"/>
      <c r="G48719" s="1"/>
    </row>
    <row r="48720">
      <c r="B48720" s="36"/>
      <c r="C48720" s="36"/>
      <c r="E48720" s="1"/>
      <c r="F48720" s="1"/>
      <c r="G48720" s="1"/>
    </row>
    <row r="48721">
      <c r="B48721" s="36"/>
      <c r="C48721" s="36"/>
      <c r="E48721" s="1"/>
      <c r="F48721" s="1"/>
      <c r="G48721" s="1"/>
    </row>
    <row r="48722">
      <c r="B48722" s="36"/>
      <c r="C48722" s="36"/>
      <c r="E48722" s="1"/>
      <c r="F48722" s="1"/>
      <c r="G48722" s="1"/>
    </row>
    <row r="48723">
      <c r="B48723" s="36"/>
      <c r="C48723" s="36"/>
      <c r="E48723" s="1"/>
      <c r="F48723" s="1"/>
      <c r="G48723" s="1"/>
    </row>
    <row r="48724">
      <c r="B48724" s="36"/>
      <c r="C48724" s="36"/>
      <c r="E48724" s="1"/>
      <c r="F48724" s="1"/>
      <c r="G48724" s="1"/>
    </row>
    <row r="48725">
      <c r="B48725" s="36"/>
      <c r="C48725" s="36"/>
      <c r="E48725" s="1"/>
      <c r="F48725" s="1"/>
      <c r="G48725" s="1"/>
    </row>
    <row r="48726">
      <c r="B48726" s="36"/>
      <c r="C48726" s="36"/>
      <c r="E48726" s="1"/>
      <c r="F48726" s="1"/>
      <c r="G48726" s="1"/>
    </row>
    <row r="48727">
      <c r="B48727" s="36"/>
      <c r="C48727" s="36"/>
      <c r="E48727" s="1"/>
      <c r="F48727" s="1"/>
      <c r="G48727" s="1"/>
    </row>
    <row r="48728">
      <c r="B48728" s="36"/>
      <c r="C48728" s="36"/>
      <c r="E48728" s="1"/>
      <c r="F48728" s="1"/>
      <c r="G48728" s="1"/>
    </row>
    <row r="48729">
      <c r="B48729" s="36"/>
      <c r="C48729" s="36"/>
      <c r="E48729" s="1"/>
      <c r="F48729" s="1"/>
      <c r="G48729" s="1"/>
    </row>
    <row r="48730">
      <c r="B48730" s="36"/>
      <c r="C48730" s="36"/>
      <c r="E48730" s="1"/>
      <c r="F48730" s="1"/>
      <c r="G48730" s="1"/>
    </row>
    <row r="48731">
      <c r="B48731" s="36"/>
      <c r="C48731" s="36"/>
      <c r="E48731" s="1"/>
      <c r="F48731" s="1"/>
      <c r="G48731" s="1"/>
    </row>
    <row r="48732">
      <c r="B48732" s="36"/>
      <c r="C48732" s="36"/>
      <c r="E48732" s="1"/>
      <c r="F48732" s="1"/>
      <c r="G48732" s="1"/>
    </row>
    <row r="48733">
      <c r="B48733" s="36"/>
      <c r="C48733" s="36"/>
      <c r="E48733" s="1"/>
      <c r="F48733" s="1"/>
      <c r="G48733" s="1"/>
    </row>
    <row r="48734">
      <c r="B48734" s="36"/>
      <c r="C48734" s="36"/>
      <c r="E48734" s="1"/>
      <c r="F48734" s="1"/>
      <c r="G48734" s="1"/>
    </row>
    <row r="48735">
      <c r="B48735" s="36"/>
      <c r="C48735" s="36"/>
      <c r="E48735" s="1"/>
      <c r="F48735" s="1"/>
      <c r="G48735" s="1"/>
    </row>
    <row r="48736">
      <c r="B48736" s="36"/>
      <c r="C48736" s="36"/>
      <c r="E48736" s="1"/>
      <c r="F48736" s="1"/>
      <c r="G48736" s="1"/>
    </row>
    <row r="48737">
      <c r="B48737" s="36"/>
      <c r="C48737" s="36"/>
      <c r="E48737" s="1"/>
      <c r="F48737" s="1"/>
      <c r="G48737" s="1"/>
    </row>
    <row r="48738">
      <c r="B48738" s="36"/>
      <c r="C48738" s="36"/>
      <c r="E48738" s="1"/>
      <c r="F48738" s="1"/>
      <c r="G48738" s="1"/>
    </row>
    <row r="48739">
      <c r="B48739" s="36"/>
      <c r="C48739" s="36"/>
      <c r="E48739" s="1"/>
      <c r="F48739" s="1"/>
      <c r="G48739" s="1"/>
    </row>
    <row r="48740">
      <c r="B48740" s="36"/>
      <c r="C48740" s="36"/>
      <c r="E48740" s="1"/>
      <c r="F48740" s="1"/>
      <c r="G48740" s="1"/>
    </row>
    <row r="48741">
      <c r="B48741" s="36"/>
      <c r="C48741" s="36"/>
      <c r="E48741" s="1"/>
      <c r="F48741" s="1"/>
      <c r="G48741" s="1"/>
    </row>
    <row r="48742">
      <c r="B48742" s="36"/>
      <c r="C48742" s="36"/>
      <c r="E48742" s="1"/>
      <c r="F48742" s="1"/>
      <c r="G48742" s="1"/>
    </row>
    <row r="48743">
      <c r="B48743" s="36"/>
      <c r="C48743" s="36"/>
      <c r="E48743" s="1"/>
      <c r="F48743" s="1"/>
      <c r="G48743" s="1"/>
    </row>
    <row r="48744">
      <c r="B48744" s="36"/>
      <c r="C48744" s="36"/>
      <c r="E48744" s="1"/>
      <c r="F48744" s="1"/>
      <c r="G48744" s="1"/>
    </row>
    <row r="48745">
      <c r="B48745" s="36"/>
      <c r="C48745" s="36"/>
      <c r="E48745" s="1"/>
      <c r="F48745" s="1"/>
      <c r="G48745" s="1"/>
    </row>
    <row r="48746">
      <c r="B48746" s="36"/>
      <c r="C48746" s="36"/>
      <c r="E48746" s="1"/>
      <c r="F48746" s="1"/>
      <c r="G48746" s="1"/>
    </row>
    <row r="48747">
      <c r="B48747" s="36"/>
      <c r="C48747" s="36"/>
      <c r="E48747" s="1"/>
      <c r="F48747" s="1"/>
      <c r="G48747" s="1"/>
    </row>
    <row r="48748">
      <c r="B48748" s="36"/>
      <c r="C48748" s="36"/>
      <c r="E48748" s="1"/>
      <c r="F48748" s="1"/>
      <c r="G48748" s="1"/>
    </row>
    <row r="48749">
      <c r="B48749" s="36"/>
      <c r="C48749" s="36"/>
      <c r="E48749" s="1"/>
      <c r="F48749" s="1"/>
      <c r="G48749" s="1"/>
    </row>
    <row r="48750">
      <c r="B48750" s="36"/>
      <c r="C48750" s="36"/>
      <c r="E48750" s="1"/>
      <c r="F48750" s="1"/>
      <c r="G48750" s="1"/>
    </row>
    <row r="48751">
      <c r="B48751" s="36"/>
      <c r="C48751" s="36"/>
      <c r="E48751" s="1"/>
      <c r="F48751" s="1"/>
      <c r="G48751" s="1"/>
    </row>
    <row r="48752">
      <c r="B48752" s="36"/>
      <c r="C48752" s="36"/>
      <c r="E48752" s="1"/>
      <c r="F48752" s="1"/>
      <c r="G48752" s="1"/>
    </row>
    <row r="48753">
      <c r="B48753" s="36"/>
      <c r="C48753" s="36"/>
      <c r="E48753" s="1"/>
      <c r="F48753" s="1"/>
      <c r="G48753" s="1"/>
    </row>
    <row r="48754">
      <c r="B48754" s="36"/>
      <c r="C48754" s="36"/>
      <c r="E48754" s="1"/>
      <c r="F48754" s="1"/>
      <c r="G48754" s="1"/>
    </row>
    <row r="48755">
      <c r="B48755" s="36"/>
      <c r="C48755" s="36"/>
      <c r="E48755" s="1"/>
      <c r="F48755" s="1"/>
      <c r="G48755" s="1"/>
    </row>
    <row r="48756">
      <c r="B48756" s="36"/>
      <c r="C48756" s="36"/>
      <c r="E48756" s="1"/>
      <c r="F48756" s="1"/>
      <c r="G48756" s="1"/>
    </row>
    <row r="48757">
      <c r="B48757" s="36"/>
      <c r="C48757" s="36"/>
      <c r="E48757" s="1"/>
      <c r="F48757" s="1"/>
      <c r="G48757" s="1"/>
    </row>
    <row r="48758">
      <c r="B48758" s="36"/>
      <c r="C48758" s="36"/>
      <c r="E48758" s="1"/>
      <c r="F48758" s="1"/>
      <c r="G48758" s="1"/>
    </row>
    <row r="48759">
      <c r="B48759" s="36"/>
      <c r="C48759" s="36"/>
      <c r="E48759" s="1"/>
      <c r="F48759" s="1"/>
      <c r="G48759" s="1"/>
    </row>
    <row r="48760">
      <c r="B48760" s="36"/>
      <c r="C48760" s="36"/>
      <c r="E48760" s="1"/>
      <c r="F48760" s="1"/>
      <c r="G48760" s="1"/>
    </row>
    <row r="48761">
      <c r="B48761" s="36"/>
      <c r="C48761" s="36"/>
      <c r="E48761" s="1"/>
      <c r="F48761" s="1"/>
      <c r="G48761" s="1"/>
    </row>
    <row r="48762">
      <c r="B48762" s="36"/>
      <c r="C48762" s="36"/>
      <c r="E48762" s="1"/>
      <c r="F48762" s="1"/>
      <c r="G48762" s="1"/>
    </row>
    <row r="48763">
      <c r="B48763" s="36"/>
      <c r="C48763" s="36"/>
      <c r="E48763" s="1"/>
      <c r="F48763" s="1"/>
      <c r="G48763" s="1"/>
    </row>
    <row r="48764">
      <c r="B48764" s="36"/>
      <c r="C48764" s="36"/>
      <c r="E48764" s="1"/>
      <c r="F48764" s="1"/>
      <c r="G48764" s="1"/>
    </row>
    <row r="48765">
      <c r="B48765" s="36"/>
      <c r="C48765" s="36"/>
      <c r="E48765" s="1"/>
      <c r="F48765" s="1"/>
      <c r="G48765" s="1"/>
    </row>
    <row r="48766">
      <c r="B48766" s="36"/>
      <c r="C48766" s="36"/>
      <c r="E48766" s="1"/>
      <c r="F48766" s="1"/>
      <c r="G48766" s="1"/>
    </row>
    <row r="48767">
      <c r="B48767" s="36"/>
      <c r="C48767" s="36"/>
      <c r="E48767" s="1"/>
      <c r="F48767" s="1"/>
      <c r="G48767" s="1"/>
    </row>
    <row r="48768">
      <c r="B48768" s="36"/>
      <c r="C48768" s="36"/>
      <c r="E48768" s="1"/>
      <c r="F48768" s="1"/>
      <c r="G48768" s="1"/>
    </row>
    <row r="48769">
      <c r="B48769" s="36"/>
      <c r="C48769" s="36"/>
      <c r="E48769" s="1"/>
      <c r="F48769" s="1"/>
      <c r="G48769" s="1"/>
    </row>
    <row r="48770">
      <c r="B48770" s="36"/>
      <c r="C48770" s="36"/>
      <c r="E48770" s="1"/>
      <c r="F48770" s="1"/>
      <c r="G48770" s="1"/>
    </row>
    <row r="48771">
      <c r="B48771" s="36"/>
      <c r="C48771" s="36"/>
      <c r="E48771" s="1"/>
      <c r="F48771" s="1"/>
      <c r="G48771" s="1"/>
    </row>
    <row r="48772">
      <c r="B48772" s="36"/>
      <c r="C48772" s="36"/>
      <c r="E48772" s="1"/>
      <c r="F48772" s="1"/>
      <c r="G48772" s="1"/>
    </row>
    <row r="48773">
      <c r="B48773" s="36"/>
      <c r="C48773" s="36"/>
      <c r="E48773" s="1"/>
      <c r="F48773" s="1"/>
      <c r="G48773" s="1"/>
    </row>
    <row r="48774">
      <c r="B48774" s="36"/>
      <c r="C48774" s="36"/>
      <c r="E48774" s="1"/>
      <c r="F48774" s="1"/>
      <c r="G48774" s="1"/>
    </row>
    <row r="48775">
      <c r="B48775" s="36"/>
      <c r="C48775" s="36"/>
      <c r="E48775" s="1"/>
      <c r="F48775" s="1"/>
      <c r="G48775" s="1"/>
    </row>
    <row r="48776">
      <c r="B48776" s="36"/>
      <c r="C48776" s="36"/>
      <c r="E48776" s="1"/>
      <c r="F48776" s="1"/>
      <c r="G48776" s="1"/>
    </row>
    <row r="48777">
      <c r="B48777" s="36"/>
      <c r="C48777" s="36"/>
      <c r="E48777" s="1"/>
      <c r="F48777" s="1"/>
      <c r="G48777" s="1"/>
    </row>
    <row r="48778">
      <c r="B48778" s="36"/>
      <c r="C48778" s="36"/>
      <c r="E48778" s="1"/>
      <c r="F48778" s="1"/>
      <c r="G48778" s="1"/>
    </row>
    <row r="48779">
      <c r="B48779" s="36"/>
      <c r="C48779" s="36"/>
      <c r="E48779" s="1"/>
      <c r="F48779" s="1"/>
      <c r="G48779" s="1"/>
    </row>
    <row r="48780">
      <c r="B48780" s="36"/>
      <c r="C48780" s="36"/>
      <c r="E48780" s="1"/>
      <c r="F48780" s="1"/>
      <c r="G48780" s="1"/>
    </row>
    <row r="48781">
      <c r="B48781" s="36"/>
      <c r="C48781" s="36"/>
      <c r="E48781" s="1"/>
      <c r="F48781" s="1"/>
      <c r="G48781" s="1"/>
    </row>
    <row r="48782">
      <c r="B48782" s="36"/>
      <c r="C48782" s="36"/>
      <c r="E48782" s="1"/>
      <c r="F48782" s="1"/>
      <c r="G48782" s="1"/>
    </row>
    <row r="48783">
      <c r="B48783" s="36"/>
      <c r="C48783" s="36"/>
      <c r="E48783" s="1"/>
      <c r="F48783" s="1"/>
      <c r="G48783" s="1"/>
    </row>
    <row r="48784">
      <c r="B48784" s="36"/>
      <c r="C48784" s="36"/>
      <c r="E48784" s="1"/>
      <c r="F48784" s="1"/>
      <c r="G48784" s="1"/>
    </row>
    <row r="48785">
      <c r="B48785" s="36"/>
      <c r="C48785" s="36"/>
      <c r="E48785" s="1"/>
      <c r="F48785" s="1"/>
      <c r="G48785" s="1"/>
    </row>
    <row r="48786">
      <c r="B48786" s="36"/>
      <c r="C48786" s="36"/>
      <c r="E48786" s="1"/>
      <c r="F48786" s="1"/>
      <c r="G48786" s="1"/>
    </row>
    <row r="48787">
      <c r="B48787" s="36"/>
      <c r="C48787" s="36"/>
      <c r="E48787" s="1"/>
      <c r="F48787" s="1"/>
      <c r="G48787" s="1"/>
    </row>
    <row r="48788">
      <c r="B48788" s="36"/>
      <c r="C48788" s="36"/>
      <c r="E48788" s="1"/>
      <c r="F48788" s="1"/>
      <c r="G48788" s="1"/>
    </row>
    <row r="48789">
      <c r="B48789" s="36"/>
      <c r="C48789" s="36"/>
      <c r="E48789" s="1"/>
      <c r="F48789" s="1"/>
      <c r="G48789" s="1"/>
    </row>
    <row r="48790">
      <c r="B48790" s="36"/>
      <c r="C48790" s="36"/>
      <c r="E48790" s="1"/>
      <c r="F48790" s="1"/>
      <c r="G48790" s="1"/>
    </row>
    <row r="48791">
      <c r="B48791" s="36"/>
      <c r="C48791" s="36"/>
      <c r="E48791" s="1"/>
      <c r="F48791" s="1"/>
      <c r="G48791" s="1"/>
    </row>
    <row r="48792">
      <c r="B48792" s="36"/>
      <c r="C48792" s="36"/>
      <c r="E48792" s="1"/>
      <c r="F48792" s="1"/>
      <c r="G48792" s="1"/>
    </row>
    <row r="48793">
      <c r="B48793" s="36"/>
      <c r="C48793" s="36"/>
      <c r="E48793" s="1"/>
      <c r="F48793" s="1"/>
      <c r="G48793" s="1"/>
    </row>
    <row r="48794">
      <c r="B48794" s="36"/>
      <c r="C48794" s="36"/>
      <c r="E48794" s="1"/>
      <c r="F48794" s="1"/>
      <c r="G48794" s="1"/>
    </row>
    <row r="48795">
      <c r="B48795" s="36"/>
      <c r="C48795" s="36"/>
      <c r="E48795" s="1"/>
      <c r="F48795" s="1"/>
      <c r="G48795" s="1"/>
    </row>
    <row r="48796">
      <c r="B48796" s="36"/>
      <c r="C48796" s="36"/>
      <c r="E48796" s="1"/>
      <c r="F48796" s="1"/>
      <c r="G48796" s="1"/>
    </row>
    <row r="48797">
      <c r="B48797" s="36"/>
      <c r="C48797" s="36"/>
      <c r="E48797" s="1"/>
      <c r="F48797" s="1"/>
      <c r="G48797" s="1"/>
    </row>
    <row r="48798">
      <c r="B48798" s="36"/>
      <c r="C48798" s="36"/>
      <c r="E48798" s="1"/>
      <c r="F48798" s="1"/>
      <c r="G48798" s="1"/>
    </row>
    <row r="48799">
      <c r="B48799" s="36"/>
      <c r="C48799" s="36"/>
      <c r="E48799" s="1"/>
      <c r="F48799" s="1"/>
      <c r="G48799" s="1"/>
    </row>
    <row r="48800">
      <c r="B48800" s="36"/>
      <c r="C48800" s="36"/>
      <c r="E48800" s="1"/>
      <c r="F48800" s="1"/>
      <c r="G48800" s="1"/>
    </row>
    <row r="48801">
      <c r="B48801" s="36"/>
      <c r="C48801" s="36"/>
      <c r="E48801" s="1"/>
      <c r="F48801" s="1"/>
      <c r="G48801" s="1"/>
    </row>
    <row r="48802">
      <c r="B48802" s="36"/>
      <c r="C48802" s="36"/>
      <c r="E48802" s="1"/>
      <c r="F48802" s="1"/>
      <c r="G48802" s="1"/>
    </row>
    <row r="48803">
      <c r="B48803" s="36"/>
      <c r="C48803" s="36"/>
      <c r="E48803" s="1"/>
      <c r="F48803" s="1"/>
      <c r="G48803" s="1"/>
    </row>
    <row r="48804">
      <c r="B48804" s="36"/>
      <c r="C48804" s="36"/>
      <c r="E48804" s="1"/>
      <c r="F48804" s="1"/>
      <c r="G48804" s="1"/>
    </row>
    <row r="48805">
      <c r="B48805" s="36"/>
      <c r="C48805" s="36"/>
      <c r="E48805" s="1"/>
      <c r="F48805" s="1"/>
      <c r="G48805" s="1"/>
    </row>
    <row r="48806">
      <c r="B48806" s="36"/>
      <c r="C48806" s="36"/>
      <c r="E48806" s="1"/>
      <c r="F48806" s="1"/>
      <c r="G48806" s="1"/>
    </row>
    <row r="48807">
      <c r="B48807" s="36"/>
      <c r="C48807" s="36"/>
      <c r="E48807" s="1"/>
      <c r="F48807" s="1"/>
      <c r="G48807" s="1"/>
    </row>
    <row r="48808">
      <c r="B48808" s="36"/>
      <c r="C48808" s="36"/>
      <c r="E48808" s="1"/>
      <c r="F48808" s="1"/>
      <c r="G48808" s="1"/>
    </row>
    <row r="48809">
      <c r="B48809" s="36"/>
      <c r="C48809" s="36"/>
      <c r="E48809" s="1"/>
      <c r="F48809" s="1"/>
      <c r="G48809" s="1"/>
    </row>
    <row r="48810">
      <c r="B48810" s="36"/>
      <c r="C48810" s="36"/>
      <c r="E48810" s="1"/>
      <c r="F48810" s="1"/>
      <c r="G48810" s="1"/>
    </row>
    <row r="48811">
      <c r="B48811" s="36"/>
      <c r="C48811" s="36"/>
      <c r="E48811" s="1"/>
      <c r="F48811" s="1"/>
      <c r="G48811" s="1"/>
    </row>
    <row r="48812">
      <c r="B48812" s="36"/>
      <c r="C48812" s="36"/>
      <c r="E48812" s="1"/>
      <c r="F48812" s="1"/>
      <c r="G48812" s="1"/>
    </row>
    <row r="48813">
      <c r="B48813" s="36"/>
      <c r="C48813" s="36"/>
      <c r="E48813" s="1"/>
      <c r="F48813" s="1"/>
      <c r="G48813" s="1"/>
    </row>
    <row r="48814">
      <c r="B48814" s="36"/>
      <c r="C48814" s="36"/>
      <c r="E48814" s="1"/>
      <c r="F48814" s="1"/>
      <c r="G48814" s="1"/>
    </row>
    <row r="48815">
      <c r="B48815" s="36"/>
      <c r="C48815" s="36"/>
      <c r="E48815" s="1"/>
      <c r="F48815" s="1"/>
      <c r="G48815" s="1"/>
    </row>
    <row r="48816">
      <c r="B48816" s="36"/>
      <c r="C48816" s="36"/>
      <c r="E48816" s="1"/>
      <c r="F48816" s="1"/>
      <c r="G48816" s="1"/>
    </row>
    <row r="48817">
      <c r="B48817" s="36"/>
      <c r="C48817" s="36"/>
      <c r="E48817" s="1"/>
      <c r="F48817" s="1"/>
      <c r="G48817" s="1"/>
    </row>
    <row r="48818">
      <c r="B48818" s="36"/>
      <c r="C48818" s="36"/>
      <c r="E48818" s="1"/>
      <c r="F48818" s="1"/>
      <c r="G48818" s="1"/>
    </row>
    <row r="48819">
      <c r="B48819" s="36"/>
      <c r="C48819" s="36"/>
      <c r="E48819" s="1"/>
      <c r="F48819" s="1"/>
      <c r="G48819" s="1"/>
    </row>
    <row r="48820">
      <c r="B48820" s="36"/>
      <c r="C48820" s="36"/>
      <c r="E48820" s="1"/>
      <c r="F48820" s="1"/>
      <c r="G48820" s="1"/>
    </row>
    <row r="48821">
      <c r="B48821" s="36"/>
      <c r="C48821" s="36"/>
      <c r="E48821" s="1"/>
      <c r="F48821" s="1"/>
      <c r="G48821" s="1"/>
    </row>
    <row r="48822">
      <c r="B48822" s="36"/>
      <c r="C48822" s="36"/>
      <c r="E48822" s="1"/>
      <c r="F48822" s="1"/>
      <c r="G48822" s="1"/>
    </row>
    <row r="48823">
      <c r="B48823" s="36"/>
      <c r="C48823" s="36"/>
      <c r="E48823" s="1"/>
      <c r="F48823" s="1"/>
      <c r="G48823" s="1"/>
    </row>
    <row r="48824">
      <c r="B48824" s="36"/>
      <c r="C48824" s="36"/>
      <c r="E48824" s="1"/>
      <c r="F48824" s="1"/>
      <c r="G48824" s="1"/>
    </row>
    <row r="48825">
      <c r="B48825" s="36"/>
      <c r="C48825" s="36"/>
      <c r="E48825" s="1"/>
      <c r="F48825" s="1"/>
      <c r="G48825" s="1"/>
    </row>
    <row r="48826">
      <c r="B48826" s="36"/>
      <c r="C48826" s="36"/>
      <c r="E48826" s="1"/>
      <c r="F48826" s="1"/>
      <c r="G48826" s="1"/>
    </row>
    <row r="48827">
      <c r="B48827" s="36"/>
      <c r="C48827" s="36"/>
      <c r="E48827" s="1"/>
      <c r="F48827" s="1"/>
      <c r="G48827" s="1"/>
    </row>
    <row r="48828">
      <c r="B48828" s="36"/>
      <c r="C48828" s="36"/>
      <c r="E48828" s="1"/>
      <c r="F48828" s="1"/>
      <c r="G48828" s="1"/>
    </row>
    <row r="48829">
      <c r="B48829" s="36"/>
      <c r="C48829" s="36"/>
      <c r="E48829" s="1"/>
      <c r="F48829" s="1"/>
      <c r="G48829" s="1"/>
    </row>
    <row r="48830">
      <c r="B48830" s="36"/>
      <c r="C48830" s="36"/>
      <c r="E48830" s="1"/>
      <c r="F48830" s="1"/>
      <c r="G48830" s="1"/>
    </row>
    <row r="48831">
      <c r="B48831" s="36"/>
      <c r="C48831" s="36"/>
      <c r="E48831" s="1"/>
      <c r="F48831" s="1"/>
      <c r="G48831" s="1"/>
    </row>
    <row r="48832">
      <c r="B48832" s="36"/>
      <c r="C48832" s="36"/>
      <c r="E48832" s="1"/>
      <c r="F48832" s="1"/>
      <c r="G48832" s="1"/>
    </row>
    <row r="48833">
      <c r="B48833" s="36"/>
      <c r="C48833" s="36"/>
      <c r="E48833" s="1"/>
      <c r="F48833" s="1"/>
      <c r="G48833" s="1"/>
    </row>
    <row r="48834">
      <c r="B48834" s="36"/>
      <c r="C48834" s="36"/>
      <c r="E48834" s="1"/>
      <c r="F48834" s="1"/>
      <c r="G48834" s="1"/>
    </row>
    <row r="48835">
      <c r="B48835" s="36"/>
      <c r="C48835" s="36"/>
      <c r="E48835" s="1"/>
      <c r="F48835" s="1"/>
      <c r="G48835" s="1"/>
    </row>
    <row r="48836">
      <c r="B48836" s="36"/>
      <c r="C48836" s="36"/>
      <c r="E48836" s="1"/>
      <c r="F48836" s="1"/>
      <c r="G48836" s="1"/>
    </row>
    <row r="48837">
      <c r="B48837" s="36"/>
      <c r="C48837" s="36"/>
      <c r="E48837" s="1"/>
      <c r="F48837" s="1"/>
      <c r="G48837" s="1"/>
    </row>
    <row r="48838">
      <c r="B48838" s="36"/>
      <c r="C48838" s="36"/>
      <c r="E48838" s="1"/>
      <c r="F48838" s="1"/>
      <c r="G48838" s="1"/>
    </row>
    <row r="48839">
      <c r="B48839" s="36"/>
      <c r="C48839" s="36"/>
      <c r="E48839" s="1"/>
      <c r="F48839" s="1"/>
      <c r="G48839" s="1"/>
    </row>
    <row r="48840">
      <c r="B48840" s="36"/>
      <c r="C48840" s="36"/>
      <c r="E48840" s="1"/>
      <c r="F48840" s="1"/>
      <c r="G48840" s="1"/>
    </row>
    <row r="48841">
      <c r="B48841" s="36"/>
      <c r="C48841" s="36"/>
      <c r="E48841" s="1"/>
      <c r="F48841" s="1"/>
      <c r="G48841" s="1"/>
    </row>
    <row r="48842">
      <c r="B48842" s="36"/>
      <c r="C48842" s="36"/>
      <c r="E48842" s="1"/>
      <c r="F48842" s="1"/>
      <c r="G48842" s="1"/>
    </row>
    <row r="48843">
      <c r="B48843" s="36"/>
      <c r="C48843" s="36"/>
      <c r="E48843" s="1"/>
      <c r="F48843" s="1"/>
      <c r="G48843" s="1"/>
    </row>
    <row r="48844">
      <c r="B48844" s="36"/>
      <c r="C48844" s="36"/>
      <c r="E48844" s="1"/>
      <c r="F48844" s="1"/>
      <c r="G48844" s="1"/>
    </row>
    <row r="48845">
      <c r="B48845" s="36"/>
      <c r="C48845" s="36"/>
      <c r="E48845" s="1"/>
      <c r="F48845" s="1"/>
      <c r="G48845" s="1"/>
    </row>
    <row r="48846">
      <c r="B48846" s="36"/>
      <c r="C48846" s="36"/>
      <c r="E48846" s="1"/>
      <c r="F48846" s="1"/>
      <c r="G48846" s="1"/>
    </row>
    <row r="48847">
      <c r="B48847" s="36"/>
      <c r="C48847" s="36"/>
      <c r="E48847" s="1"/>
      <c r="F48847" s="1"/>
      <c r="G48847" s="1"/>
    </row>
    <row r="48848">
      <c r="B48848" s="36"/>
      <c r="C48848" s="36"/>
      <c r="E48848" s="1"/>
      <c r="F48848" s="1"/>
      <c r="G48848" s="1"/>
    </row>
    <row r="48849">
      <c r="B48849" s="36"/>
      <c r="C48849" s="36"/>
      <c r="E48849" s="1"/>
      <c r="F48849" s="1"/>
      <c r="G48849" s="1"/>
    </row>
    <row r="48850">
      <c r="B48850" s="36"/>
      <c r="C48850" s="36"/>
      <c r="E48850" s="1"/>
      <c r="F48850" s="1"/>
      <c r="G48850" s="1"/>
    </row>
    <row r="48851">
      <c r="B48851" s="36"/>
      <c r="C48851" s="36"/>
      <c r="E48851" s="1"/>
      <c r="F48851" s="1"/>
      <c r="G48851" s="1"/>
    </row>
    <row r="48852">
      <c r="B48852" s="36"/>
      <c r="C48852" s="36"/>
      <c r="E48852" s="1"/>
      <c r="F48852" s="1"/>
      <c r="G48852" s="1"/>
    </row>
    <row r="48853">
      <c r="B48853" s="36"/>
      <c r="C48853" s="36"/>
      <c r="E48853" s="1"/>
      <c r="F48853" s="1"/>
      <c r="G48853" s="1"/>
    </row>
    <row r="48854">
      <c r="B48854" s="36"/>
      <c r="C48854" s="36"/>
      <c r="E48854" s="1"/>
      <c r="F48854" s="1"/>
      <c r="G48854" s="1"/>
    </row>
    <row r="48855">
      <c r="B48855" s="36"/>
      <c r="C48855" s="36"/>
      <c r="E48855" s="1"/>
      <c r="F48855" s="1"/>
      <c r="G48855" s="1"/>
    </row>
    <row r="48856">
      <c r="B48856" s="36"/>
      <c r="C48856" s="36"/>
      <c r="E48856" s="1"/>
      <c r="F48856" s="1"/>
      <c r="G48856" s="1"/>
    </row>
    <row r="48857">
      <c r="B48857" s="36"/>
      <c r="C48857" s="36"/>
      <c r="E48857" s="1"/>
      <c r="F48857" s="1"/>
      <c r="G48857" s="1"/>
    </row>
    <row r="48858">
      <c r="B48858" s="36"/>
      <c r="C48858" s="36"/>
      <c r="E48858" s="1"/>
      <c r="F48858" s="1"/>
      <c r="G48858" s="1"/>
    </row>
    <row r="48859">
      <c r="B48859" s="36"/>
      <c r="C48859" s="36"/>
      <c r="E48859" s="1"/>
      <c r="F48859" s="1"/>
      <c r="G48859" s="1"/>
    </row>
    <row r="48860">
      <c r="B48860" s="36"/>
      <c r="C48860" s="36"/>
      <c r="E48860" s="1"/>
      <c r="F48860" s="1"/>
      <c r="G48860" s="1"/>
    </row>
    <row r="48861">
      <c r="B48861" s="36"/>
      <c r="C48861" s="36"/>
      <c r="E48861" s="1"/>
      <c r="F48861" s="1"/>
      <c r="G48861" s="1"/>
    </row>
    <row r="48862">
      <c r="B48862" s="36"/>
      <c r="C48862" s="36"/>
      <c r="E48862" s="1"/>
      <c r="F48862" s="1"/>
      <c r="G48862" s="1"/>
    </row>
    <row r="48863">
      <c r="B48863" s="36"/>
      <c r="C48863" s="36"/>
      <c r="E48863" s="1"/>
      <c r="F48863" s="1"/>
      <c r="G48863" s="1"/>
    </row>
    <row r="48864">
      <c r="B48864" s="36"/>
      <c r="C48864" s="36"/>
      <c r="E48864" s="1"/>
      <c r="F48864" s="1"/>
      <c r="G48864" s="1"/>
    </row>
    <row r="48865">
      <c r="B48865" s="36"/>
      <c r="C48865" s="36"/>
      <c r="E48865" s="1"/>
      <c r="F48865" s="1"/>
      <c r="G48865" s="1"/>
    </row>
    <row r="48866">
      <c r="B48866" s="36"/>
      <c r="C48866" s="36"/>
      <c r="E48866" s="1"/>
      <c r="F48866" s="1"/>
      <c r="G48866" s="1"/>
    </row>
    <row r="48867">
      <c r="B48867" s="36"/>
      <c r="C48867" s="36"/>
      <c r="E48867" s="1"/>
      <c r="F48867" s="1"/>
      <c r="G48867" s="1"/>
    </row>
    <row r="48868">
      <c r="B48868" s="36"/>
      <c r="C48868" s="36"/>
      <c r="E48868" s="1"/>
      <c r="F48868" s="1"/>
      <c r="G48868" s="1"/>
    </row>
    <row r="48869">
      <c r="B48869" s="36"/>
      <c r="C48869" s="36"/>
      <c r="E48869" s="1"/>
      <c r="F48869" s="1"/>
      <c r="G48869" s="1"/>
    </row>
    <row r="48870">
      <c r="B48870" s="36"/>
      <c r="C48870" s="36"/>
      <c r="E48870" s="1"/>
      <c r="F48870" s="1"/>
      <c r="G48870" s="1"/>
    </row>
    <row r="48871">
      <c r="B48871" s="36"/>
      <c r="C48871" s="36"/>
      <c r="E48871" s="1"/>
      <c r="F48871" s="1"/>
      <c r="G48871" s="1"/>
    </row>
    <row r="48872">
      <c r="B48872" s="36"/>
      <c r="C48872" s="36"/>
      <c r="E48872" s="1"/>
      <c r="F48872" s="1"/>
      <c r="G48872" s="1"/>
    </row>
    <row r="48873">
      <c r="B48873" s="36"/>
      <c r="C48873" s="36"/>
      <c r="E48873" s="1"/>
      <c r="F48873" s="1"/>
      <c r="G48873" s="1"/>
    </row>
    <row r="48874">
      <c r="B48874" s="36"/>
      <c r="C48874" s="36"/>
      <c r="E48874" s="1"/>
      <c r="F48874" s="1"/>
      <c r="G48874" s="1"/>
    </row>
    <row r="48875">
      <c r="B48875" s="36"/>
      <c r="C48875" s="36"/>
      <c r="E48875" s="1"/>
      <c r="F48875" s="1"/>
      <c r="G48875" s="1"/>
    </row>
    <row r="48876">
      <c r="B48876" s="36"/>
      <c r="C48876" s="36"/>
      <c r="E48876" s="1"/>
      <c r="F48876" s="1"/>
      <c r="G48876" s="1"/>
    </row>
    <row r="48877">
      <c r="B48877" s="36"/>
      <c r="C48877" s="36"/>
      <c r="E48877" s="1"/>
      <c r="F48877" s="1"/>
      <c r="G48877" s="1"/>
    </row>
    <row r="48878">
      <c r="B48878" s="36"/>
      <c r="C48878" s="36"/>
      <c r="E48878" s="1"/>
      <c r="F48878" s="1"/>
      <c r="G48878" s="1"/>
    </row>
    <row r="48879">
      <c r="B48879" s="36"/>
      <c r="C48879" s="36"/>
      <c r="E48879" s="1"/>
      <c r="F48879" s="1"/>
      <c r="G48879" s="1"/>
    </row>
    <row r="48880">
      <c r="B48880" s="36"/>
      <c r="C48880" s="36"/>
      <c r="E48880" s="1"/>
      <c r="F48880" s="1"/>
      <c r="G48880" s="1"/>
    </row>
    <row r="48881">
      <c r="B48881" s="36"/>
      <c r="C48881" s="36"/>
      <c r="E48881" s="1"/>
      <c r="F48881" s="1"/>
      <c r="G48881" s="1"/>
    </row>
    <row r="48882">
      <c r="B48882" s="36"/>
      <c r="C48882" s="36"/>
      <c r="E48882" s="1"/>
      <c r="F48882" s="1"/>
      <c r="G48882" s="1"/>
    </row>
    <row r="48883">
      <c r="B48883" s="36"/>
      <c r="C48883" s="36"/>
      <c r="E48883" s="1"/>
      <c r="F48883" s="1"/>
      <c r="G48883" s="1"/>
    </row>
    <row r="48884">
      <c r="B48884" s="36"/>
      <c r="C48884" s="36"/>
      <c r="E48884" s="1"/>
      <c r="F48884" s="1"/>
      <c r="G48884" s="1"/>
    </row>
    <row r="48885">
      <c r="B48885" s="36"/>
      <c r="C48885" s="36"/>
      <c r="E48885" s="1"/>
      <c r="F48885" s="1"/>
      <c r="G48885" s="1"/>
    </row>
    <row r="48886">
      <c r="B48886" s="36"/>
      <c r="C48886" s="36"/>
      <c r="E48886" s="1"/>
      <c r="F48886" s="1"/>
      <c r="G48886" s="1"/>
    </row>
    <row r="48887">
      <c r="B48887" s="36"/>
      <c r="C48887" s="36"/>
      <c r="E48887" s="1"/>
      <c r="F48887" s="1"/>
      <c r="G48887" s="1"/>
    </row>
    <row r="48888">
      <c r="B48888" s="36"/>
      <c r="C48888" s="36"/>
      <c r="E48888" s="1"/>
      <c r="F48888" s="1"/>
      <c r="G48888" s="1"/>
    </row>
    <row r="48889">
      <c r="B48889" s="36"/>
      <c r="C48889" s="36"/>
      <c r="E48889" s="1"/>
      <c r="F48889" s="1"/>
      <c r="G48889" s="1"/>
    </row>
    <row r="48890">
      <c r="B48890" s="36"/>
      <c r="C48890" s="36"/>
      <c r="E48890" s="1"/>
      <c r="F48890" s="1"/>
      <c r="G48890" s="1"/>
    </row>
    <row r="48891">
      <c r="B48891" s="36"/>
      <c r="C48891" s="36"/>
      <c r="E48891" s="1"/>
      <c r="F48891" s="1"/>
      <c r="G48891" s="1"/>
    </row>
    <row r="48892">
      <c r="B48892" s="36"/>
      <c r="C48892" s="36"/>
      <c r="E48892" s="1"/>
      <c r="F48892" s="1"/>
      <c r="G48892" s="1"/>
    </row>
    <row r="48893">
      <c r="B48893" s="36"/>
      <c r="C48893" s="36"/>
      <c r="E48893" s="1"/>
      <c r="F48893" s="1"/>
      <c r="G48893" s="1"/>
    </row>
    <row r="48894">
      <c r="B48894" s="36"/>
      <c r="C48894" s="36"/>
      <c r="E48894" s="1"/>
      <c r="F48894" s="1"/>
      <c r="G48894" s="1"/>
    </row>
    <row r="48895">
      <c r="B48895" s="36"/>
      <c r="C48895" s="36"/>
      <c r="E48895" s="1"/>
      <c r="F48895" s="1"/>
      <c r="G48895" s="1"/>
    </row>
    <row r="48896">
      <c r="B48896" s="36"/>
      <c r="C48896" s="36"/>
      <c r="E48896" s="1"/>
      <c r="F48896" s="1"/>
      <c r="G48896" s="1"/>
    </row>
    <row r="48897">
      <c r="B48897" s="36"/>
      <c r="C48897" s="36"/>
      <c r="E48897" s="1"/>
      <c r="F48897" s="1"/>
      <c r="G48897" s="1"/>
    </row>
    <row r="48898">
      <c r="B48898" s="36"/>
      <c r="C48898" s="36"/>
      <c r="E48898" s="1"/>
      <c r="F48898" s="1"/>
      <c r="G48898" s="1"/>
    </row>
    <row r="48899">
      <c r="B48899" s="36"/>
      <c r="C48899" s="36"/>
      <c r="E48899" s="1"/>
      <c r="F48899" s="1"/>
      <c r="G48899" s="1"/>
    </row>
    <row r="48900">
      <c r="B48900" s="36"/>
      <c r="C48900" s="36"/>
      <c r="E48900" s="1"/>
      <c r="F48900" s="1"/>
      <c r="G48900" s="1"/>
    </row>
    <row r="48901">
      <c r="B48901" s="36"/>
      <c r="C48901" s="36"/>
      <c r="E48901" s="1"/>
      <c r="F48901" s="1"/>
      <c r="G48901" s="1"/>
    </row>
    <row r="48902">
      <c r="B48902" s="36"/>
      <c r="C48902" s="36"/>
      <c r="E48902" s="1"/>
      <c r="F48902" s="1"/>
      <c r="G48902" s="1"/>
    </row>
    <row r="48903">
      <c r="B48903" s="36"/>
      <c r="C48903" s="36"/>
      <c r="E48903" s="1"/>
      <c r="F48903" s="1"/>
      <c r="G48903" s="1"/>
    </row>
    <row r="48904">
      <c r="B48904" s="36"/>
      <c r="C48904" s="36"/>
      <c r="E48904" s="1"/>
      <c r="F48904" s="1"/>
      <c r="G48904" s="1"/>
    </row>
    <row r="48905">
      <c r="B48905" s="36"/>
      <c r="C48905" s="36"/>
      <c r="E48905" s="1"/>
      <c r="F48905" s="1"/>
      <c r="G48905" s="1"/>
    </row>
    <row r="48906">
      <c r="B48906" s="36"/>
      <c r="C48906" s="36"/>
      <c r="E48906" s="1"/>
      <c r="F48906" s="1"/>
      <c r="G48906" s="1"/>
    </row>
    <row r="48907">
      <c r="B48907" s="36"/>
      <c r="C48907" s="36"/>
      <c r="E48907" s="1"/>
      <c r="F48907" s="1"/>
      <c r="G48907" s="1"/>
    </row>
    <row r="48908">
      <c r="B48908" s="36"/>
      <c r="C48908" s="36"/>
      <c r="E48908" s="1"/>
      <c r="F48908" s="1"/>
      <c r="G48908" s="1"/>
    </row>
    <row r="48909">
      <c r="B48909" s="36"/>
      <c r="C48909" s="36"/>
      <c r="E48909" s="1"/>
      <c r="F48909" s="1"/>
      <c r="G48909" s="1"/>
    </row>
    <row r="48910">
      <c r="B48910" s="36"/>
      <c r="C48910" s="36"/>
      <c r="E48910" s="1"/>
      <c r="F48910" s="1"/>
      <c r="G48910" s="1"/>
    </row>
    <row r="48911">
      <c r="B48911" s="36"/>
      <c r="C48911" s="36"/>
      <c r="E48911" s="1"/>
      <c r="F48911" s="1"/>
      <c r="G48911" s="1"/>
    </row>
    <row r="48912">
      <c r="B48912" s="36"/>
      <c r="C48912" s="36"/>
      <c r="E48912" s="1"/>
      <c r="F48912" s="1"/>
      <c r="G48912" s="1"/>
    </row>
    <row r="48913">
      <c r="B48913" s="36"/>
      <c r="C48913" s="36"/>
      <c r="E48913" s="1"/>
      <c r="F48913" s="1"/>
      <c r="G48913" s="1"/>
    </row>
    <row r="48914">
      <c r="B48914" s="36"/>
      <c r="C48914" s="36"/>
      <c r="E48914" s="1"/>
      <c r="F48914" s="1"/>
      <c r="G48914" s="1"/>
    </row>
    <row r="48915">
      <c r="B48915" s="36"/>
      <c r="C48915" s="36"/>
      <c r="E48915" s="1"/>
      <c r="F48915" s="1"/>
      <c r="G48915" s="1"/>
    </row>
    <row r="48916">
      <c r="B48916" s="36"/>
      <c r="C48916" s="36"/>
      <c r="E48916" s="1"/>
      <c r="F48916" s="1"/>
      <c r="G48916" s="1"/>
    </row>
    <row r="48917">
      <c r="B48917" s="36"/>
      <c r="C48917" s="36"/>
      <c r="E48917" s="1"/>
      <c r="F48917" s="1"/>
      <c r="G48917" s="1"/>
    </row>
    <row r="48918">
      <c r="B48918" s="36"/>
      <c r="C48918" s="36"/>
      <c r="E48918" s="1"/>
      <c r="F48918" s="1"/>
      <c r="G48918" s="1"/>
    </row>
    <row r="48919">
      <c r="B48919" s="36"/>
      <c r="C48919" s="36"/>
      <c r="E48919" s="1"/>
      <c r="F48919" s="1"/>
      <c r="G48919" s="1"/>
    </row>
    <row r="48920">
      <c r="B48920" s="36"/>
      <c r="C48920" s="36"/>
      <c r="E48920" s="1"/>
      <c r="F48920" s="1"/>
      <c r="G48920" s="1"/>
    </row>
    <row r="48921">
      <c r="B48921" s="36"/>
      <c r="C48921" s="36"/>
      <c r="E48921" s="1"/>
      <c r="F48921" s="1"/>
      <c r="G48921" s="1"/>
    </row>
    <row r="48922">
      <c r="B48922" s="36"/>
      <c r="C48922" s="36"/>
      <c r="E48922" s="1"/>
      <c r="F48922" s="1"/>
      <c r="G48922" s="1"/>
    </row>
    <row r="48923">
      <c r="B48923" s="36"/>
      <c r="C48923" s="36"/>
      <c r="E48923" s="1"/>
      <c r="F48923" s="1"/>
      <c r="G48923" s="1"/>
    </row>
    <row r="48924">
      <c r="B48924" s="36"/>
      <c r="C48924" s="36"/>
      <c r="E48924" s="1"/>
      <c r="F48924" s="1"/>
      <c r="G48924" s="1"/>
    </row>
    <row r="48925">
      <c r="B48925" s="36"/>
      <c r="C48925" s="36"/>
      <c r="E48925" s="1"/>
      <c r="F48925" s="1"/>
      <c r="G48925" s="1"/>
    </row>
    <row r="48926">
      <c r="B48926" s="36"/>
      <c r="C48926" s="36"/>
      <c r="E48926" s="1"/>
      <c r="F48926" s="1"/>
      <c r="G48926" s="1"/>
    </row>
    <row r="48927">
      <c r="B48927" s="36"/>
      <c r="C48927" s="36"/>
      <c r="E48927" s="1"/>
      <c r="F48927" s="1"/>
      <c r="G48927" s="1"/>
    </row>
    <row r="48928">
      <c r="B48928" s="36"/>
      <c r="C48928" s="36"/>
      <c r="E48928" s="1"/>
      <c r="F48928" s="1"/>
      <c r="G48928" s="1"/>
    </row>
    <row r="48929">
      <c r="B48929" s="36"/>
      <c r="C48929" s="36"/>
      <c r="E48929" s="1"/>
      <c r="F48929" s="1"/>
      <c r="G48929" s="1"/>
    </row>
    <row r="48930">
      <c r="B48930" s="36"/>
      <c r="C48930" s="36"/>
      <c r="E48930" s="1"/>
      <c r="F48930" s="1"/>
      <c r="G48930" s="1"/>
    </row>
    <row r="48931">
      <c r="B48931" s="36"/>
      <c r="C48931" s="36"/>
      <c r="E48931" s="1"/>
      <c r="F48931" s="1"/>
      <c r="G48931" s="1"/>
    </row>
    <row r="48932">
      <c r="B48932" s="36"/>
      <c r="C48932" s="36"/>
      <c r="E48932" s="1"/>
      <c r="F48932" s="1"/>
      <c r="G48932" s="1"/>
    </row>
    <row r="48933">
      <c r="B48933" s="36"/>
      <c r="C48933" s="36"/>
      <c r="E48933" s="1"/>
      <c r="F48933" s="1"/>
      <c r="G48933" s="1"/>
    </row>
    <row r="48934">
      <c r="B48934" s="36"/>
      <c r="C48934" s="36"/>
      <c r="E48934" s="1"/>
      <c r="F48934" s="1"/>
      <c r="G48934" s="1"/>
    </row>
    <row r="48935">
      <c r="B48935" s="36"/>
      <c r="C48935" s="36"/>
      <c r="E48935" s="1"/>
      <c r="F48935" s="1"/>
      <c r="G48935" s="1"/>
    </row>
    <row r="48936">
      <c r="B48936" s="36"/>
      <c r="C48936" s="36"/>
      <c r="E48936" s="1"/>
      <c r="F48936" s="1"/>
      <c r="G48936" s="1"/>
    </row>
    <row r="48937">
      <c r="B48937" s="36"/>
      <c r="C48937" s="36"/>
      <c r="E48937" s="1"/>
      <c r="F48937" s="1"/>
      <c r="G48937" s="1"/>
    </row>
    <row r="48938">
      <c r="B48938" s="36"/>
      <c r="C48938" s="36"/>
      <c r="E48938" s="1"/>
      <c r="F48938" s="1"/>
      <c r="G48938" s="1"/>
    </row>
    <row r="48939">
      <c r="B48939" s="36"/>
      <c r="C48939" s="36"/>
      <c r="E48939" s="1"/>
      <c r="F48939" s="1"/>
      <c r="G48939" s="1"/>
    </row>
    <row r="48940">
      <c r="B48940" s="36"/>
      <c r="C48940" s="36"/>
      <c r="E48940" s="1"/>
      <c r="F48940" s="1"/>
      <c r="G48940" s="1"/>
    </row>
    <row r="48941">
      <c r="B48941" s="36"/>
      <c r="C48941" s="36"/>
      <c r="E48941" s="1"/>
      <c r="F48941" s="1"/>
      <c r="G48941" s="1"/>
    </row>
    <row r="48942">
      <c r="B48942" s="36"/>
      <c r="C48942" s="36"/>
      <c r="E48942" s="1"/>
      <c r="F48942" s="1"/>
      <c r="G48942" s="1"/>
    </row>
    <row r="48943">
      <c r="B48943" s="36"/>
      <c r="C48943" s="36"/>
      <c r="E48943" s="1"/>
      <c r="F48943" s="1"/>
      <c r="G48943" s="1"/>
    </row>
    <row r="48944">
      <c r="B48944" s="36"/>
      <c r="C48944" s="36"/>
      <c r="E48944" s="1"/>
      <c r="F48944" s="1"/>
      <c r="G48944" s="1"/>
    </row>
    <row r="48945">
      <c r="B48945" s="36"/>
      <c r="C48945" s="36"/>
      <c r="E48945" s="1"/>
      <c r="F48945" s="1"/>
      <c r="G48945" s="1"/>
    </row>
    <row r="48946">
      <c r="B48946" s="36"/>
      <c r="C48946" s="36"/>
      <c r="E48946" s="1"/>
      <c r="F48946" s="1"/>
      <c r="G48946" s="1"/>
    </row>
    <row r="48947">
      <c r="B48947" s="36"/>
      <c r="C48947" s="36"/>
      <c r="E48947" s="1"/>
      <c r="F48947" s="1"/>
      <c r="G48947" s="1"/>
    </row>
    <row r="48948">
      <c r="B48948" s="36"/>
      <c r="C48948" s="36"/>
      <c r="E48948" s="1"/>
      <c r="F48948" s="1"/>
      <c r="G48948" s="1"/>
    </row>
    <row r="48949">
      <c r="B48949" s="36"/>
      <c r="C48949" s="36"/>
      <c r="E48949" s="1"/>
      <c r="F48949" s="1"/>
      <c r="G48949" s="1"/>
    </row>
    <row r="48950">
      <c r="B48950" s="36"/>
      <c r="C48950" s="36"/>
      <c r="E48950" s="1"/>
      <c r="F48950" s="1"/>
      <c r="G48950" s="1"/>
    </row>
    <row r="48951">
      <c r="B48951" s="36"/>
      <c r="C48951" s="36"/>
      <c r="E48951" s="1"/>
      <c r="F48951" s="1"/>
      <c r="G48951" s="1"/>
    </row>
    <row r="48952">
      <c r="B48952" s="36"/>
      <c r="C48952" s="36"/>
      <c r="E48952" s="1"/>
      <c r="F48952" s="1"/>
      <c r="G48952" s="1"/>
    </row>
    <row r="48953">
      <c r="B48953" s="36"/>
      <c r="C48953" s="36"/>
      <c r="E48953" s="1"/>
      <c r="F48953" s="1"/>
      <c r="G48953" s="1"/>
    </row>
    <row r="48954">
      <c r="B48954" s="36"/>
      <c r="C48954" s="36"/>
      <c r="E48954" s="1"/>
      <c r="F48954" s="1"/>
      <c r="G48954" s="1"/>
    </row>
    <row r="48955">
      <c r="B48955" s="36"/>
      <c r="C48955" s="36"/>
      <c r="E48955" s="1"/>
      <c r="F48955" s="1"/>
      <c r="G48955" s="1"/>
    </row>
    <row r="48956">
      <c r="B48956" s="36"/>
      <c r="C48956" s="36"/>
      <c r="E48956" s="1"/>
      <c r="F48956" s="1"/>
      <c r="G48956" s="1"/>
    </row>
    <row r="48957">
      <c r="B48957" s="36"/>
      <c r="C48957" s="36"/>
      <c r="E48957" s="1"/>
      <c r="F48957" s="1"/>
      <c r="G48957" s="1"/>
    </row>
    <row r="48958">
      <c r="B48958" s="36"/>
      <c r="C48958" s="36"/>
      <c r="E48958" s="1"/>
      <c r="F48958" s="1"/>
      <c r="G48958" s="1"/>
    </row>
    <row r="48959">
      <c r="B48959" s="36"/>
      <c r="C48959" s="36"/>
      <c r="E48959" s="1"/>
      <c r="F48959" s="1"/>
      <c r="G48959" s="1"/>
    </row>
    <row r="48960">
      <c r="B48960" s="36"/>
      <c r="C48960" s="36"/>
      <c r="E48960" s="1"/>
      <c r="F48960" s="1"/>
      <c r="G48960" s="1"/>
    </row>
    <row r="48961">
      <c r="B48961" s="36"/>
      <c r="C48961" s="36"/>
      <c r="E48961" s="1"/>
      <c r="F48961" s="1"/>
      <c r="G48961" s="1"/>
    </row>
    <row r="48962">
      <c r="B48962" s="36"/>
      <c r="C48962" s="36"/>
      <c r="E48962" s="1"/>
      <c r="F48962" s="1"/>
      <c r="G48962" s="1"/>
    </row>
    <row r="48963">
      <c r="B48963" s="36"/>
      <c r="C48963" s="36"/>
      <c r="E48963" s="1"/>
      <c r="F48963" s="1"/>
      <c r="G48963" s="1"/>
    </row>
    <row r="48964">
      <c r="B48964" s="36"/>
      <c r="C48964" s="36"/>
      <c r="E48964" s="1"/>
      <c r="F48964" s="1"/>
      <c r="G48964" s="1"/>
    </row>
    <row r="48965">
      <c r="B48965" s="36"/>
      <c r="C48965" s="36"/>
      <c r="E48965" s="1"/>
      <c r="F48965" s="1"/>
      <c r="G48965" s="1"/>
    </row>
    <row r="48966">
      <c r="B48966" s="36"/>
      <c r="C48966" s="36"/>
      <c r="E48966" s="1"/>
      <c r="F48966" s="1"/>
      <c r="G48966" s="1"/>
    </row>
    <row r="48967">
      <c r="B48967" s="36"/>
      <c r="C48967" s="36"/>
      <c r="E48967" s="1"/>
      <c r="F48967" s="1"/>
      <c r="G48967" s="1"/>
    </row>
    <row r="48968">
      <c r="B48968" s="36"/>
      <c r="C48968" s="36"/>
      <c r="E48968" s="1"/>
      <c r="F48968" s="1"/>
      <c r="G48968" s="1"/>
    </row>
    <row r="48969">
      <c r="B48969" s="36"/>
      <c r="C48969" s="36"/>
      <c r="E48969" s="1"/>
      <c r="F48969" s="1"/>
      <c r="G48969" s="1"/>
    </row>
    <row r="48970">
      <c r="B48970" s="36"/>
      <c r="C48970" s="36"/>
      <c r="E48970" s="1"/>
      <c r="F48970" s="1"/>
      <c r="G48970" s="1"/>
    </row>
    <row r="48971">
      <c r="B48971" s="36"/>
      <c r="C48971" s="36"/>
      <c r="E48971" s="1"/>
      <c r="F48971" s="1"/>
      <c r="G48971" s="1"/>
    </row>
    <row r="48972">
      <c r="B48972" s="36"/>
      <c r="C48972" s="36"/>
      <c r="E48972" s="1"/>
      <c r="F48972" s="1"/>
      <c r="G48972" s="1"/>
    </row>
    <row r="48973">
      <c r="B48973" s="36"/>
      <c r="C48973" s="36"/>
      <c r="E48973" s="1"/>
      <c r="F48973" s="1"/>
      <c r="G48973" s="1"/>
    </row>
    <row r="48974">
      <c r="B48974" s="36"/>
      <c r="C48974" s="36"/>
      <c r="E48974" s="1"/>
      <c r="F48974" s="1"/>
      <c r="G48974" s="1"/>
    </row>
    <row r="48975">
      <c r="B48975" s="36"/>
      <c r="C48975" s="36"/>
      <c r="E48975" s="1"/>
      <c r="F48975" s="1"/>
      <c r="G48975" s="1"/>
    </row>
    <row r="48976">
      <c r="B48976" s="36"/>
      <c r="C48976" s="36"/>
      <c r="E48976" s="1"/>
      <c r="F48976" s="1"/>
      <c r="G48976" s="1"/>
    </row>
    <row r="48977">
      <c r="B48977" s="36"/>
      <c r="C48977" s="36"/>
      <c r="E48977" s="1"/>
      <c r="F48977" s="1"/>
      <c r="G48977" s="1"/>
    </row>
    <row r="48978">
      <c r="B48978" s="36"/>
      <c r="C48978" s="36"/>
      <c r="E48978" s="1"/>
      <c r="F48978" s="1"/>
      <c r="G48978" s="1"/>
    </row>
    <row r="48979">
      <c r="B48979" s="36"/>
      <c r="C48979" s="36"/>
      <c r="E48979" s="1"/>
      <c r="F48979" s="1"/>
      <c r="G48979" s="1"/>
    </row>
    <row r="48980">
      <c r="B48980" s="36"/>
      <c r="C48980" s="36"/>
      <c r="E48980" s="1"/>
      <c r="F48980" s="1"/>
      <c r="G48980" s="1"/>
    </row>
    <row r="48981">
      <c r="B48981" s="36"/>
      <c r="C48981" s="36"/>
      <c r="E48981" s="1"/>
      <c r="F48981" s="1"/>
      <c r="G48981" s="1"/>
    </row>
    <row r="48982">
      <c r="B48982" s="36"/>
      <c r="C48982" s="36"/>
      <c r="E48982" s="1"/>
      <c r="F48982" s="1"/>
      <c r="G48982" s="1"/>
    </row>
    <row r="48983">
      <c r="B48983" s="36"/>
      <c r="C48983" s="36"/>
      <c r="E48983" s="1"/>
      <c r="F48983" s="1"/>
      <c r="G48983" s="1"/>
    </row>
    <row r="48984">
      <c r="B48984" s="36"/>
      <c r="C48984" s="36"/>
      <c r="E48984" s="1"/>
      <c r="F48984" s="1"/>
      <c r="G48984" s="1"/>
    </row>
    <row r="48985">
      <c r="B48985" s="36"/>
      <c r="C48985" s="36"/>
      <c r="E48985" s="1"/>
      <c r="F48985" s="1"/>
      <c r="G48985" s="1"/>
    </row>
    <row r="48986">
      <c r="B48986" s="36"/>
      <c r="C48986" s="36"/>
      <c r="E48986" s="1"/>
      <c r="F48986" s="1"/>
      <c r="G48986" s="1"/>
    </row>
    <row r="48987">
      <c r="B48987" s="36"/>
      <c r="C48987" s="36"/>
      <c r="E48987" s="1"/>
      <c r="F48987" s="1"/>
      <c r="G48987" s="1"/>
    </row>
    <row r="48988">
      <c r="B48988" s="36"/>
      <c r="C48988" s="36"/>
      <c r="E48988" s="1"/>
      <c r="F48988" s="1"/>
      <c r="G48988" s="1"/>
    </row>
    <row r="48989">
      <c r="B48989" s="36"/>
      <c r="C48989" s="36"/>
      <c r="E48989" s="1"/>
      <c r="F48989" s="1"/>
      <c r="G48989" s="1"/>
    </row>
    <row r="48990">
      <c r="B48990" s="36"/>
      <c r="C48990" s="36"/>
      <c r="E48990" s="1"/>
      <c r="F48990" s="1"/>
      <c r="G48990" s="1"/>
    </row>
    <row r="48991">
      <c r="B48991" s="36"/>
      <c r="C48991" s="36"/>
      <c r="E48991" s="1"/>
      <c r="F48991" s="1"/>
      <c r="G48991" s="1"/>
    </row>
    <row r="48992">
      <c r="B48992" s="36"/>
      <c r="C48992" s="36"/>
      <c r="E48992" s="1"/>
      <c r="F48992" s="1"/>
      <c r="G48992" s="1"/>
    </row>
    <row r="48993">
      <c r="B48993" s="36"/>
      <c r="C48993" s="36"/>
      <c r="E48993" s="1"/>
      <c r="F48993" s="1"/>
      <c r="G48993" s="1"/>
    </row>
    <row r="48994">
      <c r="B48994" s="36"/>
      <c r="C48994" s="36"/>
      <c r="E48994" s="1"/>
      <c r="F48994" s="1"/>
      <c r="G48994" s="1"/>
    </row>
    <row r="48995">
      <c r="B48995" s="36"/>
      <c r="C48995" s="36"/>
      <c r="E48995" s="1"/>
      <c r="F48995" s="1"/>
      <c r="G48995" s="1"/>
    </row>
    <row r="48996">
      <c r="B48996" s="36"/>
      <c r="C48996" s="36"/>
      <c r="E48996" s="1"/>
      <c r="F48996" s="1"/>
      <c r="G48996" s="1"/>
    </row>
    <row r="48997">
      <c r="B48997" s="36"/>
      <c r="C48997" s="36"/>
      <c r="E48997" s="1"/>
      <c r="F48997" s="1"/>
      <c r="G48997" s="1"/>
    </row>
    <row r="48998">
      <c r="B48998" s="36"/>
      <c r="C48998" s="36"/>
      <c r="E48998" s="1"/>
      <c r="F48998" s="1"/>
      <c r="G48998" s="1"/>
    </row>
    <row r="48999">
      <c r="B48999" s="36"/>
      <c r="C48999" s="36"/>
      <c r="E48999" s="1"/>
      <c r="F48999" s="1"/>
      <c r="G48999" s="1"/>
    </row>
    <row r="49000">
      <c r="B49000" s="36"/>
      <c r="C49000" s="36"/>
      <c r="E49000" s="1"/>
      <c r="F49000" s="1"/>
      <c r="G49000" s="1"/>
    </row>
    <row r="49001">
      <c r="B49001" s="36"/>
      <c r="C49001" s="36"/>
      <c r="E49001" s="1"/>
      <c r="F49001" s="1"/>
      <c r="G49001" s="1"/>
    </row>
    <row r="49002">
      <c r="B49002" s="36"/>
      <c r="C49002" s="36"/>
      <c r="E49002" s="1"/>
      <c r="F49002" s="1"/>
      <c r="G49002" s="1"/>
    </row>
    <row r="49003">
      <c r="B49003" s="36"/>
      <c r="C49003" s="36"/>
      <c r="E49003" s="1"/>
      <c r="F49003" s="1"/>
      <c r="G49003" s="1"/>
    </row>
    <row r="49004">
      <c r="B49004" s="36"/>
      <c r="C49004" s="36"/>
      <c r="E49004" s="1"/>
      <c r="F49004" s="1"/>
      <c r="G49004" s="1"/>
    </row>
    <row r="49005">
      <c r="B49005" s="36"/>
      <c r="C49005" s="36"/>
      <c r="E49005" s="1"/>
      <c r="F49005" s="1"/>
      <c r="G49005" s="1"/>
    </row>
    <row r="49006">
      <c r="B49006" s="36"/>
      <c r="C49006" s="36"/>
      <c r="E49006" s="1"/>
      <c r="F49006" s="1"/>
      <c r="G49006" s="1"/>
    </row>
    <row r="49007">
      <c r="B49007" s="36"/>
      <c r="C49007" s="36"/>
      <c r="E49007" s="1"/>
      <c r="F49007" s="1"/>
      <c r="G49007" s="1"/>
    </row>
    <row r="49008">
      <c r="B49008" s="36"/>
      <c r="C49008" s="36"/>
      <c r="E49008" s="1"/>
      <c r="F49008" s="1"/>
      <c r="G49008" s="1"/>
    </row>
    <row r="49009">
      <c r="B49009" s="36"/>
      <c r="C49009" s="36"/>
      <c r="E49009" s="1"/>
      <c r="F49009" s="1"/>
      <c r="G49009" s="1"/>
    </row>
    <row r="49010">
      <c r="B49010" s="36"/>
      <c r="C49010" s="36"/>
      <c r="E49010" s="1"/>
      <c r="F49010" s="1"/>
      <c r="G49010" s="1"/>
    </row>
    <row r="49011">
      <c r="B49011" s="36"/>
      <c r="C49011" s="36"/>
      <c r="E49011" s="1"/>
      <c r="F49011" s="1"/>
      <c r="G49011" s="1"/>
    </row>
    <row r="49012">
      <c r="B49012" s="36"/>
      <c r="C49012" s="36"/>
      <c r="E49012" s="1"/>
      <c r="F49012" s="1"/>
      <c r="G49012" s="1"/>
    </row>
    <row r="49013">
      <c r="B49013" s="36"/>
      <c r="C49013" s="36"/>
      <c r="E49013" s="1"/>
      <c r="F49013" s="1"/>
      <c r="G49013" s="1"/>
    </row>
    <row r="49014">
      <c r="B49014" s="36"/>
      <c r="C49014" s="36"/>
      <c r="E49014" s="1"/>
      <c r="F49014" s="1"/>
      <c r="G49014" s="1"/>
    </row>
    <row r="49015">
      <c r="B49015" s="36"/>
      <c r="C49015" s="36"/>
      <c r="E49015" s="1"/>
      <c r="F49015" s="1"/>
      <c r="G49015" s="1"/>
    </row>
    <row r="49016">
      <c r="B49016" s="36"/>
      <c r="C49016" s="36"/>
      <c r="E49016" s="1"/>
      <c r="F49016" s="1"/>
      <c r="G49016" s="1"/>
    </row>
    <row r="49017">
      <c r="B49017" s="36"/>
      <c r="C49017" s="36"/>
      <c r="E49017" s="1"/>
      <c r="F49017" s="1"/>
      <c r="G49017" s="1"/>
    </row>
    <row r="49018">
      <c r="B49018" s="36"/>
      <c r="C49018" s="36"/>
      <c r="E49018" s="1"/>
      <c r="F49018" s="1"/>
      <c r="G49018" s="1"/>
    </row>
    <row r="49019">
      <c r="B49019" s="36"/>
      <c r="C49019" s="36"/>
      <c r="E49019" s="1"/>
      <c r="F49019" s="1"/>
      <c r="G49019" s="1"/>
    </row>
    <row r="49020">
      <c r="B49020" s="36"/>
      <c r="C49020" s="36"/>
      <c r="E49020" s="1"/>
      <c r="F49020" s="1"/>
      <c r="G49020" s="1"/>
    </row>
    <row r="49021">
      <c r="B49021" s="36"/>
      <c r="C49021" s="36"/>
      <c r="E49021" s="1"/>
      <c r="F49021" s="1"/>
      <c r="G49021" s="1"/>
    </row>
    <row r="49022">
      <c r="B49022" s="36"/>
      <c r="C49022" s="36"/>
      <c r="E49022" s="1"/>
      <c r="F49022" s="1"/>
      <c r="G49022" s="1"/>
    </row>
    <row r="49023">
      <c r="B49023" s="36"/>
      <c r="C49023" s="36"/>
      <c r="E49023" s="1"/>
      <c r="F49023" s="1"/>
      <c r="G49023" s="1"/>
    </row>
    <row r="49024">
      <c r="B49024" s="36"/>
      <c r="C49024" s="36"/>
      <c r="E49024" s="1"/>
      <c r="F49024" s="1"/>
      <c r="G49024" s="1"/>
    </row>
    <row r="49025">
      <c r="B49025" s="36"/>
      <c r="C49025" s="36"/>
      <c r="E49025" s="1"/>
      <c r="F49025" s="1"/>
      <c r="G49025" s="1"/>
    </row>
    <row r="49026">
      <c r="B49026" s="36"/>
      <c r="C49026" s="36"/>
      <c r="E49026" s="1"/>
      <c r="F49026" s="1"/>
      <c r="G49026" s="1"/>
    </row>
    <row r="49027">
      <c r="B49027" s="36"/>
      <c r="C49027" s="36"/>
      <c r="E49027" s="1"/>
      <c r="F49027" s="1"/>
      <c r="G49027" s="1"/>
    </row>
    <row r="49028">
      <c r="B49028" s="36"/>
      <c r="C49028" s="36"/>
      <c r="E49028" s="1"/>
      <c r="F49028" s="1"/>
      <c r="G49028" s="1"/>
    </row>
    <row r="49029">
      <c r="B49029" s="36"/>
      <c r="C49029" s="36"/>
      <c r="E49029" s="1"/>
      <c r="F49029" s="1"/>
      <c r="G49029" s="1"/>
    </row>
    <row r="49030">
      <c r="B49030" s="36"/>
      <c r="C49030" s="36"/>
      <c r="E49030" s="1"/>
      <c r="F49030" s="1"/>
      <c r="G49030" s="1"/>
    </row>
    <row r="49031">
      <c r="B49031" s="36"/>
      <c r="C49031" s="36"/>
      <c r="E49031" s="1"/>
      <c r="F49031" s="1"/>
      <c r="G49031" s="1"/>
    </row>
    <row r="49032">
      <c r="B49032" s="36"/>
      <c r="C49032" s="36"/>
      <c r="E49032" s="1"/>
      <c r="F49032" s="1"/>
      <c r="G49032" s="1"/>
    </row>
    <row r="49033">
      <c r="B49033" s="36"/>
      <c r="C49033" s="36"/>
      <c r="E49033" s="1"/>
      <c r="F49033" s="1"/>
      <c r="G49033" s="1"/>
    </row>
    <row r="49034">
      <c r="B49034" s="36"/>
      <c r="C49034" s="36"/>
      <c r="E49034" s="1"/>
      <c r="F49034" s="1"/>
      <c r="G49034" s="1"/>
    </row>
    <row r="49035">
      <c r="B49035" s="36"/>
      <c r="C49035" s="36"/>
      <c r="E49035" s="1"/>
      <c r="F49035" s="1"/>
      <c r="G49035" s="1"/>
    </row>
    <row r="49036">
      <c r="B49036" s="36"/>
      <c r="C49036" s="36"/>
      <c r="E49036" s="1"/>
      <c r="F49036" s="1"/>
      <c r="G49036" s="1"/>
    </row>
    <row r="49037">
      <c r="B49037" s="36"/>
      <c r="C49037" s="36"/>
      <c r="E49037" s="1"/>
      <c r="F49037" s="1"/>
      <c r="G49037" s="1"/>
    </row>
    <row r="49038">
      <c r="B49038" s="36"/>
      <c r="C49038" s="36"/>
      <c r="E49038" s="1"/>
      <c r="F49038" s="1"/>
      <c r="G49038" s="1"/>
    </row>
    <row r="49039">
      <c r="B49039" s="36"/>
      <c r="C49039" s="36"/>
      <c r="E49039" s="1"/>
      <c r="F49039" s="1"/>
      <c r="G49039" s="1"/>
    </row>
    <row r="49040">
      <c r="B49040" s="36"/>
      <c r="C49040" s="36"/>
      <c r="E49040" s="1"/>
      <c r="F49040" s="1"/>
      <c r="G49040" s="1"/>
    </row>
    <row r="49041">
      <c r="B49041" s="36"/>
      <c r="C49041" s="36"/>
      <c r="E49041" s="1"/>
      <c r="F49041" s="1"/>
      <c r="G49041" s="1"/>
    </row>
    <row r="49042">
      <c r="B49042" s="36"/>
      <c r="C49042" s="36"/>
      <c r="E49042" s="1"/>
      <c r="F49042" s="1"/>
      <c r="G49042" s="1"/>
    </row>
    <row r="49043">
      <c r="B49043" s="36"/>
      <c r="C49043" s="36"/>
      <c r="E49043" s="1"/>
      <c r="F49043" s="1"/>
      <c r="G49043" s="1"/>
    </row>
    <row r="49044">
      <c r="B49044" s="36"/>
      <c r="C49044" s="36"/>
      <c r="E49044" s="1"/>
      <c r="F49044" s="1"/>
      <c r="G49044" s="1"/>
    </row>
    <row r="49045">
      <c r="B49045" s="36"/>
      <c r="C49045" s="36"/>
      <c r="E49045" s="1"/>
      <c r="F49045" s="1"/>
      <c r="G49045" s="1"/>
    </row>
    <row r="49046">
      <c r="B49046" s="36"/>
      <c r="C49046" s="36"/>
      <c r="E49046" s="1"/>
      <c r="F49046" s="1"/>
      <c r="G49046" s="1"/>
    </row>
    <row r="49047">
      <c r="B49047" s="36"/>
      <c r="C49047" s="36"/>
      <c r="E49047" s="1"/>
      <c r="F49047" s="1"/>
      <c r="G49047" s="1"/>
    </row>
    <row r="49048">
      <c r="B49048" s="36"/>
      <c r="C49048" s="36"/>
      <c r="E49048" s="1"/>
      <c r="F49048" s="1"/>
      <c r="G49048" s="1"/>
    </row>
    <row r="49049">
      <c r="B49049" s="36"/>
      <c r="C49049" s="36"/>
      <c r="E49049" s="1"/>
      <c r="F49049" s="1"/>
      <c r="G49049" s="1"/>
    </row>
    <row r="49050">
      <c r="B49050" s="36"/>
      <c r="C49050" s="36"/>
      <c r="E49050" s="1"/>
      <c r="F49050" s="1"/>
      <c r="G49050" s="1"/>
    </row>
    <row r="49051">
      <c r="B49051" s="36"/>
      <c r="C49051" s="36"/>
      <c r="E49051" s="1"/>
      <c r="F49051" s="1"/>
      <c r="G49051" s="1"/>
    </row>
    <row r="49052">
      <c r="B49052" s="36"/>
      <c r="C49052" s="36"/>
      <c r="E49052" s="1"/>
      <c r="F49052" s="1"/>
      <c r="G49052" s="1"/>
    </row>
    <row r="49053">
      <c r="B49053" s="36"/>
      <c r="C49053" s="36"/>
      <c r="E49053" s="1"/>
      <c r="F49053" s="1"/>
      <c r="G49053" s="1"/>
    </row>
    <row r="49054">
      <c r="B49054" s="36"/>
      <c r="C49054" s="36"/>
      <c r="E49054" s="1"/>
      <c r="F49054" s="1"/>
      <c r="G49054" s="1"/>
    </row>
    <row r="49055">
      <c r="B49055" s="36"/>
      <c r="C49055" s="36"/>
      <c r="E49055" s="1"/>
      <c r="F49055" s="1"/>
      <c r="G49055" s="1"/>
    </row>
    <row r="49056">
      <c r="B49056" s="36"/>
      <c r="C49056" s="36"/>
      <c r="E49056" s="1"/>
      <c r="F49056" s="1"/>
      <c r="G49056" s="1"/>
    </row>
    <row r="49057">
      <c r="B49057" s="36"/>
      <c r="C49057" s="36"/>
      <c r="E49057" s="1"/>
      <c r="F49057" s="1"/>
      <c r="G49057" s="1"/>
    </row>
    <row r="49058">
      <c r="B49058" s="36"/>
      <c r="C49058" s="36"/>
      <c r="E49058" s="1"/>
      <c r="F49058" s="1"/>
      <c r="G49058" s="1"/>
    </row>
    <row r="49059">
      <c r="B49059" s="36"/>
      <c r="C49059" s="36"/>
      <c r="E49059" s="1"/>
      <c r="F49059" s="1"/>
      <c r="G49059" s="1"/>
    </row>
    <row r="49060">
      <c r="B49060" s="36"/>
      <c r="C49060" s="36"/>
      <c r="E49060" s="1"/>
      <c r="F49060" s="1"/>
      <c r="G49060" s="1"/>
    </row>
    <row r="49061">
      <c r="B49061" s="36"/>
      <c r="C49061" s="36"/>
      <c r="E49061" s="1"/>
      <c r="F49061" s="1"/>
      <c r="G49061" s="1"/>
    </row>
    <row r="49062">
      <c r="B49062" s="36"/>
      <c r="C49062" s="36"/>
      <c r="E49062" s="1"/>
      <c r="F49062" s="1"/>
      <c r="G49062" s="1"/>
    </row>
    <row r="49063">
      <c r="B49063" s="36"/>
      <c r="C49063" s="36"/>
      <c r="E49063" s="1"/>
      <c r="F49063" s="1"/>
      <c r="G49063" s="1"/>
    </row>
    <row r="49064">
      <c r="B49064" s="36"/>
      <c r="C49064" s="36"/>
      <c r="E49064" s="1"/>
      <c r="F49064" s="1"/>
      <c r="G49064" s="1"/>
    </row>
    <row r="49065">
      <c r="B49065" s="36"/>
      <c r="C49065" s="36"/>
      <c r="E49065" s="1"/>
      <c r="F49065" s="1"/>
      <c r="G49065" s="1"/>
    </row>
    <row r="49066">
      <c r="B49066" s="36"/>
      <c r="C49066" s="36"/>
      <c r="E49066" s="1"/>
      <c r="F49066" s="1"/>
      <c r="G49066" s="1"/>
    </row>
    <row r="49067">
      <c r="B49067" s="36"/>
      <c r="C49067" s="36"/>
      <c r="E49067" s="1"/>
      <c r="F49067" s="1"/>
      <c r="G49067" s="1"/>
    </row>
    <row r="49068">
      <c r="B49068" s="36"/>
      <c r="C49068" s="36"/>
      <c r="E49068" s="1"/>
      <c r="F49068" s="1"/>
      <c r="G49068" s="1"/>
    </row>
    <row r="49069">
      <c r="B49069" s="36"/>
      <c r="C49069" s="36"/>
      <c r="E49069" s="1"/>
      <c r="F49069" s="1"/>
      <c r="G49069" s="1"/>
    </row>
    <row r="49070">
      <c r="B49070" s="36"/>
      <c r="C49070" s="36"/>
      <c r="E49070" s="1"/>
      <c r="F49070" s="1"/>
      <c r="G49070" s="1"/>
    </row>
    <row r="49071">
      <c r="B49071" s="36"/>
      <c r="C49071" s="36"/>
      <c r="E49071" s="1"/>
      <c r="F49071" s="1"/>
      <c r="G49071" s="1"/>
    </row>
    <row r="49072">
      <c r="B49072" s="36"/>
      <c r="C49072" s="36"/>
      <c r="E49072" s="1"/>
      <c r="F49072" s="1"/>
      <c r="G49072" s="1"/>
    </row>
    <row r="49073">
      <c r="B49073" s="36"/>
      <c r="C49073" s="36"/>
      <c r="E49073" s="1"/>
      <c r="F49073" s="1"/>
      <c r="G49073" s="1"/>
    </row>
    <row r="49074">
      <c r="B49074" s="36"/>
      <c r="C49074" s="36"/>
      <c r="E49074" s="1"/>
      <c r="F49074" s="1"/>
      <c r="G49074" s="1"/>
    </row>
    <row r="49075">
      <c r="B49075" s="36"/>
      <c r="C49075" s="36"/>
      <c r="E49075" s="1"/>
      <c r="F49075" s="1"/>
      <c r="G49075" s="1"/>
    </row>
    <row r="49076">
      <c r="B49076" s="36"/>
      <c r="C49076" s="36"/>
      <c r="E49076" s="1"/>
      <c r="F49076" s="1"/>
      <c r="G49076" s="1"/>
    </row>
    <row r="49077">
      <c r="B49077" s="36"/>
      <c r="C49077" s="36"/>
      <c r="E49077" s="1"/>
      <c r="F49077" s="1"/>
      <c r="G49077" s="1"/>
    </row>
    <row r="49078">
      <c r="B49078" s="36"/>
      <c r="C49078" s="36"/>
      <c r="E49078" s="1"/>
      <c r="F49078" s="1"/>
      <c r="G49078" s="1"/>
    </row>
    <row r="49079">
      <c r="B49079" s="36"/>
      <c r="C49079" s="36"/>
      <c r="E49079" s="1"/>
      <c r="F49079" s="1"/>
      <c r="G49079" s="1"/>
    </row>
    <row r="49080">
      <c r="B49080" s="36"/>
      <c r="C49080" s="36"/>
      <c r="E49080" s="1"/>
      <c r="F49080" s="1"/>
      <c r="G49080" s="1"/>
    </row>
    <row r="49081">
      <c r="B49081" s="36"/>
      <c r="C49081" s="36"/>
      <c r="E49081" s="1"/>
      <c r="F49081" s="1"/>
      <c r="G49081" s="1"/>
    </row>
    <row r="49082">
      <c r="B49082" s="36"/>
      <c r="C49082" s="36"/>
      <c r="E49082" s="1"/>
      <c r="F49082" s="1"/>
      <c r="G49082" s="1"/>
    </row>
    <row r="49083">
      <c r="B49083" s="36"/>
      <c r="C49083" s="36"/>
      <c r="E49083" s="1"/>
      <c r="F49083" s="1"/>
      <c r="G49083" s="1"/>
    </row>
    <row r="49084">
      <c r="B49084" s="36"/>
      <c r="C49084" s="36"/>
      <c r="E49084" s="1"/>
      <c r="F49084" s="1"/>
      <c r="G49084" s="1"/>
    </row>
    <row r="49085">
      <c r="B49085" s="36"/>
      <c r="C49085" s="36"/>
      <c r="E49085" s="1"/>
      <c r="F49085" s="1"/>
      <c r="G49085" s="1"/>
    </row>
    <row r="49086">
      <c r="B49086" s="36"/>
      <c r="C49086" s="36"/>
      <c r="E49086" s="1"/>
      <c r="F49086" s="1"/>
      <c r="G49086" s="1"/>
    </row>
    <row r="49087">
      <c r="B49087" s="36"/>
      <c r="C49087" s="36"/>
      <c r="E49087" s="1"/>
      <c r="F49087" s="1"/>
      <c r="G49087" s="1"/>
    </row>
    <row r="49088">
      <c r="B49088" s="36"/>
      <c r="C49088" s="36"/>
      <c r="E49088" s="1"/>
      <c r="F49088" s="1"/>
      <c r="G49088" s="1"/>
    </row>
    <row r="49089">
      <c r="B49089" s="36"/>
      <c r="C49089" s="36"/>
      <c r="E49089" s="1"/>
      <c r="F49089" s="1"/>
      <c r="G49089" s="1"/>
    </row>
    <row r="49090">
      <c r="B49090" s="36"/>
      <c r="C49090" s="36"/>
      <c r="E49090" s="1"/>
      <c r="F49090" s="1"/>
      <c r="G49090" s="1"/>
    </row>
    <row r="49091">
      <c r="B49091" s="36"/>
      <c r="C49091" s="36"/>
      <c r="E49091" s="1"/>
      <c r="F49091" s="1"/>
      <c r="G49091" s="1"/>
    </row>
    <row r="49092">
      <c r="B49092" s="36"/>
      <c r="C49092" s="36"/>
      <c r="E49092" s="1"/>
      <c r="F49092" s="1"/>
      <c r="G49092" s="1"/>
    </row>
    <row r="49093">
      <c r="B49093" s="36"/>
      <c r="C49093" s="36"/>
      <c r="E49093" s="1"/>
      <c r="F49093" s="1"/>
      <c r="G49093" s="1"/>
    </row>
    <row r="49094">
      <c r="B49094" s="36"/>
      <c r="C49094" s="36"/>
      <c r="E49094" s="1"/>
      <c r="F49094" s="1"/>
      <c r="G49094" s="1"/>
    </row>
    <row r="49095">
      <c r="B49095" s="36"/>
      <c r="C49095" s="36"/>
      <c r="E49095" s="1"/>
      <c r="F49095" s="1"/>
      <c r="G49095" s="1"/>
    </row>
    <row r="49096">
      <c r="B49096" s="36"/>
      <c r="C49096" s="36"/>
      <c r="E49096" s="1"/>
      <c r="F49096" s="1"/>
      <c r="G49096" s="1"/>
    </row>
    <row r="49097">
      <c r="B49097" s="36"/>
      <c r="C49097" s="36"/>
      <c r="E49097" s="1"/>
      <c r="F49097" s="1"/>
      <c r="G49097" s="1"/>
    </row>
    <row r="49098">
      <c r="B49098" s="36"/>
      <c r="C49098" s="36"/>
      <c r="E49098" s="1"/>
      <c r="F49098" s="1"/>
      <c r="G49098" s="1"/>
    </row>
    <row r="49099">
      <c r="B49099" s="36"/>
      <c r="C49099" s="36"/>
      <c r="E49099" s="1"/>
      <c r="F49099" s="1"/>
      <c r="G49099" s="1"/>
    </row>
    <row r="49100">
      <c r="B49100" s="36"/>
      <c r="C49100" s="36"/>
      <c r="E49100" s="1"/>
      <c r="F49100" s="1"/>
      <c r="G49100" s="1"/>
    </row>
    <row r="49101">
      <c r="B49101" s="36"/>
      <c r="C49101" s="36"/>
      <c r="E49101" s="1"/>
      <c r="F49101" s="1"/>
      <c r="G49101" s="1"/>
    </row>
    <row r="49102">
      <c r="B49102" s="36"/>
      <c r="C49102" s="36"/>
      <c r="E49102" s="1"/>
      <c r="F49102" s="1"/>
      <c r="G49102" s="1"/>
    </row>
    <row r="49103">
      <c r="B49103" s="36"/>
      <c r="C49103" s="36"/>
      <c r="E49103" s="1"/>
      <c r="F49103" s="1"/>
      <c r="G49103" s="1"/>
    </row>
    <row r="49104">
      <c r="B49104" s="36"/>
      <c r="C49104" s="36"/>
      <c r="E49104" s="1"/>
      <c r="F49104" s="1"/>
      <c r="G49104" s="1"/>
    </row>
    <row r="49105">
      <c r="B49105" s="36"/>
      <c r="C49105" s="36"/>
      <c r="E49105" s="1"/>
      <c r="F49105" s="1"/>
      <c r="G49105" s="1"/>
    </row>
    <row r="49106">
      <c r="B49106" s="36"/>
      <c r="C49106" s="36"/>
      <c r="E49106" s="1"/>
      <c r="F49106" s="1"/>
      <c r="G49106" s="1"/>
    </row>
    <row r="49107">
      <c r="B49107" s="36"/>
      <c r="C49107" s="36"/>
      <c r="E49107" s="1"/>
      <c r="F49107" s="1"/>
      <c r="G49107" s="1"/>
    </row>
    <row r="49108">
      <c r="B49108" s="36"/>
      <c r="C49108" s="36"/>
      <c r="E49108" s="1"/>
      <c r="F49108" s="1"/>
      <c r="G49108" s="1"/>
    </row>
    <row r="49109">
      <c r="B49109" s="36"/>
      <c r="C49109" s="36"/>
      <c r="E49109" s="1"/>
      <c r="F49109" s="1"/>
      <c r="G49109" s="1"/>
    </row>
    <row r="49110">
      <c r="B49110" s="36"/>
      <c r="C49110" s="36"/>
      <c r="E49110" s="1"/>
      <c r="F49110" s="1"/>
      <c r="G49110" s="1"/>
    </row>
    <row r="49111">
      <c r="B49111" s="36"/>
      <c r="C49111" s="36"/>
      <c r="E49111" s="1"/>
      <c r="F49111" s="1"/>
      <c r="G49111" s="1"/>
    </row>
    <row r="49112">
      <c r="B49112" s="36"/>
      <c r="C49112" s="36"/>
      <c r="E49112" s="1"/>
      <c r="F49112" s="1"/>
      <c r="G49112" s="1"/>
    </row>
    <row r="49113">
      <c r="B49113" s="36"/>
      <c r="C49113" s="36"/>
      <c r="E49113" s="1"/>
      <c r="F49113" s="1"/>
      <c r="G49113" s="1"/>
    </row>
    <row r="49114">
      <c r="B49114" s="36"/>
      <c r="C49114" s="36"/>
      <c r="E49114" s="1"/>
      <c r="F49114" s="1"/>
      <c r="G49114" s="1"/>
    </row>
    <row r="49115">
      <c r="B49115" s="36"/>
      <c r="C49115" s="36"/>
      <c r="E49115" s="1"/>
      <c r="F49115" s="1"/>
      <c r="G49115" s="1"/>
    </row>
    <row r="49116">
      <c r="B49116" s="36"/>
      <c r="C49116" s="36"/>
      <c r="E49116" s="1"/>
      <c r="F49116" s="1"/>
      <c r="G49116" s="1"/>
    </row>
    <row r="49117">
      <c r="B49117" s="36"/>
      <c r="C49117" s="36"/>
      <c r="E49117" s="1"/>
      <c r="F49117" s="1"/>
      <c r="G49117" s="1"/>
    </row>
    <row r="49118">
      <c r="B49118" s="36"/>
      <c r="C49118" s="36"/>
      <c r="E49118" s="1"/>
      <c r="F49118" s="1"/>
      <c r="G49118" s="1"/>
    </row>
    <row r="49119">
      <c r="B49119" s="36"/>
      <c r="C49119" s="36"/>
      <c r="E49119" s="1"/>
      <c r="F49119" s="1"/>
      <c r="G49119" s="1"/>
    </row>
    <row r="49120">
      <c r="B49120" s="36"/>
      <c r="C49120" s="36"/>
      <c r="E49120" s="1"/>
      <c r="F49120" s="1"/>
      <c r="G49120" s="1"/>
    </row>
    <row r="49121">
      <c r="B49121" s="36"/>
      <c r="C49121" s="36"/>
      <c r="E49121" s="1"/>
      <c r="F49121" s="1"/>
      <c r="G49121" s="1"/>
    </row>
    <row r="49122">
      <c r="B49122" s="36"/>
      <c r="C49122" s="36"/>
      <c r="E49122" s="1"/>
      <c r="F49122" s="1"/>
      <c r="G49122" s="1"/>
    </row>
    <row r="49123">
      <c r="B49123" s="36"/>
      <c r="C49123" s="36"/>
      <c r="E49123" s="1"/>
      <c r="F49123" s="1"/>
      <c r="G49123" s="1"/>
    </row>
    <row r="49124">
      <c r="B49124" s="36"/>
      <c r="C49124" s="36"/>
      <c r="E49124" s="1"/>
      <c r="F49124" s="1"/>
      <c r="G49124" s="1"/>
    </row>
    <row r="49125">
      <c r="B49125" s="36"/>
      <c r="C49125" s="36"/>
      <c r="E49125" s="1"/>
      <c r="F49125" s="1"/>
      <c r="G49125" s="1"/>
    </row>
    <row r="49126">
      <c r="B49126" s="36"/>
      <c r="C49126" s="36"/>
      <c r="E49126" s="1"/>
      <c r="F49126" s="1"/>
      <c r="G49126" s="1"/>
    </row>
    <row r="49127">
      <c r="B49127" s="36"/>
      <c r="C49127" s="36"/>
      <c r="E49127" s="1"/>
      <c r="F49127" s="1"/>
      <c r="G49127" s="1"/>
    </row>
    <row r="49128">
      <c r="B49128" s="36"/>
      <c r="C49128" s="36"/>
      <c r="E49128" s="1"/>
      <c r="F49128" s="1"/>
      <c r="G49128" s="1"/>
    </row>
    <row r="49129">
      <c r="B49129" s="36"/>
      <c r="C49129" s="36"/>
      <c r="E49129" s="1"/>
      <c r="F49129" s="1"/>
      <c r="G49129" s="1"/>
    </row>
    <row r="49130">
      <c r="B49130" s="36"/>
      <c r="C49130" s="36"/>
      <c r="E49130" s="1"/>
      <c r="F49130" s="1"/>
      <c r="G49130" s="1"/>
    </row>
    <row r="49131">
      <c r="B49131" s="36"/>
      <c r="C49131" s="36"/>
      <c r="E49131" s="1"/>
      <c r="F49131" s="1"/>
      <c r="G49131" s="1"/>
    </row>
    <row r="49132">
      <c r="B49132" s="36"/>
      <c r="C49132" s="36"/>
      <c r="E49132" s="1"/>
      <c r="F49132" s="1"/>
      <c r="G49132" s="1"/>
    </row>
    <row r="49133">
      <c r="B49133" s="36"/>
      <c r="C49133" s="36"/>
      <c r="E49133" s="1"/>
      <c r="F49133" s="1"/>
      <c r="G49133" s="1"/>
    </row>
    <row r="49134">
      <c r="B49134" s="36"/>
      <c r="C49134" s="36"/>
      <c r="E49134" s="1"/>
      <c r="F49134" s="1"/>
      <c r="G49134" s="1"/>
    </row>
    <row r="49135">
      <c r="B49135" s="36"/>
      <c r="C49135" s="36"/>
      <c r="E49135" s="1"/>
      <c r="F49135" s="1"/>
      <c r="G49135" s="1"/>
    </row>
    <row r="49136">
      <c r="B49136" s="36"/>
      <c r="C49136" s="36"/>
      <c r="E49136" s="1"/>
      <c r="F49136" s="1"/>
      <c r="G49136" s="1"/>
    </row>
    <row r="49137">
      <c r="B49137" s="36"/>
      <c r="C49137" s="36"/>
      <c r="E49137" s="1"/>
      <c r="F49137" s="1"/>
      <c r="G49137" s="1"/>
    </row>
    <row r="49138">
      <c r="B49138" s="36"/>
      <c r="C49138" s="36"/>
      <c r="E49138" s="1"/>
      <c r="F49138" s="1"/>
      <c r="G49138" s="1"/>
    </row>
    <row r="49139">
      <c r="B49139" s="36"/>
      <c r="C49139" s="36"/>
      <c r="E49139" s="1"/>
      <c r="F49139" s="1"/>
      <c r="G49139" s="1"/>
    </row>
    <row r="49140">
      <c r="B49140" s="36"/>
      <c r="C49140" s="36"/>
      <c r="E49140" s="1"/>
      <c r="F49140" s="1"/>
      <c r="G49140" s="1"/>
    </row>
    <row r="49141">
      <c r="B49141" s="36"/>
      <c r="C49141" s="36"/>
      <c r="E49141" s="1"/>
      <c r="F49141" s="1"/>
      <c r="G49141" s="1"/>
    </row>
    <row r="49142">
      <c r="B49142" s="36"/>
      <c r="C49142" s="36"/>
      <c r="E49142" s="1"/>
      <c r="F49142" s="1"/>
      <c r="G49142" s="1"/>
    </row>
    <row r="49143">
      <c r="B49143" s="36"/>
      <c r="C49143" s="36"/>
      <c r="E49143" s="1"/>
      <c r="F49143" s="1"/>
      <c r="G49143" s="1"/>
    </row>
    <row r="49144">
      <c r="B49144" s="36"/>
      <c r="C49144" s="36"/>
      <c r="E49144" s="1"/>
      <c r="F49144" s="1"/>
      <c r="G49144" s="1"/>
    </row>
    <row r="49145">
      <c r="B49145" s="36"/>
      <c r="C49145" s="36"/>
      <c r="E49145" s="1"/>
      <c r="F49145" s="1"/>
      <c r="G49145" s="1"/>
    </row>
    <row r="49146">
      <c r="B49146" s="36"/>
      <c r="C49146" s="36"/>
      <c r="E49146" s="1"/>
      <c r="F49146" s="1"/>
      <c r="G49146" s="1"/>
    </row>
    <row r="49147">
      <c r="B49147" s="36"/>
      <c r="C49147" s="36"/>
      <c r="E49147" s="1"/>
      <c r="F49147" s="1"/>
      <c r="G49147" s="1"/>
    </row>
    <row r="49148">
      <c r="B49148" s="36"/>
      <c r="C49148" s="36"/>
      <c r="E49148" s="1"/>
      <c r="F49148" s="1"/>
      <c r="G49148" s="1"/>
    </row>
    <row r="49149">
      <c r="B49149" s="36"/>
      <c r="C49149" s="36"/>
      <c r="E49149" s="1"/>
      <c r="F49149" s="1"/>
      <c r="G49149" s="1"/>
    </row>
    <row r="49150">
      <c r="B49150" s="36"/>
      <c r="C49150" s="36"/>
      <c r="E49150" s="1"/>
      <c r="F49150" s="1"/>
      <c r="G49150" s="1"/>
    </row>
    <row r="49151">
      <c r="B49151" s="36"/>
      <c r="C49151" s="36"/>
      <c r="E49151" s="1"/>
      <c r="F49151" s="1"/>
      <c r="G49151" s="1"/>
    </row>
    <row r="49152">
      <c r="B49152" s="36"/>
      <c r="C49152" s="36"/>
      <c r="E49152" s="1"/>
      <c r="F49152" s="1"/>
      <c r="G49152" s="1"/>
    </row>
    <row r="49153">
      <c r="B49153" s="36"/>
      <c r="C49153" s="36"/>
      <c r="E49153" s="1"/>
      <c r="F49153" s="1"/>
      <c r="G49153" s="1"/>
    </row>
    <row r="49154">
      <c r="B49154" s="36"/>
      <c r="C49154" s="36"/>
      <c r="E49154" s="1"/>
      <c r="F49154" s="1"/>
      <c r="G49154" s="1"/>
    </row>
    <row r="49155">
      <c r="B49155" s="36"/>
      <c r="C49155" s="36"/>
      <c r="E49155" s="1"/>
      <c r="F49155" s="1"/>
      <c r="G49155" s="1"/>
    </row>
    <row r="49156">
      <c r="B49156" s="36"/>
      <c r="C49156" s="36"/>
      <c r="E49156" s="1"/>
      <c r="F49156" s="1"/>
      <c r="G49156" s="1"/>
    </row>
    <row r="49157">
      <c r="B49157" s="36"/>
      <c r="C49157" s="36"/>
      <c r="E49157" s="1"/>
      <c r="F49157" s="1"/>
      <c r="G49157" s="1"/>
    </row>
    <row r="49158">
      <c r="B49158" s="36"/>
      <c r="C49158" s="36"/>
      <c r="E49158" s="1"/>
      <c r="F49158" s="1"/>
      <c r="G49158" s="1"/>
    </row>
    <row r="49159">
      <c r="B49159" s="36"/>
      <c r="C49159" s="36"/>
      <c r="E49159" s="1"/>
      <c r="F49159" s="1"/>
      <c r="G49159" s="1"/>
    </row>
    <row r="49160">
      <c r="B49160" s="36"/>
      <c r="C49160" s="36"/>
      <c r="E49160" s="1"/>
      <c r="F49160" s="1"/>
      <c r="G49160" s="1"/>
    </row>
    <row r="49161">
      <c r="B49161" s="36"/>
      <c r="C49161" s="36"/>
      <c r="E49161" s="1"/>
      <c r="F49161" s="1"/>
      <c r="G49161" s="1"/>
    </row>
    <row r="49162">
      <c r="B49162" s="36"/>
      <c r="C49162" s="36"/>
      <c r="E49162" s="1"/>
      <c r="F49162" s="1"/>
      <c r="G49162" s="1"/>
    </row>
    <row r="49163">
      <c r="B49163" s="36"/>
      <c r="C49163" s="36"/>
      <c r="E49163" s="1"/>
      <c r="F49163" s="1"/>
      <c r="G49163" s="1"/>
    </row>
    <row r="49164">
      <c r="B49164" s="36"/>
      <c r="C49164" s="36"/>
      <c r="E49164" s="1"/>
      <c r="F49164" s="1"/>
      <c r="G49164" s="1"/>
    </row>
    <row r="49165">
      <c r="B49165" s="36"/>
      <c r="C49165" s="36"/>
      <c r="E49165" s="1"/>
      <c r="F49165" s="1"/>
      <c r="G49165" s="1"/>
    </row>
    <row r="49166">
      <c r="B49166" s="36"/>
      <c r="C49166" s="36"/>
      <c r="E49166" s="1"/>
      <c r="F49166" s="1"/>
      <c r="G49166" s="1"/>
    </row>
    <row r="49167">
      <c r="B49167" s="36"/>
      <c r="C49167" s="36"/>
      <c r="E49167" s="1"/>
      <c r="F49167" s="1"/>
      <c r="G49167" s="1"/>
    </row>
    <row r="49168">
      <c r="B49168" s="36"/>
      <c r="C49168" s="36"/>
      <c r="E49168" s="1"/>
      <c r="F49168" s="1"/>
      <c r="G49168" s="1"/>
    </row>
    <row r="49169">
      <c r="B49169" s="36"/>
      <c r="C49169" s="36"/>
      <c r="E49169" s="1"/>
      <c r="F49169" s="1"/>
      <c r="G49169" s="1"/>
    </row>
    <row r="49170">
      <c r="B49170" s="36"/>
      <c r="C49170" s="36"/>
      <c r="E49170" s="1"/>
      <c r="F49170" s="1"/>
      <c r="G49170" s="1"/>
    </row>
    <row r="49171">
      <c r="B49171" s="36"/>
      <c r="C49171" s="36"/>
      <c r="E49171" s="1"/>
      <c r="F49171" s="1"/>
      <c r="G49171" s="1"/>
    </row>
    <row r="49172">
      <c r="B49172" s="36"/>
      <c r="C49172" s="36"/>
      <c r="E49172" s="1"/>
      <c r="F49172" s="1"/>
      <c r="G49172" s="1"/>
    </row>
    <row r="49173">
      <c r="B49173" s="36"/>
      <c r="C49173" s="36"/>
      <c r="E49173" s="1"/>
      <c r="F49173" s="1"/>
      <c r="G49173" s="1"/>
    </row>
    <row r="49174">
      <c r="B49174" s="36"/>
      <c r="C49174" s="36"/>
      <c r="E49174" s="1"/>
      <c r="F49174" s="1"/>
      <c r="G49174" s="1"/>
    </row>
    <row r="49175">
      <c r="B49175" s="36"/>
      <c r="C49175" s="36"/>
      <c r="E49175" s="1"/>
      <c r="F49175" s="1"/>
      <c r="G49175" s="1"/>
    </row>
    <row r="49176">
      <c r="B49176" s="36"/>
      <c r="C49176" s="36"/>
      <c r="E49176" s="1"/>
      <c r="F49176" s="1"/>
      <c r="G49176" s="1"/>
    </row>
    <row r="49177">
      <c r="B49177" s="36"/>
      <c r="C49177" s="36"/>
      <c r="E49177" s="1"/>
      <c r="F49177" s="1"/>
      <c r="G49177" s="1"/>
    </row>
    <row r="49178">
      <c r="B49178" s="36"/>
      <c r="C49178" s="36"/>
      <c r="E49178" s="1"/>
      <c r="F49178" s="1"/>
      <c r="G49178" s="1"/>
    </row>
    <row r="49179">
      <c r="B49179" s="36"/>
      <c r="C49179" s="36"/>
      <c r="E49179" s="1"/>
      <c r="F49179" s="1"/>
      <c r="G49179" s="1"/>
    </row>
    <row r="49180">
      <c r="B49180" s="36"/>
      <c r="C49180" s="36"/>
      <c r="E49180" s="1"/>
      <c r="F49180" s="1"/>
      <c r="G49180" s="1"/>
    </row>
    <row r="49181">
      <c r="B49181" s="36"/>
      <c r="C49181" s="36"/>
      <c r="E49181" s="1"/>
      <c r="F49181" s="1"/>
      <c r="G49181" s="1"/>
    </row>
    <row r="49182">
      <c r="B49182" s="36"/>
      <c r="C49182" s="36"/>
      <c r="E49182" s="1"/>
      <c r="F49182" s="1"/>
      <c r="G49182" s="1"/>
    </row>
    <row r="49183">
      <c r="B49183" s="36"/>
      <c r="C49183" s="36"/>
      <c r="E49183" s="1"/>
      <c r="F49183" s="1"/>
      <c r="G49183" s="1"/>
    </row>
    <row r="49184">
      <c r="B49184" s="36"/>
      <c r="C49184" s="36"/>
      <c r="E49184" s="1"/>
      <c r="F49184" s="1"/>
      <c r="G49184" s="1"/>
    </row>
    <row r="49185">
      <c r="B49185" s="36"/>
      <c r="C49185" s="36"/>
      <c r="E49185" s="1"/>
      <c r="F49185" s="1"/>
      <c r="G49185" s="1"/>
    </row>
    <row r="49186">
      <c r="B49186" s="36"/>
      <c r="C49186" s="36"/>
      <c r="E49186" s="1"/>
      <c r="F49186" s="1"/>
      <c r="G49186" s="1"/>
    </row>
    <row r="49187">
      <c r="B49187" s="36"/>
      <c r="C49187" s="36"/>
      <c r="E49187" s="1"/>
      <c r="F49187" s="1"/>
      <c r="G49187" s="1"/>
    </row>
    <row r="49188">
      <c r="B49188" s="36"/>
      <c r="C49188" s="36"/>
      <c r="E49188" s="1"/>
      <c r="F49188" s="1"/>
      <c r="G49188" s="1"/>
    </row>
    <row r="49189">
      <c r="B49189" s="36"/>
      <c r="C49189" s="36"/>
      <c r="E49189" s="1"/>
      <c r="F49189" s="1"/>
      <c r="G49189" s="1"/>
    </row>
    <row r="49190">
      <c r="B49190" s="36"/>
      <c r="C49190" s="36"/>
      <c r="E49190" s="1"/>
      <c r="F49190" s="1"/>
      <c r="G49190" s="1"/>
    </row>
    <row r="49191">
      <c r="B49191" s="36"/>
      <c r="C49191" s="36"/>
      <c r="E49191" s="1"/>
      <c r="F49191" s="1"/>
      <c r="G49191" s="1"/>
    </row>
    <row r="49192">
      <c r="B49192" s="36"/>
      <c r="C49192" s="36"/>
      <c r="E49192" s="1"/>
      <c r="F49192" s="1"/>
      <c r="G49192" s="1"/>
    </row>
    <row r="49193">
      <c r="B49193" s="36"/>
      <c r="C49193" s="36"/>
      <c r="E49193" s="1"/>
      <c r="F49193" s="1"/>
      <c r="G49193" s="1"/>
    </row>
    <row r="49194">
      <c r="B49194" s="36"/>
      <c r="C49194" s="36"/>
      <c r="E49194" s="1"/>
      <c r="F49194" s="1"/>
      <c r="G49194" s="1"/>
    </row>
    <row r="49195">
      <c r="B49195" s="36"/>
      <c r="C49195" s="36"/>
      <c r="E49195" s="1"/>
      <c r="F49195" s="1"/>
      <c r="G49195" s="1"/>
    </row>
    <row r="49196">
      <c r="B49196" s="36"/>
      <c r="C49196" s="36"/>
      <c r="E49196" s="1"/>
      <c r="F49196" s="1"/>
      <c r="G49196" s="1"/>
    </row>
    <row r="49197">
      <c r="B49197" s="36"/>
      <c r="C49197" s="36"/>
      <c r="E49197" s="1"/>
      <c r="F49197" s="1"/>
      <c r="G49197" s="1"/>
    </row>
    <row r="49198">
      <c r="B49198" s="36"/>
      <c r="C49198" s="36"/>
      <c r="E49198" s="1"/>
      <c r="F49198" s="1"/>
      <c r="G49198" s="1"/>
    </row>
    <row r="49199">
      <c r="B49199" s="36"/>
      <c r="C49199" s="36"/>
      <c r="E49199" s="1"/>
      <c r="F49199" s="1"/>
      <c r="G49199" s="1"/>
    </row>
    <row r="49200">
      <c r="B49200" s="36"/>
      <c r="C49200" s="36"/>
      <c r="E49200" s="1"/>
      <c r="F49200" s="1"/>
      <c r="G49200" s="1"/>
    </row>
    <row r="49201">
      <c r="B49201" s="36"/>
      <c r="C49201" s="36"/>
      <c r="E49201" s="1"/>
      <c r="F49201" s="1"/>
      <c r="G49201" s="1"/>
    </row>
    <row r="49202">
      <c r="B49202" s="36"/>
      <c r="C49202" s="36"/>
      <c r="E49202" s="1"/>
      <c r="F49202" s="1"/>
      <c r="G49202" s="1"/>
    </row>
    <row r="49203">
      <c r="B49203" s="36"/>
      <c r="C49203" s="36"/>
      <c r="E49203" s="1"/>
      <c r="F49203" s="1"/>
      <c r="G49203" s="1"/>
    </row>
    <row r="49204">
      <c r="B49204" s="36"/>
      <c r="C49204" s="36"/>
      <c r="E49204" s="1"/>
      <c r="F49204" s="1"/>
      <c r="G49204" s="1"/>
    </row>
    <row r="49205">
      <c r="B49205" s="36"/>
      <c r="C49205" s="36"/>
      <c r="E49205" s="1"/>
      <c r="F49205" s="1"/>
      <c r="G49205" s="1"/>
    </row>
    <row r="49206">
      <c r="B49206" s="36"/>
      <c r="C49206" s="36"/>
      <c r="E49206" s="1"/>
      <c r="F49206" s="1"/>
      <c r="G49206" s="1"/>
    </row>
    <row r="49207">
      <c r="B49207" s="36"/>
      <c r="C49207" s="36"/>
      <c r="E49207" s="1"/>
      <c r="F49207" s="1"/>
      <c r="G49207" s="1"/>
    </row>
    <row r="49208">
      <c r="B49208" s="36"/>
      <c r="C49208" s="36"/>
      <c r="E49208" s="1"/>
      <c r="F49208" s="1"/>
      <c r="G49208" s="1"/>
    </row>
    <row r="49209">
      <c r="B49209" s="36"/>
      <c r="C49209" s="36"/>
      <c r="E49209" s="1"/>
      <c r="F49209" s="1"/>
      <c r="G49209" s="1"/>
    </row>
    <row r="49210">
      <c r="B49210" s="36"/>
      <c r="C49210" s="36"/>
      <c r="E49210" s="1"/>
      <c r="F49210" s="1"/>
      <c r="G49210" s="1"/>
    </row>
    <row r="49211">
      <c r="B49211" s="36"/>
      <c r="C49211" s="36"/>
      <c r="E49211" s="1"/>
      <c r="F49211" s="1"/>
      <c r="G49211" s="1"/>
    </row>
    <row r="49212">
      <c r="B49212" s="36"/>
      <c r="C49212" s="36"/>
      <c r="E49212" s="1"/>
      <c r="F49212" s="1"/>
      <c r="G49212" s="1"/>
    </row>
    <row r="49213">
      <c r="B49213" s="36"/>
      <c r="C49213" s="36"/>
      <c r="E49213" s="1"/>
      <c r="F49213" s="1"/>
      <c r="G49213" s="1"/>
    </row>
    <row r="49214">
      <c r="B49214" s="36"/>
      <c r="C49214" s="36"/>
      <c r="E49214" s="1"/>
      <c r="F49214" s="1"/>
      <c r="G49214" s="1"/>
    </row>
    <row r="49215">
      <c r="B49215" s="36"/>
      <c r="C49215" s="36"/>
      <c r="E49215" s="1"/>
      <c r="F49215" s="1"/>
      <c r="G49215" s="1"/>
    </row>
    <row r="49216">
      <c r="B49216" s="36"/>
      <c r="C49216" s="36"/>
      <c r="E49216" s="1"/>
      <c r="F49216" s="1"/>
      <c r="G49216" s="1"/>
    </row>
    <row r="49217">
      <c r="B49217" s="36"/>
      <c r="C49217" s="36"/>
      <c r="E49217" s="1"/>
      <c r="F49217" s="1"/>
      <c r="G49217" s="1"/>
    </row>
    <row r="49218">
      <c r="B49218" s="36"/>
      <c r="C49218" s="36"/>
      <c r="E49218" s="1"/>
      <c r="F49218" s="1"/>
      <c r="G49218" s="1"/>
    </row>
    <row r="49219">
      <c r="B49219" s="36"/>
      <c r="C49219" s="36"/>
      <c r="E49219" s="1"/>
      <c r="F49219" s="1"/>
      <c r="G49219" s="1"/>
    </row>
    <row r="49220">
      <c r="B49220" s="36"/>
      <c r="C49220" s="36"/>
      <c r="E49220" s="1"/>
      <c r="F49220" s="1"/>
      <c r="G49220" s="1"/>
    </row>
    <row r="49221">
      <c r="B49221" s="36"/>
      <c r="C49221" s="36"/>
      <c r="E49221" s="1"/>
      <c r="F49221" s="1"/>
      <c r="G49221" s="1"/>
    </row>
    <row r="49222">
      <c r="B49222" s="36"/>
      <c r="C49222" s="36"/>
      <c r="E49222" s="1"/>
      <c r="F49222" s="1"/>
      <c r="G49222" s="1"/>
    </row>
    <row r="49223">
      <c r="B49223" s="36"/>
      <c r="C49223" s="36"/>
      <c r="E49223" s="1"/>
      <c r="F49223" s="1"/>
      <c r="G49223" s="1"/>
    </row>
    <row r="49224">
      <c r="B49224" s="36"/>
      <c r="C49224" s="36"/>
      <c r="E49224" s="1"/>
      <c r="F49224" s="1"/>
      <c r="G49224" s="1"/>
    </row>
    <row r="49225">
      <c r="B49225" s="36"/>
      <c r="C49225" s="36"/>
      <c r="E49225" s="1"/>
      <c r="F49225" s="1"/>
      <c r="G49225" s="1"/>
    </row>
    <row r="49226">
      <c r="B49226" s="36"/>
      <c r="C49226" s="36"/>
      <c r="E49226" s="1"/>
      <c r="F49226" s="1"/>
      <c r="G49226" s="1"/>
    </row>
    <row r="49227">
      <c r="B49227" s="36"/>
      <c r="C49227" s="36"/>
      <c r="E49227" s="1"/>
      <c r="F49227" s="1"/>
      <c r="G49227" s="1"/>
    </row>
    <row r="49228">
      <c r="B49228" s="36"/>
      <c r="C49228" s="36"/>
      <c r="E49228" s="1"/>
      <c r="F49228" s="1"/>
      <c r="G49228" s="1"/>
    </row>
    <row r="49229">
      <c r="B49229" s="36"/>
      <c r="C49229" s="36"/>
      <c r="E49229" s="1"/>
      <c r="F49229" s="1"/>
      <c r="G49229" s="1"/>
    </row>
    <row r="49230">
      <c r="B49230" s="36"/>
      <c r="C49230" s="36"/>
      <c r="E49230" s="1"/>
      <c r="F49230" s="1"/>
      <c r="G49230" s="1"/>
    </row>
    <row r="49231">
      <c r="B49231" s="36"/>
      <c r="C49231" s="36"/>
      <c r="E49231" s="1"/>
      <c r="F49231" s="1"/>
      <c r="G49231" s="1"/>
    </row>
    <row r="49232">
      <c r="B49232" s="36"/>
      <c r="C49232" s="36"/>
      <c r="E49232" s="1"/>
      <c r="F49232" s="1"/>
      <c r="G49232" s="1"/>
    </row>
    <row r="49233">
      <c r="B49233" s="36"/>
      <c r="C49233" s="36"/>
      <c r="E49233" s="1"/>
      <c r="F49233" s="1"/>
      <c r="G49233" s="1"/>
    </row>
    <row r="49234">
      <c r="B49234" s="36"/>
      <c r="C49234" s="36"/>
      <c r="E49234" s="1"/>
      <c r="F49234" s="1"/>
      <c r="G49234" s="1"/>
    </row>
    <row r="49235">
      <c r="B49235" s="36"/>
      <c r="C49235" s="36"/>
      <c r="E49235" s="1"/>
      <c r="F49235" s="1"/>
      <c r="G49235" s="1"/>
    </row>
    <row r="49236">
      <c r="B49236" s="36"/>
      <c r="C49236" s="36"/>
      <c r="E49236" s="1"/>
      <c r="F49236" s="1"/>
      <c r="G49236" s="1"/>
    </row>
    <row r="49237">
      <c r="B49237" s="36"/>
      <c r="C49237" s="36"/>
      <c r="E49237" s="1"/>
      <c r="F49237" s="1"/>
      <c r="G49237" s="1"/>
    </row>
    <row r="49238">
      <c r="B49238" s="36"/>
      <c r="C49238" s="36"/>
      <c r="E49238" s="1"/>
      <c r="F49238" s="1"/>
      <c r="G49238" s="1"/>
    </row>
    <row r="49239">
      <c r="B49239" s="36"/>
      <c r="C49239" s="36"/>
      <c r="E49239" s="1"/>
      <c r="F49239" s="1"/>
      <c r="G49239" s="1"/>
    </row>
    <row r="49240">
      <c r="B49240" s="36"/>
      <c r="C49240" s="36"/>
      <c r="E49240" s="1"/>
      <c r="F49240" s="1"/>
      <c r="G49240" s="1"/>
    </row>
    <row r="49241">
      <c r="B49241" s="36"/>
      <c r="C49241" s="36"/>
      <c r="E49241" s="1"/>
      <c r="F49241" s="1"/>
      <c r="G49241" s="1"/>
    </row>
    <row r="49242">
      <c r="B49242" s="36"/>
      <c r="C49242" s="36"/>
      <c r="E49242" s="1"/>
      <c r="F49242" s="1"/>
      <c r="G49242" s="1"/>
    </row>
    <row r="49243">
      <c r="B49243" s="36"/>
      <c r="C49243" s="36"/>
      <c r="E49243" s="1"/>
      <c r="F49243" s="1"/>
      <c r="G49243" s="1"/>
    </row>
    <row r="49244">
      <c r="B49244" s="36"/>
      <c r="C49244" s="36"/>
      <c r="E49244" s="1"/>
      <c r="F49244" s="1"/>
      <c r="G49244" s="1"/>
    </row>
    <row r="49245">
      <c r="B49245" s="36"/>
      <c r="C49245" s="36"/>
      <c r="E49245" s="1"/>
      <c r="F49245" s="1"/>
      <c r="G49245" s="1"/>
    </row>
    <row r="49246">
      <c r="B49246" s="36"/>
      <c r="C49246" s="36"/>
      <c r="E49246" s="1"/>
      <c r="F49246" s="1"/>
      <c r="G49246" s="1"/>
    </row>
    <row r="49247">
      <c r="B49247" s="36"/>
      <c r="C49247" s="36"/>
      <c r="E49247" s="1"/>
      <c r="F49247" s="1"/>
      <c r="G49247" s="1"/>
    </row>
    <row r="49248">
      <c r="B49248" s="36"/>
      <c r="C49248" s="36"/>
      <c r="E49248" s="1"/>
      <c r="F49248" s="1"/>
      <c r="G49248" s="1"/>
    </row>
    <row r="49249">
      <c r="B49249" s="36"/>
      <c r="C49249" s="36"/>
      <c r="E49249" s="1"/>
      <c r="F49249" s="1"/>
      <c r="G49249" s="1"/>
    </row>
    <row r="49250">
      <c r="B49250" s="36"/>
      <c r="C49250" s="36"/>
      <c r="E49250" s="1"/>
      <c r="F49250" s="1"/>
      <c r="G49250" s="1"/>
    </row>
    <row r="49251">
      <c r="B49251" s="36"/>
      <c r="C49251" s="36"/>
      <c r="E49251" s="1"/>
      <c r="F49251" s="1"/>
      <c r="G49251" s="1"/>
    </row>
    <row r="49252">
      <c r="B49252" s="36"/>
      <c r="C49252" s="36"/>
      <c r="E49252" s="1"/>
      <c r="F49252" s="1"/>
      <c r="G49252" s="1"/>
    </row>
    <row r="49253">
      <c r="B49253" s="36"/>
      <c r="C49253" s="36"/>
      <c r="E49253" s="1"/>
      <c r="F49253" s="1"/>
      <c r="G49253" s="1"/>
    </row>
    <row r="49254">
      <c r="B49254" s="36"/>
      <c r="C49254" s="36"/>
      <c r="E49254" s="1"/>
      <c r="F49254" s="1"/>
      <c r="G49254" s="1"/>
    </row>
    <row r="49255">
      <c r="B49255" s="36"/>
      <c r="C49255" s="36"/>
      <c r="E49255" s="1"/>
      <c r="F49255" s="1"/>
      <c r="G49255" s="1"/>
    </row>
    <row r="49256">
      <c r="B49256" s="36"/>
      <c r="C49256" s="36"/>
      <c r="E49256" s="1"/>
      <c r="F49256" s="1"/>
      <c r="G49256" s="1"/>
    </row>
    <row r="49257">
      <c r="B49257" s="36"/>
      <c r="C49257" s="36"/>
      <c r="E49257" s="1"/>
      <c r="F49257" s="1"/>
      <c r="G49257" s="1"/>
    </row>
    <row r="49258">
      <c r="B49258" s="36"/>
      <c r="C49258" s="36"/>
      <c r="E49258" s="1"/>
      <c r="F49258" s="1"/>
      <c r="G49258" s="1"/>
    </row>
    <row r="49259">
      <c r="B49259" s="36"/>
      <c r="C49259" s="36"/>
      <c r="E49259" s="1"/>
      <c r="F49259" s="1"/>
      <c r="G49259" s="1"/>
    </row>
    <row r="49260">
      <c r="B49260" s="36"/>
      <c r="C49260" s="36"/>
      <c r="E49260" s="1"/>
      <c r="F49260" s="1"/>
      <c r="G49260" s="1"/>
    </row>
    <row r="49261">
      <c r="B49261" s="36"/>
      <c r="C49261" s="36"/>
      <c r="E49261" s="1"/>
      <c r="F49261" s="1"/>
      <c r="G49261" s="1"/>
    </row>
    <row r="49262">
      <c r="B49262" s="36"/>
      <c r="C49262" s="36"/>
      <c r="E49262" s="1"/>
      <c r="F49262" s="1"/>
      <c r="G49262" s="1"/>
    </row>
    <row r="49263">
      <c r="B49263" s="36"/>
      <c r="C49263" s="36"/>
      <c r="E49263" s="1"/>
      <c r="F49263" s="1"/>
      <c r="G49263" s="1"/>
    </row>
    <row r="49264">
      <c r="B49264" s="36"/>
      <c r="C49264" s="36"/>
      <c r="E49264" s="1"/>
      <c r="F49264" s="1"/>
      <c r="G49264" s="1"/>
    </row>
    <row r="49265">
      <c r="B49265" s="36"/>
      <c r="C49265" s="36"/>
      <c r="E49265" s="1"/>
      <c r="F49265" s="1"/>
      <c r="G49265" s="1"/>
    </row>
    <row r="49266">
      <c r="B49266" s="36"/>
      <c r="C49266" s="36"/>
      <c r="E49266" s="1"/>
      <c r="F49266" s="1"/>
      <c r="G49266" s="1"/>
    </row>
    <row r="49267">
      <c r="B49267" s="36"/>
      <c r="C49267" s="36"/>
      <c r="E49267" s="1"/>
      <c r="F49267" s="1"/>
      <c r="G49267" s="1"/>
    </row>
    <row r="49268">
      <c r="B49268" s="36"/>
      <c r="C49268" s="36"/>
      <c r="E49268" s="1"/>
      <c r="F49268" s="1"/>
      <c r="G49268" s="1"/>
    </row>
    <row r="49269">
      <c r="B49269" s="36"/>
      <c r="C49269" s="36"/>
      <c r="E49269" s="1"/>
      <c r="F49269" s="1"/>
      <c r="G49269" s="1"/>
    </row>
    <row r="49270">
      <c r="B49270" s="36"/>
      <c r="C49270" s="36"/>
      <c r="E49270" s="1"/>
      <c r="F49270" s="1"/>
      <c r="G49270" s="1"/>
    </row>
    <row r="49271">
      <c r="B49271" s="36"/>
      <c r="C49271" s="36"/>
      <c r="E49271" s="1"/>
      <c r="F49271" s="1"/>
      <c r="G49271" s="1"/>
    </row>
    <row r="49272">
      <c r="B49272" s="36"/>
      <c r="C49272" s="36"/>
      <c r="E49272" s="1"/>
      <c r="F49272" s="1"/>
      <c r="G49272" s="1"/>
    </row>
    <row r="49273">
      <c r="B49273" s="36"/>
      <c r="C49273" s="36"/>
      <c r="E49273" s="1"/>
      <c r="F49273" s="1"/>
      <c r="G49273" s="1"/>
    </row>
    <row r="49274">
      <c r="B49274" s="36"/>
      <c r="C49274" s="36"/>
      <c r="E49274" s="1"/>
      <c r="F49274" s="1"/>
      <c r="G49274" s="1"/>
    </row>
    <row r="49275">
      <c r="B49275" s="36"/>
      <c r="C49275" s="36"/>
      <c r="E49275" s="1"/>
      <c r="F49275" s="1"/>
      <c r="G49275" s="1"/>
    </row>
    <row r="49276">
      <c r="B49276" s="36"/>
      <c r="C49276" s="36"/>
      <c r="E49276" s="1"/>
      <c r="F49276" s="1"/>
      <c r="G49276" s="1"/>
    </row>
    <row r="49277">
      <c r="B49277" s="36"/>
      <c r="C49277" s="36"/>
      <c r="E49277" s="1"/>
      <c r="F49277" s="1"/>
      <c r="G49277" s="1"/>
    </row>
    <row r="49278">
      <c r="B49278" s="36"/>
      <c r="C49278" s="36"/>
      <c r="E49278" s="1"/>
      <c r="F49278" s="1"/>
      <c r="G49278" s="1"/>
    </row>
    <row r="49279">
      <c r="B49279" s="36"/>
      <c r="C49279" s="36"/>
      <c r="E49279" s="1"/>
      <c r="F49279" s="1"/>
      <c r="G49279" s="1"/>
    </row>
    <row r="49280">
      <c r="B49280" s="36"/>
      <c r="C49280" s="36"/>
      <c r="E49280" s="1"/>
      <c r="F49280" s="1"/>
      <c r="G49280" s="1"/>
    </row>
    <row r="49281">
      <c r="B49281" s="36"/>
      <c r="C49281" s="36"/>
      <c r="E49281" s="1"/>
      <c r="F49281" s="1"/>
      <c r="G49281" s="1"/>
    </row>
    <row r="49282">
      <c r="B49282" s="36"/>
      <c r="C49282" s="36"/>
      <c r="E49282" s="1"/>
      <c r="F49282" s="1"/>
      <c r="G49282" s="1"/>
    </row>
    <row r="49283">
      <c r="B49283" s="36"/>
      <c r="C49283" s="36"/>
      <c r="E49283" s="1"/>
      <c r="F49283" s="1"/>
      <c r="G49283" s="1"/>
    </row>
    <row r="49284">
      <c r="B49284" s="36"/>
      <c r="C49284" s="36"/>
      <c r="E49284" s="1"/>
      <c r="F49284" s="1"/>
      <c r="G49284" s="1"/>
    </row>
    <row r="49285">
      <c r="B49285" s="36"/>
      <c r="C49285" s="36"/>
      <c r="E49285" s="1"/>
      <c r="F49285" s="1"/>
      <c r="G49285" s="1"/>
    </row>
    <row r="49286">
      <c r="B49286" s="36"/>
      <c r="C49286" s="36"/>
      <c r="E49286" s="1"/>
      <c r="F49286" s="1"/>
      <c r="G49286" s="1"/>
    </row>
    <row r="49287">
      <c r="B49287" s="36"/>
      <c r="C49287" s="36"/>
      <c r="E49287" s="1"/>
      <c r="F49287" s="1"/>
      <c r="G49287" s="1"/>
    </row>
    <row r="49288">
      <c r="B49288" s="36"/>
      <c r="C49288" s="36"/>
      <c r="E49288" s="1"/>
      <c r="F49288" s="1"/>
      <c r="G49288" s="1"/>
    </row>
    <row r="49289">
      <c r="B49289" s="36"/>
      <c r="C49289" s="36"/>
      <c r="E49289" s="1"/>
      <c r="F49289" s="1"/>
      <c r="G49289" s="1"/>
    </row>
    <row r="49290">
      <c r="B49290" s="36"/>
      <c r="C49290" s="36"/>
      <c r="E49290" s="1"/>
      <c r="F49290" s="1"/>
      <c r="G49290" s="1"/>
    </row>
    <row r="49291">
      <c r="B49291" s="36"/>
      <c r="C49291" s="36"/>
      <c r="E49291" s="1"/>
      <c r="F49291" s="1"/>
      <c r="G49291" s="1"/>
    </row>
    <row r="49292">
      <c r="B49292" s="36"/>
      <c r="C49292" s="36"/>
      <c r="E49292" s="1"/>
      <c r="F49292" s="1"/>
      <c r="G49292" s="1"/>
    </row>
    <row r="49293">
      <c r="B49293" s="36"/>
      <c r="C49293" s="36"/>
      <c r="E49293" s="1"/>
      <c r="F49293" s="1"/>
      <c r="G49293" s="1"/>
    </row>
    <row r="49294">
      <c r="B49294" s="36"/>
      <c r="C49294" s="36"/>
      <c r="E49294" s="1"/>
      <c r="F49294" s="1"/>
      <c r="G49294" s="1"/>
    </row>
    <row r="49295">
      <c r="B49295" s="36"/>
      <c r="C49295" s="36"/>
      <c r="E49295" s="1"/>
      <c r="F49295" s="1"/>
      <c r="G49295" s="1"/>
    </row>
    <row r="49296">
      <c r="B49296" s="36"/>
      <c r="C49296" s="36"/>
      <c r="E49296" s="1"/>
      <c r="F49296" s="1"/>
      <c r="G49296" s="1"/>
    </row>
    <row r="49297">
      <c r="B49297" s="36"/>
      <c r="C49297" s="36"/>
      <c r="E49297" s="1"/>
      <c r="F49297" s="1"/>
      <c r="G49297" s="1"/>
    </row>
    <row r="49298">
      <c r="B49298" s="36"/>
      <c r="C49298" s="36"/>
      <c r="E49298" s="1"/>
      <c r="F49298" s="1"/>
      <c r="G49298" s="1"/>
    </row>
    <row r="49299">
      <c r="B49299" s="36"/>
      <c r="C49299" s="36"/>
      <c r="E49299" s="1"/>
      <c r="F49299" s="1"/>
      <c r="G49299" s="1"/>
    </row>
    <row r="49300">
      <c r="B49300" s="36"/>
      <c r="C49300" s="36"/>
      <c r="E49300" s="1"/>
      <c r="F49300" s="1"/>
      <c r="G49300" s="1"/>
    </row>
    <row r="49301">
      <c r="B49301" s="36"/>
      <c r="C49301" s="36"/>
      <c r="E49301" s="1"/>
      <c r="F49301" s="1"/>
      <c r="G49301" s="1"/>
    </row>
    <row r="49302">
      <c r="B49302" s="36"/>
      <c r="C49302" s="36"/>
      <c r="E49302" s="1"/>
      <c r="F49302" s="1"/>
      <c r="G49302" s="1"/>
    </row>
    <row r="49303">
      <c r="B49303" s="36"/>
      <c r="C49303" s="36"/>
      <c r="E49303" s="1"/>
      <c r="F49303" s="1"/>
      <c r="G49303" s="1"/>
    </row>
    <row r="49304">
      <c r="B49304" s="36"/>
      <c r="C49304" s="36"/>
      <c r="E49304" s="1"/>
      <c r="F49304" s="1"/>
      <c r="G49304" s="1"/>
    </row>
    <row r="49305">
      <c r="B49305" s="36"/>
      <c r="C49305" s="36"/>
      <c r="E49305" s="1"/>
      <c r="F49305" s="1"/>
      <c r="G49305" s="1"/>
    </row>
    <row r="49306">
      <c r="B49306" s="36"/>
      <c r="C49306" s="36"/>
      <c r="E49306" s="1"/>
      <c r="F49306" s="1"/>
      <c r="G49306" s="1"/>
    </row>
    <row r="49307">
      <c r="B49307" s="36"/>
      <c r="C49307" s="36"/>
      <c r="E49307" s="1"/>
      <c r="F49307" s="1"/>
      <c r="G49307" s="1"/>
    </row>
    <row r="49308">
      <c r="B49308" s="36"/>
      <c r="C49308" s="36"/>
      <c r="E49308" s="1"/>
      <c r="F49308" s="1"/>
      <c r="G49308" s="1"/>
    </row>
    <row r="49309">
      <c r="B49309" s="36"/>
      <c r="C49309" s="36"/>
      <c r="E49309" s="1"/>
      <c r="F49309" s="1"/>
      <c r="G49309" s="1"/>
    </row>
    <row r="49310">
      <c r="B49310" s="36"/>
      <c r="C49310" s="36"/>
      <c r="E49310" s="1"/>
      <c r="F49310" s="1"/>
      <c r="G49310" s="1"/>
    </row>
    <row r="49311">
      <c r="B49311" s="36"/>
      <c r="C49311" s="36"/>
      <c r="E49311" s="1"/>
      <c r="F49311" s="1"/>
      <c r="G49311" s="1"/>
    </row>
    <row r="49312">
      <c r="B49312" s="36"/>
      <c r="C49312" s="36"/>
      <c r="E49312" s="1"/>
      <c r="F49312" s="1"/>
      <c r="G49312" s="1"/>
    </row>
    <row r="49313">
      <c r="B49313" s="36"/>
      <c r="C49313" s="36"/>
      <c r="E49313" s="1"/>
      <c r="F49313" s="1"/>
      <c r="G49313" s="1"/>
    </row>
    <row r="49314">
      <c r="B49314" s="36"/>
      <c r="C49314" s="36"/>
      <c r="E49314" s="1"/>
      <c r="F49314" s="1"/>
      <c r="G49314" s="1"/>
    </row>
    <row r="49315">
      <c r="B49315" s="36"/>
      <c r="C49315" s="36"/>
      <c r="E49315" s="1"/>
      <c r="F49315" s="1"/>
      <c r="G49315" s="1"/>
    </row>
    <row r="49316">
      <c r="B49316" s="36"/>
      <c r="C49316" s="36"/>
      <c r="E49316" s="1"/>
      <c r="F49316" s="1"/>
      <c r="G49316" s="1"/>
    </row>
    <row r="49317">
      <c r="B49317" s="36"/>
      <c r="C49317" s="36"/>
      <c r="E49317" s="1"/>
      <c r="F49317" s="1"/>
      <c r="G49317" s="1"/>
    </row>
    <row r="49318">
      <c r="B49318" s="36"/>
      <c r="C49318" s="36"/>
      <c r="E49318" s="1"/>
      <c r="F49318" s="1"/>
      <c r="G49318" s="1"/>
    </row>
    <row r="49319">
      <c r="B49319" s="36"/>
      <c r="C49319" s="36"/>
      <c r="E49319" s="1"/>
      <c r="F49319" s="1"/>
      <c r="G49319" s="1"/>
    </row>
    <row r="49320">
      <c r="B49320" s="36"/>
      <c r="C49320" s="36"/>
      <c r="E49320" s="1"/>
      <c r="F49320" s="1"/>
      <c r="G49320" s="1"/>
    </row>
    <row r="49321">
      <c r="B49321" s="36"/>
      <c r="C49321" s="36"/>
      <c r="E49321" s="1"/>
      <c r="F49321" s="1"/>
      <c r="G49321" s="1"/>
    </row>
    <row r="49322">
      <c r="B49322" s="36"/>
      <c r="C49322" s="36"/>
      <c r="E49322" s="1"/>
      <c r="F49322" s="1"/>
      <c r="G49322" s="1"/>
    </row>
    <row r="49323">
      <c r="B49323" s="36"/>
      <c r="C49323" s="36"/>
      <c r="E49323" s="1"/>
      <c r="F49323" s="1"/>
      <c r="G49323" s="1"/>
    </row>
    <row r="49324">
      <c r="B49324" s="36"/>
      <c r="C49324" s="36"/>
      <c r="E49324" s="1"/>
      <c r="F49324" s="1"/>
      <c r="G49324" s="1"/>
    </row>
    <row r="49325">
      <c r="B49325" s="36"/>
      <c r="C49325" s="36"/>
      <c r="E49325" s="1"/>
      <c r="F49325" s="1"/>
      <c r="G49325" s="1"/>
    </row>
    <row r="49326">
      <c r="B49326" s="36"/>
      <c r="C49326" s="36"/>
      <c r="E49326" s="1"/>
      <c r="F49326" s="1"/>
      <c r="G49326" s="1"/>
    </row>
    <row r="49327">
      <c r="B49327" s="36"/>
      <c r="C49327" s="36"/>
      <c r="E49327" s="1"/>
      <c r="F49327" s="1"/>
      <c r="G49327" s="1"/>
    </row>
    <row r="49328">
      <c r="B49328" s="36"/>
      <c r="C49328" s="36"/>
      <c r="E49328" s="1"/>
      <c r="F49328" s="1"/>
      <c r="G49328" s="1"/>
    </row>
    <row r="49329">
      <c r="B49329" s="36"/>
      <c r="C49329" s="36"/>
      <c r="E49329" s="1"/>
      <c r="F49329" s="1"/>
      <c r="G49329" s="1"/>
    </row>
    <row r="49330">
      <c r="B49330" s="36"/>
      <c r="C49330" s="36"/>
      <c r="E49330" s="1"/>
      <c r="F49330" s="1"/>
      <c r="G49330" s="1"/>
    </row>
    <row r="49331">
      <c r="B49331" s="36"/>
      <c r="C49331" s="36"/>
      <c r="E49331" s="1"/>
      <c r="F49331" s="1"/>
      <c r="G49331" s="1"/>
    </row>
    <row r="49332">
      <c r="B49332" s="36"/>
      <c r="C49332" s="36"/>
      <c r="E49332" s="1"/>
      <c r="F49332" s="1"/>
      <c r="G49332" s="1"/>
    </row>
    <row r="49333">
      <c r="B49333" s="36"/>
      <c r="C49333" s="36"/>
      <c r="E49333" s="1"/>
      <c r="F49333" s="1"/>
      <c r="G49333" s="1"/>
    </row>
    <row r="49334">
      <c r="B49334" s="36"/>
      <c r="C49334" s="36"/>
      <c r="E49334" s="1"/>
      <c r="F49334" s="1"/>
      <c r="G49334" s="1"/>
    </row>
    <row r="49335">
      <c r="B49335" s="36"/>
      <c r="C49335" s="36"/>
      <c r="E49335" s="1"/>
      <c r="F49335" s="1"/>
      <c r="G49335" s="1"/>
    </row>
    <row r="49336">
      <c r="B49336" s="36"/>
      <c r="C49336" s="36"/>
      <c r="E49336" s="1"/>
      <c r="F49336" s="1"/>
      <c r="G49336" s="1"/>
    </row>
    <row r="49337">
      <c r="B49337" s="36"/>
      <c r="C49337" s="36"/>
      <c r="E49337" s="1"/>
      <c r="F49337" s="1"/>
      <c r="G49337" s="1"/>
    </row>
    <row r="49338">
      <c r="B49338" s="36"/>
      <c r="C49338" s="36"/>
      <c r="E49338" s="1"/>
      <c r="F49338" s="1"/>
      <c r="G49338" s="1"/>
    </row>
    <row r="49339">
      <c r="B49339" s="36"/>
      <c r="C49339" s="36"/>
      <c r="E49339" s="1"/>
      <c r="F49339" s="1"/>
      <c r="G49339" s="1"/>
    </row>
    <row r="49340">
      <c r="B49340" s="36"/>
      <c r="C49340" s="36"/>
      <c r="E49340" s="1"/>
      <c r="F49340" s="1"/>
      <c r="G49340" s="1"/>
    </row>
    <row r="49341">
      <c r="B49341" s="36"/>
      <c r="C49341" s="36"/>
      <c r="E49341" s="1"/>
      <c r="F49341" s="1"/>
      <c r="G49341" s="1"/>
    </row>
    <row r="49342">
      <c r="B49342" s="36"/>
      <c r="C49342" s="36"/>
      <c r="E49342" s="1"/>
      <c r="F49342" s="1"/>
      <c r="G49342" s="1"/>
    </row>
    <row r="49343">
      <c r="B49343" s="36"/>
      <c r="C49343" s="36"/>
      <c r="E49343" s="1"/>
      <c r="F49343" s="1"/>
      <c r="G49343" s="1"/>
    </row>
    <row r="49344">
      <c r="B49344" s="36"/>
      <c r="C49344" s="36"/>
      <c r="E49344" s="1"/>
      <c r="F49344" s="1"/>
      <c r="G49344" s="1"/>
    </row>
    <row r="49345">
      <c r="B49345" s="36"/>
      <c r="C49345" s="36"/>
      <c r="E49345" s="1"/>
      <c r="F49345" s="1"/>
      <c r="G49345" s="1"/>
    </row>
    <row r="49346">
      <c r="B49346" s="36"/>
      <c r="C49346" s="36"/>
      <c r="E49346" s="1"/>
      <c r="F49346" s="1"/>
      <c r="G49346" s="1"/>
    </row>
    <row r="49347">
      <c r="B49347" s="36"/>
      <c r="C49347" s="36"/>
      <c r="E49347" s="1"/>
      <c r="F49347" s="1"/>
      <c r="G49347" s="1"/>
    </row>
    <row r="49348">
      <c r="B49348" s="36"/>
      <c r="C49348" s="36"/>
      <c r="E49348" s="1"/>
      <c r="F49348" s="1"/>
      <c r="G49348" s="1"/>
    </row>
    <row r="49349">
      <c r="B49349" s="36"/>
      <c r="C49349" s="36"/>
      <c r="E49349" s="1"/>
      <c r="F49349" s="1"/>
      <c r="G49349" s="1"/>
    </row>
    <row r="49350">
      <c r="B49350" s="36"/>
      <c r="C49350" s="36"/>
      <c r="E49350" s="1"/>
      <c r="F49350" s="1"/>
      <c r="G49350" s="1"/>
    </row>
    <row r="49351">
      <c r="B49351" s="36"/>
      <c r="C49351" s="36"/>
      <c r="E49351" s="1"/>
      <c r="F49351" s="1"/>
      <c r="G49351" s="1"/>
    </row>
    <row r="49352">
      <c r="B49352" s="36"/>
      <c r="C49352" s="36"/>
      <c r="E49352" s="1"/>
      <c r="F49352" s="1"/>
      <c r="G49352" s="1"/>
    </row>
    <row r="49353">
      <c r="B49353" s="36"/>
      <c r="C49353" s="36"/>
      <c r="E49353" s="1"/>
      <c r="F49353" s="1"/>
      <c r="G49353" s="1"/>
    </row>
    <row r="49354">
      <c r="B49354" s="36"/>
      <c r="C49354" s="36"/>
      <c r="E49354" s="1"/>
      <c r="F49354" s="1"/>
      <c r="G49354" s="1"/>
    </row>
    <row r="49355">
      <c r="B49355" s="36"/>
      <c r="C49355" s="36"/>
      <c r="E49355" s="1"/>
      <c r="F49355" s="1"/>
      <c r="G49355" s="1"/>
    </row>
    <row r="49356">
      <c r="B49356" s="36"/>
      <c r="C49356" s="36"/>
      <c r="E49356" s="1"/>
      <c r="F49356" s="1"/>
      <c r="G49356" s="1"/>
    </row>
    <row r="49357">
      <c r="B49357" s="36"/>
      <c r="C49357" s="36"/>
      <c r="E49357" s="1"/>
      <c r="F49357" s="1"/>
      <c r="G49357" s="1"/>
    </row>
    <row r="49358">
      <c r="B49358" s="36"/>
      <c r="C49358" s="36"/>
      <c r="E49358" s="1"/>
      <c r="F49358" s="1"/>
      <c r="G49358" s="1"/>
    </row>
    <row r="49359">
      <c r="B49359" s="36"/>
      <c r="C49359" s="36"/>
      <c r="E49359" s="1"/>
      <c r="F49359" s="1"/>
      <c r="G49359" s="1"/>
    </row>
    <row r="49360">
      <c r="B49360" s="36"/>
      <c r="C49360" s="36"/>
      <c r="E49360" s="1"/>
      <c r="F49360" s="1"/>
      <c r="G49360" s="1"/>
    </row>
    <row r="49361">
      <c r="B49361" s="36"/>
      <c r="C49361" s="36"/>
      <c r="E49361" s="1"/>
      <c r="F49361" s="1"/>
      <c r="G49361" s="1"/>
    </row>
    <row r="49362">
      <c r="B49362" s="36"/>
      <c r="C49362" s="36"/>
      <c r="E49362" s="1"/>
      <c r="F49362" s="1"/>
      <c r="G49362" s="1"/>
    </row>
    <row r="49363">
      <c r="B49363" s="36"/>
      <c r="C49363" s="36"/>
      <c r="E49363" s="1"/>
      <c r="F49363" s="1"/>
      <c r="G49363" s="1"/>
    </row>
    <row r="49364">
      <c r="B49364" s="36"/>
      <c r="C49364" s="36"/>
      <c r="E49364" s="1"/>
      <c r="F49364" s="1"/>
      <c r="G49364" s="1"/>
    </row>
    <row r="49365">
      <c r="B49365" s="36"/>
      <c r="C49365" s="36"/>
      <c r="E49365" s="1"/>
      <c r="F49365" s="1"/>
      <c r="G49365" s="1"/>
    </row>
    <row r="49366">
      <c r="B49366" s="36"/>
      <c r="C49366" s="36"/>
      <c r="E49366" s="1"/>
      <c r="F49366" s="1"/>
      <c r="G49366" s="1"/>
    </row>
    <row r="49367">
      <c r="B49367" s="36"/>
      <c r="C49367" s="36"/>
      <c r="E49367" s="1"/>
      <c r="F49367" s="1"/>
      <c r="G49367" s="1"/>
    </row>
    <row r="49368">
      <c r="B49368" s="36"/>
      <c r="C49368" s="36"/>
      <c r="E49368" s="1"/>
      <c r="F49368" s="1"/>
      <c r="G49368" s="1"/>
    </row>
    <row r="49369">
      <c r="B49369" s="36"/>
      <c r="C49369" s="36"/>
      <c r="E49369" s="1"/>
      <c r="F49369" s="1"/>
      <c r="G49369" s="1"/>
    </row>
    <row r="49370">
      <c r="B49370" s="36"/>
      <c r="C49370" s="36"/>
      <c r="E49370" s="1"/>
      <c r="F49370" s="1"/>
      <c r="G49370" s="1"/>
    </row>
    <row r="49371">
      <c r="B49371" s="36"/>
      <c r="C49371" s="36"/>
      <c r="E49371" s="1"/>
      <c r="F49371" s="1"/>
      <c r="G49371" s="1"/>
    </row>
    <row r="49372">
      <c r="B49372" s="36"/>
      <c r="C49372" s="36"/>
      <c r="E49372" s="1"/>
      <c r="F49372" s="1"/>
      <c r="G49372" s="1"/>
    </row>
    <row r="49373">
      <c r="B49373" s="36"/>
      <c r="C49373" s="36"/>
      <c r="E49373" s="1"/>
      <c r="F49373" s="1"/>
      <c r="G49373" s="1"/>
    </row>
    <row r="49374">
      <c r="B49374" s="36"/>
      <c r="C49374" s="36"/>
      <c r="E49374" s="1"/>
      <c r="F49374" s="1"/>
      <c r="G49374" s="1"/>
    </row>
    <row r="49375">
      <c r="B49375" s="36"/>
      <c r="C49375" s="36"/>
      <c r="E49375" s="1"/>
      <c r="F49375" s="1"/>
      <c r="G49375" s="1"/>
    </row>
    <row r="49376">
      <c r="B49376" s="36"/>
      <c r="C49376" s="36"/>
      <c r="E49376" s="1"/>
      <c r="F49376" s="1"/>
      <c r="G49376" s="1"/>
    </row>
    <row r="49377">
      <c r="B49377" s="36"/>
      <c r="C49377" s="36"/>
      <c r="E49377" s="1"/>
      <c r="F49377" s="1"/>
      <c r="G49377" s="1"/>
    </row>
    <row r="49378">
      <c r="B49378" s="36"/>
      <c r="C49378" s="36"/>
      <c r="E49378" s="1"/>
      <c r="F49378" s="1"/>
      <c r="G49378" s="1"/>
    </row>
    <row r="49379">
      <c r="B49379" s="36"/>
      <c r="C49379" s="36"/>
      <c r="E49379" s="1"/>
      <c r="F49379" s="1"/>
      <c r="G49379" s="1"/>
    </row>
    <row r="49380">
      <c r="B49380" s="36"/>
      <c r="C49380" s="36"/>
      <c r="E49380" s="1"/>
      <c r="F49380" s="1"/>
      <c r="G49380" s="1"/>
    </row>
    <row r="49381">
      <c r="B49381" s="36"/>
      <c r="C49381" s="36"/>
      <c r="E49381" s="1"/>
      <c r="F49381" s="1"/>
      <c r="G49381" s="1"/>
    </row>
    <row r="49382">
      <c r="B49382" s="36"/>
      <c r="C49382" s="36"/>
      <c r="E49382" s="1"/>
      <c r="F49382" s="1"/>
      <c r="G49382" s="1"/>
    </row>
    <row r="49383">
      <c r="B49383" s="36"/>
      <c r="C49383" s="36"/>
      <c r="E49383" s="1"/>
      <c r="F49383" s="1"/>
      <c r="G49383" s="1"/>
    </row>
    <row r="49384">
      <c r="B49384" s="36"/>
      <c r="C49384" s="36"/>
      <c r="E49384" s="1"/>
      <c r="F49384" s="1"/>
      <c r="G49384" s="1"/>
    </row>
    <row r="49385">
      <c r="B49385" s="36"/>
      <c r="C49385" s="36"/>
      <c r="E49385" s="1"/>
      <c r="F49385" s="1"/>
      <c r="G49385" s="1"/>
    </row>
    <row r="49386">
      <c r="B49386" s="36"/>
      <c r="C49386" s="36"/>
      <c r="E49386" s="1"/>
      <c r="F49386" s="1"/>
      <c r="G49386" s="1"/>
    </row>
    <row r="49387">
      <c r="B49387" s="36"/>
      <c r="C49387" s="36"/>
      <c r="E49387" s="1"/>
      <c r="F49387" s="1"/>
      <c r="G49387" s="1"/>
    </row>
    <row r="49388">
      <c r="B49388" s="36"/>
      <c r="C49388" s="36"/>
      <c r="E49388" s="1"/>
      <c r="F49388" s="1"/>
      <c r="G49388" s="1"/>
    </row>
    <row r="49389">
      <c r="B49389" s="36"/>
      <c r="C49389" s="36"/>
      <c r="E49389" s="1"/>
      <c r="F49389" s="1"/>
      <c r="G49389" s="1"/>
    </row>
    <row r="49390">
      <c r="B49390" s="36"/>
      <c r="C49390" s="36"/>
      <c r="E49390" s="1"/>
      <c r="F49390" s="1"/>
      <c r="G49390" s="1"/>
    </row>
    <row r="49391">
      <c r="B49391" s="36"/>
      <c r="C49391" s="36"/>
      <c r="E49391" s="1"/>
      <c r="F49391" s="1"/>
      <c r="G49391" s="1"/>
    </row>
    <row r="49392">
      <c r="B49392" s="36"/>
      <c r="C49392" s="36"/>
      <c r="E49392" s="1"/>
      <c r="F49392" s="1"/>
      <c r="G49392" s="1"/>
    </row>
    <row r="49393">
      <c r="B49393" s="36"/>
      <c r="C49393" s="36"/>
      <c r="E49393" s="1"/>
      <c r="F49393" s="1"/>
      <c r="G49393" s="1"/>
    </row>
    <row r="49394">
      <c r="B49394" s="36"/>
      <c r="C49394" s="36"/>
      <c r="E49394" s="1"/>
      <c r="F49394" s="1"/>
      <c r="G49394" s="1"/>
    </row>
    <row r="49395">
      <c r="B49395" s="36"/>
      <c r="C49395" s="36"/>
      <c r="E49395" s="1"/>
      <c r="F49395" s="1"/>
      <c r="G49395" s="1"/>
    </row>
    <row r="49396">
      <c r="B49396" s="36"/>
      <c r="C49396" s="36"/>
      <c r="E49396" s="1"/>
      <c r="F49396" s="1"/>
      <c r="G49396" s="1"/>
    </row>
    <row r="49397">
      <c r="B49397" s="36"/>
      <c r="C49397" s="36"/>
      <c r="E49397" s="1"/>
      <c r="F49397" s="1"/>
      <c r="G49397" s="1"/>
    </row>
    <row r="49398">
      <c r="B49398" s="36"/>
      <c r="C49398" s="36"/>
      <c r="E49398" s="1"/>
      <c r="F49398" s="1"/>
      <c r="G49398" s="1"/>
    </row>
    <row r="49399">
      <c r="B49399" s="36"/>
      <c r="C49399" s="36"/>
      <c r="E49399" s="1"/>
      <c r="F49399" s="1"/>
      <c r="G49399" s="1"/>
    </row>
    <row r="49400">
      <c r="B49400" s="36"/>
      <c r="C49400" s="36"/>
      <c r="E49400" s="1"/>
      <c r="F49400" s="1"/>
      <c r="G49400" s="1"/>
    </row>
    <row r="49401">
      <c r="B49401" s="36"/>
      <c r="C49401" s="36"/>
      <c r="E49401" s="1"/>
      <c r="F49401" s="1"/>
      <c r="G49401" s="1"/>
    </row>
    <row r="49402">
      <c r="B49402" s="36"/>
      <c r="C49402" s="36"/>
      <c r="E49402" s="1"/>
      <c r="F49402" s="1"/>
      <c r="G49402" s="1"/>
    </row>
    <row r="49403">
      <c r="B49403" s="36"/>
      <c r="C49403" s="36"/>
      <c r="E49403" s="1"/>
      <c r="F49403" s="1"/>
      <c r="G49403" s="1"/>
    </row>
    <row r="49404">
      <c r="B49404" s="36"/>
      <c r="C49404" s="36"/>
      <c r="E49404" s="1"/>
      <c r="F49404" s="1"/>
      <c r="G49404" s="1"/>
    </row>
    <row r="49405">
      <c r="B49405" s="36"/>
      <c r="C49405" s="36"/>
      <c r="E49405" s="1"/>
      <c r="F49405" s="1"/>
      <c r="G49405" s="1"/>
    </row>
    <row r="49406">
      <c r="B49406" s="36"/>
      <c r="C49406" s="36"/>
      <c r="E49406" s="1"/>
      <c r="F49406" s="1"/>
      <c r="G49406" s="1"/>
    </row>
    <row r="49407">
      <c r="B49407" s="36"/>
      <c r="C49407" s="36"/>
      <c r="E49407" s="1"/>
      <c r="F49407" s="1"/>
      <c r="G49407" s="1"/>
    </row>
    <row r="49408">
      <c r="B49408" s="36"/>
      <c r="C49408" s="36"/>
      <c r="E49408" s="1"/>
      <c r="F49408" s="1"/>
      <c r="G49408" s="1"/>
    </row>
    <row r="49409">
      <c r="B49409" s="36"/>
      <c r="C49409" s="36"/>
      <c r="E49409" s="1"/>
      <c r="F49409" s="1"/>
      <c r="G49409" s="1"/>
    </row>
    <row r="49410">
      <c r="B49410" s="36"/>
      <c r="C49410" s="36"/>
      <c r="E49410" s="1"/>
      <c r="F49410" s="1"/>
      <c r="G49410" s="1"/>
    </row>
    <row r="49411">
      <c r="B49411" s="36"/>
      <c r="C49411" s="36"/>
      <c r="E49411" s="1"/>
      <c r="F49411" s="1"/>
      <c r="G49411" s="1"/>
    </row>
    <row r="49412">
      <c r="B49412" s="36"/>
      <c r="C49412" s="36"/>
      <c r="E49412" s="1"/>
      <c r="F49412" s="1"/>
      <c r="G49412" s="1"/>
    </row>
    <row r="49413">
      <c r="B49413" s="36"/>
      <c r="C49413" s="36"/>
      <c r="E49413" s="1"/>
      <c r="F49413" s="1"/>
      <c r="G49413" s="1"/>
    </row>
    <row r="49414">
      <c r="B49414" s="36"/>
      <c r="C49414" s="36"/>
      <c r="E49414" s="1"/>
      <c r="F49414" s="1"/>
      <c r="G49414" s="1"/>
    </row>
    <row r="49415">
      <c r="B49415" s="36"/>
      <c r="C49415" s="36"/>
      <c r="E49415" s="1"/>
      <c r="F49415" s="1"/>
      <c r="G49415" s="1"/>
    </row>
    <row r="49416">
      <c r="B49416" s="36"/>
      <c r="C49416" s="36"/>
      <c r="E49416" s="1"/>
      <c r="F49416" s="1"/>
      <c r="G49416" s="1"/>
    </row>
    <row r="49417">
      <c r="B49417" s="36"/>
      <c r="C49417" s="36"/>
      <c r="E49417" s="1"/>
      <c r="F49417" s="1"/>
      <c r="G49417" s="1"/>
    </row>
    <row r="49418">
      <c r="B49418" s="36"/>
      <c r="C49418" s="36"/>
      <c r="E49418" s="1"/>
      <c r="F49418" s="1"/>
      <c r="G49418" s="1"/>
    </row>
    <row r="49419">
      <c r="B49419" s="36"/>
      <c r="C49419" s="36"/>
      <c r="E49419" s="1"/>
      <c r="F49419" s="1"/>
      <c r="G49419" s="1"/>
    </row>
    <row r="49420">
      <c r="B49420" s="36"/>
      <c r="C49420" s="36"/>
      <c r="E49420" s="1"/>
      <c r="F49420" s="1"/>
      <c r="G49420" s="1"/>
    </row>
    <row r="49421">
      <c r="B49421" s="36"/>
      <c r="C49421" s="36"/>
      <c r="E49421" s="1"/>
      <c r="F49421" s="1"/>
      <c r="G49421" s="1"/>
    </row>
    <row r="49422">
      <c r="B49422" s="36"/>
      <c r="C49422" s="36"/>
      <c r="E49422" s="1"/>
      <c r="F49422" s="1"/>
      <c r="G49422" s="1"/>
    </row>
    <row r="49423">
      <c r="B49423" s="36"/>
      <c r="C49423" s="36"/>
      <c r="E49423" s="1"/>
      <c r="F49423" s="1"/>
      <c r="G49423" s="1"/>
    </row>
    <row r="49424">
      <c r="B49424" s="36"/>
      <c r="C49424" s="36"/>
      <c r="E49424" s="1"/>
      <c r="F49424" s="1"/>
      <c r="G49424" s="1"/>
    </row>
    <row r="49425">
      <c r="B49425" s="36"/>
      <c r="C49425" s="36"/>
      <c r="E49425" s="1"/>
      <c r="F49425" s="1"/>
      <c r="G49425" s="1"/>
    </row>
    <row r="49426">
      <c r="B49426" s="36"/>
      <c r="C49426" s="36"/>
      <c r="E49426" s="1"/>
      <c r="F49426" s="1"/>
      <c r="G49426" s="1"/>
    </row>
    <row r="49427">
      <c r="B49427" s="36"/>
      <c r="C49427" s="36"/>
      <c r="E49427" s="1"/>
      <c r="F49427" s="1"/>
      <c r="G49427" s="1"/>
    </row>
    <row r="49428">
      <c r="B49428" s="36"/>
      <c r="C49428" s="36"/>
      <c r="E49428" s="1"/>
      <c r="F49428" s="1"/>
      <c r="G49428" s="1"/>
    </row>
    <row r="49429">
      <c r="B49429" s="36"/>
      <c r="C49429" s="36"/>
      <c r="E49429" s="1"/>
      <c r="F49429" s="1"/>
      <c r="G49429" s="1"/>
    </row>
    <row r="49430">
      <c r="B49430" s="36"/>
      <c r="C49430" s="36"/>
      <c r="E49430" s="1"/>
      <c r="F49430" s="1"/>
      <c r="G49430" s="1"/>
    </row>
    <row r="49431">
      <c r="B49431" s="36"/>
      <c r="C49431" s="36"/>
      <c r="E49431" s="1"/>
      <c r="F49431" s="1"/>
      <c r="G49431" s="1"/>
    </row>
    <row r="49432">
      <c r="B49432" s="36"/>
      <c r="C49432" s="36"/>
      <c r="E49432" s="1"/>
      <c r="F49432" s="1"/>
      <c r="G49432" s="1"/>
    </row>
    <row r="49433">
      <c r="B49433" s="36"/>
      <c r="C49433" s="36"/>
      <c r="E49433" s="1"/>
      <c r="F49433" s="1"/>
      <c r="G49433" s="1"/>
    </row>
    <row r="49434">
      <c r="B49434" s="36"/>
      <c r="C49434" s="36"/>
      <c r="E49434" s="1"/>
      <c r="F49434" s="1"/>
      <c r="G49434" s="1"/>
    </row>
    <row r="49435">
      <c r="B49435" s="36"/>
      <c r="C49435" s="36"/>
      <c r="E49435" s="1"/>
      <c r="F49435" s="1"/>
      <c r="G49435" s="1"/>
    </row>
    <row r="49436">
      <c r="B49436" s="36"/>
      <c r="C49436" s="36"/>
      <c r="E49436" s="1"/>
      <c r="F49436" s="1"/>
      <c r="G49436" s="1"/>
    </row>
    <row r="49437">
      <c r="B49437" s="36"/>
      <c r="C49437" s="36"/>
      <c r="E49437" s="1"/>
      <c r="F49437" s="1"/>
      <c r="G49437" s="1"/>
    </row>
    <row r="49438">
      <c r="B49438" s="36"/>
      <c r="C49438" s="36"/>
      <c r="E49438" s="1"/>
      <c r="F49438" s="1"/>
      <c r="G49438" s="1"/>
    </row>
    <row r="49439">
      <c r="B49439" s="36"/>
      <c r="C49439" s="36"/>
      <c r="E49439" s="1"/>
      <c r="F49439" s="1"/>
      <c r="G49439" s="1"/>
    </row>
    <row r="49440">
      <c r="B49440" s="36"/>
      <c r="C49440" s="36"/>
      <c r="E49440" s="1"/>
      <c r="F49440" s="1"/>
      <c r="G49440" s="1"/>
    </row>
    <row r="49441">
      <c r="B49441" s="36"/>
      <c r="C49441" s="36"/>
      <c r="E49441" s="1"/>
      <c r="F49441" s="1"/>
      <c r="G49441" s="1"/>
    </row>
    <row r="49442">
      <c r="B49442" s="36"/>
      <c r="C49442" s="36"/>
      <c r="E49442" s="1"/>
      <c r="F49442" s="1"/>
      <c r="G49442" s="1"/>
    </row>
    <row r="49443">
      <c r="B49443" s="36"/>
      <c r="C49443" s="36"/>
      <c r="E49443" s="1"/>
      <c r="F49443" s="1"/>
      <c r="G49443" s="1"/>
    </row>
    <row r="49444">
      <c r="B49444" s="36"/>
      <c r="C49444" s="36"/>
      <c r="E49444" s="1"/>
      <c r="F49444" s="1"/>
      <c r="G49444" s="1"/>
    </row>
    <row r="49445">
      <c r="B49445" s="36"/>
      <c r="C49445" s="36"/>
      <c r="E49445" s="1"/>
      <c r="F49445" s="1"/>
      <c r="G49445" s="1"/>
    </row>
    <row r="49446">
      <c r="B49446" s="36"/>
      <c r="C49446" s="36"/>
      <c r="E49446" s="1"/>
      <c r="F49446" s="1"/>
      <c r="G49446" s="1"/>
    </row>
    <row r="49447">
      <c r="B49447" s="36"/>
      <c r="C49447" s="36"/>
      <c r="E49447" s="1"/>
      <c r="F49447" s="1"/>
      <c r="G49447" s="1"/>
    </row>
    <row r="49448">
      <c r="B49448" s="36"/>
      <c r="C49448" s="36"/>
      <c r="E49448" s="1"/>
      <c r="F49448" s="1"/>
      <c r="G49448" s="1"/>
    </row>
    <row r="49449">
      <c r="B49449" s="36"/>
      <c r="C49449" s="36"/>
      <c r="E49449" s="1"/>
      <c r="F49449" s="1"/>
      <c r="G49449" s="1"/>
    </row>
    <row r="49450">
      <c r="B49450" s="36"/>
      <c r="C49450" s="36"/>
      <c r="E49450" s="1"/>
      <c r="F49450" s="1"/>
      <c r="G49450" s="1"/>
    </row>
    <row r="49451">
      <c r="B49451" s="36"/>
      <c r="C49451" s="36"/>
      <c r="E49451" s="1"/>
      <c r="F49451" s="1"/>
      <c r="G49451" s="1"/>
    </row>
    <row r="49452">
      <c r="B49452" s="36"/>
      <c r="C49452" s="36"/>
      <c r="E49452" s="1"/>
      <c r="F49452" s="1"/>
      <c r="G49452" s="1"/>
    </row>
    <row r="49453">
      <c r="B49453" s="36"/>
      <c r="C49453" s="36"/>
      <c r="E49453" s="1"/>
      <c r="F49453" s="1"/>
      <c r="G49453" s="1"/>
    </row>
    <row r="49454">
      <c r="B49454" s="36"/>
      <c r="C49454" s="36"/>
      <c r="E49454" s="1"/>
      <c r="F49454" s="1"/>
      <c r="G49454" s="1"/>
    </row>
    <row r="49455">
      <c r="B49455" s="36"/>
      <c r="C49455" s="36"/>
      <c r="E49455" s="1"/>
      <c r="F49455" s="1"/>
      <c r="G49455" s="1"/>
    </row>
    <row r="49456">
      <c r="B49456" s="36"/>
      <c r="C49456" s="36"/>
      <c r="E49456" s="1"/>
      <c r="F49456" s="1"/>
      <c r="G49456" s="1"/>
    </row>
    <row r="49457">
      <c r="B49457" s="36"/>
      <c r="C49457" s="36"/>
      <c r="E49457" s="1"/>
      <c r="F49457" s="1"/>
      <c r="G49457" s="1"/>
    </row>
    <row r="49458">
      <c r="B49458" s="36"/>
      <c r="C49458" s="36"/>
      <c r="E49458" s="1"/>
      <c r="F49458" s="1"/>
      <c r="G49458" s="1"/>
    </row>
    <row r="49459">
      <c r="B49459" s="36"/>
      <c r="C49459" s="36"/>
      <c r="E49459" s="1"/>
      <c r="F49459" s="1"/>
      <c r="G49459" s="1"/>
    </row>
    <row r="49460">
      <c r="B49460" s="36"/>
      <c r="C49460" s="36"/>
      <c r="E49460" s="1"/>
      <c r="F49460" s="1"/>
      <c r="G49460" s="1"/>
    </row>
    <row r="49461">
      <c r="B49461" s="36"/>
      <c r="C49461" s="36"/>
      <c r="E49461" s="1"/>
      <c r="F49461" s="1"/>
      <c r="G49461" s="1"/>
    </row>
    <row r="49462">
      <c r="B49462" s="36"/>
      <c r="C49462" s="36"/>
      <c r="E49462" s="1"/>
      <c r="F49462" s="1"/>
      <c r="G49462" s="1"/>
    </row>
    <row r="49463">
      <c r="B49463" s="36"/>
      <c r="C49463" s="36"/>
      <c r="E49463" s="1"/>
      <c r="F49463" s="1"/>
      <c r="G49463" s="1"/>
    </row>
    <row r="49464">
      <c r="B49464" s="36"/>
      <c r="C49464" s="36"/>
      <c r="E49464" s="1"/>
      <c r="F49464" s="1"/>
      <c r="G49464" s="1"/>
    </row>
    <row r="49465">
      <c r="B49465" s="36"/>
      <c r="C49465" s="36"/>
      <c r="E49465" s="1"/>
      <c r="F49465" s="1"/>
      <c r="G49465" s="1"/>
    </row>
    <row r="49466">
      <c r="B49466" s="36"/>
      <c r="C49466" s="36"/>
      <c r="E49466" s="1"/>
      <c r="F49466" s="1"/>
      <c r="G49466" s="1"/>
    </row>
    <row r="49467">
      <c r="B49467" s="36"/>
      <c r="C49467" s="36"/>
      <c r="E49467" s="1"/>
      <c r="F49467" s="1"/>
      <c r="G49467" s="1"/>
    </row>
    <row r="49468">
      <c r="B49468" s="36"/>
      <c r="C49468" s="36"/>
      <c r="E49468" s="1"/>
      <c r="F49468" s="1"/>
      <c r="G49468" s="1"/>
    </row>
    <row r="49469">
      <c r="B49469" s="36"/>
      <c r="C49469" s="36"/>
      <c r="E49469" s="1"/>
      <c r="F49469" s="1"/>
      <c r="G49469" s="1"/>
    </row>
    <row r="49470">
      <c r="B49470" s="36"/>
      <c r="C49470" s="36"/>
      <c r="E49470" s="1"/>
      <c r="F49470" s="1"/>
      <c r="G49470" s="1"/>
    </row>
    <row r="49471">
      <c r="B49471" s="36"/>
      <c r="C49471" s="36"/>
      <c r="E49471" s="1"/>
      <c r="F49471" s="1"/>
      <c r="G49471" s="1"/>
    </row>
    <row r="49472">
      <c r="B49472" s="36"/>
      <c r="C49472" s="36"/>
      <c r="E49472" s="1"/>
      <c r="F49472" s="1"/>
      <c r="G49472" s="1"/>
    </row>
    <row r="49473">
      <c r="B49473" s="36"/>
      <c r="C49473" s="36"/>
      <c r="E49473" s="1"/>
      <c r="F49473" s="1"/>
      <c r="G49473" s="1"/>
    </row>
    <row r="49474">
      <c r="B49474" s="36"/>
      <c r="C49474" s="36"/>
      <c r="E49474" s="1"/>
      <c r="F49474" s="1"/>
      <c r="G49474" s="1"/>
    </row>
    <row r="49475">
      <c r="B49475" s="36"/>
      <c r="C49475" s="36"/>
      <c r="E49475" s="1"/>
      <c r="F49475" s="1"/>
      <c r="G49475" s="1"/>
    </row>
    <row r="49476">
      <c r="B49476" s="36"/>
      <c r="C49476" s="36"/>
      <c r="E49476" s="1"/>
      <c r="F49476" s="1"/>
      <c r="G49476" s="1"/>
    </row>
    <row r="49477">
      <c r="B49477" s="36"/>
      <c r="C49477" s="36"/>
      <c r="E49477" s="1"/>
      <c r="F49477" s="1"/>
      <c r="G49477" s="1"/>
    </row>
    <row r="49478">
      <c r="B49478" s="36"/>
      <c r="C49478" s="36"/>
      <c r="E49478" s="1"/>
      <c r="F49478" s="1"/>
      <c r="G49478" s="1"/>
    </row>
    <row r="49479">
      <c r="B49479" s="36"/>
      <c r="C49479" s="36"/>
      <c r="E49479" s="1"/>
      <c r="F49479" s="1"/>
      <c r="G49479" s="1"/>
    </row>
    <row r="49480">
      <c r="B49480" s="36"/>
      <c r="C49480" s="36"/>
      <c r="E49480" s="1"/>
      <c r="F49480" s="1"/>
      <c r="G49480" s="1"/>
    </row>
    <row r="49481">
      <c r="B49481" s="36"/>
      <c r="C49481" s="36"/>
      <c r="E49481" s="1"/>
      <c r="F49481" s="1"/>
      <c r="G49481" s="1"/>
    </row>
    <row r="49482">
      <c r="B49482" s="36"/>
      <c r="C49482" s="36"/>
      <c r="E49482" s="1"/>
      <c r="F49482" s="1"/>
      <c r="G49482" s="1"/>
    </row>
    <row r="49483">
      <c r="B49483" s="36"/>
      <c r="C49483" s="36"/>
      <c r="E49483" s="1"/>
      <c r="F49483" s="1"/>
      <c r="G49483" s="1"/>
    </row>
    <row r="49484">
      <c r="B49484" s="36"/>
      <c r="C49484" s="36"/>
      <c r="E49484" s="1"/>
      <c r="F49484" s="1"/>
      <c r="G49484" s="1"/>
    </row>
    <row r="49485">
      <c r="B49485" s="36"/>
      <c r="C49485" s="36"/>
      <c r="E49485" s="1"/>
      <c r="F49485" s="1"/>
      <c r="G49485" s="1"/>
    </row>
    <row r="49486">
      <c r="B49486" s="36"/>
      <c r="C49486" s="36"/>
      <c r="E49486" s="1"/>
      <c r="F49486" s="1"/>
      <c r="G49486" s="1"/>
    </row>
    <row r="49487">
      <c r="B49487" s="36"/>
      <c r="C49487" s="36"/>
      <c r="E49487" s="1"/>
      <c r="F49487" s="1"/>
      <c r="G49487" s="1"/>
    </row>
    <row r="49488">
      <c r="B49488" s="36"/>
      <c r="C49488" s="36"/>
      <c r="E49488" s="1"/>
      <c r="F49488" s="1"/>
      <c r="G49488" s="1"/>
    </row>
    <row r="49489">
      <c r="B49489" s="36"/>
      <c r="C49489" s="36"/>
      <c r="E49489" s="1"/>
      <c r="F49489" s="1"/>
      <c r="G49489" s="1"/>
    </row>
    <row r="49490">
      <c r="B49490" s="36"/>
      <c r="C49490" s="36"/>
      <c r="E49490" s="1"/>
      <c r="F49490" s="1"/>
      <c r="G49490" s="1"/>
    </row>
    <row r="49491">
      <c r="B49491" s="36"/>
      <c r="C49491" s="36"/>
      <c r="E49491" s="1"/>
      <c r="F49491" s="1"/>
      <c r="G49491" s="1"/>
    </row>
    <row r="49492">
      <c r="B49492" s="36"/>
      <c r="C49492" s="36"/>
      <c r="E49492" s="1"/>
      <c r="F49492" s="1"/>
      <c r="G49492" s="1"/>
    </row>
    <row r="49493">
      <c r="B49493" s="36"/>
      <c r="C49493" s="36"/>
      <c r="E49493" s="1"/>
      <c r="F49493" s="1"/>
      <c r="G49493" s="1"/>
    </row>
    <row r="49494">
      <c r="B49494" s="36"/>
      <c r="C49494" s="36"/>
      <c r="E49494" s="1"/>
      <c r="F49494" s="1"/>
      <c r="G49494" s="1"/>
    </row>
    <row r="49495">
      <c r="B49495" s="36"/>
      <c r="C49495" s="36"/>
      <c r="E49495" s="1"/>
      <c r="F49495" s="1"/>
      <c r="G49495" s="1"/>
    </row>
    <row r="49496">
      <c r="B49496" s="36"/>
      <c r="C49496" s="36"/>
      <c r="E49496" s="1"/>
      <c r="F49496" s="1"/>
      <c r="G49496" s="1"/>
    </row>
    <row r="49497">
      <c r="B49497" s="36"/>
      <c r="C49497" s="36"/>
      <c r="E49497" s="1"/>
      <c r="F49497" s="1"/>
      <c r="G49497" s="1"/>
    </row>
    <row r="49498">
      <c r="B49498" s="36"/>
      <c r="C49498" s="36"/>
      <c r="E49498" s="1"/>
      <c r="F49498" s="1"/>
      <c r="G49498" s="1"/>
    </row>
    <row r="49499">
      <c r="B49499" s="36"/>
      <c r="C49499" s="36"/>
      <c r="E49499" s="1"/>
      <c r="F49499" s="1"/>
      <c r="G49499" s="1"/>
    </row>
    <row r="49500">
      <c r="B49500" s="36"/>
      <c r="C49500" s="36"/>
      <c r="E49500" s="1"/>
      <c r="F49500" s="1"/>
      <c r="G49500" s="1"/>
    </row>
    <row r="49501">
      <c r="B49501" s="36"/>
      <c r="C49501" s="36"/>
      <c r="E49501" s="1"/>
      <c r="F49501" s="1"/>
      <c r="G49501" s="1"/>
    </row>
    <row r="49502">
      <c r="B49502" s="36"/>
      <c r="C49502" s="36"/>
      <c r="E49502" s="1"/>
      <c r="F49502" s="1"/>
      <c r="G49502" s="1"/>
    </row>
    <row r="49503">
      <c r="B49503" s="36"/>
      <c r="C49503" s="36"/>
      <c r="E49503" s="1"/>
      <c r="F49503" s="1"/>
      <c r="G49503" s="1"/>
    </row>
    <row r="49504">
      <c r="B49504" s="36"/>
      <c r="C49504" s="36"/>
      <c r="E49504" s="1"/>
      <c r="F49504" s="1"/>
      <c r="G49504" s="1"/>
    </row>
    <row r="49505">
      <c r="B49505" s="36"/>
      <c r="C49505" s="36"/>
      <c r="E49505" s="1"/>
      <c r="F49505" s="1"/>
      <c r="G49505" s="1"/>
    </row>
    <row r="49506">
      <c r="B49506" s="36"/>
      <c r="C49506" s="36"/>
      <c r="E49506" s="1"/>
      <c r="F49506" s="1"/>
      <c r="G49506" s="1"/>
    </row>
    <row r="49507">
      <c r="B49507" s="36"/>
      <c r="C49507" s="36"/>
      <c r="E49507" s="1"/>
      <c r="F49507" s="1"/>
      <c r="G49507" s="1"/>
    </row>
    <row r="49508">
      <c r="B49508" s="36"/>
      <c r="C49508" s="36"/>
      <c r="E49508" s="1"/>
      <c r="F49508" s="1"/>
      <c r="G49508" s="1"/>
    </row>
    <row r="49509">
      <c r="B49509" s="36"/>
      <c r="C49509" s="36"/>
      <c r="E49509" s="1"/>
      <c r="F49509" s="1"/>
      <c r="G49509" s="1"/>
    </row>
    <row r="49510">
      <c r="B49510" s="36"/>
      <c r="C49510" s="36"/>
      <c r="E49510" s="1"/>
      <c r="F49510" s="1"/>
      <c r="G49510" s="1"/>
    </row>
    <row r="49511">
      <c r="B49511" s="36"/>
      <c r="C49511" s="36"/>
      <c r="E49511" s="1"/>
      <c r="F49511" s="1"/>
      <c r="G49511" s="1"/>
    </row>
    <row r="49512">
      <c r="B49512" s="36"/>
      <c r="C49512" s="36"/>
      <c r="E49512" s="1"/>
      <c r="F49512" s="1"/>
      <c r="G49512" s="1"/>
    </row>
    <row r="49513">
      <c r="B49513" s="36"/>
      <c r="C49513" s="36"/>
      <c r="E49513" s="1"/>
      <c r="F49513" s="1"/>
      <c r="G49513" s="1"/>
    </row>
    <row r="49514">
      <c r="B49514" s="36"/>
      <c r="C49514" s="36"/>
      <c r="E49514" s="1"/>
      <c r="F49514" s="1"/>
      <c r="G49514" s="1"/>
    </row>
    <row r="49515">
      <c r="B49515" s="36"/>
      <c r="C49515" s="36"/>
      <c r="E49515" s="1"/>
      <c r="F49515" s="1"/>
      <c r="G49515" s="1"/>
    </row>
    <row r="49516">
      <c r="B49516" s="36"/>
      <c r="C49516" s="36"/>
      <c r="E49516" s="1"/>
      <c r="F49516" s="1"/>
      <c r="G49516" s="1"/>
    </row>
    <row r="49517">
      <c r="B49517" s="36"/>
      <c r="C49517" s="36"/>
      <c r="E49517" s="1"/>
      <c r="F49517" s="1"/>
      <c r="G49517" s="1"/>
    </row>
    <row r="49518">
      <c r="B49518" s="36"/>
      <c r="C49518" s="36"/>
      <c r="E49518" s="1"/>
      <c r="F49518" s="1"/>
      <c r="G49518" s="1"/>
    </row>
    <row r="49519">
      <c r="B49519" s="36"/>
      <c r="C49519" s="36"/>
      <c r="E49519" s="1"/>
      <c r="F49519" s="1"/>
      <c r="G49519" s="1"/>
    </row>
    <row r="49520">
      <c r="B49520" s="36"/>
      <c r="C49520" s="36"/>
      <c r="E49520" s="1"/>
      <c r="F49520" s="1"/>
      <c r="G49520" s="1"/>
    </row>
    <row r="49521">
      <c r="B49521" s="36"/>
      <c r="C49521" s="36"/>
      <c r="E49521" s="1"/>
      <c r="F49521" s="1"/>
      <c r="G49521" s="1"/>
    </row>
    <row r="49522">
      <c r="B49522" s="36"/>
      <c r="C49522" s="36"/>
      <c r="E49522" s="1"/>
      <c r="F49522" s="1"/>
      <c r="G49522" s="1"/>
    </row>
    <row r="49523">
      <c r="B49523" s="36"/>
      <c r="C49523" s="36"/>
      <c r="E49523" s="1"/>
      <c r="F49523" s="1"/>
      <c r="G49523" s="1"/>
    </row>
    <row r="49524">
      <c r="B49524" s="36"/>
      <c r="C49524" s="36"/>
      <c r="E49524" s="1"/>
      <c r="F49524" s="1"/>
      <c r="G49524" s="1"/>
    </row>
    <row r="49525">
      <c r="B49525" s="36"/>
      <c r="C49525" s="36"/>
      <c r="E49525" s="1"/>
      <c r="F49525" s="1"/>
      <c r="G49525" s="1"/>
    </row>
    <row r="49526">
      <c r="B49526" s="36"/>
      <c r="C49526" s="36"/>
      <c r="E49526" s="1"/>
      <c r="F49526" s="1"/>
      <c r="G49526" s="1"/>
    </row>
    <row r="49527">
      <c r="B49527" s="36"/>
      <c r="C49527" s="36"/>
      <c r="E49527" s="1"/>
      <c r="F49527" s="1"/>
      <c r="G49527" s="1"/>
    </row>
    <row r="49528">
      <c r="B49528" s="36"/>
      <c r="C49528" s="36"/>
      <c r="E49528" s="1"/>
      <c r="F49528" s="1"/>
      <c r="G49528" s="1"/>
    </row>
    <row r="49529">
      <c r="B49529" s="36"/>
      <c r="C49529" s="36"/>
      <c r="E49529" s="1"/>
      <c r="F49529" s="1"/>
      <c r="G49529" s="1"/>
    </row>
    <row r="49530">
      <c r="B49530" s="36"/>
      <c r="C49530" s="36"/>
      <c r="E49530" s="1"/>
      <c r="F49530" s="1"/>
      <c r="G49530" s="1"/>
    </row>
    <row r="49531">
      <c r="B49531" s="36"/>
      <c r="C49531" s="36"/>
      <c r="E49531" s="1"/>
      <c r="F49531" s="1"/>
      <c r="G49531" s="1"/>
    </row>
    <row r="49532">
      <c r="B49532" s="36"/>
      <c r="C49532" s="36"/>
      <c r="E49532" s="1"/>
      <c r="F49532" s="1"/>
      <c r="G49532" s="1"/>
    </row>
    <row r="49533">
      <c r="B49533" s="36"/>
      <c r="C49533" s="36"/>
      <c r="E49533" s="1"/>
      <c r="F49533" s="1"/>
      <c r="G49533" s="1"/>
    </row>
    <row r="49534">
      <c r="B49534" s="36"/>
      <c r="C49534" s="36"/>
      <c r="E49534" s="1"/>
      <c r="F49534" s="1"/>
      <c r="G49534" s="1"/>
    </row>
    <row r="49535">
      <c r="B49535" s="36"/>
      <c r="C49535" s="36"/>
      <c r="E49535" s="1"/>
      <c r="F49535" s="1"/>
      <c r="G49535" s="1"/>
    </row>
    <row r="49536">
      <c r="B49536" s="36"/>
      <c r="C49536" s="36"/>
      <c r="E49536" s="1"/>
      <c r="F49536" s="1"/>
      <c r="G49536" s="1"/>
    </row>
    <row r="49537">
      <c r="B49537" s="36"/>
      <c r="C49537" s="36"/>
      <c r="E49537" s="1"/>
      <c r="F49537" s="1"/>
      <c r="G49537" s="1"/>
    </row>
    <row r="49538">
      <c r="B49538" s="36"/>
      <c r="C49538" s="36"/>
      <c r="E49538" s="1"/>
      <c r="F49538" s="1"/>
      <c r="G49538" s="1"/>
    </row>
    <row r="49539">
      <c r="B49539" s="36"/>
      <c r="C49539" s="36"/>
      <c r="E49539" s="1"/>
      <c r="F49539" s="1"/>
      <c r="G49539" s="1"/>
    </row>
    <row r="49540">
      <c r="B49540" s="36"/>
      <c r="C49540" s="36"/>
      <c r="E49540" s="1"/>
      <c r="F49540" s="1"/>
      <c r="G49540" s="1"/>
    </row>
    <row r="49541">
      <c r="B49541" s="36"/>
      <c r="C49541" s="36"/>
      <c r="E49541" s="1"/>
      <c r="F49541" s="1"/>
      <c r="G49541" s="1"/>
    </row>
    <row r="49542">
      <c r="B49542" s="36"/>
      <c r="C49542" s="36"/>
      <c r="E49542" s="1"/>
      <c r="F49542" s="1"/>
      <c r="G49542" s="1"/>
    </row>
    <row r="49543">
      <c r="B49543" s="36"/>
      <c r="C49543" s="36"/>
      <c r="E49543" s="1"/>
      <c r="F49543" s="1"/>
      <c r="G49543" s="1"/>
    </row>
    <row r="49544">
      <c r="B49544" s="36"/>
      <c r="C49544" s="36"/>
      <c r="E49544" s="1"/>
      <c r="F49544" s="1"/>
      <c r="G49544" s="1"/>
    </row>
    <row r="49545">
      <c r="B49545" s="36"/>
      <c r="C49545" s="36"/>
      <c r="E49545" s="1"/>
      <c r="F49545" s="1"/>
      <c r="G49545" s="1"/>
    </row>
    <row r="49546">
      <c r="B49546" s="36"/>
      <c r="C49546" s="36"/>
      <c r="E49546" s="1"/>
      <c r="F49546" s="1"/>
      <c r="G49546" s="1"/>
    </row>
    <row r="49547">
      <c r="B49547" s="36"/>
      <c r="C49547" s="36"/>
      <c r="E49547" s="1"/>
      <c r="F49547" s="1"/>
      <c r="G49547" s="1"/>
    </row>
    <row r="49548">
      <c r="B49548" s="36"/>
      <c r="C49548" s="36"/>
      <c r="E49548" s="1"/>
      <c r="F49548" s="1"/>
      <c r="G49548" s="1"/>
    </row>
    <row r="49549">
      <c r="B49549" s="36"/>
      <c r="C49549" s="36"/>
      <c r="E49549" s="1"/>
      <c r="F49549" s="1"/>
      <c r="G49549" s="1"/>
    </row>
    <row r="49550">
      <c r="B49550" s="36"/>
      <c r="C49550" s="36"/>
      <c r="E49550" s="1"/>
      <c r="F49550" s="1"/>
      <c r="G49550" s="1"/>
    </row>
    <row r="49551">
      <c r="B49551" s="36"/>
      <c r="C49551" s="36"/>
      <c r="E49551" s="1"/>
      <c r="F49551" s="1"/>
      <c r="G49551" s="1"/>
    </row>
    <row r="49552">
      <c r="B49552" s="36"/>
      <c r="C49552" s="36"/>
      <c r="E49552" s="1"/>
      <c r="F49552" s="1"/>
      <c r="G49552" s="1"/>
    </row>
    <row r="49553">
      <c r="B49553" s="36"/>
      <c r="C49553" s="36"/>
      <c r="E49553" s="1"/>
      <c r="F49553" s="1"/>
      <c r="G49553" s="1"/>
    </row>
    <row r="49554">
      <c r="B49554" s="36"/>
      <c r="C49554" s="36"/>
      <c r="E49554" s="1"/>
      <c r="F49554" s="1"/>
      <c r="G49554" s="1"/>
    </row>
    <row r="49555">
      <c r="B49555" s="36"/>
      <c r="C49555" s="36"/>
      <c r="E49555" s="1"/>
      <c r="F49555" s="1"/>
      <c r="G49555" s="1"/>
    </row>
    <row r="49556">
      <c r="B49556" s="36"/>
      <c r="C49556" s="36"/>
      <c r="E49556" s="1"/>
      <c r="F49556" s="1"/>
      <c r="G49556" s="1"/>
    </row>
    <row r="49557">
      <c r="B49557" s="36"/>
      <c r="C49557" s="36"/>
      <c r="E49557" s="1"/>
      <c r="F49557" s="1"/>
      <c r="G49557" s="1"/>
    </row>
    <row r="49558">
      <c r="B49558" s="36"/>
      <c r="C49558" s="36"/>
      <c r="E49558" s="1"/>
      <c r="F49558" s="1"/>
      <c r="G49558" s="1"/>
    </row>
    <row r="49559">
      <c r="B49559" s="36"/>
      <c r="C49559" s="36"/>
      <c r="E49559" s="1"/>
      <c r="F49559" s="1"/>
      <c r="G49559" s="1"/>
    </row>
    <row r="49560">
      <c r="B49560" s="36"/>
      <c r="C49560" s="36"/>
      <c r="E49560" s="1"/>
      <c r="F49560" s="1"/>
      <c r="G49560" s="1"/>
    </row>
    <row r="49561">
      <c r="B49561" s="36"/>
      <c r="C49561" s="36"/>
      <c r="E49561" s="1"/>
      <c r="F49561" s="1"/>
      <c r="G49561" s="1"/>
    </row>
    <row r="49562">
      <c r="B49562" s="36"/>
      <c r="C49562" s="36"/>
      <c r="E49562" s="1"/>
      <c r="F49562" s="1"/>
      <c r="G49562" s="1"/>
    </row>
    <row r="49563">
      <c r="B49563" s="36"/>
      <c r="C49563" s="36"/>
      <c r="E49563" s="1"/>
      <c r="F49563" s="1"/>
      <c r="G49563" s="1"/>
    </row>
    <row r="49564">
      <c r="B49564" s="36"/>
      <c r="C49564" s="36"/>
      <c r="E49564" s="1"/>
      <c r="F49564" s="1"/>
      <c r="G49564" s="1"/>
    </row>
    <row r="49565">
      <c r="B49565" s="36"/>
      <c r="C49565" s="36"/>
      <c r="E49565" s="1"/>
      <c r="F49565" s="1"/>
      <c r="G49565" s="1"/>
    </row>
    <row r="49566">
      <c r="B49566" s="36"/>
      <c r="C49566" s="36"/>
      <c r="E49566" s="1"/>
      <c r="F49566" s="1"/>
      <c r="G49566" s="1"/>
    </row>
    <row r="49567">
      <c r="B49567" s="36"/>
      <c r="C49567" s="36"/>
      <c r="E49567" s="1"/>
      <c r="F49567" s="1"/>
      <c r="G49567" s="1"/>
    </row>
    <row r="49568">
      <c r="B49568" s="36"/>
      <c r="C49568" s="36"/>
      <c r="E49568" s="1"/>
      <c r="F49568" s="1"/>
      <c r="G49568" s="1"/>
    </row>
    <row r="49569">
      <c r="B49569" s="36"/>
      <c r="C49569" s="36"/>
      <c r="E49569" s="1"/>
      <c r="F49569" s="1"/>
      <c r="G49569" s="1"/>
    </row>
    <row r="49570">
      <c r="B49570" s="36"/>
      <c r="C49570" s="36"/>
      <c r="E49570" s="1"/>
      <c r="F49570" s="1"/>
      <c r="G49570" s="1"/>
    </row>
    <row r="49571">
      <c r="B49571" s="36"/>
      <c r="C49571" s="36"/>
      <c r="E49571" s="1"/>
      <c r="F49571" s="1"/>
      <c r="G49571" s="1"/>
    </row>
    <row r="49572">
      <c r="B49572" s="36"/>
      <c r="C49572" s="36"/>
      <c r="E49572" s="1"/>
      <c r="F49572" s="1"/>
      <c r="G49572" s="1"/>
    </row>
    <row r="49573">
      <c r="B49573" s="36"/>
      <c r="C49573" s="36"/>
      <c r="E49573" s="1"/>
      <c r="F49573" s="1"/>
      <c r="G49573" s="1"/>
    </row>
    <row r="49574">
      <c r="B49574" s="36"/>
      <c r="C49574" s="36"/>
      <c r="E49574" s="1"/>
      <c r="F49574" s="1"/>
      <c r="G49574" s="1"/>
    </row>
    <row r="49575">
      <c r="B49575" s="36"/>
      <c r="C49575" s="36"/>
      <c r="E49575" s="1"/>
      <c r="F49575" s="1"/>
      <c r="G49575" s="1"/>
    </row>
    <row r="49576">
      <c r="B49576" s="36"/>
      <c r="C49576" s="36"/>
      <c r="E49576" s="1"/>
      <c r="F49576" s="1"/>
      <c r="G49576" s="1"/>
    </row>
    <row r="49577">
      <c r="B49577" s="36"/>
      <c r="C49577" s="36"/>
      <c r="E49577" s="1"/>
      <c r="F49577" s="1"/>
      <c r="G49577" s="1"/>
    </row>
    <row r="49578">
      <c r="B49578" s="36"/>
      <c r="C49578" s="36"/>
      <c r="E49578" s="1"/>
      <c r="F49578" s="1"/>
      <c r="G49578" s="1"/>
    </row>
    <row r="49579">
      <c r="B49579" s="36"/>
      <c r="C49579" s="36"/>
      <c r="E49579" s="1"/>
      <c r="F49579" s="1"/>
      <c r="G49579" s="1"/>
    </row>
    <row r="49580">
      <c r="B49580" s="36"/>
      <c r="C49580" s="36"/>
      <c r="E49580" s="1"/>
      <c r="F49580" s="1"/>
      <c r="G49580" s="1"/>
    </row>
    <row r="49581">
      <c r="B49581" s="36"/>
      <c r="C49581" s="36"/>
      <c r="E49581" s="1"/>
      <c r="F49581" s="1"/>
      <c r="G49581" s="1"/>
    </row>
    <row r="49582">
      <c r="B49582" s="36"/>
      <c r="C49582" s="36"/>
      <c r="E49582" s="1"/>
      <c r="F49582" s="1"/>
      <c r="G49582" s="1"/>
    </row>
    <row r="49583">
      <c r="B49583" s="36"/>
      <c r="C49583" s="36"/>
      <c r="E49583" s="1"/>
      <c r="F49583" s="1"/>
      <c r="G49583" s="1"/>
    </row>
    <row r="49584">
      <c r="B49584" s="36"/>
      <c r="C49584" s="36"/>
      <c r="E49584" s="1"/>
      <c r="F49584" s="1"/>
      <c r="G49584" s="1"/>
    </row>
    <row r="49585">
      <c r="B49585" s="36"/>
      <c r="C49585" s="36"/>
      <c r="E49585" s="1"/>
      <c r="F49585" s="1"/>
      <c r="G49585" s="1"/>
    </row>
    <row r="49586">
      <c r="B49586" s="36"/>
      <c r="C49586" s="36"/>
      <c r="E49586" s="1"/>
      <c r="F49586" s="1"/>
      <c r="G49586" s="1"/>
    </row>
    <row r="49587">
      <c r="B49587" s="36"/>
      <c r="C49587" s="36"/>
      <c r="E49587" s="1"/>
      <c r="F49587" s="1"/>
      <c r="G49587" s="1"/>
    </row>
    <row r="49588">
      <c r="B49588" s="36"/>
      <c r="C49588" s="36"/>
      <c r="E49588" s="1"/>
      <c r="F49588" s="1"/>
      <c r="G49588" s="1"/>
    </row>
    <row r="49589">
      <c r="B49589" s="36"/>
      <c r="C49589" s="36"/>
      <c r="E49589" s="1"/>
      <c r="F49589" s="1"/>
      <c r="G49589" s="1"/>
    </row>
    <row r="49590">
      <c r="B49590" s="36"/>
      <c r="C49590" s="36"/>
      <c r="E49590" s="1"/>
      <c r="F49590" s="1"/>
      <c r="G49590" s="1"/>
    </row>
    <row r="49591">
      <c r="B49591" s="36"/>
      <c r="C49591" s="36"/>
      <c r="E49591" s="1"/>
      <c r="F49591" s="1"/>
      <c r="G49591" s="1"/>
    </row>
    <row r="49592">
      <c r="B49592" s="36"/>
      <c r="C49592" s="36"/>
      <c r="E49592" s="1"/>
      <c r="F49592" s="1"/>
      <c r="G49592" s="1"/>
    </row>
    <row r="49593">
      <c r="B49593" s="36"/>
      <c r="C49593" s="36"/>
      <c r="E49593" s="1"/>
      <c r="F49593" s="1"/>
      <c r="G49593" s="1"/>
    </row>
    <row r="49594">
      <c r="B49594" s="36"/>
      <c r="C49594" s="36"/>
      <c r="E49594" s="1"/>
      <c r="F49594" s="1"/>
      <c r="G49594" s="1"/>
    </row>
    <row r="49595">
      <c r="B49595" s="36"/>
      <c r="C49595" s="36"/>
      <c r="E49595" s="1"/>
      <c r="F49595" s="1"/>
      <c r="G49595" s="1"/>
    </row>
    <row r="49596">
      <c r="B49596" s="36"/>
      <c r="C49596" s="36"/>
      <c r="E49596" s="1"/>
      <c r="F49596" s="1"/>
      <c r="G49596" s="1"/>
    </row>
    <row r="49597">
      <c r="B49597" s="36"/>
      <c r="C49597" s="36"/>
      <c r="E49597" s="1"/>
      <c r="F49597" s="1"/>
      <c r="G49597" s="1"/>
    </row>
    <row r="49598">
      <c r="B49598" s="36"/>
      <c r="C49598" s="36"/>
      <c r="E49598" s="1"/>
      <c r="F49598" s="1"/>
      <c r="G49598" s="1"/>
    </row>
    <row r="49599">
      <c r="B49599" s="36"/>
      <c r="C49599" s="36"/>
      <c r="E49599" s="1"/>
      <c r="F49599" s="1"/>
      <c r="G49599" s="1"/>
    </row>
    <row r="49600">
      <c r="B49600" s="36"/>
      <c r="C49600" s="36"/>
      <c r="E49600" s="1"/>
      <c r="F49600" s="1"/>
      <c r="G49600" s="1"/>
    </row>
    <row r="49601">
      <c r="B49601" s="36"/>
      <c r="C49601" s="36"/>
      <c r="E49601" s="1"/>
      <c r="F49601" s="1"/>
      <c r="G49601" s="1"/>
    </row>
    <row r="49602">
      <c r="B49602" s="36"/>
      <c r="C49602" s="36"/>
      <c r="E49602" s="1"/>
      <c r="F49602" s="1"/>
      <c r="G49602" s="1"/>
    </row>
    <row r="49603">
      <c r="B49603" s="36"/>
      <c r="C49603" s="36"/>
      <c r="E49603" s="1"/>
      <c r="F49603" s="1"/>
      <c r="G49603" s="1"/>
    </row>
    <row r="49604">
      <c r="B49604" s="36"/>
      <c r="C49604" s="36"/>
      <c r="E49604" s="1"/>
      <c r="F49604" s="1"/>
      <c r="G49604" s="1"/>
    </row>
    <row r="49605">
      <c r="B49605" s="36"/>
      <c r="C49605" s="36"/>
      <c r="E49605" s="1"/>
      <c r="F49605" s="1"/>
      <c r="G49605" s="1"/>
    </row>
    <row r="49606">
      <c r="B49606" s="36"/>
      <c r="C49606" s="36"/>
      <c r="E49606" s="1"/>
      <c r="F49606" s="1"/>
      <c r="G49606" s="1"/>
    </row>
    <row r="49607">
      <c r="B49607" s="36"/>
      <c r="C49607" s="36"/>
      <c r="E49607" s="1"/>
      <c r="F49607" s="1"/>
      <c r="G49607" s="1"/>
    </row>
    <row r="49608">
      <c r="B49608" s="36"/>
      <c r="C49608" s="36"/>
      <c r="E49608" s="1"/>
      <c r="F49608" s="1"/>
      <c r="G49608" s="1"/>
    </row>
    <row r="49609">
      <c r="B49609" s="36"/>
      <c r="C49609" s="36"/>
      <c r="E49609" s="1"/>
      <c r="F49609" s="1"/>
      <c r="G49609" s="1"/>
    </row>
    <row r="49610">
      <c r="B49610" s="36"/>
      <c r="C49610" s="36"/>
      <c r="E49610" s="1"/>
      <c r="F49610" s="1"/>
      <c r="G49610" s="1"/>
    </row>
    <row r="49611">
      <c r="B49611" s="36"/>
      <c r="C49611" s="36"/>
      <c r="E49611" s="1"/>
      <c r="F49611" s="1"/>
      <c r="G49611" s="1"/>
    </row>
    <row r="49612">
      <c r="B49612" s="36"/>
      <c r="C49612" s="36"/>
      <c r="E49612" s="1"/>
      <c r="F49612" s="1"/>
      <c r="G49612" s="1"/>
    </row>
    <row r="49613">
      <c r="B49613" s="36"/>
      <c r="C49613" s="36"/>
      <c r="E49613" s="1"/>
      <c r="F49613" s="1"/>
      <c r="G49613" s="1"/>
    </row>
    <row r="49614">
      <c r="B49614" s="36"/>
      <c r="C49614" s="36"/>
      <c r="E49614" s="1"/>
      <c r="F49614" s="1"/>
      <c r="G49614" s="1"/>
    </row>
    <row r="49615">
      <c r="B49615" s="36"/>
      <c r="C49615" s="36"/>
      <c r="E49615" s="1"/>
      <c r="F49615" s="1"/>
      <c r="G49615" s="1"/>
    </row>
    <row r="49616">
      <c r="B49616" s="36"/>
      <c r="C49616" s="36"/>
      <c r="E49616" s="1"/>
      <c r="F49616" s="1"/>
      <c r="G49616" s="1"/>
    </row>
    <row r="49617">
      <c r="B49617" s="36"/>
      <c r="C49617" s="36"/>
      <c r="E49617" s="1"/>
      <c r="F49617" s="1"/>
      <c r="G49617" s="1"/>
    </row>
    <row r="49618">
      <c r="B49618" s="36"/>
      <c r="C49618" s="36"/>
      <c r="E49618" s="1"/>
      <c r="F49618" s="1"/>
      <c r="G49618" s="1"/>
    </row>
    <row r="49619">
      <c r="B49619" s="36"/>
      <c r="C49619" s="36"/>
      <c r="E49619" s="1"/>
      <c r="F49619" s="1"/>
      <c r="G49619" s="1"/>
    </row>
    <row r="49620">
      <c r="B49620" s="36"/>
      <c r="C49620" s="36"/>
      <c r="E49620" s="1"/>
      <c r="F49620" s="1"/>
      <c r="G49620" s="1"/>
    </row>
    <row r="49621">
      <c r="B49621" s="36"/>
      <c r="C49621" s="36"/>
      <c r="E49621" s="1"/>
      <c r="F49621" s="1"/>
      <c r="G49621" s="1"/>
    </row>
    <row r="49622">
      <c r="B49622" s="36"/>
      <c r="C49622" s="36"/>
      <c r="E49622" s="1"/>
      <c r="F49622" s="1"/>
      <c r="G49622" s="1"/>
    </row>
    <row r="49623">
      <c r="B49623" s="36"/>
      <c r="C49623" s="36"/>
      <c r="E49623" s="1"/>
      <c r="F49623" s="1"/>
      <c r="G49623" s="1"/>
    </row>
    <row r="49624">
      <c r="B49624" s="36"/>
      <c r="C49624" s="36"/>
      <c r="E49624" s="1"/>
      <c r="F49624" s="1"/>
      <c r="G49624" s="1"/>
    </row>
    <row r="49625">
      <c r="B49625" s="36"/>
      <c r="C49625" s="36"/>
      <c r="E49625" s="1"/>
      <c r="F49625" s="1"/>
      <c r="G49625" s="1"/>
    </row>
    <row r="49626">
      <c r="B49626" s="36"/>
      <c r="C49626" s="36"/>
      <c r="E49626" s="1"/>
      <c r="F49626" s="1"/>
      <c r="G49626" s="1"/>
    </row>
    <row r="49627">
      <c r="B49627" s="36"/>
      <c r="C49627" s="36"/>
      <c r="E49627" s="1"/>
      <c r="F49627" s="1"/>
      <c r="G49627" s="1"/>
    </row>
    <row r="49628">
      <c r="B49628" s="36"/>
      <c r="C49628" s="36"/>
      <c r="E49628" s="1"/>
      <c r="F49628" s="1"/>
      <c r="G49628" s="1"/>
    </row>
    <row r="49629">
      <c r="B49629" s="36"/>
      <c r="C49629" s="36"/>
      <c r="E49629" s="1"/>
      <c r="F49629" s="1"/>
      <c r="G49629" s="1"/>
    </row>
    <row r="49630">
      <c r="B49630" s="36"/>
      <c r="C49630" s="36"/>
      <c r="E49630" s="1"/>
      <c r="F49630" s="1"/>
      <c r="G49630" s="1"/>
    </row>
    <row r="49631">
      <c r="B49631" s="36"/>
      <c r="C49631" s="36"/>
      <c r="E49631" s="1"/>
      <c r="F49631" s="1"/>
      <c r="G49631" s="1"/>
    </row>
    <row r="49632">
      <c r="B49632" s="36"/>
      <c r="C49632" s="36"/>
      <c r="E49632" s="1"/>
      <c r="F49632" s="1"/>
      <c r="G49632" s="1"/>
    </row>
    <row r="49633">
      <c r="B49633" s="36"/>
      <c r="C49633" s="36"/>
      <c r="E49633" s="1"/>
      <c r="F49633" s="1"/>
      <c r="G49633" s="1"/>
    </row>
    <row r="49634">
      <c r="B49634" s="36"/>
      <c r="C49634" s="36"/>
      <c r="E49634" s="1"/>
      <c r="F49634" s="1"/>
      <c r="G49634" s="1"/>
    </row>
    <row r="49635">
      <c r="B49635" s="36"/>
      <c r="C49635" s="36"/>
      <c r="E49635" s="1"/>
      <c r="F49635" s="1"/>
      <c r="G49635" s="1"/>
    </row>
    <row r="49636">
      <c r="B49636" s="36"/>
      <c r="C49636" s="36"/>
      <c r="E49636" s="1"/>
      <c r="F49636" s="1"/>
      <c r="G49636" s="1"/>
    </row>
    <row r="49637">
      <c r="B49637" s="36"/>
      <c r="C49637" s="36"/>
      <c r="E49637" s="1"/>
      <c r="F49637" s="1"/>
      <c r="G49637" s="1"/>
    </row>
    <row r="49638">
      <c r="B49638" s="36"/>
      <c r="C49638" s="36"/>
      <c r="E49638" s="1"/>
      <c r="F49638" s="1"/>
      <c r="G49638" s="1"/>
    </row>
    <row r="49639">
      <c r="B49639" s="36"/>
      <c r="C49639" s="36"/>
      <c r="E49639" s="1"/>
      <c r="F49639" s="1"/>
      <c r="G49639" s="1"/>
    </row>
    <row r="49640">
      <c r="B49640" s="36"/>
      <c r="C49640" s="36"/>
      <c r="E49640" s="1"/>
      <c r="F49640" s="1"/>
      <c r="G49640" s="1"/>
    </row>
    <row r="49641">
      <c r="B49641" s="36"/>
      <c r="C49641" s="36"/>
      <c r="E49641" s="1"/>
      <c r="F49641" s="1"/>
      <c r="G49641" s="1"/>
    </row>
    <row r="49642">
      <c r="B49642" s="36"/>
      <c r="C49642" s="36"/>
      <c r="E49642" s="1"/>
      <c r="F49642" s="1"/>
      <c r="G49642" s="1"/>
    </row>
    <row r="49643">
      <c r="B49643" s="36"/>
      <c r="C49643" s="36"/>
      <c r="E49643" s="1"/>
      <c r="F49643" s="1"/>
      <c r="G49643" s="1"/>
    </row>
    <row r="49644">
      <c r="B49644" s="36"/>
      <c r="C49644" s="36"/>
      <c r="E49644" s="1"/>
      <c r="F49644" s="1"/>
      <c r="G49644" s="1"/>
    </row>
    <row r="49645">
      <c r="B49645" s="36"/>
      <c r="C49645" s="36"/>
      <c r="E49645" s="1"/>
      <c r="F49645" s="1"/>
      <c r="G49645" s="1"/>
    </row>
    <row r="49646">
      <c r="B49646" s="36"/>
      <c r="C49646" s="36"/>
      <c r="E49646" s="1"/>
      <c r="F49646" s="1"/>
      <c r="G49646" s="1"/>
    </row>
    <row r="49647">
      <c r="B49647" s="36"/>
      <c r="C49647" s="36"/>
      <c r="E49647" s="1"/>
      <c r="F49647" s="1"/>
      <c r="G49647" s="1"/>
    </row>
    <row r="49648">
      <c r="B49648" s="36"/>
      <c r="C49648" s="36"/>
      <c r="E49648" s="1"/>
      <c r="F49648" s="1"/>
      <c r="G49648" s="1"/>
    </row>
    <row r="49649">
      <c r="B49649" s="36"/>
      <c r="C49649" s="36"/>
      <c r="E49649" s="1"/>
      <c r="F49649" s="1"/>
      <c r="G49649" s="1"/>
    </row>
    <row r="49650">
      <c r="B49650" s="36"/>
      <c r="C49650" s="36"/>
      <c r="E49650" s="1"/>
      <c r="F49650" s="1"/>
      <c r="G49650" s="1"/>
    </row>
    <row r="49651">
      <c r="B49651" s="36"/>
      <c r="C49651" s="36"/>
      <c r="E49651" s="1"/>
      <c r="F49651" s="1"/>
      <c r="G49651" s="1"/>
    </row>
    <row r="49652">
      <c r="B49652" s="36"/>
      <c r="C49652" s="36"/>
      <c r="E49652" s="1"/>
      <c r="F49652" s="1"/>
      <c r="G49652" s="1"/>
    </row>
    <row r="49653">
      <c r="B49653" s="36"/>
      <c r="C49653" s="36"/>
      <c r="E49653" s="1"/>
      <c r="F49653" s="1"/>
      <c r="G49653" s="1"/>
    </row>
    <row r="49654">
      <c r="B49654" s="36"/>
      <c r="C49654" s="36"/>
      <c r="E49654" s="1"/>
      <c r="F49654" s="1"/>
      <c r="G49654" s="1"/>
    </row>
    <row r="49655">
      <c r="B49655" s="36"/>
      <c r="C49655" s="36"/>
      <c r="E49655" s="1"/>
      <c r="F49655" s="1"/>
      <c r="G49655" s="1"/>
    </row>
    <row r="49656">
      <c r="B49656" s="36"/>
      <c r="C49656" s="36"/>
      <c r="E49656" s="1"/>
      <c r="F49656" s="1"/>
      <c r="G49656" s="1"/>
    </row>
    <row r="49657">
      <c r="B49657" s="36"/>
      <c r="C49657" s="36"/>
      <c r="E49657" s="1"/>
      <c r="F49657" s="1"/>
      <c r="G49657" s="1"/>
    </row>
    <row r="49658">
      <c r="B49658" s="36"/>
      <c r="C49658" s="36"/>
      <c r="E49658" s="1"/>
      <c r="F49658" s="1"/>
      <c r="G49658" s="1"/>
    </row>
    <row r="49659">
      <c r="B49659" s="36"/>
      <c r="C49659" s="36"/>
      <c r="E49659" s="1"/>
      <c r="F49659" s="1"/>
      <c r="G49659" s="1"/>
    </row>
    <row r="49660">
      <c r="B49660" s="36"/>
      <c r="C49660" s="36"/>
      <c r="E49660" s="1"/>
      <c r="F49660" s="1"/>
      <c r="G49660" s="1"/>
    </row>
    <row r="49661">
      <c r="B49661" s="36"/>
      <c r="C49661" s="36"/>
      <c r="E49661" s="1"/>
      <c r="F49661" s="1"/>
      <c r="G49661" s="1"/>
    </row>
    <row r="49662">
      <c r="B49662" s="36"/>
      <c r="C49662" s="36"/>
      <c r="E49662" s="1"/>
      <c r="F49662" s="1"/>
      <c r="G49662" s="1"/>
    </row>
    <row r="49663">
      <c r="B49663" s="36"/>
      <c r="C49663" s="36"/>
      <c r="E49663" s="1"/>
      <c r="F49663" s="1"/>
      <c r="G49663" s="1"/>
    </row>
    <row r="49664">
      <c r="B49664" s="36"/>
      <c r="C49664" s="36"/>
      <c r="E49664" s="1"/>
      <c r="F49664" s="1"/>
      <c r="G49664" s="1"/>
    </row>
    <row r="49665">
      <c r="B49665" s="36"/>
      <c r="C49665" s="36"/>
      <c r="E49665" s="1"/>
      <c r="F49665" s="1"/>
      <c r="G49665" s="1"/>
    </row>
    <row r="49666">
      <c r="B49666" s="36"/>
      <c r="C49666" s="36"/>
      <c r="E49666" s="1"/>
      <c r="F49666" s="1"/>
      <c r="G49666" s="1"/>
    </row>
    <row r="49667">
      <c r="B49667" s="36"/>
      <c r="C49667" s="36"/>
      <c r="E49667" s="1"/>
      <c r="F49667" s="1"/>
      <c r="G49667" s="1"/>
    </row>
    <row r="49668">
      <c r="B49668" s="36"/>
      <c r="C49668" s="36"/>
      <c r="E49668" s="1"/>
      <c r="F49668" s="1"/>
      <c r="G49668" s="1"/>
    </row>
    <row r="49669">
      <c r="B49669" s="36"/>
      <c r="C49669" s="36"/>
      <c r="E49669" s="1"/>
      <c r="F49669" s="1"/>
      <c r="G49669" s="1"/>
    </row>
    <row r="49670">
      <c r="B49670" s="36"/>
      <c r="C49670" s="36"/>
      <c r="E49670" s="1"/>
      <c r="F49670" s="1"/>
      <c r="G49670" s="1"/>
    </row>
    <row r="49671">
      <c r="B49671" s="36"/>
      <c r="C49671" s="36"/>
      <c r="E49671" s="1"/>
      <c r="F49671" s="1"/>
      <c r="G49671" s="1"/>
    </row>
    <row r="49672">
      <c r="B49672" s="36"/>
      <c r="C49672" s="36"/>
      <c r="E49672" s="1"/>
      <c r="F49672" s="1"/>
      <c r="G49672" s="1"/>
    </row>
    <row r="49673">
      <c r="B49673" s="36"/>
      <c r="C49673" s="36"/>
      <c r="E49673" s="1"/>
      <c r="F49673" s="1"/>
      <c r="G49673" s="1"/>
    </row>
    <row r="49674">
      <c r="B49674" s="36"/>
      <c r="C49674" s="36"/>
      <c r="E49674" s="1"/>
      <c r="F49674" s="1"/>
      <c r="G49674" s="1"/>
    </row>
    <row r="49675">
      <c r="B49675" s="36"/>
      <c r="C49675" s="36"/>
      <c r="E49675" s="1"/>
      <c r="F49675" s="1"/>
      <c r="G49675" s="1"/>
    </row>
    <row r="49676">
      <c r="B49676" s="36"/>
      <c r="C49676" s="36"/>
      <c r="E49676" s="1"/>
      <c r="F49676" s="1"/>
      <c r="G49676" s="1"/>
    </row>
    <row r="49677">
      <c r="B49677" s="36"/>
      <c r="C49677" s="36"/>
      <c r="E49677" s="1"/>
      <c r="F49677" s="1"/>
      <c r="G49677" s="1"/>
    </row>
    <row r="49678">
      <c r="B49678" s="36"/>
      <c r="C49678" s="36"/>
      <c r="E49678" s="1"/>
      <c r="F49678" s="1"/>
      <c r="G49678" s="1"/>
    </row>
    <row r="49679">
      <c r="B49679" s="36"/>
      <c r="C49679" s="36"/>
      <c r="E49679" s="1"/>
      <c r="F49679" s="1"/>
      <c r="G49679" s="1"/>
    </row>
    <row r="49680">
      <c r="B49680" s="36"/>
      <c r="C49680" s="36"/>
      <c r="E49680" s="1"/>
      <c r="F49680" s="1"/>
      <c r="G49680" s="1"/>
    </row>
    <row r="49681">
      <c r="B49681" s="36"/>
      <c r="C49681" s="36"/>
      <c r="E49681" s="1"/>
      <c r="F49681" s="1"/>
      <c r="G49681" s="1"/>
    </row>
    <row r="49682">
      <c r="B49682" s="36"/>
      <c r="C49682" s="36"/>
      <c r="E49682" s="1"/>
      <c r="F49682" s="1"/>
      <c r="G49682" s="1"/>
    </row>
    <row r="49683">
      <c r="B49683" s="36"/>
      <c r="C49683" s="36"/>
      <c r="E49683" s="1"/>
      <c r="F49683" s="1"/>
      <c r="G49683" s="1"/>
    </row>
    <row r="49684">
      <c r="B49684" s="36"/>
      <c r="C49684" s="36"/>
      <c r="E49684" s="1"/>
      <c r="F49684" s="1"/>
      <c r="G49684" s="1"/>
    </row>
    <row r="49685">
      <c r="B49685" s="36"/>
      <c r="C49685" s="36"/>
      <c r="E49685" s="1"/>
      <c r="F49685" s="1"/>
      <c r="G49685" s="1"/>
    </row>
    <row r="49686">
      <c r="B49686" s="36"/>
      <c r="C49686" s="36"/>
      <c r="E49686" s="1"/>
      <c r="F49686" s="1"/>
      <c r="G49686" s="1"/>
    </row>
    <row r="49687">
      <c r="B49687" s="36"/>
      <c r="C49687" s="36"/>
      <c r="E49687" s="1"/>
      <c r="F49687" s="1"/>
      <c r="G49687" s="1"/>
    </row>
    <row r="49688">
      <c r="B49688" s="36"/>
      <c r="C49688" s="36"/>
      <c r="E49688" s="1"/>
      <c r="F49688" s="1"/>
      <c r="G49688" s="1"/>
    </row>
    <row r="49689">
      <c r="B49689" s="36"/>
      <c r="C49689" s="36"/>
      <c r="E49689" s="1"/>
      <c r="F49689" s="1"/>
      <c r="G49689" s="1"/>
    </row>
    <row r="49690">
      <c r="B49690" s="36"/>
      <c r="C49690" s="36"/>
      <c r="E49690" s="1"/>
      <c r="F49690" s="1"/>
      <c r="G49690" s="1"/>
    </row>
    <row r="49691">
      <c r="B49691" s="36"/>
      <c r="C49691" s="36"/>
      <c r="E49691" s="1"/>
      <c r="F49691" s="1"/>
      <c r="G49691" s="1"/>
    </row>
    <row r="49692">
      <c r="B49692" s="36"/>
      <c r="C49692" s="36"/>
      <c r="E49692" s="1"/>
      <c r="F49692" s="1"/>
      <c r="G49692" s="1"/>
    </row>
    <row r="49693">
      <c r="B49693" s="36"/>
      <c r="C49693" s="36"/>
      <c r="E49693" s="1"/>
      <c r="F49693" s="1"/>
      <c r="G49693" s="1"/>
    </row>
    <row r="49694">
      <c r="B49694" s="36"/>
      <c r="C49694" s="36"/>
      <c r="E49694" s="1"/>
      <c r="F49694" s="1"/>
      <c r="G49694" s="1"/>
    </row>
    <row r="49695">
      <c r="B49695" s="36"/>
      <c r="C49695" s="36"/>
      <c r="E49695" s="1"/>
      <c r="F49695" s="1"/>
      <c r="G49695" s="1"/>
    </row>
    <row r="49696">
      <c r="B49696" s="36"/>
      <c r="C49696" s="36"/>
      <c r="E49696" s="1"/>
      <c r="F49696" s="1"/>
      <c r="G49696" s="1"/>
    </row>
    <row r="49697">
      <c r="B49697" s="36"/>
      <c r="C49697" s="36"/>
      <c r="E49697" s="1"/>
      <c r="F49697" s="1"/>
      <c r="G49697" s="1"/>
    </row>
    <row r="49698">
      <c r="B49698" s="36"/>
      <c r="C49698" s="36"/>
      <c r="E49698" s="1"/>
      <c r="F49698" s="1"/>
      <c r="G49698" s="1"/>
    </row>
    <row r="49699">
      <c r="B49699" s="36"/>
      <c r="C49699" s="36"/>
      <c r="E49699" s="1"/>
      <c r="F49699" s="1"/>
      <c r="G49699" s="1"/>
    </row>
    <row r="49700">
      <c r="B49700" s="36"/>
      <c r="C49700" s="36"/>
      <c r="E49700" s="1"/>
      <c r="F49700" s="1"/>
      <c r="G49700" s="1"/>
    </row>
    <row r="49701">
      <c r="B49701" s="36"/>
      <c r="C49701" s="36"/>
      <c r="E49701" s="1"/>
      <c r="F49701" s="1"/>
      <c r="G49701" s="1"/>
    </row>
    <row r="49702">
      <c r="B49702" s="36"/>
      <c r="C49702" s="36"/>
      <c r="E49702" s="1"/>
      <c r="F49702" s="1"/>
      <c r="G49702" s="1"/>
    </row>
    <row r="49703">
      <c r="B49703" s="36"/>
      <c r="C49703" s="36"/>
      <c r="E49703" s="1"/>
      <c r="F49703" s="1"/>
      <c r="G49703" s="1"/>
    </row>
    <row r="49704">
      <c r="B49704" s="36"/>
      <c r="C49704" s="36"/>
      <c r="E49704" s="1"/>
      <c r="F49704" s="1"/>
      <c r="G49704" s="1"/>
    </row>
    <row r="49705">
      <c r="B49705" s="36"/>
      <c r="C49705" s="36"/>
      <c r="E49705" s="1"/>
      <c r="F49705" s="1"/>
      <c r="G49705" s="1"/>
    </row>
    <row r="49706">
      <c r="B49706" s="36"/>
      <c r="C49706" s="36"/>
      <c r="E49706" s="1"/>
      <c r="F49706" s="1"/>
      <c r="G49706" s="1"/>
    </row>
    <row r="49707">
      <c r="B49707" s="36"/>
      <c r="C49707" s="36"/>
      <c r="E49707" s="1"/>
      <c r="F49707" s="1"/>
      <c r="G49707" s="1"/>
    </row>
    <row r="49708">
      <c r="B49708" s="36"/>
      <c r="C49708" s="36"/>
      <c r="E49708" s="1"/>
      <c r="F49708" s="1"/>
      <c r="G49708" s="1"/>
    </row>
    <row r="49709">
      <c r="B49709" s="36"/>
      <c r="C49709" s="36"/>
      <c r="E49709" s="1"/>
      <c r="F49709" s="1"/>
      <c r="G49709" s="1"/>
    </row>
    <row r="49710">
      <c r="B49710" s="36"/>
      <c r="C49710" s="36"/>
      <c r="E49710" s="1"/>
      <c r="F49710" s="1"/>
      <c r="G49710" s="1"/>
    </row>
    <row r="49711">
      <c r="B49711" s="36"/>
      <c r="C49711" s="36"/>
      <c r="E49711" s="1"/>
      <c r="F49711" s="1"/>
      <c r="G49711" s="1"/>
    </row>
    <row r="49712">
      <c r="B49712" s="36"/>
      <c r="C49712" s="36"/>
      <c r="E49712" s="1"/>
      <c r="F49712" s="1"/>
      <c r="G49712" s="1"/>
    </row>
    <row r="49713">
      <c r="B49713" s="36"/>
      <c r="C49713" s="36"/>
      <c r="E49713" s="1"/>
      <c r="F49713" s="1"/>
      <c r="G49713" s="1"/>
    </row>
    <row r="49714">
      <c r="B49714" s="36"/>
      <c r="C49714" s="36"/>
      <c r="E49714" s="1"/>
      <c r="F49714" s="1"/>
      <c r="G49714" s="1"/>
    </row>
    <row r="49715">
      <c r="B49715" s="36"/>
      <c r="C49715" s="36"/>
      <c r="E49715" s="1"/>
      <c r="F49715" s="1"/>
      <c r="G49715" s="1"/>
    </row>
    <row r="49716">
      <c r="B49716" s="36"/>
      <c r="C49716" s="36"/>
      <c r="E49716" s="1"/>
      <c r="F49716" s="1"/>
      <c r="G49716" s="1"/>
    </row>
    <row r="49717">
      <c r="B49717" s="36"/>
      <c r="C49717" s="36"/>
      <c r="E49717" s="1"/>
      <c r="F49717" s="1"/>
      <c r="G49717" s="1"/>
    </row>
    <row r="49718">
      <c r="B49718" s="36"/>
      <c r="C49718" s="36"/>
      <c r="E49718" s="1"/>
      <c r="F49718" s="1"/>
      <c r="G49718" s="1"/>
    </row>
    <row r="49719">
      <c r="B49719" s="36"/>
      <c r="C49719" s="36"/>
      <c r="E49719" s="1"/>
      <c r="F49719" s="1"/>
      <c r="G49719" s="1"/>
    </row>
    <row r="49720">
      <c r="B49720" s="36"/>
      <c r="C49720" s="36"/>
      <c r="E49720" s="1"/>
      <c r="F49720" s="1"/>
      <c r="G49720" s="1"/>
    </row>
    <row r="49721">
      <c r="B49721" s="36"/>
      <c r="C49721" s="36"/>
      <c r="E49721" s="1"/>
      <c r="F49721" s="1"/>
      <c r="G49721" s="1"/>
    </row>
    <row r="49722">
      <c r="B49722" s="36"/>
      <c r="C49722" s="36"/>
      <c r="E49722" s="1"/>
      <c r="F49722" s="1"/>
      <c r="G49722" s="1"/>
    </row>
    <row r="49723">
      <c r="B49723" s="36"/>
      <c r="C49723" s="36"/>
      <c r="E49723" s="1"/>
      <c r="F49723" s="1"/>
      <c r="G49723" s="1"/>
    </row>
    <row r="49724">
      <c r="B49724" s="36"/>
      <c r="C49724" s="36"/>
      <c r="E49724" s="1"/>
      <c r="F49724" s="1"/>
      <c r="G49724" s="1"/>
    </row>
    <row r="49725">
      <c r="B49725" s="36"/>
      <c r="C49725" s="36"/>
      <c r="E49725" s="1"/>
      <c r="F49725" s="1"/>
      <c r="G49725" s="1"/>
    </row>
    <row r="49726">
      <c r="B49726" s="36"/>
      <c r="C49726" s="36"/>
      <c r="E49726" s="1"/>
      <c r="F49726" s="1"/>
      <c r="G49726" s="1"/>
    </row>
    <row r="49727">
      <c r="B49727" s="36"/>
      <c r="C49727" s="36"/>
      <c r="E49727" s="1"/>
      <c r="F49727" s="1"/>
      <c r="G49727" s="1"/>
    </row>
    <row r="49728">
      <c r="B49728" s="36"/>
      <c r="C49728" s="36"/>
      <c r="E49728" s="1"/>
      <c r="F49728" s="1"/>
      <c r="G49728" s="1"/>
    </row>
    <row r="49729">
      <c r="B49729" s="36"/>
      <c r="C49729" s="36"/>
      <c r="E49729" s="1"/>
      <c r="F49729" s="1"/>
      <c r="G49729" s="1"/>
    </row>
    <row r="49730">
      <c r="B49730" s="36"/>
      <c r="C49730" s="36"/>
      <c r="E49730" s="1"/>
      <c r="F49730" s="1"/>
      <c r="G49730" s="1"/>
    </row>
    <row r="49731">
      <c r="B49731" s="36"/>
      <c r="C49731" s="36"/>
      <c r="E49731" s="1"/>
      <c r="F49731" s="1"/>
      <c r="G49731" s="1"/>
    </row>
    <row r="49732">
      <c r="B49732" s="36"/>
      <c r="C49732" s="36"/>
      <c r="E49732" s="1"/>
      <c r="F49732" s="1"/>
      <c r="G49732" s="1"/>
    </row>
    <row r="49733">
      <c r="B49733" s="36"/>
      <c r="C49733" s="36"/>
      <c r="E49733" s="1"/>
      <c r="F49733" s="1"/>
      <c r="G49733" s="1"/>
    </row>
    <row r="49734">
      <c r="B49734" s="36"/>
      <c r="C49734" s="36"/>
      <c r="E49734" s="1"/>
      <c r="F49734" s="1"/>
      <c r="G49734" s="1"/>
    </row>
    <row r="49735">
      <c r="B49735" s="36"/>
      <c r="C49735" s="36"/>
      <c r="E49735" s="1"/>
      <c r="F49735" s="1"/>
      <c r="G49735" s="1"/>
    </row>
    <row r="49736">
      <c r="B49736" s="36"/>
      <c r="C49736" s="36"/>
      <c r="E49736" s="1"/>
      <c r="F49736" s="1"/>
      <c r="G49736" s="1"/>
    </row>
    <row r="49737">
      <c r="B49737" s="36"/>
      <c r="C49737" s="36"/>
      <c r="E49737" s="1"/>
      <c r="F49737" s="1"/>
      <c r="G49737" s="1"/>
    </row>
    <row r="49738">
      <c r="B49738" s="36"/>
      <c r="C49738" s="36"/>
      <c r="E49738" s="1"/>
      <c r="F49738" s="1"/>
      <c r="G49738" s="1"/>
    </row>
    <row r="49739">
      <c r="B49739" s="36"/>
      <c r="C49739" s="36"/>
      <c r="E49739" s="1"/>
      <c r="F49739" s="1"/>
      <c r="G49739" s="1"/>
    </row>
    <row r="49740">
      <c r="B49740" s="36"/>
      <c r="C49740" s="36"/>
      <c r="E49740" s="1"/>
      <c r="F49740" s="1"/>
      <c r="G49740" s="1"/>
    </row>
    <row r="49741">
      <c r="B49741" s="36"/>
      <c r="C49741" s="36"/>
      <c r="E49741" s="1"/>
      <c r="F49741" s="1"/>
      <c r="G49741" s="1"/>
    </row>
    <row r="49742">
      <c r="B49742" s="36"/>
      <c r="C49742" s="36"/>
      <c r="E49742" s="1"/>
      <c r="F49742" s="1"/>
      <c r="G49742" s="1"/>
    </row>
    <row r="49743">
      <c r="B49743" s="36"/>
      <c r="C49743" s="36"/>
      <c r="E49743" s="1"/>
      <c r="F49743" s="1"/>
      <c r="G49743" s="1"/>
    </row>
    <row r="49744">
      <c r="B49744" s="36"/>
      <c r="C49744" s="36"/>
      <c r="E49744" s="1"/>
      <c r="F49744" s="1"/>
      <c r="G49744" s="1"/>
    </row>
    <row r="49745">
      <c r="B49745" s="36"/>
      <c r="C49745" s="36"/>
      <c r="E49745" s="1"/>
      <c r="F49745" s="1"/>
      <c r="G49745" s="1"/>
    </row>
    <row r="49746">
      <c r="B49746" s="36"/>
      <c r="C49746" s="36"/>
      <c r="E49746" s="1"/>
      <c r="F49746" s="1"/>
      <c r="G49746" s="1"/>
    </row>
    <row r="49747">
      <c r="B49747" s="36"/>
      <c r="C49747" s="36"/>
      <c r="E49747" s="1"/>
      <c r="F49747" s="1"/>
      <c r="G49747" s="1"/>
    </row>
    <row r="49748">
      <c r="B49748" s="36"/>
      <c r="C49748" s="36"/>
      <c r="E49748" s="1"/>
      <c r="F49748" s="1"/>
      <c r="G49748" s="1"/>
    </row>
    <row r="49749">
      <c r="B49749" s="36"/>
      <c r="C49749" s="36"/>
      <c r="E49749" s="1"/>
      <c r="F49749" s="1"/>
      <c r="G49749" s="1"/>
    </row>
    <row r="49750">
      <c r="B49750" s="36"/>
      <c r="C49750" s="36"/>
      <c r="E49750" s="1"/>
      <c r="F49750" s="1"/>
      <c r="G49750" s="1"/>
    </row>
    <row r="49751">
      <c r="B49751" s="36"/>
      <c r="C49751" s="36"/>
      <c r="E49751" s="1"/>
      <c r="F49751" s="1"/>
      <c r="G49751" s="1"/>
    </row>
    <row r="49752">
      <c r="B49752" s="36"/>
      <c r="C49752" s="36"/>
      <c r="E49752" s="1"/>
      <c r="F49752" s="1"/>
      <c r="G49752" s="1"/>
    </row>
    <row r="49753">
      <c r="B49753" s="36"/>
      <c r="C49753" s="36"/>
      <c r="E49753" s="1"/>
      <c r="F49753" s="1"/>
      <c r="G49753" s="1"/>
    </row>
    <row r="49754">
      <c r="B49754" s="36"/>
      <c r="C49754" s="36"/>
      <c r="E49754" s="1"/>
      <c r="F49754" s="1"/>
      <c r="G49754" s="1"/>
    </row>
    <row r="49755">
      <c r="B49755" s="36"/>
      <c r="C49755" s="36"/>
      <c r="E49755" s="1"/>
      <c r="F49755" s="1"/>
      <c r="G49755" s="1"/>
    </row>
    <row r="49756">
      <c r="B49756" s="36"/>
      <c r="C49756" s="36"/>
      <c r="E49756" s="1"/>
      <c r="F49756" s="1"/>
      <c r="G49756" s="1"/>
    </row>
    <row r="49757">
      <c r="B49757" s="36"/>
      <c r="C49757" s="36"/>
      <c r="E49757" s="1"/>
      <c r="F49757" s="1"/>
      <c r="G49757" s="1"/>
    </row>
    <row r="49758">
      <c r="B49758" s="36"/>
      <c r="C49758" s="36"/>
      <c r="E49758" s="1"/>
      <c r="F49758" s="1"/>
      <c r="G49758" s="1"/>
    </row>
    <row r="49759">
      <c r="B49759" s="36"/>
      <c r="C49759" s="36"/>
      <c r="E49759" s="1"/>
      <c r="F49759" s="1"/>
      <c r="G49759" s="1"/>
    </row>
    <row r="49760">
      <c r="B49760" s="36"/>
      <c r="C49760" s="36"/>
      <c r="E49760" s="1"/>
      <c r="F49760" s="1"/>
      <c r="G49760" s="1"/>
    </row>
    <row r="49761">
      <c r="B49761" s="36"/>
      <c r="C49761" s="36"/>
      <c r="E49761" s="1"/>
      <c r="F49761" s="1"/>
      <c r="G49761" s="1"/>
    </row>
    <row r="49762">
      <c r="B49762" s="36"/>
      <c r="C49762" s="36"/>
      <c r="E49762" s="1"/>
      <c r="F49762" s="1"/>
      <c r="G49762" s="1"/>
    </row>
    <row r="49763">
      <c r="B49763" s="36"/>
      <c r="C49763" s="36"/>
      <c r="E49763" s="1"/>
      <c r="F49763" s="1"/>
      <c r="G49763" s="1"/>
    </row>
    <row r="49764">
      <c r="B49764" s="36"/>
      <c r="C49764" s="36"/>
      <c r="E49764" s="1"/>
      <c r="F49764" s="1"/>
      <c r="G49764" s="1"/>
    </row>
    <row r="49765">
      <c r="B49765" s="36"/>
      <c r="C49765" s="36"/>
      <c r="E49765" s="1"/>
      <c r="F49765" s="1"/>
      <c r="G49765" s="1"/>
    </row>
    <row r="49766">
      <c r="B49766" s="36"/>
      <c r="C49766" s="36"/>
      <c r="E49766" s="1"/>
      <c r="F49766" s="1"/>
      <c r="G49766" s="1"/>
    </row>
    <row r="49767">
      <c r="B49767" s="36"/>
      <c r="C49767" s="36"/>
      <c r="E49767" s="1"/>
      <c r="F49767" s="1"/>
      <c r="G49767" s="1"/>
    </row>
    <row r="49768">
      <c r="B49768" s="36"/>
      <c r="C49768" s="36"/>
      <c r="E49768" s="1"/>
      <c r="F49768" s="1"/>
      <c r="G49768" s="1"/>
    </row>
    <row r="49769">
      <c r="B49769" s="36"/>
      <c r="C49769" s="36"/>
      <c r="E49769" s="1"/>
      <c r="F49769" s="1"/>
      <c r="G49769" s="1"/>
    </row>
    <row r="49770">
      <c r="B49770" s="36"/>
      <c r="C49770" s="36"/>
      <c r="E49770" s="1"/>
      <c r="F49770" s="1"/>
      <c r="G49770" s="1"/>
    </row>
    <row r="49771">
      <c r="B49771" s="36"/>
      <c r="C49771" s="36"/>
      <c r="E49771" s="1"/>
      <c r="F49771" s="1"/>
      <c r="G49771" s="1"/>
    </row>
    <row r="49772">
      <c r="B49772" s="36"/>
      <c r="C49772" s="36"/>
      <c r="E49772" s="1"/>
      <c r="F49772" s="1"/>
      <c r="G49772" s="1"/>
    </row>
    <row r="49773">
      <c r="B49773" s="36"/>
      <c r="C49773" s="36"/>
      <c r="E49773" s="1"/>
      <c r="F49773" s="1"/>
      <c r="G49773" s="1"/>
    </row>
    <row r="49774">
      <c r="B49774" s="36"/>
      <c r="C49774" s="36"/>
      <c r="E49774" s="1"/>
      <c r="F49774" s="1"/>
      <c r="G49774" s="1"/>
    </row>
    <row r="49775">
      <c r="B49775" s="36"/>
      <c r="C49775" s="36"/>
      <c r="E49775" s="1"/>
      <c r="F49775" s="1"/>
      <c r="G49775" s="1"/>
    </row>
    <row r="49776">
      <c r="B49776" s="36"/>
      <c r="C49776" s="36"/>
      <c r="E49776" s="1"/>
      <c r="F49776" s="1"/>
      <c r="G49776" s="1"/>
    </row>
    <row r="49777">
      <c r="B49777" s="36"/>
      <c r="C49777" s="36"/>
      <c r="E49777" s="1"/>
      <c r="F49777" s="1"/>
      <c r="G49777" s="1"/>
    </row>
    <row r="49778">
      <c r="B49778" s="36"/>
      <c r="C49778" s="36"/>
      <c r="E49778" s="1"/>
      <c r="F49778" s="1"/>
      <c r="G49778" s="1"/>
    </row>
    <row r="49779">
      <c r="B49779" s="36"/>
      <c r="C49779" s="36"/>
      <c r="E49779" s="1"/>
      <c r="F49779" s="1"/>
      <c r="G49779" s="1"/>
    </row>
    <row r="49780">
      <c r="B49780" s="36"/>
      <c r="C49780" s="36"/>
      <c r="E49780" s="1"/>
      <c r="F49780" s="1"/>
      <c r="G49780" s="1"/>
    </row>
    <row r="49781">
      <c r="B49781" s="36"/>
      <c r="C49781" s="36"/>
      <c r="E49781" s="1"/>
      <c r="F49781" s="1"/>
      <c r="G49781" s="1"/>
    </row>
    <row r="49782">
      <c r="B49782" s="36"/>
      <c r="C49782" s="36"/>
      <c r="E49782" s="1"/>
      <c r="F49782" s="1"/>
      <c r="G49782" s="1"/>
    </row>
    <row r="49783">
      <c r="B49783" s="36"/>
      <c r="C49783" s="36"/>
      <c r="E49783" s="1"/>
      <c r="F49783" s="1"/>
      <c r="G49783" s="1"/>
    </row>
    <row r="49784">
      <c r="B49784" s="36"/>
      <c r="C49784" s="36"/>
      <c r="E49784" s="1"/>
      <c r="F49784" s="1"/>
      <c r="G49784" s="1"/>
    </row>
    <row r="49785">
      <c r="B49785" s="36"/>
      <c r="C49785" s="36"/>
      <c r="E49785" s="1"/>
      <c r="F49785" s="1"/>
      <c r="G49785" s="1"/>
    </row>
    <row r="49786">
      <c r="B49786" s="36"/>
      <c r="C49786" s="36"/>
      <c r="E49786" s="1"/>
      <c r="F49786" s="1"/>
      <c r="G49786" s="1"/>
    </row>
    <row r="49787">
      <c r="B49787" s="36"/>
      <c r="C49787" s="36"/>
      <c r="E49787" s="1"/>
      <c r="F49787" s="1"/>
      <c r="G49787" s="1"/>
    </row>
    <row r="49788">
      <c r="B49788" s="36"/>
      <c r="C49788" s="36"/>
      <c r="E49788" s="1"/>
      <c r="F49788" s="1"/>
      <c r="G49788" s="1"/>
    </row>
    <row r="49789">
      <c r="B49789" s="36"/>
      <c r="C49789" s="36"/>
      <c r="E49789" s="1"/>
      <c r="F49789" s="1"/>
      <c r="G49789" s="1"/>
    </row>
    <row r="49790">
      <c r="B49790" s="36"/>
      <c r="C49790" s="36"/>
      <c r="E49790" s="1"/>
      <c r="F49790" s="1"/>
      <c r="G49790" s="1"/>
    </row>
    <row r="49791">
      <c r="B49791" s="36"/>
      <c r="C49791" s="36"/>
      <c r="E49791" s="1"/>
      <c r="F49791" s="1"/>
      <c r="G49791" s="1"/>
    </row>
    <row r="49792">
      <c r="B49792" s="36"/>
      <c r="C49792" s="36"/>
      <c r="E49792" s="1"/>
      <c r="F49792" s="1"/>
      <c r="G49792" s="1"/>
    </row>
    <row r="49793">
      <c r="B49793" s="36"/>
      <c r="C49793" s="36"/>
      <c r="E49793" s="1"/>
      <c r="F49793" s="1"/>
      <c r="G49793" s="1"/>
    </row>
    <row r="49794">
      <c r="B49794" s="36"/>
      <c r="C49794" s="36"/>
      <c r="E49794" s="1"/>
      <c r="F49794" s="1"/>
      <c r="G49794" s="1"/>
    </row>
    <row r="49795">
      <c r="B49795" s="36"/>
      <c r="C49795" s="36"/>
      <c r="E49795" s="1"/>
      <c r="F49795" s="1"/>
      <c r="G49795" s="1"/>
    </row>
    <row r="49796">
      <c r="B49796" s="36"/>
      <c r="C49796" s="36"/>
      <c r="E49796" s="1"/>
      <c r="F49796" s="1"/>
      <c r="G49796" s="1"/>
    </row>
    <row r="49797">
      <c r="B49797" s="36"/>
      <c r="C49797" s="36"/>
      <c r="E49797" s="1"/>
      <c r="F49797" s="1"/>
      <c r="G49797" s="1"/>
    </row>
    <row r="49798">
      <c r="B49798" s="36"/>
      <c r="C49798" s="36"/>
      <c r="E49798" s="1"/>
      <c r="F49798" s="1"/>
      <c r="G49798" s="1"/>
    </row>
    <row r="49799">
      <c r="B49799" s="36"/>
      <c r="C49799" s="36"/>
      <c r="E49799" s="1"/>
      <c r="F49799" s="1"/>
      <c r="G49799" s="1"/>
    </row>
    <row r="49800">
      <c r="B49800" s="36"/>
      <c r="C49800" s="36"/>
      <c r="E49800" s="1"/>
      <c r="F49800" s="1"/>
      <c r="G49800" s="1"/>
    </row>
    <row r="49801">
      <c r="B49801" s="36"/>
      <c r="C49801" s="36"/>
      <c r="E49801" s="1"/>
      <c r="F49801" s="1"/>
      <c r="G49801" s="1"/>
    </row>
    <row r="49802">
      <c r="B49802" s="36"/>
      <c r="C49802" s="36"/>
      <c r="E49802" s="1"/>
      <c r="F49802" s="1"/>
      <c r="G49802" s="1"/>
    </row>
    <row r="49803">
      <c r="B49803" s="36"/>
      <c r="C49803" s="36"/>
      <c r="E49803" s="1"/>
      <c r="F49803" s="1"/>
      <c r="G49803" s="1"/>
    </row>
    <row r="49804">
      <c r="B49804" s="36"/>
      <c r="C49804" s="36"/>
      <c r="E49804" s="1"/>
      <c r="F49804" s="1"/>
      <c r="G49804" s="1"/>
    </row>
    <row r="49805">
      <c r="B49805" s="36"/>
      <c r="C49805" s="36"/>
      <c r="E49805" s="1"/>
      <c r="F49805" s="1"/>
      <c r="G49805" s="1"/>
    </row>
    <row r="49806">
      <c r="B49806" s="36"/>
      <c r="C49806" s="36"/>
      <c r="E49806" s="1"/>
      <c r="F49806" s="1"/>
      <c r="G49806" s="1"/>
    </row>
    <row r="49807">
      <c r="B49807" s="36"/>
      <c r="C49807" s="36"/>
      <c r="E49807" s="1"/>
      <c r="F49807" s="1"/>
      <c r="G49807" s="1"/>
    </row>
    <row r="49808">
      <c r="B49808" s="36"/>
      <c r="C49808" s="36"/>
      <c r="E49808" s="1"/>
      <c r="F49808" s="1"/>
      <c r="G49808" s="1"/>
    </row>
    <row r="49809">
      <c r="B49809" s="36"/>
      <c r="C49809" s="36"/>
      <c r="E49809" s="1"/>
      <c r="F49809" s="1"/>
      <c r="G49809" s="1"/>
    </row>
    <row r="49810">
      <c r="B49810" s="36"/>
      <c r="C49810" s="36"/>
      <c r="E49810" s="1"/>
      <c r="F49810" s="1"/>
      <c r="G49810" s="1"/>
    </row>
    <row r="49811">
      <c r="B49811" s="36"/>
      <c r="C49811" s="36"/>
      <c r="E49811" s="1"/>
      <c r="F49811" s="1"/>
      <c r="G49811" s="1"/>
    </row>
    <row r="49812">
      <c r="B49812" s="36"/>
      <c r="C49812" s="36"/>
      <c r="E49812" s="1"/>
      <c r="F49812" s="1"/>
      <c r="G49812" s="1"/>
    </row>
    <row r="49813">
      <c r="B49813" s="36"/>
      <c r="C49813" s="36"/>
      <c r="E49813" s="1"/>
      <c r="F49813" s="1"/>
      <c r="G49813" s="1"/>
    </row>
    <row r="49814">
      <c r="B49814" s="36"/>
      <c r="C49814" s="36"/>
      <c r="E49814" s="1"/>
      <c r="F49814" s="1"/>
      <c r="G49814" s="1"/>
    </row>
    <row r="49815">
      <c r="B49815" s="36"/>
      <c r="C49815" s="36"/>
      <c r="E49815" s="1"/>
      <c r="F49815" s="1"/>
      <c r="G49815" s="1"/>
    </row>
    <row r="49816">
      <c r="B49816" s="36"/>
      <c r="C49816" s="36"/>
      <c r="E49816" s="1"/>
      <c r="F49816" s="1"/>
      <c r="G49816" s="1"/>
    </row>
    <row r="49817">
      <c r="B49817" s="36"/>
      <c r="C49817" s="36"/>
      <c r="E49817" s="1"/>
      <c r="F49817" s="1"/>
      <c r="G49817" s="1"/>
    </row>
    <row r="49818">
      <c r="B49818" s="36"/>
      <c r="C49818" s="36"/>
      <c r="E49818" s="1"/>
      <c r="F49818" s="1"/>
      <c r="G49818" s="1"/>
    </row>
    <row r="49819">
      <c r="B49819" s="36"/>
      <c r="C49819" s="36"/>
      <c r="E49819" s="1"/>
      <c r="F49819" s="1"/>
      <c r="G49819" s="1"/>
    </row>
    <row r="49820">
      <c r="B49820" s="36"/>
      <c r="C49820" s="36"/>
      <c r="E49820" s="1"/>
      <c r="F49820" s="1"/>
      <c r="G49820" s="1"/>
    </row>
    <row r="49821">
      <c r="B49821" s="36"/>
      <c r="C49821" s="36"/>
      <c r="E49821" s="1"/>
      <c r="F49821" s="1"/>
      <c r="G49821" s="1"/>
    </row>
    <row r="49822">
      <c r="B49822" s="36"/>
      <c r="C49822" s="36"/>
      <c r="E49822" s="1"/>
      <c r="F49822" s="1"/>
      <c r="G49822" s="1"/>
    </row>
    <row r="49823">
      <c r="B49823" s="36"/>
      <c r="C49823" s="36"/>
      <c r="E49823" s="1"/>
      <c r="F49823" s="1"/>
      <c r="G49823" s="1"/>
    </row>
    <row r="49824">
      <c r="B49824" s="36"/>
      <c r="C49824" s="36"/>
      <c r="E49824" s="1"/>
      <c r="F49824" s="1"/>
      <c r="G49824" s="1"/>
    </row>
    <row r="49825">
      <c r="B49825" s="36"/>
      <c r="C49825" s="36"/>
      <c r="E49825" s="1"/>
      <c r="F49825" s="1"/>
      <c r="G49825" s="1"/>
    </row>
    <row r="49826">
      <c r="B49826" s="36"/>
      <c r="C49826" s="36"/>
      <c r="E49826" s="1"/>
      <c r="F49826" s="1"/>
      <c r="G49826" s="1"/>
    </row>
    <row r="49827">
      <c r="B49827" s="36"/>
      <c r="C49827" s="36"/>
      <c r="E49827" s="1"/>
      <c r="F49827" s="1"/>
      <c r="G49827" s="1"/>
    </row>
    <row r="49828">
      <c r="B49828" s="36"/>
      <c r="C49828" s="36"/>
      <c r="E49828" s="1"/>
      <c r="F49828" s="1"/>
      <c r="G49828" s="1"/>
    </row>
    <row r="49829">
      <c r="B49829" s="36"/>
      <c r="C49829" s="36"/>
      <c r="E49829" s="1"/>
      <c r="F49829" s="1"/>
      <c r="G49829" s="1"/>
    </row>
    <row r="49830">
      <c r="B49830" s="36"/>
      <c r="C49830" s="36"/>
      <c r="E49830" s="1"/>
      <c r="F49830" s="1"/>
      <c r="G49830" s="1"/>
    </row>
    <row r="49831">
      <c r="B49831" s="36"/>
      <c r="C49831" s="36"/>
      <c r="E49831" s="1"/>
      <c r="F49831" s="1"/>
      <c r="G49831" s="1"/>
    </row>
    <row r="49832">
      <c r="B49832" s="36"/>
      <c r="C49832" s="36"/>
      <c r="E49832" s="1"/>
      <c r="F49832" s="1"/>
      <c r="G49832" s="1"/>
    </row>
    <row r="49833">
      <c r="B49833" s="36"/>
      <c r="C49833" s="36"/>
      <c r="E49833" s="1"/>
      <c r="F49833" s="1"/>
      <c r="G49833" s="1"/>
    </row>
    <row r="49834">
      <c r="B49834" s="36"/>
      <c r="C49834" s="36"/>
      <c r="E49834" s="1"/>
      <c r="F49834" s="1"/>
      <c r="G49834" s="1"/>
    </row>
    <row r="49835">
      <c r="B49835" s="36"/>
      <c r="C49835" s="36"/>
      <c r="E49835" s="1"/>
      <c r="F49835" s="1"/>
      <c r="G49835" s="1"/>
    </row>
    <row r="49836">
      <c r="B49836" s="36"/>
      <c r="C49836" s="36"/>
      <c r="E49836" s="1"/>
      <c r="F49836" s="1"/>
      <c r="G49836" s="1"/>
    </row>
    <row r="49837">
      <c r="B49837" s="36"/>
      <c r="C49837" s="36"/>
      <c r="E49837" s="1"/>
      <c r="F49837" s="1"/>
      <c r="G49837" s="1"/>
    </row>
    <row r="49838">
      <c r="B49838" s="36"/>
      <c r="C49838" s="36"/>
      <c r="E49838" s="1"/>
      <c r="F49838" s="1"/>
      <c r="G49838" s="1"/>
    </row>
    <row r="49839">
      <c r="B49839" s="36"/>
      <c r="C49839" s="36"/>
      <c r="E49839" s="1"/>
      <c r="F49839" s="1"/>
      <c r="G49839" s="1"/>
    </row>
    <row r="49840">
      <c r="B49840" s="36"/>
      <c r="C49840" s="36"/>
      <c r="E49840" s="1"/>
      <c r="F49840" s="1"/>
      <c r="G49840" s="1"/>
    </row>
    <row r="49841">
      <c r="B49841" s="36"/>
      <c r="C49841" s="36"/>
      <c r="E49841" s="1"/>
      <c r="F49841" s="1"/>
      <c r="G49841" s="1"/>
    </row>
    <row r="49842">
      <c r="B49842" s="36"/>
      <c r="C49842" s="36"/>
      <c r="E49842" s="1"/>
      <c r="F49842" s="1"/>
      <c r="G49842" s="1"/>
    </row>
    <row r="49843">
      <c r="B49843" s="36"/>
      <c r="C49843" s="36"/>
      <c r="E49843" s="1"/>
      <c r="F49843" s="1"/>
      <c r="G49843" s="1"/>
    </row>
    <row r="49844">
      <c r="B49844" s="36"/>
      <c r="C49844" s="36"/>
      <c r="E49844" s="1"/>
      <c r="F49844" s="1"/>
      <c r="G49844" s="1"/>
    </row>
    <row r="49845">
      <c r="B49845" s="36"/>
      <c r="C49845" s="36"/>
      <c r="E49845" s="1"/>
      <c r="F49845" s="1"/>
      <c r="G49845" s="1"/>
    </row>
    <row r="49846">
      <c r="B49846" s="36"/>
      <c r="C49846" s="36"/>
      <c r="E49846" s="1"/>
      <c r="F49846" s="1"/>
      <c r="G49846" s="1"/>
    </row>
    <row r="49847">
      <c r="B49847" s="36"/>
      <c r="C49847" s="36"/>
      <c r="E49847" s="1"/>
      <c r="F49847" s="1"/>
      <c r="G49847" s="1"/>
    </row>
    <row r="49848">
      <c r="B49848" s="36"/>
      <c r="C49848" s="36"/>
      <c r="E49848" s="1"/>
      <c r="F49848" s="1"/>
      <c r="G49848" s="1"/>
    </row>
    <row r="49849">
      <c r="B49849" s="36"/>
      <c r="C49849" s="36"/>
      <c r="E49849" s="1"/>
      <c r="F49849" s="1"/>
      <c r="G49849" s="1"/>
    </row>
    <row r="49850">
      <c r="B49850" s="36"/>
      <c r="C49850" s="36"/>
      <c r="E49850" s="1"/>
      <c r="F49850" s="1"/>
      <c r="G49850" s="1"/>
    </row>
    <row r="49851">
      <c r="B49851" s="36"/>
      <c r="C49851" s="36"/>
      <c r="E49851" s="1"/>
      <c r="F49851" s="1"/>
      <c r="G49851" s="1"/>
    </row>
    <row r="49852">
      <c r="B49852" s="36"/>
      <c r="C49852" s="36"/>
      <c r="E49852" s="1"/>
      <c r="F49852" s="1"/>
      <c r="G49852" s="1"/>
    </row>
    <row r="49853">
      <c r="B49853" s="36"/>
      <c r="C49853" s="36"/>
      <c r="E49853" s="1"/>
      <c r="F49853" s="1"/>
      <c r="G49853" s="1"/>
    </row>
    <row r="49854">
      <c r="B49854" s="36"/>
      <c r="C49854" s="36"/>
      <c r="E49854" s="1"/>
      <c r="F49854" s="1"/>
      <c r="G49854" s="1"/>
    </row>
    <row r="49855">
      <c r="B49855" s="36"/>
      <c r="C49855" s="36"/>
      <c r="E49855" s="1"/>
      <c r="F49855" s="1"/>
      <c r="G49855" s="1"/>
    </row>
    <row r="49856">
      <c r="B49856" s="36"/>
      <c r="C49856" s="36"/>
      <c r="E49856" s="1"/>
      <c r="F49856" s="1"/>
      <c r="G49856" s="1"/>
    </row>
    <row r="49857">
      <c r="B49857" s="36"/>
      <c r="C49857" s="36"/>
      <c r="E49857" s="1"/>
      <c r="F49857" s="1"/>
      <c r="G49857" s="1"/>
    </row>
    <row r="49858">
      <c r="B49858" s="36"/>
      <c r="C49858" s="36"/>
      <c r="E49858" s="1"/>
      <c r="F49858" s="1"/>
      <c r="G49858" s="1"/>
    </row>
    <row r="49859">
      <c r="B49859" s="36"/>
      <c r="C49859" s="36"/>
      <c r="E49859" s="1"/>
      <c r="F49859" s="1"/>
      <c r="G49859" s="1"/>
    </row>
    <row r="49860">
      <c r="B49860" s="36"/>
      <c r="C49860" s="36"/>
      <c r="E49860" s="1"/>
      <c r="F49860" s="1"/>
      <c r="G49860" s="1"/>
    </row>
    <row r="49861">
      <c r="B49861" s="36"/>
      <c r="C49861" s="36"/>
      <c r="E49861" s="1"/>
      <c r="F49861" s="1"/>
      <c r="G49861" s="1"/>
    </row>
    <row r="49862">
      <c r="B49862" s="36"/>
      <c r="C49862" s="36"/>
      <c r="E49862" s="1"/>
      <c r="F49862" s="1"/>
      <c r="G49862" s="1"/>
    </row>
    <row r="49863">
      <c r="B49863" s="36"/>
      <c r="C49863" s="36"/>
      <c r="E49863" s="1"/>
      <c r="F49863" s="1"/>
      <c r="G49863" s="1"/>
    </row>
    <row r="49864">
      <c r="B49864" s="36"/>
      <c r="C49864" s="36"/>
      <c r="E49864" s="1"/>
      <c r="F49864" s="1"/>
      <c r="G49864" s="1"/>
    </row>
    <row r="49865">
      <c r="B49865" s="36"/>
      <c r="C49865" s="36"/>
      <c r="E49865" s="1"/>
      <c r="F49865" s="1"/>
      <c r="G49865" s="1"/>
    </row>
    <row r="49866">
      <c r="B49866" s="36"/>
      <c r="C49866" s="36"/>
      <c r="E49866" s="1"/>
      <c r="F49866" s="1"/>
      <c r="G49866" s="1"/>
    </row>
    <row r="49867">
      <c r="B49867" s="36"/>
      <c r="C49867" s="36"/>
      <c r="E49867" s="1"/>
      <c r="F49867" s="1"/>
      <c r="G49867" s="1"/>
    </row>
    <row r="49868">
      <c r="B49868" s="36"/>
      <c r="C49868" s="36"/>
      <c r="E49868" s="1"/>
      <c r="F49868" s="1"/>
      <c r="G49868" s="1"/>
    </row>
    <row r="49869">
      <c r="B49869" s="36"/>
      <c r="C49869" s="36"/>
      <c r="E49869" s="1"/>
      <c r="F49869" s="1"/>
      <c r="G49869" s="1"/>
    </row>
    <row r="49870">
      <c r="B49870" s="36"/>
      <c r="C49870" s="36"/>
      <c r="E49870" s="1"/>
      <c r="F49870" s="1"/>
      <c r="G49870" s="1"/>
    </row>
    <row r="49871">
      <c r="B49871" s="36"/>
      <c r="C49871" s="36"/>
      <c r="E49871" s="1"/>
      <c r="F49871" s="1"/>
      <c r="G49871" s="1"/>
    </row>
    <row r="49872">
      <c r="B49872" s="36"/>
      <c r="C49872" s="36"/>
      <c r="E49872" s="1"/>
      <c r="F49872" s="1"/>
      <c r="G49872" s="1"/>
    </row>
    <row r="49873">
      <c r="B49873" s="36"/>
      <c r="C49873" s="36"/>
      <c r="E49873" s="1"/>
      <c r="F49873" s="1"/>
      <c r="G49873" s="1"/>
    </row>
    <row r="49874">
      <c r="B49874" s="36"/>
      <c r="C49874" s="36"/>
      <c r="E49874" s="1"/>
      <c r="F49874" s="1"/>
      <c r="G49874" s="1"/>
    </row>
    <row r="49875">
      <c r="B49875" s="36"/>
      <c r="C49875" s="36"/>
      <c r="E49875" s="1"/>
      <c r="F49875" s="1"/>
      <c r="G49875" s="1"/>
    </row>
    <row r="49876">
      <c r="B49876" s="36"/>
      <c r="C49876" s="36"/>
      <c r="E49876" s="1"/>
      <c r="F49876" s="1"/>
      <c r="G49876" s="1"/>
    </row>
    <row r="49877">
      <c r="B49877" s="36"/>
      <c r="C49877" s="36"/>
      <c r="E49877" s="1"/>
      <c r="F49877" s="1"/>
      <c r="G49877" s="1"/>
    </row>
    <row r="49878">
      <c r="B49878" s="36"/>
      <c r="C49878" s="36"/>
      <c r="E49878" s="1"/>
      <c r="F49878" s="1"/>
      <c r="G49878" s="1"/>
    </row>
    <row r="49879">
      <c r="B49879" s="36"/>
      <c r="C49879" s="36"/>
      <c r="E49879" s="1"/>
      <c r="F49879" s="1"/>
      <c r="G49879" s="1"/>
    </row>
    <row r="49880">
      <c r="B49880" s="36"/>
      <c r="C49880" s="36"/>
      <c r="E49880" s="1"/>
      <c r="F49880" s="1"/>
      <c r="G49880" s="1"/>
    </row>
    <row r="49881">
      <c r="B49881" s="36"/>
      <c r="C49881" s="36"/>
      <c r="E49881" s="1"/>
      <c r="F49881" s="1"/>
      <c r="G49881" s="1"/>
    </row>
    <row r="49882">
      <c r="B49882" s="36"/>
      <c r="C49882" s="36"/>
      <c r="E49882" s="1"/>
      <c r="F49882" s="1"/>
      <c r="G49882" s="1"/>
    </row>
    <row r="49883">
      <c r="B49883" s="36"/>
      <c r="C49883" s="36"/>
      <c r="E49883" s="1"/>
      <c r="F49883" s="1"/>
      <c r="G49883" s="1"/>
    </row>
    <row r="49884">
      <c r="B49884" s="36"/>
      <c r="C49884" s="36"/>
      <c r="E49884" s="1"/>
      <c r="F49884" s="1"/>
      <c r="G49884" s="1"/>
    </row>
    <row r="49885">
      <c r="B49885" s="36"/>
      <c r="C49885" s="36"/>
      <c r="E49885" s="1"/>
      <c r="F49885" s="1"/>
      <c r="G49885" s="1"/>
    </row>
    <row r="49886">
      <c r="B49886" s="36"/>
      <c r="C49886" s="36"/>
      <c r="E49886" s="1"/>
      <c r="F49886" s="1"/>
      <c r="G49886" s="1"/>
    </row>
    <row r="49887">
      <c r="B49887" s="36"/>
      <c r="C49887" s="36"/>
      <c r="E49887" s="1"/>
      <c r="F49887" s="1"/>
      <c r="G49887" s="1"/>
    </row>
    <row r="49888">
      <c r="B49888" s="36"/>
      <c r="C49888" s="36"/>
      <c r="E49888" s="1"/>
      <c r="F49888" s="1"/>
      <c r="G49888" s="1"/>
    </row>
    <row r="49889">
      <c r="B49889" s="36"/>
      <c r="C49889" s="36"/>
      <c r="E49889" s="1"/>
      <c r="F49889" s="1"/>
      <c r="G49889" s="1"/>
    </row>
    <row r="49890">
      <c r="B49890" s="36"/>
      <c r="C49890" s="36"/>
      <c r="E49890" s="1"/>
      <c r="F49890" s="1"/>
      <c r="G49890" s="1"/>
    </row>
    <row r="49891">
      <c r="B49891" s="36"/>
      <c r="C49891" s="36"/>
      <c r="E49891" s="1"/>
      <c r="F49891" s="1"/>
      <c r="G49891" s="1"/>
    </row>
    <row r="49892">
      <c r="B49892" s="36"/>
      <c r="C49892" s="36"/>
      <c r="E49892" s="1"/>
      <c r="F49892" s="1"/>
      <c r="G49892" s="1"/>
    </row>
    <row r="49893">
      <c r="B49893" s="36"/>
      <c r="C49893" s="36"/>
      <c r="E49893" s="1"/>
      <c r="F49893" s="1"/>
      <c r="G49893" s="1"/>
    </row>
    <row r="49894">
      <c r="B49894" s="36"/>
      <c r="C49894" s="36"/>
      <c r="E49894" s="1"/>
      <c r="F49894" s="1"/>
      <c r="G49894" s="1"/>
    </row>
    <row r="49895">
      <c r="B49895" s="36"/>
      <c r="C49895" s="36"/>
      <c r="E49895" s="1"/>
      <c r="F49895" s="1"/>
      <c r="G49895" s="1"/>
    </row>
    <row r="49896">
      <c r="B49896" s="36"/>
      <c r="C49896" s="36"/>
      <c r="E49896" s="1"/>
      <c r="F49896" s="1"/>
      <c r="G49896" s="1"/>
    </row>
    <row r="49897">
      <c r="B49897" s="36"/>
      <c r="C49897" s="36"/>
      <c r="E49897" s="1"/>
      <c r="F49897" s="1"/>
      <c r="G49897" s="1"/>
    </row>
    <row r="49898">
      <c r="B49898" s="36"/>
      <c r="C49898" s="36"/>
      <c r="E49898" s="1"/>
      <c r="F49898" s="1"/>
      <c r="G49898" s="1"/>
    </row>
    <row r="49899">
      <c r="B49899" s="36"/>
      <c r="C49899" s="36"/>
      <c r="E49899" s="1"/>
      <c r="F49899" s="1"/>
      <c r="G49899" s="1"/>
    </row>
    <row r="49900">
      <c r="B49900" s="36"/>
      <c r="C49900" s="36"/>
      <c r="E49900" s="1"/>
      <c r="F49900" s="1"/>
      <c r="G49900" s="1"/>
    </row>
    <row r="49901">
      <c r="B49901" s="36"/>
      <c r="C49901" s="36"/>
      <c r="E49901" s="1"/>
      <c r="F49901" s="1"/>
      <c r="G49901" s="1"/>
    </row>
    <row r="49902">
      <c r="B49902" s="36"/>
      <c r="C49902" s="36"/>
      <c r="E49902" s="1"/>
      <c r="F49902" s="1"/>
      <c r="G49902" s="1"/>
    </row>
    <row r="49903">
      <c r="B49903" s="36"/>
      <c r="C49903" s="36"/>
      <c r="E49903" s="1"/>
      <c r="F49903" s="1"/>
      <c r="G49903" s="1"/>
    </row>
    <row r="49904">
      <c r="B49904" s="36"/>
      <c r="C49904" s="36"/>
      <c r="E49904" s="1"/>
      <c r="F49904" s="1"/>
      <c r="G49904" s="1"/>
    </row>
    <row r="49905">
      <c r="B49905" s="36"/>
      <c r="C49905" s="36"/>
      <c r="E49905" s="1"/>
      <c r="F49905" s="1"/>
      <c r="G49905" s="1"/>
    </row>
    <row r="49906">
      <c r="B49906" s="36"/>
      <c r="C49906" s="36"/>
      <c r="E49906" s="1"/>
      <c r="F49906" s="1"/>
      <c r="G49906" s="1"/>
    </row>
    <row r="49907">
      <c r="B49907" s="36"/>
      <c r="C49907" s="36"/>
      <c r="E49907" s="1"/>
      <c r="F49907" s="1"/>
      <c r="G49907" s="1"/>
    </row>
    <row r="49908">
      <c r="B49908" s="36"/>
      <c r="C49908" s="36"/>
      <c r="E49908" s="1"/>
      <c r="F49908" s="1"/>
      <c r="G49908" s="1"/>
    </row>
    <row r="49909">
      <c r="B49909" s="36"/>
      <c r="C49909" s="36"/>
      <c r="E49909" s="1"/>
      <c r="F49909" s="1"/>
      <c r="G49909" s="1"/>
    </row>
    <row r="49910">
      <c r="B49910" s="36"/>
      <c r="C49910" s="36"/>
      <c r="E49910" s="1"/>
      <c r="F49910" s="1"/>
      <c r="G49910" s="1"/>
    </row>
    <row r="49911">
      <c r="B49911" s="36"/>
      <c r="C49911" s="36"/>
      <c r="E49911" s="1"/>
      <c r="F49911" s="1"/>
      <c r="G49911" s="1"/>
    </row>
    <row r="49912">
      <c r="B49912" s="36"/>
      <c r="C49912" s="36"/>
      <c r="E49912" s="1"/>
      <c r="F49912" s="1"/>
      <c r="G49912" s="1"/>
    </row>
    <row r="49913">
      <c r="B49913" s="36"/>
      <c r="C49913" s="36"/>
      <c r="E49913" s="1"/>
      <c r="F49913" s="1"/>
      <c r="G49913" s="1"/>
    </row>
    <row r="49914">
      <c r="B49914" s="36"/>
      <c r="C49914" s="36"/>
      <c r="E49914" s="1"/>
      <c r="F49914" s="1"/>
      <c r="G49914" s="1"/>
    </row>
    <row r="49915">
      <c r="B49915" s="36"/>
      <c r="C49915" s="36"/>
      <c r="E49915" s="1"/>
      <c r="F49915" s="1"/>
      <c r="G49915" s="1"/>
    </row>
    <row r="49916">
      <c r="B49916" s="36"/>
      <c r="C49916" s="36"/>
      <c r="E49916" s="1"/>
      <c r="F49916" s="1"/>
      <c r="G49916" s="1"/>
    </row>
    <row r="49917">
      <c r="B49917" s="36"/>
      <c r="C49917" s="36"/>
      <c r="E49917" s="1"/>
      <c r="F49917" s="1"/>
      <c r="G49917" s="1"/>
    </row>
    <row r="49918">
      <c r="B49918" s="36"/>
      <c r="C49918" s="36"/>
      <c r="E49918" s="1"/>
      <c r="F49918" s="1"/>
      <c r="G49918" s="1"/>
    </row>
    <row r="49919">
      <c r="B49919" s="36"/>
      <c r="C49919" s="36"/>
      <c r="E49919" s="1"/>
      <c r="F49919" s="1"/>
      <c r="G49919" s="1"/>
    </row>
    <row r="49920">
      <c r="B49920" s="36"/>
      <c r="C49920" s="36"/>
      <c r="E49920" s="1"/>
      <c r="F49920" s="1"/>
      <c r="G49920" s="1"/>
    </row>
    <row r="49921">
      <c r="B49921" s="36"/>
      <c r="C49921" s="36"/>
      <c r="E49921" s="1"/>
      <c r="F49921" s="1"/>
      <c r="G49921" s="1"/>
    </row>
    <row r="49922">
      <c r="B49922" s="36"/>
      <c r="C49922" s="36"/>
      <c r="E49922" s="1"/>
      <c r="F49922" s="1"/>
      <c r="G49922" s="1"/>
    </row>
    <row r="49923">
      <c r="B49923" s="36"/>
      <c r="C49923" s="36"/>
      <c r="E49923" s="1"/>
      <c r="F49923" s="1"/>
      <c r="G49923" s="1"/>
    </row>
    <row r="49924">
      <c r="B49924" s="36"/>
      <c r="C49924" s="36"/>
      <c r="E49924" s="1"/>
      <c r="F49924" s="1"/>
      <c r="G49924" s="1"/>
    </row>
    <row r="49925">
      <c r="B49925" s="36"/>
      <c r="C49925" s="36"/>
      <c r="E49925" s="1"/>
      <c r="F49925" s="1"/>
      <c r="G49925" s="1"/>
    </row>
    <row r="49926">
      <c r="B49926" s="36"/>
      <c r="C49926" s="36"/>
      <c r="E49926" s="1"/>
      <c r="F49926" s="1"/>
      <c r="G49926" s="1"/>
    </row>
    <row r="49927">
      <c r="B49927" s="36"/>
      <c r="C49927" s="36"/>
      <c r="E49927" s="1"/>
      <c r="F49927" s="1"/>
      <c r="G49927" s="1"/>
    </row>
    <row r="49928">
      <c r="B49928" s="36"/>
      <c r="C49928" s="36"/>
      <c r="E49928" s="1"/>
      <c r="F49928" s="1"/>
      <c r="G49928" s="1"/>
    </row>
    <row r="49929">
      <c r="B49929" s="36"/>
      <c r="C49929" s="36"/>
      <c r="E49929" s="1"/>
      <c r="F49929" s="1"/>
      <c r="G49929" s="1"/>
    </row>
    <row r="49930">
      <c r="B49930" s="36"/>
      <c r="C49930" s="36"/>
      <c r="E49930" s="1"/>
      <c r="F49930" s="1"/>
      <c r="G49930" s="1"/>
    </row>
    <row r="49931">
      <c r="B49931" s="36"/>
      <c r="C49931" s="36"/>
      <c r="E49931" s="1"/>
      <c r="F49931" s="1"/>
      <c r="G49931" s="1"/>
    </row>
    <row r="49932">
      <c r="B49932" s="36"/>
      <c r="C49932" s="36"/>
      <c r="E49932" s="1"/>
      <c r="F49932" s="1"/>
      <c r="G49932" s="1"/>
    </row>
    <row r="49933">
      <c r="B49933" s="36"/>
      <c r="C49933" s="36"/>
      <c r="E49933" s="1"/>
      <c r="F49933" s="1"/>
      <c r="G49933" s="1"/>
    </row>
    <row r="49934">
      <c r="B49934" s="36"/>
      <c r="C49934" s="36"/>
      <c r="E49934" s="1"/>
      <c r="F49934" s="1"/>
      <c r="G49934" s="1"/>
    </row>
    <row r="49935">
      <c r="B49935" s="36"/>
      <c r="C49935" s="36"/>
      <c r="E49935" s="1"/>
      <c r="F49935" s="1"/>
      <c r="G49935" s="1"/>
    </row>
    <row r="49936">
      <c r="B49936" s="36"/>
      <c r="C49936" s="36"/>
      <c r="E49936" s="1"/>
      <c r="F49936" s="1"/>
      <c r="G49936" s="1"/>
    </row>
    <row r="49937">
      <c r="B49937" s="36"/>
      <c r="C49937" s="36"/>
      <c r="E49937" s="1"/>
      <c r="F49937" s="1"/>
      <c r="G49937" s="1"/>
    </row>
    <row r="49938">
      <c r="B49938" s="36"/>
      <c r="C49938" s="36"/>
      <c r="E49938" s="1"/>
      <c r="F49938" s="1"/>
      <c r="G49938" s="1"/>
    </row>
    <row r="49939">
      <c r="B49939" s="36"/>
      <c r="C49939" s="36"/>
      <c r="E49939" s="1"/>
      <c r="F49939" s="1"/>
      <c r="G49939" s="1"/>
    </row>
    <row r="49940">
      <c r="B49940" s="36"/>
      <c r="C49940" s="36"/>
      <c r="E49940" s="1"/>
      <c r="F49940" s="1"/>
      <c r="G49940" s="1"/>
    </row>
    <row r="49941">
      <c r="B49941" s="36"/>
      <c r="C49941" s="36"/>
      <c r="E49941" s="1"/>
      <c r="F49941" s="1"/>
      <c r="G49941" s="1"/>
    </row>
    <row r="49942">
      <c r="B49942" s="36"/>
      <c r="C49942" s="36"/>
      <c r="E49942" s="1"/>
      <c r="F49942" s="1"/>
      <c r="G49942" s="1"/>
    </row>
    <row r="49943">
      <c r="B49943" s="36"/>
      <c r="C49943" s="36"/>
      <c r="E49943" s="1"/>
      <c r="F49943" s="1"/>
      <c r="G49943" s="1"/>
    </row>
    <row r="49944">
      <c r="B49944" s="36"/>
      <c r="C49944" s="36"/>
      <c r="E49944" s="1"/>
      <c r="F49944" s="1"/>
      <c r="G49944" s="1"/>
    </row>
    <row r="49945">
      <c r="B49945" s="36"/>
      <c r="C49945" s="36"/>
      <c r="E49945" s="1"/>
      <c r="F49945" s="1"/>
      <c r="G49945" s="1"/>
    </row>
    <row r="49946">
      <c r="B49946" s="36"/>
      <c r="C49946" s="36"/>
      <c r="E49946" s="1"/>
      <c r="F49946" s="1"/>
      <c r="G49946" s="1"/>
    </row>
    <row r="49947">
      <c r="B49947" s="36"/>
      <c r="C49947" s="36"/>
      <c r="E49947" s="1"/>
      <c r="F49947" s="1"/>
      <c r="G49947" s="1"/>
    </row>
    <row r="49948">
      <c r="B49948" s="36"/>
      <c r="C49948" s="36"/>
      <c r="E49948" s="1"/>
      <c r="F49948" s="1"/>
      <c r="G49948" s="1"/>
    </row>
    <row r="49949">
      <c r="B49949" s="36"/>
      <c r="C49949" s="36"/>
      <c r="E49949" s="1"/>
      <c r="F49949" s="1"/>
      <c r="G49949" s="1"/>
    </row>
    <row r="49950">
      <c r="B49950" s="36"/>
      <c r="C49950" s="36"/>
      <c r="E49950" s="1"/>
      <c r="F49950" s="1"/>
      <c r="G49950" s="1"/>
    </row>
    <row r="49951">
      <c r="B49951" s="36"/>
      <c r="C49951" s="36"/>
      <c r="E49951" s="1"/>
      <c r="F49951" s="1"/>
      <c r="G49951" s="1"/>
    </row>
    <row r="49952">
      <c r="B49952" s="36"/>
      <c r="C49952" s="36"/>
      <c r="E49952" s="1"/>
      <c r="F49952" s="1"/>
      <c r="G49952" s="1"/>
    </row>
    <row r="49953">
      <c r="B49953" s="36"/>
      <c r="C49953" s="36"/>
      <c r="E49953" s="1"/>
      <c r="F49953" s="1"/>
      <c r="G49953" s="1"/>
    </row>
    <row r="49954">
      <c r="B49954" s="36"/>
      <c r="C49954" s="36"/>
      <c r="E49954" s="1"/>
      <c r="F49954" s="1"/>
      <c r="G49954" s="1"/>
    </row>
    <row r="49955">
      <c r="B49955" s="36"/>
      <c r="C49955" s="36"/>
      <c r="E49955" s="1"/>
      <c r="F49955" s="1"/>
      <c r="G49955" s="1"/>
    </row>
    <row r="49956">
      <c r="B49956" s="36"/>
      <c r="C49956" s="36"/>
      <c r="E49956" s="1"/>
      <c r="F49956" s="1"/>
      <c r="G49956" s="1"/>
    </row>
    <row r="49957">
      <c r="B49957" s="36"/>
      <c r="C49957" s="36"/>
      <c r="E49957" s="1"/>
      <c r="F49957" s="1"/>
      <c r="G49957" s="1"/>
    </row>
    <row r="49958">
      <c r="B49958" s="36"/>
      <c r="C49958" s="36"/>
      <c r="E49958" s="1"/>
      <c r="F49958" s="1"/>
      <c r="G49958" s="1"/>
    </row>
    <row r="49959">
      <c r="B49959" s="36"/>
      <c r="C49959" s="36"/>
      <c r="E49959" s="1"/>
      <c r="F49959" s="1"/>
      <c r="G49959" s="1"/>
    </row>
    <row r="49960">
      <c r="B49960" s="36"/>
      <c r="C49960" s="36"/>
      <c r="E49960" s="1"/>
      <c r="F49960" s="1"/>
      <c r="G49960" s="1"/>
    </row>
    <row r="49961">
      <c r="B49961" s="36"/>
      <c r="C49961" s="36"/>
      <c r="E49961" s="1"/>
      <c r="F49961" s="1"/>
      <c r="G49961" s="1"/>
    </row>
    <row r="49962">
      <c r="B49962" s="36"/>
      <c r="C49962" s="36"/>
      <c r="E49962" s="1"/>
      <c r="F49962" s="1"/>
      <c r="G49962" s="1"/>
    </row>
    <row r="49963">
      <c r="B49963" s="36"/>
      <c r="C49963" s="36"/>
      <c r="E49963" s="1"/>
      <c r="F49963" s="1"/>
      <c r="G49963" s="1"/>
    </row>
    <row r="49964">
      <c r="B49964" s="36"/>
      <c r="C49964" s="36"/>
      <c r="E49964" s="1"/>
      <c r="F49964" s="1"/>
      <c r="G49964" s="1"/>
    </row>
    <row r="49965">
      <c r="B49965" s="36"/>
      <c r="C49965" s="36"/>
      <c r="E49965" s="1"/>
      <c r="F49965" s="1"/>
      <c r="G49965" s="1"/>
    </row>
    <row r="49966">
      <c r="B49966" s="36"/>
      <c r="C49966" s="36"/>
      <c r="E49966" s="1"/>
      <c r="F49966" s="1"/>
      <c r="G49966" s="1"/>
    </row>
    <row r="49967">
      <c r="B49967" s="36"/>
      <c r="C49967" s="36"/>
      <c r="E49967" s="1"/>
      <c r="F49967" s="1"/>
      <c r="G49967" s="1"/>
    </row>
    <row r="49968">
      <c r="B49968" s="36"/>
      <c r="C49968" s="36"/>
      <c r="E49968" s="1"/>
      <c r="F49968" s="1"/>
      <c r="G49968" s="1"/>
    </row>
    <row r="49969">
      <c r="B49969" s="36"/>
      <c r="C49969" s="36"/>
      <c r="E49969" s="1"/>
      <c r="F49969" s="1"/>
      <c r="G49969" s="1"/>
    </row>
    <row r="49970">
      <c r="B49970" s="36"/>
      <c r="C49970" s="36"/>
      <c r="E49970" s="1"/>
      <c r="F49970" s="1"/>
      <c r="G49970" s="1"/>
    </row>
    <row r="49971">
      <c r="B49971" s="36"/>
      <c r="C49971" s="36"/>
      <c r="E49971" s="1"/>
      <c r="F49971" s="1"/>
      <c r="G49971" s="1"/>
    </row>
    <row r="49972">
      <c r="B49972" s="36"/>
      <c r="C49972" s="36"/>
      <c r="E49972" s="1"/>
      <c r="F49972" s="1"/>
      <c r="G49972" s="1"/>
    </row>
    <row r="49973">
      <c r="B49973" s="36"/>
      <c r="C49973" s="36"/>
      <c r="E49973" s="1"/>
      <c r="F49973" s="1"/>
      <c r="G49973" s="1"/>
    </row>
    <row r="49974">
      <c r="B49974" s="36"/>
      <c r="C49974" s="36"/>
      <c r="E49974" s="1"/>
      <c r="F49974" s="1"/>
      <c r="G49974" s="1"/>
    </row>
    <row r="49975">
      <c r="B49975" s="36"/>
      <c r="C49975" s="36"/>
      <c r="E49975" s="1"/>
      <c r="F49975" s="1"/>
      <c r="G49975" s="1"/>
    </row>
    <row r="49976">
      <c r="B49976" s="36"/>
      <c r="C49976" s="36"/>
      <c r="E49976" s="1"/>
      <c r="F49976" s="1"/>
      <c r="G49976" s="1"/>
    </row>
    <row r="49977">
      <c r="B49977" s="36"/>
      <c r="C49977" s="36"/>
      <c r="E49977" s="1"/>
      <c r="F49977" s="1"/>
      <c r="G49977" s="1"/>
    </row>
    <row r="49978">
      <c r="B49978" s="36"/>
      <c r="C49978" s="36"/>
      <c r="E49978" s="1"/>
      <c r="F49978" s="1"/>
      <c r="G49978" s="1"/>
    </row>
    <row r="49979">
      <c r="B49979" s="36"/>
      <c r="C49979" s="36"/>
      <c r="E49979" s="1"/>
      <c r="F49979" s="1"/>
      <c r="G49979" s="1"/>
    </row>
    <row r="49980">
      <c r="B49980" s="36"/>
      <c r="C49980" s="36"/>
      <c r="E49980" s="1"/>
      <c r="F49980" s="1"/>
      <c r="G49980" s="1"/>
    </row>
    <row r="49981">
      <c r="B49981" s="36"/>
      <c r="C49981" s="36"/>
      <c r="E49981" s="1"/>
      <c r="F49981" s="1"/>
      <c r="G49981" s="1"/>
    </row>
    <row r="49982">
      <c r="B49982" s="36"/>
      <c r="C49982" s="36"/>
      <c r="E49982" s="1"/>
      <c r="F49982" s="1"/>
      <c r="G49982" s="1"/>
    </row>
    <row r="49983">
      <c r="B49983" s="36"/>
      <c r="C49983" s="36"/>
      <c r="E49983" s="1"/>
      <c r="F49983" s="1"/>
      <c r="G49983" s="1"/>
    </row>
    <row r="49984">
      <c r="B49984" s="36"/>
      <c r="C49984" s="36"/>
      <c r="E49984" s="1"/>
      <c r="F49984" s="1"/>
      <c r="G49984" s="1"/>
    </row>
    <row r="49985">
      <c r="B49985" s="36"/>
      <c r="C49985" s="36"/>
      <c r="E49985" s="1"/>
      <c r="F49985" s="1"/>
      <c r="G49985" s="1"/>
    </row>
    <row r="49986">
      <c r="B49986" s="36"/>
      <c r="C49986" s="36"/>
      <c r="E49986" s="1"/>
      <c r="F49986" s="1"/>
      <c r="G49986" s="1"/>
    </row>
    <row r="49987">
      <c r="B49987" s="36"/>
      <c r="C49987" s="36"/>
      <c r="E49987" s="1"/>
      <c r="F49987" s="1"/>
      <c r="G49987" s="1"/>
    </row>
    <row r="49988">
      <c r="B49988" s="36"/>
      <c r="C49988" s="36"/>
      <c r="E49988" s="1"/>
      <c r="F49988" s="1"/>
      <c r="G49988" s="1"/>
    </row>
    <row r="49989">
      <c r="B49989" s="36"/>
      <c r="C49989" s="36"/>
      <c r="E49989" s="1"/>
      <c r="F49989" s="1"/>
      <c r="G49989" s="1"/>
    </row>
    <row r="49990">
      <c r="B49990" s="36"/>
      <c r="C49990" s="36"/>
      <c r="E49990" s="1"/>
      <c r="F49990" s="1"/>
      <c r="G49990" s="1"/>
    </row>
    <row r="49991">
      <c r="B49991" s="36"/>
      <c r="C49991" s="36"/>
      <c r="E49991" s="1"/>
      <c r="F49991" s="1"/>
      <c r="G49991" s="1"/>
    </row>
    <row r="49992">
      <c r="B49992" s="36"/>
      <c r="C49992" s="36"/>
      <c r="E49992" s="1"/>
      <c r="F49992" s="1"/>
      <c r="G49992" s="1"/>
    </row>
    <row r="49993">
      <c r="B49993" s="36"/>
      <c r="C49993" s="36"/>
      <c r="E49993" s="1"/>
      <c r="F49993" s="1"/>
      <c r="G49993" s="1"/>
    </row>
    <row r="49994">
      <c r="B49994" s="36"/>
      <c r="C49994" s="36"/>
      <c r="E49994" s="1"/>
      <c r="F49994" s="1"/>
      <c r="G49994" s="1"/>
    </row>
    <row r="49995">
      <c r="B49995" s="36"/>
      <c r="C49995" s="36"/>
      <c r="E49995" s="1"/>
      <c r="F49995" s="1"/>
      <c r="G49995" s="1"/>
    </row>
    <row r="49996">
      <c r="B49996" s="36"/>
      <c r="C49996" s="36"/>
      <c r="E49996" s="1"/>
      <c r="F49996" s="1"/>
      <c r="G49996" s="1"/>
    </row>
    <row r="49997">
      <c r="B49997" s="36"/>
      <c r="C49997" s="36"/>
      <c r="E49997" s="1"/>
      <c r="F49997" s="1"/>
      <c r="G49997" s="1"/>
    </row>
    <row r="49998">
      <c r="B49998" s="36"/>
      <c r="C49998" s="36"/>
      <c r="E49998" s="1"/>
      <c r="F49998" s="1"/>
      <c r="G49998" s="1"/>
    </row>
    <row r="49999">
      <c r="B49999" s="36"/>
      <c r="C49999" s="36"/>
      <c r="E49999" s="1"/>
      <c r="F49999" s="1"/>
      <c r="G49999" s="1"/>
    </row>
    <row r="50000">
      <c r="B50000" s="36"/>
      <c r="C50000" s="36"/>
      <c r="E50000" s="1"/>
      <c r="F50000" s="1"/>
      <c r="G50000" s="1"/>
    </row>
    <row r="50001">
      <c r="B50001" s="36"/>
      <c r="C50001" s="36"/>
      <c r="E50001" s="1"/>
      <c r="F50001" s="1"/>
      <c r="G50001" s="1"/>
    </row>
    <row r="50002">
      <c r="B50002" s="36"/>
      <c r="C50002" s="36"/>
      <c r="E50002" s="1"/>
      <c r="F50002" s="1"/>
      <c r="G50002" s="1"/>
    </row>
    <row r="50003">
      <c r="B50003" s="36"/>
      <c r="C50003" s="36"/>
      <c r="E50003" s="1"/>
      <c r="F50003" s="1"/>
      <c r="G50003" s="1"/>
    </row>
    <row r="50004">
      <c r="B50004" s="36"/>
      <c r="C50004" s="36"/>
      <c r="E50004" s="1"/>
      <c r="F50004" s="1"/>
      <c r="G50004" s="1"/>
    </row>
    <row r="50005">
      <c r="B50005" s="36"/>
      <c r="C50005" s="36"/>
      <c r="E50005" s="1"/>
      <c r="F50005" s="1"/>
      <c r="G50005" s="1"/>
    </row>
    <row r="50006">
      <c r="B50006" s="36"/>
      <c r="C50006" s="36"/>
      <c r="E50006" s="1"/>
      <c r="F50006" s="1"/>
      <c r="G50006" s="1"/>
    </row>
    <row r="50007">
      <c r="B50007" s="36"/>
      <c r="C50007" s="36"/>
      <c r="E50007" s="1"/>
      <c r="F50007" s="1"/>
      <c r="G50007" s="1"/>
    </row>
    <row r="50008">
      <c r="B50008" s="36"/>
      <c r="C50008" s="36"/>
      <c r="E50008" s="1"/>
      <c r="F50008" s="1"/>
      <c r="G50008" s="1"/>
    </row>
    <row r="50009">
      <c r="B50009" s="36"/>
      <c r="C50009" s="36"/>
      <c r="E50009" s="1"/>
      <c r="F50009" s="1"/>
      <c r="G50009" s="1"/>
    </row>
    <row r="50010">
      <c r="B50010" s="36"/>
      <c r="C50010" s="36"/>
      <c r="E50010" s="1"/>
      <c r="F50010" s="1"/>
      <c r="G50010" s="1"/>
    </row>
    <row r="50011">
      <c r="B50011" s="36"/>
      <c r="C50011" s="36"/>
      <c r="E50011" s="1"/>
      <c r="F50011" s="1"/>
      <c r="G50011" s="1"/>
    </row>
    <row r="50012">
      <c r="B50012" s="36"/>
      <c r="C50012" s="36"/>
      <c r="E50012" s="1"/>
      <c r="F50012" s="1"/>
      <c r="G50012" s="1"/>
    </row>
    <row r="50013">
      <c r="B50013" s="36"/>
      <c r="C50013" s="36"/>
      <c r="E50013" s="1"/>
      <c r="F50013" s="1"/>
      <c r="G50013" s="1"/>
    </row>
    <row r="50014">
      <c r="B50014" s="36"/>
      <c r="C50014" s="36"/>
      <c r="E50014" s="1"/>
      <c r="F50014" s="1"/>
      <c r="G50014" s="1"/>
    </row>
    <row r="50015">
      <c r="B50015" s="36"/>
      <c r="C50015" s="36"/>
      <c r="E50015" s="1"/>
      <c r="F50015" s="1"/>
      <c r="G50015" s="1"/>
    </row>
    <row r="50016">
      <c r="B50016" s="36"/>
      <c r="C50016" s="36"/>
      <c r="E50016" s="1"/>
      <c r="F50016" s="1"/>
      <c r="G50016" s="1"/>
    </row>
    <row r="50017">
      <c r="B50017" s="36"/>
      <c r="C50017" s="36"/>
      <c r="E50017" s="1"/>
      <c r="F50017" s="1"/>
      <c r="G50017" s="1"/>
    </row>
    <row r="50018">
      <c r="B50018" s="36"/>
      <c r="C50018" s="36"/>
      <c r="E50018" s="1"/>
      <c r="F50018" s="1"/>
      <c r="G50018" s="1"/>
    </row>
    <row r="50019">
      <c r="B50019" s="36"/>
      <c r="C50019" s="36"/>
      <c r="E50019" s="1"/>
      <c r="F50019" s="1"/>
      <c r="G50019" s="1"/>
    </row>
    <row r="50020">
      <c r="B50020" s="36"/>
      <c r="C50020" s="36"/>
      <c r="E50020" s="1"/>
      <c r="F50020" s="1"/>
      <c r="G50020" s="1"/>
    </row>
    <row r="50021">
      <c r="B50021" s="36"/>
      <c r="C50021" s="36"/>
      <c r="E50021" s="1"/>
      <c r="F50021" s="1"/>
      <c r="G50021" s="1"/>
    </row>
    <row r="50022">
      <c r="B50022" s="36"/>
      <c r="C50022" s="36"/>
      <c r="E50022" s="1"/>
      <c r="F50022" s="1"/>
      <c r="G50022" s="1"/>
    </row>
    <row r="50023">
      <c r="B50023" s="36"/>
      <c r="C50023" s="36"/>
      <c r="E50023" s="1"/>
      <c r="F50023" s="1"/>
      <c r="G50023" s="1"/>
    </row>
    <row r="50024">
      <c r="B50024" s="36"/>
      <c r="C50024" s="36"/>
      <c r="E50024" s="1"/>
      <c r="F50024" s="1"/>
      <c r="G50024" s="1"/>
    </row>
    <row r="50025">
      <c r="B50025" s="36"/>
      <c r="C50025" s="36"/>
      <c r="E50025" s="1"/>
      <c r="F50025" s="1"/>
      <c r="G50025" s="1"/>
    </row>
    <row r="50026">
      <c r="B50026" s="36"/>
      <c r="C50026" s="36"/>
      <c r="E50026" s="1"/>
      <c r="F50026" s="1"/>
      <c r="G50026" s="1"/>
    </row>
    <row r="50027">
      <c r="B50027" s="36"/>
      <c r="C50027" s="36"/>
      <c r="E50027" s="1"/>
      <c r="F50027" s="1"/>
      <c r="G50027" s="1"/>
    </row>
    <row r="50028">
      <c r="B50028" s="36"/>
      <c r="C50028" s="36"/>
      <c r="E50028" s="1"/>
      <c r="F50028" s="1"/>
      <c r="G50028" s="1"/>
    </row>
    <row r="50029">
      <c r="B50029" s="36"/>
      <c r="C50029" s="36"/>
      <c r="E50029" s="1"/>
      <c r="F50029" s="1"/>
      <c r="G50029" s="1"/>
    </row>
    <row r="50030">
      <c r="B50030" s="36"/>
      <c r="C50030" s="36"/>
      <c r="E50030" s="1"/>
      <c r="F50030" s="1"/>
      <c r="G50030" s="1"/>
    </row>
    <row r="50031">
      <c r="B50031" s="36"/>
      <c r="C50031" s="36"/>
      <c r="E50031" s="1"/>
      <c r="F50031" s="1"/>
      <c r="G50031" s="1"/>
    </row>
    <row r="50032">
      <c r="B50032" s="36"/>
      <c r="C50032" s="36"/>
      <c r="E50032" s="1"/>
      <c r="F50032" s="1"/>
      <c r="G50032" s="1"/>
    </row>
    <row r="50033">
      <c r="B50033" s="36"/>
      <c r="C50033" s="36"/>
      <c r="E50033" s="1"/>
      <c r="F50033" s="1"/>
      <c r="G50033" s="1"/>
    </row>
    <row r="50034">
      <c r="B50034" s="36"/>
      <c r="C50034" s="36"/>
      <c r="E50034" s="1"/>
      <c r="F50034" s="1"/>
      <c r="G50034" s="1"/>
    </row>
    <row r="50035">
      <c r="B50035" s="36"/>
      <c r="C50035" s="36"/>
      <c r="E50035" s="1"/>
      <c r="F50035" s="1"/>
      <c r="G50035" s="1"/>
    </row>
    <row r="50036">
      <c r="B50036" s="36"/>
      <c r="C50036" s="36"/>
      <c r="E50036" s="1"/>
      <c r="F50036" s="1"/>
      <c r="G50036" s="1"/>
    </row>
    <row r="50037">
      <c r="B50037" s="36"/>
      <c r="C50037" s="36"/>
      <c r="E50037" s="1"/>
      <c r="F50037" s="1"/>
      <c r="G50037" s="1"/>
    </row>
    <row r="50038">
      <c r="B50038" s="36"/>
      <c r="C50038" s="36"/>
      <c r="E50038" s="1"/>
      <c r="F50038" s="1"/>
      <c r="G50038" s="1"/>
    </row>
    <row r="50039">
      <c r="B50039" s="36"/>
      <c r="C50039" s="36"/>
      <c r="E50039" s="1"/>
      <c r="F50039" s="1"/>
      <c r="G50039" s="1"/>
    </row>
    <row r="50040">
      <c r="B50040" s="36"/>
      <c r="C50040" s="36"/>
      <c r="E50040" s="1"/>
      <c r="F50040" s="1"/>
      <c r="G50040" s="1"/>
    </row>
    <row r="50041">
      <c r="B50041" s="36"/>
      <c r="C50041" s="36"/>
      <c r="E50041" s="1"/>
      <c r="F50041" s="1"/>
      <c r="G50041" s="1"/>
    </row>
    <row r="50042">
      <c r="B50042" s="36"/>
      <c r="C50042" s="36"/>
      <c r="E50042" s="1"/>
      <c r="F50042" s="1"/>
      <c r="G50042" s="1"/>
    </row>
    <row r="50043">
      <c r="B50043" s="36"/>
      <c r="C50043" s="36"/>
      <c r="E50043" s="1"/>
      <c r="F50043" s="1"/>
      <c r="G50043" s="1"/>
    </row>
    <row r="50044">
      <c r="B50044" s="36"/>
      <c r="C50044" s="36"/>
      <c r="E50044" s="1"/>
      <c r="F50044" s="1"/>
      <c r="G50044" s="1"/>
    </row>
    <row r="50045">
      <c r="B50045" s="36"/>
      <c r="C50045" s="36"/>
      <c r="E50045" s="1"/>
      <c r="F50045" s="1"/>
      <c r="G50045" s="1"/>
    </row>
    <row r="50046">
      <c r="B50046" s="36"/>
      <c r="C50046" s="36"/>
      <c r="E50046" s="1"/>
      <c r="F50046" s="1"/>
      <c r="G50046" s="1"/>
    </row>
    <row r="50047">
      <c r="B50047" s="36"/>
      <c r="C50047" s="36"/>
      <c r="E50047" s="1"/>
      <c r="F50047" s="1"/>
      <c r="G50047" s="1"/>
    </row>
    <row r="50048">
      <c r="B50048" s="36"/>
      <c r="C50048" s="36"/>
      <c r="E50048" s="1"/>
      <c r="F50048" s="1"/>
      <c r="G50048" s="1"/>
    </row>
    <row r="50049">
      <c r="B50049" s="36"/>
      <c r="C50049" s="36"/>
      <c r="E50049" s="1"/>
      <c r="F50049" s="1"/>
      <c r="G50049" s="1"/>
    </row>
    <row r="50050">
      <c r="B50050" s="36"/>
      <c r="C50050" s="36"/>
      <c r="E50050" s="1"/>
      <c r="F50050" s="1"/>
      <c r="G50050" s="1"/>
    </row>
    <row r="50051">
      <c r="B50051" s="36"/>
      <c r="C50051" s="36"/>
      <c r="E50051" s="1"/>
      <c r="F50051" s="1"/>
      <c r="G50051" s="1"/>
    </row>
    <row r="50052">
      <c r="B50052" s="36"/>
      <c r="C50052" s="36"/>
      <c r="E50052" s="1"/>
      <c r="F50052" s="1"/>
      <c r="G50052" s="1"/>
    </row>
    <row r="50053">
      <c r="B50053" s="36"/>
      <c r="C50053" s="36"/>
      <c r="E50053" s="1"/>
      <c r="F50053" s="1"/>
      <c r="G50053" s="1"/>
    </row>
    <row r="50054">
      <c r="B50054" s="36"/>
      <c r="C50054" s="36"/>
      <c r="E50054" s="1"/>
      <c r="F50054" s="1"/>
      <c r="G50054" s="1"/>
    </row>
    <row r="50055">
      <c r="B50055" s="36"/>
      <c r="C50055" s="36"/>
      <c r="E50055" s="1"/>
      <c r="F50055" s="1"/>
      <c r="G50055" s="1"/>
    </row>
    <row r="50056">
      <c r="B50056" s="36"/>
      <c r="C50056" s="36"/>
      <c r="E50056" s="1"/>
      <c r="F50056" s="1"/>
      <c r="G50056" s="1"/>
    </row>
    <row r="50057">
      <c r="B50057" s="36"/>
      <c r="C50057" s="36"/>
      <c r="E50057" s="1"/>
      <c r="F50057" s="1"/>
      <c r="G50057" s="1"/>
    </row>
    <row r="50058">
      <c r="B50058" s="36"/>
      <c r="C50058" s="36"/>
      <c r="E50058" s="1"/>
      <c r="F50058" s="1"/>
      <c r="G50058" s="1"/>
    </row>
    <row r="50059">
      <c r="B50059" s="36"/>
      <c r="C50059" s="36"/>
      <c r="E50059" s="1"/>
      <c r="F50059" s="1"/>
      <c r="G50059" s="1"/>
    </row>
    <row r="50060">
      <c r="B50060" s="36"/>
      <c r="C50060" s="36"/>
      <c r="E50060" s="1"/>
      <c r="F50060" s="1"/>
      <c r="G50060" s="1"/>
    </row>
    <row r="50061">
      <c r="B50061" s="36"/>
      <c r="C50061" s="36"/>
      <c r="E50061" s="1"/>
      <c r="F50061" s="1"/>
      <c r="G50061" s="1"/>
    </row>
    <row r="50062">
      <c r="B50062" s="36"/>
      <c r="C50062" s="36"/>
      <c r="E50062" s="1"/>
      <c r="F50062" s="1"/>
      <c r="G50062" s="1"/>
    </row>
    <row r="50063">
      <c r="B50063" s="36"/>
      <c r="C50063" s="36"/>
      <c r="E50063" s="1"/>
      <c r="F50063" s="1"/>
      <c r="G50063" s="1"/>
    </row>
    <row r="50064">
      <c r="B50064" s="36"/>
      <c r="C50064" s="36"/>
      <c r="E50064" s="1"/>
      <c r="F50064" s="1"/>
      <c r="G50064" s="1"/>
    </row>
    <row r="50065">
      <c r="B50065" s="36"/>
      <c r="C50065" s="36"/>
      <c r="E50065" s="1"/>
      <c r="F50065" s="1"/>
      <c r="G50065" s="1"/>
    </row>
    <row r="50066">
      <c r="B50066" s="36"/>
      <c r="C50066" s="36"/>
      <c r="E50066" s="1"/>
      <c r="F50066" s="1"/>
      <c r="G50066" s="1"/>
    </row>
    <row r="50067">
      <c r="B50067" s="36"/>
      <c r="C50067" s="36"/>
      <c r="E50067" s="1"/>
      <c r="F50067" s="1"/>
      <c r="G50067" s="1"/>
    </row>
    <row r="50068">
      <c r="B50068" s="36"/>
      <c r="C50068" s="36"/>
      <c r="E50068" s="1"/>
      <c r="F50068" s="1"/>
      <c r="G50068" s="1"/>
    </row>
    <row r="50069">
      <c r="B50069" s="36"/>
      <c r="C50069" s="36"/>
      <c r="E50069" s="1"/>
      <c r="F50069" s="1"/>
      <c r="G50069" s="1"/>
    </row>
    <row r="50070">
      <c r="B50070" s="36"/>
      <c r="C50070" s="36"/>
      <c r="E50070" s="1"/>
      <c r="F50070" s="1"/>
      <c r="G50070" s="1"/>
    </row>
    <row r="50071">
      <c r="B50071" s="36"/>
      <c r="C50071" s="36"/>
      <c r="E50071" s="1"/>
      <c r="F50071" s="1"/>
      <c r="G50071" s="1"/>
    </row>
    <row r="50072">
      <c r="B50072" s="36"/>
      <c r="C50072" s="36"/>
      <c r="E50072" s="1"/>
      <c r="F50072" s="1"/>
      <c r="G50072" s="1"/>
    </row>
    <row r="50073">
      <c r="B50073" s="36"/>
      <c r="C50073" s="36"/>
      <c r="E50073" s="1"/>
      <c r="F50073" s="1"/>
      <c r="G50073" s="1"/>
    </row>
    <row r="50074">
      <c r="B50074" s="36"/>
      <c r="C50074" s="36"/>
      <c r="E50074" s="1"/>
      <c r="F50074" s="1"/>
      <c r="G50074" s="1"/>
    </row>
    <row r="50075">
      <c r="B50075" s="36"/>
      <c r="C50075" s="36"/>
      <c r="E50075" s="1"/>
      <c r="F50075" s="1"/>
      <c r="G50075" s="1"/>
    </row>
    <row r="50076">
      <c r="B50076" s="36"/>
      <c r="C50076" s="36"/>
      <c r="E50076" s="1"/>
      <c r="F50076" s="1"/>
      <c r="G50076" s="1"/>
    </row>
    <row r="50077">
      <c r="B50077" s="36"/>
      <c r="C50077" s="36"/>
      <c r="E50077" s="1"/>
      <c r="F50077" s="1"/>
      <c r="G50077" s="1"/>
    </row>
    <row r="50078">
      <c r="B50078" s="36"/>
      <c r="C50078" s="36"/>
      <c r="E50078" s="1"/>
      <c r="F50078" s="1"/>
      <c r="G50078" s="1"/>
    </row>
    <row r="50079">
      <c r="B50079" s="36"/>
      <c r="C50079" s="36"/>
      <c r="E50079" s="1"/>
      <c r="F50079" s="1"/>
      <c r="G50079" s="1"/>
    </row>
    <row r="50080">
      <c r="B50080" s="36"/>
      <c r="C50080" s="36"/>
      <c r="E50080" s="1"/>
      <c r="F50080" s="1"/>
      <c r="G50080" s="1"/>
    </row>
    <row r="50081">
      <c r="B50081" s="36"/>
      <c r="C50081" s="36"/>
      <c r="E50081" s="1"/>
      <c r="F50081" s="1"/>
      <c r="G50081" s="1"/>
    </row>
    <row r="50082">
      <c r="B50082" s="36"/>
      <c r="C50082" s="36"/>
      <c r="E50082" s="1"/>
      <c r="F50082" s="1"/>
      <c r="G50082" s="1"/>
    </row>
    <row r="50083">
      <c r="B50083" s="36"/>
      <c r="C50083" s="36"/>
      <c r="E50083" s="1"/>
      <c r="F50083" s="1"/>
      <c r="G50083" s="1"/>
    </row>
    <row r="50084">
      <c r="B50084" s="36"/>
      <c r="C50084" s="36"/>
      <c r="E50084" s="1"/>
      <c r="F50084" s="1"/>
      <c r="G50084" s="1"/>
    </row>
    <row r="50085">
      <c r="B50085" s="36"/>
      <c r="C50085" s="36"/>
      <c r="E50085" s="1"/>
      <c r="F50085" s="1"/>
      <c r="G50085" s="1"/>
    </row>
    <row r="50086">
      <c r="B50086" s="36"/>
      <c r="C50086" s="36"/>
      <c r="E50086" s="1"/>
      <c r="F50086" s="1"/>
      <c r="G50086" s="1"/>
    </row>
    <row r="50087">
      <c r="B50087" s="36"/>
      <c r="C50087" s="36"/>
      <c r="E50087" s="1"/>
      <c r="F50087" s="1"/>
      <c r="G50087" s="1"/>
    </row>
    <row r="50088">
      <c r="B50088" s="36"/>
      <c r="C50088" s="36"/>
      <c r="E50088" s="1"/>
      <c r="F50088" s="1"/>
      <c r="G50088" s="1"/>
    </row>
    <row r="50089">
      <c r="B50089" s="36"/>
      <c r="C50089" s="36"/>
      <c r="E50089" s="1"/>
      <c r="F50089" s="1"/>
      <c r="G50089" s="1"/>
    </row>
    <row r="50090">
      <c r="B50090" s="36"/>
      <c r="C50090" s="36"/>
      <c r="E50090" s="1"/>
      <c r="F50090" s="1"/>
      <c r="G50090" s="1"/>
    </row>
    <row r="50091">
      <c r="B50091" s="36"/>
      <c r="C50091" s="36"/>
      <c r="E50091" s="1"/>
      <c r="F50091" s="1"/>
      <c r="G50091" s="1"/>
    </row>
    <row r="50092">
      <c r="B50092" s="36"/>
      <c r="C50092" s="36"/>
      <c r="E50092" s="1"/>
      <c r="F50092" s="1"/>
      <c r="G50092" s="1"/>
    </row>
    <row r="50093">
      <c r="B50093" s="36"/>
      <c r="C50093" s="36"/>
      <c r="E50093" s="1"/>
      <c r="F50093" s="1"/>
      <c r="G50093" s="1"/>
    </row>
    <row r="50094">
      <c r="B50094" s="36"/>
      <c r="C50094" s="36"/>
      <c r="E50094" s="1"/>
      <c r="F50094" s="1"/>
      <c r="G50094" s="1"/>
    </row>
    <row r="50095">
      <c r="B50095" s="36"/>
      <c r="C50095" s="36"/>
      <c r="E50095" s="1"/>
      <c r="F50095" s="1"/>
      <c r="G50095" s="1"/>
    </row>
    <row r="50096">
      <c r="B50096" s="36"/>
      <c r="C50096" s="36"/>
      <c r="E50096" s="1"/>
      <c r="F50096" s="1"/>
      <c r="G50096" s="1"/>
    </row>
    <row r="50097">
      <c r="B50097" s="36"/>
      <c r="C50097" s="36"/>
      <c r="E50097" s="1"/>
      <c r="F50097" s="1"/>
      <c r="G50097" s="1"/>
    </row>
    <row r="50098">
      <c r="B50098" s="36"/>
      <c r="C50098" s="36"/>
      <c r="E50098" s="1"/>
      <c r="F50098" s="1"/>
      <c r="G50098" s="1"/>
    </row>
    <row r="50099">
      <c r="B50099" s="36"/>
      <c r="C50099" s="36"/>
      <c r="E50099" s="1"/>
      <c r="F50099" s="1"/>
      <c r="G50099" s="1"/>
    </row>
    <row r="50100">
      <c r="B50100" s="36"/>
      <c r="C50100" s="36"/>
      <c r="E50100" s="1"/>
      <c r="F50100" s="1"/>
      <c r="G50100" s="1"/>
    </row>
    <row r="50101">
      <c r="B50101" s="36"/>
      <c r="C50101" s="36"/>
      <c r="E50101" s="1"/>
      <c r="F50101" s="1"/>
      <c r="G50101" s="1"/>
    </row>
    <row r="50102">
      <c r="B50102" s="36"/>
      <c r="C50102" s="36"/>
      <c r="E50102" s="1"/>
      <c r="F50102" s="1"/>
      <c r="G50102" s="1"/>
    </row>
    <row r="50103">
      <c r="B50103" s="36"/>
      <c r="C50103" s="36"/>
      <c r="E50103" s="1"/>
      <c r="F50103" s="1"/>
      <c r="G50103" s="1"/>
    </row>
    <row r="50104">
      <c r="B50104" s="36"/>
      <c r="C50104" s="36"/>
      <c r="E50104" s="1"/>
      <c r="F50104" s="1"/>
      <c r="G50104" s="1"/>
    </row>
    <row r="50105">
      <c r="B50105" s="36"/>
      <c r="C50105" s="36"/>
      <c r="E50105" s="1"/>
      <c r="F50105" s="1"/>
      <c r="G50105" s="1"/>
    </row>
    <row r="50106">
      <c r="B50106" s="36"/>
      <c r="C50106" s="36"/>
      <c r="E50106" s="1"/>
      <c r="F50106" s="1"/>
      <c r="G50106" s="1"/>
    </row>
    <row r="50107">
      <c r="B50107" s="36"/>
      <c r="C50107" s="36"/>
      <c r="E50107" s="1"/>
      <c r="F50107" s="1"/>
      <c r="G50107" s="1"/>
    </row>
    <row r="50108">
      <c r="B50108" s="36"/>
      <c r="C50108" s="36"/>
      <c r="E50108" s="1"/>
      <c r="F50108" s="1"/>
      <c r="G50108" s="1"/>
    </row>
    <row r="50109">
      <c r="B50109" s="36"/>
      <c r="C50109" s="36"/>
      <c r="E50109" s="1"/>
      <c r="F50109" s="1"/>
      <c r="G50109" s="1"/>
    </row>
    <row r="50110">
      <c r="B50110" s="36"/>
      <c r="C50110" s="36"/>
      <c r="E50110" s="1"/>
      <c r="F50110" s="1"/>
      <c r="G50110" s="1"/>
    </row>
    <row r="50111">
      <c r="B50111" s="36"/>
      <c r="C50111" s="36"/>
      <c r="E50111" s="1"/>
      <c r="F50111" s="1"/>
      <c r="G50111" s="1"/>
    </row>
    <row r="50112">
      <c r="B50112" s="36"/>
      <c r="C50112" s="36"/>
      <c r="E50112" s="1"/>
      <c r="F50112" s="1"/>
      <c r="G50112" s="1"/>
    </row>
    <row r="50113">
      <c r="B50113" s="36"/>
      <c r="C50113" s="36"/>
      <c r="E50113" s="1"/>
      <c r="F50113" s="1"/>
      <c r="G50113" s="1"/>
    </row>
    <row r="50114">
      <c r="B50114" s="36"/>
      <c r="C50114" s="36"/>
      <c r="E50114" s="1"/>
      <c r="F50114" s="1"/>
      <c r="G50114" s="1"/>
    </row>
    <row r="50115">
      <c r="B50115" s="36"/>
      <c r="C50115" s="36"/>
      <c r="E50115" s="1"/>
      <c r="F50115" s="1"/>
      <c r="G50115" s="1"/>
    </row>
    <row r="50116">
      <c r="B50116" s="36"/>
      <c r="C50116" s="36"/>
      <c r="E50116" s="1"/>
      <c r="F50116" s="1"/>
      <c r="G50116" s="1"/>
    </row>
    <row r="50117">
      <c r="B50117" s="36"/>
      <c r="C50117" s="36"/>
      <c r="E50117" s="1"/>
      <c r="F50117" s="1"/>
      <c r="G50117" s="1"/>
    </row>
    <row r="50118">
      <c r="B50118" s="36"/>
      <c r="C50118" s="36"/>
      <c r="E50118" s="1"/>
      <c r="F50118" s="1"/>
      <c r="G50118" s="1"/>
    </row>
    <row r="50119">
      <c r="B50119" s="36"/>
      <c r="C50119" s="36"/>
      <c r="E50119" s="1"/>
      <c r="F50119" s="1"/>
      <c r="G50119" s="1"/>
    </row>
    <row r="50120">
      <c r="B50120" s="36"/>
      <c r="C50120" s="36"/>
      <c r="E50120" s="1"/>
      <c r="F50120" s="1"/>
      <c r="G50120" s="1"/>
    </row>
    <row r="50121">
      <c r="B50121" s="36"/>
      <c r="C50121" s="36"/>
      <c r="E50121" s="1"/>
      <c r="F50121" s="1"/>
      <c r="G50121" s="1"/>
    </row>
    <row r="50122">
      <c r="B50122" s="36"/>
      <c r="C50122" s="36"/>
      <c r="E50122" s="1"/>
      <c r="F50122" s="1"/>
      <c r="G50122" s="1"/>
    </row>
    <row r="50123">
      <c r="B50123" s="36"/>
      <c r="C50123" s="36"/>
      <c r="E50123" s="1"/>
      <c r="F50123" s="1"/>
      <c r="G50123" s="1"/>
    </row>
    <row r="50124">
      <c r="B50124" s="36"/>
      <c r="C50124" s="36"/>
      <c r="E50124" s="1"/>
      <c r="F50124" s="1"/>
      <c r="G50124" s="1"/>
    </row>
    <row r="50125">
      <c r="B50125" s="36"/>
      <c r="C50125" s="36"/>
      <c r="E50125" s="1"/>
      <c r="F50125" s="1"/>
      <c r="G50125" s="1"/>
    </row>
    <row r="50126">
      <c r="B50126" s="36"/>
      <c r="C50126" s="36"/>
      <c r="E50126" s="1"/>
      <c r="F50126" s="1"/>
      <c r="G50126" s="1"/>
    </row>
    <row r="50127">
      <c r="B50127" s="36"/>
      <c r="C50127" s="36"/>
      <c r="E50127" s="1"/>
      <c r="F50127" s="1"/>
      <c r="G50127" s="1"/>
    </row>
    <row r="50128">
      <c r="B50128" s="36"/>
      <c r="C50128" s="36"/>
      <c r="E50128" s="1"/>
      <c r="F50128" s="1"/>
      <c r="G50128" s="1"/>
    </row>
    <row r="50129">
      <c r="B50129" s="36"/>
      <c r="C50129" s="36"/>
      <c r="E50129" s="1"/>
      <c r="F50129" s="1"/>
      <c r="G50129" s="1"/>
    </row>
    <row r="50130">
      <c r="B50130" s="36"/>
      <c r="C50130" s="36"/>
      <c r="E50130" s="1"/>
      <c r="F50130" s="1"/>
      <c r="G50130" s="1"/>
    </row>
    <row r="50131">
      <c r="B50131" s="36"/>
      <c r="C50131" s="36"/>
      <c r="E50131" s="1"/>
      <c r="F50131" s="1"/>
      <c r="G50131" s="1"/>
    </row>
    <row r="50132">
      <c r="B50132" s="36"/>
      <c r="C50132" s="36"/>
      <c r="E50132" s="1"/>
      <c r="F50132" s="1"/>
      <c r="G50132" s="1"/>
    </row>
    <row r="50133">
      <c r="B50133" s="36"/>
      <c r="C50133" s="36"/>
      <c r="E50133" s="1"/>
      <c r="F50133" s="1"/>
      <c r="G50133" s="1"/>
    </row>
    <row r="50134">
      <c r="B50134" s="36"/>
      <c r="C50134" s="36"/>
      <c r="E50134" s="1"/>
      <c r="F50134" s="1"/>
      <c r="G50134" s="1"/>
    </row>
    <row r="50135">
      <c r="B50135" s="36"/>
      <c r="C50135" s="36"/>
      <c r="E50135" s="1"/>
      <c r="F50135" s="1"/>
      <c r="G50135" s="1"/>
    </row>
    <row r="50136">
      <c r="B50136" s="36"/>
      <c r="C50136" s="36"/>
      <c r="E50136" s="1"/>
      <c r="F50136" s="1"/>
      <c r="G50136" s="1"/>
    </row>
    <row r="50137">
      <c r="B50137" s="36"/>
      <c r="C50137" s="36"/>
      <c r="E50137" s="1"/>
      <c r="F50137" s="1"/>
      <c r="G50137" s="1"/>
    </row>
    <row r="50138">
      <c r="B50138" s="36"/>
      <c r="C50138" s="36"/>
      <c r="E50138" s="1"/>
      <c r="F50138" s="1"/>
      <c r="G50138" s="1"/>
    </row>
    <row r="50139">
      <c r="B50139" s="36"/>
      <c r="C50139" s="36"/>
      <c r="E50139" s="1"/>
      <c r="F50139" s="1"/>
      <c r="G50139" s="1"/>
    </row>
    <row r="50140">
      <c r="B50140" s="36"/>
      <c r="C50140" s="36"/>
      <c r="E50140" s="1"/>
      <c r="F50140" s="1"/>
      <c r="G50140" s="1"/>
    </row>
    <row r="50141">
      <c r="B50141" s="36"/>
      <c r="C50141" s="36"/>
      <c r="E50141" s="1"/>
      <c r="F50141" s="1"/>
      <c r="G50141" s="1"/>
    </row>
    <row r="50142">
      <c r="B50142" s="36"/>
      <c r="C50142" s="36"/>
      <c r="E50142" s="1"/>
      <c r="F50142" s="1"/>
      <c r="G50142" s="1"/>
    </row>
    <row r="50143">
      <c r="B50143" s="36"/>
      <c r="C50143" s="36"/>
      <c r="E50143" s="1"/>
      <c r="F50143" s="1"/>
      <c r="G50143" s="1"/>
    </row>
    <row r="50144">
      <c r="B50144" s="36"/>
      <c r="C50144" s="36"/>
      <c r="E50144" s="1"/>
      <c r="F50144" s="1"/>
      <c r="G50144" s="1"/>
    </row>
    <row r="50145">
      <c r="B50145" s="36"/>
      <c r="C50145" s="36"/>
      <c r="E50145" s="1"/>
      <c r="F50145" s="1"/>
      <c r="G50145" s="1"/>
    </row>
    <row r="50146">
      <c r="B50146" s="36"/>
      <c r="C50146" s="36"/>
      <c r="E50146" s="1"/>
      <c r="F50146" s="1"/>
      <c r="G50146" s="1"/>
    </row>
    <row r="50147">
      <c r="B50147" s="36"/>
      <c r="C50147" s="36"/>
      <c r="E50147" s="1"/>
      <c r="F50147" s="1"/>
      <c r="G50147" s="1"/>
    </row>
    <row r="50148">
      <c r="B50148" s="36"/>
      <c r="C50148" s="36"/>
      <c r="E50148" s="1"/>
      <c r="F50148" s="1"/>
      <c r="G50148" s="1"/>
    </row>
    <row r="50149">
      <c r="B50149" s="36"/>
      <c r="C50149" s="36"/>
      <c r="E50149" s="1"/>
      <c r="F50149" s="1"/>
      <c r="G50149" s="1"/>
    </row>
    <row r="50150">
      <c r="B50150" s="36"/>
      <c r="C50150" s="36"/>
      <c r="E50150" s="1"/>
      <c r="F50150" s="1"/>
      <c r="G50150" s="1"/>
    </row>
    <row r="50151">
      <c r="B50151" s="36"/>
      <c r="C50151" s="36"/>
      <c r="E50151" s="1"/>
      <c r="F50151" s="1"/>
      <c r="G50151" s="1"/>
    </row>
    <row r="50152">
      <c r="B50152" s="36"/>
      <c r="C50152" s="36"/>
      <c r="E50152" s="1"/>
      <c r="F50152" s="1"/>
      <c r="G50152" s="1"/>
    </row>
    <row r="50153">
      <c r="B50153" s="36"/>
      <c r="C50153" s="36"/>
      <c r="E50153" s="1"/>
      <c r="F50153" s="1"/>
      <c r="G50153" s="1"/>
    </row>
    <row r="50154">
      <c r="B50154" s="36"/>
      <c r="C50154" s="36"/>
      <c r="E50154" s="1"/>
      <c r="F50154" s="1"/>
      <c r="G50154" s="1"/>
    </row>
    <row r="50155">
      <c r="B50155" s="36"/>
      <c r="C50155" s="36"/>
      <c r="E50155" s="1"/>
      <c r="F50155" s="1"/>
      <c r="G50155" s="1"/>
    </row>
    <row r="50156">
      <c r="B50156" s="36"/>
      <c r="C50156" s="36"/>
      <c r="E50156" s="1"/>
      <c r="F50156" s="1"/>
      <c r="G50156" s="1"/>
    </row>
    <row r="50157">
      <c r="B50157" s="36"/>
      <c r="C50157" s="36"/>
      <c r="E50157" s="1"/>
      <c r="F50157" s="1"/>
      <c r="G50157" s="1"/>
    </row>
    <row r="50158">
      <c r="B50158" s="36"/>
      <c r="C50158" s="36"/>
      <c r="E50158" s="1"/>
      <c r="F50158" s="1"/>
      <c r="G50158" s="1"/>
    </row>
    <row r="50159">
      <c r="B50159" s="36"/>
      <c r="C50159" s="36"/>
      <c r="E50159" s="1"/>
      <c r="F50159" s="1"/>
      <c r="G50159" s="1"/>
    </row>
    <row r="50160">
      <c r="B50160" s="36"/>
      <c r="C50160" s="36"/>
      <c r="E50160" s="1"/>
      <c r="F50160" s="1"/>
      <c r="G50160" s="1"/>
    </row>
    <row r="50161">
      <c r="B50161" s="36"/>
      <c r="C50161" s="36"/>
      <c r="E50161" s="1"/>
      <c r="F50161" s="1"/>
      <c r="G50161" s="1"/>
    </row>
    <row r="50162">
      <c r="B50162" s="36"/>
      <c r="C50162" s="36"/>
      <c r="E50162" s="1"/>
      <c r="F50162" s="1"/>
      <c r="G50162" s="1"/>
    </row>
    <row r="50163">
      <c r="B50163" s="36"/>
      <c r="C50163" s="36"/>
      <c r="E50163" s="1"/>
      <c r="F50163" s="1"/>
      <c r="G50163" s="1"/>
    </row>
    <row r="50164">
      <c r="B50164" s="36"/>
      <c r="C50164" s="36"/>
      <c r="E50164" s="1"/>
      <c r="F50164" s="1"/>
      <c r="G50164" s="1"/>
    </row>
    <row r="50165">
      <c r="B50165" s="36"/>
      <c r="C50165" s="36"/>
      <c r="E50165" s="1"/>
      <c r="F50165" s="1"/>
      <c r="G50165" s="1"/>
    </row>
    <row r="50166">
      <c r="B50166" s="36"/>
      <c r="C50166" s="36"/>
      <c r="E50166" s="1"/>
      <c r="F50166" s="1"/>
      <c r="G50166" s="1"/>
    </row>
    <row r="50167">
      <c r="B50167" s="36"/>
      <c r="C50167" s="36"/>
      <c r="E50167" s="1"/>
      <c r="F50167" s="1"/>
      <c r="G50167" s="1"/>
    </row>
    <row r="50168">
      <c r="B50168" s="36"/>
      <c r="C50168" s="36"/>
      <c r="E50168" s="1"/>
      <c r="F50168" s="1"/>
      <c r="G50168" s="1"/>
    </row>
    <row r="50169">
      <c r="B50169" s="36"/>
      <c r="C50169" s="36"/>
      <c r="E50169" s="1"/>
      <c r="F50169" s="1"/>
      <c r="G50169" s="1"/>
    </row>
    <row r="50170">
      <c r="B50170" s="36"/>
      <c r="C50170" s="36"/>
      <c r="E50170" s="1"/>
      <c r="F50170" s="1"/>
      <c r="G50170" s="1"/>
    </row>
    <row r="50171">
      <c r="B50171" s="36"/>
      <c r="C50171" s="36"/>
      <c r="E50171" s="1"/>
      <c r="F50171" s="1"/>
      <c r="G50171" s="1"/>
    </row>
    <row r="50172">
      <c r="B50172" s="36"/>
      <c r="C50172" s="36"/>
      <c r="E50172" s="1"/>
      <c r="F50172" s="1"/>
      <c r="G50172" s="1"/>
    </row>
    <row r="50173">
      <c r="B50173" s="36"/>
      <c r="C50173" s="36"/>
      <c r="E50173" s="1"/>
      <c r="F50173" s="1"/>
      <c r="G50173" s="1"/>
    </row>
    <row r="50174">
      <c r="B50174" s="36"/>
      <c r="C50174" s="36"/>
      <c r="E50174" s="1"/>
      <c r="F50174" s="1"/>
      <c r="G50174" s="1"/>
    </row>
    <row r="50175">
      <c r="B50175" s="36"/>
      <c r="C50175" s="36"/>
      <c r="E50175" s="1"/>
      <c r="F50175" s="1"/>
      <c r="G50175" s="1"/>
    </row>
    <row r="50176">
      <c r="B50176" s="36"/>
      <c r="C50176" s="36"/>
      <c r="E50176" s="1"/>
      <c r="F50176" s="1"/>
      <c r="G50176" s="1"/>
    </row>
    <row r="50177">
      <c r="B50177" s="36"/>
      <c r="C50177" s="36"/>
      <c r="E50177" s="1"/>
      <c r="F50177" s="1"/>
      <c r="G50177" s="1"/>
    </row>
    <row r="50178">
      <c r="B50178" s="36"/>
      <c r="C50178" s="36"/>
      <c r="E50178" s="1"/>
      <c r="F50178" s="1"/>
      <c r="G50178" s="1"/>
    </row>
    <row r="50179">
      <c r="B50179" s="36"/>
      <c r="C50179" s="36"/>
      <c r="E50179" s="1"/>
      <c r="F50179" s="1"/>
      <c r="G50179" s="1"/>
    </row>
    <row r="50180">
      <c r="B50180" s="36"/>
      <c r="C50180" s="36"/>
      <c r="E50180" s="1"/>
      <c r="F50180" s="1"/>
      <c r="G50180" s="1"/>
    </row>
    <row r="50181">
      <c r="B50181" s="36"/>
      <c r="C50181" s="36"/>
      <c r="E50181" s="1"/>
      <c r="F50181" s="1"/>
      <c r="G50181" s="1"/>
    </row>
    <row r="50182">
      <c r="B50182" s="36"/>
      <c r="C50182" s="36"/>
      <c r="E50182" s="1"/>
      <c r="F50182" s="1"/>
      <c r="G50182" s="1"/>
    </row>
    <row r="50183">
      <c r="B50183" s="36"/>
      <c r="C50183" s="36"/>
      <c r="E50183" s="1"/>
      <c r="F50183" s="1"/>
      <c r="G50183" s="1"/>
    </row>
    <row r="50184">
      <c r="B50184" s="36"/>
      <c r="C50184" s="36"/>
      <c r="E50184" s="1"/>
      <c r="F50184" s="1"/>
      <c r="G50184" s="1"/>
    </row>
    <row r="50185">
      <c r="B50185" s="36"/>
      <c r="C50185" s="36"/>
      <c r="E50185" s="1"/>
      <c r="F50185" s="1"/>
      <c r="G50185" s="1"/>
    </row>
    <row r="50186">
      <c r="B50186" s="36"/>
      <c r="C50186" s="36"/>
      <c r="E50186" s="1"/>
      <c r="F50186" s="1"/>
      <c r="G50186" s="1"/>
    </row>
    <row r="50187">
      <c r="B50187" s="36"/>
      <c r="C50187" s="36"/>
      <c r="E50187" s="1"/>
      <c r="F50187" s="1"/>
      <c r="G50187" s="1"/>
    </row>
    <row r="50188">
      <c r="B50188" s="36"/>
      <c r="C50188" s="36"/>
      <c r="E50188" s="1"/>
      <c r="F50188" s="1"/>
      <c r="G50188" s="1"/>
    </row>
    <row r="50189">
      <c r="B50189" s="36"/>
      <c r="C50189" s="36"/>
      <c r="E50189" s="1"/>
      <c r="F50189" s="1"/>
      <c r="G50189" s="1"/>
    </row>
    <row r="50190">
      <c r="B50190" s="36"/>
      <c r="C50190" s="36"/>
      <c r="E50190" s="1"/>
      <c r="F50190" s="1"/>
      <c r="G50190" s="1"/>
    </row>
    <row r="50191">
      <c r="B50191" s="36"/>
      <c r="C50191" s="36"/>
      <c r="E50191" s="1"/>
      <c r="F50191" s="1"/>
      <c r="G50191" s="1"/>
    </row>
    <row r="50192">
      <c r="B50192" s="36"/>
      <c r="C50192" s="36"/>
      <c r="E50192" s="1"/>
      <c r="F50192" s="1"/>
      <c r="G50192" s="1"/>
    </row>
    <row r="50193">
      <c r="B50193" s="36"/>
      <c r="C50193" s="36"/>
      <c r="E50193" s="1"/>
      <c r="F50193" s="1"/>
      <c r="G50193" s="1"/>
    </row>
    <row r="50194">
      <c r="B50194" s="36"/>
      <c r="C50194" s="36"/>
      <c r="E50194" s="1"/>
      <c r="F50194" s="1"/>
      <c r="G50194" s="1"/>
    </row>
    <row r="50195">
      <c r="B50195" s="36"/>
      <c r="C50195" s="36"/>
      <c r="E50195" s="1"/>
      <c r="F50195" s="1"/>
      <c r="G50195" s="1"/>
    </row>
    <row r="50196">
      <c r="B50196" s="36"/>
      <c r="C50196" s="36"/>
      <c r="E50196" s="1"/>
      <c r="F50196" s="1"/>
      <c r="G50196" s="1"/>
    </row>
    <row r="50197">
      <c r="B50197" s="36"/>
      <c r="C50197" s="36"/>
      <c r="E50197" s="1"/>
      <c r="F50197" s="1"/>
      <c r="G50197" s="1"/>
    </row>
    <row r="50198">
      <c r="B50198" s="36"/>
      <c r="C50198" s="36"/>
      <c r="E50198" s="1"/>
      <c r="F50198" s="1"/>
      <c r="G50198" s="1"/>
    </row>
    <row r="50199">
      <c r="B50199" s="36"/>
      <c r="C50199" s="36"/>
      <c r="E50199" s="1"/>
      <c r="F50199" s="1"/>
      <c r="G50199" s="1"/>
    </row>
    <row r="50200">
      <c r="B50200" s="36"/>
      <c r="C50200" s="36"/>
      <c r="E50200" s="1"/>
      <c r="F50200" s="1"/>
      <c r="G50200" s="1"/>
    </row>
    <row r="50201">
      <c r="B50201" s="36"/>
      <c r="C50201" s="36"/>
      <c r="E50201" s="1"/>
      <c r="F50201" s="1"/>
      <c r="G50201" s="1"/>
    </row>
    <row r="50202">
      <c r="B50202" s="36"/>
      <c r="C50202" s="36"/>
      <c r="E50202" s="1"/>
      <c r="F50202" s="1"/>
      <c r="G50202" s="1"/>
    </row>
    <row r="50203">
      <c r="B50203" s="36"/>
      <c r="C50203" s="36"/>
      <c r="E50203" s="1"/>
      <c r="F50203" s="1"/>
      <c r="G50203" s="1"/>
    </row>
    <row r="50204">
      <c r="B50204" s="36"/>
      <c r="C50204" s="36"/>
      <c r="E50204" s="1"/>
      <c r="F50204" s="1"/>
      <c r="G50204" s="1"/>
    </row>
    <row r="50205">
      <c r="B50205" s="36"/>
      <c r="C50205" s="36"/>
      <c r="E50205" s="1"/>
      <c r="F50205" s="1"/>
      <c r="G50205" s="1"/>
    </row>
    <row r="50206">
      <c r="B50206" s="36"/>
      <c r="C50206" s="36"/>
      <c r="E50206" s="1"/>
      <c r="F50206" s="1"/>
      <c r="G50206" s="1"/>
    </row>
    <row r="50207">
      <c r="B50207" s="36"/>
      <c r="C50207" s="36"/>
      <c r="E50207" s="1"/>
      <c r="F50207" s="1"/>
      <c r="G50207" s="1"/>
    </row>
    <row r="50208">
      <c r="B50208" s="36"/>
      <c r="C50208" s="36"/>
      <c r="E50208" s="1"/>
      <c r="F50208" s="1"/>
      <c r="G50208" s="1"/>
    </row>
    <row r="50209">
      <c r="B50209" s="36"/>
      <c r="C50209" s="36"/>
      <c r="E50209" s="1"/>
      <c r="F50209" s="1"/>
      <c r="G50209" s="1"/>
    </row>
    <row r="50210">
      <c r="B50210" s="36"/>
      <c r="C50210" s="36"/>
      <c r="E50210" s="1"/>
      <c r="F50210" s="1"/>
      <c r="G50210" s="1"/>
    </row>
    <row r="50211">
      <c r="B50211" s="36"/>
      <c r="C50211" s="36"/>
      <c r="E50211" s="1"/>
      <c r="F50211" s="1"/>
      <c r="G50211" s="1"/>
    </row>
    <row r="50212">
      <c r="B50212" s="36"/>
      <c r="C50212" s="36"/>
      <c r="E50212" s="1"/>
      <c r="F50212" s="1"/>
      <c r="G50212" s="1"/>
    </row>
    <row r="50213">
      <c r="B50213" s="36"/>
      <c r="C50213" s="36"/>
      <c r="E50213" s="1"/>
      <c r="F50213" s="1"/>
      <c r="G50213" s="1"/>
    </row>
    <row r="50214">
      <c r="B50214" s="36"/>
      <c r="C50214" s="36"/>
      <c r="E50214" s="1"/>
      <c r="F50214" s="1"/>
      <c r="G50214" s="1"/>
    </row>
    <row r="50215">
      <c r="B50215" s="36"/>
      <c r="C50215" s="36"/>
      <c r="E50215" s="1"/>
      <c r="F50215" s="1"/>
      <c r="G50215" s="1"/>
    </row>
    <row r="50216">
      <c r="B50216" s="36"/>
      <c r="C50216" s="36"/>
      <c r="E50216" s="1"/>
      <c r="F50216" s="1"/>
      <c r="G50216" s="1"/>
    </row>
    <row r="50217">
      <c r="B50217" s="36"/>
      <c r="C50217" s="36"/>
      <c r="E50217" s="1"/>
      <c r="F50217" s="1"/>
      <c r="G50217" s="1"/>
    </row>
    <row r="50218">
      <c r="B50218" s="36"/>
      <c r="C50218" s="36"/>
      <c r="E50218" s="1"/>
      <c r="F50218" s="1"/>
      <c r="G50218" s="1"/>
    </row>
    <row r="50219">
      <c r="B50219" s="36"/>
      <c r="C50219" s="36"/>
      <c r="E50219" s="1"/>
      <c r="F50219" s="1"/>
      <c r="G50219" s="1"/>
    </row>
    <row r="50220">
      <c r="B50220" s="36"/>
      <c r="C50220" s="36"/>
      <c r="E50220" s="1"/>
      <c r="F50220" s="1"/>
      <c r="G50220" s="1"/>
    </row>
    <row r="50221">
      <c r="B50221" s="36"/>
      <c r="C50221" s="36"/>
      <c r="E50221" s="1"/>
      <c r="F50221" s="1"/>
      <c r="G50221" s="1"/>
    </row>
    <row r="50222">
      <c r="B50222" s="36"/>
      <c r="C50222" s="36"/>
      <c r="E50222" s="1"/>
      <c r="F50222" s="1"/>
      <c r="G50222" s="1"/>
    </row>
    <row r="50223">
      <c r="B50223" s="36"/>
      <c r="C50223" s="36"/>
      <c r="E50223" s="1"/>
      <c r="F50223" s="1"/>
      <c r="G50223" s="1"/>
    </row>
    <row r="50224">
      <c r="B50224" s="36"/>
      <c r="C50224" s="36"/>
      <c r="E50224" s="1"/>
      <c r="F50224" s="1"/>
      <c r="G50224" s="1"/>
    </row>
    <row r="50225">
      <c r="B50225" s="36"/>
      <c r="C50225" s="36"/>
      <c r="E50225" s="1"/>
      <c r="F50225" s="1"/>
      <c r="G50225" s="1"/>
    </row>
    <row r="50226">
      <c r="B50226" s="36"/>
      <c r="C50226" s="36"/>
      <c r="E50226" s="1"/>
      <c r="F50226" s="1"/>
      <c r="G50226" s="1"/>
    </row>
    <row r="50227">
      <c r="B50227" s="36"/>
      <c r="C50227" s="36"/>
      <c r="E50227" s="1"/>
      <c r="F50227" s="1"/>
      <c r="G50227" s="1"/>
    </row>
    <row r="50228">
      <c r="B50228" s="36"/>
      <c r="C50228" s="36"/>
      <c r="E50228" s="1"/>
      <c r="F50228" s="1"/>
      <c r="G50228" s="1"/>
    </row>
    <row r="50229">
      <c r="B50229" s="36"/>
      <c r="C50229" s="36"/>
      <c r="E50229" s="1"/>
      <c r="F50229" s="1"/>
      <c r="G50229" s="1"/>
    </row>
    <row r="50230">
      <c r="B50230" s="36"/>
      <c r="C50230" s="36"/>
      <c r="E50230" s="1"/>
      <c r="F50230" s="1"/>
      <c r="G50230" s="1"/>
    </row>
    <row r="50231">
      <c r="B50231" s="36"/>
      <c r="C50231" s="36"/>
      <c r="E50231" s="1"/>
      <c r="F50231" s="1"/>
      <c r="G50231" s="1"/>
    </row>
    <row r="50232">
      <c r="B50232" s="36"/>
      <c r="C50232" s="36"/>
      <c r="E50232" s="1"/>
      <c r="F50232" s="1"/>
      <c r="G50232" s="1"/>
    </row>
    <row r="50233">
      <c r="B50233" s="36"/>
      <c r="C50233" s="36"/>
      <c r="E50233" s="1"/>
      <c r="F50233" s="1"/>
      <c r="G50233" s="1"/>
    </row>
    <row r="50234">
      <c r="B50234" s="36"/>
      <c r="C50234" s="36"/>
      <c r="E50234" s="1"/>
      <c r="F50234" s="1"/>
      <c r="G50234" s="1"/>
    </row>
    <row r="50235">
      <c r="B50235" s="36"/>
      <c r="C50235" s="36"/>
      <c r="E50235" s="1"/>
      <c r="F50235" s="1"/>
      <c r="G50235" s="1"/>
    </row>
    <row r="50236">
      <c r="B50236" s="36"/>
      <c r="C50236" s="36"/>
      <c r="E50236" s="1"/>
      <c r="F50236" s="1"/>
      <c r="G50236" s="1"/>
    </row>
    <row r="50237">
      <c r="B50237" s="36"/>
      <c r="C50237" s="36"/>
      <c r="E50237" s="1"/>
      <c r="F50237" s="1"/>
      <c r="G50237" s="1"/>
    </row>
    <row r="50238">
      <c r="B50238" s="36"/>
      <c r="C50238" s="36"/>
      <c r="E50238" s="1"/>
      <c r="F50238" s="1"/>
      <c r="G50238" s="1"/>
    </row>
    <row r="50239">
      <c r="B50239" s="36"/>
      <c r="C50239" s="36"/>
      <c r="E50239" s="1"/>
      <c r="F50239" s="1"/>
      <c r="G50239" s="1"/>
    </row>
    <row r="50240">
      <c r="B50240" s="36"/>
      <c r="C50240" s="36"/>
      <c r="E50240" s="1"/>
      <c r="F50240" s="1"/>
      <c r="G50240" s="1"/>
    </row>
    <row r="50241">
      <c r="B50241" s="36"/>
      <c r="C50241" s="36"/>
      <c r="E50241" s="1"/>
      <c r="F50241" s="1"/>
      <c r="G50241" s="1"/>
    </row>
    <row r="50242">
      <c r="B50242" s="36"/>
      <c r="C50242" s="36"/>
      <c r="E50242" s="1"/>
      <c r="F50242" s="1"/>
      <c r="G50242" s="1"/>
    </row>
    <row r="50243">
      <c r="B50243" s="36"/>
      <c r="C50243" s="36"/>
      <c r="E50243" s="1"/>
      <c r="F50243" s="1"/>
      <c r="G50243" s="1"/>
    </row>
    <row r="50244">
      <c r="B50244" s="36"/>
      <c r="C50244" s="36"/>
      <c r="E50244" s="1"/>
      <c r="F50244" s="1"/>
      <c r="G50244" s="1"/>
    </row>
    <row r="50245">
      <c r="B50245" s="36"/>
      <c r="C50245" s="36"/>
      <c r="E50245" s="1"/>
      <c r="F50245" s="1"/>
      <c r="G50245" s="1"/>
    </row>
    <row r="50246">
      <c r="B50246" s="36"/>
      <c r="C50246" s="36"/>
      <c r="E50246" s="1"/>
      <c r="F50246" s="1"/>
      <c r="G50246" s="1"/>
    </row>
    <row r="50247">
      <c r="B50247" s="36"/>
      <c r="C50247" s="36"/>
      <c r="E50247" s="1"/>
      <c r="F50247" s="1"/>
      <c r="G50247" s="1"/>
    </row>
    <row r="50248">
      <c r="B50248" s="36"/>
      <c r="C50248" s="36"/>
      <c r="E50248" s="1"/>
      <c r="F50248" s="1"/>
      <c r="G50248" s="1"/>
    </row>
    <row r="50249">
      <c r="B50249" s="36"/>
      <c r="C50249" s="36"/>
      <c r="E50249" s="1"/>
      <c r="F50249" s="1"/>
      <c r="G50249" s="1"/>
    </row>
    <row r="50250">
      <c r="B50250" s="36"/>
      <c r="C50250" s="36"/>
      <c r="E50250" s="1"/>
      <c r="F50250" s="1"/>
      <c r="G50250" s="1"/>
    </row>
    <row r="50251">
      <c r="B50251" s="36"/>
      <c r="C50251" s="36"/>
      <c r="E50251" s="1"/>
      <c r="F50251" s="1"/>
      <c r="G50251" s="1"/>
    </row>
    <row r="50252">
      <c r="B50252" s="36"/>
      <c r="C50252" s="36"/>
      <c r="E50252" s="1"/>
      <c r="F50252" s="1"/>
      <c r="G50252" s="1"/>
    </row>
    <row r="50253">
      <c r="B50253" s="36"/>
      <c r="C50253" s="36"/>
      <c r="E50253" s="1"/>
      <c r="F50253" s="1"/>
      <c r="G50253" s="1"/>
    </row>
    <row r="50254">
      <c r="B50254" s="36"/>
      <c r="C50254" s="36"/>
      <c r="E50254" s="1"/>
      <c r="F50254" s="1"/>
      <c r="G50254" s="1"/>
    </row>
    <row r="50255">
      <c r="B50255" s="36"/>
      <c r="C50255" s="36"/>
      <c r="E50255" s="1"/>
      <c r="F50255" s="1"/>
      <c r="G50255" s="1"/>
    </row>
    <row r="50256">
      <c r="B50256" s="36"/>
      <c r="C50256" s="36"/>
      <c r="E50256" s="1"/>
      <c r="F50256" s="1"/>
      <c r="G50256" s="1"/>
    </row>
    <row r="50257">
      <c r="B50257" s="36"/>
      <c r="C50257" s="36"/>
      <c r="E50257" s="1"/>
      <c r="F50257" s="1"/>
      <c r="G50257" s="1"/>
    </row>
    <row r="50258">
      <c r="B50258" s="36"/>
      <c r="C50258" s="36"/>
      <c r="E50258" s="1"/>
      <c r="F50258" s="1"/>
      <c r="G50258" s="1"/>
    </row>
    <row r="50259">
      <c r="B50259" s="36"/>
      <c r="C50259" s="36"/>
      <c r="E50259" s="1"/>
      <c r="F50259" s="1"/>
      <c r="G50259" s="1"/>
    </row>
    <row r="50260">
      <c r="B50260" s="36"/>
      <c r="C50260" s="36"/>
      <c r="E50260" s="1"/>
      <c r="F50260" s="1"/>
      <c r="G50260" s="1"/>
    </row>
    <row r="50261">
      <c r="B50261" s="36"/>
      <c r="C50261" s="36"/>
      <c r="E50261" s="1"/>
      <c r="F50261" s="1"/>
      <c r="G50261" s="1"/>
    </row>
    <row r="50262">
      <c r="B50262" s="36"/>
      <c r="C50262" s="36"/>
      <c r="E50262" s="1"/>
      <c r="F50262" s="1"/>
      <c r="G50262" s="1"/>
    </row>
    <row r="50263">
      <c r="B50263" s="36"/>
      <c r="C50263" s="36"/>
      <c r="E50263" s="1"/>
      <c r="F50263" s="1"/>
      <c r="G50263" s="1"/>
    </row>
    <row r="50264">
      <c r="B50264" s="36"/>
      <c r="C50264" s="36"/>
      <c r="E50264" s="1"/>
      <c r="F50264" s="1"/>
      <c r="G50264" s="1"/>
    </row>
    <row r="50265">
      <c r="B50265" s="36"/>
      <c r="C50265" s="36"/>
      <c r="E50265" s="1"/>
      <c r="F50265" s="1"/>
      <c r="G50265" s="1"/>
    </row>
    <row r="50266">
      <c r="B50266" s="36"/>
      <c r="C50266" s="36"/>
      <c r="E50266" s="1"/>
      <c r="F50266" s="1"/>
      <c r="G50266" s="1"/>
    </row>
    <row r="50267">
      <c r="B50267" s="36"/>
      <c r="C50267" s="36"/>
      <c r="E50267" s="1"/>
      <c r="F50267" s="1"/>
      <c r="G50267" s="1"/>
    </row>
    <row r="50268">
      <c r="B50268" s="36"/>
      <c r="C50268" s="36"/>
      <c r="E50268" s="1"/>
      <c r="F50268" s="1"/>
      <c r="G50268" s="1"/>
    </row>
    <row r="50269">
      <c r="B50269" s="36"/>
      <c r="C50269" s="36"/>
      <c r="E50269" s="1"/>
      <c r="F50269" s="1"/>
      <c r="G50269" s="1"/>
    </row>
    <row r="50270">
      <c r="B50270" s="36"/>
      <c r="C50270" s="36"/>
      <c r="E50270" s="1"/>
      <c r="F50270" s="1"/>
      <c r="G50270" s="1"/>
    </row>
    <row r="50271">
      <c r="B50271" s="36"/>
      <c r="C50271" s="36"/>
      <c r="E50271" s="1"/>
      <c r="F50271" s="1"/>
      <c r="G50271" s="1"/>
    </row>
    <row r="50272">
      <c r="B50272" s="36"/>
      <c r="C50272" s="36"/>
      <c r="E50272" s="1"/>
      <c r="F50272" s="1"/>
      <c r="G50272" s="1"/>
    </row>
    <row r="50273">
      <c r="B50273" s="36"/>
      <c r="C50273" s="36"/>
      <c r="E50273" s="1"/>
      <c r="F50273" s="1"/>
      <c r="G50273" s="1"/>
    </row>
    <row r="50274">
      <c r="B50274" s="36"/>
      <c r="C50274" s="36"/>
      <c r="E50274" s="1"/>
      <c r="F50274" s="1"/>
      <c r="G50274" s="1"/>
    </row>
    <row r="50275">
      <c r="B50275" s="36"/>
      <c r="C50275" s="36"/>
      <c r="E50275" s="1"/>
      <c r="F50275" s="1"/>
      <c r="G50275" s="1"/>
    </row>
    <row r="50276">
      <c r="B50276" s="36"/>
      <c r="C50276" s="36"/>
      <c r="E50276" s="1"/>
      <c r="F50276" s="1"/>
      <c r="G50276" s="1"/>
    </row>
    <row r="50277">
      <c r="B50277" s="36"/>
      <c r="C50277" s="36"/>
      <c r="E50277" s="1"/>
      <c r="F50277" s="1"/>
      <c r="G50277" s="1"/>
    </row>
    <row r="50278">
      <c r="B50278" s="36"/>
      <c r="C50278" s="36"/>
      <c r="E50278" s="1"/>
      <c r="F50278" s="1"/>
      <c r="G50278" s="1"/>
    </row>
    <row r="50279">
      <c r="B50279" s="36"/>
      <c r="C50279" s="36"/>
      <c r="E50279" s="1"/>
      <c r="F50279" s="1"/>
      <c r="G50279" s="1"/>
    </row>
    <row r="50280">
      <c r="B50280" s="36"/>
      <c r="C50280" s="36"/>
      <c r="E50280" s="1"/>
      <c r="F50280" s="1"/>
      <c r="G50280" s="1"/>
    </row>
    <row r="50281">
      <c r="B50281" s="36"/>
      <c r="C50281" s="36"/>
      <c r="E50281" s="1"/>
      <c r="F50281" s="1"/>
      <c r="G50281" s="1"/>
    </row>
    <row r="50282">
      <c r="B50282" s="36"/>
      <c r="C50282" s="36"/>
      <c r="E50282" s="1"/>
      <c r="F50282" s="1"/>
      <c r="G50282" s="1"/>
    </row>
    <row r="50283">
      <c r="B50283" s="36"/>
      <c r="C50283" s="36"/>
      <c r="E50283" s="1"/>
      <c r="F50283" s="1"/>
      <c r="G50283" s="1"/>
    </row>
    <row r="50284">
      <c r="B50284" s="36"/>
      <c r="C50284" s="36"/>
      <c r="E50284" s="1"/>
      <c r="F50284" s="1"/>
      <c r="G50284" s="1"/>
    </row>
    <row r="50285">
      <c r="B50285" s="36"/>
      <c r="C50285" s="36"/>
      <c r="E50285" s="1"/>
      <c r="F50285" s="1"/>
      <c r="G50285" s="1"/>
    </row>
    <row r="50286">
      <c r="B50286" s="36"/>
      <c r="C50286" s="36"/>
      <c r="E50286" s="1"/>
      <c r="F50286" s="1"/>
      <c r="G50286" s="1"/>
    </row>
    <row r="50287">
      <c r="B50287" s="36"/>
      <c r="C50287" s="36"/>
      <c r="E50287" s="1"/>
      <c r="F50287" s="1"/>
      <c r="G50287" s="1"/>
    </row>
    <row r="50288">
      <c r="B50288" s="36"/>
      <c r="C50288" s="36"/>
      <c r="E50288" s="1"/>
      <c r="F50288" s="1"/>
      <c r="G50288" s="1"/>
    </row>
    <row r="50289">
      <c r="B50289" s="36"/>
      <c r="C50289" s="36"/>
      <c r="E50289" s="1"/>
      <c r="F50289" s="1"/>
      <c r="G50289" s="1"/>
    </row>
    <row r="50290">
      <c r="B50290" s="36"/>
      <c r="C50290" s="36"/>
      <c r="E50290" s="1"/>
      <c r="F50290" s="1"/>
      <c r="G50290" s="1"/>
    </row>
    <row r="50291">
      <c r="B50291" s="36"/>
      <c r="C50291" s="36"/>
      <c r="E50291" s="1"/>
      <c r="F50291" s="1"/>
      <c r="G50291" s="1"/>
    </row>
    <row r="50292">
      <c r="B50292" s="36"/>
      <c r="C50292" s="36"/>
      <c r="E50292" s="1"/>
      <c r="F50292" s="1"/>
      <c r="G50292" s="1"/>
    </row>
    <row r="50293">
      <c r="B50293" s="36"/>
      <c r="C50293" s="36"/>
      <c r="E50293" s="1"/>
      <c r="F50293" s="1"/>
      <c r="G50293" s="1"/>
    </row>
    <row r="50294">
      <c r="B50294" s="36"/>
      <c r="C50294" s="36"/>
      <c r="E50294" s="1"/>
      <c r="F50294" s="1"/>
      <c r="G50294" s="1"/>
    </row>
    <row r="50295">
      <c r="B50295" s="36"/>
      <c r="C50295" s="36"/>
      <c r="E50295" s="1"/>
      <c r="F50295" s="1"/>
      <c r="G50295" s="1"/>
    </row>
    <row r="50296">
      <c r="B50296" s="36"/>
      <c r="C50296" s="36"/>
      <c r="E50296" s="1"/>
      <c r="F50296" s="1"/>
      <c r="G50296" s="1"/>
    </row>
    <row r="50297">
      <c r="B50297" s="36"/>
      <c r="C50297" s="36"/>
      <c r="E50297" s="1"/>
      <c r="F50297" s="1"/>
      <c r="G50297" s="1"/>
    </row>
    <row r="50298">
      <c r="B50298" s="36"/>
      <c r="C50298" s="36"/>
      <c r="E50298" s="1"/>
      <c r="F50298" s="1"/>
      <c r="G50298" s="1"/>
    </row>
    <row r="50299">
      <c r="B50299" s="36"/>
      <c r="C50299" s="36"/>
      <c r="E50299" s="1"/>
      <c r="F50299" s="1"/>
      <c r="G50299" s="1"/>
    </row>
    <row r="50300">
      <c r="B50300" s="36"/>
      <c r="C50300" s="36"/>
      <c r="E50300" s="1"/>
      <c r="F50300" s="1"/>
      <c r="G50300" s="1"/>
    </row>
    <row r="50301">
      <c r="B50301" s="36"/>
      <c r="C50301" s="36"/>
      <c r="E50301" s="1"/>
      <c r="F50301" s="1"/>
      <c r="G50301" s="1"/>
    </row>
    <row r="50302">
      <c r="B50302" s="36"/>
      <c r="C50302" s="36"/>
      <c r="E50302" s="1"/>
      <c r="F50302" s="1"/>
      <c r="G50302" s="1"/>
    </row>
    <row r="50303">
      <c r="B50303" s="36"/>
      <c r="C50303" s="36"/>
      <c r="E50303" s="1"/>
      <c r="F50303" s="1"/>
      <c r="G50303" s="1"/>
    </row>
    <row r="50304">
      <c r="B50304" s="36"/>
      <c r="C50304" s="36"/>
      <c r="E50304" s="1"/>
      <c r="F50304" s="1"/>
      <c r="G50304" s="1"/>
    </row>
    <row r="50305">
      <c r="B50305" s="36"/>
      <c r="C50305" s="36"/>
      <c r="E50305" s="1"/>
      <c r="F50305" s="1"/>
      <c r="G50305" s="1"/>
    </row>
    <row r="50306">
      <c r="B50306" s="36"/>
      <c r="C50306" s="36"/>
      <c r="E50306" s="1"/>
      <c r="F50306" s="1"/>
      <c r="G50306" s="1"/>
    </row>
    <row r="50307">
      <c r="B50307" s="36"/>
      <c r="C50307" s="36"/>
      <c r="E50307" s="1"/>
      <c r="F50307" s="1"/>
      <c r="G50307" s="1"/>
    </row>
    <row r="50308">
      <c r="B50308" s="36"/>
      <c r="C50308" s="36"/>
      <c r="E50308" s="1"/>
      <c r="F50308" s="1"/>
      <c r="G50308" s="1"/>
    </row>
    <row r="50309">
      <c r="B50309" s="36"/>
      <c r="C50309" s="36"/>
      <c r="E50309" s="1"/>
      <c r="F50309" s="1"/>
      <c r="G50309" s="1"/>
    </row>
    <row r="50310">
      <c r="B50310" s="36"/>
      <c r="C50310" s="36"/>
      <c r="E50310" s="1"/>
      <c r="F50310" s="1"/>
      <c r="G50310" s="1"/>
    </row>
    <row r="50311">
      <c r="B50311" s="36"/>
      <c r="C50311" s="36"/>
      <c r="E50311" s="1"/>
      <c r="F50311" s="1"/>
      <c r="G50311" s="1"/>
    </row>
    <row r="50312">
      <c r="B50312" s="36"/>
      <c r="C50312" s="36"/>
      <c r="E50312" s="1"/>
      <c r="F50312" s="1"/>
      <c r="G50312" s="1"/>
    </row>
    <row r="50313">
      <c r="B50313" s="36"/>
      <c r="C50313" s="36"/>
      <c r="E50313" s="1"/>
      <c r="F50313" s="1"/>
      <c r="G50313" s="1"/>
    </row>
    <row r="50314">
      <c r="B50314" s="36"/>
      <c r="C50314" s="36"/>
      <c r="E50314" s="1"/>
      <c r="F50314" s="1"/>
      <c r="G50314" s="1"/>
    </row>
    <row r="50315">
      <c r="B50315" s="36"/>
      <c r="C50315" s="36"/>
      <c r="E50315" s="1"/>
      <c r="F50315" s="1"/>
      <c r="G50315" s="1"/>
    </row>
    <row r="50316">
      <c r="B50316" s="36"/>
      <c r="C50316" s="36"/>
      <c r="E50316" s="1"/>
      <c r="F50316" s="1"/>
      <c r="G50316" s="1"/>
    </row>
    <row r="50317">
      <c r="B50317" s="36"/>
      <c r="C50317" s="36"/>
      <c r="E50317" s="1"/>
      <c r="F50317" s="1"/>
      <c r="G50317" s="1"/>
    </row>
    <row r="50318">
      <c r="B50318" s="36"/>
      <c r="C50318" s="36"/>
      <c r="E50318" s="1"/>
      <c r="F50318" s="1"/>
      <c r="G50318" s="1"/>
    </row>
    <row r="50319">
      <c r="B50319" s="36"/>
      <c r="C50319" s="36"/>
      <c r="E50319" s="1"/>
      <c r="F50319" s="1"/>
      <c r="G50319" s="1"/>
    </row>
    <row r="50320">
      <c r="B50320" s="36"/>
      <c r="C50320" s="36"/>
      <c r="E50320" s="1"/>
      <c r="F50320" s="1"/>
      <c r="G50320" s="1"/>
    </row>
    <row r="50321">
      <c r="B50321" s="36"/>
      <c r="C50321" s="36"/>
      <c r="E50321" s="1"/>
      <c r="F50321" s="1"/>
      <c r="G50321" s="1"/>
    </row>
    <row r="50322">
      <c r="B50322" s="36"/>
      <c r="C50322" s="36"/>
      <c r="E50322" s="1"/>
      <c r="F50322" s="1"/>
      <c r="G50322" s="1"/>
    </row>
    <row r="50323">
      <c r="B50323" s="36"/>
      <c r="C50323" s="36"/>
      <c r="E50323" s="1"/>
      <c r="F50323" s="1"/>
      <c r="G50323" s="1"/>
    </row>
    <row r="50324">
      <c r="B50324" s="36"/>
      <c r="C50324" s="36"/>
      <c r="E50324" s="1"/>
      <c r="F50324" s="1"/>
      <c r="G50324" s="1"/>
    </row>
    <row r="50325">
      <c r="B50325" s="36"/>
      <c r="C50325" s="36"/>
      <c r="E50325" s="1"/>
      <c r="F50325" s="1"/>
      <c r="G50325" s="1"/>
    </row>
    <row r="50326">
      <c r="B50326" s="36"/>
      <c r="C50326" s="36"/>
      <c r="E50326" s="1"/>
      <c r="F50326" s="1"/>
      <c r="G50326" s="1"/>
    </row>
    <row r="50327">
      <c r="B50327" s="36"/>
      <c r="C50327" s="36"/>
      <c r="E50327" s="1"/>
      <c r="F50327" s="1"/>
      <c r="G50327" s="1"/>
    </row>
    <row r="50328">
      <c r="B50328" s="36"/>
      <c r="C50328" s="36"/>
      <c r="E50328" s="1"/>
      <c r="F50328" s="1"/>
      <c r="G50328" s="1"/>
    </row>
    <row r="50329">
      <c r="B50329" s="36"/>
      <c r="C50329" s="36"/>
      <c r="E50329" s="1"/>
      <c r="F50329" s="1"/>
      <c r="G50329" s="1"/>
    </row>
    <row r="50330">
      <c r="B50330" s="36"/>
      <c r="C50330" s="36"/>
      <c r="E50330" s="1"/>
      <c r="F50330" s="1"/>
      <c r="G50330" s="1"/>
    </row>
    <row r="50331">
      <c r="B50331" s="36"/>
      <c r="C50331" s="36"/>
      <c r="E50331" s="1"/>
      <c r="F50331" s="1"/>
      <c r="G50331" s="1"/>
    </row>
    <row r="50332">
      <c r="B50332" s="36"/>
      <c r="C50332" s="36"/>
      <c r="E50332" s="1"/>
      <c r="F50332" s="1"/>
      <c r="G50332" s="1"/>
    </row>
    <row r="50333">
      <c r="B50333" s="36"/>
      <c r="C50333" s="36"/>
      <c r="E50333" s="1"/>
      <c r="F50333" s="1"/>
      <c r="G50333" s="1"/>
    </row>
    <row r="50334">
      <c r="B50334" s="36"/>
      <c r="C50334" s="36"/>
      <c r="E50334" s="1"/>
      <c r="F50334" s="1"/>
      <c r="G50334" s="1"/>
    </row>
    <row r="50335">
      <c r="B50335" s="36"/>
      <c r="C50335" s="36"/>
      <c r="E50335" s="1"/>
      <c r="F50335" s="1"/>
      <c r="G50335" s="1"/>
    </row>
    <row r="50336">
      <c r="B50336" s="36"/>
      <c r="C50336" s="36"/>
      <c r="E50336" s="1"/>
      <c r="F50336" s="1"/>
      <c r="G50336" s="1"/>
    </row>
    <row r="50337">
      <c r="B50337" s="36"/>
      <c r="C50337" s="36"/>
      <c r="E50337" s="1"/>
      <c r="F50337" s="1"/>
      <c r="G50337" s="1"/>
    </row>
    <row r="50338">
      <c r="B50338" s="36"/>
      <c r="C50338" s="36"/>
      <c r="E50338" s="1"/>
      <c r="F50338" s="1"/>
      <c r="G50338" s="1"/>
    </row>
    <row r="50339">
      <c r="B50339" s="36"/>
      <c r="C50339" s="36"/>
      <c r="E50339" s="1"/>
      <c r="F50339" s="1"/>
      <c r="G50339" s="1"/>
    </row>
    <row r="50340">
      <c r="B50340" s="36"/>
      <c r="C50340" s="36"/>
      <c r="E50340" s="1"/>
      <c r="F50340" s="1"/>
      <c r="G50340" s="1"/>
    </row>
    <row r="50341">
      <c r="B50341" s="36"/>
      <c r="C50341" s="36"/>
      <c r="E50341" s="1"/>
      <c r="F50341" s="1"/>
      <c r="G50341" s="1"/>
    </row>
    <row r="50342">
      <c r="B50342" s="36"/>
      <c r="C50342" s="36"/>
      <c r="E50342" s="1"/>
      <c r="F50342" s="1"/>
      <c r="G50342" s="1"/>
    </row>
    <row r="50343">
      <c r="B50343" s="36"/>
      <c r="C50343" s="36"/>
      <c r="E50343" s="1"/>
      <c r="F50343" s="1"/>
      <c r="G50343" s="1"/>
    </row>
    <row r="50344">
      <c r="B50344" s="36"/>
      <c r="C50344" s="36"/>
      <c r="E50344" s="1"/>
      <c r="F50344" s="1"/>
      <c r="G50344" s="1"/>
    </row>
    <row r="50345">
      <c r="B50345" s="36"/>
      <c r="C50345" s="36"/>
      <c r="E50345" s="1"/>
      <c r="F50345" s="1"/>
      <c r="G50345" s="1"/>
    </row>
    <row r="50346">
      <c r="B50346" s="36"/>
      <c r="C50346" s="36"/>
      <c r="E50346" s="1"/>
      <c r="F50346" s="1"/>
      <c r="G50346" s="1"/>
    </row>
    <row r="50347">
      <c r="B50347" s="36"/>
      <c r="C50347" s="36"/>
      <c r="E50347" s="1"/>
      <c r="F50347" s="1"/>
      <c r="G50347" s="1"/>
    </row>
    <row r="50348">
      <c r="B50348" s="36"/>
      <c r="C50348" s="36"/>
      <c r="E50348" s="1"/>
      <c r="F50348" s="1"/>
      <c r="G50348" s="1"/>
    </row>
    <row r="50349">
      <c r="B50349" s="36"/>
      <c r="C50349" s="36"/>
      <c r="E50349" s="1"/>
      <c r="F50349" s="1"/>
      <c r="G50349" s="1"/>
    </row>
    <row r="50350">
      <c r="B50350" s="36"/>
      <c r="C50350" s="36"/>
      <c r="E50350" s="1"/>
      <c r="F50350" s="1"/>
      <c r="G50350" s="1"/>
    </row>
    <row r="50351">
      <c r="B50351" s="36"/>
      <c r="C50351" s="36"/>
      <c r="E50351" s="1"/>
      <c r="F50351" s="1"/>
      <c r="G50351" s="1"/>
    </row>
    <row r="50352">
      <c r="B50352" s="36"/>
      <c r="C50352" s="36"/>
      <c r="E50352" s="1"/>
      <c r="F50352" s="1"/>
      <c r="G50352" s="1"/>
    </row>
    <row r="50353">
      <c r="B50353" s="36"/>
      <c r="C50353" s="36"/>
      <c r="E50353" s="1"/>
      <c r="F50353" s="1"/>
      <c r="G50353" s="1"/>
    </row>
    <row r="50354">
      <c r="B50354" s="36"/>
      <c r="C50354" s="36"/>
      <c r="E50354" s="1"/>
      <c r="F50354" s="1"/>
      <c r="G50354" s="1"/>
    </row>
    <row r="50355">
      <c r="B50355" s="36"/>
      <c r="C50355" s="36"/>
      <c r="E50355" s="1"/>
      <c r="F50355" s="1"/>
      <c r="G50355" s="1"/>
    </row>
    <row r="50356">
      <c r="B50356" s="36"/>
      <c r="C50356" s="36"/>
      <c r="E50356" s="1"/>
      <c r="F50356" s="1"/>
      <c r="G50356" s="1"/>
    </row>
    <row r="50357">
      <c r="B50357" s="36"/>
      <c r="C50357" s="36"/>
      <c r="E50357" s="1"/>
      <c r="F50357" s="1"/>
      <c r="G50357" s="1"/>
    </row>
    <row r="50358">
      <c r="B50358" s="36"/>
      <c r="C50358" s="36"/>
      <c r="E50358" s="1"/>
      <c r="F50358" s="1"/>
      <c r="G50358" s="1"/>
    </row>
    <row r="50359">
      <c r="B50359" s="36"/>
      <c r="C50359" s="36"/>
      <c r="E50359" s="1"/>
      <c r="F50359" s="1"/>
      <c r="G50359" s="1"/>
    </row>
    <row r="50360">
      <c r="B50360" s="36"/>
      <c r="C50360" s="36"/>
      <c r="E50360" s="1"/>
      <c r="F50360" s="1"/>
      <c r="G50360" s="1"/>
    </row>
    <row r="50361">
      <c r="B50361" s="36"/>
      <c r="C50361" s="36"/>
      <c r="E50361" s="1"/>
      <c r="F50361" s="1"/>
      <c r="G50361" s="1"/>
    </row>
    <row r="50362">
      <c r="B50362" s="36"/>
      <c r="C50362" s="36"/>
      <c r="E50362" s="1"/>
      <c r="F50362" s="1"/>
      <c r="G50362" s="1"/>
    </row>
    <row r="50363">
      <c r="B50363" s="36"/>
      <c r="C50363" s="36"/>
      <c r="E50363" s="1"/>
      <c r="F50363" s="1"/>
      <c r="G50363" s="1"/>
    </row>
    <row r="50364">
      <c r="B50364" s="36"/>
      <c r="C50364" s="36"/>
      <c r="E50364" s="1"/>
      <c r="F50364" s="1"/>
      <c r="G50364" s="1"/>
    </row>
    <row r="50365">
      <c r="B50365" s="36"/>
      <c r="C50365" s="36"/>
      <c r="E50365" s="1"/>
      <c r="F50365" s="1"/>
      <c r="G50365" s="1"/>
    </row>
    <row r="50366">
      <c r="B50366" s="36"/>
      <c r="C50366" s="36"/>
      <c r="E50366" s="1"/>
      <c r="F50366" s="1"/>
      <c r="G50366" s="1"/>
    </row>
    <row r="50367">
      <c r="B50367" s="36"/>
      <c r="C50367" s="36"/>
      <c r="E50367" s="1"/>
      <c r="F50367" s="1"/>
      <c r="G50367" s="1"/>
    </row>
    <row r="50368">
      <c r="B50368" s="36"/>
      <c r="C50368" s="36"/>
      <c r="E50368" s="1"/>
      <c r="F50368" s="1"/>
      <c r="G50368" s="1"/>
    </row>
    <row r="50369">
      <c r="B50369" s="36"/>
      <c r="C50369" s="36"/>
      <c r="E50369" s="1"/>
      <c r="F50369" s="1"/>
      <c r="G50369" s="1"/>
    </row>
    <row r="50370">
      <c r="B50370" s="36"/>
      <c r="C50370" s="36"/>
      <c r="E50370" s="1"/>
      <c r="F50370" s="1"/>
      <c r="G50370" s="1"/>
    </row>
    <row r="50371">
      <c r="B50371" s="36"/>
      <c r="C50371" s="36"/>
      <c r="E50371" s="1"/>
      <c r="F50371" s="1"/>
      <c r="G50371" s="1"/>
    </row>
    <row r="50372">
      <c r="B50372" s="36"/>
      <c r="C50372" s="36"/>
      <c r="E50372" s="1"/>
      <c r="F50372" s="1"/>
      <c r="G50372" s="1"/>
    </row>
    <row r="50373">
      <c r="B50373" s="36"/>
      <c r="C50373" s="36"/>
      <c r="E50373" s="1"/>
      <c r="F50373" s="1"/>
      <c r="G50373" s="1"/>
    </row>
    <row r="50374">
      <c r="B50374" s="36"/>
      <c r="C50374" s="36"/>
      <c r="E50374" s="1"/>
      <c r="F50374" s="1"/>
      <c r="G50374" s="1"/>
    </row>
    <row r="50375">
      <c r="B50375" s="36"/>
      <c r="C50375" s="36"/>
      <c r="E50375" s="1"/>
      <c r="F50375" s="1"/>
      <c r="G50375" s="1"/>
    </row>
    <row r="50376">
      <c r="B50376" s="36"/>
      <c r="C50376" s="36"/>
      <c r="E50376" s="1"/>
      <c r="F50376" s="1"/>
      <c r="G50376" s="1"/>
    </row>
    <row r="50377">
      <c r="B50377" s="36"/>
      <c r="C50377" s="36"/>
      <c r="E50377" s="1"/>
      <c r="F50377" s="1"/>
      <c r="G50377" s="1"/>
    </row>
    <row r="50378">
      <c r="B50378" s="36"/>
      <c r="C50378" s="36"/>
      <c r="E50378" s="1"/>
      <c r="F50378" s="1"/>
      <c r="G50378" s="1"/>
    </row>
    <row r="50379">
      <c r="B50379" s="36"/>
      <c r="C50379" s="36"/>
      <c r="E50379" s="1"/>
      <c r="F50379" s="1"/>
      <c r="G50379" s="1"/>
    </row>
    <row r="50380">
      <c r="B50380" s="36"/>
      <c r="C50380" s="36"/>
      <c r="E50380" s="1"/>
      <c r="F50380" s="1"/>
      <c r="G50380" s="1"/>
    </row>
    <row r="50381">
      <c r="B50381" s="36"/>
      <c r="C50381" s="36"/>
      <c r="E50381" s="1"/>
      <c r="F50381" s="1"/>
      <c r="G50381" s="1"/>
    </row>
    <row r="50382">
      <c r="B50382" s="36"/>
      <c r="C50382" s="36"/>
      <c r="E50382" s="1"/>
      <c r="F50382" s="1"/>
      <c r="G50382" s="1"/>
    </row>
    <row r="50383">
      <c r="B50383" s="36"/>
      <c r="C50383" s="36"/>
      <c r="E50383" s="1"/>
      <c r="F50383" s="1"/>
      <c r="G50383" s="1"/>
    </row>
    <row r="50384">
      <c r="B50384" s="36"/>
      <c r="C50384" s="36"/>
      <c r="E50384" s="1"/>
      <c r="F50384" s="1"/>
      <c r="G50384" s="1"/>
    </row>
    <row r="50385">
      <c r="B50385" s="36"/>
      <c r="C50385" s="36"/>
      <c r="E50385" s="1"/>
      <c r="F50385" s="1"/>
      <c r="G50385" s="1"/>
    </row>
    <row r="50386">
      <c r="B50386" s="36"/>
      <c r="C50386" s="36"/>
      <c r="E50386" s="1"/>
      <c r="F50386" s="1"/>
      <c r="G50386" s="1"/>
    </row>
    <row r="50387">
      <c r="B50387" s="36"/>
      <c r="C50387" s="36"/>
      <c r="E50387" s="1"/>
      <c r="F50387" s="1"/>
      <c r="G50387" s="1"/>
    </row>
    <row r="50388">
      <c r="B50388" s="36"/>
      <c r="C50388" s="36"/>
      <c r="E50388" s="1"/>
      <c r="F50388" s="1"/>
      <c r="G50388" s="1"/>
    </row>
    <row r="50389">
      <c r="B50389" s="36"/>
      <c r="C50389" s="36"/>
      <c r="E50389" s="1"/>
      <c r="F50389" s="1"/>
      <c r="G50389" s="1"/>
    </row>
    <row r="50390">
      <c r="B50390" s="36"/>
      <c r="C50390" s="36"/>
      <c r="E50390" s="1"/>
      <c r="F50390" s="1"/>
      <c r="G50390" s="1"/>
    </row>
    <row r="50391">
      <c r="B50391" s="36"/>
      <c r="C50391" s="36"/>
      <c r="E50391" s="1"/>
      <c r="F50391" s="1"/>
      <c r="G50391" s="1"/>
    </row>
    <row r="50392">
      <c r="B50392" s="36"/>
      <c r="C50392" s="36"/>
      <c r="E50392" s="1"/>
      <c r="F50392" s="1"/>
      <c r="G50392" s="1"/>
    </row>
    <row r="50393">
      <c r="B50393" s="36"/>
      <c r="C50393" s="36"/>
      <c r="E50393" s="1"/>
      <c r="F50393" s="1"/>
      <c r="G50393" s="1"/>
    </row>
    <row r="50394">
      <c r="B50394" s="36"/>
      <c r="C50394" s="36"/>
      <c r="E50394" s="1"/>
      <c r="F50394" s="1"/>
      <c r="G50394" s="1"/>
    </row>
    <row r="50395">
      <c r="B50395" s="36"/>
      <c r="C50395" s="36"/>
      <c r="E50395" s="1"/>
      <c r="F50395" s="1"/>
      <c r="G50395" s="1"/>
    </row>
    <row r="50396">
      <c r="B50396" s="36"/>
      <c r="C50396" s="36"/>
      <c r="E50396" s="1"/>
      <c r="F50396" s="1"/>
      <c r="G50396" s="1"/>
    </row>
    <row r="50397">
      <c r="B50397" s="36"/>
      <c r="C50397" s="36"/>
      <c r="E50397" s="1"/>
      <c r="F50397" s="1"/>
      <c r="G50397" s="1"/>
    </row>
    <row r="50398">
      <c r="B50398" s="36"/>
      <c r="C50398" s="36"/>
      <c r="E50398" s="1"/>
      <c r="F50398" s="1"/>
      <c r="G50398" s="1"/>
    </row>
    <row r="50399">
      <c r="B50399" s="36"/>
      <c r="C50399" s="36"/>
      <c r="E50399" s="1"/>
      <c r="F50399" s="1"/>
      <c r="G50399" s="1"/>
    </row>
    <row r="50400">
      <c r="B50400" s="36"/>
      <c r="C50400" s="36"/>
      <c r="E50400" s="1"/>
      <c r="F50400" s="1"/>
      <c r="G50400" s="1"/>
    </row>
    <row r="50401">
      <c r="B50401" s="36"/>
      <c r="C50401" s="36"/>
      <c r="E50401" s="1"/>
      <c r="F50401" s="1"/>
      <c r="G50401" s="1"/>
    </row>
    <row r="50402">
      <c r="B50402" s="36"/>
      <c r="C50402" s="36"/>
      <c r="E50402" s="1"/>
      <c r="F50402" s="1"/>
      <c r="G50402" s="1"/>
    </row>
    <row r="50403">
      <c r="B50403" s="36"/>
      <c r="C50403" s="36"/>
      <c r="E50403" s="1"/>
      <c r="F50403" s="1"/>
      <c r="G50403" s="1"/>
    </row>
    <row r="50404">
      <c r="B50404" s="36"/>
      <c r="C50404" s="36"/>
      <c r="E50404" s="1"/>
      <c r="F50404" s="1"/>
      <c r="G50404" s="1"/>
    </row>
    <row r="50405">
      <c r="B50405" s="36"/>
      <c r="C50405" s="36"/>
      <c r="E50405" s="1"/>
      <c r="F50405" s="1"/>
      <c r="G50405" s="1"/>
    </row>
    <row r="50406">
      <c r="B50406" s="36"/>
      <c r="C50406" s="36"/>
      <c r="E50406" s="1"/>
      <c r="F50406" s="1"/>
      <c r="G50406" s="1"/>
    </row>
    <row r="50407">
      <c r="B50407" s="36"/>
      <c r="C50407" s="36"/>
      <c r="E50407" s="1"/>
      <c r="F50407" s="1"/>
      <c r="G50407" s="1"/>
    </row>
    <row r="50408">
      <c r="B50408" s="36"/>
      <c r="C50408" s="36"/>
      <c r="E50408" s="1"/>
      <c r="F50408" s="1"/>
      <c r="G50408" s="1"/>
    </row>
    <row r="50409">
      <c r="B50409" s="36"/>
      <c r="C50409" s="36"/>
      <c r="E50409" s="1"/>
      <c r="F50409" s="1"/>
      <c r="G50409" s="1"/>
    </row>
    <row r="50410">
      <c r="B50410" s="36"/>
      <c r="C50410" s="36"/>
      <c r="E50410" s="1"/>
      <c r="F50410" s="1"/>
      <c r="G50410" s="1"/>
    </row>
    <row r="50411">
      <c r="B50411" s="36"/>
      <c r="C50411" s="36"/>
      <c r="E50411" s="1"/>
      <c r="F50411" s="1"/>
      <c r="G50411" s="1"/>
    </row>
    <row r="50412">
      <c r="B50412" s="36"/>
      <c r="C50412" s="36"/>
      <c r="E50412" s="1"/>
      <c r="F50412" s="1"/>
      <c r="G50412" s="1"/>
    </row>
    <row r="50413">
      <c r="B50413" s="36"/>
      <c r="C50413" s="36"/>
      <c r="E50413" s="1"/>
      <c r="F50413" s="1"/>
      <c r="G50413" s="1"/>
    </row>
    <row r="50414">
      <c r="B50414" s="36"/>
      <c r="C50414" s="36"/>
      <c r="E50414" s="1"/>
      <c r="F50414" s="1"/>
      <c r="G50414" s="1"/>
    </row>
    <row r="50415">
      <c r="B50415" s="36"/>
      <c r="C50415" s="36"/>
      <c r="E50415" s="1"/>
      <c r="F50415" s="1"/>
      <c r="G50415" s="1"/>
    </row>
    <row r="50416">
      <c r="B50416" s="36"/>
      <c r="C50416" s="36"/>
      <c r="E50416" s="1"/>
      <c r="F50416" s="1"/>
      <c r="G50416" s="1"/>
    </row>
    <row r="50417">
      <c r="B50417" s="36"/>
      <c r="C50417" s="36"/>
      <c r="E50417" s="1"/>
      <c r="F50417" s="1"/>
      <c r="G50417" s="1"/>
    </row>
    <row r="50418">
      <c r="B50418" s="36"/>
      <c r="C50418" s="36"/>
      <c r="E50418" s="1"/>
      <c r="F50418" s="1"/>
      <c r="G50418" s="1"/>
    </row>
    <row r="50419">
      <c r="B50419" s="36"/>
      <c r="C50419" s="36"/>
      <c r="E50419" s="1"/>
      <c r="F50419" s="1"/>
      <c r="G50419" s="1"/>
    </row>
    <row r="50420">
      <c r="B50420" s="36"/>
      <c r="C50420" s="36"/>
      <c r="E50420" s="1"/>
      <c r="F50420" s="1"/>
      <c r="G50420" s="1"/>
    </row>
    <row r="50421">
      <c r="B50421" s="36"/>
      <c r="C50421" s="36"/>
      <c r="E50421" s="1"/>
      <c r="F50421" s="1"/>
      <c r="G50421" s="1"/>
    </row>
    <row r="50422">
      <c r="B50422" s="36"/>
      <c r="C50422" s="36"/>
      <c r="E50422" s="1"/>
      <c r="F50422" s="1"/>
      <c r="G50422" s="1"/>
    </row>
    <row r="50423">
      <c r="B50423" s="36"/>
      <c r="C50423" s="36"/>
      <c r="E50423" s="1"/>
      <c r="F50423" s="1"/>
      <c r="G50423" s="1"/>
    </row>
    <row r="50424">
      <c r="B50424" s="36"/>
      <c r="C50424" s="36"/>
      <c r="E50424" s="1"/>
      <c r="F50424" s="1"/>
      <c r="G50424" s="1"/>
    </row>
    <row r="50425">
      <c r="B50425" s="36"/>
      <c r="C50425" s="36"/>
      <c r="E50425" s="1"/>
      <c r="F50425" s="1"/>
      <c r="G50425" s="1"/>
    </row>
    <row r="50426">
      <c r="B50426" s="36"/>
      <c r="C50426" s="36"/>
      <c r="E50426" s="1"/>
      <c r="F50426" s="1"/>
      <c r="G50426" s="1"/>
    </row>
    <row r="50427">
      <c r="B50427" s="36"/>
      <c r="C50427" s="36"/>
      <c r="E50427" s="1"/>
      <c r="F50427" s="1"/>
      <c r="G50427" s="1"/>
    </row>
    <row r="50428">
      <c r="B50428" s="36"/>
      <c r="C50428" s="36"/>
      <c r="E50428" s="1"/>
      <c r="F50428" s="1"/>
      <c r="G50428" s="1"/>
    </row>
    <row r="50429">
      <c r="B50429" s="36"/>
      <c r="C50429" s="36"/>
      <c r="E50429" s="1"/>
      <c r="F50429" s="1"/>
      <c r="G50429" s="1"/>
    </row>
    <row r="50430">
      <c r="B50430" s="36"/>
      <c r="C50430" s="36"/>
      <c r="E50430" s="1"/>
      <c r="F50430" s="1"/>
      <c r="G50430" s="1"/>
    </row>
    <row r="50431">
      <c r="B50431" s="36"/>
      <c r="C50431" s="36"/>
      <c r="E50431" s="1"/>
      <c r="F50431" s="1"/>
      <c r="G50431" s="1"/>
    </row>
    <row r="50432">
      <c r="B50432" s="36"/>
      <c r="C50432" s="36"/>
      <c r="E50432" s="1"/>
      <c r="F50432" s="1"/>
      <c r="G50432" s="1"/>
    </row>
    <row r="50433">
      <c r="B50433" s="36"/>
      <c r="C50433" s="36"/>
      <c r="E50433" s="1"/>
      <c r="F50433" s="1"/>
      <c r="G50433" s="1"/>
    </row>
    <row r="50434">
      <c r="B50434" s="36"/>
      <c r="C50434" s="36"/>
      <c r="E50434" s="1"/>
      <c r="F50434" s="1"/>
      <c r="G50434" s="1"/>
    </row>
    <row r="50435">
      <c r="B50435" s="36"/>
      <c r="C50435" s="36"/>
      <c r="E50435" s="1"/>
      <c r="F50435" s="1"/>
      <c r="G50435" s="1"/>
    </row>
    <row r="50436">
      <c r="B50436" s="36"/>
      <c r="C50436" s="36"/>
      <c r="E50436" s="1"/>
      <c r="F50436" s="1"/>
      <c r="G50436" s="1"/>
    </row>
    <row r="50437">
      <c r="B50437" s="36"/>
      <c r="C50437" s="36"/>
      <c r="E50437" s="1"/>
      <c r="F50437" s="1"/>
      <c r="G50437" s="1"/>
    </row>
    <row r="50438">
      <c r="B50438" s="36"/>
      <c r="C50438" s="36"/>
      <c r="E50438" s="1"/>
      <c r="F50438" s="1"/>
      <c r="G50438" s="1"/>
    </row>
    <row r="50439">
      <c r="B50439" s="36"/>
      <c r="C50439" s="36"/>
      <c r="E50439" s="1"/>
      <c r="F50439" s="1"/>
      <c r="G50439" s="1"/>
    </row>
    <row r="50440">
      <c r="B50440" s="36"/>
      <c r="C50440" s="36"/>
      <c r="E50440" s="1"/>
      <c r="F50440" s="1"/>
      <c r="G50440" s="1"/>
    </row>
    <row r="50441">
      <c r="B50441" s="36"/>
      <c r="C50441" s="36"/>
      <c r="E50441" s="1"/>
      <c r="F50441" s="1"/>
      <c r="G50441" s="1"/>
    </row>
    <row r="50442">
      <c r="B50442" s="36"/>
      <c r="C50442" s="36"/>
      <c r="E50442" s="1"/>
      <c r="F50442" s="1"/>
      <c r="G50442" s="1"/>
    </row>
    <row r="50443">
      <c r="B50443" s="36"/>
      <c r="C50443" s="36"/>
      <c r="E50443" s="1"/>
      <c r="F50443" s="1"/>
      <c r="G50443" s="1"/>
    </row>
    <row r="50444">
      <c r="B50444" s="36"/>
      <c r="C50444" s="36"/>
      <c r="E50444" s="1"/>
      <c r="F50444" s="1"/>
      <c r="G50444" s="1"/>
    </row>
    <row r="50445">
      <c r="B50445" s="36"/>
      <c r="C50445" s="36"/>
      <c r="E50445" s="1"/>
      <c r="F50445" s="1"/>
      <c r="G50445" s="1"/>
    </row>
    <row r="50446">
      <c r="B50446" s="36"/>
      <c r="C50446" s="36"/>
      <c r="E50446" s="1"/>
      <c r="F50446" s="1"/>
      <c r="G50446" s="1"/>
    </row>
    <row r="50447">
      <c r="B50447" s="36"/>
      <c r="C50447" s="36"/>
      <c r="E50447" s="1"/>
      <c r="F50447" s="1"/>
      <c r="G50447" s="1"/>
    </row>
    <row r="50448">
      <c r="B50448" s="36"/>
      <c r="C50448" s="36"/>
      <c r="E50448" s="1"/>
      <c r="F50448" s="1"/>
      <c r="G50448" s="1"/>
    </row>
    <row r="50449">
      <c r="B50449" s="36"/>
      <c r="C50449" s="36"/>
      <c r="E50449" s="1"/>
      <c r="F50449" s="1"/>
      <c r="G50449" s="1"/>
    </row>
    <row r="50450">
      <c r="B50450" s="36"/>
      <c r="C50450" s="36"/>
      <c r="E50450" s="1"/>
      <c r="F50450" s="1"/>
      <c r="G50450" s="1"/>
    </row>
    <row r="50451">
      <c r="B50451" s="36"/>
      <c r="C50451" s="36"/>
      <c r="E50451" s="1"/>
      <c r="F50451" s="1"/>
      <c r="G50451" s="1"/>
    </row>
    <row r="50452">
      <c r="B50452" s="36"/>
      <c r="C50452" s="36"/>
      <c r="E50452" s="1"/>
      <c r="F50452" s="1"/>
      <c r="G50452" s="1"/>
    </row>
    <row r="50453">
      <c r="B50453" s="36"/>
      <c r="C50453" s="36"/>
      <c r="E50453" s="1"/>
      <c r="F50453" s="1"/>
      <c r="G50453" s="1"/>
    </row>
    <row r="50454">
      <c r="B50454" s="36"/>
      <c r="C50454" s="36"/>
      <c r="E50454" s="1"/>
      <c r="F50454" s="1"/>
      <c r="G50454" s="1"/>
    </row>
    <row r="50455">
      <c r="B50455" s="36"/>
      <c r="C50455" s="36"/>
      <c r="E50455" s="1"/>
      <c r="F50455" s="1"/>
      <c r="G50455" s="1"/>
    </row>
    <row r="50456">
      <c r="B50456" s="36"/>
      <c r="C50456" s="36"/>
      <c r="E50456" s="1"/>
      <c r="F50456" s="1"/>
      <c r="G50456" s="1"/>
    </row>
    <row r="50457">
      <c r="B50457" s="36"/>
      <c r="C50457" s="36"/>
      <c r="E50457" s="1"/>
      <c r="F50457" s="1"/>
      <c r="G50457" s="1"/>
    </row>
    <row r="50458">
      <c r="B50458" s="36"/>
      <c r="C50458" s="36"/>
      <c r="E50458" s="1"/>
      <c r="F50458" s="1"/>
      <c r="G50458" s="1"/>
    </row>
    <row r="50459">
      <c r="B50459" s="36"/>
      <c r="C50459" s="36"/>
      <c r="E50459" s="1"/>
      <c r="F50459" s="1"/>
      <c r="G50459" s="1"/>
    </row>
    <row r="50460">
      <c r="B50460" s="36"/>
      <c r="C50460" s="36"/>
      <c r="E50460" s="1"/>
      <c r="F50460" s="1"/>
      <c r="G50460" s="1"/>
    </row>
    <row r="50461">
      <c r="B50461" s="36"/>
      <c r="C50461" s="36"/>
      <c r="E50461" s="1"/>
      <c r="F50461" s="1"/>
      <c r="G50461" s="1"/>
    </row>
    <row r="50462">
      <c r="B50462" s="36"/>
      <c r="C50462" s="36"/>
      <c r="E50462" s="1"/>
      <c r="F50462" s="1"/>
      <c r="G50462" s="1"/>
    </row>
    <row r="50463">
      <c r="B50463" s="36"/>
      <c r="C50463" s="36"/>
      <c r="E50463" s="1"/>
      <c r="F50463" s="1"/>
      <c r="G50463" s="1"/>
    </row>
    <row r="50464">
      <c r="B50464" s="36"/>
      <c r="C50464" s="36"/>
      <c r="E50464" s="1"/>
      <c r="F50464" s="1"/>
      <c r="G50464" s="1"/>
    </row>
    <row r="50465">
      <c r="B50465" s="36"/>
      <c r="C50465" s="36"/>
      <c r="E50465" s="1"/>
      <c r="F50465" s="1"/>
      <c r="G50465" s="1"/>
    </row>
    <row r="50466">
      <c r="B50466" s="36"/>
      <c r="C50466" s="36"/>
      <c r="E50466" s="1"/>
      <c r="F50466" s="1"/>
      <c r="G50466" s="1"/>
    </row>
    <row r="50467">
      <c r="B50467" s="36"/>
      <c r="C50467" s="36"/>
      <c r="E50467" s="1"/>
      <c r="F50467" s="1"/>
      <c r="G50467" s="1"/>
    </row>
    <row r="50468">
      <c r="B50468" s="36"/>
      <c r="C50468" s="36"/>
      <c r="E50468" s="1"/>
      <c r="F50468" s="1"/>
      <c r="G50468" s="1"/>
    </row>
    <row r="50469">
      <c r="B50469" s="36"/>
      <c r="C50469" s="36"/>
      <c r="E50469" s="1"/>
      <c r="F50469" s="1"/>
      <c r="G50469" s="1"/>
    </row>
    <row r="50470">
      <c r="B50470" s="36"/>
      <c r="C50470" s="36"/>
      <c r="E50470" s="1"/>
      <c r="F50470" s="1"/>
      <c r="G50470" s="1"/>
    </row>
    <row r="50471">
      <c r="B50471" s="36"/>
      <c r="C50471" s="36"/>
      <c r="E50471" s="1"/>
      <c r="F50471" s="1"/>
      <c r="G50471" s="1"/>
    </row>
    <row r="50472">
      <c r="B50472" s="36"/>
      <c r="C50472" s="36"/>
      <c r="E50472" s="1"/>
      <c r="F50472" s="1"/>
      <c r="G50472" s="1"/>
    </row>
    <row r="50473">
      <c r="B50473" s="36"/>
      <c r="C50473" s="36"/>
      <c r="E50473" s="1"/>
      <c r="F50473" s="1"/>
      <c r="G50473" s="1"/>
    </row>
    <row r="50474">
      <c r="B50474" s="36"/>
      <c r="C50474" s="36"/>
      <c r="E50474" s="1"/>
      <c r="F50474" s="1"/>
      <c r="G50474" s="1"/>
    </row>
    <row r="50475">
      <c r="B50475" s="36"/>
      <c r="C50475" s="36"/>
      <c r="E50475" s="1"/>
      <c r="F50475" s="1"/>
      <c r="G50475" s="1"/>
    </row>
    <row r="50476">
      <c r="B50476" s="36"/>
      <c r="C50476" s="36"/>
      <c r="E50476" s="1"/>
      <c r="F50476" s="1"/>
      <c r="G50476" s="1"/>
    </row>
    <row r="50477">
      <c r="B50477" s="36"/>
      <c r="C50477" s="36"/>
      <c r="E50477" s="1"/>
      <c r="F50477" s="1"/>
      <c r="G50477" s="1"/>
    </row>
    <row r="50478">
      <c r="B50478" s="36"/>
      <c r="C50478" s="36"/>
      <c r="E50478" s="1"/>
      <c r="F50478" s="1"/>
      <c r="G50478" s="1"/>
    </row>
    <row r="50479">
      <c r="B50479" s="36"/>
      <c r="C50479" s="36"/>
      <c r="E50479" s="1"/>
      <c r="F50479" s="1"/>
      <c r="G50479" s="1"/>
    </row>
    <row r="50480">
      <c r="B50480" s="36"/>
      <c r="C50480" s="36"/>
      <c r="E50480" s="1"/>
      <c r="F50480" s="1"/>
      <c r="G50480" s="1"/>
    </row>
    <row r="50481">
      <c r="B50481" s="36"/>
      <c r="C50481" s="36"/>
      <c r="E50481" s="1"/>
      <c r="F50481" s="1"/>
      <c r="G50481" s="1"/>
    </row>
    <row r="50482">
      <c r="B50482" s="36"/>
      <c r="C50482" s="36"/>
      <c r="E50482" s="1"/>
      <c r="F50482" s="1"/>
      <c r="G50482" s="1"/>
    </row>
    <row r="50483">
      <c r="B50483" s="36"/>
      <c r="C50483" s="36"/>
      <c r="E50483" s="1"/>
      <c r="F50483" s="1"/>
      <c r="G50483" s="1"/>
    </row>
    <row r="50484">
      <c r="B50484" s="36"/>
      <c r="C50484" s="36"/>
      <c r="E50484" s="1"/>
      <c r="F50484" s="1"/>
      <c r="G50484" s="1"/>
    </row>
    <row r="50485">
      <c r="B50485" s="36"/>
      <c r="C50485" s="36"/>
      <c r="E50485" s="1"/>
      <c r="F50485" s="1"/>
      <c r="G50485" s="1"/>
    </row>
    <row r="50486">
      <c r="B50486" s="36"/>
      <c r="C50486" s="36"/>
      <c r="E50486" s="1"/>
      <c r="F50486" s="1"/>
      <c r="G50486" s="1"/>
    </row>
    <row r="50487">
      <c r="B50487" s="36"/>
      <c r="C50487" s="36"/>
      <c r="E50487" s="1"/>
      <c r="F50487" s="1"/>
      <c r="G50487" s="1"/>
    </row>
    <row r="50488">
      <c r="B50488" s="36"/>
      <c r="C50488" s="36"/>
      <c r="E50488" s="1"/>
      <c r="F50488" s="1"/>
      <c r="G50488" s="1"/>
    </row>
    <row r="50489">
      <c r="B50489" s="36"/>
      <c r="C50489" s="36"/>
      <c r="E50489" s="1"/>
      <c r="F50489" s="1"/>
      <c r="G50489" s="1"/>
    </row>
    <row r="50490">
      <c r="B50490" s="36"/>
      <c r="C50490" s="36"/>
      <c r="E50490" s="1"/>
      <c r="F50490" s="1"/>
      <c r="G50490" s="1"/>
    </row>
    <row r="50491">
      <c r="B50491" s="36"/>
      <c r="C50491" s="36"/>
      <c r="E50491" s="1"/>
      <c r="F50491" s="1"/>
      <c r="G50491" s="1"/>
    </row>
    <row r="50492">
      <c r="B50492" s="36"/>
      <c r="C50492" s="36"/>
      <c r="E50492" s="1"/>
      <c r="F50492" s="1"/>
      <c r="G50492" s="1"/>
    </row>
    <row r="50493">
      <c r="B50493" s="36"/>
      <c r="C50493" s="36"/>
      <c r="E50493" s="1"/>
      <c r="F50493" s="1"/>
      <c r="G50493" s="1"/>
    </row>
    <row r="50494">
      <c r="B50494" s="36"/>
      <c r="C50494" s="36"/>
      <c r="E50494" s="1"/>
      <c r="F50494" s="1"/>
      <c r="G50494" s="1"/>
    </row>
    <row r="50495">
      <c r="B50495" s="36"/>
      <c r="C50495" s="36"/>
      <c r="E50495" s="1"/>
      <c r="F50495" s="1"/>
      <c r="G50495" s="1"/>
    </row>
    <row r="50496">
      <c r="B50496" s="36"/>
      <c r="C50496" s="36"/>
      <c r="E50496" s="1"/>
      <c r="F50496" s="1"/>
      <c r="G50496" s="1"/>
    </row>
    <row r="50497">
      <c r="B50497" s="36"/>
      <c r="C50497" s="36"/>
      <c r="E50497" s="1"/>
      <c r="F50497" s="1"/>
      <c r="G50497" s="1"/>
    </row>
    <row r="50498">
      <c r="B50498" s="36"/>
      <c r="C50498" s="36"/>
      <c r="E50498" s="1"/>
      <c r="F50498" s="1"/>
      <c r="G50498" s="1"/>
    </row>
    <row r="50499">
      <c r="B50499" s="36"/>
      <c r="C50499" s="36"/>
      <c r="E50499" s="1"/>
      <c r="F50499" s="1"/>
      <c r="G50499" s="1"/>
    </row>
    <row r="50500">
      <c r="B50500" s="36"/>
      <c r="C50500" s="36"/>
      <c r="E50500" s="1"/>
      <c r="F50500" s="1"/>
      <c r="G50500" s="1"/>
    </row>
  </sheetData>
  <hyperlinks>
    <hyperlink r:id="rId1" location="gid=1040887655" ref="B1"/>
  </hyperlinks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8.13"/>
    <col customWidth="1" min="3" max="3" width="17.75"/>
    <col customWidth="1" min="4" max="4" width="14.75"/>
    <col customWidth="1" min="5" max="5" width="16.13"/>
    <col customWidth="1" min="8" max="8" width="19.38"/>
    <col customWidth="1" min="11" max="11" width="15.63"/>
    <col customWidth="1" min="12" max="12" width="14.63"/>
  </cols>
  <sheetData>
    <row r="1">
      <c r="A1" s="7" t="s">
        <v>7</v>
      </c>
    </row>
    <row r="5" ht="22.5" customHeight="1">
      <c r="A5" s="8"/>
      <c r="B5" s="6" t="s">
        <v>5</v>
      </c>
      <c r="C5" s="6" t="s">
        <v>11</v>
      </c>
      <c r="D5" s="6" t="s">
        <v>25</v>
      </c>
      <c r="E5" s="5" t="s">
        <v>26</v>
      </c>
      <c r="F5" s="6" t="s">
        <v>28</v>
      </c>
      <c r="G5" s="6" t="s">
        <v>29</v>
      </c>
      <c r="H5" s="6" t="s">
        <v>30</v>
      </c>
      <c r="I5" s="6" t="s">
        <v>31</v>
      </c>
      <c r="J5" s="6" t="s">
        <v>32</v>
      </c>
      <c r="K5" s="6" t="s">
        <v>33</v>
      </c>
      <c r="L5" s="6" t="s">
        <v>34</v>
      </c>
      <c r="M5" s="6" t="s">
        <v>36</v>
      </c>
      <c r="N5" s="6" t="s">
        <v>37</v>
      </c>
      <c r="O5" s="10" t="s">
        <v>39</v>
      </c>
      <c r="P5" s="8"/>
      <c r="Q5" s="8"/>
      <c r="R5" s="8"/>
      <c r="S5" s="8"/>
      <c r="T5" s="8"/>
      <c r="U5" s="8"/>
      <c r="V5" s="8"/>
    </row>
    <row r="6" ht="22.5" customHeight="1">
      <c r="B6" s="13">
        <f>IFERROR(__xludf.DUMMYFUNCTION("IMPORTRANGE($A$1,""Validator!B7:D10000"")"),1.0)</f>
        <v>1</v>
      </c>
      <c r="C6" s="13" t="str">
        <f>IFERROR(__xludf.DUMMYFUNCTION("""COMPUTED_VALUE"""),"B.895/BERINGIN JAYA")</f>
        <v>B.895/BERINGIN JAYA</v>
      </c>
      <c r="D6" s="13" t="str">
        <f>IFERROR(__xludf.DUMMYFUNCTION("""COMPUTED_VALUE"""),"K/28/141024/1")</f>
        <v>K/28/141024/1</v>
      </c>
      <c r="E6" s="14" t="str">
        <f>IFERROR(__xludf.DUMMYFUNCTION("IMPORTRANGE($A$1,""Validator!H7:J10000"")"),"Afriza (BT)")</f>
        <v>Afriza (BT)</v>
      </c>
      <c r="F6" s="14" t="str">
        <f>IFERROR(__xludf.DUMMYFUNCTION("""COMPUTED_VALUE"""),"SELESAI")</f>
        <v>SELESAI</v>
      </c>
      <c r="G6" s="17">
        <f>IFERROR(__xludf.DUMMYFUNCTION("""COMPUTED_VALUE"""),45580.70099516204)</f>
        <v>45580.701</v>
      </c>
      <c r="H6" s="14" t="str">
        <f>IFERROR(__xludf.DUMMYFUNCTION("IMPORTRANGE($A$1,""Validator!K7:O10000"")"),"Aprill (SU)")</f>
        <v>Aprill (SU)</v>
      </c>
      <c r="I6" s="13" t="str">
        <f>IFERROR(__xludf.DUMMYFUNCTION("""COMPUTED_VALUE"""),"SELESAI")</f>
        <v>SELESAI</v>
      </c>
      <c r="J6" s="17">
        <f>IFERROR(__xludf.DUMMYFUNCTION("""COMPUTED_VALUE"""),45580.72456549769)</f>
        <v>45580.72457</v>
      </c>
      <c r="K6" s="13" t="str">
        <f>IFERROR(__xludf.DUMMYFUNCTION("""COMPUTED_VALUE"""),"SELESAI")</f>
        <v>SELESAI</v>
      </c>
      <c r="L6" s="17">
        <f>IFERROR(__xludf.DUMMYFUNCTION("""COMPUTED_VALUE"""),45580.72456549769)</f>
        <v>45580.72457</v>
      </c>
      <c r="M6" s="17" t="str">
        <f>IFERROR(__xludf.DUMMYFUNCTION("IMPORTRANGE($A$1,""Validator!Q7:Q1000"")"),"")</f>
        <v/>
      </c>
      <c r="N6" s="17">
        <f>IFERROR(__xludf.DUMMYFUNCTION("IMPORTRANGE($A$1,""Validator!S7:S10000"")"),45581.419803032404)</f>
        <v>45581.4198</v>
      </c>
      <c r="O6" s="13">
        <f>IF(N6="","",1)</f>
        <v>1</v>
      </c>
    </row>
    <row r="7" ht="22.5" customHeight="1">
      <c r="B7" s="13">
        <f>IFERROR(__xludf.DUMMYFUNCTION("""COMPUTED_VALUE"""),2.0)</f>
        <v>2</v>
      </c>
      <c r="C7" s="13" t="str">
        <f>IFERROR(__xludf.DUMMYFUNCTION("""COMPUTED_VALUE"""),"M.11980/JAGABAYA II")</f>
        <v>M.11980/JAGABAYA II</v>
      </c>
      <c r="D7" s="13" t="str">
        <f>IFERROR(__xludf.DUMMYFUNCTION("""COMPUTED_VALUE"""),"K/9/141024/1")</f>
        <v>K/9/141024/1</v>
      </c>
      <c r="E7" s="14" t="str">
        <f>IFERROR(__xludf.DUMMYFUNCTION("""COMPUTED_VALUE"""),"Afriza (BT)")</f>
        <v>Afriza (BT)</v>
      </c>
      <c r="F7" s="14" t="str">
        <f>IFERROR(__xludf.DUMMYFUNCTION("""COMPUTED_VALUE"""),"SELESAI")</f>
        <v>SELESAI</v>
      </c>
      <c r="G7" s="17">
        <f>IFERROR(__xludf.DUMMYFUNCTION("""COMPUTED_VALUE"""),45580.70099516204)</f>
        <v>45580.701</v>
      </c>
      <c r="H7" s="14" t="str">
        <f>IFERROR(__xludf.DUMMYFUNCTION("""COMPUTED_VALUE"""),"Aprill (SU)")</f>
        <v>Aprill (SU)</v>
      </c>
      <c r="I7" s="13" t="str">
        <f>IFERROR(__xludf.DUMMYFUNCTION("""COMPUTED_VALUE"""),"SELESAI")</f>
        <v>SELESAI</v>
      </c>
      <c r="J7" s="17">
        <f>IFERROR(__xludf.DUMMYFUNCTION("""COMPUTED_VALUE"""),45580.72456756944)</f>
        <v>45580.72457</v>
      </c>
      <c r="K7" s="13" t="str">
        <f>IFERROR(__xludf.DUMMYFUNCTION("""COMPUTED_VALUE"""),"SELESAI")</f>
        <v>SELESAI</v>
      </c>
      <c r="L7" s="17">
        <f>IFERROR(__xludf.DUMMYFUNCTION("""COMPUTED_VALUE"""),45580.72456756944)</f>
        <v>45580.72457</v>
      </c>
      <c r="M7" s="17" t="str">
        <f>IFERROR(__xludf.DUMMYFUNCTION("""COMPUTED_VALUE"""),"")</f>
        <v/>
      </c>
      <c r="N7" s="17">
        <f>IFERROR(__xludf.DUMMYFUNCTION("""COMPUTED_VALUE"""),45581.41975490741)</f>
        <v>45581.41975</v>
      </c>
      <c r="O7" s="13">
        <f t="shared" ref="O7:O6972" si="1">IF(N7="","",O6+1)</f>
        <v>2</v>
      </c>
    </row>
    <row r="8" ht="22.5" customHeight="1">
      <c r="B8" s="13">
        <f>IFERROR(__xludf.DUMMYFUNCTION("""COMPUTED_VALUE"""),3.0)</f>
        <v>3</v>
      </c>
      <c r="C8" s="13" t="str">
        <f>IFERROR(__xludf.DUMMYFUNCTION("""COMPUTED_VALUE"""),"HM 1527/RAJABASA NUNYAI (SUPER PRIORITAS)")</f>
        <v>HM 1527/RAJABASA NUNYAI (SUPER PRIORITAS)</v>
      </c>
      <c r="D8" s="13" t="str">
        <f>IFERROR(__xludf.DUMMYFUNCTION("""COMPUTED_VALUE"""),"L/18/151024/1")</f>
        <v>L/18/151024/1</v>
      </c>
      <c r="E8" s="14" t="str">
        <f>IFERROR(__xludf.DUMMYFUNCTION("""COMPUTED_VALUE"""),"Afriza (BT)")</f>
        <v>Afriza (BT)</v>
      </c>
      <c r="F8" s="14" t="str">
        <f>IFERROR(__xludf.DUMMYFUNCTION("""COMPUTED_VALUE"""),"SELESAI")</f>
        <v>SELESAI</v>
      </c>
      <c r="G8" s="17">
        <f>IFERROR(__xludf.DUMMYFUNCTION("""COMPUTED_VALUE"""),45581.486162685185)</f>
        <v>45581.48616</v>
      </c>
      <c r="H8" s="14" t="str">
        <f>IFERROR(__xludf.DUMMYFUNCTION("""COMPUTED_VALUE"""),"Aprill (SU)")</f>
        <v>Aprill (SU)</v>
      </c>
      <c r="I8" s="13" t="str">
        <f>IFERROR(__xludf.DUMMYFUNCTION("""COMPUTED_VALUE"""),"SELESAI")</f>
        <v>SELESAI</v>
      </c>
      <c r="J8" s="17">
        <f>IFERROR(__xludf.DUMMYFUNCTION("""COMPUTED_VALUE"""),45581.48314606481)</f>
        <v>45581.48315</v>
      </c>
      <c r="K8" s="13" t="str">
        <f>IFERROR(__xludf.DUMMYFUNCTION("""COMPUTED_VALUE"""),"SELESAI")</f>
        <v>SELESAI</v>
      </c>
      <c r="L8" s="17">
        <f>IFERROR(__xludf.DUMMYFUNCTION("""COMPUTED_VALUE"""),45581.48314606481)</f>
        <v>45581.48315</v>
      </c>
      <c r="M8" s="17">
        <f>IFERROR(__xludf.DUMMYFUNCTION("""COMPUTED_VALUE"""),45581.483226701384)</f>
        <v>45581.48323</v>
      </c>
      <c r="N8" s="13" t="str">
        <f>IFERROR(__xludf.DUMMYFUNCTION("""COMPUTED_VALUE"""),"")</f>
        <v/>
      </c>
      <c r="O8" s="13" t="str">
        <f t="shared" si="1"/>
        <v/>
      </c>
    </row>
    <row r="9" ht="22.5" customHeight="1">
      <c r="B9" s="13">
        <f>IFERROR(__xludf.DUMMYFUNCTION("""COMPUTED_VALUE"""),4.0)</f>
        <v>4</v>
      </c>
      <c r="C9" s="13" t="str">
        <f>IFERROR(__xludf.DUMMYFUNCTION("""COMPUTED_VALUE"""),"HM 4010/TANJUNG SENANG")</f>
        <v>HM 4010/TANJUNG SENANG</v>
      </c>
      <c r="D9" s="13" t="str">
        <f>IFERROR(__xludf.DUMMYFUNCTION("""COMPUTED_VALUE"""),"L/43/151024/1")</f>
        <v>L/43/151024/1</v>
      </c>
      <c r="E9" s="14" t="str">
        <f>IFERROR(__xludf.DUMMYFUNCTION("""COMPUTED_VALUE"""),"Afriza (BT)")</f>
        <v>Afriza (BT)</v>
      </c>
      <c r="F9" s="14" t="str">
        <f>IFERROR(__xludf.DUMMYFUNCTION("""COMPUTED_VALUE"""),"SELESAI")</f>
        <v>SELESAI</v>
      </c>
      <c r="G9" s="17">
        <f>IFERROR(__xludf.DUMMYFUNCTION("""COMPUTED_VALUE"""),45581.58696482639)</f>
        <v>45581.58696</v>
      </c>
      <c r="H9" s="14" t="str">
        <f>IFERROR(__xludf.DUMMYFUNCTION("""COMPUTED_VALUE"""),"Bu Eva (SU)")</f>
        <v>Bu Eva (SU)</v>
      </c>
      <c r="I9" s="13" t="str">
        <f>IFERROR(__xludf.DUMMYFUNCTION("""COMPUTED_VALUE"""),"SELESAI")</f>
        <v>SELESAI</v>
      </c>
      <c r="J9" s="17">
        <f>IFERROR(__xludf.DUMMYFUNCTION("""COMPUTED_VALUE"""),45582.61317506945)</f>
        <v>45582.61318</v>
      </c>
      <c r="K9" s="13" t="str">
        <f>IFERROR(__xludf.DUMMYFUNCTION("""COMPUTED_VALUE"""),"SELESAI")</f>
        <v>SELESAI</v>
      </c>
      <c r="L9" s="17">
        <f>IFERROR(__xludf.DUMMYFUNCTION("""COMPUTED_VALUE"""),45582.61317506945)</f>
        <v>45582.61318</v>
      </c>
      <c r="M9" s="17" t="str">
        <f>IFERROR(__xludf.DUMMYFUNCTION("""COMPUTED_VALUE"""),"")</f>
        <v/>
      </c>
      <c r="N9" s="17">
        <f>IFERROR(__xludf.DUMMYFUNCTION("""COMPUTED_VALUE"""),45582.61317506945)</f>
        <v>45582.61318</v>
      </c>
      <c r="O9" s="13">
        <f t="shared" si="1"/>
        <v>1</v>
      </c>
    </row>
    <row r="10" ht="22.5" customHeight="1">
      <c r="B10" s="13">
        <f>IFERROR(__xludf.DUMMYFUNCTION("""COMPUTED_VALUE"""),5.0)</f>
        <v>5</v>
      </c>
      <c r="C10" s="13" t="str">
        <f>IFERROR(__xludf.DUMMYFUNCTION("""COMPUTED_VALUE"""),"M. 2589/ Kota Baru")</f>
        <v>M. 2589/ Kota Baru</v>
      </c>
      <c r="D10" s="13" t="str">
        <f>IFERROR(__xludf.DUMMYFUNCTION("""COMPUTED_VALUE"""),"K/42/151024/3")</f>
        <v>K/42/151024/3</v>
      </c>
      <c r="E10" s="14" t="str">
        <f>IFERROR(__xludf.DUMMYFUNCTION("""COMPUTED_VALUE"""),"Afriza (BT)")</f>
        <v>Afriza (BT)</v>
      </c>
      <c r="F10" s="14" t="str">
        <f>IFERROR(__xludf.DUMMYFUNCTION("""COMPUTED_VALUE"""),"SELESAI")</f>
        <v>SELESAI</v>
      </c>
      <c r="G10" s="17">
        <f>IFERROR(__xludf.DUMMYFUNCTION("""COMPUTED_VALUE"""),45581.58894203704)</f>
        <v>45581.58894</v>
      </c>
      <c r="H10" s="14" t="str">
        <f>IFERROR(__xludf.DUMMYFUNCTION("""COMPUTED_VALUE"""),"Bu Eva (SU)")</f>
        <v>Bu Eva (SU)</v>
      </c>
      <c r="I10" s="13" t="str">
        <f>IFERROR(__xludf.DUMMYFUNCTION("""COMPUTED_VALUE"""),"SELESAI")</f>
        <v>SELESAI</v>
      </c>
      <c r="J10" s="17">
        <f>IFERROR(__xludf.DUMMYFUNCTION("""COMPUTED_VALUE"""),45582.61317506945)</f>
        <v>45582.61318</v>
      </c>
      <c r="K10" s="13" t="str">
        <f>IFERROR(__xludf.DUMMYFUNCTION("""COMPUTED_VALUE"""),"SELESAI")</f>
        <v>SELESAI</v>
      </c>
      <c r="L10" s="17">
        <f>IFERROR(__xludf.DUMMYFUNCTION("""COMPUTED_VALUE"""),45582.61317506945)</f>
        <v>45582.61318</v>
      </c>
      <c r="M10" s="17" t="str">
        <f>IFERROR(__xludf.DUMMYFUNCTION("""COMPUTED_VALUE"""),"")</f>
        <v/>
      </c>
      <c r="N10" s="17">
        <f>IFERROR(__xludf.DUMMYFUNCTION("""COMPUTED_VALUE"""),45582.61317506945)</f>
        <v>45582.61318</v>
      </c>
      <c r="O10" s="13">
        <f t="shared" si="1"/>
        <v>2</v>
      </c>
    </row>
    <row r="11" ht="22.5" customHeight="1">
      <c r="B11" s="13">
        <f>IFERROR(__xludf.DUMMYFUNCTION("""COMPUTED_VALUE"""),6.0)</f>
        <v>6</v>
      </c>
      <c r="C11" s="13" t="str">
        <f>IFERROR(__xludf.DUMMYFUNCTION("""COMPUTED_VALUE"""),"HM 401/KALI BALAU KENCANA")</f>
        <v>HM 401/KALI BALAU KENCANA</v>
      </c>
      <c r="D11" s="13" t="str">
        <f>IFERROR(__xludf.DUMMYFUNCTION("""COMPUTED_VALUE"""),"L/26/151024/1")</f>
        <v>L/26/151024/1</v>
      </c>
      <c r="E11" s="14" t="str">
        <f>IFERROR(__xludf.DUMMYFUNCTION("""COMPUTED_VALUE"""),"Afriza (BT)")</f>
        <v>Afriza (BT)</v>
      </c>
      <c r="F11" s="14" t="str">
        <f>IFERROR(__xludf.DUMMYFUNCTION("""COMPUTED_VALUE"""),"SELESAI")</f>
        <v>SELESAI</v>
      </c>
      <c r="G11" s="17">
        <f>IFERROR(__xludf.DUMMYFUNCTION("""COMPUTED_VALUE"""),45581.624271574074)</f>
        <v>45581.62427</v>
      </c>
      <c r="H11" s="14" t="str">
        <f>IFERROR(__xludf.DUMMYFUNCTION("""COMPUTED_VALUE"""),"Bu Eva (SU)")</f>
        <v>Bu Eva (SU)</v>
      </c>
      <c r="I11" s="13" t="str">
        <f>IFERROR(__xludf.DUMMYFUNCTION("""COMPUTED_VALUE"""),"SELESAI")</f>
        <v>SELESAI</v>
      </c>
      <c r="J11" s="17">
        <f>IFERROR(__xludf.DUMMYFUNCTION("""COMPUTED_VALUE"""),45594.40356861112)</f>
        <v>45594.40357</v>
      </c>
      <c r="K11" s="13" t="str">
        <f>IFERROR(__xludf.DUMMYFUNCTION("""COMPUTED_VALUE"""),"SELESAI")</f>
        <v>SELESAI</v>
      </c>
      <c r="L11" s="17">
        <f>IFERROR(__xludf.DUMMYFUNCTION("""COMPUTED_VALUE"""),45594.40356861112)</f>
        <v>45594.40357</v>
      </c>
      <c r="M11" s="17" t="str">
        <f>IFERROR(__xludf.DUMMYFUNCTION("""COMPUTED_VALUE"""),"")</f>
        <v/>
      </c>
      <c r="N11" s="13" t="str">
        <f>IFERROR(__xludf.DUMMYFUNCTION("""COMPUTED_VALUE"""),"")</f>
        <v/>
      </c>
      <c r="O11" s="13" t="str">
        <f t="shared" si="1"/>
        <v/>
      </c>
    </row>
    <row r="12" ht="22.5" customHeight="1">
      <c r="B12" s="13">
        <f>IFERROR(__xludf.DUMMYFUNCTION("""COMPUTED_VALUE"""),7.0)</f>
        <v>7</v>
      </c>
      <c r="C12" s="13" t="str">
        <f>IFERROR(__xludf.DUMMYFUNCTION("""COMPUTED_VALUE"""),"M. 11294/ Labuhan Ratu")</f>
        <v>M. 11294/ Labuhan Ratu</v>
      </c>
      <c r="D12" s="13" t="str">
        <f>IFERROR(__xludf.DUMMYFUNCTION("""COMPUTED_VALUE"""),"K/41/151024/2")</f>
        <v>K/41/151024/2</v>
      </c>
      <c r="E12" s="14" t="str">
        <f>IFERROR(__xludf.DUMMYFUNCTION("""COMPUTED_VALUE"""),"Nadian (BT)")</f>
        <v>Nadian (BT)</v>
      </c>
      <c r="F12" s="14" t="str">
        <f>IFERROR(__xludf.DUMMYFUNCTION("""COMPUTED_VALUE"""),"SELESAI")</f>
        <v>SELESAI</v>
      </c>
      <c r="G12" s="17">
        <f>IFERROR(__xludf.DUMMYFUNCTION("""COMPUTED_VALUE"""),45581.64831726852)</f>
        <v>45581.64832</v>
      </c>
      <c r="H12" s="14" t="str">
        <f>IFERROR(__xludf.DUMMYFUNCTION("""COMPUTED_VALUE"""),"Bu Eva (SU)")</f>
        <v>Bu Eva (SU)</v>
      </c>
      <c r="I12" s="13" t="str">
        <f>IFERROR(__xludf.DUMMYFUNCTION("""COMPUTED_VALUE"""),"SELESAI")</f>
        <v>SELESAI</v>
      </c>
      <c r="J12" s="17">
        <f>IFERROR(__xludf.DUMMYFUNCTION("""COMPUTED_VALUE"""),45582.61377324074)</f>
        <v>45582.61377</v>
      </c>
      <c r="K12" s="13" t="str">
        <f>IFERROR(__xludf.DUMMYFUNCTION("""COMPUTED_VALUE"""),"SELESAI")</f>
        <v>SELESAI</v>
      </c>
      <c r="L12" s="17">
        <f>IFERROR(__xludf.DUMMYFUNCTION("""COMPUTED_VALUE"""),45582.61377324074)</f>
        <v>45582.61377</v>
      </c>
      <c r="M12" s="17" t="str">
        <f>IFERROR(__xludf.DUMMYFUNCTION("""COMPUTED_VALUE"""),"")</f>
        <v/>
      </c>
      <c r="N12" s="17">
        <f>IFERROR(__xludf.DUMMYFUNCTION("""COMPUTED_VALUE"""),45582.61379209491)</f>
        <v>45582.61379</v>
      </c>
      <c r="O12" s="13">
        <f t="shared" si="1"/>
        <v>1</v>
      </c>
    </row>
    <row r="13" ht="22.5" customHeight="1">
      <c r="B13" s="13">
        <f>IFERROR(__xludf.DUMMYFUNCTION("""COMPUTED_VALUE"""),8.0)</f>
        <v>8</v>
      </c>
      <c r="C13" s="13" t="str">
        <f>IFERROR(__xludf.DUMMYFUNCTION("""COMPUTED_VALUE"""),"M. 288/ Kaliawi")</f>
        <v>M. 288/ Kaliawi</v>
      </c>
      <c r="D13" s="13" t="str">
        <f>IFERROR(__xludf.DUMMYFUNCTION("""COMPUTED_VALUE"""),"K/12/151024/2")</f>
        <v>K/12/151024/2</v>
      </c>
      <c r="E13" s="14" t="str">
        <f>IFERROR(__xludf.DUMMYFUNCTION("""COMPUTED_VALUE"""),"Afriza (BT)")</f>
        <v>Afriza (BT)</v>
      </c>
      <c r="F13" s="14" t="str">
        <f>IFERROR(__xludf.DUMMYFUNCTION("""COMPUTED_VALUE"""),"SELESAI")</f>
        <v>SELESAI</v>
      </c>
      <c r="G13" s="17">
        <f>IFERROR(__xludf.DUMMYFUNCTION("""COMPUTED_VALUE"""),45582.48802722222)</f>
        <v>45582.48803</v>
      </c>
      <c r="H13" s="14" t="str">
        <f>IFERROR(__xludf.DUMMYFUNCTION("""COMPUTED_VALUE"""),"Bu Eva (SU)")</f>
        <v>Bu Eva (SU)</v>
      </c>
      <c r="I13" s="13" t="str">
        <f>IFERROR(__xludf.DUMMYFUNCTION("""COMPUTED_VALUE"""),"SELESAI")</f>
        <v>SELESAI</v>
      </c>
      <c r="J13" s="17">
        <f>IFERROR(__xludf.DUMMYFUNCTION("""COMPUTED_VALUE"""),45587.66803207176)</f>
        <v>45587.66803</v>
      </c>
      <c r="K13" s="13" t="str">
        <f>IFERROR(__xludf.DUMMYFUNCTION("""COMPUTED_VALUE"""),"SELESAI")</f>
        <v>SELESAI</v>
      </c>
      <c r="L13" s="17">
        <f>IFERROR(__xludf.DUMMYFUNCTION("""COMPUTED_VALUE"""),45587.66803207176)</f>
        <v>45587.66803</v>
      </c>
      <c r="M13" s="17" t="str">
        <f>IFERROR(__xludf.DUMMYFUNCTION("""COMPUTED_VALUE"""),"")</f>
        <v/>
      </c>
      <c r="N13" s="17">
        <f>IFERROR(__xludf.DUMMYFUNCTION("""COMPUTED_VALUE"""),45587.66803207176)</f>
        <v>45587.66803</v>
      </c>
      <c r="O13" s="13">
        <f t="shared" si="1"/>
        <v>2</v>
      </c>
    </row>
    <row r="14" ht="22.5" customHeight="1">
      <c r="B14" s="13">
        <f>IFERROR(__xludf.DUMMYFUNCTION("""COMPUTED_VALUE"""),9.0)</f>
        <v>9</v>
      </c>
      <c r="C14" s="13" t="str">
        <f>IFERROR(__xludf.DUMMYFUNCTION("""COMPUTED_VALUE"""),"M. 1186/ Enggal")</f>
        <v>M. 1186/ Enggal</v>
      </c>
      <c r="D14" s="13" t="str">
        <f>IFERROR(__xludf.DUMMYFUNCTION("""COMPUTED_VALUE"""),"K/13/161024/1")</f>
        <v>K/13/161024/1</v>
      </c>
      <c r="E14" s="14" t="str">
        <f>IFERROR(__xludf.DUMMYFUNCTION("""COMPUTED_VALUE"""),"Nadian (BT)")</f>
        <v>Nadian (BT)</v>
      </c>
      <c r="F14" s="14" t="str">
        <f>IFERROR(__xludf.DUMMYFUNCTION("""COMPUTED_VALUE"""),"SELESAI")</f>
        <v>SELESAI</v>
      </c>
      <c r="G14" s="17">
        <f>IFERROR(__xludf.DUMMYFUNCTION("""COMPUTED_VALUE"""),45582.617769351855)</f>
        <v>45582.61777</v>
      </c>
      <c r="H14" s="14" t="str">
        <f>IFERROR(__xludf.DUMMYFUNCTION("""COMPUTED_VALUE"""),"Bu Eva (SU)")</f>
        <v>Bu Eva (SU)</v>
      </c>
      <c r="I14" s="13" t="str">
        <f>IFERROR(__xludf.DUMMYFUNCTION("""COMPUTED_VALUE"""),"SELESAI")</f>
        <v>SELESAI</v>
      </c>
      <c r="J14" s="17">
        <f>IFERROR(__xludf.DUMMYFUNCTION("""COMPUTED_VALUE"""),45583.71007164352)</f>
        <v>45583.71007</v>
      </c>
      <c r="K14" s="13" t="str">
        <f>IFERROR(__xludf.DUMMYFUNCTION("""COMPUTED_VALUE"""),"SELESAI")</f>
        <v>SELESAI</v>
      </c>
      <c r="L14" s="17">
        <f>IFERROR(__xludf.DUMMYFUNCTION("""COMPUTED_VALUE"""),45583.71007164352)</f>
        <v>45583.71007</v>
      </c>
      <c r="M14" s="17" t="str">
        <f>IFERROR(__xludf.DUMMYFUNCTION("""COMPUTED_VALUE"""),"")</f>
        <v/>
      </c>
      <c r="N14" s="17">
        <f>IFERROR(__xludf.DUMMYFUNCTION("""COMPUTED_VALUE"""),45583.7101121875)</f>
        <v>45583.71011</v>
      </c>
      <c r="O14" s="13">
        <f t="shared" si="1"/>
        <v>3</v>
      </c>
    </row>
    <row r="15" ht="22.5" customHeight="1">
      <c r="B15" s="13">
        <f>IFERROR(__xludf.DUMMYFUNCTION("""COMPUTED_VALUE"""),10.0)</f>
        <v>10</v>
      </c>
      <c r="C15" s="13" t="str">
        <f>IFERROR(__xludf.DUMMYFUNCTION("""COMPUTED_VALUE"""),"M.1095/NOG")</f>
        <v>M.1095/NOG</v>
      </c>
      <c r="D15" s="13" t="str">
        <f>IFERROR(__xludf.DUMMYFUNCTION("""COMPUTED_VALUE"""),"L/16/161024/1")</f>
        <v>L/16/161024/1</v>
      </c>
      <c r="E15" s="14" t="str">
        <f>IFERROR(__xludf.DUMMYFUNCTION("""COMPUTED_VALUE"""),"Nadian (BT)")</f>
        <v>Nadian (BT)</v>
      </c>
      <c r="F15" s="14" t="str">
        <f>IFERROR(__xludf.DUMMYFUNCTION("""COMPUTED_VALUE"""),"SELESAI")</f>
        <v>SELESAI</v>
      </c>
      <c r="G15" s="17">
        <f>IFERROR(__xludf.DUMMYFUNCTION("""COMPUTED_VALUE"""),45582.61887318287)</f>
        <v>45582.61887</v>
      </c>
      <c r="H15" s="14" t="str">
        <f>IFERROR(__xludf.DUMMYFUNCTION("""COMPUTED_VALUE"""),"Bu Eva (SU)")</f>
        <v>Bu Eva (SU)</v>
      </c>
      <c r="I15" s="13" t="str">
        <f>IFERROR(__xludf.DUMMYFUNCTION("""COMPUTED_VALUE"""),"SELESAI")</f>
        <v>SELESAI</v>
      </c>
      <c r="J15" s="17">
        <f>IFERROR(__xludf.DUMMYFUNCTION("""COMPUTED_VALUE"""),45583.7103685301)</f>
        <v>45583.71037</v>
      </c>
      <c r="K15" s="13" t="str">
        <f>IFERROR(__xludf.DUMMYFUNCTION("""COMPUTED_VALUE"""),"SELESAI")</f>
        <v>SELESAI</v>
      </c>
      <c r="L15" s="17">
        <f>IFERROR(__xludf.DUMMYFUNCTION("""COMPUTED_VALUE"""),45583.7103685301)</f>
        <v>45583.71037</v>
      </c>
      <c r="M15" s="17" t="str">
        <f>IFERROR(__xludf.DUMMYFUNCTION("""COMPUTED_VALUE"""),"")</f>
        <v/>
      </c>
      <c r="N15" s="13" t="str">
        <f>IFERROR(__xludf.DUMMYFUNCTION("""COMPUTED_VALUE"""),"")</f>
        <v/>
      </c>
      <c r="O15" s="13" t="str">
        <f t="shared" si="1"/>
        <v/>
      </c>
    </row>
    <row r="16" ht="22.5" customHeight="1">
      <c r="B16" s="13">
        <f>IFERROR(__xludf.DUMMYFUNCTION("""COMPUTED_VALUE"""),11.0)</f>
        <v>11</v>
      </c>
      <c r="C16" s="13" t="str">
        <f>IFERROR(__xludf.DUMMYFUNCTION("""COMPUTED_VALUE"""),"M.13036/SUKABUMI")</f>
        <v>M.13036/SUKABUMI</v>
      </c>
      <c r="D16" s="13" t="str">
        <f>IFERROR(__xludf.DUMMYFUNCTION("""COMPUTED_VALUE"""),"L/6/171024/1")</f>
        <v>L/6/171024/1</v>
      </c>
      <c r="E16" s="14" t="str">
        <f>IFERROR(__xludf.DUMMYFUNCTION("""COMPUTED_VALUE"""),"Nadian (BT)")</f>
        <v>Nadian (BT)</v>
      </c>
      <c r="F16" s="14" t="str">
        <f>IFERROR(__xludf.DUMMYFUNCTION("""COMPUTED_VALUE"""),"SELESAI")</f>
        <v>SELESAI</v>
      </c>
      <c r="G16" s="17">
        <f>IFERROR(__xludf.DUMMYFUNCTION("""COMPUTED_VALUE"""),45582.689037777775)</f>
        <v>45582.68904</v>
      </c>
      <c r="H16" s="14" t="str">
        <f>IFERROR(__xludf.DUMMYFUNCTION("""COMPUTED_VALUE"""),"Bu Eva (SU)")</f>
        <v>Bu Eva (SU)</v>
      </c>
      <c r="I16" s="13" t="str">
        <f>IFERROR(__xludf.DUMMYFUNCTION("""COMPUTED_VALUE"""),"SELESAI")</f>
        <v>SELESAI</v>
      </c>
      <c r="J16" s="17">
        <f>IFERROR(__xludf.DUMMYFUNCTION("""COMPUTED_VALUE"""),45583.7100703125)</f>
        <v>45583.71007</v>
      </c>
      <c r="K16" s="13" t="str">
        <f>IFERROR(__xludf.DUMMYFUNCTION("""COMPUTED_VALUE"""),"SELESAI")</f>
        <v>SELESAI</v>
      </c>
      <c r="L16" s="17">
        <f>IFERROR(__xludf.DUMMYFUNCTION("""COMPUTED_VALUE"""),45583.7100703125)</f>
        <v>45583.71007</v>
      </c>
      <c r="M16" s="17" t="str">
        <f>IFERROR(__xludf.DUMMYFUNCTION("""COMPUTED_VALUE"""),"")</f>
        <v/>
      </c>
      <c r="N16" s="17">
        <f>IFERROR(__xludf.DUMMYFUNCTION("""COMPUTED_VALUE"""),45583.7100703125)</f>
        <v>45583.71007</v>
      </c>
      <c r="O16" s="13">
        <f t="shared" si="1"/>
        <v>1</v>
      </c>
    </row>
    <row r="17" ht="22.5" customHeight="1">
      <c r="B17" s="13">
        <f>IFERROR(__xludf.DUMMYFUNCTION("""COMPUTED_VALUE"""),12.0)</f>
        <v>12</v>
      </c>
      <c r="C17" s="13" t="str">
        <f>IFERROR(__xludf.DUMMYFUNCTION("""COMPUTED_VALUE"""),"HGB 416/WAY KANDIS")</f>
        <v>HGB 416/WAY KANDIS</v>
      </c>
      <c r="D17" s="13" t="str">
        <f>IFERROR(__xludf.DUMMYFUNCTION("""COMPUTED_VALUE"""),"L/11/171024/1")</f>
        <v>L/11/171024/1</v>
      </c>
      <c r="E17" s="14" t="str">
        <f>IFERROR(__xludf.DUMMYFUNCTION("""COMPUTED_VALUE"""),"Nadian (BT)")</f>
        <v>Nadian (BT)</v>
      </c>
      <c r="F17" s="14" t="str">
        <f>IFERROR(__xludf.DUMMYFUNCTION("""COMPUTED_VALUE"""),"SELESAI")</f>
        <v>SELESAI</v>
      </c>
      <c r="G17" s="17">
        <f>IFERROR(__xludf.DUMMYFUNCTION("""COMPUTED_VALUE"""),45582.68917092592)</f>
        <v>45582.68917</v>
      </c>
      <c r="H17" s="14" t="str">
        <f>IFERROR(__xludf.DUMMYFUNCTION("""COMPUTED_VALUE"""),"Bu Eva (SU)")</f>
        <v>Bu Eva (SU)</v>
      </c>
      <c r="I17" s="13" t="str">
        <f>IFERROR(__xludf.DUMMYFUNCTION("""COMPUTED_VALUE"""),"SELESAI")</f>
        <v>SELESAI</v>
      </c>
      <c r="J17" s="17">
        <f>IFERROR(__xludf.DUMMYFUNCTION("""COMPUTED_VALUE"""),45583.7100703125)</f>
        <v>45583.71007</v>
      </c>
      <c r="K17" s="13" t="str">
        <f>IFERROR(__xludf.DUMMYFUNCTION("""COMPUTED_VALUE"""),"SELESAI")</f>
        <v>SELESAI</v>
      </c>
      <c r="L17" s="17">
        <f>IFERROR(__xludf.DUMMYFUNCTION("""COMPUTED_VALUE"""),45583.7100703125)</f>
        <v>45583.71007</v>
      </c>
      <c r="M17" s="17" t="str">
        <f>IFERROR(__xludf.DUMMYFUNCTION("""COMPUTED_VALUE"""),"")</f>
        <v/>
      </c>
      <c r="N17" s="17">
        <f>IFERROR(__xludf.DUMMYFUNCTION("""COMPUTED_VALUE"""),45583.7100703125)</f>
        <v>45583.71007</v>
      </c>
      <c r="O17" s="13">
        <f t="shared" si="1"/>
        <v>2</v>
      </c>
    </row>
    <row r="18" ht="22.5" customHeight="1">
      <c r="B18" s="13">
        <f>IFERROR(__xludf.DUMMYFUNCTION("""COMPUTED_VALUE"""),13.0)</f>
        <v>13</v>
      </c>
      <c r="C18" s="13" t="str">
        <f>IFERROR(__xludf.DUMMYFUNCTION("""COMPUTED_VALUE"""),"M. 2465/ Pinang jaya")</f>
        <v>M. 2465/ Pinang jaya</v>
      </c>
      <c r="D18" s="13" t="str">
        <f>IFERROR(__xludf.DUMMYFUNCTION("""COMPUTED_VALUE"""),"K/14/171024/5")</f>
        <v>K/14/171024/5</v>
      </c>
      <c r="E18" s="14" t="str">
        <f>IFERROR(__xludf.DUMMYFUNCTION("""COMPUTED_VALUE"""),"Nadian (BT)")</f>
        <v>Nadian (BT)</v>
      </c>
      <c r="F18" s="14" t="str">
        <f>IFERROR(__xludf.DUMMYFUNCTION("""COMPUTED_VALUE"""),"SELESAI")</f>
        <v>SELESAI</v>
      </c>
      <c r="G18" s="17">
        <f>IFERROR(__xludf.DUMMYFUNCTION("""COMPUTED_VALUE"""),45582.68930762731)</f>
        <v>45582.68931</v>
      </c>
      <c r="H18" s="14" t="str">
        <f>IFERROR(__xludf.DUMMYFUNCTION("""COMPUTED_VALUE"""),"Bu Eva (SU)")</f>
        <v>Bu Eva (SU)</v>
      </c>
      <c r="I18" s="13" t="str">
        <f>IFERROR(__xludf.DUMMYFUNCTION("""COMPUTED_VALUE"""),"SELESAI")</f>
        <v>SELESAI</v>
      </c>
      <c r="J18" s="17">
        <f>IFERROR(__xludf.DUMMYFUNCTION("""COMPUTED_VALUE"""),45594.40396957176)</f>
        <v>45594.40397</v>
      </c>
      <c r="K18" s="13" t="str">
        <f>IFERROR(__xludf.DUMMYFUNCTION("""COMPUTED_VALUE"""),"SELESAI")</f>
        <v>SELESAI</v>
      </c>
      <c r="L18" s="17">
        <f>IFERROR(__xludf.DUMMYFUNCTION("""COMPUTED_VALUE"""),45594.40396957176)</f>
        <v>45594.40397</v>
      </c>
      <c r="M18" s="17" t="str">
        <f>IFERROR(__xludf.DUMMYFUNCTION("""COMPUTED_VALUE"""),"")</f>
        <v/>
      </c>
      <c r="N18" s="13" t="str">
        <f>IFERROR(__xludf.DUMMYFUNCTION("""COMPUTED_VALUE"""),"")</f>
        <v/>
      </c>
      <c r="O18" s="13" t="str">
        <f t="shared" si="1"/>
        <v/>
      </c>
    </row>
    <row r="19" ht="22.5" customHeight="1">
      <c r="B19" s="13">
        <f>IFERROR(__xludf.DUMMYFUNCTION("""COMPUTED_VALUE"""),14.0)</f>
        <v>14</v>
      </c>
      <c r="C19" s="13" t="str">
        <f>IFERROR(__xludf.DUMMYFUNCTION("""COMPUTED_VALUE"""),"M.1552/PESAWAHAN")</f>
        <v>M.1552/PESAWAHAN</v>
      </c>
      <c r="D19" s="13" t="str">
        <f>IFERROR(__xludf.DUMMYFUNCTION("""COMPUTED_VALUE"""),"K/34/181024/2")</f>
        <v>K/34/181024/2</v>
      </c>
      <c r="E19" s="14" t="str">
        <f>IFERROR(__xludf.DUMMYFUNCTION("""COMPUTED_VALUE"""),"Afriza (BT)")</f>
        <v>Afriza (BT)</v>
      </c>
      <c r="F19" s="14" t="str">
        <f>IFERROR(__xludf.DUMMYFUNCTION("""COMPUTED_VALUE"""),"SELESAI")</f>
        <v>SELESAI</v>
      </c>
      <c r="G19" s="17">
        <f>IFERROR(__xludf.DUMMYFUNCTION("""COMPUTED_VALUE"""),45586.59689925926)</f>
        <v>45586.5969</v>
      </c>
      <c r="H19" s="14" t="str">
        <f>IFERROR(__xludf.DUMMYFUNCTION("""COMPUTED_VALUE"""),"Bu Eva (SU)")</f>
        <v>Bu Eva (SU)</v>
      </c>
      <c r="I19" s="13" t="str">
        <f>IFERROR(__xludf.DUMMYFUNCTION("""COMPUTED_VALUE"""),"SELESAI")</f>
        <v>SELESAI</v>
      </c>
      <c r="J19" s="17">
        <f>IFERROR(__xludf.DUMMYFUNCTION("""COMPUTED_VALUE"""),45587.691420138886)</f>
        <v>45587.69142</v>
      </c>
      <c r="K19" s="13" t="str">
        <f>IFERROR(__xludf.DUMMYFUNCTION("""COMPUTED_VALUE"""),"SELESAI")</f>
        <v>SELESAI</v>
      </c>
      <c r="L19" s="17">
        <f>IFERROR(__xludf.DUMMYFUNCTION("""COMPUTED_VALUE"""),45587.691420138886)</f>
        <v>45587.69142</v>
      </c>
      <c r="M19" s="17" t="str">
        <f>IFERROR(__xludf.DUMMYFUNCTION("""COMPUTED_VALUE"""),"")</f>
        <v/>
      </c>
      <c r="N19" s="17">
        <f>IFERROR(__xludf.DUMMYFUNCTION("""COMPUTED_VALUE"""),45587.69146971065)</f>
        <v>45587.69147</v>
      </c>
      <c r="O19" s="13">
        <f t="shared" si="1"/>
        <v>1</v>
      </c>
    </row>
    <row r="20" ht="22.5" customHeight="1">
      <c r="B20" s="13">
        <f>IFERROR(__xludf.DUMMYFUNCTION("""COMPUTED_VALUE"""),15.0)</f>
        <v>15</v>
      </c>
      <c r="C20" s="13" t="str">
        <f>IFERROR(__xludf.DUMMYFUNCTION("""COMPUTED_VALUE"""),"B. 653; 654/ Pesawahan dan SHT 1213/2008 dan SHT 3013/2006")</f>
        <v>B. 653; 654/ Pesawahan dan SHT 1213/2008 dan SHT 3013/2006</v>
      </c>
      <c r="D20" s="13" t="str">
        <f>IFERROR(__xludf.DUMMYFUNCTION("""COMPUTED_VALUE"""),"K/6/181024/1")</f>
        <v>K/6/181024/1</v>
      </c>
      <c r="E20" s="14" t="str">
        <f>IFERROR(__xludf.DUMMYFUNCTION("""COMPUTED_VALUE"""),"Afriza (BT)")</f>
        <v>Afriza (BT)</v>
      </c>
      <c r="F20" s="14" t="str">
        <f>IFERROR(__xludf.DUMMYFUNCTION("""COMPUTED_VALUE"""),"SELESAI")</f>
        <v>SELESAI</v>
      </c>
      <c r="G20" s="17">
        <f>IFERROR(__xludf.DUMMYFUNCTION("""COMPUTED_VALUE"""),45586.60736440972)</f>
        <v>45586.60736</v>
      </c>
      <c r="H20" s="14" t="str">
        <f>IFERROR(__xludf.DUMMYFUNCTION("""COMPUTED_VALUE"""),"Bu Eva (SU)")</f>
        <v>Bu Eva (SU)</v>
      </c>
      <c r="I20" s="13" t="str">
        <f>IFERROR(__xludf.DUMMYFUNCTION("""COMPUTED_VALUE"""),"SELESAI")</f>
        <v>SELESAI</v>
      </c>
      <c r="J20" s="17">
        <f>IFERROR(__xludf.DUMMYFUNCTION("""COMPUTED_VALUE"""),45587.69120581019)</f>
        <v>45587.69121</v>
      </c>
      <c r="K20" s="13" t="str">
        <f>IFERROR(__xludf.DUMMYFUNCTION("""COMPUTED_VALUE"""),"SELESAI")</f>
        <v>SELESAI</v>
      </c>
      <c r="L20" s="17">
        <f>IFERROR(__xludf.DUMMYFUNCTION("""COMPUTED_VALUE"""),45587.69120581019)</f>
        <v>45587.69121</v>
      </c>
      <c r="M20" s="17" t="str">
        <f>IFERROR(__xludf.DUMMYFUNCTION("""COMPUTED_VALUE"""),"")</f>
        <v/>
      </c>
      <c r="N20" s="17">
        <f>IFERROR(__xludf.DUMMYFUNCTION("""COMPUTED_VALUE"""),45587.691239884254)</f>
        <v>45587.69124</v>
      </c>
      <c r="O20" s="13">
        <f t="shared" si="1"/>
        <v>2</v>
      </c>
    </row>
    <row r="21" ht="22.5" customHeight="1">
      <c r="B21" s="13">
        <f>IFERROR(__xludf.DUMMYFUNCTION("""COMPUTED_VALUE"""),16.0)</f>
        <v>16</v>
      </c>
      <c r="C21" s="13" t="str">
        <f>IFERROR(__xludf.DUMMYFUNCTION("""COMPUTED_VALUE"""),"HM 1375/TANJUNG SENENG")</f>
        <v>HM 1375/TANJUNG SENENG</v>
      </c>
      <c r="D21" s="13" t="str">
        <f>IFERROR(__xludf.DUMMYFUNCTION("""COMPUTED_VALUE"""),"L/40/171024/1")</f>
        <v>L/40/171024/1</v>
      </c>
      <c r="E21" s="14" t="str">
        <f>IFERROR(__xludf.DUMMYFUNCTION("""COMPUTED_VALUE"""),"Nadian (BT)")</f>
        <v>Nadian (BT)</v>
      </c>
      <c r="F21" s="14" t="str">
        <f>IFERROR(__xludf.DUMMYFUNCTION("""COMPUTED_VALUE"""),"SELESAI")</f>
        <v>SELESAI</v>
      </c>
      <c r="G21" s="17">
        <f>IFERROR(__xludf.DUMMYFUNCTION("""COMPUTED_VALUE"""),45586.63063859954)</f>
        <v>45586.63064</v>
      </c>
      <c r="H21" s="14" t="str">
        <f>IFERROR(__xludf.DUMMYFUNCTION("""COMPUTED_VALUE"""),"Bu Eva (SU)")</f>
        <v>Bu Eva (SU)</v>
      </c>
      <c r="I21" s="13" t="str">
        <f>IFERROR(__xludf.DUMMYFUNCTION("""COMPUTED_VALUE"""),"SELESAI")</f>
        <v>SELESAI</v>
      </c>
      <c r="J21" s="17">
        <f>IFERROR(__xludf.DUMMYFUNCTION("""COMPUTED_VALUE"""),45587.66803209491)</f>
        <v>45587.66803</v>
      </c>
      <c r="K21" s="13" t="str">
        <f>IFERROR(__xludf.DUMMYFUNCTION("""COMPUTED_VALUE"""),"SELESAI")</f>
        <v>SELESAI</v>
      </c>
      <c r="L21" s="17">
        <f>IFERROR(__xludf.DUMMYFUNCTION("""COMPUTED_VALUE"""),45587.66803209491)</f>
        <v>45587.66803</v>
      </c>
      <c r="M21" s="17" t="str">
        <f>IFERROR(__xludf.DUMMYFUNCTION("""COMPUTED_VALUE"""),"")</f>
        <v/>
      </c>
      <c r="N21" s="17">
        <f>IFERROR(__xludf.DUMMYFUNCTION("""COMPUTED_VALUE"""),45587.66803209491)</f>
        <v>45587.66803</v>
      </c>
      <c r="O21" s="13">
        <f t="shared" si="1"/>
        <v>3</v>
      </c>
    </row>
    <row r="22" ht="22.5" customHeight="1">
      <c r="B22" s="13">
        <f>IFERROR(__xludf.DUMMYFUNCTION("""COMPUTED_VALUE"""),17.0)</f>
        <v>17</v>
      </c>
      <c r="C22" s="13" t="str">
        <f>IFERROR(__xludf.DUMMYFUNCTION("""COMPUTED_VALUE"""),"HM 16138/SUKARAME I")</f>
        <v>HM 16138/SUKARAME I</v>
      </c>
      <c r="D22" s="13" t="str">
        <f>IFERROR(__xludf.DUMMYFUNCTION("""COMPUTED_VALUE"""),"L/44/171024/1")</f>
        <v>L/44/171024/1</v>
      </c>
      <c r="E22" s="14" t="str">
        <f>IFERROR(__xludf.DUMMYFUNCTION("""COMPUTED_VALUE"""),"Nadian (BT)")</f>
        <v>Nadian (BT)</v>
      </c>
      <c r="F22" s="14" t="str">
        <f>IFERROR(__xludf.DUMMYFUNCTION("""COMPUTED_VALUE"""),"SELESAI")</f>
        <v>SELESAI</v>
      </c>
      <c r="G22" s="17">
        <f>IFERROR(__xludf.DUMMYFUNCTION("""COMPUTED_VALUE"""),45586.63057144676)</f>
        <v>45586.63057</v>
      </c>
      <c r="H22" s="14" t="str">
        <f>IFERROR(__xludf.DUMMYFUNCTION("""COMPUTED_VALUE"""),"Bu Eva (SU)")</f>
        <v>Bu Eva (SU)</v>
      </c>
      <c r="I22" s="13" t="str">
        <f>IFERROR(__xludf.DUMMYFUNCTION("""COMPUTED_VALUE"""),"SELESAI")</f>
        <v>SELESAI</v>
      </c>
      <c r="J22" s="17">
        <f>IFERROR(__xludf.DUMMYFUNCTION("""COMPUTED_VALUE"""),45587.66803209491)</f>
        <v>45587.66803</v>
      </c>
      <c r="K22" s="13" t="str">
        <f>IFERROR(__xludf.DUMMYFUNCTION("""COMPUTED_VALUE"""),"SELESAI")</f>
        <v>SELESAI</v>
      </c>
      <c r="L22" s="17">
        <f>IFERROR(__xludf.DUMMYFUNCTION("""COMPUTED_VALUE"""),45587.66803209491)</f>
        <v>45587.66803</v>
      </c>
      <c r="M22" s="17" t="str">
        <f>IFERROR(__xludf.DUMMYFUNCTION("""COMPUTED_VALUE"""),"")</f>
        <v/>
      </c>
      <c r="N22" s="17">
        <f>IFERROR(__xludf.DUMMYFUNCTION("""COMPUTED_VALUE"""),45587.66803209491)</f>
        <v>45587.66803</v>
      </c>
      <c r="O22" s="13">
        <f t="shared" si="1"/>
        <v>4</v>
      </c>
    </row>
    <row r="23" ht="22.5" customHeight="1">
      <c r="B23" s="13">
        <f>IFERROR(__xludf.DUMMYFUNCTION("""COMPUTED_VALUE"""),18.0)</f>
        <v>18</v>
      </c>
      <c r="C23" s="13" t="str">
        <f>IFERROR(__xludf.DUMMYFUNCTION("""COMPUTED_VALUE"""),"M. 377/ ENGGAL")</f>
        <v>M. 377/ ENGGAL</v>
      </c>
      <c r="D23" s="13" t="str">
        <f>IFERROR(__xludf.DUMMYFUNCTION("""COMPUTED_VALUE"""),"K/56/171024/1")</f>
        <v>K/56/171024/1</v>
      </c>
      <c r="E23" s="14" t="str">
        <f>IFERROR(__xludf.DUMMYFUNCTION("""COMPUTED_VALUE"""),"Nadian (BT)")</f>
        <v>Nadian (BT)</v>
      </c>
      <c r="F23" s="14" t="str">
        <f>IFERROR(__xludf.DUMMYFUNCTION("""COMPUTED_VALUE"""),"SELESAI")</f>
        <v>SELESAI</v>
      </c>
      <c r="G23" s="17">
        <f>IFERROR(__xludf.DUMMYFUNCTION("""COMPUTED_VALUE"""),45586.630507650465)</f>
        <v>45586.63051</v>
      </c>
      <c r="H23" s="14" t="str">
        <f>IFERROR(__xludf.DUMMYFUNCTION("""COMPUTED_VALUE"""),"Bu Eva (SU)")</f>
        <v>Bu Eva (SU)</v>
      </c>
      <c r="I23" s="13" t="str">
        <f>IFERROR(__xludf.DUMMYFUNCTION("""COMPUTED_VALUE"""),"SELESAI")</f>
        <v>SELESAI</v>
      </c>
      <c r="J23" s="17">
        <f>IFERROR(__xludf.DUMMYFUNCTION("""COMPUTED_VALUE"""),45587.66803209491)</f>
        <v>45587.66803</v>
      </c>
      <c r="K23" s="13" t="str">
        <f>IFERROR(__xludf.DUMMYFUNCTION("""COMPUTED_VALUE"""),"SELESAI")</f>
        <v>SELESAI</v>
      </c>
      <c r="L23" s="17">
        <f>IFERROR(__xludf.DUMMYFUNCTION("""COMPUTED_VALUE"""),45587.66803209491)</f>
        <v>45587.66803</v>
      </c>
      <c r="M23" s="17" t="str">
        <f>IFERROR(__xludf.DUMMYFUNCTION("""COMPUTED_VALUE"""),"")</f>
        <v/>
      </c>
      <c r="N23" s="17">
        <f>IFERROR(__xludf.DUMMYFUNCTION("""COMPUTED_VALUE"""),45587.66803210648)</f>
        <v>45587.66803</v>
      </c>
      <c r="O23" s="13">
        <f t="shared" si="1"/>
        <v>5</v>
      </c>
    </row>
    <row r="24" ht="22.5" customHeight="1">
      <c r="B24" s="13">
        <f>IFERROR(__xludf.DUMMYFUNCTION("""COMPUTED_VALUE"""),19.0)</f>
        <v>19</v>
      </c>
      <c r="C24" s="13" t="str">
        <f>IFERROR(__xludf.DUMMYFUNCTION("""COMPUTED_VALUE"""),"B. 649/ Sumber Agung")</f>
        <v>B. 649/ Sumber Agung</v>
      </c>
      <c r="D24" s="13" t="str">
        <f>IFERROR(__xludf.DUMMYFUNCTION("""COMPUTED_VALUE"""),"K/42/171024/1")</f>
        <v>K/42/171024/1</v>
      </c>
      <c r="E24" s="14" t="str">
        <f>IFERROR(__xludf.DUMMYFUNCTION("""COMPUTED_VALUE"""),"Nadian (BT)")</f>
        <v>Nadian (BT)</v>
      </c>
      <c r="F24" s="14" t="str">
        <f>IFERROR(__xludf.DUMMYFUNCTION("""COMPUTED_VALUE"""),"SELESAI")</f>
        <v>SELESAI</v>
      </c>
      <c r="G24" s="17">
        <f>IFERROR(__xludf.DUMMYFUNCTION("""COMPUTED_VALUE"""),45586.63040666666)</f>
        <v>45586.63041</v>
      </c>
      <c r="H24" s="14" t="str">
        <f>IFERROR(__xludf.DUMMYFUNCTION("""COMPUTED_VALUE"""),"Bu Eva (SU)")</f>
        <v>Bu Eva (SU)</v>
      </c>
      <c r="I24" s="13" t="str">
        <f>IFERROR(__xludf.DUMMYFUNCTION("""COMPUTED_VALUE"""),"SELESAI")</f>
        <v>SELESAI</v>
      </c>
      <c r="J24" s="17">
        <f>IFERROR(__xludf.DUMMYFUNCTION("""COMPUTED_VALUE"""),45587.66803210648)</f>
        <v>45587.66803</v>
      </c>
      <c r="K24" s="13" t="str">
        <f>IFERROR(__xludf.DUMMYFUNCTION("""COMPUTED_VALUE"""),"SELESAI")</f>
        <v>SELESAI</v>
      </c>
      <c r="L24" s="17">
        <f>IFERROR(__xludf.DUMMYFUNCTION("""COMPUTED_VALUE"""),45587.66803210648)</f>
        <v>45587.66803</v>
      </c>
      <c r="M24" s="17" t="str">
        <f>IFERROR(__xludf.DUMMYFUNCTION("""COMPUTED_VALUE"""),"")</f>
        <v/>
      </c>
      <c r="N24" s="17">
        <f>IFERROR(__xludf.DUMMYFUNCTION("""COMPUTED_VALUE"""),45587.66803210648)</f>
        <v>45587.66803</v>
      </c>
      <c r="O24" s="13">
        <f t="shared" si="1"/>
        <v>6</v>
      </c>
    </row>
    <row r="25" ht="22.5" customHeight="1">
      <c r="B25" s="13">
        <f>IFERROR(__xludf.DUMMYFUNCTION("""COMPUTED_VALUE"""),20.0)</f>
        <v>20</v>
      </c>
      <c r="C25" s="13" t="str">
        <f>IFERROR(__xludf.DUMMYFUNCTION("""COMPUTED_VALUE"""),"HM 296/RAJABASA RAYA")</f>
        <v>HM 296/RAJABASA RAYA</v>
      </c>
      <c r="D25" s="13" t="str">
        <f>IFERROR(__xludf.DUMMYFUNCTION("""COMPUTED_VALUE"""),"L/35/171024/1")</f>
        <v>L/35/171024/1</v>
      </c>
      <c r="E25" s="14" t="str">
        <f>IFERROR(__xludf.DUMMYFUNCTION("""COMPUTED_VALUE"""),"Nadian (BT)")</f>
        <v>Nadian (BT)</v>
      </c>
      <c r="F25" s="14" t="str">
        <f>IFERROR(__xludf.DUMMYFUNCTION("""COMPUTED_VALUE"""),"SELESAI")</f>
        <v>SELESAI</v>
      </c>
      <c r="G25" s="17">
        <f>IFERROR(__xludf.DUMMYFUNCTION("""COMPUTED_VALUE"""),45586.6303046875)</f>
        <v>45586.6303</v>
      </c>
      <c r="H25" s="14" t="str">
        <f>IFERROR(__xludf.DUMMYFUNCTION("""COMPUTED_VALUE"""),"Bu Eva (SU)")</f>
        <v>Bu Eva (SU)</v>
      </c>
      <c r="I25" s="13" t="str">
        <f>IFERROR(__xludf.DUMMYFUNCTION("""COMPUTED_VALUE"""),"SELESAI")</f>
        <v>SELESAI</v>
      </c>
      <c r="J25" s="17">
        <f>IFERROR(__xludf.DUMMYFUNCTION("""COMPUTED_VALUE"""),45587.66803210648)</f>
        <v>45587.66803</v>
      </c>
      <c r="K25" s="13" t="str">
        <f>IFERROR(__xludf.DUMMYFUNCTION("""COMPUTED_VALUE"""),"SELESAI")</f>
        <v>SELESAI</v>
      </c>
      <c r="L25" s="17">
        <f>IFERROR(__xludf.DUMMYFUNCTION("""COMPUTED_VALUE"""),45587.66803210648)</f>
        <v>45587.66803</v>
      </c>
      <c r="M25" s="17" t="str">
        <f>IFERROR(__xludf.DUMMYFUNCTION("""COMPUTED_VALUE"""),"")</f>
        <v/>
      </c>
      <c r="N25" s="17">
        <f>IFERROR(__xludf.DUMMYFUNCTION("""COMPUTED_VALUE"""),45587.66803210648)</f>
        <v>45587.66803</v>
      </c>
      <c r="O25" s="13">
        <f t="shared" si="1"/>
        <v>7</v>
      </c>
    </row>
    <row r="26" ht="22.5" customHeight="1">
      <c r="B26" s="13">
        <f>IFERROR(__xludf.DUMMYFUNCTION("""COMPUTED_VALUE"""),21.0)</f>
        <v>21</v>
      </c>
      <c r="C26" s="13" t="str">
        <f>IFERROR(__xludf.DUMMYFUNCTION("""COMPUTED_VALUE"""),"M.13833/RAJABASA")</f>
        <v>M.13833/RAJABASA</v>
      </c>
      <c r="D26" s="13" t="str">
        <f>IFERROR(__xludf.DUMMYFUNCTION("""COMPUTED_VALUE"""),"L/57/181024/1")</f>
        <v>L/57/181024/1</v>
      </c>
      <c r="E26" s="14" t="str">
        <f>IFERROR(__xludf.DUMMYFUNCTION("""COMPUTED_VALUE"""),"Afriza (BT)")</f>
        <v>Afriza (BT)</v>
      </c>
      <c r="F26" s="14" t="str">
        <f>IFERROR(__xludf.DUMMYFUNCTION("""COMPUTED_VALUE"""),"SELESAI")</f>
        <v>SELESAI</v>
      </c>
      <c r="G26" s="17">
        <f>IFERROR(__xludf.DUMMYFUNCTION("""COMPUTED_VALUE"""),45587.48331087963)</f>
        <v>45587.48331</v>
      </c>
      <c r="H26" s="14" t="str">
        <f>IFERROR(__xludf.DUMMYFUNCTION("""COMPUTED_VALUE"""),"Bu Eva (SU)")</f>
        <v>Bu Eva (SU)</v>
      </c>
      <c r="I26" s="13" t="str">
        <f>IFERROR(__xludf.DUMMYFUNCTION("""COMPUTED_VALUE"""),"SELESAI")</f>
        <v>SELESAI</v>
      </c>
      <c r="J26" s="17">
        <f>IFERROR(__xludf.DUMMYFUNCTION("""COMPUTED_VALUE"""),45587.69071259259)</f>
        <v>45587.69071</v>
      </c>
      <c r="K26" s="13" t="str">
        <f>IFERROR(__xludf.DUMMYFUNCTION("""COMPUTED_VALUE"""),"SELESAI")</f>
        <v>SELESAI</v>
      </c>
      <c r="L26" s="17">
        <f>IFERROR(__xludf.DUMMYFUNCTION("""COMPUTED_VALUE"""),45587.69071259259)</f>
        <v>45587.69071</v>
      </c>
      <c r="M26" s="17" t="str">
        <f>IFERROR(__xludf.DUMMYFUNCTION("""COMPUTED_VALUE"""),"")</f>
        <v/>
      </c>
      <c r="N26" s="17">
        <f>IFERROR(__xludf.DUMMYFUNCTION("""COMPUTED_VALUE"""),45587.69077752315)</f>
        <v>45587.69078</v>
      </c>
      <c r="O26" s="13">
        <f t="shared" si="1"/>
        <v>8</v>
      </c>
    </row>
    <row r="27" ht="22.5" customHeight="1">
      <c r="B27" s="13">
        <f>IFERROR(__xludf.DUMMYFUNCTION("""COMPUTED_VALUE"""),22.0)</f>
        <v>22</v>
      </c>
      <c r="C27" s="13" t="str">
        <f>IFERROR(__xludf.DUMMYFUNCTION("""COMPUTED_VALUE"""),"M.598/GUNUNG TERANG")</f>
        <v>M.598/GUNUNG TERANG</v>
      </c>
      <c r="D27" s="13" t="str">
        <f>IFERROR(__xludf.DUMMYFUNCTION("""COMPUTED_VALUE"""),"K/46/181024/2")</f>
        <v>K/46/181024/2</v>
      </c>
      <c r="E27" s="14" t="str">
        <f>IFERROR(__xludf.DUMMYFUNCTION("""COMPUTED_VALUE"""),"Afriza (BT)")</f>
        <v>Afriza (BT)</v>
      </c>
      <c r="F27" s="14" t="str">
        <f>IFERROR(__xludf.DUMMYFUNCTION("""COMPUTED_VALUE"""),"SELESAI")</f>
        <v>SELESAI</v>
      </c>
      <c r="G27" s="17">
        <f>IFERROR(__xludf.DUMMYFUNCTION("""COMPUTED_VALUE"""),45587.66803210648)</f>
        <v>45587.66803</v>
      </c>
      <c r="H27" s="14" t="str">
        <f>IFERROR(__xludf.DUMMYFUNCTION("""COMPUTED_VALUE"""),"Aprill (SU)")</f>
        <v>Aprill (SU)</v>
      </c>
      <c r="I27" s="13" t="str">
        <f>IFERROR(__xludf.DUMMYFUNCTION("""COMPUTED_VALUE"""),"SELESAI")</f>
        <v>SELESAI</v>
      </c>
      <c r="J27" s="17">
        <f>IFERROR(__xludf.DUMMYFUNCTION("""COMPUTED_VALUE"""),45588.39084087963)</f>
        <v>45588.39084</v>
      </c>
      <c r="K27" s="13" t="str">
        <f>IFERROR(__xludf.DUMMYFUNCTION("""COMPUTED_VALUE"""),"SELESAI")</f>
        <v>SELESAI</v>
      </c>
      <c r="L27" s="17">
        <f>IFERROR(__xludf.DUMMYFUNCTION("""COMPUTED_VALUE"""),45588.39084087963)</f>
        <v>45588.39084</v>
      </c>
      <c r="M27" s="17" t="str">
        <f>IFERROR(__xludf.DUMMYFUNCTION("""COMPUTED_VALUE"""),"")</f>
        <v/>
      </c>
      <c r="N27" s="17">
        <f>IFERROR(__xludf.DUMMYFUNCTION("""COMPUTED_VALUE"""),45588.39087440972)</f>
        <v>45588.39087</v>
      </c>
      <c r="O27" s="13">
        <f t="shared" si="1"/>
        <v>9</v>
      </c>
    </row>
    <row r="28" ht="22.5" customHeight="1">
      <c r="B28" s="13">
        <f>IFERROR(__xludf.DUMMYFUNCTION("""COMPUTED_VALUE"""),23.0)</f>
        <v>23</v>
      </c>
      <c r="C28" s="13" t="str">
        <f>IFERROR(__xludf.DUMMYFUNCTION("""COMPUTED_VALUE"""),"M.2473/RAJABASA JAYA")</f>
        <v>M.2473/RAJABASA JAYA</v>
      </c>
      <c r="D28" s="13" t="str">
        <f>IFERROR(__xludf.DUMMYFUNCTION("""COMPUTED_VALUE"""),"K/45/181024/1")</f>
        <v>K/45/181024/1</v>
      </c>
      <c r="E28" s="14" t="str">
        <f>IFERROR(__xludf.DUMMYFUNCTION("""COMPUTED_VALUE"""),"Afriza (BT)")</f>
        <v>Afriza (BT)</v>
      </c>
      <c r="F28" s="14" t="str">
        <f>IFERROR(__xludf.DUMMYFUNCTION("""COMPUTED_VALUE"""),"SELESAI")</f>
        <v>SELESAI</v>
      </c>
      <c r="G28" s="17">
        <f>IFERROR(__xludf.DUMMYFUNCTION("""COMPUTED_VALUE"""),45587.668032118054)</f>
        <v>45587.66803</v>
      </c>
      <c r="H28" s="14" t="str">
        <f>IFERROR(__xludf.DUMMYFUNCTION("""COMPUTED_VALUE"""),"Bu Eva (SU)")</f>
        <v>Bu Eva (SU)</v>
      </c>
      <c r="I28" s="13" t="str">
        <f>IFERROR(__xludf.DUMMYFUNCTION("""COMPUTED_VALUE"""),"SELESAI")</f>
        <v>SELESAI</v>
      </c>
      <c r="J28" s="17">
        <f>IFERROR(__xludf.DUMMYFUNCTION("""COMPUTED_VALUE"""),45587.68955173611)</f>
        <v>45587.68955</v>
      </c>
      <c r="K28" s="13" t="str">
        <f>IFERROR(__xludf.DUMMYFUNCTION("""COMPUTED_VALUE"""),"SELESAI")</f>
        <v>SELESAI</v>
      </c>
      <c r="L28" s="17">
        <f>IFERROR(__xludf.DUMMYFUNCTION("""COMPUTED_VALUE"""),45587.68955173611)</f>
        <v>45587.68955</v>
      </c>
      <c r="M28" s="17" t="str">
        <f>IFERROR(__xludf.DUMMYFUNCTION("""COMPUTED_VALUE"""),"")</f>
        <v/>
      </c>
      <c r="N28" s="17">
        <f>IFERROR(__xludf.DUMMYFUNCTION("""COMPUTED_VALUE"""),45587.689599108795)</f>
        <v>45587.6896</v>
      </c>
      <c r="O28" s="13">
        <f t="shared" si="1"/>
        <v>10</v>
      </c>
    </row>
    <row r="29" ht="22.5" customHeight="1">
      <c r="B29" s="13">
        <f>IFERROR(__xludf.DUMMYFUNCTION("""COMPUTED_VALUE"""),24.0)</f>
        <v>24</v>
      </c>
      <c r="C29" s="13" t="str">
        <f>IFERROR(__xludf.DUMMYFUNCTION("""COMPUTED_VALUE"""),"HM 180/PINANG JAYA")</f>
        <v>HM 180/PINANG JAYA</v>
      </c>
      <c r="D29" s="13" t="str">
        <f>IFERROR(__xludf.DUMMYFUNCTION("""COMPUTED_VALUE"""),"L/33/211024/1")</f>
        <v>L/33/211024/1</v>
      </c>
      <c r="E29" s="14" t="str">
        <f>IFERROR(__xludf.DUMMYFUNCTION("""COMPUTED_VALUE"""),"Nadian (BT)")</f>
        <v>Nadian (BT)</v>
      </c>
      <c r="F29" s="14" t="str">
        <f>IFERROR(__xludf.DUMMYFUNCTION("""COMPUTED_VALUE"""),"SELESAI")</f>
        <v>SELESAI</v>
      </c>
      <c r="G29" s="17">
        <f>IFERROR(__xludf.DUMMYFUNCTION("""COMPUTED_VALUE"""),45587.689260520834)</f>
        <v>45587.68926</v>
      </c>
      <c r="H29" s="14" t="str">
        <f>IFERROR(__xludf.DUMMYFUNCTION("""COMPUTED_VALUE"""),"Bu Eva (SU)")</f>
        <v>Bu Eva (SU)</v>
      </c>
      <c r="I29" s="13" t="str">
        <f>IFERROR(__xludf.DUMMYFUNCTION("""COMPUTED_VALUE"""),"SELESAI")</f>
        <v>SELESAI</v>
      </c>
      <c r="J29" s="17">
        <f>IFERROR(__xludf.DUMMYFUNCTION("""COMPUTED_VALUE"""),45588.46065230324)</f>
        <v>45588.46065</v>
      </c>
      <c r="K29" s="13" t="str">
        <f>IFERROR(__xludf.DUMMYFUNCTION("""COMPUTED_VALUE"""),"SELESAI")</f>
        <v>SELESAI</v>
      </c>
      <c r="L29" s="17">
        <f>IFERROR(__xludf.DUMMYFUNCTION("""COMPUTED_VALUE"""),45588.46065230324)</f>
        <v>45588.46065</v>
      </c>
      <c r="M29" s="17" t="str">
        <f>IFERROR(__xludf.DUMMYFUNCTION("""COMPUTED_VALUE"""),"")</f>
        <v/>
      </c>
      <c r="N29" s="17">
        <f>IFERROR(__xludf.DUMMYFUNCTION("""COMPUTED_VALUE"""),45588.46068664352)</f>
        <v>45588.46069</v>
      </c>
      <c r="O29" s="13">
        <f t="shared" si="1"/>
        <v>11</v>
      </c>
    </row>
    <row r="30" ht="22.5" customHeight="1">
      <c r="B30" s="13">
        <f>IFERROR(__xludf.DUMMYFUNCTION("""COMPUTED_VALUE"""),25.0)</f>
        <v>25</v>
      </c>
      <c r="C30" s="13" t="str">
        <f>IFERROR(__xludf.DUMMYFUNCTION("""COMPUTED_VALUE"""),"HM 2414/KUPANG TEBA")</f>
        <v>HM 2414/KUPANG TEBA</v>
      </c>
      <c r="D30" s="13" t="str">
        <f>IFERROR(__xludf.DUMMYFUNCTION("""COMPUTED_VALUE"""),"L/28/211024/1")</f>
        <v>L/28/211024/1</v>
      </c>
      <c r="E30" s="14" t="str">
        <f>IFERROR(__xludf.DUMMYFUNCTION("""COMPUTED_VALUE"""),"Nadian (BT)")</f>
        <v>Nadian (BT)</v>
      </c>
      <c r="F30" s="14" t="str">
        <f>IFERROR(__xludf.DUMMYFUNCTION("""COMPUTED_VALUE"""),"SELESAI")</f>
        <v>SELESAI</v>
      </c>
      <c r="G30" s="17">
        <f>IFERROR(__xludf.DUMMYFUNCTION("""COMPUTED_VALUE"""),45587.68946028935)</f>
        <v>45587.68946</v>
      </c>
      <c r="H30" s="14" t="str">
        <f>IFERROR(__xludf.DUMMYFUNCTION("""COMPUTED_VALUE"""),"Bu Eva (SU)")</f>
        <v>Bu Eva (SU)</v>
      </c>
      <c r="I30" s="13" t="str">
        <f>IFERROR(__xludf.DUMMYFUNCTION("""COMPUTED_VALUE"""),"SELESAI")</f>
        <v>SELESAI</v>
      </c>
      <c r="J30" s="17">
        <f>IFERROR(__xludf.DUMMYFUNCTION("""COMPUTED_VALUE"""),45588.46035569445)</f>
        <v>45588.46036</v>
      </c>
      <c r="K30" s="13" t="str">
        <f>IFERROR(__xludf.DUMMYFUNCTION("""COMPUTED_VALUE"""),"SELESAI")</f>
        <v>SELESAI</v>
      </c>
      <c r="L30" s="17">
        <f>IFERROR(__xludf.DUMMYFUNCTION("""COMPUTED_VALUE"""),45588.46035569445)</f>
        <v>45588.46036</v>
      </c>
      <c r="M30" s="17" t="str">
        <f>IFERROR(__xludf.DUMMYFUNCTION("""COMPUTED_VALUE"""),"")</f>
        <v/>
      </c>
      <c r="N30" s="17">
        <f>IFERROR(__xludf.DUMMYFUNCTION("""COMPUTED_VALUE"""),45588.46038564815)</f>
        <v>45588.46039</v>
      </c>
      <c r="O30" s="13">
        <f t="shared" si="1"/>
        <v>12</v>
      </c>
    </row>
    <row r="31" ht="22.5" customHeight="1">
      <c r="B31" s="13">
        <f>IFERROR(__xludf.DUMMYFUNCTION("""COMPUTED_VALUE"""),26.0)</f>
        <v>26</v>
      </c>
      <c r="C31" s="13" t="str">
        <f>IFERROR(__xludf.DUMMYFUNCTION("""COMPUTED_VALUE"""),"M. 467/ Sumur Putri")</f>
        <v>M. 467/ Sumur Putri</v>
      </c>
      <c r="D31" s="13" t="str">
        <f>IFERROR(__xludf.DUMMYFUNCTION("""COMPUTED_VALUE"""),"K/16/211024/2")</f>
        <v>K/16/211024/2</v>
      </c>
      <c r="E31" s="14" t="str">
        <f>IFERROR(__xludf.DUMMYFUNCTION("""COMPUTED_VALUE"""),"Nadian (BT)")</f>
        <v>Nadian (BT)</v>
      </c>
      <c r="F31" s="14" t="str">
        <f>IFERROR(__xludf.DUMMYFUNCTION("""COMPUTED_VALUE"""),"SELESAI")</f>
        <v>SELESAI</v>
      </c>
      <c r="G31" s="17">
        <f>IFERROR(__xludf.DUMMYFUNCTION("""COMPUTED_VALUE"""),45587.689651215274)</f>
        <v>45587.68965</v>
      </c>
      <c r="H31" s="14" t="str">
        <f>IFERROR(__xludf.DUMMYFUNCTION("""COMPUTED_VALUE"""),"Aprill (SU)")</f>
        <v>Aprill (SU)</v>
      </c>
      <c r="I31" s="13" t="str">
        <f>IFERROR(__xludf.DUMMYFUNCTION("""COMPUTED_VALUE"""),"SELESAI")</f>
        <v>SELESAI</v>
      </c>
      <c r="J31" s="17">
        <f>IFERROR(__xludf.DUMMYFUNCTION("""COMPUTED_VALUE"""),45588.46004950232)</f>
        <v>45588.46005</v>
      </c>
      <c r="K31" s="13" t="str">
        <f>IFERROR(__xludf.DUMMYFUNCTION("""COMPUTED_VALUE"""),"SELESAI")</f>
        <v>SELESAI</v>
      </c>
      <c r="L31" s="17">
        <f>IFERROR(__xludf.DUMMYFUNCTION("""COMPUTED_VALUE"""),45588.46004950232)</f>
        <v>45588.46005</v>
      </c>
      <c r="M31" s="17" t="str">
        <f>IFERROR(__xludf.DUMMYFUNCTION("""COMPUTED_VALUE"""),"")</f>
        <v/>
      </c>
      <c r="N31" s="17">
        <f>IFERROR(__xludf.DUMMYFUNCTION("""COMPUTED_VALUE"""),45588.46010527777)</f>
        <v>45588.46011</v>
      </c>
      <c r="O31" s="13">
        <f t="shared" si="1"/>
        <v>13</v>
      </c>
    </row>
    <row r="32" ht="22.5" customHeight="1">
      <c r="B32" s="13">
        <f>IFERROR(__xludf.DUMMYFUNCTION("""COMPUTED_VALUE"""),27.0)</f>
        <v>27</v>
      </c>
      <c r="C32" s="13" t="str">
        <f>IFERROR(__xludf.DUMMYFUNCTION("""COMPUTED_VALUE"""),"M.2704/SUKARAME BARU-SEKARANG;B.986/SUKARAME -DAHULU")</f>
        <v>M.2704/SUKARAME BARU-SEKARANG;B.986/SUKARAME -DAHULU</v>
      </c>
      <c r="D32" s="13" t="str">
        <f>IFERROR(__xludf.DUMMYFUNCTION("""COMPUTED_VALUE"""),"K/47/211024/1")</f>
        <v>K/47/211024/1</v>
      </c>
      <c r="E32" s="14" t="str">
        <f>IFERROR(__xludf.DUMMYFUNCTION("""COMPUTED_VALUE"""),"Nadian (BT)")</f>
        <v>Nadian (BT)</v>
      </c>
      <c r="F32" s="14" t="str">
        <f>IFERROR(__xludf.DUMMYFUNCTION("""COMPUTED_VALUE"""),"SELESAI")</f>
        <v>SELESAI</v>
      </c>
      <c r="G32" s="17">
        <f>IFERROR(__xludf.DUMMYFUNCTION("""COMPUTED_VALUE"""),45587.68979775463)</f>
        <v>45587.6898</v>
      </c>
      <c r="H32" s="14" t="str">
        <f>IFERROR(__xludf.DUMMYFUNCTION("""COMPUTED_VALUE"""),"Bu Eva (SU)")</f>
        <v>Bu Eva (SU)</v>
      </c>
      <c r="I32" s="13" t="str">
        <f>IFERROR(__xludf.DUMMYFUNCTION("""COMPUTED_VALUE"""),"SELESAI")</f>
        <v>SELESAI</v>
      </c>
      <c r="J32" s="17">
        <f>IFERROR(__xludf.DUMMYFUNCTION("""COMPUTED_VALUE"""),45588.46085725694)</f>
        <v>45588.46086</v>
      </c>
      <c r="K32" s="13" t="str">
        <f>IFERROR(__xludf.DUMMYFUNCTION("""COMPUTED_VALUE"""),"SELESAI")</f>
        <v>SELESAI</v>
      </c>
      <c r="L32" s="17">
        <f>IFERROR(__xludf.DUMMYFUNCTION("""COMPUTED_VALUE"""),45588.46085725694)</f>
        <v>45588.46086</v>
      </c>
      <c r="M32" s="17" t="str">
        <f>IFERROR(__xludf.DUMMYFUNCTION("""COMPUTED_VALUE"""),"")</f>
        <v/>
      </c>
      <c r="N32" s="17">
        <f>IFERROR(__xludf.DUMMYFUNCTION("""COMPUTED_VALUE"""),45588.46089155093)</f>
        <v>45588.46089</v>
      </c>
      <c r="O32" s="13">
        <f t="shared" si="1"/>
        <v>14</v>
      </c>
    </row>
    <row r="33" ht="22.5" customHeight="1">
      <c r="B33" s="13">
        <f>IFERROR(__xludf.DUMMYFUNCTION("""COMPUTED_VALUE"""),28.0)</f>
        <v>28</v>
      </c>
      <c r="C33" s="13" t="str">
        <f>IFERROR(__xludf.DUMMYFUNCTION("""COMPUTED_VALUE"""),"HM 101/KEMILING RAYA")</f>
        <v>HM 101/KEMILING RAYA</v>
      </c>
      <c r="D33" s="13" t="str">
        <f>IFERROR(__xludf.DUMMYFUNCTION("""COMPUTED_VALUE"""),"L/40/211024/1")</f>
        <v>L/40/211024/1</v>
      </c>
      <c r="E33" s="14" t="str">
        <f>IFERROR(__xludf.DUMMYFUNCTION("""COMPUTED_VALUE"""),"Nadian (BT)")</f>
        <v>Nadian (BT)</v>
      </c>
      <c r="F33" s="14" t="str">
        <f>IFERROR(__xludf.DUMMYFUNCTION("""COMPUTED_VALUE"""),"SELESAI")</f>
        <v>SELESAI</v>
      </c>
      <c r="G33" s="17">
        <f>IFERROR(__xludf.DUMMYFUNCTION("""COMPUTED_VALUE"""),45587.69007590278)</f>
        <v>45587.69008</v>
      </c>
      <c r="H33" s="14" t="str">
        <f>IFERROR(__xludf.DUMMYFUNCTION("""COMPUTED_VALUE"""),"Bu Eva (SU)")</f>
        <v>Bu Eva (SU)</v>
      </c>
      <c r="I33" s="13" t="str">
        <f>IFERROR(__xludf.DUMMYFUNCTION("""COMPUTED_VALUE"""),"SELESAI")</f>
        <v>SELESAI</v>
      </c>
      <c r="J33" s="17">
        <f>IFERROR(__xludf.DUMMYFUNCTION("""COMPUTED_VALUE"""),45588.461573078705)</f>
        <v>45588.46157</v>
      </c>
      <c r="K33" s="13" t="str">
        <f>IFERROR(__xludf.DUMMYFUNCTION("""COMPUTED_VALUE"""),"SELESAI")</f>
        <v>SELESAI</v>
      </c>
      <c r="L33" s="17">
        <f>IFERROR(__xludf.DUMMYFUNCTION("""COMPUTED_VALUE"""),45588.461573078705)</f>
        <v>45588.46157</v>
      </c>
      <c r="M33" s="17" t="str">
        <f>IFERROR(__xludf.DUMMYFUNCTION("""COMPUTED_VALUE"""),"")</f>
        <v/>
      </c>
      <c r="N33" s="17">
        <f>IFERROR(__xludf.DUMMYFUNCTION("""COMPUTED_VALUE"""),45588.46159810185)</f>
        <v>45588.4616</v>
      </c>
      <c r="O33" s="13">
        <f t="shared" si="1"/>
        <v>15</v>
      </c>
    </row>
    <row r="34" ht="22.5" customHeight="1">
      <c r="B34" s="13">
        <f>IFERROR(__xludf.DUMMYFUNCTION("""COMPUTED_VALUE"""),29.0)</f>
        <v>29</v>
      </c>
      <c r="C34" s="13" t="str">
        <f>IFERROR(__xludf.DUMMYFUNCTION("""COMPUTED_VALUE"""),"HGB 3764/BERINGIN RAYA")</f>
        <v>HGB 3764/BERINGIN RAYA</v>
      </c>
      <c r="D34" s="13" t="str">
        <f>IFERROR(__xludf.DUMMYFUNCTION("""COMPUTED_VALUE"""),"L/23/211024/1")</f>
        <v>L/23/211024/1</v>
      </c>
      <c r="E34" s="14" t="str">
        <f>IFERROR(__xludf.DUMMYFUNCTION("""COMPUTED_VALUE"""),"Nadian (BT)")</f>
        <v>Nadian (BT)</v>
      </c>
      <c r="F34" s="14" t="str">
        <f>IFERROR(__xludf.DUMMYFUNCTION("""COMPUTED_VALUE"""),"SELESAI")</f>
        <v>SELESAI</v>
      </c>
      <c r="G34" s="17">
        <f>IFERROR(__xludf.DUMMYFUNCTION("""COMPUTED_VALUE"""),45587.690326724536)</f>
        <v>45587.69033</v>
      </c>
      <c r="H34" s="14" t="str">
        <f>IFERROR(__xludf.DUMMYFUNCTION("""COMPUTED_VALUE"""),"Aprill (SU)")</f>
        <v>Aprill (SU)</v>
      </c>
      <c r="I34" s="13" t="str">
        <f>IFERROR(__xludf.DUMMYFUNCTION("""COMPUTED_VALUE"""),"SELESAI")</f>
        <v>SELESAI</v>
      </c>
      <c r="J34" s="17">
        <f>IFERROR(__xludf.DUMMYFUNCTION("""COMPUTED_VALUE"""),45588.45916158565)</f>
        <v>45588.45916</v>
      </c>
      <c r="K34" s="13" t="str">
        <f>IFERROR(__xludf.DUMMYFUNCTION("""COMPUTED_VALUE"""),"SELESAI")</f>
        <v>SELESAI</v>
      </c>
      <c r="L34" s="17">
        <f>IFERROR(__xludf.DUMMYFUNCTION("""COMPUTED_VALUE"""),45588.45916158565)</f>
        <v>45588.45916</v>
      </c>
      <c r="M34" s="17" t="str">
        <f>IFERROR(__xludf.DUMMYFUNCTION("""COMPUTED_VALUE"""),"")</f>
        <v/>
      </c>
      <c r="N34" s="17">
        <f>IFERROR(__xludf.DUMMYFUNCTION("""COMPUTED_VALUE"""),45588.45919435185)</f>
        <v>45588.45919</v>
      </c>
      <c r="O34" s="13">
        <f t="shared" si="1"/>
        <v>16</v>
      </c>
    </row>
    <row r="35" ht="22.5" customHeight="1">
      <c r="B35" s="13">
        <f>IFERROR(__xludf.DUMMYFUNCTION("""COMPUTED_VALUE"""),30.0)</f>
        <v>30</v>
      </c>
      <c r="C35" s="13" t="str">
        <f>IFERROR(__xludf.DUMMYFUNCTION("""COMPUTED_VALUE"""),"M. 240/ Kemiling Permai")</f>
        <v>M. 240/ Kemiling Permai</v>
      </c>
      <c r="D35" s="13" t="str">
        <f>IFERROR(__xludf.DUMMYFUNCTION("""COMPUTED_VALUE"""),"K/48/211024/1")</f>
        <v>K/48/211024/1</v>
      </c>
      <c r="E35" s="14" t="str">
        <f>IFERROR(__xludf.DUMMYFUNCTION("""COMPUTED_VALUE"""),"Nadian (BT)")</f>
        <v>Nadian (BT)</v>
      </c>
      <c r="F35" s="14" t="str">
        <f>IFERROR(__xludf.DUMMYFUNCTION("""COMPUTED_VALUE"""),"SELESAI")</f>
        <v>SELESAI</v>
      </c>
      <c r="G35" s="17">
        <f>IFERROR(__xludf.DUMMYFUNCTION("""COMPUTED_VALUE"""),45587.690614861116)</f>
        <v>45587.69061</v>
      </c>
      <c r="H35" s="14" t="str">
        <f>IFERROR(__xludf.DUMMYFUNCTION("""COMPUTED_VALUE"""),"Bu Eva (SU)")</f>
        <v>Bu Eva (SU)</v>
      </c>
      <c r="I35" s="13" t="str">
        <f>IFERROR(__xludf.DUMMYFUNCTION("""COMPUTED_VALUE"""),"SELESAI")</f>
        <v>SELESAI</v>
      </c>
      <c r="J35" s="17">
        <f>IFERROR(__xludf.DUMMYFUNCTION("""COMPUTED_VALUE"""),45588.46133453704)</f>
        <v>45588.46133</v>
      </c>
      <c r="K35" s="13" t="str">
        <f>IFERROR(__xludf.DUMMYFUNCTION("""COMPUTED_VALUE"""),"SELESAI")</f>
        <v>SELESAI</v>
      </c>
      <c r="L35" s="17">
        <f>IFERROR(__xludf.DUMMYFUNCTION("""COMPUTED_VALUE"""),45588.46133453704)</f>
        <v>45588.46133</v>
      </c>
      <c r="M35" s="17" t="str">
        <f>IFERROR(__xludf.DUMMYFUNCTION("""COMPUTED_VALUE"""),"")</f>
        <v/>
      </c>
      <c r="N35" s="17">
        <f>IFERROR(__xludf.DUMMYFUNCTION("""COMPUTED_VALUE"""),45588.46139483796)</f>
        <v>45588.46139</v>
      </c>
      <c r="O35" s="13">
        <f t="shared" si="1"/>
        <v>17</v>
      </c>
    </row>
    <row r="36" ht="22.5" customHeight="1">
      <c r="B36" s="13">
        <f>IFERROR(__xludf.DUMMYFUNCTION("""COMPUTED_VALUE"""),31.0)</f>
        <v>31</v>
      </c>
      <c r="C36" s="13" t="str">
        <f>IFERROR(__xludf.DUMMYFUNCTION("""COMPUTED_VALUE"""),"HM 15995/SUKARAME I")</f>
        <v>HM 15995/SUKARAME I</v>
      </c>
      <c r="D36" s="13" t="str">
        <f>IFERROR(__xludf.DUMMYFUNCTION("""COMPUTED_VALUE"""),"L/8/211024/1")</f>
        <v>L/8/211024/1</v>
      </c>
      <c r="E36" s="14" t="str">
        <f>IFERROR(__xludf.DUMMYFUNCTION("""COMPUTED_VALUE"""),"Afriza (BT)")</f>
        <v>Afriza (BT)</v>
      </c>
      <c r="F36" s="14" t="str">
        <f>IFERROR(__xludf.DUMMYFUNCTION("""COMPUTED_VALUE"""),"SELESAI")</f>
        <v>SELESAI</v>
      </c>
      <c r="G36" s="17">
        <f>IFERROR(__xludf.DUMMYFUNCTION("""COMPUTED_VALUE"""),45587.74088471065)</f>
        <v>45587.74088</v>
      </c>
      <c r="H36" s="14" t="str">
        <f>IFERROR(__xludf.DUMMYFUNCTION("""COMPUTED_VALUE"""),"Bu Eva (SU)")</f>
        <v>Bu Eva (SU)</v>
      </c>
      <c r="I36" s="13" t="str">
        <f>IFERROR(__xludf.DUMMYFUNCTION("""COMPUTED_VALUE"""),"SELESAI")</f>
        <v>SELESAI</v>
      </c>
      <c r="J36" s="17">
        <f>IFERROR(__xludf.DUMMYFUNCTION("""COMPUTED_VALUE"""),45588.61665216435)</f>
        <v>45588.61665</v>
      </c>
      <c r="K36" s="13" t="str">
        <f>IFERROR(__xludf.DUMMYFUNCTION("""COMPUTED_VALUE"""),"SELESAI")</f>
        <v>SELESAI</v>
      </c>
      <c r="L36" s="17">
        <f>IFERROR(__xludf.DUMMYFUNCTION("""COMPUTED_VALUE"""),45588.61665216435)</f>
        <v>45588.61665</v>
      </c>
      <c r="M36" s="17" t="str">
        <f>IFERROR(__xludf.DUMMYFUNCTION("""COMPUTED_VALUE"""),"")</f>
        <v/>
      </c>
      <c r="N36" s="17">
        <f>IFERROR(__xludf.DUMMYFUNCTION("""COMPUTED_VALUE"""),45588.61670496528)</f>
        <v>45588.6167</v>
      </c>
      <c r="O36" s="13">
        <f t="shared" si="1"/>
        <v>18</v>
      </c>
    </row>
    <row r="37" ht="22.5" customHeight="1">
      <c r="B37" s="13">
        <f>IFERROR(__xludf.DUMMYFUNCTION("""COMPUTED_VALUE"""),32.0)</f>
        <v>32</v>
      </c>
      <c r="C37" s="13" t="str">
        <f>IFERROR(__xludf.DUMMYFUNCTION("""COMPUTED_VALUE"""),"HM 2993/CAMPANG RAYA-SEKARANG;HGB 2402/CAMPANG RAYA-DAHULU")</f>
        <v>HM 2993/CAMPANG RAYA-SEKARANG;HGB 2402/CAMPANG RAYA-DAHULU</v>
      </c>
      <c r="D37" s="13" t="str">
        <f>IFERROR(__xludf.DUMMYFUNCTION("""COMPUTED_VALUE"""),"L/9/211024/1")</f>
        <v>L/9/211024/1</v>
      </c>
      <c r="E37" s="14" t="str">
        <f>IFERROR(__xludf.DUMMYFUNCTION("""COMPUTED_VALUE"""),"Afriza (BT)")</f>
        <v>Afriza (BT)</v>
      </c>
      <c r="F37" s="14" t="str">
        <f>IFERROR(__xludf.DUMMYFUNCTION("""COMPUTED_VALUE"""),"SELESAI")</f>
        <v>SELESAI</v>
      </c>
      <c r="G37" s="17">
        <f>IFERROR(__xludf.DUMMYFUNCTION("""COMPUTED_VALUE"""),45587.74213006944)</f>
        <v>45587.74213</v>
      </c>
      <c r="H37" s="14" t="str">
        <f>IFERROR(__xludf.DUMMYFUNCTION("""COMPUTED_VALUE"""),"Bu Eva (SU)")</f>
        <v>Bu Eva (SU)</v>
      </c>
      <c r="I37" s="13" t="str">
        <f>IFERROR(__xludf.DUMMYFUNCTION("""COMPUTED_VALUE"""),"SELESAI")</f>
        <v>SELESAI</v>
      </c>
      <c r="J37" s="17">
        <f>IFERROR(__xludf.DUMMYFUNCTION("""COMPUTED_VALUE"""),45588.62060142361)</f>
        <v>45588.6206</v>
      </c>
      <c r="K37" s="13" t="str">
        <f>IFERROR(__xludf.DUMMYFUNCTION("""COMPUTED_VALUE"""),"SELESAI")</f>
        <v>SELESAI</v>
      </c>
      <c r="L37" s="17">
        <f>IFERROR(__xludf.DUMMYFUNCTION("""COMPUTED_VALUE"""),45588.62060142361)</f>
        <v>45588.6206</v>
      </c>
      <c r="M37" s="17" t="str">
        <f>IFERROR(__xludf.DUMMYFUNCTION("""COMPUTED_VALUE"""),"")</f>
        <v/>
      </c>
      <c r="N37" s="17">
        <f>IFERROR(__xludf.DUMMYFUNCTION("""COMPUTED_VALUE"""),45588.620649756944)</f>
        <v>45588.62065</v>
      </c>
      <c r="O37" s="13">
        <f t="shared" si="1"/>
        <v>19</v>
      </c>
    </row>
    <row r="38" ht="22.5" customHeight="1">
      <c r="B38" s="13">
        <f>IFERROR(__xludf.DUMMYFUNCTION("""COMPUTED_VALUE"""),33.0)</f>
        <v>33</v>
      </c>
      <c r="C38" s="13" t="str">
        <f>IFERROR(__xludf.DUMMYFUNCTION("""COMPUTED_VALUE"""),"M. 11632/ Sukarame")</f>
        <v>M. 11632/ Sukarame</v>
      </c>
      <c r="D38" s="13" t="str">
        <f>IFERROR(__xludf.DUMMYFUNCTION("""COMPUTED_VALUE"""),"K/14/211024/1")</f>
        <v>K/14/211024/1</v>
      </c>
      <c r="E38" s="14" t="str">
        <f>IFERROR(__xludf.DUMMYFUNCTION("""COMPUTED_VALUE"""),"Afriza (BT)")</f>
        <v>Afriza (BT)</v>
      </c>
      <c r="F38" s="14" t="str">
        <f>IFERROR(__xludf.DUMMYFUNCTION("""COMPUTED_VALUE"""),"SELESAI")</f>
        <v>SELESAI</v>
      </c>
      <c r="G38" s="17">
        <f>IFERROR(__xludf.DUMMYFUNCTION("""COMPUTED_VALUE"""),45587.74593831018)</f>
        <v>45587.74594</v>
      </c>
      <c r="H38" s="14" t="str">
        <f>IFERROR(__xludf.DUMMYFUNCTION("""COMPUTED_VALUE"""),"Bu Eva (SU)")</f>
        <v>Bu Eva (SU)</v>
      </c>
      <c r="I38" s="13" t="str">
        <f>IFERROR(__xludf.DUMMYFUNCTION("""COMPUTED_VALUE"""),"SELESAI")</f>
        <v>SELESAI</v>
      </c>
      <c r="J38" s="17">
        <f>IFERROR(__xludf.DUMMYFUNCTION("""COMPUTED_VALUE"""),45588.616923043985)</f>
        <v>45588.61692</v>
      </c>
      <c r="K38" s="13" t="str">
        <f>IFERROR(__xludf.DUMMYFUNCTION("""COMPUTED_VALUE"""),"SELESAI")</f>
        <v>SELESAI</v>
      </c>
      <c r="L38" s="17">
        <f>IFERROR(__xludf.DUMMYFUNCTION("""COMPUTED_VALUE"""),45588.616923043985)</f>
        <v>45588.61692</v>
      </c>
      <c r="M38" s="17" t="str">
        <f>IFERROR(__xludf.DUMMYFUNCTION("""COMPUTED_VALUE"""),"")</f>
        <v/>
      </c>
      <c r="N38" s="17">
        <f>IFERROR(__xludf.DUMMYFUNCTION("""COMPUTED_VALUE"""),45588.61685142361)</f>
        <v>45588.61685</v>
      </c>
      <c r="O38" s="13">
        <f t="shared" si="1"/>
        <v>20</v>
      </c>
    </row>
    <row r="39" ht="22.5" customHeight="1">
      <c r="B39" s="13">
        <f>IFERROR(__xludf.DUMMYFUNCTION("""COMPUTED_VALUE"""),34.0)</f>
        <v>34</v>
      </c>
      <c r="C39" s="13" t="str">
        <f>IFERROR(__xludf.DUMMYFUNCTION("""COMPUTED_VALUE"""),"M. 2226/ kedaung")</f>
        <v>M. 2226/ kedaung</v>
      </c>
      <c r="D39" s="13" t="str">
        <f>IFERROR(__xludf.DUMMYFUNCTION("""COMPUTED_VALUE"""),"K/20/211024/3")</f>
        <v>K/20/211024/3</v>
      </c>
      <c r="E39" s="14" t="str">
        <f>IFERROR(__xludf.DUMMYFUNCTION("""COMPUTED_VALUE"""),"Afriza (BT)")</f>
        <v>Afriza (BT)</v>
      </c>
      <c r="F39" s="14" t="str">
        <f>IFERROR(__xludf.DUMMYFUNCTION("""COMPUTED_VALUE"""),"SELESAI")</f>
        <v>SELESAI</v>
      </c>
      <c r="G39" s="17">
        <f>IFERROR(__xludf.DUMMYFUNCTION("""COMPUTED_VALUE"""),45588.599406608795)</f>
        <v>45588.59941</v>
      </c>
      <c r="H39" s="14" t="str">
        <f>IFERROR(__xludf.DUMMYFUNCTION("""COMPUTED_VALUE"""),"Bu Eva (SU)")</f>
        <v>Bu Eva (SU)</v>
      </c>
      <c r="I39" s="13" t="str">
        <f>IFERROR(__xludf.DUMMYFUNCTION("""COMPUTED_VALUE"""),"SELESAI")</f>
        <v>SELESAI</v>
      </c>
      <c r="J39" s="17">
        <f>IFERROR(__xludf.DUMMYFUNCTION("""COMPUTED_VALUE"""),45588.61865122685)</f>
        <v>45588.61865</v>
      </c>
      <c r="K39" s="13" t="str">
        <f>IFERROR(__xludf.DUMMYFUNCTION("""COMPUTED_VALUE"""),"SELESAI")</f>
        <v>SELESAI</v>
      </c>
      <c r="L39" s="17">
        <f>IFERROR(__xludf.DUMMYFUNCTION("""COMPUTED_VALUE"""),45588.61865122685)</f>
        <v>45588.61865</v>
      </c>
      <c r="M39" s="17" t="str">
        <f>IFERROR(__xludf.DUMMYFUNCTION("""COMPUTED_VALUE"""),"")</f>
        <v/>
      </c>
      <c r="N39" s="17">
        <f>IFERROR(__xludf.DUMMYFUNCTION("""COMPUTED_VALUE"""),45588.61978658565)</f>
        <v>45588.61979</v>
      </c>
      <c r="O39" s="13">
        <f t="shared" si="1"/>
        <v>21</v>
      </c>
    </row>
    <row r="40" ht="22.5" customHeight="1">
      <c r="B40" s="13">
        <f>IFERROR(__xludf.DUMMYFUNCTION("""COMPUTED_VALUE"""),35.0)</f>
        <v>35</v>
      </c>
      <c r="C40" s="13" t="str">
        <f>IFERROR(__xludf.DUMMYFUNCTION("""COMPUTED_VALUE"""),"M. 1992/ L R R")</f>
        <v>M. 1992/ L R R</v>
      </c>
      <c r="D40" s="13" t="str">
        <f>IFERROR(__xludf.DUMMYFUNCTION("""COMPUTED_VALUE"""),"K/53/221024/3")</f>
        <v>K/53/221024/3</v>
      </c>
      <c r="E40" s="14" t="str">
        <f>IFERROR(__xludf.DUMMYFUNCTION("""COMPUTED_VALUE"""),"Afriza (BT)")</f>
        <v>Afriza (BT)</v>
      </c>
      <c r="F40" s="14" t="str">
        <f>IFERROR(__xludf.DUMMYFUNCTION("""COMPUTED_VALUE"""),"SELESAI")</f>
        <v>SELESAI</v>
      </c>
      <c r="G40" s="17">
        <f>IFERROR(__xludf.DUMMYFUNCTION("""COMPUTED_VALUE"""),45588.78777646991)</f>
        <v>45588.78778</v>
      </c>
      <c r="H40" s="14" t="str">
        <f>IFERROR(__xludf.DUMMYFUNCTION("""COMPUTED_VALUE"""),"Bu Eva (SU)")</f>
        <v>Bu Eva (SU)</v>
      </c>
      <c r="I40" s="13" t="str">
        <f>IFERROR(__xludf.DUMMYFUNCTION("""COMPUTED_VALUE"""),"SELESAI")</f>
        <v>SELESAI</v>
      </c>
      <c r="J40" s="17">
        <f>IFERROR(__xludf.DUMMYFUNCTION("""COMPUTED_VALUE"""),45589.47600072916)</f>
        <v>45589.476</v>
      </c>
      <c r="K40" s="13" t="str">
        <f>IFERROR(__xludf.DUMMYFUNCTION("""COMPUTED_VALUE"""),"SELESAI")</f>
        <v>SELESAI</v>
      </c>
      <c r="L40" s="17">
        <f>IFERROR(__xludf.DUMMYFUNCTION("""COMPUTED_VALUE"""),45589.47600072916)</f>
        <v>45589.476</v>
      </c>
      <c r="M40" s="17" t="str">
        <f>IFERROR(__xludf.DUMMYFUNCTION("""COMPUTED_VALUE"""),"")</f>
        <v/>
      </c>
      <c r="N40" s="17">
        <f>IFERROR(__xludf.DUMMYFUNCTION("""COMPUTED_VALUE"""),45589.47603019676)</f>
        <v>45589.47603</v>
      </c>
      <c r="O40" s="13">
        <f t="shared" si="1"/>
        <v>22</v>
      </c>
    </row>
    <row r="41" ht="22.5" customHeight="1">
      <c r="B41" s="13">
        <f>IFERROR(__xludf.DUMMYFUNCTION("""COMPUTED_VALUE"""),36.0)</f>
        <v>36</v>
      </c>
      <c r="C41" s="13" t="str">
        <f>IFERROR(__xludf.DUMMYFUNCTION("""COMPUTED_VALUE"""),"M. 543/ Sumur Putri")</f>
        <v>M. 543/ Sumur Putri</v>
      </c>
      <c r="D41" s="13" t="str">
        <f>IFERROR(__xludf.DUMMYFUNCTION("""COMPUTED_VALUE"""),"K/45/221024/1")</f>
        <v>K/45/221024/1</v>
      </c>
      <c r="E41" s="14" t="str">
        <f>IFERROR(__xludf.DUMMYFUNCTION("""COMPUTED_VALUE"""),"Afriza (BT)")</f>
        <v>Afriza (BT)</v>
      </c>
      <c r="F41" s="14" t="str">
        <f>IFERROR(__xludf.DUMMYFUNCTION("""COMPUTED_VALUE"""),"SELESAI")</f>
        <v>SELESAI</v>
      </c>
      <c r="G41" s="17">
        <f>IFERROR(__xludf.DUMMYFUNCTION("""COMPUTED_VALUE"""),45588.78825204862)</f>
        <v>45588.78825</v>
      </c>
      <c r="H41" s="14" t="str">
        <f>IFERROR(__xludf.DUMMYFUNCTION("""COMPUTED_VALUE"""),"Aprill (SU)")</f>
        <v>Aprill (SU)</v>
      </c>
      <c r="I41" s="13" t="str">
        <f>IFERROR(__xludf.DUMMYFUNCTION("""COMPUTED_VALUE"""),"SELESAI")</f>
        <v>SELESAI</v>
      </c>
      <c r="J41" s="17">
        <f>IFERROR(__xludf.DUMMYFUNCTION("""COMPUTED_VALUE"""),45589.471529375005)</f>
        <v>45589.47153</v>
      </c>
      <c r="K41" s="13" t="str">
        <f>IFERROR(__xludf.DUMMYFUNCTION("""COMPUTED_VALUE"""),"SELESAI")</f>
        <v>SELESAI</v>
      </c>
      <c r="L41" s="17">
        <f>IFERROR(__xludf.DUMMYFUNCTION("""COMPUTED_VALUE"""),45589.471529375005)</f>
        <v>45589.47153</v>
      </c>
      <c r="M41" s="17" t="str">
        <f>IFERROR(__xludf.DUMMYFUNCTION("""COMPUTED_VALUE"""),"")</f>
        <v/>
      </c>
      <c r="N41" s="17">
        <f>IFERROR(__xludf.DUMMYFUNCTION("""COMPUTED_VALUE"""),45589.47158612269)</f>
        <v>45589.47159</v>
      </c>
      <c r="O41" s="13">
        <f t="shared" si="1"/>
        <v>23</v>
      </c>
    </row>
    <row r="42" ht="22.5" customHeight="1">
      <c r="B42" s="13">
        <f>IFERROR(__xludf.DUMMYFUNCTION("""COMPUTED_VALUE"""),37.0)</f>
        <v>37</v>
      </c>
      <c r="C42" s="13" t="str">
        <f>IFERROR(__xludf.DUMMYFUNCTION("""COMPUTED_VALUE"""),"M. 8119/ Sukabumi")</f>
        <v>M. 8119/ Sukabumi</v>
      </c>
      <c r="D42" s="13" t="str">
        <f>IFERROR(__xludf.DUMMYFUNCTION("""COMPUTED_VALUE"""),"K/15/231024/1")</f>
        <v>K/15/231024/1</v>
      </c>
      <c r="E42" s="14" t="str">
        <f>IFERROR(__xludf.DUMMYFUNCTION("""COMPUTED_VALUE"""),"Afriza (BT)")</f>
        <v>Afriza (BT)</v>
      </c>
      <c r="F42" s="14" t="str">
        <f>IFERROR(__xludf.DUMMYFUNCTION("""COMPUTED_VALUE"""),"SELESAI")</f>
        <v>SELESAI</v>
      </c>
      <c r="G42" s="17">
        <f>IFERROR(__xludf.DUMMYFUNCTION("""COMPUTED_VALUE"""),45588.789395740736)</f>
        <v>45588.7894</v>
      </c>
      <c r="H42" s="14" t="str">
        <f>IFERROR(__xludf.DUMMYFUNCTION("""COMPUTED_VALUE"""),"Aprill (SU)")</f>
        <v>Aprill (SU)</v>
      </c>
      <c r="I42" s="13" t="str">
        <f>IFERROR(__xludf.DUMMYFUNCTION("""COMPUTED_VALUE"""),"SELESAI")</f>
        <v>SELESAI</v>
      </c>
      <c r="J42" s="17">
        <f>IFERROR(__xludf.DUMMYFUNCTION("""COMPUTED_VALUE"""),45589.473263935186)</f>
        <v>45589.47326</v>
      </c>
      <c r="K42" s="13" t="str">
        <f>IFERROR(__xludf.DUMMYFUNCTION("""COMPUTED_VALUE"""),"SELESAI")</f>
        <v>SELESAI</v>
      </c>
      <c r="L42" s="17">
        <f>IFERROR(__xludf.DUMMYFUNCTION("""COMPUTED_VALUE"""),45589.473263935186)</f>
        <v>45589.47326</v>
      </c>
      <c r="M42" s="17" t="str">
        <f>IFERROR(__xludf.DUMMYFUNCTION("""COMPUTED_VALUE"""),"")</f>
        <v/>
      </c>
      <c r="N42" s="17">
        <f>IFERROR(__xludf.DUMMYFUNCTION("""COMPUTED_VALUE"""),45589.473299108795)</f>
        <v>45589.4733</v>
      </c>
      <c r="O42" s="13">
        <f t="shared" si="1"/>
        <v>24</v>
      </c>
    </row>
    <row r="43" ht="22.5" customHeight="1">
      <c r="B43" s="13">
        <f>IFERROR(__xludf.DUMMYFUNCTION("""COMPUTED_VALUE"""),38.0)</f>
        <v>38</v>
      </c>
      <c r="C43" s="13" t="str">
        <f>IFERROR(__xludf.DUMMYFUNCTION("""COMPUTED_VALUE"""),"M. 1046/ Kupang Teba")</f>
        <v>M. 1046/ Kupang Teba</v>
      </c>
      <c r="D43" s="13" t="str">
        <f>IFERROR(__xludf.DUMMYFUNCTION("""COMPUTED_VALUE"""),"K/5/231024/1")</f>
        <v>K/5/231024/1</v>
      </c>
      <c r="E43" s="14" t="str">
        <f>IFERROR(__xludf.DUMMYFUNCTION("""COMPUTED_VALUE"""),"Afriza (BT)")</f>
        <v>Afriza (BT)</v>
      </c>
      <c r="F43" s="14" t="str">
        <f>IFERROR(__xludf.DUMMYFUNCTION("""COMPUTED_VALUE"""),"SELESAI")</f>
        <v>SELESAI</v>
      </c>
      <c r="G43" s="17">
        <f>IFERROR(__xludf.DUMMYFUNCTION("""COMPUTED_VALUE"""),45588.78994116899)</f>
        <v>45588.78994</v>
      </c>
      <c r="H43" s="14" t="str">
        <f>IFERROR(__xludf.DUMMYFUNCTION("""COMPUTED_VALUE"""),"Aprill (SU)")</f>
        <v>Aprill (SU)</v>
      </c>
      <c r="I43" s="13" t="str">
        <f>IFERROR(__xludf.DUMMYFUNCTION("""COMPUTED_VALUE"""),"SELESAI")</f>
        <v>SELESAI</v>
      </c>
      <c r="J43" s="17">
        <f>IFERROR(__xludf.DUMMYFUNCTION("""COMPUTED_VALUE"""),45589.47205747685)</f>
        <v>45589.47206</v>
      </c>
      <c r="K43" s="13" t="str">
        <f>IFERROR(__xludf.DUMMYFUNCTION("""COMPUTED_VALUE"""),"SELESAI")</f>
        <v>SELESAI</v>
      </c>
      <c r="L43" s="17">
        <f>IFERROR(__xludf.DUMMYFUNCTION("""COMPUTED_VALUE"""),45589.47205747685)</f>
        <v>45589.47206</v>
      </c>
      <c r="M43" s="17" t="str">
        <f>IFERROR(__xludf.DUMMYFUNCTION("""COMPUTED_VALUE"""),"")</f>
        <v/>
      </c>
      <c r="N43" s="17">
        <f>IFERROR(__xludf.DUMMYFUNCTION("""COMPUTED_VALUE"""),45589.47209920139)</f>
        <v>45589.4721</v>
      </c>
      <c r="O43" s="13">
        <f t="shared" si="1"/>
        <v>25</v>
      </c>
    </row>
    <row r="44" ht="22.5" customHeight="1">
      <c r="B44" s="13">
        <f>IFERROR(__xludf.DUMMYFUNCTION("""COMPUTED_VALUE"""),39.0)</f>
        <v>39</v>
      </c>
      <c r="C44" s="13" t="str">
        <f>IFERROR(__xludf.DUMMYFUNCTION("""COMPUTED_VALUE"""),"M. 1186/ Teluk betung")</f>
        <v>M. 1186/ Teluk betung</v>
      </c>
      <c r="D44" s="13" t="str">
        <f>IFERROR(__xludf.DUMMYFUNCTION("""COMPUTED_VALUE"""),"K/3/231024/1")</f>
        <v>K/3/231024/1</v>
      </c>
      <c r="E44" s="14" t="str">
        <f>IFERROR(__xludf.DUMMYFUNCTION("""COMPUTED_VALUE"""),"Afriza (BT)")</f>
        <v>Afriza (BT)</v>
      </c>
      <c r="F44" s="14" t="str">
        <f>IFERROR(__xludf.DUMMYFUNCTION("""COMPUTED_VALUE"""),"SELESAI")</f>
        <v>SELESAI</v>
      </c>
      <c r="G44" s="17">
        <f>IFERROR(__xludf.DUMMYFUNCTION("""COMPUTED_VALUE"""),45589.456235543985)</f>
        <v>45589.45624</v>
      </c>
      <c r="H44" s="14" t="str">
        <f>IFERROR(__xludf.DUMMYFUNCTION("""COMPUTED_VALUE"""),"Bu Eva (SU)")</f>
        <v>Bu Eva (SU)</v>
      </c>
      <c r="I44" s="13" t="str">
        <f>IFERROR(__xludf.DUMMYFUNCTION("""COMPUTED_VALUE"""),"SELESAI")</f>
        <v>SELESAI</v>
      </c>
      <c r="J44" s="17">
        <f>IFERROR(__xludf.DUMMYFUNCTION("""COMPUTED_VALUE"""),45594.389591597224)</f>
        <v>45594.38959</v>
      </c>
      <c r="K44" s="13" t="str">
        <f>IFERROR(__xludf.DUMMYFUNCTION("""COMPUTED_VALUE"""),"SELESAI")</f>
        <v>SELESAI</v>
      </c>
      <c r="L44" s="17">
        <f>IFERROR(__xludf.DUMMYFUNCTION("""COMPUTED_VALUE"""),45594.389591597224)</f>
        <v>45594.38959</v>
      </c>
      <c r="M44" s="17" t="str">
        <f>IFERROR(__xludf.DUMMYFUNCTION("""COMPUTED_VALUE"""),"")</f>
        <v/>
      </c>
      <c r="N44" s="17">
        <f>IFERROR(__xludf.DUMMYFUNCTION("""COMPUTED_VALUE"""),45594.38963604167)</f>
        <v>45594.38964</v>
      </c>
      <c r="O44" s="13">
        <f t="shared" si="1"/>
        <v>26</v>
      </c>
    </row>
    <row r="45" ht="22.5" customHeight="1">
      <c r="B45" s="13">
        <f>IFERROR(__xludf.DUMMYFUNCTION("""COMPUTED_VALUE"""),40.0)</f>
        <v>40</v>
      </c>
      <c r="C45" s="13" t="str">
        <f>IFERROR(__xludf.DUMMYFUNCTION("""COMPUTED_VALUE"""),"M.3337/SUKADANA HAM")</f>
        <v>M.3337/SUKADANA HAM</v>
      </c>
      <c r="D45" s="13" t="str">
        <f>IFERROR(__xludf.DUMMYFUNCTION("""COMPUTED_VALUE"""),"L/17/231024/2")</f>
        <v>L/17/231024/2</v>
      </c>
      <c r="E45" s="14" t="str">
        <f>IFERROR(__xludf.DUMMYFUNCTION("""COMPUTED_VALUE"""),"Afriza (BT)")</f>
        <v>Afriza (BT)</v>
      </c>
      <c r="F45" s="14" t="str">
        <f>IFERROR(__xludf.DUMMYFUNCTION("""COMPUTED_VALUE"""),"SELESAI")</f>
        <v>SELESAI</v>
      </c>
      <c r="G45" s="17">
        <f>IFERROR(__xludf.DUMMYFUNCTION("""COMPUTED_VALUE"""),45589.47706208333)</f>
        <v>45589.47706</v>
      </c>
      <c r="H45" s="14" t="str">
        <f>IFERROR(__xludf.DUMMYFUNCTION("""COMPUTED_VALUE"""),"Bu Eva (SU)")</f>
        <v>Bu Eva (SU)</v>
      </c>
      <c r="I45" s="13" t="str">
        <f>IFERROR(__xludf.DUMMYFUNCTION("""COMPUTED_VALUE"""),"SELESAI")</f>
        <v>SELESAI</v>
      </c>
      <c r="J45" s="17">
        <f>IFERROR(__xludf.DUMMYFUNCTION("""COMPUTED_VALUE"""),45594.384232592594)</f>
        <v>45594.38423</v>
      </c>
      <c r="K45" s="13" t="str">
        <f>IFERROR(__xludf.DUMMYFUNCTION("""COMPUTED_VALUE"""),"SELESAI")</f>
        <v>SELESAI</v>
      </c>
      <c r="L45" s="17">
        <f>IFERROR(__xludf.DUMMYFUNCTION("""COMPUTED_VALUE"""),45594.384232592594)</f>
        <v>45594.38423</v>
      </c>
      <c r="M45" s="17" t="str">
        <f>IFERROR(__xludf.DUMMYFUNCTION("""COMPUTED_VALUE"""),"")</f>
        <v/>
      </c>
      <c r="N45" s="17">
        <f>IFERROR(__xludf.DUMMYFUNCTION("""COMPUTED_VALUE"""),45594.384334409726)</f>
        <v>45594.38433</v>
      </c>
      <c r="O45" s="13">
        <f t="shared" si="1"/>
        <v>27</v>
      </c>
    </row>
    <row r="46" ht="22.5" customHeight="1">
      <c r="B46" s="13">
        <f>IFERROR(__xludf.DUMMYFUNCTION("""COMPUTED_VALUE"""),41.0)</f>
        <v>41</v>
      </c>
      <c r="C46" s="13" t="str">
        <f>IFERROR(__xludf.DUMMYFUNCTION("""COMPUTED_VALUE"""),"M.3338/SUKADANA HAM")</f>
        <v>M.3338/SUKADANA HAM</v>
      </c>
      <c r="D46" s="13" t="str">
        <f>IFERROR(__xludf.DUMMYFUNCTION("""COMPUTED_VALUE"""),"L/16/231024/1")</f>
        <v>L/16/231024/1</v>
      </c>
      <c r="E46" s="14" t="str">
        <f>IFERROR(__xludf.DUMMYFUNCTION("""COMPUTED_VALUE"""),"Afriza (BT)")</f>
        <v>Afriza (BT)</v>
      </c>
      <c r="F46" s="14" t="str">
        <f>IFERROR(__xludf.DUMMYFUNCTION("""COMPUTED_VALUE"""),"SELESAI")</f>
        <v>SELESAI</v>
      </c>
      <c r="G46" s="17">
        <f>IFERROR(__xludf.DUMMYFUNCTION("""COMPUTED_VALUE"""),45589.47706960648)</f>
        <v>45589.47707</v>
      </c>
      <c r="H46" s="14" t="str">
        <f>IFERROR(__xludf.DUMMYFUNCTION("""COMPUTED_VALUE"""),"Bu Eva (SU)")</f>
        <v>Bu Eva (SU)</v>
      </c>
      <c r="I46" s="13" t="str">
        <f>IFERROR(__xludf.DUMMYFUNCTION("""COMPUTED_VALUE"""),"SELESAI")</f>
        <v>SELESAI</v>
      </c>
      <c r="J46" s="17">
        <f>IFERROR(__xludf.DUMMYFUNCTION("""COMPUTED_VALUE"""),45594.38424876158)</f>
        <v>45594.38425</v>
      </c>
      <c r="K46" s="13" t="str">
        <f>IFERROR(__xludf.DUMMYFUNCTION("""COMPUTED_VALUE"""),"SELESAI")</f>
        <v>SELESAI</v>
      </c>
      <c r="L46" s="17">
        <f>IFERROR(__xludf.DUMMYFUNCTION("""COMPUTED_VALUE"""),45594.38424876158)</f>
        <v>45594.38425</v>
      </c>
      <c r="M46" s="17" t="str">
        <f>IFERROR(__xludf.DUMMYFUNCTION("""COMPUTED_VALUE"""),"")</f>
        <v/>
      </c>
      <c r="N46" s="17">
        <f>IFERROR(__xludf.DUMMYFUNCTION("""COMPUTED_VALUE"""),45594.38434108796)</f>
        <v>45594.38434</v>
      </c>
      <c r="O46" s="13">
        <f t="shared" si="1"/>
        <v>28</v>
      </c>
    </row>
    <row r="47" ht="22.5" customHeight="1">
      <c r="B47" s="13">
        <f>IFERROR(__xludf.DUMMYFUNCTION("""COMPUTED_VALUE"""),42.0)</f>
        <v>42</v>
      </c>
      <c r="C47" s="13" t="str">
        <f>IFERROR(__xludf.DUMMYFUNCTION("""COMPUTED_VALUE"""),"M. 1556/ Bumi Waras")</f>
        <v>M. 1556/ Bumi Waras</v>
      </c>
      <c r="D47" s="13" t="str">
        <f>IFERROR(__xludf.DUMMYFUNCTION("""COMPUTED_VALUE"""),"K/2/221024/2")</f>
        <v>K/2/221024/2</v>
      </c>
      <c r="E47" s="14" t="str">
        <f>IFERROR(__xludf.DUMMYFUNCTION("""COMPUTED_VALUE"""),"Afriza (BT)")</f>
        <v>Afriza (BT)</v>
      </c>
      <c r="F47" s="14" t="str">
        <f>IFERROR(__xludf.DUMMYFUNCTION("""COMPUTED_VALUE"""),"SELESAI")</f>
        <v>SELESAI</v>
      </c>
      <c r="G47" s="17">
        <f>IFERROR(__xludf.DUMMYFUNCTION("""COMPUTED_VALUE"""),45589.61624717593)</f>
        <v>45589.61625</v>
      </c>
      <c r="H47" s="14" t="str">
        <f>IFERROR(__xludf.DUMMYFUNCTION("""COMPUTED_VALUE"""),"Aprill (SU)")</f>
        <v>Aprill (SU)</v>
      </c>
      <c r="I47" s="13" t="str">
        <f>IFERROR(__xludf.DUMMYFUNCTION("""COMPUTED_VALUE"""),"SELESAI")</f>
        <v>SELESAI</v>
      </c>
      <c r="J47" s="17">
        <f>IFERROR(__xludf.DUMMYFUNCTION("""COMPUTED_VALUE"""),45594.400102060186)</f>
        <v>45594.4001</v>
      </c>
      <c r="K47" s="13" t="str">
        <f>IFERROR(__xludf.DUMMYFUNCTION("""COMPUTED_VALUE"""),"SELESAI")</f>
        <v>SELESAI</v>
      </c>
      <c r="L47" s="17">
        <f>IFERROR(__xludf.DUMMYFUNCTION("""COMPUTED_VALUE"""),45594.400102060186)</f>
        <v>45594.4001</v>
      </c>
      <c r="M47" s="17" t="str">
        <f>IFERROR(__xludf.DUMMYFUNCTION("""COMPUTED_VALUE"""),"")</f>
        <v/>
      </c>
      <c r="N47" s="17">
        <f>IFERROR(__xludf.DUMMYFUNCTION("""COMPUTED_VALUE"""),45594.40014482639)</f>
        <v>45594.40014</v>
      </c>
      <c r="O47" s="13">
        <f t="shared" si="1"/>
        <v>29</v>
      </c>
    </row>
    <row r="48" ht="22.5" customHeight="1">
      <c r="B48" s="13">
        <f>IFERROR(__xludf.DUMMYFUNCTION("""COMPUTED_VALUE"""),43.0)</f>
        <v>43</v>
      </c>
      <c r="C48" s="13" t="str">
        <f>IFERROR(__xludf.DUMMYFUNCTION("""COMPUTED_VALUE"""),"HM 3875/LANGKAPURA")</f>
        <v>HM 3875/LANGKAPURA</v>
      </c>
      <c r="D48" s="13" t="str">
        <f>IFERROR(__xludf.DUMMYFUNCTION("""COMPUTED_VALUE"""),"L/4/221024/1")</f>
        <v>L/4/221024/1</v>
      </c>
      <c r="E48" s="14" t="str">
        <f>IFERROR(__xludf.DUMMYFUNCTION("""COMPUTED_VALUE"""),"Afriza (BT)")</f>
        <v>Afriza (BT)</v>
      </c>
      <c r="F48" s="14" t="str">
        <f>IFERROR(__xludf.DUMMYFUNCTION("""COMPUTED_VALUE"""),"SELESAI")</f>
        <v>SELESAI</v>
      </c>
      <c r="G48" s="17">
        <f>IFERROR(__xludf.DUMMYFUNCTION("""COMPUTED_VALUE"""),45589.617001875)</f>
        <v>45589.617</v>
      </c>
      <c r="H48" s="14" t="str">
        <f>IFERROR(__xludf.DUMMYFUNCTION("""COMPUTED_VALUE"""),"Bu Eva (SU)")</f>
        <v>Bu Eva (SU)</v>
      </c>
      <c r="I48" s="13" t="str">
        <f>IFERROR(__xludf.DUMMYFUNCTION("""COMPUTED_VALUE"""),"SELESAI")</f>
        <v>SELESAI</v>
      </c>
      <c r="J48" s="17">
        <f>IFERROR(__xludf.DUMMYFUNCTION("""COMPUTED_VALUE"""),45594.38561835648)</f>
        <v>45594.38562</v>
      </c>
      <c r="K48" s="13" t="str">
        <f>IFERROR(__xludf.DUMMYFUNCTION("""COMPUTED_VALUE"""),"SELESAI")</f>
        <v>SELESAI</v>
      </c>
      <c r="L48" s="17">
        <f>IFERROR(__xludf.DUMMYFUNCTION("""COMPUTED_VALUE"""),45594.38561835648)</f>
        <v>45594.38562</v>
      </c>
      <c r="M48" s="17" t="str">
        <f>IFERROR(__xludf.DUMMYFUNCTION("""COMPUTED_VALUE"""),"")</f>
        <v/>
      </c>
      <c r="N48" s="17">
        <f>IFERROR(__xludf.DUMMYFUNCTION("""COMPUTED_VALUE"""),45594.386066770836)</f>
        <v>45594.38607</v>
      </c>
      <c r="O48" s="13">
        <f t="shared" si="1"/>
        <v>30</v>
      </c>
    </row>
    <row r="49" ht="22.5" customHeight="1">
      <c r="B49" s="13">
        <f>IFERROR(__xludf.DUMMYFUNCTION("""COMPUTED_VALUE"""),44.0)</f>
        <v>44</v>
      </c>
      <c r="C49" s="13" t="str">
        <f>IFERROR(__xludf.DUMMYFUNCTION("""COMPUTED_VALUE"""),"HGB 143/KAMPUNG BARU")</f>
        <v>HGB 143/KAMPUNG BARU</v>
      </c>
      <c r="D49" s="13" t="str">
        <f>IFERROR(__xludf.DUMMYFUNCTION("""COMPUTED_VALUE"""),"L/8/221024/1")</f>
        <v>L/8/221024/1</v>
      </c>
      <c r="E49" s="14" t="str">
        <f>IFERROR(__xludf.DUMMYFUNCTION("""COMPUTED_VALUE"""),"Afriza (BT)")</f>
        <v>Afriza (BT)</v>
      </c>
      <c r="F49" s="14" t="str">
        <f>IFERROR(__xludf.DUMMYFUNCTION("""COMPUTED_VALUE"""),"SELESAI")</f>
        <v>SELESAI</v>
      </c>
      <c r="G49" s="17">
        <f>IFERROR(__xludf.DUMMYFUNCTION("""COMPUTED_VALUE"""),45589.62432971065)</f>
        <v>45589.62433</v>
      </c>
      <c r="H49" s="14" t="str">
        <f>IFERROR(__xludf.DUMMYFUNCTION("""COMPUTED_VALUE"""),"Bu Eva (SU)")</f>
        <v>Bu Eva (SU)</v>
      </c>
      <c r="I49" s="13" t="str">
        <f>IFERROR(__xludf.DUMMYFUNCTION("""COMPUTED_VALUE"""),"SELESAI")</f>
        <v>SELESAI</v>
      </c>
      <c r="J49" s="17">
        <f>IFERROR(__xludf.DUMMYFUNCTION("""COMPUTED_VALUE"""),45594.37943425926)</f>
        <v>45594.37943</v>
      </c>
      <c r="K49" s="13" t="str">
        <f>IFERROR(__xludf.DUMMYFUNCTION("""COMPUTED_VALUE"""),"SELESAI")</f>
        <v>SELESAI</v>
      </c>
      <c r="L49" s="17">
        <f>IFERROR(__xludf.DUMMYFUNCTION("""COMPUTED_VALUE"""),45594.37943425926)</f>
        <v>45594.37943</v>
      </c>
      <c r="M49" s="17" t="str">
        <f>IFERROR(__xludf.DUMMYFUNCTION("""COMPUTED_VALUE"""),"")</f>
        <v/>
      </c>
      <c r="N49" s="17">
        <f>IFERROR(__xludf.DUMMYFUNCTION("""COMPUTED_VALUE"""),45594.379479641204)</f>
        <v>45594.37948</v>
      </c>
      <c r="O49" s="13">
        <f t="shared" si="1"/>
        <v>31</v>
      </c>
    </row>
    <row r="50" ht="22.5" customHeight="1">
      <c r="B50" s="13">
        <f>IFERROR(__xludf.DUMMYFUNCTION("""COMPUTED_VALUE"""),45.0)</f>
        <v>45</v>
      </c>
      <c r="C50" s="13" t="str">
        <f>IFERROR(__xludf.DUMMYFUNCTION("""COMPUTED_VALUE"""),"M.26/LANGKAPURA BARU-SEKARANG;B.113/LANGKAPURA-DAHULU")</f>
        <v>M.26/LANGKAPURA BARU-SEKARANG;B.113/LANGKAPURA-DAHULU</v>
      </c>
      <c r="D50" s="13" t="str">
        <f>IFERROR(__xludf.DUMMYFUNCTION("""COMPUTED_VALUE"""),"K/9/221024/1")</f>
        <v>K/9/221024/1</v>
      </c>
      <c r="E50" s="14" t="str">
        <f>IFERROR(__xludf.DUMMYFUNCTION("""COMPUTED_VALUE"""),"Afriza (BT)")</f>
        <v>Afriza (BT)</v>
      </c>
      <c r="F50" s="14" t="str">
        <f>IFERROR(__xludf.DUMMYFUNCTION("""COMPUTED_VALUE"""),"SELESAI")</f>
        <v>SELESAI</v>
      </c>
      <c r="G50" s="17">
        <f>IFERROR(__xludf.DUMMYFUNCTION("""COMPUTED_VALUE"""),45589.62690125)</f>
        <v>45589.6269</v>
      </c>
      <c r="H50" s="14" t="str">
        <f>IFERROR(__xludf.DUMMYFUNCTION("""COMPUTED_VALUE"""),"Aprill (SU)")</f>
        <v>Aprill (SU)</v>
      </c>
      <c r="I50" s="13" t="str">
        <f>IFERROR(__xludf.DUMMYFUNCTION("""COMPUTED_VALUE"""),"SELESAI")</f>
        <v>SELESAI</v>
      </c>
      <c r="J50" s="17">
        <f>IFERROR(__xludf.DUMMYFUNCTION("""COMPUTED_VALUE"""),45594.402609745375)</f>
        <v>45594.40261</v>
      </c>
      <c r="K50" s="13" t="str">
        <f>IFERROR(__xludf.DUMMYFUNCTION("""COMPUTED_VALUE"""),"SELESAI")</f>
        <v>SELESAI</v>
      </c>
      <c r="L50" s="17">
        <f>IFERROR(__xludf.DUMMYFUNCTION("""COMPUTED_VALUE"""),45594.402609745375)</f>
        <v>45594.40261</v>
      </c>
      <c r="M50" s="17" t="str">
        <f>IFERROR(__xludf.DUMMYFUNCTION("""COMPUTED_VALUE"""),"")</f>
        <v/>
      </c>
      <c r="N50" s="17">
        <f>IFERROR(__xludf.DUMMYFUNCTION("""COMPUTED_VALUE"""),45594.40265016204)</f>
        <v>45594.40265</v>
      </c>
      <c r="O50" s="13">
        <f t="shared" si="1"/>
        <v>32</v>
      </c>
    </row>
    <row r="51" ht="22.5" customHeight="1">
      <c r="B51" s="13">
        <f>IFERROR(__xludf.DUMMYFUNCTION("""COMPUTED_VALUE"""),46.0)</f>
        <v>46</v>
      </c>
      <c r="C51" s="13" t="str">
        <f>IFERROR(__xludf.DUMMYFUNCTION("""COMPUTED_VALUE"""),"M.12607/RAJABASA;B.1164/RAJABASA-DAHULU")</f>
        <v>M.12607/RAJABASA;B.1164/RAJABASA-DAHULU</v>
      </c>
      <c r="D51" s="13" t="str">
        <f>IFERROR(__xludf.DUMMYFUNCTION("""COMPUTED_VALUE"""),"L/11/221024/1")</f>
        <v>L/11/221024/1</v>
      </c>
      <c r="E51" s="14" t="str">
        <f>IFERROR(__xludf.DUMMYFUNCTION("""COMPUTED_VALUE"""),"Afriza (BT)")</f>
        <v>Afriza (BT)</v>
      </c>
      <c r="F51" s="14" t="str">
        <f>IFERROR(__xludf.DUMMYFUNCTION("""COMPUTED_VALUE"""),"SELESAI")</f>
        <v>SELESAI</v>
      </c>
      <c r="G51" s="17">
        <f>IFERROR(__xludf.DUMMYFUNCTION("""COMPUTED_VALUE"""),45589.63371076389)</f>
        <v>45589.63371</v>
      </c>
      <c r="H51" s="14" t="str">
        <f>IFERROR(__xludf.DUMMYFUNCTION("""COMPUTED_VALUE"""),"Bu Eva (SU)")</f>
        <v>Bu Eva (SU)</v>
      </c>
      <c r="I51" s="13" t="str">
        <f>IFERROR(__xludf.DUMMYFUNCTION("""COMPUTED_VALUE"""),"SELESAI")</f>
        <v>SELESAI</v>
      </c>
      <c r="J51" s="17">
        <f>IFERROR(__xludf.DUMMYFUNCTION("""COMPUTED_VALUE"""),45594.38000826389)</f>
        <v>45594.38001</v>
      </c>
      <c r="K51" s="13" t="str">
        <f>IFERROR(__xludf.DUMMYFUNCTION("""COMPUTED_VALUE"""),"SELESAI")</f>
        <v>SELESAI</v>
      </c>
      <c r="L51" s="17">
        <f>IFERROR(__xludf.DUMMYFUNCTION("""COMPUTED_VALUE"""),45594.38000826389)</f>
        <v>45594.38001</v>
      </c>
      <c r="M51" s="17" t="str">
        <f>IFERROR(__xludf.DUMMYFUNCTION("""COMPUTED_VALUE"""),"")</f>
        <v/>
      </c>
      <c r="N51" s="17">
        <f>IFERROR(__xludf.DUMMYFUNCTION("""COMPUTED_VALUE"""),45594.38006769676)</f>
        <v>45594.38007</v>
      </c>
      <c r="O51" s="13">
        <f t="shared" si="1"/>
        <v>33</v>
      </c>
    </row>
    <row r="52" ht="22.5" customHeight="1">
      <c r="B52" s="13">
        <f>IFERROR(__xludf.DUMMYFUNCTION("""COMPUTED_VALUE"""),47.0)</f>
        <v>47</v>
      </c>
      <c r="C52" s="13" t="str">
        <f>IFERROR(__xludf.DUMMYFUNCTION("""COMPUTED_VALUE"""),"M. 3903/ Way Kandis")</f>
        <v>M. 3903/ Way Kandis</v>
      </c>
      <c r="D52" s="13" t="str">
        <f>IFERROR(__xludf.DUMMYFUNCTION("""COMPUTED_VALUE"""),"K/14/221024/2")</f>
        <v>K/14/221024/2</v>
      </c>
      <c r="E52" s="14" t="str">
        <f>IFERROR(__xludf.DUMMYFUNCTION("""COMPUTED_VALUE"""),"Afriza (BT)")</f>
        <v>Afriza (BT)</v>
      </c>
      <c r="F52" s="14" t="str">
        <f>IFERROR(__xludf.DUMMYFUNCTION("""COMPUTED_VALUE"""),"SELESAI")</f>
        <v>SELESAI</v>
      </c>
      <c r="G52" s="17">
        <f>IFERROR(__xludf.DUMMYFUNCTION("""COMPUTED_VALUE"""),45589.63632261574)</f>
        <v>45589.63632</v>
      </c>
      <c r="H52" s="14" t="str">
        <f>IFERROR(__xludf.DUMMYFUNCTION("""COMPUTED_VALUE"""),"Bu Eva (SU)")</f>
        <v>Bu Eva (SU)</v>
      </c>
      <c r="I52" s="13" t="str">
        <f>IFERROR(__xludf.DUMMYFUNCTION("""COMPUTED_VALUE"""),"SELESAI")</f>
        <v>SELESAI</v>
      </c>
      <c r="J52" s="17">
        <f>IFERROR(__xludf.DUMMYFUNCTION("""COMPUTED_VALUE"""),45594.38919646991)</f>
        <v>45594.3892</v>
      </c>
      <c r="K52" s="13" t="str">
        <f>IFERROR(__xludf.DUMMYFUNCTION("""COMPUTED_VALUE"""),"SELESAI")</f>
        <v>SELESAI</v>
      </c>
      <c r="L52" s="17">
        <f>IFERROR(__xludf.DUMMYFUNCTION("""COMPUTED_VALUE"""),45594.38919646991)</f>
        <v>45594.3892</v>
      </c>
      <c r="M52" s="17" t="str">
        <f>IFERROR(__xludf.DUMMYFUNCTION("""COMPUTED_VALUE"""),"")</f>
        <v/>
      </c>
      <c r="N52" s="17">
        <f>IFERROR(__xludf.DUMMYFUNCTION("""COMPUTED_VALUE"""),45594.38921306713)</f>
        <v>45594.38921</v>
      </c>
      <c r="O52" s="13">
        <f t="shared" si="1"/>
        <v>34</v>
      </c>
    </row>
    <row r="53" ht="22.5" customHeight="1">
      <c r="B53" s="13">
        <f>IFERROR(__xludf.DUMMYFUNCTION("""COMPUTED_VALUE"""),48.0)</f>
        <v>48</v>
      </c>
      <c r="C53" s="13" t="str">
        <f>IFERROR(__xludf.DUMMYFUNCTION("""COMPUTED_VALUE"""),"M. 11085/ Kedamaian; SHT 4351/2015")</f>
        <v>M. 11085/ Kedamaian; SHT 4351/2015</v>
      </c>
      <c r="D53" s="13" t="str">
        <f>IFERROR(__xludf.DUMMYFUNCTION("""COMPUTED_VALUE"""),"K/44/231024/1")</f>
        <v>K/44/231024/1</v>
      </c>
      <c r="E53" s="14" t="str">
        <f>IFERROR(__xludf.DUMMYFUNCTION("""COMPUTED_VALUE"""),"Nadian (BT)")</f>
        <v>Nadian (BT)</v>
      </c>
      <c r="F53" s="14" t="str">
        <f>IFERROR(__xludf.DUMMYFUNCTION("""COMPUTED_VALUE"""),"SELESAI")</f>
        <v>SELESAI</v>
      </c>
      <c r="G53" s="17">
        <f>IFERROR(__xludf.DUMMYFUNCTION("""COMPUTED_VALUE"""),45589.63712305555)</f>
        <v>45589.63712</v>
      </c>
      <c r="H53" s="14" t="str">
        <f>IFERROR(__xludf.DUMMYFUNCTION("""COMPUTED_VALUE"""),"Bu Eva (SU)")</f>
        <v>Bu Eva (SU)</v>
      </c>
      <c r="I53" s="13" t="str">
        <f>IFERROR(__xludf.DUMMYFUNCTION("""COMPUTED_VALUE"""),"SELESAI")</f>
        <v>SELESAI</v>
      </c>
      <c r="J53" s="17">
        <f>IFERROR(__xludf.DUMMYFUNCTION("""COMPUTED_VALUE"""),45589.711079479166)</f>
        <v>45589.71108</v>
      </c>
      <c r="K53" s="13" t="str">
        <f>IFERROR(__xludf.DUMMYFUNCTION("""COMPUTED_VALUE"""),"SELESAI")</f>
        <v>SELESAI</v>
      </c>
      <c r="L53" s="17">
        <f>IFERROR(__xludf.DUMMYFUNCTION("""COMPUTED_VALUE"""),45589.711079479166)</f>
        <v>45589.71108</v>
      </c>
      <c r="M53" s="17" t="str">
        <f>IFERROR(__xludf.DUMMYFUNCTION("""COMPUTED_VALUE"""),"")</f>
        <v/>
      </c>
      <c r="N53" s="17">
        <f>IFERROR(__xludf.DUMMYFUNCTION("""COMPUTED_VALUE"""),45589.71111780092)</f>
        <v>45589.71112</v>
      </c>
      <c r="O53" s="13">
        <f t="shared" si="1"/>
        <v>35</v>
      </c>
    </row>
    <row r="54" ht="22.5" customHeight="1">
      <c r="B54" s="13">
        <f>IFERROR(__xludf.DUMMYFUNCTION("""COMPUTED_VALUE"""),49.0)</f>
        <v>49</v>
      </c>
      <c r="C54" s="13" t="str">
        <f>IFERROR(__xludf.DUMMYFUNCTION("""COMPUTED_VALUE"""),"M. 2278/ Rajabasa Jaya")</f>
        <v>M. 2278/ Rajabasa Jaya</v>
      </c>
      <c r="D54" s="13" t="str">
        <f>IFERROR(__xludf.DUMMYFUNCTION("""COMPUTED_VALUE"""),"K/49/231024/1")</f>
        <v>K/49/231024/1</v>
      </c>
      <c r="E54" s="14" t="str">
        <f>IFERROR(__xludf.DUMMYFUNCTION("""COMPUTED_VALUE"""),"Nadian (BT)")</f>
        <v>Nadian (BT)</v>
      </c>
      <c r="F54" s="14" t="str">
        <f>IFERROR(__xludf.DUMMYFUNCTION("""COMPUTED_VALUE"""),"SELESAI")</f>
        <v>SELESAI</v>
      </c>
      <c r="G54" s="17">
        <f>IFERROR(__xludf.DUMMYFUNCTION("""COMPUTED_VALUE"""),45589.63726326389)</f>
        <v>45589.63726</v>
      </c>
      <c r="H54" s="14" t="str">
        <f>IFERROR(__xludf.DUMMYFUNCTION("""COMPUTED_VALUE"""),"Bu Eva (SU)")</f>
        <v>Bu Eva (SU)</v>
      </c>
      <c r="I54" s="13" t="str">
        <f>IFERROR(__xludf.DUMMYFUNCTION("""COMPUTED_VALUE"""),"SELESAI")</f>
        <v>SELESAI</v>
      </c>
      <c r="J54" s="17">
        <f>IFERROR(__xludf.DUMMYFUNCTION("""COMPUTED_VALUE"""),45589.7082640625)</f>
        <v>45589.70826</v>
      </c>
      <c r="K54" s="13" t="str">
        <f>IFERROR(__xludf.DUMMYFUNCTION("""COMPUTED_VALUE"""),"SELESAI")</f>
        <v>SELESAI</v>
      </c>
      <c r="L54" s="17">
        <f>IFERROR(__xludf.DUMMYFUNCTION("""COMPUTED_VALUE"""),45589.7082640625)</f>
        <v>45589.70826</v>
      </c>
      <c r="M54" s="17" t="str">
        <f>IFERROR(__xludf.DUMMYFUNCTION("""COMPUTED_VALUE"""),"")</f>
        <v/>
      </c>
      <c r="N54" s="17">
        <f>IFERROR(__xludf.DUMMYFUNCTION("""COMPUTED_VALUE"""),45589.708311863425)</f>
        <v>45589.70831</v>
      </c>
      <c r="O54" s="13">
        <f t="shared" si="1"/>
        <v>36</v>
      </c>
    </row>
    <row r="55" ht="22.5" customHeight="1">
      <c r="B55" s="13">
        <f>IFERROR(__xludf.DUMMYFUNCTION("""COMPUTED_VALUE"""),50.0)</f>
        <v>50</v>
      </c>
      <c r="C55" s="13" t="str">
        <f>IFERROR(__xludf.DUMMYFUNCTION("""COMPUTED_VALUE"""),"HM 1642/KOTA KARANG")</f>
        <v>HM 1642/KOTA KARANG</v>
      </c>
      <c r="D55" s="13" t="str">
        <f>IFERROR(__xludf.DUMMYFUNCTION("""COMPUTED_VALUE"""),"L/37/231024/1")</f>
        <v>L/37/231024/1</v>
      </c>
      <c r="E55" s="14" t="str">
        <f>IFERROR(__xludf.DUMMYFUNCTION("""COMPUTED_VALUE"""),"Nadian (BT)")</f>
        <v>Nadian (BT)</v>
      </c>
      <c r="F55" s="14" t="str">
        <f>IFERROR(__xludf.DUMMYFUNCTION("""COMPUTED_VALUE"""),"SELESAI")</f>
        <v>SELESAI</v>
      </c>
      <c r="G55" s="17">
        <f>IFERROR(__xludf.DUMMYFUNCTION("""COMPUTED_VALUE"""),45589.637448622685)</f>
        <v>45589.63745</v>
      </c>
      <c r="H55" s="14" t="str">
        <f>IFERROR(__xludf.DUMMYFUNCTION("""COMPUTED_VALUE"""),"Bu Eva (SU)")</f>
        <v>Bu Eva (SU)</v>
      </c>
      <c r="I55" s="13" t="str">
        <f>IFERROR(__xludf.DUMMYFUNCTION("""COMPUTED_VALUE"""),"SELESAI")</f>
        <v>SELESAI</v>
      </c>
      <c r="J55" s="17">
        <f>IFERROR(__xludf.DUMMYFUNCTION("""COMPUTED_VALUE"""),45589.71083166667)</f>
        <v>45589.71083</v>
      </c>
      <c r="K55" s="13" t="str">
        <f>IFERROR(__xludf.DUMMYFUNCTION("""COMPUTED_VALUE"""),"SELESAI")</f>
        <v>SELESAI</v>
      </c>
      <c r="L55" s="17">
        <f>IFERROR(__xludf.DUMMYFUNCTION("""COMPUTED_VALUE"""),45589.71083166667)</f>
        <v>45589.71083</v>
      </c>
      <c r="M55" s="17" t="str">
        <f>IFERROR(__xludf.DUMMYFUNCTION("""COMPUTED_VALUE"""),"")</f>
        <v/>
      </c>
      <c r="N55" s="17">
        <f>IFERROR(__xludf.DUMMYFUNCTION("""COMPUTED_VALUE"""),45589.710863113425)</f>
        <v>45589.71086</v>
      </c>
      <c r="O55" s="13">
        <f t="shared" si="1"/>
        <v>37</v>
      </c>
    </row>
    <row r="56" ht="22.5" customHeight="1">
      <c r="B56" s="13">
        <f>IFERROR(__xludf.DUMMYFUNCTION("""COMPUTED_VALUE"""),51.0)</f>
        <v>51</v>
      </c>
      <c r="C56" s="13" t="str">
        <f>IFERROR(__xludf.DUMMYFUNCTION("""COMPUTED_VALUE"""),"M.1878/KEDAUNG")</f>
        <v>M.1878/KEDAUNG</v>
      </c>
      <c r="D56" s="13" t="str">
        <f>IFERROR(__xludf.DUMMYFUNCTION("""COMPUTED_VALUE"""),"K/42/231024/1")</f>
        <v>K/42/231024/1</v>
      </c>
      <c r="E56" s="14" t="str">
        <f>IFERROR(__xludf.DUMMYFUNCTION("""COMPUTED_VALUE"""),"Nadian (BT)")</f>
        <v>Nadian (BT)</v>
      </c>
      <c r="F56" s="14" t="str">
        <f>IFERROR(__xludf.DUMMYFUNCTION("""COMPUTED_VALUE"""),"SELESAI")</f>
        <v>SELESAI</v>
      </c>
      <c r="G56" s="17">
        <f>IFERROR(__xludf.DUMMYFUNCTION("""COMPUTED_VALUE"""),45589.63789597222)</f>
        <v>45589.6379</v>
      </c>
      <c r="H56" s="14" t="str">
        <f>IFERROR(__xludf.DUMMYFUNCTION("""COMPUTED_VALUE"""),"Bu Eva (SU)")</f>
        <v>Bu Eva (SU)</v>
      </c>
      <c r="I56" s="13" t="str">
        <f>IFERROR(__xludf.DUMMYFUNCTION("""COMPUTED_VALUE"""),"SELESAI")</f>
        <v>SELESAI</v>
      </c>
      <c r="J56" s="17">
        <f>IFERROR(__xludf.DUMMYFUNCTION("""COMPUTED_VALUE"""),45589.70942038194)</f>
        <v>45589.70942</v>
      </c>
      <c r="K56" s="13" t="str">
        <f>IFERROR(__xludf.DUMMYFUNCTION("""COMPUTED_VALUE"""),"SELESAI")</f>
        <v>SELESAI</v>
      </c>
      <c r="L56" s="17">
        <f>IFERROR(__xludf.DUMMYFUNCTION("""COMPUTED_VALUE"""),45589.70942038194)</f>
        <v>45589.70942</v>
      </c>
      <c r="M56" s="17" t="str">
        <f>IFERROR(__xludf.DUMMYFUNCTION("""COMPUTED_VALUE"""),"")</f>
        <v/>
      </c>
      <c r="N56" s="17">
        <f>IFERROR(__xludf.DUMMYFUNCTION("""COMPUTED_VALUE"""),45589.70945461806)</f>
        <v>45589.70945</v>
      </c>
      <c r="O56" s="13">
        <f t="shared" si="1"/>
        <v>38</v>
      </c>
    </row>
    <row r="57" ht="22.5" customHeight="1">
      <c r="B57" s="13">
        <f>IFERROR(__xludf.DUMMYFUNCTION("""COMPUTED_VALUE"""),52.0)</f>
        <v>52</v>
      </c>
      <c r="C57" s="13" t="str">
        <f>IFERROR(__xludf.DUMMYFUNCTION("""COMPUTED_VALUE"""),"HM 1366/KALIAWI")</f>
        <v>HM 1366/KALIAWI</v>
      </c>
      <c r="D57" s="13" t="str">
        <f>IFERROR(__xludf.DUMMYFUNCTION("""COMPUTED_VALUE"""),"L/22/241024/1")</f>
        <v>L/22/241024/1</v>
      </c>
      <c r="E57" s="14" t="str">
        <f>IFERROR(__xludf.DUMMYFUNCTION("""COMPUTED_VALUE"""),"Afriza (BT)")</f>
        <v>Afriza (BT)</v>
      </c>
      <c r="F57" s="14" t="str">
        <f>IFERROR(__xludf.DUMMYFUNCTION("""COMPUTED_VALUE"""),"SELESAI")</f>
        <v>SELESAI</v>
      </c>
      <c r="G57" s="17">
        <f>IFERROR(__xludf.DUMMYFUNCTION("""COMPUTED_VALUE"""),45590.469380462964)</f>
        <v>45590.46938</v>
      </c>
      <c r="H57" s="14" t="str">
        <f>IFERROR(__xludf.DUMMYFUNCTION("""COMPUTED_VALUE"""),"Bu Eva (SU)")</f>
        <v>Bu Eva (SU)</v>
      </c>
      <c r="I57" s="13" t="str">
        <f>IFERROR(__xludf.DUMMYFUNCTION("""COMPUTED_VALUE"""),"SELESAI")</f>
        <v>SELESAI</v>
      </c>
      <c r="J57" s="17">
        <f>IFERROR(__xludf.DUMMYFUNCTION("""COMPUTED_VALUE"""),45594.36648207176)</f>
        <v>45594.36648</v>
      </c>
      <c r="K57" s="13" t="str">
        <f>IFERROR(__xludf.DUMMYFUNCTION("""COMPUTED_VALUE"""),"SELESAI")</f>
        <v>SELESAI</v>
      </c>
      <c r="L57" s="17">
        <f>IFERROR(__xludf.DUMMYFUNCTION("""COMPUTED_VALUE"""),45594.36648207176)</f>
        <v>45594.36648</v>
      </c>
      <c r="M57" s="17" t="str">
        <f>IFERROR(__xludf.DUMMYFUNCTION("""COMPUTED_VALUE"""),"")</f>
        <v/>
      </c>
      <c r="N57" s="17">
        <f>IFERROR(__xludf.DUMMYFUNCTION("""COMPUTED_VALUE"""),45594.36658340278)</f>
        <v>45594.36658</v>
      </c>
      <c r="O57" s="13">
        <f t="shared" si="1"/>
        <v>39</v>
      </c>
    </row>
    <row r="58" ht="22.5" customHeight="1">
      <c r="B58" s="13">
        <f>IFERROR(__xludf.DUMMYFUNCTION("""COMPUTED_VALUE"""),53.0)</f>
        <v>53</v>
      </c>
      <c r="C58" s="13" t="str">
        <f>IFERROR(__xludf.DUMMYFUNCTION("""COMPUTED_VALUE"""),"M.16877/SUKARAME I")</f>
        <v>M.16877/SUKARAME I</v>
      </c>
      <c r="D58" s="13" t="str">
        <f>IFERROR(__xludf.DUMMYFUNCTION("""COMPUTED_VALUE"""),"L/14/241024/1")</f>
        <v>L/14/241024/1</v>
      </c>
      <c r="E58" s="14" t="str">
        <f>IFERROR(__xludf.DUMMYFUNCTION("""COMPUTED_VALUE"""),"Afriza (BT)")</f>
        <v>Afriza (BT)</v>
      </c>
      <c r="F58" s="14" t="str">
        <f>IFERROR(__xludf.DUMMYFUNCTION("""COMPUTED_VALUE"""),"SELESAI")</f>
        <v>SELESAI</v>
      </c>
      <c r="G58" s="17">
        <f>IFERROR(__xludf.DUMMYFUNCTION("""COMPUTED_VALUE"""),45590.616405266206)</f>
        <v>45590.61641</v>
      </c>
      <c r="H58" s="14" t="str">
        <f>IFERROR(__xludf.DUMMYFUNCTION("""COMPUTED_VALUE"""),"Bu Eva (SU)")</f>
        <v>Bu Eva (SU)</v>
      </c>
      <c r="I58" s="13" t="str">
        <f>IFERROR(__xludf.DUMMYFUNCTION("""COMPUTED_VALUE"""),"SELESAI")</f>
        <v>SELESAI</v>
      </c>
      <c r="J58" s="17">
        <f>IFERROR(__xludf.DUMMYFUNCTION("""COMPUTED_VALUE"""),45594.36806496528)</f>
        <v>45594.36806</v>
      </c>
      <c r="K58" s="13" t="str">
        <f>IFERROR(__xludf.DUMMYFUNCTION("""COMPUTED_VALUE"""),"SELESAI")</f>
        <v>SELESAI</v>
      </c>
      <c r="L58" s="17">
        <f>IFERROR(__xludf.DUMMYFUNCTION("""COMPUTED_VALUE"""),45594.36806496528)</f>
        <v>45594.36806</v>
      </c>
      <c r="M58" s="17" t="str">
        <f>IFERROR(__xludf.DUMMYFUNCTION("""COMPUTED_VALUE"""),"")</f>
        <v/>
      </c>
      <c r="N58" s="17">
        <f>IFERROR(__xludf.DUMMYFUNCTION("""COMPUTED_VALUE"""),45594.368105243055)</f>
        <v>45594.36811</v>
      </c>
      <c r="O58" s="13">
        <f t="shared" si="1"/>
        <v>40</v>
      </c>
    </row>
    <row r="59" ht="22.5" customHeight="1">
      <c r="B59" s="13">
        <f>IFERROR(__xludf.DUMMYFUNCTION("""COMPUTED_VALUE"""),54.0)</f>
        <v>54</v>
      </c>
      <c r="C59" s="13" t="str">
        <f>IFERROR(__xludf.DUMMYFUNCTION("""COMPUTED_VALUE"""),"M.4791/BERINGIN RAYA-SEKARANG;B.1135/SUMBERREJO-DAHULU")</f>
        <v>M.4791/BERINGIN RAYA-SEKARANG;B.1135/SUMBERREJO-DAHULU</v>
      </c>
      <c r="D59" s="13" t="str">
        <f>IFERROR(__xludf.DUMMYFUNCTION("""COMPUTED_VALUE"""),"K/36/151024/1")</f>
        <v>K/36/151024/1</v>
      </c>
      <c r="E59" s="14" t="str">
        <f>IFERROR(__xludf.DUMMYFUNCTION("""COMPUTED_VALUE"""),"Nadian (BT)")</f>
        <v>Nadian (BT)</v>
      </c>
      <c r="F59" s="14" t="str">
        <f>IFERROR(__xludf.DUMMYFUNCTION("""COMPUTED_VALUE"""),"SELESAI (VIA PERMOHONAN)")</f>
        <v>SELESAI (VIA PERMOHONAN)</v>
      </c>
      <c r="G59" s="17">
        <f>IFERROR(__xludf.DUMMYFUNCTION("""COMPUTED_VALUE"""),45591.37108946759)</f>
        <v>45591.37109</v>
      </c>
      <c r="H59" s="14" t="str">
        <f>IFERROR(__xludf.DUMMYFUNCTION("""COMPUTED_VALUE"""),"Aprill (SU)")</f>
        <v>Aprill (SU)</v>
      </c>
      <c r="I59" s="13" t="str">
        <f>IFERROR(__xludf.DUMMYFUNCTION("""COMPUTED_VALUE"""),"SELESAI (VIA PERMOHONAN)")</f>
        <v>SELESAI (VIA PERMOHONAN)</v>
      </c>
      <c r="J59" s="17">
        <f>IFERROR(__xludf.DUMMYFUNCTION("""COMPUTED_VALUE"""),45593.68707828704)</f>
        <v>45593.68708</v>
      </c>
      <c r="K59" s="13" t="str">
        <f>IFERROR(__xludf.DUMMYFUNCTION("""COMPUTED_VALUE"""),"Selesai")</f>
        <v>Selesai</v>
      </c>
      <c r="L59" s="17">
        <f>IFERROR(__xludf.DUMMYFUNCTION("""COMPUTED_VALUE"""),45593.68707828704)</f>
        <v>45593.68708</v>
      </c>
      <c r="M59" s="17">
        <f>IFERROR(__xludf.DUMMYFUNCTION("""COMPUTED_VALUE"""),45593.68714753472)</f>
        <v>45593.68715</v>
      </c>
      <c r="N59" s="13" t="str">
        <f>IFERROR(__xludf.DUMMYFUNCTION("""COMPUTED_VALUE"""),"")</f>
        <v/>
      </c>
      <c r="O59" s="13" t="str">
        <f t="shared" si="1"/>
        <v/>
      </c>
    </row>
    <row r="60" ht="22.5" customHeight="1">
      <c r="B60" s="13">
        <f>IFERROR(__xludf.DUMMYFUNCTION("""COMPUTED_VALUE"""),55.0)</f>
        <v>55</v>
      </c>
      <c r="C60" s="13" t="str">
        <f>IFERROR(__xludf.DUMMYFUNCTION("""COMPUTED_VALUE"""),"M. 224/ Kampung Baru Raya")</f>
        <v>M. 224/ Kampung Baru Raya</v>
      </c>
      <c r="D60" s="13" t="str">
        <f>IFERROR(__xludf.DUMMYFUNCTION("""COMPUTED_VALUE"""),"K/23/181024/1")</f>
        <v>K/23/181024/1</v>
      </c>
      <c r="E60" s="14" t="str">
        <f>IFERROR(__xludf.DUMMYFUNCTION("""COMPUTED_VALUE"""),"Nadian (BT)")</f>
        <v>Nadian (BT)</v>
      </c>
      <c r="F60" s="14" t="str">
        <f>IFERROR(__xludf.DUMMYFUNCTION("""COMPUTED_VALUE"""),"SELESAI (VIA PERMOHONAN)")</f>
        <v>SELESAI (VIA PERMOHONAN)</v>
      </c>
      <c r="G60" s="17">
        <f>IFERROR(__xludf.DUMMYFUNCTION("""COMPUTED_VALUE"""),45591.37109971065)</f>
        <v>45591.3711</v>
      </c>
      <c r="H60" s="14" t="str">
        <f>IFERROR(__xludf.DUMMYFUNCTION("""COMPUTED_VALUE"""),"Aprill (SU)")</f>
        <v>Aprill (SU)</v>
      </c>
      <c r="I60" s="13" t="str">
        <f>IFERROR(__xludf.DUMMYFUNCTION("""COMPUTED_VALUE"""),"SELESAI (VIA PERMOHONAN)")</f>
        <v>SELESAI (VIA PERMOHONAN)</v>
      </c>
      <c r="J60" s="17">
        <f>IFERROR(__xludf.DUMMYFUNCTION("""COMPUTED_VALUE"""),45593.70637866898)</f>
        <v>45593.70638</v>
      </c>
      <c r="K60" s="13" t="str">
        <f>IFERROR(__xludf.DUMMYFUNCTION("""COMPUTED_VALUE"""),"Selesai")</f>
        <v>Selesai</v>
      </c>
      <c r="L60" s="17">
        <f>IFERROR(__xludf.DUMMYFUNCTION("""COMPUTED_VALUE"""),45593.70637866898)</f>
        <v>45593.70638</v>
      </c>
      <c r="M60" s="17">
        <f>IFERROR(__xludf.DUMMYFUNCTION("""COMPUTED_VALUE"""),45593.70645690973)</f>
        <v>45593.70646</v>
      </c>
      <c r="N60" s="13" t="str">
        <f>IFERROR(__xludf.DUMMYFUNCTION("""COMPUTED_VALUE"""),"")</f>
        <v/>
      </c>
      <c r="O60" s="13" t="str">
        <f t="shared" si="1"/>
        <v/>
      </c>
    </row>
    <row r="61" ht="22.5" customHeight="1">
      <c r="B61" s="13">
        <f>IFERROR(__xludf.DUMMYFUNCTION("""COMPUTED_VALUE"""),56.0)</f>
        <v>56</v>
      </c>
      <c r="C61" s="13" t="str">
        <f>IFERROR(__xludf.DUMMYFUNCTION("""COMPUTED_VALUE"""),"B.311/PEMATANG WANGI;B.546/TJ SENANG-DAHULU")</f>
        <v>B.311/PEMATANG WANGI;B.546/TJ SENANG-DAHULU</v>
      </c>
      <c r="D61" s="13" t="str">
        <f>IFERROR(__xludf.DUMMYFUNCTION("""COMPUTED_VALUE"""),"L/31/241024/1")</f>
        <v>L/31/241024/1</v>
      </c>
      <c r="E61" s="14" t="str">
        <f>IFERROR(__xludf.DUMMYFUNCTION("""COMPUTED_VALUE"""),"Nadian (BT)")</f>
        <v>Nadian (BT)</v>
      </c>
      <c r="F61" s="14" t="str">
        <f>IFERROR(__xludf.DUMMYFUNCTION("""COMPUTED_VALUE"""),"SELESAI")</f>
        <v>SELESAI</v>
      </c>
      <c r="G61" s="17">
        <f>IFERROR(__xludf.DUMMYFUNCTION("""COMPUTED_VALUE"""),45590.62214435185)</f>
        <v>45590.62214</v>
      </c>
      <c r="H61" s="14" t="str">
        <f>IFERROR(__xludf.DUMMYFUNCTION("""COMPUTED_VALUE"""),"Bu Eva (SU)")</f>
        <v>Bu Eva (SU)</v>
      </c>
      <c r="I61" s="13" t="str">
        <f>IFERROR(__xludf.DUMMYFUNCTION("""COMPUTED_VALUE"""),"SELESAI")</f>
        <v>SELESAI</v>
      </c>
      <c r="J61" s="17">
        <f>IFERROR(__xludf.DUMMYFUNCTION("""COMPUTED_VALUE"""),45594.40488290509)</f>
        <v>45594.40488</v>
      </c>
      <c r="K61" s="13" t="str">
        <f>IFERROR(__xludf.DUMMYFUNCTION("""COMPUTED_VALUE"""),"SELESAI")</f>
        <v>SELESAI</v>
      </c>
      <c r="L61" s="17">
        <f>IFERROR(__xludf.DUMMYFUNCTION("""COMPUTED_VALUE"""),45594.40488290509)</f>
        <v>45594.40488</v>
      </c>
      <c r="M61" s="17" t="str">
        <f>IFERROR(__xludf.DUMMYFUNCTION("""COMPUTED_VALUE"""),"")</f>
        <v/>
      </c>
      <c r="N61" s="17">
        <f>IFERROR(__xludf.DUMMYFUNCTION("""COMPUTED_VALUE"""),45595.38265753472)</f>
        <v>45595.38266</v>
      </c>
      <c r="O61" s="13">
        <f t="shared" si="1"/>
        <v>1</v>
      </c>
    </row>
    <row r="62" ht="22.5" customHeight="1">
      <c r="B62" s="13">
        <f>IFERROR(__xludf.DUMMYFUNCTION("""COMPUTED_VALUE"""),57.0)</f>
        <v>57</v>
      </c>
      <c r="C62" s="13" t="str">
        <f>IFERROR(__xludf.DUMMYFUNCTION("""COMPUTED_VALUE"""),"M. 1120/ Sukajawa")</f>
        <v>M. 1120/ Sukajawa</v>
      </c>
      <c r="D62" s="13" t="str">
        <f>IFERROR(__xludf.DUMMYFUNCTION("""COMPUTED_VALUE"""),"K/32/241024/1")</f>
        <v>K/32/241024/1</v>
      </c>
      <c r="E62" s="14" t="str">
        <f>IFERROR(__xludf.DUMMYFUNCTION("""COMPUTED_VALUE"""),"Nadian (BT)")</f>
        <v>Nadian (BT)</v>
      </c>
      <c r="F62" s="14" t="str">
        <f>IFERROR(__xludf.DUMMYFUNCTION("""COMPUTED_VALUE"""),"SELESAI")</f>
        <v>SELESAI</v>
      </c>
      <c r="G62" s="17">
        <f>IFERROR(__xludf.DUMMYFUNCTION("""COMPUTED_VALUE"""),45590.622265868056)</f>
        <v>45590.62227</v>
      </c>
      <c r="H62" s="14" t="str">
        <f>IFERROR(__xludf.DUMMYFUNCTION("""COMPUTED_VALUE"""),"Bu Eva (SU)")</f>
        <v>Bu Eva (SU)</v>
      </c>
      <c r="I62" s="13" t="str">
        <f>IFERROR(__xludf.DUMMYFUNCTION("""COMPUTED_VALUE"""),"SELESAI")</f>
        <v>SELESAI</v>
      </c>
      <c r="J62" s="17">
        <f>IFERROR(__xludf.DUMMYFUNCTION("""COMPUTED_VALUE"""),45594.40492347222)</f>
        <v>45594.40492</v>
      </c>
      <c r="K62" s="13" t="str">
        <f>IFERROR(__xludf.DUMMYFUNCTION("""COMPUTED_VALUE"""),"SELESAI")</f>
        <v>SELESAI</v>
      </c>
      <c r="L62" s="17">
        <f>IFERROR(__xludf.DUMMYFUNCTION("""COMPUTED_VALUE"""),45594.40492347222)</f>
        <v>45594.40492</v>
      </c>
      <c r="M62" s="17" t="str">
        <f>IFERROR(__xludf.DUMMYFUNCTION("""COMPUTED_VALUE"""),"")</f>
        <v/>
      </c>
      <c r="N62" s="17">
        <f>IFERROR(__xludf.DUMMYFUNCTION("""COMPUTED_VALUE"""),45595.38230293982)</f>
        <v>45595.3823</v>
      </c>
      <c r="O62" s="13">
        <f t="shared" si="1"/>
        <v>2</v>
      </c>
    </row>
    <row r="63" ht="22.5" customHeight="1">
      <c r="B63" s="13">
        <f>IFERROR(__xludf.DUMMYFUNCTION("""COMPUTED_VALUE"""),58.0)</f>
        <v>58</v>
      </c>
      <c r="C63" s="13" t="str">
        <f>IFERROR(__xludf.DUMMYFUNCTION("""COMPUTED_VALUE"""),"M. 16581/ Sukabumi")</f>
        <v>M. 16581/ Sukabumi</v>
      </c>
      <c r="D63" s="13" t="str">
        <f>IFERROR(__xludf.DUMMYFUNCTION("""COMPUTED_VALUE"""),"K/49/241024/2")</f>
        <v>K/49/241024/2</v>
      </c>
      <c r="E63" s="14" t="str">
        <f>IFERROR(__xludf.DUMMYFUNCTION("""COMPUTED_VALUE"""),"Nadian (BT)")</f>
        <v>Nadian (BT)</v>
      </c>
      <c r="F63" s="14" t="str">
        <f>IFERROR(__xludf.DUMMYFUNCTION("""COMPUTED_VALUE"""),"SELESAI")</f>
        <v>SELESAI</v>
      </c>
      <c r="G63" s="17">
        <f>IFERROR(__xludf.DUMMYFUNCTION("""COMPUTED_VALUE"""),45590.62239509259)</f>
        <v>45590.6224</v>
      </c>
      <c r="H63" s="14" t="str">
        <f>IFERROR(__xludf.DUMMYFUNCTION("""COMPUTED_VALUE"""),"Bu Eva (SU)")</f>
        <v>Bu Eva (SU)</v>
      </c>
      <c r="I63" s="13" t="str">
        <f>IFERROR(__xludf.DUMMYFUNCTION("""COMPUTED_VALUE"""),"SELESAI")</f>
        <v>SELESAI</v>
      </c>
      <c r="J63" s="17">
        <f>IFERROR(__xludf.DUMMYFUNCTION("""COMPUTED_VALUE"""),45594.40496331018)</f>
        <v>45594.40496</v>
      </c>
      <c r="K63" s="13" t="str">
        <f>IFERROR(__xludf.DUMMYFUNCTION("""COMPUTED_VALUE"""),"SELESAI")</f>
        <v>SELESAI</v>
      </c>
      <c r="L63" s="17">
        <f>IFERROR(__xludf.DUMMYFUNCTION("""COMPUTED_VALUE"""),45594.40496331018)</f>
        <v>45594.40496</v>
      </c>
      <c r="M63" s="17" t="str">
        <f>IFERROR(__xludf.DUMMYFUNCTION("""COMPUTED_VALUE"""),"")</f>
        <v/>
      </c>
      <c r="N63" s="17">
        <f>IFERROR(__xludf.DUMMYFUNCTION("""COMPUTED_VALUE"""),45595.38087502315)</f>
        <v>45595.38088</v>
      </c>
      <c r="O63" s="13">
        <f t="shared" si="1"/>
        <v>3</v>
      </c>
    </row>
    <row r="64" ht="22.5" customHeight="1">
      <c r="B64" s="13">
        <f>IFERROR(__xludf.DUMMYFUNCTION("""COMPUTED_VALUE"""),59.0)</f>
        <v>59</v>
      </c>
      <c r="C64" s="13" t="str">
        <f>IFERROR(__xludf.DUMMYFUNCTION("""COMPUTED_VALUE"""),"M. 9800/ Kedamaian; SHT 2878/2017 dan SHT 1059/20211")</f>
        <v>M. 9800/ Kedamaian; SHT 2878/2017 dan SHT 1059/20211</v>
      </c>
      <c r="D64" s="13" t="str">
        <f>IFERROR(__xludf.DUMMYFUNCTION("""COMPUTED_VALUE"""),"K/9/241024/1")</f>
        <v>K/9/241024/1</v>
      </c>
      <c r="E64" s="14" t="str">
        <f>IFERROR(__xludf.DUMMYFUNCTION("""COMPUTED_VALUE"""),"Afriza (BT)")</f>
        <v>Afriza (BT)</v>
      </c>
      <c r="F64" s="14" t="str">
        <f>IFERROR(__xludf.DUMMYFUNCTION("""COMPUTED_VALUE"""),"SELESAI")</f>
        <v>SELESAI</v>
      </c>
      <c r="G64" s="17">
        <f>IFERROR(__xludf.DUMMYFUNCTION("""COMPUTED_VALUE"""),45590.62865690972)</f>
        <v>45590.62866</v>
      </c>
      <c r="H64" s="14" t="str">
        <f>IFERROR(__xludf.DUMMYFUNCTION("""COMPUTED_VALUE"""),"Bu Eva (SU)")</f>
        <v>Bu Eva (SU)</v>
      </c>
      <c r="I64" s="13" t="str">
        <f>IFERROR(__xludf.DUMMYFUNCTION("""COMPUTED_VALUE"""),"SELESAI")</f>
        <v>SELESAI</v>
      </c>
      <c r="J64" s="17">
        <f>IFERROR(__xludf.DUMMYFUNCTION("""COMPUTED_VALUE"""),45594.368569872684)</f>
        <v>45594.36857</v>
      </c>
      <c r="K64" s="13" t="str">
        <f>IFERROR(__xludf.DUMMYFUNCTION("""COMPUTED_VALUE"""),"SELESAI")</f>
        <v>SELESAI</v>
      </c>
      <c r="L64" s="17">
        <f>IFERROR(__xludf.DUMMYFUNCTION("""COMPUTED_VALUE"""),45594.368569872684)</f>
        <v>45594.36857</v>
      </c>
      <c r="M64" s="17" t="str">
        <f>IFERROR(__xludf.DUMMYFUNCTION("""COMPUTED_VALUE"""),"")</f>
        <v/>
      </c>
      <c r="N64" s="17">
        <f>IFERROR(__xludf.DUMMYFUNCTION("""COMPUTED_VALUE"""),45594.368606041666)</f>
        <v>45594.36861</v>
      </c>
      <c r="O64" s="13">
        <f t="shared" si="1"/>
        <v>4</v>
      </c>
    </row>
    <row r="65" ht="22.5" customHeight="1">
      <c r="B65" s="13">
        <f>IFERROR(__xludf.DUMMYFUNCTION("""COMPUTED_VALUE"""),60.0)</f>
        <v>60</v>
      </c>
      <c r="C65" s="13" t="str">
        <f>IFERROR(__xludf.DUMMYFUNCTION("""COMPUTED_VALUE"""),"HMASRS/64/I/MASRS/Tanjung karang")</f>
        <v>HMASRS/64/I/MASRS/Tanjung karang</v>
      </c>
      <c r="D65" s="13" t="str">
        <f>IFERROR(__xludf.DUMMYFUNCTION("""COMPUTED_VALUE"""),"K/41/241024/1")</f>
        <v>K/41/241024/1</v>
      </c>
      <c r="E65" s="14" t="str">
        <f>IFERROR(__xludf.DUMMYFUNCTION("""COMPUTED_VALUE"""),"Afriza (BT)")</f>
        <v>Afriza (BT)</v>
      </c>
      <c r="F65" s="14" t="str">
        <f>IFERROR(__xludf.DUMMYFUNCTION("""COMPUTED_VALUE"""),"SELESAI")</f>
        <v>SELESAI</v>
      </c>
      <c r="G65" s="17">
        <f>IFERROR(__xludf.DUMMYFUNCTION("""COMPUTED_VALUE"""),45590.641531747686)</f>
        <v>45590.64153</v>
      </c>
      <c r="H65" s="14" t="str">
        <f>IFERROR(__xludf.DUMMYFUNCTION("""COMPUTED_VALUE"""),"Aprill (SU)")</f>
        <v>Aprill (SU)</v>
      </c>
      <c r="I65" s="13" t="str">
        <f>IFERROR(__xludf.DUMMYFUNCTION("""COMPUTED_VALUE"""),"SELESAI")</f>
        <v>SELESAI</v>
      </c>
      <c r="J65" s="17">
        <f>IFERROR(__xludf.DUMMYFUNCTION("""COMPUTED_VALUE"""),45594.372205486114)</f>
        <v>45594.37221</v>
      </c>
      <c r="K65" s="13" t="str">
        <f>IFERROR(__xludf.DUMMYFUNCTION("""COMPUTED_VALUE"""),"SELESAI")</f>
        <v>SELESAI</v>
      </c>
      <c r="L65" s="17">
        <f>IFERROR(__xludf.DUMMYFUNCTION("""COMPUTED_VALUE"""),45594.372205486114)</f>
        <v>45594.37221</v>
      </c>
      <c r="M65" s="17" t="str">
        <f>IFERROR(__xludf.DUMMYFUNCTION("""COMPUTED_VALUE"""),"")</f>
        <v/>
      </c>
      <c r="N65" s="17">
        <f>IFERROR(__xludf.DUMMYFUNCTION("""COMPUTED_VALUE"""),45594.37224686342)</f>
        <v>45594.37225</v>
      </c>
      <c r="O65" s="13">
        <f t="shared" si="1"/>
        <v>5</v>
      </c>
    </row>
    <row r="66" ht="22.5" customHeight="1">
      <c r="B66" s="13">
        <f>IFERROR(__xludf.DUMMYFUNCTION("""COMPUTED_VALUE"""),61.0)</f>
        <v>61</v>
      </c>
      <c r="C66" s="13" t="str">
        <f>IFERROR(__xludf.DUMMYFUNCTION("""COMPUTED_VALUE"""),"M.3314/KOTA KARANG")</f>
        <v>M.3314/KOTA KARANG</v>
      </c>
      <c r="D66" s="13" t="str">
        <f>IFERROR(__xludf.DUMMYFUNCTION("""COMPUTED_VALUE"""),"K/33/181024/1")</f>
        <v>K/33/181024/1</v>
      </c>
      <c r="E66" s="14" t="str">
        <f>IFERROR(__xludf.DUMMYFUNCTION("""COMPUTED_VALUE"""),"Afriza (BT)")</f>
        <v>Afriza (BT)</v>
      </c>
      <c r="F66" s="14" t="str">
        <f>IFERROR(__xludf.DUMMYFUNCTION("""COMPUTED_VALUE"""),"SELESAI (VIA PERMOHONAN)")</f>
        <v>SELESAI (VIA PERMOHONAN)</v>
      </c>
      <c r="G66" s="17">
        <f>IFERROR(__xludf.DUMMYFUNCTION("""COMPUTED_VALUE"""),45591.37119805555)</f>
        <v>45591.3712</v>
      </c>
      <c r="H66" s="14" t="str">
        <f>IFERROR(__xludf.DUMMYFUNCTION("""COMPUTED_VALUE"""),"Aprill (SU)")</f>
        <v>Aprill (SU)</v>
      </c>
      <c r="I66" s="13" t="str">
        <f>IFERROR(__xludf.DUMMYFUNCTION("""COMPUTED_VALUE"""),"SELESAI (VIA PERMOHONAN)")</f>
        <v>SELESAI (VIA PERMOHONAN)</v>
      </c>
      <c r="J66" s="17">
        <f>IFERROR(__xludf.DUMMYFUNCTION("""COMPUTED_VALUE"""),45594.405561168984)</f>
        <v>45594.40556</v>
      </c>
      <c r="K66" s="13" t="str">
        <f>IFERROR(__xludf.DUMMYFUNCTION("""COMPUTED_VALUE"""),"Selesai")</f>
        <v>Selesai</v>
      </c>
      <c r="L66" s="17">
        <f>IFERROR(__xludf.DUMMYFUNCTION("""COMPUTED_VALUE"""),45594.405561168984)</f>
        <v>45594.40556</v>
      </c>
      <c r="M66" s="17">
        <f>IFERROR(__xludf.DUMMYFUNCTION("""COMPUTED_VALUE"""),45594.40559055556)</f>
        <v>45594.40559</v>
      </c>
      <c r="N66" s="13" t="str">
        <f>IFERROR(__xludf.DUMMYFUNCTION("""COMPUTED_VALUE"""),"")</f>
        <v/>
      </c>
      <c r="O66" s="13" t="str">
        <f t="shared" si="1"/>
        <v/>
      </c>
    </row>
    <row r="67" ht="22.5" customHeight="1">
      <c r="B67" s="13">
        <f>IFERROR(__xludf.DUMMYFUNCTION("""COMPUTED_VALUE"""),62.0)</f>
        <v>62</v>
      </c>
      <c r="C67" s="13" t="str">
        <f>IFERROR(__xludf.DUMMYFUNCTION("""COMPUTED_VALUE"""),"M.14233/SEGALA MIDER")</f>
        <v>M.14233/SEGALA MIDER</v>
      </c>
      <c r="D67" s="13" t="str">
        <f>IFERROR(__xludf.DUMMYFUNCTION("""COMPUTED_VALUE"""),"L/10/251024/1")</f>
        <v>L/10/251024/1</v>
      </c>
      <c r="E67" s="14" t="str">
        <f>IFERROR(__xludf.DUMMYFUNCTION("""COMPUTED_VALUE"""),"Afriza (BT)")</f>
        <v>Afriza (BT)</v>
      </c>
      <c r="F67" s="14" t="str">
        <f>IFERROR(__xludf.DUMMYFUNCTION("""COMPUTED_VALUE"""),"SELESAI")</f>
        <v>SELESAI</v>
      </c>
      <c r="G67" s="17">
        <f>IFERROR(__xludf.DUMMYFUNCTION("""COMPUTED_VALUE"""),45593.52075561343)</f>
        <v>45593.52076</v>
      </c>
      <c r="H67" s="14" t="str">
        <f>IFERROR(__xludf.DUMMYFUNCTION("""COMPUTED_VALUE"""),"Bu Eva (SU)")</f>
        <v>Bu Eva (SU)</v>
      </c>
      <c r="I67" s="13" t="str">
        <f>IFERROR(__xludf.DUMMYFUNCTION("""COMPUTED_VALUE"""),"SELESAI")</f>
        <v>SELESAI</v>
      </c>
      <c r="J67" s="17">
        <f>IFERROR(__xludf.DUMMYFUNCTION("""COMPUTED_VALUE"""),45595.57029012732)</f>
        <v>45595.57029</v>
      </c>
      <c r="K67" s="13" t="str">
        <f>IFERROR(__xludf.DUMMYFUNCTION("""COMPUTED_VALUE"""),"SELESAI")</f>
        <v>SELESAI</v>
      </c>
      <c r="L67" s="17">
        <f>IFERROR(__xludf.DUMMYFUNCTION("""COMPUTED_VALUE"""),45595.57029012732)</f>
        <v>45595.57029</v>
      </c>
      <c r="M67" s="17" t="str">
        <f>IFERROR(__xludf.DUMMYFUNCTION("""COMPUTED_VALUE"""),"")</f>
        <v/>
      </c>
      <c r="N67" s="17">
        <f>IFERROR(__xludf.DUMMYFUNCTION("""COMPUTED_VALUE"""),45595.57031645833)</f>
        <v>45595.57032</v>
      </c>
      <c r="O67" s="13">
        <f t="shared" si="1"/>
        <v>1</v>
      </c>
    </row>
    <row r="68" ht="22.5" customHeight="1">
      <c r="B68" s="13">
        <f>IFERROR(__xludf.DUMMYFUNCTION("""COMPUTED_VALUE"""),63.0)</f>
        <v>63</v>
      </c>
      <c r="C68" s="13" t="str">
        <f>IFERROR(__xludf.DUMMYFUNCTION("""COMPUTED_VALUE"""),"B. 503/ Gunung Sulah")</f>
        <v>B. 503/ Gunung Sulah</v>
      </c>
      <c r="D68" s="13" t="str">
        <f>IFERROR(__xludf.DUMMYFUNCTION("""COMPUTED_VALUE"""),"K/31/251024/2")</f>
        <v>K/31/251024/2</v>
      </c>
      <c r="E68" s="14" t="str">
        <f>IFERROR(__xludf.DUMMYFUNCTION("""COMPUTED_VALUE"""),"Afriza (BT)")</f>
        <v>Afriza (BT)</v>
      </c>
      <c r="F68" s="14" t="str">
        <f>IFERROR(__xludf.DUMMYFUNCTION("""COMPUTED_VALUE"""),"SELESAI")</f>
        <v>SELESAI</v>
      </c>
      <c r="G68" s="17">
        <f>IFERROR(__xludf.DUMMYFUNCTION("""COMPUTED_VALUE"""),45593.553644803236)</f>
        <v>45593.55364</v>
      </c>
      <c r="H68" s="14" t="str">
        <f>IFERROR(__xludf.DUMMYFUNCTION("""COMPUTED_VALUE"""),"Aprill (SU)")</f>
        <v>Aprill (SU)</v>
      </c>
      <c r="I68" s="13" t="str">
        <f>IFERROR(__xludf.DUMMYFUNCTION("""COMPUTED_VALUE"""),"SELESAI")</f>
        <v>SELESAI</v>
      </c>
      <c r="J68" s="17">
        <f>IFERROR(__xludf.DUMMYFUNCTION("""COMPUTED_VALUE"""),45595.54838673611)</f>
        <v>45595.54839</v>
      </c>
      <c r="K68" s="13" t="str">
        <f>IFERROR(__xludf.DUMMYFUNCTION("""COMPUTED_VALUE"""),"SELESAI")</f>
        <v>SELESAI</v>
      </c>
      <c r="L68" s="17">
        <f>IFERROR(__xludf.DUMMYFUNCTION("""COMPUTED_VALUE"""),45595.54838673611)</f>
        <v>45595.54839</v>
      </c>
      <c r="M68" s="17" t="str">
        <f>IFERROR(__xludf.DUMMYFUNCTION("""COMPUTED_VALUE"""),"")</f>
        <v/>
      </c>
      <c r="N68" s="17">
        <f>IFERROR(__xludf.DUMMYFUNCTION("""COMPUTED_VALUE"""),45595.548419178245)</f>
        <v>45595.54842</v>
      </c>
      <c r="O68" s="13">
        <f t="shared" si="1"/>
        <v>2</v>
      </c>
    </row>
    <row r="69" ht="22.5" customHeight="1">
      <c r="B69" s="13">
        <f>IFERROR(__xludf.DUMMYFUNCTION("""COMPUTED_VALUE"""),64.0)</f>
        <v>64</v>
      </c>
      <c r="C69" s="13" t="str">
        <f>IFERROR(__xludf.DUMMYFUNCTION("""COMPUTED_VALUE"""),"HM 12867/TANJUNG BARU")</f>
        <v>HM 12867/TANJUNG BARU</v>
      </c>
      <c r="D69" s="13" t="str">
        <f>IFERROR(__xludf.DUMMYFUNCTION("""COMPUTED_VALUE"""),"L/9/251024/1")</f>
        <v>L/9/251024/1</v>
      </c>
      <c r="E69" s="14" t="str">
        <f>IFERROR(__xludf.DUMMYFUNCTION("""COMPUTED_VALUE"""),"Afriza (BT)")</f>
        <v>Afriza (BT)</v>
      </c>
      <c r="F69" s="14" t="str">
        <f>IFERROR(__xludf.DUMMYFUNCTION("""COMPUTED_VALUE"""),"SELESAI")</f>
        <v>SELESAI</v>
      </c>
      <c r="G69" s="17">
        <f>IFERROR(__xludf.DUMMYFUNCTION("""COMPUTED_VALUE"""),45593.58532834491)</f>
        <v>45593.58533</v>
      </c>
      <c r="H69" s="14" t="str">
        <f>IFERROR(__xludf.DUMMYFUNCTION("""COMPUTED_VALUE"""),"Bu Eva (SU)")</f>
        <v>Bu Eva (SU)</v>
      </c>
      <c r="I69" s="13" t="str">
        <f>IFERROR(__xludf.DUMMYFUNCTION("""COMPUTED_VALUE"""),"SELESAI")</f>
        <v>SELESAI</v>
      </c>
      <c r="J69" s="17">
        <f>IFERROR(__xludf.DUMMYFUNCTION("""COMPUTED_VALUE"""),45595.56651050926)</f>
        <v>45595.56651</v>
      </c>
      <c r="K69" s="13" t="str">
        <f>IFERROR(__xludf.DUMMYFUNCTION("""COMPUTED_VALUE"""),"SELESAI")</f>
        <v>SELESAI</v>
      </c>
      <c r="L69" s="17">
        <f>IFERROR(__xludf.DUMMYFUNCTION("""COMPUTED_VALUE"""),45595.56651050926)</f>
        <v>45595.56651</v>
      </c>
      <c r="M69" s="17" t="str">
        <f>IFERROR(__xludf.DUMMYFUNCTION("""COMPUTED_VALUE"""),"")</f>
        <v/>
      </c>
      <c r="N69" s="17">
        <f>IFERROR(__xludf.DUMMYFUNCTION("""COMPUTED_VALUE"""),45595.56655725694)</f>
        <v>45595.56656</v>
      </c>
      <c r="O69" s="13">
        <f t="shared" si="1"/>
        <v>3</v>
      </c>
    </row>
    <row r="70" ht="22.5" customHeight="1">
      <c r="B70" s="13">
        <f>IFERROR(__xludf.DUMMYFUNCTION("""COMPUTED_VALUE"""),65.0)</f>
        <v>65</v>
      </c>
      <c r="C70" s="13" t="str">
        <f>IFERROR(__xludf.DUMMYFUNCTION("""COMPUTED_VALUE"""),"M.990/DURIAN PAYUNG")</f>
        <v>M.990/DURIAN PAYUNG</v>
      </c>
      <c r="D70" s="13" t="str">
        <f>IFERROR(__xludf.DUMMYFUNCTION("""COMPUTED_VALUE"""),"K/13/251024/1")</f>
        <v>K/13/251024/1</v>
      </c>
      <c r="E70" s="14" t="str">
        <f>IFERROR(__xludf.DUMMYFUNCTION("""COMPUTED_VALUE"""),"Afriza (BT)")</f>
        <v>Afriza (BT)</v>
      </c>
      <c r="F70" s="14" t="str">
        <f>IFERROR(__xludf.DUMMYFUNCTION("""COMPUTED_VALUE"""),"SELESAI")</f>
        <v>SELESAI</v>
      </c>
      <c r="G70" s="17">
        <f>IFERROR(__xludf.DUMMYFUNCTION("""COMPUTED_VALUE"""),45593.59668495371)</f>
        <v>45593.59668</v>
      </c>
      <c r="H70" s="14" t="str">
        <f>IFERROR(__xludf.DUMMYFUNCTION("""COMPUTED_VALUE"""),"Bu Eva (SU)")</f>
        <v>Bu Eva (SU)</v>
      </c>
      <c r="I70" s="13" t="str">
        <f>IFERROR(__xludf.DUMMYFUNCTION("""COMPUTED_VALUE"""),"SELESAI")</f>
        <v>SELESAI</v>
      </c>
      <c r="J70" s="17">
        <f>IFERROR(__xludf.DUMMYFUNCTION("""COMPUTED_VALUE"""),45595.56527680556)</f>
        <v>45595.56528</v>
      </c>
      <c r="K70" s="13" t="str">
        <f>IFERROR(__xludf.DUMMYFUNCTION("""COMPUTED_VALUE"""),"SELESAI")</f>
        <v>SELESAI</v>
      </c>
      <c r="L70" s="17">
        <f>IFERROR(__xludf.DUMMYFUNCTION("""COMPUTED_VALUE"""),45595.56527680556)</f>
        <v>45595.56528</v>
      </c>
      <c r="M70" s="17" t="str">
        <f>IFERROR(__xludf.DUMMYFUNCTION("""COMPUTED_VALUE"""),"")</f>
        <v/>
      </c>
      <c r="N70" s="17">
        <f>IFERROR(__xludf.DUMMYFUNCTION("""COMPUTED_VALUE"""),45595.5653078125)</f>
        <v>45595.56531</v>
      </c>
      <c r="O70" s="13">
        <f t="shared" si="1"/>
        <v>4</v>
      </c>
    </row>
    <row r="71" ht="22.5" customHeight="1">
      <c r="B71" s="13">
        <f>IFERROR(__xludf.DUMMYFUNCTION("""COMPUTED_VALUE"""),66.0)</f>
        <v>66</v>
      </c>
      <c r="C71" s="13" t="str">
        <f>IFERROR(__xludf.DUMMYFUNCTION("""COMPUTED_VALUE"""),"HGB 254/CAMPANG RAYA")</f>
        <v>HGB 254/CAMPANG RAYA</v>
      </c>
      <c r="D71" s="13" t="str">
        <f>IFERROR(__xludf.DUMMYFUNCTION("""COMPUTED_VALUE"""),"L/34/251024/1")</f>
        <v>L/34/251024/1</v>
      </c>
      <c r="E71" s="14" t="str">
        <f>IFERROR(__xludf.DUMMYFUNCTION("""COMPUTED_VALUE"""),"Afriza (BT)")</f>
        <v>Afriza (BT)</v>
      </c>
      <c r="F71" s="14" t="str">
        <f>IFERROR(__xludf.DUMMYFUNCTION("""COMPUTED_VALUE"""),"SELESAI")</f>
        <v>SELESAI</v>
      </c>
      <c r="G71" s="17">
        <f>IFERROR(__xludf.DUMMYFUNCTION("""COMPUTED_VALUE"""),45593.63022961805)</f>
        <v>45593.63023</v>
      </c>
      <c r="H71" s="14" t="str">
        <f>IFERROR(__xludf.DUMMYFUNCTION("""COMPUTED_VALUE"""),"Bu Eva (SU)")</f>
        <v>Bu Eva (SU)</v>
      </c>
      <c r="I71" s="13" t="str">
        <f>IFERROR(__xludf.DUMMYFUNCTION("""COMPUTED_VALUE"""),"SELESAI")</f>
        <v>SELESAI</v>
      </c>
      <c r="J71" s="17">
        <f>IFERROR(__xludf.DUMMYFUNCTION("""COMPUTED_VALUE"""),45595.54944688657)</f>
        <v>45595.54945</v>
      </c>
      <c r="K71" s="13" t="str">
        <f>IFERROR(__xludf.DUMMYFUNCTION("""COMPUTED_VALUE"""),"SELESAI")</f>
        <v>SELESAI</v>
      </c>
      <c r="L71" s="17">
        <f>IFERROR(__xludf.DUMMYFUNCTION("""COMPUTED_VALUE"""),45595.54944688657)</f>
        <v>45595.54945</v>
      </c>
      <c r="M71" s="17" t="str">
        <f>IFERROR(__xludf.DUMMYFUNCTION("""COMPUTED_VALUE"""),"")</f>
        <v/>
      </c>
      <c r="N71" s="17">
        <f>IFERROR(__xludf.DUMMYFUNCTION("""COMPUTED_VALUE"""),45595.54949771991)</f>
        <v>45595.5495</v>
      </c>
      <c r="O71" s="13">
        <f t="shared" si="1"/>
        <v>5</v>
      </c>
    </row>
    <row r="72" ht="22.5" customHeight="1">
      <c r="B72" s="13">
        <f>IFERROR(__xludf.DUMMYFUNCTION("""COMPUTED_VALUE"""),67.0)</f>
        <v>67</v>
      </c>
      <c r="C72" s="13" t="str">
        <f>IFERROR(__xludf.DUMMYFUNCTION("""COMPUTED_VALUE"""),"M. 3227/Gunung Terang")</f>
        <v>M. 3227/Gunung Terang</v>
      </c>
      <c r="D72" s="13" t="str">
        <f>IFERROR(__xludf.DUMMYFUNCTION("""COMPUTED_VALUE"""),"K/37/251024/1")</f>
        <v>K/37/251024/1</v>
      </c>
      <c r="E72" s="14" t="str">
        <f>IFERROR(__xludf.DUMMYFUNCTION("""COMPUTED_VALUE"""),"Afriza (BT)")</f>
        <v>Afriza (BT)</v>
      </c>
      <c r="F72" s="14" t="str">
        <f>IFERROR(__xludf.DUMMYFUNCTION("""COMPUTED_VALUE"""),"SELESAI")</f>
        <v>SELESAI</v>
      </c>
      <c r="G72" s="17">
        <f>IFERROR(__xludf.DUMMYFUNCTION("""COMPUTED_VALUE"""),45594.61528614583)</f>
        <v>45594.61529</v>
      </c>
      <c r="H72" s="14" t="str">
        <f>IFERROR(__xludf.DUMMYFUNCTION("""COMPUTED_VALUE"""),"Bu Eva (SU)")</f>
        <v>Bu Eva (SU)</v>
      </c>
      <c r="I72" s="13" t="str">
        <f>IFERROR(__xludf.DUMMYFUNCTION("""COMPUTED_VALUE"""),"SELESAI")</f>
        <v>SELESAI</v>
      </c>
      <c r="J72" s="17">
        <f>IFERROR(__xludf.DUMMYFUNCTION("""COMPUTED_VALUE"""),45595.48598813657)</f>
        <v>45595.48599</v>
      </c>
      <c r="K72" s="13" t="str">
        <f>IFERROR(__xludf.DUMMYFUNCTION("""COMPUTED_VALUE"""),"SELESAI")</f>
        <v>SELESAI</v>
      </c>
      <c r="L72" s="17">
        <f>IFERROR(__xludf.DUMMYFUNCTION("""COMPUTED_VALUE"""),45595.48598813657)</f>
        <v>45595.48599</v>
      </c>
      <c r="M72" s="17" t="str">
        <f>IFERROR(__xludf.DUMMYFUNCTION("""COMPUTED_VALUE"""),"")</f>
        <v/>
      </c>
      <c r="N72" s="17">
        <f>IFERROR(__xludf.DUMMYFUNCTION("""COMPUTED_VALUE"""),45595.48602387731)</f>
        <v>45595.48602</v>
      </c>
      <c r="O72" s="13">
        <f t="shared" si="1"/>
        <v>6</v>
      </c>
    </row>
    <row r="73" ht="22.5" customHeight="1">
      <c r="B73" s="13">
        <f>IFERROR(__xludf.DUMMYFUNCTION("""COMPUTED_VALUE"""),68.0)</f>
        <v>68</v>
      </c>
      <c r="C73" s="13" t="str">
        <f>IFERROR(__xludf.DUMMYFUNCTION("""COMPUTED_VALUE"""),"M. 9417/ Sidodadi")</f>
        <v>M. 9417/ Sidodadi</v>
      </c>
      <c r="D73" s="13" t="str">
        <f>IFERROR(__xludf.DUMMYFUNCTION("""COMPUTED_VALUE"""),"K/15/281024/1")</f>
        <v>K/15/281024/1</v>
      </c>
      <c r="E73" s="14" t="str">
        <f>IFERROR(__xludf.DUMMYFUNCTION("""COMPUTED_VALUE"""),"Afriza (BT)")</f>
        <v>Afriza (BT)</v>
      </c>
      <c r="F73" s="14" t="str">
        <f>IFERROR(__xludf.DUMMYFUNCTION("""COMPUTED_VALUE"""),"SELESAI")</f>
        <v>SELESAI</v>
      </c>
      <c r="G73" s="17">
        <f>IFERROR(__xludf.DUMMYFUNCTION("""COMPUTED_VALUE"""),45594.61537141204)</f>
        <v>45594.61537</v>
      </c>
      <c r="H73" s="14" t="str">
        <f>IFERROR(__xludf.DUMMYFUNCTION("""COMPUTED_VALUE"""),"Bu Eva (SU)")</f>
        <v>Bu Eva (SU)</v>
      </c>
      <c r="I73" s="13" t="str">
        <f>IFERROR(__xludf.DUMMYFUNCTION("""COMPUTED_VALUE"""),"SELESAI")</f>
        <v>SELESAI</v>
      </c>
      <c r="J73" s="17">
        <f>IFERROR(__xludf.DUMMYFUNCTION("""COMPUTED_VALUE"""),45595.48790385417)</f>
        <v>45595.4879</v>
      </c>
      <c r="K73" s="13" t="str">
        <f>IFERROR(__xludf.DUMMYFUNCTION("""COMPUTED_VALUE"""),"SELESAI")</f>
        <v>SELESAI</v>
      </c>
      <c r="L73" s="17">
        <f>IFERROR(__xludf.DUMMYFUNCTION("""COMPUTED_VALUE"""),45595.48790385417)</f>
        <v>45595.4879</v>
      </c>
      <c r="M73" s="17" t="str">
        <f>IFERROR(__xludf.DUMMYFUNCTION("""COMPUTED_VALUE"""),"")</f>
        <v/>
      </c>
      <c r="N73" s="17">
        <f>IFERROR(__xludf.DUMMYFUNCTION("""COMPUTED_VALUE"""),45595.488282986116)</f>
        <v>45595.48828</v>
      </c>
      <c r="O73" s="13">
        <f t="shared" si="1"/>
        <v>7</v>
      </c>
    </row>
    <row r="74" ht="22.5" customHeight="1">
      <c r="B74" s="13">
        <f>IFERROR(__xludf.DUMMYFUNCTION("""COMPUTED_VALUE"""),69.0)</f>
        <v>69</v>
      </c>
      <c r="C74" s="13" t="str">
        <f>IFERROR(__xludf.DUMMYFUNCTION("""COMPUTED_VALUE"""),"M.739/NOG")</f>
        <v>M.739/NOG</v>
      </c>
      <c r="D74" s="13" t="str">
        <f>IFERROR(__xludf.DUMMYFUNCTION("""COMPUTED_VALUE"""),"L/16/281024/1")</f>
        <v>L/16/281024/1</v>
      </c>
      <c r="E74" s="14" t="str">
        <f>IFERROR(__xludf.DUMMYFUNCTION("""COMPUTED_VALUE"""),"Afriza (BT)")</f>
        <v>Afriza (BT)</v>
      </c>
      <c r="F74" s="14" t="str">
        <f>IFERROR(__xludf.DUMMYFUNCTION("""COMPUTED_VALUE"""),"SELESAI")</f>
        <v>SELESAI</v>
      </c>
      <c r="G74" s="17">
        <f>IFERROR(__xludf.DUMMYFUNCTION("""COMPUTED_VALUE"""),45594.61549012731)</f>
        <v>45594.61549</v>
      </c>
      <c r="H74" s="14" t="str">
        <f>IFERROR(__xludf.DUMMYFUNCTION("""COMPUTED_VALUE"""),"Bu Eva (SU)")</f>
        <v>Bu Eva (SU)</v>
      </c>
      <c r="I74" s="13" t="str">
        <f>IFERROR(__xludf.DUMMYFUNCTION("""COMPUTED_VALUE"""),"SELESAI")</f>
        <v>SELESAI</v>
      </c>
      <c r="J74" s="17">
        <f>IFERROR(__xludf.DUMMYFUNCTION("""COMPUTED_VALUE"""),45595.48856395834)</f>
        <v>45595.48856</v>
      </c>
      <c r="K74" s="13" t="str">
        <f>IFERROR(__xludf.DUMMYFUNCTION("""COMPUTED_VALUE"""),"SELESAI")</f>
        <v>SELESAI</v>
      </c>
      <c r="L74" s="17">
        <f>IFERROR(__xludf.DUMMYFUNCTION("""COMPUTED_VALUE"""),45595.48856395834)</f>
        <v>45595.48856</v>
      </c>
      <c r="M74" s="17" t="str">
        <f>IFERROR(__xludf.DUMMYFUNCTION("""COMPUTED_VALUE"""),"")</f>
        <v/>
      </c>
      <c r="N74" s="17">
        <f>IFERROR(__xludf.DUMMYFUNCTION("""COMPUTED_VALUE"""),45595.488582245365)</f>
        <v>45595.48858</v>
      </c>
      <c r="O74" s="13">
        <f t="shared" si="1"/>
        <v>8</v>
      </c>
    </row>
    <row r="75" ht="22.5" customHeight="1">
      <c r="B75" s="13">
        <f>IFERROR(__xludf.DUMMYFUNCTION("""COMPUTED_VALUE"""),70.0)</f>
        <v>70</v>
      </c>
      <c r="C75" s="13" t="str">
        <f>IFERROR(__xludf.DUMMYFUNCTION("""COMPUTED_VALUE"""),"B. 903/ Kemiling Permai")</f>
        <v>B. 903/ Kemiling Permai</v>
      </c>
      <c r="D75" s="13" t="str">
        <f>IFERROR(__xludf.DUMMYFUNCTION("""COMPUTED_VALUE"""),"K/40/281024/1")</f>
        <v>K/40/281024/1</v>
      </c>
      <c r="E75" s="14" t="str">
        <f>IFERROR(__xludf.DUMMYFUNCTION("""COMPUTED_VALUE"""),"Afriza (BT)")</f>
        <v>Afriza (BT)</v>
      </c>
      <c r="F75" s="14" t="str">
        <f>IFERROR(__xludf.DUMMYFUNCTION("""COMPUTED_VALUE"""),"SELESAI")</f>
        <v>SELESAI</v>
      </c>
      <c r="G75" s="17">
        <f>IFERROR(__xludf.DUMMYFUNCTION("""COMPUTED_VALUE"""),45594.61586658565)</f>
        <v>45594.61587</v>
      </c>
      <c r="H75" s="14" t="str">
        <f>IFERROR(__xludf.DUMMYFUNCTION("""COMPUTED_VALUE"""),"Bu Eva (SU)")</f>
        <v>Bu Eva (SU)</v>
      </c>
      <c r="I75" s="13" t="str">
        <f>IFERROR(__xludf.DUMMYFUNCTION("""COMPUTED_VALUE"""),"SELESAI")</f>
        <v>SELESAI</v>
      </c>
      <c r="J75" s="17">
        <f>IFERROR(__xludf.DUMMYFUNCTION("""COMPUTED_VALUE"""),45595.48632949074)</f>
        <v>45595.48633</v>
      </c>
      <c r="K75" s="13" t="str">
        <f>IFERROR(__xludf.DUMMYFUNCTION("""COMPUTED_VALUE"""),"SELESAI")</f>
        <v>SELESAI</v>
      </c>
      <c r="L75" s="17">
        <f>IFERROR(__xludf.DUMMYFUNCTION("""COMPUTED_VALUE"""),45595.48632949074)</f>
        <v>45595.48633</v>
      </c>
      <c r="M75" s="17">
        <f>IFERROR(__xludf.DUMMYFUNCTION("""COMPUTED_VALUE"""),45603.41693021991)</f>
        <v>45603.41693</v>
      </c>
      <c r="N75" s="17">
        <f>IFERROR(__xludf.DUMMYFUNCTION("""COMPUTED_VALUE"""),45595.486369363425)</f>
        <v>45595.48637</v>
      </c>
      <c r="O75" s="13">
        <f t="shared" si="1"/>
        <v>9</v>
      </c>
    </row>
    <row r="76" ht="22.5" customHeight="1">
      <c r="B76" s="13">
        <f>IFERROR(__xludf.DUMMYFUNCTION("""COMPUTED_VALUE"""),71.0)</f>
        <v>71</v>
      </c>
      <c r="C76" s="13" t="str">
        <f>IFERROR(__xludf.DUMMYFUNCTION("""COMPUTED_VALUE"""),"M. 652/ PINANG JAYA")</f>
        <v>M. 652/ PINANG JAYA</v>
      </c>
      <c r="D76" s="13" t="str">
        <f>IFERROR(__xludf.DUMMYFUNCTION("""COMPUTED_VALUE"""),"K/21/151024/1")</f>
        <v>K/21/151024/1</v>
      </c>
      <c r="E76" s="14" t="str">
        <f>IFERROR(__xludf.DUMMYFUNCTION("""COMPUTED_VALUE"""),"Afriza (BT)")</f>
        <v>Afriza (BT)</v>
      </c>
      <c r="F76" s="14" t="str">
        <f>IFERROR(__xludf.DUMMYFUNCTION("""COMPUTED_VALUE"""),"SELESAI (VIA PERMOHONAN)")</f>
        <v>SELESAI (VIA PERMOHONAN)</v>
      </c>
      <c r="G76" s="17">
        <f>IFERROR(__xludf.DUMMYFUNCTION("""COMPUTED_VALUE"""),45594.66283952547)</f>
        <v>45594.66284</v>
      </c>
      <c r="H76" s="14" t="str">
        <f>IFERROR(__xludf.DUMMYFUNCTION("""COMPUTED_VALUE"""),"Bu Eva (SU)")</f>
        <v>Bu Eva (SU)</v>
      </c>
      <c r="I76" s="13" t="str">
        <f>IFERROR(__xludf.DUMMYFUNCTION("""COMPUTED_VALUE"""),"SELESAI (VIA PERMOHONAN)")</f>
        <v>SELESAI (VIA PERMOHONAN)</v>
      </c>
      <c r="J76" s="17">
        <f>IFERROR(__xludf.DUMMYFUNCTION("""COMPUTED_VALUE"""),45594.70446359954)</f>
        <v>45594.70446</v>
      </c>
      <c r="K76" s="13" t="str">
        <f>IFERROR(__xludf.DUMMYFUNCTION("""COMPUTED_VALUE"""),"Selesai")</f>
        <v>Selesai</v>
      </c>
      <c r="L76" s="17">
        <f>IFERROR(__xludf.DUMMYFUNCTION("""COMPUTED_VALUE"""),45594.70446359954)</f>
        <v>45594.70446</v>
      </c>
      <c r="M76" s="17">
        <f>IFERROR(__xludf.DUMMYFUNCTION("""COMPUTED_VALUE"""),45594.70450315972)</f>
        <v>45594.7045</v>
      </c>
      <c r="N76" s="13" t="str">
        <f>IFERROR(__xludf.DUMMYFUNCTION("""COMPUTED_VALUE"""),"")</f>
        <v/>
      </c>
      <c r="O76" s="13" t="str">
        <f t="shared" si="1"/>
        <v/>
      </c>
    </row>
    <row r="77" ht="22.5" customHeight="1">
      <c r="B77" s="13">
        <f>IFERROR(__xludf.DUMMYFUNCTION("""COMPUTED_VALUE"""),72.0)</f>
        <v>72</v>
      </c>
      <c r="C77" s="13" t="str">
        <f>IFERROR(__xludf.DUMMYFUNCTION("""COMPUTED_VALUE"""),"B.1072/CAMPANG JAYA")</f>
        <v>B.1072/CAMPANG JAYA</v>
      </c>
      <c r="D77" s="13" t="str">
        <f>IFERROR(__xludf.DUMMYFUNCTION("""COMPUTED_VALUE"""),"L/32/231024/1")</f>
        <v>L/32/231024/1</v>
      </c>
      <c r="E77" s="14" t="str">
        <f>IFERROR(__xludf.DUMMYFUNCTION("""COMPUTED_VALUE"""),"Afriza (BT)")</f>
        <v>Afriza (BT)</v>
      </c>
      <c r="F77" s="14" t="str">
        <f>IFERROR(__xludf.DUMMYFUNCTION("""COMPUTED_VALUE"""),"SELESAI (VIA PERMOHONAN)")</f>
        <v>SELESAI (VIA PERMOHONAN)</v>
      </c>
      <c r="G77" s="17">
        <f>IFERROR(__xludf.DUMMYFUNCTION("""COMPUTED_VALUE"""),45594.66440173611)</f>
        <v>45594.6644</v>
      </c>
      <c r="H77" s="14" t="str">
        <f>IFERROR(__xludf.DUMMYFUNCTION("""COMPUTED_VALUE"""),"Aprill (SU)")</f>
        <v>Aprill (SU)</v>
      </c>
      <c r="I77" s="13" t="str">
        <f>IFERROR(__xludf.DUMMYFUNCTION("""COMPUTED_VALUE"""),"SELESAI (VIA PERMOHONAN)")</f>
        <v>SELESAI (VIA PERMOHONAN)</v>
      </c>
      <c r="J77" s="17">
        <f>IFERROR(__xludf.DUMMYFUNCTION("""COMPUTED_VALUE"""),45595.57007613426)</f>
        <v>45595.57008</v>
      </c>
      <c r="K77" s="13" t="str">
        <f>IFERROR(__xludf.DUMMYFUNCTION("""COMPUTED_VALUE"""),"Selesai")</f>
        <v>Selesai</v>
      </c>
      <c r="L77" s="17">
        <f>IFERROR(__xludf.DUMMYFUNCTION("""COMPUTED_VALUE"""),45595.57007613426)</f>
        <v>45595.57008</v>
      </c>
      <c r="M77" s="17">
        <f>IFERROR(__xludf.DUMMYFUNCTION("""COMPUTED_VALUE"""),45595.57009165509)</f>
        <v>45595.57009</v>
      </c>
      <c r="N77" s="13" t="str">
        <f>IFERROR(__xludf.DUMMYFUNCTION("""COMPUTED_VALUE"""),"")</f>
        <v/>
      </c>
      <c r="O77" s="13" t="str">
        <f t="shared" si="1"/>
        <v/>
      </c>
    </row>
    <row r="78" ht="22.5" customHeight="1">
      <c r="B78" s="13">
        <f>IFERROR(__xludf.DUMMYFUNCTION("""COMPUTED_VALUE"""),73.0)</f>
        <v>73</v>
      </c>
      <c r="C78" s="13" t="str">
        <f>IFERROR(__xludf.DUMMYFUNCTION("""COMPUTED_VALUE"""),"M.2112 SUMBEREJO/KEMILING")</f>
        <v>M.2112 SUMBEREJO/KEMILING</v>
      </c>
      <c r="D78" s="13" t="str">
        <f>IFERROR(__xludf.DUMMYFUNCTION("""COMPUTED_VALUE"""),"L/31/281024/1")</f>
        <v>L/31/281024/1</v>
      </c>
      <c r="E78" s="14" t="str">
        <f>IFERROR(__xludf.DUMMYFUNCTION("""COMPUTED_VALUE"""),"Nadian (BT)")</f>
        <v>Nadian (BT)</v>
      </c>
      <c r="F78" s="14" t="str">
        <f>IFERROR(__xludf.DUMMYFUNCTION("""COMPUTED_VALUE"""),"SELESAI")</f>
        <v>SELESAI</v>
      </c>
      <c r="G78" s="17">
        <f>IFERROR(__xludf.DUMMYFUNCTION("""COMPUTED_VALUE"""),45594.67371525463)</f>
        <v>45594.67372</v>
      </c>
      <c r="H78" s="14" t="str">
        <f>IFERROR(__xludf.DUMMYFUNCTION("""COMPUTED_VALUE"""),"Aprill (SU)")</f>
        <v>Aprill (SU)</v>
      </c>
      <c r="I78" s="13" t="str">
        <f>IFERROR(__xludf.DUMMYFUNCTION("""COMPUTED_VALUE"""),"SELESAI")</f>
        <v>SELESAI</v>
      </c>
      <c r="J78" s="17">
        <f>IFERROR(__xludf.DUMMYFUNCTION("""COMPUTED_VALUE"""),45595.49148109954)</f>
        <v>45595.49148</v>
      </c>
      <c r="K78" s="13" t="str">
        <f>IFERROR(__xludf.DUMMYFUNCTION("""COMPUTED_VALUE"""),"SELESAI")</f>
        <v>SELESAI</v>
      </c>
      <c r="L78" s="17">
        <f>IFERROR(__xludf.DUMMYFUNCTION("""COMPUTED_VALUE"""),45595.49148109954)</f>
        <v>45595.49148</v>
      </c>
      <c r="M78" s="17" t="str">
        <f>IFERROR(__xludf.DUMMYFUNCTION("""COMPUTED_VALUE"""),"")</f>
        <v/>
      </c>
      <c r="N78" s="17">
        <f>IFERROR(__xludf.DUMMYFUNCTION("""COMPUTED_VALUE"""),45595.4915246412)</f>
        <v>45595.49152</v>
      </c>
      <c r="O78" s="13">
        <f t="shared" si="1"/>
        <v>1</v>
      </c>
    </row>
    <row r="79" ht="22.5" customHeight="1">
      <c r="B79" s="13">
        <f>IFERROR(__xludf.DUMMYFUNCTION("""COMPUTED_VALUE"""),74.0)</f>
        <v>74</v>
      </c>
      <c r="C79" s="13" t="str">
        <f>IFERROR(__xludf.DUMMYFUNCTION("""COMPUTED_VALUE"""),"B.244/LRR;B.28/LR-DAHULU")</f>
        <v>B.244/LRR;B.28/LR-DAHULU</v>
      </c>
      <c r="D79" s="13" t="str">
        <f>IFERROR(__xludf.DUMMYFUNCTION("""COMPUTED_VALUE"""),"L/32/281024/1")</f>
        <v>L/32/281024/1</v>
      </c>
      <c r="E79" s="14" t="str">
        <f>IFERROR(__xludf.DUMMYFUNCTION("""COMPUTED_VALUE"""),"Nadian (BT)")</f>
        <v>Nadian (BT)</v>
      </c>
      <c r="F79" s="14" t="str">
        <f>IFERROR(__xludf.DUMMYFUNCTION("""COMPUTED_VALUE"""),"SELESAI")</f>
        <v>SELESAI</v>
      </c>
      <c r="G79" s="17">
        <f>IFERROR(__xludf.DUMMYFUNCTION("""COMPUTED_VALUE"""),45594.67391582176)</f>
        <v>45594.67392</v>
      </c>
      <c r="H79" s="14" t="str">
        <f>IFERROR(__xludf.DUMMYFUNCTION("""COMPUTED_VALUE"""),"Aprill (SU)")</f>
        <v>Aprill (SU)</v>
      </c>
      <c r="I79" s="13" t="str">
        <f>IFERROR(__xludf.DUMMYFUNCTION("""COMPUTED_VALUE"""),"SELESAI")</f>
        <v>SELESAI</v>
      </c>
      <c r="J79" s="17">
        <f>IFERROR(__xludf.DUMMYFUNCTION("""COMPUTED_VALUE"""),45595.494501099536)</f>
        <v>45595.4945</v>
      </c>
      <c r="K79" s="13" t="str">
        <f>IFERROR(__xludf.DUMMYFUNCTION("""COMPUTED_VALUE"""),"SELESAI")</f>
        <v>SELESAI</v>
      </c>
      <c r="L79" s="17">
        <f>IFERROR(__xludf.DUMMYFUNCTION("""COMPUTED_VALUE"""),45595.494501099536)</f>
        <v>45595.4945</v>
      </c>
      <c r="M79" s="17" t="str">
        <f>IFERROR(__xludf.DUMMYFUNCTION("""COMPUTED_VALUE"""),"")</f>
        <v/>
      </c>
      <c r="N79" s="17">
        <f>IFERROR(__xludf.DUMMYFUNCTION("""COMPUTED_VALUE"""),45595.4945334838)</f>
        <v>45595.49453</v>
      </c>
      <c r="O79" s="13">
        <f t="shared" si="1"/>
        <v>2</v>
      </c>
    </row>
    <row r="80" ht="22.5" customHeight="1">
      <c r="B80" s="13">
        <f>IFERROR(__xludf.DUMMYFUNCTION("""COMPUTED_VALUE"""),75.0)</f>
        <v>75</v>
      </c>
      <c r="C80" s="13" t="str">
        <f>IFERROR(__xludf.DUMMYFUNCTION("""COMPUTED_VALUE"""),"B.161/LRR;B.161/LR-DAHULU")</f>
        <v>B.161/LRR;B.161/LR-DAHULU</v>
      </c>
      <c r="D80" s="13" t="str">
        <f>IFERROR(__xludf.DUMMYFUNCTION("""COMPUTED_VALUE"""),"L/33/281024/2")</f>
        <v>L/33/281024/2</v>
      </c>
      <c r="E80" s="14" t="str">
        <f>IFERROR(__xludf.DUMMYFUNCTION("""COMPUTED_VALUE"""),"Nadian (BT)")</f>
        <v>Nadian (BT)</v>
      </c>
      <c r="F80" s="14" t="str">
        <f>IFERROR(__xludf.DUMMYFUNCTION("""COMPUTED_VALUE"""),"SELESAI")</f>
        <v>SELESAI</v>
      </c>
      <c r="G80" s="17">
        <f>IFERROR(__xludf.DUMMYFUNCTION("""COMPUTED_VALUE"""),45594.67405741898)</f>
        <v>45594.67406</v>
      </c>
      <c r="H80" s="14" t="str">
        <f>IFERROR(__xludf.DUMMYFUNCTION("""COMPUTED_VALUE"""),"Aprill (SU)")</f>
        <v>Aprill (SU)</v>
      </c>
      <c r="I80" s="13" t="str">
        <f>IFERROR(__xludf.DUMMYFUNCTION("""COMPUTED_VALUE"""),"SELESAI")</f>
        <v>SELESAI</v>
      </c>
      <c r="J80" s="17">
        <f>IFERROR(__xludf.DUMMYFUNCTION("""COMPUTED_VALUE"""),45595.49256665509)</f>
        <v>45595.49257</v>
      </c>
      <c r="K80" s="13" t="str">
        <f>IFERROR(__xludf.DUMMYFUNCTION("""COMPUTED_VALUE"""),"SELESAI")</f>
        <v>SELESAI</v>
      </c>
      <c r="L80" s="17">
        <f>IFERROR(__xludf.DUMMYFUNCTION("""COMPUTED_VALUE"""),45595.49256665509)</f>
        <v>45595.49257</v>
      </c>
      <c r="M80" s="17" t="str">
        <f>IFERROR(__xludf.DUMMYFUNCTION("""COMPUTED_VALUE"""),"")</f>
        <v/>
      </c>
      <c r="N80" s="17">
        <f>IFERROR(__xludf.DUMMYFUNCTION("""COMPUTED_VALUE"""),45595.49260116898)</f>
        <v>45595.4926</v>
      </c>
      <c r="O80" s="13">
        <f t="shared" si="1"/>
        <v>3</v>
      </c>
    </row>
    <row r="81" ht="22.5" customHeight="1">
      <c r="B81" s="13">
        <f>IFERROR(__xludf.DUMMYFUNCTION("""COMPUTED_VALUE"""),76.0)</f>
        <v>76</v>
      </c>
      <c r="C81" s="13" t="str">
        <f>IFERROR(__xludf.DUMMYFUNCTION("""COMPUTED_VALUE"""),"M.15567/S I")</f>
        <v>M.15567/S I</v>
      </c>
      <c r="D81" s="13" t="str">
        <f>IFERROR(__xludf.DUMMYFUNCTION("""COMPUTED_VALUE"""),"L/26/251024/1")</f>
        <v>L/26/251024/1</v>
      </c>
      <c r="E81" s="14" t="str">
        <f>IFERROR(__xludf.DUMMYFUNCTION("""COMPUTED_VALUE"""),"Nadian (BT)")</f>
        <v>Nadian (BT)</v>
      </c>
      <c r="F81" s="14" t="str">
        <f>IFERROR(__xludf.DUMMYFUNCTION("""COMPUTED_VALUE"""),"SELESAI")</f>
        <v>SELESAI</v>
      </c>
      <c r="G81" s="17">
        <f>IFERROR(__xludf.DUMMYFUNCTION("""COMPUTED_VALUE"""),45594.674276087964)</f>
        <v>45594.67428</v>
      </c>
      <c r="H81" s="14" t="str">
        <f>IFERROR(__xludf.DUMMYFUNCTION("""COMPUTED_VALUE"""),"Aprill (SU)")</f>
        <v>Aprill (SU)</v>
      </c>
      <c r="I81" s="13" t="str">
        <f>IFERROR(__xludf.DUMMYFUNCTION("""COMPUTED_VALUE"""),"SELESAI")</f>
        <v>SELESAI</v>
      </c>
      <c r="J81" s="17">
        <f>IFERROR(__xludf.DUMMYFUNCTION("""COMPUTED_VALUE"""),45595.49600854167)</f>
        <v>45595.49601</v>
      </c>
      <c r="K81" s="13" t="str">
        <f>IFERROR(__xludf.DUMMYFUNCTION("""COMPUTED_VALUE"""),"SELESAI")</f>
        <v>SELESAI</v>
      </c>
      <c r="L81" s="17">
        <f>IFERROR(__xludf.DUMMYFUNCTION("""COMPUTED_VALUE"""),45595.49600854167)</f>
        <v>45595.49601</v>
      </c>
      <c r="M81" s="17" t="str">
        <f>IFERROR(__xludf.DUMMYFUNCTION("""COMPUTED_VALUE"""),"")</f>
        <v/>
      </c>
      <c r="N81" s="17">
        <f>IFERROR(__xludf.DUMMYFUNCTION("""COMPUTED_VALUE"""),45595.49606052083)</f>
        <v>45595.49606</v>
      </c>
      <c r="O81" s="13">
        <f t="shared" si="1"/>
        <v>4</v>
      </c>
    </row>
    <row r="82" ht="22.5" customHeight="1">
      <c r="B82" s="13">
        <f>IFERROR(__xludf.DUMMYFUNCTION("""COMPUTED_VALUE"""),77.0)</f>
        <v>77</v>
      </c>
      <c r="C82" s="13" t="str">
        <f>IFERROR(__xludf.DUMMYFUNCTION("""COMPUTED_VALUE"""),"HGB 208/PWK")</f>
        <v>HGB 208/PWK</v>
      </c>
      <c r="D82" s="13" t="str">
        <f>IFERROR(__xludf.DUMMYFUNCTION("""COMPUTED_VALUE"""),"L/1/261024/1")</f>
        <v>L/1/261024/1</v>
      </c>
      <c r="E82" s="14" t="str">
        <f>IFERROR(__xludf.DUMMYFUNCTION("""COMPUTED_VALUE"""),"Nadian (BT)")</f>
        <v>Nadian (BT)</v>
      </c>
      <c r="F82" s="14" t="str">
        <f>IFERROR(__xludf.DUMMYFUNCTION("""COMPUTED_VALUE"""),"SELESAI")</f>
        <v>SELESAI</v>
      </c>
      <c r="G82" s="17">
        <f>IFERROR(__xludf.DUMMYFUNCTION("""COMPUTED_VALUE"""),45594.67443677083)</f>
        <v>45594.67444</v>
      </c>
      <c r="H82" s="14" t="str">
        <f>IFERROR(__xludf.DUMMYFUNCTION("""COMPUTED_VALUE"""),"Aprill (SU)")</f>
        <v>Aprill (SU)</v>
      </c>
      <c r="I82" s="13" t="str">
        <f>IFERROR(__xludf.DUMMYFUNCTION("""COMPUTED_VALUE"""),"SELESAI")</f>
        <v>SELESAI</v>
      </c>
      <c r="J82" s="17">
        <f>IFERROR(__xludf.DUMMYFUNCTION("""COMPUTED_VALUE"""),45595.49636207176)</f>
        <v>45595.49636</v>
      </c>
      <c r="K82" s="13" t="str">
        <f>IFERROR(__xludf.DUMMYFUNCTION("""COMPUTED_VALUE"""),"SELESAI")</f>
        <v>SELESAI</v>
      </c>
      <c r="L82" s="17">
        <f>IFERROR(__xludf.DUMMYFUNCTION("""COMPUTED_VALUE"""),45595.49636207176)</f>
        <v>45595.49636</v>
      </c>
      <c r="M82" s="17" t="str">
        <f>IFERROR(__xludf.DUMMYFUNCTION("""COMPUTED_VALUE"""),"")</f>
        <v/>
      </c>
      <c r="N82" s="17">
        <f>IFERROR(__xludf.DUMMYFUNCTION("""COMPUTED_VALUE"""),45595.49641577546)</f>
        <v>45595.49642</v>
      </c>
      <c r="O82" s="13">
        <f t="shared" si="1"/>
        <v>5</v>
      </c>
    </row>
    <row r="83" ht="22.5" customHeight="1">
      <c r="B83" s="13">
        <f>IFERROR(__xludf.DUMMYFUNCTION("""COMPUTED_VALUE"""),78.0)</f>
        <v>78</v>
      </c>
      <c r="C83" s="13" t="str">
        <f>IFERROR(__xludf.DUMMYFUNCTION("""COMPUTED_VALUE"""),"M.231/CAMPANG JAYA-SEKARANG;M.231/NUSANTARA PERMAI-DAHULU")</f>
        <v>M.231/CAMPANG JAYA-SEKARANG;M.231/NUSANTARA PERMAI-DAHULU</v>
      </c>
      <c r="D83" s="13" t="str">
        <f>IFERROR(__xludf.DUMMYFUNCTION("""COMPUTED_VALUE"""),"K/19/281024/1")</f>
        <v>K/19/281024/1</v>
      </c>
      <c r="E83" s="14" t="str">
        <f>IFERROR(__xludf.DUMMYFUNCTION("""COMPUTED_VALUE"""),"Nadian (BT)")</f>
        <v>Nadian (BT)</v>
      </c>
      <c r="F83" s="14" t="str">
        <f>IFERROR(__xludf.DUMMYFUNCTION("""COMPUTED_VALUE"""),"SELESAI")</f>
        <v>SELESAI</v>
      </c>
      <c r="G83" s="17">
        <f>IFERROR(__xludf.DUMMYFUNCTION("""COMPUTED_VALUE"""),45594.67485768518)</f>
        <v>45594.67486</v>
      </c>
      <c r="H83" s="14" t="str">
        <f>IFERROR(__xludf.DUMMYFUNCTION("""COMPUTED_VALUE"""),"Aprill (SU)")</f>
        <v>Aprill (SU)</v>
      </c>
      <c r="I83" s="13" t="str">
        <f>IFERROR(__xludf.DUMMYFUNCTION("""COMPUTED_VALUE"""),"SELESAI")</f>
        <v>SELESAI</v>
      </c>
      <c r="J83" s="17">
        <f>IFERROR(__xludf.DUMMYFUNCTION("""COMPUTED_VALUE"""),45595.491182673606)</f>
        <v>45595.49118</v>
      </c>
      <c r="K83" s="13" t="str">
        <f>IFERROR(__xludf.DUMMYFUNCTION("""COMPUTED_VALUE"""),"SELESAI")</f>
        <v>SELESAI</v>
      </c>
      <c r="L83" s="17">
        <f>IFERROR(__xludf.DUMMYFUNCTION("""COMPUTED_VALUE"""),45595.491182673606)</f>
        <v>45595.49118</v>
      </c>
      <c r="M83" s="17" t="str">
        <f>IFERROR(__xludf.DUMMYFUNCTION("""COMPUTED_VALUE"""),"")</f>
        <v/>
      </c>
      <c r="N83" s="17">
        <f>IFERROR(__xludf.DUMMYFUNCTION("""COMPUTED_VALUE"""),45595.49122361111)</f>
        <v>45595.49122</v>
      </c>
      <c r="O83" s="13">
        <f t="shared" si="1"/>
        <v>6</v>
      </c>
    </row>
    <row r="84" ht="22.5" customHeight="1">
      <c r="B84" s="13">
        <f>IFERROR(__xludf.DUMMYFUNCTION("""COMPUTED_VALUE"""),79.0)</f>
        <v>79</v>
      </c>
      <c r="C84" s="13" t="str">
        <f>IFERROR(__xludf.DUMMYFUNCTION("""COMPUTED_VALUE"""),"HGB 3734/BERINGIN RAYA")</f>
        <v>HGB 3734/BERINGIN RAYA</v>
      </c>
      <c r="D84" s="13" t="str">
        <f>IFERROR(__xludf.DUMMYFUNCTION("""COMPUTED_VALUE"""),"L/22/281024/1")</f>
        <v>L/22/281024/1</v>
      </c>
      <c r="E84" s="14" t="str">
        <f>IFERROR(__xludf.DUMMYFUNCTION("""COMPUTED_VALUE"""),"Nadian (BT)")</f>
        <v>Nadian (BT)</v>
      </c>
      <c r="F84" s="14" t="str">
        <f>IFERROR(__xludf.DUMMYFUNCTION("""COMPUTED_VALUE"""),"SELESAI")</f>
        <v>SELESAI</v>
      </c>
      <c r="G84" s="17">
        <f>IFERROR(__xludf.DUMMYFUNCTION("""COMPUTED_VALUE"""),45594.67507744213)</f>
        <v>45594.67508</v>
      </c>
      <c r="H84" s="14" t="str">
        <f>IFERROR(__xludf.DUMMYFUNCTION("""COMPUTED_VALUE"""),"Aprill (SU)")</f>
        <v>Aprill (SU)</v>
      </c>
      <c r="I84" s="13" t="str">
        <f>IFERROR(__xludf.DUMMYFUNCTION("""COMPUTED_VALUE"""),"SELESAI")</f>
        <v>SELESAI</v>
      </c>
      <c r="J84" s="17">
        <f>IFERROR(__xludf.DUMMYFUNCTION("""COMPUTED_VALUE"""),45595.49508784722)</f>
        <v>45595.49509</v>
      </c>
      <c r="K84" s="13" t="str">
        <f>IFERROR(__xludf.DUMMYFUNCTION("""COMPUTED_VALUE"""),"SELESAI")</f>
        <v>SELESAI</v>
      </c>
      <c r="L84" s="17">
        <f>IFERROR(__xludf.DUMMYFUNCTION("""COMPUTED_VALUE"""),45595.49508784722)</f>
        <v>45595.49509</v>
      </c>
      <c r="M84" s="17" t="str">
        <f>IFERROR(__xludf.DUMMYFUNCTION("""COMPUTED_VALUE"""),"")</f>
        <v/>
      </c>
      <c r="N84" s="17">
        <f>IFERROR(__xludf.DUMMYFUNCTION("""COMPUTED_VALUE"""),45595.495125104164)</f>
        <v>45595.49513</v>
      </c>
      <c r="O84" s="13">
        <f t="shared" si="1"/>
        <v>7</v>
      </c>
    </row>
    <row r="85" ht="22.5" customHeight="1">
      <c r="B85" s="13">
        <f>IFERROR(__xludf.DUMMYFUNCTION("""COMPUTED_VALUE"""),80.0)</f>
        <v>80</v>
      </c>
      <c r="C85" s="13" t="str">
        <f>IFERROR(__xludf.DUMMYFUNCTION("""COMPUTED_VALUE"""),"B. 835/ Perumnas Way Kandis; B. 309/ Way Kandis")</f>
        <v>B. 835/ Perumnas Way Kandis; B. 309/ Way Kandis</v>
      </c>
      <c r="D85" s="13" t="str">
        <f>IFERROR(__xludf.DUMMYFUNCTION("""COMPUTED_VALUE"""),"K/27/281024/1")</f>
        <v>K/27/281024/1</v>
      </c>
      <c r="E85" s="14" t="str">
        <f>IFERROR(__xludf.DUMMYFUNCTION("""COMPUTED_VALUE"""),"Nadian (BT)")</f>
        <v>Nadian (BT)</v>
      </c>
      <c r="F85" s="14" t="str">
        <f>IFERROR(__xludf.DUMMYFUNCTION("""COMPUTED_VALUE"""),"SELESAI")</f>
        <v>SELESAI</v>
      </c>
      <c r="G85" s="17">
        <f>IFERROR(__xludf.DUMMYFUNCTION("""COMPUTED_VALUE"""),45594.67524456019)</f>
        <v>45594.67524</v>
      </c>
      <c r="H85" s="14" t="str">
        <f>IFERROR(__xludf.DUMMYFUNCTION("""COMPUTED_VALUE"""),"Aprill (SU)")</f>
        <v>Aprill (SU)</v>
      </c>
      <c r="I85" s="13" t="str">
        <f>IFERROR(__xludf.DUMMYFUNCTION("""COMPUTED_VALUE"""),"SELESAI")</f>
        <v>SELESAI</v>
      </c>
      <c r="J85" s="17">
        <f>IFERROR(__xludf.DUMMYFUNCTION("""COMPUTED_VALUE"""),45595.49367788194)</f>
        <v>45595.49368</v>
      </c>
      <c r="K85" s="13" t="str">
        <f>IFERROR(__xludf.DUMMYFUNCTION("""COMPUTED_VALUE"""),"SELESAI")</f>
        <v>SELESAI</v>
      </c>
      <c r="L85" s="17">
        <f>IFERROR(__xludf.DUMMYFUNCTION("""COMPUTED_VALUE"""),45595.49367788194)</f>
        <v>45595.49368</v>
      </c>
      <c r="M85" s="17" t="str">
        <f>IFERROR(__xludf.DUMMYFUNCTION("""COMPUTED_VALUE"""),"")</f>
        <v/>
      </c>
      <c r="N85" s="17">
        <f>IFERROR(__xludf.DUMMYFUNCTION("""COMPUTED_VALUE"""),45595.49537361111)</f>
        <v>45595.49537</v>
      </c>
      <c r="O85" s="13">
        <f t="shared" si="1"/>
        <v>8</v>
      </c>
    </row>
    <row r="86" ht="22.5" customHeight="1">
      <c r="B86" s="13">
        <f>IFERROR(__xludf.DUMMYFUNCTION("""COMPUTED_VALUE"""),81.0)</f>
        <v>81</v>
      </c>
      <c r="C86" s="13" t="str">
        <f>IFERROR(__xludf.DUMMYFUNCTION("""COMPUTED_VALUE"""),"M. 12564/ Rajabasa Nunyai; 1137/ Rajabasa Dahulu")</f>
        <v>M. 12564/ Rajabasa Nunyai; 1137/ Rajabasa Dahulu</v>
      </c>
      <c r="D86" s="13" t="str">
        <f>IFERROR(__xludf.DUMMYFUNCTION("""COMPUTED_VALUE"""),"K/27/161024/1")</f>
        <v>K/27/161024/1</v>
      </c>
      <c r="E86" s="14" t="str">
        <f>IFERROR(__xludf.DUMMYFUNCTION("""COMPUTED_VALUE"""),"Nadian (BT)")</f>
        <v>Nadian (BT)</v>
      </c>
      <c r="F86" s="14" t="str">
        <f>IFERROR(__xludf.DUMMYFUNCTION("""COMPUTED_VALUE"""),"SELESAI (VIA PERMOHONAN)")</f>
        <v>SELESAI (VIA PERMOHONAN)</v>
      </c>
      <c r="G86" s="17">
        <f>IFERROR(__xludf.DUMMYFUNCTION("""COMPUTED_VALUE"""),45594.67578853009)</f>
        <v>45594.67579</v>
      </c>
      <c r="H86" s="14" t="str">
        <f>IFERROR(__xludf.DUMMYFUNCTION("""COMPUTED_VALUE"""),"Aprill (SU)")</f>
        <v>Aprill (SU)</v>
      </c>
      <c r="I86" s="13" t="str">
        <f>IFERROR(__xludf.DUMMYFUNCTION("""COMPUTED_VALUE"""),"SELESAI (VIA PERMOHONAN)")</f>
        <v>SELESAI (VIA PERMOHONAN)</v>
      </c>
      <c r="J86" s="17">
        <f>IFERROR(__xludf.DUMMYFUNCTION("""COMPUTED_VALUE"""),45596.55514606481)</f>
        <v>45596.55515</v>
      </c>
      <c r="K86" s="13" t="str">
        <f>IFERROR(__xludf.DUMMYFUNCTION("""COMPUTED_VALUE"""),"Selesai")</f>
        <v>Selesai</v>
      </c>
      <c r="L86" s="17">
        <f>IFERROR(__xludf.DUMMYFUNCTION("""COMPUTED_VALUE"""),45596.55514606481)</f>
        <v>45596.55515</v>
      </c>
      <c r="M86" s="17">
        <f>IFERROR(__xludf.DUMMYFUNCTION("""COMPUTED_VALUE"""),45596.555765613426)</f>
        <v>45596.55577</v>
      </c>
      <c r="N86" s="13" t="str">
        <f>IFERROR(__xludf.DUMMYFUNCTION("""COMPUTED_VALUE"""),"")</f>
        <v/>
      </c>
      <c r="O86" s="13" t="str">
        <f t="shared" si="1"/>
        <v/>
      </c>
    </row>
    <row r="87" ht="22.5" customHeight="1">
      <c r="B87" s="13">
        <f>IFERROR(__xludf.DUMMYFUNCTION("""COMPUTED_VALUE"""),82.0)</f>
        <v>82</v>
      </c>
      <c r="C87" s="13" t="str">
        <f>IFERROR(__xludf.DUMMYFUNCTION("""COMPUTED_VALUE"""),"M. 11085/ Kedamaian; SHT 4351/2015")</f>
        <v>M. 11085/ Kedamaian; SHT 4351/2015</v>
      </c>
      <c r="D87" s="13" t="str">
        <f>IFERROR(__xludf.DUMMYFUNCTION("""COMPUTED_VALUE"""),"K/44/231024/1")</f>
        <v>K/44/231024/1</v>
      </c>
      <c r="E87" s="14" t="str">
        <f>IFERROR(__xludf.DUMMYFUNCTION("""COMPUTED_VALUE"""),"Nadian (BT)")</f>
        <v>Nadian (BT)</v>
      </c>
      <c r="F87" s="14" t="str">
        <f>IFERROR(__xludf.DUMMYFUNCTION("""COMPUTED_VALUE"""),"SELESAI")</f>
        <v>SELESAI</v>
      </c>
      <c r="G87" s="17">
        <f>IFERROR(__xludf.DUMMYFUNCTION("""COMPUTED_VALUE"""),45594.67651171296)</f>
        <v>45594.67651</v>
      </c>
      <c r="H87" s="14" t="str">
        <f>IFERROR(__xludf.DUMMYFUNCTION("""COMPUTED_VALUE"""),"Aprill (SU)")</f>
        <v>Aprill (SU)</v>
      </c>
      <c r="I87" s="13" t="str">
        <f>IFERROR(__xludf.DUMMYFUNCTION("""COMPUTED_VALUE"""),"SELESAI (VIA PERMOHONAN)")</f>
        <v>SELESAI (VIA PERMOHONAN)</v>
      </c>
      <c r="J87" s="17">
        <f>IFERROR(__xludf.DUMMYFUNCTION("""COMPUTED_VALUE"""),45596.55550258102)</f>
        <v>45596.5555</v>
      </c>
      <c r="K87" s="13" t="str">
        <f>IFERROR(__xludf.DUMMYFUNCTION("""COMPUTED_VALUE"""),"Selesai")</f>
        <v>Selesai</v>
      </c>
      <c r="L87" s="17">
        <f>IFERROR(__xludf.DUMMYFUNCTION("""COMPUTED_VALUE"""),45596.55550258102)</f>
        <v>45596.5555</v>
      </c>
      <c r="M87" s="17">
        <f>IFERROR(__xludf.DUMMYFUNCTION("""COMPUTED_VALUE"""),45596.55579387731)</f>
        <v>45596.55579</v>
      </c>
      <c r="N87" s="13" t="str">
        <f>IFERROR(__xludf.DUMMYFUNCTION("""COMPUTED_VALUE"""),"")</f>
        <v/>
      </c>
      <c r="O87" s="13" t="str">
        <f t="shared" si="1"/>
        <v/>
      </c>
    </row>
    <row r="88" ht="22.5" customHeight="1">
      <c r="B88" s="13">
        <f>IFERROR(__xludf.DUMMYFUNCTION("""COMPUTED_VALUE"""),83.0)</f>
        <v>83</v>
      </c>
      <c r="C88" s="13" t="str">
        <f>IFERROR(__xludf.DUMMYFUNCTION("""COMPUTED_VALUE"""),"M. 13651/ Labuhan Ratu; SHT 2739/2019")</f>
        <v>M. 13651/ Labuhan Ratu; SHT 2739/2019</v>
      </c>
      <c r="D88" s="13" t="str">
        <f>IFERROR(__xludf.DUMMYFUNCTION("""COMPUTED_VALUE"""),"K/50/211024/1")</f>
        <v>K/50/211024/1</v>
      </c>
      <c r="E88" s="14" t="str">
        <f>IFERROR(__xludf.DUMMYFUNCTION("""COMPUTED_VALUE"""),"Afriza (BT)")</f>
        <v>Afriza (BT)</v>
      </c>
      <c r="F88" s="14" t="str">
        <f>IFERROR(__xludf.DUMMYFUNCTION("""COMPUTED_VALUE"""),"SELESAI")</f>
        <v>SELESAI</v>
      </c>
      <c r="G88" s="17">
        <f>IFERROR(__xludf.DUMMYFUNCTION("""COMPUTED_VALUE"""),45595.58891980324)</f>
        <v>45595.58892</v>
      </c>
      <c r="H88" s="14" t="str">
        <f>IFERROR(__xludf.DUMMYFUNCTION("""COMPUTED_VALUE"""),"Aprill (SU)")</f>
        <v>Aprill (SU)</v>
      </c>
      <c r="I88" s="13" t="str">
        <f>IFERROR(__xludf.DUMMYFUNCTION("""COMPUTED_VALUE"""),"SELESAI (VIA PERMOHONAN)")</f>
        <v>SELESAI (VIA PERMOHONAN)</v>
      </c>
      <c r="J88" s="17">
        <f>IFERROR(__xludf.DUMMYFUNCTION("""COMPUTED_VALUE"""),45597.575680787035)</f>
        <v>45597.57568</v>
      </c>
      <c r="K88" s="13" t="str">
        <f>IFERROR(__xludf.DUMMYFUNCTION("""COMPUTED_VALUE"""),"Selesai")</f>
        <v>Selesai</v>
      </c>
      <c r="L88" s="17">
        <f>IFERROR(__xludf.DUMMYFUNCTION("""COMPUTED_VALUE"""),45597.575680787035)</f>
        <v>45597.57568</v>
      </c>
      <c r="M88" s="17">
        <f>IFERROR(__xludf.DUMMYFUNCTION("""COMPUTED_VALUE"""),45597.57578427083)</f>
        <v>45597.57578</v>
      </c>
      <c r="N88" s="17">
        <f>IFERROR(__xludf.DUMMYFUNCTION("""COMPUTED_VALUE"""),45609.47586160879)</f>
        <v>45609.47586</v>
      </c>
      <c r="O88" s="13">
        <f t="shared" si="1"/>
        <v>1</v>
      </c>
    </row>
    <row r="89" ht="22.5" customHeight="1">
      <c r="B89" s="13">
        <f>IFERROR(__xludf.DUMMYFUNCTION("""COMPUTED_VALUE"""),84.0)</f>
        <v>84</v>
      </c>
      <c r="C89" s="13" t="str">
        <f>IFERROR(__xludf.DUMMYFUNCTION("""COMPUTED_VALUE"""),"M.2281/SU HAM")</f>
        <v>M.2281/SU HAM</v>
      </c>
      <c r="D89" s="13" t="str">
        <f>IFERROR(__xludf.DUMMYFUNCTION("""COMPUTED_VALUE"""),"L/23/291024/1")</f>
        <v>L/23/291024/1</v>
      </c>
      <c r="E89" s="14" t="str">
        <f>IFERROR(__xludf.DUMMYFUNCTION("""COMPUTED_VALUE"""),"Nadian (BT)")</f>
        <v>Nadian (BT)</v>
      </c>
      <c r="F89" s="14" t="str">
        <f>IFERROR(__xludf.DUMMYFUNCTION("""COMPUTED_VALUE"""),"SELESAI")</f>
        <v>SELESAI</v>
      </c>
      <c r="G89" s="17">
        <f>IFERROR(__xludf.DUMMYFUNCTION("""COMPUTED_VALUE"""),45595.66857834491)</f>
        <v>45595.66858</v>
      </c>
      <c r="H89" s="14" t="str">
        <f>IFERROR(__xludf.DUMMYFUNCTION("""COMPUTED_VALUE"""),"Bu Eva (SU)")</f>
        <v>Bu Eva (SU)</v>
      </c>
      <c r="I89" s="13" t="str">
        <f>IFERROR(__xludf.DUMMYFUNCTION("""COMPUTED_VALUE"""),"SELESAI")</f>
        <v>SELESAI</v>
      </c>
      <c r="J89" s="17">
        <f>IFERROR(__xludf.DUMMYFUNCTION("""COMPUTED_VALUE"""),45596.55688207176)</f>
        <v>45596.55688</v>
      </c>
      <c r="K89" s="13" t="str">
        <f>IFERROR(__xludf.DUMMYFUNCTION("""COMPUTED_VALUE"""),"SELESAI")</f>
        <v>SELESAI</v>
      </c>
      <c r="L89" s="17">
        <f>IFERROR(__xludf.DUMMYFUNCTION("""COMPUTED_VALUE"""),45596.55688207176)</f>
        <v>45596.55688</v>
      </c>
      <c r="M89" s="17" t="str">
        <f>IFERROR(__xludf.DUMMYFUNCTION("""COMPUTED_VALUE"""),"")</f>
        <v/>
      </c>
      <c r="N89" s="17">
        <f>IFERROR(__xludf.DUMMYFUNCTION("""COMPUTED_VALUE"""),45596.55734306713)</f>
        <v>45596.55734</v>
      </c>
      <c r="O89" s="13">
        <f t="shared" si="1"/>
        <v>2</v>
      </c>
    </row>
    <row r="90" ht="22.5" customHeight="1">
      <c r="B90" s="13">
        <f>IFERROR(__xludf.DUMMYFUNCTION("""COMPUTED_VALUE"""),85.0)</f>
        <v>85</v>
      </c>
      <c r="C90" s="13" t="str">
        <f>IFERROR(__xludf.DUMMYFUNCTION("""COMPUTED_VALUE"""),"HM 208/KUPANG RAYA")</f>
        <v>HM 208/KUPANG RAYA</v>
      </c>
      <c r="D90" s="13" t="str">
        <f>IFERROR(__xludf.DUMMYFUNCTION("""COMPUTED_VALUE"""),"L/2/291024/1")</f>
        <v>L/2/291024/1</v>
      </c>
      <c r="E90" s="14" t="str">
        <f>IFERROR(__xludf.DUMMYFUNCTION("""COMPUTED_VALUE"""),"Nadian (BT)")</f>
        <v>Nadian (BT)</v>
      </c>
      <c r="F90" s="14" t="str">
        <f>IFERROR(__xludf.DUMMYFUNCTION("""COMPUTED_VALUE"""),"SELESAI")</f>
        <v>SELESAI</v>
      </c>
      <c r="G90" s="17">
        <f>IFERROR(__xludf.DUMMYFUNCTION("""COMPUTED_VALUE"""),45595.669295011576)</f>
        <v>45595.6693</v>
      </c>
      <c r="H90" s="14" t="str">
        <f>IFERROR(__xludf.DUMMYFUNCTION("""COMPUTED_VALUE"""),"Bu Eva (SU)")</f>
        <v>Bu Eva (SU)</v>
      </c>
      <c r="I90" s="13" t="str">
        <f>IFERROR(__xludf.DUMMYFUNCTION("""COMPUTED_VALUE"""),"SELESAI")</f>
        <v>SELESAI</v>
      </c>
      <c r="J90" s="17">
        <f>IFERROR(__xludf.DUMMYFUNCTION("""COMPUTED_VALUE"""),45596.55712601852)</f>
        <v>45596.55713</v>
      </c>
      <c r="K90" s="13" t="str">
        <f>IFERROR(__xludf.DUMMYFUNCTION("""COMPUTED_VALUE"""),"SELESAI")</f>
        <v>SELESAI</v>
      </c>
      <c r="L90" s="17">
        <f>IFERROR(__xludf.DUMMYFUNCTION("""COMPUTED_VALUE"""),45596.55712601852)</f>
        <v>45596.55713</v>
      </c>
      <c r="M90" s="17" t="str">
        <f>IFERROR(__xludf.DUMMYFUNCTION("""COMPUTED_VALUE"""),"")</f>
        <v/>
      </c>
      <c r="N90" s="17">
        <f>IFERROR(__xludf.DUMMYFUNCTION("""COMPUTED_VALUE"""),45596.55728376158)</f>
        <v>45596.55728</v>
      </c>
      <c r="O90" s="13">
        <f t="shared" si="1"/>
        <v>3</v>
      </c>
    </row>
    <row r="91" ht="22.5" customHeight="1">
      <c r="B91" s="13">
        <f>IFERROR(__xludf.DUMMYFUNCTION("""COMPUTED_VALUE"""),86.0)</f>
        <v>86</v>
      </c>
      <c r="C91" s="13" t="str">
        <f>IFERROR(__xludf.DUMMYFUNCTION("""COMPUTED_VALUE"""),"M. 1360/ Tanjungkarang")</f>
        <v>M. 1360/ Tanjungkarang</v>
      </c>
      <c r="D91" s="13" t="str">
        <f>IFERROR(__xludf.DUMMYFUNCTION("""COMPUTED_VALUE"""),"K/21/251024/1")</f>
        <v>K/21/251024/1</v>
      </c>
      <c r="E91" s="14" t="str">
        <f>IFERROR(__xludf.DUMMYFUNCTION("""COMPUTED_VALUE"""),"Nadian (BT)")</f>
        <v>Nadian (BT)</v>
      </c>
      <c r="F91" s="14" t="str">
        <f>IFERROR(__xludf.DUMMYFUNCTION("""COMPUTED_VALUE"""),"SELESAI")</f>
        <v>SELESAI</v>
      </c>
      <c r="G91" s="17">
        <f>IFERROR(__xludf.DUMMYFUNCTION("""COMPUTED_VALUE"""),45595.67097486111)</f>
        <v>45595.67097</v>
      </c>
      <c r="H91" s="14" t="str">
        <f>IFERROR(__xludf.DUMMYFUNCTION("""COMPUTED_VALUE"""),"Bu Eva (SU)")</f>
        <v>Bu Eva (SU)</v>
      </c>
      <c r="I91" s="13" t="str">
        <f>IFERROR(__xludf.DUMMYFUNCTION("""COMPUTED_VALUE"""),"SELESAI (VIA PERMOHONAN)")</f>
        <v>SELESAI (VIA PERMOHONAN)</v>
      </c>
      <c r="J91" s="17">
        <f>IFERROR(__xludf.DUMMYFUNCTION("""COMPUTED_VALUE"""),45596.55456584491)</f>
        <v>45596.55457</v>
      </c>
      <c r="K91" s="13" t="str">
        <f>IFERROR(__xludf.DUMMYFUNCTION("""COMPUTED_VALUE"""),"Selesai")</f>
        <v>Selesai</v>
      </c>
      <c r="L91" s="17">
        <f>IFERROR(__xludf.DUMMYFUNCTION("""COMPUTED_VALUE"""),45596.55456584491)</f>
        <v>45596.55457</v>
      </c>
      <c r="M91" s="17">
        <f>IFERROR(__xludf.DUMMYFUNCTION("""COMPUTED_VALUE"""),45597.57594821759)</f>
        <v>45597.57595</v>
      </c>
      <c r="N91" s="13" t="str">
        <f>IFERROR(__xludf.DUMMYFUNCTION("""COMPUTED_VALUE"""),"")</f>
        <v/>
      </c>
      <c r="O91" s="13" t="str">
        <f t="shared" si="1"/>
        <v/>
      </c>
    </row>
    <row r="92" ht="22.5" customHeight="1">
      <c r="B92" s="13">
        <f>IFERROR(__xludf.DUMMYFUNCTION("""COMPUTED_VALUE"""),87.0)</f>
        <v>87</v>
      </c>
      <c r="C92" s="13" t="str">
        <f>IFERROR(__xludf.DUMMYFUNCTION("""COMPUTED_VALUE"""),"M.3314/KOTA KARANG")</f>
        <v>M.3314/KOTA KARANG</v>
      </c>
      <c r="D92" s="13" t="str">
        <f>IFERROR(__xludf.DUMMYFUNCTION("""COMPUTED_VALUE"""),"K/33/181024/1")</f>
        <v>K/33/181024/1</v>
      </c>
      <c r="E92" s="14" t="str">
        <f>IFERROR(__xludf.DUMMYFUNCTION("""COMPUTED_VALUE"""),"Nadian (BT)")</f>
        <v>Nadian (BT)</v>
      </c>
      <c r="F92" s="14" t="str">
        <f>IFERROR(__xludf.DUMMYFUNCTION("""COMPUTED_VALUE"""),"SELESAI")</f>
        <v>SELESAI</v>
      </c>
      <c r="G92" s="17">
        <f>IFERROR(__xludf.DUMMYFUNCTION("""COMPUTED_VALUE"""),45595.67127219908)</f>
        <v>45595.67127</v>
      </c>
      <c r="H92" s="14" t="str">
        <f>IFERROR(__xludf.DUMMYFUNCTION("""COMPUTED_VALUE"""),"Bu Eva (SU)")</f>
        <v>Bu Eva (SU)</v>
      </c>
      <c r="I92" s="13" t="str">
        <f>IFERROR(__xludf.DUMMYFUNCTION("""COMPUTED_VALUE"""),"SELESAI (VIA PERMOHONAN)")</f>
        <v>SELESAI (VIA PERMOHONAN)</v>
      </c>
      <c r="J92" s="17">
        <f>IFERROR(__xludf.DUMMYFUNCTION("""COMPUTED_VALUE"""),45596.5546725)</f>
        <v>45596.55467</v>
      </c>
      <c r="K92" s="13" t="str">
        <f>IFERROR(__xludf.DUMMYFUNCTION("""COMPUTED_VALUE"""),"Selesai")</f>
        <v>Selesai</v>
      </c>
      <c r="L92" s="17">
        <f>IFERROR(__xludf.DUMMYFUNCTION("""COMPUTED_VALUE"""),45596.5546725)</f>
        <v>45596.55467</v>
      </c>
      <c r="M92" s="17">
        <f>IFERROR(__xludf.DUMMYFUNCTION("""COMPUTED_VALUE"""),45597.57594821759)</f>
        <v>45597.57595</v>
      </c>
      <c r="N92" s="13" t="str">
        <f>IFERROR(__xludf.DUMMYFUNCTION("""COMPUTED_VALUE"""),"")</f>
        <v/>
      </c>
      <c r="O92" s="13" t="str">
        <f t="shared" si="1"/>
        <v/>
      </c>
    </row>
    <row r="93" ht="22.5" customHeight="1">
      <c r="B93" s="13">
        <f>IFERROR(__xludf.DUMMYFUNCTION("""COMPUTED_VALUE"""),88.0)</f>
        <v>88</v>
      </c>
      <c r="C93" s="13" t="str">
        <f>IFERROR(__xludf.DUMMYFUNCTION("""COMPUTED_VALUE"""),"HM 1869/TANJUNG SENANG")</f>
        <v>HM 1869/TANJUNG SENANG</v>
      </c>
      <c r="D93" s="13" t="str">
        <f>IFERROR(__xludf.DUMMYFUNCTION("""COMPUTED_VALUE"""),"L/38/301024/1")</f>
        <v>L/38/301024/1</v>
      </c>
      <c r="E93" s="14" t="str">
        <f>IFERROR(__xludf.DUMMYFUNCTION("""COMPUTED_VALUE"""),"Nadian (BT)")</f>
        <v>Nadian (BT)</v>
      </c>
      <c r="F93" s="14" t="str">
        <f>IFERROR(__xludf.DUMMYFUNCTION("""COMPUTED_VALUE"""),"SELESAI")</f>
        <v>SELESAI</v>
      </c>
      <c r="G93" s="17">
        <f>IFERROR(__xludf.DUMMYFUNCTION("""COMPUTED_VALUE"""),45596.68803148148)</f>
        <v>45596.68803</v>
      </c>
      <c r="H93" s="14" t="str">
        <f>IFERROR(__xludf.DUMMYFUNCTION("""COMPUTED_VALUE"""),"Bu Eva (SU)")</f>
        <v>Bu Eva (SU)</v>
      </c>
      <c r="I93" s="13" t="str">
        <f>IFERROR(__xludf.DUMMYFUNCTION("""COMPUTED_VALUE"""),"SELESAI")</f>
        <v>SELESAI</v>
      </c>
      <c r="J93" s="17">
        <f>IFERROR(__xludf.DUMMYFUNCTION("""COMPUTED_VALUE"""),45597.57849431713)</f>
        <v>45597.57849</v>
      </c>
      <c r="K93" s="13" t="str">
        <f>IFERROR(__xludf.DUMMYFUNCTION("""COMPUTED_VALUE"""),"SELESAI")</f>
        <v>SELESAI</v>
      </c>
      <c r="L93" s="17">
        <f>IFERROR(__xludf.DUMMYFUNCTION("""COMPUTED_VALUE"""),45597.57849431713)</f>
        <v>45597.57849</v>
      </c>
      <c r="M93" s="17" t="str">
        <f>IFERROR(__xludf.DUMMYFUNCTION("""COMPUTED_VALUE"""),"")</f>
        <v/>
      </c>
      <c r="N93" s="17">
        <f>IFERROR(__xludf.DUMMYFUNCTION("""COMPUTED_VALUE"""),45600.37450888889)</f>
        <v>45600.37451</v>
      </c>
      <c r="O93" s="13">
        <f t="shared" si="1"/>
        <v>1</v>
      </c>
    </row>
    <row r="94" ht="22.5" customHeight="1">
      <c r="B94" s="13">
        <f>IFERROR(__xludf.DUMMYFUNCTION("""COMPUTED_VALUE"""),89.0)</f>
        <v>89</v>
      </c>
      <c r="C94" s="13" t="str">
        <f>IFERROR(__xludf.DUMMYFUNCTION("""COMPUTED_VALUE"""),"HM 11867/LABUHAN RATU")</f>
        <v>HM 11867/LABUHAN RATU</v>
      </c>
      <c r="D94" s="13" t="str">
        <f>IFERROR(__xludf.DUMMYFUNCTION("""COMPUTED_VALUE"""),"L/22/301024/1")</f>
        <v>L/22/301024/1</v>
      </c>
      <c r="E94" s="14" t="str">
        <f>IFERROR(__xludf.DUMMYFUNCTION("""COMPUTED_VALUE"""),"Nadian (BT)")</f>
        <v>Nadian (BT)</v>
      </c>
      <c r="F94" s="14" t="str">
        <f>IFERROR(__xludf.DUMMYFUNCTION("""COMPUTED_VALUE"""),"SELESAI")</f>
        <v>SELESAI</v>
      </c>
      <c r="G94" s="17">
        <f>IFERROR(__xludf.DUMMYFUNCTION("""COMPUTED_VALUE"""),45596.68803148148)</f>
        <v>45596.68803</v>
      </c>
      <c r="H94" s="14" t="str">
        <f>IFERROR(__xludf.DUMMYFUNCTION("""COMPUTED_VALUE"""),"Bu Eva (SU)")</f>
        <v>Bu Eva (SU)</v>
      </c>
      <c r="I94" s="13" t="str">
        <f>IFERROR(__xludf.DUMMYFUNCTION("""COMPUTED_VALUE"""),"SELESAI")</f>
        <v>SELESAI</v>
      </c>
      <c r="J94" s="17">
        <f>IFERROR(__xludf.DUMMYFUNCTION("""COMPUTED_VALUE"""),45597.57853101852)</f>
        <v>45597.57853</v>
      </c>
      <c r="K94" s="13" t="str">
        <f>IFERROR(__xludf.DUMMYFUNCTION("""COMPUTED_VALUE"""),"SELESAI")</f>
        <v>SELESAI</v>
      </c>
      <c r="L94" s="17">
        <f>IFERROR(__xludf.DUMMYFUNCTION("""COMPUTED_VALUE"""),45597.57853101852)</f>
        <v>45597.57853</v>
      </c>
      <c r="M94" s="17" t="str">
        <f>IFERROR(__xludf.DUMMYFUNCTION("""COMPUTED_VALUE"""),"")</f>
        <v/>
      </c>
      <c r="N94" s="17">
        <f>IFERROR(__xludf.DUMMYFUNCTION("""COMPUTED_VALUE"""),45600.374526493055)</f>
        <v>45600.37453</v>
      </c>
      <c r="O94" s="13">
        <f t="shared" si="1"/>
        <v>2</v>
      </c>
    </row>
    <row r="95" ht="22.5" customHeight="1">
      <c r="B95" s="13">
        <f>IFERROR(__xludf.DUMMYFUNCTION("""COMPUTED_VALUE"""),90.0)</f>
        <v>90</v>
      </c>
      <c r="C95" s="13" t="str">
        <f>IFERROR(__xludf.DUMMYFUNCTION("""COMPUTED_VALUE"""),"HM 2070/PWH")</f>
        <v>HM 2070/PWH</v>
      </c>
      <c r="D95" s="13" t="str">
        <f>IFERROR(__xludf.DUMMYFUNCTION("""COMPUTED_VALUE"""),"L/16/301024/1")</f>
        <v>L/16/301024/1</v>
      </c>
      <c r="E95" s="14" t="str">
        <f>IFERROR(__xludf.DUMMYFUNCTION("""COMPUTED_VALUE"""),"Nadian (BT)")</f>
        <v>Nadian (BT)</v>
      </c>
      <c r="F95" s="14" t="str">
        <f>IFERROR(__xludf.DUMMYFUNCTION("""COMPUTED_VALUE"""),"SELESAI")</f>
        <v>SELESAI</v>
      </c>
      <c r="G95" s="17">
        <f>IFERROR(__xludf.DUMMYFUNCTION("""COMPUTED_VALUE"""),45596.68812)</f>
        <v>45596.68812</v>
      </c>
      <c r="H95" s="14" t="str">
        <f>IFERROR(__xludf.DUMMYFUNCTION("""COMPUTED_VALUE"""),"Bu Eva (SU)")</f>
        <v>Bu Eva (SU)</v>
      </c>
      <c r="I95" s="13" t="str">
        <f>IFERROR(__xludf.DUMMYFUNCTION("""COMPUTED_VALUE"""),"SELESAI")</f>
        <v>SELESAI</v>
      </c>
      <c r="J95" s="17">
        <f>IFERROR(__xludf.DUMMYFUNCTION("""COMPUTED_VALUE"""),45597.57860496528)</f>
        <v>45597.5786</v>
      </c>
      <c r="K95" s="13" t="str">
        <f>IFERROR(__xludf.DUMMYFUNCTION("""COMPUTED_VALUE"""),"SELESAI")</f>
        <v>SELESAI</v>
      </c>
      <c r="L95" s="17">
        <f>IFERROR(__xludf.DUMMYFUNCTION("""COMPUTED_VALUE"""),45597.57860496528)</f>
        <v>45597.5786</v>
      </c>
      <c r="M95" s="17" t="str">
        <f>IFERROR(__xludf.DUMMYFUNCTION("""COMPUTED_VALUE"""),"")</f>
        <v/>
      </c>
      <c r="N95" s="17">
        <f>IFERROR(__xludf.DUMMYFUNCTION("""COMPUTED_VALUE"""),45600.37454844908)</f>
        <v>45600.37455</v>
      </c>
      <c r="O95" s="13">
        <f t="shared" si="1"/>
        <v>3</v>
      </c>
    </row>
    <row r="96" ht="22.5" customHeight="1">
      <c r="B96" s="13">
        <f>IFERROR(__xludf.DUMMYFUNCTION("""COMPUTED_VALUE"""),91.0)</f>
        <v>91</v>
      </c>
      <c r="C96" s="13" t="str">
        <f>IFERROR(__xludf.DUMMYFUNCTION("""COMPUTED_VALUE"""),"HM 617/SUKARAJA")</f>
        <v>HM 617/SUKARAJA</v>
      </c>
      <c r="D96" s="13" t="str">
        <f>IFERROR(__xludf.DUMMYFUNCTION("""COMPUTED_VALUE"""),"L/15/301024/1")</f>
        <v>L/15/301024/1</v>
      </c>
      <c r="E96" s="14" t="str">
        <f>IFERROR(__xludf.DUMMYFUNCTION("""COMPUTED_VALUE"""),"Nadian (BT)")</f>
        <v>Nadian (BT)</v>
      </c>
      <c r="F96" s="14" t="str">
        <f>IFERROR(__xludf.DUMMYFUNCTION("""COMPUTED_VALUE"""),"SELESAI")</f>
        <v>SELESAI</v>
      </c>
      <c r="G96" s="17">
        <f>IFERROR(__xludf.DUMMYFUNCTION("""COMPUTED_VALUE"""),45596.68829578704)</f>
        <v>45596.6883</v>
      </c>
      <c r="H96" s="14" t="str">
        <f>IFERROR(__xludf.DUMMYFUNCTION("""COMPUTED_VALUE"""),"Bu Eva (SU)")</f>
        <v>Bu Eva (SU)</v>
      </c>
      <c r="I96" s="13" t="str">
        <f>IFERROR(__xludf.DUMMYFUNCTION("""COMPUTED_VALUE"""),"SELESAI")</f>
        <v>SELESAI</v>
      </c>
      <c r="J96" s="17">
        <f>IFERROR(__xludf.DUMMYFUNCTION("""COMPUTED_VALUE"""),45597.578725011575)</f>
        <v>45597.57873</v>
      </c>
      <c r="K96" s="13" t="str">
        <f>IFERROR(__xludf.DUMMYFUNCTION("""COMPUTED_VALUE"""),"SELESAI")</f>
        <v>SELESAI</v>
      </c>
      <c r="L96" s="17">
        <f>IFERROR(__xludf.DUMMYFUNCTION("""COMPUTED_VALUE"""),45597.578725011575)</f>
        <v>45597.57873</v>
      </c>
      <c r="M96" s="17" t="str">
        <f>IFERROR(__xludf.DUMMYFUNCTION("""COMPUTED_VALUE"""),"")</f>
        <v/>
      </c>
      <c r="N96" s="17">
        <f>IFERROR(__xludf.DUMMYFUNCTION("""COMPUTED_VALUE"""),45600.374556828705)</f>
        <v>45600.37456</v>
      </c>
      <c r="O96" s="13">
        <f t="shared" si="1"/>
        <v>4</v>
      </c>
    </row>
    <row r="97" ht="22.5" customHeight="1">
      <c r="B97" s="13">
        <f>IFERROR(__xludf.DUMMYFUNCTION("""COMPUTED_VALUE"""),92.0)</f>
        <v>92</v>
      </c>
      <c r="C97" s="13" t="str">
        <f>IFERROR(__xludf.DUMMYFUNCTION("""COMPUTED_VALUE"""),"M.11011/KEDAMAIAN- HT 5445/2014")</f>
        <v>M.11011/KEDAMAIAN- HT 5445/2014</v>
      </c>
      <c r="D97" s="13" t="str">
        <f>IFERROR(__xludf.DUMMYFUNCTION("""COMPUTED_VALUE"""),"L/39/301024/1")</f>
        <v>L/39/301024/1</v>
      </c>
      <c r="E97" s="14" t="str">
        <f>IFERROR(__xludf.DUMMYFUNCTION("""COMPUTED_VALUE"""),"Nadian (BT)")</f>
        <v>Nadian (BT)</v>
      </c>
      <c r="F97" s="14" t="str">
        <f>IFERROR(__xludf.DUMMYFUNCTION("""COMPUTED_VALUE"""),"SELESAI")</f>
        <v>SELESAI</v>
      </c>
      <c r="G97" s="17">
        <f>IFERROR(__xludf.DUMMYFUNCTION("""COMPUTED_VALUE"""),45596.68881394676)</f>
        <v>45596.68881</v>
      </c>
      <c r="H97" s="14" t="str">
        <f>IFERROR(__xludf.DUMMYFUNCTION("""COMPUTED_VALUE"""),"Bu Eva (SU)")</f>
        <v>Bu Eva (SU)</v>
      </c>
      <c r="I97" s="13" t="str">
        <f>IFERROR(__xludf.DUMMYFUNCTION("""COMPUTED_VALUE"""),"SELESAI")</f>
        <v>SELESAI</v>
      </c>
      <c r="J97" s="17">
        <f>IFERROR(__xludf.DUMMYFUNCTION("""COMPUTED_VALUE"""),45597.57883994213)</f>
        <v>45597.57884</v>
      </c>
      <c r="K97" s="13" t="str">
        <f>IFERROR(__xludf.DUMMYFUNCTION("""COMPUTED_VALUE"""),"SELESAI")</f>
        <v>SELESAI</v>
      </c>
      <c r="L97" s="17">
        <f>IFERROR(__xludf.DUMMYFUNCTION("""COMPUTED_VALUE"""),45597.57883994213)</f>
        <v>45597.57884</v>
      </c>
      <c r="M97" s="17" t="str">
        <f>IFERROR(__xludf.DUMMYFUNCTION("""COMPUTED_VALUE"""),"")</f>
        <v/>
      </c>
      <c r="N97" s="17">
        <f>IFERROR(__xludf.DUMMYFUNCTION("""COMPUTED_VALUE"""),45600.374586446764)</f>
        <v>45600.37459</v>
      </c>
      <c r="O97" s="13">
        <f t="shared" si="1"/>
        <v>5</v>
      </c>
    </row>
    <row r="98" ht="22.5" customHeight="1">
      <c r="B98" s="13">
        <f>IFERROR(__xludf.DUMMYFUNCTION("""COMPUTED_VALUE"""),93.0)</f>
        <v>93</v>
      </c>
      <c r="C98" s="13" t="str">
        <f>IFERROR(__xludf.DUMMYFUNCTION("""COMPUTED_VALUE"""),"HM 2509/WAY KANDIS")</f>
        <v>HM 2509/WAY KANDIS</v>
      </c>
      <c r="D98" s="13" t="str">
        <f>IFERROR(__xludf.DUMMYFUNCTION("""COMPUTED_VALUE"""),"L/1/301024/1")</f>
        <v>L/1/301024/1</v>
      </c>
      <c r="E98" s="14" t="str">
        <f>IFERROR(__xludf.DUMMYFUNCTION("""COMPUTED_VALUE"""),"Nadian (BT)")</f>
        <v>Nadian (BT)</v>
      </c>
      <c r="F98" s="14" t="str">
        <f>IFERROR(__xludf.DUMMYFUNCTION("""COMPUTED_VALUE"""),"SELESAI")</f>
        <v>SELESAI</v>
      </c>
      <c r="G98" s="17">
        <f>IFERROR(__xludf.DUMMYFUNCTION("""COMPUTED_VALUE"""),45596.6898287963)</f>
        <v>45596.68983</v>
      </c>
      <c r="H98" s="14" t="str">
        <f>IFERROR(__xludf.DUMMYFUNCTION("""COMPUTED_VALUE"""),"Bu Eva (SU)")</f>
        <v>Bu Eva (SU)</v>
      </c>
      <c r="I98" s="13" t="str">
        <f>IFERROR(__xludf.DUMMYFUNCTION("""COMPUTED_VALUE"""),"SELESAI")</f>
        <v>SELESAI</v>
      </c>
      <c r="J98" s="17">
        <f>IFERROR(__xludf.DUMMYFUNCTION("""COMPUTED_VALUE"""),45597.57916581018)</f>
        <v>45597.57917</v>
      </c>
      <c r="K98" s="13" t="str">
        <f>IFERROR(__xludf.DUMMYFUNCTION("""COMPUTED_VALUE"""),"SELESAI")</f>
        <v>SELESAI</v>
      </c>
      <c r="L98" s="17">
        <f>IFERROR(__xludf.DUMMYFUNCTION("""COMPUTED_VALUE"""),45597.57916581018)</f>
        <v>45597.57917</v>
      </c>
      <c r="M98" s="17" t="str">
        <f>IFERROR(__xludf.DUMMYFUNCTION("""COMPUTED_VALUE"""),"")</f>
        <v/>
      </c>
      <c r="N98" s="17">
        <f>IFERROR(__xludf.DUMMYFUNCTION("""COMPUTED_VALUE"""),45600.37470122685)</f>
        <v>45600.3747</v>
      </c>
      <c r="O98" s="13">
        <f t="shared" si="1"/>
        <v>6</v>
      </c>
    </row>
    <row r="99" ht="22.5" customHeight="1">
      <c r="B99" s="13">
        <f>IFERROR(__xludf.DUMMYFUNCTION("""COMPUTED_VALUE"""),94.0)</f>
        <v>94</v>
      </c>
      <c r="C99" s="13" t="str">
        <f>IFERROR(__xludf.DUMMYFUNCTION("""COMPUTED_VALUE"""),"HM 2000/WAY KANDIS")</f>
        <v>HM 2000/WAY KANDIS</v>
      </c>
      <c r="D99" s="13" t="str">
        <f>IFERROR(__xludf.DUMMYFUNCTION("""COMPUTED_VALUE"""),"L/1/301024/2")</f>
        <v>L/1/301024/2</v>
      </c>
      <c r="E99" s="14" t="str">
        <f>IFERROR(__xludf.DUMMYFUNCTION("""COMPUTED_VALUE"""),"Nadian (BT)")</f>
        <v>Nadian (BT)</v>
      </c>
      <c r="F99" s="14" t="str">
        <f>IFERROR(__xludf.DUMMYFUNCTION("""COMPUTED_VALUE"""),"SELESAI")</f>
        <v>SELESAI</v>
      </c>
      <c r="G99" s="17">
        <f>IFERROR(__xludf.DUMMYFUNCTION("""COMPUTED_VALUE"""),45596.689913263894)</f>
        <v>45596.68991</v>
      </c>
      <c r="H99" s="14" t="str">
        <f>IFERROR(__xludf.DUMMYFUNCTION("""COMPUTED_VALUE"""),"Bu Eva (SU)")</f>
        <v>Bu Eva (SU)</v>
      </c>
      <c r="I99" s="13" t="str">
        <f>IFERROR(__xludf.DUMMYFUNCTION("""COMPUTED_VALUE"""),"SELESAI")</f>
        <v>SELESAI</v>
      </c>
      <c r="J99" s="17">
        <f>IFERROR(__xludf.DUMMYFUNCTION("""COMPUTED_VALUE"""),45597.57918366898)</f>
        <v>45597.57918</v>
      </c>
      <c r="K99" s="13" t="str">
        <f>IFERROR(__xludf.DUMMYFUNCTION("""COMPUTED_VALUE"""),"SELESAI")</f>
        <v>SELESAI</v>
      </c>
      <c r="L99" s="17">
        <f>IFERROR(__xludf.DUMMYFUNCTION("""COMPUTED_VALUE"""),45597.57918366898)</f>
        <v>45597.57918</v>
      </c>
      <c r="M99" s="17" t="str">
        <f>IFERROR(__xludf.DUMMYFUNCTION("""COMPUTED_VALUE"""),"")</f>
        <v/>
      </c>
      <c r="N99" s="17">
        <f>IFERROR(__xludf.DUMMYFUNCTION("""COMPUTED_VALUE"""),45600.37471068287)</f>
        <v>45600.37471</v>
      </c>
      <c r="O99" s="13">
        <f t="shared" si="1"/>
        <v>7</v>
      </c>
    </row>
    <row r="100" ht="22.5" customHeight="1">
      <c r="B100" s="13">
        <f>IFERROR(__xludf.DUMMYFUNCTION("""COMPUTED_VALUE"""),95.0)</f>
        <v>95</v>
      </c>
      <c r="C100" s="13" t="str">
        <f>IFERROR(__xludf.DUMMYFUNCTION("""COMPUTED_VALUE"""),"M.1637/BUMI KEDAMAIAN-SEKARANG;M.13670/KEDAMAIAN-DAHULU")</f>
        <v>M.1637/BUMI KEDAMAIAN-SEKARANG;M.13670/KEDAMAIAN-DAHULU</v>
      </c>
      <c r="D100" s="13" t="str">
        <f>IFERROR(__xludf.DUMMYFUNCTION("""COMPUTED_VALUE"""),"K/11/181024/1")</f>
        <v>K/11/181024/1</v>
      </c>
      <c r="E100" s="14" t="str">
        <f>IFERROR(__xludf.DUMMYFUNCTION("""COMPUTED_VALUE"""),"Nadian (BT)")</f>
        <v>Nadian (BT)</v>
      </c>
      <c r="F100" s="14" t="str">
        <f>IFERROR(__xludf.DUMMYFUNCTION("""COMPUTED_VALUE"""),"SELESAI")</f>
        <v>SELESAI</v>
      </c>
      <c r="G100" s="17">
        <f>IFERROR(__xludf.DUMMYFUNCTION("""COMPUTED_VALUE"""),45596.69040872685)</f>
        <v>45596.69041</v>
      </c>
      <c r="H100" s="14" t="str">
        <f>IFERROR(__xludf.DUMMYFUNCTION("""COMPUTED_VALUE"""),"Bu Eva (SU)")</f>
        <v>Bu Eva (SU)</v>
      </c>
      <c r="I100" s="13" t="str">
        <f>IFERROR(__xludf.DUMMYFUNCTION("""COMPUTED_VALUE"""),"SELESAI (VIA PERMOHONAN)")</f>
        <v>SELESAI (VIA PERMOHONAN)</v>
      </c>
      <c r="J100" s="17">
        <f>IFERROR(__xludf.DUMMYFUNCTION("""COMPUTED_VALUE"""),45597.5800762963)</f>
        <v>45597.58008</v>
      </c>
      <c r="K100" s="13" t="str">
        <f>IFERROR(__xludf.DUMMYFUNCTION("""COMPUTED_VALUE"""),"Selesai")</f>
        <v>Selesai</v>
      </c>
      <c r="L100" s="17">
        <f>IFERROR(__xludf.DUMMYFUNCTION("""COMPUTED_VALUE"""),45597.5800762963)</f>
        <v>45597.58008</v>
      </c>
      <c r="M100" s="17">
        <f>IFERROR(__xludf.DUMMYFUNCTION("""COMPUTED_VALUE"""),45600.374766319444)</f>
        <v>45600.37477</v>
      </c>
      <c r="N100" s="13" t="str">
        <f>IFERROR(__xludf.DUMMYFUNCTION("""COMPUTED_VALUE"""),"")</f>
        <v/>
      </c>
      <c r="O100" s="13" t="str">
        <f t="shared" si="1"/>
        <v/>
      </c>
    </row>
    <row r="101" ht="22.5" customHeight="1">
      <c r="B101" s="13">
        <f>IFERROR(__xludf.DUMMYFUNCTION("""COMPUTED_VALUE"""),96.0)</f>
        <v>96</v>
      </c>
      <c r="C101" s="13" t="str">
        <f>IFERROR(__xludf.DUMMYFUNCTION("""COMPUTED_VALUE"""),"HM 1472/DURIAN PAYUNG")</f>
        <v>HM 1472/DURIAN PAYUNG</v>
      </c>
      <c r="D101" s="13" t="str">
        <f>IFERROR(__xludf.DUMMYFUNCTION("""COMPUTED_VALUE"""),"L/27/291024/1")</f>
        <v>L/27/291024/1</v>
      </c>
      <c r="E101" s="14" t="str">
        <f>IFERROR(__xludf.DUMMYFUNCTION("""COMPUTED_VALUE"""),"Afriza (BT)")</f>
        <v>Afriza (BT)</v>
      </c>
      <c r="F101" s="14" t="str">
        <f>IFERROR(__xludf.DUMMYFUNCTION("""COMPUTED_VALUE"""),"SELESAI")</f>
        <v>SELESAI</v>
      </c>
      <c r="G101" s="17">
        <f>IFERROR(__xludf.DUMMYFUNCTION("""COMPUTED_VALUE"""),45597.36600983796)</f>
        <v>45597.36601</v>
      </c>
      <c r="H101" s="14" t="str">
        <f>IFERROR(__xludf.DUMMYFUNCTION("""COMPUTED_VALUE"""),"Aprill (SU)")</f>
        <v>Aprill (SU)</v>
      </c>
      <c r="I101" s="13" t="str">
        <f>IFERROR(__xludf.DUMMYFUNCTION("""COMPUTED_VALUE"""),"SELESAI")</f>
        <v>SELESAI</v>
      </c>
      <c r="J101" s="17">
        <f>IFERROR(__xludf.DUMMYFUNCTION("""COMPUTED_VALUE"""),45597.580994247684)</f>
        <v>45597.58099</v>
      </c>
      <c r="K101" s="13" t="str">
        <f>IFERROR(__xludf.DUMMYFUNCTION("""COMPUTED_VALUE"""),"SELESAI")</f>
        <v>SELESAI</v>
      </c>
      <c r="L101" s="17">
        <f>IFERROR(__xludf.DUMMYFUNCTION("""COMPUTED_VALUE"""),45597.580994247684)</f>
        <v>45597.58099</v>
      </c>
      <c r="M101" s="17" t="str">
        <f>IFERROR(__xludf.DUMMYFUNCTION("""COMPUTED_VALUE"""),"")</f>
        <v/>
      </c>
      <c r="N101" s="17">
        <f>IFERROR(__xludf.DUMMYFUNCTION("""COMPUTED_VALUE"""),45600.36860271991)</f>
        <v>45600.3686</v>
      </c>
      <c r="O101" s="13">
        <f t="shared" si="1"/>
        <v>1</v>
      </c>
    </row>
    <row r="102" ht="22.5" customHeight="1">
      <c r="B102" s="13">
        <f>IFERROR(__xludf.DUMMYFUNCTION("""COMPUTED_VALUE"""),97.0)</f>
        <v>97</v>
      </c>
      <c r="C102" s="13" t="str">
        <f>IFERROR(__xludf.DUMMYFUNCTION("""COMPUTED_VALUE"""),"M. 9298/ Rajabasa")</f>
        <v>M. 9298/ Rajabasa</v>
      </c>
      <c r="D102" s="13" t="str">
        <f>IFERROR(__xludf.DUMMYFUNCTION("""COMPUTED_VALUE"""),"K/29/291024/1")</f>
        <v>K/29/291024/1</v>
      </c>
      <c r="E102" s="14" t="str">
        <f>IFERROR(__xludf.DUMMYFUNCTION("""COMPUTED_VALUE"""),"Afriza (BT)")</f>
        <v>Afriza (BT)</v>
      </c>
      <c r="F102" s="14" t="str">
        <f>IFERROR(__xludf.DUMMYFUNCTION("""COMPUTED_VALUE"""),"SELESAI")</f>
        <v>SELESAI</v>
      </c>
      <c r="G102" s="17">
        <f>IFERROR(__xludf.DUMMYFUNCTION("""COMPUTED_VALUE"""),45597.366270046296)</f>
        <v>45597.36627</v>
      </c>
      <c r="H102" s="14" t="str">
        <f>IFERROR(__xludf.DUMMYFUNCTION("""COMPUTED_VALUE"""),"Aprill (SU)")</f>
        <v>Aprill (SU)</v>
      </c>
      <c r="I102" s="13" t="str">
        <f>IFERROR(__xludf.DUMMYFUNCTION("""COMPUTED_VALUE"""),"SELESAI")</f>
        <v>SELESAI</v>
      </c>
      <c r="J102" s="17">
        <f>IFERROR(__xludf.DUMMYFUNCTION("""COMPUTED_VALUE"""),45597.58100913194)</f>
        <v>45597.58101</v>
      </c>
      <c r="K102" s="13" t="str">
        <f>IFERROR(__xludf.DUMMYFUNCTION("""COMPUTED_VALUE"""),"SELESAI")</f>
        <v>SELESAI</v>
      </c>
      <c r="L102" s="17">
        <f>IFERROR(__xludf.DUMMYFUNCTION("""COMPUTED_VALUE"""),45597.58100913194)</f>
        <v>45597.58101</v>
      </c>
      <c r="M102" s="17" t="str">
        <f>IFERROR(__xludf.DUMMYFUNCTION("""COMPUTED_VALUE"""),"")</f>
        <v/>
      </c>
      <c r="N102" s="17">
        <f>IFERROR(__xludf.DUMMYFUNCTION("""COMPUTED_VALUE"""),45600.36633168982)</f>
        <v>45600.36633</v>
      </c>
      <c r="O102" s="13">
        <f t="shared" si="1"/>
        <v>2</v>
      </c>
    </row>
    <row r="103" ht="22.5" customHeight="1">
      <c r="B103" s="13">
        <f>IFERROR(__xludf.DUMMYFUNCTION("""COMPUTED_VALUE"""),98.0)</f>
        <v>98</v>
      </c>
      <c r="C103" s="13" t="str">
        <f>IFERROR(__xludf.DUMMYFUNCTION("""COMPUTED_VALUE"""),"M. 1126/ Gotong Royong")</f>
        <v>M. 1126/ Gotong Royong</v>
      </c>
      <c r="D103" s="13" t="str">
        <f>IFERROR(__xludf.DUMMYFUNCTION("""COMPUTED_VALUE"""),"K/33/291024/1")</f>
        <v>K/33/291024/1</v>
      </c>
      <c r="E103" s="14" t="str">
        <f>IFERROR(__xludf.DUMMYFUNCTION("""COMPUTED_VALUE"""),"Afriza (BT)")</f>
        <v>Afriza (BT)</v>
      </c>
      <c r="F103" s="14" t="str">
        <f>IFERROR(__xludf.DUMMYFUNCTION("""COMPUTED_VALUE"""),"SELESAI")</f>
        <v>SELESAI</v>
      </c>
      <c r="G103" s="17">
        <f>IFERROR(__xludf.DUMMYFUNCTION("""COMPUTED_VALUE"""),45597.36644702546)</f>
        <v>45597.36645</v>
      </c>
      <c r="H103" s="14" t="str">
        <f>IFERROR(__xludf.DUMMYFUNCTION("""COMPUTED_VALUE"""),"Aprill (SU)")</f>
        <v>Aprill (SU)</v>
      </c>
      <c r="I103" s="13" t="str">
        <f>IFERROR(__xludf.DUMMYFUNCTION("""COMPUTED_VALUE"""),"SELESAI")</f>
        <v>SELESAI</v>
      </c>
      <c r="J103" s="17">
        <f>IFERROR(__xludf.DUMMYFUNCTION("""COMPUTED_VALUE"""),45597.581030057874)</f>
        <v>45597.58103</v>
      </c>
      <c r="K103" s="13" t="str">
        <f>IFERROR(__xludf.DUMMYFUNCTION("""COMPUTED_VALUE"""),"SELESAI")</f>
        <v>SELESAI</v>
      </c>
      <c r="L103" s="17">
        <f>IFERROR(__xludf.DUMMYFUNCTION("""COMPUTED_VALUE"""),45597.581030057874)</f>
        <v>45597.58103</v>
      </c>
      <c r="M103" s="17" t="str">
        <f>IFERROR(__xludf.DUMMYFUNCTION("""COMPUTED_VALUE"""),"")</f>
        <v/>
      </c>
      <c r="N103" s="17">
        <f>IFERROR(__xludf.DUMMYFUNCTION("""COMPUTED_VALUE"""),45600.369310208334)</f>
        <v>45600.36931</v>
      </c>
      <c r="O103" s="13">
        <f t="shared" si="1"/>
        <v>3</v>
      </c>
    </row>
    <row r="104" ht="22.5" customHeight="1">
      <c r="B104" s="13">
        <f>IFERROR(__xludf.DUMMYFUNCTION("""COMPUTED_VALUE"""),99.0)</f>
        <v>99</v>
      </c>
      <c r="C104" s="13" t="str">
        <f>IFERROR(__xludf.DUMMYFUNCTION("""COMPUTED_VALUE"""),"M. 1279/ SUKAJAWA")</f>
        <v>M. 1279/ SUKAJAWA</v>
      </c>
      <c r="D104" s="13" t="str">
        <f>IFERROR(__xludf.DUMMYFUNCTION("""COMPUTED_VALUE"""),"K/34/291024/1")</f>
        <v>K/34/291024/1</v>
      </c>
      <c r="E104" s="14" t="str">
        <f>IFERROR(__xludf.DUMMYFUNCTION("""COMPUTED_VALUE"""),"Afriza (BT)")</f>
        <v>Afriza (BT)</v>
      </c>
      <c r="F104" s="14" t="str">
        <f>IFERROR(__xludf.DUMMYFUNCTION("""COMPUTED_VALUE"""),"SELESAI")</f>
        <v>SELESAI</v>
      </c>
      <c r="G104" s="17">
        <f>IFERROR(__xludf.DUMMYFUNCTION("""COMPUTED_VALUE"""),45597.36658136574)</f>
        <v>45597.36658</v>
      </c>
      <c r="H104" s="14" t="str">
        <f>IFERROR(__xludf.DUMMYFUNCTION("""COMPUTED_VALUE"""),"Aprill (SU)")</f>
        <v>Aprill (SU)</v>
      </c>
      <c r="I104" s="13" t="str">
        <f>IFERROR(__xludf.DUMMYFUNCTION("""COMPUTED_VALUE"""),"SELESAI")</f>
        <v>SELESAI</v>
      </c>
      <c r="J104" s="17">
        <f>IFERROR(__xludf.DUMMYFUNCTION("""COMPUTED_VALUE"""),45597.58104961806)</f>
        <v>45597.58105</v>
      </c>
      <c r="K104" s="13" t="str">
        <f>IFERROR(__xludf.DUMMYFUNCTION("""COMPUTED_VALUE"""),"SELESAI")</f>
        <v>SELESAI</v>
      </c>
      <c r="L104" s="17">
        <f>IFERROR(__xludf.DUMMYFUNCTION("""COMPUTED_VALUE"""),45597.58104961806)</f>
        <v>45597.58105</v>
      </c>
      <c r="M104" s="17" t="str">
        <f>IFERROR(__xludf.DUMMYFUNCTION("""COMPUTED_VALUE"""),"")</f>
        <v/>
      </c>
      <c r="N104" s="17">
        <f>IFERROR(__xludf.DUMMYFUNCTION("""COMPUTED_VALUE"""),45600.36579069444)</f>
        <v>45600.36579</v>
      </c>
      <c r="O104" s="13">
        <f t="shared" si="1"/>
        <v>4</v>
      </c>
    </row>
    <row r="105" ht="22.5" customHeight="1">
      <c r="B105" s="13">
        <f>IFERROR(__xludf.DUMMYFUNCTION("""COMPUTED_VALUE"""),100.0)</f>
        <v>100</v>
      </c>
      <c r="C105" s="13" t="str">
        <f>IFERROR(__xludf.DUMMYFUNCTION("""COMPUTED_VALUE"""),"HM 2643/GUNUNG TERANG")</f>
        <v>HM 2643/GUNUNG TERANG</v>
      </c>
      <c r="D105" s="13" t="str">
        <f>IFERROR(__xludf.DUMMYFUNCTION("""COMPUTED_VALUE"""),"L/48/291024/1")</f>
        <v>L/48/291024/1</v>
      </c>
      <c r="E105" s="14" t="str">
        <f>IFERROR(__xludf.DUMMYFUNCTION("""COMPUTED_VALUE"""),"Afriza (BT)")</f>
        <v>Afriza (BT)</v>
      </c>
      <c r="F105" s="14" t="str">
        <f>IFERROR(__xludf.DUMMYFUNCTION("""COMPUTED_VALUE"""),"SELESAI")</f>
        <v>SELESAI</v>
      </c>
      <c r="G105" s="17">
        <f>IFERROR(__xludf.DUMMYFUNCTION("""COMPUTED_VALUE"""),45597.36689185185)</f>
        <v>45597.36689</v>
      </c>
      <c r="H105" s="14" t="str">
        <f>IFERROR(__xludf.DUMMYFUNCTION("""COMPUTED_VALUE"""),"Aprill (SU)")</f>
        <v>Aprill (SU)</v>
      </c>
      <c r="I105" s="13" t="str">
        <f>IFERROR(__xludf.DUMMYFUNCTION("""COMPUTED_VALUE"""),"SELESAI")</f>
        <v>SELESAI</v>
      </c>
      <c r="J105" s="17">
        <f>IFERROR(__xludf.DUMMYFUNCTION("""COMPUTED_VALUE"""),45597.58110877315)</f>
        <v>45597.58111</v>
      </c>
      <c r="K105" s="13" t="str">
        <f>IFERROR(__xludf.DUMMYFUNCTION("""COMPUTED_VALUE"""),"SELESAI")</f>
        <v>SELESAI</v>
      </c>
      <c r="L105" s="17">
        <f>IFERROR(__xludf.DUMMYFUNCTION("""COMPUTED_VALUE"""),45597.58110877315)</f>
        <v>45597.58111</v>
      </c>
      <c r="M105" s="17" t="str">
        <f>IFERROR(__xludf.DUMMYFUNCTION("""COMPUTED_VALUE"""),"")</f>
        <v/>
      </c>
      <c r="N105" s="17">
        <f>IFERROR(__xludf.DUMMYFUNCTION("""COMPUTED_VALUE"""),45600.36942420139)</f>
        <v>45600.36942</v>
      </c>
      <c r="O105" s="13">
        <f t="shared" si="1"/>
        <v>5</v>
      </c>
    </row>
    <row r="106" ht="22.5" customHeight="1">
      <c r="B106" s="13">
        <f>IFERROR(__xludf.DUMMYFUNCTION("""COMPUTED_VALUE"""),101.0)</f>
        <v>101</v>
      </c>
      <c r="C106" s="13" t="str">
        <f>IFERROR(__xludf.DUMMYFUNCTION("""COMPUTED_VALUE"""),"M.600/RAJABASA NUNYAI")</f>
        <v>M.600/RAJABASA NUNYAI</v>
      </c>
      <c r="D106" s="13" t="str">
        <f>IFERROR(__xludf.DUMMYFUNCTION("""COMPUTED_VALUE"""),"K/42/291024/4")</f>
        <v>K/42/291024/4</v>
      </c>
      <c r="E106" s="14" t="str">
        <f>IFERROR(__xludf.DUMMYFUNCTION("""COMPUTED_VALUE"""),"Afriza (BT)")</f>
        <v>Afriza (BT)</v>
      </c>
      <c r="F106" s="14" t="str">
        <f>IFERROR(__xludf.DUMMYFUNCTION("""COMPUTED_VALUE"""),"SELESAI")</f>
        <v>SELESAI</v>
      </c>
      <c r="G106" s="17">
        <f>IFERROR(__xludf.DUMMYFUNCTION("""COMPUTED_VALUE"""),45597.367075636575)</f>
        <v>45597.36708</v>
      </c>
      <c r="H106" s="14" t="str">
        <f>IFERROR(__xludf.DUMMYFUNCTION("""COMPUTED_VALUE"""),"Aprill (SU)")</f>
        <v>Aprill (SU)</v>
      </c>
      <c r="I106" s="13" t="str">
        <f>IFERROR(__xludf.DUMMYFUNCTION("""COMPUTED_VALUE"""),"SELESAI")</f>
        <v>SELESAI</v>
      </c>
      <c r="J106" s="17">
        <f>IFERROR(__xludf.DUMMYFUNCTION("""COMPUTED_VALUE"""),45597.58115416666)</f>
        <v>45597.58115</v>
      </c>
      <c r="K106" s="13" t="str">
        <f>IFERROR(__xludf.DUMMYFUNCTION("""COMPUTED_VALUE"""),"SELESAI")</f>
        <v>SELESAI</v>
      </c>
      <c r="L106" s="17">
        <f>IFERROR(__xludf.DUMMYFUNCTION("""COMPUTED_VALUE"""),45597.58115416666)</f>
        <v>45597.58115</v>
      </c>
      <c r="M106" s="17" t="str">
        <f>IFERROR(__xludf.DUMMYFUNCTION("""COMPUTED_VALUE"""),"")</f>
        <v/>
      </c>
      <c r="N106" s="17">
        <f>IFERROR(__xludf.DUMMYFUNCTION("""COMPUTED_VALUE"""),45600.36964246527)</f>
        <v>45600.36964</v>
      </c>
      <c r="O106" s="13">
        <f t="shared" si="1"/>
        <v>6</v>
      </c>
    </row>
    <row r="107" ht="22.5" customHeight="1">
      <c r="B107" s="13">
        <f>IFERROR(__xludf.DUMMYFUNCTION("""COMPUTED_VALUE"""),102.0)</f>
        <v>102</v>
      </c>
      <c r="C107" s="13" t="str">
        <f>IFERROR(__xludf.DUMMYFUNCTION("""COMPUTED_VALUE"""),"HM 29/RAJABASA NUNYAI")</f>
        <v>HM 29/RAJABASA NUNYAI</v>
      </c>
      <c r="D107" s="13" t="str">
        <f>IFERROR(__xludf.DUMMYFUNCTION("""COMPUTED_VALUE"""),"L/38/291024/1")</f>
        <v>L/38/291024/1</v>
      </c>
      <c r="E107" s="14" t="str">
        <f>IFERROR(__xludf.DUMMYFUNCTION("""COMPUTED_VALUE"""),"Afriza (BT)")</f>
        <v>Afriza (BT)</v>
      </c>
      <c r="F107" s="14" t="str">
        <f>IFERROR(__xludf.DUMMYFUNCTION("""COMPUTED_VALUE"""),"SELESAI")</f>
        <v>SELESAI</v>
      </c>
      <c r="G107" s="17">
        <f>IFERROR(__xludf.DUMMYFUNCTION("""COMPUTED_VALUE"""),45597.367238182866)</f>
        <v>45597.36724</v>
      </c>
      <c r="H107" s="14" t="str">
        <f>IFERROR(__xludf.DUMMYFUNCTION("""COMPUTED_VALUE"""),"Aprill (SU)")</f>
        <v>Aprill (SU)</v>
      </c>
      <c r="I107" s="13" t="str">
        <f>IFERROR(__xludf.DUMMYFUNCTION("""COMPUTED_VALUE"""),"SELESAI")</f>
        <v>SELESAI</v>
      </c>
      <c r="J107" s="17">
        <f>IFERROR(__xludf.DUMMYFUNCTION("""COMPUTED_VALUE"""),45597.58117128472)</f>
        <v>45597.58117</v>
      </c>
      <c r="K107" s="13" t="str">
        <f>IFERROR(__xludf.DUMMYFUNCTION("""COMPUTED_VALUE"""),"SELESAI")</f>
        <v>SELESAI</v>
      </c>
      <c r="L107" s="17">
        <f>IFERROR(__xludf.DUMMYFUNCTION("""COMPUTED_VALUE"""),45597.58117128472)</f>
        <v>45597.58117</v>
      </c>
      <c r="M107" s="17" t="str">
        <f>IFERROR(__xludf.DUMMYFUNCTION("""COMPUTED_VALUE"""),"")</f>
        <v/>
      </c>
      <c r="N107" s="17">
        <f>IFERROR(__xludf.DUMMYFUNCTION("""COMPUTED_VALUE"""),45600.37061346065)</f>
        <v>45600.37061</v>
      </c>
      <c r="O107" s="13">
        <f t="shared" si="1"/>
        <v>7</v>
      </c>
    </row>
    <row r="108" ht="22.5" customHeight="1">
      <c r="B108" s="13">
        <f>IFERROR(__xludf.DUMMYFUNCTION("""COMPUTED_VALUE"""),103.0)</f>
        <v>103</v>
      </c>
      <c r="C108" s="13" t="str">
        <f>IFERROR(__xludf.DUMMYFUNCTION("""COMPUTED_VALUE"""),"M.715/PINANG JAYA")</f>
        <v>M.715/PINANG JAYA</v>
      </c>
      <c r="D108" s="13" t="str">
        <f>IFERROR(__xludf.DUMMYFUNCTION("""COMPUTED_VALUE"""),"L/16/291024/1")</f>
        <v>L/16/291024/1</v>
      </c>
      <c r="E108" s="14" t="str">
        <f>IFERROR(__xludf.DUMMYFUNCTION("""COMPUTED_VALUE"""),"Afriza (BT)")</f>
        <v>Afriza (BT)</v>
      </c>
      <c r="F108" s="14" t="str">
        <f>IFERROR(__xludf.DUMMYFUNCTION("""COMPUTED_VALUE"""),"SELESAI")</f>
        <v>SELESAI</v>
      </c>
      <c r="G108" s="17">
        <f>IFERROR(__xludf.DUMMYFUNCTION("""COMPUTED_VALUE"""),45597.36752767361)</f>
        <v>45597.36753</v>
      </c>
      <c r="H108" s="14" t="str">
        <f>IFERROR(__xludf.DUMMYFUNCTION("""COMPUTED_VALUE"""),"Aprill (SU)")</f>
        <v>Aprill (SU)</v>
      </c>
      <c r="I108" s="13" t="str">
        <f>IFERROR(__xludf.DUMMYFUNCTION("""COMPUTED_VALUE"""),"SELESAI")</f>
        <v>SELESAI</v>
      </c>
      <c r="J108" s="17">
        <f>IFERROR(__xludf.DUMMYFUNCTION("""COMPUTED_VALUE"""),45597.58122739583)</f>
        <v>45597.58123</v>
      </c>
      <c r="K108" s="13" t="str">
        <f>IFERROR(__xludf.DUMMYFUNCTION("""COMPUTED_VALUE"""),"SELESAI")</f>
        <v>SELESAI</v>
      </c>
      <c r="L108" s="17">
        <f>IFERROR(__xludf.DUMMYFUNCTION("""COMPUTED_VALUE"""),45597.58122739583)</f>
        <v>45597.58123</v>
      </c>
      <c r="M108" s="17" t="str">
        <f>IFERROR(__xludf.DUMMYFUNCTION("""COMPUTED_VALUE"""),"")</f>
        <v/>
      </c>
      <c r="N108" s="17">
        <f>IFERROR(__xludf.DUMMYFUNCTION("""COMPUTED_VALUE"""),45600.36912130787)</f>
        <v>45600.36912</v>
      </c>
      <c r="O108" s="13">
        <f t="shared" si="1"/>
        <v>8</v>
      </c>
    </row>
    <row r="109" ht="22.5" customHeight="1">
      <c r="B109" s="13">
        <f>IFERROR(__xludf.DUMMYFUNCTION("""COMPUTED_VALUE"""),104.0)</f>
        <v>104</v>
      </c>
      <c r="C109" s="13" t="str">
        <f>IFERROR(__xludf.DUMMYFUNCTION("""COMPUTED_VALUE"""),"M. 141/ Talang (gedung pakuon Talang)")</f>
        <v>M. 141/ Talang (gedung pakuon Talang)</v>
      </c>
      <c r="D109" s="13" t="str">
        <f>IFERROR(__xludf.DUMMYFUNCTION("""COMPUTED_VALUE"""),"K/38/011124/2")</f>
        <v>K/38/011124/2</v>
      </c>
      <c r="E109" s="14" t="str">
        <f>IFERROR(__xludf.DUMMYFUNCTION("""COMPUTED_VALUE"""),"Afriza (BT)")</f>
        <v>Afriza (BT)</v>
      </c>
      <c r="F109" s="14" t="str">
        <f>IFERROR(__xludf.DUMMYFUNCTION("""COMPUTED_VALUE"""),"SELESAI")</f>
        <v>SELESAI</v>
      </c>
      <c r="G109" s="17">
        <f>IFERROR(__xludf.DUMMYFUNCTION("""COMPUTED_VALUE"""),45600.44657641204)</f>
        <v>45600.44658</v>
      </c>
      <c r="H109" s="14" t="str">
        <f>IFERROR(__xludf.DUMMYFUNCTION("""COMPUTED_VALUE"""),"Aprill (SU)")</f>
        <v>Aprill (SU)</v>
      </c>
      <c r="I109" s="13" t="str">
        <f>IFERROR(__xludf.DUMMYFUNCTION("""COMPUTED_VALUE"""),"SELESAI")</f>
        <v>SELESAI</v>
      </c>
      <c r="J109" s="17">
        <f>IFERROR(__xludf.DUMMYFUNCTION("""COMPUTED_VALUE"""),45601.374567314815)</f>
        <v>45601.37457</v>
      </c>
      <c r="K109" s="13" t="str">
        <f>IFERROR(__xludf.DUMMYFUNCTION("""COMPUTED_VALUE"""),"SELESAI")</f>
        <v>SELESAI</v>
      </c>
      <c r="L109" s="17">
        <f>IFERROR(__xludf.DUMMYFUNCTION("""COMPUTED_VALUE"""),45601.374567314815)</f>
        <v>45601.37457</v>
      </c>
      <c r="M109" s="17" t="str">
        <f>IFERROR(__xludf.DUMMYFUNCTION("""COMPUTED_VALUE"""),"")</f>
        <v/>
      </c>
      <c r="N109" s="17">
        <f>IFERROR(__xludf.DUMMYFUNCTION("""COMPUTED_VALUE"""),45601.375009421296)</f>
        <v>45601.37501</v>
      </c>
      <c r="O109" s="13">
        <f t="shared" si="1"/>
        <v>9</v>
      </c>
    </row>
    <row r="110" ht="22.5" customHeight="1">
      <c r="B110" s="13">
        <f>IFERROR(__xludf.DUMMYFUNCTION("""COMPUTED_VALUE"""),105.0)</f>
        <v>105</v>
      </c>
      <c r="C110" s="13" t="str">
        <f>IFERROR(__xludf.DUMMYFUNCTION("""COMPUTED_VALUE"""),"M.3135/TANJUNG SENENG")</f>
        <v>M.3135/TANJUNG SENENG</v>
      </c>
      <c r="D110" s="13" t="str">
        <f>IFERROR(__xludf.DUMMYFUNCTION("""COMPUTED_VALUE"""),"K/23/311024/1")</f>
        <v>K/23/311024/1</v>
      </c>
      <c r="E110" s="14" t="str">
        <f>IFERROR(__xludf.DUMMYFUNCTION("""COMPUTED_VALUE"""),"Afriza (BT)")</f>
        <v>Afriza (BT)</v>
      </c>
      <c r="F110" s="14" t="str">
        <f>IFERROR(__xludf.DUMMYFUNCTION("""COMPUTED_VALUE"""),"SELESAI")</f>
        <v>SELESAI</v>
      </c>
      <c r="G110" s="17">
        <f>IFERROR(__xludf.DUMMYFUNCTION("""COMPUTED_VALUE"""),45600.44680287037)</f>
        <v>45600.4468</v>
      </c>
      <c r="H110" s="14" t="str">
        <f>IFERROR(__xludf.DUMMYFUNCTION("""COMPUTED_VALUE"""),"Aprill (SU)")</f>
        <v>Aprill (SU)</v>
      </c>
      <c r="I110" s="13" t="str">
        <f>IFERROR(__xludf.DUMMYFUNCTION("""COMPUTED_VALUE"""),"SELESAI")</f>
        <v>SELESAI</v>
      </c>
      <c r="J110" s="17">
        <f>IFERROR(__xludf.DUMMYFUNCTION("""COMPUTED_VALUE"""),45601.37460928241)</f>
        <v>45601.37461</v>
      </c>
      <c r="K110" s="13" t="str">
        <f>IFERROR(__xludf.DUMMYFUNCTION("""COMPUTED_VALUE"""),"SELESAI")</f>
        <v>SELESAI</v>
      </c>
      <c r="L110" s="17">
        <f>IFERROR(__xludf.DUMMYFUNCTION("""COMPUTED_VALUE"""),45601.37460928241)</f>
        <v>45601.37461</v>
      </c>
      <c r="M110" s="17" t="str">
        <f>IFERROR(__xludf.DUMMYFUNCTION("""COMPUTED_VALUE"""),"")</f>
        <v/>
      </c>
      <c r="N110" s="17">
        <f>IFERROR(__xludf.DUMMYFUNCTION("""COMPUTED_VALUE"""),45601.375029780094)</f>
        <v>45601.37503</v>
      </c>
      <c r="O110" s="13">
        <f t="shared" si="1"/>
        <v>10</v>
      </c>
    </row>
    <row r="111" ht="22.5" customHeight="1">
      <c r="B111" s="13">
        <f>IFERROR(__xludf.DUMMYFUNCTION("""COMPUTED_VALUE"""),106.0)</f>
        <v>106</v>
      </c>
      <c r="C111" s="13" t="str">
        <f>IFERROR(__xludf.DUMMYFUNCTION("""COMPUTED_VALUE"""),"M. 963; 932/ Pengajaran; SHT2637/2017 dan SHT 2144/2017")</f>
        <v>M. 963; 932/ Pengajaran; SHT2637/2017 dan SHT 2144/2017</v>
      </c>
      <c r="D111" s="13" t="str">
        <f>IFERROR(__xludf.DUMMYFUNCTION("""COMPUTED_VALUE"""),"K/39/011124/3")</f>
        <v>K/39/011124/3</v>
      </c>
      <c r="E111" s="14" t="str">
        <f>IFERROR(__xludf.DUMMYFUNCTION("""COMPUTED_VALUE"""),"Nadian (BT)")</f>
        <v>Nadian (BT)</v>
      </c>
      <c r="F111" s="14" t="str">
        <f>IFERROR(__xludf.DUMMYFUNCTION("""COMPUTED_VALUE"""),"SELESAI")</f>
        <v>SELESAI</v>
      </c>
      <c r="G111" s="17">
        <f>IFERROR(__xludf.DUMMYFUNCTION("""COMPUTED_VALUE"""),45600.638156863424)</f>
        <v>45600.63816</v>
      </c>
      <c r="H111" s="14" t="str">
        <f>IFERROR(__xludf.DUMMYFUNCTION("""COMPUTED_VALUE"""),"Bu Eva (SU)")</f>
        <v>Bu Eva (SU)</v>
      </c>
      <c r="I111" s="13" t="str">
        <f>IFERROR(__xludf.DUMMYFUNCTION("""COMPUTED_VALUE"""),"SELESAI")</f>
        <v>SELESAI</v>
      </c>
      <c r="J111" s="17">
        <f>IFERROR(__xludf.DUMMYFUNCTION("""COMPUTED_VALUE"""),45602.584264363424)</f>
        <v>45602.58426</v>
      </c>
      <c r="K111" s="13" t="str">
        <f>IFERROR(__xludf.DUMMYFUNCTION("""COMPUTED_VALUE"""),"SELESAI")</f>
        <v>SELESAI</v>
      </c>
      <c r="L111" s="17">
        <f>IFERROR(__xludf.DUMMYFUNCTION("""COMPUTED_VALUE"""),45602.584264363424)</f>
        <v>45602.58426</v>
      </c>
      <c r="M111" s="17" t="str">
        <f>IFERROR(__xludf.DUMMYFUNCTION("""COMPUTED_VALUE"""),"")</f>
        <v/>
      </c>
      <c r="N111" s="17">
        <f>IFERROR(__xludf.DUMMYFUNCTION("""COMPUTED_VALUE"""),45603.61223983797)</f>
        <v>45603.61224</v>
      </c>
      <c r="O111" s="13">
        <f t="shared" si="1"/>
        <v>11</v>
      </c>
    </row>
    <row r="112" ht="22.5" customHeight="1">
      <c r="B112" s="13">
        <f>IFERROR(__xludf.DUMMYFUNCTION("""COMPUTED_VALUE"""),107.0)</f>
        <v>107</v>
      </c>
      <c r="C112" s="13" t="str">
        <f>IFERROR(__xludf.DUMMYFUNCTION("""COMPUTED_VALUE"""),"M.5014/RAJABASA JAYA-SEKARANG;M.9263/RAJABASA-DAHULU")</f>
        <v>M.5014/RAJABASA JAYA-SEKARANG;M.9263/RAJABASA-DAHULU</v>
      </c>
      <c r="D112" s="13" t="str">
        <f>IFERROR(__xludf.DUMMYFUNCTION("""COMPUTED_VALUE"""),"K/26/011124/1")</f>
        <v>K/26/011124/1</v>
      </c>
      <c r="E112" s="14" t="str">
        <f>IFERROR(__xludf.DUMMYFUNCTION("""COMPUTED_VALUE"""),"Nadian (BT)")</f>
        <v>Nadian (BT)</v>
      </c>
      <c r="F112" s="14" t="str">
        <f>IFERROR(__xludf.DUMMYFUNCTION("""COMPUTED_VALUE"""),"SELESAI")</f>
        <v>SELESAI</v>
      </c>
      <c r="G112" s="17">
        <f>IFERROR(__xludf.DUMMYFUNCTION("""COMPUTED_VALUE"""),45600.63830011574)</f>
        <v>45600.6383</v>
      </c>
      <c r="H112" s="14" t="str">
        <f>IFERROR(__xludf.DUMMYFUNCTION("""COMPUTED_VALUE"""),"Bu Eva (SU)")</f>
        <v>Bu Eva (SU)</v>
      </c>
      <c r="I112" s="13" t="str">
        <f>IFERROR(__xludf.DUMMYFUNCTION("""COMPUTED_VALUE"""),"SELESAI")</f>
        <v>SELESAI</v>
      </c>
      <c r="J112" s="17">
        <f>IFERROR(__xludf.DUMMYFUNCTION("""COMPUTED_VALUE"""),45602.58433149305)</f>
        <v>45602.58433</v>
      </c>
      <c r="K112" s="13" t="str">
        <f>IFERROR(__xludf.DUMMYFUNCTION("""COMPUTED_VALUE"""),"SELESAI")</f>
        <v>SELESAI</v>
      </c>
      <c r="L112" s="17">
        <f>IFERROR(__xludf.DUMMYFUNCTION("""COMPUTED_VALUE"""),45602.58433149305)</f>
        <v>45602.58433</v>
      </c>
      <c r="M112" s="17" t="str">
        <f>IFERROR(__xludf.DUMMYFUNCTION("""COMPUTED_VALUE"""),"")</f>
        <v/>
      </c>
      <c r="N112" s="17">
        <f>IFERROR(__xludf.DUMMYFUNCTION("""COMPUTED_VALUE"""),45603.61223983797)</f>
        <v>45603.61224</v>
      </c>
      <c r="O112" s="13">
        <f t="shared" si="1"/>
        <v>12</v>
      </c>
    </row>
    <row r="113" ht="22.5" customHeight="1">
      <c r="B113" s="13">
        <f>IFERROR(__xludf.DUMMYFUNCTION("""COMPUTED_VALUE"""),108.0)</f>
        <v>108</v>
      </c>
      <c r="C113" s="13" t="str">
        <f>IFERROR(__xludf.DUMMYFUNCTION("""COMPUTED_VALUE"""),"HGB 403/SUKARAME BARU")</f>
        <v>HGB 403/SUKARAME BARU</v>
      </c>
      <c r="D113" s="13" t="str">
        <f>IFERROR(__xludf.DUMMYFUNCTION("""COMPUTED_VALUE"""),"L/2/11124/1")</f>
        <v>L/2/11124/1</v>
      </c>
      <c r="E113" s="14" t="str">
        <f>IFERROR(__xludf.DUMMYFUNCTION("""COMPUTED_VALUE"""),"Nadian (BT)")</f>
        <v>Nadian (BT)</v>
      </c>
      <c r="F113" s="14" t="str">
        <f>IFERROR(__xludf.DUMMYFUNCTION("""COMPUTED_VALUE"""),"SELESAI")</f>
        <v>SELESAI</v>
      </c>
      <c r="G113" s="17">
        <f>IFERROR(__xludf.DUMMYFUNCTION("""COMPUTED_VALUE"""),45600.638736759254)</f>
        <v>45600.63874</v>
      </c>
      <c r="H113" s="14" t="str">
        <f>IFERROR(__xludf.DUMMYFUNCTION("""COMPUTED_VALUE"""),"Bu Eva (SU)")</f>
        <v>Bu Eva (SU)</v>
      </c>
      <c r="I113" s="13" t="str">
        <f>IFERROR(__xludf.DUMMYFUNCTION("""COMPUTED_VALUE"""),"SELESAI")</f>
        <v>SELESAI</v>
      </c>
      <c r="J113" s="17">
        <f>IFERROR(__xludf.DUMMYFUNCTION("""COMPUTED_VALUE"""),45602.58463546296)</f>
        <v>45602.58464</v>
      </c>
      <c r="K113" s="13" t="str">
        <f>IFERROR(__xludf.DUMMYFUNCTION("""COMPUTED_VALUE"""),"SELESAI")</f>
        <v>SELESAI</v>
      </c>
      <c r="L113" s="17">
        <f>IFERROR(__xludf.DUMMYFUNCTION("""COMPUTED_VALUE"""),45602.58463546296)</f>
        <v>45602.58464</v>
      </c>
      <c r="M113" s="17" t="str">
        <f>IFERROR(__xludf.DUMMYFUNCTION("""COMPUTED_VALUE"""),"")</f>
        <v/>
      </c>
      <c r="N113" s="17">
        <f>IFERROR(__xludf.DUMMYFUNCTION("""COMPUTED_VALUE"""),45603.612239849535)</f>
        <v>45603.61224</v>
      </c>
      <c r="O113" s="13">
        <f t="shared" si="1"/>
        <v>13</v>
      </c>
    </row>
    <row r="114" ht="22.5" customHeight="1">
      <c r="B114" s="13">
        <f>IFERROR(__xludf.DUMMYFUNCTION("""COMPUTED_VALUE"""),109.0)</f>
        <v>109</v>
      </c>
      <c r="C114" s="13" t="str">
        <f>IFERROR(__xludf.DUMMYFUNCTION("""COMPUTED_VALUE"""),"HM 1915/GUNUNG TERANG")</f>
        <v>HM 1915/GUNUNG TERANG</v>
      </c>
      <c r="D114" s="13" t="str">
        <f>IFERROR(__xludf.DUMMYFUNCTION("""COMPUTED_VALUE"""),"L/18/311024/1")</f>
        <v>L/18/311024/1</v>
      </c>
      <c r="E114" s="14" t="str">
        <f>IFERROR(__xludf.DUMMYFUNCTION("""COMPUTED_VALUE"""),"Nadian (BT)")</f>
        <v>Nadian (BT)</v>
      </c>
      <c r="F114" s="14" t="str">
        <f>IFERROR(__xludf.DUMMYFUNCTION("""COMPUTED_VALUE"""),"SELESAI")</f>
        <v>SELESAI</v>
      </c>
      <c r="G114" s="17">
        <f>IFERROR(__xludf.DUMMYFUNCTION("""COMPUTED_VALUE"""),45600.63972025463)</f>
        <v>45600.63972</v>
      </c>
      <c r="H114" s="14" t="str">
        <f>IFERROR(__xludf.DUMMYFUNCTION("""COMPUTED_VALUE"""),"Bu Eva (SU)")</f>
        <v>Bu Eva (SU)</v>
      </c>
      <c r="I114" s="13" t="str">
        <f>IFERROR(__xludf.DUMMYFUNCTION("""COMPUTED_VALUE"""),"SELESAI")</f>
        <v>SELESAI</v>
      </c>
      <c r="J114" s="17">
        <f>IFERROR(__xludf.DUMMYFUNCTION("""COMPUTED_VALUE"""),45602.58504824074)</f>
        <v>45602.58505</v>
      </c>
      <c r="K114" s="13" t="str">
        <f>IFERROR(__xludf.DUMMYFUNCTION("""COMPUTED_VALUE"""),"SELESAI")</f>
        <v>SELESAI</v>
      </c>
      <c r="L114" s="17">
        <f>IFERROR(__xludf.DUMMYFUNCTION("""COMPUTED_VALUE"""),45602.58504824074)</f>
        <v>45602.58505</v>
      </c>
      <c r="M114" s="17" t="str">
        <f>IFERROR(__xludf.DUMMYFUNCTION("""COMPUTED_VALUE"""),"")</f>
        <v/>
      </c>
      <c r="N114" s="17">
        <f>IFERROR(__xludf.DUMMYFUNCTION("""COMPUTED_VALUE"""),45603.612239849535)</f>
        <v>45603.61224</v>
      </c>
      <c r="O114" s="13">
        <f t="shared" si="1"/>
        <v>14</v>
      </c>
    </row>
    <row r="115" ht="22.5" customHeight="1">
      <c r="B115" s="13">
        <f>IFERROR(__xludf.DUMMYFUNCTION("""COMPUTED_VALUE"""),110.0)</f>
        <v>110</v>
      </c>
      <c r="C115" s="13" t="str">
        <f>IFERROR(__xludf.DUMMYFUNCTION("""COMPUTED_VALUE"""),"B.1037/CAMPANG JAYA;B.1083/CAMPANG RAYA-DAHULU")</f>
        <v>B.1037/CAMPANG JAYA;B.1083/CAMPANG RAYA-DAHULU</v>
      </c>
      <c r="D115" s="13" t="str">
        <f>IFERROR(__xludf.DUMMYFUNCTION("""COMPUTED_VALUE"""),"L/1/311024/1")</f>
        <v>L/1/311024/1</v>
      </c>
      <c r="E115" s="14" t="str">
        <f>IFERROR(__xludf.DUMMYFUNCTION("""COMPUTED_VALUE"""),"Nadian (BT)")</f>
        <v>Nadian (BT)</v>
      </c>
      <c r="F115" s="14" t="str">
        <f>IFERROR(__xludf.DUMMYFUNCTION("""COMPUTED_VALUE"""),"SELESAI")</f>
        <v>SELESAI</v>
      </c>
      <c r="G115" s="17">
        <f>IFERROR(__xludf.DUMMYFUNCTION("""COMPUTED_VALUE"""),45600.639995844904)</f>
        <v>45600.64</v>
      </c>
      <c r="H115" s="14" t="str">
        <f>IFERROR(__xludf.DUMMYFUNCTION("""COMPUTED_VALUE"""),"Bu Eva (SU)")</f>
        <v>Bu Eva (SU)</v>
      </c>
      <c r="I115" s="13" t="str">
        <f>IFERROR(__xludf.DUMMYFUNCTION("""COMPUTED_VALUE"""),"SELESAI")</f>
        <v>SELESAI</v>
      </c>
      <c r="J115" s="17">
        <f>IFERROR(__xludf.DUMMYFUNCTION("""COMPUTED_VALUE"""),45602.585140995376)</f>
        <v>45602.58514</v>
      </c>
      <c r="K115" s="13" t="str">
        <f>IFERROR(__xludf.DUMMYFUNCTION("""COMPUTED_VALUE"""),"SELESAI")</f>
        <v>SELESAI</v>
      </c>
      <c r="L115" s="17">
        <f>IFERROR(__xludf.DUMMYFUNCTION("""COMPUTED_VALUE"""),45602.585140995376)</f>
        <v>45602.58514</v>
      </c>
      <c r="M115" s="17" t="str">
        <f>IFERROR(__xludf.DUMMYFUNCTION("""COMPUTED_VALUE"""),"")</f>
        <v/>
      </c>
      <c r="N115" s="17">
        <f>IFERROR(__xludf.DUMMYFUNCTION("""COMPUTED_VALUE"""),45603.612239849535)</f>
        <v>45603.61224</v>
      </c>
      <c r="O115" s="13">
        <f t="shared" si="1"/>
        <v>15</v>
      </c>
    </row>
    <row r="116" ht="22.5" customHeight="1">
      <c r="B116" s="13">
        <f>IFERROR(__xludf.DUMMYFUNCTION("""COMPUTED_VALUE"""),111.0)</f>
        <v>111</v>
      </c>
      <c r="C116" s="13" t="str">
        <f>IFERROR(__xludf.DUMMYFUNCTION("""COMPUTED_VALUE"""),"M.2818/GU.T;B.92/GU.T-DAHULU")</f>
        <v>M.2818/GU.T;B.92/GU.T-DAHULU</v>
      </c>
      <c r="D116" s="13" t="str">
        <f>IFERROR(__xludf.DUMMYFUNCTION("""COMPUTED_VALUE"""),"L/27/311024/1")</f>
        <v>L/27/311024/1</v>
      </c>
      <c r="E116" s="14" t="str">
        <f>IFERROR(__xludf.DUMMYFUNCTION("""COMPUTED_VALUE"""),"Nadian (BT)")</f>
        <v>Nadian (BT)</v>
      </c>
      <c r="F116" s="14" t="str">
        <f>IFERROR(__xludf.DUMMYFUNCTION("""COMPUTED_VALUE"""),"SELESAI")</f>
        <v>SELESAI</v>
      </c>
      <c r="G116" s="17">
        <f>IFERROR(__xludf.DUMMYFUNCTION("""COMPUTED_VALUE"""),45600.64034049769)</f>
        <v>45600.64034</v>
      </c>
      <c r="H116" s="14" t="str">
        <f>IFERROR(__xludf.DUMMYFUNCTION("""COMPUTED_VALUE"""),"Bu Eva (SU)")</f>
        <v>Bu Eva (SU)</v>
      </c>
      <c r="I116" s="13" t="str">
        <f>IFERROR(__xludf.DUMMYFUNCTION("""COMPUTED_VALUE"""),"SELESAI")</f>
        <v>SELESAI</v>
      </c>
      <c r="J116" s="17">
        <f>IFERROR(__xludf.DUMMYFUNCTION("""COMPUTED_VALUE"""),45602.585301377316)</f>
        <v>45602.5853</v>
      </c>
      <c r="K116" s="13" t="str">
        <f>IFERROR(__xludf.DUMMYFUNCTION("""COMPUTED_VALUE"""),"SELESAI")</f>
        <v>SELESAI</v>
      </c>
      <c r="L116" s="17">
        <f>IFERROR(__xludf.DUMMYFUNCTION("""COMPUTED_VALUE"""),45602.585301377316)</f>
        <v>45602.5853</v>
      </c>
      <c r="M116" s="17" t="str">
        <f>IFERROR(__xludf.DUMMYFUNCTION("""COMPUTED_VALUE"""),"")</f>
        <v/>
      </c>
      <c r="N116" s="17">
        <f>IFERROR(__xludf.DUMMYFUNCTION("""COMPUTED_VALUE"""),45603.612239849535)</f>
        <v>45603.61224</v>
      </c>
      <c r="O116" s="13">
        <f t="shared" si="1"/>
        <v>16</v>
      </c>
    </row>
    <row r="117" ht="22.5" customHeight="1">
      <c r="B117" s="13">
        <f>IFERROR(__xludf.DUMMYFUNCTION("""COMPUTED_VALUE"""),112.0)</f>
        <v>112</v>
      </c>
      <c r="C117" s="13" t="str">
        <f>IFERROR(__xludf.DUMMYFUNCTION("""COMPUTED_VALUE"""),"B.571/NUSANTARA PERMAI-SEKARANG;B.616/CAMPANG RAYA-DAHULU")</f>
        <v>B.571/NUSANTARA PERMAI-SEKARANG;B.616/CAMPANG RAYA-DAHULU</v>
      </c>
      <c r="D117" s="13" t="str">
        <f>IFERROR(__xludf.DUMMYFUNCTION("""COMPUTED_VALUE"""),"K/36/311024/1")</f>
        <v>K/36/311024/1</v>
      </c>
      <c r="E117" s="14" t="str">
        <f>IFERROR(__xludf.DUMMYFUNCTION("""COMPUTED_VALUE"""),"Nadian (BT)")</f>
        <v>Nadian (BT)</v>
      </c>
      <c r="F117" s="14" t="str">
        <f>IFERROR(__xludf.DUMMYFUNCTION("""COMPUTED_VALUE"""),"SELESAI")</f>
        <v>SELESAI</v>
      </c>
      <c r="G117" s="17">
        <f>IFERROR(__xludf.DUMMYFUNCTION("""COMPUTED_VALUE"""),45600.64071221065)</f>
        <v>45600.64071</v>
      </c>
      <c r="H117" s="14" t="str">
        <f>IFERROR(__xludf.DUMMYFUNCTION("""COMPUTED_VALUE"""),"Bu Eva (SU)")</f>
        <v>Bu Eva (SU)</v>
      </c>
      <c r="I117" s="13" t="str">
        <f>IFERROR(__xludf.DUMMYFUNCTION("""COMPUTED_VALUE"""),"SELESAI")</f>
        <v>SELESAI</v>
      </c>
      <c r="J117" s="17">
        <f>IFERROR(__xludf.DUMMYFUNCTION("""COMPUTED_VALUE"""),45602.585477002314)</f>
        <v>45602.58548</v>
      </c>
      <c r="K117" s="13" t="str">
        <f>IFERROR(__xludf.DUMMYFUNCTION("""COMPUTED_VALUE"""),"SELESAI")</f>
        <v>SELESAI</v>
      </c>
      <c r="L117" s="17">
        <f>IFERROR(__xludf.DUMMYFUNCTION("""COMPUTED_VALUE"""),45602.585477002314)</f>
        <v>45602.58548</v>
      </c>
      <c r="M117" s="17" t="str">
        <f>IFERROR(__xludf.DUMMYFUNCTION("""COMPUTED_VALUE"""),"")</f>
        <v/>
      </c>
      <c r="N117" s="17">
        <f>IFERROR(__xludf.DUMMYFUNCTION("""COMPUTED_VALUE"""),45603.61223986111)</f>
        <v>45603.61224</v>
      </c>
      <c r="O117" s="13">
        <f t="shared" si="1"/>
        <v>17</v>
      </c>
    </row>
    <row r="118" ht="22.5" customHeight="1">
      <c r="B118" s="13">
        <f>IFERROR(__xludf.DUMMYFUNCTION("""COMPUTED_VALUE"""),113.0)</f>
        <v>113</v>
      </c>
      <c r="C118" s="13" t="str">
        <f>IFERROR(__xludf.DUMMYFUNCTION("""COMPUTED_VALUE"""),"M.183/LABUHAN RATU RAYA")</f>
        <v>M.183/LABUHAN RATU RAYA</v>
      </c>
      <c r="D118" s="13" t="str">
        <f>IFERROR(__xludf.DUMMYFUNCTION("""COMPUTED_VALUE"""),"K/39/311024/1")</f>
        <v>K/39/311024/1</v>
      </c>
      <c r="E118" s="14" t="str">
        <f>IFERROR(__xludf.DUMMYFUNCTION("""COMPUTED_VALUE"""),"Nadian (BT)")</f>
        <v>Nadian (BT)</v>
      </c>
      <c r="F118" s="14" t="str">
        <f>IFERROR(__xludf.DUMMYFUNCTION("""COMPUTED_VALUE"""),"SELESAI")</f>
        <v>SELESAI</v>
      </c>
      <c r="G118" s="17">
        <f>IFERROR(__xludf.DUMMYFUNCTION("""COMPUTED_VALUE"""),45600.640884374996)</f>
        <v>45600.64088</v>
      </c>
      <c r="H118" s="14" t="str">
        <f>IFERROR(__xludf.DUMMYFUNCTION("""COMPUTED_VALUE"""),"Bu Eva (SU)")</f>
        <v>Bu Eva (SU)</v>
      </c>
      <c r="I118" s="13" t="str">
        <f>IFERROR(__xludf.DUMMYFUNCTION("""COMPUTED_VALUE"""),"SELESAI")</f>
        <v>SELESAI</v>
      </c>
      <c r="J118" s="17">
        <f>IFERROR(__xludf.DUMMYFUNCTION("""COMPUTED_VALUE"""),45602.5855503125)</f>
        <v>45602.58555</v>
      </c>
      <c r="K118" s="13" t="str">
        <f>IFERROR(__xludf.DUMMYFUNCTION("""COMPUTED_VALUE"""),"SELESAI")</f>
        <v>SELESAI</v>
      </c>
      <c r="L118" s="17">
        <f>IFERROR(__xludf.DUMMYFUNCTION("""COMPUTED_VALUE"""),45602.5855503125)</f>
        <v>45602.58555</v>
      </c>
      <c r="M118" s="17" t="str">
        <f>IFERROR(__xludf.DUMMYFUNCTION("""COMPUTED_VALUE"""),"")</f>
        <v/>
      </c>
      <c r="N118" s="17">
        <f>IFERROR(__xludf.DUMMYFUNCTION("""COMPUTED_VALUE"""),45603.61223986111)</f>
        <v>45603.61224</v>
      </c>
      <c r="O118" s="13">
        <f t="shared" si="1"/>
        <v>18</v>
      </c>
    </row>
    <row r="119" ht="22.5" customHeight="1">
      <c r="B119" s="13">
        <f>IFERROR(__xludf.DUMMYFUNCTION("""COMPUTED_VALUE"""),114.0)</f>
        <v>114</v>
      </c>
      <c r="C119" s="13" t="str">
        <f>IFERROR(__xludf.DUMMYFUNCTION("""COMPUTED_VALUE"""),"M.1183/PERUMNAS WAY KANDIS")</f>
        <v>M.1183/PERUMNAS WAY KANDIS</v>
      </c>
      <c r="D119" s="13" t="str">
        <f>IFERROR(__xludf.DUMMYFUNCTION("""COMPUTED_VALUE"""),"K/40/311024/2")</f>
        <v>K/40/311024/2</v>
      </c>
      <c r="E119" s="14" t="str">
        <f>IFERROR(__xludf.DUMMYFUNCTION("""COMPUTED_VALUE"""),"Nadian (BT)")</f>
        <v>Nadian (BT)</v>
      </c>
      <c r="F119" s="14" t="str">
        <f>IFERROR(__xludf.DUMMYFUNCTION("""COMPUTED_VALUE"""),"SELESAI")</f>
        <v>SELESAI</v>
      </c>
      <c r="G119" s="17">
        <f>IFERROR(__xludf.DUMMYFUNCTION("""COMPUTED_VALUE"""),45600.64109371528)</f>
        <v>45600.64109</v>
      </c>
      <c r="H119" s="14" t="str">
        <f>IFERROR(__xludf.DUMMYFUNCTION("""COMPUTED_VALUE"""),"Bu Eva (SU)")</f>
        <v>Bu Eva (SU)</v>
      </c>
      <c r="I119" s="13" t="str">
        <f>IFERROR(__xludf.DUMMYFUNCTION("""COMPUTED_VALUE"""),"SELESAI")</f>
        <v>SELESAI</v>
      </c>
      <c r="J119" s="17">
        <f>IFERROR(__xludf.DUMMYFUNCTION("""COMPUTED_VALUE"""),45602.58558732639)</f>
        <v>45602.58559</v>
      </c>
      <c r="K119" s="13" t="str">
        <f>IFERROR(__xludf.DUMMYFUNCTION("""COMPUTED_VALUE"""),"SELESAI")</f>
        <v>SELESAI</v>
      </c>
      <c r="L119" s="17">
        <f>IFERROR(__xludf.DUMMYFUNCTION("""COMPUTED_VALUE"""),45602.58558732639)</f>
        <v>45602.58559</v>
      </c>
      <c r="M119" s="17" t="str">
        <f>IFERROR(__xludf.DUMMYFUNCTION("""COMPUTED_VALUE"""),"")</f>
        <v/>
      </c>
      <c r="N119" s="17">
        <f>IFERROR(__xludf.DUMMYFUNCTION("""COMPUTED_VALUE"""),45603.61223986111)</f>
        <v>45603.61224</v>
      </c>
      <c r="O119" s="13">
        <f t="shared" si="1"/>
        <v>19</v>
      </c>
    </row>
    <row r="120" ht="22.5" customHeight="1">
      <c r="B120" s="13">
        <f>IFERROR(__xludf.DUMMYFUNCTION("""COMPUTED_VALUE"""),115.0)</f>
        <v>115</v>
      </c>
      <c r="C120" s="13" t="str">
        <f>IFERROR(__xludf.DUMMYFUNCTION("""COMPUTED_VALUE"""),"M. 1333/ SEPANG JAYA")</f>
        <v>M. 1333/ SEPANG JAYA</v>
      </c>
      <c r="D120" s="13" t="str">
        <f>IFERROR(__xludf.DUMMYFUNCTION("""COMPUTED_VALUE"""),"K/42/311024/1")</f>
        <v>K/42/311024/1</v>
      </c>
      <c r="E120" s="14" t="str">
        <f>IFERROR(__xludf.DUMMYFUNCTION("""COMPUTED_VALUE"""),"Nadian (BT)")</f>
        <v>Nadian (BT)</v>
      </c>
      <c r="F120" s="14" t="str">
        <f>IFERROR(__xludf.DUMMYFUNCTION("""COMPUTED_VALUE"""),"SELESAI")</f>
        <v>SELESAI</v>
      </c>
      <c r="G120" s="17">
        <f>IFERROR(__xludf.DUMMYFUNCTION("""COMPUTED_VALUE"""),45600.64121797454)</f>
        <v>45600.64122</v>
      </c>
      <c r="H120" s="14" t="str">
        <f>IFERROR(__xludf.DUMMYFUNCTION("""COMPUTED_VALUE"""),"Bu Eva (SU)")</f>
        <v>Bu Eva (SU)</v>
      </c>
      <c r="I120" s="13" t="str">
        <f>IFERROR(__xludf.DUMMYFUNCTION("""COMPUTED_VALUE"""),"SELESAI")</f>
        <v>SELESAI</v>
      </c>
      <c r="J120" s="17">
        <f>IFERROR(__xludf.DUMMYFUNCTION("""COMPUTED_VALUE"""),45602.585629884255)</f>
        <v>45602.58563</v>
      </c>
      <c r="K120" s="13" t="str">
        <f>IFERROR(__xludf.DUMMYFUNCTION("""COMPUTED_VALUE"""),"SELESAI")</f>
        <v>SELESAI</v>
      </c>
      <c r="L120" s="17">
        <f>IFERROR(__xludf.DUMMYFUNCTION("""COMPUTED_VALUE"""),45602.585629884255)</f>
        <v>45602.58563</v>
      </c>
      <c r="M120" s="17" t="str">
        <f>IFERROR(__xludf.DUMMYFUNCTION("""COMPUTED_VALUE"""),"")</f>
        <v/>
      </c>
      <c r="N120" s="17">
        <f>IFERROR(__xludf.DUMMYFUNCTION("""COMPUTED_VALUE"""),45603.61223986111)</f>
        <v>45603.61224</v>
      </c>
      <c r="O120" s="13">
        <f t="shared" si="1"/>
        <v>20</v>
      </c>
    </row>
    <row r="121" ht="22.5" customHeight="1">
      <c r="B121" s="13">
        <f>IFERROR(__xludf.DUMMYFUNCTION("""COMPUTED_VALUE"""),116.0)</f>
        <v>116</v>
      </c>
      <c r="C121" s="13" t="str">
        <f>IFERROR(__xludf.DUMMYFUNCTION("""COMPUTED_VALUE"""),"B.698/NEGERI OLOK GADING")</f>
        <v>B.698/NEGERI OLOK GADING</v>
      </c>
      <c r="D121" s="13" t="str">
        <f>IFERROR(__xludf.DUMMYFUNCTION("""COMPUTED_VALUE"""),"K/22/311024/1")</f>
        <v>K/22/311024/1</v>
      </c>
      <c r="E121" s="14" t="str">
        <f>IFERROR(__xludf.DUMMYFUNCTION("""COMPUTED_VALUE"""),"Nadian (BT)")</f>
        <v>Nadian (BT)</v>
      </c>
      <c r="F121" s="14" t="str">
        <f>IFERROR(__xludf.DUMMYFUNCTION("""COMPUTED_VALUE"""),"SELESAI")</f>
        <v>SELESAI</v>
      </c>
      <c r="G121" s="17">
        <f>IFERROR(__xludf.DUMMYFUNCTION("""COMPUTED_VALUE"""),45600.64145635416)</f>
        <v>45600.64146</v>
      </c>
      <c r="H121" s="14" t="str">
        <f>IFERROR(__xludf.DUMMYFUNCTION("""COMPUTED_VALUE"""),"Bu Eva (SU)")</f>
        <v>Bu Eva (SU)</v>
      </c>
      <c r="I121" s="13" t="str">
        <f>IFERROR(__xludf.DUMMYFUNCTION("""COMPUTED_VALUE"""),"SELESAI")</f>
        <v>SELESAI</v>
      </c>
      <c r="J121" s="17">
        <f>IFERROR(__xludf.DUMMYFUNCTION("""COMPUTED_VALUE"""),45602.58581163194)</f>
        <v>45602.58581</v>
      </c>
      <c r="K121" s="13" t="str">
        <f>IFERROR(__xludf.DUMMYFUNCTION("""COMPUTED_VALUE"""),"SELESAI")</f>
        <v>SELESAI</v>
      </c>
      <c r="L121" s="17">
        <f>IFERROR(__xludf.DUMMYFUNCTION("""COMPUTED_VALUE"""),45602.58581163194)</f>
        <v>45602.58581</v>
      </c>
      <c r="M121" s="17" t="str">
        <f>IFERROR(__xludf.DUMMYFUNCTION("""COMPUTED_VALUE"""),"")</f>
        <v/>
      </c>
      <c r="N121" s="17">
        <f>IFERROR(__xludf.DUMMYFUNCTION("""COMPUTED_VALUE"""),45603.61223986111)</f>
        <v>45603.61224</v>
      </c>
      <c r="O121" s="13">
        <f t="shared" si="1"/>
        <v>21</v>
      </c>
    </row>
    <row r="122" ht="22.5" customHeight="1">
      <c r="B122" s="13">
        <f>IFERROR(__xludf.DUMMYFUNCTION("""COMPUTED_VALUE"""),117.0)</f>
        <v>117</v>
      </c>
      <c r="C122" s="13" t="str">
        <f>IFERROR(__xludf.DUMMYFUNCTION("""COMPUTED_VALUE"""),"M. 1871/ Tanjung Seneng")</f>
        <v>M. 1871/ Tanjung Seneng</v>
      </c>
      <c r="D122" s="13" t="str">
        <f>IFERROR(__xludf.DUMMYFUNCTION("""COMPUTED_VALUE"""),"K/66/311024/1")</f>
        <v>K/66/311024/1</v>
      </c>
      <c r="E122" s="14" t="str">
        <f>IFERROR(__xludf.DUMMYFUNCTION("""COMPUTED_VALUE"""),"Nadian (BT)")</f>
        <v>Nadian (BT)</v>
      </c>
      <c r="F122" s="14" t="str">
        <f>IFERROR(__xludf.DUMMYFUNCTION("""COMPUTED_VALUE"""),"SELESAI")</f>
        <v>SELESAI</v>
      </c>
      <c r="G122" s="17">
        <f>IFERROR(__xludf.DUMMYFUNCTION("""COMPUTED_VALUE"""),45600.64160887731)</f>
        <v>45600.64161</v>
      </c>
      <c r="H122" s="14" t="str">
        <f>IFERROR(__xludf.DUMMYFUNCTION("""COMPUTED_VALUE"""),"Bu Eva (SU)")</f>
        <v>Bu Eva (SU)</v>
      </c>
      <c r="I122" s="13" t="str">
        <f>IFERROR(__xludf.DUMMYFUNCTION("""COMPUTED_VALUE"""),"SELESAI (VIA PERMOHONAN)")</f>
        <v>SELESAI (VIA PERMOHONAN)</v>
      </c>
      <c r="J122" s="17">
        <f>IFERROR(__xludf.DUMMYFUNCTION("""COMPUTED_VALUE"""),45601.379838900466)</f>
        <v>45601.37984</v>
      </c>
      <c r="K122" s="13" t="str">
        <f>IFERROR(__xludf.DUMMYFUNCTION("""COMPUTED_VALUE"""),"Selesai")</f>
        <v>Selesai</v>
      </c>
      <c r="L122" s="17">
        <f>IFERROR(__xludf.DUMMYFUNCTION("""COMPUTED_VALUE"""),45601.379838900466)</f>
        <v>45601.37984</v>
      </c>
      <c r="M122" s="17">
        <f>IFERROR(__xludf.DUMMYFUNCTION("""COMPUTED_VALUE"""),45601.379896493054)</f>
        <v>45601.3799</v>
      </c>
      <c r="N122" s="13" t="str">
        <f>IFERROR(__xludf.DUMMYFUNCTION("""COMPUTED_VALUE"""),"")</f>
        <v/>
      </c>
      <c r="O122" s="13" t="str">
        <f t="shared" si="1"/>
        <v/>
      </c>
    </row>
    <row r="123" ht="22.5" customHeight="1">
      <c r="B123" s="13">
        <f>IFERROR(__xludf.DUMMYFUNCTION("""COMPUTED_VALUE"""),118.0)</f>
        <v>118</v>
      </c>
      <c r="C123" s="13" t="str">
        <f>IFERROR(__xludf.DUMMYFUNCTION("""COMPUTED_VALUE"""),"M. 16697/ Sukabumi")</f>
        <v>M. 16697/ Sukabumi</v>
      </c>
      <c r="D123" s="13" t="str">
        <f>IFERROR(__xludf.DUMMYFUNCTION("""COMPUTED_VALUE"""),"K/23/241024/1")</f>
        <v>K/23/241024/1</v>
      </c>
      <c r="E123" s="14" t="str">
        <f>IFERROR(__xludf.DUMMYFUNCTION("""COMPUTED_VALUE"""),"Afriza (BT)")</f>
        <v>Afriza (BT)</v>
      </c>
      <c r="F123" s="14" t="str">
        <f>IFERROR(__xludf.DUMMYFUNCTION("""COMPUTED_VALUE"""),"SELESAI")</f>
        <v>SELESAI</v>
      </c>
      <c r="G123" s="17">
        <f>IFERROR(__xludf.DUMMYFUNCTION("""COMPUTED_VALUE"""),45600.64779076389)</f>
        <v>45600.64779</v>
      </c>
      <c r="H123" s="14" t="str">
        <f>IFERROR(__xludf.DUMMYFUNCTION("""COMPUTED_VALUE"""),"Bu Eva (SU)")</f>
        <v>Bu Eva (SU)</v>
      </c>
      <c r="I123" s="13" t="str">
        <f>IFERROR(__xludf.DUMMYFUNCTION("""COMPUTED_VALUE"""),"SELESAI (VIA PERMOHONAN)")</f>
        <v>SELESAI (VIA PERMOHONAN)</v>
      </c>
      <c r="J123" s="17">
        <f>IFERROR(__xludf.DUMMYFUNCTION("""COMPUTED_VALUE"""),45602.585929548615)</f>
        <v>45602.58593</v>
      </c>
      <c r="K123" s="13" t="str">
        <f>IFERROR(__xludf.DUMMYFUNCTION("""COMPUTED_VALUE"""),"Selesai")</f>
        <v>Selesai</v>
      </c>
      <c r="L123" s="17">
        <f>IFERROR(__xludf.DUMMYFUNCTION("""COMPUTED_VALUE"""),45602.585929548615)</f>
        <v>45602.58593</v>
      </c>
      <c r="M123" s="17">
        <f>IFERROR(__xludf.DUMMYFUNCTION("""COMPUTED_VALUE"""),45603.61223986111)</f>
        <v>45603.61224</v>
      </c>
      <c r="N123" s="13" t="str">
        <f>IFERROR(__xludf.DUMMYFUNCTION("""COMPUTED_VALUE"""),"")</f>
        <v/>
      </c>
      <c r="O123" s="13" t="str">
        <f t="shared" si="1"/>
        <v/>
      </c>
    </row>
    <row r="124" ht="22.5" customHeight="1">
      <c r="B124" s="13">
        <f>IFERROR(__xludf.DUMMYFUNCTION("""COMPUTED_VALUE"""),119.0)</f>
        <v>119</v>
      </c>
      <c r="C124" s="13" t="str">
        <f>IFERROR(__xludf.DUMMYFUNCTION("""COMPUTED_VALUE"""),"M. 4485/ Beringin Raya; B. 1808/ Beringin Raya")</f>
        <v>M. 4485/ Beringin Raya; B. 1808/ Beringin Raya</v>
      </c>
      <c r="D124" s="13" t="str">
        <f>IFERROR(__xludf.DUMMYFUNCTION("""COMPUTED_VALUE"""),"K/30/161024/1")</f>
        <v>K/30/161024/1</v>
      </c>
      <c r="E124" s="14" t="str">
        <f>IFERROR(__xludf.DUMMYFUNCTION("""COMPUTED_VALUE"""),"Afriza (BT)")</f>
        <v>Afriza (BT)</v>
      </c>
      <c r="F124" s="14" t="str">
        <f>IFERROR(__xludf.DUMMYFUNCTION("""COMPUTED_VALUE"""),"SELESAI")</f>
        <v>SELESAI</v>
      </c>
      <c r="G124" s="17">
        <f>IFERROR(__xludf.DUMMYFUNCTION("""COMPUTED_VALUE"""),45601.37781859953)</f>
        <v>45601.37782</v>
      </c>
      <c r="H124" s="14" t="str">
        <f>IFERROR(__xludf.DUMMYFUNCTION("""COMPUTED_VALUE"""),"Bu Eva (SU)")</f>
        <v>Bu Eva (SU)</v>
      </c>
      <c r="I124" s="13" t="str">
        <f>IFERROR(__xludf.DUMMYFUNCTION("""COMPUTED_VALUE"""),"SELESAI (VIA PERMOHONAN)")</f>
        <v>SELESAI (VIA PERMOHONAN)</v>
      </c>
      <c r="J124" s="17">
        <f>IFERROR(__xludf.DUMMYFUNCTION("""COMPUTED_VALUE"""),45602.58628821759)</f>
        <v>45602.58629</v>
      </c>
      <c r="K124" s="13" t="str">
        <f>IFERROR(__xludf.DUMMYFUNCTION("""COMPUTED_VALUE"""),"Selesai")</f>
        <v>Selesai</v>
      </c>
      <c r="L124" s="17">
        <f>IFERROR(__xludf.DUMMYFUNCTION("""COMPUTED_VALUE"""),45602.58628821759)</f>
        <v>45602.58629</v>
      </c>
      <c r="M124" s="17">
        <f>IFERROR(__xludf.DUMMYFUNCTION("""COMPUTED_VALUE"""),45603.61223987269)</f>
        <v>45603.61224</v>
      </c>
      <c r="N124" s="13" t="str">
        <f>IFERROR(__xludf.DUMMYFUNCTION("""COMPUTED_VALUE"""),"")</f>
        <v/>
      </c>
      <c r="O124" s="13" t="str">
        <f t="shared" si="1"/>
        <v/>
      </c>
    </row>
    <row r="125" ht="22.5" customHeight="1">
      <c r="B125" s="13">
        <f>IFERROR(__xludf.DUMMYFUNCTION("""COMPUTED_VALUE"""),120.0)</f>
        <v>120</v>
      </c>
      <c r="C125" s="13" t="str">
        <f>IFERROR(__xludf.DUMMYFUNCTION("""COMPUTED_VALUE"""),"B. 127/ Nusantara Permai")</f>
        <v>B. 127/ Nusantara Permai</v>
      </c>
      <c r="D125" s="13" t="str">
        <f>IFERROR(__xludf.DUMMYFUNCTION("""COMPUTED_VALUE"""),"K/15/011124/2")</f>
        <v>K/15/011124/2</v>
      </c>
      <c r="E125" s="14" t="str">
        <f>IFERROR(__xludf.DUMMYFUNCTION("""COMPUTED_VALUE"""),"Afriza (BT)")</f>
        <v>Afriza (BT)</v>
      </c>
      <c r="F125" s="14" t="str">
        <f>IFERROR(__xludf.DUMMYFUNCTION("""COMPUTED_VALUE"""),"SELESAI")</f>
        <v>SELESAI</v>
      </c>
      <c r="G125" s="17">
        <f>IFERROR(__xludf.DUMMYFUNCTION("""COMPUTED_VALUE"""),45601.44204041667)</f>
        <v>45601.44204</v>
      </c>
      <c r="H125" s="14" t="str">
        <f>IFERROR(__xludf.DUMMYFUNCTION("""COMPUTED_VALUE"""),"Bu Eva (SU)")</f>
        <v>Bu Eva (SU)</v>
      </c>
      <c r="I125" s="13" t="str">
        <f>IFERROR(__xludf.DUMMYFUNCTION("""COMPUTED_VALUE"""),"SELESAI")</f>
        <v>SELESAI</v>
      </c>
      <c r="J125" s="17">
        <f>IFERROR(__xludf.DUMMYFUNCTION("""COMPUTED_VALUE"""),45602.58642392361)</f>
        <v>45602.58642</v>
      </c>
      <c r="K125" s="13" t="str">
        <f>IFERROR(__xludf.DUMMYFUNCTION("""COMPUTED_VALUE"""),"SELESAI")</f>
        <v>SELESAI</v>
      </c>
      <c r="L125" s="17">
        <f>IFERROR(__xludf.DUMMYFUNCTION("""COMPUTED_VALUE"""),45602.58642392361)</f>
        <v>45602.58642</v>
      </c>
      <c r="M125" s="17" t="str">
        <f>IFERROR(__xludf.DUMMYFUNCTION("""COMPUTED_VALUE"""),"")</f>
        <v/>
      </c>
      <c r="N125" s="17">
        <f>IFERROR(__xludf.DUMMYFUNCTION("""COMPUTED_VALUE"""),45603.61223987269)</f>
        <v>45603.61224</v>
      </c>
      <c r="O125" s="13">
        <f t="shared" si="1"/>
        <v>1</v>
      </c>
    </row>
    <row r="126" ht="22.5" customHeight="1">
      <c r="B126" s="13">
        <f>IFERROR(__xludf.DUMMYFUNCTION("""COMPUTED_VALUE"""),121.0)</f>
        <v>121</v>
      </c>
      <c r="C126" s="13" t="str">
        <f>IFERROR(__xludf.DUMMYFUNCTION("""COMPUTED_VALUE"""),"HM 1095/GEDONG AIR")</f>
        <v>HM 1095/GEDONG AIR</v>
      </c>
      <c r="D126" s="13" t="str">
        <f>IFERROR(__xludf.DUMMYFUNCTION("""COMPUTED_VALUE"""),"L/18/011124/1")</f>
        <v>L/18/011124/1</v>
      </c>
      <c r="E126" s="14" t="str">
        <f>IFERROR(__xludf.DUMMYFUNCTION("""COMPUTED_VALUE"""),"Afriza (BT)")</f>
        <v>Afriza (BT)</v>
      </c>
      <c r="F126" s="14" t="str">
        <f>IFERROR(__xludf.DUMMYFUNCTION("""COMPUTED_VALUE"""),"SELESAI")</f>
        <v>SELESAI</v>
      </c>
      <c r="G126" s="17">
        <f>IFERROR(__xludf.DUMMYFUNCTION("""COMPUTED_VALUE"""),45601.44229643518)</f>
        <v>45601.4423</v>
      </c>
      <c r="H126" s="14" t="str">
        <f>IFERROR(__xludf.DUMMYFUNCTION("""COMPUTED_VALUE"""),"Bu Eva (SU)")</f>
        <v>Bu Eva (SU)</v>
      </c>
      <c r="I126" s="13" t="str">
        <f>IFERROR(__xludf.DUMMYFUNCTION("""COMPUTED_VALUE"""),"SELESAI")</f>
        <v>SELESAI</v>
      </c>
      <c r="J126" s="17">
        <f>IFERROR(__xludf.DUMMYFUNCTION("""COMPUTED_VALUE"""),45602.586707662034)</f>
        <v>45602.58671</v>
      </c>
      <c r="K126" s="13" t="str">
        <f>IFERROR(__xludf.DUMMYFUNCTION("""COMPUTED_VALUE"""),"SELESAI")</f>
        <v>SELESAI</v>
      </c>
      <c r="L126" s="17">
        <f>IFERROR(__xludf.DUMMYFUNCTION("""COMPUTED_VALUE"""),45602.586707662034)</f>
        <v>45602.58671</v>
      </c>
      <c r="M126" s="17" t="str">
        <f>IFERROR(__xludf.DUMMYFUNCTION("""COMPUTED_VALUE"""),"")</f>
        <v/>
      </c>
      <c r="N126" s="17">
        <f>IFERROR(__xludf.DUMMYFUNCTION("""COMPUTED_VALUE"""),45603.61223987269)</f>
        <v>45603.61224</v>
      </c>
      <c r="O126" s="13">
        <f t="shared" si="1"/>
        <v>2</v>
      </c>
    </row>
    <row r="127" ht="22.5" customHeight="1">
      <c r="B127" s="13">
        <f>IFERROR(__xludf.DUMMYFUNCTION("""COMPUTED_VALUE"""),122.0)</f>
        <v>122</v>
      </c>
      <c r="C127" s="13" t="str">
        <f>IFERROR(__xludf.DUMMYFUNCTION("""COMPUTED_VALUE"""),"M.15228/S I")</f>
        <v>M.15228/S I</v>
      </c>
      <c r="D127" s="13" t="str">
        <f>IFERROR(__xludf.DUMMYFUNCTION("""COMPUTED_VALUE"""),"L/13/301024/1")</f>
        <v>L/13/301024/1</v>
      </c>
      <c r="E127" s="14" t="str">
        <f>IFERROR(__xludf.DUMMYFUNCTION("""COMPUTED_VALUE"""),"Afriza (BT)")</f>
        <v>Afriza (BT)</v>
      </c>
      <c r="F127" s="14" t="str">
        <f>IFERROR(__xludf.DUMMYFUNCTION("""COMPUTED_VALUE"""),"SELESAI")</f>
        <v>SELESAI</v>
      </c>
      <c r="G127" s="17">
        <f>IFERROR(__xludf.DUMMYFUNCTION("""COMPUTED_VALUE"""),45601.44242489584)</f>
        <v>45601.44242</v>
      </c>
      <c r="H127" s="14" t="str">
        <f>IFERROR(__xludf.DUMMYFUNCTION("""COMPUTED_VALUE"""),"Bu Eva (SU)")</f>
        <v>Bu Eva (SU)</v>
      </c>
      <c r="I127" s="13" t="str">
        <f>IFERROR(__xludf.DUMMYFUNCTION("""COMPUTED_VALUE"""),"SELESAI")</f>
        <v>SELESAI</v>
      </c>
      <c r="J127" s="17">
        <f>IFERROR(__xludf.DUMMYFUNCTION("""COMPUTED_VALUE"""),45602.586707662034)</f>
        <v>45602.58671</v>
      </c>
      <c r="K127" s="13" t="str">
        <f>IFERROR(__xludf.DUMMYFUNCTION("""COMPUTED_VALUE"""),"SELESAI")</f>
        <v>SELESAI</v>
      </c>
      <c r="L127" s="17">
        <f>IFERROR(__xludf.DUMMYFUNCTION("""COMPUTED_VALUE"""),45602.586707662034)</f>
        <v>45602.58671</v>
      </c>
      <c r="M127" s="17" t="str">
        <f>IFERROR(__xludf.DUMMYFUNCTION("""COMPUTED_VALUE"""),"")</f>
        <v/>
      </c>
      <c r="N127" s="17">
        <f>IFERROR(__xludf.DUMMYFUNCTION("""COMPUTED_VALUE"""),45603.61223987269)</f>
        <v>45603.61224</v>
      </c>
      <c r="O127" s="13">
        <f t="shared" si="1"/>
        <v>3</v>
      </c>
    </row>
    <row r="128" ht="22.5" customHeight="1">
      <c r="B128" s="13">
        <f>IFERROR(__xludf.DUMMYFUNCTION("""COMPUTED_VALUE"""),123.0)</f>
        <v>123</v>
      </c>
      <c r="C128" s="13" t="str">
        <f>IFERROR(__xludf.DUMMYFUNCTION("""COMPUTED_VALUE"""),"M. 639/ PEMATANG WANGI")</f>
        <v>M. 639/ PEMATANG WANGI</v>
      </c>
      <c r="D128" s="13" t="str">
        <f>IFERROR(__xludf.DUMMYFUNCTION("""COMPUTED_VALUE"""),"K/27/011124/1")</f>
        <v>K/27/011124/1</v>
      </c>
      <c r="E128" s="14" t="str">
        <f>IFERROR(__xludf.DUMMYFUNCTION("""COMPUTED_VALUE"""),"Afriza (BT)")</f>
        <v>Afriza (BT)</v>
      </c>
      <c r="F128" s="14" t="str">
        <f>IFERROR(__xludf.DUMMYFUNCTION("""COMPUTED_VALUE"""),"SELESAI")</f>
        <v>SELESAI</v>
      </c>
      <c r="G128" s="17">
        <f>IFERROR(__xludf.DUMMYFUNCTION("""COMPUTED_VALUE"""),45601.442592418985)</f>
        <v>45601.44259</v>
      </c>
      <c r="H128" s="14" t="str">
        <f>IFERROR(__xludf.DUMMYFUNCTION("""COMPUTED_VALUE"""),"Bu Eva (SU)")</f>
        <v>Bu Eva (SU)</v>
      </c>
      <c r="I128" s="13" t="str">
        <f>IFERROR(__xludf.DUMMYFUNCTION("""COMPUTED_VALUE"""),"SELESAI")</f>
        <v>SELESAI</v>
      </c>
      <c r="J128" s="17">
        <f>IFERROR(__xludf.DUMMYFUNCTION("""COMPUTED_VALUE"""),45602.5868237963)</f>
        <v>45602.58682</v>
      </c>
      <c r="K128" s="13" t="str">
        <f>IFERROR(__xludf.DUMMYFUNCTION("""COMPUTED_VALUE"""),"SELESAI")</f>
        <v>SELESAI</v>
      </c>
      <c r="L128" s="17">
        <f>IFERROR(__xludf.DUMMYFUNCTION("""COMPUTED_VALUE"""),45602.5868237963)</f>
        <v>45602.58682</v>
      </c>
      <c r="M128" s="17" t="str">
        <f>IFERROR(__xludf.DUMMYFUNCTION("""COMPUTED_VALUE"""),"")</f>
        <v/>
      </c>
      <c r="N128" s="17">
        <f>IFERROR(__xludf.DUMMYFUNCTION("""COMPUTED_VALUE"""),45603.61223987269)</f>
        <v>45603.61224</v>
      </c>
      <c r="O128" s="13">
        <f t="shared" si="1"/>
        <v>4</v>
      </c>
    </row>
    <row r="129" ht="22.5" customHeight="1">
      <c r="B129" s="13">
        <f>IFERROR(__xludf.DUMMYFUNCTION("""COMPUTED_VALUE"""),124.0)</f>
        <v>124</v>
      </c>
      <c r="C129" s="13" t="str">
        <f>IFERROR(__xludf.DUMMYFUNCTION("""COMPUTED_VALUE"""),"B.1127/KEMILING PERMAI")</f>
        <v>B.1127/KEMILING PERMAI</v>
      </c>
      <c r="D129" s="13" t="str">
        <f>IFERROR(__xludf.DUMMYFUNCTION("""COMPUTED_VALUE"""),"K/32/011124/1")</f>
        <v>K/32/011124/1</v>
      </c>
      <c r="E129" s="14" t="str">
        <f>IFERROR(__xludf.DUMMYFUNCTION("""COMPUTED_VALUE"""),"Afriza (BT)")</f>
        <v>Afriza (BT)</v>
      </c>
      <c r="F129" s="14" t="str">
        <f>IFERROR(__xludf.DUMMYFUNCTION("""COMPUTED_VALUE"""),"SELESAI")</f>
        <v>SELESAI</v>
      </c>
      <c r="G129" s="17">
        <f>IFERROR(__xludf.DUMMYFUNCTION("""COMPUTED_VALUE"""),45601.4428166088)</f>
        <v>45601.44282</v>
      </c>
      <c r="H129" s="14" t="str">
        <f>IFERROR(__xludf.DUMMYFUNCTION("""COMPUTED_VALUE"""),"Bu Eva (SU)")</f>
        <v>Bu Eva (SU)</v>
      </c>
      <c r="I129" s="13" t="str">
        <f>IFERROR(__xludf.DUMMYFUNCTION("""COMPUTED_VALUE"""),"SELESAI")</f>
        <v>SELESAI</v>
      </c>
      <c r="J129" s="17">
        <f>IFERROR(__xludf.DUMMYFUNCTION("""COMPUTED_VALUE"""),45602.5868237963)</f>
        <v>45602.58682</v>
      </c>
      <c r="K129" s="13" t="str">
        <f>IFERROR(__xludf.DUMMYFUNCTION("""COMPUTED_VALUE"""),"SELESAI")</f>
        <v>SELESAI</v>
      </c>
      <c r="L129" s="17">
        <f>IFERROR(__xludf.DUMMYFUNCTION("""COMPUTED_VALUE"""),45602.5868237963)</f>
        <v>45602.58682</v>
      </c>
      <c r="M129" s="17" t="str">
        <f>IFERROR(__xludf.DUMMYFUNCTION("""COMPUTED_VALUE"""),"")</f>
        <v/>
      </c>
      <c r="N129" s="17">
        <f>IFERROR(__xludf.DUMMYFUNCTION("""COMPUTED_VALUE"""),45603.61223987269)</f>
        <v>45603.61224</v>
      </c>
      <c r="O129" s="13">
        <f t="shared" si="1"/>
        <v>5</v>
      </c>
    </row>
    <row r="130" ht="22.5" customHeight="1">
      <c r="B130" s="13">
        <f>IFERROR(__xludf.DUMMYFUNCTION("""COMPUTED_VALUE"""),125.0)</f>
        <v>125</v>
      </c>
      <c r="C130" s="13" t="str">
        <f>IFERROR(__xludf.DUMMYFUNCTION("""COMPUTED_VALUE"""),"M.1563/KEMILING PERMAI")</f>
        <v>M.1563/KEMILING PERMAI</v>
      </c>
      <c r="D130" s="13" t="str">
        <f>IFERROR(__xludf.DUMMYFUNCTION("""COMPUTED_VALUE"""),"K/10/311024/4")</f>
        <v>K/10/311024/4</v>
      </c>
      <c r="E130" s="14" t="str">
        <f>IFERROR(__xludf.DUMMYFUNCTION("""COMPUTED_VALUE"""),"Afriza (BT)")</f>
        <v>Afriza (BT)</v>
      </c>
      <c r="F130" s="14" t="str">
        <f>IFERROR(__xludf.DUMMYFUNCTION("""COMPUTED_VALUE"""),"SELESAI")</f>
        <v>SELESAI</v>
      </c>
      <c r="G130" s="17">
        <f>IFERROR(__xludf.DUMMYFUNCTION("""COMPUTED_VALUE"""),45601.443305740744)</f>
        <v>45601.44331</v>
      </c>
      <c r="H130" s="14" t="str">
        <f>IFERROR(__xludf.DUMMYFUNCTION("""COMPUTED_VALUE"""),"Bu Eva (SU)")</f>
        <v>Bu Eva (SU)</v>
      </c>
      <c r="I130" s="13" t="str">
        <f>IFERROR(__xludf.DUMMYFUNCTION("""COMPUTED_VALUE"""),"SELESAI")</f>
        <v>SELESAI</v>
      </c>
      <c r="J130" s="17">
        <f>IFERROR(__xludf.DUMMYFUNCTION("""COMPUTED_VALUE"""),45602.58685896991)</f>
        <v>45602.58686</v>
      </c>
      <c r="K130" s="13" t="str">
        <f>IFERROR(__xludf.DUMMYFUNCTION("""COMPUTED_VALUE"""),"SELESAI")</f>
        <v>SELESAI</v>
      </c>
      <c r="L130" s="17">
        <f>IFERROR(__xludf.DUMMYFUNCTION("""COMPUTED_VALUE"""),45602.58685896991)</f>
        <v>45602.58686</v>
      </c>
      <c r="M130" s="17" t="str">
        <f>IFERROR(__xludf.DUMMYFUNCTION("""COMPUTED_VALUE"""),"")</f>
        <v/>
      </c>
      <c r="N130" s="17">
        <f>IFERROR(__xludf.DUMMYFUNCTION("""COMPUTED_VALUE"""),45603.612239884256)</f>
        <v>45603.61224</v>
      </c>
      <c r="O130" s="13">
        <f t="shared" si="1"/>
        <v>6</v>
      </c>
    </row>
    <row r="131" ht="22.5" customHeight="1">
      <c r="B131" s="13">
        <f>IFERROR(__xludf.DUMMYFUNCTION("""COMPUTED_VALUE"""),126.0)</f>
        <v>126</v>
      </c>
      <c r="C131" s="13" t="str">
        <f>IFERROR(__xludf.DUMMYFUNCTION("""COMPUTED_VALUE"""),"M. 520/ Gunung Agung")</f>
        <v>M. 520/ Gunung Agung</v>
      </c>
      <c r="D131" s="13" t="str">
        <f>IFERROR(__xludf.DUMMYFUNCTION("""COMPUTED_VALUE"""),"K/30/311024/2")</f>
        <v>K/30/311024/2</v>
      </c>
      <c r="E131" s="14" t="str">
        <f>IFERROR(__xludf.DUMMYFUNCTION("""COMPUTED_VALUE"""),"Afriza (BT)")</f>
        <v>Afriza (BT)</v>
      </c>
      <c r="F131" s="14" t="str">
        <f>IFERROR(__xludf.DUMMYFUNCTION("""COMPUTED_VALUE"""),"SELESAI")</f>
        <v>SELESAI</v>
      </c>
      <c r="G131" s="17">
        <f>IFERROR(__xludf.DUMMYFUNCTION("""COMPUTED_VALUE"""),45601.443438194445)</f>
        <v>45601.44344</v>
      </c>
      <c r="H131" s="14" t="str">
        <f>IFERROR(__xludf.DUMMYFUNCTION("""COMPUTED_VALUE"""),"Bu Eva (SU)")</f>
        <v>Bu Eva (SU)</v>
      </c>
      <c r="I131" s="13" t="str">
        <f>IFERROR(__xludf.DUMMYFUNCTION("""COMPUTED_VALUE"""),"SELESAI")</f>
        <v>SELESAI</v>
      </c>
      <c r="J131" s="17">
        <f>IFERROR(__xludf.DUMMYFUNCTION("""COMPUTED_VALUE"""),45602.58685896991)</f>
        <v>45602.58686</v>
      </c>
      <c r="K131" s="13" t="str">
        <f>IFERROR(__xludf.DUMMYFUNCTION("""COMPUTED_VALUE"""),"SELESAI")</f>
        <v>SELESAI</v>
      </c>
      <c r="L131" s="17">
        <f>IFERROR(__xludf.DUMMYFUNCTION("""COMPUTED_VALUE"""),45602.58685896991)</f>
        <v>45602.58686</v>
      </c>
      <c r="M131" s="17" t="str">
        <f>IFERROR(__xludf.DUMMYFUNCTION("""COMPUTED_VALUE"""),"")</f>
        <v/>
      </c>
      <c r="N131" s="17">
        <f>IFERROR(__xludf.DUMMYFUNCTION("""COMPUTED_VALUE"""),45603.612239884256)</f>
        <v>45603.61224</v>
      </c>
      <c r="O131" s="13">
        <f t="shared" si="1"/>
        <v>7</v>
      </c>
    </row>
    <row r="132" ht="22.5" customHeight="1">
      <c r="B132" s="13">
        <f>IFERROR(__xludf.DUMMYFUNCTION("""COMPUTED_VALUE"""),127.0)</f>
        <v>127</v>
      </c>
      <c r="C132" s="13" t="str">
        <f>IFERROR(__xludf.DUMMYFUNCTION("""COMPUTED_VALUE"""),"B. 578/ Sumber Agung")</f>
        <v>B. 578/ Sumber Agung</v>
      </c>
      <c r="D132" s="13" t="str">
        <f>IFERROR(__xludf.DUMMYFUNCTION("""COMPUTED_VALUE"""),"K/62/311024/3")</f>
        <v>K/62/311024/3</v>
      </c>
      <c r="E132" s="14" t="str">
        <f>IFERROR(__xludf.DUMMYFUNCTION("""COMPUTED_VALUE"""),"Afriza (BT)")</f>
        <v>Afriza (BT)</v>
      </c>
      <c r="F132" s="14" t="str">
        <f>IFERROR(__xludf.DUMMYFUNCTION("""COMPUTED_VALUE"""),"SELESAI")</f>
        <v>SELESAI</v>
      </c>
      <c r="G132" s="17">
        <f>IFERROR(__xludf.DUMMYFUNCTION("""COMPUTED_VALUE"""),45601.4441080324)</f>
        <v>45601.44411</v>
      </c>
      <c r="H132" s="14" t="str">
        <f>IFERROR(__xludf.DUMMYFUNCTION("""COMPUTED_VALUE"""),"Bu Eva (SU)")</f>
        <v>Bu Eva (SU)</v>
      </c>
      <c r="I132" s="13" t="str">
        <f>IFERROR(__xludf.DUMMYFUNCTION("""COMPUTED_VALUE"""),"SELESAI")</f>
        <v>SELESAI</v>
      </c>
      <c r="J132" s="17">
        <f>IFERROR(__xludf.DUMMYFUNCTION("""COMPUTED_VALUE"""),45602.58699305556)</f>
        <v>45602.58699</v>
      </c>
      <c r="K132" s="13" t="str">
        <f>IFERROR(__xludf.DUMMYFUNCTION("""COMPUTED_VALUE"""),"SELESAI")</f>
        <v>SELESAI</v>
      </c>
      <c r="L132" s="17">
        <f>IFERROR(__xludf.DUMMYFUNCTION("""COMPUTED_VALUE"""),45602.58699305556)</f>
        <v>45602.58699</v>
      </c>
      <c r="M132" s="17" t="str">
        <f>IFERROR(__xludf.DUMMYFUNCTION("""COMPUTED_VALUE"""),"")</f>
        <v/>
      </c>
      <c r="N132" s="17">
        <f>IFERROR(__xludf.DUMMYFUNCTION("""COMPUTED_VALUE"""),45603.612239884256)</f>
        <v>45603.61224</v>
      </c>
      <c r="O132" s="13">
        <f t="shared" si="1"/>
        <v>8</v>
      </c>
    </row>
    <row r="133" ht="22.5" customHeight="1">
      <c r="B133" s="13">
        <f>IFERROR(__xludf.DUMMYFUNCTION("""COMPUTED_VALUE"""),128.0)</f>
        <v>128</v>
      </c>
      <c r="C133" s="13" t="str">
        <f>IFERROR(__xludf.DUMMYFUNCTION("""COMPUTED_VALUE"""),"B. 581/ Sumber Agung")</f>
        <v>B. 581/ Sumber Agung</v>
      </c>
      <c r="D133" s="13" t="str">
        <f>IFERROR(__xludf.DUMMYFUNCTION("""COMPUTED_VALUE"""),"K/57/311024/1")</f>
        <v>K/57/311024/1</v>
      </c>
      <c r="E133" s="14" t="str">
        <f>IFERROR(__xludf.DUMMYFUNCTION("""COMPUTED_VALUE"""),"Afriza (BT)")</f>
        <v>Afriza (BT)</v>
      </c>
      <c r="F133" s="14" t="str">
        <f>IFERROR(__xludf.DUMMYFUNCTION("""COMPUTED_VALUE"""),"SELESAI")</f>
        <v>SELESAI</v>
      </c>
      <c r="G133" s="17">
        <f>IFERROR(__xludf.DUMMYFUNCTION("""COMPUTED_VALUE"""),45601.44421829861)</f>
        <v>45601.44422</v>
      </c>
      <c r="H133" s="14" t="str">
        <f>IFERROR(__xludf.DUMMYFUNCTION("""COMPUTED_VALUE"""),"Bu Eva (SU)")</f>
        <v>Bu Eva (SU)</v>
      </c>
      <c r="I133" s="13" t="str">
        <f>IFERROR(__xludf.DUMMYFUNCTION("""COMPUTED_VALUE"""),"SELESAI")</f>
        <v>SELESAI</v>
      </c>
      <c r="J133" s="17">
        <f>IFERROR(__xludf.DUMMYFUNCTION("""COMPUTED_VALUE"""),45602.58699306713)</f>
        <v>45602.58699</v>
      </c>
      <c r="K133" s="13" t="str">
        <f>IFERROR(__xludf.DUMMYFUNCTION("""COMPUTED_VALUE"""),"SELESAI")</f>
        <v>SELESAI</v>
      </c>
      <c r="L133" s="17">
        <f>IFERROR(__xludf.DUMMYFUNCTION("""COMPUTED_VALUE"""),45602.58699306713)</f>
        <v>45602.58699</v>
      </c>
      <c r="M133" s="17" t="str">
        <f>IFERROR(__xludf.DUMMYFUNCTION("""COMPUTED_VALUE"""),"")</f>
        <v/>
      </c>
      <c r="N133" s="17">
        <f>IFERROR(__xludf.DUMMYFUNCTION("""COMPUTED_VALUE"""),45603.612239884256)</f>
        <v>45603.61224</v>
      </c>
      <c r="O133" s="13">
        <f t="shared" si="1"/>
        <v>9</v>
      </c>
    </row>
    <row r="134" ht="22.5" customHeight="1">
      <c r="B134" s="13">
        <f>IFERROR(__xludf.DUMMYFUNCTION("""COMPUTED_VALUE"""),129.0)</f>
        <v>129</v>
      </c>
      <c r="C134" s="13" t="str">
        <f>IFERROR(__xludf.DUMMYFUNCTION("""COMPUTED_VALUE"""),"M.2446/RAJABASA JAYA")</f>
        <v>M.2446/RAJABASA JAYA</v>
      </c>
      <c r="D134" s="13" t="str">
        <f>IFERROR(__xludf.DUMMYFUNCTION("""COMPUTED_VALUE"""),"K/67/311024/1")</f>
        <v>K/67/311024/1</v>
      </c>
      <c r="E134" s="14" t="str">
        <f>IFERROR(__xludf.DUMMYFUNCTION("""COMPUTED_VALUE"""),"Afriza (BT)")</f>
        <v>Afriza (BT)</v>
      </c>
      <c r="F134" s="14" t="str">
        <f>IFERROR(__xludf.DUMMYFUNCTION("""COMPUTED_VALUE"""),"SELESAI")</f>
        <v>SELESAI</v>
      </c>
      <c r="G134" s="17">
        <f>IFERROR(__xludf.DUMMYFUNCTION("""COMPUTED_VALUE"""),45601.444345324075)</f>
        <v>45601.44435</v>
      </c>
      <c r="H134" s="14" t="str">
        <f>IFERROR(__xludf.DUMMYFUNCTION("""COMPUTED_VALUE"""),"Bu Eva (SU)")</f>
        <v>Bu Eva (SU)</v>
      </c>
      <c r="I134" s="13" t="str">
        <f>IFERROR(__xludf.DUMMYFUNCTION("""COMPUTED_VALUE"""),"SELESAI")</f>
        <v>SELESAI</v>
      </c>
      <c r="J134" s="17">
        <f>IFERROR(__xludf.DUMMYFUNCTION("""COMPUTED_VALUE"""),45602.58706655093)</f>
        <v>45602.58707</v>
      </c>
      <c r="K134" s="13" t="str">
        <f>IFERROR(__xludf.DUMMYFUNCTION("""COMPUTED_VALUE"""),"SELESAI")</f>
        <v>SELESAI</v>
      </c>
      <c r="L134" s="17">
        <f>IFERROR(__xludf.DUMMYFUNCTION("""COMPUTED_VALUE"""),45602.58706655093)</f>
        <v>45602.58707</v>
      </c>
      <c r="M134" s="17" t="str">
        <f>IFERROR(__xludf.DUMMYFUNCTION("""COMPUTED_VALUE"""),"")</f>
        <v/>
      </c>
      <c r="N134" s="17">
        <f>IFERROR(__xludf.DUMMYFUNCTION("""COMPUTED_VALUE"""),45603.612239884256)</f>
        <v>45603.61224</v>
      </c>
      <c r="O134" s="13">
        <f t="shared" si="1"/>
        <v>10</v>
      </c>
    </row>
    <row r="135" ht="22.5" customHeight="1">
      <c r="B135" s="13">
        <f>IFERROR(__xludf.DUMMYFUNCTION("""COMPUTED_VALUE"""),130.0)</f>
        <v>130</v>
      </c>
      <c r="C135" s="13" t="str">
        <f>IFERROR(__xludf.DUMMYFUNCTION("""COMPUTED_VALUE"""),"M.1462/SS.B")</f>
        <v>M.1462/SS.B</v>
      </c>
      <c r="D135" s="13" t="str">
        <f>IFERROR(__xludf.DUMMYFUNCTION("""COMPUTED_VALUE"""),"L/46/311024/1")</f>
        <v>L/46/311024/1</v>
      </c>
      <c r="E135" s="14" t="str">
        <f>IFERROR(__xludf.DUMMYFUNCTION("""COMPUTED_VALUE"""),"Afriza (BT)")</f>
        <v>Afriza (BT)</v>
      </c>
      <c r="F135" s="14" t="str">
        <f>IFERROR(__xludf.DUMMYFUNCTION("""COMPUTED_VALUE"""),"SELESAI")</f>
        <v>SELESAI</v>
      </c>
      <c r="G135" s="17">
        <f>IFERROR(__xludf.DUMMYFUNCTION("""COMPUTED_VALUE"""),45601.44466392361)</f>
        <v>45601.44466</v>
      </c>
      <c r="H135" s="14" t="str">
        <f>IFERROR(__xludf.DUMMYFUNCTION("""COMPUTED_VALUE"""),"Bu Eva (SU)")</f>
        <v>Bu Eva (SU)</v>
      </c>
      <c r="I135" s="13" t="str">
        <f>IFERROR(__xludf.DUMMYFUNCTION("""COMPUTED_VALUE"""),"SELESAI")</f>
        <v>SELESAI</v>
      </c>
      <c r="J135" s="17">
        <f>IFERROR(__xludf.DUMMYFUNCTION("""COMPUTED_VALUE"""),45602.5870665625)</f>
        <v>45602.58707</v>
      </c>
      <c r="K135" s="13" t="str">
        <f>IFERROR(__xludf.DUMMYFUNCTION("""COMPUTED_VALUE"""),"SELESAI")</f>
        <v>SELESAI</v>
      </c>
      <c r="L135" s="17">
        <f>IFERROR(__xludf.DUMMYFUNCTION("""COMPUTED_VALUE"""),45602.5870665625)</f>
        <v>45602.58707</v>
      </c>
      <c r="M135" s="17" t="str">
        <f>IFERROR(__xludf.DUMMYFUNCTION("""COMPUTED_VALUE"""),"")</f>
        <v/>
      </c>
      <c r="N135" s="17">
        <f>IFERROR(__xludf.DUMMYFUNCTION("""COMPUTED_VALUE"""),45603.612239884256)</f>
        <v>45603.61224</v>
      </c>
      <c r="O135" s="13">
        <f t="shared" si="1"/>
        <v>11</v>
      </c>
    </row>
    <row r="136" ht="22.5" customHeight="1">
      <c r="B136" s="13">
        <f>IFERROR(__xludf.DUMMYFUNCTION("""COMPUTED_VALUE"""),131.0)</f>
        <v>131</v>
      </c>
      <c r="C136" s="13" t="str">
        <f>IFERROR(__xludf.DUMMYFUNCTION("""COMPUTED_VALUE"""),"M. 963; 932/ Pengajaran; SHT2637/2017 dan SHT 2144/2017")</f>
        <v>M. 963; 932/ Pengajaran; SHT2637/2017 dan SHT 2144/2017</v>
      </c>
      <c r="D136" s="13" t="str">
        <f>IFERROR(__xludf.DUMMYFUNCTION("""COMPUTED_VALUE"""),"K/39/011124/3")</f>
        <v>K/39/011124/3</v>
      </c>
      <c r="E136" s="14" t="str">
        <f>IFERROR(__xludf.DUMMYFUNCTION("""COMPUTED_VALUE"""),"Afriza (BT)")</f>
        <v>Afriza (BT)</v>
      </c>
      <c r="F136" s="14" t="str">
        <f>IFERROR(__xludf.DUMMYFUNCTION("""COMPUTED_VALUE"""),"SELESAI")</f>
        <v>SELESAI</v>
      </c>
      <c r="G136" s="17">
        <f>IFERROR(__xludf.DUMMYFUNCTION("""COMPUTED_VALUE"""),45601.4454850926)</f>
        <v>45601.44549</v>
      </c>
      <c r="H136" s="14" t="str">
        <f>IFERROR(__xludf.DUMMYFUNCTION("""COMPUTED_VALUE"""),"Bu Eva (SU)")</f>
        <v>Bu Eva (SU)</v>
      </c>
      <c r="I136" s="13" t="str">
        <f>IFERROR(__xludf.DUMMYFUNCTION("""COMPUTED_VALUE"""),"SELESAI")</f>
        <v>SELESAI</v>
      </c>
      <c r="J136" s="17">
        <f>IFERROR(__xludf.DUMMYFUNCTION("""COMPUTED_VALUE"""),45602.58725265047)</f>
        <v>45602.58725</v>
      </c>
      <c r="K136" s="13" t="str">
        <f>IFERROR(__xludf.DUMMYFUNCTION("""COMPUTED_VALUE"""),"SELESAI")</f>
        <v>SELESAI</v>
      </c>
      <c r="L136" s="17">
        <f>IFERROR(__xludf.DUMMYFUNCTION("""COMPUTED_VALUE"""),45602.58725265047)</f>
        <v>45602.58725</v>
      </c>
      <c r="M136" s="17" t="str">
        <f>IFERROR(__xludf.DUMMYFUNCTION("""COMPUTED_VALUE"""),"")</f>
        <v/>
      </c>
      <c r="N136" s="17">
        <f>IFERROR(__xludf.DUMMYFUNCTION("""COMPUTED_VALUE"""),45603.61223989583)</f>
        <v>45603.61224</v>
      </c>
      <c r="O136" s="13">
        <f t="shared" si="1"/>
        <v>12</v>
      </c>
    </row>
    <row r="137" ht="22.5" customHeight="1">
      <c r="B137" s="13">
        <f>IFERROR(__xludf.DUMMYFUNCTION("""COMPUTED_VALUE"""),132.0)</f>
        <v>132</v>
      </c>
      <c r="C137" s="13" t="str">
        <f>IFERROR(__xludf.DUMMYFUNCTION("""COMPUTED_VALUE"""),"M. 12564/ Rajabasa Nunyai; 1137/ Rajabasa Dahulu")</f>
        <v>M. 12564/ Rajabasa Nunyai; 1137/ Rajabasa Dahulu</v>
      </c>
      <c r="D137" s="13" t="str">
        <f>IFERROR(__xludf.DUMMYFUNCTION("""COMPUTED_VALUE"""),"K/27/161024/1")</f>
        <v>K/27/161024/1</v>
      </c>
      <c r="E137" s="14" t="str">
        <f>IFERROR(__xludf.DUMMYFUNCTION("""COMPUTED_VALUE"""),"Nadian (BT)")</f>
        <v>Nadian (BT)</v>
      </c>
      <c r="F137" s="14" t="str">
        <f>IFERROR(__xludf.DUMMYFUNCTION("""COMPUTED_VALUE"""),"SELESAI")</f>
        <v>SELESAI</v>
      </c>
      <c r="G137" s="17">
        <f>IFERROR(__xludf.DUMMYFUNCTION("""COMPUTED_VALUE"""),45601.477051979164)</f>
        <v>45601.47705</v>
      </c>
      <c r="H137" s="14" t="str">
        <f>IFERROR(__xludf.DUMMYFUNCTION("""COMPUTED_VALUE"""),"Aprill (SU)")</f>
        <v>Aprill (SU)</v>
      </c>
      <c r="I137" s="13" t="str">
        <f>IFERROR(__xludf.DUMMYFUNCTION("""COMPUTED_VALUE"""),"SELESAI")</f>
        <v>SELESAI</v>
      </c>
      <c r="J137" s="17">
        <f>IFERROR(__xludf.DUMMYFUNCTION("""COMPUTED_VALUE"""),45602.61868483796)</f>
        <v>45602.61868</v>
      </c>
      <c r="K137" s="13" t="str">
        <f>IFERROR(__xludf.DUMMYFUNCTION("""COMPUTED_VALUE"""),"SELESAI")</f>
        <v>SELESAI</v>
      </c>
      <c r="L137" s="17">
        <f>IFERROR(__xludf.DUMMYFUNCTION("""COMPUTED_VALUE"""),45602.61868483796)</f>
        <v>45602.61868</v>
      </c>
      <c r="M137" s="17" t="str">
        <f>IFERROR(__xludf.DUMMYFUNCTION("""COMPUTED_VALUE"""),"")</f>
        <v/>
      </c>
      <c r="N137" s="17">
        <f>IFERROR(__xludf.DUMMYFUNCTION("""COMPUTED_VALUE"""),45603.61223989583)</f>
        <v>45603.61224</v>
      </c>
      <c r="O137" s="13">
        <f t="shared" si="1"/>
        <v>13</v>
      </c>
    </row>
    <row r="138" ht="22.5" customHeight="1">
      <c r="B138" s="13">
        <f>IFERROR(__xludf.DUMMYFUNCTION("""COMPUTED_VALUE"""),133.0)</f>
        <v>133</v>
      </c>
      <c r="C138" s="13" t="str">
        <f>IFERROR(__xludf.DUMMYFUNCTION("""COMPUTED_VALUE"""),"M. 16697/ Sukabumi")</f>
        <v>M. 16697/ Sukabumi</v>
      </c>
      <c r="D138" s="13" t="str">
        <f>IFERROR(__xludf.DUMMYFUNCTION("""COMPUTED_VALUE"""),"K/23/241024/1")</f>
        <v>K/23/241024/1</v>
      </c>
      <c r="E138" s="14" t="str">
        <f>IFERROR(__xludf.DUMMYFUNCTION("""COMPUTED_VALUE"""),"Nadian (BT)")</f>
        <v>Nadian (BT)</v>
      </c>
      <c r="F138" s="14" t="str">
        <f>IFERROR(__xludf.DUMMYFUNCTION("""COMPUTED_VALUE"""),"SELESAI")</f>
        <v>SELESAI</v>
      </c>
      <c r="G138" s="17">
        <f>IFERROR(__xludf.DUMMYFUNCTION("""COMPUTED_VALUE"""),45601.47707608796)</f>
        <v>45601.47708</v>
      </c>
      <c r="H138" s="14" t="str">
        <f>IFERROR(__xludf.DUMMYFUNCTION("""COMPUTED_VALUE"""),"Aprill (SU)")</f>
        <v>Aprill (SU)</v>
      </c>
      <c r="I138" s="13" t="str">
        <f>IFERROR(__xludf.DUMMYFUNCTION("""COMPUTED_VALUE"""),"SELESAI")</f>
        <v>SELESAI</v>
      </c>
      <c r="J138" s="17">
        <f>IFERROR(__xludf.DUMMYFUNCTION("""COMPUTED_VALUE"""),45602.618707939815)</f>
        <v>45602.61871</v>
      </c>
      <c r="K138" s="13" t="str">
        <f>IFERROR(__xludf.DUMMYFUNCTION("""COMPUTED_VALUE"""),"SELESAI")</f>
        <v>SELESAI</v>
      </c>
      <c r="L138" s="17">
        <f>IFERROR(__xludf.DUMMYFUNCTION("""COMPUTED_VALUE"""),45602.618707939815)</f>
        <v>45602.61871</v>
      </c>
      <c r="M138" s="17" t="str">
        <f>IFERROR(__xludf.DUMMYFUNCTION("""COMPUTED_VALUE"""),"")</f>
        <v/>
      </c>
      <c r="N138" s="17">
        <f>IFERROR(__xludf.DUMMYFUNCTION("""COMPUTED_VALUE"""),45603.61223989583)</f>
        <v>45603.61224</v>
      </c>
      <c r="O138" s="13">
        <f t="shared" si="1"/>
        <v>14</v>
      </c>
    </row>
    <row r="139" ht="22.5" customHeight="1">
      <c r="B139" s="13">
        <f>IFERROR(__xludf.DUMMYFUNCTION("""COMPUTED_VALUE"""),134.0)</f>
        <v>134</v>
      </c>
      <c r="C139" s="13" t="str">
        <f>IFERROR(__xludf.DUMMYFUNCTION("""COMPUTED_VALUE"""),"HM 769/WHP")</f>
        <v>HM 769/WHP</v>
      </c>
      <c r="D139" s="13" t="str">
        <f>IFERROR(__xludf.DUMMYFUNCTION("""COMPUTED_VALUE"""),"L/12/221024/1")</f>
        <v>L/12/221024/1</v>
      </c>
      <c r="E139" s="14" t="str">
        <f>IFERROR(__xludf.DUMMYFUNCTION("""COMPUTED_VALUE"""),"Nadian (BT)")</f>
        <v>Nadian (BT)</v>
      </c>
      <c r="F139" s="14" t="str">
        <f>IFERROR(__xludf.DUMMYFUNCTION("""COMPUTED_VALUE"""),"SELESAI")</f>
        <v>SELESAI</v>
      </c>
      <c r="G139" s="17">
        <f>IFERROR(__xludf.DUMMYFUNCTION("""COMPUTED_VALUE"""),45602.56107667824)</f>
        <v>45602.56108</v>
      </c>
      <c r="H139" s="14" t="str">
        <f>IFERROR(__xludf.DUMMYFUNCTION("""COMPUTED_VALUE"""),"Aprill (SU)")</f>
        <v>Aprill (SU)</v>
      </c>
      <c r="I139" s="13" t="str">
        <f>IFERROR(__xludf.DUMMYFUNCTION("""COMPUTED_VALUE"""),"SELESAI")</f>
        <v>SELESAI</v>
      </c>
      <c r="J139" s="17">
        <f>IFERROR(__xludf.DUMMYFUNCTION("""COMPUTED_VALUE"""),45603.61223990741)</f>
        <v>45603.61224</v>
      </c>
      <c r="K139" s="13" t="str">
        <f>IFERROR(__xludf.DUMMYFUNCTION("""COMPUTED_VALUE"""),"SELESAI")</f>
        <v>SELESAI</v>
      </c>
      <c r="L139" s="17">
        <f>IFERROR(__xludf.DUMMYFUNCTION("""COMPUTED_VALUE"""),45603.61223990741)</f>
        <v>45603.61224</v>
      </c>
      <c r="M139" s="17" t="str">
        <f>IFERROR(__xludf.DUMMYFUNCTION("""COMPUTED_VALUE"""),"")</f>
        <v/>
      </c>
      <c r="N139" s="17">
        <f>IFERROR(__xludf.DUMMYFUNCTION("""COMPUTED_VALUE"""),45603.61244570602)</f>
        <v>45603.61245</v>
      </c>
      <c r="O139" s="13">
        <f t="shared" si="1"/>
        <v>15</v>
      </c>
    </row>
    <row r="140" ht="22.5" customHeight="1">
      <c r="B140" s="13">
        <f>IFERROR(__xludf.DUMMYFUNCTION("""COMPUTED_VALUE"""),135.0)</f>
        <v>135</v>
      </c>
      <c r="C140" s="13" t="str">
        <f>IFERROR(__xludf.DUMMYFUNCTION("""COMPUTED_VALUE"""),"B.764/WAY KANDIS")</f>
        <v>B.764/WAY KANDIS</v>
      </c>
      <c r="D140" s="13" t="str">
        <f>IFERROR(__xludf.DUMMYFUNCTION("""COMPUTED_VALUE"""),"L/63/311024/1")</f>
        <v>L/63/311024/1</v>
      </c>
      <c r="E140" s="14" t="str">
        <f>IFERROR(__xludf.DUMMYFUNCTION("""COMPUTED_VALUE"""),"Nadian (BT)")</f>
        <v>Nadian (BT)</v>
      </c>
      <c r="F140" s="14" t="str">
        <f>IFERROR(__xludf.DUMMYFUNCTION("""COMPUTED_VALUE"""),"SELESAI")</f>
        <v>SELESAI</v>
      </c>
      <c r="G140" s="17">
        <f>IFERROR(__xludf.DUMMYFUNCTION("""COMPUTED_VALUE"""),45602.561623842594)</f>
        <v>45602.56162</v>
      </c>
      <c r="H140" s="14" t="str">
        <f>IFERROR(__xludf.DUMMYFUNCTION("""COMPUTED_VALUE"""),"Aprill (SU)")</f>
        <v>Aprill (SU)</v>
      </c>
      <c r="I140" s="13" t="str">
        <f>IFERROR(__xludf.DUMMYFUNCTION("""COMPUTED_VALUE"""),"SELESAI")</f>
        <v>SELESAI</v>
      </c>
      <c r="J140" s="17">
        <f>IFERROR(__xludf.DUMMYFUNCTION("""COMPUTED_VALUE"""),45603.61223990741)</f>
        <v>45603.61224</v>
      </c>
      <c r="K140" s="13" t="str">
        <f>IFERROR(__xludf.DUMMYFUNCTION("""COMPUTED_VALUE"""),"SELESAI")</f>
        <v>SELESAI</v>
      </c>
      <c r="L140" s="17">
        <f>IFERROR(__xludf.DUMMYFUNCTION("""COMPUTED_VALUE"""),45603.61223990741)</f>
        <v>45603.61224</v>
      </c>
      <c r="M140" s="17" t="str">
        <f>IFERROR(__xludf.DUMMYFUNCTION("""COMPUTED_VALUE"""),"")</f>
        <v/>
      </c>
      <c r="N140" s="17">
        <f>IFERROR(__xludf.DUMMYFUNCTION("""COMPUTED_VALUE"""),45603.61237127315)</f>
        <v>45603.61237</v>
      </c>
      <c r="O140" s="13">
        <f t="shared" si="1"/>
        <v>16</v>
      </c>
    </row>
    <row r="141" ht="22.5" customHeight="1">
      <c r="B141" s="13">
        <f>IFERROR(__xludf.DUMMYFUNCTION("""COMPUTED_VALUE"""),136.0)</f>
        <v>136</v>
      </c>
      <c r="C141" s="13" t="str">
        <f>IFERROR(__xludf.DUMMYFUNCTION("""COMPUTED_VALUE"""),"M.11580/SEGALA MIDER")</f>
        <v>M.11580/SEGALA MIDER</v>
      </c>
      <c r="D141" s="13" t="str">
        <f>IFERROR(__xludf.DUMMYFUNCTION("""COMPUTED_VALUE"""),"L/24/041124/1")</f>
        <v>L/24/041124/1</v>
      </c>
      <c r="E141" s="14" t="str">
        <f>IFERROR(__xludf.DUMMYFUNCTION("""COMPUTED_VALUE"""),"Nadian (BT)")</f>
        <v>Nadian (BT)</v>
      </c>
      <c r="F141" s="14" t="str">
        <f>IFERROR(__xludf.DUMMYFUNCTION("""COMPUTED_VALUE"""),"SELESAI")</f>
        <v>SELESAI</v>
      </c>
      <c r="G141" s="17">
        <f>IFERROR(__xludf.DUMMYFUNCTION("""COMPUTED_VALUE"""),45602.56200208333)</f>
        <v>45602.562</v>
      </c>
      <c r="H141" s="14" t="str">
        <f>IFERROR(__xludf.DUMMYFUNCTION("""COMPUTED_VALUE"""),"Aprill (SU)")</f>
        <v>Aprill (SU)</v>
      </c>
      <c r="I141" s="13" t="str">
        <f>IFERROR(__xludf.DUMMYFUNCTION("""COMPUTED_VALUE"""),"SELESAI")</f>
        <v>SELESAI</v>
      </c>
      <c r="J141" s="17">
        <f>IFERROR(__xludf.DUMMYFUNCTION("""COMPUTED_VALUE"""),45603.61223990741)</f>
        <v>45603.61224</v>
      </c>
      <c r="K141" s="13" t="str">
        <f>IFERROR(__xludf.DUMMYFUNCTION("""COMPUTED_VALUE"""),"SELESAI")</f>
        <v>SELESAI</v>
      </c>
      <c r="L141" s="17">
        <f>IFERROR(__xludf.DUMMYFUNCTION("""COMPUTED_VALUE"""),45603.61223990741)</f>
        <v>45603.61224</v>
      </c>
      <c r="M141" s="17" t="str">
        <f>IFERROR(__xludf.DUMMYFUNCTION("""COMPUTED_VALUE"""),"")</f>
        <v/>
      </c>
      <c r="N141" s="17">
        <f>IFERROR(__xludf.DUMMYFUNCTION("""COMPUTED_VALUE"""),45603.612345891204)</f>
        <v>45603.61235</v>
      </c>
      <c r="O141" s="13">
        <f t="shared" si="1"/>
        <v>17</v>
      </c>
    </row>
    <row r="142" ht="22.5" customHeight="1">
      <c r="B142" s="13">
        <f>IFERROR(__xludf.DUMMYFUNCTION("""COMPUTED_VALUE"""),137.0)</f>
        <v>137</v>
      </c>
      <c r="C142" s="13" t="str">
        <f>IFERROR(__xludf.DUMMYFUNCTION("""COMPUTED_VALUE"""),"M.13763/RAJABASA")</f>
        <v>M.13763/RAJABASA</v>
      </c>
      <c r="D142" s="13" t="str">
        <f>IFERROR(__xludf.DUMMYFUNCTION("""COMPUTED_VALUE"""),"L/30/041124/1")</f>
        <v>L/30/041124/1</v>
      </c>
      <c r="E142" s="14" t="str">
        <f>IFERROR(__xludf.DUMMYFUNCTION("""COMPUTED_VALUE"""),"Nadian (BT)")</f>
        <v>Nadian (BT)</v>
      </c>
      <c r="F142" s="14" t="str">
        <f>IFERROR(__xludf.DUMMYFUNCTION("""COMPUTED_VALUE"""),"SELESAI")</f>
        <v>SELESAI</v>
      </c>
      <c r="G142" s="17">
        <f>IFERROR(__xludf.DUMMYFUNCTION("""COMPUTED_VALUE"""),45602.56212123843)</f>
        <v>45602.56212</v>
      </c>
      <c r="H142" s="14" t="str">
        <f>IFERROR(__xludf.DUMMYFUNCTION("""COMPUTED_VALUE"""),"Aprill (SU)")</f>
        <v>Aprill (SU)</v>
      </c>
      <c r="I142" s="13" t="str">
        <f>IFERROR(__xludf.DUMMYFUNCTION("""COMPUTED_VALUE"""),"SELESAI")</f>
        <v>SELESAI</v>
      </c>
      <c r="J142" s="17">
        <f>IFERROR(__xludf.DUMMYFUNCTION("""COMPUTED_VALUE"""),45603.61223990741)</f>
        <v>45603.61224</v>
      </c>
      <c r="K142" s="13" t="str">
        <f>IFERROR(__xludf.DUMMYFUNCTION("""COMPUTED_VALUE"""),"SELESAI")</f>
        <v>SELESAI</v>
      </c>
      <c r="L142" s="17">
        <f>IFERROR(__xludf.DUMMYFUNCTION("""COMPUTED_VALUE"""),45603.61223990741)</f>
        <v>45603.61224</v>
      </c>
      <c r="M142" s="17" t="str">
        <f>IFERROR(__xludf.DUMMYFUNCTION("""COMPUTED_VALUE"""),"")</f>
        <v/>
      </c>
      <c r="N142" s="17">
        <f>IFERROR(__xludf.DUMMYFUNCTION("""COMPUTED_VALUE"""),45603.612242118055)</f>
        <v>45603.61224</v>
      </c>
      <c r="O142" s="13">
        <f t="shared" si="1"/>
        <v>18</v>
      </c>
    </row>
    <row r="143" ht="22.5" customHeight="1">
      <c r="B143" s="13">
        <f>IFERROR(__xludf.DUMMYFUNCTION("""COMPUTED_VALUE"""),138.0)</f>
        <v>138</v>
      </c>
      <c r="C143" s="13" t="str">
        <f>IFERROR(__xludf.DUMMYFUNCTION("""COMPUTED_VALUE"""),"B. 1655/ KANGKUNG")</f>
        <v>B. 1655/ KANGKUNG</v>
      </c>
      <c r="D143" s="13" t="str">
        <f>IFERROR(__xludf.DUMMYFUNCTION("""COMPUTED_VALUE"""),"K/29/311024/1")</f>
        <v>K/29/311024/1</v>
      </c>
      <c r="E143" s="14" t="str">
        <f>IFERROR(__xludf.DUMMYFUNCTION("""COMPUTED_VALUE"""),"Nadian (BT)")</f>
        <v>Nadian (BT)</v>
      </c>
      <c r="F143" s="14" t="str">
        <f>IFERROR(__xludf.DUMMYFUNCTION("""COMPUTED_VALUE"""),"SELESAI")</f>
        <v>SELESAI</v>
      </c>
      <c r="G143" s="17">
        <f>IFERROR(__xludf.DUMMYFUNCTION("""COMPUTED_VALUE"""),45602.56254517361)</f>
        <v>45602.56255</v>
      </c>
      <c r="H143" s="14" t="str">
        <f>IFERROR(__xludf.DUMMYFUNCTION("""COMPUTED_VALUE"""),"Aprill (SU)")</f>
        <v>Aprill (SU)</v>
      </c>
      <c r="I143" s="13" t="str">
        <f>IFERROR(__xludf.DUMMYFUNCTION("""COMPUTED_VALUE"""),"SELESAI (VIA PERMOHONAN)")</f>
        <v>SELESAI (VIA PERMOHONAN)</v>
      </c>
      <c r="J143" s="17">
        <f>IFERROR(__xludf.DUMMYFUNCTION("""COMPUTED_VALUE"""),45603.61223990741)</f>
        <v>45603.61224</v>
      </c>
      <c r="K143" s="13" t="str">
        <f>IFERROR(__xludf.DUMMYFUNCTION("""COMPUTED_VALUE"""),"Selesai")</f>
        <v>Selesai</v>
      </c>
      <c r="L143" s="17">
        <f>IFERROR(__xludf.DUMMYFUNCTION("""COMPUTED_VALUE"""),45603.61223990741)</f>
        <v>45603.61224</v>
      </c>
      <c r="M143" s="17">
        <f>IFERROR(__xludf.DUMMYFUNCTION("""COMPUTED_VALUE"""),45603.61223990741)</f>
        <v>45603.61224</v>
      </c>
      <c r="N143" s="13" t="str">
        <f>IFERROR(__xludf.DUMMYFUNCTION("""COMPUTED_VALUE"""),"")</f>
        <v/>
      </c>
      <c r="O143" s="13" t="str">
        <f t="shared" si="1"/>
        <v/>
      </c>
    </row>
    <row r="144" ht="22.5" customHeight="1">
      <c r="B144" s="13">
        <f>IFERROR(__xludf.DUMMYFUNCTION("""COMPUTED_VALUE"""),139.0)</f>
        <v>139</v>
      </c>
      <c r="C144" s="13" t="str">
        <f>IFERROR(__xludf.DUMMYFUNCTION("""COMPUTED_VALUE"""),"M. 2245/ Sukarame Baru; B. 4947/Sukarame-dahulu")</f>
        <v>M. 2245/ Sukarame Baru; B. 4947/Sukarame-dahulu</v>
      </c>
      <c r="D144" s="13" t="str">
        <f>IFERROR(__xludf.DUMMYFUNCTION("""COMPUTED_VALUE"""),"K/45/211024/1")</f>
        <v>K/45/211024/1</v>
      </c>
      <c r="E144" s="14" t="str">
        <f>IFERROR(__xludf.DUMMYFUNCTION("""COMPUTED_VALUE"""),"Nadian (BT)")</f>
        <v>Nadian (BT)</v>
      </c>
      <c r="F144" s="14" t="str">
        <f>IFERROR(__xludf.DUMMYFUNCTION("""COMPUTED_VALUE"""),"SELESAI")</f>
        <v>SELESAI</v>
      </c>
      <c r="G144" s="17">
        <f>IFERROR(__xludf.DUMMYFUNCTION("""COMPUTED_VALUE"""),45602.563187499996)</f>
        <v>45602.56319</v>
      </c>
      <c r="H144" s="14" t="str">
        <f>IFERROR(__xludf.DUMMYFUNCTION("""COMPUTED_VALUE"""),"Aprill (SU)")</f>
        <v>Aprill (SU)</v>
      </c>
      <c r="I144" s="13" t="str">
        <f>IFERROR(__xludf.DUMMYFUNCTION("""COMPUTED_VALUE"""),"SELESAI (VIA PERMOHONAN)")</f>
        <v>SELESAI (VIA PERMOHONAN)</v>
      </c>
      <c r="J144" s="17">
        <f>IFERROR(__xludf.DUMMYFUNCTION("""COMPUTED_VALUE"""),45603.61389648148)</f>
        <v>45603.6139</v>
      </c>
      <c r="K144" s="13" t="str">
        <f>IFERROR(__xludf.DUMMYFUNCTION("""COMPUTED_VALUE"""),"Selesai")</f>
        <v>Selesai</v>
      </c>
      <c r="L144" s="17">
        <f>IFERROR(__xludf.DUMMYFUNCTION("""COMPUTED_VALUE"""),45603.61389648148)</f>
        <v>45603.6139</v>
      </c>
      <c r="M144" s="17">
        <f>IFERROR(__xludf.DUMMYFUNCTION("""COMPUTED_VALUE"""),45603.614152685186)</f>
        <v>45603.61415</v>
      </c>
      <c r="N144" s="13" t="str">
        <f>IFERROR(__xludf.DUMMYFUNCTION("""COMPUTED_VALUE"""),"")</f>
        <v/>
      </c>
      <c r="O144" s="13" t="str">
        <f t="shared" si="1"/>
        <v/>
      </c>
    </row>
    <row r="145" ht="22.5" customHeight="1">
      <c r="B145" s="13">
        <f>IFERROR(__xludf.DUMMYFUNCTION("""COMPUTED_VALUE"""),140.0)</f>
        <v>140</v>
      </c>
      <c r="C145" s="13" t="str">
        <f>IFERROR(__xludf.DUMMYFUNCTION("""COMPUTED_VALUE"""),"HGB 254/CAMPANG RAYA")</f>
        <v>HGB 254/CAMPANG RAYA</v>
      </c>
      <c r="D145" s="13" t="str">
        <f>IFERROR(__xludf.DUMMYFUNCTION("""COMPUTED_VALUE"""),"L/34/251024/1")</f>
        <v>L/34/251024/1</v>
      </c>
      <c r="E145" s="14" t="str">
        <f>IFERROR(__xludf.DUMMYFUNCTION("""COMPUTED_VALUE"""),"Nadian (BT)")</f>
        <v>Nadian (BT)</v>
      </c>
      <c r="F145" s="14" t="str">
        <f>IFERROR(__xludf.DUMMYFUNCTION("""COMPUTED_VALUE"""),"SELESAI")</f>
        <v>SELESAI</v>
      </c>
      <c r="G145" s="17">
        <f>IFERROR(__xludf.DUMMYFUNCTION("""COMPUTED_VALUE"""),45602.56334133101)</f>
        <v>45602.56334</v>
      </c>
      <c r="H145" s="14" t="str">
        <f>IFERROR(__xludf.DUMMYFUNCTION("""COMPUTED_VALUE"""),"Aprill (SU)")</f>
        <v>Aprill (SU)</v>
      </c>
      <c r="I145" s="13" t="str">
        <f>IFERROR(__xludf.DUMMYFUNCTION("""COMPUTED_VALUE"""),"SELESAI (VIA PERMOHONAN)")</f>
        <v>SELESAI (VIA PERMOHONAN)</v>
      </c>
      <c r="J145" s="17">
        <f>IFERROR(__xludf.DUMMYFUNCTION("""COMPUTED_VALUE"""),45603.613920868054)</f>
        <v>45603.61392</v>
      </c>
      <c r="K145" s="13" t="str">
        <f>IFERROR(__xludf.DUMMYFUNCTION("""COMPUTED_VALUE"""),"Selesai")</f>
        <v>Selesai</v>
      </c>
      <c r="L145" s="17">
        <f>IFERROR(__xludf.DUMMYFUNCTION("""COMPUTED_VALUE"""),45603.613920868054)</f>
        <v>45603.61392</v>
      </c>
      <c r="M145" s="17">
        <f>IFERROR(__xludf.DUMMYFUNCTION("""COMPUTED_VALUE"""),45603.614162453705)</f>
        <v>45603.61416</v>
      </c>
      <c r="N145" s="13" t="str">
        <f>IFERROR(__xludf.DUMMYFUNCTION("""COMPUTED_VALUE"""),"")</f>
        <v/>
      </c>
      <c r="O145" s="13" t="str">
        <f t="shared" si="1"/>
        <v/>
      </c>
    </row>
    <row r="146" ht="22.5" customHeight="1">
      <c r="B146" s="13">
        <f>IFERROR(__xludf.DUMMYFUNCTION("""COMPUTED_VALUE"""),141.0)</f>
        <v>141</v>
      </c>
      <c r="C146" s="13" t="str">
        <f>IFERROR(__xludf.DUMMYFUNCTION("""COMPUTED_VALUE"""),"B.661/SUKABUMI INDAH")</f>
        <v>B.661/SUKABUMI INDAH</v>
      </c>
      <c r="D146" s="13" t="str">
        <f>IFERROR(__xludf.DUMMYFUNCTION("""COMPUTED_VALUE"""),"L/42/041124/1")</f>
        <v>L/42/041124/1</v>
      </c>
      <c r="E146" s="14" t="str">
        <f>IFERROR(__xludf.DUMMYFUNCTION("""COMPUTED_VALUE"""),"Afriza (BT)")</f>
        <v>Afriza (BT)</v>
      </c>
      <c r="F146" s="14" t="str">
        <f>IFERROR(__xludf.DUMMYFUNCTION("""COMPUTED_VALUE"""),"SELESAI")</f>
        <v>SELESAI</v>
      </c>
      <c r="G146" s="17">
        <f>IFERROR(__xludf.DUMMYFUNCTION("""COMPUTED_VALUE"""),45602.61337280093)</f>
        <v>45602.61337</v>
      </c>
      <c r="H146" s="14" t="str">
        <f>IFERROR(__xludf.DUMMYFUNCTION("""COMPUTED_VALUE"""),"Aprill (SU)")</f>
        <v>Aprill (SU)</v>
      </c>
      <c r="I146" s="13" t="str">
        <f>IFERROR(__xludf.DUMMYFUNCTION("""COMPUTED_VALUE"""),"SELESAI")</f>
        <v>SELESAI</v>
      </c>
      <c r="J146" s="17">
        <f>IFERROR(__xludf.DUMMYFUNCTION("""COMPUTED_VALUE"""),45603.61223991898)</f>
        <v>45603.61224</v>
      </c>
      <c r="K146" s="13" t="str">
        <f>IFERROR(__xludf.DUMMYFUNCTION("""COMPUTED_VALUE"""),"SELESAI")</f>
        <v>SELESAI</v>
      </c>
      <c r="L146" s="17">
        <f>IFERROR(__xludf.DUMMYFUNCTION("""COMPUTED_VALUE"""),45603.61223991898)</f>
        <v>45603.61224</v>
      </c>
      <c r="M146" s="17" t="str">
        <f>IFERROR(__xludf.DUMMYFUNCTION("""COMPUTED_VALUE"""),"")</f>
        <v/>
      </c>
      <c r="N146" s="17">
        <f>IFERROR(__xludf.DUMMYFUNCTION("""COMPUTED_VALUE"""),45603.61432905092)</f>
        <v>45603.61433</v>
      </c>
      <c r="O146" s="13">
        <f t="shared" si="1"/>
        <v>1</v>
      </c>
    </row>
    <row r="147" ht="22.5" customHeight="1">
      <c r="B147" s="13">
        <f>IFERROR(__xludf.DUMMYFUNCTION("""COMPUTED_VALUE"""),142.0)</f>
        <v>142</v>
      </c>
      <c r="C147" s="13" t="str">
        <f>IFERROR(__xludf.DUMMYFUNCTION("""COMPUTED_VALUE"""),"M.1773/SUKAJAWA")</f>
        <v>M.1773/SUKAJAWA</v>
      </c>
      <c r="D147" s="13" t="str">
        <f>IFERROR(__xludf.DUMMYFUNCTION("""COMPUTED_VALUE"""),"K/39/041124/1")</f>
        <v>K/39/041124/1</v>
      </c>
      <c r="E147" s="14" t="str">
        <f>IFERROR(__xludf.DUMMYFUNCTION("""COMPUTED_VALUE"""),"Afriza (BT)")</f>
        <v>Afriza (BT)</v>
      </c>
      <c r="F147" s="14" t="str">
        <f>IFERROR(__xludf.DUMMYFUNCTION("""COMPUTED_VALUE"""),"SELESAI")</f>
        <v>SELESAI</v>
      </c>
      <c r="G147" s="17">
        <f>IFERROR(__xludf.DUMMYFUNCTION("""COMPUTED_VALUE"""),45602.613474178244)</f>
        <v>45602.61347</v>
      </c>
      <c r="H147" s="14" t="str">
        <f>IFERROR(__xludf.DUMMYFUNCTION("""COMPUTED_VALUE"""),"Aprill (SU)")</f>
        <v>Aprill (SU)</v>
      </c>
      <c r="I147" s="13" t="str">
        <f>IFERROR(__xludf.DUMMYFUNCTION("""COMPUTED_VALUE"""),"SELESAI")</f>
        <v>SELESAI</v>
      </c>
      <c r="J147" s="17">
        <f>IFERROR(__xludf.DUMMYFUNCTION("""COMPUTED_VALUE"""),45603.61223991898)</f>
        <v>45603.61224</v>
      </c>
      <c r="K147" s="13" t="str">
        <f>IFERROR(__xludf.DUMMYFUNCTION("""COMPUTED_VALUE"""),"SELESAI")</f>
        <v>SELESAI</v>
      </c>
      <c r="L147" s="17">
        <f>IFERROR(__xludf.DUMMYFUNCTION("""COMPUTED_VALUE"""),45603.61223991898)</f>
        <v>45603.61224</v>
      </c>
      <c r="M147" s="17" t="str">
        <f>IFERROR(__xludf.DUMMYFUNCTION("""COMPUTED_VALUE"""),"")</f>
        <v/>
      </c>
      <c r="N147" s="17">
        <f>IFERROR(__xludf.DUMMYFUNCTION("""COMPUTED_VALUE"""),45603.61434511574)</f>
        <v>45603.61435</v>
      </c>
      <c r="O147" s="13">
        <f t="shared" si="1"/>
        <v>2</v>
      </c>
    </row>
    <row r="148" ht="22.5" customHeight="1">
      <c r="B148" s="13">
        <f>IFERROR(__xludf.DUMMYFUNCTION("""COMPUTED_VALUE"""),143.0)</f>
        <v>143</v>
      </c>
      <c r="C148" s="13" t="str">
        <f>IFERROR(__xludf.DUMMYFUNCTION("""COMPUTED_VALUE"""),"M. 884/ SUMBER AGUNG")</f>
        <v>M. 884/ SUMBER AGUNG</v>
      </c>
      <c r="D148" s="13" t="str">
        <f>IFERROR(__xludf.DUMMYFUNCTION("""COMPUTED_VALUE"""),"K/50/041124/1")</f>
        <v>K/50/041124/1</v>
      </c>
      <c r="E148" s="14" t="str">
        <f>IFERROR(__xludf.DUMMYFUNCTION("""COMPUTED_VALUE"""),"Afriza (BT)")</f>
        <v>Afriza (BT)</v>
      </c>
      <c r="F148" s="14" t="str">
        <f>IFERROR(__xludf.DUMMYFUNCTION("""COMPUTED_VALUE"""),"SELESAI")</f>
        <v>SELESAI</v>
      </c>
      <c r="G148" s="17">
        <f>IFERROR(__xludf.DUMMYFUNCTION("""COMPUTED_VALUE"""),45602.61369775463)</f>
        <v>45602.6137</v>
      </c>
      <c r="H148" s="14" t="str">
        <f>IFERROR(__xludf.DUMMYFUNCTION("""COMPUTED_VALUE"""),"Aprill (SU)")</f>
        <v>Aprill (SU)</v>
      </c>
      <c r="I148" s="13" t="str">
        <f>IFERROR(__xludf.DUMMYFUNCTION("""COMPUTED_VALUE"""),"SELESAI")</f>
        <v>SELESAI</v>
      </c>
      <c r="J148" s="17">
        <f>IFERROR(__xludf.DUMMYFUNCTION("""COMPUTED_VALUE"""),45603.61223991898)</f>
        <v>45603.61224</v>
      </c>
      <c r="K148" s="13" t="str">
        <f>IFERROR(__xludf.DUMMYFUNCTION("""COMPUTED_VALUE"""),"SELESAI")</f>
        <v>SELESAI</v>
      </c>
      <c r="L148" s="17">
        <f>IFERROR(__xludf.DUMMYFUNCTION("""COMPUTED_VALUE"""),45603.61223991898)</f>
        <v>45603.61224</v>
      </c>
      <c r="M148" s="17" t="str">
        <f>IFERROR(__xludf.DUMMYFUNCTION("""COMPUTED_VALUE"""),"")</f>
        <v/>
      </c>
      <c r="N148" s="17">
        <f>IFERROR(__xludf.DUMMYFUNCTION("""COMPUTED_VALUE"""),45603.61435533565)</f>
        <v>45603.61436</v>
      </c>
      <c r="O148" s="13">
        <f t="shared" si="1"/>
        <v>3</v>
      </c>
    </row>
    <row r="149" ht="22.5" customHeight="1">
      <c r="B149" s="13">
        <f>IFERROR(__xludf.DUMMYFUNCTION("""COMPUTED_VALUE"""),144.0)</f>
        <v>144</v>
      </c>
      <c r="C149" s="13" t="str">
        <f>IFERROR(__xludf.DUMMYFUNCTION("""COMPUTED_VALUE"""),"M. 10227/ Segala Mider")</f>
        <v>M. 10227/ Segala Mider</v>
      </c>
      <c r="D149" s="13" t="str">
        <f>IFERROR(__xludf.DUMMYFUNCTION("""COMPUTED_VALUE"""),"K/36/041124/2")</f>
        <v>K/36/041124/2</v>
      </c>
      <c r="E149" s="14" t="str">
        <f>IFERROR(__xludf.DUMMYFUNCTION("""COMPUTED_VALUE"""),"Afriza (BT)")</f>
        <v>Afriza (BT)</v>
      </c>
      <c r="F149" s="14" t="str">
        <f>IFERROR(__xludf.DUMMYFUNCTION("""COMPUTED_VALUE"""),"SELESAI")</f>
        <v>SELESAI</v>
      </c>
      <c r="G149" s="17">
        <f>IFERROR(__xludf.DUMMYFUNCTION("""COMPUTED_VALUE"""),45602.61380291666)</f>
        <v>45602.6138</v>
      </c>
      <c r="H149" s="14" t="str">
        <f>IFERROR(__xludf.DUMMYFUNCTION("""COMPUTED_VALUE"""),"Aprill (SU)")</f>
        <v>Aprill (SU)</v>
      </c>
      <c r="I149" s="13" t="str">
        <f>IFERROR(__xludf.DUMMYFUNCTION("""COMPUTED_VALUE"""),"SELESAI")</f>
        <v>SELESAI</v>
      </c>
      <c r="J149" s="17">
        <f>IFERROR(__xludf.DUMMYFUNCTION("""COMPUTED_VALUE"""),45603.61223991898)</f>
        <v>45603.61224</v>
      </c>
      <c r="K149" s="13" t="str">
        <f>IFERROR(__xludf.DUMMYFUNCTION("""COMPUTED_VALUE"""),"SELESAI")</f>
        <v>SELESAI</v>
      </c>
      <c r="L149" s="17">
        <f>IFERROR(__xludf.DUMMYFUNCTION("""COMPUTED_VALUE"""),45603.61223991898)</f>
        <v>45603.61224</v>
      </c>
      <c r="M149" s="17" t="str">
        <f>IFERROR(__xludf.DUMMYFUNCTION("""COMPUTED_VALUE"""),"")</f>
        <v/>
      </c>
      <c r="N149" s="17">
        <f>IFERROR(__xludf.DUMMYFUNCTION("""COMPUTED_VALUE"""),45603.61436447917)</f>
        <v>45603.61436</v>
      </c>
      <c r="O149" s="13">
        <f t="shared" si="1"/>
        <v>4</v>
      </c>
    </row>
    <row r="150" ht="22.5" customHeight="1">
      <c r="B150" s="13">
        <f>IFERROR(__xludf.DUMMYFUNCTION("""COMPUTED_VALUE"""),145.0)</f>
        <v>145</v>
      </c>
      <c r="C150" s="13" t="str">
        <f>IFERROR(__xludf.DUMMYFUNCTION("""COMPUTED_VALUE"""),"M. 9268/ Sidodadi")</f>
        <v>M. 9268/ Sidodadi</v>
      </c>
      <c r="D150" s="13" t="str">
        <f>IFERROR(__xludf.DUMMYFUNCTION("""COMPUTED_VALUE"""),"K/35/041124/1")</f>
        <v>K/35/041124/1</v>
      </c>
      <c r="E150" s="14" t="str">
        <f>IFERROR(__xludf.DUMMYFUNCTION("""COMPUTED_VALUE"""),"Afriza (BT)")</f>
        <v>Afriza (BT)</v>
      </c>
      <c r="F150" s="14" t="str">
        <f>IFERROR(__xludf.DUMMYFUNCTION("""COMPUTED_VALUE"""),"SELESAI")</f>
        <v>SELESAI</v>
      </c>
      <c r="G150" s="17">
        <f>IFERROR(__xludf.DUMMYFUNCTION("""COMPUTED_VALUE"""),45602.61401479167)</f>
        <v>45602.61401</v>
      </c>
      <c r="H150" s="14" t="str">
        <f>IFERROR(__xludf.DUMMYFUNCTION("""COMPUTED_VALUE"""),"Aprill (SU)")</f>
        <v>Aprill (SU)</v>
      </c>
      <c r="I150" s="13" t="str">
        <f>IFERROR(__xludf.DUMMYFUNCTION("""COMPUTED_VALUE"""),"SELESAI")</f>
        <v>SELESAI</v>
      </c>
      <c r="J150" s="17">
        <f>IFERROR(__xludf.DUMMYFUNCTION("""COMPUTED_VALUE"""),45603.61223991898)</f>
        <v>45603.61224</v>
      </c>
      <c r="K150" s="13" t="str">
        <f>IFERROR(__xludf.DUMMYFUNCTION("""COMPUTED_VALUE"""),"SELESAI")</f>
        <v>SELESAI</v>
      </c>
      <c r="L150" s="17">
        <f>IFERROR(__xludf.DUMMYFUNCTION("""COMPUTED_VALUE"""),45603.61223991898)</f>
        <v>45603.61224</v>
      </c>
      <c r="M150" s="17" t="str">
        <f>IFERROR(__xludf.DUMMYFUNCTION("""COMPUTED_VALUE"""),"")</f>
        <v/>
      </c>
      <c r="N150" s="17">
        <f>IFERROR(__xludf.DUMMYFUNCTION("""COMPUTED_VALUE"""),45603.614387407404)</f>
        <v>45603.61439</v>
      </c>
      <c r="O150" s="13">
        <f t="shared" si="1"/>
        <v>5</v>
      </c>
    </row>
    <row r="151" ht="22.5" customHeight="1">
      <c r="B151" s="13">
        <f>IFERROR(__xludf.DUMMYFUNCTION("""COMPUTED_VALUE"""),146.0)</f>
        <v>146</v>
      </c>
      <c r="C151" s="13" t="str">
        <f>IFERROR(__xludf.DUMMYFUNCTION("""COMPUTED_VALUE"""),"M. 12416/ Sukabumi; B. 4544/ Sukabumi")</f>
        <v>M. 12416/ Sukabumi; B. 4544/ Sukabumi</v>
      </c>
      <c r="D151" s="13" t="str">
        <f>IFERROR(__xludf.DUMMYFUNCTION("""COMPUTED_VALUE"""),"K/60/311024/1")</f>
        <v>K/60/311024/1</v>
      </c>
      <c r="E151" s="14" t="str">
        <f>IFERROR(__xludf.DUMMYFUNCTION("""COMPUTED_VALUE"""),"Afriza (BT)")</f>
        <v>Afriza (BT)</v>
      </c>
      <c r="F151" s="14" t="str">
        <f>IFERROR(__xludf.DUMMYFUNCTION("""COMPUTED_VALUE"""),"SELESAI")</f>
        <v>SELESAI</v>
      </c>
      <c r="G151" s="17">
        <f>IFERROR(__xludf.DUMMYFUNCTION("""COMPUTED_VALUE"""),45602.61417868055)</f>
        <v>45602.61418</v>
      </c>
      <c r="H151" s="14" t="str">
        <f>IFERROR(__xludf.DUMMYFUNCTION("""COMPUTED_VALUE"""),"Aprill (SU)")</f>
        <v>Aprill (SU)</v>
      </c>
      <c r="I151" s="13" t="str">
        <f>IFERROR(__xludf.DUMMYFUNCTION("""COMPUTED_VALUE"""),"SELESAI")</f>
        <v>SELESAI</v>
      </c>
      <c r="J151" s="17">
        <f>IFERROR(__xludf.DUMMYFUNCTION("""COMPUTED_VALUE"""),45603.61223991898)</f>
        <v>45603.61224</v>
      </c>
      <c r="K151" s="13" t="str">
        <f>IFERROR(__xludf.DUMMYFUNCTION("""COMPUTED_VALUE"""),"SELESAI")</f>
        <v>SELESAI</v>
      </c>
      <c r="L151" s="17">
        <f>IFERROR(__xludf.DUMMYFUNCTION("""COMPUTED_VALUE"""),45603.61223991898)</f>
        <v>45603.61224</v>
      </c>
      <c r="M151" s="17" t="str">
        <f>IFERROR(__xludf.DUMMYFUNCTION("""COMPUTED_VALUE"""),"")</f>
        <v/>
      </c>
      <c r="N151" s="17">
        <f>IFERROR(__xludf.DUMMYFUNCTION("""COMPUTED_VALUE"""),45603.61440013889)</f>
        <v>45603.6144</v>
      </c>
      <c r="O151" s="13">
        <f t="shared" si="1"/>
        <v>6</v>
      </c>
    </row>
    <row r="152" ht="22.5" customHeight="1">
      <c r="B152" s="13">
        <f>IFERROR(__xludf.DUMMYFUNCTION("""COMPUTED_VALUE"""),147.0)</f>
        <v>147</v>
      </c>
      <c r="C152" s="13" t="str">
        <f>IFERROR(__xludf.DUMMYFUNCTION("""COMPUTED_VALUE"""),"M.4410/BERINGIN RAYA")</f>
        <v>M.4410/BERINGIN RAYA</v>
      </c>
      <c r="D152" s="13" t="str">
        <f>IFERROR(__xludf.DUMMYFUNCTION("""COMPUTED_VALUE"""),"L/18/051124/1")</f>
        <v>L/18/051124/1</v>
      </c>
      <c r="E152" s="14" t="str">
        <f>IFERROR(__xludf.DUMMYFUNCTION("""COMPUTED_VALUE"""),"Nadian (BT)")</f>
        <v>Nadian (BT)</v>
      </c>
      <c r="F152" s="14" t="str">
        <f>IFERROR(__xludf.DUMMYFUNCTION("""COMPUTED_VALUE"""),"SELESAI")</f>
        <v>SELESAI</v>
      </c>
      <c r="G152" s="17">
        <f>IFERROR(__xludf.DUMMYFUNCTION("""COMPUTED_VALUE"""),45602.65535755787)</f>
        <v>45602.65536</v>
      </c>
      <c r="H152" s="14" t="str">
        <f>IFERROR(__xludf.DUMMYFUNCTION("""COMPUTED_VALUE"""),"Aprill (SU)")</f>
        <v>Aprill (SU)</v>
      </c>
      <c r="I152" s="13" t="str">
        <f>IFERROR(__xludf.DUMMYFUNCTION("""COMPUTED_VALUE"""),"SELESAI")</f>
        <v>SELESAI</v>
      </c>
      <c r="J152" s="17">
        <f>IFERROR(__xludf.DUMMYFUNCTION("""COMPUTED_VALUE"""),45603.61223991898)</f>
        <v>45603.61224</v>
      </c>
      <c r="K152" s="13" t="str">
        <f>IFERROR(__xludf.DUMMYFUNCTION("""COMPUTED_VALUE"""),"SELESAI")</f>
        <v>SELESAI</v>
      </c>
      <c r="L152" s="17">
        <f>IFERROR(__xludf.DUMMYFUNCTION("""COMPUTED_VALUE"""),45603.61223991898)</f>
        <v>45603.61224</v>
      </c>
      <c r="M152" s="17" t="str">
        <f>IFERROR(__xludf.DUMMYFUNCTION("""COMPUTED_VALUE"""),"")</f>
        <v/>
      </c>
      <c r="N152" s="17">
        <f>IFERROR(__xludf.DUMMYFUNCTION("""COMPUTED_VALUE"""),45603.614575266205)</f>
        <v>45603.61458</v>
      </c>
      <c r="O152" s="13">
        <f t="shared" si="1"/>
        <v>7</v>
      </c>
    </row>
    <row r="153" ht="22.5" customHeight="1">
      <c r="B153" s="13">
        <f>IFERROR(__xludf.DUMMYFUNCTION("""COMPUTED_VALUE"""),148.0)</f>
        <v>148</v>
      </c>
      <c r="C153" s="13" t="str">
        <f>IFERROR(__xludf.DUMMYFUNCTION("""COMPUTED_VALUE"""),"B.1202/SUKABUMI INDAH-SEKARANG; B.1339/SUKABUMI-DAHULU")</f>
        <v>B.1202/SUKABUMI INDAH-SEKARANG; B.1339/SUKABUMI-DAHULU</v>
      </c>
      <c r="D153" s="13" t="str">
        <f>IFERROR(__xludf.DUMMYFUNCTION("""COMPUTED_VALUE"""),"L/31/041124/1")</f>
        <v>L/31/041124/1</v>
      </c>
      <c r="E153" s="14" t="str">
        <f>IFERROR(__xludf.DUMMYFUNCTION("""COMPUTED_VALUE"""),"Nadian (BT)")</f>
        <v>Nadian (BT)</v>
      </c>
      <c r="F153" s="14" t="str">
        <f>IFERROR(__xludf.DUMMYFUNCTION("""COMPUTED_VALUE"""),"SELESAI")</f>
        <v>SELESAI</v>
      </c>
      <c r="G153" s="17">
        <f>IFERROR(__xludf.DUMMYFUNCTION("""COMPUTED_VALUE"""),45602.655582210646)</f>
        <v>45602.65558</v>
      </c>
      <c r="H153" s="14" t="str">
        <f>IFERROR(__xludf.DUMMYFUNCTION("""COMPUTED_VALUE"""),"Aprill (SU)")</f>
        <v>Aprill (SU)</v>
      </c>
      <c r="I153" s="13" t="str">
        <f>IFERROR(__xludf.DUMMYFUNCTION("""COMPUTED_VALUE"""),"SELESAI")</f>
        <v>SELESAI</v>
      </c>
      <c r="J153" s="17">
        <f>IFERROR(__xludf.DUMMYFUNCTION("""COMPUTED_VALUE"""),45603.61223991898)</f>
        <v>45603.61224</v>
      </c>
      <c r="K153" s="13" t="str">
        <f>IFERROR(__xludf.DUMMYFUNCTION("""COMPUTED_VALUE"""),"SELESAI")</f>
        <v>SELESAI</v>
      </c>
      <c r="L153" s="17">
        <f>IFERROR(__xludf.DUMMYFUNCTION("""COMPUTED_VALUE"""),45603.61223991898)</f>
        <v>45603.61224</v>
      </c>
      <c r="M153" s="17" t="str">
        <f>IFERROR(__xludf.DUMMYFUNCTION("""COMPUTED_VALUE"""),"")</f>
        <v/>
      </c>
      <c r="N153" s="17">
        <f>IFERROR(__xludf.DUMMYFUNCTION("""COMPUTED_VALUE"""),45603.614599479166)</f>
        <v>45603.6146</v>
      </c>
      <c r="O153" s="13">
        <f t="shared" si="1"/>
        <v>8</v>
      </c>
    </row>
    <row r="154" ht="22.5" customHeight="1">
      <c r="B154" s="13">
        <f>IFERROR(__xludf.DUMMYFUNCTION("""COMPUTED_VALUE"""),149.0)</f>
        <v>149</v>
      </c>
      <c r="C154" s="13" t="str">
        <f>IFERROR(__xludf.DUMMYFUNCTION("""COMPUTED_VALUE"""),"M. 12471/ Kedamaian")</f>
        <v>M. 12471/ Kedamaian</v>
      </c>
      <c r="D154" s="13" t="str">
        <f>IFERROR(__xludf.DUMMYFUNCTION("""COMPUTED_VALUE"""),"K/37/041124/3")</f>
        <v>K/37/041124/3</v>
      </c>
      <c r="E154" s="14" t="str">
        <f>IFERROR(__xludf.DUMMYFUNCTION("""COMPUTED_VALUE"""),"Nadian (BT)")</f>
        <v>Nadian (BT)</v>
      </c>
      <c r="F154" s="14" t="str">
        <f>IFERROR(__xludf.DUMMYFUNCTION("""COMPUTED_VALUE"""),"SELESAI")</f>
        <v>SELESAI</v>
      </c>
      <c r="G154" s="17">
        <f>IFERROR(__xludf.DUMMYFUNCTION("""COMPUTED_VALUE"""),45602.656727152775)</f>
        <v>45602.65673</v>
      </c>
      <c r="H154" s="14" t="str">
        <f>IFERROR(__xludf.DUMMYFUNCTION("""COMPUTED_VALUE"""),"Aprill (SU)")</f>
        <v>Aprill (SU)</v>
      </c>
      <c r="I154" s="13" t="str">
        <f>IFERROR(__xludf.DUMMYFUNCTION("""COMPUTED_VALUE"""),"SELESAI")</f>
        <v>SELESAI</v>
      </c>
      <c r="J154" s="17">
        <f>IFERROR(__xludf.DUMMYFUNCTION("""COMPUTED_VALUE"""),45603.61223993056)</f>
        <v>45603.61224</v>
      </c>
      <c r="K154" s="13" t="str">
        <f>IFERROR(__xludf.DUMMYFUNCTION("""COMPUTED_VALUE"""),"SELESAI")</f>
        <v>SELESAI</v>
      </c>
      <c r="L154" s="17">
        <f>IFERROR(__xludf.DUMMYFUNCTION("""COMPUTED_VALUE"""),45603.61223993056)</f>
        <v>45603.61224</v>
      </c>
      <c r="M154" s="17" t="str">
        <f>IFERROR(__xludf.DUMMYFUNCTION("""COMPUTED_VALUE"""),"")</f>
        <v/>
      </c>
      <c r="N154" s="17">
        <f>IFERROR(__xludf.DUMMYFUNCTION("""COMPUTED_VALUE"""),45603.61223993056)</f>
        <v>45603.61224</v>
      </c>
      <c r="O154" s="13">
        <f t="shared" si="1"/>
        <v>9</v>
      </c>
    </row>
    <row r="155" ht="22.5" customHeight="1">
      <c r="B155" s="13">
        <f>IFERROR(__xludf.DUMMYFUNCTION("""COMPUTED_VALUE"""),150.0)</f>
        <v>150</v>
      </c>
      <c r="C155" s="13" t="str">
        <f>IFERROR(__xludf.DUMMYFUNCTION("""COMPUTED_VALUE"""),"M.1706/PERUMNAS WAY HALIM")</f>
        <v>M.1706/PERUMNAS WAY HALIM</v>
      </c>
      <c r="D155" s="13" t="str">
        <f>IFERROR(__xludf.DUMMYFUNCTION("""COMPUTED_VALUE"""),"L/40/041124/1")</f>
        <v>L/40/041124/1</v>
      </c>
      <c r="E155" s="14" t="str">
        <f>IFERROR(__xludf.DUMMYFUNCTION("""COMPUTED_VALUE"""),"Afriza (BT)")</f>
        <v>Afriza (BT)</v>
      </c>
      <c r="F155" s="14" t="str">
        <f>IFERROR(__xludf.DUMMYFUNCTION("""COMPUTED_VALUE"""),"SELESAI")</f>
        <v>SELESAI</v>
      </c>
      <c r="G155" s="17">
        <f>IFERROR(__xludf.DUMMYFUNCTION("""COMPUTED_VALUE"""),45603.42472340278)</f>
        <v>45603.42472</v>
      </c>
      <c r="H155" s="14" t="str">
        <f>IFERROR(__xludf.DUMMYFUNCTION("""COMPUTED_VALUE"""),"Bu Eva (SU)")</f>
        <v>Bu Eva (SU)</v>
      </c>
      <c r="I155" s="13" t="str">
        <f>IFERROR(__xludf.DUMMYFUNCTION("""COMPUTED_VALUE"""),"SELESAI (VIA PERMOHONAN)")</f>
        <v>SELESAI (VIA PERMOHONAN)</v>
      </c>
      <c r="J155" s="17">
        <f>IFERROR(__xludf.DUMMYFUNCTION("""COMPUTED_VALUE"""),45604.61885597222)</f>
        <v>45604.61886</v>
      </c>
      <c r="K155" s="13" t="str">
        <f>IFERROR(__xludf.DUMMYFUNCTION("""COMPUTED_VALUE"""),"Selesai")</f>
        <v>Selesai</v>
      </c>
      <c r="L155" s="17">
        <f>IFERROR(__xludf.DUMMYFUNCTION("""COMPUTED_VALUE"""),45604.61885597222)</f>
        <v>45604.61886</v>
      </c>
      <c r="M155" s="17">
        <f>IFERROR(__xludf.DUMMYFUNCTION("""COMPUTED_VALUE"""),45604.620079224536)</f>
        <v>45604.62008</v>
      </c>
      <c r="N155" s="13" t="str">
        <f>IFERROR(__xludf.DUMMYFUNCTION("""COMPUTED_VALUE"""),"")</f>
        <v/>
      </c>
      <c r="O155" s="13" t="str">
        <f t="shared" si="1"/>
        <v/>
      </c>
    </row>
    <row r="156" ht="22.5" customHeight="1">
      <c r="B156" s="13">
        <f>IFERROR(__xludf.DUMMYFUNCTION("""COMPUTED_VALUE"""),151.0)</f>
        <v>151</v>
      </c>
      <c r="C156" s="13" t="str">
        <f>IFERROR(__xludf.DUMMYFUNCTION("""COMPUTED_VALUE"""),"M.1669/KALIAWI")</f>
        <v>M.1669/KALIAWI</v>
      </c>
      <c r="D156" s="13" t="str">
        <f>IFERROR(__xludf.DUMMYFUNCTION("""COMPUTED_VALUE"""),"L/49/051124/1")</f>
        <v>L/49/051124/1</v>
      </c>
      <c r="E156" s="14" t="str">
        <f>IFERROR(__xludf.DUMMYFUNCTION("""COMPUTED_VALUE"""),"Afriza (BT)")</f>
        <v>Afriza (BT)</v>
      </c>
      <c r="F156" s="14" t="str">
        <f>IFERROR(__xludf.DUMMYFUNCTION("""COMPUTED_VALUE"""),"SELESAI")</f>
        <v>SELESAI</v>
      </c>
      <c r="G156" s="17">
        <f>IFERROR(__xludf.DUMMYFUNCTION("""COMPUTED_VALUE"""),45603.49461384259)</f>
        <v>45603.49461</v>
      </c>
      <c r="H156" s="14" t="str">
        <f>IFERROR(__xludf.DUMMYFUNCTION("""COMPUTED_VALUE"""),"Bu Eva (SU)")</f>
        <v>Bu Eva (SU)</v>
      </c>
      <c r="I156" s="13" t="str">
        <f>IFERROR(__xludf.DUMMYFUNCTION("""COMPUTED_VALUE"""),"SELESAI")</f>
        <v>SELESAI</v>
      </c>
      <c r="J156" s="17">
        <f>IFERROR(__xludf.DUMMYFUNCTION("""COMPUTED_VALUE"""),45604.619083854166)</f>
        <v>45604.61908</v>
      </c>
      <c r="K156" s="13" t="str">
        <f>IFERROR(__xludf.DUMMYFUNCTION("""COMPUTED_VALUE"""),"SELESAI")</f>
        <v>SELESAI</v>
      </c>
      <c r="L156" s="17">
        <f>IFERROR(__xludf.DUMMYFUNCTION("""COMPUTED_VALUE"""),45604.619083854166)</f>
        <v>45604.61908</v>
      </c>
      <c r="M156" s="17" t="str">
        <f>IFERROR(__xludf.DUMMYFUNCTION("""COMPUTED_VALUE"""),"")</f>
        <v/>
      </c>
      <c r="N156" s="17">
        <f>IFERROR(__xludf.DUMMYFUNCTION("""COMPUTED_VALUE"""),45604.62012706019)</f>
        <v>45604.62013</v>
      </c>
      <c r="O156" s="13">
        <f t="shared" si="1"/>
        <v>1</v>
      </c>
    </row>
    <row r="157" ht="22.5" customHeight="1">
      <c r="B157" s="13">
        <f>IFERROR(__xludf.DUMMYFUNCTION("""COMPUTED_VALUE"""),152.0)</f>
        <v>152</v>
      </c>
      <c r="C157" s="13" t="str">
        <f>IFERROR(__xludf.DUMMYFUNCTION("""COMPUTED_VALUE"""),"M.286/LABUHAN RATU RAYA")</f>
        <v>M.286/LABUHAN RATU RAYA</v>
      </c>
      <c r="D157" s="13" t="str">
        <f>IFERROR(__xludf.DUMMYFUNCTION("""COMPUTED_VALUE"""),"L/31/051124/1")</f>
        <v>L/31/051124/1</v>
      </c>
      <c r="E157" s="14" t="str">
        <f>IFERROR(__xludf.DUMMYFUNCTION("""COMPUTED_VALUE"""),"Afriza (BT)")</f>
        <v>Afriza (BT)</v>
      </c>
      <c r="F157" s="14" t="str">
        <f>IFERROR(__xludf.DUMMYFUNCTION("""COMPUTED_VALUE"""),"SELESAI")</f>
        <v>SELESAI</v>
      </c>
      <c r="G157" s="17">
        <f>IFERROR(__xludf.DUMMYFUNCTION("""COMPUTED_VALUE"""),45603.494928263885)</f>
        <v>45603.49493</v>
      </c>
      <c r="H157" s="14" t="str">
        <f>IFERROR(__xludf.DUMMYFUNCTION("""COMPUTED_VALUE"""),"Bu Eva (SU)")</f>
        <v>Bu Eva (SU)</v>
      </c>
      <c r="I157" s="13" t="str">
        <f>IFERROR(__xludf.DUMMYFUNCTION("""COMPUTED_VALUE"""),"SELESAI")</f>
        <v>SELESAI</v>
      </c>
      <c r="J157" s="17">
        <f>IFERROR(__xludf.DUMMYFUNCTION("""COMPUTED_VALUE"""),45604.61910935185)</f>
        <v>45604.61911</v>
      </c>
      <c r="K157" s="13" t="str">
        <f>IFERROR(__xludf.DUMMYFUNCTION("""COMPUTED_VALUE"""),"SELESAI")</f>
        <v>SELESAI</v>
      </c>
      <c r="L157" s="17">
        <f>IFERROR(__xludf.DUMMYFUNCTION("""COMPUTED_VALUE"""),45604.61910935185)</f>
        <v>45604.61911</v>
      </c>
      <c r="M157" s="17" t="str">
        <f>IFERROR(__xludf.DUMMYFUNCTION("""COMPUTED_VALUE"""),"")</f>
        <v/>
      </c>
      <c r="N157" s="17">
        <f>IFERROR(__xludf.DUMMYFUNCTION("""COMPUTED_VALUE"""),45604.620145381945)</f>
        <v>45604.62015</v>
      </c>
      <c r="O157" s="13">
        <f t="shared" si="1"/>
        <v>2</v>
      </c>
    </row>
    <row r="158" ht="22.5" customHeight="1">
      <c r="B158" s="13">
        <f>IFERROR(__xludf.DUMMYFUNCTION("""COMPUTED_VALUE"""),153.0)</f>
        <v>153</v>
      </c>
      <c r="C158" s="13" t="str">
        <f>IFERROR(__xludf.DUMMYFUNCTION("""COMPUTED_VALUE"""),"M. 1113/ Pematang Wangi; M. 3217/ Tanjung Senang-dahulu")</f>
        <v>M. 1113/ Pematang Wangi; M. 3217/ Tanjung Senang-dahulu</v>
      </c>
      <c r="D158" s="13" t="str">
        <f>IFERROR(__xludf.DUMMYFUNCTION("""COMPUTED_VALUE"""),"K/48/041124/2")</f>
        <v>K/48/041124/2</v>
      </c>
      <c r="E158" s="14" t="str">
        <f>IFERROR(__xludf.DUMMYFUNCTION("""COMPUTED_VALUE"""),"Afriza (BT)")</f>
        <v>Afriza (BT)</v>
      </c>
      <c r="F158" s="14" t="str">
        <f>IFERROR(__xludf.DUMMYFUNCTION("""COMPUTED_VALUE"""),"SELESAI")</f>
        <v>SELESAI</v>
      </c>
      <c r="G158" s="17">
        <f>IFERROR(__xludf.DUMMYFUNCTION("""COMPUTED_VALUE"""),45603.61547574074)</f>
        <v>45603.61548</v>
      </c>
      <c r="H158" s="14" t="str">
        <f>IFERROR(__xludf.DUMMYFUNCTION("""COMPUTED_VALUE"""),"Aprill (SU)")</f>
        <v>Aprill (SU)</v>
      </c>
      <c r="I158" s="13" t="str">
        <f>IFERROR(__xludf.DUMMYFUNCTION("""COMPUTED_VALUE"""),"SELESAI (VIA PERMOHONAN)")</f>
        <v>SELESAI (VIA PERMOHONAN)</v>
      </c>
      <c r="J158" s="17">
        <f>IFERROR(__xludf.DUMMYFUNCTION("""COMPUTED_VALUE"""),45604.61955877315)</f>
        <v>45604.61956</v>
      </c>
      <c r="K158" s="13" t="str">
        <f>IFERROR(__xludf.DUMMYFUNCTION("""COMPUTED_VALUE"""),"Selesai")</f>
        <v>Selesai</v>
      </c>
      <c r="L158" s="17">
        <f>IFERROR(__xludf.DUMMYFUNCTION("""COMPUTED_VALUE"""),45604.61955877315)</f>
        <v>45604.61956</v>
      </c>
      <c r="M158" s="17">
        <f>IFERROR(__xludf.DUMMYFUNCTION("""COMPUTED_VALUE"""),45604.61997204861)</f>
        <v>45604.61997</v>
      </c>
      <c r="N158" s="13" t="str">
        <f>IFERROR(__xludf.DUMMYFUNCTION("""COMPUTED_VALUE"""),"")</f>
        <v/>
      </c>
      <c r="O158" s="13" t="str">
        <f t="shared" si="1"/>
        <v/>
      </c>
    </row>
    <row r="159" ht="22.5" customHeight="1">
      <c r="B159" s="13">
        <f>IFERROR(__xludf.DUMMYFUNCTION("""COMPUTED_VALUE"""),154.0)</f>
        <v>154</v>
      </c>
      <c r="C159" s="13" t="str">
        <f>IFERROR(__xludf.DUMMYFUNCTION("""COMPUTED_VALUE"""),"M. 2181/ Kemiling Permai; SHT 1853/2019")</f>
        <v>M. 2181/ Kemiling Permai; SHT 1853/2019</v>
      </c>
      <c r="D159" s="13" t="str">
        <f>IFERROR(__xludf.DUMMYFUNCTION("""COMPUTED_VALUE"""),"K/38/311024/1")</f>
        <v>K/38/311024/1</v>
      </c>
      <c r="E159" s="14" t="str">
        <f>IFERROR(__xludf.DUMMYFUNCTION("""COMPUTED_VALUE"""),"Afriza (BT)")</f>
        <v>Afriza (BT)</v>
      </c>
      <c r="F159" s="14" t="str">
        <f>IFERROR(__xludf.DUMMYFUNCTION("""COMPUTED_VALUE"""),"SELESAI")</f>
        <v>SELESAI</v>
      </c>
      <c r="G159" s="17">
        <f>IFERROR(__xludf.DUMMYFUNCTION("""COMPUTED_VALUE"""),45603.61585120371)</f>
        <v>45603.61585</v>
      </c>
      <c r="H159" s="14" t="str">
        <f>IFERROR(__xludf.DUMMYFUNCTION("""COMPUTED_VALUE"""),"Aprill (SU)")</f>
        <v>Aprill (SU)</v>
      </c>
      <c r="I159" s="13" t="str">
        <f>IFERROR(__xludf.DUMMYFUNCTION("""COMPUTED_VALUE"""),"SELESAI (VIA PERMOHONAN)")</f>
        <v>SELESAI (VIA PERMOHONAN)</v>
      </c>
      <c r="J159" s="17">
        <f>IFERROR(__xludf.DUMMYFUNCTION("""COMPUTED_VALUE"""),45604.619606875)</f>
        <v>45604.61961</v>
      </c>
      <c r="K159" s="13" t="str">
        <f>IFERROR(__xludf.DUMMYFUNCTION("""COMPUTED_VALUE"""),"Selesai")</f>
        <v>Selesai</v>
      </c>
      <c r="L159" s="17">
        <f>IFERROR(__xludf.DUMMYFUNCTION("""COMPUTED_VALUE"""),45604.619606875)</f>
        <v>45604.61961</v>
      </c>
      <c r="M159" s="17">
        <f>IFERROR(__xludf.DUMMYFUNCTION("""COMPUTED_VALUE"""),45604.619940081015)</f>
        <v>45604.61994</v>
      </c>
      <c r="N159" s="17">
        <f>IFERROR(__xludf.DUMMYFUNCTION("""COMPUTED_VALUE"""),45609.64436464121)</f>
        <v>45609.64436</v>
      </c>
      <c r="O159" s="13">
        <f t="shared" si="1"/>
        <v>1</v>
      </c>
    </row>
    <row r="160" ht="22.5" customHeight="1">
      <c r="B160" s="13">
        <f>IFERROR(__xludf.DUMMYFUNCTION("""COMPUTED_VALUE"""),155.0)</f>
        <v>155</v>
      </c>
      <c r="C160" s="13" t="str">
        <f>IFERROR(__xludf.DUMMYFUNCTION("""COMPUTED_VALUE"""),"M. 6475/ Way Kandis")</f>
        <v>M. 6475/ Way Kandis</v>
      </c>
      <c r="D160" s="13" t="str">
        <f>IFERROR(__xludf.DUMMYFUNCTION("""COMPUTED_VALUE"""),"K/39/221024/1")</f>
        <v>K/39/221024/1</v>
      </c>
      <c r="E160" s="14" t="str">
        <f>IFERROR(__xludf.DUMMYFUNCTION("""COMPUTED_VALUE"""),"Afriza (BT)")</f>
        <v>Afriza (BT)</v>
      </c>
      <c r="F160" s="14" t="str">
        <f>IFERROR(__xludf.DUMMYFUNCTION("""COMPUTED_VALUE"""),"SELESAI")</f>
        <v>SELESAI</v>
      </c>
      <c r="G160" s="17">
        <f>IFERROR(__xludf.DUMMYFUNCTION("""COMPUTED_VALUE"""),45603.61700734954)</f>
        <v>45603.61701</v>
      </c>
      <c r="H160" s="14" t="str">
        <f>IFERROR(__xludf.DUMMYFUNCTION("""COMPUTED_VALUE"""),"Aprill (SU)")</f>
        <v>Aprill (SU)</v>
      </c>
      <c r="I160" s="13" t="str">
        <f>IFERROR(__xludf.DUMMYFUNCTION("""COMPUTED_VALUE"""),"SELESAI (VIA PERMOHONAN)")</f>
        <v>SELESAI (VIA PERMOHONAN)</v>
      </c>
      <c r="J160" s="17">
        <f>IFERROR(__xludf.DUMMYFUNCTION("""COMPUTED_VALUE"""),45604.61973967592)</f>
        <v>45604.61974</v>
      </c>
      <c r="K160" s="13" t="str">
        <f>IFERROR(__xludf.DUMMYFUNCTION("""COMPUTED_VALUE"""),"Selesai")</f>
        <v>Selesai</v>
      </c>
      <c r="L160" s="17">
        <f>IFERROR(__xludf.DUMMYFUNCTION("""COMPUTED_VALUE"""),45604.61973967592)</f>
        <v>45604.61974</v>
      </c>
      <c r="M160" s="17">
        <f>IFERROR(__xludf.DUMMYFUNCTION("""COMPUTED_VALUE"""),45604.6198941551)</f>
        <v>45604.61989</v>
      </c>
      <c r="N160" s="13" t="str">
        <f>IFERROR(__xludf.DUMMYFUNCTION("""COMPUTED_VALUE"""),"")</f>
        <v/>
      </c>
      <c r="O160" s="13" t="str">
        <f t="shared" si="1"/>
        <v/>
      </c>
    </row>
    <row r="161" ht="22.5" customHeight="1">
      <c r="B161" s="13">
        <f>IFERROR(__xludf.DUMMYFUNCTION("""COMPUTED_VALUE"""),156.0)</f>
        <v>156</v>
      </c>
      <c r="C161" s="13" t="str">
        <f>IFERROR(__xludf.DUMMYFUNCTION("""COMPUTED_VALUE"""),"m.1815/RAJABASA NUNYAI_SEKARANG;b.1210/RAJABASA-DAHULU")</f>
        <v>m.1815/RAJABASA NUNYAI_SEKARANG;b.1210/RAJABASA-DAHULU</v>
      </c>
      <c r="D161" s="13" t="str">
        <f>IFERROR(__xludf.DUMMYFUNCTION("""COMPUTED_VALUE"""),"K/7/051124/2")</f>
        <v>K/7/051124/2</v>
      </c>
      <c r="E161" s="14" t="str">
        <f>IFERROR(__xludf.DUMMYFUNCTION("""COMPUTED_VALUE"""),"Afriza (BT)")</f>
        <v>Afriza (BT)</v>
      </c>
      <c r="F161" s="14" t="str">
        <f>IFERROR(__xludf.DUMMYFUNCTION("""COMPUTED_VALUE"""),"SELESAI")</f>
        <v>SELESAI</v>
      </c>
      <c r="G161" s="17">
        <f>IFERROR(__xludf.DUMMYFUNCTION("""COMPUTED_VALUE"""),45604.47880140046)</f>
        <v>45604.4788</v>
      </c>
      <c r="H161" s="14" t="str">
        <f>IFERROR(__xludf.DUMMYFUNCTION("""COMPUTED_VALUE"""),"Aprill (SU)")</f>
        <v>Aprill (SU)</v>
      </c>
      <c r="I161" s="13" t="str">
        <f>IFERROR(__xludf.DUMMYFUNCTION("""COMPUTED_VALUE"""),"SELESAI (VIA PERMOHONAN)")</f>
        <v>SELESAI (VIA PERMOHONAN)</v>
      </c>
      <c r="J161" s="17">
        <f>IFERROR(__xludf.DUMMYFUNCTION("""COMPUTED_VALUE"""),45607.64715625)</f>
        <v>45607.64716</v>
      </c>
      <c r="K161" s="13" t="str">
        <f>IFERROR(__xludf.DUMMYFUNCTION("""COMPUTED_VALUE"""),"Selesai")</f>
        <v>Selesai</v>
      </c>
      <c r="L161" s="17">
        <f>IFERROR(__xludf.DUMMYFUNCTION("""COMPUTED_VALUE"""),45607.64715625)</f>
        <v>45607.64716</v>
      </c>
      <c r="M161" s="17">
        <f>IFERROR(__xludf.DUMMYFUNCTION("""COMPUTED_VALUE"""),45607.64776228009)</f>
        <v>45607.64776</v>
      </c>
      <c r="N161" s="17">
        <f>IFERROR(__xludf.DUMMYFUNCTION("""COMPUTED_VALUE"""),45609.45318833333)</f>
        <v>45609.45319</v>
      </c>
      <c r="O161" s="13">
        <f t="shared" si="1"/>
        <v>1</v>
      </c>
    </row>
    <row r="162" ht="22.5" customHeight="1">
      <c r="B162" s="13">
        <f>IFERROR(__xludf.DUMMYFUNCTION("""COMPUTED_VALUE"""),157.0)</f>
        <v>157</v>
      </c>
      <c r="C162" s="13" t="str">
        <f>IFERROR(__xludf.DUMMYFUNCTION("""COMPUTED_VALUE"""),"M. 2684/ Pinang Jaya-sekarang; B. 12782/ Pinang Jaya")</f>
        <v>M. 2684/ Pinang Jaya-sekarang; B. 12782/ Pinang Jaya</v>
      </c>
      <c r="D162" s="13" t="str">
        <f>IFERROR(__xludf.DUMMYFUNCTION("""COMPUTED_VALUE"""),"K/43/041124/1")</f>
        <v>K/43/041124/1</v>
      </c>
      <c r="E162" s="14" t="str">
        <f>IFERROR(__xludf.DUMMYFUNCTION("""COMPUTED_VALUE"""),"Afriza (BT)")</f>
        <v>Afriza (BT)</v>
      </c>
      <c r="F162" s="14" t="str">
        <f>IFERROR(__xludf.DUMMYFUNCTION("""COMPUTED_VALUE"""),"SELESAI")</f>
        <v>SELESAI</v>
      </c>
      <c r="G162" s="17">
        <f>IFERROR(__xludf.DUMMYFUNCTION("""COMPUTED_VALUE"""),45604.533580856485)</f>
        <v>45604.53358</v>
      </c>
      <c r="H162" s="14" t="str">
        <f>IFERROR(__xludf.DUMMYFUNCTION("""COMPUTED_VALUE"""),"Aprill (SU)")</f>
        <v>Aprill (SU)</v>
      </c>
      <c r="I162" s="13" t="str">
        <f>IFERROR(__xludf.DUMMYFUNCTION("""COMPUTED_VALUE"""),"SELESAI (VIA PERMOHONAN)")</f>
        <v>SELESAI (VIA PERMOHONAN)</v>
      </c>
      <c r="J162" s="17">
        <f>IFERROR(__xludf.DUMMYFUNCTION("""COMPUTED_VALUE"""),45607.64721030093)</f>
        <v>45607.64721</v>
      </c>
      <c r="K162" s="13" t="str">
        <f>IFERROR(__xludf.DUMMYFUNCTION("""COMPUTED_VALUE"""),"Selesai")</f>
        <v>Selesai</v>
      </c>
      <c r="L162" s="17">
        <f>IFERROR(__xludf.DUMMYFUNCTION("""COMPUTED_VALUE"""),45607.64721030093)</f>
        <v>45607.64721</v>
      </c>
      <c r="M162" s="17">
        <f>IFERROR(__xludf.DUMMYFUNCTION("""COMPUTED_VALUE"""),45607.647786076384)</f>
        <v>45607.64779</v>
      </c>
      <c r="N162" s="17">
        <f>IFERROR(__xludf.DUMMYFUNCTION("""COMPUTED_VALUE"""),45609.45332153935)</f>
        <v>45609.45332</v>
      </c>
      <c r="O162" s="13">
        <f t="shared" si="1"/>
        <v>2</v>
      </c>
    </row>
    <row r="163" ht="22.5" customHeight="1">
      <c r="B163" s="13">
        <f>IFERROR(__xludf.DUMMYFUNCTION("""COMPUTED_VALUE"""),158.0)</f>
        <v>158</v>
      </c>
      <c r="C163" s="13" t="str">
        <f>IFERROR(__xludf.DUMMYFUNCTION("""COMPUTED_VALUE"""),"M. 676/BUMI KEDAMAIAN")</f>
        <v>M. 676/BUMI KEDAMAIAN</v>
      </c>
      <c r="D163" s="13" t="str">
        <f>IFERROR(__xludf.DUMMYFUNCTION("""COMPUTED_VALUE"""),"K/33/071124/2")</f>
        <v>K/33/071124/2</v>
      </c>
      <c r="E163" s="14" t="str">
        <f>IFERROR(__xludf.DUMMYFUNCTION("""COMPUTED_VALUE"""),"Afriza (BT)")</f>
        <v>Afriza (BT)</v>
      </c>
      <c r="F163" s="14" t="str">
        <f>IFERROR(__xludf.DUMMYFUNCTION("""COMPUTED_VALUE"""),"SELESAI")</f>
        <v>SELESAI</v>
      </c>
      <c r="G163" s="17">
        <f>IFERROR(__xludf.DUMMYFUNCTION("""COMPUTED_VALUE"""),45607.35336753472)</f>
        <v>45607.35337</v>
      </c>
      <c r="H163" s="14" t="str">
        <f>IFERROR(__xludf.DUMMYFUNCTION("""COMPUTED_VALUE"""),"Aprill (SU)")</f>
        <v>Aprill (SU)</v>
      </c>
      <c r="I163" s="13" t="str">
        <f>IFERROR(__xludf.DUMMYFUNCTION("""COMPUTED_VALUE"""),"SELESAI (VIA PERMOHONAN)")</f>
        <v>SELESAI (VIA PERMOHONAN)</v>
      </c>
      <c r="J163" s="17">
        <f>IFERROR(__xludf.DUMMYFUNCTION("""COMPUTED_VALUE"""),45607.64721030093)</f>
        <v>45607.64721</v>
      </c>
      <c r="K163" s="13" t="str">
        <f>IFERROR(__xludf.DUMMYFUNCTION("""COMPUTED_VALUE"""),"Selesai")</f>
        <v>Selesai</v>
      </c>
      <c r="L163" s="17">
        <f>IFERROR(__xludf.DUMMYFUNCTION("""COMPUTED_VALUE"""),45607.64721030093)</f>
        <v>45607.64721</v>
      </c>
      <c r="M163" s="17">
        <f>IFERROR(__xludf.DUMMYFUNCTION("""COMPUTED_VALUE"""),45607.64780612268)</f>
        <v>45607.64781</v>
      </c>
      <c r="N163" s="13" t="str">
        <f>IFERROR(__xludf.DUMMYFUNCTION("""COMPUTED_VALUE"""),"")</f>
        <v/>
      </c>
      <c r="O163" s="13" t="str">
        <f t="shared" si="1"/>
        <v/>
      </c>
    </row>
    <row r="164" ht="22.5" customHeight="1">
      <c r="B164" s="13">
        <f>IFERROR(__xludf.DUMMYFUNCTION("""COMPUTED_VALUE"""),159.0)</f>
        <v>159</v>
      </c>
      <c r="C164" s="13" t="str">
        <f>IFERROR(__xludf.DUMMYFUNCTION("""COMPUTED_VALUE"""),"M. 14387/ Rajabasa; SHT 2838/ 2018")</f>
        <v>M. 14387/ Rajabasa; SHT 2838/ 2018</v>
      </c>
      <c r="D164" s="13" t="str">
        <f>IFERROR(__xludf.DUMMYFUNCTION("""COMPUTED_VALUE"""),"K/26/051124/1")</f>
        <v>K/26/051124/1</v>
      </c>
      <c r="E164" s="14" t="str">
        <f>IFERROR(__xludf.DUMMYFUNCTION("""COMPUTED_VALUE"""),"Afriza (BT)")</f>
        <v>Afriza (BT)</v>
      </c>
      <c r="F164" s="14" t="str">
        <f>IFERROR(__xludf.DUMMYFUNCTION("""COMPUTED_VALUE"""),"SELESAI")</f>
        <v>SELESAI</v>
      </c>
      <c r="G164" s="17">
        <f>IFERROR(__xludf.DUMMYFUNCTION("""COMPUTED_VALUE"""),45607.362441307865)</f>
        <v>45607.36244</v>
      </c>
      <c r="H164" s="14" t="str">
        <f>IFERROR(__xludf.DUMMYFUNCTION("""COMPUTED_VALUE"""),"Aprill (SU)")</f>
        <v>Aprill (SU)</v>
      </c>
      <c r="I164" s="13" t="str">
        <f>IFERROR(__xludf.DUMMYFUNCTION("""COMPUTED_VALUE"""),"SELESAI (VIA PERMOHONAN)")</f>
        <v>SELESAI (VIA PERMOHONAN)</v>
      </c>
      <c r="J164" s="17">
        <f>IFERROR(__xludf.DUMMYFUNCTION("""COMPUTED_VALUE"""),45607.647233483796)</f>
        <v>45607.64723</v>
      </c>
      <c r="K164" s="13" t="str">
        <f>IFERROR(__xludf.DUMMYFUNCTION("""COMPUTED_VALUE"""),"Selesai")</f>
        <v>Selesai</v>
      </c>
      <c r="L164" s="17">
        <f>IFERROR(__xludf.DUMMYFUNCTION("""COMPUTED_VALUE"""),45607.647233483796)</f>
        <v>45607.64723</v>
      </c>
      <c r="M164" s="17">
        <f>IFERROR(__xludf.DUMMYFUNCTION("""COMPUTED_VALUE"""),45607.64781362269)</f>
        <v>45607.64781</v>
      </c>
      <c r="N164" s="13" t="str">
        <f>IFERROR(__xludf.DUMMYFUNCTION("""COMPUTED_VALUE"""),"")</f>
        <v/>
      </c>
      <c r="O164" s="13" t="str">
        <f t="shared" si="1"/>
        <v/>
      </c>
    </row>
    <row r="165" ht="22.5" customHeight="1">
      <c r="B165" s="13">
        <f>IFERROR(__xludf.DUMMYFUNCTION("""COMPUTED_VALUE"""),160.0)</f>
        <v>160</v>
      </c>
      <c r="C165" s="13" t="str">
        <f>IFERROR(__xludf.DUMMYFUNCTION("""COMPUTED_VALUE"""),"M. 11169/ Tanjung Baru")</f>
        <v>M. 11169/ Tanjung Baru</v>
      </c>
      <c r="D165" s="13" t="str">
        <f>IFERROR(__xludf.DUMMYFUNCTION("""COMPUTED_VALUE"""),"K/23/061124/1")</f>
        <v>K/23/061124/1</v>
      </c>
      <c r="E165" s="14" t="str">
        <f>IFERROR(__xludf.DUMMYFUNCTION("""COMPUTED_VALUE"""),"Afriza (BT)")</f>
        <v>Afriza (BT)</v>
      </c>
      <c r="F165" s="14" t="str">
        <f>IFERROR(__xludf.DUMMYFUNCTION("""COMPUTED_VALUE"""),"SELESAI")</f>
        <v>SELESAI</v>
      </c>
      <c r="G165" s="17">
        <f>IFERROR(__xludf.DUMMYFUNCTION("""COMPUTED_VALUE"""),45607.397031863424)</f>
        <v>45607.39703</v>
      </c>
      <c r="H165" s="14" t="str">
        <f>IFERROR(__xludf.DUMMYFUNCTION("""COMPUTED_VALUE"""),"Aprill (SU)")</f>
        <v>Aprill (SU)</v>
      </c>
      <c r="I165" s="13" t="str">
        <f>IFERROR(__xludf.DUMMYFUNCTION("""COMPUTED_VALUE"""),"SELESAI (VIA PERMOHONAN)")</f>
        <v>SELESAI (VIA PERMOHONAN)</v>
      </c>
      <c r="J165" s="17">
        <f>IFERROR(__xludf.DUMMYFUNCTION("""COMPUTED_VALUE"""),45607.647382951385)</f>
        <v>45607.64738</v>
      </c>
      <c r="K165" s="13" t="str">
        <f>IFERROR(__xludf.DUMMYFUNCTION("""COMPUTED_VALUE"""),"Selesai")</f>
        <v>Selesai</v>
      </c>
      <c r="L165" s="17">
        <f>IFERROR(__xludf.DUMMYFUNCTION("""COMPUTED_VALUE"""),45607.647382951385)</f>
        <v>45607.64738</v>
      </c>
      <c r="M165" s="17">
        <f>IFERROR(__xludf.DUMMYFUNCTION("""COMPUTED_VALUE"""),45607.64795943287)</f>
        <v>45607.64796</v>
      </c>
      <c r="N165" s="13" t="str">
        <f>IFERROR(__xludf.DUMMYFUNCTION("""COMPUTED_VALUE"""),"")</f>
        <v/>
      </c>
      <c r="O165" s="13" t="str">
        <f t="shared" si="1"/>
        <v/>
      </c>
    </row>
    <row r="166" ht="22.5" customHeight="1">
      <c r="B166" s="13">
        <f>IFERROR(__xludf.DUMMYFUNCTION("""COMPUTED_VALUE"""),161.0)</f>
        <v>161</v>
      </c>
      <c r="C166" s="13" t="str">
        <f>IFERROR(__xludf.DUMMYFUNCTION("""COMPUTED_VALUE"""),"B.1777/JAGABAYA II-SEKARANG;B.354/JAGABAYA III-DAHULU")</f>
        <v>B.1777/JAGABAYA II-SEKARANG;B.354/JAGABAYA III-DAHULU</v>
      </c>
      <c r="D166" s="13" t="str">
        <f>IFERROR(__xludf.DUMMYFUNCTION("""COMPUTED_VALUE"""),"K/49/061124/3")</f>
        <v>K/49/061124/3</v>
      </c>
      <c r="E166" s="14" t="str">
        <f>IFERROR(__xludf.DUMMYFUNCTION("""COMPUTED_VALUE"""),"Afriza (BT)")</f>
        <v>Afriza (BT)</v>
      </c>
      <c r="F166" s="14" t="str">
        <f>IFERROR(__xludf.DUMMYFUNCTION("""COMPUTED_VALUE"""),"SELESAI")</f>
        <v>SELESAI</v>
      </c>
      <c r="G166" s="17">
        <f>IFERROR(__xludf.DUMMYFUNCTION("""COMPUTED_VALUE"""),45607.44077486111)</f>
        <v>45607.44077</v>
      </c>
      <c r="H166" s="14" t="str">
        <f>IFERROR(__xludf.DUMMYFUNCTION("""COMPUTED_VALUE"""),"Bu Eva (SU)")</f>
        <v>Bu Eva (SU)</v>
      </c>
      <c r="I166" s="13" t="str">
        <f>IFERROR(__xludf.DUMMYFUNCTION("""COMPUTED_VALUE"""),"SELESAI")</f>
        <v>SELESAI</v>
      </c>
      <c r="J166" s="17">
        <f>IFERROR(__xludf.DUMMYFUNCTION("""COMPUTED_VALUE"""),45607.64751607639)</f>
        <v>45607.64752</v>
      </c>
      <c r="K166" s="13" t="str">
        <f>IFERROR(__xludf.DUMMYFUNCTION("""COMPUTED_VALUE"""),"SELESAI")</f>
        <v>SELESAI</v>
      </c>
      <c r="L166" s="17">
        <f>IFERROR(__xludf.DUMMYFUNCTION("""COMPUTED_VALUE"""),45607.64751607639)</f>
        <v>45607.64752</v>
      </c>
      <c r="M166" s="17" t="str">
        <f>IFERROR(__xludf.DUMMYFUNCTION("""COMPUTED_VALUE"""),"")</f>
        <v/>
      </c>
      <c r="N166" s="17">
        <f>IFERROR(__xludf.DUMMYFUNCTION("""COMPUTED_VALUE"""),45607.648012025464)</f>
        <v>45607.64801</v>
      </c>
      <c r="O166" s="13">
        <f t="shared" si="1"/>
        <v>1</v>
      </c>
    </row>
    <row r="167" ht="22.5" customHeight="1">
      <c r="B167" s="13">
        <f>IFERROR(__xludf.DUMMYFUNCTION("""COMPUTED_VALUE"""),162.0)</f>
        <v>162</v>
      </c>
      <c r="C167" s="13" t="str">
        <f>IFERROR(__xludf.DUMMYFUNCTION("""COMPUTED_VALUE"""),"B.798/SUMUR PUTRI")</f>
        <v>B.798/SUMUR PUTRI</v>
      </c>
      <c r="D167" s="13" t="str">
        <f>IFERROR(__xludf.DUMMYFUNCTION("""COMPUTED_VALUE"""),"K/6/071124/1")</f>
        <v>K/6/071124/1</v>
      </c>
      <c r="E167" s="14" t="str">
        <f>IFERROR(__xludf.DUMMYFUNCTION("""COMPUTED_VALUE"""),"Afriza (BT)")</f>
        <v>Afriza (BT)</v>
      </c>
      <c r="F167" s="14" t="str">
        <f>IFERROR(__xludf.DUMMYFUNCTION("""COMPUTED_VALUE"""),"SELESAI")</f>
        <v>SELESAI</v>
      </c>
      <c r="G167" s="17">
        <f>IFERROR(__xludf.DUMMYFUNCTION("""COMPUTED_VALUE"""),45607.442380775465)</f>
        <v>45607.44238</v>
      </c>
      <c r="H167" s="14" t="str">
        <f>IFERROR(__xludf.DUMMYFUNCTION("""COMPUTED_VALUE"""),"Bu Eva (SU)")</f>
        <v>Bu Eva (SU)</v>
      </c>
      <c r="I167" s="13" t="str">
        <f>IFERROR(__xludf.DUMMYFUNCTION("""COMPUTED_VALUE"""),"SELESAI")</f>
        <v>SELESAI</v>
      </c>
      <c r="J167" s="17">
        <f>IFERROR(__xludf.DUMMYFUNCTION("""COMPUTED_VALUE"""),45607.64755430556)</f>
        <v>45607.64755</v>
      </c>
      <c r="K167" s="13" t="str">
        <f>IFERROR(__xludf.DUMMYFUNCTION("""COMPUTED_VALUE"""),"SELESAI")</f>
        <v>SELESAI</v>
      </c>
      <c r="L167" s="17">
        <f>IFERROR(__xludf.DUMMYFUNCTION("""COMPUTED_VALUE"""),45607.64755430556)</f>
        <v>45607.64755</v>
      </c>
      <c r="M167" s="17" t="str">
        <f>IFERROR(__xludf.DUMMYFUNCTION("""COMPUTED_VALUE"""),"")</f>
        <v/>
      </c>
      <c r="N167" s="17">
        <f>IFERROR(__xludf.DUMMYFUNCTION("""COMPUTED_VALUE"""),45607.64803302083)</f>
        <v>45607.64803</v>
      </c>
      <c r="O167" s="13">
        <f t="shared" si="1"/>
        <v>2</v>
      </c>
    </row>
    <row r="168" ht="22.5" customHeight="1">
      <c r="B168" s="13">
        <f>IFERROR(__xludf.DUMMYFUNCTION("""COMPUTED_VALUE"""),163.0)</f>
        <v>163</v>
      </c>
      <c r="C168" s="13" t="str">
        <f>IFERROR(__xludf.DUMMYFUNCTION("""COMPUTED_VALUE"""),"M. 16717/ Sukarame I")</f>
        <v>M. 16717/ Sukarame I</v>
      </c>
      <c r="D168" s="13" t="str">
        <f>IFERROR(__xludf.DUMMYFUNCTION("""COMPUTED_VALUE"""),"K/23/071124/1")</f>
        <v>K/23/071124/1</v>
      </c>
      <c r="E168" s="14" t="str">
        <f>IFERROR(__xludf.DUMMYFUNCTION("""COMPUTED_VALUE"""),"Afriza (BT)")</f>
        <v>Afriza (BT)</v>
      </c>
      <c r="F168" s="14" t="str">
        <f>IFERROR(__xludf.DUMMYFUNCTION("""COMPUTED_VALUE"""),"SELESAI")</f>
        <v>SELESAI</v>
      </c>
      <c r="G168" s="17">
        <f>IFERROR(__xludf.DUMMYFUNCTION("""COMPUTED_VALUE"""),45607.44274539352)</f>
        <v>45607.44275</v>
      </c>
      <c r="H168" s="14" t="str">
        <f>IFERROR(__xludf.DUMMYFUNCTION("""COMPUTED_VALUE"""),"Bu Eva (SU)")</f>
        <v>Bu Eva (SU)</v>
      </c>
      <c r="I168" s="13" t="str">
        <f>IFERROR(__xludf.DUMMYFUNCTION("""COMPUTED_VALUE"""),"SELESAI")</f>
        <v>SELESAI</v>
      </c>
      <c r="J168" s="17">
        <f>IFERROR(__xludf.DUMMYFUNCTION("""COMPUTED_VALUE"""),45607.647596574076)</f>
        <v>45607.6476</v>
      </c>
      <c r="K168" s="13" t="str">
        <f>IFERROR(__xludf.DUMMYFUNCTION("""COMPUTED_VALUE"""),"SELESAI")</f>
        <v>SELESAI</v>
      </c>
      <c r="L168" s="17">
        <f>IFERROR(__xludf.DUMMYFUNCTION("""COMPUTED_VALUE"""),45607.647596574076)</f>
        <v>45607.6476</v>
      </c>
      <c r="M168" s="17" t="str">
        <f>IFERROR(__xludf.DUMMYFUNCTION("""COMPUTED_VALUE"""),"")</f>
        <v/>
      </c>
      <c r="N168" s="17">
        <f>IFERROR(__xludf.DUMMYFUNCTION("""COMPUTED_VALUE"""),45607.64808049769)</f>
        <v>45607.64808</v>
      </c>
      <c r="O168" s="13">
        <f t="shared" si="1"/>
        <v>3</v>
      </c>
    </row>
    <row r="169" ht="22.5" customHeight="1">
      <c r="B169" s="13">
        <f>IFERROR(__xludf.DUMMYFUNCTION("""COMPUTED_VALUE"""),164.0)</f>
        <v>164</v>
      </c>
      <c r="C169" s="13" t="str">
        <f>IFERROR(__xludf.DUMMYFUNCTION("""COMPUTED_VALUE"""),"M.4696/SUKADANAHAM")</f>
        <v>M.4696/SUKADANAHAM</v>
      </c>
      <c r="D169" s="13" t="str">
        <f>IFERROR(__xludf.DUMMYFUNCTION("""COMPUTED_VALUE"""),"K/16/071124/2")</f>
        <v>K/16/071124/2</v>
      </c>
      <c r="E169" s="14" t="str">
        <f>IFERROR(__xludf.DUMMYFUNCTION("""COMPUTED_VALUE"""),"Afriza (BT)")</f>
        <v>Afriza (BT)</v>
      </c>
      <c r="F169" s="14" t="str">
        <f>IFERROR(__xludf.DUMMYFUNCTION("""COMPUTED_VALUE"""),"SELESAI")</f>
        <v>SELESAI</v>
      </c>
      <c r="G169" s="17">
        <f>IFERROR(__xludf.DUMMYFUNCTION("""COMPUTED_VALUE"""),45607.442981782406)</f>
        <v>45607.44298</v>
      </c>
      <c r="H169" s="14" t="str">
        <f>IFERROR(__xludf.DUMMYFUNCTION("""COMPUTED_VALUE"""),"Bu Eva (SU)")</f>
        <v>Bu Eva (SU)</v>
      </c>
      <c r="I169" s="13" t="str">
        <f>IFERROR(__xludf.DUMMYFUNCTION("""COMPUTED_VALUE"""),"SELESAI")</f>
        <v>SELESAI</v>
      </c>
      <c r="J169" s="17">
        <f>IFERROR(__xludf.DUMMYFUNCTION("""COMPUTED_VALUE"""),45607.64766534722)</f>
        <v>45607.64767</v>
      </c>
      <c r="K169" s="13" t="str">
        <f>IFERROR(__xludf.DUMMYFUNCTION("""COMPUTED_VALUE"""),"SELESAI")</f>
        <v>SELESAI</v>
      </c>
      <c r="L169" s="17">
        <f>IFERROR(__xludf.DUMMYFUNCTION("""COMPUTED_VALUE"""),45607.64766534722)</f>
        <v>45607.64767</v>
      </c>
      <c r="M169" s="17" t="str">
        <f>IFERROR(__xludf.DUMMYFUNCTION("""COMPUTED_VALUE"""),"")</f>
        <v/>
      </c>
      <c r="N169" s="17">
        <f>IFERROR(__xludf.DUMMYFUNCTION("""COMPUTED_VALUE"""),45607.64826847222)</f>
        <v>45607.64827</v>
      </c>
      <c r="O169" s="13">
        <f t="shared" si="1"/>
        <v>4</v>
      </c>
    </row>
    <row r="170" ht="22.5" customHeight="1">
      <c r="B170" s="13">
        <f>IFERROR(__xludf.DUMMYFUNCTION("""COMPUTED_VALUE"""),165.0)</f>
        <v>165</v>
      </c>
      <c r="C170" s="13" t="str">
        <f>IFERROR(__xludf.DUMMYFUNCTION("""COMPUTED_VALUE"""),"M.2475/PINANG JAYA")</f>
        <v>M.2475/PINANG JAYA</v>
      </c>
      <c r="D170" s="13" t="str">
        <f>IFERROR(__xludf.DUMMYFUNCTION("""COMPUTED_VALUE"""),"K/18/071124/4")</f>
        <v>K/18/071124/4</v>
      </c>
      <c r="E170" s="14" t="str">
        <f>IFERROR(__xludf.DUMMYFUNCTION("""COMPUTED_VALUE"""),"Afriza (BT)")</f>
        <v>Afriza (BT)</v>
      </c>
      <c r="F170" s="14" t="str">
        <f>IFERROR(__xludf.DUMMYFUNCTION("""COMPUTED_VALUE"""),"SELESAI")</f>
        <v>SELESAI</v>
      </c>
      <c r="G170" s="17">
        <f>IFERROR(__xludf.DUMMYFUNCTION("""COMPUTED_VALUE"""),45607.44319266204)</f>
        <v>45607.44319</v>
      </c>
      <c r="H170" s="14" t="str">
        <f>IFERROR(__xludf.DUMMYFUNCTION("""COMPUTED_VALUE"""),"Bu Eva (SU)")</f>
        <v>Bu Eva (SU)</v>
      </c>
      <c r="I170" s="13" t="str">
        <f>IFERROR(__xludf.DUMMYFUNCTION("""COMPUTED_VALUE"""),"SELESAI")</f>
        <v>SELESAI</v>
      </c>
      <c r="J170" s="17">
        <f>IFERROR(__xludf.DUMMYFUNCTION("""COMPUTED_VALUE"""),45607.64283181713)</f>
        <v>45607.64283</v>
      </c>
      <c r="K170" s="13" t="str">
        <f>IFERROR(__xludf.DUMMYFUNCTION("""COMPUTED_VALUE"""),"SELESAI")</f>
        <v>SELESAI</v>
      </c>
      <c r="L170" s="17">
        <f>IFERROR(__xludf.DUMMYFUNCTION("""COMPUTED_VALUE"""),45607.64283181713)</f>
        <v>45607.64283</v>
      </c>
      <c r="M170" s="17" t="str">
        <f>IFERROR(__xludf.DUMMYFUNCTION("""COMPUTED_VALUE"""),"")</f>
        <v/>
      </c>
      <c r="N170" s="17">
        <f>IFERROR(__xludf.DUMMYFUNCTION("""COMPUTED_VALUE"""),45607.648284525465)</f>
        <v>45607.64828</v>
      </c>
      <c r="O170" s="13">
        <f t="shared" si="1"/>
        <v>5</v>
      </c>
    </row>
    <row r="171" ht="22.5" customHeight="1">
      <c r="B171" s="13">
        <f>IFERROR(__xludf.DUMMYFUNCTION("""COMPUTED_VALUE"""),166.0)</f>
        <v>166</v>
      </c>
      <c r="C171" s="13" t="str">
        <f>IFERROR(__xludf.DUMMYFUNCTION("""COMPUTED_VALUE"""),"HM 2435/PANJANG UTARA")</f>
        <v>HM 2435/PANJANG UTARA</v>
      </c>
      <c r="D171" s="13" t="str">
        <f>IFERROR(__xludf.DUMMYFUNCTION("""COMPUTED_VALUE"""),"L/22/071124/1")</f>
        <v>L/22/071124/1</v>
      </c>
      <c r="E171" s="14" t="str">
        <f>IFERROR(__xludf.DUMMYFUNCTION("""COMPUTED_VALUE"""),"Afriza (BT)")</f>
        <v>Afriza (BT)</v>
      </c>
      <c r="F171" s="14" t="str">
        <f>IFERROR(__xludf.DUMMYFUNCTION("""COMPUTED_VALUE"""),"SELESAI")</f>
        <v>SELESAI</v>
      </c>
      <c r="G171" s="17">
        <f>IFERROR(__xludf.DUMMYFUNCTION("""COMPUTED_VALUE"""),45607.44508770833)</f>
        <v>45607.44509</v>
      </c>
      <c r="H171" s="14" t="str">
        <f>IFERROR(__xludf.DUMMYFUNCTION("""COMPUTED_VALUE"""),"Bu Eva (SU)")</f>
        <v>Bu Eva (SU)</v>
      </c>
      <c r="I171" s="13" t="str">
        <f>IFERROR(__xludf.DUMMYFUNCTION("""COMPUTED_VALUE"""),"SELESAI")</f>
        <v>SELESAI</v>
      </c>
      <c r="J171" s="17">
        <f>IFERROR(__xludf.DUMMYFUNCTION("""COMPUTED_VALUE"""),45607.64267094908)</f>
        <v>45607.64267</v>
      </c>
      <c r="K171" s="13" t="str">
        <f>IFERROR(__xludf.DUMMYFUNCTION("""COMPUTED_VALUE"""),"SELESAI")</f>
        <v>SELESAI</v>
      </c>
      <c r="L171" s="17">
        <f>IFERROR(__xludf.DUMMYFUNCTION("""COMPUTED_VALUE"""),45607.64267094908)</f>
        <v>45607.64267</v>
      </c>
      <c r="M171" s="17" t="str">
        <f>IFERROR(__xludf.DUMMYFUNCTION("""COMPUTED_VALUE"""),"")</f>
        <v/>
      </c>
      <c r="N171" s="17">
        <f>IFERROR(__xludf.DUMMYFUNCTION("""COMPUTED_VALUE"""),45607.64829329861)</f>
        <v>45607.64829</v>
      </c>
      <c r="O171" s="13">
        <f t="shared" si="1"/>
        <v>6</v>
      </c>
    </row>
    <row r="172" ht="22.5" customHeight="1">
      <c r="B172" s="13">
        <f>IFERROR(__xludf.DUMMYFUNCTION("""COMPUTED_VALUE"""),167.0)</f>
        <v>167</v>
      </c>
      <c r="C172" s="13" t="str">
        <f>IFERROR(__xludf.DUMMYFUNCTION("""COMPUTED_VALUE"""),"M. 10980/ Segala Mider")</f>
        <v>M. 10980/ Segala Mider</v>
      </c>
      <c r="D172" s="13" t="str">
        <f>IFERROR(__xludf.DUMMYFUNCTION("""COMPUTED_VALUE"""),"K/35/071124/1")</f>
        <v>K/35/071124/1</v>
      </c>
      <c r="E172" s="14" t="str">
        <f>IFERROR(__xludf.DUMMYFUNCTION("""COMPUTED_VALUE"""),"Afriza (BT)")</f>
        <v>Afriza (BT)</v>
      </c>
      <c r="F172" s="14" t="str">
        <f>IFERROR(__xludf.DUMMYFUNCTION("""COMPUTED_VALUE"""),"SELESAI")</f>
        <v>SELESAI</v>
      </c>
      <c r="G172" s="17">
        <f>IFERROR(__xludf.DUMMYFUNCTION("""COMPUTED_VALUE"""),45607.461193379626)</f>
        <v>45607.46119</v>
      </c>
      <c r="H172" s="14" t="str">
        <f>IFERROR(__xludf.DUMMYFUNCTION("""COMPUTED_VALUE"""),"Bu Eva (SU)")</f>
        <v>Bu Eva (SU)</v>
      </c>
      <c r="I172" s="13" t="str">
        <f>IFERROR(__xludf.DUMMYFUNCTION("""COMPUTED_VALUE"""),"SELESAI")</f>
        <v>SELESAI</v>
      </c>
      <c r="J172" s="17">
        <f>IFERROR(__xludf.DUMMYFUNCTION("""COMPUTED_VALUE"""),45607.64250797454)</f>
        <v>45607.64251</v>
      </c>
      <c r="K172" s="13" t="str">
        <f>IFERROR(__xludf.DUMMYFUNCTION("""COMPUTED_VALUE"""),"SELESAI")</f>
        <v>SELESAI</v>
      </c>
      <c r="L172" s="17">
        <f>IFERROR(__xludf.DUMMYFUNCTION("""COMPUTED_VALUE"""),45607.64250797454)</f>
        <v>45607.64251</v>
      </c>
      <c r="M172" s="17" t="str">
        <f>IFERROR(__xludf.DUMMYFUNCTION("""COMPUTED_VALUE"""),"")</f>
        <v/>
      </c>
      <c r="N172" s="17">
        <f>IFERROR(__xludf.DUMMYFUNCTION("""COMPUTED_VALUE"""),45607.6483109838)</f>
        <v>45607.64831</v>
      </c>
      <c r="O172" s="13">
        <f t="shared" si="1"/>
        <v>7</v>
      </c>
    </row>
    <row r="173" ht="22.5" customHeight="1">
      <c r="B173" s="13">
        <f>IFERROR(__xludf.DUMMYFUNCTION("""COMPUTED_VALUE"""),168.0)</f>
        <v>168</v>
      </c>
      <c r="C173" s="13" t="str">
        <f>IFERROR(__xludf.DUMMYFUNCTION("""COMPUTED_VALUE"""),"M.12840/SEGALA MIDER-SEKARANG;B.114/SEGALA MIDER-DAHULU")</f>
        <v>M.12840/SEGALA MIDER-SEKARANG;B.114/SEGALA MIDER-DAHULU</v>
      </c>
      <c r="D173" s="13" t="str">
        <f>IFERROR(__xludf.DUMMYFUNCTION("""COMPUTED_VALUE"""),"K/1/061124/1")</f>
        <v>K/1/061124/1</v>
      </c>
      <c r="E173" s="14" t="str">
        <f>IFERROR(__xludf.DUMMYFUNCTION("""COMPUTED_VALUE"""),"Nadian (BT)")</f>
        <v>Nadian (BT)</v>
      </c>
      <c r="F173" s="14" t="str">
        <f>IFERROR(__xludf.DUMMYFUNCTION("""COMPUTED_VALUE"""),"SELESAI")</f>
        <v>SELESAI</v>
      </c>
      <c r="G173" s="17">
        <f>IFERROR(__xludf.DUMMYFUNCTION("""COMPUTED_VALUE"""),45607.619523333335)</f>
        <v>45607.61952</v>
      </c>
      <c r="H173" s="14" t="str">
        <f>IFERROR(__xludf.DUMMYFUNCTION("""COMPUTED_VALUE"""),"Bu Eva (SU)")</f>
        <v>Bu Eva (SU)</v>
      </c>
      <c r="I173" s="13" t="str">
        <f>IFERROR(__xludf.DUMMYFUNCTION("""COMPUTED_VALUE"""),"SELESAI")</f>
        <v>SELESAI</v>
      </c>
      <c r="J173" s="17">
        <f>IFERROR(__xludf.DUMMYFUNCTION("""COMPUTED_VALUE"""),45609.47083122685)</f>
        <v>45609.47083</v>
      </c>
      <c r="K173" s="13" t="str">
        <f>IFERROR(__xludf.DUMMYFUNCTION("""COMPUTED_VALUE"""),"SELESAI")</f>
        <v>SELESAI</v>
      </c>
      <c r="L173" s="17">
        <f>IFERROR(__xludf.DUMMYFUNCTION("""COMPUTED_VALUE"""),45609.47083122685)</f>
        <v>45609.47083</v>
      </c>
      <c r="M173" s="17">
        <f>IFERROR(__xludf.DUMMYFUNCTION("""COMPUTED_VALUE"""),45615.72927576389)</f>
        <v>45615.72928</v>
      </c>
      <c r="N173" s="17">
        <f>IFERROR(__xludf.DUMMYFUNCTION("""COMPUTED_VALUE"""),45609.48607701389)</f>
        <v>45609.48608</v>
      </c>
      <c r="O173" s="13">
        <f t="shared" si="1"/>
        <v>8</v>
      </c>
    </row>
    <row r="174" ht="22.5" customHeight="1">
      <c r="B174" s="13">
        <f>IFERROR(__xludf.DUMMYFUNCTION("""COMPUTED_VALUE"""),169.0)</f>
        <v>169</v>
      </c>
      <c r="C174" s="13" t="str">
        <f>IFERROR(__xludf.DUMMYFUNCTION("""COMPUTED_VALUE"""),"M.3451/KOTABARU-SEKARANG;B.211/KOTA BARU-DAHULU")</f>
        <v>M.3451/KOTABARU-SEKARANG;B.211/KOTA BARU-DAHULU</v>
      </c>
      <c r="D174" s="13" t="str">
        <f>IFERROR(__xludf.DUMMYFUNCTION("""COMPUTED_VALUE"""),"K/48/061124/2")</f>
        <v>K/48/061124/2</v>
      </c>
      <c r="E174" s="14" t="str">
        <f>IFERROR(__xludf.DUMMYFUNCTION("""COMPUTED_VALUE"""),"Nadian (BT)")</f>
        <v>Nadian (BT)</v>
      </c>
      <c r="F174" s="14" t="str">
        <f>IFERROR(__xludf.DUMMYFUNCTION("""COMPUTED_VALUE"""),"SELESAI")</f>
        <v>SELESAI</v>
      </c>
      <c r="G174" s="17">
        <f>IFERROR(__xludf.DUMMYFUNCTION("""COMPUTED_VALUE"""),45607.6205093287)</f>
        <v>45607.62051</v>
      </c>
      <c r="H174" s="14" t="str">
        <f>IFERROR(__xludf.DUMMYFUNCTION("""COMPUTED_VALUE"""),"Bu Eva (SU)")</f>
        <v>Bu Eva (SU)</v>
      </c>
      <c r="I174" s="13" t="str">
        <f>IFERROR(__xludf.DUMMYFUNCTION("""COMPUTED_VALUE"""),"SELESAI")</f>
        <v>SELESAI</v>
      </c>
      <c r="J174" s="17">
        <f>IFERROR(__xludf.DUMMYFUNCTION("""COMPUTED_VALUE"""),45609.47831935185)</f>
        <v>45609.47832</v>
      </c>
      <c r="K174" s="13" t="str">
        <f>IFERROR(__xludf.DUMMYFUNCTION("""COMPUTED_VALUE"""),"SELESAI")</f>
        <v>SELESAI</v>
      </c>
      <c r="L174" s="17">
        <f>IFERROR(__xludf.DUMMYFUNCTION("""COMPUTED_VALUE"""),45609.47831935185)</f>
        <v>45609.47832</v>
      </c>
      <c r="M174" s="17" t="str">
        <f>IFERROR(__xludf.DUMMYFUNCTION("""COMPUTED_VALUE"""),"")</f>
        <v/>
      </c>
      <c r="N174" s="17">
        <f>IFERROR(__xludf.DUMMYFUNCTION("""COMPUTED_VALUE"""),45609.4860903588)</f>
        <v>45609.48609</v>
      </c>
      <c r="O174" s="13">
        <f t="shared" si="1"/>
        <v>9</v>
      </c>
    </row>
    <row r="175" ht="22.5" customHeight="1">
      <c r="B175" s="13">
        <f>IFERROR(__xludf.DUMMYFUNCTION("""COMPUTED_VALUE"""),170.0)</f>
        <v>170</v>
      </c>
      <c r="C175" s="13" t="str">
        <f>IFERROR(__xludf.DUMMYFUNCTION("""COMPUTED_VALUE"""),"M. 2206/ Perumnas Way Halim")</f>
        <v>M. 2206/ Perumnas Way Halim</v>
      </c>
      <c r="D175" s="13" t="str">
        <f>IFERROR(__xludf.DUMMYFUNCTION("""COMPUTED_VALUE"""),"K/42/061124/1")</f>
        <v>K/42/061124/1</v>
      </c>
      <c r="E175" s="14" t="str">
        <f>IFERROR(__xludf.DUMMYFUNCTION("""COMPUTED_VALUE"""),"Nadian (BT)")</f>
        <v>Nadian (BT)</v>
      </c>
      <c r="F175" s="14" t="str">
        <f>IFERROR(__xludf.DUMMYFUNCTION("""COMPUTED_VALUE"""),"SELESAI")</f>
        <v>SELESAI</v>
      </c>
      <c r="G175" s="17">
        <f>IFERROR(__xludf.DUMMYFUNCTION("""COMPUTED_VALUE"""),45607.6205093287)</f>
        <v>45607.62051</v>
      </c>
      <c r="H175" s="14"/>
      <c r="I175" s="13"/>
      <c r="J175" s="17" t="str">
        <f>IFERROR(__xludf.DUMMYFUNCTION("""COMPUTED_VALUE"""),"")</f>
        <v/>
      </c>
      <c r="K175" s="13" t="str">
        <f>IFERROR(__xludf.DUMMYFUNCTION("""COMPUTED_VALUE"""),"BT atau SU Belum Valid")</f>
        <v>BT atau SU Belum Valid</v>
      </c>
      <c r="L175" s="13" t="str">
        <f>IFERROR(__xludf.DUMMYFUNCTION("""COMPUTED_VALUE"""),"")</f>
        <v/>
      </c>
      <c r="M175" s="17" t="str">
        <f>IFERROR(__xludf.DUMMYFUNCTION("""COMPUTED_VALUE"""),"")</f>
        <v/>
      </c>
      <c r="N175" s="13" t="str">
        <f>IFERROR(__xludf.DUMMYFUNCTION("""COMPUTED_VALUE"""),"")</f>
        <v/>
      </c>
      <c r="O175" s="13" t="str">
        <f t="shared" si="1"/>
        <v/>
      </c>
    </row>
    <row r="176" ht="22.5" customHeight="1">
      <c r="B176" s="13">
        <f>IFERROR(__xludf.DUMMYFUNCTION("""COMPUTED_VALUE"""),171.0)</f>
        <v>171</v>
      </c>
      <c r="C176" s="13" t="str">
        <f>IFERROR(__xludf.DUMMYFUNCTION("""COMPUTED_VALUE"""),"HGB 811/KETEGUHAN")</f>
        <v>HGB 811/KETEGUHAN</v>
      </c>
      <c r="D176" s="13" t="str">
        <f>IFERROR(__xludf.DUMMYFUNCTION("""COMPUTED_VALUE"""),"L/37/061124/1")</f>
        <v>L/37/061124/1</v>
      </c>
      <c r="E176" s="14" t="str">
        <f>IFERROR(__xludf.DUMMYFUNCTION("""COMPUTED_VALUE"""),"Nadian (BT)")</f>
        <v>Nadian (BT)</v>
      </c>
      <c r="F176" s="14" t="str">
        <f>IFERROR(__xludf.DUMMYFUNCTION("""COMPUTED_VALUE"""),"SELESAI")</f>
        <v>SELESAI</v>
      </c>
      <c r="G176" s="17">
        <f>IFERROR(__xludf.DUMMYFUNCTION("""COMPUTED_VALUE"""),45607.6205093287)</f>
        <v>45607.62051</v>
      </c>
      <c r="H176" s="14"/>
      <c r="I176" s="13"/>
      <c r="J176" s="17" t="str">
        <f>IFERROR(__xludf.DUMMYFUNCTION("""COMPUTED_VALUE"""),"")</f>
        <v/>
      </c>
      <c r="K176" s="13" t="str">
        <f>IFERROR(__xludf.DUMMYFUNCTION("""COMPUTED_VALUE"""),"BT atau SU Belum Valid")</f>
        <v>BT atau SU Belum Valid</v>
      </c>
      <c r="L176" s="13" t="str">
        <f>IFERROR(__xludf.DUMMYFUNCTION("""COMPUTED_VALUE"""),"")</f>
        <v/>
      </c>
      <c r="M176" s="17" t="str">
        <f>IFERROR(__xludf.DUMMYFUNCTION("""COMPUTED_VALUE"""),"")</f>
        <v/>
      </c>
      <c r="N176" s="13" t="str">
        <f>IFERROR(__xludf.DUMMYFUNCTION("""COMPUTED_VALUE"""),"")</f>
        <v/>
      </c>
      <c r="O176" s="13" t="str">
        <f t="shared" si="1"/>
        <v/>
      </c>
    </row>
    <row r="177" ht="22.5" customHeight="1">
      <c r="B177" s="13">
        <f>IFERROR(__xludf.DUMMYFUNCTION("""COMPUTED_VALUE"""),172.0)</f>
        <v>172</v>
      </c>
      <c r="C177" s="13" t="str">
        <f>IFERROR(__xludf.DUMMYFUNCTION("""COMPUTED_VALUE"""),"B. 388/ Panjang Utara")</f>
        <v>B. 388/ Panjang Utara</v>
      </c>
      <c r="D177" s="13" t="str">
        <f>IFERROR(__xludf.DUMMYFUNCTION("""COMPUTED_VALUE"""),"K/24/061124/1")</f>
        <v>K/24/061124/1</v>
      </c>
      <c r="E177" s="14" t="str">
        <f>IFERROR(__xludf.DUMMYFUNCTION("""COMPUTED_VALUE"""),"Nadian (BT)")</f>
        <v>Nadian (BT)</v>
      </c>
      <c r="F177" s="14" t="str">
        <f>IFERROR(__xludf.DUMMYFUNCTION("""COMPUTED_VALUE"""),"SELESAI")</f>
        <v>SELESAI</v>
      </c>
      <c r="G177" s="17">
        <f>IFERROR(__xludf.DUMMYFUNCTION("""COMPUTED_VALUE"""),45607.6205093287)</f>
        <v>45607.62051</v>
      </c>
      <c r="H177" s="14" t="str">
        <f>IFERROR(__xludf.DUMMYFUNCTION("""COMPUTED_VALUE"""),"Bu Eva (SU)")</f>
        <v>Bu Eva (SU)</v>
      </c>
      <c r="I177" s="13" t="str">
        <f>IFERROR(__xludf.DUMMYFUNCTION("""COMPUTED_VALUE"""),"SELESAI")</f>
        <v>SELESAI</v>
      </c>
      <c r="J177" s="17">
        <f>IFERROR(__xludf.DUMMYFUNCTION("""COMPUTED_VALUE"""),45609.47761138889)</f>
        <v>45609.47761</v>
      </c>
      <c r="K177" s="13" t="str">
        <f>IFERROR(__xludf.DUMMYFUNCTION("""COMPUTED_VALUE"""),"SELESAI")</f>
        <v>SELESAI</v>
      </c>
      <c r="L177" s="17">
        <f>IFERROR(__xludf.DUMMYFUNCTION("""COMPUTED_VALUE"""),45609.47761138889)</f>
        <v>45609.47761</v>
      </c>
      <c r="M177" s="17" t="str">
        <f>IFERROR(__xludf.DUMMYFUNCTION("""COMPUTED_VALUE"""),"")</f>
        <v/>
      </c>
      <c r="N177" s="17">
        <f>IFERROR(__xludf.DUMMYFUNCTION("""COMPUTED_VALUE"""),45609.486130254634)</f>
        <v>45609.48613</v>
      </c>
      <c r="O177" s="13">
        <f t="shared" si="1"/>
        <v>1</v>
      </c>
    </row>
    <row r="178" ht="22.5" customHeight="1">
      <c r="B178" s="13">
        <f>IFERROR(__xludf.DUMMYFUNCTION("""COMPUTED_VALUE"""),173.0)</f>
        <v>173</v>
      </c>
      <c r="C178" s="13" t="str">
        <f>IFERROR(__xludf.DUMMYFUNCTION("""COMPUTED_VALUE"""),"B. 1655/ KANGKUNG")</f>
        <v>B. 1655/ KANGKUNG</v>
      </c>
      <c r="D178" s="13" t="str">
        <f>IFERROR(__xludf.DUMMYFUNCTION("""COMPUTED_VALUE"""),"K/29/311024/1")</f>
        <v>K/29/311024/1</v>
      </c>
      <c r="E178" s="14" t="str">
        <f>IFERROR(__xludf.DUMMYFUNCTION("""COMPUTED_VALUE"""),"Nadian (BT)")</f>
        <v>Nadian (BT)</v>
      </c>
      <c r="F178" s="14" t="str">
        <f>IFERROR(__xludf.DUMMYFUNCTION("""COMPUTED_VALUE"""),"SELESAI")</f>
        <v>SELESAI</v>
      </c>
      <c r="G178" s="17">
        <f>IFERROR(__xludf.DUMMYFUNCTION("""COMPUTED_VALUE"""),45607.6205093287)</f>
        <v>45607.62051</v>
      </c>
      <c r="H178" s="14" t="str">
        <f>IFERROR(__xludf.DUMMYFUNCTION("""COMPUTED_VALUE"""),"Bu Eva (SU)")</f>
        <v>Bu Eva (SU)</v>
      </c>
      <c r="I178" s="13" t="str">
        <f>IFERROR(__xludf.DUMMYFUNCTION("""COMPUTED_VALUE"""),"SELESAI")</f>
        <v>SELESAI</v>
      </c>
      <c r="J178" s="17">
        <f>IFERROR(__xludf.DUMMYFUNCTION("""COMPUTED_VALUE"""),45609.47297458333)</f>
        <v>45609.47297</v>
      </c>
      <c r="K178" s="13" t="str">
        <f>IFERROR(__xludf.DUMMYFUNCTION("""COMPUTED_VALUE"""),"SELESAI")</f>
        <v>SELESAI</v>
      </c>
      <c r="L178" s="17">
        <f>IFERROR(__xludf.DUMMYFUNCTION("""COMPUTED_VALUE"""),45609.47297458333)</f>
        <v>45609.47297</v>
      </c>
      <c r="M178" s="17" t="str">
        <f>IFERROR(__xludf.DUMMYFUNCTION("""COMPUTED_VALUE"""),"")</f>
        <v/>
      </c>
      <c r="N178" s="17">
        <f>IFERROR(__xludf.DUMMYFUNCTION("""COMPUTED_VALUE"""),45609.48633314815)</f>
        <v>45609.48633</v>
      </c>
      <c r="O178" s="13">
        <f t="shared" si="1"/>
        <v>2</v>
      </c>
    </row>
    <row r="179" ht="22.5" customHeight="1">
      <c r="B179" s="13">
        <f>IFERROR(__xludf.DUMMYFUNCTION("""COMPUTED_VALUE"""),174.0)</f>
        <v>174</v>
      </c>
      <c r="C179" s="13" t="str">
        <f>IFERROR(__xludf.DUMMYFUNCTION("""COMPUTED_VALUE"""),"M.2475/PINANG JAYA")</f>
        <v>M.2475/PINANG JAYA</v>
      </c>
      <c r="D179" s="13" t="str">
        <f>IFERROR(__xludf.DUMMYFUNCTION("""COMPUTED_VALUE"""),"K/18/071124/4")</f>
        <v>K/18/071124/4</v>
      </c>
      <c r="E179" s="14" t="str">
        <f>IFERROR(__xludf.DUMMYFUNCTION("""COMPUTED_VALUE"""),"Nadian (BT)")</f>
        <v>Nadian (BT)</v>
      </c>
      <c r="F179" s="14" t="str">
        <f>IFERROR(__xludf.DUMMYFUNCTION("""COMPUTED_VALUE"""),"SELESAI")</f>
        <v>SELESAI</v>
      </c>
      <c r="G179" s="17">
        <f>IFERROR(__xludf.DUMMYFUNCTION("""COMPUTED_VALUE"""),45607.6205093287)</f>
        <v>45607.62051</v>
      </c>
      <c r="H179" s="14" t="str">
        <f>IFERROR(__xludf.DUMMYFUNCTION("""COMPUTED_VALUE"""),"Aprill (SU)")</f>
        <v>Aprill (SU)</v>
      </c>
      <c r="I179" s="13" t="str">
        <f>IFERROR(__xludf.DUMMYFUNCTION("""COMPUTED_VALUE"""),"SELESAI (VIA PERMOHONAN)")</f>
        <v>SELESAI (VIA PERMOHONAN)</v>
      </c>
      <c r="J179" s="17">
        <f>IFERROR(__xludf.DUMMYFUNCTION("""COMPUTED_VALUE"""),45609.52931604166)</f>
        <v>45609.52932</v>
      </c>
      <c r="K179" s="13" t="str">
        <f>IFERROR(__xludf.DUMMYFUNCTION("""COMPUTED_VALUE"""),"Selesai")</f>
        <v>Selesai</v>
      </c>
      <c r="L179" s="17">
        <f>IFERROR(__xludf.DUMMYFUNCTION("""COMPUTED_VALUE"""),45609.52931604166)</f>
        <v>45609.52932</v>
      </c>
      <c r="M179" s="17">
        <f>IFERROR(__xludf.DUMMYFUNCTION("""COMPUTED_VALUE"""),45609.52931604166)</f>
        <v>45609.52932</v>
      </c>
      <c r="N179" s="13" t="str">
        <f>IFERROR(__xludf.DUMMYFUNCTION("""COMPUTED_VALUE"""),"")</f>
        <v/>
      </c>
      <c r="O179" s="13" t="str">
        <f t="shared" si="1"/>
        <v/>
      </c>
    </row>
    <row r="180" ht="22.5" customHeight="1">
      <c r="B180" s="13">
        <f>IFERROR(__xludf.DUMMYFUNCTION("""COMPUTED_VALUE"""),175.0)</f>
        <v>175</v>
      </c>
      <c r="C180" s="13" t="str">
        <f>IFERROR(__xludf.DUMMYFUNCTION("""COMPUTED_VALUE"""),"B.545/GUNUNG SULAH")</f>
        <v>B.545/GUNUNG SULAH</v>
      </c>
      <c r="D180" s="13" t="str">
        <f>IFERROR(__xludf.DUMMYFUNCTION("""COMPUTED_VALUE"""),"K/12/161024/3")</f>
        <v>K/12/161024/3</v>
      </c>
      <c r="E180" s="14" t="str">
        <f>IFERROR(__xludf.DUMMYFUNCTION("""COMPUTED_VALUE"""),"Nadian (BT)")</f>
        <v>Nadian (BT)</v>
      </c>
      <c r="F180" s="14" t="str">
        <f>IFERROR(__xludf.DUMMYFUNCTION("""COMPUTED_VALUE"""),"SELESAI")</f>
        <v>SELESAI</v>
      </c>
      <c r="G180" s="17">
        <f>IFERROR(__xludf.DUMMYFUNCTION("""COMPUTED_VALUE"""),45607.6205093287)</f>
        <v>45607.62051</v>
      </c>
      <c r="H180" s="14" t="str">
        <f>IFERROR(__xludf.DUMMYFUNCTION("""COMPUTED_VALUE"""),"Aprill (SU)")</f>
        <v>Aprill (SU)</v>
      </c>
      <c r="I180" s="13" t="str">
        <f>IFERROR(__xludf.DUMMYFUNCTION("""COMPUTED_VALUE"""),"SELESAI (VIA PERMOHONAN)")</f>
        <v>SELESAI (VIA PERMOHONAN)</v>
      </c>
      <c r="J180" s="17">
        <f>IFERROR(__xludf.DUMMYFUNCTION("""COMPUTED_VALUE"""),45609.52931604166)</f>
        <v>45609.52932</v>
      </c>
      <c r="K180" s="13" t="str">
        <f>IFERROR(__xludf.DUMMYFUNCTION("""COMPUTED_VALUE"""),"Selesai")</f>
        <v>Selesai</v>
      </c>
      <c r="L180" s="17">
        <f>IFERROR(__xludf.DUMMYFUNCTION("""COMPUTED_VALUE"""),45609.52931604166)</f>
        <v>45609.52932</v>
      </c>
      <c r="M180" s="17">
        <f>IFERROR(__xludf.DUMMYFUNCTION("""COMPUTED_VALUE"""),45609.529316053246)</f>
        <v>45609.52932</v>
      </c>
      <c r="N180" s="13" t="str">
        <f>IFERROR(__xludf.DUMMYFUNCTION("""COMPUTED_VALUE"""),"")</f>
        <v/>
      </c>
      <c r="O180" s="13" t="str">
        <f t="shared" si="1"/>
        <v/>
      </c>
    </row>
    <row r="181" ht="22.5" customHeight="1">
      <c r="B181" s="13">
        <f>IFERROR(__xludf.DUMMYFUNCTION("""COMPUTED_VALUE"""),176.0)</f>
        <v>176</v>
      </c>
      <c r="C181" s="13" t="str">
        <f>IFERROR(__xludf.DUMMYFUNCTION("""COMPUTED_VALUE"""),"M.11612/SEGALA MIDER")</f>
        <v>M.11612/SEGALA MIDER</v>
      </c>
      <c r="D181" s="13" t="str">
        <f>IFERROR(__xludf.DUMMYFUNCTION("""COMPUTED_VALUE"""),"K/53/061124/1")</f>
        <v>K/53/061124/1</v>
      </c>
      <c r="E181" s="14" t="str">
        <f>IFERROR(__xludf.DUMMYFUNCTION("""COMPUTED_VALUE"""),"Nadian (BT)")</f>
        <v>Nadian (BT)</v>
      </c>
      <c r="F181" s="14" t="str">
        <f>IFERROR(__xludf.DUMMYFUNCTION("""COMPUTED_VALUE"""),"SELESAI")</f>
        <v>SELESAI</v>
      </c>
      <c r="G181" s="17">
        <f>IFERROR(__xludf.DUMMYFUNCTION("""COMPUTED_VALUE"""),45607.6205093287)</f>
        <v>45607.62051</v>
      </c>
      <c r="H181" s="14" t="str">
        <f>IFERROR(__xludf.DUMMYFUNCTION("""COMPUTED_VALUE"""),"Aprill (SU)")</f>
        <v>Aprill (SU)</v>
      </c>
      <c r="I181" s="13" t="str">
        <f>IFERROR(__xludf.DUMMYFUNCTION("""COMPUTED_VALUE"""),"SELESAI (VIA PERMOHONAN)")</f>
        <v>SELESAI (VIA PERMOHONAN)</v>
      </c>
      <c r="J181" s="17">
        <f>IFERROR(__xludf.DUMMYFUNCTION("""COMPUTED_VALUE"""),45609.529316053246)</f>
        <v>45609.52932</v>
      </c>
      <c r="K181" s="13" t="str">
        <f>IFERROR(__xludf.DUMMYFUNCTION("""COMPUTED_VALUE"""),"Selesai")</f>
        <v>Selesai</v>
      </c>
      <c r="L181" s="17">
        <f>IFERROR(__xludf.DUMMYFUNCTION("""COMPUTED_VALUE"""),45609.529316053246)</f>
        <v>45609.52932</v>
      </c>
      <c r="M181" s="17">
        <f>IFERROR(__xludf.DUMMYFUNCTION("""COMPUTED_VALUE"""),45609.529316053246)</f>
        <v>45609.52932</v>
      </c>
      <c r="N181" s="13" t="str">
        <f>IFERROR(__xludf.DUMMYFUNCTION("""COMPUTED_VALUE"""),"")</f>
        <v/>
      </c>
      <c r="O181" s="13" t="str">
        <f t="shared" si="1"/>
        <v/>
      </c>
    </row>
    <row r="182" ht="22.5" customHeight="1">
      <c r="B182" s="13">
        <f>IFERROR(__xludf.DUMMYFUNCTION("""COMPUTED_VALUE"""),177.0)</f>
        <v>177</v>
      </c>
      <c r="C182" s="13" t="str">
        <f>IFERROR(__xludf.DUMMYFUNCTION("""COMPUTED_VALUE"""),"GM 613/PEMATANG WANGI")</f>
        <v>GM 613/PEMATANG WANGI</v>
      </c>
      <c r="D182" s="13" t="str">
        <f>IFERROR(__xludf.DUMMYFUNCTION("""COMPUTED_VALUE"""),"L/9/081124/1")</f>
        <v>L/9/081124/1</v>
      </c>
      <c r="E182" s="14" t="str">
        <f>IFERROR(__xludf.DUMMYFUNCTION("""COMPUTED_VALUE"""),"Nadian (BT)")</f>
        <v>Nadian (BT)</v>
      </c>
      <c r="F182" s="14" t="str">
        <f>IFERROR(__xludf.DUMMYFUNCTION("""COMPUTED_VALUE"""),"SELESAI")</f>
        <v>SELESAI</v>
      </c>
      <c r="G182" s="17">
        <f>IFERROR(__xludf.DUMMYFUNCTION("""COMPUTED_VALUE"""),45608.6729057176)</f>
        <v>45608.67291</v>
      </c>
      <c r="H182" s="14" t="str">
        <f>IFERROR(__xludf.DUMMYFUNCTION("""COMPUTED_VALUE"""),"Bu Eva (SU)")</f>
        <v>Bu Eva (SU)</v>
      </c>
      <c r="I182" s="13" t="str">
        <f>IFERROR(__xludf.DUMMYFUNCTION("""COMPUTED_VALUE"""),"SELESAI")</f>
        <v>SELESAI</v>
      </c>
      <c r="J182" s="17">
        <f>IFERROR(__xludf.DUMMYFUNCTION("""COMPUTED_VALUE"""),45609.64436467593)</f>
        <v>45609.64436</v>
      </c>
      <c r="K182" s="13" t="str">
        <f>IFERROR(__xludf.DUMMYFUNCTION("""COMPUTED_VALUE"""),"SELESAI")</f>
        <v>SELESAI</v>
      </c>
      <c r="L182" s="17">
        <f>IFERROR(__xludf.DUMMYFUNCTION("""COMPUTED_VALUE"""),45609.64436467593)</f>
        <v>45609.64436</v>
      </c>
      <c r="M182" s="17" t="str">
        <f>IFERROR(__xludf.DUMMYFUNCTION("""COMPUTED_VALUE"""),"")</f>
        <v/>
      </c>
      <c r="N182" s="17">
        <f>IFERROR(__xludf.DUMMYFUNCTION("""COMPUTED_VALUE"""),45614.60949553241)</f>
        <v>45614.6095</v>
      </c>
      <c r="O182" s="13">
        <f t="shared" si="1"/>
        <v>1</v>
      </c>
    </row>
    <row r="183" ht="22.5" customHeight="1">
      <c r="B183" s="13">
        <f>IFERROR(__xludf.DUMMYFUNCTION("""COMPUTED_VALUE"""),178.0)</f>
        <v>178</v>
      </c>
      <c r="C183" s="13" t="str">
        <f>IFERROR(__xludf.DUMMYFUNCTION("""COMPUTED_VALUE"""),"M. 1450/ Kupang Teba")</f>
        <v>M. 1450/ Kupang Teba</v>
      </c>
      <c r="D183" s="13" t="str">
        <f>IFERROR(__xludf.DUMMYFUNCTION("""COMPUTED_VALUE"""),"K/46/081124/1")</f>
        <v>K/46/081124/1</v>
      </c>
      <c r="E183" s="14" t="str">
        <f>IFERROR(__xludf.DUMMYFUNCTION("""COMPUTED_VALUE"""),"Nadian (BT)")</f>
        <v>Nadian (BT)</v>
      </c>
      <c r="F183" s="14" t="str">
        <f>IFERROR(__xludf.DUMMYFUNCTION("""COMPUTED_VALUE"""),"SELESAI")</f>
        <v>SELESAI</v>
      </c>
      <c r="G183" s="17">
        <f>IFERROR(__xludf.DUMMYFUNCTION("""COMPUTED_VALUE"""),45608.6734397338)</f>
        <v>45608.67344</v>
      </c>
      <c r="H183" s="14" t="str">
        <f>IFERROR(__xludf.DUMMYFUNCTION("""COMPUTED_VALUE"""),"Bu Eva (SU)")</f>
        <v>Bu Eva (SU)</v>
      </c>
      <c r="I183" s="13" t="str">
        <f>IFERROR(__xludf.DUMMYFUNCTION("""COMPUTED_VALUE"""),"SELESAI")</f>
        <v>SELESAI</v>
      </c>
      <c r="J183" s="17">
        <f>IFERROR(__xludf.DUMMYFUNCTION("""COMPUTED_VALUE"""),45609.64436467593)</f>
        <v>45609.64436</v>
      </c>
      <c r="K183" s="13" t="str">
        <f>IFERROR(__xludf.DUMMYFUNCTION("""COMPUTED_VALUE"""),"SELESAI")</f>
        <v>SELESAI</v>
      </c>
      <c r="L183" s="17">
        <f>IFERROR(__xludf.DUMMYFUNCTION("""COMPUTED_VALUE"""),45609.64436467593)</f>
        <v>45609.64436</v>
      </c>
      <c r="M183" s="17" t="str">
        <f>IFERROR(__xludf.DUMMYFUNCTION("""COMPUTED_VALUE"""),"")</f>
        <v/>
      </c>
      <c r="N183" s="17">
        <f>IFERROR(__xludf.DUMMYFUNCTION("""COMPUTED_VALUE"""),45614.609526053246)</f>
        <v>45614.60953</v>
      </c>
      <c r="O183" s="13">
        <f t="shared" si="1"/>
        <v>2</v>
      </c>
    </row>
    <row r="184" ht="22.5" customHeight="1">
      <c r="B184" s="13">
        <f>IFERROR(__xludf.DUMMYFUNCTION("""COMPUTED_VALUE"""),179.0)</f>
        <v>179</v>
      </c>
      <c r="C184" s="13" t="str">
        <f>IFERROR(__xludf.DUMMYFUNCTION("""COMPUTED_VALUE"""),"M. 541/ SAWAH LAMA")</f>
        <v>M. 541/ SAWAH LAMA</v>
      </c>
      <c r="D184" s="13" t="str">
        <f>IFERROR(__xludf.DUMMYFUNCTION("""COMPUTED_VALUE"""),"K/51/081124/1")</f>
        <v>K/51/081124/1</v>
      </c>
      <c r="E184" s="14" t="str">
        <f>IFERROR(__xludf.DUMMYFUNCTION("""COMPUTED_VALUE"""),"Nadian (BT)")</f>
        <v>Nadian (BT)</v>
      </c>
      <c r="F184" s="14" t="str">
        <f>IFERROR(__xludf.DUMMYFUNCTION("""COMPUTED_VALUE"""),"SELESAI")</f>
        <v>SELESAI</v>
      </c>
      <c r="G184" s="17">
        <f>IFERROR(__xludf.DUMMYFUNCTION("""COMPUTED_VALUE"""),45608.67373270833)</f>
        <v>45608.67373</v>
      </c>
      <c r="H184" s="14" t="str">
        <f>IFERROR(__xludf.DUMMYFUNCTION("""COMPUTED_VALUE"""),"Bu Eva (SU)")</f>
        <v>Bu Eva (SU)</v>
      </c>
      <c r="I184" s="13" t="str">
        <f>IFERROR(__xludf.DUMMYFUNCTION("""COMPUTED_VALUE"""),"SELESAI")</f>
        <v>SELESAI</v>
      </c>
      <c r="J184" s="17">
        <f>IFERROR(__xludf.DUMMYFUNCTION("""COMPUTED_VALUE"""),45609.64436467593)</f>
        <v>45609.64436</v>
      </c>
      <c r="K184" s="13" t="str">
        <f>IFERROR(__xludf.DUMMYFUNCTION("""COMPUTED_VALUE"""),"SELESAI")</f>
        <v>SELESAI</v>
      </c>
      <c r="L184" s="17">
        <f>IFERROR(__xludf.DUMMYFUNCTION("""COMPUTED_VALUE"""),45609.64436467593)</f>
        <v>45609.64436</v>
      </c>
      <c r="M184" s="17" t="str">
        <f>IFERROR(__xludf.DUMMYFUNCTION("""COMPUTED_VALUE"""),"")</f>
        <v/>
      </c>
      <c r="N184" s="17">
        <f>IFERROR(__xludf.DUMMYFUNCTION("""COMPUTED_VALUE"""),45614.60954068287)</f>
        <v>45614.60954</v>
      </c>
      <c r="O184" s="13">
        <f t="shared" si="1"/>
        <v>3</v>
      </c>
    </row>
    <row r="185" ht="22.5" customHeight="1">
      <c r="B185" s="13">
        <f>IFERROR(__xludf.DUMMYFUNCTION("""COMPUTED_VALUE"""),180.0)</f>
        <v>180</v>
      </c>
      <c r="C185" s="13" t="str">
        <f>IFERROR(__xludf.DUMMYFUNCTION("""COMPUTED_VALUE"""),"M.4432/GUNUNG TERANG ")</f>
        <v>M.4432/GUNUNG TERANG </v>
      </c>
      <c r="D185" s="13" t="str">
        <f>IFERROR(__xludf.DUMMYFUNCTION("""COMPUTED_VALUE"""),"K/42/081124/1")</f>
        <v>K/42/081124/1</v>
      </c>
      <c r="E185" s="14" t="str">
        <f>IFERROR(__xludf.DUMMYFUNCTION("""COMPUTED_VALUE"""),"Nadian (BT)")</f>
        <v>Nadian (BT)</v>
      </c>
      <c r="F185" s="14" t="str">
        <f>IFERROR(__xludf.DUMMYFUNCTION("""COMPUTED_VALUE"""),"SELESAI")</f>
        <v>SELESAI</v>
      </c>
      <c r="G185" s="17">
        <f>IFERROR(__xludf.DUMMYFUNCTION("""COMPUTED_VALUE"""),45608.67409069445)</f>
        <v>45608.67409</v>
      </c>
      <c r="H185" s="14" t="str">
        <f>IFERROR(__xludf.DUMMYFUNCTION("""COMPUTED_VALUE"""),"Bu Eva (SU)")</f>
        <v>Bu Eva (SU)</v>
      </c>
      <c r="I185" s="13" t="str">
        <f>IFERROR(__xludf.DUMMYFUNCTION("""COMPUTED_VALUE"""),"SELESAI")</f>
        <v>SELESAI</v>
      </c>
      <c r="J185" s="17">
        <f>IFERROR(__xludf.DUMMYFUNCTION("""COMPUTED_VALUE"""),45609.64436467593)</f>
        <v>45609.64436</v>
      </c>
      <c r="K185" s="13" t="str">
        <f>IFERROR(__xludf.DUMMYFUNCTION("""COMPUTED_VALUE"""),"SELESAI")</f>
        <v>SELESAI</v>
      </c>
      <c r="L185" s="17">
        <f>IFERROR(__xludf.DUMMYFUNCTION("""COMPUTED_VALUE"""),45609.64436467593)</f>
        <v>45609.64436</v>
      </c>
      <c r="M185" s="17" t="str">
        <f>IFERROR(__xludf.DUMMYFUNCTION("""COMPUTED_VALUE"""),"")</f>
        <v/>
      </c>
      <c r="N185" s="17">
        <f>IFERROR(__xludf.DUMMYFUNCTION("""COMPUTED_VALUE"""),45614.60966136574)</f>
        <v>45614.60966</v>
      </c>
      <c r="O185" s="13">
        <f t="shared" si="1"/>
        <v>4</v>
      </c>
    </row>
    <row r="186" ht="22.5" customHeight="1">
      <c r="B186" s="13">
        <f>IFERROR(__xludf.DUMMYFUNCTION("""COMPUTED_VALUE"""),181.0)</f>
        <v>181</v>
      </c>
      <c r="C186" s="13" t="str">
        <f>IFERROR(__xludf.DUMMYFUNCTION("""COMPUTED_VALUE"""),"M. 6416/WAY KANDIS")</f>
        <v>M. 6416/WAY KANDIS</v>
      </c>
      <c r="D186" s="13" t="str">
        <f>IFERROR(__xludf.DUMMYFUNCTION("""COMPUTED_VALUE"""),"K/36/081124/1")</f>
        <v>K/36/081124/1</v>
      </c>
      <c r="E186" s="14" t="str">
        <f>IFERROR(__xludf.DUMMYFUNCTION("""COMPUTED_VALUE"""),"Nadian (BT)")</f>
        <v>Nadian (BT)</v>
      </c>
      <c r="F186" s="14" t="str">
        <f>IFERROR(__xludf.DUMMYFUNCTION("""COMPUTED_VALUE"""),"SELESAI")</f>
        <v>SELESAI</v>
      </c>
      <c r="G186" s="17">
        <f>IFERROR(__xludf.DUMMYFUNCTION("""COMPUTED_VALUE"""),45608.67420444444)</f>
        <v>45608.6742</v>
      </c>
      <c r="H186" s="14" t="str">
        <f>IFERROR(__xludf.DUMMYFUNCTION("""COMPUTED_VALUE"""),"Bu Eva (SU)")</f>
        <v>Bu Eva (SU)</v>
      </c>
      <c r="I186" s="13" t="str">
        <f>IFERROR(__xludf.DUMMYFUNCTION("""COMPUTED_VALUE"""),"SELESAI")</f>
        <v>SELESAI</v>
      </c>
      <c r="J186" s="17">
        <f>IFERROR(__xludf.DUMMYFUNCTION("""COMPUTED_VALUE"""),45609.64436467593)</f>
        <v>45609.64436</v>
      </c>
      <c r="K186" s="13" t="str">
        <f>IFERROR(__xludf.DUMMYFUNCTION("""COMPUTED_VALUE"""),"SELESAI")</f>
        <v>SELESAI</v>
      </c>
      <c r="L186" s="17">
        <f>IFERROR(__xludf.DUMMYFUNCTION("""COMPUTED_VALUE"""),45609.64436467593)</f>
        <v>45609.64436</v>
      </c>
      <c r="M186" s="17" t="str">
        <f>IFERROR(__xludf.DUMMYFUNCTION("""COMPUTED_VALUE"""),"")</f>
        <v/>
      </c>
      <c r="N186" s="17">
        <f>IFERROR(__xludf.DUMMYFUNCTION("""COMPUTED_VALUE"""),45614.6096694213)</f>
        <v>45614.60967</v>
      </c>
      <c r="O186" s="13">
        <f t="shared" si="1"/>
        <v>5</v>
      </c>
    </row>
    <row r="187" ht="22.5" customHeight="1">
      <c r="B187" s="13">
        <f>IFERROR(__xludf.DUMMYFUNCTION("""COMPUTED_VALUE"""),182.0)</f>
        <v>182</v>
      </c>
      <c r="C187" s="13" t="str">
        <f>IFERROR(__xludf.DUMMYFUNCTION("""COMPUTED_VALUE"""),"HM 683/JAGABAYA III")</f>
        <v>HM 683/JAGABAYA III</v>
      </c>
      <c r="D187" s="13" t="str">
        <f>IFERROR(__xludf.DUMMYFUNCTION("""COMPUTED_VALUE"""),"L/27/081124/1")</f>
        <v>L/27/081124/1</v>
      </c>
      <c r="E187" s="14" t="str">
        <f>IFERROR(__xludf.DUMMYFUNCTION("""COMPUTED_VALUE"""),"Nadian (BT)")</f>
        <v>Nadian (BT)</v>
      </c>
      <c r="F187" s="14" t="str">
        <f>IFERROR(__xludf.DUMMYFUNCTION("""COMPUTED_VALUE"""),"SELESAI")</f>
        <v>SELESAI</v>
      </c>
      <c r="G187" s="17">
        <f>IFERROR(__xludf.DUMMYFUNCTION("""COMPUTED_VALUE"""),45608.6744258449)</f>
        <v>45608.67443</v>
      </c>
      <c r="H187" s="14" t="str">
        <f>IFERROR(__xludf.DUMMYFUNCTION("""COMPUTED_VALUE"""),"Bu Eva (SU)")</f>
        <v>Bu Eva (SU)</v>
      </c>
      <c r="I187" s="13" t="str">
        <f>IFERROR(__xludf.DUMMYFUNCTION("""COMPUTED_VALUE"""),"SELESAI")</f>
        <v>SELESAI</v>
      </c>
      <c r="J187" s="17">
        <f>IFERROR(__xludf.DUMMYFUNCTION("""COMPUTED_VALUE"""),45614.609820682876)</f>
        <v>45614.60982</v>
      </c>
      <c r="K187" s="13" t="str">
        <f>IFERROR(__xludf.DUMMYFUNCTION("""COMPUTED_VALUE"""),"SELESAI")</f>
        <v>SELESAI</v>
      </c>
      <c r="L187" s="17">
        <f>IFERROR(__xludf.DUMMYFUNCTION("""COMPUTED_VALUE"""),45614.609820682876)</f>
        <v>45614.60982</v>
      </c>
      <c r="M187" s="17" t="str">
        <f>IFERROR(__xludf.DUMMYFUNCTION("""COMPUTED_VALUE"""),"")</f>
        <v/>
      </c>
      <c r="N187" s="17">
        <f>IFERROR(__xludf.DUMMYFUNCTION("""COMPUTED_VALUE"""),45614.60969005787)</f>
        <v>45614.60969</v>
      </c>
      <c r="O187" s="13">
        <f t="shared" si="1"/>
        <v>6</v>
      </c>
    </row>
    <row r="188" ht="22.5" customHeight="1">
      <c r="B188" s="13">
        <f>IFERROR(__xludf.DUMMYFUNCTION("""COMPUTED_VALUE"""),183.0)</f>
        <v>183</v>
      </c>
      <c r="C188" s="13" t="str">
        <f>IFERROR(__xludf.DUMMYFUNCTION("""COMPUTED_VALUE"""),"HM 271/RAJABSA NUNYAI")</f>
        <v>HM 271/RAJABSA NUNYAI</v>
      </c>
      <c r="D188" s="13" t="str">
        <f>IFERROR(__xludf.DUMMYFUNCTION("""COMPUTED_VALUE"""),"L/13/081124/1")</f>
        <v>L/13/081124/1</v>
      </c>
      <c r="E188" s="14" t="str">
        <f>IFERROR(__xludf.DUMMYFUNCTION("""COMPUTED_VALUE"""),"Nadian (BT)")</f>
        <v>Nadian (BT)</v>
      </c>
      <c r="F188" s="14" t="str">
        <f>IFERROR(__xludf.DUMMYFUNCTION("""COMPUTED_VALUE"""),"SELESAI")</f>
        <v>SELESAI</v>
      </c>
      <c r="G188" s="17">
        <f>IFERROR(__xludf.DUMMYFUNCTION("""COMPUTED_VALUE"""),45608.67476934028)</f>
        <v>45608.67477</v>
      </c>
      <c r="H188" s="14" t="str">
        <f>IFERROR(__xludf.DUMMYFUNCTION("""COMPUTED_VALUE"""),"Bu Eva (SU)")</f>
        <v>Bu Eva (SU)</v>
      </c>
      <c r="I188" s="13" t="str">
        <f>IFERROR(__xludf.DUMMYFUNCTION("""COMPUTED_VALUE"""),"SELESAI")</f>
        <v>SELESAI</v>
      </c>
      <c r="J188" s="17">
        <f>IFERROR(__xludf.DUMMYFUNCTION("""COMPUTED_VALUE"""),45614.609838749995)</f>
        <v>45614.60984</v>
      </c>
      <c r="K188" s="13" t="str">
        <f>IFERROR(__xludf.DUMMYFUNCTION("""COMPUTED_VALUE"""),"SELESAI")</f>
        <v>SELESAI</v>
      </c>
      <c r="L188" s="17">
        <f>IFERROR(__xludf.DUMMYFUNCTION("""COMPUTED_VALUE"""),45614.609838749995)</f>
        <v>45614.60984</v>
      </c>
      <c r="M188" s="17" t="str">
        <f>IFERROR(__xludf.DUMMYFUNCTION("""COMPUTED_VALUE"""),"")</f>
        <v/>
      </c>
      <c r="N188" s="17">
        <f>IFERROR(__xludf.DUMMYFUNCTION("""COMPUTED_VALUE"""),45614.60976215277)</f>
        <v>45614.60976</v>
      </c>
      <c r="O188" s="13">
        <f t="shared" si="1"/>
        <v>7</v>
      </c>
    </row>
    <row r="189" ht="22.5" customHeight="1">
      <c r="B189" s="13">
        <f>IFERROR(__xludf.DUMMYFUNCTION("""COMPUTED_VALUE"""),184.0)</f>
        <v>184</v>
      </c>
      <c r="C189" s="13" t="str">
        <f>IFERROR(__xludf.DUMMYFUNCTION("""COMPUTED_VALUE"""),"M.1588/SUMUR BATU")</f>
        <v>M.1588/SUMUR BATU</v>
      </c>
      <c r="D189" s="13" t="str">
        <f>IFERROR(__xludf.DUMMYFUNCTION("""COMPUTED_VALUE"""),"K/3/061124/2")</f>
        <v>K/3/061124/2</v>
      </c>
      <c r="E189" s="14" t="str">
        <f>IFERROR(__xludf.DUMMYFUNCTION("""COMPUTED_VALUE"""),"Nadian (BT)")</f>
        <v>Nadian (BT)</v>
      </c>
      <c r="F189" s="14" t="str">
        <f>IFERROR(__xludf.DUMMYFUNCTION("""COMPUTED_VALUE"""),"SELESAI")</f>
        <v>SELESAI</v>
      </c>
      <c r="G189" s="17">
        <f>IFERROR(__xludf.DUMMYFUNCTION("""COMPUTED_VALUE"""),45608.675960266206)</f>
        <v>45608.67596</v>
      </c>
      <c r="H189" s="14" t="str">
        <f>IFERROR(__xludf.DUMMYFUNCTION("""COMPUTED_VALUE"""),"Aprill (SU)")</f>
        <v>Aprill (SU)</v>
      </c>
      <c r="I189" s="13" t="str">
        <f>IFERROR(__xludf.DUMMYFUNCTION("""COMPUTED_VALUE"""),"SELESAI (VIA PERMOHONAN)")</f>
        <v>SELESAI (VIA PERMOHONAN)</v>
      </c>
      <c r="J189" s="17">
        <f>IFERROR(__xludf.DUMMYFUNCTION("""COMPUTED_VALUE"""),45609.529316053246)</f>
        <v>45609.52932</v>
      </c>
      <c r="K189" s="13" t="str">
        <f>IFERROR(__xludf.DUMMYFUNCTION("""COMPUTED_VALUE"""),"Selesai")</f>
        <v>Selesai</v>
      </c>
      <c r="L189" s="17">
        <f>IFERROR(__xludf.DUMMYFUNCTION("""COMPUTED_VALUE"""),45609.529316053246)</f>
        <v>45609.52932</v>
      </c>
      <c r="M189" s="17">
        <f>IFERROR(__xludf.DUMMYFUNCTION("""COMPUTED_VALUE"""),45609.529316053246)</f>
        <v>45609.52932</v>
      </c>
      <c r="N189" s="13" t="str">
        <f>IFERROR(__xludf.DUMMYFUNCTION("""COMPUTED_VALUE"""),"")</f>
        <v/>
      </c>
      <c r="O189" s="13" t="str">
        <f t="shared" si="1"/>
        <v/>
      </c>
    </row>
    <row r="190" ht="22.5" customHeight="1">
      <c r="B190" s="13">
        <f>IFERROR(__xludf.DUMMYFUNCTION("""COMPUTED_VALUE"""),185.0)</f>
        <v>185</v>
      </c>
      <c r="C190" s="13" t="str">
        <f>IFERROR(__xludf.DUMMYFUNCTION("""COMPUTED_VALUE"""),"M.1419/SUSUNAN BARU")</f>
        <v>M.1419/SUSUNAN BARU</v>
      </c>
      <c r="D190" s="13" t="str">
        <f>IFERROR(__xludf.DUMMYFUNCTION("""COMPUTED_VALUE"""),"K/1/081124/1")</f>
        <v>K/1/081124/1</v>
      </c>
      <c r="E190" s="14" t="str">
        <f>IFERROR(__xludf.DUMMYFUNCTION("""COMPUTED_VALUE"""),"Nadian (BT)")</f>
        <v>Nadian (BT)</v>
      </c>
      <c r="F190" s="14" t="str">
        <f>IFERROR(__xludf.DUMMYFUNCTION("""COMPUTED_VALUE"""),"SELESAI")</f>
        <v>SELESAI</v>
      </c>
      <c r="G190" s="17">
        <f>IFERROR(__xludf.DUMMYFUNCTION("""COMPUTED_VALUE"""),45608.67628354167)</f>
        <v>45608.67628</v>
      </c>
      <c r="H190" s="14" t="str">
        <f>IFERROR(__xludf.DUMMYFUNCTION("""COMPUTED_VALUE"""),"Aprill (SU)")</f>
        <v>Aprill (SU)</v>
      </c>
      <c r="I190" s="13" t="str">
        <f>IFERROR(__xludf.DUMMYFUNCTION("""COMPUTED_VALUE"""),"SELESAI (VIA PERMOHONAN)")</f>
        <v>SELESAI (VIA PERMOHONAN)</v>
      </c>
      <c r="J190" s="17">
        <f>IFERROR(__xludf.DUMMYFUNCTION("""COMPUTED_VALUE"""),45609.529316064814)</f>
        <v>45609.52932</v>
      </c>
      <c r="K190" s="13" t="str">
        <f>IFERROR(__xludf.DUMMYFUNCTION("""COMPUTED_VALUE"""),"Selesai")</f>
        <v>Selesai</v>
      </c>
      <c r="L190" s="17">
        <f>IFERROR(__xludf.DUMMYFUNCTION("""COMPUTED_VALUE"""),45609.529316064814)</f>
        <v>45609.52932</v>
      </c>
      <c r="M190" s="17">
        <f>IFERROR(__xludf.DUMMYFUNCTION("""COMPUTED_VALUE"""),45609.529316064814)</f>
        <v>45609.52932</v>
      </c>
      <c r="N190" s="13" t="str">
        <f>IFERROR(__xludf.DUMMYFUNCTION("""COMPUTED_VALUE"""),"")</f>
        <v/>
      </c>
      <c r="O190" s="13" t="str">
        <f t="shared" si="1"/>
        <v/>
      </c>
    </row>
    <row r="191" ht="22.5" customHeight="1">
      <c r="B191" s="13">
        <f>IFERROR(__xludf.DUMMYFUNCTION("""COMPUTED_VALUE"""),186.0)</f>
        <v>186</v>
      </c>
      <c r="C191" s="13" t="str">
        <f>IFERROR(__xludf.DUMMYFUNCTION("""COMPUTED_VALUE"""),"M. 6416/WAY KANDIS")</f>
        <v>M. 6416/WAY KANDIS</v>
      </c>
      <c r="D191" s="13" t="str">
        <f>IFERROR(__xludf.DUMMYFUNCTION("""COMPUTED_VALUE"""),"K/36/081124/1")</f>
        <v>K/36/081124/1</v>
      </c>
      <c r="E191" s="14" t="str">
        <f>IFERROR(__xludf.DUMMYFUNCTION("""COMPUTED_VALUE"""),"Nadian (BT)")</f>
        <v>Nadian (BT)</v>
      </c>
      <c r="F191" s="14" t="str">
        <f>IFERROR(__xludf.DUMMYFUNCTION("""COMPUTED_VALUE"""),"SELESAI")</f>
        <v>SELESAI</v>
      </c>
      <c r="G191" s="17">
        <f>IFERROR(__xludf.DUMMYFUNCTION("""COMPUTED_VALUE"""),45608.67642575232)</f>
        <v>45608.67643</v>
      </c>
      <c r="H191" s="14" t="str">
        <f>IFERROR(__xludf.DUMMYFUNCTION("""COMPUTED_VALUE"""),"Aprill (SU)")</f>
        <v>Aprill (SU)</v>
      </c>
      <c r="I191" s="13" t="str">
        <f>IFERROR(__xludf.DUMMYFUNCTION("""COMPUTED_VALUE"""),"SELESAI (VIA PERMOHONAN)")</f>
        <v>SELESAI (VIA PERMOHONAN)</v>
      </c>
      <c r="J191" s="17">
        <f>IFERROR(__xludf.DUMMYFUNCTION("""COMPUTED_VALUE"""),45609.529316064814)</f>
        <v>45609.52932</v>
      </c>
      <c r="K191" s="13" t="str">
        <f>IFERROR(__xludf.DUMMYFUNCTION("""COMPUTED_VALUE"""),"Selesai")</f>
        <v>Selesai</v>
      </c>
      <c r="L191" s="17">
        <f>IFERROR(__xludf.DUMMYFUNCTION("""COMPUTED_VALUE"""),45609.529316064814)</f>
        <v>45609.52932</v>
      </c>
      <c r="M191" s="17">
        <f>IFERROR(__xludf.DUMMYFUNCTION("""COMPUTED_VALUE"""),45609.529316064814)</f>
        <v>45609.52932</v>
      </c>
      <c r="N191" s="13" t="str">
        <f>IFERROR(__xludf.DUMMYFUNCTION("""COMPUTED_VALUE"""),"")</f>
        <v/>
      </c>
      <c r="O191" s="13" t="str">
        <f t="shared" si="1"/>
        <v/>
      </c>
    </row>
    <row r="192" ht="22.5" customHeight="1">
      <c r="B192" s="13">
        <f>IFERROR(__xludf.DUMMYFUNCTION("""COMPUTED_VALUE"""),187.0)</f>
        <v>187</v>
      </c>
      <c r="C192" s="13" t="str">
        <f>IFERROR(__xludf.DUMMYFUNCTION("""COMPUTED_VALUE"""),"M. 541/ SAWAH LAMA")</f>
        <v>M. 541/ SAWAH LAMA</v>
      </c>
      <c r="D192" s="13" t="str">
        <f>IFERROR(__xludf.DUMMYFUNCTION("""COMPUTED_VALUE"""),"K/51/081124/1")</f>
        <v>K/51/081124/1</v>
      </c>
      <c r="E192" s="14" t="str">
        <f>IFERROR(__xludf.DUMMYFUNCTION("""COMPUTED_VALUE"""),"Nadian (BT)")</f>
        <v>Nadian (BT)</v>
      </c>
      <c r="F192" s="14" t="str">
        <f>IFERROR(__xludf.DUMMYFUNCTION("""COMPUTED_VALUE"""),"SELESAI")</f>
        <v>SELESAI</v>
      </c>
      <c r="G192" s="17">
        <f>IFERROR(__xludf.DUMMYFUNCTION("""COMPUTED_VALUE"""),45608.67653163194)</f>
        <v>45608.67653</v>
      </c>
      <c r="H192" s="14" t="str">
        <f>IFERROR(__xludf.DUMMYFUNCTION("""COMPUTED_VALUE"""),"Aprill (SU)")</f>
        <v>Aprill (SU)</v>
      </c>
      <c r="I192" s="13" t="str">
        <f>IFERROR(__xludf.DUMMYFUNCTION("""COMPUTED_VALUE"""),"SELESAI (VIA PERMOHONAN)")</f>
        <v>SELESAI (VIA PERMOHONAN)</v>
      </c>
      <c r="J192" s="17">
        <f>IFERROR(__xludf.DUMMYFUNCTION("""COMPUTED_VALUE"""),45609.48723568287)</f>
        <v>45609.48724</v>
      </c>
      <c r="K192" s="13" t="str">
        <f>IFERROR(__xludf.DUMMYFUNCTION("""COMPUTED_VALUE"""),"Selesai")</f>
        <v>Selesai</v>
      </c>
      <c r="L192" s="17">
        <f>IFERROR(__xludf.DUMMYFUNCTION("""COMPUTED_VALUE"""),45609.48723568287)</f>
        <v>45609.48724</v>
      </c>
      <c r="M192" s="17">
        <f>IFERROR(__xludf.DUMMYFUNCTION("""COMPUTED_VALUE"""),45614.60892246528)</f>
        <v>45614.60892</v>
      </c>
      <c r="N192" s="13" t="str">
        <f>IFERROR(__xludf.DUMMYFUNCTION("""COMPUTED_VALUE"""),"")</f>
        <v/>
      </c>
      <c r="O192" s="13" t="str">
        <f t="shared" si="1"/>
        <v/>
      </c>
    </row>
    <row r="193" ht="22.5" customHeight="1">
      <c r="B193" s="13">
        <f>IFERROR(__xludf.DUMMYFUNCTION("""COMPUTED_VALUE"""),188.0)</f>
        <v>188</v>
      </c>
      <c r="C193" s="13" t="str">
        <f>IFERROR(__xludf.DUMMYFUNCTION("""COMPUTED_VALUE"""),"HM 1134/GULAK GALIK")</f>
        <v>HM 1134/GULAK GALIK</v>
      </c>
      <c r="D193" s="13" t="str">
        <f>IFERROR(__xludf.DUMMYFUNCTION("""COMPUTED_VALUE"""),"L/17/081124/1")</f>
        <v>L/17/081124/1</v>
      </c>
      <c r="E193" s="14" t="str">
        <f>IFERROR(__xludf.DUMMYFUNCTION("""COMPUTED_VALUE"""),"Afriza (BT)")</f>
        <v>Afriza (BT)</v>
      </c>
      <c r="F193" s="14" t="str">
        <f>IFERROR(__xludf.DUMMYFUNCTION("""COMPUTED_VALUE"""),"SELESAI")</f>
        <v>SELESAI</v>
      </c>
      <c r="G193" s="17">
        <f>IFERROR(__xludf.DUMMYFUNCTION("""COMPUTED_VALUE"""),45608.718882974536)</f>
        <v>45608.71888</v>
      </c>
      <c r="H193" s="14" t="str">
        <f>IFERROR(__xludf.DUMMYFUNCTION("""COMPUTED_VALUE"""),"Bu Eva (SU)")</f>
        <v>Bu Eva (SU)</v>
      </c>
      <c r="I193" s="13" t="str">
        <f>IFERROR(__xludf.DUMMYFUNCTION("""COMPUTED_VALUE"""),"SELESAI")</f>
        <v>SELESAI</v>
      </c>
      <c r="J193" s="17">
        <f>IFERROR(__xludf.DUMMYFUNCTION("""COMPUTED_VALUE"""),45611.63256052083)</f>
        <v>45611.63256</v>
      </c>
      <c r="K193" s="13" t="str">
        <f>IFERROR(__xludf.DUMMYFUNCTION("""COMPUTED_VALUE"""),"SELESAI")</f>
        <v>SELESAI</v>
      </c>
      <c r="L193" s="17">
        <f>IFERROR(__xludf.DUMMYFUNCTION("""COMPUTED_VALUE"""),45611.63256052083)</f>
        <v>45611.63256</v>
      </c>
      <c r="M193" s="17" t="str">
        <f>IFERROR(__xludf.DUMMYFUNCTION("""COMPUTED_VALUE"""),"")</f>
        <v/>
      </c>
      <c r="N193" s="17">
        <f>IFERROR(__xludf.DUMMYFUNCTION("""COMPUTED_VALUE"""),45614.608962812505)</f>
        <v>45614.60896</v>
      </c>
      <c r="O193" s="13">
        <f t="shared" si="1"/>
        <v>1</v>
      </c>
    </row>
    <row r="194" ht="22.5" customHeight="1">
      <c r="B194" s="13">
        <f>IFERROR(__xludf.DUMMYFUNCTION("""COMPUTED_VALUE"""),189.0)</f>
        <v>189</v>
      </c>
      <c r="C194" s="13" t="str">
        <f>IFERROR(__xludf.DUMMYFUNCTION("""COMPUTED_VALUE"""),"M.1280/KELAPA TIGA")</f>
        <v>M.1280/KELAPA TIGA</v>
      </c>
      <c r="D194" s="13" t="str">
        <f>IFERROR(__xludf.DUMMYFUNCTION("""COMPUTED_VALUE"""),"K/28/111124/1")</f>
        <v>K/28/111124/1</v>
      </c>
      <c r="E194" s="14" t="str">
        <f>IFERROR(__xludf.DUMMYFUNCTION("""COMPUTED_VALUE"""),"Afriza (BT)")</f>
        <v>Afriza (BT)</v>
      </c>
      <c r="F194" s="14" t="str">
        <f>IFERROR(__xludf.DUMMYFUNCTION("""COMPUTED_VALUE"""),"SELESAI")</f>
        <v>SELESAI</v>
      </c>
      <c r="G194" s="17">
        <f>IFERROR(__xludf.DUMMYFUNCTION("""COMPUTED_VALUE"""),45608.71961560185)</f>
        <v>45608.71962</v>
      </c>
      <c r="H194" s="14" t="str">
        <f>IFERROR(__xludf.DUMMYFUNCTION("""COMPUTED_VALUE"""),"Bu Eva (SU)")</f>
        <v>Bu Eva (SU)</v>
      </c>
      <c r="I194" s="13" t="str">
        <f>IFERROR(__xludf.DUMMYFUNCTION("""COMPUTED_VALUE"""),"SELESAI")</f>
        <v>SELESAI</v>
      </c>
      <c r="J194" s="17">
        <f>IFERROR(__xludf.DUMMYFUNCTION("""COMPUTED_VALUE"""),45611.633116365745)</f>
        <v>45611.63312</v>
      </c>
      <c r="K194" s="13" t="str">
        <f>IFERROR(__xludf.DUMMYFUNCTION("""COMPUTED_VALUE"""),"SELESAI")</f>
        <v>SELESAI</v>
      </c>
      <c r="L194" s="17">
        <f>IFERROR(__xludf.DUMMYFUNCTION("""COMPUTED_VALUE"""),45611.633116365745)</f>
        <v>45611.63312</v>
      </c>
      <c r="M194" s="17" t="str">
        <f>IFERROR(__xludf.DUMMYFUNCTION("""COMPUTED_VALUE"""),"")</f>
        <v/>
      </c>
      <c r="N194" s="17">
        <f>IFERROR(__xludf.DUMMYFUNCTION("""COMPUTED_VALUE"""),45614.60906511574)</f>
        <v>45614.60907</v>
      </c>
      <c r="O194" s="13">
        <f t="shared" si="1"/>
        <v>2</v>
      </c>
    </row>
    <row r="195" ht="22.5" customHeight="1">
      <c r="B195" s="13">
        <f>IFERROR(__xludf.DUMMYFUNCTION("""COMPUTED_VALUE"""),190.0)</f>
        <v>190</v>
      </c>
      <c r="C195" s="13" t="str">
        <f>IFERROR(__xludf.DUMMYFUNCTION("""COMPUTED_VALUE"""),"HM 1934/PENGAJARAN")</f>
        <v>HM 1934/PENGAJARAN</v>
      </c>
      <c r="D195" s="13" t="str">
        <f>IFERROR(__xludf.DUMMYFUNCTION("""COMPUTED_VALUE"""),"L/36/111124/1")</f>
        <v>L/36/111124/1</v>
      </c>
      <c r="E195" s="14" t="str">
        <f>IFERROR(__xludf.DUMMYFUNCTION("""COMPUTED_VALUE"""),"Afriza (BT)")</f>
        <v>Afriza (BT)</v>
      </c>
      <c r="F195" s="14" t="str">
        <f>IFERROR(__xludf.DUMMYFUNCTION("""COMPUTED_VALUE"""),"SELESAI")</f>
        <v>SELESAI</v>
      </c>
      <c r="G195" s="17">
        <f>IFERROR(__xludf.DUMMYFUNCTION("""COMPUTED_VALUE"""),45608.71984258102)</f>
        <v>45608.71984</v>
      </c>
      <c r="H195" s="14" t="str">
        <f>IFERROR(__xludf.DUMMYFUNCTION("""COMPUTED_VALUE"""),"Bu Eva (SU)")</f>
        <v>Bu Eva (SU)</v>
      </c>
      <c r="I195" s="13" t="str">
        <f>IFERROR(__xludf.DUMMYFUNCTION("""COMPUTED_VALUE"""),"SELESAI")</f>
        <v>SELESAI</v>
      </c>
      <c r="J195" s="17">
        <f>IFERROR(__xludf.DUMMYFUNCTION("""COMPUTED_VALUE"""),45611.633137881945)</f>
        <v>45611.63314</v>
      </c>
      <c r="K195" s="13" t="str">
        <f>IFERROR(__xludf.DUMMYFUNCTION("""COMPUTED_VALUE"""),"SELESAI")</f>
        <v>SELESAI</v>
      </c>
      <c r="L195" s="17">
        <f>IFERROR(__xludf.DUMMYFUNCTION("""COMPUTED_VALUE"""),45611.633137881945)</f>
        <v>45611.63314</v>
      </c>
      <c r="M195" s="17" t="str">
        <f>IFERROR(__xludf.DUMMYFUNCTION("""COMPUTED_VALUE"""),"")</f>
        <v/>
      </c>
      <c r="N195" s="17">
        <f>IFERROR(__xludf.DUMMYFUNCTION("""COMPUTED_VALUE"""),45614.60909385417)</f>
        <v>45614.60909</v>
      </c>
      <c r="O195" s="13">
        <f t="shared" si="1"/>
        <v>3</v>
      </c>
    </row>
    <row r="196" ht="22.5" customHeight="1">
      <c r="B196" s="13">
        <f>IFERROR(__xludf.DUMMYFUNCTION("""COMPUTED_VALUE"""),191.0)</f>
        <v>191</v>
      </c>
      <c r="C196" s="13" t="str">
        <f>IFERROR(__xludf.DUMMYFUNCTION("""COMPUTED_VALUE"""),"HM 10617/KEDAMAIAN (SHM TETANGGA)")</f>
        <v>HM 10617/KEDAMAIAN (SHM TETANGGA)</v>
      </c>
      <c r="D196" s="13" t="str">
        <f>IFERROR(__xludf.DUMMYFUNCTION("""COMPUTED_VALUE"""),"L/3/081124/1")</f>
        <v>L/3/081124/1</v>
      </c>
      <c r="E196" s="14" t="str">
        <f>IFERROR(__xludf.DUMMYFUNCTION("""COMPUTED_VALUE"""),"Afriza (BT)")</f>
        <v>Afriza (BT)</v>
      </c>
      <c r="F196" s="14" t="str">
        <f>IFERROR(__xludf.DUMMYFUNCTION("""COMPUTED_VALUE"""),"SELESAI")</f>
        <v>SELESAI</v>
      </c>
      <c r="G196" s="17">
        <f>IFERROR(__xludf.DUMMYFUNCTION("""COMPUTED_VALUE"""),45608.72000290509)</f>
        <v>45608.72</v>
      </c>
      <c r="H196" s="14" t="str">
        <f>IFERROR(__xludf.DUMMYFUNCTION("""COMPUTED_VALUE"""),"Bu Eva (SU)")</f>
        <v>Bu Eva (SU)</v>
      </c>
      <c r="I196" s="13" t="str">
        <f>IFERROR(__xludf.DUMMYFUNCTION("""COMPUTED_VALUE"""),"SELESAI")</f>
        <v>SELESAI</v>
      </c>
      <c r="J196" s="17">
        <f>IFERROR(__xludf.DUMMYFUNCTION("""COMPUTED_VALUE"""),45611.633137881945)</f>
        <v>45611.63314</v>
      </c>
      <c r="K196" s="13" t="str">
        <f>IFERROR(__xludf.DUMMYFUNCTION("""COMPUTED_VALUE"""),"SELESAI")</f>
        <v>SELESAI</v>
      </c>
      <c r="L196" s="17">
        <f>IFERROR(__xludf.DUMMYFUNCTION("""COMPUTED_VALUE"""),45611.633137881945)</f>
        <v>45611.63314</v>
      </c>
      <c r="M196" s="17" t="str">
        <f>IFERROR(__xludf.DUMMYFUNCTION("""COMPUTED_VALUE"""),"")</f>
        <v/>
      </c>
      <c r="N196" s="17">
        <f>IFERROR(__xludf.DUMMYFUNCTION("""COMPUTED_VALUE"""),45614.60910412037)</f>
        <v>45614.6091</v>
      </c>
      <c r="O196" s="13">
        <f t="shared" si="1"/>
        <v>4</v>
      </c>
    </row>
    <row r="197" ht="22.5" customHeight="1">
      <c r="B197" s="13">
        <f>IFERROR(__xludf.DUMMYFUNCTION("""COMPUTED_VALUE"""),192.0)</f>
        <v>192</v>
      </c>
      <c r="C197" s="13" t="str">
        <f>IFERROR(__xludf.DUMMYFUNCTION("""COMPUTED_VALUE"""),"M.868/BAKUNG")</f>
        <v>M.868/BAKUNG</v>
      </c>
      <c r="D197" s="13" t="str">
        <f>IFERROR(__xludf.DUMMYFUNCTION("""COMPUTED_VALUE"""),"K/40/111124/1")</f>
        <v>K/40/111124/1</v>
      </c>
      <c r="E197" s="14" t="str">
        <f>IFERROR(__xludf.DUMMYFUNCTION("""COMPUTED_VALUE"""),"Afriza (BT)")</f>
        <v>Afriza (BT)</v>
      </c>
      <c r="F197" s="14" t="str">
        <f>IFERROR(__xludf.DUMMYFUNCTION("""COMPUTED_VALUE"""),"SELESAI")</f>
        <v>SELESAI</v>
      </c>
      <c r="G197" s="17">
        <f>IFERROR(__xludf.DUMMYFUNCTION("""COMPUTED_VALUE"""),45608.72059790509)</f>
        <v>45608.7206</v>
      </c>
      <c r="H197" s="14" t="str">
        <f>IFERROR(__xludf.DUMMYFUNCTION("""COMPUTED_VALUE"""),"Bu Eva (SU)")</f>
        <v>Bu Eva (SU)</v>
      </c>
      <c r="I197" s="13" t="str">
        <f>IFERROR(__xludf.DUMMYFUNCTION("""COMPUTED_VALUE"""),"SELESAI")</f>
        <v>SELESAI</v>
      </c>
      <c r="J197" s="17">
        <f>IFERROR(__xludf.DUMMYFUNCTION("""COMPUTED_VALUE"""),45611.63320215278)</f>
        <v>45611.6332</v>
      </c>
      <c r="K197" s="13" t="str">
        <f>IFERROR(__xludf.DUMMYFUNCTION("""COMPUTED_VALUE"""),"SELESAI")</f>
        <v>SELESAI</v>
      </c>
      <c r="L197" s="17">
        <f>IFERROR(__xludf.DUMMYFUNCTION("""COMPUTED_VALUE"""),45611.63320215278)</f>
        <v>45611.6332</v>
      </c>
      <c r="M197" s="17" t="str">
        <f>IFERROR(__xludf.DUMMYFUNCTION("""COMPUTED_VALUE"""),"")</f>
        <v/>
      </c>
      <c r="N197" s="17">
        <f>IFERROR(__xludf.DUMMYFUNCTION("""COMPUTED_VALUE"""),45614.60917467593)</f>
        <v>45614.60917</v>
      </c>
      <c r="O197" s="13">
        <f t="shared" si="1"/>
        <v>5</v>
      </c>
    </row>
    <row r="198" ht="22.5" customHeight="1">
      <c r="B198" s="13">
        <f>IFERROR(__xludf.DUMMYFUNCTION("""COMPUTED_VALUE"""),193.0)</f>
        <v>193</v>
      </c>
      <c r="C198" s="13" t="str">
        <f>IFERROR(__xludf.DUMMYFUNCTION("""COMPUTED_VALUE"""),"HMASRS. 152/SUMUR PUTRI")</f>
        <v>HMASRS. 152/SUMUR PUTRI</v>
      </c>
      <c r="D198" s="13" t="str">
        <f>IFERROR(__xludf.DUMMYFUNCTION("""COMPUTED_VALUE"""),"K/23/111124/1")</f>
        <v>K/23/111124/1</v>
      </c>
      <c r="E198" s="14" t="str">
        <f>IFERROR(__xludf.DUMMYFUNCTION("""COMPUTED_VALUE"""),"Afriza (BT)")</f>
        <v>Afriza (BT)</v>
      </c>
      <c r="F198" s="14" t="str">
        <f>IFERROR(__xludf.DUMMYFUNCTION("""COMPUTED_VALUE"""),"SELESAI")</f>
        <v>SELESAI</v>
      </c>
      <c r="G198" s="17">
        <f>IFERROR(__xludf.DUMMYFUNCTION("""COMPUTED_VALUE"""),45608.720703784726)</f>
        <v>45608.7207</v>
      </c>
      <c r="H198" s="14" t="str">
        <f>IFERROR(__xludf.DUMMYFUNCTION("""COMPUTED_VALUE"""),"Bu Eva (SU)")</f>
        <v>Bu Eva (SU)</v>
      </c>
      <c r="I198" s="13" t="str">
        <f>IFERROR(__xludf.DUMMYFUNCTION("""COMPUTED_VALUE"""),"SELESAI")</f>
        <v>SELESAI</v>
      </c>
      <c r="J198" s="17">
        <f>IFERROR(__xludf.DUMMYFUNCTION("""COMPUTED_VALUE"""),45611.63320215278)</f>
        <v>45611.6332</v>
      </c>
      <c r="K198" s="13" t="str">
        <f>IFERROR(__xludf.DUMMYFUNCTION("""COMPUTED_VALUE"""),"SELESAI")</f>
        <v>SELESAI</v>
      </c>
      <c r="L198" s="17">
        <f>IFERROR(__xludf.DUMMYFUNCTION("""COMPUTED_VALUE"""),45611.63320215278)</f>
        <v>45611.6332</v>
      </c>
      <c r="M198" s="17" t="str">
        <f>IFERROR(__xludf.DUMMYFUNCTION("""COMPUTED_VALUE"""),"")</f>
        <v/>
      </c>
      <c r="N198" s="17">
        <f>IFERROR(__xludf.DUMMYFUNCTION("""COMPUTED_VALUE"""),45614.609183078705)</f>
        <v>45614.60918</v>
      </c>
      <c r="O198" s="13">
        <f t="shared" si="1"/>
        <v>6</v>
      </c>
    </row>
    <row r="199" ht="22.5" customHeight="1">
      <c r="B199" s="13">
        <f>IFERROR(__xludf.DUMMYFUNCTION("""COMPUTED_VALUE"""),194.0)</f>
        <v>194</v>
      </c>
      <c r="C199" s="13" t="str">
        <f>IFERROR(__xludf.DUMMYFUNCTION("""COMPUTED_VALUE"""),"M. 4901/ Langkapura")</f>
        <v>M. 4901/ Langkapura</v>
      </c>
      <c r="D199" s="13" t="str">
        <f>IFERROR(__xludf.DUMMYFUNCTION("""COMPUTED_VALUE"""),"K/39/261124/3")</f>
        <v>K/39/261124/3</v>
      </c>
      <c r="E199" s="14" t="str">
        <f>IFERROR(__xludf.DUMMYFUNCTION("""COMPUTED_VALUE"""),"Afriza (BT)")</f>
        <v>Afriza (BT)</v>
      </c>
      <c r="F199" s="14" t="str">
        <f>IFERROR(__xludf.DUMMYFUNCTION("""COMPUTED_VALUE"""),"SELESAI")</f>
        <v>SELESAI</v>
      </c>
      <c r="G199" s="17">
        <f>IFERROR(__xludf.DUMMYFUNCTION("""COMPUTED_VALUE"""),45609.529316064814)</f>
        <v>45609.52932</v>
      </c>
      <c r="H199" s="14" t="str">
        <f>IFERROR(__xludf.DUMMYFUNCTION("""COMPUTED_VALUE"""),"Aprill (SU)")</f>
        <v>Aprill (SU)</v>
      </c>
      <c r="I199" s="13" t="str">
        <f>IFERROR(__xludf.DUMMYFUNCTION("""COMPUTED_VALUE"""),"SELESAI (VIA PERMOHONAN)")</f>
        <v>SELESAI (VIA PERMOHONAN)</v>
      </c>
      <c r="J199" s="17">
        <f>IFERROR(__xludf.DUMMYFUNCTION("""COMPUTED_VALUE"""),45611.633363113426)</f>
        <v>45611.63336</v>
      </c>
      <c r="K199" s="13" t="str">
        <f>IFERROR(__xludf.DUMMYFUNCTION("""COMPUTED_VALUE"""),"Selesai")</f>
        <v>Selesai</v>
      </c>
      <c r="L199" s="17">
        <f>IFERROR(__xludf.DUMMYFUNCTION("""COMPUTED_VALUE"""),45611.633363113426)</f>
        <v>45611.63336</v>
      </c>
      <c r="M199" s="17">
        <f>IFERROR(__xludf.DUMMYFUNCTION("""COMPUTED_VALUE"""),45611.633384120374)</f>
        <v>45611.63338</v>
      </c>
      <c r="N199" s="13" t="str">
        <f>IFERROR(__xludf.DUMMYFUNCTION("""COMPUTED_VALUE"""),"")</f>
        <v/>
      </c>
      <c r="O199" s="13" t="str">
        <f t="shared" si="1"/>
        <v/>
      </c>
    </row>
    <row r="200" ht="22.5" customHeight="1">
      <c r="B200" s="13">
        <f>IFERROR(__xludf.DUMMYFUNCTION("""COMPUTED_VALUE"""),195.0)</f>
        <v>195</v>
      </c>
      <c r="C200" s="13" t="str">
        <f>IFERROR(__xludf.DUMMYFUNCTION("""COMPUTED_VALUE"""),"M. 12112/TANJUNG BARU")</f>
        <v>M. 12112/TANJUNG BARU</v>
      </c>
      <c r="D200" s="13" t="str">
        <f>IFERROR(__xludf.DUMMYFUNCTION("""COMPUTED_VALUE"""),"K/32/071124/1")</f>
        <v>K/32/071124/1</v>
      </c>
      <c r="E200" s="14" t="str">
        <f>IFERROR(__xludf.DUMMYFUNCTION("""COMPUTED_VALUE"""),"Afriza (BT)")</f>
        <v>Afriza (BT)</v>
      </c>
      <c r="F200" s="14" t="str">
        <f>IFERROR(__xludf.DUMMYFUNCTION("""COMPUTED_VALUE"""),"SELESAI")</f>
        <v>SELESAI</v>
      </c>
      <c r="G200" s="17">
        <f>IFERROR(__xludf.DUMMYFUNCTION("""COMPUTED_VALUE"""),45610.48243758101)</f>
        <v>45610.48244</v>
      </c>
      <c r="H200" s="14" t="str">
        <f>IFERROR(__xludf.DUMMYFUNCTION("""COMPUTED_VALUE"""),"Bu Eva (SU)")</f>
        <v>Bu Eva (SU)</v>
      </c>
      <c r="I200" s="13" t="str">
        <f>IFERROR(__xludf.DUMMYFUNCTION("""COMPUTED_VALUE"""),"SELESAI")</f>
        <v>SELESAI</v>
      </c>
      <c r="J200" s="17">
        <f>IFERROR(__xludf.DUMMYFUNCTION("""COMPUTED_VALUE"""),45611.63396461806)</f>
        <v>45611.63396</v>
      </c>
      <c r="K200" s="13" t="str">
        <f>IFERROR(__xludf.DUMMYFUNCTION("""COMPUTED_VALUE"""),"SELESAI")</f>
        <v>SELESAI</v>
      </c>
      <c r="L200" s="17">
        <f>IFERROR(__xludf.DUMMYFUNCTION("""COMPUTED_VALUE"""),45611.63396461806)</f>
        <v>45611.63396</v>
      </c>
      <c r="M200" s="17" t="str">
        <f>IFERROR(__xludf.DUMMYFUNCTION("""COMPUTED_VALUE"""),"")</f>
        <v/>
      </c>
      <c r="N200" s="17">
        <f>IFERROR(__xludf.DUMMYFUNCTION("""COMPUTED_VALUE"""),45614.60873866898)</f>
        <v>45614.60874</v>
      </c>
      <c r="O200" s="13">
        <f t="shared" si="1"/>
        <v>1</v>
      </c>
    </row>
    <row r="201" ht="22.5" customHeight="1">
      <c r="B201" s="13">
        <f>IFERROR(__xludf.DUMMYFUNCTION("""COMPUTED_VALUE"""),196.0)</f>
        <v>196</v>
      </c>
      <c r="C201" s="13" t="str">
        <f>IFERROR(__xludf.DUMMYFUNCTION("""COMPUTED_VALUE"""),"HM 838/PINANG JAYA")</f>
        <v>HM 838/PINANG JAYA</v>
      </c>
      <c r="D201" s="13" t="str">
        <f>IFERROR(__xludf.DUMMYFUNCTION("""COMPUTED_VALUE"""),"L/33/121124/1")</f>
        <v>L/33/121124/1</v>
      </c>
      <c r="E201" s="14" t="str">
        <f>IFERROR(__xludf.DUMMYFUNCTION("""COMPUTED_VALUE"""),"Afriza (BT)")</f>
        <v>Afriza (BT)</v>
      </c>
      <c r="F201" s="14" t="str">
        <f>IFERROR(__xludf.DUMMYFUNCTION("""COMPUTED_VALUE"""),"SELESAI")</f>
        <v>SELESAI</v>
      </c>
      <c r="G201" s="17">
        <f>IFERROR(__xludf.DUMMYFUNCTION("""COMPUTED_VALUE"""),45610.482732986115)</f>
        <v>45610.48273</v>
      </c>
      <c r="H201" s="14" t="str">
        <f>IFERROR(__xludf.DUMMYFUNCTION("""COMPUTED_VALUE"""),"Bu Eva (SU)")</f>
        <v>Bu Eva (SU)</v>
      </c>
      <c r="I201" s="13" t="str">
        <f>IFERROR(__xludf.DUMMYFUNCTION("""COMPUTED_VALUE"""),"SELESAI")</f>
        <v>SELESAI</v>
      </c>
      <c r="J201" s="17">
        <f>IFERROR(__xludf.DUMMYFUNCTION("""COMPUTED_VALUE"""),45611.634004004634)</f>
        <v>45611.634</v>
      </c>
      <c r="K201" s="13" t="str">
        <f>IFERROR(__xludf.DUMMYFUNCTION("""COMPUTED_VALUE"""),"SELESAI")</f>
        <v>SELESAI</v>
      </c>
      <c r="L201" s="17">
        <f>IFERROR(__xludf.DUMMYFUNCTION("""COMPUTED_VALUE"""),45611.634004004634)</f>
        <v>45611.634</v>
      </c>
      <c r="M201" s="17" t="str">
        <f>IFERROR(__xludf.DUMMYFUNCTION("""COMPUTED_VALUE"""),"")</f>
        <v/>
      </c>
      <c r="N201" s="17">
        <f>IFERROR(__xludf.DUMMYFUNCTION("""COMPUTED_VALUE"""),45614.6087703125)</f>
        <v>45614.60877</v>
      </c>
      <c r="O201" s="13">
        <f t="shared" si="1"/>
        <v>2</v>
      </c>
    </row>
    <row r="202" ht="22.5" customHeight="1">
      <c r="B202" s="13">
        <f>IFERROR(__xludf.DUMMYFUNCTION("""COMPUTED_VALUE"""),197.0)</f>
        <v>197</v>
      </c>
      <c r="C202" s="13" t="str">
        <f>IFERROR(__xludf.DUMMYFUNCTION("""COMPUTED_VALUE"""),"HM 614/RAJABASA PEMUKA")</f>
        <v>HM 614/RAJABASA PEMUKA</v>
      </c>
      <c r="D202" s="13" t="str">
        <f>IFERROR(__xludf.DUMMYFUNCTION("""COMPUTED_VALUE"""),"L/39/121124/1")</f>
        <v>L/39/121124/1</v>
      </c>
      <c r="E202" s="14" t="str">
        <f>IFERROR(__xludf.DUMMYFUNCTION("""COMPUTED_VALUE"""),"Afriza (BT)")</f>
        <v>Afriza (BT)</v>
      </c>
      <c r="F202" s="14" t="str">
        <f>IFERROR(__xludf.DUMMYFUNCTION("""COMPUTED_VALUE"""),"SELESAI")</f>
        <v>SELESAI</v>
      </c>
      <c r="G202" s="17">
        <f>IFERROR(__xludf.DUMMYFUNCTION("""COMPUTED_VALUE"""),45610.483014074074)</f>
        <v>45610.48301</v>
      </c>
      <c r="H202" s="14" t="str">
        <f>IFERROR(__xludf.DUMMYFUNCTION("""COMPUTED_VALUE"""),"Bu Eva (SU)")</f>
        <v>Bu Eva (SU)</v>
      </c>
      <c r="I202" s="13" t="str">
        <f>IFERROR(__xludf.DUMMYFUNCTION("""COMPUTED_VALUE"""),"SELESAI")</f>
        <v>SELESAI</v>
      </c>
      <c r="J202" s="17">
        <f>IFERROR(__xludf.DUMMYFUNCTION("""COMPUTED_VALUE"""),45611.634048576394)</f>
        <v>45611.63405</v>
      </c>
      <c r="K202" s="13" t="str">
        <f>IFERROR(__xludf.DUMMYFUNCTION("""COMPUTED_VALUE"""),"SELESAI")</f>
        <v>SELESAI</v>
      </c>
      <c r="L202" s="17">
        <f>IFERROR(__xludf.DUMMYFUNCTION("""COMPUTED_VALUE"""),45611.634048576394)</f>
        <v>45611.63405</v>
      </c>
      <c r="M202" s="17" t="str">
        <f>IFERROR(__xludf.DUMMYFUNCTION("""COMPUTED_VALUE"""),"")</f>
        <v/>
      </c>
      <c r="N202" s="17">
        <f>IFERROR(__xludf.DUMMYFUNCTION("""COMPUTED_VALUE"""),45614.60880332176)</f>
        <v>45614.6088</v>
      </c>
      <c r="O202" s="13">
        <f t="shared" si="1"/>
        <v>3</v>
      </c>
    </row>
    <row r="203" ht="22.5" customHeight="1">
      <c r="B203" s="13">
        <f>IFERROR(__xludf.DUMMYFUNCTION("""COMPUTED_VALUE"""),198.0)</f>
        <v>198</v>
      </c>
      <c r="C203" s="13" t="str">
        <f>IFERROR(__xludf.DUMMYFUNCTION("""COMPUTED_VALUE"""),"HM 755/RAJABASA RAYA")</f>
        <v>HM 755/RAJABASA RAYA</v>
      </c>
      <c r="D203" s="13" t="str">
        <f>IFERROR(__xludf.DUMMYFUNCTION("""COMPUTED_VALUE"""),"L/46/121124/1")</f>
        <v>L/46/121124/1</v>
      </c>
      <c r="E203" s="14" t="str">
        <f>IFERROR(__xludf.DUMMYFUNCTION("""COMPUTED_VALUE"""),"Afriza (BT)")</f>
        <v>Afriza (BT)</v>
      </c>
      <c r="F203" s="14" t="str">
        <f>IFERROR(__xludf.DUMMYFUNCTION("""COMPUTED_VALUE"""),"SELESAI")</f>
        <v>SELESAI</v>
      </c>
      <c r="G203" s="17">
        <f>IFERROR(__xludf.DUMMYFUNCTION("""COMPUTED_VALUE"""),45610.48314928241)</f>
        <v>45610.48315</v>
      </c>
      <c r="H203" s="14" t="str">
        <f>IFERROR(__xludf.DUMMYFUNCTION("""COMPUTED_VALUE"""),"Bu Eva (SU)")</f>
        <v>Bu Eva (SU)</v>
      </c>
      <c r="I203" s="13" t="str">
        <f>IFERROR(__xludf.DUMMYFUNCTION("""COMPUTED_VALUE"""),"SELESAI")</f>
        <v>SELESAI</v>
      </c>
      <c r="J203" s="17">
        <f>IFERROR(__xludf.DUMMYFUNCTION("""COMPUTED_VALUE"""),45611.634048576394)</f>
        <v>45611.63405</v>
      </c>
      <c r="K203" s="13" t="str">
        <f>IFERROR(__xludf.DUMMYFUNCTION("""COMPUTED_VALUE"""),"SELESAI")</f>
        <v>SELESAI</v>
      </c>
      <c r="L203" s="17">
        <f>IFERROR(__xludf.DUMMYFUNCTION("""COMPUTED_VALUE"""),45611.634048576394)</f>
        <v>45611.63405</v>
      </c>
      <c r="M203" s="17" t="str">
        <f>IFERROR(__xludf.DUMMYFUNCTION("""COMPUTED_VALUE"""),"")</f>
        <v/>
      </c>
      <c r="N203" s="17">
        <f>IFERROR(__xludf.DUMMYFUNCTION("""COMPUTED_VALUE"""),45614.60881344907)</f>
        <v>45614.60881</v>
      </c>
      <c r="O203" s="13">
        <f t="shared" si="1"/>
        <v>4</v>
      </c>
    </row>
    <row r="204" ht="22.5" customHeight="1">
      <c r="B204" s="13">
        <f>IFERROR(__xludf.DUMMYFUNCTION("""COMPUTED_VALUE"""),199.0)</f>
        <v>199</v>
      </c>
      <c r="C204" s="13" t="str">
        <f>IFERROR(__xludf.DUMMYFUNCTION("""COMPUTED_VALUE"""),"M. 4936/ SUKADANA HAM")</f>
        <v>M. 4936/ SUKADANA HAM</v>
      </c>
      <c r="D204" s="13" t="str">
        <f>IFERROR(__xludf.DUMMYFUNCTION("""COMPUTED_VALUE"""),"K/47/121124/1")</f>
        <v>K/47/121124/1</v>
      </c>
      <c r="E204" s="14" t="str">
        <f>IFERROR(__xludf.DUMMYFUNCTION("""COMPUTED_VALUE"""),"Afriza (BT)")</f>
        <v>Afriza (BT)</v>
      </c>
      <c r="F204" s="14" t="str">
        <f>IFERROR(__xludf.DUMMYFUNCTION("""COMPUTED_VALUE"""),"SELESAI")</f>
        <v>SELESAI</v>
      </c>
      <c r="G204" s="17">
        <f>IFERROR(__xludf.DUMMYFUNCTION("""COMPUTED_VALUE"""),45610.483270625)</f>
        <v>45610.48327</v>
      </c>
      <c r="H204" s="14" t="str">
        <f>IFERROR(__xludf.DUMMYFUNCTION("""COMPUTED_VALUE"""),"Bu Eva (SU)")</f>
        <v>Bu Eva (SU)</v>
      </c>
      <c r="I204" s="13" t="str">
        <f>IFERROR(__xludf.DUMMYFUNCTION("""COMPUTED_VALUE"""),"SELESAI")</f>
        <v>SELESAI</v>
      </c>
      <c r="J204" s="17">
        <f>IFERROR(__xludf.DUMMYFUNCTION("""COMPUTED_VALUE"""),45611.634071458335)</f>
        <v>45611.63407</v>
      </c>
      <c r="K204" s="13" t="str">
        <f>IFERROR(__xludf.DUMMYFUNCTION("""COMPUTED_VALUE"""),"SELESAI")</f>
        <v>SELESAI</v>
      </c>
      <c r="L204" s="17">
        <f>IFERROR(__xludf.DUMMYFUNCTION("""COMPUTED_VALUE"""),45611.634071458335)</f>
        <v>45611.63407</v>
      </c>
      <c r="M204" s="17" t="str">
        <f>IFERROR(__xludf.DUMMYFUNCTION("""COMPUTED_VALUE"""),"")</f>
        <v/>
      </c>
      <c r="N204" s="17">
        <f>IFERROR(__xludf.DUMMYFUNCTION("""COMPUTED_VALUE"""),45614.608822326394)</f>
        <v>45614.60882</v>
      </c>
      <c r="O204" s="13">
        <f t="shared" si="1"/>
        <v>5</v>
      </c>
    </row>
    <row r="205" ht="22.5" customHeight="1">
      <c r="B205" s="13">
        <f>IFERROR(__xludf.DUMMYFUNCTION("""COMPUTED_VALUE"""),200.0)</f>
        <v>200</v>
      </c>
      <c r="C205" s="13" t="str">
        <f>IFERROR(__xludf.DUMMYFUNCTION("""COMPUTED_VALUE"""),"M. 10853/ Jagabaya II")</f>
        <v>M. 10853/ Jagabaya II</v>
      </c>
      <c r="D205" s="13" t="str">
        <f>IFERROR(__xludf.DUMMYFUNCTION("""COMPUTED_VALUE"""),"K/10/111124/1")</f>
        <v>K/10/111124/1</v>
      </c>
      <c r="E205" s="14" t="str">
        <f>IFERROR(__xludf.DUMMYFUNCTION("""COMPUTED_VALUE"""),"Afriza (BT)")</f>
        <v>Afriza (BT)</v>
      </c>
      <c r="F205" s="14" t="str">
        <f>IFERROR(__xludf.DUMMYFUNCTION("""COMPUTED_VALUE"""),"SELESAI")</f>
        <v>SELESAI</v>
      </c>
      <c r="G205" s="17">
        <f>IFERROR(__xludf.DUMMYFUNCTION("""COMPUTED_VALUE"""),45610.48354648148)</f>
        <v>45610.48355</v>
      </c>
      <c r="H205" s="14" t="str">
        <f>IFERROR(__xludf.DUMMYFUNCTION("""COMPUTED_VALUE"""),"Bu Eva (SU)")</f>
        <v>Bu Eva (SU)</v>
      </c>
      <c r="I205" s="13" t="str">
        <f>IFERROR(__xludf.DUMMYFUNCTION("""COMPUTED_VALUE"""),"SELESAI")</f>
        <v>SELESAI</v>
      </c>
      <c r="J205" s="17">
        <f>IFERROR(__xludf.DUMMYFUNCTION("""COMPUTED_VALUE"""),45611.634097291666)</f>
        <v>45611.6341</v>
      </c>
      <c r="K205" s="13" t="str">
        <f>IFERROR(__xludf.DUMMYFUNCTION("""COMPUTED_VALUE"""),"SELESAI")</f>
        <v>SELESAI</v>
      </c>
      <c r="L205" s="17">
        <f>IFERROR(__xludf.DUMMYFUNCTION("""COMPUTED_VALUE"""),45611.634097291666)</f>
        <v>45611.6341</v>
      </c>
      <c r="M205" s="17" t="str">
        <f>IFERROR(__xludf.DUMMYFUNCTION("""COMPUTED_VALUE"""),"")</f>
        <v/>
      </c>
      <c r="N205" s="17">
        <f>IFERROR(__xludf.DUMMYFUNCTION("""COMPUTED_VALUE"""),45614.6088557176)</f>
        <v>45614.60886</v>
      </c>
      <c r="O205" s="13">
        <f t="shared" si="1"/>
        <v>6</v>
      </c>
    </row>
    <row r="206" ht="22.5" customHeight="1">
      <c r="B206" s="13">
        <f>IFERROR(__xludf.DUMMYFUNCTION("""COMPUTED_VALUE"""),201.0)</f>
        <v>201</v>
      </c>
      <c r="C206" s="13" t="str">
        <f>IFERROR(__xludf.DUMMYFUNCTION("""COMPUTED_VALUE"""),"M. 1254/ Langkapura Baru")</f>
        <v>M. 1254/ Langkapura Baru</v>
      </c>
      <c r="D206" s="13" t="str">
        <f>IFERROR(__xludf.DUMMYFUNCTION("""COMPUTED_VALUE"""),"K/41/071124/1")</f>
        <v>K/41/071124/1</v>
      </c>
      <c r="E206" s="14" t="str">
        <f>IFERROR(__xludf.DUMMYFUNCTION("""COMPUTED_VALUE"""),"Afriza (BT)")</f>
        <v>Afriza (BT)</v>
      </c>
      <c r="F206" s="14" t="str">
        <f>IFERROR(__xludf.DUMMYFUNCTION("""COMPUTED_VALUE"""),"SELESAI")</f>
        <v>SELESAI</v>
      </c>
      <c r="G206" s="17">
        <f>IFERROR(__xludf.DUMMYFUNCTION("""COMPUTED_VALUE"""),45610.484323136574)</f>
        <v>45610.48432</v>
      </c>
      <c r="H206" s="14" t="str">
        <f>IFERROR(__xludf.DUMMYFUNCTION("""COMPUTED_VALUE"""),"Aprill (SU)")</f>
        <v>Aprill (SU)</v>
      </c>
      <c r="I206" s="13" t="str">
        <f>IFERROR(__xludf.DUMMYFUNCTION("""COMPUTED_VALUE"""),"SELESAI (VIA PERMOHONAN)")</f>
        <v>SELESAI (VIA PERMOHONAN)</v>
      </c>
      <c r="J206" s="17">
        <f>IFERROR(__xludf.DUMMYFUNCTION("""COMPUTED_VALUE"""),45611.63132828704)</f>
        <v>45611.63133</v>
      </c>
      <c r="K206" s="13" t="str">
        <f>IFERROR(__xludf.DUMMYFUNCTION("""COMPUTED_VALUE"""),"Selesai")</f>
        <v>Selesai</v>
      </c>
      <c r="L206" s="17">
        <f>IFERROR(__xludf.DUMMYFUNCTION("""COMPUTED_VALUE"""),45611.63132828704)</f>
        <v>45611.63133</v>
      </c>
      <c r="M206" s="17">
        <f>IFERROR(__xludf.DUMMYFUNCTION("""COMPUTED_VALUE"""),45611.632692141204)</f>
        <v>45611.63269</v>
      </c>
      <c r="N206" s="13" t="str">
        <f>IFERROR(__xludf.DUMMYFUNCTION("""COMPUTED_VALUE"""),"")</f>
        <v/>
      </c>
      <c r="O206" s="13" t="str">
        <f t="shared" si="1"/>
        <v/>
      </c>
    </row>
    <row r="207" ht="22.5" customHeight="1">
      <c r="B207" s="13">
        <f>IFERROR(__xludf.DUMMYFUNCTION("""COMPUTED_VALUE"""),202.0)</f>
        <v>202</v>
      </c>
      <c r="C207" s="13" t="str">
        <f>IFERROR(__xludf.DUMMYFUNCTION("""COMPUTED_VALUE"""),"M. 1004/ Gunung Agung-SEKARANG; M. 9784/ SEGALA MIDER-DAHULU")</f>
        <v>M. 1004/ Gunung Agung-SEKARANG; M. 9784/ SEGALA MIDER-DAHULU</v>
      </c>
      <c r="D207" s="13" t="str">
        <f>IFERROR(__xludf.DUMMYFUNCTION("""COMPUTED_VALUE"""),"K/14/121124/1")</f>
        <v>K/14/121124/1</v>
      </c>
      <c r="E207" s="14" t="str">
        <f>IFERROR(__xludf.DUMMYFUNCTION("""COMPUTED_VALUE"""),"Afriza (BT)")</f>
        <v>Afriza (BT)</v>
      </c>
      <c r="F207" s="14" t="str">
        <f>IFERROR(__xludf.DUMMYFUNCTION("""COMPUTED_VALUE"""),"SELESAI")</f>
        <v>SELESAI</v>
      </c>
      <c r="G207" s="17">
        <f>IFERROR(__xludf.DUMMYFUNCTION("""COMPUTED_VALUE"""),45610.4848496412)</f>
        <v>45610.48485</v>
      </c>
      <c r="H207" s="14" t="str">
        <f>IFERROR(__xludf.DUMMYFUNCTION("""COMPUTED_VALUE"""),"Aprill (SU)")</f>
        <v>Aprill (SU)</v>
      </c>
      <c r="I207" s="13" t="str">
        <f>IFERROR(__xludf.DUMMYFUNCTION("""COMPUTED_VALUE"""),"SELESAI (VIA PERMOHONAN)")</f>
        <v>SELESAI (VIA PERMOHONAN)</v>
      </c>
      <c r="J207" s="17">
        <f>IFERROR(__xludf.DUMMYFUNCTION("""COMPUTED_VALUE"""),45611.63134854166)</f>
        <v>45611.63135</v>
      </c>
      <c r="K207" s="13" t="str">
        <f>IFERROR(__xludf.DUMMYFUNCTION("""COMPUTED_VALUE"""),"Selesai")</f>
        <v>Selesai</v>
      </c>
      <c r="L207" s="17">
        <f>IFERROR(__xludf.DUMMYFUNCTION("""COMPUTED_VALUE"""),45611.63134854166)</f>
        <v>45611.63135</v>
      </c>
      <c r="M207" s="17">
        <f>IFERROR(__xludf.DUMMYFUNCTION("""COMPUTED_VALUE"""),45611.63273601852)</f>
        <v>45611.63274</v>
      </c>
      <c r="N207" s="13" t="str">
        <f>IFERROR(__xludf.DUMMYFUNCTION("""COMPUTED_VALUE"""),"")</f>
        <v/>
      </c>
      <c r="O207" s="13" t="str">
        <f t="shared" si="1"/>
        <v/>
      </c>
    </row>
    <row r="208" ht="22.5" customHeight="1">
      <c r="B208" s="13">
        <f>IFERROR(__xludf.DUMMYFUNCTION("""COMPUTED_VALUE"""),203.0)</f>
        <v>203</v>
      </c>
      <c r="C208" s="13" t="str">
        <f>IFERROR(__xludf.DUMMYFUNCTION("""COMPUTED_VALUE"""),"M.8738/SUKABUMI ")</f>
        <v>M.8738/SUKABUMI </v>
      </c>
      <c r="D208" s="13" t="str">
        <f>IFERROR(__xludf.DUMMYFUNCTION("""COMPUTED_VALUE"""),"K/13/111124/1")</f>
        <v>K/13/111124/1</v>
      </c>
      <c r="E208" s="14" t="str">
        <f>IFERROR(__xludf.DUMMYFUNCTION("""COMPUTED_VALUE"""),"Afriza (BT)")</f>
        <v>Afriza (BT)</v>
      </c>
      <c r="F208" s="14" t="str">
        <f>IFERROR(__xludf.DUMMYFUNCTION("""COMPUTED_VALUE"""),"SELESAI")</f>
        <v>SELESAI</v>
      </c>
      <c r="G208" s="17">
        <f>IFERROR(__xludf.DUMMYFUNCTION("""COMPUTED_VALUE"""),45610.48497097222)</f>
        <v>45610.48497</v>
      </c>
      <c r="H208" s="14" t="str">
        <f>IFERROR(__xludf.DUMMYFUNCTION("""COMPUTED_VALUE"""),"Aprill (SU)")</f>
        <v>Aprill (SU)</v>
      </c>
      <c r="I208" s="13" t="str">
        <f>IFERROR(__xludf.DUMMYFUNCTION("""COMPUTED_VALUE"""),"SELESAI (VIA PERMOHONAN)")</f>
        <v>SELESAI (VIA PERMOHONAN)</v>
      </c>
      <c r="J208" s="17">
        <f>IFERROR(__xludf.DUMMYFUNCTION("""COMPUTED_VALUE"""),45611.63137158565)</f>
        <v>45611.63137</v>
      </c>
      <c r="K208" s="13" t="str">
        <f>IFERROR(__xludf.DUMMYFUNCTION("""COMPUTED_VALUE"""),"Selesai")</f>
        <v>Selesai</v>
      </c>
      <c r="L208" s="17">
        <f>IFERROR(__xludf.DUMMYFUNCTION("""COMPUTED_VALUE"""),45611.63137158565)</f>
        <v>45611.63137</v>
      </c>
      <c r="M208" s="17">
        <f>IFERROR(__xludf.DUMMYFUNCTION("""COMPUTED_VALUE"""),45611.632743194445)</f>
        <v>45611.63274</v>
      </c>
      <c r="N208" s="13" t="str">
        <f>IFERROR(__xludf.DUMMYFUNCTION("""COMPUTED_VALUE"""),"")</f>
        <v/>
      </c>
      <c r="O208" s="13" t="str">
        <f t="shared" si="1"/>
        <v/>
      </c>
    </row>
    <row r="209" ht="22.5" customHeight="1">
      <c r="B209" s="13">
        <f>IFERROR(__xludf.DUMMYFUNCTION("""COMPUTED_VALUE"""),204.0)</f>
        <v>204</v>
      </c>
      <c r="C209" s="13" t="str">
        <f>IFERROR(__xludf.DUMMYFUNCTION("""COMPUTED_VALUE"""),"M. 1320/ Gedong Air")</f>
        <v>M. 1320/ Gedong Air</v>
      </c>
      <c r="D209" s="13" t="str">
        <f>IFERROR(__xludf.DUMMYFUNCTION("""COMPUTED_VALUE"""),"K/34/111124/1")</f>
        <v>K/34/111124/1</v>
      </c>
      <c r="E209" s="14" t="str">
        <f>IFERROR(__xludf.DUMMYFUNCTION("""COMPUTED_VALUE"""),"Nadian (BT)")</f>
        <v>Nadian (BT)</v>
      </c>
      <c r="F209" s="14" t="str">
        <f>IFERROR(__xludf.DUMMYFUNCTION("""COMPUTED_VALUE"""),"SELESAI")</f>
        <v>SELESAI</v>
      </c>
      <c r="G209" s="17">
        <f>IFERROR(__xludf.DUMMYFUNCTION("""COMPUTED_VALUE"""),45610.57982159722)</f>
        <v>45610.57982</v>
      </c>
      <c r="H209" s="14" t="str">
        <f>IFERROR(__xludf.DUMMYFUNCTION("""COMPUTED_VALUE"""),"Bu Eva (SU)")</f>
        <v>Bu Eva (SU)</v>
      </c>
      <c r="I209" s="13" t="str">
        <f>IFERROR(__xludf.DUMMYFUNCTION("""COMPUTED_VALUE"""),"SELESAI")</f>
        <v>SELESAI</v>
      </c>
      <c r="J209" s="17">
        <f>IFERROR(__xludf.DUMMYFUNCTION("""COMPUTED_VALUE"""),45611.634148125)</f>
        <v>45611.63415</v>
      </c>
      <c r="K209" s="13" t="str">
        <f>IFERROR(__xludf.DUMMYFUNCTION("""COMPUTED_VALUE"""),"SELESAI")</f>
        <v>SELESAI</v>
      </c>
      <c r="L209" s="17">
        <f>IFERROR(__xludf.DUMMYFUNCTION("""COMPUTED_VALUE"""),45611.634148125)</f>
        <v>45611.63415</v>
      </c>
      <c r="M209" s="17" t="str">
        <f>IFERROR(__xludf.DUMMYFUNCTION("""COMPUTED_VALUE"""),"")</f>
        <v/>
      </c>
      <c r="N209" s="17">
        <f>IFERROR(__xludf.DUMMYFUNCTION("""COMPUTED_VALUE"""),45614.6085521412)</f>
        <v>45614.60855</v>
      </c>
      <c r="O209" s="13">
        <f t="shared" si="1"/>
        <v>1</v>
      </c>
    </row>
    <row r="210" ht="22.5" customHeight="1">
      <c r="B210" s="13">
        <f>IFERROR(__xludf.DUMMYFUNCTION("""COMPUTED_VALUE"""),205.0)</f>
        <v>205</v>
      </c>
      <c r="C210" s="13" t="str">
        <f>IFERROR(__xludf.DUMMYFUNCTION("""COMPUTED_VALUE"""),"M.10150/SUKAMENANTI")</f>
        <v>M.10150/SUKAMENANTI</v>
      </c>
      <c r="D210" s="13" t="str">
        <f>IFERROR(__xludf.DUMMYFUNCTION("""COMPUTED_VALUE"""),"K/69/311024/3")</f>
        <v>K/69/311024/3</v>
      </c>
      <c r="E210" s="14" t="str">
        <f>IFERROR(__xludf.DUMMYFUNCTION("""COMPUTED_VALUE"""),"Nadian (BT)")</f>
        <v>Nadian (BT)</v>
      </c>
      <c r="F210" s="14" t="str">
        <f>IFERROR(__xludf.DUMMYFUNCTION("""COMPUTED_VALUE"""),"SELESAI")</f>
        <v>SELESAI</v>
      </c>
      <c r="G210" s="17">
        <f>IFERROR(__xludf.DUMMYFUNCTION("""COMPUTED_VALUE"""),45610.580897858796)</f>
        <v>45610.5809</v>
      </c>
      <c r="H210" s="14" t="str">
        <f>IFERROR(__xludf.DUMMYFUNCTION("""COMPUTED_VALUE"""),"Aprill (SU)")</f>
        <v>Aprill (SU)</v>
      </c>
      <c r="I210" s="13" t="str">
        <f>IFERROR(__xludf.DUMMYFUNCTION("""COMPUTED_VALUE"""),"SELESAI (VIA PERMOHONAN)")</f>
        <v>SELESAI (VIA PERMOHONAN)</v>
      </c>
      <c r="J210" s="17">
        <f>IFERROR(__xludf.DUMMYFUNCTION("""COMPUTED_VALUE"""),45611.630989756944)</f>
        <v>45611.63099</v>
      </c>
      <c r="K210" s="13" t="str">
        <f>IFERROR(__xludf.DUMMYFUNCTION("""COMPUTED_VALUE"""),"Selesai")</f>
        <v>Selesai</v>
      </c>
      <c r="L210" s="17">
        <f>IFERROR(__xludf.DUMMYFUNCTION("""COMPUTED_VALUE"""),45611.630989756944)</f>
        <v>45611.63099</v>
      </c>
      <c r="M210" s="17">
        <f>IFERROR(__xludf.DUMMYFUNCTION("""COMPUTED_VALUE"""),45611.631044062495)</f>
        <v>45611.63104</v>
      </c>
      <c r="N210" s="13" t="str">
        <f>IFERROR(__xludf.DUMMYFUNCTION("""COMPUTED_VALUE"""),"")</f>
        <v/>
      </c>
      <c r="O210" s="13" t="str">
        <f t="shared" si="1"/>
        <v/>
      </c>
    </row>
    <row r="211" ht="22.5" customHeight="1">
      <c r="B211" s="13">
        <f>IFERROR(__xludf.DUMMYFUNCTION("""COMPUTED_VALUE"""),206.0)</f>
        <v>206</v>
      </c>
      <c r="C211" s="13" t="str">
        <f>IFERROR(__xludf.DUMMYFUNCTION("""COMPUTED_VALUE"""),"M. 2237/LANGKAPURA")</f>
        <v>M. 2237/LANGKAPURA</v>
      </c>
      <c r="D211" s="13" t="str">
        <f>IFERROR(__xludf.DUMMYFUNCTION("""COMPUTED_VALUE"""),"K/25/121124/1")</f>
        <v>K/25/121124/1</v>
      </c>
      <c r="E211" s="14" t="str">
        <f>IFERROR(__xludf.DUMMYFUNCTION("""COMPUTED_VALUE"""),"Afriza (BT)")</f>
        <v>Afriza (BT)</v>
      </c>
      <c r="F211" s="14" t="str">
        <f>IFERROR(__xludf.DUMMYFUNCTION("""COMPUTED_VALUE"""),"SELESAI")</f>
        <v>SELESAI</v>
      </c>
      <c r="G211" s="17">
        <f>IFERROR(__xludf.DUMMYFUNCTION("""COMPUTED_VALUE"""),45611.37653971065)</f>
        <v>45611.37654</v>
      </c>
      <c r="H211" s="14" t="str">
        <f>IFERROR(__xludf.DUMMYFUNCTION("""COMPUTED_VALUE"""),"Bu Eva (SU)")</f>
        <v>Bu Eva (SU)</v>
      </c>
      <c r="I211" s="13" t="str">
        <f>IFERROR(__xludf.DUMMYFUNCTION("""COMPUTED_VALUE"""),"SELESAI")</f>
        <v>SELESAI</v>
      </c>
      <c r="J211" s="17">
        <f>IFERROR(__xludf.DUMMYFUNCTION("""COMPUTED_VALUE"""),45614.61051564815)</f>
        <v>45614.61052</v>
      </c>
      <c r="K211" s="13" t="str">
        <f>IFERROR(__xludf.DUMMYFUNCTION("""COMPUTED_VALUE"""),"SELESAI")</f>
        <v>SELESAI</v>
      </c>
      <c r="L211" s="17">
        <f>IFERROR(__xludf.DUMMYFUNCTION("""COMPUTED_VALUE"""),45614.61051564815)</f>
        <v>45614.61052</v>
      </c>
      <c r="M211" s="17" t="str">
        <f>IFERROR(__xludf.DUMMYFUNCTION("""COMPUTED_VALUE"""),"")</f>
        <v/>
      </c>
      <c r="N211" s="17">
        <f>IFERROR(__xludf.DUMMYFUNCTION("""COMPUTED_VALUE"""),45614.610543518516)</f>
        <v>45614.61054</v>
      </c>
      <c r="O211" s="13">
        <f t="shared" si="1"/>
        <v>1</v>
      </c>
    </row>
    <row r="212" ht="22.5" customHeight="1">
      <c r="B212" s="13">
        <f>IFERROR(__xludf.DUMMYFUNCTION("""COMPUTED_VALUE"""),207.0)</f>
        <v>207</v>
      </c>
      <c r="C212" s="13" t="str">
        <f>IFERROR(__xludf.DUMMYFUNCTION("""COMPUTED_VALUE"""),"M. 1200 / GULAK GALIK-SEKARANG;M. 66/SUMUR BATU-DAHULU")</f>
        <v>M. 1200 / GULAK GALIK-SEKARANG;M. 66/SUMUR BATU-DAHULU</v>
      </c>
      <c r="D212" s="13" t="str">
        <f>IFERROR(__xludf.DUMMYFUNCTION("""COMPUTED_VALUE"""),"K/29/131124/1")</f>
        <v>K/29/131124/1</v>
      </c>
      <c r="E212" s="14" t="str">
        <f>IFERROR(__xludf.DUMMYFUNCTION("""COMPUTED_VALUE"""),"Afriza (BT)")</f>
        <v>Afriza (BT)</v>
      </c>
      <c r="F212" s="14" t="str">
        <f>IFERROR(__xludf.DUMMYFUNCTION("""COMPUTED_VALUE"""),"SELESAI")</f>
        <v>SELESAI</v>
      </c>
      <c r="G212" s="17">
        <f>IFERROR(__xludf.DUMMYFUNCTION("""COMPUTED_VALUE"""),45611.3768162037)</f>
        <v>45611.37682</v>
      </c>
      <c r="H212" s="14" t="str">
        <f>IFERROR(__xludf.DUMMYFUNCTION("""COMPUTED_VALUE"""),"Aprill (SU)")</f>
        <v>Aprill (SU)</v>
      </c>
      <c r="I212" s="13" t="str">
        <f>IFERROR(__xludf.DUMMYFUNCTION("""COMPUTED_VALUE"""),"SELESAI (VIA PERMOHONAN)")</f>
        <v>SELESAI (VIA PERMOHONAN)</v>
      </c>
      <c r="J212" s="17">
        <f>IFERROR(__xludf.DUMMYFUNCTION("""COMPUTED_VALUE"""),45614.61090168981)</f>
        <v>45614.6109</v>
      </c>
      <c r="K212" s="13" t="str">
        <f>IFERROR(__xludf.DUMMYFUNCTION("""COMPUTED_VALUE"""),"Selesai")</f>
        <v>Selesai</v>
      </c>
      <c r="L212" s="17">
        <f>IFERROR(__xludf.DUMMYFUNCTION("""COMPUTED_VALUE"""),45614.61090168981)</f>
        <v>45614.6109</v>
      </c>
      <c r="M212" s="17">
        <f>IFERROR(__xludf.DUMMYFUNCTION("""COMPUTED_VALUE"""),45614.708280590276)</f>
        <v>45614.70828</v>
      </c>
      <c r="N212" s="13" t="str">
        <f>IFERROR(__xludf.DUMMYFUNCTION("""COMPUTED_VALUE"""),"")</f>
        <v/>
      </c>
      <c r="O212" s="13" t="str">
        <f t="shared" si="1"/>
        <v/>
      </c>
    </row>
    <row r="213" ht="22.5" customHeight="1">
      <c r="B213" s="13">
        <f>IFERROR(__xludf.DUMMYFUNCTION("""COMPUTED_VALUE"""),208.0)</f>
        <v>208</v>
      </c>
      <c r="C213" s="13" t="str">
        <f>IFERROR(__xludf.DUMMYFUNCTION("""COMPUTED_VALUE"""),"M. 439/KALIAWI PERSADA-SEKARANG;B.41/SUKADANA HAM-DAHULU")</f>
        <v>M. 439/KALIAWI PERSADA-SEKARANG;B.41/SUKADANA HAM-DAHULU</v>
      </c>
      <c r="D213" s="13" t="str">
        <f>IFERROR(__xludf.DUMMYFUNCTION("""COMPUTED_VALUE"""),"K/29/071124/1")</f>
        <v>K/29/071124/1</v>
      </c>
      <c r="E213" s="14" t="str">
        <f>IFERROR(__xludf.DUMMYFUNCTION("""COMPUTED_VALUE"""),"Afriza (BT)")</f>
        <v>Afriza (BT)</v>
      </c>
      <c r="F213" s="14" t="str">
        <f>IFERROR(__xludf.DUMMYFUNCTION("""COMPUTED_VALUE"""),"SELESAI")</f>
        <v>SELESAI</v>
      </c>
      <c r="G213" s="17">
        <f>IFERROR(__xludf.DUMMYFUNCTION("""COMPUTED_VALUE"""),45611.377155891205)</f>
        <v>45611.37716</v>
      </c>
      <c r="H213" s="14" t="str">
        <f>IFERROR(__xludf.DUMMYFUNCTION("""COMPUTED_VALUE"""),"Aprill (SU)")</f>
        <v>Aprill (SU)</v>
      </c>
      <c r="I213" s="13" t="str">
        <f>IFERROR(__xludf.DUMMYFUNCTION("""COMPUTED_VALUE"""),"SELESAI (VIA PERMOHONAN)")</f>
        <v>SELESAI (VIA PERMOHONAN)</v>
      </c>
      <c r="J213" s="17">
        <f>IFERROR(__xludf.DUMMYFUNCTION("""COMPUTED_VALUE"""),45614.610922569445)</f>
        <v>45614.61092</v>
      </c>
      <c r="K213" s="13" t="str">
        <f>IFERROR(__xludf.DUMMYFUNCTION("""COMPUTED_VALUE"""),"Selesai")</f>
        <v>Selesai</v>
      </c>
      <c r="L213" s="17">
        <f>IFERROR(__xludf.DUMMYFUNCTION("""COMPUTED_VALUE"""),45614.610922569445)</f>
        <v>45614.61092</v>
      </c>
      <c r="M213" s="17">
        <f>IFERROR(__xludf.DUMMYFUNCTION("""COMPUTED_VALUE"""),45614.6842890625)</f>
        <v>45614.68429</v>
      </c>
      <c r="N213" s="13" t="str">
        <f>IFERROR(__xludf.DUMMYFUNCTION("""COMPUTED_VALUE"""),"")</f>
        <v/>
      </c>
      <c r="O213" s="13" t="str">
        <f t="shared" si="1"/>
        <v/>
      </c>
    </row>
    <row r="214" ht="22.5" customHeight="1">
      <c r="B214" s="13">
        <f>IFERROR(__xludf.DUMMYFUNCTION("""COMPUTED_VALUE"""),209.0)</f>
        <v>209</v>
      </c>
      <c r="C214" s="13" t="str">
        <f>IFERROR(__xludf.DUMMYFUNCTION("""COMPUTED_VALUE"""),"M. 657/ Kangkung")</f>
        <v>M. 657/ Kangkung</v>
      </c>
      <c r="D214" s="13" t="str">
        <f>IFERROR(__xludf.DUMMYFUNCTION("""COMPUTED_VALUE"""),"K/17/111124/1")</f>
        <v>K/17/111124/1</v>
      </c>
      <c r="E214" s="14" t="str">
        <f>IFERROR(__xludf.DUMMYFUNCTION("""COMPUTED_VALUE"""),"Afriza (BT)")</f>
        <v>Afriza (BT)</v>
      </c>
      <c r="F214" s="14" t="str">
        <f>IFERROR(__xludf.DUMMYFUNCTION("""COMPUTED_VALUE"""),"SELESAI")</f>
        <v>SELESAI</v>
      </c>
      <c r="G214" s="17">
        <f>IFERROR(__xludf.DUMMYFUNCTION("""COMPUTED_VALUE"""),45614.47889459491)</f>
        <v>45614.47889</v>
      </c>
      <c r="H214" s="14" t="str">
        <f>IFERROR(__xludf.DUMMYFUNCTION("""COMPUTED_VALUE"""),"Aprill (SU)")</f>
        <v>Aprill (SU)</v>
      </c>
      <c r="I214" s="13" t="str">
        <f>IFERROR(__xludf.DUMMYFUNCTION("""COMPUTED_VALUE"""),"SELESAI (VIA PERMOHONAN)")</f>
        <v>SELESAI (VIA PERMOHONAN)</v>
      </c>
      <c r="J214" s="17">
        <f>IFERROR(__xludf.DUMMYFUNCTION("""COMPUTED_VALUE"""),45614.61109346065)</f>
        <v>45614.61109</v>
      </c>
      <c r="K214" s="13" t="str">
        <f>IFERROR(__xludf.DUMMYFUNCTION("""COMPUTED_VALUE"""),"Selesai")</f>
        <v>Selesai</v>
      </c>
      <c r="L214" s="17">
        <f>IFERROR(__xludf.DUMMYFUNCTION("""COMPUTED_VALUE"""),45614.61109346065)</f>
        <v>45614.61109</v>
      </c>
      <c r="M214" s="17">
        <f>IFERROR(__xludf.DUMMYFUNCTION("""COMPUTED_VALUE"""),45614.6842890625)</f>
        <v>45614.68429</v>
      </c>
      <c r="N214" s="13" t="str">
        <f>IFERROR(__xludf.DUMMYFUNCTION("""COMPUTED_VALUE"""),"")</f>
        <v/>
      </c>
      <c r="O214" s="13" t="str">
        <f t="shared" si="1"/>
        <v/>
      </c>
    </row>
    <row r="215" ht="22.5" customHeight="1">
      <c r="B215" s="13">
        <f>IFERROR(__xludf.DUMMYFUNCTION("""COMPUTED_VALUE"""),210.0)</f>
        <v>210</v>
      </c>
      <c r="C215" s="13" t="str">
        <f>IFERROR(__xludf.DUMMYFUNCTION("""COMPUTED_VALUE"""),"M. 6925/TANJUNG SENANG")</f>
        <v>M. 6925/TANJUNG SENANG</v>
      </c>
      <c r="D215" s="13" t="str">
        <f>IFERROR(__xludf.DUMMYFUNCTION("""COMPUTED_VALUE"""),"K/6/141124/1")</f>
        <v>K/6/141124/1</v>
      </c>
      <c r="E215" s="14" t="str">
        <f>IFERROR(__xludf.DUMMYFUNCTION("""COMPUTED_VALUE"""),"Afriza (BT)")</f>
        <v>Afriza (BT)</v>
      </c>
      <c r="F215" s="14" t="str">
        <f>IFERROR(__xludf.DUMMYFUNCTION("""COMPUTED_VALUE"""),"SELESAI")</f>
        <v>SELESAI</v>
      </c>
      <c r="G215" s="17">
        <f>IFERROR(__xludf.DUMMYFUNCTION("""COMPUTED_VALUE"""),45614.479735092595)</f>
        <v>45614.47974</v>
      </c>
      <c r="H215" s="14" t="str">
        <f>IFERROR(__xludf.DUMMYFUNCTION("""COMPUTED_VALUE"""),"Aprill (SU)")</f>
        <v>Aprill (SU)</v>
      </c>
      <c r="I215" s="13" t="str">
        <f>IFERROR(__xludf.DUMMYFUNCTION("""COMPUTED_VALUE"""),"SELESAI (VIA PERMOHONAN)")</f>
        <v>SELESAI (VIA PERMOHONAN)</v>
      </c>
      <c r="J215" s="17">
        <f>IFERROR(__xludf.DUMMYFUNCTION("""COMPUTED_VALUE"""),45614.61114010417)</f>
        <v>45614.61114</v>
      </c>
      <c r="K215" s="13" t="str">
        <f>IFERROR(__xludf.DUMMYFUNCTION("""COMPUTED_VALUE"""),"Selesai")</f>
        <v>Selesai</v>
      </c>
      <c r="L215" s="17">
        <f>IFERROR(__xludf.DUMMYFUNCTION("""COMPUTED_VALUE"""),45614.61114010417)</f>
        <v>45614.61114</v>
      </c>
      <c r="M215" s="17" t="str">
        <f>IFERROR(__xludf.DUMMYFUNCTION("""COMPUTED_VALUE"""),"#REF!")</f>
        <v>#REF!</v>
      </c>
      <c r="N215" s="13" t="str">
        <f>IFERROR(__xludf.DUMMYFUNCTION("""COMPUTED_VALUE"""),"")</f>
        <v/>
      </c>
      <c r="O215" s="13" t="str">
        <f t="shared" si="1"/>
        <v/>
      </c>
    </row>
    <row r="216" ht="22.5" customHeight="1">
      <c r="B216" s="13">
        <f>IFERROR(__xludf.DUMMYFUNCTION("""COMPUTED_VALUE"""),211.0)</f>
        <v>211</v>
      </c>
      <c r="C216" s="13" t="str">
        <f>IFERROR(__xludf.DUMMYFUNCTION("""COMPUTED_VALUE"""),"M. 1467; 1474/ Tanjung Karang; SHT 5221/2017 dan 2980/2017 dan 3713/2017 dan 3715/2017 dan 2985/2017")</f>
        <v>M. 1467; 1474/ Tanjung Karang; SHT 5221/2017 dan 2980/2017 dan 3713/2017 dan 3715/2017 dan 2985/2017</v>
      </c>
      <c r="D216" s="13" t="str">
        <f>IFERROR(__xludf.DUMMYFUNCTION("""COMPUTED_VALUE"""),"K/27/111124/1")</f>
        <v>K/27/111124/1</v>
      </c>
      <c r="E216" s="14" t="str">
        <f>IFERROR(__xludf.DUMMYFUNCTION("""COMPUTED_VALUE"""),"Afriza (BT)")</f>
        <v>Afriza (BT)</v>
      </c>
      <c r="F216" s="14" t="str">
        <f>IFERROR(__xludf.DUMMYFUNCTION("""COMPUTED_VALUE"""),"SELESAI")</f>
        <v>SELESAI</v>
      </c>
      <c r="G216" s="17">
        <f>IFERROR(__xludf.DUMMYFUNCTION("""COMPUTED_VALUE"""),45614.48049069445)</f>
        <v>45614.48049</v>
      </c>
      <c r="H216" s="14" t="str">
        <f>IFERROR(__xludf.DUMMYFUNCTION("""COMPUTED_VALUE"""),"Aprill (SU)")</f>
        <v>Aprill (SU)</v>
      </c>
      <c r="I216" s="13" t="str">
        <f>IFERROR(__xludf.DUMMYFUNCTION("""COMPUTED_VALUE"""),"SELESAI (VIA PERMOHONAN)")</f>
        <v>SELESAI (VIA PERMOHONAN)</v>
      </c>
      <c r="J216" s="17">
        <f>IFERROR(__xludf.DUMMYFUNCTION("""COMPUTED_VALUE"""),45614.61118310185)</f>
        <v>45614.61118</v>
      </c>
      <c r="K216" s="13" t="str">
        <f>IFERROR(__xludf.DUMMYFUNCTION("""COMPUTED_VALUE"""),"Selesai")</f>
        <v>Selesai</v>
      </c>
      <c r="L216" s="17">
        <f>IFERROR(__xludf.DUMMYFUNCTION("""COMPUTED_VALUE"""),45614.61118310185)</f>
        <v>45614.61118</v>
      </c>
      <c r="M216" s="17">
        <f>IFERROR(__xludf.DUMMYFUNCTION("""COMPUTED_VALUE"""),45614.6842890625)</f>
        <v>45614.68429</v>
      </c>
      <c r="N216" s="17">
        <f>IFERROR(__xludf.DUMMYFUNCTION("""COMPUTED_VALUE"""),45616.4326337963)</f>
        <v>45616.43263</v>
      </c>
      <c r="O216" s="13">
        <f t="shared" si="1"/>
        <v>1</v>
      </c>
    </row>
    <row r="217" ht="22.5" customHeight="1">
      <c r="B217" s="13">
        <f>IFERROR(__xludf.DUMMYFUNCTION("""COMPUTED_VALUE"""),212.0)</f>
        <v>212</v>
      </c>
      <c r="C217" s="13" t="str">
        <f>IFERROR(__xludf.DUMMYFUNCTION("""COMPUTED_VALUE"""),"M. 88/ Kampung Baru Raya")</f>
        <v>M. 88/ Kampung Baru Raya</v>
      </c>
      <c r="D217" s="13" t="str">
        <f>IFERROR(__xludf.DUMMYFUNCTION("""COMPUTED_VALUE"""),"K/45/141124/2")</f>
        <v>K/45/141124/2</v>
      </c>
      <c r="E217" s="14" t="str">
        <f>IFERROR(__xludf.DUMMYFUNCTION("""COMPUTED_VALUE"""),"Afriza (BT)")</f>
        <v>Afriza (BT)</v>
      </c>
      <c r="F217" s="14" t="str">
        <f>IFERROR(__xludf.DUMMYFUNCTION("""COMPUTED_VALUE"""),"SELESAI")</f>
        <v>SELESAI</v>
      </c>
      <c r="G217" s="17">
        <f>IFERROR(__xludf.DUMMYFUNCTION("""COMPUTED_VALUE"""),45614.67459451389)</f>
        <v>45614.67459</v>
      </c>
      <c r="H217" s="14" t="str">
        <f>IFERROR(__xludf.DUMMYFUNCTION("""COMPUTED_VALUE"""),"Bu Eva (SU)")</f>
        <v>Bu Eva (SU)</v>
      </c>
      <c r="I217" s="13" t="str">
        <f>IFERROR(__xludf.DUMMYFUNCTION("""COMPUTED_VALUE"""),"SELESAI")</f>
        <v>SELESAI</v>
      </c>
      <c r="J217" s="17">
        <f>IFERROR(__xludf.DUMMYFUNCTION("""COMPUTED_VALUE"""),45615.677030590276)</f>
        <v>45615.67703</v>
      </c>
      <c r="K217" s="13" t="str">
        <f>IFERROR(__xludf.DUMMYFUNCTION("""COMPUTED_VALUE"""),"SELESAI")</f>
        <v>SELESAI</v>
      </c>
      <c r="L217" s="17">
        <f>IFERROR(__xludf.DUMMYFUNCTION("""COMPUTED_VALUE"""),45615.677030590276)</f>
        <v>45615.67703</v>
      </c>
      <c r="M217" s="17" t="str">
        <f>IFERROR(__xludf.DUMMYFUNCTION("""COMPUTED_VALUE"""),"")</f>
        <v/>
      </c>
      <c r="N217" s="17">
        <f>IFERROR(__xludf.DUMMYFUNCTION("""COMPUTED_VALUE"""),45616.37848324074)</f>
        <v>45616.37848</v>
      </c>
      <c r="O217" s="13">
        <f t="shared" si="1"/>
        <v>2</v>
      </c>
    </row>
    <row r="218" ht="22.5" customHeight="1">
      <c r="B218" s="13">
        <f>IFERROR(__xludf.DUMMYFUNCTION("""COMPUTED_VALUE"""),213.0)</f>
        <v>213</v>
      </c>
      <c r="C218" s="13" t="str">
        <f>IFERROR(__xludf.DUMMYFUNCTION("""COMPUTED_VALUE"""),"B.535/BAKUNG")</f>
        <v>B.535/BAKUNG</v>
      </c>
      <c r="D218" s="13" t="str">
        <f>IFERROR(__xludf.DUMMYFUNCTION("""COMPUTED_VALUE"""),"K/21/151124/2")</f>
        <v>K/21/151124/2</v>
      </c>
      <c r="E218" s="14" t="str">
        <f>IFERROR(__xludf.DUMMYFUNCTION("""COMPUTED_VALUE"""),"Afriza (BT)")</f>
        <v>Afriza (BT)</v>
      </c>
      <c r="F218" s="14" t="str">
        <f>IFERROR(__xludf.DUMMYFUNCTION("""COMPUTED_VALUE"""),"SELESAI")</f>
        <v>SELESAI</v>
      </c>
      <c r="G218" s="17">
        <f>IFERROR(__xludf.DUMMYFUNCTION("""COMPUTED_VALUE"""),45614.67555078704)</f>
        <v>45614.67555</v>
      </c>
      <c r="H218" s="14" t="str">
        <f>IFERROR(__xludf.DUMMYFUNCTION("""COMPUTED_VALUE"""),"Bu Eva (SU)")</f>
        <v>Bu Eva (SU)</v>
      </c>
      <c r="I218" s="13" t="str">
        <f>IFERROR(__xludf.DUMMYFUNCTION("""COMPUTED_VALUE"""),"SELESAI")</f>
        <v>SELESAI</v>
      </c>
      <c r="J218" s="17">
        <f>IFERROR(__xludf.DUMMYFUNCTION("""COMPUTED_VALUE"""),45615.67714648148)</f>
        <v>45615.67715</v>
      </c>
      <c r="K218" s="13" t="str">
        <f>IFERROR(__xludf.DUMMYFUNCTION("""COMPUTED_VALUE"""),"SELESAI")</f>
        <v>SELESAI</v>
      </c>
      <c r="L218" s="17">
        <f>IFERROR(__xludf.DUMMYFUNCTION("""COMPUTED_VALUE"""),45615.67714648148)</f>
        <v>45615.67715</v>
      </c>
      <c r="M218" s="17">
        <f>IFERROR(__xludf.DUMMYFUNCTION("""COMPUTED_VALUE"""),45616.43215953704)</f>
        <v>45616.43216</v>
      </c>
      <c r="N218" s="17">
        <f>IFERROR(__xludf.DUMMYFUNCTION("""COMPUTED_VALUE"""),45616.378500266204)</f>
        <v>45616.3785</v>
      </c>
      <c r="O218" s="13">
        <f t="shared" si="1"/>
        <v>3</v>
      </c>
    </row>
    <row r="219" ht="22.5" customHeight="1">
      <c r="B219" s="13">
        <f>IFERROR(__xludf.DUMMYFUNCTION("""COMPUTED_VALUE"""),214.0)</f>
        <v>214</v>
      </c>
      <c r="C219" s="13" t="str">
        <f>IFERROR(__xludf.DUMMYFUNCTION("""COMPUTED_VALUE"""),"M.4148/LANGKAPURA")</f>
        <v>M.4148/LANGKAPURA</v>
      </c>
      <c r="D219" s="13" t="str">
        <f>IFERROR(__xludf.DUMMYFUNCTION("""COMPUTED_VALUE"""),"K/4/151124/1")</f>
        <v>K/4/151124/1</v>
      </c>
      <c r="E219" s="14" t="str">
        <f>IFERROR(__xludf.DUMMYFUNCTION("""COMPUTED_VALUE"""),"Afriza (BT)")</f>
        <v>Afriza (BT)</v>
      </c>
      <c r="F219" s="14" t="str">
        <f>IFERROR(__xludf.DUMMYFUNCTION("""COMPUTED_VALUE"""),"SELESAI")</f>
        <v>SELESAI</v>
      </c>
      <c r="G219" s="17">
        <f>IFERROR(__xludf.DUMMYFUNCTION("""COMPUTED_VALUE"""),45614.67580253472)</f>
        <v>45614.6758</v>
      </c>
      <c r="H219" s="14" t="str">
        <f>IFERROR(__xludf.DUMMYFUNCTION("""COMPUTED_VALUE"""),"Bu Eva (SU)")</f>
        <v>Bu Eva (SU)</v>
      </c>
      <c r="I219" s="13" t="str">
        <f>IFERROR(__xludf.DUMMYFUNCTION("""COMPUTED_VALUE"""),"SELESAI")</f>
        <v>SELESAI</v>
      </c>
      <c r="J219" s="17">
        <f>IFERROR(__xludf.DUMMYFUNCTION("""COMPUTED_VALUE"""),45615.67714648148)</f>
        <v>45615.67715</v>
      </c>
      <c r="K219" s="13" t="str">
        <f>IFERROR(__xludf.DUMMYFUNCTION("""COMPUTED_VALUE"""),"SELESAI")</f>
        <v>SELESAI</v>
      </c>
      <c r="L219" s="17">
        <f>IFERROR(__xludf.DUMMYFUNCTION("""COMPUTED_VALUE"""),45615.67714648148)</f>
        <v>45615.67715</v>
      </c>
      <c r="M219" s="17" t="str">
        <f>IFERROR(__xludf.DUMMYFUNCTION("""COMPUTED_VALUE"""),"")</f>
        <v/>
      </c>
      <c r="N219" s="17">
        <f>IFERROR(__xludf.DUMMYFUNCTION("""COMPUTED_VALUE"""),45616.376292546294)</f>
        <v>45616.37629</v>
      </c>
      <c r="O219" s="13">
        <f t="shared" si="1"/>
        <v>4</v>
      </c>
    </row>
    <row r="220" ht="22.5" customHeight="1">
      <c r="B220" s="13">
        <f>IFERROR(__xludf.DUMMYFUNCTION("""COMPUTED_VALUE"""),215.0)</f>
        <v>215</v>
      </c>
      <c r="C220" s="13" t="str">
        <f>IFERROR(__xludf.DUMMYFUNCTION("""COMPUTED_VALUE"""),"HGB 4020/SUKABUMI")</f>
        <v>HGB 4020/SUKABUMI</v>
      </c>
      <c r="D220" s="13" t="str">
        <f>IFERROR(__xludf.DUMMYFUNCTION("""COMPUTED_VALUE"""),"L/3/151124/1")</f>
        <v>L/3/151124/1</v>
      </c>
      <c r="E220" s="14" t="str">
        <f>IFERROR(__xludf.DUMMYFUNCTION("""COMPUTED_VALUE"""),"Afriza (BT)")</f>
        <v>Afriza (BT)</v>
      </c>
      <c r="F220" s="14" t="str">
        <f>IFERROR(__xludf.DUMMYFUNCTION("""COMPUTED_VALUE"""),"SELESAI")</f>
        <v>SELESAI</v>
      </c>
      <c r="G220" s="17">
        <f>IFERROR(__xludf.DUMMYFUNCTION("""COMPUTED_VALUE"""),45614.67590466436)</f>
        <v>45614.6759</v>
      </c>
      <c r="H220" s="14" t="str">
        <f>IFERROR(__xludf.DUMMYFUNCTION("""COMPUTED_VALUE"""),"Bu Eva (SU)")</f>
        <v>Bu Eva (SU)</v>
      </c>
      <c r="I220" s="13" t="str">
        <f>IFERROR(__xludf.DUMMYFUNCTION("""COMPUTED_VALUE"""),"SELESAI")</f>
        <v>SELESAI</v>
      </c>
      <c r="J220" s="17">
        <f>IFERROR(__xludf.DUMMYFUNCTION("""COMPUTED_VALUE"""),45615.67720266204)</f>
        <v>45615.6772</v>
      </c>
      <c r="K220" s="13" t="str">
        <f>IFERROR(__xludf.DUMMYFUNCTION("""COMPUTED_VALUE"""),"SELESAI")</f>
        <v>SELESAI</v>
      </c>
      <c r="L220" s="17">
        <f>IFERROR(__xludf.DUMMYFUNCTION("""COMPUTED_VALUE"""),45615.67720266204)</f>
        <v>45615.6772</v>
      </c>
      <c r="M220" s="17">
        <f>IFERROR(__xludf.DUMMYFUNCTION("""COMPUTED_VALUE"""),45616.43092969907)</f>
        <v>45616.43093</v>
      </c>
      <c r="N220" s="17">
        <f>IFERROR(__xludf.DUMMYFUNCTION("""COMPUTED_VALUE"""),45616.376264583334)</f>
        <v>45616.37626</v>
      </c>
      <c r="O220" s="13">
        <f t="shared" si="1"/>
        <v>5</v>
      </c>
    </row>
    <row r="221" ht="22.5" customHeight="1">
      <c r="B221" s="13">
        <f>IFERROR(__xludf.DUMMYFUNCTION("""COMPUTED_VALUE"""),216.0)</f>
        <v>216</v>
      </c>
      <c r="C221" s="13" t="str">
        <f>IFERROR(__xludf.DUMMYFUNCTION("""COMPUTED_VALUE"""),"M. 6036/WAY KANDIS")</f>
        <v>M. 6036/WAY KANDIS</v>
      </c>
      <c r="D221" s="13" t="str">
        <f>IFERROR(__xludf.DUMMYFUNCTION("""COMPUTED_VALUE"""),"K/25/141124/1")</f>
        <v>K/25/141124/1</v>
      </c>
      <c r="E221" s="14" t="str">
        <f>IFERROR(__xludf.DUMMYFUNCTION("""COMPUTED_VALUE"""),"Afriza (BT)")</f>
        <v>Afriza (BT)</v>
      </c>
      <c r="F221" s="14" t="str">
        <f>IFERROR(__xludf.DUMMYFUNCTION("""COMPUTED_VALUE"""),"SELESAI")</f>
        <v>SELESAI</v>
      </c>
      <c r="G221" s="17">
        <f>IFERROR(__xludf.DUMMYFUNCTION("""COMPUTED_VALUE"""),45614.68428907407)</f>
        <v>45614.68429</v>
      </c>
      <c r="H221" s="14" t="str">
        <f>IFERROR(__xludf.DUMMYFUNCTION("""COMPUTED_VALUE"""),"Bu Eva (SU)")</f>
        <v>Bu Eva (SU)</v>
      </c>
      <c r="I221" s="13" t="str">
        <f>IFERROR(__xludf.DUMMYFUNCTION("""COMPUTED_VALUE"""),"SELESAI")</f>
        <v>SELESAI</v>
      </c>
      <c r="J221" s="17">
        <f>IFERROR(__xludf.DUMMYFUNCTION("""COMPUTED_VALUE"""),45615.67720266204)</f>
        <v>45615.6772</v>
      </c>
      <c r="K221" s="13" t="str">
        <f>IFERROR(__xludf.DUMMYFUNCTION("""COMPUTED_VALUE"""),"SELESAI")</f>
        <v>SELESAI</v>
      </c>
      <c r="L221" s="17">
        <f>IFERROR(__xludf.DUMMYFUNCTION("""COMPUTED_VALUE"""),45615.67720266204)</f>
        <v>45615.6772</v>
      </c>
      <c r="M221" s="17" t="str">
        <f>IFERROR(__xludf.DUMMYFUNCTION("""COMPUTED_VALUE"""),"")</f>
        <v/>
      </c>
      <c r="N221" s="17">
        <f>IFERROR(__xludf.DUMMYFUNCTION("""COMPUTED_VALUE"""),45616.376220254635)</f>
        <v>45616.37622</v>
      </c>
      <c r="O221" s="13">
        <f t="shared" si="1"/>
        <v>6</v>
      </c>
    </row>
    <row r="222" ht="22.5" customHeight="1">
      <c r="B222" s="13">
        <f>IFERROR(__xludf.DUMMYFUNCTION("""COMPUTED_VALUE"""),217.0)</f>
        <v>217</v>
      </c>
      <c r="C222" s="13" t="str">
        <f>IFERROR(__xludf.DUMMYFUNCTION("""COMPUTED_VALUE"""),"HM 2548/WAY KANDIS")</f>
        <v>HM 2548/WAY KANDIS</v>
      </c>
      <c r="D222" s="13" t="str">
        <f>IFERROR(__xludf.DUMMYFUNCTION("""COMPUTED_VALUE"""),"L/26/141124/1")</f>
        <v>L/26/141124/1</v>
      </c>
      <c r="E222" s="14" t="str">
        <f>IFERROR(__xludf.DUMMYFUNCTION("""COMPUTED_VALUE"""),"Afriza (BT)")</f>
        <v>Afriza (BT)</v>
      </c>
      <c r="F222" s="14" t="str">
        <f>IFERROR(__xludf.DUMMYFUNCTION("""COMPUTED_VALUE"""),"SELESAI")</f>
        <v>SELESAI</v>
      </c>
      <c r="G222" s="17">
        <f>IFERROR(__xludf.DUMMYFUNCTION("""COMPUTED_VALUE"""),45614.68428907407)</f>
        <v>45614.68429</v>
      </c>
      <c r="H222" s="14" t="str">
        <f>IFERROR(__xludf.DUMMYFUNCTION("""COMPUTED_VALUE"""),"Bu Eva (SU)")</f>
        <v>Bu Eva (SU)</v>
      </c>
      <c r="I222" s="13" t="str">
        <f>IFERROR(__xludf.DUMMYFUNCTION("""COMPUTED_VALUE"""),"SELESAI")</f>
        <v>SELESAI</v>
      </c>
      <c r="J222" s="17">
        <f>IFERROR(__xludf.DUMMYFUNCTION("""COMPUTED_VALUE"""),45615.67726302083)</f>
        <v>45615.67726</v>
      </c>
      <c r="K222" s="13" t="str">
        <f>IFERROR(__xludf.DUMMYFUNCTION("""COMPUTED_VALUE"""),"SELESAI")</f>
        <v>SELESAI</v>
      </c>
      <c r="L222" s="17">
        <f>IFERROR(__xludf.DUMMYFUNCTION("""COMPUTED_VALUE"""),45615.67726302083)</f>
        <v>45615.67726</v>
      </c>
      <c r="M222" s="17" t="str">
        <f>IFERROR(__xludf.DUMMYFUNCTION("""COMPUTED_VALUE"""),"")</f>
        <v/>
      </c>
      <c r="N222" s="17">
        <f>IFERROR(__xludf.DUMMYFUNCTION("""COMPUTED_VALUE"""),45616.376207187495)</f>
        <v>45616.37621</v>
      </c>
      <c r="O222" s="13">
        <f t="shared" si="1"/>
        <v>7</v>
      </c>
    </row>
    <row r="223" ht="22.5" customHeight="1">
      <c r="B223" s="13">
        <f>IFERROR(__xludf.DUMMYFUNCTION("""COMPUTED_VALUE"""),218.0)</f>
        <v>218</v>
      </c>
      <c r="C223" s="13" t="str">
        <f>IFERROR(__xludf.DUMMYFUNCTION("""COMPUTED_VALUE"""),"M. 26/ Kampung Baru Raya")</f>
        <v>M. 26/ Kampung Baru Raya</v>
      </c>
      <c r="D223" s="13" t="str">
        <f>IFERROR(__xludf.DUMMYFUNCTION("""COMPUTED_VALUE"""),"K/44/141124/1")</f>
        <v>K/44/141124/1</v>
      </c>
      <c r="E223" s="14" t="str">
        <f>IFERROR(__xludf.DUMMYFUNCTION("""COMPUTED_VALUE"""),"Afriza (BT)")</f>
        <v>Afriza (BT)</v>
      </c>
      <c r="F223" s="14" t="str">
        <f>IFERROR(__xludf.DUMMYFUNCTION("""COMPUTED_VALUE"""),"SELESAI")</f>
        <v>SELESAI</v>
      </c>
      <c r="G223" s="17">
        <f>IFERROR(__xludf.DUMMYFUNCTION("""COMPUTED_VALUE"""),45614.68428907407)</f>
        <v>45614.68429</v>
      </c>
      <c r="H223" s="14" t="str">
        <f>IFERROR(__xludf.DUMMYFUNCTION("""COMPUTED_VALUE"""),"Bu Eva (SU)")</f>
        <v>Bu Eva (SU)</v>
      </c>
      <c r="I223" s="13" t="str">
        <f>IFERROR(__xludf.DUMMYFUNCTION("""COMPUTED_VALUE"""),"SELESAI")</f>
        <v>SELESAI</v>
      </c>
      <c r="J223" s="17">
        <f>IFERROR(__xludf.DUMMYFUNCTION("""COMPUTED_VALUE"""),45615.67726302083)</f>
        <v>45615.67726</v>
      </c>
      <c r="K223" s="13" t="str">
        <f>IFERROR(__xludf.DUMMYFUNCTION("""COMPUTED_VALUE"""),"SELESAI")</f>
        <v>SELESAI</v>
      </c>
      <c r="L223" s="17">
        <f>IFERROR(__xludf.DUMMYFUNCTION("""COMPUTED_VALUE"""),45615.67726302083)</f>
        <v>45615.67726</v>
      </c>
      <c r="M223" s="17" t="str">
        <f>IFERROR(__xludf.DUMMYFUNCTION("""COMPUTED_VALUE"""),"")</f>
        <v/>
      </c>
      <c r="N223" s="17">
        <f>IFERROR(__xludf.DUMMYFUNCTION("""COMPUTED_VALUE"""),45616.3760884838)</f>
        <v>45616.37609</v>
      </c>
      <c r="O223" s="13">
        <f t="shared" si="1"/>
        <v>8</v>
      </c>
    </row>
    <row r="224" ht="22.5" customHeight="1">
      <c r="B224" s="13">
        <f>IFERROR(__xludf.DUMMYFUNCTION("""COMPUTED_VALUE"""),219.0)</f>
        <v>219</v>
      </c>
      <c r="C224" s="13" t="str">
        <f>IFERROR(__xludf.DUMMYFUNCTION("""COMPUTED_VALUE"""),"HM 605/SUMBER REJO")</f>
        <v>HM 605/SUMBER REJO</v>
      </c>
      <c r="D224" s="13" t="str">
        <f>IFERROR(__xludf.DUMMYFUNCTION("""COMPUTED_VALUE"""),"L/6/151124/1")</f>
        <v>L/6/151124/1</v>
      </c>
      <c r="E224" s="14" t="str">
        <f>IFERROR(__xludf.DUMMYFUNCTION("""COMPUTED_VALUE"""),"Afriza (BT)")</f>
        <v>Afriza (BT)</v>
      </c>
      <c r="F224" s="14" t="str">
        <f>IFERROR(__xludf.DUMMYFUNCTION("""COMPUTED_VALUE"""),"SELESAI")</f>
        <v>SELESAI</v>
      </c>
      <c r="G224" s="17">
        <f>IFERROR(__xludf.DUMMYFUNCTION("""COMPUTED_VALUE"""),45614.68428907407)</f>
        <v>45614.68429</v>
      </c>
      <c r="H224" s="14" t="str">
        <f>IFERROR(__xludf.DUMMYFUNCTION("""COMPUTED_VALUE"""),"Bu Eva (SU)")</f>
        <v>Bu Eva (SU)</v>
      </c>
      <c r="I224" s="13" t="str">
        <f>IFERROR(__xludf.DUMMYFUNCTION("""COMPUTED_VALUE"""),"SELESAI")</f>
        <v>SELESAI</v>
      </c>
      <c r="J224" s="17">
        <f>IFERROR(__xludf.DUMMYFUNCTION("""COMPUTED_VALUE"""),45615.67726302083)</f>
        <v>45615.67726</v>
      </c>
      <c r="K224" s="13" t="str">
        <f>IFERROR(__xludf.DUMMYFUNCTION("""COMPUTED_VALUE"""),"SELESAI")</f>
        <v>SELESAI</v>
      </c>
      <c r="L224" s="17">
        <f>IFERROR(__xludf.DUMMYFUNCTION("""COMPUTED_VALUE"""),45615.67726302083)</f>
        <v>45615.67726</v>
      </c>
      <c r="M224" s="17" t="str">
        <f>IFERROR(__xludf.DUMMYFUNCTION("""COMPUTED_VALUE"""),"")</f>
        <v/>
      </c>
      <c r="N224" s="17">
        <f>IFERROR(__xludf.DUMMYFUNCTION("""COMPUTED_VALUE"""),45616.37606634259)</f>
        <v>45616.37607</v>
      </c>
      <c r="O224" s="13">
        <f t="shared" si="1"/>
        <v>9</v>
      </c>
    </row>
    <row r="225" ht="22.5" customHeight="1">
      <c r="B225" s="13">
        <f>IFERROR(__xludf.DUMMYFUNCTION("""COMPUTED_VALUE"""),220.0)</f>
        <v>220</v>
      </c>
      <c r="C225" s="13" t="str">
        <f>IFERROR(__xludf.DUMMYFUNCTION("""COMPUTED_VALUE"""),"HM 8198/SUKABUMI")</f>
        <v>HM 8198/SUKABUMI</v>
      </c>
      <c r="D225" s="13" t="str">
        <f>IFERROR(__xludf.DUMMYFUNCTION("""COMPUTED_VALUE"""),"L/6/281024/1")</f>
        <v>L/6/281024/1</v>
      </c>
      <c r="E225" s="14" t="str">
        <f>IFERROR(__xludf.DUMMYFUNCTION("""COMPUTED_VALUE"""),"Afriza (BT)")</f>
        <v>Afriza (BT)</v>
      </c>
      <c r="F225" s="14" t="str">
        <f>IFERROR(__xludf.DUMMYFUNCTION("""COMPUTED_VALUE"""),"SELESAI")</f>
        <v>SELESAI</v>
      </c>
      <c r="G225" s="17">
        <f>IFERROR(__xludf.DUMMYFUNCTION("""COMPUTED_VALUE"""),45614.68428907407)</f>
        <v>45614.68429</v>
      </c>
      <c r="H225" s="14" t="str">
        <f>IFERROR(__xludf.DUMMYFUNCTION("""COMPUTED_VALUE"""),"Bu Eva (SU)")</f>
        <v>Bu Eva (SU)</v>
      </c>
      <c r="I225" s="13" t="str">
        <f>IFERROR(__xludf.DUMMYFUNCTION("""COMPUTED_VALUE"""),"SELESAI")</f>
        <v>SELESAI</v>
      </c>
      <c r="J225" s="17">
        <f>IFERROR(__xludf.DUMMYFUNCTION("""COMPUTED_VALUE"""),45615.677291099535)</f>
        <v>45615.67729</v>
      </c>
      <c r="K225" s="13" t="str">
        <f>IFERROR(__xludf.DUMMYFUNCTION("""COMPUTED_VALUE"""),"SELESAI")</f>
        <v>SELESAI</v>
      </c>
      <c r="L225" s="17">
        <f>IFERROR(__xludf.DUMMYFUNCTION("""COMPUTED_VALUE"""),45615.677291099535)</f>
        <v>45615.67729</v>
      </c>
      <c r="M225" s="17" t="str">
        <f>IFERROR(__xludf.DUMMYFUNCTION("""COMPUTED_VALUE"""),"")</f>
        <v/>
      </c>
      <c r="N225" s="17">
        <f>IFERROR(__xludf.DUMMYFUNCTION("""COMPUTED_VALUE"""),45616.375983136575)</f>
        <v>45616.37598</v>
      </c>
      <c r="O225" s="13">
        <f t="shared" si="1"/>
        <v>10</v>
      </c>
    </row>
    <row r="226" ht="22.5" customHeight="1">
      <c r="B226" s="13">
        <f>IFERROR(__xludf.DUMMYFUNCTION("""COMPUTED_VALUE"""),221.0)</f>
        <v>221</v>
      </c>
      <c r="C226" s="13" t="str">
        <f>IFERROR(__xludf.DUMMYFUNCTION("""COMPUTED_VALUE"""),"HM 1424/BAKUNG &amp; HM 1423/BAKUNG")</f>
        <v>HM 1424/BAKUNG &amp; HM 1423/BAKUNG</v>
      </c>
      <c r="D226" s="13" t="str">
        <f>IFERROR(__xludf.DUMMYFUNCTION("""COMPUTED_VALUE"""),"L/12/131124/1")</f>
        <v>L/12/131124/1</v>
      </c>
      <c r="E226" s="14" t="str">
        <f>IFERROR(__xludf.DUMMYFUNCTION("""COMPUTED_VALUE"""),"Nadian (BT)")</f>
        <v>Nadian (BT)</v>
      </c>
      <c r="F226" s="14" t="str">
        <f>IFERROR(__xludf.DUMMYFUNCTION("""COMPUTED_VALUE"""),"SELESAI")</f>
        <v>SELESAI</v>
      </c>
      <c r="G226" s="17">
        <f>IFERROR(__xludf.DUMMYFUNCTION("""COMPUTED_VALUE"""),45614.68550532407)</f>
        <v>45614.68551</v>
      </c>
      <c r="H226" s="14" t="str">
        <f>IFERROR(__xludf.DUMMYFUNCTION("""COMPUTED_VALUE"""),"Bu Eva (SU)")</f>
        <v>Bu Eva (SU)</v>
      </c>
      <c r="I226" s="13" t="str">
        <f>IFERROR(__xludf.DUMMYFUNCTION("""COMPUTED_VALUE"""),"SELESAI")</f>
        <v>SELESAI</v>
      </c>
      <c r="J226" s="17">
        <f>IFERROR(__xludf.DUMMYFUNCTION("""COMPUTED_VALUE"""),45615.677291099535)</f>
        <v>45615.67729</v>
      </c>
      <c r="K226" s="13" t="str">
        <f>IFERROR(__xludf.DUMMYFUNCTION("""COMPUTED_VALUE"""),"SELESAI")</f>
        <v>SELESAI</v>
      </c>
      <c r="L226" s="17">
        <f>IFERROR(__xludf.DUMMYFUNCTION("""COMPUTED_VALUE"""),45615.677291099535)</f>
        <v>45615.67729</v>
      </c>
      <c r="M226" s="17" t="str">
        <f>IFERROR(__xludf.DUMMYFUNCTION("""COMPUTED_VALUE"""),"")</f>
        <v/>
      </c>
      <c r="N226" s="17">
        <f>IFERROR(__xludf.DUMMYFUNCTION("""COMPUTED_VALUE"""),45616.37595494213)</f>
        <v>45616.37595</v>
      </c>
      <c r="O226" s="13">
        <f t="shared" si="1"/>
        <v>11</v>
      </c>
    </row>
    <row r="227" ht="22.5" customHeight="1">
      <c r="B227" s="13">
        <f>IFERROR(__xludf.DUMMYFUNCTION("""COMPUTED_VALUE"""),222.0)</f>
        <v>222</v>
      </c>
      <c r="C227" s="13" t="str">
        <f>IFERROR(__xludf.DUMMYFUNCTION("""COMPUTED_VALUE"""),"M. 86/ Sawah Brebes")</f>
        <v>M. 86/ Sawah Brebes</v>
      </c>
      <c r="D227" s="13" t="str">
        <f>IFERROR(__xludf.DUMMYFUNCTION("""COMPUTED_VALUE"""),"K/17/030125/1")</f>
        <v>K/17/030125/1</v>
      </c>
      <c r="E227" s="14" t="str">
        <f>IFERROR(__xludf.DUMMYFUNCTION("""COMPUTED_VALUE"""),"Nadian (BT)")</f>
        <v>Nadian (BT)</v>
      </c>
      <c r="F227" s="14" t="str">
        <f>IFERROR(__xludf.DUMMYFUNCTION("""COMPUTED_VALUE"""),"SELESAI")</f>
        <v>SELESAI</v>
      </c>
      <c r="G227" s="17">
        <f>IFERROR(__xludf.DUMMYFUNCTION("""COMPUTED_VALUE"""),45614.68587538194)</f>
        <v>45614.68588</v>
      </c>
      <c r="H227" s="14" t="str">
        <f>IFERROR(__xludf.DUMMYFUNCTION("""COMPUTED_VALUE"""),"Bu Eva (SU)")</f>
        <v>Bu Eva (SU)</v>
      </c>
      <c r="I227" s="13" t="str">
        <f>IFERROR(__xludf.DUMMYFUNCTION("""COMPUTED_VALUE"""),"SELESAI")</f>
        <v>SELESAI</v>
      </c>
      <c r="J227" s="17">
        <f>IFERROR(__xludf.DUMMYFUNCTION("""COMPUTED_VALUE"""),45615.67740936343)</f>
        <v>45615.67741</v>
      </c>
      <c r="K227" s="13" t="str">
        <f>IFERROR(__xludf.DUMMYFUNCTION("""COMPUTED_VALUE"""),"SELESAI")</f>
        <v>SELESAI</v>
      </c>
      <c r="L227" s="17">
        <f>IFERROR(__xludf.DUMMYFUNCTION("""COMPUTED_VALUE"""),45615.67740936343)</f>
        <v>45615.67741</v>
      </c>
      <c r="M227" s="17" t="str">
        <f>IFERROR(__xludf.DUMMYFUNCTION("""COMPUTED_VALUE"""),"")</f>
        <v/>
      </c>
      <c r="N227" s="17">
        <f>IFERROR(__xludf.DUMMYFUNCTION("""COMPUTED_VALUE"""),45616.37594211806)</f>
        <v>45616.37594</v>
      </c>
      <c r="O227" s="13">
        <f t="shared" si="1"/>
        <v>12</v>
      </c>
    </row>
    <row r="228" ht="22.5" customHeight="1">
      <c r="B228" s="13">
        <f>IFERROR(__xludf.DUMMYFUNCTION("""COMPUTED_VALUE"""),223.0)</f>
        <v>223</v>
      </c>
      <c r="C228" s="13" t="str">
        <f>IFERROR(__xludf.DUMMYFUNCTION("""COMPUTED_VALUE"""),"M. 346/ Sawah Lama")</f>
        <v>M. 346/ Sawah Lama</v>
      </c>
      <c r="D228" s="13" t="str">
        <f>IFERROR(__xludf.DUMMYFUNCTION("""COMPUTED_VALUE"""),"K/14/131124/2")</f>
        <v>K/14/131124/2</v>
      </c>
      <c r="E228" s="14" t="str">
        <f>IFERROR(__xludf.DUMMYFUNCTION("""COMPUTED_VALUE"""),"Nadian (BT)")</f>
        <v>Nadian (BT)</v>
      </c>
      <c r="F228" s="14" t="str">
        <f>IFERROR(__xludf.DUMMYFUNCTION("""COMPUTED_VALUE"""),"SELESAI")</f>
        <v>SELESAI</v>
      </c>
      <c r="G228" s="17">
        <f>IFERROR(__xludf.DUMMYFUNCTION("""COMPUTED_VALUE"""),45614.68587538194)</f>
        <v>45614.68588</v>
      </c>
      <c r="H228" s="14" t="str">
        <f>IFERROR(__xludf.DUMMYFUNCTION("""COMPUTED_VALUE"""),"Bu Eva (SU)")</f>
        <v>Bu Eva (SU)</v>
      </c>
      <c r="I228" s="13" t="str">
        <f>IFERROR(__xludf.DUMMYFUNCTION("""COMPUTED_VALUE"""),"SELESAI")</f>
        <v>SELESAI</v>
      </c>
      <c r="J228" s="17">
        <f>IFERROR(__xludf.DUMMYFUNCTION("""COMPUTED_VALUE"""),45615.67740936343)</f>
        <v>45615.67741</v>
      </c>
      <c r="K228" s="13" t="str">
        <f>IFERROR(__xludf.DUMMYFUNCTION("""COMPUTED_VALUE"""),"SELESAI")</f>
        <v>SELESAI</v>
      </c>
      <c r="L228" s="17">
        <f>IFERROR(__xludf.DUMMYFUNCTION("""COMPUTED_VALUE"""),45615.67740936343)</f>
        <v>45615.67741</v>
      </c>
      <c r="M228" s="17" t="str">
        <f>IFERROR(__xludf.DUMMYFUNCTION("""COMPUTED_VALUE"""),"")</f>
        <v/>
      </c>
      <c r="N228" s="17">
        <f>IFERROR(__xludf.DUMMYFUNCTION("""COMPUTED_VALUE"""),45616.375933981486)</f>
        <v>45616.37593</v>
      </c>
      <c r="O228" s="13">
        <f t="shared" si="1"/>
        <v>13</v>
      </c>
    </row>
    <row r="229" ht="22.5" customHeight="1">
      <c r="B229" s="13">
        <f>IFERROR(__xludf.DUMMYFUNCTION("""COMPUTED_VALUE"""),224.0)</f>
        <v>224</v>
      </c>
      <c r="C229" s="13" t="str">
        <f>IFERROR(__xludf.DUMMYFUNCTION("""COMPUTED_VALUE"""),"M. 1193/ Sukadana Ham")</f>
        <v>M. 1193/ Sukadana Ham</v>
      </c>
      <c r="D229" s="13" t="str">
        <f>IFERROR(__xludf.DUMMYFUNCTION("""COMPUTED_VALUE"""),"K/10/131124/1")</f>
        <v>K/10/131124/1</v>
      </c>
      <c r="E229" s="14" t="str">
        <f>IFERROR(__xludf.DUMMYFUNCTION("""COMPUTED_VALUE"""),"Nadian (BT)")</f>
        <v>Nadian (BT)</v>
      </c>
      <c r="F229" s="14" t="str">
        <f>IFERROR(__xludf.DUMMYFUNCTION("""COMPUTED_VALUE"""),"SELESAI")</f>
        <v>SELESAI</v>
      </c>
      <c r="G229" s="17">
        <f>IFERROR(__xludf.DUMMYFUNCTION("""COMPUTED_VALUE"""),45614.68587538194)</f>
        <v>45614.68588</v>
      </c>
      <c r="H229" s="14" t="str">
        <f>IFERROR(__xludf.DUMMYFUNCTION("""COMPUTED_VALUE"""),"Bu Eva (SU)")</f>
        <v>Bu Eva (SU)</v>
      </c>
      <c r="I229" s="13" t="str">
        <f>IFERROR(__xludf.DUMMYFUNCTION("""COMPUTED_VALUE"""),"SELESAI")</f>
        <v>SELESAI</v>
      </c>
      <c r="J229" s="17">
        <f>IFERROR(__xludf.DUMMYFUNCTION("""COMPUTED_VALUE"""),45615.67740936343)</f>
        <v>45615.67741</v>
      </c>
      <c r="K229" s="13" t="str">
        <f>IFERROR(__xludf.DUMMYFUNCTION("""COMPUTED_VALUE"""),"SELESAI")</f>
        <v>SELESAI</v>
      </c>
      <c r="L229" s="17">
        <f>IFERROR(__xludf.DUMMYFUNCTION("""COMPUTED_VALUE"""),45615.67740936343)</f>
        <v>45615.67741</v>
      </c>
      <c r="M229" s="17" t="str">
        <f>IFERROR(__xludf.DUMMYFUNCTION("""COMPUTED_VALUE"""),"")</f>
        <v/>
      </c>
      <c r="N229" s="17">
        <f>IFERROR(__xludf.DUMMYFUNCTION("""COMPUTED_VALUE"""),45616.37592564815)</f>
        <v>45616.37593</v>
      </c>
      <c r="O229" s="13">
        <f t="shared" si="1"/>
        <v>14</v>
      </c>
    </row>
    <row r="230" ht="22.5" customHeight="1">
      <c r="B230" s="13">
        <f>IFERROR(__xludf.DUMMYFUNCTION("""COMPUTED_VALUE"""),225.0)</f>
        <v>225</v>
      </c>
      <c r="C230" s="13" t="str">
        <f>IFERROR(__xludf.DUMMYFUNCTION("""COMPUTED_VALUE"""),"M. 1845/ Kaliawi")</f>
        <v>M. 1845/ Kaliawi</v>
      </c>
      <c r="D230" s="13" t="str">
        <f>IFERROR(__xludf.DUMMYFUNCTION("""COMPUTED_VALUE"""),"K/19/131124/1")</f>
        <v>K/19/131124/1</v>
      </c>
      <c r="E230" s="14" t="str">
        <f>IFERROR(__xludf.DUMMYFUNCTION("""COMPUTED_VALUE"""),"Nadian (BT)")</f>
        <v>Nadian (BT)</v>
      </c>
      <c r="F230" s="14" t="str">
        <f>IFERROR(__xludf.DUMMYFUNCTION("""COMPUTED_VALUE"""),"SELESAI")</f>
        <v>SELESAI</v>
      </c>
      <c r="G230" s="17">
        <f>IFERROR(__xludf.DUMMYFUNCTION("""COMPUTED_VALUE"""),45614.68587538194)</f>
        <v>45614.68588</v>
      </c>
      <c r="H230" s="14" t="str">
        <f>IFERROR(__xludf.DUMMYFUNCTION("""COMPUTED_VALUE"""),"Bu Eva (SU)")</f>
        <v>Bu Eva (SU)</v>
      </c>
      <c r="I230" s="13" t="str">
        <f>IFERROR(__xludf.DUMMYFUNCTION("""COMPUTED_VALUE"""),"SELESAI")</f>
        <v>SELESAI</v>
      </c>
      <c r="J230" s="17">
        <f>IFERROR(__xludf.DUMMYFUNCTION("""COMPUTED_VALUE"""),45615.67740936343)</f>
        <v>45615.67741</v>
      </c>
      <c r="K230" s="13" t="str">
        <f>IFERROR(__xludf.DUMMYFUNCTION("""COMPUTED_VALUE"""),"SELESAI")</f>
        <v>SELESAI</v>
      </c>
      <c r="L230" s="17">
        <f>IFERROR(__xludf.DUMMYFUNCTION("""COMPUTED_VALUE"""),45615.67740936343)</f>
        <v>45615.67741</v>
      </c>
      <c r="M230" s="17" t="str">
        <f>IFERROR(__xludf.DUMMYFUNCTION("""COMPUTED_VALUE"""),"")</f>
        <v/>
      </c>
      <c r="N230" s="17">
        <f>IFERROR(__xludf.DUMMYFUNCTION("""COMPUTED_VALUE"""),45616.375908263886)</f>
        <v>45616.37591</v>
      </c>
      <c r="O230" s="13">
        <f t="shared" si="1"/>
        <v>15</v>
      </c>
    </row>
    <row r="231" ht="22.5" customHeight="1">
      <c r="B231" s="13">
        <f>IFERROR(__xludf.DUMMYFUNCTION("""COMPUTED_VALUE"""),226.0)</f>
        <v>226</v>
      </c>
      <c r="C231" s="13" t="str">
        <f>IFERROR(__xludf.DUMMYFUNCTION("""COMPUTED_VALUE"""),"M. 942/ Sumur Putri")</f>
        <v>M. 942/ Sumur Putri</v>
      </c>
      <c r="D231" s="13" t="str">
        <f>IFERROR(__xludf.DUMMYFUNCTION("""COMPUTED_VALUE"""),"K/20/131124/1")</f>
        <v>K/20/131124/1</v>
      </c>
      <c r="E231" s="14" t="str">
        <f>IFERROR(__xludf.DUMMYFUNCTION("""COMPUTED_VALUE"""),"Nadian (BT)")</f>
        <v>Nadian (BT)</v>
      </c>
      <c r="F231" s="14" t="str">
        <f>IFERROR(__xludf.DUMMYFUNCTION("""COMPUTED_VALUE"""),"SELESAI")</f>
        <v>SELESAI</v>
      </c>
      <c r="G231" s="17">
        <f>IFERROR(__xludf.DUMMYFUNCTION("""COMPUTED_VALUE"""),45614.68587538194)</f>
        <v>45614.68588</v>
      </c>
      <c r="H231" s="14" t="str">
        <f>IFERROR(__xludf.DUMMYFUNCTION("""COMPUTED_VALUE"""),"Bu Eva (SU)")</f>
        <v>Bu Eva (SU)</v>
      </c>
      <c r="I231" s="13" t="str">
        <f>IFERROR(__xludf.DUMMYFUNCTION("""COMPUTED_VALUE"""),"SELESAI")</f>
        <v>SELESAI</v>
      </c>
      <c r="J231" s="17">
        <f>IFERROR(__xludf.DUMMYFUNCTION("""COMPUTED_VALUE"""),45615.677409375)</f>
        <v>45615.67741</v>
      </c>
      <c r="K231" s="13" t="str">
        <f>IFERROR(__xludf.DUMMYFUNCTION("""COMPUTED_VALUE"""),"SELESAI")</f>
        <v>SELESAI</v>
      </c>
      <c r="L231" s="17">
        <f>IFERROR(__xludf.DUMMYFUNCTION("""COMPUTED_VALUE"""),45615.677409375)</f>
        <v>45615.67741</v>
      </c>
      <c r="M231" s="17" t="str">
        <f>IFERROR(__xludf.DUMMYFUNCTION("""COMPUTED_VALUE"""),"")</f>
        <v/>
      </c>
      <c r="N231" s="17">
        <f>IFERROR(__xludf.DUMMYFUNCTION("""COMPUTED_VALUE"""),45616.37589943287)</f>
        <v>45616.3759</v>
      </c>
      <c r="O231" s="13">
        <f t="shared" si="1"/>
        <v>16</v>
      </c>
    </row>
    <row r="232" ht="22.5" customHeight="1">
      <c r="B232" s="13">
        <f>IFERROR(__xludf.DUMMYFUNCTION("""COMPUTED_VALUE"""),227.0)</f>
        <v>227</v>
      </c>
      <c r="C232" s="13" t="str">
        <f>IFERROR(__xludf.DUMMYFUNCTION("""COMPUTED_VALUE"""),"HM 17408/SUKARAME")</f>
        <v>HM 17408/SUKARAME</v>
      </c>
      <c r="D232" s="13" t="str">
        <f>IFERROR(__xludf.DUMMYFUNCTION("""COMPUTED_VALUE"""),"L/10/141124/1")</f>
        <v>L/10/141124/1</v>
      </c>
      <c r="E232" s="14" t="str">
        <f>IFERROR(__xludf.DUMMYFUNCTION("""COMPUTED_VALUE"""),"Nadian (BT)")</f>
        <v>Nadian (BT)</v>
      </c>
      <c r="F232" s="14" t="str">
        <f>IFERROR(__xludf.DUMMYFUNCTION("""COMPUTED_VALUE"""),"SELESAI")</f>
        <v>SELESAI</v>
      </c>
      <c r="G232" s="17">
        <f>IFERROR(__xludf.DUMMYFUNCTION("""COMPUTED_VALUE"""),45614.68587538194)</f>
        <v>45614.68588</v>
      </c>
      <c r="H232" s="14" t="str">
        <f>IFERROR(__xludf.DUMMYFUNCTION("""COMPUTED_VALUE"""),"Bu Eva (SU)")</f>
        <v>Bu Eva (SU)</v>
      </c>
      <c r="I232" s="13" t="str">
        <f>IFERROR(__xludf.DUMMYFUNCTION("""COMPUTED_VALUE"""),"SELESAI")</f>
        <v>SELESAI</v>
      </c>
      <c r="J232" s="17">
        <f>IFERROR(__xludf.DUMMYFUNCTION("""COMPUTED_VALUE"""),45615.677409375)</f>
        <v>45615.67741</v>
      </c>
      <c r="K232" s="13" t="str">
        <f>IFERROR(__xludf.DUMMYFUNCTION("""COMPUTED_VALUE"""),"SELESAI")</f>
        <v>SELESAI</v>
      </c>
      <c r="L232" s="17">
        <f>IFERROR(__xludf.DUMMYFUNCTION("""COMPUTED_VALUE"""),45615.677409375)</f>
        <v>45615.67741</v>
      </c>
      <c r="M232" s="17" t="str">
        <f>IFERROR(__xludf.DUMMYFUNCTION("""COMPUTED_VALUE"""),"")</f>
        <v/>
      </c>
      <c r="N232" s="17">
        <f>IFERROR(__xludf.DUMMYFUNCTION("""COMPUTED_VALUE"""),45616.37567778935)</f>
        <v>45616.37568</v>
      </c>
      <c r="O232" s="13">
        <f t="shared" si="1"/>
        <v>17</v>
      </c>
    </row>
    <row r="233" ht="22.5" customHeight="1">
      <c r="B233" s="13">
        <f>IFERROR(__xludf.DUMMYFUNCTION("""COMPUTED_VALUE"""),228.0)</f>
        <v>228</v>
      </c>
      <c r="C233" s="13" t="str">
        <f>IFERROR(__xludf.DUMMYFUNCTION("""COMPUTED_VALUE"""),"M. 6925/TANJUNG SENANG")</f>
        <v>M. 6925/TANJUNG SENANG</v>
      </c>
      <c r="D233" s="13" t="str">
        <f>IFERROR(__xludf.DUMMYFUNCTION("""COMPUTED_VALUE"""),"K/6/141124/1")</f>
        <v>K/6/141124/1</v>
      </c>
      <c r="E233" s="14" t="str">
        <f>IFERROR(__xludf.DUMMYFUNCTION("""COMPUTED_VALUE"""),"Nadian (BT)")</f>
        <v>Nadian (BT)</v>
      </c>
      <c r="F233" s="14" t="str">
        <f>IFERROR(__xludf.DUMMYFUNCTION("""COMPUTED_VALUE"""),"SELESAI")</f>
        <v>SELESAI</v>
      </c>
      <c r="G233" s="17">
        <f>IFERROR(__xludf.DUMMYFUNCTION("""COMPUTED_VALUE"""),45614.68587538194)</f>
        <v>45614.68588</v>
      </c>
      <c r="H233" s="14" t="str">
        <f>IFERROR(__xludf.DUMMYFUNCTION("""COMPUTED_VALUE"""),"Bu Eva (SU)")</f>
        <v>Bu Eva (SU)</v>
      </c>
      <c r="I233" s="13" t="str">
        <f>IFERROR(__xludf.DUMMYFUNCTION("""COMPUTED_VALUE"""),"SELESAI")</f>
        <v>SELESAI</v>
      </c>
      <c r="J233" s="17">
        <f>IFERROR(__xludf.DUMMYFUNCTION("""COMPUTED_VALUE"""),45615.677409375)</f>
        <v>45615.67741</v>
      </c>
      <c r="K233" s="13" t="str">
        <f>IFERROR(__xludf.DUMMYFUNCTION("""COMPUTED_VALUE"""),"SELESAI")</f>
        <v>SELESAI</v>
      </c>
      <c r="L233" s="17">
        <f>IFERROR(__xludf.DUMMYFUNCTION("""COMPUTED_VALUE"""),45615.677409375)</f>
        <v>45615.67741</v>
      </c>
      <c r="M233" s="17" t="str">
        <f>IFERROR(__xludf.DUMMYFUNCTION("""COMPUTED_VALUE"""),"")</f>
        <v/>
      </c>
      <c r="N233" s="17">
        <f>IFERROR(__xludf.DUMMYFUNCTION("""COMPUTED_VALUE"""),45616.35413890047)</f>
        <v>45616.35414</v>
      </c>
      <c r="O233" s="13">
        <f t="shared" si="1"/>
        <v>18</v>
      </c>
    </row>
    <row r="234" ht="22.5" customHeight="1">
      <c r="B234" s="13">
        <f>IFERROR(__xludf.DUMMYFUNCTION("""COMPUTED_VALUE"""),229.0)</f>
        <v>229</v>
      </c>
      <c r="C234" s="13" t="str">
        <f>IFERROR(__xludf.DUMMYFUNCTION("""COMPUTED_VALUE"""),"HM 9337/SEGALA MIDER")</f>
        <v>HM 9337/SEGALA MIDER</v>
      </c>
      <c r="D234" s="13" t="str">
        <f>IFERROR(__xludf.DUMMYFUNCTION("""COMPUTED_VALUE"""),"L/5/141124/1")</f>
        <v>L/5/141124/1</v>
      </c>
      <c r="E234" s="14" t="str">
        <f>IFERROR(__xludf.DUMMYFUNCTION("""COMPUTED_VALUE"""),"Nadian (BT)")</f>
        <v>Nadian (BT)</v>
      </c>
      <c r="F234" s="14" t="str">
        <f>IFERROR(__xludf.DUMMYFUNCTION("""COMPUTED_VALUE"""),"SELESAI")</f>
        <v>SELESAI</v>
      </c>
      <c r="G234" s="17">
        <f>IFERROR(__xludf.DUMMYFUNCTION("""COMPUTED_VALUE"""),45614.68587538194)</f>
        <v>45614.68588</v>
      </c>
      <c r="H234" s="14" t="str">
        <f>IFERROR(__xludf.DUMMYFUNCTION("""COMPUTED_VALUE"""),"Bu Eva (SU)")</f>
        <v>Bu Eva (SU)</v>
      </c>
      <c r="I234" s="13" t="str">
        <f>IFERROR(__xludf.DUMMYFUNCTION("""COMPUTED_VALUE"""),"SELESAI")</f>
        <v>SELESAI</v>
      </c>
      <c r="J234" s="17">
        <f>IFERROR(__xludf.DUMMYFUNCTION("""COMPUTED_VALUE"""),45615.677409375)</f>
        <v>45615.67741</v>
      </c>
      <c r="K234" s="13" t="str">
        <f>IFERROR(__xludf.DUMMYFUNCTION("""COMPUTED_VALUE"""),"SELESAI")</f>
        <v>SELESAI</v>
      </c>
      <c r="L234" s="17">
        <f>IFERROR(__xludf.DUMMYFUNCTION("""COMPUTED_VALUE"""),45615.677409375)</f>
        <v>45615.67741</v>
      </c>
      <c r="M234" s="17" t="str">
        <f>IFERROR(__xludf.DUMMYFUNCTION("""COMPUTED_VALUE"""),"")</f>
        <v/>
      </c>
      <c r="N234" s="17">
        <f>IFERROR(__xludf.DUMMYFUNCTION("""COMPUTED_VALUE"""),45616.35407547453)</f>
        <v>45616.35408</v>
      </c>
      <c r="O234" s="13">
        <f t="shared" si="1"/>
        <v>19</v>
      </c>
    </row>
    <row r="235" ht="22.5" customHeight="1">
      <c r="B235" s="13">
        <f>IFERROR(__xludf.DUMMYFUNCTION("""COMPUTED_VALUE"""),230.0)</f>
        <v>230</v>
      </c>
      <c r="C235" s="13" t="str">
        <f>IFERROR(__xludf.DUMMYFUNCTION("""COMPUTED_VALUE"""),"M. 2268/ Campang Jaya-SEKARANG; m. 1520/ CAMPANG RAYA-DULU")</f>
        <v>M. 2268/ Campang Jaya-SEKARANG; m. 1520/ CAMPANG RAYA-DULU</v>
      </c>
      <c r="D235" s="13" t="str">
        <f>IFERROR(__xludf.DUMMYFUNCTION("""COMPUTED_VALUE"""),"K/13/131124/1")</f>
        <v>K/13/131124/1</v>
      </c>
      <c r="E235" s="14" t="str">
        <f>IFERROR(__xludf.DUMMYFUNCTION("""COMPUTED_VALUE"""),"Nadian (BT)")</f>
        <v>Nadian (BT)</v>
      </c>
      <c r="F235" s="14" t="str">
        <f>IFERROR(__xludf.DUMMYFUNCTION("""COMPUTED_VALUE"""),"SELESAI")</f>
        <v>SELESAI</v>
      </c>
      <c r="G235" s="17">
        <f>IFERROR(__xludf.DUMMYFUNCTION("""COMPUTED_VALUE"""),45614.68587538194)</f>
        <v>45614.68588</v>
      </c>
      <c r="H235" s="14" t="str">
        <f>IFERROR(__xludf.DUMMYFUNCTION("""COMPUTED_VALUE"""),"Bu Eva (SU)")</f>
        <v>Bu Eva (SU)</v>
      </c>
      <c r="I235" s="13" t="str">
        <f>IFERROR(__xludf.DUMMYFUNCTION("""COMPUTED_VALUE"""),"SELESAI")</f>
        <v>SELESAI</v>
      </c>
      <c r="J235" s="17">
        <f>IFERROR(__xludf.DUMMYFUNCTION("""COMPUTED_VALUE"""),45615.677409375)</f>
        <v>45615.67741</v>
      </c>
      <c r="K235" s="13" t="str">
        <f>IFERROR(__xludf.DUMMYFUNCTION("""COMPUTED_VALUE"""),"SELESAI")</f>
        <v>SELESAI</v>
      </c>
      <c r="L235" s="17">
        <f>IFERROR(__xludf.DUMMYFUNCTION("""COMPUTED_VALUE"""),45615.677409375)</f>
        <v>45615.67741</v>
      </c>
      <c r="M235" s="17" t="str">
        <f>IFERROR(__xludf.DUMMYFUNCTION("""COMPUTED_VALUE"""),"")</f>
        <v/>
      </c>
      <c r="N235" s="17">
        <f>IFERROR(__xludf.DUMMYFUNCTION("""COMPUTED_VALUE"""),45615.676358888886)</f>
        <v>45615.67636</v>
      </c>
      <c r="O235" s="13">
        <f t="shared" si="1"/>
        <v>20</v>
      </c>
    </row>
    <row r="236" ht="22.5" customHeight="1">
      <c r="B236" s="13">
        <f>IFERROR(__xludf.DUMMYFUNCTION("""COMPUTED_VALUE"""),231.0)</f>
        <v>231</v>
      </c>
      <c r="C236" s="13" t="str">
        <f>IFERROR(__xludf.DUMMYFUNCTION("""COMPUTED_VALUE"""),"M. 1635 / PANJANG SELATAN")</f>
        <v>M. 1635 / PANJANG SELATAN</v>
      </c>
      <c r="D236" s="13" t="str">
        <f>IFERROR(__xludf.DUMMYFUNCTION("""COMPUTED_VALUE"""),"K/28/131124/2")</f>
        <v>K/28/131124/2</v>
      </c>
      <c r="E236" s="14" t="str">
        <f>IFERROR(__xludf.DUMMYFUNCTION("""COMPUTED_VALUE"""),"Nadian (BT)")</f>
        <v>Nadian (BT)</v>
      </c>
      <c r="F236" s="14" t="str">
        <f>IFERROR(__xludf.DUMMYFUNCTION("""COMPUTED_VALUE"""),"SELESAI (VIA PERMOHONAN)")</f>
        <v>SELESAI (VIA PERMOHONAN)</v>
      </c>
      <c r="G236" s="17">
        <f>IFERROR(__xludf.DUMMYFUNCTION("""COMPUTED_VALUE"""),45614.68597443287)</f>
        <v>45614.68597</v>
      </c>
      <c r="H236" s="14" t="str">
        <f>IFERROR(__xludf.DUMMYFUNCTION("""COMPUTED_VALUE"""),"Aprill (SU)")</f>
        <v>Aprill (SU)</v>
      </c>
      <c r="I236" s="13" t="str">
        <f>IFERROR(__xludf.DUMMYFUNCTION("""COMPUTED_VALUE"""),"SELESAI (VIA PERMOHONAN)")</f>
        <v>SELESAI (VIA PERMOHONAN)</v>
      </c>
      <c r="J236" s="17">
        <f>IFERROR(__xludf.DUMMYFUNCTION("""COMPUTED_VALUE"""),45615.676652002316)</f>
        <v>45615.67665</v>
      </c>
      <c r="K236" s="13" t="str">
        <f>IFERROR(__xludf.DUMMYFUNCTION("""COMPUTED_VALUE"""),"Selesai")</f>
        <v>Selesai</v>
      </c>
      <c r="L236" s="17">
        <f>IFERROR(__xludf.DUMMYFUNCTION("""COMPUTED_VALUE"""),45615.676652002316)</f>
        <v>45615.67665</v>
      </c>
      <c r="M236" s="17">
        <f>IFERROR(__xludf.DUMMYFUNCTION("""COMPUTED_VALUE"""),45615.67627920139)</f>
        <v>45615.67628</v>
      </c>
      <c r="N236" s="13" t="str">
        <f>IFERROR(__xludf.DUMMYFUNCTION("""COMPUTED_VALUE"""),"")</f>
        <v/>
      </c>
      <c r="O236" s="13" t="str">
        <f t="shared" si="1"/>
        <v/>
      </c>
    </row>
    <row r="237" ht="22.5" customHeight="1">
      <c r="B237" s="13">
        <f>IFERROR(__xludf.DUMMYFUNCTION("""COMPUTED_VALUE"""),232.0)</f>
        <v>232</v>
      </c>
      <c r="C237" s="13" t="str">
        <f>IFERROR(__xludf.DUMMYFUNCTION("""COMPUTED_VALUE"""),"M. 6036/WAY KANDIS")</f>
        <v>M. 6036/WAY KANDIS</v>
      </c>
      <c r="D237" s="13" t="str">
        <f>IFERROR(__xludf.DUMMYFUNCTION("""COMPUTED_VALUE"""),"K/25/141124/1")</f>
        <v>K/25/141124/1</v>
      </c>
      <c r="E237" s="14" t="str">
        <f>IFERROR(__xludf.DUMMYFUNCTION("""COMPUTED_VALUE"""),"Nadian (BT)")</f>
        <v>Nadian (BT)</v>
      </c>
      <c r="F237" s="14" t="str">
        <f>IFERROR(__xludf.DUMMYFUNCTION("""COMPUTED_VALUE"""),"SELESAI (VIA PERMOHONAN)")</f>
        <v>SELESAI (VIA PERMOHONAN)</v>
      </c>
      <c r="G237" s="17">
        <f>IFERROR(__xludf.DUMMYFUNCTION("""COMPUTED_VALUE"""),45614.68597443287)</f>
        <v>45614.68597</v>
      </c>
      <c r="H237" s="14" t="str">
        <f>IFERROR(__xludf.DUMMYFUNCTION("""COMPUTED_VALUE"""),"Aprill (SU)")</f>
        <v>Aprill (SU)</v>
      </c>
      <c r="I237" s="13" t="str">
        <f>IFERROR(__xludf.DUMMYFUNCTION("""COMPUTED_VALUE"""),"SELESAI (VIA PERMOHONAN)")</f>
        <v>SELESAI (VIA PERMOHONAN)</v>
      </c>
      <c r="J237" s="17">
        <f>IFERROR(__xludf.DUMMYFUNCTION("""COMPUTED_VALUE"""),45615.676673009264)</f>
        <v>45615.67667</v>
      </c>
      <c r="K237" s="13" t="str">
        <f>IFERROR(__xludf.DUMMYFUNCTION("""COMPUTED_VALUE"""),"Selesai")</f>
        <v>Selesai</v>
      </c>
      <c r="L237" s="17">
        <f>IFERROR(__xludf.DUMMYFUNCTION("""COMPUTED_VALUE"""),45615.676673009264)</f>
        <v>45615.67667</v>
      </c>
      <c r="M237" s="17">
        <f>IFERROR(__xludf.DUMMYFUNCTION("""COMPUTED_VALUE"""),45615.67628571759)</f>
        <v>45615.67629</v>
      </c>
      <c r="N237" s="13" t="str">
        <f>IFERROR(__xludf.DUMMYFUNCTION("""COMPUTED_VALUE"""),"")</f>
        <v/>
      </c>
      <c r="O237" s="13" t="str">
        <f t="shared" si="1"/>
        <v/>
      </c>
    </row>
    <row r="238" ht="22.5" customHeight="1">
      <c r="B238" s="13">
        <f>IFERROR(__xludf.DUMMYFUNCTION("""COMPUTED_VALUE"""),233.0)</f>
        <v>233</v>
      </c>
      <c r="C238" s="13" t="str">
        <f>IFERROR(__xludf.DUMMYFUNCTION("""COMPUTED_VALUE"""),"M. 1050/ Kaliawi")</f>
        <v>M. 1050/ Kaliawi</v>
      </c>
      <c r="D238" s="13" t="str">
        <f>IFERROR(__xludf.DUMMYFUNCTION("""COMPUTED_VALUE"""),"K/31/151124/1")</f>
        <v>K/31/151124/1</v>
      </c>
      <c r="E238" s="14" t="str">
        <f>IFERROR(__xludf.DUMMYFUNCTION("""COMPUTED_VALUE"""),"Afriza (BT)")</f>
        <v>Afriza (BT)</v>
      </c>
      <c r="F238" s="14" t="str">
        <f>IFERROR(__xludf.DUMMYFUNCTION("""COMPUTED_VALUE"""),"SELESAI")</f>
        <v>SELESAI</v>
      </c>
      <c r="G238" s="17">
        <f>IFERROR(__xludf.DUMMYFUNCTION("""COMPUTED_VALUE"""),45614.69449674769)</f>
        <v>45614.6945</v>
      </c>
      <c r="H238" s="14" t="str">
        <f>IFERROR(__xludf.DUMMYFUNCTION("""COMPUTED_VALUE"""),"Bu Eva (SU)")</f>
        <v>Bu Eva (SU)</v>
      </c>
      <c r="I238" s="13" t="str">
        <f>IFERROR(__xludf.DUMMYFUNCTION("""COMPUTED_VALUE"""),"SELESAI")</f>
        <v>SELESAI</v>
      </c>
      <c r="J238" s="17">
        <f>IFERROR(__xludf.DUMMYFUNCTION("""COMPUTED_VALUE"""),45615.67690047454)</f>
        <v>45615.6769</v>
      </c>
      <c r="K238" s="13" t="str">
        <f>IFERROR(__xludf.DUMMYFUNCTION("""COMPUTED_VALUE"""),"SELESAI")</f>
        <v>SELESAI</v>
      </c>
      <c r="L238" s="17">
        <f>IFERROR(__xludf.DUMMYFUNCTION("""COMPUTED_VALUE"""),45615.67690047454)</f>
        <v>45615.6769</v>
      </c>
      <c r="M238" s="17" t="str">
        <f>IFERROR(__xludf.DUMMYFUNCTION("""COMPUTED_VALUE"""),"")</f>
        <v/>
      </c>
      <c r="N238" s="17">
        <f>IFERROR(__xludf.DUMMYFUNCTION("""COMPUTED_VALUE"""),45615.676200138885)</f>
        <v>45615.6762</v>
      </c>
      <c r="O238" s="13">
        <f t="shared" si="1"/>
        <v>1</v>
      </c>
    </row>
    <row r="239" ht="22.5" customHeight="1">
      <c r="B239" s="13">
        <f>IFERROR(__xludf.DUMMYFUNCTION("""COMPUTED_VALUE"""),234.0)</f>
        <v>234</v>
      </c>
      <c r="C239" s="13" t="str">
        <f>IFERROR(__xludf.DUMMYFUNCTION("""COMPUTED_VALUE"""),"HM 636/SUMUR BATU")</f>
        <v>HM 636/SUMUR BATU</v>
      </c>
      <c r="D239" s="13" t="str">
        <f>IFERROR(__xludf.DUMMYFUNCTION("""COMPUTED_VALUE"""),"L/5/181124/1")</f>
        <v>L/5/181124/1</v>
      </c>
      <c r="E239" s="14" t="str">
        <f>IFERROR(__xludf.DUMMYFUNCTION("""COMPUTED_VALUE"""),"Nadian (BT)")</f>
        <v>Nadian (BT)</v>
      </c>
      <c r="F239" s="14" t="str">
        <f>IFERROR(__xludf.DUMMYFUNCTION("""COMPUTED_VALUE"""),"SELESAI")</f>
        <v>SELESAI</v>
      </c>
      <c r="G239" s="17">
        <f>IFERROR(__xludf.DUMMYFUNCTION("""COMPUTED_VALUE"""),45615.686525763886)</f>
        <v>45615.68653</v>
      </c>
      <c r="H239" s="14" t="str">
        <f>IFERROR(__xludf.DUMMYFUNCTION("""COMPUTED_VALUE"""),"Bu Eva (SU)")</f>
        <v>Bu Eva (SU)</v>
      </c>
      <c r="I239" s="13" t="str">
        <f>IFERROR(__xludf.DUMMYFUNCTION("""COMPUTED_VALUE"""),"SELESAI")</f>
        <v>SELESAI</v>
      </c>
      <c r="J239" s="17">
        <f>IFERROR(__xludf.DUMMYFUNCTION("""COMPUTED_VALUE"""),45616.631568530094)</f>
        <v>45616.63157</v>
      </c>
      <c r="K239" s="13" t="str">
        <f>IFERROR(__xludf.DUMMYFUNCTION("""COMPUTED_VALUE"""),"SELESAI")</f>
        <v>SELESAI</v>
      </c>
      <c r="L239" s="17">
        <f>IFERROR(__xludf.DUMMYFUNCTION("""COMPUTED_VALUE"""),45616.631568530094)</f>
        <v>45616.63157</v>
      </c>
      <c r="M239" s="17" t="str">
        <f>IFERROR(__xludf.DUMMYFUNCTION("""COMPUTED_VALUE"""),"")</f>
        <v/>
      </c>
      <c r="N239" s="17">
        <f>IFERROR(__xludf.DUMMYFUNCTION("""COMPUTED_VALUE"""),45617.59261556713)</f>
        <v>45617.59262</v>
      </c>
      <c r="O239" s="13">
        <f t="shared" si="1"/>
        <v>2</v>
      </c>
    </row>
    <row r="240" ht="22.5" customHeight="1">
      <c r="B240" s="13">
        <f>IFERROR(__xludf.DUMMYFUNCTION("""COMPUTED_VALUE"""),235.0)</f>
        <v>235</v>
      </c>
      <c r="C240" s="13" t="str">
        <f>IFERROR(__xludf.DUMMYFUNCTION("""COMPUTED_VALUE"""),"M. 253/ Bumi Kedmaian")</f>
        <v>M. 253/ Bumi Kedmaian</v>
      </c>
      <c r="D240" s="13" t="str">
        <f>IFERROR(__xludf.DUMMYFUNCTION("""COMPUTED_VALUE"""),"K/3/181124/1")</f>
        <v>K/3/181124/1</v>
      </c>
      <c r="E240" s="14" t="str">
        <f>IFERROR(__xludf.DUMMYFUNCTION("""COMPUTED_VALUE"""),"Nadian (BT)")</f>
        <v>Nadian (BT)</v>
      </c>
      <c r="F240" s="14" t="str">
        <f>IFERROR(__xludf.DUMMYFUNCTION("""COMPUTED_VALUE"""),"SELESAI")</f>
        <v>SELESAI</v>
      </c>
      <c r="G240" s="17">
        <f>IFERROR(__xludf.DUMMYFUNCTION("""COMPUTED_VALUE"""),45615.68659748843)</f>
        <v>45615.6866</v>
      </c>
      <c r="H240" s="14" t="str">
        <f>IFERROR(__xludf.DUMMYFUNCTION("""COMPUTED_VALUE"""),"Bu Eva (SU)")</f>
        <v>Bu Eva (SU)</v>
      </c>
      <c r="I240" s="13" t="str">
        <f>IFERROR(__xludf.DUMMYFUNCTION("""COMPUTED_VALUE"""),"SELESAI")</f>
        <v>SELESAI</v>
      </c>
      <c r="J240" s="17">
        <f>IFERROR(__xludf.DUMMYFUNCTION("""COMPUTED_VALUE"""),45616.63156854166)</f>
        <v>45616.63157</v>
      </c>
      <c r="K240" s="13" t="str">
        <f>IFERROR(__xludf.DUMMYFUNCTION("""COMPUTED_VALUE"""),"SELESAI")</f>
        <v>SELESAI</v>
      </c>
      <c r="L240" s="17">
        <f>IFERROR(__xludf.DUMMYFUNCTION("""COMPUTED_VALUE"""),45616.63156854166)</f>
        <v>45616.63157</v>
      </c>
      <c r="M240" s="17" t="str">
        <f>IFERROR(__xludf.DUMMYFUNCTION("""COMPUTED_VALUE"""),"")</f>
        <v/>
      </c>
      <c r="N240" s="17">
        <f>IFERROR(__xludf.DUMMYFUNCTION("""COMPUTED_VALUE"""),45617.59263290509)</f>
        <v>45617.59263</v>
      </c>
      <c r="O240" s="13">
        <f t="shared" si="1"/>
        <v>3</v>
      </c>
    </row>
    <row r="241" ht="22.5" customHeight="1">
      <c r="B241" s="13">
        <f>IFERROR(__xludf.DUMMYFUNCTION("""COMPUTED_VALUE"""),236.0)</f>
        <v>236</v>
      </c>
      <c r="C241" s="13" t="str">
        <f>IFERROR(__xludf.DUMMYFUNCTION("""COMPUTED_VALUE"""),"M. 213/ K B K")</f>
        <v>M. 213/ K B K</v>
      </c>
      <c r="D241" s="13" t="str">
        <f>IFERROR(__xludf.DUMMYFUNCTION("""COMPUTED_VALUE"""),"K/58/151124/1")</f>
        <v>K/58/151124/1</v>
      </c>
      <c r="E241" s="14" t="str">
        <f>IFERROR(__xludf.DUMMYFUNCTION("""COMPUTED_VALUE"""),"Nadian (BT)")</f>
        <v>Nadian (BT)</v>
      </c>
      <c r="F241" s="14" t="str">
        <f>IFERROR(__xludf.DUMMYFUNCTION("""COMPUTED_VALUE"""),"SELESAI")</f>
        <v>SELESAI</v>
      </c>
      <c r="G241" s="17">
        <f>IFERROR(__xludf.DUMMYFUNCTION("""COMPUTED_VALUE"""),45615.68659748843)</f>
        <v>45615.6866</v>
      </c>
      <c r="H241" s="14" t="str">
        <f>IFERROR(__xludf.DUMMYFUNCTION("""COMPUTED_VALUE"""),"Bu Eva (SU)")</f>
        <v>Bu Eva (SU)</v>
      </c>
      <c r="I241" s="13" t="str">
        <f>IFERROR(__xludf.DUMMYFUNCTION("""COMPUTED_VALUE"""),"SELESAI")</f>
        <v>SELESAI</v>
      </c>
      <c r="J241" s="17">
        <f>IFERROR(__xludf.DUMMYFUNCTION("""COMPUTED_VALUE"""),45616.63156854166)</f>
        <v>45616.63157</v>
      </c>
      <c r="K241" s="13" t="str">
        <f>IFERROR(__xludf.DUMMYFUNCTION("""COMPUTED_VALUE"""),"SELESAI")</f>
        <v>SELESAI</v>
      </c>
      <c r="L241" s="17">
        <f>IFERROR(__xludf.DUMMYFUNCTION("""COMPUTED_VALUE"""),45616.63156854166)</f>
        <v>45616.63157</v>
      </c>
      <c r="M241" s="17">
        <f>IFERROR(__xludf.DUMMYFUNCTION("""COMPUTED_VALUE"""),45639.645792083335)</f>
        <v>45639.64579</v>
      </c>
      <c r="N241" s="17">
        <f>IFERROR(__xludf.DUMMYFUNCTION("""COMPUTED_VALUE"""),45617.59263996528)</f>
        <v>45617.59264</v>
      </c>
      <c r="O241" s="13">
        <f t="shared" si="1"/>
        <v>4</v>
      </c>
    </row>
    <row r="242" ht="22.5" customHeight="1">
      <c r="B242" s="13">
        <f>IFERROR(__xludf.DUMMYFUNCTION("""COMPUTED_VALUE"""),237.0)</f>
        <v>237</v>
      </c>
      <c r="C242" s="13" t="str">
        <f>IFERROR(__xludf.DUMMYFUNCTION("""COMPUTED_VALUE"""),"HGB 172/LABUHAN DALAM")</f>
        <v>HGB 172/LABUHAN DALAM</v>
      </c>
      <c r="D242" s="13" t="str">
        <f>IFERROR(__xludf.DUMMYFUNCTION("""COMPUTED_VALUE"""),"L/39/151124/1")</f>
        <v>L/39/151124/1</v>
      </c>
      <c r="E242" s="14" t="str">
        <f>IFERROR(__xludf.DUMMYFUNCTION("""COMPUTED_VALUE"""),"Nadian (BT)")</f>
        <v>Nadian (BT)</v>
      </c>
      <c r="F242" s="14" t="str">
        <f>IFERROR(__xludf.DUMMYFUNCTION("""COMPUTED_VALUE"""),"SELESAI")</f>
        <v>SELESAI</v>
      </c>
      <c r="G242" s="17">
        <f>IFERROR(__xludf.DUMMYFUNCTION("""COMPUTED_VALUE"""),45615.68659748843)</f>
        <v>45615.6866</v>
      </c>
      <c r="H242" s="14" t="str">
        <f>IFERROR(__xludf.DUMMYFUNCTION("""COMPUTED_VALUE"""),"Bu Eva (SU)")</f>
        <v>Bu Eva (SU)</v>
      </c>
      <c r="I242" s="13" t="str">
        <f>IFERROR(__xludf.DUMMYFUNCTION("""COMPUTED_VALUE"""),"SELESAI")</f>
        <v>SELESAI</v>
      </c>
      <c r="J242" s="17">
        <f>IFERROR(__xludf.DUMMYFUNCTION("""COMPUTED_VALUE"""),45616.631586400465)</f>
        <v>45616.63159</v>
      </c>
      <c r="K242" s="13" t="str">
        <f>IFERROR(__xludf.DUMMYFUNCTION("""COMPUTED_VALUE"""),"SELESAI")</f>
        <v>SELESAI</v>
      </c>
      <c r="L242" s="17">
        <f>IFERROR(__xludf.DUMMYFUNCTION("""COMPUTED_VALUE"""),45616.631586400465)</f>
        <v>45616.63159</v>
      </c>
      <c r="M242" s="17" t="str">
        <f>IFERROR(__xludf.DUMMYFUNCTION("""COMPUTED_VALUE"""),"")</f>
        <v/>
      </c>
      <c r="N242" s="17">
        <f>IFERROR(__xludf.DUMMYFUNCTION("""COMPUTED_VALUE"""),45617.59269479167)</f>
        <v>45617.59269</v>
      </c>
      <c r="O242" s="13">
        <f t="shared" si="1"/>
        <v>5</v>
      </c>
    </row>
    <row r="243" ht="22.5" customHeight="1">
      <c r="B243" s="13">
        <f>IFERROR(__xludf.DUMMYFUNCTION("""COMPUTED_VALUE"""),238.0)</f>
        <v>238</v>
      </c>
      <c r="C243" s="13" t="str">
        <f>IFERROR(__xludf.DUMMYFUNCTION("""COMPUTED_VALUE"""),"HGB 1677/SUKARAME")</f>
        <v>HGB 1677/SUKARAME</v>
      </c>
      <c r="D243" s="13" t="str">
        <f>IFERROR(__xludf.DUMMYFUNCTION("""COMPUTED_VALUE"""),"L/45/151124/1")</f>
        <v>L/45/151124/1</v>
      </c>
      <c r="E243" s="14" t="str">
        <f>IFERROR(__xludf.DUMMYFUNCTION("""COMPUTED_VALUE"""),"Nadian (BT)")</f>
        <v>Nadian (BT)</v>
      </c>
      <c r="F243" s="14" t="str">
        <f>IFERROR(__xludf.DUMMYFUNCTION("""COMPUTED_VALUE"""),"SELESAI")</f>
        <v>SELESAI</v>
      </c>
      <c r="G243" s="17">
        <f>IFERROR(__xludf.DUMMYFUNCTION("""COMPUTED_VALUE"""),45615.68659748843)</f>
        <v>45615.6866</v>
      </c>
      <c r="H243" s="14" t="str">
        <f>IFERROR(__xludf.DUMMYFUNCTION("""COMPUTED_VALUE"""),"Bu Eva (SU)")</f>
        <v>Bu Eva (SU)</v>
      </c>
      <c r="I243" s="13" t="str">
        <f>IFERROR(__xludf.DUMMYFUNCTION("""COMPUTED_VALUE"""),"SELESAI")</f>
        <v>SELESAI</v>
      </c>
      <c r="J243" s="17">
        <f>IFERROR(__xludf.DUMMYFUNCTION("""COMPUTED_VALUE"""),45616.631586400465)</f>
        <v>45616.63159</v>
      </c>
      <c r="K243" s="13" t="str">
        <f>IFERROR(__xludf.DUMMYFUNCTION("""COMPUTED_VALUE"""),"SELESAI")</f>
        <v>SELESAI</v>
      </c>
      <c r="L243" s="17">
        <f>IFERROR(__xludf.DUMMYFUNCTION("""COMPUTED_VALUE"""),45616.631586400465)</f>
        <v>45616.63159</v>
      </c>
      <c r="M243" s="17" t="str">
        <f>IFERROR(__xludf.DUMMYFUNCTION("""COMPUTED_VALUE"""),"")</f>
        <v/>
      </c>
      <c r="N243" s="17">
        <f>IFERROR(__xludf.DUMMYFUNCTION("""COMPUTED_VALUE"""),45617.59269480324)</f>
        <v>45617.59269</v>
      </c>
      <c r="O243" s="13">
        <f t="shared" si="1"/>
        <v>6</v>
      </c>
    </row>
    <row r="244" ht="22.5" customHeight="1">
      <c r="B244" s="13">
        <f>IFERROR(__xludf.DUMMYFUNCTION("""COMPUTED_VALUE"""),239.0)</f>
        <v>239</v>
      </c>
      <c r="C244" s="13" t="str">
        <f>IFERROR(__xludf.DUMMYFUNCTION("""COMPUTED_VALUE"""),"M. 468/SUMUR PUTRI")</f>
        <v>M. 468/SUMUR PUTRI</v>
      </c>
      <c r="D244" s="13" t="str">
        <f>IFERROR(__xludf.DUMMYFUNCTION("""COMPUTED_VALUE"""),"K/17/131124/1")</f>
        <v>K/17/131124/1</v>
      </c>
      <c r="E244" s="14" t="str">
        <f>IFERROR(__xludf.DUMMYFUNCTION("""COMPUTED_VALUE"""),"Nadian (BT)")</f>
        <v>Nadian (BT)</v>
      </c>
      <c r="F244" s="14" t="str">
        <f>IFERROR(__xludf.DUMMYFUNCTION("""COMPUTED_VALUE"""),"SELESAI")</f>
        <v>SELESAI</v>
      </c>
      <c r="G244" s="17">
        <f>IFERROR(__xludf.DUMMYFUNCTION("""COMPUTED_VALUE"""),45615.68659748843)</f>
        <v>45615.6866</v>
      </c>
      <c r="H244" s="14" t="str">
        <f>IFERROR(__xludf.DUMMYFUNCTION("""COMPUTED_VALUE"""),"Bu Eva (SU)")</f>
        <v>Bu Eva (SU)</v>
      </c>
      <c r="I244" s="13" t="str">
        <f>IFERROR(__xludf.DUMMYFUNCTION("""COMPUTED_VALUE"""),"SELESAI")</f>
        <v>SELESAI</v>
      </c>
      <c r="J244" s="17">
        <f>IFERROR(__xludf.DUMMYFUNCTION("""COMPUTED_VALUE"""),45616.631586400465)</f>
        <v>45616.63159</v>
      </c>
      <c r="K244" s="13" t="str">
        <f>IFERROR(__xludf.DUMMYFUNCTION("""COMPUTED_VALUE"""),"SELESAI")</f>
        <v>SELESAI</v>
      </c>
      <c r="L244" s="17">
        <f>IFERROR(__xludf.DUMMYFUNCTION("""COMPUTED_VALUE"""),45616.631586400465)</f>
        <v>45616.63159</v>
      </c>
      <c r="M244" s="17" t="str">
        <f>IFERROR(__xludf.DUMMYFUNCTION("""COMPUTED_VALUE"""),"")</f>
        <v/>
      </c>
      <c r="N244" s="17">
        <f>IFERROR(__xludf.DUMMYFUNCTION("""COMPUTED_VALUE"""),45617.59269480324)</f>
        <v>45617.59269</v>
      </c>
      <c r="O244" s="13">
        <f t="shared" si="1"/>
        <v>7</v>
      </c>
    </row>
    <row r="245" ht="22.5" customHeight="1">
      <c r="B245" s="13">
        <f>IFERROR(__xludf.DUMMYFUNCTION("""COMPUTED_VALUE"""),240.0)</f>
        <v>240</v>
      </c>
      <c r="C245" s="13" t="str">
        <f>IFERROR(__xludf.DUMMYFUNCTION("""COMPUTED_VALUE"""),"M.4198/KETEGUHAN")</f>
        <v>M.4198/KETEGUHAN</v>
      </c>
      <c r="D245" s="13" t="str">
        <f>IFERROR(__xludf.DUMMYFUNCTION("""COMPUTED_VALUE"""),"K/56/181124/1")</f>
        <v>K/56/181124/1</v>
      </c>
      <c r="E245" s="14" t="str">
        <f>IFERROR(__xludf.DUMMYFUNCTION("""COMPUTED_VALUE"""),"Nadian (BT)")</f>
        <v>Nadian (BT)</v>
      </c>
      <c r="F245" s="14" t="str">
        <f>IFERROR(__xludf.DUMMYFUNCTION("""COMPUTED_VALUE"""),"SELESAI")</f>
        <v>SELESAI</v>
      </c>
      <c r="G245" s="17">
        <f>IFERROR(__xludf.DUMMYFUNCTION("""COMPUTED_VALUE"""),45615.68659748843)</f>
        <v>45615.6866</v>
      </c>
      <c r="H245" s="14" t="str">
        <f>IFERROR(__xludf.DUMMYFUNCTION("""COMPUTED_VALUE"""),"Bu Eva (SU)")</f>
        <v>Bu Eva (SU)</v>
      </c>
      <c r="I245" s="13" t="str">
        <f>IFERROR(__xludf.DUMMYFUNCTION("""COMPUTED_VALUE"""),"SELESAI")</f>
        <v>SELESAI</v>
      </c>
      <c r="J245" s="17">
        <f>IFERROR(__xludf.DUMMYFUNCTION("""COMPUTED_VALUE"""),45616.63161777778)</f>
        <v>45616.63162</v>
      </c>
      <c r="K245" s="13" t="str">
        <f>IFERROR(__xludf.DUMMYFUNCTION("""COMPUTED_VALUE"""),"SELESAI")</f>
        <v>SELESAI</v>
      </c>
      <c r="L245" s="17">
        <f>IFERROR(__xludf.DUMMYFUNCTION("""COMPUTED_VALUE"""),45616.63161777778)</f>
        <v>45616.63162</v>
      </c>
      <c r="M245" s="17" t="str">
        <f>IFERROR(__xludf.DUMMYFUNCTION("""COMPUTED_VALUE"""),"")</f>
        <v/>
      </c>
      <c r="N245" s="17">
        <f>IFERROR(__xludf.DUMMYFUNCTION("""COMPUTED_VALUE"""),45617.59276244213)</f>
        <v>45617.59276</v>
      </c>
      <c r="O245" s="13">
        <f t="shared" si="1"/>
        <v>8</v>
      </c>
    </row>
    <row r="246" ht="22.5" customHeight="1">
      <c r="B246" s="13">
        <f>IFERROR(__xludf.DUMMYFUNCTION("""COMPUTED_VALUE"""),241.0)</f>
        <v>241</v>
      </c>
      <c r="C246" s="13" t="str">
        <f>IFERROR(__xludf.DUMMYFUNCTION("""COMPUTED_VALUE"""),"B. 625/ Kemiling Permai")</f>
        <v>B. 625/ Kemiling Permai</v>
      </c>
      <c r="D246" s="13" t="str">
        <f>IFERROR(__xludf.DUMMYFUNCTION("""COMPUTED_VALUE"""),"K/52/181124/2")</f>
        <v>K/52/181124/2</v>
      </c>
      <c r="E246" s="14" t="str">
        <f>IFERROR(__xludf.DUMMYFUNCTION("""COMPUTED_VALUE"""),"Nadian (BT)")</f>
        <v>Nadian (BT)</v>
      </c>
      <c r="F246" s="14" t="str">
        <f>IFERROR(__xludf.DUMMYFUNCTION("""COMPUTED_VALUE"""),"SELESAI")</f>
        <v>SELESAI</v>
      </c>
      <c r="G246" s="17">
        <f>IFERROR(__xludf.DUMMYFUNCTION("""COMPUTED_VALUE"""),45615.68659748843)</f>
        <v>45615.6866</v>
      </c>
      <c r="H246" s="14" t="str">
        <f>IFERROR(__xludf.DUMMYFUNCTION("""COMPUTED_VALUE"""),"Bu Eva (SU)")</f>
        <v>Bu Eva (SU)</v>
      </c>
      <c r="I246" s="13" t="str">
        <f>IFERROR(__xludf.DUMMYFUNCTION("""COMPUTED_VALUE"""),"SELESAI")</f>
        <v>SELESAI</v>
      </c>
      <c r="J246" s="17">
        <f>IFERROR(__xludf.DUMMYFUNCTION("""COMPUTED_VALUE"""),45616.63161777778)</f>
        <v>45616.63162</v>
      </c>
      <c r="K246" s="13" t="str">
        <f>IFERROR(__xludf.DUMMYFUNCTION("""COMPUTED_VALUE"""),"SELESAI")</f>
        <v>SELESAI</v>
      </c>
      <c r="L246" s="17">
        <f>IFERROR(__xludf.DUMMYFUNCTION("""COMPUTED_VALUE"""),45616.63161777778)</f>
        <v>45616.63162</v>
      </c>
      <c r="M246" s="17" t="str">
        <f>IFERROR(__xludf.DUMMYFUNCTION("""COMPUTED_VALUE"""),"")</f>
        <v/>
      </c>
      <c r="N246" s="17">
        <f>IFERROR(__xludf.DUMMYFUNCTION("""COMPUTED_VALUE"""),45617.59276244213)</f>
        <v>45617.59276</v>
      </c>
      <c r="O246" s="13">
        <f t="shared" si="1"/>
        <v>9</v>
      </c>
    </row>
    <row r="247" ht="22.5" customHeight="1">
      <c r="B247" s="13">
        <f>IFERROR(__xludf.DUMMYFUNCTION("""COMPUTED_VALUE"""),242.0)</f>
        <v>242</v>
      </c>
      <c r="C247" s="13" t="str">
        <f>IFERROR(__xludf.DUMMYFUNCTION("""COMPUTED_VALUE"""),"B.1319/NEGERI OLOK GADING")</f>
        <v>B.1319/NEGERI OLOK GADING</v>
      </c>
      <c r="D247" s="13" t="str">
        <f>IFERROR(__xludf.DUMMYFUNCTION("""COMPUTED_VALUE"""),"K/49/181124/1")</f>
        <v>K/49/181124/1</v>
      </c>
      <c r="E247" s="14" t="str">
        <f>IFERROR(__xludf.DUMMYFUNCTION("""COMPUTED_VALUE"""),"Nadian (BT)")</f>
        <v>Nadian (BT)</v>
      </c>
      <c r="F247" s="14" t="str">
        <f>IFERROR(__xludf.DUMMYFUNCTION("""COMPUTED_VALUE"""),"SELESAI")</f>
        <v>SELESAI</v>
      </c>
      <c r="G247" s="17">
        <f>IFERROR(__xludf.DUMMYFUNCTION("""COMPUTED_VALUE"""),45615.6865975)</f>
        <v>45615.6866</v>
      </c>
      <c r="H247" s="14" t="str">
        <f>IFERROR(__xludf.DUMMYFUNCTION("""COMPUTED_VALUE"""),"Bu Eva (SU)")</f>
        <v>Bu Eva (SU)</v>
      </c>
      <c r="I247" s="13" t="str">
        <f>IFERROR(__xludf.DUMMYFUNCTION("""COMPUTED_VALUE"""),"SELESAI")</f>
        <v>SELESAI</v>
      </c>
      <c r="J247" s="17">
        <f>IFERROR(__xludf.DUMMYFUNCTION("""COMPUTED_VALUE"""),45616.63164245371)</f>
        <v>45616.63164</v>
      </c>
      <c r="K247" s="13" t="str">
        <f>IFERROR(__xludf.DUMMYFUNCTION("""COMPUTED_VALUE"""),"SELESAI")</f>
        <v>SELESAI</v>
      </c>
      <c r="L247" s="17">
        <f>IFERROR(__xludf.DUMMYFUNCTION("""COMPUTED_VALUE"""),45616.63164245371)</f>
        <v>45616.63164</v>
      </c>
      <c r="M247" s="17" t="str">
        <f>IFERROR(__xludf.DUMMYFUNCTION("""COMPUTED_VALUE"""),"")</f>
        <v/>
      </c>
      <c r="N247" s="17">
        <f>IFERROR(__xludf.DUMMYFUNCTION("""COMPUTED_VALUE"""),45617.59276244213)</f>
        <v>45617.59276</v>
      </c>
      <c r="O247" s="13">
        <f t="shared" si="1"/>
        <v>10</v>
      </c>
    </row>
    <row r="248" ht="22.5" customHeight="1">
      <c r="B248" s="13">
        <f>IFERROR(__xludf.DUMMYFUNCTION("""COMPUTED_VALUE"""),243.0)</f>
        <v>243</v>
      </c>
      <c r="C248" s="13" t="str">
        <f>IFERROR(__xludf.DUMMYFUNCTION("""COMPUTED_VALUE"""),"HM 18712/SUKARAME")</f>
        <v>HM 18712/SUKARAME</v>
      </c>
      <c r="D248" s="13" t="str">
        <f>IFERROR(__xludf.DUMMYFUNCTION("""COMPUTED_VALUE"""),"L/14/181124/1")</f>
        <v>L/14/181124/1</v>
      </c>
      <c r="E248" s="14" t="str">
        <f>IFERROR(__xludf.DUMMYFUNCTION("""COMPUTED_VALUE"""),"Nadian (BT)")</f>
        <v>Nadian (BT)</v>
      </c>
      <c r="F248" s="14" t="str">
        <f>IFERROR(__xludf.DUMMYFUNCTION("""COMPUTED_VALUE"""),"SELESAI")</f>
        <v>SELESAI</v>
      </c>
      <c r="G248" s="17">
        <f>IFERROR(__xludf.DUMMYFUNCTION("""COMPUTED_VALUE"""),45615.6865975)</f>
        <v>45615.6866</v>
      </c>
      <c r="H248" s="14" t="str">
        <f>IFERROR(__xludf.DUMMYFUNCTION("""COMPUTED_VALUE"""),"Bu Eva (SU)")</f>
        <v>Bu Eva (SU)</v>
      </c>
      <c r="I248" s="13" t="str">
        <f>IFERROR(__xludf.DUMMYFUNCTION("""COMPUTED_VALUE"""),"SELESAI")</f>
        <v>SELESAI</v>
      </c>
      <c r="J248" s="17">
        <f>IFERROR(__xludf.DUMMYFUNCTION("""COMPUTED_VALUE"""),45616.63166630787)</f>
        <v>45616.63167</v>
      </c>
      <c r="K248" s="13" t="str">
        <f>IFERROR(__xludf.DUMMYFUNCTION("""COMPUTED_VALUE"""),"SELESAI")</f>
        <v>SELESAI</v>
      </c>
      <c r="L248" s="17">
        <f>IFERROR(__xludf.DUMMYFUNCTION("""COMPUTED_VALUE"""),45616.63166630787)</f>
        <v>45616.63167</v>
      </c>
      <c r="M248" s="17" t="str">
        <f>IFERROR(__xludf.DUMMYFUNCTION("""COMPUTED_VALUE"""),"")</f>
        <v/>
      </c>
      <c r="N248" s="17">
        <f>IFERROR(__xludf.DUMMYFUNCTION("""COMPUTED_VALUE"""),45617.59281371528)</f>
        <v>45617.59281</v>
      </c>
      <c r="O248" s="13">
        <f t="shared" si="1"/>
        <v>11</v>
      </c>
    </row>
    <row r="249" ht="22.5" customHeight="1">
      <c r="B249" s="13">
        <f>IFERROR(__xludf.DUMMYFUNCTION("""COMPUTED_VALUE"""),244.0)</f>
        <v>244</v>
      </c>
      <c r="C249" s="13" t="str">
        <f>IFERROR(__xludf.DUMMYFUNCTION("""COMPUTED_VALUE"""),"M. 1004/ Gunung Agung-SEKARANG; M. 9784/ SEGALA MIDER-DAHULU")</f>
        <v>M. 1004/ Gunung Agung-SEKARANG; M. 9784/ SEGALA MIDER-DAHULU</v>
      </c>
      <c r="D249" s="13" t="str">
        <f>IFERROR(__xludf.DUMMYFUNCTION("""COMPUTED_VALUE"""),"K/14/121124/1")</f>
        <v>K/14/121124/1</v>
      </c>
      <c r="E249" s="14" t="str">
        <f>IFERROR(__xludf.DUMMYFUNCTION("""COMPUTED_VALUE"""),"Nadian (BT)")</f>
        <v>Nadian (BT)</v>
      </c>
      <c r="F249" s="14" t="str">
        <f>IFERROR(__xludf.DUMMYFUNCTION("""COMPUTED_VALUE"""),"SELESAI")</f>
        <v>SELESAI</v>
      </c>
      <c r="G249" s="17">
        <f>IFERROR(__xludf.DUMMYFUNCTION("""COMPUTED_VALUE"""),45615.6865975)</f>
        <v>45615.6866</v>
      </c>
      <c r="H249" s="14" t="str">
        <f>IFERROR(__xludf.DUMMYFUNCTION("""COMPUTED_VALUE"""),"Bu Eva (SU)")</f>
        <v>Bu Eva (SU)</v>
      </c>
      <c r="I249" s="13" t="str">
        <f>IFERROR(__xludf.DUMMYFUNCTION("""COMPUTED_VALUE"""),"SELESAI")</f>
        <v>SELESAI</v>
      </c>
      <c r="J249" s="17">
        <f>IFERROR(__xludf.DUMMYFUNCTION("""COMPUTED_VALUE"""),45616.6317059375)</f>
        <v>45616.63171</v>
      </c>
      <c r="K249" s="13" t="str">
        <f>IFERROR(__xludf.DUMMYFUNCTION("""COMPUTED_VALUE"""),"SELESAI")</f>
        <v>SELESAI</v>
      </c>
      <c r="L249" s="17">
        <f>IFERROR(__xludf.DUMMYFUNCTION("""COMPUTED_VALUE"""),45616.6317059375)</f>
        <v>45616.63171</v>
      </c>
      <c r="M249" s="17" t="str">
        <f>IFERROR(__xludf.DUMMYFUNCTION("""COMPUTED_VALUE"""),"")</f>
        <v/>
      </c>
      <c r="N249" s="17">
        <f>IFERROR(__xludf.DUMMYFUNCTION("""COMPUTED_VALUE"""),45617.592851875)</f>
        <v>45617.59285</v>
      </c>
      <c r="O249" s="13">
        <f t="shared" si="1"/>
        <v>12</v>
      </c>
    </row>
    <row r="250" ht="22.5" customHeight="1">
      <c r="B250" s="13">
        <f>IFERROR(__xludf.DUMMYFUNCTION("""COMPUTED_VALUE"""),245.0)</f>
        <v>245</v>
      </c>
      <c r="C250" s="13" t="str">
        <f>IFERROR(__xludf.DUMMYFUNCTION("""COMPUTED_VALUE"""),"M. 1635 / PANJANG SELATAN")</f>
        <v>M. 1635 / PANJANG SELATAN</v>
      </c>
      <c r="D250" s="13" t="str">
        <f>IFERROR(__xludf.DUMMYFUNCTION("""COMPUTED_VALUE"""),"K/28/131124/2")</f>
        <v>K/28/131124/2</v>
      </c>
      <c r="E250" s="14" t="str">
        <f>IFERROR(__xludf.DUMMYFUNCTION("""COMPUTED_VALUE"""),"Nadian (BT)")</f>
        <v>Nadian (BT)</v>
      </c>
      <c r="F250" s="14" t="str">
        <f>IFERROR(__xludf.DUMMYFUNCTION("""COMPUTED_VALUE"""),"SELESAI")</f>
        <v>SELESAI</v>
      </c>
      <c r="G250" s="17">
        <f>IFERROR(__xludf.DUMMYFUNCTION("""COMPUTED_VALUE"""),45615.6865975)</f>
        <v>45615.6866</v>
      </c>
      <c r="H250" s="14" t="str">
        <f>IFERROR(__xludf.DUMMYFUNCTION("""COMPUTED_VALUE"""),"Bu Eva (SU)")</f>
        <v>Bu Eva (SU)</v>
      </c>
      <c r="I250" s="13" t="str">
        <f>IFERROR(__xludf.DUMMYFUNCTION("""COMPUTED_VALUE"""),"SELESAI")</f>
        <v>SELESAI</v>
      </c>
      <c r="J250" s="17">
        <f>IFERROR(__xludf.DUMMYFUNCTION("""COMPUTED_VALUE"""),45616.63176210648)</f>
        <v>45616.63176</v>
      </c>
      <c r="K250" s="13" t="str">
        <f>IFERROR(__xludf.DUMMYFUNCTION("""COMPUTED_VALUE"""),"SELESAI")</f>
        <v>SELESAI</v>
      </c>
      <c r="L250" s="17">
        <f>IFERROR(__xludf.DUMMYFUNCTION("""COMPUTED_VALUE"""),45616.63176210648)</f>
        <v>45616.63176</v>
      </c>
      <c r="M250" s="17" t="str">
        <f>IFERROR(__xludf.DUMMYFUNCTION("""COMPUTED_VALUE"""),"")</f>
        <v/>
      </c>
      <c r="N250" s="17">
        <f>IFERROR(__xludf.DUMMYFUNCTION("""COMPUTED_VALUE"""),45617.59286659722)</f>
        <v>45617.59287</v>
      </c>
      <c r="O250" s="13">
        <f t="shared" si="1"/>
        <v>13</v>
      </c>
    </row>
    <row r="251" ht="22.5" customHeight="1">
      <c r="B251" s="13">
        <f>IFERROR(__xludf.DUMMYFUNCTION("""COMPUTED_VALUE"""),246.0)</f>
        <v>246</v>
      </c>
      <c r="C251" s="13" t="str">
        <f>IFERROR(__xludf.DUMMYFUNCTION("""COMPUTED_VALUE"""),"M. 9123 / TANJUNG BARU")</f>
        <v>M. 9123 / TANJUNG BARU</v>
      </c>
      <c r="D251" s="13" t="str">
        <f>IFERROR(__xludf.DUMMYFUNCTION("""COMPUTED_VALUE"""),"K/37/131124/1")</f>
        <v>K/37/131124/1</v>
      </c>
      <c r="E251" s="14" t="str">
        <f>IFERROR(__xludf.DUMMYFUNCTION("""COMPUTED_VALUE"""),"Nadian (BT)")</f>
        <v>Nadian (BT)</v>
      </c>
      <c r="F251" s="14" t="str">
        <f>IFERROR(__xludf.DUMMYFUNCTION("""COMPUTED_VALUE"""),"SELESAI")</f>
        <v>SELESAI</v>
      </c>
      <c r="G251" s="17">
        <f>IFERROR(__xludf.DUMMYFUNCTION("""COMPUTED_VALUE"""),45615.6865975)</f>
        <v>45615.6866</v>
      </c>
      <c r="H251" s="14" t="str">
        <f>IFERROR(__xludf.DUMMYFUNCTION("""COMPUTED_VALUE"""),"Bu Eva (SU)")</f>
        <v>Bu Eva (SU)</v>
      </c>
      <c r="I251" s="13" t="str">
        <f>IFERROR(__xludf.DUMMYFUNCTION("""COMPUTED_VALUE"""),"SELESAI")</f>
        <v>SELESAI</v>
      </c>
      <c r="J251" s="17">
        <f>IFERROR(__xludf.DUMMYFUNCTION("""COMPUTED_VALUE"""),45616.63176210648)</f>
        <v>45616.63176</v>
      </c>
      <c r="K251" s="13" t="str">
        <f>IFERROR(__xludf.DUMMYFUNCTION("""COMPUTED_VALUE"""),"SELESAI")</f>
        <v>SELESAI</v>
      </c>
      <c r="L251" s="17">
        <f>IFERROR(__xludf.DUMMYFUNCTION("""COMPUTED_VALUE"""),45616.63176210648)</f>
        <v>45616.63176</v>
      </c>
      <c r="M251" s="17" t="str">
        <f>IFERROR(__xludf.DUMMYFUNCTION("""COMPUTED_VALUE"""),"")</f>
        <v/>
      </c>
      <c r="N251" s="17">
        <f>IFERROR(__xludf.DUMMYFUNCTION("""COMPUTED_VALUE"""),45617.59287678241)</f>
        <v>45617.59288</v>
      </c>
      <c r="O251" s="13">
        <f t="shared" si="1"/>
        <v>14</v>
      </c>
    </row>
    <row r="252" ht="22.5" customHeight="1">
      <c r="B252" s="13">
        <f>IFERROR(__xludf.DUMMYFUNCTION("""COMPUTED_VALUE"""),247.0)</f>
        <v>247</v>
      </c>
      <c r="C252" s="13" t="str">
        <f>IFERROR(__xludf.DUMMYFUNCTION("""COMPUTED_VALUE"""),"M. 1103/ Sukamaju")</f>
        <v>M. 1103/ Sukamaju</v>
      </c>
      <c r="D252" s="13" t="str">
        <f>IFERROR(__xludf.DUMMYFUNCTION("""COMPUTED_VALUE"""),"K/7/121124/1")</f>
        <v>K/7/121124/1</v>
      </c>
      <c r="E252" s="14" t="str">
        <f>IFERROR(__xludf.DUMMYFUNCTION("""COMPUTED_VALUE"""),"Nadian (BT)")</f>
        <v>Nadian (BT)</v>
      </c>
      <c r="F252" s="14" t="str">
        <f>IFERROR(__xludf.DUMMYFUNCTION("""COMPUTED_VALUE"""),"SELESAI")</f>
        <v>SELESAI</v>
      </c>
      <c r="G252" s="17">
        <f>IFERROR(__xludf.DUMMYFUNCTION("""COMPUTED_VALUE"""),45615.6865975)</f>
        <v>45615.6866</v>
      </c>
      <c r="H252" s="14" t="str">
        <f>IFERROR(__xludf.DUMMYFUNCTION("""COMPUTED_VALUE"""),"Bu Eva (SU)")</f>
        <v>Bu Eva (SU)</v>
      </c>
      <c r="I252" s="13" t="str">
        <f>IFERROR(__xludf.DUMMYFUNCTION("""COMPUTED_VALUE"""),"SELESAI")</f>
        <v>SELESAI</v>
      </c>
      <c r="J252" s="17">
        <f>IFERROR(__xludf.DUMMYFUNCTION("""COMPUTED_VALUE"""),45616.63176210648)</f>
        <v>45616.63176</v>
      </c>
      <c r="K252" s="13" t="str">
        <f>IFERROR(__xludf.DUMMYFUNCTION("""COMPUTED_VALUE"""),"SELESAI")</f>
        <v>SELESAI</v>
      </c>
      <c r="L252" s="17">
        <f>IFERROR(__xludf.DUMMYFUNCTION("""COMPUTED_VALUE"""),45616.63176210648)</f>
        <v>45616.63176</v>
      </c>
      <c r="M252" s="17">
        <f>IFERROR(__xludf.DUMMYFUNCTION("""COMPUTED_VALUE"""),45643.62753116898)</f>
        <v>45643.62753</v>
      </c>
      <c r="N252" s="17">
        <f>IFERROR(__xludf.DUMMYFUNCTION("""COMPUTED_VALUE"""),45617.592889004634)</f>
        <v>45617.59289</v>
      </c>
      <c r="O252" s="13">
        <f t="shared" si="1"/>
        <v>15</v>
      </c>
    </row>
    <row r="253" ht="22.5" customHeight="1">
      <c r="B253" s="13">
        <f>IFERROR(__xludf.DUMMYFUNCTION("""COMPUTED_VALUE"""),248.0)</f>
        <v>248</v>
      </c>
      <c r="C253" s="13" t="str">
        <f>IFERROR(__xludf.DUMMYFUNCTION("""COMPUTED_VALUE"""),"M. 2126/ Kangkung")</f>
        <v>M. 2126/ Kangkung</v>
      </c>
      <c r="D253" s="13" t="str">
        <f>IFERROR(__xludf.DUMMYFUNCTION("""COMPUTED_VALUE"""),"K/5/041124/1")</f>
        <v>K/5/041124/1</v>
      </c>
      <c r="E253" s="14" t="str">
        <f>IFERROR(__xludf.DUMMYFUNCTION("""COMPUTED_VALUE"""),"Nadian (BT)")</f>
        <v>Nadian (BT)</v>
      </c>
      <c r="F253" s="14" t="str">
        <f>IFERROR(__xludf.DUMMYFUNCTION("""COMPUTED_VALUE"""),"SELESAI (VIA PERMOHONAN)")</f>
        <v>SELESAI (VIA PERMOHONAN)</v>
      </c>
      <c r="G253" s="17">
        <f>IFERROR(__xludf.DUMMYFUNCTION("""COMPUTED_VALUE"""),45615.68642474537)</f>
        <v>45615.68642</v>
      </c>
      <c r="H253" s="14" t="str">
        <f>IFERROR(__xludf.DUMMYFUNCTION("""COMPUTED_VALUE"""),"Aprill (SU)")</f>
        <v>Aprill (SU)</v>
      </c>
      <c r="I253" s="13" t="str">
        <f>IFERROR(__xludf.DUMMYFUNCTION("""COMPUTED_VALUE"""),"SELESAI (VIA PERMOHONAN)")</f>
        <v>SELESAI (VIA PERMOHONAN)</v>
      </c>
      <c r="J253" s="17">
        <f>IFERROR(__xludf.DUMMYFUNCTION("""COMPUTED_VALUE"""),45616.37891125)</f>
        <v>45616.37891</v>
      </c>
      <c r="K253" s="13" t="str">
        <f>IFERROR(__xludf.DUMMYFUNCTION("""COMPUTED_VALUE"""),"Selesai")</f>
        <v>Selesai</v>
      </c>
      <c r="L253" s="17">
        <f>IFERROR(__xludf.DUMMYFUNCTION("""COMPUTED_VALUE"""),45616.37891125)</f>
        <v>45616.37891</v>
      </c>
      <c r="M253" s="17">
        <f>IFERROR(__xludf.DUMMYFUNCTION("""COMPUTED_VALUE"""),45617.5929159838)</f>
        <v>45617.59292</v>
      </c>
      <c r="N253" s="13" t="str">
        <f>IFERROR(__xludf.DUMMYFUNCTION("""COMPUTED_VALUE"""),"")</f>
        <v/>
      </c>
      <c r="O253" s="13" t="str">
        <f t="shared" si="1"/>
        <v/>
      </c>
    </row>
    <row r="254" ht="22.5" customHeight="1">
      <c r="B254" s="13">
        <f>IFERROR(__xludf.DUMMYFUNCTION("""COMPUTED_VALUE"""),249.0)</f>
        <v>249</v>
      </c>
      <c r="C254" s="13" t="str">
        <f>IFERROR(__xludf.DUMMYFUNCTION("""COMPUTED_VALUE"""),"M. 1048/ Pematang Wangi")</f>
        <v>M. 1048/ Pematang Wangi</v>
      </c>
      <c r="D254" s="13" t="str">
        <f>IFERROR(__xludf.DUMMYFUNCTION("""COMPUTED_VALUE"""),"K/13/181124/1")</f>
        <v>K/13/181124/1</v>
      </c>
      <c r="E254" s="14" t="str">
        <f>IFERROR(__xludf.DUMMYFUNCTION("""COMPUTED_VALUE"""),"Afriza (BT)")</f>
        <v>Afriza (BT)</v>
      </c>
      <c r="F254" s="14" t="str">
        <f>IFERROR(__xludf.DUMMYFUNCTION("""COMPUTED_VALUE"""),"SELESAI")</f>
        <v>SELESAI</v>
      </c>
      <c r="G254" s="17">
        <f>IFERROR(__xludf.DUMMYFUNCTION("""COMPUTED_VALUE"""),45615.7162775)</f>
        <v>45615.71628</v>
      </c>
      <c r="H254" s="14" t="str">
        <f>IFERROR(__xludf.DUMMYFUNCTION("""COMPUTED_VALUE"""),"Bu Eva (SU)")</f>
        <v>Bu Eva (SU)</v>
      </c>
      <c r="I254" s="13" t="str">
        <f>IFERROR(__xludf.DUMMYFUNCTION("""COMPUTED_VALUE"""),"SELESAI")</f>
        <v>SELESAI</v>
      </c>
      <c r="J254" s="17">
        <f>IFERROR(__xludf.DUMMYFUNCTION("""COMPUTED_VALUE"""),45616.63182210649)</f>
        <v>45616.63182</v>
      </c>
      <c r="K254" s="13" t="str">
        <f>IFERROR(__xludf.DUMMYFUNCTION("""COMPUTED_VALUE"""),"SELESAI")</f>
        <v>SELESAI</v>
      </c>
      <c r="L254" s="17">
        <f>IFERROR(__xludf.DUMMYFUNCTION("""COMPUTED_VALUE"""),45616.63182210649)</f>
        <v>45616.63182</v>
      </c>
      <c r="M254" s="17" t="str">
        <f>IFERROR(__xludf.DUMMYFUNCTION("""COMPUTED_VALUE"""),"")</f>
        <v/>
      </c>
      <c r="N254" s="17">
        <f>IFERROR(__xludf.DUMMYFUNCTION("""COMPUTED_VALUE"""),45617.592981319445)</f>
        <v>45617.59298</v>
      </c>
      <c r="O254" s="13">
        <f t="shared" si="1"/>
        <v>1</v>
      </c>
    </row>
    <row r="255" ht="22.5" customHeight="1">
      <c r="B255" s="13">
        <f>IFERROR(__xludf.DUMMYFUNCTION("""COMPUTED_VALUE"""),250.0)</f>
        <v>250</v>
      </c>
      <c r="C255" s="13" t="str">
        <f>IFERROR(__xludf.DUMMYFUNCTION("""COMPUTED_VALUE"""),"M. 254/ Bumi Kedamaian")</f>
        <v>M. 254/ Bumi Kedamaian</v>
      </c>
      <c r="D255" s="13" t="str">
        <f>IFERROR(__xludf.DUMMYFUNCTION("""COMPUTED_VALUE"""),"K/4/181124/2")</f>
        <v>K/4/181124/2</v>
      </c>
      <c r="E255" s="14" t="str">
        <f>IFERROR(__xludf.DUMMYFUNCTION("""COMPUTED_VALUE"""),"Afriza (BT)")</f>
        <v>Afriza (BT)</v>
      </c>
      <c r="F255" s="14" t="str">
        <f>IFERROR(__xludf.DUMMYFUNCTION("""COMPUTED_VALUE"""),"SELESAI")</f>
        <v>SELESAI</v>
      </c>
      <c r="G255" s="17">
        <f>IFERROR(__xludf.DUMMYFUNCTION("""COMPUTED_VALUE"""),45615.71648483796)</f>
        <v>45615.71648</v>
      </c>
      <c r="H255" s="14" t="str">
        <f>IFERROR(__xludf.DUMMYFUNCTION("""COMPUTED_VALUE"""),"Bu Eva (SU)")</f>
        <v>Bu Eva (SU)</v>
      </c>
      <c r="I255" s="13" t="str">
        <f>IFERROR(__xludf.DUMMYFUNCTION("""COMPUTED_VALUE"""),"SELESAI")</f>
        <v>SELESAI</v>
      </c>
      <c r="J255" s="17">
        <f>IFERROR(__xludf.DUMMYFUNCTION("""COMPUTED_VALUE"""),45616.63185232639)</f>
        <v>45616.63185</v>
      </c>
      <c r="K255" s="13" t="str">
        <f>IFERROR(__xludf.DUMMYFUNCTION("""COMPUTED_VALUE"""),"SELESAI")</f>
        <v>SELESAI</v>
      </c>
      <c r="L255" s="17">
        <f>IFERROR(__xludf.DUMMYFUNCTION("""COMPUTED_VALUE"""),45616.63185232639)</f>
        <v>45616.63185</v>
      </c>
      <c r="M255" s="17" t="str">
        <f>IFERROR(__xludf.DUMMYFUNCTION("""COMPUTED_VALUE"""),"")</f>
        <v/>
      </c>
      <c r="N255" s="17">
        <f>IFERROR(__xludf.DUMMYFUNCTION("""COMPUTED_VALUE"""),45617.59298133102)</f>
        <v>45617.59298</v>
      </c>
      <c r="O255" s="13">
        <f t="shared" si="1"/>
        <v>2</v>
      </c>
    </row>
    <row r="256" ht="22.5" customHeight="1">
      <c r="B256" s="13">
        <f>IFERROR(__xludf.DUMMYFUNCTION("""COMPUTED_VALUE"""),251.0)</f>
        <v>251</v>
      </c>
      <c r="C256" s="13" t="str">
        <f>IFERROR(__xludf.DUMMYFUNCTION("""COMPUTED_VALUE"""),"M.10108/LABUHAN RATU")</f>
        <v>M.10108/LABUHAN RATU</v>
      </c>
      <c r="D256" s="13" t="str">
        <f>IFERROR(__xludf.DUMMYFUNCTION("""COMPUTED_VALUE"""),"K/20/151124/1")</f>
        <v>K/20/151124/1</v>
      </c>
      <c r="E256" s="14" t="str">
        <f>IFERROR(__xludf.DUMMYFUNCTION("""COMPUTED_VALUE"""),"Afriza (BT)")</f>
        <v>Afriza (BT)</v>
      </c>
      <c r="F256" s="14" t="str">
        <f>IFERROR(__xludf.DUMMYFUNCTION("""COMPUTED_VALUE"""),"SELESAI")</f>
        <v>SELESAI</v>
      </c>
      <c r="G256" s="17">
        <f>IFERROR(__xludf.DUMMYFUNCTION("""COMPUTED_VALUE"""),45615.71659708333)</f>
        <v>45615.7166</v>
      </c>
      <c r="H256" s="14" t="str">
        <f>IFERROR(__xludf.DUMMYFUNCTION("""COMPUTED_VALUE"""),"Bu Eva (SU)")</f>
        <v>Bu Eva (SU)</v>
      </c>
      <c r="I256" s="13" t="str">
        <f>IFERROR(__xludf.DUMMYFUNCTION("""COMPUTED_VALUE"""),"SELESAI")</f>
        <v>SELESAI</v>
      </c>
      <c r="J256" s="17">
        <f>IFERROR(__xludf.DUMMYFUNCTION("""COMPUTED_VALUE"""),45616.63185233796)</f>
        <v>45616.63185</v>
      </c>
      <c r="K256" s="13" t="str">
        <f>IFERROR(__xludf.DUMMYFUNCTION("""COMPUTED_VALUE"""),"SELESAI")</f>
        <v>SELESAI</v>
      </c>
      <c r="L256" s="17">
        <f>IFERROR(__xludf.DUMMYFUNCTION("""COMPUTED_VALUE"""),45616.63185233796)</f>
        <v>45616.63185</v>
      </c>
      <c r="M256" s="17">
        <f>IFERROR(__xludf.DUMMYFUNCTION("""COMPUTED_VALUE"""),45624.70305098379)</f>
        <v>45624.70305</v>
      </c>
      <c r="N256" s="17">
        <f>IFERROR(__xludf.DUMMYFUNCTION("""COMPUTED_VALUE"""),45617.59298133102)</f>
        <v>45617.59298</v>
      </c>
      <c r="O256" s="13">
        <f t="shared" si="1"/>
        <v>3</v>
      </c>
    </row>
    <row r="257" ht="22.5" customHeight="1">
      <c r="B257" s="13">
        <f>IFERROR(__xludf.DUMMYFUNCTION("""COMPUTED_VALUE"""),252.0)</f>
        <v>252</v>
      </c>
      <c r="C257" s="13" t="str">
        <f>IFERROR(__xludf.DUMMYFUNCTION("""COMPUTED_VALUE"""),"M. 80/ Tanjung Gading")</f>
        <v>M. 80/ Tanjung Gading</v>
      </c>
      <c r="D257" s="13" t="str">
        <f>IFERROR(__xludf.DUMMYFUNCTION("""COMPUTED_VALUE"""),"K/2/181124/2")</f>
        <v>K/2/181124/2</v>
      </c>
      <c r="E257" s="14" t="str">
        <f>IFERROR(__xludf.DUMMYFUNCTION("""COMPUTED_VALUE"""),"Afriza (BT)")</f>
        <v>Afriza (BT)</v>
      </c>
      <c r="F257" s="14" t="str">
        <f>IFERROR(__xludf.DUMMYFUNCTION("""COMPUTED_VALUE"""),"SELESAI")</f>
        <v>SELESAI</v>
      </c>
      <c r="G257" s="17">
        <f>IFERROR(__xludf.DUMMYFUNCTION("""COMPUTED_VALUE"""),45615.71671673611)</f>
        <v>45615.71672</v>
      </c>
      <c r="H257" s="14" t="str">
        <f>IFERROR(__xludf.DUMMYFUNCTION("""COMPUTED_VALUE"""),"Bu Eva (SU)")</f>
        <v>Bu Eva (SU)</v>
      </c>
      <c r="I257" s="13" t="str">
        <f>IFERROR(__xludf.DUMMYFUNCTION("""COMPUTED_VALUE"""),"SELESAI")</f>
        <v>SELESAI</v>
      </c>
      <c r="J257" s="17">
        <f>IFERROR(__xludf.DUMMYFUNCTION("""COMPUTED_VALUE"""),45616.63185233796)</f>
        <v>45616.63185</v>
      </c>
      <c r="K257" s="13" t="str">
        <f>IFERROR(__xludf.DUMMYFUNCTION("""COMPUTED_VALUE"""),"SELESAI")</f>
        <v>SELESAI</v>
      </c>
      <c r="L257" s="17">
        <f>IFERROR(__xludf.DUMMYFUNCTION("""COMPUTED_VALUE"""),45616.63185233796)</f>
        <v>45616.63185</v>
      </c>
      <c r="M257" s="17" t="str">
        <f>IFERROR(__xludf.DUMMYFUNCTION("""COMPUTED_VALUE"""),"")</f>
        <v/>
      </c>
      <c r="N257" s="17">
        <f>IFERROR(__xludf.DUMMYFUNCTION("""COMPUTED_VALUE"""),45617.593018750005)</f>
        <v>45617.59302</v>
      </c>
      <c r="O257" s="13">
        <f t="shared" si="1"/>
        <v>4</v>
      </c>
    </row>
    <row r="258" ht="22.5" customHeight="1">
      <c r="B258" s="13">
        <f>IFERROR(__xludf.DUMMYFUNCTION("""COMPUTED_VALUE"""),253.0)</f>
        <v>253</v>
      </c>
      <c r="C258" s="13" t="str">
        <f>IFERROR(__xludf.DUMMYFUNCTION("""COMPUTED_VALUE"""),"M.3972/RAJABASA JAYA")</f>
        <v>M.3972/RAJABASA JAYA</v>
      </c>
      <c r="D258" s="13" t="str">
        <f>IFERROR(__xludf.DUMMYFUNCTION("""COMPUTED_VALUE"""),"K/26/191124/1")</f>
        <v>K/26/191124/1</v>
      </c>
      <c r="E258" s="14" t="str">
        <f>IFERROR(__xludf.DUMMYFUNCTION("""COMPUTED_VALUE"""),"Afriza (BT)")</f>
        <v>Afriza (BT)</v>
      </c>
      <c r="F258" s="14" t="str">
        <f>IFERROR(__xludf.DUMMYFUNCTION("""COMPUTED_VALUE"""),"SELESAI")</f>
        <v>SELESAI</v>
      </c>
      <c r="G258" s="17">
        <f>IFERROR(__xludf.DUMMYFUNCTION("""COMPUTED_VALUE"""),45615.71746918981)</f>
        <v>45615.71747</v>
      </c>
      <c r="H258" s="14" t="str">
        <f>IFERROR(__xludf.DUMMYFUNCTION("""COMPUTED_VALUE"""),"Bu Eva (SU)")</f>
        <v>Bu Eva (SU)</v>
      </c>
      <c r="I258" s="13" t="str">
        <f>IFERROR(__xludf.DUMMYFUNCTION("""COMPUTED_VALUE"""),"SELESAI")</f>
        <v>SELESAI</v>
      </c>
      <c r="J258" s="17">
        <f>IFERROR(__xludf.DUMMYFUNCTION("""COMPUTED_VALUE"""),45616.631907546296)</f>
        <v>45616.63191</v>
      </c>
      <c r="K258" s="13" t="str">
        <f>IFERROR(__xludf.DUMMYFUNCTION("""COMPUTED_VALUE"""),"SELESAI")</f>
        <v>SELESAI</v>
      </c>
      <c r="L258" s="17">
        <f>IFERROR(__xludf.DUMMYFUNCTION("""COMPUTED_VALUE"""),45616.631907546296)</f>
        <v>45616.63191</v>
      </c>
      <c r="M258" s="17" t="str">
        <f>IFERROR(__xludf.DUMMYFUNCTION("""COMPUTED_VALUE"""),"")</f>
        <v/>
      </c>
      <c r="N258" s="17">
        <f>IFERROR(__xludf.DUMMYFUNCTION("""COMPUTED_VALUE"""),45617.593057164355)</f>
        <v>45617.59306</v>
      </c>
      <c r="O258" s="13">
        <f t="shared" si="1"/>
        <v>5</v>
      </c>
    </row>
    <row r="259" ht="22.5" customHeight="1">
      <c r="B259" s="13">
        <f>IFERROR(__xludf.DUMMYFUNCTION("""COMPUTED_VALUE"""),254.0)</f>
        <v>254</v>
      </c>
      <c r="C259" s="13" t="str">
        <f>IFERROR(__xludf.DUMMYFUNCTION("""COMPUTED_VALUE"""),"B. 201/LABUHAN DALAM")</f>
        <v>B. 201/LABUHAN DALAM</v>
      </c>
      <c r="D259" s="13" t="str">
        <f>IFERROR(__xludf.DUMMYFUNCTION("""COMPUTED_VALUE"""),"K/23/181124/1")</f>
        <v>K/23/181124/1</v>
      </c>
      <c r="E259" s="14" t="str">
        <f>IFERROR(__xludf.DUMMYFUNCTION("""COMPUTED_VALUE"""),"Afriza (BT)")</f>
        <v>Afriza (BT)</v>
      </c>
      <c r="F259" s="14" t="str">
        <f>IFERROR(__xludf.DUMMYFUNCTION("""COMPUTED_VALUE"""),"SELESAI")</f>
        <v>SELESAI</v>
      </c>
      <c r="G259" s="17">
        <f>IFERROR(__xludf.DUMMYFUNCTION("""COMPUTED_VALUE"""),45616.683522349536)</f>
        <v>45616.68352</v>
      </c>
      <c r="H259" s="14" t="str">
        <f>IFERROR(__xludf.DUMMYFUNCTION("""COMPUTED_VALUE"""),"Bu Eva (SU)")</f>
        <v>Bu Eva (SU)</v>
      </c>
      <c r="I259" s="13" t="str">
        <f>IFERROR(__xludf.DUMMYFUNCTION("""COMPUTED_VALUE"""),"SELESAI")</f>
        <v>SELESAI</v>
      </c>
      <c r="J259" s="17">
        <f>IFERROR(__xludf.DUMMYFUNCTION("""COMPUTED_VALUE"""),45617.592307430554)</f>
        <v>45617.59231</v>
      </c>
      <c r="K259" s="13" t="str">
        <f>IFERROR(__xludf.DUMMYFUNCTION("""COMPUTED_VALUE"""),"SELESAI")</f>
        <v>SELESAI</v>
      </c>
      <c r="L259" s="17">
        <f>IFERROR(__xludf.DUMMYFUNCTION("""COMPUTED_VALUE"""),45617.592307430554)</f>
        <v>45617.59231</v>
      </c>
      <c r="M259" s="17" t="str">
        <f>IFERROR(__xludf.DUMMYFUNCTION("""COMPUTED_VALUE"""),"")</f>
        <v/>
      </c>
      <c r="N259" s="17">
        <f>IFERROR(__xludf.DUMMYFUNCTION("""COMPUTED_VALUE"""),45617.59321126157)</f>
        <v>45617.59321</v>
      </c>
      <c r="O259" s="13">
        <f t="shared" si="1"/>
        <v>6</v>
      </c>
    </row>
    <row r="260" ht="22.5" customHeight="1">
      <c r="B260" s="13">
        <f>IFERROR(__xludf.DUMMYFUNCTION("""COMPUTED_VALUE"""),255.0)</f>
        <v>255</v>
      </c>
      <c r="C260" s="13" t="str">
        <f>IFERROR(__xludf.DUMMYFUNCTION("""COMPUTED_VALUE"""),"B.202/LABUHAN DALAM")</f>
        <v>B.202/LABUHAN DALAM</v>
      </c>
      <c r="D260" s="13" t="str">
        <f>IFERROR(__xludf.DUMMYFUNCTION("""COMPUTED_VALUE"""),"K/24/181124/2")</f>
        <v>K/24/181124/2</v>
      </c>
      <c r="E260" s="14" t="str">
        <f>IFERROR(__xludf.DUMMYFUNCTION("""COMPUTED_VALUE"""),"Afriza (BT)")</f>
        <v>Afriza (BT)</v>
      </c>
      <c r="F260" s="14" t="str">
        <f>IFERROR(__xludf.DUMMYFUNCTION("""COMPUTED_VALUE"""),"SELESAI")</f>
        <v>SELESAI</v>
      </c>
      <c r="G260" s="17">
        <f>IFERROR(__xludf.DUMMYFUNCTION("""COMPUTED_VALUE"""),45616.683648101854)</f>
        <v>45616.68365</v>
      </c>
      <c r="H260" s="14" t="str">
        <f>IFERROR(__xludf.DUMMYFUNCTION("""COMPUTED_VALUE"""),"Bu Eva (SU)")</f>
        <v>Bu Eva (SU)</v>
      </c>
      <c r="I260" s="13" t="str">
        <f>IFERROR(__xludf.DUMMYFUNCTION("""COMPUTED_VALUE"""),"SELESAI")</f>
        <v>SELESAI</v>
      </c>
      <c r="J260" s="17">
        <f>IFERROR(__xludf.DUMMYFUNCTION("""COMPUTED_VALUE"""),45617.592307430554)</f>
        <v>45617.59231</v>
      </c>
      <c r="K260" s="13" t="str">
        <f>IFERROR(__xludf.DUMMYFUNCTION("""COMPUTED_VALUE"""),"SELESAI")</f>
        <v>SELESAI</v>
      </c>
      <c r="L260" s="17">
        <f>IFERROR(__xludf.DUMMYFUNCTION("""COMPUTED_VALUE"""),45617.592307430554)</f>
        <v>45617.59231</v>
      </c>
      <c r="M260" s="17" t="str">
        <f>IFERROR(__xludf.DUMMYFUNCTION("""COMPUTED_VALUE"""),"")</f>
        <v/>
      </c>
      <c r="N260" s="17">
        <f>IFERROR(__xludf.DUMMYFUNCTION("""COMPUTED_VALUE"""),45617.59321126157)</f>
        <v>45617.59321</v>
      </c>
      <c r="O260" s="13">
        <f t="shared" si="1"/>
        <v>7</v>
      </c>
    </row>
    <row r="261" ht="22.5" customHeight="1">
      <c r="B261" s="13">
        <f>IFERROR(__xludf.DUMMYFUNCTION("""COMPUTED_VALUE"""),256.0)</f>
        <v>256</v>
      </c>
      <c r="C261" s="13" t="str">
        <f>IFERROR(__xludf.DUMMYFUNCTION("""COMPUTED_VALUE"""),"HM 9634/SURABAYA")</f>
        <v>HM 9634/SURABAYA</v>
      </c>
      <c r="D261" s="13" t="str">
        <f>IFERROR(__xludf.DUMMYFUNCTION("""COMPUTED_VALUE"""),"L/38/181124/1")</f>
        <v>L/38/181124/1</v>
      </c>
      <c r="E261" s="14" t="str">
        <f>IFERROR(__xludf.DUMMYFUNCTION("""COMPUTED_VALUE"""),"Afriza (BT)")</f>
        <v>Afriza (BT)</v>
      </c>
      <c r="F261" s="14" t="str">
        <f>IFERROR(__xludf.DUMMYFUNCTION("""COMPUTED_VALUE"""),"SELESAI")</f>
        <v>SELESAI</v>
      </c>
      <c r="G261" s="17">
        <f>IFERROR(__xludf.DUMMYFUNCTION("""COMPUTED_VALUE"""),45616.68375476851)</f>
        <v>45616.68375</v>
      </c>
      <c r="H261" s="14" t="str">
        <f>IFERROR(__xludf.DUMMYFUNCTION("""COMPUTED_VALUE"""),"Bu Eva (SU)")</f>
        <v>Bu Eva (SU)</v>
      </c>
      <c r="I261" s="13" t="str">
        <f>IFERROR(__xludf.DUMMYFUNCTION("""COMPUTED_VALUE"""),"SELESAI")</f>
        <v>SELESAI</v>
      </c>
      <c r="J261" s="17">
        <f>IFERROR(__xludf.DUMMYFUNCTION("""COMPUTED_VALUE"""),45617.592307430554)</f>
        <v>45617.59231</v>
      </c>
      <c r="K261" s="13" t="str">
        <f>IFERROR(__xludf.DUMMYFUNCTION("""COMPUTED_VALUE"""),"SELESAI")</f>
        <v>SELESAI</v>
      </c>
      <c r="L261" s="17">
        <f>IFERROR(__xludf.DUMMYFUNCTION("""COMPUTED_VALUE"""),45617.592307430554)</f>
        <v>45617.59231</v>
      </c>
      <c r="M261" s="17" t="str">
        <f>IFERROR(__xludf.DUMMYFUNCTION("""COMPUTED_VALUE"""),"")</f>
        <v/>
      </c>
      <c r="N261" s="17">
        <f>IFERROR(__xludf.DUMMYFUNCTION("""COMPUTED_VALUE"""),45617.59321126157)</f>
        <v>45617.59321</v>
      </c>
      <c r="O261" s="13">
        <f t="shared" si="1"/>
        <v>8</v>
      </c>
    </row>
    <row r="262" ht="22.5" customHeight="1">
      <c r="B262" s="13">
        <f>IFERROR(__xludf.DUMMYFUNCTION("""COMPUTED_VALUE"""),257.0)</f>
        <v>257</v>
      </c>
      <c r="C262" s="13" t="str">
        <f>IFERROR(__xludf.DUMMYFUNCTION("""COMPUTED_VALUE"""),"M. 5046/ Langkapura; SHT 3779/2018")</f>
        <v>M. 5046/ Langkapura; SHT 3779/2018</v>
      </c>
      <c r="D262" s="13" t="str">
        <f>IFERROR(__xludf.DUMMYFUNCTION("""COMPUTED_VALUE"""),"K/14/191124/2")</f>
        <v>K/14/191124/2</v>
      </c>
      <c r="E262" s="14" t="str">
        <f>IFERROR(__xludf.DUMMYFUNCTION("""COMPUTED_VALUE"""),"Afriza (BT)")</f>
        <v>Afriza (BT)</v>
      </c>
      <c r="F262" s="14" t="str">
        <f>IFERROR(__xludf.DUMMYFUNCTION("""COMPUTED_VALUE"""),"SELESAI")</f>
        <v>SELESAI</v>
      </c>
      <c r="G262" s="17">
        <f>IFERROR(__xludf.DUMMYFUNCTION("""COMPUTED_VALUE"""),45616.68417394676)</f>
        <v>45616.68417</v>
      </c>
      <c r="H262" s="14" t="str">
        <f>IFERROR(__xludf.DUMMYFUNCTION("""COMPUTED_VALUE"""),"Bu Eva (SU)")</f>
        <v>Bu Eva (SU)</v>
      </c>
      <c r="I262" s="13" t="str">
        <f>IFERROR(__xludf.DUMMYFUNCTION("""COMPUTED_VALUE"""),"SELESAI")</f>
        <v>SELESAI</v>
      </c>
      <c r="J262" s="17">
        <f>IFERROR(__xludf.DUMMYFUNCTION("""COMPUTED_VALUE"""),45617.59233722222)</f>
        <v>45617.59234</v>
      </c>
      <c r="K262" s="13" t="str">
        <f>IFERROR(__xludf.DUMMYFUNCTION("""COMPUTED_VALUE"""),"SELESAI")</f>
        <v>SELESAI</v>
      </c>
      <c r="L262" s="17">
        <f>IFERROR(__xludf.DUMMYFUNCTION("""COMPUTED_VALUE"""),45617.59233722222)</f>
        <v>45617.59234</v>
      </c>
      <c r="M262" s="17">
        <f>IFERROR(__xludf.DUMMYFUNCTION("""COMPUTED_VALUE"""),45635.701057569444)</f>
        <v>45635.70106</v>
      </c>
      <c r="N262" s="17">
        <f>IFERROR(__xludf.DUMMYFUNCTION("""COMPUTED_VALUE"""),45617.59321126157)</f>
        <v>45617.59321</v>
      </c>
      <c r="O262" s="13">
        <f t="shared" si="1"/>
        <v>9</v>
      </c>
    </row>
    <row r="263" ht="22.5" customHeight="1">
      <c r="B263" s="13">
        <f>IFERROR(__xludf.DUMMYFUNCTION("""COMPUTED_VALUE"""),258.0)</f>
        <v>258</v>
      </c>
      <c r="C263" s="13" t="str">
        <f>IFERROR(__xludf.DUMMYFUNCTION("""COMPUTED_VALUE"""),"HGB 220/BAKUNG")</f>
        <v>HGB 220/BAKUNG</v>
      </c>
      <c r="D263" s="13" t="str">
        <f>IFERROR(__xludf.DUMMYFUNCTION("""COMPUTED_VALUE"""),"L/28/181124/1")</f>
        <v>L/28/181124/1</v>
      </c>
      <c r="E263" s="14" t="str">
        <f>IFERROR(__xludf.DUMMYFUNCTION("""COMPUTED_VALUE"""),"Afriza (BT)")</f>
        <v>Afriza (BT)</v>
      </c>
      <c r="F263" s="14" t="str">
        <f>IFERROR(__xludf.DUMMYFUNCTION("""COMPUTED_VALUE"""),"SELESAI")</f>
        <v>SELESAI</v>
      </c>
      <c r="G263" s="17">
        <f>IFERROR(__xludf.DUMMYFUNCTION("""COMPUTED_VALUE"""),45616.6846066088)</f>
        <v>45616.68461</v>
      </c>
      <c r="H263" s="14" t="str">
        <f>IFERROR(__xludf.DUMMYFUNCTION("""COMPUTED_VALUE"""),"Bu Eva (SU)")</f>
        <v>Bu Eva (SU)</v>
      </c>
      <c r="I263" s="13" t="str">
        <f>IFERROR(__xludf.DUMMYFUNCTION("""COMPUTED_VALUE"""),"SELESAI")</f>
        <v>SELESAI</v>
      </c>
      <c r="J263" s="17">
        <f>IFERROR(__xludf.DUMMYFUNCTION("""COMPUTED_VALUE"""),45617.59233722222)</f>
        <v>45617.59234</v>
      </c>
      <c r="K263" s="13" t="str">
        <f>IFERROR(__xludf.DUMMYFUNCTION("""COMPUTED_VALUE"""),"SELESAI")</f>
        <v>SELESAI</v>
      </c>
      <c r="L263" s="17">
        <f>IFERROR(__xludf.DUMMYFUNCTION("""COMPUTED_VALUE"""),45617.59233722222)</f>
        <v>45617.59234</v>
      </c>
      <c r="M263" s="17" t="str">
        <f>IFERROR(__xludf.DUMMYFUNCTION("""COMPUTED_VALUE"""),"")</f>
        <v/>
      </c>
      <c r="N263" s="17">
        <f>IFERROR(__xludf.DUMMYFUNCTION("""COMPUTED_VALUE"""),45617.59322733796)</f>
        <v>45617.59323</v>
      </c>
      <c r="O263" s="13">
        <f t="shared" si="1"/>
        <v>10</v>
      </c>
    </row>
    <row r="264" ht="22.5" customHeight="1">
      <c r="B264" s="13">
        <f>IFERROR(__xludf.DUMMYFUNCTION("""COMPUTED_VALUE"""),259.0)</f>
        <v>259</v>
      </c>
      <c r="C264" s="13" t="str">
        <f>IFERROR(__xludf.DUMMYFUNCTION("""COMPUTED_VALUE"""),"HGB 50/DURIAN PAYUNG")</f>
        <v>HGB 50/DURIAN PAYUNG</v>
      </c>
      <c r="D264" s="13" t="str">
        <f>IFERROR(__xludf.DUMMYFUNCTION("""COMPUTED_VALUE"""),"L/4/161124/1")</f>
        <v>L/4/161124/1</v>
      </c>
      <c r="E264" s="14" t="str">
        <f>IFERROR(__xludf.DUMMYFUNCTION("""COMPUTED_VALUE"""),"Afriza (BT)")</f>
        <v>Afriza (BT)</v>
      </c>
      <c r="F264" s="14" t="str">
        <f>IFERROR(__xludf.DUMMYFUNCTION("""COMPUTED_VALUE"""),"SELESAI")</f>
        <v>SELESAI</v>
      </c>
      <c r="G264" s="17">
        <f>IFERROR(__xludf.DUMMYFUNCTION("""COMPUTED_VALUE"""),45616.68469458334)</f>
        <v>45616.68469</v>
      </c>
      <c r="H264" s="14" t="str">
        <f>IFERROR(__xludf.DUMMYFUNCTION("""COMPUTED_VALUE"""),"Bu Eva (SU)")</f>
        <v>Bu Eva (SU)</v>
      </c>
      <c r="I264" s="13" t="str">
        <f>IFERROR(__xludf.DUMMYFUNCTION("""COMPUTED_VALUE"""),"SELESAI")</f>
        <v>SELESAI</v>
      </c>
      <c r="J264" s="17">
        <f>IFERROR(__xludf.DUMMYFUNCTION("""COMPUTED_VALUE"""),45617.59240822917)</f>
        <v>45617.59241</v>
      </c>
      <c r="K264" s="13" t="str">
        <f>IFERROR(__xludf.DUMMYFUNCTION("""COMPUTED_VALUE"""),"SELESAI")</f>
        <v>SELESAI</v>
      </c>
      <c r="L264" s="17">
        <f>IFERROR(__xludf.DUMMYFUNCTION("""COMPUTED_VALUE"""),45617.59240822917)</f>
        <v>45617.59241</v>
      </c>
      <c r="M264" s="17" t="str">
        <f>IFERROR(__xludf.DUMMYFUNCTION("""COMPUTED_VALUE"""),"")</f>
        <v/>
      </c>
      <c r="N264" s="17">
        <f>IFERROR(__xludf.DUMMYFUNCTION("""COMPUTED_VALUE"""),45617.59323773148)</f>
        <v>45617.59324</v>
      </c>
      <c r="O264" s="13">
        <f t="shared" si="1"/>
        <v>11</v>
      </c>
    </row>
    <row r="265" ht="22.5" customHeight="1">
      <c r="B265" s="13">
        <f>IFERROR(__xludf.DUMMYFUNCTION("""COMPUTED_VALUE"""),260.0)</f>
        <v>260</v>
      </c>
      <c r="C265" s="13" t="str">
        <f>IFERROR(__xludf.DUMMYFUNCTION("""COMPUTED_VALUE"""),"M. 10668/ Kedaton")</f>
        <v>M. 10668/ Kedaton</v>
      </c>
      <c r="D265" s="13" t="str">
        <f>IFERROR(__xludf.DUMMYFUNCTION("""COMPUTED_VALUE"""),"K/35/131124/2")</f>
        <v>K/35/131124/2</v>
      </c>
      <c r="E265" s="14" t="str">
        <f>IFERROR(__xludf.DUMMYFUNCTION("""COMPUTED_VALUE"""),"Nadian (BT)")</f>
        <v>Nadian (BT)</v>
      </c>
      <c r="F265" s="14" t="str">
        <f>IFERROR(__xludf.DUMMYFUNCTION("""COMPUTED_VALUE"""),"SELESAI (VIA PERMOHONAN)")</f>
        <v>SELESAI (VIA PERMOHONAN)</v>
      </c>
      <c r="G265" s="17">
        <f>IFERROR(__xludf.DUMMYFUNCTION("""COMPUTED_VALUE"""),45617.35877773148)</f>
        <v>45617.35878</v>
      </c>
      <c r="H265" s="14" t="str">
        <f>IFERROR(__xludf.DUMMYFUNCTION("""COMPUTED_VALUE"""),"Aprill (SU)")</f>
        <v>Aprill (SU)</v>
      </c>
      <c r="I265" s="13" t="str">
        <f>IFERROR(__xludf.DUMMYFUNCTION("""COMPUTED_VALUE"""),"SELESAI (VIA PERMOHONAN)")</f>
        <v>SELESAI (VIA PERMOHONAN)</v>
      </c>
      <c r="J265" s="17">
        <f>IFERROR(__xludf.DUMMYFUNCTION("""COMPUTED_VALUE"""),45617.591878761574)</f>
        <v>45617.59188</v>
      </c>
      <c r="K265" s="13" t="str">
        <f>IFERROR(__xludf.DUMMYFUNCTION("""COMPUTED_VALUE"""),"Selesai")</f>
        <v>Selesai</v>
      </c>
      <c r="L265" s="17">
        <f>IFERROR(__xludf.DUMMYFUNCTION("""COMPUTED_VALUE"""),45617.591878761574)</f>
        <v>45617.59188</v>
      </c>
      <c r="M265" s="17">
        <f>IFERROR(__xludf.DUMMYFUNCTION("""COMPUTED_VALUE"""),45617.59333137731)</f>
        <v>45617.59333</v>
      </c>
      <c r="N265" s="13" t="str">
        <f>IFERROR(__xludf.DUMMYFUNCTION("""COMPUTED_VALUE"""),"")</f>
        <v/>
      </c>
      <c r="O265" s="13" t="str">
        <f t="shared" si="1"/>
        <v/>
      </c>
    </row>
    <row r="266" ht="22.5" customHeight="1">
      <c r="B266" s="13">
        <f>IFERROR(__xludf.DUMMYFUNCTION("""COMPUTED_VALUE"""),261.0)</f>
        <v>261</v>
      </c>
      <c r="C266" s="13" t="str">
        <f>IFERROR(__xludf.DUMMYFUNCTION("""COMPUTED_VALUE"""),"M. 740/ Perwata")</f>
        <v>M. 740/ Perwata</v>
      </c>
      <c r="D266" s="13" t="str">
        <f>IFERROR(__xludf.DUMMYFUNCTION("""COMPUTED_VALUE"""),"K/9/141124/1")</f>
        <v>K/9/141124/1</v>
      </c>
      <c r="E266" s="14" t="str">
        <f>IFERROR(__xludf.DUMMYFUNCTION("""COMPUTED_VALUE"""),"Nadian (BT)")</f>
        <v>Nadian (BT)</v>
      </c>
      <c r="F266" s="14" t="str">
        <f>IFERROR(__xludf.DUMMYFUNCTION("""COMPUTED_VALUE"""),"SELESAI (VIA PERMOHONAN)")</f>
        <v>SELESAI (VIA PERMOHONAN)</v>
      </c>
      <c r="G266" s="17">
        <f>IFERROR(__xludf.DUMMYFUNCTION("""COMPUTED_VALUE"""),45617.35882313657)</f>
        <v>45617.35882</v>
      </c>
      <c r="H266" s="14" t="str">
        <f>IFERROR(__xludf.DUMMYFUNCTION("""COMPUTED_VALUE"""),"Aprill (SU)")</f>
        <v>Aprill (SU)</v>
      </c>
      <c r="I266" s="13" t="str">
        <f>IFERROR(__xludf.DUMMYFUNCTION("""COMPUTED_VALUE"""),"SELESAI (VIA PERMOHONAN)")</f>
        <v>SELESAI (VIA PERMOHONAN)</v>
      </c>
      <c r="J266" s="17">
        <f>IFERROR(__xludf.DUMMYFUNCTION("""COMPUTED_VALUE"""),45617.591878761574)</f>
        <v>45617.59188</v>
      </c>
      <c r="K266" s="13" t="str">
        <f>IFERROR(__xludf.DUMMYFUNCTION("""COMPUTED_VALUE"""),"Selesai")</f>
        <v>Selesai</v>
      </c>
      <c r="L266" s="17">
        <f>IFERROR(__xludf.DUMMYFUNCTION("""COMPUTED_VALUE"""),45617.591878761574)</f>
        <v>45617.59188</v>
      </c>
      <c r="M266" s="17">
        <f>IFERROR(__xludf.DUMMYFUNCTION("""COMPUTED_VALUE"""),45617.59333137731)</f>
        <v>45617.59333</v>
      </c>
      <c r="N266" s="13" t="str">
        <f>IFERROR(__xludf.DUMMYFUNCTION("""COMPUTED_VALUE"""),"")</f>
        <v/>
      </c>
      <c r="O266" s="13" t="str">
        <f t="shared" si="1"/>
        <v/>
      </c>
    </row>
    <row r="267" ht="22.5" customHeight="1">
      <c r="B267" s="13">
        <f>IFERROR(__xludf.DUMMYFUNCTION("""COMPUTED_VALUE"""),262.0)</f>
        <v>262</v>
      </c>
      <c r="C267" s="13" t="str">
        <f>IFERROR(__xludf.DUMMYFUNCTION("""COMPUTED_VALUE"""),"B. 770/ SUMUR PUTRI")</f>
        <v>B. 770/ SUMUR PUTRI</v>
      </c>
      <c r="D267" s="13" t="str">
        <f>IFERROR(__xludf.DUMMYFUNCTION("""COMPUTED_VALUE"""),"K/1/281024/1")</f>
        <v>K/1/281024/1</v>
      </c>
      <c r="E267" s="14" t="str">
        <f>IFERROR(__xludf.DUMMYFUNCTION("""COMPUTED_VALUE"""),"Nadian (BT)")</f>
        <v>Nadian (BT)</v>
      </c>
      <c r="F267" s="14" t="str">
        <f>IFERROR(__xludf.DUMMYFUNCTION("""COMPUTED_VALUE"""),"SELESAI (VIA PERMOHONAN)")</f>
        <v>SELESAI (VIA PERMOHONAN)</v>
      </c>
      <c r="G267" s="17">
        <f>IFERROR(__xludf.DUMMYFUNCTION("""COMPUTED_VALUE"""),45617.35882313657)</f>
        <v>45617.35882</v>
      </c>
      <c r="H267" s="14" t="str">
        <f>IFERROR(__xludf.DUMMYFUNCTION("""COMPUTED_VALUE"""),"Aprill (SU)")</f>
        <v>Aprill (SU)</v>
      </c>
      <c r="I267" s="13" t="str">
        <f>IFERROR(__xludf.DUMMYFUNCTION("""COMPUTED_VALUE"""),"SELESAI (VIA PERMOHONAN)")</f>
        <v>SELESAI (VIA PERMOHONAN)</v>
      </c>
      <c r="J267" s="17">
        <f>IFERROR(__xludf.DUMMYFUNCTION("""COMPUTED_VALUE"""),45617.59189555555)</f>
        <v>45617.5919</v>
      </c>
      <c r="K267" s="13" t="str">
        <f>IFERROR(__xludf.DUMMYFUNCTION("""COMPUTED_VALUE"""),"Selesai")</f>
        <v>Selesai</v>
      </c>
      <c r="L267" s="17">
        <f>IFERROR(__xludf.DUMMYFUNCTION("""COMPUTED_VALUE"""),45617.59189555555)</f>
        <v>45617.5919</v>
      </c>
      <c r="M267" s="17">
        <f>IFERROR(__xludf.DUMMYFUNCTION("""COMPUTED_VALUE"""),45617.59333137731)</f>
        <v>45617.59333</v>
      </c>
      <c r="N267" s="13" t="str">
        <f>IFERROR(__xludf.DUMMYFUNCTION("""COMPUTED_VALUE"""),"")</f>
        <v/>
      </c>
      <c r="O267" s="13" t="str">
        <f t="shared" si="1"/>
        <v/>
      </c>
    </row>
    <row r="268" ht="22.5" customHeight="1">
      <c r="B268" s="13">
        <f>IFERROR(__xludf.DUMMYFUNCTION("""COMPUTED_VALUE"""),263.0)</f>
        <v>263</v>
      </c>
      <c r="C268" s="13" t="str">
        <f>IFERROR(__xludf.DUMMYFUNCTION("""COMPUTED_VALUE"""),"M. 1775/ Rajabasa Pemuka")</f>
        <v>M. 1775/ Rajabasa Pemuka</v>
      </c>
      <c r="D268" s="13" t="str">
        <f>IFERROR(__xludf.DUMMYFUNCTION("""COMPUTED_VALUE"""),"K/39/111124/1")</f>
        <v>K/39/111124/1</v>
      </c>
      <c r="E268" s="14" t="str">
        <f>IFERROR(__xludf.DUMMYFUNCTION("""COMPUTED_VALUE"""),"Nadian (BT)")</f>
        <v>Nadian (BT)</v>
      </c>
      <c r="F268" s="14" t="str">
        <f>IFERROR(__xludf.DUMMYFUNCTION("""COMPUTED_VALUE"""),"SELESAI (VIA PERMOHONAN)")</f>
        <v>SELESAI (VIA PERMOHONAN)</v>
      </c>
      <c r="G268" s="17">
        <f>IFERROR(__xludf.DUMMYFUNCTION("""COMPUTED_VALUE"""),45617.35882313657)</f>
        <v>45617.35882</v>
      </c>
      <c r="H268" s="14" t="str">
        <f>IFERROR(__xludf.DUMMYFUNCTION("""COMPUTED_VALUE"""),"Aprill (SU)")</f>
        <v>Aprill (SU)</v>
      </c>
      <c r="I268" s="13" t="str">
        <f>IFERROR(__xludf.DUMMYFUNCTION("""COMPUTED_VALUE"""),"SELESAI (VIA PERMOHONAN)")</f>
        <v>SELESAI (VIA PERMOHONAN)</v>
      </c>
      <c r="J268" s="17">
        <f>IFERROR(__xludf.DUMMYFUNCTION("""COMPUTED_VALUE"""),45617.5919580787)</f>
        <v>45617.59196</v>
      </c>
      <c r="K268" s="13" t="str">
        <f>IFERROR(__xludf.DUMMYFUNCTION("""COMPUTED_VALUE"""),"Selesai")</f>
        <v>Selesai</v>
      </c>
      <c r="L268" s="17">
        <f>IFERROR(__xludf.DUMMYFUNCTION("""COMPUTED_VALUE"""),45617.5919580787)</f>
        <v>45617.59196</v>
      </c>
      <c r="M268" s="17">
        <f>IFERROR(__xludf.DUMMYFUNCTION("""COMPUTED_VALUE"""),45617.59335501157)</f>
        <v>45617.59336</v>
      </c>
      <c r="N268" s="13" t="str">
        <f>IFERROR(__xludf.DUMMYFUNCTION("""COMPUTED_VALUE"""),"")</f>
        <v/>
      </c>
      <c r="O268" s="13" t="str">
        <f t="shared" si="1"/>
        <v/>
      </c>
    </row>
    <row r="269" ht="22.5" customHeight="1">
      <c r="B269" s="13">
        <f>IFERROR(__xludf.DUMMYFUNCTION("""COMPUTED_VALUE"""),264.0)</f>
        <v>264</v>
      </c>
      <c r="C269" s="13" t="str">
        <f>IFERROR(__xludf.DUMMYFUNCTION("""COMPUTED_VALUE"""),"M. 9123 / TANJUNG BARU")</f>
        <v>M. 9123 / TANJUNG BARU</v>
      </c>
      <c r="D269" s="13" t="str">
        <f>IFERROR(__xludf.DUMMYFUNCTION("""COMPUTED_VALUE"""),"K/37/131124/1")</f>
        <v>K/37/131124/1</v>
      </c>
      <c r="E269" s="14" t="str">
        <f>IFERROR(__xludf.DUMMYFUNCTION("""COMPUTED_VALUE"""),"Nadian (BT)")</f>
        <v>Nadian (BT)</v>
      </c>
      <c r="F269" s="14" t="str">
        <f>IFERROR(__xludf.DUMMYFUNCTION("""COMPUTED_VALUE"""),"SELESAI (VIA PERMOHONAN)")</f>
        <v>SELESAI (VIA PERMOHONAN)</v>
      </c>
      <c r="G269" s="17">
        <f>IFERROR(__xludf.DUMMYFUNCTION("""COMPUTED_VALUE"""),45617.35882314815)</f>
        <v>45617.35882</v>
      </c>
      <c r="H269" s="14" t="str">
        <f>IFERROR(__xludf.DUMMYFUNCTION("""COMPUTED_VALUE"""),"Aprill (SU)")</f>
        <v>Aprill (SU)</v>
      </c>
      <c r="I269" s="13" t="str">
        <f>IFERROR(__xludf.DUMMYFUNCTION("""COMPUTED_VALUE"""),"SELESAI (VIA PERMOHONAN)")</f>
        <v>SELESAI (VIA PERMOHONAN)</v>
      </c>
      <c r="J269" s="17">
        <f>IFERROR(__xludf.DUMMYFUNCTION("""COMPUTED_VALUE"""),45617.5919580787)</f>
        <v>45617.59196</v>
      </c>
      <c r="K269" s="13" t="str">
        <f>IFERROR(__xludf.DUMMYFUNCTION("""COMPUTED_VALUE"""),"Selesai")</f>
        <v>Selesai</v>
      </c>
      <c r="L269" s="17">
        <f>IFERROR(__xludf.DUMMYFUNCTION("""COMPUTED_VALUE"""),45617.5919580787)</f>
        <v>45617.59196</v>
      </c>
      <c r="M269" s="17">
        <f>IFERROR(__xludf.DUMMYFUNCTION("""COMPUTED_VALUE"""),45617.59335501157)</f>
        <v>45617.59336</v>
      </c>
      <c r="N269" s="13" t="str">
        <f>IFERROR(__xludf.DUMMYFUNCTION("""COMPUTED_VALUE"""),"")</f>
        <v/>
      </c>
      <c r="O269" s="13" t="str">
        <f t="shared" si="1"/>
        <v/>
      </c>
    </row>
    <row r="270" ht="22.5" customHeight="1">
      <c r="B270" s="13">
        <f>IFERROR(__xludf.DUMMYFUNCTION("""COMPUTED_VALUE"""),265.0)</f>
        <v>265</v>
      </c>
      <c r="C270" s="13" t="str">
        <f>IFERROR(__xludf.DUMMYFUNCTION("""COMPUTED_VALUE"""),"HM 8198/SUKABUMI")</f>
        <v>HM 8198/SUKABUMI</v>
      </c>
      <c r="D270" s="13" t="str">
        <f>IFERROR(__xludf.DUMMYFUNCTION("""COMPUTED_VALUE"""),"L/6/281024/1")</f>
        <v>L/6/281024/1</v>
      </c>
      <c r="E270" s="14" t="str">
        <f>IFERROR(__xludf.DUMMYFUNCTION("""COMPUTED_VALUE"""),"Nadian (BT)")</f>
        <v>Nadian (BT)</v>
      </c>
      <c r="F270" s="14" t="str">
        <f>IFERROR(__xludf.DUMMYFUNCTION("""COMPUTED_VALUE"""),"SELESAI (VIA PERMOHONAN)")</f>
        <v>SELESAI (VIA PERMOHONAN)</v>
      </c>
      <c r="G270" s="17">
        <f>IFERROR(__xludf.DUMMYFUNCTION("""COMPUTED_VALUE"""),45617.35882314815)</f>
        <v>45617.35882</v>
      </c>
      <c r="H270" s="14" t="str">
        <f>IFERROR(__xludf.DUMMYFUNCTION("""COMPUTED_VALUE"""),"Aprill (SU)")</f>
        <v>Aprill (SU)</v>
      </c>
      <c r="I270" s="13" t="str">
        <f>IFERROR(__xludf.DUMMYFUNCTION("""COMPUTED_VALUE"""),"SELESAI (VIA PERMOHONAN)")</f>
        <v>SELESAI (VIA PERMOHONAN)</v>
      </c>
      <c r="J270" s="17">
        <f>IFERROR(__xludf.DUMMYFUNCTION("""COMPUTED_VALUE"""),45617.592016875)</f>
        <v>45617.59202</v>
      </c>
      <c r="K270" s="13" t="str">
        <f>IFERROR(__xludf.DUMMYFUNCTION("""COMPUTED_VALUE"""),"Selesai")</f>
        <v>Selesai</v>
      </c>
      <c r="L270" s="17">
        <f>IFERROR(__xludf.DUMMYFUNCTION("""COMPUTED_VALUE"""),45617.592016875)</f>
        <v>45617.59202</v>
      </c>
      <c r="M270" s="17">
        <f>IFERROR(__xludf.DUMMYFUNCTION("""COMPUTED_VALUE"""),45617.59338037037)</f>
        <v>45617.59338</v>
      </c>
      <c r="N270" s="13" t="str">
        <f>IFERROR(__xludf.DUMMYFUNCTION("""COMPUTED_VALUE"""),"")</f>
        <v/>
      </c>
      <c r="O270" s="13" t="str">
        <f t="shared" si="1"/>
        <v/>
      </c>
    </row>
    <row r="271" ht="22.5" customHeight="1">
      <c r="B271" s="13">
        <f>IFERROR(__xludf.DUMMYFUNCTION("""COMPUTED_VALUE"""),266.0)</f>
        <v>266</v>
      </c>
      <c r="C271" s="13" t="str">
        <f>IFERROR(__xludf.DUMMYFUNCTION("""COMPUTED_VALUE"""),"HM 358/WHP")</f>
        <v>HM 358/WHP</v>
      </c>
      <c r="D271" s="13" t="str">
        <f>IFERROR(__xludf.DUMMYFUNCTION("""COMPUTED_VALUE"""),"L/29/121124/1")</f>
        <v>L/29/121124/1</v>
      </c>
      <c r="E271" s="14" t="str">
        <f>IFERROR(__xludf.DUMMYFUNCTION("""COMPUTED_VALUE"""),"Afriza (BT)")</f>
        <v>Afriza (BT)</v>
      </c>
      <c r="F271" s="14" t="str">
        <f>IFERROR(__xludf.DUMMYFUNCTION("""COMPUTED_VALUE"""),"SELESAI")</f>
        <v>SELESAI</v>
      </c>
      <c r="G271" s="17">
        <f>IFERROR(__xludf.DUMMYFUNCTION("""COMPUTED_VALUE"""),45617.461219375)</f>
        <v>45617.46122</v>
      </c>
      <c r="H271" s="14" t="str">
        <f>IFERROR(__xludf.DUMMYFUNCTION("""COMPUTED_VALUE"""),"Bu Eva (SU)")</f>
        <v>Bu Eva (SU)</v>
      </c>
      <c r="I271" s="13" t="str">
        <f>IFERROR(__xludf.DUMMYFUNCTION("""COMPUTED_VALUE"""),"SELESAI")</f>
        <v>SELESAI</v>
      </c>
      <c r="J271" s="17">
        <f>IFERROR(__xludf.DUMMYFUNCTION("""COMPUTED_VALUE"""),45617.59209864584)</f>
        <v>45617.5921</v>
      </c>
      <c r="K271" s="13" t="str">
        <f>IFERROR(__xludf.DUMMYFUNCTION("""COMPUTED_VALUE"""),"SELESAI")</f>
        <v>SELESAI</v>
      </c>
      <c r="L271" s="17">
        <f>IFERROR(__xludf.DUMMYFUNCTION("""COMPUTED_VALUE"""),45617.59209864584)</f>
        <v>45617.5921</v>
      </c>
      <c r="M271" s="17" t="str">
        <f>IFERROR(__xludf.DUMMYFUNCTION("""COMPUTED_VALUE"""),"")</f>
        <v/>
      </c>
      <c r="N271" s="17">
        <f>IFERROR(__xludf.DUMMYFUNCTION("""COMPUTED_VALUE"""),45617.59342258102)</f>
        <v>45617.59342</v>
      </c>
      <c r="O271" s="13">
        <f t="shared" si="1"/>
        <v>1</v>
      </c>
    </row>
    <row r="272" ht="22.5" customHeight="1">
      <c r="B272" s="13">
        <f>IFERROR(__xludf.DUMMYFUNCTION("""COMPUTED_VALUE"""),267.0)</f>
        <v>267</v>
      </c>
      <c r="C272" s="13" t="str">
        <f>IFERROR(__xludf.DUMMYFUNCTION("""COMPUTED_VALUE"""),"HM 17234/SUKARAME")</f>
        <v>HM 17234/SUKARAME</v>
      </c>
      <c r="D272" s="13" t="str">
        <f>IFERROR(__xludf.DUMMYFUNCTION("""COMPUTED_VALUE"""),"L/37/111124/1")</f>
        <v>L/37/111124/1</v>
      </c>
      <c r="E272" s="14" t="str">
        <f>IFERROR(__xludf.DUMMYFUNCTION("""COMPUTED_VALUE"""),"Afriza (BT)")</f>
        <v>Afriza (BT)</v>
      </c>
      <c r="F272" s="14" t="str">
        <f>IFERROR(__xludf.DUMMYFUNCTION("""COMPUTED_VALUE"""),"SELESAI")</f>
        <v>SELESAI</v>
      </c>
      <c r="G272" s="17">
        <f>IFERROR(__xludf.DUMMYFUNCTION("""COMPUTED_VALUE"""),45617.46134122685)</f>
        <v>45617.46134</v>
      </c>
      <c r="H272" s="14" t="str">
        <f>IFERROR(__xludf.DUMMYFUNCTION("""COMPUTED_VALUE"""),"Bu Eva (SU)")</f>
        <v>Bu Eva (SU)</v>
      </c>
      <c r="I272" s="13" t="str">
        <f>IFERROR(__xludf.DUMMYFUNCTION("""COMPUTED_VALUE"""),"SELESAI")</f>
        <v>SELESAI</v>
      </c>
      <c r="J272" s="17">
        <f>IFERROR(__xludf.DUMMYFUNCTION("""COMPUTED_VALUE"""),45617.59209864584)</f>
        <v>45617.5921</v>
      </c>
      <c r="K272" s="13" t="str">
        <f>IFERROR(__xludf.DUMMYFUNCTION("""COMPUTED_VALUE"""),"SELESAI")</f>
        <v>SELESAI</v>
      </c>
      <c r="L272" s="17">
        <f>IFERROR(__xludf.DUMMYFUNCTION("""COMPUTED_VALUE"""),45617.59209864584)</f>
        <v>45617.5921</v>
      </c>
      <c r="M272" s="17" t="str">
        <f>IFERROR(__xludf.DUMMYFUNCTION("""COMPUTED_VALUE"""),"")</f>
        <v/>
      </c>
      <c r="N272" s="17">
        <f>IFERROR(__xludf.DUMMYFUNCTION("""COMPUTED_VALUE"""),45617.59342258102)</f>
        <v>45617.59342</v>
      </c>
      <c r="O272" s="13">
        <f t="shared" si="1"/>
        <v>2</v>
      </c>
    </row>
    <row r="273" ht="22.5" customHeight="1">
      <c r="B273" s="13">
        <f>IFERROR(__xludf.DUMMYFUNCTION("""COMPUTED_VALUE"""),268.0)</f>
        <v>268</v>
      </c>
      <c r="C273" s="13" t="str">
        <f>IFERROR(__xludf.DUMMYFUNCTION("""COMPUTED_VALUE"""),"HM 11988/LABUHAN RATU")</f>
        <v>HM 11988/LABUHAN RATU</v>
      </c>
      <c r="D273" s="13" t="str">
        <f>IFERROR(__xludf.DUMMYFUNCTION("""COMPUTED_VALUE"""),"L/3/111124/1")</f>
        <v>L/3/111124/1</v>
      </c>
      <c r="E273" s="14" t="str">
        <f>IFERROR(__xludf.DUMMYFUNCTION("""COMPUTED_VALUE"""),"Afriza (BT)")</f>
        <v>Afriza (BT)</v>
      </c>
      <c r="F273" s="14" t="str">
        <f>IFERROR(__xludf.DUMMYFUNCTION("""COMPUTED_VALUE"""),"SELESAI")</f>
        <v>SELESAI</v>
      </c>
      <c r="G273" s="17">
        <f>IFERROR(__xludf.DUMMYFUNCTION("""COMPUTED_VALUE"""),45617.461442858796)</f>
        <v>45617.46144</v>
      </c>
      <c r="H273" s="14" t="str">
        <f>IFERROR(__xludf.DUMMYFUNCTION("""COMPUTED_VALUE"""),"Bu Eva (SU)")</f>
        <v>Bu Eva (SU)</v>
      </c>
      <c r="I273" s="13" t="str">
        <f>IFERROR(__xludf.DUMMYFUNCTION("""COMPUTED_VALUE"""),"SELESAI")</f>
        <v>SELESAI</v>
      </c>
      <c r="J273" s="17">
        <f>IFERROR(__xludf.DUMMYFUNCTION("""COMPUTED_VALUE"""),45617.59209864584)</f>
        <v>45617.5921</v>
      </c>
      <c r="K273" s="13" t="str">
        <f>IFERROR(__xludf.DUMMYFUNCTION("""COMPUTED_VALUE"""),"SELESAI")</f>
        <v>SELESAI</v>
      </c>
      <c r="L273" s="17">
        <f>IFERROR(__xludf.DUMMYFUNCTION("""COMPUTED_VALUE"""),45617.59209864584)</f>
        <v>45617.5921</v>
      </c>
      <c r="M273" s="17" t="str">
        <f>IFERROR(__xludf.DUMMYFUNCTION("""COMPUTED_VALUE"""),"")</f>
        <v/>
      </c>
      <c r="N273" s="17">
        <f>IFERROR(__xludf.DUMMYFUNCTION("""COMPUTED_VALUE"""),45617.59342258102)</f>
        <v>45617.59342</v>
      </c>
      <c r="O273" s="13">
        <f t="shared" si="1"/>
        <v>3</v>
      </c>
    </row>
    <row r="274" ht="22.5" customHeight="1">
      <c r="B274" s="13">
        <f>IFERROR(__xludf.DUMMYFUNCTION("""COMPUTED_VALUE"""),269.0)</f>
        <v>269</v>
      </c>
      <c r="C274" s="13" t="str">
        <f>IFERROR(__xludf.DUMMYFUNCTION("""COMPUTED_VALUE"""),"M.1142/WAY HALIM PERMAI")</f>
        <v>M.1142/WAY HALIM PERMAI</v>
      </c>
      <c r="D274" s="13" t="str">
        <f>IFERROR(__xludf.DUMMYFUNCTION("""COMPUTED_VALUE"""),"K/18/191124/1")</f>
        <v>K/18/191124/1</v>
      </c>
      <c r="E274" s="14" t="str">
        <f>IFERROR(__xludf.DUMMYFUNCTION("""COMPUTED_VALUE"""),"Afriza (BT)")</f>
        <v>Afriza (BT)</v>
      </c>
      <c r="F274" s="14" t="str">
        <f>IFERROR(__xludf.DUMMYFUNCTION("""COMPUTED_VALUE"""),"SELESAI")</f>
        <v>SELESAI</v>
      </c>
      <c r="G274" s="17">
        <f>IFERROR(__xludf.DUMMYFUNCTION("""COMPUTED_VALUE"""),45617.461658113425)</f>
        <v>45617.46166</v>
      </c>
      <c r="H274" s="14" t="str">
        <f>IFERROR(__xludf.DUMMYFUNCTION("""COMPUTED_VALUE"""),"Bu Eva (SU)")</f>
        <v>Bu Eva (SU)</v>
      </c>
      <c r="I274" s="13" t="str">
        <f>IFERROR(__xludf.DUMMYFUNCTION("""COMPUTED_VALUE"""),"SELESAI")</f>
        <v>SELESAI</v>
      </c>
      <c r="J274" s="17">
        <f>IFERROR(__xludf.DUMMYFUNCTION("""COMPUTED_VALUE"""),45617.59212047454)</f>
        <v>45617.59212</v>
      </c>
      <c r="K274" s="13" t="str">
        <f>IFERROR(__xludf.DUMMYFUNCTION("""COMPUTED_VALUE"""),"SELESAI")</f>
        <v>SELESAI</v>
      </c>
      <c r="L274" s="17">
        <f>IFERROR(__xludf.DUMMYFUNCTION("""COMPUTED_VALUE"""),45617.59212047454)</f>
        <v>45617.59212</v>
      </c>
      <c r="M274" s="17" t="str">
        <f>IFERROR(__xludf.DUMMYFUNCTION("""COMPUTED_VALUE"""),"")</f>
        <v/>
      </c>
      <c r="N274" s="17">
        <f>IFERROR(__xludf.DUMMYFUNCTION("""COMPUTED_VALUE"""),45617.59342258102)</f>
        <v>45617.59342</v>
      </c>
      <c r="O274" s="13">
        <f t="shared" si="1"/>
        <v>4</v>
      </c>
    </row>
    <row r="275" ht="22.5" customHeight="1">
      <c r="B275" s="13">
        <f>IFERROR(__xludf.DUMMYFUNCTION("""COMPUTED_VALUE"""),270.0)</f>
        <v>270</v>
      </c>
      <c r="C275" s="13" t="str">
        <f>IFERROR(__xludf.DUMMYFUNCTION("""COMPUTED_VALUE"""),"M. 1282/ Sukabumi Indah")</f>
        <v>M. 1282/ Sukabumi Indah</v>
      </c>
      <c r="D275" s="13" t="str">
        <f>IFERROR(__xludf.DUMMYFUNCTION("""COMPUTED_VALUE"""),"K/13/191124/1")</f>
        <v>K/13/191124/1</v>
      </c>
      <c r="E275" s="14" t="str">
        <f>IFERROR(__xludf.DUMMYFUNCTION("""COMPUTED_VALUE"""),"Afriza (BT)")</f>
        <v>Afriza (BT)</v>
      </c>
      <c r="F275" s="14" t="str">
        <f>IFERROR(__xludf.DUMMYFUNCTION("""COMPUTED_VALUE"""),"SELESAI")</f>
        <v>SELESAI</v>
      </c>
      <c r="G275" s="17">
        <f>IFERROR(__xludf.DUMMYFUNCTION("""COMPUTED_VALUE"""),45617.461751759256)</f>
        <v>45617.46175</v>
      </c>
      <c r="H275" s="14" t="str">
        <f>IFERROR(__xludf.DUMMYFUNCTION("""COMPUTED_VALUE"""),"Bu Eva (SU)")</f>
        <v>Bu Eva (SU)</v>
      </c>
      <c r="I275" s="13" t="str">
        <f>IFERROR(__xludf.DUMMYFUNCTION("""COMPUTED_VALUE"""),"SELESAI")</f>
        <v>SELESAI</v>
      </c>
      <c r="J275" s="17">
        <f>IFERROR(__xludf.DUMMYFUNCTION("""COMPUTED_VALUE"""),45617.59212047454)</f>
        <v>45617.59212</v>
      </c>
      <c r="K275" s="13" t="str">
        <f>IFERROR(__xludf.DUMMYFUNCTION("""COMPUTED_VALUE"""),"SELESAI")</f>
        <v>SELESAI</v>
      </c>
      <c r="L275" s="17">
        <f>IFERROR(__xludf.DUMMYFUNCTION("""COMPUTED_VALUE"""),45617.59212047454)</f>
        <v>45617.59212</v>
      </c>
      <c r="M275" s="17" t="str">
        <f>IFERROR(__xludf.DUMMYFUNCTION("""COMPUTED_VALUE"""),"")</f>
        <v/>
      </c>
      <c r="N275" s="17">
        <f>IFERROR(__xludf.DUMMYFUNCTION("""COMPUTED_VALUE"""),45617.59342258102)</f>
        <v>45617.59342</v>
      </c>
      <c r="O275" s="13">
        <f t="shared" si="1"/>
        <v>5</v>
      </c>
    </row>
    <row r="276" ht="22.5" customHeight="1">
      <c r="B276" s="13">
        <f>IFERROR(__xludf.DUMMYFUNCTION("""COMPUTED_VALUE"""),271.0)</f>
        <v>271</v>
      </c>
      <c r="C276" s="13" t="str">
        <f>IFERROR(__xludf.DUMMYFUNCTION("""COMPUTED_VALUE"""),"M. 10206/ Segala Mider")</f>
        <v>M. 10206/ Segala Mider</v>
      </c>
      <c r="D276" s="13" t="str">
        <f>IFERROR(__xludf.DUMMYFUNCTION("""COMPUTED_VALUE"""),"K/40/191124/1")</f>
        <v>K/40/191124/1</v>
      </c>
      <c r="E276" s="14" t="str">
        <f>IFERROR(__xludf.DUMMYFUNCTION("""COMPUTED_VALUE"""),"Nadian (BT)")</f>
        <v>Nadian (BT)</v>
      </c>
      <c r="F276" s="14" t="str">
        <f>IFERROR(__xludf.DUMMYFUNCTION("""COMPUTED_VALUE"""),"SELESAI")</f>
        <v>SELESAI</v>
      </c>
      <c r="G276" s="17">
        <f>IFERROR(__xludf.DUMMYFUNCTION("""COMPUTED_VALUE"""),45617.577681145835)</f>
        <v>45617.57768</v>
      </c>
      <c r="H276" s="14" t="str">
        <f>IFERROR(__xludf.DUMMYFUNCTION("""COMPUTED_VALUE"""),"Bu Eva (SU)")</f>
        <v>Bu Eva (SU)</v>
      </c>
      <c r="I276" s="13" t="str">
        <f>IFERROR(__xludf.DUMMYFUNCTION("""COMPUTED_VALUE"""),"SELESAI")</f>
        <v>SELESAI</v>
      </c>
      <c r="J276" s="17">
        <f>IFERROR(__xludf.DUMMYFUNCTION("""COMPUTED_VALUE"""),45617.589240914356)</f>
        <v>45617.58924</v>
      </c>
      <c r="K276" s="13" t="str">
        <f>IFERROR(__xludf.DUMMYFUNCTION("""COMPUTED_VALUE"""),"SELESAI")</f>
        <v>SELESAI</v>
      </c>
      <c r="L276" s="17">
        <f>IFERROR(__xludf.DUMMYFUNCTION("""COMPUTED_VALUE"""),45617.589240914356)</f>
        <v>45617.58924</v>
      </c>
      <c r="M276" s="17" t="str">
        <f>IFERROR(__xludf.DUMMYFUNCTION("""COMPUTED_VALUE"""),"")</f>
        <v/>
      </c>
      <c r="N276" s="17">
        <f>IFERROR(__xludf.DUMMYFUNCTION("""COMPUTED_VALUE"""),45617.59344689814)</f>
        <v>45617.59345</v>
      </c>
      <c r="O276" s="13">
        <f t="shared" si="1"/>
        <v>6</v>
      </c>
    </row>
    <row r="277" ht="22.5" customHeight="1">
      <c r="B277" s="13">
        <f>IFERROR(__xludf.DUMMYFUNCTION("""COMPUTED_VALUE"""),272.0)</f>
        <v>272</v>
      </c>
      <c r="C277" s="13" t="str">
        <f>IFERROR(__xludf.DUMMYFUNCTION("""COMPUTED_VALUE"""),"M. 14241/ Sukarame")</f>
        <v>M. 14241/ Sukarame</v>
      </c>
      <c r="D277" s="13" t="str">
        <f>IFERROR(__xludf.DUMMYFUNCTION("""COMPUTED_VALUE"""),"K/41/191124/2")</f>
        <v>K/41/191124/2</v>
      </c>
      <c r="E277" s="14" t="str">
        <f>IFERROR(__xludf.DUMMYFUNCTION("""COMPUTED_VALUE"""),"Nadian (BT)")</f>
        <v>Nadian (BT)</v>
      </c>
      <c r="F277" s="14" t="str">
        <f>IFERROR(__xludf.DUMMYFUNCTION("""COMPUTED_VALUE"""),"SELESAI")</f>
        <v>SELESAI</v>
      </c>
      <c r="G277" s="17">
        <f>IFERROR(__xludf.DUMMYFUNCTION("""COMPUTED_VALUE"""),45617.577681145835)</f>
        <v>45617.57768</v>
      </c>
      <c r="H277" s="14" t="str">
        <f>IFERROR(__xludf.DUMMYFUNCTION("""COMPUTED_VALUE"""),"Bu Eva (SU)")</f>
        <v>Bu Eva (SU)</v>
      </c>
      <c r="I277" s="13" t="str">
        <f>IFERROR(__xludf.DUMMYFUNCTION("""COMPUTED_VALUE"""),"SELESAI")</f>
        <v>SELESAI</v>
      </c>
      <c r="J277" s="17">
        <f>IFERROR(__xludf.DUMMYFUNCTION("""COMPUTED_VALUE"""),45617.589277384264)</f>
        <v>45617.58928</v>
      </c>
      <c r="K277" s="13" t="str">
        <f>IFERROR(__xludf.DUMMYFUNCTION("""COMPUTED_VALUE"""),"SELESAI")</f>
        <v>SELESAI</v>
      </c>
      <c r="L277" s="17">
        <f>IFERROR(__xludf.DUMMYFUNCTION("""COMPUTED_VALUE"""),45617.589277384264)</f>
        <v>45617.58928</v>
      </c>
      <c r="M277" s="17" t="str">
        <f>IFERROR(__xludf.DUMMYFUNCTION("""COMPUTED_VALUE"""),"")</f>
        <v/>
      </c>
      <c r="N277" s="17">
        <f>IFERROR(__xludf.DUMMYFUNCTION("""COMPUTED_VALUE"""),45617.59344690973)</f>
        <v>45617.59345</v>
      </c>
      <c r="O277" s="13">
        <f t="shared" si="1"/>
        <v>7</v>
      </c>
    </row>
    <row r="278" ht="22.5" customHeight="1">
      <c r="B278" s="13">
        <f>IFERROR(__xludf.DUMMYFUNCTION("""COMPUTED_VALUE"""),273.0)</f>
        <v>273</v>
      </c>
      <c r="C278" s="13" t="str">
        <f>IFERROR(__xludf.DUMMYFUNCTION("""COMPUTED_VALUE"""),"HM 360/PESAWAHAN")</f>
        <v>HM 360/PESAWAHAN</v>
      </c>
      <c r="D278" s="13" t="str">
        <f>IFERROR(__xludf.DUMMYFUNCTION("""COMPUTED_VALUE"""),"L/51/191124/1")</f>
        <v>L/51/191124/1</v>
      </c>
      <c r="E278" s="14" t="str">
        <f>IFERROR(__xludf.DUMMYFUNCTION("""COMPUTED_VALUE"""),"Nadian (BT)")</f>
        <v>Nadian (BT)</v>
      </c>
      <c r="F278" s="14" t="str">
        <f>IFERROR(__xludf.DUMMYFUNCTION("""COMPUTED_VALUE"""),"SELESAI")</f>
        <v>SELESAI</v>
      </c>
      <c r="G278" s="17">
        <f>IFERROR(__xludf.DUMMYFUNCTION("""COMPUTED_VALUE"""),45617.577681145835)</f>
        <v>45617.57768</v>
      </c>
      <c r="H278" s="14" t="str">
        <f>IFERROR(__xludf.DUMMYFUNCTION("""COMPUTED_VALUE"""),"Bu Eva (SU)")</f>
        <v>Bu Eva (SU)</v>
      </c>
      <c r="I278" s="13" t="str">
        <f>IFERROR(__xludf.DUMMYFUNCTION("""COMPUTED_VALUE"""),"SELESAI")</f>
        <v>SELESAI</v>
      </c>
      <c r="J278" s="17">
        <f>IFERROR(__xludf.DUMMYFUNCTION("""COMPUTED_VALUE"""),45617.58927739583)</f>
        <v>45617.58928</v>
      </c>
      <c r="K278" s="13" t="str">
        <f>IFERROR(__xludf.DUMMYFUNCTION("""COMPUTED_VALUE"""),"SELESAI")</f>
        <v>SELESAI</v>
      </c>
      <c r="L278" s="17">
        <f>IFERROR(__xludf.DUMMYFUNCTION("""COMPUTED_VALUE"""),45617.58927739583)</f>
        <v>45617.58928</v>
      </c>
      <c r="M278" s="17" t="str">
        <f>IFERROR(__xludf.DUMMYFUNCTION("""COMPUTED_VALUE"""),"")</f>
        <v/>
      </c>
      <c r="N278" s="17">
        <f>IFERROR(__xludf.DUMMYFUNCTION("""COMPUTED_VALUE"""),45617.59344690973)</f>
        <v>45617.59345</v>
      </c>
      <c r="O278" s="13">
        <f t="shared" si="1"/>
        <v>8</v>
      </c>
    </row>
    <row r="279" ht="22.5" customHeight="1">
      <c r="B279" s="13">
        <f>IFERROR(__xludf.DUMMYFUNCTION("""COMPUTED_VALUE"""),274.0)</f>
        <v>274</v>
      </c>
      <c r="C279" s="13" t="str">
        <f>IFERROR(__xludf.DUMMYFUNCTION("""COMPUTED_VALUE"""),"HM 9009/SUKABUMI")</f>
        <v>HM 9009/SUKABUMI</v>
      </c>
      <c r="D279" s="13" t="str">
        <f>IFERROR(__xludf.DUMMYFUNCTION("""COMPUTED_VALUE"""),"L/52/191124/1")</f>
        <v>L/52/191124/1</v>
      </c>
      <c r="E279" s="14" t="str">
        <f>IFERROR(__xludf.DUMMYFUNCTION("""COMPUTED_VALUE"""),"Nadian (BT)")</f>
        <v>Nadian (BT)</v>
      </c>
      <c r="F279" s="14" t="str">
        <f>IFERROR(__xludf.DUMMYFUNCTION("""COMPUTED_VALUE"""),"SELESAI")</f>
        <v>SELESAI</v>
      </c>
      <c r="G279" s="17">
        <f>IFERROR(__xludf.DUMMYFUNCTION("""COMPUTED_VALUE"""),45617.577681145835)</f>
        <v>45617.57768</v>
      </c>
      <c r="H279" s="14" t="str">
        <f>IFERROR(__xludf.DUMMYFUNCTION("""COMPUTED_VALUE"""),"Bu Eva (SU)")</f>
        <v>Bu Eva (SU)</v>
      </c>
      <c r="I279" s="13" t="str">
        <f>IFERROR(__xludf.DUMMYFUNCTION("""COMPUTED_VALUE"""),"SELESAI")</f>
        <v>SELESAI</v>
      </c>
      <c r="J279" s="17">
        <f>IFERROR(__xludf.DUMMYFUNCTION("""COMPUTED_VALUE"""),45617.58935574074)</f>
        <v>45617.58936</v>
      </c>
      <c r="K279" s="13" t="str">
        <f>IFERROR(__xludf.DUMMYFUNCTION("""COMPUTED_VALUE"""),"SELESAI")</f>
        <v>SELESAI</v>
      </c>
      <c r="L279" s="17">
        <f>IFERROR(__xludf.DUMMYFUNCTION("""COMPUTED_VALUE"""),45617.58935574074)</f>
        <v>45617.58936</v>
      </c>
      <c r="M279" s="17" t="str">
        <f>IFERROR(__xludf.DUMMYFUNCTION("""COMPUTED_VALUE"""),"")</f>
        <v/>
      </c>
      <c r="N279" s="17">
        <f>IFERROR(__xludf.DUMMYFUNCTION("""COMPUTED_VALUE"""),45617.59344690973)</f>
        <v>45617.59345</v>
      </c>
      <c r="O279" s="13">
        <f t="shared" si="1"/>
        <v>9</v>
      </c>
    </row>
    <row r="280" ht="22.5" customHeight="1">
      <c r="B280" s="13">
        <f>IFERROR(__xludf.DUMMYFUNCTION("""COMPUTED_VALUE"""),275.0)</f>
        <v>275</v>
      </c>
      <c r="C280" s="13" t="str">
        <f>IFERROR(__xludf.DUMMYFUNCTION("""COMPUTED_VALUE"""),"B.725/SUMUR PUTRI")</f>
        <v>B.725/SUMUR PUTRI</v>
      </c>
      <c r="D280" s="13" t="str">
        <f>IFERROR(__xludf.DUMMYFUNCTION("""COMPUTED_VALUE"""),"K/55/191124/1")</f>
        <v>K/55/191124/1</v>
      </c>
      <c r="E280" s="14" t="str">
        <f>IFERROR(__xludf.DUMMYFUNCTION("""COMPUTED_VALUE"""),"Nadian (BT)")</f>
        <v>Nadian (BT)</v>
      </c>
      <c r="F280" s="14" t="str">
        <f>IFERROR(__xludf.DUMMYFUNCTION("""COMPUTED_VALUE"""),"SELESAI")</f>
        <v>SELESAI</v>
      </c>
      <c r="G280" s="17">
        <f>IFERROR(__xludf.DUMMYFUNCTION("""COMPUTED_VALUE"""),45617.577681145835)</f>
        <v>45617.57768</v>
      </c>
      <c r="H280" s="14" t="str">
        <f>IFERROR(__xludf.DUMMYFUNCTION("""COMPUTED_VALUE"""),"Bu Eva (SU)")</f>
        <v>Bu Eva (SU)</v>
      </c>
      <c r="I280" s="13" t="str">
        <f>IFERROR(__xludf.DUMMYFUNCTION("""COMPUTED_VALUE"""),"SELESAI")</f>
        <v>SELESAI</v>
      </c>
      <c r="J280" s="17">
        <f>IFERROR(__xludf.DUMMYFUNCTION("""COMPUTED_VALUE"""),45617.58935574074)</f>
        <v>45617.58936</v>
      </c>
      <c r="K280" s="13" t="str">
        <f>IFERROR(__xludf.DUMMYFUNCTION("""COMPUTED_VALUE"""),"SELESAI")</f>
        <v>SELESAI</v>
      </c>
      <c r="L280" s="17">
        <f>IFERROR(__xludf.DUMMYFUNCTION("""COMPUTED_VALUE"""),45617.58935574074)</f>
        <v>45617.58936</v>
      </c>
      <c r="M280" s="17" t="str">
        <f>IFERROR(__xludf.DUMMYFUNCTION("""COMPUTED_VALUE"""),"")</f>
        <v/>
      </c>
      <c r="N280" s="17">
        <f>IFERROR(__xludf.DUMMYFUNCTION("""COMPUTED_VALUE"""),45617.59344690973)</f>
        <v>45617.59345</v>
      </c>
      <c r="O280" s="13">
        <f t="shared" si="1"/>
        <v>10</v>
      </c>
    </row>
    <row r="281" ht="22.5" customHeight="1">
      <c r="B281" s="13">
        <f>IFERROR(__xludf.DUMMYFUNCTION("""COMPUTED_VALUE"""),276.0)</f>
        <v>276</v>
      </c>
      <c r="C281" s="13" t="str">
        <f>IFERROR(__xludf.DUMMYFUNCTION("""COMPUTED_VALUE"""),"M.44/BILABONG JAYA")</f>
        <v>M.44/BILABONG JAYA</v>
      </c>
      <c r="D281" s="13" t="str">
        <f>IFERROR(__xludf.DUMMYFUNCTION("""COMPUTED_VALUE"""),"K/50/191124/2")</f>
        <v>K/50/191124/2</v>
      </c>
      <c r="E281" s="14" t="str">
        <f>IFERROR(__xludf.DUMMYFUNCTION("""COMPUTED_VALUE"""),"Nadian (BT)")</f>
        <v>Nadian (BT)</v>
      </c>
      <c r="F281" s="14" t="str">
        <f>IFERROR(__xludf.DUMMYFUNCTION("""COMPUTED_VALUE"""),"SELESAI")</f>
        <v>SELESAI</v>
      </c>
      <c r="G281" s="17">
        <f>IFERROR(__xludf.DUMMYFUNCTION("""COMPUTED_VALUE"""),45617.577681145835)</f>
        <v>45617.57768</v>
      </c>
      <c r="H281" s="14" t="str">
        <f>IFERROR(__xludf.DUMMYFUNCTION("""COMPUTED_VALUE"""),"Bu Eva (SU)")</f>
        <v>Bu Eva (SU)</v>
      </c>
      <c r="I281" s="13" t="str">
        <f>IFERROR(__xludf.DUMMYFUNCTION("""COMPUTED_VALUE"""),"SELESAI")</f>
        <v>SELESAI</v>
      </c>
      <c r="J281" s="17">
        <f>IFERROR(__xludf.DUMMYFUNCTION("""COMPUTED_VALUE"""),45617.58935574074)</f>
        <v>45617.58936</v>
      </c>
      <c r="K281" s="13" t="str">
        <f>IFERROR(__xludf.DUMMYFUNCTION("""COMPUTED_VALUE"""),"SELESAI")</f>
        <v>SELESAI</v>
      </c>
      <c r="L281" s="17">
        <f>IFERROR(__xludf.DUMMYFUNCTION("""COMPUTED_VALUE"""),45617.58935574074)</f>
        <v>45617.58936</v>
      </c>
      <c r="M281" s="17" t="str">
        <f>IFERROR(__xludf.DUMMYFUNCTION("""COMPUTED_VALUE"""),"")</f>
        <v/>
      </c>
      <c r="N281" s="17">
        <f>IFERROR(__xludf.DUMMYFUNCTION("""COMPUTED_VALUE"""),45617.59344690973)</f>
        <v>45617.59345</v>
      </c>
      <c r="O281" s="13">
        <f t="shared" si="1"/>
        <v>11</v>
      </c>
    </row>
    <row r="282" ht="22.5" customHeight="1">
      <c r="B282" s="13">
        <f>IFERROR(__xludf.DUMMYFUNCTION("""COMPUTED_VALUE"""),277.0)</f>
        <v>277</v>
      </c>
      <c r="C282" s="13" t="str">
        <f>IFERROR(__xludf.DUMMYFUNCTION("""COMPUTED_VALUE"""),"M.220/BATU PUTU")</f>
        <v>M.220/BATU PUTU</v>
      </c>
      <c r="D282" s="13" t="str">
        <f>IFERROR(__xludf.DUMMYFUNCTION("""COMPUTED_VALUE"""),"K/44/191124/2")</f>
        <v>K/44/191124/2</v>
      </c>
      <c r="E282" s="14" t="str">
        <f>IFERROR(__xludf.DUMMYFUNCTION("""COMPUTED_VALUE"""),"Nadian (BT)")</f>
        <v>Nadian (BT)</v>
      </c>
      <c r="F282" s="14" t="str">
        <f>IFERROR(__xludf.DUMMYFUNCTION("""COMPUTED_VALUE"""),"SELESAI")</f>
        <v>SELESAI</v>
      </c>
      <c r="G282" s="17">
        <f>IFERROR(__xludf.DUMMYFUNCTION("""COMPUTED_VALUE"""),45617.5776811574)</f>
        <v>45617.57768</v>
      </c>
      <c r="H282" s="14" t="str">
        <f>IFERROR(__xludf.DUMMYFUNCTION("""COMPUTED_VALUE"""),"Bu Eva (SU)")</f>
        <v>Bu Eva (SU)</v>
      </c>
      <c r="I282" s="13" t="str">
        <f>IFERROR(__xludf.DUMMYFUNCTION("""COMPUTED_VALUE"""),"SELESAI")</f>
        <v>SELESAI</v>
      </c>
      <c r="J282" s="17">
        <f>IFERROR(__xludf.DUMMYFUNCTION("""COMPUTED_VALUE"""),45617.5893778125)</f>
        <v>45617.58938</v>
      </c>
      <c r="K282" s="13" t="str">
        <f>IFERROR(__xludf.DUMMYFUNCTION("""COMPUTED_VALUE"""),"SELESAI")</f>
        <v>SELESAI</v>
      </c>
      <c r="L282" s="17">
        <f>IFERROR(__xludf.DUMMYFUNCTION("""COMPUTED_VALUE"""),45617.5893778125)</f>
        <v>45617.58938</v>
      </c>
      <c r="M282" s="17" t="str">
        <f>IFERROR(__xludf.DUMMYFUNCTION("""COMPUTED_VALUE"""),"")</f>
        <v/>
      </c>
      <c r="N282" s="17">
        <f>IFERROR(__xludf.DUMMYFUNCTION("""COMPUTED_VALUE"""),45617.59350174769)</f>
        <v>45617.5935</v>
      </c>
      <c r="O282" s="13">
        <f t="shared" si="1"/>
        <v>12</v>
      </c>
    </row>
    <row r="283" ht="22.5" customHeight="1">
      <c r="B283" s="13">
        <f>IFERROR(__xludf.DUMMYFUNCTION("""COMPUTED_VALUE"""),278.0)</f>
        <v>278</v>
      </c>
      <c r="C283" s="13" t="str">
        <f>IFERROR(__xludf.DUMMYFUNCTION("""COMPUTED_VALUE"""),"HM 3180/KOTA BARU (BATAL, Menolak Menjadi Elektronik)")</f>
        <v>HM 3180/KOTA BARU (BATAL, Menolak Menjadi Elektronik)</v>
      </c>
      <c r="D283" s="13" t="str">
        <f>IFERROR(__xludf.DUMMYFUNCTION("""COMPUTED_VALUE"""),"K/23/181224/1")</f>
        <v>K/23/181224/1</v>
      </c>
      <c r="E283" s="14" t="str">
        <f>IFERROR(__xludf.DUMMYFUNCTION("""COMPUTED_VALUE"""),"Nadian (BT)")</f>
        <v>Nadian (BT)</v>
      </c>
      <c r="F283" s="14" t="str">
        <f>IFERROR(__xludf.DUMMYFUNCTION("""COMPUTED_VALUE"""),"SELESAI")</f>
        <v>SELESAI</v>
      </c>
      <c r="G283" s="17">
        <f>IFERROR(__xludf.DUMMYFUNCTION("""COMPUTED_VALUE"""),45617.5776811574)</f>
        <v>45617.57768</v>
      </c>
      <c r="H283" s="14" t="str">
        <f>IFERROR(__xludf.DUMMYFUNCTION("""COMPUTED_VALUE"""),"Bu Eva (SU)")</f>
        <v>Bu Eva (SU)</v>
      </c>
      <c r="I283" s="13" t="str">
        <f>IFERROR(__xludf.DUMMYFUNCTION("""COMPUTED_VALUE"""),"SELESAI")</f>
        <v>SELESAI</v>
      </c>
      <c r="J283" s="17">
        <f>IFERROR(__xludf.DUMMYFUNCTION("""COMPUTED_VALUE"""),45617.5893778125)</f>
        <v>45617.58938</v>
      </c>
      <c r="K283" s="13" t="str">
        <f>IFERROR(__xludf.DUMMYFUNCTION("""COMPUTED_VALUE"""),"SELESAI")</f>
        <v>SELESAI</v>
      </c>
      <c r="L283" s="17">
        <f>IFERROR(__xludf.DUMMYFUNCTION("""COMPUTED_VALUE"""),45617.5893778125)</f>
        <v>45617.58938</v>
      </c>
      <c r="M283" s="17">
        <f>IFERROR(__xludf.DUMMYFUNCTION("""COMPUTED_VALUE"""),45656.44325135417)</f>
        <v>45656.44325</v>
      </c>
      <c r="N283" s="17">
        <f>IFERROR(__xludf.DUMMYFUNCTION("""COMPUTED_VALUE"""),45617.59360232639)</f>
        <v>45617.5936</v>
      </c>
      <c r="O283" s="13">
        <f t="shared" si="1"/>
        <v>13</v>
      </c>
    </row>
    <row r="284" ht="22.5" customHeight="1">
      <c r="B284" s="13">
        <f>IFERROR(__xludf.DUMMYFUNCTION("""COMPUTED_VALUE"""),279.0)</f>
        <v>279</v>
      </c>
      <c r="C284" s="13" t="str">
        <f>IFERROR(__xludf.DUMMYFUNCTION("""COMPUTED_VALUE"""),"M. 10144/ Kampung Baru")</f>
        <v>M. 10144/ Kampung Baru</v>
      </c>
      <c r="D284" s="13" t="str">
        <f>IFERROR(__xludf.DUMMYFUNCTION("""COMPUTED_VALUE"""),"K/3/141124/2")</f>
        <v>K/3/141124/2</v>
      </c>
      <c r="E284" s="14" t="str">
        <f>IFERROR(__xludf.DUMMYFUNCTION("""COMPUTED_VALUE"""),"Afriza (BT)")</f>
        <v>Afriza (BT)</v>
      </c>
      <c r="F284" s="14" t="str">
        <f>IFERROR(__xludf.DUMMYFUNCTION("""COMPUTED_VALUE"""),"SELESAI")</f>
        <v>SELESAI</v>
      </c>
      <c r="G284" s="17">
        <f>IFERROR(__xludf.DUMMYFUNCTION("""COMPUTED_VALUE"""),45618.43531090277)</f>
        <v>45618.43531</v>
      </c>
      <c r="H284" s="14" t="str">
        <f>IFERROR(__xludf.DUMMYFUNCTION("""COMPUTED_VALUE"""),"Aprill (SU)")</f>
        <v>Aprill (SU)</v>
      </c>
      <c r="I284" s="13" t="str">
        <f>IFERROR(__xludf.DUMMYFUNCTION("""COMPUTED_VALUE"""),"SELESAI")</f>
        <v>SELESAI</v>
      </c>
      <c r="J284" s="17">
        <f>IFERROR(__xludf.DUMMYFUNCTION("""COMPUTED_VALUE"""),45618.435398194444)</f>
        <v>45618.4354</v>
      </c>
      <c r="K284" s="13" t="str">
        <f>IFERROR(__xludf.DUMMYFUNCTION("""COMPUTED_VALUE"""),"SELESAI")</f>
        <v>SELESAI</v>
      </c>
      <c r="L284" s="17">
        <f>IFERROR(__xludf.DUMMYFUNCTION("""COMPUTED_VALUE"""),45618.435398194444)</f>
        <v>45618.4354</v>
      </c>
      <c r="M284" s="17" t="str">
        <f>IFERROR(__xludf.DUMMYFUNCTION("""COMPUTED_VALUE"""),"")</f>
        <v/>
      </c>
      <c r="N284" s="13" t="str">
        <f>IFERROR(__xludf.DUMMYFUNCTION("""COMPUTED_VALUE"""),"")</f>
        <v/>
      </c>
      <c r="O284" s="13" t="str">
        <f t="shared" si="1"/>
        <v/>
      </c>
    </row>
    <row r="285" ht="22.5" customHeight="1">
      <c r="B285" s="13">
        <f>IFERROR(__xludf.DUMMYFUNCTION("""COMPUTED_VALUE"""),280.0)</f>
        <v>280</v>
      </c>
      <c r="C285" s="13" t="str">
        <f>IFERROR(__xludf.DUMMYFUNCTION("""COMPUTED_VALUE"""),"B.202/LABUHAN DALAM")</f>
        <v>B.202/LABUHAN DALAM</v>
      </c>
      <c r="D285" s="13" t="str">
        <f>IFERROR(__xludf.DUMMYFUNCTION("""COMPUTED_VALUE"""),"K/24/181124/2")</f>
        <v>K/24/181124/2</v>
      </c>
      <c r="E285" s="14" t="str">
        <f>IFERROR(__xludf.DUMMYFUNCTION("""COMPUTED_VALUE"""),"Nadian (BT)")</f>
        <v>Nadian (BT)</v>
      </c>
      <c r="F285" s="14" t="str">
        <f>IFERROR(__xludf.DUMMYFUNCTION("""COMPUTED_VALUE"""),"SELESAI (VIA PERMOHONAN)")</f>
        <v>SELESAI (VIA PERMOHONAN)</v>
      </c>
      <c r="G285" s="17">
        <f>IFERROR(__xludf.DUMMYFUNCTION("""COMPUTED_VALUE"""),45618.635623993054)</f>
        <v>45618.63562</v>
      </c>
      <c r="H285" s="14" t="str">
        <f>IFERROR(__xludf.DUMMYFUNCTION("""COMPUTED_VALUE"""),"Aprill (SU)")</f>
        <v>Aprill (SU)</v>
      </c>
      <c r="I285" s="13" t="str">
        <f>IFERROR(__xludf.DUMMYFUNCTION("""COMPUTED_VALUE"""),"SELESAI (VIA PERMOHONAN)")</f>
        <v>SELESAI (VIA PERMOHONAN)</v>
      </c>
      <c r="J285" s="17">
        <f>IFERROR(__xludf.DUMMYFUNCTION("""COMPUTED_VALUE"""),45621.70535305556)</f>
        <v>45621.70535</v>
      </c>
      <c r="K285" s="13" t="str">
        <f>IFERROR(__xludf.DUMMYFUNCTION("""COMPUTED_VALUE"""),"Selesai")</f>
        <v>Selesai</v>
      </c>
      <c r="L285" s="17">
        <f>IFERROR(__xludf.DUMMYFUNCTION("""COMPUTED_VALUE"""),45621.70535305556)</f>
        <v>45621.70535</v>
      </c>
      <c r="M285" s="17">
        <f>IFERROR(__xludf.DUMMYFUNCTION("""COMPUTED_VALUE"""),45621.70535305556)</f>
        <v>45621.70535</v>
      </c>
      <c r="N285" s="13" t="str">
        <f>IFERROR(__xludf.DUMMYFUNCTION("""COMPUTED_VALUE"""),"")</f>
        <v/>
      </c>
      <c r="O285" s="13" t="str">
        <f t="shared" si="1"/>
        <v/>
      </c>
    </row>
    <row r="286" ht="22.5" customHeight="1">
      <c r="B286" s="13">
        <f>IFERROR(__xludf.DUMMYFUNCTION("""COMPUTED_VALUE"""),281.0)</f>
        <v>281</v>
      </c>
      <c r="C286" s="13" t="str">
        <f>IFERROR(__xludf.DUMMYFUNCTION("""COMPUTED_VALUE"""),"B. 201/LABUHAN DALAM")</f>
        <v>B. 201/LABUHAN DALAM</v>
      </c>
      <c r="D286" s="13" t="str">
        <f>IFERROR(__xludf.DUMMYFUNCTION("""COMPUTED_VALUE"""),"K/23/181124/1")</f>
        <v>K/23/181124/1</v>
      </c>
      <c r="E286" s="14" t="str">
        <f>IFERROR(__xludf.DUMMYFUNCTION("""COMPUTED_VALUE"""),"Nadian (BT)")</f>
        <v>Nadian (BT)</v>
      </c>
      <c r="F286" s="14" t="str">
        <f>IFERROR(__xludf.DUMMYFUNCTION("""COMPUTED_VALUE"""),"SELESAI (VIA PERMOHONAN)")</f>
        <v>SELESAI (VIA PERMOHONAN)</v>
      </c>
      <c r="G286" s="17">
        <f>IFERROR(__xludf.DUMMYFUNCTION("""COMPUTED_VALUE"""),45618.635935115744)</f>
        <v>45618.63594</v>
      </c>
      <c r="H286" s="14" t="str">
        <f>IFERROR(__xludf.DUMMYFUNCTION("""COMPUTED_VALUE"""),"Aprill (SU)")</f>
        <v>Aprill (SU)</v>
      </c>
      <c r="I286" s="13" t="str">
        <f>IFERROR(__xludf.DUMMYFUNCTION("""COMPUTED_VALUE"""),"SELESAI (VIA PERMOHONAN)")</f>
        <v>SELESAI (VIA PERMOHONAN)</v>
      </c>
      <c r="J286" s="17">
        <f>IFERROR(__xludf.DUMMYFUNCTION("""COMPUTED_VALUE"""),45621.70535305556)</f>
        <v>45621.70535</v>
      </c>
      <c r="K286" s="13" t="str">
        <f>IFERROR(__xludf.DUMMYFUNCTION("""COMPUTED_VALUE"""),"Selesai")</f>
        <v>Selesai</v>
      </c>
      <c r="L286" s="17">
        <f>IFERROR(__xludf.DUMMYFUNCTION("""COMPUTED_VALUE"""),45621.70535305556)</f>
        <v>45621.70535</v>
      </c>
      <c r="M286" s="17">
        <f>IFERROR(__xludf.DUMMYFUNCTION("""COMPUTED_VALUE"""),45621.70535305556)</f>
        <v>45621.70535</v>
      </c>
      <c r="N286" s="13" t="str">
        <f>IFERROR(__xludf.DUMMYFUNCTION("""COMPUTED_VALUE"""),"")</f>
        <v/>
      </c>
      <c r="O286" s="13" t="str">
        <f t="shared" si="1"/>
        <v/>
      </c>
    </row>
    <row r="287" ht="22.5" customHeight="1">
      <c r="B287" s="13">
        <f>IFERROR(__xludf.DUMMYFUNCTION("""COMPUTED_VALUE"""),282.0)</f>
        <v>282</v>
      </c>
      <c r="C287" s="13" t="str">
        <f>IFERROR(__xludf.DUMMYFUNCTION("""COMPUTED_VALUE"""),"HM 10385/KEDAMAIAN")</f>
        <v>HM 10385/KEDAMAIAN</v>
      </c>
      <c r="D287" s="13" t="str">
        <f>IFERROR(__xludf.DUMMYFUNCTION("""COMPUTED_VALUE"""),"L/22/201124/1")</f>
        <v>L/22/201124/1</v>
      </c>
      <c r="E287" s="14" t="str">
        <f>IFERROR(__xludf.DUMMYFUNCTION("""COMPUTED_VALUE"""),"Nadian (BT)")</f>
        <v>Nadian (BT)</v>
      </c>
      <c r="F287" s="14" t="str">
        <f>IFERROR(__xludf.DUMMYFUNCTION("""COMPUTED_VALUE"""),"SELESAI")</f>
        <v>SELESAI</v>
      </c>
      <c r="G287" s="17">
        <f>IFERROR(__xludf.DUMMYFUNCTION("""COMPUTED_VALUE"""),45618.63594417824)</f>
        <v>45618.63594</v>
      </c>
      <c r="H287" s="14" t="str">
        <f>IFERROR(__xludf.DUMMYFUNCTION("""COMPUTED_VALUE"""),"Bu Eva (SU)")</f>
        <v>Bu Eva (SU)</v>
      </c>
      <c r="I287" s="13" t="str">
        <f>IFERROR(__xludf.DUMMYFUNCTION("""COMPUTED_VALUE"""),"SELESAI")</f>
        <v>SELESAI</v>
      </c>
      <c r="J287" s="17">
        <f>IFERROR(__xludf.DUMMYFUNCTION("""COMPUTED_VALUE"""),45621.70535305556)</f>
        <v>45621.70535</v>
      </c>
      <c r="K287" s="13" t="str">
        <f>IFERROR(__xludf.DUMMYFUNCTION("""COMPUTED_VALUE"""),"SELESAI")</f>
        <v>SELESAI</v>
      </c>
      <c r="L287" s="17">
        <f>IFERROR(__xludf.DUMMYFUNCTION("""COMPUTED_VALUE"""),45621.70535305556)</f>
        <v>45621.70535</v>
      </c>
      <c r="M287" s="17" t="str">
        <f>IFERROR(__xludf.DUMMYFUNCTION("""COMPUTED_VALUE"""),"")</f>
        <v/>
      </c>
      <c r="N287" s="17">
        <f>IFERROR(__xludf.DUMMYFUNCTION("""COMPUTED_VALUE"""),45621.70535305556)</f>
        <v>45621.70535</v>
      </c>
      <c r="O287" s="13">
        <f t="shared" si="1"/>
        <v>1</v>
      </c>
    </row>
    <row r="288" ht="22.5" customHeight="1">
      <c r="B288" s="13">
        <f>IFERROR(__xludf.DUMMYFUNCTION("""COMPUTED_VALUE"""),283.0)</f>
        <v>283</v>
      </c>
      <c r="C288" s="13" t="str">
        <f>IFERROR(__xludf.DUMMYFUNCTION("""COMPUTED_VALUE"""),"M. 1423/ Kuripan")</f>
        <v>M. 1423/ Kuripan</v>
      </c>
      <c r="D288" s="13" t="str">
        <f>IFERROR(__xludf.DUMMYFUNCTION("""COMPUTED_VALUE"""),"K/24/201124/1")</f>
        <v>K/24/201124/1</v>
      </c>
      <c r="E288" s="14" t="str">
        <f>IFERROR(__xludf.DUMMYFUNCTION("""COMPUTED_VALUE"""),"Nadian (BT)")</f>
        <v>Nadian (BT)</v>
      </c>
      <c r="F288" s="14" t="str">
        <f>IFERROR(__xludf.DUMMYFUNCTION("""COMPUTED_VALUE"""),"SELESAI")</f>
        <v>SELESAI</v>
      </c>
      <c r="G288" s="17">
        <f>IFERROR(__xludf.DUMMYFUNCTION("""COMPUTED_VALUE"""),45618.63602351852)</f>
        <v>45618.63602</v>
      </c>
      <c r="H288" s="14" t="str">
        <f>IFERROR(__xludf.DUMMYFUNCTION("""COMPUTED_VALUE"""),"Bu Eva (SU)")</f>
        <v>Bu Eva (SU)</v>
      </c>
      <c r="I288" s="13" t="str">
        <f>IFERROR(__xludf.DUMMYFUNCTION("""COMPUTED_VALUE"""),"SELESAI")</f>
        <v>SELESAI</v>
      </c>
      <c r="J288" s="17">
        <f>IFERROR(__xludf.DUMMYFUNCTION("""COMPUTED_VALUE"""),45621.70535305556)</f>
        <v>45621.70535</v>
      </c>
      <c r="K288" s="13" t="str">
        <f>IFERROR(__xludf.DUMMYFUNCTION("""COMPUTED_VALUE"""),"SELESAI")</f>
        <v>SELESAI</v>
      </c>
      <c r="L288" s="17">
        <f>IFERROR(__xludf.DUMMYFUNCTION("""COMPUTED_VALUE"""),45621.70535305556)</f>
        <v>45621.70535</v>
      </c>
      <c r="M288" s="17" t="str">
        <f>IFERROR(__xludf.DUMMYFUNCTION("""COMPUTED_VALUE"""),"")</f>
        <v/>
      </c>
      <c r="N288" s="17">
        <f>IFERROR(__xludf.DUMMYFUNCTION("""COMPUTED_VALUE"""),45621.70535305556)</f>
        <v>45621.70535</v>
      </c>
      <c r="O288" s="13">
        <f t="shared" si="1"/>
        <v>2</v>
      </c>
    </row>
    <row r="289" ht="22.5" customHeight="1">
      <c r="B289" s="13">
        <f>IFERROR(__xludf.DUMMYFUNCTION("""COMPUTED_VALUE"""),284.0)</f>
        <v>284</v>
      </c>
      <c r="C289" s="13" t="str">
        <f>IFERROR(__xludf.DUMMYFUNCTION("""COMPUTED_VALUE"""),"M. 807/ Negeri Olok Gading")</f>
        <v>M. 807/ Negeri Olok Gading</v>
      </c>
      <c r="D289" s="13" t="str">
        <f>IFERROR(__xludf.DUMMYFUNCTION("""COMPUTED_VALUE"""),"K/1/211124/1")</f>
        <v>K/1/211124/1</v>
      </c>
      <c r="E289" s="14" t="str">
        <f>IFERROR(__xludf.DUMMYFUNCTION("""COMPUTED_VALUE"""),"Nadian (BT)")</f>
        <v>Nadian (BT)</v>
      </c>
      <c r="F289" s="14" t="str">
        <f>IFERROR(__xludf.DUMMYFUNCTION("""COMPUTED_VALUE"""),"SELESAI")</f>
        <v>SELESAI</v>
      </c>
      <c r="G289" s="17">
        <f>IFERROR(__xludf.DUMMYFUNCTION("""COMPUTED_VALUE"""),45618.63602351852)</f>
        <v>45618.63602</v>
      </c>
      <c r="H289" s="14" t="str">
        <f>IFERROR(__xludf.DUMMYFUNCTION("""COMPUTED_VALUE"""),"Bu Eva (SU)")</f>
        <v>Bu Eva (SU)</v>
      </c>
      <c r="I289" s="13" t="str">
        <f>IFERROR(__xludf.DUMMYFUNCTION("""COMPUTED_VALUE"""),"SELESAI")</f>
        <v>SELESAI</v>
      </c>
      <c r="J289" s="17">
        <f>IFERROR(__xludf.DUMMYFUNCTION("""COMPUTED_VALUE"""),45621.705353067126)</f>
        <v>45621.70535</v>
      </c>
      <c r="K289" s="13" t="str">
        <f>IFERROR(__xludf.DUMMYFUNCTION("""COMPUTED_VALUE"""),"SELESAI")</f>
        <v>SELESAI</v>
      </c>
      <c r="L289" s="17">
        <f>IFERROR(__xludf.DUMMYFUNCTION("""COMPUTED_VALUE"""),45621.705353067126)</f>
        <v>45621.70535</v>
      </c>
      <c r="M289" s="17" t="str">
        <f>IFERROR(__xludf.DUMMYFUNCTION("""COMPUTED_VALUE"""),"")</f>
        <v/>
      </c>
      <c r="N289" s="17">
        <f>IFERROR(__xludf.DUMMYFUNCTION("""COMPUTED_VALUE"""),45621.705353067126)</f>
        <v>45621.70535</v>
      </c>
      <c r="O289" s="13">
        <f t="shared" si="1"/>
        <v>3</v>
      </c>
    </row>
    <row r="290" ht="22.5" customHeight="1">
      <c r="B290" s="13">
        <f>IFERROR(__xludf.DUMMYFUNCTION("""COMPUTED_VALUE"""),285.0)</f>
        <v>285</v>
      </c>
      <c r="C290" s="13" t="str">
        <f>IFERROR(__xludf.DUMMYFUNCTION("""COMPUTED_VALUE"""),"M.1458/PANJANG SELATAN")</f>
        <v>M.1458/PANJANG SELATAN</v>
      </c>
      <c r="D290" s="13" t="str">
        <f>IFERROR(__xludf.DUMMYFUNCTION("""COMPUTED_VALUE"""),"K/42/201124/1")</f>
        <v>K/42/201124/1</v>
      </c>
      <c r="E290" s="14" t="str">
        <f>IFERROR(__xludf.DUMMYFUNCTION("""COMPUTED_VALUE"""),"Nadian (BT)")</f>
        <v>Nadian (BT)</v>
      </c>
      <c r="F290" s="14" t="str">
        <f>IFERROR(__xludf.DUMMYFUNCTION("""COMPUTED_VALUE"""),"SELESAI")</f>
        <v>SELESAI</v>
      </c>
      <c r="G290" s="17">
        <f>IFERROR(__xludf.DUMMYFUNCTION("""COMPUTED_VALUE"""),45618.63602351852)</f>
        <v>45618.63602</v>
      </c>
      <c r="H290" s="14" t="str">
        <f>IFERROR(__xludf.DUMMYFUNCTION("""COMPUTED_VALUE"""),"Bu Eva (SU)")</f>
        <v>Bu Eva (SU)</v>
      </c>
      <c r="I290" s="13" t="str">
        <f>IFERROR(__xludf.DUMMYFUNCTION("""COMPUTED_VALUE"""),"SELESAI")</f>
        <v>SELESAI</v>
      </c>
      <c r="J290" s="17">
        <f>IFERROR(__xludf.DUMMYFUNCTION("""COMPUTED_VALUE"""),45621.705353067126)</f>
        <v>45621.70535</v>
      </c>
      <c r="K290" s="13" t="str">
        <f>IFERROR(__xludf.DUMMYFUNCTION("""COMPUTED_VALUE"""),"SELESAI")</f>
        <v>SELESAI</v>
      </c>
      <c r="L290" s="17">
        <f>IFERROR(__xludf.DUMMYFUNCTION("""COMPUTED_VALUE"""),45621.705353067126)</f>
        <v>45621.70535</v>
      </c>
      <c r="M290" s="17" t="str">
        <f>IFERROR(__xludf.DUMMYFUNCTION("""COMPUTED_VALUE"""),"")</f>
        <v/>
      </c>
      <c r="N290" s="17">
        <f>IFERROR(__xludf.DUMMYFUNCTION("""COMPUTED_VALUE"""),45621.705353067126)</f>
        <v>45621.70535</v>
      </c>
      <c r="O290" s="13">
        <f t="shared" si="1"/>
        <v>4</v>
      </c>
    </row>
    <row r="291" ht="22.5" customHeight="1">
      <c r="B291" s="13">
        <f>IFERROR(__xludf.DUMMYFUNCTION("""COMPUTED_VALUE"""),286.0)</f>
        <v>286</v>
      </c>
      <c r="C291" s="13" t="str">
        <f>IFERROR(__xludf.DUMMYFUNCTION("""COMPUTED_VALUE"""),"M.6410/GUNUNG SULAH")</f>
        <v>M.6410/GUNUNG SULAH</v>
      </c>
      <c r="D291" s="13" t="str">
        <f>IFERROR(__xludf.DUMMYFUNCTION("""COMPUTED_VALUE"""),"K/34/201124/2")</f>
        <v>K/34/201124/2</v>
      </c>
      <c r="E291" s="14" t="str">
        <f>IFERROR(__xludf.DUMMYFUNCTION("""COMPUTED_VALUE"""),"Nadian (BT)")</f>
        <v>Nadian (BT)</v>
      </c>
      <c r="F291" s="14" t="str">
        <f>IFERROR(__xludf.DUMMYFUNCTION("""COMPUTED_VALUE"""),"SELESAI")</f>
        <v>SELESAI</v>
      </c>
      <c r="G291" s="17">
        <f>IFERROR(__xludf.DUMMYFUNCTION("""COMPUTED_VALUE"""),45618.63602351852)</f>
        <v>45618.63602</v>
      </c>
      <c r="H291" s="14" t="str">
        <f>IFERROR(__xludf.DUMMYFUNCTION("""COMPUTED_VALUE"""),"Bu Eva (SU)")</f>
        <v>Bu Eva (SU)</v>
      </c>
      <c r="I291" s="13" t="str">
        <f>IFERROR(__xludf.DUMMYFUNCTION("""COMPUTED_VALUE"""),"SELESAI")</f>
        <v>SELESAI</v>
      </c>
      <c r="J291" s="17">
        <f>IFERROR(__xludf.DUMMYFUNCTION("""COMPUTED_VALUE"""),45621.705353067126)</f>
        <v>45621.70535</v>
      </c>
      <c r="K291" s="13" t="str">
        <f>IFERROR(__xludf.DUMMYFUNCTION("""COMPUTED_VALUE"""),"SELESAI")</f>
        <v>SELESAI</v>
      </c>
      <c r="L291" s="17">
        <f>IFERROR(__xludf.DUMMYFUNCTION("""COMPUTED_VALUE"""),45621.705353067126)</f>
        <v>45621.70535</v>
      </c>
      <c r="M291" s="17" t="str">
        <f>IFERROR(__xludf.DUMMYFUNCTION("""COMPUTED_VALUE"""),"")</f>
        <v/>
      </c>
      <c r="N291" s="17">
        <f>IFERROR(__xludf.DUMMYFUNCTION("""COMPUTED_VALUE"""),45621.705353067126)</f>
        <v>45621.70535</v>
      </c>
      <c r="O291" s="13">
        <f t="shared" si="1"/>
        <v>5</v>
      </c>
    </row>
    <row r="292" ht="22.5" customHeight="1">
      <c r="B292" s="13">
        <f>IFERROR(__xludf.DUMMYFUNCTION("""COMPUTED_VALUE"""),287.0)</f>
        <v>287</v>
      </c>
      <c r="C292" s="13" t="str">
        <f>IFERROR(__xludf.DUMMYFUNCTION("""COMPUTED_VALUE"""),"M. 1432/ Sumur Putri")</f>
        <v>M. 1432/ Sumur Putri</v>
      </c>
      <c r="D292" s="13" t="str">
        <f>IFERROR(__xludf.DUMMYFUNCTION("""COMPUTED_VALUE"""),"K/23/201124/1")</f>
        <v>K/23/201124/1</v>
      </c>
      <c r="E292" s="14" t="str">
        <f>IFERROR(__xludf.DUMMYFUNCTION("""COMPUTED_VALUE"""),"Nadian (BT)")</f>
        <v>Nadian (BT)</v>
      </c>
      <c r="F292" s="14" t="str">
        <f>IFERROR(__xludf.DUMMYFUNCTION("""COMPUTED_VALUE"""),"SELESAI")</f>
        <v>SELESAI</v>
      </c>
      <c r="G292" s="17">
        <f>IFERROR(__xludf.DUMMYFUNCTION("""COMPUTED_VALUE"""),45618.63602351852)</f>
        <v>45618.63602</v>
      </c>
      <c r="H292" s="14" t="str">
        <f>IFERROR(__xludf.DUMMYFUNCTION("""COMPUTED_VALUE"""),"Bu Eva (SU)")</f>
        <v>Bu Eva (SU)</v>
      </c>
      <c r="I292" s="13" t="str">
        <f>IFERROR(__xludf.DUMMYFUNCTION("""COMPUTED_VALUE"""),"SELESAI")</f>
        <v>SELESAI</v>
      </c>
      <c r="J292" s="17">
        <f>IFERROR(__xludf.DUMMYFUNCTION("""COMPUTED_VALUE"""),45621.705353067126)</f>
        <v>45621.70535</v>
      </c>
      <c r="K292" s="13" t="str">
        <f>IFERROR(__xludf.DUMMYFUNCTION("""COMPUTED_VALUE"""),"SELESAI")</f>
        <v>SELESAI</v>
      </c>
      <c r="L292" s="17">
        <f>IFERROR(__xludf.DUMMYFUNCTION("""COMPUTED_VALUE"""),45621.705353067126)</f>
        <v>45621.70535</v>
      </c>
      <c r="M292" s="17" t="str">
        <f>IFERROR(__xludf.DUMMYFUNCTION("""COMPUTED_VALUE"""),"")</f>
        <v/>
      </c>
      <c r="N292" s="17">
        <f>IFERROR(__xludf.DUMMYFUNCTION("""COMPUTED_VALUE"""),45621.705353067126)</f>
        <v>45621.70535</v>
      </c>
      <c r="O292" s="13">
        <f t="shared" si="1"/>
        <v>6</v>
      </c>
    </row>
    <row r="293" ht="22.5" customHeight="1">
      <c r="B293" s="13">
        <f>IFERROR(__xludf.DUMMYFUNCTION("""COMPUTED_VALUE"""),288.0)</f>
        <v>288</v>
      </c>
      <c r="C293" s="13" t="str">
        <f>IFERROR(__xludf.DUMMYFUNCTION("""COMPUTED_VALUE"""),"HM 2606/WAY KANDIS")</f>
        <v>HM 2606/WAY KANDIS</v>
      </c>
      <c r="D293" s="13" t="str">
        <f>IFERROR(__xludf.DUMMYFUNCTION("""COMPUTED_VALUE"""),"L/6/201124/1")</f>
        <v>L/6/201124/1</v>
      </c>
      <c r="E293" s="14" t="str">
        <f>IFERROR(__xludf.DUMMYFUNCTION("""COMPUTED_VALUE"""),"Nadian (BT)")</f>
        <v>Nadian (BT)</v>
      </c>
      <c r="F293" s="14" t="str">
        <f>IFERROR(__xludf.DUMMYFUNCTION("""COMPUTED_VALUE"""),"SELESAI")</f>
        <v>SELESAI</v>
      </c>
      <c r="G293" s="17">
        <f>IFERROR(__xludf.DUMMYFUNCTION("""COMPUTED_VALUE"""),45618.636023530096)</f>
        <v>45618.63602</v>
      </c>
      <c r="H293" s="14" t="str">
        <f>IFERROR(__xludf.DUMMYFUNCTION("""COMPUTED_VALUE"""),"Bu Eva (SU)")</f>
        <v>Bu Eva (SU)</v>
      </c>
      <c r="I293" s="13" t="str">
        <f>IFERROR(__xludf.DUMMYFUNCTION("""COMPUTED_VALUE"""),"SELESAI")</f>
        <v>SELESAI</v>
      </c>
      <c r="J293" s="17">
        <f>IFERROR(__xludf.DUMMYFUNCTION("""COMPUTED_VALUE"""),45621.70535307871)</f>
        <v>45621.70535</v>
      </c>
      <c r="K293" s="13" t="str">
        <f>IFERROR(__xludf.DUMMYFUNCTION("""COMPUTED_VALUE"""),"SELESAI")</f>
        <v>SELESAI</v>
      </c>
      <c r="L293" s="17">
        <f>IFERROR(__xludf.DUMMYFUNCTION("""COMPUTED_VALUE"""),45621.70535307871)</f>
        <v>45621.70535</v>
      </c>
      <c r="M293" s="17" t="str">
        <f>IFERROR(__xludf.DUMMYFUNCTION("""COMPUTED_VALUE"""),"")</f>
        <v/>
      </c>
      <c r="N293" s="17">
        <f>IFERROR(__xludf.DUMMYFUNCTION("""COMPUTED_VALUE"""),45621.70535307871)</f>
        <v>45621.70535</v>
      </c>
      <c r="O293" s="13">
        <f t="shared" si="1"/>
        <v>7</v>
      </c>
    </row>
    <row r="294" ht="22.5" customHeight="1">
      <c r="B294" s="13">
        <f>IFERROR(__xludf.DUMMYFUNCTION("""COMPUTED_VALUE"""),289.0)</f>
        <v>289</v>
      </c>
      <c r="C294" s="13" t="str">
        <f>IFERROR(__xludf.DUMMYFUNCTION("""COMPUTED_VALUE"""),"M. 141/ PERUMNAS WAY KANDIS-SEKARANG; B. 250/ WAY KANDIS-DAHULU")</f>
        <v>M. 141/ PERUMNAS WAY KANDIS-SEKARANG; B. 250/ WAY KANDIS-DAHULU</v>
      </c>
      <c r="D294" s="13" t="str">
        <f>IFERROR(__xludf.DUMMYFUNCTION("""COMPUTED_VALUE"""),"K/20/071124/1")</f>
        <v>K/20/071124/1</v>
      </c>
      <c r="E294" s="14" t="str">
        <f>IFERROR(__xludf.DUMMYFUNCTION("""COMPUTED_VALUE"""),"Afriza (BT)")</f>
        <v>Afriza (BT)</v>
      </c>
      <c r="F294" s="14" t="str">
        <f>IFERROR(__xludf.DUMMYFUNCTION("""COMPUTED_VALUE"""),"SELESAI (VIA PERMOHONAN)")</f>
        <v>SELESAI (VIA PERMOHONAN)</v>
      </c>
      <c r="G294" s="17">
        <f>IFERROR(__xludf.DUMMYFUNCTION("""COMPUTED_VALUE"""),45621.35938836806)</f>
        <v>45621.35939</v>
      </c>
      <c r="H294" s="14" t="str">
        <f>IFERROR(__xludf.DUMMYFUNCTION("""COMPUTED_VALUE"""),"Aprill (SU)")</f>
        <v>Aprill (SU)</v>
      </c>
      <c r="I294" s="13" t="str">
        <f>IFERROR(__xludf.DUMMYFUNCTION("""COMPUTED_VALUE"""),"SELESAI (VIA PERMOHONAN)")</f>
        <v>SELESAI (VIA PERMOHONAN)</v>
      </c>
      <c r="J294" s="17">
        <f>IFERROR(__xludf.DUMMYFUNCTION("""COMPUTED_VALUE"""),45622.646631157404)</f>
        <v>45622.64663</v>
      </c>
      <c r="K294" s="13" t="str">
        <f>IFERROR(__xludf.DUMMYFUNCTION("""COMPUTED_VALUE"""),"Selesai")</f>
        <v>Selesai</v>
      </c>
      <c r="L294" s="17">
        <f>IFERROR(__xludf.DUMMYFUNCTION("""COMPUTED_VALUE"""),45622.646631157404)</f>
        <v>45622.64663</v>
      </c>
      <c r="M294" s="17">
        <f>IFERROR(__xludf.DUMMYFUNCTION("""COMPUTED_VALUE"""),45622.64666853009)</f>
        <v>45622.64667</v>
      </c>
      <c r="N294" s="13" t="str">
        <f>IFERROR(__xludf.DUMMYFUNCTION("""COMPUTED_VALUE"""),"")</f>
        <v/>
      </c>
      <c r="O294" s="13" t="str">
        <f t="shared" si="1"/>
        <v/>
      </c>
    </row>
    <row r="295" ht="22.5" customHeight="1">
      <c r="B295" s="13">
        <f>IFERROR(__xludf.DUMMYFUNCTION("""COMPUTED_VALUE"""),290.0)</f>
        <v>290</v>
      </c>
      <c r="C295" s="13" t="str">
        <f>IFERROR(__xludf.DUMMYFUNCTION("""COMPUTED_VALUE"""),"HGB 1072/SUKABUMI INDAH")</f>
        <v>HGB 1072/SUKABUMI INDAH</v>
      </c>
      <c r="D295" s="13" t="str">
        <f>IFERROR(__xludf.DUMMYFUNCTION("""COMPUTED_VALUE"""),"L/9/191124/1")</f>
        <v>L/9/191124/1</v>
      </c>
      <c r="E295" s="14" t="str">
        <f>IFERROR(__xludf.DUMMYFUNCTION("""COMPUTED_VALUE"""),"Afriza (BT)")</f>
        <v>Afriza (BT)</v>
      </c>
      <c r="F295" s="14" t="str">
        <f>IFERROR(__xludf.DUMMYFUNCTION("""COMPUTED_VALUE"""),"SELESAI (VIA PERMOHONAN)")</f>
        <v>SELESAI (VIA PERMOHONAN)</v>
      </c>
      <c r="G295" s="17">
        <f>IFERROR(__xludf.DUMMYFUNCTION("""COMPUTED_VALUE"""),45621.39322587963)</f>
        <v>45621.39323</v>
      </c>
      <c r="H295" s="14" t="str">
        <f>IFERROR(__xludf.DUMMYFUNCTION("""COMPUTED_VALUE"""),"Aprill (SU)")</f>
        <v>Aprill (SU)</v>
      </c>
      <c r="I295" s="13" t="str">
        <f>IFERROR(__xludf.DUMMYFUNCTION("""COMPUTED_VALUE"""),"SELESAI (VIA PERMOHONAN)")</f>
        <v>SELESAI (VIA PERMOHONAN)</v>
      </c>
      <c r="J295" s="17">
        <f>IFERROR(__xludf.DUMMYFUNCTION("""COMPUTED_VALUE"""),45622.64665278935)</f>
        <v>45622.64665</v>
      </c>
      <c r="K295" s="13" t="str">
        <f>IFERROR(__xludf.DUMMYFUNCTION("""COMPUTED_VALUE"""),"Selesai")</f>
        <v>Selesai</v>
      </c>
      <c r="L295" s="17">
        <f>IFERROR(__xludf.DUMMYFUNCTION("""COMPUTED_VALUE"""),45622.64665278935)</f>
        <v>45622.64665</v>
      </c>
      <c r="M295" s="17">
        <f>IFERROR(__xludf.DUMMYFUNCTION("""COMPUTED_VALUE"""),45622.64668017361)</f>
        <v>45622.64668</v>
      </c>
      <c r="N295" s="13" t="str">
        <f>IFERROR(__xludf.DUMMYFUNCTION("""COMPUTED_VALUE"""),"")</f>
        <v/>
      </c>
      <c r="O295" s="13" t="str">
        <f t="shared" si="1"/>
        <v/>
      </c>
    </row>
    <row r="296" ht="22.5" customHeight="1">
      <c r="B296" s="13">
        <f>IFERROR(__xludf.DUMMYFUNCTION("""COMPUTED_VALUE"""),291.0)</f>
        <v>291</v>
      </c>
      <c r="C296" s="13" t="str">
        <f>IFERROR(__xludf.DUMMYFUNCTION("""COMPUTED_VALUE"""),"B. 745/ Sumur Putri")</f>
        <v>B. 745/ Sumur Putri</v>
      </c>
      <c r="D296" s="13" t="str">
        <f>IFERROR(__xludf.DUMMYFUNCTION("""COMPUTED_VALUE"""),"K/30/211124/1")</f>
        <v>K/30/211124/1</v>
      </c>
      <c r="E296" s="14" t="str">
        <f>IFERROR(__xludf.DUMMYFUNCTION("""COMPUTED_VALUE"""),"Afriza (BT)")</f>
        <v>Afriza (BT)</v>
      </c>
      <c r="F296" s="14" t="str">
        <f>IFERROR(__xludf.DUMMYFUNCTION("""COMPUTED_VALUE"""),"SELESAI")</f>
        <v>SELESAI</v>
      </c>
      <c r="G296" s="17">
        <f>IFERROR(__xludf.DUMMYFUNCTION("""COMPUTED_VALUE"""),45621.70535307871)</f>
        <v>45621.70535</v>
      </c>
      <c r="H296" s="14" t="str">
        <f>IFERROR(__xludf.DUMMYFUNCTION("""COMPUTED_VALUE"""),"Bu Eva (SU)")</f>
        <v>Bu Eva (SU)</v>
      </c>
      <c r="I296" s="13" t="str">
        <f>IFERROR(__xludf.DUMMYFUNCTION("""COMPUTED_VALUE"""),"SELESAI")</f>
        <v>SELESAI</v>
      </c>
      <c r="J296" s="17">
        <f>IFERROR(__xludf.DUMMYFUNCTION("""COMPUTED_VALUE"""),45622.646740219905)</f>
        <v>45622.64674</v>
      </c>
      <c r="K296" s="13" t="str">
        <f>IFERROR(__xludf.DUMMYFUNCTION("""COMPUTED_VALUE"""),"SELESAI")</f>
        <v>SELESAI</v>
      </c>
      <c r="L296" s="17">
        <f>IFERROR(__xludf.DUMMYFUNCTION("""COMPUTED_VALUE"""),45622.646740219905)</f>
        <v>45622.64674</v>
      </c>
      <c r="M296" s="17" t="str">
        <f>IFERROR(__xludf.DUMMYFUNCTION("""COMPUTED_VALUE"""),"")</f>
        <v/>
      </c>
      <c r="N296" s="13" t="str">
        <f>IFERROR(__xludf.DUMMYFUNCTION("""COMPUTED_VALUE"""),"")</f>
        <v/>
      </c>
      <c r="O296" s="13" t="str">
        <f t="shared" si="1"/>
        <v/>
      </c>
    </row>
    <row r="297" ht="22.5" customHeight="1">
      <c r="B297" s="13">
        <f>IFERROR(__xludf.DUMMYFUNCTION("""COMPUTED_VALUE"""),292.0)</f>
        <v>292</v>
      </c>
      <c r="C297" s="13" t="str">
        <f>IFERROR(__xludf.DUMMYFUNCTION("""COMPUTED_VALUE"""),"M. 2199/ Rajabasa Raya")</f>
        <v>M. 2199/ Rajabasa Raya</v>
      </c>
      <c r="D297" s="13" t="str">
        <f>IFERROR(__xludf.DUMMYFUNCTION("""COMPUTED_VALUE"""),"K/46/211124/1")</f>
        <v>K/46/211124/1</v>
      </c>
      <c r="E297" s="14" t="str">
        <f>IFERROR(__xludf.DUMMYFUNCTION("""COMPUTED_VALUE"""),"Afriza (BT)")</f>
        <v>Afriza (BT)</v>
      </c>
      <c r="F297" s="14" t="str">
        <f>IFERROR(__xludf.DUMMYFUNCTION("""COMPUTED_VALUE"""),"SELESAI")</f>
        <v>SELESAI</v>
      </c>
      <c r="G297" s="17">
        <f>IFERROR(__xludf.DUMMYFUNCTION("""COMPUTED_VALUE"""),45621.70535307871)</f>
        <v>45621.70535</v>
      </c>
      <c r="H297" s="14" t="str">
        <f>IFERROR(__xludf.DUMMYFUNCTION("""COMPUTED_VALUE"""),"Bu Eva (SU)")</f>
        <v>Bu Eva (SU)</v>
      </c>
      <c r="I297" s="13" t="str">
        <f>IFERROR(__xludf.DUMMYFUNCTION("""COMPUTED_VALUE"""),"SELESAI")</f>
        <v>SELESAI</v>
      </c>
      <c r="J297" s="17">
        <f>IFERROR(__xludf.DUMMYFUNCTION("""COMPUTED_VALUE"""),45622.64726298611)</f>
        <v>45622.64726</v>
      </c>
      <c r="K297" s="13" t="str">
        <f>IFERROR(__xludf.DUMMYFUNCTION("""COMPUTED_VALUE"""),"SELESAI")</f>
        <v>SELESAI</v>
      </c>
      <c r="L297" s="17">
        <f>IFERROR(__xludf.DUMMYFUNCTION("""COMPUTED_VALUE"""),45622.64726298611)</f>
        <v>45622.64726</v>
      </c>
      <c r="M297" s="17" t="str">
        <f>IFERROR(__xludf.DUMMYFUNCTION("""COMPUTED_VALUE"""),"")</f>
        <v/>
      </c>
      <c r="N297" s="13" t="str">
        <f>IFERROR(__xludf.DUMMYFUNCTION("""COMPUTED_VALUE"""),"")</f>
        <v/>
      </c>
      <c r="O297" s="13" t="str">
        <f t="shared" si="1"/>
        <v/>
      </c>
    </row>
    <row r="298" ht="22.5" customHeight="1">
      <c r="B298" s="13">
        <f>IFERROR(__xludf.DUMMYFUNCTION("""COMPUTED_VALUE"""),293.0)</f>
        <v>293</v>
      </c>
      <c r="C298" s="13" t="str">
        <f>IFERROR(__xludf.DUMMYFUNCTION("""COMPUTED_VALUE"""),"M. 236/ L R R")</f>
        <v>M. 236/ L R R</v>
      </c>
      <c r="D298" s="13" t="str">
        <f>IFERROR(__xludf.DUMMYFUNCTION("""COMPUTED_VALUE"""),"K/2/211124/1")</f>
        <v>K/2/211124/1</v>
      </c>
      <c r="E298" s="14" t="str">
        <f>IFERROR(__xludf.DUMMYFUNCTION("""COMPUTED_VALUE"""),"Afriza (BT)")</f>
        <v>Afriza (BT)</v>
      </c>
      <c r="F298" s="14" t="str">
        <f>IFERROR(__xludf.DUMMYFUNCTION("""COMPUTED_VALUE"""),"SELESAI")</f>
        <v>SELESAI</v>
      </c>
      <c r="G298" s="17">
        <f>IFERROR(__xludf.DUMMYFUNCTION("""COMPUTED_VALUE"""),45621.70535307871)</f>
        <v>45621.70535</v>
      </c>
      <c r="H298" s="14" t="str">
        <f>IFERROR(__xludf.DUMMYFUNCTION("""COMPUTED_VALUE"""),"Bu Eva (SU)")</f>
        <v>Bu Eva (SU)</v>
      </c>
      <c r="I298" s="13" t="str">
        <f>IFERROR(__xludf.DUMMYFUNCTION("""COMPUTED_VALUE"""),"SELESAI")</f>
        <v>SELESAI</v>
      </c>
      <c r="J298" s="17">
        <f>IFERROR(__xludf.DUMMYFUNCTION("""COMPUTED_VALUE"""),45622.64726298611)</f>
        <v>45622.64726</v>
      </c>
      <c r="K298" s="13" t="str">
        <f>IFERROR(__xludf.DUMMYFUNCTION("""COMPUTED_VALUE"""),"SELESAI")</f>
        <v>SELESAI</v>
      </c>
      <c r="L298" s="17">
        <f>IFERROR(__xludf.DUMMYFUNCTION("""COMPUTED_VALUE"""),45622.64726298611)</f>
        <v>45622.64726</v>
      </c>
      <c r="M298" s="17" t="str">
        <f>IFERROR(__xludf.DUMMYFUNCTION("""COMPUTED_VALUE"""),"")</f>
        <v/>
      </c>
      <c r="N298" s="13" t="str">
        <f>IFERROR(__xludf.DUMMYFUNCTION("""COMPUTED_VALUE"""),"")</f>
        <v/>
      </c>
      <c r="O298" s="13" t="str">
        <f t="shared" si="1"/>
        <v/>
      </c>
    </row>
    <row r="299" ht="22.5" customHeight="1">
      <c r="B299" s="13">
        <f>IFERROR(__xludf.DUMMYFUNCTION("""COMPUTED_VALUE"""),294.0)</f>
        <v>294</v>
      </c>
      <c r="C299" s="13" t="str">
        <f>IFERROR(__xludf.DUMMYFUNCTION("""COMPUTED_VALUE"""),"HM 8969/GEDUNG MENENG")</f>
        <v>HM 8969/GEDUNG MENENG</v>
      </c>
      <c r="D299" s="13" t="str">
        <f>IFERROR(__xludf.DUMMYFUNCTION("""COMPUTED_VALUE"""),"L/10/211124/1")</f>
        <v>L/10/211124/1</v>
      </c>
      <c r="E299" s="14" t="str">
        <f>IFERROR(__xludf.DUMMYFUNCTION("""COMPUTED_VALUE"""),"Afriza (BT)")</f>
        <v>Afriza (BT)</v>
      </c>
      <c r="F299" s="14" t="str">
        <f>IFERROR(__xludf.DUMMYFUNCTION("""COMPUTED_VALUE"""),"SELESAI")</f>
        <v>SELESAI</v>
      </c>
      <c r="G299" s="17">
        <f>IFERROR(__xludf.DUMMYFUNCTION("""COMPUTED_VALUE"""),45621.70535307871)</f>
        <v>45621.70535</v>
      </c>
      <c r="H299" s="14" t="str">
        <f>IFERROR(__xludf.DUMMYFUNCTION("""COMPUTED_VALUE"""),"Bu Eva (SU)")</f>
        <v>Bu Eva (SU)</v>
      </c>
      <c r="I299" s="13" t="str">
        <f>IFERROR(__xludf.DUMMYFUNCTION("""COMPUTED_VALUE"""),"SELESAI")</f>
        <v>SELESAI</v>
      </c>
      <c r="J299" s="17">
        <f>IFERROR(__xludf.DUMMYFUNCTION("""COMPUTED_VALUE"""),45622.64739788194)</f>
        <v>45622.6474</v>
      </c>
      <c r="K299" s="13" t="str">
        <f>IFERROR(__xludf.DUMMYFUNCTION("""COMPUTED_VALUE"""),"SELESAI")</f>
        <v>SELESAI</v>
      </c>
      <c r="L299" s="17">
        <f>IFERROR(__xludf.DUMMYFUNCTION("""COMPUTED_VALUE"""),45622.64739788194)</f>
        <v>45622.6474</v>
      </c>
      <c r="M299" s="17" t="str">
        <f>IFERROR(__xludf.DUMMYFUNCTION("""COMPUTED_VALUE"""),"")</f>
        <v/>
      </c>
      <c r="N299" s="13" t="str">
        <f>IFERROR(__xludf.DUMMYFUNCTION("""COMPUTED_VALUE"""),"")</f>
        <v/>
      </c>
      <c r="O299" s="13" t="str">
        <f t="shared" si="1"/>
        <v/>
      </c>
    </row>
    <row r="300" ht="22.5" customHeight="1">
      <c r="B300" s="13">
        <f>IFERROR(__xludf.DUMMYFUNCTION("""COMPUTED_VALUE"""),295.0)</f>
        <v>295</v>
      </c>
      <c r="C300" s="13" t="str">
        <f>IFERROR(__xludf.DUMMYFUNCTION("""COMPUTED_VALUE"""),"HM 1926/PENGAJARAN")</f>
        <v>HM 1926/PENGAJARAN</v>
      </c>
      <c r="D300" s="13" t="str">
        <f>IFERROR(__xludf.DUMMYFUNCTION("""COMPUTED_VALUE"""),"L/3/211124/1")</f>
        <v>L/3/211124/1</v>
      </c>
      <c r="E300" s="14" t="str">
        <f>IFERROR(__xludf.DUMMYFUNCTION("""COMPUTED_VALUE"""),"Afriza (BT)")</f>
        <v>Afriza (BT)</v>
      </c>
      <c r="F300" s="14" t="str">
        <f>IFERROR(__xludf.DUMMYFUNCTION("""COMPUTED_VALUE"""),"SELESAI")</f>
        <v>SELESAI</v>
      </c>
      <c r="G300" s="17">
        <f>IFERROR(__xludf.DUMMYFUNCTION("""COMPUTED_VALUE"""),45621.70535307871)</f>
        <v>45621.70535</v>
      </c>
      <c r="H300" s="14" t="str">
        <f>IFERROR(__xludf.DUMMYFUNCTION("""COMPUTED_VALUE"""),"Bu Eva (SU)")</f>
        <v>Bu Eva (SU)</v>
      </c>
      <c r="I300" s="13" t="str">
        <f>IFERROR(__xludf.DUMMYFUNCTION("""COMPUTED_VALUE"""),"SELESAI")</f>
        <v>SELESAI</v>
      </c>
      <c r="J300" s="17">
        <f>IFERROR(__xludf.DUMMYFUNCTION("""COMPUTED_VALUE"""),45622.64739788194)</f>
        <v>45622.6474</v>
      </c>
      <c r="K300" s="13" t="str">
        <f>IFERROR(__xludf.DUMMYFUNCTION("""COMPUTED_VALUE"""),"SELESAI")</f>
        <v>SELESAI</v>
      </c>
      <c r="L300" s="17">
        <f>IFERROR(__xludf.DUMMYFUNCTION("""COMPUTED_VALUE"""),45622.64739788194)</f>
        <v>45622.6474</v>
      </c>
      <c r="M300" s="17" t="str">
        <f>IFERROR(__xludf.DUMMYFUNCTION("""COMPUTED_VALUE"""),"")</f>
        <v/>
      </c>
      <c r="N300" s="13" t="str">
        <f>IFERROR(__xludf.DUMMYFUNCTION("""COMPUTED_VALUE"""),"")</f>
        <v/>
      </c>
      <c r="O300" s="13" t="str">
        <f t="shared" si="1"/>
        <v/>
      </c>
    </row>
    <row r="301" ht="22.5" customHeight="1">
      <c r="B301" s="13">
        <f>IFERROR(__xludf.DUMMYFUNCTION("""COMPUTED_VALUE"""),296.0)</f>
        <v>296</v>
      </c>
      <c r="C301" s="13" t="str">
        <f>IFERROR(__xludf.DUMMYFUNCTION("""COMPUTED_VALUE"""),"HM 16855/SUKARAME")</f>
        <v>HM 16855/SUKARAME</v>
      </c>
      <c r="D301" s="13" t="str">
        <f>IFERROR(__xludf.DUMMYFUNCTION("""COMPUTED_VALUE"""),"L/37/211124/1")</f>
        <v>L/37/211124/1</v>
      </c>
      <c r="E301" s="14" t="str">
        <f>IFERROR(__xludf.DUMMYFUNCTION("""COMPUTED_VALUE"""),"Afriza (BT)")</f>
        <v>Afriza (BT)</v>
      </c>
      <c r="F301" s="14" t="str">
        <f>IFERROR(__xludf.DUMMYFUNCTION("""COMPUTED_VALUE"""),"SELESAI")</f>
        <v>SELESAI</v>
      </c>
      <c r="G301" s="17">
        <f>IFERROR(__xludf.DUMMYFUNCTION("""COMPUTED_VALUE"""),45621.70535307871)</f>
        <v>45621.70535</v>
      </c>
      <c r="H301" s="14" t="str">
        <f>IFERROR(__xludf.DUMMYFUNCTION("""COMPUTED_VALUE"""),"Bu Eva (SU)")</f>
        <v>Bu Eva (SU)</v>
      </c>
      <c r="I301" s="13" t="str">
        <f>IFERROR(__xludf.DUMMYFUNCTION("""COMPUTED_VALUE"""),"SELESAI")</f>
        <v>SELESAI</v>
      </c>
      <c r="J301" s="17">
        <f>IFERROR(__xludf.DUMMYFUNCTION("""COMPUTED_VALUE"""),45622.64739788194)</f>
        <v>45622.6474</v>
      </c>
      <c r="K301" s="13" t="str">
        <f>IFERROR(__xludf.DUMMYFUNCTION("""COMPUTED_VALUE"""),"SELESAI")</f>
        <v>SELESAI</v>
      </c>
      <c r="L301" s="17">
        <f>IFERROR(__xludf.DUMMYFUNCTION("""COMPUTED_VALUE"""),45622.64739788194)</f>
        <v>45622.6474</v>
      </c>
      <c r="M301" s="17" t="str">
        <f>IFERROR(__xludf.DUMMYFUNCTION("""COMPUTED_VALUE"""),"")</f>
        <v/>
      </c>
      <c r="N301" s="13" t="str">
        <f>IFERROR(__xludf.DUMMYFUNCTION("""COMPUTED_VALUE"""),"")</f>
        <v/>
      </c>
      <c r="O301" s="13" t="str">
        <f t="shared" si="1"/>
        <v/>
      </c>
    </row>
    <row r="302" ht="22.5" customHeight="1">
      <c r="B302" s="13">
        <f>IFERROR(__xludf.DUMMYFUNCTION("""COMPUTED_VALUE"""),297.0)</f>
        <v>297</v>
      </c>
      <c r="C302" s="13" t="str">
        <f>IFERROR(__xludf.DUMMYFUNCTION("""COMPUTED_VALUE"""),"M. 984/ Sukarame Baru")</f>
        <v>M. 984/ Sukarame Baru</v>
      </c>
      <c r="D302" s="13" t="str">
        <f>IFERROR(__xludf.DUMMYFUNCTION("""COMPUTED_VALUE"""),"K/41/211124/1")</f>
        <v>K/41/211124/1</v>
      </c>
      <c r="E302" s="14" t="str">
        <f>IFERROR(__xludf.DUMMYFUNCTION("""COMPUTED_VALUE"""),"Afriza (BT)")</f>
        <v>Afriza (BT)</v>
      </c>
      <c r="F302" s="14" t="str">
        <f>IFERROR(__xludf.DUMMYFUNCTION("""COMPUTED_VALUE"""),"SELESAI")</f>
        <v>SELESAI</v>
      </c>
      <c r="G302" s="17">
        <f>IFERROR(__xludf.DUMMYFUNCTION("""COMPUTED_VALUE"""),45621.70535307871)</f>
        <v>45621.70535</v>
      </c>
      <c r="H302" s="14" t="str">
        <f>IFERROR(__xludf.DUMMYFUNCTION("""COMPUTED_VALUE"""),"Bu Eva (SU)")</f>
        <v>Bu Eva (SU)</v>
      </c>
      <c r="I302" s="13" t="str">
        <f>IFERROR(__xludf.DUMMYFUNCTION("""COMPUTED_VALUE"""),"SELESAI")</f>
        <v>SELESAI</v>
      </c>
      <c r="J302" s="17">
        <f>IFERROR(__xludf.DUMMYFUNCTION("""COMPUTED_VALUE"""),45622.64739788194)</f>
        <v>45622.6474</v>
      </c>
      <c r="K302" s="13" t="str">
        <f>IFERROR(__xludf.DUMMYFUNCTION("""COMPUTED_VALUE"""),"SELESAI")</f>
        <v>SELESAI</v>
      </c>
      <c r="L302" s="17">
        <f>IFERROR(__xludf.DUMMYFUNCTION("""COMPUTED_VALUE"""),45622.64739788194)</f>
        <v>45622.6474</v>
      </c>
      <c r="M302" s="17" t="str">
        <f>IFERROR(__xludf.DUMMYFUNCTION("""COMPUTED_VALUE"""),"")</f>
        <v/>
      </c>
      <c r="N302" s="13" t="str">
        <f>IFERROR(__xludf.DUMMYFUNCTION("""COMPUTED_VALUE"""),"")</f>
        <v/>
      </c>
      <c r="O302" s="13" t="str">
        <f t="shared" si="1"/>
        <v/>
      </c>
    </row>
    <row r="303" ht="22.5" customHeight="1">
      <c r="B303" s="13">
        <f>IFERROR(__xludf.DUMMYFUNCTION("""COMPUTED_VALUE"""),298.0)</f>
        <v>298</v>
      </c>
      <c r="C303" s="13" t="str">
        <f>IFERROR(__xludf.DUMMYFUNCTION("""COMPUTED_VALUE"""),"M. 3347/ Kemiling Raya")</f>
        <v>M. 3347/ Kemiling Raya</v>
      </c>
      <c r="D303" s="13" t="str">
        <f>IFERROR(__xludf.DUMMYFUNCTION("""COMPUTED_VALUE"""),"K/8/111124/1")</f>
        <v>K/8/111124/1</v>
      </c>
      <c r="E303" s="14" t="str">
        <f>IFERROR(__xludf.DUMMYFUNCTION("""COMPUTED_VALUE"""),"Nadian (BT)")</f>
        <v>Nadian (BT)</v>
      </c>
      <c r="F303" s="14" t="str">
        <f>IFERROR(__xludf.DUMMYFUNCTION("""COMPUTED_VALUE"""),"SELESAI (VIA PERMOHONAN)")</f>
        <v>SELESAI (VIA PERMOHONAN)</v>
      </c>
      <c r="G303" s="17">
        <f>IFERROR(__xludf.DUMMYFUNCTION("""COMPUTED_VALUE"""),45621.70535307871)</f>
        <v>45621.70535</v>
      </c>
      <c r="H303" s="14" t="str">
        <f>IFERROR(__xludf.DUMMYFUNCTION("""COMPUTED_VALUE"""),"Aprill (SU)")</f>
        <v>Aprill (SU)</v>
      </c>
      <c r="I303" s="13" t="str">
        <f>IFERROR(__xludf.DUMMYFUNCTION("""COMPUTED_VALUE"""),"SELESAI (VIA PERMOHONAN)")</f>
        <v>SELESAI (VIA PERMOHONAN)</v>
      </c>
      <c r="J303" s="17">
        <f>IFERROR(__xludf.DUMMYFUNCTION("""COMPUTED_VALUE"""),45622.64876383102)</f>
        <v>45622.64876</v>
      </c>
      <c r="K303" s="13" t="str">
        <f>IFERROR(__xludf.DUMMYFUNCTION("""COMPUTED_VALUE"""),"Selesai")</f>
        <v>Selesai</v>
      </c>
      <c r="L303" s="17">
        <f>IFERROR(__xludf.DUMMYFUNCTION("""COMPUTED_VALUE"""),45622.64876383102)</f>
        <v>45622.64876</v>
      </c>
      <c r="M303" s="17">
        <f>IFERROR(__xludf.DUMMYFUNCTION("""COMPUTED_VALUE"""),45622.64889141204)</f>
        <v>45622.64889</v>
      </c>
      <c r="N303" s="13" t="str">
        <f>IFERROR(__xludf.DUMMYFUNCTION("""COMPUTED_VALUE"""),"")</f>
        <v/>
      </c>
      <c r="O303" s="13" t="str">
        <f t="shared" si="1"/>
        <v/>
      </c>
    </row>
    <row r="304" ht="22.5" customHeight="1">
      <c r="B304" s="13">
        <f>IFERROR(__xludf.DUMMYFUNCTION("""COMPUTED_VALUE"""),299.0)</f>
        <v>299</v>
      </c>
      <c r="C304" s="13" t="str">
        <f>IFERROR(__xludf.DUMMYFUNCTION("""COMPUTED_VALUE"""),"M.4198/KETEGUHAN")</f>
        <v>M.4198/KETEGUHAN</v>
      </c>
      <c r="D304" s="13" t="str">
        <f>IFERROR(__xludf.DUMMYFUNCTION("""COMPUTED_VALUE"""),"K/56/181124/1")</f>
        <v>K/56/181124/1</v>
      </c>
      <c r="E304" s="14" t="str">
        <f>IFERROR(__xludf.DUMMYFUNCTION("""COMPUTED_VALUE"""),"Nadian (BT)")</f>
        <v>Nadian (BT)</v>
      </c>
      <c r="F304" s="14" t="str">
        <f>IFERROR(__xludf.DUMMYFUNCTION("""COMPUTED_VALUE"""),"SELESAI (VIA PERMOHONAN)")</f>
        <v>SELESAI (VIA PERMOHONAN)</v>
      </c>
      <c r="G304" s="17">
        <f>IFERROR(__xludf.DUMMYFUNCTION("""COMPUTED_VALUE"""),45621.70535307871)</f>
        <v>45621.70535</v>
      </c>
      <c r="H304" s="14" t="str">
        <f>IFERROR(__xludf.DUMMYFUNCTION("""COMPUTED_VALUE"""),"Aprill (SU)")</f>
        <v>Aprill (SU)</v>
      </c>
      <c r="I304" s="13" t="str">
        <f>IFERROR(__xludf.DUMMYFUNCTION("""COMPUTED_VALUE"""),"SELESAI (VIA PERMOHONAN)")</f>
        <v>SELESAI (VIA PERMOHONAN)</v>
      </c>
      <c r="J304" s="17">
        <f>IFERROR(__xludf.DUMMYFUNCTION("""COMPUTED_VALUE"""),45622.648784143516)</f>
        <v>45622.64878</v>
      </c>
      <c r="K304" s="13" t="str">
        <f>IFERROR(__xludf.DUMMYFUNCTION("""COMPUTED_VALUE"""),"Selesai")</f>
        <v>Selesai</v>
      </c>
      <c r="L304" s="17">
        <f>IFERROR(__xludf.DUMMYFUNCTION("""COMPUTED_VALUE"""),45622.648784143516)</f>
        <v>45622.64878</v>
      </c>
      <c r="M304" s="17">
        <f>IFERROR(__xludf.DUMMYFUNCTION("""COMPUTED_VALUE"""),45622.64891740741)</f>
        <v>45622.64892</v>
      </c>
      <c r="N304" s="13" t="str">
        <f>IFERROR(__xludf.DUMMYFUNCTION("""COMPUTED_VALUE"""),"")</f>
        <v/>
      </c>
      <c r="O304" s="13" t="str">
        <f t="shared" si="1"/>
        <v/>
      </c>
    </row>
    <row r="305" ht="22.5" customHeight="1">
      <c r="B305" s="13">
        <f>IFERROR(__xludf.DUMMYFUNCTION("""COMPUTED_VALUE"""),300.0)</f>
        <v>300</v>
      </c>
      <c r="C305" s="13" t="str">
        <f>IFERROR(__xludf.DUMMYFUNCTION("""COMPUTED_VALUE"""),"M. 4728/ Langkapura")</f>
        <v>M. 4728/ Langkapura</v>
      </c>
      <c r="D305" s="13" t="str">
        <f>IFERROR(__xludf.DUMMYFUNCTION("""COMPUTED_VALUE"""),"K/34/131124/1")</f>
        <v>K/34/131124/1</v>
      </c>
      <c r="E305" s="14" t="str">
        <f>IFERROR(__xludf.DUMMYFUNCTION("""COMPUTED_VALUE"""),"Nadian (BT)")</f>
        <v>Nadian (BT)</v>
      </c>
      <c r="F305" s="14"/>
      <c r="G305" s="17" t="str">
        <f>IFERROR(__xludf.DUMMYFUNCTION("""COMPUTED_VALUE"""),"")</f>
        <v/>
      </c>
      <c r="H305" s="14"/>
      <c r="I305" s="13"/>
      <c r="J305" s="17" t="str">
        <f>IFERROR(__xludf.DUMMYFUNCTION("""COMPUTED_VALUE"""),"")</f>
        <v/>
      </c>
      <c r="K305" s="13" t="str">
        <f>IFERROR(__xludf.DUMMYFUNCTION("""COMPUTED_VALUE"""),"BT atau SU Belum Valid")</f>
        <v>BT atau SU Belum Valid</v>
      </c>
      <c r="L305" s="13" t="str">
        <f>IFERROR(__xludf.DUMMYFUNCTION("""COMPUTED_VALUE"""),"")</f>
        <v/>
      </c>
      <c r="M305" s="17" t="str">
        <f>IFERROR(__xludf.DUMMYFUNCTION("""COMPUTED_VALUE"""),"")</f>
        <v/>
      </c>
      <c r="N305" s="13" t="str">
        <f>IFERROR(__xludf.DUMMYFUNCTION("""COMPUTED_VALUE"""),"")</f>
        <v/>
      </c>
      <c r="O305" s="13" t="str">
        <f t="shared" si="1"/>
        <v/>
      </c>
    </row>
    <row r="306" ht="22.5" customHeight="1">
      <c r="B306" s="13">
        <f>IFERROR(__xludf.DUMMYFUNCTION("""COMPUTED_VALUE"""),301.0)</f>
        <v>301</v>
      </c>
      <c r="C306" s="13" t="str">
        <f>IFERROR(__xludf.DUMMYFUNCTION("""COMPUTED_VALUE"""),"M. 2395/ Sukarame Baru")</f>
        <v>M. 2395/ Sukarame Baru</v>
      </c>
      <c r="D306" s="13" t="str">
        <f>IFERROR(__xludf.DUMMYFUNCTION("""COMPUTED_VALUE"""),"K/47/211124/1")</f>
        <v>K/47/211124/1</v>
      </c>
      <c r="E306" s="14" t="str">
        <f>IFERROR(__xludf.DUMMYFUNCTION("""COMPUTED_VALUE"""),"Afriza (BT)")</f>
        <v>Afriza (BT)</v>
      </c>
      <c r="F306" s="14" t="str">
        <f>IFERROR(__xludf.DUMMYFUNCTION("""COMPUTED_VALUE"""),"SELESAI")</f>
        <v>SELESAI</v>
      </c>
      <c r="G306" s="17">
        <f>IFERROR(__xludf.DUMMYFUNCTION("""COMPUTED_VALUE"""),45622.47923805556)</f>
        <v>45622.47924</v>
      </c>
      <c r="H306" s="14" t="str">
        <f>IFERROR(__xludf.DUMMYFUNCTION("""COMPUTED_VALUE"""),"Aprill (SU)")</f>
        <v>Aprill (SU)</v>
      </c>
      <c r="I306" s="13" t="str">
        <f>IFERROR(__xludf.DUMMYFUNCTION("""COMPUTED_VALUE"""),"SELESAI")</f>
        <v>SELESAI</v>
      </c>
      <c r="J306" s="17">
        <f>IFERROR(__xludf.DUMMYFUNCTION("""COMPUTED_VALUE"""),45622.47931081019)</f>
        <v>45622.47931</v>
      </c>
      <c r="K306" s="13" t="str">
        <f>IFERROR(__xludf.DUMMYFUNCTION("""COMPUTED_VALUE"""),"SELESAI")</f>
        <v>SELESAI</v>
      </c>
      <c r="L306" s="17">
        <f>IFERROR(__xludf.DUMMYFUNCTION("""COMPUTED_VALUE"""),45622.47931081019)</f>
        <v>45622.47931</v>
      </c>
      <c r="M306" s="17" t="str">
        <f>IFERROR(__xludf.DUMMYFUNCTION("""COMPUTED_VALUE"""),"")</f>
        <v/>
      </c>
      <c r="N306" s="17">
        <f>IFERROR(__xludf.DUMMYFUNCTION("""COMPUTED_VALUE"""),45624.650042361114)</f>
        <v>45624.65004</v>
      </c>
      <c r="O306" s="13">
        <f t="shared" si="1"/>
        <v>1</v>
      </c>
    </row>
    <row r="307" ht="22.5" customHeight="1">
      <c r="B307" s="13">
        <f>IFERROR(__xludf.DUMMYFUNCTION("""COMPUTED_VALUE"""),302.0)</f>
        <v>302</v>
      </c>
      <c r="C307" s="13" t="str">
        <f>IFERROR(__xludf.DUMMYFUNCTION("""COMPUTED_VALUE"""),"M.150/GEDONG AIR")</f>
        <v>M.150/GEDONG AIR</v>
      </c>
      <c r="D307" s="13" t="str">
        <f>IFERROR(__xludf.DUMMYFUNCTION("""COMPUTED_VALUE"""),"K/29/201124/2")</f>
        <v>K/29/201124/2</v>
      </c>
      <c r="E307" s="14" t="str">
        <f>IFERROR(__xludf.DUMMYFUNCTION("""COMPUTED_VALUE"""),"Nadian (BT)")</f>
        <v>Nadian (BT)</v>
      </c>
      <c r="F307" s="14" t="str">
        <f>IFERROR(__xludf.DUMMYFUNCTION("""COMPUTED_VALUE"""),"SELESAI")</f>
        <v>SELESAI</v>
      </c>
      <c r="G307" s="17">
        <f>IFERROR(__xludf.DUMMYFUNCTION("""COMPUTED_VALUE"""),45622.59711873843)</f>
        <v>45622.59712</v>
      </c>
      <c r="H307" s="14" t="str">
        <f>IFERROR(__xludf.DUMMYFUNCTION("""COMPUTED_VALUE"""),"Bu Eva (SU)")</f>
        <v>Bu Eva (SU)</v>
      </c>
      <c r="I307" s="13" t="str">
        <f>IFERROR(__xludf.DUMMYFUNCTION("""COMPUTED_VALUE"""),"SELESAI")</f>
        <v>SELESAI</v>
      </c>
      <c r="J307" s="17">
        <f>IFERROR(__xludf.DUMMYFUNCTION("""COMPUTED_VALUE"""),45624.650042361114)</f>
        <v>45624.65004</v>
      </c>
      <c r="K307" s="13" t="str">
        <f>IFERROR(__xludf.DUMMYFUNCTION("""COMPUTED_VALUE"""),"SELESAI")</f>
        <v>SELESAI</v>
      </c>
      <c r="L307" s="17">
        <f>IFERROR(__xludf.DUMMYFUNCTION("""COMPUTED_VALUE"""),45624.650042361114)</f>
        <v>45624.65004</v>
      </c>
      <c r="M307" s="17" t="str">
        <f>IFERROR(__xludf.DUMMYFUNCTION("""COMPUTED_VALUE"""),"")</f>
        <v/>
      </c>
      <c r="N307" s="17">
        <f>IFERROR(__xludf.DUMMYFUNCTION("""COMPUTED_VALUE"""),45624.650042361114)</f>
        <v>45624.65004</v>
      </c>
      <c r="O307" s="13">
        <f t="shared" si="1"/>
        <v>2</v>
      </c>
    </row>
    <row r="308" ht="22.5" customHeight="1">
      <c r="B308" s="13">
        <f>IFERROR(__xludf.DUMMYFUNCTION("""COMPUTED_VALUE"""),303.0)</f>
        <v>303</v>
      </c>
      <c r="C308" s="13" t="str">
        <f>IFERROR(__xludf.DUMMYFUNCTION("""COMPUTED_VALUE"""),"M.4941/TANJUNG SENANG")</f>
        <v>M.4941/TANJUNG SENANG</v>
      </c>
      <c r="D308" s="13" t="str">
        <f>IFERROR(__xludf.DUMMYFUNCTION("""COMPUTED_VALUE"""),"K/56/251124/2")</f>
        <v>K/56/251124/2</v>
      </c>
      <c r="E308" s="14" t="str">
        <f>IFERROR(__xludf.DUMMYFUNCTION("""COMPUTED_VALUE"""),"Nadian (BT)")</f>
        <v>Nadian (BT)</v>
      </c>
      <c r="F308" s="14" t="str">
        <f>IFERROR(__xludf.DUMMYFUNCTION("""COMPUTED_VALUE"""),"SELESAI")</f>
        <v>SELESAI</v>
      </c>
      <c r="G308" s="17">
        <f>IFERROR(__xludf.DUMMYFUNCTION("""COMPUTED_VALUE"""),45622.597326469906)</f>
        <v>45622.59733</v>
      </c>
      <c r="H308" s="14" t="str">
        <f>IFERROR(__xludf.DUMMYFUNCTION("""COMPUTED_VALUE"""),"Bu Eva (SU)")</f>
        <v>Bu Eva (SU)</v>
      </c>
      <c r="I308" s="13" t="str">
        <f>IFERROR(__xludf.DUMMYFUNCTION("""COMPUTED_VALUE"""),"SELESAI")</f>
        <v>SELESAI</v>
      </c>
      <c r="J308" s="17">
        <f>IFERROR(__xludf.DUMMYFUNCTION("""COMPUTED_VALUE"""),45624.650042361114)</f>
        <v>45624.65004</v>
      </c>
      <c r="K308" s="13" t="str">
        <f>IFERROR(__xludf.DUMMYFUNCTION("""COMPUTED_VALUE"""),"SELESAI")</f>
        <v>SELESAI</v>
      </c>
      <c r="L308" s="17">
        <f>IFERROR(__xludf.DUMMYFUNCTION("""COMPUTED_VALUE"""),45624.650042361114)</f>
        <v>45624.65004</v>
      </c>
      <c r="M308" s="17" t="str">
        <f>IFERROR(__xludf.DUMMYFUNCTION("""COMPUTED_VALUE"""),"")</f>
        <v/>
      </c>
      <c r="N308" s="17">
        <f>IFERROR(__xludf.DUMMYFUNCTION("""COMPUTED_VALUE"""),45624.650042361114)</f>
        <v>45624.65004</v>
      </c>
      <c r="O308" s="13">
        <f t="shared" si="1"/>
        <v>3</v>
      </c>
    </row>
    <row r="309" ht="22.5" customHeight="1">
      <c r="B309" s="13">
        <f>IFERROR(__xludf.DUMMYFUNCTION("""COMPUTED_VALUE"""),304.0)</f>
        <v>304</v>
      </c>
      <c r="C309" s="13" t="str">
        <f>IFERROR(__xludf.DUMMYFUNCTION("""COMPUTED_VALUE"""),"HM 1348/KALIAWI")</f>
        <v>HM 1348/KALIAWI</v>
      </c>
      <c r="D309" s="13" t="str">
        <f>IFERROR(__xludf.DUMMYFUNCTION("""COMPUTED_VALUE"""),"L/39/251124/1")</f>
        <v>L/39/251124/1</v>
      </c>
      <c r="E309" s="14" t="str">
        <f>IFERROR(__xludf.DUMMYFUNCTION("""COMPUTED_VALUE"""),"Nadian (BT)")</f>
        <v>Nadian (BT)</v>
      </c>
      <c r="F309" s="14" t="str">
        <f>IFERROR(__xludf.DUMMYFUNCTION("""COMPUTED_VALUE"""),"SELESAI")</f>
        <v>SELESAI</v>
      </c>
      <c r="G309" s="17">
        <f>IFERROR(__xludf.DUMMYFUNCTION("""COMPUTED_VALUE"""),45622.597326469906)</f>
        <v>45622.59733</v>
      </c>
      <c r="H309" s="14" t="str">
        <f>IFERROR(__xludf.DUMMYFUNCTION("""COMPUTED_VALUE"""),"Bu Eva (SU)")</f>
        <v>Bu Eva (SU)</v>
      </c>
      <c r="I309" s="13" t="str">
        <f>IFERROR(__xludf.DUMMYFUNCTION("""COMPUTED_VALUE"""),"SELESAI")</f>
        <v>SELESAI</v>
      </c>
      <c r="J309" s="17">
        <f>IFERROR(__xludf.DUMMYFUNCTION("""COMPUTED_VALUE"""),45624.650042361114)</f>
        <v>45624.65004</v>
      </c>
      <c r="K309" s="13" t="str">
        <f>IFERROR(__xludf.DUMMYFUNCTION("""COMPUTED_VALUE"""),"SELESAI")</f>
        <v>SELESAI</v>
      </c>
      <c r="L309" s="17">
        <f>IFERROR(__xludf.DUMMYFUNCTION("""COMPUTED_VALUE"""),45624.650042361114)</f>
        <v>45624.65004</v>
      </c>
      <c r="M309" s="17" t="str">
        <f>IFERROR(__xludf.DUMMYFUNCTION("""COMPUTED_VALUE"""),"")</f>
        <v/>
      </c>
      <c r="N309" s="17">
        <f>IFERROR(__xludf.DUMMYFUNCTION("""COMPUTED_VALUE"""),45624.650042361114)</f>
        <v>45624.65004</v>
      </c>
      <c r="O309" s="13">
        <f t="shared" si="1"/>
        <v>4</v>
      </c>
    </row>
    <row r="310" ht="22.5" customHeight="1">
      <c r="B310" s="13">
        <f>IFERROR(__xludf.DUMMYFUNCTION("""COMPUTED_VALUE"""),305.0)</f>
        <v>305</v>
      </c>
      <c r="C310" s="13" t="str">
        <f>IFERROR(__xludf.DUMMYFUNCTION("""COMPUTED_VALUE"""),"M. 2273/ Rajabasa Raya")</f>
        <v>M. 2273/ Rajabasa Raya</v>
      </c>
      <c r="D310" s="13" t="str">
        <f>IFERROR(__xludf.DUMMYFUNCTION("""COMPUTED_VALUE"""),"K/24/211124/2")</f>
        <v>K/24/211124/2</v>
      </c>
      <c r="E310" s="14" t="str">
        <f>IFERROR(__xludf.DUMMYFUNCTION("""COMPUTED_VALUE"""),"Nadian (BT)")</f>
        <v>Nadian (BT)</v>
      </c>
      <c r="F310" s="14" t="str">
        <f>IFERROR(__xludf.DUMMYFUNCTION("""COMPUTED_VALUE"""),"SELESAI")</f>
        <v>SELESAI</v>
      </c>
      <c r="G310" s="17">
        <f>IFERROR(__xludf.DUMMYFUNCTION("""COMPUTED_VALUE"""),45622.597326469906)</f>
        <v>45622.59733</v>
      </c>
      <c r="H310" s="14" t="str">
        <f>IFERROR(__xludf.DUMMYFUNCTION("""COMPUTED_VALUE"""),"Bu Eva (SU)")</f>
        <v>Bu Eva (SU)</v>
      </c>
      <c r="I310" s="13" t="str">
        <f>IFERROR(__xludf.DUMMYFUNCTION("""COMPUTED_VALUE"""),"SELESAI")</f>
        <v>SELESAI</v>
      </c>
      <c r="J310" s="17">
        <f>IFERROR(__xludf.DUMMYFUNCTION("""COMPUTED_VALUE"""),45624.650042361114)</f>
        <v>45624.65004</v>
      </c>
      <c r="K310" s="13" t="str">
        <f>IFERROR(__xludf.DUMMYFUNCTION("""COMPUTED_VALUE"""),"SELESAI")</f>
        <v>SELESAI</v>
      </c>
      <c r="L310" s="17">
        <f>IFERROR(__xludf.DUMMYFUNCTION("""COMPUTED_VALUE"""),45624.650042361114)</f>
        <v>45624.65004</v>
      </c>
      <c r="M310" s="17" t="str">
        <f>IFERROR(__xludf.DUMMYFUNCTION("""COMPUTED_VALUE"""),"")</f>
        <v/>
      </c>
      <c r="N310" s="17">
        <f>IFERROR(__xludf.DUMMYFUNCTION("""COMPUTED_VALUE"""),45624.650042361114)</f>
        <v>45624.65004</v>
      </c>
      <c r="O310" s="13">
        <f t="shared" si="1"/>
        <v>5</v>
      </c>
    </row>
    <row r="311" ht="22.5" customHeight="1">
      <c r="B311" s="13">
        <f>IFERROR(__xludf.DUMMYFUNCTION("""COMPUTED_VALUE"""),306.0)</f>
        <v>306</v>
      </c>
      <c r="C311" s="13" t="str">
        <f>IFERROR(__xludf.DUMMYFUNCTION("""COMPUTED_VALUE"""),"HM 1926/PENGAJARAN")</f>
        <v>HM 1926/PENGAJARAN</v>
      </c>
      <c r="D311" s="13" t="str">
        <f>IFERROR(__xludf.DUMMYFUNCTION("""COMPUTED_VALUE"""),"L/3/211124/1")</f>
        <v>L/3/211124/1</v>
      </c>
      <c r="E311" s="14" t="str">
        <f>IFERROR(__xludf.DUMMYFUNCTION("""COMPUTED_VALUE"""),"Nadian (BT)")</f>
        <v>Nadian (BT)</v>
      </c>
      <c r="F311" s="14" t="str">
        <f>IFERROR(__xludf.DUMMYFUNCTION("""COMPUTED_VALUE"""),"SELESAI")</f>
        <v>SELESAI</v>
      </c>
      <c r="G311" s="17">
        <f>IFERROR(__xludf.DUMMYFUNCTION("""COMPUTED_VALUE"""),45622.597326469906)</f>
        <v>45622.59733</v>
      </c>
      <c r="H311" s="14" t="str">
        <f>IFERROR(__xludf.DUMMYFUNCTION("""COMPUTED_VALUE"""),"Bu Eva (SU)")</f>
        <v>Bu Eva (SU)</v>
      </c>
      <c r="I311" s="13" t="str">
        <f>IFERROR(__xludf.DUMMYFUNCTION("""COMPUTED_VALUE"""),"SELESAI")</f>
        <v>SELESAI</v>
      </c>
      <c r="J311" s="17">
        <f>IFERROR(__xludf.DUMMYFUNCTION("""COMPUTED_VALUE"""),45624.650042361114)</f>
        <v>45624.65004</v>
      </c>
      <c r="K311" s="13" t="str">
        <f>IFERROR(__xludf.DUMMYFUNCTION("""COMPUTED_VALUE"""),"SELESAI")</f>
        <v>SELESAI</v>
      </c>
      <c r="L311" s="17">
        <f>IFERROR(__xludf.DUMMYFUNCTION("""COMPUTED_VALUE"""),45624.650042361114)</f>
        <v>45624.65004</v>
      </c>
      <c r="M311" s="17" t="str">
        <f>IFERROR(__xludf.DUMMYFUNCTION("""COMPUTED_VALUE"""),"")</f>
        <v/>
      </c>
      <c r="N311" s="17">
        <f>IFERROR(__xludf.DUMMYFUNCTION("""COMPUTED_VALUE"""),45624.65004237268)</f>
        <v>45624.65004</v>
      </c>
      <c r="O311" s="13">
        <f t="shared" si="1"/>
        <v>6</v>
      </c>
    </row>
    <row r="312" ht="22.5" customHeight="1">
      <c r="B312" s="13">
        <f>IFERROR(__xludf.DUMMYFUNCTION("""COMPUTED_VALUE"""),307.0)</f>
        <v>307</v>
      </c>
      <c r="C312" s="13" t="str">
        <f>IFERROR(__xludf.DUMMYFUNCTION("""COMPUTED_VALUE"""),"M. 1010/ Jagabaya III")</f>
        <v>M. 1010/ Jagabaya III</v>
      </c>
      <c r="D312" s="13" t="str">
        <f>IFERROR(__xludf.DUMMYFUNCTION("""COMPUTED_VALUE"""),"K/5/211124/2")</f>
        <v>K/5/211124/2</v>
      </c>
      <c r="E312" s="14" t="str">
        <f>IFERROR(__xludf.DUMMYFUNCTION("""COMPUTED_VALUE"""),"Nadian (BT)")</f>
        <v>Nadian (BT)</v>
      </c>
      <c r="F312" s="14" t="str">
        <f>IFERROR(__xludf.DUMMYFUNCTION("""COMPUTED_VALUE"""),"SELESAI")</f>
        <v>SELESAI</v>
      </c>
      <c r="G312" s="17">
        <f>IFERROR(__xludf.DUMMYFUNCTION("""COMPUTED_VALUE"""),45622.597326469906)</f>
        <v>45622.59733</v>
      </c>
      <c r="H312" s="14" t="str">
        <f>IFERROR(__xludf.DUMMYFUNCTION("""COMPUTED_VALUE"""),"Bu Eva (SU)")</f>
        <v>Bu Eva (SU)</v>
      </c>
      <c r="I312" s="13" t="str">
        <f>IFERROR(__xludf.DUMMYFUNCTION("""COMPUTED_VALUE"""),"SELESAI")</f>
        <v>SELESAI</v>
      </c>
      <c r="J312" s="17">
        <f>IFERROR(__xludf.DUMMYFUNCTION("""COMPUTED_VALUE"""),45624.65004237268)</f>
        <v>45624.65004</v>
      </c>
      <c r="K312" s="13" t="str">
        <f>IFERROR(__xludf.DUMMYFUNCTION("""COMPUTED_VALUE"""),"SELESAI")</f>
        <v>SELESAI</v>
      </c>
      <c r="L312" s="17">
        <f>IFERROR(__xludf.DUMMYFUNCTION("""COMPUTED_VALUE"""),45624.65004237268)</f>
        <v>45624.65004</v>
      </c>
      <c r="M312" s="17" t="str">
        <f>IFERROR(__xludf.DUMMYFUNCTION("""COMPUTED_VALUE"""),"")</f>
        <v/>
      </c>
      <c r="N312" s="17">
        <f>IFERROR(__xludf.DUMMYFUNCTION("""COMPUTED_VALUE"""),45624.65004237268)</f>
        <v>45624.65004</v>
      </c>
      <c r="O312" s="13">
        <f t="shared" si="1"/>
        <v>7</v>
      </c>
    </row>
    <row r="313" ht="22.5" customHeight="1">
      <c r="B313" s="13">
        <f>IFERROR(__xludf.DUMMYFUNCTION("""COMPUTED_VALUE"""),308.0)</f>
        <v>308</v>
      </c>
      <c r="C313" s="13" t="str">
        <f>IFERROR(__xludf.DUMMYFUNCTION("""COMPUTED_VALUE"""),"M.111/SUMBERREJO SEJAHTERA")</f>
        <v>M.111/SUMBERREJO SEJAHTERA</v>
      </c>
      <c r="D313" s="13" t="str">
        <f>IFERROR(__xludf.DUMMYFUNCTION("""COMPUTED_VALUE"""),"K/65/251124/1")</f>
        <v>K/65/251124/1</v>
      </c>
      <c r="E313" s="14" t="str">
        <f>IFERROR(__xludf.DUMMYFUNCTION("""COMPUTED_VALUE"""),"Nadian (BT)")</f>
        <v>Nadian (BT)</v>
      </c>
      <c r="F313" s="14" t="str">
        <f>IFERROR(__xludf.DUMMYFUNCTION("""COMPUTED_VALUE"""),"SELESAI")</f>
        <v>SELESAI</v>
      </c>
      <c r="G313" s="17">
        <f>IFERROR(__xludf.DUMMYFUNCTION("""COMPUTED_VALUE"""),45622.597326469906)</f>
        <v>45622.59733</v>
      </c>
      <c r="H313" s="14" t="str">
        <f>IFERROR(__xludf.DUMMYFUNCTION("""COMPUTED_VALUE"""),"Bu Eva (SU)")</f>
        <v>Bu Eva (SU)</v>
      </c>
      <c r="I313" s="13" t="str">
        <f>IFERROR(__xludf.DUMMYFUNCTION("""COMPUTED_VALUE"""),"SELESAI")</f>
        <v>SELESAI</v>
      </c>
      <c r="J313" s="17">
        <f>IFERROR(__xludf.DUMMYFUNCTION("""COMPUTED_VALUE"""),45624.65004237268)</f>
        <v>45624.65004</v>
      </c>
      <c r="K313" s="13" t="str">
        <f>IFERROR(__xludf.DUMMYFUNCTION("""COMPUTED_VALUE"""),"SELESAI")</f>
        <v>SELESAI</v>
      </c>
      <c r="L313" s="17">
        <f>IFERROR(__xludf.DUMMYFUNCTION("""COMPUTED_VALUE"""),45624.65004237268)</f>
        <v>45624.65004</v>
      </c>
      <c r="M313" s="17" t="str">
        <f>IFERROR(__xludf.DUMMYFUNCTION("""COMPUTED_VALUE"""),"")</f>
        <v/>
      </c>
      <c r="N313" s="17">
        <f>IFERROR(__xludf.DUMMYFUNCTION("""COMPUTED_VALUE"""),45624.65004237268)</f>
        <v>45624.65004</v>
      </c>
      <c r="O313" s="13">
        <f t="shared" si="1"/>
        <v>8</v>
      </c>
    </row>
    <row r="314" ht="22.5" customHeight="1">
      <c r="B314" s="13">
        <f>IFERROR(__xludf.DUMMYFUNCTION("""COMPUTED_VALUE"""),309.0)</f>
        <v>309</v>
      </c>
      <c r="C314" s="13" t="str">
        <f>IFERROR(__xludf.DUMMYFUNCTION("""COMPUTED_VALUE"""),"M. 6814/TANJUNG SENANG")</f>
        <v>M. 6814/TANJUNG SENANG</v>
      </c>
      <c r="D314" s="13" t="str">
        <f>IFERROR(__xludf.DUMMYFUNCTION("""COMPUTED_VALUE"""),"K/57/251124/3")</f>
        <v>K/57/251124/3</v>
      </c>
      <c r="E314" s="14" t="str">
        <f>IFERROR(__xludf.DUMMYFUNCTION("""COMPUTED_VALUE"""),"Nadian (BT)")</f>
        <v>Nadian (BT)</v>
      </c>
      <c r="F314" s="14" t="str">
        <f>IFERROR(__xludf.DUMMYFUNCTION("""COMPUTED_VALUE"""),"SELESAI")</f>
        <v>SELESAI</v>
      </c>
      <c r="G314" s="17">
        <f>IFERROR(__xludf.DUMMYFUNCTION("""COMPUTED_VALUE"""),45622.597326469906)</f>
        <v>45622.59733</v>
      </c>
      <c r="H314" s="14" t="str">
        <f>IFERROR(__xludf.DUMMYFUNCTION("""COMPUTED_VALUE"""),"Bu Eva (SU)")</f>
        <v>Bu Eva (SU)</v>
      </c>
      <c r="I314" s="13" t="str">
        <f>IFERROR(__xludf.DUMMYFUNCTION("""COMPUTED_VALUE"""),"SELESAI")</f>
        <v>SELESAI</v>
      </c>
      <c r="J314" s="17">
        <f>IFERROR(__xludf.DUMMYFUNCTION("""COMPUTED_VALUE"""),45624.65004237268)</f>
        <v>45624.65004</v>
      </c>
      <c r="K314" s="13" t="str">
        <f>IFERROR(__xludf.DUMMYFUNCTION("""COMPUTED_VALUE"""),"SELESAI")</f>
        <v>SELESAI</v>
      </c>
      <c r="L314" s="17">
        <f>IFERROR(__xludf.DUMMYFUNCTION("""COMPUTED_VALUE"""),45624.65004237268)</f>
        <v>45624.65004</v>
      </c>
      <c r="M314" s="17" t="str">
        <f>IFERROR(__xludf.DUMMYFUNCTION("""COMPUTED_VALUE"""),"")</f>
        <v/>
      </c>
      <c r="N314" s="17">
        <f>IFERROR(__xludf.DUMMYFUNCTION("""COMPUTED_VALUE"""),45624.65004237268)</f>
        <v>45624.65004</v>
      </c>
      <c r="O314" s="13">
        <f t="shared" si="1"/>
        <v>9</v>
      </c>
    </row>
    <row r="315" ht="22.5" customHeight="1">
      <c r="B315" s="13">
        <f>IFERROR(__xludf.DUMMYFUNCTION("""COMPUTED_VALUE"""),310.0)</f>
        <v>310</v>
      </c>
      <c r="C315" s="13" t="str">
        <f>IFERROR(__xludf.DUMMYFUNCTION("""COMPUTED_VALUE"""),"M.902/NEGERI OLOK GADING-SEKARANG;B.724/NEGERI OLOK GADING-DAHULU")</f>
        <v>M.902/NEGERI OLOK GADING-SEKARANG;B.724/NEGERI OLOK GADING-DAHULU</v>
      </c>
      <c r="D315" s="13" t="str">
        <f>IFERROR(__xludf.DUMMYFUNCTION("""COMPUTED_VALUE"""),"K/59/251124/1")</f>
        <v>K/59/251124/1</v>
      </c>
      <c r="E315" s="14" t="str">
        <f>IFERROR(__xludf.DUMMYFUNCTION("""COMPUTED_VALUE"""),"Nadian (BT)")</f>
        <v>Nadian (BT)</v>
      </c>
      <c r="F315" s="14" t="str">
        <f>IFERROR(__xludf.DUMMYFUNCTION("""COMPUTED_VALUE"""),"SELESAI")</f>
        <v>SELESAI</v>
      </c>
      <c r="G315" s="17">
        <f>IFERROR(__xludf.DUMMYFUNCTION("""COMPUTED_VALUE"""),45622.597326469906)</f>
        <v>45622.59733</v>
      </c>
      <c r="H315" s="14" t="str">
        <f>IFERROR(__xludf.DUMMYFUNCTION("""COMPUTED_VALUE"""),"Bu Eva (SU)")</f>
        <v>Bu Eva (SU)</v>
      </c>
      <c r="I315" s="13" t="str">
        <f>IFERROR(__xludf.DUMMYFUNCTION("""COMPUTED_VALUE"""),"SELESAI")</f>
        <v>SELESAI</v>
      </c>
      <c r="J315" s="17">
        <f>IFERROR(__xludf.DUMMYFUNCTION("""COMPUTED_VALUE"""),45624.65004237268)</f>
        <v>45624.65004</v>
      </c>
      <c r="K315" s="13" t="str">
        <f>IFERROR(__xludf.DUMMYFUNCTION("""COMPUTED_VALUE"""),"SELESAI")</f>
        <v>SELESAI</v>
      </c>
      <c r="L315" s="17">
        <f>IFERROR(__xludf.DUMMYFUNCTION("""COMPUTED_VALUE"""),45624.65004237268)</f>
        <v>45624.65004</v>
      </c>
      <c r="M315" s="17" t="str">
        <f>IFERROR(__xludf.DUMMYFUNCTION("""COMPUTED_VALUE"""),"")</f>
        <v/>
      </c>
      <c r="N315" s="17">
        <f>IFERROR(__xludf.DUMMYFUNCTION("""COMPUTED_VALUE"""),45624.65004237268)</f>
        <v>45624.65004</v>
      </c>
      <c r="O315" s="13">
        <f t="shared" si="1"/>
        <v>10</v>
      </c>
    </row>
    <row r="316" ht="22.5" customHeight="1">
      <c r="B316" s="13">
        <f>IFERROR(__xludf.DUMMYFUNCTION("""COMPUTED_VALUE"""),311.0)</f>
        <v>311</v>
      </c>
      <c r="C316" s="13" t="str">
        <f>IFERROR(__xludf.DUMMYFUNCTION("""COMPUTED_VALUE"""),"M. 16684/ Sukabumi")</f>
        <v>M. 16684/ Sukabumi</v>
      </c>
      <c r="D316" s="13" t="str">
        <f>IFERROR(__xludf.DUMMYFUNCTION("""COMPUTED_VALUE"""),"")</f>
        <v/>
      </c>
      <c r="E316" s="14" t="str">
        <f>IFERROR(__xludf.DUMMYFUNCTION("""COMPUTED_VALUE"""),"Nadian (BT)")</f>
        <v>Nadian (BT)</v>
      </c>
      <c r="F316" s="14" t="str">
        <f>IFERROR(__xludf.DUMMYFUNCTION("""COMPUTED_VALUE"""),"SELESAI")</f>
        <v>SELESAI</v>
      </c>
      <c r="G316" s="17">
        <f>IFERROR(__xludf.DUMMYFUNCTION("""COMPUTED_VALUE"""),45622.597326469906)</f>
        <v>45622.59733</v>
      </c>
      <c r="H316" s="14" t="str">
        <f>IFERROR(__xludf.DUMMYFUNCTION("""COMPUTED_VALUE"""),"Bu Eva (SU)")</f>
        <v>Bu Eva (SU)</v>
      </c>
      <c r="I316" s="13" t="str">
        <f>IFERROR(__xludf.DUMMYFUNCTION("""COMPUTED_VALUE"""),"SELESAI")</f>
        <v>SELESAI</v>
      </c>
      <c r="J316" s="17">
        <f>IFERROR(__xludf.DUMMYFUNCTION("""COMPUTED_VALUE"""),45624.65004237268)</f>
        <v>45624.65004</v>
      </c>
      <c r="K316" s="13" t="str">
        <f>IFERROR(__xludf.DUMMYFUNCTION("""COMPUTED_VALUE"""),"")</f>
        <v/>
      </c>
      <c r="L316" s="13" t="str">
        <f>IFERROR(__xludf.DUMMYFUNCTION("""COMPUTED_VALUE"""),"")</f>
        <v/>
      </c>
      <c r="M316" s="17" t="str">
        <f>IFERROR(__xludf.DUMMYFUNCTION("""COMPUTED_VALUE"""),"")</f>
        <v/>
      </c>
      <c r="N316" s="17">
        <f>IFERROR(__xludf.DUMMYFUNCTION("""COMPUTED_VALUE"""),45624.65004237268)</f>
        <v>45624.65004</v>
      </c>
      <c r="O316" s="13">
        <f t="shared" si="1"/>
        <v>11</v>
      </c>
    </row>
    <row r="317" ht="22.5" customHeight="1">
      <c r="B317" s="13">
        <f>IFERROR(__xludf.DUMMYFUNCTION("""COMPUTED_VALUE"""),312.0)</f>
        <v>312</v>
      </c>
      <c r="C317" s="13" t="str">
        <f>IFERROR(__xludf.DUMMYFUNCTION("""COMPUTED_VALUE"""),"M.1003/GUNUNG AGUNG-SEKARANG;M.1012/SEGALA MIDER-DAHULU")</f>
        <v>M.1003/GUNUNG AGUNG-SEKARANG;M.1012/SEGALA MIDER-DAHULU</v>
      </c>
      <c r="D317" s="13" t="str">
        <f>IFERROR(__xludf.DUMMYFUNCTION("""COMPUTED_VALUE"""),"K/27/191124/2")</f>
        <v>K/27/191124/2</v>
      </c>
      <c r="E317" s="14" t="str">
        <f>IFERROR(__xludf.DUMMYFUNCTION("""COMPUTED_VALUE"""),"Nadian (BT)")</f>
        <v>Nadian (BT)</v>
      </c>
      <c r="F317" s="14" t="str">
        <f>IFERROR(__xludf.DUMMYFUNCTION("""COMPUTED_VALUE"""),"SELESAI (VIA PERMOHONAN)")</f>
        <v>SELESAI (VIA PERMOHONAN)</v>
      </c>
      <c r="G317" s="17">
        <f>IFERROR(__xludf.DUMMYFUNCTION("""COMPUTED_VALUE"""),45622.597427071756)</f>
        <v>45622.59743</v>
      </c>
      <c r="H317" s="14" t="str">
        <f>IFERROR(__xludf.DUMMYFUNCTION("""COMPUTED_VALUE"""),"Aprill (SU)")</f>
        <v>Aprill (SU)</v>
      </c>
      <c r="I317" s="13" t="str">
        <f>IFERROR(__xludf.DUMMYFUNCTION("""COMPUTED_VALUE"""),"SELESAI (VIA PERMOHONAN)")</f>
        <v>SELESAI (VIA PERMOHONAN)</v>
      </c>
      <c r="J317" s="17">
        <f>IFERROR(__xludf.DUMMYFUNCTION("""COMPUTED_VALUE"""),45624.65004238426)</f>
        <v>45624.65004</v>
      </c>
      <c r="K317" s="13" t="str">
        <f>IFERROR(__xludf.DUMMYFUNCTION("""COMPUTED_VALUE"""),"Selesai")</f>
        <v>Selesai</v>
      </c>
      <c r="L317" s="17">
        <f>IFERROR(__xludf.DUMMYFUNCTION("""COMPUTED_VALUE"""),45624.65004238426)</f>
        <v>45624.65004</v>
      </c>
      <c r="M317" s="17">
        <f>IFERROR(__xludf.DUMMYFUNCTION("""COMPUTED_VALUE"""),45624.65004238426)</f>
        <v>45624.65004</v>
      </c>
      <c r="N317" s="13" t="str">
        <f>IFERROR(__xludf.DUMMYFUNCTION("""COMPUTED_VALUE"""),"")</f>
        <v/>
      </c>
      <c r="O317" s="13" t="str">
        <f t="shared" si="1"/>
        <v/>
      </c>
    </row>
    <row r="318" ht="22.5" customHeight="1">
      <c r="B318" s="13">
        <f>IFERROR(__xludf.DUMMYFUNCTION("""COMPUTED_VALUE"""),313.0)</f>
        <v>313</v>
      </c>
      <c r="C318" s="13" t="str">
        <f>IFERROR(__xludf.DUMMYFUNCTION("""COMPUTED_VALUE"""),"HM 13671/KEDAMAIAN")</f>
        <v>HM 13671/KEDAMAIAN</v>
      </c>
      <c r="D318" s="13" t="str">
        <f>IFERROR(__xludf.DUMMYFUNCTION("""COMPUTED_VALUE"""),"L/45/191124/1")</f>
        <v>L/45/191124/1</v>
      </c>
      <c r="E318" s="14" t="str">
        <f>IFERROR(__xludf.DUMMYFUNCTION("""COMPUTED_VALUE"""),"Afriza (BT)")</f>
        <v>Afriza (BT)</v>
      </c>
      <c r="F318" s="14" t="str">
        <f>IFERROR(__xludf.DUMMYFUNCTION("""COMPUTED_VALUE"""),"SELESAI")</f>
        <v>SELESAI</v>
      </c>
      <c r="G318" s="17">
        <f>IFERROR(__xludf.DUMMYFUNCTION("""COMPUTED_VALUE"""),45622.66638300926)</f>
        <v>45622.66638</v>
      </c>
      <c r="H318" s="14" t="str">
        <f>IFERROR(__xludf.DUMMYFUNCTION("""COMPUTED_VALUE"""),"Bu Eva (SU)")</f>
        <v>Bu Eva (SU)</v>
      </c>
      <c r="I318" s="13" t="str">
        <f>IFERROR(__xludf.DUMMYFUNCTION("""COMPUTED_VALUE"""),"SELESAI")</f>
        <v>SELESAI</v>
      </c>
      <c r="J318" s="17">
        <f>IFERROR(__xludf.DUMMYFUNCTION("""COMPUTED_VALUE"""),45624.65004238426)</f>
        <v>45624.65004</v>
      </c>
      <c r="K318" s="13" t="str">
        <f>IFERROR(__xludf.DUMMYFUNCTION("""COMPUTED_VALUE"""),"SELESAI")</f>
        <v>SELESAI</v>
      </c>
      <c r="L318" s="17">
        <f>IFERROR(__xludf.DUMMYFUNCTION("""COMPUTED_VALUE"""),45624.65004238426)</f>
        <v>45624.65004</v>
      </c>
      <c r="M318" s="17" t="str">
        <f>IFERROR(__xludf.DUMMYFUNCTION("""COMPUTED_VALUE"""),"")</f>
        <v/>
      </c>
      <c r="N318" s="17">
        <f>IFERROR(__xludf.DUMMYFUNCTION("""COMPUTED_VALUE"""),45625.43931122685)</f>
        <v>45625.43931</v>
      </c>
      <c r="O318" s="13">
        <f t="shared" si="1"/>
        <v>1</v>
      </c>
    </row>
    <row r="319" ht="22.5" customHeight="1">
      <c r="B319" s="13">
        <f>IFERROR(__xludf.DUMMYFUNCTION("""COMPUTED_VALUE"""),314.0)</f>
        <v>314</v>
      </c>
      <c r="C319" s="13" t="str">
        <f>IFERROR(__xludf.DUMMYFUNCTION("""COMPUTED_VALUE"""),"M. 897/ Sumber rejo")</f>
        <v>M. 897/ Sumber rejo</v>
      </c>
      <c r="D319" s="13" t="str">
        <f>IFERROR(__xludf.DUMMYFUNCTION("""COMPUTED_VALUE"""),"K/7/221124/1")</f>
        <v>K/7/221124/1</v>
      </c>
      <c r="E319" s="14" t="str">
        <f>IFERROR(__xludf.DUMMYFUNCTION("""COMPUTED_VALUE"""),"Afriza (BT)")</f>
        <v>Afriza (BT)</v>
      </c>
      <c r="F319" s="14" t="str">
        <f>IFERROR(__xludf.DUMMYFUNCTION("""COMPUTED_VALUE"""),"SELESAI")</f>
        <v>SELESAI</v>
      </c>
      <c r="G319" s="17">
        <f>IFERROR(__xludf.DUMMYFUNCTION("""COMPUTED_VALUE"""),45622.66739901621)</f>
        <v>45622.6674</v>
      </c>
      <c r="H319" s="14" t="str">
        <f>IFERROR(__xludf.DUMMYFUNCTION("""COMPUTED_VALUE"""),"Bu Eva (SU)")</f>
        <v>Bu Eva (SU)</v>
      </c>
      <c r="I319" s="13" t="str">
        <f>IFERROR(__xludf.DUMMYFUNCTION("""COMPUTED_VALUE"""),"SELESAI")</f>
        <v>SELESAI</v>
      </c>
      <c r="J319" s="17">
        <f>IFERROR(__xludf.DUMMYFUNCTION("""COMPUTED_VALUE"""),45624.65004238426)</f>
        <v>45624.65004</v>
      </c>
      <c r="K319" s="13" t="str">
        <f>IFERROR(__xludf.DUMMYFUNCTION("""COMPUTED_VALUE"""),"SELESAI")</f>
        <v>SELESAI</v>
      </c>
      <c r="L319" s="17">
        <f>IFERROR(__xludf.DUMMYFUNCTION("""COMPUTED_VALUE"""),45624.65004238426)</f>
        <v>45624.65004</v>
      </c>
      <c r="M319" s="17" t="str">
        <f>IFERROR(__xludf.DUMMYFUNCTION("""COMPUTED_VALUE"""),"")</f>
        <v/>
      </c>
      <c r="N319" s="17">
        <f>IFERROR(__xludf.DUMMYFUNCTION("""COMPUTED_VALUE"""),45625.439365659724)</f>
        <v>45625.43937</v>
      </c>
      <c r="O319" s="13">
        <f t="shared" si="1"/>
        <v>2</v>
      </c>
    </row>
    <row r="320" ht="22.5" customHeight="1">
      <c r="B320" s="13">
        <f>IFERROR(__xludf.DUMMYFUNCTION("""COMPUTED_VALUE"""),315.0)</f>
        <v>315</v>
      </c>
      <c r="C320" s="13" t="str">
        <f>IFERROR(__xludf.DUMMYFUNCTION("""COMPUTED_VALUE"""),"M. 3265/SUKADANA HAM")</f>
        <v>M. 3265/SUKADANA HAM</v>
      </c>
      <c r="D320" s="13" t="str">
        <f>IFERROR(__xludf.DUMMYFUNCTION("""COMPUTED_VALUE"""),"K/11/221124/1")</f>
        <v>K/11/221124/1</v>
      </c>
      <c r="E320" s="14" t="str">
        <f>IFERROR(__xludf.DUMMYFUNCTION("""COMPUTED_VALUE"""),"Afriza (BT)")</f>
        <v>Afriza (BT)</v>
      </c>
      <c r="F320" s="14" t="str">
        <f>IFERROR(__xludf.DUMMYFUNCTION("""COMPUTED_VALUE"""),"SELESAI")</f>
        <v>SELESAI</v>
      </c>
      <c r="G320" s="17">
        <f>IFERROR(__xludf.DUMMYFUNCTION("""COMPUTED_VALUE"""),45622.6675133449)</f>
        <v>45622.66751</v>
      </c>
      <c r="H320" s="14" t="str">
        <f>IFERROR(__xludf.DUMMYFUNCTION("""COMPUTED_VALUE"""),"Bu Eva (SU)")</f>
        <v>Bu Eva (SU)</v>
      </c>
      <c r="I320" s="13" t="str">
        <f>IFERROR(__xludf.DUMMYFUNCTION("""COMPUTED_VALUE"""),"SELESAI")</f>
        <v>SELESAI</v>
      </c>
      <c r="J320" s="17">
        <f>IFERROR(__xludf.DUMMYFUNCTION("""COMPUTED_VALUE"""),45624.65004238426)</f>
        <v>45624.65004</v>
      </c>
      <c r="K320" s="13" t="str">
        <f>IFERROR(__xludf.DUMMYFUNCTION("""COMPUTED_VALUE"""),"SELESAI")</f>
        <v>SELESAI</v>
      </c>
      <c r="L320" s="17">
        <f>IFERROR(__xludf.DUMMYFUNCTION("""COMPUTED_VALUE"""),45624.65004238426)</f>
        <v>45624.65004</v>
      </c>
      <c r="M320" s="17" t="str">
        <f>IFERROR(__xludf.DUMMYFUNCTION("""COMPUTED_VALUE"""),"")</f>
        <v/>
      </c>
      <c r="N320" s="17">
        <f>IFERROR(__xludf.DUMMYFUNCTION("""COMPUTED_VALUE"""),45625.43936567129)</f>
        <v>45625.43937</v>
      </c>
      <c r="O320" s="13">
        <f t="shared" si="1"/>
        <v>3</v>
      </c>
    </row>
    <row r="321" ht="22.5" customHeight="1">
      <c r="B321" s="13">
        <f>IFERROR(__xludf.DUMMYFUNCTION("""COMPUTED_VALUE"""),316.0)</f>
        <v>316</v>
      </c>
      <c r="C321" s="13" t="str">
        <f>IFERROR(__xludf.DUMMYFUNCTION("""COMPUTED_VALUE"""),"M. 1912/SUKABUMI INDAH")</f>
        <v>M. 1912/SUKABUMI INDAH</v>
      </c>
      <c r="D321" s="13" t="str">
        <f>IFERROR(__xludf.DUMMYFUNCTION("""COMPUTED_VALUE"""),"K/12/221124/2")</f>
        <v>K/12/221124/2</v>
      </c>
      <c r="E321" s="14" t="str">
        <f>IFERROR(__xludf.DUMMYFUNCTION("""COMPUTED_VALUE"""),"Afriza (BT)")</f>
        <v>Afriza (BT)</v>
      </c>
      <c r="F321" s="14" t="str">
        <f>IFERROR(__xludf.DUMMYFUNCTION("""COMPUTED_VALUE"""),"SELESAI")</f>
        <v>SELESAI</v>
      </c>
      <c r="G321" s="17">
        <f>IFERROR(__xludf.DUMMYFUNCTION("""COMPUTED_VALUE"""),45622.66759912037)</f>
        <v>45622.6676</v>
      </c>
      <c r="H321" s="14" t="str">
        <f>IFERROR(__xludf.DUMMYFUNCTION("""COMPUTED_VALUE"""),"Bu Eva (SU)")</f>
        <v>Bu Eva (SU)</v>
      </c>
      <c r="I321" s="13" t="str">
        <f>IFERROR(__xludf.DUMMYFUNCTION("""COMPUTED_VALUE"""),"SELESAI")</f>
        <v>SELESAI</v>
      </c>
      <c r="J321" s="17">
        <f>IFERROR(__xludf.DUMMYFUNCTION("""COMPUTED_VALUE"""),45624.65004238426)</f>
        <v>45624.65004</v>
      </c>
      <c r="K321" s="13" t="str">
        <f>IFERROR(__xludf.DUMMYFUNCTION("""COMPUTED_VALUE"""),"SELESAI")</f>
        <v>SELESAI</v>
      </c>
      <c r="L321" s="17">
        <f>IFERROR(__xludf.DUMMYFUNCTION("""COMPUTED_VALUE"""),45624.65004238426)</f>
        <v>45624.65004</v>
      </c>
      <c r="M321" s="17" t="str">
        <f>IFERROR(__xludf.DUMMYFUNCTION("""COMPUTED_VALUE"""),"")</f>
        <v/>
      </c>
      <c r="N321" s="17">
        <f>IFERROR(__xludf.DUMMYFUNCTION("""COMPUTED_VALUE"""),45625.43945814815)</f>
        <v>45625.43946</v>
      </c>
      <c r="O321" s="13">
        <f t="shared" si="1"/>
        <v>4</v>
      </c>
    </row>
    <row r="322" ht="22.5" customHeight="1">
      <c r="B322" s="13">
        <f>IFERROR(__xludf.DUMMYFUNCTION("""COMPUTED_VALUE"""),317.0)</f>
        <v>317</v>
      </c>
      <c r="C322" s="13" t="str">
        <f>IFERROR(__xludf.DUMMYFUNCTION("""COMPUTED_VALUE"""),"HGB 5267/BERINGIN RAYA")</f>
        <v>HGB 5267/BERINGIN RAYA</v>
      </c>
      <c r="D322" s="13" t="str">
        <f>IFERROR(__xludf.DUMMYFUNCTION("""COMPUTED_VALUE"""),"L/20/221124/1")</f>
        <v>L/20/221124/1</v>
      </c>
      <c r="E322" s="14" t="str">
        <f>IFERROR(__xludf.DUMMYFUNCTION("""COMPUTED_VALUE"""),"Afriza (BT)")</f>
        <v>Afriza (BT)</v>
      </c>
      <c r="F322" s="14" t="str">
        <f>IFERROR(__xludf.DUMMYFUNCTION("""COMPUTED_VALUE"""),"SELESAI")</f>
        <v>SELESAI</v>
      </c>
      <c r="G322" s="17">
        <f>IFERROR(__xludf.DUMMYFUNCTION("""COMPUTED_VALUE"""),45622.66768465278)</f>
        <v>45622.66768</v>
      </c>
      <c r="H322" s="14" t="str">
        <f>IFERROR(__xludf.DUMMYFUNCTION("""COMPUTED_VALUE"""),"Bu Eva (SU)")</f>
        <v>Bu Eva (SU)</v>
      </c>
      <c r="I322" s="13" t="str">
        <f>IFERROR(__xludf.DUMMYFUNCTION("""COMPUTED_VALUE"""),"SELESAI")</f>
        <v>SELESAI</v>
      </c>
      <c r="J322" s="17">
        <f>IFERROR(__xludf.DUMMYFUNCTION("""COMPUTED_VALUE"""),45624.65004238426)</f>
        <v>45624.65004</v>
      </c>
      <c r="K322" s="13" t="str">
        <f>IFERROR(__xludf.DUMMYFUNCTION("""COMPUTED_VALUE"""),"SELESAI")</f>
        <v>SELESAI</v>
      </c>
      <c r="L322" s="17">
        <f>IFERROR(__xludf.DUMMYFUNCTION("""COMPUTED_VALUE"""),45624.65004238426)</f>
        <v>45624.65004</v>
      </c>
      <c r="M322" s="17" t="str">
        <f>IFERROR(__xludf.DUMMYFUNCTION("""COMPUTED_VALUE"""),"")</f>
        <v/>
      </c>
      <c r="N322" s="17">
        <f>IFERROR(__xludf.DUMMYFUNCTION("""COMPUTED_VALUE"""),45625.43945815972)</f>
        <v>45625.43946</v>
      </c>
      <c r="O322" s="13">
        <f t="shared" si="1"/>
        <v>5</v>
      </c>
    </row>
    <row r="323" ht="22.5" customHeight="1">
      <c r="B323" s="13">
        <f>IFERROR(__xludf.DUMMYFUNCTION("""COMPUTED_VALUE"""),318.0)</f>
        <v>318</v>
      </c>
      <c r="C323" s="13" t="str">
        <f>IFERROR(__xludf.DUMMYFUNCTION("""COMPUTED_VALUE"""),"B.703/SUMUR PUTRI")</f>
        <v>B.703/SUMUR PUTRI</v>
      </c>
      <c r="D323" s="13" t="str">
        <f>IFERROR(__xludf.DUMMYFUNCTION("""COMPUTED_VALUE"""),"K/34/221124/1")</f>
        <v>K/34/221124/1</v>
      </c>
      <c r="E323" s="14" t="str">
        <f>IFERROR(__xludf.DUMMYFUNCTION("""COMPUTED_VALUE"""),"Afriza (BT)")</f>
        <v>Afriza (BT)</v>
      </c>
      <c r="F323" s="14" t="str">
        <f>IFERROR(__xludf.DUMMYFUNCTION("""COMPUTED_VALUE"""),"SELESAI")</f>
        <v>SELESAI</v>
      </c>
      <c r="G323" s="17">
        <f>IFERROR(__xludf.DUMMYFUNCTION("""COMPUTED_VALUE"""),45622.66815357639)</f>
        <v>45622.66815</v>
      </c>
      <c r="H323" s="14" t="str">
        <f>IFERROR(__xludf.DUMMYFUNCTION("""COMPUTED_VALUE"""),"Bu Eva (SU)")</f>
        <v>Bu Eva (SU)</v>
      </c>
      <c r="I323" s="13" t="str">
        <f>IFERROR(__xludf.DUMMYFUNCTION("""COMPUTED_VALUE"""),"SELESAI")</f>
        <v>SELESAI</v>
      </c>
      <c r="J323" s="17">
        <f>IFERROR(__xludf.DUMMYFUNCTION("""COMPUTED_VALUE"""),45624.650042395835)</f>
        <v>45624.65004</v>
      </c>
      <c r="K323" s="13" t="str">
        <f>IFERROR(__xludf.DUMMYFUNCTION("""COMPUTED_VALUE"""),"SELESAI")</f>
        <v>SELESAI</v>
      </c>
      <c r="L323" s="17">
        <f>IFERROR(__xludf.DUMMYFUNCTION("""COMPUTED_VALUE"""),45624.650042395835)</f>
        <v>45624.65004</v>
      </c>
      <c r="M323" s="17" t="str">
        <f>IFERROR(__xludf.DUMMYFUNCTION("""COMPUTED_VALUE"""),"")</f>
        <v/>
      </c>
      <c r="N323" s="17">
        <f>IFERROR(__xludf.DUMMYFUNCTION("""COMPUTED_VALUE"""),45625.44137876158)</f>
        <v>45625.44138</v>
      </c>
      <c r="O323" s="13">
        <f t="shared" si="1"/>
        <v>6</v>
      </c>
    </row>
    <row r="324" ht="22.5" customHeight="1">
      <c r="B324" s="13">
        <f>IFERROR(__xludf.DUMMYFUNCTION("""COMPUTED_VALUE"""),319.0)</f>
        <v>319</v>
      </c>
      <c r="C324" s="13" t="str">
        <f>IFERROR(__xludf.DUMMYFUNCTION("""COMPUTED_VALUE"""),"M. 381/ Batu Putuk; sht 603/2016")</f>
        <v>M. 381/ Batu Putuk; sht 603/2016</v>
      </c>
      <c r="D324" s="13" t="str">
        <f>IFERROR(__xludf.DUMMYFUNCTION("""COMPUTED_VALUE"""),"K/39/221124/1")</f>
        <v>K/39/221124/1</v>
      </c>
      <c r="E324" s="14" t="str">
        <f>IFERROR(__xludf.DUMMYFUNCTION("""COMPUTED_VALUE"""),"Afriza (BT)")</f>
        <v>Afriza (BT)</v>
      </c>
      <c r="F324" s="14" t="str">
        <f>IFERROR(__xludf.DUMMYFUNCTION("""COMPUTED_VALUE"""),"SELESAI")</f>
        <v>SELESAI</v>
      </c>
      <c r="G324" s="17">
        <f>IFERROR(__xludf.DUMMYFUNCTION("""COMPUTED_VALUE"""),45622.668249849536)</f>
        <v>45622.66825</v>
      </c>
      <c r="H324" s="14" t="str">
        <f>IFERROR(__xludf.DUMMYFUNCTION("""COMPUTED_VALUE"""),"Bu Eva (SU)")</f>
        <v>Bu Eva (SU)</v>
      </c>
      <c r="I324" s="13" t="str">
        <f>IFERROR(__xludf.DUMMYFUNCTION("""COMPUTED_VALUE"""),"SELESAI")</f>
        <v>SELESAI</v>
      </c>
      <c r="J324" s="17">
        <f>IFERROR(__xludf.DUMMYFUNCTION("""COMPUTED_VALUE"""),45624.650042395835)</f>
        <v>45624.65004</v>
      </c>
      <c r="K324" s="13" t="str">
        <f>IFERROR(__xludf.DUMMYFUNCTION("""COMPUTED_VALUE"""),"SELESAI")</f>
        <v>SELESAI</v>
      </c>
      <c r="L324" s="17">
        <f>IFERROR(__xludf.DUMMYFUNCTION("""COMPUTED_VALUE"""),45624.650042395835)</f>
        <v>45624.65004</v>
      </c>
      <c r="M324" s="17" t="str">
        <f>IFERROR(__xludf.DUMMYFUNCTION("""COMPUTED_VALUE"""),"")</f>
        <v/>
      </c>
      <c r="N324" s="17">
        <f>IFERROR(__xludf.DUMMYFUNCTION("""COMPUTED_VALUE"""),45625.44137876158)</f>
        <v>45625.44138</v>
      </c>
      <c r="O324" s="13">
        <f t="shared" si="1"/>
        <v>7</v>
      </c>
    </row>
    <row r="325" ht="22.5" customHeight="1">
      <c r="B325" s="13">
        <f>IFERROR(__xludf.DUMMYFUNCTION("""COMPUTED_VALUE"""),320.0)</f>
        <v>320</v>
      </c>
      <c r="C325" s="13" t="str">
        <f>IFERROR(__xludf.DUMMYFUNCTION("""COMPUTED_VALUE"""),"HM 86/PALAPA")</f>
        <v>HM 86/PALAPA</v>
      </c>
      <c r="D325" s="13" t="str">
        <f>IFERROR(__xludf.DUMMYFUNCTION("""COMPUTED_VALUE"""),"L/24/251124/2")</f>
        <v>L/24/251124/2</v>
      </c>
      <c r="E325" s="14" t="str">
        <f>IFERROR(__xludf.DUMMYFUNCTION("""COMPUTED_VALUE"""),"Afriza (BT)")</f>
        <v>Afriza (BT)</v>
      </c>
      <c r="F325" s="14" t="str">
        <f>IFERROR(__xludf.DUMMYFUNCTION("""COMPUTED_VALUE"""),"SELESAI")</f>
        <v>SELESAI</v>
      </c>
      <c r="G325" s="17">
        <f>IFERROR(__xludf.DUMMYFUNCTION("""COMPUTED_VALUE"""),45622.66886586805)</f>
        <v>45622.66887</v>
      </c>
      <c r="H325" s="14" t="str">
        <f>IFERROR(__xludf.DUMMYFUNCTION("""COMPUTED_VALUE"""),"Bu Eva (SU)")</f>
        <v>Bu Eva (SU)</v>
      </c>
      <c r="I325" s="13" t="str">
        <f>IFERROR(__xludf.DUMMYFUNCTION("""COMPUTED_VALUE"""),"SELESAI")</f>
        <v>SELESAI</v>
      </c>
      <c r="J325" s="17">
        <f>IFERROR(__xludf.DUMMYFUNCTION("""COMPUTED_VALUE"""),45624.650042395835)</f>
        <v>45624.65004</v>
      </c>
      <c r="K325" s="13" t="str">
        <f>IFERROR(__xludf.DUMMYFUNCTION("""COMPUTED_VALUE"""),"SELESAI")</f>
        <v>SELESAI</v>
      </c>
      <c r="L325" s="17">
        <f>IFERROR(__xludf.DUMMYFUNCTION("""COMPUTED_VALUE"""),45624.650042395835)</f>
        <v>45624.65004</v>
      </c>
      <c r="M325" s="17" t="str">
        <f>IFERROR(__xludf.DUMMYFUNCTION("""COMPUTED_VALUE"""),"")</f>
        <v/>
      </c>
      <c r="N325" s="17">
        <f>IFERROR(__xludf.DUMMYFUNCTION("""COMPUTED_VALUE"""),45625.44141366898)</f>
        <v>45625.44141</v>
      </c>
      <c r="O325" s="13">
        <f t="shared" si="1"/>
        <v>8</v>
      </c>
    </row>
    <row r="326" ht="22.5" customHeight="1">
      <c r="B326" s="13">
        <f>IFERROR(__xludf.DUMMYFUNCTION("""COMPUTED_VALUE"""),321.0)</f>
        <v>321</v>
      </c>
      <c r="C326" s="13" t="str">
        <f>IFERROR(__xludf.DUMMYFUNCTION("""COMPUTED_VALUE"""),"HM 15181/SUKABUMI")</f>
        <v>HM 15181/SUKABUMI</v>
      </c>
      <c r="D326" s="13" t="str">
        <f>IFERROR(__xludf.DUMMYFUNCTION("""COMPUTED_VALUE"""),"L/29/251124/1")</f>
        <v>L/29/251124/1</v>
      </c>
      <c r="E326" s="14" t="str">
        <f>IFERROR(__xludf.DUMMYFUNCTION("""COMPUTED_VALUE"""),"Afriza (BT)")</f>
        <v>Afriza (BT)</v>
      </c>
      <c r="F326" s="14" t="str">
        <f>IFERROR(__xludf.DUMMYFUNCTION("""COMPUTED_VALUE"""),"SELESAI")</f>
        <v>SELESAI</v>
      </c>
      <c r="G326" s="17">
        <f>IFERROR(__xludf.DUMMYFUNCTION("""COMPUTED_VALUE"""),45622.66913952546)</f>
        <v>45622.66914</v>
      </c>
      <c r="H326" s="14" t="str">
        <f>IFERROR(__xludf.DUMMYFUNCTION("""COMPUTED_VALUE"""),"Bu Eva (SU)")</f>
        <v>Bu Eva (SU)</v>
      </c>
      <c r="I326" s="13" t="str">
        <f>IFERROR(__xludf.DUMMYFUNCTION("""COMPUTED_VALUE"""),"SELESAI")</f>
        <v>SELESAI</v>
      </c>
      <c r="J326" s="17">
        <f>IFERROR(__xludf.DUMMYFUNCTION("""COMPUTED_VALUE"""),45624.650042395835)</f>
        <v>45624.65004</v>
      </c>
      <c r="K326" s="13" t="str">
        <f>IFERROR(__xludf.DUMMYFUNCTION("""COMPUTED_VALUE"""),"SELESAI")</f>
        <v>SELESAI</v>
      </c>
      <c r="L326" s="17">
        <f>IFERROR(__xludf.DUMMYFUNCTION("""COMPUTED_VALUE"""),45624.650042395835)</f>
        <v>45624.65004</v>
      </c>
      <c r="M326" s="17" t="str">
        <f>IFERROR(__xludf.DUMMYFUNCTION("""COMPUTED_VALUE"""),"")</f>
        <v/>
      </c>
      <c r="N326" s="17">
        <f>IFERROR(__xludf.DUMMYFUNCTION("""COMPUTED_VALUE"""),45625.44141366898)</f>
        <v>45625.44141</v>
      </c>
      <c r="O326" s="13">
        <f t="shared" si="1"/>
        <v>9</v>
      </c>
    </row>
    <row r="327" ht="22.5" customHeight="1">
      <c r="B327" s="13">
        <f>IFERROR(__xludf.DUMMYFUNCTION("""COMPUTED_VALUE"""),322.0)</f>
        <v>322</v>
      </c>
      <c r="C327" s="13" t="str">
        <f>IFERROR(__xludf.DUMMYFUNCTION("""COMPUTED_VALUE"""),"M. 2345/ Sukamaju")</f>
        <v>M. 2345/ Sukamaju</v>
      </c>
      <c r="D327" s="13" t="str">
        <f>IFERROR(__xludf.DUMMYFUNCTION("""COMPUTED_VALUE"""),"K/2/221124/2")</f>
        <v>K/2/221124/2</v>
      </c>
      <c r="E327" s="14" t="str">
        <f>IFERROR(__xludf.DUMMYFUNCTION("""COMPUTED_VALUE"""),"Afriza (BT)")</f>
        <v>Afriza (BT)</v>
      </c>
      <c r="F327" s="14" t="str">
        <f>IFERROR(__xludf.DUMMYFUNCTION("""COMPUTED_VALUE"""),"SELESAI (VIA PERMOHONAN)")</f>
        <v>SELESAI (VIA PERMOHONAN)</v>
      </c>
      <c r="G327" s="17">
        <f>IFERROR(__xludf.DUMMYFUNCTION("""COMPUTED_VALUE"""),45624.41114722222)</f>
        <v>45624.41115</v>
      </c>
      <c r="H327" s="14" t="str">
        <f>IFERROR(__xludf.DUMMYFUNCTION("""COMPUTED_VALUE"""),"Aprill (SU)")</f>
        <v>Aprill (SU)</v>
      </c>
      <c r="I327" s="13" t="str">
        <f>IFERROR(__xludf.DUMMYFUNCTION("""COMPUTED_VALUE"""),"SELESAI (VIA PERMOHONAN)")</f>
        <v>SELESAI (VIA PERMOHONAN)</v>
      </c>
      <c r="J327" s="17">
        <f>IFERROR(__xludf.DUMMYFUNCTION("""COMPUTED_VALUE"""),45624.650042407404)</f>
        <v>45624.65004</v>
      </c>
      <c r="K327" s="13" t="str">
        <f>IFERROR(__xludf.DUMMYFUNCTION("""COMPUTED_VALUE"""),"Selesai")</f>
        <v>Selesai</v>
      </c>
      <c r="L327" s="17">
        <f>IFERROR(__xludf.DUMMYFUNCTION("""COMPUTED_VALUE"""),45624.650042407404)</f>
        <v>45624.65004</v>
      </c>
      <c r="M327" s="17">
        <f>IFERROR(__xludf.DUMMYFUNCTION("""COMPUTED_VALUE"""),45625.44160569445)</f>
        <v>45625.44161</v>
      </c>
      <c r="N327" s="13" t="str">
        <f>IFERROR(__xludf.DUMMYFUNCTION("""COMPUTED_VALUE"""),"")</f>
        <v/>
      </c>
      <c r="O327" s="13" t="str">
        <f t="shared" si="1"/>
        <v/>
      </c>
    </row>
    <row r="328" ht="22.5" customHeight="1">
      <c r="B328" s="13">
        <f>IFERROR(__xludf.DUMMYFUNCTION("""COMPUTED_VALUE"""),323.0)</f>
        <v>323</v>
      </c>
      <c r="C328" s="13" t="str">
        <f>IFERROR(__xludf.DUMMYFUNCTION("""COMPUTED_VALUE"""),"M. 815/ Pelita")</f>
        <v>M. 815/ Pelita</v>
      </c>
      <c r="D328" s="13" t="str">
        <f>IFERROR(__xludf.DUMMYFUNCTION("""COMPUTED_VALUE"""),"K/28/191124/1")</f>
        <v>K/28/191124/1</v>
      </c>
      <c r="E328" s="14" t="str">
        <f>IFERROR(__xludf.DUMMYFUNCTION("""COMPUTED_VALUE"""),"Afriza (BT)")</f>
        <v>Afriza (BT)</v>
      </c>
      <c r="F328" s="14" t="str">
        <f>IFERROR(__xludf.DUMMYFUNCTION("""COMPUTED_VALUE"""),"SELESAI (VIA PERMOHONAN)")</f>
        <v>SELESAI (VIA PERMOHONAN)</v>
      </c>
      <c r="G328" s="17">
        <f>IFERROR(__xludf.DUMMYFUNCTION("""COMPUTED_VALUE"""),45624.41153912037)</f>
        <v>45624.41154</v>
      </c>
      <c r="H328" s="14" t="str">
        <f>IFERROR(__xludf.DUMMYFUNCTION("""COMPUTED_VALUE"""),"Aprill (SU)")</f>
        <v>Aprill (SU)</v>
      </c>
      <c r="I328" s="13" t="str">
        <f>IFERROR(__xludf.DUMMYFUNCTION("""COMPUTED_VALUE"""),"SELESAI (VIA PERMOHONAN)")</f>
        <v>SELESAI (VIA PERMOHONAN)</v>
      </c>
      <c r="J328" s="17">
        <f>IFERROR(__xludf.DUMMYFUNCTION("""COMPUTED_VALUE"""),45624.650042407404)</f>
        <v>45624.65004</v>
      </c>
      <c r="K328" s="13" t="str">
        <f>IFERROR(__xludf.DUMMYFUNCTION("""COMPUTED_VALUE"""),"Selesai")</f>
        <v>Selesai</v>
      </c>
      <c r="L328" s="17">
        <f>IFERROR(__xludf.DUMMYFUNCTION("""COMPUTED_VALUE"""),45624.650042407404)</f>
        <v>45624.65004</v>
      </c>
      <c r="M328" s="17">
        <f>IFERROR(__xludf.DUMMYFUNCTION("""COMPUTED_VALUE"""),45625.44163383102)</f>
        <v>45625.44163</v>
      </c>
      <c r="N328" s="13" t="str">
        <f>IFERROR(__xludf.DUMMYFUNCTION("""COMPUTED_VALUE"""),"")</f>
        <v/>
      </c>
      <c r="O328" s="13" t="str">
        <f t="shared" si="1"/>
        <v/>
      </c>
    </row>
    <row r="329" ht="22.5" customHeight="1">
      <c r="B329" s="13">
        <f>IFERROR(__xludf.DUMMYFUNCTION("""COMPUTED_VALUE"""),324.0)</f>
        <v>324</v>
      </c>
      <c r="C329" s="13" t="str">
        <f>IFERROR(__xludf.DUMMYFUNCTION("""COMPUTED_VALUE"""),"M.371/WAY HALIM PERMAI-SEKARANG;B.91/JAGABAYA II-DAHULU")</f>
        <v>M.371/WAY HALIM PERMAI-SEKARANG;B.91/JAGABAYA II-DAHULU</v>
      </c>
      <c r="D329" s="13" t="str">
        <f>IFERROR(__xludf.DUMMYFUNCTION("""COMPUTED_VALUE"""),"K/22/221124/1")</f>
        <v>K/22/221124/1</v>
      </c>
      <c r="E329" s="14" t="str">
        <f>IFERROR(__xludf.DUMMYFUNCTION("""COMPUTED_VALUE"""),"Afriza (BT)")</f>
        <v>Afriza (BT)</v>
      </c>
      <c r="F329" s="14" t="str">
        <f>IFERROR(__xludf.DUMMYFUNCTION("""COMPUTED_VALUE"""),"SELESAI (VIA PERMOHONAN)")</f>
        <v>SELESAI (VIA PERMOHONAN)</v>
      </c>
      <c r="G329" s="17">
        <f>IFERROR(__xludf.DUMMYFUNCTION("""COMPUTED_VALUE"""),45624.4116497338)</f>
        <v>45624.41165</v>
      </c>
      <c r="H329" s="14" t="str">
        <f>IFERROR(__xludf.DUMMYFUNCTION("""COMPUTED_VALUE"""),"Aprill (SU)")</f>
        <v>Aprill (SU)</v>
      </c>
      <c r="I329" s="13" t="str">
        <f>IFERROR(__xludf.DUMMYFUNCTION("""COMPUTED_VALUE"""),"SELESAI (VIA PERMOHONAN)")</f>
        <v>SELESAI (VIA PERMOHONAN)</v>
      </c>
      <c r="J329" s="17">
        <f>IFERROR(__xludf.DUMMYFUNCTION("""COMPUTED_VALUE"""),45624.650042407404)</f>
        <v>45624.65004</v>
      </c>
      <c r="K329" s="13" t="str">
        <f>IFERROR(__xludf.DUMMYFUNCTION("""COMPUTED_VALUE"""),"Selesai")</f>
        <v>Selesai</v>
      </c>
      <c r="L329" s="17">
        <f>IFERROR(__xludf.DUMMYFUNCTION("""COMPUTED_VALUE"""),45624.650042407404)</f>
        <v>45624.65004</v>
      </c>
      <c r="M329" s="17">
        <f>IFERROR(__xludf.DUMMYFUNCTION("""COMPUTED_VALUE"""),45625.44164611111)</f>
        <v>45625.44165</v>
      </c>
      <c r="N329" s="13" t="str">
        <f>IFERROR(__xludf.DUMMYFUNCTION("""COMPUTED_VALUE"""),"")</f>
        <v/>
      </c>
      <c r="O329" s="13" t="str">
        <f t="shared" si="1"/>
        <v/>
      </c>
    </row>
    <row r="330" ht="22.5" customHeight="1">
      <c r="B330" s="13">
        <f>IFERROR(__xludf.DUMMYFUNCTION("""COMPUTED_VALUE"""),325.0)</f>
        <v>325</v>
      </c>
      <c r="C330" s="13" t="str">
        <f>IFERROR(__xludf.DUMMYFUNCTION("""COMPUTED_VALUE"""),"B. 74/ korpri Jaya")</f>
        <v>B. 74/ korpri Jaya</v>
      </c>
      <c r="D330" s="13" t="str">
        <f>IFERROR(__xludf.DUMMYFUNCTION("""COMPUTED_VALUE"""),"K/25/261124/3")</f>
        <v>K/25/261124/3</v>
      </c>
      <c r="E330" s="14" t="str">
        <f>IFERROR(__xludf.DUMMYFUNCTION("""COMPUTED_VALUE"""),"Nadian (BT)")</f>
        <v>Nadian (BT)</v>
      </c>
      <c r="F330" s="14" t="str">
        <f>IFERROR(__xludf.DUMMYFUNCTION("""COMPUTED_VALUE"""),"SELESAI")</f>
        <v>SELESAI</v>
      </c>
      <c r="G330" s="17">
        <f>IFERROR(__xludf.DUMMYFUNCTION("""COMPUTED_VALUE"""),45624.680762812495)</f>
        <v>45624.68076</v>
      </c>
      <c r="H330" s="14" t="str">
        <f>IFERROR(__xludf.DUMMYFUNCTION("""COMPUTED_VALUE"""),"Bu Eva (SU)")</f>
        <v>Bu Eva (SU)</v>
      </c>
      <c r="I330" s="13" t="str">
        <f>IFERROR(__xludf.DUMMYFUNCTION("""COMPUTED_VALUE"""),"SELESAI")</f>
        <v>SELESAI</v>
      </c>
      <c r="J330" s="17">
        <f>IFERROR(__xludf.DUMMYFUNCTION("""COMPUTED_VALUE"""),45625.4618525463)</f>
        <v>45625.46185</v>
      </c>
      <c r="K330" s="13" t="str">
        <f>IFERROR(__xludf.DUMMYFUNCTION("""COMPUTED_VALUE"""),"SELESAI")</f>
        <v>SELESAI</v>
      </c>
      <c r="L330" s="17">
        <f>IFERROR(__xludf.DUMMYFUNCTION("""COMPUTED_VALUE"""),45625.4618525463)</f>
        <v>45625.46185</v>
      </c>
      <c r="M330" s="17" t="str">
        <f>IFERROR(__xludf.DUMMYFUNCTION("""COMPUTED_VALUE"""),"")</f>
        <v/>
      </c>
      <c r="N330" s="17">
        <f>IFERROR(__xludf.DUMMYFUNCTION("""COMPUTED_VALUE"""),45625.44184876158)</f>
        <v>45625.44185</v>
      </c>
      <c r="O330" s="13">
        <f t="shared" si="1"/>
        <v>1</v>
      </c>
    </row>
    <row r="331" ht="22.5" customHeight="1">
      <c r="B331" s="13">
        <f>IFERROR(__xludf.DUMMYFUNCTION("""COMPUTED_VALUE"""),326.0)</f>
        <v>326</v>
      </c>
      <c r="C331" s="13" t="str">
        <f>IFERROR(__xludf.DUMMYFUNCTION("""COMPUTED_VALUE"""),"M.2329/SEPANG JAYA-SEKARANG;M.10676/KEDATON-DAHULU")</f>
        <v>M.2329/SEPANG JAYA-SEKARANG;M.10676/KEDATON-DAHULU</v>
      </c>
      <c r="D331" s="13" t="str">
        <f>IFERROR(__xludf.DUMMYFUNCTION("""COMPUTED_VALUE"""),"K/26/221124/1")</f>
        <v>K/26/221124/1</v>
      </c>
      <c r="E331" s="14" t="str">
        <f>IFERROR(__xludf.DUMMYFUNCTION("""COMPUTED_VALUE"""),"Nadian (BT)")</f>
        <v>Nadian (BT)</v>
      </c>
      <c r="F331" s="14" t="str">
        <f>IFERROR(__xludf.DUMMYFUNCTION("""COMPUTED_VALUE"""),"SELESAI (VIA PERMOHONAN)")</f>
        <v>SELESAI (VIA PERMOHONAN)</v>
      </c>
      <c r="G331" s="17">
        <f>IFERROR(__xludf.DUMMYFUNCTION("""COMPUTED_VALUE"""),45624.68078679398)</f>
        <v>45624.68079</v>
      </c>
      <c r="H331" s="14" t="str">
        <f>IFERROR(__xludf.DUMMYFUNCTION("""COMPUTED_VALUE"""),"Aprill (SU)")</f>
        <v>Aprill (SU)</v>
      </c>
      <c r="I331" s="13" t="str">
        <f>IFERROR(__xludf.DUMMYFUNCTION("""COMPUTED_VALUE"""),"SELESAI (VIA PERMOHONAN)")</f>
        <v>SELESAI (VIA PERMOHONAN)</v>
      </c>
      <c r="J331" s="17">
        <f>IFERROR(__xludf.DUMMYFUNCTION("""COMPUTED_VALUE"""),45625.44215861111)</f>
        <v>45625.44216</v>
      </c>
      <c r="K331" s="13" t="str">
        <f>IFERROR(__xludf.DUMMYFUNCTION("""COMPUTED_VALUE"""),"Selesai")</f>
        <v>Selesai</v>
      </c>
      <c r="L331" s="17">
        <f>IFERROR(__xludf.DUMMYFUNCTION("""COMPUTED_VALUE"""),45625.44215861111)</f>
        <v>45625.44216</v>
      </c>
      <c r="M331" s="17">
        <f>IFERROR(__xludf.DUMMYFUNCTION("""COMPUTED_VALUE"""),45625.44192805556)</f>
        <v>45625.44193</v>
      </c>
      <c r="N331" s="13" t="str">
        <f>IFERROR(__xludf.DUMMYFUNCTION("""COMPUTED_VALUE"""),"")</f>
        <v/>
      </c>
      <c r="O331" s="13" t="str">
        <f t="shared" si="1"/>
        <v/>
      </c>
    </row>
    <row r="332" ht="22.5" customHeight="1">
      <c r="B332" s="13">
        <f>IFERROR(__xludf.DUMMYFUNCTION("""COMPUTED_VALUE"""),327.0)</f>
        <v>327</v>
      </c>
      <c r="C332" s="13" t="str">
        <f>IFERROR(__xludf.DUMMYFUNCTION("""COMPUTED_VALUE"""),"M. 1912/SUKABUMI INDAH")</f>
        <v>M. 1912/SUKABUMI INDAH</v>
      </c>
      <c r="D332" s="13" t="str">
        <f>IFERROR(__xludf.DUMMYFUNCTION("""COMPUTED_VALUE"""),"K/12/221124/2")</f>
        <v>K/12/221124/2</v>
      </c>
      <c r="E332" s="14" t="str">
        <f>IFERROR(__xludf.DUMMYFUNCTION("""COMPUTED_VALUE"""),"Nadian (BT)")</f>
        <v>Nadian (BT)</v>
      </c>
      <c r="F332" s="14" t="str">
        <f>IFERROR(__xludf.DUMMYFUNCTION("""COMPUTED_VALUE"""),"SELESAI (VIA PERMOHONAN)")</f>
        <v>SELESAI (VIA PERMOHONAN)</v>
      </c>
      <c r="G332" s="17">
        <f>IFERROR(__xludf.DUMMYFUNCTION("""COMPUTED_VALUE"""),45624.68081423611)</f>
        <v>45624.68081</v>
      </c>
      <c r="H332" s="14" t="str">
        <f>IFERROR(__xludf.DUMMYFUNCTION("""COMPUTED_VALUE"""),"Aprill (SU)")</f>
        <v>Aprill (SU)</v>
      </c>
      <c r="I332" s="13" t="str">
        <f>IFERROR(__xludf.DUMMYFUNCTION("""COMPUTED_VALUE"""),"SELESAI (VIA PERMOHONAN)")</f>
        <v>SELESAI (VIA PERMOHONAN)</v>
      </c>
      <c r="J332" s="17">
        <f>IFERROR(__xludf.DUMMYFUNCTION("""COMPUTED_VALUE"""),45625.44215861111)</f>
        <v>45625.44216</v>
      </c>
      <c r="K332" s="13" t="str">
        <f>IFERROR(__xludf.DUMMYFUNCTION("""COMPUTED_VALUE"""),"Selesai")</f>
        <v>Selesai</v>
      </c>
      <c r="L332" s="17">
        <f>IFERROR(__xludf.DUMMYFUNCTION("""COMPUTED_VALUE"""),45625.44215861111)</f>
        <v>45625.44216</v>
      </c>
      <c r="M332" s="17">
        <f>IFERROR(__xludf.DUMMYFUNCTION("""COMPUTED_VALUE"""),45625.441948067135)</f>
        <v>45625.44195</v>
      </c>
      <c r="N332" s="13" t="str">
        <f>IFERROR(__xludf.DUMMYFUNCTION("""COMPUTED_VALUE"""),"")</f>
        <v/>
      </c>
      <c r="O332" s="13" t="str">
        <f t="shared" si="1"/>
        <v/>
      </c>
    </row>
    <row r="333" ht="22.5" customHeight="1">
      <c r="B333" s="13">
        <f>IFERROR(__xludf.DUMMYFUNCTION("""COMPUTED_VALUE"""),328.0)</f>
        <v>328</v>
      </c>
      <c r="C333" s="13" t="str">
        <f>IFERROR(__xludf.DUMMYFUNCTION("""COMPUTED_VALUE"""),"M. 1432/ SUMUR PUTRI")</f>
        <v>M. 1432/ SUMUR PUTRI</v>
      </c>
      <c r="D333" s="13" t="str">
        <f>IFERROR(__xludf.DUMMYFUNCTION("""COMPUTED_VALUE"""),"K/23/201124/1")</f>
        <v>K/23/201124/1</v>
      </c>
      <c r="E333" s="14" t="str">
        <f>IFERROR(__xludf.DUMMYFUNCTION("""COMPUTED_VALUE"""),"Nadian (BT)")</f>
        <v>Nadian (BT)</v>
      </c>
      <c r="F333" s="14" t="str">
        <f>IFERROR(__xludf.DUMMYFUNCTION("""COMPUTED_VALUE"""),"SELESAI (VIA PERMOHONAN)")</f>
        <v>SELESAI (VIA PERMOHONAN)</v>
      </c>
      <c r="G333" s="17">
        <f>IFERROR(__xludf.DUMMYFUNCTION("""COMPUTED_VALUE"""),45624.68081423611)</f>
        <v>45624.68081</v>
      </c>
      <c r="H333" s="14" t="str">
        <f>IFERROR(__xludf.DUMMYFUNCTION("""COMPUTED_VALUE"""),"Aprill (SU)")</f>
        <v>Aprill (SU)</v>
      </c>
      <c r="I333" s="13" t="str">
        <f>IFERROR(__xludf.DUMMYFUNCTION("""COMPUTED_VALUE"""),"SELESAI (VIA PERMOHONAN)")</f>
        <v>SELESAI (VIA PERMOHONAN)</v>
      </c>
      <c r="J333" s="17">
        <f>IFERROR(__xludf.DUMMYFUNCTION("""COMPUTED_VALUE"""),45625.44215861111)</f>
        <v>45625.44216</v>
      </c>
      <c r="K333" s="13" t="str">
        <f>IFERROR(__xludf.DUMMYFUNCTION("""COMPUTED_VALUE"""),"Selesai")</f>
        <v>Selesai</v>
      </c>
      <c r="L333" s="17">
        <f>IFERROR(__xludf.DUMMYFUNCTION("""COMPUTED_VALUE"""),45625.44215861111)</f>
        <v>45625.44216</v>
      </c>
      <c r="M333" s="17">
        <f>IFERROR(__xludf.DUMMYFUNCTION("""COMPUTED_VALUE"""),45625.44196914352)</f>
        <v>45625.44197</v>
      </c>
      <c r="N333" s="13" t="str">
        <f>IFERROR(__xludf.DUMMYFUNCTION("""COMPUTED_VALUE"""),"")</f>
        <v/>
      </c>
      <c r="O333" s="13" t="str">
        <f t="shared" si="1"/>
        <v/>
      </c>
    </row>
    <row r="334" ht="22.5" customHeight="1">
      <c r="B334" s="13">
        <f>IFERROR(__xludf.DUMMYFUNCTION("""COMPUTED_VALUE"""),329.0)</f>
        <v>329</v>
      </c>
      <c r="C334" s="13" t="str">
        <f>IFERROR(__xludf.DUMMYFUNCTION("""COMPUTED_VALUE"""),"M.1350/TANJUNG SENENG")</f>
        <v>M.1350/TANJUNG SENENG</v>
      </c>
      <c r="D334" s="13" t="str">
        <f>IFERROR(__xludf.DUMMYFUNCTION("""COMPUTED_VALUE"""),"K/2/261124/1")</f>
        <v>K/2/261124/1</v>
      </c>
      <c r="E334" s="14" t="str">
        <f>IFERROR(__xludf.DUMMYFUNCTION("""COMPUTED_VALUE"""),"Afriza (BT)")</f>
        <v>Afriza (BT)</v>
      </c>
      <c r="F334" s="14" t="str">
        <f>IFERROR(__xludf.DUMMYFUNCTION("""COMPUTED_VALUE"""),"SELESAI")</f>
        <v>SELESAI</v>
      </c>
      <c r="G334" s="17">
        <f>IFERROR(__xludf.DUMMYFUNCTION("""COMPUTED_VALUE"""),45625.452506064816)</f>
        <v>45625.45251</v>
      </c>
      <c r="H334" s="14" t="str">
        <f>IFERROR(__xludf.DUMMYFUNCTION("""COMPUTED_VALUE"""),"Bu Eva (SU)")</f>
        <v>Bu Eva (SU)</v>
      </c>
      <c r="I334" s="13" t="str">
        <f>IFERROR(__xludf.DUMMYFUNCTION("""COMPUTED_VALUE"""),"SELESAI")</f>
        <v>SELESAI</v>
      </c>
      <c r="J334" s="17">
        <f>IFERROR(__xludf.DUMMYFUNCTION("""COMPUTED_VALUE"""),45625.619838819446)</f>
        <v>45625.61984</v>
      </c>
      <c r="K334" s="13" t="str">
        <f>IFERROR(__xludf.DUMMYFUNCTION("""COMPUTED_VALUE"""),"SELESAI")</f>
        <v>SELESAI</v>
      </c>
      <c r="L334" s="17">
        <f>IFERROR(__xludf.DUMMYFUNCTION("""COMPUTED_VALUE"""),45625.619838819446)</f>
        <v>45625.61984</v>
      </c>
      <c r="M334" s="17" t="str">
        <f>IFERROR(__xludf.DUMMYFUNCTION("""COMPUTED_VALUE"""),"")</f>
        <v/>
      </c>
      <c r="N334" s="17">
        <f>IFERROR(__xludf.DUMMYFUNCTION("""COMPUTED_VALUE"""),45625.62029864584)</f>
        <v>45625.6203</v>
      </c>
      <c r="O334" s="13">
        <f t="shared" si="1"/>
        <v>1</v>
      </c>
    </row>
    <row r="335" ht="22.5" customHeight="1">
      <c r="B335" s="13">
        <f>IFERROR(__xludf.DUMMYFUNCTION("""COMPUTED_VALUE"""),330.0)</f>
        <v>330</v>
      </c>
      <c r="C335" s="13" t="str">
        <f>IFERROR(__xludf.DUMMYFUNCTION("""COMPUTED_VALUE"""),"M. 6040/ Way Kandis")</f>
        <v>M. 6040/ Way Kandis</v>
      </c>
      <c r="D335" s="13" t="str">
        <f>IFERROR(__xludf.DUMMYFUNCTION("""COMPUTED_VALUE"""),"K/18/261124/1")</f>
        <v>K/18/261124/1</v>
      </c>
      <c r="E335" s="14" t="str">
        <f>IFERROR(__xludf.DUMMYFUNCTION("""COMPUTED_VALUE"""),"Afriza (BT)")</f>
        <v>Afriza (BT)</v>
      </c>
      <c r="F335" s="14" t="str">
        <f>IFERROR(__xludf.DUMMYFUNCTION("""COMPUTED_VALUE"""),"SELESAI")</f>
        <v>SELESAI</v>
      </c>
      <c r="G335" s="17">
        <f>IFERROR(__xludf.DUMMYFUNCTION("""COMPUTED_VALUE"""),45625.45259891204)</f>
        <v>45625.4526</v>
      </c>
      <c r="H335" s="14" t="str">
        <f>IFERROR(__xludf.DUMMYFUNCTION("""COMPUTED_VALUE"""),"Bu Eva (SU)")</f>
        <v>Bu Eva (SU)</v>
      </c>
      <c r="I335" s="13" t="str">
        <f>IFERROR(__xludf.DUMMYFUNCTION("""COMPUTED_VALUE"""),"SELESAI")</f>
        <v>SELESAI</v>
      </c>
      <c r="J335" s="17">
        <f>IFERROR(__xludf.DUMMYFUNCTION("""COMPUTED_VALUE"""),45625.619838819446)</f>
        <v>45625.61984</v>
      </c>
      <c r="K335" s="13" t="str">
        <f>IFERROR(__xludf.DUMMYFUNCTION("""COMPUTED_VALUE"""),"SELESAI")</f>
        <v>SELESAI</v>
      </c>
      <c r="L335" s="17">
        <f>IFERROR(__xludf.DUMMYFUNCTION("""COMPUTED_VALUE"""),45625.619838819446)</f>
        <v>45625.61984</v>
      </c>
      <c r="M335" s="17" t="str">
        <f>IFERROR(__xludf.DUMMYFUNCTION("""COMPUTED_VALUE"""),"")</f>
        <v/>
      </c>
      <c r="N335" s="17">
        <f>IFERROR(__xludf.DUMMYFUNCTION("""COMPUTED_VALUE"""),45625.620298657406)</f>
        <v>45625.6203</v>
      </c>
      <c r="O335" s="13">
        <f t="shared" si="1"/>
        <v>2</v>
      </c>
    </row>
    <row r="336" ht="22.5" customHeight="1">
      <c r="B336" s="13">
        <f>IFERROR(__xludf.DUMMYFUNCTION("""COMPUTED_VALUE"""),331.0)</f>
        <v>331</v>
      </c>
      <c r="C336" s="13" t="str">
        <f>IFERROR(__xludf.DUMMYFUNCTION("""COMPUTED_VALUE"""),"M.19618/SUKARAME-SEKARANG;B.1143/SUKARAME I-DAHULU")</f>
        <v>M.19618/SUKARAME-SEKARANG;B.1143/SUKARAME I-DAHULU</v>
      </c>
      <c r="D336" s="13" t="str">
        <f>IFERROR(__xludf.DUMMYFUNCTION("""COMPUTED_VALUE"""),"K/66/261124/1")</f>
        <v>K/66/261124/1</v>
      </c>
      <c r="E336" s="14" t="str">
        <f>IFERROR(__xludf.DUMMYFUNCTION("""COMPUTED_VALUE"""),"Afriza (BT)")</f>
        <v>Afriza (BT)</v>
      </c>
      <c r="F336" s="14" t="str">
        <f>IFERROR(__xludf.DUMMYFUNCTION("""COMPUTED_VALUE"""),"SELESAI")</f>
        <v>SELESAI</v>
      </c>
      <c r="G336" s="17">
        <f>IFERROR(__xludf.DUMMYFUNCTION("""COMPUTED_VALUE"""),45625.45270167824)</f>
        <v>45625.4527</v>
      </c>
      <c r="H336" s="14" t="str">
        <f>IFERROR(__xludf.DUMMYFUNCTION("""COMPUTED_VALUE"""),"Bu Eva (SU)")</f>
        <v>Bu Eva (SU)</v>
      </c>
      <c r="I336" s="13" t="str">
        <f>IFERROR(__xludf.DUMMYFUNCTION("""COMPUTED_VALUE"""),"SELESAI")</f>
        <v>SELESAI</v>
      </c>
      <c r="J336" s="17">
        <f>IFERROR(__xludf.DUMMYFUNCTION("""COMPUTED_VALUE"""),45625.619838819446)</f>
        <v>45625.61984</v>
      </c>
      <c r="K336" s="13" t="str">
        <f>IFERROR(__xludf.DUMMYFUNCTION("""COMPUTED_VALUE"""),"SELESAI")</f>
        <v>SELESAI</v>
      </c>
      <c r="L336" s="17">
        <f>IFERROR(__xludf.DUMMYFUNCTION("""COMPUTED_VALUE"""),45625.619838819446)</f>
        <v>45625.61984</v>
      </c>
      <c r="M336" s="17" t="str">
        <f>IFERROR(__xludf.DUMMYFUNCTION("""COMPUTED_VALUE"""),"")</f>
        <v/>
      </c>
      <c r="N336" s="17">
        <f>IFERROR(__xludf.DUMMYFUNCTION("""COMPUTED_VALUE"""),45625.620298657406)</f>
        <v>45625.6203</v>
      </c>
      <c r="O336" s="13">
        <f t="shared" si="1"/>
        <v>3</v>
      </c>
    </row>
    <row r="337" ht="22.5" customHeight="1">
      <c r="B337" s="13">
        <f>IFERROR(__xludf.DUMMYFUNCTION("""COMPUTED_VALUE"""),332.0)</f>
        <v>332</v>
      </c>
      <c r="C337" s="13" t="str">
        <f>IFERROR(__xludf.DUMMYFUNCTION("""COMPUTED_VALUE"""),"M. 3445/ Beringin raya")</f>
        <v>M. 3445/ Beringin raya</v>
      </c>
      <c r="D337" s="13" t="str">
        <f>IFERROR(__xludf.DUMMYFUNCTION("""COMPUTED_VALUE"""),"K/65/261124/3")</f>
        <v>K/65/261124/3</v>
      </c>
      <c r="E337" s="14" t="str">
        <f>IFERROR(__xludf.DUMMYFUNCTION("""COMPUTED_VALUE"""),"Afriza (BT)")</f>
        <v>Afriza (BT)</v>
      </c>
      <c r="F337" s="14" t="str">
        <f>IFERROR(__xludf.DUMMYFUNCTION("""COMPUTED_VALUE"""),"SELESAI")</f>
        <v>SELESAI</v>
      </c>
      <c r="G337" s="17">
        <f>IFERROR(__xludf.DUMMYFUNCTION("""COMPUTED_VALUE"""),45625.45309581018)</f>
        <v>45625.4531</v>
      </c>
      <c r="H337" s="14" t="str">
        <f>IFERROR(__xludf.DUMMYFUNCTION("""COMPUTED_VALUE"""),"Bu Eva (SU)")</f>
        <v>Bu Eva (SU)</v>
      </c>
      <c r="I337" s="13" t="str">
        <f>IFERROR(__xludf.DUMMYFUNCTION("""COMPUTED_VALUE"""),"SELESAI")</f>
        <v>SELESAI</v>
      </c>
      <c r="J337" s="17">
        <f>IFERROR(__xludf.DUMMYFUNCTION("""COMPUTED_VALUE"""),45625.619838819446)</f>
        <v>45625.61984</v>
      </c>
      <c r="K337" s="13" t="str">
        <f>IFERROR(__xludf.DUMMYFUNCTION("""COMPUTED_VALUE"""),"SELESAI")</f>
        <v>SELESAI</v>
      </c>
      <c r="L337" s="17">
        <f>IFERROR(__xludf.DUMMYFUNCTION("""COMPUTED_VALUE"""),45625.619838819446)</f>
        <v>45625.61984</v>
      </c>
      <c r="M337" s="17" t="str">
        <f>IFERROR(__xludf.DUMMYFUNCTION("""COMPUTED_VALUE"""),"")</f>
        <v/>
      </c>
      <c r="N337" s="17">
        <f>IFERROR(__xludf.DUMMYFUNCTION("""COMPUTED_VALUE"""),45625.620298657406)</f>
        <v>45625.6203</v>
      </c>
      <c r="O337" s="13">
        <f t="shared" si="1"/>
        <v>4</v>
      </c>
    </row>
    <row r="338" ht="22.5" customHeight="1">
      <c r="B338" s="13">
        <f>IFERROR(__xludf.DUMMYFUNCTION("""COMPUTED_VALUE"""),333.0)</f>
        <v>333</v>
      </c>
      <c r="C338" s="13" t="str">
        <f>IFERROR(__xludf.DUMMYFUNCTION("""COMPUTED_VALUE"""),"HM 12100/JAGABAYA II")</f>
        <v>HM 12100/JAGABAYA II</v>
      </c>
      <c r="D338" s="13" t="str">
        <f>IFERROR(__xludf.DUMMYFUNCTION("""COMPUTED_VALUE"""),"L/54/261124/2")</f>
        <v>L/54/261124/2</v>
      </c>
      <c r="E338" s="14" t="str">
        <f>IFERROR(__xludf.DUMMYFUNCTION("""COMPUTED_VALUE"""),"Afriza (BT)")</f>
        <v>Afriza (BT)</v>
      </c>
      <c r="F338" s="14" t="str">
        <f>IFERROR(__xludf.DUMMYFUNCTION("""COMPUTED_VALUE"""),"SELESAI")</f>
        <v>SELESAI</v>
      </c>
      <c r="G338" s="17">
        <f>IFERROR(__xludf.DUMMYFUNCTION("""COMPUTED_VALUE"""),45625.45319215278)</f>
        <v>45625.45319</v>
      </c>
      <c r="H338" s="14" t="str">
        <f>IFERROR(__xludf.DUMMYFUNCTION("""COMPUTED_VALUE"""),"Bu Eva (SU)")</f>
        <v>Bu Eva (SU)</v>
      </c>
      <c r="I338" s="13" t="str">
        <f>IFERROR(__xludf.DUMMYFUNCTION("""COMPUTED_VALUE"""),"SELESAI")</f>
        <v>SELESAI</v>
      </c>
      <c r="J338" s="17">
        <f>IFERROR(__xludf.DUMMYFUNCTION("""COMPUTED_VALUE"""),45625.619838819446)</f>
        <v>45625.61984</v>
      </c>
      <c r="K338" s="13" t="str">
        <f>IFERROR(__xludf.DUMMYFUNCTION("""COMPUTED_VALUE"""),"SELESAI")</f>
        <v>SELESAI</v>
      </c>
      <c r="L338" s="17">
        <f>IFERROR(__xludf.DUMMYFUNCTION("""COMPUTED_VALUE"""),45625.619838819446)</f>
        <v>45625.61984</v>
      </c>
      <c r="M338" s="17" t="str">
        <f>IFERROR(__xludf.DUMMYFUNCTION("""COMPUTED_VALUE"""),"")</f>
        <v/>
      </c>
      <c r="N338" s="17">
        <f>IFERROR(__xludf.DUMMYFUNCTION("""COMPUTED_VALUE"""),45625.62034241898)</f>
        <v>45625.62034</v>
      </c>
      <c r="O338" s="13">
        <f t="shared" si="1"/>
        <v>5</v>
      </c>
    </row>
    <row r="339" ht="22.5" customHeight="1">
      <c r="B339" s="13">
        <f>IFERROR(__xludf.DUMMYFUNCTION("""COMPUTED_VALUE"""),334.0)</f>
        <v>334</v>
      </c>
      <c r="C339" s="13" t="str">
        <f>IFERROR(__xludf.DUMMYFUNCTION("""COMPUTED_VALUE"""),"M. 6428/ way Kandis")</f>
        <v>M. 6428/ way Kandis</v>
      </c>
      <c r="D339" s="13" t="str">
        <f>IFERROR(__xludf.DUMMYFUNCTION("""COMPUTED_VALUE"""),"K/68/261124/1")</f>
        <v>K/68/261124/1</v>
      </c>
      <c r="E339" s="14" t="str">
        <f>IFERROR(__xludf.DUMMYFUNCTION("""COMPUTED_VALUE"""),"Afriza (BT)")</f>
        <v>Afriza (BT)</v>
      </c>
      <c r="F339" s="14" t="str">
        <f>IFERROR(__xludf.DUMMYFUNCTION("""COMPUTED_VALUE"""),"SELESAI")</f>
        <v>SELESAI</v>
      </c>
      <c r="G339" s="17">
        <f>IFERROR(__xludf.DUMMYFUNCTION("""COMPUTED_VALUE"""),45625.45330890046)</f>
        <v>45625.45331</v>
      </c>
      <c r="H339" s="14" t="str">
        <f>IFERROR(__xludf.DUMMYFUNCTION("""COMPUTED_VALUE"""),"Bu Eva (SU)")</f>
        <v>Bu Eva (SU)</v>
      </c>
      <c r="I339" s="13" t="str">
        <f>IFERROR(__xludf.DUMMYFUNCTION("""COMPUTED_VALUE"""),"SELESAI")</f>
        <v>SELESAI</v>
      </c>
      <c r="J339" s="17">
        <f>IFERROR(__xludf.DUMMYFUNCTION("""COMPUTED_VALUE"""),45625.61995438657)</f>
        <v>45625.61995</v>
      </c>
      <c r="K339" s="13" t="str">
        <f>IFERROR(__xludf.DUMMYFUNCTION("""COMPUTED_VALUE"""),"SELESAI")</f>
        <v>SELESAI</v>
      </c>
      <c r="L339" s="17">
        <f>IFERROR(__xludf.DUMMYFUNCTION("""COMPUTED_VALUE"""),45625.61995438657)</f>
        <v>45625.61995</v>
      </c>
      <c r="M339" s="17" t="str">
        <f>IFERROR(__xludf.DUMMYFUNCTION("""COMPUTED_VALUE"""),"")</f>
        <v/>
      </c>
      <c r="N339" s="17">
        <f>IFERROR(__xludf.DUMMYFUNCTION("""COMPUTED_VALUE"""),45625.62034243056)</f>
        <v>45625.62034</v>
      </c>
      <c r="O339" s="13">
        <f t="shared" si="1"/>
        <v>6</v>
      </c>
    </row>
    <row r="340" ht="22.5" customHeight="1">
      <c r="B340" s="13">
        <f>IFERROR(__xludf.DUMMYFUNCTION("""COMPUTED_VALUE"""),335.0)</f>
        <v>335</v>
      </c>
      <c r="C340" s="13" t="str">
        <f>IFERROR(__xludf.DUMMYFUNCTION("""COMPUTED_VALUE"""),"HM 1401/KURIPAN")</f>
        <v>HM 1401/KURIPAN</v>
      </c>
      <c r="D340" s="13" t="str">
        <f>IFERROR(__xludf.DUMMYFUNCTION("""COMPUTED_VALUE"""),"L/41/261124/1")</f>
        <v>L/41/261124/1</v>
      </c>
      <c r="E340" s="14" t="str">
        <f>IFERROR(__xludf.DUMMYFUNCTION("""COMPUTED_VALUE"""),"Afriza (BT)")</f>
        <v>Afriza (BT)</v>
      </c>
      <c r="F340" s="14" t="str">
        <f>IFERROR(__xludf.DUMMYFUNCTION("""COMPUTED_VALUE"""),"SELESAI")</f>
        <v>SELESAI</v>
      </c>
      <c r="G340" s="17">
        <f>IFERROR(__xludf.DUMMYFUNCTION("""COMPUTED_VALUE"""),45625.45377799768)</f>
        <v>45625.45378</v>
      </c>
      <c r="H340" s="14" t="str">
        <f>IFERROR(__xludf.DUMMYFUNCTION("""COMPUTED_VALUE"""),"Bu Eva (SU)")</f>
        <v>Bu Eva (SU)</v>
      </c>
      <c r="I340" s="13" t="str">
        <f>IFERROR(__xludf.DUMMYFUNCTION("""COMPUTED_VALUE"""),"SELESAI")</f>
        <v>SELESAI</v>
      </c>
      <c r="J340" s="17">
        <f>IFERROR(__xludf.DUMMYFUNCTION("""COMPUTED_VALUE"""),45625.61995438657)</f>
        <v>45625.61995</v>
      </c>
      <c r="K340" s="13" t="str">
        <f>IFERROR(__xludf.DUMMYFUNCTION("""COMPUTED_VALUE"""),"SELESAI")</f>
        <v>SELESAI</v>
      </c>
      <c r="L340" s="17">
        <f>IFERROR(__xludf.DUMMYFUNCTION("""COMPUTED_VALUE"""),45625.61995438657)</f>
        <v>45625.61995</v>
      </c>
      <c r="M340" s="17" t="str">
        <f>IFERROR(__xludf.DUMMYFUNCTION("""COMPUTED_VALUE"""),"")</f>
        <v/>
      </c>
      <c r="N340" s="17">
        <f>IFERROR(__xludf.DUMMYFUNCTION("""COMPUTED_VALUE"""),45625.62034243056)</f>
        <v>45625.62034</v>
      </c>
      <c r="O340" s="13">
        <f t="shared" si="1"/>
        <v>7</v>
      </c>
    </row>
    <row r="341" ht="22.5" customHeight="1">
      <c r="B341" s="13">
        <f>IFERROR(__xludf.DUMMYFUNCTION("""COMPUTED_VALUE"""),336.0)</f>
        <v>336</v>
      </c>
      <c r="C341" s="13" t="str">
        <f>IFERROR(__xludf.DUMMYFUNCTION("""COMPUTED_VALUE"""),"M. 2017/ Kota Baru")</f>
        <v>M. 2017/ Kota Baru</v>
      </c>
      <c r="D341" s="13" t="str">
        <f>IFERROR(__xludf.DUMMYFUNCTION("""COMPUTED_VALUE"""),"K/60/261124/1")</f>
        <v>K/60/261124/1</v>
      </c>
      <c r="E341" s="14" t="str">
        <f>IFERROR(__xludf.DUMMYFUNCTION("""COMPUTED_VALUE"""),"Afriza (BT)")</f>
        <v>Afriza (BT)</v>
      </c>
      <c r="F341" s="14" t="str">
        <f>IFERROR(__xludf.DUMMYFUNCTION("""COMPUTED_VALUE"""),"SELESAI")</f>
        <v>SELESAI</v>
      </c>
      <c r="G341" s="17">
        <f>IFERROR(__xludf.DUMMYFUNCTION("""COMPUTED_VALUE"""),45625.45379638889)</f>
        <v>45625.4538</v>
      </c>
      <c r="H341" s="14" t="str">
        <f>IFERROR(__xludf.DUMMYFUNCTION("""COMPUTED_VALUE"""),"Bu Eva (SU)")</f>
        <v>Bu Eva (SU)</v>
      </c>
      <c r="I341" s="13" t="str">
        <f>IFERROR(__xludf.DUMMYFUNCTION("""COMPUTED_VALUE"""),"SELESAI")</f>
        <v>SELESAI</v>
      </c>
      <c r="J341" s="17">
        <f>IFERROR(__xludf.DUMMYFUNCTION("""COMPUTED_VALUE"""),45625.61995438657)</f>
        <v>45625.61995</v>
      </c>
      <c r="K341" s="13" t="str">
        <f>IFERROR(__xludf.DUMMYFUNCTION("""COMPUTED_VALUE"""),"SELESAI")</f>
        <v>SELESAI</v>
      </c>
      <c r="L341" s="17">
        <f>IFERROR(__xludf.DUMMYFUNCTION("""COMPUTED_VALUE"""),45625.61995438657)</f>
        <v>45625.61995</v>
      </c>
      <c r="M341" s="17" t="str">
        <f>IFERROR(__xludf.DUMMYFUNCTION("""COMPUTED_VALUE"""),"")</f>
        <v/>
      </c>
      <c r="N341" s="17">
        <f>IFERROR(__xludf.DUMMYFUNCTION("""COMPUTED_VALUE"""),45625.62034243056)</f>
        <v>45625.62034</v>
      </c>
      <c r="O341" s="13">
        <f t="shared" si="1"/>
        <v>8</v>
      </c>
    </row>
    <row r="342" ht="22.5" customHeight="1">
      <c r="B342" s="13">
        <f>IFERROR(__xludf.DUMMYFUNCTION("""COMPUTED_VALUE"""),337.0)</f>
        <v>337</v>
      </c>
      <c r="C342" s="13" t="str">
        <f>IFERROR(__xludf.DUMMYFUNCTION("""COMPUTED_VALUE"""),"HM 10000")</f>
        <v>HM 10000</v>
      </c>
      <c r="D342" s="13" t="str">
        <f>IFERROR(__xludf.DUMMYFUNCTION("""COMPUTED_VALUE"""),"L/16/251124/1")</f>
        <v>L/16/251124/1</v>
      </c>
      <c r="E342" s="14" t="str">
        <f>IFERROR(__xludf.DUMMYFUNCTION("""COMPUTED_VALUE"""),"Afriza (BT)")</f>
        <v>Afriza (BT)</v>
      </c>
      <c r="F342" s="14" t="str">
        <f>IFERROR(__xludf.DUMMYFUNCTION("""COMPUTED_VALUE"""),"SELESAI")</f>
        <v>SELESAI</v>
      </c>
      <c r="G342" s="17">
        <f>IFERROR(__xludf.DUMMYFUNCTION("""COMPUTED_VALUE"""),45625.67191291667)</f>
        <v>45625.67191</v>
      </c>
      <c r="H342" s="14" t="str">
        <f>IFERROR(__xludf.DUMMYFUNCTION("""COMPUTED_VALUE"""),"Bu Eva (SU)")</f>
        <v>Bu Eva (SU)</v>
      </c>
      <c r="I342" s="13" t="str">
        <f>IFERROR(__xludf.DUMMYFUNCTION("""COMPUTED_VALUE"""),"SELESAI")</f>
        <v>SELESAI</v>
      </c>
      <c r="J342" s="17">
        <f>IFERROR(__xludf.DUMMYFUNCTION("""COMPUTED_VALUE"""),45628.35457458333)</f>
        <v>45628.35457</v>
      </c>
      <c r="K342" s="13" t="str">
        <f>IFERROR(__xludf.DUMMYFUNCTION("""COMPUTED_VALUE"""),"SELESAI")</f>
        <v>SELESAI</v>
      </c>
      <c r="L342" s="17">
        <f>IFERROR(__xludf.DUMMYFUNCTION("""COMPUTED_VALUE"""),45628.35457458333)</f>
        <v>45628.35457</v>
      </c>
      <c r="M342" s="17" t="str">
        <f>IFERROR(__xludf.DUMMYFUNCTION("""COMPUTED_VALUE"""),"")</f>
        <v/>
      </c>
      <c r="N342" s="17">
        <f>IFERROR(__xludf.DUMMYFUNCTION("""COMPUTED_VALUE"""),45628.6936696875)</f>
        <v>45628.69367</v>
      </c>
      <c r="O342" s="13">
        <f t="shared" si="1"/>
        <v>9</v>
      </c>
    </row>
    <row r="343" ht="22.5" customHeight="1">
      <c r="B343" s="13">
        <f>IFERROR(__xludf.DUMMYFUNCTION("""COMPUTED_VALUE"""),338.0)</f>
        <v>338</v>
      </c>
      <c r="C343" s="13" t="str">
        <f>IFERROR(__xludf.DUMMYFUNCTION("""COMPUTED_VALUE"""),"M. 17127/ Sukarame I")</f>
        <v>M. 17127/ Sukarame I</v>
      </c>
      <c r="D343" s="13" t="str">
        <f>IFERROR(__xludf.DUMMYFUNCTION("""COMPUTED_VALUE"""),"K/45/211124/1")</f>
        <v>K/45/211124/1</v>
      </c>
      <c r="E343" s="14" t="str">
        <f>IFERROR(__xludf.DUMMYFUNCTION("""COMPUTED_VALUE"""),"Afriza (BT)")</f>
        <v>Afriza (BT)</v>
      </c>
      <c r="F343" s="14" t="str">
        <f>IFERROR(__xludf.DUMMYFUNCTION("""COMPUTED_VALUE"""),"SELESAI")</f>
        <v>SELESAI</v>
      </c>
      <c r="G343" s="17">
        <f>IFERROR(__xludf.DUMMYFUNCTION("""COMPUTED_VALUE"""),45625.67207326389)</f>
        <v>45625.67207</v>
      </c>
      <c r="H343" s="14" t="str">
        <f>IFERROR(__xludf.DUMMYFUNCTION("""COMPUTED_VALUE"""),"Bu Eva (SU)")</f>
        <v>Bu Eva (SU)</v>
      </c>
      <c r="I343" s="13" t="str">
        <f>IFERROR(__xludf.DUMMYFUNCTION("""COMPUTED_VALUE"""),"SELESAI")</f>
        <v>SELESAI</v>
      </c>
      <c r="J343" s="17">
        <f>IFERROR(__xludf.DUMMYFUNCTION("""COMPUTED_VALUE"""),45628.35457458333)</f>
        <v>45628.35457</v>
      </c>
      <c r="K343" s="13" t="str">
        <f>IFERROR(__xludf.DUMMYFUNCTION("""COMPUTED_VALUE"""),"SELESAI")</f>
        <v>SELESAI</v>
      </c>
      <c r="L343" s="17">
        <f>IFERROR(__xludf.DUMMYFUNCTION("""COMPUTED_VALUE"""),45628.35457458333)</f>
        <v>45628.35457</v>
      </c>
      <c r="M343" s="17" t="str">
        <f>IFERROR(__xludf.DUMMYFUNCTION("""COMPUTED_VALUE"""),"")</f>
        <v/>
      </c>
      <c r="N343" s="17">
        <f>IFERROR(__xludf.DUMMYFUNCTION("""COMPUTED_VALUE"""),45628.6936696875)</f>
        <v>45628.69367</v>
      </c>
      <c r="O343" s="13">
        <f t="shared" si="1"/>
        <v>10</v>
      </c>
    </row>
    <row r="344" ht="22.5" customHeight="1">
      <c r="B344" s="13">
        <f>IFERROR(__xludf.DUMMYFUNCTION("""COMPUTED_VALUE"""),339.0)</f>
        <v>339</v>
      </c>
      <c r="C344" s="13" t="str">
        <f>IFERROR(__xludf.DUMMYFUNCTION("""COMPUTED_VALUE"""),"HM 2474/SUKADANA HAM")</f>
        <v>HM 2474/SUKADANA HAM</v>
      </c>
      <c r="D344" s="13" t="str">
        <f>IFERROR(__xludf.DUMMYFUNCTION("""COMPUTED_VALUE"""),"L/42/211124/1")</f>
        <v>L/42/211124/1</v>
      </c>
      <c r="E344" s="14" t="str">
        <f>IFERROR(__xludf.DUMMYFUNCTION("""COMPUTED_VALUE"""),"Afriza (BT)")</f>
        <v>Afriza (BT)</v>
      </c>
      <c r="F344" s="14" t="str">
        <f>IFERROR(__xludf.DUMMYFUNCTION("""COMPUTED_VALUE"""),"SELESAI")</f>
        <v>SELESAI</v>
      </c>
      <c r="G344" s="17">
        <f>IFERROR(__xludf.DUMMYFUNCTION("""COMPUTED_VALUE"""),45625.672191377314)</f>
        <v>45625.67219</v>
      </c>
      <c r="H344" s="14" t="str">
        <f>IFERROR(__xludf.DUMMYFUNCTION("""COMPUTED_VALUE"""),"Bu Eva (SU)")</f>
        <v>Bu Eva (SU)</v>
      </c>
      <c r="I344" s="13" t="str">
        <f>IFERROR(__xludf.DUMMYFUNCTION("""COMPUTED_VALUE"""),"SELESAI")</f>
        <v>SELESAI</v>
      </c>
      <c r="J344" s="17">
        <f>IFERROR(__xludf.DUMMYFUNCTION("""COMPUTED_VALUE"""),45628.354622326384)</f>
        <v>45628.35462</v>
      </c>
      <c r="K344" s="13" t="str">
        <f>IFERROR(__xludf.DUMMYFUNCTION("""COMPUTED_VALUE"""),"SELESAI")</f>
        <v>SELESAI</v>
      </c>
      <c r="L344" s="17">
        <f>IFERROR(__xludf.DUMMYFUNCTION("""COMPUTED_VALUE"""),45628.354622326384)</f>
        <v>45628.35462</v>
      </c>
      <c r="M344" s="17" t="str">
        <f>IFERROR(__xludf.DUMMYFUNCTION("""COMPUTED_VALUE"""),"")</f>
        <v/>
      </c>
      <c r="N344" s="17">
        <f>IFERROR(__xludf.DUMMYFUNCTION("""COMPUTED_VALUE"""),45628.6936696875)</f>
        <v>45628.69367</v>
      </c>
      <c r="O344" s="13">
        <f t="shared" si="1"/>
        <v>11</v>
      </c>
    </row>
    <row r="345" ht="22.5" customHeight="1">
      <c r="B345" s="13">
        <f>IFERROR(__xludf.DUMMYFUNCTION("""COMPUTED_VALUE"""),340.0)</f>
        <v>340</v>
      </c>
      <c r="C345" s="13" t="str">
        <f>IFERROR(__xludf.DUMMYFUNCTION("""COMPUTED_VALUE"""),"HM 4986/BERINGIN RAYA")</f>
        <v>HM 4986/BERINGIN RAYA</v>
      </c>
      <c r="D345" s="13" t="str">
        <f>IFERROR(__xludf.DUMMYFUNCTION("""COMPUTED_VALUE"""),"L/4/251124/1")</f>
        <v>L/4/251124/1</v>
      </c>
      <c r="E345" s="14" t="str">
        <f>IFERROR(__xludf.DUMMYFUNCTION("""COMPUTED_VALUE"""),"Afriza (BT)")</f>
        <v>Afriza (BT)</v>
      </c>
      <c r="F345" s="14" t="str">
        <f>IFERROR(__xludf.DUMMYFUNCTION("""COMPUTED_VALUE"""),"SELESAI (VIA PERMOHONAN)")</f>
        <v>SELESAI (VIA PERMOHONAN)</v>
      </c>
      <c r="G345" s="17">
        <f>IFERROR(__xludf.DUMMYFUNCTION("""COMPUTED_VALUE"""),45625.67231918982)</f>
        <v>45625.67232</v>
      </c>
      <c r="H345" s="14" t="str">
        <f>IFERROR(__xludf.DUMMYFUNCTION("""COMPUTED_VALUE"""),"Aprill (SU)")</f>
        <v>Aprill (SU)</v>
      </c>
      <c r="I345" s="13" t="str">
        <f>IFERROR(__xludf.DUMMYFUNCTION("""COMPUTED_VALUE"""),"SELESAI (VIA PERMOHONAN)")</f>
        <v>SELESAI (VIA PERMOHONAN)</v>
      </c>
      <c r="J345" s="17">
        <f>IFERROR(__xludf.DUMMYFUNCTION("""COMPUTED_VALUE"""),45628.3547359375)</f>
        <v>45628.35474</v>
      </c>
      <c r="K345" s="13" t="str">
        <f>IFERROR(__xludf.DUMMYFUNCTION("""COMPUTED_VALUE"""),"Selesai")</f>
        <v>Selesai</v>
      </c>
      <c r="L345" s="17">
        <f>IFERROR(__xludf.DUMMYFUNCTION("""COMPUTED_VALUE"""),45628.3547359375)</f>
        <v>45628.35474</v>
      </c>
      <c r="M345" s="17">
        <f>IFERROR(__xludf.DUMMYFUNCTION("""COMPUTED_VALUE"""),45628.590951342594)</f>
        <v>45628.59095</v>
      </c>
      <c r="N345" s="13" t="str">
        <f>IFERROR(__xludf.DUMMYFUNCTION("""COMPUTED_VALUE"""),"")</f>
        <v/>
      </c>
      <c r="O345" s="13" t="str">
        <f t="shared" si="1"/>
        <v/>
      </c>
    </row>
    <row r="346" ht="22.5" customHeight="1">
      <c r="B346" s="13">
        <f>IFERROR(__xludf.DUMMYFUNCTION("""COMPUTED_VALUE"""),341.0)</f>
        <v>341</v>
      </c>
      <c r="C346" s="13" t="str">
        <f>IFERROR(__xludf.DUMMYFUNCTION("""COMPUTED_VALUE"""),"M.150/GEDONG AIR")</f>
        <v>M.150/GEDONG AIR</v>
      </c>
      <c r="D346" s="13" t="str">
        <f>IFERROR(__xludf.DUMMYFUNCTION("""COMPUTED_VALUE"""),"K/29/201124/2")</f>
        <v>K/29/201124/2</v>
      </c>
      <c r="E346" s="14" t="str">
        <f>IFERROR(__xludf.DUMMYFUNCTION("""COMPUTED_VALUE"""),"Nadian (BT)")</f>
        <v>Nadian (BT)</v>
      </c>
      <c r="F346" s="14" t="str">
        <f>IFERROR(__xludf.DUMMYFUNCTION("""COMPUTED_VALUE"""),"SELESAI (VIA PERMOHONAN)")</f>
        <v>SELESAI (VIA PERMOHONAN)</v>
      </c>
      <c r="G346" s="17">
        <f>IFERROR(__xludf.DUMMYFUNCTION("""COMPUTED_VALUE"""),45625.686179965276)</f>
        <v>45625.68618</v>
      </c>
      <c r="H346" s="14" t="str">
        <f>IFERROR(__xludf.DUMMYFUNCTION("""COMPUTED_VALUE"""),"Aprill (SU)")</f>
        <v>Aprill (SU)</v>
      </c>
      <c r="I346" s="13" t="str">
        <f>IFERROR(__xludf.DUMMYFUNCTION("""COMPUTED_VALUE"""),"SELESAI (VIA PERMOHONAN)")</f>
        <v>SELESAI (VIA PERMOHONAN)</v>
      </c>
      <c r="J346" s="17">
        <f>IFERROR(__xludf.DUMMYFUNCTION("""COMPUTED_VALUE"""),45628.3547359375)</f>
        <v>45628.35474</v>
      </c>
      <c r="K346" s="13" t="str">
        <f>IFERROR(__xludf.DUMMYFUNCTION("""COMPUTED_VALUE"""),"Selesai")</f>
        <v>Selesai</v>
      </c>
      <c r="L346" s="17">
        <f>IFERROR(__xludf.DUMMYFUNCTION("""COMPUTED_VALUE"""),45628.3547359375)</f>
        <v>45628.35474</v>
      </c>
      <c r="M346" s="17">
        <f>IFERROR(__xludf.DUMMYFUNCTION("""COMPUTED_VALUE"""),45628.59098961805)</f>
        <v>45628.59099</v>
      </c>
      <c r="N346" s="13" t="str">
        <f>IFERROR(__xludf.DUMMYFUNCTION("""COMPUTED_VALUE"""),"")</f>
        <v/>
      </c>
      <c r="O346" s="13" t="str">
        <f t="shared" si="1"/>
        <v/>
      </c>
    </row>
    <row r="347" ht="22.5" customHeight="1">
      <c r="B347" s="13">
        <f>IFERROR(__xludf.DUMMYFUNCTION("""COMPUTED_VALUE"""),342.0)</f>
        <v>342</v>
      </c>
      <c r="C347" s="13" t="str">
        <f>IFERROR(__xludf.DUMMYFUNCTION("""COMPUTED_VALUE"""),"B. 74/ korpri Jaya")</f>
        <v>B. 74/ korpri Jaya</v>
      </c>
      <c r="D347" s="13" t="str">
        <f>IFERROR(__xludf.DUMMYFUNCTION("""COMPUTED_VALUE"""),"K/25/261124/3")</f>
        <v>K/25/261124/3</v>
      </c>
      <c r="E347" s="14" t="str">
        <f>IFERROR(__xludf.DUMMYFUNCTION("""COMPUTED_VALUE"""),"Nadian (BT)")</f>
        <v>Nadian (BT)</v>
      </c>
      <c r="F347" s="14" t="str">
        <f>IFERROR(__xludf.DUMMYFUNCTION("""COMPUTED_VALUE"""),"SELESAI (VIA PERMOHONAN)")</f>
        <v>SELESAI (VIA PERMOHONAN)</v>
      </c>
      <c r="G347" s="17">
        <f>IFERROR(__xludf.DUMMYFUNCTION("""COMPUTED_VALUE"""),45625.686202916666)</f>
        <v>45625.6862</v>
      </c>
      <c r="H347" s="14" t="str">
        <f>IFERROR(__xludf.DUMMYFUNCTION("""COMPUTED_VALUE"""),"Aprill (SU)")</f>
        <v>Aprill (SU)</v>
      </c>
      <c r="I347" s="13" t="str">
        <f>IFERROR(__xludf.DUMMYFUNCTION("""COMPUTED_VALUE"""),"SELESAI (VIA PERMOHONAN)")</f>
        <v>SELESAI (VIA PERMOHONAN)</v>
      </c>
      <c r="J347" s="17">
        <f>IFERROR(__xludf.DUMMYFUNCTION("""COMPUTED_VALUE"""),45628.354804560186)</f>
        <v>45628.3548</v>
      </c>
      <c r="K347" s="13" t="str">
        <f>IFERROR(__xludf.DUMMYFUNCTION("""COMPUTED_VALUE"""),"Selesai")</f>
        <v>Selesai</v>
      </c>
      <c r="L347" s="17">
        <f>IFERROR(__xludf.DUMMYFUNCTION("""COMPUTED_VALUE"""),45628.354804560186)</f>
        <v>45628.3548</v>
      </c>
      <c r="M347" s="17">
        <f>IFERROR(__xludf.DUMMYFUNCTION("""COMPUTED_VALUE"""),45628.59108032407)</f>
        <v>45628.59108</v>
      </c>
      <c r="N347" s="13" t="str">
        <f>IFERROR(__xludf.DUMMYFUNCTION("""COMPUTED_VALUE"""),"")</f>
        <v/>
      </c>
      <c r="O347" s="13" t="str">
        <f t="shared" si="1"/>
        <v/>
      </c>
    </row>
    <row r="348" ht="22.5" customHeight="1">
      <c r="B348" s="13">
        <f>IFERROR(__xludf.DUMMYFUNCTION("""COMPUTED_VALUE"""),343.0)</f>
        <v>343</v>
      </c>
      <c r="C348" s="13" t="str">
        <f>IFERROR(__xludf.DUMMYFUNCTION("""COMPUTED_VALUE"""),"B.345/KANGKUNG")</f>
        <v>B.345/KANGKUNG</v>
      </c>
      <c r="D348" s="13" t="str">
        <f>IFERROR(__xludf.DUMMYFUNCTION("""COMPUTED_VALUE"""),"K/15/251124/3")</f>
        <v>K/15/251124/3</v>
      </c>
      <c r="E348" s="14" t="str">
        <f>IFERROR(__xludf.DUMMYFUNCTION("""COMPUTED_VALUE"""),"Afriza (BT)")</f>
        <v>Afriza (BT)</v>
      </c>
      <c r="F348" s="14" t="str">
        <f>IFERROR(__xludf.DUMMYFUNCTION("""COMPUTED_VALUE"""),"SELESAI (VIA PERMOHONAN)")</f>
        <v>SELESAI (VIA PERMOHONAN)</v>
      </c>
      <c r="G348" s="17">
        <f>IFERROR(__xludf.DUMMYFUNCTION("""COMPUTED_VALUE"""),45628.48000028935)</f>
        <v>45628.48</v>
      </c>
      <c r="H348" s="14" t="str">
        <f>IFERROR(__xludf.DUMMYFUNCTION("""COMPUTED_VALUE"""),"Aprill (SU)")</f>
        <v>Aprill (SU)</v>
      </c>
      <c r="I348" s="13" t="str">
        <f>IFERROR(__xludf.DUMMYFUNCTION("""COMPUTED_VALUE"""),"SELESAI (VIA PERMOHONAN)")</f>
        <v>SELESAI (VIA PERMOHONAN)</v>
      </c>
      <c r="J348" s="17">
        <f>IFERROR(__xludf.DUMMYFUNCTION("""COMPUTED_VALUE"""),45628.693669699074)</f>
        <v>45628.69367</v>
      </c>
      <c r="K348" s="13" t="str">
        <f>IFERROR(__xludf.DUMMYFUNCTION("""COMPUTED_VALUE"""),"Selesai")</f>
        <v>Selesai</v>
      </c>
      <c r="L348" s="17">
        <f>IFERROR(__xludf.DUMMYFUNCTION("""COMPUTED_VALUE"""),45628.693669699074)</f>
        <v>45628.69367</v>
      </c>
      <c r="M348" s="17">
        <f>IFERROR(__xludf.DUMMYFUNCTION("""COMPUTED_VALUE"""),45628.693669699074)</f>
        <v>45628.69367</v>
      </c>
      <c r="N348" s="13" t="str">
        <f>IFERROR(__xludf.DUMMYFUNCTION("""COMPUTED_VALUE"""),"")</f>
        <v/>
      </c>
      <c r="O348" s="13" t="str">
        <f t="shared" si="1"/>
        <v/>
      </c>
    </row>
    <row r="349" ht="22.5" customHeight="1">
      <c r="B349" s="13">
        <f>IFERROR(__xludf.DUMMYFUNCTION("""COMPUTED_VALUE"""),344.0)</f>
        <v>344</v>
      </c>
      <c r="C349" s="13" t="str">
        <f>IFERROR(__xludf.DUMMYFUNCTION("""COMPUTED_VALUE"""),"HM 758/KEPILING PERMAI")</f>
        <v>HM 758/KEPILING PERMAI</v>
      </c>
      <c r="D349" s="13" t="str">
        <f>IFERROR(__xludf.DUMMYFUNCTION("""COMPUTED_VALUE"""),"L/44/281124/1")</f>
        <v>L/44/281124/1</v>
      </c>
      <c r="E349" s="14" t="str">
        <f>IFERROR(__xludf.DUMMYFUNCTION("""COMPUTED_VALUE"""),"Afriza (BT)")</f>
        <v>Afriza (BT)</v>
      </c>
      <c r="F349" s="14" t="str">
        <f>IFERROR(__xludf.DUMMYFUNCTION("""COMPUTED_VALUE"""),"SELESAI")</f>
        <v>SELESAI</v>
      </c>
      <c r="G349" s="17">
        <f>IFERROR(__xludf.DUMMYFUNCTION("""COMPUTED_VALUE"""),45628.575239108795)</f>
        <v>45628.57524</v>
      </c>
      <c r="H349" s="14" t="str">
        <f>IFERROR(__xludf.DUMMYFUNCTION("""COMPUTED_VALUE"""),"Bu Eva (SU)")</f>
        <v>Bu Eva (SU)</v>
      </c>
      <c r="I349" s="13" t="str">
        <f>IFERROR(__xludf.DUMMYFUNCTION("""COMPUTED_VALUE"""),"SELESAI")</f>
        <v>SELESAI</v>
      </c>
      <c r="J349" s="17">
        <f>IFERROR(__xludf.DUMMYFUNCTION("""COMPUTED_VALUE"""),45628.693669699074)</f>
        <v>45628.69367</v>
      </c>
      <c r="K349" s="13" t="str">
        <f>IFERROR(__xludf.DUMMYFUNCTION("""COMPUTED_VALUE"""),"SELESAI")</f>
        <v>SELESAI</v>
      </c>
      <c r="L349" s="17">
        <f>IFERROR(__xludf.DUMMYFUNCTION("""COMPUTED_VALUE"""),45628.693669699074)</f>
        <v>45628.69367</v>
      </c>
      <c r="M349" s="17" t="str">
        <f>IFERROR(__xludf.DUMMYFUNCTION("""COMPUTED_VALUE"""),"")</f>
        <v/>
      </c>
      <c r="N349" s="17">
        <f>IFERROR(__xludf.DUMMYFUNCTION("""COMPUTED_VALUE"""),45628.693669699074)</f>
        <v>45628.69367</v>
      </c>
      <c r="O349" s="13">
        <f t="shared" si="1"/>
        <v>1</v>
      </c>
    </row>
    <row r="350" ht="22.5" customHeight="1">
      <c r="B350" s="13">
        <f>IFERROR(__xludf.DUMMYFUNCTION("""COMPUTED_VALUE"""),345.0)</f>
        <v>345</v>
      </c>
      <c r="C350" s="13" t="str">
        <f>IFERROR(__xludf.DUMMYFUNCTION("""COMPUTED_VALUE"""),"M. 1182/ Sukajawa")</f>
        <v>M. 1182/ Sukajawa</v>
      </c>
      <c r="D350" s="13" t="str">
        <f>IFERROR(__xludf.DUMMYFUNCTION("""COMPUTED_VALUE"""),"K/7/281124/1")</f>
        <v>K/7/281124/1</v>
      </c>
      <c r="E350" s="14" t="str">
        <f>IFERROR(__xludf.DUMMYFUNCTION("""COMPUTED_VALUE"""),"Afriza (BT)")</f>
        <v>Afriza (BT)</v>
      </c>
      <c r="F350" s="14" t="str">
        <f>IFERROR(__xludf.DUMMYFUNCTION("""COMPUTED_VALUE"""),"SELESAI")</f>
        <v>SELESAI</v>
      </c>
      <c r="G350" s="17">
        <f>IFERROR(__xludf.DUMMYFUNCTION("""COMPUTED_VALUE"""),45628.57531523149)</f>
        <v>45628.57532</v>
      </c>
      <c r="H350" s="14" t="str">
        <f>IFERROR(__xludf.DUMMYFUNCTION("""COMPUTED_VALUE"""),"Bu Eva (SU)")</f>
        <v>Bu Eva (SU)</v>
      </c>
      <c r="I350" s="13" t="str">
        <f>IFERROR(__xludf.DUMMYFUNCTION("""COMPUTED_VALUE"""),"SELESAI")</f>
        <v>SELESAI</v>
      </c>
      <c r="J350" s="17">
        <f>IFERROR(__xludf.DUMMYFUNCTION("""COMPUTED_VALUE"""),45628.693669699074)</f>
        <v>45628.69367</v>
      </c>
      <c r="K350" s="13" t="str">
        <f>IFERROR(__xludf.DUMMYFUNCTION("""COMPUTED_VALUE"""),"SELESAI")</f>
        <v>SELESAI</v>
      </c>
      <c r="L350" s="17">
        <f>IFERROR(__xludf.DUMMYFUNCTION("""COMPUTED_VALUE"""),45628.693669699074)</f>
        <v>45628.69367</v>
      </c>
      <c r="M350" s="17" t="str">
        <f>IFERROR(__xludf.DUMMYFUNCTION("""COMPUTED_VALUE"""),"")</f>
        <v/>
      </c>
      <c r="N350" s="17">
        <f>IFERROR(__xludf.DUMMYFUNCTION("""COMPUTED_VALUE"""),45628.693669699074)</f>
        <v>45628.69367</v>
      </c>
      <c r="O350" s="13">
        <f t="shared" si="1"/>
        <v>2</v>
      </c>
    </row>
    <row r="351" ht="22.5" customHeight="1">
      <c r="B351" s="13">
        <f>IFERROR(__xludf.DUMMYFUNCTION("""COMPUTED_VALUE"""),346.0)</f>
        <v>346</v>
      </c>
      <c r="C351" s="13" t="str">
        <f>IFERROR(__xludf.DUMMYFUNCTION("""COMPUTED_VALUE"""),"M. 10209/ Jagabaya II")</f>
        <v>M. 10209/ Jagabaya II</v>
      </c>
      <c r="D351" s="13" t="str">
        <f>IFERROR(__xludf.DUMMYFUNCTION("""COMPUTED_VALUE"""),"K/15/281124/1")</f>
        <v>K/15/281124/1</v>
      </c>
      <c r="E351" s="14" t="str">
        <f>IFERROR(__xludf.DUMMYFUNCTION("""COMPUTED_VALUE"""),"Afriza (BT)")</f>
        <v>Afriza (BT)</v>
      </c>
      <c r="F351" s="14" t="str">
        <f>IFERROR(__xludf.DUMMYFUNCTION("""COMPUTED_VALUE"""),"SELESAI")</f>
        <v>SELESAI</v>
      </c>
      <c r="G351" s="17">
        <f>IFERROR(__xludf.DUMMYFUNCTION("""COMPUTED_VALUE"""),45628.57562820602)</f>
        <v>45628.57563</v>
      </c>
      <c r="H351" s="14" t="str">
        <f>IFERROR(__xludf.DUMMYFUNCTION("""COMPUTED_VALUE"""),"Bu Eva (SU)")</f>
        <v>Bu Eva (SU)</v>
      </c>
      <c r="I351" s="13" t="str">
        <f>IFERROR(__xludf.DUMMYFUNCTION("""COMPUTED_VALUE"""),"SELESAI")</f>
        <v>SELESAI</v>
      </c>
      <c r="J351" s="17">
        <f>IFERROR(__xludf.DUMMYFUNCTION("""COMPUTED_VALUE"""),45628.693669699074)</f>
        <v>45628.69367</v>
      </c>
      <c r="K351" s="13" t="str">
        <f>IFERROR(__xludf.DUMMYFUNCTION("""COMPUTED_VALUE"""),"SELESAI")</f>
        <v>SELESAI</v>
      </c>
      <c r="L351" s="17">
        <f>IFERROR(__xludf.DUMMYFUNCTION("""COMPUTED_VALUE"""),45628.693669699074)</f>
        <v>45628.69367</v>
      </c>
      <c r="M351" s="17" t="str">
        <f>IFERROR(__xludf.DUMMYFUNCTION("""COMPUTED_VALUE"""),"")</f>
        <v/>
      </c>
      <c r="N351" s="17">
        <f>IFERROR(__xludf.DUMMYFUNCTION("""COMPUTED_VALUE"""),45628.693669699074)</f>
        <v>45628.69367</v>
      </c>
      <c r="O351" s="13">
        <f t="shared" si="1"/>
        <v>3</v>
      </c>
    </row>
    <row r="352" ht="22.5" customHeight="1">
      <c r="B352" s="13">
        <f>IFERROR(__xludf.DUMMYFUNCTION("""COMPUTED_VALUE"""),347.0)</f>
        <v>347</v>
      </c>
      <c r="C352" s="13" t="str">
        <f>IFERROR(__xludf.DUMMYFUNCTION("""COMPUTED_VALUE"""),"M. 10188/ Jagabaya II")</f>
        <v>M. 10188/ Jagabaya II</v>
      </c>
      <c r="D352" s="13" t="str">
        <f>IFERROR(__xludf.DUMMYFUNCTION("""COMPUTED_VALUE"""),"K/16/281124/2")</f>
        <v>K/16/281124/2</v>
      </c>
      <c r="E352" s="14" t="str">
        <f>IFERROR(__xludf.DUMMYFUNCTION("""COMPUTED_VALUE"""),"Afriza (BT)")</f>
        <v>Afriza (BT)</v>
      </c>
      <c r="F352" s="14" t="str">
        <f>IFERROR(__xludf.DUMMYFUNCTION("""COMPUTED_VALUE"""),"SELESAI")</f>
        <v>SELESAI</v>
      </c>
      <c r="G352" s="17">
        <f>IFERROR(__xludf.DUMMYFUNCTION("""COMPUTED_VALUE"""),45628.57572784722)</f>
        <v>45628.57573</v>
      </c>
      <c r="H352" s="14" t="str">
        <f>IFERROR(__xludf.DUMMYFUNCTION("""COMPUTED_VALUE"""),"Bu Eva (SU)")</f>
        <v>Bu Eva (SU)</v>
      </c>
      <c r="I352" s="13" t="str">
        <f>IFERROR(__xludf.DUMMYFUNCTION("""COMPUTED_VALUE"""),"SELESAI")</f>
        <v>SELESAI</v>
      </c>
      <c r="J352" s="17">
        <f>IFERROR(__xludf.DUMMYFUNCTION("""COMPUTED_VALUE"""),45628.693669699074)</f>
        <v>45628.69367</v>
      </c>
      <c r="K352" s="13" t="str">
        <f>IFERROR(__xludf.DUMMYFUNCTION("""COMPUTED_VALUE"""),"SELESAI")</f>
        <v>SELESAI</v>
      </c>
      <c r="L352" s="17">
        <f>IFERROR(__xludf.DUMMYFUNCTION("""COMPUTED_VALUE"""),45628.693669699074)</f>
        <v>45628.69367</v>
      </c>
      <c r="M352" s="17" t="str">
        <f>IFERROR(__xludf.DUMMYFUNCTION("""COMPUTED_VALUE"""),"")</f>
        <v/>
      </c>
      <c r="N352" s="17">
        <f>IFERROR(__xludf.DUMMYFUNCTION("""COMPUTED_VALUE"""),45628.693669699074)</f>
        <v>45628.69367</v>
      </c>
      <c r="O352" s="13">
        <f t="shared" si="1"/>
        <v>4</v>
      </c>
    </row>
    <row r="353" ht="22.5" customHeight="1">
      <c r="B353" s="13">
        <f>IFERROR(__xludf.DUMMYFUNCTION("""COMPUTED_VALUE"""),348.0)</f>
        <v>348</v>
      </c>
      <c r="C353" s="13" t="str">
        <f>IFERROR(__xludf.DUMMYFUNCTION("""COMPUTED_VALUE"""),"B. 66/ Korpri Jaya")</f>
        <v>B. 66/ Korpri Jaya</v>
      </c>
      <c r="D353" s="13" t="str">
        <f>IFERROR(__xludf.DUMMYFUNCTION("""COMPUTED_VALUE"""),"K/17/281124/1")</f>
        <v>K/17/281124/1</v>
      </c>
      <c r="E353" s="14" t="str">
        <f>IFERROR(__xludf.DUMMYFUNCTION("""COMPUTED_VALUE"""),"Afriza (BT)")</f>
        <v>Afriza (BT)</v>
      </c>
      <c r="F353" s="14" t="str">
        <f>IFERROR(__xludf.DUMMYFUNCTION("""COMPUTED_VALUE"""),"SELESAI")</f>
        <v>SELESAI</v>
      </c>
      <c r="G353" s="17">
        <f>IFERROR(__xludf.DUMMYFUNCTION("""COMPUTED_VALUE"""),45628.575823506944)</f>
        <v>45628.57582</v>
      </c>
      <c r="H353" s="14" t="str">
        <f>IFERROR(__xludf.DUMMYFUNCTION("""COMPUTED_VALUE"""),"Bu Eva (SU)")</f>
        <v>Bu Eva (SU)</v>
      </c>
      <c r="I353" s="13" t="str">
        <f>IFERROR(__xludf.DUMMYFUNCTION("""COMPUTED_VALUE"""),"SELESAI")</f>
        <v>SELESAI</v>
      </c>
      <c r="J353" s="17">
        <f>IFERROR(__xludf.DUMMYFUNCTION("""COMPUTED_VALUE"""),45628.693669699074)</f>
        <v>45628.69367</v>
      </c>
      <c r="K353" s="13" t="str">
        <f>IFERROR(__xludf.DUMMYFUNCTION("""COMPUTED_VALUE"""),"SELESAI")</f>
        <v>SELESAI</v>
      </c>
      <c r="L353" s="17">
        <f>IFERROR(__xludf.DUMMYFUNCTION("""COMPUTED_VALUE"""),45628.693669699074)</f>
        <v>45628.69367</v>
      </c>
      <c r="M353" s="17" t="str">
        <f>IFERROR(__xludf.DUMMYFUNCTION("""COMPUTED_VALUE"""),"")</f>
        <v/>
      </c>
      <c r="N353" s="17">
        <f>IFERROR(__xludf.DUMMYFUNCTION("""COMPUTED_VALUE"""),45628.693669699074)</f>
        <v>45628.69367</v>
      </c>
      <c r="O353" s="13">
        <f t="shared" si="1"/>
        <v>5</v>
      </c>
    </row>
    <row r="354" ht="22.5" customHeight="1">
      <c r="B354" s="13">
        <f>IFERROR(__xludf.DUMMYFUNCTION("""COMPUTED_VALUE"""),349.0)</f>
        <v>349</v>
      </c>
      <c r="C354" s="13" t="str">
        <f>IFERROR(__xludf.DUMMYFUNCTION("""COMPUTED_VALUE"""),"M. 909/ Korpri Jaya")</f>
        <v>M. 909/ Korpri Jaya</v>
      </c>
      <c r="D354" s="13" t="str">
        <f>IFERROR(__xludf.DUMMYFUNCTION("""COMPUTED_VALUE"""),"K/19/281124/3")</f>
        <v>K/19/281124/3</v>
      </c>
      <c r="E354" s="14" t="str">
        <f>IFERROR(__xludf.DUMMYFUNCTION("""COMPUTED_VALUE"""),"Afriza (BT)")</f>
        <v>Afriza (BT)</v>
      </c>
      <c r="F354" s="14" t="str">
        <f>IFERROR(__xludf.DUMMYFUNCTION("""COMPUTED_VALUE"""),"SELESAI")</f>
        <v>SELESAI</v>
      </c>
      <c r="G354" s="17">
        <f>IFERROR(__xludf.DUMMYFUNCTION("""COMPUTED_VALUE"""),45628.57613108796)</f>
        <v>45628.57613</v>
      </c>
      <c r="H354" s="14" t="str">
        <f>IFERROR(__xludf.DUMMYFUNCTION("""COMPUTED_VALUE"""),"Bu Eva (SU)")</f>
        <v>Bu Eva (SU)</v>
      </c>
      <c r="I354" s="13" t="str">
        <f>IFERROR(__xludf.DUMMYFUNCTION("""COMPUTED_VALUE"""),"SELESAI")</f>
        <v>SELESAI</v>
      </c>
      <c r="J354" s="17">
        <f>IFERROR(__xludf.DUMMYFUNCTION("""COMPUTED_VALUE"""),45628.69366971064)</f>
        <v>45628.69367</v>
      </c>
      <c r="K354" s="13" t="str">
        <f>IFERROR(__xludf.DUMMYFUNCTION("""COMPUTED_VALUE"""),"SELESAI")</f>
        <v>SELESAI</v>
      </c>
      <c r="L354" s="17">
        <f>IFERROR(__xludf.DUMMYFUNCTION("""COMPUTED_VALUE"""),45628.69366971064)</f>
        <v>45628.69367</v>
      </c>
      <c r="M354" s="17" t="str">
        <f>IFERROR(__xludf.DUMMYFUNCTION("""COMPUTED_VALUE"""),"")</f>
        <v/>
      </c>
      <c r="N354" s="17">
        <f>IFERROR(__xludf.DUMMYFUNCTION("""COMPUTED_VALUE"""),45628.69366971064)</f>
        <v>45628.69367</v>
      </c>
      <c r="O354" s="13">
        <f t="shared" si="1"/>
        <v>6</v>
      </c>
    </row>
    <row r="355" ht="22.5" customHeight="1">
      <c r="B355" s="13">
        <f>IFERROR(__xludf.DUMMYFUNCTION("""COMPUTED_VALUE"""),350.0)</f>
        <v>350</v>
      </c>
      <c r="C355" s="13" t="str">
        <f>IFERROR(__xludf.DUMMYFUNCTION("""COMPUTED_VALUE"""),"M. 2250/ Sukarame Baru")</f>
        <v>M. 2250/ Sukarame Baru</v>
      </c>
      <c r="D355" s="13" t="str">
        <f>IFERROR(__xludf.DUMMYFUNCTION("""COMPUTED_VALUE"""),"K/26/281124/1")</f>
        <v>K/26/281124/1</v>
      </c>
      <c r="E355" s="14" t="str">
        <f>IFERROR(__xludf.DUMMYFUNCTION("""COMPUTED_VALUE"""),"Afriza (BT)")</f>
        <v>Afriza (BT)</v>
      </c>
      <c r="F355" s="14" t="str">
        <f>IFERROR(__xludf.DUMMYFUNCTION("""COMPUTED_VALUE"""),"SELESAI")</f>
        <v>SELESAI</v>
      </c>
      <c r="G355" s="17">
        <f>IFERROR(__xludf.DUMMYFUNCTION("""COMPUTED_VALUE"""),45628.5762099537)</f>
        <v>45628.57621</v>
      </c>
      <c r="H355" s="14" t="str">
        <f>IFERROR(__xludf.DUMMYFUNCTION("""COMPUTED_VALUE"""),"Bu Eva (SU)")</f>
        <v>Bu Eva (SU)</v>
      </c>
      <c r="I355" s="13" t="str">
        <f>IFERROR(__xludf.DUMMYFUNCTION("""COMPUTED_VALUE"""),"SELESAI")</f>
        <v>SELESAI</v>
      </c>
      <c r="J355" s="17">
        <f>IFERROR(__xludf.DUMMYFUNCTION("""COMPUTED_VALUE"""),45628.69366971064)</f>
        <v>45628.69367</v>
      </c>
      <c r="K355" s="13" t="str">
        <f>IFERROR(__xludf.DUMMYFUNCTION("""COMPUTED_VALUE"""),"SELESAI")</f>
        <v>SELESAI</v>
      </c>
      <c r="L355" s="17">
        <f>IFERROR(__xludf.DUMMYFUNCTION("""COMPUTED_VALUE"""),45628.69366971064)</f>
        <v>45628.69367</v>
      </c>
      <c r="M355" s="17" t="str">
        <f>IFERROR(__xludf.DUMMYFUNCTION("""COMPUTED_VALUE"""),"")</f>
        <v/>
      </c>
      <c r="N355" s="17">
        <f>IFERROR(__xludf.DUMMYFUNCTION("""COMPUTED_VALUE"""),45628.69366971064)</f>
        <v>45628.69367</v>
      </c>
      <c r="O355" s="13">
        <f t="shared" si="1"/>
        <v>7</v>
      </c>
    </row>
    <row r="356" ht="22.5" customHeight="1">
      <c r="B356" s="13">
        <f>IFERROR(__xludf.DUMMYFUNCTION("""COMPUTED_VALUE"""),351.0)</f>
        <v>351</v>
      </c>
      <c r="C356" s="13" t="str">
        <f>IFERROR(__xludf.DUMMYFUNCTION("""COMPUTED_VALUE"""),"M.562/GUNUNG TERANG")</f>
        <v>M.562/GUNUNG TERANG</v>
      </c>
      <c r="D356" s="13" t="str">
        <f>IFERROR(__xludf.DUMMYFUNCTION("""COMPUTED_VALUE"""),"K/34/281124/2")</f>
        <v>K/34/281124/2</v>
      </c>
      <c r="E356" s="14" t="str">
        <f>IFERROR(__xludf.DUMMYFUNCTION("""COMPUTED_VALUE"""),"Afriza (BT)")</f>
        <v>Afriza (BT)</v>
      </c>
      <c r="F356" s="14" t="str">
        <f>IFERROR(__xludf.DUMMYFUNCTION("""COMPUTED_VALUE"""),"SELESAI")</f>
        <v>SELESAI</v>
      </c>
      <c r="G356" s="17">
        <f>IFERROR(__xludf.DUMMYFUNCTION("""COMPUTED_VALUE"""),45628.57640023148)</f>
        <v>45628.5764</v>
      </c>
      <c r="H356" s="14" t="str">
        <f>IFERROR(__xludf.DUMMYFUNCTION("""COMPUTED_VALUE"""),"Bu Eva (SU)")</f>
        <v>Bu Eva (SU)</v>
      </c>
      <c r="I356" s="13" t="str">
        <f>IFERROR(__xludf.DUMMYFUNCTION("""COMPUTED_VALUE"""),"SELESAI")</f>
        <v>SELESAI</v>
      </c>
      <c r="J356" s="17">
        <f>IFERROR(__xludf.DUMMYFUNCTION("""COMPUTED_VALUE"""),45628.69366971064)</f>
        <v>45628.69367</v>
      </c>
      <c r="K356" s="13" t="str">
        <f>IFERROR(__xludf.DUMMYFUNCTION("""COMPUTED_VALUE"""),"SELESAI")</f>
        <v>SELESAI</v>
      </c>
      <c r="L356" s="17">
        <f>IFERROR(__xludf.DUMMYFUNCTION("""COMPUTED_VALUE"""),45628.69366971064)</f>
        <v>45628.69367</v>
      </c>
      <c r="M356" s="17" t="str">
        <f>IFERROR(__xludf.DUMMYFUNCTION("""COMPUTED_VALUE"""),"")</f>
        <v/>
      </c>
      <c r="N356" s="17">
        <f>IFERROR(__xludf.DUMMYFUNCTION("""COMPUTED_VALUE"""),45628.69366971064)</f>
        <v>45628.69367</v>
      </c>
      <c r="O356" s="13">
        <f t="shared" si="1"/>
        <v>8</v>
      </c>
    </row>
    <row r="357" ht="22.5" customHeight="1">
      <c r="B357" s="13">
        <f>IFERROR(__xludf.DUMMYFUNCTION("""COMPUTED_VALUE"""),352.0)</f>
        <v>352</v>
      </c>
      <c r="C357" s="13" t="str">
        <f>IFERROR(__xludf.DUMMYFUNCTION("""COMPUTED_VALUE"""),"HM 1594/LANGKAPURA")</f>
        <v>HM 1594/LANGKAPURA</v>
      </c>
      <c r="D357" s="13" t="str">
        <f>IFERROR(__xludf.DUMMYFUNCTION("""COMPUTED_VALUE"""),"L/36/261124/1")</f>
        <v>L/36/261124/1</v>
      </c>
      <c r="E357" s="14" t="str">
        <f>IFERROR(__xludf.DUMMYFUNCTION("""COMPUTED_VALUE"""),"Nadian (BT)")</f>
        <v>Nadian (BT)</v>
      </c>
      <c r="F357" s="14" t="str">
        <f>IFERROR(__xludf.DUMMYFUNCTION("""COMPUTED_VALUE"""),"SELESAI")</f>
        <v>SELESAI</v>
      </c>
      <c r="G357" s="17">
        <f>IFERROR(__xludf.DUMMYFUNCTION("""COMPUTED_VALUE"""),45628.74287053241)</f>
        <v>45628.74287</v>
      </c>
      <c r="H357" s="14" t="str">
        <f>IFERROR(__xludf.DUMMYFUNCTION("""COMPUTED_VALUE"""),"Bu Eva (SU)")</f>
        <v>Bu Eva (SU)</v>
      </c>
      <c r="I357" s="13" t="str">
        <f>IFERROR(__xludf.DUMMYFUNCTION("""COMPUTED_VALUE"""),"SELESAI")</f>
        <v>SELESAI</v>
      </c>
      <c r="J357" s="17">
        <f>IFERROR(__xludf.DUMMYFUNCTION("""COMPUTED_VALUE"""),45630.632599097225)</f>
        <v>45630.6326</v>
      </c>
      <c r="K357" s="13" t="str">
        <f>IFERROR(__xludf.DUMMYFUNCTION("""COMPUTED_VALUE"""),"SELESAI")</f>
        <v>SELESAI</v>
      </c>
      <c r="L357" s="17">
        <f>IFERROR(__xludf.DUMMYFUNCTION("""COMPUTED_VALUE"""),45630.632599097225)</f>
        <v>45630.6326</v>
      </c>
      <c r="M357" s="17" t="str">
        <f>IFERROR(__xludf.DUMMYFUNCTION("""COMPUTED_VALUE"""),"")</f>
        <v/>
      </c>
      <c r="N357" s="17">
        <f>IFERROR(__xludf.DUMMYFUNCTION("""COMPUTED_VALUE"""),45630.63345306713)</f>
        <v>45630.63345</v>
      </c>
      <c r="O357" s="13">
        <f t="shared" si="1"/>
        <v>9</v>
      </c>
    </row>
    <row r="358" ht="22.5" customHeight="1">
      <c r="B358" s="13">
        <f>IFERROR(__xludf.DUMMYFUNCTION("""COMPUTED_VALUE"""),353.0)</f>
        <v>353</v>
      </c>
      <c r="C358" s="13" t="str">
        <f>IFERROR(__xludf.DUMMYFUNCTION("""COMPUTED_VALUE"""),"HM 11065/LABUHAN RATU")</f>
        <v>HM 11065/LABUHAN RATU</v>
      </c>
      <c r="D358" s="13" t="str">
        <f>IFERROR(__xludf.DUMMYFUNCTION("""COMPUTED_VALUE"""),"L/32/261124/1")</f>
        <v>L/32/261124/1</v>
      </c>
      <c r="E358" s="14" t="str">
        <f>IFERROR(__xludf.DUMMYFUNCTION("""COMPUTED_VALUE"""),"Nadian (BT)")</f>
        <v>Nadian (BT)</v>
      </c>
      <c r="F358" s="14" t="str">
        <f>IFERROR(__xludf.DUMMYFUNCTION("""COMPUTED_VALUE"""),"SELESAI")</f>
        <v>SELESAI</v>
      </c>
      <c r="G358" s="17">
        <f>IFERROR(__xludf.DUMMYFUNCTION("""COMPUTED_VALUE"""),45628.74290415509)</f>
        <v>45628.7429</v>
      </c>
      <c r="H358" s="14" t="str">
        <f>IFERROR(__xludf.DUMMYFUNCTION("""COMPUTED_VALUE"""),"Bu Eva (SU)")</f>
        <v>Bu Eva (SU)</v>
      </c>
      <c r="I358" s="13" t="str">
        <f>IFERROR(__xludf.DUMMYFUNCTION("""COMPUTED_VALUE"""),"SELESAI")</f>
        <v>SELESAI</v>
      </c>
      <c r="J358" s="17">
        <f>IFERROR(__xludf.DUMMYFUNCTION("""COMPUTED_VALUE"""),45630.632599097225)</f>
        <v>45630.6326</v>
      </c>
      <c r="K358" s="13" t="str">
        <f>IFERROR(__xludf.DUMMYFUNCTION("""COMPUTED_VALUE"""),"SELESAI")</f>
        <v>SELESAI</v>
      </c>
      <c r="L358" s="17">
        <f>IFERROR(__xludf.DUMMYFUNCTION("""COMPUTED_VALUE"""),45630.632599097225)</f>
        <v>45630.6326</v>
      </c>
      <c r="M358" s="17" t="str">
        <f>IFERROR(__xludf.DUMMYFUNCTION("""COMPUTED_VALUE"""),"")</f>
        <v/>
      </c>
      <c r="N358" s="17">
        <f>IFERROR(__xludf.DUMMYFUNCTION("""COMPUTED_VALUE"""),45630.633460474535)</f>
        <v>45630.63346</v>
      </c>
      <c r="O358" s="13">
        <f t="shared" si="1"/>
        <v>10</v>
      </c>
    </row>
    <row r="359" ht="22.5" customHeight="1">
      <c r="B359" s="13">
        <f>IFERROR(__xludf.DUMMYFUNCTION("""COMPUTED_VALUE"""),354.0)</f>
        <v>354</v>
      </c>
      <c r="C359" s="13" t="str">
        <f>IFERROR(__xludf.DUMMYFUNCTION("""COMPUTED_VALUE"""),"M.11397/SEGALA MIDER")</f>
        <v>M.11397/SEGALA MIDER</v>
      </c>
      <c r="D359" s="13" t="str">
        <f>IFERROR(__xludf.DUMMYFUNCTION("""COMPUTED_VALUE"""),"K/25/281124/1")</f>
        <v>K/25/281124/1</v>
      </c>
      <c r="E359" s="14" t="str">
        <f>IFERROR(__xludf.DUMMYFUNCTION("""COMPUTED_VALUE"""),"Nadian (BT)")</f>
        <v>Nadian (BT)</v>
      </c>
      <c r="F359" s="14" t="str">
        <f>IFERROR(__xludf.DUMMYFUNCTION("""COMPUTED_VALUE"""),"SELESAI")</f>
        <v>SELESAI</v>
      </c>
      <c r="G359" s="17">
        <f>IFERROR(__xludf.DUMMYFUNCTION("""COMPUTED_VALUE"""),45628.74290415509)</f>
        <v>45628.7429</v>
      </c>
      <c r="H359" s="14" t="str">
        <f>IFERROR(__xludf.DUMMYFUNCTION("""COMPUTED_VALUE"""),"Bu Eva (SU)")</f>
        <v>Bu Eva (SU)</v>
      </c>
      <c r="I359" s="13" t="str">
        <f>IFERROR(__xludf.DUMMYFUNCTION("""COMPUTED_VALUE"""),"SELESAI")</f>
        <v>SELESAI</v>
      </c>
      <c r="J359" s="17">
        <f>IFERROR(__xludf.DUMMYFUNCTION("""COMPUTED_VALUE"""),45630.632599108794)</f>
        <v>45630.6326</v>
      </c>
      <c r="K359" s="13" t="str">
        <f>IFERROR(__xludf.DUMMYFUNCTION("""COMPUTED_VALUE"""),"SELESAI")</f>
        <v>SELESAI</v>
      </c>
      <c r="L359" s="17">
        <f>IFERROR(__xludf.DUMMYFUNCTION("""COMPUTED_VALUE"""),45630.632599108794)</f>
        <v>45630.6326</v>
      </c>
      <c r="M359" s="17" t="str">
        <f>IFERROR(__xludf.DUMMYFUNCTION("""COMPUTED_VALUE"""),"")</f>
        <v/>
      </c>
      <c r="N359" s="17">
        <f>IFERROR(__xludf.DUMMYFUNCTION("""COMPUTED_VALUE"""),45630.63347170139)</f>
        <v>45630.63347</v>
      </c>
      <c r="O359" s="13">
        <f t="shared" si="1"/>
        <v>11</v>
      </c>
    </row>
    <row r="360" ht="22.5" customHeight="1">
      <c r="B360" s="13">
        <f>IFERROR(__xludf.DUMMYFUNCTION("""COMPUTED_VALUE"""),355.0)</f>
        <v>355</v>
      </c>
      <c r="C360" s="13" t="str">
        <f>IFERROR(__xludf.DUMMYFUNCTION("""COMPUTED_VALUE"""),"HGB 60/BUMI KEDAMAIAN")</f>
        <v>HGB 60/BUMI KEDAMAIAN</v>
      </c>
      <c r="D360" s="13" t="str">
        <f>IFERROR(__xludf.DUMMYFUNCTION("""COMPUTED_VALUE"""),"L/5/281124/1")</f>
        <v>L/5/281124/1</v>
      </c>
      <c r="E360" s="14" t="str">
        <f>IFERROR(__xludf.DUMMYFUNCTION("""COMPUTED_VALUE"""),"Nadian (BT)")</f>
        <v>Nadian (BT)</v>
      </c>
      <c r="F360" s="14" t="str">
        <f>IFERROR(__xludf.DUMMYFUNCTION("""COMPUTED_VALUE"""),"SELESAI")</f>
        <v>SELESAI</v>
      </c>
      <c r="G360" s="17">
        <f>IFERROR(__xludf.DUMMYFUNCTION("""COMPUTED_VALUE"""),45628.74290415509)</f>
        <v>45628.7429</v>
      </c>
      <c r="H360" s="14" t="str">
        <f>IFERROR(__xludf.DUMMYFUNCTION("""COMPUTED_VALUE"""),"Bu Eva (SU)")</f>
        <v>Bu Eva (SU)</v>
      </c>
      <c r="I360" s="13" t="str">
        <f>IFERROR(__xludf.DUMMYFUNCTION("""COMPUTED_VALUE"""),"SELESAI")</f>
        <v>SELESAI</v>
      </c>
      <c r="J360" s="17">
        <f>IFERROR(__xludf.DUMMYFUNCTION("""COMPUTED_VALUE"""),45630.632599108794)</f>
        <v>45630.6326</v>
      </c>
      <c r="K360" s="13" t="str">
        <f>IFERROR(__xludf.DUMMYFUNCTION("""COMPUTED_VALUE"""),"SELESAI")</f>
        <v>SELESAI</v>
      </c>
      <c r="L360" s="17">
        <f>IFERROR(__xludf.DUMMYFUNCTION("""COMPUTED_VALUE"""),45630.632599108794)</f>
        <v>45630.6326</v>
      </c>
      <c r="M360" s="17" t="str">
        <f>IFERROR(__xludf.DUMMYFUNCTION("""COMPUTED_VALUE"""),"")</f>
        <v/>
      </c>
      <c r="N360" s="17">
        <f>IFERROR(__xludf.DUMMYFUNCTION("""COMPUTED_VALUE"""),45630.6335221412)</f>
        <v>45630.63352</v>
      </c>
      <c r="O360" s="13">
        <f t="shared" si="1"/>
        <v>12</v>
      </c>
    </row>
    <row r="361" ht="22.5" customHeight="1">
      <c r="B361" s="13">
        <f>IFERROR(__xludf.DUMMYFUNCTION("""COMPUTED_VALUE"""),356.0)</f>
        <v>356</v>
      </c>
      <c r="C361" s="13" t="str">
        <f>IFERROR(__xludf.DUMMYFUNCTION("""COMPUTED_VALUE"""),"B,567/NUSANTARA PERMAI-SEKARANG;B.2095/CAMPANG RAYA-DAHULU")</f>
        <v>B,567/NUSANTARA PERMAI-SEKARANG;B.2095/CAMPANG RAYA-DAHULU</v>
      </c>
      <c r="D361" s="13" t="str">
        <f>IFERROR(__xludf.DUMMYFUNCTION("""COMPUTED_VALUE"""),"K/28/261124/1")</f>
        <v>K/28/261124/1</v>
      </c>
      <c r="E361" s="14" t="str">
        <f>IFERROR(__xludf.DUMMYFUNCTION("""COMPUTED_VALUE"""),"Nadian (BT)")</f>
        <v>Nadian (BT)</v>
      </c>
      <c r="F361" s="14" t="str">
        <f>IFERROR(__xludf.DUMMYFUNCTION("""COMPUTED_VALUE"""),"SELESAI")</f>
        <v>SELESAI</v>
      </c>
      <c r="G361" s="17">
        <f>IFERROR(__xludf.DUMMYFUNCTION("""COMPUTED_VALUE"""),45628.74290415509)</f>
        <v>45628.7429</v>
      </c>
      <c r="H361" s="14" t="str">
        <f>IFERROR(__xludf.DUMMYFUNCTION("""COMPUTED_VALUE"""),"Bu Eva (SU)")</f>
        <v>Bu Eva (SU)</v>
      </c>
      <c r="I361" s="13" t="str">
        <f>IFERROR(__xludf.DUMMYFUNCTION("""COMPUTED_VALUE"""),"SELESAI")</f>
        <v>SELESAI</v>
      </c>
      <c r="J361" s="17">
        <f>IFERROR(__xludf.DUMMYFUNCTION("""COMPUTED_VALUE"""),45630.632599108794)</f>
        <v>45630.6326</v>
      </c>
      <c r="K361" s="13" t="str">
        <f>IFERROR(__xludf.DUMMYFUNCTION("""COMPUTED_VALUE"""),"SELESAI")</f>
        <v>SELESAI</v>
      </c>
      <c r="L361" s="17">
        <f>IFERROR(__xludf.DUMMYFUNCTION("""COMPUTED_VALUE"""),45630.632599108794)</f>
        <v>45630.6326</v>
      </c>
      <c r="M361" s="17" t="str">
        <f>IFERROR(__xludf.DUMMYFUNCTION("""COMPUTED_VALUE"""),"")</f>
        <v/>
      </c>
      <c r="N361" s="17">
        <f>IFERROR(__xludf.DUMMYFUNCTION("""COMPUTED_VALUE"""),45630.6335221412)</f>
        <v>45630.63352</v>
      </c>
      <c r="O361" s="13">
        <f t="shared" si="1"/>
        <v>13</v>
      </c>
    </row>
    <row r="362" ht="22.5" customHeight="1">
      <c r="B362" s="13">
        <f>IFERROR(__xludf.DUMMYFUNCTION("""COMPUTED_VALUE"""),357.0)</f>
        <v>357</v>
      </c>
      <c r="C362" s="13" t="str">
        <f>IFERROR(__xludf.DUMMYFUNCTION("""COMPUTED_VALUE"""),"M.545/CAMPANG RAYA")</f>
        <v>M.545/CAMPANG RAYA</v>
      </c>
      <c r="D362" s="13" t="str">
        <f>IFERROR(__xludf.DUMMYFUNCTION("""COMPUTED_VALUE"""),"K/28/281124/2")</f>
        <v>K/28/281124/2</v>
      </c>
      <c r="E362" s="14" t="str">
        <f>IFERROR(__xludf.DUMMYFUNCTION("""COMPUTED_VALUE"""),"Nadian (BT)")</f>
        <v>Nadian (BT)</v>
      </c>
      <c r="F362" s="14" t="str">
        <f>IFERROR(__xludf.DUMMYFUNCTION("""COMPUTED_VALUE"""),"SELESAI")</f>
        <v>SELESAI</v>
      </c>
      <c r="G362" s="17">
        <f>IFERROR(__xludf.DUMMYFUNCTION("""COMPUTED_VALUE"""),45628.74290416666)</f>
        <v>45628.7429</v>
      </c>
      <c r="H362" s="14" t="str">
        <f>IFERROR(__xludf.DUMMYFUNCTION("""COMPUTED_VALUE"""),"Bu Eva (SU)")</f>
        <v>Bu Eva (SU)</v>
      </c>
      <c r="I362" s="13" t="str">
        <f>IFERROR(__xludf.DUMMYFUNCTION("""COMPUTED_VALUE"""),"SELESAI")</f>
        <v>SELESAI</v>
      </c>
      <c r="J362" s="17">
        <f>IFERROR(__xludf.DUMMYFUNCTION("""COMPUTED_VALUE"""),45630.632632685185)</f>
        <v>45630.63263</v>
      </c>
      <c r="K362" s="13" t="str">
        <f>IFERROR(__xludf.DUMMYFUNCTION("""COMPUTED_VALUE"""),"SELESAI")</f>
        <v>SELESAI</v>
      </c>
      <c r="L362" s="17">
        <f>IFERROR(__xludf.DUMMYFUNCTION("""COMPUTED_VALUE"""),45630.632632685185)</f>
        <v>45630.63263</v>
      </c>
      <c r="M362" s="17" t="str">
        <f>IFERROR(__xludf.DUMMYFUNCTION("""COMPUTED_VALUE"""),"")</f>
        <v/>
      </c>
      <c r="N362" s="17">
        <f>IFERROR(__xludf.DUMMYFUNCTION("""COMPUTED_VALUE"""),45630.63358465278)</f>
        <v>45630.63358</v>
      </c>
      <c r="O362" s="13">
        <f t="shared" si="1"/>
        <v>14</v>
      </c>
    </row>
    <row r="363" ht="22.5" customHeight="1">
      <c r="B363" s="13">
        <f>IFERROR(__xludf.DUMMYFUNCTION("""COMPUTED_VALUE"""),358.0)</f>
        <v>358</v>
      </c>
      <c r="C363" s="13" t="str">
        <f>IFERROR(__xludf.DUMMYFUNCTION("""COMPUTED_VALUE"""),"M. 72/ Way Dadi Baru")</f>
        <v>M. 72/ Way Dadi Baru</v>
      </c>
      <c r="D363" s="13" t="str">
        <f>IFERROR(__xludf.DUMMYFUNCTION("""COMPUTED_VALUE"""),"K/43/281124/1")</f>
        <v>K/43/281124/1</v>
      </c>
      <c r="E363" s="14" t="str">
        <f>IFERROR(__xludf.DUMMYFUNCTION("""COMPUTED_VALUE"""),"Nadian (BT)")</f>
        <v>Nadian (BT)</v>
      </c>
      <c r="F363" s="14" t="str">
        <f>IFERROR(__xludf.DUMMYFUNCTION("""COMPUTED_VALUE"""),"SELESAI")</f>
        <v>SELESAI</v>
      </c>
      <c r="G363" s="17">
        <f>IFERROR(__xludf.DUMMYFUNCTION("""COMPUTED_VALUE"""),45628.74290416666)</f>
        <v>45628.7429</v>
      </c>
      <c r="H363" s="14" t="str">
        <f>IFERROR(__xludf.DUMMYFUNCTION("""COMPUTED_VALUE"""),"Bu Eva (SU)")</f>
        <v>Bu Eva (SU)</v>
      </c>
      <c r="I363" s="13" t="str">
        <f>IFERROR(__xludf.DUMMYFUNCTION("""COMPUTED_VALUE"""),"SELESAI")</f>
        <v>SELESAI</v>
      </c>
      <c r="J363" s="17">
        <f>IFERROR(__xludf.DUMMYFUNCTION("""COMPUTED_VALUE"""),45630.632632685185)</f>
        <v>45630.63263</v>
      </c>
      <c r="K363" s="13" t="str">
        <f>IFERROR(__xludf.DUMMYFUNCTION("""COMPUTED_VALUE"""),"SELESAI")</f>
        <v>SELESAI</v>
      </c>
      <c r="L363" s="17">
        <f>IFERROR(__xludf.DUMMYFUNCTION("""COMPUTED_VALUE"""),45630.632632685185)</f>
        <v>45630.63263</v>
      </c>
      <c r="M363" s="17" t="str">
        <f>IFERROR(__xludf.DUMMYFUNCTION("""COMPUTED_VALUE"""),"")</f>
        <v/>
      </c>
      <c r="N363" s="17">
        <f>IFERROR(__xludf.DUMMYFUNCTION("""COMPUTED_VALUE"""),45630.63358466435)</f>
        <v>45630.63358</v>
      </c>
      <c r="O363" s="13">
        <f t="shared" si="1"/>
        <v>15</v>
      </c>
    </row>
    <row r="364" ht="22.5" customHeight="1">
      <c r="B364" s="13">
        <f>IFERROR(__xludf.DUMMYFUNCTION("""COMPUTED_VALUE"""),359.0)</f>
        <v>359</v>
      </c>
      <c r="C364" s="13" t="str">
        <f>IFERROR(__xludf.DUMMYFUNCTION("""COMPUTED_VALUE"""),"M. 168/ Tanjung Senang")</f>
        <v>M. 168/ Tanjung Senang</v>
      </c>
      <c r="D364" s="13" t="str">
        <f>IFERROR(__xludf.DUMMYFUNCTION("""COMPUTED_VALUE"""),"K/40/261124/4")</f>
        <v>K/40/261124/4</v>
      </c>
      <c r="E364" s="14" t="str">
        <f>IFERROR(__xludf.DUMMYFUNCTION("""COMPUTED_VALUE"""),"Nadian (BT)")</f>
        <v>Nadian (BT)</v>
      </c>
      <c r="F364" s="14" t="str">
        <f>IFERROR(__xludf.DUMMYFUNCTION("""COMPUTED_VALUE"""),"SELESAI")</f>
        <v>SELESAI</v>
      </c>
      <c r="G364" s="17">
        <f>IFERROR(__xludf.DUMMYFUNCTION("""COMPUTED_VALUE"""),45628.74290416666)</f>
        <v>45628.7429</v>
      </c>
      <c r="H364" s="14" t="str">
        <f>IFERROR(__xludf.DUMMYFUNCTION("""COMPUTED_VALUE"""),"Bu Eva (SU)")</f>
        <v>Bu Eva (SU)</v>
      </c>
      <c r="I364" s="13" t="str">
        <f>IFERROR(__xludf.DUMMYFUNCTION("""COMPUTED_VALUE"""),"SELESAI")</f>
        <v>SELESAI</v>
      </c>
      <c r="J364" s="17">
        <f>IFERROR(__xludf.DUMMYFUNCTION("""COMPUTED_VALUE"""),45630.632632685185)</f>
        <v>45630.63263</v>
      </c>
      <c r="K364" s="13" t="str">
        <f>IFERROR(__xludf.DUMMYFUNCTION("""COMPUTED_VALUE"""),"SELESAI")</f>
        <v>SELESAI</v>
      </c>
      <c r="L364" s="17">
        <f>IFERROR(__xludf.DUMMYFUNCTION("""COMPUTED_VALUE"""),45630.632632685185)</f>
        <v>45630.63263</v>
      </c>
      <c r="M364" s="17" t="str">
        <f>IFERROR(__xludf.DUMMYFUNCTION("""COMPUTED_VALUE"""),"")</f>
        <v/>
      </c>
      <c r="N364" s="17">
        <f>IFERROR(__xludf.DUMMYFUNCTION("""COMPUTED_VALUE"""),45630.63358466435)</f>
        <v>45630.63358</v>
      </c>
      <c r="O364" s="13">
        <f t="shared" si="1"/>
        <v>16</v>
      </c>
    </row>
    <row r="365" ht="22.5" customHeight="1">
      <c r="B365" s="13">
        <f>IFERROR(__xludf.DUMMYFUNCTION("""COMPUTED_VALUE"""),360.0)</f>
        <v>360</v>
      </c>
      <c r="C365" s="13" t="str">
        <f>IFERROR(__xludf.DUMMYFUNCTION("""COMPUTED_VALUE"""),"M. 4433/ Gunung Terang")</f>
        <v>M. 4433/ Gunung Terang</v>
      </c>
      <c r="D365" s="13" t="str">
        <f>IFERROR(__xludf.DUMMYFUNCTION("""COMPUTED_VALUE"""),"K/47/291124/1")</f>
        <v>K/47/291124/1</v>
      </c>
      <c r="E365" s="14" t="str">
        <f>IFERROR(__xludf.DUMMYFUNCTION("""COMPUTED_VALUE"""),"Nadian (BT)")</f>
        <v>Nadian (BT)</v>
      </c>
      <c r="F365" s="14" t="str">
        <f>IFERROR(__xludf.DUMMYFUNCTION("""COMPUTED_VALUE"""),"SELESAI")</f>
        <v>SELESAI</v>
      </c>
      <c r="G365" s="17">
        <f>IFERROR(__xludf.DUMMYFUNCTION("""COMPUTED_VALUE"""),45628.74290416666)</f>
        <v>45628.7429</v>
      </c>
      <c r="H365" s="14" t="str">
        <f>IFERROR(__xludf.DUMMYFUNCTION("""COMPUTED_VALUE"""),"Bu Eva (SU)")</f>
        <v>Bu Eva (SU)</v>
      </c>
      <c r="I365" s="13" t="str">
        <f>IFERROR(__xludf.DUMMYFUNCTION("""COMPUTED_VALUE"""),"SELESAI")</f>
        <v>SELESAI</v>
      </c>
      <c r="J365" s="17">
        <f>IFERROR(__xludf.DUMMYFUNCTION("""COMPUTED_VALUE"""),45630.632678298614)</f>
        <v>45630.63268</v>
      </c>
      <c r="K365" s="13" t="str">
        <f>IFERROR(__xludf.DUMMYFUNCTION("""COMPUTED_VALUE"""),"SELESAI")</f>
        <v>SELESAI</v>
      </c>
      <c r="L365" s="17">
        <f>IFERROR(__xludf.DUMMYFUNCTION("""COMPUTED_VALUE"""),45630.632678298614)</f>
        <v>45630.63268</v>
      </c>
      <c r="M365" s="17" t="str">
        <f>IFERROR(__xludf.DUMMYFUNCTION("""COMPUTED_VALUE"""),"")</f>
        <v/>
      </c>
      <c r="N365" s="17">
        <f>IFERROR(__xludf.DUMMYFUNCTION("""COMPUTED_VALUE"""),45630.63361444444)</f>
        <v>45630.63361</v>
      </c>
      <c r="O365" s="13">
        <f t="shared" si="1"/>
        <v>17</v>
      </c>
    </row>
    <row r="366" ht="22.5" customHeight="1">
      <c r="B366" s="13">
        <f>IFERROR(__xludf.DUMMYFUNCTION("""COMPUTED_VALUE"""),361.0)</f>
        <v>361</v>
      </c>
      <c r="C366" s="13" t="str">
        <f>IFERROR(__xludf.DUMMYFUNCTION("""COMPUTED_VALUE"""),"B.705/KEMILING PERMAI")</f>
        <v>B.705/KEMILING PERMAI</v>
      </c>
      <c r="D366" s="13" t="str">
        <f>IFERROR(__xludf.DUMMYFUNCTION("""COMPUTED_VALUE"""),"K/29/291124/3")</f>
        <v>K/29/291124/3</v>
      </c>
      <c r="E366" s="14" t="str">
        <f>IFERROR(__xludf.DUMMYFUNCTION("""COMPUTED_VALUE"""),"Afriza (BT)")</f>
        <v>Afriza (BT)</v>
      </c>
      <c r="F366" s="14" t="str">
        <f>IFERROR(__xludf.DUMMYFUNCTION("""COMPUTED_VALUE"""),"SELESAI")</f>
        <v>SELESAI</v>
      </c>
      <c r="G366" s="17">
        <f>IFERROR(__xludf.DUMMYFUNCTION("""COMPUTED_VALUE"""),45629.44766011574)</f>
        <v>45629.44766</v>
      </c>
      <c r="H366" s="14" t="str">
        <f>IFERROR(__xludf.DUMMYFUNCTION("""COMPUTED_VALUE"""),"Bu Eva (SU)")</f>
        <v>Bu Eva (SU)</v>
      </c>
      <c r="I366" s="13" t="str">
        <f>IFERROR(__xludf.DUMMYFUNCTION("""COMPUTED_VALUE"""),"SELESAI")</f>
        <v>SELESAI</v>
      </c>
      <c r="J366" s="17">
        <f>IFERROR(__xludf.DUMMYFUNCTION("""COMPUTED_VALUE"""),45630.63278248842)</f>
        <v>45630.63278</v>
      </c>
      <c r="K366" s="13" t="str">
        <f>IFERROR(__xludf.DUMMYFUNCTION("""COMPUTED_VALUE"""),"SELESAI")</f>
        <v>SELESAI</v>
      </c>
      <c r="L366" s="17">
        <f>IFERROR(__xludf.DUMMYFUNCTION("""COMPUTED_VALUE"""),45630.63278248842)</f>
        <v>45630.63278</v>
      </c>
      <c r="M366" s="17" t="str">
        <f>IFERROR(__xludf.DUMMYFUNCTION("""COMPUTED_VALUE"""),"")</f>
        <v/>
      </c>
      <c r="N366" s="17">
        <f>IFERROR(__xludf.DUMMYFUNCTION("""COMPUTED_VALUE"""),45630.63361444444)</f>
        <v>45630.63361</v>
      </c>
      <c r="O366" s="13">
        <f t="shared" si="1"/>
        <v>18</v>
      </c>
    </row>
    <row r="367" ht="22.5" customHeight="1">
      <c r="B367" s="13">
        <f>IFERROR(__xludf.DUMMYFUNCTION("""COMPUTED_VALUE"""),362.0)</f>
        <v>362</v>
      </c>
      <c r="C367" s="13" t="str">
        <f>IFERROR(__xludf.DUMMYFUNCTION("""COMPUTED_VALUE"""),"M. 6411/ Way Kandis")</f>
        <v>M. 6411/ Way Kandis</v>
      </c>
      <c r="D367" s="13" t="str">
        <f>IFERROR(__xludf.DUMMYFUNCTION("""COMPUTED_VALUE"""),"K/8/291124/1")</f>
        <v>K/8/291124/1</v>
      </c>
      <c r="E367" s="14" t="str">
        <f>IFERROR(__xludf.DUMMYFUNCTION("""COMPUTED_VALUE"""),"Afriza (BT)")</f>
        <v>Afriza (BT)</v>
      </c>
      <c r="F367" s="14" t="str">
        <f>IFERROR(__xludf.DUMMYFUNCTION("""COMPUTED_VALUE"""),"SELESAI")</f>
        <v>SELESAI</v>
      </c>
      <c r="G367" s="17">
        <f>IFERROR(__xludf.DUMMYFUNCTION("""COMPUTED_VALUE"""),45629.44766011574)</f>
        <v>45629.44766</v>
      </c>
      <c r="H367" s="14" t="str">
        <f>IFERROR(__xludf.DUMMYFUNCTION("""COMPUTED_VALUE"""),"Bu Eva (SU)")</f>
        <v>Bu Eva (SU)</v>
      </c>
      <c r="I367" s="13" t="str">
        <f>IFERROR(__xludf.DUMMYFUNCTION("""COMPUTED_VALUE"""),"SELESAI")</f>
        <v>SELESAI</v>
      </c>
      <c r="J367" s="17">
        <f>IFERROR(__xludf.DUMMYFUNCTION("""COMPUTED_VALUE"""),45630.63278248842)</f>
        <v>45630.63278</v>
      </c>
      <c r="K367" s="13" t="str">
        <f>IFERROR(__xludf.DUMMYFUNCTION("""COMPUTED_VALUE"""),"SELESAI")</f>
        <v>SELESAI</v>
      </c>
      <c r="L367" s="17">
        <f>IFERROR(__xludf.DUMMYFUNCTION("""COMPUTED_VALUE"""),45630.63278248842)</f>
        <v>45630.63278</v>
      </c>
      <c r="M367" s="17" t="str">
        <f>IFERROR(__xludf.DUMMYFUNCTION("""COMPUTED_VALUE"""),"")</f>
        <v/>
      </c>
      <c r="N367" s="17">
        <f>IFERROR(__xludf.DUMMYFUNCTION("""COMPUTED_VALUE"""),45630.63361444444)</f>
        <v>45630.63361</v>
      </c>
      <c r="O367" s="13">
        <f t="shared" si="1"/>
        <v>19</v>
      </c>
    </row>
    <row r="368" ht="22.5" customHeight="1">
      <c r="B368" s="13">
        <f>IFERROR(__xludf.DUMMYFUNCTION("""COMPUTED_VALUE"""),363.0)</f>
        <v>363</v>
      </c>
      <c r="C368" s="13" t="str">
        <f>IFERROR(__xludf.DUMMYFUNCTION("""COMPUTED_VALUE"""),"B.1221/KEMILING PERMAI")</f>
        <v>B.1221/KEMILING PERMAI</v>
      </c>
      <c r="D368" s="13" t="str">
        <f>IFERROR(__xludf.DUMMYFUNCTION("""COMPUTED_VALUE"""),"K/27/291124/1")</f>
        <v>K/27/291124/1</v>
      </c>
      <c r="E368" s="14" t="str">
        <f>IFERROR(__xludf.DUMMYFUNCTION("""COMPUTED_VALUE"""),"Afriza (BT)")</f>
        <v>Afriza (BT)</v>
      </c>
      <c r="F368" s="14" t="str">
        <f>IFERROR(__xludf.DUMMYFUNCTION("""COMPUTED_VALUE"""),"SELESAI")</f>
        <v>SELESAI</v>
      </c>
      <c r="G368" s="17">
        <f>IFERROR(__xludf.DUMMYFUNCTION("""COMPUTED_VALUE"""),45629.44766011574)</f>
        <v>45629.44766</v>
      </c>
      <c r="H368" s="14" t="str">
        <f>IFERROR(__xludf.DUMMYFUNCTION("""COMPUTED_VALUE"""),"Bu Eva (SU)")</f>
        <v>Bu Eva (SU)</v>
      </c>
      <c r="I368" s="13" t="str">
        <f>IFERROR(__xludf.DUMMYFUNCTION("""COMPUTED_VALUE"""),"SELESAI")</f>
        <v>SELESAI</v>
      </c>
      <c r="J368" s="17">
        <f>IFERROR(__xludf.DUMMYFUNCTION("""COMPUTED_VALUE"""),45630.63278248842)</f>
        <v>45630.63278</v>
      </c>
      <c r="K368" s="13" t="str">
        <f>IFERROR(__xludf.DUMMYFUNCTION("""COMPUTED_VALUE"""),"SELESAI")</f>
        <v>SELESAI</v>
      </c>
      <c r="L368" s="17">
        <f>IFERROR(__xludf.DUMMYFUNCTION("""COMPUTED_VALUE"""),45630.63278248842)</f>
        <v>45630.63278</v>
      </c>
      <c r="M368" s="17" t="str">
        <f>IFERROR(__xludf.DUMMYFUNCTION("""COMPUTED_VALUE"""),"")</f>
        <v/>
      </c>
      <c r="N368" s="17">
        <f>IFERROR(__xludf.DUMMYFUNCTION("""COMPUTED_VALUE"""),45630.63365113426)</f>
        <v>45630.63365</v>
      </c>
      <c r="O368" s="13">
        <f t="shared" si="1"/>
        <v>20</v>
      </c>
    </row>
    <row r="369" ht="22.5" customHeight="1">
      <c r="B369" s="13">
        <f>IFERROR(__xludf.DUMMYFUNCTION("""COMPUTED_VALUE"""),364.0)</f>
        <v>364</v>
      </c>
      <c r="C369" s="13" t="str">
        <f>IFERROR(__xludf.DUMMYFUNCTION("""COMPUTED_VALUE"""),"HM 11000/SEGALA MIDER")</f>
        <v>HM 11000/SEGALA MIDER</v>
      </c>
      <c r="D369" s="13" t="str">
        <f>IFERROR(__xludf.DUMMYFUNCTION("""COMPUTED_VALUE"""),"L/19/291124/1")</f>
        <v>L/19/291124/1</v>
      </c>
      <c r="E369" s="14" t="str">
        <f>IFERROR(__xludf.DUMMYFUNCTION("""COMPUTED_VALUE"""),"Afriza (BT)")</f>
        <v>Afriza (BT)</v>
      </c>
      <c r="F369" s="14" t="str">
        <f>IFERROR(__xludf.DUMMYFUNCTION("""COMPUTED_VALUE"""),"SELESAI")</f>
        <v>SELESAI</v>
      </c>
      <c r="G369" s="17">
        <f>IFERROR(__xludf.DUMMYFUNCTION("""COMPUTED_VALUE"""),45629.44766011574)</f>
        <v>45629.44766</v>
      </c>
      <c r="H369" s="14" t="str">
        <f>IFERROR(__xludf.DUMMYFUNCTION("""COMPUTED_VALUE"""),"Bu Eva (SU)")</f>
        <v>Bu Eva (SU)</v>
      </c>
      <c r="I369" s="13" t="str">
        <f>IFERROR(__xludf.DUMMYFUNCTION("""COMPUTED_VALUE"""),"SELESAI")</f>
        <v>SELESAI</v>
      </c>
      <c r="J369" s="17">
        <f>IFERROR(__xludf.DUMMYFUNCTION("""COMPUTED_VALUE"""),45630.63278248842)</f>
        <v>45630.63278</v>
      </c>
      <c r="K369" s="13" t="str">
        <f>IFERROR(__xludf.DUMMYFUNCTION("""COMPUTED_VALUE"""),"SELESAI")</f>
        <v>SELESAI</v>
      </c>
      <c r="L369" s="17">
        <f>IFERROR(__xludf.DUMMYFUNCTION("""COMPUTED_VALUE"""),45630.63278248842)</f>
        <v>45630.63278</v>
      </c>
      <c r="M369" s="17" t="str">
        <f>IFERROR(__xludf.DUMMYFUNCTION("""COMPUTED_VALUE"""),"")</f>
        <v/>
      </c>
      <c r="N369" s="17">
        <f>IFERROR(__xludf.DUMMYFUNCTION("""COMPUTED_VALUE"""),45630.63365113426)</f>
        <v>45630.63365</v>
      </c>
      <c r="O369" s="13">
        <f t="shared" si="1"/>
        <v>21</v>
      </c>
    </row>
    <row r="370" ht="22.5" customHeight="1">
      <c r="B370" s="13">
        <f>IFERROR(__xludf.DUMMYFUNCTION("""COMPUTED_VALUE"""),365.0)</f>
        <v>365</v>
      </c>
      <c r="C370" s="13" t="str">
        <f>IFERROR(__xludf.DUMMYFUNCTION("""COMPUTED_VALUE"""),"M.12552/TANJUNG BARU")</f>
        <v>M.12552/TANJUNG BARU</v>
      </c>
      <c r="D370" s="13" t="str">
        <f>IFERROR(__xludf.DUMMYFUNCTION("""COMPUTED_VALUE"""),"K/13/291124/2")</f>
        <v>K/13/291124/2</v>
      </c>
      <c r="E370" s="14" t="str">
        <f>IFERROR(__xludf.DUMMYFUNCTION("""COMPUTED_VALUE"""),"Afriza (BT)")</f>
        <v>Afriza (BT)</v>
      </c>
      <c r="F370" s="14" t="str">
        <f>IFERROR(__xludf.DUMMYFUNCTION("""COMPUTED_VALUE"""),"SELESAI")</f>
        <v>SELESAI</v>
      </c>
      <c r="G370" s="17">
        <f>IFERROR(__xludf.DUMMYFUNCTION("""COMPUTED_VALUE"""),45629.44766011574)</f>
        <v>45629.44766</v>
      </c>
      <c r="H370" s="14" t="str">
        <f>IFERROR(__xludf.DUMMYFUNCTION("""COMPUTED_VALUE"""),"Bu Eva (SU)")</f>
        <v>Bu Eva (SU)</v>
      </c>
      <c r="I370" s="13" t="str">
        <f>IFERROR(__xludf.DUMMYFUNCTION("""COMPUTED_VALUE"""),"SELESAI")</f>
        <v>SELESAI</v>
      </c>
      <c r="J370" s="17">
        <f>IFERROR(__xludf.DUMMYFUNCTION("""COMPUTED_VALUE"""),45630.63278248842)</f>
        <v>45630.63278</v>
      </c>
      <c r="K370" s="13" t="str">
        <f>IFERROR(__xludf.DUMMYFUNCTION("""COMPUTED_VALUE"""),"SELESAI")</f>
        <v>SELESAI</v>
      </c>
      <c r="L370" s="17">
        <f>IFERROR(__xludf.DUMMYFUNCTION("""COMPUTED_VALUE"""),45630.63278248842)</f>
        <v>45630.63278</v>
      </c>
      <c r="M370" s="17" t="str">
        <f>IFERROR(__xludf.DUMMYFUNCTION("""COMPUTED_VALUE"""),"")</f>
        <v/>
      </c>
      <c r="N370" s="17">
        <f>IFERROR(__xludf.DUMMYFUNCTION("""COMPUTED_VALUE"""),45630.63368922454)</f>
        <v>45630.63369</v>
      </c>
      <c r="O370" s="13">
        <f t="shared" si="1"/>
        <v>22</v>
      </c>
    </row>
    <row r="371" ht="22.5" customHeight="1">
      <c r="B371" s="13">
        <f>IFERROR(__xludf.DUMMYFUNCTION("""COMPUTED_VALUE"""),366.0)</f>
        <v>366</v>
      </c>
      <c r="C371" s="13" t="str">
        <f>IFERROR(__xludf.DUMMYFUNCTION("""COMPUTED_VALUE"""),"M. 1933/ Sukarame Baru")</f>
        <v>M. 1933/ Sukarame Baru</v>
      </c>
      <c r="D371" s="13" t="str">
        <f>IFERROR(__xludf.DUMMYFUNCTION("""COMPUTED_VALUE"""),"K/11/291124/1")</f>
        <v>K/11/291124/1</v>
      </c>
      <c r="E371" s="14" t="str">
        <f>IFERROR(__xludf.DUMMYFUNCTION("""COMPUTED_VALUE"""),"Afriza (BT)")</f>
        <v>Afriza (BT)</v>
      </c>
      <c r="F371" s="14" t="str">
        <f>IFERROR(__xludf.DUMMYFUNCTION("""COMPUTED_VALUE"""),"SELESAI")</f>
        <v>SELESAI</v>
      </c>
      <c r="G371" s="17">
        <f>IFERROR(__xludf.DUMMYFUNCTION("""COMPUTED_VALUE"""),45629.44766011574)</f>
        <v>45629.44766</v>
      </c>
      <c r="H371" s="14" t="str">
        <f>IFERROR(__xludf.DUMMYFUNCTION("""COMPUTED_VALUE"""),"Bu Eva (SU)")</f>
        <v>Bu Eva (SU)</v>
      </c>
      <c r="I371" s="13" t="str">
        <f>IFERROR(__xludf.DUMMYFUNCTION("""COMPUTED_VALUE"""),"SELESAI")</f>
        <v>SELESAI</v>
      </c>
      <c r="J371" s="17">
        <f>IFERROR(__xludf.DUMMYFUNCTION("""COMPUTED_VALUE"""),45630.63278248842)</f>
        <v>45630.63278</v>
      </c>
      <c r="K371" s="13" t="str">
        <f>IFERROR(__xludf.DUMMYFUNCTION("""COMPUTED_VALUE"""),"SELESAI")</f>
        <v>SELESAI</v>
      </c>
      <c r="L371" s="17">
        <f>IFERROR(__xludf.DUMMYFUNCTION("""COMPUTED_VALUE"""),45630.63278248842)</f>
        <v>45630.63278</v>
      </c>
      <c r="M371" s="17" t="str">
        <f>IFERROR(__xludf.DUMMYFUNCTION("""COMPUTED_VALUE"""),"")</f>
        <v/>
      </c>
      <c r="N371" s="17">
        <f>IFERROR(__xludf.DUMMYFUNCTION("""COMPUTED_VALUE"""),45630.63368922454)</f>
        <v>45630.63369</v>
      </c>
      <c r="O371" s="13">
        <f t="shared" si="1"/>
        <v>23</v>
      </c>
    </row>
    <row r="372" ht="22.5" customHeight="1">
      <c r="B372" s="13">
        <f>IFERROR(__xludf.DUMMYFUNCTION("""COMPUTED_VALUE"""),367.0)</f>
        <v>367</v>
      </c>
      <c r="C372" s="13" t="str">
        <f>IFERROR(__xludf.DUMMYFUNCTION("""COMPUTED_VALUE"""),"HM 691/DURIAN PAYUNG")</f>
        <v>HM 691/DURIAN PAYUNG</v>
      </c>
      <c r="D372" s="13" t="str">
        <f>IFERROR(__xludf.DUMMYFUNCTION("""COMPUTED_VALUE"""),"L/5/161124/1")</f>
        <v>L/5/161124/1</v>
      </c>
      <c r="E372" s="14" t="str">
        <f>IFERROR(__xludf.DUMMYFUNCTION("""COMPUTED_VALUE"""),"Afriza (BT)")</f>
        <v>Afriza (BT)</v>
      </c>
      <c r="F372" s="14" t="str">
        <f>IFERROR(__xludf.DUMMYFUNCTION("""COMPUTED_VALUE"""),"SELESAI (VIA PERMOHONAN)")</f>
        <v>SELESAI (VIA PERMOHONAN)</v>
      </c>
      <c r="G372" s="17">
        <f>IFERROR(__xludf.DUMMYFUNCTION("""COMPUTED_VALUE"""),45629.44766011574)</f>
        <v>45629.44766</v>
      </c>
      <c r="H372" s="14" t="str">
        <f>IFERROR(__xludf.DUMMYFUNCTION("""COMPUTED_VALUE"""),"Aprill (SU)")</f>
        <v>Aprill (SU)</v>
      </c>
      <c r="I372" s="13" t="str">
        <f>IFERROR(__xludf.DUMMYFUNCTION("""COMPUTED_VALUE"""),"SELESAI (VIA PERMOHONAN)")</f>
        <v>SELESAI (VIA PERMOHONAN)</v>
      </c>
      <c r="J372" s="17">
        <f>IFERROR(__xludf.DUMMYFUNCTION("""COMPUTED_VALUE"""),45630.63321372685)</f>
        <v>45630.63321</v>
      </c>
      <c r="K372" s="13" t="str">
        <f>IFERROR(__xludf.DUMMYFUNCTION("""COMPUTED_VALUE"""),"Selesai")</f>
        <v>Selesai</v>
      </c>
      <c r="L372" s="17">
        <f>IFERROR(__xludf.DUMMYFUNCTION("""COMPUTED_VALUE"""),45630.63321372685)</f>
        <v>45630.63321</v>
      </c>
      <c r="M372" s="17">
        <f>IFERROR(__xludf.DUMMYFUNCTION("""COMPUTED_VALUE"""),45630.633388368056)</f>
        <v>45630.63339</v>
      </c>
      <c r="N372" s="13" t="str">
        <f>IFERROR(__xludf.DUMMYFUNCTION("""COMPUTED_VALUE"""),"")</f>
        <v/>
      </c>
      <c r="O372" s="13" t="str">
        <f t="shared" si="1"/>
        <v/>
      </c>
    </row>
    <row r="373" ht="22.5" customHeight="1">
      <c r="B373" s="13">
        <f>IFERROR(__xludf.DUMMYFUNCTION("""COMPUTED_VALUE"""),368.0)</f>
        <v>368</v>
      </c>
      <c r="C373" s="13" t="str">
        <f>IFERROR(__xludf.DUMMYFUNCTION("""COMPUTED_VALUE"""),"M. 1764/ Rajabasa Pemuka; M. 11947/ Rajabasa-dahulu; B. 71/ Rajabasa-dahulu")</f>
        <v>M. 1764/ Rajabasa Pemuka; M. 11947/ Rajabasa-dahulu; B. 71/ Rajabasa-dahulu</v>
      </c>
      <c r="D373" s="13" t="str">
        <f>IFERROR(__xludf.DUMMYFUNCTION("""COMPUTED_VALUE"""),"K/14/281124/2")</f>
        <v>K/14/281124/2</v>
      </c>
      <c r="E373" s="14" t="str">
        <f>IFERROR(__xludf.DUMMYFUNCTION("""COMPUTED_VALUE"""),"Afriza (BT)")</f>
        <v>Afriza (BT)</v>
      </c>
      <c r="F373" s="14" t="str">
        <f>IFERROR(__xludf.DUMMYFUNCTION("""COMPUTED_VALUE"""),"SELESAI (VIA PERMOHONAN)")</f>
        <v>SELESAI (VIA PERMOHONAN)</v>
      </c>
      <c r="G373" s="17">
        <f>IFERROR(__xludf.DUMMYFUNCTION("""COMPUTED_VALUE"""),45629.44766011574)</f>
        <v>45629.44766</v>
      </c>
      <c r="H373" s="14" t="str">
        <f>IFERROR(__xludf.DUMMYFUNCTION("""COMPUTED_VALUE"""),"Aprill (SU)")</f>
        <v>Aprill (SU)</v>
      </c>
      <c r="I373" s="13" t="str">
        <f>IFERROR(__xludf.DUMMYFUNCTION("""COMPUTED_VALUE"""),"SELESAI (VIA PERMOHONAN)")</f>
        <v>SELESAI (VIA PERMOHONAN)</v>
      </c>
      <c r="J373" s="17">
        <f>IFERROR(__xludf.DUMMYFUNCTION("""COMPUTED_VALUE"""),45630.63323283565)</f>
        <v>45630.63323</v>
      </c>
      <c r="K373" s="13" t="str">
        <f>IFERROR(__xludf.DUMMYFUNCTION("""COMPUTED_VALUE"""),"Selesai")</f>
        <v>Selesai</v>
      </c>
      <c r="L373" s="17">
        <f>IFERROR(__xludf.DUMMYFUNCTION("""COMPUTED_VALUE"""),45630.63323283565)</f>
        <v>45630.63323</v>
      </c>
      <c r="M373" s="17">
        <f>IFERROR(__xludf.DUMMYFUNCTION("""COMPUTED_VALUE"""),45630.633379039355)</f>
        <v>45630.63338</v>
      </c>
      <c r="N373" s="13" t="str">
        <f>IFERROR(__xludf.DUMMYFUNCTION("""COMPUTED_VALUE"""),"")</f>
        <v/>
      </c>
      <c r="O373" s="13" t="str">
        <f t="shared" si="1"/>
        <v/>
      </c>
    </row>
    <row r="374" ht="22.5" customHeight="1">
      <c r="B374" s="13">
        <f>IFERROR(__xludf.DUMMYFUNCTION("""COMPUTED_VALUE"""),369.0)</f>
        <v>369</v>
      </c>
      <c r="C374" s="13" t="str">
        <f>IFERROR(__xludf.DUMMYFUNCTION("""COMPUTED_VALUE"""),"M.2876/KOTA BARU")</f>
        <v>M.2876/KOTA BARU</v>
      </c>
      <c r="D374" s="13" t="str">
        <f>IFERROR(__xludf.DUMMYFUNCTION("""COMPUTED_VALUE"""),"K/12/211124/2")</f>
        <v>K/12/211124/2</v>
      </c>
      <c r="E374" s="14" t="str">
        <f>IFERROR(__xludf.DUMMYFUNCTION("""COMPUTED_VALUE"""),"Afriza (BT)")</f>
        <v>Afriza (BT)</v>
      </c>
      <c r="F374" s="14" t="str">
        <f>IFERROR(__xludf.DUMMYFUNCTION("""COMPUTED_VALUE"""),"SELESAI (VIA PERMOHONAN)")</f>
        <v>SELESAI (VIA PERMOHONAN)</v>
      </c>
      <c r="G374" s="17">
        <f>IFERROR(__xludf.DUMMYFUNCTION("""COMPUTED_VALUE"""),45629.66763189815)</f>
        <v>45629.66763</v>
      </c>
      <c r="H374" s="14" t="str">
        <f>IFERROR(__xludf.DUMMYFUNCTION("""COMPUTED_VALUE"""),"Aprill (SU)")</f>
        <v>Aprill (SU)</v>
      </c>
      <c r="I374" s="13" t="str">
        <f>IFERROR(__xludf.DUMMYFUNCTION("""COMPUTED_VALUE"""),"SELESAI (VIA PERMOHONAN)")</f>
        <v>SELESAI (VIA PERMOHONAN)</v>
      </c>
      <c r="J374" s="17">
        <f>IFERROR(__xludf.DUMMYFUNCTION("""COMPUTED_VALUE"""),45630.633328090276)</f>
        <v>45630.63333</v>
      </c>
      <c r="K374" s="13" t="str">
        <f>IFERROR(__xludf.DUMMYFUNCTION("""COMPUTED_VALUE"""),"Selesai")</f>
        <v>Selesai</v>
      </c>
      <c r="L374" s="17">
        <f>IFERROR(__xludf.DUMMYFUNCTION("""COMPUTED_VALUE"""),45630.633328090276)</f>
        <v>45630.63333</v>
      </c>
      <c r="M374" s="17">
        <f>IFERROR(__xludf.DUMMYFUNCTION("""COMPUTED_VALUE"""),45630.63335344907)</f>
        <v>45630.63335</v>
      </c>
      <c r="N374" s="13" t="str">
        <f>IFERROR(__xludf.DUMMYFUNCTION("""COMPUTED_VALUE"""),"")</f>
        <v/>
      </c>
      <c r="O374" s="13" t="str">
        <f t="shared" si="1"/>
        <v/>
      </c>
    </row>
    <row r="375" ht="22.5" customHeight="1">
      <c r="B375" s="13">
        <f>IFERROR(__xludf.DUMMYFUNCTION("""COMPUTED_VALUE"""),370.0)</f>
        <v>370</v>
      </c>
      <c r="C375" s="13" t="str">
        <f>IFERROR(__xludf.DUMMYFUNCTION("""COMPUTED_VALUE"""),"M.487/NUSANTARA PERMAI")</f>
        <v>M.487/NUSANTARA PERMAI</v>
      </c>
      <c r="D375" s="13" t="str">
        <f>IFERROR(__xludf.DUMMYFUNCTION("""COMPUTED_VALUE"""),"K/7/201124/1")</f>
        <v>K/7/201124/1</v>
      </c>
      <c r="E375" s="14" t="str">
        <f>IFERROR(__xludf.DUMMYFUNCTION("""COMPUTED_VALUE"""),"Afriza (BT)")</f>
        <v>Afriza (BT)</v>
      </c>
      <c r="F375" s="14" t="str">
        <f>IFERROR(__xludf.DUMMYFUNCTION("""COMPUTED_VALUE"""),"SELESAI (VIA PERMOHONAN)")</f>
        <v>SELESAI (VIA PERMOHONAN)</v>
      </c>
      <c r="G375" s="17">
        <f>IFERROR(__xludf.DUMMYFUNCTION("""COMPUTED_VALUE"""),45630.41594715278)</f>
        <v>45630.41595</v>
      </c>
      <c r="H375" s="14" t="str">
        <f>IFERROR(__xludf.DUMMYFUNCTION("""COMPUTED_VALUE"""),"Aprill (SU)")</f>
        <v>Aprill (SU)</v>
      </c>
      <c r="I375" s="13" t="str">
        <f>IFERROR(__xludf.DUMMYFUNCTION("""COMPUTED_VALUE"""),"SELESAI (VIA PERMOHONAN)")</f>
        <v>SELESAI (VIA PERMOHONAN)</v>
      </c>
      <c r="J375" s="17">
        <f>IFERROR(__xludf.DUMMYFUNCTION("""COMPUTED_VALUE"""),0.0)</f>
        <v>0</v>
      </c>
      <c r="K375" s="13" t="str">
        <f>IFERROR(__xludf.DUMMYFUNCTION("""COMPUTED_VALUE"""),"Selesai")</f>
        <v>Selesai</v>
      </c>
      <c r="L375" s="17">
        <f>IFERROR(__xludf.DUMMYFUNCTION("""COMPUTED_VALUE"""),0.0)</f>
        <v>0</v>
      </c>
      <c r="M375" s="17">
        <f>IFERROR(__xludf.DUMMYFUNCTION("""COMPUTED_VALUE"""),0.0)</f>
        <v>0</v>
      </c>
      <c r="N375" s="13" t="str">
        <f>IFERROR(__xludf.DUMMYFUNCTION("""COMPUTED_VALUE"""),"")</f>
        <v/>
      </c>
      <c r="O375" s="13" t="str">
        <f t="shared" si="1"/>
        <v/>
      </c>
    </row>
    <row r="376" ht="22.5" customHeight="1">
      <c r="B376" s="13">
        <f>IFERROR(__xludf.DUMMYFUNCTION("""COMPUTED_VALUE"""),371.0)</f>
        <v>371</v>
      </c>
      <c r="C376" s="13" t="str">
        <f>IFERROR(__xludf.DUMMYFUNCTION("""COMPUTED_VALUE"""),"B.4381/SUKARAME-SEKARANG;B.4381/SUKARAME I-DAHULU")</f>
        <v>B.4381/SUKARAME-SEKARANG;B.4381/SUKARAME I-DAHULU</v>
      </c>
      <c r="D376" s="13" t="str">
        <f>IFERROR(__xludf.DUMMYFUNCTION("""COMPUTED_VALUE"""),"K/25/181124/3")</f>
        <v>K/25/181124/3</v>
      </c>
      <c r="E376" s="14" t="str">
        <f>IFERROR(__xludf.DUMMYFUNCTION("""COMPUTED_VALUE"""),"Afriza (BT)")</f>
        <v>Afriza (BT)</v>
      </c>
      <c r="F376" s="14" t="str">
        <f>IFERROR(__xludf.DUMMYFUNCTION("""COMPUTED_VALUE"""),"SELESAI (VIA PERMOHONAN)")</f>
        <v>SELESAI (VIA PERMOHONAN)</v>
      </c>
      <c r="G376" s="17">
        <f>IFERROR(__xludf.DUMMYFUNCTION("""COMPUTED_VALUE"""),45630.417507199076)</f>
        <v>45630.41751</v>
      </c>
      <c r="H376" s="14" t="str">
        <f>IFERROR(__xludf.DUMMYFUNCTION("""COMPUTED_VALUE"""),"Aprill (SU)")</f>
        <v>Aprill (SU)</v>
      </c>
      <c r="I376" s="13" t="str">
        <f>IFERROR(__xludf.DUMMYFUNCTION("""COMPUTED_VALUE"""),"SELESAI (VIA PERMOHONAN)")</f>
        <v>SELESAI (VIA PERMOHONAN)</v>
      </c>
      <c r="J376" s="17">
        <f>IFERROR(__xludf.DUMMYFUNCTION("""COMPUTED_VALUE"""),0.0)</f>
        <v>0</v>
      </c>
      <c r="K376" s="13" t="str">
        <f>IFERROR(__xludf.DUMMYFUNCTION("""COMPUTED_VALUE"""),"Selesai")</f>
        <v>Selesai</v>
      </c>
      <c r="L376" s="17">
        <f>IFERROR(__xludf.DUMMYFUNCTION("""COMPUTED_VALUE"""),0.0)</f>
        <v>0</v>
      </c>
      <c r="M376" s="17">
        <f>IFERROR(__xludf.DUMMYFUNCTION("""COMPUTED_VALUE"""),0.0)</f>
        <v>0</v>
      </c>
      <c r="N376" s="13" t="str">
        <f>IFERROR(__xludf.DUMMYFUNCTION("""COMPUTED_VALUE"""),"")</f>
        <v/>
      </c>
      <c r="O376" s="13" t="str">
        <f t="shared" si="1"/>
        <v/>
      </c>
    </row>
    <row r="377" ht="22.5" customHeight="1">
      <c r="B377" s="13">
        <f>IFERROR(__xludf.DUMMYFUNCTION("""COMPUTED_VALUE"""),372.0)</f>
        <v>372</v>
      </c>
      <c r="C377" s="13" t="str">
        <f>IFERROR(__xludf.DUMMYFUNCTION("""COMPUTED_VALUE"""),"M.1542/SUKABUMI INDAH-SEKARANG;M.14829/SKABUMI-DAHULU")</f>
        <v>M.1542/SUKABUMI INDAH-SEKARANG;M.14829/SKABUMI-DAHULU</v>
      </c>
      <c r="D377" s="13" t="str">
        <f>IFERROR(__xludf.DUMMYFUNCTION("""COMPUTED_VALUE"""),"K/22/021224/1")</f>
        <v>K/22/021224/1</v>
      </c>
      <c r="E377" s="14" t="str">
        <f>IFERROR(__xludf.DUMMYFUNCTION("""COMPUTED_VALUE"""),"Afriza (BT)")</f>
        <v>Afriza (BT)</v>
      </c>
      <c r="F377" s="14" t="str">
        <f>IFERROR(__xludf.DUMMYFUNCTION("""COMPUTED_VALUE"""),"SELESAI (VIA PERMOHONAN)")</f>
        <v>SELESAI (VIA PERMOHONAN)</v>
      </c>
      <c r="G377" s="17">
        <f>IFERROR(__xludf.DUMMYFUNCTION("""COMPUTED_VALUE"""),45630.49575436342)</f>
        <v>45630.49575</v>
      </c>
      <c r="H377" s="14" t="str">
        <f>IFERROR(__xludf.DUMMYFUNCTION("""COMPUTED_VALUE"""),"Aprill (SU)")</f>
        <v>Aprill (SU)</v>
      </c>
      <c r="I377" s="13" t="str">
        <f>IFERROR(__xludf.DUMMYFUNCTION("""COMPUTED_VALUE"""),"SELESAI (VIA PERMOHONAN)")</f>
        <v>SELESAI (VIA PERMOHONAN)</v>
      </c>
      <c r="J377" s="17">
        <f>IFERROR(__xludf.DUMMYFUNCTION("""COMPUTED_VALUE"""),0.0)</f>
        <v>0</v>
      </c>
      <c r="K377" s="13" t="str">
        <f>IFERROR(__xludf.DUMMYFUNCTION("""COMPUTED_VALUE"""),"Selesai")</f>
        <v>Selesai</v>
      </c>
      <c r="L377" s="17">
        <f>IFERROR(__xludf.DUMMYFUNCTION("""COMPUTED_VALUE"""),0.0)</f>
        <v>0</v>
      </c>
      <c r="M377" s="17">
        <f>IFERROR(__xludf.DUMMYFUNCTION("""COMPUTED_VALUE"""),0.0)</f>
        <v>0</v>
      </c>
      <c r="N377" s="17">
        <f>IFERROR(__xludf.DUMMYFUNCTION("""COMPUTED_VALUE"""),45637.435026701394)</f>
        <v>45637.43503</v>
      </c>
      <c r="O377" s="13">
        <f t="shared" si="1"/>
        <v>1</v>
      </c>
    </row>
    <row r="378" ht="22.5" customHeight="1">
      <c r="B378" s="13">
        <f>IFERROR(__xludf.DUMMYFUNCTION("""COMPUTED_VALUE"""),373.0)</f>
        <v>373</v>
      </c>
      <c r="C378" s="13" t="str">
        <f>IFERROR(__xludf.DUMMYFUNCTION("""COMPUTED_VALUE"""),"M. 2492/ Kemiling Permai")</f>
        <v>M. 2492/ Kemiling Permai</v>
      </c>
      <c r="D378" s="13" t="str">
        <f>IFERROR(__xludf.DUMMYFUNCTION("""COMPUTED_VALUE"""),"K/61/251124/1")</f>
        <v>K/61/251124/1</v>
      </c>
      <c r="E378" s="14" t="str">
        <f>IFERROR(__xludf.DUMMYFUNCTION("""COMPUTED_VALUE"""),"Afriza (BT)")</f>
        <v>Afriza (BT)</v>
      </c>
      <c r="F378" s="14" t="str">
        <f>IFERROR(__xludf.DUMMYFUNCTION("""COMPUTED_VALUE"""),"SELESAI (VIA PERMOHONAN)")</f>
        <v>SELESAI (VIA PERMOHONAN)</v>
      </c>
      <c r="G378" s="17">
        <f>IFERROR(__xludf.DUMMYFUNCTION("""COMPUTED_VALUE"""),45630.59701075232)</f>
        <v>45630.59701</v>
      </c>
      <c r="H378" s="14" t="str">
        <f>IFERROR(__xludf.DUMMYFUNCTION("""COMPUTED_VALUE"""),"Aprill (SU)")</f>
        <v>Aprill (SU)</v>
      </c>
      <c r="I378" s="13" t="str">
        <f>IFERROR(__xludf.DUMMYFUNCTION("""COMPUTED_VALUE"""),"SELESAI (VIA PERMOHONAN)")</f>
        <v>SELESAI (VIA PERMOHONAN)</v>
      </c>
      <c r="J378" s="17">
        <f>IFERROR(__xludf.DUMMYFUNCTION("""COMPUTED_VALUE"""),45636.62783174768)</f>
        <v>45636.62783</v>
      </c>
      <c r="K378" s="13" t="str">
        <f>IFERROR(__xludf.DUMMYFUNCTION("""COMPUTED_VALUE"""),"Selesai")</f>
        <v>Selesai</v>
      </c>
      <c r="L378" s="17">
        <f>IFERROR(__xludf.DUMMYFUNCTION("""COMPUTED_VALUE"""),45636.62783174768)</f>
        <v>45636.62783</v>
      </c>
      <c r="M378" s="17">
        <f>IFERROR(__xludf.DUMMYFUNCTION("""COMPUTED_VALUE"""),45636.6278443287)</f>
        <v>45636.62784</v>
      </c>
      <c r="N378" s="13" t="str">
        <f>IFERROR(__xludf.DUMMYFUNCTION("""COMPUTED_VALUE"""),"")</f>
        <v/>
      </c>
      <c r="O378" s="13" t="str">
        <f t="shared" si="1"/>
        <v/>
      </c>
    </row>
    <row r="379" ht="22.5" customHeight="1">
      <c r="B379" s="13">
        <f>IFERROR(__xludf.DUMMYFUNCTION("""COMPUTED_VALUE"""),374.0)</f>
        <v>374</v>
      </c>
      <c r="C379" s="13" t="str">
        <f>IFERROR(__xludf.DUMMYFUNCTION("""COMPUTED_VALUE"""),"M.834/DURIAN PAYUNG")</f>
        <v>M.834/DURIAN PAYUNG</v>
      </c>
      <c r="D379" s="13" t="str">
        <f>IFERROR(__xludf.DUMMYFUNCTION("""COMPUTED_VALUE"""),"K/12/291124/1")</f>
        <v>K/12/291124/1</v>
      </c>
      <c r="E379" s="14" t="str">
        <f>IFERROR(__xludf.DUMMYFUNCTION("""COMPUTED_VALUE"""),"Nadian (BT)")</f>
        <v>Nadian (BT)</v>
      </c>
      <c r="F379" s="14" t="str">
        <f>IFERROR(__xludf.DUMMYFUNCTION("""COMPUTED_VALUE"""),"SELESAI")</f>
        <v>SELESAI</v>
      </c>
      <c r="G379" s="17">
        <f>IFERROR(__xludf.DUMMYFUNCTION("""COMPUTED_VALUE"""),45630.67349405093)</f>
        <v>45630.67349</v>
      </c>
      <c r="H379" s="14" t="str">
        <f>IFERROR(__xludf.DUMMYFUNCTION("""COMPUTED_VALUE"""),"Bu Eva (SU)")</f>
        <v>Bu Eva (SU)</v>
      </c>
      <c r="I379" s="13" t="str">
        <f>IFERROR(__xludf.DUMMYFUNCTION("""COMPUTED_VALUE"""),"SELESAI")</f>
        <v>SELESAI</v>
      </c>
      <c r="J379" s="17">
        <f>IFERROR(__xludf.DUMMYFUNCTION("""COMPUTED_VALUE"""),45636.668587858796)</f>
        <v>45636.66859</v>
      </c>
      <c r="K379" s="13" t="str">
        <f>IFERROR(__xludf.DUMMYFUNCTION("""COMPUTED_VALUE"""),"SELESAI")</f>
        <v>SELESAI</v>
      </c>
      <c r="L379" s="17">
        <f>IFERROR(__xludf.DUMMYFUNCTION("""COMPUTED_VALUE"""),45636.668587858796)</f>
        <v>45636.66859</v>
      </c>
      <c r="M379" s="17" t="str">
        <f>IFERROR(__xludf.DUMMYFUNCTION("""COMPUTED_VALUE"""),"")</f>
        <v/>
      </c>
      <c r="N379" s="17">
        <f>IFERROR(__xludf.DUMMYFUNCTION("""COMPUTED_VALUE"""),45637.43480145834)</f>
        <v>45637.4348</v>
      </c>
      <c r="O379" s="13">
        <f t="shared" si="1"/>
        <v>1</v>
      </c>
    </row>
    <row r="380" ht="22.5" customHeight="1">
      <c r="B380" s="13">
        <f>IFERROR(__xludf.DUMMYFUNCTION("""COMPUTED_VALUE"""),375.0)</f>
        <v>375</v>
      </c>
      <c r="C380" s="13" t="str">
        <f>IFERROR(__xludf.DUMMYFUNCTION("""COMPUTED_VALUE"""),"M.948/SUSUNAN BARU-SEKARANG;B.424/SUSUNAN BARU-DAHULU")</f>
        <v>M.948/SUSUNAN BARU-SEKARANG;B.424/SUSUNAN BARU-DAHULU</v>
      </c>
      <c r="D380" s="13" t="str">
        <f>IFERROR(__xludf.DUMMYFUNCTION("""COMPUTED_VALUE"""),"K/2/021224/1")</f>
        <v>K/2/021224/1</v>
      </c>
      <c r="E380" s="14" t="str">
        <f>IFERROR(__xludf.DUMMYFUNCTION("""COMPUTED_VALUE"""),"Nadian (BT)")</f>
        <v>Nadian (BT)</v>
      </c>
      <c r="F380" s="14" t="str">
        <f>IFERROR(__xludf.DUMMYFUNCTION("""COMPUTED_VALUE"""),"SELESAI")</f>
        <v>SELESAI</v>
      </c>
      <c r="G380" s="17">
        <f>IFERROR(__xludf.DUMMYFUNCTION("""COMPUTED_VALUE"""),45630.67360667824)</f>
        <v>45630.67361</v>
      </c>
      <c r="H380" s="14" t="str">
        <f>IFERROR(__xludf.DUMMYFUNCTION("""COMPUTED_VALUE"""),"Bu Eva (SU)")</f>
        <v>Bu Eva (SU)</v>
      </c>
      <c r="I380" s="13" t="str">
        <f>IFERROR(__xludf.DUMMYFUNCTION("""COMPUTED_VALUE"""),"SELESAI")</f>
        <v>SELESAI</v>
      </c>
      <c r="J380" s="17">
        <f>IFERROR(__xludf.DUMMYFUNCTION("""COMPUTED_VALUE"""),45636.668637546296)</f>
        <v>45636.66864</v>
      </c>
      <c r="K380" s="13" t="str">
        <f>IFERROR(__xludf.DUMMYFUNCTION("""COMPUTED_VALUE"""),"SELESAI")</f>
        <v>SELESAI</v>
      </c>
      <c r="L380" s="17">
        <f>IFERROR(__xludf.DUMMYFUNCTION("""COMPUTED_VALUE"""),45636.668637546296)</f>
        <v>45636.66864</v>
      </c>
      <c r="M380" s="17" t="str">
        <f>IFERROR(__xludf.DUMMYFUNCTION("""COMPUTED_VALUE"""),"")</f>
        <v/>
      </c>
      <c r="N380" s="17">
        <f>IFERROR(__xludf.DUMMYFUNCTION("""COMPUTED_VALUE"""),45637.43321498843)</f>
        <v>45637.43321</v>
      </c>
      <c r="O380" s="13">
        <f t="shared" si="1"/>
        <v>2</v>
      </c>
    </row>
    <row r="381" ht="22.5" customHeight="1">
      <c r="B381" s="13">
        <f>IFERROR(__xludf.DUMMYFUNCTION("""COMPUTED_VALUE"""),376.0)</f>
        <v>376</v>
      </c>
      <c r="C381" s="13" t="str">
        <f>IFERROR(__xludf.DUMMYFUNCTION("""COMPUTED_VALUE"""),"HGB 1864/SUKABUMI")</f>
        <v>HGB 1864/SUKABUMI</v>
      </c>
      <c r="D381" s="13" t="str">
        <f>IFERROR(__xludf.DUMMYFUNCTION("""COMPUTED_VALUE"""),"L/18/021224/1")</f>
        <v>L/18/021224/1</v>
      </c>
      <c r="E381" s="14" t="str">
        <f>IFERROR(__xludf.DUMMYFUNCTION("""COMPUTED_VALUE"""),"Nadian (BT)")</f>
        <v>Nadian (BT)</v>
      </c>
      <c r="F381" s="14" t="str">
        <f>IFERROR(__xludf.DUMMYFUNCTION("""COMPUTED_VALUE"""),"SELESAI")</f>
        <v>SELESAI</v>
      </c>
      <c r="G381" s="17">
        <f>IFERROR(__xludf.DUMMYFUNCTION("""COMPUTED_VALUE"""),45630.67360667824)</f>
        <v>45630.67361</v>
      </c>
      <c r="H381" s="14" t="str">
        <f>IFERROR(__xludf.DUMMYFUNCTION("""COMPUTED_VALUE"""),"Bu Eva (SU)")</f>
        <v>Bu Eva (SU)</v>
      </c>
      <c r="I381" s="13" t="str">
        <f>IFERROR(__xludf.DUMMYFUNCTION("""COMPUTED_VALUE"""),"SELESAI")</f>
        <v>SELESAI</v>
      </c>
      <c r="J381" s="17">
        <f>IFERROR(__xludf.DUMMYFUNCTION("""COMPUTED_VALUE"""),45636.668794756944)</f>
        <v>45636.66879</v>
      </c>
      <c r="K381" s="13" t="str">
        <f>IFERROR(__xludf.DUMMYFUNCTION("""COMPUTED_VALUE"""),"SELESAI")</f>
        <v>SELESAI</v>
      </c>
      <c r="L381" s="17">
        <f>IFERROR(__xludf.DUMMYFUNCTION("""COMPUTED_VALUE"""),45636.668794756944)</f>
        <v>45636.66879</v>
      </c>
      <c r="M381" s="17" t="str">
        <f>IFERROR(__xludf.DUMMYFUNCTION("""COMPUTED_VALUE"""),"")</f>
        <v/>
      </c>
      <c r="N381" s="17">
        <f>IFERROR(__xludf.DUMMYFUNCTION("""COMPUTED_VALUE"""),45637.43354737268)</f>
        <v>45637.43355</v>
      </c>
      <c r="O381" s="13">
        <f t="shared" si="1"/>
        <v>3</v>
      </c>
    </row>
    <row r="382" ht="22.5" customHeight="1">
      <c r="B382" s="13">
        <f>IFERROR(__xludf.DUMMYFUNCTION("""COMPUTED_VALUE"""),377.0)</f>
        <v>377</v>
      </c>
      <c r="C382" s="13" t="str">
        <f>IFERROR(__xludf.DUMMYFUNCTION("""COMPUTED_VALUE"""),"HM 13229/SEGALA MIDER")</f>
        <v>HM 13229/SEGALA MIDER</v>
      </c>
      <c r="D382" s="13" t="str">
        <f>IFERROR(__xludf.DUMMYFUNCTION("""COMPUTED_VALUE"""),"L/13/021224/1")</f>
        <v>L/13/021224/1</v>
      </c>
      <c r="E382" s="14" t="str">
        <f>IFERROR(__xludf.DUMMYFUNCTION("""COMPUTED_VALUE"""),"Nadian (BT)")</f>
        <v>Nadian (BT)</v>
      </c>
      <c r="F382" s="14" t="str">
        <f>IFERROR(__xludf.DUMMYFUNCTION("""COMPUTED_VALUE"""),"SELESAI")</f>
        <v>SELESAI</v>
      </c>
      <c r="G382" s="17">
        <f>IFERROR(__xludf.DUMMYFUNCTION("""COMPUTED_VALUE"""),45630.67360667824)</f>
        <v>45630.67361</v>
      </c>
      <c r="H382" s="14" t="str">
        <f>IFERROR(__xludf.DUMMYFUNCTION("""COMPUTED_VALUE"""),"Bu Eva (SU)")</f>
        <v>Bu Eva (SU)</v>
      </c>
      <c r="I382" s="13" t="str">
        <f>IFERROR(__xludf.DUMMYFUNCTION("""COMPUTED_VALUE"""),"SELESAI")</f>
        <v>SELESAI</v>
      </c>
      <c r="J382" s="17">
        <f>IFERROR(__xludf.DUMMYFUNCTION("""COMPUTED_VALUE"""),45636.6689591551)</f>
        <v>45636.66896</v>
      </c>
      <c r="K382" s="13" t="str">
        <f>IFERROR(__xludf.DUMMYFUNCTION("""COMPUTED_VALUE"""),"SELESAI")</f>
        <v>SELESAI</v>
      </c>
      <c r="L382" s="17">
        <f>IFERROR(__xludf.DUMMYFUNCTION("""COMPUTED_VALUE"""),45636.6689591551)</f>
        <v>45636.66896</v>
      </c>
      <c r="M382" s="17" t="str">
        <f>IFERROR(__xludf.DUMMYFUNCTION("""COMPUTED_VALUE"""),"")</f>
        <v/>
      </c>
      <c r="N382" s="17">
        <f>IFERROR(__xludf.DUMMYFUNCTION("""COMPUTED_VALUE"""),45637.428399745375)</f>
        <v>45637.4284</v>
      </c>
      <c r="O382" s="13">
        <f t="shared" si="1"/>
        <v>4</v>
      </c>
    </row>
    <row r="383" ht="22.5" customHeight="1">
      <c r="B383" s="13">
        <f>IFERROR(__xludf.DUMMYFUNCTION("""COMPUTED_VALUE"""),378.0)</f>
        <v>378</v>
      </c>
      <c r="C383" s="13" t="str">
        <f>IFERROR(__xludf.DUMMYFUNCTION("""COMPUTED_VALUE"""),"M. 420/ Rajabasa Nunyai")</f>
        <v>M. 420/ Rajabasa Nunyai</v>
      </c>
      <c r="D383" s="13" t="str">
        <f>IFERROR(__xludf.DUMMYFUNCTION("""COMPUTED_VALUE"""),"K/28/021224/2")</f>
        <v>K/28/021224/2</v>
      </c>
      <c r="E383" s="14" t="str">
        <f>IFERROR(__xludf.DUMMYFUNCTION("""COMPUTED_VALUE"""),"Nadian (BT)")</f>
        <v>Nadian (BT)</v>
      </c>
      <c r="F383" s="14" t="str">
        <f>IFERROR(__xludf.DUMMYFUNCTION("""COMPUTED_VALUE"""),"SELESAI")</f>
        <v>SELESAI</v>
      </c>
      <c r="G383" s="17">
        <f>IFERROR(__xludf.DUMMYFUNCTION("""COMPUTED_VALUE"""),45630.67360667824)</f>
        <v>45630.67361</v>
      </c>
      <c r="H383" s="14" t="str">
        <f>IFERROR(__xludf.DUMMYFUNCTION("""COMPUTED_VALUE"""),"Bu Eva (SU)")</f>
        <v>Bu Eva (SU)</v>
      </c>
      <c r="I383" s="13" t="str">
        <f>IFERROR(__xludf.DUMMYFUNCTION("""COMPUTED_VALUE"""),"SELESAI")</f>
        <v>SELESAI</v>
      </c>
      <c r="J383" s="17">
        <f>IFERROR(__xludf.DUMMYFUNCTION("""COMPUTED_VALUE"""),45636.6689591551)</f>
        <v>45636.66896</v>
      </c>
      <c r="K383" s="13" t="str">
        <f>IFERROR(__xludf.DUMMYFUNCTION("""COMPUTED_VALUE"""),"SELESAI")</f>
        <v>SELESAI</v>
      </c>
      <c r="L383" s="17">
        <f>IFERROR(__xludf.DUMMYFUNCTION("""COMPUTED_VALUE"""),45636.6689591551)</f>
        <v>45636.66896</v>
      </c>
      <c r="M383" s="17" t="str">
        <f>IFERROR(__xludf.DUMMYFUNCTION("""COMPUTED_VALUE"""),"")</f>
        <v/>
      </c>
      <c r="N383" s="17">
        <f>IFERROR(__xludf.DUMMYFUNCTION("""COMPUTED_VALUE"""),45637.42815599537)</f>
        <v>45637.42816</v>
      </c>
      <c r="O383" s="13">
        <f t="shared" si="1"/>
        <v>5</v>
      </c>
    </row>
    <row r="384" ht="22.5" customHeight="1">
      <c r="B384" s="13">
        <f>IFERROR(__xludf.DUMMYFUNCTION("""COMPUTED_VALUE"""),379.0)</f>
        <v>379</v>
      </c>
      <c r="C384" s="13" t="str">
        <f>IFERROR(__xludf.DUMMYFUNCTION("""COMPUTED_VALUE"""),"M. 3647/ Gunung Terang")</f>
        <v>M. 3647/ Gunung Terang</v>
      </c>
      <c r="D384" s="13" t="str">
        <f>IFERROR(__xludf.DUMMYFUNCTION("""COMPUTED_VALUE"""),"K/27/021224/1")</f>
        <v>K/27/021224/1</v>
      </c>
      <c r="E384" s="14" t="str">
        <f>IFERROR(__xludf.DUMMYFUNCTION("""COMPUTED_VALUE"""),"Nadian (BT)")</f>
        <v>Nadian (BT)</v>
      </c>
      <c r="F384" s="14" t="str">
        <f>IFERROR(__xludf.DUMMYFUNCTION("""COMPUTED_VALUE"""),"SELESAI")</f>
        <v>SELESAI</v>
      </c>
      <c r="G384" s="17">
        <f>IFERROR(__xludf.DUMMYFUNCTION("""COMPUTED_VALUE"""),45630.67360667824)</f>
        <v>45630.67361</v>
      </c>
      <c r="H384" s="14" t="str">
        <f>IFERROR(__xludf.DUMMYFUNCTION("""COMPUTED_VALUE"""),"Bu Eva (SU)")</f>
        <v>Bu Eva (SU)</v>
      </c>
      <c r="I384" s="13" t="str">
        <f>IFERROR(__xludf.DUMMYFUNCTION("""COMPUTED_VALUE"""),"SELESAI")</f>
        <v>SELESAI</v>
      </c>
      <c r="J384" s="17">
        <f>IFERROR(__xludf.DUMMYFUNCTION("""COMPUTED_VALUE"""),45636.668990949074)</f>
        <v>45636.66899</v>
      </c>
      <c r="K384" s="13" t="str">
        <f>IFERROR(__xludf.DUMMYFUNCTION("""COMPUTED_VALUE"""),"SELESAI")</f>
        <v>SELESAI</v>
      </c>
      <c r="L384" s="17">
        <f>IFERROR(__xludf.DUMMYFUNCTION("""COMPUTED_VALUE"""),45636.668990949074)</f>
        <v>45636.66899</v>
      </c>
      <c r="M384" s="17" t="str">
        <f>IFERROR(__xludf.DUMMYFUNCTION("""COMPUTED_VALUE"""),"")</f>
        <v/>
      </c>
      <c r="N384" s="17">
        <f>IFERROR(__xludf.DUMMYFUNCTION("""COMPUTED_VALUE"""),45637.436101203704)</f>
        <v>45637.4361</v>
      </c>
      <c r="O384" s="13">
        <f t="shared" si="1"/>
        <v>6</v>
      </c>
    </row>
    <row r="385" ht="22.5" customHeight="1">
      <c r="B385" s="13">
        <f>IFERROR(__xludf.DUMMYFUNCTION("""COMPUTED_VALUE"""),380.0)</f>
        <v>380</v>
      </c>
      <c r="C385" s="13" t="str">
        <f>IFERROR(__xludf.DUMMYFUNCTION("""COMPUTED_VALUE"""),"HM 563/NOG")</f>
        <v>HM 563/NOG</v>
      </c>
      <c r="D385" s="13" t="str">
        <f>IFERROR(__xludf.DUMMYFUNCTION("""COMPUTED_VALUE"""),"L/19/021224/1")</f>
        <v>L/19/021224/1</v>
      </c>
      <c r="E385" s="14" t="str">
        <f>IFERROR(__xludf.DUMMYFUNCTION("""COMPUTED_VALUE"""),"Afriza (BT)")</f>
        <v>Afriza (BT)</v>
      </c>
      <c r="F385" s="14" t="str">
        <f>IFERROR(__xludf.DUMMYFUNCTION("""COMPUTED_VALUE"""),"SELESAI (VIA PERMOHONAN)")</f>
        <v>SELESAI (VIA PERMOHONAN)</v>
      </c>
      <c r="G385" s="17">
        <f>IFERROR(__xludf.DUMMYFUNCTION("""COMPUTED_VALUE"""),45631.39463335648)</f>
        <v>45631.39463</v>
      </c>
      <c r="H385" s="14" t="str">
        <f>IFERROR(__xludf.DUMMYFUNCTION("""COMPUTED_VALUE"""),"Aprill (SU)")</f>
        <v>Aprill (SU)</v>
      </c>
      <c r="I385" s="13" t="str">
        <f>IFERROR(__xludf.DUMMYFUNCTION("""COMPUTED_VALUE"""),"SELESAI (VIA PERMOHONAN)")</f>
        <v>SELESAI (VIA PERMOHONAN)</v>
      </c>
      <c r="J385" s="17">
        <f>IFERROR(__xludf.DUMMYFUNCTION("""COMPUTED_VALUE"""),45636.66943026621)</f>
        <v>45636.66943</v>
      </c>
      <c r="K385" s="13" t="str">
        <f>IFERROR(__xludf.DUMMYFUNCTION("""COMPUTED_VALUE"""),"Selesai")</f>
        <v>Selesai</v>
      </c>
      <c r="L385" s="17">
        <f>IFERROR(__xludf.DUMMYFUNCTION("""COMPUTED_VALUE"""),45636.66943026621)</f>
        <v>45636.66943</v>
      </c>
      <c r="M385" s="17" t="str">
        <f>IFERROR(__xludf.DUMMYFUNCTION("""COMPUTED_VALUE"""),"")</f>
        <v/>
      </c>
      <c r="N385" s="13" t="str">
        <f>IFERROR(__xludf.DUMMYFUNCTION("""COMPUTED_VALUE"""),"")</f>
        <v/>
      </c>
      <c r="O385" s="13" t="str">
        <f t="shared" si="1"/>
        <v/>
      </c>
    </row>
    <row r="386" ht="22.5" customHeight="1">
      <c r="B386" s="13">
        <f>IFERROR(__xludf.DUMMYFUNCTION("""COMPUTED_VALUE"""),381.0)</f>
        <v>381</v>
      </c>
      <c r="C386" s="13" t="str">
        <f>IFERROR(__xludf.DUMMYFUNCTION("""COMPUTED_VALUE"""),"M.973/DURIAN PAYUNG")</f>
        <v>M.973/DURIAN PAYUNG</v>
      </c>
      <c r="D386" s="13" t="str">
        <f>IFERROR(__xludf.DUMMYFUNCTION("""COMPUTED_VALUE"""),"L/4/301124/4")</f>
        <v>L/4/301124/4</v>
      </c>
      <c r="E386" s="14" t="str">
        <f>IFERROR(__xludf.DUMMYFUNCTION("""COMPUTED_VALUE"""),"Afriza (BT)")</f>
        <v>Afriza (BT)</v>
      </c>
      <c r="F386" s="14" t="str">
        <f>IFERROR(__xludf.DUMMYFUNCTION("""COMPUTED_VALUE"""),"SELESAI (VIA PERMOHONAN)")</f>
        <v>SELESAI (VIA PERMOHONAN)</v>
      </c>
      <c r="G386" s="17">
        <f>IFERROR(__xludf.DUMMYFUNCTION("""COMPUTED_VALUE"""),45631.422656469906)</f>
        <v>45631.42266</v>
      </c>
      <c r="H386" s="14" t="str">
        <f>IFERROR(__xludf.DUMMYFUNCTION("""COMPUTED_VALUE"""),"Aprill (SU)")</f>
        <v>Aprill (SU)</v>
      </c>
      <c r="I386" s="13" t="str">
        <f>IFERROR(__xludf.DUMMYFUNCTION("""COMPUTED_VALUE"""),"SELESAI (VIA PERMOHONAN)")</f>
        <v>SELESAI (VIA PERMOHONAN)</v>
      </c>
      <c r="J386" s="17">
        <f>IFERROR(__xludf.DUMMYFUNCTION("""COMPUTED_VALUE"""),45636.66943945602)</f>
        <v>45636.66944</v>
      </c>
      <c r="K386" s="13" t="str">
        <f>IFERROR(__xludf.DUMMYFUNCTION("""COMPUTED_VALUE"""),"Selesai")</f>
        <v>Selesai</v>
      </c>
      <c r="L386" s="17">
        <f>IFERROR(__xludf.DUMMYFUNCTION("""COMPUTED_VALUE"""),45636.66943945602)</f>
        <v>45636.66944</v>
      </c>
      <c r="M386" s="17">
        <f>IFERROR(__xludf.DUMMYFUNCTION("""COMPUTED_VALUE"""),45636.66244554398)</f>
        <v>45636.66245</v>
      </c>
      <c r="N386" s="13" t="str">
        <f>IFERROR(__xludf.DUMMYFUNCTION("""COMPUTED_VALUE"""),"")</f>
        <v/>
      </c>
      <c r="O386" s="13" t="str">
        <f t="shared" si="1"/>
        <v/>
      </c>
    </row>
    <row r="387" ht="22.5" customHeight="1">
      <c r="B387" s="13">
        <f>IFERROR(__xludf.DUMMYFUNCTION("""COMPUTED_VALUE"""),382.0)</f>
        <v>382</v>
      </c>
      <c r="C387" s="13" t="str">
        <f>IFERROR(__xludf.DUMMYFUNCTION("""COMPUTED_VALUE"""),"M. 2146/ Pengajaran")</f>
        <v>M. 2146/ Pengajaran</v>
      </c>
      <c r="D387" s="13" t="str">
        <f>IFERROR(__xludf.DUMMYFUNCTION("""COMPUTED_VALUE"""),"K/38/031224/2")</f>
        <v>K/38/031224/2</v>
      </c>
      <c r="E387" s="14" t="str">
        <f>IFERROR(__xludf.DUMMYFUNCTION("""COMPUTED_VALUE"""),"Nadian (BT)")</f>
        <v>Nadian (BT)</v>
      </c>
      <c r="F387" s="14" t="str">
        <f>IFERROR(__xludf.DUMMYFUNCTION("""COMPUTED_VALUE"""),"SELESAI (VIA PERMOHONAN)")</f>
        <v>SELESAI (VIA PERMOHONAN)</v>
      </c>
      <c r="G387" s="17">
        <f>IFERROR(__xludf.DUMMYFUNCTION("""COMPUTED_VALUE"""),45631.66760719907)</f>
        <v>45631.66761</v>
      </c>
      <c r="H387" s="14" t="str">
        <f>IFERROR(__xludf.DUMMYFUNCTION("""COMPUTED_VALUE"""),"Aprill (SU)")</f>
        <v>Aprill (SU)</v>
      </c>
      <c r="I387" s="13" t="str">
        <f>IFERROR(__xludf.DUMMYFUNCTION("""COMPUTED_VALUE"""),"SELESAI (VIA PERMOHONAN)")</f>
        <v>SELESAI (VIA PERMOHONAN)</v>
      </c>
      <c r="J387" s="17">
        <f>IFERROR(__xludf.DUMMYFUNCTION("""COMPUTED_VALUE"""),45636.66954869213)</f>
        <v>45636.66955</v>
      </c>
      <c r="K387" s="13" t="str">
        <f>IFERROR(__xludf.DUMMYFUNCTION("""COMPUTED_VALUE"""),"Selesai")</f>
        <v>Selesai</v>
      </c>
      <c r="L387" s="17">
        <f>IFERROR(__xludf.DUMMYFUNCTION("""COMPUTED_VALUE"""),45636.66954869213)</f>
        <v>45636.66955</v>
      </c>
      <c r="M387" s="17" t="str">
        <f>IFERROR(__xludf.DUMMYFUNCTION("""COMPUTED_VALUE"""),"")</f>
        <v/>
      </c>
      <c r="N387" s="13" t="str">
        <f>IFERROR(__xludf.DUMMYFUNCTION("""COMPUTED_VALUE"""),"")</f>
        <v/>
      </c>
      <c r="O387" s="13" t="str">
        <f t="shared" si="1"/>
        <v/>
      </c>
    </row>
    <row r="388" ht="22.5" customHeight="1">
      <c r="B388" s="13">
        <f>IFERROR(__xludf.DUMMYFUNCTION("""COMPUTED_VALUE"""),383.0)</f>
        <v>383</v>
      </c>
      <c r="C388" s="13" t="str">
        <f>IFERROR(__xludf.DUMMYFUNCTION("""COMPUTED_VALUE"""),"M. 1037/ Kaliawi")</f>
        <v>M. 1037/ Kaliawi</v>
      </c>
      <c r="D388" s="13" t="str">
        <f>IFERROR(__xludf.DUMMYFUNCTION("""COMPUTED_VALUE"""),"K/2/031224/1")</f>
        <v>K/2/031224/1</v>
      </c>
      <c r="E388" s="14" t="str">
        <f>IFERROR(__xludf.DUMMYFUNCTION("""COMPUTED_VALUE"""),"Nadian (BT)")</f>
        <v>Nadian (BT)</v>
      </c>
      <c r="F388" s="14" t="str">
        <f>IFERROR(__xludf.DUMMYFUNCTION("""COMPUTED_VALUE"""),"SELESAI")</f>
        <v>SELESAI</v>
      </c>
      <c r="G388" s="17">
        <f>IFERROR(__xludf.DUMMYFUNCTION("""COMPUTED_VALUE"""),45631.670508090276)</f>
        <v>45631.67051</v>
      </c>
      <c r="H388" s="14" t="str">
        <f>IFERROR(__xludf.DUMMYFUNCTION("""COMPUTED_VALUE"""),"Bu Eva (SU)")</f>
        <v>Bu Eva (SU)</v>
      </c>
      <c r="I388" s="13" t="str">
        <f>IFERROR(__xludf.DUMMYFUNCTION("""COMPUTED_VALUE"""),"SELESAI")</f>
        <v>SELESAI</v>
      </c>
      <c r="J388" s="17">
        <f>IFERROR(__xludf.DUMMYFUNCTION("""COMPUTED_VALUE"""),45636.66965111111)</f>
        <v>45636.66965</v>
      </c>
      <c r="K388" s="13" t="str">
        <f>IFERROR(__xludf.DUMMYFUNCTION("""COMPUTED_VALUE"""),"SELESAI")</f>
        <v>SELESAI</v>
      </c>
      <c r="L388" s="17">
        <f>IFERROR(__xludf.DUMMYFUNCTION("""COMPUTED_VALUE"""),45636.66965111111)</f>
        <v>45636.66965</v>
      </c>
      <c r="M388" s="17" t="str">
        <f>IFERROR(__xludf.DUMMYFUNCTION("""COMPUTED_VALUE"""),"")</f>
        <v/>
      </c>
      <c r="N388" s="17">
        <f>IFERROR(__xludf.DUMMYFUNCTION("""COMPUTED_VALUE"""),45637.43539021991)</f>
        <v>45637.43539</v>
      </c>
      <c r="O388" s="13">
        <f t="shared" si="1"/>
        <v>1</v>
      </c>
    </row>
    <row r="389" ht="22.5" customHeight="1">
      <c r="B389" s="13">
        <f>IFERROR(__xludf.DUMMYFUNCTION("""COMPUTED_VALUE"""),384.0)</f>
        <v>384</v>
      </c>
      <c r="C389" s="13" t="str">
        <f>IFERROR(__xludf.DUMMYFUNCTION("""COMPUTED_VALUE"""),"M.2867/KETEGUHAN-SEKARANG;B.867/KETEGUHAN-DAHULU")</f>
        <v>M.2867/KETEGUHAN-SEKARANG;B.867/KETEGUHAN-DAHULU</v>
      </c>
      <c r="D389" s="13" t="str">
        <f>IFERROR(__xludf.DUMMYFUNCTION("""COMPUTED_VALUE"""),"K/11/031224/3")</f>
        <v>K/11/031224/3</v>
      </c>
      <c r="E389" s="14" t="str">
        <f>IFERROR(__xludf.DUMMYFUNCTION("""COMPUTED_VALUE"""),"Nadian (BT)")</f>
        <v>Nadian (BT)</v>
      </c>
      <c r="F389" s="14" t="str">
        <f>IFERROR(__xludf.DUMMYFUNCTION("""COMPUTED_VALUE"""),"SELESAI")</f>
        <v>SELESAI</v>
      </c>
      <c r="G389" s="17">
        <f>IFERROR(__xludf.DUMMYFUNCTION("""COMPUTED_VALUE"""),45631.67050810185)</f>
        <v>45631.67051</v>
      </c>
      <c r="H389" s="14" t="str">
        <f>IFERROR(__xludf.DUMMYFUNCTION("""COMPUTED_VALUE"""),"Bu Eva (SU)")</f>
        <v>Bu Eva (SU)</v>
      </c>
      <c r="I389" s="13" t="str">
        <f>IFERROR(__xludf.DUMMYFUNCTION("""COMPUTED_VALUE"""),"SELESAI")</f>
        <v>SELESAI</v>
      </c>
      <c r="J389" s="17">
        <f>IFERROR(__xludf.DUMMYFUNCTION("""COMPUTED_VALUE"""),45636.66965111111)</f>
        <v>45636.66965</v>
      </c>
      <c r="K389" s="13" t="str">
        <f>IFERROR(__xludf.DUMMYFUNCTION("""COMPUTED_VALUE"""),"SELESAI")</f>
        <v>SELESAI</v>
      </c>
      <c r="L389" s="17">
        <f>IFERROR(__xludf.DUMMYFUNCTION("""COMPUTED_VALUE"""),45636.66965111111)</f>
        <v>45636.66965</v>
      </c>
      <c r="M389" s="17" t="str">
        <f>IFERROR(__xludf.DUMMYFUNCTION("""COMPUTED_VALUE"""),"")</f>
        <v/>
      </c>
      <c r="N389" s="17">
        <f>IFERROR(__xludf.DUMMYFUNCTION("""COMPUTED_VALUE"""),45637.42897814815)</f>
        <v>45637.42898</v>
      </c>
      <c r="O389" s="13">
        <f t="shared" si="1"/>
        <v>2</v>
      </c>
    </row>
    <row r="390" ht="22.5" customHeight="1">
      <c r="B390" s="13">
        <f>IFERROR(__xludf.DUMMYFUNCTION("""COMPUTED_VALUE"""),385.0)</f>
        <v>385</v>
      </c>
      <c r="C390" s="13" t="str">
        <f>IFERROR(__xludf.DUMMYFUNCTION("""COMPUTED_VALUE"""),"M.1763/SEPANG JAYA")</f>
        <v>M.1763/SEPANG JAYA</v>
      </c>
      <c r="D390" s="13" t="str">
        <f>IFERROR(__xludf.DUMMYFUNCTION("""COMPUTED_VALUE"""),"K/19/031224/1")</f>
        <v>K/19/031224/1</v>
      </c>
      <c r="E390" s="14" t="str">
        <f>IFERROR(__xludf.DUMMYFUNCTION("""COMPUTED_VALUE"""),"Nadian (BT)")</f>
        <v>Nadian (BT)</v>
      </c>
      <c r="F390" s="14" t="str">
        <f>IFERROR(__xludf.DUMMYFUNCTION("""COMPUTED_VALUE"""),"SELESAI")</f>
        <v>SELESAI</v>
      </c>
      <c r="G390" s="17">
        <f>IFERROR(__xludf.DUMMYFUNCTION("""COMPUTED_VALUE"""),45631.67050810185)</f>
        <v>45631.67051</v>
      </c>
      <c r="H390" s="14" t="str">
        <f>IFERROR(__xludf.DUMMYFUNCTION("""COMPUTED_VALUE"""),"Bu Eva (SU)")</f>
        <v>Bu Eva (SU)</v>
      </c>
      <c r="I390" s="13" t="str">
        <f>IFERROR(__xludf.DUMMYFUNCTION("""COMPUTED_VALUE"""),"SELESAI")</f>
        <v>SELESAI</v>
      </c>
      <c r="J390" s="17">
        <f>IFERROR(__xludf.DUMMYFUNCTION("""COMPUTED_VALUE"""),45636.66965111111)</f>
        <v>45636.66965</v>
      </c>
      <c r="K390" s="13" t="str">
        <f>IFERROR(__xludf.DUMMYFUNCTION("""COMPUTED_VALUE"""),"SELESAI")</f>
        <v>SELESAI</v>
      </c>
      <c r="L390" s="17">
        <f>IFERROR(__xludf.DUMMYFUNCTION("""COMPUTED_VALUE"""),45636.66965111111)</f>
        <v>45636.66965</v>
      </c>
      <c r="M390" s="17">
        <f>IFERROR(__xludf.DUMMYFUNCTION("""COMPUTED_VALUE"""),45637.69026938657)</f>
        <v>45637.69027</v>
      </c>
      <c r="N390" s="17">
        <f>IFERROR(__xludf.DUMMYFUNCTION("""COMPUTED_VALUE"""),45637.428765046294)</f>
        <v>45637.42877</v>
      </c>
      <c r="O390" s="13">
        <f t="shared" si="1"/>
        <v>3</v>
      </c>
    </row>
    <row r="391" ht="22.5" customHeight="1">
      <c r="B391" s="13">
        <f>IFERROR(__xludf.DUMMYFUNCTION("""COMPUTED_VALUE"""),386.0)</f>
        <v>386</v>
      </c>
      <c r="C391" s="13" t="str">
        <f>IFERROR(__xludf.DUMMYFUNCTION("""COMPUTED_VALUE"""),"M. 9026/ Labuhan Ratu")</f>
        <v>M. 9026/ Labuhan Ratu</v>
      </c>
      <c r="D391" s="13" t="str">
        <f>IFERROR(__xludf.DUMMYFUNCTION("""COMPUTED_VALUE"""),"K/23/031224/1")</f>
        <v>K/23/031224/1</v>
      </c>
      <c r="E391" s="14" t="str">
        <f>IFERROR(__xludf.DUMMYFUNCTION("""COMPUTED_VALUE"""),"Nadian (BT)")</f>
        <v>Nadian (BT)</v>
      </c>
      <c r="F391" s="14" t="str">
        <f>IFERROR(__xludf.DUMMYFUNCTION("""COMPUTED_VALUE"""),"SELESAI")</f>
        <v>SELESAI</v>
      </c>
      <c r="G391" s="17">
        <f>IFERROR(__xludf.DUMMYFUNCTION("""COMPUTED_VALUE"""),45631.67050810185)</f>
        <v>45631.67051</v>
      </c>
      <c r="H391" s="14" t="str">
        <f>IFERROR(__xludf.DUMMYFUNCTION("""COMPUTED_VALUE"""),"Bu Eva (SU)")</f>
        <v>Bu Eva (SU)</v>
      </c>
      <c r="I391" s="13" t="str">
        <f>IFERROR(__xludf.DUMMYFUNCTION("""COMPUTED_VALUE"""),"SELESAI")</f>
        <v>SELESAI</v>
      </c>
      <c r="J391" s="17">
        <f>IFERROR(__xludf.DUMMYFUNCTION("""COMPUTED_VALUE"""),45636.66406163195)</f>
        <v>45636.66406</v>
      </c>
      <c r="K391" s="13" t="str">
        <f>IFERROR(__xludf.DUMMYFUNCTION("""COMPUTED_VALUE"""),"SELESAI")</f>
        <v>SELESAI</v>
      </c>
      <c r="L391" s="17">
        <f>IFERROR(__xludf.DUMMYFUNCTION("""COMPUTED_VALUE"""),45636.66406163195)</f>
        <v>45636.66406</v>
      </c>
      <c r="M391" s="17">
        <f>IFERROR(__xludf.DUMMYFUNCTION("""COMPUTED_VALUE"""),45636.66410375)</f>
        <v>45636.6641</v>
      </c>
      <c r="N391" s="17">
        <f>IFERROR(__xludf.DUMMYFUNCTION("""COMPUTED_VALUE"""),45637.43566846065)</f>
        <v>45637.43567</v>
      </c>
      <c r="O391" s="13">
        <f t="shared" si="1"/>
        <v>4</v>
      </c>
    </row>
    <row r="392" ht="22.5" customHeight="1">
      <c r="B392" s="13">
        <f>IFERROR(__xludf.DUMMYFUNCTION("""COMPUTED_VALUE"""),387.0)</f>
        <v>387</v>
      </c>
      <c r="C392" s="13" t="str">
        <f>IFERROR(__xludf.DUMMYFUNCTION("""COMPUTED_VALUE"""),"M.2619/PINANG JAYA")</f>
        <v>M.2619/PINANG JAYA</v>
      </c>
      <c r="D392" s="13" t="str">
        <f>IFERROR(__xludf.DUMMYFUNCTION("""COMPUTED_VALUE"""),"K/09/031224/2")</f>
        <v>K/09/031224/2</v>
      </c>
      <c r="E392" s="14" t="str">
        <f>IFERROR(__xludf.DUMMYFUNCTION("""COMPUTED_VALUE"""),"Nadian (BT)")</f>
        <v>Nadian (BT)</v>
      </c>
      <c r="F392" s="14" t="str">
        <f>IFERROR(__xludf.DUMMYFUNCTION("""COMPUTED_VALUE"""),"SELESAI")</f>
        <v>SELESAI</v>
      </c>
      <c r="G392" s="17">
        <f>IFERROR(__xludf.DUMMYFUNCTION("""COMPUTED_VALUE"""),45631.67050810185)</f>
        <v>45631.67051</v>
      </c>
      <c r="H392" s="14" t="str">
        <f>IFERROR(__xludf.DUMMYFUNCTION("""COMPUTED_VALUE"""),"Bu Eva (SU)")</f>
        <v>Bu Eva (SU)</v>
      </c>
      <c r="I392" s="13" t="str">
        <f>IFERROR(__xludf.DUMMYFUNCTION("""COMPUTED_VALUE"""),"SELESAI")</f>
        <v>SELESAI</v>
      </c>
      <c r="J392" s="17">
        <f>IFERROR(__xludf.DUMMYFUNCTION("""COMPUTED_VALUE"""),45636.70676100695)</f>
        <v>45636.70676</v>
      </c>
      <c r="K392" s="13" t="str">
        <f>IFERROR(__xludf.DUMMYFUNCTION("""COMPUTED_VALUE"""),"SELESAI")</f>
        <v>SELESAI</v>
      </c>
      <c r="L392" s="17">
        <f>IFERROR(__xludf.DUMMYFUNCTION("""COMPUTED_VALUE"""),45636.70676100695)</f>
        <v>45636.70676</v>
      </c>
      <c r="M392" s="17">
        <f>IFERROR(__xludf.DUMMYFUNCTION("""COMPUTED_VALUE"""),45636.70676100695)</f>
        <v>45636.70676</v>
      </c>
      <c r="N392" s="17">
        <f>IFERROR(__xludf.DUMMYFUNCTION("""COMPUTED_VALUE"""),45637.4311846875)</f>
        <v>45637.43118</v>
      </c>
      <c r="O392" s="13">
        <f t="shared" si="1"/>
        <v>5</v>
      </c>
    </row>
    <row r="393" ht="22.5" customHeight="1">
      <c r="B393" s="13">
        <f>IFERROR(__xludf.DUMMYFUNCTION("""COMPUTED_VALUE"""),388.0)</f>
        <v>388</v>
      </c>
      <c r="C393" s="13" t="str">
        <f>IFERROR(__xludf.DUMMYFUNCTION("""COMPUTED_VALUE"""),"HM 2692/KOTA BARU")</f>
        <v>HM 2692/KOTA BARU</v>
      </c>
      <c r="D393" s="13" t="str">
        <f>IFERROR(__xludf.DUMMYFUNCTION("""COMPUTED_VALUE"""),"L/8/031224/1")</f>
        <v>L/8/031224/1</v>
      </c>
      <c r="E393" s="14" t="str">
        <f>IFERROR(__xludf.DUMMYFUNCTION("""COMPUTED_VALUE"""),"Nadian (BT)")</f>
        <v>Nadian (BT)</v>
      </c>
      <c r="F393" s="14" t="str">
        <f>IFERROR(__xludf.DUMMYFUNCTION("""COMPUTED_VALUE"""),"SELESAI")</f>
        <v>SELESAI</v>
      </c>
      <c r="G393" s="17">
        <f>IFERROR(__xludf.DUMMYFUNCTION("""COMPUTED_VALUE"""),45631.670553055556)</f>
        <v>45631.67055</v>
      </c>
      <c r="H393" s="14" t="str">
        <f>IFERROR(__xludf.DUMMYFUNCTION("""COMPUTED_VALUE"""),"Bu Eva (SU)")</f>
        <v>Bu Eva (SU)</v>
      </c>
      <c r="I393" s="13" t="str">
        <f>IFERROR(__xludf.DUMMYFUNCTION("""COMPUTED_VALUE"""),"SELESAI")</f>
        <v>SELESAI</v>
      </c>
      <c r="J393" s="17">
        <f>IFERROR(__xludf.DUMMYFUNCTION("""COMPUTED_VALUE"""),45636.70676101852)</f>
        <v>45636.70676</v>
      </c>
      <c r="K393" s="13" t="str">
        <f>IFERROR(__xludf.DUMMYFUNCTION("""COMPUTED_VALUE"""),"SELESAI")</f>
        <v>SELESAI</v>
      </c>
      <c r="L393" s="17">
        <f>IFERROR(__xludf.DUMMYFUNCTION("""COMPUTED_VALUE"""),45636.70676101852)</f>
        <v>45636.70676</v>
      </c>
      <c r="M393" s="17" t="str">
        <f>IFERROR(__xludf.DUMMYFUNCTION("""COMPUTED_VALUE"""),"")</f>
        <v/>
      </c>
      <c r="N393" s="17">
        <f>IFERROR(__xludf.DUMMYFUNCTION("""COMPUTED_VALUE"""),45637.42959371528)</f>
        <v>45637.42959</v>
      </c>
      <c r="O393" s="13">
        <f t="shared" si="1"/>
        <v>6</v>
      </c>
    </row>
    <row r="394" ht="22.5" customHeight="1">
      <c r="B394" s="13">
        <f>IFERROR(__xludf.DUMMYFUNCTION("""COMPUTED_VALUE"""),389.0)</f>
        <v>389</v>
      </c>
      <c r="C394" s="13" t="str">
        <f>IFERROR(__xludf.DUMMYFUNCTION("""COMPUTED_VALUE"""),"M. 10450/ Sukabumi")</f>
        <v>M. 10450/ Sukabumi</v>
      </c>
      <c r="D394" s="13" t="str">
        <f>IFERROR(__xludf.DUMMYFUNCTION("""COMPUTED_VALUE"""),"K/4/041224/1")</f>
        <v>K/4/041224/1</v>
      </c>
      <c r="E394" s="14" t="str">
        <f>IFERROR(__xludf.DUMMYFUNCTION("""COMPUTED_VALUE"""),"Afriza (BT)")</f>
        <v>Afriza (BT)</v>
      </c>
      <c r="F394" s="14" t="str">
        <f>IFERROR(__xludf.DUMMYFUNCTION("""COMPUTED_VALUE"""),"SELESAI")</f>
        <v>SELESAI</v>
      </c>
      <c r="G394" s="17">
        <f>IFERROR(__xludf.DUMMYFUNCTION("""COMPUTED_VALUE"""),45631.67546668982)</f>
        <v>45631.67547</v>
      </c>
      <c r="H394" s="14" t="str">
        <f>IFERROR(__xludf.DUMMYFUNCTION("""COMPUTED_VALUE"""),"Bu Eva (SU)")</f>
        <v>Bu Eva (SU)</v>
      </c>
      <c r="I394" s="13" t="str">
        <f>IFERROR(__xludf.DUMMYFUNCTION("""COMPUTED_VALUE"""),"SELESAI")</f>
        <v>SELESAI</v>
      </c>
      <c r="J394" s="17">
        <f>IFERROR(__xludf.DUMMYFUNCTION("""COMPUTED_VALUE"""),45636.70676101852)</f>
        <v>45636.70676</v>
      </c>
      <c r="K394" s="13" t="str">
        <f>IFERROR(__xludf.DUMMYFUNCTION("""COMPUTED_VALUE"""),"SELESAI")</f>
        <v>SELESAI</v>
      </c>
      <c r="L394" s="17">
        <f>IFERROR(__xludf.DUMMYFUNCTION("""COMPUTED_VALUE"""),45636.70676101852)</f>
        <v>45636.70676</v>
      </c>
      <c r="M394" s="17" t="str">
        <f>IFERROR(__xludf.DUMMYFUNCTION("""COMPUTED_VALUE"""),"")</f>
        <v/>
      </c>
      <c r="N394" s="17">
        <f>IFERROR(__xludf.DUMMYFUNCTION("""COMPUTED_VALUE"""),45637.43274508102)</f>
        <v>45637.43275</v>
      </c>
      <c r="O394" s="13">
        <f t="shared" si="1"/>
        <v>7</v>
      </c>
    </row>
    <row r="395" ht="22.5" customHeight="1">
      <c r="B395" s="13">
        <f>IFERROR(__xludf.DUMMYFUNCTION("""COMPUTED_VALUE"""),390.0)</f>
        <v>390</v>
      </c>
      <c r="C395" s="13" t="str">
        <f>IFERROR(__xludf.DUMMYFUNCTION("""COMPUTED_VALUE"""),"B.253/NUSANTARA PERMAI")</f>
        <v>B.253/NUSANTARA PERMAI</v>
      </c>
      <c r="D395" s="13" t="str">
        <f>IFERROR(__xludf.DUMMYFUNCTION("""COMPUTED_VALUE"""),"K/44/031224/1")</f>
        <v>K/44/031224/1</v>
      </c>
      <c r="E395" s="14" t="str">
        <f>IFERROR(__xludf.DUMMYFUNCTION("""COMPUTED_VALUE"""),"Afriza (BT)")</f>
        <v>Afriza (BT)</v>
      </c>
      <c r="F395" s="14" t="str">
        <f>IFERROR(__xludf.DUMMYFUNCTION("""COMPUTED_VALUE"""),"SELESAI")</f>
        <v>SELESAI</v>
      </c>
      <c r="G395" s="17">
        <f>IFERROR(__xludf.DUMMYFUNCTION("""COMPUTED_VALUE"""),45631.67568565972)</f>
        <v>45631.67569</v>
      </c>
      <c r="H395" s="14" t="str">
        <f>IFERROR(__xludf.DUMMYFUNCTION("""COMPUTED_VALUE"""),"Bu Eva (SU)")</f>
        <v>Bu Eva (SU)</v>
      </c>
      <c r="I395" s="13" t="str">
        <f>IFERROR(__xludf.DUMMYFUNCTION("""COMPUTED_VALUE"""),"SELESAI")</f>
        <v>SELESAI</v>
      </c>
      <c r="J395" s="17">
        <f>IFERROR(__xludf.DUMMYFUNCTION("""COMPUTED_VALUE"""),45636.70676101852)</f>
        <v>45636.70676</v>
      </c>
      <c r="K395" s="13" t="str">
        <f>IFERROR(__xludf.DUMMYFUNCTION("""COMPUTED_VALUE"""),"SELESAI")</f>
        <v>SELESAI</v>
      </c>
      <c r="L395" s="17">
        <f>IFERROR(__xludf.DUMMYFUNCTION("""COMPUTED_VALUE"""),45636.70676101852)</f>
        <v>45636.70676</v>
      </c>
      <c r="M395" s="17">
        <f>IFERROR(__xludf.DUMMYFUNCTION("""COMPUTED_VALUE"""),45637.69036075231)</f>
        <v>45637.69036</v>
      </c>
      <c r="N395" s="17">
        <f>IFERROR(__xludf.DUMMYFUNCTION("""COMPUTED_VALUE"""),45637.41251400463)</f>
        <v>45637.41251</v>
      </c>
      <c r="O395" s="13">
        <f t="shared" si="1"/>
        <v>8</v>
      </c>
    </row>
    <row r="396" ht="22.5" customHeight="1">
      <c r="B396" s="13">
        <f>IFERROR(__xludf.DUMMYFUNCTION("""COMPUTED_VALUE"""),391.0)</f>
        <v>391</v>
      </c>
      <c r="C396" s="13" t="str">
        <f>IFERROR(__xludf.DUMMYFUNCTION("""COMPUTED_VALUE"""),"M. 646/ Perwata")</f>
        <v>M. 646/ Perwata</v>
      </c>
      <c r="D396" s="13" t="str">
        <f>IFERROR(__xludf.DUMMYFUNCTION("""COMPUTED_VALUE"""),"K/26/031224/3")</f>
        <v>K/26/031224/3</v>
      </c>
      <c r="E396" s="14" t="str">
        <f>IFERROR(__xludf.DUMMYFUNCTION("""COMPUTED_VALUE"""),"Afriza (BT)")</f>
        <v>Afriza (BT)</v>
      </c>
      <c r="F396" s="14" t="str">
        <f>IFERROR(__xludf.DUMMYFUNCTION("""COMPUTED_VALUE"""),"SELESAI")</f>
        <v>SELESAI</v>
      </c>
      <c r="G396" s="17">
        <f>IFERROR(__xludf.DUMMYFUNCTION("""COMPUTED_VALUE"""),45631.67617917824)</f>
        <v>45631.67618</v>
      </c>
      <c r="H396" s="14" t="str">
        <f>IFERROR(__xludf.DUMMYFUNCTION("""COMPUTED_VALUE"""),"Bu Eva (SU)")</f>
        <v>Bu Eva (SU)</v>
      </c>
      <c r="I396" s="13" t="str">
        <f>IFERROR(__xludf.DUMMYFUNCTION("""COMPUTED_VALUE"""),"SELESAI")</f>
        <v>SELESAI</v>
      </c>
      <c r="J396" s="17">
        <f>IFERROR(__xludf.DUMMYFUNCTION("""COMPUTED_VALUE"""),45636.70676101852)</f>
        <v>45636.70676</v>
      </c>
      <c r="K396" s="13" t="str">
        <f>IFERROR(__xludf.DUMMYFUNCTION("""COMPUTED_VALUE"""),"SELESAI")</f>
        <v>SELESAI</v>
      </c>
      <c r="L396" s="17">
        <f>IFERROR(__xludf.DUMMYFUNCTION("""COMPUTED_VALUE"""),45636.70676101852)</f>
        <v>45636.70676</v>
      </c>
      <c r="M396" s="17" t="str">
        <f>IFERROR(__xludf.DUMMYFUNCTION("""COMPUTED_VALUE"""),"")</f>
        <v/>
      </c>
      <c r="N396" s="17">
        <f>IFERROR(__xludf.DUMMYFUNCTION("""COMPUTED_VALUE"""),45637.4325540162)</f>
        <v>45637.43255</v>
      </c>
      <c r="O396" s="13">
        <f t="shared" si="1"/>
        <v>9</v>
      </c>
    </row>
    <row r="397" ht="22.5" customHeight="1">
      <c r="B397" s="13">
        <f>IFERROR(__xludf.DUMMYFUNCTION("""COMPUTED_VALUE"""),392.0)</f>
        <v>392</v>
      </c>
      <c r="C397" s="13" t="str">
        <f>IFERROR(__xludf.DUMMYFUNCTION("""COMPUTED_VALUE"""),"M. 1646/ Bumi Kedamaian")</f>
        <v>M. 1646/ Bumi Kedamaian</v>
      </c>
      <c r="D397" s="13" t="str">
        <f>IFERROR(__xludf.DUMMYFUNCTION("""COMPUTED_VALUE"""),"K/8/281124/1")</f>
        <v>K/8/281124/1</v>
      </c>
      <c r="E397" s="14" t="str">
        <f>IFERROR(__xludf.DUMMYFUNCTION("""COMPUTED_VALUE"""),"Afriza (BT)")</f>
        <v>Afriza (BT)</v>
      </c>
      <c r="F397" s="14" t="str">
        <f>IFERROR(__xludf.DUMMYFUNCTION("""COMPUTED_VALUE"""),"SELESAI (VIA PERMOHONAN)")</f>
        <v>SELESAI (VIA PERMOHONAN)</v>
      </c>
      <c r="G397" s="17">
        <f>IFERROR(__xludf.DUMMYFUNCTION("""COMPUTED_VALUE"""),45631.67919898148)</f>
        <v>45631.6792</v>
      </c>
      <c r="H397" s="14" t="str">
        <f>IFERROR(__xludf.DUMMYFUNCTION("""COMPUTED_VALUE"""),"Aprill (SU)")</f>
        <v>Aprill (SU)</v>
      </c>
      <c r="I397" s="13" t="str">
        <f>IFERROR(__xludf.DUMMYFUNCTION("""COMPUTED_VALUE"""),"SELESAI (VIA PERMOHONAN)")</f>
        <v>SELESAI (VIA PERMOHONAN)</v>
      </c>
      <c r="J397" s="17">
        <f>IFERROR(__xludf.DUMMYFUNCTION("""COMPUTED_VALUE"""),45636.70676101852)</f>
        <v>45636.70676</v>
      </c>
      <c r="K397" s="13" t="str">
        <f>IFERROR(__xludf.DUMMYFUNCTION("""COMPUTED_VALUE"""),"Selesai")</f>
        <v>Selesai</v>
      </c>
      <c r="L397" s="17">
        <f>IFERROR(__xludf.DUMMYFUNCTION("""COMPUTED_VALUE"""),45636.70676101852)</f>
        <v>45636.70676</v>
      </c>
      <c r="M397" s="17">
        <f>IFERROR(__xludf.DUMMYFUNCTION("""COMPUTED_VALUE"""),45636.70676101852)</f>
        <v>45636.70676</v>
      </c>
      <c r="N397" s="13" t="str">
        <f>IFERROR(__xludf.DUMMYFUNCTION("""COMPUTED_VALUE"""),"")</f>
        <v/>
      </c>
      <c r="O397" s="13" t="str">
        <f t="shared" si="1"/>
        <v/>
      </c>
    </row>
    <row r="398" ht="22.5" customHeight="1">
      <c r="B398" s="13">
        <f>IFERROR(__xludf.DUMMYFUNCTION("""COMPUTED_VALUE"""),393.0)</f>
        <v>393</v>
      </c>
      <c r="C398" s="13" t="str">
        <f>IFERROR(__xludf.DUMMYFUNCTION("""COMPUTED_VALUE"""),"M. 440/ Kaliawi Persada")</f>
        <v>M. 440/ Kaliawi Persada</v>
      </c>
      <c r="D398" s="13" t="str">
        <f>IFERROR(__xludf.DUMMYFUNCTION("""COMPUTED_VALUE"""),"K/8/021224/1")</f>
        <v>K/8/021224/1</v>
      </c>
      <c r="E398" s="14" t="str">
        <f>IFERROR(__xludf.DUMMYFUNCTION("""COMPUTED_VALUE"""),"Afriza (BT)")</f>
        <v>Afriza (BT)</v>
      </c>
      <c r="F398" s="14" t="str">
        <f>IFERROR(__xludf.DUMMYFUNCTION("""COMPUTED_VALUE"""),"SELESAI (VIA PERMOHONAN)")</f>
        <v>SELESAI (VIA PERMOHONAN)</v>
      </c>
      <c r="G398" s="17">
        <f>IFERROR(__xludf.DUMMYFUNCTION("""COMPUTED_VALUE"""),45632.64092766204)</f>
        <v>45632.64093</v>
      </c>
      <c r="H398" s="14" t="str">
        <f>IFERROR(__xludf.DUMMYFUNCTION("""COMPUTED_VALUE"""),"Aprill (SU)")</f>
        <v>Aprill (SU)</v>
      </c>
      <c r="I398" s="13" t="str">
        <f>IFERROR(__xludf.DUMMYFUNCTION("""COMPUTED_VALUE"""),"SELESAI (VIA PERMOHONAN)")</f>
        <v>SELESAI (VIA PERMOHONAN)</v>
      </c>
      <c r="J398" s="17">
        <f>IFERROR(__xludf.DUMMYFUNCTION("""COMPUTED_VALUE"""),45636.70676103009)</f>
        <v>45636.70676</v>
      </c>
      <c r="K398" s="13" t="str">
        <f>IFERROR(__xludf.DUMMYFUNCTION("""COMPUTED_VALUE"""),"Selesai")</f>
        <v>Selesai</v>
      </c>
      <c r="L398" s="17">
        <f>IFERROR(__xludf.DUMMYFUNCTION("""COMPUTED_VALUE"""),45636.70676103009)</f>
        <v>45636.70676</v>
      </c>
      <c r="M398" s="17">
        <f>IFERROR(__xludf.DUMMYFUNCTION("""COMPUTED_VALUE"""),45636.70676103009)</f>
        <v>45636.70676</v>
      </c>
      <c r="N398" s="13" t="str">
        <f>IFERROR(__xludf.DUMMYFUNCTION("""COMPUTED_VALUE"""),"")</f>
        <v/>
      </c>
      <c r="O398" s="13" t="str">
        <f t="shared" si="1"/>
        <v/>
      </c>
    </row>
    <row r="399" ht="22.5" customHeight="1">
      <c r="B399" s="13">
        <f>IFERROR(__xludf.DUMMYFUNCTION("""COMPUTED_VALUE"""),394.0)</f>
        <v>394</v>
      </c>
      <c r="C399" s="13" t="str">
        <f>IFERROR(__xludf.DUMMYFUNCTION("""COMPUTED_VALUE"""),"M.3122/KOTA BARU")</f>
        <v>M.3122/KOTA BARU</v>
      </c>
      <c r="D399" s="13" t="str">
        <f>IFERROR(__xludf.DUMMYFUNCTION("""COMPUTED_VALUE"""),"K/21/041224/1")</f>
        <v>K/21/041224/1</v>
      </c>
      <c r="E399" s="14" t="str">
        <f>IFERROR(__xludf.DUMMYFUNCTION("""COMPUTED_VALUE"""),"Afriza (BT)")</f>
        <v>Afriza (BT)</v>
      </c>
      <c r="F399" s="14" t="str">
        <f>IFERROR(__xludf.DUMMYFUNCTION("""COMPUTED_VALUE"""),"SELESAI")</f>
        <v>SELESAI</v>
      </c>
      <c r="G399" s="17">
        <f>IFERROR(__xludf.DUMMYFUNCTION("""COMPUTED_VALUE"""),45632.658240833334)</f>
        <v>45632.65824</v>
      </c>
      <c r="H399" s="14" t="str">
        <f>IFERROR(__xludf.DUMMYFUNCTION("""COMPUTED_VALUE"""),"Bu Eva (SU)")</f>
        <v>Bu Eva (SU)</v>
      </c>
      <c r="I399" s="13" t="str">
        <f>IFERROR(__xludf.DUMMYFUNCTION("""COMPUTED_VALUE"""),"SELESAI")</f>
        <v>SELESAI</v>
      </c>
      <c r="J399" s="17">
        <f>IFERROR(__xludf.DUMMYFUNCTION("""COMPUTED_VALUE"""),45636.70676103009)</f>
        <v>45636.70676</v>
      </c>
      <c r="K399" s="13" t="str">
        <f>IFERROR(__xludf.DUMMYFUNCTION("""COMPUTED_VALUE"""),"SELESAI")</f>
        <v>SELESAI</v>
      </c>
      <c r="L399" s="17">
        <f>IFERROR(__xludf.DUMMYFUNCTION("""COMPUTED_VALUE"""),45636.70676103009)</f>
        <v>45636.70676</v>
      </c>
      <c r="M399" s="17" t="str">
        <f>IFERROR(__xludf.DUMMYFUNCTION("""COMPUTED_VALUE"""),"")</f>
        <v/>
      </c>
      <c r="N399" s="17">
        <f>IFERROR(__xludf.DUMMYFUNCTION("""COMPUTED_VALUE"""),45637.430375972224)</f>
        <v>45637.43038</v>
      </c>
      <c r="O399" s="13">
        <f t="shared" si="1"/>
        <v>1</v>
      </c>
    </row>
    <row r="400" ht="22.5" customHeight="1">
      <c r="B400" s="13">
        <f>IFERROR(__xludf.DUMMYFUNCTION("""COMPUTED_VALUE"""),395.0)</f>
        <v>395</v>
      </c>
      <c r="C400" s="13" t="str">
        <f>IFERROR(__xludf.DUMMYFUNCTION("""COMPUTED_VALUE"""),"M. 13514/ Sukabumi")</f>
        <v>M. 13514/ Sukabumi</v>
      </c>
      <c r="D400" s="13" t="str">
        <f>IFERROR(__xludf.DUMMYFUNCTION("""COMPUTED_VALUE"""),"K/10/041224/2")</f>
        <v>K/10/041224/2</v>
      </c>
      <c r="E400" s="14" t="str">
        <f>IFERROR(__xludf.DUMMYFUNCTION("""COMPUTED_VALUE"""),"Afriza (BT)")</f>
        <v>Afriza (BT)</v>
      </c>
      <c r="F400" s="14" t="str">
        <f>IFERROR(__xludf.DUMMYFUNCTION("""COMPUTED_VALUE"""),"SELESAI")</f>
        <v>SELESAI</v>
      </c>
      <c r="G400" s="17">
        <f>IFERROR(__xludf.DUMMYFUNCTION("""COMPUTED_VALUE"""),45632.65834805556)</f>
        <v>45632.65835</v>
      </c>
      <c r="H400" s="14" t="str">
        <f>IFERROR(__xludf.DUMMYFUNCTION("""COMPUTED_VALUE"""),"Bu Eva (SU)")</f>
        <v>Bu Eva (SU)</v>
      </c>
      <c r="I400" s="13" t="str">
        <f>IFERROR(__xludf.DUMMYFUNCTION("""COMPUTED_VALUE"""),"SELESAI")</f>
        <v>SELESAI</v>
      </c>
      <c r="J400" s="17">
        <f>IFERROR(__xludf.DUMMYFUNCTION("""COMPUTED_VALUE"""),45636.70676103009)</f>
        <v>45636.70676</v>
      </c>
      <c r="K400" s="13" t="str">
        <f>IFERROR(__xludf.DUMMYFUNCTION("""COMPUTED_VALUE"""),"SELESAI")</f>
        <v>SELESAI</v>
      </c>
      <c r="L400" s="17">
        <f>IFERROR(__xludf.DUMMYFUNCTION("""COMPUTED_VALUE"""),45636.70676103009)</f>
        <v>45636.70676</v>
      </c>
      <c r="M400" s="17" t="str">
        <f>IFERROR(__xludf.DUMMYFUNCTION("""COMPUTED_VALUE"""),"")</f>
        <v/>
      </c>
      <c r="N400" s="17">
        <f>IFERROR(__xludf.DUMMYFUNCTION("""COMPUTED_VALUE"""),45637.41131711805)</f>
        <v>45637.41132</v>
      </c>
      <c r="O400" s="13">
        <f t="shared" si="1"/>
        <v>2</v>
      </c>
    </row>
    <row r="401" ht="22.5" customHeight="1">
      <c r="B401" s="13">
        <f>IFERROR(__xludf.DUMMYFUNCTION("""COMPUTED_VALUE"""),396.0)</f>
        <v>396</v>
      </c>
      <c r="C401" s="13" t="str">
        <f>IFERROR(__xludf.DUMMYFUNCTION("""COMPUTED_VALUE"""),"M. 16734/ Sukabumi")</f>
        <v>M. 16734/ Sukabumi</v>
      </c>
      <c r="D401" s="13" t="str">
        <f>IFERROR(__xludf.DUMMYFUNCTION("""COMPUTED_VALUE"""),"K/27/221124/1")</f>
        <v>K/27/221124/1</v>
      </c>
      <c r="E401" s="14" t="str">
        <f>IFERROR(__xludf.DUMMYFUNCTION("""COMPUTED_VALUE"""),"Afriza (BT)")</f>
        <v>Afriza (BT)</v>
      </c>
      <c r="F401" s="14" t="str">
        <f>IFERROR(__xludf.DUMMYFUNCTION("""COMPUTED_VALUE"""),"SELESAI (VIA PERMOHONAN)")</f>
        <v>SELESAI (VIA PERMOHONAN)</v>
      </c>
      <c r="G401" s="17">
        <f>IFERROR(__xludf.DUMMYFUNCTION("""COMPUTED_VALUE"""),45632.65983269676)</f>
        <v>45632.65983</v>
      </c>
      <c r="H401" s="14" t="str">
        <f>IFERROR(__xludf.DUMMYFUNCTION("""COMPUTED_VALUE"""),"Aprill (SU)")</f>
        <v>Aprill (SU)</v>
      </c>
      <c r="I401" s="13" t="str">
        <f>IFERROR(__xludf.DUMMYFUNCTION("""COMPUTED_VALUE"""),"SELESAI (VIA PERMOHONAN)")</f>
        <v>SELESAI (VIA PERMOHONAN)</v>
      </c>
      <c r="J401" s="17">
        <f>IFERROR(__xludf.DUMMYFUNCTION("""COMPUTED_VALUE"""),45636.70676103009)</f>
        <v>45636.70676</v>
      </c>
      <c r="K401" s="13" t="str">
        <f>IFERROR(__xludf.DUMMYFUNCTION("""COMPUTED_VALUE"""),"Selesai")</f>
        <v>Selesai</v>
      </c>
      <c r="L401" s="17">
        <f>IFERROR(__xludf.DUMMYFUNCTION("""COMPUTED_VALUE"""),45636.70676103009)</f>
        <v>45636.70676</v>
      </c>
      <c r="M401" s="17">
        <f>IFERROR(__xludf.DUMMYFUNCTION("""COMPUTED_VALUE"""),45636.70676103009)</f>
        <v>45636.70676</v>
      </c>
      <c r="N401" s="13" t="str">
        <f>IFERROR(__xludf.DUMMYFUNCTION("""COMPUTED_VALUE"""),"")</f>
        <v/>
      </c>
      <c r="O401" s="13" t="str">
        <f t="shared" si="1"/>
        <v/>
      </c>
    </row>
    <row r="402" ht="22.5" customHeight="1">
      <c r="B402" s="13">
        <f>IFERROR(__xludf.DUMMYFUNCTION("""COMPUTED_VALUE"""),397.0)</f>
        <v>397</v>
      </c>
      <c r="C402" s="13" t="str">
        <f>IFERROR(__xludf.DUMMYFUNCTION("""COMPUTED_VALUE"""),"M. 6403/ Gunung Sulah")</f>
        <v>M. 6403/ Gunung Sulah</v>
      </c>
      <c r="D402" s="13" t="str">
        <f>IFERROR(__xludf.DUMMYFUNCTION("""COMPUTED_VALUE"""),"K/19/261124/2")</f>
        <v>K/19/261124/2</v>
      </c>
      <c r="E402" s="14" t="str">
        <f>IFERROR(__xludf.DUMMYFUNCTION("""COMPUTED_VALUE"""),"Afriza (BT)")</f>
        <v>Afriza (BT)</v>
      </c>
      <c r="F402" s="14" t="str">
        <f>IFERROR(__xludf.DUMMYFUNCTION("""COMPUTED_VALUE"""),"SELESAI (VIA PERMOHONAN)")</f>
        <v>SELESAI (VIA PERMOHONAN)</v>
      </c>
      <c r="G402" s="17">
        <f>IFERROR(__xludf.DUMMYFUNCTION("""COMPUTED_VALUE"""),45632.660623020834)</f>
        <v>45632.66062</v>
      </c>
      <c r="H402" s="14" t="str">
        <f>IFERROR(__xludf.DUMMYFUNCTION("""COMPUTED_VALUE"""),"Aprill (SU)")</f>
        <v>Aprill (SU)</v>
      </c>
      <c r="I402" s="13" t="str">
        <f>IFERROR(__xludf.DUMMYFUNCTION("""COMPUTED_VALUE"""),"SELESAI (VIA PERMOHONAN)")</f>
        <v>SELESAI (VIA PERMOHONAN)</v>
      </c>
      <c r="J402" s="17">
        <f>IFERROR(__xludf.DUMMYFUNCTION("""COMPUTED_VALUE"""),45636.70676103009)</f>
        <v>45636.70676</v>
      </c>
      <c r="K402" s="13" t="str">
        <f>IFERROR(__xludf.DUMMYFUNCTION("""COMPUTED_VALUE"""),"Selesai")</f>
        <v>Selesai</v>
      </c>
      <c r="L402" s="17">
        <f>IFERROR(__xludf.DUMMYFUNCTION("""COMPUTED_VALUE"""),45636.70676103009)</f>
        <v>45636.70676</v>
      </c>
      <c r="M402" s="17">
        <f>IFERROR(__xludf.DUMMYFUNCTION("""COMPUTED_VALUE"""),45636.70676103009)</f>
        <v>45636.70676</v>
      </c>
      <c r="N402" s="13" t="str">
        <f>IFERROR(__xludf.DUMMYFUNCTION("""COMPUTED_VALUE"""),"")</f>
        <v/>
      </c>
      <c r="O402" s="13" t="str">
        <f t="shared" si="1"/>
        <v/>
      </c>
    </row>
    <row r="403" ht="22.5" customHeight="1">
      <c r="B403" s="13">
        <f>IFERROR(__xludf.DUMMYFUNCTION("""COMPUTED_VALUE"""),398.0)</f>
        <v>398</v>
      </c>
      <c r="C403" s="13" t="str">
        <f>IFERROR(__xludf.DUMMYFUNCTION("""COMPUTED_VALUE"""),"M. 2871/ Sukarame Baru")</f>
        <v>M. 2871/ Sukarame Baru</v>
      </c>
      <c r="D403" s="13" t="str">
        <f>IFERROR(__xludf.DUMMYFUNCTION("""COMPUTED_VALUE"""),"K/24/141124/1")</f>
        <v>K/24/141124/1</v>
      </c>
      <c r="E403" s="14" t="str">
        <f>IFERROR(__xludf.DUMMYFUNCTION("""COMPUTED_VALUE"""),"Afriza (BT)")</f>
        <v>Afriza (BT)</v>
      </c>
      <c r="F403" s="14" t="str">
        <f>IFERROR(__xludf.DUMMYFUNCTION("""COMPUTED_VALUE"""),"SELESAI (VIA PERMOHONAN)")</f>
        <v>SELESAI (VIA PERMOHONAN)</v>
      </c>
      <c r="G403" s="17">
        <f>IFERROR(__xludf.DUMMYFUNCTION("""COMPUTED_VALUE"""),45632.661553645834)</f>
        <v>45632.66155</v>
      </c>
      <c r="H403" s="14" t="str">
        <f>IFERROR(__xludf.DUMMYFUNCTION("""COMPUTED_VALUE"""),"Aprill (SU)")</f>
        <v>Aprill (SU)</v>
      </c>
      <c r="I403" s="13" t="str">
        <f>IFERROR(__xludf.DUMMYFUNCTION("""COMPUTED_VALUE"""),"SELESAI (VIA PERMOHONAN)")</f>
        <v>SELESAI (VIA PERMOHONAN)</v>
      </c>
      <c r="J403" s="17">
        <f>IFERROR(__xludf.DUMMYFUNCTION("""COMPUTED_VALUE"""),45636.70676103009)</f>
        <v>45636.70676</v>
      </c>
      <c r="K403" s="13" t="str">
        <f>IFERROR(__xludf.DUMMYFUNCTION("""COMPUTED_VALUE"""),"Selesai")</f>
        <v>Selesai</v>
      </c>
      <c r="L403" s="17">
        <f>IFERROR(__xludf.DUMMYFUNCTION("""COMPUTED_VALUE"""),45636.70676103009)</f>
        <v>45636.70676</v>
      </c>
      <c r="M403" s="17">
        <f>IFERROR(__xludf.DUMMYFUNCTION("""COMPUTED_VALUE"""),45636.70676104167)</f>
        <v>45636.70676</v>
      </c>
      <c r="N403" s="13" t="str">
        <f>IFERROR(__xludf.DUMMYFUNCTION("""COMPUTED_VALUE"""),"")</f>
        <v/>
      </c>
      <c r="O403" s="13" t="str">
        <f t="shared" si="1"/>
        <v/>
      </c>
    </row>
    <row r="404" ht="22.5" customHeight="1">
      <c r="B404" s="13">
        <f>IFERROR(__xludf.DUMMYFUNCTION("""COMPUTED_VALUE"""),399.0)</f>
        <v>399</v>
      </c>
      <c r="C404" s="13" t="str">
        <f>IFERROR(__xludf.DUMMYFUNCTION("""COMPUTED_VALUE"""),"M. 2421/ Kedaung")</f>
        <v>M. 2421/ Kedaung</v>
      </c>
      <c r="D404" s="13" t="str">
        <f>IFERROR(__xludf.DUMMYFUNCTION("""COMPUTED_VALUE"""),"K/7/041224/1")</f>
        <v>K/7/041224/1</v>
      </c>
      <c r="E404" s="14" t="str">
        <f>IFERROR(__xludf.DUMMYFUNCTION("""COMPUTED_VALUE"""),"Afriza (BT)")</f>
        <v>Afriza (BT)</v>
      </c>
      <c r="F404" s="14" t="str">
        <f>IFERROR(__xludf.DUMMYFUNCTION("""COMPUTED_VALUE"""),"SELESAI (VIA PERMOHONAN)")</f>
        <v>SELESAI (VIA PERMOHONAN)</v>
      </c>
      <c r="G404" s="17">
        <f>IFERROR(__xludf.DUMMYFUNCTION("""COMPUTED_VALUE"""),45635.468283298615)</f>
        <v>45635.46828</v>
      </c>
      <c r="H404" s="14" t="str">
        <f>IFERROR(__xludf.DUMMYFUNCTION("""COMPUTED_VALUE"""),"Aprill (SU)")</f>
        <v>Aprill (SU)</v>
      </c>
      <c r="I404" s="13" t="str">
        <f>IFERROR(__xludf.DUMMYFUNCTION("""COMPUTED_VALUE"""),"SELESAI (VIA PERMOHONAN)")</f>
        <v>SELESAI (VIA PERMOHONAN)</v>
      </c>
      <c r="J404" s="17">
        <f>IFERROR(__xludf.DUMMYFUNCTION("""COMPUTED_VALUE"""),45636.70676104167)</f>
        <v>45636.70676</v>
      </c>
      <c r="K404" s="13" t="str">
        <f>IFERROR(__xludf.DUMMYFUNCTION("""COMPUTED_VALUE"""),"Selesai")</f>
        <v>Selesai</v>
      </c>
      <c r="L404" s="17">
        <f>IFERROR(__xludf.DUMMYFUNCTION("""COMPUTED_VALUE"""),45636.70676104167)</f>
        <v>45636.70676</v>
      </c>
      <c r="M404" s="17">
        <f>IFERROR(__xludf.DUMMYFUNCTION("""COMPUTED_VALUE"""),45636.70676104167)</f>
        <v>45636.70676</v>
      </c>
      <c r="N404" s="13" t="str">
        <f>IFERROR(__xludf.DUMMYFUNCTION("""COMPUTED_VALUE"""),"")</f>
        <v/>
      </c>
      <c r="O404" s="13" t="str">
        <f t="shared" si="1"/>
        <v/>
      </c>
    </row>
    <row r="405" ht="22.5" customHeight="1">
      <c r="B405" s="13">
        <f>IFERROR(__xludf.DUMMYFUNCTION("""COMPUTED_VALUE"""),400.0)</f>
        <v>400</v>
      </c>
      <c r="C405" s="13" t="str">
        <f>IFERROR(__xludf.DUMMYFUNCTION("""COMPUTED_VALUE"""),"M.6262/WAY KANDIS")</f>
        <v>M.6262/WAY KANDIS</v>
      </c>
      <c r="D405" s="13" t="str">
        <f>IFERROR(__xludf.DUMMYFUNCTION("""COMPUTED_VALUE"""),"K/35/051224/3")</f>
        <v>K/35/051224/3</v>
      </c>
      <c r="E405" s="14" t="str">
        <f>IFERROR(__xludf.DUMMYFUNCTION("""COMPUTED_VALUE"""),"Afriza (BT)")</f>
        <v>Afriza (BT)</v>
      </c>
      <c r="F405" s="14" t="str">
        <f>IFERROR(__xludf.DUMMYFUNCTION("""COMPUTED_VALUE"""),"SELESAI")</f>
        <v>SELESAI</v>
      </c>
      <c r="G405" s="17">
        <f>IFERROR(__xludf.DUMMYFUNCTION("""COMPUTED_VALUE"""),45635.468283298615)</f>
        <v>45635.46828</v>
      </c>
      <c r="H405" s="14" t="str">
        <f>IFERROR(__xludf.DUMMYFUNCTION("""COMPUTED_VALUE"""),"Bu Eva (SU)")</f>
        <v>Bu Eva (SU)</v>
      </c>
      <c r="I405" s="13" t="str">
        <f>IFERROR(__xludf.DUMMYFUNCTION("""COMPUTED_VALUE"""),"SELESAI")</f>
        <v>SELESAI</v>
      </c>
      <c r="J405" s="17">
        <f>IFERROR(__xludf.DUMMYFUNCTION("""COMPUTED_VALUE"""),45636.70676104167)</f>
        <v>45636.70676</v>
      </c>
      <c r="K405" s="13" t="str">
        <f>IFERROR(__xludf.DUMMYFUNCTION("""COMPUTED_VALUE"""),"SELESAI")</f>
        <v>SELESAI</v>
      </c>
      <c r="L405" s="17">
        <f>IFERROR(__xludf.DUMMYFUNCTION("""COMPUTED_VALUE"""),45636.70676104167)</f>
        <v>45636.70676</v>
      </c>
      <c r="M405" s="17" t="str">
        <f>IFERROR(__xludf.DUMMYFUNCTION("""COMPUTED_VALUE"""),"")</f>
        <v/>
      </c>
      <c r="N405" s="13" t="str">
        <f>IFERROR(__xludf.DUMMYFUNCTION("""COMPUTED_VALUE"""),"")</f>
        <v/>
      </c>
      <c r="O405" s="13" t="str">
        <f t="shared" si="1"/>
        <v/>
      </c>
    </row>
    <row r="406" ht="22.5" customHeight="1">
      <c r="B406" s="13">
        <f>IFERROR(__xludf.DUMMYFUNCTION("""COMPUTED_VALUE"""),401.0)</f>
        <v>401</v>
      </c>
      <c r="C406" s="13" t="str">
        <f>IFERROR(__xludf.DUMMYFUNCTION("""COMPUTED_VALUE"""),"HGB 320/NUSANTARA PERMAI")</f>
        <v>HGB 320/NUSANTARA PERMAI</v>
      </c>
      <c r="D406" s="13" t="str">
        <f>IFERROR(__xludf.DUMMYFUNCTION("""COMPUTED_VALUE"""),"L/7/051224/2")</f>
        <v>L/7/051224/2</v>
      </c>
      <c r="E406" s="14" t="str">
        <f>IFERROR(__xludf.DUMMYFUNCTION("""COMPUTED_VALUE"""),"Afriza (BT)")</f>
        <v>Afriza (BT)</v>
      </c>
      <c r="F406" s="14" t="str">
        <f>IFERROR(__xludf.DUMMYFUNCTION("""COMPUTED_VALUE"""),"SELESAI")</f>
        <v>SELESAI</v>
      </c>
      <c r="G406" s="17">
        <f>IFERROR(__xludf.DUMMYFUNCTION("""COMPUTED_VALUE"""),45635.468283298615)</f>
        <v>45635.46828</v>
      </c>
      <c r="H406" s="14" t="str">
        <f>IFERROR(__xludf.DUMMYFUNCTION("""COMPUTED_VALUE"""),"Bu Eva (SU)")</f>
        <v>Bu Eva (SU)</v>
      </c>
      <c r="I406" s="13" t="str">
        <f>IFERROR(__xludf.DUMMYFUNCTION("""COMPUTED_VALUE"""),"SELESAI")</f>
        <v>SELESAI</v>
      </c>
      <c r="J406" s="17">
        <f>IFERROR(__xludf.DUMMYFUNCTION("""COMPUTED_VALUE"""),45636.70676104167)</f>
        <v>45636.70676</v>
      </c>
      <c r="K406" s="13" t="str">
        <f>IFERROR(__xludf.DUMMYFUNCTION("""COMPUTED_VALUE"""),"SELESAI")</f>
        <v>SELESAI</v>
      </c>
      <c r="L406" s="17">
        <f>IFERROR(__xludf.DUMMYFUNCTION("""COMPUTED_VALUE"""),45636.70676104167)</f>
        <v>45636.70676</v>
      </c>
      <c r="M406" s="17" t="str">
        <f>IFERROR(__xludf.DUMMYFUNCTION("""COMPUTED_VALUE"""),"")</f>
        <v/>
      </c>
      <c r="N406" s="17">
        <f>IFERROR(__xludf.DUMMYFUNCTION("""COMPUTED_VALUE"""),45637.43407775463)</f>
        <v>45637.43408</v>
      </c>
      <c r="O406" s="13">
        <f t="shared" si="1"/>
        <v>1</v>
      </c>
    </row>
    <row r="407" ht="22.5" customHeight="1">
      <c r="B407" s="13">
        <f>IFERROR(__xludf.DUMMYFUNCTION("""COMPUTED_VALUE"""),402.0)</f>
        <v>402</v>
      </c>
      <c r="C407" s="13" t="str">
        <f>IFERROR(__xludf.DUMMYFUNCTION("""COMPUTED_VALUE"""),"M.2623/PINANG JAYA")</f>
        <v>M.2623/PINANG JAYA</v>
      </c>
      <c r="D407" s="13" t="str">
        <f>IFERROR(__xludf.DUMMYFUNCTION("""COMPUTED_VALUE"""),"K/9/051224/2")</f>
        <v>K/9/051224/2</v>
      </c>
      <c r="E407" s="14" t="str">
        <f>IFERROR(__xludf.DUMMYFUNCTION("""COMPUTED_VALUE"""),"Afriza (BT)")</f>
        <v>Afriza (BT)</v>
      </c>
      <c r="F407" s="14" t="str">
        <f>IFERROR(__xludf.DUMMYFUNCTION("""COMPUTED_VALUE"""),"SELESAI")</f>
        <v>SELESAI</v>
      </c>
      <c r="G407" s="17">
        <f>IFERROR(__xludf.DUMMYFUNCTION("""COMPUTED_VALUE"""),45635.468283298615)</f>
        <v>45635.46828</v>
      </c>
      <c r="H407" s="14" t="str">
        <f>IFERROR(__xludf.DUMMYFUNCTION("""COMPUTED_VALUE"""),"Bu Eva (SU)")</f>
        <v>Bu Eva (SU)</v>
      </c>
      <c r="I407" s="13" t="str">
        <f>IFERROR(__xludf.DUMMYFUNCTION("""COMPUTED_VALUE"""),"SELESAI")</f>
        <v>SELESAI</v>
      </c>
      <c r="J407" s="17">
        <f>IFERROR(__xludf.DUMMYFUNCTION("""COMPUTED_VALUE"""),45636.70676104167)</f>
        <v>45636.70676</v>
      </c>
      <c r="K407" s="13" t="str">
        <f>IFERROR(__xludf.DUMMYFUNCTION("""COMPUTED_VALUE"""),"SELESAI")</f>
        <v>SELESAI</v>
      </c>
      <c r="L407" s="17">
        <f>IFERROR(__xludf.DUMMYFUNCTION("""COMPUTED_VALUE"""),45636.70676104167)</f>
        <v>45636.70676</v>
      </c>
      <c r="M407" s="17" t="str">
        <f>IFERROR(__xludf.DUMMYFUNCTION("""COMPUTED_VALUE"""),"")</f>
        <v/>
      </c>
      <c r="N407" s="17">
        <f>IFERROR(__xludf.DUMMYFUNCTION("""COMPUTED_VALUE"""),45637.42502148148)</f>
        <v>45637.42502</v>
      </c>
      <c r="O407" s="13">
        <f t="shared" si="1"/>
        <v>2</v>
      </c>
    </row>
    <row r="408" ht="22.5" customHeight="1">
      <c r="B408" s="13">
        <f>IFERROR(__xludf.DUMMYFUNCTION("""COMPUTED_VALUE"""),403.0)</f>
        <v>403</v>
      </c>
      <c r="C408" s="13" t="str">
        <f>IFERROR(__xludf.DUMMYFUNCTION("""COMPUTED_VALUE"""),"M.1980/LABUHAN RATU RAYA")</f>
        <v>M.1980/LABUHAN RATU RAYA</v>
      </c>
      <c r="D408" s="13" t="str">
        <f>IFERROR(__xludf.DUMMYFUNCTION("""COMPUTED_VALUE"""),"K/34/051224/2")</f>
        <v>K/34/051224/2</v>
      </c>
      <c r="E408" s="14" t="str">
        <f>IFERROR(__xludf.DUMMYFUNCTION("""COMPUTED_VALUE"""),"Afriza (BT)")</f>
        <v>Afriza (BT)</v>
      </c>
      <c r="F408" s="14" t="str">
        <f>IFERROR(__xludf.DUMMYFUNCTION("""COMPUTED_VALUE"""),"SELESAI")</f>
        <v>SELESAI</v>
      </c>
      <c r="G408" s="17">
        <f>IFERROR(__xludf.DUMMYFUNCTION("""COMPUTED_VALUE"""),45635.468283298615)</f>
        <v>45635.46828</v>
      </c>
      <c r="H408" s="14" t="str">
        <f>IFERROR(__xludf.DUMMYFUNCTION("""COMPUTED_VALUE"""),"Bu Eva (SU)")</f>
        <v>Bu Eva (SU)</v>
      </c>
      <c r="I408" s="13" t="str">
        <f>IFERROR(__xludf.DUMMYFUNCTION("""COMPUTED_VALUE"""),"SELESAI")</f>
        <v>SELESAI</v>
      </c>
      <c r="J408" s="17">
        <f>IFERROR(__xludf.DUMMYFUNCTION("""COMPUTED_VALUE"""),45636.70676104167)</f>
        <v>45636.70676</v>
      </c>
      <c r="K408" s="13" t="str">
        <f>IFERROR(__xludf.DUMMYFUNCTION("""COMPUTED_VALUE"""),"SELESAI")</f>
        <v>SELESAI</v>
      </c>
      <c r="L408" s="17">
        <f>IFERROR(__xludf.DUMMYFUNCTION("""COMPUTED_VALUE"""),45636.70676104167)</f>
        <v>45636.70676</v>
      </c>
      <c r="M408" s="17" t="str">
        <f>IFERROR(__xludf.DUMMYFUNCTION("""COMPUTED_VALUE"""),"")</f>
        <v/>
      </c>
      <c r="N408" s="17">
        <f>IFERROR(__xludf.DUMMYFUNCTION("""COMPUTED_VALUE"""),45637.42512561343)</f>
        <v>45637.42513</v>
      </c>
      <c r="O408" s="13">
        <f t="shared" si="1"/>
        <v>3</v>
      </c>
    </row>
    <row r="409" ht="22.5" customHeight="1">
      <c r="B409" s="13">
        <f>IFERROR(__xludf.DUMMYFUNCTION("""COMPUTED_VALUE"""),404.0)</f>
        <v>404</v>
      </c>
      <c r="C409" s="13" t="str">
        <f>IFERROR(__xludf.DUMMYFUNCTION("""COMPUTED_VALUE"""),"B.691/KEMILING PERMAI")</f>
        <v>B.691/KEMILING PERMAI</v>
      </c>
      <c r="D409" s="13" t="str">
        <f>IFERROR(__xludf.DUMMYFUNCTION("""COMPUTED_VALUE"""),"K/47/041224/2")</f>
        <v>K/47/041224/2</v>
      </c>
      <c r="E409" s="14" t="str">
        <f>IFERROR(__xludf.DUMMYFUNCTION("""COMPUTED_VALUE"""),"Afriza (BT)")</f>
        <v>Afriza (BT)</v>
      </c>
      <c r="F409" s="14" t="str">
        <f>IFERROR(__xludf.DUMMYFUNCTION("""COMPUTED_VALUE"""),"SELESAI (VIA PERMOHONAN)")</f>
        <v>SELESAI (VIA PERMOHONAN)</v>
      </c>
      <c r="G409" s="17">
        <f>IFERROR(__xludf.DUMMYFUNCTION("""COMPUTED_VALUE"""),45635.468283298615)</f>
        <v>45635.46828</v>
      </c>
      <c r="H409" s="14" t="str">
        <f>IFERROR(__xludf.DUMMYFUNCTION("""COMPUTED_VALUE"""),"Aprill (SU)")</f>
        <v>Aprill (SU)</v>
      </c>
      <c r="I409" s="13" t="str">
        <f>IFERROR(__xludf.DUMMYFUNCTION("""COMPUTED_VALUE"""),"SELESAI (VIA PERMOHONAN)")</f>
        <v>SELESAI (VIA PERMOHONAN)</v>
      </c>
      <c r="J409" s="17">
        <f>IFERROR(__xludf.DUMMYFUNCTION("""COMPUTED_VALUE"""),45636.70676105324)</f>
        <v>45636.70676</v>
      </c>
      <c r="K409" s="13" t="str">
        <f>IFERROR(__xludf.DUMMYFUNCTION("""COMPUTED_VALUE"""),"Selesai")</f>
        <v>Selesai</v>
      </c>
      <c r="L409" s="17">
        <f>IFERROR(__xludf.DUMMYFUNCTION("""COMPUTED_VALUE"""),45636.70676105324)</f>
        <v>45636.70676</v>
      </c>
      <c r="M409" s="17">
        <f>IFERROR(__xludf.DUMMYFUNCTION("""COMPUTED_VALUE"""),45636.70676105324)</f>
        <v>45636.70676</v>
      </c>
      <c r="N409" s="17">
        <f>IFERROR(__xludf.DUMMYFUNCTION("""COMPUTED_VALUE"""),45637.4344171875)</f>
        <v>45637.43442</v>
      </c>
      <c r="O409" s="13">
        <f t="shared" si="1"/>
        <v>4</v>
      </c>
    </row>
    <row r="410" ht="22.5" customHeight="1">
      <c r="B410" s="13">
        <f>IFERROR(__xludf.DUMMYFUNCTION("""COMPUTED_VALUE"""),405.0)</f>
        <v>405</v>
      </c>
      <c r="C410" s="13" t="str">
        <f>IFERROR(__xludf.DUMMYFUNCTION("""COMPUTED_VALUE"""),"M. 2337/ Langkapura")</f>
        <v>M. 2337/ Langkapura</v>
      </c>
      <c r="D410" s="13" t="str">
        <f>IFERROR(__xludf.DUMMYFUNCTION("""COMPUTED_VALUE"""),"K/12/051224/1")</f>
        <v>K/12/051224/1</v>
      </c>
      <c r="E410" s="14" t="str">
        <f>IFERROR(__xludf.DUMMYFUNCTION("""COMPUTED_VALUE"""),"Afriza (BT)")</f>
        <v>Afriza (BT)</v>
      </c>
      <c r="F410" s="14" t="str">
        <f>IFERROR(__xludf.DUMMYFUNCTION("""COMPUTED_VALUE"""),"SELESAI")</f>
        <v>SELESAI</v>
      </c>
      <c r="G410" s="17">
        <f>IFERROR(__xludf.DUMMYFUNCTION("""COMPUTED_VALUE"""),45635.47795884259)</f>
        <v>45635.47796</v>
      </c>
      <c r="H410" s="14" t="str">
        <f>IFERROR(__xludf.DUMMYFUNCTION("""COMPUTED_VALUE"""),"Bu Eva (SU)")</f>
        <v>Bu Eva (SU)</v>
      </c>
      <c r="I410" s="13" t="str">
        <f>IFERROR(__xludf.DUMMYFUNCTION("""COMPUTED_VALUE"""),"SELESAI")</f>
        <v>SELESAI</v>
      </c>
      <c r="J410" s="17">
        <f>IFERROR(__xludf.DUMMYFUNCTION("""COMPUTED_VALUE"""),45636.70676105324)</f>
        <v>45636.70676</v>
      </c>
      <c r="K410" s="13" t="str">
        <f>IFERROR(__xludf.DUMMYFUNCTION("""COMPUTED_VALUE"""),"SELESAI")</f>
        <v>SELESAI</v>
      </c>
      <c r="L410" s="17">
        <f>IFERROR(__xludf.DUMMYFUNCTION("""COMPUTED_VALUE"""),45636.70676105324)</f>
        <v>45636.70676</v>
      </c>
      <c r="M410" s="17" t="str">
        <f>IFERROR(__xludf.DUMMYFUNCTION("""COMPUTED_VALUE"""),"")</f>
        <v/>
      </c>
      <c r="N410" s="17">
        <f>IFERROR(__xludf.DUMMYFUNCTION("""COMPUTED_VALUE"""),45637.425284502315)</f>
        <v>45637.42528</v>
      </c>
      <c r="O410" s="13">
        <f t="shared" si="1"/>
        <v>5</v>
      </c>
    </row>
    <row r="411" ht="22.5" customHeight="1">
      <c r="B411" s="13">
        <f>IFERROR(__xludf.DUMMYFUNCTION("""COMPUTED_VALUE"""),406.0)</f>
        <v>406</v>
      </c>
      <c r="C411" s="13" t="str">
        <f>IFERROR(__xludf.DUMMYFUNCTION("""COMPUTED_VALUE"""),"HM 406/LABUHAN DALAM")</f>
        <v>HM 406/LABUHAN DALAM</v>
      </c>
      <c r="D411" s="13" t="str">
        <f>IFERROR(__xludf.DUMMYFUNCTION("""COMPUTED_VALUE"""),"L/16/051224/1")</f>
        <v>L/16/051224/1</v>
      </c>
      <c r="E411" s="14" t="str">
        <f>IFERROR(__xludf.DUMMYFUNCTION("""COMPUTED_VALUE"""),"Nadian (BT)")</f>
        <v>Nadian (BT)</v>
      </c>
      <c r="F411" s="14" t="str">
        <f>IFERROR(__xludf.DUMMYFUNCTION("""COMPUTED_VALUE"""),"SELESAI")</f>
        <v>SELESAI</v>
      </c>
      <c r="G411" s="17">
        <f>IFERROR(__xludf.DUMMYFUNCTION("""COMPUTED_VALUE"""),45635.701057997685)</f>
        <v>45635.70106</v>
      </c>
      <c r="H411" s="14" t="str">
        <f>IFERROR(__xludf.DUMMYFUNCTION("""COMPUTED_VALUE"""),"Bu Eva (SU)")</f>
        <v>Bu Eva (SU)</v>
      </c>
      <c r="I411" s="13" t="str">
        <f>IFERROR(__xludf.DUMMYFUNCTION("""COMPUTED_VALUE"""),"SELESAI")</f>
        <v>SELESAI</v>
      </c>
      <c r="J411" s="17">
        <f>IFERROR(__xludf.DUMMYFUNCTION("""COMPUTED_VALUE"""),45636.706761064816)</f>
        <v>45636.70676</v>
      </c>
      <c r="K411" s="13" t="str">
        <f>IFERROR(__xludf.DUMMYFUNCTION("""COMPUTED_VALUE"""),"SELESAI")</f>
        <v>SELESAI</v>
      </c>
      <c r="L411" s="17">
        <f>IFERROR(__xludf.DUMMYFUNCTION("""COMPUTED_VALUE"""),45636.706761064816)</f>
        <v>45636.70676</v>
      </c>
      <c r="M411" s="17" t="str">
        <f>IFERROR(__xludf.DUMMYFUNCTION("""COMPUTED_VALUE"""),"")</f>
        <v/>
      </c>
      <c r="N411" s="13" t="str">
        <f>IFERROR(__xludf.DUMMYFUNCTION("""COMPUTED_VALUE"""),"")</f>
        <v/>
      </c>
      <c r="O411" s="13" t="str">
        <f t="shared" si="1"/>
        <v/>
      </c>
    </row>
    <row r="412" ht="22.5" customHeight="1">
      <c r="B412" s="13">
        <f>IFERROR(__xludf.DUMMYFUNCTION("""COMPUTED_VALUE"""),407.0)</f>
        <v>407</v>
      </c>
      <c r="C412" s="13" t="str">
        <f>IFERROR(__xludf.DUMMYFUNCTION("""COMPUTED_VALUE"""),"HM 16505/SUKARAME")</f>
        <v>HM 16505/SUKARAME</v>
      </c>
      <c r="D412" s="13" t="str">
        <f>IFERROR(__xludf.DUMMYFUNCTION("""COMPUTED_VALUE"""),"L/18/051224/1")</f>
        <v>L/18/051224/1</v>
      </c>
      <c r="E412" s="14" t="str">
        <f>IFERROR(__xludf.DUMMYFUNCTION("""COMPUTED_VALUE"""),"Nadian (BT)")</f>
        <v>Nadian (BT)</v>
      </c>
      <c r="F412" s="14" t="str">
        <f>IFERROR(__xludf.DUMMYFUNCTION("""COMPUTED_VALUE"""),"SELESAI")</f>
        <v>SELESAI</v>
      </c>
      <c r="G412" s="17">
        <f>IFERROR(__xludf.DUMMYFUNCTION("""COMPUTED_VALUE"""),45635.701057997685)</f>
        <v>45635.70106</v>
      </c>
      <c r="H412" s="14" t="str">
        <f>IFERROR(__xludf.DUMMYFUNCTION("""COMPUTED_VALUE"""),"Bu Eva (SU)")</f>
        <v>Bu Eva (SU)</v>
      </c>
      <c r="I412" s="13" t="str">
        <f>IFERROR(__xludf.DUMMYFUNCTION("""COMPUTED_VALUE"""),"SELESAI")</f>
        <v>SELESAI</v>
      </c>
      <c r="J412" s="17">
        <f>IFERROR(__xludf.DUMMYFUNCTION("""COMPUTED_VALUE"""),45636.706761064816)</f>
        <v>45636.70676</v>
      </c>
      <c r="K412" s="13" t="str">
        <f>IFERROR(__xludf.DUMMYFUNCTION("""COMPUTED_VALUE"""),"SELESAI")</f>
        <v>SELESAI</v>
      </c>
      <c r="L412" s="17">
        <f>IFERROR(__xludf.DUMMYFUNCTION("""COMPUTED_VALUE"""),45636.706761064816)</f>
        <v>45636.70676</v>
      </c>
      <c r="M412" s="17" t="str">
        <f>IFERROR(__xludf.DUMMYFUNCTION("""COMPUTED_VALUE"""),"")</f>
        <v/>
      </c>
      <c r="N412" s="17">
        <f>IFERROR(__xludf.DUMMYFUNCTION("""COMPUTED_VALUE"""),45637.427300717594)</f>
        <v>45637.4273</v>
      </c>
      <c r="O412" s="13">
        <f t="shared" si="1"/>
        <v>1</v>
      </c>
    </row>
    <row r="413" ht="22.5" customHeight="1">
      <c r="B413" s="13">
        <f>IFERROR(__xludf.DUMMYFUNCTION("""COMPUTED_VALUE"""),408.0)</f>
        <v>408</v>
      </c>
      <c r="C413" s="13" t="str">
        <f>IFERROR(__xludf.DUMMYFUNCTION("""COMPUTED_VALUE"""),"M. 13980/ Tanjung Baru")</f>
        <v>M. 13980/ Tanjung Baru</v>
      </c>
      <c r="D413" s="13" t="str">
        <f>IFERROR(__xludf.DUMMYFUNCTION("""COMPUTED_VALUE"""),"K/36/051224/1")</f>
        <v>K/36/051224/1</v>
      </c>
      <c r="E413" s="14" t="str">
        <f>IFERROR(__xludf.DUMMYFUNCTION("""COMPUTED_VALUE"""),"Nadian (BT)")</f>
        <v>Nadian (BT)</v>
      </c>
      <c r="F413" s="14" t="str">
        <f>IFERROR(__xludf.DUMMYFUNCTION("""COMPUTED_VALUE"""),"SELESAI")</f>
        <v>SELESAI</v>
      </c>
      <c r="G413" s="17">
        <f>IFERROR(__xludf.DUMMYFUNCTION("""COMPUTED_VALUE"""),45635.701057997685)</f>
        <v>45635.70106</v>
      </c>
      <c r="H413" s="14" t="str">
        <f>IFERROR(__xludf.DUMMYFUNCTION("""COMPUTED_VALUE"""),"Bu Eva (SU)")</f>
        <v>Bu Eva (SU)</v>
      </c>
      <c r="I413" s="13" t="str">
        <f>IFERROR(__xludf.DUMMYFUNCTION("""COMPUTED_VALUE"""),"SELESAI")</f>
        <v>SELESAI</v>
      </c>
      <c r="J413" s="17">
        <f>IFERROR(__xludf.DUMMYFUNCTION("""COMPUTED_VALUE"""),45636.706761064816)</f>
        <v>45636.70676</v>
      </c>
      <c r="K413" s="13" t="str">
        <f>IFERROR(__xludf.DUMMYFUNCTION("""COMPUTED_VALUE"""),"SELESAI")</f>
        <v>SELESAI</v>
      </c>
      <c r="L413" s="17">
        <f>IFERROR(__xludf.DUMMYFUNCTION("""COMPUTED_VALUE"""),45636.706761064816)</f>
        <v>45636.70676</v>
      </c>
      <c r="M413" s="17" t="str">
        <f>IFERROR(__xludf.DUMMYFUNCTION("""COMPUTED_VALUE"""),"")</f>
        <v/>
      </c>
      <c r="N413" s="17">
        <f>IFERROR(__xludf.DUMMYFUNCTION("""COMPUTED_VALUE"""),45637.425753564814)</f>
        <v>45637.42575</v>
      </c>
      <c r="O413" s="13">
        <f t="shared" si="1"/>
        <v>2</v>
      </c>
    </row>
    <row r="414" ht="22.5" customHeight="1">
      <c r="B414" s="13">
        <f>IFERROR(__xludf.DUMMYFUNCTION("""COMPUTED_VALUE"""),409.0)</f>
        <v>409</v>
      </c>
      <c r="C414" s="13" t="str">
        <f>IFERROR(__xludf.DUMMYFUNCTION("""COMPUTED_VALUE"""),"HM 419/KALI BALAU KENCANA")</f>
        <v>HM 419/KALI BALAU KENCANA</v>
      </c>
      <c r="D414" s="13" t="str">
        <f>IFERROR(__xludf.DUMMYFUNCTION("""COMPUTED_VALUE"""),"L/21/051224/1")</f>
        <v>L/21/051224/1</v>
      </c>
      <c r="E414" s="14" t="str">
        <f>IFERROR(__xludf.DUMMYFUNCTION("""COMPUTED_VALUE"""),"Nadian (BT)")</f>
        <v>Nadian (BT)</v>
      </c>
      <c r="F414" s="14" t="str">
        <f>IFERROR(__xludf.DUMMYFUNCTION("""COMPUTED_VALUE"""),"SELESAI")</f>
        <v>SELESAI</v>
      </c>
      <c r="G414" s="17">
        <f>IFERROR(__xludf.DUMMYFUNCTION("""COMPUTED_VALUE"""),45635.701057997685)</f>
        <v>45635.70106</v>
      </c>
      <c r="H414" s="14" t="str">
        <f>IFERROR(__xludf.DUMMYFUNCTION("""COMPUTED_VALUE"""),"Bu Eva (SU)")</f>
        <v>Bu Eva (SU)</v>
      </c>
      <c r="I414" s="13" t="str">
        <f>IFERROR(__xludf.DUMMYFUNCTION("""COMPUTED_VALUE"""),"SELESAI")</f>
        <v>SELESAI</v>
      </c>
      <c r="J414" s="17">
        <f>IFERROR(__xludf.DUMMYFUNCTION("""COMPUTED_VALUE"""),45636.706761064816)</f>
        <v>45636.70676</v>
      </c>
      <c r="K414" s="13" t="str">
        <f>IFERROR(__xludf.DUMMYFUNCTION("""COMPUTED_VALUE"""),"SELESAI")</f>
        <v>SELESAI</v>
      </c>
      <c r="L414" s="17">
        <f>IFERROR(__xludf.DUMMYFUNCTION("""COMPUTED_VALUE"""),45636.706761064816)</f>
        <v>45636.70676</v>
      </c>
      <c r="M414" s="17" t="str">
        <f>IFERROR(__xludf.DUMMYFUNCTION("""COMPUTED_VALUE"""),"")</f>
        <v/>
      </c>
      <c r="N414" s="17">
        <f>IFERROR(__xludf.DUMMYFUNCTION("""COMPUTED_VALUE"""),45637.427454247685)</f>
        <v>45637.42745</v>
      </c>
      <c r="O414" s="13">
        <f t="shared" si="1"/>
        <v>3</v>
      </c>
    </row>
    <row r="415" ht="22.5" customHeight="1">
      <c r="B415" s="13">
        <f>IFERROR(__xludf.DUMMYFUNCTION("""COMPUTED_VALUE"""),410.0)</f>
        <v>410</v>
      </c>
      <c r="C415" s="13" t="str">
        <f>IFERROR(__xludf.DUMMYFUNCTION("""COMPUTED_VALUE"""),"M. 14955/ Rajabasa")</f>
        <v>M. 14955/ Rajabasa</v>
      </c>
      <c r="D415" s="13" t="str">
        <f>IFERROR(__xludf.DUMMYFUNCTION("""COMPUTED_VALUE"""),"K/17/051224/1")</f>
        <v>K/17/051224/1</v>
      </c>
      <c r="E415" s="14" t="str">
        <f>IFERROR(__xludf.DUMMYFUNCTION("""COMPUTED_VALUE"""),"Nadian (BT)")</f>
        <v>Nadian (BT)</v>
      </c>
      <c r="F415" s="14" t="str">
        <f>IFERROR(__xludf.DUMMYFUNCTION("""COMPUTED_VALUE"""),"SELESAI")</f>
        <v>SELESAI</v>
      </c>
      <c r="G415" s="17">
        <f>IFERROR(__xludf.DUMMYFUNCTION("""COMPUTED_VALUE"""),45635.701057997685)</f>
        <v>45635.70106</v>
      </c>
      <c r="H415" s="14" t="str">
        <f>IFERROR(__xludf.DUMMYFUNCTION("""COMPUTED_VALUE"""),"Bu Eva (SU)")</f>
        <v>Bu Eva (SU)</v>
      </c>
      <c r="I415" s="13" t="str">
        <f>IFERROR(__xludf.DUMMYFUNCTION("""COMPUTED_VALUE"""),"SELESAI")</f>
        <v>SELESAI</v>
      </c>
      <c r="J415" s="17">
        <f>IFERROR(__xludf.DUMMYFUNCTION("""COMPUTED_VALUE"""),45636.706761064816)</f>
        <v>45636.70676</v>
      </c>
      <c r="K415" s="13" t="str">
        <f>IFERROR(__xludf.DUMMYFUNCTION("""COMPUTED_VALUE"""),"SELESAI")</f>
        <v>SELESAI</v>
      </c>
      <c r="L415" s="17">
        <f>IFERROR(__xludf.DUMMYFUNCTION("""COMPUTED_VALUE"""),45636.706761064816)</f>
        <v>45636.70676</v>
      </c>
      <c r="M415" s="17" t="str">
        <f>IFERROR(__xludf.DUMMYFUNCTION("""COMPUTED_VALUE"""),"")</f>
        <v/>
      </c>
      <c r="N415" s="17">
        <f>IFERROR(__xludf.DUMMYFUNCTION("""COMPUTED_VALUE"""),45637.4275630787)</f>
        <v>45637.42756</v>
      </c>
      <c r="O415" s="13">
        <f t="shared" si="1"/>
        <v>4</v>
      </c>
    </row>
    <row r="416" ht="22.5" customHeight="1">
      <c r="B416" s="13">
        <f>IFERROR(__xludf.DUMMYFUNCTION("""COMPUTED_VALUE"""),411.0)</f>
        <v>411</v>
      </c>
      <c r="C416" s="13" t="str">
        <f>IFERROR(__xludf.DUMMYFUNCTION("""COMPUTED_VALUE"""),"M. 853/ Batu Putuk")</f>
        <v>M. 853/ Batu Putuk</v>
      </c>
      <c r="D416" s="13" t="str">
        <f>IFERROR(__xludf.DUMMYFUNCTION("""COMPUTED_VALUE"""),"K/30/041224/2")</f>
        <v>K/30/041224/2</v>
      </c>
      <c r="E416" s="14" t="str">
        <f>IFERROR(__xludf.DUMMYFUNCTION("""COMPUTED_VALUE"""),"Nadian (BT)")</f>
        <v>Nadian (BT)</v>
      </c>
      <c r="F416" s="14" t="str">
        <f>IFERROR(__xludf.DUMMYFUNCTION("""COMPUTED_VALUE"""),"SELESAI")</f>
        <v>SELESAI</v>
      </c>
      <c r="G416" s="17">
        <f>IFERROR(__xludf.DUMMYFUNCTION("""COMPUTED_VALUE"""),45635.701057997685)</f>
        <v>45635.70106</v>
      </c>
      <c r="H416" s="14" t="str">
        <f>IFERROR(__xludf.DUMMYFUNCTION("""COMPUTED_VALUE"""),"Bu Eva (SU)")</f>
        <v>Bu Eva (SU)</v>
      </c>
      <c r="I416" s="13" t="str">
        <f>IFERROR(__xludf.DUMMYFUNCTION("""COMPUTED_VALUE"""),"SELESAI")</f>
        <v>SELESAI</v>
      </c>
      <c r="J416" s="17">
        <f>IFERROR(__xludf.DUMMYFUNCTION("""COMPUTED_VALUE"""),45636.70676107639)</f>
        <v>45636.70676</v>
      </c>
      <c r="K416" s="13" t="str">
        <f>IFERROR(__xludf.DUMMYFUNCTION("""COMPUTED_VALUE"""),"SELESAI")</f>
        <v>SELESAI</v>
      </c>
      <c r="L416" s="17">
        <f>IFERROR(__xludf.DUMMYFUNCTION("""COMPUTED_VALUE"""),45636.70676107639)</f>
        <v>45636.70676</v>
      </c>
      <c r="M416" s="17" t="str">
        <f>IFERROR(__xludf.DUMMYFUNCTION("""COMPUTED_VALUE"""),"")</f>
        <v/>
      </c>
      <c r="N416" s="17">
        <f>IFERROR(__xludf.DUMMYFUNCTION("""COMPUTED_VALUE"""),45637.42773364583)</f>
        <v>45637.42773</v>
      </c>
      <c r="O416" s="13">
        <f t="shared" si="1"/>
        <v>5</v>
      </c>
    </row>
    <row r="417" ht="22.5" customHeight="1">
      <c r="B417" s="13">
        <f>IFERROR(__xludf.DUMMYFUNCTION("""COMPUTED_VALUE"""),412.0)</f>
        <v>412</v>
      </c>
      <c r="C417" s="13" t="str">
        <f>IFERROR(__xludf.DUMMYFUNCTION("""COMPUTED_VALUE"""),"B.599/SUMBER AGUNG")</f>
        <v>B.599/SUMBER AGUNG</v>
      </c>
      <c r="D417" s="13" t="str">
        <f>IFERROR(__xludf.DUMMYFUNCTION("""COMPUTED_VALUE"""),"K/46/041224/1")</f>
        <v>K/46/041224/1</v>
      </c>
      <c r="E417" s="14" t="str">
        <f>IFERROR(__xludf.DUMMYFUNCTION("""COMPUTED_VALUE"""),"Nadian (BT)")</f>
        <v>Nadian (BT)</v>
      </c>
      <c r="F417" s="14" t="str">
        <f>IFERROR(__xludf.DUMMYFUNCTION("""COMPUTED_VALUE"""),"SELESAI")</f>
        <v>SELESAI</v>
      </c>
      <c r="G417" s="17">
        <f>IFERROR(__xludf.DUMMYFUNCTION("""COMPUTED_VALUE"""),45635.701057997685)</f>
        <v>45635.70106</v>
      </c>
      <c r="H417" s="14" t="str">
        <f>IFERROR(__xludf.DUMMYFUNCTION("""COMPUTED_VALUE"""),"Bu Eva (SU)")</f>
        <v>Bu Eva (SU)</v>
      </c>
      <c r="I417" s="13" t="str">
        <f>IFERROR(__xludf.DUMMYFUNCTION("""COMPUTED_VALUE"""),"SELESAI")</f>
        <v>SELESAI</v>
      </c>
      <c r="J417" s="17">
        <f>IFERROR(__xludf.DUMMYFUNCTION("""COMPUTED_VALUE"""),45636.70676107639)</f>
        <v>45636.70676</v>
      </c>
      <c r="K417" s="13" t="str">
        <f>IFERROR(__xludf.DUMMYFUNCTION("""COMPUTED_VALUE"""),"SELESAI")</f>
        <v>SELESAI</v>
      </c>
      <c r="L417" s="17">
        <f>IFERROR(__xludf.DUMMYFUNCTION("""COMPUTED_VALUE"""),45636.70676107639)</f>
        <v>45636.70676</v>
      </c>
      <c r="M417" s="17" t="str">
        <f>IFERROR(__xludf.DUMMYFUNCTION("""COMPUTED_VALUE"""),"")</f>
        <v/>
      </c>
      <c r="N417" s="17">
        <f>IFERROR(__xludf.DUMMYFUNCTION("""COMPUTED_VALUE"""),45637.42623012731)</f>
        <v>45637.42623</v>
      </c>
      <c r="O417" s="13">
        <f t="shared" si="1"/>
        <v>6</v>
      </c>
    </row>
    <row r="418" ht="22.5" customHeight="1">
      <c r="B418" s="13">
        <f>IFERROR(__xludf.DUMMYFUNCTION("""COMPUTED_VALUE"""),413.0)</f>
        <v>413</v>
      </c>
      <c r="C418" s="13" t="str">
        <f>IFERROR(__xludf.DUMMYFUNCTION("""COMPUTED_VALUE"""),"B.691/KEMILING PERMAI")</f>
        <v>B.691/KEMILING PERMAI</v>
      </c>
      <c r="D418" s="13" t="str">
        <f>IFERROR(__xludf.DUMMYFUNCTION("""COMPUTED_VALUE"""),"K/47/041224/2")</f>
        <v>K/47/041224/2</v>
      </c>
      <c r="E418" s="14" t="str">
        <f>IFERROR(__xludf.DUMMYFUNCTION("""COMPUTED_VALUE"""),"Nadian (BT)")</f>
        <v>Nadian (BT)</v>
      </c>
      <c r="F418" s="14" t="str">
        <f>IFERROR(__xludf.DUMMYFUNCTION("""COMPUTED_VALUE"""),"SELESAI")</f>
        <v>SELESAI</v>
      </c>
      <c r="G418" s="17">
        <f>IFERROR(__xludf.DUMMYFUNCTION("""COMPUTED_VALUE"""),45635.701057997685)</f>
        <v>45635.70106</v>
      </c>
      <c r="H418" s="14" t="str">
        <f>IFERROR(__xludf.DUMMYFUNCTION("""COMPUTED_VALUE"""),"Bu Eva (SU)")</f>
        <v>Bu Eva (SU)</v>
      </c>
      <c r="I418" s="13" t="str">
        <f>IFERROR(__xludf.DUMMYFUNCTION("""COMPUTED_VALUE"""),"SELESAI")</f>
        <v>SELESAI</v>
      </c>
      <c r="J418" s="17">
        <f>IFERROR(__xludf.DUMMYFUNCTION("""COMPUTED_VALUE"""),45636.70676107639)</f>
        <v>45636.70676</v>
      </c>
      <c r="K418" s="13" t="str">
        <f>IFERROR(__xludf.DUMMYFUNCTION("""COMPUTED_VALUE"""),"SELESAI")</f>
        <v>SELESAI</v>
      </c>
      <c r="L418" s="17">
        <f>IFERROR(__xludf.DUMMYFUNCTION("""COMPUTED_VALUE"""),45636.70676107639)</f>
        <v>45636.70676</v>
      </c>
      <c r="M418" s="17" t="str">
        <f>IFERROR(__xludf.DUMMYFUNCTION("""COMPUTED_VALUE"""),"")</f>
        <v/>
      </c>
      <c r="N418" s="17">
        <f>IFERROR(__xludf.DUMMYFUNCTION("""COMPUTED_VALUE"""),45637.43449079861)</f>
        <v>45637.43449</v>
      </c>
      <c r="O418" s="13">
        <f t="shared" si="1"/>
        <v>7</v>
      </c>
    </row>
    <row r="419" ht="22.5" customHeight="1">
      <c r="B419" s="13">
        <f>IFERROR(__xludf.DUMMYFUNCTION("""COMPUTED_VALUE"""),414.0)</f>
        <v>414</v>
      </c>
      <c r="C419" s="13" t="str">
        <f>IFERROR(__xludf.DUMMYFUNCTION("""COMPUTED_VALUE"""),"M. 1061/ Kangkung; SHT peringkat I-IX")</f>
        <v>M. 1061/ Kangkung; SHT peringkat I-IX</v>
      </c>
      <c r="D419" s="13" t="str">
        <f>IFERROR(__xludf.DUMMYFUNCTION("""COMPUTED_VALUE"""),"K/15/021224/1")</f>
        <v>K/15/021224/1</v>
      </c>
      <c r="E419" s="14" t="str">
        <f>IFERROR(__xludf.DUMMYFUNCTION("""COMPUTED_VALUE"""),"Nadian (BT)")</f>
        <v>Nadian (BT)</v>
      </c>
      <c r="F419" s="14" t="str">
        <f>IFERROR(__xludf.DUMMYFUNCTION("""COMPUTED_VALUE"""),"SELESAI (VIA PERMOHONAN)")</f>
        <v>SELESAI (VIA PERMOHONAN)</v>
      </c>
      <c r="G419" s="17">
        <f>IFERROR(__xludf.DUMMYFUNCTION("""COMPUTED_VALUE"""),45635.701057997685)</f>
        <v>45635.70106</v>
      </c>
      <c r="H419" s="14" t="str">
        <f>IFERROR(__xludf.DUMMYFUNCTION("""COMPUTED_VALUE"""),"Aprill (SU)")</f>
        <v>Aprill (SU)</v>
      </c>
      <c r="I419" s="13" t="str">
        <f>IFERROR(__xludf.DUMMYFUNCTION("""COMPUTED_VALUE"""),"SELESAI (VIA PERMOHONAN)")</f>
        <v>SELESAI (VIA PERMOHONAN)</v>
      </c>
      <c r="J419" s="17">
        <f>IFERROR(__xludf.DUMMYFUNCTION("""COMPUTED_VALUE"""),45636.70676107639)</f>
        <v>45636.70676</v>
      </c>
      <c r="K419" s="13" t="str">
        <f>IFERROR(__xludf.DUMMYFUNCTION("""COMPUTED_VALUE"""),"Selesai")</f>
        <v>Selesai</v>
      </c>
      <c r="L419" s="17">
        <f>IFERROR(__xludf.DUMMYFUNCTION("""COMPUTED_VALUE"""),45636.70676107639)</f>
        <v>45636.70676</v>
      </c>
      <c r="M419" s="17">
        <f>IFERROR(__xludf.DUMMYFUNCTION("""COMPUTED_VALUE"""),45636.70676107639)</f>
        <v>45636.70676</v>
      </c>
      <c r="N419" s="13" t="str">
        <f>IFERROR(__xludf.DUMMYFUNCTION("""COMPUTED_VALUE"""),"")</f>
        <v/>
      </c>
      <c r="O419" s="13" t="str">
        <f t="shared" si="1"/>
        <v/>
      </c>
    </row>
    <row r="420" ht="22.5" customHeight="1">
      <c r="B420" s="13">
        <f>IFERROR(__xludf.DUMMYFUNCTION("""COMPUTED_VALUE"""),415.0)</f>
        <v>415</v>
      </c>
      <c r="C420" s="13" t="str">
        <f>IFERROR(__xludf.DUMMYFUNCTION("""COMPUTED_VALUE"""),"M.2682/GEDONG AIR")</f>
        <v>M.2682/GEDONG AIR</v>
      </c>
      <c r="D420" s="13" t="str">
        <f>IFERROR(__xludf.DUMMYFUNCTION("""COMPUTED_VALUE"""),"K/25/041224/1")</f>
        <v>K/25/041224/1</v>
      </c>
      <c r="E420" s="14" t="str">
        <f>IFERROR(__xludf.DUMMYFUNCTION("""COMPUTED_VALUE"""),"Nadian (BT)")</f>
        <v>Nadian (BT)</v>
      </c>
      <c r="F420" s="14" t="str">
        <f>IFERROR(__xludf.DUMMYFUNCTION("""COMPUTED_VALUE"""),"SELESAI (VIA PERMOHONAN)")</f>
        <v>SELESAI (VIA PERMOHONAN)</v>
      </c>
      <c r="G420" s="17">
        <f>IFERROR(__xludf.DUMMYFUNCTION("""COMPUTED_VALUE"""),45635.701057997685)</f>
        <v>45635.70106</v>
      </c>
      <c r="H420" s="14" t="str">
        <f>IFERROR(__xludf.DUMMYFUNCTION("""COMPUTED_VALUE"""),"Aprill (SU)")</f>
        <v>Aprill (SU)</v>
      </c>
      <c r="I420" s="13" t="str">
        <f>IFERROR(__xludf.DUMMYFUNCTION("""COMPUTED_VALUE"""),"SELESAI (VIA PERMOHONAN)")</f>
        <v>SELESAI (VIA PERMOHONAN)</v>
      </c>
      <c r="J420" s="17">
        <f>IFERROR(__xludf.DUMMYFUNCTION("""COMPUTED_VALUE"""),45636.70676107639)</f>
        <v>45636.70676</v>
      </c>
      <c r="K420" s="13" t="str">
        <f>IFERROR(__xludf.DUMMYFUNCTION("""COMPUTED_VALUE"""),"Selesai")</f>
        <v>Selesai</v>
      </c>
      <c r="L420" s="17">
        <f>IFERROR(__xludf.DUMMYFUNCTION("""COMPUTED_VALUE"""),45636.70676107639)</f>
        <v>45636.70676</v>
      </c>
      <c r="M420" s="17">
        <f>IFERROR(__xludf.DUMMYFUNCTION("""COMPUTED_VALUE"""),45636.70676107639)</f>
        <v>45636.70676</v>
      </c>
      <c r="N420" s="13" t="str">
        <f>IFERROR(__xludf.DUMMYFUNCTION("""COMPUTED_VALUE"""),"")</f>
        <v/>
      </c>
      <c r="O420" s="13" t="str">
        <f t="shared" si="1"/>
        <v/>
      </c>
    </row>
    <row r="421" ht="22.5" customHeight="1">
      <c r="B421" s="13">
        <f>IFERROR(__xludf.DUMMYFUNCTION("""COMPUTED_VALUE"""),416.0)</f>
        <v>416</v>
      </c>
      <c r="C421" s="13" t="str">
        <f>IFERROR(__xludf.DUMMYFUNCTION("""COMPUTED_VALUE"""),"B.725/SUMUR PUTRI")</f>
        <v>B.725/SUMUR PUTRI</v>
      </c>
      <c r="D421" s="13" t="str">
        <f>IFERROR(__xludf.DUMMYFUNCTION("""COMPUTED_VALUE"""),"K/55/191124/1")</f>
        <v>K/55/191124/1</v>
      </c>
      <c r="E421" s="14" t="str">
        <f>IFERROR(__xludf.DUMMYFUNCTION("""COMPUTED_VALUE"""),"Nadian (BT)")</f>
        <v>Nadian (BT)</v>
      </c>
      <c r="F421" s="14" t="str">
        <f>IFERROR(__xludf.DUMMYFUNCTION("""COMPUTED_VALUE"""),"SELESAI (VIA PERMOHONAN)")</f>
        <v>SELESAI (VIA PERMOHONAN)</v>
      </c>
      <c r="G421" s="17">
        <f>IFERROR(__xludf.DUMMYFUNCTION("""COMPUTED_VALUE"""),45635.701057997685)</f>
        <v>45635.70106</v>
      </c>
      <c r="H421" s="14" t="str">
        <f>IFERROR(__xludf.DUMMYFUNCTION("""COMPUTED_VALUE"""),"Aprill (SU)")</f>
        <v>Aprill (SU)</v>
      </c>
      <c r="I421" s="13" t="str">
        <f>IFERROR(__xludf.DUMMYFUNCTION("""COMPUTED_VALUE"""),"SELESAI (VIA PERMOHONAN)")</f>
        <v>SELESAI (VIA PERMOHONAN)</v>
      </c>
      <c r="J421" s="17">
        <f>IFERROR(__xludf.DUMMYFUNCTION("""COMPUTED_VALUE"""),45636.70676107639)</f>
        <v>45636.70676</v>
      </c>
      <c r="K421" s="13" t="str">
        <f>IFERROR(__xludf.DUMMYFUNCTION("""COMPUTED_VALUE"""),"Selesai")</f>
        <v>Selesai</v>
      </c>
      <c r="L421" s="17">
        <f>IFERROR(__xludf.DUMMYFUNCTION("""COMPUTED_VALUE"""),45636.70676107639)</f>
        <v>45636.70676</v>
      </c>
      <c r="M421" s="17">
        <f>IFERROR(__xludf.DUMMYFUNCTION("""COMPUTED_VALUE"""),45636.70676107639)</f>
        <v>45636.70676</v>
      </c>
      <c r="N421" s="13" t="str">
        <f>IFERROR(__xludf.DUMMYFUNCTION("""COMPUTED_VALUE"""),"")</f>
        <v/>
      </c>
      <c r="O421" s="13" t="str">
        <f t="shared" si="1"/>
        <v/>
      </c>
    </row>
    <row r="422" ht="22.5" customHeight="1">
      <c r="B422" s="13">
        <f>IFERROR(__xludf.DUMMYFUNCTION("""COMPUTED_VALUE"""),417.0)</f>
        <v>417</v>
      </c>
      <c r="C422" s="13" t="str">
        <f>IFERROR(__xludf.DUMMYFUNCTION("""COMPUTED_VALUE"""),"M.1615/SUKABUMI INDAH")</f>
        <v>M.1615/SUKABUMI INDAH</v>
      </c>
      <c r="D422" s="13" t="str">
        <f>IFERROR(__xludf.DUMMYFUNCTION("""COMPUTED_VALUE"""),"K/3/071124/1")</f>
        <v>K/3/071124/1</v>
      </c>
      <c r="E422" s="14" t="str">
        <f>IFERROR(__xludf.DUMMYFUNCTION("""COMPUTED_VALUE"""),"Nadian (BT)")</f>
        <v>Nadian (BT)</v>
      </c>
      <c r="F422" s="14" t="str">
        <f>IFERROR(__xludf.DUMMYFUNCTION("""COMPUTED_VALUE"""),"SELESAI (VIA PERMOHONAN)")</f>
        <v>SELESAI (VIA PERMOHONAN)</v>
      </c>
      <c r="G422" s="17">
        <f>IFERROR(__xludf.DUMMYFUNCTION("""COMPUTED_VALUE"""),45635.701057997685)</f>
        <v>45635.70106</v>
      </c>
      <c r="H422" s="14" t="str">
        <f>IFERROR(__xludf.DUMMYFUNCTION("""COMPUTED_VALUE"""),"Aprill (SU)")</f>
        <v>Aprill (SU)</v>
      </c>
      <c r="I422" s="13" t="str">
        <f>IFERROR(__xludf.DUMMYFUNCTION("""COMPUTED_VALUE"""),"SELESAI (VIA PERMOHONAN)")</f>
        <v>SELESAI (VIA PERMOHONAN)</v>
      </c>
      <c r="J422" s="17">
        <f>IFERROR(__xludf.DUMMYFUNCTION("""COMPUTED_VALUE"""),45635.701057997685)</f>
        <v>45635.70106</v>
      </c>
      <c r="K422" s="13" t="str">
        <f>IFERROR(__xludf.DUMMYFUNCTION("""COMPUTED_VALUE"""),"Selesai")</f>
        <v>Selesai</v>
      </c>
      <c r="L422" s="17">
        <f>IFERROR(__xludf.DUMMYFUNCTION("""COMPUTED_VALUE"""),45635.701057997685)</f>
        <v>45635.70106</v>
      </c>
      <c r="M422" s="17">
        <f>IFERROR(__xludf.DUMMYFUNCTION("""COMPUTED_VALUE"""),45635.701057997685)</f>
        <v>45635.70106</v>
      </c>
      <c r="N422" s="13" t="str">
        <f>IFERROR(__xludf.DUMMYFUNCTION("""COMPUTED_VALUE"""),"")</f>
        <v/>
      </c>
      <c r="O422" s="13" t="str">
        <f t="shared" si="1"/>
        <v/>
      </c>
    </row>
    <row r="423" ht="22.5" customHeight="1">
      <c r="B423" s="13">
        <f>IFERROR(__xludf.DUMMYFUNCTION("""COMPUTED_VALUE"""),418.0)</f>
        <v>418</v>
      </c>
      <c r="C423" s="13" t="str">
        <f>IFERROR(__xludf.DUMMYFUNCTION("""COMPUTED_VALUE"""),"M. 1631/ Kuripan")</f>
        <v>M. 1631/ Kuripan</v>
      </c>
      <c r="D423" s="13" t="str">
        <f>IFERROR(__xludf.DUMMYFUNCTION("""COMPUTED_VALUE"""),"K/30/061224/1")</f>
        <v>K/30/061224/1</v>
      </c>
      <c r="E423" s="14" t="str">
        <f>IFERROR(__xludf.DUMMYFUNCTION("""COMPUTED_VALUE"""),"Afriza (BT)")</f>
        <v>Afriza (BT)</v>
      </c>
      <c r="F423" s="14" t="str">
        <f>IFERROR(__xludf.DUMMYFUNCTION("""COMPUTED_VALUE"""),"SELESAI")</f>
        <v>SELESAI</v>
      </c>
      <c r="G423" s="17">
        <f>IFERROR(__xludf.DUMMYFUNCTION("""COMPUTED_VALUE"""),45635.70105800926)</f>
        <v>45635.70106</v>
      </c>
      <c r="H423" s="14" t="str">
        <f>IFERROR(__xludf.DUMMYFUNCTION("""COMPUTED_VALUE"""),"Bu Eva (SU)")</f>
        <v>Bu Eva (SU)</v>
      </c>
      <c r="I423" s="13" t="str">
        <f>IFERROR(__xludf.DUMMYFUNCTION("""COMPUTED_VALUE"""),"SELESAI")</f>
        <v>SELESAI</v>
      </c>
      <c r="J423" s="17">
        <f>IFERROR(__xludf.DUMMYFUNCTION("""COMPUTED_VALUE"""),45636.70676108796)</f>
        <v>45636.70676</v>
      </c>
      <c r="K423" s="13" t="str">
        <f>IFERROR(__xludf.DUMMYFUNCTION("""COMPUTED_VALUE"""),"SELESAI")</f>
        <v>SELESAI</v>
      </c>
      <c r="L423" s="17">
        <f>IFERROR(__xludf.DUMMYFUNCTION("""COMPUTED_VALUE"""),45636.70676108796)</f>
        <v>45636.70676</v>
      </c>
      <c r="M423" s="17" t="str">
        <f>IFERROR(__xludf.DUMMYFUNCTION("""COMPUTED_VALUE"""),"")</f>
        <v/>
      </c>
      <c r="N423" s="17">
        <f>IFERROR(__xludf.DUMMYFUNCTION("""COMPUTED_VALUE"""),45637.43681372685)</f>
        <v>45637.43681</v>
      </c>
      <c r="O423" s="13">
        <f t="shared" si="1"/>
        <v>1</v>
      </c>
    </row>
    <row r="424" ht="22.5" customHeight="1">
      <c r="B424" s="13">
        <f>IFERROR(__xludf.DUMMYFUNCTION("""COMPUTED_VALUE"""),419.0)</f>
        <v>419</v>
      </c>
      <c r="C424" s="13" t="str">
        <f>IFERROR(__xludf.DUMMYFUNCTION("""COMPUTED_VALUE"""),"B. 375/ Sumur Putri")</f>
        <v>B. 375/ Sumur Putri</v>
      </c>
      <c r="D424" s="13" t="str">
        <f>IFERROR(__xludf.DUMMYFUNCTION("""COMPUTED_VALUE"""),"K/3/061224/1")</f>
        <v>K/3/061224/1</v>
      </c>
      <c r="E424" s="14" t="str">
        <f>IFERROR(__xludf.DUMMYFUNCTION("""COMPUTED_VALUE"""),"Afriza (BT)")</f>
        <v>Afriza (BT)</v>
      </c>
      <c r="F424" s="14" t="str">
        <f>IFERROR(__xludf.DUMMYFUNCTION("""COMPUTED_VALUE"""),"SELESAI")</f>
        <v>SELESAI</v>
      </c>
      <c r="G424" s="17">
        <f>IFERROR(__xludf.DUMMYFUNCTION("""COMPUTED_VALUE"""),45635.70108675926)</f>
        <v>45635.70109</v>
      </c>
      <c r="H424" s="14" t="str">
        <f>IFERROR(__xludf.DUMMYFUNCTION("""COMPUTED_VALUE"""),"Bu Eva (SU)")</f>
        <v>Bu Eva (SU)</v>
      </c>
      <c r="I424" s="13" t="str">
        <f>IFERROR(__xludf.DUMMYFUNCTION("""COMPUTED_VALUE"""),"SELESAI")</f>
        <v>SELESAI</v>
      </c>
      <c r="J424" s="17">
        <f>IFERROR(__xludf.DUMMYFUNCTION("""COMPUTED_VALUE"""),45636.70676108796)</f>
        <v>45636.70676</v>
      </c>
      <c r="K424" s="13" t="str">
        <f>IFERROR(__xludf.DUMMYFUNCTION("""COMPUTED_VALUE"""),"SELESAI")</f>
        <v>SELESAI</v>
      </c>
      <c r="L424" s="17">
        <f>IFERROR(__xludf.DUMMYFUNCTION("""COMPUTED_VALUE"""),45636.70676108796)</f>
        <v>45636.70676</v>
      </c>
      <c r="M424" s="17" t="str">
        <f>IFERROR(__xludf.DUMMYFUNCTION("""COMPUTED_VALUE"""),"")</f>
        <v/>
      </c>
      <c r="N424" s="17">
        <f>IFERROR(__xludf.DUMMYFUNCTION("""COMPUTED_VALUE"""),45637.43674452546)</f>
        <v>45637.43674</v>
      </c>
      <c r="O424" s="13">
        <f t="shared" si="1"/>
        <v>2</v>
      </c>
    </row>
    <row r="425" ht="22.5" customHeight="1">
      <c r="B425" s="13">
        <f>IFERROR(__xludf.DUMMYFUNCTION("""COMPUTED_VALUE"""),420.0)</f>
        <v>420</v>
      </c>
      <c r="C425" s="13" t="str">
        <f>IFERROR(__xludf.DUMMYFUNCTION("""COMPUTED_VALUE"""),"M. 2154/ Kedaung")</f>
        <v>M. 2154/ Kedaung</v>
      </c>
      <c r="D425" s="13" t="str">
        <f>IFERROR(__xludf.DUMMYFUNCTION("""COMPUTED_VALUE"""),"K/15/061224/1")</f>
        <v>K/15/061224/1</v>
      </c>
      <c r="E425" s="14" t="str">
        <f>IFERROR(__xludf.DUMMYFUNCTION("""COMPUTED_VALUE"""),"Afriza (BT)")</f>
        <v>Afriza (BT)</v>
      </c>
      <c r="F425" s="14" t="str">
        <f>IFERROR(__xludf.DUMMYFUNCTION("""COMPUTED_VALUE"""),"SELESAI")</f>
        <v>SELESAI</v>
      </c>
      <c r="G425" s="17">
        <f>IFERROR(__xludf.DUMMYFUNCTION("""COMPUTED_VALUE"""),45635.70117035879)</f>
        <v>45635.70117</v>
      </c>
      <c r="H425" s="14" t="str">
        <f>IFERROR(__xludf.DUMMYFUNCTION("""COMPUTED_VALUE"""),"Bu Eva (SU)")</f>
        <v>Bu Eva (SU)</v>
      </c>
      <c r="I425" s="13" t="str">
        <f>IFERROR(__xludf.DUMMYFUNCTION("""COMPUTED_VALUE"""),"SELESAI")</f>
        <v>SELESAI</v>
      </c>
      <c r="J425" s="17">
        <f>IFERROR(__xludf.DUMMYFUNCTION("""COMPUTED_VALUE"""),45636.70676108796)</f>
        <v>45636.70676</v>
      </c>
      <c r="K425" s="13" t="str">
        <f>IFERROR(__xludf.DUMMYFUNCTION("""COMPUTED_VALUE"""),"SELESAI")</f>
        <v>SELESAI</v>
      </c>
      <c r="L425" s="17">
        <f>IFERROR(__xludf.DUMMYFUNCTION("""COMPUTED_VALUE"""),45636.70676108796)</f>
        <v>45636.70676</v>
      </c>
      <c r="M425" s="17" t="str">
        <f>IFERROR(__xludf.DUMMYFUNCTION("""COMPUTED_VALUE"""),"")</f>
        <v/>
      </c>
      <c r="N425" s="17">
        <f>IFERROR(__xludf.DUMMYFUNCTION("""COMPUTED_VALUE"""),45637.43663645833)</f>
        <v>45637.43664</v>
      </c>
      <c r="O425" s="13">
        <f t="shared" si="1"/>
        <v>3</v>
      </c>
    </row>
    <row r="426" ht="22.5" customHeight="1">
      <c r="B426" s="13">
        <f>IFERROR(__xludf.DUMMYFUNCTION("""COMPUTED_VALUE"""),421.0)</f>
        <v>421</v>
      </c>
      <c r="C426" s="13" t="str">
        <f>IFERROR(__xludf.DUMMYFUNCTION("""COMPUTED_VALUE"""),"M. 308/ Campang Jaya")</f>
        <v>M. 308/ Campang Jaya</v>
      </c>
      <c r="D426" s="13" t="str">
        <f>IFERROR(__xludf.DUMMYFUNCTION("""COMPUTED_VALUE"""),"K/19/061224/1")</f>
        <v>K/19/061224/1</v>
      </c>
      <c r="E426" s="14" t="str">
        <f>IFERROR(__xludf.DUMMYFUNCTION("""COMPUTED_VALUE"""),"Afriza (BT)")</f>
        <v>Afriza (BT)</v>
      </c>
      <c r="F426" s="14" t="str">
        <f>IFERROR(__xludf.DUMMYFUNCTION("""COMPUTED_VALUE"""),"SELESAI")</f>
        <v>SELESAI</v>
      </c>
      <c r="G426" s="17">
        <f>IFERROR(__xludf.DUMMYFUNCTION("""COMPUTED_VALUE"""),45635.70126621528)</f>
        <v>45635.70127</v>
      </c>
      <c r="H426" s="14" t="str">
        <f>IFERROR(__xludf.DUMMYFUNCTION("""COMPUTED_VALUE"""),"Bu Eva (SU)")</f>
        <v>Bu Eva (SU)</v>
      </c>
      <c r="I426" s="13" t="str">
        <f>IFERROR(__xludf.DUMMYFUNCTION("""COMPUTED_VALUE"""),"SELESAI")</f>
        <v>SELESAI</v>
      </c>
      <c r="J426" s="17">
        <f>IFERROR(__xludf.DUMMYFUNCTION("""COMPUTED_VALUE"""),45636.70676108796)</f>
        <v>45636.70676</v>
      </c>
      <c r="K426" s="13" t="str">
        <f>IFERROR(__xludf.DUMMYFUNCTION("""COMPUTED_VALUE"""),"SELESAI")</f>
        <v>SELESAI</v>
      </c>
      <c r="L426" s="17">
        <f>IFERROR(__xludf.DUMMYFUNCTION("""COMPUTED_VALUE"""),45636.70676108796)</f>
        <v>45636.70676</v>
      </c>
      <c r="M426" s="17" t="str">
        <f>IFERROR(__xludf.DUMMYFUNCTION("""COMPUTED_VALUE"""),"")</f>
        <v/>
      </c>
      <c r="N426" s="17">
        <f>IFERROR(__xludf.DUMMYFUNCTION("""COMPUTED_VALUE"""),45637.436550370374)</f>
        <v>45637.43655</v>
      </c>
      <c r="O426" s="13">
        <f t="shared" si="1"/>
        <v>4</v>
      </c>
    </row>
    <row r="427" ht="22.5" customHeight="1">
      <c r="B427" s="13">
        <f>IFERROR(__xludf.DUMMYFUNCTION("""COMPUTED_VALUE"""),422.0)</f>
        <v>422</v>
      </c>
      <c r="C427" s="13" t="str">
        <f>IFERROR(__xludf.DUMMYFUNCTION("""COMPUTED_VALUE"""),"M. 5074/ Rajabasa Jaya")</f>
        <v>M. 5074/ Rajabasa Jaya</v>
      </c>
      <c r="D427" s="13" t="str">
        <f>IFERROR(__xludf.DUMMYFUNCTION("""COMPUTED_VALUE"""),"K/23/061224/2")</f>
        <v>K/23/061224/2</v>
      </c>
      <c r="E427" s="14" t="str">
        <f>IFERROR(__xludf.DUMMYFUNCTION("""COMPUTED_VALUE"""),"Afriza (BT)")</f>
        <v>Afriza (BT)</v>
      </c>
      <c r="F427" s="14" t="str">
        <f>IFERROR(__xludf.DUMMYFUNCTION("""COMPUTED_VALUE"""),"SELESAI")</f>
        <v>SELESAI</v>
      </c>
      <c r="G427" s="17">
        <f>IFERROR(__xludf.DUMMYFUNCTION("""COMPUTED_VALUE"""),45635.70135611111)</f>
        <v>45635.70136</v>
      </c>
      <c r="H427" s="14" t="str">
        <f>IFERROR(__xludf.DUMMYFUNCTION("""COMPUTED_VALUE"""),"Bu Eva (SU)")</f>
        <v>Bu Eva (SU)</v>
      </c>
      <c r="I427" s="13" t="str">
        <f>IFERROR(__xludf.DUMMYFUNCTION("""COMPUTED_VALUE"""),"SELESAI")</f>
        <v>SELESAI</v>
      </c>
      <c r="J427" s="17">
        <f>IFERROR(__xludf.DUMMYFUNCTION("""COMPUTED_VALUE"""),45636.70676109954)</f>
        <v>45636.70676</v>
      </c>
      <c r="K427" s="13" t="str">
        <f>IFERROR(__xludf.DUMMYFUNCTION("""COMPUTED_VALUE"""),"SELESAI")</f>
        <v>SELESAI</v>
      </c>
      <c r="L427" s="17">
        <f>IFERROR(__xludf.DUMMYFUNCTION("""COMPUTED_VALUE"""),45636.70676109954)</f>
        <v>45636.70676</v>
      </c>
      <c r="M427" s="17" t="str">
        <f>IFERROR(__xludf.DUMMYFUNCTION("""COMPUTED_VALUE"""),"")</f>
        <v/>
      </c>
      <c r="N427" s="17">
        <f>IFERROR(__xludf.DUMMYFUNCTION("""COMPUTED_VALUE"""),45637.43699674768)</f>
        <v>45637.437</v>
      </c>
      <c r="O427" s="13">
        <f t="shared" si="1"/>
        <v>5</v>
      </c>
    </row>
    <row r="428" ht="22.5" customHeight="1">
      <c r="B428" s="13">
        <f>IFERROR(__xludf.DUMMYFUNCTION("""COMPUTED_VALUE"""),423.0)</f>
        <v>423</v>
      </c>
      <c r="C428" s="13" t="str">
        <f>IFERROR(__xludf.DUMMYFUNCTION("""COMPUTED_VALUE"""),"M. 1399/ Kupang Kota")</f>
        <v>M. 1399/ Kupang Kota</v>
      </c>
      <c r="D428" s="13" t="str">
        <f>IFERROR(__xludf.DUMMYFUNCTION("""COMPUTED_VALUE"""),"K/25/061224/1")</f>
        <v>K/25/061224/1</v>
      </c>
      <c r="E428" s="14" t="str">
        <f>IFERROR(__xludf.DUMMYFUNCTION("""COMPUTED_VALUE"""),"Afriza (BT)")</f>
        <v>Afriza (BT)</v>
      </c>
      <c r="F428" s="14" t="str">
        <f>IFERROR(__xludf.DUMMYFUNCTION("""COMPUTED_VALUE"""),"SELESAI")</f>
        <v>SELESAI</v>
      </c>
      <c r="G428" s="17">
        <f>IFERROR(__xludf.DUMMYFUNCTION("""COMPUTED_VALUE"""),45635.70145412037)</f>
        <v>45635.70145</v>
      </c>
      <c r="H428" s="14" t="str">
        <f>IFERROR(__xludf.DUMMYFUNCTION("""COMPUTED_VALUE"""),"Bu Eva (SU)")</f>
        <v>Bu Eva (SU)</v>
      </c>
      <c r="I428" s="13" t="str">
        <f>IFERROR(__xludf.DUMMYFUNCTION("""COMPUTED_VALUE"""),"SELESAI")</f>
        <v>SELESAI</v>
      </c>
      <c r="J428" s="17">
        <f>IFERROR(__xludf.DUMMYFUNCTION("""COMPUTED_VALUE"""),45636.70676109954)</f>
        <v>45636.70676</v>
      </c>
      <c r="K428" s="13" t="str">
        <f>IFERROR(__xludf.DUMMYFUNCTION("""COMPUTED_VALUE"""),"SELESAI")</f>
        <v>SELESAI</v>
      </c>
      <c r="L428" s="17">
        <f>IFERROR(__xludf.DUMMYFUNCTION("""COMPUTED_VALUE"""),45636.70676109954)</f>
        <v>45636.70676</v>
      </c>
      <c r="M428" s="17" t="str">
        <f>IFERROR(__xludf.DUMMYFUNCTION("""COMPUTED_VALUE"""),"")</f>
        <v/>
      </c>
      <c r="N428" s="17">
        <f>IFERROR(__xludf.DUMMYFUNCTION("""COMPUTED_VALUE"""),45637.43628711806)</f>
        <v>45637.43629</v>
      </c>
      <c r="O428" s="13">
        <f t="shared" si="1"/>
        <v>6</v>
      </c>
    </row>
    <row r="429" ht="22.5" customHeight="1">
      <c r="B429" s="13">
        <f>IFERROR(__xludf.DUMMYFUNCTION("""COMPUTED_VALUE"""),424.0)</f>
        <v>424</v>
      </c>
      <c r="C429" s="13" t="str">
        <f>IFERROR(__xludf.DUMMYFUNCTION("""COMPUTED_VALUE"""),"M. 2829/ Gunung Terang")</f>
        <v>M. 2829/ Gunung Terang</v>
      </c>
      <c r="D429" s="13" t="str">
        <f>IFERROR(__xludf.DUMMYFUNCTION("""COMPUTED_VALUE"""),"K/27/061224/2")</f>
        <v>K/27/061224/2</v>
      </c>
      <c r="E429" s="14" t="str">
        <f>IFERROR(__xludf.DUMMYFUNCTION("""COMPUTED_VALUE"""),"Afriza (BT)")</f>
        <v>Afriza (BT)</v>
      </c>
      <c r="F429" s="14" t="str">
        <f>IFERROR(__xludf.DUMMYFUNCTION("""COMPUTED_VALUE"""),"SELESAI")</f>
        <v>SELESAI</v>
      </c>
      <c r="G429" s="17">
        <f>IFERROR(__xludf.DUMMYFUNCTION("""COMPUTED_VALUE"""),45635.70153046296)</f>
        <v>45635.70153</v>
      </c>
      <c r="H429" s="14" t="str">
        <f>IFERROR(__xludf.DUMMYFUNCTION("""COMPUTED_VALUE"""),"Bu Eva (SU)")</f>
        <v>Bu Eva (SU)</v>
      </c>
      <c r="I429" s="13" t="str">
        <f>IFERROR(__xludf.DUMMYFUNCTION("""COMPUTED_VALUE"""),"SELESAI")</f>
        <v>SELESAI</v>
      </c>
      <c r="J429" s="17">
        <f>IFERROR(__xludf.DUMMYFUNCTION("""COMPUTED_VALUE"""),45636.70676109954)</f>
        <v>45636.70676</v>
      </c>
      <c r="K429" s="13" t="str">
        <f>IFERROR(__xludf.DUMMYFUNCTION("""COMPUTED_VALUE"""),"SELESAI")</f>
        <v>SELESAI</v>
      </c>
      <c r="L429" s="17">
        <f>IFERROR(__xludf.DUMMYFUNCTION("""COMPUTED_VALUE"""),45636.70676109954)</f>
        <v>45636.70676</v>
      </c>
      <c r="M429" s="17" t="str">
        <f>IFERROR(__xludf.DUMMYFUNCTION("""COMPUTED_VALUE"""),"")</f>
        <v/>
      </c>
      <c r="N429" s="17">
        <f>IFERROR(__xludf.DUMMYFUNCTION("""COMPUTED_VALUE"""),45637.43694907408)</f>
        <v>45637.43695</v>
      </c>
      <c r="O429" s="13">
        <f t="shared" si="1"/>
        <v>7</v>
      </c>
    </row>
    <row r="430" ht="22.5" customHeight="1">
      <c r="B430" s="13">
        <f>IFERROR(__xludf.DUMMYFUNCTION("""COMPUTED_VALUE"""),425.0)</f>
        <v>425</v>
      </c>
      <c r="C430" s="13" t="str">
        <f>IFERROR(__xludf.DUMMYFUNCTION("""COMPUTED_VALUE"""),"B. 917/ Beringin Jaya")</f>
        <v>B. 917/ Beringin Jaya</v>
      </c>
      <c r="D430" s="13" t="str">
        <f>IFERROR(__xludf.DUMMYFUNCTION("""COMPUTED_VALUE"""),"K/8/091224/1")</f>
        <v>K/8/091224/1</v>
      </c>
      <c r="E430" s="14" t="str">
        <f>IFERROR(__xludf.DUMMYFUNCTION("""COMPUTED_VALUE"""),"Nadian (BT)")</f>
        <v>Nadian (BT)</v>
      </c>
      <c r="F430" s="14" t="str">
        <f>IFERROR(__xludf.DUMMYFUNCTION("""COMPUTED_VALUE"""),"SELESAI")</f>
        <v>SELESAI</v>
      </c>
      <c r="G430" s="17">
        <f>IFERROR(__xludf.DUMMYFUNCTION("""COMPUTED_VALUE"""),45636.622392986115)</f>
        <v>45636.62239</v>
      </c>
      <c r="H430" s="14" t="str">
        <f>IFERROR(__xludf.DUMMYFUNCTION("""COMPUTED_VALUE"""),"Bu Eva (SU)")</f>
        <v>Bu Eva (SU)</v>
      </c>
      <c r="I430" s="13" t="str">
        <f>IFERROR(__xludf.DUMMYFUNCTION("""COMPUTED_VALUE"""),"SELESAI")</f>
        <v>SELESAI</v>
      </c>
      <c r="J430" s="17">
        <f>IFERROR(__xludf.DUMMYFUNCTION("""COMPUTED_VALUE"""),45636.70676109954)</f>
        <v>45636.70676</v>
      </c>
      <c r="K430" s="13" t="str">
        <f>IFERROR(__xludf.DUMMYFUNCTION("""COMPUTED_VALUE"""),"SELESAI")</f>
        <v>SELESAI</v>
      </c>
      <c r="L430" s="17">
        <f>IFERROR(__xludf.DUMMYFUNCTION("""COMPUTED_VALUE"""),45636.70676109954)</f>
        <v>45636.70676</v>
      </c>
      <c r="M430" s="17" t="str">
        <f>IFERROR(__xludf.DUMMYFUNCTION("""COMPUTED_VALUE"""),"")</f>
        <v/>
      </c>
      <c r="N430" s="17">
        <f>IFERROR(__xludf.DUMMYFUNCTION("""COMPUTED_VALUE"""),45637.409571689815)</f>
        <v>45637.40957</v>
      </c>
      <c r="O430" s="13">
        <f t="shared" si="1"/>
        <v>8</v>
      </c>
    </row>
    <row r="431" ht="22.5" customHeight="1">
      <c r="B431" s="13">
        <f>IFERROR(__xludf.DUMMYFUNCTION("""COMPUTED_VALUE"""),426.0)</f>
        <v>426</v>
      </c>
      <c r="C431" s="13" t="str">
        <f>IFERROR(__xludf.DUMMYFUNCTION("""COMPUTED_VALUE"""),"M. 6250/ Way Kandis")</f>
        <v>M. 6250/ Way Kandis</v>
      </c>
      <c r="D431" s="13" t="str">
        <f>IFERROR(__xludf.DUMMYFUNCTION("""COMPUTED_VALUE"""),"K/39/061224/1")</f>
        <v>K/39/061224/1</v>
      </c>
      <c r="E431" s="14" t="str">
        <f>IFERROR(__xludf.DUMMYFUNCTION("""COMPUTED_VALUE"""),"Nadian (BT)")</f>
        <v>Nadian (BT)</v>
      </c>
      <c r="F431" s="14" t="str">
        <f>IFERROR(__xludf.DUMMYFUNCTION("""COMPUTED_VALUE"""),"SELESAI")</f>
        <v>SELESAI</v>
      </c>
      <c r="G431" s="17">
        <f>IFERROR(__xludf.DUMMYFUNCTION("""COMPUTED_VALUE"""),45636.62243427083)</f>
        <v>45636.62243</v>
      </c>
      <c r="H431" s="14" t="str">
        <f>IFERROR(__xludf.DUMMYFUNCTION("""COMPUTED_VALUE"""),"Bu Eva (SU)")</f>
        <v>Bu Eva (SU)</v>
      </c>
      <c r="I431" s="13" t="str">
        <f>IFERROR(__xludf.DUMMYFUNCTION("""COMPUTED_VALUE"""),"SELESAI")</f>
        <v>SELESAI</v>
      </c>
      <c r="J431" s="17">
        <f>IFERROR(__xludf.DUMMYFUNCTION("""COMPUTED_VALUE"""),45636.70676111111)</f>
        <v>45636.70676</v>
      </c>
      <c r="K431" s="13" t="str">
        <f>IFERROR(__xludf.DUMMYFUNCTION("""COMPUTED_VALUE"""),"SELESAI")</f>
        <v>SELESAI</v>
      </c>
      <c r="L431" s="17">
        <f>IFERROR(__xludf.DUMMYFUNCTION("""COMPUTED_VALUE"""),45636.70676111111)</f>
        <v>45636.70676</v>
      </c>
      <c r="M431" s="17" t="str">
        <f>IFERROR(__xludf.DUMMYFUNCTION("""COMPUTED_VALUE"""),"")</f>
        <v/>
      </c>
      <c r="N431" s="17">
        <f>IFERROR(__xludf.DUMMYFUNCTION("""COMPUTED_VALUE"""),45637.40978652777)</f>
        <v>45637.40979</v>
      </c>
      <c r="O431" s="13">
        <f t="shared" si="1"/>
        <v>9</v>
      </c>
    </row>
    <row r="432" ht="22.5" customHeight="1">
      <c r="B432" s="13">
        <f>IFERROR(__xludf.DUMMYFUNCTION("""COMPUTED_VALUE"""),427.0)</f>
        <v>427</v>
      </c>
      <c r="C432" s="13" t="str">
        <f>IFERROR(__xludf.DUMMYFUNCTION("""COMPUTED_VALUE"""),"M. 6397/ Way Kandis")</f>
        <v>M. 6397/ Way Kandis</v>
      </c>
      <c r="D432" s="13" t="str">
        <f>IFERROR(__xludf.DUMMYFUNCTION("""COMPUTED_VALUE"""),"K/40/061224/2")</f>
        <v>K/40/061224/2</v>
      </c>
      <c r="E432" s="14" t="str">
        <f>IFERROR(__xludf.DUMMYFUNCTION("""COMPUTED_VALUE"""),"Nadian (BT)")</f>
        <v>Nadian (BT)</v>
      </c>
      <c r="F432" s="14" t="str">
        <f>IFERROR(__xludf.DUMMYFUNCTION("""COMPUTED_VALUE"""),"SELESAI")</f>
        <v>SELESAI</v>
      </c>
      <c r="G432" s="17">
        <f>IFERROR(__xludf.DUMMYFUNCTION("""COMPUTED_VALUE"""),45636.62243427083)</f>
        <v>45636.62243</v>
      </c>
      <c r="H432" s="14" t="str">
        <f>IFERROR(__xludf.DUMMYFUNCTION("""COMPUTED_VALUE"""),"Bu Eva (SU)")</f>
        <v>Bu Eva (SU)</v>
      </c>
      <c r="I432" s="13" t="str">
        <f>IFERROR(__xludf.DUMMYFUNCTION("""COMPUTED_VALUE"""),"SELESAI")</f>
        <v>SELESAI</v>
      </c>
      <c r="J432" s="17">
        <f>IFERROR(__xludf.DUMMYFUNCTION("""COMPUTED_VALUE"""),45636.70676111111)</f>
        <v>45636.70676</v>
      </c>
      <c r="K432" s="13" t="str">
        <f>IFERROR(__xludf.DUMMYFUNCTION("""COMPUTED_VALUE"""),"SELESAI")</f>
        <v>SELESAI</v>
      </c>
      <c r="L432" s="17">
        <f>IFERROR(__xludf.DUMMYFUNCTION("""COMPUTED_VALUE"""),45636.70676111111)</f>
        <v>45636.70676</v>
      </c>
      <c r="M432" s="17" t="str">
        <f>IFERROR(__xludf.DUMMYFUNCTION("""COMPUTED_VALUE"""),"")</f>
        <v/>
      </c>
      <c r="N432" s="17">
        <f>IFERROR(__xludf.DUMMYFUNCTION("""COMPUTED_VALUE"""),45637.40988355324)</f>
        <v>45637.40988</v>
      </c>
      <c r="O432" s="13">
        <f t="shared" si="1"/>
        <v>10</v>
      </c>
    </row>
    <row r="433" ht="22.5" customHeight="1">
      <c r="B433" s="13">
        <f>IFERROR(__xludf.DUMMYFUNCTION("""COMPUTED_VALUE"""),428.0)</f>
        <v>428</v>
      </c>
      <c r="C433" s="13" t="str">
        <f>IFERROR(__xludf.DUMMYFUNCTION("""COMPUTED_VALUE"""),"M. 478/ Korpri Raya")</f>
        <v>M. 478/ Korpri Raya</v>
      </c>
      <c r="D433" s="13" t="str">
        <f>IFERROR(__xludf.DUMMYFUNCTION("""COMPUTED_VALUE"""),"K/35/061224/2")</f>
        <v>K/35/061224/2</v>
      </c>
      <c r="E433" s="14" t="str">
        <f>IFERROR(__xludf.DUMMYFUNCTION("""COMPUTED_VALUE"""),"Nadian (BT)")</f>
        <v>Nadian (BT)</v>
      </c>
      <c r="F433" s="14" t="str">
        <f>IFERROR(__xludf.DUMMYFUNCTION("""COMPUTED_VALUE"""),"SELESAI")</f>
        <v>SELESAI</v>
      </c>
      <c r="G433" s="17">
        <f>IFERROR(__xludf.DUMMYFUNCTION("""COMPUTED_VALUE"""),45636.62243427083)</f>
        <v>45636.62243</v>
      </c>
      <c r="H433" s="14" t="str">
        <f>IFERROR(__xludf.DUMMYFUNCTION("""COMPUTED_VALUE"""),"Bu Eva (SU)")</f>
        <v>Bu Eva (SU)</v>
      </c>
      <c r="I433" s="13" t="str">
        <f>IFERROR(__xludf.DUMMYFUNCTION("""COMPUTED_VALUE"""),"SELESAI")</f>
        <v>SELESAI</v>
      </c>
      <c r="J433" s="17">
        <f>IFERROR(__xludf.DUMMYFUNCTION("""COMPUTED_VALUE"""),45636.70676111111)</f>
        <v>45636.70676</v>
      </c>
      <c r="K433" s="13" t="str">
        <f>IFERROR(__xludf.DUMMYFUNCTION("""COMPUTED_VALUE"""),"SELESAI")</f>
        <v>SELESAI</v>
      </c>
      <c r="L433" s="17">
        <f>IFERROR(__xludf.DUMMYFUNCTION("""COMPUTED_VALUE"""),45636.70676111111)</f>
        <v>45636.70676</v>
      </c>
      <c r="M433" s="17" t="str">
        <f>IFERROR(__xludf.DUMMYFUNCTION("""COMPUTED_VALUE"""),"")</f>
        <v/>
      </c>
      <c r="N433" s="17">
        <f>IFERROR(__xludf.DUMMYFUNCTION("""COMPUTED_VALUE"""),45637.40919924769)</f>
        <v>45637.4092</v>
      </c>
      <c r="O433" s="13">
        <f t="shared" si="1"/>
        <v>11</v>
      </c>
    </row>
    <row r="434" ht="22.5" customHeight="1">
      <c r="B434" s="13">
        <f>IFERROR(__xludf.DUMMYFUNCTION("""COMPUTED_VALUE"""),429.0)</f>
        <v>429</v>
      </c>
      <c r="C434" s="13" t="str">
        <f>IFERROR(__xludf.DUMMYFUNCTION("""COMPUTED_VALUE"""),"M.2474/ PINANG JAYA")</f>
        <v>M.2474/ PINANG JAYA</v>
      </c>
      <c r="D434" s="13" t="str">
        <f>IFERROR(__xludf.DUMMYFUNCTION("""COMPUTED_VALUE"""),"K/32/061224/2")</f>
        <v>K/32/061224/2</v>
      </c>
      <c r="E434" s="14" t="str">
        <f>IFERROR(__xludf.DUMMYFUNCTION("""COMPUTED_VALUE"""),"Nadian (BT)")</f>
        <v>Nadian (BT)</v>
      </c>
      <c r="F434" s="14" t="str">
        <f>IFERROR(__xludf.DUMMYFUNCTION("""COMPUTED_VALUE"""),"SELESAI")</f>
        <v>SELESAI</v>
      </c>
      <c r="G434" s="17">
        <f>IFERROR(__xludf.DUMMYFUNCTION("""COMPUTED_VALUE"""),45636.62243427083)</f>
        <v>45636.62243</v>
      </c>
      <c r="H434" s="14" t="str">
        <f>IFERROR(__xludf.DUMMYFUNCTION("""COMPUTED_VALUE"""),"Bu Eva (SU)")</f>
        <v>Bu Eva (SU)</v>
      </c>
      <c r="I434" s="13" t="str">
        <f>IFERROR(__xludf.DUMMYFUNCTION("""COMPUTED_VALUE"""),"SELESAI")</f>
        <v>SELESAI</v>
      </c>
      <c r="J434" s="17">
        <f>IFERROR(__xludf.DUMMYFUNCTION("""COMPUTED_VALUE"""),45636.70676111111)</f>
        <v>45636.70676</v>
      </c>
      <c r="K434" s="13" t="str">
        <f>IFERROR(__xludf.DUMMYFUNCTION("""COMPUTED_VALUE"""),"SELESAI")</f>
        <v>SELESAI</v>
      </c>
      <c r="L434" s="17">
        <f>IFERROR(__xludf.DUMMYFUNCTION("""COMPUTED_VALUE"""),45636.70676111111)</f>
        <v>45636.70676</v>
      </c>
      <c r="M434" s="17" t="str">
        <f>IFERROR(__xludf.DUMMYFUNCTION("""COMPUTED_VALUE"""),"")</f>
        <v/>
      </c>
      <c r="N434" s="17">
        <f>IFERROR(__xludf.DUMMYFUNCTION("""COMPUTED_VALUE"""),45637.41002083333)</f>
        <v>45637.41002</v>
      </c>
      <c r="O434" s="13">
        <f t="shared" si="1"/>
        <v>12</v>
      </c>
    </row>
    <row r="435" ht="22.5" customHeight="1">
      <c r="B435" s="13">
        <f>IFERROR(__xludf.DUMMYFUNCTION("""COMPUTED_VALUE"""),430.0)</f>
        <v>430</v>
      </c>
      <c r="C435" s="13" t="str">
        <f>IFERROR(__xludf.DUMMYFUNCTION("""COMPUTED_VALUE"""),"M.5177/RAJABASA JAYA")</f>
        <v>M.5177/RAJABASA JAYA</v>
      </c>
      <c r="D435" s="13" t="str">
        <f>IFERROR(__xludf.DUMMYFUNCTION("""COMPUTED_VALUE"""),"K/43/251124/1")</f>
        <v>K/43/251124/1</v>
      </c>
      <c r="E435" s="14" t="str">
        <f>IFERROR(__xludf.DUMMYFUNCTION("""COMPUTED_VALUE"""),"Nadian (BT)")</f>
        <v>Nadian (BT)</v>
      </c>
      <c r="F435" s="14" t="str">
        <f>IFERROR(__xludf.DUMMYFUNCTION("""COMPUTED_VALUE"""),"SELESAI (VIA PERMOHONAN)")</f>
        <v>SELESAI (VIA PERMOHONAN)</v>
      </c>
      <c r="G435" s="17">
        <f>IFERROR(__xludf.DUMMYFUNCTION("""COMPUTED_VALUE"""),45636.6225103125)</f>
        <v>45636.62251</v>
      </c>
      <c r="H435" s="14" t="str">
        <f>IFERROR(__xludf.DUMMYFUNCTION("""COMPUTED_VALUE"""),"Aprill (SU)")</f>
        <v>Aprill (SU)</v>
      </c>
      <c r="I435" s="13" t="str">
        <f>IFERROR(__xludf.DUMMYFUNCTION("""COMPUTED_VALUE"""),"SELESAI (VIA PERMOHONAN)")</f>
        <v>SELESAI (VIA PERMOHONAN)</v>
      </c>
      <c r="J435" s="17">
        <f>IFERROR(__xludf.DUMMYFUNCTION("""COMPUTED_VALUE"""),45636.70676111111)</f>
        <v>45636.70676</v>
      </c>
      <c r="K435" s="13" t="str">
        <f>IFERROR(__xludf.DUMMYFUNCTION("""COMPUTED_VALUE"""),"Selesai")</f>
        <v>Selesai</v>
      </c>
      <c r="L435" s="17">
        <f>IFERROR(__xludf.DUMMYFUNCTION("""COMPUTED_VALUE"""),45636.70676111111)</f>
        <v>45636.70676</v>
      </c>
      <c r="M435" s="17">
        <f>IFERROR(__xludf.DUMMYFUNCTION("""COMPUTED_VALUE"""),45636.70676111111)</f>
        <v>45636.70676</v>
      </c>
      <c r="N435" s="13" t="str">
        <f>IFERROR(__xludf.DUMMYFUNCTION("""COMPUTED_VALUE"""),"")</f>
        <v/>
      </c>
      <c r="O435" s="13" t="str">
        <f t="shared" si="1"/>
        <v/>
      </c>
    </row>
    <row r="436" ht="22.5" customHeight="1">
      <c r="B436" s="13">
        <f>IFERROR(__xludf.DUMMYFUNCTION("""COMPUTED_VALUE"""),431.0)</f>
        <v>431</v>
      </c>
      <c r="C436" s="13" t="str">
        <f>IFERROR(__xludf.DUMMYFUNCTION("""COMPUTED_VALUE"""),"M. 1117/PEMATANG WANGI")</f>
        <v>M. 1117/PEMATANG WANGI</v>
      </c>
      <c r="D436" s="13" t="str">
        <f>IFERROR(__xludf.DUMMYFUNCTION("""COMPUTED_VALUE"""),"K/49/031224/1")</f>
        <v>K/49/031224/1</v>
      </c>
      <c r="E436" s="14" t="str">
        <f>IFERROR(__xludf.DUMMYFUNCTION("""COMPUTED_VALUE"""),"Nadian (BT)")</f>
        <v>Nadian (BT)</v>
      </c>
      <c r="F436" s="14" t="str">
        <f>IFERROR(__xludf.DUMMYFUNCTION("""COMPUTED_VALUE"""),"SELESAI (VIA PERMOHONAN)")</f>
        <v>SELESAI (VIA PERMOHONAN)</v>
      </c>
      <c r="G436" s="17">
        <f>IFERROR(__xludf.DUMMYFUNCTION("""COMPUTED_VALUE"""),45636.622550520835)</f>
        <v>45636.62255</v>
      </c>
      <c r="H436" s="14" t="str">
        <f>IFERROR(__xludf.DUMMYFUNCTION("""COMPUTED_VALUE"""),"Aprill (SU)")</f>
        <v>Aprill (SU)</v>
      </c>
      <c r="I436" s="13" t="str">
        <f>IFERROR(__xludf.DUMMYFUNCTION("""COMPUTED_VALUE"""),"SELESAI (VIA PERMOHONAN)")</f>
        <v>SELESAI (VIA PERMOHONAN)</v>
      </c>
      <c r="J436" s="17">
        <f>IFERROR(__xludf.DUMMYFUNCTION("""COMPUTED_VALUE"""),45636.70676111111)</f>
        <v>45636.70676</v>
      </c>
      <c r="K436" s="13" t="str">
        <f>IFERROR(__xludf.DUMMYFUNCTION("""COMPUTED_VALUE"""),"Selesai")</f>
        <v>Selesai</v>
      </c>
      <c r="L436" s="17">
        <f>IFERROR(__xludf.DUMMYFUNCTION("""COMPUTED_VALUE"""),45636.70676111111)</f>
        <v>45636.70676</v>
      </c>
      <c r="M436" s="17">
        <f>IFERROR(__xludf.DUMMYFUNCTION("""COMPUTED_VALUE"""),45636.70676111111)</f>
        <v>45636.70676</v>
      </c>
      <c r="N436" s="13" t="str">
        <f>IFERROR(__xludf.DUMMYFUNCTION("""COMPUTED_VALUE"""),"")</f>
        <v/>
      </c>
      <c r="O436" s="13" t="str">
        <f t="shared" si="1"/>
        <v/>
      </c>
    </row>
    <row r="437" ht="22.5" customHeight="1">
      <c r="B437" s="13">
        <f>IFERROR(__xludf.DUMMYFUNCTION("""COMPUTED_VALUE"""),432.0)</f>
        <v>432</v>
      </c>
      <c r="C437" s="13" t="str">
        <f>IFERROR(__xludf.DUMMYFUNCTION("""COMPUTED_VALUE"""),"M.4740/ SUKADANA HAM")</f>
        <v>M.4740/ SUKADANA HAM</v>
      </c>
      <c r="D437" s="13" t="str">
        <f>IFERROR(__xludf.DUMMYFUNCTION("""COMPUTED_VALUE"""),"K/31/061224/1")</f>
        <v>K/31/061224/1</v>
      </c>
      <c r="E437" s="14" t="str">
        <f>IFERROR(__xludf.DUMMYFUNCTION("""COMPUTED_VALUE"""),"Nadian (BT)")</f>
        <v>Nadian (BT)</v>
      </c>
      <c r="F437" s="14" t="str">
        <f>IFERROR(__xludf.DUMMYFUNCTION("""COMPUTED_VALUE"""),"SELESAI (VIA PERMOHONAN)")</f>
        <v>SELESAI (VIA PERMOHONAN)</v>
      </c>
      <c r="G437" s="17">
        <f>IFERROR(__xludf.DUMMYFUNCTION("""COMPUTED_VALUE"""),45636.622550520835)</f>
        <v>45636.62255</v>
      </c>
      <c r="H437" s="14" t="str">
        <f>IFERROR(__xludf.DUMMYFUNCTION("""COMPUTED_VALUE"""),"Aprill (SU)")</f>
        <v>Aprill (SU)</v>
      </c>
      <c r="I437" s="13" t="str">
        <f>IFERROR(__xludf.DUMMYFUNCTION("""COMPUTED_VALUE"""),"SELESAI (VIA PERMOHONAN)")</f>
        <v>SELESAI (VIA PERMOHONAN)</v>
      </c>
      <c r="J437" s="17">
        <f>IFERROR(__xludf.DUMMYFUNCTION("""COMPUTED_VALUE"""),45636.70676111111)</f>
        <v>45636.70676</v>
      </c>
      <c r="K437" s="13" t="str">
        <f>IFERROR(__xludf.DUMMYFUNCTION("""COMPUTED_VALUE"""),"Selesai")</f>
        <v>Selesai</v>
      </c>
      <c r="L437" s="17">
        <f>IFERROR(__xludf.DUMMYFUNCTION("""COMPUTED_VALUE"""),45636.70676111111)</f>
        <v>45636.70676</v>
      </c>
      <c r="M437" s="17">
        <f>IFERROR(__xludf.DUMMYFUNCTION("""COMPUTED_VALUE"""),45636.70676112268)</f>
        <v>45636.70676</v>
      </c>
      <c r="N437" s="13" t="str">
        <f>IFERROR(__xludf.DUMMYFUNCTION("""COMPUTED_VALUE"""),"")</f>
        <v/>
      </c>
      <c r="O437" s="13" t="str">
        <f t="shared" si="1"/>
        <v/>
      </c>
    </row>
    <row r="438" ht="22.5" customHeight="1">
      <c r="B438" s="13">
        <f>IFERROR(__xludf.DUMMYFUNCTION("""COMPUTED_VALUE"""),433.0)</f>
        <v>433</v>
      </c>
      <c r="C438" s="13" t="str">
        <f>IFERROR(__xludf.DUMMYFUNCTION("""COMPUTED_VALUE"""),"B.737/NOG")</f>
        <v>B.737/NOG</v>
      </c>
      <c r="D438" s="13" t="str">
        <f>IFERROR(__xludf.DUMMYFUNCTION("""COMPUTED_VALUE"""),"K/6/291124/1")</f>
        <v>K/6/291124/1</v>
      </c>
      <c r="E438" s="14" t="str">
        <f>IFERROR(__xludf.DUMMYFUNCTION("""COMPUTED_VALUE"""),"Afriza (BT)")</f>
        <v>Afriza (BT)</v>
      </c>
      <c r="F438" s="14" t="str">
        <f>IFERROR(__xludf.DUMMYFUNCTION("""COMPUTED_VALUE"""),"SELESAI (VIA PERMOHONAN)")</f>
        <v>SELESAI (VIA PERMOHONAN)</v>
      </c>
      <c r="G438" s="17">
        <f>IFERROR(__xludf.DUMMYFUNCTION("""COMPUTED_VALUE"""),45636.61062175926)</f>
        <v>45636.61062</v>
      </c>
      <c r="H438" s="14" t="str">
        <f>IFERROR(__xludf.DUMMYFUNCTION("""COMPUTED_VALUE"""),"Aprill (SU)")</f>
        <v>Aprill (SU)</v>
      </c>
      <c r="I438" s="13" t="str">
        <f>IFERROR(__xludf.DUMMYFUNCTION("""COMPUTED_VALUE"""),"SELESAI (VIA PERMOHONAN)")</f>
        <v>SELESAI (VIA PERMOHONAN)</v>
      </c>
      <c r="J438" s="17">
        <f>IFERROR(__xludf.DUMMYFUNCTION("""COMPUTED_VALUE"""),45636.70676112268)</f>
        <v>45636.70676</v>
      </c>
      <c r="K438" s="13" t="str">
        <f>IFERROR(__xludf.DUMMYFUNCTION("""COMPUTED_VALUE"""),"Selesai")</f>
        <v>Selesai</v>
      </c>
      <c r="L438" s="17">
        <f>IFERROR(__xludf.DUMMYFUNCTION("""COMPUTED_VALUE"""),45636.70676112268)</f>
        <v>45636.70676</v>
      </c>
      <c r="M438" s="17">
        <f>IFERROR(__xludf.DUMMYFUNCTION("""COMPUTED_VALUE"""),45636.70676112268)</f>
        <v>45636.70676</v>
      </c>
      <c r="N438" s="13" t="str">
        <f>IFERROR(__xludf.DUMMYFUNCTION("""COMPUTED_VALUE"""),"")</f>
        <v/>
      </c>
      <c r="O438" s="13" t="str">
        <f t="shared" si="1"/>
        <v/>
      </c>
    </row>
    <row r="439" ht="22.5" customHeight="1">
      <c r="B439" s="13">
        <f>IFERROR(__xludf.DUMMYFUNCTION("""COMPUTED_VALUE"""),434.0)</f>
        <v>434</v>
      </c>
      <c r="C439" s="13" t="str">
        <f>IFERROR(__xludf.DUMMYFUNCTION("""COMPUTED_VALUE"""),"M.63/TANJUNG AGUNG RAYA-SEKARANG;M.63/TANJUNG AGUNG-DAHULU;")</f>
        <v>M.63/TANJUNG AGUNG RAYA-SEKARANG;M.63/TANJUNG AGUNG-DAHULU;</v>
      </c>
      <c r="D439" s="13" t="str">
        <f>IFERROR(__xludf.DUMMYFUNCTION("""COMPUTED_VALUE"""),"K/42/041224/1")</f>
        <v>K/42/041224/1</v>
      </c>
      <c r="E439" s="14" t="str">
        <f>IFERROR(__xludf.DUMMYFUNCTION("""COMPUTED_VALUE"""),"Afriza (BT)")</f>
        <v>Afriza (BT)</v>
      </c>
      <c r="F439" s="14" t="str">
        <f>IFERROR(__xludf.DUMMYFUNCTION("""COMPUTED_VALUE"""),"SELESAI (VIA PERMOHONAN)")</f>
        <v>SELESAI (VIA PERMOHONAN)</v>
      </c>
      <c r="G439" s="17">
        <f>IFERROR(__xludf.DUMMYFUNCTION("""COMPUTED_VALUE"""),45636.61079237268)</f>
        <v>45636.61079</v>
      </c>
      <c r="H439" s="14" t="str">
        <f>IFERROR(__xludf.DUMMYFUNCTION("""COMPUTED_VALUE"""),"Aprill (SU)")</f>
        <v>Aprill (SU)</v>
      </c>
      <c r="I439" s="13" t="str">
        <f>IFERROR(__xludf.DUMMYFUNCTION("""COMPUTED_VALUE"""),"SELESAI (VIA PERMOHONAN)")</f>
        <v>SELESAI (VIA PERMOHONAN)</v>
      </c>
      <c r="J439" s="17">
        <f>IFERROR(__xludf.DUMMYFUNCTION("""COMPUTED_VALUE"""),45636.70676112268)</f>
        <v>45636.70676</v>
      </c>
      <c r="K439" s="13" t="str">
        <f>IFERROR(__xludf.DUMMYFUNCTION("""COMPUTED_VALUE"""),"Selesai")</f>
        <v>Selesai</v>
      </c>
      <c r="L439" s="17">
        <f>IFERROR(__xludf.DUMMYFUNCTION("""COMPUTED_VALUE"""),45636.70676112268)</f>
        <v>45636.70676</v>
      </c>
      <c r="M439" s="17">
        <f>IFERROR(__xludf.DUMMYFUNCTION("""COMPUTED_VALUE"""),45636.70676112268)</f>
        <v>45636.70676</v>
      </c>
      <c r="N439" s="13" t="str">
        <f>IFERROR(__xludf.DUMMYFUNCTION("""COMPUTED_VALUE"""),"")</f>
        <v/>
      </c>
      <c r="O439" s="13" t="str">
        <f t="shared" si="1"/>
        <v/>
      </c>
    </row>
    <row r="440" ht="22.5" customHeight="1">
      <c r="B440" s="13">
        <f>IFERROR(__xludf.DUMMYFUNCTION("""COMPUTED_VALUE"""),435.0)</f>
        <v>435</v>
      </c>
      <c r="C440" s="13" t="str">
        <f>IFERROR(__xludf.DUMMYFUNCTION("""COMPUTED_VALUE"""),"B. 66/ Pengajaran")</f>
        <v>B. 66/ Pengajaran</v>
      </c>
      <c r="D440" s="13" t="str">
        <f>IFERROR(__xludf.DUMMYFUNCTION("""COMPUTED_VALUE"""),"K/13/061224/1")</f>
        <v>K/13/061224/1</v>
      </c>
      <c r="E440" s="14" t="str">
        <f>IFERROR(__xludf.DUMMYFUNCTION("""COMPUTED_VALUE"""),"Afriza (BT)")</f>
        <v>Afriza (BT)</v>
      </c>
      <c r="F440" s="14" t="str">
        <f>IFERROR(__xludf.DUMMYFUNCTION("""COMPUTED_VALUE"""),"SELESAI")</f>
        <v>SELESAI</v>
      </c>
      <c r="G440" s="17">
        <f>IFERROR(__xludf.DUMMYFUNCTION("""COMPUTED_VALUE"""),45636.61116284722)</f>
        <v>45636.61116</v>
      </c>
      <c r="H440" s="14" t="str">
        <f>IFERROR(__xludf.DUMMYFUNCTION("""COMPUTED_VALUE"""),"Bu Eva (SU)")</f>
        <v>Bu Eva (SU)</v>
      </c>
      <c r="I440" s="13" t="str">
        <f>IFERROR(__xludf.DUMMYFUNCTION("""COMPUTED_VALUE"""),"SELESAI")</f>
        <v>SELESAI</v>
      </c>
      <c r="J440" s="17">
        <f>IFERROR(__xludf.DUMMYFUNCTION("""COMPUTED_VALUE"""),45636.70676112268)</f>
        <v>45636.70676</v>
      </c>
      <c r="K440" s="13" t="str">
        <f>IFERROR(__xludf.DUMMYFUNCTION("""COMPUTED_VALUE"""),"SELESAI")</f>
        <v>SELESAI</v>
      </c>
      <c r="L440" s="17">
        <f>IFERROR(__xludf.DUMMYFUNCTION("""COMPUTED_VALUE"""),45636.70676112268)</f>
        <v>45636.70676</v>
      </c>
      <c r="M440" s="17" t="str">
        <f>IFERROR(__xludf.DUMMYFUNCTION("""COMPUTED_VALUE"""),"")</f>
        <v/>
      </c>
      <c r="N440" s="13" t="str">
        <f>IFERROR(__xludf.DUMMYFUNCTION("""COMPUTED_VALUE"""),"")</f>
        <v/>
      </c>
      <c r="O440" s="13" t="str">
        <f t="shared" si="1"/>
        <v/>
      </c>
    </row>
    <row r="441" ht="22.5" customHeight="1">
      <c r="B441" s="13">
        <f>IFERROR(__xludf.DUMMYFUNCTION("""COMPUTED_VALUE"""),436.0)</f>
        <v>436</v>
      </c>
      <c r="C441" s="13" t="str">
        <f>IFERROR(__xludf.DUMMYFUNCTION("""COMPUTED_VALUE"""),"B. 1216/ Kemiling Permai")</f>
        <v>B. 1216/ Kemiling Permai</v>
      </c>
      <c r="D441" s="13" t="str">
        <f>IFERROR(__xludf.DUMMYFUNCTION("""COMPUTED_VALUE"""),"K/49/061224/2")</f>
        <v>K/49/061224/2</v>
      </c>
      <c r="E441" s="14" t="str">
        <f>IFERROR(__xludf.DUMMYFUNCTION("""COMPUTED_VALUE"""),"Afriza (BT)")</f>
        <v>Afriza (BT)</v>
      </c>
      <c r="F441" s="14" t="str">
        <f>IFERROR(__xludf.DUMMYFUNCTION("""COMPUTED_VALUE"""),"SELESAI (VIA PERMOHONAN)")</f>
        <v>SELESAI (VIA PERMOHONAN)</v>
      </c>
      <c r="G441" s="17">
        <f>IFERROR(__xludf.DUMMYFUNCTION("""COMPUTED_VALUE"""),45636.63056613426)</f>
        <v>45636.63057</v>
      </c>
      <c r="H441" s="14" t="str">
        <f>IFERROR(__xludf.DUMMYFUNCTION("""COMPUTED_VALUE"""),"Aprill (SU)")</f>
        <v>Aprill (SU)</v>
      </c>
      <c r="I441" s="13" t="str">
        <f>IFERROR(__xludf.DUMMYFUNCTION("""COMPUTED_VALUE"""),"SELESAI (VIA PERMOHONAN)")</f>
        <v>SELESAI (VIA PERMOHONAN)</v>
      </c>
      <c r="J441" s="17">
        <f>IFERROR(__xludf.DUMMYFUNCTION("""COMPUTED_VALUE"""),45636.70676112268)</f>
        <v>45636.70676</v>
      </c>
      <c r="K441" s="13" t="str">
        <f>IFERROR(__xludf.DUMMYFUNCTION("""COMPUTED_VALUE"""),"Selesai")</f>
        <v>Selesai</v>
      </c>
      <c r="L441" s="17">
        <f>IFERROR(__xludf.DUMMYFUNCTION("""COMPUTED_VALUE"""),45636.70676112268)</f>
        <v>45636.70676</v>
      </c>
      <c r="M441" s="17">
        <f>IFERROR(__xludf.DUMMYFUNCTION("""COMPUTED_VALUE"""),45636.706761134265)</f>
        <v>45636.70676</v>
      </c>
      <c r="N441" s="13" t="str">
        <f>IFERROR(__xludf.DUMMYFUNCTION("""COMPUTED_VALUE"""),"")</f>
        <v/>
      </c>
      <c r="O441" s="13" t="str">
        <f t="shared" si="1"/>
        <v/>
      </c>
    </row>
    <row r="442" ht="22.5" customHeight="1">
      <c r="B442" s="13">
        <f>IFERROR(__xludf.DUMMYFUNCTION("""COMPUTED_VALUE"""),437.0)</f>
        <v>437</v>
      </c>
      <c r="C442" s="13" t="str">
        <f>IFERROR(__xludf.DUMMYFUNCTION("""COMPUTED_VALUE"""),"HGB 836/PWK")</f>
        <v>HGB 836/PWK</v>
      </c>
      <c r="D442" s="13" t="str">
        <f>IFERROR(__xludf.DUMMYFUNCTION("""COMPUTED_VALUE"""),"L/48/121124/1")</f>
        <v>L/48/121124/1</v>
      </c>
      <c r="E442" s="14" t="str">
        <f>IFERROR(__xludf.DUMMYFUNCTION("""COMPUTED_VALUE"""),"Afriza (BT)")</f>
        <v>Afriza (BT)</v>
      </c>
      <c r="F442" s="14" t="str">
        <f>IFERROR(__xludf.DUMMYFUNCTION("""COMPUTED_VALUE"""),"SELESAI (VIA PERMOHONAN)")</f>
        <v>SELESAI (VIA PERMOHONAN)</v>
      </c>
      <c r="G442" s="17">
        <f>IFERROR(__xludf.DUMMYFUNCTION("""COMPUTED_VALUE"""),45636.706761134265)</f>
        <v>45636.70676</v>
      </c>
      <c r="H442" s="14" t="str">
        <f>IFERROR(__xludf.DUMMYFUNCTION("""COMPUTED_VALUE"""),"Aprill (SU)")</f>
        <v>Aprill (SU)</v>
      </c>
      <c r="I442" s="13" t="str">
        <f>IFERROR(__xludf.DUMMYFUNCTION("""COMPUTED_VALUE"""),"SELESAI (VIA PERMOHONAN)")</f>
        <v>SELESAI (VIA PERMOHONAN)</v>
      </c>
      <c r="J442" s="17">
        <f>IFERROR(__xludf.DUMMYFUNCTION("""COMPUTED_VALUE"""),45636.706761134265)</f>
        <v>45636.70676</v>
      </c>
      <c r="K442" s="13" t="str">
        <f>IFERROR(__xludf.DUMMYFUNCTION("""COMPUTED_VALUE"""),"Selesai")</f>
        <v>Selesai</v>
      </c>
      <c r="L442" s="17">
        <f>IFERROR(__xludf.DUMMYFUNCTION("""COMPUTED_VALUE"""),45636.706761134265)</f>
        <v>45636.70676</v>
      </c>
      <c r="M442" s="17">
        <f>IFERROR(__xludf.DUMMYFUNCTION("""COMPUTED_VALUE"""),45636.706761134265)</f>
        <v>45636.70676</v>
      </c>
      <c r="N442" s="13" t="str">
        <f>IFERROR(__xludf.DUMMYFUNCTION("""COMPUTED_VALUE"""),"")</f>
        <v/>
      </c>
      <c r="O442" s="13" t="str">
        <f t="shared" si="1"/>
        <v/>
      </c>
    </row>
    <row r="443" ht="22.5" customHeight="1">
      <c r="B443" s="13">
        <f>IFERROR(__xludf.DUMMYFUNCTION("""COMPUTED_VALUE"""),438.0)</f>
        <v>438</v>
      </c>
      <c r="C443" s="13" t="str">
        <f>IFERROR(__xludf.DUMMYFUNCTION("""COMPUTED_VALUE"""),"B. 110/ Bumi Waras")</f>
        <v>B. 110/ Bumi Waras</v>
      </c>
      <c r="D443" s="13" t="str">
        <f>IFERROR(__xludf.DUMMYFUNCTION("""COMPUTED_VALUE"""),"K/4/061224/1")</f>
        <v>K/4/061224/1</v>
      </c>
      <c r="E443" s="14" t="str">
        <f>IFERROR(__xludf.DUMMYFUNCTION("""COMPUTED_VALUE"""),"Afriza (BT)")</f>
        <v>Afriza (BT)</v>
      </c>
      <c r="F443" s="14" t="str">
        <f>IFERROR(__xludf.DUMMYFUNCTION("""COMPUTED_VALUE"""),"SELESAI (VIA PERMOHONAN)")</f>
        <v>SELESAI (VIA PERMOHONAN)</v>
      </c>
      <c r="G443" s="17">
        <f>IFERROR(__xludf.DUMMYFUNCTION("""COMPUTED_VALUE"""),45636.70676555556)</f>
        <v>45636.70677</v>
      </c>
      <c r="H443" s="14" t="str">
        <f>IFERROR(__xludf.DUMMYFUNCTION("""COMPUTED_VALUE"""),"Aprill (SU)")</f>
        <v>Aprill (SU)</v>
      </c>
      <c r="I443" s="13" t="str">
        <f>IFERROR(__xludf.DUMMYFUNCTION("""COMPUTED_VALUE"""),"SELESAI (VIA PERMOHONAN)")</f>
        <v>SELESAI (VIA PERMOHONAN)</v>
      </c>
      <c r="J443" s="17">
        <f>IFERROR(__xludf.DUMMYFUNCTION("""COMPUTED_VALUE"""),45637.67995289352)</f>
        <v>45637.67995</v>
      </c>
      <c r="K443" s="13" t="str">
        <f>IFERROR(__xludf.DUMMYFUNCTION("""COMPUTED_VALUE"""),"Selesai")</f>
        <v>Selesai</v>
      </c>
      <c r="L443" s="17">
        <f>IFERROR(__xludf.DUMMYFUNCTION("""COMPUTED_VALUE"""),45637.67995289352)</f>
        <v>45637.67995</v>
      </c>
      <c r="M443" s="17">
        <f>IFERROR(__xludf.DUMMYFUNCTION("""COMPUTED_VALUE"""),45637.680449189815)</f>
        <v>45637.68045</v>
      </c>
      <c r="N443" s="17">
        <f>IFERROR(__xludf.DUMMYFUNCTION("""COMPUTED_VALUE"""),45650.396228136575)</f>
        <v>45650.39623</v>
      </c>
      <c r="O443" s="13">
        <f t="shared" si="1"/>
        <v>1</v>
      </c>
    </row>
    <row r="444" ht="22.5" customHeight="1">
      <c r="B444" s="13">
        <f>IFERROR(__xludf.DUMMYFUNCTION("""COMPUTED_VALUE"""),439.0)</f>
        <v>439</v>
      </c>
      <c r="C444" s="13" t="str">
        <f>IFERROR(__xludf.DUMMYFUNCTION("""COMPUTED_VALUE"""),"M. 5161/ Rajabasa Jaya")</f>
        <v>M. 5161/ Rajabasa Jaya</v>
      </c>
      <c r="D444" s="13" t="str">
        <f>IFERROR(__xludf.DUMMYFUNCTION("""COMPUTED_VALUE"""),"K/5/091224/1")</f>
        <v>K/5/091224/1</v>
      </c>
      <c r="E444" s="14" t="str">
        <f>IFERROR(__xludf.DUMMYFUNCTION("""COMPUTED_VALUE"""),"Afriza (BT)")</f>
        <v>Afriza (BT)</v>
      </c>
      <c r="F444" s="14" t="str">
        <f>IFERROR(__xludf.DUMMYFUNCTION("""COMPUTED_VALUE"""),"SELESAI (VIA PERMOHONAN)")</f>
        <v>SELESAI (VIA PERMOHONAN)</v>
      </c>
      <c r="G444" s="17">
        <f>IFERROR(__xludf.DUMMYFUNCTION("""COMPUTED_VALUE"""),45637.410491539355)</f>
        <v>45637.41049</v>
      </c>
      <c r="H444" s="14" t="str">
        <f>IFERROR(__xludf.DUMMYFUNCTION("""COMPUTED_VALUE"""),"Aprill (SU)")</f>
        <v>Aprill (SU)</v>
      </c>
      <c r="I444" s="13" t="str">
        <f>IFERROR(__xludf.DUMMYFUNCTION("""COMPUTED_VALUE"""),"SELESAI (VIA PERMOHONAN)")</f>
        <v>SELESAI (VIA PERMOHONAN)</v>
      </c>
      <c r="J444" s="17">
        <f>IFERROR(__xludf.DUMMYFUNCTION("""COMPUTED_VALUE"""),45637.67999942129)</f>
        <v>45637.68</v>
      </c>
      <c r="K444" s="13" t="str">
        <f>IFERROR(__xludf.DUMMYFUNCTION("""COMPUTED_VALUE"""),"Selesai")</f>
        <v>Selesai</v>
      </c>
      <c r="L444" s="17">
        <f>IFERROR(__xludf.DUMMYFUNCTION("""COMPUTED_VALUE"""),45637.67999942129)</f>
        <v>45637.68</v>
      </c>
      <c r="M444" s="17">
        <f>IFERROR(__xludf.DUMMYFUNCTION("""COMPUTED_VALUE"""),45637.680477789356)</f>
        <v>45637.68048</v>
      </c>
      <c r="N444" s="13" t="str">
        <f>IFERROR(__xludf.DUMMYFUNCTION("""COMPUTED_VALUE"""),"")</f>
        <v/>
      </c>
      <c r="O444" s="13" t="str">
        <f t="shared" si="1"/>
        <v/>
      </c>
    </row>
    <row r="445" ht="22.5" customHeight="1">
      <c r="B445" s="13">
        <f>IFERROR(__xludf.DUMMYFUNCTION("""COMPUTED_VALUE"""),440.0)</f>
        <v>440</v>
      </c>
      <c r="C445" s="13" t="str">
        <f>IFERROR(__xludf.DUMMYFUNCTION("""COMPUTED_VALUE"""),"M. 968/ PWH")</f>
        <v>M. 968/ PWH</v>
      </c>
      <c r="D445" s="13" t="str">
        <f>IFERROR(__xludf.DUMMYFUNCTION("""COMPUTED_VALUE"""),"K/15/091224/3")</f>
        <v>K/15/091224/3</v>
      </c>
      <c r="E445" s="14" t="str">
        <f>IFERROR(__xludf.DUMMYFUNCTION("""COMPUTED_VALUE"""),"Afriza (BT)")</f>
        <v>Afriza (BT)</v>
      </c>
      <c r="F445" s="14" t="str">
        <f>IFERROR(__xludf.DUMMYFUNCTION("""COMPUTED_VALUE"""),"SELESAI (VIA PERMOHONAN)")</f>
        <v>SELESAI (VIA PERMOHONAN)</v>
      </c>
      <c r="G445" s="17">
        <f>IFERROR(__xludf.DUMMYFUNCTION("""COMPUTED_VALUE"""),45637.41508684028)</f>
        <v>45637.41509</v>
      </c>
      <c r="H445" s="14" t="str">
        <f>IFERROR(__xludf.DUMMYFUNCTION("""COMPUTED_VALUE"""),"Aprill (SU)")</f>
        <v>Aprill (SU)</v>
      </c>
      <c r="I445" s="13" t="str">
        <f>IFERROR(__xludf.DUMMYFUNCTION("""COMPUTED_VALUE"""),"SELESAI (VIA PERMOHONAN)")</f>
        <v>SELESAI (VIA PERMOHONAN)</v>
      </c>
      <c r="J445" s="17">
        <f>IFERROR(__xludf.DUMMYFUNCTION("""COMPUTED_VALUE"""),45637.679999432876)</f>
        <v>45637.68</v>
      </c>
      <c r="K445" s="13" t="str">
        <f>IFERROR(__xludf.DUMMYFUNCTION("""COMPUTED_VALUE"""),"Selesai")</f>
        <v>Selesai</v>
      </c>
      <c r="L445" s="17">
        <f>IFERROR(__xludf.DUMMYFUNCTION("""COMPUTED_VALUE"""),45637.679999432876)</f>
        <v>45637.68</v>
      </c>
      <c r="M445" s="17">
        <f>IFERROR(__xludf.DUMMYFUNCTION("""COMPUTED_VALUE"""),45637.6804652662)</f>
        <v>45637.68047</v>
      </c>
      <c r="N445" s="17">
        <f>IFERROR(__xludf.DUMMYFUNCTION("""COMPUTED_VALUE"""),45650.393778287034)</f>
        <v>45650.39378</v>
      </c>
      <c r="O445" s="13">
        <f t="shared" si="1"/>
        <v>1</v>
      </c>
    </row>
    <row r="446" ht="22.5" customHeight="1">
      <c r="B446" s="13">
        <f>IFERROR(__xludf.DUMMYFUNCTION("""COMPUTED_VALUE"""),441.0)</f>
        <v>441</v>
      </c>
      <c r="C446" s="13" t="str">
        <f>IFERROR(__xludf.DUMMYFUNCTION("""COMPUTED_VALUE"""),"HM 32/WAY HALIM PERMAI")</f>
        <v>HM 32/WAY HALIM PERMAI</v>
      </c>
      <c r="D446" s="13" t="str">
        <f>IFERROR(__xludf.DUMMYFUNCTION("""COMPUTED_VALUE"""),"L/21/021224/1")</f>
        <v>L/21/021224/1</v>
      </c>
      <c r="E446" s="14" t="str">
        <f>IFERROR(__xludf.DUMMYFUNCTION("""COMPUTED_VALUE"""),"Afriza (BT)")</f>
        <v>Afriza (BT)</v>
      </c>
      <c r="F446" s="14" t="str">
        <f>IFERROR(__xludf.DUMMYFUNCTION("""COMPUTED_VALUE"""),"SELESAI (VIA PERMOHONAN)")</f>
        <v>SELESAI (VIA PERMOHONAN)</v>
      </c>
      <c r="G446" s="17">
        <f>IFERROR(__xludf.DUMMYFUNCTION("""COMPUTED_VALUE"""),45637.41726872685)</f>
        <v>45637.41727</v>
      </c>
      <c r="H446" s="14" t="str">
        <f>IFERROR(__xludf.DUMMYFUNCTION("""COMPUTED_VALUE"""),"Aprill (SU)")</f>
        <v>Aprill (SU)</v>
      </c>
      <c r="I446" s="13" t="str">
        <f>IFERROR(__xludf.DUMMYFUNCTION("""COMPUTED_VALUE"""),"SELESAI (VIA PERMOHONAN)")</f>
        <v>SELESAI (VIA PERMOHONAN)</v>
      </c>
      <c r="J446" s="17">
        <f>IFERROR(__xludf.DUMMYFUNCTION("""COMPUTED_VALUE"""),45637.679999432876)</f>
        <v>45637.68</v>
      </c>
      <c r="K446" s="13" t="str">
        <f>IFERROR(__xludf.DUMMYFUNCTION("""COMPUTED_VALUE"""),"Selesai")</f>
        <v>Selesai</v>
      </c>
      <c r="L446" s="17">
        <f>IFERROR(__xludf.DUMMYFUNCTION("""COMPUTED_VALUE"""),45637.679999432876)</f>
        <v>45637.68</v>
      </c>
      <c r="M446" s="17">
        <f>IFERROR(__xludf.DUMMYFUNCTION("""COMPUTED_VALUE"""),45637.68049006944)</f>
        <v>45637.68049</v>
      </c>
      <c r="N446" s="13" t="str">
        <f>IFERROR(__xludf.DUMMYFUNCTION("""COMPUTED_VALUE"""),"")</f>
        <v/>
      </c>
      <c r="O446" s="13" t="str">
        <f t="shared" si="1"/>
        <v/>
      </c>
    </row>
    <row r="447" ht="22.5" customHeight="1">
      <c r="B447" s="13">
        <f>IFERROR(__xludf.DUMMYFUNCTION("""COMPUTED_VALUE"""),442.0)</f>
        <v>442</v>
      </c>
      <c r="C447" s="13" t="str">
        <f>IFERROR(__xludf.DUMMYFUNCTION("""COMPUTED_VALUE"""),"M. 839/ PWH")</f>
        <v>M. 839/ PWH</v>
      </c>
      <c r="D447" s="13" t="str">
        <f>IFERROR(__xludf.DUMMYFUNCTION("""COMPUTED_VALUE"""),"K/14/091224/2")</f>
        <v>K/14/091224/2</v>
      </c>
      <c r="E447" s="14" t="str">
        <f>IFERROR(__xludf.DUMMYFUNCTION("""COMPUTED_VALUE"""),"Afriza (BT)")</f>
        <v>Afriza (BT)</v>
      </c>
      <c r="F447" s="14" t="str">
        <f>IFERROR(__xludf.DUMMYFUNCTION("""COMPUTED_VALUE"""),"SELESAI")</f>
        <v>SELESAI</v>
      </c>
      <c r="G447" s="17">
        <f>IFERROR(__xludf.DUMMYFUNCTION("""COMPUTED_VALUE"""),45637.471477175925)</f>
        <v>45637.47148</v>
      </c>
      <c r="H447" s="14" t="str">
        <f>IFERROR(__xludf.DUMMYFUNCTION("""COMPUTED_VALUE"""),"Bu Eva (SU)")</f>
        <v>Bu Eva (SU)</v>
      </c>
      <c r="I447" s="13" t="str">
        <f>IFERROR(__xludf.DUMMYFUNCTION("""COMPUTED_VALUE"""),"SELESAI")</f>
        <v>SELESAI</v>
      </c>
      <c r="J447" s="17">
        <f>IFERROR(__xludf.DUMMYFUNCTION("""COMPUTED_VALUE"""),45637.68033924769)</f>
        <v>45637.68034</v>
      </c>
      <c r="K447" s="13" t="str">
        <f>IFERROR(__xludf.DUMMYFUNCTION("""COMPUTED_VALUE"""),"SELESAI")</f>
        <v>SELESAI</v>
      </c>
      <c r="L447" s="17">
        <f>IFERROR(__xludf.DUMMYFUNCTION("""COMPUTED_VALUE"""),45637.68033924769)</f>
        <v>45637.68034</v>
      </c>
      <c r="M447" s="17" t="str">
        <f>IFERROR(__xludf.DUMMYFUNCTION("""COMPUTED_VALUE"""),"")</f>
        <v/>
      </c>
      <c r="N447" s="17">
        <f>IFERROR(__xludf.DUMMYFUNCTION("""COMPUTED_VALUE"""),45650.393276539355)</f>
        <v>45650.39328</v>
      </c>
      <c r="O447" s="13">
        <f t="shared" si="1"/>
        <v>1</v>
      </c>
    </row>
    <row r="448" ht="22.5" customHeight="1">
      <c r="B448" s="13">
        <f>IFERROR(__xludf.DUMMYFUNCTION("""COMPUTED_VALUE"""),443.0)</f>
        <v>443</v>
      </c>
      <c r="C448" s="13" t="str">
        <f>IFERROR(__xludf.DUMMYFUNCTION("""COMPUTED_VALUE"""),"M. 5877/ Labuhan ratu")</f>
        <v>M. 5877/ Labuhan ratu</v>
      </c>
      <c r="D448" s="13" t="str">
        <f>IFERROR(__xludf.DUMMYFUNCTION("""COMPUTED_VALUE"""),"K/22/091224/1")</f>
        <v>K/22/091224/1</v>
      </c>
      <c r="E448" s="14" t="str">
        <f>IFERROR(__xludf.DUMMYFUNCTION("""COMPUTED_VALUE"""),"Afriza (BT)")</f>
        <v>Afriza (BT)</v>
      </c>
      <c r="F448" s="14" t="str">
        <f>IFERROR(__xludf.DUMMYFUNCTION("""COMPUTED_VALUE"""),"SELESAI")</f>
        <v>SELESAI</v>
      </c>
      <c r="G448" s="17">
        <f>IFERROR(__xludf.DUMMYFUNCTION("""COMPUTED_VALUE"""),45637.471610266206)</f>
        <v>45637.47161</v>
      </c>
      <c r="H448" s="14" t="str">
        <f>IFERROR(__xludf.DUMMYFUNCTION("""COMPUTED_VALUE"""),"Bu Eva (SU)")</f>
        <v>Bu Eva (SU)</v>
      </c>
      <c r="I448" s="13" t="str">
        <f>IFERROR(__xludf.DUMMYFUNCTION("""COMPUTED_VALUE"""),"SELESAI")</f>
        <v>SELESAI</v>
      </c>
      <c r="J448" s="17">
        <f>IFERROR(__xludf.DUMMYFUNCTION("""COMPUTED_VALUE"""),45637.680339259256)</f>
        <v>45637.68034</v>
      </c>
      <c r="K448" s="13" t="str">
        <f>IFERROR(__xludf.DUMMYFUNCTION("""COMPUTED_VALUE"""),"SELESAI")</f>
        <v>SELESAI</v>
      </c>
      <c r="L448" s="17">
        <f>IFERROR(__xludf.DUMMYFUNCTION("""COMPUTED_VALUE"""),45637.680339259256)</f>
        <v>45637.68034</v>
      </c>
      <c r="M448" s="17" t="str">
        <f>IFERROR(__xludf.DUMMYFUNCTION("""COMPUTED_VALUE"""),"")</f>
        <v/>
      </c>
      <c r="N448" s="17">
        <f>IFERROR(__xludf.DUMMYFUNCTION("""COMPUTED_VALUE"""),45650.3939572338)</f>
        <v>45650.39396</v>
      </c>
      <c r="O448" s="13">
        <f t="shared" si="1"/>
        <v>2</v>
      </c>
    </row>
    <row r="449" ht="22.5" customHeight="1">
      <c r="B449" s="13">
        <f>IFERROR(__xludf.DUMMYFUNCTION("""COMPUTED_VALUE"""),444.0)</f>
        <v>444</v>
      </c>
      <c r="C449" s="13" t="str">
        <f>IFERROR(__xludf.DUMMYFUNCTION("""COMPUTED_VALUE"""),"B. 945/ Beringin Jaya")</f>
        <v>B. 945/ Beringin Jaya</v>
      </c>
      <c r="D449" s="13" t="str">
        <f>IFERROR(__xludf.DUMMYFUNCTION("""COMPUTED_VALUE"""),"K/34/091224/3")</f>
        <v>K/34/091224/3</v>
      </c>
      <c r="E449" s="14" t="str">
        <f>IFERROR(__xludf.DUMMYFUNCTION("""COMPUTED_VALUE"""),"Afriza (BT)")</f>
        <v>Afriza (BT)</v>
      </c>
      <c r="F449" s="14" t="str">
        <f>IFERROR(__xludf.DUMMYFUNCTION("""COMPUTED_VALUE"""),"SELESAI")</f>
        <v>SELESAI</v>
      </c>
      <c r="G449" s="17">
        <f>IFERROR(__xludf.DUMMYFUNCTION("""COMPUTED_VALUE"""),45637.4719296875)</f>
        <v>45637.47193</v>
      </c>
      <c r="H449" s="14" t="str">
        <f>IFERROR(__xludf.DUMMYFUNCTION("""COMPUTED_VALUE"""),"Bu Eva (SU)")</f>
        <v>Bu Eva (SU)</v>
      </c>
      <c r="I449" s="13" t="str">
        <f>IFERROR(__xludf.DUMMYFUNCTION("""COMPUTED_VALUE"""),"SELESAI")</f>
        <v>SELESAI</v>
      </c>
      <c r="J449" s="17">
        <f>IFERROR(__xludf.DUMMYFUNCTION("""COMPUTED_VALUE"""),45637.680375763885)</f>
        <v>45637.68038</v>
      </c>
      <c r="K449" s="13" t="str">
        <f>IFERROR(__xludf.DUMMYFUNCTION("""COMPUTED_VALUE"""),"SELESAI")</f>
        <v>SELESAI</v>
      </c>
      <c r="L449" s="17">
        <f>IFERROR(__xludf.DUMMYFUNCTION("""COMPUTED_VALUE"""),45637.680375763885)</f>
        <v>45637.68038</v>
      </c>
      <c r="M449" s="17" t="str">
        <f>IFERROR(__xludf.DUMMYFUNCTION("""COMPUTED_VALUE"""),"")</f>
        <v/>
      </c>
      <c r="N449" s="17">
        <f>IFERROR(__xludf.DUMMYFUNCTION("""COMPUTED_VALUE"""),45650.39540891204)</f>
        <v>45650.39541</v>
      </c>
      <c r="O449" s="13">
        <f t="shared" si="1"/>
        <v>3</v>
      </c>
    </row>
    <row r="450" ht="22.5" customHeight="1">
      <c r="B450" s="13">
        <f>IFERROR(__xludf.DUMMYFUNCTION("""COMPUTED_VALUE"""),445.0)</f>
        <v>445</v>
      </c>
      <c r="C450" s="13" t="str">
        <f>IFERROR(__xludf.DUMMYFUNCTION("""COMPUTED_VALUE"""),"HM 1146/GEDONG AIR")</f>
        <v>HM 1146/GEDONG AIR</v>
      </c>
      <c r="D450" s="13" t="str">
        <f>IFERROR(__xludf.DUMMYFUNCTION("""COMPUTED_VALUE"""),"L/10/091224/1")</f>
        <v>L/10/091224/1</v>
      </c>
      <c r="E450" s="14" t="str">
        <f>IFERROR(__xludf.DUMMYFUNCTION("""COMPUTED_VALUE"""),"Nadian (BT)")</f>
        <v>Nadian (BT)</v>
      </c>
      <c r="F450" s="14" t="str">
        <f>IFERROR(__xludf.DUMMYFUNCTION("""COMPUTED_VALUE"""),"SELESAI")</f>
        <v>SELESAI</v>
      </c>
      <c r="G450" s="17">
        <f>IFERROR(__xludf.DUMMYFUNCTION("""COMPUTED_VALUE"""),45637.571030520834)</f>
        <v>45637.57103</v>
      </c>
      <c r="H450" s="14" t="str">
        <f>IFERROR(__xludf.DUMMYFUNCTION("""COMPUTED_VALUE"""),"Bu Eva (SU)")</f>
        <v>Bu Eva (SU)</v>
      </c>
      <c r="I450" s="13" t="str">
        <f>IFERROR(__xludf.DUMMYFUNCTION("""COMPUTED_VALUE"""),"SELESAI")</f>
        <v>SELESAI</v>
      </c>
      <c r="J450" s="17">
        <f>IFERROR(__xludf.DUMMYFUNCTION("""COMPUTED_VALUE"""),45637.68040636574)</f>
        <v>45637.68041</v>
      </c>
      <c r="K450" s="13" t="str">
        <f>IFERROR(__xludf.DUMMYFUNCTION("""COMPUTED_VALUE"""),"SELESAI")</f>
        <v>SELESAI</v>
      </c>
      <c r="L450" s="17">
        <f>IFERROR(__xludf.DUMMYFUNCTION("""COMPUTED_VALUE"""),45637.68040636574)</f>
        <v>45637.68041</v>
      </c>
      <c r="M450" s="17">
        <f>IFERROR(__xludf.DUMMYFUNCTION("""COMPUTED_VALUE"""),45643.64309201389)</f>
        <v>45643.64309</v>
      </c>
      <c r="N450" s="17">
        <f>IFERROR(__xludf.DUMMYFUNCTION("""COMPUTED_VALUE"""),45650.39541694445)</f>
        <v>45650.39542</v>
      </c>
      <c r="O450" s="13">
        <f t="shared" si="1"/>
        <v>4</v>
      </c>
    </row>
    <row r="451" ht="22.5" customHeight="1">
      <c r="B451" s="13">
        <f>IFERROR(__xludf.DUMMYFUNCTION("""COMPUTED_VALUE"""),446.0)</f>
        <v>446</v>
      </c>
      <c r="C451" s="13" t="str">
        <f>IFERROR(__xludf.DUMMYFUNCTION("""COMPUTED_VALUE"""),"M. 1057/ PWH")</f>
        <v>M. 1057/ PWH</v>
      </c>
      <c r="D451" s="13" t="str">
        <f>IFERROR(__xludf.DUMMYFUNCTION("""COMPUTED_VALUE"""),"K/16/091224/4")</f>
        <v>K/16/091224/4</v>
      </c>
      <c r="E451" s="14" t="str">
        <f>IFERROR(__xludf.DUMMYFUNCTION("""COMPUTED_VALUE"""),"Nadian (BT)")</f>
        <v>Nadian (BT)</v>
      </c>
      <c r="F451" s="14" t="str">
        <f>IFERROR(__xludf.DUMMYFUNCTION("""COMPUTED_VALUE"""),"SELESAI")</f>
        <v>SELESAI</v>
      </c>
      <c r="G451" s="17">
        <f>IFERROR(__xludf.DUMMYFUNCTION("""COMPUTED_VALUE"""),45637.57106447917)</f>
        <v>45637.57106</v>
      </c>
      <c r="H451" s="14" t="str">
        <f>IFERROR(__xludf.DUMMYFUNCTION("""COMPUTED_VALUE"""),"Bu Eva (SU)")</f>
        <v>Bu Eva (SU)</v>
      </c>
      <c r="I451" s="13" t="str">
        <f>IFERROR(__xludf.DUMMYFUNCTION("""COMPUTED_VALUE"""),"SELESAI")</f>
        <v>SELESAI</v>
      </c>
      <c r="J451" s="17">
        <f>IFERROR(__xludf.DUMMYFUNCTION("""COMPUTED_VALUE"""),45637.68040636574)</f>
        <v>45637.68041</v>
      </c>
      <c r="K451" s="13" t="str">
        <f>IFERROR(__xludf.DUMMYFUNCTION("""COMPUTED_VALUE"""),"SELESAI")</f>
        <v>SELESAI</v>
      </c>
      <c r="L451" s="17">
        <f>IFERROR(__xludf.DUMMYFUNCTION("""COMPUTED_VALUE"""),45637.68040636574)</f>
        <v>45637.68041</v>
      </c>
      <c r="M451" s="17" t="str">
        <f>IFERROR(__xludf.DUMMYFUNCTION("""COMPUTED_VALUE"""),"")</f>
        <v/>
      </c>
      <c r="N451" s="17">
        <f>IFERROR(__xludf.DUMMYFUNCTION("""COMPUTED_VALUE"""),45650.39349512731)</f>
        <v>45650.3935</v>
      </c>
      <c r="O451" s="13">
        <f t="shared" si="1"/>
        <v>5</v>
      </c>
    </row>
    <row r="452" ht="22.5" customHeight="1">
      <c r="B452" s="13">
        <f>IFERROR(__xludf.DUMMYFUNCTION("""COMPUTED_VALUE"""),447.0)</f>
        <v>447</v>
      </c>
      <c r="C452" s="13" t="str">
        <f>IFERROR(__xludf.DUMMYFUNCTION("""COMPUTED_VALUE"""),"M. 221/ Kampung Baru Raya")</f>
        <v>M. 221/ Kampung Baru Raya</v>
      </c>
      <c r="D452" s="13" t="str">
        <f>IFERROR(__xludf.DUMMYFUNCTION("""COMPUTED_VALUE"""),"K/34/061224/1")</f>
        <v>K/34/061224/1</v>
      </c>
      <c r="E452" s="14" t="str">
        <f>IFERROR(__xludf.DUMMYFUNCTION("""COMPUTED_VALUE"""),"Nadian (BT)")</f>
        <v>Nadian (BT)</v>
      </c>
      <c r="F452" s="14" t="str">
        <f>IFERROR(__xludf.DUMMYFUNCTION("""COMPUTED_VALUE"""),"SELESAI")</f>
        <v>SELESAI</v>
      </c>
      <c r="G452" s="17">
        <f>IFERROR(__xludf.DUMMYFUNCTION("""COMPUTED_VALUE"""),45637.57106447917)</f>
        <v>45637.57106</v>
      </c>
      <c r="H452" s="14" t="str">
        <f>IFERROR(__xludf.DUMMYFUNCTION("""COMPUTED_VALUE"""),"Bu Eva (SU)")</f>
        <v>Bu Eva (SU)</v>
      </c>
      <c r="I452" s="13" t="str">
        <f>IFERROR(__xludf.DUMMYFUNCTION("""COMPUTED_VALUE"""),"SELESAI")</f>
        <v>SELESAI</v>
      </c>
      <c r="J452" s="17">
        <f>IFERROR(__xludf.DUMMYFUNCTION("""COMPUTED_VALUE"""),45637.680425949075)</f>
        <v>45637.68043</v>
      </c>
      <c r="K452" s="13" t="str">
        <f>IFERROR(__xludf.DUMMYFUNCTION("""COMPUTED_VALUE"""),"SELESAI")</f>
        <v>SELESAI</v>
      </c>
      <c r="L452" s="17">
        <f>IFERROR(__xludf.DUMMYFUNCTION("""COMPUTED_VALUE"""),45637.680425949075)</f>
        <v>45637.68043</v>
      </c>
      <c r="M452" s="17" t="str">
        <f>IFERROR(__xludf.DUMMYFUNCTION("""COMPUTED_VALUE"""),"")</f>
        <v/>
      </c>
      <c r="N452" s="17">
        <f>IFERROR(__xludf.DUMMYFUNCTION("""COMPUTED_VALUE"""),45650.395246307875)</f>
        <v>45650.39525</v>
      </c>
      <c r="O452" s="13">
        <f t="shared" si="1"/>
        <v>6</v>
      </c>
    </row>
    <row r="453" ht="22.5" customHeight="1">
      <c r="B453" s="13">
        <f>IFERROR(__xludf.DUMMYFUNCTION("""COMPUTED_VALUE"""),448.0)</f>
        <v>448</v>
      </c>
      <c r="C453" s="13" t="str">
        <f>IFERROR(__xludf.DUMMYFUNCTION("""COMPUTED_VALUE"""),"M.1344/BAKUNG")</f>
        <v>M.1344/BAKUNG</v>
      </c>
      <c r="D453" s="13" t="str">
        <f>IFERROR(__xludf.DUMMYFUNCTION("""COMPUTED_VALUE"""),"K/39/091224/1")</f>
        <v>K/39/091224/1</v>
      </c>
      <c r="E453" s="14" t="str">
        <f>IFERROR(__xludf.DUMMYFUNCTION("""COMPUTED_VALUE"""),"Nadian (BT)")</f>
        <v>Nadian (BT)</v>
      </c>
      <c r="F453" s="14" t="str">
        <f>IFERROR(__xludf.DUMMYFUNCTION("""COMPUTED_VALUE"""),"SELESAI")</f>
        <v>SELESAI</v>
      </c>
      <c r="G453" s="17">
        <f>IFERROR(__xludf.DUMMYFUNCTION("""COMPUTED_VALUE"""),45637.57106447917)</f>
        <v>45637.57106</v>
      </c>
      <c r="H453" s="14" t="str">
        <f>IFERROR(__xludf.DUMMYFUNCTION("""COMPUTED_VALUE"""),"Bu Eva (SU)")</f>
        <v>Bu Eva (SU)</v>
      </c>
      <c r="I453" s="13" t="str">
        <f>IFERROR(__xludf.DUMMYFUNCTION("""COMPUTED_VALUE"""),"SELESAI")</f>
        <v>SELESAI</v>
      </c>
      <c r="J453" s="17">
        <f>IFERROR(__xludf.DUMMYFUNCTION("""COMPUTED_VALUE"""),45637.680425949075)</f>
        <v>45637.68043</v>
      </c>
      <c r="K453" s="13" t="str">
        <f>IFERROR(__xludf.DUMMYFUNCTION("""COMPUTED_VALUE"""),"SELESAI")</f>
        <v>SELESAI</v>
      </c>
      <c r="L453" s="17">
        <f>IFERROR(__xludf.DUMMYFUNCTION("""COMPUTED_VALUE"""),45637.680425949075)</f>
        <v>45637.68043</v>
      </c>
      <c r="M453" s="17" t="str">
        <f>IFERROR(__xludf.DUMMYFUNCTION("""COMPUTED_VALUE"""),"")</f>
        <v/>
      </c>
      <c r="N453" s="17">
        <f>IFERROR(__xludf.DUMMYFUNCTION("""COMPUTED_VALUE"""),45650.395232986106)</f>
        <v>45650.39523</v>
      </c>
      <c r="O453" s="13">
        <f t="shared" si="1"/>
        <v>7</v>
      </c>
    </row>
    <row r="454" ht="22.5" customHeight="1">
      <c r="B454" s="13">
        <f>IFERROR(__xludf.DUMMYFUNCTION("""COMPUTED_VALUE"""),449.0)</f>
        <v>449</v>
      </c>
      <c r="C454" s="13" t="str">
        <f>IFERROR(__xludf.DUMMYFUNCTION("""COMPUTED_VALUE"""),"M. 529/ Bakung")</f>
        <v>M. 529/ Bakung</v>
      </c>
      <c r="D454" s="13" t="str">
        <f>IFERROR(__xludf.DUMMYFUNCTION("""COMPUTED_VALUE"""),"K/3/051224/1")</f>
        <v>K/3/051224/1</v>
      </c>
      <c r="E454" s="14" t="str">
        <f>IFERROR(__xludf.DUMMYFUNCTION("""COMPUTED_VALUE"""),"Nadian (BT)")</f>
        <v>Nadian (BT)</v>
      </c>
      <c r="F454" s="14" t="str">
        <f>IFERROR(__xludf.DUMMYFUNCTION("""COMPUTED_VALUE"""),"SELESAI (VIA PERMOHONAN)")</f>
        <v>SELESAI (VIA PERMOHONAN)</v>
      </c>
      <c r="G454" s="17">
        <f>IFERROR(__xludf.DUMMYFUNCTION("""COMPUTED_VALUE"""),45637.57110310185)</f>
        <v>45637.5711</v>
      </c>
      <c r="H454" s="14" t="str">
        <f>IFERROR(__xludf.DUMMYFUNCTION("""COMPUTED_VALUE"""),"Aprill (SU)")</f>
        <v>Aprill (SU)</v>
      </c>
      <c r="I454" s="13" t="str">
        <f>IFERROR(__xludf.DUMMYFUNCTION("""COMPUTED_VALUE"""),"SELESAI (VIA PERMOHONAN)")</f>
        <v>SELESAI (VIA PERMOHONAN)</v>
      </c>
      <c r="J454" s="17">
        <f>IFERROR(__xludf.DUMMYFUNCTION("""COMPUTED_VALUE"""),45637.68024383102)</f>
        <v>45637.68024</v>
      </c>
      <c r="K454" s="13" t="str">
        <f>IFERROR(__xludf.DUMMYFUNCTION("""COMPUTED_VALUE"""),"Selesai")</f>
        <v>Selesai</v>
      </c>
      <c r="L454" s="17">
        <f>IFERROR(__xludf.DUMMYFUNCTION("""COMPUTED_VALUE"""),45637.68024383102)</f>
        <v>45637.68024</v>
      </c>
      <c r="M454" s="17">
        <f>IFERROR(__xludf.DUMMYFUNCTION("""COMPUTED_VALUE"""),45637.68052844907)</f>
        <v>45637.68053</v>
      </c>
      <c r="N454" s="13" t="str">
        <f>IFERROR(__xludf.DUMMYFUNCTION("""COMPUTED_VALUE"""),"")</f>
        <v/>
      </c>
      <c r="O454" s="13" t="str">
        <f t="shared" si="1"/>
        <v/>
      </c>
    </row>
    <row r="455" ht="22.5" customHeight="1">
      <c r="B455" s="13">
        <f>IFERROR(__xludf.DUMMYFUNCTION("""COMPUTED_VALUE"""),450.0)</f>
        <v>450</v>
      </c>
      <c r="C455" s="13" t="str">
        <f>IFERROR(__xludf.DUMMYFUNCTION("""COMPUTED_VALUE"""),"M. 4547/ Gunung Terang")</f>
        <v>M. 4547/ Gunung Terang</v>
      </c>
      <c r="D455" s="13" t="str">
        <f>IFERROR(__xludf.DUMMYFUNCTION("""COMPUTED_VALUE"""),"K/2/061224/2")</f>
        <v>K/2/061224/2</v>
      </c>
      <c r="E455" s="14" t="str">
        <f>IFERROR(__xludf.DUMMYFUNCTION("""COMPUTED_VALUE"""),"Afriza (BT)")</f>
        <v>Afriza (BT)</v>
      </c>
      <c r="F455" s="14" t="str">
        <f>IFERROR(__xludf.DUMMYFUNCTION("""COMPUTED_VALUE"""),"SELESAI (VIA PERMOHONAN)")</f>
        <v>SELESAI (VIA PERMOHONAN)</v>
      </c>
      <c r="G455" s="17">
        <f>IFERROR(__xludf.DUMMYFUNCTION("""COMPUTED_VALUE"""),45637.643464374996)</f>
        <v>45637.64346</v>
      </c>
      <c r="H455" s="14" t="str">
        <f>IFERROR(__xludf.DUMMYFUNCTION("""COMPUTED_VALUE"""),"Aprill (SU)")</f>
        <v>Aprill (SU)</v>
      </c>
      <c r="I455" s="13" t="str">
        <f>IFERROR(__xludf.DUMMYFUNCTION("""COMPUTED_VALUE"""),"SELESAI (VIA PERMOHONAN)")</f>
        <v>SELESAI (VIA PERMOHONAN)</v>
      </c>
      <c r="J455" s="17">
        <f>IFERROR(__xludf.DUMMYFUNCTION("""COMPUTED_VALUE"""),45637.68024383102)</f>
        <v>45637.68024</v>
      </c>
      <c r="K455" s="13" t="str">
        <f>IFERROR(__xludf.DUMMYFUNCTION("""COMPUTED_VALUE"""),"Selesai")</f>
        <v>Selesai</v>
      </c>
      <c r="L455" s="17">
        <f>IFERROR(__xludf.DUMMYFUNCTION("""COMPUTED_VALUE"""),45637.68024383102)</f>
        <v>45637.68024</v>
      </c>
      <c r="M455" s="17">
        <f>IFERROR(__xludf.DUMMYFUNCTION("""COMPUTED_VALUE"""),45637.68053564815)</f>
        <v>45637.68054</v>
      </c>
      <c r="N455" s="13" t="str">
        <f>IFERROR(__xludf.DUMMYFUNCTION("""COMPUTED_VALUE"""),"")</f>
        <v/>
      </c>
      <c r="O455" s="13" t="str">
        <f t="shared" si="1"/>
        <v/>
      </c>
    </row>
    <row r="456" ht="22.5" customHeight="1">
      <c r="B456" s="13">
        <f>IFERROR(__xludf.DUMMYFUNCTION("""COMPUTED_VALUE"""),451.0)</f>
        <v>451</v>
      </c>
      <c r="C456" s="13" t="str">
        <f>IFERROR(__xludf.DUMMYFUNCTION("""COMPUTED_VALUE"""),"HGB 1739/SUKARAME")</f>
        <v>HGB 1739/SUKARAME</v>
      </c>
      <c r="D456" s="13" t="str">
        <f>IFERROR(__xludf.DUMMYFUNCTION("""COMPUTED_VALUE"""),"L/24/091224/1")</f>
        <v>L/24/091224/1</v>
      </c>
      <c r="E456" s="14" t="str">
        <f>IFERROR(__xludf.DUMMYFUNCTION("""COMPUTED_VALUE"""),"Afriza (BT)")</f>
        <v>Afriza (BT)</v>
      </c>
      <c r="F456" s="14" t="str">
        <f>IFERROR(__xludf.DUMMYFUNCTION("""COMPUTED_VALUE"""),"SELESAI")</f>
        <v>SELESAI</v>
      </c>
      <c r="G456" s="17">
        <f>IFERROR(__xludf.DUMMYFUNCTION("""COMPUTED_VALUE"""),45639.64579231481)</f>
        <v>45639.64579</v>
      </c>
      <c r="H456" s="14" t="str">
        <f>IFERROR(__xludf.DUMMYFUNCTION("""COMPUTED_VALUE"""),"Bu Eva (SU)")</f>
        <v>Bu Eva (SU)</v>
      </c>
      <c r="I456" s="13" t="str">
        <f>IFERROR(__xludf.DUMMYFUNCTION("""COMPUTED_VALUE"""),"SELESAI")</f>
        <v>SELESAI</v>
      </c>
      <c r="J456" s="17">
        <f>IFERROR(__xludf.DUMMYFUNCTION("""COMPUTED_VALUE"""),45642.587586608795)</f>
        <v>45642.58759</v>
      </c>
      <c r="K456" s="13" t="str">
        <f>IFERROR(__xludf.DUMMYFUNCTION("""COMPUTED_VALUE"""),"SELESAI")</f>
        <v>SELESAI</v>
      </c>
      <c r="L456" s="17">
        <f>IFERROR(__xludf.DUMMYFUNCTION("""COMPUTED_VALUE"""),45642.587586608795)</f>
        <v>45642.58759</v>
      </c>
      <c r="M456" s="17" t="str">
        <f>IFERROR(__xludf.DUMMYFUNCTION("""COMPUTED_VALUE"""),"")</f>
        <v/>
      </c>
      <c r="N456" s="13" t="str">
        <f>IFERROR(__xludf.DUMMYFUNCTION("""COMPUTED_VALUE"""),"")</f>
        <v/>
      </c>
      <c r="O456" s="13" t="str">
        <f t="shared" si="1"/>
        <v/>
      </c>
    </row>
    <row r="457" ht="22.5" customHeight="1">
      <c r="B457" s="13">
        <f>IFERROR(__xludf.DUMMYFUNCTION("""COMPUTED_VALUE"""),452.0)</f>
        <v>452</v>
      </c>
      <c r="C457" s="13" t="str">
        <f>IFERROR(__xludf.DUMMYFUNCTION("""COMPUTED_VALUE"""),"M. 6460/ Way Kandis")</f>
        <v>M. 6460/ Way Kandis</v>
      </c>
      <c r="D457" s="13" t="str">
        <f>IFERROR(__xludf.DUMMYFUNCTION("""COMPUTED_VALUE"""),"K/32/111224/1")</f>
        <v>K/32/111224/1</v>
      </c>
      <c r="E457" s="14" t="str">
        <f>IFERROR(__xludf.DUMMYFUNCTION("""COMPUTED_VALUE"""),"Nadian (BT)")</f>
        <v>Nadian (BT)</v>
      </c>
      <c r="F457" s="14" t="str">
        <f>IFERROR(__xludf.DUMMYFUNCTION("""COMPUTED_VALUE"""),"SELESAI (VIA PERMOHONAN)")</f>
        <v>SELESAI (VIA PERMOHONAN)</v>
      </c>
      <c r="G457" s="17">
        <f>IFERROR(__xludf.DUMMYFUNCTION("""COMPUTED_VALUE"""),45639.64748667824)</f>
        <v>45639.64749</v>
      </c>
      <c r="H457" s="14" t="str">
        <f>IFERROR(__xludf.DUMMYFUNCTION("""COMPUTED_VALUE"""),"Aprill (SU)")</f>
        <v>Aprill (SU)</v>
      </c>
      <c r="I457" s="13" t="str">
        <f>IFERROR(__xludf.DUMMYFUNCTION("""COMPUTED_VALUE"""),"SELESAI (VIA PERMOHONAN)")</f>
        <v>SELESAI (VIA PERMOHONAN)</v>
      </c>
      <c r="J457" s="17">
        <f>IFERROR(__xludf.DUMMYFUNCTION("""COMPUTED_VALUE"""),45642.587413368055)</f>
        <v>45642.58741</v>
      </c>
      <c r="K457" s="13" t="str">
        <f>IFERROR(__xludf.DUMMYFUNCTION("""COMPUTED_VALUE"""),"Selesai")</f>
        <v>Selesai</v>
      </c>
      <c r="L457" s="17">
        <f>IFERROR(__xludf.DUMMYFUNCTION("""COMPUTED_VALUE"""),45642.587413368055)</f>
        <v>45642.58741</v>
      </c>
      <c r="M457" s="17">
        <f>IFERROR(__xludf.DUMMYFUNCTION("""COMPUTED_VALUE"""),45642.6674207176)</f>
        <v>45642.66742</v>
      </c>
      <c r="N457" s="17">
        <f>IFERROR(__xludf.DUMMYFUNCTION("""COMPUTED_VALUE"""),45650.4031253588)</f>
        <v>45650.40313</v>
      </c>
      <c r="O457" s="13">
        <f t="shared" si="1"/>
        <v>1</v>
      </c>
    </row>
    <row r="458" ht="22.5" customHeight="1">
      <c r="B458" s="13">
        <f>IFERROR(__xludf.DUMMYFUNCTION("""COMPUTED_VALUE"""),453.0)</f>
        <v>453</v>
      </c>
      <c r="C458" s="13" t="str">
        <f>IFERROR(__xludf.DUMMYFUNCTION("""COMPUTED_VALUE"""),"M.191/BATU PUTU")</f>
        <v>M.191/BATU PUTU</v>
      </c>
      <c r="D458" s="13" t="str">
        <f>IFERROR(__xludf.DUMMYFUNCTION("""COMPUTED_VALUE"""),"K/4/201124/1")</f>
        <v>K/4/201124/1</v>
      </c>
      <c r="E458" s="14" t="str">
        <f>IFERROR(__xludf.DUMMYFUNCTION("""COMPUTED_VALUE"""),"Nadian (BT)")</f>
        <v>Nadian (BT)</v>
      </c>
      <c r="F458" s="14" t="str">
        <f>IFERROR(__xludf.DUMMYFUNCTION("""COMPUTED_VALUE"""),"SELESAI (VIA PERMOHONAN)")</f>
        <v>SELESAI (VIA PERMOHONAN)</v>
      </c>
      <c r="G458" s="17">
        <f>IFERROR(__xludf.DUMMYFUNCTION("""COMPUTED_VALUE"""),45639.64755523148)</f>
        <v>45639.64756</v>
      </c>
      <c r="H458" s="14" t="str">
        <f>IFERROR(__xludf.DUMMYFUNCTION("""COMPUTED_VALUE"""),"Aprill (SU)")</f>
        <v>Aprill (SU)</v>
      </c>
      <c r="I458" s="13" t="str">
        <f>IFERROR(__xludf.DUMMYFUNCTION("""COMPUTED_VALUE"""),"SELESAI (VIA PERMOHONAN)")</f>
        <v>SELESAI (VIA PERMOHONAN)</v>
      </c>
      <c r="J458" s="17">
        <f>IFERROR(__xludf.DUMMYFUNCTION("""COMPUTED_VALUE"""),45642.587413368055)</f>
        <v>45642.58741</v>
      </c>
      <c r="K458" s="13" t="str">
        <f>IFERROR(__xludf.DUMMYFUNCTION("""COMPUTED_VALUE"""),"Selesai")</f>
        <v>Selesai</v>
      </c>
      <c r="L458" s="17">
        <f>IFERROR(__xludf.DUMMYFUNCTION("""COMPUTED_VALUE"""),45642.587413368055)</f>
        <v>45642.58741</v>
      </c>
      <c r="M458" s="17">
        <f>IFERROR(__xludf.DUMMYFUNCTION("""COMPUTED_VALUE"""),45642.667428009256)</f>
        <v>45642.66743</v>
      </c>
      <c r="N458" s="13" t="str">
        <f>IFERROR(__xludf.DUMMYFUNCTION("""COMPUTED_VALUE"""),"")</f>
        <v/>
      </c>
      <c r="O458" s="13" t="str">
        <f t="shared" si="1"/>
        <v/>
      </c>
    </row>
    <row r="459" ht="22.5" customHeight="1">
      <c r="B459" s="13">
        <f>IFERROR(__xludf.DUMMYFUNCTION("""COMPUTED_VALUE"""),454.0)</f>
        <v>454</v>
      </c>
      <c r="C459" s="13" t="str">
        <f>IFERROR(__xludf.DUMMYFUNCTION("""COMPUTED_VALUE"""),"M.2722/SUKARAME BARU")</f>
        <v>M.2722/SUKARAME BARU</v>
      </c>
      <c r="D459" s="13" t="str">
        <f>IFERROR(__xludf.DUMMYFUNCTION("""COMPUTED_VALUE"""),"K/35/101224/1")</f>
        <v>K/35/101224/1</v>
      </c>
      <c r="E459" s="14" t="str">
        <f>IFERROR(__xludf.DUMMYFUNCTION("""COMPUTED_VALUE"""),"Nadian (BT)")</f>
        <v>Nadian (BT)</v>
      </c>
      <c r="F459" s="14" t="str">
        <f>IFERROR(__xludf.DUMMYFUNCTION("""COMPUTED_VALUE"""),"SELESAI (VIA PERMOHONAN)")</f>
        <v>SELESAI (VIA PERMOHONAN)</v>
      </c>
      <c r="G459" s="17">
        <f>IFERROR(__xludf.DUMMYFUNCTION("""COMPUTED_VALUE"""),45639.64755523148)</f>
        <v>45639.64756</v>
      </c>
      <c r="H459" s="14" t="str">
        <f>IFERROR(__xludf.DUMMYFUNCTION("""COMPUTED_VALUE"""),"Aprill (SU)")</f>
        <v>Aprill (SU)</v>
      </c>
      <c r="I459" s="13" t="str">
        <f>IFERROR(__xludf.DUMMYFUNCTION("""COMPUTED_VALUE"""),"SELESAI (VIA PERMOHONAN)")</f>
        <v>SELESAI (VIA PERMOHONAN)</v>
      </c>
      <c r="J459" s="17">
        <f>IFERROR(__xludf.DUMMYFUNCTION("""COMPUTED_VALUE"""),45642.587413368055)</f>
        <v>45642.58741</v>
      </c>
      <c r="K459" s="13" t="str">
        <f>IFERROR(__xludf.DUMMYFUNCTION("""COMPUTED_VALUE"""),"Selesai")</f>
        <v>Selesai</v>
      </c>
      <c r="L459" s="17">
        <f>IFERROR(__xludf.DUMMYFUNCTION("""COMPUTED_VALUE"""),45642.587413368055)</f>
        <v>45642.58741</v>
      </c>
      <c r="M459" s="17">
        <f>IFERROR(__xludf.DUMMYFUNCTION("""COMPUTED_VALUE"""),45642.667445162035)</f>
        <v>45642.66745</v>
      </c>
      <c r="N459" s="13" t="str">
        <f>IFERROR(__xludf.DUMMYFUNCTION("""COMPUTED_VALUE"""),"")</f>
        <v/>
      </c>
      <c r="O459" s="13" t="str">
        <f t="shared" si="1"/>
        <v/>
      </c>
    </row>
    <row r="460" ht="22.5" customHeight="1">
      <c r="B460" s="13">
        <f>IFERROR(__xludf.DUMMYFUNCTION("""COMPUTED_VALUE"""),455.0)</f>
        <v>455</v>
      </c>
      <c r="C460" s="13" t="str">
        <f>IFERROR(__xludf.DUMMYFUNCTION("""COMPUTED_VALUE"""),"M.922/KUPANG TEBA")</f>
        <v>M.922/KUPANG TEBA</v>
      </c>
      <c r="D460" s="13" t="str">
        <f>IFERROR(__xludf.DUMMYFUNCTION("""COMPUTED_VALUE"""),"K/4/031224/1")</f>
        <v>K/4/031224/1</v>
      </c>
      <c r="E460" s="14" t="str">
        <f>IFERROR(__xludf.DUMMYFUNCTION("""COMPUTED_VALUE"""),"Nadian (BT)")</f>
        <v>Nadian (BT)</v>
      </c>
      <c r="F460" s="14" t="str">
        <f>IFERROR(__xludf.DUMMYFUNCTION("""COMPUTED_VALUE"""),"SELESAI (VIA PERMOHONAN)")</f>
        <v>SELESAI (VIA PERMOHONAN)</v>
      </c>
      <c r="G460" s="17">
        <f>IFERROR(__xludf.DUMMYFUNCTION("""COMPUTED_VALUE"""),45639.64755523148)</f>
        <v>45639.64756</v>
      </c>
      <c r="H460" s="14" t="str">
        <f>IFERROR(__xludf.DUMMYFUNCTION("""COMPUTED_VALUE"""),"Aprill (SU)")</f>
        <v>Aprill (SU)</v>
      </c>
      <c r="I460" s="13" t="str">
        <f>IFERROR(__xludf.DUMMYFUNCTION("""COMPUTED_VALUE"""),"SELESAI (VIA PERMOHONAN)")</f>
        <v>SELESAI (VIA PERMOHONAN)</v>
      </c>
      <c r="J460" s="17">
        <f>IFERROR(__xludf.DUMMYFUNCTION("""COMPUTED_VALUE"""),45642.58743798611)</f>
        <v>45642.58744</v>
      </c>
      <c r="K460" s="13" t="str">
        <f>IFERROR(__xludf.DUMMYFUNCTION("""COMPUTED_VALUE"""),"Selesai")</f>
        <v>Selesai</v>
      </c>
      <c r="L460" s="17">
        <f>IFERROR(__xludf.DUMMYFUNCTION("""COMPUTED_VALUE"""),45642.58743798611)</f>
        <v>45642.58744</v>
      </c>
      <c r="M460" s="17">
        <f>IFERROR(__xludf.DUMMYFUNCTION("""COMPUTED_VALUE"""),45642.66739873843)</f>
        <v>45642.6674</v>
      </c>
      <c r="N460" s="13" t="str">
        <f>IFERROR(__xludf.DUMMYFUNCTION("""COMPUTED_VALUE"""),"")</f>
        <v/>
      </c>
      <c r="O460" s="13" t="str">
        <f t="shared" si="1"/>
        <v/>
      </c>
    </row>
    <row r="461" ht="22.5" customHeight="1">
      <c r="B461" s="13">
        <f>IFERROR(__xludf.DUMMYFUNCTION("""COMPUTED_VALUE"""),456.0)</f>
        <v>456</v>
      </c>
      <c r="C461" s="13" t="str">
        <f>IFERROR(__xludf.DUMMYFUNCTION("""COMPUTED_VALUE"""),"M.2013/LABUHAN RATU RAYA")</f>
        <v>M.2013/LABUHAN RATU RAYA</v>
      </c>
      <c r="D461" s="13" t="str">
        <f>IFERROR(__xludf.DUMMYFUNCTION("""COMPUTED_VALUE"""),"K/42/221124/1")</f>
        <v>K/42/221124/1</v>
      </c>
      <c r="E461" s="14" t="str">
        <f>IFERROR(__xludf.DUMMYFUNCTION("""COMPUTED_VALUE"""),"Nadian (BT)")</f>
        <v>Nadian (BT)</v>
      </c>
      <c r="F461" s="14" t="str">
        <f>IFERROR(__xludf.DUMMYFUNCTION("""COMPUTED_VALUE"""),"SELESAI (VIA PERMOHONAN)")</f>
        <v>SELESAI (VIA PERMOHONAN)</v>
      </c>
      <c r="G461" s="17">
        <f>IFERROR(__xludf.DUMMYFUNCTION("""COMPUTED_VALUE"""),45639.64755523148)</f>
        <v>45639.64756</v>
      </c>
      <c r="H461" s="14" t="str">
        <f>IFERROR(__xludf.DUMMYFUNCTION("""COMPUTED_VALUE"""),"Aprill (SU)")</f>
        <v>Aprill (SU)</v>
      </c>
      <c r="I461" s="13" t="str">
        <f>IFERROR(__xludf.DUMMYFUNCTION("""COMPUTED_VALUE"""),"SELESAI (VIA PERMOHONAN)")</f>
        <v>SELESAI (VIA PERMOHONAN)</v>
      </c>
      <c r="J461" s="17">
        <f>IFERROR(__xludf.DUMMYFUNCTION("""COMPUTED_VALUE"""),45642.58749576389)</f>
        <v>45642.5875</v>
      </c>
      <c r="K461" s="13" t="str">
        <f>IFERROR(__xludf.DUMMYFUNCTION("""COMPUTED_VALUE"""),"Selesai")</f>
        <v>Selesai</v>
      </c>
      <c r="L461" s="17">
        <f>IFERROR(__xludf.DUMMYFUNCTION("""COMPUTED_VALUE"""),45642.58749576389)</f>
        <v>45642.5875</v>
      </c>
      <c r="M461" s="17">
        <f>IFERROR(__xludf.DUMMYFUNCTION("""COMPUTED_VALUE"""),45642.66735015046)</f>
        <v>45642.66735</v>
      </c>
      <c r="N461" s="13" t="str">
        <f>IFERROR(__xludf.DUMMYFUNCTION("""COMPUTED_VALUE"""),"")</f>
        <v/>
      </c>
      <c r="O461" s="13" t="str">
        <f t="shared" si="1"/>
        <v/>
      </c>
    </row>
    <row r="462" ht="22.5" customHeight="1">
      <c r="B462" s="13">
        <f>IFERROR(__xludf.DUMMYFUNCTION("""COMPUTED_VALUE"""),457.0)</f>
        <v>457</v>
      </c>
      <c r="C462" s="13" t="str">
        <f>IFERROR(__xludf.DUMMYFUNCTION("""COMPUTED_VALUE"""),"M.566/KORPRI RAYA-SEKARANG;M.11116/SUKARAME I-DAHULU")</f>
        <v>M.566/KORPRI RAYA-SEKARANG;M.11116/SUKARAME I-DAHULU</v>
      </c>
      <c r="D462" s="13" t="str">
        <f>IFERROR(__xludf.DUMMYFUNCTION("""COMPUTED_VALUE"""),"K/41/091224/1")</f>
        <v>K/41/091224/1</v>
      </c>
      <c r="E462" s="14" t="str">
        <f>IFERROR(__xludf.DUMMYFUNCTION("""COMPUTED_VALUE"""),"Nadian (BT)")</f>
        <v>Nadian (BT)</v>
      </c>
      <c r="F462" s="14" t="str">
        <f>IFERROR(__xludf.DUMMYFUNCTION("""COMPUTED_VALUE"""),"SELESAI")</f>
        <v>SELESAI</v>
      </c>
      <c r="G462" s="17">
        <f>IFERROR(__xludf.DUMMYFUNCTION("""COMPUTED_VALUE"""),45639.64758122685)</f>
        <v>45639.64758</v>
      </c>
      <c r="H462" s="14" t="str">
        <f>IFERROR(__xludf.DUMMYFUNCTION("""COMPUTED_VALUE"""),"Bu Eva (SU)")</f>
        <v>Bu Eva (SU)</v>
      </c>
      <c r="I462" s="13" t="str">
        <f>IFERROR(__xludf.DUMMYFUNCTION("""COMPUTED_VALUE"""),"SELESAI")</f>
        <v>SELESAI</v>
      </c>
      <c r="J462" s="17">
        <f>IFERROR(__xludf.DUMMYFUNCTION("""COMPUTED_VALUE"""),45642.587255555554)</f>
        <v>45642.58726</v>
      </c>
      <c r="K462" s="13" t="str">
        <f>IFERROR(__xludf.DUMMYFUNCTION("""COMPUTED_VALUE"""),"SELESAI")</f>
        <v>SELESAI</v>
      </c>
      <c r="L462" s="17">
        <f>IFERROR(__xludf.DUMMYFUNCTION("""COMPUTED_VALUE"""),45642.587255555554)</f>
        <v>45642.58726</v>
      </c>
      <c r="M462" s="17" t="str">
        <f>IFERROR(__xludf.DUMMYFUNCTION("""COMPUTED_VALUE"""),"")</f>
        <v/>
      </c>
      <c r="N462" s="13" t="str">
        <f>IFERROR(__xludf.DUMMYFUNCTION("""COMPUTED_VALUE"""),"")</f>
        <v/>
      </c>
      <c r="O462" s="13" t="str">
        <f t="shared" si="1"/>
        <v/>
      </c>
    </row>
    <row r="463" ht="22.5" customHeight="1">
      <c r="B463" s="13">
        <f>IFERROR(__xludf.DUMMYFUNCTION("""COMPUTED_VALUE"""),458.0)</f>
        <v>458</v>
      </c>
      <c r="C463" s="13" t="str">
        <f>IFERROR(__xludf.DUMMYFUNCTION("""COMPUTED_VALUE"""),"M. 2339/ Kedaung")</f>
        <v>M. 2339/ Kedaung</v>
      </c>
      <c r="D463" s="13" t="str">
        <f>IFERROR(__xludf.DUMMYFUNCTION("""COMPUTED_VALUE"""),"K/37/101224/2")</f>
        <v>K/37/101224/2</v>
      </c>
      <c r="E463" s="14" t="str">
        <f>IFERROR(__xludf.DUMMYFUNCTION("""COMPUTED_VALUE"""),"Nadian (BT)")</f>
        <v>Nadian (BT)</v>
      </c>
      <c r="F463" s="14" t="str">
        <f>IFERROR(__xludf.DUMMYFUNCTION("""COMPUTED_VALUE"""),"SELESAI")</f>
        <v>SELESAI</v>
      </c>
      <c r="G463" s="17">
        <f>IFERROR(__xludf.DUMMYFUNCTION("""COMPUTED_VALUE"""),45639.64759994213)</f>
        <v>45639.6476</v>
      </c>
      <c r="H463" s="14" t="str">
        <f>IFERROR(__xludf.DUMMYFUNCTION("""COMPUTED_VALUE"""),"Bu Eva (SU)")</f>
        <v>Bu Eva (SU)</v>
      </c>
      <c r="I463" s="13" t="str">
        <f>IFERROR(__xludf.DUMMYFUNCTION("""COMPUTED_VALUE"""),"SELESAI")</f>
        <v>SELESAI</v>
      </c>
      <c r="J463" s="17">
        <f>IFERROR(__xludf.DUMMYFUNCTION("""COMPUTED_VALUE"""),45642.587255555554)</f>
        <v>45642.58726</v>
      </c>
      <c r="K463" s="13" t="str">
        <f>IFERROR(__xludf.DUMMYFUNCTION("""COMPUTED_VALUE"""),"SELESAI")</f>
        <v>SELESAI</v>
      </c>
      <c r="L463" s="17">
        <f>IFERROR(__xludf.DUMMYFUNCTION("""COMPUTED_VALUE"""),45642.587255555554)</f>
        <v>45642.58726</v>
      </c>
      <c r="M463" s="17" t="str">
        <f>IFERROR(__xludf.DUMMYFUNCTION("""COMPUTED_VALUE"""),"")</f>
        <v/>
      </c>
      <c r="N463" s="17">
        <f>IFERROR(__xludf.DUMMYFUNCTION("""COMPUTED_VALUE"""),45650.39645165509)</f>
        <v>45650.39645</v>
      </c>
      <c r="O463" s="13">
        <f t="shared" si="1"/>
        <v>1</v>
      </c>
    </row>
    <row r="464" ht="22.5" customHeight="1">
      <c r="B464" s="13">
        <f>IFERROR(__xludf.DUMMYFUNCTION("""COMPUTED_VALUE"""),459.0)</f>
        <v>459</v>
      </c>
      <c r="C464" s="13" t="str">
        <f>IFERROR(__xludf.DUMMYFUNCTION("""COMPUTED_VALUE"""),"HM 3876/TANJUNG SENANG")</f>
        <v>HM 3876/TANJUNG SENANG</v>
      </c>
      <c r="D464" s="13" t="str">
        <f>IFERROR(__xludf.DUMMYFUNCTION("""COMPUTED_VALUE"""),"L/38/101224/1")</f>
        <v>L/38/101224/1</v>
      </c>
      <c r="E464" s="14" t="str">
        <f>IFERROR(__xludf.DUMMYFUNCTION("""COMPUTED_VALUE"""),"Nadian (BT)")</f>
        <v>Nadian (BT)</v>
      </c>
      <c r="F464" s="14" t="str">
        <f>IFERROR(__xludf.DUMMYFUNCTION("""COMPUTED_VALUE"""),"SELESAI")</f>
        <v>SELESAI</v>
      </c>
      <c r="G464" s="17">
        <f>IFERROR(__xludf.DUMMYFUNCTION("""COMPUTED_VALUE"""),45639.64759994213)</f>
        <v>45639.6476</v>
      </c>
      <c r="H464" s="14" t="str">
        <f>IFERROR(__xludf.DUMMYFUNCTION("""COMPUTED_VALUE"""),"Bu Eva (SU)")</f>
        <v>Bu Eva (SU)</v>
      </c>
      <c r="I464" s="13" t="str">
        <f>IFERROR(__xludf.DUMMYFUNCTION("""COMPUTED_VALUE"""),"SELESAI")</f>
        <v>SELESAI</v>
      </c>
      <c r="J464" s="17">
        <f>IFERROR(__xludf.DUMMYFUNCTION("""COMPUTED_VALUE"""),45642.58725556713)</f>
        <v>45642.58726</v>
      </c>
      <c r="K464" s="13" t="str">
        <f>IFERROR(__xludf.DUMMYFUNCTION("""COMPUTED_VALUE"""),"SELESAI")</f>
        <v>SELESAI</v>
      </c>
      <c r="L464" s="17">
        <f>IFERROR(__xludf.DUMMYFUNCTION("""COMPUTED_VALUE"""),45642.58725556713)</f>
        <v>45642.58726</v>
      </c>
      <c r="M464" s="17" t="str">
        <f>IFERROR(__xludf.DUMMYFUNCTION("""COMPUTED_VALUE"""),"")</f>
        <v/>
      </c>
      <c r="N464" s="17">
        <f>IFERROR(__xludf.DUMMYFUNCTION("""COMPUTED_VALUE"""),45650.392968263885)</f>
        <v>45650.39297</v>
      </c>
      <c r="O464" s="13">
        <f t="shared" si="1"/>
        <v>2</v>
      </c>
    </row>
    <row r="465" ht="22.5" customHeight="1">
      <c r="B465" s="13">
        <f>IFERROR(__xludf.DUMMYFUNCTION("""COMPUTED_VALUE"""),460.0)</f>
        <v>460</v>
      </c>
      <c r="C465" s="13" t="str">
        <f>IFERROR(__xludf.DUMMYFUNCTION("""COMPUTED_VALUE"""),"HM 3877/TANJUNG SENANG")</f>
        <v>HM 3877/TANJUNG SENANG</v>
      </c>
      <c r="D465" s="13" t="str">
        <f>IFERROR(__xludf.DUMMYFUNCTION("""COMPUTED_VALUE"""),"L/39/101224/2")</f>
        <v>L/39/101224/2</v>
      </c>
      <c r="E465" s="14" t="str">
        <f>IFERROR(__xludf.DUMMYFUNCTION("""COMPUTED_VALUE"""),"Nadian (BT)")</f>
        <v>Nadian (BT)</v>
      </c>
      <c r="F465" s="14" t="str">
        <f>IFERROR(__xludf.DUMMYFUNCTION("""COMPUTED_VALUE"""),"SELESAI")</f>
        <v>SELESAI</v>
      </c>
      <c r="G465" s="17">
        <f>IFERROR(__xludf.DUMMYFUNCTION("""COMPUTED_VALUE"""),45639.64759994213)</f>
        <v>45639.6476</v>
      </c>
      <c r="H465" s="14" t="str">
        <f>IFERROR(__xludf.DUMMYFUNCTION("""COMPUTED_VALUE"""),"Bu Eva (SU)")</f>
        <v>Bu Eva (SU)</v>
      </c>
      <c r="I465" s="13" t="str">
        <f>IFERROR(__xludf.DUMMYFUNCTION("""COMPUTED_VALUE"""),"SELESAI")</f>
        <v>SELESAI</v>
      </c>
      <c r="J465" s="17">
        <f>IFERROR(__xludf.DUMMYFUNCTION("""COMPUTED_VALUE"""),45642.587320879626)</f>
        <v>45642.58732</v>
      </c>
      <c r="K465" s="13" t="str">
        <f>IFERROR(__xludf.DUMMYFUNCTION("""COMPUTED_VALUE"""),"SELESAI")</f>
        <v>SELESAI</v>
      </c>
      <c r="L465" s="17">
        <f>IFERROR(__xludf.DUMMYFUNCTION("""COMPUTED_VALUE"""),45642.587320879626)</f>
        <v>45642.58732</v>
      </c>
      <c r="M465" s="17" t="str">
        <f>IFERROR(__xludf.DUMMYFUNCTION("""COMPUTED_VALUE"""),"")</f>
        <v/>
      </c>
      <c r="N465" s="17">
        <f>IFERROR(__xludf.DUMMYFUNCTION("""COMPUTED_VALUE"""),45650.392983854166)</f>
        <v>45650.39298</v>
      </c>
      <c r="O465" s="13">
        <f t="shared" si="1"/>
        <v>3</v>
      </c>
    </row>
    <row r="466" ht="22.5" customHeight="1">
      <c r="B466" s="13">
        <f>IFERROR(__xludf.DUMMYFUNCTION("""COMPUTED_VALUE"""),461.0)</f>
        <v>461</v>
      </c>
      <c r="C466" s="13" t="str">
        <f>IFERROR(__xludf.DUMMYFUNCTION("""COMPUTED_VALUE"""),"HM 11937/SEGALA MIDER")</f>
        <v>HM 11937/SEGALA MIDER</v>
      </c>
      <c r="D466" s="13" t="str">
        <f>IFERROR(__xludf.DUMMYFUNCTION("""COMPUTED_VALUE"""),"L/31/211124/1")</f>
        <v>L/31/211124/1</v>
      </c>
      <c r="E466" s="14" t="str">
        <f>IFERROR(__xludf.DUMMYFUNCTION("""COMPUTED_VALUE"""),"Afriza (BT)")</f>
        <v>Afriza (BT)</v>
      </c>
      <c r="F466" s="14" t="str">
        <f>IFERROR(__xludf.DUMMYFUNCTION("""COMPUTED_VALUE"""),"SELESAI (VIA PERMOHONAN)")</f>
        <v>SELESAI (VIA PERMOHONAN)</v>
      </c>
      <c r="G466" s="17">
        <f>IFERROR(__xludf.DUMMYFUNCTION("""COMPUTED_VALUE"""),45642.37256696759)</f>
        <v>45642.37257</v>
      </c>
      <c r="H466" s="14" t="str">
        <f>IFERROR(__xludf.DUMMYFUNCTION("""COMPUTED_VALUE"""),"Aprill (SU)")</f>
        <v>Aprill (SU)</v>
      </c>
      <c r="I466" s="13" t="str">
        <f>IFERROR(__xludf.DUMMYFUNCTION("""COMPUTED_VALUE"""),"SELESAI (VIA PERMOHONAN)")</f>
        <v>SELESAI (VIA PERMOHONAN)</v>
      </c>
      <c r="J466" s="17">
        <f>IFERROR(__xludf.DUMMYFUNCTION("""COMPUTED_VALUE"""),45642.58685969908)</f>
        <v>45642.58686</v>
      </c>
      <c r="K466" s="13" t="str">
        <f>IFERROR(__xludf.DUMMYFUNCTION("""COMPUTED_VALUE"""),"Selesai")</f>
        <v>Selesai</v>
      </c>
      <c r="L466" s="17">
        <f>IFERROR(__xludf.DUMMYFUNCTION("""COMPUTED_VALUE"""),45642.58685969908)</f>
        <v>45642.58686</v>
      </c>
      <c r="M466" s="17">
        <f>IFERROR(__xludf.DUMMYFUNCTION("""COMPUTED_VALUE"""),45642.66732282407)</f>
        <v>45642.66732</v>
      </c>
      <c r="N466" s="13" t="str">
        <f>IFERROR(__xludf.DUMMYFUNCTION("""COMPUTED_VALUE"""),"")</f>
        <v/>
      </c>
      <c r="O466" s="13" t="str">
        <f t="shared" si="1"/>
        <v/>
      </c>
    </row>
    <row r="467" ht="22.5" customHeight="1">
      <c r="B467" s="13">
        <f>IFERROR(__xludf.DUMMYFUNCTION("""COMPUTED_VALUE"""),462.0)</f>
        <v>462</v>
      </c>
      <c r="C467" s="13" t="str">
        <f>IFERROR(__xludf.DUMMYFUNCTION("""COMPUTED_VALUE"""),"M. 4614/ Sukadana Ham")</f>
        <v>M. 4614/ Sukadana Ham</v>
      </c>
      <c r="D467" s="13" t="str">
        <f>IFERROR(__xludf.DUMMYFUNCTION("""COMPUTED_VALUE"""),"K/27/121224/1")</f>
        <v>K/27/121224/1</v>
      </c>
      <c r="E467" s="14" t="str">
        <f>IFERROR(__xludf.DUMMYFUNCTION("""COMPUTED_VALUE"""),"Afriza (BT)")</f>
        <v>Afriza (BT)</v>
      </c>
      <c r="F467" s="14" t="str">
        <f>IFERROR(__xludf.DUMMYFUNCTION("""COMPUTED_VALUE"""),"SELESAI (VIA PERMOHONAN)")</f>
        <v>SELESAI (VIA PERMOHONAN)</v>
      </c>
      <c r="G467" s="17">
        <f>IFERROR(__xludf.DUMMYFUNCTION("""COMPUTED_VALUE"""),45642.41830238426)</f>
        <v>45642.4183</v>
      </c>
      <c r="H467" s="14" t="str">
        <f>IFERROR(__xludf.DUMMYFUNCTION("""COMPUTED_VALUE"""),"Aprill (SU)")</f>
        <v>Aprill (SU)</v>
      </c>
      <c r="I467" s="13" t="str">
        <f>IFERROR(__xludf.DUMMYFUNCTION("""COMPUTED_VALUE"""),"SELESAI (VIA PERMOHONAN)")</f>
        <v>SELESAI (VIA PERMOHONAN)</v>
      </c>
      <c r="J467" s="17">
        <f>IFERROR(__xludf.DUMMYFUNCTION("""COMPUTED_VALUE"""),45642.5869279051)</f>
        <v>45642.58693</v>
      </c>
      <c r="K467" s="13" t="str">
        <f>IFERROR(__xludf.DUMMYFUNCTION("""COMPUTED_VALUE"""),"Selesai")</f>
        <v>Selesai</v>
      </c>
      <c r="L467" s="17">
        <f>IFERROR(__xludf.DUMMYFUNCTION("""COMPUTED_VALUE"""),45642.5869279051)</f>
        <v>45642.58693</v>
      </c>
      <c r="M467" s="17">
        <f>IFERROR(__xludf.DUMMYFUNCTION("""COMPUTED_VALUE"""),45642.667314074075)</f>
        <v>45642.66731</v>
      </c>
      <c r="N467" s="17">
        <f>IFERROR(__xludf.DUMMYFUNCTION("""COMPUTED_VALUE"""),45650.40467319444)</f>
        <v>45650.40467</v>
      </c>
      <c r="O467" s="13">
        <f t="shared" si="1"/>
        <v>1</v>
      </c>
    </row>
    <row r="468" ht="22.5" customHeight="1">
      <c r="B468" s="13">
        <f>IFERROR(__xludf.DUMMYFUNCTION("""COMPUTED_VALUE"""),463.0)</f>
        <v>463</v>
      </c>
      <c r="C468" s="13" t="str">
        <f>IFERROR(__xludf.DUMMYFUNCTION("""COMPUTED_VALUE"""),"M.4664/SUKADANAHAM")</f>
        <v>M.4664/SUKADANAHAM</v>
      </c>
      <c r="D468" s="13" t="str">
        <f>IFERROR(__xludf.DUMMYFUNCTION("""COMPUTED_VALUE"""),"K/12/101224/2")</f>
        <v>K/12/101224/2</v>
      </c>
      <c r="E468" s="14" t="str">
        <f>IFERROR(__xludf.DUMMYFUNCTION("""COMPUTED_VALUE"""),"Afriza (BT)")</f>
        <v>Afriza (BT)</v>
      </c>
      <c r="F468" s="14" t="str">
        <f>IFERROR(__xludf.DUMMYFUNCTION("""COMPUTED_VALUE"""),"SELESAI")</f>
        <v>SELESAI</v>
      </c>
      <c r="G468" s="17">
        <f>IFERROR(__xludf.DUMMYFUNCTION("""COMPUTED_VALUE"""),45642.42517549769)</f>
        <v>45642.42518</v>
      </c>
      <c r="H468" s="14" t="str">
        <f>IFERROR(__xludf.DUMMYFUNCTION("""COMPUTED_VALUE"""),"Bu Eva (SU)")</f>
        <v>Bu Eva (SU)</v>
      </c>
      <c r="I468" s="13" t="str">
        <f>IFERROR(__xludf.DUMMYFUNCTION("""COMPUTED_VALUE"""),"SELESAI")</f>
        <v>SELESAI</v>
      </c>
      <c r="J468" s="17">
        <f>IFERROR(__xludf.DUMMYFUNCTION("""COMPUTED_VALUE"""),45642.58663672453)</f>
        <v>45642.58664</v>
      </c>
      <c r="K468" s="13" t="str">
        <f>IFERROR(__xludf.DUMMYFUNCTION("""COMPUTED_VALUE"""),"SELESAI")</f>
        <v>SELESAI</v>
      </c>
      <c r="L468" s="17">
        <f>IFERROR(__xludf.DUMMYFUNCTION("""COMPUTED_VALUE"""),45642.58663672453)</f>
        <v>45642.58664</v>
      </c>
      <c r="M468" s="17" t="str">
        <f>IFERROR(__xludf.DUMMYFUNCTION("""COMPUTED_VALUE"""),"")</f>
        <v/>
      </c>
      <c r="N468" s="17">
        <f>IFERROR(__xludf.DUMMYFUNCTION("""COMPUTED_VALUE"""),45650.401045439816)</f>
        <v>45650.40105</v>
      </c>
      <c r="O468" s="13">
        <f t="shared" si="1"/>
        <v>2</v>
      </c>
    </row>
    <row r="469" ht="22.5" customHeight="1">
      <c r="B469" s="13">
        <f>IFERROR(__xludf.DUMMYFUNCTION("""COMPUTED_VALUE"""),464.0)</f>
        <v>464</v>
      </c>
      <c r="C469" s="13" t="str">
        <f>IFERROR(__xludf.DUMMYFUNCTION("""COMPUTED_VALUE"""),"M. 1651/ Sumberejo Sejahtera")</f>
        <v>M. 1651/ Sumberejo Sejahtera</v>
      </c>
      <c r="D469" s="13" t="str">
        <f>IFERROR(__xludf.DUMMYFUNCTION("""COMPUTED_VALUE"""),"K/19/101224/1")</f>
        <v>K/19/101224/1</v>
      </c>
      <c r="E469" s="14" t="str">
        <f>IFERROR(__xludf.DUMMYFUNCTION("""COMPUTED_VALUE"""),"Afriza (BT)")</f>
        <v>Afriza (BT)</v>
      </c>
      <c r="F469" s="14" t="str">
        <f>IFERROR(__xludf.DUMMYFUNCTION("""COMPUTED_VALUE"""),"SELESAI")</f>
        <v>SELESAI</v>
      </c>
      <c r="G469" s="17">
        <f>IFERROR(__xludf.DUMMYFUNCTION("""COMPUTED_VALUE"""),45642.462028379625)</f>
        <v>45642.46203</v>
      </c>
      <c r="H469" s="14" t="str">
        <f>IFERROR(__xludf.DUMMYFUNCTION("""COMPUTED_VALUE"""),"Bu Eva (SU)")</f>
        <v>Bu Eva (SU)</v>
      </c>
      <c r="I469" s="13" t="str">
        <f>IFERROR(__xludf.DUMMYFUNCTION("""COMPUTED_VALUE"""),"SELESAI")</f>
        <v>SELESAI</v>
      </c>
      <c r="J469" s="17">
        <f>IFERROR(__xludf.DUMMYFUNCTION("""COMPUTED_VALUE"""),45642.58670475695)</f>
        <v>45642.5867</v>
      </c>
      <c r="K469" s="13" t="str">
        <f>IFERROR(__xludf.DUMMYFUNCTION("""COMPUTED_VALUE"""),"SELESAI")</f>
        <v>SELESAI</v>
      </c>
      <c r="L469" s="17">
        <f>IFERROR(__xludf.DUMMYFUNCTION("""COMPUTED_VALUE"""),45642.58670475695)</f>
        <v>45642.5867</v>
      </c>
      <c r="M469" s="17" t="str">
        <f>IFERROR(__xludf.DUMMYFUNCTION("""COMPUTED_VALUE"""),"")</f>
        <v/>
      </c>
      <c r="N469" s="13" t="str">
        <f>IFERROR(__xludf.DUMMYFUNCTION("""COMPUTED_VALUE"""),"")</f>
        <v/>
      </c>
      <c r="O469" s="13" t="str">
        <f t="shared" si="1"/>
        <v/>
      </c>
    </row>
    <row r="470" ht="22.5" customHeight="1">
      <c r="B470" s="13">
        <f>IFERROR(__xludf.DUMMYFUNCTION("""COMPUTED_VALUE"""),465.0)</f>
        <v>465</v>
      </c>
      <c r="C470" s="13" t="str">
        <f>IFERROR(__xludf.DUMMYFUNCTION("""COMPUTED_VALUE"""),"M.997/GEDONG AIR")</f>
        <v>M.997/GEDONG AIR</v>
      </c>
      <c r="D470" s="13" t="str">
        <f>IFERROR(__xludf.DUMMYFUNCTION("""COMPUTED_VALUE"""),"K/13/101224/3")</f>
        <v>K/13/101224/3</v>
      </c>
      <c r="E470" s="14" t="str">
        <f>IFERROR(__xludf.DUMMYFUNCTION("""COMPUTED_VALUE"""),"Afriza (BT)")</f>
        <v>Afriza (BT)</v>
      </c>
      <c r="F470" s="14" t="str">
        <f>IFERROR(__xludf.DUMMYFUNCTION("""COMPUTED_VALUE"""),"SELESAI")</f>
        <v>SELESAI</v>
      </c>
      <c r="G470" s="17">
        <f>IFERROR(__xludf.DUMMYFUNCTION("""COMPUTED_VALUE"""),45642.471418472225)</f>
        <v>45642.47142</v>
      </c>
      <c r="H470" s="14" t="str">
        <f>IFERROR(__xludf.DUMMYFUNCTION("""COMPUTED_VALUE"""),"Bu Eva (SU)")</f>
        <v>Bu Eva (SU)</v>
      </c>
      <c r="I470" s="13" t="str">
        <f>IFERROR(__xludf.DUMMYFUNCTION("""COMPUTED_VALUE"""),"SELESAI")</f>
        <v>SELESAI</v>
      </c>
      <c r="J470" s="17">
        <f>IFERROR(__xludf.DUMMYFUNCTION("""COMPUTED_VALUE"""),45642.58670475695)</f>
        <v>45642.5867</v>
      </c>
      <c r="K470" s="13" t="str">
        <f>IFERROR(__xludf.DUMMYFUNCTION("""COMPUTED_VALUE"""),"SELESAI")</f>
        <v>SELESAI</v>
      </c>
      <c r="L470" s="17">
        <f>IFERROR(__xludf.DUMMYFUNCTION("""COMPUTED_VALUE"""),45642.58670475695)</f>
        <v>45642.5867</v>
      </c>
      <c r="M470" s="17" t="str">
        <f>IFERROR(__xludf.DUMMYFUNCTION("""COMPUTED_VALUE"""),"")</f>
        <v/>
      </c>
      <c r="N470" s="17">
        <f>IFERROR(__xludf.DUMMYFUNCTION("""COMPUTED_VALUE"""),45650.400629571755)</f>
        <v>45650.40063</v>
      </c>
      <c r="O470" s="13">
        <f t="shared" si="1"/>
        <v>1</v>
      </c>
    </row>
    <row r="471" ht="22.5" customHeight="1">
      <c r="B471" s="13">
        <f>IFERROR(__xludf.DUMMYFUNCTION("""COMPUTED_VALUE"""),466.0)</f>
        <v>466</v>
      </c>
      <c r="C471" s="13" t="str">
        <f>IFERROR(__xludf.DUMMYFUNCTION("""COMPUTED_VALUE"""),"M. 158/ Beringin Jaya")</f>
        <v>M. 158/ Beringin Jaya</v>
      </c>
      <c r="D471" s="13" t="str">
        <f>IFERROR(__xludf.DUMMYFUNCTION("""COMPUTED_VALUE"""),"K/8/101224/1")</f>
        <v>K/8/101224/1</v>
      </c>
      <c r="E471" s="14" t="str">
        <f>IFERROR(__xludf.DUMMYFUNCTION("""COMPUTED_VALUE"""),"Afriza (BT)")</f>
        <v>Afriza (BT)</v>
      </c>
      <c r="F471" s="14" t="str">
        <f>IFERROR(__xludf.DUMMYFUNCTION("""COMPUTED_VALUE"""),"SELESAI")</f>
        <v>SELESAI</v>
      </c>
      <c r="G471" s="17">
        <f>IFERROR(__xludf.DUMMYFUNCTION("""COMPUTED_VALUE"""),45642.472355185186)</f>
        <v>45642.47236</v>
      </c>
      <c r="H471" s="14" t="str">
        <f>IFERROR(__xludf.DUMMYFUNCTION("""COMPUTED_VALUE"""),"Bu Eva (SU)")</f>
        <v>Bu Eva (SU)</v>
      </c>
      <c r="I471" s="13" t="str">
        <f>IFERROR(__xludf.DUMMYFUNCTION("""COMPUTED_VALUE"""),"SELESAI")</f>
        <v>SELESAI</v>
      </c>
      <c r="J471" s="17">
        <f>IFERROR(__xludf.DUMMYFUNCTION("""COMPUTED_VALUE"""),45642.586738819446)</f>
        <v>45642.58674</v>
      </c>
      <c r="K471" s="13" t="str">
        <f>IFERROR(__xludf.DUMMYFUNCTION("""COMPUTED_VALUE"""),"SELESAI")</f>
        <v>SELESAI</v>
      </c>
      <c r="L471" s="17">
        <f>IFERROR(__xludf.DUMMYFUNCTION("""COMPUTED_VALUE"""),45642.586738819446)</f>
        <v>45642.58674</v>
      </c>
      <c r="M471" s="17" t="str">
        <f>IFERROR(__xludf.DUMMYFUNCTION("""COMPUTED_VALUE"""),"")</f>
        <v/>
      </c>
      <c r="N471" s="17">
        <f>IFERROR(__xludf.DUMMYFUNCTION("""COMPUTED_VALUE"""),45650.400237071764)</f>
        <v>45650.40024</v>
      </c>
      <c r="O471" s="13">
        <f t="shared" si="1"/>
        <v>2</v>
      </c>
    </row>
    <row r="472" ht="22.5" customHeight="1">
      <c r="B472" s="13">
        <f>IFERROR(__xludf.DUMMYFUNCTION("""COMPUTED_VALUE"""),467.0)</f>
        <v>467</v>
      </c>
      <c r="C472" s="13" t="str">
        <f>IFERROR(__xludf.DUMMYFUNCTION("""COMPUTED_VALUE"""),"M. 1375/ Sukabumi Indah")</f>
        <v>M. 1375/ Sukabumi Indah</v>
      </c>
      <c r="D472" s="13" t="str">
        <f>IFERROR(__xludf.DUMMYFUNCTION("""COMPUTED_VALUE"""),"L/1/151224/1")</f>
        <v>L/1/151224/1</v>
      </c>
      <c r="E472" s="14" t="str">
        <f>IFERROR(__xludf.DUMMYFUNCTION("""COMPUTED_VALUE"""),"Afriza (BT)")</f>
        <v>Afriza (BT)</v>
      </c>
      <c r="F472" s="14" t="str">
        <f>IFERROR(__xludf.DUMMYFUNCTION("""COMPUTED_VALUE"""),"SELESAI (VIA PERMOHONAN)")</f>
        <v>SELESAI (VIA PERMOHONAN)</v>
      </c>
      <c r="G472" s="17">
        <f>IFERROR(__xludf.DUMMYFUNCTION("""COMPUTED_VALUE"""),45642.486274490744)</f>
        <v>45642.48627</v>
      </c>
      <c r="H472" s="14" t="str">
        <f>IFERROR(__xludf.DUMMYFUNCTION("""COMPUTED_VALUE"""),"Aprill (SU)")</f>
        <v>Aprill (SU)</v>
      </c>
      <c r="I472" s="13" t="str">
        <f>IFERROR(__xludf.DUMMYFUNCTION("""COMPUTED_VALUE"""),"SELESAI (VIA PERMOHONAN)")</f>
        <v>SELESAI (VIA PERMOHONAN)</v>
      </c>
      <c r="J472" s="17">
        <f>IFERROR(__xludf.DUMMYFUNCTION("""COMPUTED_VALUE"""),45642.58648372685)</f>
        <v>45642.58648</v>
      </c>
      <c r="K472" s="13" t="str">
        <f>IFERROR(__xludf.DUMMYFUNCTION("""COMPUTED_VALUE"""),"Selesai")</f>
        <v>Selesai</v>
      </c>
      <c r="L472" s="17">
        <f>IFERROR(__xludf.DUMMYFUNCTION("""COMPUTED_VALUE"""),45642.58648372685)</f>
        <v>45642.58648</v>
      </c>
      <c r="M472" s="17">
        <f>IFERROR(__xludf.DUMMYFUNCTION("""COMPUTED_VALUE"""),45642.66727527778)</f>
        <v>45642.66728</v>
      </c>
      <c r="N472" s="13" t="str">
        <f>IFERROR(__xludf.DUMMYFUNCTION("""COMPUTED_VALUE"""),"")</f>
        <v/>
      </c>
      <c r="O472" s="13" t="str">
        <f t="shared" si="1"/>
        <v/>
      </c>
    </row>
    <row r="473" ht="22.5" customHeight="1">
      <c r="B473" s="13">
        <f>IFERROR(__xludf.DUMMYFUNCTION("""COMPUTED_VALUE"""),468.0)</f>
        <v>468</v>
      </c>
      <c r="C473" s="13" t="str">
        <f>IFERROR(__xludf.DUMMYFUNCTION("""COMPUTED_VALUE"""),"M. 9545/ Jagabaya II")</f>
        <v>M. 9545/ Jagabaya II</v>
      </c>
      <c r="D473" s="13" t="str">
        <f>IFERROR(__xludf.DUMMYFUNCTION("""COMPUTED_VALUE"""),"K/1/101224/1")</f>
        <v>K/1/101224/1</v>
      </c>
      <c r="E473" s="14" t="str">
        <f>IFERROR(__xludf.DUMMYFUNCTION("""COMPUTED_VALUE"""),"Afriza (BT)")</f>
        <v>Afriza (BT)</v>
      </c>
      <c r="F473" s="14" t="str">
        <f>IFERROR(__xludf.DUMMYFUNCTION("""COMPUTED_VALUE"""),"SELESAI")</f>
        <v>SELESAI</v>
      </c>
      <c r="G473" s="17">
        <f>IFERROR(__xludf.DUMMYFUNCTION("""COMPUTED_VALUE"""),45642.56804309028)</f>
        <v>45642.56804</v>
      </c>
      <c r="H473" s="14" t="str">
        <f>IFERROR(__xludf.DUMMYFUNCTION("""COMPUTED_VALUE"""),"Bu Eva (SU)")</f>
        <v>Bu Eva (SU)</v>
      </c>
      <c r="I473" s="13" t="str">
        <f>IFERROR(__xludf.DUMMYFUNCTION("""COMPUTED_VALUE"""),"SELESAI")</f>
        <v>SELESAI</v>
      </c>
      <c r="J473" s="17">
        <f>IFERROR(__xludf.DUMMYFUNCTION("""COMPUTED_VALUE"""),45642.586381064815)</f>
        <v>45642.58638</v>
      </c>
      <c r="K473" s="13" t="str">
        <f>IFERROR(__xludf.DUMMYFUNCTION("""COMPUTED_VALUE"""),"SELESAI")</f>
        <v>SELESAI</v>
      </c>
      <c r="L473" s="17">
        <f>IFERROR(__xludf.DUMMYFUNCTION("""COMPUTED_VALUE"""),45642.586381064815)</f>
        <v>45642.58638</v>
      </c>
      <c r="M473" s="17" t="str">
        <f>IFERROR(__xludf.DUMMYFUNCTION("""COMPUTED_VALUE"""),"")</f>
        <v/>
      </c>
      <c r="N473" s="17">
        <f>IFERROR(__xludf.DUMMYFUNCTION("""COMPUTED_VALUE"""),45650.397083703705)</f>
        <v>45650.39708</v>
      </c>
      <c r="O473" s="13">
        <f t="shared" si="1"/>
        <v>1</v>
      </c>
    </row>
    <row r="474" ht="22.5" customHeight="1">
      <c r="B474" s="13">
        <f>IFERROR(__xludf.DUMMYFUNCTION("""COMPUTED_VALUE"""),469.0)</f>
        <v>469</v>
      </c>
      <c r="C474" s="13" t="str">
        <f>IFERROR(__xludf.DUMMYFUNCTION("""COMPUTED_VALUE"""),"M. 2373/ Kedaung")</f>
        <v>M. 2373/ Kedaung</v>
      </c>
      <c r="D474" s="13" t="str">
        <f>IFERROR(__xludf.DUMMYFUNCTION("""COMPUTED_VALUE"""),"K/30/111224/1")</f>
        <v>K/30/111224/1</v>
      </c>
      <c r="E474" s="14" t="str">
        <f>IFERROR(__xludf.DUMMYFUNCTION("""COMPUTED_VALUE"""),"Nadian (BT)")</f>
        <v>Nadian (BT)</v>
      </c>
      <c r="F474" s="14" t="str">
        <f>IFERROR(__xludf.DUMMYFUNCTION("""COMPUTED_VALUE"""),"SELESAI (VIA PERMOHONAN)")</f>
        <v>SELESAI (VIA PERMOHONAN)</v>
      </c>
      <c r="G474" s="17">
        <f>IFERROR(__xludf.DUMMYFUNCTION("""COMPUTED_VALUE"""),45642.68114969907)</f>
        <v>45642.68115</v>
      </c>
      <c r="H474" s="14" t="str">
        <f>IFERROR(__xludf.DUMMYFUNCTION("""COMPUTED_VALUE"""),"Aprill (SU)")</f>
        <v>Aprill (SU)</v>
      </c>
      <c r="I474" s="13" t="str">
        <f>IFERROR(__xludf.DUMMYFUNCTION("""COMPUTED_VALUE"""),"SELESAI (VIA PERMOHONAN)")</f>
        <v>SELESAI (VIA PERMOHONAN)</v>
      </c>
      <c r="J474" s="17">
        <f>IFERROR(__xludf.DUMMYFUNCTION("""COMPUTED_VALUE"""),45642.712749375)</f>
        <v>45642.71275</v>
      </c>
      <c r="K474" s="13" t="str">
        <f>IFERROR(__xludf.DUMMYFUNCTION("""COMPUTED_VALUE"""),"Selesai")</f>
        <v>Selesai</v>
      </c>
      <c r="L474" s="17">
        <f>IFERROR(__xludf.DUMMYFUNCTION("""COMPUTED_VALUE"""),45642.712749375)</f>
        <v>45642.71275</v>
      </c>
      <c r="M474" s="17">
        <f>IFERROR(__xludf.DUMMYFUNCTION("""COMPUTED_VALUE"""),45642.71288568287)</f>
        <v>45642.71289</v>
      </c>
      <c r="N474" s="13" t="str">
        <f>IFERROR(__xludf.DUMMYFUNCTION("""COMPUTED_VALUE"""),"")</f>
        <v/>
      </c>
      <c r="O474" s="13" t="str">
        <f t="shared" si="1"/>
        <v/>
      </c>
    </row>
    <row r="475" ht="22.5" customHeight="1">
      <c r="B475" s="13">
        <f>IFERROR(__xludf.DUMMYFUNCTION("""COMPUTED_VALUE"""),470.0)</f>
        <v>470</v>
      </c>
      <c r="C475" s="13" t="str">
        <f>IFERROR(__xludf.DUMMYFUNCTION("""COMPUTED_VALUE"""),"B. 342/ Rajabasa Pemuka")</f>
        <v>B. 342/ Rajabasa Pemuka</v>
      </c>
      <c r="D475" s="13" t="str">
        <f>IFERROR(__xludf.DUMMYFUNCTION("""COMPUTED_VALUE"""),"K/29/051224/1")</f>
        <v>K/29/051224/1</v>
      </c>
      <c r="E475" s="14" t="str">
        <f>IFERROR(__xludf.DUMMYFUNCTION("""COMPUTED_VALUE"""),"Nadian (BT)")</f>
        <v>Nadian (BT)</v>
      </c>
      <c r="F475" s="14" t="str">
        <f>IFERROR(__xludf.DUMMYFUNCTION("""COMPUTED_VALUE"""),"SELESAI (VIA PERMOHONAN)")</f>
        <v>SELESAI (VIA PERMOHONAN)</v>
      </c>
      <c r="G475" s="17">
        <f>IFERROR(__xludf.DUMMYFUNCTION("""COMPUTED_VALUE"""),45642.68121983796)</f>
        <v>45642.68122</v>
      </c>
      <c r="H475" s="14" t="str">
        <f>IFERROR(__xludf.DUMMYFUNCTION("""COMPUTED_VALUE"""),"Aprill (SU)")</f>
        <v>Aprill (SU)</v>
      </c>
      <c r="I475" s="13" t="str">
        <f>IFERROR(__xludf.DUMMYFUNCTION("""COMPUTED_VALUE"""),"SELESAI (VIA PERMOHONAN)")</f>
        <v>SELESAI (VIA PERMOHONAN)</v>
      </c>
      <c r="J475" s="17">
        <f>IFERROR(__xludf.DUMMYFUNCTION("""COMPUTED_VALUE"""),45642.712749375)</f>
        <v>45642.71275</v>
      </c>
      <c r="K475" s="13" t="str">
        <f>IFERROR(__xludf.DUMMYFUNCTION("""COMPUTED_VALUE"""),"Selesai")</f>
        <v>Selesai</v>
      </c>
      <c r="L475" s="17">
        <f>IFERROR(__xludf.DUMMYFUNCTION("""COMPUTED_VALUE"""),45642.712749375)</f>
        <v>45642.71275</v>
      </c>
      <c r="M475" s="17">
        <f>IFERROR(__xludf.DUMMYFUNCTION("""COMPUTED_VALUE"""),45642.71289737269)</f>
        <v>45642.7129</v>
      </c>
      <c r="N475" s="13" t="str">
        <f>IFERROR(__xludf.DUMMYFUNCTION("""COMPUTED_VALUE"""),"")</f>
        <v/>
      </c>
      <c r="O475" s="13" t="str">
        <f t="shared" si="1"/>
        <v/>
      </c>
    </row>
    <row r="476" ht="22.5" customHeight="1">
      <c r="B476" s="13">
        <f>IFERROR(__xludf.DUMMYFUNCTION("""COMPUTED_VALUE"""),471.0)</f>
        <v>471</v>
      </c>
      <c r="C476" s="13" t="str">
        <f>IFERROR(__xludf.DUMMYFUNCTION("""COMPUTED_VALUE"""),"B. 365/ Kali Balau Kencana")</f>
        <v>B. 365/ Kali Balau Kencana</v>
      </c>
      <c r="D476" s="13" t="str">
        <f>IFERROR(__xludf.DUMMYFUNCTION("""COMPUTED_VALUE"""),"K/21/121224/1")</f>
        <v>K/21/121224/1</v>
      </c>
      <c r="E476" s="14" t="str">
        <f>IFERROR(__xludf.DUMMYFUNCTION("""COMPUTED_VALUE"""),"Nadian (BT)")</f>
        <v>Nadian (BT)</v>
      </c>
      <c r="F476" s="14" t="str">
        <f>IFERROR(__xludf.DUMMYFUNCTION("""COMPUTED_VALUE"""),"SELESAI (VIA PERMOHONAN)")</f>
        <v>SELESAI (VIA PERMOHONAN)</v>
      </c>
      <c r="G476" s="17">
        <f>IFERROR(__xludf.DUMMYFUNCTION("""COMPUTED_VALUE"""),45642.68121983796)</f>
        <v>45642.68122</v>
      </c>
      <c r="H476" s="14" t="str">
        <f>IFERROR(__xludf.DUMMYFUNCTION("""COMPUTED_VALUE"""),"Aprill (SU)")</f>
        <v>Aprill (SU)</v>
      </c>
      <c r="I476" s="13" t="str">
        <f>IFERROR(__xludf.DUMMYFUNCTION("""COMPUTED_VALUE"""),"SELESAI (VIA PERMOHONAN)")</f>
        <v>SELESAI (VIA PERMOHONAN)</v>
      </c>
      <c r="J476" s="17">
        <f>IFERROR(__xludf.DUMMYFUNCTION("""COMPUTED_VALUE"""),45642.71276840278)</f>
        <v>45642.71277</v>
      </c>
      <c r="K476" s="13" t="str">
        <f>IFERROR(__xludf.DUMMYFUNCTION("""COMPUTED_VALUE"""),"Selesai")</f>
        <v>Selesai</v>
      </c>
      <c r="L476" s="17">
        <f>IFERROR(__xludf.DUMMYFUNCTION("""COMPUTED_VALUE"""),45642.71276840278)</f>
        <v>45642.71277</v>
      </c>
      <c r="M476" s="17">
        <f>IFERROR(__xludf.DUMMYFUNCTION("""COMPUTED_VALUE"""),45642.71290922454)</f>
        <v>45642.71291</v>
      </c>
      <c r="N476" s="13" t="str">
        <f>IFERROR(__xludf.DUMMYFUNCTION("""COMPUTED_VALUE"""),"")</f>
        <v/>
      </c>
      <c r="O476" s="13" t="str">
        <f t="shared" si="1"/>
        <v/>
      </c>
    </row>
    <row r="477" ht="22.5" customHeight="1">
      <c r="B477" s="13">
        <f>IFERROR(__xludf.DUMMYFUNCTION("""COMPUTED_VALUE"""),472.0)</f>
        <v>472</v>
      </c>
      <c r="C477" s="13" t="str">
        <f>IFERROR(__xludf.DUMMYFUNCTION("""COMPUTED_VALUE"""),"M. 59/ K B K")</f>
        <v>M. 59/ K B K</v>
      </c>
      <c r="D477" s="13" t="str">
        <f>IFERROR(__xludf.DUMMYFUNCTION("""COMPUTED_VALUE"""),"K/9/101224/1")</f>
        <v>K/9/101224/1</v>
      </c>
      <c r="E477" s="14" t="str">
        <f>IFERROR(__xludf.DUMMYFUNCTION("""COMPUTED_VALUE"""),"Nadian (BT)")</f>
        <v>Nadian (BT)</v>
      </c>
      <c r="F477" s="14" t="str">
        <f>IFERROR(__xludf.DUMMYFUNCTION("""COMPUTED_VALUE"""),"SELESAI (VIA PERMOHONAN)")</f>
        <v>SELESAI (VIA PERMOHONAN)</v>
      </c>
      <c r="G477" s="17">
        <f>IFERROR(__xludf.DUMMYFUNCTION("""COMPUTED_VALUE"""),45642.68121983796)</f>
        <v>45642.68122</v>
      </c>
      <c r="H477" s="14" t="str">
        <f>IFERROR(__xludf.DUMMYFUNCTION("""COMPUTED_VALUE"""),"Aprill (SU)")</f>
        <v>Aprill (SU)</v>
      </c>
      <c r="I477" s="13" t="str">
        <f>IFERROR(__xludf.DUMMYFUNCTION("""COMPUTED_VALUE"""),"SELESAI (VIA PERMOHONAN)")</f>
        <v>SELESAI (VIA PERMOHONAN)</v>
      </c>
      <c r="J477" s="17">
        <f>IFERROR(__xludf.DUMMYFUNCTION("""COMPUTED_VALUE"""),45642.71276840278)</f>
        <v>45642.71277</v>
      </c>
      <c r="K477" s="13" t="str">
        <f>IFERROR(__xludf.DUMMYFUNCTION("""COMPUTED_VALUE"""),"Selesai")</f>
        <v>Selesai</v>
      </c>
      <c r="L477" s="17">
        <f>IFERROR(__xludf.DUMMYFUNCTION("""COMPUTED_VALUE"""),45642.71276840278)</f>
        <v>45642.71277</v>
      </c>
      <c r="M477" s="17">
        <f>IFERROR(__xludf.DUMMYFUNCTION("""COMPUTED_VALUE"""),45642.71291564815)</f>
        <v>45642.71292</v>
      </c>
      <c r="N477" s="13" t="str">
        <f>IFERROR(__xludf.DUMMYFUNCTION("""COMPUTED_VALUE"""),"")</f>
        <v/>
      </c>
      <c r="O477" s="13" t="str">
        <f t="shared" si="1"/>
        <v/>
      </c>
    </row>
    <row r="478" ht="22.5" customHeight="1">
      <c r="B478" s="13">
        <f>IFERROR(__xludf.DUMMYFUNCTION("""COMPUTED_VALUE"""),473.0)</f>
        <v>473</v>
      </c>
      <c r="C478" s="13" t="str">
        <f>IFERROR(__xludf.DUMMYFUNCTION("""COMPUTED_VALUE"""),"HM 11871/RAJABASA")</f>
        <v>HM 11871/RAJABASA</v>
      </c>
      <c r="D478" s="13" t="str">
        <f>IFERROR(__xludf.DUMMYFUNCTION("""COMPUTED_VALUE"""),"L/26/061224/1")</f>
        <v>L/26/061224/1</v>
      </c>
      <c r="E478" s="14" t="str">
        <f>IFERROR(__xludf.DUMMYFUNCTION("""COMPUTED_VALUE"""),"Nadian (BT)")</f>
        <v>Nadian (BT)</v>
      </c>
      <c r="F478" s="14" t="str">
        <f>IFERROR(__xludf.DUMMYFUNCTION("""COMPUTED_VALUE"""),"SELESAI")</f>
        <v>SELESAI</v>
      </c>
      <c r="G478" s="17">
        <f>IFERROR(__xludf.DUMMYFUNCTION("""COMPUTED_VALUE"""),45642.681242384264)</f>
        <v>45642.68124</v>
      </c>
      <c r="H478" s="14" t="str">
        <f>IFERROR(__xludf.DUMMYFUNCTION("""COMPUTED_VALUE"""),"Bu Eva (SU)")</f>
        <v>Bu Eva (SU)</v>
      </c>
      <c r="I478" s="13" t="str">
        <f>IFERROR(__xludf.DUMMYFUNCTION("""COMPUTED_VALUE"""),"SELESAI")</f>
        <v>SELESAI</v>
      </c>
      <c r="J478" s="17">
        <f>IFERROR(__xludf.DUMMYFUNCTION("""COMPUTED_VALUE"""),45650.47757614583)</f>
        <v>45650.47758</v>
      </c>
      <c r="K478" s="13" t="str">
        <f>IFERROR(__xludf.DUMMYFUNCTION("""COMPUTED_VALUE"""),"SELESAI")</f>
        <v>SELESAI</v>
      </c>
      <c r="L478" s="17">
        <f>IFERROR(__xludf.DUMMYFUNCTION("""COMPUTED_VALUE"""),45650.47757614583)</f>
        <v>45650.47758</v>
      </c>
      <c r="M478" s="17" t="str">
        <f>IFERROR(__xludf.DUMMYFUNCTION("""COMPUTED_VALUE"""),"")</f>
        <v/>
      </c>
      <c r="N478" s="17">
        <f>IFERROR(__xludf.DUMMYFUNCTION("""COMPUTED_VALUE"""),45650.39777127314)</f>
        <v>45650.39777</v>
      </c>
      <c r="O478" s="13">
        <f t="shared" si="1"/>
        <v>1</v>
      </c>
    </row>
    <row r="479" ht="22.5" customHeight="1">
      <c r="B479" s="13">
        <f>IFERROR(__xludf.DUMMYFUNCTION("""COMPUTED_VALUE"""),474.0)</f>
        <v>474</v>
      </c>
      <c r="C479" s="13" t="str">
        <f>IFERROR(__xludf.DUMMYFUNCTION("""COMPUTED_VALUE"""),"M.2160/ Gunung Terang")</f>
        <v>M.2160/ Gunung Terang</v>
      </c>
      <c r="D479" s="13" t="str">
        <f>IFERROR(__xludf.DUMMYFUNCTION("""COMPUTED_VALUE"""),"K/30/101224/1")</f>
        <v>K/30/101224/1</v>
      </c>
      <c r="E479" s="14" t="str">
        <f>IFERROR(__xludf.DUMMYFUNCTION("""COMPUTED_VALUE"""),"Nadian (BT)")</f>
        <v>Nadian (BT)</v>
      </c>
      <c r="F479" s="14" t="str">
        <f>IFERROR(__xludf.DUMMYFUNCTION("""COMPUTED_VALUE"""),"SELESAI")</f>
        <v>SELESAI</v>
      </c>
      <c r="G479" s="17">
        <f>IFERROR(__xludf.DUMMYFUNCTION("""COMPUTED_VALUE"""),45642.68129905092)</f>
        <v>45642.6813</v>
      </c>
      <c r="H479" s="14" t="str">
        <f>IFERROR(__xludf.DUMMYFUNCTION("""COMPUTED_VALUE"""),"Bu Eva (SU)")</f>
        <v>Bu Eva (SU)</v>
      </c>
      <c r="I479" s="13" t="str">
        <f>IFERROR(__xludf.DUMMYFUNCTION("""COMPUTED_VALUE"""),"SELESAI")</f>
        <v>SELESAI</v>
      </c>
      <c r="J479" s="17">
        <f>IFERROR(__xludf.DUMMYFUNCTION("""COMPUTED_VALUE"""),45650.47757614583)</f>
        <v>45650.47758</v>
      </c>
      <c r="K479" s="13" t="str">
        <f>IFERROR(__xludf.DUMMYFUNCTION("""COMPUTED_VALUE"""),"SELESAI")</f>
        <v>SELESAI</v>
      </c>
      <c r="L479" s="17">
        <f>IFERROR(__xludf.DUMMYFUNCTION("""COMPUTED_VALUE"""),45650.47757614583)</f>
        <v>45650.47758</v>
      </c>
      <c r="M479" s="17" t="str">
        <f>IFERROR(__xludf.DUMMYFUNCTION("""COMPUTED_VALUE"""),"")</f>
        <v/>
      </c>
      <c r="N479" s="17">
        <f>IFERROR(__xludf.DUMMYFUNCTION("""COMPUTED_VALUE"""),45650.39777693287)</f>
        <v>45650.39778</v>
      </c>
      <c r="O479" s="13">
        <f t="shared" si="1"/>
        <v>2</v>
      </c>
    </row>
    <row r="480" ht="22.5" customHeight="1">
      <c r="B480" s="13">
        <f>IFERROR(__xludf.DUMMYFUNCTION("""COMPUTED_VALUE"""),475.0)</f>
        <v>475</v>
      </c>
      <c r="C480" s="13" t="str">
        <f>IFERROR(__xludf.DUMMYFUNCTION("""COMPUTED_VALUE"""),"M. 561/ Korpri Raya")</f>
        <v>M. 561/ Korpri Raya</v>
      </c>
      <c r="D480" s="13" t="str">
        <f>IFERROR(__xludf.DUMMYFUNCTION("""COMPUTED_VALUE"""),"K/44/061224/1")</f>
        <v>K/44/061224/1</v>
      </c>
      <c r="E480" s="14" t="str">
        <f>IFERROR(__xludf.DUMMYFUNCTION("""COMPUTED_VALUE"""),"Nadian (BT)")</f>
        <v>Nadian (BT)</v>
      </c>
      <c r="F480" s="14" t="str">
        <f>IFERROR(__xludf.DUMMYFUNCTION("""COMPUTED_VALUE"""),"SELESAI")</f>
        <v>SELESAI</v>
      </c>
      <c r="G480" s="17">
        <f>IFERROR(__xludf.DUMMYFUNCTION("""COMPUTED_VALUE"""),45642.68129905092)</f>
        <v>45642.6813</v>
      </c>
      <c r="H480" s="14" t="str">
        <f>IFERROR(__xludf.DUMMYFUNCTION("""COMPUTED_VALUE"""),"Bu Eva (SU)")</f>
        <v>Bu Eva (SU)</v>
      </c>
      <c r="I480" s="13" t="str">
        <f>IFERROR(__xludf.DUMMYFUNCTION("""COMPUTED_VALUE"""),"SELESAI")</f>
        <v>SELESAI</v>
      </c>
      <c r="J480" s="17">
        <f>IFERROR(__xludf.DUMMYFUNCTION("""COMPUTED_VALUE"""),45650.47757614583)</f>
        <v>45650.47758</v>
      </c>
      <c r="K480" s="13" t="str">
        <f>IFERROR(__xludf.DUMMYFUNCTION("""COMPUTED_VALUE"""),"SELESAI")</f>
        <v>SELESAI</v>
      </c>
      <c r="L480" s="17">
        <f>IFERROR(__xludf.DUMMYFUNCTION("""COMPUTED_VALUE"""),45650.47757614583)</f>
        <v>45650.47758</v>
      </c>
      <c r="M480" s="17" t="str">
        <f>IFERROR(__xludf.DUMMYFUNCTION("""COMPUTED_VALUE"""),"")</f>
        <v/>
      </c>
      <c r="N480" s="17">
        <f>IFERROR(__xludf.DUMMYFUNCTION("""COMPUTED_VALUE"""),45650.40156575231)</f>
        <v>45650.40157</v>
      </c>
      <c r="O480" s="13">
        <f t="shared" si="1"/>
        <v>3</v>
      </c>
    </row>
    <row r="481" ht="22.5" customHeight="1">
      <c r="B481" s="13">
        <f>IFERROR(__xludf.DUMMYFUNCTION("""COMPUTED_VALUE"""),476.0)</f>
        <v>476</v>
      </c>
      <c r="C481" s="13" t="str">
        <f>IFERROR(__xludf.DUMMYFUNCTION("""COMPUTED_VALUE"""),"B.667/SUMBER AGUNG")</f>
        <v>B.667/SUMBER AGUNG</v>
      </c>
      <c r="D481" s="13" t="str">
        <f>IFERROR(__xludf.DUMMYFUNCTION("""COMPUTED_VALUE"""),"K/30/121224/3")</f>
        <v>K/30/121224/3</v>
      </c>
      <c r="E481" s="14" t="str">
        <f>IFERROR(__xludf.DUMMYFUNCTION("""COMPUTED_VALUE"""),"Afriza (BT)")</f>
        <v>Afriza (BT)</v>
      </c>
      <c r="F481" s="14" t="str">
        <f>IFERROR(__xludf.DUMMYFUNCTION("""COMPUTED_VALUE"""),"SELESAI")</f>
        <v>SELESAI</v>
      </c>
      <c r="G481" s="17">
        <f>IFERROR(__xludf.DUMMYFUNCTION("""COMPUTED_VALUE"""),45643.59682697916)</f>
        <v>45643.59683</v>
      </c>
      <c r="H481" s="14" t="str">
        <f>IFERROR(__xludf.DUMMYFUNCTION("""COMPUTED_VALUE"""),"Bu Eva (SU)")</f>
        <v>Bu Eva (SU)</v>
      </c>
      <c r="I481" s="13" t="str">
        <f>IFERROR(__xludf.DUMMYFUNCTION("""COMPUTED_VALUE"""),"SELESAI")</f>
        <v>SELESAI</v>
      </c>
      <c r="J481" s="17">
        <f>IFERROR(__xludf.DUMMYFUNCTION("""COMPUTED_VALUE"""),45650.47757614583)</f>
        <v>45650.47758</v>
      </c>
      <c r="K481" s="13" t="str">
        <f>IFERROR(__xludf.DUMMYFUNCTION("""COMPUTED_VALUE"""),"SELESAI")</f>
        <v>SELESAI</v>
      </c>
      <c r="L481" s="17">
        <f>IFERROR(__xludf.DUMMYFUNCTION("""COMPUTED_VALUE"""),45650.47757614583)</f>
        <v>45650.47758</v>
      </c>
      <c r="M481" s="17" t="str">
        <f>IFERROR(__xludf.DUMMYFUNCTION("""COMPUTED_VALUE"""),"")</f>
        <v/>
      </c>
      <c r="N481" s="17">
        <f>IFERROR(__xludf.DUMMYFUNCTION("""COMPUTED_VALUE"""),45650.404064629634)</f>
        <v>45650.40406</v>
      </c>
      <c r="O481" s="13">
        <f t="shared" si="1"/>
        <v>4</v>
      </c>
    </row>
    <row r="482" ht="22.5" customHeight="1">
      <c r="B482" s="13">
        <f>IFERROR(__xludf.DUMMYFUNCTION("""COMPUTED_VALUE"""),477.0)</f>
        <v>477</v>
      </c>
      <c r="C482" s="13" t="str">
        <f>IFERROR(__xludf.DUMMYFUNCTION("""COMPUTED_VALUE"""),"B.635/KEMILING PERMAI")</f>
        <v>B.635/KEMILING PERMAI</v>
      </c>
      <c r="D482" s="13" t="str">
        <f>IFERROR(__xludf.DUMMYFUNCTION("""COMPUTED_VALUE"""),"K/31/121224/4")</f>
        <v>K/31/121224/4</v>
      </c>
      <c r="E482" s="14" t="str">
        <f>IFERROR(__xludf.DUMMYFUNCTION("""COMPUTED_VALUE"""),"Afriza (BT)")</f>
        <v>Afriza (BT)</v>
      </c>
      <c r="F482" s="14" t="str">
        <f>IFERROR(__xludf.DUMMYFUNCTION("""COMPUTED_VALUE"""),"SELESAI")</f>
        <v>SELESAI</v>
      </c>
      <c r="G482" s="17">
        <f>IFERROR(__xludf.DUMMYFUNCTION("""COMPUTED_VALUE"""),45643.59682697916)</f>
        <v>45643.59683</v>
      </c>
      <c r="H482" s="14" t="str">
        <f>IFERROR(__xludf.DUMMYFUNCTION("""COMPUTED_VALUE"""),"Bu Eva (SU)")</f>
        <v>Bu Eva (SU)</v>
      </c>
      <c r="I482" s="13" t="str">
        <f>IFERROR(__xludf.DUMMYFUNCTION("""COMPUTED_VALUE"""),"SELESAI")</f>
        <v>SELESAI</v>
      </c>
      <c r="J482" s="17">
        <f>IFERROR(__xludf.DUMMYFUNCTION("""COMPUTED_VALUE"""),45650.47757614583)</f>
        <v>45650.47758</v>
      </c>
      <c r="K482" s="13" t="str">
        <f>IFERROR(__xludf.DUMMYFUNCTION("""COMPUTED_VALUE"""),"SELESAI")</f>
        <v>SELESAI</v>
      </c>
      <c r="L482" s="17">
        <f>IFERROR(__xludf.DUMMYFUNCTION("""COMPUTED_VALUE"""),45650.47757614583)</f>
        <v>45650.47758</v>
      </c>
      <c r="M482" s="17" t="str">
        <f>IFERROR(__xludf.DUMMYFUNCTION("""COMPUTED_VALUE"""),"")</f>
        <v/>
      </c>
      <c r="N482" s="17">
        <f>IFERROR(__xludf.DUMMYFUNCTION("""COMPUTED_VALUE"""),45650.47757614583)</f>
        <v>45650.47758</v>
      </c>
      <c r="O482" s="13">
        <f t="shared" si="1"/>
        <v>5</v>
      </c>
    </row>
    <row r="483" ht="22.5" customHeight="1">
      <c r="B483" s="13">
        <f>IFERROR(__xludf.DUMMYFUNCTION("""COMPUTED_VALUE"""),478.0)</f>
        <v>478</v>
      </c>
      <c r="C483" s="13" t="str">
        <f>IFERROR(__xludf.DUMMYFUNCTION("""COMPUTED_VALUE"""),"M. 4673/ Sukadana Ham")</f>
        <v>M. 4673/ Sukadana Ham</v>
      </c>
      <c r="D483" s="13" t="str">
        <f>IFERROR(__xludf.DUMMYFUNCTION("""COMPUTED_VALUE"""),"K/10/131224/2")</f>
        <v>K/10/131224/2</v>
      </c>
      <c r="E483" s="14" t="str">
        <f>IFERROR(__xludf.DUMMYFUNCTION("""COMPUTED_VALUE"""),"Afriza (BT)")</f>
        <v>Afriza (BT)</v>
      </c>
      <c r="F483" s="14" t="str">
        <f>IFERROR(__xludf.DUMMYFUNCTION("""COMPUTED_VALUE"""),"SELESAI")</f>
        <v>SELESAI</v>
      </c>
      <c r="G483" s="17">
        <f>IFERROR(__xludf.DUMMYFUNCTION("""COMPUTED_VALUE"""),45643.59682697916)</f>
        <v>45643.59683</v>
      </c>
      <c r="H483" s="14" t="str">
        <f>IFERROR(__xludf.DUMMYFUNCTION("""COMPUTED_VALUE"""),"Bu Eva (SU)")</f>
        <v>Bu Eva (SU)</v>
      </c>
      <c r="I483" s="13" t="str">
        <f>IFERROR(__xludf.DUMMYFUNCTION("""COMPUTED_VALUE"""),"SELESAI")</f>
        <v>SELESAI</v>
      </c>
      <c r="J483" s="17">
        <f>IFERROR(__xludf.DUMMYFUNCTION("""COMPUTED_VALUE"""),45650.47757614583)</f>
        <v>45650.47758</v>
      </c>
      <c r="K483" s="13" t="str">
        <f>IFERROR(__xludf.DUMMYFUNCTION("""COMPUTED_VALUE"""),"SELESAI")</f>
        <v>SELESAI</v>
      </c>
      <c r="L483" s="17">
        <f>IFERROR(__xludf.DUMMYFUNCTION("""COMPUTED_VALUE"""),45650.47757614583)</f>
        <v>45650.47758</v>
      </c>
      <c r="M483" s="17" t="str">
        <f>IFERROR(__xludf.DUMMYFUNCTION("""COMPUTED_VALUE"""),"")</f>
        <v/>
      </c>
      <c r="N483" s="17">
        <f>IFERROR(__xludf.DUMMYFUNCTION("""COMPUTED_VALUE"""),45650.40481987268)</f>
        <v>45650.40482</v>
      </c>
      <c r="O483" s="13">
        <f t="shared" si="1"/>
        <v>6</v>
      </c>
    </row>
    <row r="484" ht="22.5" customHeight="1">
      <c r="B484" s="13">
        <f>IFERROR(__xludf.DUMMYFUNCTION("""COMPUTED_VALUE"""),479.0)</f>
        <v>479</v>
      </c>
      <c r="C484" s="13" t="str">
        <f>IFERROR(__xludf.DUMMYFUNCTION("""COMPUTED_VALUE"""),"B.794/SUMUR PUTRI")</f>
        <v>B.794/SUMUR PUTRI</v>
      </c>
      <c r="D484" s="13" t="str">
        <f>IFERROR(__xludf.DUMMYFUNCTION("""COMPUTED_VALUE"""),"K/14/131224/2")</f>
        <v>K/14/131224/2</v>
      </c>
      <c r="E484" s="14" t="str">
        <f>IFERROR(__xludf.DUMMYFUNCTION("""COMPUTED_VALUE"""),"Afriza (BT)")</f>
        <v>Afriza (BT)</v>
      </c>
      <c r="F484" s="14" t="str">
        <f>IFERROR(__xludf.DUMMYFUNCTION("""COMPUTED_VALUE"""),"SELESAI")</f>
        <v>SELESAI</v>
      </c>
      <c r="G484" s="17">
        <f>IFERROR(__xludf.DUMMYFUNCTION("""COMPUTED_VALUE"""),45643.59682697916)</f>
        <v>45643.59683</v>
      </c>
      <c r="H484" s="14" t="str">
        <f>IFERROR(__xludf.DUMMYFUNCTION("""COMPUTED_VALUE"""),"Bu Eva (SU)")</f>
        <v>Bu Eva (SU)</v>
      </c>
      <c r="I484" s="13" t="str">
        <f>IFERROR(__xludf.DUMMYFUNCTION("""COMPUTED_VALUE"""),"SELESAI")</f>
        <v>SELESAI</v>
      </c>
      <c r="J484" s="17">
        <f>IFERROR(__xludf.DUMMYFUNCTION("""COMPUTED_VALUE"""),45650.47757614583)</f>
        <v>45650.47758</v>
      </c>
      <c r="K484" s="13" t="str">
        <f>IFERROR(__xludf.DUMMYFUNCTION("""COMPUTED_VALUE"""),"SELESAI")</f>
        <v>SELESAI</v>
      </c>
      <c r="L484" s="17">
        <f>IFERROR(__xludf.DUMMYFUNCTION("""COMPUTED_VALUE"""),45650.47757614583)</f>
        <v>45650.47758</v>
      </c>
      <c r="M484" s="17" t="str">
        <f>IFERROR(__xludf.DUMMYFUNCTION("""COMPUTED_VALUE"""),"")</f>
        <v/>
      </c>
      <c r="N484" s="17">
        <f>IFERROR(__xludf.DUMMYFUNCTION("""COMPUTED_VALUE"""),45650.40496158565)</f>
        <v>45650.40496</v>
      </c>
      <c r="O484" s="13">
        <f t="shared" si="1"/>
        <v>7</v>
      </c>
    </row>
    <row r="485" ht="22.5" customHeight="1">
      <c r="B485" s="13">
        <f>IFERROR(__xludf.DUMMYFUNCTION("""COMPUTED_VALUE"""),480.0)</f>
        <v>480</v>
      </c>
      <c r="C485" s="13" t="str">
        <f>IFERROR(__xludf.DUMMYFUNCTION("""COMPUTED_VALUE"""),"B.1128/KEMILING PERMAI")</f>
        <v>B.1128/KEMILING PERMAI</v>
      </c>
      <c r="D485" s="13" t="str">
        <f>IFERROR(__xludf.DUMMYFUNCTION("""COMPUTED_VALUE"""),"K/17/131224/2")</f>
        <v>K/17/131224/2</v>
      </c>
      <c r="E485" s="14" t="str">
        <f>IFERROR(__xludf.DUMMYFUNCTION("""COMPUTED_VALUE"""),"Afriza (BT)")</f>
        <v>Afriza (BT)</v>
      </c>
      <c r="F485" s="14" t="str">
        <f>IFERROR(__xludf.DUMMYFUNCTION("""COMPUTED_VALUE"""),"SELESAI")</f>
        <v>SELESAI</v>
      </c>
      <c r="G485" s="17">
        <f>IFERROR(__xludf.DUMMYFUNCTION("""COMPUTED_VALUE"""),45643.59682697916)</f>
        <v>45643.59683</v>
      </c>
      <c r="H485" s="14" t="str">
        <f>IFERROR(__xludf.DUMMYFUNCTION("""COMPUTED_VALUE"""),"Bu Eva (SU)")</f>
        <v>Bu Eva (SU)</v>
      </c>
      <c r="I485" s="13" t="str">
        <f>IFERROR(__xludf.DUMMYFUNCTION("""COMPUTED_VALUE"""),"SELESAI")</f>
        <v>SELESAI</v>
      </c>
      <c r="J485" s="17">
        <f>IFERROR(__xludf.DUMMYFUNCTION("""COMPUTED_VALUE"""),45650.47757614583)</f>
        <v>45650.47758</v>
      </c>
      <c r="K485" s="13" t="str">
        <f>IFERROR(__xludf.DUMMYFUNCTION("""COMPUTED_VALUE"""),"SELESAI")</f>
        <v>SELESAI</v>
      </c>
      <c r="L485" s="17">
        <f>IFERROR(__xludf.DUMMYFUNCTION("""COMPUTED_VALUE"""),45650.47757614583)</f>
        <v>45650.47758</v>
      </c>
      <c r="M485" s="17" t="str">
        <f>IFERROR(__xludf.DUMMYFUNCTION("""COMPUTED_VALUE"""),"")</f>
        <v/>
      </c>
      <c r="N485" s="17">
        <f>IFERROR(__xludf.DUMMYFUNCTION("""COMPUTED_VALUE"""),45650.405140567134)</f>
        <v>45650.40514</v>
      </c>
      <c r="O485" s="13">
        <f t="shared" si="1"/>
        <v>8</v>
      </c>
    </row>
    <row r="486" ht="22.5" customHeight="1">
      <c r="B486" s="13">
        <f>IFERROR(__xludf.DUMMYFUNCTION("""COMPUTED_VALUE"""),481.0)</f>
        <v>481</v>
      </c>
      <c r="C486" s="13" t="str">
        <f>IFERROR(__xludf.DUMMYFUNCTION("""COMPUTED_VALUE"""),"M. 2569/ Pinang Jaya")</f>
        <v>M. 2569/ Pinang Jaya</v>
      </c>
      <c r="D486" s="13" t="str">
        <f>IFERROR(__xludf.DUMMYFUNCTION("""COMPUTED_VALUE"""),"K/28/131224/3")</f>
        <v>K/28/131224/3</v>
      </c>
      <c r="E486" s="14" t="str">
        <f>IFERROR(__xludf.DUMMYFUNCTION("""COMPUTED_VALUE"""),"Afriza (BT)")</f>
        <v>Afriza (BT)</v>
      </c>
      <c r="F486" s="14" t="str">
        <f>IFERROR(__xludf.DUMMYFUNCTION("""COMPUTED_VALUE"""),"SELESAI")</f>
        <v>SELESAI</v>
      </c>
      <c r="G486" s="17">
        <f>IFERROR(__xludf.DUMMYFUNCTION("""COMPUTED_VALUE"""),45643.59682697916)</f>
        <v>45643.59683</v>
      </c>
      <c r="H486" s="14" t="str">
        <f>IFERROR(__xludf.DUMMYFUNCTION("""COMPUTED_VALUE"""),"Bu Eva (SU)")</f>
        <v>Bu Eva (SU)</v>
      </c>
      <c r="I486" s="13" t="str">
        <f>IFERROR(__xludf.DUMMYFUNCTION("""COMPUTED_VALUE"""),"SELESAI")</f>
        <v>SELESAI</v>
      </c>
      <c r="J486" s="17">
        <f>IFERROR(__xludf.DUMMYFUNCTION("""COMPUTED_VALUE"""),45650.47757614583)</f>
        <v>45650.47758</v>
      </c>
      <c r="K486" s="13" t="str">
        <f>IFERROR(__xludf.DUMMYFUNCTION("""COMPUTED_VALUE"""),"SELESAI")</f>
        <v>SELESAI</v>
      </c>
      <c r="L486" s="17">
        <f>IFERROR(__xludf.DUMMYFUNCTION("""COMPUTED_VALUE"""),45650.47757614583)</f>
        <v>45650.47758</v>
      </c>
      <c r="M486" s="17" t="str">
        <f>IFERROR(__xludf.DUMMYFUNCTION("""COMPUTED_VALUE"""),"")</f>
        <v/>
      </c>
      <c r="N486" s="17">
        <f>IFERROR(__xludf.DUMMYFUNCTION("""COMPUTED_VALUE"""),45650.40527004629)</f>
        <v>45650.40527</v>
      </c>
      <c r="O486" s="13">
        <f t="shared" si="1"/>
        <v>9</v>
      </c>
    </row>
    <row r="487" ht="22.5" customHeight="1">
      <c r="B487" s="13">
        <f>IFERROR(__xludf.DUMMYFUNCTION("""COMPUTED_VALUE"""),482.0)</f>
        <v>482</v>
      </c>
      <c r="C487" s="13" t="str">
        <f>IFERROR(__xludf.DUMMYFUNCTION("""COMPUTED_VALUE"""),"M.5947/TANJUNG SENANG")</f>
        <v>M.5947/TANJUNG SENANG</v>
      </c>
      <c r="D487" s="13" t="str">
        <f>IFERROR(__xludf.DUMMYFUNCTION("""COMPUTED_VALUE"""),"K/35/131224/2")</f>
        <v>K/35/131224/2</v>
      </c>
      <c r="E487" s="14" t="str">
        <f>IFERROR(__xludf.DUMMYFUNCTION("""COMPUTED_VALUE"""),"Afriza (BT)")</f>
        <v>Afriza (BT)</v>
      </c>
      <c r="F487" s="14" t="str">
        <f>IFERROR(__xludf.DUMMYFUNCTION("""COMPUTED_VALUE"""),"SELESAI")</f>
        <v>SELESAI</v>
      </c>
      <c r="G487" s="17">
        <f>IFERROR(__xludf.DUMMYFUNCTION("""COMPUTED_VALUE"""),45643.59682697916)</f>
        <v>45643.59683</v>
      </c>
      <c r="H487" s="14" t="str">
        <f>IFERROR(__xludf.DUMMYFUNCTION("""COMPUTED_VALUE"""),"Bu Eva (SU)")</f>
        <v>Bu Eva (SU)</v>
      </c>
      <c r="I487" s="13" t="str">
        <f>IFERROR(__xludf.DUMMYFUNCTION("""COMPUTED_VALUE"""),"SELESAI")</f>
        <v>SELESAI</v>
      </c>
      <c r="J487" s="17">
        <f>IFERROR(__xludf.DUMMYFUNCTION("""COMPUTED_VALUE"""),45650.47757615741)</f>
        <v>45650.47758</v>
      </c>
      <c r="K487" s="13" t="str">
        <f>IFERROR(__xludf.DUMMYFUNCTION("""COMPUTED_VALUE"""),"SELESAI")</f>
        <v>SELESAI</v>
      </c>
      <c r="L487" s="17">
        <f>IFERROR(__xludf.DUMMYFUNCTION("""COMPUTED_VALUE"""),45650.47757615741)</f>
        <v>45650.47758</v>
      </c>
      <c r="M487" s="17" t="str">
        <f>IFERROR(__xludf.DUMMYFUNCTION("""COMPUTED_VALUE"""),"")</f>
        <v/>
      </c>
      <c r="N487" s="17">
        <f>IFERROR(__xludf.DUMMYFUNCTION("""COMPUTED_VALUE"""),45650.40544732639)</f>
        <v>45650.40545</v>
      </c>
      <c r="O487" s="13">
        <f t="shared" si="1"/>
        <v>10</v>
      </c>
    </row>
    <row r="488" ht="22.5" customHeight="1">
      <c r="B488" s="13">
        <f>IFERROR(__xludf.DUMMYFUNCTION("""COMPUTED_VALUE"""),483.0)</f>
        <v>483</v>
      </c>
      <c r="C488" s="13" t="str">
        <f>IFERROR(__xludf.DUMMYFUNCTION("""COMPUTED_VALUE"""),"HM 8575/SUKARAME")</f>
        <v>HM 8575/SUKARAME</v>
      </c>
      <c r="D488" s="13" t="str">
        <f>IFERROR(__xludf.DUMMYFUNCTION("""COMPUTED_VALUE"""),"L/1/161224/1")</f>
        <v>L/1/161224/1</v>
      </c>
      <c r="E488" s="14" t="str">
        <f>IFERROR(__xludf.DUMMYFUNCTION("""COMPUTED_VALUE"""),"Afriza (BT)")</f>
        <v>Afriza (BT)</v>
      </c>
      <c r="F488" s="14" t="str">
        <f>IFERROR(__xludf.DUMMYFUNCTION("""COMPUTED_VALUE"""),"SELESAI")</f>
        <v>SELESAI</v>
      </c>
      <c r="G488" s="17">
        <f>IFERROR(__xludf.DUMMYFUNCTION("""COMPUTED_VALUE"""),45643.59682697916)</f>
        <v>45643.59683</v>
      </c>
      <c r="H488" s="14" t="str">
        <f>IFERROR(__xludf.DUMMYFUNCTION("""COMPUTED_VALUE"""),"Bu Eva (SU)")</f>
        <v>Bu Eva (SU)</v>
      </c>
      <c r="I488" s="13" t="str">
        <f>IFERROR(__xludf.DUMMYFUNCTION("""COMPUTED_VALUE"""),"SELESAI")</f>
        <v>SELESAI</v>
      </c>
      <c r="J488" s="17">
        <f>IFERROR(__xludf.DUMMYFUNCTION("""COMPUTED_VALUE"""),45650.47757615741)</f>
        <v>45650.47758</v>
      </c>
      <c r="K488" s="13" t="str">
        <f>IFERROR(__xludf.DUMMYFUNCTION("""COMPUTED_VALUE"""),"SELESAI")</f>
        <v>SELESAI</v>
      </c>
      <c r="L488" s="17">
        <f>IFERROR(__xludf.DUMMYFUNCTION("""COMPUTED_VALUE"""),45650.47757615741)</f>
        <v>45650.47758</v>
      </c>
      <c r="M488" s="17" t="str">
        <f>IFERROR(__xludf.DUMMYFUNCTION("""COMPUTED_VALUE"""),"")</f>
        <v/>
      </c>
      <c r="N488" s="17">
        <f>IFERROR(__xludf.DUMMYFUNCTION("""COMPUTED_VALUE"""),45650.399185497685)</f>
        <v>45650.39919</v>
      </c>
      <c r="O488" s="13">
        <f t="shared" si="1"/>
        <v>11</v>
      </c>
    </row>
    <row r="489" ht="22.5" customHeight="1">
      <c r="B489" s="13">
        <f>IFERROR(__xludf.DUMMYFUNCTION("""COMPUTED_VALUE"""),484.0)</f>
        <v>484</v>
      </c>
      <c r="C489" s="13" t="str">
        <f>IFERROR(__xludf.DUMMYFUNCTION("""COMPUTED_VALUE"""),"HM 521/GULAK GALIK")</f>
        <v>HM 521/GULAK GALIK</v>
      </c>
      <c r="D489" s="13" t="str">
        <f>IFERROR(__xludf.DUMMYFUNCTION("""COMPUTED_VALUE"""),"L/13/111224/1")</f>
        <v>L/13/111224/1</v>
      </c>
      <c r="E489" s="14" t="str">
        <f>IFERROR(__xludf.DUMMYFUNCTION("""COMPUTED_VALUE"""),"Afriza (BT)")</f>
        <v>Afriza (BT)</v>
      </c>
      <c r="F489" s="14" t="str">
        <f>IFERROR(__xludf.DUMMYFUNCTION("""COMPUTED_VALUE"""),"SELESAI")</f>
        <v>SELESAI</v>
      </c>
      <c r="G489" s="17">
        <f>IFERROR(__xludf.DUMMYFUNCTION("""COMPUTED_VALUE"""),45643.59682697916)</f>
        <v>45643.59683</v>
      </c>
      <c r="H489" s="14" t="str">
        <f>IFERROR(__xludf.DUMMYFUNCTION("""COMPUTED_VALUE"""),"Bu Eva (SU)")</f>
        <v>Bu Eva (SU)</v>
      </c>
      <c r="I489" s="13" t="str">
        <f>IFERROR(__xludf.DUMMYFUNCTION("""COMPUTED_VALUE"""),"SELESAI")</f>
        <v>SELESAI</v>
      </c>
      <c r="J489" s="17">
        <f>IFERROR(__xludf.DUMMYFUNCTION("""COMPUTED_VALUE"""),45650.47757615741)</f>
        <v>45650.47758</v>
      </c>
      <c r="K489" s="13" t="str">
        <f>IFERROR(__xludf.DUMMYFUNCTION("""COMPUTED_VALUE"""),"SELESAI")</f>
        <v>SELESAI</v>
      </c>
      <c r="L489" s="17">
        <f>IFERROR(__xludf.DUMMYFUNCTION("""COMPUTED_VALUE"""),45650.47757615741)</f>
        <v>45650.47758</v>
      </c>
      <c r="M489" s="17" t="str">
        <f>IFERROR(__xludf.DUMMYFUNCTION("""COMPUTED_VALUE"""),"")</f>
        <v/>
      </c>
      <c r="N489" s="17">
        <f>IFERROR(__xludf.DUMMYFUNCTION("""COMPUTED_VALUE"""),45650.399928819446)</f>
        <v>45650.39993</v>
      </c>
      <c r="O489" s="13">
        <f t="shared" si="1"/>
        <v>12</v>
      </c>
    </row>
    <row r="490" ht="22.5" customHeight="1">
      <c r="B490" s="13">
        <f>IFERROR(__xludf.DUMMYFUNCTION("""COMPUTED_VALUE"""),485.0)</f>
        <v>485</v>
      </c>
      <c r="C490" s="13" t="str">
        <f>IFERROR(__xludf.DUMMYFUNCTION("""COMPUTED_VALUE"""),"M. 2274/ Campang Jaya")</f>
        <v>M. 2274/ Campang Jaya</v>
      </c>
      <c r="D490" s="13" t="str">
        <f>IFERROR(__xludf.DUMMYFUNCTION("""COMPUTED_VALUE"""),"K/20/131224/1")</f>
        <v>K/20/131224/1</v>
      </c>
      <c r="E490" s="14" t="str">
        <f>IFERROR(__xludf.DUMMYFUNCTION("""COMPUTED_VALUE"""),"Afriza (BT)")</f>
        <v>Afriza (BT)</v>
      </c>
      <c r="F490" s="14" t="str">
        <f>IFERROR(__xludf.DUMMYFUNCTION("""COMPUTED_VALUE"""),"SELESAI")</f>
        <v>SELESAI</v>
      </c>
      <c r="G490" s="17">
        <f>IFERROR(__xludf.DUMMYFUNCTION("""COMPUTED_VALUE"""),45643.59682697916)</f>
        <v>45643.59683</v>
      </c>
      <c r="H490" s="14" t="str">
        <f>IFERROR(__xludf.DUMMYFUNCTION("""COMPUTED_VALUE"""),"Bu Eva (SU)")</f>
        <v>Bu Eva (SU)</v>
      </c>
      <c r="I490" s="13" t="str">
        <f>IFERROR(__xludf.DUMMYFUNCTION("""COMPUTED_VALUE"""),"SELESAI")</f>
        <v>SELESAI</v>
      </c>
      <c r="J490" s="17">
        <f>IFERROR(__xludf.DUMMYFUNCTION("""COMPUTED_VALUE"""),45650.47757615741)</f>
        <v>45650.47758</v>
      </c>
      <c r="K490" s="13" t="str">
        <f>IFERROR(__xludf.DUMMYFUNCTION("""COMPUTED_VALUE"""),"SELESAI")</f>
        <v>SELESAI</v>
      </c>
      <c r="L490" s="17">
        <f>IFERROR(__xludf.DUMMYFUNCTION("""COMPUTED_VALUE"""),45650.47757615741)</f>
        <v>45650.47758</v>
      </c>
      <c r="M490" s="17" t="str">
        <f>IFERROR(__xludf.DUMMYFUNCTION("""COMPUTED_VALUE"""),"")</f>
        <v/>
      </c>
      <c r="N490" s="17">
        <f>IFERROR(__xludf.DUMMYFUNCTION("""COMPUTED_VALUE"""),45650.40555836806)</f>
        <v>45650.40556</v>
      </c>
      <c r="O490" s="13">
        <f t="shared" si="1"/>
        <v>13</v>
      </c>
    </row>
    <row r="491" ht="22.5" customHeight="1">
      <c r="B491" s="13">
        <f>IFERROR(__xludf.DUMMYFUNCTION("""COMPUTED_VALUE"""),486.0)</f>
        <v>486</v>
      </c>
      <c r="C491" s="13" t="str">
        <f>IFERROR(__xludf.DUMMYFUNCTION("""COMPUTED_VALUE"""),"M.3344/CAMPANG RAYA")</f>
        <v>M.3344/CAMPANG RAYA</v>
      </c>
      <c r="D491" s="13" t="str">
        <f>IFERROR(__xludf.DUMMYFUNCTION("""COMPUTED_VALUE"""),"K/23/131224/1")</f>
        <v>K/23/131224/1</v>
      </c>
      <c r="E491" s="14" t="str">
        <f>IFERROR(__xludf.DUMMYFUNCTION("""COMPUTED_VALUE"""),"Afriza (BT)")</f>
        <v>Afriza (BT)</v>
      </c>
      <c r="F491" s="14" t="str">
        <f>IFERROR(__xludf.DUMMYFUNCTION("""COMPUTED_VALUE"""),"SELESAI")</f>
        <v>SELESAI</v>
      </c>
      <c r="G491" s="17">
        <f>IFERROR(__xludf.DUMMYFUNCTION("""COMPUTED_VALUE"""),45643.59682697916)</f>
        <v>45643.59683</v>
      </c>
      <c r="H491" s="14" t="str">
        <f>IFERROR(__xludf.DUMMYFUNCTION("""COMPUTED_VALUE"""),"Bu Eva (SU)")</f>
        <v>Bu Eva (SU)</v>
      </c>
      <c r="I491" s="13" t="str">
        <f>IFERROR(__xludf.DUMMYFUNCTION("""COMPUTED_VALUE"""),"SELESAI")</f>
        <v>SELESAI</v>
      </c>
      <c r="J491" s="17">
        <f>IFERROR(__xludf.DUMMYFUNCTION("""COMPUTED_VALUE"""),45650.47757615741)</f>
        <v>45650.47758</v>
      </c>
      <c r="K491" s="13" t="str">
        <f>IFERROR(__xludf.DUMMYFUNCTION("""COMPUTED_VALUE"""),"SELESAI")</f>
        <v>SELESAI</v>
      </c>
      <c r="L491" s="17">
        <f>IFERROR(__xludf.DUMMYFUNCTION("""COMPUTED_VALUE"""),45650.47757615741)</f>
        <v>45650.47758</v>
      </c>
      <c r="M491" s="17" t="str">
        <f>IFERROR(__xludf.DUMMYFUNCTION("""COMPUTED_VALUE"""),"")</f>
        <v/>
      </c>
      <c r="N491" s="17">
        <f>IFERROR(__xludf.DUMMYFUNCTION("""COMPUTED_VALUE"""),45650.47757615741)</f>
        <v>45650.47758</v>
      </c>
      <c r="O491" s="13">
        <f t="shared" si="1"/>
        <v>14</v>
      </c>
    </row>
    <row r="492" ht="22.5" customHeight="1">
      <c r="B492" s="13">
        <f>IFERROR(__xludf.DUMMYFUNCTION("""COMPUTED_VALUE"""),487.0)</f>
        <v>487</v>
      </c>
      <c r="C492" s="13" t="str">
        <f>IFERROR(__xludf.DUMMYFUNCTION("""COMPUTED_VALUE"""),"M. 1488/ Bumi Kedamaian")</f>
        <v>M. 1488/ Bumi Kedamaian</v>
      </c>
      <c r="D492" s="13" t="str">
        <f>IFERROR(__xludf.DUMMYFUNCTION("""COMPUTED_VALUE"""),"K/26/131224/1")</f>
        <v>K/26/131224/1</v>
      </c>
      <c r="E492" s="14" t="str">
        <f>IFERROR(__xludf.DUMMYFUNCTION("""COMPUTED_VALUE"""),"Afriza (BT)")</f>
        <v>Afriza (BT)</v>
      </c>
      <c r="F492" s="14" t="str">
        <f>IFERROR(__xludf.DUMMYFUNCTION("""COMPUTED_VALUE"""),"SELESAI")</f>
        <v>SELESAI</v>
      </c>
      <c r="G492" s="17">
        <f>IFERROR(__xludf.DUMMYFUNCTION("""COMPUTED_VALUE"""),45643.59682697916)</f>
        <v>45643.59683</v>
      </c>
      <c r="H492" s="14" t="str">
        <f>IFERROR(__xludf.DUMMYFUNCTION("""COMPUTED_VALUE"""),"Bu Eva (SU)")</f>
        <v>Bu Eva (SU)</v>
      </c>
      <c r="I492" s="13" t="str">
        <f>IFERROR(__xludf.DUMMYFUNCTION("""COMPUTED_VALUE"""),"SELESAI")</f>
        <v>SELESAI</v>
      </c>
      <c r="J492" s="17">
        <f>IFERROR(__xludf.DUMMYFUNCTION("""COMPUTED_VALUE"""),45650.47757615741)</f>
        <v>45650.47758</v>
      </c>
      <c r="K492" s="13" t="str">
        <f>IFERROR(__xludf.DUMMYFUNCTION("""COMPUTED_VALUE"""),"SELESAI")</f>
        <v>SELESAI</v>
      </c>
      <c r="L492" s="17">
        <f>IFERROR(__xludf.DUMMYFUNCTION("""COMPUTED_VALUE"""),45650.47757615741)</f>
        <v>45650.47758</v>
      </c>
      <c r="M492" s="17" t="str">
        <f>IFERROR(__xludf.DUMMYFUNCTION("""COMPUTED_VALUE"""),"")</f>
        <v/>
      </c>
      <c r="N492" s="17">
        <f>IFERROR(__xludf.DUMMYFUNCTION("""COMPUTED_VALUE"""),45650.4059371412)</f>
        <v>45650.40594</v>
      </c>
      <c r="O492" s="13">
        <f t="shared" si="1"/>
        <v>15</v>
      </c>
    </row>
    <row r="493" ht="22.5" customHeight="1">
      <c r="B493" s="13">
        <f>IFERROR(__xludf.DUMMYFUNCTION("""COMPUTED_VALUE"""),488.0)</f>
        <v>488</v>
      </c>
      <c r="C493" s="13" t="str">
        <f>IFERROR(__xludf.DUMMYFUNCTION("""COMPUTED_VALUE"""),"B. 686/ Kemiling Permai")</f>
        <v>B. 686/ Kemiling Permai</v>
      </c>
      <c r="D493" s="13" t="str">
        <f>IFERROR(__xludf.DUMMYFUNCTION("""COMPUTED_VALUE"""),"K/33/131224/1")</f>
        <v>K/33/131224/1</v>
      </c>
      <c r="E493" s="14" t="str">
        <f>IFERROR(__xludf.DUMMYFUNCTION("""COMPUTED_VALUE"""),"Afriza (BT)")</f>
        <v>Afriza (BT)</v>
      </c>
      <c r="F493" s="14" t="str">
        <f>IFERROR(__xludf.DUMMYFUNCTION("""COMPUTED_VALUE"""),"SELESAI")</f>
        <v>SELESAI</v>
      </c>
      <c r="G493" s="17">
        <f>IFERROR(__xludf.DUMMYFUNCTION("""COMPUTED_VALUE"""),45643.59682697916)</f>
        <v>45643.59683</v>
      </c>
      <c r="H493" s="14" t="str">
        <f>IFERROR(__xludf.DUMMYFUNCTION("""COMPUTED_VALUE"""),"Bu Eva (SU)")</f>
        <v>Bu Eva (SU)</v>
      </c>
      <c r="I493" s="13" t="str">
        <f>IFERROR(__xludf.DUMMYFUNCTION("""COMPUTED_VALUE"""),"SELESAI")</f>
        <v>SELESAI</v>
      </c>
      <c r="J493" s="17">
        <f>IFERROR(__xludf.DUMMYFUNCTION("""COMPUTED_VALUE"""),45650.47757615741)</f>
        <v>45650.47758</v>
      </c>
      <c r="K493" s="13" t="str">
        <f>IFERROR(__xludf.DUMMYFUNCTION("""COMPUTED_VALUE"""),"SELESAI")</f>
        <v>SELESAI</v>
      </c>
      <c r="L493" s="17">
        <f>IFERROR(__xludf.DUMMYFUNCTION("""COMPUTED_VALUE"""),45650.47757615741)</f>
        <v>45650.47758</v>
      </c>
      <c r="M493" s="17" t="str">
        <f>IFERROR(__xludf.DUMMYFUNCTION("""COMPUTED_VALUE"""),"")</f>
        <v/>
      </c>
      <c r="N493" s="17">
        <f>IFERROR(__xludf.DUMMYFUNCTION("""COMPUTED_VALUE"""),45650.405736678236)</f>
        <v>45650.40574</v>
      </c>
      <c r="O493" s="13">
        <f t="shared" si="1"/>
        <v>16</v>
      </c>
    </row>
    <row r="494" ht="22.5" customHeight="1">
      <c r="B494" s="13">
        <f>IFERROR(__xludf.DUMMYFUNCTION("""COMPUTED_VALUE"""),489.0)</f>
        <v>489</v>
      </c>
      <c r="C494" s="13" t="str">
        <f>IFERROR(__xludf.DUMMYFUNCTION("""COMPUTED_VALUE"""),"M.1195/SUKADANAHAM")</f>
        <v>M.1195/SUKADANAHAM</v>
      </c>
      <c r="D494" s="13" t="str">
        <f>IFERROR(__xludf.DUMMYFUNCTION("""COMPUTED_VALUE"""),"K/31/131224/2")</f>
        <v>K/31/131224/2</v>
      </c>
      <c r="E494" s="14" t="str">
        <f>IFERROR(__xludf.DUMMYFUNCTION("""COMPUTED_VALUE"""),"Afriza (BT)")</f>
        <v>Afriza (BT)</v>
      </c>
      <c r="F494" s="14" t="str">
        <f>IFERROR(__xludf.DUMMYFUNCTION("""COMPUTED_VALUE"""),"SELESAI")</f>
        <v>SELESAI</v>
      </c>
      <c r="G494" s="17">
        <f>IFERROR(__xludf.DUMMYFUNCTION("""COMPUTED_VALUE"""),45643.59682697916)</f>
        <v>45643.59683</v>
      </c>
      <c r="H494" s="14" t="str">
        <f>IFERROR(__xludf.DUMMYFUNCTION("""COMPUTED_VALUE"""),"Bu Eva (SU)")</f>
        <v>Bu Eva (SU)</v>
      </c>
      <c r="I494" s="13" t="str">
        <f>IFERROR(__xludf.DUMMYFUNCTION("""COMPUTED_VALUE"""),"SELESAI")</f>
        <v>SELESAI</v>
      </c>
      <c r="J494" s="17">
        <f>IFERROR(__xludf.DUMMYFUNCTION("""COMPUTED_VALUE"""),45650.47757615741)</f>
        <v>45650.47758</v>
      </c>
      <c r="K494" s="13" t="str">
        <f>IFERROR(__xludf.DUMMYFUNCTION("""COMPUTED_VALUE"""),"SELESAI")</f>
        <v>SELESAI</v>
      </c>
      <c r="L494" s="17">
        <f>IFERROR(__xludf.DUMMYFUNCTION("""COMPUTED_VALUE"""),45650.47757615741)</f>
        <v>45650.47758</v>
      </c>
      <c r="M494" s="17" t="str">
        <f>IFERROR(__xludf.DUMMYFUNCTION("""COMPUTED_VALUE"""),"")</f>
        <v/>
      </c>
      <c r="N494" s="17">
        <f>IFERROR(__xludf.DUMMYFUNCTION("""COMPUTED_VALUE"""),45650.406239421296)</f>
        <v>45650.40624</v>
      </c>
      <c r="O494" s="13">
        <f t="shared" si="1"/>
        <v>17</v>
      </c>
    </row>
    <row r="495" ht="22.5" customHeight="1">
      <c r="B495" s="13">
        <f>IFERROR(__xludf.DUMMYFUNCTION("""COMPUTED_VALUE"""),490.0)</f>
        <v>490</v>
      </c>
      <c r="C495" s="13" t="str">
        <f>IFERROR(__xludf.DUMMYFUNCTION("""COMPUTED_VALUE"""),"M.5548/WAY KANDIS")</f>
        <v>M.5548/WAY KANDIS</v>
      </c>
      <c r="D495" s="13" t="str">
        <f>IFERROR(__xludf.DUMMYFUNCTION("""COMPUTED_VALUE"""),"K/46/111224/2")</f>
        <v>K/46/111224/2</v>
      </c>
      <c r="E495" s="14" t="str">
        <f>IFERROR(__xludf.DUMMYFUNCTION("""COMPUTED_VALUE"""),"Afriza (BT)")</f>
        <v>Afriza (BT)</v>
      </c>
      <c r="F495" s="14" t="str">
        <f>IFERROR(__xludf.DUMMYFUNCTION("""COMPUTED_VALUE"""),"SELESAI (VIA PERMOHONAN)")</f>
        <v>SELESAI (VIA PERMOHONAN)</v>
      </c>
      <c r="G495" s="17">
        <f>IFERROR(__xludf.DUMMYFUNCTION("""COMPUTED_VALUE"""),45643.59682697916)</f>
        <v>45643.59683</v>
      </c>
      <c r="H495" s="14" t="str">
        <f>IFERROR(__xludf.DUMMYFUNCTION("""COMPUTED_VALUE"""),"Aprill (SU)")</f>
        <v>Aprill (SU)</v>
      </c>
      <c r="I495" s="13" t="str">
        <f>IFERROR(__xludf.DUMMYFUNCTION("""COMPUTED_VALUE"""),"SELESAI (VIA PERMOHONAN)")</f>
        <v>SELESAI (VIA PERMOHONAN)</v>
      </c>
      <c r="J495" s="17">
        <f>IFERROR(__xludf.DUMMYFUNCTION("""COMPUTED_VALUE"""),45643.6655633912)</f>
        <v>45643.66556</v>
      </c>
      <c r="K495" s="13" t="str">
        <f>IFERROR(__xludf.DUMMYFUNCTION("""COMPUTED_VALUE"""),"Selesai")</f>
        <v>Selesai</v>
      </c>
      <c r="L495" s="17">
        <f>IFERROR(__xludf.DUMMYFUNCTION("""COMPUTED_VALUE"""),45643.6655633912)</f>
        <v>45643.66556</v>
      </c>
      <c r="M495" s="17">
        <f>IFERROR(__xludf.DUMMYFUNCTION("""COMPUTED_VALUE"""),45643.69107746528)</f>
        <v>45643.69108</v>
      </c>
      <c r="N495" s="17">
        <f>IFERROR(__xludf.DUMMYFUNCTION("""COMPUTED_VALUE"""),45650.401989351856)</f>
        <v>45650.40199</v>
      </c>
      <c r="O495" s="13">
        <f t="shared" si="1"/>
        <v>18</v>
      </c>
    </row>
    <row r="496" ht="22.5" customHeight="1">
      <c r="B496" s="13">
        <f>IFERROR(__xludf.DUMMYFUNCTION("""COMPUTED_VALUE"""),491.0)</f>
        <v>491</v>
      </c>
      <c r="C496" s="13" t="str">
        <f>IFERROR(__xludf.DUMMYFUNCTION("""COMPUTED_VALUE"""),"M. 6440/ Way Kandis")</f>
        <v>M. 6440/ Way Kandis</v>
      </c>
      <c r="D496" s="13" t="str">
        <f>IFERROR(__xludf.DUMMYFUNCTION("""COMPUTED_VALUE"""),"K/31/091224/1")</f>
        <v>K/31/091224/1</v>
      </c>
      <c r="E496" s="14" t="str">
        <f>IFERROR(__xludf.DUMMYFUNCTION("""COMPUTED_VALUE"""),"Afriza (BT)")</f>
        <v>Afriza (BT)</v>
      </c>
      <c r="F496" s="14" t="str">
        <f>IFERROR(__xludf.DUMMYFUNCTION("""COMPUTED_VALUE"""),"SELESAI (VIA PERMOHONAN)")</f>
        <v>SELESAI (VIA PERMOHONAN)</v>
      </c>
      <c r="G496" s="17">
        <f>IFERROR(__xludf.DUMMYFUNCTION("""COMPUTED_VALUE"""),45643.59682697916)</f>
        <v>45643.59683</v>
      </c>
      <c r="H496" s="14" t="str">
        <f>IFERROR(__xludf.DUMMYFUNCTION("""COMPUTED_VALUE"""),"Aprill (SU)")</f>
        <v>Aprill (SU)</v>
      </c>
      <c r="I496" s="13" t="str">
        <f>IFERROR(__xludf.DUMMYFUNCTION("""COMPUTED_VALUE"""),"SELESAI (VIA PERMOHONAN)")</f>
        <v>SELESAI (VIA PERMOHONAN)</v>
      </c>
      <c r="J496" s="17">
        <f>IFERROR(__xludf.DUMMYFUNCTION("""COMPUTED_VALUE"""),45643.6655633912)</f>
        <v>45643.66556</v>
      </c>
      <c r="K496" s="13" t="str">
        <f>IFERROR(__xludf.DUMMYFUNCTION("""COMPUTED_VALUE"""),"Selesai")</f>
        <v>Selesai</v>
      </c>
      <c r="L496" s="17">
        <f>IFERROR(__xludf.DUMMYFUNCTION("""COMPUTED_VALUE"""),45643.6655633912)</f>
        <v>45643.66556</v>
      </c>
      <c r="M496" s="17">
        <f>IFERROR(__xludf.DUMMYFUNCTION("""COMPUTED_VALUE"""),45643.69107746528)</f>
        <v>45643.69108</v>
      </c>
      <c r="N496" s="13" t="str">
        <f>IFERROR(__xludf.DUMMYFUNCTION("""COMPUTED_VALUE"""),"")</f>
        <v/>
      </c>
      <c r="O496" s="13" t="str">
        <f t="shared" si="1"/>
        <v/>
      </c>
    </row>
    <row r="497" ht="22.5" customHeight="1">
      <c r="B497" s="13">
        <f>IFERROR(__xludf.DUMMYFUNCTION("""COMPUTED_VALUE"""),492.0)</f>
        <v>492</v>
      </c>
      <c r="C497" s="13" t="str">
        <f>IFERROR(__xludf.DUMMYFUNCTION("""COMPUTED_VALUE"""),"M.149/SUKARAME BARU")</f>
        <v>M.149/SUKARAME BARU</v>
      </c>
      <c r="D497" s="13" t="str">
        <f>IFERROR(__xludf.DUMMYFUNCTION("""COMPUTED_VALUE"""),"K/14/111224/1")</f>
        <v>K/14/111224/1</v>
      </c>
      <c r="E497" s="14" t="str">
        <f>IFERROR(__xludf.DUMMYFUNCTION("""COMPUTED_VALUE"""),"Afriza (BT)")</f>
        <v>Afriza (BT)</v>
      </c>
      <c r="F497" s="14" t="str">
        <f>IFERROR(__xludf.DUMMYFUNCTION("""COMPUTED_VALUE"""),"SELESAI (VIA PERMOHONAN)")</f>
        <v>SELESAI (VIA PERMOHONAN)</v>
      </c>
      <c r="G497" s="17">
        <f>IFERROR(__xludf.DUMMYFUNCTION("""COMPUTED_VALUE"""),45643.59682697916)</f>
        <v>45643.59683</v>
      </c>
      <c r="H497" s="14" t="str">
        <f>IFERROR(__xludf.DUMMYFUNCTION("""COMPUTED_VALUE"""),"Aprill (SU)")</f>
        <v>Aprill (SU)</v>
      </c>
      <c r="I497" s="13" t="str">
        <f>IFERROR(__xludf.DUMMYFUNCTION("""COMPUTED_VALUE"""),"SELESAI (VIA PERMOHONAN)")</f>
        <v>SELESAI (VIA PERMOHONAN)</v>
      </c>
      <c r="J497" s="17">
        <f>IFERROR(__xludf.DUMMYFUNCTION("""COMPUTED_VALUE"""),45643.6655633912)</f>
        <v>45643.66556</v>
      </c>
      <c r="K497" s="13" t="str">
        <f>IFERROR(__xludf.DUMMYFUNCTION("""COMPUTED_VALUE"""),"Selesai")</f>
        <v>Selesai</v>
      </c>
      <c r="L497" s="17">
        <f>IFERROR(__xludf.DUMMYFUNCTION("""COMPUTED_VALUE"""),45643.6655633912)</f>
        <v>45643.66556</v>
      </c>
      <c r="M497" s="17">
        <f>IFERROR(__xludf.DUMMYFUNCTION("""COMPUTED_VALUE"""),45643.69107746528)</f>
        <v>45643.69108</v>
      </c>
      <c r="N497" s="13" t="str">
        <f>IFERROR(__xludf.DUMMYFUNCTION("""COMPUTED_VALUE"""),"")</f>
        <v/>
      </c>
      <c r="O497" s="13" t="str">
        <f t="shared" si="1"/>
        <v/>
      </c>
    </row>
    <row r="498" ht="22.5" customHeight="1">
      <c r="B498" s="13">
        <f>IFERROR(__xludf.DUMMYFUNCTION("""COMPUTED_VALUE"""),493.0)</f>
        <v>493</v>
      </c>
      <c r="C498" s="13" t="str">
        <f>IFERROR(__xludf.DUMMYFUNCTION("""COMPUTED_VALUE"""),"M.7025/TANJUNG SENENG")</f>
        <v>M.7025/TANJUNG SENENG</v>
      </c>
      <c r="D498" s="13" t="str">
        <f>IFERROR(__xludf.DUMMYFUNCTION("""COMPUTED_VALUE"""),"K/3/121224/2")</f>
        <v>K/3/121224/2</v>
      </c>
      <c r="E498" s="14" t="str">
        <f>IFERROR(__xludf.DUMMYFUNCTION("""COMPUTED_VALUE"""),"Afriza (BT)")</f>
        <v>Afriza (BT)</v>
      </c>
      <c r="F498" s="14" t="str">
        <f>IFERROR(__xludf.DUMMYFUNCTION("""COMPUTED_VALUE"""),"SELESAI (VIA PERMOHONAN)")</f>
        <v>SELESAI (VIA PERMOHONAN)</v>
      </c>
      <c r="G498" s="17">
        <f>IFERROR(__xludf.DUMMYFUNCTION("""COMPUTED_VALUE"""),45643.59682697916)</f>
        <v>45643.59683</v>
      </c>
      <c r="H498" s="14" t="str">
        <f>IFERROR(__xludf.DUMMYFUNCTION("""COMPUTED_VALUE"""),"Aprill (SU)")</f>
        <v>Aprill (SU)</v>
      </c>
      <c r="I498" s="13" t="str">
        <f>IFERROR(__xludf.DUMMYFUNCTION("""COMPUTED_VALUE"""),"SELESAI (VIA PERMOHONAN)")</f>
        <v>SELESAI (VIA PERMOHONAN)</v>
      </c>
      <c r="J498" s="17">
        <f>IFERROR(__xludf.DUMMYFUNCTION("""COMPUTED_VALUE"""),45643.6655633912)</f>
        <v>45643.66556</v>
      </c>
      <c r="K498" s="13" t="str">
        <f>IFERROR(__xludf.DUMMYFUNCTION("""COMPUTED_VALUE"""),"Selesai")</f>
        <v>Selesai</v>
      </c>
      <c r="L498" s="17">
        <f>IFERROR(__xludf.DUMMYFUNCTION("""COMPUTED_VALUE"""),45643.6655633912)</f>
        <v>45643.66556</v>
      </c>
      <c r="M498" s="17">
        <f>IFERROR(__xludf.DUMMYFUNCTION("""COMPUTED_VALUE"""),45643.69110859954)</f>
        <v>45643.69111</v>
      </c>
      <c r="N498" s="13" t="str">
        <f>IFERROR(__xludf.DUMMYFUNCTION("""COMPUTED_VALUE"""),"")</f>
        <v/>
      </c>
      <c r="O498" s="13" t="str">
        <f t="shared" si="1"/>
        <v/>
      </c>
    </row>
    <row r="499" ht="22.5" customHeight="1">
      <c r="B499" s="13">
        <f>IFERROR(__xludf.DUMMYFUNCTION("""COMPUTED_VALUE"""),494.0)</f>
        <v>494</v>
      </c>
      <c r="C499" s="13" t="str">
        <f>IFERROR(__xludf.DUMMYFUNCTION("""COMPUTED_VALUE"""),"M.16656/SUKABUMI")</f>
        <v>M.16656/SUKABUMI</v>
      </c>
      <c r="D499" s="13" t="str">
        <f>IFERROR(__xludf.DUMMYFUNCTION("""COMPUTED_VALUE"""),"K/2/121224/1")</f>
        <v>K/2/121224/1</v>
      </c>
      <c r="E499" s="14" t="str">
        <f>IFERROR(__xludf.DUMMYFUNCTION("""COMPUTED_VALUE"""),"Afriza (BT)")</f>
        <v>Afriza (BT)</v>
      </c>
      <c r="F499" s="14" t="str">
        <f>IFERROR(__xludf.DUMMYFUNCTION("""COMPUTED_VALUE"""),"SELESAI (VIA PERMOHONAN)")</f>
        <v>SELESAI (VIA PERMOHONAN)</v>
      </c>
      <c r="G499" s="17">
        <f>IFERROR(__xludf.DUMMYFUNCTION("""COMPUTED_VALUE"""),45643.59682697916)</f>
        <v>45643.59683</v>
      </c>
      <c r="H499" s="14" t="str">
        <f>IFERROR(__xludf.DUMMYFUNCTION("""COMPUTED_VALUE"""),"Aprill (SU)")</f>
        <v>Aprill (SU)</v>
      </c>
      <c r="I499" s="13" t="str">
        <f>IFERROR(__xludf.DUMMYFUNCTION("""COMPUTED_VALUE"""),"SELESAI (VIA PERMOHONAN)")</f>
        <v>SELESAI (VIA PERMOHONAN)</v>
      </c>
      <c r="J499" s="17">
        <f>IFERROR(__xludf.DUMMYFUNCTION("""COMPUTED_VALUE"""),45643.66556340278)</f>
        <v>45643.66556</v>
      </c>
      <c r="K499" s="13" t="str">
        <f>IFERROR(__xludf.DUMMYFUNCTION("""COMPUTED_VALUE"""),"Selesai")</f>
        <v>Selesai</v>
      </c>
      <c r="L499" s="17">
        <f>IFERROR(__xludf.DUMMYFUNCTION("""COMPUTED_VALUE"""),45643.66556340278)</f>
        <v>45643.66556</v>
      </c>
      <c r="M499" s="17">
        <f>IFERROR(__xludf.DUMMYFUNCTION("""COMPUTED_VALUE"""),45643.69110859954)</f>
        <v>45643.69111</v>
      </c>
      <c r="N499" s="17">
        <f>IFERROR(__xludf.DUMMYFUNCTION("""COMPUTED_VALUE"""),45650.401724641204)</f>
        <v>45650.40172</v>
      </c>
      <c r="O499" s="13">
        <f t="shared" si="1"/>
        <v>1</v>
      </c>
    </row>
    <row r="500" ht="22.5" customHeight="1">
      <c r="B500" s="13">
        <f>IFERROR(__xludf.DUMMYFUNCTION("""COMPUTED_VALUE"""),495.0)</f>
        <v>495</v>
      </c>
      <c r="C500" s="13" t="str">
        <f>IFERROR(__xludf.DUMMYFUNCTION("""COMPUTED_VALUE"""),"B. 225/ LABUHAN RATU RAYA")</f>
        <v>B. 225/ LABUHAN RATU RAYA</v>
      </c>
      <c r="D500" s="13" t="str">
        <f>IFERROR(__xludf.DUMMYFUNCTION("""COMPUTED_VALUE"""),"K/19/121124/1")</f>
        <v>K/19/121124/1</v>
      </c>
      <c r="E500" s="14" t="str">
        <f>IFERROR(__xludf.DUMMYFUNCTION("""COMPUTED_VALUE"""),"Afriza (BT)")</f>
        <v>Afriza (BT)</v>
      </c>
      <c r="F500" s="14" t="str">
        <f>IFERROR(__xludf.DUMMYFUNCTION("""COMPUTED_VALUE"""),"SELESAI (VIA PERMOHONAN)")</f>
        <v>SELESAI (VIA PERMOHONAN)</v>
      </c>
      <c r="G500" s="17">
        <f>IFERROR(__xludf.DUMMYFUNCTION("""COMPUTED_VALUE"""),45643.59682697916)</f>
        <v>45643.59683</v>
      </c>
      <c r="H500" s="14" t="str">
        <f>IFERROR(__xludf.DUMMYFUNCTION("""COMPUTED_VALUE"""),"Aprill (SU)")</f>
        <v>Aprill (SU)</v>
      </c>
      <c r="I500" s="13" t="str">
        <f>IFERROR(__xludf.DUMMYFUNCTION("""COMPUTED_VALUE"""),"SELESAI (VIA PERMOHONAN)")</f>
        <v>SELESAI (VIA PERMOHONAN)</v>
      </c>
      <c r="J500" s="17">
        <f>IFERROR(__xludf.DUMMYFUNCTION("""COMPUTED_VALUE"""),45643.66568922454)</f>
        <v>45643.66569</v>
      </c>
      <c r="K500" s="13" t="str">
        <f>IFERROR(__xludf.DUMMYFUNCTION("""COMPUTED_VALUE"""),"Selesai")</f>
        <v>Selesai</v>
      </c>
      <c r="L500" s="17">
        <f>IFERROR(__xludf.DUMMYFUNCTION("""COMPUTED_VALUE"""),45643.66568922454)</f>
        <v>45643.66569</v>
      </c>
      <c r="M500" s="17">
        <f>IFERROR(__xludf.DUMMYFUNCTION("""COMPUTED_VALUE"""),45643.69094987269)</f>
        <v>45643.69095</v>
      </c>
      <c r="N500" s="13" t="str">
        <f>IFERROR(__xludf.DUMMYFUNCTION("""COMPUTED_VALUE"""),"")</f>
        <v/>
      </c>
      <c r="O500" s="13" t="str">
        <f t="shared" si="1"/>
        <v/>
      </c>
    </row>
    <row r="501" ht="22.5" customHeight="1">
      <c r="B501" s="13">
        <f>IFERROR(__xludf.DUMMYFUNCTION("""COMPUTED_VALUE"""),496.0)</f>
        <v>496</v>
      </c>
      <c r="C501" s="13" t="str">
        <f>IFERROR(__xludf.DUMMYFUNCTION("""COMPUTED_VALUE"""),"B. 341/ Rajabasa Pemuka")</f>
        <v>B. 341/ Rajabasa Pemuka</v>
      </c>
      <c r="D501" s="13" t="str">
        <f>IFERROR(__xludf.DUMMYFUNCTION("""COMPUTED_VALUE"""),"K/13/041224/2")</f>
        <v>K/13/041224/2</v>
      </c>
      <c r="E501" s="14" t="str">
        <f>IFERROR(__xludf.DUMMYFUNCTION("""COMPUTED_VALUE"""),"Afriza (BT)")</f>
        <v>Afriza (BT)</v>
      </c>
      <c r="F501" s="14" t="str">
        <f>IFERROR(__xludf.DUMMYFUNCTION("""COMPUTED_VALUE"""),"SELESAI (VIA PERMOHONAN)")</f>
        <v>SELESAI (VIA PERMOHONAN)</v>
      </c>
      <c r="G501" s="17">
        <f>IFERROR(__xludf.DUMMYFUNCTION("""COMPUTED_VALUE"""),45643.59682697916)</f>
        <v>45643.59683</v>
      </c>
      <c r="H501" s="14" t="str">
        <f>IFERROR(__xludf.DUMMYFUNCTION("""COMPUTED_VALUE"""),"Aprill (SU)")</f>
        <v>Aprill (SU)</v>
      </c>
      <c r="I501" s="13" t="str">
        <f>IFERROR(__xludf.DUMMYFUNCTION("""COMPUTED_VALUE"""),"SELESAI (VIA PERMOHONAN)")</f>
        <v>SELESAI (VIA PERMOHONAN)</v>
      </c>
      <c r="J501" s="17">
        <f>IFERROR(__xludf.DUMMYFUNCTION("""COMPUTED_VALUE"""),45643.66568922454)</f>
        <v>45643.66569</v>
      </c>
      <c r="K501" s="13" t="str">
        <f>IFERROR(__xludf.DUMMYFUNCTION("""COMPUTED_VALUE"""),"Selesai")</f>
        <v>Selesai</v>
      </c>
      <c r="L501" s="17">
        <f>IFERROR(__xludf.DUMMYFUNCTION("""COMPUTED_VALUE"""),45643.66568922454)</f>
        <v>45643.66569</v>
      </c>
      <c r="M501" s="17">
        <f>IFERROR(__xludf.DUMMYFUNCTION("""COMPUTED_VALUE"""),45643.69094987269)</f>
        <v>45643.69095</v>
      </c>
      <c r="N501" s="13" t="str">
        <f>IFERROR(__xludf.DUMMYFUNCTION("""COMPUTED_VALUE"""),"")</f>
        <v/>
      </c>
      <c r="O501" s="13" t="str">
        <f t="shared" si="1"/>
        <v/>
      </c>
    </row>
    <row r="502" ht="22.5" customHeight="1">
      <c r="B502" s="13">
        <f>IFERROR(__xludf.DUMMYFUNCTION("""COMPUTED_VALUE"""),497.0)</f>
        <v>497</v>
      </c>
      <c r="C502" s="13" t="str">
        <f>IFERROR(__xludf.DUMMYFUNCTION("""COMPUTED_VALUE"""),"B. 338/ Rajabasa Pemuka")</f>
        <v>B. 338/ Rajabasa Pemuka</v>
      </c>
      <c r="D502" s="13" t="str">
        <f>IFERROR(__xludf.DUMMYFUNCTION("""COMPUTED_VALUE"""),"K/15/041224/4")</f>
        <v>K/15/041224/4</v>
      </c>
      <c r="E502" s="14" t="str">
        <f>IFERROR(__xludf.DUMMYFUNCTION("""COMPUTED_VALUE"""),"Afriza (BT)")</f>
        <v>Afriza (BT)</v>
      </c>
      <c r="F502" s="14" t="str">
        <f>IFERROR(__xludf.DUMMYFUNCTION("""COMPUTED_VALUE"""),"SELESAI (VIA PERMOHONAN)")</f>
        <v>SELESAI (VIA PERMOHONAN)</v>
      </c>
      <c r="G502" s="17">
        <f>IFERROR(__xludf.DUMMYFUNCTION("""COMPUTED_VALUE"""),45643.59682697916)</f>
        <v>45643.59683</v>
      </c>
      <c r="H502" s="14" t="str">
        <f>IFERROR(__xludf.DUMMYFUNCTION("""COMPUTED_VALUE"""),"Aprill (SU)")</f>
        <v>Aprill (SU)</v>
      </c>
      <c r="I502" s="13" t="str">
        <f>IFERROR(__xludf.DUMMYFUNCTION("""COMPUTED_VALUE"""),"SELESAI (VIA PERMOHONAN)")</f>
        <v>SELESAI (VIA PERMOHONAN)</v>
      </c>
      <c r="J502" s="17">
        <f>IFERROR(__xludf.DUMMYFUNCTION("""COMPUTED_VALUE"""),45643.66568922454)</f>
        <v>45643.66569</v>
      </c>
      <c r="K502" s="13" t="str">
        <f>IFERROR(__xludf.DUMMYFUNCTION("""COMPUTED_VALUE"""),"Selesai")</f>
        <v>Selesai</v>
      </c>
      <c r="L502" s="17">
        <f>IFERROR(__xludf.DUMMYFUNCTION("""COMPUTED_VALUE"""),45643.66568922454)</f>
        <v>45643.66569</v>
      </c>
      <c r="M502" s="17">
        <f>IFERROR(__xludf.DUMMYFUNCTION("""COMPUTED_VALUE"""),45643.69094987269)</f>
        <v>45643.69095</v>
      </c>
      <c r="N502" s="13" t="str">
        <f>IFERROR(__xludf.DUMMYFUNCTION("""COMPUTED_VALUE"""),"")</f>
        <v/>
      </c>
      <c r="O502" s="13" t="str">
        <f t="shared" si="1"/>
        <v/>
      </c>
    </row>
    <row r="503" ht="22.5" customHeight="1">
      <c r="B503" s="13">
        <f>IFERROR(__xludf.DUMMYFUNCTION("""COMPUTED_VALUE"""),498.0)</f>
        <v>498</v>
      </c>
      <c r="C503" s="13" t="str">
        <f>IFERROR(__xludf.DUMMYFUNCTION("""COMPUTED_VALUE"""),"M. 854/ Kaliawi")</f>
        <v>M. 854/ Kaliawi</v>
      </c>
      <c r="D503" s="13" t="str">
        <f>IFERROR(__xludf.DUMMYFUNCTION("""COMPUTED_VALUE"""),"K/8/131224/2")</f>
        <v>K/8/131224/2</v>
      </c>
      <c r="E503" s="14" t="str">
        <f>IFERROR(__xludf.DUMMYFUNCTION("""COMPUTED_VALUE"""),"Afriza (BT)")</f>
        <v>Afriza (BT)</v>
      </c>
      <c r="F503" s="14" t="str">
        <f>IFERROR(__xludf.DUMMYFUNCTION("""COMPUTED_VALUE"""),"SELESAI (VIA PERMOHONAN)")</f>
        <v>SELESAI (VIA PERMOHONAN)</v>
      </c>
      <c r="G503" s="17">
        <f>IFERROR(__xludf.DUMMYFUNCTION("""COMPUTED_VALUE"""),45643.59682697916)</f>
        <v>45643.59683</v>
      </c>
      <c r="H503" s="14" t="str">
        <f>IFERROR(__xludf.DUMMYFUNCTION("""COMPUTED_VALUE"""),"Aprill (SU)")</f>
        <v>Aprill (SU)</v>
      </c>
      <c r="I503" s="13" t="str">
        <f>IFERROR(__xludf.DUMMYFUNCTION("""COMPUTED_VALUE"""),"SELESAI (VIA PERMOHONAN)")</f>
        <v>SELESAI (VIA PERMOHONAN)</v>
      </c>
      <c r="J503" s="17">
        <f>IFERROR(__xludf.DUMMYFUNCTION("""COMPUTED_VALUE"""),45643.66568922454)</f>
        <v>45643.66569</v>
      </c>
      <c r="K503" s="13" t="str">
        <f>IFERROR(__xludf.DUMMYFUNCTION("""COMPUTED_VALUE"""),"Selesai")</f>
        <v>Selesai</v>
      </c>
      <c r="L503" s="17">
        <f>IFERROR(__xludf.DUMMYFUNCTION("""COMPUTED_VALUE"""),45643.66568922454)</f>
        <v>45643.66569</v>
      </c>
      <c r="M503" s="17">
        <f>IFERROR(__xludf.DUMMYFUNCTION("""COMPUTED_VALUE"""),45643.69094987269)</f>
        <v>45643.69095</v>
      </c>
      <c r="N503" s="13" t="str">
        <f>IFERROR(__xludf.DUMMYFUNCTION("""COMPUTED_VALUE"""),"")</f>
        <v/>
      </c>
      <c r="O503" s="13" t="str">
        <f t="shared" si="1"/>
        <v/>
      </c>
    </row>
    <row r="504" ht="22.5" customHeight="1">
      <c r="B504" s="13">
        <f>IFERROR(__xludf.DUMMYFUNCTION("""COMPUTED_VALUE"""),499.0)</f>
        <v>499</v>
      </c>
      <c r="C504" s="13" t="str">
        <f>IFERROR(__xludf.DUMMYFUNCTION("""COMPUTED_VALUE"""),"M.2702/SUMBERREJO-SEKARANG;B.787/SUMBERREJO-DAHULU")</f>
        <v>M.2702/SUMBERREJO-SEKARANG;B.787/SUMBERREJO-DAHULU</v>
      </c>
      <c r="D504" s="13" t="str">
        <f>IFERROR(__xludf.DUMMYFUNCTION("""COMPUTED_VALUE"""),"K/14/101224/4")</f>
        <v>K/14/101224/4</v>
      </c>
      <c r="E504" s="14" t="str">
        <f>IFERROR(__xludf.DUMMYFUNCTION("""COMPUTED_VALUE"""),"Afriza (BT)")</f>
        <v>Afriza (BT)</v>
      </c>
      <c r="F504" s="14" t="str">
        <f>IFERROR(__xludf.DUMMYFUNCTION("""COMPUTED_VALUE"""),"SELESAI")</f>
        <v>SELESAI</v>
      </c>
      <c r="G504" s="17">
        <f>IFERROR(__xludf.DUMMYFUNCTION("""COMPUTED_VALUE"""),45643.59682697916)</f>
        <v>45643.59683</v>
      </c>
      <c r="H504" s="14"/>
      <c r="I504" s="13"/>
      <c r="J504" s="17" t="str">
        <f>IFERROR(__xludf.DUMMYFUNCTION("""COMPUTED_VALUE"""),"")</f>
        <v/>
      </c>
      <c r="K504" s="13" t="str">
        <f>IFERROR(__xludf.DUMMYFUNCTION("""COMPUTED_VALUE"""),"BT atau SU Belum Valid")</f>
        <v>BT atau SU Belum Valid</v>
      </c>
      <c r="L504" s="13" t="str">
        <f>IFERROR(__xludf.DUMMYFUNCTION("""COMPUTED_VALUE"""),"")</f>
        <v/>
      </c>
      <c r="M504" s="17" t="str">
        <f>IFERROR(__xludf.DUMMYFUNCTION("""COMPUTED_VALUE"""),"")</f>
        <v/>
      </c>
      <c r="N504" s="17">
        <f>IFERROR(__xludf.DUMMYFUNCTION("""COMPUTED_VALUE"""),45650.397240300925)</f>
        <v>45650.39724</v>
      </c>
      <c r="O504" s="13">
        <f t="shared" si="1"/>
        <v>1</v>
      </c>
    </row>
    <row r="505" ht="22.5" customHeight="1">
      <c r="B505" s="13">
        <f>IFERROR(__xludf.DUMMYFUNCTION("""COMPUTED_VALUE"""),500.0)</f>
        <v>500</v>
      </c>
      <c r="C505" s="13" t="str">
        <f>IFERROR(__xludf.DUMMYFUNCTION("""COMPUTED_VALUE"""),"M.1536/GUNUNG TERANG-SEKARANG;B.134/GUNUNG TERANG-DAHULU")</f>
        <v>M.1536/GUNUNG TERANG-SEKARANG;B.134/GUNUNG TERANG-DAHULU</v>
      </c>
      <c r="D505" s="13" t="str">
        <f>IFERROR(__xludf.DUMMYFUNCTION("""COMPUTED_VALUE"""),"K/51/111224/1")</f>
        <v>K/51/111224/1</v>
      </c>
      <c r="E505" s="14" t="str">
        <f>IFERROR(__xludf.DUMMYFUNCTION("""COMPUTED_VALUE"""),"Afriza (BT)")</f>
        <v>Afriza (BT)</v>
      </c>
      <c r="F505" s="14" t="str">
        <f>IFERROR(__xludf.DUMMYFUNCTION("""COMPUTED_VALUE"""),"SELESAI (VIA PERMOHONAN)")</f>
        <v>SELESAI (VIA PERMOHONAN)</v>
      </c>
      <c r="G505" s="17">
        <f>IFERROR(__xludf.DUMMYFUNCTION("""COMPUTED_VALUE"""),45643.59682697916)</f>
        <v>45643.59683</v>
      </c>
      <c r="H505" s="14" t="str">
        <f>IFERROR(__xludf.DUMMYFUNCTION("""COMPUTED_VALUE"""),"Aprill (SU)")</f>
        <v>Aprill (SU)</v>
      </c>
      <c r="I505" s="13" t="str">
        <f>IFERROR(__xludf.DUMMYFUNCTION("""COMPUTED_VALUE"""),"SELESAI (VIA PERMOHONAN)")</f>
        <v>SELESAI (VIA PERMOHONAN)</v>
      </c>
      <c r="J505" s="17">
        <f>IFERROR(__xludf.DUMMYFUNCTION("""COMPUTED_VALUE"""),45643.66586966436)</f>
        <v>45643.66587</v>
      </c>
      <c r="K505" s="13" t="str">
        <f>IFERROR(__xludf.DUMMYFUNCTION("""COMPUTED_VALUE"""),"Selesai")</f>
        <v>Selesai</v>
      </c>
      <c r="L505" s="17">
        <f>IFERROR(__xludf.DUMMYFUNCTION("""COMPUTED_VALUE"""),45643.66586966436)</f>
        <v>45643.66587</v>
      </c>
      <c r="M505" s="17">
        <f>IFERROR(__xludf.DUMMYFUNCTION("""COMPUTED_VALUE"""),45643.69103427083)</f>
        <v>45643.69103</v>
      </c>
      <c r="N505" s="17">
        <f>IFERROR(__xludf.DUMMYFUNCTION("""COMPUTED_VALUE"""),45650.47757618055)</f>
        <v>45650.47758</v>
      </c>
      <c r="O505" s="13">
        <f t="shared" si="1"/>
        <v>2</v>
      </c>
    </row>
    <row r="506" ht="22.5" customHeight="1">
      <c r="B506" s="13">
        <f>IFERROR(__xludf.DUMMYFUNCTION("""COMPUTED_VALUE"""),501.0)</f>
        <v>501</v>
      </c>
      <c r="C506" s="13" t="str">
        <f>IFERROR(__xludf.DUMMYFUNCTION("""COMPUTED_VALUE"""),"B.1138/KEMILING PERMAI")</f>
        <v>B.1138/KEMILING PERMAI</v>
      </c>
      <c r="D506" s="13" t="str">
        <f>IFERROR(__xludf.DUMMYFUNCTION("""COMPUTED_VALUE"""),"K/24/291024/1")</f>
        <v>K/24/291024/1</v>
      </c>
      <c r="E506" s="14" t="str">
        <f>IFERROR(__xludf.DUMMYFUNCTION("""COMPUTED_VALUE"""),"Afriza (BT)")</f>
        <v>Afriza (BT)</v>
      </c>
      <c r="F506" s="14" t="str">
        <f>IFERROR(__xludf.DUMMYFUNCTION("""COMPUTED_VALUE"""),"SELESAI (VIA PERMOHONAN)")</f>
        <v>SELESAI (VIA PERMOHONAN)</v>
      </c>
      <c r="G506" s="17">
        <f>IFERROR(__xludf.DUMMYFUNCTION("""COMPUTED_VALUE"""),45643.59682697916)</f>
        <v>45643.59683</v>
      </c>
      <c r="H506" s="14" t="str">
        <f>IFERROR(__xludf.DUMMYFUNCTION("""COMPUTED_VALUE"""),"Aprill (SU)")</f>
        <v>Aprill (SU)</v>
      </c>
      <c r="I506" s="13" t="str">
        <f>IFERROR(__xludf.DUMMYFUNCTION("""COMPUTED_VALUE"""),"SELESAI (VIA PERMOHONAN)")</f>
        <v>SELESAI (VIA PERMOHONAN)</v>
      </c>
      <c r="J506" s="17">
        <f>IFERROR(__xludf.DUMMYFUNCTION("""COMPUTED_VALUE"""),45643.66586966436)</f>
        <v>45643.66587</v>
      </c>
      <c r="K506" s="13" t="str">
        <f>IFERROR(__xludf.DUMMYFUNCTION("""COMPUTED_VALUE"""),"Selesai")</f>
        <v>Selesai</v>
      </c>
      <c r="L506" s="17">
        <f>IFERROR(__xludf.DUMMYFUNCTION("""COMPUTED_VALUE"""),45643.66586966436)</f>
        <v>45643.66587</v>
      </c>
      <c r="M506" s="17">
        <f>IFERROR(__xludf.DUMMYFUNCTION("""COMPUTED_VALUE"""),45643.69103427083)</f>
        <v>45643.69103</v>
      </c>
      <c r="N506" s="13" t="str">
        <f>IFERROR(__xludf.DUMMYFUNCTION("""COMPUTED_VALUE"""),"")</f>
        <v/>
      </c>
      <c r="O506" s="13" t="str">
        <f t="shared" si="1"/>
        <v/>
      </c>
    </row>
    <row r="507" ht="22.5" customHeight="1">
      <c r="B507" s="13">
        <f>IFERROR(__xludf.DUMMYFUNCTION("""COMPUTED_VALUE"""),502.0)</f>
        <v>502</v>
      </c>
      <c r="C507" s="13" t="str">
        <f>IFERROR(__xludf.DUMMYFUNCTION("""COMPUTED_VALUE"""),"M.1688/KOTA BARU")</f>
        <v>M.1688/KOTA BARU</v>
      </c>
      <c r="D507" s="13" t="str">
        <f>IFERROR(__xludf.DUMMYFUNCTION("""COMPUTED_VALUE"""),"K/17/121224/2")</f>
        <v>K/17/121224/2</v>
      </c>
      <c r="E507" s="14" t="str">
        <f>IFERROR(__xludf.DUMMYFUNCTION("""COMPUTED_VALUE"""),"Afriza (BT)")</f>
        <v>Afriza (BT)</v>
      </c>
      <c r="F507" s="14" t="str">
        <f>IFERROR(__xludf.DUMMYFUNCTION("""COMPUTED_VALUE"""),"SELESAI (VIA PERMOHONAN)")</f>
        <v>SELESAI (VIA PERMOHONAN)</v>
      </c>
      <c r="G507" s="17">
        <f>IFERROR(__xludf.DUMMYFUNCTION("""COMPUTED_VALUE"""),45643.59682697916)</f>
        <v>45643.59683</v>
      </c>
      <c r="H507" s="14" t="str">
        <f>IFERROR(__xludf.DUMMYFUNCTION("""COMPUTED_VALUE"""),"Aprill (SU)")</f>
        <v>Aprill (SU)</v>
      </c>
      <c r="I507" s="13" t="str">
        <f>IFERROR(__xludf.DUMMYFUNCTION("""COMPUTED_VALUE"""),"SELESAI (VIA PERMOHONAN)")</f>
        <v>SELESAI (VIA PERMOHONAN)</v>
      </c>
      <c r="J507" s="17">
        <f>IFERROR(__xludf.DUMMYFUNCTION("""COMPUTED_VALUE"""),45643.66586966436)</f>
        <v>45643.66587</v>
      </c>
      <c r="K507" s="13" t="str">
        <f>IFERROR(__xludf.DUMMYFUNCTION("""COMPUTED_VALUE"""),"Selesai")</f>
        <v>Selesai</v>
      </c>
      <c r="L507" s="17">
        <f>IFERROR(__xludf.DUMMYFUNCTION("""COMPUTED_VALUE"""),45643.66586966436)</f>
        <v>45643.66587</v>
      </c>
      <c r="M507" s="17">
        <f>IFERROR(__xludf.DUMMYFUNCTION("""COMPUTED_VALUE"""),45643.69103427083)</f>
        <v>45643.69103</v>
      </c>
      <c r="N507" s="17">
        <f>IFERROR(__xludf.DUMMYFUNCTION("""COMPUTED_VALUE"""),45650.40646341435)</f>
        <v>45650.40646</v>
      </c>
      <c r="O507" s="13">
        <f t="shared" si="1"/>
        <v>1</v>
      </c>
    </row>
    <row r="508" ht="22.5" customHeight="1">
      <c r="B508" s="13">
        <f>IFERROR(__xludf.DUMMYFUNCTION("""COMPUTED_VALUE"""),503.0)</f>
        <v>503</v>
      </c>
      <c r="C508" s="13" t="str">
        <f>IFERROR(__xludf.DUMMYFUNCTION("""COMPUTED_VALUE"""),"HGB 637/CAMPANG RAYA")</f>
        <v>HGB 637/CAMPANG RAYA</v>
      </c>
      <c r="D508" s="13" t="str">
        <f>IFERROR(__xludf.DUMMYFUNCTION("""COMPUTED_VALUE"""),"L/44/111224/1")</f>
        <v>L/44/111224/1</v>
      </c>
      <c r="E508" s="14" t="str">
        <f>IFERROR(__xludf.DUMMYFUNCTION("""COMPUTED_VALUE"""),"Nadian (BT)")</f>
        <v>Nadian (BT)</v>
      </c>
      <c r="F508" s="14" t="str">
        <f>IFERROR(__xludf.DUMMYFUNCTION("""COMPUTED_VALUE"""),"SELESAI")</f>
        <v>SELESAI</v>
      </c>
      <c r="G508" s="17">
        <f>IFERROR(__xludf.DUMMYFUNCTION("""COMPUTED_VALUE"""),45643.61368637731)</f>
        <v>45643.61369</v>
      </c>
      <c r="H508" s="14" t="str">
        <f>IFERROR(__xludf.DUMMYFUNCTION("""COMPUTED_VALUE"""),"Bu Eva (SU)")</f>
        <v>Bu Eva (SU)</v>
      </c>
      <c r="I508" s="13" t="str">
        <f>IFERROR(__xludf.DUMMYFUNCTION("""COMPUTED_VALUE"""),"SELESAI")</f>
        <v>SELESAI</v>
      </c>
      <c r="J508" s="17">
        <f>IFERROR(__xludf.DUMMYFUNCTION("""COMPUTED_VALUE"""),45650.47757618055)</f>
        <v>45650.47758</v>
      </c>
      <c r="K508" s="13" t="str">
        <f>IFERROR(__xludf.DUMMYFUNCTION("""COMPUTED_VALUE"""),"SELESAI")</f>
        <v>SELESAI</v>
      </c>
      <c r="L508" s="17">
        <f>IFERROR(__xludf.DUMMYFUNCTION("""COMPUTED_VALUE"""),45650.47757618055)</f>
        <v>45650.47758</v>
      </c>
      <c r="M508" s="17" t="str">
        <f>IFERROR(__xludf.DUMMYFUNCTION("""COMPUTED_VALUE"""),"")</f>
        <v/>
      </c>
      <c r="N508" s="17">
        <f>IFERROR(__xludf.DUMMYFUNCTION("""COMPUTED_VALUE"""),45650.39672981482)</f>
        <v>45650.39673</v>
      </c>
      <c r="O508" s="13">
        <f t="shared" si="1"/>
        <v>2</v>
      </c>
    </row>
    <row r="509" ht="22.5" customHeight="1">
      <c r="B509" s="13">
        <f>IFERROR(__xludf.DUMMYFUNCTION("""COMPUTED_VALUE"""),504.0)</f>
        <v>504</v>
      </c>
      <c r="C509" s="13" t="str">
        <f>IFERROR(__xludf.DUMMYFUNCTION("""COMPUTED_VALUE"""),"HM 1201/KOTA BARU")</f>
        <v>HM 1201/KOTA BARU</v>
      </c>
      <c r="D509" s="13" t="str">
        <f>IFERROR(__xludf.DUMMYFUNCTION("""COMPUTED_VALUE"""),"L/25/111224/1")</f>
        <v>L/25/111224/1</v>
      </c>
      <c r="E509" s="14" t="str">
        <f>IFERROR(__xludf.DUMMYFUNCTION("""COMPUTED_VALUE"""),"Nadian (BT)")</f>
        <v>Nadian (BT)</v>
      </c>
      <c r="F509" s="14" t="str">
        <f>IFERROR(__xludf.DUMMYFUNCTION("""COMPUTED_VALUE"""),"SELESAI")</f>
        <v>SELESAI</v>
      </c>
      <c r="G509" s="17">
        <f>IFERROR(__xludf.DUMMYFUNCTION("""COMPUTED_VALUE"""),45643.61370556713)</f>
        <v>45643.61371</v>
      </c>
      <c r="H509" s="14" t="str">
        <f>IFERROR(__xludf.DUMMYFUNCTION("""COMPUTED_VALUE"""),"Bu Eva (SU)")</f>
        <v>Bu Eva (SU)</v>
      </c>
      <c r="I509" s="13" t="str">
        <f>IFERROR(__xludf.DUMMYFUNCTION("""COMPUTED_VALUE"""),"SELESAI")</f>
        <v>SELESAI</v>
      </c>
      <c r="J509" s="17">
        <f>IFERROR(__xludf.DUMMYFUNCTION("""COMPUTED_VALUE"""),45650.47757618055)</f>
        <v>45650.47758</v>
      </c>
      <c r="K509" s="13" t="str">
        <f>IFERROR(__xludf.DUMMYFUNCTION("""COMPUTED_VALUE"""),"SELESAI")</f>
        <v>SELESAI</v>
      </c>
      <c r="L509" s="17">
        <f>IFERROR(__xludf.DUMMYFUNCTION("""COMPUTED_VALUE"""),45650.47757618055)</f>
        <v>45650.47758</v>
      </c>
      <c r="M509" s="17" t="str">
        <f>IFERROR(__xludf.DUMMYFUNCTION("""COMPUTED_VALUE"""),"")</f>
        <v/>
      </c>
      <c r="N509" s="17">
        <f>IFERROR(__xludf.DUMMYFUNCTION("""COMPUTED_VALUE"""),45650.3996574537)</f>
        <v>45650.39966</v>
      </c>
      <c r="O509" s="13">
        <f t="shared" si="1"/>
        <v>3</v>
      </c>
    </row>
    <row r="510" ht="22.5" customHeight="1">
      <c r="B510" s="13">
        <f>IFERROR(__xludf.DUMMYFUNCTION("""COMPUTED_VALUE"""),505.0)</f>
        <v>505</v>
      </c>
      <c r="C510" s="13" t="str">
        <f>IFERROR(__xludf.DUMMYFUNCTION("""COMPUTED_VALUE"""),"M. 10242/ Sukabumi")</f>
        <v>M. 10242/ Sukabumi</v>
      </c>
      <c r="D510" s="13" t="str">
        <f>IFERROR(__xludf.DUMMYFUNCTION("""COMPUTED_VALUE"""),"K/3/111224/2")</f>
        <v>K/3/111224/2</v>
      </c>
      <c r="E510" s="14" t="str">
        <f>IFERROR(__xludf.DUMMYFUNCTION("""COMPUTED_VALUE"""),"Nadian (BT)")</f>
        <v>Nadian (BT)</v>
      </c>
      <c r="F510" s="14" t="str">
        <f>IFERROR(__xludf.DUMMYFUNCTION("""COMPUTED_VALUE"""),"SELESAI")</f>
        <v>SELESAI</v>
      </c>
      <c r="G510" s="17">
        <f>IFERROR(__xludf.DUMMYFUNCTION("""COMPUTED_VALUE"""),45643.61370556713)</f>
        <v>45643.61371</v>
      </c>
      <c r="H510" s="14" t="str">
        <f>IFERROR(__xludf.DUMMYFUNCTION("""COMPUTED_VALUE"""),"Bu Eva (SU)")</f>
        <v>Bu Eva (SU)</v>
      </c>
      <c r="I510" s="13" t="str">
        <f>IFERROR(__xludf.DUMMYFUNCTION("""COMPUTED_VALUE"""),"SELESAI")</f>
        <v>SELESAI</v>
      </c>
      <c r="J510" s="17">
        <f>IFERROR(__xludf.DUMMYFUNCTION("""COMPUTED_VALUE"""),45650.47757618055)</f>
        <v>45650.47758</v>
      </c>
      <c r="K510" s="13" t="str">
        <f>IFERROR(__xludf.DUMMYFUNCTION("""COMPUTED_VALUE"""),"SELESAI")</f>
        <v>SELESAI</v>
      </c>
      <c r="L510" s="17">
        <f>IFERROR(__xludf.DUMMYFUNCTION("""COMPUTED_VALUE"""),45650.47757618055)</f>
        <v>45650.47758</v>
      </c>
      <c r="M510" s="17" t="str">
        <f>IFERROR(__xludf.DUMMYFUNCTION("""COMPUTED_VALUE"""),"")</f>
        <v/>
      </c>
      <c r="N510" s="17">
        <f>IFERROR(__xludf.DUMMYFUNCTION("""COMPUTED_VALUE"""),45650.39966282407)</f>
        <v>45650.39966</v>
      </c>
      <c r="O510" s="13">
        <f t="shared" si="1"/>
        <v>4</v>
      </c>
    </row>
    <row r="511" ht="22.5" customHeight="1">
      <c r="B511" s="13">
        <f>IFERROR(__xludf.DUMMYFUNCTION("""COMPUTED_VALUE"""),506.0)</f>
        <v>506</v>
      </c>
      <c r="C511" s="13" t="str">
        <f>IFERROR(__xludf.DUMMYFUNCTION("""COMPUTED_VALUE"""),"HM 1430/WHP")</f>
        <v>HM 1430/WHP</v>
      </c>
      <c r="D511" s="13" t="str">
        <f>IFERROR(__xludf.DUMMYFUNCTION("""COMPUTED_VALUE"""),"L/19/121224/1")</f>
        <v>L/19/121224/1</v>
      </c>
      <c r="E511" s="14" t="str">
        <f>IFERROR(__xludf.DUMMYFUNCTION("""COMPUTED_VALUE"""),"Nadian (BT)")</f>
        <v>Nadian (BT)</v>
      </c>
      <c r="F511" s="14" t="str">
        <f>IFERROR(__xludf.DUMMYFUNCTION("""COMPUTED_VALUE"""),"SELESAI")</f>
        <v>SELESAI</v>
      </c>
      <c r="G511" s="17">
        <f>IFERROR(__xludf.DUMMYFUNCTION("""COMPUTED_VALUE"""),45643.61370556713)</f>
        <v>45643.61371</v>
      </c>
      <c r="H511" s="14" t="str">
        <f>IFERROR(__xludf.DUMMYFUNCTION("""COMPUTED_VALUE"""),"Bu Eva (SU)")</f>
        <v>Bu Eva (SU)</v>
      </c>
      <c r="I511" s="13" t="str">
        <f>IFERROR(__xludf.DUMMYFUNCTION("""COMPUTED_VALUE"""),"SELESAI")</f>
        <v>SELESAI</v>
      </c>
      <c r="J511" s="17">
        <f>IFERROR(__xludf.DUMMYFUNCTION("""COMPUTED_VALUE"""),45650.47757618055)</f>
        <v>45650.47758</v>
      </c>
      <c r="K511" s="13" t="str">
        <f>IFERROR(__xludf.DUMMYFUNCTION("""COMPUTED_VALUE"""),"SELESAI")</f>
        <v>SELESAI</v>
      </c>
      <c r="L511" s="17">
        <f>IFERROR(__xludf.DUMMYFUNCTION("""COMPUTED_VALUE"""),45650.47757618055)</f>
        <v>45650.47758</v>
      </c>
      <c r="M511" s="17" t="str">
        <f>IFERROR(__xludf.DUMMYFUNCTION("""COMPUTED_VALUE"""),"")</f>
        <v/>
      </c>
      <c r="N511" s="17">
        <f>IFERROR(__xludf.DUMMYFUNCTION("""COMPUTED_VALUE"""),45650.39857913194)</f>
        <v>45650.39858</v>
      </c>
      <c r="O511" s="13">
        <f t="shared" si="1"/>
        <v>5</v>
      </c>
    </row>
    <row r="512" ht="22.5" customHeight="1">
      <c r="B512" s="13">
        <f>IFERROR(__xludf.DUMMYFUNCTION("""COMPUTED_VALUE"""),507.0)</f>
        <v>507</v>
      </c>
      <c r="C512" s="13" t="str">
        <f>IFERROR(__xludf.DUMMYFUNCTION("""COMPUTED_VALUE"""),"M.1234/RAJABASA PEMUKA")</f>
        <v>M.1234/RAJABASA PEMUKA</v>
      </c>
      <c r="D512" s="13" t="str">
        <f>IFERROR(__xludf.DUMMYFUNCTION("""COMPUTED_VALUE"""),"K/16/121224/1")</f>
        <v>K/16/121224/1</v>
      </c>
      <c r="E512" s="14" t="str">
        <f>IFERROR(__xludf.DUMMYFUNCTION("""COMPUTED_VALUE"""),"Nadian (BT)")</f>
        <v>Nadian (BT)</v>
      </c>
      <c r="F512" s="14" t="str">
        <f>IFERROR(__xludf.DUMMYFUNCTION("""COMPUTED_VALUE"""),"SELESAI")</f>
        <v>SELESAI</v>
      </c>
      <c r="G512" s="17">
        <f>IFERROR(__xludf.DUMMYFUNCTION("""COMPUTED_VALUE"""),45643.61370556713)</f>
        <v>45643.61371</v>
      </c>
      <c r="H512" s="14" t="str">
        <f>IFERROR(__xludf.DUMMYFUNCTION("""COMPUTED_VALUE"""),"Bu Eva (SU)")</f>
        <v>Bu Eva (SU)</v>
      </c>
      <c r="I512" s="13" t="str">
        <f>IFERROR(__xludf.DUMMYFUNCTION("""COMPUTED_VALUE"""),"SELESAI")</f>
        <v>SELESAI</v>
      </c>
      <c r="J512" s="17">
        <f>IFERROR(__xludf.DUMMYFUNCTION("""COMPUTED_VALUE"""),45650.477576192134)</f>
        <v>45650.47758</v>
      </c>
      <c r="K512" s="13" t="str">
        <f>IFERROR(__xludf.DUMMYFUNCTION("""COMPUTED_VALUE"""),"SELESAI")</f>
        <v>SELESAI</v>
      </c>
      <c r="L512" s="17">
        <f>IFERROR(__xludf.DUMMYFUNCTION("""COMPUTED_VALUE"""),45650.477576192134)</f>
        <v>45650.47758</v>
      </c>
      <c r="M512" s="17" t="str">
        <f>IFERROR(__xludf.DUMMYFUNCTION("""COMPUTED_VALUE"""),"")</f>
        <v/>
      </c>
      <c r="N512" s="17">
        <f>IFERROR(__xludf.DUMMYFUNCTION("""COMPUTED_VALUE"""),45650.477576192134)</f>
        <v>45650.47758</v>
      </c>
      <c r="O512" s="13">
        <f t="shared" si="1"/>
        <v>6</v>
      </c>
    </row>
    <row r="513" ht="22.5" customHeight="1">
      <c r="B513" s="13">
        <f>IFERROR(__xludf.DUMMYFUNCTION("""COMPUTED_VALUE"""),508.0)</f>
        <v>508</v>
      </c>
      <c r="C513" s="13" t="str">
        <f>IFERROR(__xludf.DUMMYFUNCTION("""COMPUTED_VALUE"""),"M. 6463/ Way Kandis")</f>
        <v>M. 6463/ Way Kandis</v>
      </c>
      <c r="D513" s="13" t="str">
        <f>IFERROR(__xludf.DUMMYFUNCTION("""COMPUTED_VALUE"""),"K/33/111224/2")</f>
        <v>K/33/111224/2</v>
      </c>
      <c r="E513" s="14" t="str">
        <f>IFERROR(__xludf.DUMMYFUNCTION("""COMPUTED_VALUE"""),"Nadian (BT)")</f>
        <v>Nadian (BT)</v>
      </c>
      <c r="F513" s="14" t="str">
        <f>IFERROR(__xludf.DUMMYFUNCTION("""COMPUTED_VALUE"""),"SELESAI")</f>
        <v>SELESAI</v>
      </c>
      <c r="G513" s="17">
        <f>IFERROR(__xludf.DUMMYFUNCTION("""COMPUTED_VALUE"""),45643.61370556713)</f>
        <v>45643.61371</v>
      </c>
      <c r="H513" s="14" t="str">
        <f>IFERROR(__xludf.DUMMYFUNCTION("""COMPUTED_VALUE"""),"Bu Eva (SU)")</f>
        <v>Bu Eva (SU)</v>
      </c>
      <c r="I513" s="13" t="str">
        <f>IFERROR(__xludf.DUMMYFUNCTION("""COMPUTED_VALUE"""),"SELESAI")</f>
        <v>SELESAI</v>
      </c>
      <c r="J513" s="17">
        <f>IFERROR(__xludf.DUMMYFUNCTION("""COMPUTED_VALUE"""),45650.477576192134)</f>
        <v>45650.47758</v>
      </c>
      <c r="K513" s="13" t="str">
        <f>IFERROR(__xludf.DUMMYFUNCTION("""COMPUTED_VALUE"""),"SELESAI")</f>
        <v>SELESAI</v>
      </c>
      <c r="L513" s="17">
        <f>IFERROR(__xludf.DUMMYFUNCTION("""COMPUTED_VALUE"""),45650.477576192134)</f>
        <v>45650.47758</v>
      </c>
      <c r="M513" s="17" t="str">
        <f>IFERROR(__xludf.DUMMYFUNCTION("""COMPUTED_VALUE"""),"")</f>
        <v/>
      </c>
      <c r="N513" s="17">
        <f>IFERROR(__xludf.DUMMYFUNCTION("""COMPUTED_VALUE"""),45650.40291438658)</f>
        <v>45650.40291</v>
      </c>
      <c r="O513" s="13">
        <f t="shared" si="1"/>
        <v>7</v>
      </c>
    </row>
    <row r="514" ht="22.5" customHeight="1">
      <c r="B514" s="13">
        <f>IFERROR(__xludf.DUMMYFUNCTION("""COMPUTED_VALUE"""),509.0)</f>
        <v>509</v>
      </c>
      <c r="C514" s="13" t="str">
        <f>IFERROR(__xludf.DUMMYFUNCTION("""COMPUTED_VALUE"""),"M. 1760/ Rajabasa Nunyai")</f>
        <v>M. 1760/ Rajabasa Nunyai</v>
      </c>
      <c r="D514" s="13" t="str">
        <f>IFERROR(__xludf.DUMMYFUNCTION("""COMPUTED_VALUE"""),"K/6/111224/3")</f>
        <v>K/6/111224/3</v>
      </c>
      <c r="E514" s="14" t="str">
        <f>IFERROR(__xludf.DUMMYFUNCTION("""COMPUTED_VALUE"""),"Nadian (BT)")</f>
        <v>Nadian (BT)</v>
      </c>
      <c r="F514" s="14" t="str">
        <f>IFERROR(__xludf.DUMMYFUNCTION("""COMPUTED_VALUE"""),"SELESAI")</f>
        <v>SELESAI</v>
      </c>
      <c r="G514" s="17">
        <f>IFERROR(__xludf.DUMMYFUNCTION("""COMPUTED_VALUE"""),45643.61362925926)</f>
        <v>45643.61363</v>
      </c>
      <c r="H514" s="14" t="str">
        <f>IFERROR(__xludf.DUMMYFUNCTION("""COMPUTED_VALUE"""),"Bu Eva (SU)")</f>
        <v>Bu Eva (SU)</v>
      </c>
      <c r="I514" s="13" t="str">
        <f>IFERROR(__xludf.DUMMYFUNCTION("""COMPUTED_VALUE"""),"SELESAI")</f>
        <v>SELESAI</v>
      </c>
      <c r="J514" s="17">
        <f>IFERROR(__xludf.DUMMYFUNCTION("""COMPUTED_VALUE"""),45650.477576192134)</f>
        <v>45650.47758</v>
      </c>
      <c r="K514" s="13" t="str">
        <f>IFERROR(__xludf.DUMMYFUNCTION("""COMPUTED_VALUE"""),"SELESAI")</f>
        <v>SELESAI</v>
      </c>
      <c r="L514" s="17">
        <f>IFERROR(__xludf.DUMMYFUNCTION("""COMPUTED_VALUE"""),45650.477576192134)</f>
        <v>45650.47758</v>
      </c>
      <c r="M514" s="17" t="str">
        <f>IFERROR(__xludf.DUMMYFUNCTION("""COMPUTED_VALUE"""),"")</f>
        <v/>
      </c>
      <c r="N514" s="17">
        <f>IFERROR(__xludf.DUMMYFUNCTION("""COMPUTED_VALUE"""),45650.40338613426)</f>
        <v>45650.40339</v>
      </c>
      <c r="O514" s="13">
        <f t="shared" si="1"/>
        <v>8</v>
      </c>
    </row>
    <row r="515" ht="22.5" customHeight="1">
      <c r="B515" s="13">
        <f>IFERROR(__xludf.DUMMYFUNCTION("""COMPUTED_VALUE"""),510.0)</f>
        <v>510</v>
      </c>
      <c r="C515" s="13" t="str">
        <f>IFERROR(__xludf.DUMMYFUNCTION("""COMPUTED_VALUE"""),"M. 1673/ Rajabasa Raya")</f>
        <v>M. 1673/ Rajabasa Raya</v>
      </c>
      <c r="D515" s="13" t="str">
        <f>IFERROR(__xludf.DUMMYFUNCTION("""COMPUTED_VALUE"""),"K/5/111224/1")</f>
        <v>K/5/111224/1</v>
      </c>
      <c r="E515" s="14" t="str">
        <f>IFERROR(__xludf.DUMMYFUNCTION("""COMPUTED_VALUE"""),"Nadian (BT)")</f>
        <v>Nadian (BT)</v>
      </c>
      <c r="F515" s="14" t="str">
        <f>IFERROR(__xludf.DUMMYFUNCTION("""COMPUTED_VALUE"""),"SELESAI (VIA PERMOHONAN)")</f>
        <v>SELESAI (VIA PERMOHONAN)</v>
      </c>
      <c r="G515" s="17">
        <f>IFERROR(__xludf.DUMMYFUNCTION("""COMPUTED_VALUE"""),45643.613751666664)</f>
        <v>45643.61375</v>
      </c>
      <c r="H515" s="14" t="str">
        <f>IFERROR(__xludf.DUMMYFUNCTION("""COMPUTED_VALUE"""),"Aprill (SU)")</f>
        <v>Aprill (SU)</v>
      </c>
      <c r="I515" s="13" t="str">
        <f>IFERROR(__xludf.DUMMYFUNCTION("""COMPUTED_VALUE"""),"SELESAI (VIA PERMOHONAN)")</f>
        <v>SELESAI (VIA PERMOHONAN)</v>
      </c>
      <c r="J515" s="17">
        <f>IFERROR(__xludf.DUMMYFUNCTION("""COMPUTED_VALUE"""),45643.66516916666)</f>
        <v>45643.66517</v>
      </c>
      <c r="K515" s="13" t="str">
        <f>IFERROR(__xludf.DUMMYFUNCTION("""COMPUTED_VALUE"""),"Selesai")</f>
        <v>Selesai</v>
      </c>
      <c r="L515" s="17">
        <f>IFERROR(__xludf.DUMMYFUNCTION("""COMPUTED_VALUE"""),45643.66516916666)</f>
        <v>45643.66517</v>
      </c>
      <c r="M515" s="17">
        <f>IFERROR(__xludf.DUMMYFUNCTION("""COMPUTED_VALUE"""),45643.69084473379)</f>
        <v>45643.69084</v>
      </c>
      <c r="N515" s="17">
        <f>IFERROR(__xludf.DUMMYFUNCTION("""COMPUTED_VALUE"""),45650.40339144676)</f>
        <v>45650.40339</v>
      </c>
      <c r="O515" s="13">
        <f t="shared" si="1"/>
        <v>9</v>
      </c>
    </row>
    <row r="516" ht="22.5" customHeight="1">
      <c r="B516" s="13">
        <f>IFERROR(__xludf.DUMMYFUNCTION("""COMPUTED_VALUE"""),511.0)</f>
        <v>511</v>
      </c>
      <c r="C516" s="13" t="str">
        <f>IFERROR(__xludf.DUMMYFUNCTION("""COMPUTED_VALUE"""),"M.2203/SUKARAME BARU")</f>
        <v>M.2203/SUKARAME BARU</v>
      </c>
      <c r="D516" s="13" t="str">
        <f>IFERROR(__xludf.DUMMYFUNCTION("""COMPUTED_VALUE"""),"K/29/091224/1")</f>
        <v>K/29/091224/1</v>
      </c>
      <c r="E516" s="14" t="str">
        <f>IFERROR(__xludf.DUMMYFUNCTION("""COMPUTED_VALUE"""),"Nadian (BT)")</f>
        <v>Nadian (BT)</v>
      </c>
      <c r="F516" s="14" t="str">
        <f>IFERROR(__xludf.DUMMYFUNCTION("""COMPUTED_VALUE"""),"SELESAI (VIA PERMOHONAN)")</f>
        <v>SELESAI (VIA PERMOHONAN)</v>
      </c>
      <c r="G516" s="17">
        <f>IFERROR(__xludf.DUMMYFUNCTION("""COMPUTED_VALUE"""),45643.6137734838)</f>
        <v>45643.61377</v>
      </c>
      <c r="H516" s="14" t="str">
        <f>IFERROR(__xludf.DUMMYFUNCTION("""COMPUTED_VALUE"""),"Aprill (SU)")</f>
        <v>Aprill (SU)</v>
      </c>
      <c r="I516" s="13" t="str">
        <f>IFERROR(__xludf.DUMMYFUNCTION("""COMPUTED_VALUE"""),"SELESAI (VIA PERMOHONAN)")</f>
        <v>SELESAI (VIA PERMOHONAN)</v>
      </c>
      <c r="J516" s="17">
        <f>IFERROR(__xludf.DUMMYFUNCTION("""COMPUTED_VALUE"""),45643.66525186342)</f>
        <v>45643.66525</v>
      </c>
      <c r="K516" s="13" t="str">
        <f>IFERROR(__xludf.DUMMYFUNCTION("""COMPUTED_VALUE"""),"Selesai")</f>
        <v>Selesai</v>
      </c>
      <c r="L516" s="17">
        <f>IFERROR(__xludf.DUMMYFUNCTION("""COMPUTED_VALUE"""),45643.66525186342)</f>
        <v>45643.66525</v>
      </c>
      <c r="M516" s="17">
        <f>IFERROR(__xludf.DUMMYFUNCTION("""COMPUTED_VALUE"""),45643.690844745375)</f>
        <v>45643.69084</v>
      </c>
      <c r="N516" s="17">
        <f>IFERROR(__xludf.DUMMYFUNCTION("""COMPUTED_VALUE"""),45653.602349085646)</f>
        <v>45653.60235</v>
      </c>
      <c r="O516" s="13">
        <f t="shared" si="1"/>
        <v>10</v>
      </c>
    </row>
    <row r="517" ht="22.5" customHeight="1">
      <c r="B517" s="13">
        <f>IFERROR(__xludf.DUMMYFUNCTION("""COMPUTED_VALUE"""),512.0)</f>
        <v>512</v>
      </c>
      <c r="C517" s="13" t="str">
        <f>IFERROR(__xludf.DUMMYFUNCTION("""COMPUTED_VALUE"""),"M. 154/ Rajabasa Pemuka")</f>
        <v>M. 154/ Rajabasa Pemuka</v>
      </c>
      <c r="D517" s="13" t="str">
        <f>IFERROR(__xludf.DUMMYFUNCTION("""COMPUTED_VALUE"""),"K/15/111224/1")</f>
        <v>K/15/111224/1</v>
      </c>
      <c r="E517" s="14" t="str">
        <f>IFERROR(__xludf.DUMMYFUNCTION("""COMPUTED_VALUE"""),"Nadian (BT)")</f>
        <v>Nadian (BT)</v>
      </c>
      <c r="F517" s="14" t="str">
        <f>IFERROR(__xludf.DUMMYFUNCTION("""COMPUTED_VALUE"""),"SELESAI (VIA PERMOHONAN)")</f>
        <v>SELESAI (VIA PERMOHONAN)</v>
      </c>
      <c r="G517" s="17">
        <f>IFERROR(__xludf.DUMMYFUNCTION("""COMPUTED_VALUE"""),45643.6137734838)</f>
        <v>45643.61377</v>
      </c>
      <c r="H517" s="14" t="str">
        <f>IFERROR(__xludf.DUMMYFUNCTION("""COMPUTED_VALUE"""),"Aprill (SU)")</f>
        <v>Aprill (SU)</v>
      </c>
      <c r="I517" s="13" t="str">
        <f>IFERROR(__xludf.DUMMYFUNCTION("""COMPUTED_VALUE"""),"SELESAI (VIA PERMOHONAN)")</f>
        <v>SELESAI (VIA PERMOHONAN)</v>
      </c>
      <c r="J517" s="17">
        <f>IFERROR(__xludf.DUMMYFUNCTION("""COMPUTED_VALUE"""),45643.665275625)</f>
        <v>45643.66528</v>
      </c>
      <c r="K517" s="13" t="str">
        <f>IFERROR(__xludf.DUMMYFUNCTION("""COMPUTED_VALUE"""),"Selesai")</f>
        <v>Selesai</v>
      </c>
      <c r="L517" s="17">
        <f>IFERROR(__xludf.DUMMYFUNCTION("""COMPUTED_VALUE"""),45643.665275625)</f>
        <v>45643.66528</v>
      </c>
      <c r="M517" s="17">
        <f>IFERROR(__xludf.DUMMYFUNCTION("""COMPUTED_VALUE"""),45643.690844745375)</f>
        <v>45643.69084</v>
      </c>
      <c r="N517" s="13" t="str">
        <f>IFERROR(__xludf.DUMMYFUNCTION("""COMPUTED_VALUE"""),"")</f>
        <v/>
      </c>
      <c r="O517" s="13" t="str">
        <f t="shared" si="1"/>
        <v/>
      </c>
    </row>
    <row r="518" ht="22.5" customHeight="1">
      <c r="B518" s="13">
        <f>IFERROR(__xludf.DUMMYFUNCTION("""COMPUTED_VALUE"""),513.0)</f>
        <v>513</v>
      </c>
      <c r="C518" s="13" t="str">
        <f>IFERROR(__xludf.DUMMYFUNCTION("""COMPUTED_VALUE"""),"B. 336/ Rajabasa Pemuka")</f>
        <v>B. 336/ Rajabasa Pemuka</v>
      </c>
      <c r="D518" s="13" t="str">
        <f>IFERROR(__xludf.DUMMYFUNCTION("""COMPUTED_VALUE"""),"K/31/051224/1")</f>
        <v>K/31/051224/1</v>
      </c>
      <c r="E518" s="14" t="str">
        <f>IFERROR(__xludf.DUMMYFUNCTION("""COMPUTED_VALUE"""),"Nadian (BT)")</f>
        <v>Nadian (BT)</v>
      </c>
      <c r="F518" s="14" t="str">
        <f>IFERROR(__xludf.DUMMYFUNCTION("""COMPUTED_VALUE"""),"SELESAI (VIA PERMOHONAN)")</f>
        <v>SELESAI (VIA PERMOHONAN)</v>
      </c>
      <c r="G518" s="17">
        <f>IFERROR(__xludf.DUMMYFUNCTION("""COMPUTED_VALUE"""),45643.6137734838)</f>
        <v>45643.61377</v>
      </c>
      <c r="H518" s="14" t="str">
        <f>IFERROR(__xludf.DUMMYFUNCTION("""COMPUTED_VALUE"""),"Aprill (SU)")</f>
        <v>Aprill (SU)</v>
      </c>
      <c r="I518" s="13" t="str">
        <f>IFERROR(__xludf.DUMMYFUNCTION("""COMPUTED_VALUE"""),"SELESAI (VIA PERMOHONAN)")</f>
        <v>SELESAI (VIA PERMOHONAN)</v>
      </c>
      <c r="J518" s="17">
        <f>IFERROR(__xludf.DUMMYFUNCTION("""COMPUTED_VALUE"""),45643.66533908565)</f>
        <v>45643.66534</v>
      </c>
      <c r="K518" s="13" t="str">
        <f>IFERROR(__xludf.DUMMYFUNCTION("""COMPUTED_VALUE"""),"Selesai")</f>
        <v>Selesai</v>
      </c>
      <c r="L518" s="17">
        <f>IFERROR(__xludf.DUMMYFUNCTION("""COMPUTED_VALUE"""),45643.66533908565)</f>
        <v>45643.66534</v>
      </c>
      <c r="M518" s="17">
        <f>IFERROR(__xludf.DUMMYFUNCTION("""COMPUTED_VALUE"""),45643.690844745375)</f>
        <v>45643.69084</v>
      </c>
      <c r="N518" s="13" t="str">
        <f>IFERROR(__xludf.DUMMYFUNCTION("""COMPUTED_VALUE"""),"")</f>
        <v/>
      </c>
      <c r="O518" s="13" t="str">
        <f t="shared" si="1"/>
        <v/>
      </c>
    </row>
    <row r="519" ht="22.5" customHeight="1">
      <c r="B519" s="13">
        <f>IFERROR(__xludf.DUMMYFUNCTION("""COMPUTED_VALUE"""),514.0)</f>
        <v>514</v>
      </c>
      <c r="C519" s="13" t="str">
        <f>IFERROR(__xludf.DUMMYFUNCTION("""COMPUTED_VALUE"""),"B. 343/ Rajabasa Pemuka")</f>
        <v>B. 343/ Rajabasa Pemuka</v>
      </c>
      <c r="D519" s="13" t="str">
        <f>IFERROR(__xludf.DUMMYFUNCTION("""COMPUTED_VALUE"""),"K/16/041224/5")</f>
        <v>K/16/041224/5</v>
      </c>
      <c r="E519" s="14" t="str">
        <f>IFERROR(__xludf.DUMMYFUNCTION("""COMPUTED_VALUE"""),"Nadian (BT)")</f>
        <v>Nadian (BT)</v>
      </c>
      <c r="F519" s="14" t="str">
        <f>IFERROR(__xludf.DUMMYFUNCTION("""COMPUTED_VALUE"""),"SELESAI (VIA PERMOHONAN)")</f>
        <v>SELESAI (VIA PERMOHONAN)</v>
      </c>
      <c r="G519" s="17">
        <f>IFERROR(__xludf.DUMMYFUNCTION("""COMPUTED_VALUE"""),45643.6137734838)</f>
        <v>45643.61377</v>
      </c>
      <c r="H519" s="14" t="str">
        <f>IFERROR(__xludf.DUMMYFUNCTION("""COMPUTED_VALUE"""),"Aprill (SU)")</f>
        <v>Aprill (SU)</v>
      </c>
      <c r="I519" s="13" t="str">
        <f>IFERROR(__xludf.DUMMYFUNCTION("""COMPUTED_VALUE"""),"SELESAI (VIA PERMOHONAN)")</f>
        <v>SELESAI (VIA PERMOHONAN)</v>
      </c>
      <c r="J519" s="17">
        <f>IFERROR(__xludf.DUMMYFUNCTION("""COMPUTED_VALUE"""),45643.66533908565)</f>
        <v>45643.66534</v>
      </c>
      <c r="K519" s="13" t="str">
        <f>IFERROR(__xludf.DUMMYFUNCTION("""COMPUTED_VALUE"""),"Selesai")</f>
        <v>Selesai</v>
      </c>
      <c r="L519" s="17">
        <f>IFERROR(__xludf.DUMMYFUNCTION("""COMPUTED_VALUE"""),45643.66533908565)</f>
        <v>45643.66534</v>
      </c>
      <c r="M519" s="17">
        <f>IFERROR(__xludf.DUMMYFUNCTION("""COMPUTED_VALUE"""),45643.6908728125)</f>
        <v>45643.69087</v>
      </c>
      <c r="N519" s="13" t="str">
        <f>IFERROR(__xludf.DUMMYFUNCTION("""COMPUTED_VALUE"""),"")</f>
        <v/>
      </c>
      <c r="O519" s="13" t="str">
        <f t="shared" si="1"/>
        <v/>
      </c>
    </row>
    <row r="520" ht="22.5" customHeight="1">
      <c r="B520" s="13">
        <f>IFERROR(__xludf.DUMMYFUNCTION("""COMPUTED_VALUE"""),515.0)</f>
        <v>515</v>
      </c>
      <c r="C520" s="13" t="str">
        <f>IFERROR(__xludf.DUMMYFUNCTION("""COMPUTED_VALUE"""),"B. 2161/ Sukabumi")</f>
        <v>B. 2161/ Sukabumi</v>
      </c>
      <c r="D520" s="13" t="str">
        <f>IFERROR(__xludf.DUMMYFUNCTION("""COMPUTED_VALUE"""),"K/2/051224/1")</f>
        <v>K/2/051224/1</v>
      </c>
      <c r="E520" s="14" t="str">
        <f>IFERROR(__xludf.DUMMYFUNCTION("""COMPUTED_VALUE"""),"Nadian (BT)")</f>
        <v>Nadian (BT)</v>
      </c>
      <c r="F520" s="14" t="str">
        <f>IFERROR(__xludf.DUMMYFUNCTION("""COMPUTED_VALUE"""),"SELESAI (VIA PERMOHONAN)")</f>
        <v>SELESAI (VIA PERMOHONAN)</v>
      </c>
      <c r="G520" s="17">
        <f>IFERROR(__xludf.DUMMYFUNCTION("""COMPUTED_VALUE"""),45643.6137734838)</f>
        <v>45643.61377</v>
      </c>
      <c r="H520" s="14" t="str">
        <f>IFERROR(__xludf.DUMMYFUNCTION("""COMPUTED_VALUE"""),"Aprill (SU)")</f>
        <v>Aprill (SU)</v>
      </c>
      <c r="I520" s="13" t="str">
        <f>IFERROR(__xludf.DUMMYFUNCTION("""COMPUTED_VALUE"""),"SELESAI (VIA PERMOHONAN)")</f>
        <v>SELESAI (VIA PERMOHONAN)</v>
      </c>
      <c r="J520" s="17">
        <f>IFERROR(__xludf.DUMMYFUNCTION("""COMPUTED_VALUE"""),45643.66533908565)</f>
        <v>45643.66534</v>
      </c>
      <c r="K520" s="13" t="str">
        <f>IFERROR(__xludf.DUMMYFUNCTION("""COMPUTED_VALUE"""),"Selesai")</f>
        <v>Selesai</v>
      </c>
      <c r="L520" s="17">
        <f>IFERROR(__xludf.DUMMYFUNCTION("""COMPUTED_VALUE"""),45643.66533908565)</f>
        <v>45643.66534</v>
      </c>
      <c r="M520" s="17">
        <f>IFERROR(__xludf.DUMMYFUNCTION("""COMPUTED_VALUE"""),45643.6908728125)</f>
        <v>45643.69087</v>
      </c>
      <c r="N520" s="13" t="str">
        <f>IFERROR(__xludf.DUMMYFUNCTION("""COMPUTED_VALUE"""),"")</f>
        <v/>
      </c>
      <c r="O520" s="13" t="str">
        <f t="shared" si="1"/>
        <v/>
      </c>
    </row>
    <row r="521" ht="22.5" customHeight="1">
      <c r="B521" s="13">
        <f>IFERROR(__xludf.DUMMYFUNCTION("""COMPUTED_VALUE"""),516.0)</f>
        <v>516</v>
      </c>
      <c r="C521" s="13" t="str">
        <f>IFERROR(__xludf.DUMMYFUNCTION("""COMPUTED_VALUE"""),"B. 339/ Rajabasa Pemuka")</f>
        <v>B. 339/ Rajabasa Pemuka</v>
      </c>
      <c r="D521" s="13" t="str">
        <f>IFERROR(__xludf.DUMMYFUNCTION("""COMPUTED_VALUE"""),"K/12/041224/1")</f>
        <v>K/12/041224/1</v>
      </c>
      <c r="E521" s="14" t="str">
        <f>IFERROR(__xludf.DUMMYFUNCTION("""COMPUTED_VALUE"""),"Nadian (BT)")</f>
        <v>Nadian (BT)</v>
      </c>
      <c r="F521" s="14" t="str">
        <f>IFERROR(__xludf.DUMMYFUNCTION("""COMPUTED_VALUE"""),"SELESAI (VIA PERMOHONAN)")</f>
        <v>SELESAI (VIA PERMOHONAN)</v>
      </c>
      <c r="G521" s="17">
        <f>IFERROR(__xludf.DUMMYFUNCTION("""COMPUTED_VALUE"""),45643.6137734838)</f>
        <v>45643.61377</v>
      </c>
      <c r="H521" s="14" t="str">
        <f>IFERROR(__xludf.DUMMYFUNCTION("""COMPUTED_VALUE"""),"Aprill (SU)")</f>
        <v>Aprill (SU)</v>
      </c>
      <c r="I521" s="13" t="str">
        <f>IFERROR(__xludf.DUMMYFUNCTION("""COMPUTED_VALUE"""),"SELESAI (VIA PERMOHONAN)")</f>
        <v>SELESAI (VIA PERMOHONAN)</v>
      </c>
      <c r="J521" s="17">
        <f>IFERROR(__xludf.DUMMYFUNCTION("""COMPUTED_VALUE"""),45643.665424375)</f>
        <v>45643.66542</v>
      </c>
      <c r="K521" s="13" t="str">
        <f>IFERROR(__xludf.DUMMYFUNCTION("""COMPUTED_VALUE"""),"Selesai")</f>
        <v>Selesai</v>
      </c>
      <c r="L521" s="17">
        <f>IFERROR(__xludf.DUMMYFUNCTION("""COMPUTED_VALUE"""),45643.665424375)</f>
        <v>45643.66542</v>
      </c>
      <c r="M521" s="17">
        <f>IFERROR(__xludf.DUMMYFUNCTION("""COMPUTED_VALUE"""),45643.690653530095)</f>
        <v>45643.69065</v>
      </c>
      <c r="N521" s="13" t="str">
        <f>IFERROR(__xludf.DUMMYFUNCTION("""COMPUTED_VALUE"""),"")</f>
        <v/>
      </c>
      <c r="O521" s="13" t="str">
        <f t="shared" si="1"/>
        <v/>
      </c>
    </row>
    <row r="522" ht="22.5" customHeight="1">
      <c r="B522" s="13">
        <f>IFERROR(__xludf.DUMMYFUNCTION("""COMPUTED_VALUE"""),517.0)</f>
        <v>517</v>
      </c>
      <c r="C522" s="13" t="str">
        <f>IFERROR(__xludf.DUMMYFUNCTION("""COMPUTED_VALUE"""),"B. 340/ Rajabasa Pemuka")</f>
        <v>B. 340/ Rajabasa Pemuka</v>
      </c>
      <c r="D522" s="13" t="str">
        <f>IFERROR(__xludf.DUMMYFUNCTION("""COMPUTED_VALUE"""),"K/32/051224/4")</f>
        <v>K/32/051224/4</v>
      </c>
      <c r="E522" s="14" t="str">
        <f>IFERROR(__xludf.DUMMYFUNCTION("""COMPUTED_VALUE"""),"Nadian (BT)")</f>
        <v>Nadian (BT)</v>
      </c>
      <c r="F522" s="14" t="str">
        <f>IFERROR(__xludf.DUMMYFUNCTION("""COMPUTED_VALUE"""),"SELESAI (VIA PERMOHONAN)")</f>
        <v>SELESAI (VIA PERMOHONAN)</v>
      </c>
      <c r="G522" s="17">
        <f>IFERROR(__xludf.DUMMYFUNCTION("""COMPUTED_VALUE"""),45643.6137734838)</f>
        <v>45643.61377</v>
      </c>
      <c r="H522" s="14" t="str">
        <f>IFERROR(__xludf.DUMMYFUNCTION("""COMPUTED_VALUE"""),"Aprill (SU)")</f>
        <v>Aprill (SU)</v>
      </c>
      <c r="I522" s="13" t="str">
        <f>IFERROR(__xludf.DUMMYFUNCTION("""COMPUTED_VALUE"""),"SELESAI (VIA PERMOHONAN)")</f>
        <v>SELESAI (VIA PERMOHONAN)</v>
      </c>
      <c r="J522" s="17">
        <f>IFERROR(__xludf.DUMMYFUNCTION("""COMPUTED_VALUE"""),45643.665424375)</f>
        <v>45643.66542</v>
      </c>
      <c r="K522" s="13" t="str">
        <f>IFERROR(__xludf.DUMMYFUNCTION("""COMPUTED_VALUE"""),"Selesai")</f>
        <v>Selesai</v>
      </c>
      <c r="L522" s="17">
        <f>IFERROR(__xludf.DUMMYFUNCTION("""COMPUTED_VALUE"""),45643.665424375)</f>
        <v>45643.66542</v>
      </c>
      <c r="M522" s="17">
        <f>IFERROR(__xludf.DUMMYFUNCTION("""COMPUTED_VALUE"""),45643.690613819446)</f>
        <v>45643.69061</v>
      </c>
      <c r="N522" s="13" t="str">
        <f>IFERROR(__xludf.DUMMYFUNCTION("""COMPUTED_VALUE"""),"")</f>
        <v/>
      </c>
      <c r="O522" s="13" t="str">
        <f t="shared" si="1"/>
        <v/>
      </c>
    </row>
    <row r="523" ht="22.5" customHeight="1">
      <c r="B523" s="13">
        <f>IFERROR(__xludf.DUMMYFUNCTION("""COMPUTED_VALUE"""),518.0)</f>
        <v>518</v>
      </c>
      <c r="C523" s="13" t="str">
        <f>IFERROR(__xludf.DUMMYFUNCTION("""COMPUTED_VALUE"""),"HM 14213/RAJABASA")</f>
        <v>HM 14213/RAJABASA</v>
      </c>
      <c r="D523" s="13" t="str">
        <f>IFERROR(__xludf.DUMMYFUNCTION("""COMPUTED_VALUE"""),"L/23/091224/1")</f>
        <v>L/23/091224/1</v>
      </c>
      <c r="E523" s="14" t="str">
        <f>IFERROR(__xludf.DUMMYFUNCTION("""COMPUTED_VALUE"""),"Afriza (BT)")</f>
        <v>Afriza (BT)</v>
      </c>
      <c r="F523" s="14" t="str">
        <f>IFERROR(__xludf.DUMMYFUNCTION("""COMPUTED_VALUE"""),"SELESAI (VIA PERMOHONAN)")</f>
        <v>SELESAI (VIA PERMOHONAN)</v>
      </c>
      <c r="G523" s="17">
        <f>IFERROR(__xludf.DUMMYFUNCTION("""COMPUTED_VALUE"""),45643.671303379626)</f>
        <v>45643.6713</v>
      </c>
      <c r="H523" s="14" t="str">
        <f>IFERROR(__xludf.DUMMYFUNCTION("""COMPUTED_VALUE"""),"Aprill (SU)")</f>
        <v>Aprill (SU)</v>
      </c>
      <c r="I523" s="13" t="str">
        <f>IFERROR(__xludf.DUMMYFUNCTION("""COMPUTED_VALUE"""),"SELESAI (VIA PERMOHONAN)")</f>
        <v>SELESAI (VIA PERMOHONAN)</v>
      </c>
      <c r="J523" s="17">
        <f>IFERROR(__xludf.DUMMYFUNCTION("""COMPUTED_VALUE"""),45643.69058155092)</f>
        <v>45643.69058</v>
      </c>
      <c r="K523" s="13" t="str">
        <f>IFERROR(__xludf.DUMMYFUNCTION("""COMPUTED_VALUE"""),"Selesai")</f>
        <v>Selesai</v>
      </c>
      <c r="L523" s="17">
        <f>IFERROR(__xludf.DUMMYFUNCTION("""COMPUTED_VALUE"""),45643.69058155092)</f>
        <v>45643.69058</v>
      </c>
      <c r="M523" s="17">
        <f>IFERROR(__xludf.DUMMYFUNCTION("""COMPUTED_VALUE"""),45643.69060408565)</f>
        <v>45643.6906</v>
      </c>
      <c r="N523" s="13" t="str">
        <f>IFERROR(__xludf.DUMMYFUNCTION("""COMPUTED_VALUE"""),"")</f>
        <v/>
      </c>
      <c r="O523" s="13" t="str">
        <f t="shared" si="1"/>
        <v/>
      </c>
    </row>
    <row r="524" ht="22.5" customHeight="1">
      <c r="B524" s="13">
        <f>IFERROR(__xludf.DUMMYFUNCTION("""COMPUTED_VALUE"""),519.0)</f>
        <v>519</v>
      </c>
      <c r="C524" s="13" t="str">
        <f>IFERROR(__xludf.DUMMYFUNCTION("""COMPUTED_VALUE"""),"B.262/JAGABAYA III-SEKARANG;B.80/TANJUNG BARU-DAHULU")</f>
        <v>B.262/JAGABAYA III-SEKARANG;B.80/TANJUNG BARU-DAHULU</v>
      </c>
      <c r="D524" s="13" t="str">
        <f>IFERROR(__xludf.DUMMYFUNCTION("""COMPUTED_VALUE"""),"K/3/291124/1")</f>
        <v>K/3/291124/1</v>
      </c>
      <c r="E524" s="14" t="str">
        <f>IFERROR(__xludf.DUMMYFUNCTION("""COMPUTED_VALUE"""),"Nadian (BT)")</f>
        <v>Nadian (BT)</v>
      </c>
      <c r="F524" s="14" t="str">
        <f>IFERROR(__xludf.DUMMYFUNCTION("""COMPUTED_VALUE"""),"SELESAI (VIA PERMOHONAN)")</f>
        <v>SELESAI (VIA PERMOHONAN)</v>
      </c>
      <c r="G524" s="17">
        <f>IFERROR(__xludf.DUMMYFUNCTION("""COMPUTED_VALUE"""),45644.59192449074)</f>
        <v>45644.59192</v>
      </c>
      <c r="H524" s="14" t="str">
        <f>IFERROR(__xludf.DUMMYFUNCTION("""COMPUTED_VALUE"""),"Bu Eva (SU)")</f>
        <v>Bu Eva (SU)</v>
      </c>
      <c r="I524" s="13" t="str">
        <f>IFERROR(__xludf.DUMMYFUNCTION("""COMPUTED_VALUE"""),"SELESAI (VIA PERMOHONAN)")</f>
        <v>SELESAI (VIA PERMOHONAN)</v>
      </c>
      <c r="J524" s="17">
        <f>IFERROR(__xludf.DUMMYFUNCTION("""COMPUTED_VALUE"""),45644.647718506945)</f>
        <v>45644.64772</v>
      </c>
      <c r="K524" s="13" t="str">
        <f>IFERROR(__xludf.DUMMYFUNCTION("""COMPUTED_VALUE"""),"Selesai")</f>
        <v>Selesai</v>
      </c>
      <c r="L524" s="17">
        <f>IFERROR(__xludf.DUMMYFUNCTION("""COMPUTED_VALUE"""),45644.647718506945)</f>
        <v>45644.64772</v>
      </c>
      <c r="M524" s="17">
        <f>IFERROR(__xludf.DUMMYFUNCTION("""COMPUTED_VALUE"""),45644.648027268515)</f>
        <v>45644.64803</v>
      </c>
      <c r="N524" s="13" t="str">
        <f>IFERROR(__xludf.DUMMYFUNCTION("""COMPUTED_VALUE"""),"")</f>
        <v/>
      </c>
      <c r="O524" s="13" t="str">
        <f t="shared" si="1"/>
        <v/>
      </c>
    </row>
    <row r="525" ht="22.5" customHeight="1">
      <c r="B525" s="13">
        <f>IFERROR(__xludf.DUMMYFUNCTION("""COMPUTED_VALUE"""),520.0)</f>
        <v>520</v>
      </c>
      <c r="C525" s="13" t="str">
        <f>IFERROR(__xludf.DUMMYFUNCTION("""COMPUTED_VALUE"""),"M.1627/KEMILING RAYA-SEKARANG;M.3258/SUMBERREJO KEMILING-DAHULU")</f>
        <v>M.1627/KEMILING RAYA-SEKARANG;M.3258/SUMBERREJO KEMILING-DAHULU</v>
      </c>
      <c r="D525" s="13" t="str">
        <f>IFERROR(__xludf.DUMMYFUNCTION("""COMPUTED_VALUE"""),"K/38/131224/3")</f>
        <v>K/38/131224/3</v>
      </c>
      <c r="E525" s="14" t="str">
        <f>IFERROR(__xludf.DUMMYFUNCTION("""COMPUTED_VALUE"""),"Nadian (BT)")</f>
        <v>Nadian (BT)</v>
      </c>
      <c r="F525" s="14" t="str">
        <f>IFERROR(__xludf.DUMMYFUNCTION("""COMPUTED_VALUE"""),"SELESAI (VIA PERMOHONAN)")</f>
        <v>SELESAI (VIA PERMOHONAN)</v>
      </c>
      <c r="G525" s="17">
        <f>IFERROR(__xludf.DUMMYFUNCTION("""COMPUTED_VALUE"""),45644.59195519676)</f>
        <v>45644.59196</v>
      </c>
      <c r="H525" s="14" t="str">
        <f>IFERROR(__xludf.DUMMYFUNCTION("""COMPUTED_VALUE"""),"Bu Eva (SU)")</f>
        <v>Bu Eva (SU)</v>
      </c>
      <c r="I525" s="13" t="str">
        <f>IFERROR(__xludf.DUMMYFUNCTION("""COMPUTED_VALUE"""),"SELESAI (VIA PERMOHONAN)")</f>
        <v>SELESAI (VIA PERMOHONAN)</v>
      </c>
      <c r="J525" s="17">
        <f>IFERROR(__xludf.DUMMYFUNCTION("""COMPUTED_VALUE"""),45644.64777829861)</f>
        <v>45644.64778</v>
      </c>
      <c r="K525" s="13" t="str">
        <f>IFERROR(__xludf.DUMMYFUNCTION("""COMPUTED_VALUE"""),"Selesai")</f>
        <v>Selesai</v>
      </c>
      <c r="L525" s="17">
        <f>IFERROR(__xludf.DUMMYFUNCTION("""COMPUTED_VALUE"""),45644.64777829861)</f>
        <v>45644.64778</v>
      </c>
      <c r="M525" s="17">
        <f>IFERROR(__xludf.DUMMYFUNCTION("""COMPUTED_VALUE"""),45644.64803740741)</f>
        <v>45644.64804</v>
      </c>
      <c r="N525" s="13" t="str">
        <f>IFERROR(__xludf.DUMMYFUNCTION("""COMPUTED_VALUE"""),"")</f>
        <v/>
      </c>
      <c r="O525" s="13" t="str">
        <f t="shared" si="1"/>
        <v/>
      </c>
    </row>
    <row r="526" ht="22.5" customHeight="1">
      <c r="B526" s="13">
        <f>IFERROR(__xludf.DUMMYFUNCTION("""COMPUTED_VALUE"""),521.0)</f>
        <v>521</v>
      </c>
      <c r="C526" s="13" t="str">
        <f>IFERROR(__xludf.DUMMYFUNCTION("""COMPUTED_VALUE"""),"M.16597/SUKABUMI")</f>
        <v>M.16597/SUKABUMI</v>
      </c>
      <c r="D526" s="13" t="str">
        <f>IFERROR(__xludf.DUMMYFUNCTION("""COMPUTED_VALUE"""),"K/41/161224/1")</f>
        <v>K/41/161224/1</v>
      </c>
      <c r="E526" s="14" t="str">
        <f>IFERROR(__xludf.DUMMYFUNCTION("""COMPUTED_VALUE"""),"Nadian (BT)")</f>
        <v>Nadian (BT)</v>
      </c>
      <c r="F526" s="14" t="str">
        <f>IFERROR(__xludf.DUMMYFUNCTION("""COMPUTED_VALUE"""),"SELESAI (VIA PERMOHONAN)")</f>
        <v>SELESAI (VIA PERMOHONAN)</v>
      </c>
      <c r="G526" s="17">
        <f>IFERROR(__xludf.DUMMYFUNCTION("""COMPUTED_VALUE"""),45644.59195519676)</f>
        <v>45644.59196</v>
      </c>
      <c r="H526" s="14" t="str">
        <f>IFERROR(__xludf.DUMMYFUNCTION("""COMPUTED_VALUE"""),"Bu Eva (SU)")</f>
        <v>Bu Eva (SU)</v>
      </c>
      <c r="I526" s="13" t="str">
        <f>IFERROR(__xludf.DUMMYFUNCTION("""COMPUTED_VALUE"""),"SELESAI (VIA PERMOHONAN)")</f>
        <v>SELESAI (VIA PERMOHONAN)</v>
      </c>
      <c r="J526" s="17">
        <f>IFERROR(__xludf.DUMMYFUNCTION("""COMPUTED_VALUE"""),45644.647848252316)</f>
        <v>45644.64785</v>
      </c>
      <c r="K526" s="13" t="str">
        <f>IFERROR(__xludf.DUMMYFUNCTION("""COMPUTED_VALUE"""),"Selesai")</f>
        <v>Selesai</v>
      </c>
      <c r="L526" s="17">
        <f>IFERROR(__xludf.DUMMYFUNCTION("""COMPUTED_VALUE"""),45644.647848252316)</f>
        <v>45644.64785</v>
      </c>
      <c r="M526" s="17">
        <f>IFERROR(__xludf.DUMMYFUNCTION("""COMPUTED_VALUE"""),45644.64804891204)</f>
        <v>45644.64805</v>
      </c>
      <c r="N526" s="17">
        <f>IFERROR(__xludf.DUMMYFUNCTION("""COMPUTED_VALUE"""),45653.59093530093)</f>
        <v>45653.59094</v>
      </c>
      <c r="O526" s="13">
        <f t="shared" si="1"/>
        <v>1</v>
      </c>
    </row>
    <row r="527" ht="22.5" customHeight="1">
      <c r="B527" s="13">
        <f>IFERROR(__xludf.DUMMYFUNCTION("""COMPUTED_VALUE"""),522.0)</f>
        <v>522</v>
      </c>
      <c r="C527" s="13" t="str">
        <f>IFERROR(__xludf.DUMMYFUNCTION("""COMPUTED_VALUE"""),"M.3464/GUNUNG TERANG")</f>
        <v>M.3464/GUNUNG TERANG</v>
      </c>
      <c r="D527" s="13" t="str">
        <f>IFERROR(__xludf.DUMMYFUNCTION("""COMPUTED_VALUE"""),"K/14/021224/1")</f>
        <v>K/14/021224/1</v>
      </c>
      <c r="E527" s="14" t="str">
        <f>IFERROR(__xludf.DUMMYFUNCTION("""COMPUTED_VALUE"""),"Nadian (BT)")</f>
        <v>Nadian (BT)</v>
      </c>
      <c r="F527" s="14" t="str">
        <f>IFERROR(__xludf.DUMMYFUNCTION("""COMPUTED_VALUE"""),"SELESAI (VIA PERMOHONAN)")</f>
        <v>SELESAI (VIA PERMOHONAN)</v>
      </c>
      <c r="G527" s="17">
        <f>IFERROR(__xludf.DUMMYFUNCTION("""COMPUTED_VALUE"""),45644.59195519676)</f>
        <v>45644.59196</v>
      </c>
      <c r="H527" s="14" t="str">
        <f>IFERROR(__xludf.DUMMYFUNCTION("""COMPUTED_VALUE"""),"Bu Eva (SU)")</f>
        <v>Bu Eva (SU)</v>
      </c>
      <c r="I527" s="13" t="str">
        <f>IFERROR(__xludf.DUMMYFUNCTION("""COMPUTED_VALUE"""),"SELESAI (VIA PERMOHONAN)")</f>
        <v>SELESAI (VIA PERMOHONAN)</v>
      </c>
      <c r="J527" s="17">
        <f>IFERROR(__xludf.DUMMYFUNCTION("""COMPUTED_VALUE"""),45644.647897546296)</f>
        <v>45644.6479</v>
      </c>
      <c r="K527" s="13" t="str">
        <f>IFERROR(__xludf.DUMMYFUNCTION("""COMPUTED_VALUE"""),"Selesai")</f>
        <v>Selesai</v>
      </c>
      <c r="L527" s="17">
        <f>IFERROR(__xludf.DUMMYFUNCTION("""COMPUTED_VALUE"""),45644.647897546296)</f>
        <v>45644.6479</v>
      </c>
      <c r="M527" s="17">
        <f>IFERROR(__xludf.DUMMYFUNCTION("""COMPUTED_VALUE"""),45644.64805778935)</f>
        <v>45644.64806</v>
      </c>
      <c r="N527" s="13" t="str">
        <f>IFERROR(__xludf.DUMMYFUNCTION("""COMPUTED_VALUE"""),"")</f>
        <v/>
      </c>
      <c r="O527" s="13" t="str">
        <f t="shared" si="1"/>
        <v/>
      </c>
    </row>
    <row r="528" ht="22.5" customHeight="1">
      <c r="B528" s="13">
        <f>IFERROR(__xludf.DUMMYFUNCTION("""COMPUTED_VALUE"""),523.0)</f>
        <v>523</v>
      </c>
      <c r="C528" s="13" t="str">
        <f>IFERROR(__xludf.DUMMYFUNCTION("""COMPUTED_VALUE"""),"M.4602/GUNUNG TERANG")</f>
        <v>M.4602/GUNUNG TERANG</v>
      </c>
      <c r="D528" s="13" t="str">
        <f>IFERROR(__xludf.DUMMYFUNCTION("""COMPUTED_VALUE"""),"K/6/161224/4")</f>
        <v>K/6/161224/4</v>
      </c>
      <c r="E528" s="14" t="str">
        <f>IFERROR(__xludf.DUMMYFUNCTION("""COMPUTED_VALUE"""),"Nadian (BT)")</f>
        <v>Nadian (BT)</v>
      </c>
      <c r="F528" s="14" t="str">
        <f>IFERROR(__xludf.DUMMYFUNCTION("""COMPUTED_VALUE"""),"SELESAI (VIA PERMOHONAN)")</f>
        <v>SELESAI (VIA PERMOHONAN)</v>
      </c>
      <c r="G528" s="17">
        <f>IFERROR(__xludf.DUMMYFUNCTION("""COMPUTED_VALUE"""),45644.59195519676)</f>
        <v>45644.59196</v>
      </c>
      <c r="H528" s="14" t="str">
        <f>IFERROR(__xludf.DUMMYFUNCTION("""COMPUTED_VALUE"""),"Bu Eva (SU)")</f>
        <v>Bu Eva (SU)</v>
      </c>
      <c r="I528" s="13" t="str">
        <f>IFERROR(__xludf.DUMMYFUNCTION("""COMPUTED_VALUE"""),"SELESAI (VIA PERMOHONAN)")</f>
        <v>SELESAI (VIA PERMOHONAN)</v>
      </c>
      <c r="J528" s="17">
        <f>IFERROR(__xludf.DUMMYFUNCTION("""COMPUTED_VALUE"""),45644.647897546296)</f>
        <v>45644.6479</v>
      </c>
      <c r="K528" s="13" t="str">
        <f>IFERROR(__xludf.DUMMYFUNCTION("""COMPUTED_VALUE"""),"Selesai")</f>
        <v>Selesai</v>
      </c>
      <c r="L528" s="17">
        <f>IFERROR(__xludf.DUMMYFUNCTION("""COMPUTED_VALUE"""),45644.647897546296)</f>
        <v>45644.6479</v>
      </c>
      <c r="M528" s="17">
        <f>IFERROR(__xludf.DUMMYFUNCTION("""COMPUTED_VALUE"""),45644.64806565973)</f>
        <v>45644.64807</v>
      </c>
      <c r="N528" s="13" t="str">
        <f>IFERROR(__xludf.DUMMYFUNCTION("""COMPUTED_VALUE"""),"")</f>
        <v/>
      </c>
      <c r="O528" s="13" t="str">
        <f t="shared" si="1"/>
        <v/>
      </c>
    </row>
    <row r="529" ht="22.5" customHeight="1">
      <c r="B529" s="13">
        <f>IFERROR(__xludf.DUMMYFUNCTION("""COMPUTED_VALUE"""),524.0)</f>
        <v>524</v>
      </c>
      <c r="C529" s="13" t="str">
        <f>IFERROR(__xludf.DUMMYFUNCTION("""COMPUTED_VALUE"""),"M.5633/LANGKAPURA-SEKARANG;M.03780/GUNUNG TERANG-DAHULU")</f>
        <v>M.5633/LANGKAPURA-SEKARANG;M.03780/GUNUNG TERANG-DAHULU</v>
      </c>
      <c r="D529" s="13" t="str">
        <f>IFERROR(__xludf.DUMMYFUNCTION("""COMPUTED_VALUE"""),"K/28/161224/1")</f>
        <v>K/28/161224/1</v>
      </c>
      <c r="E529" s="14" t="str">
        <f>IFERROR(__xludf.DUMMYFUNCTION("""COMPUTED_VALUE"""),"Nadian (BT)")</f>
        <v>Nadian (BT)</v>
      </c>
      <c r="F529" s="14" t="str">
        <f>IFERROR(__xludf.DUMMYFUNCTION("""COMPUTED_VALUE"""),"SELESAI (VIA PERMOHONAN)")</f>
        <v>SELESAI (VIA PERMOHONAN)</v>
      </c>
      <c r="G529" s="17">
        <f>IFERROR(__xludf.DUMMYFUNCTION("""COMPUTED_VALUE"""),45644.59195519676)</f>
        <v>45644.59196</v>
      </c>
      <c r="H529" s="14" t="str">
        <f>IFERROR(__xludf.DUMMYFUNCTION("""COMPUTED_VALUE"""),"Bu Eva (SU)")</f>
        <v>Bu Eva (SU)</v>
      </c>
      <c r="I529" s="13" t="str">
        <f>IFERROR(__xludf.DUMMYFUNCTION("""COMPUTED_VALUE"""),"SELESAI (VIA PERMOHONAN)")</f>
        <v>SELESAI (VIA PERMOHONAN)</v>
      </c>
      <c r="J529" s="17">
        <f>IFERROR(__xludf.DUMMYFUNCTION("""COMPUTED_VALUE"""),45644.64791775463)</f>
        <v>45644.64792</v>
      </c>
      <c r="K529" s="13" t="str">
        <f>IFERROR(__xludf.DUMMYFUNCTION("""COMPUTED_VALUE"""),"Selesai")</f>
        <v>Selesai</v>
      </c>
      <c r="L529" s="17">
        <f>IFERROR(__xludf.DUMMYFUNCTION("""COMPUTED_VALUE"""),45644.64791775463)</f>
        <v>45644.64792</v>
      </c>
      <c r="M529" s="17">
        <f>IFERROR(__xludf.DUMMYFUNCTION("""COMPUTED_VALUE"""),45644.648071874995)</f>
        <v>45644.64807</v>
      </c>
      <c r="N529" s="13" t="str">
        <f>IFERROR(__xludf.DUMMYFUNCTION("""COMPUTED_VALUE"""),"")</f>
        <v/>
      </c>
      <c r="O529" s="13" t="str">
        <f t="shared" si="1"/>
        <v/>
      </c>
    </row>
    <row r="530" ht="22.5" customHeight="1">
      <c r="B530" s="13">
        <f>IFERROR(__xludf.DUMMYFUNCTION("""COMPUTED_VALUE"""),525.0)</f>
        <v>525</v>
      </c>
      <c r="C530" s="13" t="str">
        <f>IFERROR(__xludf.DUMMYFUNCTION("""COMPUTED_VALUE"""),"M.1227/SUKARAME")</f>
        <v>M.1227/SUKARAME</v>
      </c>
      <c r="D530" s="13" t="str">
        <f>IFERROR(__xludf.DUMMYFUNCTION("""COMPUTED_VALUE"""),"K/27/251124/1")</f>
        <v>K/27/251124/1</v>
      </c>
      <c r="E530" s="14" t="str">
        <f>IFERROR(__xludf.DUMMYFUNCTION("""COMPUTED_VALUE"""),"Nadian (BT)")</f>
        <v>Nadian (BT)</v>
      </c>
      <c r="F530" s="14" t="str">
        <f>IFERROR(__xludf.DUMMYFUNCTION("""COMPUTED_VALUE"""),"SELESAI (VIA PERMOHONAN)")</f>
        <v>SELESAI (VIA PERMOHONAN)</v>
      </c>
      <c r="G530" s="17">
        <f>IFERROR(__xludf.DUMMYFUNCTION("""COMPUTED_VALUE"""),45644.59195519676)</f>
        <v>45644.59196</v>
      </c>
      <c r="H530" s="14" t="str">
        <f>IFERROR(__xludf.DUMMYFUNCTION("""COMPUTED_VALUE"""),"Bu Eva (SU)")</f>
        <v>Bu Eva (SU)</v>
      </c>
      <c r="I530" s="13" t="str">
        <f>IFERROR(__xludf.DUMMYFUNCTION("""COMPUTED_VALUE"""),"SELESAI (VIA PERMOHONAN)")</f>
        <v>SELESAI (VIA PERMOHONAN)</v>
      </c>
      <c r="J530" s="17">
        <f>IFERROR(__xludf.DUMMYFUNCTION("""COMPUTED_VALUE"""),45644.647917766204)</f>
        <v>45644.64792</v>
      </c>
      <c r="K530" s="13" t="str">
        <f>IFERROR(__xludf.DUMMYFUNCTION("""COMPUTED_VALUE"""),"Selesai")</f>
        <v>Selesai</v>
      </c>
      <c r="L530" s="17">
        <f>IFERROR(__xludf.DUMMYFUNCTION("""COMPUTED_VALUE"""),45644.647917766204)</f>
        <v>45644.64792</v>
      </c>
      <c r="M530" s="17">
        <f>IFERROR(__xludf.DUMMYFUNCTION("""COMPUTED_VALUE"""),45644.648081747684)</f>
        <v>45644.64808</v>
      </c>
      <c r="N530" s="13" t="str">
        <f>IFERROR(__xludf.DUMMYFUNCTION("""COMPUTED_VALUE"""),"")</f>
        <v/>
      </c>
      <c r="O530" s="13" t="str">
        <f t="shared" si="1"/>
        <v/>
      </c>
    </row>
    <row r="531" ht="22.5" customHeight="1">
      <c r="B531" s="13">
        <f>IFERROR(__xludf.DUMMYFUNCTION("""COMPUTED_VALUE"""),526.0)</f>
        <v>526</v>
      </c>
      <c r="C531" s="13" t="str">
        <f>IFERROR(__xludf.DUMMYFUNCTION("""COMPUTED_VALUE"""),"M.16759/SUKABUMI")</f>
        <v>M.16759/SUKABUMI</v>
      </c>
      <c r="D531" s="13" t="str">
        <f>IFERROR(__xludf.DUMMYFUNCTION("""COMPUTED_VALUE"""),"K/4/161224/2")</f>
        <v>K/4/161224/2</v>
      </c>
      <c r="E531" s="14" t="str">
        <f>IFERROR(__xludf.DUMMYFUNCTION("""COMPUTED_VALUE"""),"Nadian (BT)")</f>
        <v>Nadian (BT)</v>
      </c>
      <c r="F531" s="14" t="str">
        <f>IFERROR(__xludf.DUMMYFUNCTION("""COMPUTED_VALUE"""),"SELESAI (VIA PERMOHONAN)")</f>
        <v>SELESAI (VIA PERMOHONAN)</v>
      </c>
      <c r="G531" s="17">
        <f>IFERROR(__xludf.DUMMYFUNCTION("""COMPUTED_VALUE"""),45644.59195519676)</f>
        <v>45644.59196</v>
      </c>
      <c r="H531" s="14" t="str">
        <f>IFERROR(__xludf.DUMMYFUNCTION("""COMPUTED_VALUE"""),"Bu Eva (SU)")</f>
        <v>Bu Eva (SU)</v>
      </c>
      <c r="I531" s="13" t="str">
        <f>IFERROR(__xludf.DUMMYFUNCTION("""COMPUTED_VALUE"""),"SELESAI (VIA PERMOHONAN)")</f>
        <v>SELESAI (VIA PERMOHONAN)</v>
      </c>
      <c r="J531" s="17">
        <f>IFERROR(__xludf.DUMMYFUNCTION("""COMPUTED_VALUE"""),45644.647990474536)</f>
        <v>45644.64799</v>
      </c>
      <c r="K531" s="13" t="str">
        <f>IFERROR(__xludf.DUMMYFUNCTION("""COMPUTED_VALUE"""),"Selesai")</f>
        <v>Selesai</v>
      </c>
      <c r="L531" s="17">
        <f>IFERROR(__xludf.DUMMYFUNCTION("""COMPUTED_VALUE"""),45644.647990474536)</f>
        <v>45644.64799</v>
      </c>
      <c r="M531" s="17">
        <f>IFERROR(__xludf.DUMMYFUNCTION("""COMPUTED_VALUE"""),45644.64809131944)</f>
        <v>45644.64809</v>
      </c>
      <c r="N531" s="13" t="str">
        <f>IFERROR(__xludf.DUMMYFUNCTION("""COMPUTED_VALUE"""),"")</f>
        <v/>
      </c>
      <c r="O531" s="13" t="str">
        <f t="shared" si="1"/>
        <v/>
      </c>
    </row>
    <row r="532" ht="22.5" customHeight="1">
      <c r="B532" s="13">
        <f>IFERROR(__xludf.DUMMYFUNCTION("""COMPUTED_VALUE"""),527.0)</f>
        <v>527</v>
      </c>
      <c r="C532" s="13" t="str">
        <f>IFERROR(__xludf.DUMMYFUNCTION("""COMPUTED_VALUE"""),"B. 337/ Rajabasa Pemuka")</f>
        <v>B. 337/ Rajabasa Pemuka</v>
      </c>
      <c r="D532" s="13" t="str">
        <f>IFERROR(__xludf.DUMMYFUNCTION("""COMPUTED_VALUE"""),"K/22/061224/2")</f>
        <v>K/22/061224/2</v>
      </c>
      <c r="E532" s="14" t="str">
        <f>IFERROR(__xludf.DUMMYFUNCTION("""COMPUTED_VALUE"""),"Nadian (BT)")</f>
        <v>Nadian (BT)</v>
      </c>
      <c r="F532" s="14" t="str">
        <f>IFERROR(__xludf.DUMMYFUNCTION("""COMPUTED_VALUE"""),"SELESAI (VIA PERMOHONAN)")</f>
        <v>SELESAI (VIA PERMOHONAN)</v>
      </c>
      <c r="G532" s="17">
        <f>IFERROR(__xludf.DUMMYFUNCTION("""COMPUTED_VALUE"""),45645.70158630787)</f>
        <v>45645.70159</v>
      </c>
      <c r="H532" s="14" t="str">
        <f>IFERROR(__xludf.DUMMYFUNCTION("""COMPUTED_VALUE"""),"Aprill (SU)")</f>
        <v>Aprill (SU)</v>
      </c>
      <c r="I532" s="13" t="str">
        <f>IFERROR(__xludf.DUMMYFUNCTION("""COMPUTED_VALUE"""),"SELESAI (VIA PERMOHONAN)")</f>
        <v>SELESAI (VIA PERMOHONAN)</v>
      </c>
      <c r="J532" s="17">
        <f>IFERROR(__xludf.DUMMYFUNCTION("""COMPUTED_VALUE"""),45664.361608067135)</f>
        <v>45664.36161</v>
      </c>
      <c r="K532" s="13" t="str">
        <f>IFERROR(__xludf.DUMMYFUNCTION("""COMPUTED_VALUE"""),"Selesai")</f>
        <v>Selesai</v>
      </c>
      <c r="L532" s="17">
        <f>IFERROR(__xludf.DUMMYFUNCTION("""COMPUTED_VALUE"""),45664.361608067135)</f>
        <v>45664.36161</v>
      </c>
      <c r="M532" s="17">
        <f>IFERROR(__xludf.DUMMYFUNCTION("""COMPUTED_VALUE"""),45664.36163442129)</f>
        <v>45664.36163</v>
      </c>
      <c r="N532" s="13" t="str">
        <f>IFERROR(__xludf.DUMMYFUNCTION("""COMPUTED_VALUE"""),"")</f>
        <v/>
      </c>
      <c r="O532" s="13" t="str">
        <f t="shared" si="1"/>
        <v/>
      </c>
    </row>
    <row r="533" ht="22.5" customHeight="1">
      <c r="B533" s="13">
        <f>IFERROR(__xludf.DUMMYFUNCTION("""COMPUTED_VALUE"""),528.0)</f>
        <v>528</v>
      </c>
      <c r="C533" s="13" t="str">
        <f>IFERROR(__xludf.DUMMYFUNCTION("""COMPUTED_VALUE"""),"M. 1020/ Kali Balau Kencana")</f>
        <v>M. 1020/ Kali Balau Kencana</v>
      </c>
      <c r="D533" s="13" t="str">
        <f>IFERROR(__xludf.DUMMYFUNCTION("""COMPUTED_VALUE"""),"K/22/161224/3")</f>
        <v>K/22/161224/3</v>
      </c>
      <c r="E533" s="14" t="str">
        <f>IFERROR(__xludf.DUMMYFUNCTION("""COMPUTED_VALUE"""),"Nadian (BT)")</f>
        <v>Nadian (BT)</v>
      </c>
      <c r="F533" s="14" t="str">
        <f>IFERROR(__xludf.DUMMYFUNCTION("""COMPUTED_VALUE"""),"SELESAI (VIA PERMOHONAN)")</f>
        <v>SELESAI (VIA PERMOHONAN)</v>
      </c>
      <c r="G533" s="17">
        <f>IFERROR(__xludf.DUMMYFUNCTION("""COMPUTED_VALUE"""),45645.70158630787)</f>
        <v>45645.70159</v>
      </c>
      <c r="H533" s="14" t="str">
        <f>IFERROR(__xludf.DUMMYFUNCTION("""COMPUTED_VALUE"""),"Aprill (SU)")</f>
        <v>Aprill (SU)</v>
      </c>
      <c r="I533" s="13" t="str">
        <f>IFERROR(__xludf.DUMMYFUNCTION("""COMPUTED_VALUE"""),"SELESAI (VIA PERMOHONAN)")</f>
        <v>SELESAI (VIA PERMOHONAN)</v>
      </c>
      <c r="J533" s="17">
        <f>IFERROR(__xludf.DUMMYFUNCTION("""COMPUTED_VALUE"""),45664.361608067135)</f>
        <v>45664.36161</v>
      </c>
      <c r="K533" s="13" t="str">
        <f>IFERROR(__xludf.DUMMYFUNCTION("""COMPUTED_VALUE"""),"Selesai")</f>
        <v>Selesai</v>
      </c>
      <c r="L533" s="17">
        <f>IFERROR(__xludf.DUMMYFUNCTION("""COMPUTED_VALUE"""),45664.361608067135)</f>
        <v>45664.36161</v>
      </c>
      <c r="M533" s="17">
        <f>IFERROR(__xludf.DUMMYFUNCTION("""COMPUTED_VALUE"""),45664.36164451389)</f>
        <v>45664.36164</v>
      </c>
      <c r="N533" s="17">
        <f>IFERROR(__xludf.DUMMYFUNCTION("""COMPUTED_VALUE"""),45653.59913077546)</f>
        <v>45653.59913</v>
      </c>
      <c r="O533" s="13">
        <f t="shared" si="1"/>
        <v>1</v>
      </c>
    </row>
    <row r="534" ht="22.5" customHeight="1">
      <c r="B534" s="13">
        <f>IFERROR(__xludf.DUMMYFUNCTION("""COMPUTED_VALUE"""),529.0)</f>
        <v>529</v>
      </c>
      <c r="C534" s="13" t="str">
        <f>IFERROR(__xludf.DUMMYFUNCTION("""COMPUTED_VALUE"""),"M. 4592/ Gunung Terang")</f>
        <v>M. 4592/ Gunung Terang</v>
      </c>
      <c r="D534" s="13" t="str">
        <f>IFERROR(__xludf.DUMMYFUNCTION("""COMPUTED_VALUE"""),"K/1/061224/1")</f>
        <v>K/1/061224/1</v>
      </c>
      <c r="E534" s="14" t="str">
        <f>IFERROR(__xludf.DUMMYFUNCTION("""COMPUTED_VALUE"""),"Nadian (BT)")</f>
        <v>Nadian (BT)</v>
      </c>
      <c r="F534" s="14" t="str">
        <f>IFERROR(__xludf.DUMMYFUNCTION("""COMPUTED_VALUE"""),"SELESAI (VIA PERMOHONAN)")</f>
        <v>SELESAI (VIA PERMOHONAN)</v>
      </c>
      <c r="G534" s="17">
        <f>IFERROR(__xludf.DUMMYFUNCTION("""COMPUTED_VALUE"""),45645.70158630787)</f>
        <v>45645.70159</v>
      </c>
      <c r="H534" s="14" t="str">
        <f>IFERROR(__xludf.DUMMYFUNCTION("""COMPUTED_VALUE"""),"Aprill (SU)")</f>
        <v>Aprill (SU)</v>
      </c>
      <c r="I534" s="13" t="str">
        <f>IFERROR(__xludf.DUMMYFUNCTION("""COMPUTED_VALUE"""),"SELESAI (VIA PERMOHONAN)")</f>
        <v>SELESAI (VIA PERMOHONAN)</v>
      </c>
      <c r="J534" s="17">
        <f>IFERROR(__xludf.DUMMYFUNCTION("""COMPUTED_VALUE"""),45664.3616080787)</f>
        <v>45664.36161</v>
      </c>
      <c r="K534" s="13" t="str">
        <f>IFERROR(__xludf.DUMMYFUNCTION("""COMPUTED_VALUE"""),"Selesai")</f>
        <v>Selesai</v>
      </c>
      <c r="L534" s="17">
        <f>IFERROR(__xludf.DUMMYFUNCTION("""COMPUTED_VALUE"""),45664.3616080787)</f>
        <v>45664.36161</v>
      </c>
      <c r="M534" s="17">
        <f>IFERROR(__xludf.DUMMYFUNCTION("""COMPUTED_VALUE"""),45664.36165331019)</f>
        <v>45664.36165</v>
      </c>
      <c r="N534" s="13" t="str">
        <f>IFERROR(__xludf.DUMMYFUNCTION("""COMPUTED_VALUE"""),"")</f>
        <v/>
      </c>
      <c r="O534" s="13" t="str">
        <f t="shared" si="1"/>
        <v/>
      </c>
    </row>
    <row r="535" ht="22.5" customHeight="1">
      <c r="B535" s="13">
        <f>IFERROR(__xludf.DUMMYFUNCTION("""COMPUTED_VALUE"""),530.0)</f>
        <v>530</v>
      </c>
      <c r="C535" s="13" t="str">
        <f>IFERROR(__xludf.DUMMYFUNCTION("""COMPUTED_VALUE"""),"M. 1113/ Sepang Jaya")</f>
        <v>M. 1113/ Sepang Jaya</v>
      </c>
      <c r="D535" s="13" t="str">
        <f>IFERROR(__xludf.DUMMYFUNCTION("""COMPUTED_VALUE"""),"K/4/131224/1")</f>
        <v>K/4/131224/1</v>
      </c>
      <c r="E535" s="14" t="str">
        <f>IFERROR(__xludf.DUMMYFUNCTION("""COMPUTED_VALUE"""),"Nadian (BT)")</f>
        <v>Nadian (BT)</v>
      </c>
      <c r="F535" s="14" t="str">
        <f>IFERROR(__xludf.DUMMYFUNCTION("""COMPUTED_VALUE"""),"SELESAI (VIA PERMOHONAN)")</f>
        <v>SELESAI (VIA PERMOHONAN)</v>
      </c>
      <c r="G535" s="17">
        <f>IFERROR(__xludf.DUMMYFUNCTION("""COMPUTED_VALUE"""),45645.70158630787)</f>
        <v>45645.70159</v>
      </c>
      <c r="H535" s="14" t="str">
        <f>IFERROR(__xludf.DUMMYFUNCTION("""COMPUTED_VALUE"""),"Aprill (SU)")</f>
        <v>Aprill (SU)</v>
      </c>
      <c r="I535" s="13" t="str">
        <f>IFERROR(__xludf.DUMMYFUNCTION("""COMPUTED_VALUE"""),"SELESAI (VIA PERMOHONAN)")</f>
        <v>SELESAI (VIA PERMOHONAN)</v>
      </c>
      <c r="J535" s="17">
        <f>IFERROR(__xludf.DUMMYFUNCTION("""COMPUTED_VALUE"""),45664.3616080787)</f>
        <v>45664.36161</v>
      </c>
      <c r="K535" s="13" t="str">
        <f>IFERROR(__xludf.DUMMYFUNCTION("""COMPUTED_VALUE"""),"Selesai")</f>
        <v>Selesai</v>
      </c>
      <c r="L535" s="17">
        <f>IFERROR(__xludf.DUMMYFUNCTION("""COMPUTED_VALUE"""),45664.3616080787)</f>
        <v>45664.36161</v>
      </c>
      <c r="M535" s="17">
        <f>IFERROR(__xludf.DUMMYFUNCTION("""COMPUTED_VALUE"""),45664.361664791664)</f>
        <v>45664.36166</v>
      </c>
      <c r="N535" s="13" t="str">
        <f>IFERROR(__xludf.DUMMYFUNCTION("""COMPUTED_VALUE"""),"")</f>
        <v/>
      </c>
      <c r="O535" s="13" t="str">
        <f t="shared" si="1"/>
        <v/>
      </c>
    </row>
    <row r="536" ht="22.5" customHeight="1">
      <c r="B536" s="13">
        <f>IFERROR(__xludf.DUMMYFUNCTION("""COMPUTED_VALUE"""),531.0)</f>
        <v>531</v>
      </c>
      <c r="C536" s="13" t="str">
        <f>IFERROR(__xludf.DUMMYFUNCTION("""COMPUTED_VALUE"""),"M. 2313/ Sukamaju")</f>
        <v>M. 2313/ Sukamaju</v>
      </c>
      <c r="D536" s="13" t="str">
        <f>IFERROR(__xludf.DUMMYFUNCTION("""COMPUTED_VALUE"""),"K/8/181224/1")</f>
        <v>K/8/181224/1</v>
      </c>
      <c r="E536" s="14" t="str">
        <f>IFERROR(__xludf.DUMMYFUNCTION("""COMPUTED_VALUE"""),"Nadian (BT)")</f>
        <v>Nadian (BT)</v>
      </c>
      <c r="F536" s="14" t="str">
        <f>IFERROR(__xludf.DUMMYFUNCTION("""COMPUTED_VALUE"""),"SELESAI")</f>
        <v>SELESAI</v>
      </c>
      <c r="G536" s="17">
        <f>IFERROR(__xludf.DUMMYFUNCTION("""COMPUTED_VALUE"""),45645.70410326389)</f>
        <v>45645.7041</v>
      </c>
      <c r="H536" s="14" t="str">
        <f>IFERROR(__xludf.DUMMYFUNCTION("""COMPUTED_VALUE"""),"Bu Eva (SU)")</f>
        <v>Bu Eva (SU)</v>
      </c>
      <c r="I536" s="13" t="str">
        <f>IFERROR(__xludf.DUMMYFUNCTION("""COMPUTED_VALUE"""),"SELESAI")</f>
        <v>SELESAI</v>
      </c>
      <c r="J536" s="17">
        <f>IFERROR(__xludf.DUMMYFUNCTION("""COMPUTED_VALUE"""),45653.60262962963)</f>
        <v>45653.60263</v>
      </c>
      <c r="K536" s="13" t="str">
        <f>IFERROR(__xludf.DUMMYFUNCTION("""COMPUTED_VALUE"""),"SELESAI")</f>
        <v>SELESAI</v>
      </c>
      <c r="L536" s="17">
        <f>IFERROR(__xludf.DUMMYFUNCTION("""COMPUTED_VALUE"""),45653.60262962963)</f>
        <v>45653.60263</v>
      </c>
      <c r="M536" s="17" t="str">
        <f>IFERROR(__xludf.DUMMYFUNCTION("""COMPUTED_VALUE"""),"")</f>
        <v/>
      </c>
      <c r="N536" s="17">
        <f>IFERROR(__xludf.DUMMYFUNCTION("""COMPUTED_VALUE"""),45653.60266030092)</f>
        <v>45653.60266</v>
      </c>
      <c r="O536" s="13">
        <f t="shared" si="1"/>
        <v>1</v>
      </c>
    </row>
    <row r="537" ht="22.5" customHeight="1">
      <c r="B537" s="13">
        <f>IFERROR(__xludf.DUMMYFUNCTION("""COMPUTED_VALUE"""),532.0)</f>
        <v>532</v>
      </c>
      <c r="C537" s="13" t="str">
        <f>IFERROR(__xludf.DUMMYFUNCTION("""COMPUTED_VALUE"""),"HM 12616/RAJABASA")</f>
        <v>HM 12616/RAJABASA</v>
      </c>
      <c r="D537" s="13" t="str">
        <f>IFERROR(__xludf.DUMMYFUNCTION("""COMPUTED_VALUE"""),"L/3/171224/1")</f>
        <v>L/3/171224/1</v>
      </c>
      <c r="E537" s="14" t="str">
        <f>IFERROR(__xludf.DUMMYFUNCTION("""COMPUTED_VALUE"""),"Nadian (BT)")</f>
        <v>Nadian (BT)</v>
      </c>
      <c r="F537" s="14" t="str">
        <f>IFERROR(__xludf.DUMMYFUNCTION("""COMPUTED_VALUE"""),"SELESAI")</f>
        <v>SELESAI</v>
      </c>
      <c r="G537" s="17">
        <f>IFERROR(__xludf.DUMMYFUNCTION("""COMPUTED_VALUE"""),45645.704458935186)</f>
        <v>45645.70446</v>
      </c>
      <c r="H537" s="14" t="str">
        <f>IFERROR(__xludf.DUMMYFUNCTION("""COMPUTED_VALUE"""),"Bu Eva (SU)")</f>
        <v>Bu Eva (SU)</v>
      </c>
      <c r="I537" s="13" t="str">
        <f>IFERROR(__xludf.DUMMYFUNCTION("""COMPUTED_VALUE"""),"SELESAI")</f>
        <v>SELESAI</v>
      </c>
      <c r="J537" s="17">
        <f>IFERROR(__xludf.DUMMYFUNCTION("""COMPUTED_VALUE"""),45653.59913077546)</f>
        <v>45653.59913</v>
      </c>
      <c r="K537" s="13" t="str">
        <f>IFERROR(__xludf.DUMMYFUNCTION("""COMPUTED_VALUE"""),"SELESAI")</f>
        <v>SELESAI</v>
      </c>
      <c r="L537" s="17">
        <f>IFERROR(__xludf.DUMMYFUNCTION("""COMPUTED_VALUE"""),45653.59913077546)</f>
        <v>45653.59913</v>
      </c>
      <c r="M537" s="17" t="str">
        <f>IFERROR(__xludf.DUMMYFUNCTION("""COMPUTED_VALUE"""),"")</f>
        <v/>
      </c>
      <c r="N537" s="17">
        <f>IFERROR(__xludf.DUMMYFUNCTION("""COMPUTED_VALUE"""),45653.59913077546)</f>
        <v>45653.59913</v>
      </c>
      <c r="O537" s="13">
        <f t="shared" si="1"/>
        <v>2</v>
      </c>
    </row>
    <row r="538" ht="22.5" customHeight="1">
      <c r="B538" s="13">
        <f>IFERROR(__xludf.DUMMYFUNCTION("""COMPUTED_VALUE"""),533.0)</f>
        <v>533</v>
      </c>
      <c r="C538" s="13" t="str">
        <f>IFERROR(__xludf.DUMMYFUNCTION("""COMPUTED_VALUE"""),"M.2624/WAY KANDIS")</f>
        <v>M.2624/WAY KANDIS</v>
      </c>
      <c r="D538" s="13" t="str">
        <f>IFERROR(__xludf.DUMMYFUNCTION("""COMPUTED_VALUE"""),"K/43/161224/1")</f>
        <v>K/43/161224/1</v>
      </c>
      <c r="E538" s="14" t="str">
        <f>IFERROR(__xludf.DUMMYFUNCTION("""COMPUTED_VALUE"""),"Nadian (BT)")</f>
        <v>Nadian (BT)</v>
      </c>
      <c r="F538" s="14" t="str">
        <f>IFERROR(__xludf.DUMMYFUNCTION("""COMPUTED_VALUE"""),"SELESAI")</f>
        <v>SELESAI</v>
      </c>
      <c r="G538" s="17">
        <f>IFERROR(__xludf.DUMMYFUNCTION("""COMPUTED_VALUE"""),45645.704458935186)</f>
        <v>45645.70446</v>
      </c>
      <c r="H538" s="14" t="str">
        <f>IFERROR(__xludf.DUMMYFUNCTION("""COMPUTED_VALUE"""),"Bu Eva (SU)")</f>
        <v>Bu Eva (SU)</v>
      </c>
      <c r="I538" s="13" t="str">
        <f>IFERROR(__xludf.DUMMYFUNCTION("""COMPUTED_VALUE"""),"SELESAI")</f>
        <v>SELESAI</v>
      </c>
      <c r="J538" s="17">
        <f>IFERROR(__xludf.DUMMYFUNCTION("""COMPUTED_VALUE"""),45653.59913077546)</f>
        <v>45653.59913</v>
      </c>
      <c r="K538" s="13" t="str">
        <f>IFERROR(__xludf.DUMMYFUNCTION("""COMPUTED_VALUE"""),"SELESAI")</f>
        <v>SELESAI</v>
      </c>
      <c r="L538" s="17">
        <f>IFERROR(__xludf.DUMMYFUNCTION("""COMPUTED_VALUE"""),45653.59913077546)</f>
        <v>45653.59913</v>
      </c>
      <c r="M538" s="17" t="str">
        <f>IFERROR(__xludf.DUMMYFUNCTION("""COMPUTED_VALUE"""),"")</f>
        <v/>
      </c>
      <c r="N538" s="17">
        <f>IFERROR(__xludf.DUMMYFUNCTION("""COMPUTED_VALUE"""),45653.59913077546)</f>
        <v>45653.59913</v>
      </c>
      <c r="O538" s="13">
        <f t="shared" si="1"/>
        <v>3</v>
      </c>
    </row>
    <row r="539" ht="22.5" customHeight="1">
      <c r="B539" s="13">
        <f>IFERROR(__xludf.DUMMYFUNCTION("""COMPUTED_VALUE"""),534.0)</f>
        <v>534</v>
      </c>
      <c r="C539" s="13" t="str">
        <f>IFERROR(__xludf.DUMMYFUNCTION("""COMPUTED_VALUE"""),"M.2654/KOTA BARU")</f>
        <v>M.2654/KOTA BARU</v>
      </c>
      <c r="D539" s="13" t="str">
        <f>IFERROR(__xludf.DUMMYFUNCTION("""COMPUTED_VALUE"""),"K/1/171224/1")</f>
        <v>K/1/171224/1</v>
      </c>
      <c r="E539" s="14" t="str">
        <f>IFERROR(__xludf.DUMMYFUNCTION("""COMPUTED_VALUE"""),"Nadian (BT)")</f>
        <v>Nadian (BT)</v>
      </c>
      <c r="F539" s="14" t="str">
        <f>IFERROR(__xludf.DUMMYFUNCTION("""COMPUTED_VALUE"""),"SELESAI")</f>
        <v>SELESAI</v>
      </c>
      <c r="G539" s="17">
        <f>IFERROR(__xludf.DUMMYFUNCTION("""COMPUTED_VALUE"""),45645.704458935186)</f>
        <v>45645.70446</v>
      </c>
      <c r="H539" s="14" t="str">
        <f>IFERROR(__xludf.DUMMYFUNCTION("""COMPUTED_VALUE"""),"Bu Eva (SU)")</f>
        <v>Bu Eva (SU)</v>
      </c>
      <c r="I539" s="13" t="str">
        <f>IFERROR(__xludf.DUMMYFUNCTION("""COMPUTED_VALUE"""),"SELESAI")</f>
        <v>SELESAI</v>
      </c>
      <c r="J539" s="17">
        <f>IFERROR(__xludf.DUMMYFUNCTION("""COMPUTED_VALUE"""),45653.599134606484)</f>
        <v>45653.59913</v>
      </c>
      <c r="K539" s="13" t="str">
        <f>IFERROR(__xludf.DUMMYFUNCTION("""COMPUTED_VALUE"""),"SELESAI")</f>
        <v>SELESAI</v>
      </c>
      <c r="L539" s="17">
        <f>IFERROR(__xludf.DUMMYFUNCTION("""COMPUTED_VALUE"""),45653.599134606484)</f>
        <v>45653.59913</v>
      </c>
      <c r="M539" s="17" t="str">
        <f>IFERROR(__xludf.DUMMYFUNCTION("""COMPUTED_VALUE"""),"")</f>
        <v/>
      </c>
      <c r="N539" s="17">
        <f>IFERROR(__xludf.DUMMYFUNCTION("""COMPUTED_VALUE"""),45653.599154131945)</f>
        <v>45653.59915</v>
      </c>
      <c r="O539" s="13">
        <f t="shared" si="1"/>
        <v>4</v>
      </c>
    </row>
    <row r="540" ht="22.5" customHeight="1">
      <c r="B540" s="13">
        <f>IFERROR(__xludf.DUMMYFUNCTION("""COMPUTED_VALUE"""),535.0)</f>
        <v>535</v>
      </c>
      <c r="C540" s="13" t="str">
        <f>IFERROR(__xludf.DUMMYFUNCTION("""COMPUTED_VALUE"""),"HM 13813/RAJABASA")</f>
        <v>HM 13813/RAJABASA</v>
      </c>
      <c r="D540" s="13" t="str">
        <f>IFERROR(__xludf.DUMMYFUNCTION("""COMPUTED_VALUE"""),"L/40/161224/1")</f>
        <v>L/40/161224/1</v>
      </c>
      <c r="E540" s="14" t="str">
        <f>IFERROR(__xludf.DUMMYFUNCTION("""COMPUTED_VALUE"""),"Nadian (BT)")</f>
        <v>Nadian (BT)</v>
      </c>
      <c r="F540" s="14" t="str">
        <f>IFERROR(__xludf.DUMMYFUNCTION("""COMPUTED_VALUE"""),"SELESAI")</f>
        <v>SELESAI</v>
      </c>
      <c r="G540" s="17">
        <f>IFERROR(__xludf.DUMMYFUNCTION("""COMPUTED_VALUE"""),45645.704458935186)</f>
        <v>45645.70446</v>
      </c>
      <c r="H540" s="14" t="str">
        <f>IFERROR(__xludf.DUMMYFUNCTION("""COMPUTED_VALUE"""),"Bu Eva (SU)")</f>
        <v>Bu Eva (SU)</v>
      </c>
      <c r="I540" s="13" t="str">
        <f>IFERROR(__xludf.DUMMYFUNCTION("""COMPUTED_VALUE"""),"SELESAI")</f>
        <v>SELESAI</v>
      </c>
      <c r="J540" s="17">
        <f>IFERROR(__xludf.DUMMYFUNCTION("""COMPUTED_VALUE"""),45653.599329351855)</f>
        <v>45653.59933</v>
      </c>
      <c r="K540" s="13" t="str">
        <f>IFERROR(__xludf.DUMMYFUNCTION("""COMPUTED_VALUE"""),"SELESAI")</f>
        <v>SELESAI</v>
      </c>
      <c r="L540" s="17">
        <f>IFERROR(__xludf.DUMMYFUNCTION("""COMPUTED_VALUE"""),45653.599329351855)</f>
        <v>45653.59933</v>
      </c>
      <c r="M540" s="17" t="str">
        <f>IFERROR(__xludf.DUMMYFUNCTION("""COMPUTED_VALUE"""),"")</f>
        <v/>
      </c>
      <c r="N540" s="17">
        <f>IFERROR(__xludf.DUMMYFUNCTION("""COMPUTED_VALUE"""),45653.599359687505)</f>
        <v>45653.59936</v>
      </c>
      <c r="O540" s="13">
        <f t="shared" si="1"/>
        <v>5</v>
      </c>
    </row>
    <row r="541" ht="22.5" customHeight="1">
      <c r="B541" s="13">
        <f>IFERROR(__xludf.DUMMYFUNCTION("""COMPUTED_VALUE"""),536.0)</f>
        <v>536</v>
      </c>
      <c r="C541" s="13" t="str">
        <f>IFERROR(__xludf.DUMMYFUNCTION("""COMPUTED_VALUE"""),"M.581/GULAK GALIK")</f>
        <v>M.581/GULAK GALIK</v>
      </c>
      <c r="D541" s="13" t="str">
        <f>IFERROR(__xludf.DUMMYFUNCTION("""COMPUTED_VALUE"""),"K/2/161224/1")</f>
        <v>K/2/161224/1</v>
      </c>
      <c r="E541" s="14" t="str">
        <f>IFERROR(__xludf.DUMMYFUNCTION("""COMPUTED_VALUE"""),"Nadian (BT)")</f>
        <v>Nadian (BT)</v>
      </c>
      <c r="F541" s="14" t="str">
        <f>IFERROR(__xludf.DUMMYFUNCTION("""COMPUTED_VALUE"""),"SELESAI")</f>
        <v>SELESAI</v>
      </c>
      <c r="G541" s="17">
        <f>IFERROR(__xludf.DUMMYFUNCTION("""COMPUTED_VALUE"""),45645.704458935186)</f>
        <v>45645.70446</v>
      </c>
      <c r="H541" s="14" t="str">
        <f>IFERROR(__xludf.DUMMYFUNCTION("""COMPUTED_VALUE"""),"Bu Eva (SU)")</f>
        <v>Bu Eva (SU)</v>
      </c>
      <c r="I541" s="13" t="str">
        <f>IFERROR(__xludf.DUMMYFUNCTION("""COMPUTED_VALUE"""),"SELESAI")</f>
        <v>SELESAI</v>
      </c>
      <c r="J541" s="17">
        <f>IFERROR(__xludf.DUMMYFUNCTION("""COMPUTED_VALUE"""),45653.59913077546)</f>
        <v>45653.59913</v>
      </c>
      <c r="K541" s="13" t="str">
        <f>IFERROR(__xludf.DUMMYFUNCTION("""COMPUTED_VALUE"""),"SELESAI")</f>
        <v>SELESAI</v>
      </c>
      <c r="L541" s="17">
        <f>IFERROR(__xludf.DUMMYFUNCTION("""COMPUTED_VALUE"""),45653.59913077546)</f>
        <v>45653.59913</v>
      </c>
      <c r="M541" s="17" t="str">
        <f>IFERROR(__xludf.DUMMYFUNCTION("""COMPUTED_VALUE"""),"")</f>
        <v/>
      </c>
      <c r="N541" s="17">
        <f>IFERROR(__xludf.DUMMYFUNCTION("""COMPUTED_VALUE"""),45653.599130787035)</f>
        <v>45653.59913</v>
      </c>
      <c r="O541" s="13">
        <f t="shared" si="1"/>
        <v>6</v>
      </c>
    </row>
    <row r="542" ht="22.5" customHeight="1">
      <c r="B542" s="13">
        <f>IFERROR(__xludf.DUMMYFUNCTION("""COMPUTED_VALUE"""),537.0)</f>
        <v>537</v>
      </c>
      <c r="C542" s="13" t="str">
        <f>IFERROR(__xludf.DUMMYFUNCTION("""COMPUTED_VALUE"""),"B.625/SUMBER AGUNG")</f>
        <v>B.625/SUMBER AGUNG</v>
      </c>
      <c r="D542" s="13" t="str">
        <f>IFERROR(__xludf.DUMMYFUNCTION("""COMPUTED_VALUE"""),"K/10/181224/2")</f>
        <v>K/10/181224/2</v>
      </c>
      <c r="E542" s="14" t="str">
        <f>IFERROR(__xludf.DUMMYFUNCTION("""COMPUTED_VALUE"""),"Nadian (BT)")</f>
        <v>Nadian (BT)</v>
      </c>
      <c r="F542" s="14" t="str">
        <f>IFERROR(__xludf.DUMMYFUNCTION("""COMPUTED_VALUE"""),"SELESAI")</f>
        <v>SELESAI</v>
      </c>
      <c r="G542" s="17">
        <f>IFERROR(__xludf.DUMMYFUNCTION("""COMPUTED_VALUE"""),45645.704458935186)</f>
        <v>45645.70446</v>
      </c>
      <c r="H542" s="14" t="str">
        <f>IFERROR(__xludf.DUMMYFUNCTION("""COMPUTED_VALUE"""),"Bu Eva (SU)")</f>
        <v>Bu Eva (SU)</v>
      </c>
      <c r="I542" s="13" t="str">
        <f>IFERROR(__xludf.DUMMYFUNCTION("""COMPUTED_VALUE"""),"SELESAI")</f>
        <v>SELESAI</v>
      </c>
      <c r="J542" s="17">
        <f>IFERROR(__xludf.DUMMYFUNCTION("""COMPUTED_VALUE"""),45653.594995127314)</f>
        <v>45653.595</v>
      </c>
      <c r="K542" s="13" t="str">
        <f>IFERROR(__xludf.DUMMYFUNCTION("""COMPUTED_VALUE"""),"SELESAI")</f>
        <v>SELESAI</v>
      </c>
      <c r="L542" s="17">
        <f>IFERROR(__xludf.DUMMYFUNCTION("""COMPUTED_VALUE"""),45653.594995127314)</f>
        <v>45653.595</v>
      </c>
      <c r="M542" s="17" t="str">
        <f>IFERROR(__xludf.DUMMYFUNCTION("""COMPUTED_VALUE"""),"")</f>
        <v/>
      </c>
      <c r="N542" s="17">
        <f>IFERROR(__xludf.DUMMYFUNCTION("""COMPUTED_VALUE"""),45653.599130787035)</f>
        <v>45653.59913</v>
      </c>
      <c r="O542" s="13">
        <f t="shared" si="1"/>
        <v>7</v>
      </c>
    </row>
    <row r="543" ht="22.5" customHeight="1">
      <c r="B543" s="13">
        <f>IFERROR(__xludf.DUMMYFUNCTION("""COMPUTED_VALUE"""),538.0)</f>
        <v>538</v>
      </c>
      <c r="C543" s="13" t="str">
        <f>IFERROR(__xludf.DUMMYFUNCTION("""COMPUTED_VALUE"""),"B.609/SUMBER AGUNG")</f>
        <v>B.609/SUMBER AGUNG</v>
      </c>
      <c r="D543" s="13" t="str">
        <f>IFERROR(__xludf.DUMMYFUNCTION("""COMPUTED_VALUE"""),"K/9/181224/1")</f>
        <v>K/9/181224/1</v>
      </c>
      <c r="E543" s="14" t="str">
        <f>IFERROR(__xludf.DUMMYFUNCTION("""COMPUTED_VALUE"""),"Nadian (BT)")</f>
        <v>Nadian (BT)</v>
      </c>
      <c r="F543" s="14" t="str">
        <f>IFERROR(__xludf.DUMMYFUNCTION("""COMPUTED_VALUE"""),"SELESAI")</f>
        <v>SELESAI</v>
      </c>
      <c r="G543" s="17">
        <f>IFERROR(__xludf.DUMMYFUNCTION("""COMPUTED_VALUE"""),45645.704458935186)</f>
        <v>45645.70446</v>
      </c>
      <c r="H543" s="14" t="str">
        <f>IFERROR(__xludf.DUMMYFUNCTION("""COMPUTED_VALUE"""),"Bu Eva (SU)")</f>
        <v>Bu Eva (SU)</v>
      </c>
      <c r="I543" s="13" t="str">
        <f>IFERROR(__xludf.DUMMYFUNCTION("""COMPUTED_VALUE"""),"SELESAI")</f>
        <v>SELESAI</v>
      </c>
      <c r="J543" s="17">
        <f>IFERROR(__xludf.DUMMYFUNCTION("""COMPUTED_VALUE"""),45653.59478349537)</f>
        <v>45653.59478</v>
      </c>
      <c r="K543" s="13" t="str">
        <f>IFERROR(__xludf.DUMMYFUNCTION("""COMPUTED_VALUE"""),"SELESAI")</f>
        <v>SELESAI</v>
      </c>
      <c r="L543" s="17">
        <f>IFERROR(__xludf.DUMMYFUNCTION("""COMPUTED_VALUE"""),45653.59478349537)</f>
        <v>45653.59478</v>
      </c>
      <c r="M543" s="17" t="str">
        <f>IFERROR(__xludf.DUMMYFUNCTION("""COMPUTED_VALUE"""),"")</f>
        <v/>
      </c>
      <c r="N543" s="17">
        <f>IFERROR(__xludf.DUMMYFUNCTION("""COMPUTED_VALUE"""),45653.59483113426)</f>
        <v>45653.59483</v>
      </c>
      <c r="O543" s="13">
        <f t="shared" si="1"/>
        <v>8</v>
      </c>
    </row>
    <row r="544" ht="22.5" customHeight="1">
      <c r="B544" s="13">
        <f>IFERROR(__xludf.DUMMYFUNCTION("""COMPUTED_VALUE"""),539.0)</f>
        <v>539</v>
      </c>
      <c r="C544" s="13" t="str">
        <f>IFERROR(__xludf.DUMMYFUNCTION("""COMPUTED_VALUE"""),"M. 5552/ Way Kandis")</f>
        <v>M. 5552/ Way Kandis</v>
      </c>
      <c r="D544" s="13" t="str">
        <f>IFERROR(__xludf.DUMMYFUNCTION("""COMPUTED_VALUE"""),"K/32/171224/2")</f>
        <v>K/32/171224/2</v>
      </c>
      <c r="E544" s="14" t="str">
        <f>IFERROR(__xludf.DUMMYFUNCTION("""COMPUTED_VALUE"""),"Nadian (BT)")</f>
        <v>Nadian (BT)</v>
      </c>
      <c r="F544" s="14" t="str">
        <f>IFERROR(__xludf.DUMMYFUNCTION("""COMPUTED_VALUE"""),"SELESAI")</f>
        <v>SELESAI</v>
      </c>
      <c r="G544" s="17">
        <f>IFERROR(__xludf.DUMMYFUNCTION("""COMPUTED_VALUE"""),45645.704458935186)</f>
        <v>45645.70446</v>
      </c>
      <c r="H544" s="14" t="str">
        <f>IFERROR(__xludf.DUMMYFUNCTION("""COMPUTED_VALUE"""),"Bu Eva (SU)")</f>
        <v>Bu Eva (SU)</v>
      </c>
      <c r="I544" s="13" t="str">
        <f>IFERROR(__xludf.DUMMYFUNCTION("""COMPUTED_VALUE"""),"SELESAI")</f>
        <v>SELESAI</v>
      </c>
      <c r="J544" s="17">
        <f>IFERROR(__xludf.DUMMYFUNCTION("""COMPUTED_VALUE"""),45653.59456258102)</f>
        <v>45653.59456</v>
      </c>
      <c r="K544" s="13" t="str">
        <f>IFERROR(__xludf.DUMMYFUNCTION("""COMPUTED_VALUE"""),"SELESAI")</f>
        <v>SELESAI</v>
      </c>
      <c r="L544" s="17">
        <f>IFERROR(__xludf.DUMMYFUNCTION("""COMPUTED_VALUE"""),45653.59456258102)</f>
        <v>45653.59456</v>
      </c>
      <c r="M544" s="17" t="str">
        <f>IFERROR(__xludf.DUMMYFUNCTION("""COMPUTED_VALUE"""),"")</f>
        <v/>
      </c>
      <c r="N544" s="17">
        <f>IFERROR(__xludf.DUMMYFUNCTION("""COMPUTED_VALUE"""),45653.59460694445)</f>
        <v>45653.59461</v>
      </c>
      <c r="O544" s="13">
        <f t="shared" si="1"/>
        <v>9</v>
      </c>
    </row>
    <row r="545" ht="22.5" customHeight="1">
      <c r="B545" s="13">
        <f>IFERROR(__xludf.DUMMYFUNCTION("""COMPUTED_VALUE"""),540.0)</f>
        <v>540</v>
      </c>
      <c r="C545" s="13" t="str">
        <f>IFERROR(__xludf.DUMMYFUNCTION("""COMPUTED_VALUE"""),"B.265/LABUHAN RATU RAYA-SEKARANG;B.277/LABUHAN RATU-DAHULU")</f>
        <v>B.265/LABUHAN RATU RAYA-SEKARANG;B.277/LABUHAN RATU-DAHULU</v>
      </c>
      <c r="D545" s="13" t="str">
        <f>IFERROR(__xludf.DUMMYFUNCTION("""COMPUTED_VALUE"""),"K/15/171224/1")</f>
        <v>K/15/171224/1</v>
      </c>
      <c r="E545" s="14" t="str">
        <f>IFERROR(__xludf.DUMMYFUNCTION("""COMPUTED_VALUE"""),"Nadian (BT)")</f>
        <v>Nadian (BT)</v>
      </c>
      <c r="F545" s="14" t="str">
        <f>IFERROR(__xludf.DUMMYFUNCTION("""COMPUTED_VALUE"""),"SELESAI")</f>
        <v>SELESAI</v>
      </c>
      <c r="G545" s="17">
        <f>IFERROR(__xludf.DUMMYFUNCTION("""COMPUTED_VALUE"""),45645.704458935186)</f>
        <v>45645.70446</v>
      </c>
      <c r="H545" s="14" t="str">
        <f>IFERROR(__xludf.DUMMYFUNCTION("""COMPUTED_VALUE"""),"Bu Eva (SU)")</f>
        <v>Bu Eva (SU)</v>
      </c>
      <c r="I545" s="13" t="str">
        <f>IFERROR(__xludf.DUMMYFUNCTION("""COMPUTED_VALUE"""),"SELESAI")</f>
        <v>SELESAI</v>
      </c>
      <c r="J545" s="17">
        <f>IFERROR(__xludf.DUMMYFUNCTION("""COMPUTED_VALUE"""),45653.59381236111)</f>
        <v>45653.59381</v>
      </c>
      <c r="K545" s="13" t="str">
        <f>IFERROR(__xludf.DUMMYFUNCTION("""COMPUTED_VALUE"""),"SELESAI")</f>
        <v>SELESAI</v>
      </c>
      <c r="L545" s="17">
        <f>IFERROR(__xludf.DUMMYFUNCTION("""COMPUTED_VALUE"""),45653.59381236111)</f>
        <v>45653.59381</v>
      </c>
      <c r="M545" s="17" t="str">
        <f>IFERROR(__xludf.DUMMYFUNCTION("""COMPUTED_VALUE"""),"")</f>
        <v/>
      </c>
      <c r="N545" s="17">
        <f>IFERROR(__xludf.DUMMYFUNCTION("""COMPUTED_VALUE"""),45653.59383413194)</f>
        <v>45653.59383</v>
      </c>
      <c r="O545" s="13">
        <f t="shared" si="1"/>
        <v>10</v>
      </c>
    </row>
    <row r="546" ht="22.5" customHeight="1">
      <c r="B546" s="13">
        <f>IFERROR(__xludf.DUMMYFUNCTION("""COMPUTED_VALUE"""),541.0)</f>
        <v>541</v>
      </c>
      <c r="C546" s="13" t="str">
        <f>IFERROR(__xludf.DUMMYFUNCTION("""COMPUTED_VALUE"""),"B. 352/ Kemiling permai")</f>
        <v>B. 352/ Kemiling permai</v>
      </c>
      <c r="D546" s="13" t="str">
        <f>IFERROR(__xludf.DUMMYFUNCTION("""COMPUTED_VALUE"""),"K/45/161224/1")</f>
        <v>K/45/161224/1</v>
      </c>
      <c r="E546" s="14" t="str">
        <f>IFERROR(__xludf.DUMMYFUNCTION("""COMPUTED_VALUE"""),"Nadian (BT)")</f>
        <v>Nadian (BT)</v>
      </c>
      <c r="F546" s="14" t="str">
        <f>IFERROR(__xludf.DUMMYFUNCTION("""COMPUTED_VALUE"""),"SELESAI")</f>
        <v>SELESAI</v>
      </c>
      <c r="G546" s="17">
        <f>IFERROR(__xludf.DUMMYFUNCTION("""COMPUTED_VALUE"""),45645.704458935186)</f>
        <v>45645.70446</v>
      </c>
      <c r="H546" s="14" t="str">
        <f>IFERROR(__xludf.DUMMYFUNCTION("""COMPUTED_VALUE"""),"Bu Eva (SU)")</f>
        <v>Bu Eva (SU)</v>
      </c>
      <c r="I546" s="13" t="str">
        <f>IFERROR(__xludf.DUMMYFUNCTION("""COMPUTED_VALUE"""),"SELESAI")</f>
        <v>SELESAI</v>
      </c>
      <c r="J546" s="17">
        <f>IFERROR(__xludf.DUMMYFUNCTION("""COMPUTED_VALUE"""),45653.59952204861)</f>
        <v>45653.59952</v>
      </c>
      <c r="K546" s="13" t="str">
        <f>IFERROR(__xludf.DUMMYFUNCTION("""COMPUTED_VALUE"""),"SELESAI")</f>
        <v>SELESAI</v>
      </c>
      <c r="L546" s="17">
        <f>IFERROR(__xludf.DUMMYFUNCTION("""COMPUTED_VALUE"""),45653.59952204861)</f>
        <v>45653.59952</v>
      </c>
      <c r="M546" s="17" t="str">
        <f>IFERROR(__xludf.DUMMYFUNCTION("""COMPUTED_VALUE"""),"")</f>
        <v/>
      </c>
      <c r="N546" s="17">
        <f>IFERROR(__xludf.DUMMYFUNCTION("""COMPUTED_VALUE"""),45653.59954622685)</f>
        <v>45653.59955</v>
      </c>
      <c r="O546" s="13">
        <f t="shared" si="1"/>
        <v>11</v>
      </c>
    </row>
    <row r="547" ht="22.5" customHeight="1">
      <c r="B547" s="13">
        <f>IFERROR(__xludf.DUMMYFUNCTION("""COMPUTED_VALUE"""),542.0)</f>
        <v>542</v>
      </c>
      <c r="C547" s="13" t="str">
        <f>IFERROR(__xludf.DUMMYFUNCTION("""COMPUTED_VALUE"""),"M. 1662/Kaliawi")</f>
        <v>M. 1662/Kaliawi</v>
      </c>
      <c r="D547" s="13" t="str">
        <f>IFERROR(__xludf.DUMMYFUNCTION("""COMPUTED_VALUE"""),"K/44/161224/1")</f>
        <v>K/44/161224/1</v>
      </c>
      <c r="E547" s="14" t="str">
        <f>IFERROR(__xludf.DUMMYFUNCTION("""COMPUTED_VALUE"""),"Nadian (BT)")</f>
        <v>Nadian (BT)</v>
      </c>
      <c r="F547" s="14" t="str">
        <f>IFERROR(__xludf.DUMMYFUNCTION("""COMPUTED_VALUE"""),"SELESAI")</f>
        <v>SELESAI</v>
      </c>
      <c r="G547" s="17">
        <f>IFERROR(__xludf.DUMMYFUNCTION("""COMPUTED_VALUE"""),45645.704458935186)</f>
        <v>45645.70446</v>
      </c>
      <c r="H547" s="14" t="str">
        <f>IFERROR(__xludf.DUMMYFUNCTION("""COMPUTED_VALUE"""),"Bu Eva (SU)")</f>
        <v>Bu Eva (SU)</v>
      </c>
      <c r="I547" s="13" t="str">
        <f>IFERROR(__xludf.DUMMYFUNCTION("""COMPUTED_VALUE"""),"SELESAI")</f>
        <v>SELESAI</v>
      </c>
      <c r="J547" s="17">
        <f>IFERROR(__xludf.DUMMYFUNCTION("""COMPUTED_VALUE"""),45653.59115034722)</f>
        <v>45653.59115</v>
      </c>
      <c r="K547" s="13" t="str">
        <f>IFERROR(__xludf.DUMMYFUNCTION("""COMPUTED_VALUE"""),"SELESAI")</f>
        <v>SELESAI</v>
      </c>
      <c r="L547" s="17">
        <f>IFERROR(__xludf.DUMMYFUNCTION("""COMPUTED_VALUE"""),45653.59115034722)</f>
        <v>45653.59115</v>
      </c>
      <c r="M547" s="17">
        <f>IFERROR(__xludf.DUMMYFUNCTION("""COMPUTED_VALUE"""),45664.44128623843)</f>
        <v>45664.44129</v>
      </c>
      <c r="N547" s="17">
        <f>IFERROR(__xludf.DUMMYFUNCTION("""COMPUTED_VALUE"""),45653.591180069445)</f>
        <v>45653.59118</v>
      </c>
      <c r="O547" s="13">
        <f t="shared" si="1"/>
        <v>12</v>
      </c>
    </row>
    <row r="548" ht="22.5" customHeight="1">
      <c r="B548" s="13">
        <f>IFERROR(__xludf.DUMMYFUNCTION("""COMPUTED_VALUE"""),543.0)</f>
        <v>543</v>
      </c>
      <c r="C548" s="13" t="str">
        <f>IFERROR(__xludf.DUMMYFUNCTION("""COMPUTED_VALUE"""),"M. 2021/ Durian Payung")</f>
        <v>M. 2021/ Durian Payung</v>
      </c>
      <c r="D548" s="13" t="str">
        <f>IFERROR(__xludf.DUMMYFUNCTION("""COMPUTED_VALUE"""),"K/38/161224/2")</f>
        <v>K/38/161224/2</v>
      </c>
      <c r="E548" s="14" t="str">
        <f>IFERROR(__xludf.DUMMYFUNCTION("""COMPUTED_VALUE"""),"Nadian (BT)")</f>
        <v>Nadian (BT)</v>
      </c>
      <c r="F548" s="14" t="str">
        <f>IFERROR(__xludf.DUMMYFUNCTION("""COMPUTED_VALUE"""),"SELESAI")</f>
        <v>SELESAI</v>
      </c>
      <c r="G548" s="17">
        <f>IFERROR(__xludf.DUMMYFUNCTION("""COMPUTED_VALUE"""),45645.704458935186)</f>
        <v>45645.70446</v>
      </c>
      <c r="H548" s="14" t="str">
        <f>IFERROR(__xludf.DUMMYFUNCTION("""COMPUTED_VALUE"""),"Bu Eva (SU)")</f>
        <v>Bu Eva (SU)</v>
      </c>
      <c r="I548" s="13" t="str">
        <f>IFERROR(__xludf.DUMMYFUNCTION("""COMPUTED_VALUE"""),"SELESAI")</f>
        <v>SELESAI</v>
      </c>
      <c r="J548" s="17">
        <f>IFERROR(__xludf.DUMMYFUNCTION("""COMPUTED_VALUE"""),45653.59987762732)</f>
        <v>45653.59988</v>
      </c>
      <c r="K548" s="13" t="str">
        <f>IFERROR(__xludf.DUMMYFUNCTION("""COMPUTED_VALUE"""),"SELESAI")</f>
        <v>SELESAI</v>
      </c>
      <c r="L548" s="17">
        <f>IFERROR(__xludf.DUMMYFUNCTION("""COMPUTED_VALUE"""),45653.59987762732)</f>
        <v>45653.59988</v>
      </c>
      <c r="M548" s="17" t="str">
        <f>IFERROR(__xludf.DUMMYFUNCTION("""COMPUTED_VALUE"""),"")</f>
        <v/>
      </c>
      <c r="N548" s="17">
        <f>IFERROR(__xludf.DUMMYFUNCTION("""COMPUTED_VALUE"""),45653.5999084838)</f>
        <v>45653.59991</v>
      </c>
      <c r="O548" s="13">
        <f t="shared" si="1"/>
        <v>13</v>
      </c>
    </row>
    <row r="549" ht="22.5" customHeight="1">
      <c r="B549" s="13">
        <f>IFERROR(__xludf.DUMMYFUNCTION("""COMPUTED_VALUE"""),544.0)</f>
        <v>544</v>
      </c>
      <c r="C549" s="13" t="str">
        <f>IFERROR(__xludf.DUMMYFUNCTION("""COMPUTED_VALUE"""),"M. 1021/ Kali Balau Kencana")</f>
        <v>M. 1021/ Kali Balau Kencana</v>
      </c>
      <c r="D549" s="13" t="str">
        <f>IFERROR(__xludf.DUMMYFUNCTION("""COMPUTED_VALUE"""),"K/23/161224/4")</f>
        <v>K/23/161224/4</v>
      </c>
      <c r="E549" s="14" t="str">
        <f>IFERROR(__xludf.DUMMYFUNCTION("""COMPUTED_VALUE"""),"Nadian (BT)")</f>
        <v>Nadian (BT)</v>
      </c>
      <c r="F549" s="14" t="str">
        <f>IFERROR(__xludf.DUMMYFUNCTION("""COMPUTED_VALUE"""),"SELESAI")</f>
        <v>SELESAI</v>
      </c>
      <c r="G549" s="17">
        <f>IFERROR(__xludf.DUMMYFUNCTION("""COMPUTED_VALUE"""),45645.704458935186)</f>
        <v>45645.70446</v>
      </c>
      <c r="H549" s="14" t="str">
        <f>IFERROR(__xludf.DUMMYFUNCTION("""COMPUTED_VALUE"""),"Bu Eva (SU)")</f>
        <v>Bu Eva (SU)</v>
      </c>
      <c r="I549" s="13" t="str">
        <f>IFERROR(__xludf.DUMMYFUNCTION("""COMPUTED_VALUE"""),"SELESAI")</f>
        <v>SELESAI</v>
      </c>
      <c r="J549" s="17">
        <f>IFERROR(__xludf.DUMMYFUNCTION("""COMPUTED_VALUE"""),45653.60086520833)</f>
        <v>45653.60087</v>
      </c>
      <c r="K549" s="13" t="str">
        <f>IFERROR(__xludf.DUMMYFUNCTION("""COMPUTED_VALUE"""),"SELESAI")</f>
        <v>SELESAI</v>
      </c>
      <c r="L549" s="17">
        <f>IFERROR(__xludf.DUMMYFUNCTION("""COMPUTED_VALUE"""),45653.60086520833)</f>
        <v>45653.60087</v>
      </c>
      <c r="M549" s="17" t="str">
        <f>IFERROR(__xludf.DUMMYFUNCTION("""COMPUTED_VALUE"""),"")</f>
        <v/>
      </c>
      <c r="N549" s="17">
        <f>IFERROR(__xludf.DUMMYFUNCTION("""COMPUTED_VALUE"""),45653.60093111111)</f>
        <v>45653.60093</v>
      </c>
      <c r="O549" s="13">
        <f t="shared" si="1"/>
        <v>14</v>
      </c>
    </row>
    <row r="550" ht="22.5" customHeight="1">
      <c r="B550" s="13">
        <f>IFERROR(__xludf.DUMMYFUNCTION("""COMPUTED_VALUE"""),545.0)</f>
        <v>545</v>
      </c>
      <c r="C550" s="13" t="str">
        <f>IFERROR(__xludf.DUMMYFUNCTION("""COMPUTED_VALUE"""),"M. 1019/ Kali Balau Kencana")</f>
        <v>M. 1019/ Kali Balau Kencana</v>
      </c>
      <c r="D550" s="13" t="str">
        <f>IFERROR(__xludf.DUMMYFUNCTION("""COMPUTED_VALUE"""),"K/16/161224/2")</f>
        <v>K/16/161224/2</v>
      </c>
      <c r="E550" s="14" t="str">
        <f>IFERROR(__xludf.DUMMYFUNCTION("""COMPUTED_VALUE"""),"Nadian (BT)")</f>
        <v>Nadian (BT)</v>
      </c>
      <c r="F550" s="14" t="str">
        <f>IFERROR(__xludf.DUMMYFUNCTION("""COMPUTED_VALUE"""),"SELESAI")</f>
        <v>SELESAI</v>
      </c>
      <c r="G550" s="17">
        <f>IFERROR(__xludf.DUMMYFUNCTION("""COMPUTED_VALUE"""),45645.704458935186)</f>
        <v>45645.70446</v>
      </c>
      <c r="H550" s="14" t="str">
        <f>IFERROR(__xludf.DUMMYFUNCTION("""COMPUTED_VALUE"""),"Bu Eva (SU)")</f>
        <v>Bu Eva (SU)</v>
      </c>
      <c r="I550" s="13" t="str">
        <f>IFERROR(__xludf.DUMMYFUNCTION("""COMPUTED_VALUE"""),"SELESAI")</f>
        <v>SELESAI</v>
      </c>
      <c r="J550" s="17">
        <f>IFERROR(__xludf.DUMMYFUNCTION("""COMPUTED_VALUE"""),45653.601111261574)</f>
        <v>45653.60111</v>
      </c>
      <c r="K550" s="13" t="str">
        <f>IFERROR(__xludf.DUMMYFUNCTION("""COMPUTED_VALUE"""),"SELESAI")</f>
        <v>SELESAI</v>
      </c>
      <c r="L550" s="17">
        <f>IFERROR(__xludf.DUMMYFUNCTION("""COMPUTED_VALUE"""),45653.601111261574)</f>
        <v>45653.60111</v>
      </c>
      <c r="M550" s="17" t="str">
        <f>IFERROR(__xludf.DUMMYFUNCTION("""COMPUTED_VALUE"""),"")</f>
        <v/>
      </c>
      <c r="N550" s="17">
        <f>IFERROR(__xludf.DUMMYFUNCTION("""COMPUTED_VALUE"""),45653.601152766205)</f>
        <v>45653.60115</v>
      </c>
      <c r="O550" s="13">
        <f t="shared" si="1"/>
        <v>15</v>
      </c>
    </row>
    <row r="551" ht="22.5" customHeight="1">
      <c r="B551" s="13">
        <f>IFERROR(__xludf.DUMMYFUNCTION("""COMPUTED_VALUE"""),546.0)</f>
        <v>546</v>
      </c>
      <c r="C551" s="13" t="str">
        <f>IFERROR(__xludf.DUMMYFUNCTION("""COMPUTED_VALUE"""),"M. 1018/ Kali Balau Kencana")</f>
        <v>M. 1018/ Kali Balau Kencana</v>
      </c>
      <c r="D551" s="13" t="str">
        <f>IFERROR(__xludf.DUMMYFUNCTION("""COMPUTED_VALUE"""),"K/15/161224/1")</f>
        <v>K/15/161224/1</v>
      </c>
      <c r="E551" s="14" t="str">
        <f>IFERROR(__xludf.DUMMYFUNCTION("""COMPUTED_VALUE"""),"Nadian (BT)")</f>
        <v>Nadian (BT)</v>
      </c>
      <c r="F551" s="14" t="str">
        <f>IFERROR(__xludf.DUMMYFUNCTION("""COMPUTED_VALUE"""),"SELESAI")</f>
        <v>SELESAI</v>
      </c>
      <c r="G551" s="17">
        <f>IFERROR(__xludf.DUMMYFUNCTION("""COMPUTED_VALUE"""),45645.704458935186)</f>
        <v>45645.70446</v>
      </c>
      <c r="H551" s="14" t="str">
        <f>IFERROR(__xludf.DUMMYFUNCTION("""COMPUTED_VALUE"""),"Bu Eva (SU)")</f>
        <v>Bu Eva (SU)</v>
      </c>
      <c r="I551" s="13" t="str">
        <f>IFERROR(__xludf.DUMMYFUNCTION("""COMPUTED_VALUE"""),"SELESAI")</f>
        <v>SELESAI</v>
      </c>
      <c r="J551" s="17">
        <f>IFERROR(__xludf.DUMMYFUNCTION("""COMPUTED_VALUE"""),45653.59008605324)</f>
        <v>45653.59009</v>
      </c>
      <c r="K551" s="13" t="str">
        <f>IFERROR(__xludf.DUMMYFUNCTION("""COMPUTED_VALUE"""),"SELESAI")</f>
        <v>SELESAI</v>
      </c>
      <c r="L551" s="17">
        <f>IFERROR(__xludf.DUMMYFUNCTION("""COMPUTED_VALUE"""),45653.59008605324)</f>
        <v>45653.59009</v>
      </c>
      <c r="M551" s="17" t="str">
        <f>IFERROR(__xludf.DUMMYFUNCTION("""COMPUTED_VALUE"""),"")</f>
        <v/>
      </c>
      <c r="N551" s="17">
        <f>IFERROR(__xludf.DUMMYFUNCTION("""COMPUTED_VALUE"""),45653.59011101852)</f>
        <v>45653.59011</v>
      </c>
      <c r="O551" s="13">
        <f t="shared" si="1"/>
        <v>16</v>
      </c>
    </row>
    <row r="552" ht="22.5" customHeight="1">
      <c r="B552" s="13">
        <f>IFERROR(__xludf.DUMMYFUNCTION("""COMPUTED_VALUE"""),547.0)</f>
        <v>547</v>
      </c>
      <c r="C552" s="13" t="str">
        <f>IFERROR(__xludf.DUMMYFUNCTION("""COMPUTED_VALUE"""),"HM 3794/WAY KANDIS")</f>
        <v>HM 3794/WAY KANDIS</v>
      </c>
      <c r="D552" s="13" t="str">
        <f>IFERROR(__xludf.DUMMYFUNCTION("""COMPUTED_VALUE"""),"L/12/161224/")</f>
        <v>L/12/161224/</v>
      </c>
      <c r="E552" s="14" t="str">
        <f>IFERROR(__xludf.DUMMYFUNCTION("""COMPUTED_VALUE"""),"Nadian (BT)")</f>
        <v>Nadian (BT)</v>
      </c>
      <c r="F552" s="14" t="str">
        <f>IFERROR(__xludf.DUMMYFUNCTION("""COMPUTED_VALUE"""),"SELESAI")</f>
        <v>SELESAI</v>
      </c>
      <c r="G552" s="17">
        <f>IFERROR(__xludf.DUMMYFUNCTION("""COMPUTED_VALUE"""),45645.704458935186)</f>
        <v>45645.70446</v>
      </c>
      <c r="H552" s="14" t="str">
        <f>IFERROR(__xludf.DUMMYFUNCTION("""COMPUTED_VALUE"""),"Bu Eva (SU)")</f>
        <v>Bu Eva (SU)</v>
      </c>
      <c r="I552" s="13" t="str">
        <f>IFERROR(__xludf.DUMMYFUNCTION("""COMPUTED_VALUE"""),"SELESAI")</f>
        <v>SELESAI</v>
      </c>
      <c r="J552" s="17">
        <f>IFERROR(__xludf.DUMMYFUNCTION("""COMPUTED_VALUE"""),45653.601311562496)</f>
        <v>45653.60131</v>
      </c>
      <c r="K552" s="13" t="str">
        <f>IFERROR(__xludf.DUMMYFUNCTION("""COMPUTED_VALUE"""),"SELESAI")</f>
        <v>SELESAI</v>
      </c>
      <c r="L552" s="17">
        <f>IFERROR(__xludf.DUMMYFUNCTION("""COMPUTED_VALUE"""),45653.601311562496)</f>
        <v>45653.60131</v>
      </c>
      <c r="M552" s="17" t="str">
        <f>IFERROR(__xludf.DUMMYFUNCTION("""COMPUTED_VALUE"""),"")</f>
        <v/>
      </c>
      <c r="N552" s="17">
        <f>IFERROR(__xludf.DUMMYFUNCTION("""COMPUTED_VALUE"""),45653.60133907407)</f>
        <v>45653.60134</v>
      </c>
      <c r="O552" s="13">
        <f t="shared" si="1"/>
        <v>17</v>
      </c>
    </row>
    <row r="553" ht="22.5" customHeight="1">
      <c r="B553" s="13">
        <f>IFERROR(__xludf.DUMMYFUNCTION("""COMPUTED_VALUE"""),548.0)</f>
        <v>548</v>
      </c>
      <c r="C553" s="13" t="str">
        <f>IFERROR(__xludf.DUMMYFUNCTION("""COMPUTED_VALUE"""),"M.53/BATU PUTU")</f>
        <v>M.53/BATU PUTU</v>
      </c>
      <c r="D553" s="13" t="str">
        <f>IFERROR(__xludf.DUMMYFUNCTION("""COMPUTED_VALUE"""),"K/2/171224/2")</f>
        <v>K/2/171224/2</v>
      </c>
      <c r="E553" s="14" t="str">
        <f>IFERROR(__xludf.DUMMYFUNCTION("""COMPUTED_VALUE"""),"Nadian (BT)")</f>
        <v>Nadian (BT)</v>
      </c>
      <c r="F553" s="14" t="str">
        <f>IFERROR(__xludf.DUMMYFUNCTION("""COMPUTED_VALUE"""),"SELESAI (VIA PERMOHONAN)")</f>
        <v>SELESAI (VIA PERMOHONAN)</v>
      </c>
      <c r="G553" s="17">
        <f>IFERROR(__xludf.DUMMYFUNCTION("""COMPUTED_VALUE"""),45645.70663049769)</f>
        <v>45645.70663</v>
      </c>
      <c r="H553" s="14" t="str">
        <f>IFERROR(__xludf.DUMMYFUNCTION("""COMPUTED_VALUE"""),"Aprill (SU)")</f>
        <v>Aprill (SU)</v>
      </c>
      <c r="I553" s="13" t="str">
        <f>IFERROR(__xludf.DUMMYFUNCTION("""COMPUTED_VALUE"""),"SELESAI (VIA PERMOHONAN)")</f>
        <v>SELESAI (VIA PERMOHONAN)</v>
      </c>
      <c r="J553" s="17">
        <f>IFERROR(__xludf.DUMMYFUNCTION("""COMPUTED_VALUE"""),45664.36143528935)</f>
        <v>45664.36144</v>
      </c>
      <c r="K553" s="13" t="str">
        <f>IFERROR(__xludf.DUMMYFUNCTION("""COMPUTED_VALUE"""),"Selesai")</f>
        <v>Selesai</v>
      </c>
      <c r="L553" s="17">
        <f>IFERROR(__xludf.DUMMYFUNCTION("""COMPUTED_VALUE"""),45664.36143528935)</f>
        <v>45664.36144</v>
      </c>
      <c r="M553" s="17">
        <f>IFERROR(__xludf.DUMMYFUNCTION("""COMPUTED_VALUE"""),45664.36143528935)</f>
        <v>45664.36144</v>
      </c>
      <c r="N553" s="13" t="str">
        <f>IFERROR(__xludf.DUMMYFUNCTION("""COMPUTED_VALUE"""),"")</f>
        <v/>
      </c>
      <c r="O553" s="13" t="str">
        <f t="shared" si="1"/>
        <v/>
      </c>
    </row>
    <row r="554" ht="22.5" customHeight="1">
      <c r="B554" s="13">
        <f>IFERROR(__xludf.DUMMYFUNCTION("""COMPUTED_VALUE"""),549.0)</f>
        <v>549</v>
      </c>
      <c r="C554" s="13" t="str">
        <f>IFERROR(__xludf.DUMMYFUNCTION("""COMPUTED_VALUE"""),"B.802/SUMUR PUTRI")</f>
        <v>B.802/SUMUR PUTRI</v>
      </c>
      <c r="D554" s="13" t="str">
        <f>IFERROR(__xludf.DUMMYFUNCTION("""COMPUTED_VALUE"""),"K/15/131224/3")</f>
        <v>K/15/131224/3</v>
      </c>
      <c r="E554" s="14" t="str">
        <f>IFERROR(__xludf.DUMMYFUNCTION("""COMPUTED_VALUE"""),"Nadian (BT)")</f>
        <v>Nadian (BT)</v>
      </c>
      <c r="F554" s="14" t="str">
        <f>IFERROR(__xludf.DUMMYFUNCTION("""COMPUTED_VALUE"""),"SELESAI (VIA PERMOHONAN)")</f>
        <v>SELESAI (VIA PERMOHONAN)</v>
      </c>
      <c r="G554" s="17">
        <f>IFERROR(__xludf.DUMMYFUNCTION("""COMPUTED_VALUE"""),45645.70666414352)</f>
        <v>45645.70666</v>
      </c>
      <c r="H554" s="14" t="str">
        <f>IFERROR(__xludf.DUMMYFUNCTION("""COMPUTED_VALUE"""),"Aprill (SU)")</f>
        <v>Aprill (SU)</v>
      </c>
      <c r="I554" s="13" t="str">
        <f>IFERROR(__xludf.DUMMYFUNCTION("""COMPUTED_VALUE"""),"SELESAI (VIA PERMOHONAN)")</f>
        <v>SELESAI (VIA PERMOHONAN)</v>
      </c>
      <c r="J554" s="17">
        <f>IFERROR(__xludf.DUMMYFUNCTION("""COMPUTED_VALUE"""),45664.36143528935)</f>
        <v>45664.36144</v>
      </c>
      <c r="K554" s="13" t="str">
        <f>IFERROR(__xludf.DUMMYFUNCTION("""COMPUTED_VALUE"""),"Selesai")</f>
        <v>Selesai</v>
      </c>
      <c r="L554" s="17">
        <f>IFERROR(__xludf.DUMMYFUNCTION("""COMPUTED_VALUE"""),45664.36143528935)</f>
        <v>45664.36144</v>
      </c>
      <c r="M554" s="17">
        <f>IFERROR(__xludf.DUMMYFUNCTION("""COMPUTED_VALUE"""),45664.36143528935)</f>
        <v>45664.36144</v>
      </c>
      <c r="N554" s="13" t="str">
        <f>IFERROR(__xludf.DUMMYFUNCTION("""COMPUTED_VALUE"""),"")</f>
        <v/>
      </c>
      <c r="O554" s="13" t="str">
        <f t="shared" si="1"/>
        <v/>
      </c>
    </row>
    <row r="555" ht="22.5" customHeight="1">
      <c r="B555" s="13">
        <f>IFERROR(__xludf.DUMMYFUNCTION("""COMPUTED_VALUE"""),550.0)</f>
        <v>550</v>
      </c>
      <c r="C555" s="13" t="str">
        <f>IFERROR(__xludf.DUMMYFUNCTION("""COMPUTED_VALUE"""),"M.2970/SUKARAME BARU")</f>
        <v>M.2970/SUKARAME BARU</v>
      </c>
      <c r="D555" s="13" t="str">
        <f>IFERROR(__xludf.DUMMYFUNCTION("""COMPUTED_VALUE"""),"K/19/131224/4")</f>
        <v>K/19/131224/4</v>
      </c>
      <c r="E555" s="14" t="str">
        <f>IFERROR(__xludf.DUMMYFUNCTION("""COMPUTED_VALUE"""),"Nadian (BT)")</f>
        <v>Nadian (BT)</v>
      </c>
      <c r="F555" s="14" t="str">
        <f>IFERROR(__xludf.DUMMYFUNCTION("""COMPUTED_VALUE"""),"SELESAI (VIA PERMOHONAN)")</f>
        <v>SELESAI (VIA PERMOHONAN)</v>
      </c>
      <c r="G555" s="17">
        <f>IFERROR(__xludf.DUMMYFUNCTION("""COMPUTED_VALUE"""),45645.70666415509)</f>
        <v>45645.70666</v>
      </c>
      <c r="H555" s="14" t="str">
        <f>IFERROR(__xludf.DUMMYFUNCTION("""COMPUTED_VALUE"""),"Aprill (SU)")</f>
        <v>Aprill (SU)</v>
      </c>
      <c r="I555" s="13" t="str">
        <f>IFERROR(__xludf.DUMMYFUNCTION("""COMPUTED_VALUE"""),"SELESAI (VIA PERMOHONAN)")</f>
        <v>SELESAI (VIA PERMOHONAN)</v>
      </c>
      <c r="J555" s="17">
        <f>IFERROR(__xludf.DUMMYFUNCTION("""COMPUTED_VALUE"""),45664.36143528935)</f>
        <v>45664.36144</v>
      </c>
      <c r="K555" s="13" t="str">
        <f>IFERROR(__xludf.DUMMYFUNCTION("""COMPUTED_VALUE"""),"Selesai")</f>
        <v>Selesai</v>
      </c>
      <c r="L555" s="17">
        <f>IFERROR(__xludf.DUMMYFUNCTION("""COMPUTED_VALUE"""),45664.36143528935)</f>
        <v>45664.36144</v>
      </c>
      <c r="M555" s="17">
        <f>IFERROR(__xludf.DUMMYFUNCTION("""COMPUTED_VALUE"""),45664.36143689815)</f>
        <v>45664.36144</v>
      </c>
      <c r="N555" s="13" t="str">
        <f>IFERROR(__xludf.DUMMYFUNCTION("""COMPUTED_VALUE"""),"")</f>
        <v/>
      </c>
      <c r="O555" s="13" t="str">
        <f t="shared" si="1"/>
        <v/>
      </c>
    </row>
    <row r="556" ht="22.5" customHeight="1">
      <c r="B556" s="13">
        <f>IFERROR(__xludf.DUMMYFUNCTION("""COMPUTED_VALUE"""),551.0)</f>
        <v>551</v>
      </c>
      <c r="C556" s="13" t="str">
        <f>IFERROR(__xludf.DUMMYFUNCTION("""COMPUTED_VALUE"""),"M. 168/ Kaliawi")</f>
        <v>M. 168/ Kaliawi</v>
      </c>
      <c r="D556" s="13" t="str">
        <f>IFERROR(__xludf.DUMMYFUNCTION("""COMPUTED_VALUE"""),"K/7/131224/1")</f>
        <v>K/7/131224/1</v>
      </c>
      <c r="E556" s="14" t="str">
        <f>IFERROR(__xludf.DUMMYFUNCTION("""COMPUTED_VALUE"""),"Nadian (BT)")</f>
        <v>Nadian (BT)</v>
      </c>
      <c r="F556" s="14" t="str">
        <f>IFERROR(__xludf.DUMMYFUNCTION("""COMPUTED_VALUE"""),"SELESAI (VIA PERMOHONAN)")</f>
        <v>SELESAI (VIA PERMOHONAN)</v>
      </c>
      <c r="G556" s="17">
        <f>IFERROR(__xludf.DUMMYFUNCTION("""COMPUTED_VALUE"""),45645.70666415509)</f>
        <v>45645.70666</v>
      </c>
      <c r="H556" s="14" t="str">
        <f>IFERROR(__xludf.DUMMYFUNCTION("""COMPUTED_VALUE"""),"Aprill (SU)")</f>
        <v>Aprill (SU)</v>
      </c>
      <c r="I556" s="13" t="str">
        <f>IFERROR(__xludf.DUMMYFUNCTION("""COMPUTED_VALUE"""),"SELESAI (VIA PERMOHONAN)")</f>
        <v>SELESAI (VIA PERMOHONAN)</v>
      </c>
      <c r="J556" s="17">
        <f>IFERROR(__xludf.DUMMYFUNCTION("""COMPUTED_VALUE"""),45664.36143528935)</f>
        <v>45664.36144</v>
      </c>
      <c r="K556" s="13" t="str">
        <f>IFERROR(__xludf.DUMMYFUNCTION("""COMPUTED_VALUE"""),"Selesai")</f>
        <v>Selesai</v>
      </c>
      <c r="L556" s="17">
        <f>IFERROR(__xludf.DUMMYFUNCTION("""COMPUTED_VALUE"""),45664.36143528935)</f>
        <v>45664.36144</v>
      </c>
      <c r="M556" s="17">
        <f>IFERROR(__xludf.DUMMYFUNCTION("""COMPUTED_VALUE"""),45664.361446724535)</f>
        <v>45664.36145</v>
      </c>
      <c r="N556" s="13" t="str">
        <f>IFERROR(__xludf.DUMMYFUNCTION("""COMPUTED_VALUE"""),"")</f>
        <v/>
      </c>
      <c r="O556" s="13" t="str">
        <f t="shared" si="1"/>
        <v/>
      </c>
    </row>
    <row r="557" ht="22.5" customHeight="1">
      <c r="B557" s="13">
        <f>IFERROR(__xludf.DUMMYFUNCTION("""COMPUTED_VALUE"""),552.0)</f>
        <v>552</v>
      </c>
      <c r="C557" s="13" t="str">
        <f>IFERROR(__xludf.DUMMYFUNCTION("""COMPUTED_VALUE"""),"M. 4231/ Rajabasa Jaya")</f>
        <v>M. 4231/ Rajabasa Jaya</v>
      </c>
      <c r="D557" s="13" t="str">
        <f>IFERROR(__xludf.DUMMYFUNCTION("""COMPUTED_VALUE"""),"K/10/161224/1")</f>
        <v>K/10/161224/1</v>
      </c>
      <c r="E557" s="14" t="str">
        <f>IFERROR(__xludf.DUMMYFUNCTION("""COMPUTED_VALUE"""),"Nadian (BT)")</f>
        <v>Nadian (BT)</v>
      </c>
      <c r="F557" s="14" t="str">
        <f>IFERROR(__xludf.DUMMYFUNCTION("""COMPUTED_VALUE"""),"SELESAI (VIA PERMOHONAN)")</f>
        <v>SELESAI (VIA PERMOHONAN)</v>
      </c>
      <c r="G557" s="17">
        <f>IFERROR(__xludf.DUMMYFUNCTION("""COMPUTED_VALUE"""),45645.70666415509)</f>
        <v>45645.70666</v>
      </c>
      <c r="H557" s="14" t="str">
        <f>IFERROR(__xludf.DUMMYFUNCTION("""COMPUTED_VALUE"""),"Aprill (SU)")</f>
        <v>Aprill (SU)</v>
      </c>
      <c r="I557" s="13" t="str">
        <f>IFERROR(__xludf.DUMMYFUNCTION("""COMPUTED_VALUE"""),"SELESAI (VIA PERMOHONAN)")</f>
        <v>SELESAI (VIA PERMOHONAN)</v>
      </c>
      <c r="J557" s="17">
        <f>IFERROR(__xludf.DUMMYFUNCTION("""COMPUTED_VALUE"""),45664.36143528935)</f>
        <v>45664.36144</v>
      </c>
      <c r="K557" s="13" t="str">
        <f>IFERROR(__xludf.DUMMYFUNCTION("""COMPUTED_VALUE"""),"Selesai")</f>
        <v>Selesai</v>
      </c>
      <c r="L557" s="17">
        <f>IFERROR(__xludf.DUMMYFUNCTION("""COMPUTED_VALUE"""),45664.36143528935)</f>
        <v>45664.36144</v>
      </c>
      <c r="M557" s="17">
        <f>IFERROR(__xludf.DUMMYFUNCTION("""COMPUTED_VALUE"""),45664.361454467595)</f>
        <v>45664.36145</v>
      </c>
      <c r="N557" s="13" t="str">
        <f>IFERROR(__xludf.DUMMYFUNCTION("""COMPUTED_VALUE"""),"")</f>
        <v/>
      </c>
      <c r="O557" s="13" t="str">
        <f t="shared" si="1"/>
        <v/>
      </c>
    </row>
    <row r="558" ht="22.5" customHeight="1">
      <c r="B558" s="13">
        <f>IFERROR(__xludf.DUMMYFUNCTION("""COMPUTED_VALUE"""),553.0)</f>
        <v>553</v>
      </c>
      <c r="C558" s="13" t="str">
        <f>IFERROR(__xludf.DUMMYFUNCTION("""COMPUTED_VALUE"""),"M.4725/LANGKAPURA")</f>
        <v>M.4725/LANGKAPURA</v>
      </c>
      <c r="D558" s="13" t="str">
        <f>IFERROR(__xludf.DUMMYFUNCTION("""COMPUTED_VALUE"""),"K/38/171224/2")</f>
        <v>K/38/171224/2</v>
      </c>
      <c r="E558" s="14" t="str">
        <f>IFERROR(__xludf.DUMMYFUNCTION("""COMPUTED_VALUE"""),"Nadian (BT)")</f>
        <v>Nadian (BT)</v>
      </c>
      <c r="F558" s="14" t="str">
        <f>IFERROR(__xludf.DUMMYFUNCTION("""COMPUTED_VALUE"""),"SELESAI (VIA PERMOHONAN)")</f>
        <v>SELESAI (VIA PERMOHONAN)</v>
      </c>
      <c r="G558" s="17">
        <f>IFERROR(__xludf.DUMMYFUNCTION("""COMPUTED_VALUE"""),45645.70666415509)</f>
        <v>45645.70666</v>
      </c>
      <c r="H558" s="14" t="str">
        <f>IFERROR(__xludf.DUMMYFUNCTION("""COMPUTED_VALUE"""),"Aprill (SU)")</f>
        <v>Aprill (SU)</v>
      </c>
      <c r="I558" s="13" t="str">
        <f>IFERROR(__xludf.DUMMYFUNCTION("""COMPUTED_VALUE"""),"SELESAI (VIA PERMOHONAN)")</f>
        <v>SELESAI (VIA PERMOHONAN)</v>
      </c>
      <c r="J558" s="17">
        <f>IFERROR(__xludf.DUMMYFUNCTION("""COMPUTED_VALUE"""),45664.36143528935)</f>
        <v>45664.36144</v>
      </c>
      <c r="K558" s="13" t="str">
        <f>IFERROR(__xludf.DUMMYFUNCTION("""COMPUTED_VALUE"""),"Selesai")</f>
        <v>Selesai</v>
      </c>
      <c r="L558" s="17">
        <f>IFERROR(__xludf.DUMMYFUNCTION("""COMPUTED_VALUE"""),45664.36143528935)</f>
        <v>45664.36144</v>
      </c>
      <c r="M558" s="17">
        <f>IFERROR(__xludf.DUMMYFUNCTION("""COMPUTED_VALUE"""),45664.36146210648)</f>
        <v>45664.36146</v>
      </c>
      <c r="N558" s="13" t="str">
        <f>IFERROR(__xludf.DUMMYFUNCTION("""COMPUTED_VALUE"""),"")</f>
        <v/>
      </c>
      <c r="O558" s="13" t="str">
        <f t="shared" si="1"/>
        <v/>
      </c>
    </row>
    <row r="559" ht="22.5" customHeight="1">
      <c r="B559" s="13">
        <f>IFERROR(__xludf.DUMMYFUNCTION("""COMPUTED_VALUE"""),554.0)</f>
        <v>554</v>
      </c>
      <c r="C559" s="13" t="str">
        <f>IFERROR(__xludf.DUMMYFUNCTION("""COMPUTED_VALUE"""),"M.542/KORPRI RAYA-SEKARANG;M.11104/SUKAARME I-DAHULU")</f>
        <v>M.542/KORPRI RAYA-SEKARANG;M.11104/SUKAARME I-DAHULU</v>
      </c>
      <c r="D559" s="13" t="str">
        <f>IFERROR(__xludf.DUMMYFUNCTION("""COMPUTED_VALUE"""),"K/33/021224/1")</f>
        <v>K/33/021224/1</v>
      </c>
      <c r="E559" s="14" t="str">
        <f>IFERROR(__xludf.DUMMYFUNCTION("""COMPUTED_VALUE"""),"Nadian (BT)")</f>
        <v>Nadian (BT)</v>
      </c>
      <c r="F559" s="14" t="str">
        <f>IFERROR(__xludf.DUMMYFUNCTION("""COMPUTED_VALUE"""),"SELESAI (VIA PERMOHONAN)")</f>
        <v>SELESAI (VIA PERMOHONAN)</v>
      </c>
      <c r="G559" s="17">
        <f>IFERROR(__xludf.DUMMYFUNCTION("""COMPUTED_VALUE"""),45645.70666415509)</f>
        <v>45645.70666</v>
      </c>
      <c r="H559" s="14" t="str">
        <f>IFERROR(__xludf.DUMMYFUNCTION("""COMPUTED_VALUE"""),"Aprill (SU)")</f>
        <v>Aprill (SU)</v>
      </c>
      <c r="I559" s="13" t="str">
        <f>IFERROR(__xludf.DUMMYFUNCTION("""COMPUTED_VALUE"""),"SELESAI (VIA PERMOHONAN)")</f>
        <v>SELESAI (VIA PERMOHONAN)</v>
      </c>
      <c r="J559" s="17">
        <f>IFERROR(__xludf.DUMMYFUNCTION("""COMPUTED_VALUE"""),45664.36143528935)</f>
        <v>45664.36144</v>
      </c>
      <c r="K559" s="13" t="str">
        <f>IFERROR(__xludf.DUMMYFUNCTION("""COMPUTED_VALUE"""),"Selesai")</f>
        <v>Selesai</v>
      </c>
      <c r="L559" s="17">
        <f>IFERROR(__xludf.DUMMYFUNCTION("""COMPUTED_VALUE"""),45664.36143528935)</f>
        <v>45664.36144</v>
      </c>
      <c r="M559" s="17">
        <f>IFERROR(__xludf.DUMMYFUNCTION("""COMPUTED_VALUE"""),45664.361475185186)</f>
        <v>45664.36148</v>
      </c>
      <c r="N559" s="13" t="str">
        <f>IFERROR(__xludf.DUMMYFUNCTION("""COMPUTED_VALUE"""),"")</f>
        <v/>
      </c>
      <c r="O559" s="13" t="str">
        <f t="shared" si="1"/>
        <v/>
      </c>
    </row>
    <row r="560" ht="22.5" customHeight="1">
      <c r="B560" s="13">
        <f>IFERROR(__xludf.DUMMYFUNCTION("""COMPUTED_VALUE"""),555.0)</f>
        <v>555</v>
      </c>
      <c r="C560" s="13" t="str">
        <f>IFERROR(__xludf.DUMMYFUNCTION("""COMPUTED_VALUE"""),"M. 2380/ Sukarame Baru")</f>
        <v>M. 2380/ Sukarame Baru</v>
      </c>
      <c r="D560" s="13" t="str">
        <f>IFERROR(__xludf.DUMMYFUNCTION("""COMPUTED_VALUE"""),"K/21/111224/3")</f>
        <v>K/21/111224/3</v>
      </c>
      <c r="E560" s="14" t="str">
        <f>IFERROR(__xludf.DUMMYFUNCTION("""COMPUTED_VALUE"""),"Nadian (BT)")</f>
        <v>Nadian (BT)</v>
      </c>
      <c r="F560" s="14" t="str">
        <f>IFERROR(__xludf.DUMMYFUNCTION("""COMPUTED_VALUE"""),"SELESAI (VIA PERMOHONAN)")</f>
        <v>SELESAI (VIA PERMOHONAN)</v>
      </c>
      <c r="G560" s="17">
        <f>IFERROR(__xludf.DUMMYFUNCTION("""COMPUTED_VALUE"""),45645.70666415509)</f>
        <v>45645.70666</v>
      </c>
      <c r="H560" s="14" t="str">
        <f>IFERROR(__xludf.DUMMYFUNCTION("""COMPUTED_VALUE"""),"Aprill (SU)")</f>
        <v>Aprill (SU)</v>
      </c>
      <c r="I560" s="13" t="str">
        <f>IFERROR(__xludf.DUMMYFUNCTION("""COMPUTED_VALUE"""),"SELESAI (VIA PERMOHONAN)")</f>
        <v>SELESAI (VIA PERMOHONAN)</v>
      </c>
      <c r="J560" s="17">
        <f>IFERROR(__xludf.DUMMYFUNCTION("""COMPUTED_VALUE"""),45664.361435300925)</f>
        <v>45664.36144</v>
      </c>
      <c r="K560" s="13" t="str">
        <f>IFERROR(__xludf.DUMMYFUNCTION("""COMPUTED_VALUE"""),"Selesai")</f>
        <v>Selesai</v>
      </c>
      <c r="L560" s="17">
        <f>IFERROR(__xludf.DUMMYFUNCTION("""COMPUTED_VALUE"""),45664.361435300925)</f>
        <v>45664.36144</v>
      </c>
      <c r="M560" s="17">
        <f>IFERROR(__xludf.DUMMYFUNCTION("""COMPUTED_VALUE"""),45664.36149473379)</f>
        <v>45664.36149</v>
      </c>
      <c r="N560" s="13" t="str">
        <f>IFERROR(__xludf.DUMMYFUNCTION("""COMPUTED_VALUE"""),"")</f>
        <v/>
      </c>
      <c r="O560" s="13" t="str">
        <f t="shared" si="1"/>
        <v/>
      </c>
    </row>
    <row r="561" ht="22.5" customHeight="1">
      <c r="B561" s="13">
        <f>IFERROR(__xludf.DUMMYFUNCTION("""COMPUTED_VALUE"""),556.0)</f>
        <v>556</v>
      </c>
      <c r="C561" s="13" t="str">
        <f>IFERROR(__xludf.DUMMYFUNCTION("""COMPUTED_VALUE"""),"M. 10204/ Rajabasa Jaya")</f>
        <v>M. 10204/ Rajabasa Jaya</v>
      </c>
      <c r="D561" s="13" t="str">
        <f>IFERROR(__xludf.DUMMYFUNCTION("""COMPUTED_VALUE"""),"K/16/101224/1")</f>
        <v>K/16/101224/1</v>
      </c>
      <c r="E561" s="14" t="str">
        <f>IFERROR(__xludf.DUMMYFUNCTION("""COMPUTED_VALUE"""),"Afriza (BT)")</f>
        <v>Afriza (BT)</v>
      </c>
      <c r="F561" s="14" t="str">
        <f>IFERROR(__xludf.DUMMYFUNCTION("""COMPUTED_VALUE"""),"SELESAI")</f>
        <v>SELESAI</v>
      </c>
      <c r="G561" s="17">
        <f>IFERROR(__xludf.DUMMYFUNCTION("""COMPUTED_VALUE"""),45646.365197210645)</f>
        <v>45646.3652</v>
      </c>
      <c r="H561" s="14" t="str">
        <f>IFERROR(__xludf.DUMMYFUNCTION("""COMPUTED_VALUE"""),"Aprill (SU)")</f>
        <v>Aprill (SU)</v>
      </c>
      <c r="I561" s="13" t="str">
        <f>IFERROR(__xludf.DUMMYFUNCTION("""COMPUTED_VALUE"""),"SELESAI")</f>
        <v>SELESAI</v>
      </c>
      <c r="J561" s="17">
        <f>IFERROR(__xludf.DUMMYFUNCTION("""COMPUTED_VALUE"""),45646.571625625)</f>
        <v>45646.57163</v>
      </c>
      <c r="K561" s="13" t="str">
        <f>IFERROR(__xludf.DUMMYFUNCTION("""COMPUTED_VALUE"""),"SELESAI")</f>
        <v>SELESAI</v>
      </c>
      <c r="L561" s="17">
        <f>IFERROR(__xludf.DUMMYFUNCTION("""COMPUTED_VALUE"""),45646.571625625)</f>
        <v>45646.57163</v>
      </c>
      <c r="M561" s="17">
        <f>IFERROR(__xludf.DUMMYFUNCTION("""COMPUTED_VALUE"""),45646.57163173611)</f>
        <v>45646.57163</v>
      </c>
      <c r="N561" s="13" t="str">
        <f>IFERROR(__xludf.DUMMYFUNCTION("""COMPUTED_VALUE"""),"")</f>
        <v/>
      </c>
      <c r="O561" s="13" t="str">
        <f t="shared" si="1"/>
        <v/>
      </c>
    </row>
    <row r="562" ht="22.5" customHeight="1">
      <c r="B562" s="13">
        <f>IFERROR(__xludf.DUMMYFUNCTION("""COMPUTED_VALUE"""),557.0)</f>
        <v>557</v>
      </c>
      <c r="C562" s="13" t="str">
        <f>IFERROR(__xludf.DUMMYFUNCTION("""COMPUTED_VALUE"""),"M. 1921/ Kedaung")</f>
        <v>M. 1921/ Kedaung</v>
      </c>
      <c r="D562" s="13" t="str">
        <f>IFERROR(__xludf.DUMMYFUNCTION("""COMPUTED_VALUE"""),"K/8/161224/1")</f>
        <v>K/8/161224/1</v>
      </c>
      <c r="E562" s="14" t="str">
        <f>IFERROR(__xludf.DUMMYFUNCTION("""COMPUTED_VALUE"""),"Nadian (BT)")</f>
        <v>Nadian (BT)</v>
      </c>
      <c r="F562" s="14" t="str">
        <f>IFERROR(__xludf.DUMMYFUNCTION("""COMPUTED_VALUE"""),"SELESAI (VIA PERMOHONAN)")</f>
        <v>SELESAI (VIA PERMOHONAN)</v>
      </c>
      <c r="G562" s="17">
        <f>IFERROR(__xludf.DUMMYFUNCTION("""COMPUTED_VALUE"""),45646.650759641205)</f>
        <v>45646.65076</v>
      </c>
      <c r="H562" s="14" t="str">
        <f>IFERROR(__xludf.DUMMYFUNCTION("""COMPUTED_VALUE"""),"Aprill (SU)")</f>
        <v>Aprill (SU)</v>
      </c>
      <c r="I562" s="13" t="str">
        <f>IFERROR(__xludf.DUMMYFUNCTION("""COMPUTED_VALUE"""),"SELESAI (VIA PERMOHONAN)")</f>
        <v>SELESAI (VIA PERMOHONAN)</v>
      </c>
      <c r="J562" s="17">
        <f>IFERROR(__xludf.DUMMYFUNCTION("""COMPUTED_VALUE"""),45664.361857881944)</f>
        <v>45664.36186</v>
      </c>
      <c r="K562" s="13" t="str">
        <f>IFERROR(__xludf.DUMMYFUNCTION("""COMPUTED_VALUE"""),"Selesai")</f>
        <v>Selesai</v>
      </c>
      <c r="L562" s="17">
        <f>IFERROR(__xludf.DUMMYFUNCTION("""COMPUTED_VALUE"""),45664.361857881944)</f>
        <v>45664.36186</v>
      </c>
      <c r="M562" s="17">
        <f>IFERROR(__xludf.DUMMYFUNCTION("""COMPUTED_VALUE"""),45664.36195542824)</f>
        <v>45664.36196</v>
      </c>
      <c r="N562" s="13" t="str">
        <f>IFERROR(__xludf.DUMMYFUNCTION("""COMPUTED_VALUE"""),"")</f>
        <v/>
      </c>
      <c r="O562" s="13" t="str">
        <f t="shared" si="1"/>
        <v/>
      </c>
    </row>
    <row r="563" ht="22.5" customHeight="1">
      <c r="B563" s="13">
        <f>IFERROR(__xludf.DUMMYFUNCTION("""COMPUTED_VALUE"""),558.0)</f>
        <v>558</v>
      </c>
      <c r="C563" s="13" t="str">
        <f>IFERROR(__xludf.DUMMYFUNCTION("""COMPUTED_VALUE"""),"B. 334/ Rajabasa pemuka")</f>
        <v>B. 334/ Rajabasa pemuka</v>
      </c>
      <c r="D563" s="13" t="str">
        <f>IFERROR(__xludf.DUMMYFUNCTION("""COMPUTED_VALUE"""),"K/30/051224/2")</f>
        <v>K/30/051224/2</v>
      </c>
      <c r="E563" s="14" t="str">
        <f>IFERROR(__xludf.DUMMYFUNCTION("""COMPUTED_VALUE"""),"Nadian (BT)")</f>
        <v>Nadian (BT)</v>
      </c>
      <c r="F563" s="14" t="str">
        <f>IFERROR(__xludf.DUMMYFUNCTION("""COMPUTED_VALUE"""),"SELESAI (VIA PERMOHONAN)")</f>
        <v>SELESAI (VIA PERMOHONAN)</v>
      </c>
      <c r="G563" s="17">
        <f>IFERROR(__xludf.DUMMYFUNCTION("""COMPUTED_VALUE"""),45646.65090995371)</f>
        <v>45646.65091</v>
      </c>
      <c r="H563" s="14" t="str">
        <f>IFERROR(__xludf.DUMMYFUNCTION("""COMPUTED_VALUE"""),"Aprill (SU)")</f>
        <v>Aprill (SU)</v>
      </c>
      <c r="I563" s="13" t="str">
        <f>IFERROR(__xludf.DUMMYFUNCTION("""COMPUTED_VALUE"""),"SELESAI (VIA PERMOHONAN)")</f>
        <v>SELESAI (VIA PERMOHONAN)</v>
      </c>
      <c r="J563" s="17">
        <f>IFERROR(__xludf.DUMMYFUNCTION("""COMPUTED_VALUE"""),45664.361857881944)</f>
        <v>45664.36186</v>
      </c>
      <c r="K563" s="13" t="str">
        <f>IFERROR(__xludf.DUMMYFUNCTION("""COMPUTED_VALUE"""),"Selesai")</f>
        <v>Selesai</v>
      </c>
      <c r="L563" s="17">
        <f>IFERROR(__xludf.DUMMYFUNCTION("""COMPUTED_VALUE"""),45664.361857881944)</f>
        <v>45664.36186</v>
      </c>
      <c r="M563" s="17">
        <f>IFERROR(__xludf.DUMMYFUNCTION("""COMPUTED_VALUE"""),45664.36196521991)</f>
        <v>45664.36197</v>
      </c>
      <c r="N563" s="13" t="str">
        <f>IFERROR(__xludf.DUMMYFUNCTION("""COMPUTED_VALUE"""),"")</f>
        <v/>
      </c>
      <c r="O563" s="13" t="str">
        <f t="shared" si="1"/>
        <v/>
      </c>
    </row>
    <row r="564" ht="22.5" customHeight="1">
      <c r="B564" s="13">
        <f>IFERROR(__xludf.DUMMYFUNCTION("""COMPUTED_VALUE"""),559.0)</f>
        <v>559</v>
      </c>
      <c r="C564" s="13" t="str">
        <f>IFERROR(__xludf.DUMMYFUNCTION("""COMPUTED_VALUE"""),"M.1805/WAY GUBAK")</f>
        <v>M.1805/WAY GUBAK</v>
      </c>
      <c r="D564" s="13" t="str">
        <f>IFERROR(__xludf.DUMMYFUNCTION("""COMPUTED_VALUE"""),"K/18/131224/3")</f>
        <v>K/18/131224/3</v>
      </c>
      <c r="E564" s="14" t="str">
        <f>IFERROR(__xludf.DUMMYFUNCTION("""COMPUTED_VALUE"""),"Nadian (BT)")</f>
        <v>Nadian (BT)</v>
      </c>
      <c r="F564" s="14" t="str">
        <f>IFERROR(__xludf.DUMMYFUNCTION("""COMPUTED_VALUE"""),"SELESAI (VIA PERMOHONAN)")</f>
        <v>SELESAI (VIA PERMOHONAN)</v>
      </c>
      <c r="G564" s="17">
        <f>IFERROR(__xludf.DUMMYFUNCTION("""COMPUTED_VALUE"""),45646.65090995371)</f>
        <v>45646.65091</v>
      </c>
      <c r="H564" s="14" t="str">
        <f>IFERROR(__xludf.DUMMYFUNCTION("""COMPUTED_VALUE"""),"Aprill (SU)")</f>
        <v>Aprill (SU)</v>
      </c>
      <c r="I564" s="13" t="str">
        <f>IFERROR(__xludf.DUMMYFUNCTION("""COMPUTED_VALUE"""),"SELESAI (VIA PERMOHONAN)")</f>
        <v>SELESAI (VIA PERMOHONAN)</v>
      </c>
      <c r="J564" s="17">
        <f>IFERROR(__xludf.DUMMYFUNCTION("""COMPUTED_VALUE"""),45664.36193878472)</f>
        <v>45664.36194</v>
      </c>
      <c r="K564" s="13" t="str">
        <f>IFERROR(__xludf.DUMMYFUNCTION("""COMPUTED_VALUE"""),"Selesai")</f>
        <v>Selesai</v>
      </c>
      <c r="L564" s="17">
        <f>IFERROR(__xludf.DUMMYFUNCTION("""COMPUTED_VALUE"""),45664.36193878472)</f>
        <v>45664.36194</v>
      </c>
      <c r="M564" s="17">
        <f>IFERROR(__xludf.DUMMYFUNCTION("""COMPUTED_VALUE"""),45664.36197760417)</f>
        <v>45664.36198</v>
      </c>
      <c r="N564" s="13" t="str">
        <f>IFERROR(__xludf.DUMMYFUNCTION("""COMPUTED_VALUE"""),"")</f>
        <v/>
      </c>
      <c r="O564" s="13" t="str">
        <f t="shared" si="1"/>
        <v/>
      </c>
    </row>
    <row r="565" ht="22.5" customHeight="1">
      <c r="B565" s="13">
        <f>IFERROR(__xludf.DUMMYFUNCTION("""COMPUTED_VALUE"""),560.0)</f>
        <v>560</v>
      </c>
      <c r="C565" s="13" t="str">
        <f>IFERROR(__xludf.DUMMYFUNCTION("""COMPUTED_VALUE"""),"M.233/CAMPANG JAYA")</f>
        <v>M.233/CAMPANG JAYA</v>
      </c>
      <c r="D565" s="13" t="str">
        <f>IFERROR(__xludf.DUMMYFUNCTION("""COMPUTED_VALUE"""),"K/30/181224/1")</f>
        <v>K/30/181224/1</v>
      </c>
      <c r="E565" s="14" t="str">
        <f>IFERROR(__xludf.DUMMYFUNCTION("""COMPUTED_VALUE"""),"Nadian (BT)")</f>
        <v>Nadian (BT)</v>
      </c>
      <c r="F565" s="14" t="str">
        <f>IFERROR(__xludf.DUMMYFUNCTION("""COMPUTED_VALUE"""),"SELESAI")</f>
        <v>SELESAI</v>
      </c>
      <c r="G565" s="17">
        <f>IFERROR(__xludf.DUMMYFUNCTION("""COMPUTED_VALUE"""),45646.65092583333)</f>
        <v>45646.65093</v>
      </c>
      <c r="H565" s="14" t="str">
        <f>IFERROR(__xludf.DUMMYFUNCTION("""COMPUTED_VALUE"""),"Aprill (SU)")</f>
        <v>Aprill (SU)</v>
      </c>
      <c r="I565" s="13" t="str">
        <f>IFERROR(__xludf.DUMMYFUNCTION("""COMPUTED_VALUE"""),"SELESAI")</f>
        <v>SELESAI</v>
      </c>
      <c r="J565" s="17">
        <f>IFERROR(__xludf.DUMMYFUNCTION("""COMPUTED_VALUE"""),45653.59913079861)</f>
        <v>45653.59913</v>
      </c>
      <c r="K565" s="13" t="str">
        <f>IFERROR(__xludf.DUMMYFUNCTION("""COMPUTED_VALUE"""),"SELESAI")</f>
        <v>SELESAI</v>
      </c>
      <c r="L565" s="17">
        <f>IFERROR(__xludf.DUMMYFUNCTION("""COMPUTED_VALUE"""),45653.59913079861)</f>
        <v>45653.59913</v>
      </c>
      <c r="M565" s="17" t="str">
        <f>IFERROR(__xludf.DUMMYFUNCTION("""COMPUTED_VALUE"""),"")</f>
        <v/>
      </c>
      <c r="N565" s="17">
        <f>IFERROR(__xludf.DUMMYFUNCTION("""COMPUTED_VALUE"""),45653.59913079861)</f>
        <v>45653.59913</v>
      </c>
      <c r="O565" s="13">
        <f t="shared" si="1"/>
        <v>1</v>
      </c>
    </row>
    <row r="566" ht="22.5" customHeight="1">
      <c r="B566" s="13">
        <f>IFERROR(__xludf.DUMMYFUNCTION("""COMPUTED_VALUE"""),561.0)</f>
        <v>561</v>
      </c>
      <c r="C566" s="13" t="str">
        <f>IFERROR(__xludf.DUMMYFUNCTION("""COMPUTED_VALUE"""),"HGB 1476/CAMPANG RAYA")</f>
        <v>HGB 1476/CAMPANG RAYA</v>
      </c>
      <c r="D566" s="13" t="str">
        <f>IFERROR(__xludf.DUMMYFUNCTION("""COMPUTED_VALUE"""),"L/18/171224/1")</f>
        <v>L/18/171224/1</v>
      </c>
      <c r="E566" s="14" t="str">
        <f>IFERROR(__xludf.DUMMYFUNCTION("""COMPUTED_VALUE"""),"Nadian (BT)")</f>
        <v>Nadian (BT)</v>
      </c>
      <c r="F566" s="14" t="str">
        <f>IFERROR(__xludf.DUMMYFUNCTION("""COMPUTED_VALUE"""),"SELESAI")</f>
        <v>SELESAI</v>
      </c>
      <c r="G566" s="17">
        <f>IFERROR(__xludf.DUMMYFUNCTION("""COMPUTED_VALUE"""),45646.650963368054)</f>
        <v>45646.65096</v>
      </c>
      <c r="H566" s="14" t="str">
        <f>IFERROR(__xludf.DUMMYFUNCTION("""COMPUTED_VALUE"""),"Bu Eva (SU)")</f>
        <v>Bu Eva (SU)</v>
      </c>
      <c r="I566" s="13" t="str">
        <f>IFERROR(__xludf.DUMMYFUNCTION("""COMPUTED_VALUE"""),"SELESAI")</f>
        <v>SELESAI</v>
      </c>
      <c r="J566" s="17">
        <f>IFERROR(__xludf.DUMMYFUNCTION("""COMPUTED_VALUE"""),45653.59913081018)</f>
        <v>45653.59913</v>
      </c>
      <c r="K566" s="13" t="str">
        <f>IFERROR(__xludf.DUMMYFUNCTION("""COMPUTED_VALUE"""),"SELESAI")</f>
        <v>SELESAI</v>
      </c>
      <c r="L566" s="17">
        <f>IFERROR(__xludf.DUMMYFUNCTION("""COMPUTED_VALUE"""),45653.59913081018)</f>
        <v>45653.59913</v>
      </c>
      <c r="M566" s="17">
        <f>IFERROR(__xludf.DUMMYFUNCTION("""COMPUTED_VALUE"""),45656.38868423611)</f>
        <v>45656.38868</v>
      </c>
      <c r="N566" s="17">
        <f>IFERROR(__xludf.DUMMYFUNCTION("""COMPUTED_VALUE"""),45653.59913081018)</f>
        <v>45653.59913</v>
      </c>
      <c r="O566" s="13">
        <f t="shared" si="1"/>
        <v>2</v>
      </c>
    </row>
    <row r="567" ht="22.5" customHeight="1">
      <c r="B567" s="13">
        <f>IFERROR(__xludf.DUMMYFUNCTION("""COMPUTED_VALUE"""),562.0)</f>
        <v>562</v>
      </c>
      <c r="C567" s="13" t="str">
        <f>IFERROR(__xludf.DUMMYFUNCTION("""COMPUTED_VALUE"""),"M.1574/KEMILING RAYA")</f>
        <v>M.1574/KEMILING RAYA</v>
      </c>
      <c r="D567" s="13" t="str">
        <f>IFERROR(__xludf.DUMMYFUNCTION("""COMPUTED_VALUE"""),"K/29/181224/2")</f>
        <v>K/29/181224/2</v>
      </c>
      <c r="E567" s="14" t="str">
        <f>IFERROR(__xludf.DUMMYFUNCTION("""COMPUTED_VALUE"""),"Nadian (BT)")</f>
        <v>Nadian (BT)</v>
      </c>
      <c r="F567" s="14" t="str">
        <f>IFERROR(__xludf.DUMMYFUNCTION("""COMPUTED_VALUE"""),"SELESAI")</f>
        <v>SELESAI</v>
      </c>
      <c r="G567" s="17">
        <f>IFERROR(__xludf.DUMMYFUNCTION("""COMPUTED_VALUE"""),45646.650963368054)</f>
        <v>45646.65096</v>
      </c>
      <c r="H567" s="14" t="str">
        <f>IFERROR(__xludf.DUMMYFUNCTION("""COMPUTED_VALUE"""),"Bu Eva (SU)")</f>
        <v>Bu Eva (SU)</v>
      </c>
      <c r="I567" s="13" t="str">
        <f>IFERROR(__xludf.DUMMYFUNCTION("""COMPUTED_VALUE"""),"SELESAI")</f>
        <v>SELESAI</v>
      </c>
      <c r="J567" s="17">
        <f>IFERROR(__xludf.DUMMYFUNCTION("""COMPUTED_VALUE"""),45653.6021421412)</f>
        <v>45653.60214</v>
      </c>
      <c r="K567" s="13" t="str">
        <f>IFERROR(__xludf.DUMMYFUNCTION("""COMPUTED_VALUE"""),"SELESAI")</f>
        <v>SELESAI</v>
      </c>
      <c r="L567" s="17">
        <f>IFERROR(__xludf.DUMMYFUNCTION("""COMPUTED_VALUE"""),45653.6021421412)</f>
        <v>45653.60214</v>
      </c>
      <c r="M567" s="17" t="str">
        <f>IFERROR(__xludf.DUMMYFUNCTION("""COMPUTED_VALUE"""),"")</f>
        <v/>
      </c>
      <c r="N567" s="17">
        <f>IFERROR(__xludf.DUMMYFUNCTION("""COMPUTED_VALUE"""),45653.60217525463)</f>
        <v>45653.60218</v>
      </c>
      <c r="O567" s="13">
        <f t="shared" si="1"/>
        <v>3</v>
      </c>
    </row>
    <row r="568" ht="22.5" customHeight="1">
      <c r="B568" s="13">
        <f>IFERROR(__xludf.DUMMYFUNCTION("""COMPUTED_VALUE"""),563.0)</f>
        <v>563</v>
      </c>
      <c r="C568" s="13" t="str">
        <f>IFERROR(__xludf.DUMMYFUNCTION("""COMPUTED_VALUE"""),"M. 2327/ Sepang Jaya")</f>
        <v>M. 2327/ Sepang Jaya</v>
      </c>
      <c r="D568" s="13" t="str">
        <f>IFERROR(__xludf.DUMMYFUNCTION("""COMPUTED_VALUE"""),"K/50/181224/1")</f>
        <v>K/50/181224/1</v>
      </c>
      <c r="E568" s="14" t="str">
        <f>IFERROR(__xludf.DUMMYFUNCTION("""COMPUTED_VALUE"""),"Nadian (BT)")</f>
        <v>Nadian (BT)</v>
      </c>
      <c r="F568" s="14" t="str">
        <f>IFERROR(__xludf.DUMMYFUNCTION("""COMPUTED_VALUE"""),"SELESAI")</f>
        <v>SELESAI</v>
      </c>
      <c r="G568" s="17">
        <f>IFERROR(__xludf.DUMMYFUNCTION("""COMPUTED_VALUE"""),45646.650963368054)</f>
        <v>45646.65096</v>
      </c>
      <c r="H568" s="14" t="str">
        <f>IFERROR(__xludf.DUMMYFUNCTION("""COMPUTED_VALUE"""),"Bu Eva (SU)")</f>
        <v>Bu Eva (SU)</v>
      </c>
      <c r="I568" s="13" t="str">
        <f>IFERROR(__xludf.DUMMYFUNCTION("""COMPUTED_VALUE"""),"SELESAI")</f>
        <v>SELESAI</v>
      </c>
      <c r="J568" s="17">
        <f>IFERROR(__xludf.DUMMYFUNCTION("""COMPUTED_VALUE"""),45653.60196960648)</f>
        <v>45653.60197</v>
      </c>
      <c r="K568" s="13" t="str">
        <f>IFERROR(__xludf.DUMMYFUNCTION("""COMPUTED_VALUE"""),"SELESAI")</f>
        <v>SELESAI</v>
      </c>
      <c r="L568" s="17">
        <f>IFERROR(__xludf.DUMMYFUNCTION("""COMPUTED_VALUE"""),45653.60196960648)</f>
        <v>45653.60197</v>
      </c>
      <c r="M568" s="17" t="str">
        <f>IFERROR(__xludf.DUMMYFUNCTION("""COMPUTED_VALUE"""),"")</f>
        <v/>
      </c>
      <c r="N568" s="17">
        <f>IFERROR(__xludf.DUMMYFUNCTION("""COMPUTED_VALUE"""),45653.60200424769)</f>
        <v>45653.602</v>
      </c>
      <c r="O568" s="13">
        <f t="shared" si="1"/>
        <v>4</v>
      </c>
    </row>
    <row r="569" ht="22.5" customHeight="1">
      <c r="B569" s="13">
        <f>IFERROR(__xludf.DUMMYFUNCTION("""COMPUTED_VALUE"""),564.0)</f>
        <v>564</v>
      </c>
      <c r="C569" s="13" t="str">
        <f>IFERROR(__xludf.DUMMYFUNCTION("""COMPUTED_VALUE"""),"HM 567/SUMBEREJO S")</f>
        <v>HM 567/SUMBEREJO S</v>
      </c>
      <c r="D569" s="13" t="str">
        <f>IFERROR(__xludf.DUMMYFUNCTION("""COMPUTED_VALUE"""),"L/49/181224/1")</f>
        <v>L/49/181224/1</v>
      </c>
      <c r="E569" s="14" t="str">
        <f>IFERROR(__xludf.DUMMYFUNCTION("""COMPUTED_VALUE"""),"Nadian (BT)")</f>
        <v>Nadian (BT)</v>
      </c>
      <c r="F569" s="14" t="str">
        <f>IFERROR(__xludf.DUMMYFUNCTION("""COMPUTED_VALUE"""),"SELESAI")</f>
        <v>SELESAI</v>
      </c>
      <c r="G569" s="17">
        <f>IFERROR(__xludf.DUMMYFUNCTION("""COMPUTED_VALUE"""),45646.650963368054)</f>
        <v>45646.65096</v>
      </c>
      <c r="H569" s="14" t="str">
        <f>IFERROR(__xludf.DUMMYFUNCTION("""COMPUTED_VALUE"""),"Bu Eva (SU)")</f>
        <v>Bu Eva (SU)</v>
      </c>
      <c r="I569" s="13" t="str">
        <f>IFERROR(__xludf.DUMMYFUNCTION("""COMPUTED_VALUE"""),"SELESAI")</f>
        <v>SELESAI</v>
      </c>
      <c r="J569" s="17">
        <f>IFERROR(__xludf.DUMMYFUNCTION("""COMPUTED_VALUE"""),45653.6035137963)</f>
        <v>45653.60351</v>
      </c>
      <c r="K569" s="13" t="str">
        <f>IFERROR(__xludf.DUMMYFUNCTION("""COMPUTED_VALUE"""),"SELESAI")</f>
        <v>SELESAI</v>
      </c>
      <c r="L569" s="17">
        <f>IFERROR(__xludf.DUMMYFUNCTION("""COMPUTED_VALUE"""),45653.6035137963)</f>
        <v>45653.60351</v>
      </c>
      <c r="M569" s="17">
        <f>IFERROR(__xludf.DUMMYFUNCTION("""COMPUTED_VALUE"""),45656.44334149305)</f>
        <v>45656.44334</v>
      </c>
      <c r="N569" s="17">
        <f>IFERROR(__xludf.DUMMYFUNCTION("""COMPUTED_VALUE"""),45653.603544756945)</f>
        <v>45653.60354</v>
      </c>
      <c r="O569" s="13">
        <f t="shared" si="1"/>
        <v>5</v>
      </c>
    </row>
    <row r="570" ht="22.5" customHeight="1">
      <c r="B570" s="13">
        <f>IFERROR(__xludf.DUMMYFUNCTION("""COMPUTED_VALUE"""),565.0)</f>
        <v>565</v>
      </c>
      <c r="C570" s="13" t="str">
        <f>IFERROR(__xludf.DUMMYFUNCTION("""COMPUTED_VALUE"""),"M. 1372/ Sukarame Baru")</f>
        <v>M. 1372/ Sukarame Baru</v>
      </c>
      <c r="D570" s="13" t="str">
        <f>IFERROR(__xludf.DUMMYFUNCTION("""COMPUTED_VALUE"""),"K/43/181224/2")</f>
        <v>K/43/181224/2</v>
      </c>
      <c r="E570" s="14" t="str">
        <f>IFERROR(__xludf.DUMMYFUNCTION("""COMPUTED_VALUE"""),"Nadian (BT)")</f>
        <v>Nadian (BT)</v>
      </c>
      <c r="F570" s="14" t="str">
        <f>IFERROR(__xludf.DUMMYFUNCTION("""COMPUTED_VALUE"""),"SELESAI")</f>
        <v>SELESAI</v>
      </c>
      <c r="G570" s="17">
        <f>IFERROR(__xludf.DUMMYFUNCTION("""COMPUTED_VALUE"""),45646.650963368054)</f>
        <v>45646.65096</v>
      </c>
      <c r="H570" s="14" t="str">
        <f>IFERROR(__xludf.DUMMYFUNCTION("""COMPUTED_VALUE"""),"Bu Eva (SU)")</f>
        <v>Bu Eva (SU)</v>
      </c>
      <c r="I570" s="13" t="str">
        <f>IFERROR(__xludf.DUMMYFUNCTION("""COMPUTED_VALUE"""),"SELESAI")</f>
        <v>SELESAI</v>
      </c>
      <c r="J570" s="17">
        <f>IFERROR(__xludf.DUMMYFUNCTION("""COMPUTED_VALUE"""),45653.60280311343)</f>
        <v>45653.6028</v>
      </c>
      <c r="K570" s="13" t="str">
        <f>IFERROR(__xludf.DUMMYFUNCTION("""COMPUTED_VALUE"""),"SELESAI")</f>
        <v>SELESAI</v>
      </c>
      <c r="L570" s="17">
        <f>IFERROR(__xludf.DUMMYFUNCTION("""COMPUTED_VALUE"""),45653.60280311343)</f>
        <v>45653.6028</v>
      </c>
      <c r="M570" s="17" t="str">
        <f>IFERROR(__xludf.DUMMYFUNCTION("""COMPUTED_VALUE"""),"")</f>
        <v/>
      </c>
      <c r="N570" s="17">
        <f>IFERROR(__xludf.DUMMYFUNCTION("""COMPUTED_VALUE"""),45653.60283878472)</f>
        <v>45653.60284</v>
      </c>
      <c r="O570" s="13">
        <f t="shared" si="1"/>
        <v>6</v>
      </c>
    </row>
    <row r="571" ht="22.5" customHeight="1">
      <c r="B571" s="13">
        <f>IFERROR(__xludf.DUMMYFUNCTION("""COMPUTED_VALUE"""),566.0)</f>
        <v>566</v>
      </c>
      <c r="C571" s="13" t="str">
        <f>IFERROR(__xludf.DUMMYFUNCTION("""COMPUTED_VALUE"""),"M. 5287/ Langkapura")</f>
        <v>M. 5287/ Langkapura</v>
      </c>
      <c r="D571" s="13" t="str">
        <f>IFERROR(__xludf.DUMMYFUNCTION("""COMPUTED_VALUE"""),"K/36/181224/3")</f>
        <v>K/36/181224/3</v>
      </c>
      <c r="E571" s="14" t="str">
        <f>IFERROR(__xludf.DUMMYFUNCTION("""COMPUTED_VALUE"""),"Nadian (BT)")</f>
        <v>Nadian (BT)</v>
      </c>
      <c r="F571" s="14" t="str">
        <f>IFERROR(__xludf.DUMMYFUNCTION("""COMPUTED_VALUE"""),"SELESAI")</f>
        <v>SELESAI</v>
      </c>
      <c r="G571" s="17">
        <f>IFERROR(__xludf.DUMMYFUNCTION("""COMPUTED_VALUE"""),45646.650963368054)</f>
        <v>45646.65096</v>
      </c>
      <c r="H571" s="14" t="str">
        <f>IFERROR(__xludf.DUMMYFUNCTION("""COMPUTED_VALUE"""),"Bu Eva (SU)")</f>
        <v>Bu Eva (SU)</v>
      </c>
      <c r="I571" s="13" t="str">
        <f>IFERROR(__xludf.DUMMYFUNCTION("""COMPUTED_VALUE"""),"SELESAI")</f>
        <v>SELESAI</v>
      </c>
      <c r="J571" s="17">
        <f>IFERROR(__xludf.DUMMYFUNCTION("""COMPUTED_VALUE"""),45653.60299921296)</f>
        <v>45653.603</v>
      </c>
      <c r="K571" s="13" t="str">
        <f>IFERROR(__xludf.DUMMYFUNCTION("""COMPUTED_VALUE"""),"SELESAI")</f>
        <v>SELESAI</v>
      </c>
      <c r="L571" s="17">
        <f>IFERROR(__xludf.DUMMYFUNCTION("""COMPUTED_VALUE"""),45653.60299921296)</f>
        <v>45653.603</v>
      </c>
      <c r="M571" s="17" t="str">
        <f>IFERROR(__xludf.DUMMYFUNCTION("""COMPUTED_VALUE"""),"")</f>
        <v/>
      </c>
      <c r="N571" s="17">
        <f>IFERROR(__xludf.DUMMYFUNCTION("""COMPUTED_VALUE"""),45653.603030150465)</f>
        <v>45653.60303</v>
      </c>
      <c r="O571" s="13">
        <f t="shared" si="1"/>
        <v>7</v>
      </c>
    </row>
    <row r="572" ht="22.5" customHeight="1">
      <c r="B572" s="13">
        <f>IFERROR(__xludf.DUMMYFUNCTION("""COMPUTED_VALUE"""),567.0)</f>
        <v>567</v>
      </c>
      <c r="C572" s="13" t="str">
        <f>IFERROR(__xludf.DUMMYFUNCTION("""COMPUTED_VALUE"""),"M. 719/ Gunung Agung")</f>
        <v>M. 719/ Gunung Agung</v>
      </c>
      <c r="D572" s="13" t="str">
        <f>IFERROR(__xludf.DUMMYFUNCTION("""COMPUTED_VALUE"""),"K/34/181224/1")</f>
        <v>K/34/181224/1</v>
      </c>
      <c r="E572" s="14" t="str">
        <f>IFERROR(__xludf.DUMMYFUNCTION("""COMPUTED_VALUE"""),"Nadian (BT)")</f>
        <v>Nadian (BT)</v>
      </c>
      <c r="F572" s="14" t="str">
        <f>IFERROR(__xludf.DUMMYFUNCTION("""COMPUTED_VALUE"""),"SELESAI")</f>
        <v>SELESAI</v>
      </c>
      <c r="G572" s="17">
        <f>IFERROR(__xludf.DUMMYFUNCTION("""COMPUTED_VALUE"""),45646.65096337963)</f>
        <v>45646.65096</v>
      </c>
      <c r="H572" s="14" t="str">
        <f>IFERROR(__xludf.DUMMYFUNCTION("""COMPUTED_VALUE"""),"Bu Eva (SU)")</f>
        <v>Bu Eva (SU)</v>
      </c>
      <c r="I572" s="13" t="str">
        <f>IFERROR(__xludf.DUMMYFUNCTION("""COMPUTED_VALUE"""),"SELESAI")</f>
        <v>SELESAI</v>
      </c>
      <c r="J572" s="17">
        <f>IFERROR(__xludf.DUMMYFUNCTION("""COMPUTED_VALUE"""),45653.60328876157)</f>
        <v>45653.60329</v>
      </c>
      <c r="K572" s="13" t="str">
        <f>IFERROR(__xludf.DUMMYFUNCTION("""COMPUTED_VALUE"""),"SELESAI")</f>
        <v>SELESAI</v>
      </c>
      <c r="L572" s="17">
        <f>IFERROR(__xludf.DUMMYFUNCTION("""COMPUTED_VALUE"""),45653.60328876157)</f>
        <v>45653.60329</v>
      </c>
      <c r="M572" s="17" t="str">
        <f>IFERROR(__xludf.DUMMYFUNCTION("""COMPUTED_VALUE"""),"")</f>
        <v/>
      </c>
      <c r="N572" s="17">
        <f>IFERROR(__xludf.DUMMYFUNCTION("""COMPUTED_VALUE"""),45653.60331707176)</f>
        <v>45653.60332</v>
      </c>
      <c r="O572" s="13">
        <f t="shared" si="1"/>
        <v>8</v>
      </c>
    </row>
    <row r="573" ht="22.5" customHeight="1">
      <c r="B573" s="13">
        <f>IFERROR(__xludf.DUMMYFUNCTION("""COMPUTED_VALUE"""),568.0)</f>
        <v>568</v>
      </c>
      <c r="C573" s="13" t="str">
        <f>IFERROR(__xludf.DUMMYFUNCTION("""COMPUTED_VALUE"""),"B.328/RAJABASA NUNYAI")</f>
        <v>B.328/RAJABASA NUNYAI</v>
      </c>
      <c r="D573" s="13" t="str">
        <f>IFERROR(__xludf.DUMMYFUNCTION("""COMPUTED_VALUE"""),"K/16/181224/3")</f>
        <v>K/16/181224/3</v>
      </c>
      <c r="E573" s="14" t="str">
        <f>IFERROR(__xludf.DUMMYFUNCTION("""COMPUTED_VALUE"""),"Nadian (BT)")</f>
        <v>Nadian (BT)</v>
      </c>
      <c r="F573" s="14" t="str">
        <f>IFERROR(__xludf.DUMMYFUNCTION("""COMPUTED_VALUE"""),"SELESAI")</f>
        <v>SELESAI</v>
      </c>
      <c r="G573" s="17">
        <f>IFERROR(__xludf.DUMMYFUNCTION("""COMPUTED_VALUE"""),45646.65096337963)</f>
        <v>45646.65096</v>
      </c>
      <c r="H573" s="14" t="str">
        <f>IFERROR(__xludf.DUMMYFUNCTION("""COMPUTED_VALUE"""),"Bu Eva (SU)")</f>
        <v>Bu Eva (SU)</v>
      </c>
      <c r="I573" s="13" t="str">
        <f>IFERROR(__xludf.DUMMYFUNCTION("""COMPUTED_VALUE"""),"SELESAI")</f>
        <v>SELESAI</v>
      </c>
      <c r="J573" s="17">
        <f>IFERROR(__xludf.DUMMYFUNCTION("""COMPUTED_VALUE"""),45653.601721377316)</f>
        <v>45653.60172</v>
      </c>
      <c r="K573" s="13" t="str">
        <f>IFERROR(__xludf.DUMMYFUNCTION("""COMPUTED_VALUE"""),"SELESAI")</f>
        <v>SELESAI</v>
      </c>
      <c r="L573" s="17">
        <f>IFERROR(__xludf.DUMMYFUNCTION("""COMPUTED_VALUE"""),45653.601721377316)</f>
        <v>45653.60172</v>
      </c>
      <c r="M573" s="17" t="str">
        <f>IFERROR(__xludf.DUMMYFUNCTION("""COMPUTED_VALUE"""),"")</f>
        <v/>
      </c>
      <c r="N573" s="17">
        <f>IFERROR(__xludf.DUMMYFUNCTION("""COMPUTED_VALUE"""),45653.6017525)</f>
        <v>45653.60175</v>
      </c>
      <c r="O573" s="13">
        <f t="shared" si="1"/>
        <v>9</v>
      </c>
    </row>
    <row r="574" ht="22.5" customHeight="1">
      <c r="B574" s="13">
        <f>IFERROR(__xludf.DUMMYFUNCTION("""COMPUTED_VALUE"""),569.0)</f>
        <v>569</v>
      </c>
      <c r="C574" s="13" t="str">
        <f>IFERROR(__xludf.DUMMYFUNCTION("""COMPUTED_VALUE"""),"B.329/RAJABASA NUNYAI")</f>
        <v>B.329/RAJABASA NUNYAI</v>
      </c>
      <c r="D574" s="13" t="str">
        <f>IFERROR(__xludf.DUMMYFUNCTION("""COMPUTED_VALUE"""),"K/15/181224/2")</f>
        <v>K/15/181224/2</v>
      </c>
      <c r="E574" s="14" t="str">
        <f>IFERROR(__xludf.DUMMYFUNCTION("""COMPUTED_VALUE"""),"Nadian (BT)")</f>
        <v>Nadian (BT)</v>
      </c>
      <c r="F574" s="14" t="str">
        <f>IFERROR(__xludf.DUMMYFUNCTION("""COMPUTED_VALUE"""),"SELESAI")</f>
        <v>SELESAI</v>
      </c>
      <c r="G574" s="17">
        <f>IFERROR(__xludf.DUMMYFUNCTION("""COMPUTED_VALUE"""),45646.65096337963)</f>
        <v>45646.65096</v>
      </c>
      <c r="H574" s="14" t="str">
        <f>IFERROR(__xludf.DUMMYFUNCTION("""COMPUTED_VALUE"""),"Bu Eva (SU)")</f>
        <v>Bu Eva (SU)</v>
      </c>
      <c r="I574" s="13" t="str">
        <f>IFERROR(__xludf.DUMMYFUNCTION("""COMPUTED_VALUE"""),"SELESAI")</f>
        <v>SELESAI</v>
      </c>
      <c r="J574" s="17">
        <f>IFERROR(__xludf.DUMMYFUNCTION("""COMPUTED_VALUE"""),45653.60153152778)</f>
        <v>45653.60153</v>
      </c>
      <c r="K574" s="13" t="str">
        <f>IFERROR(__xludf.DUMMYFUNCTION("""COMPUTED_VALUE"""),"SELESAI")</f>
        <v>SELESAI</v>
      </c>
      <c r="L574" s="17">
        <f>IFERROR(__xludf.DUMMYFUNCTION("""COMPUTED_VALUE"""),45653.60153152778)</f>
        <v>45653.60153</v>
      </c>
      <c r="M574" s="17" t="str">
        <f>IFERROR(__xludf.DUMMYFUNCTION("""COMPUTED_VALUE"""),"")</f>
        <v/>
      </c>
      <c r="N574" s="17">
        <f>IFERROR(__xludf.DUMMYFUNCTION("""COMPUTED_VALUE"""),45653.60155960648)</f>
        <v>45653.60156</v>
      </c>
      <c r="O574" s="13">
        <f t="shared" si="1"/>
        <v>10</v>
      </c>
    </row>
    <row r="575" ht="22.5" customHeight="1">
      <c r="B575" s="13">
        <f>IFERROR(__xludf.DUMMYFUNCTION("""COMPUTED_VALUE"""),570.0)</f>
        <v>570</v>
      </c>
      <c r="C575" s="13" t="str">
        <f>IFERROR(__xludf.DUMMYFUNCTION("""COMPUTED_VALUE"""),"M. 5168/ Tanjung Senang")</f>
        <v>M. 5168/ Tanjung Senang</v>
      </c>
      <c r="D575" s="13" t="str">
        <f>IFERROR(__xludf.DUMMYFUNCTION("""COMPUTED_VALUE"""),"K/13/181224/1")</f>
        <v>K/13/181224/1</v>
      </c>
      <c r="E575" s="14" t="str">
        <f>IFERROR(__xludf.DUMMYFUNCTION("""COMPUTED_VALUE"""),"Nadian (BT)")</f>
        <v>Nadian (BT)</v>
      </c>
      <c r="F575" s="14" t="str">
        <f>IFERROR(__xludf.DUMMYFUNCTION("""COMPUTED_VALUE"""),"SELESAI")</f>
        <v>SELESAI</v>
      </c>
      <c r="G575" s="17">
        <f>IFERROR(__xludf.DUMMYFUNCTION("""COMPUTED_VALUE"""),45646.65096337963)</f>
        <v>45646.65096</v>
      </c>
      <c r="H575" s="14" t="str">
        <f>IFERROR(__xludf.DUMMYFUNCTION("""COMPUTED_VALUE"""),"Bu Eva (SU)")</f>
        <v>Bu Eva (SU)</v>
      </c>
      <c r="I575" s="13" t="str">
        <f>IFERROR(__xludf.DUMMYFUNCTION("""COMPUTED_VALUE"""),"SELESAI")</f>
        <v>SELESAI</v>
      </c>
      <c r="J575" s="17">
        <f>IFERROR(__xludf.DUMMYFUNCTION("""COMPUTED_VALUE"""),45653.60063877315)</f>
        <v>45653.60064</v>
      </c>
      <c r="K575" s="13" t="str">
        <f>IFERROR(__xludf.DUMMYFUNCTION("""COMPUTED_VALUE"""),"SELESAI")</f>
        <v>SELESAI</v>
      </c>
      <c r="L575" s="17">
        <f>IFERROR(__xludf.DUMMYFUNCTION("""COMPUTED_VALUE"""),45653.60063877315)</f>
        <v>45653.60064</v>
      </c>
      <c r="M575" s="17" t="str">
        <f>IFERROR(__xludf.DUMMYFUNCTION("""COMPUTED_VALUE"""),"")</f>
        <v/>
      </c>
      <c r="N575" s="17">
        <f>IFERROR(__xludf.DUMMYFUNCTION("""COMPUTED_VALUE"""),45653.60066246528)</f>
        <v>45653.60066</v>
      </c>
      <c r="O575" s="13">
        <f t="shared" si="1"/>
        <v>11</v>
      </c>
    </row>
    <row r="576" ht="22.5" customHeight="1">
      <c r="B576" s="13">
        <f>IFERROR(__xludf.DUMMYFUNCTION("""COMPUTED_VALUE"""),571.0)</f>
        <v>571</v>
      </c>
      <c r="C576" s="13" t="str">
        <f>IFERROR(__xludf.DUMMYFUNCTION("""COMPUTED_VALUE"""),"M.1602/SUSUNAN BARU")</f>
        <v>M.1602/SUSUNAN BARU</v>
      </c>
      <c r="D576" s="13" t="str">
        <f>IFERROR(__xludf.DUMMYFUNCTION("""COMPUTED_VALUE"""),"K/13/171224/1")</f>
        <v>K/13/171224/1</v>
      </c>
      <c r="E576" s="14" t="str">
        <f>IFERROR(__xludf.DUMMYFUNCTION("""COMPUTED_VALUE"""),"Afriza (BT)")</f>
        <v>Afriza (BT)</v>
      </c>
      <c r="F576" s="14" t="str">
        <f>IFERROR(__xludf.DUMMYFUNCTION("""COMPUTED_VALUE"""),"SELESAI (VIA PERMOHONAN)")</f>
        <v>SELESAI (VIA PERMOHONAN)</v>
      </c>
      <c r="G576" s="17">
        <f>IFERROR(__xludf.DUMMYFUNCTION("""COMPUTED_VALUE"""),45646.69448363426)</f>
        <v>45646.69448</v>
      </c>
      <c r="H576" s="14" t="str">
        <f>IFERROR(__xludf.DUMMYFUNCTION("""COMPUTED_VALUE"""),"Aprill (SU)")</f>
        <v>Aprill (SU)</v>
      </c>
      <c r="I576" s="13" t="str">
        <f>IFERROR(__xludf.DUMMYFUNCTION("""COMPUTED_VALUE"""),"SELESAI (VIA PERMOHONAN)")</f>
        <v>SELESAI (VIA PERMOHONAN)</v>
      </c>
      <c r="J576" s="17">
        <f>IFERROR(__xludf.DUMMYFUNCTION("""COMPUTED_VALUE"""),45664.3614353125)</f>
        <v>45664.36144</v>
      </c>
      <c r="K576" s="13" t="str">
        <f>IFERROR(__xludf.DUMMYFUNCTION("""COMPUTED_VALUE"""),"Selesai")</f>
        <v>Selesai</v>
      </c>
      <c r="L576" s="17">
        <f>IFERROR(__xludf.DUMMYFUNCTION("""COMPUTED_VALUE"""),45664.3614353125)</f>
        <v>45664.36144</v>
      </c>
      <c r="M576" s="17">
        <f>IFERROR(__xludf.DUMMYFUNCTION("""COMPUTED_VALUE"""),45664.3614353125)</f>
        <v>45664.36144</v>
      </c>
      <c r="N576" s="13" t="str">
        <f>IFERROR(__xludf.DUMMYFUNCTION("""COMPUTED_VALUE"""),"")</f>
        <v/>
      </c>
      <c r="O576" s="13" t="str">
        <f t="shared" si="1"/>
        <v/>
      </c>
    </row>
    <row r="577" ht="22.5" customHeight="1">
      <c r="B577" s="13">
        <f>IFERROR(__xludf.DUMMYFUNCTION("""COMPUTED_VALUE"""),572.0)</f>
        <v>572</v>
      </c>
      <c r="C577" s="13" t="str">
        <f>IFERROR(__xludf.DUMMYFUNCTION("""COMPUTED_VALUE"""),"M. 2874/ Way Laga")</f>
        <v>M. 2874/ Way Laga</v>
      </c>
      <c r="D577" s="13" t="str">
        <f>IFERROR(__xludf.DUMMYFUNCTION("""COMPUTED_VALUE"""),"K/8/061224/1")</f>
        <v>K/8/061224/1</v>
      </c>
      <c r="E577" s="14" t="str">
        <f>IFERROR(__xludf.DUMMYFUNCTION("""COMPUTED_VALUE"""),"Afriza (BT)")</f>
        <v>Afriza (BT)</v>
      </c>
      <c r="F577" s="14" t="str">
        <f>IFERROR(__xludf.DUMMYFUNCTION("""COMPUTED_VALUE"""),"SELESAI (VIA PERMOHONAN)")</f>
        <v>SELESAI (VIA PERMOHONAN)</v>
      </c>
      <c r="G577" s="17">
        <f>IFERROR(__xludf.DUMMYFUNCTION("""COMPUTED_VALUE"""),45649.36224681713)</f>
        <v>45649.36225</v>
      </c>
      <c r="H577" s="14" t="str">
        <f>IFERROR(__xludf.DUMMYFUNCTION("""COMPUTED_VALUE"""),"Aprill (SU)")</f>
        <v>Aprill (SU)</v>
      </c>
      <c r="I577" s="13" t="str">
        <f>IFERROR(__xludf.DUMMYFUNCTION("""COMPUTED_VALUE"""),"SELESAI (VIA PERMOHONAN)")</f>
        <v>SELESAI (VIA PERMOHONAN)</v>
      </c>
      <c r="J577" s="17">
        <f>IFERROR(__xludf.DUMMYFUNCTION("""COMPUTED_VALUE"""),45664.3614353125)</f>
        <v>45664.36144</v>
      </c>
      <c r="K577" s="13" t="str">
        <f>IFERROR(__xludf.DUMMYFUNCTION("""COMPUTED_VALUE"""),"Selesai")</f>
        <v>Selesai</v>
      </c>
      <c r="L577" s="17">
        <f>IFERROR(__xludf.DUMMYFUNCTION("""COMPUTED_VALUE"""),45664.3614353125)</f>
        <v>45664.36144</v>
      </c>
      <c r="M577" s="17">
        <f>IFERROR(__xludf.DUMMYFUNCTION("""COMPUTED_VALUE"""),45664.3614353125)</f>
        <v>45664.36144</v>
      </c>
      <c r="N577" s="13" t="str">
        <f>IFERROR(__xludf.DUMMYFUNCTION("""COMPUTED_VALUE"""),"")</f>
        <v/>
      </c>
      <c r="O577" s="13" t="str">
        <f t="shared" si="1"/>
        <v/>
      </c>
    </row>
    <row r="578" ht="22.5" customHeight="1">
      <c r="B578" s="13">
        <f>IFERROR(__xludf.DUMMYFUNCTION("""COMPUTED_VALUE"""),573.0)</f>
        <v>573</v>
      </c>
      <c r="C578" s="13" t="str">
        <f>IFERROR(__xludf.DUMMYFUNCTION("""COMPUTED_VALUE"""),"M. 4224/ Langkapura")</f>
        <v>M. 4224/ Langkapura</v>
      </c>
      <c r="D578" s="13" t="str">
        <f>IFERROR(__xludf.DUMMYFUNCTION("""COMPUTED_VALUE"""),"K/12/181224/1")</f>
        <v>K/12/181224/1</v>
      </c>
      <c r="E578" s="14" t="str">
        <f>IFERROR(__xludf.DUMMYFUNCTION("""COMPUTED_VALUE"""),"Afriza (BT)")</f>
        <v>Afriza (BT)</v>
      </c>
      <c r="F578" s="14" t="str">
        <f>IFERROR(__xludf.DUMMYFUNCTION("""COMPUTED_VALUE"""),"SELESAI (VIA PERMOHONAN)")</f>
        <v>SELESAI (VIA PERMOHONAN)</v>
      </c>
      <c r="G578" s="17">
        <f>IFERROR(__xludf.DUMMYFUNCTION("""COMPUTED_VALUE"""),45649.370445925924)</f>
        <v>45649.37045</v>
      </c>
      <c r="H578" s="14" t="str">
        <f>IFERROR(__xludf.DUMMYFUNCTION("""COMPUTED_VALUE"""),"Aprill (SU)")</f>
        <v>Aprill (SU)</v>
      </c>
      <c r="I578" s="13" t="str">
        <f>IFERROR(__xludf.DUMMYFUNCTION("""COMPUTED_VALUE"""),"SELESAI (VIA PERMOHONAN)")</f>
        <v>SELESAI (VIA PERMOHONAN)</v>
      </c>
      <c r="J578" s="17">
        <f>IFERROR(__xludf.DUMMYFUNCTION("""COMPUTED_VALUE"""),45664.3614353125)</f>
        <v>45664.36144</v>
      </c>
      <c r="K578" s="13" t="str">
        <f>IFERROR(__xludf.DUMMYFUNCTION("""COMPUTED_VALUE"""),"Selesai")</f>
        <v>Selesai</v>
      </c>
      <c r="L578" s="17">
        <f>IFERROR(__xludf.DUMMYFUNCTION("""COMPUTED_VALUE"""),45664.3614353125)</f>
        <v>45664.36144</v>
      </c>
      <c r="M578" s="17">
        <f>IFERROR(__xludf.DUMMYFUNCTION("""COMPUTED_VALUE"""),45664.3614353125)</f>
        <v>45664.36144</v>
      </c>
      <c r="N578" s="13" t="str">
        <f>IFERROR(__xludf.DUMMYFUNCTION("""COMPUTED_VALUE"""),"")</f>
        <v/>
      </c>
      <c r="O578" s="13" t="str">
        <f t="shared" si="1"/>
        <v/>
      </c>
    </row>
    <row r="579" ht="22.5" customHeight="1">
      <c r="B579" s="13">
        <f>IFERROR(__xludf.DUMMYFUNCTION("""COMPUTED_VALUE"""),574.0)</f>
        <v>574</v>
      </c>
      <c r="C579" s="13" t="str">
        <f>IFERROR(__xludf.DUMMYFUNCTION("""COMPUTED_VALUE"""),"M. 1648/ Bumi Kedamaian")</f>
        <v>M. 1648/ Bumi Kedamaian</v>
      </c>
      <c r="D579" s="13" t="str">
        <f>IFERROR(__xludf.DUMMYFUNCTION("""COMPUTED_VALUE"""),"K/45/181224/1")</f>
        <v>K/45/181224/1</v>
      </c>
      <c r="E579" s="14" t="str">
        <f>IFERROR(__xludf.DUMMYFUNCTION("""COMPUTED_VALUE"""),"Afriza (BT)")</f>
        <v>Afriza (BT)</v>
      </c>
      <c r="F579" s="14" t="str">
        <f>IFERROR(__xludf.DUMMYFUNCTION("""COMPUTED_VALUE"""),"SELESAI (VIA PERMOHONAN)")</f>
        <v>SELESAI (VIA PERMOHONAN)</v>
      </c>
      <c r="G579" s="17">
        <f>IFERROR(__xludf.DUMMYFUNCTION("""COMPUTED_VALUE"""),45649.3717346875)</f>
        <v>45649.37173</v>
      </c>
      <c r="H579" s="14" t="str">
        <f>IFERROR(__xludf.DUMMYFUNCTION("""COMPUTED_VALUE"""),"Aprill (SU)")</f>
        <v>Aprill (SU)</v>
      </c>
      <c r="I579" s="13" t="str">
        <f>IFERROR(__xludf.DUMMYFUNCTION("""COMPUTED_VALUE"""),"SELESAI (VIA PERMOHONAN)")</f>
        <v>SELESAI (VIA PERMOHONAN)</v>
      </c>
      <c r="J579" s="17">
        <f>IFERROR(__xludf.DUMMYFUNCTION("""COMPUTED_VALUE"""),45664.3614353125)</f>
        <v>45664.36144</v>
      </c>
      <c r="K579" s="13" t="str">
        <f>IFERROR(__xludf.DUMMYFUNCTION("""COMPUTED_VALUE"""),"Selesai")</f>
        <v>Selesai</v>
      </c>
      <c r="L579" s="17">
        <f>IFERROR(__xludf.DUMMYFUNCTION("""COMPUTED_VALUE"""),45664.3614353125)</f>
        <v>45664.36144</v>
      </c>
      <c r="M579" s="17">
        <f>IFERROR(__xludf.DUMMYFUNCTION("""COMPUTED_VALUE"""),45664.3614353125)</f>
        <v>45664.36144</v>
      </c>
      <c r="N579" s="13" t="str">
        <f>IFERROR(__xludf.DUMMYFUNCTION("""COMPUTED_VALUE"""),"")</f>
        <v/>
      </c>
      <c r="O579" s="13" t="str">
        <f t="shared" si="1"/>
        <v/>
      </c>
    </row>
    <row r="580" ht="22.5" customHeight="1">
      <c r="B580" s="13">
        <f>IFERROR(__xludf.DUMMYFUNCTION("""COMPUTED_VALUE"""),575.0)</f>
        <v>575</v>
      </c>
      <c r="C580" s="13" t="str">
        <f>IFERROR(__xludf.DUMMYFUNCTION("""COMPUTED_VALUE"""),"B. 5631/ Beringin Raya; B. 1269/ Sumberrejo-dahulu")</f>
        <v>B. 5631/ Beringin Raya; B. 1269/ Sumberrejo-dahulu</v>
      </c>
      <c r="D580" s="13" t="str">
        <f>IFERROR(__xludf.DUMMYFUNCTION("""COMPUTED_VALUE"""),"K/21/191224/1")</f>
        <v>K/21/191224/1</v>
      </c>
      <c r="E580" s="14" t="str">
        <f>IFERROR(__xludf.DUMMYFUNCTION("""COMPUTED_VALUE"""),"Afriza (BT)")</f>
        <v>Afriza (BT)</v>
      </c>
      <c r="F580" s="14" t="str">
        <f>IFERROR(__xludf.DUMMYFUNCTION("""COMPUTED_VALUE"""),"SELESAI (VIA PERMOHONAN)")</f>
        <v>SELESAI (VIA PERMOHONAN)</v>
      </c>
      <c r="G580" s="17">
        <f>IFERROR(__xludf.DUMMYFUNCTION("""COMPUTED_VALUE"""),45649.37895834491)</f>
        <v>45649.37896</v>
      </c>
      <c r="H580" s="14" t="str">
        <f>IFERROR(__xludf.DUMMYFUNCTION("""COMPUTED_VALUE"""),"Aprill (SU)")</f>
        <v>Aprill (SU)</v>
      </c>
      <c r="I580" s="13" t="str">
        <f>IFERROR(__xludf.DUMMYFUNCTION("""COMPUTED_VALUE"""),"SELESAI (VIA PERMOHONAN)")</f>
        <v>SELESAI (VIA PERMOHONAN)</v>
      </c>
      <c r="J580" s="17">
        <f>IFERROR(__xludf.DUMMYFUNCTION("""COMPUTED_VALUE"""),45664.3614353125)</f>
        <v>45664.36144</v>
      </c>
      <c r="K580" s="13" t="str">
        <f>IFERROR(__xludf.DUMMYFUNCTION("""COMPUTED_VALUE"""),"Selesai")</f>
        <v>Selesai</v>
      </c>
      <c r="L580" s="17">
        <f>IFERROR(__xludf.DUMMYFUNCTION("""COMPUTED_VALUE"""),45664.3614353125)</f>
        <v>45664.36144</v>
      </c>
      <c r="M580" s="17">
        <f>IFERROR(__xludf.DUMMYFUNCTION("""COMPUTED_VALUE"""),45664.3614353125)</f>
        <v>45664.36144</v>
      </c>
      <c r="N580" s="13" t="str">
        <f>IFERROR(__xludf.DUMMYFUNCTION("""COMPUTED_VALUE"""),"")</f>
        <v/>
      </c>
      <c r="O580" s="13" t="str">
        <f t="shared" si="1"/>
        <v/>
      </c>
    </row>
    <row r="581" ht="22.5" customHeight="1">
      <c r="B581" s="13">
        <f>IFERROR(__xludf.DUMMYFUNCTION("""COMPUTED_VALUE"""),576.0)</f>
        <v>576</v>
      </c>
      <c r="C581" s="13" t="str">
        <f>IFERROR(__xludf.DUMMYFUNCTION("""COMPUTED_VALUE"""),"HM 1818/LABUHAN DALAM")</f>
        <v>HM 1818/LABUHAN DALAM</v>
      </c>
      <c r="D581" s="13" t="str">
        <f>IFERROR(__xludf.DUMMYFUNCTION("""COMPUTED_VALUE"""),"L/31/101224/1")</f>
        <v>L/31/101224/1</v>
      </c>
      <c r="E581" s="14" t="str">
        <f>IFERROR(__xludf.DUMMYFUNCTION("""COMPUTED_VALUE"""),"Afriza (BT)")</f>
        <v>Afriza (BT)</v>
      </c>
      <c r="F581" s="14" t="str">
        <f>IFERROR(__xludf.DUMMYFUNCTION("""COMPUTED_VALUE"""),"SELESAI (VIA PERMOHONAN)")</f>
        <v>SELESAI (VIA PERMOHONAN)</v>
      </c>
      <c r="G581" s="17">
        <f>IFERROR(__xludf.DUMMYFUNCTION("""COMPUTED_VALUE"""),45649.42391114583)</f>
        <v>45649.42391</v>
      </c>
      <c r="H581" s="14" t="str">
        <f>IFERROR(__xludf.DUMMYFUNCTION("""COMPUTED_VALUE"""),"Aprill (SU)")</f>
        <v>Aprill (SU)</v>
      </c>
      <c r="I581" s="13" t="str">
        <f>IFERROR(__xludf.DUMMYFUNCTION("""COMPUTED_VALUE"""),"SELESAI (VIA PERMOHONAN)")</f>
        <v>SELESAI (VIA PERMOHONAN)</v>
      </c>
      <c r="J581" s="17">
        <f>IFERROR(__xludf.DUMMYFUNCTION("""COMPUTED_VALUE"""),45664.3614353125)</f>
        <v>45664.36144</v>
      </c>
      <c r="K581" s="13" t="str">
        <f>IFERROR(__xludf.DUMMYFUNCTION("""COMPUTED_VALUE"""),"Selesai")</f>
        <v>Selesai</v>
      </c>
      <c r="L581" s="17">
        <f>IFERROR(__xludf.DUMMYFUNCTION("""COMPUTED_VALUE"""),45664.3614353125)</f>
        <v>45664.36144</v>
      </c>
      <c r="M581" s="17">
        <f>IFERROR(__xludf.DUMMYFUNCTION("""COMPUTED_VALUE"""),45664.3614353125)</f>
        <v>45664.36144</v>
      </c>
      <c r="N581" s="13" t="str">
        <f>IFERROR(__xludf.DUMMYFUNCTION("""COMPUTED_VALUE"""),"")</f>
        <v/>
      </c>
      <c r="O581" s="13" t="str">
        <f t="shared" si="1"/>
        <v/>
      </c>
    </row>
    <row r="582" ht="22.5" customHeight="1">
      <c r="B582" s="13">
        <f>IFERROR(__xludf.DUMMYFUNCTION("""COMPUTED_VALUE"""),577.0)</f>
        <v>577</v>
      </c>
      <c r="C582" s="13" t="str">
        <f>IFERROR(__xludf.DUMMYFUNCTION("""COMPUTED_VALUE"""),"M. 1942/ Sukabumi Indah")</f>
        <v>M. 1942/ Sukabumi Indah</v>
      </c>
      <c r="D582" s="13" t="str">
        <f>IFERROR(__xludf.DUMMYFUNCTION("""COMPUTED_VALUE"""),"K/20/121224/1")</f>
        <v>K/20/121224/1</v>
      </c>
      <c r="E582" s="14" t="str">
        <f>IFERROR(__xludf.DUMMYFUNCTION("""COMPUTED_VALUE"""),"Afriza (BT)")</f>
        <v>Afriza (BT)</v>
      </c>
      <c r="F582" s="14" t="str">
        <f>IFERROR(__xludf.DUMMYFUNCTION("""COMPUTED_VALUE"""),"SELESAI (VIA PERMOHONAN)")</f>
        <v>SELESAI (VIA PERMOHONAN)</v>
      </c>
      <c r="G582" s="17">
        <f>IFERROR(__xludf.DUMMYFUNCTION("""COMPUTED_VALUE"""),45649.43676146991)</f>
        <v>45649.43676</v>
      </c>
      <c r="H582" s="14" t="str">
        <f>IFERROR(__xludf.DUMMYFUNCTION("""COMPUTED_VALUE"""),"Aprill (SU)")</f>
        <v>Aprill (SU)</v>
      </c>
      <c r="I582" s="13" t="str">
        <f>IFERROR(__xludf.DUMMYFUNCTION("""COMPUTED_VALUE"""),"SELESAI (VIA PERMOHONAN)")</f>
        <v>SELESAI (VIA PERMOHONAN)</v>
      </c>
      <c r="J582" s="17">
        <f>IFERROR(__xludf.DUMMYFUNCTION("""COMPUTED_VALUE"""),45664.3614353125)</f>
        <v>45664.36144</v>
      </c>
      <c r="K582" s="13" t="str">
        <f>IFERROR(__xludf.DUMMYFUNCTION("""COMPUTED_VALUE"""),"Selesai")</f>
        <v>Selesai</v>
      </c>
      <c r="L582" s="17">
        <f>IFERROR(__xludf.DUMMYFUNCTION("""COMPUTED_VALUE"""),45664.3614353125)</f>
        <v>45664.36144</v>
      </c>
      <c r="M582" s="17">
        <f>IFERROR(__xludf.DUMMYFUNCTION("""COMPUTED_VALUE"""),45664.3614353125)</f>
        <v>45664.36144</v>
      </c>
      <c r="N582" s="13" t="str">
        <f>IFERROR(__xludf.DUMMYFUNCTION("""COMPUTED_VALUE"""),"")</f>
        <v/>
      </c>
      <c r="O582" s="13" t="str">
        <f t="shared" si="1"/>
        <v/>
      </c>
    </row>
    <row r="583" ht="22.5" customHeight="1">
      <c r="B583" s="13">
        <f>IFERROR(__xludf.DUMMYFUNCTION("""COMPUTED_VALUE"""),578.0)</f>
        <v>578</v>
      </c>
      <c r="C583" s="13" t="str">
        <f>IFERROR(__xludf.DUMMYFUNCTION("""COMPUTED_VALUE"""),"M. 663/ Tanjung Gading")</f>
        <v>M. 663/ Tanjung Gading</v>
      </c>
      <c r="D583" s="13" t="str">
        <f>IFERROR(__xludf.DUMMYFUNCTION("""COMPUTED_VALUE"""),"K/28/191224/2")</f>
        <v>K/28/191224/2</v>
      </c>
      <c r="E583" s="14" t="str">
        <f>IFERROR(__xludf.DUMMYFUNCTION("""COMPUTED_VALUE"""),"Afriza (BT)")</f>
        <v>Afriza (BT)</v>
      </c>
      <c r="F583" s="14" t="str">
        <f>IFERROR(__xludf.DUMMYFUNCTION("""COMPUTED_VALUE"""),"SELESAI (VIA PERMOHONAN)")</f>
        <v>SELESAI (VIA PERMOHONAN)</v>
      </c>
      <c r="G583" s="17">
        <f>IFERROR(__xludf.DUMMYFUNCTION("""COMPUTED_VALUE"""),45649.45081681713)</f>
        <v>45649.45082</v>
      </c>
      <c r="H583" s="14" t="str">
        <f>IFERROR(__xludf.DUMMYFUNCTION("""COMPUTED_VALUE"""),"Aprill (SU)")</f>
        <v>Aprill (SU)</v>
      </c>
      <c r="I583" s="13" t="str">
        <f>IFERROR(__xludf.DUMMYFUNCTION("""COMPUTED_VALUE"""),"SELESAI (VIA PERMOHONAN)")</f>
        <v>SELESAI (VIA PERMOHONAN)</v>
      </c>
      <c r="J583" s="17">
        <f>IFERROR(__xludf.DUMMYFUNCTION("""COMPUTED_VALUE"""),45664.3614353125)</f>
        <v>45664.36144</v>
      </c>
      <c r="K583" s="13" t="str">
        <f>IFERROR(__xludf.DUMMYFUNCTION("""COMPUTED_VALUE"""),"Selesai")</f>
        <v>Selesai</v>
      </c>
      <c r="L583" s="17">
        <f>IFERROR(__xludf.DUMMYFUNCTION("""COMPUTED_VALUE"""),45664.3614353125)</f>
        <v>45664.36144</v>
      </c>
      <c r="M583" s="17">
        <f>IFERROR(__xludf.DUMMYFUNCTION("""COMPUTED_VALUE"""),45664.3614353125)</f>
        <v>45664.36144</v>
      </c>
      <c r="N583" s="13" t="str">
        <f>IFERROR(__xludf.DUMMYFUNCTION("""COMPUTED_VALUE"""),"")</f>
        <v/>
      </c>
      <c r="O583" s="13" t="str">
        <f t="shared" si="1"/>
        <v/>
      </c>
    </row>
    <row r="584" ht="22.5" customHeight="1">
      <c r="B584" s="13">
        <f>IFERROR(__xludf.DUMMYFUNCTION("""COMPUTED_VALUE"""),579.0)</f>
        <v>579</v>
      </c>
      <c r="C584" s="13" t="str">
        <f>IFERROR(__xludf.DUMMYFUNCTION("""COMPUTED_VALUE"""),"M. 1345/ Way Halim Permai")</f>
        <v>M. 1345/ Way Halim Permai</v>
      </c>
      <c r="D584" s="13" t="str">
        <f>IFERROR(__xludf.DUMMYFUNCTION("""COMPUTED_VALUE"""),"K/13/121224/1")</f>
        <v>K/13/121224/1</v>
      </c>
      <c r="E584" s="14" t="str">
        <f>IFERROR(__xludf.DUMMYFUNCTION("""COMPUTED_VALUE"""),"Afriza (BT)")</f>
        <v>Afriza (BT)</v>
      </c>
      <c r="F584" s="14" t="str">
        <f>IFERROR(__xludf.DUMMYFUNCTION("""COMPUTED_VALUE"""),"SELESAI (VIA PERMOHONAN)")</f>
        <v>SELESAI (VIA PERMOHONAN)</v>
      </c>
      <c r="G584" s="17">
        <f>IFERROR(__xludf.DUMMYFUNCTION("""COMPUTED_VALUE"""),45649.45940078703)</f>
        <v>45649.4594</v>
      </c>
      <c r="H584" s="14" t="str">
        <f>IFERROR(__xludf.DUMMYFUNCTION("""COMPUTED_VALUE"""),"Aprill (SU)")</f>
        <v>Aprill (SU)</v>
      </c>
      <c r="I584" s="13" t="str">
        <f>IFERROR(__xludf.DUMMYFUNCTION("""COMPUTED_VALUE"""),"SELESAI (VIA PERMOHONAN)")</f>
        <v>SELESAI (VIA PERMOHONAN)</v>
      </c>
      <c r="J584" s="17">
        <f>IFERROR(__xludf.DUMMYFUNCTION("""COMPUTED_VALUE"""),45649.45945912037)</f>
        <v>45649.45946</v>
      </c>
      <c r="K584" s="13" t="str">
        <f>IFERROR(__xludf.DUMMYFUNCTION("""COMPUTED_VALUE"""),"Selesai")</f>
        <v>Selesai</v>
      </c>
      <c r="L584" s="17">
        <f>IFERROR(__xludf.DUMMYFUNCTION("""COMPUTED_VALUE"""),45649.45945912037)</f>
        <v>45649.45946</v>
      </c>
      <c r="M584" s="17">
        <f>IFERROR(__xludf.DUMMYFUNCTION("""COMPUTED_VALUE"""),45649.45949940972)</f>
        <v>45649.4595</v>
      </c>
      <c r="N584" s="13" t="str">
        <f>IFERROR(__xludf.DUMMYFUNCTION("""COMPUTED_VALUE"""),"")</f>
        <v/>
      </c>
      <c r="O584" s="13" t="str">
        <f t="shared" si="1"/>
        <v/>
      </c>
    </row>
    <row r="585" ht="22.5" customHeight="1">
      <c r="B585" s="13">
        <f>IFERROR(__xludf.DUMMYFUNCTION("""COMPUTED_VALUE"""),580.0)</f>
        <v>580</v>
      </c>
      <c r="C585" s="13" t="str">
        <f>IFERROR(__xludf.DUMMYFUNCTION("""COMPUTED_VALUE"""),"M. 2616/ Sumber Agung")</f>
        <v>M. 2616/ Sumber Agung</v>
      </c>
      <c r="D585" s="13" t="str">
        <f>IFERROR(__xludf.DUMMYFUNCTION("""COMPUTED_VALUE"""),"K/38/191224/5")</f>
        <v>K/38/191224/5</v>
      </c>
      <c r="E585" s="14" t="str">
        <f>IFERROR(__xludf.DUMMYFUNCTION("""COMPUTED_VALUE"""),"Afriza (BT)")</f>
        <v>Afriza (BT)</v>
      </c>
      <c r="F585" s="14" t="str">
        <f>IFERROR(__xludf.DUMMYFUNCTION("""COMPUTED_VALUE"""),"SELESAI (VIA PERMOHONAN)")</f>
        <v>SELESAI (VIA PERMOHONAN)</v>
      </c>
      <c r="G585" s="17">
        <f>IFERROR(__xludf.DUMMYFUNCTION("""COMPUTED_VALUE"""),45649.46528539352)</f>
        <v>45649.46529</v>
      </c>
      <c r="H585" s="14" t="str">
        <f>IFERROR(__xludf.DUMMYFUNCTION("""COMPUTED_VALUE"""),"Aprill (SU)")</f>
        <v>Aprill (SU)</v>
      </c>
      <c r="I585" s="13" t="str">
        <f>IFERROR(__xludf.DUMMYFUNCTION("""COMPUTED_VALUE"""),"SELESAI (VIA PERMOHONAN)")</f>
        <v>SELESAI (VIA PERMOHONAN)</v>
      </c>
      <c r="J585" s="17">
        <f>IFERROR(__xludf.DUMMYFUNCTION("""COMPUTED_VALUE"""),45649.46535694445)</f>
        <v>45649.46536</v>
      </c>
      <c r="K585" s="13" t="str">
        <f>IFERROR(__xludf.DUMMYFUNCTION("""COMPUTED_VALUE"""),"Selesai")</f>
        <v>Selesai</v>
      </c>
      <c r="L585" s="17">
        <f>IFERROR(__xludf.DUMMYFUNCTION("""COMPUTED_VALUE"""),45649.46535694445)</f>
        <v>45649.46536</v>
      </c>
      <c r="M585" s="17">
        <f>IFERROR(__xludf.DUMMYFUNCTION("""COMPUTED_VALUE"""),45649.46537034722)</f>
        <v>45649.46537</v>
      </c>
      <c r="N585" s="17">
        <f>IFERROR(__xludf.DUMMYFUNCTION("""COMPUTED_VALUE"""),45653.58823728009)</f>
        <v>45653.58824</v>
      </c>
      <c r="O585" s="13">
        <f t="shared" si="1"/>
        <v>1</v>
      </c>
    </row>
    <row r="586" ht="22.5" customHeight="1">
      <c r="B586" s="13">
        <f>IFERROR(__xludf.DUMMYFUNCTION("""COMPUTED_VALUE"""),581.0)</f>
        <v>581</v>
      </c>
      <c r="C586" s="13" t="str">
        <f>IFERROR(__xludf.DUMMYFUNCTION("""COMPUTED_VALUE"""),"M.11875/SEGALA MIDER")</f>
        <v>M.11875/SEGALA MIDER</v>
      </c>
      <c r="D586" s="13" t="str">
        <f>IFERROR(__xludf.DUMMYFUNCTION("""COMPUTED_VALUE"""),"K/46/191224/1")</f>
        <v>K/46/191224/1</v>
      </c>
      <c r="E586" s="14" t="str">
        <f>IFERROR(__xludf.DUMMYFUNCTION("""COMPUTED_VALUE"""),"Afriza (BT)")</f>
        <v>Afriza (BT)</v>
      </c>
      <c r="F586" s="14" t="str">
        <f>IFERROR(__xludf.DUMMYFUNCTION("""COMPUTED_VALUE"""),"SELESAI (VIA PERMOHONAN)")</f>
        <v>SELESAI (VIA PERMOHONAN)</v>
      </c>
      <c r="G586" s="17">
        <f>IFERROR(__xludf.DUMMYFUNCTION("""COMPUTED_VALUE"""),45649.47581703703)</f>
        <v>45649.47582</v>
      </c>
      <c r="H586" s="14" t="str">
        <f>IFERROR(__xludf.DUMMYFUNCTION("""COMPUTED_VALUE"""),"Aprill (SU)")</f>
        <v>Aprill (SU)</v>
      </c>
      <c r="I586" s="13" t="str">
        <f>IFERROR(__xludf.DUMMYFUNCTION("""COMPUTED_VALUE"""),"SELESAI (VIA PERMOHONAN)")</f>
        <v>SELESAI (VIA PERMOHONAN)</v>
      </c>
      <c r="J586" s="17">
        <f>IFERROR(__xludf.DUMMYFUNCTION("""COMPUTED_VALUE"""),45664.36143532407)</f>
        <v>45664.36144</v>
      </c>
      <c r="K586" s="13" t="str">
        <f>IFERROR(__xludf.DUMMYFUNCTION("""COMPUTED_VALUE"""),"Selesai")</f>
        <v>Selesai</v>
      </c>
      <c r="L586" s="17">
        <f>IFERROR(__xludf.DUMMYFUNCTION("""COMPUTED_VALUE"""),45664.36143532407)</f>
        <v>45664.36144</v>
      </c>
      <c r="M586" s="17">
        <f>IFERROR(__xludf.DUMMYFUNCTION("""COMPUTED_VALUE"""),45664.36143532407)</f>
        <v>45664.36144</v>
      </c>
      <c r="N586" s="13" t="str">
        <f>IFERROR(__xludf.DUMMYFUNCTION("""COMPUTED_VALUE"""),"")</f>
        <v/>
      </c>
      <c r="O586" s="13" t="str">
        <f t="shared" si="1"/>
        <v/>
      </c>
    </row>
    <row r="587" ht="22.5" customHeight="1">
      <c r="B587" s="13">
        <f>IFERROR(__xludf.DUMMYFUNCTION("""COMPUTED_VALUE"""),582.0)</f>
        <v>582</v>
      </c>
      <c r="C587" s="13" t="str">
        <f>IFERROR(__xludf.DUMMYFUNCTION("""COMPUTED_VALUE"""),"M.2129/GEDONG AIR")</f>
        <v>M.2129/GEDONG AIR</v>
      </c>
      <c r="D587" s="13" t="str">
        <f>IFERROR(__xludf.DUMMYFUNCTION("""COMPUTED_VALUE"""),"K/48/191224/3")</f>
        <v>K/48/191224/3</v>
      </c>
      <c r="E587" s="14" t="str">
        <f>IFERROR(__xludf.DUMMYFUNCTION("""COMPUTED_VALUE"""),"Afriza (BT)")</f>
        <v>Afriza (BT)</v>
      </c>
      <c r="F587" s="14" t="str">
        <f>IFERROR(__xludf.DUMMYFUNCTION("""COMPUTED_VALUE"""),"SELESAI (VIA PERMOHONAN)")</f>
        <v>SELESAI (VIA PERMOHONAN)</v>
      </c>
      <c r="G587" s="17">
        <f>IFERROR(__xludf.DUMMYFUNCTION("""COMPUTED_VALUE"""),45649.479017210644)</f>
        <v>45649.47902</v>
      </c>
      <c r="H587" s="14" t="str">
        <f>IFERROR(__xludf.DUMMYFUNCTION("""COMPUTED_VALUE"""),"Aprill (SU)")</f>
        <v>Aprill (SU)</v>
      </c>
      <c r="I587" s="13" t="str">
        <f>IFERROR(__xludf.DUMMYFUNCTION("""COMPUTED_VALUE"""),"SELESAI (VIA PERMOHONAN)")</f>
        <v>SELESAI (VIA PERMOHONAN)</v>
      </c>
      <c r="J587" s="17">
        <f>IFERROR(__xludf.DUMMYFUNCTION("""COMPUTED_VALUE"""),45664.36143532407)</f>
        <v>45664.36144</v>
      </c>
      <c r="K587" s="13" t="str">
        <f>IFERROR(__xludf.DUMMYFUNCTION("""COMPUTED_VALUE"""),"Selesai")</f>
        <v>Selesai</v>
      </c>
      <c r="L587" s="17">
        <f>IFERROR(__xludf.DUMMYFUNCTION("""COMPUTED_VALUE"""),45664.36143532407)</f>
        <v>45664.36144</v>
      </c>
      <c r="M587" s="17">
        <f>IFERROR(__xludf.DUMMYFUNCTION("""COMPUTED_VALUE"""),45664.36143532407)</f>
        <v>45664.36144</v>
      </c>
      <c r="N587" s="17">
        <f>IFERROR(__xludf.DUMMYFUNCTION("""COMPUTED_VALUE"""),45653.58693009259)</f>
        <v>45653.58693</v>
      </c>
      <c r="O587" s="13">
        <f t="shared" si="1"/>
        <v>1</v>
      </c>
    </row>
    <row r="588" ht="22.5" customHeight="1">
      <c r="B588" s="13">
        <f>IFERROR(__xludf.DUMMYFUNCTION("""COMPUTED_VALUE"""),583.0)</f>
        <v>583</v>
      </c>
      <c r="C588" s="13" t="str">
        <f>IFERROR(__xludf.DUMMYFUNCTION("""COMPUTED_VALUE"""),"M. 1416/ Sukamaju")</f>
        <v>M. 1416/ Sukamaju</v>
      </c>
      <c r="D588" s="13" t="str">
        <f>IFERROR(__xludf.DUMMYFUNCTION("""COMPUTED_VALUE"""),"K/35/191224/1")</f>
        <v>K/35/191224/1</v>
      </c>
      <c r="E588" s="14" t="str">
        <f>IFERROR(__xludf.DUMMYFUNCTION("""COMPUTED_VALUE"""),"Afriza (BT)")</f>
        <v>Afriza (BT)</v>
      </c>
      <c r="F588" s="14" t="str">
        <f>IFERROR(__xludf.DUMMYFUNCTION("""COMPUTED_VALUE"""),"SELESAI (VIA PERMOHONAN)")</f>
        <v>SELESAI (VIA PERMOHONAN)</v>
      </c>
      <c r="G588" s="17">
        <f>IFERROR(__xludf.DUMMYFUNCTION("""COMPUTED_VALUE"""),45649.48951831018)</f>
        <v>45649.48952</v>
      </c>
      <c r="H588" s="14" t="str">
        <f>IFERROR(__xludf.DUMMYFUNCTION("""COMPUTED_VALUE"""),"Aprill (SU)")</f>
        <v>Aprill (SU)</v>
      </c>
      <c r="I588" s="13" t="str">
        <f>IFERROR(__xludf.DUMMYFUNCTION("""COMPUTED_VALUE"""),"SELESAI (VIA PERMOHONAN)")</f>
        <v>SELESAI (VIA PERMOHONAN)</v>
      </c>
      <c r="J588" s="17">
        <f>IFERROR(__xludf.DUMMYFUNCTION("""COMPUTED_VALUE"""),45649.48956835648)</f>
        <v>45649.48957</v>
      </c>
      <c r="K588" s="13" t="str">
        <f>IFERROR(__xludf.DUMMYFUNCTION("""COMPUTED_VALUE"""),"Selesai")</f>
        <v>Selesai</v>
      </c>
      <c r="L588" s="17">
        <f>IFERROR(__xludf.DUMMYFUNCTION("""COMPUTED_VALUE"""),45649.48956835648)</f>
        <v>45649.48957</v>
      </c>
      <c r="M588" s="17">
        <f>IFERROR(__xludf.DUMMYFUNCTION("""COMPUTED_VALUE"""),45649.48957721065)</f>
        <v>45649.48958</v>
      </c>
      <c r="N588" s="13" t="str">
        <f>IFERROR(__xludf.DUMMYFUNCTION("""COMPUTED_VALUE"""),"")</f>
        <v/>
      </c>
      <c r="O588" s="13" t="str">
        <f t="shared" si="1"/>
        <v/>
      </c>
    </row>
    <row r="589" ht="22.5" customHeight="1">
      <c r="B589" s="13">
        <f>IFERROR(__xludf.DUMMYFUNCTION("""COMPUTED_VALUE"""),584.0)</f>
        <v>584</v>
      </c>
      <c r="C589" s="13" t="str">
        <f>IFERROR(__xludf.DUMMYFUNCTION("""COMPUTED_VALUE"""),"HM 466/GUNUNG MAS")</f>
        <v>HM 466/GUNUNG MAS</v>
      </c>
      <c r="D589" s="13" t="str">
        <f>IFERROR(__xludf.DUMMYFUNCTION("""COMPUTED_VALUE"""),"L/29/131224/1")</f>
        <v>L/29/131224/1</v>
      </c>
      <c r="E589" s="14" t="str">
        <f>IFERROR(__xludf.DUMMYFUNCTION("""COMPUTED_VALUE"""),"Nadian (BT)")</f>
        <v>Nadian (BT)</v>
      </c>
      <c r="F589" s="14" t="str">
        <f>IFERROR(__xludf.DUMMYFUNCTION("""COMPUTED_VALUE"""),"SELESAI (VIA PERMOHONAN)")</f>
        <v>SELESAI (VIA PERMOHONAN)</v>
      </c>
      <c r="G589" s="17">
        <f>IFERROR(__xludf.DUMMYFUNCTION("""COMPUTED_VALUE"""),45649.56233444445)</f>
        <v>45649.56233</v>
      </c>
      <c r="H589" s="14" t="str">
        <f>IFERROR(__xludf.DUMMYFUNCTION("""COMPUTED_VALUE"""),"Aprill (SU)")</f>
        <v>Aprill (SU)</v>
      </c>
      <c r="I589" s="13" t="str">
        <f>IFERROR(__xludf.DUMMYFUNCTION("""COMPUTED_VALUE"""),"SELESAI (VIA PERMOHONAN)")</f>
        <v>SELESAI (VIA PERMOHONAN)</v>
      </c>
      <c r="J589" s="17">
        <f>IFERROR(__xludf.DUMMYFUNCTION("""COMPUTED_VALUE"""),45664.36143532407)</f>
        <v>45664.36144</v>
      </c>
      <c r="K589" s="13" t="str">
        <f>IFERROR(__xludf.DUMMYFUNCTION("""COMPUTED_VALUE"""),"Selesai")</f>
        <v>Selesai</v>
      </c>
      <c r="L589" s="17">
        <f>IFERROR(__xludf.DUMMYFUNCTION("""COMPUTED_VALUE"""),45664.36143532407)</f>
        <v>45664.36144</v>
      </c>
      <c r="M589" s="17">
        <f>IFERROR(__xludf.DUMMYFUNCTION("""COMPUTED_VALUE"""),45664.36143532407)</f>
        <v>45664.36144</v>
      </c>
      <c r="N589" s="13" t="str">
        <f>IFERROR(__xludf.DUMMYFUNCTION("""COMPUTED_VALUE"""),"")</f>
        <v/>
      </c>
      <c r="O589" s="13" t="str">
        <f t="shared" si="1"/>
        <v/>
      </c>
    </row>
    <row r="590" ht="22.5" customHeight="1">
      <c r="B590" s="13">
        <f>IFERROR(__xludf.DUMMYFUNCTION("""COMPUTED_VALUE"""),585.0)</f>
        <v>585</v>
      </c>
      <c r="C590" s="13" t="str">
        <f>IFERROR(__xludf.DUMMYFUNCTION("""COMPUTED_VALUE"""),"M. 3605/ Rajabasa Jaya")</f>
        <v>M. 3605/ Rajabasa Jaya</v>
      </c>
      <c r="D590" s="13" t="str">
        <f>IFERROR(__xludf.DUMMYFUNCTION("""COMPUTED_VALUE"""),"K/11/161224/2")</f>
        <v>K/11/161224/2</v>
      </c>
      <c r="E590" s="14" t="str">
        <f>IFERROR(__xludf.DUMMYFUNCTION("""COMPUTED_VALUE"""),"Nadian (BT)")</f>
        <v>Nadian (BT)</v>
      </c>
      <c r="F590" s="14" t="str">
        <f>IFERROR(__xludf.DUMMYFUNCTION("""COMPUTED_VALUE"""),"SELESAI (VIA PERMOHONAN)")</f>
        <v>SELESAI (VIA PERMOHONAN)</v>
      </c>
      <c r="G590" s="17">
        <f>IFERROR(__xludf.DUMMYFUNCTION("""COMPUTED_VALUE"""),45649.56233444445)</f>
        <v>45649.56233</v>
      </c>
      <c r="H590" s="14" t="str">
        <f>IFERROR(__xludf.DUMMYFUNCTION("""COMPUTED_VALUE"""),"Aprill (SU)")</f>
        <v>Aprill (SU)</v>
      </c>
      <c r="I590" s="13" t="str">
        <f>IFERROR(__xludf.DUMMYFUNCTION("""COMPUTED_VALUE"""),"SELESAI (VIA PERMOHONAN)")</f>
        <v>SELESAI (VIA PERMOHONAN)</v>
      </c>
      <c r="J590" s="17">
        <f>IFERROR(__xludf.DUMMYFUNCTION("""COMPUTED_VALUE"""),45664.36143532407)</f>
        <v>45664.36144</v>
      </c>
      <c r="K590" s="13" t="str">
        <f>IFERROR(__xludf.DUMMYFUNCTION("""COMPUTED_VALUE"""),"Selesai")</f>
        <v>Selesai</v>
      </c>
      <c r="L590" s="17">
        <f>IFERROR(__xludf.DUMMYFUNCTION("""COMPUTED_VALUE"""),45664.36143532407)</f>
        <v>45664.36144</v>
      </c>
      <c r="M590" s="17">
        <f>IFERROR(__xludf.DUMMYFUNCTION("""COMPUTED_VALUE"""),45664.36143532407)</f>
        <v>45664.36144</v>
      </c>
      <c r="N590" s="13" t="str">
        <f>IFERROR(__xludf.DUMMYFUNCTION("""COMPUTED_VALUE"""),"")</f>
        <v/>
      </c>
      <c r="O590" s="13" t="str">
        <f t="shared" si="1"/>
        <v/>
      </c>
    </row>
    <row r="591" ht="22.5" customHeight="1">
      <c r="B591" s="13">
        <f>IFERROR(__xludf.DUMMYFUNCTION("""COMPUTED_VALUE"""),586.0)</f>
        <v>586</v>
      </c>
      <c r="C591" s="13" t="str">
        <f>IFERROR(__xludf.DUMMYFUNCTION("""COMPUTED_VALUE"""),"M. 435/ Enggal")</f>
        <v>M. 435/ Enggal</v>
      </c>
      <c r="D591" s="13" t="str">
        <f>IFERROR(__xludf.DUMMYFUNCTION("""COMPUTED_VALUE"""),"K/9/161224/1")</f>
        <v>K/9/161224/1</v>
      </c>
      <c r="E591" s="14" t="str">
        <f>IFERROR(__xludf.DUMMYFUNCTION("""COMPUTED_VALUE"""),"Nadian (BT)")</f>
        <v>Nadian (BT)</v>
      </c>
      <c r="F591" s="14" t="str">
        <f>IFERROR(__xludf.DUMMYFUNCTION("""COMPUTED_VALUE"""),"SELESAI")</f>
        <v>SELESAI</v>
      </c>
      <c r="G591" s="17">
        <f>IFERROR(__xludf.DUMMYFUNCTION("""COMPUTED_VALUE"""),45649.5624703125)</f>
        <v>45649.56247</v>
      </c>
      <c r="H591" s="14" t="str">
        <f>IFERROR(__xludf.DUMMYFUNCTION("""COMPUTED_VALUE"""),"Bu Eva (SU)")</f>
        <v>Bu Eva (SU)</v>
      </c>
      <c r="I591" s="13" t="str">
        <f>IFERROR(__xludf.DUMMYFUNCTION("""COMPUTED_VALUE"""),"SELESAI")</f>
        <v>SELESAI</v>
      </c>
      <c r="J591" s="17">
        <f>IFERROR(__xludf.DUMMYFUNCTION("""COMPUTED_VALUE"""),45653.600090486114)</f>
        <v>45653.60009</v>
      </c>
      <c r="K591" s="13" t="str">
        <f>IFERROR(__xludf.DUMMYFUNCTION("""COMPUTED_VALUE"""),"SELESAI")</f>
        <v>SELESAI</v>
      </c>
      <c r="L591" s="17">
        <f>IFERROR(__xludf.DUMMYFUNCTION("""COMPUTED_VALUE"""),45653.600090486114)</f>
        <v>45653.60009</v>
      </c>
      <c r="M591" s="17" t="str">
        <f>IFERROR(__xludf.DUMMYFUNCTION("""COMPUTED_VALUE"""),"")</f>
        <v/>
      </c>
      <c r="N591" s="17">
        <f>IFERROR(__xludf.DUMMYFUNCTION("""COMPUTED_VALUE"""),45653.60011716435)</f>
        <v>45653.60012</v>
      </c>
      <c r="O591" s="13">
        <f t="shared" si="1"/>
        <v>1</v>
      </c>
    </row>
    <row r="592" ht="22.5" customHeight="1">
      <c r="B592" s="13">
        <f>IFERROR(__xludf.DUMMYFUNCTION("""COMPUTED_VALUE"""),587.0)</f>
        <v>587</v>
      </c>
      <c r="C592" s="13" t="str">
        <f>IFERROR(__xludf.DUMMYFUNCTION("""COMPUTED_VALUE"""),"M. 2655/ Gunung Terang")</f>
        <v>M. 2655/ Gunung Terang</v>
      </c>
      <c r="D592" s="13" t="str">
        <f>IFERROR(__xludf.DUMMYFUNCTION("""COMPUTED_VALUE"""),"K/25/161224/1")</f>
        <v>K/25/161224/1</v>
      </c>
      <c r="E592" s="14" t="str">
        <f>IFERROR(__xludf.DUMMYFUNCTION("""COMPUTED_VALUE"""),"Afriza (BT)")</f>
        <v>Afriza (BT)</v>
      </c>
      <c r="F592" s="14" t="str">
        <f>IFERROR(__xludf.DUMMYFUNCTION("""COMPUTED_VALUE"""),"SELESAI (VIA PERMOHONAN)")</f>
        <v>SELESAI (VIA PERMOHONAN)</v>
      </c>
      <c r="G592" s="17">
        <f>IFERROR(__xludf.DUMMYFUNCTION("""COMPUTED_VALUE"""),45649.580365312504)</f>
        <v>45649.58037</v>
      </c>
      <c r="H592" s="14" t="str">
        <f>IFERROR(__xludf.DUMMYFUNCTION("""COMPUTED_VALUE"""),"Aprill (SU)")</f>
        <v>Aprill (SU)</v>
      </c>
      <c r="I592" s="13" t="str">
        <f>IFERROR(__xludf.DUMMYFUNCTION("""COMPUTED_VALUE"""),"SELESAI (VIA PERMOHONAN)")</f>
        <v>SELESAI (VIA PERMOHONAN)</v>
      </c>
      <c r="J592" s="17">
        <f>IFERROR(__xludf.DUMMYFUNCTION("""COMPUTED_VALUE"""),45649.58044534722)</f>
        <v>45649.58045</v>
      </c>
      <c r="K592" s="13" t="str">
        <f>IFERROR(__xludf.DUMMYFUNCTION("""COMPUTED_VALUE"""),"Selesai")</f>
        <v>Selesai</v>
      </c>
      <c r="L592" s="17">
        <f>IFERROR(__xludf.DUMMYFUNCTION("""COMPUTED_VALUE"""),45649.58044534722)</f>
        <v>45649.58045</v>
      </c>
      <c r="M592" s="17">
        <f>IFERROR(__xludf.DUMMYFUNCTION("""COMPUTED_VALUE"""),45649.58045412037)</f>
        <v>45649.58045</v>
      </c>
      <c r="N592" s="13" t="str">
        <f>IFERROR(__xludf.DUMMYFUNCTION("""COMPUTED_VALUE"""),"")</f>
        <v/>
      </c>
      <c r="O592" s="13" t="str">
        <f t="shared" si="1"/>
        <v/>
      </c>
    </row>
    <row r="593" ht="22.5" customHeight="1">
      <c r="B593" s="13">
        <f>IFERROR(__xludf.DUMMYFUNCTION("""COMPUTED_VALUE"""),588.0)</f>
        <v>588</v>
      </c>
      <c r="C593" s="13" t="str">
        <f>IFERROR(__xludf.DUMMYFUNCTION("""COMPUTED_VALUE"""),"B.1369/KEMILING PERMAI")</f>
        <v>B.1369/KEMILING PERMAI</v>
      </c>
      <c r="D593" s="13" t="str">
        <f>IFERROR(__xludf.DUMMYFUNCTION("""COMPUTED_VALUE"""),"K/27/181224/1")</f>
        <v>K/27/181224/1</v>
      </c>
      <c r="E593" s="14"/>
      <c r="F593" s="14"/>
      <c r="G593" s="17" t="str">
        <f>IFERROR(__xludf.DUMMYFUNCTION("""COMPUTED_VALUE"""),"")</f>
        <v/>
      </c>
      <c r="H593" s="14"/>
      <c r="I593" s="13"/>
      <c r="J593" s="17" t="str">
        <f>IFERROR(__xludf.DUMMYFUNCTION("""COMPUTED_VALUE"""),"")</f>
        <v/>
      </c>
      <c r="K593" s="13" t="str">
        <f>IFERROR(__xludf.DUMMYFUNCTION("""COMPUTED_VALUE"""),"BT atau SU Belum Valid")</f>
        <v>BT atau SU Belum Valid</v>
      </c>
      <c r="L593" s="13" t="str">
        <f>IFERROR(__xludf.DUMMYFUNCTION("""COMPUTED_VALUE"""),"")</f>
        <v/>
      </c>
      <c r="M593" s="17" t="str">
        <f>IFERROR(__xludf.DUMMYFUNCTION("""COMPUTED_VALUE"""),"")</f>
        <v/>
      </c>
      <c r="N593" s="13" t="str">
        <f>IFERROR(__xludf.DUMMYFUNCTION("""COMPUTED_VALUE"""),"")</f>
        <v/>
      </c>
      <c r="O593" s="13" t="str">
        <f t="shared" si="1"/>
        <v/>
      </c>
    </row>
    <row r="594" ht="22.5" customHeight="1">
      <c r="B594" s="13">
        <f>IFERROR(__xludf.DUMMYFUNCTION("""COMPUTED_VALUE"""),589.0)</f>
        <v>589</v>
      </c>
      <c r="C594" s="13" t="str">
        <f>IFERROR(__xludf.DUMMYFUNCTION("""COMPUTED_VALUE"""),"M.10776/SIDODADI-SEKARANG;M.9026/SIDODADI-DAHULU")</f>
        <v>M.10776/SIDODADI-SEKARANG;M.9026/SIDODADI-DAHULU</v>
      </c>
      <c r="D594" s="13" t="str">
        <f>IFERROR(__xludf.DUMMYFUNCTION("""COMPUTED_VALUE"""),"K/30/281124/1")</f>
        <v>K/30/281124/1</v>
      </c>
      <c r="E594" s="14"/>
      <c r="F594" s="14"/>
      <c r="G594" s="17" t="str">
        <f>IFERROR(__xludf.DUMMYFUNCTION("""COMPUTED_VALUE"""),"")</f>
        <v/>
      </c>
      <c r="H594" s="14"/>
      <c r="I594" s="13"/>
      <c r="J594" s="17" t="str">
        <f>IFERROR(__xludf.DUMMYFUNCTION("""COMPUTED_VALUE"""),"")</f>
        <v/>
      </c>
      <c r="K594" s="13" t="str">
        <f>IFERROR(__xludf.DUMMYFUNCTION("""COMPUTED_VALUE"""),"BT atau SU Belum Valid")</f>
        <v>BT atau SU Belum Valid</v>
      </c>
      <c r="L594" s="13" t="str">
        <f>IFERROR(__xludf.DUMMYFUNCTION("""COMPUTED_VALUE"""),"")</f>
        <v/>
      </c>
      <c r="M594" s="17" t="str">
        <f>IFERROR(__xludf.DUMMYFUNCTION("""COMPUTED_VALUE"""),"")</f>
        <v/>
      </c>
      <c r="N594" s="13" t="str">
        <f>IFERROR(__xludf.DUMMYFUNCTION("""COMPUTED_VALUE"""),"")</f>
        <v/>
      </c>
      <c r="O594" s="13" t="str">
        <f t="shared" si="1"/>
        <v/>
      </c>
    </row>
    <row r="595" ht="22.5" customHeight="1">
      <c r="B595" s="13">
        <f>IFERROR(__xludf.DUMMYFUNCTION("""COMPUTED_VALUE"""),590.0)</f>
        <v>590</v>
      </c>
      <c r="C595" s="13" t="str">
        <f>IFERROR(__xludf.DUMMYFUNCTION("""COMPUTED_VALUE"""),"M. 1025/ Bumi Kedamaian")</f>
        <v>M. 1025/ Bumi Kedamaian</v>
      </c>
      <c r="D595" s="13" t="str">
        <f>IFERROR(__xludf.DUMMYFUNCTION("""COMPUTED_VALUE"""),"K/49/191224/1")</f>
        <v>K/49/191224/1</v>
      </c>
      <c r="E595" s="14" t="str">
        <f>IFERROR(__xludf.DUMMYFUNCTION("""COMPUTED_VALUE"""),"Afriza (BT)")</f>
        <v>Afriza (BT)</v>
      </c>
      <c r="F595" s="14" t="str">
        <f>IFERROR(__xludf.DUMMYFUNCTION("""COMPUTED_VALUE"""),"SELESAI (VIA PERMOHONAN)")</f>
        <v>SELESAI (VIA PERMOHONAN)</v>
      </c>
      <c r="G595" s="17">
        <f>IFERROR(__xludf.DUMMYFUNCTION("""COMPUTED_VALUE"""),45649.7048282176)</f>
        <v>45649.70483</v>
      </c>
      <c r="H595" s="14" t="str">
        <f>IFERROR(__xludf.DUMMYFUNCTION("""COMPUTED_VALUE"""),"Aprill (SU)")</f>
        <v>Aprill (SU)</v>
      </c>
      <c r="I595" s="13" t="str">
        <f>IFERROR(__xludf.DUMMYFUNCTION("""COMPUTED_VALUE"""),"SELESAI (VIA PERMOHONAN)")</f>
        <v>SELESAI (VIA PERMOHONAN)</v>
      </c>
      <c r="J595" s="17">
        <f>IFERROR(__xludf.DUMMYFUNCTION("""COMPUTED_VALUE"""),45664.36208903935)</f>
        <v>45664.36209</v>
      </c>
      <c r="K595" s="13" t="str">
        <f>IFERROR(__xludf.DUMMYFUNCTION("""COMPUTED_VALUE"""),"Selesai")</f>
        <v>Selesai</v>
      </c>
      <c r="L595" s="17">
        <f>IFERROR(__xludf.DUMMYFUNCTION("""COMPUTED_VALUE"""),45664.36208903935)</f>
        <v>45664.36209</v>
      </c>
      <c r="M595" s="17">
        <f>IFERROR(__xludf.DUMMYFUNCTION("""COMPUTED_VALUE"""),45664.36216456018)</f>
        <v>45664.36216</v>
      </c>
      <c r="N595" s="17">
        <f>IFERROR(__xludf.DUMMYFUNCTION("""COMPUTED_VALUE"""),45653.587233287035)</f>
        <v>45653.58723</v>
      </c>
      <c r="O595" s="13">
        <f t="shared" si="1"/>
        <v>1</v>
      </c>
    </row>
    <row r="596" ht="22.5" customHeight="1">
      <c r="B596" s="13">
        <f>IFERROR(__xludf.DUMMYFUNCTION("""COMPUTED_VALUE"""),591.0)</f>
        <v>591</v>
      </c>
      <c r="C596" s="13" t="str">
        <f>IFERROR(__xludf.DUMMYFUNCTION("""COMPUTED_VALUE"""),"M. 1263/ Langkapura Baru")</f>
        <v>M. 1263/ Langkapura Baru</v>
      </c>
      <c r="D596" s="13" t="str">
        <f>IFERROR(__xludf.DUMMYFUNCTION("""COMPUTED_VALUE"""),"K/11/191224/1")</f>
        <v>K/11/191224/1</v>
      </c>
      <c r="E596" s="14" t="str">
        <f>IFERROR(__xludf.DUMMYFUNCTION("""COMPUTED_VALUE"""),"Afriza (BT)")</f>
        <v>Afriza (BT)</v>
      </c>
      <c r="F596" s="14" t="str">
        <f>IFERROR(__xludf.DUMMYFUNCTION("""COMPUTED_VALUE"""),"SELESAI (VIA PERMOHONAN)")</f>
        <v>SELESAI (VIA PERMOHONAN)</v>
      </c>
      <c r="G596" s="17">
        <f>IFERROR(__xludf.DUMMYFUNCTION("""COMPUTED_VALUE"""),45649.70595017361)</f>
        <v>45649.70595</v>
      </c>
      <c r="H596" s="14" t="str">
        <f>IFERROR(__xludf.DUMMYFUNCTION("""COMPUTED_VALUE"""),"Aprill (SU)")</f>
        <v>Aprill (SU)</v>
      </c>
      <c r="I596" s="13" t="str">
        <f>IFERROR(__xludf.DUMMYFUNCTION("""COMPUTED_VALUE"""),"SELESAI (VIA PERMOHONAN)")</f>
        <v>SELESAI (VIA PERMOHONAN)</v>
      </c>
      <c r="J596" s="17">
        <f>IFERROR(__xludf.DUMMYFUNCTION("""COMPUTED_VALUE"""),45664.36208905093)</f>
        <v>45664.36209</v>
      </c>
      <c r="K596" s="13" t="str">
        <f>IFERROR(__xludf.DUMMYFUNCTION("""COMPUTED_VALUE"""),"Selesai")</f>
        <v>Selesai</v>
      </c>
      <c r="L596" s="17">
        <f>IFERROR(__xludf.DUMMYFUNCTION("""COMPUTED_VALUE"""),45664.36208905093)</f>
        <v>45664.36209</v>
      </c>
      <c r="M596" s="17">
        <f>IFERROR(__xludf.DUMMYFUNCTION("""COMPUTED_VALUE"""),45664.36217060185)</f>
        <v>45664.36217</v>
      </c>
      <c r="N596" s="13" t="str">
        <f>IFERROR(__xludf.DUMMYFUNCTION("""COMPUTED_VALUE"""),"")</f>
        <v/>
      </c>
      <c r="O596" s="13" t="str">
        <f t="shared" si="1"/>
        <v/>
      </c>
    </row>
    <row r="597" ht="22.5" customHeight="1">
      <c r="B597" s="13">
        <f>IFERROR(__xludf.DUMMYFUNCTION("""COMPUTED_VALUE"""),592.0)</f>
        <v>592</v>
      </c>
      <c r="C597" s="13" t="str">
        <f>IFERROR(__xludf.DUMMYFUNCTION("""COMPUTED_VALUE"""),"HGB 175/SS")</f>
        <v>HGB 175/SS</v>
      </c>
      <c r="D597" s="13" t="str">
        <f>IFERROR(__xludf.DUMMYFUNCTION("""COMPUTED_VALUE"""),"L/17/111224/1")</f>
        <v>L/17/111224/1</v>
      </c>
      <c r="E597" s="14" t="str">
        <f>IFERROR(__xludf.DUMMYFUNCTION("""COMPUTED_VALUE"""),"Afriza (BT)")</f>
        <v>Afriza (BT)</v>
      </c>
      <c r="F597" s="14" t="str">
        <f>IFERROR(__xludf.DUMMYFUNCTION("""COMPUTED_VALUE"""),"SELESAI (VIA PERMOHONAN)")</f>
        <v>SELESAI (VIA PERMOHONAN)</v>
      </c>
      <c r="G597" s="17">
        <f>IFERROR(__xludf.DUMMYFUNCTION("""COMPUTED_VALUE"""),45649.71386695602)</f>
        <v>45649.71387</v>
      </c>
      <c r="H597" s="14" t="str">
        <f>IFERROR(__xludf.DUMMYFUNCTION("""COMPUTED_VALUE"""),"Aprill (SU)")</f>
        <v>Aprill (SU)</v>
      </c>
      <c r="I597" s="13" t="str">
        <f>IFERROR(__xludf.DUMMYFUNCTION("""COMPUTED_VALUE"""),"SELESAI (VIA PERMOHONAN)")</f>
        <v>SELESAI (VIA PERMOHONAN)</v>
      </c>
      <c r="J597" s="17">
        <f>IFERROR(__xludf.DUMMYFUNCTION("""COMPUTED_VALUE"""),45649.713896319445)</f>
        <v>45649.7139</v>
      </c>
      <c r="K597" s="13" t="str">
        <f>IFERROR(__xludf.DUMMYFUNCTION("""COMPUTED_VALUE"""),"Selesai")</f>
        <v>Selesai</v>
      </c>
      <c r="L597" s="17">
        <f>IFERROR(__xludf.DUMMYFUNCTION("""COMPUTED_VALUE"""),45649.713896319445)</f>
        <v>45649.7139</v>
      </c>
      <c r="M597" s="17">
        <f>IFERROR(__xludf.DUMMYFUNCTION("""COMPUTED_VALUE"""),45649.71392578704)</f>
        <v>45649.71393</v>
      </c>
      <c r="N597" s="13" t="str">
        <f>IFERROR(__xludf.DUMMYFUNCTION("""COMPUTED_VALUE"""),"")</f>
        <v/>
      </c>
      <c r="O597" s="13" t="str">
        <f t="shared" si="1"/>
        <v/>
      </c>
    </row>
    <row r="598" ht="22.5" customHeight="1">
      <c r="B598" s="13">
        <f>IFERROR(__xludf.DUMMYFUNCTION("""COMPUTED_VALUE"""),593.0)</f>
        <v>593</v>
      </c>
      <c r="C598" s="13" t="str">
        <f>IFERROR(__xludf.DUMMYFUNCTION("""COMPUTED_VALUE"""),"M. 6407/GUNUNG SULAH")</f>
        <v>M. 6407/GUNUNG SULAH</v>
      </c>
      <c r="D598" s="13" t="str">
        <f>IFERROR(__xludf.DUMMYFUNCTION("""COMPUTED_VALUE"""),"K/5/191224/1")</f>
        <v>K/5/191224/1</v>
      </c>
      <c r="E598" s="14" t="str">
        <f>IFERROR(__xludf.DUMMYFUNCTION("""COMPUTED_VALUE"""),"Afriza (BT)")</f>
        <v>Afriza (BT)</v>
      </c>
      <c r="F598" s="14" t="str">
        <f>IFERROR(__xludf.DUMMYFUNCTION("""COMPUTED_VALUE"""),"SELESAI")</f>
        <v>SELESAI</v>
      </c>
      <c r="G598" s="17">
        <f>IFERROR(__xludf.DUMMYFUNCTION("""COMPUTED_VALUE"""),45650.47757625)</f>
        <v>45650.47758</v>
      </c>
      <c r="H598" s="14" t="str">
        <f>IFERROR(__xludf.DUMMYFUNCTION("""COMPUTED_VALUE"""),"Bu Eva (SU)")</f>
        <v>Bu Eva (SU)</v>
      </c>
      <c r="I598" s="13" t="str">
        <f>IFERROR(__xludf.DUMMYFUNCTION("""COMPUTED_VALUE"""),"SELESAI")</f>
        <v>SELESAI</v>
      </c>
      <c r="J598" s="17">
        <f>IFERROR(__xludf.DUMMYFUNCTION("""COMPUTED_VALUE"""),45653.58199769676)</f>
        <v>45653.582</v>
      </c>
      <c r="K598" s="13" t="str">
        <f>IFERROR(__xludf.DUMMYFUNCTION("""COMPUTED_VALUE"""),"SELESAI")</f>
        <v>SELESAI</v>
      </c>
      <c r="L598" s="17">
        <f>IFERROR(__xludf.DUMMYFUNCTION("""COMPUTED_VALUE"""),45653.58199769676)</f>
        <v>45653.582</v>
      </c>
      <c r="M598" s="17" t="str">
        <f>IFERROR(__xludf.DUMMYFUNCTION("""COMPUTED_VALUE"""),"")</f>
        <v/>
      </c>
      <c r="N598" s="17">
        <f>IFERROR(__xludf.DUMMYFUNCTION("""COMPUTED_VALUE"""),45653.58204313657)</f>
        <v>45653.58204</v>
      </c>
      <c r="O598" s="13">
        <f t="shared" si="1"/>
        <v>1</v>
      </c>
    </row>
    <row r="599" ht="22.5" customHeight="1">
      <c r="B599" s="13">
        <f>IFERROR(__xludf.DUMMYFUNCTION("""COMPUTED_VALUE"""),594.0)</f>
        <v>594</v>
      </c>
      <c r="C599" s="13" t="str">
        <f>IFERROR(__xludf.DUMMYFUNCTION("""COMPUTED_VALUE"""),"HM 2122/BAKUNG")</f>
        <v>HM 2122/BAKUNG</v>
      </c>
      <c r="D599" s="13" t="str">
        <f>IFERROR(__xludf.DUMMYFUNCTION("""COMPUTED_VALUE"""),"L/20/191224/1")</f>
        <v>L/20/191224/1</v>
      </c>
      <c r="E599" s="14" t="str">
        <f>IFERROR(__xludf.DUMMYFUNCTION("""COMPUTED_VALUE"""),"Afriza (BT)")</f>
        <v>Afriza (BT)</v>
      </c>
      <c r="F599" s="14" t="str">
        <f>IFERROR(__xludf.DUMMYFUNCTION("""COMPUTED_VALUE"""),"SELESAI")</f>
        <v>SELESAI</v>
      </c>
      <c r="G599" s="17">
        <f>IFERROR(__xludf.DUMMYFUNCTION("""COMPUTED_VALUE"""),45650.47757625)</f>
        <v>45650.47758</v>
      </c>
      <c r="H599" s="14" t="str">
        <f>IFERROR(__xludf.DUMMYFUNCTION("""COMPUTED_VALUE"""),"Bu Eva (SU)")</f>
        <v>Bu Eva (SU)</v>
      </c>
      <c r="I599" s="13" t="str">
        <f>IFERROR(__xludf.DUMMYFUNCTION("""COMPUTED_VALUE"""),"SELESAI")</f>
        <v>SELESAI</v>
      </c>
      <c r="J599" s="17">
        <f>IFERROR(__xludf.DUMMYFUNCTION("""COMPUTED_VALUE"""),45653.588817916665)</f>
        <v>45653.58882</v>
      </c>
      <c r="K599" s="13" t="str">
        <f>IFERROR(__xludf.DUMMYFUNCTION("""COMPUTED_VALUE"""),"SELESAI")</f>
        <v>SELESAI</v>
      </c>
      <c r="L599" s="17">
        <f>IFERROR(__xludf.DUMMYFUNCTION("""COMPUTED_VALUE"""),45653.588817916665)</f>
        <v>45653.58882</v>
      </c>
      <c r="M599" s="17" t="str">
        <f>IFERROR(__xludf.DUMMYFUNCTION("""COMPUTED_VALUE"""),"")</f>
        <v/>
      </c>
      <c r="N599" s="17">
        <f>IFERROR(__xludf.DUMMYFUNCTION("""COMPUTED_VALUE"""),45653.58885167824)</f>
        <v>45653.58885</v>
      </c>
      <c r="O599" s="13">
        <f t="shared" si="1"/>
        <v>2</v>
      </c>
    </row>
    <row r="600" ht="22.5" customHeight="1">
      <c r="B600" s="13">
        <f>IFERROR(__xludf.DUMMYFUNCTION("""COMPUTED_VALUE"""),595.0)</f>
        <v>595</v>
      </c>
      <c r="C600" s="13" t="str">
        <f>IFERROR(__xludf.DUMMYFUNCTION("""COMPUTED_VALUE"""),"M. 1128/ sumberrejo")</f>
        <v>M. 1128/ sumberrejo</v>
      </c>
      <c r="D600" s="13" t="str">
        <f>IFERROR(__xludf.DUMMYFUNCTION("""COMPUTED_VALUE"""),"K/34/191224/1")</f>
        <v>K/34/191224/1</v>
      </c>
      <c r="E600" s="14" t="str">
        <f>IFERROR(__xludf.DUMMYFUNCTION("""COMPUTED_VALUE"""),"Afriza (BT)")</f>
        <v>Afriza (BT)</v>
      </c>
      <c r="F600" s="14" t="str">
        <f>IFERROR(__xludf.DUMMYFUNCTION("""COMPUTED_VALUE"""),"SELESAI")</f>
        <v>SELESAI</v>
      </c>
      <c r="G600" s="17">
        <f>IFERROR(__xludf.DUMMYFUNCTION("""COMPUTED_VALUE"""),45650.47757625)</f>
        <v>45650.47758</v>
      </c>
      <c r="H600" s="14" t="str">
        <f>IFERROR(__xludf.DUMMYFUNCTION("""COMPUTED_VALUE"""),"Bu Eva (SU)")</f>
        <v>Bu Eva (SU)</v>
      </c>
      <c r="I600" s="13" t="str">
        <f>IFERROR(__xludf.DUMMYFUNCTION("""COMPUTED_VALUE"""),"SELESAI")</f>
        <v>SELESAI</v>
      </c>
      <c r="J600" s="17">
        <f>IFERROR(__xludf.DUMMYFUNCTION("""COMPUTED_VALUE"""),45653.58617576389)</f>
        <v>45653.58618</v>
      </c>
      <c r="K600" s="13" t="str">
        <f>IFERROR(__xludf.DUMMYFUNCTION("""COMPUTED_VALUE"""),"SELESAI")</f>
        <v>SELESAI</v>
      </c>
      <c r="L600" s="17">
        <f>IFERROR(__xludf.DUMMYFUNCTION("""COMPUTED_VALUE"""),45653.58617576389)</f>
        <v>45653.58618</v>
      </c>
      <c r="M600" s="17" t="str">
        <f>IFERROR(__xludf.DUMMYFUNCTION("""COMPUTED_VALUE"""),"")</f>
        <v/>
      </c>
      <c r="N600" s="17">
        <f>IFERROR(__xludf.DUMMYFUNCTION("""COMPUTED_VALUE"""),45653.586212905095)</f>
        <v>45653.58621</v>
      </c>
      <c r="O600" s="13">
        <f t="shared" si="1"/>
        <v>3</v>
      </c>
    </row>
    <row r="601" ht="22.5" customHeight="1">
      <c r="B601" s="13">
        <f>IFERROR(__xludf.DUMMYFUNCTION("""COMPUTED_VALUE"""),596.0)</f>
        <v>596</v>
      </c>
      <c r="C601" s="13" t="str">
        <f>IFERROR(__xludf.DUMMYFUNCTION("""COMPUTED_VALUE"""),"M. 4493/ Sukadana Ham")</f>
        <v>M. 4493/ Sukadana Ham</v>
      </c>
      <c r="D601" s="13" t="str">
        <f>IFERROR(__xludf.DUMMYFUNCTION("""COMPUTED_VALUE"""),"K/36/191224/3")</f>
        <v>K/36/191224/3</v>
      </c>
      <c r="E601" s="14" t="str">
        <f>IFERROR(__xludf.DUMMYFUNCTION("""COMPUTED_VALUE"""),"Afriza (BT)")</f>
        <v>Afriza (BT)</v>
      </c>
      <c r="F601" s="14" t="str">
        <f>IFERROR(__xludf.DUMMYFUNCTION("""COMPUTED_VALUE"""),"SELESAI")</f>
        <v>SELESAI</v>
      </c>
      <c r="G601" s="17">
        <f>IFERROR(__xludf.DUMMYFUNCTION("""COMPUTED_VALUE"""),45650.47757625)</f>
        <v>45650.47758</v>
      </c>
      <c r="H601" s="14" t="str">
        <f>IFERROR(__xludf.DUMMYFUNCTION("""COMPUTED_VALUE"""),"Bu Eva (SU)")</f>
        <v>Bu Eva (SU)</v>
      </c>
      <c r="I601" s="13" t="str">
        <f>IFERROR(__xludf.DUMMYFUNCTION("""COMPUTED_VALUE"""),"SELESAI")</f>
        <v>SELESAI</v>
      </c>
      <c r="J601" s="17">
        <f>IFERROR(__xludf.DUMMYFUNCTION("""COMPUTED_VALUE"""),45653.586423252316)</f>
        <v>45653.58642</v>
      </c>
      <c r="K601" s="13" t="str">
        <f>IFERROR(__xludf.DUMMYFUNCTION("""COMPUTED_VALUE"""),"SELESAI")</f>
        <v>SELESAI</v>
      </c>
      <c r="L601" s="17">
        <f>IFERROR(__xludf.DUMMYFUNCTION("""COMPUTED_VALUE"""),45653.586423252316)</f>
        <v>45653.58642</v>
      </c>
      <c r="M601" s="17" t="str">
        <f>IFERROR(__xludf.DUMMYFUNCTION("""COMPUTED_VALUE"""),"")</f>
        <v/>
      </c>
      <c r="N601" s="17">
        <f>IFERROR(__xludf.DUMMYFUNCTION("""COMPUTED_VALUE"""),45653.58644940972)</f>
        <v>45653.58645</v>
      </c>
      <c r="O601" s="13">
        <f t="shared" si="1"/>
        <v>4</v>
      </c>
    </row>
    <row r="602" ht="22.5" customHeight="1">
      <c r="B602" s="13">
        <f>IFERROR(__xludf.DUMMYFUNCTION("""COMPUTED_VALUE"""),597.0)</f>
        <v>597</v>
      </c>
      <c r="C602" s="13" t="str">
        <f>IFERROR(__xludf.DUMMYFUNCTION("""COMPUTED_VALUE"""),"M. 1762/ Rajabasa Nunyai")</f>
        <v>M. 1762/ Rajabasa Nunyai</v>
      </c>
      <c r="D602" s="13" t="str">
        <f>IFERROR(__xludf.DUMMYFUNCTION("""COMPUTED_VALUE"""),"K/40/191224/1")</f>
        <v>K/40/191224/1</v>
      </c>
      <c r="E602" s="14" t="str">
        <f>IFERROR(__xludf.DUMMYFUNCTION("""COMPUTED_VALUE"""),"Afriza (BT)")</f>
        <v>Afriza (BT)</v>
      </c>
      <c r="F602" s="14" t="str">
        <f>IFERROR(__xludf.DUMMYFUNCTION("""COMPUTED_VALUE"""),"SELESAI")</f>
        <v>SELESAI</v>
      </c>
      <c r="G602" s="17">
        <f>IFERROR(__xludf.DUMMYFUNCTION("""COMPUTED_VALUE"""),45650.47757625)</f>
        <v>45650.47758</v>
      </c>
      <c r="H602" s="14" t="str">
        <f>IFERROR(__xludf.DUMMYFUNCTION("""COMPUTED_VALUE"""),"Bu Eva (SU)")</f>
        <v>Bu Eva (SU)</v>
      </c>
      <c r="I602" s="13" t="str">
        <f>IFERROR(__xludf.DUMMYFUNCTION("""COMPUTED_VALUE"""),"SELESAI")</f>
        <v>SELESAI</v>
      </c>
      <c r="J602" s="17">
        <f>IFERROR(__xludf.DUMMYFUNCTION("""COMPUTED_VALUE"""),45653.587892870375)</f>
        <v>45653.58789</v>
      </c>
      <c r="K602" s="13" t="str">
        <f>IFERROR(__xludf.DUMMYFUNCTION("""COMPUTED_VALUE"""),"SELESAI")</f>
        <v>SELESAI</v>
      </c>
      <c r="L602" s="17">
        <f>IFERROR(__xludf.DUMMYFUNCTION("""COMPUTED_VALUE"""),45653.587892870375)</f>
        <v>45653.58789</v>
      </c>
      <c r="M602" s="17" t="str">
        <f>IFERROR(__xludf.DUMMYFUNCTION("""COMPUTED_VALUE"""),"")</f>
        <v/>
      </c>
      <c r="N602" s="17">
        <f>IFERROR(__xludf.DUMMYFUNCTION("""COMPUTED_VALUE"""),45653.58792547454)</f>
        <v>45653.58793</v>
      </c>
      <c r="O602" s="13">
        <f t="shared" si="1"/>
        <v>5</v>
      </c>
    </row>
    <row r="603" ht="22.5" customHeight="1">
      <c r="B603" s="13">
        <f>IFERROR(__xludf.DUMMYFUNCTION("""COMPUTED_VALUE"""),598.0)</f>
        <v>598</v>
      </c>
      <c r="C603" s="13" t="str">
        <f>IFERROR(__xludf.DUMMYFUNCTION("""COMPUTED_VALUE"""),"M. 1689/ Rajabasa Raya")</f>
        <v>M. 1689/ Rajabasa Raya</v>
      </c>
      <c r="D603" s="13" t="str">
        <f>IFERROR(__xludf.DUMMYFUNCTION("""COMPUTED_VALUE"""),"K/41/191224/1")</f>
        <v>K/41/191224/1</v>
      </c>
      <c r="E603" s="14" t="str">
        <f>IFERROR(__xludf.DUMMYFUNCTION("""COMPUTED_VALUE"""),"Afriza (BT)")</f>
        <v>Afriza (BT)</v>
      </c>
      <c r="F603" s="14" t="str">
        <f>IFERROR(__xludf.DUMMYFUNCTION("""COMPUTED_VALUE"""),"SELESAI")</f>
        <v>SELESAI</v>
      </c>
      <c r="G603" s="17">
        <f>IFERROR(__xludf.DUMMYFUNCTION("""COMPUTED_VALUE"""),45650.47757625)</f>
        <v>45650.47758</v>
      </c>
      <c r="H603" s="14" t="str">
        <f>IFERROR(__xludf.DUMMYFUNCTION("""COMPUTED_VALUE"""),"Bu Eva (SU)")</f>
        <v>Bu Eva (SU)</v>
      </c>
      <c r="I603" s="13" t="str">
        <f>IFERROR(__xludf.DUMMYFUNCTION("""COMPUTED_VALUE"""),"SELESAI")</f>
        <v>SELESAI</v>
      </c>
      <c r="J603" s="17">
        <f>IFERROR(__xludf.DUMMYFUNCTION("""COMPUTED_VALUE"""),45653.5876640625)</f>
        <v>45653.58766</v>
      </c>
      <c r="K603" s="13" t="str">
        <f>IFERROR(__xludf.DUMMYFUNCTION("""COMPUTED_VALUE"""),"SELESAI")</f>
        <v>SELESAI</v>
      </c>
      <c r="L603" s="17">
        <f>IFERROR(__xludf.DUMMYFUNCTION("""COMPUTED_VALUE"""),45653.5876640625)</f>
        <v>45653.58766</v>
      </c>
      <c r="M603" s="17" t="str">
        <f>IFERROR(__xludf.DUMMYFUNCTION("""COMPUTED_VALUE"""),"")</f>
        <v/>
      </c>
      <c r="N603" s="17">
        <f>IFERROR(__xludf.DUMMYFUNCTION("""COMPUTED_VALUE"""),45653.58769)</f>
        <v>45653.58769</v>
      </c>
      <c r="O603" s="13">
        <f t="shared" si="1"/>
        <v>6</v>
      </c>
    </row>
    <row r="604" ht="22.5" customHeight="1">
      <c r="B604" s="13">
        <f>IFERROR(__xludf.DUMMYFUNCTION("""COMPUTED_VALUE"""),599.0)</f>
        <v>599</v>
      </c>
      <c r="C604" s="13" t="str">
        <f>IFERROR(__xludf.DUMMYFUNCTION("""COMPUTED_VALUE"""),"M. 865/ Tanjung Gading")</f>
        <v>M. 865/ Tanjung Gading</v>
      </c>
      <c r="D604" s="13" t="str">
        <f>IFERROR(__xludf.DUMMYFUNCTION("""COMPUTED_VALUE"""),"K/7/201224/1")</f>
        <v>K/7/201224/1</v>
      </c>
      <c r="E604" s="14" t="str">
        <f>IFERROR(__xludf.DUMMYFUNCTION("""COMPUTED_VALUE"""),"Afriza (BT)")</f>
        <v>Afriza (BT)</v>
      </c>
      <c r="F604" s="14" t="str">
        <f>IFERROR(__xludf.DUMMYFUNCTION("""COMPUTED_VALUE"""),"SELESAI")</f>
        <v>SELESAI</v>
      </c>
      <c r="G604" s="17">
        <f>IFERROR(__xludf.DUMMYFUNCTION("""COMPUTED_VALUE"""),45650.47757625)</f>
        <v>45650.47758</v>
      </c>
      <c r="H604" s="14" t="str">
        <f>IFERROR(__xludf.DUMMYFUNCTION("""COMPUTED_VALUE"""),"Bu Eva (SU)")</f>
        <v>Bu Eva (SU)</v>
      </c>
      <c r="I604" s="13" t="str">
        <f>IFERROR(__xludf.DUMMYFUNCTION("""COMPUTED_VALUE"""),"SELESAI")</f>
        <v>SELESAI</v>
      </c>
      <c r="J604" s="17">
        <f>IFERROR(__xludf.DUMMYFUNCTION("""COMPUTED_VALUE"""),45653.582541435186)</f>
        <v>45653.58254</v>
      </c>
      <c r="K604" s="13" t="str">
        <f>IFERROR(__xludf.DUMMYFUNCTION("""COMPUTED_VALUE"""),"SELESAI")</f>
        <v>SELESAI</v>
      </c>
      <c r="L604" s="17">
        <f>IFERROR(__xludf.DUMMYFUNCTION("""COMPUTED_VALUE"""),45653.582541435186)</f>
        <v>45653.58254</v>
      </c>
      <c r="M604" s="17" t="str">
        <f>IFERROR(__xludf.DUMMYFUNCTION("""COMPUTED_VALUE"""),"")</f>
        <v/>
      </c>
      <c r="N604" s="17">
        <f>IFERROR(__xludf.DUMMYFUNCTION("""COMPUTED_VALUE"""),45653.5825721875)</f>
        <v>45653.58257</v>
      </c>
      <c r="O604" s="13">
        <f t="shared" si="1"/>
        <v>7</v>
      </c>
    </row>
    <row r="605" ht="22.5" customHeight="1">
      <c r="B605" s="13">
        <f>IFERROR(__xludf.DUMMYFUNCTION("""COMPUTED_VALUE"""),600.0)</f>
        <v>600</v>
      </c>
      <c r="C605" s="13" t="str">
        <f>IFERROR(__xludf.DUMMYFUNCTION("""COMPUTED_VALUE"""),"M. 1986/ Gunung Terang")</f>
        <v>M. 1986/ Gunung Terang</v>
      </c>
      <c r="D605" s="13" t="str">
        <f>IFERROR(__xludf.DUMMYFUNCTION("""COMPUTED_VALUE"""),"K/16/201224/2")</f>
        <v>K/16/201224/2</v>
      </c>
      <c r="E605" s="14" t="str">
        <f>IFERROR(__xludf.DUMMYFUNCTION("""COMPUTED_VALUE"""),"Afriza (BT)")</f>
        <v>Afriza (BT)</v>
      </c>
      <c r="F605" s="14" t="str">
        <f>IFERROR(__xludf.DUMMYFUNCTION("""COMPUTED_VALUE"""),"SELESAI")</f>
        <v>SELESAI</v>
      </c>
      <c r="G605" s="17">
        <f>IFERROR(__xludf.DUMMYFUNCTION("""COMPUTED_VALUE"""),45650.47757625)</f>
        <v>45650.47758</v>
      </c>
      <c r="H605" s="14" t="str">
        <f>IFERROR(__xludf.DUMMYFUNCTION("""COMPUTED_VALUE"""),"Bu Eva (SU)")</f>
        <v>Bu Eva (SU)</v>
      </c>
      <c r="I605" s="13" t="str">
        <f>IFERROR(__xludf.DUMMYFUNCTION("""COMPUTED_VALUE"""),"SELESAI")</f>
        <v>SELESAI</v>
      </c>
      <c r="J605" s="17">
        <f>IFERROR(__xludf.DUMMYFUNCTION("""COMPUTED_VALUE"""),45653.58583835648)</f>
        <v>45653.58584</v>
      </c>
      <c r="K605" s="13" t="str">
        <f>IFERROR(__xludf.DUMMYFUNCTION("""COMPUTED_VALUE"""),"SELESAI")</f>
        <v>SELESAI</v>
      </c>
      <c r="L605" s="17">
        <f>IFERROR(__xludf.DUMMYFUNCTION("""COMPUTED_VALUE"""),45653.58583835648)</f>
        <v>45653.58584</v>
      </c>
      <c r="M605" s="17" t="str">
        <f>IFERROR(__xludf.DUMMYFUNCTION("""COMPUTED_VALUE"""),"")</f>
        <v/>
      </c>
      <c r="N605" s="17">
        <f>IFERROR(__xludf.DUMMYFUNCTION("""COMPUTED_VALUE"""),45653.58588788194)</f>
        <v>45653.58589</v>
      </c>
      <c r="O605" s="13">
        <f t="shared" si="1"/>
        <v>8</v>
      </c>
    </row>
    <row r="606" ht="22.5" customHeight="1">
      <c r="B606" s="13">
        <f>IFERROR(__xludf.DUMMYFUNCTION("""COMPUTED_VALUE"""),601.0)</f>
        <v>601</v>
      </c>
      <c r="C606" s="13" t="str">
        <f>IFERROR(__xludf.DUMMYFUNCTION("""COMPUTED_VALUE"""),"M. 2981/ Labuhan Dalam")</f>
        <v>M. 2981/ Labuhan Dalam</v>
      </c>
      <c r="D606" s="13" t="str">
        <f>IFERROR(__xludf.DUMMYFUNCTION("""COMPUTED_VALUE"""),"K/2/191224/1")</f>
        <v>K/2/191224/1</v>
      </c>
      <c r="E606" s="14" t="str">
        <f>IFERROR(__xludf.DUMMYFUNCTION("""COMPUTED_VALUE"""),"Afriza (BT)")</f>
        <v>Afriza (BT)</v>
      </c>
      <c r="F606" s="14" t="str">
        <f>IFERROR(__xludf.DUMMYFUNCTION("""COMPUTED_VALUE"""),"SELESAI")</f>
        <v>SELESAI</v>
      </c>
      <c r="G606" s="17">
        <f>IFERROR(__xludf.DUMMYFUNCTION("""COMPUTED_VALUE"""),45650.585161192124)</f>
        <v>45650.58516</v>
      </c>
      <c r="H606" s="14" t="str">
        <f>IFERROR(__xludf.DUMMYFUNCTION("""COMPUTED_VALUE"""),"Bu Eva (SU)")</f>
        <v>Bu Eva (SU)</v>
      </c>
      <c r="I606" s="13" t="str">
        <f>IFERROR(__xludf.DUMMYFUNCTION("""COMPUTED_VALUE"""),"SELESAI")</f>
        <v>SELESAI</v>
      </c>
      <c r="J606" s="17">
        <f>IFERROR(__xludf.DUMMYFUNCTION("""COMPUTED_VALUE"""),45653.57985083333)</f>
        <v>45653.57985</v>
      </c>
      <c r="K606" s="13" t="str">
        <f>IFERROR(__xludf.DUMMYFUNCTION("""COMPUTED_VALUE"""),"SELESAI")</f>
        <v>SELESAI</v>
      </c>
      <c r="L606" s="17">
        <f>IFERROR(__xludf.DUMMYFUNCTION("""COMPUTED_VALUE"""),45653.57985083333)</f>
        <v>45653.57985</v>
      </c>
      <c r="M606" s="17" t="str">
        <f>IFERROR(__xludf.DUMMYFUNCTION("""COMPUTED_VALUE"""),"")</f>
        <v/>
      </c>
      <c r="N606" s="17">
        <f>IFERROR(__xludf.DUMMYFUNCTION("""COMPUTED_VALUE"""),45653.579880150464)</f>
        <v>45653.57988</v>
      </c>
      <c r="O606" s="13">
        <f t="shared" si="1"/>
        <v>9</v>
      </c>
    </row>
    <row r="607" ht="22.5" customHeight="1">
      <c r="B607" s="13">
        <f>IFERROR(__xludf.DUMMYFUNCTION("""COMPUTED_VALUE"""),602.0)</f>
        <v>602</v>
      </c>
      <c r="C607" s="13" t="str">
        <f>IFERROR(__xludf.DUMMYFUNCTION("""COMPUTED_VALUE"""),"M. 729/ Beringin Jaya")</f>
        <v>M. 729/ Beringin Jaya</v>
      </c>
      <c r="D607" s="13" t="str">
        <f>IFERROR(__xludf.DUMMYFUNCTION("""COMPUTED_VALUE"""),"K/27/191224/1")</f>
        <v>K/27/191224/1</v>
      </c>
      <c r="E607" s="14" t="str">
        <f>IFERROR(__xludf.DUMMYFUNCTION("""COMPUTED_VALUE"""),"Afriza (BT)")</f>
        <v>Afriza (BT)</v>
      </c>
      <c r="F607" s="14" t="str">
        <f>IFERROR(__xludf.DUMMYFUNCTION("""COMPUTED_VALUE"""),"SELESAI")</f>
        <v>SELESAI</v>
      </c>
      <c r="G607" s="17">
        <f>IFERROR(__xludf.DUMMYFUNCTION("""COMPUTED_VALUE"""),45650.60068753472)</f>
        <v>45650.60069</v>
      </c>
      <c r="H607" s="14" t="str">
        <f>IFERROR(__xludf.DUMMYFUNCTION("""COMPUTED_VALUE"""),"Bu Eva (SU)")</f>
        <v>Bu Eva (SU)</v>
      </c>
      <c r="I607" s="13" t="str">
        <f>IFERROR(__xludf.DUMMYFUNCTION("""COMPUTED_VALUE"""),"SELESAI")</f>
        <v>SELESAI</v>
      </c>
      <c r="J607" s="17">
        <f>IFERROR(__xludf.DUMMYFUNCTION("""COMPUTED_VALUE"""),45653.585520821754)</f>
        <v>45653.58552</v>
      </c>
      <c r="K607" s="13" t="str">
        <f>IFERROR(__xludf.DUMMYFUNCTION("""COMPUTED_VALUE"""),"SELESAI")</f>
        <v>SELESAI</v>
      </c>
      <c r="L607" s="17">
        <f>IFERROR(__xludf.DUMMYFUNCTION("""COMPUTED_VALUE"""),45653.585520821754)</f>
        <v>45653.58552</v>
      </c>
      <c r="M607" s="17" t="str">
        <f>IFERROR(__xludf.DUMMYFUNCTION("""COMPUTED_VALUE"""),"")</f>
        <v/>
      </c>
      <c r="N607" s="17">
        <f>IFERROR(__xludf.DUMMYFUNCTION("""COMPUTED_VALUE"""),45653.58554788194)</f>
        <v>45653.58555</v>
      </c>
      <c r="O607" s="13">
        <f t="shared" si="1"/>
        <v>10</v>
      </c>
    </row>
    <row r="608" ht="22.5" customHeight="1">
      <c r="B608" s="13">
        <f>IFERROR(__xludf.DUMMYFUNCTION("""COMPUTED_VALUE"""),603.0)</f>
        <v>603</v>
      </c>
      <c r="C608" s="13" t="str">
        <f>IFERROR(__xludf.DUMMYFUNCTION("""COMPUTED_VALUE"""),"M. 11875/SUKARAME")</f>
        <v>M. 11875/SUKARAME</v>
      </c>
      <c r="D608" s="13" t="str">
        <f>IFERROR(__xludf.DUMMYFUNCTION("""COMPUTED_VALUE"""),"K/52/181224/1")</f>
        <v>K/52/181224/1</v>
      </c>
      <c r="E608" s="14" t="str">
        <f>IFERROR(__xludf.DUMMYFUNCTION("""COMPUTED_VALUE"""),"Nadian (BT)")</f>
        <v>Nadian (BT)</v>
      </c>
      <c r="F608" s="14" t="str">
        <f>IFERROR(__xludf.DUMMYFUNCTION("""COMPUTED_VALUE"""),"SELESAI")</f>
        <v>SELESAI</v>
      </c>
      <c r="G608" s="17">
        <f>IFERROR(__xludf.DUMMYFUNCTION("""COMPUTED_VALUE"""),45650.62692521991)</f>
        <v>45650.62693</v>
      </c>
      <c r="H608" s="14" t="str">
        <f>IFERROR(__xludf.DUMMYFUNCTION("""COMPUTED_VALUE"""),"Bu Eva (SU)")</f>
        <v>Bu Eva (SU)</v>
      </c>
      <c r="I608" s="13" t="str">
        <f>IFERROR(__xludf.DUMMYFUNCTION("""COMPUTED_VALUE"""),"SELESAI")</f>
        <v>SELESAI</v>
      </c>
      <c r="J608" s="17">
        <f>IFERROR(__xludf.DUMMYFUNCTION("""COMPUTED_VALUE"""),45653.579655567126)</f>
        <v>45653.57966</v>
      </c>
      <c r="K608" s="13" t="str">
        <f>IFERROR(__xludf.DUMMYFUNCTION("""COMPUTED_VALUE"""),"SELESAI")</f>
        <v>SELESAI</v>
      </c>
      <c r="L608" s="17">
        <f>IFERROR(__xludf.DUMMYFUNCTION("""COMPUTED_VALUE"""),45653.579655567126)</f>
        <v>45653.57966</v>
      </c>
      <c r="M608" s="17" t="str">
        <f>IFERROR(__xludf.DUMMYFUNCTION("""COMPUTED_VALUE"""),"")</f>
        <v/>
      </c>
      <c r="N608" s="17">
        <f>IFERROR(__xludf.DUMMYFUNCTION("""COMPUTED_VALUE"""),45653.57969212963)</f>
        <v>45653.57969</v>
      </c>
      <c r="O608" s="13">
        <f t="shared" si="1"/>
        <v>11</v>
      </c>
    </row>
    <row r="609" ht="22.5" customHeight="1">
      <c r="B609" s="13">
        <f>IFERROR(__xludf.DUMMYFUNCTION("""COMPUTED_VALUE"""),604.0)</f>
        <v>604</v>
      </c>
      <c r="C609" s="13" t="str">
        <f>IFERROR(__xludf.DUMMYFUNCTION("""COMPUTED_VALUE"""),"B. 867/ Pesawahan")</f>
        <v>B. 867/ Pesawahan</v>
      </c>
      <c r="D609" s="13" t="str">
        <f>IFERROR(__xludf.DUMMYFUNCTION("""COMPUTED_VALUE"""),"K/6/231224/1")</f>
        <v>K/6/231224/1</v>
      </c>
      <c r="E609" s="14" t="str">
        <f>IFERROR(__xludf.DUMMYFUNCTION("""COMPUTED_VALUE"""),"Nadian (BT)")</f>
        <v>Nadian (BT)</v>
      </c>
      <c r="F609" s="14" t="str">
        <f>IFERROR(__xludf.DUMMYFUNCTION("""COMPUTED_VALUE"""),"SELESAI")</f>
        <v>SELESAI</v>
      </c>
      <c r="G609" s="17">
        <f>IFERROR(__xludf.DUMMYFUNCTION("""COMPUTED_VALUE"""),45650.62697003472)</f>
        <v>45650.62697</v>
      </c>
      <c r="H609" s="14" t="str">
        <f>IFERROR(__xludf.DUMMYFUNCTION("""COMPUTED_VALUE"""),"Aprill (SU)")</f>
        <v>Aprill (SU)</v>
      </c>
      <c r="I609" s="13" t="str">
        <f>IFERROR(__xludf.DUMMYFUNCTION("""COMPUTED_VALUE"""),"SELESAI")</f>
        <v>SELESAI</v>
      </c>
      <c r="J609" s="17">
        <f>IFERROR(__xludf.DUMMYFUNCTION("""COMPUTED_VALUE"""),45653.413134965274)</f>
        <v>45653.41313</v>
      </c>
      <c r="K609" s="13" t="str">
        <f>IFERROR(__xludf.DUMMYFUNCTION("""COMPUTED_VALUE"""),"SELESAI")</f>
        <v>SELESAI</v>
      </c>
      <c r="L609" s="17">
        <f>IFERROR(__xludf.DUMMYFUNCTION("""COMPUTED_VALUE"""),45653.413134965274)</f>
        <v>45653.41313</v>
      </c>
      <c r="M609" s="17" t="str">
        <f>IFERROR(__xludf.DUMMYFUNCTION("""COMPUTED_VALUE"""),"")</f>
        <v/>
      </c>
      <c r="N609" s="17">
        <f>IFERROR(__xludf.DUMMYFUNCTION("""COMPUTED_VALUE"""),45653.413173402776)</f>
        <v>45653.41317</v>
      </c>
      <c r="O609" s="13">
        <f t="shared" si="1"/>
        <v>12</v>
      </c>
    </row>
    <row r="610" ht="22.5" customHeight="1">
      <c r="B610" s="13">
        <f>IFERROR(__xludf.DUMMYFUNCTION("""COMPUTED_VALUE"""),605.0)</f>
        <v>605</v>
      </c>
      <c r="C610" s="13" t="str">
        <f>IFERROR(__xludf.DUMMYFUNCTION("""COMPUTED_VALUE"""),"HM 1024/PANJNAG UTARA")</f>
        <v>HM 1024/PANJNAG UTARA</v>
      </c>
      <c r="D610" s="13" t="str">
        <f>IFERROR(__xludf.DUMMYFUNCTION("""COMPUTED_VALUE"""),"L/7/231224/1")</f>
        <v>L/7/231224/1</v>
      </c>
      <c r="E610" s="14" t="str">
        <f>IFERROR(__xludf.DUMMYFUNCTION("""COMPUTED_VALUE"""),"Nadian (BT)")</f>
        <v>Nadian (BT)</v>
      </c>
      <c r="F610" s="14" t="str">
        <f>IFERROR(__xludf.DUMMYFUNCTION("""COMPUTED_VALUE"""),"SELESAI")</f>
        <v>SELESAI</v>
      </c>
      <c r="G610" s="17">
        <f>IFERROR(__xludf.DUMMYFUNCTION("""COMPUTED_VALUE"""),45650.62697003472)</f>
        <v>45650.62697</v>
      </c>
      <c r="H610" s="14" t="str">
        <f>IFERROR(__xludf.DUMMYFUNCTION("""COMPUTED_VALUE"""),"Aprill (SU)")</f>
        <v>Aprill (SU)</v>
      </c>
      <c r="I610" s="13" t="str">
        <f>IFERROR(__xludf.DUMMYFUNCTION("""COMPUTED_VALUE"""),"SELESAI")</f>
        <v>SELESAI</v>
      </c>
      <c r="J610" s="17">
        <f>IFERROR(__xludf.DUMMYFUNCTION("""COMPUTED_VALUE"""),45653.414054988425)</f>
        <v>45653.41405</v>
      </c>
      <c r="K610" s="13" t="str">
        <f>IFERROR(__xludf.DUMMYFUNCTION("""COMPUTED_VALUE"""),"SELESAI")</f>
        <v>SELESAI</v>
      </c>
      <c r="L610" s="17">
        <f>IFERROR(__xludf.DUMMYFUNCTION("""COMPUTED_VALUE"""),45653.414054988425)</f>
        <v>45653.41405</v>
      </c>
      <c r="M610" s="17" t="str">
        <f>IFERROR(__xludf.DUMMYFUNCTION("""COMPUTED_VALUE"""),"")</f>
        <v/>
      </c>
      <c r="N610" s="17">
        <f>IFERROR(__xludf.DUMMYFUNCTION("""COMPUTED_VALUE"""),45653.41409618055)</f>
        <v>45653.4141</v>
      </c>
      <c r="O610" s="13">
        <f t="shared" si="1"/>
        <v>13</v>
      </c>
    </row>
    <row r="611" ht="22.5" customHeight="1">
      <c r="B611" s="13">
        <f>IFERROR(__xludf.DUMMYFUNCTION("""COMPUTED_VALUE"""),606.0)</f>
        <v>606</v>
      </c>
      <c r="C611" s="13" t="str">
        <f>IFERROR(__xludf.DUMMYFUNCTION("""COMPUTED_VALUE"""),"M. 460/ Gunung Terang")</f>
        <v>M. 460/ Gunung Terang</v>
      </c>
      <c r="D611" s="13" t="str">
        <f>IFERROR(__xludf.DUMMYFUNCTION("""COMPUTED_VALUE"""),"K/24/231224/2")</f>
        <v>K/24/231224/2</v>
      </c>
      <c r="E611" s="14" t="str">
        <f>IFERROR(__xludf.DUMMYFUNCTION("""COMPUTED_VALUE"""),"Nadian (BT)")</f>
        <v>Nadian (BT)</v>
      </c>
      <c r="F611" s="14" t="str">
        <f>IFERROR(__xludf.DUMMYFUNCTION("""COMPUTED_VALUE"""),"SELESAI")</f>
        <v>SELESAI</v>
      </c>
      <c r="G611" s="17">
        <f>IFERROR(__xludf.DUMMYFUNCTION("""COMPUTED_VALUE"""),45650.62697003472)</f>
        <v>45650.62697</v>
      </c>
      <c r="H611" s="14" t="str">
        <f>IFERROR(__xludf.DUMMYFUNCTION("""COMPUTED_VALUE"""),"Aprill (SU)")</f>
        <v>Aprill (SU)</v>
      </c>
      <c r="I611" s="13" t="str">
        <f>IFERROR(__xludf.DUMMYFUNCTION("""COMPUTED_VALUE"""),"SELESAI")</f>
        <v>SELESAI</v>
      </c>
      <c r="J611" s="17">
        <f>IFERROR(__xludf.DUMMYFUNCTION("""COMPUTED_VALUE"""),45653.41925482639)</f>
        <v>45653.41925</v>
      </c>
      <c r="K611" s="13" t="str">
        <f>IFERROR(__xludf.DUMMYFUNCTION("""COMPUTED_VALUE"""),"SELESAI")</f>
        <v>SELESAI</v>
      </c>
      <c r="L611" s="17">
        <f>IFERROR(__xludf.DUMMYFUNCTION("""COMPUTED_VALUE"""),45653.41925482639)</f>
        <v>45653.41925</v>
      </c>
      <c r="M611" s="17" t="str">
        <f>IFERROR(__xludf.DUMMYFUNCTION("""COMPUTED_VALUE"""),"")</f>
        <v/>
      </c>
      <c r="N611" s="17">
        <f>IFERROR(__xludf.DUMMYFUNCTION("""COMPUTED_VALUE"""),45653.41928591435)</f>
        <v>45653.41929</v>
      </c>
      <c r="O611" s="13">
        <f t="shared" si="1"/>
        <v>14</v>
      </c>
    </row>
    <row r="612" ht="22.5" customHeight="1">
      <c r="B612" s="13">
        <f>IFERROR(__xludf.DUMMYFUNCTION("""COMPUTED_VALUE"""),607.0)</f>
        <v>607</v>
      </c>
      <c r="C612" s="13" t="str">
        <f>IFERROR(__xludf.DUMMYFUNCTION("""COMPUTED_VALUE"""),"M. 687/ Pahoman")</f>
        <v>M. 687/ Pahoman</v>
      </c>
      <c r="D612" s="13" t="str">
        <f>IFERROR(__xludf.DUMMYFUNCTION("""COMPUTED_VALUE"""),"K/30/231224/1")</f>
        <v>K/30/231224/1</v>
      </c>
      <c r="E612" s="14" t="str">
        <f>IFERROR(__xludf.DUMMYFUNCTION("""COMPUTED_VALUE"""),"Nadian (BT)")</f>
        <v>Nadian (BT)</v>
      </c>
      <c r="F612" s="14" t="str">
        <f>IFERROR(__xludf.DUMMYFUNCTION("""COMPUTED_VALUE"""),"SELESAI")</f>
        <v>SELESAI</v>
      </c>
      <c r="G612" s="17">
        <f>IFERROR(__xludf.DUMMYFUNCTION("""COMPUTED_VALUE"""),45650.62697003472)</f>
        <v>45650.62697</v>
      </c>
      <c r="H612" s="14" t="str">
        <f>IFERROR(__xludf.DUMMYFUNCTION("""COMPUTED_VALUE"""),"Aprill (SU)")</f>
        <v>Aprill (SU)</v>
      </c>
      <c r="I612" s="13" t="str">
        <f>IFERROR(__xludf.DUMMYFUNCTION("""COMPUTED_VALUE"""),"SELESAI")</f>
        <v>SELESAI</v>
      </c>
      <c r="J612" s="17">
        <f>IFERROR(__xludf.DUMMYFUNCTION("""COMPUTED_VALUE"""),45653.41999732639)</f>
        <v>45653.42</v>
      </c>
      <c r="K612" s="13" t="str">
        <f>IFERROR(__xludf.DUMMYFUNCTION("""COMPUTED_VALUE"""),"SELESAI")</f>
        <v>SELESAI</v>
      </c>
      <c r="L612" s="17">
        <f>IFERROR(__xludf.DUMMYFUNCTION("""COMPUTED_VALUE"""),45653.41999732639)</f>
        <v>45653.42</v>
      </c>
      <c r="M612" s="17" t="str">
        <f>IFERROR(__xludf.DUMMYFUNCTION("""COMPUTED_VALUE"""),"")</f>
        <v/>
      </c>
      <c r="N612" s="17">
        <f>IFERROR(__xludf.DUMMYFUNCTION("""COMPUTED_VALUE"""),45653.42002810186)</f>
        <v>45653.42003</v>
      </c>
      <c r="O612" s="13">
        <f t="shared" si="1"/>
        <v>15</v>
      </c>
    </row>
    <row r="613" ht="22.5" customHeight="1">
      <c r="B613" s="13">
        <f>IFERROR(__xludf.DUMMYFUNCTION("""COMPUTED_VALUE"""),608.0)</f>
        <v>608</v>
      </c>
      <c r="C613" s="13" t="str">
        <f>IFERROR(__xludf.DUMMYFUNCTION("""COMPUTED_VALUE"""),"M. 772/ Perwata")</f>
        <v>M. 772/ Perwata</v>
      </c>
      <c r="D613" s="13" t="str">
        <f>IFERROR(__xludf.DUMMYFUNCTION("""COMPUTED_VALUE"""),"K/39/231224/1")</f>
        <v>K/39/231224/1</v>
      </c>
      <c r="E613" s="14" t="str">
        <f>IFERROR(__xludf.DUMMYFUNCTION("""COMPUTED_VALUE"""),"Nadian (BT)")</f>
        <v>Nadian (BT)</v>
      </c>
      <c r="F613" s="14" t="str">
        <f>IFERROR(__xludf.DUMMYFUNCTION("""COMPUTED_VALUE"""),"SELESAI")</f>
        <v>SELESAI</v>
      </c>
      <c r="G613" s="17">
        <f>IFERROR(__xludf.DUMMYFUNCTION("""COMPUTED_VALUE"""),45650.62697003472)</f>
        <v>45650.62697</v>
      </c>
      <c r="H613" s="14" t="str">
        <f>IFERROR(__xludf.DUMMYFUNCTION("""COMPUTED_VALUE"""),"Aprill (SU)")</f>
        <v>Aprill (SU)</v>
      </c>
      <c r="I613" s="13" t="str">
        <f>IFERROR(__xludf.DUMMYFUNCTION("""COMPUTED_VALUE"""),"SELESAI")</f>
        <v>SELESAI</v>
      </c>
      <c r="J613" s="17">
        <f>IFERROR(__xludf.DUMMYFUNCTION("""COMPUTED_VALUE"""),45653.421937210645)</f>
        <v>45653.42194</v>
      </c>
      <c r="K613" s="13" t="str">
        <f>IFERROR(__xludf.DUMMYFUNCTION("""COMPUTED_VALUE"""),"SELESAI")</f>
        <v>SELESAI</v>
      </c>
      <c r="L613" s="17">
        <f>IFERROR(__xludf.DUMMYFUNCTION("""COMPUTED_VALUE"""),45653.421937210645)</f>
        <v>45653.42194</v>
      </c>
      <c r="M613" s="17" t="str">
        <f>IFERROR(__xludf.DUMMYFUNCTION("""COMPUTED_VALUE"""),"")</f>
        <v/>
      </c>
      <c r="N613" s="17">
        <f>IFERROR(__xludf.DUMMYFUNCTION("""COMPUTED_VALUE"""),45653.42197146991)</f>
        <v>45653.42197</v>
      </c>
      <c r="O613" s="13">
        <f t="shared" si="1"/>
        <v>16</v>
      </c>
    </row>
    <row r="614" ht="22.5" customHeight="1">
      <c r="B614" s="13">
        <f>IFERROR(__xludf.DUMMYFUNCTION("""COMPUTED_VALUE"""),609.0)</f>
        <v>609</v>
      </c>
      <c r="C614" s="13" t="str">
        <f>IFERROR(__xludf.DUMMYFUNCTION("""COMPUTED_VALUE"""),"M. 773/ Perwata")</f>
        <v>M. 773/ Perwata</v>
      </c>
      <c r="D614" s="13" t="str">
        <f>IFERROR(__xludf.DUMMYFUNCTION("""COMPUTED_VALUE"""),"K/40/231224/2")</f>
        <v>K/40/231224/2</v>
      </c>
      <c r="E614" s="14" t="str">
        <f>IFERROR(__xludf.DUMMYFUNCTION("""COMPUTED_VALUE"""),"Nadian (BT)")</f>
        <v>Nadian (BT)</v>
      </c>
      <c r="F614" s="14" t="str">
        <f>IFERROR(__xludf.DUMMYFUNCTION("""COMPUTED_VALUE"""),"SELESAI")</f>
        <v>SELESAI</v>
      </c>
      <c r="G614" s="17">
        <f>IFERROR(__xludf.DUMMYFUNCTION("""COMPUTED_VALUE"""),45650.62697003472)</f>
        <v>45650.62697</v>
      </c>
      <c r="H614" s="14" t="str">
        <f>IFERROR(__xludf.DUMMYFUNCTION("""COMPUTED_VALUE"""),"Aprill (SU)")</f>
        <v>Aprill (SU)</v>
      </c>
      <c r="I614" s="13" t="str">
        <f>IFERROR(__xludf.DUMMYFUNCTION("""COMPUTED_VALUE"""),"SELESAI")</f>
        <v>SELESAI</v>
      </c>
      <c r="J614" s="17">
        <f>IFERROR(__xludf.DUMMYFUNCTION("""COMPUTED_VALUE"""),45653.42195653935)</f>
        <v>45653.42196</v>
      </c>
      <c r="K614" s="13" t="str">
        <f>IFERROR(__xludf.DUMMYFUNCTION("""COMPUTED_VALUE"""),"SELESAI")</f>
        <v>SELESAI</v>
      </c>
      <c r="L614" s="17">
        <f>IFERROR(__xludf.DUMMYFUNCTION("""COMPUTED_VALUE"""),45653.42195653935)</f>
        <v>45653.42196</v>
      </c>
      <c r="M614" s="17" t="str">
        <f>IFERROR(__xludf.DUMMYFUNCTION("""COMPUTED_VALUE"""),"")</f>
        <v/>
      </c>
      <c r="N614" s="17">
        <f>IFERROR(__xludf.DUMMYFUNCTION("""COMPUTED_VALUE"""),45653.42197787037)</f>
        <v>45653.42198</v>
      </c>
      <c r="O614" s="13">
        <f t="shared" si="1"/>
        <v>17</v>
      </c>
    </row>
    <row r="615" ht="22.5" customHeight="1">
      <c r="B615" s="13">
        <f>IFERROR(__xludf.DUMMYFUNCTION("""COMPUTED_VALUE"""),610.0)</f>
        <v>610</v>
      </c>
      <c r="C615" s="13" t="str">
        <f>IFERROR(__xludf.DUMMYFUNCTION("""COMPUTED_VALUE"""),"HM 10313/SUKABUMI")</f>
        <v>HM 10313/SUKABUMI</v>
      </c>
      <c r="D615" s="13" t="str">
        <f>IFERROR(__xludf.DUMMYFUNCTION("""COMPUTED_VALUE"""),"L/2/071224/1")</f>
        <v>L/2/071224/1</v>
      </c>
      <c r="E615" s="14" t="str">
        <f>IFERROR(__xludf.DUMMYFUNCTION("""COMPUTED_VALUE"""),"Nadian (BT)")</f>
        <v>Nadian (BT)</v>
      </c>
      <c r="F615" s="14" t="str">
        <f>IFERROR(__xludf.DUMMYFUNCTION("""COMPUTED_VALUE"""),"SELESAI")</f>
        <v>SELESAI</v>
      </c>
      <c r="G615" s="17">
        <f>IFERROR(__xludf.DUMMYFUNCTION("""COMPUTED_VALUE"""),45650.6269700463)</f>
        <v>45650.62697</v>
      </c>
      <c r="H615" s="14" t="str">
        <f>IFERROR(__xludf.DUMMYFUNCTION("""COMPUTED_VALUE"""),"Aprill (SU)")</f>
        <v>Aprill (SU)</v>
      </c>
      <c r="I615" s="13" t="str">
        <f>IFERROR(__xludf.DUMMYFUNCTION("""COMPUTED_VALUE"""),"SELESAI")</f>
        <v>SELESAI</v>
      </c>
      <c r="J615" s="17">
        <f>IFERROR(__xludf.DUMMYFUNCTION("""COMPUTED_VALUE"""),45653.42280162037)</f>
        <v>45653.4228</v>
      </c>
      <c r="K615" s="13" t="str">
        <f>IFERROR(__xludf.DUMMYFUNCTION("""COMPUTED_VALUE"""),"SELESAI")</f>
        <v>SELESAI</v>
      </c>
      <c r="L615" s="17">
        <f>IFERROR(__xludf.DUMMYFUNCTION("""COMPUTED_VALUE"""),45653.42280162037)</f>
        <v>45653.4228</v>
      </c>
      <c r="M615" s="17" t="str">
        <f>IFERROR(__xludf.DUMMYFUNCTION("""COMPUTED_VALUE"""),"")</f>
        <v/>
      </c>
      <c r="N615" s="17">
        <f>IFERROR(__xludf.DUMMYFUNCTION("""COMPUTED_VALUE"""),45653.422820312495)</f>
        <v>45653.42282</v>
      </c>
      <c r="O615" s="13">
        <f t="shared" si="1"/>
        <v>18</v>
      </c>
    </row>
    <row r="616" ht="22.5" customHeight="1">
      <c r="B616" s="13">
        <f>IFERROR(__xludf.DUMMYFUNCTION("""COMPUTED_VALUE"""),611.0)</f>
        <v>611</v>
      </c>
      <c r="C616" s="13" t="str">
        <f>IFERROR(__xludf.DUMMYFUNCTION("""COMPUTED_VALUE"""),"M. 859/ Rajabasa Jaya")</f>
        <v>M. 859/ Rajabasa Jaya</v>
      </c>
      <c r="D616" s="13" t="str">
        <f>IFERROR(__xludf.DUMMYFUNCTION("""COMPUTED_VALUE"""),"K/52/231224/1")</f>
        <v>K/52/231224/1</v>
      </c>
      <c r="E616" s="14" t="str">
        <f>IFERROR(__xludf.DUMMYFUNCTION("""COMPUTED_VALUE"""),"Nadian (BT)")</f>
        <v>Nadian (BT)</v>
      </c>
      <c r="F616" s="14" t="str">
        <f>IFERROR(__xludf.DUMMYFUNCTION("""COMPUTED_VALUE"""),"SELESAI")</f>
        <v>SELESAI</v>
      </c>
      <c r="G616" s="17">
        <f>IFERROR(__xludf.DUMMYFUNCTION("""COMPUTED_VALUE"""),45650.6269700463)</f>
        <v>45650.62697</v>
      </c>
      <c r="H616" s="14" t="str">
        <f>IFERROR(__xludf.DUMMYFUNCTION("""COMPUTED_VALUE"""),"Aprill (SU)")</f>
        <v>Aprill (SU)</v>
      </c>
      <c r="I616" s="13" t="str">
        <f>IFERROR(__xludf.DUMMYFUNCTION("""COMPUTED_VALUE"""),"SELESAI")</f>
        <v>SELESAI</v>
      </c>
      <c r="J616" s="17">
        <f>IFERROR(__xludf.DUMMYFUNCTION("""COMPUTED_VALUE"""),45653.423877939815)</f>
        <v>45653.42388</v>
      </c>
      <c r="K616" s="13" t="str">
        <f>IFERROR(__xludf.DUMMYFUNCTION("""COMPUTED_VALUE"""),"SELESAI")</f>
        <v>SELESAI</v>
      </c>
      <c r="L616" s="17">
        <f>IFERROR(__xludf.DUMMYFUNCTION("""COMPUTED_VALUE"""),45653.423877939815)</f>
        <v>45653.42388</v>
      </c>
      <c r="M616" s="17" t="str">
        <f>IFERROR(__xludf.DUMMYFUNCTION("""COMPUTED_VALUE"""),"")</f>
        <v/>
      </c>
      <c r="N616" s="17">
        <f>IFERROR(__xludf.DUMMYFUNCTION("""COMPUTED_VALUE"""),45653.4238890625)</f>
        <v>45653.42389</v>
      </c>
      <c r="O616" s="13">
        <f t="shared" si="1"/>
        <v>19</v>
      </c>
    </row>
    <row r="617" ht="22.5" customHeight="1">
      <c r="B617" s="13">
        <f>IFERROR(__xludf.DUMMYFUNCTION("""COMPUTED_VALUE"""),612.0)</f>
        <v>612</v>
      </c>
      <c r="C617" s="13" t="str">
        <f>IFERROR(__xludf.DUMMYFUNCTION("""COMPUTED_VALUE"""),"HM 12528/RAJABASA")</f>
        <v>HM 12528/RAJABASA</v>
      </c>
      <c r="D617" s="13" t="str">
        <f>IFERROR(__xludf.DUMMYFUNCTION("""COMPUTED_VALUE"""),"L/4/231224/1")</f>
        <v>L/4/231224/1</v>
      </c>
      <c r="E617" s="14" t="str">
        <f>IFERROR(__xludf.DUMMYFUNCTION("""COMPUTED_VALUE"""),"Nadian (BT)")</f>
        <v>Nadian (BT)</v>
      </c>
      <c r="F617" s="14" t="str">
        <f>IFERROR(__xludf.DUMMYFUNCTION("""COMPUTED_VALUE"""),"SELESAI")</f>
        <v>SELESAI</v>
      </c>
      <c r="G617" s="17">
        <f>IFERROR(__xludf.DUMMYFUNCTION("""COMPUTED_VALUE"""),45650.6269700463)</f>
        <v>45650.62697</v>
      </c>
      <c r="H617" s="14" t="str">
        <f>IFERROR(__xludf.DUMMYFUNCTION("""COMPUTED_VALUE"""),"Aprill (SU)")</f>
        <v>Aprill (SU)</v>
      </c>
      <c r="I617" s="13" t="str">
        <f>IFERROR(__xludf.DUMMYFUNCTION("""COMPUTED_VALUE"""),"SELESAI")</f>
        <v>SELESAI</v>
      </c>
      <c r="J617" s="17">
        <f>IFERROR(__xludf.DUMMYFUNCTION("""COMPUTED_VALUE"""),45653.42502505787)</f>
        <v>45653.42503</v>
      </c>
      <c r="K617" s="13" t="str">
        <f>IFERROR(__xludf.DUMMYFUNCTION("""COMPUTED_VALUE"""),"SELESAI")</f>
        <v>SELESAI</v>
      </c>
      <c r="L617" s="17">
        <f>IFERROR(__xludf.DUMMYFUNCTION("""COMPUTED_VALUE"""),45653.42502505787)</f>
        <v>45653.42503</v>
      </c>
      <c r="M617" s="17" t="str">
        <f>IFERROR(__xludf.DUMMYFUNCTION("""COMPUTED_VALUE"""),"")</f>
        <v/>
      </c>
      <c r="N617" s="17">
        <f>IFERROR(__xludf.DUMMYFUNCTION("""COMPUTED_VALUE"""),45653.42505832176)</f>
        <v>45653.42506</v>
      </c>
      <c r="O617" s="13">
        <f t="shared" si="1"/>
        <v>20</v>
      </c>
    </row>
    <row r="618" ht="22.5" customHeight="1">
      <c r="B618" s="13">
        <f>IFERROR(__xludf.DUMMYFUNCTION("""COMPUTED_VALUE"""),613.0)</f>
        <v>613</v>
      </c>
      <c r="C618" s="13" t="str">
        <f>IFERROR(__xludf.DUMMYFUNCTION("""COMPUTED_VALUE"""),"M.1732/SUKARAME I-SEKARANG;B.4078/SUKARAME I-DAHULU;")</f>
        <v>M.1732/SUKARAME I-SEKARANG;B.4078/SUKARAME I-DAHULU;</v>
      </c>
      <c r="D618" s="13" t="str">
        <f>IFERROR(__xludf.DUMMYFUNCTION("""COMPUTED_VALUE"""),"")</f>
        <v/>
      </c>
      <c r="E618" s="14" t="str">
        <f>IFERROR(__xludf.DUMMYFUNCTION("""COMPUTED_VALUE"""),"Nadian (BT)")</f>
        <v>Nadian (BT)</v>
      </c>
      <c r="F618" s="14" t="str">
        <f>IFERROR(__xludf.DUMMYFUNCTION("""COMPUTED_VALUE"""),"SELESAI")</f>
        <v>SELESAI</v>
      </c>
      <c r="G618" s="17">
        <f>IFERROR(__xludf.DUMMYFUNCTION("""COMPUTED_VALUE"""),45650.6269700463)</f>
        <v>45650.62697</v>
      </c>
      <c r="H618" s="14" t="str">
        <f>IFERROR(__xludf.DUMMYFUNCTION("""COMPUTED_VALUE"""),"Aprill (SU)")</f>
        <v>Aprill (SU)</v>
      </c>
      <c r="I618" s="13" t="str">
        <f>IFERROR(__xludf.DUMMYFUNCTION("""COMPUTED_VALUE"""),"SELESAI")</f>
        <v>SELESAI</v>
      </c>
      <c r="J618" s="17">
        <f>IFERROR(__xludf.DUMMYFUNCTION("""COMPUTED_VALUE"""),45653.4342552662)</f>
        <v>45653.43426</v>
      </c>
      <c r="K618" s="13" t="str">
        <f>IFERROR(__xludf.DUMMYFUNCTION("""COMPUTED_VALUE"""),"")</f>
        <v/>
      </c>
      <c r="L618" s="13" t="str">
        <f>IFERROR(__xludf.DUMMYFUNCTION("""COMPUTED_VALUE"""),"")</f>
        <v/>
      </c>
      <c r="M618" s="17" t="str">
        <f>IFERROR(__xludf.DUMMYFUNCTION("""COMPUTED_VALUE"""),"")</f>
        <v/>
      </c>
      <c r="N618" s="17">
        <f>IFERROR(__xludf.DUMMYFUNCTION("""COMPUTED_VALUE"""),45653.43432958334)</f>
        <v>45653.43433</v>
      </c>
      <c r="O618" s="13">
        <f t="shared" si="1"/>
        <v>21</v>
      </c>
    </row>
    <row r="619" ht="22.5" customHeight="1">
      <c r="B619" s="13">
        <f>IFERROR(__xludf.DUMMYFUNCTION("""COMPUTED_VALUE"""),614.0)</f>
        <v>614</v>
      </c>
      <c r="C619" s="13" t="str">
        <f>IFERROR(__xludf.DUMMYFUNCTION("""COMPUTED_VALUE"""),"B. 599/ Pesawahan")</f>
        <v>B. 599/ Pesawahan</v>
      </c>
      <c r="D619" s="13" t="str">
        <f>IFERROR(__xludf.DUMMYFUNCTION("""COMPUTED_VALUE"""),"K/32/201224/4")</f>
        <v>K/32/201224/4</v>
      </c>
      <c r="E619" s="14" t="str">
        <f>IFERROR(__xludf.DUMMYFUNCTION("""COMPUTED_VALUE"""),"Nadian (BT)")</f>
        <v>Nadian (BT)</v>
      </c>
      <c r="F619" s="14" t="str">
        <f>IFERROR(__xludf.DUMMYFUNCTION("""COMPUTED_VALUE"""),"SELESAI")</f>
        <v>SELESAI</v>
      </c>
      <c r="G619" s="17">
        <f>IFERROR(__xludf.DUMMYFUNCTION("""COMPUTED_VALUE"""),45650.6269700463)</f>
        <v>45650.62697</v>
      </c>
      <c r="H619" s="14" t="str">
        <f>IFERROR(__xludf.DUMMYFUNCTION("""COMPUTED_VALUE"""),"Aprill (SU)")</f>
        <v>Aprill (SU)</v>
      </c>
      <c r="I619" s="13" t="str">
        <f>IFERROR(__xludf.DUMMYFUNCTION("""COMPUTED_VALUE"""),"SELESAI")</f>
        <v>SELESAI</v>
      </c>
      <c r="J619" s="17">
        <f>IFERROR(__xludf.DUMMYFUNCTION("""COMPUTED_VALUE"""),45653.4342552662)</f>
        <v>45653.43426</v>
      </c>
      <c r="K619" s="13" t="str">
        <f>IFERROR(__xludf.DUMMYFUNCTION("""COMPUTED_VALUE"""),"SELESAI")</f>
        <v>SELESAI</v>
      </c>
      <c r="L619" s="17">
        <f>IFERROR(__xludf.DUMMYFUNCTION("""COMPUTED_VALUE"""),45653.4342552662)</f>
        <v>45653.43426</v>
      </c>
      <c r="M619" s="17" t="str">
        <f>IFERROR(__xludf.DUMMYFUNCTION("""COMPUTED_VALUE"""),"")</f>
        <v/>
      </c>
      <c r="N619" s="17">
        <f>IFERROR(__xludf.DUMMYFUNCTION("""COMPUTED_VALUE"""),45653.43433815972)</f>
        <v>45653.43434</v>
      </c>
      <c r="O619" s="13">
        <f t="shared" si="1"/>
        <v>22</v>
      </c>
    </row>
    <row r="620" ht="22.5" customHeight="1">
      <c r="B620" s="13">
        <f>IFERROR(__xludf.DUMMYFUNCTION("""COMPUTED_VALUE"""),615.0)</f>
        <v>615</v>
      </c>
      <c r="C620" s="13" t="str">
        <f>IFERROR(__xludf.DUMMYFUNCTION("""COMPUTED_VALUE"""),"M. 1164/ Kupang Teba")</f>
        <v>M. 1164/ Kupang Teba</v>
      </c>
      <c r="D620" s="13" t="str">
        <f>IFERROR(__xludf.DUMMYFUNCTION("""COMPUTED_VALUE"""),"K/30/201224/2")</f>
        <v>K/30/201224/2</v>
      </c>
      <c r="E620" s="14" t="str">
        <f>IFERROR(__xludf.DUMMYFUNCTION("""COMPUTED_VALUE"""),"Nadian (BT)")</f>
        <v>Nadian (BT)</v>
      </c>
      <c r="F620" s="14" t="str">
        <f>IFERROR(__xludf.DUMMYFUNCTION("""COMPUTED_VALUE"""),"SELESAI")</f>
        <v>SELESAI</v>
      </c>
      <c r="G620" s="17">
        <f>IFERROR(__xludf.DUMMYFUNCTION("""COMPUTED_VALUE"""),45650.6269700463)</f>
        <v>45650.62697</v>
      </c>
      <c r="H620" s="14" t="str">
        <f>IFERROR(__xludf.DUMMYFUNCTION("""COMPUTED_VALUE"""),"Aprill (SU)")</f>
        <v>Aprill (SU)</v>
      </c>
      <c r="I620" s="13" t="str">
        <f>IFERROR(__xludf.DUMMYFUNCTION("""COMPUTED_VALUE"""),"SELESAI")</f>
        <v>SELESAI</v>
      </c>
      <c r="J620" s="17">
        <f>IFERROR(__xludf.DUMMYFUNCTION("""COMPUTED_VALUE"""),45653.43551887732)</f>
        <v>45653.43552</v>
      </c>
      <c r="K620" s="13" t="str">
        <f>IFERROR(__xludf.DUMMYFUNCTION("""COMPUTED_VALUE"""),"SELESAI")</f>
        <v>SELESAI</v>
      </c>
      <c r="L620" s="17">
        <f>IFERROR(__xludf.DUMMYFUNCTION("""COMPUTED_VALUE"""),45653.43551887732)</f>
        <v>45653.43552</v>
      </c>
      <c r="M620" s="17" t="str">
        <f>IFERROR(__xludf.DUMMYFUNCTION("""COMPUTED_VALUE"""),"")</f>
        <v/>
      </c>
      <c r="N620" s="17">
        <f>IFERROR(__xludf.DUMMYFUNCTION("""COMPUTED_VALUE"""),45653.435480659726)</f>
        <v>45653.43548</v>
      </c>
      <c r="O620" s="13">
        <f t="shared" si="1"/>
        <v>23</v>
      </c>
    </row>
    <row r="621" ht="22.5" customHeight="1">
      <c r="B621" s="13">
        <f>IFERROR(__xludf.DUMMYFUNCTION("""COMPUTED_VALUE"""),616.0)</f>
        <v>616</v>
      </c>
      <c r="C621" s="13" t="str">
        <f>IFERROR(__xludf.DUMMYFUNCTION("""COMPUTED_VALUE"""),"M. 1765/ Rajabasa Nunyai")</f>
        <v>M. 1765/ Rajabasa Nunyai</v>
      </c>
      <c r="D621" s="13" t="str">
        <f>IFERROR(__xludf.DUMMYFUNCTION("""COMPUTED_VALUE"""),"K/27/201224/3")</f>
        <v>K/27/201224/3</v>
      </c>
      <c r="E621" s="14" t="str">
        <f>IFERROR(__xludf.DUMMYFUNCTION("""COMPUTED_VALUE"""),"Nadian (BT)")</f>
        <v>Nadian (BT)</v>
      </c>
      <c r="F621" s="14" t="str">
        <f>IFERROR(__xludf.DUMMYFUNCTION("""COMPUTED_VALUE"""),"SELESAI")</f>
        <v>SELESAI</v>
      </c>
      <c r="G621" s="17">
        <f>IFERROR(__xludf.DUMMYFUNCTION("""COMPUTED_VALUE"""),45650.6269700463)</f>
        <v>45650.62697</v>
      </c>
      <c r="H621" s="14" t="str">
        <f>IFERROR(__xludf.DUMMYFUNCTION("""COMPUTED_VALUE"""),"Aprill (SU)")</f>
        <v>Aprill (SU)</v>
      </c>
      <c r="I621" s="13" t="str">
        <f>IFERROR(__xludf.DUMMYFUNCTION("""COMPUTED_VALUE"""),"SELESAI")</f>
        <v>SELESAI</v>
      </c>
      <c r="J621" s="17">
        <f>IFERROR(__xludf.DUMMYFUNCTION("""COMPUTED_VALUE"""),45653.43645421296)</f>
        <v>45653.43645</v>
      </c>
      <c r="K621" s="13" t="str">
        <f>IFERROR(__xludf.DUMMYFUNCTION("""COMPUTED_VALUE"""),"SELESAI")</f>
        <v>SELESAI</v>
      </c>
      <c r="L621" s="17">
        <f>IFERROR(__xludf.DUMMYFUNCTION("""COMPUTED_VALUE"""),45653.43645421296)</f>
        <v>45653.43645</v>
      </c>
      <c r="M621" s="17" t="str">
        <f>IFERROR(__xludf.DUMMYFUNCTION("""COMPUTED_VALUE"""),"")</f>
        <v/>
      </c>
      <c r="N621" s="17">
        <f>IFERROR(__xludf.DUMMYFUNCTION("""COMPUTED_VALUE"""),45653.43648809028)</f>
        <v>45653.43649</v>
      </c>
      <c r="O621" s="13">
        <f t="shared" si="1"/>
        <v>24</v>
      </c>
    </row>
    <row r="622" ht="22.5" customHeight="1">
      <c r="B622" s="13">
        <f>IFERROR(__xludf.DUMMYFUNCTION("""COMPUTED_VALUE"""),617.0)</f>
        <v>617</v>
      </c>
      <c r="C622" s="13" t="str">
        <f>IFERROR(__xludf.DUMMYFUNCTION("""COMPUTED_VALUE"""),"M. 5839/ Tanjung Senang")</f>
        <v>M. 5839/ Tanjung Senang</v>
      </c>
      <c r="D622" s="13" t="str">
        <f>IFERROR(__xludf.DUMMYFUNCTION("""COMPUTED_VALUE"""),"K/43/231224/2")</f>
        <v>K/43/231224/2</v>
      </c>
      <c r="E622" s="14" t="str">
        <f>IFERROR(__xludf.DUMMYFUNCTION("""COMPUTED_VALUE"""),"Nadian (BT)")</f>
        <v>Nadian (BT)</v>
      </c>
      <c r="F622" s="14" t="str">
        <f>IFERROR(__xludf.DUMMYFUNCTION("""COMPUTED_VALUE"""),"SELESAI")</f>
        <v>SELESAI</v>
      </c>
      <c r="G622" s="17">
        <f>IFERROR(__xludf.DUMMYFUNCTION("""COMPUTED_VALUE"""),45650.6269700463)</f>
        <v>45650.62697</v>
      </c>
      <c r="H622" s="14" t="str">
        <f>IFERROR(__xludf.DUMMYFUNCTION("""COMPUTED_VALUE"""),"Aprill (SU)")</f>
        <v>Aprill (SU)</v>
      </c>
      <c r="I622" s="13" t="str">
        <f>IFERROR(__xludf.DUMMYFUNCTION("""COMPUTED_VALUE"""),"SELESAI")</f>
        <v>SELESAI</v>
      </c>
      <c r="J622" s="17">
        <f>IFERROR(__xludf.DUMMYFUNCTION("""COMPUTED_VALUE"""),45653.438940092594)</f>
        <v>45653.43894</v>
      </c>
      <c r="K622" s="13" t="str">
        <f>IFERROR(__xludf.DUMMYFUNCTION("""COMPUTED_VALUE"""),"SELESAI")</f>
        <v>SELESAI</v>
      </c>
      <c r="L622" s="17">
        <f>IFERROR(__xludf.DUMMYFUNCTION("""COMPUTED_VALUE"""),45653.438940092594)</f>
        <v>45653.43894</v>
      </c>
      <c r="M622" s="17" t="str">
        <f>IFERROR(__xludf.DUMMYFUNCTION("""COMPUTED_VALUE"""),"")</f>
        <v/>
      </c>
      <c r="N622" s="17">
        <f>IFERROR(__xludf.DUMMYFUNCTION("""COMPUTED_VALUE"""),45653.438967870374)</f>
        <v>45653.43897</v>
      </c>
      <c r="O622" s="13">
        <f t="shared" si="1"/>
        <v>25</v>
      </c>
    </row>
    <row r="623" ht="22.5" customHeight="1">
      <c r="B623" s="13">
        <f>IFERROR(__xludf.DUMMYFUNCTION("""COMPUTED_VALUE"""),618.0)</f>
        <v>618</v>
      </c>
      <c r="C623" s="13" t="str">
        <f>IFERROR(__xludf.DUMMYFUNCTION("""COMPUTED_VALUE"""),"M. 6418/ Gunung Sulah")</f>
        <v>M. 6418/ Gunung Sulah</v>
      </c>
      <c r="D623" s="13" t="str">
        <f>IFERROR(__xludf.DUMMYFUNCTION("""COMPUTED_VALUE"""),"K/42/231224/1")</f>
        <v>K/42/231224/1</v>
      </c>
      <c r="E623" s="14" t="str">
        <f>IFERROR(__xludf.DUMMYFUNCTION("""COMPUTED_VALUE"""),"Nadian (BT)")</f>
        <v>Nadian (BT)</v>
      </c>
      <c r="F623" s="14" t="str">
        <f>IFERROR(__xludf.DUMMYFUNCTION("""COMPUTED_VALUE"""),"SELESAI")</f>
        <v>SELESAI</v>
      </c>
      <c r="G623" s="17">
        <f>IFERROR(__xludf.DUMMYFUNCTION("""COMPUTED_VALUE"""),45650.6269700463)</f>
        <v>45650.62697</v>
      </c>
      <c r="H623" s="14" t="str">
        <f>IFERROR(__xludf.DUMMYFUNCTION("""COMPUTED_VALUE"""),"Aprill (SU)")</f>
        <v>Aprill (SU)</v>
      </c>
      <c r="I623" s="13" t="str">
        <f>IFERROR(__xludf.DUMMYFUNCTION("""COMPUTED_VALUE"""),"SELESAI")</f>
        <v>SELESAI</v>
      </c>
      <c r="J623" s="17">
        <f>IFERROR(__xludf.DUMMYFUNCTION("""COMPUTED_VALUE"""),45653.44097606481)</f>
        <v>45653.44098</v>
      </c>
      <c r="K623" s="13" t="str">
        <f>IFERROR(__xludf.DUMMYFUNCTION("""COMPUTED_VALUE"""),"SELESAI")</f>
        <v>SELESAI</v>
      </c>
      <c r="L623" s="17">
        <f>IFERROR(__xludf.DUMMYFUNCTION("""COMPUTED_VALUE"""),45653.44097606481)</f>
        <v>45653.44098</v>
      </c>
      <c r="M623" s="17" t="str">
        <f>IFERROR(__xludf.DUMMYFUNCTION("""COMPUTED_VALUE"""),"")</f>
        <v/>
      </c>
      <c r="N623" s="17">
        <f>IFERROR(__xludf.DUMMYFUNCTION("""COMPUTED_VALUE"""),45653.44107226851)</f>
        <v>45653.44107</v>
      </c>
      <c r="O623" s="13">
        <f t="shared" si="1"/>
        <v>26</v>
      </c>
    </row>
    <row r="624" ht="22.5" customHeight="1">
      <c r="B624" s="13">
        <f>IFERROR(__xludf.DUMMYFUNCTION("""COMPUTED_VALUE"""),619.0)</f>
        <v>619</v>
      </c>
      <c r="C624" s="13" t="str">
        <f>IFERROR(__xludf.DUMMYFUNCTION("""COMPUTED_VALUE"""),"M. 428/ Kaliawi Persada")</f>
        <v>M. 428/ Kaliawi Persada</v>
      </c>
      <c r="D624" s="13" t="str">
        <f>IFERROR(__xludf.DUMMYFUNCTION("""COMPUTED_VALUE"""),"K/32/231224/3")</f>
        <v>K/32/231224/3</v>
      </c>
      <c r="E624" s="14" t="str">
        <f>IFERROR(__xludf.DUMMYFUNCTION("""COMPUTED_VALUE"""),"Nadian (BT)")</f>
        <v>Nadian (BT)</v>
      </c>
      <c r="F624" s="14" t="str">
        <f>IFERROR(__xludf.DUMMYFUNCTION("""COMPUTED_VALUE"""),"SELESAI")</f>
        <v>SELESAI</v>
      </c>
      <c r="G624" s="17">
        <f>IFERROR(__xludf.DUMMYFUNCTION("""COMPUTED_VALUE"""),45650.6269700463)</f>
        <v>45650.62697</v>
      </c>
      <c r="H624" s="14" t="str">
        <f>IFERROR(__xludf.DUMMYFUNCTION("""COMPUTED_VALUE"""),"Aprill (SU)")</f>
        <v>Aprill (SU)</v>
      </c>
      <c r="I624" s="13" t="str">
        <f>IFERROR(__xludf.DUMMYFUNCTION("""COMPUTED_VALUE"""),"SELESAI")</f>
        <v>SELESAI</v>
      </c>
      <c r="J624" s="17">
        <f>IFERROR(__xludf.DUMMYFUNCTION("""COMPUTED_VALUE"""),45653.440996770834)</f>
        <v>45653.441</v>
      </c>
      <c r="K624" s="13" t="str">
        <f>IFERROR(__xludf.DUMMYFUNCTION("""COMPUTED_VALUE"""),"SELESAI")</f>
        <v>SELESAI</v>
      </c>
      <c r="L624" s="17">
        <f>IFERROR(__xludf.DUMMYFUNCTION("""COMPUTED_VALUE"""),45653.440996770834)</f>
        <v>45653.441</v>
      </c>
      <c r="M624" s="17" t="str">
        <f>IFERROR(__xludf.DUMMYFUNCTION("""COMPUTED_VALUE"""),"")</f>
        <v/>
      </c>
      <c r="N624" s="17">
        <f>IFERROR(__xludf.DUMMYFUNCTION("""COMPUTED_VALUE"""),45653.4410630787)</f>
        <v>45653.44106</v>
      </c>
      <c r="O624" s="13">
        <f t="shared" si="1"/>
        <v>27</v>
      </c>
    </row>
    <row r="625" ht="22.5" customHeight="1">
      <c r="B625" s="13">
        <f>IFERROR(__xludf.DUMMYFUNCTION("""COMPUTED_VALUE"""),620.0)</f>
        <v>620</v>
      </c>
      <c r="C625" s="13" t="str">
        <f>IFERROR(__xludf.DUMMYFUNCTION("""COMPUTED_VALUE"""),"M. 429/ Kaliawi Persada")</f>
        <v>M. 429/ Kaliawi Persada</v>
      </c>
      <c r="D625" s="13" t="str">
        <f>IFERROR(__xludf.DUMMYFUNCTION("""COMPUTED_VALUE"""),"K/31/231224/2")</f>
        <v>K/31/231224/2</v>
      </c>
      <c r="E625" s="14" t="str">
        <f>IFERROR(__xludf.DUMMYFUNCTION("""COMPUTED_VALUE"""),"Nadian (BT)")</f>
        <v>Nadian (BT)</v>
      </c>
      <c r="F625" s="14" t="str">
        <f>IFERROR(__xludf.DUMMYFUNCTION("""COMPUTED_VALUE"""),"SELESAI")</f>
        <v>SELESAI</v>
      </c>
      <c r="G625" s="17">
        <f>IFERROR(__xludf.DUMMYFUNCTION("""COMPUTED_VALUE"""),45650.6269700463)</f>
        <v>45650.62697</v>
      </c>
      <c r="H625" s="14" t="str">
        <f>IFERROR(__xludf.DUMMYFUNCTION("""COMPUTED_VALUE"""),"Aprill (SU)")</f>
        <v>Aprill (SU)</v>
      </c>
      <c r="I625" s="13" t="str">
        <f>IFERROR(__xludf.DUMMYFUNCTION("""COMPUTED_VALUE"""),"SELESAI")</f>
        <v>SELESAI</v>
      </c>
      <c r="J625" s="17">
        <f>IFERROR(__xludf.DUMMYFUNCTION("""COMPUTED_VALUE"""),45653.44102708333)</f>
        <v>45653.44103</v>
      </c>
      <c r="K625" s="13" t="str">
        <f>IFERROR(__xludf.DUMMYFUNCTION("""COMPUTED_VALUE"""),"SELESAI")</f>
        <v>SELESAI</v>
      </c>
      <c r="L625" s="17">
        <f>IFERROR(__xludf.DUMMYFUNCTION("""COMPUTED_VALUE"""),45653.44102708333)</f>
        <v>45653.44103</v>
      </c>
      <c r="M625" s="17" t="str">
        <f>IFERROR(__xludf.DUMMYFUNCTION("""COMPUTED_VALUE"""),"")</f>
        <v/>
      </c>
      <c r="N625" s="17">
        <f>IFERROR(__xludf.DUMMYFUNCTION("""COMPUTED_VALUE"""),45653.44104597223)</f>
        <v>45653.44105</v>
      </c>
      <c r="O625" s="13">
        <f t="shared" si="1"/>
        <v>28</v>
      </c>
    </row>
    <row r="626" ht="22.5" customHeight="1">
      <c r="B626" s="13">
        <f>IFERROR(__xludf.DUMMYFUNCTION("""COMPUTED_VALUE"""),621.0)</f>
        <v>621</v>
      </c>
      <c r="C626" s="13" t="str">
        <f>IFERROR(__xludf.DUMMYFUNCTION("""COMPUTED_VALUE"""),"HM 72/PEMATANG WANGI")</f>
        <v>HM 72/PEMATANG WANGI</v>
      </c>
      <c r="D626" s="13" t="str">
        <f>IFERROR(__xludf.DUMMYFUNCTION("""COMPUTED_VALUE"""),"L/13/231224/1")</f>
        <v>L/13/231224/1</v>
      </c>
      <c r="E626" s="14" t="str">
        <f>IFERROR(__xludf.DUMMYFUNCTION("""COMPUTED_VALUE"""),"Nadian (BT)")</f>
        <v>Nadian (BT)</v>
      </c>
      <c r="F626" s="14" t="str">
        <f>IFERROR(__xludf.DUMMYFUNCTION("""COMPUTED_VALUE"""),"SELESAI")</f>
        <v>SELESAI</v>
      </c>
      <c r="G626" s="17">
        <f>IFERROR(__xludf.DUMMYFUNCTION("""COMPUTED_VALUE"""),45650.6269700463)</f>
        <v>45650.62697</v>
      </c>
      <c r="H626" s="14" t="str">
        <f>IFERROR(__xludf.DUMMYFUNCTION("""COMPUTED_VALUE"""),"Aprill (SU)")</f>
        <v>Aprill (SU)</v>
      </c>
      <c r="I626" s="13" t="str">
        <f>IFERROR(__xludf.DUMMYFUNCTION("""COMPUTED_VALUE"""),"SELESAI")</f>
        <v>SELESAI</v>
      </c>
      <c r="J626" s="17">
        <f>IFERROR(__xludf.DUMMYFUNCTION("""COMPUTED_VALUE"""),45653.4699953588)</f>
        <v>45653.47</v>
      </c>
      <c r="K626" s="13" t="str">
        <f>IFERROR(__xludf.DUMMYFUNCTION("""COMPUTED_VALUE"""),"SELESAI")</f>
        <v>SELESAI</v>
      </c>
      <c r="L626" s="17">
        <f>IFERROR(__xludf.DUMMYFUNCTION("""COMPUTED_VALUE"""),45653.4699953588)</f>
        <v>45653.47</v>
      </c>
      <c r="M626" s="17" t="str">
        <f>IFERROR(__xludf.DUMMYFUNCTION("""COMPUTED_VALUE"""),"")</f>
        <v/>
      </c>
      <c r="N626" s="17">
        <f>IFERROR(__xludf.DUMMYFUNCTION("""COMPUTED_VALUE"""),45653.47002925926)</f>
        <v>45653.47003</v>
      </c>
      <c r="O626" s="13">
        <f t="shared" si="1"/>
        <v>29</v>
      </c>
    </row>
    <row r="627" ht="22.5" customHeight="1">
      <c r="B627" s="13">
        <f>IFERROR(__xludf.DUMMYFUNCTION("""COMPUTED_VALUE"""),622.0)</f>
        <v>622</v>
      </c>
      <c r="C627" s="13" t="str">
        <f>IFERROR(__xludf.DUMMYFUNCTION("""COMPUTED_VALUE"""),"HM 378/SUMUR PUTRI")</f>
        <v>HM 378/SUMUR PUTRI</v>
      </c>
      <c r="D627" s="13" t="str">
        <f>IFERROR(__xludf.DUMMYFUNCTION("""COMPUTED_VALUE"""),"L/35/201224/1")</f>
        <v>L/35/201224/1</v>
      </c>
      <c r="E627" s="14" t="str">
        <f>IFERROR(__xludf.DUMMYFUNCTION("""COMPUTED_VALUE"""),"Nadian (BT)")</f>
        <v>Nadian (BT)</v>
      </c>
      <c r="F627" s="14" t="str">
        <f>IFERROR(__xludf.DUMMYFUNCTION("""COMPUTED_VALUE"""),"SELESAI")</f>
        <v>SELESAI</v>
      </c>
      <c r="G627" s="17">
        <f>IFERROR(__xludf.DUMMYFUNCTION("""COMPUTED_VALUE"""),45650.6269700463)</f>
        <v>45650.62697</v>
      </c>
      <c r="H627" s="14" t="str">
        <f>IFERROR(__xludf.DUMMYFUNCTION("""COMPUTED_VALUE"""),"Aprill (SU)")</f>
        <v>Aprill (SU)</v>
      </c>
      <c r="I627" s="13" t="str">
        <f>IFERROR(__xludf.DUMMYFUNCTION("""COMPUTED_VALUE"""),"SELESAI")</f>
        <v>SELESAI</v>
      </c>
      <c r="J627" s="17">
        <f>IFERROR(__xludf.DUMMYFUNCTION("""COMPUTED_VALUE"""),45653.47069259259)</f>
        <v>45653.47069</v>
      </c>
      <c r="K627" s="13" t="str">
        <f>IFERROR(__xludf.DUMMYFUNCTION("""COMPUTED_VALUE"""),"SELESAI")</f>
        <v>SELESAI</v>
      </c>
      <c r="L627" s="17">
        <f>IFERROR(__xludf.DUMMYFUNCTION("""COMPUTED_VALUE"""),45653.47069259259)</f>
        <v>45653.47069</v>
      </c>
      <c r="M627" s="17" t="str">
        <f>IFERROR(__xludf.DUMMYFUNCTION("""COMPUTED_VALUE"""),"")</f>
        <v/>
      </c>
      <c r="N627" s="17">
        <f>IFERROR(__xludf.DUMMYFUNCTION("""COMPUTED_VALUE"""),45653.47073403935)</f>
        <v>45653.47073</v>
      </c>
      <c r="O627" s="13">
        <f t="shared" si="1"/>
        <v>30</v>
      </c>
    </row>
    <row r="628" ht="22.5" customHeight="1">
      <c r="B628" s="13">
        <f>IFERROR(__xludf.DUMMYFUNCTION("""COMPUTED_VALUE"""),623.0)</f>
        <v>623</v>
      </c>
      <c r="C628" s="13" t="str">
        <f>IFERROR(__xludf.DUMMYFUNCTION("""COMPUTED_VALUE"""),"HM 1090/KEDAUNG")</f>
        <v>HM 1090/KEDAUNG</v>
      </c>
      <c r="D628" s="13" t="str">
        <f>IFERROR(__xludf.DUMMYFUNCTION("""COMPUTED_VALUE"""),"L/28/201224/1")</f>
        <v>L/28/201224/1</v>
      </c>
      <c r="E628" s="14" t="str">
        <f>IFERROR(__xludf.DUMMYFUNCTION("""COMPUTED_VALUE"""),"Nadian (BT)")</f>
        <v>Nadian (BT)</v>
      </c>
      <c r="F628" s="14" t="str">
        <f>IFERROR(__xludf.DUMMYFUNCTION("""COMPUTED_VALUE"""),"SELESAI")</f>
        <v>SELESAI</v>
      </c>
      <c r="G628" s="17">
        <f>IFERROR(__xludf.DUMMYFUNCTION("""COMPUTED_VALUE"""),45650.627191064814)</f>
        <v>45650.62719</v>
      </c>
      <c r="H628" s="14"/>
      <c r="I628" s="13"/>
      <c r="J628" s="17" t="str">
        <f>IFERROR(__xludf.DUMMYFUNCTION("""COMPUTED_VALUE"""),"")</f>
        <v/>
      </c>
      <c r="K628" s="13" t="str">
        <f>IFERROR(__xludf.DUMMYFUNCTION("""COMPUTED_VALUE"""),"BT atau SU Belum Valid")</f>
        <v>BT atau SU Belum Valid</v>
      </c>
      <c r="L628" s="13" t="str">
        <f>IFERROR(__xludf.DUMMYFUNCTION("""COMPUTED_VALUE"""),"")</f>
        <v/>
      </c>
      <c r="M628" s="17" t="str">
        <f>IFERROR(__xludf.DUMMYFUNCTION("""COMPUTED_VALUE"""),"")</f>
        <v/>
      </c>
      <c r="N628" s="13" t="str">
        <f>IFERROR(__xludf.DUMMYFUNCTION("""COMPUTED_VALUE"""),"")</f>
        <v/>
      </c>
      <c r="O628" s="13" t="str">
        <f t="shared" si="1"/>
        <v/>
      </c>
    </row>
    <row r="629" ht="22.5" customHeight="1">
      <c r="B629" s="13">
        <f>IFERROR(__xludf.DUMMYFUNCTION("""COMPUTED_VALUE"""),624.0)</f>
        <v>624</v>
      </c>
      <c r="C629" s="13" t="str">
        <f>IFERROR(__xludf.DUMMYFUNCTION("""COMPUTED_VALUE"""),"M. 1313,1312/ GOTONG ROYONG")</f>
        <v>M. 1313,1312/ GOTONG ROYONG</v>
      </c>
      <c r="D629" s="13" t="str">
        <f>IFERROR(__xludf.DUMMYFUNCTION("""COMPUTED_VALUE"""),"K/1/191224/1")</f>
        <v>K/1/191224/1</v>
      </c>
      <c r="E629" s="14" t="str">
        <f>IFERROR(__xludf.DUMMYFUNCTION("""COMPUTED_VALUE"""),"Nadian (BT)")</f>
        <v>Nadian (BT)</v>
      </c>
      <c r="F629" s="14" t="str">
        <f>IFERROR(__xludf.DUMMYFUNCTION("""COMPUTED_VALUE"""),"SELESAI")</f>
        <v>SELESAI</v>
      </c>
      <c r="G629" s="17">
        <f>IFERROR(__xludf.DUMMYFUNCTION("""COMPUTED_VALUE"""),45650.627191064814)</f>
        <v>45650.62719</v>
      </c>
      <c r="H629" s="14"/>
      <c r="I629" s="13"/>
      <c r="J629" s="17" t="str">
        <f>IFERROR(__xludf.DUMMYFUNCTION("""COMPUTED_VALUE"""),"")</f>
        <v/>
      </c>
      <c r="K629" s="13" t="str">
        <f>IFERROR(__xludf.DUMMYFUNCTION("""COMPUTED_VALUE"""),"BT atau SU Belum Valid")</f>
        <v>BT atau SU Belum Valid</v>
      </c>
      <c r="L629" s="13" t="str">
        <f>IFERROR(__xludf.DUMMYFUNCTION("""COMPUTED_VALUE"""),"")</f>
        <v/>
      </c>
      <c r="M629" s="17" t="str">
        <f>IFERROR(__xludf.DUMMYFUNCTION("""COMPUTED_VALUE"""),"")</f>
        <v/>
      </c>
      <c r="N629" s="13" t="str">
        <f>IFERROR(__xludf.DUMMYFUNCTION("""COMPUTED_VALUE"""),"")</f>
        <v/>
      </c>
      <c r="O629" s="13" t="str">
        <f t="shared" si="1"/>
        <v/>
      </c>
    </row>
    <row r="630" ht="22.5" customHeight="1">
      <c r="B630" s="13">
        <f>IFERROR(__xludf.DUMMYFUNCTION("""COMPUTED_VALUE"""),625.0)</f>
        <v>625</v>
      </c>
      <c r="C630" s="13" t="str">
        <f>IFERROR(__xludf.DUMMYFUNCTION("""COMPUTED_VALUE"""),"M. 367/ Sukamenanti Baru")</f>
        <v>M. 367/ Sukamenanti Baru</v>
      </c>
      <c r="D630" s="13" t="str">
        <f>IFERROR(__xludf.DUMMYFUNCTION("""COMPUTED_VALUE"""),"K/27/131224/2")</f>
        <v>K/27/131224/2</v>
      </c>
      <c r="E630" s="14" t="str">
        <f>IFERROR(__xludf.DUMMYFUNCTION("""COMPUTED_VALUE"""),"Nadian (BT)")</f>
        <v>Nadian (BT)</v>
      </c>
      <c r="F630" s="14" t="str">
        <f>IFERROR(__xludf.DUMMYFUNCTION("""COMPUTED_VALUE"""),"SELESAI (VIA PERMOHONAN)")</f>
        <v>SELESAI (VIA PERMOHONAN)</v>
      </c>
      <c r="G630" s="17">
        <f>IFERROR(__xludf.DUMMYFUNCTION("""COMPUTED_VALUE"""),45650.627201689815)</f>
        <v>45650.6272</v>
      </c>
      <c r="H630" s="14" t="str">
        <f>IFERROR(__xludf.DUMMYFUNCTION("""COMPUTED_VALUE"""),"Aprill (SU)")</f>
        <v>Aprill (SU)</v>
      </c>
      <c r="I630" s="13" t="str">
        <f>IFERROR(__xludf.DUMMYFUNCTION("""COMPUTED_VALUE"""),"SELESAI (VIA PERMOHONAN)")</f>
        <v>SELESAI (VIA PERMOHONAN)</v>
      </c>
      <c r="J630" s="17">
        <f>IFERROR(__xludf.DUMMYFUNCTION("""COMPUTED_VALUE"""),45664.36143534722)</f>
        <v>45664.36144</v>
      </c>
      <c r="K630" s="13" t="str">
        <f>IFERROR(__xludf.DUMMYFUNCTION("""COMPUTED_VALUE"""),"Selesai")</f>
        <v>Selesai</v>
      </c>
      <c r="L630" s="17">
        <f>IFERROR(__xludf.DUMMYFUNCTION("""COMPUTED_VALUE"""),45664.36143534722)</f>
        <v>45664.36144</v>
      </c>
      <c r="M630" s="17">
        <f>IFERROR(__xludf.DUMMYFUNCTION("""COMPUTED_VALUE"""),45664.36143534722)</f>
        <v>45664.36144</v>
      </c>
      <c r="N630" s="13" t="str">
        <f>IFERROR(__xludf.DUMMYFUNCTION("""COMPUTED_VALUE"""),"")</f>
        <v/>
      </c>
      <c r="O630" s="13" t="str">
        <f t="shared" si="1"/>
        <v/>
      </c>
    </row>
    <row r="631" ht="22.5" customHeight="1">
      <c r="B631" s="13">
        <f>IFERROR(__xludf.DUMMYFUNCTION("""COMPUTED_VALUE"""),626.0)</f>
        <v>626</v>
      </c>
      <c r="C631" s="13" t="str">
        <f>IFERROR(__xludf.DUMMYFUNCTION("""COMPUTED_VALUE"""),"M.471/KOTA SEPANG-SEKARANG; M.9885/KEDATON-DAHULU")</f>
        <v>M.471/KOTA SEPANG-SEKARANG; M.9885/KEDATON-DAHULU</v>
      </c>
      <c r="D631" s="13" t="str">
        <f>IFERROR(__xludf.DUMMYFUNCTION("""COMPUTED_VALUE"""),"K/38/181224/1")</f>
        <v>K/38/181224/1</v>
      </c>
      <c r="E631" s="14" t="str">
        <f>IFERROR(__xludf.DUMMYFUNCTION("""COMPUTED_VALUE"""),"Afriza (BT)")</f>
        <v>Afriza (BT)</v>
      </c>
      <c r="F631" s="14" t="str">
        <f>IFERROR(__xludf.DUMMYFUNCTION("""COMPUTED_VALUE"""),"SELESAI (VIA PERMOHONAN)")</f>
        <v>SELESAI (VIA PERMOHONAN)</v>
      </c>
      <c r="G631" s="17">
        <f>IFERROR(__xludf.DUMMYFUNCTION("""COMPUTED_VALUE"""),45653.40504208334)</f>
        <v>45653.40504</v>
      </c>
      <c r="H631" s="14" t="str">
        <f>IFERROR(__xludf.DUMMYFUNCTION("""COMPUTED_VALUE"""),"Aprill (SU)")</f>
        <v>Aprill (SU)</v>
      </c>
      <c r="I631" s="13" t="str">
        <f>IFERROR(__xludf.DUMMYFUNCTION("""COMPUTED_VALUE"""),"SELESAI (VIA PERMOHONAN)")</f>
        <v>SELESAI (VIA PERMOHONAN)</v>
      </c>
      <c r="J631" s="17">
        <f>IFERROR(__xludf.DUMMYFUNCTION("""COMPUTED_VALUE"""),45664.36143534722)</f>
        <v>45664.36144</v>
      </c>
      <c r="K631" s="13" t="str">
        <f>IFERROR(__xludf.DUMMYFUNCTION("""COMPUTED_VALUE"""),"Selesai")</f>
        <v>Selesai</v>
      </c>
      <c r="L631" s="17">
        <f>IFERROR(__xludf.DUMMYFUNCTION("""COMPUTED_VALUE"""),45664.36143534722)</f>
        <v>45664.36144</v>
      </c>
      <c r="M631" s="17">
        <f>IFERROR(__xludf.DUMMYFUNCTION("""COMPUTED_VALUE"""),45664.36143534722)</f>
        <v>45664.36144</v>
      </c>
      <c r="N631" s="13" t="str">
        <f>IFERROR(__xludf.DUMMYFUNCTION("""COMPUTED_VALUE"""),"")</f>
        <v/>
      </c>
      <c r="O631" s="13" t="str">
        <f t="shared" si="1"/>
        <v/>
      </c>
    </row>
    <row r="632" ht="22.5" customHeight="1">
      <c r="B632" s="13">
        <f>IFERROR(__xludf.DUMMYFUNCTION("""COMPUTED_VALUE"""),627.0)</f>
        <v>627</v>
      </c>
      <c r="C632" s="13" t="str">
        <f>IFERROR(__xludf.DUMMYFUNCTION("""COMPUTED_VALUE"""),"M. 9662/ KEDAMAIAN")</f>
        <v>M. 9662/ KEDAMAIAN</v>
      </c>
      <c r="D632" s="13" t="str">
        <f>IFERROR(__xludf.DUMMYFUNCTION("""COMPUTED_VALUE"""),"K/22/051224/4")</f>
        <v>K/22/051224/4</v>
      </c>
      <c r="E632" s="14" t="str">
        <f>IFERROR(__xludf.DUMMYFUNCTION("""COMPUTED_VALUE"""),"Afriza (BT)")</f>
        <v>Afriza (BT)</v>
      </c>
      <c r="F632" s="14" t="str">
        <f>IFERROR(__xludf.DUMMYFUNCTION("""COMPUTED_VALUE"""),"SELESAI (VIA PERMOHONAN)")</f>
        <v>SELESAI (VIA PERMOHONAN)</v>
      </c>
      <c r="G632" s="17">
        <f>IFERROR(__xludf.DUMMYFUNCTION("""COMPUTED_VALUE"""),45653.41230622685)</f>
        <v>45653.41231</v>
      </c>
      <c r="H632" s="14" t="str">
        <f>IFERROR(__xludf.DUMMYFUNCTION("""COMPUTED_VALUE"""),"Aprill (SU)")</f>
        <v>Aprill (SU)</v>
      </c>
      <c r="I632" s="13" t="str">
        <f>IFERROR(__xludf.DUMMYFUNCTION("""COMPUTED_VALUE"""),"SELESAI (VIA PERMOHONAN)")</f>
        <v>SELESAI (VIA PERMOHONAN)</v>
      </c>
      <c r="J632" s="17">
        <f>IFERROR(__xludf.DUMMYFUNCTION("""COMPUTED_VALUE"""),45664.36143534722)</f>
        <v>45664.36144</v>
      </c>
      <c r="K632" s="13" t="str">
        <f>IFERROR(__xludf.DUMMYFUNCTION("""COMPUTED_VALUE"""),"Selesai")</f>
        <v>Selesai</v>
      </c>
      <c r="L632" s="17">
        <f>IFERROR(__xludf.DUMMYFUNCTION("""COMPUTED_VALUE"""),45664.36143534722)</f>
        <v>45664.36144</v>
      </c>
      <c r="M632" s="17">
        <f>IFERROR(__xludf.DUMMYFUNCTION("""COMPUTED_VALUE"""),45664.36143534722)</f>
        <v>45664.36144</v>
      </c>
      <c r="N632" s="13" t="str">
        <f>IFERROR(__xludf.DUMMYFUNCTION("""COMPUTED_VALUE"""),"")</f>
        <v/>
      </c>
      <c r="O632" s="13" t="str">
        <f t="shared" si="1"/>
        <v/>
      </c>
    </row>
    <row r="633" ht="22.5" customHeight="1">
      <c r="B633" s="13">
        <f>IFERROR(__xludf.DUMMYFUNCTION("""COMPUTED_VALUE"""),628.0)</f>
        <v>628</v>
      </c>
      <c r="C633" s="13" t="str">
        <f>IFERROR(__xludf.DUMMYFUNCTION("""COMPUTED_VALUE"""),"M. 566/ Pinang Jaya")</f>
        <v>M. 566/ Pinang Jaya</v>
      </c>
      <c r="D633" s="13" t="str">
        <f>IFERROR(__xludf.DUMMYFUNCTION("""COMPUTED_VALUE"""),"K/37/191224/4")</f>
        <v>K/37/191224/4</v>
      </c>
      <c r="E633" s="14" t="str">
        <f>IFERROR(__xludf.DUMMYFUNCTION("""COMPUTED_VALUE"""),"Afriza (BT)")</f>
        <v>Afriza (BT)</v>
      </c>
      <c r="F633" s="14" t="str">
        <f>IFERROR(__xludf.DUMMYFUNCTION("""COMPUTED_VALUE"""),"SELESAI")</f>
        <v>SELESAI</v>
      </c>
      <c r="G633" s="17">
        <f>IFERROR(__xludf.DUMMYFUNCTION("""COMPUTED_VALUE"""),45653.584925891206)</f>
        <v>45653.58493</v>
      </c>
      <c r="H633" s="14" t="str">
        <f>IFERROR(__xludf.DUMMYFUNCTION("""COMPUTED_VALUE"""),"Aprill (SU)")</f>
        <v>Aprill (SU)</v>
      </c>
      <c r="I633" s="13" t="str">
        <f>IFERROR(__xludf.DUMMYFUNCTION("""COMPUTED_VALUE"""),"SELESAI")</f>
        <v>SELESAI</v>
      </c>
      <c r="J633" s="17">
        <f>IFERROR(__xludf.DUMMYFUNCTION("""COMPUTED_VALUE"""),45653.585115497684)</f>
        <v>45653.58512</v>
      </c>
      <c r="K633" s="13" t="str">
        <f>IFERROR(__xludf.DUMMYFUNCTION("""COMPUTED_VALUE"""),"SELESAI")</f>
        <v>SELESAI</v>
      </c>
      <c r="L633" s="17">
        <f>IFERROR(__xludf.DUMMYFUNCTION("""COMPUTED_VALUE"""),45653.585115497684)</f>
        <v>45653.58512</v>
      </c>
      <c r="M633" s="17" t="str">
        <f>IFERROR(__xludf.DUMMYFUNCTION("""COMPUTED_VALUE"""),"")</f>
        <v/>
      </c>
      <c r="N633" s="17">
        <f>IFERROR(__xludf.DUMMYFUNCTION("""COMPUTED_VALUE"""),45653.585146446756)</f>
        <v>45653.58515</v>
      </c>
      <c r="O633" s="13">
        <f t="shared" si="1"/>
        <v>1</v>
      </c>
    </row>
    <row r="634" ht="22.5" customHeight="1">
      <c r="B634" s="13">
        <f>IFERROR(__xludf.DUMMYFUNCTION("""COMPUTED_VALUE"""),629.0)</f>
        <v>629</v>
      </c>
      <c r="C634" s="13" t="str">
        <f>IFERROR(__xludf.DUMMYFUNCTION("""COMPUTED_VALUE"""),"M.75/SUKARAME BARU-SEKARANG;M.749/SUKARAME I-DAHULU")</f>
        <v>M.75/SUKARAME BARU-SEKARANG;M.749/SUKARAME I-DAHULU</v>
      </c>
      <c r="D634" s="13" t="str">
        <f>IFERROR(__xludf.DUMMYFUNCTION("""COMPUTED_VALUE"""),"K/10/241224/1")</f>
        <v>K/10/241224/1</v>
      </c>
      <c r="E634" s="14" t="str">
        <f>IFERROR(__xludf.DUMMYFUNCTION("""COMPUTED_VALUE"""),"Afriza (BT)")</f>
        <v>Afriza (BT)</v>
      </c>
      <c r="F634" s="14" t="str">
        <f>IFERROR(__xludf.DUMMYFUNCTION("""COMPUTED_VALUE"""),"SELESAI")</f>
        <v>SELESAI</v>
      </c>
      <c r="G634" s="17">
        <f>IFERROR(__xludf.DUMMYFUNCTION("""COMPUTED_VALUE"""),45656.41983368056)</f>
        <v>45656.41983</v>
      </c>
      <c r="H634" s="14"/>
      <c r="I634" s="13"/>
      <c r="J634" s="17" t="str">
        <f>IFERROR(__xludf.DUMMYFUNCTION("""COMPUTED_VALUE"""),"")</f>
        <v/>
      </c>
      <c r="K634" s="13" t="str">
        <f>IFERROR(__xludf.DUMMYFUNCTION("""COMPUTED_VALUE"""),"BT atau SU Belum Valid")</f>
        <v>BT atau SU Belum Valid</v>
      </c>
      <c r="L634" s="13" t="str">
        <f>IFERROR(__xludf.DUMMYFUNCTION("""COMPUTED_VALUE"""),"")</f>
        <v/>
      </c>
      <c r="M634" s="17" t="str">
        <f>IFERROR(__xludf.DUMMYFUNCTION("""COMPUTED_VALUE"""),"")</f>
        <v/>
      </c>
      <c r="N634" s="13" t="str">
        <f>IFERROR(__xludf.DUMMYFUNCTION("""COMPUTED_VALUE"""),"")</f>
        <v/>
      </c>
      <c r="O634" s="13" t="str">
        <f t="shared" si="1"/>
        <v/>
      </c>
    </row>
    <row r="635" ht="22.5" customHeight="1">
      <c r="B635" s="13">
        <f>IFERROR(__xludf.DUMMYFUNCTION("""COMPUTED_VALUE"""),630.0)</f>
        <v>630</v>
      </c>
      <c r="C635" s="13" t="str">
        <f>IFERROR(__xludf.DUMMYFUNCTION("""COMPUTED_VALUE"""),"HM 2460/KEMILING PERMAI")</f>
        <v>HM 2460/KEMILING PERMAI</v>
      </c>
      <c r="D635" s="13" t="str">
        <f>IFERROR(__xludf.DUMMYFUNCTION("""COMPUTED_VALUE"""),"L/34/201224/1")</f>
        <v>L/34/201224/1</v>
      </c>
      <c r="E635" s="14" t="str">
        <f>IFERROR(__xludf.DUMMYFUNCTION("""COMPUTED_VALUE"""),"Afriza (BT)")</f>
        <v>Afriza (BT)</v>
      </c>
      <c r="F635" s="14" t="str">
        <f>IFERROR(__xludf.DUMMYFUNCTION("""COMPUTED_VALUE"""),"SELESAI (VIA PERMOHONAN)")</f>
        <v>SELESAI (VIA PERMOHONAN)</v>
      </c>
      <c r="G635" s="17">
        <f>IFERROR(__xludf.DUMMYFUNCTION("""COMPUTED_VALUE"""),45656.45550841435)</f>
        <v>45656.45551</v>
      </c>
      <c r="H635" s="14" t="str">
        <f>IFERROR(__xludf.DUMMYFUNCTION("""COMPUTED_VALUE"""),"Aprill (SU)")</f>
        <v>Aprill (SU)</v>
      </c>
      <c r="I635" s="13" t="str">
        <f>IFERROR(__xludf.DUMMYFUNCTION("""COMPUTED_VALUE"""),"SELESAI (VIA PERMOHONAN)")</f>
        <v>SELESAI (VIA PERMOHONAN)</v>
      </c>
      <c r="J635" s="17">
        <f>IFERROR(__xludf.DUMMYFUNCTION("""COMPUTED_VALUE"""),45656.455570694445)</f>
        <v>45656.45557</v>
      </c>
      <c r="K635" s="13" t="str">
        <f>IFERROR(__xludf.DUMMYFUNCTION("""COMPUTED_VALUE"""),"Selesai")</f>
        <v>Selesai</v>
      </c>
      <c r="L635" s="17">
        <f>IFERROR(__xludf.DUMMYFUNCTION("""COMPUTED_VALUE"""),45656.455570694445)</f>
        <v>45656.45557</v>
      </c>
      <c r="M635" s="17">
        <f>IFERROR(__xludf.DUMMYFUNCTION("""COMPUTED_VALUE"""),45656.45558116898)</f>
        <v>45656.45558</v>
      </c>
      <c r="N635" s="13" t="str">
        <f>IFERROR(__xludf.DUMMYFUNCTION("""COMPUTED_VALUE"""),"")</f>
        <v/>
      </c>
      <c r="O635" s="13" t="str">
        <f t="shared" si="1"/>
        <v/>
      </c>
    </row>
    <row r="636" ht="22.5" customHeight="1">
      <c r="B636" s="13">
        <f>IFERROR(__xludf.DUMMYFUNCTION("""COMPUTED_VALUE"""),631.0)</f>
        <v>631</v>
      </c>
      <c r="C636" s="13" t="str">
        <f>IFERROR(__xludf.DUMMYFUNCTION("""COMPUTED_VALUE"""),"HM 9966/KEDAMAIAN")</f>
        <v>HM 9966/KEDAMAIAN</v>
      </c>
      <c r="D636" s="13" t="str">
        <f>IFERROR(__xludf.DUMMYFUNCTION("""COMPUTED_VALUE"""),"L/8/241224/1")</f>
        <v>L/8/241224/1</v>
      </c>
      <c r="E636" s="14" t="str">
        <f>IFERROR(__xludf.DUMMYFUNCTION("""COMPUTED_VALUE"""),"Afriza (BT)")</f>
        <v>Afriza (BT)</v>
      </c>
      <c r="F636" s="14" t="str">
        <f>IFERROR(__xludf.DUMMYFUNCTION("""COMPUTED_VALUE"""),"SELESAI")</f>
        <v>SELESAI</v>
      </c>
      <c r="G636" s="17">
        <f>IFERROR(__xludf.DUMMYFUNCTION("""COMPUTED_VALUE"""),45656.46545158565)</f>
        <v>45656.46545</v>
      </c>
      <c r="H636" s="14" t="str">
        <f>IFERROR(__xludf.DUMMYFUNCTION("""COMPUTED_VALUE"""),"Bu Eva (SU)")</f>
        <v>Bu Eva (SU)</v>
      </c>
      <c r="I636" s="13" t="str">
        <f>IFERROR(__xludf.DUMMYFUNCTION("""COMPUTED_VALUE"""),"SELESAI")</f>
        <v>SELESAI</v>
      </c>
      <c r="J636" s="17">
        <f>IFERROR(__xludf.DUMMYFUNCTION("""COMPUTED_VALUE"""),45664.441047037035)</f>
        <v>45664.44105</v>
      </c>
      <c r="K636" s="13" t="str">
        <f>IFERROR(__xludf.DUMMYFUNCTION("""COMPUTED_VALUE"""),"SELESAI")</f>
        <v>SELESAI</v>
      </c>
      <c r="L636" s="17">
        <f>IFERROR(__xludf.DUMMYFUNCTION("""COMPUTED_VALUE"""),45664.441047037035)</f>
        <v>45664.44105</v>
      </c>
      <c r="M636" s="17" t="str">
        <f>IFERROR(__xludf.DUMMYFUNCTION("""COMPUTED_VALUE"""),"")</f>
        <v/>
      </c>
      <c r="N636" s="17">
        <f>IFERROR(__xludf.DUMMYFUNCTION("""COMPUTED_VALUE"""),45664.44109266203)</f>
        <v>45664.44109</v>
      </c>
      <c r="O636" s="13">
        <f t="shared" si="1"/>
        <v>1</v>
      </c>
    </row>
    <row r="637" ht="22.5" customHeight="1">
      <c r="B637" s="13">
        <f>IFERROR(__xludf.DUMMYFUNCTION("""COMPUTED_VALUE"""),632.0)</f>
        <v>632</v>
      </c>
      <c r="C637" s="13" t="str">
        <f>IFERROR(__xludf.DUMMYFUNCTION("""COMPUTED_VALUE"""),"M. 1517/ Sepang Jaya")</f>
        <v>M. 1517/ Sepang Jaya</v>
      </c>
      <c r="D637" s="13" t="str">
        <f>IFERROR(__xludf.DUMMYFUNCTION("""COMPUTED_VALUE"""),"K/57/231224/1")</f>
        <v>K/57/231224/1</v>
      </c>
      <c r="E637" s="14" t="str">
        <f>IFERROR(__xludf.DUMMYFUNCTION("""COMPUTED_VALUE"""),"Afriza (BT)")</f>
        <v>Afriza (BT)</v>
      </c>
      <c r="F637" s="14" t="str">
        <f>IFERROR(__xludf.DUMMYFUNCTION("""COMPUTED_VALUE"""),"SELESAI")</f>
        <v>SELESAI</v>
      </c>
      <c r="G637" s="17">
        <f>IFERROR(__xludf.DUMMYFUNCTION("""COMPUTED_VALUE"""),45656.48433025463)</f>
        <v>45656.48433</v>
      </c>
      <c r="H637" s="14" t="str">
        <f>IFERROR(__xludf.DUMMYFUNCTION("""COMPUTED_VALUE"""),"Bu Eva (SU)")</f>
        <v>Bu Eva (SU)</v>
      </c>
      <c r="I637" s="13" t="str">
        <f>IFERROR(__xludf.DUMMYFUNCTION("""COMPUTED_VALUE"""),"SELESAI")</f>
        <v>SELESAI</v>
      </c>
      <c r="J637" s="17">
        <f>IFERROR(__xludf.DUMMYFUNCTION("""COMPUTED_VALUE"""),45664.413835694446)</f>
        <v>45664.41384</v>
      </c>
      <c r="K637" s="13" t="str">
        <f>IFERROR(__xludf.DUMMYFUNCTION("""COMPUTED_VALUE"""),"SELESAI")</f>
        <v>SELESAI</v>
      </c>
      <c r="L637" s="17">
        <f>IFERROR(__xludf.DUMMYFUNCTION("""COMPUTED_VALUE"""),45664.413835694446)</f>
        <v>45664.41384</v>
      </c>
      <c r="M637" s="17" t="str">
        <f>IFERROR(__xludf.DUMMYFUNCTION("""COMPUTED_VALUE"""),"")</f>
        <v/>
      </c>
      <c r="N637" s="17">
        <f>IFERROR(__xludf.DUMMYFUNCTION("""COMPUTED_VALUE"""),45664.41374300926)</f>
        <v>45664.41374</v>
      </c>
      <c r="O637" s="13">
        <f t="shared" si="1"/>
        <v>2</v>
      </c>
    </row>
    <row r="638" ht="22.5" customHeight="1">
      <c r="B638" s="13">
        <f>IFERROR(__xludf.DUMMYFUNCTION("""COMPUTED_VALUE"""),633.0)</f>
        <v>633</v>
      </c>
      <c r="C638" s="13" t="str">
        <f>IFERROR(__xludf.DUMMYFUNCTION("""COMPUTED_VALUE"""),"B. 2017; 2018/ Sukarame")</f>
        <v>B. 2017; 2018/ Sukarame</v>
      </c>
      <c r="D638" s="13" t="str">
        <f>IFERROR(__xludf.DUMMYFUNCTION("""COMPUTED_VALUE"""),"K/56/231224/1")</f>
        <v>K/56/231224/1</v>
      </c>
      <c r="E638" s="14" t="str">
        <f>IFERROR(__xludf.DUMMYFUNCTION("""COMPUTED_VALUE"""),"Afriza (BT)")</f>
        <v>Afriza (BT)</v>
      </c>
      <c r="F638" s="14" t="str">
        <f>IFERROR(__xludf.DUMMYFUNCTION("""COMPUTED_VALUE"""),"SELESAI")</f>
        <v>SELESAI</v>
      </c>
      <c r="G638" s="17">
        <f>IFERROR(__xludf.DUMMYFUNCTION("""COMPUTED_VALUE"""),45656.48752814815)</f>
        <v>45656.48753</v>
      </c>
      <c r="H638" s="14" t="str">
        <f>IFERROR(__xludf.DUMMYFUNCTION("""COMPUTED_VALUE"""),"Bu Eva (SU)")</f>
        <v>Bu Eva (SU)</v>
      </c>
      <c r="I638" s="13" t="str">
        <f>IFERROR(__xludf.DUMMYFUNCTION("""COMPUTED_VALUE"""),"SELESAI")</f>
        <v>SELESAI</v>
      </c>
      <c r="J638" s="17">
        <f>IFERROR(__xludf.DUMMYFUNCTION("""COMPUTED_VALUE"""),45664.44178883102)</f>
        <v>45664.44179</v>
      </c>
      <c r="K638" s="13" t="str">
        <f>IFERROR(__xludf.DUMMYFUNCTION("""COMPUTED_VALUE"""),"SELESAI")</f>
        <v>SELESAI</v>
      </c>
      <c r="L638" s="17">
        <f>IFERROR(__xludf.DUMMYFUNCTION("""COMPUTED_VALUE"""),45664.44178883102)</f>
        <v>45664.44179</v>
      </c>
      <c r="M638" s="17" t="str">
        <f>IFERROR(__xludf.DUMMYFUNCTION("""COMPUTED_VALUE"""),"")</f>
        <v/>
      </c>
      <c r="N638" s="17">
        <f>IFERROR(__xludf.DUMMYFUNCTION("""COMPUTED_VALUE"""),45664.441837418985)</f>
        <v>45664.44184</v>
      </c>
      <c r="O638" s="13">
        <f t="shared" si="1"/>
        <v>3</v>
      </c>
    </row>
    <row r="639" ht="22.5" customHeight="1">
      <c r="B639" s="13">
        <f>IFERROR(__xludf.DUMMYFUNCTION("""COMPUTED_VALUE"""),634.0)</f>
        <v>634</v>
      </c>
      <c r="C639" s="13" t="str">
        <f>IFERROR(__xludf.DUMMYFUNCTION("""COMPUTED_VALUE"""),"M. 2229/ Sukadana Ham")</f>
        <v>M. 2229/ Sukadana Ham</v>
      </c>
      <c r="D639" s="13" t="str">
        <f>IFERROR(__xludf.DUMMYFUNCTION("""COMPUTED_VALUE"""),"K/40/241224/1")</f>
        <v>K/40/241224/1</v>
      </c>
      <c r="E639" s="14" t="str">
        <f>IFERROR(__xludf.DUMMYFUNCTION("""COMPUTED_VALUE"""),"Nadian (BT)")</f>
        <v>Nadian (BT)</v>
      </c>
      <c r="F639" s="14" t="str">
        <f>IFERROR(__xludf.DUMMYFUNCTION("""COMPUTED_VALUE"""),"SELESAI")</f>
        <v>SELESAI</v>
      </c>
      <c r="G639" s="17">
        <f>IFERROR(__xludf.DUMMYFUNCTION("""COMPUTED_VALUE"""),45656.57263570602)</f>
        <v>45656.57264</v>
      </c>
      <c r="H639" s="14" t="str">
        <f>IFERROR(__xludf.DUMMYFUNCTION("""COMPUTED_VALUE"""),"Bu Eva (SU)")</f>
        <v>Bu Eva (SU)</v>
      </c>
      <c r="I639" s="13" t="str">
        <f>IFERROR(__xludf.DUMMYFUNCTION("""COMPUTED_VALUE"""),"SELESAI")</f>
        <v>SELESAI</v>
      </c>
      <c r="J639" s="17">
        <f>IFERROR(__xludf.DUMMYFUNCTION("""COMPUTED_VALUE"""),45664.44252802084)</f>
        <v>45664.44253</v>
      </c>
      <c r="K639" s="13" t="str">
        <f>IFERROR(__xludf.DUMMYFUNCTION("""COMPUTED_VALUE"""),"SELESAI")</f>
        <v>SELESAI</v>
      </c>
      <c r="L639" s="17">
        <f>IFERROR(__xludf.DUMMYFUNCTION("""COMPUTED_VALUE"""),45664.44252802084)</f>
        <v>45664.44253</v>
      </c>
      <c r="M639" s="17" t="str">
        <f>IFERROR(__xludf.DUMMYFUNCTION("""COMPUTED_VALUE"""),"")</f>
        <v/>
      </c>
      <c r="N639" s="17">
        <f>IFERROR(__xludf.DUMMYFUNCTION("""COMPUTED_VALUE"""),45664.44257395834)</f>
        <v>45664.44257</v>
      </c>
      <c r="O639" s="13">
        <f t="shared" si="1"/>
        <v>4</v>
      </c>
    </row>
    <row r="640" ht="22.5" customHeight="1">
      <c r="B640" s="13">
        <f>IFERROR(__xludf.DUMMYFUNCTION("""COMPUTED_VALUE"""),635.0)</f>
        <v>635</v>
      </c>
      <c r="C640" s="13" t="str">
        <f>IFERROR(__xludf.DUMMYFUNCTION("""COMPUTED_VALUE"""),"HM 9674/KEDATON")</f>
        <v>HM 9674/KEDATON</v>
      </c>
      <c r="D640" s="13" t="str">
        <f>IFERROR(__xludf.DUMMYFUNCTION("""COMPUTED_VALUE"""),"L/24/241224/1")</f>
        <v>L/24/241224/1</v>
      </c>
      <c r="E640" s="14" t="str">
        <f>IFERROR(__xludf.DUMMYFUNCTION("""COMPUTED_VALUE"""),"Nadian (BT)")</f>
        <v>Nadian (BT)</v>
      </c>
      <c r="F640" s="14" t="str">
        <f>IFERROR(__xludf.DUMMYFUNCTION("""COMPUTED_VALUE"""),"SELESAI")</f>
        <v>SELESAI</v>
      </c>
      <c r="G640" s="17">
        <f>IFERROR(__xludf.DUMMYFUNCTION("""COMPUTED_VALUE"""),45656.57263570602)</f>
        <v>45656.57264</v>
      </c>
      <c r="H640" s="14" t="str">
        <f>IFERROR(__xludf.DUMMYFUNCTION("""COMPUTED_VALUE"""),"Bu Eva (SU)")</f>
        <v>Bu Eva (SU)</v>
      </c>
      <c r="I640" s="13" t="str">
        <f>IFERROR(__xludf.DUMMYFUNCTION("""COMPUTED_VALUE"""),"SELESAI")</f>
        <v>SELESAI</v>
      </c>
      <c r="J640" s="17">
        <f>IFERROR(__xludf.DUMMYFUNCTION("""COMPUTED_VALUE"""),45664.442775)</f>
        <v>45664.44278</v>
      </c>
      <c r="K640" s="13" t="str">
        <f>IFERROR(__xludf.DUMMYFUNCTION("""COMPUTED_VALUE"""),"SELESAI")</f>
        <v>SELESAI</v>
      </c>
      <c r="L640" s="17">
        <f>IFERROR(__xludf.DUMMYFUNCTION("""COMPUTED_VALUE"""),45664.442775)</f>
        <v>45664.44278</v>
      </c>
      <c r="M640" s="17" t="str">
        <f>IFERROR(__xludf.DUMMYFUNCTION("""COMPUTED_VALUE"""),"")</f>
        <v/>
      </c>
      <c r="N640" s="17">
        <f>IFERROR(__xludf.DUMMYFUNCTION("""COMPUTED_VALUE"""),45664.44280422454)</f>
        <v>45664.4428</v>
      </c>
      <c r="O640" s="13">
        <f t="shared" si="1"/>
        <v>5</v>
      </c>
    </row>
    <row r="641" ht="22.5" customHeight="1">
      <c r="B641" s="13">
        <f>IFERROR(__xludf.DUMMYFUNCTION("""COMPUTED_VALUE"""),636.0)</f>
        <v>636</v>
      </c>
      <c r="C641" s="13" t="str">
        <f>IFERROR(__xludf.DUMMYFUNCTION("""COMPUTED_VALUE"""),"M. 1425/ Bumi Kedamaian")</f>
        <v>M. 1425/ Bumi Kedamaian</v>
      </c>
      <c r="D641" s="13" t="str">
        <f>IFERROR(__xludf.DUMMYFUNCTION("""COMPUTED_VALUE"""),"K/29/241224/1")</f>
        <v>K/29/241224/1</v>
      </c>
      <c r="E641" s="14" t="str">
        <f>IFERROR(__xludf.DUMMYFUNCTION("""COMPUTED_VALUE"""),"Nadian (BT)")</f>
        <v>Nadian (BT)</v>
      </c>
      <c r="F641" s="14" t="str">
        <f>IFERROR(__xludf.DUMMYFUNCTION("""COMPUTED_VALUE"""),"SELESAI")</f>
        <v>SELESAI</v>
      </c>
      <c r="G641" s="17">
        <f>IFERROR(__xludf.DUMMYFUNCTION("""COMPUTED_VALUE"""),45656.57263571759)</f>
        <v>45656.57264</v>
      </c>
      <c r="H641" s="14" t="str">
        <f>IFERROR(__xludf.DUMMYFUNCTION("""COMPUTED_VALUE"""),"Bu Eva (SU)")</f>
        <v>Bu Eva (SU)</v>
      </c>
      <c r="I641" s="13" t="str">
        <f>IFERROR(__xludf.DUMMYFUNCTION("""COMPUTED_VALUE"""),"SELESAI")</f>
        <v>SELESAI</v>
      </c>
      <c r="J641" s="17">
        <f>IFERROR(__xludf.DUMMYFUNCTION("""COMPUTED_VALUE"""),45664.41461806713)</f>
        <v>45664.41462</v>
      </c>
      <c r="K641" s="13" t="str">
        <f>IFERROR(__xludf.DUMMYFUNCTION("""COMPUTED_VALUE"""),"SELESAI")</f>
        <v>SELESAI</v>
      </c>
      <c r="L641" s="17">
        <f>IFERROR(__xludf.DUMMYFUNCTION("""COMPUTED_VALUE"""),45664.41461806713)</f>
        <v>45664.41462</v>
      </c>
      <c r="M641" s="17" t="str">
        <f>IFERROR(__xludf.DUMMYFUNCTION("""COMPUTED_VALUE"""),"")</f>
        <v/>
      </c>
      <c r="N641" s="17">
        <f>IFERROR(__xludf.DUMMYFUNCTION("""COMPUTED_VALUE"""),45664.41458108796)</f>
        <v>45664.41458</v>
      </c>
      <c r="O641" s="13">
        <f t="shared" si="1"/>
        <v>6</v>
      </c>
    </row>
    <row r="642" ht="22.5" customHeight="1">
      <c r="B642" s="13">
        <f>IFERROR(__xludf.DUMMYFUNCTION("""COMPUTED_VALUE"""),637.0)</f>
        <v>637</v>
      </c>
      <c r="C642" s="13" t="str">
        <f>IFERROR(__xludf.DUMMYFUNCTION("""COMPUTED_VALUE"""),"M. 1928/ Campang Jaya")</f>
        <v>M. 1928/ Campang Jaya</v>
      </c>
      <c r="D642" s="13" t="str">
        <f>IFERROR(__xludf.DUMMYFUNCTION("""COMPUTED_VALUE"""),"K/35/241224/1")</f>
        <v>K/35/241224/1</v>
      </c>
      <c r="E642" s="14" t="str">
        <f>IFERROR(__xludf.DUMMYFUNCTION("""COMPUTED_VALUE"""),"Nadian (BT)")</f>
        <v>Nadian (BT)</v>
      </c>
      <c r="F642" s="14" t="str">
        <f>IFERROR(__xludf.DUMMYFUNCTION("""COMPUTED_VALUE"""),"SELESAI")</f>
        <v>SELESAI</v>
      </c>
      <c r="G642" s="17">
        <f>IFERROR(__xludf.DUMMYFUNCTION("""COMPUTED_VALUE"""),45656.57263571759)</f>
        <v>45656.57264</v>
      </c>
      <c r="H642" s="14" t="str">
        <f>IFERROR(__xludf.DUMMYFUNCTION("""COMPUTED_VALUE"""),"Bu Eva (SU)")</f>
        <v>Bu Eva (SU)</v>
      </c>
      <c r="I642" s="13" t="str">
        <f>IFERROR(__xludf.DUMMYFUNCTION("""COMPUTED_VALUE"""),"SELESAI")</f>
        <v>SELESAI</v>
      </c>
      <c r="J642" s="17">
        <f>IFERROR(__xludf.DUMMYFUNCTION("""COMPUTED_VALUE"""),45664.44763108796)</f>
        <v>45664.44763</v>
      </c>
      <c r="K642" s="13" t="str">
        <f>IFERROR(__xludf.DUMMYFUNCTION("""COMPUTED_VALUE"""),"SELESAI")</f>
        <v>SELESAI</v>
      </c>
      <c r="L642" s="17">
        <f>IFERROR(__xludf.DUMMYFUNCTION("""COMPUTED_VALUE"""),45664.44763108796)</f>
        <v>45664.44763</v>
      </c>
      <c r="M642" s="17" t="str">
        <f>IFERROR(__xludf.DUMMYFUNCTION("""COMPUTED_VALUE"""),"")</f>
        <v/>
      </c>
      <c r="N642" s="17">
        <f>IFERROR(__xludf.DUMMYFUNCTION("""COMPUTED_VALUE"""),45664.44766686343)</f>
        <v>45664.44767</v>
      </c>
      <c r="O642" s="13">
        <f t="shared" si="1"/>
        <v>7</v>
      </c>
    </row>
    <row r="643" ht="22.5" customHeight="1">
      <c r="B643" s="13">
        <f>IFERROR(__xludf.DUMMYFUNCTION("""COMPUTED_VALUE"""),638.0)</f>
        <v>638</v>
      </c>
      <c r="C643" s="13" t="str">
        <f>IFERROR(__xludf.DUMMYFUNCTION("""COMPUTED_VALUE"""),"B. 629/ Sukarame Baru")</f>
        <v>B. 629/ Sukarame Baru</v>
      </c>
      <c r="D643" s="13" t="str">
        <f>IFERROR(__xludf.DUMMYFUNCTION("""COMPUTED_VALUE"""),"K/41/241224/1")</f>
        <v>K/41/241224/1</v>
      </c>
      <c r="E643" s="14" t="str">
        <f>IFERROR(__xludf.DUMMYFUNCTION("""COMPUTED_VALUE"""),"Nadian (BT)")</f>
        <v>Nadian (BT)</v>
      </c>
      <c r="F643" s="14" t="str">
        <f>IFERROR(__xludf.DUMMYFUNCTION("""COMPUTED_VALUE"""),"SELESAI")</f>
        <v>SELESAI</v>
      </c>
      <c r="G643" s="17">
        <f>IFERROR(__xludf.DUMMYFUNCTION("""COMPUTED_VALUE"""),45656.57263571759)</f>
        <v>45656.57264</v>
      </c>
      <c r="H643" s="14"/>
      <c r="I643" s="13"/>
      <c r="J643" s="17" t="str">
        <f>IFERROR(__xludf.DUMMYFUNCTION("""COMPUTED_VALUE"""),"")</f>
        <v/>
      </c>
      <c r="K643" s="13" t="str">
        <f>IFERROR(__xludf.DUMMYFUNCTION("""COMPUTED_VALUE"""),"BT atau SU Belum Valid")</f>
        <v>BT atau SU Belum Valid</v>
      </c>
      <c r="L643" s="13" t="str">
        <f>IFERROR(__xludf.DUMMYFUNCTION("""COMPUTED_VALUE"""),"")</f>
        <v/>
      </c>
      <c r="M643" s="17" t="str">
        <f>IFERROR(__xludf.DUMMYFUNCTION("""COMPUTED_VALUE"""),"")</f>
        <v/>
      </c>
      <c r="N643" s="13" t="str">
        <f>IFERROR(__xludf.DUMMYFUNCTION("""COMPUTED_VALUE"""),"")</f>
        <v/>
      </c>
      <c r="O643" s="13" t="str">
        <f t="shared" si="1"/>
        <v/>
      </c>
    </row>
    <row r="644" ht="22.5" customHeight="1">
      <c r="B644" s="13">
        <f>IFERROR(__xludf.DUMMYFUNCTION("""COMPUTED_VALUE"""),639.0)</f>
        <v>639</v>
      </c>
      <c r="C644" s="13" t="str">
        <f>IFERROR(__xludf.DUMMYFUNCTION("""COMPUTED_VALUE"""),"M. 107/ Palapa")</f>
        <v>M. 107/ Palapa</v>
      </c>
      <c r="D644" s="13" t="str">
        <f>IFERROR(__xludf.DUMMYFUNCTION("""COMPUTED_VALUE"""),"K/38/241224/1")</f>
        <v>K/38/241224/1</v>
      </c>
      <c r="E644" s="14" t="str">
        <f>IFERROR(__xludf.DUMMYFUNCTION("""COMPUTED_VALUE"""),"Nadian (BT)")</f>
        <v>Nadian (BT)</v>
      </c>
      <c r="F644" s="14" t="str">
        <f>IFERROR(__xludf.DUMMYFUNCTION("""COMPUTED_VALUE"""),"SELESAI")</f>
        <v>SELESAI</v>
      </c>
      <c r="G644" s="17">
        <f>IFERROR(__xludf.DUMMYFUNCTION("""COMPUTED_VALUE"""),45656.57263571759)</f>
        <v>45656.57264</v>
      </c>
      <c r="H644" s="14" t="str">
        <f>IFERROR(__xludf.DUMMYFUNCTION("""COMPUTED_VALUE"""),"Bu Eva (SU)")</f>
        <v>Bu Eva (SU)</v>
      </c>
      <c r="I644" s="13" t="str">
        <f>IFERROR(__xludf.DUMMYFUNCTION("""COMPUTED_VALUE"""),"SELESAI")</f>
        <v>SELESAI</v>
      </c>
      <c r="J644" s="17">
        <f>IFERROR(__xludf.DUMMYFUNCTION("""COMPUTED_VALUE"""),45664.44457585648)</f>
        <v>45664.44458</v>
      </c>
      <c r="K644" s="13" t="str">
        <f>IFERROR(__xludf.DUMMYFUNCTION("""COMPUTED_VALUE"""),"SELESAI")</f>
        <v>SELESAI</v>
      </c>
      <c r="L644" s="17">
        <f>IFERROR(__xludf.DUMMYFUNCTION("""COMPUTED_VALUE"""),45664.44457585648)</f>
        <v>45664.44458</v>
      </c>
      <c r="M644" s="17" t="str">
        <f>IFERROR(__xludf.DUMMYFUNCTION("""COMPUTED_VALUE"""),"")</f>
        <v/>
      </c>
      <c r="N644" s="17">
        <f>IFERROR(__xludf.DUMMYFUNCTION("""COMPUTED_VALUE"""),45664.44463356481)</f>
        <v>45664.44463</v>
      </c>
      <c r="O644" s="13">
        <f t="shared" si="1"/>
        <v>1</v>
      </c>
    </row>
    <row r="645" ht="22.5" customHeight="1">
      <c r="B645" s="13">
        <f>IFERROR(__xludf.DUMMYFUNCTION("""COMPUTED_VALUE"""),640.0)</f>
        <v>640</v>
      </c>
      <c r="C645" s="13" t="str">
        <f>IFERROR(__xludf.DUMMYFUNCTION("""COMPUTED_VALUE"""),"M.56/TANJUNG GADING")</f>
        <v>M.56/TANJUNG GADING</v>
      </c>
      <c r="D645" s="13" t="str">
        <f>IFERROR(__xludf.DUMMYFUNCTION("""COMPUTED_VALUE"""),"K/61/231224/2")</f>
        <v>K/61/231224/2</v>
      </c>
      <c r="E645" s="14" t="str">
        <f>IFERROR(__xludf.DUMMYFUNCTION("""COMPUTED_VALUE"""),"Afriza (BT)")</f>
        <v>Afriza (BT)</v>
      </c>
      <c r="F645" s="14" t="str">
        <f>IFERROR(__xludf.DUMMYFUNCTION("""COMPUTED_VALUE"""),"SELESAI (VIA PERMOHONAN)")</f>
        <v>SELESAI (VIA PERMOHONAN)</v>
      </c>
      <c r="G645" s="17">
        <f>IFERROR(__xludf.DUMMYFUNCTION("""COMPUTED_VALUE"""),45656.57263571759)</f>
        <v>45656.57264</v>
      </c>
      <c r="H645" s="14" t="str">
        <f>IFERROR(__xludf.DUMMYFUNCTION("""COMPUTED_VALUE"""),"Aprill (SU)")</f>
        <v>Aprill (SU)</v>
      </c>
      <c r="I645" s="13" t="str">
        <f>IFERROR(__xludf.DUMMYFUNCTION("""COMPUTED_VALUE"""),"SELESAI (VIA PERMOHONAN)")</f>
        <v>SELESAI (VIA PERMOHONAN)</v>
      </c>
      <c r="J645" s="17">
        <f>IFERROR(__xludf.DUMMYFUNCTION("""COMPUTED_VALUE"""),45664.36143535879)</f>
        <v>45664.36144</v>
      </c>
      <c r="K645" s="13" t="str">
        <f>IFERROR(__xludf.DUMMYFUNCTION("""COMPUTED_VALUE"""),"Selesai")</f>
        <v>Selesai</v>
      </c>
      <c r="L645" s="17">
        <f>IFERROR(__xludf.DUMMYFUNCTION("""COMPUTED_VALUE"""),45664.36143535879)</f>
        <v>45664.36144</v>
      </c>
      <c r="M645" s="17">
        <f>IFERROR(__xludf.DUMMYFUNCTION("""COMPUTED_VALUE"""),45664.36143535879)</f>
        <v>45664.36144</v>
      </c>
      <c r="N645" s="13" t="str">
        <f>IFERROR(__xludf.DUMMYFUNCTION("""COMPUTED_VALUE"""),"")</f>
        <v/>
      </c>
      <c r="O645" s="13" t="str">
        <f t="shared" si="1"/>
        <v/>
      </c>
    </row>
    <row r="646" ht="22.5" customHeight="1">
      <c r="B646" s="13">
        <f>IFERROR(__xludf.DUMMYFUNCTION("""COMPUTED_VALUE"""),641.0)</f>
        <v>641</v>
      </c>
      <c r="C646" s="13" t="str">
        <f>IFERROR(__xludf.DUMMYFUNCTION("""COMPUTED_VALUE"""),"M.1001/LANGKAPURA")</f>
        <v>M.1001/LANGKAPURA</v>
      </c>
      <c r="D646" s="13" t="str">
        <f>IFERROR(__xludf.DUMMYFUNCTION("""COMPUTED_VALUE"""),"K/18/181224/2")</f>
        <v>K/18/181224/2</v>
      </c>
      <c r="E646" s="14" t="str">
        <f>IFERROR(__xludf.DUMMYFUNCTION("""COMPUTED_VALUE"""),"Afriza (BT)")</f>
        <v>Afriza (BT)</v>
      </c>
      <c r="F646" s="14" t="str">
        <f>IFERROR(__xludf.DUMMYFUNCTION("""COMPUTED_VALUE"""),"SELESAI (VIA PERMOHONAN)")</f>
        <v>SELESAI (VIA PERMOHONAN)</v>
      </c>
      <c r="G646" s="17">
        <f>IFERROR(__xludf.DUMMYFUNCTION("""COMPUTED_VALUE"""),45656.672550312505)</f>
        <v>45656.67255</v>
      </c>
      <c r="H646" s="14" t="str">
        <f>IFERROR(__xludf.DUMMYFUNCTION("""COMPUTED_VALUE"""),"Aprill (SU)")</f>
        <v>Aprill (SU)</v>
      </c>
      <c r="I646" s="13" t="str">
        <f>IFERROR(__xludf.DUMMYFUNCTION("""COMPUTED_VALUE"""),"SELESAI (VIA PERMOHONAN)")</f>
        <v>SELESAI (VIA PERMOHONAN)</v>
      </c>
      <c r="J646" s="17">
        <f>IFERROR(__xludf.DUMMYFUNCTION("""COMPUTED_VALUE"""),45664.36143535879)</f>
        <v>45664.36144</v>
      </c>
      <c r="K646" s="13" t="str">
        <f>IFERROR(__xludf.DUMMYFUNCTION("""COMPUTED_VALUE"""),"Selesai")</f>
        <v>Selesai</v>
      </c>
      <c r="L646" s="17">
        <f>IFERROR(__xludf.DUMMYFUNCTION("""COMPUTED_VALUE"""),45664.36143535879)</f>
        <v>45664.36144</v>
      </c>
      <c r="M646" s="17">
        <f>IFERROR(__xludf.DUMMYFUNCTION("""COMPUTED_VALUE"""),45664.36143535879)</f>
        <v>45664.36144</v>
      </c>
      <c r="N646" s="13" t="str">
        <f>IFERROR(__xludf.DUMMYFUNCTION("""COMPUTED_VALUE"""),"")</f>
        <v/>
      </c>
      <c r="O646" s="13" t="str">
        <f t="shared" si="1"/>
        <v/>
      </c>
    </row>
    <row r="647" ht="22.5" customHeight="1">
      <c r="B647" s="13">
        <f>IFERROR(__xludf.DUMMYFUNCTION("""COMPUTED_VALUE"""),642.0)</f>
        <v>642</v>
      </c>
      <c r="C647" s="13" t="str">
        <f>IFERROR(__xludf.DUMMYFUNCTION("""COMPUTED_VALUE"""),"M.1114/LANGKAPURA")</f>
        <v>M.1114/LANGKAPURA</v>
      </c>
      <c r="D647" s="13" t="str">
        <f>IFERROR(__xludf.DUMMYFUNCTION("""COMPUTED_VALUE"""),"K/17/181224/1")</f>
        <v>K/17/181224/1</v>
      </c>
      <c r="E647" s="14" t="str">
        <f>IFERROR(__xludf.DUMMYFUNCTION("""COMPUTED_VALUE"""),"Afriza (BT)")</f>
        <v>Afriza (BT)</v>
      </c>
      <c r="F647" s="14" t="str">
        <f>IFERROR(__xludf.DUMMYFUNCTION("""COMPUTED_VALUE"""),"SELESAI (VIA PERMOHONAN)")</f>
        <v>SELESAI (VIA PERMOHONAN)</v>
      </c>
      <c r="G647" s="17">
        <f>IFERROR(__xludf.DUMMYFUNCTION("""COMPUTED_VALUE"""),45656.672550324074)</f>
        <v>45656.67255</v>
      </c>
      <c r="H647" s="14" t="str">
        <f>IFERROR(__xludf.DUMMYFUNCTION("""COMPUTED_VALUE"""),"Aprill (SU)")</f>
        <v>Aprill (SU)</v>
      </c>
      <c r="I647" s="13" t="str">
        <f>IFERROR(__xludf.DUMMYFUNCTION("""COMPUTED_VALUE"""),"SELESAI (VIA PERMOHONAN)")</f>
        <v>SELESAI (VIA PERMOHONAN)</v>
      </c>
      <c r="J647" s="17">
        <f>IFERROR(__xludf.DUMMYFUNCTION("""COMPUTED_VALUE"""),45664.36143535879)</f>
        <v>45664.36144</v>
      </c>
      <c r="K647" s="13" t="str">
        <f>IFERROR(__xludf.DUMMYFUNCTION("""COMPUTED_VALUE"""),"Selesai")</f>
        <v>Selesai</v>
      </c>
      <c r="L647" s="17">
        <f>IFERROR(__xludf.DUMMYFUNCTION("""COMPUTED_VALUE"""),45664.36143535879)</f>
        <v>45664.36144</v>
      </c>
      <c r="M647" s="17">
        <f>IFERROR(__xludf.DUMMYFUNCTION("""COMPUTED_VALUE"""),45664.36143535879)</f>
        <v>45664.36144</v>
      </c>
      <c r="N647" s="13" t="str">
        <f>IFERROR(__xludf.DUMMYFUNCTION("""COMPUTED_VALUE"""),"")</f>
        <v/>
      </c>
      <c r="O647" s="13" t="str">
        <f t="shared" si="1"/>
        <v/>
      </c>
    </row>
    <row r="648" ht="22.5" customHeight="1">
      <c r="B648" s="13">
        <f>IFERROR(__xludf.DUMMYFUNCTION("""COMPUTED_VALUE"""),643.0)</f>
        <v>643</v>
      </c>
      <c r="C648" s="13" t="str">
        <f>IFERROR(__xludf.DUMMYFUNCTION("""COMPUTED_VALUE"""),"B. 679/ Sumber Agung")</f>
        <v>B. 679/ Sumber Agung</v>
      </c>
      <c r="D648" s="13" t="str">
        <f>IFERROR(__xludf.DUMMYFUNCTION("""COMPUTED_VALUE"""),"K/9/301224/2")</f>
        <v>K/9/301224/2</v>
      </c>
      <c r="E648" s="14" t="str">
        <f>IFERROR(__xludf.DUMMYFUNCTION("""COMPUTED_VALUE"""),"Afriza (BT)")</f>
        <v>Afriza (BT)</v>
      </c>
      <c r="F648" s="14" t="str">
        <f>IFERROR(__xludf.DUMMYFUNCTION("""COMPUTED_VALUE"""),"SELESAI")</f>
        <v>SELESAI</v>
      </c>
      <c r="G648" s="17">
        <f>IFERROR(__xludf.DUMMYFUNCTION("""COMPUTED_VALUE"""),45659.41657706018)</f>
        <v>45659.41658</v>
      </c>
      <c r="H648" s="14" t="str">
        <f>IFERROR(__xludf.DUMMYFUNCTION("""COMPUTED_VALUE"""),"Bu Eva (SU)")</f>
        <v>Bu Eva (SU)</v>
      </c>
      <c r="I648" s="13" t="str">
        <f>IFERROR(__xludf.DUMMYFUNCTION("""COMPUTED_VALUE"""),"SELESAI")</f>
        <v>SELESAI</v>
      </c>
      <c r="J648" s="17">
        <f>IFERROR(__xludf.DUMMYFUNCTION("""COMPUTED_VALUE"""),45664.42812832176)</f>
        <v>45664.42813</v>
      </c>
      <c r="K648" s="13" t="str">
        <f>IFERROR(__xludf.DUMMYFUNCTION("""COMPUTED_VALUE"""),"SELESAI")</f>
        <v>SELESAI</v>
      </c>
      <c r="L648" s="17">
        <f>IFERROR(__xludf.DUMMYFUNCTION("""COMPUTED_VALUE"""),45664.42812832176)</f>
        <v>45664.42813</v>
      </c>
      <c r="M648" s="17" t="str">
        <f>IFERROR(__xludf.DUMMYFUNCTION("""COMPUTED_VALUE"""),"")</f>
        <v/>
      </c>
      <c r="N648" s="17">
        <f>IFERROR(__xludf.DUMMYFUNCTION("""COMPUTED_VALUE"""),45664.42816423611)</f>
        <v>45664.42816</v>
      </c>
      <c r="O648" s="13">
        <f t="shared" si="1"/>
        <v>1</v>
      </c>
    </row>
    <row r="649" ht="22.5" customHeight="1">
      <c r="B649" s="13">
        <f>IFERROR(__xludf.DUMMYFUNCTION("""COMPUTED_VALUE"""),644.0)</f>
        <v>644</v>
      </c>
      <c r="C649" s="13" t="str">
        <f>IFERROR(__xludf.DUMMYFUNCTION("""COMPUTED_VALUE"""),"B. 680/ Sumber Agung")</f>
        <v>B. 680/ Sumber Agung</v>
      </c>
      <c r="D649" s="13" t="str">
        <f>IFERROR(__xludf.DUMMYFUNCTION("""COMPUTED_VALUE"""),"K/8/301224/1")</f>
        <v>K/8/301224/1</v>
      </c>
      <c r="E649" s="14" t="str">
        <f>IFERROR(__xludf.DUMMYFUNCTION("""COMPUTED_VALUE"""),"Afriza (BT)")</f>
        <v>Afriza (BT)</v>
      </c>
      <c r="F649" s="14" t="str">
        <f>IFERROR(__xludf.DUMMYFUNCTION("""COMPUTED_VALUE"""),"SELESAI")</f>
        <v>SELESAI</v>
      </c>
      <c r="G649" s="17">
        <f>IFERROR(__xludf.DUMMYFUNCTION("""COMPUTED_VALUE"""),45659.41658863426)</f>
        <v>45659.41659</v>
      </c>
      <c r="H649" s="14" t="str">
        <f>IFERROR(__xludf.DUMMYFUNCTION("""COMPUTED_VALUE"""),"Bu Eva (SU)")</f>
        <v>Bu Eva (SU)</v>
      </c>
      <c r="I649" s="13" t="str">
        <f>IFERROR(__xludf.DUMMYFUNCTION("""COMPUTED_VALUE"""),"SELESAI")</f>
        <v>SELESAI</v>
      </c>
      <c r="J649" s="17">
        <f>IFERROR(__xludf.DUMMYFUNCTION("""COMPUTED_VALUE"""),45664.427852141205)</f>
        <v>45664.42785</v>
      </c>
      <c r="K649" s="13" t="str">
        <f>IFERROR(__xludf.DUMMYFUNCTION("""COMPUTED_VALUE"""),"SELESAI")</f>
        <v>SELESAI</v>
      </c>
      <c r="L649" s="17">
        <f>IFERROR(__xludf.DUMMYFUNCTION("""COMPUTED_VALUE"""),45664.427852141205)</f>
        <v>45664.42785</v>
      </c>
      <c r="M649" s="17">
        <f>IFERROR(__xludf.DUMMYFUNCTION("""COMPUTED_VALUE"""),45664.43748241898)</f>
        <v>45664.43748</v>
      </c>
      <c r="N649" s="17">
        <f>IFERROR(__xludf.DUMMYFUNCTION("""COMPUTED_VALUE"""),45664.42791334491)</f>
        <v>45664.42791</v>
      </c>
      <c r="O649" s="13">
        <f t="shared" si="1"/>
        <v>2</v>
      </c>
    </row>
    <row r="650" ht="22.5" customHeight="1">
      <c r="B650" s="13">
        <f>IFERROR(__xludf.DUMMYFUNCTION("""COMPUTED_VALUE"""),645.0)</f>
        <v>645</v>
      </c>
      <c r="C650" s="13" t="str">
        <f>IFERROR(__xludf.DUMMYFUNCTION("""COMPUTED_VALUE"""),"M. 10029/ Kampung Baru ; SHT942/2019 &amp; SHT 5875/2016")</f>
        <v>M. 10029/ Kampung Baru ; SHT942/2019 &amp; SHT 5875/2016</v>
      </c>
      <c r="D650" s="13" t="str">
        <f>IFERROR(__xludf.DUMMYFUNCTION("""COMPUTED_VALUE"""),"K/3/301224/1")</f>
        <v>K/3/301224/1</v>
      </c>
      <c r="E650" s="14" t="str">
        <f>IFERROR(__xludf.DUMMYFUNCTION("""COMPUTED_VALUE"""),"Afriza (BT)")</f>
        <v>Afriza (BT)</v>
      </c>
      <c r="F650" s="14" t="str">
        <f>IFERROR(__xludf.DUMMYFUNCTION("""COMPUTED_VALUE"""),"SELESAI")</f>
        <v>SELESAI</v>
      </c>
      <c r="G650" s="17">
        <f>IFERROR(__xludf.DUMMYFUNCTION("""COMPUTED_VALUE"""),45659.41859872685)</f>
        <v>45659.4186</v>
      </c>
      <c r="H650" s="14" t="str">
        <f>IFERROR(__xludf.DUMMYFUNCTION("""COMPUTED_VALUE"""),"Bu Eva (SU)")</f>
        <v>Bu Eva (SU)</v>
      </c>
      <c r="I650" s="13" t="str">
        <f>IFERROR(__xludf.DUMMYFUNCTION("""COMPUTED_VALUE"""),"SELESAI")</f>
        <v>SELESAI</v>
      </c>
      <c r="J650" s="17">
        <f>IFERROR(__xludf.DUMMYFUNCTION("""COMPUTED_VALUE"""),45664.4249946875)</f>
        <v>45664.42499</v>
      </c>
      <c r="K650" s="13" t="str">
        <f>IFERROR(__xludf.DUMMYFUNCTION("""COMPUTED_VALUE"""),"SELESAI")</f>
        <v>SELESAI</v>
      </c>
      <c r="L650" s="17">
        <f>IFERROR(__xludf.DUMMYFUNCTION("""COMPUTED_VALUE"""),45664.4249946875)</f>
        <v>45664.42499</v>
      </c>
      <c r="M650" s="17" t="str">
        <f>IFERROR(__xludf.DUMMYFUNCTION("""COMPUTED_VALUE"""),"")</f>
        <v/>
      </c>
      <c r="N650" s="17">
        <f>IFERROR(__xludf.DUMMYFUNCTION("""COMPUTED_VALUE"""),45664.42502949074)</f>
        <v>45664.42503</v>
      </c>
      <c r="O650" s="13">
        <f t="shared" si="1"/>
        <v>3</v>
      </c>
    </row>
    <row r="651" ht="22.5" customHeight="1">
      <c r="B651" s="13">
        <f>IFERROR(__xludf.DUMMYFUNCTION("""COMPUTED_VALUE"""),646.0)</f>
        <v>646</v>
      </c>
      <c r="C651" s="13" t="str">
        <f>IFERROR(__xludf.DUMMYFUNCTION("""COMPUTED_VALUE"""),"HM 2409/KEMILING PERMAI")</f>
        <v>HM 2409/KEMILING PERMAI</v>
      </c>
      <c r="D651" s="13" t="str">
        <f>IFERROR(__xludf.DUMMYFUNCTION("""COMPUTED_VALUE"""),"L/2/301224/1")</f>
        <v>L/2/301224/1</v>
      </c>
      <c r="E651" s="14" t="str">
        <f>IFERROR(__xludf.DUMMYFUNCTION("""COMPUTED_VALUE"""),"Afriza (BT)")</f>
        <v>Afriza (BT)</v>
      </c>
      <c r="F651" s="14" t="str">
        <f>IFERROR(__xludf.DUMMYFUNCTION("""COMPUTED_VALUE"""),"SELESAI")</f>
        <v>SELESAI</v>
      </c>
      <c r="G651" s="17">
        <f>IFERROR(__xludf.DUMMYFUNCTION("""COMPUTED_VALUE"""),45659.42013917824)</f>
        <v>45659.42014</v>
      </c>
      <c r="H651" s="14" t="str">
        <f>IFERROR(__xludf.DUMMYFUNCTION("""COMPUTED_VALUE"""),"Bu Eva (SU)")</f>
        <v>Bu Eva (SU)</v>
      </c>
      <c r="I651" s="13" t="str">
        <f>IFERROR(__xludf.DUMMYFUNCTION("""COMPUTED_VALUE"""),"SELESAI")</f>
        <v>SELESAI</v>
      </c>
      <c r="J651" s="17">
        <f>IFERROR(__xludf.DUMMYFUNCTION("""COMPUTED_VALUE"""),45664.4381830787)</f>
        <v>45664.43818</v>
      </c>
      <c r="K651" s="13" t="str">
        <f>IFERROR(__xludf.DUMMYFUNCTION("""COMPUTED_VALUE"""),"SELESAI")</f>
        <v>SELESAI</v>
      </c>
      <c r="L651" s="17">
        <f>IFERROR(__xludf.DUMMYFUNCTION("""COMPUTED_VALUE"""),45664.4381830787)</f>
        <v>45664.43818</v>
      </c>
      <c r="M651" s="17" t="str">
        <f>IFERROR(__xludf.DUMMYFUNCTION("""COMPUTED_VALUE"""),"")</f>
        <v/>
      </c>
      <c r="N651" s="17">
        <f>IFERROR(__xludf.DUMMYFUNCTION("""COMPUTED_VALUE"""),45664.438229050924)</f>
        <v>45664.43823</v>
      </c>
      <c r="O651" s="13">
        <f t="shared" si="1"/>
        <v>4</v>
      </c>
    </row>
    <row r="652" ht="22.5" customHeight="1">
      <c r="B652" s="13">
        <f>IFERROR(__xludf.DUMMYFUNCTION("""COMPUTED_VALUE"""),647.0)</f>
        <v>647</v>
      </c>
      <c r="C652" s="13" t="str">
        <f>IFERROR(__xludf.DUMMYFUNCTION("""COMPUTED_VALUE"""),"HGB 507/GUNUNG SULAH")</f>
        <v>HGB 507/GUNUNG SULAH</v>
      </c>
      <c r="D652" s="13" t="str">
        <f>IFERROR(__xludf.DUMMYFUNCTION("""COMPUTED_VALUE"""),"L/6/271224/1")</f>
        <v>L/6/271224/1</v>
      </c>
      <c r="E652" s="14" t="str">
        <f>IFERROR(__xludf.DUMMYFUNCTION("""COMPUTED_VALUE"""),"Afriza (BT)")</f>
        <v>Afriza (BT)</v>
      </c>
      <c r="F652" s="14" t="str">
        <f>IFERROR(__xludf.DUMMYFUNCTION("""COMPUTED_VALUE"""),"SELESAI")</f>
        <v>SELESAI</v>
      </c>
      <c r="G652" s="17">
        <f>IFERROR(__xludf.DUMMYFUNCTION("""COMPUTED_VALUE"""),45659.4306129051)</f>
        <v>45659.43061</v>
      </c>
      <c r="H652" s="14" t="str">
        <f>IFERROR(__xludf.DUMMYFUNCTION("""COMPUTED_VALUE"""),"Bu Eva (SU)")</f>
        <v>Bu Eva (SU)</v>
      </c>
      <c r="I652" s="13" t="str">
        <f>IFERROR(__xludf.DUMMYFUNCTION("""COMPUTED_VALUE"""),"SELESAI")</f>
        <v>SELESAI</v>
      </c>
      <c r="J652" s="17">
        <f>IFERROR(__xludf.DUMMYFUNCTION("""COMPUTED_VALUE"""),45664.42841335648)</f>
        <v>45664.42841</v>
      </c>
      <c r="K652" s="13" t="str">
        <f>IFERROR(__xludf.DUMMYFUNCTION("""COMPUTED_VALUE"""),"SELESAI")</f>
        <v>SELESAI</v>
      </c>
      <c r="L652" s="17">
        <f>IFERROR(__xludf.DUMMYFUNCTION("""COMPUTED_VALUE"""),45664.42841335648)</f>
        <v>45664.42841</v>
      </c>
      <c r="M652" s="17" t="str">
        <f>IFERROR(__xludf.DUMMYFUNCTION("""COMPUTED_VALUE"""),"")</f>
        <v/>
      </c>
      <c r="N652" s="17">
        <f>IFERROR(__xludf.DUMMYFUNCTION("""COMPUTED_VALUE"""),45664.42846407407)</f>
        <v>45664.42846</v>
      </c>
      <c r="O652" s="13">
        <f t="shared" si="1"/>
        <v>5</v>
      </c>
    </row>
    <row r="653" ht="22.5" customHeight="1">
      <c r="B653" s="13">
        <f>IFERROR(__xludf.DUMMYFUNCTION("""COMPUTED_VALUE"""),648.0)</f>
        <v>648</v>
      </c>
      <c r="C653" s="13" t="str">
        <f>IFERROR(__xludf.DUMMYFUNCTION("""COMPUTED_VALUE"""),"M. 1758/ Rajabasa Pemuka")</f>
        <v>M. 1758/ Rajabasa Pemuka</v>
      </c>
      <c r="D653" s="13" t="str">
        <f>IFERROR(__xludf.DUMMYFUNCTION("""COMPUTED_VALUE"""),"K/9/191224/1")</f>
        <v>K/9/191224/1</v>
      </c>
      <c r="E653" s="14" t="str">
        <f>IFERROR(__xludf.DUMMYFUNCTION("""COMPUTED_VALUE"""),"Afriza (BT)")</f>
        <v>Afriza (BT)</v>
      </c>
      <c r="F653" s="14" t="str">
        <f>IFERROR(__xludf.DUMMYFUNCTION("""COMPUTED_VALUE"""),"SELESAI (VIA PERMOHONAN)")</f>
        <v>SELESAI (VIA PERMOHONAN)</v>
      </c>
      <c r="G653" s="17">
        <f>IFERROR(__xludf.DUMMYFUNCTION("""COMPUTED_VALUE"""),45659.433063020835)</f>
        <v>45659.43306</v>
      </c>
      <c r="H653" s="14" t="str">
        <f>IFERROR(__xludf.DUMMYFUNCTION("""COMPUTED_VALUE"""),"Aprill (SU)")</f>
        <v>Aprill (SU)</v>
      </c>
      <c r="I653" s="13" t="str">
        <f>IFERROR(__xludf.DUMMYFUNCTION("""COMPUTED_VALUE"""),"SELESAI (VIA PERMOHONAN)")</f>
        <v>SELESAI (VIA PERMOHONAN)</v>
      </c>
      <c r="J653" s="17">
        <f>IFERROR(__xludf.DUMMYFUNCTION("""COMPUTED_VALUE"""),45664.36143535879)</f>
        <v>45664.36144</v>
      </c>
      <c r="K653" s="13" t="str">
        <f>IFERROR(__xludf.DUMMYFUNCTION("""COMPUTED_VALUE"""),"Selesai")</f>
        <v>Selesai</v>
      </c>
      <c r="L653" s="17">
        <f>IFERROR(__xludf.DUMMYFUNCTION("""COMPUTED_VALUE"""),45664.36143535879)</f>
        <v>45664.36144</v>
      </c>
      <c r="M653" s="17">
        <f>IFERROR(__xludf.DUMMYFUNCTION("""COMPUTED_VALUE"""),45664.36143535879)</f>
        <v>45664.36144</v>
      </c>
      <c r="N653" s="13" t="str">
        <f>IFERROR(__xludf.DUMMYFUNCTION("""COMPUTED_VALUE"""),"")</f>
        <v/>
      </c>
      <c r="O653" s="13" t="str">
        <f t="shared" si="1"/>
        <v/>
      </c>
    </row>
    <row r="654" ht="22.5" customHeight="1">
      <c r="B654" s="13">
        <f>IFERROR(__xludf.DUMMYFUNCTION("""COMPUTED_VALUE"""),649.0)</f>
        <v>649</v>
      </c>
      <c r="C654" s="13" t="str">
        <f>IFERROR(__xludf.DUMMYFUNCTION("""COMPUTED_VALUE"""),"HM 12131/KEDAMAIAN")</f>
        <v>HM 12131/KEDAMAIAN</v>
      </c>
      <c r="D654" s="13" t="str">
        <f>IFERROR(__xludf.DUMMYFUNCTION("""COMPUTED_VALUE"""),"L/17/231224/1")</f>
        <v>L/17/231224/1</v>
      </c>
      <c r="E654" s="14" t="str">
        <f>IFERROR(__xludf.DUMMYFUNCTION("""COMPUTED_VALUE"""),"Afriza (BT)")</f>
        <v>Afriza (BT)</v>
      </c>
      <c r="F654" s="14" t="str">
        <f>IFERROR(__xludf.DUMMYFUNCTION("""COMPUTED_VALUE"""),"SELESAI (VIA PERMOHONAN)")</f>
        <v>SELESAI (VIA PERMOHONAN)</v>
      </c>
      <c r="G654" s="17">
        <f>IFERROR(__xludf.DUMMYFUNCTION("""COMPUTED_VALUE"""),45659.43725903935)</f>
        <v>45659.43726</v>
      </c>
      <c r="H654" s="14" t="str">
        <f>IFERROR(__xludf.DUMMYFUNCTION("""COMPUTED_VALUE"""),"Aprill (SU)")</f>
        <v>Aprill (SU)</v>
      </c>
      <c r="I654" s="13" t="str">
        <f>IFERROR(__xludf.DUMMYFUNCTION("""COMPUTED_VALUE"""),"SELESAI (VIA PERMOHONAN)")</f>
        <v>SELESAI (VIA PERMOHONAN)</v>
      </c>
      <c r="J654" s="17">
        <f>IFERROR(__xludf.DUMMYFUNCTION("""COMPUTED_VALUE"""),45659.43732378472)</f>
        <v>45659.43732</v>
      </c>
      <c r="K654" s="13" t="str">
        <f>IFERROR(__xludf.DUMMYFUNCTION("""COMPUTED_VALUE"""),"Selesai")</f>
        <v>Selesai</v>
      </c>
      <c r="L654" s="17">
        <f>IFERROR(__xludf.DUMMYFUNCTION("""COMPUTED_VALUE"""),45659.43732378472)</f>
        <v>45659.43732</v>
      </c>
      <c r="M654" s="17">
        <f>IFERROR(__xludf.DUMMYFUNCTION("""COMPUTED_VALUE"""),45659.4373453588)</f>
        <v>45659.43735</v>
      </c>
      <c r="N654" s="13" t="str">
        <f>IFERROR(__xludf.DUMMYFUNCTION("""COMPUTED_VALUE"""),"")</f>
        <v/>
      </c>
      <c r="O654" s="13" t="str">
        <f t="shared" si="1"/>
        <v/>
      </c>
    </row>
    <row r="655" ht="22.5" customHeight="1">
      <c r="B655" s="13">
        <f>IFERROR(__xludf.DUMMYFUNCTION("""COMPUTED_VALUE"""),650.0)</f>
        <v>650</v>
      </c>
      <c r="C655" s="13" t="str">
        <f>IFERROR(__xludf.DUMMYFUNCTION("""COMPUTED_VALUE"""),"HM 306/GUNUNG AGUNG")</f>
        <v>HM 306/GUNUNG AGUNG</v>
      </c>
      <c r="D655" s="13" t="str">
        <f>IFERROR(__xludf.DUMMYFUNCTION("""COMPUTED_VALUE"""),"L/17/241224/1")</f>
        <v>L/17/241224/1</v>
      </c>
      <c r="E655" s="14" t="str">
        <f>IFERROR(__xludf.DUMMYFUNCTION("""COMPUTED_VALUE"""),"Afriza (BT)")</f>
        <v>Afriza (BT)</v>
      </c>
      <c r="F655" s="14" t="str">
        <f>IFERROR(__xludf.DUMMYFUNCTION("""COMPUTED_VALUE"""),"SELESAI (VIA PERMOHONAN)")</f>
        <v>SELESAI (VIA PERMOHONAN)</v>
      </c>
      <c r="G655" s="17">
        <f>IFERROR(__xludf.DUMMYFUNCTION("""COMPUTED_VALUE"""),45659.44078380787)</f>
        <v>45659.44078</v>
      </c>
      <c r="H655" s="14" t="str">
        <f>IFERROR(__xludf.DUMMYFUNCTION("""COMPUTED_VALUE"""),"Aprill (SU)")</f>
        <v>Aprill (SU)</v>
      </c>
      <c r="I655" s="13" t="str">
        <f>IFERROR(__xludf.DUMMYFUNCTION("""COMPUTED_VALUE"""),"SELESAI (VIA PERMOHONAN)")</f>
        <v>SELESAI (VIA PERMOHONAN)</v>
      </c>
      <c r="J655" s="17">
        <f>IFERROR(__xludf.DUMMYFUNCTION("""COMPUTED_VALUE"""),45659.440832569446)</f>
        <v>45659.44083</v>
      </c>
      <c r="K655" s="13" t="str">
        <f>IFERROR(__xludf.DUMMYFUNCTION("""COMPUTED_VALUE"""),"Selesai")</f>
        <v>Selesai</v>
      </c>
      <c r="L655" s="17">
        <f>IFERROR(__xludf.DUMMYFUNCTION("""COMPUTED_VALUE"""),45659.440832569446)</f>
        <v>45659.44083</v>
      </c>
      <c r="M655" s="17">
        <f>IFERROR(__xludf.DUMMYFUNCTION("""COMPUTED_VALUE"""),45659.44084434028)</f>
        <v>45659.44084</v>
      </c>
      <c r="N655" s="17">
        <f>IFERROR(__xludf.DUMMYFUNCTION("""COMPUTED_VALUE"""),45664.44873971065)</f>
        <v>45664.44874</v>
      </c>
      <c r="O655" s="13">
        <f t="shared" si="1"/>
        <v>1</v>
      </c>
    </row>
    <row r="656" ht="22.5" customHeight="1">
      <c r="B656" s="13">
        <f>IFERROR(__xludf.DUMMYFUNCTION("""COMPUTED_VALUE"""),651.0)</f>
        <v>651</v>
      </c>
      <c r="C656" s="13" t="str">
        <f>IFERROR(__xludf.DUMMYFUNCTION("""COMPUTED_VALUE"""),"M. 4391/ Tanjung Seneng")</f>
        <v>M. 4391/ Tanjung Seneng</v>
      </c>
      <c r="D656" s="13" t="str">
        <f>IFERROR(__xludf.DUMMYFUNCTION("""COMPUTED_VALUE"""),"K/20/2012124/1")</f>
        <v>K/20/2012124/1</v>
      </c>
      <c r="E656" s="14" t="str">
        <f>IFERROR(__xludf.DUMMYFUNCTION("""COMPUTED_VALUE"""),"Afriza (BT)")</f>
        <v>Afriza (BT)</v>
      </c>
      <c r="F656" s="14" t="str">
        <f>IFERROR(__xludf.DUMMYFUNCTION("""COMPUTED_VALUE"""),"SELESAI (VIA PERMOHONAN)")</f>
        <v>SELESAI (VIA PERMOHONAN)</v>
      </c>
      <c r="G656" s="17">
        <f>IFERROR(__xludf.DUMMYFUNCTION("""COMPUTED_VALUE"""),45659.58833559028)</f>
        <v>45659.58834</v>
      </c>
      <c r="H656" s="14" t="str">
        <f>IFERROR(__xludf.DUMMYFUNCTION("""COMPUTED_VALUE"""),"Aprill (SU)")</f>
        <v>Aprill (SU)</v>
      </c>
      <c r="I656" s="13" t="str">
        <f>IFERROR(__xludf.DUMMYFUNCTION("""COMPUTED_VALUE"""),"SELESAI (VIA PERMOHONAN)")</f>
        <v>SELESAI (VIA PERMOHONAN)</v>
      </c>
      <c r="J656" s="17">
        <f>IFERROR(__xludf.DUMMYFUNCTION("""COMPUTED_VALUE"""),45659.58833559028)</f>
        <v>45659.58834</v>
      </c>
      <c r="K656" s="13" t="str">
        <f>IFERROR(__xludf.DUMMYFUNCTION("""COMPUTED_VALUE"""),"Selesai")</f>
        <v>Selesai</v>
      </c>
      <c r="L656" s="17">
        <f>IFERROR(__xludf.DUMMYFUNCTION("""COMPUTED_VALUE"""),45659.58833559028)</f>
        <v>45659.58834</v>
      </c>
      <c r="M656" s="17">
        <f>IFERROR(__xludf.DUMMYFUNCTION("""COMPUTED_VALUE"""),45659.58833560185)</f>
        <v>45659.58834</v>
      </c>
      <c r="N656" s="13" t="str">
        <f>IFERROR(__xludf.DUMMYFUNCTION("""COMPUTED_VALUE"""),"")</f>
        <v/>
      </c>
      <c r="O656" s="13" t="str">
        <f t="shared" si="1"/>
        <v/>
      </c>
    </row>
    <row r="657" ht="22.5" customHeight="1">
      <c r="B657" s="13">
        <f>IFERROR(__xludf.DUMMYFUNCTION("""COMPUTED_VALUE"""),652.0)</f>
        <v>652</v>
      </c>
      <c r="C657" s="13" t="str">
        <f>IFERROR(__xludf.DUMMYFUNCTION("""COMPUTED_VALUE"""),"B. 512/ Sukarame Baru")</f>
        <v>B. 512/ Sukarame Baru</v>
      </c>
      <c r="D657" s="13" t="str">
        <f>IFERROR(__xludf.DUMMYFUNCTION("""COMPUTED_VALUE"""),"K/24/271224/2")</f>
        <v>K/24/271224/2</v>
      </c>
      <c r="E657" s="14" t="str">
        <f>IFERROR(__xludf.DUMMYFUNCTION("""COMPUTED_VALUE"""),"Afriza (BT)")</f>
        <v>Afriza (BT)</v>
      </c>
      <c r="F657" s="14" t="str">
        <f>IFERROR(__xludf.DUMMYFUNCTION("""COMPUTED_VALUE"""),"SELESAI")</f>
        <v>SELESAI</v>
      </c>
      <c r="G657" s="17">
        <f>IFERROR(__xludf.DUMMYFUNCTION("""COMPUTED_VALUE"""),45659.58833560185)</f>
        <v>45659.58834</v>
      </c>
      <c r="H657" s="14" t="str">
        <f>IFERROR(__xludf.DUMMYFUNCTION("""COMPUTED_VALUE"""),"Bu Eva (SU)")</f>
        <v>Bu Eva (SU)</v>
      </c>
      <c r="I657" s="13" t="str">
        <f>IFERROR(__xludf.DUMMYFUNCTION("""COMPUTED_VALUE"""),"SELESAI")</f>
        <v>SELESAI</v>
      </c>
      <c r="J657" s="17">
        <f>IFERROR(__xludf.DUMMYFUNCTION("""COMPUTED_VALUE"""),45664.42637829861)</f>
        <v>45664.42638</v>
      </c>
      <c r="K657" s="13" t="str">
        <f>IFERROR(__xludf.DUMMYFUNCTION("""COMPUTED_VALUE"""),"SELESAI")</f>
        <v>SELESAI</v>
      </c>
      <c r="L657" s="17">
        <f>IFERROR(__xludf.DUMMYFUNCTION("""COMPUTED_VALUE"""),45664.42637829861)</f>
        <v>45664.42638</v>
      </c>
      <c r="M657" s="17" t="str">
        <f>IFERROR(__xludf.DUMMYFUNCTION("""COMPUTED_VALUE"""),"")</f>
        <v/>
      </c>
      <c r="N657" s="17">
        <f>IFERROR(__xludf.DUMMYFUNCTION("""COMPUTED_VALUE"""),45664.42641849537)</f>
        <v>45664.42642</v>
      </c>
      <c r="O657" s="13">
        <f t="shared" si="1"/>
        <v>1</v>
      </c>
    </row>
    <row r="658" ht="22.5" customHeight="1">
      <c r="B658" s="13">
        <f>IFERROR(__xludf.DUMMYFUNCTION("""COMPUTED_VALUE"""),653.0)</f>
        <v>653</v>
      </c>
      <c r="C658" s="13" t="str">
        <f>IFERROR(__xludf.DUMMYFUNCTION("""COMPUTED_VALUE"""),"B. 513/ Sukarame Baru")</f>
        <v>B. 513/ Sukarame Baru</v>
      </c>
      <c r="D658" s="13" t="str">
        <f>IFERROR(__xludf.DUMMYFUNCTION("""COMPUTED_VALUE"""),"K/23/271224/1")</f>
        <v>K/23/271224/1</v>
      </c>
      <c r="E658" s="14" t="str">
        <f>IFERROR(__xludf.DUMMYFUNCTION("""COMPUTED_VALUE"""),"Afriza (BT)")</f>
        <v>Afriza (BT)</v>
      </c>
      <c r="F658" s="14" t="str">
        <f>IFERROR(__xludf.DUMMYFUNCTION("""COMPUTED_VALUE"""),"SELESAI")</f>
        <v>SELESAI</v>
      </c>
      <c r="G658" s="17">
        <f>IFERROR(__xludf.DUMMYFUNCTION("""COMPUTED_VALUE"""),45659.58833560185)</f>
        <v>45659.58834</v>
      </c>
      <c r="H658" s="14" t="str">
        <f>IFERROR(__xludf.DUMMYFUNCTION("""COMPUTED_VALUE"""),"Bu Eva (SU)")</f>
        <v>Bu Eva (SU)</v>
      </c>
      <c r="I658" s="13" t="str">
        <f>IFERROR(__xludf.DUMMYFUNCTION("""COMPUTED_VALUE"""),"SELESAI")</f>
        <v>SELESAI</v>
      </c>
      <c r="J658" s="17">
        <f>IFERROR(__xludf.DUMMYFUNCTION("""COMPUTED_VALUE"""),45664.43741428241)</f>
        <v>45664.43741</v>
      </c>
      <c r="K658" s="13" t="str">
        <f>IFERROR(__xludf.DUMMYFUNCTION("""COMPUTED_VALUE"""),"SELESAI")</f>
        <v>SELESAI</v>
      </c>
      <c r="L658" s="17">
        <f>IFERROR(__xludf.DUMMYFUNCTION("""COMPUTED_VALUE"""),45664.43741428241)</f>
        <v>45664.43741</v>
      </c>
      <c r="M658" s="17" t="str">
        <f>IFERROR(__xludf.DUMMYFUNCTION("""COMPUTED_VALUE"""),"")</f>
        <v/>
      </c>
      <c r="N658" s="17">
        <f>IFERROR(__xludf.DUMMYFUNCTION("""COMPUTED_VALUE"""),45664.437446724536)</f>
        <v>45664.43745</v>
      </c>
      <c r="O658" s="13">
        <f t="shared" si="1"/>
        <v>2</v>
      </c>
    </row>
    <row r="659" ht="22.5" customHeight="1">
      <c r="B659" s="13">
        <f>IFERROR(__xludf.DUMMYFUNCTION("""COMPUTED_VALUE"""),654.0)</f>
        <v>654</v>
      </c>
      <c r="C659" s="13" t="str">
        <f>IFERROR(__xludf.DUMMYFUNCTION("""COMPUTED_VALUE"""),"B.3561/KALI BALAU KENCANA-SEKARANG;B.3561/SUKARAME I")</f>
        <v>B.3561/KALI BALAU KENCANA-SEKARANG;B.3561/SUKARAME I</v>
      </c>
      <c r="D659" s="13" t="str">
        <f>IFERROR(__xludf.DUMMYFUNCTION("""COMPUTED_VALUE"""),"K/10/271224/1")</f>
        <v>K/10/271224/1</v>
      </c>
      <c r="E659" s="14" t="str">
        <f>IFERROR(__xludf.DUMMYFUNCTION("""COMPUTED_VALUE"""),"Afriza (BT)")</f>
        <v>Afriza (BT)</v>
      </c>
      <c r="F659" s="14" t="str">
        <f>IFERROR(__xludf.DUMMYFUNCTION("""COMPUTED_VALUE"""),"SELESAI")</f>
        <v>SELESAI</v>
      </c>
      <c r="G659" s="17">
        <f>IFERROR(__xludf.DUMMYFUNCTION("""COMPUTED_VALUE"""),45659.58833560185)</f>
        <v>45659.58834</v>
      </c>
      <c r="H659" s="14" t="str">
        <f>IFERROR(__xludf.DUMMYFUNCTION("""COMPUTED_VALUE"""),"Bu Eva (SU)")</f>
        <v>Bu Eva (SU)</v>
      </c>
      <c r="I659" s="13" t="str">
        <f>IFERROR(__xludf.DUMMYFUNCTION("""COMPUTED_VALUE"""),"SELESAI")</f>
        <v>SELESAI</v>
      </c>
      <c r="J659" s="17">
        <f>IFERROR(__xludf.DUMMYFUNCTION("""COMPUTED_VALUE"""),45664.43728439815)</f>
        <v>45664.43728</v>
      </c>
      <c r="K659" s="13" t="str">
        <f>IFERROR(__xludf.DUMMYFUNCTION("""COMPUTED_VALUE"""),"SELESAI")</f>
        <v>SELESAI</v>
      </c>
      <c r="L659" s="17">
        <f>IFERROR(__xludf.DUMMYFUNCTION("""COMPUTED_VALUE"""),45664.43728439815)</f>
        <v>45664.43728</v>
      </c>
      <c r="M659" s="17" t="str">
        <f>IFERROR(__xludf.DUMMYFUNCTION("""COMPUTED_VALUE"""),"")</f>
        <v/>
      </c>
      <c r="N659" s="17">
        <f>IFERROR(__xludf.DUMMYFUNCTION("""COMPUTED_VALUE"""),45664.43731112269)</f>
        <v>45664.43731</v>
      </c>
      <c r="O659" s="13">
        <f t="shared" si="1"/>
        <v>3</v>
      </c>
    </row>
    <row r="660" ht="22.5" customHeight="1">
      <c r="B660" s="13">
        <f>IFERROR(__xludf.DUMMYFUNCTION("""COMPUTED_VALUE"""),655.0)</f>
        <v>655</v>
      </c>
      <c r="C660" s="13" t="str">
        <f>IFERROR(__xludf.DUMMYFUNCTION("""COMPUTED_VALUE"""),"M. 2371/ Sukamaju")</f>
        <v>M. 2371/ Sukamaju</v>
      </c>
      <c r="D660" s="13" t="str">
        <f>IFERROR(__xludf.DUMMYFUNCTION("""COMPUTED_VALUE"""),"K/30/241224/1")</f>
        <v>K/30/241224/1</v>
      </c>
      <c r="E660" s="14" t="str">
        <f>IFERROR(__xludf.DUMMYFUNCTION("""COMPUTED_VALUE"""),"Afriza (BT)")</f>
        <v>Afriza (BT)</v>
      </c>
      <c r="F660" s="14" t="str">
        <f>IFERROR(__xludf.DUMMYFUNCTION("""COMPUTED_VALUE"""),"SELESAI")</f>
        <v>SELESAI</v>
      </c>
      <c r="G660" s="17">
        <f>IFERROR(__xludf.DUMMYFUNCTION("""COMPUTED_VALUE"""),45659.58833560185)</f>
        <v>45659.58834</v>
      </c>
      <c r="H660" s="14" t="str">
        <f>IFERROR(__xludf.DUMMYFUNCTION("""COMPUTED_VALUE"""),"Bu Eva (SU)")</f>
        <v>Bu Eva (SU)</v>
      </c>
      <c r="I660" s="13" t="str">
        <f>IFERROR(__xludf.DUMMYFUNCTION("""COMPUTED_VALUE"""),"SELESAI")</f>
        <v>SELESAI</v>
      </c>
      <c r="J660" s="17">
        <f>IFERROR(__xludf.DUMMYFUNCTION("""COMPUTED_VALUE"""),45664.42861821759)</f>
        <v>45664.42862</v>
      </c>
      <c r="K660" s="13" t="str">
        <f>IFERROR(__xludf.DUMMYFUNCTION("""COMPUTED_VALUE"""),"SELESAI")</f>
        <v>SELESAI</v>
      </c>
      <c r="L660" s="17">
        <f>IFERROR(__xludf.DUMMYFUNCTION("""COMPUTED_VALUE"""),45664.42861821759)</f>
        <v>45664.42862</v>
      </c>
      <c r="M660" s="17" t="str">
        <f>IFERROR(__xludf.DUMMYFUNCTION("""COMPUTED_VALUE"""),"")</f>
        <v/>
      </c>
      <c r="N660" s="17">
        <f>IFERROR(__xludf.DUMMYFUNCTION("""COMPUTED_VALUE"""),45664.42864893518)</f>
        <v>45664.42865</v>
      </c>
      <c r="O660" s="13">
        <f t="shared" si="1"/>
        <v>4</v>
      </c>
    </row>
    <row r="661" ht="22.5" customHeight="1">
      <c r="B661" s="13">
        <f>IFERROR(__xludf.DUMMYFUNCTION("""COMPUTED_VALUE"""),656.0)</f>
        <v>656</v>
      </c>
      <c r="C661" s="13" t="str">
        <f>IFERROR(__xludf.DUMMYFUNCTION("""COMPUTED_VALUE"""),"M. 1337/ Kaliawi")</f>
        <v>M. 1337/ Kaliawi</v>
      </c>
      <c r="D661" s="13" t="str">
        <f>IFERROR(__xludf.DUMMYFUNCTION("""COMPUTED_VALUE"""),"K/28/271224/1")</f>
        <v>K/28/271224/1</v>
      </c>
      <c r="E661" s="14" t="str">
        <f>IFERROR(__xludf.DUMMYFUNCTION("""COMPUTED_VALUE"""),"Afriza (BT)")</f>
        <v>Afriza (BT)</v>
      </c>
      <c r="F661" s="14" t="str">
        <f>IFERROR(__xludf.DUMMYFUNCTION("""COMPUTED_VALUE"""),"SELESAI")</f>
        <v>SELESAI</v>
      </c>
      <c r="G661" s="17">
        <f>IFERROR(__xludf.DUMMYFUNCTION("""COMPUTED_VALUE"""),45659.58833560185)</f>
        <v>45659.58834</v>
      </c>
      <c r="H661" s="14" t="str">
        <f>IFERROR(__xludf.DUMMYFUNCTION("""COMPUTED_VALUE"""),"Bu Eva (SU)")</f>
        <v>Bu Eva (SU)</v>
      </c>
      <c r="I661" s="13" t="str">
        <f>IFERROR(__xludf.DUMMYFUNCTION("""COMPUTED_VALUE"""),"SELESAI")</f>
        <v>SELESAI</v>
      </c>
      <c r="J661" s="17">
        <f>IFERROR(__xludf.DUMMYFUNCTION("""COMPUTED_VALUE"""),45664.43983148148)</f>
        <v>45664.43983</v>
      </c>
      <c r="K661" s="13" t="str">
        <f>IFERROR(__xludf.DUMMYFUNCTION("""COMPUTED_VALUE"""),"SELESAI")</f>
        <v>SELESAI</v>
      </c>
      <c r="L661" s="17">
        <f>IFERROR(__xludf.DUMMYFUNCTION("""COMPUTED_VALUE"""),45664.43983148148)</f>
        <v>45664.43983</v>
      </c>
      <c r="M661" s="17" t="str">
        <f>IFERROR(__xludf.DUMMYFUNCTION("""COMPUTED_VALUE"""),"")</f>
        <v/>
      </c>
      <c r="N661" s="17">
        <f>IFERROR(__xludf.DUMMYFUNCTION("""COMPUTED_VALUE"""),45664.439869548616)</f>
        <v>45664.43987</v>
      </c>
      <c r="O661" s="13">
        <f t="shared" si="1"/>
        <v>5</v>
      </c>
    </row>
    <row r="662" ht="22.5" customHeight="1">
      <c r="B662" s="13">
        <f>IFERROR(__xludf.DUMMYFUNCTION("""COMPUTED_VALUE"""),657.0)</f>
        <v>657</v>
      </c>
      <c r="C662" s="13" t="str">
        <f>IFERROR(__xludf.DUMMYFUNCTION("""COMPUTED_VALUE"""),"M. 2058/ Labuhan Dalam")</f>
        <v>M. 2058/ Labuhan Dalam</v>
      </c>
      <c r="D662" s="13" t="str">
        <f>IFERROR(__xludf.DUMMYFUNCTION("""COMPUTED_VALUE"""),"K/29/271224/1")</f>
        <v>K/29/271224/1</v>
      </c>
      <c r="E662" s="14" t="str">
        <f>IFERROR(__xludf.DUMMYFUNCTION("""COMPUTED_VALUE"""),"Afriza (BT)")</f>
        <v>Afriza (BT)</v>
      </c>
      <c r="F662" s="14" t="str">
        <f>IFERROR(__xludf.DUMMYFUNCTION("""COMPUTED_VALUE"""),"SELESAI")</f>
        <v>SELESAI</v>
      </c>
      <c r="G662" s="17">
        <f>IFERROR(__xludf.DUMMYFUNCTION("""COMPUTED_VALUE"""),45659.58833560185)</f>
        <v>45659.58834</v>
      </c>
      <c r="H662" s="14" t="str">
        <f>IFERROR(__xludf.DUMMYFUNCTION("""COMPUTED_VALUE"""),"Bu Eva (SU)")</f>
        <v>Bu Eva (SU)</v>
      </c>
      <c r="I662" s="13" t="str">
        <f>IFERROR(__xludf.DUMMYFUNCTION("""COMPUTED_VALUE"""),"SELESAI")</f>
        <v>SELESAI</v>
      </c>
      <c r="J662" s="17">
        <f>IFERROR(__xludf.DUMMYFUNCTION("""COMPUTED_VALUE"""),45664.42537880787)</f>
        <v>45664.42538</v>
      </c>
      <c r="K662" s="13" t="str">
        <f>IFERROR(__xludf.DUMMYFUNCTION("""COMPUTED_VALUE"""),"SELESAI")</f>
        <v>SELESAI</v>
      </c>
      <c r="L662" s="17">
        <f>IFERROR(__xludf.DUMMYFUNCTION("""COMPUTED_VALUE"""),45664.42537880787)</f>
        <v>45664.42538</v>
      </c>
      <c r="M662" s="17" t="str">
        <f>IFERROR(__xludf.DUMMYFUNCTION("""COMPUTED_VALUE"""),"")</f>
        <v/>
      </c>
      <c r="N662" s="17">
        <f>IFERROR(__xludf.DUMMYFUNCTION("""COMPUTED_VALUE"""),45664.4252408912)</f>
        <v>45664.42524</v>
      </c>
      <c r="O662" s="13">
        <f t="shared" si="1"/>
        <v>6</v>
      </c>
    </row>
    <row r="663" ht="22.5" customHeight="1">
      <c r="B663" s="13">
        <f>IFERROR(__xludf.DUMMYFUNCTION("""COMPUTED_VALUE"""),658.0)</f>
        <v>658</v>
      </c>
      <c r="C663" s="13" t="str">
        <f>IFERROR(__xludf.DUMMYFUNCTION("""COMPUTED_VALUE"""),"M.1260/KOTA KARANG")</f>
        <v>M.1260/KOTA KARANG</v>
      </c>
      <c r="D663" s="13" t="str">
        <f>IFERROR(__xludf.DUMMYFUNCTION("""COMPUTED_VALUE"""),"K/32/271224/1")</f>
        <v>K/32/271224/1</v>
      </c>
      <c r="E663" s="14" t="str">
        <f>IFERROR(__xludf.DUMMYFUNCTION("""COMPUTED_VALUE"""),"Afriza (BT)")</f>
        <v>Afriza (BT)</v>
      </c>
      <c r="F663" s="14" t="str">
        <f>IFERROR(__xludf.DUMMYFUNCTION("""COMPUTED_VALUE"""),"SELESAI")</f>
        <v>SELESAI</v>
      </c>
      <c r="G663" s="17">
        <f>IFERROR(__xludf.DUMMYFUNCTION("""COMPUTED_VALUE"""),45659.58833560185)</f>
        <v>45659.58834</v>
      </c>
      <c r="H663" s="14" t="str">
        <f>IFERROR(__xludf.DUMMYFUNCTION("""COMPUTED_VALUE"""),"Bu Eva (SU)")</f>
        <v>Bu Eva (SU)</v>
      </c>
      <c r="I663" s="13" t="str">
        <f>IFERROR(__xludf.DUMMYFUNCTION("""COMPUTED_VALUE"""),"SELESAI")</f>
        <v>SELESAI</v>
      </c>
      <c r="J663" s="17">
        <f>IFERROR(__xludf.DUMMYFUNCTION("""COMPUTED_VALUE"""),45664.43912113426)</f>
        <v>45664.43912</v>
      </c>
      <c r="K663" s="13" t="str">
        <f>IFERROR(__xludf.DUMMYFUNCTION("""COMPUTED_VALUE"""),"SELESAI")</f>
        <v>SELESAI</v>
      </c>
      <c r="L663" s="17">
        <f>IFERROR(__xludf.DUMMYFUNCTION("""COMPUTED_VALUE"""),45664.43912113426)</f>
        <v>45664.43912</v>
      </c>
      <c r="M663" s="17" t="str">
        <f>IFERROR(__xludf.DUMMYFUNCTION("""COMPUTED_VALUE"""),"")</f>
        <v/>
      </c>
      <c r="N663" s="17">
        <f>IFERROR(__xludf.DUMMYFUNCTION("""COMPUTED_VALUE"""),45664.43916625)</f>
        <v>45664.43917</v>
      </c>
      <c r="O663" s="13">
        <f t="shared" si="1"/>
        <v>7</v>
      </c>
    </row>
    <row r="664" ht="22.5" customHeight="1">
      <c r="B664" s="13">
        <f>IFERROR(__xludf.DUMMYFUNCTION("""COMPUTED_VALUE"""),659.0)</f>
        <v>659</v>
      </c>
      <c r="C664" s="13" t="str">
        <f>IFERROR(__xludf.DUMMYFUNCTION("""COMPUTED_VALUE"""),"M. 5920/ Way Kandis")</f>
        <v>M. 5920/ Way Kandis</v>
      </c>
      <c r="D664" s="13" t="str">
        <f>IFERROR(__xludf.DUMMYFUNCTION("""COMPUTED_VALUE"""),"K/35/271224/1")</f>
        <v>K/35/271224/1</v>
      </c>
      <c r="E664" s="14" t="str">
        <f>IFERROR(__xludf.DUMMYFUNCTION("""COMPUTED_VALUE"""),"Afriza (BT)")</f>
        <v>Afriza (BT)</v>
      </c>
      <c r="F664" s="14" t="str">
        <f>IFERROR(__xludf.DUMMYFUNCTION("""COMPUTED_VALUE"""),"SELESAI")</f>
        <v>SELESAI</v>
      </c>
      <c r="G664" s="17">
        <f>IFERROR(__xludf.DUMMYFUNCTION("""COMPUTED_VALUE"""),45659.58834340278)</f>
        <v>45659.58834</v>
      </c>
      <c r="H664" s="14" t="str">
        <f>IFERROR(__xludf.DUMMYFUNCTION("""COMPUTED_VALUE"""),"Bu Eva (SU)")</f>
        <v>Bu Eva (SU)</v>
      </c>
      <c r="I664" s="13" t="str">
        <f>IFERROR(__xludf.DUMMYFUNCTION("""COMPUTED_VALUE"""),"SELESAI")</f>
        <v>SELESAI</v>
      </c>
      <c r="J664" s="17">
        <f>IFERROR(__xludf.DUMMYFUNCTION("""COMPUTED_VALUE"""),45664.42747461806)</f>
        <v>45664.42747</v>
      </c>
      <c r="K664" s="13" t="str">
        <f>IFERROR(__xludf.DUMMYFUNCTION("""COMPUTED_VALUE"""),"SELESAI")</f>
        <v>SELESAI</v>
      </c>
      <c r="L664" s="17">
        <f>IFERROR(__xludf.DUMMYFUNCTION("""COMPUTED_VALUE"""),45664.42747461806)</f>
        <v>45664.42747</v>
      </c>
      <c r="M664" s="17" t="str">
        <f>IFERROR(__xludf.DUMMYFUNCTION("""COMPUTED_VALUE"""),"")</f>
        <v/>
      </c>
      <c r="N664" s="17">
        <f>IFERROR(__xludf.DUMMYFUNCTION("""COMPUTED_VALUE"""),45664.42750502315)</f>
        <v>45664.42751</v>
      </c>
      <c r="O664" s="13">
        <f t="shared" si="1"/>
        <v>8</v>
      </c>
    </row>
    <row r="665" ht="22.5" customHeight="1">
      <c r="B665" s="13">
        <f>IFERROR(__xludf.DUMMYFUNCTION("""COMPUTED_VALUE"""),660.0)</f>
        <v>660</v>
      </c>
      <c r="C665" s="13" t="str">
        <f>IFERROR(__xludf.DUMMYFUNCTION("""COMPUTED_VALUE"""),"M. 1942/ Panjang Utara")</f>
        <v>M. 1942/ Panjang Utara</v>
      </c>
      <c r="D665" s="13" t="str">
        <f>IFERROR(__xludf.DUMMYFUNCTION("""COMPUTED_VALUE"""),"K/4/301224/2")</f>
        <v>K/4/301224/2</v>
      </c>
      <c r="E665" s="14" t="str">
        <f>IFERROR(__xludf.DUMMYFUNCTION("""COMPUTED_VALUE"""),"Afriza (BT)")</f>
        <v>Afriza (BT)</v>
      </c>
      <c r="F665" s="14" t="str">
        <f>IFERROR(__xludf.DUMMYFUNCTION("""COMPUTED_VALUE"""),"SELESAI")</f>
        <v>SELESAI</v>
      </c>
      <c r="G665" s="17">
        <f>IFERROR(__xludf.DUMMYFUNCTION("""COMPUTED_VALUE"""),45659.612642430555)</f>
        <v>45659.61264</v>
      </c>
      <c r="H665" s="14" t="str">
        <f>IFERROR(__xludf.DUMMYFUNCTION("""COMPUTED_VALUE"""),"Bu Eva (SU)")</f>
        <v>Bu Eva (SU)</v>
      </c>
      <c r="I665" s="13" t="str">
        <f>IFERROR(__xludf.DUMMYFUNCTION("""COMPUTED_VALUE"""),"SELESAI")</f>
        <v>SELESAI</v>
      </c>
      <c r="J665" s="17">
        <f>IFERROR(__xludf.DUMMYFUNCTION("""COMPUTED_VALUE"""),45664.44008185185)</f>
        <v>45664.44008</v>
      </c>
      <c r="K665" s="13" t="str">
        <f>IFERROR(__xludf.DUMMYFUNCTION("""COMPUTED_VALUE"""),"SELESAI")</f>
        <v>SELESAI</v>
      </c>
      <c r="L665" s="17">
        <f>IFERROR(__xludf.DUMMYFUNCTION("""COMPUTED_VALUE"""),45664.44008185185)</f>
        <v>45664.44008</v>
      </c>
      <c r="M665" s="17" t="str">
        <f>IFERROR(__xludf.DUMMYFUNCTION("""COMPUTED_VALUE"""),"")</f>
        <v/>
      </c>
      <c r="N665" s="17">
        <f>IFERROR(__xludf.DUMMYFUNCTION("""COMPUTED_VALUE"""),45664.44011869213)</f>
        <v>45664.44012</v>
      </c>
      <c r="O665" s="13">
        <f t="shared" si="1"/>
        <v>9</v>
      </c>
    </row>
    <row r="666" ht="22.5" customHeight="1">
      <c r="B666" s="13">
        <f>IFERROR(__xludf.DUMMYFUNCTION("""COMPUTED_VALUE"""),661.0)</f>
        <v>661</v>
      </c>
      <c r="C666" s="13" t="str">
        <f>IFERROR(__xludf.DUMMYFUNCTION("""COMPUTED_VALUE"""),"M. 2260/ N O G")</f>
        <v>M. 2260/ N O G</v>
      </c>
      <c r="D666" s="13" t="str">
        <f>IFERROR(__xludf.DUMMYFUNCTION("""COMPUTED_VALUE"""),"K/42/241224/1")</f>
        <v>K/42/241224/1</v>
      </c>
      <c r="E666" s="14" t="str">
        <f>IFERROR(__xludf.DUMMYFUNCTION("""COMPUTED_VALUE"""),"Afriza (BT)")</f>
        <v>Afriza (BT)</v>
      </c>
      <c r="F666" s="14" t="str">
        <f>IFERROR(__xludf.DUMMYFUNCTION("""COMPUTED_VALUE"""),"SELESAI (VIA PERMOHONAN)")</f>
        <v>SELESAI (VIA PERMOHONAN)</v>
      </c>
      <c r="G666" s="17">
        <f>IFERROR(__xludf.DUMMYFUNCTION("""COMPUTED_VALUE"""),45659.619969629624)</f>
        <v>45659.61997</v>
      </c>
      <c r="H666" s="14" t="str">
        <f>IFERROR(__xludf.DUMMYFUNCTION("""COMPUTED_VALUE"""),"Aprill (SU)")</f>
        <v>Aprill (SU)</v>
      </c>
      <c r="I666" s="13" t="str">
        <f>IFERROR(__xludf.DUMMYFUNCTION("""COMPUTED_VALUE"""),"SELESAI (VIA PERMOHONAN)")</f>
        <v>SELESAI (VIA PERMOHONAN)</v>
      </c>
      <c r="J666" s="17">
        <f>IFERROR(__xludf.DUMMYFUNCTION("""COMPUTED_VALUE"""),45659.64107078704)</f>
        <v>45659.64107</v>
      </c>
      <c r="K666" s="13" t="str">
        <f>IFERROR(__xludf.DUMMYFUNCTION("""COMPUTED_VALUE"""),"Selesai")</f>
        <v>Selesai</v>
      </c>
      <c r="L666" s="17">
        <f>IFERROR(__xludf.DUMMYFUNCTION("""COMPUTED_VALUE"""),45659.64107078704)</f>
        <v>45659.64107</v>
      </c>
      <c r="M666" s="17">
        <f>IFERROR(__xludf.DUMMYFUNCTION("""COMPUTED_VALUE"""),45659.6394431713)</f>
        <v>45659.63944</v>
      </c>
      <c r="N666" s="13" t="str">
        <f>IFERROR(__xludf.DUMMYFUNCTION("""COMPUTED_VALUE"""),"")</f>
        <v/>
      </c>
      <c r="O666" s="13" t="str">
        <f t="shared" si="1"/>
        <v/>
      </c>
    </row>
    <row r="667" ht="22.5" customHeight="1">
      <c r="B667" s="13">
        <f>IFERROR(__xludf.DUMMYFUNCTION("""COMPUTED_VALUE"""),662.0)</f>
        <v>662</v>
      </c>
      <c r="C667" s="13" t="str">
        <f>IFERROR(__xludf.DUMMYFUNCTION("""COMPUTED_VALUE"""),"HM 739/RAJABASA NUNYAI")</f>
        <v>HM 739/RAJABASA NUNYAI</v>
      </c>
      <c r="D667" s="13" t="str">
        <f>IFERROR(__xludf.DUMMYFUNCTION("""COMPUTED_VALUE"""),"L/5/231224/1")</f>
        <v>L/5/231224/1</v>
      </c>
      <c r="E667" s="14" t="str">
        <f>IFERROR(__xludf.DUMMYFUNCTION("""COMPUTED_VALUE"""),"Afriza (BT)")</f>
        <v>Afriza (BT)</v>
      </c>
      <c r="F667" s="14" t="str">
        <f>IFERROR(__xludf.DUMMYFUNCTION("""COMPUTED_VALUE"""),"SELESAI (VIA PERMOHONAN)")</f>
        <v>SELESAI (VIA PERMOHONAN)</v>
      </c>
      <c r="G667" s="17">
        <f>IFERROR(__xludf.DUMMYFUNCTION("""COMPUTED_VALUE"""),45659.63940167824)</f>
        <v>45659.6394</v>
      </c>
      <c r="H667" s="14" t="str">
        <f>IFERROR(__xludf.DUMMYFUNCTION("""COMPUTED_VALUE"""),"Aprill (SU)")</f>
        <v>Aprill (SU)</v>
      </c>
      <c r="I667" s="13" t="str">
        <f>IFERROR(__xludf.DUMMYFUNCTION("""COMPUTED_VALUE"""),"SELESAI (VIA PERMOHONAN)")</f>
        <v>SELESAI (VIA PERMOHONAN)</v>
      </c>
      <c r="J667" s="17">
        <f>IFERROR(__xludf.DUMMYFUNCTION("""COMPUTED_VALUE"""),45659.64110259259)</f>
        <v>45659.6411</v>
      </c>
      <c r="K667" s="13" t="str">
        <f>IFERROR(__xludf.DUMMYFUNCTION("""COMPUTED_VALUE"""),"Selesai")</f>
        <v>Selesai</v>
      </c>
      <c r="L667" s="17">
        <f>IFERROR(__xludf.DUMMYFUNCTION("""COMPUTED_VALUE"""),45659.64110259259)</f>
        <v>45659.6411</v>
      </c>
      <c r="M667" s="17">
        <f>IFERROR(__xludf.DUMMYFUNCTION("""COMPUTED_VALUE"""),45659.63944758102)</f>
        <v>45659.63945</v>
      </c>
      <c r="N667" s="13" t="str">
        <f>IFERROR(__xludf.DUMMYFUNCTION("""COMPUTED_VALUE"""),"")</f>
        <v/>
      </c>
      <c r="O667" s="13" t="str">
        <f t="shared" si="1"/>
        <v/>
      </c>
    </row>
    <row r="668" ht="22.5" customHeight="1">
      <c r="B668" s="13">
        <f>IFERROR(__xludf.DUMMYFUNCTION("""COMPUTED_VALUE"""),663.0)</f>
        <v>663</v>
      </c>
      <c r="C668" s="13" t="str">
        <f>IFERROR(__xludf.DUMMYFUNCTION("""COMPUTED_VALUE"""),"HM 2538/KUPANG TEBA")</f>
        <v>HM 2538/KUPANG TEBA</v>
      </c>
      <c r="D668" s="13" t="str">
        <f>IFERROR(__xludf.DUMMYFUNCTION("""COMPUTED_VALUE"""),"L/18/161224/1")</f>
        <v>L/18/161224/1</v>
      </c>
      <c r="E668" s="14" t="str">
        <f>IFERROR(__xludf.DUMMYFUNCTION("""COMPUTED_VALUE"""),"Afriza (BT)")</f>
        <v>Afriza (BT)</v>
      </c>
      <c r="F668" s="14" t="str">
        <f>IFERROR(__xludf.DUMMYFUNCTION("""COMPUTED_VALUE"""),"SELESAI (VIA PERMOHONAN)")</f>
        <v>SELESAI (VIA PERMOHONAN)</v>
      </c>
      <c r="G668" s="17">
        <f>IFERROR(__xludf.DUMMYFUNCTION("""COMPUTED_VALUE"""),45659.64096734954)</f>
        <v>45659.64097</v>
      </c>
      <c r="H668" s="14" t="str">
        <f>IFERROR(__xludf.DUMMYFUNCTION("""COMPUTED_VALUE"""),"Aprill (SU)")</f>
        <v>Aprill (SU)</v>
      </c>
      <c r="I668" s="13" t="str">
        <f>IFERROR(__xludf.DUMMYFUNCTION("""COMPUTED_VALUE"""),"SELESAI (VIA PERMOHONAN)")</f>
        <v>SELESAI (VIA PERMOHONAN)</v>
      </c>
      <c r="J668" s="17">
        <f>IFERROR(__xludf.DUMMYFUNCTION("""COMPUTED_VALUE"""),45659.64113130787)</f>
        <v>45659.64113</v>
      </c>
      <c r="K668" s="13" t="str">
        <f>IFERROR(__xludf.DUMMYFUNCTION("""COMPUTED_VALUE"""),"Selesai")</f>
        <v>Selesai</v>
      </c>
      <c r="L668" s="17">
        <f>IFERROR(__xludf.DUMMYFUNCTION("""COMPUTED_VALUE"""),45659.64113130787)</f>
        <v>45659.64113</v>
      </c>
      <c r="M668" s="17">
        <f>IFERROR(__xludf.DUMMYFUNCTION("""COMPUTED_VALUE"""),45659.6410142824)</f>
        <v>45659.64101</v>
      </c>
      <c r="N668" s="13" t="str">
        <f>IFERROR(__xludf.DUMMYFUNCTION("""COMPUTED_VALUE"""),"")</f>
        <v/>
      </c>
      <c r="O668" s="13" t="str">
        <f t="shared" si="1"/>
        <v/>
      </c>
    </row>
    <row r="669" ht="22.5" customHeight="1">
      <c r="B669" s="13">
        <f>IFERROR(__xludf.DUMMYFUNCTION("""COMPUTED_VALUE"""),664.0)</f>
        <v>664</v>
      </c>
      <c r="C669" s="13" t="str">
        <f>IFERROR(__xludf.DUMMYFUNCTION("""COMPUTED_VALUE"""),"HM 1255/SUKARAME")</f>
        <v>HM 1255/SUKARAME</v>
      </c>
      <c r="D669" s="13" t="str">
        <f>IFERROR(__xludf.DUMMYFUNCTION("""COMPUTED_VALUE"""),"L/37/020125/1")</f>
        <v>L/37/020125/1</v>
      </c>
      <c r="E669" s="14" t="str">
        <f>IFERROR(__xludf.DUMMYFUNCTION("""COMPUTED_VALUE"""),"Afriza (BT)")</f>
        <v>Afriza (BT)</v>
      </c>
      <c r="F669" s="14" t="str">
        <f>IFERROR(__xludf.DUMMYFUNCTION("""COMPUTED_VALUE"""),"SELESAI (VIA PERMOHONAN)")</f>
        <v>SELESAI (VIA PERMOHONAN)</v>
      </c>
      <c r="G669" s="17">
        <f>IFERROR(__xludf.DUMMYFUNCTION("""COMPUTED_VALUE"""),45659.65637175926)</f>
        <v>45659.65637</v>
      </c>
      <c r="H669" s="14" t="str">
        <f>IFERROR(__xludf.DUMMYFUNCTION("""COMPUTED_VALUE"""),"Aprill (SU)")</f>
        <v>Aprill (SU)</v>
      </c>
      <c r="I669" s="13" t="str">
        <f>IFERROR(__xludf.DUMMYFUNCTION("""COMPUTED_VALUE"""),"SELESAI (VIA PERMOHONAN)")</f>
        <v>SELESAI (VIA PERMOHONAN)</v>
      </c>
      <c r="J669" s="17">
        <f>IFERROR(__xludf.DUMMYFUNCTION("""COMPUTED_VALUE"""),45659.65642679398)</f>
        <v>45659.65643</v>
      </c>
      <c r="K669" s="13" t="str">
        <f>IFERROR(__xludf.DUMMYFUNCTION("""COMPUTED_VALUE"""),"Selesai")</f>
        <v>Selesai</v>
      </c>
      <c r="L669" s="17">
        <f>IFERROR(__xludf.DUMMYFUNCTION("""COMPUTED_VALUE"""),45659.65642679398)</f>
        <v>45659.65643</v>
      </c>
      <c r="M669" s="17">
        <f>IFERROR(__xludf.DUMMYFUNCTION("""COMPUTED_VALUE"""),45659.6564349074)</f>
        <v>45659.65643</v>
      </c>
      <c r="N669" s="13" t="str">
        <f>IFERROR(__xludf.DUMMYFUNCTION("""COMPUTED_VALUE"""),"")</f>
        <v/>
      </c>
      <c r="O669" s="13" t="str">
        <f t="shared" si="1"/>
        <v/>
      </c>
    </row>
    <row r="670" ht="22.5" customHeight="1">
      <c r="B670" s="13">
        <f>IFERROR(__xludf.DUMMYFUNCTION("""COMPUTED_VALUE"""),665.0)</f>
        <v>665</v>
      </c>
      <c r="C670" s="13" t="str">
        <f>IFERROR(__xludf.DUMMYFUNCTION("""COMPUTED_VALUE"""),"HM 15157/SUKARAME")</f>
        <v>HM 15157/SUKARAME</v>
      </c>
      <c r="D670" s="13" t="str">
        <f>IFERROR(__xludf.DUMMYFUNCTION("""COMPUTED_VALUE"""),"L/54/231224/1")</f>
        <v>L/54/231224/1</v>
      </c>
      <c r="E670" s="14" t="str">
        <f>IFERROR(__xludf.DUMMYFUNCTION("""COMPUTED_VALUE"""),"Afriza (BT)")</f>
        <v>Afriza (BT)</v>
      </c>
      <c r="F670" s="14" t="str">
        <f>IFERROR(__xludf.DUMMYFUNCTION("""COMPUTED_VALUE"""),"SELESAI (VIA PERMOHONAN)")</f>
        <v>SELESAI (VIA PERMOHONAN)</v>
      </c>
      <c r="G670" s="17">
        <f>IFERROR(__xludf.DUMMYFUNCTION("""COMPUTED_VALUE"""),45659.65663273148)</f>
        <v>45659.65663</v>
      </c>
      <c r="H670" s="14" t="str">
        <f>IFERROR(__xludf.DUMMYFUNCTION("""COMPUTED_VALUE"""),"Aprill (SU)")</f>
        <v>Aprill (SU)</v>
      </c>
      <c r="I670" s="13" t="str">
        <f>IFERROR(__xludf.DUMMYFUNCTION("""COMPUTED_VALUE"""),"SELESAI (VIA PERMOHONAN)")</f>
        <v>SELESAI (VIA PERMOHONAN)</v>
      </c>
      <c r="J670" s="17">
        <f>IFERROR(__xludf.DUMMYFUNCTION("""COMPUTED_VALUE"""),45659.65669)</f>
        <v>45659.65669</v>
      </c>
      <c r="K670" s="13" t="str">
        <f>IFERROR(__xludf.DUMMYFUNCTION("""COMPUTED_VALUE"""),"Selesai")</f>
        <v>Selesai</v>
      </c>
      <c r="L670" s="17">
        <f>IFERROR(__xludf.DUMMYFUNCTION("""COMPUTED_VALUE"""),45659.65669)</f>
        <v>45659.65669</v>
      </c>
      <c r="M670" s="17">
        <f>IFERROR(__xludf.DUMMYFUNCTION("""COMPUTED_VALUE"""),45659.656696342594)</f>
        <v>45659.6567</v>
      </c>
      <c r="N670" s="13" t="str">
        <f>IFERROR(__xludf.DUMMYFUNCTION("""COMPUTED_VALUE"""),"")</f>
        <v/>
      </c>
      <c r="O670" s="13" t="str">
        <f t="shared" si="1"/>
        <v/>
      </c>
    </row>
    <row r="671" ht="22.5" customHeight="1">
      <c r="B671" s="13">
        <f>IFERROR(__xludf.DUMMYFUNCTION("""COMPUTED_VALUE"""),666.0)</f>
        <v>666</v>
      </c>
      <c r="C671" s="13" t="str">
        <f>IFERROR(__xludf.DUMMYFUNCTION("""COMPUTED_VALUE"""),"M.16182/SUKARAME I")</f>
        <v>M.16182/SUKARAME I</v>
      </c>
      <c r="D671" s="13" t="str">
        <f>IFERROR(__xludf.DUMMYFUNCTION("""COMPUTED_VALUE"""),"K/31/301224/1")</f>
        <v>K/31/301224/1</v>
      </c>
      <c r="E671" s="14" t="str">
        <f>IFERROR(__xludf.DUMMYFUNCTION("""COMPUTED_VALUE"""),"Nadian (BT)")</f>
        <v>Nadian (BT)</v>
      </c>
      <c r="F671" s="14" t="str">
        <f>IFERROR(__xludf.DUMMYFUNCTION("""COMPUTED_VALUE"""),"SELESAI")</f>
        <v>SELESAI</v>
      </c>
      <c r="G671" s="17">
        <f>IFERROR(__xludf.DUMMYFUNCTION("""COMPUTED_VALUE"""),45659.678803773146)</f>
        <v>45659.6788</v>
      </c>
      <c r="H671" s="14" t="str">
        <f>IFERROR(__xludf.DUMMYFUNCTION("""COMPUTED_VALUE"""),"Bu Eva (SU)")</f>
        <v>Bu Eva (SU)</v>
      </c>
      <c r="I671" s="13" t="str">
        <f>IFERROR(__xludf.DUMMYFUNCTION("""COMPUTED_VALUE"""),"SELESAI")</f>
        <v>SELESAI</v>
      </c>
      <c r="J671" s="17">
        <f>IFERROR(__xludf.DUMMYFUNCTION("""COMPUTED_VALUE"""),45664.42667208333)</f>
        <v>45664.42667</v>
      </c>
      <c r="K671" s="13" t="str">
        <f>IFERROR(__xludf.DUMMYFUNCTION("""COMPUTED_VALUE"""),"SELESAI")</f>
        <v>SELESAI</v>
      </c>
      <c r="L671" s="17">
        <f>IFERROR(__xludf.DUMMYFUNCTION("""COMPUTED_VALUE"""),45664.42667208333)</f>
        <v>45664.42667</v>
      </c>
      <c r="M671" s="17" t="str">
        <f>IFERROR(__xludf.DUMMYFUNCTION("""COMPUTED_VALUE"""),"")</f>
        <v/>
      </c>
      <c r="N671" s="17">
        <f>IFERROR(__xludf.DUMMYFUNCTION("""COMPUTED_VALUE"""),45664.42670383102)</f>
        <v>45664.4267</v>
      </c>
      <c r="O671" s="13">
        <f t="shared" si="1"/>
        <v>1</v>
      </c>
    </row>
    <row r="672" ht="22.5" customHeight="1">
      <c r="B672" s="13">
        <f>IFERROR(__xludf.DUMMYFUNCTION("""COMPUTED_VALUE"""),667.0)</f>
        <v>667</v>
      </c>
      <c r="C672" s="13" t="str">
        <f>IFERROR(__xludf.DUMMYFUNCTION("""COMPUTED_VALUE"""),"M. 1441/ Sukarame II")</f>
        <v>M. 1441/ Sukarame II</v>
      </c>
      <c r="D672" s="13" t="str">
        <f>IFERROR(__xludf.DUMMYFUNCTION("""COMPUTED_VALUE"""),"K/24/301224/1")</f>
        <v>K/24/301224/1</v>
      </c>
      <c r="E672" s="14" t="str">
        <f>IFERROR(__xludf.DUMMYFUNCTION("""COMPUTED_VALUE"""),"Nadian (BT)")</f>
        <v>Nadian (BT)</v>
      </c>
      <c r="F672" s="14" t="str">
        <f>IFERROR(__xludf.DUMMYFUNCTION("""COMPUTED_VALUE"""),"SELESAI")</f>
        <v>SELESAI</v>
      </c>
      <c r="G672" s="17">
        <f>IFERROR(__xludf.DUMMYFUNCTION("""COMPUTED_VALUE"""),45659.67888895833)</f>
        <v>45659.67889</v>
      </c>
      <c r="H672" s="14" t="str">
        <f>IFERROR(__xludf.DUMMYFUNCTION("""COMPUTED_VALUE"""),"Bu Eva (SU)")</f>
        <v>Bu Eva (SU)</v>
      </c>
      <c r="I672" s="13" t="str">
        <f>IFERROR(__xludf.DUMMYFUNCTION("""COMPUTED_VALUE"""),"SELESAI")</f>
        <v>SELESAI</v>
      </c>
      <c r="J672" s="17">
        <f>IFERROR(__xludf.DUMMYFUNCTION("""COMPUTED_VALUE"""),45664.41653530093)</f>
        <v>45664.41654</v>
      </c>
      <c r="K672" s="13" t="str">
        <f>IFERROR(__xludf.DUMMYFUNCTION("""COMPUTED_VALUE"""),"SELESAI")</f>
        <v>SELESAI</v>
      </c>
      <c r="L672" s="17">
        <f>IFERROR(__xludf.DUMMYFUNCTION("""COMPUTED_VALUE"""),45664.41653530093)</f>
        <v>45664.41654</v>
      </c>
      <c r="M672" s="17" t="str">
        <f>IFERROR(__xludf.DUMMYFUNCTION("""COMPUTED_VALUE"""),"")</f>
        <v/>
      </c>
      <c r="N672" s="17">
        <f>IFERROR(__xludf.DUMMYFUNCTION("""COMPUTED_VALUE"""),45664.41657423611)</f>
        <v>45664.41657</v>
      </c>
      <c r="O672" s="13">
        <f t="shared" si="1"/>
        <v>2</v>
      </c>
    </row>
    <row r="673" ht="22.5" customHeight="1">
      <c r="B673" s="13">
        <f>IFERROR(__xludf.DUMMYFUNCTION("""COMPUTED_VALUE"""),668.0)</f>
        <v>668</v>
      </c>
      <c r="C673" s="13" t="str">
        <f>IFERROR(__xludf.DUMMYFUNCTION("""COMPUTED_VALUE"""),"M.3218/GEDONG AIR")</f>
        <v>M.3218/GEDONG AIR</v>
      </c>
      <c r="D673" s="13" t="str">
        <f>IFERROR(__xludf.DUMMYFUNCTION("""COMPUTED_VALUE"""),"K/14/301225/1")</f>
        <v>K/14/301225/1</v>
      </c>
      <c r="E673" s="14" t="str">
        <f>IFERROR(__xludf.DUMMYFUNCTION("""COMPUTED_VALUE"""),"Nadian (BT)")</f>
        <v>Nadian (BT)</v>
      </c>
      <c r="F673" s="14" t="str">
        <f>IFERROR(__xludf.DUMMYFUNCTION("""COMPUTED_VALUE"""),"SELESAI")</f>
        <v>SELESAI</v>
      </c>
      <c r="G673" s="17">
        <f>IFERROR(__xludf.DUMMYFUNCTION("""COMPUTED_VALUE"""),45659.67888895833)</f>
        <v>45659.67889</v>
      </c>
      <c r="H673" s="14" t="str">
        <f>IFERROR(__xludf.DUMMYFUNCTION("""COMPUTED_VALUE"""),"Bu Eva (SU)")</f>
        <v>Bu Eva (SU)</v>
      </c>
      <c r="I673" s="13" t="str">
        <f>IFERROR(__xludf.DUMMYFUNCTION("""COMPUTED_VALUE"""),"SELESAI")</f>
        <v>SELESAI</v>
      </c>
      <c r="J673" s="17">
        <f>IFERROR(__xludf.DUMMYFUNCTION("""COMPUTED_VALUE"""),45664.419644699075)</f>
        <v>45664.41964</v>
      </c>
      <c r="K673" s="13" t="str">
        <f>IFERROR(__xludf.DUMMYFUNCTION("""COMPUTED_VALUE"""),"SELESAI")</f>
        <v>SELESAI</v>
      </c>
      <c r="L673" s="17">
        <f>IFERROR(__xludf.DUMMYFUNCTION("""COMPUTED_VALUE"""),45664.419644699075)</f>
        <v>45664.41964</v>
      </c>
      <c r="M673" s="17" t="str">
        <f>IFERROR(__xludf.DUMMYFUNCTION("""COMPUTED_VALUE"""),"")</f>
        <v/>
      </c>
      <c r="N673" s="17">
        <f>IFERROR(__xludf.DUMMYFUNCTION("""COMPUTED_VALUE"""),45664.41968186342)</f>
        <v>45664.41968</v>
      </c>
      <c r="O673" s="13">
        <f t="shared" si="1"/>
        <v>3</v>
      </c>
    </row>
    <row r="674" ht="22.5" customHeight="1">
      <c r="B674" s="13">
        <f>IFERROR(__xludf.DUMMYFUNCTION("""COMPUTED_VALUE"""),669.0)</f>
        <v>669</v>
      </c>
      <c r="C674" s="13" t="str">
        <f>IFERROR(__xludf.DUMMYFUNCTION("""COMPUTED_VALUE"""),"B. 641/ Sumber Agung")</f>
        <v>B. 641/ Sumber Agung</v>
      </c>
      <c r="D674" s="13" t="str">
        <f>IFERROR(__xludf.DUMMYFUNCTION("""COMPUTED_VALUE"""),"K/11/301224/4")</f>
        <v>K/11/301224/4</v>
      </c>
      <c r="E674" s="14" t="str">
        <f>IFERROR(__xludf.DUMMYFUNCTION("""COMPUTED_VALUE"""),"Nadian (BT)")</f>
        <v>Nadian (BT)</v>
      </c>
      <c r="F674" s="14" t="str">
        <f>IFERROR(__xludf.DUMMYFUNCTION("""COMPUTED_VALUE"""),"SELESAI")</f>
        <v>SELESAI</v>
      </c>
      <c r="G674" s="17">
        <f>IFERROR(__xludf.DUMMYFUNCTION("""COMPUTED_VALUE"""),45659.67888895833)</f>
        <v>45659.67889</v>
      </c>
      <c r="H674" s="14" t="str">
        <f>IFERROR(__xludf.DUMMYFUNCTION("""COMPUTED_VALUE"""),"Bu Eva (SU)")</f>
        <v>Bu Eva (SU)</v>
      </c>
      <c r="I674" s="13" t="str">
        <f>IFERROR(__xludf.DUMMYFUNCTION("""COMPUTED_VALUE"""),"SELESAI")</f>
        <v>SELESAI</v>
      </c>
      <c r="J674" s="17">
        <f>IFERROR(__xludf.DUMMYFUNCTION("""COMPUTED_VALUE"""),45664.419466481486)</f>
        <v>45664.41947</v>
      </c>
      <c r="K674" s="13" t="str">
        <f>IFERROR(__xludf.DUMMYFUNCTION("""COMPUTED_VALUE"""),"SELESAI")</f>
        <v>SELESAI</v>
      </c>
      <c r="L674" s="17">
        <f>IFERROR(__xludf.DUMMYFUNCTION("""COMPUTED_VALUE"""),45664.419466481486)</f>
        <v>45664.41947</v>
      </c>
      <c r="M674" s="17" t="str">
        <f>IFERROR(__xludf.DUMMYFUNCTION("""COMPUTED_VALUE"""),"")</f>
        <v/>
      </c>
      <c r="N674" s="17">
        <f>IFERROR(__xludf.DUMMYFUNCTION("""COMPUTED_VALUE"""),45664.41950398148)</f>
        <v>45664.4195</v>
      </c>
      <c r="O674" s="13">
        <f t="shared" si="1"/>
        <v>4</v>
      </c>
    </row>
    <row r="675" ht="22.5" customHeight="1">
      <c r="B675" s="13">
        <f>IFERROR(__xludf.DUMMYFUNCTION("""COMPUTED_VALUE"""),670.0)</f>
        <v>670</v>
      </c>
      <c r="C675" s="13" t="str">
        <f>IFERROR(__xludf.DUMMYFUNCTION("""COMPUTED_VALUE"""),"M. 944/ Kemiling Permai")</f>
        <v>M. 944/ Kemiling Permai</v>
      </c>
      <c r="D675" s="13" t="str">
        <f>IFERROR(__xludf.DUMMYFUNCTION("""COMPUTED_VALUE"""),"K/12/301224/1")</f>
        <v>K/12/301224/1</v>
      </c>
      <c r="E675" s="14" t="str">
        <f>IFERROR(__xludf.DUMMYFUNCTION("""COMPUTED_VALUE"""),"Nadian (BT)")</f>
        <v>Nadian (BT)</v>
      </c>
      <c r="F675" s="14" t="str">
        <f>IFERROR(__xludf.DUMMYFUNCTION("""COMPUTED_VALUE"""),"SELESAI")</f>
        <v>SELESAI</v>
      </c>
      <c r="G675" s="17">
        <f>IFERROR(__xludf.DUMMYFUNCTION("""COMPUTED_VALUE"""),45659.67888895833)</f>
        <v>45659.67889</v>
      </c>
      <c r="H675" s="14" t="str">
        <f>IFERROR(__xludf.DUMMYFUNCTION("""COMPUTED_VALUE"""),"Bu Eva (SU)")</f>
        <v>Bu Eva (SU)</v>
      </c>
      <c r="I675" s="13" t="str">
        <f>IFERROR(__xludf.DUMMYFUNCTION("""COMPUTED_VALUE"""),"SELESAI")</f>
        <v>SELESAI</v>
      </c>
      <c r="J675" s="17">
        <f>IFERROR(__xludf.DUMMYFUNCTION("""COMPUTED_VALUE"""),45664.438779675926)</f>
        <v>45664.43878</v>
      </c>
      <c r="K675" s="13" t="str">
        <f>IFERROR(__xludf.DUMMYFUNCTION("""COMPUTED_VALUE"""),"SELESAI")</f>
        <v>SELESAI</v>
      </c>
      <c r="L675" s="17">
        <f>IFERROR(__xludf.DUMMYFUNCTION("""COMPUTED_VALUE"""),45664.438779675926)</f>
        <v>45664.43878</v>
      </c>
      <c r="M675" s="17" t="str">
        <f>IFERROR(__xludf.DUMMYFUNCTION("""COMPUTED_VALUE"""),"")</f>
        <v/>
      </c>
      <c r="N675" s="17">
        <f>IFERROR(__xludf.DUMMYFUNCTION("""COMPUTED_VALUE"""),45664.438811388885)</f>
        <v>45664.43881</v>
      </c>
      <c r="O675" s="13">
        <f t="shared" si="1"/>
        <v>5</v>
      </c>
    </row>
    <row r="676" ht="22.5" customHeight="1">
      <c r="B676" s="13">
        <f>IFERROR(__xludf.DUMMYFUNCTION("""COMPUTED_VALUE"""),671.0)</f>
        <v>671</v>
      </c>
      <c r="C676" s="13" t="str">
        <f>IFERROR(__xludf.DUMMYFUNCTION("""COMPUTED_VALUE"""),"M. 38/ Pinang Jaya")</f>
        <v>M. 38/ Pinang Jaya</v>
      </c>
      <c r="D676" s="13" t="str">
        <f>IFERROR(__xludf.DUMMYFUNCTION("""COMPUTED_VALUE"""),"K/15/301225/1")</f>
        <v>K/15/301225/1</v>
      </c>
      <c r="E676" s="14" t="str">
        <f>IFERROR(__xludf.DUMMYFUNCTION("""COMPUTED_VALUE"""),"Nadian (BT)")</f>
        <v>Nadian (BT)</v>
      </c>
      <c r="F676" s="14" t="str">
        <f>IFERROR(__xludf.DUMMYFUNCTION("""COMPUTED_VALUE"""),"SELESAI")</f>
        <v>SELESAI</v>
      </c>
      <c r="G676" s="17">
        <f>IFERROR(__xludf.DUMMYFUNCTION("""COMPUTED_VALUE"""),45659.67888895833)</f>
        <v>45659.67889</v>
      </c>
      <c r="H676" s="14" t="str">
        <f>IFERROR(__xludf.DUMMYFUNCTION("""COMPUTED_VALUE"""),"Bu Eva (SU)")</f>
        <v>Bu Eva (SU)</v>
      </c>
      <c r="I676" s="13" t="str">
        <f>IFERROR(__xludf.DUMMYFUNCTION("""COMPUTED_VALUE"""),"SELESAI")</f>
        <v>SELESAI</v>
      </c>
      <c r="J676" s="17">
        <f>IFERROR(__xludf.DUMMYFUNCTION("""COMPUTED_VALUE"""),45664.44034403935)</f>
        <v>45664.44034</v>
      </c>
      <c r="K676" s="13" t="str">
        <f>IFERROR(__xludf.DUMMYFUNCTION("""COMPUTED_VALUE"""),"SELESAI")</f>
        <v>SELESAI</v>
      </c>
      <c r="L676" s="17">
        <f>IFERROR(__xludf.DUMMYFUNCTION("""COMPUTED_VALUE"""),45664.44034403935)</f>
        <v>45664.44034</v>
      </c>
      <c r="M676" s="17" t="str">
        <f>IFERROR(__xludf.DUMMYFUNCTION("""COMPUTED_VALUE"""),"")</f>
        <v/>
      </c>
      <c r="N676" s="17">
        <f>IFERROR(__xludf.DUMMYFUNCTION("""COMPUTED_VALUE"""),45664.440383194444)</f>
        <v>45664.44038</v>
      </c>
      <c r="O676" s="13">
        <f t="shared" si="1"/>
        <v>6</v>
      </c>
    </row>
    <row r="677" ht="22.5" customHeight="1">
      <c r="B677" s="13">
        <f>IFERROR(__xludf.DUMMYFUNCTION("""COMPUTED_VALUE"""),672.0)</f>
        <v>672</v>
      </c>
      <c r="C677" s="13" t="str">
        <f>IFERROR(__xludf.DUMMYFUNCTION("""COMPUTED_VALUE"""),"M. 11007/ Labuhan ratu")</f>
        <v>M. 11007/ Labuhan ratu</v>
      </c>
      <c r="D677" s="13" t="str">
        <f>IFERROR(__xludf.DUMMYFUNCTION("""COMPUTED_VALUE"""),"K/19/301225/1")</f>
        <v>K/19/301225/1</v>
      </c>
      <c r="E677" s="14" t="str">
        <f>IFERROR(__xludf.DUMMYFUNCTION("""COMPUTED_VALUE"""),"Nadian (BT)")</f>
        <v>Nadian (BT)</v>
      </c>
      <c r="F677" s="14" t="str">
        <f>IFERROR(__xludf.DUMMYFUNCTION("""COMPUTED_VALUE"""),"SELESAI")</f>
        <v>SELESAI</v>
      </c>
      <c r="G677" s="17">
        <f>IFERROR(__xludf.DUMMYFUNCTION("""COMPUTED_VALUE"""),45659.67888895833)</f>
        <v>45659.67889</v>
      </c>
      <c r="H677" s="14" t="str">
        <f>IFERROR(__xludf.DUMMYFUNCTION("""COMPUTED_VALUE"""),"Bu Eva (SU)")</f>
        <v>Bu Eva (SU)</v>
      </c>
      <c r="I677" s="13" t="str">
        <f>IFERROR(__xludf.DUMMYFUNCTION("""COMPUTED_VALUE"""),"SELESAI")</f>
        <v>SELESAI</v>
      </c>
      <c r="J677" s="17">
        <f>IFERROR(__xludf.DUMMYFUNCTION("""COMPUTED_VALUE"""),45664.44057820602)</f>
        <v>45664.44058</v>
      </c>
      <c r="K677" s="13" t="str">
        <f>IFERROR(__xludf.DUMMYFUNCTION("""COMPUTED_VALUE"""),"SELESAI")</f>
        <v>SELESAI</v>
      </c>
      <c r="L677" s="17">
        <f>IFERROR(__xludf.DUMMYFUNCTION("""COMPUTED_VALUE"""),45664.44057820602)</f>
        <v>45664.44058</v>
      </c>
      <c r="M677" s="17" t="str">
        <f>IFERROR(__xludf.DUMMYFUNCTION("""COMPUTED_VALUE"""),"")</f>
        <v/>
      </c>
      <c r="N677" s="17">
        <f>IFERROR(__xludf.DUMMYFUNCTION("""COMPUTED_VALUE"""),45664.44061207176)</f>
        <v>45664.44061</v>
      </c>
      <c r="O677" s="13">
        <f t="shared" si="1"/>
        <v>7</v>
      </c>
    </row>
    <row r="678" ht="22.5" customHeight="1">
      <c r="B678" s="13">
        <f>IFERROR(__xludf.DUMMYFUNCTION("""COMPUTED_VALUE"""),673.0)</f>
        <v>673</v>
      </c>
      <c r="C678" s="13" t="str">
        <f>IFERROR(__xludf.DUMMYFUNCTION("""COMPUTED_VALUE"""),"M.1653/KOTA BARU")</f>
        <v>M.1653/KOTA BARU</v>
      </c>
      <c r="D678" s="13" t="str">
        <f>IFERROR(__xludf.DUMMYFUNCTION("""COMPUTED_VALUE"""),"K/26/301224/2")</f>
        <v>K/26/301224/2</v>
      </c>
      <c r="E678" s="14" t="str">
        <f>IFERROR(__xludf.DUMMYFUNCTION("""COMPUTED_VALUE"""),"Nadian (BT)")</f>
        <v>Nadian (BT)</v>
      </c>
      <c r="F678" s="14" t="str">
        <f>IFERROR(__xludf.DUMMYFUNCTION("""COMPUTED_VALUE"""),"SELESAI")</f>
        <v>SELESAI</v>
      </c>
      <c r="G678" s="17">
        <f>IFERROR(__xludf.DUMMYFUNCTION("""COMPUTED_VALUE"""),45659.67888895833)</f>
        <v>45659.67889</v>
      </c>
      <c r="H678" s="14" t="str">
        <f>IFERROR(__xludf.DUMMYFUNCTION("""COMPUTED_VALUE"""),"Bu Eva (SU)")</f>
        <v>Bu Eva (SU)</v>
      </c>
      <c r="I678" s="13" t="str">
        <f>IFERROR(__xludf.DUMMYFUNCTION("""COMPUTED_VALUE"""),"SELESAI")</f>
        <v>SELESAI</v>
      </c>
      <c r="J678" s="17">
        <f>IFERROR(__xludf.DUMMYFUNCTION("""COMPUTED_VALUE"""),45664.4407224537)</f>
        <v>45664.44072</v>
      </c>
      <c r="K678" s="13" t="str">
        <f>IFERROR(__xludf.DUMMYFUNCTION("""COMPUTED_VALUE"""),"SELESAI")</f>
        <v>SELESAI</v>
      </c>
      <c r="L678" s="17">
        <f>IFERROR(__xludf.DUMMYFUNCTION("""COMPUTED_VALUE"""),45664.4407224537)</f>
        <v>45664.44072</v>
      </c>
      <c r="M678" s="17" t="str">
        <f>IFERROR(__xludf.DUMMYFUNCTION("""COMPUTED_VALUE"""),"")</f>
        <v/>
      </c>
      <c r="N678" s="17">
        <f>IFERROR(__xludf.DUMMYFUNCTION("""COMPUTED_VALUE"""),45664.44075559027)</f>
        <v>45664.44076</v>
      </c>
      <c r="O678" s="13">
        <f t="shared" si="1"/>
        <v>8</v>
      </c>
    </row>
    <row r="679" ht="22.5" customHeight="1">
      <c r="B679" s="13">
        <f>IFERROR(__xludf.DUMMYFUNCTION("""COMPUTED_VALUE"""),674.0)</f>
        <v>674</v>
      </c>
      <c r="C679" s="13" t="str">
        <f>IFERROR(__xludf.DUMMYFUNCTION("""COMPUTED_VALUE"""),"M.11678/SUKABUMI-SEKARANG;B.2076/SUKABUMI-DAHULU")</f>
        <v>M.11678/SUKABUMI-SEKARANG;B.2076/SUKABUMI-DAHULU</v>
      </c>
      <c r="D679" s="13" t="str">
        <f>IFERROR(__xludf.DUMMYFUNCTION("""COMPUTED_VALUE"""),"K/28/301224/4")</f>
        <v>K/28/301224/4</v>
      </c>
      <c r="E679" s="14" t="str">
        <f>IFERROR(__xludf.DUMMYFUNCTION("""COMPUTED_VALUE"""),"Nadian (BT)")</f>
        <v>Nadian (BT)</v>
      </c>
      <c r="F679" s="14" t="str">
        <f>IFERROR(__xludf.DUMMYFUNCTION("""COMPUTED_VALUE"""),"SELESAI")</f>
        <v>SELESAI</v>
      </c>
      <c r="G679" s="17">
        <f>IFERROR(__xludf.DUMMYFUNCTION("""COMPUTED_VALUE"""),45659.67888895833)</f>
        <v>45659.67889</v>
      </c>
      <c r="H679" s="14" t="str">
        <f>IFERROR(__xludf.DUMMYFUNCTION("""COMPUTED_VALUE"""),"Bu Eva (SU)")</f>
        <v>Bu Eva (SU)</v>
      </c>
      <c r="I679" s="13" t="str">
        <f>IFERROR(__xludf.DUMMYFUNCTION("""COMPUTED_VALUE"""),"SELESAI")</f>
        <v>SELESAI</v>
      </c>
      <c r="J679" s="17">
        <f>IFERROR(__xludf.DUMMYFUNCTION("""COMPUTED_VALUE"""),45664.44378068287)</f>
        <v>45664.44378</v>
      </c>
      <c r="K679" s="13" t="str">
        <f>IFERROR(__xludf.DUMMYFUNCTION("""COMPUTED_VALUE"""),"SELESAI")</f>
        <v>SELESAI</v>
      </c>
      <c r="L679" s="17">
        <f>IFERROR(__xludf.DUMMYFUNCTION("""COMPUTED_VALUE"""),45664.44378068287)</f>
        <v>45664.44378</v>
      </c>
      <c r="M679" s="17" t="str">
        <f>IFERROR(__xludf.DUMMYFUNCTION("""COMPUTED_VALUE"""),"")</f>
        <v/>
      </c>
      <c r="N679" s="17">
        <f>IFERROR(__xludf.DUMMYFUNCTION("""COMPUTED_VALUE"""),45664.443816122686)</f>
        <v>45664.44382</v>
      </c>
      <c r="O679" s="13">
        <f t="shared" si="1"/>
        <v>9</v>
      </c>
    </row>
    <row r="680" ht="22.5" customHeight="1">
      <c r="B680" s="13">
        <f>IFERROR(__xludf.DUMMYFUNCTION("""COMPUTED_VALUE"""),675.0)</f>
        <v>675</v>
      </c>
      <c r="C680" s="13" t="str">
        <f>IFERROR(__xludf.DUMMYFUNCTION("""COMPUTED_VALUE"""),"M. 13781/ Kedamaian")</f>
        <v>M. 13781/ Kedamaian</v>
      </c>
      <c r="D680" s="13" t="str">
        <f>IFERROR(__xludf.DUMMYFUNCTION("""COMPUTED_VALUE"""),"K/32/301224/1")</f>
        <v>K/32/301224/1</v>
      </c>
      <c r="E680" s="14" t="str">
        <f>IFERROR(__xludf.DUMMYFUNCTION("""COMPUTED_VALUE"""),"Nadian (BT)")</f>
        <v>Nadian (BT)</v>
      </c>
      <c r="F680" s="14" t="str">
        <f>IFERROR(__xludf.DUMMYFUNCTION("""COMPUTED_VALUE"""),"SELESAI")</f>
        <v>SELESAI</v>
      </c>
      <c r="G680" s="17">
        <f>IFERROR(__xludf.DUMMYFUNCTION("""COMPUTED_VALUE"""),45659.67888895833)</f>
        <v>45659.67889</v>
      </c>
      <c r="H680" s="14" t="str">
        <f>IFERROR(__xludf.DUMMYFUNCTION("""COMPUTED_VALUE"""),"Bu Eva (SU)")</f>
        <v>Bu Eva (SU)</v>
      </c>
      <c r="I680" s="13" t="str">
        <f>IFERROR(__xludf.DUMMYFUNCTION("""COMPUTED_VALUE"""),"SELESAI")</f>
        <v>SELESAI</v>
      </c>
      <c r="J680" s="17">
        <f>IFERROR(__xludf.DUMMYFUNCTION("""COMPUTED_VALUE"""),45664.42593618056)</f>
        <v>45664.42594</v>
      </c>
      <c r="K680" s="13" t="str">
        <f>IFERROR(__xludf.DUMMYFUNCTION("""COMPUTED_VALUE"""),"SELESAI")</f>
        <v>SELESAI</v>
      </c>
      <c r="L680" s="17">
        <f>IFERROR(__xludf.DUMMYFUNCTION("""COMPUTED_VALUE"""),45664.42593618056)</f>
        <v>45664.42594</v>
      </c>
      <c r="M680" s="17" t="str">
        <f>IFERROR(__xludf.DUMMYFUNCTION("""COMPUTED_VALUE"""),"")</f>
        <v/>
      </c>
      <c r="N680" s="17">
        <f>IFERROR(__xludf.DUMMYFUNCTION("""COMPUTED_VALUE"""),45664.42597319445)</f>
        <v>45664.42597</v>
      </c>
      <c r="O680" s="13">
        <f t="shared" si="1"/>
        <v>10</v>
      </c>
    </row>
    <row r="681" ht="22.5" customHeight="1">
      <c r="B681" s="13">
        <f>IFERROR(__xludf.DUMMYFUNCTION("""COMPUTED_VALUE"""),676.0)</f>
        <v>676</v>
      </c>
      <c r="C681" s="13" t="str">
        <f>IFERROR(__xludf.DUMMYFUNCTION("""COMPUTED_VALUE"""),"M. 865/ Korpri Jaya")</f>
        <v>M. 865/ Korpri Jaya</v>
      </c>
      <c r="D681" s="13" t="str">
        <f>IFERROR(__xludf.DUMMYFUNCTION("""COMPUTED_VALUE"""),"K/5/301224/1")</f>
        <v>K/5/301224/1</v>
      </c>
      <c r="E681" s="14" t="str">
        <f>IFERROR(__xludf.DUMMYFUNCTION("""COMPUTED_VALUE"""),"Nadian (BT)")</f>
        <v>Nadian (BT)</v>
      </c>
      <c r="F681" s="14" t="str">
        <f>IFERROR(__xludf.DUMMYFUNCTION("""COMPUTED_VALUE"""),"SELESAI")</f>
        <v>SELESAI</v>
      </c>
      <c r="G681" s="17">
        <f>IFERROR(__xludf.DUMMYFUNCTION("""COMPUTED_VALUE"""),45659.67888895833)</f>
        <v>45659.67889</v>
      </c>
      <c r="H681" s="14" t="str">
        <f>IFERROR(__xludf.DUMMYFUNCTION("""COMPUTED_VALUE"""),"Bu Eva (SU)")</f>
        <v>Bu Eva (SU)</v>
      </c>
      <c r="I681" s="13" t="str">
        <f>IFERROR(__xludf.DUMMYFUNCTION("""COMPUTED_VALUE"""),"SELESAI")</f>
        <v>SELESAI</v>
      </c>
      <c r="J681" s="17">
        <f>IFERROR(__xludf.DUMMYFUNCTION("""COMPUTED_VALUE"""),45664.42573744213)</f>
        <v>45664.42574</v>
      </c>
      <c r="K681" s="13" t="str">
        <f>IFERROR(__xludf.DUMMYFUNCTION("""COMPUTED_VALUE"""),"SELESAI")</f>
        <v>SELESAI</v>
      </c>
      <c r="L681" s="17">
        <f>IFERROR(__xludf.DUMMYFUNCTION("""COMPUTED_VALUE"""),45664.42573744213)</f>
        <v>45664.42574</v>
      </c>
      <c r="M681" s="17" t="str">
        <f>IFERROR(__xludf.DUMMYFUNCTION("""COMPUTED_VALUE"""),"")</f>
        <v/>
      </c>
      <c r="N681" s="17">
        <f>IFERROR(__xludf.DUMMYFUNCTION("""COMPUTED_VALUE"""),45664.42577112268)</f>
        <v>45664.42577</v>
      </c>
      <c r="O681" s="13">
        <f t="shared" si="1"/>
        <v>11</v>
      </c>
    </row>
    <row r="682" ht="22.5" customHeight="1">
      <c r="B682" s="13">
        <f>IFERROR(__xludf.DUMMYFUNCTION("""COMPUTED_VALUE"""),677.0)</f>
        <v>677</v>
      </c>
      <c r="C682" s="13" t="str">
        <f>IFERROR(__xludf.DUMMYFUNCTION("""COMPUTED_VALUE"""),"M.5925/TANJUNG SENANG")</f>
        <v>M.5925/TANJUNG SENANG</v>
      </c>
      <c r="D682" s="13" t="str">
        <f>IFERROR(__xludf.DUMMYFUNCTION("""COMPUTED_VALUE"""),"K/34/131224/1")</f>
        <v>K/34/131224/1</v>
      </c>
      <c r="E682" s="14" t="str">
        <f>IFERROR(__xludf.DUMMYFUNCTION("""COMPUTED_VALUE"""),"Nadian (BT)")</f>
        <v>Nadian (BT)</v>
      </c>
      <c r="F682" s="14" t="str">
        <f>IFERROR(__xludf.DUMMYFUNCTION("""COMPUTED_VALUE"""),"SELESAI (VIA PERMOHONAN)")</f>
        <v>SELESAI (VIA PERMOHONAN)</v>
      </c>
      <c r="G682" s="17">
        <f>IFERROR(__xludf.DUMMYFUNCTION("""COMPUTED_VALUE"""),45659.68753429398)</f>
        <v>45659.68753</v>
      </c>
      <c r="H682" s="14" t="str">
        <f>IFERROR(__xludf.DUMMYFUNCTION("""COMPUTED_VALUE"""),"Aprill (SU)")</f>
        <v>Aprill (SU)</v>
      </c>
      <c r="I682" s="13" t="str">
        <f>IFERROR(__xludf.DUMMYFUNCTION("""COMPUTED_VALUE"""),"SELESAI (VIA PERMOHONAN)")</f>
        <v>SELESAI (VIA PERMOHONAN)</v>
      </c>
      <c r="J682" s="17">
        <f>IFERROR(__xludf.DUMMYFUNCTION("""COMPUTED_VALUE"""),45664.361435370374)</f>
        <v>45664.36144</v>
      </c>
      <c r="K682" s="13" t="str">
        <f>IFERROR(__xludf.DUMMYFUNCTION("""COMPUTED_VALUE"""),"Selesai")</f>
        <v>Selesai</v>
      </c>
      <c r="L682" s="17">
        <f>IFERROR(__xludf.DUMMYFUNCTION("""COMPUTED_VALUE"""),45664.361435370374)</f>
        <v>45664.36144</v>
      </c>
      <c r="M682" s="17">
        <f>IFERROR(__xludf.DUMMYFUNCTION("""COMPUTED_VALUE"""),45664.361435370374)</f>
        <v>45664.36144</v>
      </c>
      <c r="N682" s="13" t="str">
        <f>IFERROR(__xludf.DUMMYFUNCTION("""COMPUTED_VALUE"""),"")</f>
        <v/>
      </c>
      <c r="O682" s="13" t="str">
        <f t="shared" si="1"/>
        <v/>
      </c>
    </row>
    <row r="683" ht="22.5" customHeight="1">
      <c r="B683" s="13">
        <f>IFERROR(__xludf.DUMMYFUNCTION("""COMPUTED_VALUE"""),678.0)</f>
        <v>678</v>
      </c>
      <c r="C683" s="13" t="str">
        <f>IFERROR(__xludf.DUMMYFUNCTION("""COMPUTED_VALUE"""),"M. 2852/ Sukarame Baru")</f>
        <v>M. 2852/ Sukarame Baru</v>
      </c>
      <c r="D683" s="13" t="str">
        <f>IFERROR(__xludf.DUMMYFUNCTION("""COMPUTED_VALUE"""),"K/33/191224/2")</f>
        <v>K/33/191224/2</v>
      </c>
      <c r="E683" s="14" t="str">
        <f>IFERROR(__xludf.DUMMYFUNCTION("""COMPUTED_VALUE"""),"Nadian (BT)")</f>
        <v>Nadian (BT)</v>
      </c>
      <c r="F683" s="14" t="str">
        <f>IFERROR(__xludf.DUMMYFUNCTION("""COMPUTED_VALUE"""),"SELESAI (VIA PERMOHONAN)")</f>
        <v>SELESAI (VIA PERMOHONAN)</v>
      </c>
      <c r="G683" s="17">
        <f>IFERROR(__xludf.DUMMYFUNCTION("""COMPUTED_VALUE"""),45659.68758246528)</f>
        <v>45659.68758</v>
      </c>
      <c r="H683" s="14" t="str">
        <f>IFERROR(__xludf.DUMMYFUNCTION("""COMPUTED_VALUE"""),"Aprill (SU)")</f>
        <v>Aprill (SU)</v>
      </c>
      <c r="I683" s="13" t="str">
        <f>IFERROR(__xludf.DUMMYFUNCTION("""COMPUTED_VALUE"""),"SELESAI (VIA PERMOHONAN)")</f>
        <v>SELESAI (VIA PERMOHONAN)</v>
      </c>
      <c r="J683" s="17">
        <f>IFERROR(__xludf.DUMMYFUNCTION("""COMPUTED_VALUE"""),45664.361435370374)</f>
        <v>45664.36144</v>
      </c>
      <c r="K683" s="13" t="str">
        <f>IFERROR(__xludf.DUMMYFUNCTION("""COMPUTED_VALUE"""),"Selesai")</f>
        <v>Selesai</v>
      </c>
      <c r="L683" s="17">
        <f>IFERROR(__xludf.DUMMYFUNCTION("""COMPUTED_VALUE"""),45664.361435370374)</f>
        <v>45664.36144</v>
      </c>
      <c r="M683" s="17">
        <f>IFERROR(__xludf.DUMMYFUNCTION("""COMPUTED_VALUE"""),45664.361435370374)</f>
        <v>45664.36144</v>
      </c>
      <c r="N683" s="13" t="str">
        <f>IFERROR(__xludf.DUMMYFUNCTION("""COMPUTED_VALUE"""),"")</f>
        <v/>
      </c>
      <c r="O683" s="13" t="str">
        <f t="shared" si="1"/>
        <v/>
      </c>
    </row>
    <row r="684" ht="22.5" customHeight="1">
      <c r="B684" s="13">
        <f>IFERROR(__xludf.DUMMYFUNCTION("""COMPUTED_VALUE"""),679.0)</f>
        <v>679</v>
      </c>
      <c r="C684" s="13" t="str">
        <f>IFERROR(__xludf.DUMMYFUNCTION("""COMPUTED_VALUE"""),"M. 1422/ Gunung Sulah")</f>
        <v>M. 1422/ Gunung Sulah</v>
      </c>
      <c r="D684" s="13" t="str">
        <f>IFERROR(__xludf.DUMMYFUNCTION("""COMPUTED_VALUE"""),"K/16/241224/1")</f>
        <v>K/16/241224/1</v>
      </c>
      <c r="E684" s="14" t="str">
        <f>IFERROR(__xludf.DUMMYFUNCTION("""COMPUTED_VALUE"""),"Nadian (BT)")</f>
        <v>Nadian (BT)</v>
      </c>
      <c r="F684" s="14" t="str">
        <f>IFERROR(__xludf.DUMMYFUNCTION("""COMPUTED_VALUE"""),"SELESAI (VIA PERMOHONAN)")</f>
        <v>SELESAI (VIA PERMOHONAN)</v>
      </c>
      <c r="G684" s="17">
        <f>IFERROR(__xludf.DUMMYFUNCTION("""COMPUTED_VALUE"""),45659.68758246528)</f>
        <v>45659.68758</v>
      </c>
      <c r="H684" s="14" t="str">
        <f>IFERROR(__xludf.DUMMYFUNCTION("""COMPUTED_VALUE"""),"Aprill (SU)")</f>
        <v>Aprill (SU)</v>
      </c>
      <c r="I684" s="13" t="str">
        <f>IFERROR(__xludf.DUMMYFUNCTION("""COMPUTED_VALUE"""),"SELESAI (VIA PERMOHONAN)")</f>
        <v>SELESAI (VIA PERMOHONAN)</v>
      </c>
      <c r="J684" s="17">
        <f>IFERROR(__xludf.DUMMYFUNCTION("""COMPUTED_VALUE"""),45664.361435370374)</f>
        <v>45664.36144</v>
      </c>
      <c r="K684" s="13" t="str">
        <f>IFERROR(__xludf.DUMMYFUNCTION("""COMPUTED_VALUE"""),"Selesai")</f>
        <v>Selesai</v>
      </c>
      <c r="L684" s="17">
        <f>IFERROR(__xludf.DUMMYFUNCTION("""COMPUTED_VALUE"""),45664.361435370374)</f>
        <v>45664.36144</v>
      </c>
      <c r="M684" s="17">
        <f>IFERROR(__xludf.DUMMYFUNCTION("""COMPUTED_VALUE"""),45664.361435370374)</f>
        <v>45664.36144</v>
      </c>
      <c r="N684" s="17">
        <f>IFERROR(__xludf.DUMMYFUNCTION("""COMPUTED_VALUE"""),45664.419196539355)</f>
        <v>45664.4192</v>
      </c>
      <c r="O684" s="13">
        <f t="shared" si="1"/>
        <v>1</v>
      </c>
    </row>
    <row r="685" ht="22.5" customHeight="1">
      <c r="B685" s="13">
        <f>IFERROR(__xludf.DUMMYFUNCTION("""COMPUTED_VALUE"""),680.0)</f>
        <v>680</v>
      </c>
      <c r="C685" s="13" t="str">
        <f>IFERROR(__xludf.DUMMYFUNCTION("""COMPUTED_VALUE"""),"M. 863/ Korpri Jaya")</f>
        <v>M. 863/ Korpri Jaya</v>
      </c>
      <c r="D685" s="13" t="str">
        <f>IFERROR(__xludf.DUMMYFUNCTION("""COMPUTED_VALUE"""),"K/7/301224/3")</f>
        <v>K/7/301224/3</v>
      </c>
      <c r="E685" s="14" t="str">
        <f>IFERROR(__xludf.DUMMYFUNCTION("""COMPUTED_VALUE"""),"Nadian (BT)")</f>
        <v>Nadian (BT)</v>
      </c>
      <c r="F685" s="14" t="str">
        <f>IFERROR(__xludf.DUMMYFUNCTION("""COMPUTED_VALUE"""),"SELESAI (VIA PERMOHONAN)")</f>
        <v>SELESAI (VIA PERMOHONAN)</v>
      </c>
      <c r="G685" s="17">
        <f>IFERROR(__xludf.DUMMYFUNCTION("""COMPUTED_VALUE"""),45659.68758246528)</f>
        <v>45659.68758</v>
      </c>
      <c r="H685" s="14" t="str">
        <f>IFERROR(__xludf.DUMMYFUNCTION("""COMPUTED_VALUE"""),"Aprill (SU)")</f>
        <v>Aprill (SU)</v>
      </c>
      <c r="I685" s="13" t="str">
        <f>IFERROR(__xludf.DUMMYFUNCTION("""COMPUTED_VALUE"""),"SELESAI (VIA PERMOHONAN)")</f>
        <v>SELESAI (VIA PERMOHONAN)</v>
      </c>
      <c r="J685" s="17">
        <f>IFERROR(__xludf.DUMMYFUNCTION("""COMPUTED_VALUE"""),45664.361435370374)</f>
        <v>45664.36144</v>
      </c>
      <c r="K685" s="13" t="str">
        <f>IFERROR(__xludf.DUMMYFUNCTION("""COMPUTED_VALUE"""),"Selesai")</f>
        <v>Selesai</v>
      </c>
      <c r="L685" s="17">
        <f>IFERROR(__xludf.DUMMYFUNCTION("""COMPUTED_VALUE"""),45664.361435370374)</f>
        <v>45664.36144</v>
      </c>
      <c r="M685" s="17">
        <f>IFERROR(__xludf.DUMMYFUNCTION("""COMPUTED_VALUE"""),45664.361435370374)</f>
        <v>45664.36144</v>
      </c>
      <c r="N685" s="13" t="str">
        <f>IFERROR(__xludf.DUMMYFUNCTION("""COMPUTED_VALUE"""),"")</f>
        <v/>
      </c>
      <c r="O685" s="13" t="str">
        <f t="shared" si="1"/>
        <v/>
      </c>
    </row>
    <row r="686" ht="22.5" customHeight="1">
      <c r="B686" s="13">
        <f>IFERROR(__xludf.DUMMYFUNCTION("""COMPUTED_VALUE"""),681.0)</f>
        <v>681</v>
      </c>
      <c r="C686" s="13" t="str">
        <f>IFERROR(__xludf.DUMMYFUNCTION("""COMPUTED_VALUE"""),"M. 3240/ Gedong Air")</f>
        <v>M. 3240/ Gedong Air</v>
      </c>
      <c r="D686" s="13" t="str">
        <f>IFERROR(__xludf.DUMMYFUNCTION("""COMPUTED_VALUE"""),"K/45/301224/1")</f>
        <v>K/45/301224/1</v>
      </c>
      <c r="E686" s="14" t="str">
        <f>IFERROR(__xludf.DUMMYFUNCTION("""COMPUTED_VALUE"""),"Nadian (BT)")</f>
        <v>Nadian (BT)</v>
      </c>
      <c r="F686" s="14" t="str">
        <f>IFERROR(__xludf.DUMMYFUNCTION("""COMPUTED_VALUE"""),"SELESAI (VIA PERMOHONAN)")</f>
        <v>SELESAI (VIA PERMOHONAN)</v>
      </c>
      <c r="G686" s="17">
        <f>IFERROR(__xludf.DUMMYFUNCTION("""COMPUTED_VALUE"""),45659.68758246528)</f>
        <v>45659.68758</v>
      </c>
      <c r="H686" s="14" t="str">
        <f>IFERROR(__xludf.DUMMYFUNCTION("""COMPUTED_VALUE"""),"Aprill (SU)")</f>
        <v>Aprill (SU)</v>
      </c>
      <c r="I686" s="13" t="str">
        <f>IFERROR(__xludf.DUMMYFUNCTION("""COMPUTED_VALUE"""),"SELESAI (VIA PERMOHONAN)")</f>
        <v>SELESAI (VIA PERMOHONAN)</v>
      </c>
      <c r="J686" s="17">
        <f>IFERROR(__xludf.DUMMYFUNCTION("""COMPUTED_VALUE"""),45664.361435370374)</f>
        <v>45664.36144</v>
      </c>
      <c r="K686" s="13" t="str">
        <f>IFERROR(__xludf.DUMMYFUNCTION("""COMPUTED_VALUE"""),"Selesai")</f>
        <v>Selesai</v>
      </c>
      <c r="L686" s="17">
        <f>IFERROR(__xludf.DUMMYFUNCTION("""COMPUTED_VALUE"""),45664.361435370374)</f>
        <v>45664.36144</v>
      </c>
      <c r="M686" s="17">
        <f>IFERROR(__xludf.DUMMYFUNCTION("""COMPUTED_VALUE"""),45664.361435370374)</f>
        <v>45664.36144</v>
      </c>
      <c r="N686" s="17">
        <f>IFERROR(__xludf.DUMMYFUNCTION("""COMPUTED_VALUE"""),45664.41575637732)</f>
        <v>45664.41576</v>
      </c>
      <c r="O686" s="13">
        <f t="shared" si="1"/>
        <v>1</v>
      </c>
    </row>
    <row r="687" ht="22.5" customHeight="1">
      <c r="B687" s="13">
        <f>IFERROR(__xludf.DUMMYFUNCTION("""COMPUTED_VALUE"""),682.0)</f>
        <v>682</v>
      </c>
      <c r="C687" s="13" t="str">
        <f>IFERROR(__xludf.DUMMYFUNCTION("""COMPUTED_VALUE"""),"M. 19262/ Sukarame")</f>
        <v>M. 19262/ Sukarame</v>
      </c>
      <c r="D687" s="13" t="str">
        <f>IFERROR(__xludf.DUMMYFUNCTION("""COMPUTED_VALUE"""),"K/54/301224/2")</f>
        <v>K/54/301224/2</v>
      </c>
      <c r="E687" s="14" t="str">
        <f>IFERROR(__xludf.DUMMYFUNCTION("""COMPUTED_VALUE"""),"Nadian (BT)")</f>
        <v>Nadian (BT)</v>
      </c>
      <c r="F687" s="14" t="str">
        <f>IFERROR(__xludf.DUMMYFUNCTION("""COMPUTED_VALUE"""),"SELESAI (VIA PERMOHONAN)")</f>
        <v>SELESAI (VIA PERMOHONAN)</v>
      </c>
      <c r="G687" s="17">
        <f>IFERROR(__xludf.DUMMYFUNCTION("""COMPUTED_VALUE"""),45659.68758246528)</f>
        <v>45659.68758</v>
      </c>
      <c r="H687" s="14" t="str">
        <f>IFERROR(__xludf.DUMMYFUNCTION("""COMPUTED_VALUE"""),"Aprill (SU)")</f>
        <v>Aprill (SU)</v>
      </c>
      <c r="I687" s="13" t="str">
        <f>IFERROR(__xludf.DUMMYFUNCTION("""COMPUTED_VALUE"""),"SELESAI (VIA PERMOHONAN)")</f>
        <v>SELESAI (VIA PERMOHONAN)</v>
      </c>
      <c r="J687" s="17">
        <f>IFERROR(__xludf.DUMMYFUNCTION("""COMPUTED_VALUE"""),45664.361435370374)</f>
        <v>45664.36144</v>
      </c>
      <c r="K687" s="13" t="str">
        <f>IFERROR(__xludf.DUMMYFUNCTION("""COMPUTED_VALUE"""),"Selesai")</f>
        <v>Selesai</v>
      </c>
      <c r="L687" s="17">
        <f>IFERROR(__xludf.DUMMYFUNCTION("""COMPUTED_VALUE"""),45664.361435370374)</f>
        <v>45664.36144</v>
      </c>
      <c r="M687" s="17">
        <f>IFERROR(__xludf.DUMMYFUNCTION("""COMPUTED_VALUE"""),45664.361435370374)</f>
        <v>45664.36144</v>
      </c>
      <c r="N687" s="17">
        <f>IFERROR(__xludf.DUMMYFUNCTION("""COMPUTED_VALUE"""),45664.44854802084)</f>
        <v>45664.44855</v>
      </c>
      <c r="O687" s="13">
        <f t="shared" si="1"/>
        <v>2</v>
      </c>
    </row>
    <row r="688" ht="22.5" customHeight="1">
      <c r="B688" s="13">
        <f>IFERROR(__xludf.DUMMYFUNCTION("""COMPUTED_VALUE"""),683.0)</f>
        <v>683</v>
      </c>
      <c r="C688" s="13" t="str">
        <f>IFERROR(__xludf.DUMMYFUNCTION("""COMPUTED_VALUE"""),"M. 116/ Way Tataan")</f>
        <v>M. 116/ Way Tataan</v>
      </c>
      <c r="D688" s="13" t="str">
        <f>IFERROR(__xludf.DUMMYFUNCTION("""COMPUTED_VALUE"""),"K/14/271224/1")</f>
        <v>K/14/271224/1</v>
      </c>
      <c r="E688" s="14" t="str">
        <f>IFERROR(__xludf.DUMMYFUNCTION("""COMPUTED_VALUE"""),"Nadian (BT)")</f>
        <v>Nadian (BT)</v>
      </c>
      <c r="F688" s="14" t="str">
        <f>IFERROR(__xludf.DUMMYFUNCTION("""COMPUTED_VALUE"""),"SELESAI (VIA PERMOHONAN)")</f>
        <v>SELESAI (VIA PERMOHONAN)</v>
      </c>
      <c r="G688" s="17">
        <f>IFERROR(__xludf.DUMMYFUNCTION("""COMPUTED_VALUE"""),45659.68758246528)</f>
        <v>45659.68758</v>
      </c>
      <c r="H688" s="14" t="str">
        <f>IFERROR(__xludf.DUMMYFUNCTION("""COMPUTED_VALUE"""),"Aprill (SU)")</f>
        <v>Aprill (SU)</v>
      </c>
      <c r="I688" s="13" t="str">
        <f>IFERROR(__xludf.DUMMYFUNCTION("""COMPUTED_VALUE"""),"SELESAI (VIA PERMOHONAN)")</f>
        <v>SELESAI (VIA PERMOHONAN)</v>
      </c>
      <c r="J688" s="17">
        <f>IFERROR(__xludf.DUMMYFUNCTION("""COMPUTED_VALUE"""),45664.361435370374)</f>
        <v>45664.36144</v>
      </c>
      <c r="K688" s="13" t="str">
        <f>IFERROR(__xludf.DUMMYFUNCTION("""COMPUTED_VALUE"""),"Selesai")</f>
        <v>Selesai</v>
      </c>
      <c r="L688" s="17">
        <f>IFERROR(__xludf.DUMMYFUNCTION("""COMPUTED_VALUE"""),45664.361435370374)</f>
        <v>45664.36144</v>
      </c>
      <c r="M688" s="17">
        <f>IFERROR(__xludf.DUMMYFUNCTION("""COMPUTED_VALUE"""),45664.36143538194)</f>
        <v>45664.36144</v>
      </c>
      <c r="N688" s="13" t="str">
        <f>IFERROR(__xludf.DUMMYFUNCTION("""COMPUTED_VALUE"""),"")</f>
        <v/>
      </c>
      <c r="O688" s="13" t="str">
        <f t="shared" si="1"/>
        <v/>
      </c>
    </row>
    <row r="689" ht="22.5" customHeight="1">
      <c r="B689" s="13">
        <f>IFERROR(__xludf.DUMMYFUNCTION("""COMPUTED_VALUE"""),684.0)</f>
        <v>684</v>
      </c>
      <c r="C689" s="13" t="str">
        <f>IFERROR(__xludf.DUMMYFUNCTION("""COMPUTED_VALUE"""),"M. 58/ Campang Jaya")</f>
        <v>M. 58/ Campang Jaya</v>
      </c>
      <c r="D689" s="13" t="str">
        <f>IFERROR(__xludf.DUMMYFUNCTION("""COMPUTED_VALUE"""),"K/9/241224/1")</f>
        <v>K/9/241224/1</v>
      </c>
      <c r="E689" s="14" t="str">
        <f>IFERROR(__xludf.DUMMYFUNCTION("""COMPUTED_VALUE"""),"Nadian (BT)")</f>
        <v>Nadian (BT)</v>
      </c>
      <c r="F689" s="14" t="str">
        <f>IFERROR(__xludf.DUMMYFUNCTION("""COMPUTED_VALUE"""),"SELESAI (VIA PERMOHONAN)")</f>
        <v>SELESAI (VIA PERMOHONAN)</v>
      </c>
      <c r="G689" s="17">
        <f>IFERROR(__xludf.DUMMYFUNCTION("""COMPUTED_VALUE"""),45659.68758246528)</f>
        <v>45659.68758</v>
      </c>
      <c r="H689" s="14" t="str">
        <f>IFERROR(__xludf.DUMMYFUNCTION("""COMPUTED_VALUE"""),"Aprill (SU)")</f>
        <v>Aprill (SU)</v>
      </c>
      <c r="I689" s="13" t="str">
        <f>IFERROR(__xludf.DUMMYFUNCTION("""COMPUTED_VALUE"""),"SELESAI (VIA PERMOHONAN)")</f>
        <v>SELESAI (VIA PERMOHONAN)</v>
      </c>
      <c r="J689" s="17">
        <f>IFERROR(__xludf.DUMMYFUNCTION("""COMPUTED_VALUE"""),45664.36143538194)</f>
        <v>45664.36144</v>
      </c>
      <c r="K689" s="13" t="str">
        <f>IFERROR(__xludf.DUMMYFUNCTION("""COMPUTED_VALUE"""),"Selesai")</f>
        <v>Selesai</v>
      </c>
      <c r="L689" s="17">
        <f>IFERROR(__xludf.DUMMYFUNCTION("""COMPUTED_VALUE"""),45664.36143538194)</f>
        <v>45664.36144</v>
      </c>
      <c r="M689" s="17">
        <f>IFERROR(__xludf.DUMMYFUNCTION("""COMPUTED_VALUE"""),45664.36143538194)</f>
        <v>45664.36144</v>
      </c>
      <c r="N689" s="17">
        <f>IFERROR(__xludf.DUMMYFUNCTION("""COMPUTED_VALUE"""),45664.448984456016)</f>
        <v>45664.44898</v>
      </c>
      <c r="O689" s="13">
        <f t="shared" si="1"/>
        <v>1</v>
      </c>
    </row>
    <row r="690" ht="22.5" customHeight="1">
      <c r="B690" s="13">
        <f>IFERROR(__xludf.DUMMYFUNCTION("""COMPUTED_VALUE"""),685.0)</f>
        <v>685</v>
      </c>
      <c r="C690" s="13" t="str">
        <f>IFERROR(__xludf.DUMMYFUNCTION("""COMPUTED_VALUE"""),"M. 2423/ Kedaung")</f>
        <v>M. 2423/ Kedaung</v>
      </c>
      <c r="D690" s="13" t="str">
        <f>IFERROR(__xludf.DUMMYFUNCTION("""COMPUTED_VALUE"""),"K/21/301225/1")</f>
        <v>K/21/301225/1</v>
      </c>
      <c r="E690" s="14" t="str">
        <f>IFERROR(__xludf.DUMMYFUNCTION("""COMPUTED_VALUE"""),"Nadian (BT)")</f>
        <v>Nadian (BT)</v>
      </c>
      <c r="F690" s="14" t="str">
        <f>IFERROR(__xludf.DUMMYFUNCTION("""COMPUTED_VALUE"""),"SELESAI (VIA PERMOHONAN)")</f>
        <v>SELESAI (VIA PERMOHONAN)</v>
      </c>
      <c r="G690" s="17">
        <f>IFERROR(__xludf.DUMMYFUNCTION("""COMPUTED_VALUE"""),45659.68758246528)</f>
        <v>45659.68758</v>
      </c>
      <c r="H690" s="14" t="str">
        <f>IFERROR(__xludf.DUMMYFUNCTION("""COMPUTED_VALUE"""),"Aprill (SU)")</f>
        <v>Aprill (SU)</v>
      </c>
      <c r="I690" s="13" t="str">
        <f>IFERROR(__xludf.DUMMYFUNCTION("""COMPUTED_VALUE"""),"SELESAI (VIA PERMOHONAN)")</f>
        <v>SELESAI (VIA PERMOHONAN)</v>
      </c>
      <c r="J690" s="17">
        <f>IFERROR(__xludf.DUMMYFUNCTION("""COMPUTED_VALUE"""),45664.36143538194)</f>
        <v>45664.36144</v>
      </c>
      <c r="K690" s="13" t="str">
        <f>IFERROR(__xludf.DUMMYFUNCTION("""COMPUTED_VALUE"""),"Selesai")</f>
        <v>Selesai</v>
      </c>
      <c r="L690" s="17">
        <f>IFERROR(__xludf.DUMMYFUNCTION("""COMPUTED_VALUE"""),45664.36143538194)</f>
        <v>45664.36144</v>
      </c>
      <c r="M690" s="17">
        <f>IFERROR(__xludf.DUMMYFUNCTION("""COMPUTED_VALUE"""),45664.36143538194)</f>
        <v>45664.36144</v>
      </c>
      <c r="N690" s="13" t="str">
        <f>IFERROR(__xludf.DUMMYFUNCTION("""COMPUTED_VALUE"""),"")</f>
        <v/>
      </c>
      <c r="O690" s="13" t="str">
        <f t="shared" si="1"/>
        <v/>
      </c>
    </row>
    <row r="691" ht="22.5" customHeight="1">
      <c r="B691" s="13">
        <f>IFERROR(__xludf.DUMMYFUNCTION("""COMPUTED_VALUE"""),686.0)</f>
        <v>686</v>
      </c>
      <c r="C691" s="13" t="str">
        <f>IFERROR(__xludf.DUMMYFUNCTION("""COMPUTED_VALUE"""),"M. 869/ Korpri Jaya")</f>
        <v>M. 869/ Korpri Jaya</v>
      </c>
      <c r="D691" s="13" t="str">
        <f>IFERROR(__xludf.DUMMYFUNCTION("""COMPUTED_VALUE"""),"K/6/301224/2")</f>
        <v>K/6/301224/2</v>
      </c>
      <c r="E691" s="14" t="str">
        <f>IFERROR(__xludf.DUMMYFUNCTION("""COMPUTED_VALUE"""),"Nadian (BT)")</f>
        <v>Nadian (BT)</v>
      </c>
      <c r="F691" s="14" t="str">
        <f>IFERROR(__xludf.DUMMYFUNCTION("""COMPUTED_VALUE"""),"SELESAI (VIA PERMOHONAN)")</f>
        <v>SELESAI (VIA PERMOHONAN)</v>
      </c>
      <c r="G691" s="17">
        <f>IFERROR(__xludf.DUMMYFUNCTION("""COMPUTED_VALUE"""),45659.68758246528)</f>
        <v>45659.68758</v>
      </c>
      <c r="H691" s="14" t="str">
        <f>IFERROR(__xludf.DUMMYFUNCTION("""COMPUTED_VALUE"""),"Aprill (SU)")</f>
        <v>Aprill (SU)</v>
      </c>
      <c r="I691" s="13" t="str">
        <f>IFERROR(__xludf.DUMMYFUNCTION("""COMPUTED_VALUE"""),"SELESAI (VIA PERMOHONAN)")</f>
        <v>SELESAI (VIA PERMOHONAN)</v>
      </c>
      <c r="J691" s="17">
        <f>IFERROR(__xludf.DUMMYFUNCTION("""COMPUTED_VALUE"""),45664.36143538194)</f>
        <v>45664.36144</v>
      </c>
      <c r="K691" s="13" t="str">
        <f>IFERROR(__xludf.DUMMYFUNCTION("""COMPUTED_VALUE"""),"Selesai")</f>
        <v>Selesai</v>
      </c>
      <c r="L691" s="17">
        <f>IFERROR(__xludf.DUMMYFUNCTION("""COMPUTED_VALUE"""),45664.36143538194)</f>
        <v>45664.36144</v>
      </c>
      <c r="M691" s="17">
        <f>IFERROR(__xludf.DUMMYFUNCTION("""COMPUTED_VALUE"""),45664.36143538194)</f>
        <v>45664.36144</v>
      </c>
      <c r="N691" s="13" t="str">
        <f>IFERROR(__xludf.DUMMYFUNCTION("""COMPUTED_VALUE"""),"")</f>
        <v/>
      </c>
      <c r="O691" s="13" t="str">
        <f t="shared" si="1"/>
        <v/>
      </c>
    </row>
    <row r="692" ht="22.5" customHeight="1">
      <c r="B692" s="13">
        <f>IFERROR(__xludf.DUMMYFUNCTION("""COMPUTED_VALUE"""),687.0)</f>
        <v>687</v>
      </c>
      <c r="C692" s="13" t="str">
        <f>IFERROR(__xludf.DUMMYFUNCTION("""COMPUTED_VALUE"""),"M. 210/ Bumi Raya")</f>
        <v>M. 210/ Bumi Raya</v>
      </c>
      <c r="D692" s="13" t="str">
        <f>IFERROR(__xludf.DUMMYFUNCTION("""COMPUTED_VALUE"""),"K/3/281124/3")</f>
        <v>K/3/281124/3</v>
      </c>
      <c r="E692" s="14" t="str">
        <f>IFERROR(__xludf.DUMMYFUNCTION("""COMPUTED_VALUE"""),"Nadian (BT)")</f>
        <v>Nadian (BT)</v>
      </c>
      <c r="F692" s="14" t="str">
        <f>IFERROR(__xludf.DUMMYFUNCTION("""COMPUTED_VALUE"""),"SELESAI (VIA PERMOHONAN)")</f>
        <v>SELESAI (VIA PERMOHONAN)</v>
      </c>
      <c r="G692" s="17">
        <f>IFERROR(__xludf.DUMMYFUNCTION("""COMPUTED_VALUE"""),45659.68758246528)</f>
        <v>45659.68758</v>
      </c>
      <c r="H692" s="14" t="str">
        <f>IFERROR(__xludf.DUMMYFUNCTION("""COMPUTED_VALUE"""),"Aprill (SU)")</f>
        <v>Aprill (SU)</v>
      </c>
      <c r="I692" s="13" t="str">
        <f>IFERROR(__xludf.DUMMYFUNCTION("""COMPUTED_VALUE"""),"SELESAI (VIA PERMOHONAN)")</f>
        <v>SELESAI (VIA PERMOHONAN)</v>
      </c>
      <c r="J692" s="17">
        <f>IFERROR(__xludf.DUMMYFUNCTION("""COMPUTED_VALUE"""),45664.36143538194)</f>
        <v>45664.36144</v>
      </c>
      <c r="K692" s="13" t="str">
        <f>IFERROR(__xludf.DUMMYFUNCTION("""COMPUTED_VALUE"""),"Selesai")</f>
        <v>Selesai</v>
      </c>
      <c r="L692" s="17">
        <f>IFERROR(__xludf.DUMMYFUNCTION("""COMPUTED_VALUE"""),45664.36143538194)</f>
        <v>45664.36144</v>
      </c>
      <c r="M692" s="17">
        <f>IFERROR(__xludf.DUMMYFUNCTION("""COMPUTED_VALUE"""),45664.36143538194)</f>
        <v>45664.36144</v>
      </c>
      <c r="N692" s="13" t="str">
        <f>IFERROR(__xludf.DUMMYFUNCTION("""COMPUTED_VALUE"""),"")</f>
        <v/>
      </c>
      <c r="O692" s="13" t="str">
        <f t="shared" si="1"/>
        <v/>
      </c>
    </row>
    <row r="693" ht="22.5" customHeight="1">
      <c r="B693" s="13">
        <f>IFERROR(__xludf.DUMMYFUNCTION("""COMPUTED_VALUE"""),688.0)</f>
        <v>688</v>
      </c>
      <c r="C693" s="13" t="str">
        <f>IFERROR(__xludf.DUMMYFUNCTION("""COMPUTED_VALUE"""),"M. 208/ Bumi Raya")</f>
        <v>M. 208/ Bumi Raya</v>
      </c>
      <c r="D693" s="13" t="str">
        <f>IFERROR(__xludf.DUMMYFUNCTION("""COMPUTED_VALUE"""),"K/2/281124/2")</f>
        <v>K/2/281124/2</v>
      </c>
      <c r="E693" s="14" t="str">
        <f>IFERROR(__xludf.DUMMYFUNCTION("""COMPUTED_VALUE"""),"Nadian (BT)")</f>
        <v>Nadian (BT)</v>
      </c>
      <c r="F693" s="14" t="str">
        <f>IFERROR(__xludf.DUMMYFUNCTION("""COMPUTED_VALUE"""),"SELESAI (VIA PERMOHONAN)")</f>
        <v>SELESAI (VIA PERMOHONAN)</v>
      </c>
      <c r="G693" s="17">
        <f>IFERROR(__xludf.DUMMYFUNCTION("""COMPUTED_VALUE"""),45659.68758246528)</f>
        <v>45659.68758</v>
      </c>
      <c r="H693" s="14" t="str">
        <f>IFERROR(__xludf.DUMMYFUNCTION("""COMPUTED_VALUE"""),"Aprill (SU)")</f>
        <v>Aprill (SU)</v>
      </c>
      <c r="I693" s="13" t="str">
        <f>IFERROR(__xludf.DUMMYFUNCTION("""COMPUTED_VALUE"""),"SELESAI (VIA PERMOHONAN)")</f>
        <v>SELESAI (VIA PERMOHONAN)</v>
      </c>
      <c r="J693" s="17">
        <f>IFERROR(__xludf.DUMMYFUNCTION("""COMPUTED_VALUE"""),45664.36143538194)</f>
        <v>45664.36144</v>
      </c>
      <c r="K693" s="13" t="str">
        <f>IFERROR(__xludf.DUMMYFUNCTION("""COMPUTED_VALUE"""),"Selesai")</f>
        <v>Selesai</v>
      </c>
      <c r="L693" s="17">
        <f>IFERROR(__xludf.DUMMYFUNCTION("""COMPUTED_VALUE"""),45664.36143538194)</f>
        <v>45664.36144</v>
      </c>
      <c r="M693" s="17">
        <f>IFERROR(__xludf.DUMMYFUNCTION("""COMPUTED_VALUE"""),45664.36143538194)</f>
        <v>45664.36144</v>
      </c>
      <c r="N693" s="13" t="str">
        <f>IFERROR(__xludf.DUMMYFUNCTION("""COMPUTED_VALUE"""),"")</f>
        <v/>
      </c>
      <c r="O693" s="13" t="str">
        <f t="shared" si="1"/>
        <v/>
      </c>
    </row>
    <row r="694" ht="22.5" customHeight="1">
      <c r="B694" s="13">
        <f>IFERROR(__xludf.DUMMYFUNCTION("""COMPUTED_VALUE"""),689.0)</f>
        <v>689</v>
      </c>
      <c r="C694" s="13" t="str">
        <f>IFERROR(__xludf.DUMMYFUNCTION("""COMPUTED_VALUE"""),"M. 209/ Bumi Raya")</f>
        <v>M. 209/ Bumi Raya</v>
      </c>
      <c r="D694" s="13" t="str">
        <f>IFERROR(__xludf.DUMMYFUNCTION("""COMPUTED_VALUE"""),"K/1/281124/1")</f>
        <v>K/1/281124/1</v>
      </c>
      <c r="E694" s="14" t="str">
        <f>IFERROR(__xludf.DUMMYFUNCTION("""COMPUTED_VALUE"""),"Nadian (BT)")</f>
        <v>Nadian (BT)</v>
      </c>
      <c r="F694" s="14" t="str">
        <f>IFERROR(__xludf.DUMMYFUNCTION("""COMPUTED_VALUE"""),"SELESAI (VIA PERMOHONAN)")</f>
        <v>SELESAI (VIA PERMOHONAN)</v>
      </c>
      <c r="G694" s="17">
        <f>IFERROR(__xludf.DUMMYFUNCTION("""COMPUTED_VALUE"""),45659.68758246528)</f>
        <v>45659.68758</v>
      </c>
      <c r="H694" s="14" t="str">
        <f>IFERROR(__xludf.DUMMYFUNCTION("""COMPUTED_VALUE"""),"Aprill (SU)")</f>
        <v>Aprill (SU)</v>
      </c>
      <c r="I694" s="13" t="str">
        <f>IFERROR(__xludf.DUMMYFUNCTION("""COMPUTED_VALUE"""),"SELESAI (VIA PERMOHONAN)")</f>
        <v>SELESAI (VIA PERMOHONAN)</v>
      </c>
      <c r="J694" s="17">
        <f>IFERROR(__xludf.DUMMYFUNCTION("""COMPUTED_VALUE"""),45664.36143538194)</f>
        <v>45664.36144</v>
      </c>
      <c r="K694" s="13" t="str">
        <f>IFERROR(__xludf.DUMMYFUNCTION("""COMPUTED_VALUE"""),"Selesai")</f>
        <v>Selesai</v>
      </c>
      <c r="L694" s="17">
        <f>IFERROR(__xludf.DUMMYFUNCTION("""COMPUTED_VALUE"""),45664.36143538194)</f>
        <v>45664.36144</v>
      </c>
      <c r="M694" s="17">
        <f>IFERROR(__xludf.DUMMYFUNCTION("""COMPUTED_VALUE"""),45664.36143538194)</f>
        <v>45664.36144</v>
      </c>
      <c r="N694" s="13" t="str">
        <f>IFERROR(__xludf.DUMMYFUNCTION("""COMPUTED_VALUE"""),"")</f>
        <v/>
      </c>
      <c r="O694" s="13" t="str">
        <f t="shared" si="1"/>
        <v/>
      </c>
    </row>
    <row r="695" ht="22.5" customHeight="1">
      <c r="B695" s="13">
        <f>IFERROR(__xludf.DUMMYFUNCTION("""COMPUTED_VALUE"""),690.0)</f>
        <v>690</v>
      </c>
      <c r="C695" s="13" t="str">
        <f>IFERROR(__xludf.DUMMYFUNCTION("""COMPUTED_VALUE"""),"HM 869/TALANG")</f>
        <v>HM 869/TALANG</v>
      </c>
      <c r="D695" s="13" t="str">
        <f>IFERROR(__xludf.DUMMYFUNCTION("""COMPUTED_VALUE"""),"L/18/311224/1")</f>
        <v>L/18/311224/1</v>
      </c>
      <c r="E695" s="14" t="str">
        <f>IFERROR(__xludf.DUMMYFUNCTION("""COMPUTED_VALUE"""),"Afriza (BT)")</f>
        <v>Afriza (BT)</v>
      </c>
      <c r="F695" s="14" t="str">
        <f>IFERROR(__xludf.DUMMYFUNCTION("""COMPUTED_VALUE"""),"SELESAI")</f>
        <v>SELESAI</v>
      </c>
      <c r="G695" s="17">
        <f>IFERROR(__xludf.DUMMYFUNCTION("""COMPUTED_VALUE"""),45660.467924756944)</f>
        <v>45660.46792</v>
      </c>
      <c r="H695" s="14" t="str">
        <f>IFERROR(__xludf.DUMMYFUNCTION("""COMPUTED_VALUE"""),"Bu Eva (SU)")</f>
        <v>Bu Eva (SU)</v>
      </c>
      <c r="I695" s="13" t="str">
        <f>IFERROR(__xludf.DUMMYFUNCTION("""COMPUTED_VALUE"""),"SELESAI")</f>
        <v>SELESAI</v>
      </c>
      <c r="J695" s="17">
        <f>IFERROR(__xludf.DUMMYFUNCTION("""COMPUTED_VALUE"""),45664.43845947916)</f>
        <v>45664.43846</v>
      </c>
      <c r="K695" s="13" t="str">
        <f>IFERROR(__xludf.DUMMYFUNCTION("""COMPUTED_VALUE"""),"SELESAI")</f>
        <v>SELESAI</v>
      </c>
      <c r="L695" s="17">
        <f>IFERROR(__xludf.DUMMYFUNCTION("""COMPUTED_VALUE"""),45664.43845947916)</f>
        <v>45664.43846</v>
      </c>
      <c r="M695" s="17" t="str">
        <f>IFERROR(__xludf.DUMMYFUNCTION("""COMPUTED_VALUE"""),"")</f>
        <v/>
      </c>
      <c r="N695" s="17">
        <f>IFERROR(__xludf.DUMMYFUNCTION("""COMPUTED_VALUE"""),45664.438491469904)</f>
        <v>45664.43849</v>
      </c>
      <c r="O695" s="13">
        <f t="shared" si="1"/>
        <v>1</v>
      </c>
    </row>
    <row r="696" ht="22.5" customHeight="1">
      <c r="B696" s="13">
        <f>IFERROR(__xludf.DUMMYFUNCTION("""COMPUTED_VALUE"""),691.0)</f>
        <v>691</v>
      </c>
      <c r="C696" s="13" t="str">
        <f>IFERROR(__xludf.DUMMYFUNCTION("""COMPUTED_VALUE"""),"M.4528/RAJABASA JAYA")</f>
        <v>M.4528/RAJABASA JAYA</v>
      </c>
      <c r="D696" s="13" t="str">
        <f>IFERROR(__xludf.DUMMYFUNCTION("""COMPUTED_VALUE"""),"K/22/311224/1")</f>
        <v>K/22/311224/1</v>
      </c>
      <c r="E696" s="14" t="str">
        <f>IFERROR(__xludf.DUMMYFUNCTION("""COMPUTED_VALUE"""),"Afriza (BT)")</f>
        <v>Afriza (BT)</v>
      </c>
      <c r="F696" s="14" t="str">
        <f>IFERROR(__xludf.DUMMYFUNCTION("""COMPUTED_VALUE"""),"SELESAI")</f>
        <v>SELESAI</v>
      </c>
      <c r="G696" s="17">
        <f>IFERROR(__xludf.DUMMYFUNCTION("""COMPUTED_VALUE"""),45660.467924756944)</f>
        <v>45660.46792</v>
      </c>
      <c r="H696" s="14" t="str">
        <f>IFERROR(__xludf.DUMMYFUNCTION("""COMPUTED_VALUE"""),"Bu Eva (SU)")</f>
        <v>Bu Eva (SU)</v>
      </c>
      <c r="I696" s="13" t="str">
        <f>IFERROR(__xludf.DUMMYFUNCTION("""COMPUTED_VALUE"""),"SELESAI")</f>
        <v>SELESAI</v>
      </c>
      <c r="J696" s="17">
        <f>IFERROR(__xludf.DUMMYFUNCTION("""COMPUTED_VALUE"""),45664.44914353009)</f>
        <v>45664.44914</v>
      </c>
      <c r="K696" s="13" t="str">
        <f>IFERROR(__xludf.DUMMYFUNCTION("""COMPUTED_VALUE"""),"SELESAI")</f>
        <v>SELESAI</v>
      </c>
      <c r="L696" s="17">
        <f>IFERROR(__xludf.DUMMYFUNCTION("""COMPUTED_VALUE"""),45664.44914353009)</f>
        <v>45664.44914</v>
      </c>
      <c r="M696" s="17" t="str">
        <f>IFERROR(__xludf.DUMMYFUNCTION("""COMPUTED_VALUE"""),"")</f>
        <v/>
      </c>
      <c r="N696" s="17">
        <f>IFERROR(__xludf.DUMMYFUNCTION("""COMPUTED_VALUE"""),45664.44916988426)</f>
        <v>45664.44917</v>
      </c>
      <c r="O696" s="13">
        <f t="shared" si="1"/>
        <v>2</v>
      </c>
    </row>
    <row r="697" ht="22.5" customHeight="1">
      <c r="B697" s="13">
        <f>IFERROR(__xludf.DUMMYFUNCTION("""COMPUTED_VALUE"""),692.0)</f>
        <v>692</v>
      </c>
      <c r="C697" s="13" t="str">
        <f>IFERROR(__xludf.DUMMYFUNCTION("""COMPUTED_VALUE"""),"M.2999/GEDONG AIR")</f>
        <v>M.2999/GEDONG AIR</v>
      </c>
      <c r="D697" s="13" t="str">
        <f>IFERROR(__xludf.DUMMYFUNCTION("""COMPUTED_VALUE"""),"K/26/311224/1")</f>
        <v>K/26/311224/1</v>
      </c>
      <c r="E697" s="14" t="str">
        <f>IFERROR(__xludf.DUMMYFUNCTION("""COMPUTED_VALUE"""),"Afriza (BT)")</f>
        <v>Afriza (BT)</v>
      </c>
      <c r="F697" s="14" t="str">
        <f>IFERROR(__xludf.DUMMYFUNCTION("""COMPUTED_VALUE"""),"SELESAI")</f>
        <v>SELESAI</v>
      </c>
      <c r="G697" s="17">
        <f>IFERROR(__xludf.DUMMYFUNCTION("""COMPUTED_VALUE"""),45660.467924756944)</f>
        <v>45660.46792</v>
      </c>
      <c r="H697" s="14" t="str">
        <f>IFERROR(__xludf.DUMMYFUNCTION("""COMPUTED_VALUE"""),"Bu Eva (SU)")</f>
        <v>Bu Eva (SU)</v>
      </c>
      <c r="I697" s="13" t="str">
        <f>IFERROR(__xludf.DUMMYFUNCTION("""COMPUTED_VALUE"""),"SELESAI")</f>
        <v>SELESAI</v>
      </c>
      <c r="J697" s="17">
        <f>IFERROR(__xludf.DUMMYFUNCTION("""COMPUTED_VALUE"""),45664.4112952662)</f>
        <v>45664.4113</v>
      </c>
      <c r="K697" s="13" t="str">
        <f>IFERROR(__xludf.DUMMYFUNCTION("""COMPUTED_VALUE"""),"SELESAI")</f>
        <v>SELESAI</v>
      </c>
      <c r="L697" s="17">
        <f>IFERROR(__xludf.DUMMYFUNCTION("""COMPUTED_VALUE"""),45664.4112952662)</f>
        <v>45664.4113</v>
      </c>
      <c r="M697" s="17" t="str">
        <f>IFERROR(__xludf.DUMMYFUNCTION("""COMPUTED_VALUE"""),"")</f>
        <v/>
      </c>
      <c r="N697" s="17">
        <f>IFERROR(__xludf.DUMMYFUNCTION("""COMPUTED_VALUE"""),45664.41131302083)</f>
        <v>45664.41131</v>
      </c>
      <c r="O697" s="13">
        <f t="shared" si="1"/>
        <v>3</v>
      </c>
    </row>
    <row r="698" ht="22.5" customHeight="1">
      <c r="B698" s="13">
        <f>IFERROR(__xludf.DUMMYFUNCTION("""COMPUTED_VALUE"""),693.0)</f>
        <v>693</v>
      </c>
      <c r="C698" s="13" t="str">
        <f>IFERROR(__xludf.DUMMYFUNCTION("""COMPUTED_VALUE"""),"M.3017/GEDONG AIR")</f>
        <v>M.3017/GEDONG AIR</v>
      </c>
      <c r="D698" s="13" t="str">
        <f>IFERROR(__xludf.DUMMYFUNCTION("""COMPUTED_VALUE"""),"K/28/311224/3")</f>
        <v>K/28/311224/3</v>
      </c>
      <c r="E698" s="14" t="str">
        <f>IFERROR(__xludf.DUMMYFUNCTION("""COMPUTED_VALUE"""),"Afriza (BT)")</f>
        <v>Afriza (BT)</v>
      </c>
      <c r="F698" s="14" t="str">
        <f>IFERROR(__xludf.DUMMYFUNCTION("""COMPUTED_VALUE"""),"SELESAI")</f>
        <v>SELESAI</v>
      </c>
      <c r="G698" s="17">
        <f>IFERROR(__xludf.DUMMYFUNCTION("""COMPUTED_VALUE"""),45660.467924756944)</f>
        <v>45660.46792</v>
      </c>
      <c r="H698" s="14" t="str">
        <f>IFERROR(__xludf.DUMMYFUNCTION("""COMPUTED_VALUE"""),"Bu Eva (SU)")</f>
        <v>Bu Eva (SU)</v>
      </c>
      <c r="I698" s="13" t="str">
        <f>IFERROR(__xludf.DUMMYFUNCTION("""COMPUTED_VALUE"""),"SELESAI")</f>
        <v>SELESAI</v>
      </c>
      <c r="J698" s="17">
        <f>IFERROR(__xludf.DUMMYFUNCTION("""COMPUTED_VALUE"""),45664.41171409722)</f>
        <v>45664.41171</v>
      </c>
      <c r="K698" s="13" t="str">
        <f>IFERROR(__xludf.DUMMYFUNCTION("""COMPUTED_VALUE"""),"SELESAI")</f>
        <v>SELESAI</v>
      </c>
      <c r="L698" s="17">
        <f>IFERROR(__xludf.DUMMYFUNCTION("""COMPUTED_VALUE"""),45664.41171409722)</f>
        <v>45664.41171</v>
      </c>
      <c r="M698" s="17" t="str">
        <f>IFERROR(__xludf.DUMMYFUNCTION("""COMPUTED_VALUE"""),"")</f>
        <v/>
      </c>
      <c r="N698" s="17">
        <f>IFERROR(__xludf.DUMMYFUNCTION("""COMPUTED_VALUE"""),45664.41165446759)</f>
        <v>45664.41165</v>
      </c>
      <c r="O698" s="13">
        <f t="shared" si="1"/>
        <v>4</v>
      </c>
    </row>
    <row r="699" ht="22.5" customHeight="1">
      <c r="B699" s="13">
        <f>IFERROR(__xludf.DUMMYFUNCTION("""COMPUTED_VALUE"""),694.0)</f>
        <v>694</v>
      </c>
      <c r="C699" s="13" t="str">
        <f>IFERROR(__xludf.DUMMYFUNCTION("""COMPUTED_VALUE"""),"M.3019/GEDONG AIR")</f>
        <v>M.3019/GEDONG AIR</v>
      </c>
      <c r="D699" s="13" t="str">
        <f>IFERROR(__xludf.DUMMYFUNCTION("""COMPUTED_VALUE"""),"K/27/311224/2")</f>
        <v>K/27/311224/2</v>
      </c>
      <c r="E699" s="14" t="str">
        <f>IFERROR(__xludf.DUMMYFUNCTION("""COMPUTED_VALUE"""),"Afriza (BT)")</f>
        <v>Afriza (BT)</v>
      </c>
      <c r="F699" s="14" t="str">
        <f>IFERROR(__xludf.DUMMYFUNCTION("""COMPUTED_VALUE"""),"SELESAI")</f>
        <v>SELESAI</v>
      </c>
      <c r="G699" s="17">
        <f>IFERROR(__xludf.DUMMYFUNCTION("""COMPUTED_VALUE"""),45660.467924756944)</f>
        <v>45660.46792</v>
      </c>
      <c r="H699" s="14" t="str">
        <f>IFERROR(__xludf.DUMMYFUNCTION("""COMPUTED_VALUE"""),"Bu Eva (SU)")</f>
        <v>Bu Eva (SU)</v>
      </c>
      <c r="I699" s="13" t="str">
        <f>IFERROR(__xludf.DUMMYFUNCTION("""COMPUTED_VALUE"""),"SELESAI")</f>
        <v>SELESAI</v>
      </c>
      <c r="J699" s="17">
        <f>IFERROR(__xludf.DUMMYFUNCTION("""COMPUTED_VALUE"""),45664.41243114583)</f>
        <v>45664.41243</v>
      </c>
      <c r="K699" s="13" t="str">
        <f>IFERROR(__xludf.DUMMYFUNCTION("""COMPUTED_VALUE"""),"SELESAI")</f>
        <v>SELESAI</v>
      </c>
      <c r="L699" s="17">
        <f>IFERROR(__xludf.DUMMYFUNCTION("""COMPUTED_VALUE"""),45664.41243114583)</f>
        <v>45664.41243</v>
      </c>
      <c r="M699" s="17" t="str">
        <f>IFERROR(__xludf.DUMMYFUNCTION("""COMPUTED_VALUE"""),"")</f>
        <v/>
      </c>
      <c r="N699" s="17">
        <f>IFERROR(__xludf.DUMMYFUNCTION("""COMPUTED_VALUE"""),45664.41244608797)</f>
        <v>45664.41245</v>
      </c>
      <c r="O699" s="13">
        <f t="shared" si="1"/>
        <v>5</v>
      </c>
    </row>
    <row r="700" ht="22.5" customHeight="1">
      <c r="B700" s="13">
        <f>IFERROR(__xludf.DUMMYFUNCTION("""COMPUTED_VALUE"""),695.0)</f>
        <v>695</v>
      </c>
      <c r="C700" s="13" t="str">
        <f>IFERROR(__xludf.DUMMYFUNCTION("""COMPUTED_VALUE"""),"M.3028/GEDONG AIR")</f>
        <v>M.3028/GEDONG AIR</v>
      </c>
      <c r="D700" s="13" t="str">
        <f>IFERROR(__xludf.DUMMYFUNCTION("""COMPUTED_VALUE"""),"K/29/311224/4")</f>
        <v>K/29/311224/4</v>
      </c>
      <c r="E700" s="14" t="str">
        <f>IFERROR(__xludf.DUMMYFUNCTION("""COMPUTED_VALUE"""),"Afriza (BT)")</f>
        <v>Afriza (BT)</v>
      </c>
      <c r="F700" s="14" t="str">
        <f>IFERROR(__xludf.DUMMYFUNCTION("""COMPUTED_VALUE"""),"SELESAI")</f>
        <v>SELESAI</v>
      </c>
      <c r="G700" s="17">
        <f>IFERROR(__xludf.DUMMYFUNCTION("""COMPUTED_VALUE"""),45660.467924756944)</f>
        <v>45660.46792</v>
      </c>
      <c r="H700" s="14" t="str">
        <f>IFERROR(__xludf.DUMMYFUNCTION("""COMPUTED_VALUE"""),"Bu Eva (SU)")</f>
        <v>Bu Eva (SU)</v>
      </c>
      <c r="I700" s="13" t="str">
        <f>IFERROR(__xludf.DUMMYFUNCTION("""COMPUTED_VALUE"""),"SELESAI")</f>
        <v>SELESAI</v>
      </c>
      <c r="J700" s="17">
        <f>IFERROR(__xludf.DUMMYFUNCTION("""COMPUTED_VALUE"""),45664.41262815973)</f>
        <v>45664.41263</v>
      </c>
      <c r="K700" s="13" t="str">
        <f>IFERROR(__xludf.DUMMYFUNCTION("""COMPUTED_VALUE"""),"SELESAI")</f>
        <v>SELESAI</v>
      </c>
      <c r="L700" s="17">
        <f>IFERROR(__xludf.DUMMYFUNCTION("""COMPUTED_VALUE"""),45664.41262815973)</f>
        <v>45664.41263</v>
      </c>
      <c r="M700" s="17" t="str">
        <f>IFERROR(__xludf.DUMMYFUNCTION("""COMPUTED_VALUE"""),"")</f>
        <v/>
      </c>
      <c r="N700" s="17">
        <f>IFERROR(__xludf.DUMMYFUNCTION("""COMPUTED_VALUE"""),45664.41263763889)</f>
        <v>45664.41264</v>
      </c>
      <c r="O700" s="13">
        <f t="shared" si="1"/>
        <v>6</v>
      </c>
    </row>
    <row r="701" ht="22.5" customHeight="1">
      <c r="B701" s="13">
        <f>IFERROR(__xludf.DUMMYFUNCTION("""COMPUTED_VALUE"""),696.0)</f>
        <v>696</v>
      </c>
      <c r="C701" s="13" t="str">
        <f>IFERROR(__xludf.DUMMYFUNCTION("""COMPUTED_VALUE"""),"M 3020/GEDONG AIR")</f>
        <v>M 3020/GEDONG AIR</v>
      </c>
      <c r="D701" s="13" t="str">
        <f>IFERROR(__xludf.DUMMYFUNCTION("""COMPUTED_VALUE"""),"K/30/311224/5")</f>
        <v>K/30/311224/5</v>
      </c>
      <c r="E701" s="14" t="str">
        <f>IFERROR(__xludf.DUMMYFUNCTION("""COMPUTED_VALUE"""),"Afriza (BT)")</f>
        <v>Afriza (BT)</v>
      </c>
      <c r="F701" s="14" t="str">
        <f>IFERROR(__xludf.DUMMYFUNCTION("""COMPUTED_VALUE"""),"SELESAI")</f>
        <v>SELESAI</v>
      </c>
      <c r="G701" s="17">
        <f>IFERROR(__xludf.DUMMYFUNCTION("""COMPUTED_VALUE"""),45660.46792476852)</f>
        <v>45660.46792</v>
      </c>
      <c r="H701" s="14" t="str">
        <f>IFERROR(__xludf.DUMMYFUNCTION("""COMPUTED_VALUE"""),"Bu Eva (SU)")</f>
        <v>Bu Eva (SU)</v>
      </c>
      <c r="I701" s="13" t="str">
        <f>IFERROR(__xludf.DUMMYFUNCTION("""COMPUTED_VALUE"""),"SELESAI")</f>
        <v>SELESAI</v>
      </c>
      <c r="J701" s="17">
        <f>IFERROR(__xludf.DUMMYFUNCTION("""COMPUTED_VALUE"""),45664.412793923606)</f>
        <v>45664.41279</v>
      </c>
      <c r="K701" s="13" t="str">
        <f>IFERROR(__xludf.DUMMYFUNCTION("""COMPUTED_VALUE"""),"SELESAI")</f>
        <v>SELESAI</v>
      </c>
      <c r="L701" s="17">
        <f>IFERROR(__xludf.DUMMYFUNCTION("""COMPUTED_VALUE"""),45664.412793923606)</f>
        <v>45664.41279</v>
      </c>
      <c r="M701" s="17" t="str">
        <f>IFERROR(__xludf.DUMMYFUNCTION("""COMPUTED_VALUE"""),"")</f>
        <v/>
      </c>
      <c r="N701" s="17">
        <f>IFERROR(__xludf.DUMMYFUNCTION("""COMPUTED_VALUE"""),45664.412817731485)</f>
        <v>45664.41282</v>
      </c>
      <c r="O701" s="13">
        <f t="shared" si="1"/>
        <v>7</v>
      </c>
    </row>
    <row r="702" ht="22.5" customHeight="1">
      <c r="B702" s="13">
        <f>IFERROR(__xludf.DUMMYFUNCTION("""COMPUTED_VALUE"""),697.0)</f>
        <v>697</v>
      </c>
      <c r="C702" s="13" t="str">
        <f>IFERROR(__xludf.DUMMYFUNCTION("""COMPUTED_VALUE"""),"M.9766/SIDODADI")</f>
        <v>M.9766/SIDODADI</v>
      </c>
      <c r="D702" s="13" t="str">
        <f>IFERROR(__xludf.DUMMYFUNCTION("""COMPUTED_VALUE"""),"K/35/311224/1")</f>
        <v>K/35/311224/1</v>
      </c>
      <c r="E702" s="14" t="str">
        <f>IFERROR(__xludf.DUMMYFUNCTION("""COMPUTED_VALUE"""),"Afriza (BT)")</f>
        <v>Afriza (BT)</v>
      </c>
      <c r="F702" s="14" t="str">
        <f>IFERROR(__xludf.DUMMYFUNCTION("""COMPUTED_VALUE"""),"SELESAI")</f>
        <v>SELESAI</v>
      </c>
      <c r="G702" s="17">
        <f>IFERROR(__xludf.DUMMYFUNCTION("""COMPUTED_VALUE"""),45660.46792476852)</f>
        <v>45660.46792</v>
      </c>
      <c r="H702" s="14" t="str">
        <f>IFERROR(__xludf.DUMMYFUNCTION("""COMPUTED_VALUE"""),"Bu Eva (SU)")</f>
        <v>Bu Eva (SU)</v>
      </c>
      <c r="I702" s="13" t="str">
        <f>IFERROR(__xludf.DUMMYFUNCTION("""COMPUTED_VALUE"""),"SELESAI")</f>
        <v>SELESAI</v>
      </c>
      <c r="J702" s="17">
        <f>IFERROR(__xludf.DUMMYFUNCTION("""COMPUTED_VALUE"""),45664.443502696755)</f>
        <v>45664.4435</v>
      </c>
      <c r="K702" s="13" t="str">
        <f>IFERROR(__xludf.DUMMYFUNCTION("""COMPUTED_VALUE"""),"SELESAI")</f>
        <v>SELESAI</v>
      </c>
      <c r="L702" s="17">
        <f>IFERROR(__xludf.DUMMYFUNCTION("""COMPUTED_VALUE"""),45664.443502696755)</f>
        <v>45664.4435</v>
      </c>
      <c r="M702" s="17" t="str">
        <f>IFERROR(__xludf.DUMMYFUNCTION("""COMPUTED_VALUE"""),"")</f>
        <v/>
      </c>
      <c r="N702" s="17">
        <f>IFERROR(__xludf.DUMMYFUNCTION("""COMPUTED_VALUE"""),45664.443538125)</f>
        <v>45664.44354</v>
      </c>
      <c r="O702" s="13">
        <f t="shared" si="1"/>
        <v>8</v>
      </c>
    </row>
    <row r="703" ht="22.5" customHeight="1">
      <c r="B703" s="13">
        <f>IFERROR(__xludf.DUMMYFUNCTION("""COMPUTED_VALUE"""),698.0)</f>
        <v>698</v>
      </c>
      <c r="C703" s="13" t="str">
        <f>IFERROR(__xludf.DUMMYFUNCTION("""COMPUTED_VALUE"""),"M. 1560/ Labuhan Dalam")</f>
        <v>M. 1560/ Labuhan Dalam</v>
      </c>
      <c r="D703" s="13" t="str">
        <f>IFERROR(__xludf.DUMMYFUNCTION("""COMPUTED_VALUE"""),"K/37/311224/1")</f>
        <v>K/37/311224/1</v>
      </c>
      <c r="E703" s="14" t="str">
        <f>IFERROR(__xludf.DUMMYFUNCTION("""COMPUTED_VALUE"""),"Afriza (BT)")</f>
        <v>Afriza (BT)</v>
      </c>
      <c r="F703" s="14" t="str">
        <f>IFERROR(__xludf.DUMMYFUNCTION("""COMPUTED_VALUE"""),"SELESAI")</f>
        <v>SELESAI</v>
      </c>
      <c r="G703" s="17">
        <f>IFERROR(__xludf.DUMMYFUNCTION("""COMPUTED_VALUE"""),45660.46792476852)</f>
        <v>45660.46792</v>
      </c>
      <c r="H703" s="14" t="str">
        <f>IFERROR(__xludf.DUMMYFUNCTION("""COMPUTED_VALUE"""),"Bu Eva (SU)")</f>
        <v>Bu Eva (SU)</v>
      </c>
      <c r="I703" s="13" t="str">
        <f>IFERROR(__xludf.DUMMYFUNCTION("""COMPUTED_VALUE"""),"SELESAI")</f>
        <v>SELESAI</v>
      </c>
      <c r="J703" s="17">
        <f>IFERROR(__xludf.DUMMYFUNCTION("""COMPUTED_VALUE"""),45664.412949687496)</f>
        <v>45664.41295</v>
      </c>
      <c r="K703" s="13" t="str">
        <f>IFERROR(__xludf.DUMMYFUNCTION("""COMPUTED_VALUE"""),"SELESAI")</f>
        <v>SELESAI</v>
      </c>
      <c r="L703" s="17">
        <f>IFERROR(__xludf.DUMMYFUNCTION("""COMPUTED_VALUE"""),45664.412949687496)</f>
        <v>45664.41295</v>
      </c>
      <c r="M703" s="17" t="str">
        <f>IFERROR(__xludf.DUMMYFUNCTION("""COMPUTED_VALUE"""),"")</f>
        <v/>
      </c>
      <c r="N703" s="17">
        <f>IFERROR(__xludf.DUMMYFUNCTION("""COMPUTED_VALUE"""),45664.412977291664)</f>
        <v>45664.41298</v>
      </c>
      <c r="O703" s="13">
        <f t="shared" si="1"/>
        <v>9</v>
      </c>
    </row>
    <row r="704" ht="22.5" customHeight="1">
      <c r="B704" s="13">
        <f>IFERROR(__xludf.DUMMYFUNCTION("""COMPUTED_VALUE"""),699.0)</f>
        <v>699</v>
      </c>
      <c r="C704" s="13" t="str">
        <f>IFERROR(__xludf.DUMMYFUNCTION("""COMPUTED_VALUE"""),"M. 1553/ Labuhan Dalam")</f>
        <v>M. 1553/ Labuhan Dalam</v>
      </c>
      <c r="D704" s="13" t="str">
        <f>IFERROR(__xludf.DUMMYFUNCTION("""COMPUTED_VALUE"""),"K/39/311224/3")</f>
        <v>K/39/311224/3</v>
      </c>
      <c r="E704" s="14" t="str">
        <f>IFERROR(__xludf.DUMMYFUNCTION("""COMPUTED_VALUE"""),"Afriza (BT)")</f>
        <v>Afriza (BT)</v>
      </c>
      <c r="F704" s="14" t="str">
        <f>IFERROR(__xludf.DUMMYFUNCTION("""COMPUTED_VALUE"""),"SELESAI")</f>
        <v>SELESAI</v>
      </c>
      <c r="G704" s="17">
        <f>IFERROR(__xludf.DUMMYFUNCTION("""COMPUTED_VALUE"""),45660.46792476852)</f>
        <v>45660.46792</v>
      </c>
      <c r="H704" s="14" t="str">
        <f>IFERROR(__xludf.DUMMYFUNCTION("""COMPUTED_VALUE"""),"Bu Eva (SU)")</f>
        <v>Bu Eva (SU)</v>
      </c>
      <c r="I704" s="13" t="str">
        <f>IFERROR(__xludf.DUMMYFUNCTION("""COMPUTED_VALUE"""),"SELESAI")</f>
        <v>SELESAI</v>
      </c>
      <c r="J704" s="17">
        <f>IFERROR(__xludf.DUMMYFUNCTION("""COMPUTED_VALUE"""),45664.413135625)</f>
        <v>45664.41314</v>
      </c>
      <c r="K704" s="13" t="str">
        <f>IFERROR(__xludf.DUMMYFUNCTION("""COMPUTED_VALUE"""),"SELESAI")</f>
        <v>SELESAI</v>
      </c>
      <c r="L704" s="17">
        <f>IFERROR(__xludf.DUMMYFUNCTION("""COMPUTED_VALUE"""),45664.413135625)</f>
        <v>45664.41314</v>
      </c>
      <c r="M704" s="17" t="str">
        <f>IFERROR(__xludf.DUMMYFUNCTION("""COMPUTED_VALUE"""),"")</f>
        <v/>
      </c>
      <c r="N704" s="17">
        <f>IFERROR(__xludf.DUMMYFUNCTION("""COMPUTED_VALUE"""),45664.41308953703)</f>
        <v>45664.41309</v>
      </c>
      <c r="O704" s="13">
        <f t="shared" si="1"/>
        <v>10</v>
      </c>
    </row>
    <row r="705" ht="22.5" customHeight="1">
      <c r="B705" s="13">
        <f>IFERROR(__xludf.DUMMYFUNCTION("""COMPUTED_VALUE"""),700.0)</f>
        <v>700</v>
      </c>
      <c r="C705" s="13" t="str">
        <f>IFERROR(__xludf.DUMMYFUNCTION("""COMPUTED_VALUE"""),"M.1639/WAY LAGA")</f>
        <v>M.1639/WAY LAGA</v>
      </c>
      <c r="D705" s="13" t="str">
        <f>IFERROR(__xludf.DUMMYFUNCTION("""COMPUTED_VALUE"""),"K/6/241224/2")</f>
        <v>K/6/241224/2</v>
      </c>
      <c r="E705" s="14" t="str">
        <f>IFERROR(__xludf.DUMMYFUNCTION("""COMPUTED_VALUE"""),"Afriza (BT)")</f>
        <v>Afriza (BT)</v>
      </c>
      <c r="F705" s="14" t="str">
        <f>IFERROR(__xludf.DUMMYFUNCTION("""COMPUTED_VALUE"""),"SELESAI (VIA PERMOHONAN)")</f>
        <v>SELESAI (VIA PERMOHONAN)</v>
      </c>
      <c r="G705" s="17">
        <f>IFERROR(__xludf.DUMMYFUNCTION("""COMPUTED_VALUE"""),45660.46792476852)</f>
        <v>45660.46792</v>
      </c>
      <c r="H705" s="14" t="str">
        <f>IFERROR(__xludf.DUMMYFUNCTION("""COMPUTED_VALUE"""),"Aprill (SU)")</f>
        <v>Aprill (SU)</v>
      </c>
      <c r="I705" s="13" t="str">
        <f>IFERROR(__xludf.DUMMYFUNCTION("""COMPUTED_VALUE"""),"SELESAI (VIA PERMOHONAN)")</f>
        <v>SELESAI (VIA PERMOHONAN)</v>
      </c>
      <c r="J705" s="17">
        <f>IFERROR(__xludf.DUMMYFUNCTION("""COMPUTED_VALUE"""),45664.36143538194)</f>
        <v>45664.36144</v>
      </c>
      <c r="K705" s="13" t="str">
        <f>IFERROR(__xludf.DUMMYFUNCTION("""COMPUTED_VALUE"""),"Selesai")</f>
        <v>Selesai</v>
      </c>
      <c r="L705" s="17">
        <f>IFERROR(__xludf.DUMMYFUNCTION("""COMPUTED_VALUE"""),45664.36143538194)</f>
        <v>45664.36144</v>
      </c>
      <c r="M705" s="17">
        <f>IFERROR(__xludf.DUMMYFUNCTION("""COMPUTED_VALUE"""),45664.36143538194)</f>
        <v>45664.36144</v>
      </c>
      <c r="N705" s="13" t="str">
        <f>IFERROR(__xludf.DUMMYFUNCTION("""COMPUTED_VALUE"""),"")</f>
        <v/>
      </c>
      <c r="O705" s="13" t="str">
        <f t="shared" si="1"/>
        <v/>
      </c>
    </row>
    <row r="706" ht="22.5" customHeight="1">
      <c r="B706" s="13">
        <f>IFERROR(__xludf.DUMMYFUNCTION("""COMPUTED_VALUE"""),701.0)</f>
        <v>701</v>
      </c>
      <c r="C706" s="13" t="str">
        <f>IFERROR(__xludf.DUMMYFUNCTION("""COMPUTED_VALUE"""),"M.878/RAJABASA PEMUKA")</f>
        <v>M.878/RAJABASA PEMUKA</v>
      </c>
      <c r="D706" s="13" t="str">
        <f>IFERROR(__xludf.DUMMYFUNCTION("""COMPUTED_VALUE"""),"K/47/301224/1")</f>
        <v>K/47/301224/1</v>
      </c>
      <c r="E706" s="14" t="str">
        <f>IFERROR(__xludf.DUMMYFUNCTION("""COMPUTED_VALUE"""),"Afriza (BT)")</f>
        <v>Afriza (BT)</v>
      </c>
      <c r="F706" s="14" t="str">
        <f>IFERROR(__xludf.DUMMYFUNCTION("""COMPUTED_VALUE"""),"SELESAI (VIA PERMOHONAN)")</f>
        <v>SELESAI (VIA PERMOHONAN)</v>
      </c>
      <c r="G706" s="17">
        <f>IFERROR(__xludf.DUMMYFUNCTION("""COMPUTED_VALUE"""),45660.46792476852)</f>
        <v>45660.46792</v>
      </c>
      <c r="H706" s="14" t="str">
        <f>IFERROR(__xludf.DUMMYFUNCTION("""COMPUTED_VALUE"""),"Aprill (SU)")</f>
        <v>Aprill (SU)</v>
      </c>
      <c r="I706" s="13" t="str">
        <f>IFERROR(__xludf.DUMMYFUNCTION("""COMPUTED_VALUE"""),"SELESAI (VIA PERMOHONAN)")</f>
        <v>SELESAI (VIA PERMOHONAN)</v>
      </c>
      <c r="J706" s="17">
        <f>IFERROR(__xludf.DUMMYFUNCTION("""COMPUTED_VALUE"""),45664.36143538194)</f>
        <v>45664.36144</v>
      </c>
      <c r="K706" s="13" t="str">
        <f>IFERROR(__xludf.DUMMYFUNCTION("""COMPUTED_VALUE"""),"Selesai")</f>
        <v>Selesai</v>
      </c>
      <c r="L706" s="17">
        <f>IFERROR(__xludf.DUMMYFUNCTION("""COMPUTED_VALUE"""),45664.36143538194)</f>
        <v>45664.36144</v>
      </c>
      <c r="M706" s="17">
        <f>IFERROR(__xludf.DUMMYFUNCTION("""COMPUTED_VALUE"""),45664.36143538194)</f>
        <v>45664.36144</v>
      </c>
      <c r="N706" s="17">
        <f>IFERROR(__xludf.DUMMYFUNCTION("""COMPUTED_VALUE"""),45664.417461226854)</f>
        <v>45664.41746</v>
      </c>
      <c r="O706" s="13">
        <f t="shared" si="1"/>
        <v>1</v>
      </c>
    </row>
    <row r="707" ht="22.5" customHeight="1">
      <c r="B707" s="13">
        <f>IFERROR(__xludf.DUMMYFUNCTION("""COMPUTED_VALUE"""),702.0)</f>
        <v>702</v>
      </c>
      <c r="C707" s="13" t="str">
        <f>IFERROR(__xludf.DUMMYFUNCTION("""COMPUTED_VALUE"""),"M. 12539/ Sukabumi")</f>
        <v>M. 12539/ Sukabumi</v>
      </c>
      <c r="D707" s="13" t="str">
        <f>IFERROR(__xludf.DUMMYFUNCTION("""COMPUTED_VALUE"""),"K/34/271224/2")</f>
        <v>K/34/271224/2</v>
      </c>
      <c r="E707" s="14" t="str">
        <f>IFERROR(__xludf.DUMMYFUNCTION("""COMPUTED_VALUE"""),"Afriza (BT)")</f>
        <v>Afriza (BT)</v>
      </c>
      <c r="F707" s="14" t="str">
        <f>IFERROR(__xludf.DUMMYFUNCTION("""COMPUTED_VALUE"""),"SELESAI (VIA PERMOHONAN)")</f>
        <v>SELESAI (VIA PERMOHONAN)</v>
      </c>
      <c r="G707" s="17">
        <f>IFERROR(__xludf.DUMMYFUNCTION("""COMPUTED_VALUE"""),45660.46792476852)</f>
        <v>45660.46792</v>
      </c>
      <c r="H707" s="14" t="str">
        <f>IFERROR(__xludf.DUMMYFUNCTION("""COMPUTED_VALUE"""),"Aprill (SU)")</f>
        <v>Aprill (SU)</v>
      </c>
      <c r="I707" s="13" t="str">
        <f>IFERROR(__xludf.DUMMYFUNCTION("""COMPUTED_VALUE"""),"SELESAI (VIA PERMOHONAN)")</f>
        <v>SELESAI (VIA PERMOHONAN)</v>
      </c>
      <c r="J707" s="17">
        <f>IFERROR(__xludf.DUMMYFUNCTION("""COMPUTED_VALUE"""),45664.36143538194)</f>
        <v>45664.36144</v>
      </c>
      <c r="K707" s="13" t="str">
        <f>IFERROR(__xludf.DUMMYFUNCTION("""COMPUTED_VALUE"""),"Selesai")</f>
        <v>Selesai</v>
      </c>
      <c r="L707" s="17">
        <f>IFERROR(__xludf.DUMMYFUNCTION("""COMPUTED_VALUE"""),45664.36143538194)</f>
        <v>45664.36144</v>
      </c>
      <c r="M707" s="17">
        <f>IFERROR(__xludf.DUMMYFUNCTION("""COMPUTED_VALUE"""),45664.36143538194)</f>
        <v>45664.36144</v>
      </c>
      <c r="N707" s="13" t="str">
        <f>IFERROR(__xludf.DUMMYFUNCTION("""COMPUTED_VALUE"""),"")</f>
        <v/>
      </c>
      <c r="O707" s="13" t="str">
        <f t="shared" si="1"/>
        <v/>
      </c>
    </row>
    <row r="708" ht="22.5" customHeight="1">
      <c r="B708" s="13">
        <f>IFERROR(__xludf.DUMMYFUNCTION("""COMPUTED_VALUE"""),703.0)</f>
        <v>703</v>
      </c>
      <c r="C708" s="13" t="str">
        <f>IFERROR(__xludf.DUMMYFUNCTION("""COMPUTED_VALUE"""),"M. 03/ Sepang Jaya")</f>
        <v>M. 03/ Sepang Jaya</v>
      </c>
      <c r="D708" s="13" t="str">
        <f>IFERROR(__xludf.DUMMYFUNCTION("""COMPUTED_VALUE"""),"K/12/231224/1")</f>
        <v>K/12/231224/1</v>
      </c>
      <c r="E708" s="14" t="str">
        <f>IFERROR(__xludf.DUMMYFUNCTION("""COMPUTED_VALUE"""),"Afriza (BT)")</f>
        <v>Afriza (BT)</v>
      </c>
      <c r="F708" s="14" t="str">
        <f>IFERROR(__xludf.DUMMYFUNCTION("""COMPUTED_VALUE"""),"SELESAI (VIA PERMOHONAN)")</f>
        <v>SELESAI (VIA PERMOHONAN)</v>
      </c>
      <c r="G708" s="17">
        <f>IFERROR(__xludf.DUMMYFUNCTION("""COMPUTED_VALUE"""),45660.46792476852)</f>
        <v>45660.46792</v>
      </c>
      <c r="H708" s="14" t="str">
        <f>IFERROR(__xludf.DUMMYFUNCTION("""COMPUTED_VALUE"""),"Aprill (SU)")</f>
        <v>Aprill (SU)</v>
      </c>
      <c r="I708" s="13" t="str">
        <f>IFERROR(__xludf.DUMMYFUNCTION("""COMPUTED_VALUE"""),"SELESAI (VIA PERMOHONAN)")</f>
        <v>SELESAI (VIA PERMOHONAN)</v>
      </c>
      <c r="J708" s="17">
        <f>IFERROR(__xludf.DUMMYFUNCTION("""COMPUTED_VALUE"""),45664.36143538194)</f>
        <v>45664.36144</v>
      </c>
      <c r="K708" s="13" t="str">
        <f>IFERROR(__xludf.DUMMYFUNCTION("""COMPUTED_VALUE"""),"Selesai")</f>
        <v>Selesai</v>
      </c>
      <c r="L708" s="17">
        <f>IFERROR(__xludf.DUMMYFUNCTION("""COMPUTED_VALUE"""),45664.36143538194)</f>
        <v>45664.36144</v>
      </c>
      <c r="M708" s="17">
        <f>IFERROR(__xludf.DUMMYFUNCTION("""COMPUTED_VALUE"""),45664.36143538194)</f>
        <v>45664.36144</v>
      </c>
      <c r="N708" s="13" t="str">
        <f>IFERROR(__xludf.DUMMYFUNCTION("""COMPUTED_VALUE"""),"")</f>
        <v/>
      </c>
      <c r="O708" s="13" t="str">
        <f t="shared" si="1"/>
        <v/>
      </c>
    </row>
    <row r="709" ht="22.5" customHeight="1">
      <c r="B709" s="13">
        <f>IFERROR(__xludf.DUMMYFUNCTION("""COMPUTED_VALUE"""),704.0)</f>
        <v>704</v>
      </c>
      <c r="C709" s="13" t="str">
        <f>IFERROR(__xludf.DUMMYFUNCTION("""COMPUTED_VALUE"""),"B. 1001/ Campang Jaya")</f>
        <v>B. 1001/ Campang Jaya</v>
      </c>
      <c r="D709" s="13" t="str">
        <f>IFERROR(__xludf.DUMMYFUNCTION("""COMPUTED_VALUE"""),"K/15/201224/1")</f>
        <v>K/15/201224/1</v>
      </c>
      <c r="E709" s="14" t="str">
        <f>IFERROR(__xludf.DUMMYFUNCTION("""COMPUTED_VALUE"""),"Afriza (BT)")</f>
        <v>Afriza (BT)</v>
      </c>
      <c r="F709" s="14" t="str">
        <f>IFERROR(__xludf.DUMMYFUNCTION("""COMPUTED_VALUE"""),"SELESAI (VIA PERMOHONAN)")</f>
        <v>SELESAI (VIA PERMOHONAN)</v>
      </c>
      <c r="G709" s="17">
        <f>IFERROR(__xludf.DUMMYFUNCTION("""COMPUTED_VALUE"""),45660.46792476852)</f>
        <v>45660.46792</v>
      </c>
      <c r="H709" s="14" t="str">
        <f>IFERROR(__xludf.DUMMYFUNCTION("""COMPUTED_VALUE"""),"Aprill (SU)")</f>
        <v>Aprill (SU)</v>
      </c>
      <c r="I709" s="13" t="str">
        <f>IFERROR(__xludf.DUMMYFUNCTION("""COMPUTED_VALUE"""),"SELESAI (VIA PERMOHONAN)")</f>
        <v>SELESAI (VIA PERMOHONAN)</v>
      </c>
      <c r="J709" s="17">
        <f>IFERROR(__xludf.DUMMYFUNCTION("""COMPUTED_VALUE"""),45664.36143538194)</f>
        <v>45664.36144</v>
      </c>
      <c r="K709" s="13" t="str">
        <f>IFERROR(__xludf.DUMMYFUNCTION("""COMPUTED_VALUE"""),"Selesai")</f>
        <v>Selesai</v>
      </c>
      <c r="L709" s="17">
        <f>IFERROR(__xludf.DUMMYFUNCTION("""COMPUTED_VALUE"""),45664.36143538194)</f>
        <v>45664.36144</v>
      </c>
      <c r="M709" s="17">
        <f>IFERROR(__xludf.DUMMYFUNCTION("""COMPUTED_VALUE"""),45664.36143538194)</f>
        <v>45664.36144</v>
      </c>
      <c r="N709" s="13" t="str">
        <f>IFERROR(__xludf.DUMMYFUNCTION("""COMPUTED_VALUE"""),"")</f>
        <v/>
      </c>
      <c r="O709" s="13" t="str">
        <f t="shared" si="1"/>
        <v/>
      </c>
    </row>
    <row r="710" ht="22.5" customHeight="1">
      <c r="B710" s="13">
        <f>IFERROR(__xludf.DUMMYFUNCTION("""COMPUTED_VALUE"""),705.0)</f>
        <v>705</v>
      </c>
      <c r="C710" s="13" t="str">
        <f>IFERROR(__xludf.DUMMYFUNCTION("""COMPUTED_VALUE"""),"M.2396/CAMPANG JAYA")</f>
        <v>M.2396/CAMPANG JAYA</v>
      </c>
      <c r="D710" s="13" t="str">
        <f>IFERROR(__xludf.DUMMYFUNCTION("""COMPUTED_VALUE"""),"K/57/181124/2")</f>
        <v>K/57/181124/2</v>
      </c>
      <c r="E710" s="14" t="str">
        <f>IFERROR(__xludf.DUMMYFUNCTION("""COMPUTED_VALUE"""),"Afriza (BT)")</f>
        <v>Afriza (BT)</v>
      </c>
      <c r="F710" s="14" t="str">
        <f>IFERROR(__xludf.DUMMYFUNCTION("""COMPUTED_VALUE"""),"SELESAI (VIA PERMOHONAN)")</f>
        <v>SELESAI (VIA PERMOHONAN)</v>
      </c>
      <c r="G710" s="17">
        <f>IFERROR(__xludf.DUMMYFUNCTION("""COMPUTED_VALUE"""),45660.46792476852)</f>
        <v>45660.46792</v>
      </c>
      <c r="H710" s="14" t="str">
        <f>IFERROR(__xludf.DUMMYFUNCTION("""COMPUTED_VALUE"""),"Aprill (SU)")</f>
        <v>Aprill (SU)</v>
      </c>
      <c r="I710" s="13" t="str">
        <f>IFERROR(__xludf.DUMMYFUNCTION("""COMPUTED_VALUE"""),"SELESAI (VIA PERMOHONAN)")</f>
        <v>SELESAI (VIA PERMOHONAN)</v>
      </c>
      <c r="J710" s="17">
        <f>IFERROR(__xludf.DUMMYFUNCTION("""COMPUTED_VALUE"""),45664.36143538194)</f>
        <v>45664.36144</v>
      </c>
      <c r="K710" s="13" t="str">
        <f>IFERROR(__xludf.DUMMYFUNCTION("""COMPUTED_VALUE"""),"Selesai")</f>
        <v>Selesai</v>
      </c>
      <c r="L710" s="17">
        <f>IFERROR(__xludf.DUMMYFUNCTION("""COMPUTED_VALUE"""),45664.36143538194)</f>
        <v>45664.36144</v>
      </c>
      <c r="M710" s="17">
        <f>IFERROR(__xludf.DUMMYFUNCTION("""COMPUTED_VALUE"""),45664.36143538194)</f>
        <v>45664.36144</v>
      </c>
      <c r="N710" s="13" t="str">
        <f>IFERROR(__xludf.DUMMYFUNCTION("""COMPUTED_VALUE"""),"")</f>
        <v/>
      </c>
      <c r="O710" s="13" t="str">
        <f t="shared" si="1"/>
        <v/>
      </c>
    </row>
    <row r="711" ht="22.5" customHeight="1">
      <c r="B711" s="13">
        <f>IFERROR(__xludf.DUMMYFUNCTION("""COMPUTED_VALUE"""),706.0)</f>
        <v>706</v>
      </c>
      <c r="C711" s="13" t="str">
        <f>IFERROR(__xludf.DUMMYFUNCTION("""COMPUTED_VALUE"""),"M.959/LANGKAPURA")</f>
        <v>M.959/LANGKAPURA</v>
      </c>
      <c r="D711" s="13" t="str">
        <f>IFERROR(__xludf.DUMMYFUNCTION("""COMPUTED_VALUE"""),"K/19/191224/1")</f>
        <v>K/19/191224/1</v>
      </c>
      <c r="E711" s="14" t="str">
        <f>IFERROR(__xludf.DUMMYFUNCTION("""COMPUTED_VALUE"""),"Afriza (BT)")</f>
        <v>Afriza (BT)</v>
      </c>
      <c r="F711" s="14" t="str">
        <f>IFERROR(__xludf.DUMMYFUNCTION("""COMPUTED_VALUE"""),"SELESAI (VIA PERMOHONAN)")</f>
        <v>SELESAI (VIA PERMOHONAN)</v>
      </c>
      <c r="G711" s="17">
        <f>IFERROR(__xludf.DUMMYFUNCTION("""COMPUTED_VALUE"""),45660.46792476852)</f>
        <v>45660.46792</v>
      </c>
      <c r="H711" s="14" t="str">
        <f>IFERROR(__xludf.DUMMYFUNCTION("""COMPUTED_VALUE"""),"Aprill (SU)")</f>
        <v>Aprill (SU)</v>
      </c>
      <c r="I711" s="13" t="str">
        <f>IFERROR(__xludf.DUMMYFUNCTION("""COMPUTED_VALUE"""),"SELESAI (VIA PERMOHONAN)")</f>
        <v>SELESAI (VIA PERMOHONAN)</v>
      </c>
      <c r="J711" s="17">
        <f>IFERROR(__xludf.DUMMYFUNCTION("""COMPUTED_VALUE"""),45664.36143539352)</f>
        <v>45664.36144</v>
      </c>
      <c r="K711" s="13" t="str">
        <f>IFERROR(__xludf.DUMMYFUNCTION("""COMPUTED_VALUE"""),"Selesai")</f>
        <v>Selesai</v>
      </c>
      <c r="L711" s="17">
        <f>IFERROR(__xludf.DUMMYFUNCTION("""COMPUTED_VALUE"""),45664.36143539352)</f>
        <v>45664.36144</v>
      </c>
      <c r="M711" s="17">
        <f>IFERROR(__xludf.DUMMYFUNCTION("""COMPUTED_VALUE"""),45664.36143539352)</f>
        <v>45664.36144</v>
      </c>
      <c r="N711" s="13" t="str">
        <f>IFERROR(__xludf.DUMMYFUNCTION("""COMPUTED_VALUE"""),"")</f>
        <v/>
      </c>
      <c r="O711" s="13" t="str">
        <f t="shared" si="1"/>
        <v/>
      </c>
    </row>
    <row r="712" ht="22.5" customHeight="1">
      <c r="B712" s="13">
        <f>IFERROR(__xludf.DUMMYFUNCTION("""COMPUTED_VALUE"""),707.0)</f>
        <v>707</v>
      </c>
      <c r="C712" s="13" t="str">
        <f>IFERROR(__xludf.DUMMYFUNCTION("""COMPUTED_VALUE"""),"M. 1028/ Gotong Royong")</f>
        <v>M. 1028/ Gotong Royong</v>
      </c>
      <c r="D712" s="13" t="str">
        <f>IFERROR(__xludf.DUMMYFUNCTION("""COMPUTED_VALUE"""),"K/57/301224/5")</f>
        <v>K/57/301224/5</v>
      </c>
      <c r="E712" s="14" t="str">
        <f>IFERROR(__xludf.DUMMYFUNCTION("""COMPUTED_VALUE"""),"Afriza (BT)")</f>
        <v>Afriza (BT)</v>
      </c>
      <c r="F712" s="14" t="str">
        <f>IFERROR(__xludf.DUMMYFUNCTION("""COMPUTED_VALUE"""),"SELESAI")</f>
        <v>SELESAI</v>
      </c>
      <c r="G712" s="17">
        <f>IFERROR(__xludf.DUMMYFUNCTION("""COMPUTED_VALUE"""),45660.614285972224)</f>
        <v>45660.61429</v>
      </c>
      <c r="H712" s="14" t="str">
        <f>IFERROR(__xludf.DUMMYFUNCTION("""COMPUTED_VALUE"""),"Bu Eva (SU)")</f>
        <v>Bu Eva (SU)</v>
      </c>
      <c r="I712" s="13" t="str">
        <f>IFERROR(__xludf.DUMMYFUNCTION("""COMPUTED_VALUE"""),"SELESAI")</f>
        <v>SELESAI</v>
      </c>
      <c r="J712" s="17">
        <f>IFERROR(__xludf.DUMMYFUNCTION("""COMPUTED_VALUE"""),45664.43956151621)</f>
        <v>45664.43956</v>
      </c>
      <c r="K712" s="13" t="str">
        <f>IFERROR(__xludf.DUMMYFUNCTION("""COMPUTED_VALUE"""),"SELESAI")</f>
        <v>SELESAI</v>
      </c>
      <c r="L712" s="17">
        <f>IFERROR(__xludf.DUMMYFUNCTION("""COMPUTED_VALUE"""),45664.43956151621)</f>
        <v>45664.43956</v>
      </c>
      <c r="M712" s="17" t="str">
        <f>IFERROR(__xludf.DUMMYFUNCTION("""COMPUTED_VALUE"""),"")</f>
        <v/>
      </c>
      <c r="N712" s="17">
        <f>IFERROR(__xludf.DUMMYFUNCTION("""COMPUTED_VALUE"""),45664.4395939699)</f>
        <v>45664.43959</v>
      </c>
      <c r="O712" s="13">
        <f t="shared" si="1"/>
        <v>1</v>
      </c>
    </row>
    <row r="713" ht="22.5" customHeight="1">
      <c r="B713" s="13">
        <f>IFERROR(__xludf.DUMMYFUNCTION("""COMPUTED_VALUE"""),708.0)</f>
        <v>708</v>
      </c>
      <c r="C713" s="13" t="str">
        <f>IFERROR(__xludf.DUMMYFUNCTION("""COMPUTED_VALUE"""),"HM 714/SUMUR PUTRI")</f>
        <v>HM 714/SUMUR PUTRI</v>
      </c>
      <c r="D713" s="13" t="str">
        <f>IFERROR(__xludf.DUMMYFUNCTION("""COMPUTED_VALUE"""),"L/7/311224/1")</f>
        <v>L/7/311224/1</v>
      </c>
      <c r="E713" s="14" t="str">
        <f>IFERROR(__xludf.DUMMYFUNCTION("""COMPUTED_VALUE"""),"Afriza (BT)")</f>
        <v>Afriza (BT)</v>
      </c>
      <c r="F713" s="14" t="str">
        <f>IFERROR(__xludf.DUMMYFUNCTION("""COMPUTED_VALUE"""),"SELESAI")</f>
        <v>SELESAI</v>
      </c>
      <c r="G713" s="17">
        <f>IFERROR(__xludf.DUMMYFUNCTION("""COMPUTED_VALUE"""),45660.61620047454)</f>
        <v>45660.6162</v>
      </c>
      <c r="H713" s="14" t="str">
        <f>IFERROR(__xludf.DUMMYFUNCTION("""COMPUTED_VALUE"""),"Bu Eva (SU)")</f>
        <v>Bu Eva (SU)</v>
      </c>
      <c r="I713" s="13" t="str">
        <f>IFERROR(__xludf.DUMMYFUNCTION("""COMPUTED_VALUE"""),"SELESAI")</f>
        <v>SELESAI</v>
      </c>
      <c r="J713" s="17">
        <f>IFERROR(__xludf.DUMMYFUNCTION("""COMPUTED_VALUE"""),45664.43786708333)</f>
        <v>45664.43787</v>
      </c>
      <c r="K713" s="13" t="str">
        <f>IFERROR(__xludf.DUMMYFUNCTION("""COMPUTED_VALUE"""),"SELESAI")</f>
        <v>SELESAI</v>
      </c>
      <c r="L713" s="17">
        <f>IFERROR(__xludf.DUMMYFUNCTION("""COMPUTED_VALUE"""),45664.43786708333)</f>
        <v>45664.43787</v>
      </c>
      <c r="M713" s="17" t="str">
        <f>IFERROR(__xludf.DUMMYFUNCTION("""COMPUTED_VALUE"""),"")</f>
        <v/>
      </c>
      <c r="N713" s="17">
        <f>IFERROR(__xludf.DUMMYFUNCTION("""COMPUTED_VALUE"""),45664.43790005787)</f>
        <v>45664.4379</v>
      </c>
      <c r="O713" s="13">
        <f t="shared" si="1"/>
        <v>2</v>
      </c>
    </row>
    <row r="714" ht="22.5" customHeight="1">
      <c r="B714" s="13">
        <f>IFERROR(__xludf.DUMMYFUNCTION("""COMPUTED_VALUE"""),709.0)</f>
        <v>709</v>
      </c>
      <c r="C714" s="13" t="str">
        <f>IFERROR(__xludf.DUMMYFUNCTION("""COMPUTED_VALUE"""),"M. 1638/ Durian Payung")</f>
        <v>M. 1638/ Durian Payung</v>
      </c>
      <c r="D714" s="13" t="str">
        <f>IFERROR(__xludf.DUMMYFUNCTION("""COMPUTED_VALUE"""),"K/9/311224/1")</f>
        <v>K/9/311224/1</v>
      </c>
      <c r="E714" s="14" t="str">
        <f>IFERROR(__xludf.DUMMYFUNCTION("""COMPUTED_VALUE"""),"Afriza (BT)")</f>
        <v>Afriza (BT)</v>
      </c>
      <c r="F714" s="14" t="str">
        <f>IFERROR(__xludf.DUMMYFUNCTION("""COMPUTED_VALUE"""),"SELESAI")</f>
        <v>SELESAI</v>
      </c>
      <c r="G714" s="17">
        <f>IFERROR(__xludf.DUMMYFUNCTION("""COMPUTED_VALUE"""),45660.61863844907)</f>
        <v>45660.61864</v>
      </c>
      <c r="H714" s="14" t="str">
        <f>IFERROR(__xludf.DUMMYFUNCTION("""COMPUTED_VALUE"""),"Bu Eva (SU)")</f>
        <v>Bu Eva (SU)</v>
      </c>
      <c r="I714" s="13" t="str">
        <f>IFERROR(__xludf.DUMMYFUNCTION("""COMPUTED_VALUE"""),"SELESAI")</f>
        <v>SELESAI</v>
      </c>
      <c r="J714" s="17">
        <f>IFERROR(__xludf.DUMMYFUNCTION("""COMPUTED_VALUE"""),45664.4451591088)</f>
        <v>45664.44516</v>
      </c>
      <c r="K714" s="13" t="str">
        <f>IFERROR(__xludf.DUMMYFUNCTION("""COMPUTED_VALUE"""),"SELESAI")</f>
        <v>SELESAI</v>
      </c>
      <c r="L714" s="17">
        <f>IFERROR(__xludf.DUMMYFUNCTION("""COMPUTED_VALUE"""),45664.4451591088)</f>
        <v>45664.44516</v>
      </c>
      <c r="M714" s="17" t="str">
        <f>IFERROR(__xludf.DUMMYFUNCTION("""COMPUTED_VALUE"""),"")</f>
        <v/>
      </c>
      <c r="N714" s="17">
        <f>IFERROR(__xludf.DUMMYFUNCTION("""COMPUTED_VALUE"""),45664.44520274305)</f>
        <v>45664.4452</v>
      </c>
      <c r="O714" s="13">
        <f t="shared" si="1"/>
        <v>3</v>
      </c>
    </row>
    <row r="715" ht="22.5" customHeight="1">
      <c r="B715" s="13">
        <f>IFERROR(__xludf.DUMMYFUNCTION("""COMPUTED_VALUE"""),710.0)</f>
        <v>710</v>
      </c>
      <c r="C715" s="13" t="str">
        <f>IFERROR(__xludf.DUMMYFUNCTION("""COMPUTED_VALUE"""),"M. 438/ Perumnas Way Halim")</f>
        <v>M. 438/ Perumnas Way Halim</v>
      </c>
      <c r="D715" s="13" t="str">
        <f>IFERROR(__xludf.DUMMYFUNCTION("""COMPUTED_VALUE"""),"K/20/311224/2")</f>
        <v>K/20/311224/2</v>
      </c>
      <c r="E715" s="14" t="str">
        <f>IFERROR(__xludf.DUMMYFUNCTION("""COMPUTED_VALUE"""),"Afriza (BT)")</f>
        <v>Afriza (BT)</v>
      </c>
      <c r="F715" s="14" t="str">
        <f>IFERROR(__xludf.DUMMYFUNCTION("""COMPUTED_VALUE"""),"SELESAI")</f>
        <v>SELESAI</v>
      </c>
      <c r="G715" s="17">
        <f>IFERROR(__xludf.DUMMYFUNCTION("""COMPUTED_VALUE"""),45660.623888449074)</f>
        <v>45660.62389</v>
      </c>
      <c r="H715" s="14" t="str">
        <f>IFERROR(__xludf.DUMMYFUNCTION("""COMPUTED_VALUE"""),"Bu Eva (SU)")</f>
        <v>Bu Eva (SU)</v>
      </c>
      <c r="I715" s="13" t="str">
        <f>IFERROR(__xludf.DUMMYFUNCTION("""COMPUTED_VALUE"""),"SELESAI")</f>
        <v>SELESAI</v>
      </c>
      <c r="J715" s="17">
        <f>IFERROR(__xludf.DUMMYFUNCTION("""COMPUTED_VALUE"""),45664.44489130787)</f>
        <v>45664.44489</v>
      </c>
      <c r="K715" s="13" t="str">
        <f>IFERROR(__xludf.DUMMYFUNCTION("""COMPUTED_VALUE"""),"SELESAI")</f>
        <v>SELESAI</v>
      </c>
      <c r="L715" s="17">
        <f>IFERROR(__xludf.DUMMYFUNCTION("""COMPUTED_VALUE"""),45664.44489130787)</f>
        <v>45664.44489</v>
      </c>
      <c r="M715" s="17">
        <f>IFERROR(__xludf.DUMMYFUNCTION("""COMPUTED_VALUE"""),45670.36944409722)</f>
        <v>45670.36944</v>
      </c>
      <c r="N715" s="17">
        <f>IFERROR(__xludf.DUMMYFUNCTION("""COMPUTED_VALUE"""),45664.44491822917)</f>
        <v>45664.44492</v>
      </c>
      <c r="O715" s="13">
        <f t="shared" si="1"/>
        <v>4</v>
      </c>
    </row>
    <row r="716" ht="22.5" customHeight="1">
      <c r="B716" s="13">
        <f>IFERROR(__xludf.DUMMYFUNCTION("""COMPUTED_VALUE"""),711.0)</f>
        <v>711</v>
      </c>
      <c r="C716" s="13" t="str">
        <f>IFERROR(__xludf.DUMMYFUNCTION("""COMPUTED_VALUE"""),"M.2143/BAKUNG")</f>
        <v>M.2143/BAKUNG</v>
      </c>
      <c r="D716" s="13" t="str">
        <f>IFERROR(__xludf.DUMMYFUNCTION("""COMPUTED_VALUE"""),"K/40/311224/1")</f>
        <v>K/40/311224/1</v>
      </c>
      <c r="E716" s="14" t="str">
        <f>IFERROR(__xludf.DUMMYFUNCTION("""COMPUTED_VALUE"""),"Afriza (BT)")</f>
        <v>Afriza (BT)</v>
      </c>
      <c r="F716" s="14" t="str">
        <f>IFERROR(__xludf.DUMMYFUNCTION("""COMPUTED_VALUE"""),"SELESAI")</f>
        <v>SELESAI</v>
      </c>
      <c r="G716" s="17">
        <f>IFERROR(__xludf.DUMMYFUNCTION("""COMPUTED_VALUE"""),45660.624841701385)</f>
        <v>45660.62484</v>
      </c>
      <c r="H716" s="14" t="str">
        <f>IFERROR(__xludf.DUMMYFUNCTION("""COMPUTED_VALUE"""),"Bu Eva (SU)")</f>
        <v>Bu Eva (SU)</v>
      </c>
      <c r="I716" s="13" t="str">
        <f>IFERROR(__xludf.DUMMYFUNCTION("""COMPUTED_VALUE"""),"SELESAI")</f>
        <v>SELESAI</v>
      </c>
      <c r="J716" s="17">
        <f>IFERROR(__xludf.DUMMYFUNCTION("""COMPUTED_VALUE"""),45664.41353082176)</f>
        <v>45664.41353</v>
      </c>
      <c r="K716" s="13" t="str">
        <f>IFERROR(__xludf.DUMMYFUNCTION("""COMPUTED_VALUE"""),"SELESAI")</f>
        <v>SELESAI</v>
      </c>
      <c r="L716" s="17">
        <f>IFERROR(__xludf.DUMMYFUNCTION("""COMPUTED_VALUE"""),45664.41353082176)</f>
        <v>45664.41353</v>
      </c>
      <c r="M716" s="17" t="str">
        <f>IFERROR(__xludf.DUMMYFUNCTION("""COMPUTED_VALUE"""),"")</f>
        <v/>
      </c>
      <c r="N716" s="17">
        <f>IFERROR(__xludf.DUMMYFUNCTION("""COMPUTED_VALUE"""),45664.41354814815)</f>
        <v>45664.41355</v>
      </c>
      <c r="O716" s="13">
        <f t="shared" si="1"/>
        <v>5</v>
      </c>
    </row>
    <row r="717" ht="22.5" customHeight="1">
      <c r="B717" s="13">
        <f>IFERROR(__xludf.DUMMYFUNCTION("""COMPUTED_VALUE"""),712.0)</f>
        <v>712</v>
      </c>
      <c r="C717" s="13" t="str">
        <f>IFERROR(__xludf.DUMMYFUNCTION("""COMPUTED_VALUE"""),"M. 2424/ Susunan Baru")</f>
        <v>M. 2424/ Susunan Baru</v>
      </c>
      <c r="D717" s="13" t="str">
        <f>IFERROR(__xludf.DUMMYFUNCTION("""COMPUTED_VALUE"""),"K/36/301224/1")</f>
        <v>K/36/301224/1</v>
      </c>
      <c r="E717" s="14" t="str">
        <f>IFERROR(__xludf.DUMMYFUNCTION("""COMPUTED_VALUE"""),"Nadian (BT)")</f>
        <v>Nadian (BT)</v>
      </c>
      <c r="F717" s="14" t="str">
        <f>IFERROR(__xludf.DUMMYFUNCTION("""COMPUTED_VALUE"""),"SELESAI")</f>
        <v>SELESAI</v>
      </c>
      <c r="G717" s="17">
        <f>IFERROR(__xludf.DUMMYFUNCTION("""COMPUTED_VALUE"""),0.0)</f>
        <v>0</v>
      </c>
      <c r="H717" s="14" t="str">
        <f>IFERROR(__xludf.DUMMYFUNCTION("""COMPUTED_VALUE"""),"Bu Eva (SU)")</f>
        <v>Bu Eva (SU)</v>
      </c>
      <c r="I717" s="13" t="str">
        <f>IFERROR(__xludf.DUMMYFUNCTION("""COMPUTED_VALUE"""),"SELESAI")</f>
        <v>SELESAI</v>
      </c>
      <c r="J717" s="17">
        <f>IFERROR(__xludf.DUMMYFUNCTION("""COMPUTED_VALUE"""),45664.41518329861)</f>
        <v>45664.41518</v>
      </c>
      <c r="K717" s="13" t="str">
        <f>IFERROR(__xludf.DUMMYFUNCTION("""COMPUTED_VALUE"""),"SELESAI")</f>
        <v>SELESAI</v>
      </c>
      <c r="L717" s="17">
        <f>IFERROR(__xludf.DUMMYFUNCTION("""COMPUTED_VALUE"""),45664.41518329861)</f>
        <v>45664.41518</v>
      </c>
      <c r="M717" s="17" t="str">
        <f>IFERROR(__xludf.DUMMYFUNCTION("""COMPUTED_VALUE"""),"")</f>
        <v/>
      </c>
      <c r="N717" s="17">
        <f>IFERROR(__xludf.DUMMYFUNCTION("""COMPUTED_VALUE"""),45664.41521712963)</f>
        <v>45664.41522</v>
      </c>
      <c r="O717" s="13">
        <f t="shared" si="1"/>
        <v>6</v>
      </c>
    </row>
    <row r="718" ht="22.5" customHeight="1">
      <c r="B718" s="13">
        <f>IFERROR(__xludf.DUMMYFUNCTION("""COMPUTED_VALUE"""),713.0)</f>
        <v>713</v>
      </c>
      <c r="C718" s="13" t="str">
        <f>IFERROR(__xludf.DUMMYFUNCTION("""COMPUTED_VALUE"""),"M.74/SUKARAME BARU-SEKARANG;B.2056/SUKARAME I")</f>
        <v>M.74/SUKARAME BARU-SEKARANG;B.2056/SUKARAME I</v>
      </c>
      <c r="D718" s="13" t="str">
        <f>IFERROR(__xludf.DUMMYFUNCTION("""COMPUTED_VALUE"""),"K/11/241224/2")</f>
        <v>K/11/241224/2</v>
      </c>
      <c r="E718" s="14" t="str">
        <f>IFERROR(__xludf.DUMMYFUNCTION("""COMPUTED_VALUE"""),"Afriza (BT)")</f>
        <v>Afriza (BT)</v>
      </c>
      <c r="F718" s="14" t="str">
        <f>IFERROR(__xludf.DUMMYFUNCTION("""COMPUTED_VALUE"""),"SELESAI")</f>
        <v>SELESAI</v>
      </c>
      <c r="G718" s="17">
        <f>IFERROR(__xludf.DUMMYFUNCTION("""COMPUTED_VALUE"""),45660.632105150464)</f>
        <v>45660.63211</v>
      </c>
      <c r="H718" s="14"/>
      <c r="I718" s="13"/>
      <c r="J718" s="17" t="str">
        <f>IFERROR(__xludf.DUMMYFUNCTION("""COMPUTED_VALUE"""),"")</f>
        <v/>
      </c>
      <c r="K718" s="13" t="str">
        <f>IFERROR(__xludf.DUMMYFUNCTION("""COMPUTED_VALUE"""),"BT atau SU Belum Valid")</f>
        <v>BT atau SU Belum Valid</v>
      </c>
      <c r="L718" s="13" t="str">
        <f>IFERROR(__xludf.DUMMYFUNCTION("""COMPUTED_VALUE"""),"")</f>
        <v/>
      </c>
      <c r="M718" s="17" t="str">
        <f>IFERROR(__xludf.DUMMYFUNCTION("""COMPUTED_VALUE"""),"")</f>
        <v/>
      </c>
      <c r="N718" s="13" t="str">
        <f>IFERROR(__xludf.DUMMYFUNCTION("""COMPUTED_VALUE"""),"")</f>
        <v/>
      </c>
      <c r="O718" s="13" t="str">
        <f t="shared" si="1"/>
        <v/>
      </c>
    </row>
    <row r="719" ht="22.5" customHeight="1">
      <c r="B719" s="13">
        <f>IFERROR(__xludf.DUMMYFUNCTION("""COMPUTED_VALUE"""),714.0)</f>
        <v>714</v>
      </c>
      <c r="C719" s="13"/>
      <c r="D719" s="13"/>
      <c r="E719" s="14"/>
      <c r="F719" s="14"/>
      <c r="G719" s="13"/>
      <c r="H719" s="14" t="str">
        <f>IFERROR(__xludf.DUMMYFUNCTION("""COMPUTED_VALUE"""),"Bu Eva (SU)")</f>
        <v>Bu Eva (SU)</v>
      </c>
      <c r="I719" s="13"/>
      <c r="J719" s="13"/>
      <c r="K719" s="13"/>
      <c r="L719" s="13"/>
      <c r="M719" s="13"/>
      <c r="N719" s="13"/>
      <c r="O719" s="13" t="str">
        <f t="shared" si="1"/>
        <v/>
      </c>
    </row>
    <row r="720" ht="22.5" customHeight="1">
      <c r="B720" s="13">
        <f>IFERROR(__xludf.DUMMYFUNCTION("""COMPUTED_VALUE"""),715.0)</f>
        <v>715</v>
      </c>
      <c r="C720" s="13" t="str">
        <f>IFERROR(__xludf.DUMMYFUNCTION("""COMPUTED_VALUE"""),"B. 614/ Campang Jaya")</f>
        <v>B. 614/ Campang Jaya</v>
      </c>
      <c r="D720" s="13" t="str">
        <f>IFERROR(__xludf.DUMMYFUNCTION("""COMPUTED_VALUE"""),"K/38/301224/3")</f>
        <v>K/38/301224/3</v>
      </c>
      <c r="E720" s="14" t="str">
        <f>IFERROR(__xludf.DUMMYFUNCTION("""COMPUTED_VALUE"""),"Nadian (BT)")</f>
        <v>Nadian (BT)</v>
      </c>
      <c r="F720" s="14" t="str">
        <f>IFERROR(__xludf.DUMMYFUNCTION("""COMPUTED_VALUE"""),"SELESAI")</f>
        <v>SELESAI</v>
      </c>
      <c r="G720" s="17">
        <f>IFERROR(__xludf.DUMMYFUNCTION("""COMPUTED_VALUE"""),45660.64873732639)</f>
        <v>45660.64874</v>
      </c>
      <c r="H720" s="14" t="str">
        <f>IFERROR(__xludf.DUMMYFUNCTION("""COMPUTED_VALUE"""),"Bu Eva (SU)")</f>
        <v>Bu Eva (SU)</v>
      </c>
      <c r="I720" s="13" t="str">
        <f>IFERROR(__xludf.DUMMYFUNCTION("""COMPUTED_VALUE"""),"SELESAI")</f>
        <v>SELESAI</v>
      </c>
      <c r="J720" s="17">
        <f>IFERROR(__xludf.DUMMYFUNCTION("""COMPUTED_VALUE"""),45664.4483159375)</f>
        <v>45664.44832</v>
      </c>
      <c r="K720" s="13" t="str">
        <f>IFERROR(__xludf.DUMMYFUNCTION("""COMPUTED_VALUE"""),"SELESAI")</f>
        <v>SELESAI</v>
      </c>
      <c r="L720" s="17">
        <f>IFERROR(__xludf.DUMMYFUNCTION("""COMPUTED_VALUE"""),45664.4483159375)</f>
        <v>45664.44832</v>
      </c>
      <c r="M720" s="17" t="str">
        <f>IFERROR(__xludf.DUMMYFUNCTION("""COMPUTED_VALUE"""),"")</f>
        <v/>
      </c>
      <c r="N720" s="17">
        <f>IFERROR(__xludf.DUMMYFUNCTION("""COMPUTED_VALUE"""),45664.448342118056)</f>
        <v>45664.44834</v>
      </c>
      <c r="O720" s="13">
        <f t="shared" si="1"/>
        <v>1</v>
      </c>
    </row>
    <row r="721" ht="22.5" customHeight="1">
      <c r="B721" s="13">
        <f>IFERROR(__xludf.DUMMYFUNCTION("""COMPUTED_VALUE"""),716.0)</f>
        <v>716</v>
      </c>
      <c r="C721" s="13" t="str">
        <f>IFERROR(__xludf.DUMMYFUNCTION("""COMPUTED_VALUE"""),"M. 3932/ Way Kandis")</f>
        <v>M. 3932/ Way Kandis</v>
      </c>
      <c r="D721" s="13" t="str">
        <f>IFERROR(__xludf.DUMMYFUNCTION("""COMPUTED_VALUE"""),"K/55/301224/3")</f>
        <v>K/55/301224/3</v>
      </c>
      <c r="E721" s="14" t="str">
        <f>IFERROR(__xludf.DUMMYFUNCTION("""COMPUTED_VALUE"""),"Nadian (BT)")</f>
        <v>Nadian (BT)</v>
      </c>
      <c r="F721" s="14" t="str">
        <f>IFERROR(__xludf.DUMMYFUNCTION("""COMPUTED_VALUE"""),"SELESAI")</f>
        <v>SELESAI</v>
      </c>
      <c r="G721" s="17">
        <f>IFERROR(__xludf.DUMMYFUNCTION("""COMPUTED_VALUE"""),45660.64873732639)</f>
        <v>45660.64874</v>
      </c>
      <c r="H721" s="14" t="str">
        <f>IFERROR(__xludf.DUMMYFUNCTION("""COMPUTED_VALUE"""),"Bu Eva (SU)")</f>
        <v>Bu Eva (SU)</v>
      </c>
      <c r="I721" s="13" t="str">
        <f>IFERROR(__xludf.DUMMYFUNCTION("""COMPUTED_VALUE"""),"SELESAI")</f>
        <v>SELESAI</v>
      </c>
      <c r="J721" s="17">
        <f>IFERROR(__xludf.DUMMYFUNCTION("""COMPUTED_VALUE"""),45664.44787488426)</f>
        <v>45664.44787</v>
      </c>
      <c r="K721" s="13" t="str">
        <f>IFERROR(__xludf.DUMMYFUNCTION("""COMPUTED_VALUE"""),"SELESAI")</f>
        <v>SELESAI</v>
      </c>
      <c r="L721" s="17">
        <f>IFERROR(__xludf.DUMMYFUNCTION("""COMPUTED_VALUE"""),45664.44787488426)</f>
        <v>45664.44787</v>
      </c>
      <c r="M721" s="17" t="str">
        <f>IFERROR(__xludf.DUMMYFUNCTION("""COMPUTED_VALUE"""),"")</f>
        <v/>
      </c>
      <c r="N721" s="17">
        <f>IFERROR(__xludf.DUMMYFUNCTION("""COMPUTED_VALUE"""),45664.447913599535)</f>
        <v>45664.44791</v>
      </c>
      <c r="O721" s="13">
        <f t="shared" si="1"/>
        <v>2</v>
      </c>
    </row>
    <row r="722" ht="22.5" customHeight="1">
      <c r="B722" s="13">
        <f>IFERROR(__xludf.DUMMYFUNCTION("""COMPUTED_VALUE"""),717.0)</f>
        <v>717</v>
      </c>
      <c r="C722" s="13" t="str">
        <f>IFERROR(__xludf.DUMMYFUNCTION("""COMPUTED_VALUE"""),"M. 2478/ Kemiling Permai")</f>
        <v>M. 2478/ Kemiling Permai</v>
      </c>
      <c r="D722" s="13" t="str">
        <f>IFERROR(__xludf.DUMMYFUNCTION("""COMPUTED_VALUE"""),"K/56/301224/4")</f>
        <v>K/56/301224/4</v>
      </c>
      <c r="E722" s="14" t="str">
        <f>IFERROR(__xludf.DUMMYFUNCTION("""COMPUTED_VALUE"""),"Nadian (BT)")</f>
        <v>Nadian (BT)</v>
      </c>
      <c r="F722" s="14" t="str">
        <f>IFERROR(__xludf.DUMMYFUNCTION("""COMPUTED_VALUE"""),"SELESAI")</f>
        <v>SELESAI</v>
      </c>
      <c r="G722" s="17">
        <f>IFERROR(__xludf.DUMMYFUNCTION("""COMPUTED_VALUE"""),45660.64873732639)</f>
        <v>45660.64874</v>
      </c>
      <c r="H722" s="14" t="str">
        <f>IFERROR(__xludf.DUMMYFUNCTION("""COMPUTED_VALUE"""),"Bu Eva (SU)")</f>
        <v>Bu Eva (SU)</v>
      </c>
      <c r="I722" s="13" t="str">
        <f>IFERROR(__xludf.DUMMYFUNCTION("""COMPUTED_VALUE"""),"SELESAI")</f>
        <v>SELESAI</v>
      </c>
      <c r="J722" s="17">
        <f>IFERROR(__xludf.DUMMYFUNCTION("""COMPUTED_VALUE"""),45664.41425262731)</f>
        <v>45664.41425</v>
      </c>
      <c r="K722" s="13" t="str">
        <f>IFERROR(__xludf.DUMMYFUNCTION("""COMPUTED_VALUE"""),"SELESAI")</f>
        <v>SELESAI</v>
      </c>
      <c r="L722" s="17">
        <f>IFERROR(__xludf.DUMMYFUNCTION("""COMPUTED_VALUE"""),45664.41425262731)</f>
        <v>45664.41425</v>
      </c>
      <c r="M722" s="17" t="str">
        <f>IFERROR(__xludf.DUMMYFUNCTION("""COMPUTED_VALUE"""),"")</f>
        <v/>
      </c>
      <c r="N722" s="17">
        <f>IFERROR(__xludf.DUMMYFUNCTION("""COMPUTED_VALUE"""),45664.4142793287)</f>
        <v>45664.41428</v>
      </c>
      <c r="O722" s="13">
        <f t="shared" si="1"/>
        <v>3</v>
      </c>
    </row>
    <row r="723" ht="22.5" customHeight="1">
      <c r="B723" s="13">
        <f>IFERROR(__xludf.DUMMYFUNCTION("""COMPUTED_VALUE"""),718.0)</f>
        <v>718</v>
      </c>
      <c r="C723" s="13" t="str">
        <f>IFERROR(__xludf.DUMMYFUNCTION("""COMPUTED_VALUE"""),"B. 601/ Sumur Putri")</f>
        <v>B. 601/ Sumur Putri</v>
      </c>
      <c r="D723" s="13" t="str">
        <f>IFERROR(__xludf.DUMMYFUNCTION("""COMPUTED_VALUE"""),"K/49/301224/2")</f>
        <v>K/49/301224/2</v>
      </c>
      <c r="E723" s="14" t="str">
        <f>IFERROR(__xludf.DUMMYFUNCTION("""COMPUTED_VALUE"""),"Nadian (BT)")</f>
        <v>Nadian (BT)</v>
      </c>
      <c r="F723" s="14" t="str">
        <f>IFERROR(__xludf.DUMMYFUNCTION("""COMPUTED_VALUE"""),"SELESAI")</f>
        <v>SELESAI</v>
      </c>
      <c r="G723" s="17">
        <f>IFERROR(__xludf.DUMMYFUNCTION("""COMPUTED_VALUE"""),45660.64873732639)</f>
        <v>45660.64874</v>
      </c>
      <c r="H723" s="14" t="str">
        <f>IFERROR(__xludf.DUMMYFUNCTION("""COMPUTED_VALUE"""),"Bu Eva (SU)")</f>
        <v>Bu Eva (SU)</v>
      </c>
      <c r="I723" s="13" t="str">
        <f>IFERROR(__xludf.DUMMYFUNCTION("""COMPUTED_VALUE"""),"SELESAI")</f>
        <v>SELESAI</v>
      </c>
      <c r="J723" s="17">
        <f>IFERROR(__xludf.DUMMYFUNCTION("""COMPUTED_VALUE"""),45664.40960244213)</f>
        <v>45664.4096</v>
      </c>
      <c r="K723" s="13" t="str">
        <f>IFERROR(__xludf.DUMMYFUNCTION("""COMPUTED_VALUE"""),"SELESAI")</f>
        <v>SELESAI</v>
      </c>
      <c r="L723" s="17">
        <f>IFERROR(__xludf.DUMMYFUNCTION("""COMPUTED_VALUE"""),45664.40960244213)</f>
        <v>45664.4096</v>
      </c>
      <c r="M723" s="17" t="str">
        <f>IFERROR(__xludf.DUMMYFUNCTION("""COMPUTED_VALUE"""),"")</f>
        <v/>
      </c>
      <c r="N723" s="17">
        <f>IFERROR(__xludf.DUMMYFUNCTION("""COMPUTED_VALUE"""),45664.40964721065)</f>
        <v>45664.40965</v>
      </c>
      <c r="O723" s="13">
        <f t="shared" si="1"/>
        <v>4</v>
      </c>
    </row>
    <row r="724" ht="22.5" customHeight="1">
      <c r="B724" s="13">
        <f>IFERROR(__xludf.DUMMYFUNCTION("""COMPUTED_VALUE"""),719.0)</f>
        <v>719</v>
      </c>
      <c r="C724" s="13" t="str">
        <f>IFERROR(__xludf.DUMMYFUNCTION("""COMPUTED_VALUE"""),"M. 1628/ Sukarame baru")</f>
        <v>M. 1628/ Sukarame baru</v>
      </c>
      <c r="D724" s="13" t="str">
        <f>IFERROR(__xludf.DUMMYFUNCTION("""COMPUTED_VALUE"""),"K/53/301224/1")</f>
        <v>K/53/301224/1</v>
      </c>
      <c r="E724" s="14" t="str">
        <f>IFERROR(__xludf.DUMMYFUNCTION("""COMPUTED_VALUE"""),"Nadian (BT)")</f>
        <v>Nadian (BT)</v>
      </c>
      <c r="F724" s="14" t="str">
        <f>IFERROR(__xludf.DUMMYFUNCTION("""COMPUTED_VALUE"""),"SELESAI")</f>
        <v>SELESAI</v>
      </c>
      <c r="G724" s="17">
        <f>IFERROR(__xludf.DUMMYFUNCTION("""COMPUTED_VALUE"""),45660.64873732639)</f>
        <v>45660.64874</v>
      </c>
      <c r="H724" s="14" t="str">
        <f>IFERROR(__xludf.DUMMYFUNCTION("""COMPUTED_VALUE"""),"Bu Eva (SU)")</f>
        <v>Bu Eva (SU)</v>
      </c>
      <c r="I724" s="13" t="str">
        <f>IFERROR(__xludf.DUMMYFUNCTION("""COMPUTED_VALUE"""),"SELESAI")</f>
        <v>SELESAI</v>
      </c>
      <c r="J724" s="17">
        <f>IFERROR(__xludf.DUMMYFUNCTION("""COMPUTED_VALUE"""),45664.45036708334)</f>
        <v>45664.45037</v>
      </c>
      <c r="K724" s="13" t="str">
        <f>IFERROR(__xludf.DUMMYFUNCTION("""COMPUTED_VALUE"""),"SELESAI")</f>
        <v>SELESAI</v>
      </c>
      <c r="L724" s="17">
        <f>IFERROR(__xludf.DUMMYFUNCTION("""COMPUTED_VALUE"""),45664.45036708334)</f>
        <v>45664.45037</v>
      </c>
      <c r="M724" s="17" t="str">
        <f>IFERROR(__xludf.DUMMYFUNCTION("""COMPUTED_VALUE"""),"")</f>
        <v/>
      </c>
      <c r="N724" s="17">
        <f>IFERROR(__xludf.DUMMYFUNCTION("""COMPUTED_VALUE"""),45664.45040267361)</f>
        <v>45664.4504</v>
      </c>
      <c r="O724" s="13">
        <f t="shared" si="1"/>
        <v>5</v>
      </c>
    </row>
    <row r="725" ht="22.5" customHeight="1">
      <c r="B725" s="13">
        <f>IFERROR(__xludf.DUMMYFUNCTION("""COMPUTED_VALUE"""),720.0)</f>
        <v>720</v>
      </c>
      <c r="C725" s="13" t="str">
        <f>IFERROR(__xludf.DUMMYFUNCTION("""COMPUTED_VALUE"""),"M.3932/SUKADANAHAM")</f>
        <v>M.3932/SUKADANAHAM</v>
      </c>
      <c r="D725" s="13" t="str">
        <f>IFERROR(__xludf.DUMMYFUNCTION("""COMPUTED_VALUE"""),"K/50/301224/1")</f>
        <v>K/50/301224/1</v>
      </c>
      <c r="E725" s="14" t="str">
        <f>IFERROR(__xludf.DUMMYFUNCTION("""COMPUTED_VALUE"""),"Nadian (BT)")</f>
        <v>Nadian (BT)</v>
      </c>
      <c r="F725" s="14" t="str">
        <f>IFERROR(__xludf.DUMMYFUNCTION("""COMPUTED_VALUE"""),"SELESAI")</f>
        <v>SELESAI</v>
      </c>
      <c r="G725" s="17">
        <f>IFERROR(__xludf.DUMMYFUNCTION("""COMPUTED_VALUE"""),45660.64873732639)</f>
        <v>45660.64874</v>
      </c>
      <c r="H725" s="14" t="str">
        <f>IFERROR(__xludf.DUMMYFUNCTION("""COMPUTED_VALUE"""),"Bu Eva (SU)")</f>
        <v>Bu Eva (SU)</v>
      </c>
      <c r="I725" s="13" t="str">
        <f>IFERROR(__xludf.DUMMYFUNCTION("""COMPUTED_VALUE"""),"SELESAI")</f>
        <v>SELESAI</v>
      </c>
      <c r="J725" s="17">
        <f>IFERROR(__xludf.DUMMYFUNCTION("""COMPUTED_VALUE"""),45670.399676608795)</f>
        <v>45670.39968</v>
      </c>
      <c r="K725" s="13" t="str">
        <f>IFERROR(__xludf.DUMMYFUNCTION("""COMPUTED_VALUE"""),"SELESAI")</f>
        <v>SELESAI</v>
      </c>
      <c r="L725" s="17">
        <f>IFERROR(__xludf.DUMMYFUNCTION("""COMPUTED_VALUE"""),45670.399676608795)</f>
        <v>45670.39968</v>
      </c>
      <c r="M725" s="17">
        <f>IFERROR(__xludf.DUMMYFUNCTION("""COMPUTED_VALUE"""),45670.39968835648)</f>
        <v>45670.39969</v>
      </c>
      <c r="N725" s="13" t="str">
        <f>IFERROR(__xludf.DUMMYFUNCTION("""COMPUTED_VALUE"""),"")</f>
        <v/>
      </c>
      <c r="O725" s="13" t="str">
        <f t="shared" si="1"/>
        <v/>
      </c>
    </row>
    <row r="726" ht="22.5" customHeight="1">
      <c r="B726" s="13">
        <f>IFERROR(__xludf.DUMMYFUNCTION("""COMPUTED_VALUE"""),721.0)</f>
        <v>721</v>
      </c>
      <c r="C726" s="13" t="str">
        <f>IFERROR(__xludf.DUMMYFUNCTION("""COMPUTED_VALUE"""),"B. 795/ Sumur Putri")</f>
        <v>B. 795/ Sumur Putri</v>
      </c>
      <c r="D726" s="13" t="str">
        <f>IFERROR(__xludf.DUMMYFUNCTION("""COMPUTED_VALUE"""),"K/48/301224/1")</f>
        <v>K/48/301224/1</v>
      </c>
      <c r="E726" s="14" t="str">
        <f>IFERROR(__xludf.DUMMYFUNCTION("""COMPUTED_VALUE"""),"Nadian (BT)")</f>
        <v>Nadian (BT)</v>
      </c>
      <c r="F726" s="14" t="str">
        <f>IFERROR(__xludf.DUMMYFUNCTION("""COMPUTED_VALUE"""),"SELESAI")</f>
        <v>SELESAI</v>
      </c>
      <c r="G726" s="17">
        <f>IFERROR(__xludf.DUMMYFUNCTION("""COMPUTED_VALUE"""),45660.64873732639)</f>
        <v>45660.64874</v>
      </c>
      <c r="H726" s="14" t="str">
        <f>IFERROR(__xludf.DUMMYFUNCTION("""COMPUTED_VALUE"""),"Bu Eva (SU)")</f>
        <v>Bu Eva (SU)</v>
      </c>
      <c r="I726" s="13" t="str">
        <f>IFERROR(__xludf.DUMMYFUNCTION("""COMPUTED_VALUE"""),"SELESAI")</f>
        <v>SELESAI</v>
      </c>
      <c r="J726" s="17">
        <f>IFERROR(__xludf.DUMMYFUNCTION("""COMPUTED_VALUE"""),45664.41620503472)</f>
        <v>45664.41621</v>
      </c>
      <c r="K726" s="13" t="str">
        <f>IFERROR(__xludf.DUMMYFUNCTION("""COMPUTED_VALUE"""),"SELESAI")</f>
        <v>SELESAI</v>
      </c>
      <c r="L726" s="17">
        <f>IFERROR(__xludf.DUMMYFUNCTION("""COMPUTED_VALUE"""),45664.41620503472)</f>
        <v>45664.41621</v>
      </c>
      <c r="M726" s="17" t="str">
        <f>IFERROR(__xludf.DUMMYFUNCTION("""COMPUTED_VALUE"""),"")</f>
        <v/>
      </c>
      <c r="N726" s="17">
        <f>IFERROR(__xludf.DUMMYFUNCTION("""COMPUTED_VALUE"""),45664.41626392362)</f>
        <v>45664.41626</v>
      </c>
      <c r="O726" s="13">
        <f t="shared" si="1"/>
        <v>1</v>
      </c>
    </row>
    <row r="727" ht="22.5" customHeight="1">
      <c r="B727" s="13">
        <f>IFERROR(__xludf.DUMMYFUNCTION("""COMPUTED_VALUE"""),722.0)</f>
        <v>722</v>
      </c>
      <c r="C727" s="13" t="str">
        <f>IFERROR(__xludf.DUMMYFUNCTION("""COMPUTED_VALUE"""),"HM 2213/KELAPA TIGA")</f>
        <v>HM 2213/KELAPA TIGA</v>
      </c>
      <c r="D727" s="13" t="str">
        <f>IFERROR(__xludf.DUMMYFUNCTION("""COMPUTED_VALUE"""),"L/46/301224/1")</f>
        <v>L/46/301224/1</v>
      </c>
      <c r="E727" s="14" t="str">
        <f>IFERROR(__xludf.DUMMYFUNCTION("""COMPUTED_VALUE"""),"Nadian (BT)")</f>
        <v>Nadian (BT)</v>
      </c>
      <c r="F727" s="14" t="str">
        <f>IFERROR(__xludf.DUMMYFUNCTION("""COMPUTED_VALUE"""),"SELESAI")</f>
        <v>SELESAI</v>
      </c>
      <c r="G727" s="17">
        <f>IFERROR(__xludf.DUMMYFUNCTION("""COMPUTED_VALUE"""),45660.64873732639)</f>
        <v>45660.64874</v>
      </c>
      <c r="H727" s="14" t="str">
        <f>IFERROR(__xludf.DUMMYFUNCTION("""COMPUTED_VALUE"""),"Bu Eva (SU)")</f>
        <v>Bu Eva (SU)</v>
      </c>
      <c r="I727" s="13" t="str">
        <f>IFERROR(__xludf.DUMMYFUNCTION("""COMPUTED_VALUE"""),"SELESAI")</f>
        <v>SELESAI</v>
      </c>
      <c r="J727" s="17">
        <f>IFERROR(__xludf.DUMMYFUNCTION("""COMPUTED_VALUE"""),45664.41680980324)</f>
        <v>45664.41681</v>
      </c>
      <c r="K727" s="13" t="str">
        <f>IFERROR(__xludf.DUMMYFUNCTION("""COMPUTED_VALUE"""),"SELESAI")</f>
        <v>SELESAI</v>
      </c>
      <c r="L727" s="17">
        <f>IFERROR(__xludf.DUMMYFUNCTION("""COMPUTED_VALUE"""),45664.41680980324)</f>
        <v>45664.41681</v>
      </c>
      <c r="M727" s="17" t="str">
        <f>IFERROR(__xludf.DUMMYFUNCTION("""COMPUTED_VALUE"""),"")</f>
        <v/>
      </c>
      <c r="N727" s="17">
        <f>IFERROR(__xludf.DUMMYFUNCTION("""COMPUTED_VALUE"""),45664.41685381945)</f>
        <v>45664.41685</v>
      </c>
      <c r="O727" s="13">
        <f t="shared" si="1"/>
        <v>2</v>
      </c>
    </row>
    <row r="728" ht="22.5" customHeight="1">
      <c r="B728" s="13">
        <f>IFERROR(__xludf.DUMMYFUNCTION("""COMPUTED_VALUE"""),723.0)</f>
        <v>723</v>
      </c>
      <c r="C728" s="13" t="str">
        <f>IFERROR(__xludf.DUMMYFUNCTION("""COMPUTED_VALUE"""),"M.5004/RAJABASA JAYA")</f>
        <v>M.5004/RAJABASA JAYA</v>
      </c>
      <c r="D728" s="13" t="str">
        <f>IFERROR(__xludf.DUMMYFUNCTION("""COMPUTED_VALUE"""),"K/44/301224/1")</f>
        <v>K/44/301224/1</v>
      </c>
      <c r="E728" s="14" t="str">
        <f>IFERROR(__xludf.DUMMYFUNCTION("""COMPUTED_VALUE"""),"Nadian (BT)")</f>
        <v>Nadian (BT)</v>
      </c>
      <c r="F728" s="14" t="str">
        <f>IFERROR(__xludf.DUMMYFUNCTION("""COMPUTED_VALUE"""),"SELESAI")</f>
        <v>SELESAI</v>
      </c>
      <c r="G728" s="17">
        <f>IFERROR(__xludf.DUMMYFUNCTION("""COMPUTED_VALUE"""),45660.64873732639)</f>
        <v>45660.64874</v>
      </c>
      <c r="H728" s="14" t="str">
        <f>IFERROR(__xludf.DUMMYFUNCTION("""COMPUTED_VALUE"""),"Bu Eva (SU)")</f>
        <v>Bu Eva (SU)</v>
      </c>
      <c r="I728" s="13" t="str">
        <f>IFERROR(__xludf.DUMMYFUNCTION("""COMPUTED_VALUE"""),"SELESAI")</f>
        <v>SELESAI</v>
      </c>
      <c r="J728" s="17">
        <f>IFERROR(__xludf.DUMMYFUNCTION("""COMPUTED_VALUE"""),45664.417145625004)</f>
        <v>45664.41715</v>
      </c>
      <c r="K728" s="13" t="str">
        <f>IFERROR(__xludf.DUMMYFUNCTION("""COMPUTED_VALUE"""),"SELESAI")</f>
        <v>SELESAI</v>
      </c>
      <c r="L728" s="17">
        <f>IFERROR(__xludf.DUMMYFUNCTION("""COMPUTED_VALUE"""),45664.417145625004)</f>
        <v>45664.41715</v>
      </c>
      <c r="M728" s="17" t="str">
        <f>IFERROR(__xludf.DUMMYFUNCTION("""COMPUTED_VALUE"""),"")</f>
        <v/>
      </c>
      <c r="N728" s="17">
        <f>IFERROR(__xludf.DUMMYFUNCTION("""COMPUTED_VALUE"""),45664.41718547454)</f>
        <v>45664.41719</v>
      </c>
      <c r="O728" s="13">
        <f t="shared" si="1"/>
        <v>3</v>
      </c>
    </row>
    <row r="729" ht="22.5" customHeight="1">
      <c r="B729" s="13">
        <f>IFERROR(__xludf.DUMMYFUNCTION("""COMPUTED_VALUE"""),724.0)</f>
        <v>724</v>
      </c>
      <c r="C729" s="13" t="str">
        <f>IFERROR(__xludf.DUMMYFUNCTION("""COMPUTED_VALUE"""),"M. 4532/ Rajabasa Jaya")</f>
        <v>M. 4532/ Rajabasa Jaya</v>
      </c>
      <c r="D729" s="13" t="str">
        <f>IFERROR(__xludf.DUMMYFUNCTION("""COMPUTED_VALUE"""),"K/39/301224/1")</f>
        <v>K/39/301224/1</v>
      </c>
      <c r="E729" s="14" t="str">
        <f>IFERROR(__xludf.DUMMYFUNCTION("""COMPUTED_VALUE"""),"Nadian (BT)")</f>
        <v>Nadian (BT)</v>
      </c>
      <c r="F729" s="14" t="str">
        <f>IFERROR(__xludf.DUMMYFUNCTION("""COMPUTED_VALUE"""),"SELESAI")</f>
        <v>SELESAI</v>
      </c>
      <c r="G729" s="17">
        <f>IFERROR(__xludf.DUMMYFUNCTION("""COMPUTED_VALUE"""),45660.64873732639)</f>
        <v>45660.64874</v>
      </c>
      <c r="H729" s="14" t="str">
        <f>IFERROR(__xludf.DUMMYFUNCTION("""COMPUTED_VALUE"""),"Bu Eva (SU)")</f>
        <v>Bu Eva (SU)</v>
      </c>
      <c r="I729" s="13" t="str">
        <f>IFERROR(__xludf.DUMMYFUNCTION("""COMPUTED_VALUE"""),"SELESAI")</f>
        <v>SELESAI</v>
      </c>
      <c r="J729" s="17">
        <f>IFERROR(__xludf.DUMMYFUNCTION("""COMPUTED_VALUE"""),45664.40910050926)</f>
        <v>45664.4091</v>
      </c>
      <c r="K729" s="13" t="str">
        <f>IFERROR(__xludf.DUMMYFUNCTION("""COMPUTED_VALUE"""),"SELESAI")</f>
        <v>SELESAI</v>
      </c>
      <c r="L729" s="17">
        <f>IFERROR(__xludf.DUMMYFUNCTION("""COMPUTED_VALUE"""),45664.40910050926)</f>
        <v>45664.4091</v>
      </c>
      <c r="M729" s="17" t="str">
        <f>IFERROR(__xludf.DUMMYFUNCTION("""COMPUTED_VALUE"""),"")</f>
        <v/>
      </c>
      <c r="N729" s="17">
        <f>IFERROR(__xludf.DUMMYFUNCTION("""COMPUTED_VALUE"""),45664.40904452546)</f>
        <v>45664.40904</v>
      </c>
      <c r="O729" s="13">
        <f t="shared" si="1"/>
        <v>4</v>
      </c>
    </row>
    <row r="730" ht="22.5" customHeight="1">
      <c r="B730" s="13">
        <f>IFERROR(__xludf.DUMMYFUNCTION("""COMPUTED_VALUE"""),725.0)</f>
        <v>725</v>
      </c>
      <c r="C730" s="13" t="str">
        <f>IFERROR(__xludf.DUMMYFUNCTION("""COMPUTED_VALUE"""),"M. 377/ Korpri Raya")</f>
        <v>M. 377/ Korpri Raya</v>
      </c>
      <c r="D730" s="13" t="str">
        <f>IFERROR(__xludf.DUMMYFUNCTION("""COMPUTED_VALUE"""),"K/37/301224/2")</f>
        <v>K/37/301224/2</v>
      </c>
      <c r="E730" s="14" t="str">
        <f>IFERROR(__xludf.DUMMYFUNCTION("""COMPUTED_VALUE"""),"Nadian (BT)")</f>
        <v>Nadian (BT)</v>
      </c>
      <c r="F730" s="14" t="str">
        <f>IFERROR(__xludf.DUMMYFUNCTION("""COMPUTED_VALUE"""),"SELESAI")</f>
        <v>SELESAI</v>
      </c>
      <c r="G730" s="17">
        <f>IFERROR(__xludf.DUMMYFUNCTION("""COMPUTED_VALUE"""),45660.64873732639)</f>
        <v>45660.64874</v>
      </c>
      <c r="H730" s="14" t="str">
        <f>IFERROR(__xludf.DUMMYFUNCTION("""COMPUTED_VALUE"""),"Bu Eva (SU)")</f>
        <v>Bu Eva (SU)</v>
      </c>
      <c r="I730" s="13" t="str">
        <f>IFERROR(__xludf.DUMMYFUNCTION("""COMPUTED_VALUE"""),"SELESAI")</f>
        <v>SELESAI</v>
      </c>
      <c r="J730" s="17">
        <f>IFERROR(__xludf.DUMMYFUNCTION("""COMPUTED_VALUE"""),45664.44216510416)</f>
        <v>45664.44217</v>
      </c>
      <c r="K730" s="13" t="str">
        <f>IFERROR(__xludf.DUMMYFUNCTION("""COMPUTED_VALUE"""),"SELESAI")</f>
        <v>SELESAI</v>
      </c>
      <c r="L730" s="17">
        <f>IFERROR(__xludf.DUMMYFUNCTION("""COMPUTED_VALUE"""),45664.44216510416)</f>
        <v>45664.44217</v>
      </c>
      <c r="M730" s="17" t="str">
        <f>IFERROR(__xludf.DUMMYFUNCTION("""COMPUTED_VALUE"""),"")</f>
        <v/>
      </c>
      <c r="N730" s="17">
        <f>IFERROR(__xludf.DUMMYFUNCTION("""COMPUTED_VALUE"""),45664.442219675926)</f>
        <v>45664.44222</v>
      </c>
      <c r="O730" s="13">
        <f t="shared" si="1"/>
        <v>5</v>
      </c>
    </row>
    <row r="731" ht="22.5" customHeight="1">
      <c r="B731" s="13">
        <f>IFERROR(__xludf.DUMMYFUNCTION("""COMPUTED_VALUE"""),726.0)</f>
        <v>726</v>
      </c>
      <c r="C731" s="13" t="str">
        <f>IFERROR(__xludf.DUMMYFUNCTION("""COMPUTED_VALUE"""),"M. 1363/ kali Balau Kencana")</f>
        <v>M. 1363/ kali Balau Kencana</v>
      </c>
      <c r="D731" s="13" t="str">
        <f>IFERROR(__xludf.DUMMYFUNCTION("""COMPUTED_VALUE"""),"K/41/311224/1")</f>
        <v>K/41/311224/1</v>
      </c>
      <c r="E731" s="14" t="str">
        <f>IFERROR(__xludf.DUMMYFUNCTION("""COMPUTED_VALUE"""),"Nadian (BT)")</f>
        <v>Nadian (BT)</v>
      </c>
      <c r="F731" s="14" t="str">
        <f>IFERROR(__xludf.DUMMYFUNCTION("""COMPUTED_VALUE"""),"SELESAI")</f>
        <v>SELESAI</v>
      </c>
      <c r="G731" s="17">
        <f>IFERROR(__xludf.DUMMYFUNCTION("""COMPUTED_VALUE"""),45660.64873732639)</f>
        <v>45660.64874</v>
      </c>
      <c r="H731" s="14" t="str">
        <f>IFERROR(__xludf.DUMMYFUNCTION("""COMPUTED_VALUE"""),"Bu Eva (SU)")</f>
        <v>Bu Eva (SU)</v>
      </c>
      <c r="I731" s="13" t="str">
        <f>IFERROR(__xludf.DUMMYFUNCTION("""COMPUTED_VALUE"""),"SELESAI")</f>
        <v>SELESAI</v>
      </c>
      <c r="J731" s="17">
        <f>IFERROR(__xludf.DUMMYFUNCTION("""COMPUTED_VALUE"""),45664.40886876157)</f>
        <v>45664.40887</v>
      </c>
      <c r="K731" s="13" t="str">
        <f>IFERROR(__xludf.DUMMYFUNCTION("""COMPUTED_VALUE"""),"SELESAI")</f>
        <v>SELESAI</v>
      </c>
      <c r="L731" s="17">
        <f>IFERROR(__xludf.DUMMYFUNCTION("""COMPUTED_VALUE"""),45664.40886876157)</f>
        <v>45664.40887</v>
      </c>
      <c r="M731" s="17" t="str">
        <f>IFERROR(__xludf.DUMMYFUNCTION("""COMPUTED_VALUE"""),"")</f>
        <v/>
      </c>
      <c r="N731" s="17">
        <f>IFERROR(__xludf.DUMMYFUNCTION("""COMPUTED_VALUE"""),45664.40889085648)</f>
        <v>45664.40889</v>
      </c>
      <c r="O731" s="13">
        <f t="shared" si="1"/>
        <v>6</v>
      </c>
    </row>
    <row r="732" ht="22.5" customHeight="1">
      <c r="B732" s="13">
        <f>IFERROR(__xludf.DUMMYFUNCTION("""COMPUTED_VALUE"""),727.0)</f>
        <v>727</v>
      </c>
      <c r="C732" s="13" t="str">
        <f>IFERROR(__xludf.DUMMYFUNCTION("""COMPUTED_VALUE"""),"M.15004/RAJABASA")</f>
        <v>M.15004/RAJABASA</v>
      </c>
      <c r="D732" s="13" t="str">
        <f>IFERROR(__xludf.DUMMYFUNCTION("""COMPUTED_VALUE"""),"K/27/301224/3")</f>
        <v>K/27/301224/3</v>
      </c>
      <c r="E732" s="14" t="str">
        <f>IFERROR(__xludf.DUMMYFUNCTION("""COMPUTED_VALUE"""),"Nadian (BT)")</f>
        <v>Nadian (BT)</v>
      </c>
      <c r="F732" s="14" t="str">
        <f>IFERROR(__xludf.DUMMYFUNCTION("""COMPUTED_VALUE"""),"SELESAI (VIA PERMOHONAN)")</f>
        <v>SELESAI (VIA PERMOHONAN)</v>
      </c>
      <c r="G732" s="17">
        <f>IFERROR(__xludf.DUMMYFUNCTION("""COMPUTED_VALUE"""),45660.648400081016)</f>
        <v>45660.6484</v>
      </c>
      <c r="H732" s="14" t="str">
        <f>IFERROR(__xludf.DUMMYFUNCTION("""COMPUTED_VALUE"""),"Aprill (SU)")</f>
        <v>Aprill (SU)</v>
      </c>
      <c r="I732" s="13" t="str">
        <f>IFERROR(__xludf.DUMMYFUNCTION("""COMPUTED_VALUE"""),"SELESAI (VIA PERMOHONAN)")</f>
        <v>SELESAI (VIA PERMOHONAN)</v>
      </c>
      <c r="J732" s="17">
        <f>IFERROR(__xludf.DUMMYFUNCTION("""COMPUTED_VALUE"""),45664.36143539352)</f>
        <v>45664.36144</v>
      </c>
      <c r="K732" s="13" t="str">
        <f>IFERROR(__xludf.DUMMYFUNCTION("""COMPUTED_VALUE"""),"Selesai")</f>
        <v>Selesai</v>
      </c>
      <c r="L732" s="17">
        <f>IFERROR(__xludf.DUMMYFUNCTION("""COMPUTED_VALUE"""),45664.36143539352)</f>
        <v>45664.36144</v>
      </c>
      <c r="M732" s="17">
        <f>IFERROR(__xludf.DUMMYFUNCTION("""COMPUTED_VALUE"""),45664.36143539352)</f>
        <v>45664.36144</v>
      </c>
      <c r="N732" s="13" t="str">
        <f>IFERROR(__xludf.DUMMYFUNCTION("""COMPUTED_VALUE"""),"")</f>
        <v/>
      </c>
      <c r="O732" s="13" t="str">
        <f t="shared" si="1"/>
        <v/>
      </c>
    </row>
    <row r="733" ht="22.5" customHeight="1">
      <c r="B733" s="13">
        <f>IFERROR(__xludf.DUMMYFUNCTION("""COMPUTED_VALUE"""),728.0)</f>
        <v>728</v>
      </c>
      <c r="C733" s="13" t="str">
        <f>IFERROR(__xludf.DUMMYFUNCTION("""COMPUTED_VALUE"""),"M. 2463/ Beringin Raya")</f>
        <v>M. 2463/ Beringin Raya</v>
      </c>
      <c r="D733" s="13" t="str">
        <f>IFERROR(__xludf.DUMMYFUNCTION("""COMPUTED_VALUE"""),"K/1/201224/1")</f>
        <v>K/1/201224/1</v>
      </c>
      <c r="E733" s="14" t="str">
        <f>IFERROR(__xludf.DUMMYFUNCTION("""COMPUTED_VALUE"""),"Nadian (BT)")</f>
        <v>Nadian (BT)</v>
      </c>
      <c r="F733" s="14" t="str">
        <f>IFERROR(__xludf.DUMMYFUNCTION("""COMPUTED_VALUE"""),"SELESAI (VIA PERMOHONAN)")</f>
        <v>SELESAI (VIA PERMOHONAN)</v>
      </c>
      <c r="G733" s="17">
        <f>IFERROR(__xludf.DUMMYFUNCTION("""COMPUTED_VALUE"""),45660.64843134259)</f>
        <v>45660.64843</v>
      </c>
      <c r="H733" s="14" t="str">
        <f>IFERROR(__xludf.DUMMYFUNCTION("""COMPUTED_VALUE"""),"Aprill (SU)")</f>
        <v>Aprill (SU)</v>
      </c>
      <c r="I733" s="13" t="str">
        <f>IFERROR(__xludf.DUMMYFUNCTION("""COMPUTED_VALUE"""),"SELESAI (VIA PERMOHONAN)")</f>
        <v>SELESAI (VIA PERMOHONAN)</v>
      </c>
      <c r="J733" s="17">
        <f>IFERROR(__xludf.DUMMYFUNCTION("""COMPUTED_VALUE"""),45664.36143539352)</f>
        <v>45664.36144</v>
      </c>
      <c r="K733" s="13" t="str">
        <f>IFERROR(__xludf.DUMMYFUNCTION("""COMPUTED_VALUE"""),"Selesai")</f>
        <v>Selesai</v>
      </c>
      <c r="L733" s="17">
        <f>IFERROR(__xludf.DUMMYFUNCTION("""COMPUTED_VALUE"""),45664.36143539352)</f>
        <v>45664.36144</v>
      </c>
      <c r="M733" s="17">
        <f>IFERROR(__xludf.DUMMYFUNCTION("""COMPUTED_VALUE"""),45664.36143539352)</f>
        <v>45664.36144</v>
      </c>
      <c r="N733" s="13" t="str">
        <f>IFERROR(__xludf.DUMMYFUNCTION("""COMPUTED_VALUE"""),"")</f>
        <v/>
      </c>
      <c r="O733" s="13" t="str">
        <f t="shared" si="1"/>
        <v/>
      </c>
    </row>
    <row r="734" ht="22.5" customHeight="1">
      <c r="B734" s="13">
        <f>IFERROR(__xludf.DUMMYFUNCTION("""COMPUTED_VALUE"""),729.0)</f>
        <v>729</v>
      </c>
      <c r="C734" s="13" t="str">
        <f>IFERROR(__xludf.DUMMYFUNCTION("""COMPUTED_VALUE"""),"M. 13163/ Kedamaian")</f>
        <v>M. 13163/ Kedamaian</v>
      </c>
      <c r="D734" s="13" t="str">
        <f>IFERROR(__xludf.DUMMYFUNCTION("""COMPUTED_VALUE"""),"K/10/171224/1")</f>
        <v>K/10/171224/1</v>
      </c>
      <c r="E734" s="14" t="str">
        <f>IFERROR(__xludf.DUMMYFUNCTION("""COMPUTED_VALUE"""),"Nadian (BT)")</f>
        <v>Nadian (BT)</v>
      </c>
      <c r="F734" s="14" t="str">
        <f>IFERROR(__xludf.DUMMYFUNCTION("""COMPUTED_VALUE"""),"SELESAI (VIA PERMOHONAN)")</f>
        <v>SELESAI (VIA PERMOHONAN)</v>
      </c>
      <c r="G734" s="17">
        <f>IFERROR(__xludf.DUMMYFUNCTION("""COMPUTED_VALUE"""),45660.64843134259)</f>
        <v>45660.64843</v>
      </c>
      <c r="H734" s="14" t="str">
        <f>IFERROR(__xludf.DUMMYFUNCTION("""COMPUTED_VALUE"""),"Aprill (SU)")</f>
        <v>Aprill (SU)</v>
      </c>
      <c r="I734" s="13" t="str">
        <f>IFERROR(__xludf.DUMMYFUNCTION("""COMPUTED_VALUE"""),"SELESAI (VIA PERMOHONAN)")</f>
        <v>SELESAI (VIA PERMOHONAN)</v>
      </c>
      <c r="J734" s="17">
        <f>IFERROR(__xludf.DUMMYFUNCTION("""COMPUTED_VALUE"""),45664.36143539352)</f>
        <v>45664.36144</v>
      </c>
      <c r="K734" s="13" t="str">
        <f>IFERROR(__xludf.DUMMYFUNCTION("""COMPUTED_VALUE"""),"Selesai")</f>
        <v>Selesai</v>
      </c>
      <c r="L734" s="17">
        <f>IFERROR(__xludf.DUMMYFUNCTION("""COMPUTED_VALUE"""),45664.36143539352)</f>
        <v>45664.36144</v>
      </c>
      <c r="M734" s="17">
        <f>IFERROR(__xludf.DUMMYFUNCTION("""COMPUTED_VALUE"""),45664.36143539352)</f>
        <v>45664.36144</v>
      </c>
      <c r="N734" s="13" t="str">
        <f>IFERROR(__xludf.DUMMYFUNCTION("""COMPUTED_VALUE"""),"")</f>
        <v/>
      </c>
      <c r="O734" s="13" t="str">
        <f t="shared" si="1"/>
        <v/>
      </c>
    </row>
    <row r="735" ht="22.5" customHeight="1">
      <c r="B735" s="13">
        <f>IFERROR(__xludf.DUMMYFUNCTION("""COMPUTED_VALUE"""),730.0)</f>
        <v>730</v>
      </c>
      <c r="C735" s="13" t="str">
        <f>IFERROR(__xludf.DUMMYFUNCTION("""COMPUTED_VALUE"""),"B. 413/ Gedung Meneng")</f>
        <v>B. 413/ Gedung Meneng</v>
      </c>
      <c r="D735" s="13" t="str">
        <f>IFERROR(__xludf.DUMMYFUNCTION("""COMPUTED_VALUE"""),"K/1/241224/1")</f>
        <v>K/1/241224/1</v>
      </c>
      <c r="E735" s="14" t="str">
        <f>IFERROR(__xludf.DUMMYFUNCTION("""COMPUTED_VALUE"""),"Nadian (BT)")</f>
        <v>Nadian (BT)</v>
      </c>
      <c r="F735" s="14" t="str">
        <f>IFERROR(__xludf.DUMMYFUNCTION("""COMPUTED_VALUE"""),"SELESAI (VIA PERMOHONAN)")</f>
        <v>SELESAI (VIA PERMOHONAN)</v>
      </c>
      <c r="G735" s="17">
        <f>IFERROR(__xludf.DUMMYFUNCTION("""COMPUTED_VALUE"""),45660.64843134259)</f>
        <v>45660.64843</v>
      </c>
      <c r="H735" s="14" t="str">
        <f>IFERROR(__xludf.DUMMYFUNCTION("""COMPUTED_VALUE"""),"Aprill (SU)")</f>
        <v>Aprill (SU)</v>
      </c>
      <c r="I735" s="13" t="str">
        <f>IFERROR(__xludf.DUMMYFUNCTION("""COMPUTED_VALUE"""),"SELESAI (VIA PERMOHONAN)")</f>
        <v>SELESAI (VIA PERMOHONAN)</v>
      </c>
      <c r="J735" s="17">
        <f>IFERROR(__xludf.DUMMYFUNCTION("""COMPUTED_VALUE"""),45664.36143539352)</f>
        <v>45664.36144</v>
      </c>
      <c r="K735" s="13" t="str">
        <f>IFERROR(__xludf.DUMMYFUNCTION("""COMPUTED_VALUE"""),"Selesai")</f>
        <v>Selesai</v>
      </c>
      <c r="L735" s="17">
        <f>IFERROR(__xludf.DUMMYFUNCTION("""COMPUTED_VALUE"""),45664.36143539352)</f>
        <v>45664.36144</v>
      </c>
      <c r="M735" s="17">
        <f>IFERROR(__xludf.DUMMYFUNCTION("""COMPUTED_VALUE"""),45664.36143539352)</f>
        <v>45664.36144</v>
      </c>
      <c r="N735" s="13" t="str">
        <f>IFERROR(__xludf.DUMMYFUNCTION("""COMPUTED_VALUE"""),"")</f>
        <v/>
      </c>
      <c r="O735" s="13" t="str">
        <f t="shared" si="1"/>
        <v/>
      </c>
    </row>
    <row r="736" ht="22.5" customHeight="1">
      <c r="B736" s="13">
        <f>IFERROR(__xludf.DUMMYFUNCTION("""COMPUTED_VALUE"""),731.0)</f>
        <v>731</v>
      </c>
      <c r="C736" s="13" t="str">
        <f>IFERROR(__xludf.DUMMYFUNCTION("""COMPUTED_VALUE"""),"M.1476/ Panjang Utara")</f>
        <v>M.1476/ Panjang Utara</v>
      </c>
      <c r="D736" s="13" t="str">
        <f>IFERROR(__xludf.DUMMYFUNCTION("""COMPUTED_VALUE"""),"K/2/241224/1")</f>
        <v>K/2/241224/1</v>
      </c>
      <c r="E736" s="14" t="str">
        <f>IFERROR(__xludf.DUMMYFUNCTION("""COMPUTED_VALUE"""),"Nadian (BT)")</f>
        <v>Nadian (BT)</v>
      </c>
      <c r="F736" s="14" t="str">
        <f>IFERROR(__xludf.DUMMYFUNCTION("""COMPUTED_VALUE"""),"SELESAI (VIA PERMOHONAN)")</f>
        <v>SELESAI (VIA PERMOHONAN)</v>
      </c>
      <c r="G736" s="17">
        <f>IFERROR(__xludf.DUMMYFUNCTION("""COMPUTED_VALUE"""),45660.64843134259)</f>
        <v>45660.64843</v>
      </c>
      <c r="H736" s="14" t="str">
        <f>IFERROR(__xludf.DUMMYFUNCTION("""COMPUTED_VALUE"""),"Aprill (SU)")</f>
        <v>Aprill (SU)</v>
      </c>
      <c r="I736" s="13" t="str">
        <f>IFERROR(__xludf.DUMMYFUNCTION("""COMPUTED_VALUE"""),"SELESAI (VIA PERMOHONAN)")</f>
        <v>SELESAI (VIA PERMOHONAN)</v>
      </c>
      <c r="J736" s="17">
        <f>IFERROR(__xludf.DUMMYFUNCTION("""COMPUTED_VALUE"""),45664.36143539352)</f>
        <v>45664.36144</v>
      </c>
      <c r="K736" s="13" t="str">
        <f>IFERROR(__xludf.DUMMYFUNCTION("""COMPUTED_VALUE"""),"Selesai")</f>
        <v>Selesai</v>
      </c>
      <c r="L736" s="17">
        <f>IFERROR(__xludf.DUMMYFUNCTION("""COMPUTED_VALUE"""),45664.36143539352)</f>
        <v>45664.36144</v>
      </c>
      <c r="M736" s="17">
        <f>IFERROR(__xludf.DUMMYFUNCTION("""COMPUTED_VALUE"""),45664.36143539352)</f>
        <v>45664.36144</v>
      </c>
      <c r="N736" s="13" t="str">
        <f>IFERROR(__xludf.DUMMYFUNCTION("""COMPUTED_VALUE"""),"")</f>
        <v/>
      </c>
      <c r="O736" s="13" t="str">
        <f t="shared" si="1"/>
        <v/>
      </c>
    </row>
    <row r="737" ht="22.5" customHeight="1">
      <c r="B737" s="13">
        <f>IFERROR(__xludf.DUMMYFUNCTION("""COMPUTED_VALUE"""),732.0)</f>
        <v>732</v>
      </c>
      <c r="C737" s="13" t="str">
        <f>IFERROR(__xludf.DUMMYFUNCTION("""COMPUTED_VALUE"""),"M. 10655/ Kedamaian")</f>
        <v>M. 10655/ Kedamaian</v>
      </c>
      <c r="D737" s="13" t="str">
        <f>IFERROR(__xludf.DUMMYFUNCTION("""COMPUTED_VALUE"""),"K/20/241224/2")</f>
        <v>K/20/241224/2</v>
      </c>
      <c r="E737" s="14" t="str">
        <f>IFERROR(__xludf.DUMMYFUNCTION("""COMPUTED_VALUE"""),"Nadian (BT)")</f>
        <v>Nadian (BT)</v>
      </c>
      <c r="F737" s="14" t="str">
        <f>IFERROR(__xludf.DUMMYFUNCTION("""COMPUTED_VALUE"""),"SELESAI (VIA PERMOHONAN)")</f>
        <v>SELESAI (VIA PERMOHONAN)</v>
      </c>
      <c r="G737" s="17">
        <f>IFERROR(__xludf.DUMMYFUNCTION("""COMPUTED_VALUE"""),45660.64843134259)</f>
        <v>45660.64843</v>
      </c>
      <c r="H737" s="14" t="str">
        <f>IFERROR(__xludf.DUMMYFUNCTION("""COMPUTED_VALUE"""),"Aprill (SU)")</f>
        <v>Aprill (SU)</v>
      </c>
      <c r="I737" s="13" t="str">
        <f>IFERROR(__xludf.DUMMYFUNCTION("""COMPUTED_VALUE"""),"SELESAI (VIA PERMOHONAN)")</f>
        <v>SELESAI (VIA PERMOHONAN)</v>
      </c>
      <c r="J737" s="17">
        <f>IFERROR(__xludf.DUMMYFUNCTION("""COMPUTED_VALUE"""),45664.36143539352)</f>
        <v>45664.36144</v>
      </c>
      <c r="K737" s="13" t="str">
        <f>IFERROR(__xludf.DUMMYFUNCTION("""COMPUTED_VALUE"""),"Selesai")</f>
        <v>Selesai</v>
      </c>
      <c r="L737" s="17">
        <f>IFERROR(__xludf.DUMMYFUNCTION("""COMPUTED_VALUE"""),45664.36143539352)</f>
        <v>45664.36144</v>
      </c>
      <c r="M737" s="17">
        <f>IFERROR(__xludf.DUMMYFUNCTION("""COMPUTED_VALUE"""),45664.36143539352)</f>
        <v>45664.36144</v>
      </c>
      <c r="N737" s="13" t="str">
        <f>IFERROR(__xludf.DUMMYFUNCTION("""COMPUTED_VALUE"""),"")</f>
        <v/>
      </c>
      <c r="O737" s="13" t="str">
        <f t="shared" si="1"/>
        <v/>
      </c>
    </row>
    <row r="738" ht="22.5" customHeight="1">
      <c r="B738" s="13">
        <f>IFERROR(__xludf.DUMMYFUNCTION("""COMPUTED_VALUE"""),733.0)</f>
        <v>733</v>
      </c>
      <c r="C738" s="13" t="str">
        <f>IFERROR(__xludf.DUMMYFUNCTION("""COMPUTED_VALUE"""),"M.1891/BERINGIN JAYA")</f>
        <v>M.1891/BERINGIN JAYA</v>
      </c>
      <c r="D738" s="13" t="str">
        <f>IFERROR(__xludf.DUMMYFUNCTION("""COMPUTED_VALUE"""),"K/47/191224/2")</f>
        <v>K/47/191224/2</v>
      </c>
      <c r="E738" s="14" t="str">
        <f>IFERROR(__xludf.DUMMYFUNCTION("""COMPUTED_VALUE"""),"Nadian (BT)")</f>
        <v>Nadian (BT)</v>
      </c>
      <c r="F738" s="14" t="str">
        <f>IFERROR(__xludf.DUMMYFUNCTION("""COMPUTED_VALUE"""),"SELESAI (VIA PERMOHONAN)")</f>
        <v>SELESAI (VIA PERMOHONAN)</v>
      </c>
      <c r="G738" s="17">
        <f>IFERROR(__xludf.DUMMYFUNCTION("""COMPUTED_VALUE"""),45660.64843134259)</f>
        <v>45660.64843</v>
      </c>
      <c r="H738" s="14" t="str">
        <f>IFERROR(__xludf.DUMMYFUNCTION("""COMPUTED_VALUE"""),"Aprill (SU)")</f>
        <v>Aprill (SU)</v>
      </c>
      <c r="I738" s="13" t="str">
        <f>IFERROR(__xludf.DUMMYFUNCTION("""COMPUTED_VALUE"""),"SELESAI (VIA PERMOHONAN)")</f>
        <v>SELESAI (VIA PERMOHONAN)</v>
      </c>
      <c r="J738" s="17">
        <f>IFERROR(__xludf.DUMMYFUNCTION("""COMPUTED_VALUE"""),45664.36143539352)</f>
        <v>45664.36144</v>
      </c>
      <c r="K738" s="13" t="str">
        <f>IFERROR(__xludf.DUMMYFUNCTION("""COMPUTED_VALUE"""),"Selesai")</f>
        <v>Selesai</v>
      </c>
      <c r="L738" s="17">
        <f>IFERROR(__xludf.DUMMYFUNCTION("""COMPUTED_VALUE"""),45664.36143539352)</f>
        <v>45664.36144</v>
      </c>
      <c r="M738" s="17">
        <f>IFERROR(__xludf.DUMMYFUNCTION("""COMPUTED_VALUE"""),45664.36143539352)</f>
        <v>45664.36144</v>
      </c>
      <c r="N738" s="13" t="str">
        <f>IFERROR(__xludf.DUMMYFUNCTION("""COMPUTED_VALUE"""),"")</f>
        <v/>
      </c>
      <c r="O738" s="13" t="str">
        <f t="shared" si="1"/>
        <v/>
      </c>
    </row>
    <row r="739" ht="22.5" customHeight="1">
      <c r="B739" s="13">
        <f>IFERROR(__xludf.DUMMYFUNCTION("""COMPUTED_VALUE"""),734.0)</f>
        <v>734</v>
      </c>
      <c r="C739" s="13" t="str">
        <f>IFERROR(__xludf.DUMMYFUNCTION("""COMPUTED_VALUE"""),"M.1814/PERUMNAS WAY HALIM-SEKARANG;B.1136/KEDATON-DAHULU")</f>
        <v>M.1814/PERUMNAS WAY HALIM-SEKARANG;B.1136/KEDATON-DAHULU</v>
      </c>
      <c r="D739" s="13" t="str">
        <f>IFERROR(__xludf.DUMMYFUNCTION("""COMPUTED_VALUE"""),"K/25/301224/1")</f>
        <v>K/25/301224/1</v>
      </c>
      <c r="E739" s="14" t="str">
        <f>IFERROR(__xludf.DUMMYFUNCTION("""COMPUTED_VALUE"""),"Afriza (BT)")</f>
        <v>Afriza (BT)</v>
      </c>
      <c r="F739" s="14" t="str">
        <f>IFERROR(__xludf.DUMMYFUNCTION("""COMPUTED_VALUE"""),"SELESAI (VIA PERMOHONAN)")</f>
        <v>SELESAI (VIA PERMOHONAN)</v>
      </c>
      <c r="G739" s="17">
        <f>IFERROR(__xludf.DUMMYFUNCTION("""COMPUTED_VALUE"""),45660.66814630787)</f>
        <v>45660.66815</v>
      </c>
      <c r="H739" s="14" t="str">
        <f>IFERROR(__xludf.DUMMYFUNCTION("""COMPUTED_VALUE"""),"Aprill (SU)")</f>
        <v>Aprill (SU)</v>
      </c>
      <c r="I739" s="13" t="str">
        <f>IFERROR(__xludf.DUMMYFUNCTION("""COMPUTED_VALUE"""),"SELESAI (VIA PERMOHONAN)")</f>
        <v>SELESAI (VIA PERMOHONAN)</v>
      </c>
      <c r="J739" s="17">
        <f>IFERROR(__xludf.DUMMYFUNCTION("""COMPUTED_VALUE"""),45664.36143539352)</f>
        <v>45664.36144</v>
      </c>
      <c r="K739" s="13" t="str">
        <f>IFERROR(__xludf.DUMMYFUNCTION("""COMPUTED_VALUE"""),"Selesai")</f>
        <v>Selesai</v>
      </c>
      <c r="L739" s="17">
        <f>IFERROR(__xludf.DUMMYFUNCTION("""COMPUTED_VALUE"""),45664.36143539352)</f>
        <v>45664.36144</v>
      </c>
      <c r="M739" s="17">
        <f>IFERROR(__xludf.DUMMYFUNCTION("""COMPUTED_VALUE"""),45664.36143539352)</f>
        <v>45664.36144</v>
      </c>
      <c r="N739" s="13" t="str">
        <f>IFERROR(__xludf.DUMMYFUNCTION("""COMPUTED_VALUE"""),"")</f>
        <v/>
      </c>
      <c r="O739" s="13" t="str">
        <f t="shared" si="1"/>
        <v/>
      </c>
    </row>
    <row r="740" ht="22.5" customHeight="1">
      <c r="B740" s="13">
        <f>IFERROR(__xludf.DUMMYFUNCTION("""COMPUTED_VALUE"""),735.0)</f>
        <v>735</v>
      </c>
      <c r="C740" s="13" t="str">
        <f>IFERROR(__xludf.DUMMYFUNCTION("""COMPUTED_VALUE"""),"M. 1160/ Bumi Kedamaian")</f>
        <v>M. 1160/ Bumi Kedamaian</v>
      </c>
      <c r="D740" s="13" t="str">
        <f>IFERROR(__xludf.DUMMYFUNCTION("""COMPUTED_VALUE"""),"K/34/020125/4")</f>
        <v>K/34/020125/4</v>
      </c>
      <c r="E740" s="14" t="str">
        <f>IFERROR(__xludf.DUMMYFUNCTION("""COMPUTED_VALUE"""),"Afriza (BT)")</f>
        <v>Afriza (BT)</v>
      </c>
      <c r="F740" s="14" t="str">
        <f>IFERROR(__xludf.DUMMYFUNCTION("""COMPUTED_VALUE"""),"SELESAI")</f>
        <v>SELESAI</v>
      </c>
      <c r="G740" s="17">
        <f>IFERROR(__xludf.DUMMYFUNCTION("""COMPUTED_VALUE"""),45663.443174687505)</f>
        <v>45663.44317</v>
      </c>
      <c r="H740" s="14" t="str">
        <f>IFERROR(__xludf.DUMMYFUNCTION("""COMPUTED_VALUE"""),"Bu Eva (SU)")</f>
        <v>Bu Eva (SU)</v>
      </c>
      <c r="I740" s="13" t="str">
        <f>IFERROR(__xludf.DUMMYFUNCTION("""COMPUTED_VALUE"""),"SELESAI")</f>
        <v>SELESAI</v>
      </c>
      <c r="J740" s="17">
        <f>IFERROR(__xludf.DUMMYFUNCTION("""COMPUTED_VALUE"""),45664.450585659724)</f>
        <v>45664.45059</v>
      </c>
      <c r="K740" s="13" t="str">
        <f>IFERROR(__xludf.DUMMYFUNCTION("""COMPUTED_VALUE"""),"SELESAI")</f>
        <v>SELESAI</v>
      </c>
      <c r="L740" s="17">
        <f>IFERROR(__xludf.DUMMYFUNCTION("""COMPUTED_VALUE"""),45664.450585659724)</f>
        <v>45664.45059</v>
      </c>
      <c r="M740" s="17" t="str">
        <f>IFERROR(__xludf.DUMMYFUNCTION("""COMPUTED_VALUE"""),"")</f>
        <v/>
      </c>
      <c r="N740" s="17">
        <f>IFERROR(__xludf.DUMMYFUNCTION("""COMPUTED_VALUE"""),45664.45061734953)</f>
        <v>45664.45062</v>
      </c>
      <c r="O740" s="13">
        <f t="shared" si="1"/>
        <v>1</v>
      </c>
    </row>
    <row r="741" ht="22.5" customHeight="1">
      <c r="B741" s="13">
        <f>IFERROR(__xludf.DUMMYFUNCTION("""COMPUTED_VALUE"""),736.0)</f>
        <v>736</v>
      </c>
      <c r="C741" s="13" t="str">
        <f>IFERROR(__xludf.DUMMYFUNCTION("""COMPUTED_VALUE"""),"M. 3025/ Gedong Air")</f>
        <v>M. 3025/ Gedong Air</v>
      </c>
      <c r="D741" s="13" t="str">
        <f>IFERROR(__xludf.DUMMYFUNCTION("""COMPUTED_VALUE"""),"K/1/020125/1")</f>
        <v>K/1/020125/1</v>
      </c>
      <c r="E741" s="14" t="str">
        <f>IFERROR(__xludf.DUMMYFUNCTION("""COMPUTED_VALUE"""),"Afriza (BT)")</f>
        <v>Afriza (BT)</v>
      </c>
      <c r="F741" s="14" t="str">
        <f>IFERROR(__xludf.DUMMYFUNCTION("""COMPUTED_VALUE"""),"SELESAI")</f>
        <v>SELESAI</v>
      </c>
      <c r="G741" s="17">
        <f>IFERROR(__xludf.DUMMYFUNCTION("""COMPUTED_VALUE"""),45663.44329564815)</f>
        <v>45663.4433</v>
      </c>
      <c r="H741" s="14" t="str">
        <f>IFERROR(__xludf.DUMMYFUNCTION("""COMPUTED_VALUE"""),"Bu Eva (SU)")</f>
        <v>Bu Eva (SU)</v>
      </c>
      <c r="I741" s="13" t="str">
        <f>IFERROR(__xludf.DUMMYFUNCTION("""COMPUTED_VALUE"""),"SELESAI")</f>
        <v>SELESAI</v>
      </c>
      <c r="J741" s="17">
        <f>IFERROR(__xludf.DUMMYFUNCTION("""COMPUTED_VALUE"""),45664.451089131944)</f>
        <v>45664.45109</v>
      </c>
      <c r="K741" s="13" t="str">
        <f>IFERROR(__xludf.DUMMYFUNCTION("""COMPUTED_VALUE"""),"SELESAI")</f>
        <v>SELESAI</v>
      </c>
      <c r="L741" s="17">
        <f>IFERROR(__xludf.DUMMYFUNCTION("""COMPUTED_VALUE"""),45664.451089131944)</f>
        <v>45664.45109</v>
      </c>
      <c r="M741" s="17" t="str">
        <f>IFERROR(__xludf.DUMMYFUNCTION("""COMPUTED_VALUE"""),"")</f>
        <v/>
      </c>
      <c r="N741" s="17">
        <f>IFERROR(__xludf.DUMMYFUNCTION("""COMPUTED_VALUE"""),45664.45113101852)</f>
        <v>45664.45113</v>
      </c>
      <c r="O741" s="13">
        <f t="shared" si="1"/>
        <v>2</v>
      </c>
    </row>
    <row r="742" ht="22.5" customHeight="1">
      <c r="B742" s="13">
        <f>IFERROR(__xludf.DUMMYFUNCTION("""COMPUTED_VALUE"""),737.0)</f>
        <v>737</v>
      </c>
      <c r="C742" s="13" t="str">
        <f>IFERROR(__xludf.DUMMYFUNCTION("""COMPUTED_VALUE"""),"M. 3016/ Gedong Air")</f>
        <v>M. 3016/ Gedong Air</v>
      </c>
      <c r="D742" s="13" t="str">
        <f>IFERROR(__xludf.DUMMYFUNCTION("""COMPUTED_VALUE"""),"K/2/020125/2")</f>
        <v>K/2/020125/2</v>
      </c>
      <c r="E742" s="14" t="str">
        <f>IFERROR(__xludf.DUMMYFUNCTION("""COMPUTED_VALUE"""),"Afriza (BT)")</f>
        <v>Afriza (BT)</v>
      </c>
      <c r="F742" s="14" t="str">
        <f>IFERROR(__xludf.DUMMYFUNCTION("""COMPUTED_VALUE"""),"SELESAI")</f>
        <v>SELESAI</v>
      </c>
      <c r="G742" s="17">
        <f>IFERROR(__xludf.DUMMYFUNCTION("""COMPUTED_VALUE"""),45663.44336297453)</f>
        <v>45663.44336</v>
      </c>
      <c r="H742" s="14" t="str">
        <f>IFERROR(__xludf.DUMMYFUNCTION("""COMPUTED_VALUE"""),"Bu Eva (SU)")</f>
        <v>Bu Eva (SU)</v>
      </c>
      <c r="I742" s="13" t="str">
        <f>IFERROR(__xludf.DUMMYFUNCTION("""COMPUTED_VALUE"""),"SELESAI")</f>
        <v>SELESAI</v>
      </c>
      <c r="J742" s="17">
        <f>IFERROR(__xludf.DUMMYFUNCTION("""COMPUTED_VALUE"""),45664.4511034375)</f>
        <v>45664.4511</v>
      </c>
      <c r="K742" s="13" t="str">
        <f>IFERROR(__xludf.DUMMYFUNCTION("""COMPUTED_VALUE"""),"SELESAI")</f>
        <v>SELESAI</v>
      </c>
      <c r="L742" s="17">
        <f>IFERROR(__xludf.DUMMYFUNCTION("""COMPUTED_VALUE"""),45664.4511034375)</f>
        <v>45664.4511</v>
      </c>
      <c r="M742" s="17" t="str">
        <f>IFERROR(__xludf.DUMMYFUNCTION("""COMPUTED_VALUE"""),"")</f>
        <v/>
      </c>
      <c r="N742" s="17">
        <f>IFERROR(__xludf.DUMMYFUNCTION("""COMPUTED_VALUE"""),45664.45113671296)</f>
        <v>45664.45114</v>
      </c>
      <c r="O742" s="13">
        <f t="shared" si="1"/>
        <v>3</v>
      </c>
    </row>
    <row r="743" ht="22.5" customHeight="1">
      <c r="B743" s="13">
        <f>IFERROR(__xludf.DUMMYFUNCTION("""COMPUTED_VALUE"""),738.0)</f>
        <v>738</v>
      </c>
      <c r="C743" s="13" t="str">
        <f>IFERROR(__xludf.DUMMYFUNCTION("""COMPUTED_VALUE"""),"M. 1469/ Pinang Jaya")</f>
        <v>M. 1469/ Pinang Jaya</v>
      </c>
      <c r="D743" s="13" t="str">
        <f>IFERROR(__xludf.DUMMYFUNCTION("""COMPUTED_VALUE"""),"K/6/020125/1")</f>
        <v>K/6/020125/1</v>
      </c>
      <c r="E743" s="14" t="str">
        <f>IFERROR(__xludf.DUMMYFUNCTION("""COMPUTED_VALUE"""),"Afriza (BT)")</f>
        <v>Afriza (BT)</v>
      </c>
      <c r="F743" s="14" t="str">
        <f>IFERROR(__xludf.DUMMYFUNCTION("""COMPUTED_VALUE"""),"SELESAI")</f>
        <v>SELESAI</v>
      </c>
      <c r="G743" s="17">
        <f>IFERROR(__xludf.DUMMYFUNCTION("""COMPUTED_VALUE"""),45663.538979386576)</f>
        <v>45663.53898</v>
      </c>
      <c r="H743" s="14" t="str">
        <f>IFERROR(__xludf.DUMMYFUNCTION("""COMPUTED_VALUE"""),"Bu Eva (SU)")</f>
        <v>Bu Eva (SU)</v>
      </c>
      <c r="I743" s="13" t="str">
        <f>IFERROR(__xludf.DUMMYFUNCTION("""COMPUTED_VALUE"""),"SELESAI")</f>
        <v>SELESAI</v>
      </c>
      <c r="J743" s="17">
        <f>IFERROR(__xludf.DUMMYFUNCTION("""COMPUTED_VALUE"""),45664.45085202546)</f>
        <v>45664.45085</v>
      </c>
      <c r="K743" s="13" t="str">
        <f>IFERROR(__xludf.DUMMYFUNCTION("""COMPUTED_VALUE"""),"SELESAI")</f>
        <v>SELESAI</v>
      </c>
      <c r="L743" s="17">
        <f>IFERROR(__xludf.DUMMYFUNCTION("""COMPUTED_VALUE"""),45664.45085202546)</f>
        <v>45664.45085</v>
      </c>
      <c r="M743" s="17" t="str">
        <f>IFERROR(__xludf.DUMMYFUNCTION("""COMPUTED_VALUE"""),"")</f>
        <v/>
      </c>
      <c r="N743" s="17">
        <f>IFERROR(__xludf.DUMMYFUNCTION("""COMPUTED_VALUE"""),45664.45088193287)</f>
        <v>45664.45088</v>
      </c>
      <c r="O743" s="13">
        <f t="shared" si="1"/>
        <v>4</v>
      </c>
    </row>
    <row r="744" ht="22.5" customHeight="1">
      <c r="B744" s="13">
        <f>IFERROR(__xludf.DUMMYFUNCTION("""COMPUTED_VALUE"""),739.0)</f>
        <v>739</v>
      </c>
      <c r="C744" s="13" t="str">
        <f>IFERROR(__xludf.DUMMYFUNCTION("""COMPUTED_VALUE"""),"B. 230/ Gunung Terang")</f>
        <v>B. 230/ Gunung Terang</v>
      </c>
      <c r="D744" s="13" t="str">
        <f>IFERROR(__xludf.DUMMYFUNCTION("""COMPUTED_VALUE"""),"K/26/020125/1")</f>
        <v>K/26/020125/1</v>
      </c>
      <c r="E744" s="14" t="str">
        <f>IFERROR(__xludf.DUMMYFUNCTION("""COMPUTED_VALUE"""),"Afriza (BT)")</f>
        <v>Afriza (BT)</v>
      </c>
      <c r="F744" s="14" t="str">
        <f>IFERROR(__xludf.DUMMYFUNCTION("""COMPUTED_VALUE"""),"SELESAI")</f>
        <v>SELESAI</v>
      </c>
      <c r="G744" s="17">
        <f>IFERROR(__xludf.DUMMYFUNCTION("""COMPUTED_VALUE"""),45663.5427843287)</f>
        <v>45663.54278</v>
      </c>
      <c r="H744" s="14" t="str">
        <f>IFERROR(__xludf.DUMMYFUNCTION("""COMPUTED_VALUE"""),"Bu Eva (SU)")</f>
        <v>Bu Eva (SU)</v>
      </c>
      <c r="I744" s="13" t="str">
        <f>IFERROR(__xludf.DUMMYFUNCTION("""COMPUTED_VALUE"""),"SELESAI")</f>
        <v>SELESAI</v>
      </c>
      <c r="J744" s="17">
        <f>IFERROR(__xludf.DUMMYFUNCTION("""COMPUTED_VALUE"""),45664.451291006946)</f>
        <v>45664.45129</v>
      </c>
      <c r="K744" s="13" t="str">
        <f>IFERROR(__xludf.DUMMYFUNCTION("""COMPUTED_VALUE"""),"SELESAI")</f>
        <v>SELESAI</v>
      </c>
      <c r="L744" s="17">
        <f>IFERROR(__xludf.DUMMYFUNCTION("""COMPUTED_VALUE"""),45664.451291006946)</f>
        <v>45664.45129</v>
      </c>
      <c r="M744" s="17" t="str">
        <f>IFERROR(__xludf.DUMMYFUNCTION("""COMPUTED_VALUE"""),"")</f>
        <v/>
      </c>
      <c r="N744" s="17">
        <f>IFERROR(__xludf.DUMMYFUNCTION("""COMPUTED_VALUE"""),45664.451321319444)</f>
        <v>45664.45132</v>
      </c>
      <c r="O744" s="13">
        <f t="shared" si="1"/>
        <v>5</v>
      </c>
    </row>
    <row r="745" ht="22.5" customHeight="1">
      <c r="B745" s="13">
        <f>IFERROR(__xludf.DUMMYFUNCTION("""COMPUTED_VALUE"""),740.0)</f>
        <v>740</v>
      </c>
      <c r="C745" s="13" t="str">
        <f>IFERROR(__xludf.DUMMYFUNCTION("""COMPUTED_VALUE"""),"M. 1434/ Sumur Putri")</f>
        <v>M. 1434/ Sumur Putri</v>
      </c>
      <c r="D745" s="13" t="str">
        <f>IFERROR(__xludf.DUMMYFUNCTION("""COMPUTED_VALUE"""),"K/27/020125/3")</f>
        <v>K/27/020125/3</v>
      </c>
      <c r="E745" s="14" t="str">
        <f>IFERROR(__xludf.DUMMYFUNCTION("""COMPUTED_VALUE"""),"Afriza (BT)")</f>
        <v>Afriza (BT)</v>
      </c>
      <c r="F745" s="14" t="str">
        <f>IFERROR(__xludf.DUMMYFUNCTION("""COMPUTED_VALUE"""),"SELESAI")</f>
        <v>SELESAI</v>
      </c>
      <c r="G745" s="17">
        <f>IFERROR(__xludf.DUMMYFUNCTION("""COMPUTED_VALUE"""),45663.54439769676)</f>
        <v>45663.5444</v>
      </c>
      <c r="H745" s="14" t="str">
        <f>IFERROR(__xludf.DUMMYFUNCTION("""COMPUTED_VALUE"""),"Bu Eva (SU)")</f>
        <v>Bu Eva (SU)</v>
      </c>
      <c r="I745" s="13" t="str">
        <f>IFERROR(__xludf.DUMMYFUNCTION("""COMPUTED_VALUE"""),"SELESAI")</f>
        <v>SELESAI</v>
      </c>
      <c r="J745" s="17">
        <f>IFERROR(__xludf.DUMMYFUNCTION("""COMPUTED_VALUE"""),45664.451519953705)</f>
        <v>45664.45152</v>
      </c>
      <c r="K745" s="13" t="str">
        <f>IFERROR(__xludf.DUMMYFUNCTION("""COMPUTED_VALUE"""),"SELESAI")</f>
        <v>SELESAI</v>
      </c>
      <c r="L745" s="17">
        <f>IFERROR(__xludf.DUMMYFUNCTION("""COMPUTED_VALUE"""),45664.451519953705)</f>
        <v>45664.45152</v>
      </c>
      <c r="M745" s="17" t="str">
        <f>IFERROR(__xludf.DUMMYFUNCTION("""COMPUTED_VALUE"""),"")</f>
        <v/>
      </c>
      <c r="N745" s="17">
        <f>IFERROR(__xludf.DUMMYFUNCTION("""COMPUTED_VALUE"""),45664.451544282405)</f>
        <v>45664.45154</v>
      </c>
      <c r="O745" s="13">
        <f t="shared" si="1"/>
        <v>6</v>
      </c>
    </row>
    <row r="746" ht="22.5" customHeight="1">
      <c r="B746" s="13">
        <f>IFERROR(__xludf.DUMMYFUNCTION("""COMPUTED_VALUE"""),741.0)</f>
        <v>741</v>
      </c>
      <c r="C746" s="13" t="str">
        <f>IFERROR(__xludf.DUMMYFUNCTION("""COMPUTED_VALUE"""),"M. 930/ Durian Payung")</f>
        <v>M. 930/ Durian Payung</v>
      </c>
      <c r="D746" s="13" t="str">
        <f>IFERROR(__xludf.DUMMYFUNCTION("""COMPUTED_VALUE"""),"K/31/020125/1")</f>
        <v>K/31/020125/1</v>
      </c>
      <c r="E746" s="14" t="str">
        <f>IFERROR(__xludf.DUMMYFUNCTION("""COMPUTED_VALUE"""),"Afriza (BT)")</f>
        <v>Afriza (BT)</v>
      </c>
      <c r="F746" s="14" t="str">
        <f>IFERROR(__xludf.DUMMYFUNCTION("""COMPUTED_VALUE"""),"SELESAI")</f>
        <v>SELESAI</v>
      </c>
      <c r="G746" s="17">
        <f>IFERROR(__xludf.DUMMYFUNCTION("""COMPUTED_VALUE"""),45663.54902175926)</f>
        <v>45663.54902</v>
      </c>
      <c r="H746" s="14" t="str">
        <f>IFERROR(__xludf.DUMMYFUNCTION("""COMPUTED_VALUE"""),"Bu Eva (SU)")</f>
        <v>Bu Eva (SU)</v>
      </c>
      <c r="I746" s="13" t="str">
        <f>IFERROR(__xludf.DUMMYFUNCTION("""COMPUTED_VALUE"""),"SELESAI")</f>
        <v>SELESAI</v>
      </c>
      <c r="J746" s="17">
        <f>IFERROR(__xludf.DUMMYFUNCTION("""COMPUTED_VALUE"""),45664.451803668984)</f>
        <v>45664.4518</v>
      </c>
      <c r="K746" s="13" t="str">
        <f>IFERROR(__xludf.DUMMYFUNCTION("""COMPUTED_VALUE"""),"SELESAI")</f>
        <v>SELESAI</v>
      </c>
      <c r="L746" s="17">
        <f>IFERROR(__xludf.DUMMYFUNCTION("""COMPUTED_VALUE"""),45664.451803668984)</f>
        <v>45664.4518</v>
      </c>
      <c r="M746" s="17" t="str">
        <f>IFERROR(__xludf.DUMMYFUNCTION("""COMPUTED_VALUE"""),"")</f>
        <v/>
      </c>
      <c r="N746" s="17">
        <f>IFERROR(__xludf.DUMMYFUNCTION("""COMPUTED_VALUE"""),45664.45185693287)</f>
        <v>45664.45186</v>
      </c>
      <c r="O746" s="13">
        <f t="shared" si="1"/>
        <v>7</v>
      </c>
    </row>
    <row r="747" ht="22.5" customHeight="1">
      <c r="B747" s="13">
        <f>IFERROR(__xludf.DUMMYFUNCTION("""COMPUTED_VALUE"""),742.0)</f>
        <v>742</v>
      </c>
      <c r="C747" s="13" t="str">
        <f>IFERROR(__xludf.DUMMYFUNCTION("""COMPUTED_VALUE"""),"B. 865/ Keteguhan")</f>
        <v>B. 865/ Keteguhan</v>
      </c>
      <c r="D747" s="13" t="str">
        <f>IFERROR(__xludf.DUMMYFUNCTION("""COMPUTED_VALUE"""),"K/18/020125/1")</f>
        <v>K/18/020125/1</v>
      </c>
      <c r="E747" s="14" t="str">
        <f>IFERROR(__xludf.DUMMYFUNCTION("""COMPUTED_VALUE"""),"Afriza (BT)")</f>
        <v>Afriza (BT)</v>
      </c>
      <c r="F747" s="14" t="str">
        <f>IFERROR(__xludf.DUMMYFUNCTION("""COMPUTED_VALUE"""),"SELESAI")</f>
        <v>SELESAI</v>
      </c>
      <c r="G747" s="17">
        <f>IFERROR(__xludf.DUMMYFUNCTION("""COMPUTED_VALUE"""),45663.55020848379)</f>
        <v>45663.55021</v>
      </c>
      <c r="H747" s="14" t="str">
        <f>IFERROR(__xludf.DUMMYFUNCTION("""COMPUTED_VALUE"""),"Bu Eva (SU)")</f>
        <v>Bu Eva (SU)</v>
      </c>
      <c r="I747" s="13" t="str">
        <f>IFERROR(__xludf.DUMMYFUNCTION("""COMPUTED_VALUE"""),"SELESAI")</f>
        <v>SELESAI</v>
      </c>
      <c r="J747" s="17">
        <f>IFERROR(__xludf.DUMMYFUNCTION("""COMPUTED_VALUE"""),45664.452124143514)</f>
        <v>45664.45212</v>
      </c>
      <c r="K747" s="13" t="str">
        <f>IFERROR(__xludf.DUMMYFUNCTION("""COMPUTED_VALUE"""),"SELESAI")</f>
        <v>SELESAI</v>
      </c>
      <c r="L747" s="17">
        <f>IFERROR(__xludf.DUMMYFUNCTION("""COMPUTED_VALUE"""),45664.452124143514)</f>
        <v>45664.45212</v>
      </c>
      <c r="M747" s="17" t="str">
        <f>IFERROR(__xludf.DUMMYFUNCTION("""COMPUTED_VALUE"""),"")</f>
        <v/>
      </c>
      <c r="N747" s="17">
        <f>IFERROR(__xludf.DUMMYFUNCTION("""COMPUTED_VALUE"""),45664.452170335644)</f>
        <v>45664.45217</v>
      </c>
      <c r="O747" s="13">
        <f t="shared" si="1"/>
        <v>8</v>
      </c>
    </row>
    <row r="748" ht="22.5" customHeight="1">
      <c r="B748" s="13">
        <f>IFERROR(__xludf.DUMMYFUNCTION("""COMPUTED_VALUE"""),743.0)</f>
        <v>743</v>
      </c>
      <c r="C748" s="13" t="str">
        <f>IFERROR(__xludf.DUMMYFUNCTION("""COMPUTED_VALUE"""),"M. 168/ Perumnas Way Kandis")</f>
        <v>M. 168/ Perumnas Way Kandis</v>
      </c>
      <c r="D748" s="13" t="str">
        <f>IFERROR(__xludf.DUMMYFUNCTION("""COMPUTED_VALUE"""),"K/23/020125/2")</f>
        <v>K/23/020125/2</v>
      </c>
      <c r="E748" s="14" t="str">
        <f>IFERROR(__xludf.DUMMYFUNCTION("""COMPUTED_VALUE"""),"Afriza (BT)")</f>
        <v>Afriza (BT)</v>
      </c>
      <c r="F748" s="14" t="str">
        <f>IFERROR(__xludf.DUMMYFUNCTION("""COMPUTED_VALUE"""),"SELESAI")</f>
        <v>SELESAI</v>
      </c>
      <c r="G748" s="17">
        <f>IFERROR(__xludf.DUMMYFUNCTION("""COMPUTED_VALUE"""),45663.55159646991)</f>
        <v>45663.5516</v>
      </c>
      <c r="H748" s="14" t="str">
        <f>IFERROR(__xludf.DUMMYFUNCTION("""COMPUTED_VALUE"""),"Bu Eva (SU)")</f>
        <v>Bu Eva (SU)</v>
      </c>
      <c r="I748" s="13" t="str">
        <f>IFERROR(__xludf.DUMMYFUNCTION("""COMPUTED_VALUE"""),"SELESAI")</f>
        <v>SELESAI</v>
      </c>
      <c r="J748" s="17">
        <f>IFERROR(__xludf.DUMMYFUNCTION("""COMPUTED_VALUE"""),45664.45214179398)</f>
        <v>45664.45214</v>
      </c>
      <c r="K748" s="13" t="str">
        <f>IFERROR(__xludf.DUMMYFUNCTION("""COMPUTED_VALUE"""),"SELESAI")</f>
        <v>SELESAI</v>
      </c>
      <c r="L748" s="17">
        <f>IFERROR(__xludf.DUMMYFUNCTION("""COMPUTED_VALUE"""),45664.45214179398)</f>
        <v>45664.45214</v>
      </c>
      <c r="M748" s="17" t="str">
        <f>IFERROR(__xludf.DUMMYFUNCTION("""COMPUTED_VALUE"""),"")</f>
        <v/>
      </c>
      <c r="N748" s="13" t="str">
        <f>IFERROR(__xludf.DUMMYFUNCTION("""COMPUTED_VALUE"""),"")</f>
        <v/>
      </c>
      <c r="O748" s="13" t="str">
        <f t="shared" si="1"/>
        <v/>
      </c>
    </row>
    <row r="749" ht="22.5" customHeight="1">
      <c r="B749" s="13">
        <f>IFERROR(__xludf.DUMMYFUNCTION("""COMPUTED_VALUE"""),744.0)</f>
        <v>744</v>
      </c>
      <c r="C749" s="13" t="str">
        <f>IFERROR(__xludf.DUMMYFUNCTION("""COMPUTED_VALUE"""),"M. 659, 658/ Pinang Jaya")</f>
        <v>M. 659, 658/ Pinang Jaya</v>
      </c>
      <c r="D749" s="13" t="str">
        <f>IFERROR(__xludf.DUMMYFUNCTION("""COMPUTED_VALUE"""),"K/25/020125/1")</f>
        <v>K/25/020125/1</v>
      </c>
      <c r="E749" s="14" t="str">
        <f>IFERROR(__xludf.DUMMYFUNCTION("""COMPUTED_VALUE"""),"Nadian (BT)")</f>
        <v>Nadian (BT)</v>
      </c>
      <c r="F749" s="14" t="str">
        <f>IFERROR(__xludf.DUMMYFUNCTION("""COMPUTED_VALUE"""),"SELESAI")</f>
        <v>SELESAI</v>
      </c>
      <c r="G749" s="17">
        <f>IFERROR(__xludf.DUMMYFUNCTION("""COMPUTED_VALUE"""),45663.661893344906)</f>
        <v>45663.66189</v>
      </c>
      <c r="H749" s="14" t="str">
        <f>IFERROR(__xludf.DUMMYFUNCTION("""COMPUTED_VALUE"""),"Bu Eva (SU)")</f>
        <v>Bu Eva (SU)</v>
      </c>
      <c r="I749" s="13" t="str">
        <f>IFERROR(__xludf.DUMMYFUNCTION("""COMPUTED_VALUE"""),"SELESAI")</f>
        <v>SELESAI</v>
      </c>
      <c r="J749" s="17">
        <f>IFERROR(__xludf.DUMMYFUNCTION("""COMPUTED_VALUE"""),45664.41097921296)</f>
        <v>45664.41098</v>
      </c>
      <c r="K749" s="13" t="str">
        <f>IFERROR(__xludf.DUMMYFUNCTION("""COMPUTED_VALUE"""),"SELESAI")</f>
        <v>SELESAI</v>
      </c>
      <c r="L749" s="17">
        <f>IFERROR(__xludf.DUMMYFUNCTION("""COMPUTED_VALUE"""),45664.41097921296)</f>
        <v>45664.41098</v>
      </c>
      <c r="M749" s="17" t="str">
        <f>IFERROR(__xludf.DUMMYFUNCTION("""COMPUTED_VALUE"""),"")</f>
        <v/>
      </c>
      <c r="N749" s="17">
        <f>IFERROR(__xludf.DUMMYFUNCTION("""COMPUTED_VALUE"""),45664.41099993055)</f>
        <v>45664.411</v>
      </c>
      <c r="O749" s="13">
        <f t="shared" si="1"/>
        <v>1</v>
      </c>
    </row>
    <row r="750" ht="22.5" customHeight="1">
      <c r="B750" s="13">
        <f>IFERROR(__xludf.DUMMYFUNCTION("""COMPUTED_VALUE"""),745.0)</f>
        <v>745</v>
      </c>
      <c r="C750" s="13" t="str">
        <f>IFERROR(__xludf.DUMMYFUNCTION("""COMPUTED_VALUE"""),"HM 2379/PANJANG UTARA")</f>
        <v>HM 2379/PANJANG UTARA</v>
      </c>
      <c r="D750" s="13" t="str">
        <f>IFERROR(__xludf.DUMMYFUNCTION("""COMPUTED_VALUE"""),"L/11/020125/1")</f>
        <v>L/11/020125/1</v>
      </c>
      <c r="E750" s="14" t="str">
        <f>IFERROR(__xludf.DUMMYFUNCTION("""COMPUTED_VALUE"""),"Nadian (BT)")</f>
        <v>Nadian (BT)</v>
      </c>
      <c r="F750" s="14" t="str">
        <f>IFERROR(__xludf.DUMMYFUNCTION("""COMPUTED_VALUE"""),"SELESAI")</f>
        <v>SELESAI</v>
      </c>
      <c r="G750" s="17">
        <f>IFERROR(__xludf.DUMMYFUNCTION("""COMPUTED_VALUE"""),45663.66214699074)</f>
        <v>45663.66215</v>
      </c>
      <c r="H750" s="14" t="str">
        <f>IFERROR(__xludf.DUMMYFUNCTION("""COMPUTED_VALUE"""),"Bu Eva (SU)")</f>
        <v>Bu Eva (SU)</v>
      </c>
      <c r="I750" s="13" t="str">
        <f>IFERROR(__xludf.DUMMYFUNCTION("""COMPUTED_VALUE"""),"SELESAI")</f>
        <v>SELESAI</v>
      </c>
      <c r="J750" s="17">
        <f>IFERROR(__xludf.DUMMYFUNCTION("""COMPUTED_VALUE"""),45664.44985385417)</f>
        <v>45664.44985</v>
      </c>
      <c r="K750" s="13" t="str">
        <f>IFERROR(__xludf.DUMMYFUNCTION("""COMPUTED_VALUE"""),"SELESAI")</f>
        <v>SELESAI</v>
      </c>
      <c r="L750" s="17">
        <f>IFERROR(__xludf.DUMMYFUNCTION("""COMPUTED_VALUE"""),45664.44985385417)</f>
        <v>45664.44985</v>
      </c>
      <c r="M750" s="17" t="str">
        <f>IFERROR(__xludf.DUMMYFUNCTION("""COMPUTED_VALUE"""),"")</f>
        <v/>
      </c>
      <c r="N750" s="17">
        <f>IFERROR(__xludf.DUMMYFUNCTION("""COMPUTED_VALUE"""),45664.44988539352)</f>
        <v>45664.44989</v>
      </c>
      <c r="O750" s="13">
        <f t="shared" si="1"/>
        <v>2</v>
      </c>
    </row>
    <row r="751" ht="22.5" customHeight="1">
      <c r="B751" s="13">
        <f>IFERROR(__xludf.DUMMYFUNCTION("""COMPUTED_VALUE"""),746.0)</f>
        <v>746</v>
      </c>
      <c r="C751" s="13" t="str">
        <f>IFERROR(__xludf.DUMMYFUNCTION("""COMPUTED_VALUE"""),"B. 3472/ Sukarame")</f>
        <v>B. 3472/ Sukarame</v>
      </c>
      <c r="D751" s="13" t="str">
        <f>IFERROR(__xludf.DUMMYFUNCTION("""COMPUTED_VALUE"""),"K/4/020125/1")</f>
        <v>K/4/020125/1</v>
      </c>
      <c r="E751" s="14" t="str">
        <f>IFERROR(__xludf.DUMMYFUNCTION("""COMPUTED_VALUE"""),"Nadian (BT)")</f>
        <v>Nadian (BT)</v>
      </c>
      <c r="F751" s="14" t="str">
        <f>IFERROR(__xludf.DUMMYFUNCTION("""COMPUTED_VALUE"""),"SELESAI")</f>
        <v>SELESAI</v>
      </c>
      <c r="G751" s="17">
        <f>IFERROR(__xludf.DUMMYFUNCTION("""COMPUTED_VALUE"""),45663.66214699074)</f>
        <v>45663.66215</v>
      </c>
      <c r="H751" s="14" t="str">
        <f>IFERROR(__xludf.DUMMYFUNCTION("""COMPUTED_VALUE"""),"Bu Eva (SU)")</f>
        <v>Bu Eva (SU)</v>
      </c>
      <c r="I751" s="13" t="str">
        <f>IFERROR(__xludf.DUMMYFUNCTION("""COMPUTED_VALUE"""),"SELESAI")</f>
        <v>SELESAI</v>
      </c>
      <c r="J751" s="17">
        <f>IFERROR(__xludf.DUMMYFUNCTION("""COMPUTED_VALUE"""),45664.41071232639)</f>
        <v>45664.41071</v>
      </c>
      <c r="K751" s="13" t="str">
        <f>IFERROR(__xludf.DUMMYFUNCTION("""COMPUTED_VALUE"""),"SELESAI")</f>
        <v>SELESAI</v>
      </c>
      <c r="L751" s="17">
        <f>IFERROR(__xludf.DUMMYFUNCTION("""COMPUTED_VALUE"""),45664.41071232639)</f>
        <v>45664.41071</v>
      </c>
      <c r="M751" s="17" t="str">
        <f>IFERROR(__xludf.DUMMYFUNCTION("""COMPUTED_VALUE"""),"")</f>
        <v/>
      </c>
      <c r="N751" s="17">
        <f>IFERROR(__xludf.DUMMYFUNCTION("""COMPUTED_VALUE"""),45664.41066465278)</f>
        <v>45664.41066</v>
      </c>
      <c r="O751" s="13">
        <f t="shared" si="1"/>
        <v>3</v>
      </c>
    </row>
    <row r="752" ht="22.5" customHeight="1">
      <c r="B752" s="13">
        <f>IFERROR(__xludf.DUMMYFUNCTION("""COMPUTED_VALUE"""),747.0)</f>
        <v>747</v>
      </c>
      <c r="C752" s="13" t="str">
        <f>IFERROR(__xludf.DUMMYFUNCTION("""COMPUTED_VALUE"""),"HM 134/GUNUNG TERANG")</f>
        <v>HM 134/GUNUNG TERANG</v>
      </c>
      <c r="D752" s="13" t="str">
        <f>IFERROR(__xludf.DUMMYFUNCTION("""COMPUTED_VALUE"""),"L/14/020125/1")</f>
        <v>L/14/020125/1</v>
      </c>
      <c r="E752" s="14" t="str">
        <f>IFERROR(__xludf.DUMMYFUNCTION("""COMPUTED_VALUE"""),"Nadian (BT)")</f>
        <v>Nadian (BT)</v>
      </c>
      <c r="F752" s="14" t="str">
        <f>IFERROR(__xludf.DUMMYFUNCTION("""COMPUTED_VALUE"""),"SELESAI")</f>
        <v>SELESAI</v>
      </c>
      <c r="G752" s="17">
        <f>IFERROR(__xludf.DUMMYFUNCTION("""COMPUTED_VALUE"""),45663.66214699074)</f>
        <v>45663.66215</v>
      </c>
      <c r="H752" s="14" t="str">
        <f>IFERROR(__xludf.DUMMYFUNCTION("""COMPUTED_VALUE"""),"Bu Eva (SU)")</f>
        <v>Bu Eva (SU)</v>
      </c>
      <c r="I752" s="13" t="str">
        <f>IFERROR(__xludf.DUMMYFUNCTION("""COMPUTED_VALUE"""),"SELESAI")</f>
        <v>SELESAI</v>
      </c>
      <c r="J752" s="17">
        <f>IFERROR(__xludf.DUMMYFUNCTION("""COMPUTED_VALUE"""),45664.41045708333)</f>
        <v>45664.41046</v>
      </c>
      <c r="K752" s="13" t="str">
        <f>IFERROR(__xludf.DUMMYFUNCTION("""COMPUTED_VALUE"""),"SELESAI")</f>
        <v>SELESAI</v>
      </c>
      <c r="L752" s="17">
        <f>IFERROR(__xludf.DUMMYFUNCTION("""COMPUTED_VALUE"""),45664.41045708333)</f>
        <v>45664.41046</v>
      </c>
      <c r="M752" s="17" t="str">
        <f>IFERROR(__xludf.DUMMYFUNCTION("""COMPUTED_VALUE"""),"")</f>
        <v/>
      </c>
      <c r="N752" s="17">
        <f>IFERROR(__xludf.DUMMYFUNCTION("""COMPUTED_VALUE"""),45664.4104691088)</f>
        <v>45664.41047</v>
      </c>
      <c r="O752" s="13">
        <f t="shared" si="1"/>
        <v>4</v>
      </c>
    </row>
    <row r="753" ht="22.5" customHeight="1">
      <c r="B753" s="13">
        <f>IFERROR(__xludf.DUMMYFUNCTION("""COMPUTED_VALUE"""),748.0)</f>
        <v>748</v>
      </c>
      <c r="C753" s="13" t="str">
        <f>IFERROR(__xludf.DUMMYFUNCTION("""COMPUTED_VALUE"""),"M. 1141/ Bumi Kedamaian")</f>
        <v>M. 1141/ Bumi Kedamaian</v>
      </c>
      <c r="D753" s="13" t="str">
        <f>IFERROR(__xludf.DUMMYFUNCTION("""COMPUTED_VALUE"""),"K/16/020125/1")</f>
        <v>K/16/020125/1</v>
      </c>
      <c r="E753" s="14" t="str">
        <f>IFERROR(__xludf.DUMMYFUNCTION("""COMPUTED_VALUE"""),"Nadian (BT)")</f>
        <v>Nadian (BT)</v>
      </c>
      <c r="F753" s="14" t="str">
        <f>IFERROR(__xludf.DUMMYFUNCTION("""COMPUTED_VALUE"""),"SELESAI")</f>
        <v>SELESAI</v>
      </c>
      <c r="G753" s="17">
        <f>IFERROR(__xludf.DUMMYFUNCTION("""COMPUTED_VALUE"""),45663.66214699074)</f>
        <v>45663.66215</v>
      </c>
      <c r="H753" s="14" t="str">
        <f>IFERROR(__xludf.DUMMYFUNCTION("""COMPUTED_VALUE"""),"Bu Eva (SU)")</f>
        <v>Bu Eva (SU)</v>
      </c>
      <c r="I753" s="13" t="str">
        <f>IFERROR(__xludf.DUMMYFUNCTION("""COMPUTED_VALUE"""),"SELESAI")</f>
        <v>SELESAI</v>
      </c>
      <c r="J753" s="17">
        <f>IFERROR(__xludf.DUMMYFUNCTION("""COMPUTED_VALUE"""),45664.4500944676)</f>
        <v>45664.45009</v>
      </c>
      <c r="K753" s="13" t="str">
        <f>IFERROR(__xludf.DUMMYFUNCTION("""COMPUTED_VALUE"""),"SELESAI")</f>
        <v>SELESAI</v>
      </c>
      <c r="L753" s="17">
        <f>IFERROR(__xludf.DUMMYFUNCTION("""COMPUTED_VALUE"""),45664.4500944676)</f>
        <v>45664.45009</v>
      </c>
      <c r="M753" s="17" t="str">
        <f>IFERROR(__xludf.DUMMYFUNCTION("""COMPUTED_VALUE"""),"")</f>
        <v/>
      </c>
      <c r="N753" s="17">
        <f>IFERROR(__xludf.DUMMYFUNCTION("""COMPUTED_VALUE"""),45664.45012594908)</f>
        <v>45664.45013</v>
      </c>
      <c r="O753" s="13">
        <f t="shared" si="1"/>
        <v>5</v>
      </c>
    </row>
    <row r="754" ht="22.5" customHeight="1">
      <c r="B754" s="13">
        <f>IFERROR(__xludf.DUMMYFUNCTION("""COMPUTED_VALUE"""),749.0)</f>
        <v>749</v>
      </c>
      <c r="C754" s="13" t="str">
        <f>IFERROR(__xludf.DUMMYFUNCTION("""COMPUTED_VALUE"""),"M. 1492/ Kemiling Raya")</f>
        <v>M. 1492/ Kemiling Raya</v>
      </c>
      <c r="D754" s="13" t="str">
        <f>IFERROR(__xludf.DUMMYFUNCTION("""COMPUTED_VALUE"""),"")</f>
        <v/>
      </c>
      <c r="E754" s="14" t="str">
        <f>IFERROR(__xludf.DUMMYFUNCTION("""COMPUTED_VALUE"""),"Nadian (BT)")</f>
        <v>Nadian (BT)</v>
      </c>
      <c r="F754" s="14" t="str">
        <f>IFERROR(__xludf.DUMMYFUNCTION("""COMPUTED_VALUE"""),"SELESAI")</f>
        <v>SELESAI</v>
      </c>
      <c r="G754" s="17">
        <f>IFERROR(__xludf.DUMMYFUNCTION("""COMPUTED_VALUE"""),45663.66214699074)</f>
        <v>45663.66215</v>
      </c>
      <c r="H754" s="14" t="str">
        <f>IFERROR(__xludf.DUMMYFUNCTION("""COMPUTED_VALUE"""),"Bu Eva (SU)")</f>
        <v>Bu Eva (SU)</v>
      </c>
      <c r="I754" s="13" t="str">
        <f>IFERROR(__xludf.DUMMYFUNCTION("""COMPUTED_VALUE"""),"SELESAI")</f>
        <v>SELESAI</v>
      </c>
      <c r="J754" s="17">
        <f>IFERROR(__xludf.DUMMYFUNCTION("""COMPUTED_VALUE"""),45664.40858488426)</f>
        <v>45664.40858</v>
      </c>
      <c r="K754" s="13" t="str">
        <f>IFERROR(__xludf.DUMMYFUNCTION("""COMPUTED_VALUE"""),"")</f>
        <v/>
      </c>
      <c r="L754" s="13" t="str">
        <f>IFERROR(__xludf.DUMMYFUNCTION("""COMPUTED_VALUE"""),"")</f>
        <v/>
      </c>
      <c r="M754" s="17" t="str">
        <f>IFERROR(__xludf.DUMMYFUNCTION("""COMPUTED_VALUE"""),"")</f>
        <v/>
      </c>
      <c r="N754" s="17">
        <f>IFERROR(__xludf.DUMMYFUNCTION("""COMPUTED_VALUE"""),45664.408602916665)</f>
        <v>45664.4086</v>
      </c>
      <c r="O754" s="13">
        <f t="shared" si="1"/>
        <v>6</v>
      </c>
    </row>
    <row r="755" ht="22.5" customHeight="1">
      <c r="B755" s="13">
        <f>IFERROR(__xludf.DUMMYFUNCTION("""COMPUTED_VALUE"""),750.0)</f>
        <v>750</v>
      </c>
      <c r="C755" s="13" t="str">
        <f>IFERROR(__xludf.DUMMYFUNCTION("""COMPUTED_VALUE"""),"M. 2640/ Sumber Agung")</f>
        <v>M. 2640/ Sumber Agung</v>
      </c>
      <c r="D755" s="13" t="str">
        <f>IFERROR(__xludf.DUMMYFUNCTION("""COMPUTED_VALUE"""),"K/31/311224/1")</f>
        <v>K/31/311224/1</v>
      </c>
      <c r="E755" s="14" t="str">
        <f>IFERROR(__xludf.DUMMYFUNCTION("""COMPUTED_VALUE"""),"Nadian (BT)")</f>
        <v>Nadian (BT)</v>
      </c>
      <c r="F755" s="14" t="str">
        <f>IFERROR(__xludf.DUMMYFUNCTION("""COMPUTED_VALUE"""),"SELESAI")</f>
        <v>SELESAI</v>
      </c>
      <c r="G755" s="17">
        <f>IFERROR(__xludf.DUMMYFUNCTION("""COMPUTED_VALUE"""),45663.66214699074)</f>
        <v>45663.66215</v>
      </c>
      <c r="H755" s="14"/>
      <c r="I755" s="13"/>
      <c r="J755" s="17" t="str">
        <f>IFERROR(__xludf.DUMMYFUNCTION("""COMPUTED_VALUE"""),"")</f>
        <v/>
      </c>
      <c r="K755" s="13" t="str">
        <f>IFERROR(__xludf.DUMMYFUNCTION("""COMPUTED_VALUE"""),"BT atau SU Belum Valid")</f>
        <v>BT atau SU Belum Valid</v>
      </c>
      <c r="L755" s="13" t="str">
        <f>IFERROR(__xludf.DUMMYFUNCTION("""COMPUTED_VALUE"""),"")</f>
        <v/>
      </c>
      <c r="M755" s="17" t="str">
        <f>IFERROR(__xludf.DUMMYFUNCTION("""COMPUTED_VALUE"""),"")</f>
        <v/>
      </c>
      <c r="N755" s="13" t="str">
        <f>IFERROR(__xludf.DUMMYFUNCTION("""COMPUTED_VALUE"""),"")</f>
        <v/>
      </c>
      <c r="O755" s="13" t="str">
        <f t="shared" si="1"/>
        <v/>
      </c>
    </row>
    <row r="756" ht="22.5" customHeight="1">
      <c r="B756" s="13">
        <f>IFERROR(__xludf.DUMMYFUNCTION("""COMPUTED_VALUE"""),751.0)</f>
        <v>751</v>
      </c>
      <c r="C756" s="13" t="str">
        <f>IFERROR(__xludf.DUMMYFUNCTION("""COMPUTED_VALUE"""),"B. 645/ Jagabaya III; 216/Sukarame-dahulu")</f>
        <v>B. 645/ Jagabaya III; 216/Sukarame-dahulu</v>
      </c>
      <c r="D756" s="13" t="str">
        <f>IFERROR(__xludf.DUMMYFUNCTION("""COMPUTED_VALUE"""),"K/13/231024/1")</f>
        <v>K/13/231024/1</v>
      </c>
      <c r="E756" s="14" t="str">
        <f>IFERROR(__xludf.DUMMYFUNCTION("""COMPUTED_VALUE"""),"Nadian (BT)")</f>
        <v>Nadian (BT)</v>
      </c>
      <c r="F756" s="14" t="str">
        <f>IFERROR(__xludf.DUMMYFUNCTION("""COMPUTED_VALUE"""),"SELESAI")</f>
        <v>SELESAI</v>
      </c>
      <c r="G756" s="17">
        <f>IFERROR(__xludf.DUMMYFUNCTION("""COMPUTED_VALUE"""),45663.66214699074)</f>
        <v>45663.66215</v>
      </c>
      <c r="H756" s="14"/>
      <c r="I756" s="13"/>
      <c r="J756" s="17" t="str">
        <f>IFERROR(__xludf.DUMMYFUNCTION("""COMPUTED_VALUE"""),"")</f>
        <v/>
      </c>
      <c r="K756" s="13" t="str">
        <f>IFERROR(__xludf.DUMMYFUNCTION("""COMPUTED_VALUE"""),"BT atau SU Belum Valid")</f>
        <v>BT atau SU Belum Valid</v>
      </c>
      <c r="L756" s="13" t="str">
        <f>IFERROR(__xludf.DUMMYFUNCTION("""COMPUTED_VALUE"""),"")</f>
        <v/>
      </c>
      <c r="M756" s="17" t="str">
        <f>IFERROR(__xludf.DUMMYFUNCTION("""COMPUTED_VALUE"""),"")</f>
        <v/>
      </c>
      <c r="N756" s="13" t="str">
        <f>IFERROR(__xludf.DUMMYFUNCTION("""COMPUTED_VALUE"""),"")</f>
        <v/>
      </c>
      <c r="O756" s="13" t="str">
        <f t="shared" si="1"/>
        <v/>
      </c>
    </row>
    <row r="757" ht="22.5" customHeight="1">
      <c r="B757" s="13">
        <f>IFERROR(__xludf.DUMMYFUNCTION("""COMPUTED_VALUE"""),752.0)</f>
        <v>752</v>
      </c>
      <c r="C757" s="13" t="str">
        <f>IFERROR(__xludf.DUMMYFUNCTION("""COMPUTED_VALUE"""),"M. 2642/ Sumber Agung")</f>
        <v>M. 2642/ Sumber Agung</v>
      </c>
      <c r="D757" s="13" t="str">
        <f>IFERROR(__xludf.DUMMYFUNCTION("""COMPUTED_VALUE"""),"K/32/311224/2")</f>
        <v>K/32/311224/2</v>
      </c>
      <c r="E757" s="14" t="str">
        <f>IFERROR(__xludf.DUMMYFUNCTION("""COMPUTED_VALUE"""),"Afriza (BT)")</f>
        <v>Afriza (BT)</v>
      </c>
      <c r="F757" s="14" t="str">
        <f>IFERROR(__xludf.DUMMYFUNCTION("""COMPUTED_VALUE"""),"SELESAI (VIA PERMOHONAN)")</f>
        <v>SELESAI (VIA PERMOHONAN)</v>
      </c>
      <c r="G757" s="17">
        <f>IFERROR(__xludf.DUMMYFUNCTION("""COMPUTED_VALUE"""),45663.66214699074)</f>
        <v>45663.66215</v>
      </c>
      <c r="H757" s="14" t="str">
        <f>IFERROR(__xludf.DUMMYFUNCTION("""COMPUTED_VALUE"""),"Aprill (SU)")</f>
        <v>Aprill (SU)</v>
      </c>
      <c r="I757" s="13" t="str">
        <f>IFERROR(__xludf.DUMMYFUNCTION("""COMPUTED_VALUE"""),"SELESAI (VIA PERMOHONAN)")</f>
        <v>SELESAI (VIA PERMOHONAN)</v>
      </c>
      <c r="J757" s="17">
        <f>IFERROR(__xludf.DUMMYFUNCTION("""COMPUTED_VALUE"""),45664.361435405095)</f>
        <v>45664.36144</v>
      </c>
      <c r="K757" s="13" t="str">
        <f>IFERROR(__xludf.DUMMYFUNCTION("""COMPUTED_VALUE"""),"Selesai")</f>
        <v>Selesai</v>
      </c>
      <c r="L757" s="17">
        <f>IFERROR(__xludf.DUMMYFUNCTION("""COMPUTED_VALUE"""),45664.361435405095)</f>
        <v>45664.36144</v>
      </c>
      <c r="M757" s="17">
        <f>IFERROR(__xludf.DUMMYFUNCTION("""COMPUTED_VALUE"""),45664.361435405095)</f>
        <v>45664.36144</v>
      </c>
      <c r="N757" s="13" t="str">
        <f>IFERROR(__xludf.DUMMYFUNCTION("""COMPUTED_VALUE"""),"")</f>
        <v/>
      </c>
      <c r="O757" s="13" t="str">
        <f t="shared" si="1"/>
        <v/>
      </c>
    </row>
    <row r="758" ht="22.5" customHeight="1">
      <c r="B758" s="13">
        <f>IFERROR(__xludf.DUMMYFUNCTION("""COMPUTED_VALUE"""),753.0)</f>
        <v>753</v>
      </c>
      <c r="C758" s="13" t="str">
        <f>IFERROR(__xludf.DUMMYFUNCTION("""COMPUTED_VALUE"""),"M. 12408/ Sukabumi")</f>
        <v>M. 12408/ Sukabumi</v>
      </c>
      <c r="D758" s="13" t="str">
        <f>IFERROR(__xludf.DUMMYFUNCTION("""COMPUTED_VALUE"""),"K/33/271224/1")</f>
        <v>K/33/271224/1</v>
      </c>
      <c r="E758" s="14" t="str">
        <f>IFERROR(__xludf.DUMMYFUNCTION("""COMPUTED_VALUE"""),"Afriza (BT)")</f>
        <v>Afriza (BT)</v>
      </c>
      <c r="F758" s="14" t="str">
        <f>IFERROR(__xludf.DUMMYFUNCTION("""COMPUTED_VALUE"""),"SELESAI (VIA PERMOHONAN)")</f>
        <v>SELESAI (VIA PERMOHONAN)</v>
      </c>
      <c r="G758" s="17">
        <f>IFERROR(__xludf.DUMMYFUNCTION("""COMPUTED_VALUE"""),45663.67085846065)</f>
        <v>45663.67086</v>
      </c>
      <c r="H758" s="14" t="str">
        <f>IFERROR(__xludf.DUMMYFUNCTION("""COMPUTED_VALUE"""),"Aprill (SU)")</f>
        <v>Aprill (SU)</v>
      </c>
      <c r="I758" s="13" t="str">
        <f>IFERROR(__xludf.DUMMYFUNCTION("""COMPUTED_VALUE"""),"SELESAI (VIA PERMOHONAN)")</f>
        <v>SELESAI (VIA PERMOHONAN)</v>
      </c>
      <c r="J758" s="17">
        <f>IFERROR(__xludf.DUMMYFUNCTION("""COMPUTED_VALUE"""),45664.361435405095)</f>
        <v>45664.36144</v>
      </c>
      <c r="K758" s="13" t="str">
        <f>IFERROR(__xludf.DUMMYFUNCTION("""COMPUTED_VALUE"""),"Selesai")</f>
        <v>Selesai</v>
      </c>
      <c r="L758" s="17">
        <f>IFERROR(__xludf.DUMMYFUNCTION("""COMPUTED_VALUE"""),45664.361435405095)</f>
        <v>45664.36144</v>
      </c>
      <c r="M758" s="17">
        <f>IFERROR(__xludf.DUMMYFUNCTION("""COMPUTED_VALUE"""),45664.361435405095)</f>
        <v>45664.36144</v>
      </c>
      <c r="N758" s="17">
        <f>IFERROR(__xludf.DUMMYFUNCTION("""COMPUTED_VALUE"""),45664.42767965278)</f>
        <v>45664.42768</v>
      </c>
      <c r="O758" s="13">
        <f t="shared" si="1"/>
        <v>1</v>
      </c>
    </row>
    <row r="759" ht="22.5" customHeight="1">
      <c r="B759" s="13">
        <f>IFERROR(__xludf.DUMMYFUNCTION("""COMPUTED_VALUE"""),754.0)</f>
        <v>754</v>
      </c>
      <c r="C759" s="13" t="str">
        <f>IFERROR(__xludf.DUMMYFUNCTION("""COMPUTED_VALUE"""),"B. 1701/ Sukarame")</f>
        <v>B. 1701/ Sukarame</v>
      </c>
      <c r="D759" s="13" t="str">
        <f>IFERROR(__xludf.DUMMYFUNCTION("""COMPUTED_VALUE"""),"K/25/231224/3")</f>
        <v>K/25/231224/3</v>
      </c>
      <c r="E759" s="14" t="str">
        <f>IFERROR(__xludf.DUMMYFUNCTION("""COMPUTED_VALUE"""),"Afriza (BT)")</f>
        <v>Afriza (BT)</v>
      </c>
      <c r="F759" s="14" t="str">
        <f>IFERROR(__xludf.DUMMYFUNCTION("""COMPUTED_VALUE"""),"SELESAI (VIA PERMOHONAN)")</f>
        <v>SELESAI (VIA PERMOHONAN)</v>
      </c>
      <c r="G759" s="17">
        <f>IFERROR(__xludf.DUMMYFUNCTION("""COMPUTED_VALUE"""),45663.67181642361)</f>
        <v>45663.67182</v>
      </c>
      <c r="H759" s="14" t="str">
        <f>IFERROR(__xludf.DUMMYFUNCTION("""COMPUTED_VALUE"""),"Aprill (SU)")</f>
        <v>Aprill (SU)</v>
      </c>
      <c r="I759" s="13" t="str">
        <f>IFERROR(__xludf.DUMMYFUNCTION("""COMPUTED_VALUE"""),"SELESAI (VIA PERMOHONAN)")</f>
        <v>SELESAI (VIA PERMOHONAN)</v>
      </c>
      <c r="J759" s="17">
        <f>IFERROR(__xludf.DUMMYFUNCTION("""COMPUTED_VALUE"""),45663.67186716435)</f>
        <v>45663.67187</v>
      </c>
      <c r="K759" s="13" t="str">
        <f>IFERROR(__xludf.DUMMYFUNCTION("""COMPUTED_VALUE"""),"Selesai")</f>
        <v>Selesai</v>
      </c>
      <c r="L759" s="17">
        <f>IFERROR(__xludf.DUMMYFUNCTION("""COMPUTED_VALUE"""),45663.67186716435)</f>
        <v>45663.67187</v>
      </c>
      <c r="M759" s="17">
        <f>IFERROR(__xludf.DUMMYFUNCTION("""COMPUTED_VALUE"""),45663.67191773148)</f>
        <v>45663.67192</v>
      </c>
      <c r="N759" s="13" t="str">
        <f>IFERROR(__xludf.DUMMYFUNCTION("""COMPUTED_VALUE"""),"")</f>
        <v/>
      </c>
      <c r="O759" s="13" t="str">
        <f t="shared" si="1"/>
        <v/>
      </c>
    </row>
    <row r="760" ht="22.5" customHeight="1">
      <c r="B760" s="13">
        <f>IFERROR(__xludf.DUMMYFUNCTION("""COMPUTED_VALUE"""),755.0)</f>
        <v>755</v>
      </c>
      <c r="C760" s="13" t="str">
        <f>IFERROR(__xludf.DUMMYFUNCTION("""COMPUTED_VALUE"""),"M. 3212/ Rajabasa Jaya")</f>
        <v>M. 3212/ Rajabasa Jaya</v>
      </c>
      <c r="D760" s="13" t="str">
        <f>IFERROR(__xludf.DUMMYFUNCTION("""COMPUTED_VALUE"""),"K/16/231224/2")</f>
        <v>K/16/231224/2</v>
      </c>
      <c r="E760" s="14" t="str">
        <f>IFERROR(__xludf.DUMMYFUNCTION("""COMPUTED_VALUE"""),"Afriza (BT)")</f>
        <v>Afriza (BT)</v>
      </c>
      <c r="F760" s="14" t="str">
        <f>IFERROR(__xludf.DUMMYFUNCTION("""COMPUTED_VALUE"""),"SELESAI (VIA PERMOHONAN)")</f>
        <v>SELESAI (VIA PERMOHONAN)</v>
      </c>
      <c r="G760" s="17">
        <f>IFERROR(__xludf.DUMMYFUNCTION("""COMPUTED_VALUE"""),45664.38831512732)</f>
        <v>45664.38832</v>
      </c>
      <c r="H760" s="14" t="str">
        <f>IFERROR(__xludf.DUMMYFUNCTION("""COMPUTED_VALUE"""),"Aprill (SU)")</f>
        <v>Aprill (SU)</v>
      </c>
      <c r="I760" s="13" t="str">
        <f>IFERROR(__xludf.DUMMYFUNCTION("""COMPUTED_VALUE"""),"SELESAI (VIA PERMOHONAN)")</f>
        <v>SELESAI (VIA PERMOHONAN)</v>
      </c>
      <c r="J760" s="17">
        <f>IFERROR(__xludf.DUMMYFUNCTION("""COMPUTED_VALUE"""),45664.38850421296)</f>
        <v>45664.3885</v>
      </c>
      <c r="K760" s="13" t="str">
        <f>IFERROR(__xludf.DUMMYFUNCTION("""COMPUTED_VALUE"""),"Selesai")</f>
        <v>Selesai</v>
      </c>
      <c r="L760" s="17">
        <f>IFERROR(__xludf.DUMMYFUNCTION("""COMPUTED_VALUE"""),45664.38850421296)</f>
        <v>45664.3885</v>
      </c>
      <c r="M760" s="17">
        <f>IFERROR(__xludf.DUMMYFUNCTION("""COMPUTED_VALUE"""),45664.38855474537)</f>
        <v>45664.38855</v>
      </c>
      <c r="N760" s="13" t="str">
        <f>IFERROR(__xludf.DUMMYFUNCTION("""COMPUTED_VALUE"""),"")</f>
        <v/>
      </c>
      <c r="O760" s="13" t="str">
        <f t="shared" si="1"/>
        <v/>
      </c>
    </row>
    <row r="761" ht="22.5" customHeight="1">
      <c r="B761" s="13">
        <f>IFERROR(__xludf.DUMMYFUNCTION("""COMPUTED_VALUE"""),756.0)</f>
        <v>756</v>
      </c>
      <c r="C761" s="13" t="str">
        <f>IFERROR(__xludf.DUMMYFUNCTION("""COMPUTED_VALUE"""),"M. 16189/ Sukarame")</f>
        <v>M. 16189/ Sukarame</v>
      </c>
      <c r="D761" s="13" t="str">
        <f>IFERROR(__xludf.DUMMYFUNCTION("""COMPUTED_VALUE"""),"K/7/181224/1")</f>
        <v>K/7/181224/1</v>
      </c>
      <c r="E761" s="14" t="str">
        <f>IFERROR(__xludf.DUMMYFUNCTION("""COMPUTED_VALUE"""),"Afriza (BT)")</f>
        <v>Afriza (BT)</v>
      </c>
      <c r="F761" s="14" t="str">
        <f>IFERROR(__xludf.DUMMYFUNCTION("""COMPUTED_VALUE"""),"SELESAI (VIA PERMOHONAN)")</f>
        <v>SELESAI (VIA PERMOHONAN)</v>
      </c>
      <c r="G761" s="17">
        <f>IFERROR(__xludf.DUMMYFUNCTION("""COMPUTED_VALUE"""),45664.38831512732)</f>
        <v>45664.38832</v>
      </c>
      <c r="H761" s="14" t="str">
        <f>IFERROR(__xludf.DUMMYFUNCTION("""COMPUTED_VALUE"""),"Aprill (SU)")</f>
        <v>Aprill (SU)</v>
      </c>
      <c r="I761" s="13" t="str">
        <f>IFERROR(__xludf.DUMMYFUNCTION("""COMPUTED_VALUE"""),"SELESAI (VIA PERMOHONAN)")</f>
        <v>SELESAI (VIA PERMOHONAN)</v>
      </c>
      <c r="J761" s="17">
        <f>IFERROR(__xludf.DUMMYFUNCTION("""COMPUTED_VALUE"""),45664.38850422454)</f>
        <v>45664.3885</v>
      </c>
      <c r="K761" s="13" t="str">
        <f>IFERROR(__xludf.DUMMYFUNCTION("""COMPUTED_VALUE"""),"Selesai")</f>
        <v>Selesai</v>
      </c>
      <c r="L761" s="17">
        <f>IFERROR(__xludf.DUMMYFUNCTION("""COMPUTED_VALUE"""),45664.38850422454)</f>
        <v>45664.3885</v>
      </c>
      <c r="M761" s="17">
        <f>IFERROR(__xludf.DUMMYFUNCTION("""COMPUTED_VALUE"""),45664.38857059028)</f>
        <v>45664.38857</v>
      </c>
      <c r="N761" s="13" t="str">
        <f>IFERROR(__xludf.DUMMYFUNCTION("""COMPUTED_VALUE"""),"")</f>
        <v/>
      </c>
      <c r="O761" s="13" t="str">
        <f t="shared" si="1"/>
        <v/>
      </c>
    </row>
    <row r="762" ht="22.5" customHeight="1">
      <c r="B762" s="13">
        <f>IFERROR(__xludf.DUMMYFUNCTION("""COMPUTED_VALUE"""),757.0)</f>
        <v>757</v>
      </c>
      <c r="C762" s="13" t="str">
        <f>IFERROR(__xludf.DUMMYFUNCTION("""COMPUTED_VALUE"""),"M. 2802/ Sukarame Baru")</f>
        <v>M. 2802/ Sukarame Baru</v>
      </c>
      <c r="D762" s="13" t="str">
        <f>IFERROR(__xludf.DUMMYFUNCTION("""COMPUTED_VALUE"""),"K/29/171224/4")</f>
        <v>K/29/171224/4</v>
      </c>
      <c r="E762" s="14" t="str">
        <f>IFERROR(__xludf.DUMMYFUNCTION("""COMPUTED_VALUE"""),"Afriza (BT)")</f>
        <v>Afriza (BT)</v>
      </c>
      <c r="F762" s="14" t="str">
        <f>IFERROR(__xludf.DUMMYFUNCTION("""COMPUTED_VALUE"""),"SELESAI (VIA PERMOHONAN)")</f>
        <v>SELESAI (VIA PERMOHONAN)</v>
      </c>
      <c r="G762" s="17">
        <f>IFERROR(__xludf.DUMMYFUNCTION("""COMPUTED_VALUE"""),45664.38831512732)</f>
        <v>45664.38832</v>
      </c>
      <c r="H762" s="14" t="str">
        <f>IFERROR(__xludf.DUMMYFUNCTION("""COMPUTED_VALUE"""),"Aprill (SU)")</f>
        <v>Aprill (SU)</v>
      </c>
      <c r="I762" s="13" t="str">
        <f>IFERROR(__xludf.DUMMYFUNCTION("""COMPUTED_VALUE"""),"SELESAI (VIA PERMOHONAN)")</f>
        <v>SELESAI (VIA PERMOHONAN)</v>
      </c>
      <c r="J762" s="17">
        <f>IFERROR(__xludf.DUMMYFUNCTION("""COMPUTED_VALUE"""),45664.38850422454)</f>
        <v>45664.3885</v>
      </c>
      <c r="K762" s="13" t="str">
        <f>IFERROR(__xludf.DUMMYFUNCTION("""COMPUTED_VALUE"""),"Selesai")</f>
        <v>Selesai</v>
      </c>
      <c r="L762" s="17">
        <f>IFERROR(__xludf.DUMMYFUNCTION("""COMPUTED_VALUE"""),45664.38850422454)</f>
        <v>45664.3885</v>
      </c>
      <c r="M762" s="17">
        <f>IFERROR(__xludf.DUMMYFUNCTION("""COMPUTED_VALUE"""),45664.388578287035)</f>
        <v>45664.38858</v>
      </c>
      <c r="N762" s="13" t="str">
        <f>IFERROR(__xludf.DUMMYFUNCTION("""COMPUTED_VALUE"""),"")</f>
        <v/>
      </c>
      <c r="O762" s="13" t="str">
        <f t="shared" si="1"/>
        <v/>
      </c>
    </row>
    <row r="763" ht="22.5" customHeight="1">
      <c r="B763" s="13">
        <f>IFERROR(__xludf.DUMMYFUNCTION("""COMPUTED_VALUE"""),758.0)</f>
        <v>758</v>
      </c>
      <c r="C763" s="13" t="str">
        <f>IFERROR(__xludf.DUMMYFUNCTION("""COMPUTED_VALUE"""),"M. 1389/ Rajabasa Pemuka")</f>
        <v>M. 1389/ Rajabasa Pemuka</v>
      </c>
      <c r="D763" s="13" t="str">
        <f>IFERROR(__xludf.DUMMYFUNCTION("""COMPUTED_VALUE"""),"K/47/231224/1")</f>
        <v>K/47/231224/1</v>
      </c>
      <c r="E763" s="14" t="str">
        <f>IFERROR(__xludf.DUMMYFUNCTION("""COMPUTED_VALUE"""),"Afriza (BT)")</f>
        <v>Afriza (BT)</v>
      </c>
      <c r="F763" s="14" t="str">
        <f>IFERROR(__xludf.DUMMYFUNCTION("""COMPUTED_VALUE"""),"SELESAI (VIA PERMOHONAN)")</f>
        <v>SELESAI (VIA PERMOHONAN)</v>
      </c>
      <c r="G763" s="17">
        <f>IFERROR(__xludf.DUMMYFUNCTION("""COMPUTED_VALUE"""),45664.38831512732)</f>
        <v>45664.38832</v>
      </c>
      <c r="H763" s="14" t="str">
        <f>IFERROR(__xludf.DUMMYFUNCTION("""COMPUTED_VALUE"""),"Aprill (SU)")</f>
        <v>Aprill (SU)</v>
      </c>
      <c r="I763" s="13" t="str">
        <f>IFERROR(__xludf.DUMMYFUNCTION("""COMPUTED_VALUE"""),"SELESAI (VIA PERMOHONAN)")</f>
        <v>SELESAI (VIA PERMOHONAN)</v>
      </c>
      <c r="J763" s="17">
        <f>IFERROR(__xludf.DUMMYFUNCTION("""COMPUTED_VALUE"""),45664.38850422454)</f>
        <v>45664.3885</v>
      </c>
      <c r="K763" s="13" t="str">
        <f>IFERROR(__xludf.DUMMYFUNCTION("""COMPUTED_VALUE"""),"Selesai")</f>
        <v>Selesai</v>
      </c>
      <c r="L763" s="17">
        <f>IFERROR(__xludf.DUMMYFUNCTION("""COMPUTED_VALUE"""),45664.38850422454)</f>
        <v>45664.3885</v>
      </c>
      <c r="M763" s="17">
        <f>IFERROR(__xludf.DUMMYFUNCTION("""COMPUTED_VALUE"""),45664.38858667824)</f>
        <v>45664.38859</v>
      </c>
      <c r="N763" s="13" t="str">
        <f>IFERROR(__xludf.DUMMYFUNCTION("""COMPUTED_VALUE"""),"")</f>
        <v/>
      </c>
      <c r="O763" s="13" t="str">
        <f t="shared" si="1"/>
        <v/>
      </c>
    </row>
    <row r="764" ht="22.5" customHeight="1">
      <c r="B764" s="13">
        <f>IFERROR(__xludf.DUMMYFUNCTION("""COMPUTED_VALUE"""),759.0)</f>
        <v>759</v>
      </c>
      <c r="C764" s="13" t="str">
        <f>IFERROR(__xludf.DUMMYFUNCTION("""COMPUTED_VALUE"""),"M. 224/ Tanjungraya")</f>
        <v>M. 224/ Tanjungraya</v>
      </c>
      <c r="D764" s="13" t="str">
        <f>IFERROR(__xludf.DUMMYFUNCTION("""COMPUTED_VALUE"""),"K/1/231224/1")</f>
        <v>K/1/231224/1</v>
      </c>
      <c r="E764" s="14" t="str">
        <f>IFERROR(__xludf.DUMMYFUNCTION("""COMPUTED_VALUE"""),"Afriza (BT)")</f>
        <v>Afriza (BT)</v>
      </c>
      <c r="F764" s="14" t="str">
        <f>IFERROR(__xludf.DUMMYFUNCTION("""COMPUTED_VALUE"""),"SELESAI (VIA PERMOHONAN)")</f>
        <v>SELESAI (VIA PERMOHONAN)</v>
      </c>
      <c r="G764" s="17">
        <f>IFERROR(__xludf.DUMMYFUNCTION("""COMPUTED_VALUE"""),45664.38831512732)</f>
        <v>45664.38832</v>
      </c>
      <c r="H764" s="14" t="str">
        <f>IFERROR(__xludf.DUMMYFUNCTION("""COMPUTED_VALUE"""),"Aprill (SU)")</f>
        <v>Aprill (SU)</v>
      </c>
      <c r="I764" s="13" t="str">
        <f>IFERROR(__xludf.DUMMYFUNCTION("""COMPUTED_VALUE"""),"SELESAI (VIA PERMOHONAN)")</f>
        <v>SELESAI (VIA PERMOHONAN)</v>
      </c>
      <c r="J764" s="17">
        <f>IFERROR(__xludf.DUMMYFUNCTION("""COMPUTED_VALUE"""),45664.38850422454)</f>
        <v>45664.3885</v>
      </c>
      <c r="K764" s="13" t="str">
        <f>IFERROR(__xludf.DUMMYFUNCTION("""COMPUTED_VALUE"""),"Selesai")</f>
        <v>Selesai</v>
      </c>
      <c r="L764" s="17">
        <f>IFERROR(__xludf.DUMMYFUNCTION("""COMPUTED_VALUE"""),45664.38850422454)</f>
        <v>45664.3885</v>
      </c>
      <c r="M764" s="17">
        <f>IFERROR(__xludf.DUMMYFUNCTION("""COMPUTED_VALUE"""),45664.38859376157)</f>
        <v>45664.38859</v>
      </c>
      <c r="N764" s="13" t="str">
        <f>IFERROR(__xludf.DUMMYFUNCTION("""COMPUTED_VALUE"""),"")</f>
        <v/>
      </c>
      <c r="O764" s="13" t="str">
        <f t="shared" si="1"/>
        <v/>
      </c>
    </row>
    <row r="765" ht="22.5" customHeight="1">
      <c r="B765" s="13">
        <f>IFERROR(__xludf.DUMMYFUNCTION("""COMPUTED_VALUE"""),760.0)</f>
        <v>760</v>
      </c>
      <c r="C765" s="13" t="str">
        <f>IFERROR(__xludf.DUMMYFUNCTION("""COMPUTED_VALUE"""),"M. 737/ Perumnas Way Kandis")</f>
        <v>M. 737/ Perumnas Way Kandis</v>
      </c>
      <c r="D765" s="13" t="str">
        <f>IFERROR(__xludf.DUMMYFUNCTION("""COMPUTED_VALUE"""),"K/25/241224/1")</f>
        <v>K/25/241224/1</v>
      </c>
      <c r="E765" s="14" t="str">
        <f>IFERROR(__xludf.DUMMYFUNCTION("""COMPUTED_VALUE"""),"Afriza (BT)")</f>
        <v>Afriza (BT)</v>
      </c>
      <c r="F765" s="14" t="str">
        <f>IFERROR(__xludf.DUMMYFUNCTION("""COMPUTED_VALUE"""),"SELESAI")</f>
        <v>SELESAI</v>
      </c>
      <c r="G765" s="17">
        <f>IFERROR(__xludf.DUMMYFUNCTION("""COMPUTED_VALUE"""),45664.41858770834)</f>
        <v>45664.41859</v>
      </c>
      <c r="H765" s="14" t="str">
        <f>IFERROR(__xludf.DUMMYFUNCTION("""COMPUTED_VALUE"""),"Aprill (SU)")</f>
        <v>Aprill (SU)</v>
      </c>
      <c r="I765" s="13" t="str">
        <f>IFERROR(__xludf.DUMMYFUNCTION("""COMPUTED_VALUE"""),"SELESAI")</f>
        <v>SELESAI</v>
      </c>
      <c r="J765" s="17">
        <f>IFERROR(__xludf.DUMMYFUNCTION("""COMPUTED_VALUE"""),45664.418654050925)</f>
        <v>45664.41865</v>
      </c>
      <c r="K765" s="13" t="str">
        <f>IFERROR(__xludf.DUMMYFUNCTION("""COMPUTED_VALUE"""),"SELESAI")</f>
        <v>SELESAI</v>
      </c>
      <c r="L765" s="17">
        <f>IFERROR(__xludf.DUMMYFUNCTION("""COMPUTED_VALUE"""),45664.418654050925)</f>
        <v>45664.41865</v>
      </c>
      <c r="M765" s="17" t="str">
        <f>IFERROR(__xludf.DUMMYFUNCTION("""COMPUTED_VALUE"""),"")</f>
        <v/>
      </c>
      <c r="N765" s="17">
        <f>IFERROR(__xludf.DUMMYFUNCTION("""COMPUTED_VALUE"""),45664.41870165509)</f>
        <v>45664.4187</v>
      </c>
      <c r="O765" s="13">
        <f t="shared" si="1"/>
        <v>1</v>
      </c>
    </row>
    <row r="766" ht="22.5" customHeight="1">
      <c r="B766" s="13">
        <f>IFERROR(__xludf.DUMMYFUNCTION("""COMPUTED_VALUE"""),761.0)</f>
        <v>761</v>
      </c>
      <c r="C766" s="13" t="str">
        <f>IFERROR(__xludf.DUMMYFUNCTION("""COMPUTED_VALUE"""),"M.2615/PINANG JAYA")</f>
        <v>M.2615/PINANG JAYA</v>
      </c>
      <c r="D766" s="13" t="str">
        <f>IFERROR(__xludf.DUMMYFUNCTION("""COMPUTED_VALUE"""),"K/60/231224/1")</f>
        <v>K/60/231224/1</v>
      </c>
      <c r="E766" s="14" t="str">
        <f>IFERROR(__xludf.DUMMYFUNCTION("""COMPUTED_VALUE"""),"Afriza (BT)")</f>
        <v>Afriza (BT)</v>
      </c>
      <c r="F766" s="14" t="str">
        <f>IFERROR(__xludf.DUMMYFUNCTION("""COMPUTED_VALUE"""),"SELESAI")</f>
        <v>SELESAI</v>
      </c>
      <c r="G766" s="17">
        <f>IFERROR(__xludf.DUMMYFUNCTION("""COMPUTED_VALUE"""),45664.427196006945)</f>
        <v>45664.4272</v>
      </c>
      <c r="H766" s="14" t="str">
        <f>IFERROR(__xludf.DUMMYFUNCTION("""COMPUTED_VALUE"""),"Aprill (SU)")</f>
        <v>Aprill (SU)</v>
      </c>
      <c r="I766" s="13" t="str">
        <f>IFERROR(__xludf.DUMMYFUNCTION("""COMPUTED_VALUE"""),"SELESAI")</f>
        <v>SELESAI</v>
      </c>
      <c r="J766" s="17">
        <f>IFERROR(__xludf.DUMMYFUNCTION("""COMPUTED_VALUE"""),45664.42724363426)</f>
        <v>45664.42724</v>
      </c>
      <c r="K766" s="13" t="str">
        <f>IFERROR(__xludf.DUMMYFUNCTION("""COMPUTED_VALUE"""),"SELESAI")</f>
        <v>SELESAI</v>
      </c>
      <c r="L766" s="17">
        <f>IFERROR(__xludf.DUMMYFUNCTION("""COMPUTED_VALUE"""),45664.42724363426)</f>
        <v>45664.42724</v>
      </c>
      <c r="M766" s="17" t="str">
        <f>IFERROR(__xludf.DUMMYFUNCTION("""COMPUTED_VALUE"""),"")</f>
        <v/>
      </c>
      <c r="N766" s="17">
        <f>IFERROR(__xludf.DUMMYFUNCTION("""COMPUTED_VALUE"""),45664.42728130787)</f>
        <v>45664.42728</v>
      </c>
      <c r="O766" s="13">
        <f t="shared" si="1"/>
        <v>2</v>
      </c>
    </row>
    <row r="767" ht="22.5" customHeight="1">
      <c r="B767" s="13">
        <f>IFERROR(__xludf.DUMMYFUNCTION("""COMPUTED_VALUE"""),762.0)</f>
        <v>762</v>
      </c>
      <c r="C767" s="13" t="str">
        <f>IFERROR(__xludf.DUMMYFUNCTION("""COMPUTED_VALUE"""),"M. 2416/ Kedaung")</f>
        <v>M. 2416/ Kedaung</v>
      </c>
      <c r="D767" s="13" t="str">
        <f>IFERROR(__xludf.DUMMYFUNCTION("""COMPUTED_VALUE"""),"K/22/301225/2")</f>
        <v>K/22/301225/2</v>
      </c>
      <c r="E767" s="14" t="str">
        <f>IFERROR(__xludf.DUMMYFUNCTION("""COMPUTED_VALUE"""),"Afriza (BT)")</f>
        <v>Afriza (BT)</v>
      </c>
      <c r="F767" s="14" t="str">
        <f>IFERROR(__xludf.DUMMYFUNCTION("""COMPUTED_VALUE"""),"SELESAI (VIA PERMOHONAN)")</f>
        <v>SELESAI (VIA PERMOHONAN)</v>
      </c>
      <c r="G767" s="17">
        <f>IFERROR(__xludf.DUMMYFUNCTION("""COMPUTED_VALUE"""),45664.43901086805)</f>
        <v>45664.43901</v>
      </c>
      <c r="H767" s="14" t="str">
        <f>IFERROR(__xludf.DUMMYFUNCTION("""COMPUTED_VALUE"""),"Bu Eva (SU)")</f>
        <v>Bu Eva (SU)</v>
      </c>
      <c r="I767" s="13" t="str">
        <f>IFERROR(__xludf.DUMMYFUNCTION("""COMPUTED_VALUE"""),"SELESAI (VIA PERMOHONAN)")</f>
        <v>SELESAI (VIA PERMOHONAN)</v>
      </c>
      <c r="J767" s="17">
        <f>IFERROR(__xludf.DUMMYFUNCTION("""COMPUTED_VALUE"""),45665.64741143519)</f>
        <v>45665.64741</v>
      </c>
      <c r="K767" s="13" t="str">
        <f>IFERROR(__xludf.DUMMYFUNCTION("""COMPUTED_VALUE"""),"Selesai")</f>
        <v>Selesai</v>
      </c>
      <c r="L767" s="17">
        <f>IFERROR(__xludf.DUMMYFUNCTION("""COMPUTED_VALUE"""),45665.64741143519)</f>
        <v>45665.64741</v>
      </c>
      <c r="M767" s="17">
        <f>IFERROR(__xludf.DUMMYFUNCTION("""COMPUTED_VALUE"""),45665.64747859954)</f>
        <v>45665.64748</v>
      </c>
      <c r="N767" s="13" t="str">
        <f>IFERROR(__xludf.DUMMYFUNCTION("""COMPUTED_VALUE"""),"")</f>
        <v/>
      </c>
      <c r="O767" s="13" t="str">
        <f t="shared" si="1"/>
        <v/>
      </c>
    </row>
    <row r="768" ht="22.5" customHeight="1">
      <c r="B768" s="13">
        <f>IFERROR(__xludf.DUMMYFUNCTION("""COMPUTED_VALUE"""),763.0)</f>
        <v>763</v>
      </c>
      <c r="C768" s="13" t="str">
        <f>IFERROR(__xludf.DUMMYFUNCTION("""COMPUTED_VALUE"""),"M.1855/WAY KANDIS")</f>
        <v>M.1855/WAY KANDIS</v>
      </c>
      <c r="D768" s="13" t="str">
        <f>IFERROR(__xludf.DUMMYFUNCTION("""COMPUTED_VALUE"""),"K/7/241224/3")</f>
        <v>K/7/241224/3</v>
      </c>
      <c r="E768" s="14" t="str">
        <f>IFERROR(__xludf.DUMMYFUNCTION("""COMPUTED_VALUE"""),"Afriza (BT)")</f>
        <v>Afriza (BT)</v>
      </c>
      <c r="F768" s="14" t="str">
        <f>IFERROR(__xludf.DUMMYFUNCTION("""COMPUTED_VALUE"""),"SELESAI")</f>
        <v>SELESAI</v>
      </c>
      <c r="G768" s="17">
        <f>IFERROR(__xludf.DUMMYFUNCTION("""COMPUTED_VALUE"""),45664.441448356476)</f>
        <v>45664.44145</v>
      </c>
      <c r="H768" s="14" t="str">
        <f>IFERROR(__xludf.DUMMYFUNCTION("""COMPUTED_VALUE"""),"Aprill (SU)")</f>
        <v>Aprill (SU)</v>
      </c>
      <c r="I768" s="13" t="str">
        <f>IFERROR(__xludf.DUMMYFUNCTION("""COMPUTED_VALUE"""),"SELESAI")</f>
        <v>SELESAI</v>
      </c>
      <c r="J768" s="17">
        <f>IFERROR(__xludf.DUMMYFUNCTION("""COMPUTED_VALUE"""),45664.44148988426)</f>
        <v>45664.44149</v>
      </c>
      <c r="K768" s="13" t="str">
        <f>IFERROR(__xludf.DUMMYFUNCTION("""COMPUTED_VALUE"""),"SELESAI")</f>
        <v>SELESAI</v>
      </c>
      <c r="L768" s="17">
        <f>IFERROR(__xludf.DUMMYFUNCTION("""COMPUTED_VALUE"""),45664.44148988426)</f>
        <v>45664.44149</v>
      </c>
      <c r="M768" s="17" t="str">
        <f>IFERROR(__xludf.DUMMYFUNCTION("""COMPUTED_VALUE"""),"")</f>
        <v/>
      </c>
      <c r="N768" s="17">
        <f>IFERROR(__xludf.DUMMYFUNCTION("""COMPUTED_VALUE"""),45664.44331351852)</f>
        <v>45664.44331</v>
      </c>
      <c r="O768" s="13">
        <f t="shared" si="1"/>
        <v>1</v>
      </c>
    </row>
    <row r="769" ht="22.5" customHeight="1">
      <c r="B769" s="13">
        <f>IFERROR(__xludf.DUMMYFUNCTION("""COMPUTED_VALUE"""),764.0)</f>
        <v>764</v>
      </c>
      <c r="C769" s="13" t="str">
        <f>IFERROR(__xludf.DUMMYFUNCTION("""COMPUTED_VALUE"""),"M. 1132/ Kota Baru")</f>
        <v>M. 1132/ Kota Baru</v>
      </c>
      <c r="D769" s="13" t="str">
        <f>IFERROR(__xludf.DUMMYFUNCTION("""COMPUTED_VALUE"""),"K/21/241224/2")</f>
        <v>K/21/241224/2</v>
      </c>
      <c r="E769" s="14" t="str">
        <f>IFERROR(__xludf.DUMMYFUNCTION("""COMPUTED_VALUE"""),"Afriza (BT)")</f>
        <v>Afriza (BT)</v>
      </c>
      <c r="F769" s="14" t="str">
        <f>IFERROR(__xludf.DUMMYFUNCTION("""COMPUTED_VALUE"""),"SELESAI")</f>
        <v>SELESAI</v>
      </c>
      <c r="G769" s="17">
        <f>IFERROR(__xludf.DUMMYFUNCTION("""COMPUTED_VALUE"""),45664.44321376157)</f>
        <v>45664.44321</v>
      </c>
      <c r="H769" s="14" t="str">
        <f>IFERROR(__xludf.DUMMYFUNCTION("""COMPUTED_VALUE"""),"Aprill (SU)")</f>
        <v>Aprill (SU)</v>
      </c>
      <c r="I769" s="13" t="str">
        <f>IFERROR(__xludf.DUMMYFUNCTION("""COMPUTED_VALUE"""),"SELESAI")</f>
        <v>SELESAI</v>
      </c>
      <c r="J769" s="17">
        <f>IFERROR(__xludf.DUMMYFUNCTION("""COMPUTED_VALUE"""),45664.443252199075)</f>
        <v>45664.44325</v>
      </c>
      <c r="K769" s="13" t="str">
        <f>IFERROR(__xludf.DUMMYFUNCTION("""COMPUTED_VALUE"""),"SELESAI")</f>
        <v>SELESAI</v>
      </c>
      <c r="L769" s="17">
        <f>IFERROR(__xludf.DUMMYFUNCTION("""COMPUTED_VALUE"""),45664.443252199075)</f>
        <v>45664.44325</v>
      </c>
      <c r="M769" s="17" t="str">
        <f>IFERROR(__xludf.DUMMYFUNCTION("""COMPUTED_VALUE"""),"")</f>
        <v/>
      </c>
      <c r="N769" s="17">
        <f>IFERROR(__xludf.DUMMYFUNCTION("""COMPUTED_VALUE"""),45664.443326875)</f>
        <v>45664.44333</v>
      </c>
      <c r="O769" s="13">
        <f t="shared" si="1"/>
        <v>2</v>
      </c>
    </row>
    <row r="770" ht="22.5" customHeight="1">
      <c r="B770" s="13">
        <f>IFERROR(__xludf.DUMMYFUNCTION("""COMPUTED_VALUE"""),765.0)</f>
        <v>765</v>
      </c>
      <c r="C770" s="13" t="str">
        <f>IFERROR(__xludf.DUMMYFUNCTION("""COMPUTED_VALUE"""),"B.1192/SUKABUMI INDAH-SEKARANG;B.2500/SUKABUMI")</f>
        <v>B.1192/SUKABUMI INDAH-SEKARANG;B.2500/SUKABUMI</v>
      </c>
      <c r="D770" s="13" t="str">
        <f>IFERROR(__xludf.DUMMYFUNCTION("""COMPUTED_VALUE"""),"K/10/311224/1")</f>
        <v>K/10/311224/1</v>
      </c>
      <c r="E770" s="14" t="str">
        <f>IFERROR(__xludf.DUMMYFUNCTION("""COMPUTED_VALUE"""),"Afriza (BT)")</f>
        <v>Afriza (BT)</v>
      </c>
      <c r="F770" s="14" t="str">
        <f>IFERROR(__xludf.DUMMYFUNCTION("""COMPUTED_VALUE"""),"SELESAI (VIA PERMOHONAN)")</f>
        <v>SELESAI (VIA PERMOHONAN)</v>
      </c>
      <c r="G770" s="17">
        <f>IFERROR(__xludf.DUMMYFUNCTION("""COMPUTED_VALUE"""),45664.44366949074)</f>
        <v>45664.44367</v>
      </c>
      <c r="H770" s="14" t="str">
        <f>IFERROR(__xludf.DUMMYFUNCTION("""COMPUTED_VALUE"""),"Bu Eva (SU)")</f>
        <v>Bu Eva (SU)</v>
      </c>
      <c r="I770" s="13" t="str">
        <f>IFERROR(__xludf.DUMMYFUNCTION("""COMPUTED_VALUE"""),"SELESAI (VIA PERMOHONAN)")</f>
        <v>SELESAI (VIA PERMOHONAN)</v>
      </c>
      <c r="J770" s="17">
        <f>IFERROR(__xludf.DUMMYFUNCTION("""COMPUTED_VALUE"""),45665.64744608796)</f>
        <v>45665.64745</v>
      </c>
      <c r="K770" s="13" t="str">
        <f>IFERROR(__xludf.DUMMYFUNCTION("""COMPUTED_VALUE"""),"Selesai")</f>
        <v>Selesai</v>
      </c>
      <c r="L770" s="17">
        <f>IFERROR(__xludf.DUMMYFUNCTION("""COMPUTED_VALUE"""),45665.64744608796)</f>
        <v>45665.64745</v>
      </c>
      <c r="M770" s="17">
        <f>IFERROR(__xludf.DUMMYFUNCTION("""COMPUTED_VALUE"""),45665.64752936343)</f>
        <v>45665.64753</v>
      </c>
      <c r="N770" s="13" t="str">
        <f>IFERROR(__xludf.DUMMYFUNCTION("""COMPUTED_VALUE"""),"")</f>
        <v/>
      </c>
      <c r="O770" s="13" t="str">
        <f t="shared" si="1"/>
        <v/>
      </c>
    </row>
    <row r="771" ht="22.5" customHeight="1">
      <c r="B771" s="13">
        <f>IFERROR(__xludf.DUMMYFUNCTION("""COMPUTED_VALUE"""),766.0)</f>
        <v>766</v>
      </c>
      <c r="C771" s="13" t="str">
        <f>IFERROR(__xludf.DUMMYFUNCTION("""COMPUTED_VALUE"""),"M. 1264/ Rawa Laut")</f>
        <v>M. 1264/ Rawa Laut</v>
      </c>
      <c r="D771" s="13" t="str">
        <f>IFERROR(__xludf.DUMMYFUNCTION("""COMPUTED_VALUE"""),"K/14/241224/2")</f>
        <v>K/14/241224/2</v>
      </c>
      <c r="E771" s="14" t="str">
        <f>IFERROR(__xludf.DUMMYFUNCTION("""COMPUTED_VALUE"""),"Afriza (BT)")</f>
        <v>Afriza (BT)</v>
      </c>
      <c r="F771" s="14" t="str">
        <f>IFERROR(__xludf.DUMMYFUNCTION("""COMPUTED_VALUE"""),"SELESAI")</f>
        <v>SELESAI</v>
      </c>
      <c r="G771" s="17">
        <f>IFERROR(__xludf.DUMMYFUNCTION("""COMPUTED_VALUE"""),45664.44419461806)</f>
        <v>45664.44419</v>
      </c>
      <c r="H771" s="14" t="str">
        <f>IFERROR(__xludf.DUMMYFUNCTION("""COMPUTED_VALUE"""),"Aprill (SU)")</f>
        <v>Aprill (SU)</v>
      </c>
      <c r="I771" s="13" t="str">
        <f>IFERROR(__xludf.DUMMYFUNCTION("""COMPUTED_VALUE"""),"SELESAI")</f>
        <v>SELESAI</v>
      </c>
      <c r="J771" s="17">
        <f>IFERROR(__xludf.DUMMYFUNCTION("""COMPUTED_VALUE"""),45664.44426341435)</f>
        <v>45664.44426</v>
      </c>
      <c r="K771" s="13" t="str">
        <f>IFERROR(__xludf.DUMMYFUNCTION("""COMPUTED_VALUE"""),"SELESAI")</f>
        <v>SELESAI</v>
      </c>
      <c r="L771" s="17">
        <f>IFERROR(__xludf.DUMMYFUNCTION("""COMPUTED_VALUE"""),45664.44426341435)</f>
        <v>45664.44426</v>
      </c>
      <c r="M771" s="17" t="str">
        <f>IFERROR(__xludf.DUMMYFUNCTION("""COMPUTED_VALUE"""),"")</f>
        <v/>
      </c>
      <c r="N771" s="17">
        <f>IFERROR(__xludf.DUMMYFUNCTION("""COMPUTED_VALUE"""),45664.444300393516)</f>
        <v>45664.4443</v>
      </c>
      <c r="O771" s="13">
        <f t="shared" si="1"/>
        <v>1</v>
      </c>
    </row>
    <row r="772" ht="22.5" customHeight="1">
      <c r="B772" s="13">
        <f>IFERROR(__xludf.DUMMYFUNCTION("""COMPUTED_VALUE"""),767.0)</f>
        <v>767</v>
      </c>
      <c r="C772" s="13" t="str">
        <f>IFERROR(__xludf.DUMMYFUNCTION("""COMPUTED_VALUE"""),"M. 11632/ Segala Mider")</f>
        <v>M. 11632/ Segala Mider</v>
      </c>
      <c r="D772" s="13" t="str">
        <f>IFERROR(__xludf.DUMMYFUNCTION("""COMPUTED_VALUE"""),"K/28/020125/4")</f>
        <v>K/28/020125/4</v>
      </c>
      <c r="E772" s="14" t="str">
        <f>IFERROR(__xludf.DUMMYFUNCTION("""COMPUTED_VALUE"""),"Afriza (BT)")</f>
        <v>Afriza (BT)</v>
      </c>
      <c r="F772" s="14" t="str">
        <f>IFERROR(__xludf.DUMMYFUNCTION("""COMPUTED_VALUE"""),"SELESAI")</f>
        <v>SELESAI</v>
      </c>
      <c r="G772" s="17">
        <f>IFERROR(__xludf.DUMMYFUNCTION("""COMPUTED_VALUE"""),45664.44953475695)</f>
        <v>45664.44953</v>
      </c>
      <c r="H772" s="14" t="str">
        <f>IFERROR(__xludf.DUMMYFUNCTION("""COMPUTED_VALUE"""),"Aprill (SU)")</f>
        <v>Aprill (SU)</v>
      </c>
      <c r="I772" s="13" t="str">
        <f>IFERROR(__xludf.DUMMYFUNCTION("""COMPUTED_VALUE"""),"SELESAI")</f>
        <v>SELESAI</v>
      </c>
      <c r="J772" s="17">
        <f>IFERROR(__xludf.DUMMYFUNCTION("""COMPUTED_VALUE"""),45664.44957571759)</f>
        <v>45664.44958</v>
      </c>
      <c r="K772" s="13" t="str">
        <f>IFERROR(__xludf.DUMMYFUNCTION("""COMPUTED_VALUE"""),"SELESAI")</f>
        <v>SELESAI</v>
      </c>
      <c r="L772" s="17">
        <f>IFERROR(__xludf.DUMMYFUNCTION("""COMPUTED_VALUE"""),45664.44957571759)</f>
        <v>45664.44958</v>
      </c>
      <c r="M772" s="17" t="str">
        <f>IFERROR(__xludf.DUMMYFUNCTION("""COMPUTED_VALUE"""),"")</f>
        <v/>
      </c>
      <c r="N772" s="17">
        <f>IFERROR(__xludf.DUMMYFUNCTION("""COMPUTED_VALUE"""),45664.449607766204)</f>
        <v>45664.44961</v>
      </c>
      <c r="O772" s="13">
        <f t="shared" si="1"/>
        <v>2</v>
      </c>
    </row>
    <row r="773" ht="22.5" customHeight="1">
      <c r="B773" s="13">
        <f>IFERROR(__xludf.DUMMYFUNCTION("""COMPUTED_VALUE"""),768.0)</f>
        <v>768</v>
      </c>
      <c r="C773" s="13" t="str">
        <f>IFERROR(__xludf.DUMMYFUNCTION("""COMPUTED_VALUE"""),"M.1346/KURIPAN")</f>
        <v>M.1346/KURIPAN</v>
      </c>
      <c r="D773" s="13" t="str">
        <f>IFERROR(__xludf.DUMMYFUNCTION("""COMPUTED_VALUE"""),"K/28/030125/1")</f>
        <v>K/28/030125/1</v>
      </c>
      <c r="E773" s="14" t="str">
        <f>IFERROR(__xludf.DUMMYFUNCTION("""COMPUTED_VALUE"""),"Afriza (BT)")</f>
        <v>Afriza (BT)</v>
      </c>
      <c r="F773" s="14" t="str">
        <f>IFERROR(__xludf.DUMMYFUNCTION("""COMPUTED_VALUE"""),"SELESAI")</f>
        <v>SELESAI</v>
      </c>
      <c r="G773" s="17">
        <f>IFERROR(__xludf.DUMMYFUNCTION("""COMPUTED_VALUE"""),45664.59788505787)</f>
        <v>45664.59789</v>
      </c>
      <c r="H773" s="14"/>
      <c r="I773" s="13"/>
      <c r="J773" s="17" t="str">
        <f>IFERROR(__xludf.DUMMYFUNCTION("""COMPUTED_VALUE"""),"")</f>
        <v/>
      </c>
      <c r="K773" s="13" t="str">
        <f>IFERROR(__xludf.DUMMYFUNCTION("""COMPUTED_VALUE"""),"BT atau SU Belum Valid")</f>
        <v>BT atau SU Belum Valid</v>
      </c>
      <c r="L773" s="13" t="str">
        <f>IFERROR(__xludf.DUMMYFUNCTION("""COMPUTED_VALUE"""),"")</f>
        <v/>
      </c>
      <c r="M773" s="17" t="str">
        <f>IFERROR(__xludf.DUMMYFUNCTION("""COMPUTED_VALUE"""),"")</f>
        <v/>
      </c>
      <c r="N773" s="13" t="str">
        <f>IFERROR(__xludf.DUMMYFUNCTION("""COMPUTED_VALUE"""),"")</f>
        <v/>
      </c>
      <c r="O773" s="13" t="str">
        <f t="shared" si="1"/>
        <v/>
      </c>
    </row>
    <row r="774" ht="22.5" customHeight="1">
      <c r="B774" s="13">
        <f>IFERROR(__xludf.DUMMYFUNCTION("""COMPUTED_VALUE"""),769.0)</f>
        <v>769</v>
      </c>
      <c r="C774" s="13" t="str">
        <f>IFERROR(__xludf.DUMMYFUNCTION("""COMPUTED_VALUE"""),"HM 2689/KETEGUHAN")</f>
        <v>HM 2689/KETEGUHAN</v>
      </c>
      <c r="D774" s="13" t="str">
        <f>IFERROR(__xludf.DUMMYFUNCTION("""COMPUTED_VALUE"""),"L/29/030125/1")</f>
        <v>L/29/030125/1</v>
      </c>
      <c r="E774" s="14" t="str">
        <f>IFERROR(__xludf.DUMMYFUNCTION("""COMPUTED_VALUE"""),"Afriza (BT)")</f>
        <v>Afriza (BT)</v>
      </c>
      <c r="F774" s="14" t="str">
        <f>IFERROR(__xludf.DUMMYFUNCTION("""COMPUTED_VALUE"""),"SELESAI")</f>
        <v>SELESAI</v>
      </c>
      <c r="G774" s="17">
        <f>IFERROR(__xludf.DUMMYFUNCTION("""COMPUTED_VALUE"""),45664.59788505787)</f>
        <v>45664.59789</v>
      </c>
      <c r="H774" s="14" t="str">
        <f>IFERROR(__xludf.DUMMYFUNCTION("""COMPUTED_VALUE"""),"Bu Eva (SU)")</f>
        <v>Bu Eva (SU)</v>
      </c>
      <c r="I774" s="13" t="str">
        <f>IFERROR(__xludf.DUMMYFUNCTION("""COMPUTED_VALUE"""),"SELESAI")</f>
        <v>SELESAI</v>
      </c>
      <c r="J774" s="17">
        <f>IFERROR(__xludf.DUMMYFUNCTION("""COMPUTED_VALUE"""),45667.43272291667)</f>
        <v>45667.43272</v>
      </c>
      <c r="K774" s="13" t="str">
        <f>IFERROR(__xludf.DUMMYFUNCTION("""COMPUTED_VALUE"""),"SELESAI")</f>
        <v>SELESAI</v>
      </c>
      <c r="L774" s="17">
        <f>IFERROR(__xludf.DUMMYFUNCTION("""COMPUTED_VALUE"""),45667.43272291667)</f>
        <v>45667.43272</v>
      </c>
      <c r="M774" s="17" t="str">
        <f>IFERROR(__xludf.DUMMYFUNCTION("""COMPUTED_VALUE"""),"")</f>
        <v/>
      </c>
      <c r="N774" s="17">
        <f>IFERROR(__xludf.DUMMYFUNCTION("""COMPUTED_VALUE"""),45667.432750127315)</f>
        <v>45667.43275</v>
      </c>
      <c r="O774" s="13">
        <f t="shared" si="1"/>
        <v>1</v>
      </c>
    </row>
    <row r="775" ht="22.5" customHeight="1">
      <c r="B775" s="13">
        <f>IFERROR(__xludf.DUMMYFUNCTION("""COMPUTED_VALUE"""),770.0)</f>
        <v>770</v>
      </c>
      <c r="C775" s="13" t="str">
        <f>IFERROR(__xludf.DUMMYFUNCTION("""COMPUTED_VALUE"""),"HM 4001/KETEGUHAN")</f>
        <v>HM 4001/KETEGUHAN</v>
      </c>
      <c r="D775" s="13" t="str">
        <f>IFERROR(__xludf.DUMMYFUNCTION("""COMPUTED_VALUE"""),"L/30/030125/2")</f>
        <v>L/30/030125/2</v>
      </c>
      <c r="E775" s="14" t="str">
        <f>IFERROR(__xludf.DUMMYFUNCTION("""COMPUTED_VALUE"""),"Afriza (BT)")</f>
        <v>Afriza (BT)</v>
      </c>
      <c r="F775" s="14" t="str">
        <f>IFERROR(__xludf.DUMMYFUNCTION("""COMPUTED_VALUE"""),"SELESAI")</f>
        <v>SELESAI</v>
      </c>
      <c r="G775" s="17">
        <f>IFERROR(__xludf.DUMMYFUNCTION("""COMPUTED_VALUE"""),45664.59788505787)</f>
        <v>45664.59789</v>
      </c>
      <c r="H775" s="14" t="str">
        <f>IFERROR(__xludf.DUMMYFUNCTION("""COMPUTED_VALUE"""),"Bu Eva (SU)")</f>
        <v>Bu Eva (SU)</v>
      </c>
      <c r="I775" s="13" t="str">
        <f>IFERROR(__xludf.DUMMYFUNCTION("""COMPUTED_VALUE"""),"SELESAI")</f>
        <v>SELESAI</v>
      </c>
      <c r="J775" s="17">
        <f>IFERROR(__xludf.DUMMYFUNCTION("""COMPUTED_VALUE"""),45667.43251813657)</f>
        <v>45667.43252</v>
      </c>
      <c r="K775" s="13" t="str">
        <f>IFERROR(__xludf.DUMMYFUNCTION("""COMPUTED_VALUE"""),"SELESAI")</f>
        <v>SELESAI</v>
      </c>
      <c r="L775" s="17">
        <f>IFERROR(__xludf.DUMMYFUNCTION("""COMPUTED_VALUE"""),45667.43251813657)</f>
        <v>45667.43252</v>
      </c>
      <c r="M775" s="17" t="str">
        <f>IFERROR(__xludf.DUMMYFUNCTION("""COMPUTED_VALUE"""),"")</f>
        <v/>
      </c>
      <c r="N775" s="17">
        <f>IFERROR(__xludf.DUMMYFUNCTION("""COMPUTED_VALUE"""),45667.43255104167)</f>
        <v>45667.43255</v>
      </c>
      <c r="O775" s="13">
        <f t="shared" si="1"/>
        <v>2</v>
      </c>
    </row>
    <row r="776" ht="22.5" customHeight="1">
      <c r="B776" s="13">
        <f>IFERROR(__xludf.DUMMYFUNCTION("""COMPUTED_VALUE"""),771.0)</f>
        <v>771</v>
      </c>
      <c r="C776" s="13" t="str">
        <f>IFERROR(__xludf.DUMMYFUNCTION("""COMPUTED_VALUE"""),"HM 11852/KEDAMAIAN")</f>
        <v>HM 11852/KEDAMAIAN</v>
      </c>
      <c r="D776" s="13" t="str">
        <f>IFERROR(__xludf.DUMMYFUNCTION("""COMPUTED_VALUE"""),"L/33/030125/1")</f>
        <v>L/33/030125/1</v>
      </c>
      <c r="E776" s="14" t="str">
        <f>IFERROR(__xludf.DUMMYFUNCTION("""COMPUTED_VALUE"""),"Afriza (BT)")</f>
        <v>Afriza (BT)</v>
      </c>
      <c r="F776" s="14" t="str">
        <f>IFERROR(__xludf.DUMMYFUNCTION("""COMPUTED_VALUE"""),"SELESAI")</f>
        <v>SELESAI</v>
      </c>
      <c r="G776" s="17">
        <f>IFERROR(__xludf.DUMMYFUNCTION("""COMPUTED_VALUE"""),45664.59788505787)</f>
        <v>45664.59789</v>
      </c>
      <c r="H776" s="14" t="str">
        <f>IFERROR(__xludf.DUMMYFUNCTION("""COMPUTED_VALUE"""),"Bu Eva (SU)")</f>
        <v>Bu Eva (SU)</v>
      </c>
      <c r="I776" s="13" t="str">
        <f>IFERROR(__xludf.DUMMYFUNCTION("""COMPUTED_VALUE"""),"SELESAI")</f>
        <v>SELESAI</v>
      </c>
      <c r="J776" s="17">
        <f>IFERROR(__xludf.DUMMYFUNCTION("""COMPUTED_VALUE"""),45667.43341813657)</f>
        <v>45667.43342</v>
      </c>
      <c r="K776" s="13" t="str">
        <f>IFERROR(__xludf.DUMMYFUNCTION("""COMPUTED_VALUE"""),"SELESAI")</f>
        <v>SELESAI</v>
      </c>
      <c r="L776" s="17">
        <f>IFERROR(__xludf.DUMMYFUNCTION("""COMPUTED_VALUE"""),45667.43341813657)</f>
        <v>45667.43342</v>
      </c>
      <c r="M776" s="17" t="str">
        <f>IFERROR(__xludf.DUMMYFUNCTION("""COMPUTED_VALUE"""),"")</f>
        <v/>
      </c>
      <c r="N776" s="17">
        <f>IFERROR(__xludf.DUMMYFUNCTION("""COMPUTED_VALUE"""),45667.4334437037)</f>
        <v>45667.43344</v>
      </c>
      <c r="O776" s="13">
        <f t="shared" si="1"/>
        <v>3</v>
      </c>
    </row>
    <row r="777" ht="22.5" customHeight="1">
      <c r="B777" s="13">
        <f>IFERROR(__xludf.DUMMYFUNCTION("""COMPUTED_VALUE"""),772.0)</f>
        <v>772</v>
      </c>
      <c r="C777" s="13" t="str">
        <f>IFERROR(__xludf.DUMMYFUNCTION("""COMPUTED_VALUE"""),"HM 3137/WAY KANDIS")</f>
        <v>HM 3137/WAY KANDIS</v>
      </c>
      <c r="D777" s="13" t="str">
        <f>IFERROR(__xludf.DUMMYFUNCTION("""COMPUTED_VALUE"""),"L/26/030125/1")</f>
        <v>L/26/030125/1</v>
      </c>
      <c r="E777" s="14" t="str">
        <f>IFERROR(__xludf.DUMMYFUNCTION("""COMPUTED_VALUE"""),"Afriza (BT)")</f>
        <v>Afriza (BT)</v>
      </c>
      <c r="F777" s="14" t="str">
        <f>IFERROR(__xludf.DUMMYFUNCTION("""COMPUTED_VALUE"""),"SELESAI")</f>
        <v>SELESAI</v>
      </c>
      <c r="G777" s="17">
        <f>IFERROR(__xludf.DUMMYFUNCTION("""COMPUTED_VALUE"""),45664.597900810186)</f>
        <v>45664.5979</v>
      </c>
      <c r="H777" s="14" t="str">
        <f>IFERROR(__xludf.DUMMYFUNCTION("""COMPUTED_VALUE"""),"Bu Eva (SU)")</f>
        <v>Bu Eva (SU)</v>
      </c>
      <c r="I777" s="13" t="str">
        <f>IFERROR(__xludf.DUMMYFUNCTION("""COMPUTED_VALUE"""),"SELESAI")</f>
        <v>SELESAI</v>
      </c>
      <c r="J777" s="17">
        <f>IFERROR(__xludf.DUMMYFUNCTION("""COMPUTED_VALUE"""),45667.4322315162)</f>
        <v>45667.43223</v>
      </c>
      <c r="K777" s="13" t="str">
        <f>IFERROR(__xludf.DUMMYFUNCTION("""COMPUTED_VALUE"""),"SELESAI")</f>
        <v>SELESAI</v>
      </c>
      <c r="L777" s="17">
        <f>IFERROR(__xludf.DUMMYFUNCTION("""COMPUTED_VALUE"""),45667.4322315162)</f>
        <v>45667.43223</v>
      </c>
      <c r="M777" s="17" t="str">
        <f>IFERROR(__xludf.DUMMYFUNCTION("""COMPUTED_VALUE"""),"")</f>
        <v/>
      </c>
      <c r="N777" s="17">
        <f>IFERROR(__xludf.DUMMYFUNCTION("""COMPUTED_VALUE"""),45667.43232467593)</f>
        <v>45667.43232</v>
      </c>
      <c r="O777" s="13">
        <f t="shared" si="1"/>
        <v>4</v>
      </c>
    </row>
    <row r="778" ht="22.5" customHeight="1">
      <c r="B778" s="13">
        <f>IFERROR(__xludf.DUMMYFUNCTION("""COMPUTED_VALUE"""),773.0)</f>
        <v>773</v>
      </c>
      <c r="C778" s="13" t="str">
        <f>IFERROR(__xludf.DUMMYFUNCTION("""COMPUTED_VALUE"""),"M. 1559/ Gedong Air")</f>
        <v>M. 1559/ Gedong Air</v>
      </c>
      <c r="D778" s="13" t="str">
        <f>IFERROR(__xludf.DUMMYFUNCTION("""COMPUTED_VALUE"""),"K/20/030125/2")</f>
        <v>K/20/030125/2</v>
      </c>
      <c r="E778" s="14" t="str">
        <f>IFERROR(__xludf.DUMMYFUNCTION("""COMPUTED_VALUE"""),"Afriza (BT)")</f>
        <v>Afriza (BT)</v>
      </c>
      <c r="F778" s="14" t="str">
        <f>IFERROR(__xludf.DUMMYFUNCTION("""COMPUTED_VALUE"""),"SELESAI")</f>
        <v>SELESAI</v>
      </c>
      <c r="G778" s="17">
        <f>IFERROR(__xludf.DUMMYFUNCTION("""COMPUTED_VALUE"""),45664.599739756944)</f>
        <v>45664.59974</v>
      </c>
      <c r="H778" s="14" t="str">
        <f>IFERROR(__xludf.DUMMYFUNCTION("""COMPUTED_VALUE"""),"Bu Eva (SU)")</f>
        <v>Bu Eva (SU)</v>
      </c>
      <c r="I778" s="13" t="str">
        <f>IFERROR(__xludf.DUMMYFUNCTION("""COMPUTED_VALUE"""),"SELESAI")</f>
        <v>SELESAI</v>
      </c>
      <c r="J778" s="17">
        <f>IFERROR(__xludf.DUMMYFUNCTION("""COMPUTED_VALUE"""),45667.431797094905)</f>
        <v>45667.4318</v>
      </c>
      <c r="K778" s="13" t="str">
        <f>IFERROR(__xludf.DUMMYFUNCTION("""COMPUTED_VALUE"""),"SELESAI")</f>
        <v>SELESAI</v>
      </c>
      <c r="L778" s="17">
        <f>IFERROR(__xludf.DUMMYFUNCTION("""COMPUTED_VALUE"""),45667.431797094905)</f>
        <v>45667.4318</v>
      </c>
      <c r="M778" s="17" t="str">
        <f>IFERROR(__xludf.DUMMYFUNCTION("""COMPUTED_VALUE"""),"")</f>
        <v/>
      </c>
      <c r="N778" s="17">
        <f>IFERROR(__xludf.DUMMYFUNCTION("""COMPUTED_VALUE"""),45667.43183032407)</f>
        <v>45667.43183</v>
      </c>
      <c r="O778" s="13">
        <f t="shared" si="1"/>
        <v>5</v>
      </c>
    </row>
    <row r="779" ht="22.5" customHeight="1">
      <c r="B779" s="13">
        <f>IFERROR(__xludf.DUMMYFUNCTION("""COMPUTED_VALUE"""),774.0)</f>
        <v>774</v>
      </c>
      <c r="C779" s="13" t="str">
        <f>IFERROR(__xludf.DUMMYFUNCTION("""COMPUTED_VALUE"""),"B.3646/SUKARAME I")</f>
        <v>B.3646/SUKARAME I</v>
      </c>
      <c r="D779" s="13" t="str">
        <f>IFERROR(__xludf.DUMMYFUNCTION("""COMPUTED_VALUE"""),"K/8/030125/1")</f>
        <v>K/8/030125/1</v>
      </c>
      <c r="E779" s="14" t="str">
        <f>IFERROR(__xludf.DUMMYFUNCTION("""COMPUTED_VALUE"""),"Nadian (BT)")</f>
        <v>Nadian (BT)</v>
      </c>
      <c r="F779" s="14" t="str">
        <f>IFERROR(__xludf.DUMMYFUNCTION("""COMPUTED_VALUE"""),"SELESAI (VIA PERMOHONAN)")</f>
        <v>SELESAI (VIA PERMOHONAN)</v>
      </c>
      <c r="G779" s="17">
        <f>IFERROR(__xludf.DUMMYFUNCTION("""COMPUTED_VALUE"""),45664.60220728009)</f>
        <v>45664.60221</v>
      </c>
      <c r="H779" s="14" t="str">
        <f>IFERROR(__xludf.DUMMYFUNCTION("""COMPUTED_VALUE"""),"Bu Eva (SU)")</f>
        <v>Bu Eva (SU)</v>
      </c>
      <c r="I779" s="13" t="str">
        <f>IFERROR(__xludf.DUMMYFUNCTION("""COMPUTED_VALUE"""),"SELESAI (VIA PERMOHONAN)")</f>
        <v>SELESAI (VIA PERMOHONAN)</v>
      </c>
      <c r="J779" s="17">
        <f>IFERROR(__xludf.DUMMYFUNCTION("""COMPUTED_VALUE"""),45665.64682653935)</f>
        <v>45665.64683</v>
      </c>
      <c r="K779" s="13" t="str">
        <f>IFERROR(__xludf.DUMMYFUNCTION("""COMPUTED_VALUE"""),"Selesai")</f>
        <v>Selesai</v>
      </c>
      <c r="L779" s="17">
        <f>IFERROR(__xludf.DUMMYFUNCTION("""COMPUTED_VALUE"""),45665.64682653935)</f>
        <v>45665.64683</v>
      </c>
      <c r="M779" s="17">
        <f>IFERROR(__xludf.DUMMYFUNCTION("""COMPUTED_VALUE"""),45665.646997511576)</f>
        <v>45665.647</v>
      </c>
      <c r="N779" s="13" t="str">
        <f>IFERROR(__xludf.DUMMYFUNCTION("""COMPUTED_VALUE"""),"")</f>
        <v/>
      </c>
      <c r="O779" s="13" t="str">
        <f t="shared" si="1"/>
        <v/>
      </c>
    </row>
    <row r="780" ht="22.5" customHeight="1">
      <c r="B780" s="13">
        <f>IFERROR(__xludf.DUMMYFUNCTION("""COMPUTED_VALUE"""),775.0)</f>
        <v>775</v>
      </c>
      <c r="C780" s="13" t="str">
        <f>IFERROR(__xludf.DUMMYFUNCTION("""COMPUTED_VALUE"""),"M. 709/ Pahoman")</f>
        <v>M. 709/ Pahoman</v>
      </c>
      <c r="D780" s="13" t="str">
        <f>IFERROR(__xludf.DUMMYFUNCTION("""COMPUTED_VALUE"""),"K/22/020125/1")</f>
        <v>K/22/020125/1</v>
      </c>
      <c r="E780" s="14" t="str">
        <f>IFERROR(__xludf.DUMMYFUNCTION("""COMPUTED_VALUE"""),"Nadian (BT)")</f>
        <v>Nadian (BT)</v>
      </c>
      <c r="F780" s="14" t="str">
        <f>IFERROR(__xludf.DUMMYFUNCTION("""COMPUTED_VALUE"""),"SELESAI (VIA PERMOHONAN)")</f>
        <v>SELESAI (VIA PERMOHONAN)</v>
      </c>
      <c r="G780" s="17">
        <f>IFERROR(__xludf.DUMMYFUNCTION("""COMPUTED_VALUE"""),45664.60233325232)</f>
        <v>45664.60233</v>
      </c>
      <c r="H780" s="14" t="str">
        <f>IFERROR(__xludf.DUMMYFUNCTION("""COMPUTED_VALUE"""),"Bu Eva (SU)")</f>
        <v>Bu Eva (SU)</v>
      </c>
      <c r="I780" s="13" t="str">
        <f>IFERROR(__xludf.DUMMYFUNCTION("""COMPUTED_VALUE"""),"SELESAI (VIA PERMOHONAN)")</f>
        <v>SELESAI (VIA PERMOHONAN)</v>
      </c>
      <c r="J780" s="17">
        <f>IFERROR(__xludf.DUMMYFUNCTION("""COMPUTED_VALUE"""),45665.64687354167)</f>
        <v>45665.64687</v>
      </c>
      <c r="K780" s="13" t="str">
        <f>IFERROR(__xludf.DUMMYFUNCTION("""COMPUTED_VALUE"""),"Selesai")</f>
        <v>Selesai</v>
      </c>
      <c r="L780" s="17">
        <f>IFERROR(__xludf.DUMMYFUNCTION("""COMPUTED_VALUE"""),45665.64687354167)</f>
        <v>45665.64687</v>
      </c>
      <c r="M780" s="17">
        <f>IFERROR(__xludf.DUMMYFUNCTION("""COMPUTED_VALUE"""),45665.647005543986)</f>
        <v>45665.64701</v>
      </c>
      <c r="N780" s="13" t="str">
        <f>IFERROR(__xludf.DUMMYFUNCTION("""COMPUTED_VALUE"""),"")</f>
        <v/>
      </c>
      <c r="O780" s="13" t="str">
        <f t="shared" si="1"/>
        <v/>
      </c>
    </row>
    <row r="781" ht="22.5" customHeight="1">
      <c r="B781" s="13">
        <f>IFERROR(__xludf.DUMMYFUNCTION("""COMPUTED_VALUE"""),776.0)</f>
        <v>776</v>
      </c>
      <c r="C781" s="13" t="str">
        <f>IFERROR(__xludf.DUMMYFUNCTION("""COMPUTED_VALUE"""),"M.2633/PINANG JAYA")</f>
        <v>M.2633/PINANG JAYA</v>
      </c>
      <c r="D781" s="13" t="str">
        <f>IFERROR(__xludf.DUMMYFUNCTION("""COMPUTED_VALUE"""),"K/2/030125/2")</f>
        <v>K/2/030125/2</v>
      </c>
      <c r="E781" s="14" t="str">
        <f>IFERROR(__xludf.DUMMYFUNCTION("""COMPUTED_VALUE"""),"Nadian (BT)")</f>
        <v>Nadian (BT)</v>
      </c>
      <c r="F781" s="14" t="str">
        <f>IFERROR(__xludf.DUMMYFUNCTION("""COMPUTED_VALUE"""),"SELESAI (VIA PERMOHONAN)")</f>
        <v>SELESAI (VIA PERMOHONAN)</v>
      </c>
      <c r="G781" s="17">
        <f>IFERROR(__xludf.DUMMYFUNCTION("""COMPUTED_VALUE"""),45664.60233325232)</f>
        <v>45664.60233</v>
      </c>
      <c r="H781" s="14" t="str">
        <f>IFERROR(__xludf.DUMMYFUNCTION("""COMPUTED_VALUE"""),"Bu Eva (SU)")</f>
        <v>Bu Eva (SU)</v>
      </c>
      <c r="I781" s="13" t="str">
        <f>IFERROR(__xludf.DUMMYFUNCTION("""COMPUTED_VALUE"""),"SELESAI (VIA PERMOHONAN)")</f>
        <v>SELESAI (VIA PERMOHONAN)</v>
      </c>
      <c r="J781" s="17">
        <f>IFERROR(__xludf.DUMMYFUNCTION("""COMPUTED_VALUE"""),45665.64688825232)</f>
        <v>45665.64689</v>
      </c>
      <c r="K781" s="13" t="str">
        <f>IFERROR(__xludf.DUMMYFUNCTION("""COMPUTED_VALUE"""),"Selesai")</f>
        <v>Selesai</v>
      </c>
      <c r="L781" s="17">
        <f>IFERROR(__xludf.DUMMYFUNCTION("""COMPUTED_VALUE"""),45665.64688825232)</f>
        <v>45665.64689</v>
      </c>
      <c r="M781" s="17">
        <f>IFERROR(__xludf.DUMMYFUNCTION("""COMPUTED_VALUE"""),45665.64701743056)</f>
        <v>45665.64702</v>
      </c>
      <c r="N781" s="13" t="str">
        <f>IFERROR(__xludf.DUMMYFUNCTION("""COMPUTED_VALUE"""),"")</f>
        <v/>
      </c>
      <c r="O781" s="13" t="str">
        <f t="shared" si="1"/>
        <v/>
      </c>
    </row>
    <row r="782" ht="22.5" customHeight="1">
      <c r="B782" s="13">
        <f>IFERROR(__xludf.DUMMYFUNCTION("""COMPUTED_VALUE"""),777.0)</f>
        <v>777</v>
      </c>
      <c r="C782" s="13" t="str">
        <f>IFERROR(__xludf.DUMMYFUNCTION("""COMPUTED_VALUE"""),"M.2969/RAJABASA JAYA")</f>
        <v>M.2969/RAJABASA JAYA</v>
      </c>
      <c r="D782" s="13" t="str">
        <f>IFERROR(__xludf.DUMMYFUNCTION("""COMPUTED_VALUE"""),"K/11/281124/1")</f>
        <v>K/11/281124/1</v>
      </c>
      <c r="E782" s="14" t="str">
        <f>IFERROR(__xludf.DUMMYFUNCTION("""COMPUTED_VALUE"""),"Nadian (BT)")</f>
        <v>Nadian (BT)</v>
      </c>
      <c r="F782" s="14" t="str">
        <f>IFERROR(__xludf.DUMMYFUNCTION("""COMPUTED_VALUE"""),"SELESAI (VIA PERMOHONAN)")</f>
        <v>SELESAI (VIA PERMOHONAN)</v>
      </c>
      <c r="G782" s="17">
        <f>IFERROR(__xludf.DUMMYFUNCTION("""COMPUTED_VALUE"""),45664.60233325232)</f>
        <v>45664.60233</v>
      </c>
      <c r="H782" s="14" t="str">
        <f>IFERROR(__xludf.DUMMYFUNCTION("""COMPUTED_VALUE"""),"Bu Eva (SU)")</f>
        <v>Bu Eva (SU)</v>
      </c>
      <c r="I782" s="13" t="str">
        <f>IFERROR(__xludf.DUMMYFUNCTION("""COMPUTED_VALUE"""),"SELESAI (VIA PERMOHONAN)")</f>
        <v>SELESAI (VIA PERMOHONAN)</v>
      </c>
      <c r="J782" s="17">
        <f>IFERROR(__xludf.DUMMYFUNCTION("""COMPUTED_VALUE"""),45665.64690950231)</f>
        <v>45665.64691</v>
      </c>
      <c r="K782" s="13" t="str">
        <f>IFERROR(__xludf.DUMMYFUNCTION("""COMPUTED_VALUE"""),"Selesai")</f>
        <v>Selesai</v>
      </c>
      <c r="L782" s="17">
        <f>IFERROR(__xludf.DUMMYFUNCTION("""COMPUTED_VALUE"""),45665.64690950231)</f>
        <v>45665.64691</v>
      </c>
      <c r="M782" s="17">
        <f>IFERROR(__xludf.DUMMYFUNCTION("""COMPUTED_VALUE"""),45665.647025949074)</f>
        <v>45665.64703</v>
      </c>
      <c r="N782" s="13" t="str">
        <f>IFERROR(__xludf.DUMMYFUNCTION("""COMPUTED_VALUE"""),"")</f>
        <v/>
      </c>
      <c r="O782" s="13" t="str">
        <f t="shared" si="1"/>
        <v/>
      </c>
    </row>
    <row r="783" ht="22.5" customHeight="1">
      <c r="B783" s="13">
        <f>IFERROR(__xludf.DUMMYFUNCTION("""COMPUTED_VALUE"""),778.0)</f>
        <v>778</v>
      </c>
      <c r="C783" s="13" t="str">
        <f>IFERROR(__xludf.DUMMYFUNCTION("""COMPUTED_VALUE"""),"M. 24/ Talang")</f>
        <v>M. 24/ Talang</v>
      </c>
      <c r="D783" s="13" t="str">
        <f>IFERROR(__xludf.DUMMYFUNCTION("""COMPUTED_VALUE"""),"K/8/311224/1")</f>
        <v>K/8/311224/1</v>
      </c>
      <c r="E783" s="14" t="str">
        <f>IFERROR(__xludf.DUMMYFUNCTION("""COMPUTED_VALUE"""),"Nadian (BT)")</f>
        <v>Nadian (BT)</v>
      </c>
      <c r="F783" s="14" t="str">
        <f>IFERROR(__xludf.DUMMYFUNCTION("""COMPUTED_VALUE"""),"SELESAI (VIA PERMOHONAN)")</f>
        <v>SELESAI (VIA PERMOHONAN)</v>
      </c>
      <c r="G783" s="17">
        <f>IFERROR(__xludf.DUMMYFUNCTION("""COMPUTED_VALUE"""),45664.60233325232)</f>
        <v>45664.60233</v>
      </c>
      <c r="H783" s="14" t="str">
        <f>IFERROR(__xludf.DUMMYFUNCTION("""COMPUTED_VALUE"""),"Bu Eva (SU)")</f>
        <v>Bu Eva (SU)</v>
      </c>
      <c r="I783" s="13" t="str">
        <f>IFERROR(__xludf.DUMMYFUNCTION("""COMPUTED_VALUE"""),"SELESAI (VIA PERMOHONAN)")</f>
        <v>SELESAI (VIA PERMOHONAN)</v>
      </c>
      <c r="J783" s="17">
        <f>IFERROR(__xludf.DUMMYFUNCTION("""COMPUTED_VALUE"""),45665.64692834491)</f>
        <v>45665.64693</v>
      </c>
      <c r="K783" s="13" t="str">
        <f>IFERROR(__xludf.DUMMYFUNCTION("""COMPUTED_VALUE"""),"Selesai")</f>
        <v>Selesai</v>
      </c>
      <c r="L783" s="17">
        <f>IFERROR(__xludf.DUMMYFUNCTION("""COMPUTED_VALUE"""),45665.64692834491)</f>
        <v>45665.64693</v>
      </c>
      <c r="M783" s="17">
        <f>IFERROR(__xludf.DUMMYFUNCTION("""COMPUTED_VALUE"""),45665.647034803245)</f>
        <v>45665.64703</v>
      </c>
      <c r="N783" s="13" t="str">
        <f>IFERROR(__xludf.DUMMYFUNCTION("""COMPUTED_VALUE"""),"")</f>
        <v/>
      </c>
      <c r="O783" s="13" t="str">
        <f t="shared" si="1"/>
        <v/>
      </c>
    </row>
    <row r="784" ht="22.5" customHeight="1">
      <c r="B784" s="13">
        <f>IFERROR(__xludf.DUMMYFUNCTION("""COMPUTED_VALUE"""),779.0)</f>
        <v>779</v>
      </c>
      <c r="C784" s="13" t="str">
        <f>IFERROR(__xludf.DUMMYFUNCTION("""COMPUTED_VALUE"""),"M. 1449/ Bumi Kedamaian")</f>
        <v>M. 1449/ Bumi Kedamaian</v>
      </c>
      <c r="D784" s="13" t="str">
        <f>IFERROR(__xludf.DUMMYFUNCTION("""COMPUTED_VALUE"""),"K/17/020125/2")</f>
        <v>K/17/020125/2</v>
      </c>
      <c r="E784" s="14" t="str">
        <f>IFERROR(__xludf.DUMMYFUNCTION("""COMPUTED_VALUE"""),"Nadian (BT)")</f>
        <v>Nadian (BT)</v>
      </c>
      <c r="F784" s="14" t="str">
        <f>IFERROR(__xludf.DUMMYFUNCTION("""COMPUTED_VALUE"""),"SELESAI (VIA PERMOHONAN)")</f>
        <v>SELESAI (VIA PERMOHONAN)</v>
      </c>
      <c r="G784" s="17">
        <f>IFERROR(__xludf.DUMMYFUNCTION("""COMPUTED_VALUE"""),45664.60233325232)</f>
        <v>45664.60233</v>
      </c>
      <c r="H784" s="14" t="str">
        <f>IFERROR(__xludf.DUMMYFUNCTION("""COMPUTED_VALUE"""),"Bu Eva (SU)")</f>
        <v>Bu Eva (SU)</v>
      </c>
      <c r="I784" s="13" t="str">
        <f>IFERROR(__xludf.DUMMYFUNCTION("""COMPUTED_VALUE"""),"SELESAI (VIA PERMOHONAN)")</f>
        <v>SELESAI (VIA PERMOHONAN)</v>
      </c>
      <c r="J784" s="17">
        <f>IFERROR(__xludf.DUMMYFUNCTION("""COMPUTED_VALUE"""),45665.64698070602)</f>
        <v>45665.64698</v>
      </c>
      <c r="K784" s="13" t="str">
        <f>IFERROR(__xludf.DUMMYFUNCTION("""COMPUTED_VALUE"""),"Selesai")</f>
        <v>Selesai</v>
      </c>
      <c r="L784" s="17">
        <f>IFERROR(__xludf.DUMMYFUNCTION("""COMPUTED_VALUE"""),45665.64698070602)</f>
        <v>45665.64698</v>
      </c>
      <c r="M784" s="17">
        <f>IFERROR(__xludf.DUMMYFUNCTION("""COMPUTED_VALUE"""),45665.64704609953)</f>
        <v>45665.64705</v>
      </c>
      <c r="N784" s="13" t="str">
        <f>IFERROR(__xludf.DUMMYFUNCTION("""COMPUTED_VALUE"""),"")</f>
        <v/>
      </c>
      <c r="O784" s="13" t="str">
        <f t="shared" si="1"/>
        <v/>
      </c>
    </row>
    <row r="785" ht="22.5" customHeight="1">
      <c r="B785" s="13">
        <f>IFERROR(__xludf.DUMMYFUNCTION("""COMPUTED_VALUE"""),780.0)</f>
        <v>780</v>
      </c>
      <c r="C785" s="13" t="str">
        <f>IFERROR(__xludf.DUMMYFUNCTION("""COMPUTED_VALUE"""),"M. 1599/ susunan Baru")</f>
        <v>M. 1599/ susunan Baru</v>
      </c>
      <c r="D785" s="13" t="str">
        <f>IFERROR(__xludf.DUMMYFUNCTION("""COMPUTED_VALUE"""),"K/14/030125/2")</f>
        <v>K/14/030125/2</v>
      </c>
      <c r="E785" s="14" t="str">
        <f>IFERROR(__xludf.DUMMYFUNCTION("""COMPUTED_VALUE"""),"Nadian (BT)")</f>
        <v>Nadian (BT)</v>
      </c>
      <c r="F785" s="14" t="str">
        <f>IFERROR(__xludf.DUMMYFUNCTION("""COMPUTED_VALUE"""),"SELESAI")</f>
        <v>SELESAI</v>
      </c>
      <c r="G785" s="17">
        <f>IFERROR(__xludf.DUMMYFUNCTION("""COMPUTED_VALUE"""),45664.60235902778)</f>
        <v>45664.60236</v>
      </c>
      <c r="H785" s="14" t="str">
        <f>IFERROR(__xludf.DUMMYFUNCTION("""COMPUTED_VALUE"""),"Bu Eva (SU)")</f>
        <v>Bu Eva (SU)</v>
      </c>
      <c r="I785" s="13" t="str">
        <f>IFERROR(__xludf.DUMMYFUNCTION("""COMPUTED_VALUE"""),"SELESAI")</f>
        <v>SELESAI</v>
      </c>
      <c r="J785" s="17">
        <f>IFERROR(__xludf.DUMMYFUNCTION("""COMPUTED_VALUE"""),45667.4345884838)</f>
        <v>45667.43459</v>
      </c>
      <c r="K785" s="13" t="str">
        <f>IFERROR(__xludf.DUMMYFUNCTION("""COMPUTED_VALUE"""),"SELESAI")</f>
        <v>SELESAI</v>
      </c>
      <c r="L785" s="17">
        <f>IFERROR(__xludf.DUMMYFUNCTION("""COMPUTED_VALUE"""),45667.4345884838)</f>
        <v>45667.43459</v>
      </c>
      <c r="M785" s="17" t="str">
        <f>IFERROR(__xludf.DUMMYFUNCTION("""COMPUTED_VALUE"""),"")</f>
        <v/>
      </c>
      <c r="N785" s="17">
        <f>IFERROR(__xludf.DUMMYFUNCTION("""COMPUTED_VALUE"""),45667.43472101852)</f>
        <v>45667.43472</v>
      </c>
      <c r="O785" s="13">
        <f t="shared" si="1"/>
        <v>1</v>
      </c>
    </row>
    <row r="786" ht="22.5" customHeight="1">
      <c r="B786" s="13">
        <f>IFERROR(__xludf.DUMMYFUNCTION("""COMPUTED_VALUE"""),781.0)</f>
        <v>781</v>
      </c>
      <c r="C786" s="13" t="str">
        <f>IFERROR(__xludf.DUMMYFUNCTION("""COMPUTED_VALUE"""),"M.2636/PINANG JAYA")</f>
        <v>M.2636/PINANG JAYA</v>
      </c>
      <c r="D786" s="13" t="str">
        <f>IFERROR(__xludf.DUMMYFUNCTION("""COMPUTED_VALUE"""),"K/1/030125/1")</f>
        <v>K/1/030125/1</v>
      </c>
      <c r="E786" s="14" t="str">
        <f>IFERROR(__xludf.DUMMYFUNCTION("""COMPUTED_VALUE"""),"Nadian (BT)")</f>
        <v>Nadian (BT)</v>
      </c>
      <c r="F786" s="14" t="str">
        <f>IFERROR(__xludf.DUMMYFUNCTION("""COMPUTED_VALUE"""),"SELESAI")</f>
        <v>SELESAI</v>
      </c>
      <c r="G786" s="17">
        <f>IFERROR(__xludf.DUMMYFUNCTION("""COMPUTED_VALUE"""),45664.602379097225)</f>
        <v>45664.60238</v>
      </c>
      <c r="H786" s="14" t="str">
        <f>IFERROR(__xludf.DUMMYFUNCTION("""COMPUTED_VALUE"""),"Bu Eva (SU)")</f>
        <v>Bu Eva (SU)</v>
      </c>
      <c r="I786" s="13" t="str">
        <f>IFERROR(__xludf.DUMMYFUNCTION("""COMPUTED_VALUE"""),"SELESAI")</f>
        <v>SELESAI</v>
      </c>
      <c r="J786" s="17">
        <f>IFERROR(__xludf.DUMMYFUNCTION("""COMPUTED_VALUE"""),45667.433928495375)</f>
        <v>45667.43393</v>
      </c>
      <c r="K786" s="13" t="str">
        <f>IFERROR(__xludf.DUMMYFUNCTION("""COMPUTED_VALUE"""),"SELESAI")</f>
        <v>SELESAI</v>
      </c>
      <c r="L786" s="17">
        <f>IFERROR(__xludf.DUMMYFUNCTION("""COMPUTED_VALUE"""),45667.433928495375)</f>
        <v>45667.43393</v>
      </c>
      <c r="M786" s="17" t="str">
        <f>IFERROR(__xludf.DUMMYFUNCTION("""COMPUTED_VALUE"""),"")</f>
        <v/>
      </c>
      <c r="N786" s="17">
        <f>IFERROR(__xludf.DUMMYFUNCTION("""COMPUTED_VALUE"""),45667.43396923611)</f>
        <v>45667.43397</v>
      </c>
      <c r="O786" s="13">
        <f t="shared" si="1"/>
        <v>2</v>
      </c>
    </row>
    <row r="787" ht="22.5" customHeight="1">
      <c r="B787" s="13">
        <f>IFERROR(__xludf.DUMMYFUNCTION("""COMPUTED_VALUE"""),782.0)</f>
        <v>782</v>
      </c>
      <c r="C787" s="13" t="str">
        <f>IFERROR(__xludf.DUMMYFUNCTION("""COMPUTED_VALUE"""),"M.1610/KURIPAN")</f>
        <v>M.1610/KURIPAN</v>
      </c>
      <c r="D787" s="13" t="str">
        <f>IFERROR(__xludf.DUMMYFUNCTION("""COMPUTED_VALUE"""),"K/16/030125/1")</f>
        <v>K/16/030125/1</v>
      </c>
      <c r="E787" s="14" t="str">
        <f>IFERROR(__xludf.DUMMYFUNCTION("""COMPUTED_VALUE"""),"Nadian (BT)")</f>
        <v>Nadian (BT)</v>
      </c>
      <c r="F787" s="14" t="str">
        <f>IFERROR(__xludf.DUMMYFUNCTION("""COMPUTED_VALUE"""),"SELESAI")</f>
        <v>SELESAI</v>
      </c>
      <c r="G787" s="17">
        <f>IFERROR(__xludf.DUMMYFUNCTION("""COMPUTED_VALUE"""),45664.602379097225)</f>
        <v>45664.60238</v>
      </c>
      <c r="H787" s="14" t="str">
        <f>IFERROR(__xludf.DUMMYFUNCTION("""COMPUTED_VALUE"""),"Bu Eva (SU)")</f>
        <v>Bu Eva (SU)</v>
      </c>
      <c r="I787" s="13" t="str">
        <f>IFERROR(__xludf.DUMMYFUNCTION("""COMPUTED_VALUE"""),"SELESAI")</f>
        <v>SELESAI</v>
      </c>
      <c r="J787" s="17">
        <f>IFERROR(__xludf.DUMMYFUNCTION("""COMPUTED_VALUE"""),45667.43418251157)</f>
        <v>45667.43418</v>
      </c>
      <c r="K787" s="13" t="str">
        <f>IFERROR(__xludf.DUMMYFUNCTION("""COMPUTED_VALUE"""),"SELESAI")</f>
        <v>SELESAI</v>
      </c>
      <c r="L787" s="17">
        <f>IFERROR(__xludf.DUMMYFUNCTION("""COMPUTED_VALUE"""),45667.43418251157)</f>
        <v>45667.43418</v>
      </c>
      <c r="M787" s="17" t="str">
        <f>IFERROR(__xludf.DUMMYFUNCTION("""COMPUTED_VALUE"""),"")</f>
        <v/>
      </c>
      <c r="N787" s="17">
        <f>IFERROR(__xludf.DUMMYFUNCTION("""COMPUTED_VALUE"""),45667.43472914352)</f>
        <v>45667.43473</v>
      </c>
      <c r="O787" s="13">
        <f t="shared" si="1"/>
        <v>3</v>
      </c>
    </row>
    <row r="788" ht="22.5" customHeight="1">
      <c r="B788" s="13">
        <f>IFERROR(__xludf.DUMMYFUNCTION("""COMPUTED_VALUE"""),783.0)</f>
        <v>783</v>
      </c>
      <c r="C788" s="13" t="str">
        <f>IFERROR(__xludf.DUMMYFUNCTION("""COMPUTED_VALUE"""),"M. 1131/ Kedaung")</f>
        <v>M. 1131/ Kedaung</v>
      </c>
      <c r="D788" s="13" t="str">
        <f>IFERROR(__xludf.DUMMYFUNCTION("""COMPUTED_VALUE"""),"K/12/030125/1")</f>
        <v>K/12/030125/1</v>
      </c>
      <c r="E788" s="14" t="str">
        <f>IFERROR(__xludf.DUMMYFUNCTION("""COMPUTED_VALUE"""),"Nadian (BT)")</f>
        <v>Nadian (BT)</v>
      </c>
      <c r="F788" s="14" t="str">
        <f>IFERROR(__xludf.DUMMYFUNCTION("""COMPUTED_VALUE"""),"SELESAI")</f>
        <v>SELESAI</v>
      </c>
      <c r="G788" s="17">
        <f>IFERROR(__xludf.DUMMYFUNCTION("""COMPUTED_VALUE"""),45664.602379097225)</f>
        <v>45664.60238</v>
      </c>
      <c r="H788" s="14" t="str">
        <f>IFERROR(__xludf.DUMMYFUNCTION("""COMPUTED_VALUE"""),"Bu Eva (SU)")</f>
        <v>Bu Eva (SU)</v>
      </c>
      <c r="I788" s="13" t="str">
        <f>IFERROR(__xludf.DUMMYFUNCTION("""COMPUTED_VALUE"""),"SELESAI")</f>
        <v>SELESAI</v>
      </c>
      <c r="J788" s="17">
        <f>IFERROR(__xludf.DUMMYFUNCTION("""COMPUTED_VALUE"""),45667.43372421296)</f>
        <v>45667.43372</v>
      </c>
      <c r="K788" s="13" t="str">
        <f>IFERROR(__xludf.DUMMYFUNCTION("""COMPUTED_VALUE"""),"SELESAI")</f>
        <v>SELESAI</v>
      </c>
      <c r="L788" s="17">
        <f>IFERROR(__xludf.DUMMYFUNCTION("""COMPUTED_VALUE"""),45667.43372421296)</f>
        <v>45667.43372</v>
      </c>
      <c r="M788" s="17" t="str">
        <f>IFERROR(__xludf.DUMMYFUNCTION("""COMPUTED_VALUE"""),"")</f>
        <v/>
      </c>
      <c r="N788" s="17">
        <f>IFERROR(__xludf.DUMMYFUNCTION("""COMPUTED_VALUE"""),45667.43376719907)</f>
        <v>45667.43377</v>
      </c>
      <c r="O788" s="13">
        <f t="shared" si="1"/>
        <v>4</v>
      </c>
    </row>
    <row r="789" ht="22.5" customHeight="1">
      <c r="B789" s="13">
        <f>IFERROR(__xludf.DUMMYFUNCTION("""COMPUTED_VALUE"""),784.0)</f>
        <v>784</v>
      </c>
      <c r="C789" s="13" t="str">
        <f>IFERROR(__xludf.DUMMYFUNCTION("""COMPUTED_VALUE"""),"M. 16242/ Sukabumi")</f>
        <v>M. 16242/ Sukabumi</v>
      </c>
      <c r="D789" s="13" t="str">
        <f>IFERROR(__xludf.DUMMYFUNCTION("""COMPUTED_VALUE"""),"K/9/030125/1")</f>
        <v>K/9/030125/1</v>
      </c>
      <c r="E789" s="14" t="str">
        <f>IFERROR(__xludf.DUMMYFUNCTION("""COMPUTED_VALUE"""),"Nadian (BT)")</f>
        <v>Nadian (BT)</v>
      </c>
      <c r="F789" s="14" t="str">
        <f>IFERROR(__xludf.DUMMYFUNCTION("""COMPUTED_VALUE"""),"SELESAI")</f>
        <v>SELESAI</v>
      </c>
      <c r="G789" s="17">
        <f>IFERROR(__xludf.DUMMYFUNCTION("""COMPUTED_VALUE"""),45664.602379108794)</f>
        <v>45664.60238</v>
      </c>
      <c r="H789" s="14" t="str">
        <f>IFERROR(__xludf.DUMMYFUNCTION("""COMPUTED_VALUE"""),"Bu Eva (SU)")</f>
        <v>Bu Eva (SU)</v>
      </c>
      <c r="I789" s="13" t="str">
        <f>IFERROR(__xludf.DUMMYFUNCTION("""COMPUTED_VALUE"""),"SELESAI")</f>
        <v>SELESAI</v>
      </c>
      <c r="J789" s="17">
        <f>IFERROR(__xludf.DUMMYFUNCTION("""COMPUTED_VALUE"""),45667.434558877314)</f>
        <v>45667.43456</v>
      </c>
      <c r="K789" s="13" t="str">
        <f>IFERROR(__xludf.DUMMYFUNCTION("""COMPUTED_VALUE"""),"SELESAI")</f>
        <v>SELESAI</v>
      </c>
      <c r="L789" s="17">
        <f>IFERROR(__xludf.DUMMYFUNCTION("""COMPUTED_VALUE"""),45667.434558877314)</f>
        <v>45667.43456</v>
      </c>
      <c r="M789" s="17" t="str">
        <f>IFERROR(__xludf.DUMMYFUNCTION("""COMPUTED_VALUE"""),"")</f>
        <v/>
      </c>
      <c r="N789" s="17">
        <f>IFERROR(__xludf.DUMMYFUNCTION("""COMPUTED_VALUE"""),45667.43475864583)</f>
        <v>45667.43476</v>
      </c>
      <c r="O789" s="13">
        <f t="shared" si="1"/>
        <v>5</v>
      </c>
    </row>
    <row r="790" ht="22.5" customHeight="1">
      <c r="B790" s="13">
        <f>IFERROR(__xludf.DUMMYFUNCTION("""COMPUTED_VALUE"""),785.0)</f>
        <v>785</v>
      </c>
      <c r="C790" s="13" t="str">
        <f>IFERROR(__xludf.DUMMYFUNCTION("""COMPUTED_VALUE"""),"M. 339/ Pesawahan")</f>
        <v>M. 339/ Pesawahan</v>
      </c>
      <c r="D790" s="13" t="str">
        <f>IFERROR(__xludf.DUMMYFUNCTION("""COMPUTED_VALUE"""),"K/31/201224/3")</f>
        <v>K/31/201224/3</v>
      </c>
      <c r="E790" s="14" t="str">
        <f>IFERROR(__xludf.DUMMYFUNCTION("""COMPUTED_VALUE"""),"Afriza (BT)")</f>
        <v>Afriza (BT)</v>
      </c>
      <c r="F790" s="14" t="str">
        <f>IFERROR(__xludf.DUMMYFUNCTION("""COMPUTED_VALUE"""),"SELESAI (VIA PERMOHONAN)")</f>
        <v>SELESAI (VIA PERMOHONAN)</v>
      </c>
      <c r="G790" s="17">
        <f>IFERROR(__xludf.DUMMYFUNCTION("""COMPUTED_VALUE"""),45664.605614409724)</f>
        <v>45664.60561</v>
      </c>
      <c r="H790" s="14" t="str">
        <f>IFERROR(__xludf.DUMMYFUNCTION("""COMPUTED_VALUE"""),"Bu Eva (SU)")</f>
        <v>Bu Eva (SU)</v>
      </c>
      <c r="I790" s="13" t="str">
        <f>IFERROR(__xludf.DUMMYFUNCTION("""COMPUTED_VALUE"""),"SELESAI (VIA PERMOHONAN)")</f>
        <v>SELESAI (VIA PERMOHONAN)</v>
      </c>
      <c r="J790" s="17">
        <f>IFERROR(__xludf.DUMMYFUNCTION("""COMPUTED_VALUE"""),45665.647160740744)</f>
        <v>45665.64716</v>
      </c>
      <c r="K790" s="13" t="str">
        <f>IFERROR(__xludf.DUMMYFUNCTION("""COMPUTED_VALUE"""),"Selesai")</f>
        <v>Selesai</v>
      </c>
      <c r="L790" s="17">
        <f>IFERROR(__xludf.DUMMYFUNCTION("""COMPUTED_VALUE"""),45665.647160740744)</f>
        <v>45665.64716</v>
      </c>
      <c r="M790" s="17">
        <f>IFERROR(__xludf.DUMMYFUNCTION("""COMPUTED_VALUE"""),45665.647190937496)</f>
        <v>45665.64719</v>
      </c>
      <c r="N790" s="13" t="str">
        <f>IFERROR(__xludf.DUMMYFUNCTION("""COMPUTED_VALUE"""),"")</f>
        <v/>
      </c>
      <c r="O790" s="13" t="str">
        <f t="shared" si="1"/>
        <v/>
      </c>
    </row>
    <row r="791" ht="22.5" customHeight="1">
      <c r="B791" s="13">
        <f>IFERROR(__xludf.DUMMYFUNCTION("""COMPUTED_VALUE"""),786.0)</f>
        <v>786</v>
      </c>
      <c r="C791" s="13" t="str">
        <f>IFERROR(__xludf.DUMMYFUNCTION("""COMPUTED_VALUE"""),"M. 635/ Tanjung Raya")</f>
        <v>M. 635/ Tanjung Raya</v>
      </c>
      <c r="D791" s="13" t="str">
        <f>IFERROR(__xludf.DUMMYFUNCTION("""COMPUTED_VALUE"""),"K/26/271224/4")</f>
        <v>K/26/271224/4</v>
      </c>
      <c r="E791" s="14" t="str">
        <f>IFERROR(__xludf.DUMMYFUNCTION("""COMPUTED_VALUE"""),"Afriza (BT)")</f>
        <v>Afriza (BT)</v>
      </c>
      <c r="F791" s="14" t="str">
        <f>IFERROR(__xludf.DUMMYFUNCTION("""COMPUTED_VALUE"""),"SELESAI (VIA PERMOHONAN)")</f>
        <v>SELESAI (VIA PERMOHONAN)</v>
      </c>
      <c r="G791" s="17">
        <f>IFERROR(__xludf.DUMMYFUNCTION("""COMPUTED_VALUE"""),45664.60689859954)</f>
        <v>45664.6069</v>
      </c>
      <c r="H791" s="14" t="str">
        <f>IFERROR(__xludf.DUMMYFUNCTION("""COMPUTED_VALUE"""),"Aprill (SU)")</f>
        <v>Aprill (SU)</v>
      </c>
      <c r="I791" s="13" t="str">
        <f>IFERROR(__xludf.DUMMYFUNCTION("""COMPUTED_VALUE"""),"SELESAI (VIA PERMOHONAN)")</f>
        <v>SELESAI (VIA PERMOHONAN)</v>
      </c>
      <c r="J791" s="17">
        <f>IFERROR(__xludf.DUMMYFUNCTION("""COMPUTED_VALUE"""),45664.60699421296)</f>
        <v>45664.60699</v>
      </c>
      <c r="K791" s="13" t="str">
        <f>IFERROR(__xludf.DUMMYFUNCTION("""COMPUTED_VALUE"""),"Selesai")</f>
        <v>Selesai</v>
      </c>
      <c r="L791" s="17">
        <f>IFERROR(__xludf.DUMMYFUNCTION("""COMPUTED_VALUE"""),45664.60699421296)</f>
        <v>45664.60699</v>
      </c>
      <c r="M791" s="17">
        <f>IFERROR(__xludf.DUMMYFUNCTION("""COMPUTED_VALUE"""),45664.60701815972)</f>
        <v>45664.60702</v>
      </c>
      <c r="N791" s="13" t="str">
        <f>IFERROR(__xludf.DUMMYFUNCTION("""COMPUTED_VALUE"""),"")</f>
        <v/>
      </c>
      <c r="O791" s="13" t="str">
        <f t="shared" si="1"/>
        <v/>
      </c>
    </row>
    <row r="792" ht="22.5" customHeight="1">
      <c r="B792" s="13">
        <f>IFERROR(__xludf.DUMMYFUNCTION("""COMPUTED_VALUE"""),787.0)</f>
        <v>787</v>
      </c>
      <c r="C792" s="13" t="str">
        <f>IFERROR(__xludf.DUMMYFUNCTION("""COMPUTED_VALUE"""),"M. 1861/ Susunan Baru")</f>
        <v>M. 1861/ Susunan Baru</v>
      </c>
      <c r="D792" s="13" t="str">
        <f>IFERROR(__xludf.DUMMYFUNCTION("""COMPUTED_VALUE"""),"K/34/311224/1")</f>
        <v>K/34/311224/1</v>
      </c>
      <c r="E792" s="14" t="str">
        <f>IFERROR(__xludf.DUMMYFUNCTION("""COMPUTED_VALUE"""),"Afriza (BT)")</f>
        <v>Afriza (BT)</v>
      </c>
      <c r="F792" s="14" t="str">
        <f>IFERROR(__xludf.DUMMYFUNCTION("""COMPUTED_VALUE"""),"SELESAI (VIA PERMOHONAN)")</f>
        <v>SELESAI (VIA PERMOHONAN)</v>
      </c>
      <c r="G792" s="17">
        <f>IFERROR(__xludf.DUMMYFUNCTION("""COMPUTED_VALUE"""),45664.608310787036)</f>
        <v>45664.60831</v>
      </c>
      <c r="H792" s="14" t="str">
        <f>IFERROR(__xludf.DUMMYFUNCTION("""COMPUTED_VALUE"""),"Bu Eva (SU)")</f>
        <v>Bu Eva (SU)</v>
      </c>
      <c r="I792" s="13" t="str">
        <f>IFERROR(__xludf.DUMMYFUNCTION("""COMPUTED_VALUE"""),"SELESAI (VIA PERMOHONAN)")</f>
        <v>SELESAI (VIA PERMOHONAN)</v>
      </c>
      <c r="J792" s="17">
        <f>IFERROR(__xludf.DUMMYFUNCTION("""COMPUTED_VALUE"""),45665.64717509259)</f>
        <v>45665.64718</v>
      </c>
      <c r="K792" s="13" t="str">
        <f>IFERROR(__xludf.DUMMYFUNCTION("""COMPUTED_VALUE"""),"Selesai")</f>
        <v>Selesai</v>
      </c>
      <c r="L792" s="17">
        <f>IFERROR(__xludf.DUMMYFUNCTION("""COMPUTED_VALUE"""),45665.64717509259)</f>
        <v>45665.64718</v>
      </c>
      <c r="M792" s="17">
        <f>IFERROR(__xludf.DUMMYFUNCTION("""COMPUTED_VALUE"""),45665.64720273148)</f>
        <v>45665.6472</v>
      </c>
      <c r="N792" s="13" t="str">
        <f>IFERROR(__xludf.DUMMYFUNCTION("""COMPUTED_VALUE"""),"")</f>
        <v/>
      </c>
      <c r="O792" s="13" t="str">
        <f t="shared" si="1"/>
        <v/>
      </c>
    </row>
    <row r="793" ht="22.5" customHeight="1">
      <c r="B793" s="13">
        <f>IFERROR(__xludf.DUMMYFUNCTION("""COMPUTED_VALUE"""),788.0)</f>
        <v>788</v>
      </c>
      <c r="C793" s="13" t="str">
        <f>IFERROR(__xludf.DUMMYFUNCTION("""COMPUTED_VALUE"""),"B.820/PERUMNAS WAY KANDIS-SEKARANG;B.579/WAY KANDIS-DAHULU")</f>
        <v>B.820/PERUMNAS WAY KANDIS-SEKARANG;B.579/WAY KANDIS-DAHULU</v>
      </c>
      <c r="D793" s="13" t="str">
        <f>IFERROR(__xludf.DUMMYFUNCTION("""COMPUTED_VALUE"""),"K/16/131224/1")</f>
        <v>K/16/131224/1</v>
      </c>
      <c r="E793" s="14" t="str">
        <f>IFERROR(__xludf.DUMMYFUNCTION("""COMPUTED_VALUE"""),"Admin (Migrasi)")</f>
        <v>Admin (Migrasi)</v>
      </c>
      <c r="F793" s="14" t="str">
        <f>IFERROR(__xludf.DUMMYFUNCTION("""COMPUTED_VALUE"""),"SELESAI")</f>
        <v>SELESAI</v>
      </c>
      <c r="G793" s="17">
        <f>IFERROR(__xludf.DUMMYFUNCTION("""COMPUTED_VALUE"""),45664.62431950231)</f>
        <v>45664.62432</v>
      </c>
      <c r="H793" s="14" t="str">
        <f>IFERROR(__xludf.DUMMYFUNCTION("""COMPUTED_VALUE"""),"Admin (Migrasi)")</f>
        <v>Admin (Migrasi)</v>
      </c>
      <c r="I793" s="13" t="str">
        <f>IFERROR(__xludf.DUMMYFUNCTION("""COMPUTED_VALUE"""),"SELESAI")</f>
        <v>SELESAI</v>
      </c>
      <c r="J793" s="17">
        <f>IFERROR(__xludf.DUMMYFUNCTION("""COMPUTED_VALUE"""),45664.62448111111)</f>
        <v>45664.62448</v>
      </c>
      <c r="K793" s="13" t="str">
        <f>IFERROR(__xludf.DUMMYFUNCTION("""COMPUTED_VALUE"""),"SELESAI")</f>
        <v>SELESAI</v>
      </c>
      <c r="L793" s="17">
        <f>IFERROR(__xludf.DUMMYFUNCTION("""COMPUTED_VALUE"""),45664.62448111111)</f>
        <v>45664.62448</v>
      </c>
      <c r="M793" s="17" t="str">
        <f>IFERROR(__xludf.DUMMYFUNCTION("""COMPUTED_VALUE"""),"")</f>
        <v/>
      </c>
      <c r="N793" s="13" t="str">
        <f>IFERROR(__xludf.DUMMYFUNCTION("""COMPUTED_VALUE"""),"")</f>
        <v/>
      </c>
      <c r="O793" s="13" t="str">
        <f t="shared" si="1"/>
        <v/>
      </c>
    </row>
    <row r="794" ht="22.5" customHeight="1">
      <c r="B794" s="13">
        <f>IFERROR(__xludf.DUMMYFUNCTION("""COMPUTED_VALUE"""),789.0)</f>
        <v>789</v>
      </c>
      <c r="C794" s="13" t="str">
        <f>IFERROR(__xludf.DUMMYFUNCTION("""COMPUTED_VALUE"""),"M.16761/SUKABUMI")</f>
        <v>M.16761/SUKABUMI</v>
      </c>
      <c r="D794" s="13" t="str">
        <f>IFERROR(__xludf.DUMMYFUNCTION("""COMPUTED_VALUE"""),"K/5/161224/3")</f>
        <v>K/5/161224/3</v>
      </c>
      <c r="E794" s="14" t="str">
        <f>IFERROR(__xludf.DUMMYFUNCTION("""COMPUTED_VALUE"""),"Admin (Migrasi)")</f>
        <v>Admin (Migrasi)</v>
      </c>
      <c r="F794" s="14" t="str">
        <f>IFERROR(__xludf.DUMMYFUNCTION("""COMPUTED_VALUE"""),"SELESAI")</f>
        <v>SELESAI</v>
      </c>
      <c r="G794" s="17">
        <f>IFERROR(__xludf.DUMMYFUNCTION("""COMPUTED_VALUE"""),45664.62433795139)</f>
        <v>45664.62434</v>
      </c>
      <c r="H794" s="14" t="str">
        <f>IFERROR(__xludf.DUMMYFUNCTION("""COMPUTED_VALUE"""),"Admin (Migrasi)")</f>
        <v>Admin (Migrasi)</v>
      </c>
      <c r="I794" s="13" t="str">
        <f>IFERROR(__xludf.DUMMYFUNCTION("""COMPUTED_VALUE"""),"SELESAI")</f>
        <v>SELESAI</v>
      </c>
      <c r="J794" s="17">
        <f>IFERROR(__xludf.DUMMYFUNCTION("""COMPUTED_VALUE"""),45664.62448668982)</f>
        <v>45664.62449</v>
      </c>
      <c r="K794" s="13" t="str">
        <f>IFERROR(__xludf.DUMMYFUNCTION("""COMPUTED_VALUE"""),"SELESAI")</f>
        <v>SELESAI</v>
      </c>
      <c r="L794" s="17">
        <f>IFERROR(__xludf.DUMMYFUNCTION("""COMPUTED_VALUE"""),45664.62448668982)</f>
        <v>45664.62449</v>
      </c>
      <c r="M794" s="17" t="str">
        <f>IFERROR(__xludf.DUMMYFUNCTION("""COMPUTED_VALUE"""),"")</f>
        <v/>
      </c>
      <c r="N794" s="13" t="str">
        <f>IFERROR(__xludf.DUMMYFUNCTION("""COMPUTED_VALUE"""),"")</f>
        <v/>
      </c>
      <c r="O794" s="13" t="str">
        <f t="shared" si="1"/>
        <v/>
      </c>
    </row>
    <row r="795" ht="22.5" customHeight="1">
      <c r="B795" s="13">
        <f>IFERROR(__xludf.DUMMYFUNCTION("""COMPUTED_VALUE"""),790.0)</f>
        <v>790</v>
      </c>
      <c r="C795" s="13" t="str">
        <f>IFERROR(__xludf.DUMMYFUNCTION("""COMPUTED_VALUE"""),"M.5631/LANGKAPURA-SEKARANG-M.3781/GUNUNG TERANG-DAHULU")</f>
        <v>M.5631/LANGKAPURA-SEKARANG-M.3781/GUNUNG TERANG-DAHULU</v>
      </c>
      <c r="D795" s="13" t="str">
        <f>IFERROR(__xludf.DUMMYFUNCTION("""COMPUTED_VALUE"""),"K/34/161224/2")</f>
        <v>K/34/161224/2</v>
      </c>
      <c r="E795" s="14" t="str">
        <f>IFERROR(__xludf.DUMMYFUNCTION("""COMPUTED_VALUE"""),"Admin (Migrasi)")</f>
        <v>Admin (Migrasi)</v>
      </c>
      <c r="F795" s="14" t="str">
        <f>IFERROR(__xludf.DUMMYFUNCTION("""COMPUTED_VALUE"""),"SELESAI")</f>
        <v>SELESAI</v>
      </c>
      <c r="G795" s="17">
        <f>IFERROR(__xludf.DUMMYFUNCTION("""COMPUTED_VALUE"""),45664.62434327546)</f>
        <v>45664.62434</v>
      </c>
      <c r="H795" s="14" t="str">
        <f>IFERROR(__xludf.DUMMYFUNCTION("""COMPUTED_VALUE"""),"Admin (Migrasi)")</f>
        <v>Admin (Migrasi)</v>
      </c>
      <c r="I795" s="13" t="str">
        <f>IFERROR(__xludf.DUMMYFUNCTION("""COMPUTED_VALUE"""),"SELESAI")</f>
        <v>SELESAI</v>
      </c>
      <c r="J795" s="17">
        <f>IFERROR(__xludf.DUMMYFUNCTION("""COMPUTED_VALUE"""),45664.624492268515)</f>
        <v>45664.62449</v>
      </c>
      <c r="K795" s="13" t="str">
        <f>IFERROR(__xludf.DUMMYFUNCTION("""COMPUTED_VALUE"""),"SELESAI")</f>
        <v>SELESAI</v>
      </c>
      <c r="L795" s="17">
        <f>IFERROR(__xludf.DUMMYFUNCTION("""COMPUTED_VALUE"""),45664.624492268515)</f>
        <v>45664.62449</v>
      </c>
      <c r="M795" s="17" t="str">
        <f>IFERROR(__xludf.DUMMYFUNCTION("""COMPUTED_VALUE"""),"")</f>
        <v/>
      </c>
      <c r="N795" s="13" t="str">
        <f>IFERROR(__xludf.DUMMYFUNCTION("""COMPUTED_VALUE"""),"")</f>
        <v/>
      </c>
      <c r="O795" s="13" t="str">
        <f t="shared" si="1"/>
        <v/>
      </c>
    </row>
    <row r="796" ht="22.5" customHeight="1">
      <c r="B796" s="13">
        <f>IFERROR(__xludf.DUMMYFUNCTION("""COMPUTED_VALUE"""),791.0)</f>
        <v>791</v>
      </c>
      <c r="C796" s="13" t="str">
        <f>IFERROR(__xludf.DUMMYFUNCTION("""COMPUTED_VALUE"""),"M.10130/SUKABUMI")</f>
        <v>M.10130/SUKABUMI</v>
      </c>
      <c r="D796" s="13" t="str">
        <f>IFERROR(__xludf.DUMMYFUNCTION("""COMPUTED_VALUE"""),"K/21/171224/1")</f>
        <v>K/21/171224/1</v>
      </c>
      <c r="E796" s="14" t="str">
        <f>IFERROR(__xludf.DUMMYFUNCTION("""COMPUTED_VALUE"""),"Admin (Migrasi)")</f>
        <v>Admin (Migrasi)</v>
      </c>
      <c r="F796" s="14" t="str">
        <f>IFERROR(__xludf.DUMMYFUNCTION("""COMPUTED_VALUE"""),"SELESAI")</f>
        <v>SELESAI</v>
      </c>
      <c r="G796" s="17">
        <f>IFERROR(__xludf.DUMMYFUNCTION("""COMPUTED_VALUE"""),45664.62434825231)</f>
        <v>45664.62435</v>
      </c>
      <c r="H796" s="14" t="str">
        <f>IFERROR(__xludf.DUMMYFUNCTION("""COMPUTED_VALUE"""),"Admin (Migrasi)")</f>
        <v>Admin (Migrasi)</v>
      </c>
      <c r="I796" s="13" t="str">
        <f>IFERROR(__xludf.DUMMYFUNCTION("""COMPUTED_VALUE"""),"SELESAI")</f>
        <v>SELESAI</v>
      </c>
      <c r="J796" s="17">
        <f>IFERROR(__xludf.DUMMYFUNCTION("""COMPUTED_VALUE"""),45664.6244969213)</f>
        <v>45664.6245</v>
      </c>
      <c r="K796" s="13" t="str">
        <f>IFERROR(__xludf.DUMMYFUNCTION("""COMPUTED_VALUE"""),"SELESAI")</f>
        <v>SELESAI</v>
      </c>
      <c r="L796" s="17">
        <f>IFERROR(__xludf.DUMMYFUNCTION("""COMPUTED_VALUE"""),45664.6244969213)</f>
        <v>45664.6245</v>
      </c>
      <c r="M796" s="17" t="str">
        <f>IFERROR(__xludf.DUMMYFUNCTION("""COMPUTED_VALUE"""),"")</f>
        <v/>
      </c>
      <c r="N796" s="13" t="str">
        <f>IFERROR(__xludf.DUMMYFUNCTION("""COMPUTED_VALUE"""),"")</f>
        <v/>
      </c>
      <c r="O796" s="13" t="str">
        <f t="shared" si="1"/>
        <v/>
      </c>
    </row>
    <row r="797" ht="22.5" customHeight="1">
      <c r="B797" s="13">
        <f>IFERROR(__xludf.DUMMYFUNCTION("""COMPUTED_VALUE"""),792.0)</f>
        <v>792</v>
      </c>
      <c r="C797" s="13" t="str">
        <f>IFERROR(__xludf.DUMMYFUNCTION("""COMPUTED_VALUE"""),"M. 339/ RAJABASA RAYA")</f>
        <v>M. 339/ RAJABASA RAYA</v>
      </c>
      <c r="D797" s="13" t="str">
        <f>IFERROR(__xludf.DUMMYFUNCTION("""COMPUTED_VALUE"""),"K/8/191224/1")</f>
        <v>K/8/191224/1</v>
      </c>
      <c r="E797" s="14" t="str">
        <f>IFERROR(__xludf.DUMMYFUNCTION("""COMPUTED_VALUE"""),"Admin (Migrasi)")</f>
        <v>Admin (Migrasi)</v>
      </c>
      <c r="F797" s="14" t="str">
        <f>IFERROR(__xludf.DUMMYFUNCTION("""COMPUTED_VALUE"""),"SELESAI")</f>
        <v>SELESAI</v>
      </c>
      <c r="G797" s="17">
        <f>IFERROR(__xludf.DUMMYFUNCTION("""COMPUTED_VALUE"""),45664.62435271991)</f>
        <v>45664.62435</v>
      </c>
      <c r="H797" s="14" t="str">
        <f>IFERROR(__xludf.DUMMYFUNCTION("""COMPUTED_VALUE"""),"Admin (Migrasi)")</f>
        <v>Admin (Migrasi)</v>
      </c>
      <c r="I797" s="13" t="str">
        <f>IFERROR(__xludf.DUMMYFUNCTION("""COMPUTED_VALUE"""),"SELESAI")</f>
        <v>SELESAI</v>
      </c>
      <c r="J797" s="17">
        <f>IFERROR(__xludf.DUMMYFUNCTION("""COMPUTED_VALUE"""),45664.6245012037)</f>
        <v>45664.6245</v>
      </c>
      <c r="K797" s="13" t="str">
        <f>IFERROR(__xludf.DUMMYFUNCTION("""COMPUTED_VALUE"""),"SELESAI")</f>
        <v>SELESAI</v>
      </c>
      <c r="L797" s="17">
        <f>IFERROR(__xludf.DUMMYFUNCTION("""COMPUTED_VALUE"""),45664.6245012037)</f>
        <v>45664.6245</v>
      </c>
      <c r="M797" s="17" t="str">
        <f>IFERROR(__xludf.DUMMYFUNCTION("""COMPUTED_VALUE"""),"")</f>
        <v/>
      </c>
      <c r="N797" s="13" t="str">
        <f>IFERROR(__xludf.DUMMYFUNCTION("""COMPUTED_VALUE"""),"")</f>
        <v/>
      </c>
      <c r="O797" s="13" t="str">
        <f t="shared" si="1"/>
        <v/>
      </c>
    </row>
    <row r="798" ht="22.5" customHeight="1">
      <c r="B798" s="13">
        <f>IFERROR(__xludf.DUMMYFUNCTION("""COMPUTED_VALUE"""),793.0)</f>
        <v>793</v>
      </c>
      <c r="C798" s="13" t="str">
        <f>IFERROR(__xludf.DUMMYFUNCTION("""COMPUTED_VALUE"""),"M.1640/WAY LAGA")</f>
        <v>M.1640/WAY LAGA</v>
      </c>
      <c r="D798" s="13" t="str">
        <f>IFERROR(__xludf.DUMMYFUNCTION("""COMPUTED_VALUE"""),"K/5/241224/1")</f>
        <v>K/5/241224/1</v>
      </c>
      <c r="E798" s="14" t="str">
        <f>IFERROR(__xludf.DUMMYFUNCTION("""COMPUTED_VALUE"""),"Admin (Migrasi)")</f>
        <v>Admin (Migrasi)</v>
      </c>
      <c r="F798" s="14" t="str">
        <f>IFERROR(__xludf.DUMMYFUNCTION("""COMPUTED_VALUE"""),"SELESAI")</f>
        <v>SELESAI</v>
      </c>
      <c r="G798" s="17">
        <f>IFERROR(__xludf.DUMMYFUNCTION("""COMPUTED_VALUE"""),45664.624357187495)</f>
        <v>45664.62436</v>
      </c>
      <c r="H798" s="14" t="str">
        <f>IFERROR(__xludf.DUMMYFUNCTION("""COMPUTED_VALUE"""),"Admin (Migrasi)")</f>
        <v>Admin (Migrasi)</v>
      </c>
      <c r="I798" s="13" t="str">
        <f>IFERROR(__xludf.DUMMYFUNCTION("""COMPUTED_VALUE"""),"SELESAI")</f>
        <v>SELESAI</v>
      </c>
      <c r="J798" s="17">
        <f>IFERROR(__xludf.DUMMYFUNCTION("""COMPUTED_VALUE"""),45664.62450597222)</f>
        <v>45664.62451</v>
      </c>
      <c r="K798" s="13" t="str">
        <f>IFERROR(__xludf.DUMMYFUNCTION("""COMPUTED_VALUE"""),"SELESAI")</f>
        <v>SELESAI</v>
      </c>
      <c r="L798" s="17">
        <f>IFERROR(__xludf.DUMMYFUNCTION("""COMPUTED_VALUE"""),45664.62450597222)</f>
        <v>45664.62451</v>
      </c>
      <c r="M798" s="17" t="str">
        <f>IFERROR(__xludf.DUMMYFUNCTION("""COMPUTED_VALUE"""),"")</f>
        <v/>
      </c>
      <c r="N798" s="13" t="str">
        <f>IFERROR(__xludf.DUMMYFUNCTION("""COMPUTED_VALUE"""),"")</f>
        <v/>
      </c>
      <c r="O798" s="13" t="str">
        <f t="shared" si="1"/>
        <v/>
      </c>
    </row>
    <row r="799" ht="22.5" customHeight="1">
      <c r="B799" s="13">
        <f>IFERROR(__xludf.DUMMYFUNCTION("""COMPUTED_VALUE"""),794.0)</f>
        <v>794</v>
      </c>
      <c r="C799" s="13" t="str">
        <f>IFERROR(__xludf.DUMMYFUNCTION("""COMPUTED_VALUE"""),"HM 555/KORPRI RAYA")</f>
        <v>HM 555/KORPRI RAYA</v>
      </c>
      <c r="D799" s="13" t="str">
        <f>IFERROR(__xludf.DUMMYFUNCTION("""COMPUTED_VALUE"""),"L/37/271224/1")</f>
        <v>L/37/271224/1</v>
      </c>
      <c r="E799" s="14" t="str">
        <f>IFERROR(__xludf.DUMMYFUNCTION("""COMPUTED_VALUE"""),"Admin (Migrasi)")</f>
        <v>Admin (Migrasi)</v>
      </c>
      <c r="F799" s="14" t="str">
        <f>IFERROR(__xludf.DUMMYFUNCTION("""COMPUTED_VALUE"""),"SELESAI")</f>
        <v>SELESAI</v>
      </c>
      <c r="G799" s="17">
        <f>IFERROR(__xludf.DUMMYFUNCTION("""COMPUTED_VALUE"""),45664.62437457176)</f>
        <v>45664.62437</v>
      </c>
      <c r="H799" s="14" t="str">
        <f>IFERROR(__xludf.DUMMYFUNCTION("""COMPUTED_VALUE"""),"Admin (Migrasi)")</f>
        <v>Admin (Migrasi)</v>
      </c>
      <c r="I799" s="13" t="str">
        <f>IFERROR(__xludf.DUMMYFUNCTION("""COMPUTED_VALUE"""),"SELESAI")</f>
        <v>SELESAI</v>
      </c>
      <c r="J799" s="17">
        <f>IFERROR(__xludf.DUMMYFUNCTION("""COMPUTED_VALUE"""),45664.6245134375)</f>
        <v>45664.62451</v>
      </c>
      <c r="K799" s="13" t="str">
        <f>IFERROR(__xludf.DUMMYFUNCTION("""COMPUTED_VALUE"""),"SELESAI")</f>
        <v>SELESAI</v>
      </c>
      <c r="L799" s="17">
        <f>IFERROR(__xludf.DUMMYFUNCTION("""COMPUTED_VALUE"""),45664.6245134375)</f>
        <v>45664.62451</v>
      </c>
      <c r="M799" s="17" t="str">
        <f>IFERROR(__xludf.DUMMYFUNCTION("""COMPUTED_VALUE"""),"")</f>
        <v/>
      </c>
      <c r="N799" s="13" t="str">
        <f>IFERROR(__xludf.DUMMYFUNCTION("""COMPUTED_VALUE"""),"")</f>
        <v/>
      </c>
      <c r="O799" s="13" t="str">
        <f t="shared" si="1"/>
        <v/>
      </c>
    </row>
    <row r="800" ht="22.5" customHeight="1">
      <c r="B800" s="13">
        <f>IFERROR(__xludf.DUMMYFUNCTION("""COMPUTED_VALUE"""),795.0)</f>
        <v>795</v>
      </c>
      <c r="C800" s="13" t="str">
        <f>IFERROR(__xludf.DUMMYFUNCTION("""COMPUTED_VALUE"""),"M. 1974/ Jagabaya III")</f>
        <v>M. 1974/ Jagabaya III</v>
      </c>
      <c r="D800" s="13" t="str">
        <f>IFERROR(__xludf.DUMMYFUNCTION("""COMPUTED_VALUE"""),"K/54/191124/2")</f>
        <v>K/54/191124/2</v>
      </c>
      <c r="E800" s="14" t="str">
        <f>IFERROR(__xludf.DUMMYFUNCTION("""COMPUTED_VALUE"""),"Admin (Migrasi)")</f>
        <v>Admin (Migrasi)</v>
      </c>
      <c r="F800" s="14" t="str">
        <f>IFERROR(__xludf.DUMMYFUNCTION("""COMPUTED_VALUE"""),"SELESAI")</f>
        <v>SELESAI</v>
      </c>
      <c r="G800" s="17">
        <f>IFERROR(__xludf.DUMMYFUNCTION("""COMPUTED_VALUE"""),45664.637528136576)</f>
        <v>45664.63753</v>
      </c>
      <c r="H800" s="14" t="str">
        <f>IFERROR(__xludf.DUMMYFUNCTION("""COMPUTED_VALUE"""),"Admin (Migrasi)")</f>
        <v>Admin (Migrasi)</v>
      </c>
      <c r="I800" s="13" t="str">
        <f>IFERROR(__xludf.DUMMYFUNCTION("""COMPUTED_VALUE"""),"SELESAI")</f>
        <v>SELESAI</v>
      </c>
      <c r="J800" s="17">
        <f>IFERROR(__xludf.DUMMYFUNCTION("""COMPUTED_VALUE"""),45664.63770788195)</f>
        <v>45664.63771</v>
      </c>
      <c r="K800" s="13" t="str">
        <f>IFERROR(__xludf.DUMMYFUNCTION("""COMPUTED_VALUE"""),"SELESAI")</f>
        <v>SELESAI</v>
      </c>
      <c r="L800" s="17">
        <f>IFERROR(__xludf.DUMMYFUNCTION("""COMPUTED_VALUE"""),45664.63770788195)</f>
        <v>45664.63771</v>
      </c>
      <c r="M800" s="17" t="str">
        <f>IFERROR(__xludf.DUMMYFUNCTION("""COMPUTED_VALUE"""),"")</f>
        <v/>
      </c>
      <c r="N800" s="13" t="str">
        <f>IFERROR(__xludf.DUMMYFUNCTION("""COMPUTED_VALUE"""),"")</f>
        <v/>
      </c>
      <c r="O800" s="13" t="str">
        <f t="shared" si="1"/>
        <v/>
      </c>
    </row>
    <row r="801" ht="22.5" customHeight="1">
      <c r="B801" s="13">
        <f>IFERROR(__xludf.DUMMYFUNCTION("""COMPUTED_VALUE"""),796.0)</f>
        <v>796</v>
      </c>
      <c r="C801" s="13" t="str">
        <f>IFERROR(__xludf.DUMMYFUNCTION("""COMPUTED_VALUE"""),"M. 216/ Bumi Raya")</f>
        <v>M. 216/ Bumi Raya</v>
      </c>
      <c r="D801" s="13" t="str">
        <f>IFERROR(__xludf.DUMMYFUNCTION("""COMPUTED_VALUE"""),"K/24/281124/1")</f>
        <v>K/24/281124/1</v>
      </c>
      <c r="E801" s="14" t="str">
        <f>IFERROR(__xludf.DUMMYFUNCTION("""COMPUTED_VALUE"""),"Admin (Migrasi)")</f>
        <v>Admin (Migrasi)</v>
      </c>
      <c r="F801" s="14" t="str">
        <f>IFERROR(__xludf.DUMMYFUNCTION("""COMPUTED_VALUE"""),"SELESAI")</f>
        <v>SELESAI</v>
      </c>
      <c r="G801" s="17">
        <f>IFERROR(__xludf.DUMMYFUNCTION("""COMPUTED_VALUE"""),45664.637549374995)</f>
        <v>45664.63755</v>
      </c>
      <c r="H801" s="14" t="str">
        <f>IFERROR(__xludf.DUMMYFUNCTION("""COMPUTED_VALUE"""),"Admin (Migrasi)")</f>
        <v>Admin (Migrasi)</v>
      </c>
      <c r="I801" s="13" t="str">
        <f>IFERROR(__xludf.DUMMYFUNCTION("""COMPUTED_VALUE"""),"SELESAI")</f>
        <v>SELESAI</v>
      </c>
      <c r="J801" s="17">
        <f>IFERROR(__xludf.DUMMYFUNCTION("""COMPUTED_VALUE"""),45664.63772439815)</f>
        <v>45664.63772</v>
      </c>
      <c r="K801" s="13" t="str">
        <f>IFERROR(__xludf.DUMMYFUNCTION("""COMPUTED_VALUE"""),"SELESAI")</f>
        <v>SELESAI</v>
      </c>
      <c r="L801" s="17">
        <f>IFERROR(__xludf.DUMMYFUNCTION("""COMPUTED_VALUE"""),45664.63772439815)</f>
        <v>45664.63772</v>
      </c>
      <c r="M801" s="17" t="str">
        <f>IFERROR(__xludf.DUMMYFUNCTION("""COMPUTED_VALUE"""),"")</f>
        <v/>
      </c>
      <c r="N801" s="13" t="str">
        <f>IFERROR(__xludf.DUMMYFUNCTION("""COMPUTED_VALUE"""),"")</f>
        <v/>
      </c>
      <c r="O801" s="13" t="str">
        <f t="shared" si="1"/>
        <v/>
      </c>
    </row>
    <row r="802" ht="22.5" customHeight="1">
      <c r="B802" s="13">
        <f>IFERROR(__xludf.DUMMYFUNCTION("""COMPUTED_VALUE"""),797.0)</f>
        <v>797</v>
      </c>
      <c r="C802" s="13" t="str">
        <f>IFERROR(__xludf.DUMMYFUNCTION("""COMPUTED_VALUE"""),"M.18/WAY HALIM PERMAI")</f>
        <v>M.18/WAY HALIM PERMAI</v>
      </c>
      <c r="D802" s="13" t="str">
        <f>IFERROR(__xludf.DUMMYFUNCTION("""COMPUTED_VALUE"""),"K/34/291124/1")</f>
        <v>K/34/291124/1</v>
      </c>
      <c r="E802" s="14" t="str">
        <f>IFERROR(__xludf.DUMMYFUNCTION("""COMPUTED_VALUE"""),"Admin (Migrasi)")</f>
        <v>Admin (Migrasi)</v>
      </c>
      <c r="F802" s="14" t="str">
        <f>IFERROR(__xludf.DUMMYFUNCTION("""COMPUTED_VALUE"""),"SELESAI")</f>
        <v>SELESAI</v>
      </c>
      <c r="G802" s="17">
        <f>IFERROR(__xludf.DUMMYFUNCTION("""COMPUTED_VALUE"""),45664.63757385417)</f>
        <v>45664.63757</v>
      </c>
      <c r="H802" s="14" t="str">
        <f>IFERROR(__xludf.DUMMYFUNCTION("""COMPUTED_VALUE"""),"Admin (Migrasi)")</f>
        <v>Admin (Migrasi)</v>
      </c>
      <c r="I802" s="13" t="str">
        <f>IFERROR(__xludf.DUMMYFUNCTION("""COMPUTED_VALUE"""),"SELESAI")</f>
        <v>SELESAI</v>
      </c>
      <c r="J802" s="17">
        <f>IFERROR(__xludf.DUMMYFUNCTION("""COMPUTED_VALUE"""),45664.63773584491)</f>
        <v>45664.63774</v>
      </c>
      <c r="K802" s="13" t="str">
        <f>IFERROR(__xludf.DUMMYFUNCTION("""COMPUTED_VALUE"""),"SELESAI")</f>
        <v>SELESAI</v>
      </c>
      <c r="L802" s="17">
        <f>IFERROR(__xludf.DUMMYFUNCTION("""COMPUTED_VALUE"""),45664.63773584491)</f>
        <v>45664.63774</v>
      </c>
      <c r="M802" s="17" t="str">
        <f>IFERROR(__xludf.DUMMYFUNCTION("""COMPUTED_VALUE"""),"")</f>
        <v/>
      </c>
      <c r="N802" s="13" t="str">
        <f>IFERROR(__xludf.DUMMYFUNCTION("""COMPUTED_VALUE"""),"")</f>
        <v/>
      </c>
      <c r="O802" s="13" t="str">
        <f t="shared" si="1"/>
        <v/>
      </c>
    </row>
    <row r="803" ht="22.5" customHeight="1">
      <c r="B803" s="13">
        <f>IFERROR(__xludf.DUMMYFUNCTION("""COMPUTED_VALUE"""),798.0)</f>
        <v>798</v>
      </c>
      <c r="C803" s="13" t="str">
        <f>IFERROR(__xludf.DUMMYFUNCTION("""COMPUTED_VALUE"""),"M. 22/ Kupang Teba ")</f>
        <v>M. 22/ Kupang Teba </v>
      </c>
      <c r="D803" s="13" t="str">
        <f>IFERROR(__xludf.DUMMYFUNCTION("""COMPUTED_VALUE"""),"K/5/060125/1")</f>
        <v>K/5/060125/1</v>
      </c>
      <c r="E803" s="14" t="str">
        <f>IFERROR(__xludf.DUMMYFUNCTION("""COMPUTED_VALUE"""),"Afriza (BT)")</f>
        <v>Afriza (BT)</v>
      </c>
      <c r="F803" s="14" t="str">
        <f>IFERROR(__xludf.DUMMYFUNCTION("""COMPUTED_VALUE"""),"SELESAI")</f>
        <v>SELESAI</v>
      </c>
      <c r="G803" s="17">
        <f>IFERROR(__xludf.DUMMYFUNCTION("""COMPUTED_VALUE"""),45665.41169493056)</f>
        <v>45665.41169</v>
      </c>
      <c r="H803" s="14"/>
      <c r="I803" s="13"/>
      <c r="J803" s="17" t="str">
        <f>IFERROR(__xludf.DUMMYFUNCTION("""COMPUTED_VALUE"""),"")</f>
        <v/>
      </c>
      <c r="K803" s="13" t="str">
        <f>IFERROR(__xludf.DUMMYFUNCTION("""COMPUTED_VALUE"""),"BT atau SU Belum Valid")</f>
        <v>BT atau SU Belum Valid</v>
      </c>
      <c r="L803" s="13" t="str">
        <f>IFERROR(__xludf.DUMMYFUNCTION("""COMPUTED_VALUE"""),"")</f>
        <v/>
      </c>
      <c r="M803" s="17" t="str">
        <f>IFERROR(__xludf.DUMMYFUNCTION("""COMPUTED_VALUE"""),"")</f>
        <v/>
      </c>
      <c r="N803" s="13" t="str">
        <f>IFERROR(__xludf.DUMMYFUNCTION("""COMPUTED_VALUE"""),"")</f>
        <v/>
      </c>
      <c r="O803" s="13" t="str">
        <f t="shared" si="1"/>
        <v/>
      </c>
    </row>
    <row r="804" ht="22.5" customHeight="1">
      <c r="B804" s="13">
        <f>IFERROR(__xludf.DUMMYFUNCTION("""COMPUTED_VALUE"""),799.0)</f>
        <v>799</v>
      </c>
      <c r="C804" s="13" t="str">
        <f>IFERROR(__xludf.DUMMYFUNCTION("""COMPUTED_VALUE"""),"M. 968/ Labuhan Dalam")</f>
        <v>M. 968/ Labuhan Dalam</v>
      </c>
      <c r="D804" s="13" t="str">
        <f>IFERROR(__xludf.DUMMYFUNCTION("""COMPUTED_VALUE"""),"K/38/311224/2")</f>
        <v>K/38/311224/2</v>
      </c>
      <c r="E804" s="14" t="str">
        <f>IFERROR(__xludf.DUMMYFUNCTION("""COMPUTED_VALUE"""),"Afriza (BT)")</f>
        <v>Afriza (BT)</v>
      </c>
      <c r="F804" s="14" t="str">
        <f>IFERROR(__xludf.DUMMYFUNCTION("""COMPUTED_VALUE"""),"SELESAI")</f>
        <v>SELESAI</v>
      </c>
      <c r="G804" s="17">
        <f>IFERROR(__xludf.DUMMYFUNCTION("""COMPUTED_VALUE"""),45665.41444796296)</f>
        <v>45665.41445</v>
      </c>
      <c r="H804" s="14" t="str">
        <f>IFERROR(__xludf.DUMMYFUNCTION("""COMPUTED_VALUE"""),"Aprill (SU)")</f>
        <v>Aprill (SU)</v>
      </c>
      <c r="I804" s="13" t="str">
        <f>IFERROR(__xludf.DUMMYFUNCTION("""COMPUTED_VALUE"""),"SELESAI")</f>
        <v>SELESAI</v>
      </c>
      <c r="J804" s="17">
        <f>IFERROR(__xludf.DUMMYFUNCTION("""COMPUTED_VALUE"""),45665.41451834491)</f>
        <v>45665.41452</v>
      </c>
      <c r="K804" s="13" t="str">
        <f>IFERROR(__xludf.DUMMYFUNCTION("""COMPUTED_VALUE"""),"SELESAI")</f>
        <v>SELESAI</v>
      </c>
      <c r="L804" s="17">
        <f>IFERROR(__xludf.DUMMYFUNCTION("""COMPUTED_VALUE"""),45665.41451834491)</f>
        <v>45665.41452</v>
      </c>
      <c r="M804" s="17">
        <f>IFERROR(__xludf.DUMMYFUNCTION("""COMPUTED_VALUE"""),45665.414531331015)</f>
        <v>45665.41453</v>
      </c>
      <c r="N804" s="17">
        <f>IFERROR(__xludf.DUMMYFUNCTION("""COMPUTED_VALUE"""),45665.414562962964)</f>
        <v>45665.41456</v>
      </c>
      <c r="O804" s="13">
        <f t="shared" si="1"/>
        <v>1</v>
      </c>
    </row>
    <row r="805" ht="22.5" customHeight="1">
      <c r="B805" s="13">
        <f>IFERROR(__xludf.DUMMYFUNCTION("""COMPUTED_VALUE"""),800.0)</f>
        <v>800</v>
      </c>
      <c r="C805" s="13" t="str">
        <f>IFERROR(__xludf.DUMMYFUNCTION("""COMPUTED_VALUE"""),"M. 301/ Perumnas Way Kandis")</f>
        <v>M. 301/ Perumnas Way Kandis</v>
      </c>
      <c r="D805" s="13" t="str">
        <f>IFERROR(__xludf.DUMMYFUNCTION("""COMPUTED_VALUE"""),"K/31/030125/1")</f>
        <v>K/31/030125/1</v>
      </c>
      <c r="E805" s="14" t="str">
        <f>IFERROR(__xludf.DUMMYFUNCTION("""COMPUTED_VALUE"""),"Nadian (BT)")</f>
        <v>Nadian (BT)</v>
      </c>
      <c r="F805" s="14" t="str">
        <f>IFERROR(__xludf.DUMMYFUNCTION("""COMPUTED_VALUE"""),"SELESAI (VIA PERMOHONAN)")</f>
        <v>SELESAI (VIA PERMOHONAN)</v>
      </c>
      <c r="G805" s="17">
        <f>IFERROR(__xludf.DUMMYFUNCTION("""COMPUTED_VALUE"""),45665.600283865744)</f>
        <v>45665.60028</v>
      </c>
      <c r="H805" s="14" t="str">
        <f>IFERROR(__xludf.DUMMYFUNCTION("""COMPUTED_VALUE"""),"Bu Eva (SU)")</f>
        <v>Bu Eva (SU)</v>
      </c>
      <c r="I805" s="13" t="str">
        <f>IFERROR(__xludf.DUMMYFUNCTION("""COMPUTED_VALUE"""),"SELESAI (VIA PERMOHONAN)")</f>
        <v>SELESAI (VIA PERMOHONAN)</v>
      </c>
      <c r="J805" s="17">
        <f>IFERROR(__xludf.DUMMYFUNCTION("""COMPUTED_VALUE"""),45665.646361273146)</f>
        <v>45665.64636</v>
      </c>
      <c r="K805" s="13" t="str">
        <f>IFERROR(__xludf.DUMMYFUNCTION("""COMPUTED_VALUE"""),"Selesai")</f>
        <v>Selesai</v>
      </c>
      <c r="L805" s="17">
        <f>IFERROR(__xludf.DUMMYFUNCTION("""COMPUTED_VALUE"""),45665.646361273146)</f>
        <v>45665.64636</v>
      </c>
      <c r="M805" s="17">
        <f>IFERROR(__xludf.DUMMYFUNCTION("""COMPUTED_VALUE"""),45665.64668048611)</f>
        <v>45665.64668</v>
      </c>
      <c r="N805" s="13" t="str">
        <f>IFERROR(__xludf.DUMMYFUNCTION("""COMPUTED_VALUE"""),"")</f>
        <v/>
      </c>
      <c r="O805" s="13" t="str">
        <f t="shared" si="1"/>
        <v/>
      </c>
    </row>
    <row r="806" ht="22.5" customHeight="1">
      <c r="B806" s="13">
        <f>IFERROR(__xludf.DUMMYFUNCTION("""COMPUTED_VALUE"""),801.0)</f>
        <v>801</v>
      </c>
      <c r="C806" s="13" t="str">
        <f>IFERROR(__xludf.DUMMYFUNCTION("""COMPUTED_VALUE"""),"M. 7065/ Tanjung Senang")</f>
        <v>M. 7065/ Tanjung Senang</v>
      </c>
      <c r="D806" s="13" t="str">
        <f>IFERROR(__xludf.DUMMYFUNCTION("""COMPUTED_VALUE"""),"K/53/231224/1")</f>
        <v>K/53/231224/1</v>
      </c>
      <c r="E806" s="14" t="str">
        <f>IFERROR(__xludf.DUMMYFUNCTION("""COMPUTED_VALUE"""),"Nadian (BT)")</f>
        <v>Nadian (BT)</v>
      </c>
      <c r="F806" s="14" t="str">
        <f>IFERROR(__xludf.DUMMYFUNCTION("""COMPUTED_VALUE"""),"SELESAI (VIA PERMOHONAN)")</f>
        <v>SELESAI (VIA PERMOHONAN)</v>
      </c>
      <c r="G806" s="17">
        <f>IFERROR(__xludf.DUMMYFUNCTION("""COMPUTED_VALUE"""),45665.60030475694)</f>
        <v>45665.6003</v>
      </c>
      <c r="H806" s="14" t="str">
        <f>IFERROR(__xludf.DUMMYFUNCTION("""COMPUTED_VALUE"""),"Bu Eva (SU)")</f>
        <v>Bu Eva (SU)</v>
      </c>
      <c r="I806" s="13" t="str">
        <f>IFERROR(__xludf.DUMMYFUNCTION("""COMPUTED_VALUE"""),"SELESAI (VIA PERMOHONAN)")</f>
        <v>SELESAI (VIA PERMOHONAN)</v>
      </c>
      <c r="J806" s="17">
        <f>IFERROR(__xludf.DUMMYFUNCTION("""COMPUTED_VALUE"""),45665.646410092595)</f>
        <v>45665.64641</v>
      </c>
      <c r="K806" s="13" t="str">
        <f>IFERROR(__xludf.DUMMYFUNCTION("""COMPUTED_VALUE"""),"Selesai")</f>
        <v>Selesai</v>
      </c>
      <c r="L806" s="17">
        <f>IFERROR(__xludf.DUMMYFUNCTION("""COMPUTED_VALUE"""),45665.646410092595)</f>
        <v>45665.64641</v>
      </c>
      <c r="M806" s="17">
        <f>IFERROR(__xludf.DUMMYFUNCTION("""COMPUTED_VALUE"""),45665.64668813658)</f>
        <v>45665.64669</v>
      </c>
      <c r="N806" s="13" t="str">
        <f>IFERROR(__xludf.DUMMYFUNCTION("""COMPUTED_VALUE"""),"")</f>
        <v/>
      </c>
      <c r="O806" s="13" t="str">
        <f t="shared" si="1"/>
        <v/>
      </c>
    </row>
    <row r="807" ht="22.5" customHeight="1">
      <c r="B807" s="13">
        <f>IFERROR(__xludf.DUMMYFUNCTION("""COMPUTED_VALUE"""),802.0)</f>
        <v>802</v>
      </c>
      <c r="C807" s="13" t="str">
        <f>IFERROR(__xludf.DUMMYFUNCTION("""COMPUTED_VALUE"""),"M. 3312/ Kota Karang")</f>
        <v>M. 3312/ Kota Karang</v>
      </c>
      <c r="D807" s="13" t="str">
        <f>IFERROR(__xludf.DUMMYFUNCTION("""COMPUTED_VALUE"""),"K/31/221124/1")</f>
        <v>K/31/221124/1</v>
      </c>
      <c r="E807" s="14" t="str">
        <f>IFERROR(__xludf.DUMMYFUNCTION("""COMPUTED_VALUE"""),"Nadian (BT)")</f>
        <v>Nadian (BT)</v>
      </c>
      <c r="F807" s="14" t="str">
        <f>IFERROR(__xludf.DUMMYFUNCTION("""COMPUTED_VALUE"""),"SELESAI (VIA PERMOHONAN)")</f>
        <v>SELESAI (VIA PERMOHONAN)</v>
      </c>
      <c r="G807" s="17">
        <f>IFERROR(__xludf.DUMMYFUNCTION("""COMPUTED_VALUE"""),45665.60030475694)</f>
        <v>45665.6003</v>
      </c>
      <c r="H807" s="14" t="str">
        <f>IFERROR(__xludf.DUMMYFUNCTION("""COMPUTED_VALUE"""),"Bu Eva (SU)")</f>
        <v>Bu Eva (SU)</v>
      </c>
      <c r="I807" s="13" t="str">
        <f>IFERROR(__xludf.DUMMYFUNCTION("""COMPUTED_VALUE"""),"SELESAI (VIA PERMOHONAN)")</f>
        <v>SELESAI (VIA PERMOHONAN)</v>
      </c>
      <c r="J807" s="17">
        <f>IFERROR(__xludf.DUMMYFUNCTION("""COMPUTED_VALUE"""),45665.64645836806)</f>
        <v>45665.64646</v>
      </c>
      <c r="K807" s="13" t="str">
        <f>IFERROR(__xludf.DUMMYFUNCTION("""COMPUTED_VALUE"""),"Selesai")</f>
        <v>Selesai</v>
      </c>
      <c r="L807" s="17">
        <f>IFERROR(__xludf.DUMMYFUNCTION("""COMPUTED_VALUE"""),45665.64645836806)</f>
        <v>45665.64646</v>
      </c>
      <c r="M807" s="17">
        <f>IFERROR(__xludf.DUMMYFUNCTION("""COMPUTED_VALUE"""),45665.64670082176)</f>
        <v>45665.6467</v>
      </c>
      <c r="N807" s="13" t="str">
        <f>IFERROR(__xludf.DUMMYFUNCTION("""COMPUTED_VALUE"""),"")</f>
        <v/>
      </c>
      <c r="O807" s="13" t="str">
        <f t="shared" si="1"/>
        <v/>
      </c>
    </row>
    <row r="808" ht="22.5" customHeight="1">
      <c r="B808" s="13">
        <f>IFERROR(__xludf.DUMMYFUNCTION("""COMPUTED_VALUE"""),803.0)</f>
        <v>803</v>
      </c>
      <c r="C808" s="13" t="str">
        <f>IFERROR(__xludf.DUMMYFUNCTION("""COMPUTED_VALUE"""),"M. 4902/ Langkapura")</f>
        <v>M. 4902/ Langkapura</v>
      </c>
      <c r="D808" s="13" t="str">
        <f>IFERROR(__xludf.DUMMYFUNCTION("""COMPUTED_VALUE"""),"K/5/030125/1")</f>
        <v>K/5/030125/1</v>
      </c>
      <c r="E808" s="14" t="str">
        <f>IFERROR(__xludf.DUMMYFUNCTION("""COMPUTED_VALUE"""),"Nadian (BT)")</f>
        <v>Nadian (BT)</v>
      </c>
      <c r="F808" s="14" t="str">
        <f>IFERROR(__xludf.DUMMYFUNCTION("""COMPUTED_VALUE"""),"SELESAI (VIA PERMOHONAN)")</f>
        <v>SELESAI (VIA PERMOHONAN)</v>
      </c>
      <c r="G808" s="17">
        <f>IFERROR(__xludf.DUMMYFUNCTION("""COMPUTED_VALUE"""),45665.60030475694)</f>
        <v>45665.6003</v>
      </c>
      <c r="H808" s="14" t="str">
        <f>IFERROR(__xludf.DUMMYFUNCTION("""COMPUTED_VALUE"""),"Bu Eva (SU)")</f>
        <v>Bu Eva (SU)</v>
      </c>
      <c r="I808" s="13" t="str">
        <f>IFERROR(__xludf.DUMMYFUNCTION("""COMPUTED_VALUE"""),"SELESAI (VIA PERMOHONAN)")</f>
        <v>SELESAI (VIA PERMOHONAN)</v>
      </c>
      <c r="J808" s="17">
        <f>IFERROR(__xludf.DUMMYFUNCTION("""COMPUTED_VALUE"""),45665.64645836806)</f>
        <v>45665.64646</v>
      </c>
      <c r="K808" s="13" t="str">
        <f>IFERROR(__xludf.DUMMYFUNCTION("""COMPUTED_VALUE"""),"Selesai")</f>
        <v>Selesai</v>
      </c>
      <c r="L808" s="17">
        <f>IFERROR(__xludf.DUMMYFUNCTION("""COMPUTED_VALUE"""),45665.64645836806)</f>
        <v>45665.64646</v>
      </c>
      <c r="M808" s="17">
        <f>IFERROR(__xludf.DUMMYFUNCTION("""COMPUTED_VALUE"""),45665.6467092824)</f>
        <v>45665.64671</v>
      </c>
      <c r="N808" s="13" t="str">
        <f>IFERROR(__xludf.DUMMYFUNCTION("""COMPUTED_VALUE"""),"")</f>
        <v/>
      </c>
      <c r="O808" s="13" t="str">
        <f t="shared" si="1"/>
        <v/>
      </c>
    </row>
    <row r="809" ht="22.5" customHeight="1">
      <c r="B809" s="13">
        <f>IFERROR(__xludf.DUMMYFUNCTION("""COMPUTED_VALUE"""),804.0)</f>
        <v>804</v>
      </c>
      <c r="C809" s="13" t="str">
        <f>IFERROR(__xludf.DUMMYFUNCTION("""COMPUTED_VALUE"""),"M. 10658/ Kedamaian")</f>
        <v>M. 10658/ Kedamaian</v>
      </c>
      <c r="D809" s="13" t="str">
        <f>IFERROR(__xludf.DUMMYFUNCTION("""COMPUTED_VALUE"""),"K/19/241224/1")</f>
        <v>K/19/241224/1</v>
      </c>
      <c r="E809" s="14" t="str">
        <f>IFERROR(__xludf.DUMMYFUNCTION("""COMPUTED_VALUE"""),"Nadian (BT)")</f>
        <v>Nadian (BT)</v>
      </c>
      <c r="F809" s="14" t="str">
        <f>IFERROR(__xludf.DUMMYFUNCTION("""COMPUTED_VALUE"""),"SELESAI (VIA PERMOHONAN)")</f>
        <v>SELESAI (VIA PERMOHONAN)</v>
      </c>
      <c r="G809" s="17">
        <f>IFERROR(__xludf.DUMMYFUNCTION("""COMPUTED_VALUE"""),45665.60030475694)</f>
        <v>45665.6003</v>
      </c>
      <c r="H809" s="14" t="str">
        <f>IFERROR(__xludf.DUMMYFUNCTION("""COMPUTED_VALUE"""),"Bu Eva (SU)")</f>
        <v>Bu Eva (SU)</v>
      </c>
      <c r="I809" s="13" t="str">
        <f>IFERROR(__xludf.DUMMYFUNCTION("""COMPUTED_VALUE"""),"SELESAI (VIA PERMOHONAN)")</f>
        <v>SELESAI (VIA PERMOHONAN)</v>
      </c>
      <c r="J809" s="17">
        <f>IFERROR(__xludf.DUMMYFUNCTION("""COMPUTED_VALUE"""),45665.64648414352)</f>
        <v>45665.64648</v>
      </c>
      <c r="K809" s="13" t="str">
        <f>IFERROR(__xludf.DUMMYFUNCTION("""COMPUTED_VALUE"""),"Selesai")</f>
        <v>Selesai</v>
      </c>
      <c r="L809" s="17">
        <f>IFERROR(__xludf.DUMMYFUNCTION("""COMPUTED_VALUE"""),45665.64648414352)</f>
        <v>45665.64648</v>
      </c>
      <c r="M809" s="17">
        <f>IFERROR(__xludf.DUMMYFUNCTION("""COMPUTED_VALUE"""),45665.646716828705)</f>
        <v>45665.64672</v>
      </c>
      <c r="N809" s="13" t="str">
        <f>IFERROR(__xludf.DUMMYFUNCTION("""COMPUTED_VALUE"""),"")</f>
        <v/>
      </c>
      <c r="O809" s="13" t="str">
        <f t="shared" si="1"/>
        <v/>
      </c>
    </row>
    <row r="810" ht="22.5" customHeight="1">
      <c r="B810" s="13">
        <f>IFERROR(__xludf.DUMMYFUNCTION("""COMPUTED_VALUE"""),805.0)</f>
        <v>805</v>
      </c>
      <c r="C810" s="13" t="str">
        <f>IFERROR(__xludf.DUMMYFUNCTION("""COMPUTED_VALUE"""),"M. 2803/ Sukarame Baru")</f>
        <v>M. 2803/ Sukarame Baru</v>
      </c>
      <c r="D810" s="13" t="str">
        <f>IFERROR(__xludf.DUMMYFUNCTION("""COMPUTED_VALUE"""),"K/28/171224/3")</f>
        <v>K/28/171224/3</v>
      </c>
      <c r="E810" s="14" t="str">
        <f>IFERROR(__xludf.DUMMYFUNCTION("""COMPUTED_VALUE"""),"Nadian (BT)")</f>
        <v>Nadian (BT)</v>
      </c>
      <c r="F810" s="14" t="str">
        <f>IFERROR(__xludf.DUMMYFUNCTION("""COMPUTED_VALUE"""),"SELESAI (VIA PERMOHONAN)")</f>
        <v>SELESAI (VIA PERMOHONAN)</v>
      </c>
      <c r="G810" s="17">
        <f>IFERROR(__xludf.DUMMYFUNCTION("""COMPUTED_VALUE"""),45665.60030475694)</f>
        <v>45665.6003</v>
      </c>
      <c r="H810" s="14" t="str">
        <f>IFERROR(__xludf.DUMMYFUNCTION("""COMPUTED_VALUE"""),"Bu Eva (SU)")</f>
        <v>Bu Eva (SU)</v>
      </c>
      <c r="I810" s="13" t="str">
        <f>IFERROR(__xludf.DUMMYFUNCTION("""COMPUTED_VALUE"""),"SELESAI (VIA PERMOHONAN)")</f>
        <v>SELESAI (VIA PERMOHONAN)</v>
      </c>
      <c r="J810" s="17">
        <f>IFERROR(__xludf.DUMMYFUNCTION("""COMPUTED_VALUE"""),45665.64648414352)</f>
        <v>45665.64648</v>
      </c>
      <c r="K810" s="13" t="str">
        <f>IFERROR(__xludf.DUMMYFUNCTION("""COMPUTED_VALUE"""),"Selesai")</f>
        <v>Selesai</v>
      </c>
      <c r="L810" s="17">
        <f>IFERROR(__xludf.DUMMYFUNCTION("""COMPUTED_VALUE"""),45665.64648414352)</f>
        <v>45665.64648</v>
      </c>
      <c r="M810" s="17">
        <f>IFERROR(__xludf.DUMMYFUNCTION("""COMPUTED_VALUE"""),45665.64672643518)</f>
        <v>45665.64673</v>
      </c>
      <c r="N810" s="13" t="str">
        <f>IFERROR(__xludf.DUMMYFUNCTION("""COMPUTED_VALUE"""),"")</f>
        <v/>
      </c>
      <c r="O810" s="13" t="str">
        <f t="shared" si="1"/>
        <v/>
      </c>
    </row>
    <row r="811" ht="22.5" customHeight="1">
      <c r="B811" s="13">
        <f>IFERROR(__xludf.DUMMYFUNCTION("""COMPUTED_VALUE"""),806.0)</f>
        <v>806</v>
      </c>
      <c r="C811" s="13" t="str">
        <f>IFERROR(__xludf.DUMMYFUNCTION("""COMPUTED_VALUE"""),"M. 5620/ Langkapura")</f>
        <v>M. 5620/ Langkapura</v>
      </c>
      <c r="D811" s="13" t="str">
        <f>IFERROR(__xludf.DUMMYFUNCTION("""COMPUTED_VALUE"""),"K/39/181224/1")</f>
        <v>K/39/181224/1</v>
      </c>
      <c r="E811" s="14" t="str">
        <f>IFERROR(__xludf.DUMMYFUNCTION("""COMPUTED_VALUE"""),"Afriza (BT)")</f>
        <v>Afriza (BT)</v>
      </c>
      <c r="F811" s="14" t="str">
        <f>IFERROR(__xludf.DUMMYFUNCTION("""COMPUTED_VALUE"""),"SELESAI (VIA PERMOHONAN)")</f>
        <v>SELESAI (VIA PERMOHONAN)</v>
      </c>
      <c r="G811" s="17">
        <f>IFERROR(__xludf.DUMMYFUNCTION("""COMPUTED_VALUE"""),45666.436397592595)</f>
        <v>45666.4364</v>
      </c>
      <c r="H811" s="14" t="str">
        <f>IFERROR(__xludf.DUMMYFUNCTION("""COMPUTED_VALUE"""),"Aprill (SU)")</f>
        <v>Aprill (SU)</v>
      </c>
      <c r="I811" s="13" t="str">
        <f>IFERROR(__xludf.DUMMYFUNCTION("""COMPUTED_VALUE"""),"SELESAI (VIA PERMOHONAN)")</f>
        <v>SELESAI (VIA PERMOHONAN)</v>
      </c>
      <c r="J811" s="17">
        <f>IFERROR(__xludf.DUMMYFUNCTION("""COMPUTED_VALUE"""),45667.5968265625)</f>
        <v>45667.59683</v>
      </c>
      <c r="K811" s="13" t="str">
        <f>IFERROR(__xludf.DUMMYFUNCTION("""COMPUTED_VALUE"""),"Selesai")</f>
        <v>Selesai</v>
      </c>
      <c r="L811" s="17">
        <f>IFERROR(__xludf.DUMMYFUNCTION("""COMPUTED_VALUE"""),45667.5968265625)</f>
        <v>45667.59683</v>
      </c>
      <c r="M811" s="17">
        <f>IFERROR(__xludf.DUMMYFUNCTION("""COMPUTED_VALUE"""),45667.5971340625)</f>
        <v>45667.59713</v>
      </c>
      <c r="N811" s="13" t="str">
        <f>IFERROR(__xludf.DUMMYFUNCTION("""COMPUTED_VALUE"""),"")</f>
        <v/>
      </c>
      <c r="O811" s="13" t="str">
        <f t="shared" si="1"/>
        <v/>
      </c>
    </row>
    <row r="812" ht="22.5" customHeight="1">
      <c r="B812" s="13">
        <f>IFERROR(__xludf.DUMMYFUNCTION("""COMPUTED_VALUE"""),807.0)</f>
        <v>807</v>
      </c>
      <c r="C812" s="13" t="str">
        <f>IFERROR(__xludf.DUMMYFUNCTION("""COMPUTED_VALUE"""),"M.9826/KALI BALAU KENCANA-SEKARANG;M9826/TANJUNG BARU-DAHULU")</f>
        <v>M.9826/KALI BALAU KENCANA-SEKARANG;M9826/TANJUNG BARU-DAHULU</v>
      </c>
      <c r="D812" s="13" t="str">
        <f>IFERROR(__xludf.DUMMYFUNCTION("""COMPUTED_VALUE"""),"K/14/231224/1")</f>
        <v>K/14/231224/1</v>
      </c>
      <c r="E812" s="14" t="str">
        <f>IFERROR(__xludf.DUMMYFUNCTION("""COMPUTED_VALUE"""),"Afriza (BT)")</f>
        <v>Afriza (BT)</v>
      </c>
      <c r="F812" s="14" t="str">
        <f>IFERROR(__xludf.DUMMYFUNCTION("""COMPUTED_VALUE"""),"SELESAI (VIA PERMOHONAN)")</f>
        <v>SELESAI (VIA PERMOHONAN)</v>
      </c>
      <c r="G812" s="17">
        <f>IFERROR(__xludf.DUMMYFUNCTION("""COMPUTED_VALUE"""),45666.44164178241)</f>
        <v>45666.44164</v>
      </c>
      <c r="H812" s="14" t="str">
        <f>IFERROR(__xludf.DUMMYFUNCTION("""COMPUTED_VALUE"""),"Aprill (SU)")</f>
        <v>Aprill (SU)</v>
      </c>
      <c r="I812" s="13" t="str">
        <f>IFERROR(__xludf.DUMMYFUNCTION("""COMPUTED_VALUE"""),"SELESAI (VIA PERMOHONAN)")</f>
        <v>SELESAI (VIA PERMOHONAN)</v>
      </c>
      <c r="J812" s="17">
        <f>IFERROR(__xludf.DUMMYFUNCTION("""COMPUTED_VALUE"""),45667.59688010417)</f>
        <v>45667.59688</v>
      </c>
      <c r="K812" s="13" t="str">
        <f>IFERROR(__xludf.DUMMYFUNCTION("""COMPUTED_VALUE"""),"Selesai")</f>
        <v>Selesai</v>
      </c>
      <c r="L812" s="17">
        <f>IFERROR(__xludf.DUMMYFUNCTION("""COMPUTED_VALUE"""),45667.59688010417)</f>
        <v>45667.59688</v>
      </c>
      <c r="M812" s="17">
        <f>IFERROR(__xludf.DUMMYFUNCTION("""COMPUTED_VALUE"""),45667.59714550926)</f>
        <v>45667.59715</v>
      </c>
      <c r="N812" s="13" t="str">
        <f>IFERROR(__xludf.DUMMYFUNCTION("""COMPUTED_VALUE"""),"")</f>
        <v/>
      </c>
      <c r="O812" s="13" t="str">
        <f t="shared" si="1"/>
        <v/>
      </c>
    </row>
    <row r="813" ht="22.5" customHeight="1">
      <c r="B813" s="13">
        <f>IFERROR(__xludf.DUMMYFUNCTION("""COMPUTED_VALUE"""),808.0)</f>
        <v>808</v>
      </c>
      <c r="C813" s="13" t="str">
        <f>IFERROR(__xludf.DUMMYFUNCTION("""COMPUTED_VALUE"""),"B. 1432/ Negeri Olok Gading")</f>
        <v>B. 1432/ Negeri Olok Gading</v>
      </c>
      <c r="D813" s="13" t="str">
        <f>IFERROR(__xludf.DUMMYFUNCTION("""COMPUTED_VALUE"""),"K/10/301224/3")</f>
        <v>K/10/301224/3</v>
      </c>
      <c r="E813" s="14" t="str">
        <f>IFERROR(__xludf.DUMMYFUNCTION("""COMPUTED_VALUE"""),"Afriza (BT)")</f>
        <v>Afriza (BT)</v>
      </c>
      <c r="F813" s="14" t="str">
        <f>IFERROR(__xludf.DUMMYFUNCTION("""COMPUTED_VALUE"""),"SELESAI (VIA PERMOHONAN)")</f>
        <v>SELESAI (VIA PERMOHONAN)</v>
      </c>
      <c r="G813" s="17">
        <f>IFERROR(__xludf.DUMMYFUNCTION("""COMPUTED_VALUE"""),45666.44223349537)</f>
        <v>45666.44223</v>
      </c>
      <c r="H813" s="14" t="str">
        <f>IFERROR(__xludf.DUMMYFUNCTION("""COMPUTED_VALUE"""),"Aprill (SU)")</f>
        <v>Aprill (SU)</v>
      </c>
      <c r="I813" s="13" t="str">
        <f>IFERROR(__xludf.DUMMYFUNCTION("""COMPUTED_VALUE"""),"SELESAI (VIA PERMOHONAN)")</f>
        <v>SELESAI (VIA PERMOHONAN)</v>
      </c>
      <c r="J813" s="17">
        <f>IFERROR(__xludf.DUMMYFUNCTION("""COMPUTED_VALUE"""),45667.59691715278)</f>
        <v>45667.59692</v>
      </c>
      <c r="K813" s="13" t="str">
        <f>IFERROR(__xludf.DUMMYFUNCTION("""COMPUTED_VALUE"""),"Selesai")</f>
        <v>Selesai</v>
      </c>
      <c r="L813" s="17">
        <f>IFERROR(__xludf.DUMMYFUNCTION("""COMPUTED_VALUE"""),45667.59691715278)</f>
        <v>45667.59692</v>
      </c>
      <c r="M813" s="17">
        <f>IFERROR(__xludf.DUMMYFUNCTION("""COMPUTED_VALUE"""),45667.59715615741)</f>
        <v>45667.59716</v>
      </c>
      <c r="N813" s="13" t="str">
        <f>IFERROR(__xludf.DUMMYFUNCTION("""COMPUTED_VALUE"""),"")</f>
        <v/>
      </c>
      <c r="O813" s="13" t="str">
        <f t="shared" si="1"/>
        <v/>
      </c>
    </row>
    <row r="814" ht="22.5" customHeight="1">
      <c r="B814" s="13">
        <f>IFERROR(__xludf.DUMMYFUNCTION("""COMPUTED_VALUE"""),809.0)</f>
        <v>809</v>
      </c>
      <c r="C814" s="13" t="str">
        <f>IFERROR(__xludf.DUMMYFUNCTION("""COMPUTED_VALUE"""),"M. 1758/ Kupang Kota")</f>
        <v>M. 1758/ Kupang Kota</v>
      </c>
      <c r="D814" s="13" t="str">
        <f>IFERROR(__xludf.DUMMYFUNCTION("""COMPUTED_VALUE"""),"K/6/311224/2")</f>
        <v>K/6/311224/2</v>
      </c>
      <c r="E814" s="14" t="str">
        <f>IFERROR(__xludf.DUMMYFUNCTION("""COMPUTED_VALUE"""),"Afriza (BT)")</f>
        <v>Afriza (BT)</v>
      </c>
      <c r="F814" s="14" t="str">
        <f>IFERROR(__xludf.DUMMYFUNCTION("""COMPUTED_VALUE"""),"SELESAI (VIA PERMOHONAN)")</f>
        <v>SELESAI (VIA PERMOHONAN)</v>
      </c>
      <c r="G814" s="17">
        <f>IFERROR(__xludf.DUMMYFUNCTION("""COMPUTED_VALUE"""),45666.445002141205)</f>
        <v>45666.445</v>
      </c>
      <c r="H814" s="14" t="str">
        <f>IFERROR(__xludf.DUMMYFUNCTION("""COMPUTED_VALUE"""),"Aprill (SU)")</f>
        <v>Aprill (SU)</v>
      </c>
      <c r="I814" s="13" t="str">
        <f>IFERROR(__xludf.DUMMYFUNCTION("""COMPUTED_VALUE"""),"SELESAI (VIA PERMOHONAN)")</f>
        <v>SELESAI (VIA PERMOHONAN)</v>
      </c>
      <c r="J814" s="17">
        <f>IFERROR(__xludf.DUMMYFUNCTION("""COMPUTED_VALUE"""),45667.596981875)</f>
        <v>45667.59698</v>
      </c>
      <c r="K814" s="13" t="str">
        <f>IFERROR(__xludf.DUMMYFUNCTION("""COMPUTED_VALUE"""),"Selesai")</f>
        <v>Selesai</v>
      </c>
      <c r="L814" s="17">
        <f>IFERROR(__xludf.DUMMYFUNCTION("""COMPUTED_VALUE"""),45667.596981875)</f>
        <v>45667.59698</v>
      </c>
      <c r="M814" s="17">
        <f>IFERROR(__xludf.DUMMYFUNCTION("""COMPUTED_VALUE"""),45667.59716534722)</f>
        <v>45667.59717</v>
      </c>
      <c r="N814" s="13" t="str">
        <f>IFERROR(__xludf.DUMMYFUNCTION("""COMPUTED_VALUE"""),"")</f>
        <v/>
      </c>
      <c r="O814" s="13" t="str">
        <f t="shared" si="1"/>
        <v/>
      </c>
    </row>
    <row r="815" ht="22.5" customHeight="1">
      <c r="B815" s="13">
        <f>IFERROR(__xludf.DUMMYFUNCTION("""COMPUTED_VALUE"""),810.0)</f>
        <v>810</v>
      </c>
      <c r="C815" s="13" t="str">
        <f>IFERROR(__xludf.DUMMYFUNCTION("""COMPUTED_VALUE"""),"M. 1923/ Rajabasa Raya")</f>
        <v>M. 1923/ Rajabasa Raya</v>
      </c>
      <c r="D815" s="13" t="str">
        <f>IFERROR(__xludf.DUMMYFUNCTION("""COMPUTED_VALUE"""),"K/43/171224/1")</f>
        <v>K/43/171224/1</v>
      </c>
      <c r="E815" s="14" t="str">
        <f>IFERROR(__xludf.DUMMYFUNCTION("""COMPUTED_VALUE"""),"Afriza (BT)")</f>
        <v>Afriza (BT)</v>
      </c>
      <c r="F815" s="14" t="str">
        <f>IFERROR(__xludf.DUMMYFUNCTION("""COMPUTED_VALUE"""),"SELESAI (VIA PERMOHONAN)")</f>
        <v>SELESAI (VIA PERMOHONAN)</v>
      </c>
      <c r="G815" s="17">
        <f>IFERROR(__xludf.DUMMYFUNCTION("""COMPUTED_VALUE"""),45666.44605025463)</f>
        <v>45666.44605</v>
      </c>
      <c r="H815" s="14" t="str">
        <f>IFERROR(__xludf.DUMMYFUNCTION("""COMPUTED_VALUE"""),"Aprill (SU)")</f>
        <v>Aprill (SU)</v>
      </c>
      <c r="I815" s="13" t="str">
        <f>IFERROR(__xludf.DUMMYFUNCTION("""COMPUTED_VALUE"""),"SELESAI (VIA PERMOHONAN)")</f>
        <v>SELESAI (VIA PERMOHONAN)</v>
      </c>
      <c r="J815" s="17">
        <f>IFERROR(__xludf.DUMMYFUNCTION("""COMPUTED_VALUE"""),45667.596981875)</f>
        <v>45667.59698</v>
      </c>
      <c r="K815" s="13" t="str">
        <f>IFERROR(__xludf.DUMMYFUNCTION("""COMPUTED_VALUE"""),"Selesai")</f>
        <v>Selesai</v>
      </c>
      <c r="L815" s="17">
        <f>IFERROR(__xludf.DUMMYFUNCTION("""COMPUTED_VALUE"""),45667.596981875)</f>
        <v>45667.59698</v>
      </c>
      <c r="M815" s="17">
        <f>IFERROR(__xludf.DUMMYFUNCTION("""COMPUTED_VALUE"""),45667.59717525463)</f>
        <v>45667.59718</v>
      </c>
      <c r="N815" s="13" t="str">
        <f>IFERROR(__xludf.DUMMYFUNCTION("""COMPUTED_VALUE"""),"")</f>
        <v/>
      </c>
      <c r="O815" s="13" t="str">
        <f t="shared" si="1"/>
        <v/>
      </c>
    </row>
    <row r="816" ht="22.5" customHeight="1">
      <c r="B816" s="13">
        <f>IFERROR(__xludf.DUMMYFUNCTION("""COMPUTED_VALUE"""),811.0)</f>
        <v>811</v>
      </c>
      <c r="C816" s="13" t="str">
        <f>IFERROR(__xludf.DUMMYFUNCTION("""COMPUTED_VALUE"""),"M. 5337/ Langkapura")</f>
        <v>M. 5337/ Langkapura</v>
      </c>
      <c r="D816" s="13" t="str">
        <f>IFERROR(__xludf.DUMMYFUNCTION("""COMPUTED_VALUE"""),"K/32/060125/1")</f>
        <v>K/32/060125/1</v>
      </c>
      <c r="E816" s="14" t="str">
        <f>IFERROR(__xludf.DUMMYFUNCTION("""COMPUTED_VALUE"""),"Afriza (BT)")</f>
        <v>Afriza (BT)</v>
      </c>
      <c r="F816" s="14" t="str">
        <f>IFERROR(__xludf.DUMMYFUNCTION("""COMPUTED_VALUE"""),"SELESAI (VIA PERMOHONAN)")</f>
        <v>SELESAI (VIA PERMOHONAN)</v>
      </c>
      <c r="G816" s="17">
        <f>IFERROR(__xludf.DUMMYFUNCTION("""COMPUTED_VALUE"""),45666.450355810186)</f>
        <v>45666.45036</v>
      </c>
      <c r="H816" s="14" t="str">
        <f>IFERROR(__xludf.DUMMYFUNCTION("""COMPUTED_VALUE"""),"Aprill (SU)")</f>
        <v>Aprill (SU)</v>
      </c>
      <c r="I816" s="13" t="str">
        <f>IFERROR(__xludf.DUMMYFUNCTION("""COMPUTED_VALUE"""),"SELESAI (VIA PERMOHONAN)")</f>
        <v>SELESAI (VIA PERMOHONAN)</v>
      </c>
      <c r="J816" s="17">
        <f>IFERROR(__xludf.DUMMYFUNCTION("""COMPUTED_VALUE"""),45667.596981875)</f>
        <v>45667.59698</v>
      </c>
      <c r="K816" s="13" t="str">
        <f>IFERROR(__xludf.DUMMYFUNCTION("""COMPUTED_VALUE"""),"Selesai")</f>
        <v>Selesai</v>
      </c>
      <c r="L816" s="17">
        <f>IFERROR(__xludf.DUMMYFUNCTION("""COMPUTED_VALUE"""),45667.596981875)</f>
        <v>45667.59698</v>
      </c>
      <c r="M816" s="17">
        <f>IFERROR(__xludf.DUMMYFUNCTION("""COMPUTED_VALUE"""),45667.59728973379)</f>
        <v>45667.59729</v>
      </c>
      <c r="N816" s="17">
        <f>IFERROR(__xludf.DUMMYFUNCTION("""COMPUTED_VALUE"""),45672.61668546296)</f>
        <v>45672.61669</v>
      </c>
      <c r="O816" s="13">
        <f t="shared" si="1"/>
        <v>1</v>
      </c>
    </row>
    <row r="817" ht="22.5" customHeight="1">
      <c r="B817" s="13">
        <f>IFERROR(__xludf.DUMMYFUNCTION("""COMPUTED_VALUE"""),812.0)</f>
        <v>812</v>
      </c>
      <c r="C817" s="13" t="str">
        <f>IFERROR(__xludf.DUMMYFUNCTION("""COMPUTED_VALUE"""),"B. 1746/ Sukarame")</f>
        <v>B. 1746/ Sukarame</v>
      </c>
      <c r="D817" s="13" t="str">
        <f>IFERROR(__xludf.DUMMYFUNCTION("""COMPUTED_VALUE"""),"K/20/020125/1")</f>
        <v>K/20/020125/1</v>
      </c>
      <c r="E817" s="14" t="str">
        <f>IFERROR(__xludf.DUMMYFUNCTION("""COMPUTED_VALUE"""),"Afriza (BT)")</f>
        <v>Afriza (BT)</v>
      </c>
      <c r="F817" s="14" t="str">
        <f>IFERROR(__xludf.DUMMYFUNCTION("""COMPUTED_VALUE"""),"SELESAI (VIA PERMOHONAN)")</f>
        <v>SELESAI (VIA PERMOHONAN)</v>
      </c>
      <c r="G817" s="17">
        <f>IFERROR(__xludf.DUMMYFUNCTION("""COMPUTED_VALUE"""),45666.593734525464)</f>
        <v>45666.59373</v>
      </c>
      <c r="H817" s="14" t="str">
        <f>IFERROR(__xludf.DUMMYFUNCTION("""COMPUTED_VALUE"""),"Aprill (SU)")</f>
        <v>Aprill (SU)</v>
      </c>
      <c r="I817" s="13" t="str">
        <f>IFERROR(__xludf.DUMMYFUNCTION("""COMPUTED_VALUE"""),"SELESAI (VIA PERMOHONAN)")</f>
        <v>SELESAI (VIA PERMOHONAN)</v>
      </c>
      <c r="J817" s="17">
        <f>IFERROR(__xludf.DUMMYFUNCTION("""COMPUTED_VALUE"""),45667.59700568287)</f>
        <v>45667.59701</v>
      </c>
      <c r="K817" s="13" t="str">
        <f>IFERROR(__xludf.DUMMYFUNCTION("""COMPUTED_VALUE"""),"Selesai")</f>
        <v>Selesai</v>
      </c>
      <c r="L817" s="17">
        <f>IFERROR(__xludf.DUMMYFUNCTION("""COMPUTED_VALUE"""),45667.59700568287)</f>
        <v>45667.59701</v>
      </c>
      <c r="M817" s="17">
        <f>IFERROR(__xludf.DUMMYFUNCTION("""COMPUTED_VALUE"""),45667.59727403935)</f>
        <v>45667.59727</v>
      </c>
      <c r="N817" s="13" t="str">
        <f>IFERROR(__xludf.DUMMYFUNCTION("""COMPUTED_VALUE"""),"")</f>
        <v/>
      </c>
      <c r="O817" s="13" t="str">
        <f t="shared" si="1"/>
        <v/>
      </c>
    </row>
    <row r="818" ht="22.5" customHeight="1">
      <c r="B818" s="13">
        <f>IFERROR(__xludf.DUMMYFUNCTION("""COMPUTED_VALUE"""),813.0)</f>
        <v>813</v>
      </c>
      <c r="C818" s="13" t="str">
        <f>IFERROR(__xludf.DUMMYFUNCTION("""COMPUTED_VALUE"""),"M. 19039/ Sukarame")</f>
        <v>M. 19039/ Sukarame</v>
      </c>
      <c r="D818" s="13" t="str">
        <f>IFERROR(__xludf.DUMMYFUNCTION("""COMPUTED_VALUE"""),"K/33/060125/2")</f>
        <v>K/33/060125/2</v>
      </c>
      <c r="E818" s="14" t="str">
        <f>IFERROR(__xludf.DUMMYFUNCTION("""COMPUTED_VALUE"""),"Afriza (BT)")</f>
        <v>Afriza (BT)</v>
      </c>
      <c r="F818" s="14" t="str">
        <f>IFERROR(__xludf.DUMMYFUNCTION("""COMPUTED_VALUE"""),"SELESAI (VIA PERMOHONAN)")</f>
        <v>SELESAI (VIA PERMOHONAN)</v>
      </c>
      <c r="G818" s="17">
        <f>IFERROR(__xludf.DUMMYFUNCTION("""COMPUTED_VALUE"""),45666.59377365741)</f>
        <v>45666.59377</v>
      </c>
      <c r="H818" s="14" t="str">
        <f>IFERROR(__xludf.DUMMYFUNCTION("""COMPUTED_VALUE"""),"Aprill (SU)")</f>
        <v>Aprill (SU)</v>
      </c>
      <c r="I818" s="13" t="str">
        <f>IFERROR(__xludf.DUMMYFUNCTION("""COMPUTED_VALUE"""),"SELESAI (VIA PERMOHONAN)")</f>
        <v>SELESAI (VIA PERMOHONAN)</v>
      </c>
      <c r="J818" s="17">
        <f>IFERROR(__xludf.DUMMYFUNCTION("""COMPUTED_VALUE"""),45667.59700569445)</f>
        <v>45667.59701</v>
      </c>
      <c r="K818" s="13" t="str">
        <f>IFERROR(__xludf.DUMMYFUNCTION("""COMPUTED_VALUE"""),"Selesai")</f>
        <v>Selesai</v>
      </c>
      <c r="L818" s="17">
        <f>IFERROR(__xludf.DUMMYFUNCTION("""COMPUTED_VALUE"""),45667.59700569445)</f>
        <v>45667.59701</v>
      </c>
      <c r="M818" s="17">
        <f>IFERROR(__xludf.DUMMYFUNCTION("""COMPUTED_VALUE"""),45667.597264826385)</f>
        <v>45667.59726</v>
      </c>
      <c r="N818" s="17">
        <f>IFERROR(__xludf.DUMMYFUNCTION("""COMPUTED_VALUE"""),45672.61720491898)</f>
        <v>45672.6172</v>
      </c>
      <c r="O818" s="13">
        <f t="shared" si="1"/>
        <v>1</v>
      </c>
    </row>
    <row r="819" ht="22.5" customHeight="1">
      <c r="B819" s="13">
        <f>IFERROR(__xludf.DUMMYFUNCTION("""COMPUTED_VALUE"""),814.0)</f>
        <v>814</v>
      </c>
      <c r="C819" s="13" t="str">
        <f>IFERROR(__xludf.DUMMYFUNCTION("""COMPUTED_VALUE"""),"M.873/CAMPANG RAYA")</f>
        <v>M.873/CAMPANG RAYA</v>
      </c>
      <c r="D819" s="13" t="str">
        <f>IFERROR(__xludf.DUMMYFUNCTION("""COMPUTED_VALUE"""),"K/7/271224/1")</f>
        <v>K/7/271224/1</v>
      </c>
      <c r="E819" s="14" t="str">
        <f>IFERROR(__xludf.DUMMYFUNCTION("""COMPUTED_VALUE"""),"Afriza (BT)")</f>
        <v>Afriza (BT)</v>
      </c>
      <c r="F819" s="14" t="str">
        <f>IFERROR(__xludf.DUMMYFUNCTION("""COMPUTED_VALUE"""),"SELESAI (VIA PERMOHONAN)")</f>
        <v>SELESAI (VIA PERMOHONAN)</v>
      </c>
      <c r="G819" s="17">
        <f>IFERROR(__xludf.DUMMYFUNCTION("""COMPUTED_VALUE"""),45666.59614974537)</f>
        <v>45666.59615</v>
      </c>
      <c r="H819" s="14" t="str">
        <f>IFERROR(__xludf.DUMMYFUNCTION("""COMPUTED_VALUE"""),"Aprill (SU)")</f>
        <v>Aprill (SU)</v>
      </c>
      <c r="I819" s="13" t="str">
        <f>IFERROR(__xludf.DUMMYFUNCTION("""COMPUTED_VALUE"""),"SELESAI (VIA PERMOHONAN)")</f>
        <v>SELESAI (VIA PERMOHONAN)</v>
      </c>
      <c r="J819" s="17">
        <f>IFERROR(__xludf.DUMMYFUNCTION("""COMPUTED_VALUE"""),45667.59700569445)</f>
        <v>45667.59701</v>
      </c>
      <c r="K819" s="13" t="str">
        <f>IFERROR(__xludf.DUMMYFUNCTION("""COMPUTED_VALUE"""),"Selesai")</f>
        <v>Selesai</v>
      </c>
      <c r="L819" s="17">
        <f>IFERROR(__xludf.DUMMYFUNCTION("""COMPUTED_VALUE"""),45667.59700569445)</f>
        <v>45667.59701</v>
      </c>
      <c r="M819" s="17">
        <f>IFERROR(__xludf.DUMMYFUNCTION("""COMPUTED_VALUE"""),45667.59725144676)</f>
        <v>45667.59725</v>
      </c>
      <c r="N819" s="13" t="str">
        <f>IFERROR(__xludf.DUMMYFUNCTION("""COMPUTED_VALUE"""),"")</f>
        <v/>
      </c>
      <c r="O819" s="13" t="str">
        <f t="shared" si="1"/>
        <v/>
      </c>
    </row>
    <row r="820" ht="22.5" customHeight="1">
      <c r="B820" s="13">
        <f>IFERROR(__xludf.DUMMYFUNCTION("""COMPUTED_VALUE"""),815.0)</f>
        <v>815</v>
      </c>
      <c r="C820" s="13" t="str">
        <f>IFERROR(__xludf.DUMMYFUNCTION("""COMPUTED_VALUE"""),"M. 293/ Pahoman")</f>
        <v>M. 293/ Pahoman</v>
      </c>
      <c r="D820" s="13" t="str">
        <f>IFERROR(__xludf.DUMMYFUNCTION("""COMPUTED_VALUE"""),"K/2/231224/1")</f>
        <v>K/2/231224/1</v>
      </c>
      <c r="E820" s="14" t="str">
        <f>IFERROR(__xludf.DUMMYFUNCTION("""COMPUTED_VALUE"""),"Afriza (BT)")</f>
        <v>Afriza (BT)</v>
      </c>
      <c r="F820" s="14" t="str">
        <f>IFERROR(__xludf.DUMMYFUNCTION("""COMPUTED_VALUE"""),"SELESAI (VIA PERMOHONAN)")</f>
        <v>SELESAI (VIA PERMOHONAN)</v>
      </c>
      <c r="G820" s="17">
        <f>IFERROR(__xludf.DUMMYFUNCTION("""COMPUTED_VALUE"""),45666.59925501158)</f>
        <v>45666.59926</v>
      </c>
      <c r="H820" s="14" t="str">
        <f>IFERROR(__xludf.DUMMYFUNCTION("""COMPUTED_VALUE"""),"Aprill (SU)")</f>
        <v>Aprill (SU)</v>
      </c>
      <c r="I820" s="13" t="str">
        <f>IFERROR(__xludf.DUMMYFUNCTION("""COMPUTED_VALUE"""),"SELESAI (VIA PERMOHONAN)")</f>
        <v>SELESAI (VIA PERMOHONAN)</v>
      </c>
      <c r="J820" s="17">
        <f>IFERROR(__xludf.DUMMYFUNCTION("""COMPUTED_VALUE"""),45667.59703690972)</f>
        <v>45667.59704</v>
      </c>
      <c r="K820" s="13" t="str">
        <f>IFERROR(__xludf.DUMMYFUNCTION("""COMPUTED_VALUE"""),"Selesai")</f>
        <v>Selesai</v>
      </c>
      <c r="L820" s="17">
        <f>IFERROR(__xludf.DUMMYFUNCTION("""COMPUTED_VALUE"""),45667.59703690972)</f>
        <v>45667.59704</v>
      </c>
      <c r="M820" s="17">
        <f>IFERROR(__xludf.DUMMYFUNCTION("""COMPUTED_VALUE"""),45667.59730879629)</f>
        <v>45667.59731</v>
      </c>
      <c r="N820" s="13" t="str">
        <f>IFERROR(__xludf.DUMMYFUNCTION("""COMPUTED_VALUE"""),"")</f>
        <v/>
      </c>
      <c r="O820" s="13" t="str">
        <f t="shared" si="1"/>
        <v/>
      </c>
    </row>
    <row r="821" ht="22.5" customHeight="1">
      <c r="B821" s="13">
        <f>IFERROR(__xludf.DUMMYFUNCTION("""COMPUTED_VALUE"""),816.0)</f>
        <v>816</v>
      </c>
      <c r="C821" s="13" t="str">
        <f>IFERROR(__xludf.DUMMYFUNCTION("""COMPUTED_VALUE"""),"M. 3104/ Kemiling Permai")</f>
        <v>M. 3104/ Kemiling Permai</v>
      </c>
      <c r="D821" s="13" t="str">
        <f>IFERROR(__xludf.DUMMYFUNCTION("""COMPUTED_VALUE"""),"K/58/231224/1")</f>
        <v>K/58/231224/1</v>
      </c>
      <c r="E821" s="14" t="str">
        <f>IFERROR(__xludf.DUMMYFUNCTION("""COMPUTED_VALUE"""),"Afriza (BT)")</f>
        <v>Afriza (BT)</v>
      </c>
      <c r="F821" s="14" t="str">
        <f>IFERROR(__xludf.DUMMYFUNCTION("""COMPUTED_VALUE"""),"SELESAI (VIA PERMOHONAN)")</f>
        <v>SELESAI (VIA PERMOHONAN)</v>
      </c>
      <c r="G821" s="17">
        <f>IFERROR(__xludf.DUMMYFUNCTION("""COMPUTED_VALUE"""),45666.60139422453)</f>
        <v>45666.60139</v>
      </c>
      <c r="H821" s="14" t="str">
        <f>IFERROR(__xludf.DUMMYFUNCTION("""COMPUTED_VALUE"""),"Aprill (SU)")</f>
        <v>Aprill (SU)</v>
      </c>
      <c r="I821" s="13" t="str">
        <f>IFERROR(__xludf.DUMMYFUNCTION("""COMPUTED_VALUE"""),"SELESAI (VIA PERMOHONAN)")</f>
        <v>SELESAI (VIA PERMOHONAN)</v>
      </c>
      <c r="J821" s="17">
        <f>IFERROR(__xludf.DUMMYFUNCTION("""COMPUTED_VALUE"""),45667.59703690972)</f>
        <v>45667.59704</v>
      </c>
      <c r="K821" s="13" t="str">
        <f>IFERROR(__xludf.DUMMYFUNCTION("""COMPUTED_VALUE"""),"Selesai")</f>
        <v>Selesai</v>
      </c>
      <c r="L821" s="17">
        <f>IFERROR(__xludf.DUMMYFUNCTION("""COMPUTED_VALUE"""),45667.59703690972)</f>
        <v>45667.59704</v>
      </c>
      <c r="M821" s="17">
        <f>IFERROR(__xludf.DUMMYFUNCTION("""COMPUTED_VALUE"""),45667.59723297454)</f>
        <v>45667.59723</v>
      </c>
      <c r="N821" s="13" t="str">
        <f>IFERROR(__xludf.DUMMYFUNCTION("""COMPUTED_VALUE"""),"")</f>
        <v/>
      </c>
      <c r="O821" s="13" t="str">
        <f t="shared" si="1"/>
        <v/>
      </c>
    </row>
    <row r="822" ht="22.5" customHeight="1">
      <c r="B822" s="13">
        <f>IFERROR(__xludf.DUMMYFUNCTION("""COMPUTED_VALUE"""),817.0)</f>
        <v>817</v>
      </c>
      <c r="C822" s="13" t="str">
        <f>IFERROR(__xludf.DUMMYFUNCTION("""COMPUTED_VALUE"""),"M. 14016/ Segala Mider")</f>
        <v>M. 14016/ Segala Mider</v>
      </c>
      <c r="D822" s="13" t="str">
        <f>IFERROR(__xludf.DUMMYFUNCTION("""COMPUTED_VALUE"""),"K/2/060125/1")</f>
        <v>K/2/060125/1</v>
      </c>
      <c r="E822" s="14" t="str">
        <f>IFERROR(__xludf.DUMMYFUNCTION("""COMPUTED_VALUE"""),"Afriza (BT)")</f>
        <v>Afriza (BT)</v>
      </c>
      <c r="F822" s="14" t="str">
        <f>IFERROR(__xludf.DUMMYFUNCTION("""COMPUTED_VALUE"""),"SELESAI (VIA PERMOHONAN)")</f>
        <v>SELESAI (VIA PERMOHONAN)</v>
      </c>
      <c r="G822" s="17">
        <f>IFERROR(__xludf.DUMMYFUNCTION("""COMPUTED_VALUE"""),45667.435127777775)</f>
        <v>45667.43513</v>
      </c>
      <c r="H822" s="14" t="str">
        <f>IFERROR(__xludf.DUMMYFUNCTION("""COMPUTED_VALUE"""),"Aprill (SU)")</f>
        <v>Aprill (SU)</v>
      </c>
      <c r="I822" s="13" t="str">
        <f>IFERROR(__xludf.DUMMYFUNCTION("""COMPUTED_VALUE"""),"SELESAI (VIA PERMOHONAN)")</f>
        <v>SELESAI (VIA PERMOHONAN)</v>
      </c>
      <c r="J822" s="17">
        <f>IFERROR(__xludf.DUMMYFUNCTION("""COMPUTED_VALUE"""),45667.59703690972)</f>
        <v>45667.59704</v>
      </c>
      <c r="K822" s="13" t="str">
        <f>IFERROR(__xludf.DUMMYFUNCTION("""COMPUTED_VALUE"""),"Selesai")</f>
        <v>Selesai</v>
      </c>
      <c r="L822" s="17">
        <f>IFERROR(__xludf.DUMMYFUNCTION("""COMPUTED_VALUE"""),45667.59703690972)</f>
        <v>45667.59704</v>
      </c>
      <c r="M822" s="17">
        <f>IFERROR(__xludf.DUMMYFUNCTION("""COMPUTED_VALUE"""),45667.5972249537)</f>
        <v>45667.59722</v>
      </c>
      <c r="N822" s="13" t="str">
        <f>IFERROR(__xludf.DUMMYFUNCTION("""COMPUTED_VALUE"""),"")</f>
        <v/>
      </c>
      <c r="O822" s="13" t="str">
        <f t="shared" si="1"/>
        <v/>
      </c>
    </row>
    <row r="823" ht="22.5" customHeight="1">
      <c r="B823" s="13">
        <f>IFERROR(__xludf.DUMMYFUNCTION("""COMPUTED_VALUE"""),818.0)</f>
        <v>818</v>
      </c>
      <c r="C823" s="13" t="str">
        <f>IFERROR(__xludf.DUMMYFUNCTION("""COMPUTED_VALUE"""),"HM 97/SUKARAME BARU")</f>
        <v>HM 97/SUKARAME BARU</v>
      </c>
      <c r="D823" s="13" t="str">
        <f>IFERROR(__xludf.DUMMYFUNCTION("""COMPUTED_VALUE"""),"L/5/100125/1")</f>
        <v>L/5/100125/1</v>
      </c>
      <c r="E823" s="14" t="str">
        <f>IFERROR(__xludf.DUMMYFUNCTION("""COMPUTED_VALUE"""),"Afriza (BT)")</f>
        <v>Afriza (BT)</v>
      </c>
      <c r="F823" s="14" t="str">
        <f>IFERROR(__xludf.DUMMYFUNCTION("""COMPUTED_VALUE"""),"SELESAI (VIA PERMOHONAN)")</f>
        <v>SELESAI (VIA PERMOHONAN)</v>
      </c>
      <c r="G823" s="17">
        <f>IFERROR(__xludf.DUMMYFUNCTION("""COMPUTED_VALUE"""),45667.43847008102)</f>
        <v>45667.43847</v>
      </c>
      <c r="H823" s="14" t="str">
        <f>IFERROR(__xludf.DUMMYFUNCTION("""COMPUTED_VALUE"""),"Aprill (SU)")</f>
        <v>Aprill (SU)</v>
      </c>
      <c r="I823" s="13" t="str">
        <f>IFERROR(__xludf.DUMMYFUNCTION("""COMPUTED_VALUE"""),"SELESAI (VIA PERMOHONAN)")</f>
        <v>SELESAI (VIA PERMOHONAN)</v>
      </c>
      <c r="J823" s="17">
        <f>IFERROR(__xludf.DUMMYFUNCTION("""COMPUTED_VALUE"""),45667.43853813657)</f>
        <v>45667.43854</v>
      </c>
      <c r="K823" s="13" t="str">
        <f>IFERROR(__xludf.DUMMYFUNCTION("""COMPUTED_VALUE"""),"Selesai")</f>
        <v>Selesai</v>
      </c>
      <c r="L823" s="17">
        <f>IFERROR(__xludf.DUMMYFUNCTION("""COMPUTED_VALUE"""),45667.43853813657)</f>
        <v>45667.43854</v>
      </c>
      <c r="M823" s="17">
        <f>IFERROR(__xludf.DUMMYFUNCTION("""COMPUTED_VALUE"""),45667.43856299769)</f>
        <v>45667.43856</v>
      </c>
      <c r="N823" s="13" t="str">
        <f>IFERROR(__xludf.DUMMYFUNCTION("""COMPUTED_VALUE"""),"")</f>
        <v/>
      </c>
      <c r="O823" s="13" t="str">
        <f t="shared" si="1"/>
        <v/>
      </c>
    </row>
    <row r="824" ht="22.5" customHeight="1">
      <c r="B824" s="13">
        <f>IFERROR(__xludf.DUMMYFUNCTION("""COMPUTED_VALUE"""),819.0)</f>
        <v>819</v>
      </c>
      <c r="C824" s="13" t="str">
        <f>IFERROR(__xludf.DUMMYFUNCTION("""COMPUTED_VALUE"""),"M. 2268/ Rajabasa Raya")</f>
        <v>M. 2268/ Rajabasa Raya</v>
      </c>
      <c r="D824" s="13" t="str">
        <f>IFERROR(__xludf.DUMMYFUNCTION("""COMPUTED_VALUE"""),"K/27/171224/2")</f>
        <v>K/27/171224/2</v>
      </c>
      <c r="E824" s="14" t="str">
        <f>IFERROR(__xludf.DUMMYFUNCTION("""COMPUTED_VALUE"""),"Afriza (BT)")</f>
        <v>Afriza (BT)</v>
      </c>
      <c r="F824" s="14" t="str">
        <f>IFERROR(__xludf.DUMMYFUNCTION("""COMPUTED_VALUE"""),"SELESAI (VIA PERMOHONAN)")</f>
        <v>SELESAI (VIA PERMOHONAN)</v>
      </c>
      <c r="G824" s="17">
        <f>IFERROR(__xludf.DUMMYFUNCTION("""COMPUTED_VALUE"""),45667.440831932865)</f>
        <v>45667.44083</v>
      </c>
      <c r="H824" s="14" t="str">
        <f>IFERROR(__xludf.DUMMYFUNCTION("""COMPUTED_VALUE"""),"Bu Eva (SU)")</f>
        <v>Bu Eva (SU)</v>
      </c>
      <c r="I824" s="13" t="str">
        <f>IFERROR(__xludf.DUMMYFUNCTION("""COMPUTED_VALUE"""),"SELESAI (VIA PERMOHONAN)")</f>
        <v>SELESAI (VIA PERMOHONAN)</v>
      </c>
      <c r="J824" s="17">
        <f>IFERROR(__xludf.DUMMYFUNCTION("""COMPUTED_VALUE"""),45670.64224243056)</f>
        <v>45670.64224</v>
      </c>
      <c r="K824" s="13" t="str">
        <f>IFERROR(__xludf.DUMMYFUNCTION("""COMPUTED_VALUE"""),"Selesai")</f>
        <v>Selesai</v>
      </c>
      <c r="L824" s="17">
        <f>IFERROR(__xludf.DUMMYFUNCTION("""COMPUTED_VALUE"""),45670.64224243056)</f>
        <v>45670.64224</v>
      </c>
      <c r="M824" s="17">
        <f>IFERROR(__xludf.DUMMYFUNCTION("""COMPUTED_VALUE"""),45670.64225509259)</f>
        <v>45670.64226</v>
      </c>
      <c r="N824" s="13" t="str">
        <f>IFERROR(__xludf.DUMMYFUNCTION("""COMPUTED_VALUE"""),"")</f>
        <v/>
      </c>
      <c r="O824" s="13" t="str">
        <f t="shared" si="1"/>
        <v/>
      </c>
    </row>
    <row r="825" ht="22.5" customHeight="1">
      <c r="B825" s="13">
        <f>IFERROR(__xludf.DUMMYFUNCTION("""COMPUTED_VALUE"""),820.0)</f>
        <v>820</v>
      </c>
      <c r="C825" s="13" t="str">
        <f>IFERROR(__xludf.DUMMYFUNCTION("""COMPUTED_VALUE"""),"M.14948/RAJABASA")</f>
        <v>M.14948/RAJABASA</v>
      </c>
      <c r="D825" s="13" t="str">
        <f>IFERROR(__xludf.DUMMYFUNCTION("""COMPUTED_VALUE"""),"K/14/060125/1")</f>
        <v>K/14/060125/1</v>
      </c>
      <c r="E825" s="14" t="str">
        <f>IFERROR(__xludf.DUMMYFUNCTION("""COMPUTED_VALUE"""),"Afriza (BT)")</f>
        <v>Afriza (BT)</v>
      </c>
      <c r="F825" s="14" t="str">
        <f>IFERROR(__xludf.DUMMYFUNCTION("""COMPUTED_VALUE"""),"SELESAI")</f>
        <v>SELESAI</v>
      </c>
      <c r="G825" s="17">
        <f>IFERROR(__xludf.DUMMYFUNCTION("""COMPUTED_VALUE"""),45667.44543280093)</f>
        <v>45667.44543</v>
      </c>
      <c r="H825" s="14" t="str">
        <f>IFERROR(__xludf.DUMMYFUNCTION("""COMPUTED_VALUE"""),"Bu Eva (SU)")</f>
        <v>Bu Eva (SU)</v>
      </c>
      <c r="I825" s="13" t="str">
        <f>IFERROR(__xludf.DUMMYFUNCTION("""COMPUTED_VALUE"""),"SELESAI")</f>
        <v>SELESAI</v>
      </c>
      <c r="J825" s="17">
        <f>IFERROR(__xludf.DUMMYFUNCTION("""COMPUTED_VALUE"""),45672.61541300926)</f>
        <v>45672.61541</v>
      </c>
      <c r="K825" s="13" t="str">
        <f>IFERROR(__xludf.DUMMYFUNCTION("""COMPUTED_VALUE"""),"SELESAI")</f>
        <v>SELESAI</v>
      </c>
      <c r="L825" s="17">
        <f>IFERROR(__xludf.DUMMYFUNCTION("""COMPUTED_VALUE"""),45672.61541300926)</f>
        <v>45672.61541</v>
      </c>
      <c r="M825" s="17" t="str">
        <f>IFERROR(__xludf.DUMMYFUNCTION("""COMPUTED_VALUE"""),"")</f>
        <v/>
      </c>
      <c r="N825" s="17">
        <f>IFERROR(__xludf.DUMMYFUNCTION("""COMPUTED_VALUE"""),45672.615446932876)</f>
        <v>45672.61545</v>
      </c>
      <c r="O825" s="13">
        <f t="shared" si="1"/>
        <v>1</v>
      </c>
    </row>
    <row r="826" ht="22.5" customHeight="1">
      <c r="B826" s="13">
        <f>IFERROR(__xludf.DUMMYFUNCTION("""COMPUTED_VALUE"""),821.0)</f>
        <v>821</v>
      </c>
      <c r="C826" s="13" t="str">
        <f>IFERROR(__xludf.DUMMYFUNCTION("""COMPUTED_VALUE"""),"M. 10490/ Sukarame")</f>
        <v>M. 10490/ Sukarame</v>
      </c>
      <c r="D826" s="13" t="str">
        <f>IFERROR(__xludf.DUMMYFUNCTION("""COMPUTED_VALUE"""),"K/17/060125/2")</f>
        <v>K/17/060125/2</v>
      </c>
      <c r="E826" s="14" t="str">
        <f>IFERROR(__xludf.DUMMYFUNCTION("""COMPUTED_VALUE"""),"Afriza (BT)")</f>
        <v>Afriza (BT)</v>
      </c>
      <c r="F826" s="14" t="str">
        <f>IFERROR(__xludf.DUMMYFUNCTION("""COMPUTED_VALUE"""),"SELESAI")</f>
        <v>SELESAI</v>
      </c>
      <c r="G826" s="17">
        <f>IFERROR(__xludf.DUMMYFUNCTION("""COMPUTED_VALUE"""),45667.58331261574)</f>
        <v>45667.58331</v>
      </c>
      <c r="H826" s="14" t="str">
        <f>IFERROR(__xludf.DUMMYFUNCTION("""COMPUTED_VALUE"""),"Bu Eva (SU)")</f>
        <v>Bu Eva (SU)</v>
      </c>
      <c r="I826" s="13" t="str">
        <f>IFERROR(__xludf.DUMMYFUNCTION("""COMPUTED_VALUE"""),"SELESAI")</f>
        <v>SELESAI</v>
      </c>
      <c r="J826" s="17">
        <f>IFERROR(__xludf.DUMMYFUNCTION("""COMPUTED_VALUE"""),45672.616844351855)</f>
        <v>45672.61684</v>
      </c>
      <c r="K826" s="13" t="str">
        <f>IFERROR(__xludf.DUMMYFUNCTION("""COMPUTED_VALUE"""),"SELESAI")</f>
        <v>SELESAI</v>
      </c>
      <c r="L826" s="17">
        <f>IFERROR(__xludf.DUMMYFUNCTION("""COMPUTED_VALUE"""),45672.616844351855)</f>
        <v>45672.61684</v>
      </c>
      <c r="M826" s="17" t="str">
        <f>IFERROR(__xludf.DUMMYFUNCTION("""COMPUTED_VALUE"""),"")</f>
        <v/>
      </c>
      <c r="N826" s="17">
        <f>IFERROR(__xludf.DUMMYFUNCTION("""COMPUTED_VALUE"""),45672.617013090276)</f>
        <v>45672.61701</v>
      </c>
      <c r="O826" s="13">
        <f t="shared" si="1"/>
        <v>2</v>
      </c>
    </row>
    <row r="827" ht="22.5" customHeight="1">
      <c r="B827" s="13">
        <f>IFERROR(__xludf.DUMMYFUNCTION("""COMPUTED_VALUE"""),822.0)</f>
        <v>822</v>
      </c>
      <c r="C827" s="13" t="str">
        <f>IFERROR(__xludf.DUMMYFUNCTION("""COMPUTED_VALUE"""),"M.11871/LABUHAN RATU")</f>
        <v>M.11871/LABUHAN RATU</v>
      </c>
      <c r="D827" s="13" t="str">
        <f>IFERROR(__xludf.DUMMYFUNCTION("""COMPUTED_VALUE"""),"K/15/060125/2")</f>
        <v>K/15/060125/2</v>
      </c>
      <c r="E827" s="14" t="str">
        <f>IFERROR(__xludf.DUMMYFUNCTION("""COMPUTED_VALUE"""),"Afriza (BT)")</f>
        <v>Afriza (BT)</v>
      </c>
      <c r="F827" s="14" t="str">
        <f>IFERROR(__xludf.DUMMYFUNCTION("""COMPUTED_VALUE"""),"SELESAI")</f>
        <v>SELESAI</v>
      </c>
      <c r="G827" s="17">
        <f>IFERROR(__xludf.DUMMYFUNCTION("""COMPUTED_VALUE"""),45667.60592340278)</f>
        <v>45667.60592</v>
      </c>
      <c r="H827" s="14" t="str">
        <f>IFERROR(__xludf.DUMMYFUNCTION("""COMPUTED_VALUE"""),"Bu Eva (SU)")</f>
        <v>Bu Eva (SU)</v>
      </c>
      <c r="I827" s="13" t="str">
        <f>IFERROR(__xludf.DUMMYFUNCTION("""COMPUTED_VALUE"""),"SELESAI")</f>
        <v>SELESAI</v>
      </c>
      <c r="J827" s="17">
        <f>IFERROR(__xludf.DUMMYFUNCTION("""COMPUTED_VALUE"""),45672.616258483795)</f>
        <v>45672.61626</v>
      </c>
      <c r="K827" s="13" t="str">
        <f>IFERROR(__xludf.DUMMYFUNCTION("""COMPUTED_VALUE"""),"SELESAI")</f>
        <v>SELESAI</v>
      </c>
      <c r="L827" s="17">
        <f>IFERROR(__xludf.DUMMYFUNCTION("""COMPUTED_VALUE"""),45672.616258483795)</f>
        <v>45672.61626</v>
      </c>
      <c r="M827" s="17" t="str">
        <f>IFERROR(__xludf.DUMMYFUNCTION("""COMPUTED_VALUE"""),"")</f>
        <v/>
      </c>
      <c r="N827" s="17">
        <f>IFERROR(__xludf.DUMMYFUNCTION("""COMPUTED_VALUE"""),45672.6163283912)</f>
        <v>45672.61633</v>
      </c>
      <c r="O827" s="13">
        <f t="shared" si="1"/>
        <v>3</v>
      </c>
    </row>
    <row r="828" ht="22.5" customHeight="1">
      <c r="B828" s="13">
        <f>IFERROR(__xludf.DUMMYFUNCTION("""COMPUTED_VALUE"""),823.0)</f>
        <v>823</v>
      </c>
      <c r="C828" s="13" t="str">
        <f>IFERROR(__xludf.DUMMYFUNCTION("""COMPUTED_VALUE"""),"HM 437/PWK")</f>
        <v>HM 437/PWK</v>
      </c>
      <c r="D828" s="13" t="str">
        <f>IFERROR(__xludf.DUMMYFUNCTION("""COMPUTED_VALUE"""),"L/3/060125/1")</f>
        <v>L/3/060125/1</v>
      </c>
      <c r="E828" s="14" t="str">
        <f>IFERROR(__xludf.DUMMYFUNCTION("""COMPUTED_VALUE"""),"Afriza (BT)")</f>
        <v>Afriza (BT)</v>
      </c>
      <c r="F828" s="14" t="str">
        <f>IFERROR(__xludf.DUMMYFUNCTION("""COMPUTED_VALUE"""),"SELESAI")</f>
        <v>SELESAI</v>
      </c>
      <c r="G828" s="17">
        <f>IFERROR(__xludf.DUMMYFUNCTION("""COMPUTED_VALUE"""),45667.61064932871)</f>
        <v>45667.61065</v>
      </c>
      <c r="H828" s="14" t="str">
        <f>IFERROR(__xludf.DUMMYFUNCTION("""COMPUTED_VALUE"""),"Bu Eva (SU)")</f>
        <v>Bu Eva (SU)</v>
      </c>
      <c r="I828" s="13" t="str">
        <f>IFERROR(__xludf.DUMMYFUNCTION("""COMPUTED_VALUE"""),"SELESAI")</f>
        <v>SELESAI</v>
      </c>
      <c r="J828" s="17">
        <f>IFERROR(__xludf.DUMMYFUNCTION("""COMPUTED_VALUE"""),45672.616273935186)</f>
        <v>45672.61627</v>
      </c>
      <c r="K828" s="13" t="str">
        <f>IFERROR(__xludf.DUMMYFUNCTION("""COMPUTED_VALUE"""),"SELESAI")</f>
        <v>SELESAI</v>
      </c>
      <c r="L828" s="17">
        <f>IFERROR(__xludf.DUMMYFUNCTION("""COMPUTED_VALUE"""),45672.616273935186)</f>
        <v>45672.61627</v>
      </c>
      <c r="M828" s="17" t="str">
        <f>IFERROR(__xludf.DUMMYFUNCTION("""COMPUTED_VALUE"""),"")</f>
        <v/>
      </c>
      <c r="N828" s="17">
        <f>IFERROR(__xludf.DUMMYFUNCTION("""COMPUTED_VALUE"""),45672.61633605324)</f>
        <v>45672.61634</v>
      </c>
      <c r="O828" s="13">
        <f t="shared" si="1"/>
        <v>4</v>
      </c>
    </row>
    <row r="829" ht="22.5" customHeight="1">
      <c r="B829" s="13">
        <f>IFERROR(__xludf.DUMMYFUNCTION("""COMPUTED_VALUE"""),824.0)</f>
        <v>824</v>
      </c>
      <c r="C829" s="13" t="str">
        <f>IFERROR(__xludf.DUMMYFUNCTION("""COMPUTED_VALUE"""),"HGB 1464/CAMPANG RAYA")</f>
        <v>HGB 1464/CAMPANG RAYA</v>
      </c>
      <c r="D829" s="13" t="str">
        <f>IFERROR(__xludf.DUMMYFUNCTION("""COMPUTED_VALUE"""),"L/19/060125/1")</f>
        <v>L/19/060125/1</v>
      </c>
      <c r="E829" s="14" t="str">
        <f>IFERROR(__xludf.DUMMYFUNCTION("""COMPUTED_VALUE"""),"Afriza (BT)")</f>
        <v>Afriza (BT)</v>
      </c>
      <c r="F829" s="14" t="str">
        <f>IFERROR(__xludf.DUMMYFUNCTION("""COMPUTED_VALUE"""),"SELESAI")</f>
        <v>SELESAI</v>
      </c>
      <c r="G829" s="17">
        <f>IFERROR(__xludf.DUMMYFUNCTION("""COMPUTED_VALUE"""),45667.61719421296)</f>
        <v>45667.61719</v>
      </c>
      <c r="H829" s="14" t="str">
        <f>IFERROR(__xludf.DUMMYFUNCTION("""COMPUTED_VALUE"""),"Bu Eva (SU)")</f>
        <v>Bu Eva (SU)</v>
      </c>
      <c r="I829" s="13" t="str">
        <f>IFERROR(__xludf.DUMMYFUNCTION("""COMPUTED_VALUE"""),"SELESAI")</f>
        <v>SELESAI</v>
      </c>
      <c r="J829" s="17">
        <f>IFERROR(__xludf.DUMMYFUNCTION("""COMPUTED_VALUE"""),45672.616292025465)</f>
        <v>45672.61629</v>
      </c>
      <c r="K829" s="13" t="str">
        <f>IFERROR(__xludf.DUMMYFUNCTION("""COMPUTED_VALUE"""),"SELESAI")</f>
        <v>SELESAI</v>
      </c>
      <c r="L829" s="17">
        <f>IFERROR(__xludf.DUMMYFUNCTION("""COMPUTED_VALUE"""),45672.616292025465)</f>
        <v>45672.61629</v>
      </c>
      <c r="M829" s="17" t="str">
        <f>IFERROR(__xludf.DUMMYFUNCTION("""COMPUTED_VALUE"""),"")</f>
        <v/>
      </c>
      <c r="N829" s="17">
        <f>IFERROR(__xludf.DUMMYFUNCTION("""COMPUTED_VALUE"""),45672.616345428236)</f>
        <v>45672.61635</v>
      </c>
      <c r="O829" s="13">
        <f t="shared" si="1"/>
        <v>5</v>
      </c>
    </row>
    <row r="830" ht="22.5" customHeight="1">
      <c r="B830" s="13">
        <f>IFERROR(__xludf.DUMMYFUNCTION("""COMPUTED_VALUE"""),825.0)</f>
        <v>825</v>
      </c>
      <c r="C830" s="13" t="str">
        <f>IFERROR(__xludf.DUMMYFUNCTION("""COMPUTED_VALUE"""),"HM 1117/SUKARAME II")</f>
        <v>HM 1117/SUKARAME II</v>
      </c>
      <c r="D830" s="13" t="str">
        <f>IFERROR(__xludf.DUMMYFUNCTION("""COMPUTED_VALUE"""),"L/4/091224/1")</f>
        <v>L/4/091224/1</v>
      </c>
      <c r="E830" s="14" t="str">
        <f>IFERROR(__xludf.DUMMYFUNCTION("""COMPUTED_VALUE"""),"Nadian (BT)")</f>
        <v>Nadian (BT)</v>
      </c>
      <c r="F830" s="14" t="str">
        <f>IFERROR(__xludf.DUMMYFUNCTION("""COMPUTED_VALUE"""),"SELESAI (VIA PERMOHONAN)")</f>
        <v>SELESAI (VIA PERMOHONAN)</v>
      </c>
      <c r="G830" s="17">
        <f>IFERROR(__xludf.DUMMYFUNCTION("""COMPUTED_VALUE"""),45667.639833912035)</f>
        <v>45667.63983</v>
      </c>
      <c r="H830" s="14" t="str">
        <f>IFERROR(__xludf.DUMMYFUNCTION("""COMPUTED_VALUE"""),"Bu Eva (SU)")</f>
        <v>Bu Eva (SU)</v>
      </c>
      <c r="I830" s="13" t="str">
        <f>IFERROR(__xludf.DUMMYFUNCTION("""COMPUTED_VALUE"""),"SELESAI (VIA PERMOHONAN)")</f>
        <v>SELESAI (VIA PERMOHONAN)</v>
      </c>
      <c r="J830" s="17">
        <f>IFERROR(__xludf.DUMMYFUNCTION("""COMPUTED_VALUE"""),45670.64229153935)</f>
        <v>45670.64229</v>
      </c>
      <c r="K830" s="13" t="str">
        <f>IFERROR(__xludf.DUMMYFUNCTION("""COMPUTED_VALUE"""),"Selesai")</f>
        <v>Selesai</v>
      </c>
      <c r="L830" s="17">
        <f>IFERROR(__xludf.DUMMYFUNCTION("""COMPUTED_VALUE"""),45670.64229153935)</f>
        <v>45670.64229</v>
      </c>
      <c r="M830" s="17">
        <f>IFERROR(__xludf.DUMMYFUNCTION("""COMPUTED_VALUE"""),45670.64289855324)</f>
        <v>45670.6429</v>
      </c>
      <c r="N830" s="13" t="str">
        <f>IFERROR(__xludf.DUMMYFUNCTION("""COMPUTED_VALUE"""),"")</f>
        <v/>
      </c>
      <c r="O830" s="13" t="str">
        <f t="shared" si="1"/>
        <v/>
      </c>
    </row>
    <row r="831" ht="22.5" customHeight="1">
      <c r="B831" s="13">
        <f>IFERROR(__xludf.DUMMYFUNCTION("""COMPUTED_VALUE"""),826.0)</f>
        <v>826</v>
      </c>
      <c r="C831" s="13" t="str">
        <f>IFERROR(__xludf.DUMMYFUNCTION("""COMPUTED_VALUE"""),"M. 1837/ Langkapura")</f>
        <v>M. 1837/ Langkapura</v>
      </c>
      <c r="D831" s="13" t="str">
        <f>IFERROR(__xludf.DUMMYFUNCTION("""COMPUTED_VALUE"""),"K/30/060125/2")</f>
        <v>K/30/060125/2</v>
      </c>
      <c r="E831" s="14" t="str">
        <f>IFERROR(__xludf.DUMMYFUNCTION("""COMPUTED_VALUE"""),"Nadian (BT)")</f>
        <v>Nadian (BT)</v>
      </c>
      <c r="F831" s="14" t="str">
        <f>IFERROR(__xludf.DUMMYFUNCTION("""COMPUTED_VALUE"""),"SELESAI (VIA PERMOHONAN)")</f>
        <v>SELESAI (VIA PERMOHONAN)</v>
      </c>
      <c r="G831" s="17">
        <f>IFERROR(__xludf.DUMMYFUNCTION("""COMPUTED_VALUE"""),45667.63988618056)</f>
        <v>45667.63989</v>
      </c>
      <c r="H831" s="14" t="str">
        <f>IFERROR(__xludf.DUMMYFUNCTION("""COMPUTED_VALUE"""),"Bu Eva (SU)")</f>
        <v>Bu Eva (SU)</v>
      </c>
      <c r="I831" s="13" t="str">
        <f>IFERROR(__xludf.DUMMYFUNCTION("""COMPUTED_VALUE"""),"SELESAI (VIA PERMOHONAN)")</f>
        <v>SELESAI (VIA PERMOHONAN)</v>
      </c>
      <c r="J831" s="17">
        <f>IFERROR(__xludf.DUMMYFUNCTION("""COMPUTED_VALUE"""),45670.6423153588)</f>
        <v>45670.64232</v>
      </c>
      <c r="K831" s="13" t="str">
        <f>IFERROR(__xludf.DUMMYFUNCTION("""COMPUTED_VALUE"""),"Selesai")</f>
        <v>Selesai</v>
      </c>
      <c r="L831" s="17">
        <f>IFERROR(__xludf.DUMMYFUNCTION("""COMPUTED_VALUE"""),45670.6423153588)</f>
        <v>45670.64232</v>
      </c>
      <c r="M831" s="17">
        <f>IFERROR(__xludf.DUMMYFUNCTION("""COMPUTED_VALUE"""),45670.642908865746)</f>
        <v>45670.64291</v>
      </c>
      <c r="N831" s="13" t="str">
        <f>IFERROR(__xludf.DUMMYFUNCTION("""COMPUTED_VALUE"""),"")</f>
        <v/>
      </c>
      <c r="O831" s="13" t="str">
        <f t="shared" si="1"/>
        <v/>
      </c>
    </row>
    <row r="832" ht="22.5" customHeight="1">
      <c r="B832" s="13">
        <f>IFERROR(__xludf.DUMMYFUNCTION("""COMPUTED_VALUE"""),827.0)</f>
        <v>827</v>
      </c>
      <c r="C832" s="13" t="str">
        <f>IFERROR(__xludf.DUMMYFUNCTION("""COMPUTED_VALUE"""),"M. 3689/ Sukadana Ham")</f>
        <v>M. 3689/ Sukadana Ham</v>
      </c>
      <c r="D832" s="13" t="str">
        <f>IFERROR(__xludf.DUMMYFUNCTION("""COMPUTED_VALUE"""),"K/5/020125/1")</f>
        <v>K/5/020125/1</v>
      </c>
      <c r="E832" s="14" t="str">
        <f>IFERROR(__xludf.DUMMYFUNCTION("""COMPUTED_VALUE"""),"Nadian (BT)")</f>
        <v>Nadian (BT)</v>
      </c>
      <c r="F832" s="14" t="str">
        <f>IFERROR(__xludf.DUMMYFUNCTION("""COMPUTED_VALUE"""),"SELESAI (VIA PERMOHONAN)")</f>
        <v>SELESAI (VIA PERMOHONAN)</v>
      </c>
      <c r="G832" s="17">
        <f>IFERROR(__xludf.DUMMYFUNCTION("""COMPUTED_VALUE"""),45667.63988618056)</f>
        <v>45667.63989</v>
      </c>
      <c r="H832" s="14" t="str">
        <f>IFERROR(__xludf.DUMMYFUNCTION("""COMPUTED_VALUE"""),"Bu Eva (SU)")</f>
        <v>Bu Eva (SU)</v>
      </c>
      <c r="I832" s="13" t="str">
        <f>IFERROR(__xludf.DUMMYFUNCTION("""COMPUTED_VALUE"""),"SELESAI (VIA PERMOHONAN)")</f>
        <v>SELESAI (VIA PERMOHONAN)</v>
      </c>
      <c r="J832" s="17">
        <f>IFERROR(__xludf.DUMMYFUNCTION("""COMPUTED_VALUE"""),45670.642334062504)</f>
        <v>45670.64233</v>
      </c>
      <c r="K832" s="13" t="str">
        <f>IFERROR(__xludf.DUMMYFUNCTION("""COMPUTED_VALUE"""),"Selesai")</f>
        <v>Selesai</v>
      </c>
      <c r="L832" s="17">
        <f>IFERROR(__xludf.DUMMYFUNCTION("""COMPUTED_VALUE"""),45670.642334062504)</f>
        <v>45670.64233</v>
      </c>
      <c r="M832" s="17">
        <f>IFERROR(__xludf.DUMMYFUNCTION("""COMPUTED_VALUE"""),45670.64292349537)</f>
        <v>45670.64292</v>
      </c>
      <c r="N832" s="13" t="str">
        <f>IFERROR(__xludf.DUMMYFUNCTION("""COMPUTED_VALUE"""),"")</f>
        <v/>
      </c>
      <c r="O832" s="13" t="str">
        <f t="shared" si="1"/>
        <v/>
      </c>
    </row>
    <row r="833" ht="22.5" customHeight="1">
      <c r="B833" s="13">
        <f>IFERROR(__xludf.DUMMYFUNCTION("""COMPUTED_VALUE"""),828.0)</f>
        <v>828</v>
      </c>
      <c r="C833" s="13" t="str">
        <f>IFERROR(__xludf.DUMMYFUNCTION("""COMPUTED_VALUE"""),"M. 1896/ Jagabaya III")</f>
        <v>M. 1896/ Jagabaya III</v>
      </c>
      <c r="D833" s="13" t="str">
        <f>IFERROR(__xludf.DUMMYFUNCTION("""COMPUTED_VALUE"""),"K/35/060125/4")</f>
        <v>K/35/060125/4</v>
      </c>
      <c r="E833" s="14" t="str">
        <f>IFERROR(__xludf.DUMMYFUNCTION("""COMPUTED_VALUE"""),"Nadian (BT)")</f>
        <v>Nadian (BT)</v>
      </c>
      <c r="F833" s="14" t="str">
        <f>IFERROR(__xludf.DUMMYFUNCTION("""COMPUTED_VALUE"""),"SELESAI")</f>
        <v>SELESAI</v>
      </c>
      <c r="G833" s="17">
        <f>IFERROR(__xludf.DUMMYFUNCTION("""COMPUTED_VALUE"""),45667.63995133102)</f>
        <v>45667.63995</v>
      </c>
      <c r="H833" s="14" t="str">
        <f>IFERROR(__xludf.DUMMYFUNCTION("""COMPUTED_VALUE"""),"Bu Eva (SU)")</f>
        <v>Bu Eva (SU)</v>
      </c>
      <c r="I833" s="13" t="str">
        <f>IFERROR(__xludf.DUMMYFUNCTION("""COMPUTED_VALUE"""),"SELESAI")</f>
        <v>SELESAI</v>
      </c>
      <c r="J833" s="17">
        <f>IFERROR(__xludf.DUMMYFUNCTION("""COMPUTED_VALUE"""),45672.61800091436)</f>
        <v>45672.618</v>
      </c>
      <c r="K833" s="13" t="str">
        <f>IFERROR(__xludf.DUMMYFUNCTION("""COMPUTED_VALUE"""),"SELESAI")</f>
        <v>SELESAI</v>
      </c>
      <c r="L833" s="17">
        <f>IFERROR(__xludf.DUMMYFUNCTION("""COMPUTED_VALUE"""),45672.61800091436)</f>
        <v>45672.618</v>
      </c>
      <c r="M833" s="17" t="str">
        <f>IFERROR(__xludf.DUMMYFUNCTION("""COMPUTED_VALUE"""),"")</f>
        <v/>
      </c>
      <c r="N833" s="17">
        <f>IFERROR(__xludf.DUMMYFUNCTION("""COMPUTED_VALUE"""),45672.61805716435)</f>
        <v>45672.61806</v>
      </c>
      <c r="O833" s="13">
        <f t="shared" si="1"/>
        <v>1</v>
      </c>
    </row>
    <row r="834" ht="22.5" customHeight="1">
      <c r="B834" s="13">
        <f>IFERROR(__xludf.DUMMYFUNCTION("""COMPUTED_VALUE"""),829.0)</f>
        <v>829</v>
      </c>
      <c r="C834" s="13" t="str">
        <f>IFERROR(__xludf.DUMMYFUNCTION("""COMPUTED_VALUE"""),"M. 17183/ Sukarame ")</f>
        <v>M. 17183/ Sukarame </v>
      </c>
      <c r="D834" s="13" t="str">
        <f>IFERROR(__xludf.DUMMYFUNCTION("""COMPUTED_VALUE"""),"K/29/060125/1")</f>
        <v>K/29/060125/1</v>
      </c>
      <c r="E834" s="14" t="str">
        <f>IFERROR(__xludf.DUMMYFUNCTION("""COMPUTED_VALUE"""),"Nadian (BT)")</f>
        <v>Nadian (BT)</v>
      </c>
      <c r="F834" s="14" t="str">
        <f>IFERROR(__xludf.DUMMYFUNCTION("""COMPUTED_VALUE"""),"SELESAI")</f>
        <v>SELESAI</v>
      </c>
      <c r="G834" s="17">
        <f>IFERROR(__xludf.DUMMYFUNCTION("""COMPUTED_VALUE"""),45667.63997282408)</f>
        <v>45667.63997</v>
      </c>
      <c r="H834" s="14" t="str">
        <f>IFERROR(__xludf.DUMMYFUNCTION("""COMPUTED_VALUE"""),"Bu Eva (SU)")</f>
        <v>Bu Eva (SU)</v>
      </c>
      <c r="I834" s="13" t="str">
        <f>IFERROR(__xludf.DUMMYFUNCTION("""COMPUTED_VALUE"""),"SELESAI")</f>
        <v>SELESAI</v>
      </c>
      <c r="J834" s="17">
        <f>IFERROR(__xludf.DUMMYFUNCTION("""COMPUTED_VALUE"""),45672.61773815972)</f>
        <v>45672.61774</v>
      </c>
      <c r="K834" s="13" t="str">
        <f>IFERROR(__xludf.DUMMYFUNCTION("""COMPUTED_VALUE"""),"SELESAI")</f>
        <v>SELESAI</v>
      </c>
      <c r="L834" s="17">
        <f>IFERROR(__xludf.DUMMYFUNCTION("""COMPUTED_VALUE"""),45672.61773815972)</f>
        <v>45672.61774</v>
      </c>
      <c r="M834" s="17" t="str">
        <f>IFERROR(__xludf.DUMMYFUNCTION("""COMPUTED_VALUE"""),"")</f>
        <v/>
      </c>
      <c r="N834" s="17">
        <f>IFERROR(__xludf.DUMMYFUNCTION("""COMPUTED_VALUE"""),45672.61769024306)</f>
        <v>45672.61769</v>
      </c>
      <c r="O834" s="13">
        <f t="shared" si="1"/>
        <v>2</v>
      </c>
    </row>
    <row r="835" ht="22.5" customHeight="1">
      <c r="B835" s="13">
        <f>IFERROR(__xludf.DUMMYFUNCTION("""COMPUTED_VALUE"""),830.0)</f>
        <v>830</v>
      </c>
      <c r="C835" s="13" t="str">
        <f>IFERROR(__xludf.DUMMYFUNCTION("""COMPUTED_VALUE"""),"M. 1860/ jagabaya III")</f>
        <v>M. 1860/ jagabaya III</v>
      </c>
      <c r="D835" s="13" t="str">
        <f>IFERROR(__xludf.DUMMYFUNCTION("""COMPUTED_VALUE"""),"K/34/060125/3")</f>
        <v>K/34/060125/3</v>
      </c>
      <c r="E835" s="14" t="str">
        <f>IFERROR(__xludf.DUMMYFUNCTION("""COMPUTED_VALUE"""),"Nadian (BT)")</f>
        <v>Nadian (BT)</v>
      </c>
      <c r="F835" s="14" t="str">
        <f>IFERROR(__xludf.DUMMYFUNCTION("""COMPUTED_VALUE"""),"SELESAI")</f>
        <v>SELESAI</v>
      </c>
      <c r="G835" s="17">
        <f>IFERROR(__xludf.DUMMYFUNCTION("""COMPUTED_VALUE"""),45667.63997282408)</f>
        <v>45667.63997</v>
      </c>
      <c r="H835" s="14" t="str">
        <f>IFERROR(__xludf.DUMMYFUNCTION("""COMPUTED_VALUE"""),"Bu Eva (SU)")</f>
        <v>Bu Eva (SU)</v>
      </c>
      <c r="I835" s="13" t="str">
        <f>IFERROR(__xludf.DUMMYFUNCTION("""COMPUTED_VALUE"""),"SELESAI")</f>
        <v>SELESAI</v>
      </c>
      <c r="J835" s="17">
        <f>IFERROR(__xludf.DUMMYFUNCTION("""COMPUTED_VALUE"""),45672.61801900463)</f>
        <v>45672.61802</v>
      </c>
      <c r="K835" s="13" t="str">
        <f>IFERROR(__xludf.DUMMYFUNCTION("""COMPUTED_VALUE"""),"SELESAI")</f>
        <v>SELESAI</v>
      </c>
      <c r="L835" s="17">
        <f>IFERROR(__xludf.DUMMYFUNCTION("""COMPUTED_VALUE"""),45672.61801900463)</f>
        <v>45672.61802</v>
      </c>
      <c r="M835" s="17" t="str">
        <f>IFERROR(__xludf.DUMMYFUNCTION("""COMPUTED_VALUE"""),"")</f>
        <v/>
      </c>
      <c r="N835" s="17">
        <f>IFERROR(__xludf.DUMMYFUNCTION("""COMPUTED_VALUE"""),45672.61806835648)</f>
        <v>45672.61807</v>
      </c>
      <c r="O835" s="13">
        <f t="shared" si="1"/>
        <v>3</v>
      </c>
    </row>
    <row r="836" ht="22.5" customHeight="1">
      <c r="B836" s="13">
        <f>IFERROR(__xludf.DUMMYFUNCTION("""COMPUTED_VALUE"""),831.0)</f>
        <v>831</v>
      </c>
      <c r="C836" s="13" t="str">
        <f>IFERROR(__xludf.DUMMYFUNCTION("""COMPUTED_VALUE"""),"HM 369/KUPANG RAYA")</f>
        <v>HM 369/KUPANG RAYA</v>
      </c>
      <c r="D836" s="13" t="str">
        <f>IFERROR(__xludf.DUMMYFUNCTION("""COMPUTED_VALUE"""),"L/23/060125/1")</f>
        <v>L/23/060125/1</v>
      </c>
      <c r="E836" s="14" t="str">
        <f>IFERROR(__xludf.DUMMYFUNCTION("""COMPUTED_VALUE"""),"Nadian (BT)")</f>
        <v>Nadian (BT)</v>
      </c>
      <c r="F836" s="14" t="str">
        <f>IFERROR(__xludf.DUMMYFUNCTION("""COMPUTED_VALUE"""),"SELESAI")</f>
        <v>SELESAI</v>
      </c>
      <c r="G836" s="17">
        <f>IFERROR(__xludf.DUMMYFUNCTION("""COMPUTED_VALUE"""),45667.63997282408)</f>
        <v>45667.63997</v>
      </c>
      <c r="H836" s="14" t="str">
        <f>IFERROR(__xludf.DUMMYFUNCTION("""COMPUTED_VALUE"""),"Bu Eva (SU)")</f>
        <v>Bu Eva (SU)</v>
      </c>
      <c r="I836" s="13" t="str">
        <f>IFERROR(__xludf.DUMMYFUNCTION("""COMPUTED_VALUE"""),"SELESAI")</f>
        <v>SELESAI</v>
      </c>
      <c r="J836" s="17">
        <f>IFERROR(__xludf.DUMMYFUNCTION("""COMPUTED_VALUE"""),45672.61518142361)</f>
        <v>45672.61518</v>
      </c>
      <c r="K836" s="13" t="str">
        <f>IFERROR(__xludf.DUMMYFUNCTION("""COMPUTED_VALUE"""),"SELESAI")</f>
        <v>SELESAI</v>
      </c>
      <c r="L836" s="17">
        <f>IFERROR(__xludf.DUMMYFUNCTION("""COMPUTED_VALUE"""),45672.61518142361)</f>
        <v>45672.61518</v>
      </c>
      <c r="M836" s="17" t="str">
        <f>IFERROR(__xludf.DUMMYFUNCTION("""COMPUTED_VALUE"""),"")</f>
        <v/>
      </c>
      <c r="N836" s="17">
        <f>IFERROR(__xludf.DUMMYFUNCTION("""COMPUTED_VALUE"""),45672.61521408564)</f>
        <v>45672.61521</v>
      </c>
      <c r="O836" s="13">
        <f t="shared" si="1"/>
        <v>4</v>
      </c>
    </row>
    <row r="837" ht="22.5" customHeight="1">
      <c r="B837" s="13">
        <f>IFERROR(__xludf.DUMMYFUNCTION("""COMPUTED_VALUE"""),832.0)</f>
        <v>832</v>
      </c>
      <c r="C837" s="13" t="str">
        <f>IFERROR(__xludf.DUMMYFUNCTION("""COMPUTED_VALUE"""),"M. 5415/ Way Kandis")</f>
        <v>M. 5415/ Way Kandis</v>
      </c>
      <c r="D837" s="13" t="str">
        <f>IFERROR(__xludf.DUMMYFUNCTION("""COMPUTED_VALUE"""),"K/29/020125/1")</f>
        <v>K/29/020125/1</v>
      </c>
      <c r="E837" s="14" t="str">
        <f>IFERROR(__xludf.DUMMYFUNCTION("""COMPUTED_VALUE"""),"Nadian (BT)")</f>
        <v>Nadian (BT)</v>
      </c>
      <c r="F837" s="14" t="str">
        <f>IFERROR(__xludf.DUMMYFUNCTION("""COMPUTED_VALUE"""),"SELESAI (VIA PERMOHONAN)")</f>
        <v>SELESAI (VIA PERMOHONAN)</v>
      </c>
      <c r="G837" s="17">
        <f>IFERROR(__xludf.DUMMYFUNCTION("""COMPUTED_VALUE"""),45667.66379131944)</f>
        <v>45667.66379</v>
      </c>
      <c r="H837" s="14" t="str">
        <f>IFERROR(__xludf.DUMMYFUNCTION("""COMPUTED_VALUE"""),"Bu Eva (SU)")</f>
        <v>Bu Eva (SU)</v>
      </c>
      <c r="I837" s="13" t="str">
        <f>IFERROR(__xludf.DUMMYFUNCTION("""COMPUTED_VALUE"""),"SELESAI (VIA PERMOHONAN)")</f>
        <v>SELESAI (VIA PERMOHONAN)</v>
      </c>
      <c r="J837" s="17">
        <f>IFERROR(__xludf.DUMMYFUNCTION("""COMPUTED_VALUE"""),45670.642407604166)</f>
        <v>45670.64241</v>
      </c>
      <c r="K837" s="13" t="str">
        <f>IFERROR(__xludf.DUMMYFUNCTION("""COMPUTED_VALUE"""),"Selesai")</f>
        <v>Selesai</v>
      </c>
      <c r="L837" s="17">
        <f>IFERROR(__xludf.DUMMYFUNCTION("""COMPUTED_VALUE"""),45670.642407604166)</f>
        <v>45670.64241</v>
      </c>
      <c r="M837" s="17">
        <f>IFERROR(__xludf.DUMMYFUNCTION("""COMPUTED_VALUE"""),45670.64298662037)</f>
        <v>45670.64299</v>
      </c>
      <c r="N837" s="13" t="str">
        <f>IFERROR(__xludf.DUMMYFUNCTION("""COMPUTED_VALUE"""),"")</f>
        <v/>
      </c>
      <c r="O837" s="13" t="str">
        <f t="shared" si="1"/>
        <v/>
      </c>
    </row>
    <row r="838" ht="22.5" customHeight="1">
      <c r="B838" s="13">
        <f>IFERROR(__xludf.DUMMYFUNCTION("""COMPUTED_VALUE"""),833.0)</f>
        <v>833</v>
      </c>
      <c r="C838" s="13" t="str">
        <f>IFERROR(__xludf.DUMMYFUNCTION("""COMPUTED_VALUE"""),"M. 14704/ Sukarame")</f>
        <v>M. 14704/ Sukarame</v>
      </c>
      <c r="D838" s="13" t="str">
        <f>IFERROR(__xludf.DUMMYFUNCTION("""COMPUTED_VALUE"""),"K/22/201224/1")</f>
        <v>K/22/201224/1</v>
      </c>
      <c r="E838" s="14" t="str">
        <f>IFERROR(__xludf.DUMMYFUNCTION("""COMPUTED_VALUE"""),"Nadian (BT)")</f>
        <v>Nadian (BT)</v>
      </c>
      <c r="F838" s="14" t="str">
        <f>IFERROR(__xludf.DUMMYFUNCTION("""COMPUTED_VALUE"""),"SELESAI (VIA PERMOHONAN)")</f>
        <v>SELESAI (VIA PERMOHONAN)</v>
      </c>
      <c r="G838" s="17">
        <f>IFERROR(__xludf.DUMMYFUNCTION("""COMPUTED_VALUE"""),45667.663817569446)</f>
        <v>45667.66382</v>
      </c>
      <c r="H838" s="14" t="str">
        <f>IFERROR(__xludf.DUMMYFUNCTION("""COMPUTED_VALUE"""),"Bu Eva (SU)")</f>
        <v>Bu Eva (SU)</v>
      </c>
      <c r="I838" s="13" t="str">
        <f>IFERROR(__xludf.DUMMYFUNCTION("""COMPUTED_VALUE"""),"SELESAI (VIA PERMOHONAN)")</f>
        <v>SELESAI (VIA PERMOHONAN)</v>
      </c>
      <c r="J838" s="17">
        <f>IFERROR(__xludf.DUMMYFUNCTION("""COMPUTED_VALUE"""),45670.642407604166)</f>
        <v>45670.64241</v>
      </c>
      <c r="K838" s="13" t="str">
        <f>IFERROR(__xludf.DUMMYFUNCTION("""COMPUTED_VALUE"""),"Selesai")</f>
        <v>Selesai</v>
      </c>
      <c r="L838" s="17">
        <f>IFERROR(__xludf.DUMMYFUNCTION("""COMPUTED_VALUE"""),45670.642407604166)</f>
        <v>45670.64241</v>
      </c>
      <c r="M838" s="17">
        <f>IFERROR(__xludf.DUMMYFUNCTION("""COMPUTED_VALUE"""),45670.64298662037)</f>
        <v>45670.64299</v>
      </c>
      <c r="N838" s="13" t="str">
        <f>IFERROR(__xludf.DUMMYFUNCTION("""COMPUTED_VALUE"""),"")</f>
        <v/>
      </c>
      <c r="O838" s="13" t="str">
        <f t="shared" si="1"/>
        <v/>
      </c>
    </row>
    <row r="839" ht="22.5" customHeight="1">
      <c r="B839" s="13">
        <f>IFERROR(__xludf.DUMMYFUNCTION("""COMPUTED_VALUE"""),834.0)</f>
        <v>834</v>
      </c>
      <c r="C839" s="13" t="str">
        <f>IFERROR(__xludf.DUMMYFUNCTION("""COMPUTED_VALUE"""),"M. 4531/ Rajabsa Jaya")</f>
        <v>M. 4531/ Rajabsa Jaya</v>
      </c>
      <c r="D839" s="13" t="str">
        <f>IFERROR(__xludf.DUMMYFUNCTION("""COMPUTED_VALUE"""),"K/24/090125/2")</f>
        <v>K/24/090125/2</v>
      </c>
      <c r="E839" s="14" t="str">
        <f>IFERROR(__xludf.DUMMYFUNCTION("""COMPUTED_VALUE"""),"Nadian (BT)")</f>
        <v>Nadian (BT)</v>
      </c>
      <c r="F839" s="14" t="str">
        <f>IFERROR(__xludf.DUMMYFUNCTION("""COMPUTED_VALUE"""),"SELESAI (VIA PERMOHONAN)")</f>
        <v>SELESAI (VIA PERMOHONAN)</v>
      </c>
      <c r="G839" s="17">
        <f>IFERROR(__xludf.DUMMYFUNCTION("""COMPUTED_VALUE"""),45667.663817569446)</f>
        <v>45667.66382</v>
      </c>
      <c r="H839" s="14" t="str">
        <f>IFERROR(__xludf.DUMMYFUNCTION("""COMPUTED_VALUE"""),"Bu Eva (SU)")</f>
        <v>Bu Eva (SU)</v>
      </c>
      <c r="I839" s="13" t="str">
        <f>IFERROR(__xludf.DUMMYFUNCTION("""COMPUTED_VALUE"""),"SELESAI (VIA PERMOHONAN)")</f>
        <v>SELESAI (VIA PERMOHONAN)</v>
      </c>
      <c r="J839" s="17">
        <f>IFERROR(__xludf.DUMMYFUNCTION("""COMPUTED_VALUE"""),45670.642407604166)</f>
        <v>45670.64241</v>
      </c>
      <c r="K839" s="13" t="str">
        <f>IFERROR(__xludf.DUMMYFUNCTION("""COMPUTED_VALUE"""),"Selesai")</f>
        <v>Selesai</v>
      </c>
      <c r="L839" s="17">
        <f>IFERROR(__xludf.DUMMYFUNCTION("""COMPUTED_VALUE"""),45670.642407604166)</f>
        <v>45670.64241</v>
      </c>
      <c r="M839" s="17">
        <f>IFERROR(__xludf.DUMMYFUNCTION("""COMPUTED_VALUE"""),45670.64298662037)</f>
        <v>45670.64299</v>
      </c>
      <c r="N839" s="17">
        <f>IFERROR(__xludf.DUMMYFUNCTION("""COMPUTED_VALUE"""),45679.45542600694)</f>
        <v>45679.45543</v>
      </c>
      <c r="O839" s="13">
        <f t="shared" si="1"/>
        <v>1</v>
      </c>
    </row>
    <row r="840" ht="22.5" customHeight="1">
      <c r="B840" s="13">
        <f>IFERROR(__xludf.DUMMYFUNCTION("""COMPUTED_VALUE"""),835.0)</f>
        <v>835</v>
      </c>
      <c r="C840" s="13" t="str">
        <f>IFERROR(__xludf.DUMMYFUNCTION("""COMPUTED_VALUE"""),"M. 304/ Pahoman")</f>
        <v>M. 304/ Pahoman</v>
      </c>
      <c r="D840" s="13" t="str">
        <f>IFERROR(__xludf.DUMMYFUNCTION("""COMPUTED_VALUE"""),"K/3/070125/1")</f>
        <v>K/3/070125/1</v>
      </c>
      <c r="E840" s="14" t="str">
        <f>IFERROR(__xludf.DUMMYFUNCTION("""COMPUTED_VALUE"""),"Nadian (BT)")</f>
        <v>Nadian (BT)</v>
      </c>
      <c r="F840" s="14" t="str">
        <f>IFERROR(__xludf.DUMMYFUNCTION("""COMPUTED_VALUE"""),"SELESAI (VIA PERMOHONAN)")</f>
        <v>SELESAI (VIA PERMOHONAN)</v>
      </c>
      <c r="G840" s="17">
        <f>IFERROR(__xludf.DUMMYFUNCTION("""COMPUTED_VALUE"""),45667.663817569446)</f>
        <v>45667.66382</v>
      </c>
      <c r="H840" s="14" t="str">
        <f>IFERROR(__xludf.DUMMYFUNCTION("""COMPUTED_VALUE"""),"Bu Eva (SU)")</f>
        <v>Bu Eva (SU)</v>
      </c>
      <c r="I840" s="13" t="str">
        <f>IFERROR(__xludf.DUMMYFUNCTION("""COMPUTED_VALUE"""),"SELESAI (VIA PERMOHONAN)")</f>
        <v>SELESAI (VIA PERMOHONAN)</v>
      </c>
      <c r="J840" s="17">
        <f>IFERROR(__xludf.DUMMYFUNCTION("""COMPUTED_VALUE"""),45670.64245399306)</f>
        <v>45670.64245</v>
      </c>
      <c r="K840" s="13" t="str">
        <f>IFERROR(__xludf.DUMMYFUNCTION("""COMPUTED_VALUE"""),"Selesai")</f>
        <v>Selesai</v>
      </c>
      <c r="L840" s="17">
        <f>IFERROR(__xludf.DUMMYFUNCTION("""COMPUTED_VALUE"""),45670.64245399306)</f>
        <v>45670.64245</v>
      </c>
      <c r="M840" s="17">
        <f>IFERROR(__xludf.DUMMYFUNCTION("""COMPUTED_VALUE"""),45670.64301712963)</f>
        <v>45670.64302</v>
      </c>
      <c r="N840" s="13" t="str">
        <f>IFERROR(__xludf.DUMMYFUNCTION("""COMPUTED_VALUE"""),"")</f>
        <v/>
      </c>
      <c r="O840" s="13" t="str">
        <f t="shared" si="1"/>
        <v/>
      </c>
    </row>
    <row r="841" ht="22.5" customHeight="1">
      <c r="B841" s="13">
        <f>IFERROR(__xludf.DUMMYFUNCTION("""COMPUTED_VALUE"""),836.0)</f>
        <v>836</v>
      </c>
      <c r="C841" s="13" t="str">
        <f>IFERROR(__xludf.DUMMYFUNCTION("""COMPUTED_VALUE"""),"M. 1976/ Jagabaya III")</f>
        <v>M. 1976/ Jagabaya III</v>
      </c>
      <c r="D841" s="13" t="str">
        <f>IFERROR(__xludf.DUMMYFUNCTION("""COMPUTED_VALUE"""),"K/36/060125/5")</f>
        <v>K/36/060125/5</v>
      </c>
      <c r="E841" s="14" t="str">
        <f>IFERROR(__xludf.DUMMYFUNCTION("""COMPUTED_VALUE"""),"Nadian (BT)")</f>
        <v>Nadian (BT)</v>
      </c>
      <c r="F841" s="14" t="str">
        <f>IFERROR(__xludf.DUMMYFUNCTION("""COMPUTED_VALUE"""),"SELESAI (VIA PERMOHONAN)")</f>
        <v>SELESAI (VIA PERMOHONAN)</v>
      </c>
      <c r="G841" s="17">
        <f>IFERROR(__xludf.DUMMYFUNCTION("""COMPUTED_VALUE"""),45667.663817569446)</f>
        <v>45667.66382</v>
      </c>
      <c r="H841" s="14" t="str">
        <f>IFERROR(__xludf.DUMMYFUNCTION("""COMPUTED_VALUE"""),"Bu Eva (SU)")</f>
        <v>Bu Eva (SU)</v>
      </c>
      <c r="I841" s="13" t="str">
        <f>IFERROR(__xludf.DUMMYFUNCTION("""COMPUTED_VALUE"""),"SELESAI (VIA PERMOHONAN)")</f>
        <v>SELESAI (VIA PERMOHONAN)</v>
      </c>
      <c r="J841" s="17">
        <f>IFERROR(__xludf.DUMMYFUNCTION("""COMPUTED_VALUE"""),45670.64245400463)</f>
        <v>45670.64245</v>
      </c>
      <c r="K841" s="13" t="str">
        <f>IFERROR(__xludf.DUMMYFUNCTION("""COMPUTED_VALUE"""),"Selesai")</f>
        <v>Selesai</v>
      </c>
      <c r="L841" s="17">
        <f>IFERROR(__xludf.DUMMYFUNCTION("""COMPUTED_VALUE"""),45670.64245400463)</f>
        <v>45670.64245</v>
      </c>
      <c r="M841" s="17">
        <f>IFERROR(__xludf.DUMMYFUNCTION("""COMPUTED_VALUE"""),45670.64301712963)</f>
        <v>45670.64302</v>
      </c>
      <c r="N841" s="13" t="str">
        <f>IFERROR(__xludf.DUMMYFUNCTION("""COMPUTED_VALUE"""),"")</f>
        <v/>
      </c>
      <c r="O841" s="13" t="str">
        <f t="shared" si="1"/>
        <v/>
      </c>
    </row>
    <row r="842" ht="22.5" customHeight="1">
      <c r="B842" s="13">
        <f>IFERROR(__xludf.DUMMYFUNCTION("""COMPUTED_VALUE"""),837.0)</f>
        <v>837</v>
      </c>
      <c r="C842" s="13" t="str">
        <f>IFERROR(__xludf.DUMMYFUNCTION("""COMPUTED_VALUE"""),"M. 2401/ Campang Jaya")</f>
        <v>M. 2401/ Campang Jaya</v>
      </c>
      <c r="D842" s="13" t="str">
        <f>IFERROR(__xludf.DUMMYFUNCTION("""COMPUTED_VALUE"""),"K/11/060125/1")</f>
        <v>K/11/060125/1</v>
      </c>
      <c r="E842" s="14" t="str">
        <f>IFERROR(__xludf.DUMMYFUNCTION("""COMPUTED_VALUE"""),"Nadian (BT)")</f>
        <v>Nadian (BT)</v>
      </c>
      <c r="F842" s="14" t="str">
        <f>IFERROR(__xludf.DUMMYFUNCTION("""COMPUTED_VALUE"""),"SELESAI (VIA PERMOHONAN)")</f>
        <v>SELESAI (VIA PERMOHONAN)</v>
      </c>
      <c r="G842" s="17">
        <f>IFERROR(__xludf.DUMMYFUNCTION("""COMPUTED_VALUE"""),45667.663817569446)</f>
        <v>45667.66382</v>
      </c>
      <c r="H842" s="14" t="str">
        <f>IFERROR(__xludf.DUMMYFUNCTION("""COMPUTED_VALUE"""),"Bu Eva (SU)")</f>
        <v>Bu Eva (SU)</v>
      </c>
      <c r="I842" s="13" t="str">
        <f>IFERROR(__xludf.DUMMYFUNCTION("""COMPUTED_VALUE"""),"SELESAI (VIA PERMOHONAN)")</f>
        <v>SELESAI (VIA PERMOHONAN)</v>
      </c>
      <c r="J842" s="17">
        <f>IFERROR(__xludf.DUMMYFUNCTION("""COMPUTED_VALUE"""),45670.64245400463)</f>
        <v>45670.64245</v>
      </c>
      <c r="K842" s="13" t="str">
        <f>IFERROR(__xludf.DUMMYFUNCTION("""COMPUTED_VALUE"""),"Selesai")</f>
        <v>Selesai</v>
      </c>
      <c r="L842" s="17">
        <f>IFERROR(__xludf.DUMMYFUNCTION("""COMPUTED_VALUE"""),45670.64245400463)</f>
        <v>45670.64245</v>
      </c>
      <c r="M842" s="17">
        <f>IFERROR(__xludf.DUMMYFUNCTION("""COMPUTED_VALUE"""),45670.64301712963)</f>
        <v>45670.64302</v>
      </c>
      <c r="N842" s="13" t="str">
        <f>IFERROR(__xludf.DUMMYFUNCTION("""COMPUTED_VALUE"""),"")</f>
        <v/>
      </c>
      <c r="O842" s="13" t="str">
        <f t="shared" si="1"/>
        <v/>
      </c>
    </row>
    <row r="843" ht="22.5" customHeight="1">
      <c r="B843" s="13">
        <f>IFERROR(__xludf.DUMMYFUNCTION("""COMPUTED_VALUE"""),838.0)</f>
        <v>838</v>
      </c>
      <c r="C843" s="13" t="str">
        <f>IFERROR(__xludf.DUMMYFUNCTION("""COMPUTED_VALUE"""),"M. 2330/ Sepang Jaya")</f>
        <v>M. 2330/ Sepang Jaya</v>
      </c>
      <c r="D843" s="13" t="str">
        <f>IFERROR(__xludf.DUMMYFUNCTION("""COMPUTED_VALUE"""),"K/28/060125/1")</f>
        <v>K/28/060125/1</v>
      </c>
      <c r="E843" s="14" t="str">
        <f>IFERROR(__xludf.DUMMYFUNCTION("""COMPUTED_VALUE"""),"Nadian (BT)")</f>
        <v>Nadian (BT)</v>
      </c>
      <c r="F843" s="14" t="str">
        <f>IFERROR(__xludf.DUMMYFUNCTION("""COMPUTED_VALUE"""),"SELESAI (VIA PERMOHONAN)")</f>
        <v>SELESAI (VIA PERMOHONAN)</v>
      </c>
      <c r="G843" s="17">
        <f>IFERROR(__xludf.DUMMYFUNCTION("""COMPUTED_VALUE"""),45667.663817569446)</f>
        <v>45667.66382</v>
      </c>
      <c r="H843" s="14" t="str">
        <f>IFERROR(__xludf.DUMMYFUNCTION("""COMPUTED_VALUE"""),"Bu Eva (SU)")</f>
        <v>Bu Eva (SU)</v>
      </c>
      <c r="I843" s="13" t="str">
        <f>IFERROR(__xludf.DUMMYFUNCTION("""COMPUTED_VALUE"""),"SELESAI (VIA PERMOHONAN)")</f>
        <v>SELESAI (VIA PERMOHONAN)</v>
      </c>
      <c r="J843" s="17">
        <f>IFERROR(__xludf.DUMMYFUNCTION("""COMPUTED_VALUE"""),45670.64253329861)</f>
        <v>45670.64253</v>
      </c>
      <c r="K843" s="13" t="str">
        <f>IFERROR(__xludf.DUMMYFUNCTION("""COMPUTED_VALUE"""),"Selesai")</f>
        <v>Selesai</v>
      </c>
      <c r="L843" s="17">
        <f>IFERROR(__xludf.DUMMYFUNCTION("""COMPUTED_VALUE"""),45670.64253329861)</f>
        <v>45670.64253</v>
      </c>
      <c r="M843" s="17">
        <f>IFERROR(__xludf.DUMMYFUNCTION("""COMPUTED_VALUE"""),45670.643093182865)</f>
        <v>45670.64309</v>
      </c>
      <c r="N843" s="13" t="str">
        <f>IFERROR(__xludf.DUMMYFUNCTION("""COMPUTED_VALUE"""),"")</f>
        <v/>
      </c>
      <c r="O843" s="13" t="str">
        <f t="shared" si="1"/>
        <v/>
      </c>
    </row>
    <row r="844" ht="22.5" customHeight="1">
      <c r="B844" s="13">
        <f>IFERROR(__xludf.DUMMYFUNCTION("""COMPUTED_VALUE"""),839.0)</f>
        <v>839</v>
      </c>
      <c r="C844" s="13" t="str">
        <f>IFERROR(__xludf.DUMMYFUNCTION("""COMPUTED_VALUE"""),"M. 942/ Korpri Jaya")</f>
        <v>M. 942/ Korpri Jaya</v>
      </c>
      <c r="D844" s="13" t="str">
        <f>IFERROR(__xludf.DUMMYFUNCTION("""COMPUTED_VALUE"""),"K/15/080125/1")</f>
        <v>K/15/080125/1</v>
      </c>
      <c r="E844" s="14" t="str">
        <f>IFERROR(__xludf.DUMMYFUNCTION("""COMPUTED_VALUE"""),"Nadian (BT)")</f>
        <v>Nadian (BT)</v>
      </c>
      <c r="F844" s="14" t="str">
        <f>IFERROR(__xludf.DUMMYFUNCTION("""COMPUTED_VALUE"""),"SELESAI (VIA PERMOHONAN)")</f>
        <v>SELESAI (VIA PERMOHONAN)</v>
      </c>
      <c r="G844" s="17">
        <f>IFERROR(__xludf.DUMMYFUNCTION("""COMPUTED_VALUE"""),45667.66381758102)</f>
        <v>45667.66382</v>
      </c>
      <c r="H844" s="14" t="str">
        <f>IFERROR(__xludf.DUMMYFUNCTION("""COMPUTED_VALUE"""),"Bu Eva (SU)")</f>
        <v>Bu Eva (SU)</v>
      </c>
      <c r="I844" s="13" t="str">
        <f>IFERROR(__xludf.DUMMYFUNCTION("""COMPUTED_VALUE"""),"SELESAI (VIA PERMOHONAN)")</f>
        <v>SELESAI (VIA PERMOHONAN)</v>
      </c>
      <c r="J844" s="17">
        <f>IFERROR(__xludf.DUMMYFUNCTION("""COMPUTED_VALUE"""),45670.64253329861)</f>
        <v>45670.64253</v>
      </c>
      <c r="K844" s="13" t="str">
        <f>IFERROR(__xludf.DUMMYFUNCTION("""COMPUTED_VALUE"""),"Selesai")</f>
        <v>Selesai</v>
      </c>
      <c r="L844" s="17">
        <f>IFERROR(__xludf.DUMMYFUNCTION("""COMPUTED_VALUE"""),45670.64253329861)</f>
        <v>45670.64253</v>
      </c>
      <c r="M844" s="17">
        <f>IFERROR(__xludf.DUMMYFUNCTION("""COMPUTED_VALUE"""),45670.643093182865)</f>
        <v>45670.64309</v>
      </c>
      <c r="N844" s="13" t="str">
        <f>IFERROR(__xludf.DUMMYFUNCTION("""COMPUTED_VALUE"""),"")</f>
        <v/>
      </c>
      <c r="O844" s="13" t="str">
        <f t="shared" si="1"/>
        <v/>
      </c>
    </row>
    <row r="845" ht="22.5" customHeight="1">
      <c r="B845" s="13">
        <f>IFERROR(__xludf.DUMMYFUNCTION("""COMPUTED_VALUE"""),840.0)</f>
        <v>840</v>
      </c>
      <c r="C845" s="13" t="str">
        <f>IFERROR(__xludf.DUMMYFUNCTION("""COMPUTED_VALUE"""),"M. 1517/ Rajabasa Nunyai")</f>
        <v>M. 1517/ Rajabasa Nunyai</v>
      </c>
      <c r="D845" s="13" t="str">
        <f>IFERROR(__xludf.DUMMYFUNCTION("""COMPUTED_VALUE"""),"K/14/070125/1")</f>
        <v>K/14/070125/1</v>
      </c>
      <c r="E845" s="14" t="str">
        <f>IFERROR(__xludf.DUMMYFUNCTION("""COMPUTED_VALUE"""),"Nadian (BT)")</f>
        <v>Nadian (BT)</v>
      </c>
      <c r="F845" s="14" t="str">
        <f>IFERROR(__xludf.DUMMYFUNCTION("""COMPUTED_VALUE"""),"SELESAI (VIA PERMOHONAN)")</f>
        <v>SELESAI (VIA PERMOHONAN)</v>
      </c>
      <c r="G845" s="17">
        <f>IFERROR(__xludf.DUMMYFUNCTION("""COMPUTED_VALUE"""),45667.66381758102)</f>
        <v>45667.66382</v>
      </c>
      <c r="H845" s="14" t="str">
        <f>IFERROR(__xludf.DUMMYFUNCTION("""COMPUTED_VALUE"""),"Bu Eva (SU)")</f>
        <v>Bu Eva (SU)</v>
      </c>
      <c r="I845" s="13" t="str">
        <f>IFERROR(__xludf.DUMMYFUNCTION("""COMPUTED_VALUE"""),"SELESAI (VIA PERMOHONAN)")</f>
        <v>SELESAI (VIA PERMOHONAN)</v>
      </c>
      <c r="J845" s="17">
        <f>IFERROR(__xludf.DUMMYFUNCTION("""COMPUTED_VALUE"""),45670.64253329861)</f>
        <v>45670.64253</v>
      </c>
      <c r="K845" s="13" t="str">
        <f>IFERROR(__xludf.DUMMYFUNCTION("""COMPUTED_VALUE"""),"Selesai")</f>
        <v>Selesai</v>
      </c>
      <c r="L845" s="17">
        <f>IFERROR(__xludf.DUMMYFUNCTION("""COMPUTED_VALUE"""),45670.64253329861)</f>
        <v>45670.64253</v>
      </c>
      <c r="M845" s="17">
        <f>IFERROR(__xludf.DUMMYFUNCTION("""COMPUTED_VALUE"""),45670.643093182865)</f>
        <v>45670.64309</v>
      </c>
      <c r="N845" s="17">
        <f>IFERROR(__xludf.DUMMYFUNCTION("""COMPUTED_VALUE"""),45672.62517216435)</f>
        <v>45672.62517</v>
      </c>
      <c r="O845" s="13">
        <f t="shared" si="1"/>
        <v>1</v>
      </c>
    </row>
    <row r="846" ht="22.5" customHeight="1">
      <c r="B846" s="13">
        <f>IFERROR(__xludf.DUMMYFUNCTION("""COMPUTED_VALUE"""),841.0)</f>
        <v>841</v>
      </c>
      <c r="C846" s="13" t="str">
        <f>IFERROR(__xludf.DUMMYFUNCTION("""COMPUTED_VALUE"""),"M. 2851/ Sukarame II")</f>
        <v>M. 2851/ Sukarame II</v>
      </c>
      <c r="D846" s="13" t="str">
        <f>IFERROR(__xludf.DUMMYFUNCTION("""COMPUTED_VALUE"""),"K/13/080125/1")</f>
        <v>K/13/080125/1</v>
      </c>
      <c r="E846" s="14" t="str">
        <f>IFERROR(__xludf.DUMMYFUNCTION("""COMPUTED_VALUE"""),"Nadian (BT)")</f>
        <v>Nadian (BT)</v>
      </c>
      <c r="F846" s="14" t="str">
        <f>IFERROR(__xludf.DUMMYFUNCTION("""COMPUTED_VALUE"""),"SELESAI (VIA PERMOHONAN)")</f>
        <v>SELESAI (VIA PERMOHONAN)</v>
      </c>
      <c r="G846" s="17">
        <f>IFERROR(__xludf.DUMMYFUNCTION("""COMPUTED_VALUE"""),45667.66381758102)</f>
        <v>45667.66382</v>
      </c>
      <c r="H846" s="14" t="str">
        <f>IFERROR(__xludf.DUMMYFUNCTION("""COMPUTED_VALUE"""),"Bu Eva (SU)")</f>
        <v>Bu Eva (SU)</v>
      </c>
      <c r="I846" s="13" t="str">
        <f>IFERROR(__xludf.DUMMYFUNCTION("""COMPUTED_VALUE"""),"SELESAI (VIA PERMOHONAN)")</f>
        <v>SELESAI (VIA PERMOHONAN)</v>
      </c>
      <c r="J846" s="17">
        <f>IFERROR(__xludf.DUMMYFUNCTION("""COMPUTED_VALUE"""),45670.64253329861)</f>
        <v>45670.64253</v>
      </c>
      <c r="K846" s="13" t="str">
        <f>IFERROR(__xludf.DUMMYFUNCTION("""COMPUTED_VALUE"""),"Selesai")</f>
        <v>Selesai</v>
      </c>
      <c r="L846" s="17">
        <f>IFERROR(__xludf.DUMMYFUNCTION("""COMPUTED_VALUE"""),45670.64253329861)</f>
        <v>45670.64253</v>
      </c>
      <c r="M846" s="17">
        <f>IFERROR(__xludf.DUMMYFUNCTION("""COMPUTED_VALUE"""),45670.643093182865)</f>
        <v>45670.64309</v>
      </c>
      <c r="N846" s="17">
        <f>IFERROR(__xludf.DUMMYFUNCTION("""COMPUTED_VALUE"""),45672.63044335648)</f>
        <v>45672.63044</v>
      </c>
      <c r="O846" s="13">
        <f t="shared" si="1"/>
        <v>2</v>
      </c>
    </row>
    <row r="847" ht="22.5" customHeight="1">
      <c r="B847" s="13">
        <f>IFERROR(__xludf.DUMMYFUNCTION("""COMPUTED_VALUE"""),842.0)</f>
        <v>842</v>
      </c>
      <c r="C847" s="13" t="str">
        <f>IFERROR(__xludf.DUMMYFUNCTION("""COMPUTED_VALUE"""),"M. 10491/ Kampung Baru")</f>
        <v>M. 10491/ Kampung Baru</v>
      </c>
      <c r="D847" s="13" t="str">
        <f>IFERROR(__xludf.DUMMYFUNCTION("""COMPUTED_VALUE"""),"K/35/181224/2")</f>
        <v>K/35/181224/2</v>
      </c>
      <c r="E847" s="14" t="str">
        <f>IFERROR(__xludf.DUMMYFUNCTION("""COMPUTED_VALUE"""),"Nadian (BT)")</f>
        <v>Nadian (BT)</v>
      </c>
      <c r="F847" s="14" t="str">
        <f>IFERROR(__xludf.DUMMYFUNCTION("""COMPUTED_VALUE"""),"SELESAI (VIA PERMOHONAN)")</f>
        <v>SELESAI (VIA PERMOHONAN)</v>
      </c>
      <c r="G847" s="17">
        <f>IFERROR(__xludf.DUMMYFUNCTION("""COMPUTED_VALUE"""),45667.66381758102)</f>
        <v>45667.66382</v>
      </c>
      <c r="H847" s="14" t="str">
        <f>IFERROR(__xludf.DUMMYFUNCTION("""COMPUTED_VALUE"""),"Bu Eva (SU)")</f>
        <v>Bu Eva (SU)</v>
      </c>
      <c r="I847" s="13" t="str">
        <f>IFERROR(__xludf.DUMMYFUNCTION("""COMPUTED_VALUE"""),"SELESAI (VIA PERMOHONAN)")</f>
        <v>SELESAI (VIA PERMOHONAN)</v>
      </c>
      <c r="J847" s="17">
        <f>IFERROR(__xludf.DUMMYFUNCTION("""COMPUTED_VALUE"""),45670.64253329861)</f>
        <v>45670.64253</v>
      </c>
      <c r="K847" s="13" t="str">
        <f>IFERROR(__xludf.DUMMYFUNCTION("""COMPUTED_VALUE"""),"Selesai")</f>
        <v>Selesai</v>
      </c>
      <c r="L847" s="17">
        <f>IFERROR(__xludf.DUMMYFUNCTION("""COMPUTED_VALUE"""),45670.64253329861)</f>
        <v>45670.64253</v>
      </c>
      <c r="M847" s="17">
        <f>IFERROR(__xludf.DUMMYFUNCTION("""COMPUTED_VALUE"""),45670.643093182865)</f>
        <v>45670.64309</v>
      </c>
      <c r="N847" s="13" t="str">
        <f>IFERROR(__xludf.DUMMYFUNCTION("""COMPUTED_VALUE"""),"")</f>
        <v/>
      </c>
      <c r="O847" s="13" t="str">
        <f t="shared" si="1"/>
        <v/>
      </c>
    </row>
    <row r="848" ht="22.5" customHeight="1">
      <c r="B848" s="13">
        <f>IFERROR(__xludf.DUMMYFUNCTION("""COMPUTED_VALUE"""),843.0)</f>
        <v>843</v>
      </c>
      <c r="C848" s="13" t="str">
        <f>IFERROR(__xludf.DUMMYFUNCTION("""COMPUTED_VALUE"""),"M. 15531/ Sukabumi")</f>
        <v>M. 15531/ Sukabumi</v>
      </c>
      <c r="D848" s="13" t="str">
        <f>IFERROR(__xludf.DUMMYFUNCTION("""COMPUTED_VALUE"""),"K/26/201224/2")</f>
        <v>K/26/201224/2</v>
      </c>
      <c r="E848" s="14" t="str">
        <f>IFERROR(__xludf.DUMMYFUNCTION("""COMPUTED_VALUE"""),"Afriza (BT)")</f>
        <v>Afriza (BT)</v>
      </c>
      <c r="F848" s="14" t="str">
        <f>IFERROR(__xludf.DUMMYFUNCTION("""COMPUTED_VALUE"""),"SELESAI (VIA PERMOHONAN)")</f>
        <v>SELESAI (VIA PERMOHONAN)</v>
      </c>
      <c r="G848" s="17">
        <f>IFERROR(__xludf.DUMMYFUNCTION("""COMPUTED_VALUE"""),45667.67753893518)</f>
        <v>45667.67754</v>
      </c>
      <c r="H848" s="14" t="str">
        <f>IFERROR(__xludf.DUMMYFUNCTION("""COMPUTED_VALUE"""),"Bu Eva (SU)")</f>
        <v>Bu Eva (SU)</v>
      </c>
      <c r="I848" s="13" t="str">
        <f>IFERROR(__xludf.DUMMYFUNCTION("""COMPUTED_VALUE"""),"SELESAI (VIA PERMOHONAN)")</f>
        <v>SELESAI (VIA PERMOHONAN)</v>
      </c>
      <c r="J848" s="17">
        <f>IFERROR(__xludf.DUMMYFUNCTION("""COMPUTED_VALUE"""),45670.64253329861)</f>
        <v>45670.64253</v>
      </c>
      <c r="K848" s="13" t="str">
        <f>IFERROR(__xludf.DUMMYFUNCTION("""COMPUTED_VALUE"""),"Selesai")</f>
        <v>Selesai</v>
      </c>
      <c r="L848" s="17">
        <f>IFERROR(__xludf.DUMMYFUNCTION("""COMPUTED_VALUE"""),45670.64253329861)</f>
        <v>45670.64253</v>
      </c>
      <c r="M848" s="17">
        <f>IFERROR(__xludf.DUMMYFUNCTION("""COMPUTED_VALUE"""),45670.64309319445)</f>
        <v>45670.64309</v>
      </c>
      <c r="N848" s="13" t="str">
        <f>IFERROR(__xludf.DUMMYFUNCTION("""COMPUTED_VALUE"""),"")</f>
        <v/>
      </c>
      <c r="O848" s="13" t="str">
        <f t="shared" si="1"/>
        <v/>
      </c>
    </row>
    <row r="849" ht="22.5" customHeight="1">
      <c r="B849" s="13">
        <f>IFERROR(__xludf.DUMMYFUNCTION("""COMPUTED_VALUE"""),844.0)</f>
        <v>844</v>
      </c>
      <c r="C849" s="13" t="str">
        <f>IFERROR(__xludf.DUMMYFUNCTION("""COMPUTED_VALUE"""),"M. 222/ Bilabong Jaya")</f>
        <v>M. 222/ Bilabong Jaya</v>
      </c>
      <c r="D849" s="13" t="str">
        <f>IFERROR(__xludf.DUMMYFUNCTION("""COMPUTED_VALUE"""),"K/15/030125/3")</f>
        <v>K/15/030125/3</v>
      </c>
      <c r="E849" s="14" t="str">
        <f>IFERROR(__xludf.DUMMYFUNCTION("""COMPUTED_VALUE"""),"Afriza (BT)")</f>
        <v>Afriza (BT)</v>
      </c>
      <c r="F849" s="14" t="str">
        <f>IFERROR(__xludf.DUMMYFUNCTION("""COMPUTED_VALUE"""),"SELESAI (VIA PERMOHONAN)")</f>
        <v>SELESAI (VIA PERMOHONAN)</v>
      </c>
      <c r="G849" s="17">
        <f>IFERROR(__xludf.DUMMYFUNCTION("""COMPUTED_VALUE"""),45667.67966163195)</f>
        <v>45667.67966</v>
      </c>
      <c r="H849" s="14" t="str">
        <f>IFERROR(__xludf.DUMMYFUNCTION("""COMPUTED_VALUE"""),"Bu Eva (SU)")</f>
        <v>Bu Eva (SU)</v>
      </c>
      <c r="I849" s="13" t="str">
        <f>IFERROR(__xludf.DUMMYFUNCTION("""COMPUTED_VALUE"""),"SELESAI (VIA PERMOHONAN)")</f>
        <v>SELESAI (VIA PERMOHONAN)</v>
      </c>
      <c r="J849" s="17">
        <f>IFERROR(__xludf.DUMMYFUNCTION("""COMPUTED_VALUE"""),45670.64270997685)</f>
        <v>45670.64271</v>
      </c>
      <c r="K849" s="13" t="str">
        <f>IFERROR(__xludf.DUMMYFUNCTION("""COMPUTED_VALUE"""),"Selesai")</f>
        <v>Selesai</v>
      </c>
      <c r="L849" s="17">
        <f>IFERROR(__xludf.DUMMYFUNCTION("""COMPUTED_VALUE"""),45670.64270997685)</f>
        <v>45670.64271</v>
      </c>
      <c r="M849" s="17">
        <f>IFERROR(__xludf.DUMMYFUNCTION("""COMPUTED_VALUE"""),45670.6431300463)</f>
        <v>45670.64313</v>
      </c>
      <c r="N849" s="13" t="str">
        <f>IFERROR(__xludf.DUMMYFUNCTION("""COMPUTED_VALUE"""),"")</f>
        <v/>
      </c>
      <c r="O849" s="13" t="str">
        <f t="shared" si="1"/>
        <v/>
      </c>
    </row>
    <row r="850" ht="22.5" customHeight="1">
      <c r="B850" s="13">
        <f>IFERROR(__xludf.DUMMYFUNCTION("""COMPUTED_VALUE"""),845.0)</f>
        <v>845</v>
      </c>
      <c r="C850" s="13" t="str">
        <f>IFERROR(__xludf.DUMMYFUNCTION("""COMPUTED_VALUE"""),"B.342/RAJABASA NUNYAI")</f>
        <v>B.342/RAJABASA NUNYAI</v>
      </c>
      <c r="D850" s="13" t="str">
        <f>IFERROR(__xludf.DUMMYFUNCTION("""COMPUTED_VALUE"""),"K/14/181224/1")</f>
        <v>K/14/181224/1</v>
      </c>
      <c r="E850" s="14" t="str">
        <f>IFERROR(__xludf.DUMMYFUNCTION("""COMPUTED_VALUE"""),"Afriza (BT)")</f>
        <v>Afriza (BT)</v>
      </c>
      <c r="F850" s="14" t="str">
        <f>IFERROR(__xludf.DUMMYFUNCTION("""COMPUTED_VALUE"""),"SELESAI (VIA PERMOHONAN)")</f>
        <v>SELESAI (VIA PERMOHONAN)</v>
      </c>
      <c r="G850" s="17">
        <f>IFERROR(__xludf.DUMMYFUNCTION("""COMPUTED_VALUE"""),45670.37311075232)</f>
        <v>45670.37311</v>
      </c>
      <c r="H850" s="14" t="str">
        <f>IFERROR(__xludf.DUMMYFUNCTION("""COMPUTED_VALUE"""),"Bu Eva (SU)")</f>
        <v>Bu Eva (SU)</v>
      </c>
      <c r="I850" s="13" t="str">
        <f>IFERROR(__xludf.DUMMYFUNCTION("""COMPUTED_VALUE"""),"SELESAI (VIA PERMOHONAN)")</f>
        <v>SELESAI (VIA PERMOHONAN)</v>
      </c>
      <c r="J850" s="17">
        <f>IFERROR(__xludf.DUMMYFUNCTION("""COMPUTED_VALUE"""),45670.64270997685)</f>
        <v>45670.64271</v>
      </c>
      <c r="K850" s="13" t="str">
        <f>IFERROR(__xludf.DUMMYFUNCTION("""COMPUTED_VALUE"""),"Selesai")</f>
        <v>Selesai</v>
      </c>
      <c r="L850" s="17">
        <f>IFERROR(__xludf.DUMMYFUNCTION("""COMPUTED_VALUE"""),45670.64270997685)</f>
        <v>45670.64271</v>
      </c>
      <c r="M850" s="17">
        <f>IFERROR(__xludf.DUMMYFUNCTION("""COMPUTED_VALUE"""),45670.643140625005)</f>
        <v>45670.64314</v>
      </c>
      <c r="N850" s="13" t="str">
        <f>IFERROR(__xludf.DUMMYFUNCTION("""COMPUTED_VALUE"""),"")</f>
        <v/>
      </c>
      <c r="O850" s="13" t="str">
        <f t="shared" si="1"/>
        <v/>
      </c>
    </row>
    <row r="851" ht="22.5" customHeight="1">
      <c r="B851" s="13">
        <f>IFERROR(__xludf.DUMMYFUNCTION("""COMPUTED_VALUE"""),846.0)</f>
        <v>846</v>
      </c>
      <c r="C851" s="13" t="str">
        <f>IFERROR(__xludf.DUMMYFUNCTION("""COMPUTED_VALUE"""),"B. 498/ Kedamaian")</f>
        <v>B. 498/ Kedamaian</v>
      </c>
      <c r="D851" s="13" t="str">
        <f>IFERROR(__xludf.DUMMYFUNCTION("""COMPUTED_VALUE"""),"K/16/060125/1")</f>
        <v>K/16/060125/1</v>
      </c>
      <c r="E851" s="14" t="str">
        <f>IFERROR(__xludf.DUMMYFUNCTION("""COMPUTED_VALUE"""),"Afriza (BT)")</f>
        <v>Afriza (BT)</v>
      </c>
      <c r="F851" s="14" t="str">
        <f>IFERROR(__xludf.DUMMYFUNCTION("""COMPUTED_VALUE"""),"SELESAI")</f>
        <v>SELESAI</v>
      </c>
      <c r="G851" s="17">
        <f>IFERROR(__xludf.DUMMYFUNCTION("""COMPUTED_VALUE"""),45670.406973958336)</f>
        <v>45670.40697</v>
      </c>
      <c r="H851" s="14" t="str">
        <f>IFERROR(__xludf.DUMMYFUNCTION("""COMPUTED_VALUE"""),"Aprill (SU)")</f>
        <v>Aprill (SU)</v>
      </c>
      <c r="I851" s="13" t="str">
        <f>IFERROR(__xludf.DUMMYFUNCTION("""COMPUTED_VALUE"""),"SELESAI")</f>
        <v>SELESAI</v>
      </c>
      <c r="J851" s="17">
        <f>IFERROR(__xludf.DUMMYFUNCTION("""COMPUTED_VALUE"""),45672.63024471064)</f>
        <v>45672.63024</v>
      </c>
      <c r="K851" s="13" t="str">
        <f>IFERROR(__xludf.DUMMYFUNCTION("""COMPUTED_VALUE"""),"SELESAI")</f>
        <v>SELESAI</v>
      </c>
      <c r="L851" s="17">
        <f>IFERROR(__xludf.DUMMYFUNCTION("""COMPUTED_VALUE"""),45672.63024471064)</f>
        <v>45672.63024</v>
      </c>
      <c r="M851" s="17" t="str">
        <f>IFERROR(__xludf.DUMMYFUNCTION("""COMPUTED_VALUE"""),"")</f>
        <v/>
      </c>
      <c r="N851" s="17">
        <f>IFERROR(__xludf.DUMMYFUNCTION("""COMPUTED_VALUE"""),45672.63026909722)</f>
        <v>45672.63027</v>
      </c>
      <c r="O851" s="13">
        <f t="shared" si="1"/>
        <v>1</v>
      </c>
    </row>
    <row r="852" ht="22.5" customHeight="1">
      <c r="B852" s="13">
        <f>IFERROR(__xludf.DUMMYFUNCTION("""COMPUTED_VALUE"""),847.0)</f>
        <v>847</v>
      </c>
      <c r="C852" s="13" t="str">
        <f>IFERROR(__xludf.DUMMYFUNCTION("""COMPUTED_VALUE"""),"M.9567/SUKABUMI")</f>
        <v>M.9567/SUKABUMI</v>
      </c>
      <c r="D852" s="13" t="str">
        <f>IFERROR(__xludf.DUMMYFUNCTION("""COMPUTED_VALUE"""),"K/18/301024/1")</f>
        <v>K/18/301024/1</v>
      </c>
      <c r="E852" s="14" t="str">
        <f>IFERROR(__xludf.DUMMYFUNCTION("""COMPUTED_VALUE"""),"Afriza (BT)")</f>
        <v>Afriza (BT)</v>
      </c>
      <c r="F852" s="14" t="str">
        <f>IFERROR(__xludf.DUMMYFUNCTION("""COMPUTED_VALUE"""),"SELESAI (VIA PERMOHONAN)")</f>
        <v>SELESAI (VIA PERMOHONAN)</v>
      </c>
      <c r="G852" s="17">
        <f>IFERROR(__xludf.DUMMYFUNCTION("""COMPUTED_VALUE"""),45670.41464246528)</f>
        <v>45670.41464</v>
      </c>
      <c r="H852" s="14" t="str">
        <f>IFERROR(__xludf.DUMMYFUNCTION("""COMPUTED_VALUE"""),"Bu Eva (SU)")</f>
        <v>Bu Eva (SU)</v>
      </c>
      <c r="I852" s="13" t="str">
        <f>IFERROR(__xludf.DUMMYFUNCTION("""COMPUTED_VALUE"""),"SELESAI (VIA PERMOHONAN)")</f>
        <v>SELESAI (VIA PERMOHONAN)</v>
      </c>
      <c r="J852" s="17">
        <f>IFERROR(__xludf.DUMMYFUNCTION("""COMPUTED_VALUE"""),45670.642108541666)</f>
        <v>45670.64211</v>
      </c>
      <c r="K852" s="13" t="str">
        <f>IFERROR(__xludf.DUMMYFUNCTION("""COMPUTED_VALUE"""),"Selesai")</f>
        <v>Selesai</v>
      </c>
      <c r="L852" s="17">
        <f>IFERROR(__xludf.DUMMYFUNCTION("""COMPUTED_VALUE"""),45670.642108541666)</f>
        <v>45670.64211</v>
      </c>
      <c r="M852" s="17">
        <f>IFERROR(__xludf.DUMMYFUNCTION("""COMPUTED_VALUE"""),45670.64315333334)</f>
        <v>45670.64315</v>
      </c>
      <c r="N852" s="13" t="str">
        <f>IFERROR(__xludf.DUMMYFUNCTION("""COMPUTED_VALUE"""),"")</f>
        <v/>
      </c>
      <c r="O852" s="13" t="str">
        <f t="shared" si="1"/>
        <v/>
      </c>
    </row>
    <row r="853" ht="22.5" customHeight="1">
      <c r="B853" s="13">
        <f>IFERROR(__xludf.DUMMYFUNCTION("""COMPUTED_VALUE"""),848.0)</f>
        <v>848</v>
      </c>
      <c r="C853" s="13" t="str">
        <f>IFERROR(__xludf.DUMMYFUNCTION("""COMPUTED_VALUE"""),"M. 37/ Rajabasa Pemuka")</f>
        <v>M. 37/ Rajabasa Pemuka</v>
      </c>
      <c r="D853" s="13" t="str">
        <f>IFERROR(__xludf.DUMMYFUNCTION("""COMPUTED_VALUE"""),"K/19/070125/1")</f>
        <v>K/19/070125/1</v>
      </c>
      <c r="E853" s="14" t="str">
        <f>IFERROR(__xludf.DUMMYFUNCTION("""COMPUTED_VALUE"""),"Afriza (BT)")</f>
        <v>Afriza (BT)</v>
      </c>
      <c r="F853" s="14" t="str">
        <f>IFERROR(__xludf.DUMMYFUNCTION("""COMPUTED_VALUE"""),"SELESAI")</f>
        <v>SELESAI</v>
      </c>
      <c r="G853" s="17">
        <f>IFERROR(__xludf.DUMMYFUNCTION("""COMPUTED_VALUE"""),45670.424920254634)</f>
        <v>45670.42492</v>
      </c>
      <c r="H853" s="14" t="str">
        <f>IFERROR(__xludf.DUMMYFUNCTION("""COMPUTED_VALUE"""),"Bu Eva (SU)")</f>
        <v>Bu Eva (SU)</v>
      </c>
      <c r="I853" s="13" t="str">
        <f>IFERROR(__xludf.DUMMYFUNCTION("""COMPUTED_VALUE"""),"SELESAI")</f>
        <v>SELESAI</v>
      </c>
      <c r="J853" s="17">
        <f>IFERROR(__xludf.DUMMYFUNCTION("""COMPUTED_VALUE"""),45672.62819084491)</f>
        <v>45672.62819</v>
      </c>
      <c r="K853" s="13" t="str">
        <f>IFERROR(__xludf.DUMMYFUNCTION("""COMPUTED_VALUE"""),"SELESAI")</f>
        <v>SELESAI</v>
      </c>
      <c r="L853" s="17">
        <f>IFERROR(__xludf.DUMMYFUNCTION("""COMPUTED_VALUE"""),45672.62819084491)</f>
        <v>45672.62819</v>
      </c>
      <c r="M853" s="17" t="str">
        <f>IFERROR(__xludf.DUMMYFUNCTION("""COMPUTED_VALUE"""),"")</f>
        <v/>
      </c>
      <c r="N853" s="17">
        <f>IFERROR(__xludf.DUMMYFUNCTION("""COMPUTED_VALUE"""),45672.62822175926)</f>
        <v>45672.62822</v>
      </c>
      <c r="O853" s="13">
        <f t="shared" si="1"/>
        <v>1</v>
      </c>
    </row>
    <row r="854" ht="22.5" customHeight="1">
      <c r="B854" s="13">
        <f>IFERROR(__xludf.DUMMYFUNCTION("""COMPUTED_VALUE"""),849.0)</f>
        <v>849</v>
      </c>
      <c r="C854" s="13" t="str">
        <f>IFERROR(__xludf.DUMMYFUNCTION("""COMPUTED_VALUE"""),"M.1514/SRENGSEM")</f>
        <v>M.1514/SRENGSEM</v>
      </c>
      <c r="D854" s="13" t="str">
        <f>IFERROR(__xludf.DUMMYFUNCTION("""COMPUTED_VALUE"""),"K/12/080125/1")</f>
        <v>K/12/080125/1</v>
      </c>
      <c r="E854" s="14" t="str">
        <f>IFERROR(__xludf.DUMMYFUNCTION("""COMPUTED_VALUE"""),"Afriza (BT)")</f>
        <v>Afriza (BT)</v>
      </c>
      <c r="F854" s="14" t="str">
        <f>IFERROR(__xludf.DUMMYFUNCTION("""COMPUTED_VALUE"""),"SELESAI")</f>
        <v>SELESAI</v>
      </c>
      <c r="G854" s="17">
        <f>IFERROR(__xludf.DUMMYFUNCTION("""COMPUTED_VALUE"""),45670.42773310185)</f>
        <v>45670.42773</v>
      </c>
      <c r="H854" s="14"/>
      <c r="I854" s="13"/>
      <c r="J854" s="17" t="str">
        <f>IFERROR(__xludf.DUMMYFUNCTION("""COMPUTED_VALUE"""),"")</f>
        <v/>
      </c>
      <c r="K854" s="13" t="str">
        <f>IFERROR(__xludf.DUMMYFUNCTION("""COMPUTED_VALUE"""),"BT atau SU Belum Valid")</f>
        <v>BT atau SU Belum Valid</v>
      </c>
      <c r="L854" s="13" t="str">
        <f>IFERROR(__xludf.DUMMYFUNCTION("""COMPUTED_VALUE"""),"")</f>
        <v/>
      </c>
      <c r="M854" s="17" t="str">
        <f>IFERROR(__xludf.DUMMYFUNCTION("""COMPUTED_VALUE"""),"")</f>
        <v/>
      </c>
      <c r="N854" s="13" t="str">
        <f>IFERROR(__xludf.DUMMYFUNCTION("""COMPUTED_VALUE"""),"")</f>
        <v/>
      </c>
      <c r="O854" s="13" t="str">
        <f t="shared" si="1"/>
        <v/>
      </c>
    </row>
    <row r="855" ht="22.5" customHeight="1">
      <c r="B855" s="13">
        <f>IFERROR(__xludf.DUMMYFUNCTION("""COMPUTED_VALUE"""),850.0)</f>
        <v>850</v>
      </c>
      <c r="C855" s="13" t="str">
        <f>IFERROR(__xludf.DUMMYFUNCTION("""COMPUTED_VALUE"""),"m. 345")</f>
        <v>m. 345</v>
      </c>
      <c r="D855" s="13" t="str">
        <f>IFERROR(__xludf.DUMMYFUNCTION("""COMPUTED_VALUE"""),"")</f>
        <v/>
      </c>
      <c r="E855" s="14" t="str">
        <f>IFERROR(__xludf.DUMMYFUNCTION("""COMPUTED_VALUE"""),"Afriza (BT)")</f>
        <v>Afriza (BT)</v>
      </c>
      <c r="F855" s="14" t="str">
        <f>IFERROR(__xludf.DUMMYFUNCTION("""COMPUTED_VALUE"""),"SELESAI")</f>
        <v>SELESAI</v>
      </c>
      <c r="G855" s="17">
        <f>IFERROR(__xludf.DUMMYFUNCTION("""COMPUTED_VALUE"""),45670.43198228009)</f>
        <v>45670.43198</v>
      </c>
      <c r="H855" s="14" t="str">
        <f>IFERROR(__xludf.DUMMYFUNCTION("""COMPUTED_VALUE"""),"Aprill (SU)")</f>
        <v>Aprill (SU)</v>
      </c>
      <c r="I855" s="13" t="str">
        <f>IFERROR(__xludf.DUMMYFUNCTION("""COMPUTED_VALUE"""),"SELESAI")</f>
        <v>SELESAI</v>
      </c>
      <c r="J855" s="17">
        <f>IFERROR(__xludf.DUMMYFUNCTION("""COMPUTED_VALUE"""),45672.62693640046)</f>
        <v>45672.62694</v>
      </c>
      <c r="K855" s="13" t="str">
        <f>IFERROR(__xludf.DUMMYFUNCTION("""COMPUTED_VALUE"""),"")</f>
        <v/>
      </c>
      <c r="L855" s="13" t="str">
        <f>IFERROR(__xludf.DUMMYFUNCTION("""COMPUTED_VALUE"""),"")</f>
        <v/>
      </c>
      <c r="M855" s="17" t="str">
        <f>IFERROR(__xludf.DUMMYFUNCTION("""COMPUTED_VALUE"""),"")</f>
        <v/>
      </c>
      <c r="N855" s="17">
        <f>IFERROR(__xludf.DUMMYFUNCTION("""COMPUTED_VALUE"""),45672.62696951389)</f>
        <v>45672.62697</v>
      </c>
      <c r="O855" s="13">
        <f t="shared" si="1"/>
        <v>1</v>
      </c>
    </row>
    <row r="856" ht="22.5" customHeight="1">
      <c r="B856" s="13">
        <f>IFERROR(__xludf.DUMMYFUNCTION("""COMPUTED_VALUE"""),851.0)</f>
        <v>851</v>
      </c>
      <c r="C856" s="13" t="str">
        <f>IFERROR(__xludf.DUMMYFUNCTION("""COMPUTED_VALUE"""),"HM 10983/SUKARAME")</f>
        <v>HM 10983/SUKARAME</v>
      </c>
      <c r="D856" s="13" t="str">
        <f>IFERROR(__xludf.DUMMYFUNCTION("""COMPUTED_VALUE"""),"L/20/070125/1")</f>
        <v>L/20/070125/1</v>
      </c>
      <c r="E856" s="14" t="str">
        <f>IFERROR(__xludf.DUMMYFUNCTION("""COMPUTED_VALUE"""),"Afriza (BT)")</f>
        <v>Afriza (BT)</v>
      </c>
      <c r="F856" s="14" t="str">
        <f>IFERROR(__xludf.DUMMYFUNCTION("""COMPUTED_VALUE"""),"SELESAI")</f>
        <v>SELESAI</v>
      </c>
      <c r="G856" s="17">
        <f>IFERROR(__xludf.DUMMYFUNCTION("""COMPUTED_VALUE"""),45670.50851832176)</f>
        <v>45670.50852</v>
      </c>
      <c r="H856" s="14" t="str">
        <f>IFERROR(__xludf.DUMMYFUNCTION("""COMPUTED_VALUE"""),"Aprill (SU)")</f>
        <v>Aprill (SU)</v>
      </c>
      <c r="I856" s="13" t="str">
        <f>IFERROR(__xludf.DUMMYFUNCTION("""COMPUTED_VALUE"""),"SELESAI")</f>
        <v>SELESAI</v>
      </c>
      <c r="J856" s="17">
        <f>IFERROR(__xludf.DUMMYFUNCTION("""COMPUTED_VALUE"""),45672.62534100695)</f>
        <v>45672.62534</v>
      </c>
      <c r="K856" s="13" t="str">
        <f>IFERROR(__xludf.DUMMYFUNCTION("""COMPUTED_VALUE"""),"SELESAI")</f>
        <v>SELESAI</v>
      </c>
      <c r="L856" s="17">
        <f>IFERROR(__xludf.DUMMYFUNCTION("""COMPUTED_VALUE"""),45672.62534100695)</f>
        <v>45672.62534</v>
      </c>
      <c r="M856" s="17" t="str">
        <f>IFERROR(__xludf.DUMMYFUNCTION("""COMPUTED_VALUE"""),"")</f>
        <v/>
      </c>
      <c r="N856" s="17">
        <f>IFERROR(__xludf.DUMMYFUNCTION("""COMPUTED_VALUE"""),45672.62536585648)</f>
        <v>45672.62537</v>
      </c>
      <c r="O856" s="13">
        <f t="shared" si="1"/>
        <v>2</v>
      </c>
    </row>
    <row r="857" ht="22.5" customHeight="1">
      <c r="B857" s="13">
        <f>IFERROR(__xludf.DUMMYFUNCTION("""COMPUTED_VALUE"""),852.0)</f>
        <v>852</v>
      </c>
      <c r="C857" s="13" t="str">
        <f>IFERROR(__xludf.DUMMYFUNCTION("""COMPUTED_VALUE"""),"M. 11580/ Sukarame")</f>
        <v>M. 11580/ Sukarame</v>
      </c>
      <c r="D857" s="13" t="str">
        <f>IFERROR(__xludf.DUMMYFUNCTION("""COMPUTED_VALUE"""),"K/21/070125/1")</f>
        <v>K/21/070125/1</v>
      </c>
      <c r="E857" s="14" t="str">
        <f>IFERROR(__xludf.DUMMYFUNCTION("""COMPUTED_VALUE"""),"Afriza (BT)")</f>
        <v>Afriza (BT)</v>
      </c>
      <c r="F857" s="14" t="str">
        <f>IFERROR(__xludf.DUMMYFUNCTION("""COMPUTED_VALUE"""),"SELESAI (VIA PERMOHONAN)")</f>
        <v>SELESAI (VIA PERMOHONAN)</v>
      </c>
      <c r="G857" s="17">
        <f>IFERROR(__xludf.DUMMYFUNCTION("""COMPUTED_VALUE"""),45670.51059277778)</f>
        <v>45670.51059</v>
      </c>
      <c r="H857" s="14" t="str">
        <f>IFERROR(__xludf.DUMMYFUNCTION("""COMPUTED_VALUE"""),"Bu Eva (SU)")</f>
        <v>Bu Eva (SU)</v>
      </c>
      <c r="I857" s="13" t="str">
        <f>IFERROR(__xludf.DUMMYFUNCTION("""COMPUTED_VALUE"""),"SELESAI (VIA PERMOHONAN)")</f>
        <v>SELESAI (VIA PERMOHONAN)</v>
      </c>
      <c r="J857" s="17">
        <f>IFERROR(__xludf.DUMMYFUNCTION("""COMPUTED_VALUE"""),45670.6418446875)</f>
        <v>45670.64184</v>
      </c>
      <c r="K857" s="13" t="str">
        <f>IFERROR(__xludf.DUMMYFUNCTION("""COMPUTED_VALUE"""),"Selesai")</f>
        <v>Selesai</v>
      </c>
      <c r="L857" s="17">
        <f>IFERROR(__xludf.DUMMYFUNCTION("""COMPUTED_VALUE"""),45670.6418446875)</f>
        <v>45670.64184</v>
      </c>
      <c r="M857" s="17">
        <f>IFERROR(__xludf.DUMMYFUNCTION("""COMPUTED_VALUE"""),45670.64186271991)</f>
        <v>45670.64186</v>
      </c>
      <c r="N857" s="13" t="str">
        <f>IFERROR(__xludf.DUMMYFUNCTION("""COMPUTED_VALUE"""),"")</f>
        <v/>
      </c>
      <c r="O857" s="13" t="str">
        <f t="shared" si="1"/>
        <v/>
      </c>
    </row>
    <row r="858" ht="22.5" customHeight="1">
      <c r="B858" s="13">
        <f>IFERROR(__xludf.DUMMYFUNCTION("""COMPUTED_VALUE"""),853.0)</f>
        <v>853</v>
      </c>
      <c r="C858" s="13" t="str">
        <f>IFERROR(__xludf.DUMMYFUNCTION("""COMPUTED_VALUE"""),"M. 1167/ Perumnas Way kandis")</f>
        <v>M. 1167/ Perumnas Way kandis</v>
      </c>
      <c r="D858" s="13" t="str">
        <f>IFERROR(__xludf.DUMMYFUNCTION("""COMPUTED_VALUE"""),"K/20/080125/1")</f>
        <v>K/20/080125/1</v>
      </c>
      <c r="E858" s="14" t="str">
        <f>IFERROR(__xludf.DUMMYFUNCTION("""COMPUTED_VALUE"""),"Afriza (BT)")</f>
        <v>Afriza (BT)</v>
      </c>
      <c r="F858" s="14" t="str">
        <f>IFERROR(__xludf.DUMMYFUNCTION("""COMPUTED_VALUE"""),"SELESAI")</f>
        <v>SELESAI</v>
      </c>
      <c r="G858" s="17">
        <f>IFERROR(__xludf.DUMMYFUNCTION("""COMPUTED_VALUE"""),45670.55056967592)</f>
        <v>45670.55057</v>
      </c>
      <c r="H858" s="14" t="str">
        <f>IFERROR(__xludf.DUMMYFUNCTION("""COMPUTED_VALUE"""),"Aprill (SU)")</f>
        <v>Aprill (SU)</v>
      </c>
      <c r="I858" s="13" t="str">
        <f>IFERROR(__xludf.DUMMYFUNCTION("""COMPUTED_VALUE"""),"SELESAI")</f>
        <v>SELESAI</v>
      </c>
      <c r="J858" s="17">
        <f>IFERROR(__xludf.DUMMYFUNCTION("""COMPUTED_VALUE"""),45672.62851201389)</f>
        <v>45672.62851</v>
      </c>
      <c r="K858" s="13" t="str">
        <f>IFERROR(__xludf.DUMMYFUNCTION("""COMPUTED_VALUE"""),"SELESAI")</f>
        <v>SELESAI</v>
      </c>
      <c r="L858" s="17">
        <f>IFERROR(__xludf.DUMMYFUNCTION("""COMPUTED_VALUE"""),45672.62851201389)</f>
        <v>45672.62851</v>
      </c>
      <c r="M858" s="17" t="str">
        <f>IFERROR(__xludf.DUMMYFUNCTION("""COMPUTED_VALUE"""),"")</f>
        <v/>
      </c>
      <c r="N858" s="17">
        <f>IFERROR(__xludf.DUMMYFUNCTION("""COMPUTED_VALUE"""),45672.628551539354)</f>
        <v>45672.62855</v>
      </c>
      <c r="O858" s="13">
        <f t="shared" si="1"/>
        <v>1</v>
      </c>
    </row>
    <row r="859" ht="22.5" customHeight="1">
      <c r="B859" s="13">
        <f>IFERROR(__xludf.DUMMYFUNCTION("""COMPUTED_VALUE"""),854.0)</f>
        <v>854</v>
      </c>
      <c r="C859" s="13" t="str">
        <f>IFERROR(__xludf.DUMMYFUNCTION("""COMPUTED_VALUE"""),"B. 129/ Nusantara Permai")</f>
        <v>B. 129/ Nusantara Permai</v>
      </c>
      <c r="D859" s="13" t="str">
        <f>IFERROR(__xludf.DUMMYFUNCTION("""COMPUTED_VALUE"""),"K/14/080125/1")</f>
        <v>K/14/080125/1</v>
      </c>
      <c r="E859" s="14" t="str">
        <f>IFERROR(__xludf.DUMMYFUNCTION("""COMPUTED_VALUE"""),"Afriza (BT)")</f>
        <v>Afriza (BT)</v>
      </c>
      <c r="F859" s="14" t="str">
        <f>IFERROR(__xludf.DUMMYFUNCTION("""COMPUTED_VALUE"""),"SELESAI")</f>
        <v>SELESAI</v>
      </c>
      <c r="G859" s="17">
        <f>IFERROR(__xludf.DUMMYFUNCTION("""COMPUTED_VALUE"""),45670.55243802084)</f>
        <v>45670.55244</v>
      </c>
      <c r="H859" s="14" t="str">
        <f>IFERROR(__xludf.DUMMYFUNCTION("""COMPUTED_VALUE"""),"Aprill (SU)")</f>
        <v>Aprill (SU)</v>
      </c>
      <c r="I859" s="13" t="str">
        <f>IFERROR(__xludf.DUMMYFUNCTION("""COMPUTED_VALUE"""),"SELESAI")</f>
        <v>SELESAI</v>
      </c>
      <c r="J859" s="17">
        <f>IFERROR(__xludf.DUMMYFUNCTION("""COMPUTED_VALUE"""),45672.62873053241)</f>
        <v>45672.62873</v>
      </c>
      <c r="K859" s="13" t="str">
        <f>IFERROR(__xludf.DUMMYFUNCTION("""COMPUTED_VALUE"""),"SELESAI")</f>
        <v>SELESAI</v>
      </c>
      <c r="L859" s="17">
        <f>IFERROR(__xludf.DUMMYFUNCTION("""COMPUTED_VALUE"""),45672.62873053241)</f>
        <v>45672.62873</v>
      </c>
      <c r="M859" s="17" t="str">
        <f>IFERROR(__xludf.DUMMYFUNCTION("""COMPUTED_VALUE"""),"")</f>
        <v/>
      </c>
      <c r="N859" s="17">
        <f>IFERROR(__xludf.DUMMYFUNCTION("""COMPUTED_VALUE"""),45672.62876583333)</f>
        <v>45672.62877</v>
      </c>
      <c r="O859" s="13">
        <f t="shared" si="1"/>
        <v>2</v>
      </c>
    </row>
    <row r="860" ht="22.5" customHeight="1">
      <c r="B860" s="13">
        <f>IFERROR(__xludf.DUMMYFUNCTION("""COMPUTED_VALUE"""),855.0)</f>
        <v>855</v>
      </c>
      <c r="C860" s="13" t="str">
        <f>IFERROR(__xludf.DUMMYFUNCTION("""COMPUTED_VALUE"""),"M. 10069/ Sidodadi")</f>
        <v>M. 10069/ Sidodadi</v>
      </c>
      <c r="D860" s="13" t="str">
        <f>IFERROR(__xludf.DUMMYFUNCTION("""COMPUTED_VALUE"""),"K/9/080125/1")</f>
        <v>K/9/080125/1</v>
      </c>
      <c r="E860" s="14" t="str">
        <f>IFERROR(__xludf.DUMMYFUNCTION("""COMPUTED_VALUE"""),"Afriza (BT)")</f>
        <v>Afriza (BT)</v>
      </c>
      <c r="F860" s="14" t="str">
        <f>IFERROR(__xludf.DUMMYFUNCTION("""COMPUTED_VALUE"""),"SELESAI")</f>
        <v>SELESAI</v>
      </c>
      <c r="G860" s="17">
        <f>IFERROR(__xludf.DUMMYFUNCTION("""COMPUTED_VALUE"""),45670.55503238426)</f>
        <v>45670.55503</v>
      </c>
      <c r="H860" s="14" t="str">
        <f>IFERROR(__xludf.DUMMYFUNCTION("""COMPUTED_VALUE"""),"Aprill (SU)")</f>
        <v>Aprill (SU)</v>
      </c>
      <c r="I860" s="13" t="str">
        <f>IFERROR(__xludf.DUMMYFUNCTION("""COMPUTED_VALUE"""),"SELESAI")</f>
        <v>SELESAI</v>
      </c>
      <c r="J860" s="17">
        <f>IFERROR(__xludf.DUMMYFUNCTION("""COMPUTED_VALUE"""),45672.63064162037)</f>
        <v>45672.63064</v>
      </c>
      <c r="K860" s="13" t="str">
        <f>IFERROR(__xludf.DUMMYFUNCTION("""COMPUTED_VALUE"""),"SELESAI")</f>
        <v>SELESAI</v>
      </c>
      <c r="L860" s="17">
        <f>IFERROR(__xludf.DUMMYFUNCTION("""COMPUTED_VALUE"""),45672.63064162037)</f>
        <v>45672.63064</v>
      </c>
      <c r="M860" s="17" t="str">
        <f>IFERROR(__xludf.DUMMYFUNCTION("""COMPUTED_VALUE"""),"")</f>
        <v/>
      </c>
      <c r="N860" s="17">
        <f>IFERROR(__xludf.DUMMYFUNCTION("""COMPUTED_VALUE"""),45672.63067326389)</f>
        <v>45672.63067</v>
      </c>
      <c r="O860" s="13">
        <f t="shared" si="1"/>
        <v>3</v>
      </c>
    </row>
    <row r="861" ht="22.5" customHeight="1">
      <c r="B861" s="13">
        <f>IFERROR(__xludf.DUMMYFUNCTION("""COMPUTED_VALUE"""),856.0)</f>
        <v>856</v>
      </c>
      <c r="C861" s="13" t="str">
        <f>IFERROR(__xludf.DUMMYFUNCTION("""COMPUTED_VALUE"""),"M. 9984/ Sidodadi")</f>
        <v>M. 9984/ Sidodadi</v>
      </c>
      <c r="D861" s="13" t="str">
        <f>IFERROR(__xludf.DUMMYFUNCTION("""COMPUTED_VALUE"""),"K/10/080125/2")</f>
        <v>K/10/080125/2</v>
      </c>
      <c r="E861" s="14" t="str">
        <f>IFERROR(__xludf.DUMMYFUNCTION("""COMPUTED_VALUE"""),"Afriza (BT)")</f>
        <v>Afriza (BT)</v>
      </c>
      <c r="F861" s="14" t="str">
        <f>IFERROR(__xludf.DUMMYFUNCTION("""COMPUTED_VALUE"""),"SELESAI")</f>
        <v>SELESAI</v>
      </c>
      <c r="G861" s="17">
        <f>IFERROR(__xludf.DUMMYFUNCTION("""COMPUTED_VALUE"""),45670.55622270833)</f>
        <v>45670.55622</v>
      </c>
      <c r="H861" s="14" t="str">
        <f>IFERROR(__xludf.DUMMYFUNCTION("""COMPUTED_VALUE"""),"Aprill (SU)")</f>
        <v>Aprill (SU)</v>
      </c>
      <c r="I861" s="13" t="str">
        <f>IFERROR(__xludf.DUMMYFUNCTION("""COMPUTED_VALUE"""),"SELESAI")</f>
        <v>SELESAI</v>
      </c>
      <c r="J861" s="17">
        <f>IFERROR(__xludf.DUMMYFUNCTION("""COMPUTED_VALUE"""),45672.63084621528)</f>
        <v>45672.63085</v>
      </c>
      <c r="K861" s="13" t="str">
        <f>IFERROR(__xludf.DUMMYFUNCTION("""COMPUTED_VALUE"""),"SELESAI")</f>
        <v>SELESAI</v>
      </c>
      <c r="L861" s="17">
        <f>IFERROR(__xludf.DUMMYFUNCTION("""COMPUTED_VALUE"""),45672.63084621528)</f>
        <v>45672.63085</v>
      </c>
      <c r="M861" s="17" t="str">
        <f>IFERROR(__xludf.DUMMYFUNCTION("""COMPUTED_VALUE"""),"")</f>
        <v/>
      </c>
      <c r="N861" s="17">
        <f>IFERROR(__xludf.DUMMYFUNCTION("""COMPUTED_VALUE"""),45672.63088159722)</f>
        <v>45672.63088</v>
      </c>
      <c r="O861" s="13">
        <f t="shared" si="1"/>
        <v>4</v>
      </c>
    </row>
    <row r="862" ht="22.5" customHeight="1">
      <c r="B862" s="13">
        <f>IFERROR(__xludf.DUMMYFUNCTION("""COMPUTED_VALUE"""),857.0)</f>
        <v>857</v>
      </c>
      <c r="C862" s="13" t="str">
        <f>IFERROR(__xludf.DUMMYFUNCTION("""COMPUTED_VALUE"""),"M.9772/SUKABUMI")</f>
        <v>M.9772/SUKABUMI</v>
      </c>
      <c r="D862" s="13" t="str">
        <f>IFERROR(__xludf.DUMMYFUNCTION("""COMPUTED_VALUE"""),"K/25/090125/1")</f>
        <v>K/25/090125/1</v>
      </c>
      <c r="E862" s="14" t="str">
        <f>IFERROR(__xludf.DUMMYFUNCTION("""COMPUTED_VALUE"""),"Afriza (BT)")</f>
        <v>Afriza (BT)</v>
      </c>
      <c r="F862" s="14" t="str">
        <f>IFERROR(__xludf.DUMMYFUNCTION("""COMPUTED_VALUE"""),"SELESAI (VIA PERMOHONAN)")</f>
        <v>SELESAI (VIA PERMOHONAN)</v>
      </c>
      <c r="G862" s="17">
        <f>IFERROR(__xludf.DUMMYFUNCTION("""COMPUTED_VALUE"""),45670.564721469906)</f>
        <v>45670.56472</v>
      </c>
      <c r="H862" s="14" t="str">
        <f>IFERROR(__xludf.DUMMYFUNCTION("""COMPUTED_VALUE"""),"Bu Eva (SU)")</f>
        <v>Bu Eva (SU)</v>
      </c>
      <c r="I862" s="13" t="str">
        <f>IFERROR(__xludf.DUMMYFUNCTION("""COMPUTED_VALUE"""),"SELESAI (VIA PERMOHONAN)")</f>
        <v>SELESAI (VIA PERMOHONAN)</v>
      </c>
      <c r="J862" s="17">
        <f>IFERROR(__xludf.DUMMYFUNCTION("""COMPUTED_VALUE"""),45670.6416647338)</f>
        <v>45670.64166</v>
      </c>
      <c r="K862" s="13" t="str">
        <f>IFERROR(__xludf.DUMMYFUNCTION("""COMPUTED_VALUE"""),"Selesai")</f>
        <v>Selesai</v>
      </c>
      <c r="L862" s="17">
        <f>IFERROR(__xludf.DUMMYFUNCTION("""COMPUTED_VALUE"""),45670.6416647338)</f>
        <v>45670.64166</v>
      </c>
      <c r="M862" s="17">
        <f>IFERROR(__xludf.DUMMYFUNCTION("""COMPUTED_VALUE"""),45670.6417747338)</f>
        <v>45670.64177</v>
      </c>
      <c r="N862" s="13" t="str">
        <f>IFERROR(__xludf.DUMMYFUNCTION("""COMPUTED_VALUE"""),"")</f>
        <v/>
      </c>
      <c r="O862" s="13" t="str">
        <f t="shared" si="1"/>
        <v/>
      </c>
    </row>
    <row r="863" ht="22.5" customHeight="1">
      <c r="B863" s="13">
        <f>IFERROR(__xludf.DUMMYFUNCTION("""COMPUTED_VALUE"""),858.0)</f>
        <v>858</v>
      </c>
      <c r="C863" s="13" t="str">
        <f>IFERROR(__xludf.DUMMYFUNCTION("""COMPUTED_VALUE"""),"B.313/PAMATANG WANGI-SEKARANG;B.701/TANJUNG SENENG-DAHULU")</f>
        <v>B.313/PAMATANG WANGI-SEKARANG;B.701/TANJUNG SENENG-DAHULU</v>
      </c>
      <c r="D863" s="13" t="str">
        <f>IFERROR(__xludf.DUMMYFUNCTION("""COMPUTED_VALUE"""),"K/19/231224/1")</f>
        <v>K/19/231224/1</v>
      </c>
      <c r="E863" s="14" t="str">
        <f>IFERROR(__xludf.DUMMYFUNCTION("""COMPUTED_VALUE"""),"Afriza (BT)")</f>
        <v>Afriza (BT)</v>
      </c>
      <c r="F863" s="14" t="str">
        <f>IFERROR(__xludf.DUMMYFUNCTION("""COMPUTED_VALUE"""),"SELESAI (VIA PERMOHONAN)")</f>
        <v>SELESAI (VIA PERMOHONAN)</v>
      </c>
      <c r="G863" s="17">
        <f>IFERROR(__xludf.DUMMYFUNCTION("""COMPUTED_VALUE"""),45670.56619395834)</f>
        <v>45670.56619</v>
      </c>
      <c r="H863" s="14" t="str">
        <f>IFERROR(__xludf.DUMMYFUNCTION("""COMPUTED_VALUE"""),"Bu Eva (SU)")</f>
        <v>Bu Eva (SU)</v>
      </c>
      <c r="I863" s="13" t="str">
        <f>IFERROR(__xludf.DUMMYFUNCTION("""COMPUTED_VALUE"""),"SELESAI (VIA PERMOHONAN)")</f>
        <v>SELESAI (VIA PERMOHONAN)</v>
      </c>
      <c r="J863" s="17">
        <f>IFERROR(__xludf.DUMMYFUNCTION("""COMPUTED_VALUE"""),45670.64168886574)</f>
        <v>45670.64169</v>
      </c>
      <c r="K863" s="13" t="str">
        <f>IFERROR(__xludf.DUMMYFUNCTION("""COMPUTED_VALUE"""),"Selesai")</f>
        <v>Selesai</v>
      </c>
      <c r="L863" s="17">
        <f>IFERROR(__xludf.DUMMYFUNCTION("""COMPUTED_VALUE"""),45670.64168886574)</f>
        <v>45670.64169</v>
      </c>
      <c r="M863" s="17">
        <f>IFERROR(__xludf.DUMMYFUNCTION("""COMPUTED_VALUE"""),45670.641783530096)</f>
        <v>45670.64178</v>
      </c>
      <c r="N863" s="13" t="str">
        <f>IFERROR(__xludf.DUMMYFUNCTION("""COMPUTED_VALUE"""),"")</f>
        <v/>
      </c>
      <c r="O863" s="13" t="str">
        <f t="shared" si="1"/>
        <v/>
      </c>
    </row>
    <row r="864" ht="22.5" customHeight="1">
      <c r="B864" s="13">
        <f>IFERROR(__xludf.DUMMYFUNCTION("""COMPUTED_VALUE"""),859.0)</f>
        <v>859</v>
      </c>
      <c r="C864" s="13" t="str">
        <f>IFERROR(__xludf.DUMMYFUNCTION("""COMPUTED_VALUE"""),"M.3239/LABUHAN DALAM")</f>
        <v>M.3239/LABUHAN DALAM</v>
      </c>
      <c r="D864" s="13" t="str">
        <f>IFERROR(__xludf.DUMMYFUNCTION("""COMPUTED_VALUE"""),"K/28/181224/1")</f>
        <v>K/28/181224/1</v>
      </c>
      <c r="E864" s="14" t="str">
        <f>IFERROR(__xludf.DUMMYFUNCTION("""COMPUTED_VALUE"""),"Afriza (BT)")</f>
        <v>Afriza (BT)</v>
      </c>
      <c r="F864" s="14" t="str">
        <f>IFERROR(__xludf.DUMMYFUNCTION("""COMPUTED_VALUE"""),"SELESAI (VIA PERMOHONAN)")</f>
        <v>SELESAI (VIA PERMOHONAN)</v>
      </c>
      <c r="G864" s="17">
        <f>IFERROR(__xludf.DUMMYFUNCTION("""COMPUTED_VALUE"""),45670.56839393519)</f>
        <v>45670.56839</v>
      </c>
      <c r="H864" s="14" t="str">
        <f>IFERROR(__xludf.DUMMYFUNCTION("""COMPUTED_VALUE"""),"Bu Eva (SU)")</f>
        <v>Bu Eva (SU)</v>
      </c>
      <c r="I864" s="13" t="str">
        <f>IFERROR(__xludf.DUMMYFUNCTION("""COMPUTED_VALUE"""),"SELESAI (VIA PERMOHONAN)")</f>
        <v>SELESAI (VIA PERMOHONAN)</v>
      </c>
      <c r="J864" s="17">
        <f>IFERROR(__xludf.DUMMYFUNCTION("""COMPUTED_VALUE"""),45670.641750787036)</f>
        <v>45670.64175</v>
      </c>
      <c r="K864" s="13" t="str">
        <f>IFERROR(__xludf.DUMMYFUNCTION("""COMPUTED_VALUE"""),"Selesai")</f>
        <v>Selesai</v>
      </c>
      <c r="L864" s="17">
        <f>IFERROR(__xludf.DUMMYFUNCTION("""COMPUTED_VALUE"""),45670.641750787036)</f>
        <v>45670.64175</v>
      </c>
      <c r="M864" s="17">
        <f>IFERROR(__xludf.DUMMYFUNCTION("""COMPUTED_VALUE"""),45670.641792442126)</f>
        <v>45670.64179</v>
      </c>
      <c r="N864" s="13" t="str">
        <f>IFERROR(__xludf.DUMMYFUNCTION("""COMPUTED_VALUE"""),"")</f>
        <v/>
      </c>
      <c r="O864" s="13" t="str">
        <f t="shared" si="1"/>
        <v/>
      </c>
    </row>
    <row r="865" ht="22.5" customHeight="1">
      <c r="B865" s="13">
        <f>IFERROR(__xludf.DUMMYFUNCTION("""COMPUTED_VALUE"""),860.0)</f>
        <v>860</v>
      </c>
      <c r="C865" s="13" t="str">
        <f>IFERROR(__xludf.DUMMYFUNCTION("""COMPUTED_VALUE"""),"HM 1762/SUSUNAN BARU")</f>
        <v>HM 1762/SUSUNAN BARU</v>
      </c>
      <c r="D865" s="13" t="str">
        <f>IFERROR(__xludf.DUMMYFUNCTION("""COMPUTED_VALUE"""),"L/5/080125/1")</f>
        <v>L/5/080125/1</v>
      </c>
      <c r="E865" s="14" t="str">
        <f>IFERROR(__xludf.DUMMYFUNCTION("""COMPUTED_VALUE"""),"Afriza (BT)")</f>
        <v>Afriza (BT)</v>
      </c>
      <c r="F865" s="14" t="str">
        <f>IFERROR(__xludf.DUMMYFUNCTION("""COMPUTED_VALUE"""),"SELESAI")</f>
        <v>SELESAI</v>
      </c>
      <c r="G865" s="17">
        <f>IFERROR(__xludf.DUMMYFUNCTION("""COMPUTED_VALUE"""),45670.59557019676)</f>
        <v>45670.59557</v>
      </c>
      <c r="H865" s="14" t="str">
        <f>IFERROR(__xludf.DUMMYFUNCTION("""COMPUTED_VALUE"""),"Aprill (SU)")</f>
        <v>Aprill (SU)</v>
      </c>
      <c r="I865" s="13" t="str">
        <f>IFERROR(__xludf.DUMMYFUNCTION("""COMPUTED_VALUE"""),"SELESAI")</f>
        <v>SELESAI</v>
      </c>
      <c r="J865" s="17">
        <f>IFERROR(__xludf.DUMMYFUNCTION("""COMPUTED_VALUE"""),45672.63112849537)</f>
        <v>45672.63113</v>
      </c>
      <c r="K865" s="13" t="str">
        <f>IFERROR(__xludf.DUMMYFUNCTION("""COMPUTED_VALUE"""),"SELESAI")</f>
        <v>SELESAI</v>
      </c>
      <c r="L865" s="17">
        <f>IFERROR(__xludf.DUMMYFUNCTION("""COMPUTED_VALUE"""),45672.63112849537)</f>
        <v>45672.63113</v>
      </c>
      <c r="M865" s="17" t="str">
        <f>IFERROR(__xludf.DUMMYFUNCTION("""COMPUTED_VALUE"""),"")</f>
        <v/>
      </c>
      <c r="N865" s="17">
        <f>IFERROR(__xludf.DUMMYFUNCTION("""COMPUTED_VALUE"""),45672.63115731481)</f>
        <v>45672.63116</v>
      </c>
      <c r="O865" s="13">
        <f t="shared" si="1"/>
        <v>1</v>
      </c>
    </row>
    <row r="866" ht="22.5" customHeight="1">
      <c r="B866" s="13">
        <f>IFERROR(__xludf.DUMMYFUNCTION("""COMPUTED_VALUE"""),861.0)</f>
        <v>861</v>
      </c>
      <c r="C866" s="13" t="str">
        <f>IFERROR(__xludf.DUMMYFUNCTION("""COMPUTED_VALUE"""),"B. 5018/ Sukarame")</f>
        <v>B. 5018/ Sukarame</v>
      </c>
      <c r="D866" s="13" t="str">
        <f>IFERROR(__xludf.DUMMYFUNCTION("""COMPUTED_VALUE"""),"K/11/271224/1")</f>
        <v>K/11/271224/1</v>
      </c>
      <c r="E866" s="14" t="str">
        <f>IFERROR(__xludf.DUMMYFUNCTION("""COMPUTED_VALUE"""),"Nadian (BT)")</f>
        <v>Nadian (BT)</v>
      </c>
      <c r="F866" s="14" t="str">
        <f>IFERROR(__xludf.DUMMYFUNCTION("""COMPUTED_VALUE"""),"SELESAI (VIA PERMOHONAN)")</f>
        <v>SELESAI (VIA PERMOHONAN)</v>
      </c>
      <c r="G866" s="17">
        <f>IFERROR(__xludf.DUMMYFUNCTION("""COMPUTED_VALUE"""),45670.64055229167)</f>
        <v>45670.64055</v>
      </c>
      <c r="H866" s="14" t="str">
        <f>IFERROR(__xludf.DUMMYFUNCTION("""COMPUTED_VALUE"""),"Bu Eva (SU)")</f>
        <v>Bu Eva (SU)</v>
      </c>
      <c r="I866" s="13" t="str">
        <f>IFERROR(__xludf.DUMMYFUNCTION("""COMPUTED_VALUE"""),"SELESAI (VIA PERMOHONAN)")</f>
        <v>SELESAI (VIA PERMOHONAN)</v>
      </c>
      <c r="J866" s="17">
        <f>IFERROR(__xludf.DUMMYFUNCTION("""COMPUTED_VALUE"""),45670.64154084491)</f>
        <v>45670.64154</v>
      </c>
      <c r="K866" s="13" t="str">
        <f>IFERROR(__xludf.DUMMYFUNCTION("""COMPUTED_VALUE"""),"Selesai")</f>
        <v>Selesai</v>
      </c>
      <c r="L866" s="17">
        <f>IFERROR(__xludf.DUMMYFUNCTION("""COMPUTED_VALUE"""),45670.64154084491)</f>
        <v>45670.64154</v>
      </c>
      <c r="M866" s="17">
        <f>IFERROR(__xludf.DUMMYFUNCTION("""COMPUTED_VALUE"""),45670.64180322917)</f>
        <v>45670.6418</v>
      </c>
      <c r="N866" s="13" t="str">
        <f>IFERROR(__xludf.DUMMYFUNCTION("""COMPUTED_VALUE"""),"")</f>
        <v/>
      </c>
      <c r="O866" s="13" t="str">
        <f t="shared" si="1"/>
        <v/>
      </c>
    </row>
    <row r="867" ht="22.5" customHeight="1">
      <c r="B867" s="13">
        <f>IFERROR(__xludf.DUMMYFUNCTION("""COMPUTED_VALUE"""),862.0)</f>
        <v>862</v>
      </c>
      <c r="C867" s="13" t="str">
        <f>IFERROR(__xludf.DUMMYFUNCTION("""COMPUTED_VALUE"""),"M. 13252/ Sukarame I")</f>
        <v>M. 13252/ Sukarame I</v>
      </c>
      <c r="D867" s="13" t="str">
        <f>IFERROR(__xludf.DUMMYFUNCTION("""COMPUTED_VALUE"""),"K/16/070125/1")</f>
        <v>K/16/070125/1</v>
      </c>
      <c r="E867" s="14" t="str">
        <f>IFERROR(__xludf.DUMMYFUNCTION("""COMPUTED_VALUE"""),"Nadian (BT)")</f>
        <v>Nadian (BT)</v>
      </c>
      <c r="F867" s="14" t="str">
        <f>IFERROR(__xludf.DUMMYFUNCTION("""COMPUTED_VALUE"""),"SELESAI")</f>
        <v>SELESAI</v>
      </c>
      <c r="G867" s="17">
        <f>IFERROR(__xludf.DUMMYFUNCTION("""COMPUTED_VALUE"""),45670.640566574075)</f>
        <v>45670.64057</v>
      </c>
      <c r="H867" s="14" t="str">
        <f>IFERROR(__xludf.DUMMYFUNCTION("""COMPUTED_VALUE"""),"Bu Eva (SU)")</f>
        <v>Bu Eva (SU)</v>
      </c>
      <c r="I867" s="13" t="str">
        <f>IFERROR(__xludf.DUMMYFUNCTION("""COMPUTED_VALUE"""),"SELESAI")</f>
        <v>SELESAI</v>
      </c>
      <c r="J867" s="17">
        <f>IFERROR(__xludf.DUMMYFUNCTION("""COMPUTED_VALUE"""),45672.629003090275)</f>
        <v>45672.629</v>
      </c>
      <c r="K867" s="13" t="str">
        <f>IFERROR(__xludf.DUMMYFUNCTION("""COMPUTED_VALUE"""),"SELESAI")</f>
        <v>SELESAI</v>
      </c>
      <c r="L867" s="17">
        <f>IFERROR(__xludf.DUMMYFUNCTION("""COMPUTED_VALUE"""),45672.629003090275)</f>
        <v>45672.629</v>
      </c>
      <c r="M867" s="17" t="str">
        <f>IFERROR(__xludf.DUMMYFUNCTION("""COMPUTED_VALUE"""),"")</f>
        <v/>
      </c>
      <c r="N867" s="17">
        <f>IFERROR(__xludf.DUMMYFUNCTION("""COMPUTED_VALUE"""),45672.62903833333)</f>
        <v>45672.62904</v>
      </c>
      <c r="O867" s="13">
        <f t="shared" si="1"/>
        <v>1</v>
      </c>
    </row>
    <row r="868" ht="22.5" customHeight="1">
      <c r="B868" s="13">
        <f>IFERROR(__xludf.DUMMYFUNCTION("""COMPUTED_VALUE"""),863.0)</f>
        <v>863</v>
      </c>
      <c r="C868" s="13" t="str">
        <f>IFERROR(__xludf.DUMMYFUNCTION("""COMPUTED_VALUE"""),"M. 11129/ Tanjung Baru")</f>
        <v>M. 11129/ Tanjung Baru</v>
      </c>
      <c r="D868" s="13" t="str">
        <f>IFERROR(__xludf.DUMMYFUNCTION("""COMPUTED_VALUE"""),"K/8/070125/1")</f>
        <v>K/8/070125/1</v>
      </c>
      <c r="E868" s="14" t="str">
        <f>IFERROR(__xludf.DUMMYFUNCTION("""COMPUTED_VALUE"""),"Nadian (BT)")</f>
        <v>Nadian (BT)</v>
      </c>
      <c r="F868" s="14" t="str">
        <f>IFERROR(__xludf.DUMMYFUNCTION("""COMPUTED_VALUE"""),"SELESAI")</f>
        <v>SELESAI</v>
      </c>
      <c r="G868" s="17">
        <f>IFERROR(__xludf.DUMMYFUNCTION("""COMPUTED_VALUE"""),45670.64059523148)</f>
        <v>45670.6406</v>
      </c>
      <c r="H868" s="14" t="str">
        <f>IFERROR(__xludf.DUMMYFUNCTION("""COMPUTED_VALUE"""),"Bu Eva (SU)")</f>
        <v>Bu Eva (SU)</v>
      </c>
      <c r="I868" s="13" t="str">
        <f>IFERROR(__xludf.DUMMYFUNCTION("""COMPUTED_VALUE"""),"SELESAI")</f>
        <v>SELESAI</v>
      </c>
      <c r="J868" s="17">
        <f>IFERROR(__xludf.DUMMYFUNCTION("""COMPUTED_VALUE"""),45672.629221145835)</f>
        <v>45672.62922</v>
      </c>
      <c r="K868" s="13" t="str">
        <f>IFERROR(__xludf.DUMMYFUNCTION("""COMPUTED_VALUE"""),"SELESAI")</f>
        <v>SELESAI</v>
      </c>
      <c r="L868" s="17">
        <f>IFERROR(__xludf.DUMMYFUNCTION("""COMPUTED_VALUE"""),45672.629221145835)</f>
        <v>45672.62922</v>
      </c>
      <c r="M868" s="17" t="str">
        <f>IFERROR(__xludf.DUMMYFUNCTION("""COMPUTED_VALUE"""),"")</f>
        <v/>
      </c>
      <c r="N868" s="17">
        <f>IFERROR(__xludf.DUMMYFUNCTION("""COMPUTED_VALUE"""),45672.62924721064)</f>
        <v>45672.62925</v>
      </c>
      <c r="O868" s="13">
        <f t="shared" si="1"/>
        <v>2</v>
      </c>
    </row>
    <row r="869" ht="22.5" customHeight="1">
      <c r="B869" s="13">
        <f>IFERROR(__xludf.DUMMYFUNCTION("""COMPUTED_VALUE"""),864.0)</f>
        <v>864</v>
      </c>
      <c r="C869" s="13" t="str">
        <f>IFERROR(__xludf.DUMMYFUNCTION("""COMPUTED_VALUE"""),"HM 506/KUPANG KOTA")</f>
        <v>HM 506/KUPANG KOTA</v>
      </c>
      <c r="D869" s="13" t="str">
        <f>IFERROR(__xludf.DUMMYFUNCTION("""COMPUTED_VALUE"""),"L/10/070125/1")</f>
        <v>L/10/070125/1</v>
      </c>
      <c r="E869" s="14" t="str">
        <f>IFERROR(__xludf.DUMMYFUNCTION("""COMPUTED_VALUE"""),"Nadian (BT)")</f>
        <v>Nadian (BT)</v>
      </c>
      <c r="F869" s="14" t="str">
        <f>IFERROR(__xludf.DUMMYFUNCTION("""COMPUTED_VALUE"""),"SELESAI")</f>
        <v>SELESAI</v>
      </c>
      <c r="G869" s="17">
        <f>IFERROR(__xludf.DUMMYFUNCTION("""COMPUTED_VALUE"""),45670.64059523148)</f>
        <v>45670.6406</v>
      </c>
      <c r="H869" s="14" t="str">
        <f>IFERROR(__xludf.DUMMYFUNCTION("""COMPUTED_VALUE"""),"Bu Eva (SU)")</f>
        <v>Bu Eva (SU)</v>
      </c>
      <c r="I869" s="13" t="str">
        <f>IFERROR(__xludf.DUMMYFUNCTION("""COMPUTED_VALUE"""),"SELESAI")</f>
        <v>SELESAI</v>
      </c>
      <c r="J869" s="17">
        <f>IFERROR(__xludf.DUMMYFUNCTION("""COMPUTED_VALUE"""),45672.629525868055)</f>
        <v>45672.62953</v>
      </c>
      <c r="K869" s="13" t="str">
        <f>IFERROR(__xludf.DUMMYFUNCTION("""COMPUTED_VALUE"""),"SELESAI")</f>
        <v>SELESAI</v>
      </c>
      <c r="L869" s="17">
        <f>IFERROR(__xludf.DUMMYFUNCTION("""COMPUTED_VALUE"""),45672.629525868055)</f>
        <v>45672.62953</v>
      </c>
      <c r="M869" s="17" t="str">
        <f>IFERROR(__xludf.DUMMYFUNCTION("""COMPUTED_VALUE"""),"")</f>
        <v/>
      </c>
      <c r="N869" s="17">
        <f>IFERROR(__xludf.DUMMYFUNCTION("""COMPUTED_VALUE"""),45672.62955383102)</f>
        <v>45672.62955</v>
      </c>
      <c r="O869" s="13">
        <f t="shared" si="1"/>
        <v>3</v>
      </c>
    </row>
    <row r="870" ht="22.5" customHeight="1">
      <c r="B870" s="13">
        <f>IFERROR(__xludf.DUMMYFUNCTION("""COMPUTED_VALUE"""),865.0)</f>
        <v>865</v>
      </c>
      <c r="C870" s="13" t="str">
        <f>IFERROR(__xludf.DUMMYFUNCTION("""COMPUTED_VALUE"""),"M. 5059/ Rajabasa Jaya")</f>
        <v>M. 5059/ Rajabasa Jaya</v>
      </c>
      <c r="D870" s="13" t="str">
        <f>IFERROR(__xludf.DUMMYFUNCTION("""COMPUTED_VALUE"""),"K/49/111224/2")</f>
        <v>K/49/111224/2</v>
      </c>
      <c r="E870" s="14" t="str">
        <f>IFERROR(__xludf.DUMMYFUNCTION("""COMPUTED_VALUE"""),"Nadian (BT)")</f>
        <v>Nadian (BT)</v>
      </c>
      <c r="F870" s="14" t="str">
        <f>IFERROR(__xludf.DUMMYFUNCTION("""COMPUTED_VALUE"""),"SELESAI")</f>
        <v>SELESAI</v>
      </c>
      <c r="G870" s="17">
        <f>IFERROR(__xludf.DUMMYFUNCTION("""COMPUTED_VALUE"""),45670.64059523148)</f>
        <v>45670.6406</v>
      </c>
      <c r="H870" s="14" t="str">
        <f>IFERROR(__xludf.DUMMYFUNCTION("""COMPUTED_VALUE"""),"Bu Eva (SU)")</f>
        <v>Bu Eva (SU)</v>
      </c>
      <c r="I870" s="13" t="str">
        <f>IFERROR(__xludf.DUMMYFUNCTION("""COMPUTED_VALUE"""),"SELESAI")</f>
        <v>SELESAI</v>
      </c>
      <c r="J870" s="17">
        <f>IFERROR(__xludf.DUMMYFUNCTION("""COMPUTED_VALUE"""),45672.62472206018)</f>
        <v>45672.62472</v>
      </c>
      <c r="K870" s="13" t="str">
        <f>IFERROR(__xludf.DUMMYFUNCTION("""COMPUTED_VALUE"""),"SELESAI")</f>
        <v>SELESAI</v>
      </c>
      <c r="L870" s="17">
        <f>IFERROR(__xludf.DUMMYFUNCTION("""COMPUTED_VALUE"""),45672.62472206018)</f>
        <v>45672.62472</v>
      </c>
      <c r="M870" s="17" t="str">
        <f>IFERROR(__xludf.DUMMYFUNCTION("""COMPUTED_VALUE"""),"")</f>
        <v/>
      </c>
      <c r="N870" s="17">
        <f>IFERROR(__xludf.DUMMYFUNCTION("""COMPUTED_VALUE"""),45672.62474290509)</f>
        <v>45672.62474</v>
      </c>
      <c r="O870" s="13">
        <f t="shared" si="1"/>
        <v>4</v>
      </c>
    </row>
    <row r="871" ht="22.5" customHeight="1">
      <c r="B871" s="13">
        <f>IFERROR(__xludf.DUMMYFUNCTION("""COMPUTED_VALUE"""),866.0)</f>
        <v>866</v>
      </c>
      <c r="C871" s="13" t="str">
        <f>IFERROR(__xludf.DUMMYFUNCTION("""COMPUTED_VALUE"""),"M. 4014/ Rajabasa Jaya")</f>
        <v>M. 4014/ Rajabasa Jaya</v>
      </c>
      <c r="D871" s="13" t="str">
        <f>IFERROR(__xludf.DUMMYFUNCTION("""COMPUTED_VALUE"""),"K/17/070125/1")</f>
        <v>K/17/070125/1</v>
      </c>
      <c r="E871" s="14" t="str">
        <f>IFERROR(__xludf.DUMMYFUNCTION("""COMPUTED_VALUE"""),"Nadian (BT)")</f>
        <v>Nadian (BT)</v>
      </c>
      <c r="F871" s="14" t="str">
        <f>IFERROR(__xludf.DUMMYFUNCTION("""COMPUTED_VALUE"""),"SELESAI")</f>
        <v>SELESAI</v>
      </c>
      <c r="G871" s="17">
        <f>IFERROR(__xludf.DUMMYFUNCTION("""COMPUTED_VALUE"""),45670.64059523148)</f>
        <v>45670.6406</v>
      </c>
      <c r="H871" s="14"/>
      <c r="I871" s="13"/>
      <c r="J871" s="17" t="str">
        <f>IFERROR(__xludf.DUMMYFUNCTION("""COMPUTED_VALUE"""),"")</f>
        <v/>
      </c>
      <c r="K871" s="13" t="str">
        <f>IFERROR(__xludf.DUMMYFUNCTION("""COMPUTED_VALUE"""),"BT atau SU Belum Valid")</f>
        <v>BT atau SU Belum Valid</v>
      </c>
      <c r="L871" s="13" t="str">
        <f>IFERROR(__xludf.DUMMYFUNCTION("""COMPUTED_VALUE"""),"")</f>
        <v/>
      </c>
      <c r="M871" s="17" t="str">
        <f>IFERROR(__xludf.DUMMYFUNCTION("""COMPUTED_VALUE"""),"")</f>
        <v/>
      </c>
      <c r="N871" s="13" t="str">
        <f>IFERROR(__xludf.DUMMYFUNCTION("""COMPUTED_VALUE"""),"")</f>
        <v/>
      </c>
      <c r="O871" s="13" t="str">
        <f t="shared" si="1"/>
        <v/>
      </c>
    </row>
    <row r="872" ht="22.5" customHeight="1">
      <c r="B872" s="13">
        <f>IFERROR(__xludf.DUMMYFUNCTION("""COMPUTED_VALUE"""),867.0)</f>
        <v>867</v>
      </c>
      <c r="C872" s="13" t="str">
        <f>IFERROR(__xludf.DUMMYFUNCTION("""COMPUTED_VALUE"""),"M. 1163/ Bumi Kedamaian")</f>
        <v>M. 1163/ Bumi Kedamaian</v>
      </c>
      <c r="D872" s="13" t="str">
        <f>IFERROR(__xludf.DUMMYFUNCTION("""COMPUTED_VALUE"""),"K/7/070125/1")</f>
        <v>K/7/070125/1</v>
      </c>
      <c r="E872" s="14" t="str">
        <f>IFERROR(__xludf.DUMMYFUNCTION("""COMPUTED_VALUE"""),"Nadian (BT)")</f>
        <v>Nadian (BT)</v>
      </c>
      <c r="F872" s="14" t="str">
        <f>IFERROR(__xludf.DUMMYFUNCTION("""COMPUTED_VALUE"""),"SELESAI")</f>
        <v>SELESAI</v>
      </c>
      <c r="G872" s="17">
        <f>IFERROR(__xludf.DUMMYFUNCTION("""COMPUTED_VALUE"""),45670.64059523148)</f>
        <v>45670.6406</v>
      </c>
      <c r="H872" s="14" t="str">
        <f>IFERROR(__xludf.DUMMYFUNCTION("""COMPUTED_VALUE"""),"Bu Eva (SU)")</f>
        <v>Bu Eva (SU)</v>
      </c>
      <c r="I872" s="13" t="str">
        <f>IFERROR(__xludf.DUMMYFUNCTION("""COMPUTED_VALUE"""),"SELESAI")</f>
        <v>SELESAI</v>
      </c>
      <c r="J872" s="17">
        <f>IFERROR(__xludf.DUMMYFUNCTION("""COMPUTED_VALUE"""),45672.62977671296)</f>
        <v>45672.62978</v>
      </c>
      <c r="K872" s="13" t="str">
        <f>IFERROR(__xludf.DUMMYFUNCTION("""COMPUTED_VALUE"""),"SELESAI")</f>
        <v>SELESAI</v>
      </c>
      <c r="L872" s="17">
        <f>IFERROR(__xludf.DUMMYFUNCTION("""COMPUTED_VALUE"""),45672.62977671296)</f>
        <v>45672.62978</v>
      </c>
      <c r="M872" s="17" t="str">
        <f>IFERROR(__xludf.DUMMYFUNCTION("""COMPUTED_VALUE"""),"")</f>
        <v/>
      </c>
      <c r="N872" s="17">
        <f>IFERROR(__xludf.DUMMYFUNCTION("""COMPUTED_VALUE"""),45672.62980623843)</f>
        <v>45672.62981</v>
      </c>
      <c r="O872" s="13">
        <f t="shared" si="1"/>
        <v>1</v>
      </c>
    </row>
    <row r="873" ht="22.5" customHeight="1">
      <c r="B873" s="13">
        <f>IFERROR(__xludf.DUMMYFUNCTION("""COMPUTED_VALUE"""),868.0)</f>
        <v>868</v>
      </c>
      <c r="C873" s="13" t="str">
        <f>IFERROR(__xludf.DUMMYFUNCTION("""COMPUTED_VALUE"""),"M. 2846/ durian Payung")</f>
        <v>M. 2846/ durian Payung</v>
      </c>
      <c r="D873" s="13" t="str">
        <f>IFERROR(__xludf.DUMMYFUNCTION("""COMPUTED_VALUE"""),"K/33/031224/1")</f>
        <v>K/33/031224/1</v>
      </c>
      <c r="E873" s="14" t="str">
        <f>IFERROR(__xludf.DUMMYFUNCTION("""COMPUTED_VALUE"""),"Afriza (BT)")</f>
        <v>Afriza (BT)</v>
      </c>
      <c r="F873" s="14" t="str">
        <f>IFERROR(__xludf.DUMMYFUNCTION("""COMPUTED_VALUE"""),"SELESAI")</f>
        <v>SELESAI</v>
      </c>
      <c r="G873" s="17">
        <f>IFERROR(__xludf.DUMMYFUNCTION("""COMPUTED_VALUE"""),45671.57913357639)</f>
        <v>45671.57913</v>
      </c>
      <c r="H873" s="14"/>
      <c r="I873" s="13"/>
      <c r="J873" s="17" t="str">
        <f>IFERROR(__xludf.DUMMYFUNCTION("""COMPUTED_VALUE"""),"")</f>
        <v/>
      </c>
      <c r="K873" s="13" t="str">
        <f>IFERROR(__xludf.DUMMYFUNCTION("""COMPUTED_VALUE"""),"BT atau SU Belum Valid")</f>
        <v>BT atau SU Belum Valid</v>
      </c>
      <c r="L873" s="13" t="str">
        <f>IFERROR(__xludf.DUMMYFUNCTION("""COMPUTED_VALUE"""),"")</f>
        <v/>
      </c>
      <c r="M873" s="17" t="str">
        <f>IFERROR(__xludf.DUMMYFUNCTION("""COMPUTED_VALUE"""),"")</f>
        <v/>
      </c>
      <c r="N873" s="13" t="str">
        <f>IFERROR(__xludf.DUMMYFUNCTION("""COMPUTED_VALUE"""),"")</f>
        <v/>
      </c>
      <c r="O873" s="13" t="str">
        <f t="shared" si="1"/>
        <v/>
      </c>
    </row>
    <row r="874" ht="22.5" customHeight="1">
      <c r="B874" s="13">
        <f>IFERROR(__xludf.DUMMYFUNCTION("""COMPUTED_VALUE"""),869.0)</f>
        <v>869</v>
      </c>
      <c r="C874" s="13" t="str">
        <f>IFERROR(__xludf.DUMMYFUNCTION("""COMPUTED_VALUE"""),"M. 1820/ Rajabasa Nunyai")</f>
        <v>M. 1820/ Rajabasa Nunyai</v>
      </c>
      <c r="D874" s="13" t="str">
        <f>IFERROR(__xludf.DUMMYFUNCTION("""COMPUTED_VALUE"""),"K/8/020125/1")</f>
        <v>K/8/020125/1</v>
      </c>
      <c r="E874" s="14" t="str">
        <f>IFERROR(__xludf.DUMMYFUNCTION("""COMPUTED_VALUE"""),"Afriza (BT)")</f>
        <v>Afriza (BT)</v>
      </c>
      <c r="F874" s="14" t="str">
        <f>IFERROR(__xludf.DUMMYFUNCTION("""COMPUTED_VALUE"""),"SELESAI")</f>
        <v>SELESAI</v>
      </c>
      <c r="G874" s="17">
        <f>IFERROR(__xludf.DUMMYFUNCTION("""COMPUTED_VALUE"""),45671.593700694444)</f>
        <v>45671.5937</v>
      </c>
      <c r="H874" s="14"/>
      <c r="I874" s="13"/>
      <c r="J874" s="17" t="str">
        <f>IFERROR(__xludf.DUMMYFUNCTION("""COMPUTED_VALUE"""),"")</f>
        <v/>
      </c>
      <c r="K874" s="13" t="str">
        <f>IFERROR(__xludf.DUMMYFUNCTION("""COMPUTED_VALUE"""),"BT atau SU Belum Valid")</f>
        <v>BT atau SU Belum Valid</v>
      </c>
      <c r="L874" s="13" t="str">
        <f>IFERROR(__xludf.DUMMYFUNCTION("""COMPUTED_VALUE"""),"")</f>
        <v/>
      </c>
      <c r="M874" s="17" t="str">
        <f>IFERROR(__xludf.DUMMYFUNCTION("""COMPUTED_VALUE"""),"")</f>
        <v/>
      </c>
      <c r="N874" s="13" t="str">
        <f>IFERROR(__xludf.DUMMYFUNCTION("""COMPUTED_VALUE"""),"")</f>
        <v/>
      </c>
      <c r="O874" s="13" t="str">
        <f t="shared" si="1"/>
        <v/>
      </c>
    </row>
    <row r="875" ht="22.5" customHeight="1">
      <c r="B875" s="13">
        <f>IFERROR(__xludf.DUMMYFUNCTION("""COMPUTED_VALUE"""),870.0)</f>
        <v>870</v>
      </c>
      <c r="C875" s="13" t="str">
        <f>IFERROR(__xludf.DUMMYFUNCTION("""COMPUTED_VALUE"""),"M. 16665/ Sukabumi")</f>
        <v>M. 16665/ Sukabumi</v>
      </c>
      <c r="D875" s="13" t="str">
        <f>IFERROR(__xludf.DUMMYFUNCTION("""COMPUTED_VALUE"""),"K/28/090125/2")</f>
        <v>K/28/090125/2</v>
      </c>
      <c r="E875" s="14" t="str">
        <f>IFERROR(__xludf.DUMMYFUNCTION("""COMPUTED_VALUE"""),"Afriza (BT)")</f>
        <v>Afriza (BT)</v>
      </c>
      <c r="F875" s="14" t="str">
        <f>IFERROR(__xludf.DUMMYFUNCTION("""COMPUTED_VALUE"""),"SELESAI")</f>
        <v>SELESAI</v>
      </c>
      <c r="G875" s="17">
        <f>IFERROR(__xludf.DUMMYFUNCTION("""COMPUTED_VALUE"""),45671.60150131944)</f>
        <v>45671.6015</v>
      </c>
      <c r="H875" s="14" t="str">
        <f>IFERROR(__xludf.DUMMYFUNCTION("""COMPUTED_VALUE"""),"Aprill (SU)")</f>
        <v>Aprill (SU)</v>
      </c>
      <c r="I875" s="13" t="str">
        <f>IFERROR(__xludf.DUMMYFUNCTION("""COMPUTED_VALUE"""),"SELESAI")</f>
        <v>SELESAI</v>
      </c>
      <c r="J875" s="17">
        <f>IFERROR(__xludf.DUMMYFUNCTION("""COMPUTED_VALUE"""),45679.44925873843)</f>
        <v>45679.44926</v>
      </c>
      <c r="K875" s="13" t="str">
        <f>IFERROR(__xludf.DUMMYFUNCTION("""COMPUTED_VALUE"""),"SELESAI")</f>
        <v>SELESAI</v>
      </c>
      <c r="L875" s="17">
        <f>IFERROR(__xludf.DUMMYFUNCTION("""COMPUTED_VALUE"""),45679.44925873843)</f>
        <v>45679.44926</v>
      </c>
      <c r="M875" s="17" t="str">
        <f>IFERROR(__xludf.DUMMYFUNCTION("""COMPUTED_VALUE"""),"")</f>
        <v/>
      </c>
      <c r="N875" s="17">
        <f>IFERROR(__xludf.DUMMYFUNCTION("""COMPUTED_VALUE"""),45679.44930042824)</f>
        <v>45679.4493</v>
      </c>
      <c r="O875" s="13">
        <f t="shared" si="1"/>
        <v>1</v>
      </c>
    </row>
    <row r="876" ht="22.5" customHeight="1">
      <c r="B876" s="13">
        <f>IFERROR(__xludf.DUMMYFUNCTION("""COMPUTED_VALUE"""),871.0)</f>
        <v>871</v>
      </c>
      <c r="C876" s="13" t="str">
        <f>IFERROR(__xludf.DUMMYFUNCTION("""COMPUTED_VALUE"""),"HM 681/GUNUNG AGUNG")</f>
        <v>HM 681/GUNUNG AGUNG</v>
      </c>
      <c r="D876" s="13" t="str">
        <f>IFERROR(__xludf.DUMMYFUNCTION("""COMPUTED_VALUE"""),"L/17/090125/1")</f>
        <v>L/17/090125/1</v>
      </c>
      <c r="E876" s="14" t="str">
        <f>IFERROR(__xludf.DUMMYFUNCTION("""COMPUTED_VALUE"""),"Afriza (BT)")</f>
        <v>Afriza (BT)</v>
      </c>
      <c r="F876" s="14" t="str">
        <f>IFERROR(__xludf.DUMMYFUNCTION("""COMPUTED_VALUE"""),"SELESAI")</f>
        <v>SELESAI</v>
      </c>
      <c r="G876" s="17">
        <f>IFERROR(__xludf.DUMMYFUNCTION("""COMPUTED_VALUE"""),45671.6044563426)</f>
        <v>45671.60446</v>
      </c>
      <c r="H876" s="14" t="str">
        <f>IFERROR(__xludf.DUMMYFUNCTION("""COMPUTED_VALUE"""),"Aprill (SU)")</f>
        <v>Aprill (SU)</v>
      </c>
      <c r="I876" s="13" t="str">
        <f>IFERROR(__xludf.DUMMYFUNCTION("""COMPUTED_VALUE"""),"SELESAI")</f>
        <v>SELESAI</v>
      </c>
      <c r="J876" s="17">
        <f>IFERROR(__xludf.DUMMYFUNCTION("""COMPUTED_VALUE"""),45679.460471875005)</f>
        <v>45679.46047</v>
      </c>
      <c r="K876" s="13" t="str">
        <f>IFERROR(__xludf.DUMMYFUNCTION("""COMPUTED_VALUE"""),"SELESAI")</f>
        <v>SELESAI</v>
      </c>
      <c r="L876" s="17">
        <f>IFERROR(__xludf.DUMMYFUNCTION("""COMPUTED_VALUE"""),45679.460471875005)</f>
        <v>45679.46047</v>
      </c>
      <c r="M876" s="17" t="str">
        <f>IFERROR(__xludf.DUMMYFUNCTION("""COMPUTED_VALUE"""),"")</f>
        <v/>
      </c>
      <c r="N876" s="17">
        <f>IFERROR(__xludf.DUMMYFUNCTION("""COMPUTED_VALUE"""),45679.46050204861)</f>
        <v>45679.4605</v>
      </c>
      <c r="O876" s="13">
        <f t="shared" si="1"/>
        <v>2</v>
      </c>
    </row>
    <row r="877" ht="22.5" customHeight="1">
      <c r="B877" s="13">
        <f>IFERROR(__xludf.DUMMYFUNCTION("""COMPUTED_VALUE"""),872.0)</f>
        <v>872</v>
      </c>
      <c r="C877" s="13" t="str">
        <f>IFERROR(__xludf.DUMMYFUNCTION("""COMPUTED_VALUE"""),"M. 16439/ Sukabumi")</f>
        <v>M. 16439/ Sukabumi</v>
      </c>
      <c r="D877" s="13" t="str">
        <f>IFERROR(__xludf.DUMMYFUNCTION("""COMPUTED_VALUE"""),"K/23/090125/1")</f>
        <v>K/23/090125/1</v>
      </c>
      <c r="E877" s="14" t="str">
        <f>IFERROR(__xludf.DUMMYFUNCTION("""COMPUTED_VALUE"""),"Afriza (BT)")</f>
        <v>Afriza (BT)</v>
      </c>
      <c r="F877" s="14" t="str">
        <f>IFERROR(__xludf.DUMMYFUNCTION("""COMPUTED_VALUE"""),"SELESAI")</f>
        <v>SELESAI</v>
      </c>
      <c r="G877" s="17">
        <f>IFERROR(__xludf.DUMMYFUNCTION("""COMPUTED_VALUE"""),45671.60612837963)</f>
        <v>45671.60613</v>
      </c>
      <c r="H877" s="14" t="str">
        <f>IFERROR(__xludf.DUMMYFUNCTION("""COMPUTED_VALUE"""),"Aprill (SU)")</f>
        <v>Aprill (SU)</v>
      </c>
      <c r="I877" s="13" t="str">
        <f>IFERROR(__xludf.DUMMYFUNCTION("""COMPUTED_VALUE"""),"SELESAI")</f>
        <v>SELESAI</v>
      </c>
      <c r="J877" s="17">
        <f>IFERROR(__xludf.DUMMYFUNCTION("""COMPUTED_VALUE"""),45679.455643587964)</f>
        <v>45679.45564</v>
      </c>
      <c r="K877" s="13" t="str">
        <f>IFERROR(__xludf.DUMMYFUNCTION("""COMPUTED_VALUE"""),"SELESAI")</f>
        <v>SELESAI</v>
      </c>
      <c r="L877" s="17">
        <f>IFERROR(__xludf.DUMMYFUNCTION("""COMPUTED_VALUE"""),45679.455643587964)</f>
        <v>45679.45564</v>
      </c>
      <c r="M877" s="17" t="str">
        <f>IFERROR(__xludf.DUMMYFUNCTION("""COMPUTED_VALUE"""),"")</f>
        <v/>
      </c>
      <c r="N877" s="17">
        <f>IFERROR(__xludf.DUMMYFUNCTION("""COMPUTED_VALUE"""),45679.45571956018)</f>
        <v>45679.45572</v>
      </c>
      <c r="O877" s="13">
        <f t="shared" si="1"/>
        <v>3</v>
      </c>
    </row>
    <row r="878" ht="22.5" customHeight="1">
      <c r="B878" s="13">
        <f>IFERROR(__xludf.DUMMYFUNCTION("""COMPUTED_VALUE"""),873.0)</f>
        <v>873</v>
      </c>
      <c r="C878" s="13" t="str">
        <f>IFERROR(__xludf.DUMMYFUNCTION("""COMPUTED_VALUE"""),"M. 16666/ Sukabumi")</f>
        <v>M. 16666/ Sukabumi</v>
      </c>
      <c r="D878" s="13" t="str">
        <f>IFERROR(__xludf.DUMMYFUNCTION("""COMPUTED_VALUE"""),"K/27/090125/1")</f>
        <v>K/27/090125/1</v>
      </c>
      <c r="E878" s="14" t="str">
        <f>IFERROR(__xludf.DUMMYFUNCTION("""COMPUTED_VALUE"""),"Afriza (BT)")</f>
        <v>Afriza (BT)</v>
      </c>
      <c r="F878" s="14" t="str">
        <f>IFERROR(__xludf.DUMMYFUNCTION("""COMPUTED_VALUE"""),"SELESAI")</f>
        <v>SELESAI</v>
      </c>
      <c r="G878" s="17">
        <f>IFERROR(__xludf.DUMMYFUNCTION("""COMPUTED_VALUE"""),45671.68661207176)</f>
        <v>45671.68661</v>
      </c>
      <c r="H878" s="14" t="str">
        <f>IFERROR(__xludf.DUMMYFUNCTION("""COMPUTED_VALUE"""),"Aprill (SU)")</f>
        <v>Aprill (SU)</v>
      </c>
      <c r="I878" s="13" t="str">
        <f>IFERROR(__xludf.DUMMYFUNCTION("""COMPUTED_VALUE"""),"SELESAI")</f>
        <v>SELESAI</v>
      </c>
      <c r="J878" s="17">
        <f>IFERROR(__xludf.DUMMYFUNCTION("""COMPUTED_VALUE"""),45679.45713108796)</f>
        <v>45679.45713</v>
      </c>
      <c r="K878" s="13" t="str">
        <f>IFERROR(__xludf.DUMMYFUNCTION("""COMPUTED_VALUE"""),"SELESAI")</f>
        <v>SELESAI</v>
      </c>
      <c r="L878" s="17">
        <f>IFERROR(__xludf.DUMMYFUNCTION("""COMPUTED_VALUE"""),45679.45713108796)</f>
        <v>45679.45713</v>
      </c>
      <c r="M878" s="17" t="str">
        <f>IFERROR(__xludf.DUMMYFUNCTION("""COMPUTED_VALUE"""),"")</f>
        <v/>
      </c>
      <c r="N878" s="17">
        <f>IFERROR(__xludf.DUMMYFUNCTION("""COMPUTED_VALUE"""),45679.457165706015)</f>
        <v>45679.45717</v>
      </c>
      <c r="O878" s="13">
        <f t="shared" si="1"/>
        <v>4</v>
      </c>
    </row>
    <row r="879" ht="22.5" customHeight="1">
      <c r="B879" s="13">
        <f>IFERROR(__xludf.DUMMYFUNCTION("""COMPUTED_VALUE"""),874.0)</f>
        <v>874</v>
      </c>
      <c r="C879" s="13" t="str">
        <f>IFERROR(__xludf.DUMMYFUNCTION("""COMPUTED_VALUE"""),"B.267/SUMBER AGUNG")</f>
        <v>B.267/SUMBER AGUNG</v>
      </c>
      <c r="D879" s="13" t="str">
        <f>IFERROR(__xludf.DUMMYFUNCTION("""COMPUTED_VALUE"""),"L/2/110125/PELATARAN")</f>
        <v>L/2/110125/PELATARAN</v>
      </c>
      <c r="E879" s="14" t="str">
        <f>IFERROR(__xludf.DUMMYFUNCTION("""COMPUTED_VALUE"""),"Nadian (BT)")</f>
        <v>Nadian (BT)</v>
      </c>
      <c r="F879" s="14" t="str">
        <f>IFERROR(__xludf.DUMMYFUNCTION("""COMPUTED_VALUE"""),"SELESAI (VIA PERMOHONAN)")</f>
        <v>SELESAI (VIA PERMOHONAN)</v>
      </c>
      <c r="G879" s="17">
        <f>IFERROR(__xludf.DUMMYFUNCTION("""COMPUTED_VALUE"""),45671.65385445602)</f>
        <v>45671.65385</v>
      </c>
      <c r="H879" s="14" t="str">
        <f>IFERROR(__xludf.DUMMYFUNCTION("""COMPUTED_VALUE"""),"Bu Eva (SU)")</f>
        <v>Bu Eva (SU)</v>
      </c>
      <c r="I879" s="13" t="str">
        <f>IFERROR(__xludf.DUMMYFUNCTION("""COMPUTED_VALUE"""),"SELESAI (VIA PERMOHONAN)")</f>
        <v>SELESAI (VIA PERMOHONAN)</v>
      </c>
      <c r="J879" s="17">
        <f>IFERROR(__xludf.DUMMYFUNCTION("""COMPUTED_VALUE"""),45674.65658459491)</f>
        <v>45674.65658</v>
      </c>
      <c r="K879" s="13" t="str">
        <f>IFERROR(__xludf.DUMMYFUNCTION("""COMPUTED_VALUE"""),"Selesai")</f>
        <v>Selesai</v>
      </c>
      <c r="L879" s="17">
        <f>IFERROR(__xludf.DUMMYFUNCTION("""COMPUTED_VALUE"""),45674.65658459491)</f>
        <v>45674.65658</v>
      </c>
      <c r="M879" s="17">
        <f>IFERROR(__xludf.DUMMYFUNCTION("""COMPUTED_VALUE"""),45674.656650081015)</f>
        <v>45674.65665</v>
      </c>
      <c r="N879" s="17">
        <f>IFERROR(__xludf.DUMMYFUNCTION("""COMPUTED_VALUE"""),45679.456492488425)</f>
        <v>45679.45649</v>
      </c>
      <c r="O879" s="13">
        <f t="shared" si="1"/>
        <v>5</v>
      </c>
    </row>
    <row r="880" ht="22.5" customHeight="1">
      <c r="B880" s="13">
        <f>IFERROR(__xludf.DUMMYFUNCTION("""COMPUTED_VALUE"""),875.0)</f>
        <v>875</v>
      </c>
      <c r="C880" s="13" t="str">
        <f>IFERROR(__xludf.DUMMYFUNCTION("""COMPUTED_VALUE"""),"M. 15119/ Sukarame")</f>
        <v>M. 15119/ Sukarame</v>
      </c>
      <c r="D880" s="13" t="str">
        <f>IFERROR(__xludf.DUMMYFUNCTION("""COMPUTED_VALUE"""),"K/21/090125/2")</f>
        <v>K/21/090125/2</v>
      </c>
      <c r="E880" s="14" t="str">
        <f>IFERROR(__xludf.DUMMYFUNCTION("""COMPUTED_VALUE"""),"Nadian (BT)")</f>
        <v>Nadian (BT)</v>
      </c>
      <c r="F880" s="14" t="str">
        <f>IFERROR(__xludf.DUMMYFUNCTION("""COMPUTED_VALUE"""),"SELESAI (VIA PERMOHONAN)")</f>
        <v>SELESAI (VIA PERMOHONAN)</v>
      </c>
      <c r="G880" s="17">
        <f>IFERROR(__xludf.DUMMYFUNCTION("""COMPUTED_VALUE"""),45671.65388136574)</f>
        <v>45671.65388</v>
      </c>
      <c r="H880" s="14" t="str">
        <f>IFERROR(__xludf.DUMMYFUNCTION("""COMPUTED_VALUE"""),"Bu Eva (SU)")</f>
        <v>Bu Eva (SU)</v>
      </c>
      <c r="I880" s="13" t="str">
        <f>IFERROR(__xludf.DUMMYFUNCTION("""COMPUTED_VALUE"""),"SELESAI (VIA PERMOHONAN)")</f>
        <v>SELESAI (VIA PERMOHONAN)</v>
      </c>
      <c r="J880" s="17">
        <f>IFERROR(__xludf.DUMMYFUNCTION("""COMPUTED_VALUE"""),45674.65661200232)</f>
        <v>45674.65661</v>
      </c>
      <c r="K880" s="13" t="str">
        <f>IFERROR(__xludf.DUMMYFUNCTION("""COMPUTED_VALUE"""),"Selesai")</f>
        <v>Selesai</v>
      </c>
      <c r="L880" s="17">
        <f>IFERROR(__xludf.DUMMYFUNCTION("""COMPUTED_VALUE"""),45674.65661200232)</f>
        <v>45674.65661</v>
      </c>
      <c r="M880" s="17">
        <f>IFERROR(__xludf.DUMMYFUNCTION("""COMPUTED_VALUE"""),45674.65665788195)</f>
        <v>45674.65666</v>
      </c>
      <c r="N880" s="17">
        <f>IFERROR(__xludf.DUMMYFUNCTION("""COMPUTED_VALUE"""),45679.460275729165)</f>
        <v>45679.46028</v>
      </c>
      <c r="O880" s="13">
        <f t="shared" si="1"/>
        <v>6</v>
      </c>
    </row>
    <row r="881" ht="22.5" customHeight="1">
      <c r="B881" s="13">
        <f>IFERROR(__xludf.DUMMYFUNCTION("""COMPUTED_VALUE"""),876.0)</f>
        <v>876</v>
      </c>
      <c r="C881" s="13" t="str">
        <f>IFERROR(__xludf.DUMMYFUNCTION("""COMPUTED_VALUE"""),"M. 695/ Rajabasa Nunyai")</f>
        <v>M. 695/ Rajabasa Nunyai</v>
      </c>
      <c r="D881" s="13" t="str">
        <f>IFERROR(__xludf.DUMMYFUNCTION("""COMPUTED_VALUE"""),"K/22/241224/1")</f>
        <v>K/22/241224/1</v>
      </c>
      <c r="E881" s="14" t="str">
        <f>IFERROR(__xludf.DUMMYFUNCTION("""COMPUTED_VALUE"""),"Nadian (BT)")</f>
        <v>Nadian (BT)</v>
      </c>
      <c r="F881" s="14" t="str">
        <f>IFERROR(__xludf.DUMMYFUNCTION("""COMPUTED_VALUE"""),"SELESAI (VIA PERMOHONAN)")</f>
        <v>SELESAI (VIA PERMOHONAN)</v>
      </c>
      <c r="G881" s="17">
        <f>IFERROR(__xludf.DUMMYFUNCTION("""COMPUTED_VALUE"""),45671.65388136574)</f>
        <v>45671.65388</v>
      </c>
      <c r="H881" s="14" t="str">
        <f>IFERROR(__xludf.DUMMYFUNCTION("""COMPUTED_VALUE"""),"Bu Eva (SU)")</f>
        <v>Bu Eva (SU)</v>
      </c>
      <c r="I881" s="13" t="str">
        <f>IFERROR(__xludf.DUMMYFUNCTION("""COMPUTED_VALUE"""),"SELESAI (VIA PERMOHONAN)")</f>
        <v>SELESAI (VIA PERMOHONAN)</v>
      </c>
      <c r="J881" s="17">
        <f>IFERROR(__xludf.DUMMYFUNCTION("""COMPUTED_VALUE"""),45674.656629363424)</f>
        <v>45674.65663</v>
      </c>
      <c r="K881" s="13" t="str">
        <f>IFERROR(__xludf.DUMMYFUNCTION("""COMPUTED_VALUE"""),"Selesai")</f>
        <v>Selesai</v>
      </c>
      <c r="L881" s="17">
        <f>IFERROR(__xludf.DUMMYFUNCTION("""COMPUTED_VALUE"""),45674.656629363424)</f>
        <v>45674.65663</v>
      </c>
      <c r="M881" s="17">
        <f>IFERROR(__xludf.DUMMYFUNCTION("""COMPUTED_VALUE"""),45674.65666652778)</f>
        <v>45674.65667</v>
      </c>
      <c r="N881" s="13" t="str">
        <f>IFERROR(__xludf.DUMMYFUNCTION("""COMPUTED_VALUE"""),"")</f>
        <v/>
      </c>
      <c r="O881" s="13" t="str">
        <f t="shared" si="1"/>
        <v/>
      </c>
    </row>
    <row r="882" ht="22.5" customHeight="1">
      <c r="B882" s="13">
        <f>IFERROR(__xludf.DUMMYFUNCTION("""COMPUTED_VALUE"""),877.0)</f>
        <v>877</v>
      </c>
      <c r="C882" s="13" t="str">
        <f>IFERROR(__xludf.DUMMYFUNCTION("""COMPUTED_VALUE"""),"M.6572/TANJUNG SENENG")</f>
        <v>M.6572/TANJUNG SENENG</v>
      </c>
      <c r="D882" s="13" t="str">
        <f>IFERROR(__xludf.DUMMYFUNCTION("""COMPUTED_VALUE"""),"K/10/100125/1")</f>
        <v>K/10/100125/1</v>
      </c>
      <c r="E882" s="14" t="str">
        <f>IFERROR(__xludf.DUMMYFUNCTION("""COMPUTED_VALUE"""),"Nadian (BT)")</f>
        <v>Nadian (BT)</v>
      </c>
      <c r="F882" s="14" t="str">
        <f>IFERROR(__xludf.DUMMYFUNCTION("""COMPUTED_VALUE"""),"SELESAI")</f>
        <v>SELESAI</v>
      </c>
      <c r="G882" s="17">
        <f>IFERROR(__xludf.DUMMYFUNCTION("""COMPUTED_VALUE"""),45671.6539028588)</f>
        <v>45671.6539</v>
      </c>
      <c r="H882" s="14" t="str">
        <f>IFERROR(__xludf.DUMMYFUNCTION("""COMPUTED_VALUE"""),"Aprill (SU)")</f>
        <v>Aprill (SU)</v>
      </c>
      <c r="I882" s="13" t="str">
        <f>IFERROR(__xludf.DUMMYFUNCTION("""COMPUTED_VALUE"""),"SELESAI")</f>
        <v>SELESAI</v>
      </c>
      <c r="J882" s="17">
        <f>IFERROR(__xludf.DUMMYFUNCTION("""COMPUTED_VALUE"""),45679.45738659722)</f>
        <v>45679.45739</v>
      </c>
      <c r="K882" s="13" t="str">
        <f>IFERROR(__xludf.DUMMYFUNCTION("""COMPUTED_VALUE"""),"SELESAI")</f>
        <v>SELESAI</v>
      </c>
      <c r="L882" s="17">
        <f>IFERROR(__xludf.DUMMYFUNCTION("""COMPUTED_VALUE"""),45679.45738659722)</f>
        <v>45679.45739</v>
      </c>
      <c r="M882" s="17" t="str">
        <f>IFERROR(__xludf.DUMMYFUNCTION("""COMPUTED_VALUE"""),"")</f>
        <v/>
      </c>
      <c r="N882" s="17">
        <f>IFERROR(__xludf.DUMMYFUNCTION("""COMPUTED_VALUE"""),45679.457443148145)</f>
        <v>45679.45744</v>
      </c>
      <c r="O882" s="13">
        <f t="shared" si="1"/>
        <v>1</v>
      </c>
    </row>
    <row r="883" ht="22.5" customHeight="1">
      <c r="B883" s="13">
        <f>IFERROR(__xludf.DUMMYFUNCTION("""COMPUTED_VALUE"""),878.0)</f>
        <v>878</v>
      </c>
      <c r="C883" s="13" t="str">
        <f>IFERROR(__xludf.DUMMYFUNCTION("""COMPUTED_VALUE"""),"HM 381/GEDONG AIR")</f>
        <v>HM 381/GEDONG AIR</v>
      </c>
      <c r="D883" s="13" t="str">
        <f>IFERROR(__xludf.DUMMYFUNCTION("""COMPUTED_VALUE"""),"L/4/100125/1")</f>
        <v>L/4/100125/1</v>
      </c>
      <c r="E883" s="14" t="str">
        <f>IFERROR(__xludf.DUMMYFUNCTION("""COMPUTED_VALUE"""),"Nadian (BT)")</f>
        <v>Nadian (BT)</v>
      </c>
      <c r="F883" s="14" t="str">
        <f>IFERROR(__xludf.DUMMYFUNCTION("""COMPUTED_VALUE"""),"SELESAI")</f>
        <v>SELESAI</v>
      </c>
      <c r="G883" s="17">
        <f>IFERROR(__xludf.DUMMYFUNCTION("""COMPUTED_VALUE"""),45671.65392715277)</f>
        <v>45671.65393</v>
      </c>
      <c r="H883" s="14" t="str">
        <f>IFERROR(__xludf.DUMMYFUNCTION("""COMPUTED_VALUE"""),"Aprill (SU)")</f>
        <v>Aprill (SU)</v>
      </c>
      <c r="I883" s="13" t="str">
        <f>IFERROR(__xludf.DUMMYFUNCTION("""COMPUTED_VALUE"""),"SELESAI")</f>
        <v>SELESAI</v>
      </c>
      <c r="J883" s="17">
        <f>IFERROR(__xludf.DUMMYFUNCTION("""COMPUTED_VALUE"""),45679.46272116898)</f>
        <v>45679.46272</v>
      </c>
      <c r="K883" s="13" t="str">
        <f>IFERROR(__xludf.DUMMYFUNCTION("""COMPUTED_VALUE"""),"SELESAI")</f>
        <v>SELESAI</v>
      </c>
      <c r="L883" s="17">
        <f>IFERROR(__xludf.DUMMYFUNCTION("""COMPUTED_VALUE"""),45679.46272116898)</f>
        <v>45679.46272</v>
      </c>
      <c r="M883" s="17" t="str">
        <f>IFERROR(__xludf.DUMMYFUNCTION("""COMPUTED_VALUE"""),"")</f>
        <v/>
      </c>
      <c r="N883" s="17">
        <f>IFERROR(__xludf.DUMMYFUNCTION("""COMPUTED_VALUE"""),45679.4627559375)</f>
        <v>45679.46276</v>
      </c>
      <c r="O883" s="13">
        <f t="shared" si="1"/>
        <v>2</v>
      </c>
    </row>
    <row r="884" ht="22.5" customHeight="1">
      <c r="B884" s="13">
        <f>IFERROR(__xludf.DUMMYFUNCTION("""COMPUTED_VALUE"""),879.0)</f>
        <v>879</v>
      </c>
      <c r="C884" s="13" t="str">
        <f>IFERROR(__xludf.DUMMYFUNCTION("""COMPUTED_VALUE"""),"M. 464/ Rajabasa Nunyai")</f>
        <v>M. 464/ Rajabasa Nunyai</v>
      </c>
      <c r="D884" s="13" t="str">
        <f>IFERROR(__xludf.DUMMYFUNCTION("""COMPUTED_VALUE"""),"K/36/090125/1")</f>
        <v>K/36/090125/1</v>
      </c>
      <c r="E884" s="14" t="str">
        <f>IFERROR(__xludf.DUMMYFUNCTION("""COMPUTED_VALUE"""),"Nadian (BT)")</f>
        <v>Nadian (BT)</v>
      </c>
      <c r="F884" s="14" t="str">
        <f>IFERROR(__xludf.DUMMYFUNCTION("""COMPUTED_VALUE"""),"SELESAI")</f>
        <v>SELESAI</v>
      </c>
      <c r="G884" s="17">
        <f>IFERROR(__xludf.DUMMYFUNCTION("""COMPUTED_VALUE"""),45671.65392715277)</f>
        <v>45671.65393</v>
      </c>
      <c r="H884" s="14" t="str">
        <f>IFERROR(__xludf.DUMMYFUNCTION("""COMPUTED_VALUE"""),"Aprill (SU)")</f>
        <v>Aprill (SU)</v>
      </c>
      <c r="I884" s="13" t="str">
        <f>IFERROR(__xludf.DUMMYFUNCTION("""COMPUTED_VALUE"""),"SELESAI")</f>
        <v>SELESAI</v>
      </c>
      <c r="J884" s="17">
        <f>IFERROR(__xludf.DUMMYFUNCTION("""COMPUTED_VALUE"""),45679.45773579861)</f>
        <v>45679.45774</v>
      </c>
      <c r="K884" s="13" t="str">
        <f>IFERROR(__xludf.DUMMYFUNCTION("""COMPUTED_VALUE"""),"SELESAI")</f>
        <v>SELESAI</v>
      </c>
      <c r="L884" s="17">
        <f>IFERROR(__xludf.DUMMYFUNCTION("""COMPUTED_VALUE"""),45679.45773579861)</f>
        <v>45679.45774</v>
      </c>
      <c r="M884" s="17" t="str">
        <f>IFERROR(__xludf.DUMMYFUNCTION("""COMPUTED_VALUE"""),"")</f>
        <v/>
      </c>
      <c r="N884" s="17">
        <f>IFERROR(__xludf.DUMMYFUNCTION("""COMPUTED_VALUE"""),45679.45778423611)</f>
        <v>45679.45778</v>
      </c>
      <c r="O884" s="13">
        <f t="shared" si="1"/>
        <v>3</v>
      </c>
    </row>
    <row r="885" ht="22.5" customHeight="1">
      <c r="B885" s="13">
        <f>IFERROR(__xludf.DUMMYFUNCTION("""COMPUTED_VALUE"""),880.0)</f>
        <v>880</v>
      </c>
      <c r="C885" s="13" t="str">
        <f>IFERROR(__xludf.DUMMYFUNCTION("""COMPUTED_VALUE"""),"M.15007/RAJABASA")</f>
        <v>M.15007/RAJABASA</v>
      </c>
      <c r="D885" s="13" t="str">
        <f>IFERROR(__xludf.DUMMYFUNCTION("""COMPUTED_VALUE"""),"K/3/080125/1")</f>
        <v>K/3/080125/1</v>
      </c>
      <c r="E885" s="14" t="str">
        <f>IFERROR(__xludf.DUMMYFUNCTION("""COMPUTED_VALUE"""),"Nadian (BT)")</f>
        <v>Nadian (BT)</v>
      </c>
      <c r="F885" s="14" t="str">
        <f>IFERROR(__xludf.DUMMYFUNCTION("""COMPUTED_VALUE"""),"SELESAI")</f>
        <v>SELESAI</v>
      </c>
      <c r="G885" s="17">
        <f>IFERROR(__xludf.DUMMYFUNCTION("""COMPUTED_VALUE"""),45671.65392715277)</f>
        <v>45671.65393</v>
      </c>
      <c r="H885" s="14" t="str">
        <f>IFERROR(__xludf.DUMMYFUNCTION("""COMPUTED_VALUE"""),"Aprill (SU)")</f>
        <v>Aprill (SU)</v>
      </c>
      <c r="I885" s="13" t="str">
        <f>IFERROR(__xludf.DUMMYFUNCTION("""COMPUTED_VALUE"""),"SELESAI")</f>
        <v>SELESAI</v>
      </c>
      <c r="J885" s="17">
        <f>IFERROR(__xludf.DUMMYFUNCTION("""COMPUTED_VALUE"""),45679.458056006944)</f>
        <v>45679.45806</v>
      </c>
      <c r="K885" s="13" t="str">
        <f>IFERROR(__xludf.DUMMYFUNCTION("""COMPUTED_VALUE"""),"SELESAI")</f>
        <v>SELESAI</v>
      </c>
      <c r="L885" s="17">
        <f>IFERROR(__xludf.DUMMYFUNCTION("""COMPUTED_VALUE"""),45679.458056006944)</f>
        <v>45679.45806</v>
      </c>
      <c r="M885" s="17" t="str">
        <f>IFERROR(__xludf.DUMMYFUNCTION("""COMPUTED_VALUE"""),"")</f>
        <v/>
      </c>
      <c r="N885" s="17">
        <f>IFERROR(__xludf.DUMMYFUNCTION("""COMPUTED_VALUE"""),45679.45809028935)</f>
        <v>45679.45809</v>
      </c>
      <c r="O885" s="13">
        <f t="shared" si="1"/>
        <v>4</v>
      </c>
    </row>
    <row r="886" ht="22.5" customHeight="1">
      <c r="B886" s="13">
        <f>IFERROR(__xludf.DUMMYFUNCTION("""COMPUTED_VALUE"""),881.0)</f>
        <v>881</v>
      </c>
      <c r="C886" s="13" t="str">
        <f>IFERROR(__xludf.DUMMYFUNCTION("""COMPUTED_VALUE"""),"M. 949/ Langkapura")</f>
        <v>M. 949/ Langkapura</v>
      </c>
      <c r="D886" s="13" t="str">
        <f>IFERROR(__xludf.DUMMYFUNCTION("""COMPUTED_VALUE"""),"K/4/080125/1")</f>
        <v>K/4/080125/1</v>
      </c>
      <c r="E886" s="14" t="str">
        <f>IFERROR(__xludf.DUMMYFUNCTION("""COMPUTED_VALUE"""),"Nadian (BT)")</f>
        <v>Nadian (BT)</v>
      </c>
      <c r="F886" s="14" t="str">
        <f>IFERROR(__xludf.DUMMYFUNCTION("""COMPUTED_VALUE"""),"SELESAI")</f>
        <v>SELESAI</v>
      </c>
      <c r="G886" s="17">
        <f>IFERROR(__xludf.DUMMYFUNCTION("""COMPUTED_VALUE"""),45671.65392715277)</f>
        <v>45671.65393</v>
      </c>
      <c r="H886" s="14" t="str">
        <f>IFERROR(__xludf.DUMMYFUNCTION("""COMPUTED_VALUE"""),"Aprill (SU)")</f>
        <v>Aprill (SU)</v>
      </c>
      <c r="I886" s="13" t="str">
        <f>IFERROR(__xludf.DUMMYFUNCTION("""COMPUTED_VALUE"""),"SELESAI")</f>
        <v>SELESAI</v>
      </c>
      <c r="J886" s="17">
        <f>IFERROR(__xludf.DUMMYFUNCTION("""COMPUTED_VALUE"""),45679.45041550926)</f>
        <v>45679.45042</v>
      </c>
      <c r="K886" s="13" t="str">
        <f>IFERROR(__xludf.DUMMYFUNCTION("""COMPUTED_VALUE"""),"SELESAI")</f>
        <v>SELESAI</v>
      </c>
      <c r="L886" s="17">
        <f>IFERROR(__xludf.DUMMYFUNCTION("""COMPUTED_VALUE"""),45679.45041550926)</f>
        <v>45679.45042</v>
      </c>
      <c r="M886" s="17" t="str">
        <f>IFERROR(__xludf.DUMMYFUNCTION("""COMPUTED_VALUE"""),"")</f>
        <v/>
      </c>
      <c r="N886" s="17">
        <f>IFERROR(__xludf.DUMMYFUNCTION("""COMPUTED_VALUE"""),45679.45033457176)</f>
        <v>45679.45033</v>
      </c>
      <c r="O886" s="13">
        <f t="shared" si="1"/>
        <v>5</v>
      </c>
    </row>
    <row r="887" ht="22.5" customHeight="1">
      <c r="B887" s="13">
        <f>IFERROR(__xludf.DUMMYFUNCTION("""COMPUTED_VALUE"""),882.0)</f>
        <v>882</v>
      </c>
      <c r="C887" s="13" t="str">
        <f>IFERROR(__xludf.DUMMYFUNCTION("""COMPUTED_VALUE"""),"HM 11321,11322/SUKABUMI")</f>
        <v>HM 11321,11322/SUKABUMI</v>
      </c>
      <c r="D887" s="13" t="str">
        <f>IFERROR(__xludf.DUMMYFUNCTION("""COMPUTED_VALUE"""),"L/3/130125/1")</f>
        <v>L/3/130125/1</v>
      </c>
      <c r="E887" s="14" t="str">
        <f>IFERROR(__xludf.DUMMYFUNCTION("""COMPUTED_VALUE"""),"Nadian (BT)")</f>
        <v>Nadian (BT)</v>
      </c>
      <c r="F887" s="14" t="str">
        <f>IFERROR(__xludf.DUMMYFUNCTION("""COMPUTED_VALUE"""),"SELESAI")</f>
        <v>SELESAI</v>
      </c>
      <c r="G887" s="17">
        <f>IFERROR(__xludf.DUMMYFUNCTION("""COMPUTED_VALUE"""),45671.65392715277)</f>
        <v>45671.65393</v>
      </c>
      <c r="H887" s="14" t="str">
        <f>IFERROR(__xludf.DUMMYFUNCTION("""COMPUTED_VALUE"""),"Aprill (SU)")</f>
        <v>Aprill (SU)</v>
      </c>
      <c r="I887" s="13" t="str">
        <f>IFERROR(__xludf.DUMMYFUNCTION("""COMPUTED_VALUE"""),"SELESAI")</f>
        <v>SELESAI</v>
      </c>
      <c r="J887" s="17">
        <f>IFERROR(__xludf.DUMMYFUNCTION("""COMPUTED_VALUE"""),45679.45861336806)</f>
        <v>45679.45861</v>
      </c>
      <c r="K887" s="13" t="str">
        <f>IFERROR(__xludf.DUMMYFUNCTION("""COMPUTED_VALUE"""),"SELESAI")</f>
        <v>SELESAI</v>
      </c>
      <c r="L887" s="17">
        <f>IFERROR(__xludf.DUMMYFUNCTION("""COMPUTED_VALUE"""),45679.45861336806)</f>
        <v>45679.45861</v>
      </c>
      <c r="M887" s="17" t="str">
        <f>IFERROR(__xludf.DUMMYFUNCTION("""COMPUTED_VALUE"""),"")</f>
        <v/>
      </c>
      <c r="N887" s="17">
        <f>IFERROR(__xludf.DUMMYFUNCTION("""COMPUTED_VALUE"""),45679.45864604166)</f>
        <v>45679.45865</v>
      </c>
      <c r="O887" s="13">
        <f t="shared" si="1"/>
        <v>6</v>
      </c>
    </row>
    <row r="888" ht="22.5" customHeight="1">
      <c r="B888" s="13">
        <f>IFERROR(__xludf.DUMMYFUNCTION("""COMPUTED_VALUE"""),883.0)</f>
        <v>883</v>
      </c>
      <c r="C888" s="13" t="str">
        <f>IFERROR(__xludf.DUMMYFUNCTION("""COMPUTED_VALUE"""),"M. 13959/ Kedamaian")</f>
        <v>M. 13959/ Kedamaian</v>
      </c>
      <c r="D888" s="13" t="str">
        <f>IFERROR(__xludf.DUMMYFUNCTION("""COMPUTED_VALUE"""),"K/1/130125/1")</f>
        <v>K/1/130125/1</v>
      </c>
      <c r="E888" s="14" t="str">
        <f>IFERROR(__xludf.DUMMYFUNCTION("""COMPUTED_VALUE"""),"Nadian (BT)")</f>
        <v>Nadian (BT)</v>
      </c>
      <c r="F888" s="14" t="str">
        <f>IFERROR(__xludf.DUMMYFUNCTION("""COMPUTED_VALUE"""),"SELESAI")</f>
        <v>SELESAI</v>
      </c>
      <c r="G888" s="17">
        <f>IFERROR(__xludf.DUMMYFUNCTION("""COMPUTED_VALUE"""),45671.65392715277)</f>
        <v>45671.65393</v>
      </c>
      <c r="H888" s="14" t="str">
        <f>IFERROR(__xludf.DUMMYFUNCTION("""COMPUTED_VALUE"""),"Aprill (SU)")</f>
        <v>Aprill (SU)</v>
      </c>
      <c r="I888" s="13" t="str">
        <f>IFERROR(__xludf.DUMMYFUNCTION("""COMPUTED_VALUE"""),"SELESAI")</f>
        <v>SELESAI</v>
      </c>
      <c r="J888" s="17">
        <f>IFERROR(__xludf.DUMMYFUNCTION("""COMPUTED_VALUE"""),45679.45043391203)</f>
        <v>45679.45043</v>
      </c>
      <c r="K888" s="13" t="str">
        <f>IFERROR(__xludf.DUMMYFUNCTION("""COMPUTED_VALUE"""),"SELESAI")</f>
        <v>SELESAI</v>
      </c>
      <c r="L888" s="17">
        <f>IFERROR(__xludf.DUMMYFUNCTION("""COMPUTED_VALUE"""),45679.45043391203)</f>
        <v>45679.45043</v>
      </c>
      <c r="M888" s="17" t="str">
        <f>IFERROR(__xludf.DUMMYFUNCTION("""COMPUTED_VALUE"""),"")</f>
        <v/>
      </c>
      <c r="N888" s="17">
        <f>IFERROR(__xludf.DUMMYFUNCTION("""COMPUTED_VALUE"""),45679.45034304398)</f>
        <v>45679.45034</v>
      </c>
      <c r="O888" s="13">
        <f t="shared" si="1"/>
        <v>7</v>
      </c>
    </row>
    <row r="889" ht="22.5" customHeight="1">
      <c r="B889" s="13">
        <f>IFERROR(__xludf.DUMMYFUNCTION("""COMPUTED_VALUE"""),884.0)</f>
        <v>884</v>
      </c>
      <c r="C889" s="13" t="str">
        <f>IFERROR(__xludf.DUMMYFUNCTION("""COMPUTED_VALUE"""),"M. 5512/ Langkapura")</f>
        <v>M. 5512/ Langkapura</v>
      </c>
      <c r="D889" s="13" t="str">
        <f>IFERROR(__xludf.DUMMYFUNCTION("""COMPUTED_VALUE"""),"K/9/100125/1")</f>
        <v>K/9/100125/1</v>
      </c>
      <c r="E889" s="14" t="str">
        <f>IFERROR(__xludf.DUMMYFUNCTION("""COMPUTED_VALUE"""),"Nadian (BT)")</f>
        <v>Nadian (BT)</v>
      </c>
      <c r="F889" s="14" t="str">
        <f>IFERROR(__xludf.DUMMYFUNCTION("""COMPUTED_VALUE"""),"SELESAI")</f>
        <v>SELESAI</v>
      </c>
      <c r="G889" s="17">
        <f>IFERROR(__xludf.DUMMYFUNCTION("""COMPUTED_VALUE"""),45671.65392715277)</f>
        <v>45671.65393</v>
      </c>
      <c r="H889" s="14" t="str">
        <f>IFERROR(__xludf.DUMMYFUNCTION("""COMPUTED_VALUE"""),"Aprill (SU)")</f>
        <v>Aprill (SU)</v>
      </c>
      <c r="I889" s="13" t="str">
        <f>IFERROR(__xludf.DUMMYFUNCTION("""COMPUTED_VALUE"""),"SELESAI")</f>
        <v>SELESAI</v>
      </c>
      <c r="J889" s="17">
        <f>IFERROR(__xludf.DUMMYFUNCTION("""COMPUTED_VALUE"""),45679.45974984954)</f>
        <v>45679.45975</v>
      </c>
      <c r="K889" s="13" t="str">
        <f>IFERROR(__xludf.DUMMYFUNCTION("""COMPUTED_VALUE"""),"SELESAI")</f>
        <v>SELESAI</v>
      </c>
      <c r="L889" s="17">
        <f>IFERROR(__xludf.DUMMYFUNCTION("""COMPUTED_VALUE"""),45679.45974984954)</f>
        <v>45679.45975</v>
      </c>
      <c r="M889" s="17" t="str">
        <f>IFERROR(__xludf.DUMMYFUNCTION("""COMPUTED_VALUE"""),"")</f>
        <v/>
      </c>
      <c r="N889" s="17">
        <f>IFERROR(__xludf.DUMMYFUNCTION("""COMPUTED_VALUE"""),45679.45977768519)</f>
        <v>45679.45978</v>
      </c>
      <c r="O889" s="13">
        <f t="shared" si="1"/>
        <v>8</v>
      </c>
    </row>
    <row r="890" ht="22.5" customHeight="1">
      <c r="B890" s="13">
        <f>IFERROR(__xludf.DUMMYFUNCTION("""COMPUTED_VALUE"""),885.0)</f>
        <v>885</v>
      </c>
      <c r="C890" s="13" t="str">
        <f>IFERROR(__xludf.DUMMYFUNCTION("""COMPUTED_VALUE"""),"M. 2507/ Sumber Rejo")</f>
        <v>M. 2507/ Sumber Rejo</v>
      </c>
      <c r="D890" s="13" t="str">
        <f>IFERROR(__xludf.DUMMYFUNCTION("""COMPUTED_VALUE"""),"K/3/100125/1")</f>
        <v>K/3/100125/1</v>
      </c>
      <c r="E890" s="14" t="str">
        <f>IFERROR(__xludf.DUMMYFUNCTION("""COMPUTED_VALUE"""),"Nadian (BT)")</f>
        <v>Nadian (BT)</v>
      </c>
      <c r="F890" s="14" t="str">
        <f>IFERROR(__xludf.DUMMYFUNCTION("""COMPUTED_VALUE"""),"SELESAI")</f>
        <v>SELESAI</v>
      </c>
      <c r="G890" s="17">
        <f>IFERROR(__xludf.DUMMYFUNCTION("""COMPUTED_VALUE"""),45671.65392715277)</f>
        <v>45671.65393</v>
      </c>
      <c r="H890" s="14" t="str">
        <f>IFERROR(__xludf.DUMMYFUNCTION("""COMPUTED_VALUE"""),"Aprill (SU)")</f>
        <v>Aprill (SU)</v>
      </c>
      <c r="I890" s="13" t="str">
        <f>IFERROR(__xludf.DUMMYFUNCTION("""COMPUTED_VALUE"""),"SELESAI")</f>
        <v>SELESAI</v>
      </c>
      <c r="J890" s="17">
        <f>IFERROR(__xludf.DUMMYFUNCTION("""COMPUTED_VALUE"""),45679.45073041666)</f>
        <v>45679.45073</v>
      </c>
      <c r="K890" s="13" t="str">
        <f>IFERROR(__xludf.DUMMYFUNCTION("""COMPUTED_VALUE"""),"SELESAI")</f>
        <v>SELESAI</v>
      </c>
      <c r="L890" s="17">
        <f>IFERROR(__xludf.DUMMYFUNCTION("""COMPUTED_VALUE"""),45679.45073041666)</f>
        <v>45679.45073</v>
      </c>
      <c r="M890" s="17" t="str">
        <f>IFERROR(__xludf.DUMMYFUNCTION("""COMPUTED_VALUE"""),"")</f>
        <v/>
      </c>
      <c r="N890" s="17">
        <f>IFERROR(__xludf.DUMMYFUNCTION("""COMPUTED_VALUE"""),45679.45077510417)</f>
        <v>45679.45078</v>
      </c>
      <c r="O890" s="13">
        <f t="shared" si="1"/>
        <v>9</v>
      </c>
    </row>
    <row r="891" ht="22.5" customHeight="1">
      <c r="B891" s="13">
        <f>IFERROR(__xludf.DUMMYFUNCTION("""COMPUTED_VALUE"""),886.0)</f>
        <v>886</v>
      </c>
      <c r="C891" s="13" t="str">
        <f>IFERROR(__xludf.DUMMYFUNCTION("""COMPUTED_VALUE"""),"HM 14146/SUKARAME")</f>
        <v>HM 14146/SUKARAME</v>
      </c>
      <c r="D891" s="13" t="str">
        <f>IFERROR(__xludf.DUMMYFUNCTION("""COMPUTED_VALUE"""),"L/35/090125/1")</f>
        <v>L/35/090125/1</v>
      </c>
      <c r="E891" s="14" t="str">
        <f>IFERROR(__xludf.DUMMYFUNCTION("""COMPUTED_VALUE"""),"Afriza (BT)")</f>
        <v>Afriza (BT)</v>
      </c>
      <c r="F891" s="14" t="str">
        <f>IFERROR(__xludf.DUMMYFUNCTION("""COMPUTED_VALUE"""),"SELESAI")</f>
        <v>SELESAI</v>
      </c>
      <c r="G891" s="17">
        <f>IFERROR(__xludf.DUMMYFUNCTION("""COMPUTED_VALUE"""),45671.686719074074)</f>
        <v>45671.68672</v>
      </c>
      <c r="H891" s="14" t="str">
        <f>IFERROR(__xludf.DUMMYFUNCTION("""COMPUTED_VALUE"""),"Aprill (SU)")</f>
        <v>Aprill (SU)</v>
      </c>
      <c r="I891" s="13" t="str">
        <f>IFERROR(__xludf.DUMMYFUNCTION("""COMPUTED_VALUE"""),"SELESAI")</f>
        <v>SELESAI</v>
      </c>
      <c r="J891" s="17">
        <f>IFERROR(__xludf.DUMMYFUNCTION("""COMPUTED_VALUE"""),45679.46091230324)</f>
        <v>45679.46091</v>
      </c>
      <c r="K891" s="13" t="str">
        <f>IFERROR(__xludf.DUMMYFUNCTION("""COMPUTED_VALUE"""),"SELESAI")</f>
        <v>SELESAI</v>
      </c>
      <c r="L891" s="17">
        <f>IFERROR(__xludf.DUMMYFUNCTION("""COMPUTED_VALUE"""),45679.46091230324)</f>
        <v>45679.46091</v>
      </c>
      <c r="M891" s="17" t="str">
        <f>IFERROR(__xludf.DUMMYFUNCTION("""COMPUTED_VALUE"""),"")</f>
        <v/>
      </c>
      <c r="N891" s="17">
        <f>IFERROR(__xludf.DUMMYFUNCTION("""COMPUTED_VALUE"""),45679.46095228009)</f>
        <v>45679.46095</v>
      </c>
      <c r="O891" s="13">
        <f t="shared" si="1"/>
        <v>10</v>
      </c>
    </row>
    <row r="892" ht="22.5" customHeight="1">
      <c r="B892" s="13">
        <f>IFERROR(__xludf.DUMMYFUNCTION("""COMPUTED_VALUE"""),887.0)</f>
        <v>887</v>
      </c>
      <c r="C892" s="13" t="str">
        <f>IFERROR(__xludf.DUMMYFUNCTION("""COMPUTED_VALUE"""),"B. 1115/ Keteguhan")</f>
        <v>B. 1115/ Keteguhan</v>
      </c>
      <c r="D892" s="13" t="str">
        <f>IFERROR(__xludf.DUMMYFUNCTION("""COMPUTED_VALUE"""),"K/12/090125/1")</f>
        <v>K/12/090125/1</v>
      </c>
      <c r="E892" s="14" t="str">
        <f>IFERROR(__xludf.DUMMYFUNCTION("""COMPUTED_VALUE"""),"Afriza (BT)")</f>
        <v>Afriza (BT)</v>
      </c>
      <c r="F892" s="14" t="str">
        <f>IFERROR(__xludf.DUMMYFUNCTION("""COMPUTED_VALUE"""),"SELESAI")</f>
        <v>SELESAI</v>
      </c>
      <c r="G892" s="17">
        <f>IFERROR(__xludf.DUMMYFUNCTION("""COMPUTED_VALUE"""),45671.68770635416)</f>
        <v>45671.68771</v>
      </c>
      <c r="H892" s="14" t="str">
        <f>IFERROR(__xludf.DUMMYFUNCTION("""COMPUTED_VALUE"""),"Aprill (SU)")</f>
        <v>Aprill (SU)</v>
      </c>
      <c r="I892" s="13" t="str">
        <f>IFERROR(__xludf.DUMMYFUNCTION("""COMPUTED_VALUE"""),"SELESAI")</f>
        <v>SELESAI</v>
      </c>
      <c r="J892" s="17">
        <f>IFERROR(__xludf.DUMMYFUNCTION("""COMPUTED_VALUE"""),45679.451598831016)</f>
        <v>45679.4516</v>
      </c>
      <c r="K892" s="13" t="str">
        <f>IFERROR(__xludf.DUMMYFUNCTION("""COMPUTED_VALUE"""),"SELESAI")</f>
        <v>SELESAI</v>
      </c>
      <c r="L892" s="17">
        <f>IFERROR(__xludf.DUMMYFUNCTION("""COMPUTED_VALUE"""),45679.451598831016)</f>
        <v>45679.4516</v>
      </c>
      <c r="M892" s="17" t="str">
        <f>IFERROR(__xludf.DUMMYFUNCTION("""COMPUTED_VALUE"""),"")</f>
        <v/>
      </c>
      <c r="N892" s="17">
        <f>IFERROR(__xludf.DUMMYFUNCTION("""COMPUTED_VALUE"""),45679.451629884265)</f>
        <v>45679.45163</v>
      </c>
      <c r="O892" s="13">
        <f t="shared" si="1"/>
        <v>11</v>
      </c>
    </row>
    <row r="893" ht="22.5" customHeight="1">
      <c r="B893" s="13">
        <f>IFERROR(__xludf.DUMMYFUNCTION("""COMPUTED_VALUE"""),888.0)</f>
        <v>888</v>
      </c>
      <c r="C893" s="13" t="str">
        <f>IFERROR(__xludf.DUMMYFUNCTION("""COMPUTED_VALUE"""),"HM 2595/KOTA BARU")</f>
        <v>HM 2595/KOTA BARU</v>
      </c>
      <c r="D893" s="13" t="str">
        <f>IFERROR(__xludf.DUMMYFUNCTION("""COMPUTED_VALUE"""),"L/30/090125/1")</f>
        <v>L/30/090125/1</v>
      </c>
      <c r="E893" s="14" t="str">
        <f>IFERROR(__xludf.DUMMYFUNCTION("""COMPUTED_VALUE"""),"Afriza (BT)")</f>
        <v>Afriza (BT)</v>
      </c>
      <c r="F893" s="14" t="str">
        <f>IFERROR(__xludf.DUMMYFUNCTION("""COMPUTED_VALUE"""),"SELESAI")</f>
        <v>SELESAI</v>
      </c>
      <c r="G893" s="17">
        <f>IFERROR(__xludf.DUMMYFUNCTION("""COMPUTED_VALUE"""),45671.69217570602)</f>
        <v>45671.69218</v>
      </c>
      <c r="H893" s="14" t="str">
        <f>IFERROR(__xludf.DUMMYFUNCTION("""COMPUTED_VALUE"""),"Aprill (SU)")</f>
        <v>Aprill (SU)</v>
      </c>
      <c r="I893" s="13" t="str">
        <f>IFERROR(__xludf.DUMMYFUNCTION("""COMPUTED_VALUE"""),"SELESAI")</f>
        <v>SELESAI</v>
      </c>
      <c r="J893" s="17">
        <f>IFERROR(__xludf.DUMMYFUNCTION("""COMPUTED_VALUE"""),45679.45890252315)</f>
        <v>45679.4589</v>
      </c>
      <c r="K893" s="13" t="str">
        <f>IFERROR(__xludf.DUMMYFUNCTION("""COMPUTED_VALUE"""),"SELESAI")</f>
        <v>SELESAI</v>
      </c>
      <c r="L893" s="17">
        <f>IFERROR(__xludf.DUMMYFUNCTION("""COMPUTED_VALUE"""),45679.45890252315)</f>
        <v>45679.4589</v>
      </c>
      <c r="M893" s="17" t="str">
        <f>IFERROR(__xludf.DUMMYFUNCTION("""COMPUTED_VALUE"""),"")</f>
        <v/>
      </c>
      <c r="N893" s="17">
        <f>IFERROR(__xludf.DUMMYFUNCTION("""COMPUTED_VALUE"""),45679.45892988426)</f>
        <v>45679.45893</v>
      </c>
      <c r="O893" s="13">
        <f t="shared" si="1"/>
        <v>12</v>
      </c>
    </row>
    <row r="894" ht="22.5" customHeight="1">
      <c r="B894" s="13">
        <f>IFERROR(__xludf.DUMMYFUNCTION("""COMPUTED_VALUE"""),889.0)</f>
        <v>889</v>
      </c>
      <c r="C894" s="13" t="str">
        <f>IFERROR(__xludf.DUMMYFUNCTION("""COMPUTED_VALUE"""),"M. 2822/ Way Laga")</f>
        <v>M. 2822/ Way Laga</v>
      </c>
      <c r="D894" s="13" t="str">
        <f>IFERROR(__xludf.DUMMYFUNCTION("""COMPUTED_VALUE"""),"K/26/130125/2")</f>
        <v>K/26/130125/2</v>
      </c>
      <c r="E894" s="14" t="str">
        <f>IFERROR(__xludf.DUMMYFUNCTION("""COMPUTED_VALUE"""),"Afriza (BT)")</f>
        <v>Afriza (BT)</v>
      </c>
      <c r="F894" s="14" t="str">
        <f>IFERROR(__xludf.DUMMYFUNCTION("""COMPUTED_VALUE"""),"SELESAI")</f>
        <v>SELESAI</v>
      </c>
      <c r="G894" s="17">
        <f>IFERROR(__xludf.DUMMYFUNCTION("""COMPUTED_VALUE"""),45672.498206689816)</f>
        <v>45672.49821</v>
      </c>
      <c r="H894" s="14" t="str">
        <f>IFERROR(__xludf.DUMMYFUNCTION("""COMPUTED_VALUE"""),"Aprill (SU)")</f>
        <v>Aprill (SU)</v>
      </c>
      <c r="I894" s="13" t="str">
        <f>IFERROR(__xludf.DUMMYFUNCTION("""COMPUTED_VALUE"""),"SELESAI")</f>
        <v>SELESAI</v>
      </c>
      <c r="J894" s="17">
        <f>IFERROR(__xludf.DUMMYFUNCTION("""COMPUTED_VALUE"""),45679.44899331019)</f>
        <v>45679.44899</v>
      </c>
      <c r="K894" s="13" t="str">
        <f>IFERROR(__xludf.DUMMYFUNCTION("""COMPUTED_VALUE"""),"SELESAI")</f>
        <v>SELESAI</v>
      </c>
      <c r="L894" s="17">
        <f>IFERROR(__xludf.DUMMYFUNCTION("""COMPUTED_VALUE"""),45679.44899331019)</f>
        <v>45679.44899</v>
      </c>
      <c r="M894" s="17" t="str">
        <f>IFERROR(__xludf.DUMMYFUNCTION("""COMPUTED_VALUE"""),"")</f>
        <v/>
      </c>
      <c r="N894" s="17">
        <f>IFERROR(__xludf.DUMMYFUNCTION("""COMPUTED_VALUE"""),45679.44903069444)</f>
        <v>45679.44903</v>
      </c>
      <c r="O894" s="13">
        <f t="shared" si="1"/>
        <v>13</v>
      </c>
    </row>
    <row r="895" ht="22.5" customHeight="1">
      <c r="B895" s="13">
        <f>IFERROR(__xludf.DUMMYFUNCTION("""COMPUTED_VALUE"""),890.0)</f>
        <v>890</v>
      </c>
      <c r="C895" s="13" t="str">
        <f>IFERROR(__xludf.DUMMYFUNCTION("""COMPUTED_VALUE"""),"M.4589/WAY KANDIS")</f>
        <v>M.4589/WAY KANDIS</v>
      </c>
      <c r="D895" s="13" t="str">
        <f>IFERROR(__xludf.DUMMYFUNCTION("""COMPUTED_VALUE"""),"K/20/130125/1")</f>
        <v>K/20/130125/1</v>
      </c>
      <c r="E895" s="14" t="str">
        <f>IFERROR(__xludf.DUMMYFUNCTION("""COMPUTED_VALUE"""),"Afriza (BT)")</f>
        <v>Afriza (BT)</v>
      </c>
      <c r="F895" s="14" t="str">
        <f>IFERROR(__xludf.DUMMYFUNCTION("""COMPUTED_VALUE"""),"SELESAI")</f>
        <v>SELESAI</v>
      </c>
      <c r="G895" s="17">
        <f>IFERROR(__xludf.DUMMYFUNCTION("""COMPUTED_VALUE"""),45672.50068092592)</f>
        <v>45672.50068</v>
      </c>
      <c r="H895" s="14" t="str">
        <f>IFERROR(__xludf.DUMMYFUNCTION("""COMPUTED_VALUE"""),"Aprill (SU)")</f>
        <v>Aprill (SU)</v>
      </c>
      <c r="I895" s="13" t="str">
        <f>IFERROR(__xludf.DUMMYFUNCTION("""COMPUTED_VALUE"""),"SELESAI")</f>
        <v>SELESAI</v>
      </c>
      <c r="J895" s="17">
        <f>IFERROR(__xludf.DUMMYFUNCTION("""COMPUTED_VALUE"""),45679.456810868054)</f>
        <v>45679.45681</v>
      </c>
      <c r="K895" s="13" t="str">
        <f>IFERROR(__xludf.DUMMYFUNCTION("""COMPUTED_VALUE"""),"SELESAI")</f>
        <v>SELESAI</v>
      </c>
      <c r="L895" s="17">
        <f>IFERROR(__xludf.DUMMYFUNCTION("""COMPUTED_VALUE"""),45679.456810868054)</f>
        <v>45679.45681</v>
      </c>
      <c r="M895" s="17" t="str">
        <f>IFERROR(__xludf.DUMMYFUNCTION("""COMPUTED_VALUE"""),"")</f>
        <v/>
      </c>
      <c r="N895" s="17">
        <f>IFERROR(__xludf.DUMMYFUNCTION("""COMPUTED_VALUE"""),45679.45684934028)</f>
        <v>45679.45685</v>
      </c>
      <c r="O895" s="13">
        <f t="shared" si="1"/>
        <v>14</v>
      </c>
    </row>
    <row r="896" ht="22.5" customHeight="1">
      <c r="B896" s="13">
        <f>IFERROR(__xludf.DUMMYFUNCTION("""COMPUTED_VALUE"""),891.0)</f>
        <v>891</v>
      </c>
      <c r="C896" s="13" t="str">
        <f>IFERROR(__xludf.DUMMYFUNCTION("""COMPUTED_VALUE"""),"M. 13875/ Kedamaian")</f>
        <v>M. 13875/ Kedamaian</v>
      </c>
      <c r="D896" s="13" t="str">
        <f>IFERROR(__xludf.DUMMYFUNCTION("""COMPUTED_VALUE"""),"K/15/130125/1")</f>
        <v>K/15/130125/1</v>
      </c>
      <c r="E896" s="14" t="str">
        <f>IFERROR(__xludf.DUMMYFUNCTION("""COMPUTED_VALUE"""),"Afriza (BT)")</f>
        <v>Afriza (BT)</v>
      </c>
      <c r="F896" s="14" t="str">
        <f>IFERROR(__xludf.DUMMYFUNCTION("""COMPUTED_VALUE"""),"SELESAI")</f>
        <v>SELESAI</v>
      </c>
      <c r="G896" s="17">
        <f>IFERROR(__xludf.DUMMYFUNCTION("""COMPUTED_VALUE"""),45672.50451809028)</f>
        <v>45672.50452</v>
      </c>
      <c r="H896" s="14" t="str">
        <f>IFERROR(__xludf.DUMMYFUNCTION("""COMPUTED_VALUE"""),"Aprill (SU)")</f>
        <v>Aprill (SU)</v>
      </c>
      <c r="I896" s="13" t="str">
        <f>IFERROR(__xludf.DUMMYFUNCTION("""COMPUTED_VALUE"""),"SELESAI")</f>
        <v>SELESAI</v>
      </c>
      <c r="J896" s="17">
        <f>IFERROR(__xludf.DUMMYFUNCTION("""COMPUTED_VALUE"""),45679.45605300926)</f>
        <v>45679.45605</v>
      </c>
      <c r="K896" s="13" t="str">
        <f>IFERROR(__xludf.DUMMYFUNCTION("""COMPUTED_VALUE"""),"SELESAI")</f>
        <v>SELESAI</v>
      </c>
      <c r="L896" s="17">
        <f>IFERROR(__xludf.DUMMYFUNCTION("""COMPUTED_VALUE"""),45679.45605300926)</f>
        <v>45679.45605</v>
      </c>
      <c r="M896" s="17" t="str">
        <f>IFERROR(__xludf.DUMMYFUNCTION("""COMPUTED_VALUE"""),"")</f>
        <v/>
      </c>
      <c r="N896" s="17">
        <f>IFERROR(__xludf.DUMMYFUNCTION("""COMPUTED_VALUE"""),45679.456096875)</f>
        <v>45679.4561</v>
      </c>
      <c r="O896" s="13">
        <f t="shared" si="1"/>
        <v>15</v>
      </c>
    </row>
    <row r="897" ht="22.5" customHeight="1">
      <c r="B897" s="13">
        <f>IFERROR(__xludf.DUMMYFUNCTION("""COMPUTED_VALUE"""),892.0)</f>
        <v>892</v>
      </c>
      <c r="C897" s="13" t="str">
        <f>IFERROR(__xludf.DUMMYFUNCTION("""COMPUTED_VALUE"""),"HM 16056/SUKARAME")</f>
        <v>HM 16056/SUKARAME</v>
      </c>
      <c r="D897" s="13" t="str">
        <f>IFERROR(__xludf.DUMMYFUNCTION("""COMPUTED_VALUE"""),"L/14/130125/1")</f>
        <v>L/14/130125/1</v>
      </c>
      <c r="E897" s="14" t="str">
        <f>IFERROR(__xludf.DUMMYFUNCTION("""COMPUTED_VALUE"""),"Afriza (BT)")</f>
        <v>Afriza (BT)</v>
      </c>
      <c r="F897" s="14" t="str">
        <f>IFERROR(__xludf.DUMMYFUNCTION("""COMPUTED_VALUE"""),"SELESAI")</f>
        <v>SELESAI</v>
      </c>
      <c r="G897" s="17">
        <f>IFERROR(__xludf.DUMMYFUNCTION("""COMPUTED_VALUE"""),45672.5831307176)</f>
        <v>45672.58313</v>
      </c>
      <c r="H897" s="14" t="str">
        <f>IFERROR(__xludf.DUMMYFUNCTION("""COMPUTED_VALUE"""),"Aprill (SU)")</f>
        <v>Aprill (SU)</v>
      </c>
      <c r="I897" s="13" t="str">
        <f>IFERROR(__xludf.DUMMYFUNCTION("""COMPUTED_VALUE"""),"SELESAI")</f>
        <v>SELESAI</v>
      </c>
      <c r="J897" s="17">
        <f>IFERROR(__xludf.DUMMYFUNCTION("""COMPUTED_VALUE"""),45679.452216273145)</f>
        <v>45679.45222</v>
      </c>
      <c r="K897" s="13" t="str">
        <f>IFERROR(__xludf.DUMMYFUNCTION("""COMPUTED_VALUE"""),"SELESAI")</f>
        <v>SELESAI</v>
      </c>
      <c r="L897" s="17">
        <f>IFERROR(__xludf.DUMMYFUNCTION("""COMPUTED_VALUE"""),45679.452216273145)</f>
        <v>45679.45222</v>
      </c>
      <c r="M897" s="17" t="str">
        <f>IFERROR(__xludf.DUMMYFUNCTION("""COMPUTED_VALUE"""),"")</f>
        <v/>
      </c>
      <c r="N897" s="17">
        <f>IFERROR(__xludf.DUMMYFUNCTION("""COMPUTED_VALUE"""),45679.45236917824)</f>
        <v>45679.45237</v>
      </c>
      <c r="O897" s="13">
        <f t="shared" si="1"/>
        <v>16</v>
      </c>
    </row>
    <row r="898" ht="22.5" customHeight="1">
      <c r="B898" s="13">
        <f>IFERROR(__xludf.DUMMYFUNCTION("""COMPUTED_VALUE"""),893.0)</f>
        <v>893</v>
      </c>
      <c r="C898" s="13" t="str">
        <f>IFERROR(__xludf.DUMMYFUNCTION("""COMPUTED_VALUE"""),"M. 1147/ sepang Jaya")</f>
        <v>M. 1147/ sepang Jaya</v>
      </c>
      <c r="D898" s="13" t="str">
        <f>IFERROR(__xludf.DUMMYFUNCTION("""COMPUTED_VALUE"""),"K/6/130130/1")</f>
        <v>K/6/130130/1</v>
      </c>
      <c r="E898" s="14" t="str">
        <f>IFERROR(__xludf.DUMMYFUNCTION("""COMPUTED_VALUE"""),"Afriza (BT)")</f>
        <v>Afriza (BT)</v>
      </c>
      <c r="F898" s="14" t="str">
        <f>IFERROR(__xludf.DUMMYFUNCTION("""COMPUTED_VALUE"""),"SELESAI")</f>
        <v>SELESAI</v>
      </c>
      <c r="G898" s="17">
        <f>IFERROR(__xludf.DUMMYFUNCTION("""COMPUTED_VALUE"""),45672.58314328703)</f>
        <v>45672.58314</v>
      </c>
      <c r="H898" s="14" t="str">
        <f>IFERROR(__xludf.DUMMYFUNCTION("""COMPUTED_VALUE"""),"Aprill (SU)")</f>
        <v>Aprill (SU)</v>
      </c>
      <c r="I898" s="13" t="str">
        <f>IFERROR(__xludf.DUMMYFUNCTION("""COMPUTED_VALUE"""),"SELESAI")</f>
        <v>SELESAI</v>
      </c>
      <c r="J898" s="17">
        <f>IFERROR(__xludf.DUMMYFUNCTION("""COMPUTED_VALUE"""),45679.452256550925)</f>
        <v>45679.45226</v>
      </c>
      <c r="K898" s="13" t="str">
        <f>IFERROR(__xludf.DUMMYFUNCTION("""COMPUTED_VALUE"""),"SELESAI")</f>
        <v>SELESAI</v>
      </c>
      <c r="L898" s="17">
        <f>IFERROR(__xludf.DUMMYFUNCTION("""COMPUTED_VALUE"""),45679.452256550925)</f>
        <v>45679.45226</v>
      </c>
      <c r="M898" s="17" t="str">
        <f>IFERROR(__xludf.DUMMYFUNCTION("""COMPUTED_VALUE"""),"")</f>
        <v/>
      </c>
      <c r="N898" s="17">
        <f>IFERROR(__xludf.DUMMYFUNCTION("""COMPUTED_VALUE"""),45679.45237554398)</f>
        <v>45679.45238</v>
      </c>
      <c r="O898" s="13">
        <f t="shared" si="1"/>
        <v>17</v>
      </c>
    </row>
    <row r="899" ht="22.5" customHeight="1">
      <c r="B899" s="13">
        <f>IFERROR(__xludf.DUMMYFUNCTION("""COMPUTED_VALUE"""),894.0)</f>
        <v>894</v>
      </c>
      <c r="C899" s="13" t="str">
        <f>IFERROR(__xludf.DUMMYFUNCTION("""COMPUTED_VALUE"""),"M. 11739/ Rajabasa")</f>
        <v>M. 11739/ Rajabasa</v>
      </c>
      <c r="D899" s="13" t="str">
        <f>IFERROR(__xludf.DUMMYFUNCTION("""COMPUTED_VALUE"""),"K/17/130125/2")</f>
        <v>K/17/130125/2</v>
      </c>
      <c r="E899" s="14" t="str">
        <f>IFERROR(__xludf.DUMMYFUNCTION("""COMPUTED_VALUE"""),"Afriza (BT)")</f>
        <v>Afriza (BT)</v>
      </c>
      <c r="F899" s="14" t="str">
        <f>IFERROR(__xludf.DUMMYFUNCTION("""COMPUTED_VALUE"""),"SELESAI")</f>
        <v>SELESAI</v>
      </c>
      <c r="G899" s="17">
        <f>IFERROR(__xludf.DUMMYFUNCTION("""COMPUTED_VALUE"""),45672.59722043981)</f>
        <v>45672.59722</v>
      </c>
      <c r="H899" s="14" t="str">
        <f>IFERROR(__xludf.DUMMYFUNCTION("""COMPUTED_VALUE"""),"Aprill (SU)")</f>
        <v>Aprill (SU)</v>
      </c>
      <c r="I899" s="13" t="str">
        <f>IFERROR(__xludf.DUMMYFUNCTION("""COMPUTED_VALUE"""),"SELESAI")</f>
        <v>SELESAI</v>
      </c>
      <c r="J899" s="17">
        <f>IFERROR(__xludf.DUMMYFUNCTION("""COMPUTED_VALUE"""),45679.45925069445)</f>
        <v>45679.45925</v>
      </c>
      <c r="K899" s="13" t="str">
        <f>IFERROR(__xludf.DUMMYFUNCTION("""COMPUTED_VALUE"""),"SELESAI")</f>
        <v>SELESAI</v>
      </c>
      <c r="L899" s="17">
        <f>IFERROR(__xludf.DUMMYFUNCTION("""COMPUTED_VALUE"""),45679.45925069445)</f>
        <v>45679.45925</v>
      </c>
      <c r="M899" s="17" t="str">
        <f>IFERROR(__xludf.DUMMYFUNCTION("""COMPUTED_VALUE"""),"")</f>
        <v/>
      </c>
      <c r="N899" s="17">
        <f>IFERROR(__xludf.DUMMYFUNCTION("""COMPUTED_VALUE"""),45679.45928787037)</f>
        <v>45679.45929</v>
      </c>
      <c r="O899" s="13">
        <f t="shared" si="1"/>
        <v>18</v>
      </c>
    </row>
    <row r="900" ht="22.5" customHeight="1">
      <c r="B900" s="13">
        <f>IFERROR(__xludf.DUMMYFUNCTION("""COMPUTED_VALUE"""),895.0)</f>
        <v>895</v>
      </c>
      <c r="C900" s="13" t="str">
        <f>IFERROR(__xludf.DUMMYFUNCTION("""COMPUTED_VALUE"""),"M. 12016/ Labuhan Ratu")</f>
        <v>M. 12016/ Labuhan Ratu</v>
      </c>
      <c r="D900" s="13" t="str">
        <f>IFERROR(__xludf.DUMMYFUNCTION("""COMPUTED_VALUE"""),"K/19/130125/4")</f>
        <v>K/19/130125/4</v>
      </c>
      <c r="E900" s="14" t="str">
        <f>IFERROR(__xludf.DUMMYFUNCTION("""COMPUTED_VALUE"""),"Afriza (BT)")</f>
        <v>Afriza (BT)</v>
      </c>
      <c r="F900" s="14" t="str">
        <f>IFERROR(__xludf.DUMMYFUNCTION("""COMPUTED_VALUE"""),"SELESAI")</f>
        <v>SELESAI</v>
      </c>
      <c r="G900" s="17">
        <f>IFERROR(__xludf.DUMMYFUNCTION("""COMPUTED_VALUE"""),45672.597309432866)</f>
        <v>45672.59731</v>
      </c>
      <c r="H900" s="14" t="str">
        <f>IFERROR(__xludf.DUMMYFUNCTION("""COMPUTED_VALUE"""),"Aprill (SU)")</f>
        <v>Aprill (SU)</v>
      </c>
      <c r="I900" s="13" t="str">
        <f>IFERROR(__xludf.DUMMYFUNCTION("""COMPUTED_VALUE"""),"SELESAI")</f>
        <v>SELESAI</v>
      </c>
      <c r="J900" s="17">
        <f>IFERROR(__xludf.DUMMYFUNCTION("""COMPUTED_VALUE"""),45679.45189131945)</f>
        <v>45679.45189</v>
      </c>
      <c r="K900" s="13" t="str">
        <f>IFERROR(__xludf.DUMMYFUNCTION("""COMPUTED_VALUE"""),"SELESAI")</f>
        <v>SELESAI</v>
      </c>
      <c r="L900" s="17">
        <f>IFERROR(__xludf.DUMMYFUNCTION("""COMPUTED_VALUE"""),45679.45189131945)</f>
        <v>45679.45189</v>
      </c>
      <c r="M900" s="17" t="str">
        <f>IFERROR(__xludf.DUMMYFUNCTION("""COMPUTED_VALUE"""),"")</f>
        <v/>
      </c>
      <c r="N900" s="17">
        <f>IFERROR(__xludf.DUMMYFUNCTION("""COMPUTED_VALUE"""),45679.45193091435)</f>
        <v>45679.45193</v>
      </c>
      <c r="O900" s="13">
        <f t="shared" si="1"/>
        <v>19</v>
      </c>
    </row>
    <row r="901" ht="22.5" customHeight="1">
      <c r="B901" s="13">
        <f>IFERROR(__xludf.DUMMYFUNCTION("""COMPUTED_VALUE"""),896.0)</f>
        <v>896</v>
      </c>
      <c r="C901" s="13" t="str">
        <f>IFERROR(__xludf.DUMMYFUNCTION("""COMPUTED_VALUE"""),"M. 186/ Korpri Jaya")</f>
        <v>M. 186/ Korpri Jaya</v>
      </c>
      <c r="D901" s="13" t="str">
        <f>IFERROR(__xludf.DUMMYFUNCTION("""COMPUTED_VALUE"""),"K/22/130125/2")</f>
        <v>K/22/130125/2</v>
      </c>
      <c r="E901" s="14" t="str">
        <f>IFERROR(__xludf.DUMMYFUNCTION("""COMPUTED_VALUE"""),"Afriza (BT)")</f>
        <v>Afriza (BT)</v>
      </c>
      <c r="F901" s="14" t="str">
        <f>IFERROR(__xludf.DUMMYFUNCTION("""COMPUTED_VALUE"""),"SELESAI")</f>
        <v>SELESAI</v>
      </c>
      <c r="G901" s="17">
        <f>IFERROR(__xludf.DUMMYFUNCTION("""COMPUTED_VALUE"""),45672.600376608796)</f>
        <v>45672.60038</v>
      </c>
      <c r="H901" s="14" t="str">
        <f>IFERROR(__xludf.DUMMYFUNCTION("""COMPUTED_VALUE"""),"Aprill (SU)")</f>
        <v>Aprill (SU)</v>
      </c>
      <c r="I901" s="13" t="str">
        <f>IFERROR(__xludf.DUMMYFUNCTION("""COMPUTED_VALUE"""),"SELESAI")</f>
        <v>SELESAI</v>
      </c>
      <c r="J901" s="17">
        <f>IFERROR(__xludf.DUMMYFUNCTION("""COMPUTED_VALUE"""),45679.44996972222)</f>
        <v>45679.44997</v>
      </c>
      <c r="K901" s="13" t="str">
        <f>IFERROR(__xludf.DUMMYFUNCTION("""COMPUTED_VALUE"""),"SELESAI")</f>
        <v>SELESAI</v>
      </c>
      <c r="L901" s="17">
        <f>IFERROR(__xludf.DUMMYFUNCTION("""COMPUTED_VALUE"""),45679.44996972222)</f>
        <v>45679.44997</v>
      </c>
      <c r="M901" s="17" t="str">
        <f>IFERROR(__xludf.DUMMYFUNCTION("""COMPUTED_VALUE"""),"")</f>
        <v/>
      </c>
      <c r="N901" s="17">
        <f>IFERROR(__xludf.DUMMYFUNCTION("""COMPUTED_VALUE"""),45679.4499928125)</f>
        <v>45679.44999</v>
      </c>
      <c r="O901" s="13">
        <f t="shared" si="1"/>
        <v>20</v>
      </c>
    </row>
    <row r="902" ht="22.5" customHeight="1">
      <c r="B902" s="13">
        <f>IFERROR(__xludf.DUMMYFUNCTION("""COMPUTED_VALUE"""),897.0)</f>
        <v>897</v>
      </c>
      <c r="C902" s="13" t="str">
        <f>IFERROR(__xludf.DUMMYFUNCTION("""COMPUTED_VALUE"""),"M. 301/ Sukarame II")</f>
        <v>M. 301/ Sukarame II</v>
      </c>
      <c r="D902" s="13" t="str">
        <f>IFERROR(__xludf.DUMMYFUNCTION("""COMPUTED_VALUE"""),"K/15/140125/2")</f>
        <v>K/15/140125/2</v>
      </c>
      <c r="E902" s="14" t="str">
        <f>IFERROR(__xludf.DUMMYFUNCTION("""COMPUTED_VALUE"""),"Nadian (BT)")</f>
        <v>Nadian (BT)</v>
      </c>
      <c r="F902" s="14" t="str">
        <f>IFERROR(__xludf.DUMMYFUNCTION("""COMPUTED_VALUE"""),"SELESAI")</f>
        <v>SELESAI</v>
      </c>
      <c r="G902" s="17">
        <f>IFERROR(__xludf.DUMMYFUNCTION("""COMPUTED_VALUE"""),45672.69222350694)</f>
        <v>45672.69222</v>
      </c>
      <c r="H902" s="14" t="str">
        <f>IFERROR(__xludf.DUMMYFUNCTION("""COMPUTED_VALUE"""),"Aprill (SU)")</f>
        <v>Aprill (SU)</v>
      </c>
      <c r="I902" s="13" t="str">
        <f>IFERROR(__xludf.DUMMYFUNCTION("""COMPUTED_VALUE"""),"SELESAI")</f>
        <v>SELESAI</v>
      </c>
      <c r="J902" s="17">
        <f>IFERROR(__xludf.DUMMYFUNCTION("""COMPUTED_VALUE"""),45679.452752384255)</f>
        <v>45679.45275</v>
      </c>
      <c r="K902" s="13" t="str">
        <f>IFERROR(__xludf.DUMMYFUNCTION("""COMPUTED_VALUE"""),"SELESAI")</f>
        <v>SELESAI</v>
      </c>
      <c r="L902" s="17">
        <f>IFERROR(__xludf.DUMMYFUNCTION("""COMPUTED_VALUE"""),45679.452752384255)</f>
        <v>45679.45275</v>
      </c>
      <c r="M902" s="17" t="str">
        <f>IFERROR(__xludf.DUMMYFUNCTION("""COMPUTED_VALUE"""),"")</f>
        <v/>
      </c>
      <c r="N902" s="17">
        <f>IFERROR(__xludf.DUMMYFUNCTION("""COMPUTED_VALUE"""),45679.45277726852)</f>
        <v>45679.45278</v>
      </c>
      <c r="O902" s="13">
        <f t="shared" si="1"/>
        <v>21</v>
      </c>
    </row>
    <row r="903" ht="22.5" customHeight="1">
      <c r="B903" s="13">
        <f>IFERROR(__xludf.DUMMYFUNCTION("""COMPUTED_VALUE"""),898.0)</f>
        <v>898</v>
      </c>
      <c r="C903" s="13" t="str">
        <f>IFERROR(__xludf.DUMMYFUNCTION("""COMPUTED_VALUE"""),"HM 3557/TANJUNG SENANG")</f>
        <v>HM 3557/TANJUNG SENANG</v>
      </c>
      <c r="D903" s="13" t="str">
        <f>IFERROR(__xludf.DUMMYFUNCTION("""COMPUTED_VALUE"""),"L/4/140125/1")</f>
        <v>L/4/140125/1</v>
      </c>
      <c r="E903" s="14" t="str">
        <f>IFERROR(__xludf.DUMMYFUNCTION("""COMPUTED_VALUE"""),"Nadian (BT)")</f>
        <v>Nadian (BT)</v>
      </c>
      <c r="F903" s="14" t="str">
        <f>IFERROR(__xludf.DUMMYFUNCTION("""COMPUTED_VALUE"""),"SELESAI")</f>
        <v>SELESAI</v>
      </c>
      <c r="G903" s="17">
        <f>IFERROR(__xludf.DUMMYFUNCTION("""COMPUTED_VALUE"""),45672.69222351852)</f>
        <v>45672.69222</v>
      </c>
      <c r="H903" s="14" t="str">
        <f>IFERROR(__xludf.DUMMYFUNCTION("""COMPUTED_VALUE"""),"Aprill (SU)")</f>
        <v>Aprill (SU)</v>
      </c>
      <c r="I903" s="13" t="str">
        <f>IFERROR(__xludf.DUMMYFUNCTION("""COMPUTED_VALUE"""),"SELESAI")</f>
        <v>SELESAI</v>
      </c>
      <c r="J903" s="17">
        <f>IFERROR(__xludf.DUMMYFUNCTION("""COMPUTED_VALUE"""),45679.461924097224)</f>
        <v>45679.46192</v>
      </c>
      <c r="K903" s="13" t="str">
        <f>IFERROR(__xludf.DUMMYFUNCTION("""COMPUTED_VALUE"""),"SELESAI")</f>
        <v>SELESAI</v>
      </c>
      <c r="L903" s="17">
        <f>IFERROR(__xludf.DUMMYFUNCTION("""COMPUTED_VALUE"""),45679.461924097224)</f>
        <v>45679.46192</v>
      </c>
      <c r="M903" s="17" t="str">
        <f>IFERROR(__xludf.DUMMYFUNCTION("""COMPUTED_VALUE"""),"")</f>
        <v/>
      </c>
      <c r="N903" s="17">
        <f>IFERROR(__xludf.DUMMYFUNCTION("""COMPUTED_VALUE"""),45679.461985)</f>
        <v>45679.46199</v>
      </c>
      <c r="O903" s="13">
        <f t="shared" si="1"/>
        <v>22</v>
      </c>
    </row>
    <row r="904" ht="22.5" customHeight="1">
      <c r="B904" s="13">
        <f>IFERROR(__xludf.DUMMYFUNCTION("""COMPUTED_VALUE"""),899.0)</f>
        <v>899</v>
      </c>
      <c r="C904" s="13" t="str">
        <f>IFERROR(__xludf.DUMMYFUNCTION("""COMPUTED_VALUE"""),"M. 14260/ Segala Mider")</f>
        <v>M. 14260/ Segala Mider</v>
      </c>
      <c r="D904" s="13" t="str">
        <f>IFERROR(__xludf.DUMMYFUNCTION("""COMPUTED_VALUE"""),"K/31/130125/1")</f>
        <v>K/31/130125/1</v>
      </c>
      <c r="E904" s="14" t="str">
        <f>IFERROR(__xludf.DUMMYFUNCTION("""COMPUTED_VALUE"""),"Nadian (BT)")</f>
        <v>Nadian (BT)</v>
      </c>
      <c r="F904" s="14" t="str">
        <f>IFERROR(__xludf.DUMMYFUNCTION("""COMPUTED_VALUE"""),"SELESAI")</f>
        <v>SELESAI</v>
      </c>
      <c r="G904" s="17">
        <f>IFERROR(__xludf.DUMMYFUNCTION("""COMPUTED_VALUE"""),45672.69222351852)</f>
        <v>45672.69222</v>
      </c>
      <c r="H904" s="14" t="str">
        <f>IFERROR(__xludf.DUMMYFUNCTION("""COMPUTED_VALUE"""),"Aprill (SU)")</f>
        <v>Aprill (SU)</v>
      </c>
      <c r="I904" s="13" t="str">
        <f>IFERROR(__xludf.DUMMYFUNCTION("""COMPUTED_VALUE"""),"SELESAI")</f>
        <v>SELESAI</v>
      </c>
      <c r="J904" s="17">
        <f>IFERROR(__xludf.DUMMYFUNCTION("""COMPUTED_VALUE"""),45679.46195320602)</f>
        <v>45679.46195</v>
      </c>
      <c r="K904" s="13" t="str">
        <f>IFERROR(__xludf.DUMMYFUNCTION("""COMPUTED_VALUE"""),"SELESAI")</f>
        <v>SELESAI</v>
      </c>
      <c r="L904" s="17">
        <f>IFERROR(__xludf.DUMMYFUNCTION("""COMPUTED_VALUE"""),45679.46195320602)</f>
        <v>45679.46195</v>
      </c>
      <c r="M904" s="17" t="str">
        <f>IFERROR(__xludf.DUMMYFUNCTION("""COMPUTED_VALUE"""),"")</f>
        <v/>
      </c>
      <c r="N904" s="17">
        <f>IFERROR(__xludf.DUMMYFUNCTION("""COMPUTED_VALUE"""),45679.4619925)</f>
        <v>45679.46199</v>
      </c>
      <c r="O904" s="13">
        <f t="shared" si="1"/>
        <v>23</v>
      </c>
    </row>
    <row r="905" ht="22.5" customHeight="1">
      <c r="B905" s="13">
        <f>IFERROR(__xludf.DUMMYFUNCTION("""COMPUTED_VALUE"""),900.0)</f>
        <v>900</v>
      </c>
      <c r="C905" s="13" t="str">
        <f>IFERROR(__xludf.DUMMYFUNCTION("""COMPUTED_VALUE"""),"M. 818/ Pasir Gintung")</f>
        <v>M. 818/ Pasir Gintung</v>
      </c>
      <c r="D905" s="13" t="str">
        <f>IFERROR(__xludf.DUMMYFUNCTION("""COMPUTED_VALUE"""),"K/28/130125/1")</f>
        <v>K/28/130125/1</v>
      </c>
      <c r="E905" s="14" t="str">
        <f>IFERROR(__xludf.DUMMYFUNCTION("""COMPUTED_VALUE"""),"Nadian (BT)")</f>
        <v>Nadian (BT)</v>
      </c>
      <c r="F905" s="14" t="str">
        <f>IFERROR(__xludf.DUMMYFUNCTION("""COMPUTED_VALUE"""),"SELESAI")</f>
        <v>SELESAI</v>
      </c>
      <c r="G905" s="17">
        <f>IFERROR(__xludf.DUMMYFUNCTION("""COMPUTED_VALUE"""),45672.69222351852)</f>
        <v>45672.69222</v>
      </c>
      <c r="H905" s="14" t="str">
        <f>IFERROR(__xludf.DUMMYFUNCTION("""COMPUTED_VALUE"""),"Aprill (SU)")</f>
        <v>Aprill (SU)</v>
      </c>
      <c r="I905" s="13" t="str">
        <f>IFERROR(__xludf.DUMMYFUNCTION("""COMPUTED_VALUE"""),"SELESAI")</f>
        <v>SELESAI</v>
      </c>
      <c r="J905" s="17">
        <f>IFERROR(__xludf.DUMMYFUNCTION("""COMPUTED_VALUE"""),45679.46149673611)</f>
        <v>45679.4615</v>
      </c>
      <c r="K905" s="13" t="str">
        <f>IFERROR(__xludf.DUMMYFUNCTION("""COMPUTED_VALUE"""),"SELESAI")</f>
        <v>SELESAI</v>
      </c>
      <c r="L905" s="17">
        <f>IFERROR(__xludf.DUMMYFUNCTION("""COMPUTED_VALUE"""),45679.46149673611)</f>
        <v>45679.4615</v>
      </c>
      <c r="M905" s="17" t="str">
        <f>IFERROR(__xludf.DUMMYFUNCTION("""COMPUTED_VALUE"""),"")</f>
        <v/>
      </c>
      <c r="N905" s="17">
        <f>IFERROR(__xludf.DUMMYFUNCTION("""COMPUTED_VALUE"""),45679.46153141204)</f>
        <v>45679.46153</v>
      </c>
      <c r="O905" s="13">
        <f t="shared" si="1"/>
        <v>24</v>
      </c>
    </row>
    <row r="906" ht="22.5" customHeight="1">
      <c r="B906" s="13">
        <f>IFERROR(__xludf.DUMMYFUNCTION("""COMPUTED_VALUE"""),901.0)</f>
        <v>901</v>
      </c>
      <c r="C906" s="13" t="str">
        <f>IFERROR(__xludf.DUMMYFUNCTION("""COMPUTED_VALUE"""),"HGB 678/KEDAMAIAN")</f>
        <v>HGB 678/KEDAMAIAN</v>
      </c>
      <c r="D906" s="13" t="str">
        <f>IFERROR(__xludf.DUMMYFUNCTION("""COMPUTED_VALUE"""),"L/2/080125/1")</f>
        <v>L/2/080125/1</v>
      </c>
      <c r="E906" s="14" t="str">
        <f>IFERROR(__xludf.DUMMYFUNCTION("""COMPUTED_VALUE"""),"Nadian (BT)")</f>
        <v>Nadian (BT)</v>
      </c>
      <c r="F906" s="14" t="str">
        <f>IFERROR(__xludf.DUMMYFUNCTION("""COMPUTED_VALUE"""),"SELESAI")</f>
        <v>SELESAI</v>
      </c>
      <c r="G906" s="17">
        <f>IFERROR(__xludf.DUMMYFUNCTION("""COMPUTED_VALUE"""),45672.69222351852)</f>
        <v>45672.69222</v>
      </c>
      <c r="H906" s="14" t="str">
        <f>IFERROR(__xludf.DUMMYFUNCTION("""COMPUTED_VALUE"""),"Aprill (SU)")</f>
        <v>Aprill (SU)</v>
      </c>
      <c r="I906" s="13" t="str">
        <f>IFERROR(__xludf.DUMMYFUNCTION("""COMPUTED_VALUE"""),"SELESAI")</f>
        <v>SELESAI</v>
      </c>
      <c r="J906" s="17">
        <f>IFERROR(__xludf.DUMMYFUNCTION("""COMPUTED_VALUE"""),45679.46123408565)</f>
        <v>45679.46123</v>
      </c>
      <c r="K906" s="13" t="str">
        <f>IFERROR(__xludf.DUMMYFUNCTION("""COMPUTED_VALUE"""),"SELESAI")</f>
        <v>SELESAI</v>
      </c>
      <c r="L906" s="17">
        <f>IFERROR(__xludf.DUMMYFUNCTION("""COMPUTED_VALUE"""),45679.46123408565)</f>
        <v>45679.46123</v>
      </c>
      <c r="M906" s="17" t="str">
        <f>IFERROR(__xludf.DUMMYFUNCTION("""COMPUTED_VALUE"""),"")</f>
        <v/>
      </c>
      <c r="N906" s="17">
        <f>IFERROR(__xludf.DUMMYFUNCTION("""COMPUTED_VALUE"""),45679.4611940162)</f>
        <v>45679.46119</v>
      </c>
      <c r="O906" s="13">
        <f t="shared" si="1"/>
        <v>25</v>
      </c>
    </row>
    <row r="907" ht="22.5" customHeight="1">
      <c r="B907" s="13">
        <f>IFERROR(__xludf.DUMMYFUNCTION("""COMPUTED_VALUE"""),902.0)</f>
        <v>902</v>
      </c>
      <c r="C907" s="13" t="str">
        <f>IFERROR(__xludf.DUMMYFUNCTION("""COMPUTED_VALUE"""),"M. 13754/LABUHAN RATU")</f>
        <v>M. 13754/LABUHAN RATU</v>
      </c>
      <c r="D907" s="13" t="str">
        <f>IFERROR(__xludf.DUMMYFUNCTION("""COMPUTED_VALUE"""),"L/1/110125/PELATARAN")</f>
        <v>L/1/110125/PELATARAN</v>
      </c>
      <c r="E907" s="14" t="str">
        <f>IFERROR(__xludf.DUMMYFUNCTION("""COMPUTED_VALUE"""),"Nadian (BT)")</f>
        <v>Nadian (BT)</v>
      </c>
      <c r="F907" s="14" t="str">
        <f>IFERROR(__xludf.DUMMYFUNCTION("""COMPUTED_VALUE"""),"SELESAI (VIA PERMOHONAN)")</f>
        <v>SELESAI (VIA PERMOHONAN)</v>
      </c>
      <c r="G907" s="17">
        <f>IFERROR(__xludf.DUMMYFUNCTION("""COMPUTED_VALUE"""),45672.69222351852)</f>
        <v>45672.69222</v>
      </c>
      <c r="H907" s="14" t="str">
        <f>IFERROR(__xludf.DUMMYFUNCTION("""COMPUTED_VALUE"""),"Bu Eva (SU)")</f>
        <v>Bu Eva (SU)</v>
      </c>
      <c r="I907" s="13" t="str">
        <f>IFERROR(__xludf.DUMMYFUNCTION("""COMPUTED_VALUE"""),"SELESAI (VIA PERMOHONAN)")</f>
        <v>SELESAI (VIA PERMOHONAN)</v>
      </c>
      <c r="J907" s="17">
        <f>IFERROR(__xludf.DUMMYFUNCTION("""COMPUTED_VALUE"""),45674.65638680555)</f>
        <v>45674.65639</v>
      </c>
      <c r="K907" s="13" t="str">
        <f>IFERROR(__xludf.DUMMYFUNCTION("""COMPUTED_VALUE"""),"Selesai")</f>
        <v>Selesai</v>
      </c>
      <c r="L907" s="17">
        <f>IFERROR(__xludf.DUMMYFUNCTION("""COMPUTED_VALUE"""),45674.65638680555)</f>
        <v>45674.65639</v>
      </c>
      <c r="M907" s="17">
        <f>IFERROR(__xludf.DUMMYFUNCTION("""COMPUTED_VALUE"""),45674.65638680555)</f>
        <v>45674.65639</v>
      </c>
      <c r="N907" s="13" t="str">
        <f>IFERROR(__xludf.DUMMYFUNCTION("""COMPUTED_VALUE"""),"")</f>
        <v/>
      </c>
      <c r="O907" s="13" t="str">
        <f t="shared" si="1"/>
        <v/>
      </c>
    </row>
    <row r="908" ht="22.5" customHeight="1">
      <c r="B908" s="13">
        <f>IFERROR(__xludf.DUMMYFUNCTION("""COMPUTED_VALUE"""),903.0)</f>
        <v>903</v>
      </c>
      <c r="C908" s="13" t="str">
        <f>IFERROR(__xludf.DUMMYFUNCTION("""COMPUTED_VALUE"""),"M.120/GEDONG MENENG BARU")</f>
        <v>M.120/GEDONG MENENG BARU</v>
      </c>
      <c r="D908" s="13" t="str">
        <f>IFERROR(__xludf.DUMMYFUNCTION("""COMPUTED_VALUE"""),"K/16/080125/1")</f>
        <v>K/16/080125/1</v>
      </c>
      <c r="E908" s="14" t="str">
        <f>IFERROR(__xludf.DUMMYFUNCTION("""COMPUTED_VALUE"""),"Nadian (BT)")</f>
        <v>Nadian (BT)</v>
      </c>
      <c r="F908" s="14" t="str">
        <f>IFERROR(__xludf.DUMMYFUNCTION("""COMPUTED_VALUE"""),"SELESAI (VIA PERMOHONAN)")</f>
        <v>SELESAI (VIA PERMOHONAN)</v>
      </c>
      <c r="G908" s="17">
        <f>IFERROR(__xludf.DUMMYFUNCTION("""COMPUTED_VALUE"""),45672.69222351852)</f>
        <v>45672.69222</v>
      </c>
      <c r="H908" s="14" t="str">
        <f>IFERROR(__xludf.DUMMYFUNCTION("""COMPUTED_VALUE"""),"Bu Eva (SU)")</f>
        <v>Bu Eva (SU)</v>
      </c>
      <c r="I908" s="13" t="str">
        <f>IFERROR(__xludf.DUMMYFUNCTION("""COMPUTED_VALUE"""),"SELESAI (VIA PERMOHONAN)")</f>
        <v>SELESAI (VIA PERMOHONAN)</v>
      </c>
      <c r="J908" s="17">
        <f>IFERROR(__xludf.DUMMYFUNCTION("""COMPUTED_VALUE"""),45674.65638680555)</f>
        <v>45674.65639</v>
      </c>
      <c r="K908" s="13" t="str">
        <f>IFERROR(__xludf.DUMMYFUNCTION("""COMPUTED_VALUE"""),"Selesai")</f>
        <v>Selesai</v>
      </c>
      <c r="L908" s="17">
        <f>IFERROR(__xludf.DUMMYFUNCTION("""COMPUTED_VALUE"""),45674.65638680555)</f>
        <v>45674.65639</v>
      </c>
      <c r="M908" s="17">
        <f>IFERROR(__xludf.DUMMYFUNCTION("""COMPUTED_VALUE"""),45674.65638680555)</f>
        <v>45674.65639</v>
      </c>
      <c r="N908" s="13" t="str">
        <f>IFERROR(__xludf.DUMMYFUNCTION("""COMPUTED_VALUE"""),"")</f>
        <v/>
      </c>
      <c r="O908" s="13" t="str">
        <f t="shared" si="1"/>
        <v/>
      </c>
    </row>
    <row r="909" ht="22.5" customHeight="1">
      <c r="B909" s="13">
        <f>IFERROR(__xludf.DUMMYFUNCTION("""COMPUTED_VALUE"""),904.0)</f>
        <v>904</v>
      </c>
      <c r="C909" s="13" t="str">
        <f>IFERROR(__xludf.DUMMYFUNCTION("""COMPUTED_VALUE"""),"M.5144/RAJABASA JAYA")</f>
        <v>M.5144/RAJABASA JAYA</v>
      </c>
      <c r="D909" s="13" t="str">
        <f>IFERROR(__xludf.DUMMYFUNCTION("""COMPUTED_VALUE"""),"K/26/090125/1")</f>
        <v>K/26/090125/1</v>
      </c>
      <c r="E909" s="14" t="str">
        <f>IFERROR(__xludf.DUMMYFUNCTION("""COMPUTED_VALUE"""),"Nadian (BT)")</f>
        <v>Nadian (BT)</v>
      </c>
      <c r="F909" s="14" t="str">
        <f>IFERROR(__xludf.DUMMYFUNCTION("""COMPUTED_VALUE"""),"SELESAI (VIA PERMOHONAN)")</f>
        <v>SELESAI (VIA PERMOHONAN)</v>
      </c>
      <c r="G909" s="17">
        <f>IFERROR(__xludf.DUMMYFUNCTION("""COMPUTED_VALUE"""),45672.69222351852)</f>
        <v>45672.69222</v>
      </c>
      <c r="H909" s="14" t="str">
        <f>IFERROR(__xludf.DUMMYFUNCTION("""COMPUTED_VALUE"""),"Bu Eva (SU)")</f>
        <v>Bu Eva (SU)</v>
      </c>
      <c r="I909" s="13" t="str">
        <f>IFERROR(__xludf.DUMMYFUNCTION("""COMPUTED_VALUE"""),"SELESAI (VIA PERMOHONAN)")</f>
        <v>SELESAI (VIA PERMOHONAN)</v>
      </c>
      <c r="J909" s="17">
        <f>IFERROR(__xludf.DUMMYFUNCTION("""COMPUTED_VALUE"""),45674.65638680555)</f>
        <v>45674.65639</v>
      </c>
      <c r="K909" s="13" t="str">
        <f>IFERROR(__xludf.DUMMYFUNCTION("""COMPUTED_VALUE"""),"Selesai")</f>
        <v>Selesai</v>
      </c>
      <c r="L909" s="17">
        <f>IFERROR(__xludf.DUMMYFUNCTION("""COMPUTED_VALUE"""),45674.65638680555)</f>
        <v>45674.65639</v>
      </c>
      <c r="M909" s="17">
        <f>IFERROR(__xludf.DUMMYFUNCTION("""COMPUTED_VALUE"""),45674.65638680555)</f>
        <v>45674.65639</v>
      </c>
      <c r="N909" s="13" t="str">
        <f>IFERROR(__xludf.DUMMYFUNCTION("""COMPUTED_VALUE"""),"")</f>
        <v/>
      </c>
      <c r="O909" s="13" t="str">
        <f t="shared" si="1"/>
        <v/>
      </c>
    </row>
    <row r="910" ht="22.5" customHeight="1">
      <c r="B910" s="13">
        <f>IFERROR(__xludf.DUMMYFUNCTION("""COMPUTED_VALUE"""),905.0)</f>
        <v>905</v>
      </c>
      <c r="C910" s="13" t="str">
        <f>IFERROR(__xludf.DUMMYFUNCTION("""COMPUTED_VALUE"""),"HGB 130/PWK")</f>
        <v>HGB 130/PWK</v>
      </c>
      <c r="D910" s="13" t="str">
        <f>IFERROR(__xludf.DUMMYFUNCTION("""COMPUTED_VALUE"""),"L/6/100125/1")</f>
        <v>L/6/100125/1</v>
      </c>
      <c r="E910" s="14" t="str">
        <f>IFERROR(__xludf.DUMMYFUNCTION("""COMPUTED_VALUE"""),"Nadian (BT)")</f>
        <v>Nadian (BT)</v>
      </c>
      <c r="F910" s="14" t="str">
        <f>IFERROR(__xludf.DUMMYFUNCTION("""COMPUTED_VALUE"""),"SELESAI (VIA PERMOHONAN)")</f>
        <v>SELESAI (VIA PERMOHONAN)</v>
      </c>
      <c r="G910" s="17">
        <f>IFERROR(__xludf.DUMMYFUNCTION("""COMPUTED_VALUE"""),45672.69222351852)</f>
        <v>45672.69222</v>
      </c>
      <c r="H910" s="14" t="str">
        <f>IFERROR(__xludf.DUMMYFUNCTION("""COMPUTED_VALUE"""),"Bu Eva (SU)")</f>
        <v>Bu Eva (SU)</v>
      </c>
      <c r="I910" s="13" t="str">
        <f>IFERROR(__xludf.DUMMYFUNCTION("""COMPUTED_VALUE"""),"SELESAI (VIA PERMOHONAN)")</f>
        <v>SELESAI (VIA PERMOHONAN)</v>
      </c>
      <c r="J910" s="17">
        <f>IFERROR(__xludf.DUMMYFUNCTION("""COMPUTED_VALUE"""),45674.65638680555)</f>
        <v>45674.65639</v>
      </c>
      <c r="K910" s="13" t="str">
        <f>IFERROR(__xludf.DUMMYFUNCTION("""COMPUTED_VALUE"""),"Selesai")</f>
        <v>Selesai</v>
      </c>
      <c r="L910" s="17">
        <f>IFERROR(__xludf.DUMMYFUNCTION("""COMPUTED_VALUE"""),45674.65638680555)</f>
        <v>45674.65639</v>
      </c>
      <c r="M910" s="17">
        <f>IFERROR(__xludf.DUMMYFUNCTION("""COMPUTED_VALUE"""),45674.65638984954)</f>
        <v>45674.65639</v>
      </c>
      <c r="N910" s="13" t="str">
        <f>IFERROR(__xludf.DUMMYFUNCTION("""COMPUTED_VALUE"""),"")</f>
        <v/>
      </c>
      <c r="O910" s="13" t="str">
        <f t="shared" si="1"/>
        <v/>
      </c>
    </row>
    <row r="911" ht="22.5" customHeight="1">
      <c r="B911" s="13">
        <f>IFERROR(__xludf.DUMMYFUNCTION("""COMPUTED_VALUE"""),906.0)</f>
        <v>906</v>
      </c>
      <c r="C911" s="13" t="str">
        <f>IFERROR(__xludf.DUMMYFUNCTION("""COMPUTED_VALUE"""),"M. 501/ Campang Jaya")</f>
        <v>M. 501/ Campang Jaya</v>
      </c>
      <c r="D911" s="13" t="str">
        <f>IFERROR(__xludf.DUMMYFUNCTION("""COMPUTED_VALUE"""),"K/9/130125/1")</f>
        <v>K/9/130125/1</v>
      </c>
      <c r="E911" s="14" t="str">
        <f>IFERROR(__xludf.DUMMYFUNCTION("""COMPUTED_VALUE"""),"Afriza (BT)")</f>
        <v>Afriza (BT)</v>
      </c>
      <c r="F911" s="14" t="str">
        <f>IFERROR(__xludf.DUMMYFUNCTION("""COMPUTED_VALUE"""),"SELESAI (VIA PERMOHONAN)")</f>
        <v>SELESAI (VIA PERMOHONAN)</v>
      </c>
      <c r="G911" s="17">
        <f>IFERROR(__xludf.DUMMYFUNCTION("""COMPUTED_VALUE"""),45673.40432381944)</f>
        <v>45673.40432</v>
      </c>
      <c r="H911" s="14" t="str">
        <f>IFERROR(__xludf.DUMMYFUNCTION("""COMPUTED_VALUE"""),"Bu Eva (SU)")</f>
        <v>Bu Eva (SU)</v>
      </c>
      <c r="I911" s="13" t="str">
        <f>IFERROR(__xludf.DUMMYFUNCTION("""COMPUTED_VALUE"""),"SELESAI (VIA PERMOHONAN)")</f>
        <v>SELESAI (VIA PERMOHONAN)</v>
      </c>
      <c r="J911" s="17">
        <f>IFERROR(__xludf.DUMMYFUNCTION("""COMPUTED_VALUE"""),45674.65638680555)</f>
        <v>45674.65639</v>
      </c>
      <c r="K911" s="13" t="str">
        <f>IFERROR(__xludf.DUMMYFUNCTION("""COMPUTED_VALUE"""),"Selesai")</f>
        <v>Selesai</v>
      </c>
      <c r="L911" s="17">
        <f>IFERROR(__xludf.DUMMYFUNCTION("""COMPUTED_VALUE"""),45674.65638680555)</f>
        <v>45674.65639</v>
      </c>
      <c r="M911" s="17">
        <f>IFERROR(__xludf.DUMMYFUNCTION("""COMPUTED_VALUE"""),45674.65639646991)</f>
        <v>45674.6564</v>
      </c>
      <c r="N911" s="13" t="str">
        <f>IFERROR(__xludf.DUMMYFUNCTION("""COMPUTED_VALUE"""),"")</f>
        <v/>
      </c>
      <c r="O911" s="13" t="str">
        <f t="shared" si="1"/>
        <v/>
      </c>
    </row>
    <row r="912" ht="22.5" customHeight="1">
      <c r="B912" s="13">
        <f>IFERROR(__xludf.DUMMYFUNCTION("""COMPUTED_VALUE"""),907.0)</f>
        <v>907</v>
      </c>
      <c r="C912" s="13" t="str">
        <f>IFERROR(__xludf.DUMMYFUNCTION("""COMPUTED_VALUE"""),"HM 802/JAGABAYA III")</f>
        <v>HM 802/JAGABAYA III</v>
      </c>
      <c r="D912" s="13" t="str">
        <f>IFERROR(__xludf.DUMMYFUNCTION("""COMPUTED_VALUE"""),"L/50/181124/1")</f>
        <v>L/50/181124/1</v>
      </c>
      <c r="E912" s="14" t="str">
        <f>IFERROR(__xludf.DUMMYFUNCTION("""COMPUTED_VALUE"""),"Afriza (BT)")</f>
        <v>Afriza (BT)</v>
      </c>
      <c r="F912" s="14" t="str">
        <f>IFERROR(__xludf.DUMMYFUNCTION("""COMPUTED_VALUE"""),"SELESAI (VIA PERMOHONAN)")</f>
        <v>SELESAI (VIA PERMOHONAN)</v>
      </c>
      <c r="G912" s="17">
        <f>IFERROR(__xludf.DUMMYFUNCTION("""COMPUTED_VALUE"""),45673.49094012732)</f>
        <v>45673.49094</v>
      </c>
      <c r="H912" s="14" t="str">
        <f>IFERROR(__xludf.DUMMYFUNCTION("""COMPUTED_VALUE"""),"Bu Eva (SU)")</f>
        <v>Bu Eva (SU)</v>
      </c>
      <c r="I912" s="13" t="str">
        <f>IFERROR(__xludf.DUMMYFUNCTION("""COMPUTED_VALUE"""),"SELESAI (VIA PERMOHONAN)")</f>
        <v>SELESAI (VIA PERMOHONAN)</v>
      </c>
      <c r="J912" s="17">
        <f>IFERROR(__xludf.DUMMYFUNCTION("""COMPUTED_VALUE"""),45674.65638680555)</f>
        <v>45674.65639</v>
      </c>
      <c r="K912" s="13" t="str">
        <f>IFERROR(__xludf.DUMMYFUNCTION("""COMPUTED_VALUE"""),"Selesai")</f>
        <v>Selesai</v>
      </c>
      <c r="L912" s="17">
        <f>IFERROR(__xludf.DUMMYFUNCTION("""COMPUTED_VALUE"""),45674.65638680555)</f>
        <v>45674.65639</v>
      </c>
      <c r="M912" s="17">
        <f>IFERROR(__xludf.DUMMYFUNCTION("""COMPUTED_VALUE"""),45674.65640703704)</f>
        <v>45674.65641</v>
      </c>
      <c r="N912" s="13" t="str">
        <f>IFERROR(__xludf.DUMMYFUNCTION("""COMPUTED_VALUE"""),"")</f>
        <v/>
      </c>
      <c r="O912" s="13" t="str">
        <f t="shared" si="1"/>
        <v/>
      </c>
    </row>
    <row r="913" ht="22.5" customHeight="1">
      <c r="B913" s="13">
        <f>IFERROR(__xludf.DUMMYFUNCTION("""COMPUTED_VALUE"""),908.0)</f>
        <v>908</v>
      </c>
      <c r="C913" s="13" t="str">
        <f>IFERROR(__xludf.DUMMYFUNCTION("""COMPUTED_VALUE"""),"M. 435/ Way Dadi")</f>
        <v>M. 435/ Way Dadi</v>
      </c>
      <c r="D913" s="13" t="str">
        <f>IFERROR(__xludf.DUMMYFUNCTION("""COMPUTED_VALUE"""),"L/1/050125/1")</f>
        <v>L/1/050125/1</v>
      </c>
      <c r="E913" s="14" t="str">
        <f>IFERROR(__xludf.DUMMYFUNCTION("""COMPUTED_VALUE"""),"Afriza (BT)")</f>
        <v>Afriza (BT)</v>
      </c>
      <c r="F913" s="14" t="str">
        <f>IFERROR(__xludf.DUMMYFUNCTION("""COMPUTED_VALUE"""),"SELESAI (VIA PERMOHONAN)")</f>
        <v>SELESAI (VIA PERMOHONAN)</v>
      </c>
      <c r="G913" s="17">
        <f>IFERROR(__xludf.DUMMYFUNCTION("""COMPUTED_VALUE"""),45673.4955268287)</f>
        <v>45673.49553</v>
      </c>
      <c r="H913" s="14" t="str">
        <f>IFERROR(__xludf.DUMMYFUNCTION("""COMPUTED_VALUE"""),"Bu Eva (SU)")</f>
        <v>Bu Eva (SU)</v>
      </c>
      <c r="I913" s="13" t="str">
        <f>IFERROR(__xludf.DUMMYFUNCTION("""COMPUTED_VALUE"""),"SELESAI (VIA PERMOHONAN)")</f>
        <v>SELESAI (VIA PERMOHONAN)</v>
      </c>
      <c r="J913" s="17">
        <f>IFERROR(__xludf.DUMMYFUNCTION("""COMPUTED_VALUE"""),45674.65638680555)</f>
        <v>45674.65639</v>
      </c>
      <c r="K913" s="13" t="str">
        <f>IFERROR(__xludf.DUMMYFUNCTION("""COMPUTED_VALUE"""),"Selesai")</f>
        <v>Selesai</v>
      </c>
      <c r="L913" s="17">
        <f>IFERROR(__xludf.DUMMYFUNCTION("""COMPUTED_VALUE"""),45674.65638680555)</f>
        <v>45674.65639</v>
      </c>
      <c r="M913" s="17">
        <f>IFERROR(__xludf.DUMMYFUNCTION("""COMPUTED_VALUE"""),45674.65641917824)</f>
        <v>45674.65642</v>
      </c>
      <c r="N913" s="13" t="str">
        <f>IFERROR(__xludf.DUMMYFUNCTION("""COMPUTED_VALUE"""),"")</f>
        <v/>
      </c>
      <c r="O913" s="13" t="str">
        <f t="shared" si="1"/>
        <v/>
      </c>
    </row>
    <row r="914" ht="22.5" customHeight="1">
      <c r="B914" s="13">
        <f>IFERROR(__xludf.DUMMYFUNCTION("""COMPUTED_VALUE"""),909.0)</f>
        <v>909</v>
      </c>
      <c r="C914" s="13" t="str">
        <f>IFERROR(__xludf.DUMMYFUNCTION("""COMPUTED_VALUE"""),"M.9251/LABUHANRATU")</f>
        <v>M.9251/LABUHANRATU</v>
      </c>
      <c r="D914" s="13" t="str">
        <f>IFERROR(__xludf.DUMMYFUNCTION("""COMPUTED_VALUE"""),"K/29/130125/1")</f>
        <v>K/29/130125/1</v>
      </c>
      <c r="E914" s="14" t="str">
        <f>IFERROR(__xludf.DUMMYFUNCTION("""COMPUTED_VALUE"""),"Afriza (BT)")</f>
        <v>Afriza (BT)</v>
      </c>
      <c r="F914" s="14" t="str">
        <f>IFERROR(__xludf.DUMMYFUNCTION("""COMPUTED_VALUE"""),"SELESAI (VIA PERMOHONAN)")</f>
        <v>SELESAI (VIA PERMOHONAN)</v>
      </c>
      <c r="G914" s="17">
        <f>IFERROR(__xludf.DUMMYFUNCTION("""COMPUTED_VALUE"""),45673.644969120374)</f>
        <v>45673.64497</v>
      </c>
      <c r="H914" s="14" t="str">
        <f>IFERROR(__xludf.DUMMYFUNCTION("""COMPUTED_VALUE"""),"Bu Eva (SU)")</f>
        <v>Bu Eva (SU)</v>
      </c>
      <c r="I914" s="13" t="str">
        <f>IFERROR(__xludf.DUMMYFUNCTION("""COMPUTED_VALUE"""),"SELESAI (VIA PERMOHONAN)")</f>
        <v>SELESAI (VIA PERMOHONAN)</v>
      </c>
      <c r="J914" s="17">
        <f>IFERROR(__xludf.DUMMYFUNCTION("""COMPUTED_VALUE"""),45674.65638680555)</f>
        <v>45674.65639</v>
      </c>
      <c r="K914" s="13" t="str">
        <f>IFERROR(__xludf.DUMMYFUNCTION("""COMPUTED_VALUE"""),"Selesai")</f>
        <v>Selesai</v>
      </c>
      <c r="L914" s="17">
        <f>IFERROR(__xludf.DUMMYFUNCTION("""COMPUTED_VALUE"""),45674.65638680555)</f>
        <v>45674.65639</v>
      </c>
      <c r="M914" s="17">
        <f>IFERROR(__xludf.DUMMYFUNCTION("""COMPUTED_VALUE"""),45674.65642755787)</f>
        <v>45674.65643</v>
      </c>
      <c r="N914" s="13" t="str">
        <f>IFERROR(__xludf.DUMMYFUNCTION("""COMPUTED_VALUE"""),"")</f>
        <v/>
      </c>
      <c r="O914" s="13" t="str">
        <f t="shared" si="1"/>
        <v/>
      </c>
    </row>
    <row r="915" ht="22.5" customHeight="1">
      <c r="B915" s="13">
        <f>IFERROR(__xludf.DUMMYFUNCTION("""COMPUTED_VALUE"""),910.0)</f>
        <v>910</v>
      </c>
      <c r="C915" s="13" t="str">
        <f>IFERROR(__xludf.DUMMYFUNCTION("""COMPUTED_VALUE"""),"M.1355/KUPANGKOTA")</f>
        <v>M.1355/KUPANGKOTA</v>
      </c>
      <c r="D915" s="13" t="str">
        <f>IFERROR(__xludf.DUMMYFUNCTION("""COMPUTED_VALUE"""),"K/3/131224/1")</f>
        <v>K/3/131224/1</v>
      </c>
      <c r="E915" s="14" t="str">
        <f>IFERROR(__xludf.DUMMYFUNCTION("""COMPUTED_VALUE"""),"Afriza (BT)")</f>
        <v>Afriza (BT)</v>
      </c>
      <c r="F915" s="14" t="str">
        <f>IFERROR(__xludf.DUMMYFUNCTION("""COMPUTED_VALUE"""),"SELESAI (VIA PERMOHONAN)")</f>
        <v>SELESAI (VIA PERMOHONAN)</v>
      </c>
      <c r="G915" s="17">
        <f>IFERROR(__xludf.DUMMYFUNCTION("""COMPUTED_VALUE"""),45673.64558363426)</f>
        <v>45673.64558</v>
      </c>
      <c r="H915" s="14" t="str">
        <f>IFERROR(__xludf.DUMMYFUNCTION("""COMPUTED_VALUE"""),"Bu Eva (SU)")</f>
        <v>Bu Eva (SU)</v>
      </c>
      <c r="I915" s="13" t="str">
        <f>IFERROR(__xludf.DUMMYFUNCTION("""COMPUTED_VALUE"""),"SELESAI (VIA PERMOHONAN)")</f>
        <v>SELESAI (VIA PERMOHONAN)</v>
      </c>
      <c r="J915" s="17">
        <f>IFERROR(__xludf.DUMMYFUNCTION("""COMPUTED_VALUE"""),45674.65638680555)</f>
        <v>45674.65639</v>
      </c>
      <c r="K915" s="13" t="str">
        <f>IFERROR(__xludf.DUMMYFUNCTION("""COMPUTED_VALUE"""),"Selesai")</f>
        <v>Selesai</v>
      </c>
      <c r="L915" s="17">
        <f>IFERROR(__xludf.DUMMYFUNCTION("""COMPUTED_VALUE"""),45674.65638680555)</f>
        <v>45674.65639</v>
      </c>
      <c r="M915" s="17">
        <f>IFERROR(__xludf.DUMMYFUNCTION("""COMPUTED_VALUE"""),45674.65643773148)</f>
        <v>45674.65644</v>
      </c>
      <c r="N915" s="13" t="str">
        <f>IFERROR(__xludf.DUMMYFUNCTION("""COMPUTED_VALUE"""),"")</f>
        <v/>
      </c>
      <c r="O915" s="13" t="str">
        <f t="shared" si="1"/>
        <v/>
      </c>
    </row>
    <row r="916" ht="22.5" customHeight="1">
      <c r="B916" s="13">
        <f>IFERROR(__xludf.DUMMYFUNCTION("""COMPUTED_VALUE"""),911.0)</f>
        <v>911</v>
      </c>
      <c r="C916" s="13" t="str">
        <f>IFERROR(__xludf.DUMMYFUNCTION("""COMPUTED_VALUE"""),"M. 1286/ Gotong Royong")</f>
        <v>M. 1286/ Gotong Royong</v>
      </c>
      <c r="D916" s="13" t="str">
        <f>IFERROR(__xludf.DUMMYFUNCTION("""COMPUTED_VALUE"""),"K/36/231224/2")</f>
        <v>K/36/231224/2</v>
      </c>
      <c r="E916" s="14" t="str">
        <f>IFERROR(__xludf.DUMMYFUNCTION("""COMPUTED_VALUE"""),"Afriza (BT)")</f>
        <v>Afriza (BT)</v>
      </c>
      <c r="F916" s="14" t="str">
        <f>IFERROR(__xludf.DUMMYFUNCTION("""COMPUTED_VALUE"""),"SELESAI (VIA PERMOHONAN)")</f>
        <v>SELESAI (VIA PERMOHONAN)</v>
      </c>
      <c r="G916" s="17">
        <f>IFERROR(__xludf.DUMMYFUNCTION("""COMPUTED_VALUE"""),45673.70870541666)</f>
        <v>45673.70871</v>
      </c>
      <c r="H916" s="14" t="str">
        <f>IFERROR(__xludf.DUMMYFUNCTION("""COMPUTED_VALUE"""),"Bu Eva (SU)")</f>
        <v>Bu Eva (SU)</v>
      </c>
      <c r="I916" s="13" t="str">
        <f>IFERROR(__xludf.DUMMYFUNCTION("""COMPUTED_VALUE"""),"SELESAI (VIA PERMOHONAN)")</f>
        <v>SELESAI (VIA PERMOHONAN)</v>
      </c>
      <c r="J916" s="17">
        <f>IFERROR(__xludf.DUMMYFUNCTION("""COMPUTED_VALUE"""),45674.65638680555)</f>
        <v>45674.65639</v>
      </c>
      <c r="K916" s="13" t="str">
        <f>IFERROR(__xludf.DUMMYFUNCTION("""COMPUTED_VALUE"""),"Selesai")</f>
        <v>Selesai</v>
      </c>
      <c r="L916" s="17">
        <f>IFERROR(__xludf.DUMMYFUNCTION("""COMPUTED_VALUE"""),45674.65638680555)</f>
        <v>45674.65639</v>
      </c>
      <c r="M916" s="17">
        <f>IFERROR(__xludf.DUMMYFUNCTION("""COMPUTED_VALUE"""),45674.65644550926)</f>
        <v>45674.65645</v>
      </c>
      <c r="N916" s="13" t="str">
        <f>IFERROR(__xludf.DUMMYFUNCTION("""COMPUTED_VALUE"""),"")</f>
        <v/>
      </c>
      <c r="O916" s="13" t="str">
        <f t="shared" si="1"/>
        <v/>
      </c>
    </row>
    <row r="917" ht="22.5" customHeight="1">
      <c r="B917" s="13">
        <f>IFERROR(__xludf.DUMMYFUNCTION("""COMPUTED_VALUE"""),912.0)</f>
        <v>912</v>
      </c>
      <c r="C917" s="13" t="str">
        <f>IFERROR(__xludf.DUMMYFUNCTION("""COMPUTED_VALUE"""),"M. 832/ Gunung Sulah")</f>
        <v>M. 832/ Gunung Sulah</v>
      </c>
      <c r="D917" s="13" t="str">
        <f>IFERROR(__xludf.DUMMYFUNCTION("""COMPUTED_VALUE"""),"K/6/030125/2")</f>
        <v>K/6/030125/2</v>
      </c>
      <c r="E917" s="14" t="str">
        <f>IFERROR(__xludf.DUMMYFUNCTION("""COMPUTED_VALUE"""),"Afriza (BT)")</f>
        <v>Afriza (BT)</v>
      </c>
      <c r="F917" s="14" t="str">
        <f>IFERROR(__xludf.DUMMYFUNCTION("""COMPUTED_VALUE"""),"SELESAI (VIA PERMOHONAN)")</f>
        <v>SELESAI (VIA PERMOHONAN)</v>
      </c>
      <c r="G917" s="17">
        <f>IFERROR(__xludf.DUMMYFUNCTION("""COMPUTED_VALUE"""),45673.70870541666)</f>
        <v>45673.70871</v>
      </c>
      <c r="H917" s="14" t="str">
        <f>IFERROR(__xludf.DUMMYFUNCTION("""COMPUTED_VALUE"""),"Bu Eva (SU)")</f>
        <v>Bu Eva (SU)</v>
      </c>
      <c r="I917" s="13" t="str">
        <f>IFERROR(__xludf.DUMMYFUNCTION("""COMPUTED_VALUE"""),"SELESAI (VIA PERMOHONAN)")</f>
        <v>SELESAI (VIA PERMOHONAN)</v>
      </c>
      <c r="J917" s="17">
        <f>IFERROR(__xludf.DUMMYFUNCTION("""COMPUTED_VALUE"""),45674.65638680555)</f>
        <v>45674.65639</v>
      </c>
      <c r="K917" s="13" t="str">
        <f>IFERROR(__xludf.DUMMYFUNCTION("""COMPUTED_VALUE"""),"Selesai")</f>
        <v>Selesai</v>
      </c>
      <c r="L917" s="17">
        <f>IFERROR(__xludf.DUMMYFUNCTION("""COMPUTED_VALUE"""),45674.65638680555)</f>
        <v>45674.65639</v>
      </c>
      <c r="M917" s="17">
        <f>IFERROR(__xludf.DUMMYFUNCTION("""COMPUTED_VALUE"""),45674.65646020834)</f>
        <v>45674.65646</v>
      </c>
      <c r="N917" s="13" t="str">
        <f>IFERROR(__xludf.DUMMYFUNCTION("""COMPUTED_VALUE"""),"")</f>
        <v/>
      </c>
      <c r="O917" s="13" t="str">
        <f t="shared" si="1"/>
        <v/>
      </c>
    </row>
    <row r="918" ht="22.5" customHeight="1">
      <c r="B918" s="13">
        <f>IFERROR(__xludf.DUMMYFUNCTION("""COMPUTED_VALUE"""),913.0)</f>
        <v>913</v>
      </c>
      <c r="C918" s="13" t="str">
        <f>IFERROR(__xludf.DUMMYFUNCTION("""COMPUTED_VALUE"""),"HM 11445/RAJABASA")</f>
        <v>HM 11445/RAJABASA</v>
      </c>
      <c r="D918" s="13" t="str">
        <f>IFERROR(__xludf.DUMMYFUNCTION("""COMPUTED_VALUE"""),"L/25/140125/1")</f>
        <v>L/25/140125/1</v>
      </c>
      <c r="E918" s="14" t="str">
        <f>IFERROR(__xludf.DUMMYFUNCTION("""COMPUTED_VALUE"""),"Nadian (BT)")</f>
        <v>Nadian (BT)</v>
      </c>
      <c r="F918" s="14" t="str">
        <f>IFERROR(__xludf.DUMMYFUNCTION("""COMPUTED_VALUE"""),"SELESAI")</f>
        <v>SELESAI</v>
      </c>
      <c r="G918" s="17">
        <f>IFERROR(__xludf.DUMMYFUNCTION("""COMPUTED_VALUE"""),45674.65638680555)</f>
        <v>45674.65639</v>
      </c>
      <c r="H918" s="14" t="str">
        <f>IFERROR(__xludf.DUMMYFUNCTION("""COMPUTED_VALUE"""),"Aprill (SU)")</f>
        <v>Aprill (SU)</v>
      </c>
      <c r="I918" s="13" t="str">
        <f>IFERROR(__xludf.DUMMYFUNCTION("""COMPUTED_VALUE"""),"SELESAI")</f>
        <v>SELESAI</v>
      </c>
      <c r="J918" s="17">
        <f>IFERROR(__xludf.DUMMYFUNCTION("""COMPUTED_VALUE"""),45679.45503875)</f>
        <v>45679.45504</v>
      </c>
      <c r="K918" s="13" t="str">
        <f>IFERROR(__xludf.DUMMYFUNCTION("""COMPUTED_VALUE"""),"SELESAI")</f>
        <v>SELESAI</v>
      </c>
      <c r="L918" s="17">
        <f>IFERROR(__xludf.DUMMYFUNCTION("""COMPUTED_VALUE"""),45679.45503875)</f>
        <v>45679.45504</v>
      </c>
      <c r="M918" s="17" t="str">
        <f>IFERROR(__xludf.DUMMYFUNCTION("""COMPUTED_VALUE"""),"")</f>
        <v/>
      </c>
      <c r="N918" s="17">
        <f>IFERROR(__xludf.DUMMYFUNCTION("""COMPUTED_VALUE"""),45679.453499027775)</f>
        <v>45679.4535</v>
      </c>
      <c r="O918" s="13">
        <f t="shared" si="1"/>
        <v>1</v>
      </c>
    </row>
    <row r="919" ht="22.5" customHeight="1">
      <c r="B919" s="13">
        <f>IFERROR(__xludf.DUMMYFUNCTION("""COMPUTED_VALUE"""),914.0)</f>
        <v>914</v>
      </c>
      <c r="C919" s="13" t="str">
        <f>IFERROR(__xludf.DUMMYFUNCTION("""COMPUTED_VALUE"""),"M. 956/ Durian Payung")</f>
        <v>M. 956/ Durian Payung</v>
      </c>
      <c r="D919" s="13" t="str">
        <f>IFERROR(__xludf.DUMMYFUNCTION("""COMPUTED_VALUE"""),"K/16/130125/1")</f>
        <v>K/16/130125/1</v>
      </c>
      <c r="E919" s="14" t="str">
        <f>IFERROR(__xludf.DUMMYFUNCTION("""COMPUTED_VALUE"""),"Nadian (BT)")</f>
        <v>Nadian (BT)</v>
      </c>
      <c r="F919" s="14" t="str">
        <f>IFERROR(__xludf.DUMMYFUNCTION("""COMPUTED_VALUE"""),"SELESAI")</f>
        <v>SELESAI</v>
      </c>
      <c r="G919" s="17">
        <f>IFERROR(__xludf.DUMMYFUNCTION("""COMPUTED_VALUE"""),45674.65638680555)</f>
        <v>45674.65639</v>
      </c>
      <c r="H919" s="14" t="str">
        <f>IFERROR(__xludf.DUMMYFUNCTION("""COMPUTED_VALUE"""),"Aprill (SU)")</f>
        <v>Aprill (SU)</v>
      </c>
      <c r="I919" s="13" t="str">
        <f>IFERROR(__xludf.DUMMYFUNCTION("""COMPUTED_VALUE"""),"SELESAI")</f>
        <v>SELESAI</v>
      </c>
      <c r="J919" s="17">
        <f>IFERROR(__xludf.DUMMYFUNCTION("""COMPUTED_VALUE"""),45679.455054861115)</f>
        <v>45679.45505</v>
      </c>
      <c r="K919" s="13" t="str">
        <f>IFERROR(__xludf.DUMMYFUNCTION("""COMPUTED_VALUE"""),"SELESAI")</f>
        <v>SELESAI</v>
      </c>
      <c r="L919" s="17">
        <f>IFERROR(__xludf.DUMMYFUNCTION("""COMPUTED_VALUE"""),45679.455054861115)</f>
        <v>45679.45505</v>
      </c>
      <c r="M919" s="17" t="str">
        <f>IFERROR(__xludf.DUMMYFUNCTION("""COMPUTED_VALUE"""),"")</f>
        <v/>
      </c>
      <c r="N919" s="17">
        <f>IFERROR(__xludf.DUMMYFUNCTION("""COMPUTED_VALUE"""),45679.45507040509)</f>
        <v>45679.45507</v>
      </c>
      <c r="O919" s="13">
        <f t="shared" si="1"/>
        <v>2</v>
      </c>
    </row>
    <row r="920" ht="22.5" customHeight="1">
      <c r="B920" s="13">
        <f>IFERROR(__xludf.DUMMYFUNCTION("""COMPUTED_VALUE"""),915.0)</f>
        <v>915</v>
      </c>
      <c r="C920" s="13" t="str">
        <f>IFERROR(__xludf.DUMMYFUNCTION("""COMPUTED_VALUE"""),"HM 13476/SEGALA MIDER")</f>
        <v>HM 13476/SEGALA MIDER</v>
      </c>
      <c r="D920" s="13" t="str">
        <f>IFERROR(__xludf.DUMMYFUNCTION("""COMPUTED_VALUE"""),"L/26/140125/1")</f>
        <v>L/26/140125/1</v>
      </c>
      <c r="E920" s="14" t="str">
        <f>IFERROR(__xludf.DUMMYFUNCTION("""COMPUTED_VALUE"""),"Nadian (BT)")</f>
        <v>Nadian (BT)</v>
      </c>
      <c r="F920" s="14" t="str">
        <f>IFERROR(__xludf.DUMMYFUNCTION("""COMPUTED_VALUE"""),"SELESAI")</f>
        <v>SELESAI</v>
      </c>
      <c r="G920" s="17">
        <f>IFERROR(__xludf.DUMMYFUNCTION("""COMPUTED_VALUE"""),45674.65638680555)</f>
        <v>45674.65639</v>
      </c>
      <c r="H920" s="14" t="str">
        <f>IFERROR(__xludf.DUMMYFUNCTION("""COMPUTED_VALUE"""),"Aprill (SU)")</f>
        <v>Aprill (SU)</v>
      </c>
      <c r="I920" s="13" t="str">
        <f>IFERROR(__xludf.DUMMYFUNCTION("""COMPUTED_VALUE"""),"SELESAI")</f>
        <v>SELESAI</v>
      </c>
      <c r="J920" s="17">
        <f>IFERROR(__xludf.DUMMYFUNCTION("""COMPUTED_VALUE"""),45679.45412765046)</f>
        <v>45679.45413</v>
      </c>
      <c r="K920" s="13" t="str">
        <f>IFERROR(__xludf.DUMMYFUNCTION("""COMPUTED_VALUE"""),"SELESAI")</f>
        <v>SELESAI</v>
      </c>
      <c r="L920" s="17">
        <f>IFERROR(__xludf.DUMMYFUNCTION("""COMPUTED_VALUE"""),45679.45412765046)</f>
        <v>45679.45413</v>
      </c>
      <c r="M920" s="17" t="str">
        <f>IFERROR(__xludf.DUMMYFUNCTION("""COMPUTED_VALUE"""),"")</f>
        <v/>
      </c>
      <c r="N920" s="17">
        <f>IFERROR(__xludf.DUMMYFUNCTION("""COMPUTED_VALUE"""),45679.45474354167)</f>
        <v>45679.45474</v>
      </c>
      <c r="O920" s="13">
        <f t="shared" si="1"/>
        <v>3</v>
      </c>
    </row>
    <row r="921" ht="22.5" customHeight="1">
      <c r="B921" s="13">
        <f>IFERROR(__xludf.DUMMYFUNCTION("""COMPUTED_VALUE"""),916.0)</f>
        <v>916</v>
      </c>
      <c r="C921" s="13" t="str">
        <f>IFERROR(__xludf.DUMMYFUNCTION("""COMPUTED_VALUE"""),"HGB 915/KETEGUHAN")</f>
        <v>HGB 915/KETEGUHAN</v>
      </c>
      <c r="D921" s="13" t="str">
        <f>IFERROR(__xludf.DUMMYFUNCTION("""COMPUTED_VALUE"""),"L/17/140125/1")</f>
        <v>L/17/140125/1</v>
      </c>
      <c r="E921" s="14" t="str">
        <f>IFERROR(__xludf.DUMMYFUNCTION("""COMPUTED_VALUE"""),"Nadian (BT)")</f>
        <v>Nadian (BT)</v>
      </c>
      <c r="F921" s="14" t="str">
        <f>IFERROR(__xludf.DUMMYFUNCTION("""COMPUTED_VALUE"""),"SELESAI")</f>
        <v>SELESAI</v>
      </c>
      <c r="G921" s="17">
        <f>IFERROR(__xludf.DUMMYFUNCTION("""COMPUTED_VALUE"""),45674.65638680555)</f>
        <v>45674.65639</v>
      </c>
      <c r="H921" s="14" t="str">
        <f>IFERROR(__xludf.DUMMYFUNCTION("""COMPUTED_VALUE"""),"Aprill (SU)")</f>
        <v>Aprill (SU)</v>
      </c>
      <c r="I921" s="13" t="str">
        <f>IFERROR(__xludf.DUMMYFUNCTION("""COMPUTED_VALUE"""),"SELESAI")</f>
        <v>SELESAI</v>
      </c>
      <c r="J921" s="17">
        <f>IFERROR(__xludf.DUMMYFUNCTION("""COMPUTED_VALUE"""),45679.45415089121)</f>
        <v>45679.45415</v>
      </c>
      <c r="K921" s="13" t="str">
        <f>IFERROR(__xludf.DUMMYFUNCTION("""COMPUTED_VALUE"""),"SELESAI")</f>
        <v>SELESAI</v>
      </c>
      <c r="L921" s="17">
        <f>IFERROR(__xludf.DUMMYFUNCTION("""COMPUTED_VALUE"""),45679.45415089121)</f>
        <v>45679.45415</v>
      </c>
      <c r="M921" s="17" t="str">
        <f>IFERROR(__xludf.DUMMYFUNCTION("""COMPUTED_VALUE"""),"")</f>
        <v/>
      </c>
      <c r="N921" s="17">
        <f>IFERROR(__xludf.DUMMYFUNCTION("""COMPUTED_VALUE"""),45679.454732812505)</f>
        <v>45679.45473</v>
      </c>
      <c r="O921" s="13">
        <f t="shared" si="1"/>
        <v>4</v>
      </c>
    </row>
    <row r="922" ht="22.5" customHeight="1">
      <c r="B922" s="13">
        <f>IFERROR(__xludf.DUMMYFUNCTION("""COMPUTED_VALUE"""),917.0)</f>
        <v>917</v>
      </c>
      <c r="C922" s="13" t="str">
        <f>IFERROR(__xludf.DUMMYFUNCTION("""COMPUTED_VALUE"""),"M.1142/SEPANG JAYA")</f>
        <v>M.1142/SEPANG JAYA</v>
      </c>
      <c r="D922" s="13" t="str">
        <f>IFERROR(__xludf.DUMMYFUNCTION("""COMPUTED_VALUE"""),"K/13/140125/1")</f>
        <v>K/13/140125/1</v>
      </c>
      <c r="E922" s="14" t="str">
        <f>IFERROR(__xludf.DUMMYFUNCTION("""COMPUTED_VALUE"""),"Nadian (BT)")</f>
        <v>Nadian (BT)</v>
      </c>
      <c r="F922" s="14" t="str">
        <f>IFERROR(__xludf.DUMMYFUNCTION("""COMPUTED_VALUE"""),"SELESAI")</f>
        <v>SELESAI</v>
      </c>
      <c r="G922" s="17">
        <f>IFERROR(__xludf.DUMMYFUNCTION("""COMPUTED_VALUE"""),45674.65638680555)</f>
        <v>45674.65639</v>
      </c>
      <c r="H922" s="14" t="str">
        <f>IFERROR(__xludf.DUMMYFUNCTION("""COMPUTED_VALUE"""),"Aprill (SU)")</f>
        <v>Aprill (SU)</v>
      </c>
      <c r="I922" s="13" t="str">
        <f>IFERROR(__xludf.DUMMYFUNCTION("""COMPUTED_VALUE"""),"SELESAI")</f>
        <v>SELESAI</v>
      </c>
      <c r="J922" s="17">
        <f>IFERROR(__xludf.DUMMYFUNCTION("""COMPUTED_VALUE"""),45679.45395789352)</f>
        <v>45679.45396</v>
      </c>
      <c r="K922" s="13" t="str">
        <f>IFERROR(__xludf.DUMMYFUNCTION("""COMPUTED_VALUE"""),"SELESAI")</f>
        <v>SELESAI</v>
      </c>
      <c r="L922" s="17">
        <f>IFERROR(__xludf.DUMMYFUNCTION("""COMPUTED_VALUE"""),45679.45395789352)</f>
        <v>45679.45396</v>
      </c>
      <c r="M922" s="17" t="str">
        <f>IFERROR(__xludf.DUMMYFUNCTION("""COMPUTED_VALUE"""),"")</f>
        <v/>
      </c>
      <c r="N922" s="17">
        <f>IFERROR(__xludf.DUMMYFUNCTION("""COMPUTED_VALUE"""),45679.45388447917)</f>
        <v>45679.45388</v>
      </c>
      <c r="O922" s="13">
        <f t="shared" si="1"/>
        <v>5</v>
      </c>
    </row>
    <row r="923" ht="22.5" customHeight="1">
      <c r="B923" s="13">
        <f>IFERROR(__xludf.DUMMYFUNCTION("""COMPUTED_VALUE"""),918.0)</f>
        <v>918</v>
      </c>
      <c r="C923" s="13" t="str">
        <f>IFERROR(__xludf.DUMMYFUNCTION("""COMPUTED_VALUE"""),"M. 06/ Sukarame II")</f>
        <v>M. 06/ Sukarame II</v>
      </c>
      <c r="D923" s="13" t="str">
        <f>IFERROR(__xludf.DUMMYFUNCTION("""COMPUTED_VALUE"""),"K/14/140125/1")</f>
        <v>K/14/140125/1</v>
      </c>
      <c r="E923" s="14" t="str">
        <f>IFERROR(__xludf.DUMMYFUNCTION("""COMPUTED_VALUE"""),"Nadian (BT)")</f>
        <v>Nadian (BT)</v>
      </c>
      <c r="F923" s="14" t="str">
        <f>IFERROR(__xludf.DUMMYFUNCTION("""COMPUTED_VALUE"""),"SELESAI")</f>
        <v>SELESAI</v>
      </c>
      <c r="G923" s="17">
        <f>IFERROR(__xludf.DUMMYFUNCTION("""COMPUTED_VALUE"""),45674.65638680555)</f>
        <v>45674.65639</v>
      </c>
      <c r="H923" s="14" t="str">
        <f>IFERROR(__xludf.DUMMYFUNCTION("""COMPUTED_VALUE"""),"Aprill (SU)")</f>
        <v>Aprill (SU)</v>
      </c>
      <c r="I923" s="13" t="str">
        <f>IFERROR(__xludf.DUMMYFUNCTION("""COMPUTED_VALUE"""),"SELESAI")</f>
        <v>SELESAI</v>
      </c>
      <c r="J923" s="17">
        <f>IFERROR(__xludf.DUMMYFUNCTION("""COMPUTED_VALUE"""),45679.46244047454)</f>
        <v>45679.46244</v>
      </c>
      <c r="K923" s="13" t="str">
        <f>IFERROR(__xludf.DUMMYFUNCTION("""COMPUTED_VALUE"""),"SELESAI")</f>
        <v>SELESAI</v>
      </c>
      <c r="L923" s="17">
        <f>IFERROR(__xludf.DUMMYFUNCTION("""COMPUTED_VALUE"""),45679.46244047454)</f>
        <v>45679.46244</v>
      </c>
      <c r="M923" s="17" t="str">
        <f>IFERROR(__xludf.DUMMYFUNCTION("""COMPUTED_VALUE"""),"")</f>
        <v/>
      </c>
      <c r="N923" s="17">
        <f>IFERROR(__xludf.DUMMYFUNCTION("""COMPUTED_VALUE"""),45679.46247457176)</f>
        <v>45679.46247</v>
      </c>
      <c r="O923" s="13">
        <f t="shared" si="1"/>
        <v>6</v>
      </c>
    </row>
    <row r="924" ht="22.5" customHeight="1">
      <c r="B924" s="13">
        <f>IFERROR(__xludf.DUMMYFUNCTION("""COMPUTED_VALUE"""),919.0)</f>
        <v>919</v>
      </c>
      <c r="C924" s="13" t="str">
        <f>IFERROR(__xludf.DUMMYFUNCTION("""COMPUTED_VALUE"""),"M. 2031/ Durian Payung")</f>
        <v>M. 2031/ Durian Payung</v>
      </c>
      <c r="D924" s="13" t="str">
        <f>IFERROR(__xludf.DUMMYFUNCTION("""COMPUTED_VALUE"""),"K/39/161224/3")</f>
        <v>K/39/161224/3</v>
      </c>
      <c r="E924" s="14" t="str">
        <f>IFERROR(__xludf.DUMMYFUNCTION("""COMPUTED_VALUE"""),"Nadian (BT)")</f>
        <v>Nadian (BT)</v>
      </c>
      <c r="F924" s="14" t="str">
        <f>IFERROR(__xludf.DUMMYFUNCTION("""COMPUTED_VALUE"""),"SELESAI (VIA PERMOHONAN)")</f>
        <v>SELESAI (VIA PERMOHONAN)</v>
      </c>
      <c r="G924" s="17">
        <f>IFERROR(__xludf.DUMMYFUNCTION("""COMPUTED_VALUE"""),45674.65638681713)</f>
        <v>45674.65639</v>
      </c>
      <c r="H924" s="14" t="str">
        <f>IFERROR(__xludf.DUMMYFUNCTION("""COMPUTED_VALUE"""),"Bu Eva (SU)")</f>
        <v>Bu Eva (SU)</v>
      </c>
      <c r="I924" s="13" t="str">
        <f>IFERROR(__xludf.DUMMYFUNCTION("""COMPUTED_VALUE"""),"SELESAI (VIA PERMOHONAN)")</f>
        <v>SELESAI (VIA PERMOHONAN)</v>
      </c>
      <c r="J924" s="17">
        <f>IFERROR(__xludf.DUMMYFUNCTION("""COMPUTED_VALUE"""),45674.65638681713)</f>
        <v>45674.65639</v>
      </c>
      <c r="K924" s="13" t="str">
        <f>IFERROR(__xludf.DUMMYFUNCTION("""COMPUTED_VALUE"""),"Selesai")</f>
        <v>Selesai</v>
      </c>
      <c r="L924" s="17">
        <f>IFERROR(__xludf.DUMMYFUNCTION("""COMPUTED_VALUE"""),45674.65638681713)</f>
        <v>45674.65639</v>
      </c>
      <c r="M924" s="17">
        <f>IFERROR(__xludf.DUMMYFUNCTION("""COMPUTED_VALUE"""),45674.65638681713)</f>
        <v>45674.65639</v>
      </c>
      <c r="N924" s="13" t="str">
        <f>IFERROR(__xludf.DUMMYFUNCTION("""COMPUTED_VALUE"""),"")</f>
        <v/>
      </c>
      <c r="O924" s="13" t="str">
        <f t="shared" si="1"/>
        <v/>
      </c>
    </row>
    <row r="925" ht="22.5" customHeight="1">
      <c r="B925" s="13">
        <f>IFERROR(__xludf.DUMMYFUNCTION("""COMPUTED_VALUE"""),920.0)</f>
        <v>920</v>
      </c>
      <c r="C925" s="13" t="str">
        <f>IFERROR(__xludf.DUMMYFUNCTION("""COMPUTED_VALUE"""),"M. 15 / SEPANG JAYA")</f>
        <v>M. 15 / SEPANG JAYA</v>
      </c>
      <c r="D925" s="13" t="str">
        <f>IFERROR(__xludf.DUMMYFUNCTION("""COMPUTED_VALUE"""),"K/23/130125/2")</f>
        <v>K/23/130125/2</v>
      </c>
      <c r="E925" s="14" t="str">
        <f>IFERROR(__xludf.DUMMYFUNCTION("""COMPUTED_VALUE"""),"Nadian (BT)")</f>
        <v>Nadian (BT)</v>
      </c>
      <c r="F925" s="14" t="str">
        <f>IFERROR(__xludf.DUMMYFUNCTION("""COMPUTED_VALUE"""),"SELESAI (VIA PERMOHONAN)")</f>
        <v>SELESAI (VIA PERMOHONAN)</v>
      </c>
      <c r="G925" s="17">
        <f>IFERROR(__xludf.DUMMYFUNCTION("""COMPUTED_VALUE"""),45674.65638681713)</f>
        <v>45674.65639</v>
      </c>
      <c r="H925" s="14" t="str">
        <f>IFERROR(__xludf.DUMMYFUNCTION("""COMPUTED_VALUE"""),"Bu Eva (SU)")</f>
        <v>Bu Eva (SU)</v>
      </c>
      <c r="I925" s="13" t="str">
        <f>IFERROR(__xludf.DUMMYFUNCTION("""COMPUTED_VALUE"""),"SELESAI (VIA PERMOHONAN)")</f>
        <v>SELESAI (VIA PERMOHONAN)</v>
      </c>
      <c r="J925" s="17" t="str">
        <f>IFERROR(__xludf.DUMMYFUNCTION("""COMPUTED_VALUE"""),"#REF!")</f>
        <v>#REF!</v>
      </c>
      <c r="K925" s="13" t="str">
        <f>IFERROR(__xludf.DUMMYFUNCTION("""COMPUTED_VALUE"""),"#REF!")</f>
        <v>#REF!</v>
      </c>
      <c r="L925" s="13" t="str">
        <f>IFERROR(__xludf.DUMMYFUNCTION("""COMPUTED_VALUE"""),"#REF!")</f>
        <v>#REF!</v>
      </c>
      <c r="M925" s="17">
        <f>IFERROR(__xludf.DUMMYFUNCTION("""COMPUTED_VALUE"""),45674.65638681713)</f>
        <v>45674.65639</v>
      </c>
      <c r="N925" s="13" t="str">
        <f>IFERROR(__xludf.DUMMYFUNCTION("""COMPUTED_VALUE"""),"")</f>
        <v/>
      </c>
      <c r="O925" s="13" t="str">
        <f t="shared" si="1"/>
        <v/>
      </c>
    </row>
    <row r="926" ht="22.5" customHeight="1">
      <c r="B926" s="13">
        <f>IFERROR(__xludf.DUMMYFUNCTION("""COMPUTED_VALUE"""),921.0)</f>
        <v>921</v>
      </c>
      <c r="C926" s="13" t="str">
        <f>IFERROR(__xludf.DUMMYFUNCTION("""COMPUTED_VALUE"""),"HM 1700/GUNUNG TERANG")</f>
        <v>HM 1700/GUNUNG TERANG</v>
      </c>
      <c r="D926" s="13" t="str">
        <f>IFERROR(__xludf.DUMMYFUNCTION("""COMPUTED_VALUE"""),"L/12/170125/1")</f>
        <v>L/12/170125/1</v>
      </c>
      <c r="E926" s="14" t="str">
        <f>IFERROR(__xludf.DUMMYFUNCTION("""COMPUTED_VALUE"""),"Afriza (BT)")</f>
        <v>Afriza (BT)</v>
      </c>
      <c r="F926" s="14" t="str">
        <f>IFERROR(__xludf.DUMMYFUNCTION("""COMPUTED_VALUE"""),"SELESAI (VIA PERMOHONAN)")</f>
        <v>SELESAI (VIA PERMOHONAN)</v>
      </c>
      <c r="G926" s="17">
        <f>IFERROR(__xludf.DUMMYFUNCTION("""COMPUTED_VALUE"""),45674.667424513886)</f>
        <v>45674.66742</v>
      </c>
      <c r="H926" s="14" t="str">
        <f>IFERROR(__xludf.DUMMYFUNCTION("""COMPUTED_VALUE"""),"Bu Eva (SU)")</f>
        <v>Bu Eva (SU)</v>
      </c>
      <c r="I926" s="13" t="str">
        <f>IFERROR(__xludf.DUMMYFUNCTION("""COMPUTED_VALUE"""),"SELESAI (VIA PERMOHONAN)")</f>
        <v>SELESAI (VIA PERMOHONAN)</v>
      </c>
      <c r="J926" s="17">
        <f>IFERROR(__xludf.DUMMYFUNCTION("""COMPUTED_VALUE"""),45680.64387533565)</f>
        <v>45680.64388</v>
      </c>
      <c r="K926" s="13" t="str">
        <f>IFERROR(__xludf.DUMMYFUNCTION("""COMPUTED_VALUE"""),"Selesai")</f>
        <v>Selesai</v>
      </c>
      <c r="L926" s="17">
        <f>IFERROR(__xludf.DUMMYFUNCTION("""COMPUTED_VALUE"""),45680.64387533565)</f>
        <v>45680.64388</v>
      </c>
      <c r="M926" s="17">
        <f>IFERROR(__xludf.DUMMYFUNCTION("""COMPUTED_VALUE"""),45680.64389723379)</f>
        <v>45680.6439</v>
      </c>
      <c r="N926" s="17">
        <f>IFERROR(__xludf.DUMMYFUNCTION("""COMPUTED_VALUE"""),45688.573947997684)</f>
        <v>45688.57395</v>
      </c>
      <c r="O926" s="13">
        <f t="shared" si="1"/>
        <v>1</v>
      </c>
    </row>
    <row r="927" ht="22.5" customHeight="1">
      <c r="B927" s="13">
        <f>IFERROR(__xludf.DUMMYFUNCTION("""COMPUTED_VALUE"""),922.0)</f>
        <v>922</v>
      </c>
      <c r="C927" s="13" t="str">
        <f>IFERROR(__xludf.DUMMYFUNCTION("""COMPUTED_VALUE"""),"M. 16977/ Sukarame I")</f>
        <v>M. 16977/ Sukarame I</v>
      </c>
      <c r="D927" s="13" t="str">
        <f>IFERROR(__xludf.DUMMYFUNCTION("""COMPUTED_VALUE"""),"K/17/160125/1")</f>
        <v>K/17/160125/1</v>
      </c>
      <c r="E927" s="14" t="str">
        <f>IFERROR(__xludf.DUMMYFUNCTION("""COMPUTED_VALUE"""),"Afriza (BT)")</f>
        <v>Afriza (BT)</v>
      </c>
      <c r="F927" s="14" t="str">
        <f>IFERROR(__xludf.DUMMYFUNCTION("""COMPUTED_VALUE"""),"SELESAI (VIA PERMOHONAN)")</f>
        <v>SELESAI (VIA PERMOHONAN)</v>
      </c>
      <c r="G927" s="17">
        <f>IFERROR(__xludf.DUMMYFUNCTION("""COMPUTED_VALUE"""),45674.75023760417)</f>
        <v>45674.75024</v>
      </c>
      <c r="H927" s="14" t="str">
        <f>IFERROR(__xludf.DUMMYFUNCTION("""COMPUTED_VALUE"""),"Bu Eva (SU)")</f>
        <v>Bu Eva (SU)</v>
      </c>
      <c r="I927" s="13" t="str">
        <f>IFERROR(__xludf.DUMMYFUNCTION("""COMPUTED_VALUE"""),"SELESAI (VIA PERMOHONAN)")</f>
        <v>SELESAI (VIA PERMOHONAN)</v>
      </c>
      <c r="J927" s="17">
        <f>IFERROR(__xludf.DUMMYFUNCTION("""COMPUTED_VALUE"""),45674.7503018287)</f>
        <v>45674.7503</v>
      </c>
      <c r="K927" s="13" t="str">
        <f>IFERROR(__xludf.DUMMYFUNCTION("""COMPUTED_VALUE"""),"Selesai")</f>
        <v>Selesai</v>
      </c>
      <c r="L927" s="17">
        <f>IFERROR(__xludf.DUMMYFUNCTION("""COMPUTED_VALUE"""),45674.7503018287)</f>
        <v>45674.7503</v>
      </c>
      <c r="M927" s="17">
        <f>IFERROR(__xludf.DUMMYFUNCTION("""COMPUTED_VALUE"""),45674.7503119676)</f>
        <v>45674.75031</v>
      </c>
      <c r="N927" s="13" t="str">
        <f>IFERROR(__xludf.DUMMYFUNCTION("""COMPUTED_VALUE"""),"")</f>
        <v/>
      </c>
      <c r="O927" s="13" t="str">
        <f t="shared" si="1"/>
        <v/>
      </c>
    </row>
    <row r="928" ht="22.5" customHeight="1">
      <c r="B928" s="13">
        <f>IFERROR(__xludf.DUMMYFUNCTION("""COMPUTED_VALUE"""),923.0)</f>
        <v>923</v>
      </c>
      <c r="C928" s="13" t="str">
        <f>IFERROR(__xludf.DUMMYFUNCTION("""COMPUTED_VALUE"""),"M. 844/ Bumi Kedamaian")</f>
        <v>M. 844/ Bumi Kedamaian</v>
      </c>
      <c r="D928" s="13" t="str">
        <f>IFERROR(__xludf.DUMMYFUNCTION("""COMPUTED_VALUE"""),"K/13/150125/1")</f>
        <v>K/13/150125/1</v>
      </c>
      <c r="E928" s="14" t="str">
        <f>IFERROR(__xludf.DUMMYFUNCTION("""COMPUTED_VALUE"""),"Nadian (BT)")</f>
        <v>Nadian (BT)</v>
      </c>
      <c r="F928" s="14" t="str">
        <f>IFERROR(__xludf.DUMMYFUNCTION("""COMPUTED_VALUE"""),"SELESAI (VIA PERMOHONAN)")</f>
        <v>SELESAI (VIA PERMOHONAN)</v>
      </c>
      <c r="G928" s="17">
        <f>IFERROR(__xludf.DUMMYFUNCTION("""COMPUTED_VALUE"""),45677.6641689699)</f>
        <v>45677.66417</v>
      </c>
      <c r="H928" s="14" t="str">
        <f>IFERROR(__xludf.DUMMYFUNCTION("""COMPUTED_VALUE"""),"Bu Eva (SU)")</f>
        <v>Bu Eva (SU)</v>
      </c>
      <c r="I928" s="13" t="str">
        <f>IFERROR(__xludf.DUMMYFUNCTION("""COMPUTED_VALUE"""),"SELESAI (VIA PERMOHONAN)")</f>
        <v>SELESAI (VIA PERMOHONAN)</v>
      </c>
      <c r="J928" s="17">
        <f>IFERROR(__xludf.DUMMYFUNCTION("""COMPUTED_VALUE"""),45680.64404623843)</f>
        <v>45680.64405</v>
      </c>
      <c r="K928" s="13" t="str">
        <f>IFERROR(__xludf.DUMMYFUNCTION("""COMPUTED_VALUE"""),"Selesai")</f>
        <v>Selesai</v>
      </c>
      <c r="L928" s="17">
        <f>IFERROR(__xludf.DUMMYFUNCTION("""COMPUTED_VALUE"""),45680.64404623843)</f>
        <v>45680.64405</v>
      </c>
      <c r="M928" s="17">
        <f>IFERROR(__xludf.DUMMYFUNCTION("""COMPUTED_VALUE"""),45680.644982337966)</f>
        <v>45680.64498</v>
      </c>
      <c r="N928" s="13" t="str">
        <f>IFERROR(__xludf.DUMMYFUNCTION("""COMPUTED_VALUE"""),"")</f>
        <v/>
      </c>
      <c r="O928" s="13" t="str">
        <f t="shared" si="1"/>
        <v/>
      </c>
    </row>
    <row r="929" ht="22.5" customHeight="1">
      <c r="B929" s="13">
        <f>IFERROR(__xludf.DUMMYFUNCTION("""COMPUTED_VALUE"""),924.0)</f>
        <v>924</v>
      </c>
      <c r="C929" s="13" t="str">
        <f>IFERROR(__xludf.DUMMYFUNCTION("""COMPUTED_VALUE"""),"M. 15191/ Sukabumi")</f>
        <v>M. 15191/ Sukabumi</v>
      </c>
      <c r="D929" s="13" t="str">
        <f>IFERROR(__xludf.DUMMYFUNCTION("""COMPUTED_VALUE"""),"K/12/140125/1")</f>
        <v>K/12/140125/1</v>
      </c>
      <c r="E929" s="14" t="str">
        <f>IFERROR(__xludf.DUMMYFUNCTION("""COMPUTED_VALUE"""),"Nadian (BT)")</f>
        <v>Nadian (BT)</v>
      </c>
      <c r="F929" s="14" t="str">
        <f>IFERROR(__xludf.DUMMYFUNCTION("""COMPUTED_VALUE"""),"SELESAI (VIA PERMOHONAN)")</f>
        <v>SELESAI (VIA PERMOHONAN)</v>
      </c>
      <c r="G929" s="17">
        <f>IFERROR(__xludf.DUMMYFUNCTION("""COMPUTED_VALUE"""),45677.66418611111)</f>
        <v>45677.66419</v>
      </c>
      <c r="H929" s="14" t="str">
        <f>IFERROR(__xludf.DUMMYFUNCTION("""COMPUTED_VALUE"""),"Bu Eva (SU)")</f>
        <v>Bu Eva (SU)</v>
      </c>
      <c r="I929" s="13" t="str">
        <f>IFERROR(__xludf.DUMMYFUNCTION("""COMPUTED_VALUE"""),"SELESAI (VIA PERMOHONAN)")</f>
        <v>SELESAI (VIA PERMOHONAN)</v>
      </c>
      <c r="J929" s="17">
        <f>IFERROR(__xludf.DUMMYFUNCTION("""COMPUTED_VALUE"""),45680.64404623843)</f>
        <v>45680.64405</v>
      </c>
      <c r="K929" s="13" t="str">
        <f>IFERROR(__xludf.DUMMYFUNCTION("""COMPUTED_VALUE"""),"Selesai")</f>
        <v>Selesai</v>
      </c>
      <c r="L929" s="17">
        <f>IFERROR(__xludf.DUMMYFUNCTION("""COMPUTED_VALUE"""),45680.64404623843)</f>
        <v>45680.64405</v>
      </c>
      <c r="M929" s="17">
        <f>IFERROR(__xludf.DUMMYFUNCTION("""COMPUTED_VALUE"""),45680.64499212963)</f>
        <v>45680.64499</v>
      </c>
      <c r="N929" s="13" t="str">
        <f>IFERROR(__xludf.DUMMYFUNCTION("""COMPUTED_VALUE"""),"")</f>
        <v/>
      </c>
      <c r="O929" s="13" t="str">
        <f t="shared" si="1"/>
        <v/>
      </c>
    </row>
    <row r="930" ht="22.5" customHeight="1">
      <c r="B930" s="13">
        <f>IFERROR(__xludf.DUMMYFUNCTION("""COMPUTED_VALUE"""),925.0)</f>
        <v>925</v>
      </c>
      <c r="C930" s="13" t="str">
        <f>IFERROR(__xludf.DUMMYFUNCTION("""COMPUTED_VALUE"""),"M. 10005/ Sukamenanti")</f>
        <v>M. 10005/ Sukamenanti</v>
      </c>
      <c r="D930" s="13" t="str">
        <f>IFERROR(__xludf.DUMMYFUNCTION("""COMPUTED_VALUE"""),"K/12/150125/1")</f>
        <v>K/12/150125/1</v>
      </c>
      <c r="E930" s="14" t="str">
        <f>IFERROR(__xludf.DUMMYFUNCTION("""COMPUTED_VALUE"""),"Nadian (BT)")</f>
        <v>Nadian (BT)</v>
      </c>
      <c r="F930" s="14" t="str">
        <f>IFERROR(__xludf.DUMMYFUNCTION("""COMPUTED_VALUE"""),"SELESAI (VIA PERMOHONAN)")</f>
        <v>SELESAI (VIA PERMOHONAN)</v>
      </c>
      <c r="G930" s="17">
        <f>IFERROR(__xludf.DUMMYFUNCTION("""COMPUTED_VALUE"""),45677.66418611111)</f>
        <v>45677.66419</v>
      </c>
      <c r="H930" s="14" t="str">
        <f>IFERROR(__xludf.DUMMYFUNCTION("""COMPUTED_VALUE"""),"Bu Eva (SU)")</f>
        <v>Bu Eva (SU)</v>
      </c>
      <c r="I930" s="13" t="str">
        <f>IFERROR(__xludf.DUMMYFUNCTION("""COMPUTED_VALUE"""),"SELESAI (VIA PERMOHONAN)")</f>
        <v>SELESAI (VIA PERMOHONAN)</v>
      </c>
      <c r="J930" s="17">
        <f>IFERROR(__xludf.DUMMYFUNCTION("""COMPUTED_VALUE"""),45680.64404623843)</f>
        <v>45680.64405</v>
      </c>
      <c r="K930" s="13" t="str">
        <f>IFERROR(__xludf.DUMMYFUNCTION("""COMPUTED_VALUE"""),"Selesai")</f>
        <v>Selesai</v>
      </c>
      <c r="L930" s="17">
        <f>IFERROR(__xludf.DUMMYFUNCTION("""COMPUTED_VALUE"""),45680.64404623843)</f>
        <v>45680.64405</v>
      </c>
      <c r="M930" s="17">
        <f>IFERROR(__xludf.DUMMYFUNCTION("""COMPUTED_VALUE"""),45680.64500024305)</f>
        <v>45680.645</v>
      </c>
      <c r="N930" s="17">
        <f>IFERROR(__xludf.DUMMYFUNCTION("""COMPUTED_VALUE"""),45679.47009928241)</f>
        <v>45679.4701</v>
      </c>
      <c r="O930" s="13">
        <f t="shared" si="1"/>
        <v>1</v>
      </c>
    </row>
    <row r="931" ht="22.5" customHeight="1">
      <c r="B931" s="13">
        <f>IFERROR(__xludf.DUMMYFUNCTION("""COMPUTED_VALUE"""),926.0)</f>
        <v>926</v>
      </c>
      <c r="C931" s="13" t="str">
        <f>IFERROR(__xludf.DUMMYFUNCTION("""COMPUTED_VALUE"""),"M.9908/LABUHAN RATU")</f>
        <v>M.9908/LABUHAN RATU</v>
      </c>
      <c r="D931" s="13" t="str">
        <f>IFERROR(__xludf.DUMMYFUNCTION("""COMPUTED_VALUE"""),"K/11/160125/3")</f>
        <v>K/11/160125/3</v>
      </c>
      <c r="E931" s="14" t="str">
        <f>IFERROR(__xludf.DUMMYFUNCTION("""COMPUTED_VALUE"""),"Nadian (BT)")</f>
        <v>Nadian (BT)</v>
      </c>
      <c r="F931" s="14" t="str">
        <f>IFERROR(__xludf.DUMMYFUNCTION("""COMPUTED_VALUE"""),"SELESAI (VIA PERMOHONAN)")</f>
        <v>SELESAI (VIA PERMOHONAN)</v>
      </c>
      <c r="G931" s="17">
        <f>IFERROR(__xludf.DUMMYFUNCTION("""COMPUTED_VALUE"""),45677.66418611111)</f>
        <v>45677.66419</v>
      </c>
      <c r="H931" s="14" t="str">
        <f>IFERROR(__xludf.DUMMYFUNCTION("""COMPUTED_VALUE"""),"Bu Eva (SU)")</f>
        <v>Bu Eva (SU)</v>
      </c>
      <c r="I931" s="13" t="str">
        <f>IFERROR(__xludf.DUMMYFUNCTION("""COMPUTED_VALUE"""),"SELESAI (VIA PERMOHONAN)")</f>
        <v>SELESAI (VIA PERMOHONAN)</v>
      </c>
      <c r="J931" s="17">
        <f>IFERROR(__xludf.DUMMYFUNCTION("""COMPUTED_VALUE"""),45680.64408229166)</f>
        <v>45680.64408</v>
      </c>
      <c r="K931" s="13" t="str">
        <f>IFERROR(__xludf.DUMMYFUNCTION("""COMPUTED_VALUE"""),"Selesai")</f>
        <v>Selesai</v>
      </c>
      <c r="L931" s="17">
        <f>IFERROR(__xludf.DUMMYFUNCTION("""COMPUTED_VALUE"""),45680.64408229166)</f>
        <v>45680.64408</v>
      </c>
      <c r="M931" s="17">
        <f>IFERROR(__xludf.DUMMYFUNCTION("""COMPUTED_VALUE"""),45680.64501074074)</f>
        <v>45680.64501</v>
      </c>
      <c r="N931" s="13" t="str">
        <f>IFERROR(__xludf.DUMMYFUNCTION("""COMPUTED_VALUE"""),"")</f>
        <v/>
      </c>
      <c r="O931" s="13" t="str">
        <f t="shared" si="1"/>
        <v/>
      </c>
    </row>
    <row r="932" ht="22.5" customHeight="1">
      <c r="B932" s="13">
        <f>IFERROR(__xludf.DUMMYFUNCTION("""COMPUTED_VALUE"""),927.0)</f>
        <v>927</v>
      </c>
      <c r="C932" s="13" t="str">
        <f>IFERROR(__xludf.DUMMYFUNCTION("""COMPUTED_VALUE"""),"M.11502/KEDAMAIAN")</f>
        <v>M.11502/KEDAMAIAN</v>
      </c>
      <c r="D932" s="13" t="str">
        <f>IFERROR(__xludf.DUMMYFUNCTION("""COMPUTED_VALUE"""),"K/2/140125/1")</f>
        <v>K/2/140125/1</v>
      </c>
      <c r="E932" s="14" t="str">
        <f>IFERROR(__xludf.DUMMYFUNCTION("""COMPUTED_VALUE"""),"Nadian (BT)")</f>
        <v>Nadian (BT)</v>
      </c>
      <c r="F932" s="14" t="str">
        <f>IFERROR(__xludf.DUMMYFUNCTION("""COMPUTED_VALUE"""),"SELESAI (VIA PERMOHONAN)")</f>
        <v>SELESAI (VIA PERMOHONAN)</v>
      </c>
      <c r="G932" s="17">
        <f>IFERROR(__xludf.DUMMYFUNCTION("""COMPUTED_VALUE"""),45677.66418611111)</f>
        <v>45677.66419</v>
      </c>
      <c r="H932" s="14" t="str">
        <f>IFERROR(__xludf.DUMMYFUNCTION("""COMPUTED_VALUE"""),"Bu Eva (SU)")</f>
        <v>Bu Eva (SU)</v>
      </c>
      <c r="I932" s="13" t="str">
        <f>IFERROR(__xludf.DUMMYFUNCTION("""COMPUTED_VALUE"""),"SELESAI (VIA PERMOHONAN)")</f>
        <v>SELESAI (VIA PERMOHONAN)</v>
      </c>
      <c r="J932" s="17">
        <f>IFERROR(__xludf.DUMMYFUNCTION("""COMPUTED_VALUE"""),45680.64408230324)</f>
        <v>45680.64408</v>
      </c>
      <c r="K932" s="13" t="str">
        <f>IFERROR(__xludf.DUMMYFUNCTION("""COMPUTED_VALUE"""),"Selesai")</f>
        <v>Selesai</v>
      </c>
      <c r="L932" s="17">
        <f>IFERROR(__xludf.DUMMYFUNCTION("""COMPUTED_VALUE"""),45680.64408230324)</f>
        <v>45680.64408</v>
      </c>
      <c r="M932" s="17">
        <f>IFERROR(__xludf.DUMMYFUNCTION("""COMPUTED_VALUE"""),45680.645020185184)</f>
        <v>45680.64502</v>
      </c>
      <c r="N932" s="13" t="str">
        <f>IFERROR(__xludf.DUMMYFUNCTION("""COMPUTED_VALUE"""),"")</f>
        <v/>
      </c>
      <c r="O932" s="13" t="str">
        <f t="shared" si="1"/>
        <v/>
      </c>
    </row>
    <row r="933" ht="22.5" customHeight="1">
      <c r="B933" s="13">
        <f>IFERROR(__xludf.DUMMYFUNCTION("""COMPUTED_VALUE"""),928.0)</f>
        <v>928</v>
      </c>
      <c r="C933" s="13" t="str">
        <f>IFERROR(__xludf.DUMMYFUNCTION("""COMPUTED_VALUE"""),"B.273/TELUK BETUNG")</f>
        <v>B.273/TELUK BETUNG</v>
      </c>
      <c r="D933" s="13" t="str">
        <f>IFERROR(__xludf.DUMMYFUNCTION("""COMPUTED_VALUE"""),"K/39/130125/1")</f>
        <v>K/39/130125/1</v>
      </c>
      <c r="E933" s="14" t="str">
        <f>IFERROR(__xludf.DUMMYFUNCTION("""COMPUTED_VALUE"""),"Nadian (BT)")</f>
        <v>Nadian (BT)</v>
      </c>
      <c r="F933" s="14" t="str">
        <f>IFERROR(__xludf.DUMMYFUNCTION("""COMPUTED_VALUE"""),"SELESAI (VIA PERMOHONAN)")</f>
        <v>SELESAI (VIA PERMOHONAN)</v>
      </c>
      <c r="G933" s="17">
        <f>IFERROR(__xludf.DUMMYFUNCTION("""COMPUTED_VALUE"""),45677.66418611111)</f>
        <v>45677.66419</v>
      </c>
      <c r="H933" s="14" t="str">
        <f>IFERROR(__xludf.DUMMYFUNCTION("""COMPUTED_VALUE"""),"Bu Eva (SU)")</f>
        <v>Bu Eva (SU)</v>
      </c>
      <c r="I933" s="13" t="str">
        <f>IFERROR(__xludf.DUMMYFUNCTION("""COMPUTED_VALUE"""),"SELESAI (VIA PERMOHONAN)")</f>
        <v>SELESAI (VIA PERMOHONAN)</v>
      </c>
      <c r="J933" s="17">
        <f>IFERROR(__xludf.DUMMYFUNCTION("""COMPUTED_VALUE"""),45680.64408230324)</f>
        <v>45680.64408</v>
      </c>
      <c r="K933" s="13" t="str">
        <f>IFERROR(__xludf.DUMMYFUNCTION("""COMPUTED_VALUE"""),"Selesai")</f>
        <v>Selesai</v>
      </c>
      <c r="L933" s="17">
        <f>IFERROR(__xludf.DUMMYFUNCTION("""COMPUTED_VALUE"""),45680.64408230324)</f>
        <v>45680.64408</v>
      </c>
      <c r="M933" s="17">
        <f>IFERROR(__xludf.DUMMYFUNCTION("""COMPUTED_VALUE"""),45680.64503346065)</f>
        <v>45680.64503</v>
      </c>
      <c r="N933" s="13" t="str">
        <f>IFERROR(__xludf.DUMMYFUNCTION("""COMPUTED_VALUE"""),"")</f>
        <v/>
      </c>
      <c r="O933" s="13" t="str">
        <f t="shared" si="1"/>
        <v/>
      </c>
    </row>
    <row r="934" ht="22.5" customHeight="1">
      <c r="B934" s="13">
        <f>IFERROR(__xludf.DUMMYFUNCTION("""COMPUTED_VALUE"""),929.0)</f>
        <v>929</v>
      </c>
      <c r="C934" s="13" t="str">
        <f>IFERROR(__xludf.DUMMYFUNCTION("""COMPUTED_VALUE"""),"M.6180/WAY KANDIS")</f>
        <v>M.6180/WAY KANDIS</v>
      </c>
      <c r="D934" s="13" t="str">
        <f>IFERROR(__xludf.DUMMYFUNCTION("""COMPUTED_VALUE"""),"K/14/160125/1")</f>
        <v>K/14/160125/1</v>
      </c>
      <c r="E934" s="14" t="str">
        <f>IFERROR(__xludf.DUMMYFUNCTION("""COMPUTED_VALUE"""),"Nadian (BT)")</f>
        <v>Nadian (BT)</v>
      </c>
      <c r="F934" s="14" t="str">
        <f>IFERROR(__xludf.DUMMYFUNCTION("""COMPUTED_VALUE"""),"SELESAI (VIA PERMOHONAN)")</f>
        <v>SELESAI (VIA PERMOHONAN)</v>
      </c>
      <c r="G934" s="17">
        <f>IFERROR(__xludf.DUMMYFUNCTION("""COMPUTED_VALUE"""),45677.66418611111)</f>
        <v>45677.66419</v>
      </c>
      <c r="H934" s="14" t="str">
        <f>IFERROR(__xludf.DUMMYFUNCTION("""COMPUTED_VALUE"""),"Bu Eva (SU)")</f>
        <v>Bu Eva (SU)</v>
      </c>
      <c r="I934" s="13" t="str">
        <f>IFERROR(__xludf.DUMMYFUNCTION("""COMPUTED_VALUE"""),"SELESAI (VIA PERMOHONAN)")</f>
        <v>SELESAI (VIA PERMOHONAN)</v>
      </c>
      <c r="J934" s="17">
        <f>IFERROR(__xludf.DUMMYFUNCTION("""COMPUTED_VALUE"""),45680.644103391205)</f>
        <v>45680.6441</v>
      </c>
      <c r="K934" s="13" t="str">
        <f>IFERROR(__xludf.DUMMYFUNCTION("""COMPUTED_VALUE"""),"Selesai")</f>
        <v>Selesai</v>
      </c>
      <c r="L934" s="17">
        <f>IFERROR(__xludf.DUMMYFUNCTION("""COMPUTED_VALUE"""),45680.644103391205)</f>
        <v>45680.6441</v>
      </c>
      <c r="M934" s="17">
        <f>IFERROR(__xludf.DUMMYFUNCTION("""COMPUTED_VALUE"""),45680.64505085648)</f>
        <v>45680.64505</v>
      </c>
      <c r="N934" s="17">
        <f>IFERROR(__xludf.DUMMYFUNCTION("""COMPUTED_VALUE"""),45679.4690569213)</f>
        <v>45679.46906</v>
      </c>
      <c r="O934" s="13">
        <f t="shared" si="1"/>
        <v>1</v>
      </c>
    </row>
    <row r="935" ht="22.5" customHeight="1">
      <c r="B935" s="13">
        <f>IFERROR(__xludf.DUMMYFUNCTION("""COMPUTED_VALUE"""),930.0)</f>
        <v>930</v>
      </c>
      <c r="C935" s="13" t="str">
        <f>IFERROR(__xludf.DUMMYFUNCTION("""COMPUTED_VALUE"""),"M. 1031/ Sumberejo Sejahtera")</f>
        <v>M. 1031/ Sumberejo Sejahtera</v>
      </c>
      <c r="D935" s="13" t="str">
        <f>IFERROR(__xludf.DUMMYFUNCTION("""COMPUTED_VALUE"""),"K/14/100125/1")</f>
        <v>K/14/100125/1</v>
      </c>
      <c r="E935" s="14" t="str">
        <f>IFERROR(__xludf.DUMMYFUNCTION("""COMPUTED_VALUE"""),"Nadian (BT)")</f>
        <v>Nadian (BT)</v>
      </c>
      <c r="F935" s="14" t="str">
        <f>IFERROR(__xludf.DUMMYFUNCTION("""COMPUTED_VALUE"""),"SELESAI (VIA PERMOHONAN)")</f>
        <v>SELESAI (VIA PERMOHONAN)</v>
      </c>
      <c r="G935" s="17">
        <f>IFERROR(__xludf.DUMMYFUNCTION("""COMPUTED_VALUE"""),45677.664210787036)</f>
        <v>45677.66421</v>
      </c>
      <c r="H935" s="14" t="str">
        <f>IFERROR(__xludf.DUMMYFUNCTION("""COMPUTED_VALUE"""),"Bu Eva (SU)")</f>
        <v>Bu Eva (SU)</v>
      </c>
      <c r="I935" s="13" t="str">
        <f>IFERROR(__xludf.DUMMYFUNCTION("""COMPUTED_VALUE"""),"SELESAI (VIA PERMOHONAN)")</f>
        <v>SELESAI (VIA PERMOHONAN)</v>
      </c>
      <c r="J935" s="17">
        <f>IFERROR(__xludf.DUMMYFUNCTION("""COMPUTED_VALUE"""),45680.644103391205)</f>
        <v>45680.6441</v>
      </c>
      <c r="K935" s="13" t="str">
        <f>IFERROR(__xludf.DUMMYFUNCTION("""COMPUTED_VALUE"""),"Selesai")</f>
        <v>Selesai</v>
      </c>
      <c r="L935" s="17">
        <f>IFERROR(__xludf.DUMMYFUNCTION("""COMPUTED_VALUE"""),45680.644103391205)</f>
        <v>45680.6441</v>
      </c>
      <c r="M935" s="17">
        <f>IFERROR(__xludf.DUMMYFUNCTION("""COMPUTED_VALUE"""),45680.645058912036)</f>
        <v>45680.64506</v>
      </c>
      <c r="N935" s="13" t="str">
        <f>IFERROR(__xludf.DUMMYFUNCTION("""COMPUTED_VALUE"""),"")</f>
        <v/>
      </c>
      <c r="O935" s="13" t="str">
        <f t="shared" si="1"/>
        <v/>
      </c>
    </row>
    <row r="936" ht="22.5" customHeight="1">
      <c r="B936" s="13">
        <f>IFERROR(__xludf.DUMMYFUNCTION("""COMPUTED_VALUE"""),931.0)</f>
        <v>931</v>
      </c>
      <c r="C936" s="13" t="str">
        <f>IFERROR(__xludf.DUMMYFUNCTION("""COMPUTED_VALUE"""),"M.447/KORPRI RAYA")</f>
        <v>M.447/KORPRI RAYA</v>
      </c>
      <c r="D936" s="13" t="str">
        <f>IFERROR(__xludf.DUMMYFUNCTION("""COMPUTED_VALUE"""),"K/10/160125/2")</f>
        <v>K/10/160125/2</v>
      </c>
      <c r="E936" s="14" t="str">
        <f>IFERROR(__xludf.DUMMYFUNCTION("""COMPUTED_VALUE"""),"Nadian (BT)")</f>
        <v>Nadian (BT)</v>
      </c>
      <c r="F936" s="14" t="str">
        <f>IFERROR(__xludf.DUMMYFUNCTION("""COMPUTED_VALUE"""),"SELESAI (VIA PERMOHONAN)")</f>
        <v>SELESAI (VIA PERMOHONAN)</v>
      </c>
      <c r="G936" s="17">
        <f>IFERROR(__xludf.DUMMYFUNCTION("""COMPUTED_VALUE"""),45677.664210787036)</f>
        <v>45677.66421</v>
      </c>
      <c r="H936" s="14" t="str">
        <f>IFERROR(__xludf.DUMMYFUNCTION("""COMPUTED_VALUE"""),"Bu Eva (SU)")</f>
        <v>Bu Eva (SU)</v>
      </c>
      <c r="I936" s="13" t="str">
        <f>IFERROR(__xludf.DUMMYFUNCTION("""COMPUTED_VALUE"""),"SELESAI (VIA PERMOHONAN)")</f>
        <v>SELESAI (VIA PERMOHONAN)</v>
      </c>
      <c r="J936" s="17">
        <f>IFERROR(__xludf.DUMMYFUNCTION("""COMPUTED_VALUE"""),45680.64410340278)</f>
        <v>45680.6441</v>
      </c>
      <c r="K936" s="13" t="str">
        <f>IFERROR(__xludf.DUMMYFUNCTION("""COMPUTED_VALUE"""),"Selesai")</f>
        <v>Selesai</v>
      </c>
      <c r="L936" s="17">
        <f>IFERROR(__xludf.DUMMYFUNCTION("""COMPUTED_VALUE"""),45680.64410340278)</f>
        <v>45680.6441</v>
      </c>
      <c r="M936" s="17">
        <f>IFERROR(__xludf.DUMMYFUNCTION("""COMPUTED_VALUE"""),45680.645070706014)</f>
        <v>45680.64507</v>
      </c>
      <c r="N936" s="13" t="str">
        <f>IFERROR(__xludf.DUMMYFUNCTION("""COMPUTED_VALUE"""),"")</f>
        <v/>
      </c>
      <c r="O936" s="13" t="str">
        <f t="shared" si="1"/>
        <v/>
      </c>
    </row>
    <row r="937" ht="22.5" customHeight="1">
      <c r="B937" s="13">
        <f>IFERROR(__xludf.DUMMYFUNCTION("""COMPUTED_VALUE"""),932.0)</f>
        <v>932</v>
      </c>
      <c r="C937" s="13" t="str">
        <f>IFERROR(__xludf.DUMMYFUNCTION("""COMPUTED_VALUE"""),"M.1177/GULAK GALIK")</f>
        <v>M.1177/GULAK GALIK</v>
      </c>
      <c r="D937" s="13" t="str">
        <f>IFERROR(__xludf.DUMMYFUNCTION("""COMPUTED_VALUE"""),"K/9/160125/1")</f>
        <v>K/9/160125/1</v>
      </c>
      <c r="E937" s="14" t="str">
        <f>IFERROR(__xludf.DUMMYFUNCTION("""COMPUTED_VALUE"""),"Nadian (BT)")</f>
        <v>Nadian (BT)</v>
      </c>
      <c r="F937" s="14" t="str">
        <f>IFERROR(__xludf.DUMMYFUNCTION("""COMPUTED_VALUE"""),"SELESAI (VIA PERMOHONAN)")</f>
        <v>SELESAI (VIA PERMOHONAN)</v>
      </c>
      <c r="G937" s="17">
        <f>IFERROR(__xludf.DUMMYFUNCTION("""COMPUTED_VALUE"""),45677.664210787036)</f>
        <v>45677.66421</v>
      </c>
      <c r="H937" s="14" t="str">
        <f>IFERROR(__xludf.DUMMYFUNCTION("""COMPUTED_VALUE"""),"Bu Eva (SU)")</f>
        <v>Bu Eva (SU)</v>
      </c>
      <c r="I937" s="13" t="str">
        <f>IFERROR(__xludf.DUMMYFUNCTION("""COMPUTED_VALUE"""),"SELESAI (VIA PERMOHONAN)")</f>
        <v>SELESAI (VIA PERMOHONAN)</v>
      </c>
      <c r="J937" s="17">
        <f>IFERROR(__xludf.DUMMYFUNCTION("""COMPUTED_VALUE"""),45680.644160509255)</f>
        <v>45680.64416</v>
      </c>
      <c r="K937" s="13" t="str">
        <f>IFERROR(__xludf.DUMMYFUNCTION("""COMPUTED_VALUE"""),"Selesai")</f>
        <v>Selesai</v>
      </c>
      <c r="L937" s="17">
        <f>IFERROR(__xludf.DUMMYFUNCTION("""COMPUTED_VALUE"""),45680.644160509255)</f>
        <v>45680.64416</v>
      </c>
      <c r="M937" s="17">
        <f>IFERROR(__xludf.DUMMYFUNCTION("""COMPUTED_VALUE"""),45680.64507640046)</f>
        <v>45680.64508</v>
      </c>
      <c r="N937" s="13" t="str">
        <f>IFERROR(__xludf.DUMMYFUNCTION("""COMPUTED_VALUE"""),"")</f>
        <v/>
      </c>
      <c r="O937" s="13" t="str">
        <f t="shared" si="1"/>
        <v/>
      </c>
    </row>
    <row r="938" ht="22.5" customHeight="1">
      <c r="B938" s="13">
        <f>IFERROR(__xludf.DUMMYFUNCTION("""COMPUTED_VALUE"""),933.0)</f>
        <v>933</v>
      </c>
      <c r="C938" s="13" t="str">
        <f>IFERROR(__xludf.DUMMYFUNCTION("""COMPUTED_VALUE"""),"M. 12/ Perwata")</f>
        <v>M. 12/ Perwata</v>
      </c>
      <c r="D938" s="13" t="str">
        <f>IFERROR(__xludf.DUMMYFUNCTION("""COMPUTED_VALUE"""),"K/27/041224/1")</f>
        <v>K/27/041224/1</v>
      </c>
      <c r="E938" s="14" t="str">
        <f>IFERROR(__xludf.DUMMYFUNCTION("""COMPUTED_VALUE"""),"Nadian (BT)")</f>
        <v>Nadian (BT)</v>
      </c>
      <c r="F938" s="14" t="str">
        <f>IFERROR(__xludf.DUMMYFUNCTION("""COMPUTED_VALUE"""),"SELESAI (VIA PERMOHONAN)")</f>
        <v>SELESAI (VIA PERMOHONAN)</v>
      </c>
      <c r="G938" s="17">
        <f>IFERROR(__xludf.DUMMYFUNCTION("""COMPUTED_VALUE"""),45678.624646516204)</f>
        <v>45678.62465</v>
      </c>
      <c r="H938" s="14" t="str">
        <f>IFERROR(__xludf.DUMMYFUNCTION("""COMPUTED_VALUE"""),"Bu Eva (SU)")</f>
        <v>Bu Eva (SU)</v>
      </c>
      <c r="I938" s="13" t="str">
        <f>IFERROR(__xludf.DUMMYFUNCTION("""COMPUTED_VALUE"""),"SELESAI")</f>
        <v>SELESAI</v>
      </c>
      <c r="J938" s="17">
        <f>IFERROR(__xludf.DUMMYFUNCTION("""COMPUTED_VALUE"""),45678.62501174769)</f>
        <v>45678.62501</v>
      </c>
      <c r="K938" s="13" t="str">
        <f>IFERROR(__xludf.DUMMYFUNCTION("""COMPUTED_VALUE"""),"Selesai")</f>
        <v>Selesai</v>
      </c>
      <c r="L938" s="17">
        <f>IFERROR(__xludf.DUMMYFUNCTION("""COMPUTED_VALUE"""),45678.62501174769)</f>
        <v>45678.62501</v>
      </c>
      <c r="M938" s="17" t="str">
        <f>IFERROR(__xludf.DUMMYFUNCTION("""COMPUTED_VALUE"""),"")</f>
        <v/>
      </c>
      <c r="N938" s="17">
        <f>IFERROR(__xludf.DUMMYFUNCTION("""COMPUTED_VALUE"""),45679.46504667824)</f>
        <v>45679.46505</v>
      </c>
      <c r="O938" s="13">
        <f t="shared" si="1"/>
        <v>1</v>
      </c>
    </row>
    <row r="939" ht="22.5" customHeight="1">
      <c r="B939" s="13">
        <f>IFERROR(__xludf.DUMMYFUNCTION("""COMPUTED_VALUE"""),934.0)</f>
        <v>934</v>
      </c>
      <c r="C939" s="13" t="str">
        <f>IFERROR(__xludf.DUMMYFUNCTION("""COMPUTED_VALUE"""),"HM 1012/GOTONG ROYONG")</f>
        <v>HM 1012/GOTONG ROYONG</v>
      </c>
      <c r="D939" s="13" t="str">
        <f>IFERROR(__xludf.DUMMYFUNCTION("""COMPUTED_VALUE"""),"L/1/160125/1")</f>
        <v>L/1/160125/1</v>
      </c>
      <c r="E939" s="14" t="str">
        <f>IFERROR(__xludf.DUMMYFUNCTION("""COMPUTED_VALUE"""),"Nadian (BT)")</f>
        <v>Nadian (BT)</v>
      </c>
      <c r="F939" s="14" t="str">
        <f>IFERROR(__xludf.DUMMYFUNCTION("""COMPUTED_VALUE"""),"SELESAI")</f>
        <v>SELESAI</v>
      </c>
      <c r="G939" s="17">
        <f>IFERROR(__xludf.DUMMYFUNCTION("""COMPUTED_VALUE"""),45678.65896728009)</f>
        <v>45678.65897</v>
      </c>
      <c r="H939" s="14" t="str">
        <f>IFERROR(__xludf.DUMMYFUNCTION("""COMPUTED_VALUE"""),"Bu Eva (SU)")</f>
        <v>Bu Eva (SU)</v>
      </c>
      <c r="I939" s="13" t="str">
        <f>IFERROR(__xludf.DUMMYFUNCTION("""COMPUTED_VALUE"""),"SELESAI")</f>
        <v>SELESAI</v>
      </c>
      <c r="J939" s="17">
        <f>IFERROR(__xludf.DUMMYFUNCTION("""COMPUTED_VALUE"""),45679.46881021991)</f>
        <v>45679.46881</v>
      </c>
      <c r="K939" s="13" t="str">
        <f>IFERROR(__xludf.DUMMYFUNCTION("""COMPUTED_VALUE"""),"SELESAI")</f>
        <v>SELESAI</v>
      </c>
      <c r="L939" s="17">
        <f>IFERROR(__xludf.DUMMYFUNCTION("""COMPUTED_VALUE"""),45679.46881021991)</f>
        <v>45679.46881</v>
      </c>
      <c r="M939" s="17" t="str">
        <f>IFERROR(__xludf.DUMMYFUNCTION("""COMPUTED_VALUE"""),"")</f>
        <v/>
      </c>
      <c r="N939" s="17">
        <f>IFERROR(__xludf.DUMMYFUNCTION("""COMPUTED_VALUE"""),45679.468851909725)</f>
        <v>45679.46885</v>
      </c>
      <c r="O939" s="13">
        <f t="shared" si="1"/>
        <v>2</v>
      </c>
    </row>
    <row r="940" ht="22.5" customHeight="1">
      <c r="B940" s="13">
        <f>IFERROR(__xludf.DUMMYFUNCTION("""COMPUTED_VALUE"""),935.0)</f>
        <v>935</v>
      </c>
      <c r="C940" s="13" t="str">
        <f>IFERROR(__xludf.DUMMYFUNCTION("""COMPUTED_VALUE"""),"HM 1088/PWH")</f>
        <v>HM 1088/PWH</v>
      </c>
      <c r="D940" s="13" t="str">
        <f>IFERROR(__xludf.DUMMYFUNCTION("""COMPUTED_VALUE"""),"L/13/160125/1")</f>
        <v>L/13/160125/1</v>
      </c>
      <c r="E940" s="14" t="str">
        <f>IFERROR(__xludf.DUMMYFUNCTION("""COMPUTED_VALUE"""),"Nadian (BT)")</f>
        <v>Nadian (BT)</v>
      </c>
      <c r="F940" s="14" t="str">
        <f>IFERROR(__xludf.DUMMYFUNCTION("""COMPUTED_VALUE"""),"SELESAI")</f>
        <v>SELESAI</v>
      </c>
      <c r="G940" s="17">
        <f>IFERROR(__xludf.DUMMYFUNCTION("""COMPUTED_VALUE"""),45678.65896728009)</f>
        <v>45678.65897</v>
      </c>
      <c r="H940" s="14" t="str">
        <f>IFERROR(__xludf.DUMMYFUNCTION("""COMPUTED_VALUE"""),"Bu Eva (SU)")</f>
        <v>Bu Eva (SU)</v>
      </c>
      <c r="I940" s="13" t="str">
        <f>IFERROR(__xludf.DUMMYFUNCTION("""COMPUTED_VALUE"""),"SELESAI")</f>
        <v>SELESAI</v>
      </c>
      <c r="J940" s="17">
        <f>IFERROR(__xludf.DUMMYFUNCTION("""COMPUTED_VALUE"""),45679.46857334491)</f>
        <v>45679.46857</v>
      </c>
      <c r="K940" s="13" t="str">
        <f>IFERROR(__xludf.DUMMYFUNCTION("""COMPUTED_VALUE"""),"SELESAI")</f>
        <v>SELESAI</v>
      </c>
      <c r="L940" s="17">
        <f>IFERROR(__xludf.DUMMYFUNCTION("""COMPUTED_VALUE"""),45679.46857334491)</f>
        <v>45679.46857</v>
      </c>
      <c r="M940" s="17" t="str">
        <f>IFERROR(__xludf.DUMMYFUNCTION("""COMPUTED_VALUE"""),"")</f>
        <v/>
      </c>
      <c r="N940" s="17">
        <f>IFERROR(__xludf.DUMMYFUNCTION("""COMPUTED_VALUE"""),45679.4686065162)</f>
        <v>45679.46861</v>
      </c>
      <c r="O940" s="13">
        <f t="shared" si="1"/>
        <v>3</v>
      </c>
    </row>
    <row r="941" ht="22.5" customHeight="1">
      <c r="B941" s="13">
        <f>IFERROR(__xludf.DUMMYFUNCTION("""COMPUTED_VALUE"""),936.0)</f>
        <v>936</v>
      </c>
      <c r="C941" s="13" t="str">
        <f>IFERROR(__xludf.DUMMYFUNCTION("""COMPUTED_VALUE"""),"M. 177/ Pesawahan")</f>
        <v>M. 177/ Pesawahan</v>
      </c>
      <c r="D941" s="13" t="str">
        <f>IFERROR(__xludf.DUMMYFUNCTION("""COMPUTED_VALUE"""),"K/2/170125/1")</f>
        <v>K/2/170125/1</v>
      </c>
      <c r="E941" s="14" t="str">
        <f>IFERROR(__xludf.DUMMYFUNCTION("""COMPUTED_VALUE"""),"Nadian (BT)")</f>
        <v>Nadian (BT)</v>
      </c>
      <c r="F941" s="14" t="str">
        <f>IFERROR(__xludf.DUMMYFUNCTION("""COMPUTED_VALUE"""),"SELESAI")</f>
        <v>SELESAI</v>
      </c>
      <c r="G941" s="17">
        <f>IFERROR(__xludf.DUMMYFUNCTION("""COMPUTED_VALUE"""),45678.65896728009)</f>
        <v>45678.65897</v>
      </c>
      <c r="H941" s="14" t="str">
        <f>IFERROR(__xludf.DUMMYFUNCTION("""COMPUTED_VALUE"""),"Bu Eva (SU)")</f>
        <v>Bu Eva (SU)</v>
      </c>
      <c r="I941" s="13" t="str">
        <f>IFERROR(__xludf.DUMMYFUNCTION("""COMPUTED_VALUE"""),"SELESAI")</f>
        <v>SELESAI</v>
      </c>
      <c r="J941" s="17">
        <f>IFERROR(__xludf.DUMMYFUNCTION("""COMPUTED_VALUE"""),45679.464897962964)</f>
        <v>45679.4649</v>
      </c>
      <c r="K941" s="13" t="str">
        <f>IFERROR(__xludf.DUMMYFUNCTION("""COMPUTED_VALUE"""),"SELESAI")</f>
        <v>SELESAI</v>
      </c>
      <c r="L941" s="17">
        <f>IFERROR(__xludf.DUMMYFUNCTION("""COMPUTED_VALUE"""),45679.464897962964)</f>
        <v>45679.4649</v>
      </c>
      <c r="M941" s="17" t="str">
        <f>IFERROR(__xludf.DUMMYFUNCTION("""COMPUTED_VALUE"""),"")</f>
        <v/>
      </c>
      <c r="N941" s="17">
        <f>IFERROR(__xludf.DUMMYFUNCTION("""COMPUTED_VALUE"""),45679.46503609954)</f>
        <v>45679.46504</v>
      </c>
      <c r="O941" s="13">
        <f t="shared" si="1"/>
        <v>4</v>
      </c>
    </row>
    <row r="942" ht="22.5" customHeight="1">
      <c r="B942" s="13">
        <f>IFERROR(__xludf.DUMMYFUNCTION("""COMPUTED_VALUE"""),937.0)</f>
        <v>937</v>
      </c>
      <c r="C942" s="13" t="str">
        <f>IFERROR(__xludf.DUMMYFUNCTION("""COMPUTED_VALUE"""),"M.17679/SUKARAME I")</f>
        <v>M.17679/SUKARAME I</v>
      </c>
      <c r="D942" s="13" t="str">
        <f>IFERROR(__xludf.DUMMYFUNCTION("""COMPUTED_VALUE"""),"K/21/150125/1")</f>
        <v>K/21/150125/1</v>
      </c>
      <c r="E942" s="14" t="str">
        <f>IFERROR(__xludf.DUMMYFUNCTION("""COMPUTED_VALUE"""),"Nadian (BT)")</f>
        <v>Nadian (BT)</v>
      </c>
      <c r="F942" s="14" t="str">
        <f>IFERROR(__xludf.DUMMYFUNCTION("""COMPUTED_VALUE"""),"SELESAI")</f>
        <v>SELESAI</v>
      </c>
      <c r="G942" s="17">
        <f>IFERROR(__xludf.DUMMYFUNCTION("""COMPUTED_VALUE"""),45678.65896728009)</f>
        <v>45678.65897</v>
      </c>
      <c r="H942" s="14" t="str">
        <f>IFERROR(__xludf.DUMMYFUNCTION("""COMPUTED_VALUE"""),"Bu Eva (SU)")</f>
        <v>Bu Eva (SU)</v>
      </c>
      <c r="I942" s="13" t="str">
        <f>IFERROR(__xludf.DUMMYFUNCTION("""COMPUTED_VALUE"""),"SELESAI")</f>
        <v>SELESAI</v>
      </c>
      <c r="J942" s="17">
        <f>IFERROR(__xludf.DUMMYFUNCTION("""COMPUTED_VALUE"""),45679.46453658565)</f>
        <v>45679.46454</v>
      </c>
      <c r="K942" s="13" t="str">
        <f>IFERROR(__xludf.DUMMYFUNCTION("""COMPUTED_VALUE"""),"SELESAI")</f>
        <v>SELESAI</v>
      </c>
      <c r="L942" s="17">
        <f>IFERROR(__xludf.DUMMYFUNCTION("""COMPUTED_VALUE"""),45679.46453658565)</f>
        <v>45679.46454</v>
      </c>
      <c r="M942" s="17" t="str">
        <f>IFERROR(__xludf.DUMMYFUNCTION("""COMPUTED_VALUE"""),"")</f>
        <v/>
      </c>
      <c r="N942" s="17">
        <f>IFERROR(__xludf.DUMMYFUNCTION("""COMPUTED_VALUE"""),45679.46457545139)</f>
        <v>45679.46458</v>
      </c>
      <c r="O942" s="13">
        <f t="shared" si="1"/>
        <v>5</v>
      </c>
    </row>
    <row r="943" ht="22.5" customHeight="1">
      <c r="B943" s="13">
        <f>IFERROR(__xludf.DUMMYFUNCTION("""COMPUTED_VALUE"""),938.0)</f>
        <v>938</v>
      </c>
      <c r="C943" s="13" t="str">
        <f>IFERROR(__xludf.DUMMYFUNCTION("""COMPUTED_VALUE"""),"M. 11177/ Segala Mider")</f>
        <v>M. 11177/ Segala Mider</v>
      </c>
      <c r="D943" s="13" t="str">
        <f>IFERROR(__xludf.DUMMYFUNCTION("""COMPUTED_VALUE"""),"K/16/150125/2")</f>
        <v>K/16/150125/2</v>
      </c>
      <c r="E943" s="14" t="str">
        <f>IFERROR(__xludf.DUMMYFUNCTION("""COMPUTED_VALUE"""),"Nadian (BT)")</f>
        <v>Nadian (BT)</v>
      </c>
      <c r="F943" s="14" t="str">
        <f>IFERROR(__xludf.DUMMYFUNCTION("""COMPUTED_VALUE"""),"SELESAI")</f>
        <v>SELESAI</v>
      </c>
      <c r="G943" s="17">
        <f>IFERROR(__xludf.DUMMYFUNCTION("""COMPUTED_VALUE"""),45678.65896728009)</f>
        <v>45678.65897</v>
      </c>
      <c r="H943" s="14" t="str">
        <f>IFERROR(__xludf.DUMMYFUNCTION("""COMPUTED_VALUE"""),"Bu Eva (SU)")</f>
        <v>Bu Eva (SU)</v>
      </c>
      <c r="I943" s="13" t="str">
        <f>IFERROR(__xludf.DUMMYFUNCTION("""COMPUTED_VALUE"""),"SELESAI")</f>
        <v>SELESAI</v>
      </c>
      <c r="J943" s="17">
        <f>IFERROR(__xludf.DUMMYFUNCTION("""COMPUTED_VALUE"""),45679.46830166667)</f>
        <v>45679.4683</v>
      </c>
      <c r="K943" s="13" t="str">
        <f>IFERROR(__xludf.DUMMYFUNCTION("""COMPUTED_VALUE"""),"SELESAI")</f>
        <v>SELESAI</v>
      </c>
      <c r="L943" s="17">
        <f>IFERROR(__xludf.DUMMYFUNCTION("""COMPUTED_VALUE"""),45679.46830166667)</f>
        <v>45679.4683</v>
      </c>
      <c r="M943" s="17" t="str">
        <f>IFERROR(__xludf.DUMMYFUNCTION("""COMPUTED_VALUE"""),"")</f>
        <v/>
      </c>
      <c r="N943" s="17">
        <f>IFERROR(__xludf.DUMMYFUNCTION("""COMPUTED_VALUE"""),45679.46833775463)</f>
        <v>45679.46834</v>
      </c>
      <c r="O943" s="13">
        <f t="shared" si="1"/>
        <v>6</v>
      </c>
    </row>
    <row r="944" ht="22.5" customHeight="1">
      <c r="B944" s="13">
        <f>IFERROR(__xludf.DUMMYFUNCTION("""COMPUTED_VALUE"""),939.0)</f>
        <v>939</v>
      </c>
      <c r="C944" s="13" t="str">
        <f>IFERROR(__xludf.DUMMYFUNCTION("""COMPUTED_VALUE"""),"HM 12010/SUKABUMI")</f>
        <v>HM 12010/SUKABUMI</v>
      </c>
      <c r="D944" s="13" t="str">
        <f>IFERROR(__xludf.DUMMYFUNCTION("""COMPUTED_VALUE"""),"L/17/150125/1")</f>
        <v>L/17/150125/1</v>
      </c>
      <c r="E944" s="14" t="str">
        <f>IFERROR(__xludf.DUMMYFUNCTION("""COMPUTED_VALUE"""),"Nadian (BT)")</f>
        <v>Nadian (BT)</v>
      </c>
      <c r="F944" s="14" t="str">
        <f>IFERROR(__xludf.DUMMYFUNCTION("""COMPUTED_VALUE"""),"SELESAI")</f>
        <v>SELESAI</v>
      </c>
      <c r="G944" s="17">
        <f>IFERROR(__xludf.DUMMYFUNCTION("""COMPUTED_VALUE"""),45678.65896728009)</f>
        <v>45678.65897</v>
      </c>
      <c r="H944" s="14" t="str">
        <f>IFERROR(__xludf.DUMMYFUNCTION("""COMPUTED_VALUE"""),"Bu Eva (SU)")</f>
        <v>Bu Eva (SU)</v>
      </c>
      <c r="I944" s="13" t="str">
        <f>IFERROR(__xludf.DUMMYFUNCTION("""COMPUTED_VALUE"""),"SELESAI")</f>
        <v>SELESAI</v>
      </c>
      <c r="J944" s="17">
        <f>IFERROR(__xludf.DUMMYFUNCTION("""COMPUTED_VALUE"""),45679.46398748843)</f>
        <v>45679.46399</v>
      </c>
      <c r="K944" s="13" t="str">
        <f>IFERROR(__xludf.DUMMYFUNCTION("""COMPUTED_VALUE"""),"SELESAI")</f>
        <v>SELESAI</v>
      </c>
      <c r="L944" s="17">
        <f>IFERROR(__xludf.DUMMYFUNCTION("""COMPUTED_VALUE"""),45679.46398748843)</f>
        <v>45679.46399</v>
      </c>
      <c r="M944" s="17" t="str">
        <f>IFERROR(__xludf.DUMMYFUNCTION("""COMPUTED_VALUE"""),"")</f>
        <v/>
      </c>
      <c r="N944" s="17">
        <f>IFERROR(__xludf.DUMMYFUNCTION("""COMPUTED_VALUE"""),45679.46404021991)</f>
        <v>45679.46404</v>
      </c>
      <c r="O944" s="13">
        <f t="shared" si="1"/>
        <v>7</v>
      </c>
    </row>
    <row r="945" ht="22.5" customHeight="1">
      <c r="B945" s="13">
        <f>IFERROR(__xludf.DUMMYFUNCTION("""COMPUTED_VALUE"""),940.0)</f>
        <v>940</v>
      </c>
      <c r="C945" s="13" t="str">
        <f>IFERROR(__xludf.DUMMYFUNCTION("""COMPUTED_VALUE"""),"B. 1935/ Sukabumi")</f>
        <v>B. 1935/ Sukabumi</v>
      </c>
      <c r="D945" s="13" t="str">
        <f>IFERROR(__xludf.DUMMYFUNCTION("""COMPUTED_VALUE"""),"K/1/150125/1")</f>
        <v>K/1/150125/1</v>
      </c>
      <c r="E945" s="14" t="str">
        <f>IFERROR(__xludf.DUMMYFUNCTION("""COMPUTED_VALUE"""),"Nadian (BT)")</f>
        <v>Nadian (BT)</v>
      </c>
      <c r="F945" s="14" t="str">
        <f>IFERROR(__xludf.DUMMYFUNCTION("""COMPUTED_VALUE"""),"SELESAI")</f>
        <v>SELESAI</v>
      </c>
      <c r="G945" s="17">
        <f>IFERROR(__xludf.DUMMYFUNCTION("""COMPUTED_VALUE"""),45678.65896728009)</f>
        <v>45678.65897</v>
      </c>
      <c r="H945" s="14" t="str">
        <f>IFERROR(__xludf.DUMMYFUNCTION("""COMPUTED_VALUE"""),"Bu Eva (SU)")</f>
        <v>Bu Eva (SU)</v>
      </c>
      <c r="I945" s="13" t="str">
        <f>IFERROR(__xludf.DUMMYFUNCTION("""COMPUTED_VALUE"""),"SELESAI")</f>
        <v>SELESAI</v>
      </c>
      <c r="J945" s="17">
        <f>IFERROR(__xludf.DUMMYFUNCTION("""COMPUTED_VALUE"""),45679.46650368055)</f>
        <v>45679.4665</v>
      </c>
      <c r="K945" s="13" t="str">
        <f>IFERROR(__xludf.DUMMYFUNCTION("""COMPUTED_VALUE"""),"SELESAI")</f>
        <v>SELESAI</v>
      </c>
      <c r="L945" s="17">
        <f>IFERROR(__xludf.DUMMYFUNCTION("""COMPUTED_VALUE"""),45679.46650368055)</f>
        <v>45679.4665</v>
      </c>
      <c r="M945" s="17" t="str">
        <f>IFERROR(__xludf.DUMMYFUNCTION("""COMPUTED_VALUE"""),"")</f>
        <v/>
      </c>
      <c r="N945" s="17">
        <f>IFERROR(__xludf.DUMMYFUNCTION("""COMPUTED_VALUE"""),45679.46836053241)</f>
        <v>45679.46836</v>
      </c>
      <c r="O945" s="13">
        <f t="shared" si="1"/>
        <v>8</v>
      </c>
    </row>
    <row r="946" ht="22.5" customHeight="1">
      <c r="B946" s="13">
        <f>IFERROR(__xludf.DUMMYFUNCTION("""COMPUTED_VALUE"""),941.0)</f>
        <v>941</v>
      </c>
      <c r="C946" s="13" t="str">
        <f>IFERROR(__xludf.DUMMYFUNCTION("""COMPUTED_VALUE"""),"M. 169/ Kemiling raya")</f>
        <v>M. 169/ Kemiling raya</v>
      </c>
      <c r="D946" s="13" t="str">
        <f>IFERROR(__xludf.DUMMYFUNCTION("""COMPUTED_VALUE"""),"K/6/170125/1")</f>
        <v>K/6/170125/1</v>
      </c>
      <c r="E946" s="14" t="str">
        <f>IFERROR(__xludf.DUMMYFUNCTION("""COMPUTED_VALUE"""),"Nadian (BT)")</f>
        <v>Nadian (BT)</v>
      </c>
      <c r="F946" s="14" t="str">
        <f>IFERROR(__xludf.DUMMYFUNCTION("""COMPUTED_VALUE"""),"SELESAI")</f>
        <v>SELESAI</v>
      </c>
      <c r="G946" s="17">
        <f>IFERROR(__xludf.DUMMYFUNCTION("""COMPUTED_VALUE"""),45678.65896728009)</f>
        <v>45678.65897</v>
      </c>
      <c r="H946" s="14" t="str">
        <f>IFERROR(__xludf.DUMMYFUNCTION("""COMPUTED_VALUE"""),"Bu Eva (SU)")</f>
        <v>Bu Eva (SU)</v>
      </c>
      <c r="I946" s="13" t="str">
        <f>IFERROR(__xludf.DUMMYFUNCTION("""COMPUTED_VALUE"""),"SELESAI")</f>
        <v>SELESAI</v>
      </c>
      <c r="J946" s="17">
        <f>IFERROR(__xludf.DUMMYFUNCTION("""COMPUTED_VALUE"""),45679.46652054398)</f>
        <v>45679.46652</v>
      </c>
      <c r="K946" s="13" t="str">
        <f>IFERROR(__xludf.DUMMYFUNCTION("""COMPUTED_VALUE"""),"SELESAI")</f>
        <v>SELESAI</v>
      </c>
      <c r="L946" s="17">
        <f>IFERROR(__xludf.DUMMYFUNCTION("""COMPUTED_VALUE"""),45679.46652054398)</f>
        <v>45679.46652</v>
      </c>
      <c r="M946" s="17" t="str">
        <f>IFERROR(__xludf.DUMMYFUNCTION("""COMPUTED_VALUE"""),"")</f>
        <v/>
      </c>
      <c r="N946" s="17">
        <f>IFERROR(__xludf.DUMMYFUNCTION("""COMPUTED_VALUE"""),45679.46836938657)</f>
        <v>45679.46837</v>
      </c>
      <c r="O946" s="13">
        <f t="shared" si="1"/>
        <v>9</v>
      </c>
    </row>
    <row r="947" ht="22.5" customHeight="1">
      <c r="B947" s="13">
        <f>IFERROR(__xludf.DUMMYFUNCTION("""COMPUTED_VALUE"""),942.0)</f>
        <v>942</v>
      </c>
      <c r="C947" s="13" t="str">
        <f>IFERROR(__xludf.DUMMYFUNCTION("""COMPUTED_VALUE"""),"HM 12591/SUKARAME")</f>
        <v>HM 12591/SUKARAME</v>
      </c>
      <c r="D947" s="13" t="str">
        <f>IFERROR(__xludf.DUMMYFUNCTION("""COMPUTED_VALUE"""),"L/4/170125/1")</f>
        <v>L/4/170125/1</v>
      </c>
      <c r="E947" s="14" t="str">
        <f>IFERROR(__xludf.DUMMYFUNCTION("""COMPUTED_VALUE"""),"Nadian (BT)")</f>
        <v>Nadian (BT)</v>
      </c>
      <c r="F947" s="14" t="str">
        <f>IFERROR(__xludf.DUMMYFUNCTION("""COMPUTED_VALUE"""),"SELESAI")</f>
        <v>SELESAI</v>
      </c>
      <c r="G947" s="17">
        <f>IFERROR(__xludf.DUMMYFUNCTION("""COMPUTED_VALUE"""),45678.65896728009)</f>
        <v>45678.65897</v>
      </c>
      <c r="H947" s="14" t="str">
        <f>IFERROR(__xludf.DUMMYFUNCTION("""COMPUTED_VALUE"""),"Bu Eva (SU)")</f>
        <v>Bu Eva (SU)</v>
      </c>
      <c r="I947" s="13" t="str">
        <f>IFERROR(__xludf.DUMMYFUNCTION("""COMPUTED_VALUE"""),"SELESAI")</f>
        <v>SELESAI</v>
      </c>
      <c r="J947" s="17">
        <f>IFERROR(__xludf.DUMMYFUNCTION("""COMPUTED_VALUE"""),45679.46606274306)</f>
        <v>45679.46606</v>
      </c>
      <c r="K947" s="13" t="str">
        <f>IFERROR(__xludf.DUMMYFUNCTION("""COMPUTED_VALUE"""),"SELESAI")</f>
        <v>SELESAI</v>
      </c>
      <c r="L947" s="17">
        <f>IFERROR(__xludf.DUMMYFUNCTION("""COMPUTED_VALUE"""),45679.46606274306)</f>
        <v>45679.46606</v>
      </c>
      <c r="M947" s="17" t="str">
        <f>IFERROR(__xludf.DUMMYFUNCTION("""COMPUTED_VALUE"""),"")</f>
        <v/>
      </c>
      <c r="N947" s="17">
        <f>IFERROR(__xludf.DUMMYFUNCTION("""COMPUTED_VALUE"""),45679.46608802083)</f>
        <v>45679.46609</v>
      </c>
      <c r="O947" s="13">
        <f t="shared" si="1"/>
        <v>10</v>
      </c>
    </row>
    <row r="948" ht="22.5" customHeight="1">
      <c r="B948" s="13">
        <f>IFERROR(__xludf.DUMMYFUNCTION("""COMPUTED_VALUE"""),943.0)</f>
        <v>943</v>
      </c>
      <c r="C948" s="13" t="str">
        <f>IFERROR(__xludf.DUMMYFUNCTION("""COMPUTED_VALUE"""),"M. 2976; 2813; 2977/ Sukarame II")</f>
        <v>M. 2976; 2813; 2977/ Sukarame II</v>
      </c>
      <c r="D948" s="13" t="str">
        <f>IFERROR(__xludf.DUMMYFUNCTION("""COMPUTED_VALUE"""),"K/12/160125/1")</f>
        <v>K/12/160125/1</v>
      </c>
      <c r="E948" s="14" t="str">
        <f>IFERROR(__xludf.DUMMYFUNCTION("""COMPUTED_VALUE"""),"Nadian (BT)")</f>
        <v>Nadian (BT)</v>
      </c>
      <c r="F948" s="14" t="str">
        <f>IFERROR(__xludf.DUMMYFUNCTION("""COMPUTED_VALUE"""),"SELESAI")</f>
        <v>SELESAI</v>
      </c>
      <c r="G948" s="17">
        <f>IFERROR(__xludf.DUMMYFUNCTION("""COMPUTED_VALUE"""),45678.65896728009)</f>
        <v>45678.65897</v>
      </c>
      <c r="H948" s="14" t="str">
        <f>IFERROR(__xludf.DUMMYFUNCTION("""COMPUTED_VALUE"""),"Bu Eva (SU)")</f>
        <v>Bu Eva (SU)</v>
      </c>
      <c r="I948" s="13" t="str">
        <f>IFERROR(__xludf.DUMMYFUNCTION("""COMPUTED_VALUE"""),"SELESAI")</f>
        <v>SELESAI</v>
      </c>
      <c r="J948" s="17">
        <f>IFERROR(__xludf.DUMMYFUNCTION("""COMPUTED_VALUE"""),45679.469765208334)</f>
        <v>45679.46977</v>
      </c>
      <c r="K948" s="13" t="str">
        <f>IFERROR(__xludf.DUMMYFUNCTION("""COMPUTED_VALUE"""),"SELESAI")</f>
        <v>SELESAI</v>
      </c>
      <c r="L948" s="17">
        <f>IFERROR(__xludf.DUMMYFUNCTION("""COMPUTED_VALUE"""),45679.469765208334)</f>
        <v>45679.46977</v>
      </c>
      <c r="M948" s="17" t="str">
        <f>IFERROR(__xludf.DUMMYFUNCTION("""COMPUTED_VALUE"""),"")</f>
        <v/>
      </c>
      <c r="N948" s="17">
        <f>IFERROR(__xludf.DUMMYFUNCTION("""COMPUTED_VALUE"""),45679.469607465275)</f>
        <v>45679.46961</v>
      </c>
      <c r="O948" s="13">
        <f t="shared" si="1"/>
        <v>11</v>
      </c>
    </row>
    <row r="949" ht="22.5" customHeight="1">
      <c r="B949" s="13">
        <f>IFERROR(__xludf.DUMMYFUNCTION("""COMPUTED_VALUE"""),944.0)</f>
        <v>944</v>
      </c>
      <c r="C949" s="13" t="str">
        <f>IFERROR(__xludf.DUMMYFUNCTION("""COMPUTED_VALUE"""),"M. 13979/ Sukabumi")</f>
        <v>M. 13979/ Sukabumi</v>
      </c>
      <c r="D949" s="13" t="str">
        <f>IFERROR(__xludf.DUMMYFUNCTION("""COMPUTED_VALUE"""),"K/7/160125/1")</f>
        <v>K/7/160125/1</v>
      </c>
      <c r="E949" s="14" t="str">
        <f>IFERROR(__xludf.DUMMYFUNCTION("""COMPUTED_VALUE"""),"Nadian (BT)")</f>
        <v>Nadian (BT)</v>
      </c>
      <c r="F949" s="14" t="str">
        <f>IFERROR(__xludf.DUMMYFUNCTION("""COMPUTED_VALUE"""),"SELESAI")</f>
        <v>SELESAI</v>
      </c>
      <c r="G949" s="17">
        <f>IFERROR(__xludf.DUMMYFUNCTION("""COMPUTED_VALUE"""),45678.65896728009)</f>
        <v>45678.65897</v>
      </c>
      <c r="H949" s="14" t="str">
        <f>IFERROR(__xludf.DUMMYFUNCTION("""COMPUTED_VALUE"""),"Bu Eva (SU)")</f>
        <v>Bu Eva (SU)</v>
      </c>
      <c r="I949" s="13" t="str">
        <f>IFERROR(__xludf.DUMMYFUNCTION("""COMPUTED_VALUE"""),"SELESAI")</f>
        <v>SELESAI</v>
      </c>
      <c r="J949" s="17">
        <f>IFERROR(__xludf.DUMMYFUNCTION("""COMPUTED_VALUE"""),45679.46574384259)</f>
        <v>45679.46574</v>
      </c>
      <c r="K949" s="13" t="str">
        <f>IFERROR(__xludf.DUMMYFUNCTION("""COMPUTED_VALUE"""),"SELESAI")</f>
        <v>SELESAI</v>
      </c>
      <c r="L949" s="17">
        <f>IFERROR(__xludf.DUMMYFUNCTION("""COMPUTED_VALUE"""),45679.46574384259)</f>
        <v>45679.46574</v>
      </c>
      <c r="M949" s="17" t="str">
        <f>IFERROR(__xludf.DUMMYFUNCTION("""COMPUTED_VALUE"""),"")</f>
        <v/>
      </c>
      <c r="N949" s="17">
        <f>IFERROR(__xludf.DUMMYFUNCTION("""COMPUTED_VALUE"""),45679.46577900463)</f>
        <v>45679.46578</v>
      </c>
      <c r="O949" s="13">
        <f t="shared" si="1"/>
        <v>12</v>
      </c>
    </row>
    <row r="950" ht="22.5" customHeight="1">
      <c r="B950" s="13">
        <f>IFERROR(__xludf.DUMMYFUNCTION("""COMPUTED_VALUE"""),945.0)</f>
        <v>945</v>
      </c>
      <c r="C950" s="13" t="str">
        <f>IFERROR(__xludf.DUMMYFUNCTION("""COMPUTED_VALUE"""),"M. 877/ Kupang Kota")</f>
        <v>M. 877/ Kupang Kota</v>
      </c>
      <c r="D950" s="13" t="str">
        <f>IFERROR(__xludf.DUMMYFUNCTION("""COMPUTED_VALUE"""),"K/15/150125/1")</f>
        <v>K/15/150125/1</v>
      </c>
      <c r="E950" s="14" t="str">
        <f>IFERROR(__xludf.DUMMYFUNCTION("""COMPUTED_VALUE"""),"Nadian (BT)")</f>
        <v>Nadian (BT)</v>
      </c>
      <c r="F950" s="14" t="str">
        <f>IFERROR(__xludf.DUMMYFUNCTION("""COMPUTED_VALUE"""),"SELESAI")</f>
        <v>SELESAI</v>
      </c>
      <c r="G950" s="17">
        <f>IFERROR(__xludf.DUMMYFUNCTION("""COMPUTED_VALUE"""),45678.65896728009)</f>
        <v>45678.65897</v>
      </c>
      <c r="H950" s="14" t="str">
        <f>IFERROR(__xludf.DUMMYFUNCTION("""COMPUTED_VALUE"""),"Bu Eva (SU)")</f>
        <v>Bu Eva (SU)</v>
      </c>
      <c r="I950" s="13" t="str">
        <f>IFERROR(__xludf.DUMMYFUNCTION("""COMPUTED_VALUE"""),"SELESAI")</f>
        <v>SELESAI</v>
      </c>
      <c r="J950" s="17">
        <f>IFERROR(__xludf.DUMMYFUNCTION("""COMPUTED_VALUE"""),45679.464290752316)</f>
        <v>45679.46429</v>
      </c>
      <c r="K950" s="13" t="str">
        <f>IFERROR(__xludf.DUMMYFUNCTION("""COMPUTED_VALUE"""),"SELESAI")</f>
        <v>SELESAI</v>
      </c>
      <c r="L950" s="17">
        <f>IFERROR(__xludf.DUMMYFUNCTION("""COMPUTED_VALUE"""),45679.464290752316)</f>
        <v>45679.46429</v>
      </c>
      <c r="M950" s="17" t="str">
        <f>IFERROR(__xludf.DUMMYFUNCTION("""COMPUTED_VALUE"""),"")</f>
        <v/>
      </c>
      <c r="N950" s="17">
        <f>IFERROR(__xludf.DUMMYFUNCTION("""COMPUTED_VALUE"""),45679.46433664352)</f>
        <v>45679.46434</v>
      </c>
      <c r="O950" s="13">
        <f t="shared" si="1"/>
        <v>13</v>
      </c>
    </row>
    <row r="951" ht="22.5" customHeight="1">
      <c r="B951" s="13">
        <f>IFERROR(__xludf.DUMMYFUNCTION("""COMPUTED_VALUE"""),946.0)</f>
        <v>946</v>
      </c>
      <c r="C951" s="13" t="str">
        <f>IFERROR(__xludf.DUMMYFUNCTION("""COMPUTED_VALUE"""),"B. 156/ Sukaraja")</f>
        <v>B. 156/ Sukaraja</v>
      </c>
      <c r="D951" s="13" t="str">
        <f>IFERROR(__xludf.DUMMYFUNCTION("""COMPUTED_VALUE"""),"K/4/150125/1")</f>
        <v>K/4/150125/1</v>
      </c>
      <c r="E951" s="14" t="str">
        <f>IFERROR(__xludf.DUMMYFUNCTION("""COMPUTED_VALUE"""),"Nadian (BT)")</f>
        <v>Nadian (BT)</v>
      </c>
      <c r="F951" s="14" t="str">
        <f>IFERROR(__xludf.DUMMYFUNCTION("""COMPUTED_VALUE"""),"SELESAI")</f>
        <v>SELESAI</v>
      </c>
      <c r="G951" s="17">
        <f>IFERROR(__xludf.DUMMYFUNCTION("""COMPUTED_VALUE"""),45678.65896728009)</f>
        <v>45678.65897</v>
      </c>
      <c r="H951" s="14" t="str">
        <f>IFERROR(__xludf.DUMMYFUNCTION("""COMPUTED_VALUE"""),"Bu Eva (SU)")</f>
        <v>Bu Eva (SU)</v>
      </c>
      <c r="I951" s="13" t="str">
        <f>IFERROR(__xludf.DUMMYFUNCTION("""COMPUTED_VALUE"""),"SELESAI")</f>
        <v>SELESAI</v>
      </c>
      <c r="J951" s="17">
        <f>IFERROR(__xludf.DUMMYFUNCTION("""COMPUTED_VALUE"""),45679.46543768518)</f>
        <v>45679.46544</v>
      </c>
      <c r="K951" s="13" t="str">
        <f>IFERROR(__xludf.DUMMYFUNCTION("""COMPUTED_VALUE"""),"SELESAI")</f>
        <v>SELESAI</v>
      </c>
      <c r="L951" s="17">
        <f>IFERROR(__xludf.DUMMYFUNCTION("""COMPUTED_VALUE"""),45679.46543768518)</f>
        <v>45679.46544</v>
      </c>
      <c r="M951" s="17" t="str">
        <f>IFERROR(__xludf.DUMMYFUNCTION("""COMPUTED_VALUE"""),"")</f>
        <v/>
      </c>
      <c r="N951" s="17">
        <f>IFERROR(__xludf.DUMMYFUNCTION("""COMPUTED_VALUE"""),45679.465466388894)</f>
        <v>45679.46547</v>
      </c>
      <c r="O951" s="13">
        <f t="shared" si="1"/>
        <v>14</v>
      </c>
    </row>
    <row r="952" ht="22.5" customHeight="1">
      <c r="B952" s="13">
        <f>IFERROR(__xludf.DUMMYFUNCTION("""COMPUTED_VALUE"""),947.0)</f>
        <v>947</v>
      </c>
      <c r="C952" s="13" t="str">
        <f>IFERROR(__xludf.DUMMYFUNCTION("""COMPUTED_VALUE"""),"M.3003/SUKARAME BARU")</f>
        <v>M.3003/SUKARAME BARU</v>
      </c>
      <c r="D952" s="13" t="str">
        <f>IFERROR(__xludf.DUMMYFUNCTION("""COMPUTED_VALUE"""),"K/17/170125/1")</f>
        <v>K/17/170125/1</v>
      </c>
      <c r="E952" s="14" t="str">
        <f>IFERROR(__xludf.DUMMYFUNCTION("""COMPUTED_VALUE"""),"Nadian (BT)")</f>
        <v>Nadian (BT)</v>
      </c>
      <c r="F952" s="14" t="str">
        <f>IFERROR(__xludf.DUMMYFUNCTION("""COMPUTED_VALUE"""),"SELESAI (VIA PERMOHONAN)")</f>
        <v>SELESAI (VIA PERMOHONAN)</v>
      </c>
      <c r="G952" s="17">
        <f>IFERROR(__xludf.DUMMYFUNCTION("""COMPUTED_VALUE"""),45678.66006805556)</f>
        <v>45678.66007</v>
      </c>
      <c r="H952" s="14" t="str">
        <f>IFERROR(__xludf.DUMMYFUNCTION("""COMPUTED_VALUE"""),"Bu Eva (SU)")</f>
        <v>Bu Eva (SU)</v>
      </c>
      <c r="I952" s="13" t="str">
        <f>IFERROR(__xludf.DUMMYFUNCTION("""COMPUTED_VALUE"""),"SELESAI (VIA PERMOHONAN)")</f>
        <v>SELESAI (VIA PERMOHONAN)</v>
      </c>
      <c r="J952" s="17">
        <f>IFERROR(__xludf.DUMMYFUNCTION("""COMPUTED_VALUE"""),45680.64428461806)</f>
        <v>45680.64428</v>
      </c>
      <c r="K952" s="13" t="str">
        <f>IFERROR(__xludf.DUMMYFUNCTION("""COMPUTED_VALUE"""),"Selesai")</f>
        <v>Selesai</v>
      </c>
      <c r="L952" s="17">
        <f>IFERROR(__xludf.DUMMYFUNCTION("""COMPUTED_VALUE"""),45680.64428461806)</f>
        <v>45680.64428</v>
      </c>
      <c r="M952" s="17">
        <f>IFERROR(__xludf.DUMMYFUNCTION("""COMPUTED_VALUE"""),45680.64493038194)</f>
        <v>45680.64493</v>
      </c>
      <c r="N952" s="13" t="str">
        <f>IFERROR(__xludf.DUMMYFUNCTION("""COMPUTED_VALUE"""),"")</f>
        <v/>
      </c>
      <c r="O952" s="13" t="str">
        <f t="shared" si="1"/>
        <v/>
      </c>
    </row>
    <row r="953" ht="22.5" customHeight="1">
      <c r="B953" s="13">
        <f>IFERROR(__xludf.DUMMYFUNCTION("""COMPUTED_VALUE"""),948.0)</f>
        <v>948</v>
      </c>
      <c r="C953" s="13" t="str">
        <f>IFERROR(__xludf.DUMMYFUNCTION("""COMPUTED_VALUE"""),"M. 220/ Beringin Jaya")</f>
        <v>M. 220/ Beringin Jaya</v>
      </c>
      <c r="D953" s="13" t="str">
        <f>IFERROR(__xludf.DUMMYFUNCTION("""COMPUTED_VALUE"""),"K/20/090125/1")</f>
        <v>K/20/090125/1</v>
      </c>
      <c r="E953" s="14" t="str">
        <f>IFERROR(__xludf.DUMMYFUNCTION("""COMPUTED_VALUE"""),"Nadian (BT)")</f>
        <v>Nadian (BT)</v>
      </c>
      <c r="F953" s="14" t="str">
        <f>IFERROR(__xludf.DUMMYFUNCTION("""COMPUTED_VALUE"""),"SELESAI (VIA PERMOHONAN)")</f>
        <v>SELESAI (VIA PERMOHONAN)</v>
      </c>
      <c r="G953" s="17">
        <f>IFERROR(__xludf.DUMMYFUNCTION("""COMPUTED_VALUE"""),45678.66006805556)</f>
        <v>45678.66007</v>
      </c>
      <c r="H953" s="14" t="str">
        <f>IFERROR(__xludf.DUMMYFUNCTION("""COMPUTED_VALUE"""),"Bu Eva (SU)")</f>
        <v>Bu Eva (SU)</v>
      </c>
      <c r="I953" s="13" t="str">
        <f>IFERROR(__xludf.DUMMYFUNCTION("""COMPUTED_VALUE"""),"SELESAI (VIA PERMOHONAN)")</f>
        <v>SELESAI (VIA PERMOHONAN)</v>
      </c>
      <c r="J953" s="17">
        <f>IFERROR(__xludf.DUMMYFUNCTION("""COMPUTED_VALUE"""),45680.64430771991)</f>
        <v>45680.64431</v>
      </c>
      <c r="K953" s="13" t="str">
        <f>IFERROR(__xludf.DUMMYFUNCTION("""COMPUTED_VALUE"""),"Selesai")</f>
        <v>Selesai</v>
      </c>
      <c r="L953" s="17">
        <f>IFERROR(__xludf.DUMMYFUNCTION("""COMPUTED_VALUE"""),45680.64430771991)</f>
        <v>45680.64431</v>
      </c>
      <c r="M953" s="17">
        <f>IFERROR(__xludf.DUMMYFUNCTION("""COMPUTED_VALUE"""),45680.64491644676)</f>
        <v>45680.64492</v>
      </c>
      <c r="N953" s="17">
        <f>IFERROR(__xludf.DUMMYFUNCTION("""COMPUTED_VALUE"""),45679.45109164352)</f>
        <v>45679.45109</v>
      </c>
      <c r="O953" s="13">
        <f t="shared" si="1"/>
        <v>1</v>
      </c>
    </row>
    <row r="954" ht="22.5" customHeight="1">
      <c r="B954" s="13">
        <f>IFERROR(__xludf.DUMMYFUNCTION("""COMPUTED_VALUE"""),949.0)</f>
        <v>949</v>
      </c>
      <c r="C954" s="13" t="str">
        <f>IFERROR(__xludf.DUMMYFUNCTION("""COMPUTED_VALUE"""),"B.175/LABUHAN RATU RAYA")</f>
        <v>B.175/LABUHAN RATU RAYA</v>
      </c>
      <c r="D954" s="13" t="str">
        <f>IFERROR(__xludf.DUMMYFUNCTION("""COMPUTED_VALUE"""),"K/8/200125/2")</f>
        <v>K/8/200125/2</v>
      </c>
      <c r="E954" s="14" t="str">
        <f>IFERROR(__xludf.DUMMYFUNCTION("""COMPUTED_VALUE"""),"Afriza (BT)")</f>
        <v>Afriza (BT)</v>
      </c>
      <c r="F954" s="14" t="str">
        <f>IFERROR(__xludf.DUMMYFUNCTION("""COMPUTED_VALUE"""),"SELESAI")</f>
        <v>SELESAI</v>
      </c>
      <c r="G954" s="17">
        <f>IFERROR(__xludf.DUMMYFUNCTION("""COMPUTED_VALUE"""),45679.40425334491)</f>
        <v>45679.40425</v>
      </c>
      <c r="H954" s="14" t="str">
        <f>IFERROR(__xludf.DUMMYFUNCTION("""COMPUTED_VALUE"""),"Bu Eva (SU)")</f>
        <v>Bu Eva (SU)</v>
      </c>
      <c r="I954" s="13" t="str">
        <f>IFERROR(__xludf.DUMMYFUNCTION("""COMPUTED_VALUE"""),"SELESAI")</f>
        <v>SELESAI</v>
      </c>
      <c r="J954" s="17">
        <f>IFERROR(__xludf.DUMMYFUNCTION("""COMPUTED_VALUE"""),45688.57479925926)</f>
        <v>45688.5748</v>
      </c>
      <c r="K954" s="13" t="str">
        <f>IFERROR(__xludf.DUMMYFUNCTION("""COMPUTED_VALUE"""),"SELESAI")</f>
        <v>SELESAI</v>
      </c>
      <c r="L954" s="17">
        <f>IFERROR(__xludf.DUMMYFUNCTION("""COMPUTED_VALUE"""),45688.57479925926)</f>
        <v>45688.5748</v>
      </c>
      <c r="M954" s="17" t="str">
        <f>IFERROR(__xludf.DUMMYFUNCTION("""COMPUTED_VALUE"""),"")</f>
        <v/>
      </c>
      <c r="N954" s="17">
        <f>IFERROR(__xludf.DUMMYFUNCTION("""COMPUTED_VALUE"""),45688.57485561343)</f>
        <v>45688.57486</v>
      </c>
      <c r="O954" s="13">
        <f t="shared" si="1"/>
        <v>2</v>
      </c>
    </row>
    <row r="955" ht="22.5" customHeight="1">
      <c r="B955" s="13">
        <f>IFERROR(__xludf.DUMMYFUNCTION("""COMPUTED_VALUE"""),950.0)</f>
        <v>950</v>
      </c>
      <c r="C955" s="13" t="str">
        <f>IFERROR(__xludf.DUMMYFUNCTION("""COMPUTED_VALUE"""),"M. 71/ Sawah Lama")</f>
        <v>M. 71/ Sawah Lama</v>
      </c>
      <c r="D955" s="13" t="str">
        <f>IFERROR(__xludf.DUMMYFUNCTION("""COMPUTED_VALUE"""),"K/13/030125/1")</f>
        <v>K/13/030125/1</v>
      </c>
      <c r="E955" s="14" t="str">
        <f>IFERROR(__xludf.DUMMYFUNCTION("""COMPUTED_VALUE"""),"Admin (Migrasi)")</f>
        <v>Admin (Migrasi)</v>
      </c>
      <c r="F955" s="14" t="str">
        <f>IFERROR(__xludf.DUMMYFUNCTION("""COMPUTED_VALUE"""),"SELESAI (VIA PERMOHONAN)")</f>
        <v>SELESAI (VIA PERMOHONAN)</v>
      </c>
      <c r="G955" s="17">
        <f>IFERROR(__xludf.DUMMYFUNCTION("""COMPUTED_VALUE"""),45679.41145222222)</f>
        <v>45679.41145</v>
      </c>
      <c r="H955" s="14" t="str">
        <f>IFERROR(__xludf.DUMMYFUNCTION("""COMPUTED_VALUE"""),"Admin (Migrasi)")</f>
        <v>Admin (Migrasi)</v>
      </c>
      <c r="I955" s="13" t="str">
        <f>IFERROR(__xludf.DUMMYFUNCTION("""COMPUTED_VALUE"""),"SELESAI (VIA PERMOHONAN)")</f>
        <v>SELESAI (VIA PERMOHONAN)</v>
      </c>
      <c r="J955" s="17">
        <f>IFERROR(__xludf.DUMMYFUNCTION("""COMPUTED_VALUE"""),45679.41151259259)</f>
        <v>45679.41151</v>
      </c>
      <c r="K955" s="13" t="str">
        <f>IFERROR(__xludf.DUMMYFUNCTION("""COMPUTED_VALUE"""),"Selesai")</f>
        <v>Selesai</v>
      </c>
      <c r="L955" s="17">
        <f>IFERROR(__xludf.DUMMYFUNCTION("""COMPUTED_VALUE"""),45679.41151259259)</f>
        <v>45679.41151</v>
      </c>
      <c r="M955" s="17">
        <f>IFERROR(__xludf.DUMMYFUNCTION("""COMPUTED_VALUE"""),45679.41327939815)</f>
        <v>45679.41328</v>
      </c>
      <c r="N955" s="13" t="str">
        <f>IFERROR(__xludf.DUMMYFUNCTION("""COMPUTED_VALUE"""),"")</f>
        <v/>
      </c>
      <c r="O955" s="13" t="str">
        <f t="shared" si="1"/>
        <v/>
      </c>
    </row>
    <row r="956" ht="22.5" customHeight="1">
      <c r="B956" s="13">
        <f>IFERROR(__xludf.DUMMYFUNCTION("""COMPUTED_VALUE"""),951.0)</f>
        <v>951</v>
      </c>
      <c r="C956" s="13" t="str">
        <f>IFERROR(__xludf.DUMMYFUNCTION("""COMPUTED_VALUE"""),"M. 12682/ Kedamaian")</f>
        <v>M. 12682/ Kedamaian</v>
      </c>
      <c r="D956" s="13" t="str">
        <f>IFERROR(__xludf.DUMMYFUNCTION("""COMPUTED_VALUE"""),"K/3/201224/1")</f>
        <v>K/3/201224/1</v>
      </c>
      <c r="E956" s="14" t="str">
        <f>IFERROR(__xludf.DUMMYFUNCTION("""COMPUTED_VALUE"""),"Admin (Migrasi)")</f>
        <v>Admin (Migrasi)</v>
      </c>
      <c r="F956" s="14" t="str">
        <f>IFERROR(__xludf.DUMMYFUNCTION("""COMPUTED_VALUE"""),"SELESAI (VIA PERMOHONAN)")</f>
        <v>SELESAI (VIA PERMOHONAN)</v>
      </c>
      <c r="G956" s="17">
        <f>IFERROR(__xludf.DUMMYFUNCTION("""COMPUTED_VALUE"""),45679.413193437504)</f>
        <v>45679.41319</v>
      </c>
      <c r="H956" s="14" t="str">
        <f>IFERROR(__xludf.DUMMYFUNCTION("""COMPUTED_VALUE"""),"Admin (Migrasi)")</f>
        <v>Admin (Migrasi)</v>
      </c>
      <c r="I956" s="13" t="str">
        <f>IFERROR(__xludf.DUMMYFUNCTION("""COMPUTED_VALUE"""),"SELESAI (VIA PERMOHONAN)")</f>
        <v>SELESAI (VIA PERMOHONAN)</v>
      </c>
      <c r="J956" s="17">
        <f>IFERROR(__xludf.DUMMYFUNCTION("""COMPUTED_VALUE"""),45679.4132571875)</f>
        <v>45679.41326</v>
      </c>
      <c r="K956" s="13" t="str">
        <f>IFERROR(__xludf.DUMMYFUNCTION("""COMPUTED_VALUE"""),"Selesai")</f>
        <v>Selesai</v>
      </c>
      <c r="L956" s="17">
        <f>IFERROR(__xludf.DUMMYFUNCTION("""COMPUTED_VALUE"""),45679.4132571875)</f>
        <v>45679.41326</v>
      </c>
      <c r="M956" s="17">
        <f>IFERROR(__xludf.DUMMYFUNCTION("""COMPUTED_VALUE"""),45679.41328466435)</f>
        <v>45679.41328</v>
      </c>
      <c r="N956" s="13" t="str">
        <f>IFERROR(__xludf.DUMMYFUNCTION("""COMPUTED_VALUE"""),"")</f>
        <v/>
      </c>
      <c r="O956" s="13" t="str">
        <f t="shared" si="1"/>
        <v/>
      </c>
    </row>
    <row r="957" ht="22.5" customHeight="1">
      <c r="B957" s="13">
        <f>IFERROR(__xludf.DUMMYFUNCTION("""COMPUTED_VALUE"""),952.0)</f>
        <v>952</v>
      </c>
      <c r="C957" s="13" t="str">
        <f>IFERROR(__xludf.DUMMYFUNCTION("""COMPUTED_VALUE"""),"M. 1314/ Tanjungkarang")</f>
        <v>M. 1314/ Tanjungkarang</v>
      </c>
      <c r="D957" s="13" t="str">
        <f>IFERROR(__xludf.DUMMYFUNCTION("""COMPUTED_VALUE"""),"K/4/090125/3")</f>
        <v>K/4/090125/3</v>
      </c>
      <c r="E957" s="14" t="str">
        <f>IFERROR(__xludf.DUMMYFUNCTION("""COMPUTED_VALUE"""),"Admin (Migrasi)")</f>
        <v>Admin (Migrasi)</v>
      </c>
      <c r="F957" s="14" t="str">
        <f>IFERROR(__xludf.DUMMYFUNCTION("""COMPUTED_VALUE"""),"SELESAI (VIA PERMOHONAN)")</f>
        <v>SELESAI (VIA PERMOHONAN)</v>
      </c>
      <c r="G957" s="17">
        <f>IFERROR(__xludf.DUMMYFUNCTION("""COMPUTED_VALUE"""),45679.41592078704)</f>
        <v>45679.41592</v>
      </c>
      <c r="H957" s="14" t="str">
        <f>IFERROR(__xludf.DUMMYFUNCTION("""COMPUTED_VALUE"""),"Admin (Migrasi)")</f>
        <v>Admin (Migrasi)</v>
      </c>
      <c r="I957" s="13" t="str">
        <f>IFERROR(__xludf.DUMMYFUNCTION("""COMPUTED_VALUE"""),"SELESAI (VIA PERMOHONAN)")</f>
        <v>SELESAI (VIA PERMOHONAN)</v>
      </c>
      <c r="J957" s="17">
        <f>IFERROR(__xludf.DUMMYFUNCTION("""COMPUTED_VALUE"""),45679.41597113426)</f>
        <v>45679.41597</v>
      </c>
      <c r="K957" s="13" t="str">
        <f>IFERROR(__xludf.DUMMYFUNCTION("""COMPUTED_VALUE"""),"Selesai")</f>
        <v>Selesai</v>
      </c>
      <c r="L957" s="17">
        <f>IFERROR(__xludf.DUMMYFUNCTION("""COMPUTED_VALUE"""),45679.41597113426)</f>
        <v>45679.41597</v>
      </c>
      <c r="M957" s="17">
        <f>IFERROR(__xludf.DUMMYFUNCTION("""COMPUTED_VALUE"""),45679.415999062505)</f>
        <v>45679.416</v>
      </c>
      <c r="N957" s="13" t="str">
        <f>IFERROR(__xludf.DUMMYFUNCTION("""COMPUTED_VALUE"""),"")</f>
        <v/>
      </c>
      <c r="O957" s="13" t="str">
        <f t="shared" si="1"/>
        <v/>
      </c>
    </row>
    <row r="958" ht="22.5" customHeight="1">
      <c r="B958" s="13">
        <f>IFERROR(__xludf.DUMMYFUNCTION("""COMPUTED_VALUE"""),953.0)</f>
        <v>953</v>
      </c>
      <c r="C958" s="13" t="str">
        <f>IFERROR(__xludf.DUMMYFUNCTION("""COMPUTED_VALUE"""),"M. 141/ Kelapa Tiga Permai")</f>
        <v>M. 141/ Kelapa Tiga Permai</v>
      </c>
      <c r="D958" s="13" t="str">
        <f>IFERROR(__xludf.DUMMYFUNCTION("""COMPUTED_VALUE"""),"K/5/070125/1")</f>
        <v>K/5/070125/1</v>
      </c>
      <c r="E958" s="14" t="str">
        <f>IFERROR(__xludf.DUMMYFUNCTION("""COMPUTED_VALUE"""),"Afriza (BT)")</f>
        <v>Afriza (BT)</v>
      </c>
      <c r="F958" s="14" t="str">
        <f>IFERROR(__xludf.DUMMYFUNCTION("""COMPUTED_VALUE"""),"SELESAI (VIA PERMOHONAN)")</f>
        <v>SELESAI (VIA PERMOHONAN)</v>
      </c>
      <c r="G958" s="17">
        <f>IFERROR(__xludf.DUMMYFUNCTION("""COMPUTED_VALUE"""),45679.44101383102)</f>
        <v>45679.44101</v>
      </c>
      <c r="H958" s="14" t="str">
        <f>IFERROR(__xludf.DUMMYFUNCTION("""COMPUTED_VALUE"""),"Bu Eva (SU)")</f>
        <v>Bu Eva (SU)</v>
      </c>
      <c r="I958" s="13" t="str">
        <f>IFERROR(__xludf.DUMMYFUNCTION("""COMPUTED_VALUE"""),"SELESAI (VIA PERMOHONAN)")</f>
        <v>SELESAI (VIA PERMOHONAN)</v>
      </c>
      <c r="J958" s="17">
        <f>IFERROR(__xludf.DUMMYFUNCTION("""COMPUTED_VALUE"""),45680.6443478125)</f>
        <v>45680.64435</v>
      </c>
      <c r="K958" s="13" t="str">
        <f>IFERROR(__xludf.DUMMYFUNCTION("""COMPUTED_VALUE"""),"Selesai")</f>
        <v>Selesai</v>
      </c>
      <c r="L958" s="17">
        <f>IFERROR(__xludf.DUMMYFUNCTION("""COMPUTED_VALUE"""),45680.6443478125)</f>
        <v>45680.64435</v>
      </c>
      <c r="M958" s="17">
        <f>IFERROR(__xludf.DUMMYFUNCTION("""COMPUTED_VALUE"""),45680.64483193287)</f>
        <v>45680.64483</v>
      </c>
      <c r="N958" s="13" t="str">
        <f>IFERROR(__xludf.DUMMYFUNCTION("""COMPUTED_VALUE"""),"")</f>
        <v/>
      </c>
      <c r="O958" s="13" t="str">
        <f t="shared" si="1"/>
        <v/>
      </c>
    </row>
    <row r="959" ht="22.5" customHeight="1">
      <c r="B959" s="13">
        <f>IFERROR(__xludf.DUMMYFUNCTION("""COMPUTED_VALUE"""),954.0)</f>
        <v>954</v>
      </c>
      <c r="C959" s="13" t="str">
        <f>IFERROR(__xludf.DUMMYFUNCTION("""COMPUTED_VALUE"""),"M. 16762/ Sukabumi")</f>
        <v>M. 16762/ Sukabumi</v>
      </c>
      <c r="D959" s="13" t="str">
        <f>IFERROR(__xludf.DUMMYFUNCTION("""COMPUTED_VALUE"""),"K/42/301224/1")</f>
        <v>K/42/301224/1</v>
      </c>
      <c r="E959" s="14" t="str">
        <f>IFERROR(__xludf.DUMMYFUNCTION("""COMPUTED_VALUE"""),"Afriza (BT)")</f>
        <v>Afriza (BT)</v>
      </c>
      <c r="F959" s="14" t="str">
        <f>IFERROR(__xludf.DUMMYFUNCTION("""COMPUTED_VALUE"""),"SELESAI (VIA PERMOHONAN)")</f>
        <v>SELESAI (VIA PERMOHONAN)</v>
      </c>
      <c r="G959" s="17">
        <f>IFERROR(__xludf.DUMMYFUNCTION("""COMPUTED_VALUE"""),45679.44393162037)</f>
        <v>45679.44393</v>
      </c>
      <c r="H959" s="14" t="str">
        <f>IFERROR(__xludf.DUMMYFUNCTION("""COMPUTED_VALUE"""),"Bu Eva (SU)")</f>
        <v>Bu Eva (SU)</v>
      </c>
      <c r="I959" s="13" t="str">
        <f>IFERROR(__xludf.DUMMYFUNCTION("""COMPUTED_VALUE"""),"SELESAI (VIA PERMOHONAN)")</f>
        <v>SELESAI (VIA PERMOHONAN)</v>
      </c>
      <c r="J959" s="17">
        <f>IFERROR(__xludf.DUMMYFUNCTION("""COMPUTED_VALUE"""),45680.6443478125)</f>
        <v>45680.64435</v>
      </c>
      <c r="K959" s="13" t="str">
        <f>IFERROR(__xludf.DUMMYFUNCTION("""COMPUTED_VALUE"""),"Selesai")</f>
        <v>Selesai</v>
      </c>
      <c r="L959" s="17">
        <f>IFERROR(__xludf.DUMMYFUNCTION("""COMPUTED_VALUE"""),45680.6443478125)</f>
        <v>45680.64435</v>
      </c>
      <c r="M959" s="17">
        <f>IFERROR(__xludf.DUMMYFUNCTION("""COMPUTED_VALUE"""),45680.64482356481)</f>
        <v>45680.64482</v>
      </c>
      <c r="N959" s="13" t="str">
        <f>IFERROR(__xludf.DUMMYFUNCTION("""COMPUTED_VALUE"""),"")</f>
        <v/>
      </c>
      <c r="O959" s="13" t="str">
        <f t="shared" si="1"/>
        <v/>
      </c>
    </row>
    <row r="960" ht="22.5" customHeight="1">
      <c r="B960" s="13">
        <f>IFERROR(__xludf.DUMMYFUNCTION("""COMPUTED_VALUE"""),955.0)</f>
        <v>955</v>
      </c>
      <c r="C960" s="13" t="str">
        <f>IFERROR(__xludf.DUMMYFUNCTION("""COMPUTED_VALUE"""),"M. 818/ Sumberrejo sejahtera")</f>
        <v>M. 818/ Sumberrejo sejahtera</v>
      </c>
      <c r="D960" s="13" t="str">
        <f>IFERROR(__xludf.DUMMYFUNCTION("""COMPUTED_VALUE"""),"K/3/200125/1")</f>
        <v>K/3/200125/1</v>
      </c>
      <c r="E960" s="14" t="str">
        <f>IFERROR(__xludf.DUMMYFUNCTION("""COMPUTED_VALUE"""),"Afriza (BT)")</f>
        <v>Afriza (BT)</v>
      </c>
      <c r="F960" s="14" t="str">
        <f>IFERROR(__xludf.DUMMYFUNCTION("""COMPUTED_VALUE"""),"SELESAI (VIA PERMOHONAN)")</f>
        <v>SELESAI (VIA PERMOHONAN)</v>
      </c>
      <c r="G960" s="17">
        <f>IFERROR(__xludf.DUMMYFUNCTION("""COMPUTED_VALUE"""),45679.448176770835)</f>
        <v>45679.44818</v>
      </c>
      <c r="H960" s="14" t="str">
        <f>IFERROR(__xludf.DUMMYFUNCTION("""COMPUTED_VALUE"""),"Bu Eva (SU)")</f>
        <v>Bu Eva (SU)</v>
      </c>
      <c r="I960" s="13" t="str">
        <f>IFERROR(__xludf.DUMMYFUNCTION("""COMPUTED_VALUE"""),"SELESAI (VIA PERMOHONAN)")</f>
        <v>SELESAI (VIA PERMOHONAN)</v>
      </c>
      <c r="J960" s="17">
        <f>IFERROR(__xludf.DUMMYFUNCTION("""COMPUTED_VALUE"""),45680.6443478125)</f>
        <v>45680.64435</v>
      </c>
      <c r="K960" s="13" t="str">
        <f>IFERROR(__xludf.DUMMYFUNCTION("""COMPUTED_VALUE"""),"Selesai")</f>
        <v>Selesai</v>
      </c>
      <c r="L960" s="17">
        <f>IFERROR(__xludf.DUMMYFUNCTION("""COMPUTED_VALUE"""),45680.6443478125)</f>
        <v>45680.64435</v>
      </c>
      <c r="M960" s="17">
        <f>IFERROR(__xludf.DUMMYFUNCTION("""COMPUTED_VALUE"""),45680.644812847226)</f>
        <v>45680.64481</v>
      </c>
      <c r="N960" s="13" t="str">
        <f>IFERROR(__xludf.DUMMYFUNCTION("""COMPUTED_VALUE"""),"")</f>
        <v/>
      </c>
      <c r="O960" s="13" t="str">
        <f t="shared" si="1"/>
        <v/>
      </c>
    </row>
    <row r="961" ht="22.5" customHeight="1">
      <c r="B961" s="13">
        <f>IFERROR(__xludf.DUMMYFUNCTION("""COMPUTED_VALUE"""),956.0)</f>
        <v>956</v>
      </c>
      <c r="C961" s="13" t="str">
        <f>IFERROR(__xludf.DUMMYFUNCTION("""COMPUTED_VALUE"""),"M. 14137/ Labuhan Ratu")</f>
        <v>M. 14137/ Labuhan Ratu</v>
      </c>
      <c r="D961" s="13" t="str">
        <f>IFERROR(__xludf.DUMMYFUNCTION("""COMPUTED_VALUE"""),"K/13/311224/1")</f>
        <v>K/13/311224/1</v>
      </c>
      <c r="E961" s="14" t="str">
        <f>IFERROR(__xludf.DUMMYFUNCTION("""COMPUTED_VALUE"""),"Afriza (BT)")</f>
        <v>Afriza (BT)</v>
      </c>
      <c r="F961" s="14" t="str">
        <f>IFERROR(__xludf.DUMMYFUNCTION("""COMPUTED_VALUE"""),"SELESAI (VIA PERMOHONAN)")</f>
        <v>SELESAI (VIA PERMOHONAN)</v>
      </c>
      <c r="G961" s="17">
        <f>IFERROR(__xludf.DUMMYFUNCTION("""COMPUTED_VALUE"""),45679.44903940972)</f>
        <v>45679.44904</v>
      </c>
      <c r="H961" s="14" t="str">
        <f>IFERROR(__xludf.DUMMYFUNCTION("""COMPUTED_VALUE"""),"Bu Eva (SU)")</f>
        <v>Bu Eva (SU)</v>
      </c>
      <c r="I961" s="13" t="str">
        <f>IFERROR(__xludf.DUMMYFUNCTION("""COMPUTED_VALUE"""),"SELESAI (VIA PERMOHONAN)")</f>
        <v>SELESAI (VIA PERMOHONAN)</v>
      </c>
      <c r="J961" s="17">
        <f>IFERROR(__xludf.DUMMYFUNCTION("""COMPUTED_VALUE"""),45680.64441311343)</f>
        <v>45680.64441</v>
      </c>
      <c r="K961" s="13" t="str">
        <f>IFERROR(__xludf.DUMMYFUNCTION("""COMPUTED_VALUE"""),"Selesai")</f>
        <v>Selesai</v>
      </c>
      <c r="L961" s="17">
        <f>IFERROR(__xludf.DUMMYFUNCTION("""COMPUTED_VALUE"""),45680.64441311343)</f>
        <v>45680.64441</v>
      </c>
      <c r="M961" s="17">
        <f>IFERROR(__xludf.DUMMYFUNCTION("""COMPUTED_VALUE"""),45680.64480372686)</f>
        <v>45680.6448</v>
      </c>
      <c r="N961" s="13" t="str">
        <f>IFERROR(__xludf.DUMMYFUNCTION("""COMPUTED_VALUE"""),"")</f>
        <v/>
      </c>
      <c r="O961" s="13" t="str">
        <f t="shared" si="1"/>
        <v/>
      </c>
    </row>
    <row r="962" ht="22.5" customHeight="1">
      <c r="B962" s="13">
        <f>IFERROR(__xludf.DUMMYFUNCTION("""COMPUTED_VALUE"""),957.0)</f>
        <v>957</v>
      </c>
      <c r="C962" s="13" t="str">
        <f>IFERROR(__xludf.DUMMYFUNCTION("""COMPUTED_VALUE"""),"M.12989/SUKABUMI, M.12988/SUKABUMI")</f>
        <v>M.12989/SUKABUMI, M.12988/SUKABUMI</v>
      </c>
      <c r="D962" s="13" t="str">
        <f>IFERROR(__xludf.DUMMYFUNCTION("""COMPUTED_VALUE"""),"K/9/200125/1")</f>
        <v>K/9/200125/1</v>
      </c>
      <c r="E962" s="14" t="str">
        <f>IFERROR(__xludf.DUMMYFUNCTION("""COMPUTED_VALUE"""),"Afriza (BT)")</f>
        <v>Afriza (BT)</v>
      </c>
      <c r="F962" s="14" t="str">
        <f>IFERROR(__xludf.DUMMYFUNCTION("""COMPUTED_VALUE"""),"SELESAI")</f>
        <v>SELESAI</v>
      </c>
      <c r="G962" s="17">
        <f>IFERROR(__xludf.DUMMYFUNCTION("""COMPUTED_VALUE"""),45679.48683815972)</f>
        <v>45679.48684</v>
      </c>
      <c r="H962" s="14" t="str">
        <f>IFERROR(__xludf.DUMMYFUNCTION("""COMPUTED_VALUE"""),"Bu Eva (SU)")</f>
        <v>Bu Eva (SU)</v>
      </c>
      <c r="I962" s="13" t="str">
        <f>IFERROR(__xludf.DUMMYFUNCTION("""COMPUTED_VALUE"""),"SELESAI")</f>
        <v>SELESAI</v>
      </c>
      <c r="J962" s="17">
        <f>IFERROR(__xludf.DUMMYFUNCTION("""COMPUTED_VALUE"""),45688.57617133102)</f>
        <v>45688.57617</v>
      </c>
      <c r="K962" s="13" t="str">
        <f>IFERROR(__xludf.DUMMYFUNCTION("""COMPUTED_VALUE"""),"SELESAI")</f>
        <v>SELESAI</v>
      </c>
      <c r="L962" s="17">
        <f>IFERROR(__xludf.DUMMYFUNCTION("""COMPUTED_VALUE"""),45688.57617133102)</f>
        <v>45688.57617</v>
      </c>
      <c r="M962" s="17" t="str">
        <f>IFERROR(__xludf.DUMMYFUNCTION("""COMPUTED_VALUE"""),"")</f>
        <v/>
      </c>
      <c r="N962" s="17">
        <f>IFERROR(__xludf.DUMMYFUNCTION("""COMPUTED_VALUE"""),45688.57621885417)</f>
        <v>45688.57622</v>
      </c>
      <c r="O962" s="13">
        <f t="shared" si="1"/>
        <v>1</v>
      </c>
    </row>
    <row r="963" ht="22.5" customHeight="1">
      <c r="B963" s="13">
        <f>IFERROR(__xludf.DUMMYFUNCTION("""COMPUTED_VALUE"""),958.0)</f>
        <v>958</v>
      </c>
      <c r="C963" s="13" t="str">
        <f>IFERROR(__xludf.DUMMYFUNCTION("""COMPUTED_VALUE"""),"M. 1837/ Way Kandis")</f>
        <v>M. 1837/ Way Kandis</v>
      </c>
      <c r="D963" s="13" t="str">
        <f>IFERROR(__xludf.DUMMYFUNCTION("""COMPUTED_VALUE"""),"K/12/200125/1")</f>
        <v>K/12/200125/1</v>
      </c>
      <c r="E963" s="14" t="str">
        <f>IFERROR(__xludf.DUMMYFUNCTION("""COMPUTED_VALUE"""),"Afriza (BT)")</f>
        <v>Afriza (BT)</v>
      </c>
      <c r="F963" s="14" t="str">
        <f>IFERROR(__xludf.DUMMYFUNCTION("""COMPUTED_VALUE"""),"SELESAI")</f>
        <v>SELESAI</v>
      </c>
      <c r="G963" s="17">
        <f>IFERROR(__xludf.DUMMYFUNCTION("""COMPUTED_VALUE"""),45679.56223952546)</f>
        <v>45679.56224</v>
      </c>
      <c r="H963" s="14" t="str">
        <f>IFERROR(__xludf.DUMMYFUNCTION("""COMPUTED_VALUE"""),"Bu Eva (SU)")</f>
        <v>Bu Eva (SU)</v>
      </c>
      <c r="I963" s="13" t="str">
        <f>IFERROR(__xludf.DUMMYFUNCTION("""COMPUTED_VALUE"""),"SELESAI")</f>
        <v>SELESAI</v>
      </c>
      <c r="J963" s="17">
        <f>IFERROR(__xludf.DUMMYFUNCTION("""COMPUTED_VALUE"""),45688.57728459491)</f>
        <v>45688.57728</v>
      </c>
      <c r="K963" s="13" t="str">
        <f>IFERROR(__xludf.DUMMYFUNCTION("""COMPUTED_VALUE"""),"SELESAI")</f>
        <v>SELESAI</v>
      </c>
      <c r="L963" s="17">
        <f>IFERROR(__xludf.DUMMYFUNCTION("""COMPUTED_VALUE"""),45688.57728459491)</f>
        <v>45688.57728</v>
      </c>
      <c r="M963" s="17" t="str">
        <f>IFERROR(__xludf.DUMMYFUNCTION("""COMPUTED_VALUE"""),"")</f>
        <v/>
      </c>
      <c r="N963" s="17">
        <f>IFERROR(__xludf.DUMMYFUNCTION("""COMPUTED_VALUE"""),45688.57731792824)</f>
        <v>45688.57732</v>
      </c>
      <c r="O963" s="13">
        <f t="shared" si="1"/>
        <v>2</v>
      </c>
    </row>
    <row r="964" ht="22.5" customHeight="1">
      <c r="B964" s="13">
        <f>IFERROR(__xludf.DUMMYFUNCTION("""COMPUTED_VALUE"""),959.0)</f>
        <v>959</v>
      </c>
      <c r="C964" s="13" t="str">
        <f>IFERROR(__xludf.DUMMYFUNCTION("""COMPUTED_VALUE"""),"M. 1356/ Durian Payung")</f>
        <v>M. 1356/ Durian Payung</v>
      </c>
      <c r="D964" s="13" t="str">
        <f>IFERROR(__xludf.DUMMYFUNCTION("""COMPUTED_VALUE"""),"K/11/200125/1")</f>
        <v>K/11/200125/1</v>
      </c>
      <c r="E964" s="14" t="str">
        <f>IFERROR(__xludf.DUMMYFUNCTION("""COMPUTED_VALUE"""),"Afriza (BT)")</f>
        <v>Afriza (BT)</v>
      </c>
      <c r="F964" s="14" t="str">
        <f>IFERROR(__xludf.DUMMYFUNCTION("""COMPUTED_VALUE"""),"SELESAI")</f>
        <v>SELESAI</v>
      </c>
      <c r="G964" s="17">
        <f>IFERROR(__xludf.DUMMYFUNCTION("""COMPUTED_VALUE"""),45679.568421435186)</f>
        <v>45679.56842</v>
      </c>
      <c r="H964" s="14" t="str">
        <f>IFERROR(__xludf.DUMMYFUNCTION("""COMPUTED_VALUE"""),"Bu Eva (SU)")</f>
        <v>Bu Eva (SU)</v>
      </c>
      <c r="I964" s="13" t="str">
        <f>IFERROR(__xludf.DUMMYFUNCTION("""COMPUTED_VALUE"""),"SELESAI")</f>
        <v>SELESAI</v>
      </c>
      <c r="J964" s="17">
        <f>IFERROR(__xludf.DUMMYFUNCTION("""COMPUTED_VALUE"""),45688.577695914355)</f>
        <v>45688.5777</v>
      </c>
      <c r="K964" s="13" t="str">
        <f>IFERROR(__xludf.DUMMYFUNCTION("""COMPUTED_VALUE"""),"SELESAI")</f>
        <v>SELESAI</v>
      </c>
      <c r="L964" s="17">
        <f>IFERROR(__xludf.DUMMYFUNCTION("""COMPUTED_VALUE"""),45688.577695914355)</f>
        <v>45688.5777</v>
      </c>
      <c r="M964" s="17" t="str">
        <f>IFERROR(__xludf.DUMMYFUNCTION("""COMPUTED_VALUE"""),"")</f>
        <v/>
      </c>
      <c r="N964" s="17">
        <f>IFERROR(__xludf.DUMMYFUNCTION("""COMPUTED_VALUE"""),45688.57773113426)</f>
        <v>45688.57773</v>
      </c>
      <c r="O964" s="13">
        <f t="shared" si="1"/>
        <v>3</v>
      </c>
    </row>
    <row r="965" ht="22.5" customHeight="1">
      <c r="B965" s="13">
        <f>IFERROR(__xludf.DUMMYFUNCTION("""COMPUTED_VALUE"""),960.0)</f>
        <v>960</v>
      </c>
      <c r="C965" s="13" t="str">
        <f>IFERROR(__xludf.DUMMYFUNCTION("""COMPUTED_VALUE"""),"M.394/GUNUNG SULAH")</f>
        <v>M.394/GUNUNG SULAH</v>
      </c>
      <c r="D965" s="13" t="str">
        <f>IFERROR(__xludf.DUMMYFUNCTION("""COMPUTED_VALUE"""),"K/5/200125/1")</f>
        <v>K/5/200125/1</v>
      </c>
      <c r="E965" s="14" t="str">
        <f>IFERROR(__xludf.DUMMYFUNCTION("""COMPUTED_VALUE"""),"Afriza (BT)")</f>
        <v>Afriza (BT)</v>
      </c>
      <c r="F965" s="14" t="str">
        <f>IFERROR(__xludf.DUMMYFUNCTION("""COMPUTED_VALUE"""),"SELESAI")</f>
        <v>SELESAI</v>
      </c>
      <c r="G965" s="17">
        <f>IFERROR(__xludf.DUMMYFUNCTION("""COMPUTED_VALUE"""),45679.57382181713)</f>
        <v>45679.57382</v>
      </c>
      <c r="H965" s="14" t="str">
        <f>IFERROR(__xludf.DUMMYFUNCTION("""COMPUTED_VALUE"""),"Bu Eva (SU)")</f>
        <v>Bu Eva (SU)</v>
      </c>
      <c r="I965" s="13" t="str">
        <f>IFERROR(__xludf.DUMMYFUNCTION("""COMPUTED_VALUE"""),"SELESAI")</f>
        <v>SELESAI</v>
      </c>
      <c r="J965" s="17">
        <f>IFERROR(__xludf.DUMMYFUNCTION("""COMPUTED_VALUE"""),45688.57416211806)</f>
        <v>45688.57416</v>
      </c>
      <c r="K965" s="13" t="str">
        <f>IFERROR(__xludf.DUMMYFUNCTION("""COMPUTED_VALUE"""),"SELESAI")</f>
        <v>SELESAI</v>
      </c>
      <c r="L965" s="17">
        <f>IFERROR(__xludf.DUMMYFUNCTION("""COMPUTED_VALUE"""),45688.57416211806)</f>
        <v>45688.57416</v>
      </c>
      <c r="M965" s="17" t="str">
        <f>IFERROR(__xludf.DUMMYFUNCTION("""COMPUTED_VALUE"""),"")</f>
        <v/>
      </c>
      <c r="N965" s="17">
        <f>IFERROR(__xludf.DUMMYFUNCTION("""COMPUTED_VALUE"""),45688.57420202546)</f>
        <v>45688.5742</v>
      </c>
      <c r="O965" s="13">
        <f t="shared" si="1"/>
        <v>4</v>
      </c>
    </row>
    <row r="966" ht="22.5" customHeight="1">
      <c r="B966" s="13">
        <f>IFERROR(__xludf.DUMMYFUNCTION("""COMPUTED_VALUE"""),961.0)</f>
        <v>961</v>
      </c>
      <c r="C966" s="13" t="str">
        <f>IFERROR(__xludf.DUMMYFUNCTION("""COMPUTED_VALUE"""),"HM 10357/KEDAMAIAN")</f>
        <v>HM 10357/KEDAMAIAN</v>
      </c>
      <c r="D966" s="13" t="str">
        <f>IFERROR(__xludf.DUMMYFUNCTION("""COMPUTED_VALUE"""),"L/1/180125/1")</f>
        <v>L/1/180125/1</v>
      </c>
      <c r="E966" s="14" t="str">
        <f>IFERROR(__xludf.DUMMYFUNCTION("""COMPUTED_VALUE"""),"Afriza (BT)")</f>
        <v>Afriza (BT)</v>
      </c>
      <c r="F966" s="14" t="str">
        <f>IFERROR(__xludf.DUMMYFUNCTION("""COMPUTED_VALUE"""),"SELESAI")</f>
        <v>SELESAI</v>
      </c>
      <c r="G966" s="17">
        <f>IFERROR(__xludf.DUMMYFUNCTION("""COMPUTED_VALUE"""),45679.58118792824)</f>
        <v>45679.58119</v>
      </c>
      <c r="H966" s="14" t="str">
        <f>IFERROR(__xludf.DUMMYFUNCTION("""COMPUTED_VALUE"""),"Bu Eva (SU)")</f>
        <v>Bu Eva (SU)</v>
      </c>
      <c r="I966" s="13" t="str">
        <f>IFERROR(__xludf.DUMMYFUNCTION("""COMPUTED_VALUE"""),"SELESAI")</f>
        <v>SELESAI</v>
      </c>
      <c r="J966" s="17">
        <f>IFERROR(__xludf.DUMMYFUNCTION("""COMPUTED_VALUE"""),45688.579912037036)</f>
        <v>45688.57991</v>
      </c>
      <c r="K966" s="13" t="str">
        <f>IFERROR(__xludf.DUMMYFUNCTION("""COMPUTED_VALUE"""),"SELESAI")</f>
        <v>SELESAI</v>
      </c>
      <c r="L966" s="17">
        <f>IFERROR(__xludf.DUMMYFUNCTION("""COMPUTED_VALUE"""),45688.579912037036)</f>
        <v>45688.57991</v>
      </c>
      <c r="M966" s="17" t="str">
        <f>IFERROR(__xludf.DUMMYFUNCTION("""COMPUTED_VALUE"""),"")</f>
        <v/>
      </c>
      <c r="N966" s="17">
        <f>IFERROR(__xludf.DUMMYFUNCTION("""COMPUTED_VALUE"""),45688.58058621528)</f>
        <v>45688.58059</v>
      </c>
      <c r="O966" s="13">
        <f t="shared" si="1"/>
        <v>5</v>
      </c>
    </row>
    <row r="967" ht="22.5" customHeight="1">
      <c r="B967" s="13">
        <f>IFERROR(__xludf.DUMMYFUNCTION("""COMPUTED_VALUE"""),962.0)</f>
        <v>962</v>
      </c>
      <c r="C967" s="13" t="str">
        <f>IFERROR(__xludf.DUMMYFUNCTION("""COMPUTED_VALUE"""),"HM 757/NOG")</f>
        <v>HM 757/NOG</v>
      </c>
      <c r="D967" s="13" t="str">
        <f>IFERROR(__xludf.DUMMYFUNCTION("""COMPUTED_VALUE"""),"L/19/170125/1")</f>
        <v>L/19/170125/1</v>
      </c>
      <c r="E967" s="14" t="str">
        <f>IFERROR(__xludf.DUMMYFUNCTION("""COMPUTED_VALUE"""),"Afriza (BT)")</f>
        <v>Afriza (BT)</v>
      </c>
      <c r="F967" s="14" t="str">
        <f>IFERROR(__xludf.DUMMYFUNCTION("""COMPUTED_VALUE"""),"SELESAI")</f>
        <v>SELESAI</v>
      </c>
      <c r="G967" s="17">
        <f>IFERROR(__xludf.DUMMYFUNCTION("""COMPUTED_VALUE"""),45679.58398326389)</f>
        <v>45679.58398</v>
      </c>
      <c r="H967" s="14" t="str">
        <f>IFERROR(__xludf.DUMMYFUNCTION("""COMPUTED_VALUE"""),"Bu Eva (SU)")</f>
        <v>Bu Eva (SU)</v>
      </c>
      <c r="I967" s="13" t="str">
        <f>IFERROR(__xludf.DUMMYFUNCTION("""COMPUTED_VALUE"""),"SELESAI")</f>
        <v>SELESAI</v>
      </c>
      <c r="J967" s="17">
        <f>IFERROR(__xludf.DUMMYFUNCTION("""COMPUTED_VALUE"""),45688.57581098379)</f>
        <v>45688.57581</v>
      </c>
      <c r="K967" s="13" t="str">
        <f>IFERROR(__xludf.DUMMYFUNCTION("""COMPUTED_VALUE"""),"SELESAI")</f>
        <v>SELESAI</v>
      </c>
      <c r="L967" s="17">
        <f>IFERROR(__xludf.DUMMYFUNCTION("""COMPUTED_VALUE"""),45688.57581098379)</f>
        <v>45688.57581</v>
      </c>
      <c r="M967" s="17" t="str">
        <f>IFERROR(__xludf.DUMMYFUNCTION("""COMPUTED_VALUE"""),"")</f>
        <v/>
      </c>
      <c r="N967" s="17">
        <f>IFERROR(__xludf.DUMMYFUNCTION("""COMPUTED_VALUE"""),45688.57585686343)</f>
        <v>45688.57586</v>
      </c>
      <c r="O967" s="13">
        <f t="shared" si="1"/>
        <v>6</v>
      </c>
    </row>
    <row r="968" ht="22.5" customHeight="1">
      <c r="B968" s="13">
        <f>IFERROR(__xludf.DUMMYFUNCTION("""COMPUTED_VALUE"""),963.0)</f>
        <v>963</v>
      </c>
      <c r="C968" s="13" t="str">
        <f>IFERROR(__xludf.DUMMYFUNCTION("""COMPUTED_VALUE"""),"HM 3852/WAY KANDIS")</f>
        <v>HM 3852/WAY KANDIS</v>
      </c>
      <c r="D968" s="13" t="str">
        <f>IFERROR(__xludf.DUMMYFUNCTION("""COMPUTED_VALUE"""),"L/14/170125/1")</f>
        <v>L/14/170125/1</v>
      </c>
      <c r="E968" s="14" t="str">
        <f>IFERROR(__xludf.DUMMYFUNCTION("""COMPUTED_VALUE"""),"Afriza (BT)")</f>
        <v>Afriza (BT)</v>
      </c>
      <c r="F968" s="14" t="str">
        <f>IFERROR(__xludf.DUMMYFUNCTION("""COMPUTED_VALUE"""),"SELESAI")</f>
        <v>SELESAI</v>
      </c>
      <c r="G968" s="17">
        <f>IFERROR(__xludf.DUMMYFUNCTION("""COMPUTED_VALUE"""),45679.58476628472)</f>
        <v>45679.58477</v>
      </c>
      <c r="H968" s="14" t="str">
        <f>IFERROR(__xludf.DUMMYFUNCTION("""COMPUTED_VALUE"""),"Bu Eva (SU)")</f>
        <v>Bu Eva (SU)</v>
      </c>
      <c r="I968" s="13" t="str">
        <f>IFERROR(__xludf.DUMMYFUNCTION("""COMPUTED_VALUE"""),"SELESAI")</f>
        <v>SELESAI</v>
      </c>
      <c r="J968" s="17">
        <f>IFERROR(__xludf.DUMMYFUNCTION("""COMPUTED_VALUE"""),45688.57556736111)</f>
        <v>45688.57557</v>
      </c>
      <c r="K968" s="13" t="str">
        <f>IFERROR(__xludf.DUMMYFUNCTION("""COMPUTED_VALUE"""),"SELESAI")</f>
        <v>SELESAI</v>
      </c>
      <c r="L968" s="17">
        <f>IFERROR(__xludf.DUMMYFUNCTION("""COMPUTED_VALUE"""),45688.57556736111)</f>
        <v>45688.57557</v>
      </c>
      <c r="M968" s="17" t="str">
        <f>IFERROR(__xludf.DUMMYFUNCTION("""COMPUTED_VALUE"""),"")</f>
        <v/>
      </c>
      <c r="N968" s="17">
        <f>IFERROR(__xludf.DUMMYFUNCTION("""COMPUTED_VALUE"""),45688.575602303245)</f>
        <v>45688.5756</v>
      </c>
      <c r="O968" s="13">
        <f t="shared" si="1"/>
        <v>7</v>
      </c>
    </row>
    <row r="969" ht="22.5" customHeight="1">
      <c r="B969" s="13">
        <f>IFERROR(__xludf.DUMMYFUNCTION("""COMPUTED_VALUE"""),964.0)</f>
        <v>964</v>
      </c>
      <c r="C969" s="13" t="str">
        <f>IFERROR(__xludf.DUMMYFUNCTION("""COMPUTED_VALUE"""),"M 426/TANJUNG KARANG")</f>
        <v>M 426/TANJUNG KARANG</v>
      </c>
      <c r="D969" s="13" t="str">
        <f>IFERROR(__xludf.DUMMYFUNCTION("""COMPUTED_VALUE"""),"K/51/301224/1")</f>
        <v>K/51/301224/1</v>
      </c>
      <c r="E969" s="14" t="str">
        <f>IFERROR(__xludf.DUMMYFUNCTION("""COMPUTED_VALUE"""),"Afriza (BT)")</f>
        <v>Afriza (BT)</v>
      </c>
      <c r="F969" s="14" t="str">
        <f>IFERROR(__xludf.DUMMYFUNCTION("""COMPUTED_VALUE"""),"SELESAI (VIA PERMOHONAN)")</f>
        <v>SELESAI (VIA PERMOHONAN)</v>
      </c>
      <c r="G969" s="17">
        <f>IFERROR(__xludf.DUMMYFUNCTION("""COMPUTED_VALUE"""),45679.58896824074)</f>
        <v>45679.58897</v>
      </c>
      <c r="H969" s="14" t="str">
        <f>IFERROR(__xludf.DUMMYFUNCTION("""COMPUTED_VALUE"""),"Bu Eva (SU)")</f>
        <v>Bu Eva (SU)</v>
      </c>
      <c r="I969" s="13" t="str">
        <f>IFERROR(__xludf.DUMMYFUNCTION("""COMPUTED_VALUE"""),"SELESAI (VIA PERMOHONAN)")</f>
        <v>SELESAI (VIA PERMOHONAN)</v>
      </c>
      <c r="J969" s="17">
        <f>IFERROR(__xludf.DUMMYFUNCTION("""COMPUTED_VALUE"""),45680.64457267361)</f>
        <v>45680.64457</v>
      </c>
      <c r="K969" s="13" t="str">
        <f>IFERROR(__xludf.DUMMYFUNCTION("""COMPUTED_VALUE"""),"Selesai")</f>
        <v>Selesai</v>
      </c>
      <c r="L969" s="17">
        <f>IFERROR(__xludf.DUMMYFUNCTION("""COMPUTED_VALUE"""),45680.64457267361)</f>
        <v>45680.64457</v>
      </c>
      <c r="M969" s="17">
        <f>IFERROR(__xludf.DUMMYFUNCTION("""COMPUTED_VALUE"""),45680.64476954861)</f>
        <v>45680.64477</v>
      </c>
      <c r="N969" s="13" t="str">
        <f>IFERROR(__xludf.DUMMYFUNCTION("""COMPUTED_VALUE"""),"")</f>
        <v/>
      </c>
      <c r="O969" s="13" t="str">
        <f t="shared" si="1"/>
        <v/>
      </c>
    </row>
    <row r="970" ht="22.5" customHeight="1">
      <c r="B970" s="13">
        <f>IFERROR(__xludf.DUMMYFUNCTION("""COMPUTED_VALUE"""),965.0)</f>
        <v>965</v>
      </c>
      <c r="C970" s="13" t="str">
        <f>IFERROR(__xludf.DUMMYFUNCTION("""COMPUTED_VALUE"""),"M. 15329/ Sukarame")</f>
        <v>M. 15329/ Sukarame</v>
      </c>
      <c r="D970" s="13" t="str">
        <f>IFERROR(__xludf.DUMMYFUNCTION("""COMPUTED_VALUE"""),"K/33/130125/1")</f>
        <v>K/33/130125/1</v>
      </c>
      <c r="E970" s="14" t="str">
        <f>IFERROR(__xludf.DUMMYFUNCTION("""COMPUTED_VALUE"""),"Afriza (BT)")</f>
        <v>Afriza (BT)</v>
      </c>
      <c r="F970" s="14" t="str">
        <f>IFERROR(__xludf.DUMMYFUNCTION("""COMPUTED_VALUE"""),"SELESAI (VIA PERMOHONAN)")</f>
        <v>SELESAI (VIA PERMOHONAN)</v>
      </c>
      <c r="G970" s="17">
        <f>IFERROR(__xludf.DUMMYFUNCTION("""COMPUTED_VALUE"""),45679.590425601855)</f>
        <v>45679.59043</v>
      </c>
      <c r="H970" s="14" t="str">
        <f>IFERROR(__xludf.DUMMYFUNCTION("""COMPUTED_VALUE"""),"Bu Eva (SU)")</f>
        <v>Bu Eva (SU)</v>
      </c>
      <c r="I970" s="13" t="str">
        <f>IFERROR(__xludf.DUMMYFUNCTION("""COMPUTED_VALUE"""),"SELESAI (VIA PERMOHONAN)")</f>
        <v>SELESAI (VIA PERMOHONAN)</v>
      </c>
      <c r="J970" s="17">
        <f>IFERROR(__xludf.DUMMYFUNCTION("""COMPUTED_VALUE"""),45680.64457267361)</f>
        <v>45680.64457</v>
      </c>
      <c r="K970" s="13" t="str">
        <f>IFERROR(__xludf.DUMMYFUNCTION("""COMPUTED_VALUE"""),"Selesai")</f>
        <v>Selesai</v>
      </c>
      <c r="L970" s="17">
        <f>IFERROR(__xludf.DUMMYFUNCTION("""COMPUTED_VALUE"""),45680.64457267361)</f>
        <v>45680.64457</v>
      </c>
      <c r="M970" s="17">
        <f>IFERROR(__xludf.DUMMYFUNCTION("""COMPUTED_VALUE"""),45680.64476005787)</f>
        <v>45680.64476</v>
      </c>
      <c r="N970" s="13" t="str">
        <f>IFERROR(__xludf.DUMMYFUNCTION("""COMPUTED_VALUE"""),"")</f>
        <v/>
      </c>
      <c r="O970" s="13" t="str">
        <f t="shared" si="1"/>
        <v/>
      </c>
    </row>
    <row r="971" ht="22.5" customHeight="1">
      <c r="B971" s="13">
        <f>IFERROR(__xludf.DUMMYFUNCTION("""COMPUTED_VALUE"""),966.0)</f>
        <v>966</v>
      </c>
      <c r="C971" s="13" t="str">
        <f>IFERROR(__xludf.DUMMYFUNCTION("""COMPUTED_VALUE"""),"M.1634/JAGABAYA III")</f>
        <v>M.1634/JAGABAYA III</v>
      </c>
      <c r="D971" s="13" t="str">
        <f>IFERROR(__xludf.DUMMYFUNCTION("""COMPUTED_VALUE"""),"K/14/200125/1")</f>
        <v>K/14/200125/1</v>
      </c>
      <c r="E971" s="14" t="str">
        <f>IFERROR(__xludf.DUMMYFUNCTION("""COMPUTED_VALUE"""),"Nadian (BT)")</f>
        <v>Nadian (BT)</v>
      </c>
      <c r="F971" s="14" t="str">
        <f>IFERROR(__xludf.DUMMYFUNCTION("""COMPUTED_VALUE"""),"SELESAI")</f>
        <v>SELESAI</v>
      </c>
      <c r="G971" s="17">
        <f>IFERROR(__xludf.DUMMYFUNCTION("""COMPUTED_VALUE"""),45679.674667349536)</f>
        <v>45679.67467</v>
      </c>
      <c r="H971" s="14" t="str">
        <f>IFERROR(__xludf.DUMMYFUNCTION("""COMPUTED_VALUE"""),"Bu Eva (SU)")</f>
        <v>Bu Eva (SU)</v>
      </c>
      <c r="I971" s="13" t="str">
        <f>IFERROR(__xludf.DUMMYFUNCTION("""COMPUTED_VALUE"""),"SELESAI")</f>
        <v>SELESAI</v>
      </c>
      <c r="J971" s="17">
        <f>IFERROR(__xludf.DUMMYFUNCTION("""COMPUTED_VALUE"""),45688.57235318287)</f>
        <v>45688.57235</v>
      </c>
      <c r="K971" s="13" t="str">
        <f>IFERROR(__xludf.DUMMYFUNCTION("""COMPUTED_VALUE"""),"SELESAI")</f>
        <v>SELESAI</v>
      </c>
      <c r="L971" s="17">
        <f>IFERROR(__xludf.DUMMYFUNCTION("""COMPUTED_VALUE"""),45688.57235318287)</f>
        <v>45688.57235</v>
      </c>
      <c r="M971" s="17" t="str">
        <f>IFERROR(__xludf.DUMMYFUNCTION("""COMPUTED_VALUE"""),"")</f>
        <v/>
      </c>
      <c r="N971" s="17">
        <f>IFERROR(__xludf.DUMMYFUNCTION("""COMPUTED_VALUE"""),45688.5729216551)</f>
        <v>45688.57292</v>
      </c>
      <c r="O971" s="13">
        <f t="shared" si="1"/>
        <v>1</v>
      </c>
    </row>
    <row r="972" ht="22.5" customHeight="1">
      <c r="B972" s="13">
        <f>IFERROR(__xludf.DUMMYFUNCTION("""COMPUTED_VALUE"""),967.0)</f>
        <v>967</v>
      </c>
      <c r="C972" s="13" t="str">
        <f>IFERROR(__xludf.DUMMYFUNCTION("""COMPUTED_VALUE"""),"HM 1137/BW")</f>
        <v>HM 1137/BW</v>
      </c>
      <c r="D972" s="13" t="str">
        <f>IFERROR(__xludf.DUMMYFUNCTION("""COMPUTED_VALUE"""),"L/18/200125/1")</f>
        <v>L/18/200125/1</v>
      </c>
      <c r="E972" s="14" t="str">
        <f>IFERROR(__xludf.DUMMYFUNCTION("""COMPUTED_VALUE"""),"Nadian (BT)")</f>
        <v>Nadian (BT)</v>
      </c>
      <c r="F972" s="14" t="str">
        <f>IFERROR(__xludf.DUMMYFUNCTION("""COMPUTED_VALUE"""),"SELESAI")</f>
        <v>SELESAI</v>
      </c>
      <c r="G972" s="17">
        <f>IFERROR(__xludf.DUMMYFUNCTION("""COMPUTED_VALUE"""),45679.67473353009)</f>
        <v>45679.67473</v>
      </c>
      <c r="H972" s="14" t="str">
        <f>IFERROR(__xludf.DUMMYFUNCTION("""COMPUTED_VALUE"""),"Bu Eva (SU)")</f>
        <v>Bu Eva (SU)</v>
      </c>
      <c r="I972" s="13" t="str">
        <f>IFERROR(__xludf.DUMMYFUNCTION("""COMPUTED_VALUE"""),"SELESAI")</f>
        <v>SELESAI</v>
      </c>
      <c r="J972" s="17">
        <f>IFERROR(__xludf.DUMMYFUNCTION("""COMPUTED_VALUE"""),45688.57282077546)</f>
        <v>45688.57282</v>
      </c>
      <c r="K972" s="13" t="str">
        <f>IFERROR(__xludf.DUMMYFUNCTION("""COMPUTED_VALUE"""),"SELESAI")</f>
        <v>SELESAI</v>
      </c>
      <c r="L972" s="17">
        <f>IFERROR(__xludf.DUMMYFUNCTION("""COMPUTED_VALUE"""),45688.57282077546)</f>
        <v>45688.57282</v>
      </c>
      <c r="M972" s="17" t="str">
        <f>IFERROR(__xludf.DUMMYFUNCTION("""COMPUTED_VALUE"""),"")</f>
        <v/>
      </c>
      <c r="N972" s="17">
        <f>IFERROR(__xludf.DUMMYFUNCTION("""COMPUTED_VALUE"""),45688.57289224537)</f>
        <v>45688.57289</v>
      </c>
      <c r="O972" s="13">
        <f t="shared" si="1"/>
        <v>2</v>
      </c>
    </row>
    <row r="973" ht="22.5" customHeight="1">
      <c r="B973" s="13">
        <f>IFERROR(__xludf.DUMMYFUNCTION("""COMPUTED_VALUE"""),968.0)</f>
        <v>968</v>
      </c>
      <c r="C973" s="13" t="str">
        <f>IFERROR(__xludf.DUMMYFUNCTION("""COMPUTED_VALUE"""),"B. 1046/ Keteguhan")</f>
        <v>B. 1046/ Keteguhan</v>
      </c>
      <c r="D973" s="13" t="str">
        <f>IFERROR(__xludf.DUMMYFUNCTION("""COMPUTED_VALUE"""),"K/17/200125/2")</f>
        <v>K/17/200125/2</v>
      </c>
      <c r="E973" s="14" t="str">
        <f>IFERROR(__xludf.DUMMYFUNCTION("""COMPUTED_VALUE"""),"Nadian (BT)")</f>
        <v>Nadian (BT)</v>
      </c>
      <c r="F973" s="14" t="str">
        <f>IFERROR(__xludf.DUMMYFUNCTION("""COMPUTED_VALUE"""),"SELESAI")</f>
        <v>SELESAI</v>
      </c>
      <c r="G973" s="17">
        <f>IFERROR(__xludf.DUMMYFUNCTION("""COMPUTED_VALUE"""),45679.67473353009)</f>
        <v>45679.67473</v>
      </c>
      <c r="H973" s="14" t="str">
        <f>IFERROR(__xludf.DUMMYFUNCTION("""COMPUTED_VALUE"""),"Bu Eva (SU)")</f>
        <v>Bu Eva (SU)</v>
      </c>
      <c r="I973" s="13" t="str">
        <f>IFERROR(__xludf.DUMMYFUNCTION("""COMPUTED_VALUE"""),"SELESAI")</f>
        <v>SELESAI</v>
      </c>
      <c r="J973" s="17">
        <f>IFERROR(__xludf.DUMMYFUNCTION("""COMPUTED_VALUE"""),45688.57850015046)</f>
        <v>45688.5785</v>
      </c>
      <c r="K973" s="13" t="str">
        <f>IFERROR(__xludf.DUMMYFUNCTION("""COMPUTED_VALUE"""),"SELESAI")</f>
        <v>SELESAI</v>
      </c>
      <c r="L973" s="17">
        <f>IFERROR(__xludf.DUMMYFUNCTION("""COMPUTED_VALUE"""),45688.57850015046)</f>
        <v>45688.5785</v>
      </c>
      <c r="M973" s="17" t="str">
        <f>IFERROR(__xludf.DUMMYFUNCTION("""COMPUTED_VALUE"""),"")</f>
        <v/>
      </c>
      <c r="N973" s="17">
        <f>IFERROR(__xludf.DUMMYFUNCTION("""COMPUTED_VALUE"""),45688.57856150463)</f>
        <v>45688.57856</v>
      </c>
      <c r="O973" s="13">
        <f t="shared" si="1"/>
        <v>3</v>
      </c>
    </row>
    <row r="974" ht="22.5" customHeight="1">
      <c r="B974" s="13">
        <f>IFERROR(__xludf.DUMMYFUNCTION("""COMPUTED_VALUE"""),969.0)</f>
        <v>969</v>
      </c>
      <c r="C974" s="13" t="str">
        <f>IFERROR(__xludf.DUMMYFUNCTION("""COMPUTED_VALUE"""),"HM 659/TANJUNG SENANG")</f>
        <v>HM 659/TANJUNG SENANG</v>
      </c>
      <c r="D974" s="13" t="str">
        <f>IFERROR(__xludf.DUMMYFUNCTION("""COMPUTED_VALUE"""),"L/23/200125/1")</f>
        <v>L/23/200125/1</v>
      </c>
      <c r="E974" s="14" t="str">
        <f>IFERROR(__xludf.DUMMYFUNCTION("""COMPUTED_VALUE"""),"Nadian (BT)")</f>
        <v>Nadian (BT)</v>
      </c>
      <c r="F974" s="14" t="str">
        <f>IFERROR(__xludf.DUMMYFUNCTION("""COMPUTED_VALUE"""),"SELESAI")</f>
        <v>SELESAI</v>
      </c>
      <c r="G974" s="17">
        <f>IFERROR(__xludf.DUMMYFUNCTION("""COMPUTED_VALUE"""),45679.67473353009)</f>
        <v>45679.67473</v>
      </c>
      <c r="H974" s="14" t="str">
        <f>IFERROR(__xludf.DUMMYFUNCTION("""COMPUTED_VALUE"""),"Bu Eva (SU)")</f>
        <v>Bu Eva (SU)</v>
      </c>
      <c r="I974" s="13" t="str">
        <f>IFERROR(__xludf.DUMMYFUNCTION("""COMPUTED_VALUE"""),"SELESAI")</f>
        <v>SELESAI</v>
      </c>
      <c r="J974" s="17">
        <f>IFERROR(__xludf.DUMMYFUNCTION("""COMPUTED_VALUE"""),45688.57347458333)</f>
        <v>45688.57347</v>
      </c>
      <c r="K974" s="13" t="str">
        <f>IFERROR(__xludf.DUMMYFUNCTION("""COMPUTED_VALUE"""),"SELESAI")</f>
        <v>SELESAI</v>
      </c>
      <c r="L974" s="17">
        <f>IFERROR(__xludf.DUMMYFUNCTION("""COMPUTED_VALUE"""),45688.57347458333)</f>
        <v>45688.57347</v>
      </c>
      <c r="M974" s="17" t="str">
        <f>IFERROR(__xludf.DUMMYFUNCTION("""COMPUTED_VALUE"""),"")</f>
        <v/>
      </c>
      <c r="N974" s="17">
        <f>IFERROR(__xludf.DUMMYFUNCTION("""COMPUTED_VALUE"""),45688.573517337965)</f>
        <v>45688.57352</v>
      </c>
      <c r="O974" s="13">
        <f t="shared" si="1"/>
        <v>4</v>
      </c>
    </row>
    <row r="975" ht="22.5" customHeight="1">
      <c r="B975" s="13">
        <f>IFERROR(__xludf.DUMMYFUNCTION("""COMPUTED_VALUE"""),970.0)</f>
        <v>970</v>
      </c>
      <c r="C975" s="13" t="str">
        <f>IFERROR(__xludf.DUMMYFUNCTION("""COMPUTED_VALUE"""),"HM 1050/SUKABUMI INDAH")</f>
        <v>HM 1050/SUKABUMI INDAH</v>
      </c>
      <c r="D975" s="13" t="str">
        <f>IFERROR(__xludf.DUMMYFUNCTION("""COMPUTED_VALUE"""),"L/1/210125/1")</f>
        <v>L/1/210125/1</v>
      </c>
      <c r="E975" s="14" t="str">
        <f>IFERROR(__xludf.DUMMYFUNCTION("""COMPUTED_VALUE"""),"Nadian (BT)")</f>
        <v>Nadian (BT)</v>
      </c>
      <c r="F975" s="14" t="str">
        <f>IFERROR(__xludf.DUMMYFUNCTION("""COMPUTED_VALUE"""),"SELESAI")</f>
        <v>SELESAI</v>
      </c>
      <c r="G975" s="17">
        <f>IFERROR(__xludf.DUMMYFUNCTION("""COMPUTED_VALUE"""),45679.67473353009)</f>
        <v>45679.67473</v>
      </c>
      <c r="H975" s="14" t="str">
        <f>IFERROR(__xludf.DUMMYFUNCTION("""COMPUTED_VALUE"""),"Bu Eva (SU)")</f>
        <v>Bu Eva (SU)</v>
      </c>
      <c r="I975" s="13" t="str">
        <f>IFERROR(__xludf.DUMMYFUNCTION("""COMPUTED_VALUE"""),"SELESAI")</f>
        <v>SELESAI</v>
      </c>
      <c r="J975" s="17">
        <f>IFERROR(__xludf.DUMMYFUNCTION("""COMPUTED_VALUE"""),45688.578193379624)</f>
        <v>45688.57819</v>
      </c>
      <c r="K975" s="13" t="str">
        <f>IFERROR(__xludf.DUMMYFUNCTION("""COMPUTED_VALUE"""),"SELESAI")</f>
        <v>SELESAI</v>
      </c>
      <c r="L975" s="17">
        <f>IFERROR(__xludf.DUMMYFUNCTION("""COMPUTED_VALUE"""),45688.578193379624)</f>
        <v>45688.57819</v>
      </c>
      <c r="M975" s="17" t="str">
        <f>IFERROR(__xludf.DUMMYFUNCTION("""COMPUTED_VALUE"""),"")</f>
        <v/>
      </c>
      <c r="N975" s="17">
        <f>IFERROR(__xludf.DUMMYFUNCTION("""COMPUTED_VALUE"""),45688.57827184028)</f>
        <v>45688.57827</v>
      </c>
      <c r="O975" s="13">
        <f t="shared" si="1"/>
        <v>5</v>
      </c>
    </row>
    <row r="976" ht="22.5" customHeight="1">
      <c r="B976" s="13">
        <f>IFERROR(__xludf.DUMMYFUNCTION("""COMPUTED_VALUE"""),971.0)</f>
        <v>971</v>
      </c>
      <c r="C976" s="13" t="str">
        <f>IFERROR(__xludf.DUMMYFUNCTION("""COMPUTED_VALUE"""),"B.1205/SUKABUMI INDAH")</f>
        <v>B.1205/SUKABUMI INDAH</v>
      </c>
      <c r="D976" s="13" t="str">
        <f>IFERROR(__xludf.DUMMYFUNCTION("""COMPUTED_VALUE"""),"K/36/201224/1")</f>
        <v>K/36/201224/1</v>
      </c>
      <c r="E976" s="14" t="str">
        <f>IFERROR(__xludf.DUMMYFUNCTION("""COMPUTED_VALUE"""),"Nadian (BT)")</f>
        <v>Nadian (BT)</v>
      </c>
      <c r="F976" s="14" t="str">
        <f>IFERROR(__xludf.DUMMYFUNCTION("""COMPUTED_VALUE"""),"SELESAI")</f>
        <v>SELESAI</v>
      </c>
      <c r="G976" s="17">
        <f>IFERROR(__xludf.DUMMYFUNCTION("""COMPUTED_VALUE"""),45679.67473353009)</f>
        <v>45679.67473</v>
      </c>
      <c r="H976" s="14"/>
      <c r="I976" s="13"/>
      <c r="J976" s="17" t="str">
        <f>IFERROR(__xludf.DUMMYFUNCTION("""COMPUTED_VALUE"""),"")</f>
        <v/>
      </c>
      <c r="K976" s="13" t="str">
        <f>IFERROR(__xludf.DUMMYFUNCTION("""COMPUTED_VALUE"""),"BT atau SU Belum Valid")</f>
        <v>BT atau SU Belum Valid</v>
      </c>
      <c r="L976" s="13" t="str">
        <f>IFERROR(__xludf.DUMMYFUNCTION("""COMPUTED_VALUE"""),"")</f>
        <v/>
      </c>
      <c r="M976" s="17" t="str">
        <f>IFERROR(__xludf.DUMMYFUNCTION("""COMPUTED_VALUE"""),"")</f>
        <v/>
      </c>
      <c r="N976" s="13" t="str">
        <f>IFERROR(__xludf.DUMMYFUNCTION("""COMPUTED_VALUE"""),"")</f>
        <v/>
      </c>
      <c r="O976" s="13" t="str">
        <f t="shared" si="1"/>
        <v/>
      </c>
    </row>
    <row r="977" ht="22.5" customHeight="1">
      <c r="B977" s="13">
        <f>IFERROR(__xludf.DUMMYFUNCTION("""COMPUTED_VALUE"""),972.0)</f>
        <v>972</v>
      </c>
      <c r="C977" s="13" t="str">
        <f>IFERROR(__xludf.DUMMYFUNCTION("""COMPUTED_VALUE"""),"HGB 1767/SUKARAME")</f>
        <v>HGB 1767/SUKARAME</v>
      </c>
      <c r="D977" s="13" t="str">
        <f>IFERROR(__xludf.DUMMYFUNCTION("""COMPUTED_VALUE"""),"L/8/130125/1")</f>
        <v>L/8/130125/1</v>
      </c>
      <c r="E977" s="14" t="str">
        <f>IFERROR(__xludf.DUMMYFUNCTION("""COMPUTED_VALUE"""),"Nadian (BT)")</f>
        <v>Nadian (BT)</v>
      </c>
      <c r="F977" s="14" t="str">
        <f>IFERROR(__xludf.DUMMYFUNCTION("""COMPUTED_VALUE"""),"SELESAI (VIA PERMOHONAN)")</f>
        <v>SELESAI (VIA PERMOHONAN)</v>
      </c>
      <c r="G977" s="17">
        <f>IFERROR(__xludf.DUMMYFUNCTION("""COMPUTED_VALUE"""),45679.67476)</f>
        <v>45679.67476</v>
      </c>
      <c r="H977" s="14" t="str">
        <f>IFERROR(__xludf.DUMMYFUNCTION("""COMPUTED_VALUE"""),"Bu Eva (SU)")</f>
        <v>Bu Eva (SU)</v>
      </c>
      <c r="I977" s="13" t="str">
        <f>IFERROR(__xludf.DUMMYFUNCTION("""COMPUTED_VALUE"""),"SELESAI (VIA PERMOHONAN)")</f>
        <v>SELESAI (VIA PERMOHONAN)</v>
      </c>
      <c r="J977" s="17">
        <f>IFERROR(__xludf.DUMMYFUNCTION("""COMPUTED_VALUE"""),45680.64447461806)</f>
        <v>45680.64447</v>
      </c>
      <c r="K977" s="13" t="str">
        <f>IFERROR(__xludf.DUMMYFUNCTION("""COMPUTED_VALUE"""),"Selesai")</f>
        <v>Selesai</v>
      </c>
      <c r="L977" s="17">
        <f>IFERROR(__xludf.DUMMYFUNCTION("""COMPUTED_VALUE"""),45680.64447461806)</f>
        <v>45680.64447</v>
      </c>
      <c r="M977" s="17">
        <f>IFERROR(__xludf.DUMMYFUNCTION("""COMPUTED_VALUE"""),45680.644731030094)</f>
        <v>45680.64473</v>
      </c>
      <c r="N977" s="13" t="str">
        <f>IFERROR(__xludf.DUMMYFUNCTION("""COMPUTED_VALUE"""),"")</f>
        <v/>
      </c>
      <c r="O977" s="13" t="str">
        <f t="shared" si="1"/>
        <v/>
      </c>
    </row>
    <row r="978" ht="22.5" customHeight="1">
      <c r="B978" s="13">
        <f>IFERROR(__xludf.DUMMYFUNCTION("""COMPUTED_VALUE"""),973.0)</f>
        <v>973</v>
      </c>
      <c r="C978" s="13" t="str">
        <f>IFERROR(__xludf.DUMMYFUNCTION("""COMPUTED_VALUE"""),"M. 1652/ Bumi Kedamaian")</f>
        <v>M. 1652/ Bumi Kedamaian</v>
      </c>
      <c r="D978" s="13" t="str">
        <f>IFERROR(__xludf.DUMMYFUNCTION("""COMPUTED_VALUE"""),"K/5/170125/1")</f>
        <v>K/5/170125/1</v>
      </c>
      <c r="E978" s="14" t="str">
        <f>IFERROR(__xludf.DUMMYFUNCTION("""COMPUTED_VALUE"""),"Nadian (BT)")</f>
        <v>Nadian (BT)</v>
      </c>
      <c r="F978" s="14" t="str">
        <f>IFERROR(__xludf.DUMMYFUNCTION("""COMPUTED_VALUE"""),"SELESAI (VIA PERMOHONAN)")</f>
        <v>SELESAI (VIA PERMOHONAN)</v>
      </c>
      <c r="G978" s="17">
        <f>IFERROR(__xludf.DUMMYFUNCTION("""COMPUTED_VALUE"""),45679.674797534724)</f>
        <v>45679.6748</v>
      </c>
      <c r="H978" s="14" t="str">
        <f>IFERROR(__xludf.DUMMYFUNCTION("""COMPUTED_VALUE"""),"Bu Eva (SU)")</f>
        <v>Bu Eva (SU)</v>
      </c>
      <c r="I978" s="13" t="str">
        <f>IFERROR(__xludf.DUMMYFUNCTION("""COMPUTED_VALUE"""),"SELESAI (VIA PERMOHONAN)")</f>
        <v>SELESAI (VIA PERMOHONAN)</v>
      </c>
      <c r="J978" s="17">
        <f>IFERROR(__xludf.DUMMYFUNCTION("""COMPUTED_VALUE"""),45680.64447461806)</f>
        <v>45680.64447</v>
      </c>
      <c r="K978" s="13" t="str">
        <f>IFERROR(__xludf.DUMMYFUNCTION("""COMPUTED_VALUE"""),"Selesai")</f>
        <v>Selesai</v>
      </c>
      <c r="L978" s="17">
        <f>IFERROR(__xludf.DUMMYFUNCTION("""COMPUTED_VALUE"""),45680.64447461806)</f>
        <v>45680.64447</v>
      </c>
      <c r="M978" s="17">
        <f>IFERROR(__xludf.DUMMYFUNCTION("""COMPUTED_VALUE"""),45680.64471547454)</f>
        <v>45680.64472</v>
      </c>
      <c r="N978" s="13" t="str">
        <f>IFERROR(__xludf.DUMMYFUNCTION("""COMPUTED_VALUE"""),"")</f>
        <v/>
      </c>
      <c r="O978" s="13" t="str">
        <f t="shared" si="1"/>
        <v/>
      </c>
    </row>
    <row r="979" ht="22.5" customHeight="1">
      <c r="B979" s="13">
        <f>IFERROR(__xludf.DUMMYFUNCTION("""COMPUTED_VALUE"""),974.0)</f>
        <v>974</v>
      </c>
      <c r="C979" s="13" t="str">
        <f>IFERROR(__xludf.DUMMYFUNCTION("""COMPUTED_VALUE"""),"M. 2664/ Sumber Agung")</f>
        <v>M. 2664/ Sumber Agung</v>
      </c>
      <c r="D979" s="13" t="str">
        <f>IFERROR(__xludf.DUMMYFUNCTION("""COMPUTED_VALUE"""),"K/30/020125/2")</f>
        <v>K/30/020125/2</v>
      </c>
      <c r="E979" s="14" t="str">
        <f>IFERROR(__xludf.DUMMYFUNCTION("""COMPUTED_VALUE"""),"Nadian (BT)")</f>
        <v>Nadian (BT)</v>
      </c>
      <c r="F979" s="14" t="str">
        <f>IFERROR(__xludf.DUMMYFUNCTION("""COMPUTED_VALUE"""),"SELESAI (VIA PERMOHONAN)")</f>
        <v>SELESAI (VIA PERMOHONAN)</v>
      </c>
      <c r="G979" s="17">
        <f>IFERROR(__xludf.DUMMYFUNCTION("""COMPUTED_VALUE"""),45679.674797534724)</f>
        <v>45679.6748</v>
      </c>
      <c r="H979" s="14" t="str">
        <f>IFERROR(__xludf.DUMMYFUNCTION("""COMPUTED_VALUE"""),"Bu Eva (SU)")</f>
        <v>Bu Eva (SU)</v>
      </c>
      <c r="I979" s="13" t="str">
        <f>IFERROR(__xludf.DUMMYFUNCTION("""COMPUTED_VALUE"""),"SELESAI (VIA PERMOHONAN)")</f>
        <v>SELESAI (VIA PERMOHONAN)</v>
      </c>
      <c r="J979" s="17">
        <f>IFERROR(__xludf.DUMMYFUNCTION("""COMPUTED_VALUE"""),45680.64447461806)</f>
        <v>45680.64447</v>
      </c>
      <c r="K979" s="13" t="str">
        <f>IFERROR(__xludf.DUMMYFUNCTION("""COMPUTED_VALUE"""),"Selesai")</f>
        <v>Selesai</v>
      </c>
      <c r="L979" s="17">
        <f>IFERROR(__xludf.DUMMYFUNCTION("""COMPUTED_VALUE"""),45680.64447461806)</f>
        <v>45680.64447</v>
      </c>
      <c r="M979" s="17">
        <f>IFERROR(__xludf.DUMMYFUNCTION("""COMPUTED_VALUE"""),45680.64470428241)</f>
        <v>45680.6447</v>
      </c>
      <c r="N979" s="13" t="str">
        <f>IFERROR(__xludf.DUMMYFUNCTION("""COMPUTED_VALUE"""),"")</f>
        <v/>
      </c>
      <c r="O979" s="13" t="str">
        <f t="shared" si="1"/>
        <v/>
      </c>
    </row>
    <row r="980" ht="22.5" customHeight="1">
      <c r="B980" s="13">
        <f>IFERROR(__xludf.DUMMYFUNCTION("""COMPUTED_VALUE"""),975.0)</f>
        <v>975</v>
      </c>
      <c r="C980" s="13" t="str">
        <f>IFERROR(__xludf.DUMMYFUNCTION("""COMPUTED_VALUE"""),"M.4348/GUNUNG TERANG")</f>
        <v>M.4348/GUNUNG TERANG</v>
      </c>
      <c r="D980" s="13" t="str">
        <f>IFERROR(__xludf.DUMMYFUNCTION("""COMPUTED_VALUE"""),"K/24/200125/1")</f>
        <v>K/24/200125/1</v>
      </c>
      <c r="E980" s="14" t="str">
        <f>IFERROR(__xludf.DUMMYFUNCTION("""COMPUTED_VALUE"""),"Nadian (BT)")</f>
        <v>Nadian (BT)</v>
      </c>
      <c r="F980" s="14" t="str">
        <f>IFERROR(__xludf.DUMMYFUNCTION("""COMPUTED_VALUE"""),"SELESAI (VIA PERMOHONAN)")</f>
        <v>SELESAI (VIA PERMOHONAN)</v>
      </c>
      <c r="G980" s="17">
        <f>IFERROR(__xludf.DUMMYFUNCTION("""COMPUTED_VALUE"""),45679.674797534724)</f>
        <v>45679.6748</v>
      </c>
      <c r="H980" s="14" t="str">
        <f>IFERROR(__xludf.DUMMYFUNCTION("""COMPUTED_VALUE"""),"Bu Eva (SU)")</f>
        <v>Bu Eva (SU)</v>
      </c>
      <c r="I980" s="13" t="str">
        <f>IFERROR(__xludf.DUMMYFUNCTION("""COMPUTED_VALUE"""),"SELESAI (VIA PERMOHONAN)")</f>
        <v>SELESAI (VIA PERMOHONAN)</v>
      </c>
      <c r="J980" s="17">
        <f>IFERROR(__xludf.DUMMYFUNCTION("""COMPUTED_VALUE"""),45680.6446450463)</f>
        <v>45680.64465</v>
      </c>
      <c r="K980" s="13" t="str">
        <f>IFERROR(__xludf.DUMMYFUNCTION("""COMPUTED_VALUE"""),"Selesai")</f>
        <v>Selesai</v>
      </c>
      <c r="L980" s="17">
        <f>IFERROR(__xludf.DUMMYFUNCTION("""COMPUTED_VALUE"""),45680.6446450463)</f>
        <v>45680.64465</v>
      </c>
      <c r="M980" s="17">
        <f>IFERROR(__xludf.DUMMYFUNCTION("""COMPUTED_VALUE"""),45680.64469155093)</f>
        <v>45680.64469</v>
      </c>
      <c r="N980" s="13" t="str">
        <f>IFERROR(__xludf.DUMMYFUNCTION("""COMPUTED_VALUE"""),"")</f>
        <v/>
      </c>
      <c r="O980" s="13" t="str">
        <f t="shared" si="1"/>
        <v/>
      </c>
    </row>
    <row r="981" ht="22.5" customHeight="1">
      <c r="B981" s="13">
        <f>IFERROR(__xludf.DUMMYFUNCTION("""COMPUTED_VALUE"""),976.0)</f>
        <v>976</v>
      </c>
      <c r="C981" s="13" t="str">
        <f>IFERROR(__xludf.DUMMYFUNCTION("""COMPUTED_VALUE"""),"HM 12526/KEDAMAIAN")</f>
        <v>HM 12526/KEDAMAIAN</v>
      </c>
      <c r="D981" s="13" t="str">
        <f>IFERROR(__xludf.DUMMYFUNCTION("""COMPUTED_VALUE"""),"L/11/170125/1")</f>
        <v>L/11/170125/1</v>
      </c>
      <c r="E981" s="14" t="str">
        <f>IFERROR(__xludf.DUMMYFUNCTION("""COMPUTED_VALUE"""),"Nadian (BT)")</f>
        <v>Nadian (BT)</v>
      </c>
      <c r="F981" s="14" t="str">
        <f>IFERROR(__xludf.DUMMYFUNCTION("""COMPUTED_VALUE"""),"SELESAI")</f>
        <v>SELESAI</v>
      </c>
      <c r="G981" s="17">
        <f>IFERROR(__xludf.DUMMYFUNCTION("""COMPUTED_VALUE"""),45679.67481412037)</f>
        <v>45679.67481</v>
      </c>
      <c r="H981" s="14" t="str">
        <f>IFERROR(__xludf.DUMMYFUNCTION("""COMPUTED_VALUE"""),"Bu Eva (SU)")</f>
        <v>Bu Eva (SU)</v>
      </c>
      <c r="I981" s="13" t="str">
        <f>IFERROR(__xludf.DUMMYFUNCTION("""COMPUTED_VALUE"""),"SELESAI")</f>
        <v>SELESAI</v>
      </c>
      <c r="J981" s="17">
        <f>IFERROR(__xludf.DUMMYFUNCTION("""COMPUTED_VALUE"""),45688.573743009256)</f>
        <v>45688.57374</v>
      </c>
      <c r="K981" s="13" t="str">
        <f>IFERROR(__xludf.DUMMYFUNCTION("""COMPUTED_VALUE"""),"SELESAI")</f>
        <v>SELESAI</v>
      </c>
      <c r="L981" s="17">
        <f>IFERROR(__xludf.DUMMYFUNCTION("""COMPUTED_VALUE"""),45688.573743009256)</f>
        <v>45688.57374</v>
      </c>
      <c r="M981" s="17" t="str">
        <f>IFERROR(__xludf.DUMMYFUNCTION("""COMPUTED_VALUE"""),"")</f>
        <v/>
      </c>
      <c r="N981" s="17">
        <f>IFERROR(__xludf.DUMMYFUNCTION("""COMPUTED_VALUE"""),45688.57379756944)</f>
        <v>45688.5738</v>
      </c>
      <c r="O981" s="13">
        <f t="shared" si="1"/>
        <v>1</v>
      </c>
    </row>
    <row r="982" ht="22.5" customHeight="1">
      <c r="B982" s="13">
        <f>IFERROR(__xludf.DUMMYFUNCTION("""COMPUTED_VALUE"""),977.0)</f>
        <v>977</v>
      </c>
      <c r="C982" s="13" t="str">
        <f>IFERROR(__xludf.DUMMYFUNCTION("""COMPUTED_VALUE"""),"HM 2379/BW")</f>
        <v>HM 2379/BW</v>
      </c>
      <c r="D982" s="13" t="str">
        <f>IFERROR(__xludf.DUMMYFUNCTION("""COMPUTED_VALUE"""),"L/3/210125/1")</f>
        <v>L/3/210125/1</v>
      </c>
      <c r="E982" s="14" t="str">
        <f>IFERROR(__xludf.DUMMYFUNCTION("""COMPUTED_VALUE"""),"Nadian (BT)")</f>
        <v>Nadian (BT)</v>
      </c>
      <c r="F982" s="14" t="str">
        <f>IFERROR(__xludf.DUMMYFUNCTION("""COMPUTED_VALUE"""),"SELESAI")</f>
        <v>SELESAI</v>
      </c>
      <c r="G982" s="17">
        <f>IFERROR(__xludf.DUMMYFUNCTION("""COMPUTED_VALUE"""),45679.674838113424)</f>
        <v>45679.67484</v>
      </c>
      <c r="H982" s="14" t="str">
        <f>IFERROR(__xludf.DUMMYFUNCTION("""COMPUTED_VALUE"""),"Bu Eva (SU)")</f>
        <v>Bu Eva (SU)</v>
      </c>
      <c r="I982" s="13" t="str">
        <f>IFERROR(__xludf.DUMMYFUNCTION("""COMPUTED_VALUE"""),"SELESAI")</f>
        <v>SELESAI</v>
      </c>
      <c r="J982" s="17">
        <f>IFERROR(__xludf.DUMMYFUNCTION("""COMPUTED_VALUE"""),45688.57962443287)</f>
        <v>45688.57962</v>
      </c>
      <c r="K982" s="13" t="str">
        <f>IFERROR(__xludf.DUMMYFUNCTION("""COMPUTED_VALUE"""),"SELESAI")</f>
        <v>SELESAI</v>
      </c>
      <c r="L982" s="17">
        <f>IFERROR(__xludf.DUMMYFUNCTION("""COMPUTED_VALUE"""),45688.57962443287)</f>
        <v>45688.57962</v>
      </c>
      <c r="M982" s="17" t="str">
        <f>IFERROR(__xludf.DUMMYFUNCTION("""COMPUTED_VALUE"""),"")</f>
        <v/>
      </c>
      <c r="N982" s="17">
        <f>IFERROR(__xludf.DUMMYFUNCTION("""COMPUTED_VALUE"""),45688.57967042824)</f>
        <v>45688.57967</v>
      </c>
      <c r="O982" s="13">
        <f t="shared" si="1"/>
        <v>2</v>
      </c>
    </row>
    <row r="983" ht="22.5" customHeight="1">
      <c r="B983" s="13">
        <f>IFERROR(__xludf.DUMMYFUNCTION("""COMPUTED_VALUE"""),978.0)</f>
        <v>978</v>
      </c>
      <c r="C983" s="13" t="str">
        <f>IFERROR(__xludf.DUMMYFUNCTION("""COMPUTED_VALUE"""),"M. 4271/ Campang Raya")</f>
        <v>M. 4271/ Campang Raya</v>
      </c>
      <c r="D983" s="13" t="str">
        <f>IFERROR(__xludf.DUMMYFUNCTION("""COMPUTED_VALUE"""),"K/16/200125/1")</f>
        <v>K/16/200125/1</v>
      </c>
      <c r="E983" s="14" t="str">
        <f>IFERROR(__xludf.DUMMYFUNCTION("""COMPUTED_VALUE"""),"Nadian (BT)")</f>
        <v>Nadian (BT)</v>
      </c>
      <c r="F983" s="14" t="str">
        <f>IFERROR(__xludf.DUMMYFUNCTION("""COMPUTED_VALUE"""),"SELESAI")</f>
        <v>SELESAI</v>
      </c>
      <c r="G983" s="17">
        <f>IFERROR(__xludf.DUMMYFUNCTION("""COMPUTED_VALUE"""),45679.674838113424)</f>
        <v>45679.67484</v>
      </c>
      <c r="H983" s="14" t="str">
        <f>IFERROR(__xludf.DUMMYFUNCTION("""COMPUTED_VALUE"""),"Bu Eva (SU)")</f>
        <v>Bu Eva (SU)</v>
      </c>
      <c r="I983" s="13" t="str">
        <f>IFERROR(__xludf.DUMMYFUNCTION("""COMPUTED_VALUE"""),"SELESAI")</f>
        <v>SELESAI</v>
      </c>
      <c r="J983" s="17">
        <f>IFERROR(__xludf.DUMMYFUNCTION("""COMPUTED_VALUE"""),45688.580186203704)</f>
        <v>45688.58019</v>
      </c>
      <c r="K983" s="13" t="str">
        <f>IFERROR(__xludf.DUMMYFUNCTION("""COMPUTED_VALUE"""),"SELESAI")</f>
        <v>SELESAI</v>
      </c>
      <c r="L983" s="17">
        <f>IFERROR(__xludf.DUMMYFUNCTION("""COMPUTED_VALUE"""),45688.580186203704)</f>
        <v>45688.58019</v>
      </c>
      <c r="M983" s="17" t="str">
        <f>IFERROR(__xludf.DUMMYFUNCTION("""COMPUTED_VALUE"""),"")</f>
        <v/>
      </c>
      <c r="N983" s="17">
        <f>IFERROR(__xludf.DUMMYFUNCTION("""COMPUTED_VALUE"""),45688.58023083334)</f>
        <v>45688.58023</v>
      </c>
      <c r="O983" s="13">
        <f t="shared" si="1"/>
        <v>3</v>
      </c>
    </row>
    <row r="984" ht="22.5" customHeight="1">
      <c r="B984" s="13">
        <f>IFERROR(__xludf.DUMMYFUNCTION("""COMPUTED_VALUE"""),979.0)</f>
        <v>979</v>
      </c>
      <c r="C984" s="13" t="str">
        <f>IFERROR(__xludf.DUMMYFUNCTION("""COMPUTED_VALUE"""),"HM 4257/WAY KANDIS")</f>
        <v>HM 4257/WAY KANDIS</v>
      </c>
      <c r="D984" s="13" t="str">
        <f>IFERROR(__xludf.DUMMYFUNCTION("""COMPUTED_VALUE"""),"L/10/130125/1")</f>
        <v>L/10/130125/1</v>
      </c>
      <c r="E984" s="14" t="str">
        <f>IFERROR(__xludf.DUMMYFUNCTION("""COMPUTED_VALUE"""),"Afriza (BT)")</f>
        <v>Afriza (BT)</v>
      </c>
      <c r="F984" s="14" t="str">
        <f>IFERROR(__xludf.DUMMYFUNCTION("""COMPUTED_VALUE"""),"SELESAI")</f>
        <v>SELESAI</v>
      </c>
      <c r="G984" s="17">
        <f>IFERROR(__xludf.DUMMYFUNCTION("""COMPUTED_VALUE"""),45680.46060747685)</f>
        <v>45680.46061</v>
      </c>
      <c r="H984" s="14" t="str">
        <f>IFERROR(__xludf.DUMMYFUNCTION("""COMPUTED_VALUE"""),"Bu Eva (SU)")</f>
        <v>Bu Eva (SU)</v>
      </c>
      <c r="I984" s="13" t="str">
        <f>IFERROR(__xludf.DUMMYFUNCTION("""COMPUTED_VALUE"""),"SELESAI")</f>
        <v>SELESAI</v>
      </c>
      <c r="J984" s="17">
        <f>IFERROR(__xludf.DUMMYFUNCTION("""COMPUTED_VALUE"""),45688.5751953588)</f>
        <v>45688.5752</v>
      </c>
      <c r="K984" s="13" t="str">
        <f>IFERROR(__xludf.DUMMYFUNCTION("""COMPUTED_VALUE"""),"SELESAI")</f>
        <v>SELESAI</v>
      </c>
      <c r="L984" s="17">
        <f>IFERROR(__xludf.DUMMYFUNCTION("""COMPUTED_VALUE"""),45688.5751953588)</f>
        <v>45688.5752</v>
      </c>
      <c r="M984" s="17">
        <f>IFERROR(__xludf.DUMMYFUNCTION("""COMPUTED_VALUE"""),45688.575233599535)</f>
        <v>45688.57523</v>
      </c>
      <c r="N984" s="13" t="str">
        <f>IFERROR(__xludf.DUMMYFUNCTION("""COMPUTED_VALUE"""),"")</f>
        <v/>
      </c>
      <c r="O984" s="13" t="str">
        <f t="shared" si="1"/>
        <v/>
      </c>
    </row>
    <row r="985" ht="22.5" customHeight="1">
      <c r="B985" s="13">
        <f>IFERROR(__xludf.DUMMYFUNCTION("""COMPUTED_VALUE"""),980.0)</f>
        <v>980</v>
      </c>
      <c r="C985" s="13" t="str">
        <f>IFERROR(__xludf.DUMMYFUNCTION("""COMPUTED_VALUE"""),"HM 2052/SUKAMAJU")</f>
        <v>HM 2052/SUKAMAJU</v>
      </c>
      <c r="D985" s="13" t="str">
        <f>IFERROR(__xludf.DUMMYFUNCTION("""COMPUTED_VALUE"""),"L/15/200125/1")</f>
        <v>L/15/200125/1</v>
      </c>
      <c r="E985" s="14" t="str">
        <f>IFERROR(__xludf.DUMMYFUNCTION("""COMPUTED_VALUE"""),"Afriza (BT)")</f>
        <v>Afriza (BT)</v>
      </c>
      <c r="F985" s="14" t="str">
        <f>IFERROR(__xludf.DUMMYFUNCTION("""COMPUTED_VALUE"""),"SELESAI")</f>
        <v>SELESAI</v>
      </c>
      <c r="G985" s="17">
        <f>IFERROR(__xludf.DUMMYFUNCTION("""COMPUTED_VALUE"""),45680.471996064814)</f>
        <v>45680.472</v>
      </c>
      <c r="H985" s="14"/>
      <c r="I985" s="13"/>
      <c r="J985" s="17" t="str">
        <f>IFERROR(__xludf.DUMMYFUNCTION("""COMPUTED_VALUE"""),"")</f>
        <v/>
      </c>
      <c r="K985" s="13" t="str">
        <f>IFERROR(__xludf.DUMMYFUNCTION("""COMPUTED_VALUE"""),"BT atau SU Belum Valid")</f>
        <v>BT atau SU Belum Valid</v>
      </c>
      <c r="L985" s="13" t="str">
        <f>IFERROR(__xludf.DUMMYFUNCTION("""COMPUTED_VALUE"""),"")</f>
        <v/>
      </c>
      <c r="M985" s="17" t="str">
        <f>IFERROR(__xludf.DUMMYFUNCTION("""COMPUTED_VALUE"""),"")</f>
        <v/>
      </c>
      <c r="N985" s="13" t="str">
        <f>IFERROR(__xludf.DUMMYFUNCTION("""COMPUTED_VALUE"""),"")</f>
        <v/>
      </c>
      <c r="O985" s="13" t="str">
        <f t="shared" si="1"/>
        <v/>
      </c>
    </row>
    <row r="986" ht="22.5" customHeight="1">
      <c r="B986" s="13">
        <f>IFERROR(__xludf.DUMMYFUNCTION("""COMPUTED_VALUE"""),981.0)</f>
        <v>981</v>
      </c>
      <c r="C986" s="13" t="str">
        <f>IFERROR(__xludf.DUMMYFUNCTION("""COMPUTED_VALUE"""),"B.2138/SUKARAME I")</f>
        <v>B.2138/SUKARAME I</v>
      </c>
      <c r="D986" s="13" t="str">
        <f>IFERROR(__xludf.DUMMYFUNCTION("""COMPUTED_VALUE"""),"K/13/210125/1")</f>
        <v>K/13/210125/1</v>
      </c>
      <c r="E986" s="14" t="str">
        <f>IFERROR(__xludf.DUMMYFUNCTION("""COMPUTED_VALUE"""),"Nadian (BT)")</f>
        <v>Nadian (BT)</v>
      </c>
      <c r="F986" s="14" t="str">
        <f>IFERROR(__xludf.DUMMYFUNCTION("""COMPUTED_VALUE"""),"SELESAI (VIA PERMOHONAN)")</f>
        <v>SELESAI (VIA PERMOHONAN)</v>
      </c>
      <c r="G986" s="17">
        <f>IFERROR(__xludf.DUMMYFUNCTION("""COMPUTED_VALUE"""),45681.61416762731)</f>
        <v>45681.61417</v>
      </c>
      <c r="H986" s="14" t="str">
        <f>IFERROR(__xludf.DUMMYFUNCTION("""COMPUTED_VALUE"""),"Bu Eva (SU)")</f>
        <v>Bu Eva (SU)</v>
      </c>
      <c r="I986" s="13" t="str">
        <f>IFERROR(__xludf.DUMMYFUNCTION("""COMPUTED_VALUE"""),"SELESAI (VIA PERMOHONAN)")</f>
        <v>SELESAI (VIA PERMOHONAN)</v>
      </c>
      <c r="J986" s="17">
        <f>IFERROR(__xludf.DUMMYFUNCTION("""COMPUTED_VALUE"""),45687.6265664699)</f>
        <v>45687.62657</v>
      </c>
      <c r="K986" s="13" t="str">
        <f>IFERROR(__xludf.DUMMYFUNCTION("""COMPUTED_VALUE"""),"Selesai")</f>
        <v>Selesai</v>
      </c>
      <c r="L986" s="17">
        <f>IFERROR(__xludf.DUMMYFUNCTION("""COMPUTED_VALUE"""),45687.6265664699)</f>
        <v>45687.62657</v>
      </c>
      <c r="M986" s="17">
        <f>IFERROR(__xludf.DUMMYFUNCTION("""COMPUTED_VALUE"""),45687.62663005787)</f>
        <v>45687.62663</v>
      </c>
      <c r="N986" s="17">
        <f>IFERROR(__xludf.DUMMYFUNCTION("""COMPUTED_VALUE"""),45695.42216162037)</f>
        <v>45695.42216</v>
      </c>
      <c r="O986" s="13">
        <f t="shared" si="1"/>
        <v>1</v>
      </c>
    </row>
    <row r="987" ht="22.5" customHeight="1">
      <c r="B987" s="13">
        <f>IFERROR(__xludf.DUMMYFUNCTION("""COMPUTED_VALUE"""),982.0)</f>
        <v>982</v>
      </c>
      <c r="C987" s="13" t="str">
        <f>IFERROR(__xludf.DUMMYFUNCTION("""COMPUTED_VALUE"""),"B.270/TELUK BETUNG")</f>
        <v>B.270/TELUK BETUNG</v>
      </c>
      <c r="D987" s="13" t="str">
        <f>IFERROR(__xludf.DUMMYFUNCTION("""COMPUTED_VALUE"""),"K/40/130125/2")</f>
        <v>K/40/130125/2</v>
      </c>
      <c r="E987" s="14" t="str">
        <f>IFERROR(__xludf.DUMMYFUNCTION("""COMPUTED_VALUE"""),"Nadian (BT)")</f>
        <v>Nadian (BT)</v>
      </c>
      <c r="F987" s="14" t="str">
        <f>IFERROR(__xludf.DUMMYFUNCTION("""COMPUTED_VALUE"""),"SELESAI (VIA PERMOHONAN)")</f>
        <v>SELESAI (VIA PERMOHONAN)</v>
      </c>
      <c r="G987" s="17">
        <f>IFERROR(__xludf.DUMMYFUNCTION("""COMPUTED_VALUE"""),45681.614200717595)</f>
        <v>45681.6142</v>
      </c>
      <c r="H987" s="14" t="str">
        <f>IFERROR(__xludf.DUMMYFUNCTION("""COMPUTED_VALUE"""),"Bu Eva (SU)")</f>
        <v>Bu Eva (SU)</v>
      </c>
      <c r="I987" s="13" t="str">
        <f>IFERROR(__xludf.DUMMYFUNCTION("""COMPUTED_VALUE"""),"SELESAI (VIA PERMOHONAN)")</f>
        <v>SELESAI (VIA PERMOHONAN)</v>
      </c>
      <c r="J987" s="17">
        <f>IFERROR(__xludf.DUMMYFUNCTION("""COMPUTED_VALUE"""),45687.626589155094)</f>
        <v>45687.62659</v>
      </c>
      <c r="K987" s="13" t="str">
        <f>IFERROR(__xludf.DUMMYFUNCTION("""COMPUTED_VALUE"""),"Selesai")</f>
        <v>Selesai</v>
      </c>
      <c r="L987" s="17">
        <f>IFERROR(__xludf.DUMMYFUNCTION("""COMPUTED_VALUE"""),45687.626589155094)</f>
        <v>45687.62659</v>
      </c>
      <c r="M987" s="17">
        <f>IFERROR(__xludf.DUMMYFUNCTION("""COMPUTED_VALUE"""),45687.62664054398)</f>
        <v>45687.62664</v>
      </c>
      <c r="N987" s="13" t="str">
        <f>IFERROR(__xludf.DUMMYFUNCTION("""COMPUTED_VALUE"""),"")</f>
        <v/>
      </c>
      <c r="O987" s="13" t="str">
        <f t="shared" si="1"/>
        <v/>
      </c>
    </row>
    <row r="988" ht="22.5" customHeight="1">
      <c r="B988" s="13">
        <f>IFERROR(__xludf.DUMMYFUNCTION("""COMPUTED_VALUE"""),983.0)</f>
        <v>983</v>
      </c>
      <c r="C988" s="13" t="str">
        <f>IFERROR(__xludf.DUMMYFUNCTION("""COMPUTED_VALUE"""),"M.1803/RAJABASA NYUNYAI-SEKARANG;M.11924/RAJABASA-DAHULU")</f>
        <v>M.1803/RAJABASA NYUNYAI-SEKARANG;M.11924/RAJABASA-DAHULU</v>
      </c>
      <c r="D988" s="13" t="str">
        <f>IFERROR(__xludf.DUMMYFUNCTION("""COMPUTED_VALUE"""),"K/63/251124/1")</f>
        <v>K/63/251124/1</v>
      </c>
      <c r="E988" s="14" t="str">
        <f>IFERROR(__xludf.DUMMYFUNCTION("""COMPUTED_VALUE"""),"Nadian (BT)")</f>
        <v>Nadian (BT)</v>
      </c>
      <c r="F988" s="14" t="str">
        <f>IFERROR(__xludf.DUMMYFUNCTION("""COMPUTED_VALUE"""),"SELESAI (VIA PERMOHONAN)")</f>
        <v>SELESAI (VIA PERMOHONAN)</v>
      </c>
      <c r="G988" s="17">
        <f>IFERROR(__xludf.DUMMYFUNCTION("""COMPUTED_VALUE"""),45681.614200717595)</f>
        <v>45681.6142</v>
      </c>
      <c r="H988" s="14" t="str">
        <f>IFERROR(__xludf.DUMMYFUNCTION("""COMPUTED_VALUE"""),"Bu Eva (SU)")</f>
        <v>Bu Eva (SU)</v>
      </c>
      <c r="I988" s="13" t="str">
        <f>IFERROR(__xludf.DUMMYFUNCTION("""COMPUTED_VALUE"""),"SELESAI (VIA PERMOHONAN)")</f>
        <v>SELESAI (VIA PERMOHONAN)</v>
      </c>
      <c r="J988" s="17">
        <f>IFERROR(__xludf.DUMMYFUNCTION("""COMPUTED_VALUE"""),45687.626608680555)</f>
        <v>45687.62661</v>
      </c>
      <c r="K988" s="13" t="str">
        <f>IFERROR(__xludf.DUMMYFUNCTION("""COMPUTED_VALUE"""),"Selesai")</f>
        <v>Selesai</v>
      </c>
      <c r="L988" s="17">
        <f>IFERROR(__xludf.DUMMYFUNCTION("""COMPUTED_VALUE"""),45687.626608680555)</f>
        <v>45687.62661</v>
      </c>
      <c r="M988" s="17">
        <f>IFERROR(__xludf.DUMMYFUNCTION("""COMPUTED_VALUE"""),45687.626663159725)</f>
        <v>45687.62666</v>
      </c>
      <c r="N988" s="13" t="str">
        <f>IFERROR(__xludf.DUMMYFUNCTION("""COMPUTED_VALUE"""),"")</f>
        <v/>
      </c>
      <c r="O988" s="13" t="str">
        <f t="shared" si="1"/>
        <v/>
      </c>
    </row>
    <row r="989" ht="22.5" customHeight="1">
      <c r="B989" s="13">
        <f>IFERROR(__xludf.DUMMYFUNCTION("""COMPUTED_VALUE"""),984.0)</f>
        <v>984</v>
      </c>
      <c r="C989" s="13" t="str">
        <f>IFERROR(__xludf.DUMMYFUNCTION("""COMPUTED_VALUE"""),"M. 9592/ Rajabasa")</f>
        <v>M. 9592/ Rajabasa</v>
      </c>
      <c r="D989" s="13" t="str">
        <f>IFERROR(__xludf.DUMMYFUNCTION("""COMPUTED_VALUE"""),"K/32/210125/2")</f>
        <v>K/32/210125/2</v>
      </c>
      <c r="E989" s="14" t="str">
        <f>IFERROR(__xludf.DUMMYFUNCTION("""COMPUTED_VALUE"""),"Afriza (BT)")</f>
        <v>Afriza (BT)</v>
      </c>
      <c r="F989" s="14" t="str">
        <f>IFERROR(__xludf.DUMMYFUNCTION("""COMPUTED_VALUE"""),"SELESAI (VIA PERMOHONAN)")</f>
        <v>SELESAI (VIA PERMOHONAN)</v>
      </c>
      <c r="G989" s="17">
        <f>IFERROR(__xludf.DUMMYFUNCTION("""COMPUTED_VALUE"""),45681.61542041667)</f>
        <v>45681.61542</v>
      </c>
      <c r="H989" s="14" t="str">
        <f>IFERROR(__xludf.DUMMYFUNCTION("""COMPUTED_VALUE"""),"Bu Eva (SU)")</f>
        <v>Bu Eva (SU)</v>
      </c>
      <c r="I989" s="13" t="str">
        <f>IFERROR(__xludf.DUMMYFUNCTION("""COMPUTED_VALUE"""),"SELESAI (VIA PERMOHONAN)")</f>
        <v>SELESAI (VIA PERMOHONAN)</v>
      </c>
      <c r="J989" s="17">
        <f>IFERROR(__xludf.DUMMYFUNCTION("""COMPUTED_VALUE"""),45687.626365902775)</f>
        <v>45687.62637</v>
      </c>
      <c r="K989" s="13" t="str">
        <f>IFERROR(__xludf.DUMMYFUNCTION("""COMPUTED_VALUE"""),"Selesai")</f>
        <v>Selesai</v>
      </c>
      <c r="L989" s="17">
        <f>IFERROR(__xludf.DUMMYFUNCTION("""COMPUTED_VALUE"""),45687.626365902775)</f>
        <v>45687.62637</v>
      </c>
      <c r="M989" s="17">
        <f>IFERROR(__xludf.DUMMYFUNCTION("""COMPUTED_VALUE"""),45687.62642907407)</f>
        <v>45687.62643</v>
      </c>
      <c r="N989" s="13" t="str">
        <f>IFERROR(__xludf.DUMMYFUNCTION("""COMPUTED_VALUE"""),"")</f>
        <v/>
      </c>
      <c r="O989" s="13" t="str">
        <f t="shared" si="1"/>
        <v/>
      </c>
    </row>
    <row r="990" ht="22.5" customHeight="1">
      <c r="B990" s="13">
        <f>IFERROR(__xludf.DUMMYFUNCTION("""COMPUTED_VALUE"""),985.0)</f>
        <v>985</v>
      </c>
      <c r="C990" s="13" t="str">
        <f>IFERROR(__xludf.DUMMYFUNCTION("""COMPUTED_VALUE"""),"M. 60/ Teluk Betung")</f>
        <v>M. 60/ Teluk Betung</v>
      </c>
      <c r="D990" s="13" t="str">
        <f>IFERROR(__xludf.DUMMYFUNCTION("""COMPUTED_VALUE"""),"K/27/161224/1")</f>
        <v>K/27/161224/1</v>
      </c>
      <c r="E990" s="14" t="str">
        <f>IFERROR(__xludf.DUMMYFUNCTION("""COMPUTED_VALUE"""),"Afriza (BT)")</f>
        <v>Afriza (BT)</v>
      </c>
      <c r="F990" s="14" t="str">
        <f>IFERROR(__xludf.DUMMYFUNCTION("""COMPUTED_VALUE"""),"SELESAI (VIA PERMOHONAN)")</f>
        <v>SELESAI (VIA PERMOHONAN)</v>
      </c>
      <c r="G990" s="17">
        <f>IFERROR(__xludf.DUMMYFUNCTION("""COMPUTED_VALUE"""),45681.62411902778)</f>
        <v>45681.62412</v>
      </c>
      <c r="H990" s="14" t="str">
        <f>IFERROR(__xludf.DUMMYFUNCTION("""COMPUTED_VALUE"""),"Bu Eva (SU)")</f>
        <v>Bu Eva (SU)</v>
      </c>
      <c r="I990" s="13" t="str">
        <f>IFERROR(__xludf.DUMMYFUNCTION("""COMPUTED_VALUE"""),"SELESAI (VIA PERMOHONAN)")</f>
        <v>SELESAI (VIA PERMOHONAN)</v>
      </c>
      <c r="J990" s="17">
        <f>IFERROR(__xludf.DUMMYFUNCTION("""COMPUTED_VALUE"""),45687.62639363426)</f>
        <v>45687.62639</v>
      </c>
      <c r="K990" s="13" t="str">
        <f>IFERROR(__xludf.DUMMYFUNCTION("""COMPUTED_VALUE"""),"Selesai")</f>
        <v>Selesai</v>
      </c>
      <c r="L990" s="17">
        <f>IFERROR(__xludf.DUMMYFUNCTION("""COMPUTED_VALUE"""),45687.62639363426)</f>
        <v>45687.62639</v>
      </c>
      <c r="M990" s="17">
        <f>IFERROR(__xludf.DUMMYFUNCTION("""COMPUTED_VALUE"""),45687.62644384259)</f>
        <v>45687.62644</v>
      </c>
      <c r="N990" s="13" t="str">
        <f>IFERROR(__xludf.DUMMYFUNCTION("""COMPUTED_VALUE"""),"")</f>
        <v/>
      </c>
      <c r="O990" s="13" t="str">
        <f t="shared" si="1"/>
        <v/>
      </c>
    </row>
    <row r="991" ht="22.5" customHeight="1">
      <c r="B991" s="13">
        <f>IFERROR(__xludf.DUMMYFUNCTION("""COMPUTED_VALUE"""),986.0)</f>
        <v>986</v>
      </c>
      <c r="C991" s="13" t="str">
        <f>IFERROR(__xludf.DUMMYFUNCTION("""COMPUTED_VALUE"""),"M.13498/SUKABUMI;B.2732/SUKABUMI-DAHULU")</f>
        <v>M.13498/SUKABUMI;B.2732/SUKABUMI-DAHULU</v>
      </c>
      <c r="D991" s="13" t="str">
        <f>IFERROR(__xludf.DUMMYFUNCTION("""COMPUTED_VALUE"""),"L/28/291024/1")</f>
        <v>L/28/291024/1</v>
      </c>
      <c r="E991" s="14" t="str">
        <f>IFERROR(__xludf.DUMMYFUNCTION("""COMPUTED_VALUE"""),"Afriza (BT)")</f>
        <v>Afriza (BT)</v>
      </c>
      <c r="F991" s="14" t="str">
        <f>IFERROR(__xludf.DUMMYFUNCTION("""COMPUTED_VALUE"""),"SELESAI (VIA PERMOHONAN)")</f>
        <v>SELESAI (VIA PERMOHONAN)</v>
      </c>
      <c r="G991" s="17">
        <f>IFERROR(__xludf.DUMMYFUNCTION("""COMPUTED_VALUE"""),45681.62620915509)</f>
        <v>45681.62621</v>
      </c>
      <c r="H991" s="14" t="str">
        <f>IFERROR(__xludf.DUMMYFUNCTION("""COMPUTED_VALUE"""),"Aprill (SU)")</f>
        <v>Aprill (SU)</v>
      </c>
      <c r="I991" s="13" t="str">
        <f>IFERROR(__xludf.DUMMYFUNCTION("""COMPUTED_VALUE"""),"SELESAI (VIA PERMOHONAN)")</f>
        <v>SELESAI (VIA PERMOHONAN)</v>
      </c>
      <c r="J991" s="17">
        <f>IFERROR(__xludf.DUMMYFUNCTION("""COMPUTED_VALUE"""),45681.626271180554)</f>
        <v>45681.62627</v>
      </c>
      <c r="K991" s="13" t="str">
        <f>IFERROR(__xludf.DUMMYFUNCTION("""COMPUTED_VALUE"""),"Selesai")</f>
        <v>Selesai</v>
      </c>
      <c r="L991" s="17">
        <f>IFERROR(__xludf.DUMMYFUNCTION("""COMPUTED_VALUE"""),45681.626271180554)</f>
        <v>45681.62627</v>
      </c>
      <c r="M991" s="17">
        <f>IFERROR(__xludf.DUMMYFUNCTION("""COMPUTED_VALUE"""),45681.62628372685)</f>
        <v>45681.62628</v>
      </c>
      <c r="N991" s="13" t="str">
        <f>IFERROR(__xludf.DUMMYFUNCTION("""COMPUTED_VALUE"""),"")</f>
        <v/>
      </c>
      <c r="O991" s="13" t="str">
        <f t="shared" si="1"/>
        <v/>
      </c>
    </row>
    <row r="992" ht="22.5" customHeight="1">
      <c r="B992" s="13">
        <f>IFERROR(__xludf.DUMMYFUNCTION("""COMPUTED_VALUE"""),987.0)</f>
        <v>987</v>
      </c>
      <c r="C992" s="13" t="str">
        <f>IFERROR(__xludf.DUMMYFUNCTION("""COMPUTED_VALUE"""),"M. 1104/ Sukabumi Indah")</f>
        <v>M. 1104/ Sukabumi Indah</v>
      </c>
      <c r="D992" s="13" t="str">
        <f>IFERROR(__xludf.DUMMYFUNCTION("""COMPUTED_VALUE"""),"K/1/220125/1")</f>
        <v>K/1/220125/1</v>
      </c>
      <c r="E992" s="14" t="str">
        <f>IFERROR(__xludf.DUMMYFUNCTION("""COMPUTED_VALUE"""),"Afriza (BT)")</f>
        <v>Afriza (BT)</v>
      </c>
      <c r="F992" s="14" t="str">
        <f>IFERROR(__xludf.DUMMYFUNCTION("""COMPUTED_VALUE"""),"SELESAI (VIA PERMOHONAN)")</f>
        <v>SELESAI (VIA PERMOHONAN)</v>
      </c>
      <c r="G992" s="17">
        <f>IFERROR(__xludf.DUMMYFUNCTION("""COMPUTED_VALUE"""),45681.64634681713)</f>
        <v>45681.64635</v>
      </c>
      <c r="H992" s="14" t="str">
        <f>IFERROR(__xludf.DUMMYFUNCTION("""COMPUTED_VALUE"""),"Bu Eva (SU)")</f>
        <v>Bu Eva (SU)</v>
      </c>
      <c r="I992" s="13" t="str">
        <f>IFERROR(__xludf.DUMMYFUNCTION("""COMPUTED_VALUE"""),"SELESAI (VIA PERMOHONAN)")</f>
        <v>SELESAI (VIA PERMOHONAN)</v>
      </c>
      <c r="J992" s="17">
        <f>IFERROR(__xludf.DUMMYFUNCTION("""COMPUTED_VALUE"""),45687.62641269676)</f>
        <v>45687.62641</v>
      </c>
      <c r="K992" s="13" t="str">
        <f>IFERROR(__xludf.DUMMYFUNCTION("""COMPUTED_VALUE"""),"Selesai")</f>
        <v>Selesai</v>
      </c>
      <c r="L992" s="17">
        <f>IFERROR(__xludf.DUMMYFUNCTION("""COMPUTED_VALUE"""),45687.62641269676)</f>
        <v>45687.62641</v>
      </c>
      <c r="M992" s="17">
        <f>IFERROR(__xludf.DUMMYFUNCTION("""COMPUTED_VALUE"""),45687.62645780093)</f>
        <v>45687.62646</v>
      </c>
      <c r="N992" s="13" t="str">
        <f>IFERROR(__xludf.DUMMYFUNCTION("""COMPUTED_VALUE"""),"")</f>
        <v/>
      </c>
      <c r="O992" s="13" t="str">
        <f t="shared" si="1"/>
        <v/>
      </c>
    </row>
    <row r="993" ht="22.5" customHeight="1">
      <c r="B993" s="13">
        <f>IFERROR(__xludf.DUMMYFUNCTION("""COMPUTED_VALUE"""),988.0)</f>
        <v>988</v>
      </c>
      <c r="C993" s="13" t="str">
        <f>IFERROR(__xludf.DUMMYFUNCTION("""COMPUTED_VALUE"""),"M.2092/KETEGUHAN")</f>
        <v>M.2092/KETEGUHAN</v>
      </c>
      <c r="D993" s="13" t="str">
        <f>IFERROR(__xludf.DUMMYFUNCTION("""COMPUTED_VALUE"""),"K/22/121224/1")</f>
        <v>K/22/121224/1</v>
      </c>
      <c r="E993" s="14" t="str">
        <f>IFERROR(__xludf.DUMMYFUNCTION("""COMPUTED_VALUE"""),"Afriza (BT)")</f>
        <v>Afriza (BT)</v>
      </c>
      <c r="F993" s="14" t="str">
        <f>IFERROR(__xludf.DUMMYFUNCTION("""COMPUTED_VALUE"""),"SELESAI (VIA PERMOHONAN)")</f>
        <v>SELESAI (VIA PERMOHONAN)</v>
      </c>
      <c r="G993" s="17">
        <f>IFERROR(__xludf.DUMMYFUNCTION("""COMPUTED_VALUE"""),45688.42590209491)</f>
        <v>45688.4259</v>
      </c>
      <c r="H993" s="14" t="str">
        <f>IFERROR(__xludf.DUMMYFUNCTION("""COMPUTED_VALUE"""),"Bu Eva (SU)")</f>
        <v>Bu Eva (SU)</v>
      </c>
      <c r="I993" s="13" t="str">
        <f>IFERROR(__xludf.DUMMYFUNCTION("""COMPUTED_VALUE"""),"SELESAI (VIA PERMOHONAN)")</f>
        <v>SELESAI (VIA PERMOHONAN)</v>
      </c>
      <c r="J993" s="17">
        <f>IFERROR(__xludf.DUMMYFUNCTION("""COMPUTED_VALUE"""),45693.69575344908)</f>
        <v>45693.69575</v>
      </c>
      <c r="K993" s="13" t="str">
        <f>IFERROR(__xludf.DUMMYFUNCTION("""COMPUTED_VALUE"""),"Selesai")</f>
        <v>Selesai</v>
      </c>
      <c r="L993" s="17">
        <f>IFERROR(__xludf.DUMMYFUNCTION("""COMPUTED_VALUE"""),45693.69575344908)</f>
        <v>45693.69575</v>
      </c>
      <c r="M993" s="17">
        <f>IFERROR(__xludf.DUMMYFUNCTION("""COMPUTED_VALUE"""),45693.69602744213)</f>
        <v>45693.69603</v>
      </c>
      <c r="N993" s="13" t="str">
        <f>IFERROR(__xludf.DUMMYFUNCTION("""COMPUTED_VALUE"""),"")</f>
        <v/>
      </c>
      <c r="O993" s="13" t="str">
        <f t="shared" si="1"/>
        <v/>
      </c>
    </row>
    <row r="994" ht="22.5" customHeight="1">
      <c r="B994" s="13">
        <f>IFERROR(__xludf.DUMMYFUNCTION("""COMPUTED_VALUE"""),989.0)</f>
        <v>989</v>
      </c>
      <c r="C994" s="13" t="str">
        <f>IFERROR(__xludf.DUMMYFUNCTION("""COMPUTED_VALUE"""),"M.1157/KOTA KARANG ")</f>
        <v>M.1157/KOTA KARANG </v>
      </c>
      <c r="D994" s="13" t="str">
        <f>IFERROR(__xludf.DUMMYFUNCTION("""COMPUTED_VALUE"""),"K/12/240125/1")</f>
        <v>K/12/240125/1</v>
      </c>
      <c r="E994" s="14" t="str">
        <f>IFERROR(__xludf.DUMMYFUNCTION("""COMPUTED_VALUE"""),"Afriza (BT)")</f>
        <v>Afriza (BT)</v>
      </c>
      <c r="F994" s="14" t="str">
        <f>IFERROR(__xludf.DUMMYFUNCTION("""COMPUTED_VALUE"""),"SELESAI (VIA PERMOHONAN)")</f>
        <v>SELESAI (VIA PERMOHONAN)</v>
      </c>
      <c r="G994" s="17">
        <f>IFERROR(__xludf.DUMMYFUNCTION("""COMPUTED_VALUE"""),45688.440975011574)</f>
        <v>45688.44098</v>
      </c>
      <c r="H994" s="14" t="str">
        <f>IFERROR(__xludf.DUMMYFUNCTION("""COMPUTED_VALUE"""),"Bu Eva (SU)")</f>
        <v>Bu Eva (SU)</v>
      </c>
      <c r="I994" s="13" t="str">
        <f>IFERROR(__xludf.DUMMYFUNCTION("""COMPUTED_VALUE"""),"SELESAI (VIA PERMOHONAN)")</f>
        <v>SELESAI (VIA PERMOHONAN)</v>
      </c>
      <c r="J994" s="17">
        <f>IFERROR(__xludf.DUMMYFUNCTION("""COMPUTED_VALUE"""),45693.69575344908)</f>
        <v>45693.69575</v>
      </c>
      <c r="K994" s="13" t="str">
        <f>IFERROR(__xludf.DUMMYFUNCTION("""COMPUTED_VALUE"""),"Selesai")</f>
        <v>Selesai</v>
      </c>
      <c r="L994" s="17">
        <f>IFERROR(__xludf.DUMMYFUNCTION("""COMPUTED_VALUE"""),45693.69575344908)</f>
        <v>45693.69575</v>
      </c>
      <c r="M994" s="17">
        <f>IFERROR(__xludf.DUMMYFUNCTION("""COMPUTED_VALUE"""),45693.696044537035)</f>
        <v>45693.69604</v>
      </c>
      <c r="N994" s="13" t="str">
        <f>IFERROR(__xludf.DUMMYFUNCTION("""COMPUTED_VALUE"""),"")</f>
        <v/>
      </c>
      <c r="O994" s="13" t="str">
        <f t="shared" si="1"/>
        <v/>
      </c>
    </row>
    <row r="995" ht="22.5" customHeight="1">
      <c r="B995" s="13">
        <f>IFERROR(__xludf.DUMMYFUNCTION("""COMPUTED_VALUE"""),990.0)</f>
        <v>990</v>
      </c>
      <c r="C995" s="13" t="str">
        <f>IFERROR(__xludf.DUMMYFUNCTION("""COMPUTED_VALUE"""),"M. 675/ Bumi Kedamaian")</f>
        <v>M. 675/ Bumi Kedamaian</v>
      </c>
      <c r="D995" s="13" t="str">
        <f>IFERROR(__xludf.DUMMYFUNCTION("""COMPUTED_VALUE"""),"K/19/240125/1")</f>
        <v>K/19/240125/1</v>
      </c>
      <c r="E995" s="14" t="str">
        <f>IFERROR(__xludf.DUMMYFUNCTION("""COMPUTED_VALUE"""),"Afriza (BT)")</f>
        <v>Afriza (BT)</v>
      </c>
      <c r="F995" s="14" t="str">
        <f>IFERROR(__xludf.DUMMYFUNCTION("""COMPUTED_VALUE"""),"SELESAI (VIA PERMOHONAN)")</f>
        <v>SELESAI (VIA PERMOHONAN)</v>
      </c>
      <c r="G995" s="17">
        <f>IFERROR(__xludf.DUMMYFUNCTION("""COMPUTED_VALUE"""),45688.60909869213)</f>
        <v>45688.6091</v>
      </c>
      <c r="H995" s="14" t="str">
        <f>IFERROR(__xludf.DUMMYFUNCTION("""COMPUTED_VALUE"""),"Bu Eva (SU)")</f>
        <v>Bu Eva (SU)</v>
      </c>
      <c r="I995" s="13" t="str">
        <f>IFERROR(__xludf.DUMMYFUNCTION("""COMPUTED_VALUE"""),"SELESAI (VIA PERMOHONAN)")</f>
        <v>SELESAI (VIA PERMOHONAN)</v>
      </c>
      <c r="J995" s="17">
        <f>IFERROR(__xludf.DUMMYFUNCTION("""COMPUTED_VALUE"""),45693.695792638886)</f>
        <v>45693.69579</v>
      </c>
      <c r="K995" s="13" t="str">
        <f>IFERROR(__xludf.DUMMYFUNCTION("""COMPUTED_VALUE"""),"Selesai")</f>
        <v>Selesai</v>
      </c>
      <c r="L995" s="17">
        <f>IFERROR(__xludf.DUMMYFUNCTION("""COMPUTED_VALUE"""),45693.695792638886)</f>
        <v>45693.69579</v>
      </c>
      <c r="M995" s="17">
        <f>IFERROR(__xludf.DUMMYFUNCTION("""COMPUTED_VALUE"""),45693.696056076384)</f>
        <v>45693.69606</v>
      </c>
      <c r="N995" s="13" t="str">
        <f>IFERROR(__xludf.DUMMYFUNCTION("""COMPUTED_VALUE"""),"")</f>
        <v/>
      </c>
      <c r="O995" s="13" t="str">
        <f t="shared" si="1"/>
        <v/>
      </c>
    </row>
    <row r="996" ht="22.5" customHeight="1">
      <c r="B996" s="13">
        <f>IFERROR(__xludf.DUMMYFUNCTION("""COMPUTED_VALUE"""),991.0)</f>
        <v>991</v>
      </c>
      <c r="C996" s="13" t="str">
        <f>IFERROR(__xludf.DUMMYFUNCTION("""COMPUTED_VALUE"""),"HM 1164/KOTA BARU")</f>
        <v>HM 1164/KOTA BARU</v>
      </c>
      <c r="D996" s="13" t="str">
        <f>IFERROR(__xludf.DUMMYFUNCTION("""COMPUTED_VALUE"""),"L/3/160125/1")</f>
        <v>L/3/160125/1</v>
      </c>
      <c r="E996" s="14" t="str">
        <f>IFERROR(__xludf.DUMMYFUNCTION("""COMPUTED_VALUE"""),"Afriza (BT)")</f>
        <v>Afriza (BT)</v>
      </c>
      <c r="F996" s="14" t="str">
        <f>IFERROR(__xludf.DUMMYFUNCTION("""COMPUTED_VALUE"""),"SELESAI (VIA PERMOHONAN)")</f>
        <v>SELESAI (VIA PERMOHONAN)</v>
      </c>
      <c r="G996" s="17">
        <f>IFERROR(__xludf.DUMMYFUNCTION("""COMPUTED_VALUE"""),45688.68776189815)</f>
        <v>45688.68776</v>
      </c>
      <c r="H996" s="14" t="str">
        <f>IFERROR(__xludf.DUMMYFUNCTION("""COMPUTED_VALUE"""),"Bu Eva (SU)")</f>
        <v>Bu Eva (SU)</v>
      </c>
      <c r="I996" s="13" t="str">
        <f>IFERROR(__xludf.DUMMYFUNCTION("""COMPUTED_VALUE"""),"SELESAI (VIA PERMOHONAN)")</f>
        <v>SELESAI (VIA PERMOHONAN)</v>
      </c>
      <c r="J996" s="17">
        <f>IFERROR(__xludf.DUMMYFUNCTION("""COMPUTED_VALUE"""),45688.687766250005)</f>
        <v>45688.68777</v>
      </c>
      <c r="K996" s="13" t="str">
        <f>IFERROR(__xludf.DUMMYFUNCTION("""COMPUTED_VALUE"""),"Selesai")</f>
        <v>Selesai</v>
      </c>
      <c r="L996" s="17">
        <f>IFERROR(__xludf.DUMMYFUNCTION("""COMPUTED_VALUE"""),45688.687766250005)</f>
        <v>45688.68777</v>
      </c>
      <c r="M996" s="17">
        <f>IFERROR(__xludf.DUMMYFUNCTION("""COMPUTED_VALUE"""),45688.68779715278)</f>
        <v>45688.6878</v>
      </c>
      <c r="N996" s="13" t="str">
        <f>IFERROR(__xludf.DUMMYFUNCTION("""COMPUTED_VALUE"""),"")</f>
        <v/>
      </c>
      <c r="O996" s="13" t="str">
        <f t="shared" si="1"/>
        <v/>
      </c>
    </row>
    <row r="997" ht="22.5" customHeight="1">
      <c r="B997" s="13">
        <f>IFERROR(__xludf.DUMMYFUNCTION("""COMPUTED_VALUE"""),992.0)</f>
        <v>992</v>
      </c>
      <c r="C997" s="13" t="str">
        <f>IFERROR(__xludf.DUMMYFUNCTION("""COMPUTED_VALUE"""),"HM 2665/SUMBER AGUNG")</f>
        <v>HM 2665/SUMBER AGUNG</v>
      </c>
      <c r="D997" s="13" t="str">
        <f>IFERROR(__xludf.DUMMYFUNCTION("""COMPUTED_VALUE"""),"L/16/140125/1")</f>
        <v>L/16/140125/1</v>
      </c>
      <c r="E997" s="14" t="str">
        <f>IFERROR(__xludf.DUMMYFUNCTION("""COMPUTED_VALUE"""),"Afriza (BT)")</f>
        <v>Afriza (BT)</v>
      </c>
      <c r="F997" s="14" t="str">
        <f>IFERROR(__xludf.DUMMYFUNCTION("""COMPUTED_VALUE"""),"SELESAI (VIA PERMOHONAN)")</f>
        <v>SELESAI (VIA PERMOHONAN)</v>
      </c>
      <c r="G997" s="17">
        <f>IFERROR(__xludf.DUMMYFUNCTION("""COMPUTED_VALUE"""),45688.68791796296)</f>
        <v>45688.68792</v>
      </c>
      <c r="H997" s="14" t="str">
        <f>IFERROR(__xludf.DUMMYFUNCTION("""COMPUTED_VALUE"""),"Bu Eva (SU)")</f>
        <v>Bu Eva (SU)</v>
      </c>
      <c r="I997" s="13" t="str">
        <f>IFERROR(__xludf.DUMMYFUNCTION("""COMPUTED_VALUE"""),"SELESAI (VIA PERMOHONAN)")</f>
        <v>SELESAI (VIA PERMOHONAN)</v>
      </c>
      <c r="J997" s="17">
        <f>IFERROR(__xludf.DUMMYFUNCTION("""COMPUTED_VALUE"""),45688.68796891204)</f>
        <v>45688.68797</v>
      </c>
      <c r="K997" s="13" t="str">
        <f>IFERROR(__xludf.DUMMYFUNCTION("""COMPUTED_VALUE"""),"Selesai")</f>
        <v>Selesai</v>
      </c>
      <c r="L997" s="17">
        <f>IFERROR(__xludf.DUMMYFUNCTION("""COMPUTED_VALUE"""),45688.68796891204)</f>
        <v>45688.68797</v>
      </c>
      <c r="M997" s="17">
        <f>IFERROR(__xludf.DUMMYFUNCTION("""COMPUTED_VALUE"""),45688.687977002315)</f>
        <v>45688.68798</v>
      </c>
      <c r="N997" s="13" t="str">
        <f>IFERROR(__xludf.DUMMYFUNCTION("""COMPUTED_VALUE"""),"")</f>
        <v/>
      </c>
      <c r="O997" s="13" t="str">
        <f t="shared" si="1"/>
        <v/>
      </c>
    </row>
    <row r="998" ht="22.5" customHeight="1">
      <c r="B998" s="13">
        <f>IFERROR(__xludf.DUMMYFUNCTION("""COMPUTED_VALUE"""),993.0)</f>
        <v>993</v>
      </c>
      <c r="C998" s="13" t="str">
        <f>IFERROR(__xludf.DUMMYFUNCTION("""COMPUTED_VALUE"""),"M. 2231/ Durian Payung")</f>
        <v>M. 2231/ Durian Payung</v>
      </c>
      <c r="D998" s="13" t="str">
        <f>IFERROR(__xludf.DUMMYFUNCTION("""COMPUTED_VALUE"""),"K/11/241024/1")</f>
        <v>K/11/241024/1</v>
      </c>
      <c r="E998" s="14" t="str">
        <f>IFERROR(__xludf.DUMMYFUNCTION("""COMPUTED_VALUE"""),"Afriza (BT)")</f>
        <v>Afriza (BT)</v>
      </c>
      <c r="F998" s="14" t="str">
        <f>IFERROR(__xludf.DUMMYFUNCTION("""COMPUTED_VALUE"""),"SELESAI (VIA PERMOHONAN)")</f>
        <v>SELESAI (VIA PERMOHONAN)</v>
      </c>
      <c r="G998" s="17">
        <f>IFERROR(__xludf.DUMMYFUNCTION("""COMPUTED_VALUE"""),45688.688073530095)</f>
        <v>45688.68807</v>
      </c>
      <c r="H998" s="14" t="str">
        <f>IFERROR(__xludf.DUMMYFUNCTION("""COMPUTED_VALUE"""),"Bu Eva (SU)")</f>
        <v>Bu Eva (SU)</v>
      </c>
      <c r="I998" s="13" t="str">
        <f>IFERROR(__xludf.DUMMYFUNCTION("""COMPUTED_VALUE"""),"SELESAI (VIA PERMOHONAN)")</f>
        <v>SELESAI (VIA PERMOHONAN)</v>
      </c>
      <c r="J998" s="17">
        <f>IFERROR(__xludf.DUMMYFUNCTION("""COMPUTED_VALUE"""),45688.6881205324)</f>
        <v>45688.68812</v>
      </c>
      <c r="K998" s="13" t="str">
        <f>IFERROR(__xludf.DUMMYFUNCTION("""COMPUTED_VALUE"""),"Selesai")</f>
        <v>Selesai</v>
      </c>
      <c r="L998" s="17">
        <f>IFERROR(__xludf.DUMMYFUNCTION("""COMPUTED_VALUE"""),45688.6881205324)</f>
        <v>45688.68812</v>
      </c>
      <c r="M998" s="17">
        <f>IFERROR(__xludf.DUMMYFUNCTION("""COMPUTED_VALUE"""),45688.68813113426)</f>
        <v>45688.68813</v>
      </c>
      <c r="N998" s="13" t="str">
        <f>IFERROR(__xludf.DUMMYFUNCTION("""COMPUTED_VALUE"""),"")</f>
        <v/>
      </c>
      <c r="O998" s="13" t="str">
        <f t="shared" si="1"/>
        <v/>
      </c>
    </row>
    <row r="999" ht="22.5" customHeight="1">
      <c r="B999" s="13">
        <f>IFERROR(__xludf.DUMMYFUNCTION("""COMPUTED_VALUE"""),994.0)</f>
        <v>994</v>
      </c>
      <c r="C999" s="13" t="str">
        <f>IFERROR(__xludf.DUMMYFUNCTION("""COMPUTED_VALUE"""),"HM 13435/SEGALA MIDER")</f>
        <v>HM 13435/SEGALA MIDER</v>
      </c>
      <c r="D999" s="13" t="str">
        <f>IFERROR(__xludf.DUMMYFUNCTION("""COMPUTED_VALUE"""),"L/2/220125/1")</f>
        <v>L/2/220125/1</v>
      </c>
      <c r="E999" s="14" t="str">
        <f>IFERROR(__xludf.DUMMYFUNCTION("""COMPUTED_VALUE"""),"Afriza (BT)")</f>
        <v>Afriza (BT)</v>
      </c>
      <c r="F999" s="14" t="str">
        <f>IFERROR(__xludf.DUMMYFUNCTION("""COMPUTED_VALUE"""),"SELESAI (VIA PERMOHONAN)")</f>
        <v>SELESAI (VIA PERMOHONAN)</v>
      </c>
      <c r="G999" s="17">
        <f>IFERROR(__xludf.DUMMYFUNCTION("""COMPUTED_VALUE"""),45688.68856392361)</f>
        <v>45688.68856</v>
      </c>
      <c r="H999" s="14" t="str">
        <f>IFERROR(__xludf.DUMMYFUNCTION("""COMPUTED_VALUE"""),"Bu Eva (SU)")</f>
        <v>Bu Eva (SU)</v>
      </c>
      <c r="I999" s="13" t="str">
        <f>IFERROR(__xludf.DUMMYFUNCTION("""COMPUTED_VALUE"""),"SELESAI (VIA PERMOHONAN)")</f>
        <v>SELESAI (VIA PERMOHONAN)</v>
      </c>
      <c r="J999" s="17">
        <f>IFERROR(__xludf.DUMMYFUNCTION("""COMPUTED_VALUE"""),45688.68861334491)</f>
        <v>45688.68861</v>
      </c>
      <c r="K999" s="13" t="str">
        <f>IFERROR(__xludf.DUMMYFUNCTION("""COMPUTED_VALUE"""),"Selesai")</f>
        <v>Selesai</v>
      </c>
      <c r="L999" s="17">
        <f>IFERROR(__xludf.DUMMYFUNCTION("""COMPUTED_VALUE"""),45688.68861334491)</f>
        <v>45688.68861</v>
      </c>
      <c r="M999" s="17">
        <f>IFERROR(__xludf.DUMMYFUNCTION("""COMPUTED_VALUE"""),45688.68862216435)</f>
        <v>45688.68862</v>
      </c>
      <c r="N999" s="17">
        <f>IFERROR(__xludf.DUMMYFUNCTION("""COMPUTED_VALUE"""),45695.42614289351)</f>
        <v>45695.42614</v>
      </c>
      <c r="O999" s="13">
        <f t="shared" si="1"/>
        <v>1</v>
      </c>
    </row>
    <row r="1000" ht="22.5" customHeight="1">
      <c r="B1000" s="13">
        <f>IFERROR(__xludf.DUMMYFUNCTION("""COMPUTED_VALUE"""),995.0)</f>
        <v>995</v>
      </c>
      <c r="C1000" s="13" t="str">
        <f>IFERROR(__xludf.DUMMYFUNCTION("""COMPUTED_VALUE"""),"M. 12003/ Tanjung Baru")</f>
        <v>M. 12003/ Tanjung Baru</v>
      </c>
      <c r="D1000" s="13" t="str">
        <f>IFERROR(__xludf.DUMMYFUNCTION("""COMPUTED_VALUE"""),"K/11/220125/2")</f>
        <v>K/11/220125/2</v>
      </c>
      <c r="E1000" s="14" t="str">
        <f>IFERROR(__xludf.DUMMYFUNCTION("""COMPUTED_VALUE"""),"Nadian (BT)")</f>
        <v>Nadian (BT)</v>
      </c>
      <c r="F1000" s="14" t="str">
        <f>IFERROR(__xludf.DUMMYFUNCTION("""COMPUTED_VALUE"""),"SELESAI")</f>
        <v>SELESAI</v>
      </c>
      <c r="G1000" s="17">
        <f>IFERROR(__xludf.DUMMYFUNCTION("""COMPUTED_VALUE"""),45691.63390664352)</f>
        <v>45691.63391</v>
      </c>
      <c r="H1000" s="14" t="str">
        <f>IFERROR(__xludf.DUMMYFUNCTION("""COMPUTED_VALUE"""),"Bu Eva (SU)")</f>
        <v>Bu Eva (SU)</v>
      </c>
      <c r="I1000" s="13" t="str">
        <f>IFERROR(__xludf.DUMMYFUNCTION("""COMPUTED_VALUE"""),"SELESAI (VIA PERMOHONAN)")</f>
        <v>SELESAI (VIA PERMOHONAN)</v>
      </c>
      <c r="J1000" s="17">
        <f>IFERROR(__xludf.DUMMYFUNCTION("""COMPUTED_VALUE"""),45695.42419077546)</f>
        <v>45695.42419</v>
      </c>
      <c r="K1000" s="13" t="str">
        <f>IFERROR(__xludf.DUMMYFUNCTION("""COMPUTED_VALUE"""),"Selesai")</f>
        <v>Selesai</v>
      </c>
      <c r="L1000" s="17">
        <f>IFERROR(__xludf.DUMMYFUNCTION("""COMPUTED_VALUE"""),45695.42419077546)</f>
        <v>45695.42419</v>
      </c>
      <c r="M1000" s="13"/>
      <c r="N1000" s="17">
        <f>IFERROR(__xludf.DUMMYFUNCTION("""COMPUTED_VALUE"""),45695.42421203703)</f>
        <v>45695.42421</v>
      </c>
      <c r="O1000" s="13">
        <f t="shared" si="1"/>
        <v>2</v>
      </c>
    </row>
    <row r="1001" ht="22.5" customHeight="1">
      <c r="B1001" s="13">
        <f>IFERROR(__xludf.DUMMYFUNCTION("""COMPUTED_VALUE"""),996.0)</f>
        <v>996</v>
      </c>
      <c r="C1001" s="13" t="str">
        <f>IFERROR(__xludf.DUMMYFUNCTION("""COMPUTED_VALUE"""),"HM 1558/SRENGSEM")</f>
        <v>HM 1558/SRENGSEM</v>
      </c>
      <c r="D1001" s="13" t="str">
        <f>IFERROR(__xludf.DUMMYFUNCTION("""COMPUTED_VALUE"""),"L/3/220125/1")</f>
        <v>L/3/220125/1</v>
      </c>
      <c r="E1001" s="14" t="str">
        <f>IFERROR(__xludf.DUMMYFUNCTION("""COMPUTED_VALUE"""),"Nadian (BT)")</f>
        <v>Nadian (BT)</v>
      </c>
      <c r="F1001" s="14" t="str">
        <f>IFERROR(__xludf.DUMMYFUNCTION("""COMPUTED_VALUE"""),"SELESAI")</f>
        <v>SELESAI</v>
      </c>
      <c r="G1001" s="17">
        <f>IFERROR(__xludf.DUMMYFUNCTION("""COMPUTED_VALUE"""),45691.63390664352)</f>
        <v>45691.63391</v>
      </c>
      <c r="H1001" s="14" t="str">
        <f>IFERROR(__xludf.DUMMYFUNCTION("""COMPUTED_VALUE"""),"Bu Eva (SU)")</f>
        <v>Bu Eva (SU)</v>
      </c>
      <c r="I1001" s="13" t="str">
        <f>IFERROR(__xludf.DUMMYFUNCTION("""COMPUTED_VALUE"""),"SELESAI (VIA PERMOHONAN)")</f>
        <v>SELESAI (VIA PERMOHONAN)</v>
      </c>
      <c r="J1001" s="17">
        <f>IFERROR(__xludf.DUMMYFUNCTION("""COMPUTED_VALUE"""),45695.424521875)</f>
        <v>45695.42452</v>
      </c>
      <c r="K1001" s="13" t="str">
        <f>IFERROR(__xludf.DUMMYFUNCTION("""COMPUTED_VALUE"""),"Selesai")</f>
        <v>Selesai</v>
      </c>
      <c r="L1001" s="17">
        <f>IFERROR(__xludf.DUMMYFUNCTION("""COMPUTED_VALUE"""),45695.424521875)</f>
        <v>45695.42452</v>
      </c>
      <c r="M1001" s="13"/>
      <c r="N1001" s="17">
        <f>IFERROR(__xludf.DUMMYFUNCTION("""COMPUTED_VALUE"""),45695.424542361114)</f>
        <v>45695.42454</v>
      </c>
      <c r="O1001" s="13">
        <f t="shared" si="1"/>
        <v>3</v>
      </c>
    </row>
    <row r="1002" ht="22.5" customHeight="1">
      <c r="B1002" s="13">
        <f>IFERROR(__xludf.DUMMYFUNCTION("""COMPUTED_VALUE"""),997.0)</f>
        <v>997</v>
      </c>
      <c r="C1002" s="13" t="str">
        <f>IFERROR(__xludf.DUMMYFUNCTION("""COMPUTED_VALUE"""),"HM 1559/SRENGSEM")</f>
        <v>HM 1559/SRENGSEM</v>
      </c>
      <c r="D1002" s="13" t="str">
        <f>IFERROR(__xludf.DUMMYFUNCTION("""COMPUTED_VALUE"""),"L/5/220125/3")</f>
        <v>L/5/220125/3</v>
      </c>
      <c r="E1002" s="14" t="str">
        <f>IFERROR(__xludf.DUMMYFUNCTION("""COMPUTED_VALUE"""),"Nadian (BT)")</f>
        <v>Nadian (BT)</v>
      </c>
      <c r="F1002" s="14" t="str">
        <f>IFERROR(__xludf.DUMMYFUNCTION("""COMPUTED_VALUE"""),"SELESAI")</f>
        <v>SELESAI</v>
      </c>
      <c r="G1002" s="17">
        <f>IFERROR(__xludf.DUMMYFUNCTION("""COMPUTED_VALUE"""),45691.63390664352)</f>
        <v>45691.63391</v>
      </c>
      <c r="H1002" s="14" t="str">
        <f>IFERROR(__xludf.DUMMYFUNCTION("""COMPUTED_VALUE"""),"Bu Eva (SU)")</f>
        <v>Bu Eva (SU)</v>
      </c>
      <c r="I1002" s="13" t="str">
        <f>IFERROR(__xludf.DUMMYFUNCTION("""COMPUTED_VALUE"""),"SELESAI (VIA PERMOHONAN)")</f>
        <v>SELESAI (VIA PERMOHONAN)</v>
      </c>
      <c r="J1002" s="17">
        <f>IFERROR(__xludf.DUMMYFUNCTION("""COMPUTED_VALUE"""),45695.42467869213)</f>
        <v>45695.42468</v>
      </c>
      <c r="K1002" s="13" t="str">
        <f>IFERROR(__xludf.DUMMYFUNCTION("""COMPUTED_VALUE"""),"Selesai")</f>
        <v>Selesai</v>
      </c>
      <c r="L1002" s="17">
        <f>IFERROR(__xludf.DUMMYFUNCTION("""COMPUTED_VALUE"""),45695.42467869213)</f>
        <v>45695.42468</v>
      </c>
      <c r="M1002" s="13"/>
      <c r="N1002" s="17">
        <f>IFERROR(__xludf.DUMMYFUNCTION("""COMPUTED_VALUE"""),45695.4247025)</f>
        <v>45695.4247</v>
      </c>
      <c r="O1002" s="13">
        <f t="shared" si="1"/>
        <v>4</v>
      </c>
    </row>
    <row r="1003" ht="22.5" customHeight="1">
      <c r="B1003" s="13">
        <f>IFERROR(__xludf.DUMMYFUNCTION("""COMPUTED_VALUE"""),998.0)</f>
        <v>998</v>
      </c>
      <c r="C1003" s="13" t="str">
        <f>IFERROR(__xludf.DUMMYFUNCTION("""COMPUTED_VALUE"""),"HM 1173/SRENGSEM")</f>
        <v>HM 1173/SRENGSEM</v>
      </c>
      <c r="D1003" s="13" t="str">
        <f>IFERROR(__xludf.DUMMYFUNCTION("""COMPUTED_VALUE"""),"L/6/220125/4")</f>
        <v>L/6/220125/4</v>
      </c>
      <c r="E1003" s="14" t="str">
        <f>IFERROR(__xludf.DUMMYFUNCTION("""COMPUTED_VALUE"""),"Nadian (BT)")</f>
        <v>Nadian (BT)</v>
      </c>
      <c r="F1003" s="14" t="str">
        <f>IFERROR(__xludf.DUMMYFUNCTION("""COMPUTED_VALUE"""),"SELESAI")</f>
        <v>SELESAI</v>
      </c>
      <c r="G1003" s="17">
        <f>IFERROR(__xludf.DUMMYFUNCTION("""COMPUTED_VALUE"""),45691.63390664352)</f>
        <v>45691.63391</v>
      </c>
      <c r="H1003" s="14" t="str">
        <f>IFERROR(__xludf.DUMMYFUNCTION("""COMPUTED_VALUE"""),"Bu Eva (SU)")</f>
        <v>Bu Eva (SU)</v>
      </c>
      <c r="I1003" s="13" t="str">
        <f>IFERROR(__xludf.DUMMYFUNCTION("""COMPUTED_VALUE"""),"SELESAI (VIA PERMOHONAN)")</f>
        <v>SELESAI (VIA PERMOHONAN)</v>
      </c>
      <c r="J1003" s="17">
        <f>IFERROR(__xludf.DUMMYFUNCTION("""COMPUTED_VALUE"""),45695.421987442125)</f>
        <v>45695.42199</v>
      </c>
      <c r="K1003" s="13" t="str">
        <f>IFERROR(__xludf.DUMMYFUNCTION("""COMPUTED_VALUE"""),"Selesai")</f>
        <v>Selesai</v>
      </c>
      <c r="L1003" s="17">
        <f>IFERROR(__xludf.DUMMYFUNCTION("""COMPUTED_VALUE"""),45695.421987442125)</f>
        <v>45695.42199</v>
      </c>
      <c r="M1003" s="13"/>
      <c r="N1003" s="17">
        <f>IFERROR(__xludf.DUMMYFUNCTION("""COMPUTED_VALUE"""),45695.421997893514)</f>
        <v>45695.422</v>
      </c>
      <c r="O1003" s="13">
        <f t="shared" si="1"/>
        <v>5</v>
      </c>
    </row>
    <row r="1004" ht="22.5" customHeight="1">
      <c r="B1004" s="13">
        <f>IFERROR(__xludf.DUMMYFUNCTION("""COMPUTED_VALUE"""),999.0)</f>
        <v>999</v>
      </c>
      <c r="C1004" s="13" t="str">
        <f>IFERROR(__xludf.DUMMYFUNCTION("""COMPUTED_VALUE"""),"HM 1560/SRENGSEM")</f>
        <v>HM 1560/SRENGSEM</v>
      </c>
      <c r="D1004" s="13" t="str">
        <f>IFERROR(__xludf.DUMMYFUNCTION("""COMPUTED_VALUE"""),"L/7/220125/5")</f>
        <v>L/7/220125/5</v>
      </c>
      <c r="E1004" s="14" t="str">
        <f>IFERROR(__xludf.DUMMYFUNCTION("""COMPUTED_VALUE"""),"Nadian (BT)")</f>
        <v>Nadian (BT)</v>
      </c>
      <c r="F1004" s="14" t="str">
        <f>IFERROR(__xludf.DUMMYFUNCTION("""COMPUTED_VALUE"""),"SELESAI")</f>
        <v>SELESAI</v>
      </c>
      <c r="G1004" s="17">
        <f>IFERROR(__xludf.DUMMYFUNCTION("""COMPUTED_VALUE"""),45691.63390664352)</f>
        <v>45691.63391</v>
      </c>
      <c r="H1004" s="14" t="str">
        <f>IFERROR(__xludf.DUMMYFUNCTION("""COMPUTED_VALUE"""),"Bu Eva (SU)")</f>
        <v>Bu Eva (SU)</v>
      </c>
      <c r="I1004" s="13" t="str">
        <f>IFERROR(__xludf.DUMMYFUNCTION("""COMPUTED_VALUE"""),"SELESAI (VIA PERMOHONAN)")</f>
        <v>SELESAI (VIA PERMOHONAN)</v>
      </c>
      <c r="J1004" s="17">
        <f>IFERROR(__xludf.DUMMYFUNCTION("""COMPUTED_VALUE"""),45695.42534894676)</f>
        <v>45695.42535</v>
      </c>
      <c r="K1004" s="13" t="str">
        <f>IFERROR(__xludf.DUMMYFUNCTION("""COMPUTED_VALUE"""),"Selesai")</f>
        <v>Selesai</v>
      </c>
      <c r="L1004" s="17">
        <f>IFERROR(__xludf.DUMMYFUNCTION("""COMPUTED_VALUE"""),45695.42534894676)</f>
        <v>45695.42535</v>
      </c>
      <c r="M1004" s="13"/>
      <c r="N1004" s="17">
        <f>IFERROR(__xludf.DUMMYFUNCTION("""COMPUTED_VALUE"""),45695.425372060185)</f>
        <v>45695.42537</v>
      </c>
      <c r="O1004" s="13">
        <f t="shared" si="1"/>
        <v>6</v>
      </c>
    </row>
    <row r="1005" ht="22.5" customHeight="1">
      <c r="B1005" s="13">
        <f>IFERROR(__xludf.DUMMYFUNCTION("""COMPUTED_VALUE"""),1000.0)</f>
        <v>1000</v>
      </c>
      <c r="C1005" s="13" t="str">
        <f>IFERROR(__xludf.DUMMYFUNCTION("""COMPUTED_VALUE"""),"HM 12914/SUKARAME I")</f>
        <v>HM 12914/SUKARAME I</v>
      </c>
      <c r="D1005" s="13" t="str">
        <f>IFERROR(__xludf.DUMMYFUNCTION("""COMPUTED_VALUE"""),"L/3/310125/1")</f>
        <v>L/3/310125/1</v>
      </c>
      <c r="E1005" s="14" t="str">
        <f>IFERROR(__xludf.DUMMYFUNCTION("""COMPUTED_VALUE"""),"Nadian (BT)")</f>
        <v>Nadian (BT)</v>
      </c>
      <c r="F1005" s="14" t="str">
        <f>IFERROR(__xludf.DUMMYFUNCTION("""COMPUTED_VALUE"""),"SELESAI")</f>
        <v>SELESAI</v>
      </c>
      <c r="G1005" s="17">
        <f>IFERROR(__xludf.DUMMYFUNCTION("""COMPUTED_VALUE"""),45691.63390664352)</f>
        <v>45691.63391</v>
      </c>
      <c r="H1005" s="14"/>
      <c r="I1005" s="13" t="str">
        <f>IFERROR(__xludf.DUMMYFUNCTION("""COMPUTED_VALUE"""),"SELESAI (VIA PERMOHONAN)")</f>
        <v>SELESAI (VIA PERMOHONAN)</v>
      </c>
      <c r="J1005" s="17">
        <f>IFERROR(__xludf.DUMMYFUNCTION("""COMPUTED_VALUE"""),45874.68043001158)</f>
        <v>45874.68043</v>
      </c>
      <c r="K1005" s="13" t="str">
        <f>IFERROR(__xludf.DUMMYFUNCTION("""COMPUTED_VALUE"""),"Selesai")</f>
        <v>Selesai</v>
      </c>
      <c r="L1005" s="17">
        <f>IFERROR(__xludf.DUMMYFUNCTION("""COMPUTED_VALUE"""),45874.68043001158)</f>
        <v>45874.68043</v>
      </c>
      <c r="M1005" s="13"/>
      <c r="N1005" s="13" t="str">
        <f>IFERROR(__xludf.DUMMYFUNCTION("""COMPUTED_VALUE"""),"")</f>
        <v/>
      </c>
      <c r="O1005" s="13" t="str">
        <f t="shared" si="1"/>
        <v/>
      </c>
    </row>
    <row r="1006" ht="22.5" customHeight="1">
      <c r="B1006" s="13">
        <f>IFERROR(__xludf.DUMMYFUNCTION("""COMPUTED_VALUE"""),1001.0)</f>
        <v>1001</v>
      </c>
      <c r="C1006" s="13" t="str">
        <f>IFERROR(__xludf.DUMMYFUNCTION("""COMPUTED_VALUE"""),"HM 156/KEMILING RAYA")</f>
        <v>HM 156/KEMILING RAYA</v>
      </c>
      <c r="D1006" s="13" t="str">
        <f>IFERROR(__xludf.DUMMYFUNCTION("""COMPUTED_VALUE"""),"L/25/220125/1")</f>
        <v>L/25/220125/1</v>
      </c>
      <c r="E1006" s="14" t="str">
        <f>IFERROR(__xludf.DUMMYFUNCTION("""COMPUTED_VALUE"""),"Nadian (BT)")</f>
        <v>Nadian (BT)</v>
      </c>
      <c r="F1006" s="14" t="str">
        <f>IFERROR(__xludf.DUMMYFUNCTION("""COMPUTED_VALUE"""),"SELESAI")</f>
        <v>SELESAI</v>
      </c>
      <c r="G1006" s="17">
        <f>IFERROR(__xludf.DUMMYFUNCTION("""COMPUTED_VALUE"""),45691.63390664352)</f>
        <v>45691.63391</v>
      </c>
      <c r="H1006" s="14" t="str">
        <f>IFERROR(__xludf.DUMMYFUNCTION("""COMPUTED_VALUE"""),"Bu Eva (SU)")</f>
        <v>Bu Eva (SU)</v>
      </c>
      <c r="I1006" s="13" t="str">
        <f>IFERROR(__xludf.DUMMYFUNCTION("""COMPUTED_VALUE"""),"SELESAI (VIA PERMOHONAN)")</f>
        <v>SELESAI (VIA PERMOHONAN)</v>
      </c>
      <c r="J1006" s="17">
        <f>IFERROR(__xludf.DUMMYFUNCTION("""COMPUTED_VALUE"""),45695.42601041667)</f>
        <v>45695.42601</v>
      </c>
      <c r="K1006" s="13" t="str">
        <f>IFERROR(__xludf.DUMMYFUNCTION("""COMPUTED_VALUE"""),"Selesai")</f>
        <v>Selesai</v>
      </c>
      <c r="L1006" s="17">
        <f>IFERROR(__xludf.DUMMYFUNCTION("""COMPUTED_VALUE"""),45695.42601041667)</f>
        <v>45695.42601</v>
      </c>
      <c r="M1006" s="13"/>
      <c r="N1006" s="17">
        <f>IFERROR(__xludf.DUMMYFUNCTION("""COMPUTED_VALUE"""),45695.42603278936)</f>
        <v>45695.42603</v>
      </c>
      <c r="O1006" s="13">
        <f t="shared" si="1"/>
        <v>1</v>
      </c>
    </row>
    <row r="1007" ht="22.5" customHeight="1">
      <c r="B1007" s="13">
        <f>IFERROR(__xludf.DUMMYFUNCTION("""COMPUTED_VALUE"""),1002.0)</f>
        <v>1002</v>
      </c>
      <c r="C1007" s="13" t="str">
        <f>IFERROR(__xludf.DUMMYFUNCTION("""COMPUTED_VALUE"""),"M. 15949/ Sukarame")</f>
        <v>M. 15949/ Sukarame</v>
      </c>
      <c r="D1007" s="13" t="str">
        <f>IFERROR(__xludf.DUMMYFUNCTION("""COMPUTED_VALUE"""),"K/16/210125/1")</f>
        <v>K/16/210125/1</v>
      </c>
      <c r="E1007" s="14" t="str">
        <f>IFERROR(__xludf.DUMMYFUNCTION("""COMPUTED_VALUE"""),"Nadian (BT)")</f>
        <v>Nadian (BT)</v>
      </c>
      <c r="F1007" s="14" t="str">
        <f>IFERROR(__xludf.DUMMYFUNCTION("""COMPUTED_VALUE"""),"SELESAI")</f>
        <v>SELESAI</v>
      </c>
      <c r="G1007" s="17">
        <f>IFERROR(__xludf.DUMMYFUNCTION("""COMPUTED_VALUE"""),45691.63390664352)</f>
        <v>45691.63391</v>
      </c>
      <c r="H1007" s="14" t="str">
        <f>IFERROR(__xludf.DUMMYFUNCTION("""COMPUTED_VALUE"""),"Bu Eva (SU)")</f>
        <v>Bu Eva (SU)</v>
      </c>
      <c r="I1007" s="13" t="str">
        <f>IFERROR(__xludf.DUMMYFUNCTION("""COMPUTED_VALUE"""),"SELESAI (VIA PERMOHONAN)")</f>
        <v>SELESAI (VIA PERMOHONAN)</v>
      </c>
      <c r="J1007" s="17">
        <f>IFERROR(__xludf.DUMMYFUNCTION("""COMPUTED_VALUE"""),45695.42364028935)</f>
        <v>45695.42364</v>
      </c>
      <c r="K1007" s="13" t="str">
        <f>IFERROR(__xludf.DUMMYFUNCTION("""COMPUTED_VALUE"""),"Selesai")</f>
        <v>Selesai</v>
      </c>
      <c r="L1007" s="17">
        <f>IFERROR(__xludf.DUMMYFUNCTION("""COMPUTED_VALUE"""),45695.42364028935)</f>
        <v>45695.42364</v>
      </c>
      <c r="M1007" s="13"/>
      <c r="N1007" s="17">
        <f>IFERROR(__xludf.DUMMYFUNCTION("""COMPUTED_VALUE"""),45695.42365916667)</f>
        <v>45695.42366</v>
      </c>
      <c r="O1007" s="13">
        <f t="shared" si="1"/>
        <v>2</v>
      </c>
    </row>
    <row r="1008" ht="22.5" customHeight="1">
      <c r="B1008" s="13">
        <f>IFERROR(__xludf.DUMMYFUNCTION("""COMPUTED_VALUE"""),1003.0)</f>
        <v>1003</v>
      </c>
      <c r="C1008" s="13" t="str">
        <f>IFERROR(__xludf.DUMMYFUNCTION("""COMPUTED_VALUE"""),"M. 243/ Pinang Jaya")</f>
        <v>M. 243/ Pinang Jaya</v>
      </c>
      <c r="D1008" s="13" t="str">
        <f>IFERROR(__xludf.DUMMYFUNCTION("""COMPUTED_VALUE"""),"K/12/171024/3")</f>
        <v>K/12/171024/3</v>
      </c>
      <c r="E1008" s="14" t="str">
        <f>IFERROR(__xludf.DUMMYFUNCTION("""COMPUTED_VALUE"""),"Admin (Migrasi)")</f>
        <v>Admin (Migrasi)</v>
      </c>
      <c r="F1008" s="14" t="str">
        <f>IFERROR(__xludf.DUMMYFUNCTION("""COMPUTED_VALUE"""),"SELESAI")</f>
        <v>SELESAI</v>
      </c>
      <c r="G1008" s="17">
        <f>IFERROR(__xludf.DUMMYFUNCTION("""COMPUTED_VALUE"""),45691.7601478125)</f>
        <v>45691.76015</v>
      </c>
      <c r="H1008" s="14"/>
      <c r="I1008" s="13" t="str">
        <f>IFERROR(__xludf.DUMMYFUNCTION("""COMPUTED_VALUE"""),"SELESAI (VIA PERMOHONAN)")</f>
        <v>SELESAI (VIA PERMOHONAN)</v>
      </c>
      <c r="J1008" s="17">
        <f>IFERROR(__xludf.DUMMYFUNCTION("""COMPUTED_VALUE"""),45874.68043001158)</f>
        <v>45874.68043</v>
      </c>
      <c r="K1008" s="13" t="str">
        <f>IFERROR(__xludf.DUMMYFUNCTION("""COMPUTED_VALUE"""),"Selesai")</f>
        <v>Selesai</v>
      </c>
      <c r="L1008" s="17">
        <f>IFERROR(__xludf.DUMMYFUNCTION("""COMPUTED_VALUE"""),45874.68043001158)</f>
        <v>45874.68043</v>
      </c>
      <c r="M1008" s="13"/>
      <c r="N1008" s="13" t="str">
        <f>IFERROR(__xludf.DUMMYFUNCTION("""COMPUTED_VALUE"""),"")</f>
        <v/>
      </c>
      <c r="O1008" s="13" t="str">
        <f t="shared" si="1"/>
        <v/>
      </c>
    </row>
    <row r="1009" ht="22.5" customHeight="1">
      <c r="B1009" s="13">
        <f>IFERROR(__xludf.DUMMYFUNCTION("""COMPUTED_VALUE"""),1004.0)</f>
        <v>1004</v>
      </c>
      <c r="C1009" s="13" t="str">
        <f>IFERROR(__xludf.DUMMYFUNCTION("""COMPUTED_VALUE"""),"M.2166/GUNUNG TERANG")</f>
        <v>M.2166/GUNUNG TERANG</v>
      </c>
      <c r="D1009" s="13" t="str">
        <f>IFERROR(__xludf.DUMMYFUNCTION("""COMPUTED_VALUE"""),"L/19/310125/PELATARAN")</f>
        <v>L/19/310125/PELATARAN</v>
      </c>
      <c r="E1009" s="14" t="str">
        <f>IFERROR(__xludf.DUMMYFUNCTION("""COMPUTED_VALUE"""),"Afriza (BT)")</f>
        <v>Afriza (BT)</v>
      </c>
      <c r="F1009" s="14" t="str">
        <f>IFERROR(__xludf.DUMMYFUNCTION("""COMPUTED_VALUE"""),"SELESAI")</f>
        <v>SELESAI</v>
      </c>
      <c r="G1009" s="17">
        <f>IFERROR(__xludf.DUMMYFUNCTION("""COMPUTED_VALUE"""),45692.57198765046)</f>
        <v>45692.57199</v>
      </c>
      <c r="H1009" s="14"/>
      <c r="I1009" s="13" t="str">
        <f>IFERROR(__xludf.DUMMYFUNCTION("""COMPUTED_VALUE"""),"SELESAI (VIA PERMOHONAN)")</f>
        <v>SELESAI (VIA PERMOHONAN)</v>
      </c>
      <c r="J1009" s="17">
        <f>IFERROR(__xludf.DUMMYFUNCTION("""COMPUTED_VALUE"""),45874.68043001158)</f>
        <v>45874.68043</v>
      </c>
      <c r="K1009" s="13" t="str">
        <f>IFERROR(__xludf.DUMMYFUNCTION("""COMPUTED_VALUE"""),"Selesai")</f>
        <v>Selesai</v>
      </c>
      <c r="L1009" s="17">
        <f>IFERROR(__xludf.DUMMYFUNCTION("""COMPUTED_VALUE"""),45874.68043001158)</f>
        <v>45874.68043</v>
      </c>
      <c r="M1009" s="13"/>
      <c r="N1009" s="13" t="str">
        <f>IFERROR(__xludf.DUMMYFUNCTION("""COMPUTED_VALUE"""),"")</f>
        <v/>
      </c>
      <c r="O1009" s="13" t="str">
        <f t="shared" si="1"/>
        <v/>
      </c>
    </row>
    <row r="1010" ht="22.5" customHeight="1">
      <c r="B1010" s="13">
        <f>IFERROR(__xludf.DUMMYFUNCTION("""COMPUTED_VALUE"""),1005.0)</f>
        <v>1005</v>
      </c>
      <c r="C1010" s="13" t="str">
        <f>IFERROR(__xludf.DUMMYFUNCTION("""COMPUTED_VALUE"""),"M. 9674/ Sukabumi")</f>
        <v>M. 9674/ Sukabumi</v>
      </c>
      <c r="D1010" s="13" t="str">
        <f>IFERROR(__xludf.DUMMYFUNCTION("""COMPUTED_VALUE"""),"K/18/300125/1")</f>
        <v>K/18/300125/1</v>
      </c>
      <c r="E1010" s="14" t="str">
        <f>IFERROR(__xludf.DUMMYFUNCTION("""COMPUTED_VALUE"""),"Nadian (BT)")</f>
        <v>Nadian (BT)</v>
      </c>
      <c r="F1010" s="14" t="str">
        <f>IFERROR(__xludf.DUMMYFUNCTION("""COMPUTED_VALUE"""),"SELESAI (VIA PERMOHONAN)")</f>
        <v>SELESAI (VIA PERMOHONAN)</v>
      </c>
      <c r="G1010" s="17">
        <f>IFERROR(__xludf.DUMMYFUNCTION("""COMPUTED_VALUE"""),45692.57592454861)</f>
        <v>45692.57592</v>
      </c>
      <c r="H1010" s="14" t="str">
        <f>IFERROR(__xludf.DUMMYFUNCTION("""COMPUTED_VALUE"""),"Bu Eva (SU)")</f>
        <v>Bu Eva (SU)</v>
      </c>
      <c r="I1010" s="13" t="str">
        <f>IFERROR(__xludf.DUMMYFUNCTION("""COMPUTED_VALUE"""),"SELESAI (VIA PERMOHONAN)")</f>
        <v>SELESAI (VIA PERMOHONAN)</v>
      </c>
      <c r="J1010" s="17">
        <f>IFERROR(__xludf.DUMMYFUNCTION("""COMPUTED_VALUE"""),45693.69556309028)</f>
        <v>45693.69556</v>
      </c>
      <c r="K1010" s="13" t="str">
        <f>IFERROR(__xludf.DUMMYFUNCTION("""COMPUTED_VALUE"""),"Selesai")</f>
        <v>Selesai</v>
      </c>
      <c r="L1010" s="17">
        <f>IFERROR(__xludf.DUMMYFUNCTION("""COMPUTED_VALUE"""),45693.69556309028)</f>
        <v>45693.69556</v>
      </c>
      <c r="M1010" s="13"/>
      <c r="N1010" s="13" t="str">
        <f>IFERROR(__xludf.DUMMYFUNCTION("""COMPUTED_VALUE"""),"")</f>
        <v/>
      </c>
      <c r="O1010" s="13" t="str">
        <f t="shared" si="1"/>
        <v/>
      </c>
    </row>
    <row r="1011" ht="22.5" customHeight="1">
      <c r="B1011" s="13">
        <f>IFERROR(__xludf.DUMMYFUNCTION("""COMPUTED_VALUE"""),1006.0)</f>
        <v>1006</v>
      </c>
      <c r="C1011" s="13" t="str">
        <f>IFERROR(__xludf.DUMMYFUNCTION("""COMPUTED_VALUE"""),"HM 313/KOTA SEPANG")</f>
        <v>HM 313/KOTA SEPANG</v>
      </c>
      <c r="D1011" s="13" t="str">
        <f>IFERROR(__xludf.DUMMYFUNCTION("""COMPUTED_VALUE"""),"L/9/170125/1")</f>
        <v>L/9/170125/1</v>
      </c>
      <c r="E1011" s="14" t="str">
        <f>IFERROR(__xludf.DUMMYFUNCTION("""COMPUTED_VALUE"""),"Nadian (BT)")</f>
        <v>Nadian (BT)</v>
      </c>
      <c r="F1011" s="14" t="str">
        <f>IFERROR(__xludf.DUMMYFUNCTION("""COMPUTED_VALUE"""),"SELESAI (VIA PERMOHONAN)")</f>
        <v>SELESAI (VIA PERMOHONAN)</v>
      </c>
      <c r="G1011" s="17">
        <f>IFERROR(__xludf.DUMMYFUNCTION("""COMPUTED_VALUE"""),45692.57592454861)</f>
        <v>45692.57592</v>
      </c>
      <c r="H1011" s="14" t="str">
        <f>IFERROR(__xludf.DUMMYFUNCTION("""COMPUTED_VALUE"""),"Bu Eva (SU)")</f>
        <v>Bu Eva (SU)</v>
      </c>
      <c r="I1011" s="13" t="str">
        <f>IFERROR(__xludf.DUMMYFUNCTION("""COMPUTED_VALUE"""),"SELESAI (VIA PERMOHONAN)")</f>
        <v>SELESAI (VIA PERMOHONAN)</v>
      </c>
      <c r="J1011" s="17">
        <f>IFERROR(__xludf.DUMMYFUNCTION("""COMPUTED_VALUE"""),45693.69556310185)</f>
        <v>45693.69556</v>
      </c>
      <c r="K1011" s="13" t="str">
        <f>IFERROR(__xludf.DUMMYFUNCTION("""COMPUTED_VALUE"""),"Selesai")</f>
        <v>Selesai</v>
      </c>
      <c r="L1011" s="17">
        <f>IFERROR(__xludf.DUMMYFUNCTION("""COMPUTED_VALUE"""),45693.69556310185)</f>
        <v>45693.69556</v>
      </c>
      <c r="M1011" s="13"/>
      <c r="N1011" s="13" t="str">
        <f>IFERROR(__xludf.DUMMYFUNCTION("""COMPUTED_VALUE"""),"")</f>
        <v/>
      </c>
      <c r="O1011" s="13" t="str">
        <f t="shared" si="1"/>
        <v/>
      </c>
    </row>
    <row r="1012" ht="22.5" customHeight="1">
      <c r="B1012" s="13">
        <f>IFERROR(__xludf.DUMMYFUNCTION("""COMPUTED_VALUE"""),1007.0)</f>
        <v>1007</v>
      </c>
      <c r="C1012" s="13" t="str">
        <f>IFERROR(__xludf.DUMMYFUNCTION("""COMPUTED_VALUE"""),"M. 1791/ Rajabasa Nunyai")</f>
        <v>M. 1791/ Rajabasa Nunyai</v>
      </c>
      <c r="D1012" s="13" t="str">
        <f>IFERROR(__xludf.DUMMYFUNCTION("""COMPUTED_VALUE"""),"K/14/300125/1")</f>
        <v>K/14/300125/1</v>
      </c>
      <c r="E1012" s="14" t="str">
        <f>IFERROR(__xludf.DUMMYFUNCTION("""COMPUTED_VALUE"""),"Nadian (BT)")</f>
        <v>Nadian (BT)</v>
      </c>
      <c r="F1012" s="14" t="str">
        <f>IFERROR(__xludf.DUMMYFUNCTION("""COMPUTED_VALUE"""),"SELESAI (VIA PERMOHONAN)")</f>
        <v>SELESAI (VIA PERMOHONAN)</v>
      </c>
      <c r="G1012" s="17">
        <f>IFERROR(__xludf.DUMMYFUNCTION("""COMPUTED_VALUE"""),45692.57592454861)</f>
        <v>45692.57592</v>
      </c>
      <c r="H1012" s="14" t="str">
        <f>IFERROR(__xludf.DUMMYFUNCTION("""COMPUTED_VALUE"""),"Bu Eva (SU)")</f>
        <v>Bu Eva (SU)</v>
      </c>
      <c r="I1012" s="13" t="str">
        <f>IFERROR(__xludf.DUMMYFUNCTION("""COMPUTED_VALUE"""),"SELESAI (VIA PERMOHONAN)")</f>
        <v>SELESAI (VIA PERMOHONAN)</v>
      </c>
      <c r="J1012" s="17">
        <f>IFERROR(__xludf.DUMMYFUNCTION("""COMPUTED_VALUE"""),45693.695633055555)</f>
        <v>45693.69563</v>
      </c>
      <c r="K1012" s="13" t="str">
        <f>IFERROR(__xludf.DUMMYFUNCTION("""COMPUTED_VALUE"""),"Selesai")</f>
        <v>Selesai</v>
      </c>
      <c r="L1012" s="17">
        <f>IFERROR(__xludf.DUMMYFUNCTION("""COMPUTED_VALUE"""),45693.695633055555)</f>
        <v>45693.69563</v>
      </c>
      <c r="M1012" s="13"/>
      <c r="N1012" s="13" t="str">
        <f>IFERROR(__xludf.DUMMYFUNCTION("""COMPUTED_VALUE"""),"")</f>
        <v/>
      </c>
      <c r="O1012" s="13" t="str">
        <f t="shared" si="1"/>
        <v/>
      </c>
    </row>
    <row r="1013" ht="22.5" customHeight="1">
      <c r="B1013" s="13">
        <f>IFERROR(__xludf.DUMMYFUNCTION("""COMPUTED_VALUE"""),1008.0)</f>
        <v>1008</v>
      </c>
      <c r="C1013" s="13" t="str">
        <f>IFERROR(__xludf.DUMMYFUNCTION("""COMPUTED_VALUE"""),"M.37/PEMATANG WANGI")</f>
        <v>M.37/PEMATANG WANGI</v>
      </c>
      <c r="D1013" s="13" t="str">
        <f>IFERROR(__xludf.DUMMYFUNCTION("""COMPUTED_VALUE"""),"K/48/251124/1")</f>
        <v>K/48/251124/1</v>
      </c>
      <c r="E1013" s="14" t="str">
        <f>IFERROR(__xludf.DUMMYFUNCTION("""COMPUTED_VALUE"""),"Admin (Migrasi)")</f>
        <v>Admin (Migrasi)</v>
      </c>
      <c r="F1013" s="14" t="str">
        <f>IFERROR(__xludf.DUMMYFUNCTION("""COMPUTED_VALUE"""),"SELESAI")</f>
        <v>SELESAI</v>
      </c>
      <c r="G1013" s="17">
        <f>IFERROR(__xludf.DUMMYFUNCTION("""COMPUTED_VALUE"""),45692.62104493055)</f>
        <v>45692.62104</v>
      </c>
      <c r="H1013" s="14" t="str">
        <f>IFERROR(__xludf.DUMMYFUNCTION("""COMPUTED_VALUE"""),"Admin (Migrasi)")</f>
        <v>Admin (Migrasi)</v>
      </c>
      <c r="I1013" s="13" t="str">
        <f>IFERROR(__xludf.DUMMYFUNCTION("""COMPUTED_VALUE"""),"SELESAI (VIA PERMOHONAN)")</f>
        <v>SELESAI (VIA PERMOHONAN)</v>
      </c>
      <c r="J1013" s="17">
        <f>IFERROR(__xludf.DUMMYFUNCTION("""COMPUTED_VALUE"""),45692.62110857639)</f>
        <v>45692.62111</v>
      </c>
      <c r="K1013" s="13" t="str">
        <f>IFERROR(__xludf.DUMMYFUNCTION("""COMPUTED_VALUE"""),"Selesai")</f>
        <v>Selesai</v>
      </c>
      <c r="L1013" s="17">
        <f>IFERROR(__xludf.DUMMYFUNCTION("""COMPUTED_VALUE"""),45692.62110857639)</f>
        <v>45692.62111</v>
      </c>
      <c r="M1013" s="13"/>
      <c r="N1013" s="13" t="str">
        <f>IFERROR(__xludf.DUMMYFUNCTION("""COMPUTED_VALUE"""),"")</f>
        <v/>
      </c>
      <c r="O1013" s="13" t="str">
        <f t="shared" si="1"/>
        <v/>
      </c>
    </row>
    <row r="1014" ht="22.5" customHeight="1">
      <c r="B1014" s="13">
        <f>IFERROR(__xludf.DUMMYFUNCTION("""COMPUTED_VALUE"""),1009.0)</f>
        <v>1009</v>
      </c>
      <c r="C1014" s="13" t="str">
        <f>IFERROR(__xludf.DUMMYFUNCTION("""COMPUTED_VALUE"""),"M. 1874/ Sumberrejo Sejahtera")</f>
        <v>M. 1874/ Sumberrejo Sejahtera</v>
      </c>
      <c r="D1014" s="13" t="str">
        <f>IFERROR(__xludf.DUMMYFUNCTION("""COMPUTED_VALUE"""),"K/16/030225/2")</f>
        <v>K/16/030225/2</v>
      </c>
      <c r="E1014" s="14" t="str">
        <f>IFERROR(__xludf.DUMMYFUNCTION("""COMPUTED_VALUE"""),"Afriza (BT)")</f>
        <v>Afriza (BT)</v>
      </c>
      <c r="F1014" s="14" t="str">
        <f>IFERROR(__xludf.DUMMYFUNCTION("""COMPUTED_VALUE"""),"SELESAI (VIA PERMOHONAN)")</f>
        <v>SELESAI (VIA PERMOHONAN)</v>
      </c>
      <c r="G1014" s="17">
        <f>IFERROR(__xludf.DUMMYFUNCTION("""COMPUTED_VALUE"""),45692.706912256945)</f>
        <v>45692.70691</v>
      </c>
      <c r="H1014" s="14" t="str">
        <f>IFERROR(__xludf.DUMMYFUNCTION("""COMPUTED_VALUE"""),"Bu Eva (SU)")</f>
        <v>Bu Eva (SU)</v>
      </c>
      <c r="I1014" s="13" t="str">
        <f>IFERROR(__xludf.DUMMYFUNCTION("""COMPUTED_VALUE"""),"SELESAI (VIA PERMOHONAN)")</f>
        <v>SELESAI (VIA PERMOHONAN)</v>
      </c>
      <c r="J1014" s="17">
        <f>IFERROR(__xludf.DUMMYFUNCTION("""COMPUTED_VALUE"""),45693.694946180556)</f>
        <v>45693.69495</v>
      </c>
      <c r="K1014" s="13" t="str">
        <f>IFERROR(__xludf.DUMMYFUNCTION("""COMPUTED_VALUE"""),"Selesai")</f>
        <v>Selesai</v>
      </c>
      <c r="L1014" s="17">
        <f>IFERROR(__xludf.DUMMYFUNCTION("""COMPUTED_VALUE"""),45693.694946180556)</f>
        <v>45693.69495</v>
      </c>
      <c r="M1014" s="13"/>
      <c r="N1014" s="13" t="str">
        <f>IFERROR(__xludf.DUMMYFUNCTION("""COMPUTED_VALUE"""),"")</f>
        <v/>
      </c>
      <c r="O1014" s="13" t="str">
        <f t="shared" si="1"/>
        <v/>
      </c>
    </row>
    <row r="1015" ht="22.5" customHeight="1">
      <c r="B1015" s="13">
        <f>IFERROR(__xludf.DUMMYFUNCTION("""COMPUTED_VALUE"""),1010.0)</f>
        <v>1010</v>
      </c>
      <c r="C1015" s="13" t="str">
        <f>IFERROR(__xludf.DUMMYFUNCTION("""COMPUTED_VALUE"""),"M. 40/ Tanjungkarang")</f>
        <v>M. 40/ Tanjungkarang</v>
      </c>
      <c r="D1015" s="13" t="str">
        <f>IFERROR(__xludf.DUMMYFUNCTION("""COMPUTED_VALUE"""),"K/4/140125/1")</f>
        <v>K/4/140125/1</v>
      </c>
      <c r="E1015" s="14" t="str">
        <f>IFERROR(__xludf.DUMMYFUNCTION("""COMPUTED_VALUE"""),"Afriza (BT)")</f>
        <v>Afriza (BT)</v>
      </c>
      <c r="F1015" s="14" t="str">
        <f>IFERROR(__xludf.DUMMYFUNCTION("""COMPUTED_VALUE"""),"SELESAI (VIA PERMOHONAN)")</f>
        <v>SELESAI (VIA PERMOHONAN)</v>
      </c>
      <c r="G1015" s="17">
        <f>IFERROR(__xludf.DUMMYFUNCTION("""COMPUTED_VALUE"""),45692.70691226852)</f>
        <v>45692.70691</v>
      </c>
      <c r="H1015" s="14" t="str">
        <f>IFERROR(__xludf.DUMMYFUNCTION("""COMPUTED_VALUE"""),"Bu Eva (SU)")</f>
        <v>Bu Eva (SU)</v>
      </c>
      <c r="I1015" s="13" t="str">
        <f>IFERROR(__xludf.DUMMYFUNCTION("""COMPUTED_VALUE"""),"SELESAI (VIA PERMOHONAN)")</f>
        <v>SELESAI (VIA PERMOHONAN)</v>
      </c>
      <c r="J1015" s="17">
        <f>IFERROR(__xludf.DUMMYFUNCTION("""COMPUTED_VALUE"""),45693.69507631945)</f>
        <v>45693.69508</v>
      </c>
      <c r="K1015" s="13" t="str">
        <f>IFERROR(__xludf.DUMMYFUNCTION("""COMPUTED_VALUE"""),"Selesai")</f>
        <v>Selesai</v>
      </c>
      <c r="L1015" s="17">
        <f>IFERROR(__xludf.DUMMYFUNCTION("""COMPUTED_VALUE"""),45693.69507631945)</f>
        <v>45693.69508</v>
      </c>
      <c r="M1015" s="13"/>
      <c r="N1015" s="13" t="str">
        <f>IFERROR(__xludf.DUMMYFUNCTION("""COMPUTED_VALUE"""),"")</f>
        <v/>
      </c>
      <c r="O1015" s="13" t="str">
        <f t="shared" si="1"/>
        <v/>
      </c>
    </row>
    <row r="1016" ht="22.5" customHeight="1">
      <c r="B1016" s="13">
        <f>IFERROR(__xludf.DUMMYFUNCTION("""COMPUTED_VALUE"""),1011.0)</f>
        <v>1011</v>
      </c>
      <c r="C1016" s="13" t="str">
        <f>IFERROR(__xludf.DUMMYFUNCTION("""COMPUTED_VALUE"""),"M. 18030/ Sukarame")</f>
        <v>M. 18030/ Sukarame</v>
      </c>
      <c r="D1016" s="13" t="str">
        <f>IFERROR(__xludf.DUMMYFUNCTION("""COMPUTED_VALUE"""),"K/24/230125/2")</f>
        <v>K/24/230125/2</v>
      </c>
      <c r="E1016" s="14" t="str">
        <f>IFERROR(__xludf.DUMMYFUNCTION("""COMPUTED_VALUE"""),"Afriza (BT)")</f>
        <v>Afriza (BT)</v>
      </c>
      <c r="F1016" s="14" t="str">
        <f>IFERROR(__xludf.DUMMYFUNCTION("""COMPUTED_VALUE"""),"SELESAI (VIA PERMOHONAN)")</f>
        <v>SELESAI (VIA PERMOHONAN)</v>
      </c>
      <c r="G1016" s="17">
        <f>IFERROR(__xludf.DUMMYFUNCTION("""COMPUTED_VALUE"""),45692.706930381944)</f>
        <v>45692.70693</v>
      </c>
      <c r="H1016" s="14" t="str">
        <f>IFERROR(__xludf.DUMMYFUNCTION("""COMPUTED_VALUE"""),"Bu Eva (SU)")</f>
        <v>Bu Eva (SU)</v>
      </c>
      <c r="I1016" s="13" t="str">
        <f>IFERROR(__xludf.DUMMYFUNCTION("""COMPUTED_VALUE"""),"SELESAI (VIA PERMOHONAN)")</f>
        <v>SELESAI (VIA PERMOHONAN)</v>
      </c>
      <c r="J1016" s="17">
        <f>IFERROR(__xludf.DUMMYFUNCTION("""COMPUTED_VALUE"""),45693.69512626158)</f>
        <v>45693.69513</v>
      </c>
      <c r="K1016" s="13" t="str">
        <f>IFERROR(__xludf.DUMMYFUNCTION("""COMPUTED_VALUE"""),"Selesai")</f>
        <v>Selesai</v>
      </c>
      <c r="L1016" s="17">
        <f>IFERROR(__xludf.DUMMYFUNCTION("""COMPUTED_VALUE"""),45693.69512626158)</f>
        <v>45693.69513</v>
      </c>
      <c r="M1016" s="13"/>
      <c r="N1016" s="13" t="str">
        <f>IFERROR(__xludf.DUMMYFUNCTION("""COMPUTED_VALUE"""),"")</f>
        <v/>
      </c>
      <c r="O1016" s="13" t="str">
        <f t="shared" si="1"/>
        <v/>
      </c>
    </row>
    <row r="1017" ht="22.5" customHeight="1">
      <c r="B1017" s="13">
        <f>IFERROR(__xludf.DUMMYFUNCTION("""COMPUTED_VALUE"""),1012.0)</f>
        <v>1012</v>
      </c>
      <c r="C1017" s="13" t="str">
        <f>IFERROR(__xludf.DUMMYFUNCTION("""COMPUTED_VALUE"""),"HM 116/SUKABUMI INDAH")</f>
        <v>HM 116/SUKABUMI INDAH</v>
      </c>
      <c r="D1017" s="13" t="str">
        <f>IFERROR(__xludf.DUMMYFUNCTION("""COMPUTED_VALUE"""),"L/28/031224/1")</f>
        <v>L/28/031224/1</v>
      </c>
      <c r="E1017" s="14" t="str">
        <f>IFERROR(__xludf.DUMMYFUNCTION("""COMPUTED_VALUE"""),"Afriza (BT)")</f>
        <v>Afriza (BT)</v>
      </c>
      <c r="F1017" s="14" t="str">
        <f>IFERROR(__xludf.DUMMYFUNCTION("""COMPUTED_VALUE"""),"SELESAI (VIA PERMOHONAN)")</f>
        <v>SELESAI (VIA PERMOHONAN)</v>
      </c>
      <c r="G1017" s="17">
        <f>IFERROR(__xludf.DUMMYFUNCTION("""COMPUTED_VALUE"""),45693.42171354167)</f>
        <v>45693.42171</v>
      </c>
      <c r="H1017" s="14" t="str">
        <f>IFERROR(__xludf.DUMMYFUNCTION("""COMPUTED_VALUE"""),"Bu Eva (SU)")</f>
        <v>Bu Eva (SU)</v>
      </c>
      <c r="I1017" s="13" t="str">
        <f>IFERROR(__xludf.DUMMYFUNCTION("""COMPUTED_VALUE"""),"SELESAI (VIA PERMOHONAN)")</f>
        <v>SELESAI (VIA PERMOHONAN)</v>
      </c>
      <c r="J1017" s="17">
        <f>IFERROR(__xludf.DUMMYFUNCTION("""COMPUTED_VALUE"""),45693.69528236111)</f>
        <v>45693.69528</v>
      </c>
      <c r="K1017" s="13" t="str">
        <f>IFERROR(__xludf.DUMMYFUNCTION("""COMPUTED_VALUE"""),"Selesai")</f>
        <v>Selesai</v>
      </c>
      <c r="L1017" s="17">
        <f>IFERROR(__xludf.DUMMYFUNCTION("""COMPUTED_VALUE"""),45693.69528236111)</f>
        <v>45693.69528</v>
      </c>
      <c r="M1017" s="13"/>
      <c r="N1017" s="13" t="str">
        <f>IFERROR(__xludf.DUMMYFUNCTION("""COMPUTED_VALUE"""),"")</f>
        <v/>
      </c>
      <c r="O1017" s="13" t="str">
        <f t="shared" si="1"/>
        <v/>
      </c>
    </row>
    <row r="1018" ht="22.5" customHeight="1">
      <c r="B1018" s="13">
        <f>IFERROR(__xludf.DUMMYFUNCTION("""COMPUTED_VALUE"""),1013.0)</f>
        <v>1013</v>
      </c>
      <c r="C1018" s="13" t="str">
        <f>IFERROR(__xludf.DUMMYFUNCTION("""COMPUTED_VALUE"""),"B.957/PESAWAHAN")</f>
        <v>B.957/PESAWAHAN</v>
      </c>
      <c r="D1018" s="13" t="str">
        <f>IFERROR(__xludf.DUMMYFUNCTION("""COMPUTED_VALUE"""),"K/15/030225/1")</f>
        <v>K/15/030225/1</v>
      </c>
      <c r="E1018" s="14" t="str">
        <f>IFERROR(__xludf.DUMMYFUNCTION("""COMPUTED_VALUE"""),"Nadian (BT)")</f>
        <v>Nadian (BT)</v>
      </c>
      <c r="F1018" s="14" t="str">
        <f>IFERROR(__xludf.DUMMYFUNCTION("""COMPUTED_VALUE"""),"SELESAI (VIA PERMOHONAN)")</f>
        <v>SELESAI (VIA PERMOHONAN)</v>
      </c>
      <c r="G1018" s="17">
        <f>IFERROR(__xludf.DUMMYFUNCTION("""COMPUTED_VALUE"""),45693.593908263894)</f>
        <v>45693.59391</v>
      </c>
      <c r="H1018" s="14" t="str">
        <f>IFERROR(__xludf.DUMMYFUNCTION("""COMPUTED_VALUE"""),"Bu Eva (SU)")</f>
        <v>Bu Eva (SU)</v>
      </c>
      <c r="I1018" s="13" t="str">
        <f>IFERROR(__xludf.DUMMYFUNCTION("""COMPUTED_VALUE"""),"SELESAI (VIA PERMOHONAN)")</f>
        <v>SELESAI (VIA PERMOHONAN)</v>
      </c>
      <c r="J1018" s="17">
        <f>IFERROR(__xludf.DUMMYFUNCTION("""COMPUTED_VALUE"""),45693.69528236111)</f>
        <v>45693.69528</v>
      </c>
      <c r="K1018" s="13" t="str">
        <f>IFERROR(__xludf.DUMMYFUNCTION("""COMPUTED_VALUE"""),"Selesai")</f>
        <v>Selesai</v>
      </c>
      <c r="L1018" s="17">
        <f>IFERROR(__xludf.DUMMYFUNCTION("""COMPUTED_VALUE"""),45693.69528236111)</f>
        <v>45693.69528</v>
      </c>
      <c r="M1018" s="13"/>
      <c r="N1018" s="13" t="str">
        <f>IFERROR(__xludf.DUMMYFUNCTION("""COMPUTED_VALUE"""),"")</f>
        <v/>
      </c>
      <c r="O1018" s="13" t="str">
        <f t="shared" si="1"/>
        <v/>
      </c>
    </row>
    <row r="1019" ht="22.5" customHeight="1">
      <c r="B1019" s="13">
        <f>IFERROR(__xludf.DUMMYFUNCTION("""COMPUTED_VALUE"""),1014.0)</f>
        <v>1014</v>
      </c>
      <c r="C1019" s="13" t="str">
        <f>IFERROR(__xludf.DUMMYFUNCTION("""COMPUTED_VALUE"""),"M. 751/ Gunung Sulah")</f>
        <v>M. 751/ Gunung Sulah</v>
      </c>
      <c r="D1019" s="13" t="str">
        <f>IFERROR(__xludf.DUMMYFUNCTION("""COMPUTED_VALUE"""),"K/17/300125/1")</f>
        <v>K/17/300125/1</v>
      </c>
      <c r="E1019" s="14" t="str">
        <f>IFERROR(__xludf.DUMMYFUNCTION("""COMPUTED_VALUE"""),"Nadian (BT)")</f>
        <v>Nadian (BT)</v>
      </c>
      <c r="F1019" s="14" t="str">
        <f>IFERROR(__xludf.DUMMYFUNCTION("""COMPUTED_VALUE"""),"SELESAI (VIA PERMOHONAN)")</f>
        <v>SELESAI (VIA PERMOHONAN)</v>
      </c>
      <c r="G1019" s="17">
        <f>IFERROR(__xludf.DUMMYFUNCTION("""COMPUTED_VALUE"""),45693.59393912037)</f>
        <v>45693.59394</v>
      </c>
      <c r="H1019" s="14" t="str">
        <f>IFERROR(__xludf.DUMMYFUNCTION("""COMPUTED_VALUE"""),"Bu Eva (SU)")</f>
        <v>Bu Eva (SU)</v>
      </c>
      <c r="I1019" s="13" t="str">
        <f>IFERROR(__xludf.DUMMYFUNCTION("""COMPUTED_VALUE"""),"SELESAI (VIA PERMOHONAN)")</f>
        <v>SELESAI (VIA PERMOHONAN)</v>
      </c>
      <c r="J1019" s="17">
        <f>IFERROR(__xludf.DUMMYFUNCTION("""COMPUTED_VALUE"""),45693.69528236111)</f>
        <v>45693.69528</v>
      </c>
      <c r="K1019" s="13" t="str">
        <f>IFERROR(__xludf.DUMMYFUNCTION("""COMPUTED_VALUE"""),"Selesai")</f>
        <v>Selesai</v>
      </c>
      <c r="L1019" s="17">
        <f>IFERROR(__xludf.DUMMYFUNCTION("""COMPUTED_VALUE"""),45693.69528236111)</f>
        <v>45693.69528</v>
      </c>
      <c r="M1019" s="13"/>
      <c r="N1019" s="13" t="str">
        <f>IFERROR(__xludf.DUMMYFUNCTION("""COMPUTED_VALUE"""),"")</f>
        <v/>
      </c>
      <c r="O1019" s="13" t="str">
        <f t="shared" si="1"/>
        <v/>
      </c>
    </row>
    <row r="1020" ht="22.5" customHeight="1">
      <c r="B1020" s="13">
        <f>IFERROR(__xludf.DUMMYFUNCTION("""COMPUTED_VALUE"""),1015.0)</f>
        <v>1015</v>
      </c>
      <c r="C1020" s="13" t="str">
        <f>IFERROR(__xludf.DUMMYFUNCTION("""COMPUTED_VALUE"""),"M. 109/ Sepang Jaya")</f>
        <v>M. 109/ Sepang Jaya</v>
      </c>
      <c r="D1020" s="13" t="str">
        <f>IFERROR(__xludf.DUMMYFUNCTION("""COMPUTED_VALUE"""),"K/29/220125/1")</f>
        <v>K/29/220125/1</v>
      </c>
      <c r="E1020" s="14" t="str">
        <f>IFERROR(__xludf.DUMMYFUNCTION("""COMPUTED_VALUE"""),"Nadian (BT)")</f>
        <v>Nadian (BT)</v>
      </c>
      <c r="F1020" s="14" t="str">
        <f>IFERROR(__xludf.DUMMYFUNCTION("""COMPUTED_VALUE"""),"SELESAI (VIA PERMOHONAN)")</f>
        <v>SELESAI (VIA PERMOHONAN)</v>
      </c>
      <c r="G1020" s="17">
        <f>IFERROR(__xludf.DUMMYFUNCTION("""COMPUTED_VALUE"""),45693.59393913194)</f>
        <v>45693.59394</v>
      </c>
      <c r="H1020" s="14" t="str">
        <f>IFERROR(__xludf.DUMMYFUNCTION("""COMPUTED_VALUE"""),"Bu Eva (SU)")</f>
        <v>Bu Eva (SU)</v>
      </c>
      <c r="I1020" s="13" t="str">
        <f>IFERROR(__xludf.DUMMYFUNCTION("""COMPUTED_VALUE"""),"SELESAI (VIA PERMOHONAN)")</f>
        <v>SELESAI (VIA PERMOHONAN)</v>
      </c>
      <c r="J1020" s="17">
        <f>IFERROR(__xludf.DUMMYFUNCTION("""COMPUTED_VALUE"""),45693.69536528936)</f>
        <v>45693.69537</v>
      </c>
      <c r="K1020" s="13" t="str">
        <f>IFERROR(__xludf.DUMMYFUNCTION("""COMPUTED_VALUE"""),"Selesai")</f>
        <v>Selesai</v>
      </c>
      <c r="L1020" s="17">
        <f>IFERROR(__xludf.DUMMYFUNCTION("""COMPUTED_VALUE"""),45693.69536528936)</f>
        <v>45693.69537</v>
      </c>
      <c r="M1020" s="13"/>
      <c r="N1020" s="13" t="str">
        <f>IFERROR(__xludf.DUMMYFUNCTION("""COMPUTED_VALUE"""),"")</f>
        <v/>
      </c>
      <c r="O1020" s="13" t="str">
        <f t="shared" si="1"/>
        <v/>
      </c>
    </row>
    <row r="1021" ht="22.5" customHeight="1">
      <c r="B1021" s="13">
        <f>IFERROR(__xludf.DUMMYFUNCTION("""COMPUTED_VALUE"""),1016.0)</f>
        <v>1016</v>
      </c>
      <c r="C1021" s="13" t="str">
        <f>IFERROR(__xludf.DUMMYFUNCTION("""COMPUTED_VALUE"""),"M. 16099/ Sukarame")</f>
        <v>M. 16099/ Sukarame</v>
      </c>
      <c r="D1021" s="13" t="str">
        <f>IFERROR(__xludf.DUMMYFUNCTION("""COMPUTED_VALUE"""),"K/24/240125/1")</f>
        <v>K/24/240125/1</v>
      </c>
      <c r="E1021" s="14" t="str">
        <f>IFERROR(__xludf.DUMMYFUNCTION("""COMPUTED_VALUE"""),"Nadian (BT)")</f>
        <v>Nadian (BT)</v>
      </c>
      <c r="F1021" s="14" t="str">
        <f>IFERROR(__xludf.DUMMYFUNCTION("""COMPUTED_VALUE"""),"SELESAI (VIA PERMOHONAN)")</f>
        <v>SELESAI (VIA PERMOHONAN)</v>
      </c>
      <c r="G1021" s="17">
        <f>IFERROR(__xludf.DUMMYFUNCTION("""COMPUTED_VALUE"""),45693.59393913194)</f>
        <v>45693.59394</v>
      </c>
      <c r="H1021" s="14" t="str">
        <f>IFERROR(__xludf.DUMMYFUNCTION("""COMPUTED_VALUE"""),"Bu Eva (SU)")</f>
        <v>Bu Eva (SU)</v>
      </c>
      <c r="I1021" s="13" t="str">
        <f>IFERROR(__xludf.DUMMYFUNCTION("""COMPUTED_VALUE"""),"SELESAI (VIA PERMOHONAN)")</f>
        <v>SELESAI (VIA PERMOHONAN)</v>
      </c>
      <c r="J1021" s="17">
        <f>IFERROR(__xludf.DUMMYFUNCTION("""COMPUTED_VALUE"""),45693.69536528936)</f>
        <v>45693.69537</v>
      </c>
      <c r="K1021" s="13" t="str">
        <f>IFERROR(__xludf.DUMMYFUNCTION("""COMPUTED_VALUE"""),"Selesai")</f>
        <v>Selesai</v>
      </c>
      <c r="L1021" s="17">
        <f>IFERROR(__xludf.DUMMYFUNCTION("""COMPUTED_VALUE"""),45693.69536528936)</f>
        <v>45693.69537</v>
      </c>
      <c r="M1021" s="13"/>
      <c r="N1021" s="13" t="str">
        <f>IFERROR(__xludf.DUMMYFUNCTION("""COMPUTED_VALUE"""),"")</f>
        <v/>
      </c>
      <c r="O1021" s="13" t="str">
        <f t="shared" si="1"/>
        <v/>
      </c>
    </row>
    <row r="1022" ht="22.5" customHeight="1">
      <c r="B1022" s="13">
        <f>IFERROR(__xludf.DUMMYFUNCTION("""COMPUTED_VALUE"""),1017.0)</f>
        <v>1017</v>
      </c>
      <c r="C1022" s="13" t="str">
        <f>IFERROR(__xludf.DUMMYFUNCTION("""COMPUTED_VALUE"""),"M.1766/GEDONG AIR")</f>
        <v>M.1766/GEDONG AIR</v>
      </c>
      <c r="D1022" s="13" t="str">
        <f>IFERROR(__xludf.DUMMYFUNCTION("""COMPUTED_VALUE"""),"K/22/240125/1")</f>
        <v>K/22/240125/1</v>
      </c>
      <c r="E1022" s="14" t="str">
        <f>IFERROR(__xludf.DUMMYFUNCTION("""COMPUTED_VALUE"""),"Nadian (BT)")</f>
        <v>Nadian (BT)</v>
      </c>
      <c r="F1022" s="14" t="str">
        <f>IFERROR(__xludf.DUMMYFUNCTION("""COMPUTED_VALUE"""),"SELESAI (VIA PERMOHONAN)")</f>
        <v>SELESAI (VIA PERMOHONAN)</v>
      </c>
      <c r="G1022" s="17">
        <f>IFERROR(__xludf.DUMMYFUNCTION("""COMPUTED_VALUE"""),45693.593970625)</f>
        <v>45693.59397</v>
      </c>
      <c r="H1022" s="14" t="str">
        <f>IFERROR(__xludf.DUMMYFUNCTION("""COMPUTED_VALUE"""),"Bu Eva (SU)")</f>
        <v>Bu Eva (SU)</v>
      </c>
      <c r="I1022" s="13" t="str">
        <f>IFERROR(__xludf.DUMMYFUNCTION("""COMPUTED_VALUE"""),"SELESAI (VIA PERMOHONAN)")</f>
        <v>SELESAI (VIA PERMOHONAN)</v>
      </c>
      <c r="J1022" s="17">
        <f>IFERROR(__xludf.DUMMYFUNCTION("""COMPUTED_VALUE"""),45693.695365300926)</f>
        <v>45693.69537</v>
      </c>
      <c r="K1022" s="13" t="str">
        <f>IFERROR(__xludf.DUMMYFUNCTION("""COMPUTED_VALUE"""),"Selesai")</f>
        <v>Selesai</v>
      </c>
      <c r="L1022" s="17">
        <f>IFERROR(__xludf.DUMMYFUNCTION("""COMPUTED_VALUE"""),45693.695365300926)</f>
        <v>45693.69537</v>
      </c>
      <c r="M1022" s="13"/>
      <c r="N1022" s="13" t="str">
        <f>IFERROR(__xludf.DUMMYFUNCTION("""COMPUTED_VALUE"""),"")</f>
        <v/>
      </c>
      <c r="O1022" s="13" t="str">
        <f t="shared" si="1"/>
        <v/>
      </c>
    </row>
    <row r="1023" ht="22.5" customHeight="1">
      <c r="B1023" s="13">
        <f>IFERROR(__xludf.DUMMYFUNCTION("""COMPUTED_VALUE"""),1018.0)</f>
        <v>1018</v>
      </c>
      <c r="C1023" s="13" t="str">
        <f>IFERROR(__xludf.DUMMYFUNCTION("""COMPUTED_VALUE"""),"M. 2176/ N O G")</f>
        <v>M. 2176/ N O G</v>
      </c>
      <c r="D1023" s="13" t="str">
        <f>IFERROR(__xludf.DUMMYFUNCTION("""COMPUTED_VALUE"""),"K/7/240125/1")</f>
        <v>K/7/240125/1</v>
      </c>
      <c r="E1023" s="14" t="str">
        <f>IFERROR(__xludf.DUMMYFUNCTION("""COMPUTED_VALUE"""),"Nadian (BT)")</f>
        <v>Nadian (BT)</v>
      </c>
      <c r="F1023" s="14" t="str">
        <f>IFERROR(__xludf.DUMMYFUNCTION("""COMPUTED_VALUE"""),"SELESAI (VIA PERMOHONAN)")</f>
        <v>SELESAI (VIA PERMOHONAN)</v>
      </c>
      <c r="G1023" s="17">
        <f>IFERROR(__xludf.DUMMYFUNCTION("""COMPUTED_VALUE"""),45693.593970636575)</f>
        <v>45693.59397</v>
      </c>
      <c r="H1023" s="14" t="str">
        <f>IFERROR(__xludf.DUMMYFUNCTION("""COMPUTED_VALUE"""),"Bu Eva (SU)")</f>
        <v>Bu Eva (SU)</v>
      </c>
      <c r="I1023" s="13" t="str">
        <f>IFERROR(__xludf.DUMMYFUNCTION("""COMPUTED_VALUE"""),"SELESAI (VIA PERMOHONAN)")</f>
        <v>SELESAI (VIA PERMOHONAN)</v>
      </c>
      <c r="J1023" s="17">
        <f>IFERROR(__xludf.DUMMYFUNCTION("""COMPUTED_VALUE"""),45693.695365300926)</f>
        <v>45693.69537</v>
      </c>
      <c r="K1023" s="13" t="str">
        <f>IFERROR(__xludf.DUMMYFUNCTION("""COMPUTED_VALUE"""),"Selesai")</f>
        <v>Selesai</v>
      </c>
      <c r="L1023" s="17">
        <f>IFERROR(__xludf.DUMMYFUNCTION("""COMPUTED_VALUE"""),45693.695365300926)</f>
        <v>45693.69537</v>
      </c>
      <c r="M1023" s="13"/>
      <c r="N1023" s="13" t="str">
        <f>IFERROR(__xludf.DUMMYFUNCTION("""COMPUTED_VALUE"""),"")</f>
        <v/>
      </c>
      <c r="O1023" s="13" t="str">
        <f t="shared" si="1"/>
        <v/>
      </c>
    </row>
    <row r="1024" ht="22.5" customHeight="1">
      <c r="B1024" s="13">
        <f>IFERROR(__xludf.DUMMYFUNCTION("""COMPUTED_VALUE"""),1019.0)</f>
        <v>1019</v>
      </c>
      <c r="C1024" s="13" t="str">
        <f>IFERROR(__xludf.DUMMYFUNCTION("""COMPUTED_VALUE"""),"M. 8951/ Surabaya")</f>
        <v>M. 8951/ Surabaya</v>
      </c>
      <c r="D1024" s="13" t="str">
        <f>IFERROR(__xludf.DUMMYFUNCTION("""COMPUTED_VALUE"""),"K/20/150125/1")</f>
        <v>K/20/150125/1</v>
      </c>
      <c r="E1024" s="14" t="str">
        <f>IFERROR(__xludf.DUMMYFUNCTION("""COMPUTED_VALUE"""),"Nadian (BT)")</f>
        <v>Nadian (BT)</v>
      </c>
      <c r="F1024" s="14" t="str">
        <f>IFERROR(__xludf.DUMMYFUNCTION("""COMPUTED_VALUE"""),"SELESAI (VIA PERMOHONAN)")</f>
        <v>SELESAI (VIA PERMOHONAN)</v>
      </c>
      <c r="G1024" s="17">
        <f>IFERROR(__xludf.DUMMYFUNCTION("""COMPUTED_VALUE"""),45693.593970636575)</f>
        <v>45693.59397</v>
      </c>
      <c r="H1024" s="14" t="str">
        <f>IFERROR(__xludf.DUMMYFUNCTION("""COMPUTED_VALUE"""),"Bu Eva (SU)")</f>
        <v>Bu Eva (SU)</v>
      </c>
      <c r="I1024" s="13" t="str">
        <f>IFERROR(__xludf.DUMMYFUNCTION("""COMPUTED_VALUE"""),"SELESAI (VIA PERMOHONAN)")</f>
        <v>SELESAI (VIA PERMOHONAN)</v>
      </c>
      <c r="J1024" s="17">
        <f>IFERROR(__xludf.DUMMYFUNCTION("""COMPUTED_VALUE"""),45693.695365300926)</f>
        <v>45693.69537</v>
      </c>
      <c r="K1024" s="13" t="str">
        <f>IFERROR(__xludf.DUMMYFUNCTION("""COMPUTED_VALUE"""),"Selesai")</f>
        <v>Selesai</v>
      </c>
      <c r="L1024" s="17">
        <f>IFERROR(__xludf.DUMMYFUNCTION("""COMPUTED_VALUE"""),45693.695365300926)</f>
        <v>45693.69537</v>
      </c>
      <c r="M1024" s="13"/>
      <c r="N1024" s="13" t="str">
        <f>IFERROR(__xludf.DUMMYFUNCTION("""COMPUTED_VALUE"""),"")</f>
        <v/>
      </c>
      <c r="O1024" s="13" t="str">
        <f t="shared" si="1"/>
        <v/>
      </c>
    </row>
    <row r="1025" ht="22.5" customHeight="1">
      <c r="B1025" s="13">
        <f>IFERROR(__xludf.DUMMYFUNCTION("""COMPUTED_VALUE"""),1020.0)</f>
        <v>1020</v>
      </c>
      <c r="C1025" s="13" t="str">
        <f>IFERROR(__xludf.DUMMYFUNCTION("""COMPUTED_VALUE"""),"M. 3115/ Way Kandis")</f>
        <v>M. 3115/ Way Kandis</v>
      </c>
      <c r="D1025" s="13" t="str">
        <f>IFERROR(__xludf.DUMMYFUNCTION("""COMPUTED_VALUE"""),"K/11/300125/1")</f>
        <v>K/11/300125/1</v>
      </c>
      <c r="E1025" s="14" t="str">
        <f>IFERROR(__xludf.DUMMYFUNCTION("""COMPUTED_VALUE"""),"Nadian (BT)")</f>
        <v>Nadian (BT)</v>
      </c>
      <c r="F1025" s="14" t="str">
        <f>IFERROR(__xludf.DUMMYFUNCTION("""COMPUTED_VALUE"""),"SELESAI (VIA PERMOHONAN)")</f>
        <v>SELESAI (VIA PERMOHONAN)</v>
      </c>
      <c r="G1025" s="17">
        <f>IFERROR(__xludf.DUMMYFUNCTION("""COMPUTED_VALUE"""),45693.593970636575)</f>
        <v>45693.59397</v>
      </c>
      <c r="H1025" s="14" t="str">
        <f>IFERROR(__xludf.DUMMYFUNCTION("""COMPUTED_VALUE"""),"Bu Eva (SU)")</f>
        <v>Bu Eva (SU)</v>
      </c>
      <c r="I1025" s="13" t="str">
        <f>IFERROR(__xludf.DUMMYFUNCTION("""COMPUTED_VALUE"""),"SELESAI (VIA PERMOHONAN)")</f>
        <v>SELESAI (VIA PERMOHONAN)</v>
      </c>
      <c r="J1025" s="17">
        <f>IFERROR(__xludf.DUMMYFUNCTION("""COMPUTED_VALUE"""),45693.695365300926)</f>
        <v>45693.69537</v>
      </c>
      <c r="K1025" s="13" t="str">
        <f>IFERROR(__xludf.DUMMYFUNCTION("""COMPUTED_VALUE"""),"Selesai")</f>
        <v>Selesai</v>
      </c>
      <c r="L1025" s="17">
        <f>IFERROR(__xludf.DUMMYFUNCTION("""COMPUTED_VALUE"""),45693.695365300926)</f>
        <v>45693.69537</v>
      </c>
      <c r="M1025" s="13"/>
      <c r="N1025" s="13" t="str">
        <f>IFERROR(__xludf.DUMMYFUNCTION("""COMPUTED_VALUE"""),"")</f>
        <v/>
      </c>
      <c r="O1025" s="13" t="str">
        <f t="shared" si="1"/>
        <v/>
      </c>
    </row>
    <row r="1026" ht="22.5" customHeight="1">
      <c r="B1026" s="13">
        <f>IFERROR(__xludf.DUMMYFUNCTION("""COMPUTED_VALUE"""),1021.0)</f>
        <v>1021</v>
      </c>
      <c r="C1026" s="13" t="str">
        <f>IFERROR(__xludf.DUMMYFUNCTION("""COMPUTED_VALUE"""),"M. 425/ Teluk betung")</f>
        <v>M. 425/ Teluk betung</v>
      </c>
      <c r="D1026" s="13" t="str">
        <f>IFERROR(__xludf.DUMMYFUNCTION("""COMPUTED_VALUE"""),"K/2/070125/1")</f>
        <v>K/2/070125/1</v>
      </c>
      <c r="E1026" s="14" t="str">
        <f>IFERROR(__xludf.DUMMYFUNCTION("""COMPUTED_VALUE"""),"Nadian (BT)")</f>
        <v>Nadian (BT)</v>
      </c>
      <c r="F1026" s="14" t="str">
        <f>IFERROR(__xludf.DUMMYFUNCTION("""COMPUTED_VALUE"""),"SELESAI (VIA PERMOHONAN)")</f>
        <v>SELESAI (VIA PERMOHONAN)</v>
      </c>
      <c r="G1026" s="17">
        <f>IFERROR(__xludf.DUMMYFUNCTION("""COMPUTED_VALUE"""),45693.593998275464)</f>
        <v>45693.594</v>
      </c>
      <c r="H1026" s="14" t="str">
        <f>IFERROR(__xludf.DUMMYFUNCTION("""COMPUTED_VALUE"""),"Bu Eva (SU)")</f>
        <v>Bu Eva (SU)</v>
      </c>
      <c r="I1026" s="13" t="str">
        <f>IFERROR(__xludf.DUMMYFUNCTION("""COMPUTED_VALUE"""),"SELESAI (VIA PERMOHONAN)")</f>
        <v>SELESAI (VIA PERMOHONAN)</v>
      </c>
      <c r="J1026" s="17">
        <f>IFERROR(__xludf.DUMMYFUNCTION("""COMPUTED_VALUE"""),45693.695460243056)</f>
        <v>45693.69546</v>
      </c>
      <c r="K1026" s="13" t="str">
        <f>IFERROR(__xludf.DUMMYFUNCTION("""COMPUTED_VALUE"""),"Selesai")</f>
        <v>Selesai</v>
      </c>
      <c r="L1026" s="17">
        <f>IFERROR(__xludf.DUMMYFUNCTION("""COMPUTED_VALUE"""),45693.695460243056)</f>
        <v>45693.69546</v>
      </c>
      <c r="M1026" s="13"/>
      <c r="N1026" s="13" t="str">
        <f>IFERROR(__xludf.DUMMYFUNCTION("""COMPUTED_VALUE"""),"")</f>
        <v/>
      </c>
      <c r="O1026" s="13" t="str">
        <f t="shared" si="1"/>
        <v/>
      </c>
    </row>
    <row r="1027" ht="22.5" customHeight="1">
      <c r="B1027" s="13">
        <f>IFERROR(__xludf.DUMMYFUNCTION("""COMPUTED_VALUE"""),1022.0)</f>
        <v>1022</v>
      </c>
      <c r="C1027" s="13" t="str">
        <f>IFERROR(__xludf.DUMMYFUNCTION("""COMPUTED_VALUE"""),"M. 9273/ Kedamaian (3 SHT)")</f>
        <v>M. 9273/ Kedamaian (3 SHT)</v>
      </c>
      <c r="D1027" s="13" t="str">
        <f>IFERROR(__xludf.DUMMYFUNCTION("""COMPUTED_VALUE"""),"K/12/230125/2")</f>
        <v>K/12/230125/2</v>
      </c>
      <c r="E1027" s="14" t="str">
        <f>IFERROR(__xludf.DUMMYFUNCTION("""COMPUTED_VALUE"""),"Nadian (BT)")</f>
        <v>Nadian (BT)</v>
      </c>
      <c r="F1027" s="14" t="str">
        <f>IFERROR(__xludf.DUMMYFUNCTION("""COMPUTED_VALUE"""),"SELESAI (VIA PERMOHONAN)")</f>
        <v>SELESAI (VIA PERMOHONAN)</v>
      </c>
      <c r="G1027" s="17">
        <f>IFERROR(__xludf.DUMMYFUNCTION("""COMPUTED_VALUE"""),45693.593998275464)</f>
        <v>45693.594</v>
      </c>
      <c r="H1027" s="14" t="str">
        <f>IFERROR(__xludf.DUMMYFUNCTION("""COMPUTED_VALUE"""),"Bu Eva (SU)")</f>
        <v>Bu Eva (SU)</v>
      </c>
      <c r="I1027" s="13" t="str">
        <f>IFERROR(__xludf.DUMMYFUNCTION("""COMPUTED_VALUE"""),"SELESAI (VIA PERMOHONAN)")</f>
        <v>SELESAI (VIA PERMOHONAN)</v>
      </c>
      <c r="J1027" s="17">
        <f>IFERROR(__xludf.DUMMYFUNCTION("""COMPUTED_VALUE"""),45693.695460243056)</f>
        <v>45693.69546</v>
      </c>
      <c r="K1027" s="13" t="str">
        <f>IFERROR(__xludf.DUMMYFUNCTION("""COMPUTED_VALUE"""),"Selesai")</f>
        <v>Selesai</v>
      </c>
      <c r="L1027" s="17">
        <f>IFERROR(__xludf.DUMMYFUNCTION("""COMPUTED_VALUE"""),45693.695460243056)</f>
        <v>45693.69546</v>
      </c>
      <c r="M1027" s="13"/>
      <c r="N1027" s="13" t="str">
        <f>IFERROR(__xludf.DUMMYFUNCTION("""COMPUTED_VALUE"""),"")</f>
        <v/>
      </c>
      <c r="O1027" s="13" t="str">
        <f t="shared" si="1"/>
        <v/>
      </c>
    </row>
    <row r="1028" ht="22.5" customHeight="1">
      <c r="B1028" s="13">
        <f>IFERROR(__xludf.DUMMYFUNCTION("""COMPUTED_VALUE"""),1023.0)</f>
        <v>1023</v>
      </c>
      <c r="C1028" s="13" t="str">
        <f>IFERROR(__xludf.DUMMYFUNCTION("""COMPUTED_VALUE"""),"M. 269/ Kebon Jeruk")</f>
        <v>M. 269/ Kebon Jeruk</v>
      </c>
      <c r="D1028" s="13" t="str">
        <f>IFERROR(__xludf.DUMMYFUNCTION("""COMPUTED_VALUE"""),"K/10/060125/1")</f>
        <v>K/10/060125/1</v>
      </c>
      <c r="E1028" s="14" t="str">
        <f>IFERROR(__xludf.DUMMYFUNCTION("""COMPUTED_VALUE"""),"Afriza (BT)")</f>
        <v>Afriza (BT)</v>
      </c>
      <c r="F1028" s="14" t="str">
        <f>IFERROR(__xludf.DUMMYFUNCTION("""COMPUTED_VALUE"""),"SELESAI (VIA PERMOHONAN)")</f>
        <v>SELESAI (VIA PERMOHONAN)</v>
      </c>
      <c r="G1028" s="17">
        <f>IFERROR(__xludf.DUMMYFUNCTION("""COMPUTED_VALUE"""),45693.62083659723)</f>
        <v>45693.62084</v>
      </c>
      <c r="H1028" s="14" t="str">
        <f>IFERROR(__xludf.DUMMYFUNCTION("""COMPUTED_VALUE"""),"Aprill (SU)")</f>
        <v>Aprill (SU)</v>
      </c>
      <c r="I1028" s="13" t="str">
        <f>IFERROR(__xludf.DUMMYFUNCTION("""COMPUTED_VALUE"""),"SELESAI (VIA PERMOHONAN)")</f>
        <v>SELESAI (VIA PERMOHONAN)</v>
      </c>
      <c r="J1028" s="17">
        <f>IFERROR(__xludf.DUMMYFUNCTION("""COMPUTED_VALUE"""),45693.62089583333)</f>
        <v>45693.6209</v>
      </c>
      <c r="K1028" s="13" t="str">
        <f>IFERROR(__xludf.DUMMYFUNCTION("""COMPUTED_VALUE"""),"Selesai")</f>
        <v>Selesai</v>
      </c>
      <c r="L1028" s="17">
        <f>IFERROR(__xludf.DUMMYFUNCTION("""COMPUTED_VALUE"""),45693.62089583333)</f>
        <v>45693.6209</v>
      </c>
      <c r="M1028" s="13"/>
      <c r="N1028" s="13" t="str">
        <f>IFERROR(__xludf.DUMMYFUNCTION("""COMPUTED_VALUE"""),"")</f>
        <v/>
      </c>
      <c r="O1028" s="13" t="str">
        <f t="shared" si="1"/>
        <v/>
      </c>
    </row>
    <row r="1029" ht="22.5" customHeight="1">
      <c r="B1029" s="13">
        <f>IFERROR(__xludf.DUMMYFUNCTION("""COMPUTED_VALUE"""),1024.0)</f>
        <v>1024</v>
      </c>
      <c r="C1029" s="13" t="str">
        <f>IFERROR(__xludf.DUMMYFUNCTION("""COMPUTED_VALUE"""),"M.3027/SUKARAME BARU")</f>
        <v>M.3027/SUKARAME BARU</v>
      </c>
      <c r="D1029" s="13" t="str">
        <f>IFERROR(__xludf.DUMMYFUNCTION("""COMPUTED_VALUE"""),"K/8/040225/2")</f>
        <v>K/8/040225/2</v>
      </c>
      <c r="E1029" s="14" t="str">
        <f>IFERROR(__xludf.DUMMYFUNCTION("""COMPUTED_VALUE"""),"Nadian (BT)")</f>
        <v>Nadian (BT)</v>
      </c>
      <c r="F1029" s="14" t="str">
        <f>IFERROR(__xludf.DUMMYFUNCTION("""COMPUTED_VALUE"""),"SELESAI (VIA PERMOHONAN)")</f>
        <v>SELESAI (VIA PERMOHONAN)</v>
      </c>
      <c r="G1029" s="17">
        <f>IFERROR(__xludf.DUMMYFUNCTION("""COMPUTED_VALUE"""),45694.634949756946)</f>
        <v>45694.63495</v>
      </c>
      <c r="H1029" s="14" t="str">
        <f>IFERROR(__xludf.DUMMYFUNCTION("""COMPUTED_VALUE"""),"Bu Eva (SU)")</f>
        <v>Bu Eva (SU)</v>
      </c>
      <c r="I1029" s="13" t="str">
        <f>IFERROR(__xludf.DUMMYFUNCTION("""COMPUTED_VALUE"""),"SELESAI (VIA PERMOHONAN)")</f>
        <v>SELESAI (VIA PERMOHONAN)</v>
      </c>
      <c r="J1029" s="17">
        <f>IFERROR(__xludf.DUMMYFUNCTION("""COMPUTED_VALUE"""),45694.65689153935)</f>
        <v>45694.65689</v>
      </c>
      <c r="K1029" s="13" t="str">
        <f>IFERROR(__xludf.DUMMYFUNCTION("""COMPUTED_VALUE"""),"Selesai")</f>
        <v>Selesai</v>
      </c>
      <c r="L1029" s="17">
        <f>IFERROR(__xludf.DUMMYFUNCTION("""COMPUTED_VALUE"""),45694.65689153935)</f>
        <v>45694.65689</v>
      </c>
      <c r="M1029" s="13"/>
      <c r="N1029" s="13" t="str">
        <f>IFERROR(__xludf.DUMMYFUNCTION("""COMPUTED_VALUE"""),"")</f>
        <v/>
      </c>
      <c r="O1029" s="13" t="str">
        <f t="shared" si="1"/>
        <v/>
      </c>
    </row>
    <row r="1030" ht="22.5" customHeight="1">
      <c r="B1030" s="13">
        <f>IFERROR(__xludf.DUMMYFUNCTION("""COMPUTED_VALUE"""),1025.0)</f>
        <v>1025</v>
      </c>
      <c r="C1030" s="13" t="str">
        <f>IFERROR(__xludf.DUMMYFUNCTION("""COMPUTED_VALUE"""),"M.658/GUNUNG TERANG")</f>
        <v>M.658/GUNUNG TERANG</v>
      </c>
      <c r="D1030" s="13" t="str">
        <f>IFERROR(__xludf.DUMMYFUNCTION("""COMPUTED_VALUE"""),"K/9/040225/3")</f>
        <v>K/9/040225/3</v>
      </c>
      <c r="E1030" s="14" t="str">
        <f>IFERROR(__xludf.DUMMYFUNCTION("""COMPUTED_VALUE"""),"Nadian (BT)")</f>
        <v>Nadian (BT)</v>
      </c>
      <c r="F1030" s="14" t="str">
        <f>IFERROR(__xludf.DUMMYFUNCTION("""COMPUTED_VALUE"""),"SELESAI (VIA PERMOHONAN)")</f>
        <v>SELESAI (VIA PERMOHONAN)</v>
      </c>
      <c r="G1030" s="17">
        <f>IFERROR(__xludf.DUMMYFUNCTION("""COMPUTED_VALUE"""),45694.634949756946)</f>
        <v>45694.63495</v>
      </c>
      <c r="H1030" s="14" t="str">
        <f>IFERROR(__xludf.DUMMYFUNCTION("""COMPUTED_VALUE"""),"Bu Eva (SU)")</f>
        <v>Bu Eva (SU)</v>
      </c>
      <c r="I1030" s="13" t="str">
        <f>IFERROR(__xludf.DUMMYFUNCTION("""COMPUTED_VALUE"""),"SELESAI (VIA PERMOHONAN)")</f>
        <v>SELESAI (VIA PERMOHONAN)</v>
      </c>
      <c r="J1030" s="17">
        <f>IFERROR(__xludf.DUMMYFUNCTION("""COMPUTED_VALUE"""),45694.657022280095)</f>
        <v>45694.65702</v>
      </c>
      <c r="K1030" s="13" t="str">
        <f>IFERROR(__xludf.DUMMYFUNCTION("""COMPUTED_VALUE"""),"Selesai")</f>
        <v>Selesai</v>
      </c>
      <c r="L1030" s="17">
        <f>IFERROR(__xludf.DUMMYFUNCTION("""COMPUTED_VALUE"""),45694.657022280095)</f>
        <v>45694.65702</v>
      </c>
      <c r="M1030" s="13"/>
      <c r="N1030" s="13" t="str">
        <f>IFERROR(__xludf.DUMMYFUNCTION("""COMPUTED_VALUE"""),"")</f>
        <v/>
      </c>
      <c r="O1030" s="13" t="str">
        <f t="shared" si="1"/>
        <v/>
      </c>
    </row>
    <row r="1031" ht="22.5" customHeight="1">
      <c r="B1031" s="13">
        <f>IFERROR(__xludf.DUMMYFUNCTION("""COMPUTED_VALUE"""),1026.0)</f>
        <v>1026</v>
      </c>
      <c r="C1031" s="13" t="str">
        <f>IFERROR(__xludf.DUMMYFUNCTION("""COMPUTED_VALUE"""),"B. 4401/ Sukabumi")</f>
        <v>B. 4401/ Sukabumi</v>
      </c>
      <c r="D1031" s="13" t="str">
        <f>IFERROR(__xludf.DUMMYFUNCTION("""COMPUTED_VALUE"""),"K/19/030225/1")</f>
        <v>K/19/030225/1</v>
      </c>
      <c r="E1031" s="14" t="str">
        <f>IFERROR(__xludf.DUMMYFUNCTION("""COMPUTED_VALUE"""),"Nadian (BT)")</f>
        <v>Nadian (BT)</v>
      </c>
      <c r="F1031" s="14" t="str">
        <f>IFERROR(__xludf.DUMMYFUNCTION("""COMPUTED_VALUE"""),"SELESAI (VIA PERMOHONAN)")</f>
        <v>SELESAI (VIA PERMOHONAN)</v>
      </c>
      <c r="G1031" s="17">
        <f>IFERROR(__xludf.DUMMYFUNCTION("""COMPUTED_VALUE"""),45694.634949756946)</f>
        <v>45694.63495</v>
      </c>
      <c r="H1031" s="14" t="str">
        <f>IFERROR(__xludf.DUMMYFUNCTION("""COMPUTED_VALUE"""),"Bu Eva (SU)")</f>
        <v>Bu Eva (SU)</v>
      </c>
      <c r="I1031" s="13" t="str">
        <f>IFERROR(__xludf.DUMMYFUNCTION("""COMPUTED_VALUE"""),"SELESAI (VIA PERMOHONAN)")</f>
        <v>SELESAI (VIA PERMOHONAN)</v>
      </c>
      <c r="J1031" s="17">
        <f>IFERROR(__xludf.DUMMYFUNCTION("""COMPUTED_VALUE"""),45694.657022280095)</f>
        <v>45694.65702</v>
      </c>
      <c r="K1031" s="13" t="str">
        <f>IFERROR(__xludf.DUMMYFUNCTION("""COMPUTED_VALUE"""),"Selesai")</f>
        <v>Selesai</v>
      </c>
      <c r="L1031" s="17">
        <f>IFERROR(__xludf.DUMMYFUNCTION("""COMPUTED_VALUE"""),45694.657022280095)</f>
        <v>45694.65702</v>
      </c>
      <c r="M1031" s="13"/>
      <c r="N1031" s="13" t="str">
        <f>IFERROR(__xludf.DUMMYFUNCTION("""COMPUTED_VALUE"""),"")</f>
        <v/>
      </c>
      <c r="O1031" s="13" t="str">
        <f t="shared" si="1"/>
        <v/>
      </c>
    </row>
    <row r="1032" ht="22.5" customHeight="1">
      <c r="B1032" s="13">
        <f>IFERROR(__xludf.DUMMYFUNCTION("""COMPUTED_VALUE"""),1027.0)</f>
        <v>1027</v>
      </c>
      <c r="C1032" s="13" t="str">
        <f>IFERROR(__xludf.DUMMYFUNCTION("""COMPUTED_VALUE"""),"HM 4439/BERINGIN RAYA")</f>
        <v>HM 4439/BERINGIN RAYA</v>
      </c>
      <c r="D1032" s="13" t="str">
        <f>IFERROR(__xludf.DUMMYFUNCTION("""COMPUTED_VALUE"""),"L/5/291124/1")</f>
        <v>L/5/291124/1</v>
      </c>
      <c r="E1032" s="14" t="str">
        <f>IFERROR(__xludf.DUMMYFUNCTION("""COMPUTED_VALUE"""),"Nadian (BT)")</f>
        <v>Nadian (BT)</v>
      </c>
      <c r="F1032" s="14" t="str">
        <f>IFERROR(__xludf.DUMMYFUNCTION("""COMPUTED_VALUE"""),"SELESAI (VIA PERMOHONAN)")</f>
        <v>SELESAI (VIA PERMOHONAN)</v>
      </c>
      <c r="G1032" s="17">
        <f>IFERROR(__xludf.DUMMYFUNCTION("""COMPUTED_VALUE"""),45694.634949756946)</f>
        <v>45694.63495</v>
      </c>
      <c r="H1032" s="14" t="str">
        <f>IFERROR(__xludf.DUMMYFUNCTION("""COMPUTED_VALUE"""),"Bu Eva (SU)")</f>
        <v>Bu Eva (SU)</v>
      </c>
      <c r="I1032" s="13" t="str">
        <f>IFERROR(__xludf.DUMMYFUNCTION("""COMPUTED_VALUE"""),"SELESAI (VIA PERMOHONAN)")</f>
        <v>SELESAI (VIA PERMOHONAN)</v>
      </c>
      <c r="J1032" s="17">
        <f>IFERROR(__xludf.DUMMYFUNCTION("""COMPUTED_VALUE"""),45694.65702229166)</f>
        <v>45694.65702</v>
      </c>
      <c r="K1032" s="13" t="str">
        <f>IFERROR(__xludf.DUMMYFUNCTION("""COMPUTED_VALUE"""),"Selesai")</f>
        <v>Selesai</v>
      </c>
      <c r="L1032" s="17">
        <f>IFERROR(__xludf.DUMMYFUNCTION("""COMPUTED_VALUE"""),45694.65702229166)</f>
        <v>45694.65702</v>
      </c>
      <c r="M1032" s="13"/>
      <c r="N1032" s="13" t="str">
        <f>IFERROR(__xludf.DUMMYFUNCTION("""COMPUTED_VALUE"""),"")</f>
        <v/>
      </c>
      <c r="O1032" s="13" t="str">
        <f t="shared" si="1"/>
        <v/>
      </c>
    </row>
    <row r="1033" ht="22.5" customHeight="1">
      <c r="B1033" s="13">
        <f>IFERROR(__xludf.DUMMYFUNCTION("""COMPUTED_VALUE"""),1028.0)</f>
        <v>1028</v>
      </c>
      <c r="C1033" s="13" t="str">
        <f>IFERROR(__xludf.DUMMYFUNCTION("""COMPUTED_VALUE"""),"M.2666/SUMBER AGUNG")</f>
        <v>M.2666/SUMBER AGUNG</v>
      </c>
      <c r="D1033" s="13" t="str">
        <f>IFERROR(__xludf.DUMMYFUNCTION("""COMPUTED_VALUE"""),"K/30/040225/1")</f>
        <v>K/30/040225/1</v>
      </c>
      <c r="E1033" s="14" t="str">
        <f>IFERROR(__xludf.DUMMYFUNCTION("""COMPUTED_VALUE"""),"Nadian (BT)")</f>
        <v>Nadian (BT)</v>
      </c>
      <c r="F1033" s="14" t="str">
        <f>IFERROR(__xludf.DUMMYFUNCTION("""COMPUTED_VALUE"""),"SELESAI (VIA PERMOHONAN)")</f>
        <v>SELESAI (VIA PERMOHONAN)</v>
      </c>
      <c r="G1033" s="17">
        <f>IFERROR(__xludf.DUMMYFUNCTION("""COMPUTED_VALUE"""),45694.634949756946)</f>
        <v>45694.63495</v>
      </c>
      <c r="H1033" s="14" t="str">
        <f>IFERROR(__xludf.DUMMYFUNCTION("""COMPUTED_VALUE"""),"Bu Eva (SU)")</f>
        <v>Bu Eva (SU)</v>
      </c>
      <c r="I1033" s="13" t="str">
        <f>IFERROR(__xludf.DUMMYFUNCTION("""COMPUTED_VALUE"""),"SELESAI (VIA PERMOHONAN)")</f>
        <v>SELESAI (VIA PERMOHONAN)</v>
      </c>
      <c r="J1033" s="17">
        <f>IFERROR(__xludf.DUMMYFUNCTION("""COMPUTED_VALUE"""),45694.65702229166)</f>
        <v>45694.65702</v>
      </c>
      <c r="K1033" s="13" t="str">
        <f>IFERROR(__xludf.DUMMYFUNCTION("""COMPUTED_VALUE"""),"Selesai")</f>
        <v>Selesai</v>
      </c>
      <c r="L1033" s="17">
        <f>IFERROR(__xludf.DUMMYFUNCTION("""COMPUTED_VALUE"""),45694.65702229166)</f>
        <v>45694.65702</v>
      </c>
      <c r="M1033" s="13"/>
      <c r="N1033" s="13" t="str">
        <f>IFERROR(__xludf.DUMMYFUNCTION("""COMPUTED_VALUE"""),"")</f>
        <v/>
      </c>
      <c r="O1033" s="13" t="str">
        <f t="shared" si="1"/>
        <v/>
      </c>
    </row>
    <row r="1034" ht="22.5" customHeight="1">
      <c r="B1034" s="13">
        <f>IFERROR(__xludf.DUMMYFUNCTION("""COMPUTED_VALUE"""),1029.0)</f>
        <v>1029</v>
      </c>
      <c r="C1034" s="13" t="str">
        <f>IFERROR(__xludf.DUMMYFUNCTION("""COMPUTED_VALUE"""),"HM 749/RAJABASA PEMUKA")</f>
        <v>HM 749/RAJABASA PEMUKA</v>
      </c>
      <c r="D1034" s="13" t="str">
        <f>IFERROR(__xludf.DUMMYFUNCTION("""COMPUTED_VALUE"""),"L/9/210125/1")</f>
        <v>L/9/210125/1</v>
      </c>
      <c r="E1034" s="14" t="str">
        <f>IFERROR(__xludf.DUMMYFUNCTION("""COMPUTED_VALUE"""),"Nadian (BT)")</f>
        <v>Nadian (BT)</v>
      </c>
      <c r="F1034" s="14" t="str">
        <f>IFERROR(__xludf.DUMMYFUNCTION("""COMPUTED_VALUE"""),"SELESAI (VIA PERMOHONAN)")</f>
        <v>SELESAI (VIA PERMOHONAN)</v>
      </c>
      <c r="G1034" s="17">
        <f>IFERROR(__xludf.DUMMYFUNCTION("""COMPUTED_VALUE"""),45694.634949756946)</f>
        <v>45694.63495</v>
      </c>
      <c r="H1034" s="14" t="str">
        <f>IFERROR(__xludf.DUMMYFUNCTION("""COMPUTED_VALUE"""),"Bu Eva (SU)")</f>
        <v>Bu Eva (SU)</v>
      </c>
      <c r="I1034" s="13" t="str">
        <f>IFERROR(__xludf.DUMMYFUNCTION("""COMPUTED_VALUE"""),"SELESAI (VIA PERMOHONAN)")</f>
        <v>SELESAI (VIA PERMOHONAN)</v>
      </c>
      <c r="J1034" s="17">
        <f>IFERROR(__xludf.DUMMYFUNCTION("""COMPUTED_VALUE"""),45694.65702229166)</f>
        <v>45694.65702</v>
      </c>
      <c r="K1034" s="13" t="str">
        <f>IFERROR(__xludf.DUMMYFUNCTION("""COMPUTED_VALUE"""),"Selesai")</f>
        <v>Selesai</v>
      </c>
      <c r="L1034" s="17">
        <f>IFERROR(__xludf.DUMMYFUNCTION("""COMPUTED_VALUE"""),45694.65702229166)</f>
        <v>45694.65702</v>
      </c>
      <c r="M1034" s="13"/>
      <c r="N1034" s="13" t="str">
        <f>IFERROR(__xludf.DUMMYFUNCTION("""COMPUTED_VALUE"""),"")</f>
        <v/>
      </c>
      <c r="O1034" s="13" t="str">
        <f t="shared" si="1"/>
        <v/>
      </c>
    </row>
    <row r="1035" ht="22.5" customHeight="1">
      <c r="B1035" s="13">
        <f>IFERROR(__xludf.DUMMYFUNCTION("""COMPUTED_VALUE"""),1030.0)</f>
        <v>1030</v>
      </c>
      <c r="C1035" s="13" t="str">
        <f>IFERROR(__xludf.DUMMYFUNCTION("""COMPUTED_VALUE"""),"M. 12056/ Sukabumi")</f>
        <v>M. 12056/ Sukabumi</v>
      </c>
      <c r="D1035" s="13" t="str">
        <f>IFERROR(__xludf.DUMMYFUNCTION("""COMPUTED_VALUE"""),"K/6/040225/1")</f>
        <v>K/6/040225/1</v>
      </c>
      <c r="E1035" s="14" t="str">
        <f>IFERROR(__xludf.DUMMYFUNCTION("""COMPUTED_VALUE"""),"Nadian (BT)")</f>
        <v>Nadian (BT)</v>
      </c>
      <c r="F1035" s="14" t="str">
        <f>IFERROR(__xludf.DUMMYFUNCTION("""COMPUTED_VALUE"""),"SELESAI (VIA PERMOHONAN)")</f>
        <v>SELESAI (VIA PERMOHONAN)</v>
      </c>
      <c r="G1035" s="17">
        <f>IFERROR(__xludf.DUMMYFUNCTION("""COMPUTED_VALUE"""),45695.67016945602)</f>
        <v>45695.67017</v>
      </c>
      <c r="H1035" s="14" t="str">
        <f>IFERROR(__xludf.DUMMYFUNCTION("""COMPUTED_VALUE"""),"Bu Eva (SU)")</f>
        <v>Bu Eva (SU)</v>
      </c>
      <c r="I1035" s="13" t="str">
        <f>IFERROR(__xludf.DUMMYFUNCTION("""COMPUTED_VALUE"""),"SELESAI (VIA PERMOHONAN)")</f>
        <v>SELESAI (VIA PERMOHONAN)</v>
      </c>
      <c r="J1035" s="17">
        <f>IFERROR(__xludf.DUMMYFUNCTION("""COMPUTED_VALUE"""),45698.65884939815)</f>
        <v>45698.65885</v>
      </c>
      <c r="K1035" s="13" t="str">
        <f>IFERROR(__xludf.DUMMYFUNCTION("""COMPUTED_VALUE"""),"Selesai")</f>
        <v>Selesai</v>
      </c>
      <c r="L1035" s="17">
        <f>IFERROR(__xludf.DUMMYFUNCTION("""COMPUTED_VALUE"""),45698.65884939815)</f>
        <v>45698.65885</v>
      </c>
      <c r="M1035" s="13"/>
      <c r="N1035" s="13" t="str">
        <f>IFERROR(__xludf.DUMMYFUNCTION("""COMPUTED_VALUE"""),"")</f>
        <v/>
      </c>
      <c r="O1035" s="13" t="str">
        <f t="shared" si="1"/>
        <v/>
      </c>
    </row>
    <row r="1036" ht="22.5" customHeight="1">
      <c r="B1036" s="13">
        <f>IFERROR(__xludf.DUMMYFUNCTION("""COMPUTED_VALUE"""),1031.0)</f>
        <v>1031</v>
      </c>
      <c r="C1036" s="13" t="str">
        <f>IFERROR(__xludf.DUMMYFUNCTION("""COMPUTED_VALUE"""),"M. 757/ Tanjung Raya")</f>
        <v>M. 757/ Tanjung Raya</v>
      </c>
      <c r="D1036" s="13" t="str">
        <f>IFERROR(__xludf.DUMMYFUNCTION("""COMPUTED_VALUE"""),"K/1/030225/1")</f>
        <v>K/1/030225/1</v>
      </c>
      <c r="E1036" s="14" t="str">
        <f>IFERROR(__xludf.DUMMYFUNCTION("""COMPUTED_VALUE"""),"Nadian (BT)")</f>
        <v>Nadian (BT)</v>
      </c>
      <c r="F1036" s="14" t="str">
        <f>IFERROR(__xludf.DUMMYFUNCTION("""COMPUTED_VALUE"""),"SELESAI (VIA PERMOHONAN)")</f>
        <v>SELESAI (VIA PERMOHONAN)</v>
      </c>
      <c r="G1036" s="17">
        <f>IFERROR(__xludf.DUMMYFUNCTION("""COMPUTED_VALUE"""),45695.67019542824)</f>
        <v>45695.6702</v>
      </c>
      <c r="H1036" s="14" t="str">
        <f>IFERROR(__xludf.DUMMYFUNCTION("""COMPUTED_VALUE"""),"Bu Eva (SU)")</f>
        <v>Bu Eva (SU)</v>
      </c>
      <c r="I1036" s="13" t="str">
        <f>IFERROR(__xludf.DUMMYFUNCTION("""COMPUTED_VALUE"""),"SELESAI (VIA PERMOHONAN)")</f>
        <v>SELESAI (VIA PERMOHONAN)</v>
      </c>
      <c r="J1036" s="17">
        <f>IFERROR(__xludf.DUMMYFUNCTION("""COMPUTED_VALUE"""),45698.65884939815)</f>
        <v>45698.65885</v>
      </c>
      <c r="K1036" s="13" t="str">
        <f>IFERROR(__xludf.DUMMYFUNCTION("""COMPUTED_VALUE"""),"Selesai")</f>
        <v>Selesai</v>
      </c>
      <c r="L1036" s="17">
        <f>IFERROR(__xludf.DUMMYFUNCTION("""COMPUTED_VALUE"""),45698.65884939815)</f>
        <v>45698.65885</v>
      </c>
      <c r="M1036" s="13"/>
      <c r="N1036" s="13" t="str">
        <f>IFERROR(__xludf.DUMMYFUNCTION("""COMPUTED_VALUE"""),"")</f>
        <v/>
      </c>
      <c r="O1036" s="13" t="str">
        <f t="shared" si="1"/>
        <v/>
      </c>
    </row>
    <row r="1037" ht="22.5" customHeight="1">
      <c r="B1037" s="13">
        <f>IFERROR(__xludf.DUMMYFUNCTION("""COMPUTED_VALUE"""),1032.0)</f>
        <v>1032</v>
      </c>
      <c r="C1037" s="13" t="str">
        <f>IFERROR(__xludf.DUMMYFUNCTION("""COMPUTED_VALUE"""),"M. 779/ Tanjung Seneng")</f>
        <v>M. 779/ Tanjung Seneng</v>
      </c>
      <c r="D1037" s="13" t="str">
        <f>IFERROR(__xludf.DUMMYFUNCTION("""COMPUTED_VALUE"""),"K/20/220125/4")</f>
        <v>K/20/220125/4</v>
      </c>
      <c r="E1037" s="14" t="str">
        <f>IFERROR(__xludf.DUMMYFUNCTION("""COMPUTED_VALUE"""),"Nadian (BT)")</f>
        <v>Nadian (BT)</v>
      </c>
      <c r="F1037" s="14" t="str">
        <f>IFERROR(__xludf.DUMMYFUNCTION("""COMPUTED_VALUE"""),"SELESAI (VIA PERMOHONAN)")</f>
        <v>SELESAI (VIA PERMOHONAN)</v>
      </c>
      <c r="G1037" s="17">
        <f>IFERROR(__xludf.DUMMYFUNCTION("""COMPUTED_VALUE"""),45695.67019542824)</f>
        <v>45695.6702</v>
      </c>
      <c r="H1037" s="14" t="str">
        <f>IFERROR(__xludf.DUMMYFUNCTION("""COMPUTED_VALUE"""),"Bu Eva (SU)")</f>
        <v>Bu Eva (SU)</v>
      </c>
      <c r="I1037" s="13" t="str">
        <f>IFERROR(__xludf.DUMMYFUNCTION("""COMPUTED_VALUE"""),"SELESAI (VIA PERMOHONAN)")</f>
        <v>SELESAI (VIA PERMOHONAN)</v>
      </c>
      <c r="J1037" s="17">
        <f>IFERROR(__xludf.DUMMYFUNCTION("""COMPUTED_VALUE"""),45698.65884939815)</f>
        <v>45698.65885</v>
      </c>
      <c r="K1037" s="13" t="str">
        <f>IFERROR(__xludf.DUMMYFUNCTION("""COMPUTED_VALUE"""),"Selesai")</f>
        <v>Selesai</v>
      </c>
      <c r="L1037" s="17">
        <f>IFERROR(__xludf.DUMMYFUNCTION("""COMPUTED_VALUE"""),45698.65884939815)</f>
        <v>45698.65885</v>
      </c>
      <c r="M1037" s="13"/>
      <c r="N1037" s="13" t="str">
        <f>IFERROR(__xludf.DUMMYFUNCTION("""COMPUTED_VALUE"""),"")</f>
        <v/>
      </c>
      <c r="O1037" s="13" t="str">
        <f t="shared" si="1"/>
        <v/>
      </c>
    </row>
    <row r="1038" ht="22.5" customHeight="1">
      <c r="B1038" s="13">
        <f>IFERROR(__xludf.DUMMYFUNCTION("""COMPUTED_VALUE"""),1033.0)</f>
        <v>1033</v>
      </c>
      <c r="C1038" s="13" t="str">
        <f>IFERROR(__xludf.DUMMYFUNCTION("""COMPUTED_VALUE"""),"M. 12735/ Kedaton")</f>
        <v>M. 12735/ Kedaton</v>
      </c>
      <c r="D1038" s="13" t="str">
        <f>IFERROR(__xludf.DUMMYFUNCTION("""COMPUTED_VALUE"""),"K/5/040225/3")</f>
        <v>K/5/040225/3</v>
      </c>
      <c r="E1038" s="14" t="str">
        <f>IFERROR(__xludf.DUMMYFUNCTION("""COMPUTED_VALUE"""),"Nadian (BT)")</f>
        <v>Nadian (BT)</v>
      </c>
      <c r="F1038" s="14" t="str">
        <f>IFERROR(__xludf.DUMMYFUNCTION("""COMPUTED_VALUE"""),"SELESAI (VIA PERMOHONAN)")</f>
        <v>SELESAI (VIA PERMOHONAN)</v>
      </c>
      <c r="G1038" s="17">
        <f>IFERROR(__xludf.DUMMYFUNCTION("""COMPUTED_VALUE"""),45695.67019542824)</f>
        <v>45695.6702</v>
      </c>
      <c r="H1038" s="14" t="str">
        <f>IFERROR(__xludf.DUMMYFUNCTION("""COMPUTED_VALUE"""),"Bu Eva (SU)")</f>
        <v>Bu Eva (SU)</v>
      </c>
      <c r="I1038" s="13" t="str">
        <f>IFERROR(__xludf.DUMMYFUNCTION("""COMPUTED_VALUE"""),"SELESAI (VIA PERMOHONAN)")</f>
        <v>SELESAI (VIA PERMOHONAN)</v>
      </c>
      <c r="J1038" s="17">
        <f>IFERROR(__xludf.DUMMYFUNCTION("""COMPUTED_VALUE"""),45698.65884939815)</f>
        <v>45698.65885</v>
      </c>
      <c r="K1038" s="13" t="str">
        <f>IFERROR(__xludf.DUMMYFUNCTION("""COMPUTED_VALUE"""),"Selesai")</f>
        <v>Selesai</v>
      </c>
      <c r="L1038" s="17">
        <f>IFERROR(__xludf.DUMMYFUNCTION("""COMPUTED_VALUE"""),45698.65884939815)</f>
        <v>45698.65885</v>
      </c>
      <c r="M1038" s="13"/>
      <c r="N1038" s="13" t="str">
        <f>IFERROR(__xludf.DUMMYFUNCTION("""COMPUTED_VALUE"""),"")</f>
        <v/>
      </c>
      <c r="O1038" s="13" t="str">
        <f t="shared" si="1"/>
        <v/>
      </c>
    </row>
    <row r="1039" ht="22.5" customHeight="1">
      <c r="B1039" s="13">
        <f>IFERROR(__xludf.DUMMYFUNCTION("""COMPUTED_VALUE"""),1034.0)</f>
        <v>1034</v>
      </c>
      <c r="C1039" s="13" t="str">
        <f>IFERROR(__xludf.DUMMYFUNCTION("""COMPUTED_VALUE"""),"M. 368/ Beringin Jaya")</f>
        <v>M. 368/ Beringin Jaya</v>
      </c>
      <c r="D1039" s="13" t="str">
        <f>IFERROR(__xludf.DUMMYFUNCTION("""COMPUTED_VALUE"""),"K/28/040225/2")</f>
        <v>K/28/040225/2</v>
      </c>
      <c r="E1039" s="14" t="str">
        <f>IFERROR(__xludf.DUMMYFUNCTION("""COMPUTED_VALUE"""),"Nadian (BT)")</f>
        <v>Nadian (BT)</v>
      </c>
      <c r="F1039" s="14" t="str">
        <f>IFERROR(__xludf.DUMMYFUNCTION("""COMPUTED_VALUE"""),"SELESAI (VIA PERMOHONAN)")</f>
        <v>SELESAI (VIA PERMOHONAN)</v>
      </c>
      <c r="G1039" s="17">
        <f>IFERROR(__xludf.DUMMYFUNCTION("""COMPUTED_VALUE"""),45695.67022511574)</f>
        <v>45695.67023</v>
      </c>
      <c r="H1039" s="14" t="str">
        <f>IFERROR(__xludf.DUMMYFUNCTION("""COMPUTED_VALUE"""),"Bu Eva (SU)")</f>
        <v>Bu Eva (SU)</v>
      </c>
      <c r="I1039" s="13" t="str">
        <f>IFERROR(__xludf.DUMMYFUNCTION("""COMPUTED_VALUE"""),"SELESAI (VIA PERMOHONAN)")</f>
        <v>SELESAI (VIA PERMOHONAN)</v>
      </c>
      <c r="J1039" s="17">
        <f>IFERROR(__xludf.DUMMYFUNCTION("""COMPUTED_VALUE"""),45698.65884939815)</f>
        <v>45698.65885</v>
      </c>
      <c r="K1039" s="13" t="str">
        <f>IFERROR(__xludf.DUMMYFUNCTION("""COMPUTED_VALUE"""),"Selesai")</f>
        <v>Selesai</v>
      </c>
      <c r="L1039" s="17">
        <f>IFERROR(__xludf.DUMMYFUNCTION("""COMPUTED_VALUE"""),45698.65884939815)</f>
        <v>45698.65885</v>
      </c>
      <c r="M1039" s="13"/>
      <c r="N1039" s="13" t="str">
        <f>IFERROR(__xludf.DUMMYFUNCTION("""COMPUTED_VALUE"""),"")</f>
        <v/>
      </c>
      <c r="O1039" s="13" t="str">
        <f t="shared" si="1"/>
        <v/>
      </c>
    </row>
    <row r="1040" ht="22.5" customHeight="1">
      <c r="B1040" s="13">
        <f>IFERROR(__xludf.DUMMYFUNCTION("""COMPUTED_VALUE"""),1035.0)</f>
        <v>1035</v>
      </c>
      <c r="C1040" s="13" t="str">
        <f>IFERROR(__xludf.DUMMYFUNCTION("""COMPUTED_VALUE"""),"M. 127/ Sukarame Baru")</f>
        <v>M. 127/ Sukarame Baru</v>
      </c>
      <c r="D1040" s="13" t="str">
        <f>IFERROR(__xludf.DUMMYFUNCTION("""COMPUTED_VALUE"""),"K/21/300125/1")</f>
        <v>K/21/300125/1</v>
      </c>
      <c r="E1040" s="14" t="str">
        <f>IFERROR(__xludf.DUMMYFUNCTION("""COMPUTED_VALUE"""),"Nadian (BT)")</f>
        <v>Nadian (BT)</v>
      </c>
      <c r="F1040" s="14" t="str">
        <f>IFERROR(__xludf.DUMMYFUNCTION("""COMPUTED_VALUE"""),"SELESAI (VIA PERMOHONAN)")</f>
        <v>SELESAI (VIA PERMOHONAN)</v>
      </c>
      <c r="G1040" s="17">
        <f>IFERROR(__xludf.DUMMYFUNCTION("""COMPUTED_VALUE"""),45695.67022511574)</f>
        <v>45695.67023</v>
      </c>
      <c r="H1040" s="14" t="str">
        <f>IFERROR(__xludf.DUMMYFUNCTION("""COMPUTED_VALUE"""),"Bu Eva (SU)")</f>
        <v>Bu Eva (SU)</v>
      </c>
      <c r="I1040" s="13" t="str">
        <f>IFERROR(__xludf.DUMMYFUNCTION("""COMPUTED_VALUE"""),"SELESAI (VIA PERMOHONAN)")</f>
        <v>SELESAI (VIA PERMOHONAN)</v>
      </c>
      <c r="J1040" s="17">
        <f>IFERROR(__xludf.DUMMYFUNCTION("""COMPUTED_VALUE"""),45698.65884939815)</f>
        <v>45698.65885</v>
      </c>
      <c r="K1040" s="13" t="str">
        <f>IFERROR(__xludf.DUMMYFUNCTION("""COMPUTED_VALUE"""),"Selesai")</f>
        <v>Selesai</v>
      </c>
      <c r="L1040" s="17">
        <f>IFERROR(__xludf.DUMMYFUNCTION("""COMPUTED_VALUE"""),45698.65884939815)</f>
        <v>45698.65885</v>
      </c>
      <c r="M1040" s="13"/>
      <c r="N1040" s="13" t="str">
        <f>IFERROR(__xludf.DUMMYFUNCTION("""COMPUTED_VALUE"""),"")</f>
        <v/>
      </c>
      <c r="O1040" s="13" t="str">
        <f t="shared" si="1"/>
        <v/>
      </c>
    </row>
    <row r="1041" ht="22.5" customHeight="1">
      <c r="B1041" s="13">
        <f>IFERROR(__xludf.DUMMYFUNCTION("""COMPUTED_VALUE"""),1036.0)</f>
        <v>1036</v>
      </c>
      <c r="C1041" s="13" t="str">
        <f>IFERROR(__xludf.DUMMYFUNCTION("""COMPUTED_VALUE"""),"M.572/KORPRI RAYA")</f>
        <v>M.572/KORPRI RAYA</v>
      </c>
      <c r="D1041" s="13" t="str">
        <f>IFERROR(__xludf.DUMMYFUNCTION("""COMPUTED_VALUE"""),"K/48/050225/2")</f>
        <v>K/48/050225/2</v>
      </c>
      <c r="E1041" s="14" t="str">
        <f>IFERROR(__xludf.DUMMYFUNCTION("""COMPUTED_VALUE"""),"Nadian (BT)")</f>
        <v>Nadian (BT)</v>
      </c>
      <c r="F1041" s="14" t="str">
        <f>IFERROR(__xludf.DUMMYFUNCTION("""COMPUTED_VALUE"""),"SELESAI (VIA PERMOHONAN)")</f>
        <v>SELESAI (VIA PERMOHONAN)</v>
      </c>
      <c r="G1041" s="17">
        <f>IFERROR(__xludf.DUMMYFUNCTION("""COMPUTED_VALUE"""),45695.67022511574)</f>
        <v>45695.67023</v>
      </c>
      <c r="H1041" s="14" t="str">
        <f>IFERROR(__xludf.DUMMYFUNCTION("""COMPUTED_VALUE"""),"Bu Eva (SU)")</f>
        <v>Bu Eva (SU)</v>
      </c>
      <c r="I1041" s="13" t="str">
        <f>IFERROR(__xludf.DUMMYFUNCTION("""COMPUTED_VALUE"""),"SELESAI (VIA PERMOHONAN)")</f>
        <v>SELESAI (VIA PERMOHONAN)</v>
      </c>
      <c r="J1041" s="17">
        <f>IFERROR(__xludf.DUMMYFUNCTION("""COMPUTED_VALUE"""),45698.65911494213)</f>
        <v>45698.65911</v>
      </c>
      <c r="K1041" s="13" t="str">
        <f>IFERROR(__xludf.DUMMYFUNCTION("""COMPUTED_VALUE"""),"Selesai")</f>
        <v>Selesai</v>
      </c>
      <c r="L1041" s="17">
        <f>IFERROR(__xludf.DUMMYFUNCTION("""COMPUTED_VALUE"""),45698.65911494213)</f>
        <v>45698.65911</v>
      </c>
      <c r="M1041" s="13"/>
      <c r="N1041" s="13" t="str">
        <f>IFERROR(__xludf.DUMMYFUNCTION("""COMPUTED_VALUE"""),"")</f>
        <v/>
      </c>
      <c r="O1041" s="13" t="str">
        <f t="shared" si="1"/>
        <v/>
      </c>
    </row>
    <row r="1042" ht="22.5" customHeight="1">
      <c r="B1042" s="13">
        <f>IFERROR(__xludf.DUMMYFUNCTION("""COMPUTED_VALUE"""),1037.0)</f>
        <v>1037</v>
      </c>
      <c r="C1042" s="13" t="str">
        <f>IFERROR(__xludf.DUMMYFUNCTION("""COMPUTED_VALUE"""),"M.116/SUKABUMI INDAH")</f>
        <v>M.116/SUKABUMI INDAH</v>
      </c>
      <c r="D1042" s="13" t="str">
        <f>IFERROR(__xludf.DUMMYFUNCTION("""COMPUTED_VALUE"""),"K/13/240125/1")</f>
        <v>K/13/240125/1</v>
      </c>
      <c r="E1042" s="14" t="str">
        <f>IFERROR(__xludf.DUMMYFUNCTION("""COMPUTED_VALUE"""),"Afriza (BT)")</f>
        <v>Afriza (BT)</v>
      </c>
      <c r="F1042" s="14" t="str">
        <f>IFERROR(__xludf.DUMMYFUNCTION("""COMPUTED_VALUE"""),"SELESAI (VIA PERMOHONAN)")</f>
        <v>SELESAI (VIA PERMOHONAN)</v>
      </c>
      <c r="G1042" s="17">
        <f>IFERROR(__xludf.DUMMYFUNCTION("""COMPUTED_VALUE"""),45698.57994564815)</f>
        <v>45698.57995</v>
      </c>
      <c r="H1042" s="14" t="str">
        <f>IFERROR(__xludf.DUMMYFUNCTION("""COMPUTED_VALUE"""),"Aprill (SU)")</f>
        <v>Aprill (SU)</v>
      </c>
      <c r="I1042" s="13" t="str">
        <f>IFERROR(__xludf.DUMMYFUNCTION("""COMPUTED_VALUE"""),"SELESAI (VIA PERMOHONAN)")</f>
        <v>SELESAI (VIA PERMOHONAN)</v>
      </c>
      <c r="J1042" s="17">
        <f>IFERROR(__xludf.DUMMYFUNCTION("""COMPUTED_VALUE"""),45698.580005104166)</f>
        <v>45698.58001</v>
      </c>
      <c r="K1042" s="13" t="str">
        <f>IFERROR(__xludf.DUMMYFUNCTION("""COMPUTED_VALUE"""),"Selesai")</f>
        <v>Selesai</v>
      </c>
      <c r="L1042" s="17">
        <f>IFERROR(__xludf.DUMMYFUNCTION("""COMPUTED_VALUE"""),45698.580005104166)</f>
        <v>45698.58001</v>
      </c>
      <c r="M1042" s="13"/>
      <c r="N1042" s="13" t="str">
        <f>IFERROR(__xludf.DUMMYFUNCTION("""COMPUTED_VALUE"""),"")</f>
        <v/>
      </c>
      <c r="O1042" s="13" t="str">
        <f t="shared" si="1"/>
        <v/>
      </c>
    </row>
    <row r="1043" ht="22.5" customHeight="1">
      <c r="B1043" s="13">
        <f>IFERROR(__xludf.DUMMYFUNCTION("""COMPUTED_VALUE"""),1038.0)</f>
        <v>1038</v>
      </c>
      <c r="C1043" s="13" t="str">
        <f>IFERROR(__xludf.DUMMYFUNCTION("""COMPUTED_VALUE"""),"M.14642/RAJABASA")</f>
        <v>M.14642/RAJABASA</v>
      </c>
      <c r="D1043" s="13" t="str">
        <f>IFERROR(__xludf.DUMMYFUNCTION("""COMPUTED_VALUE"""),"K/28/030225/1")</f>
        <v>K/28/030225/1</v>
      </c>
      <c r="E1043" s="14" t="str">
        <f>IFERROR(__xludf.DUMMYFUNCTION("""COMPUTED_VALUE"""),"Nadian (BT)")</f>
        <v>Nadian (BT)</v>
      </c>
      <c r="F1043" s="14" t="str">
        <f>IFERROR(__xludf.DUMMYFUNCTION("""COMPUTED_VALUE"""),"SELESAI (VIA PERMOHONAN)")</f>
        <v>SELESAI (VIA PERMOHONAN)</v>
      </c>
      <c r="G1043" s="17">
        <f>IFERROR(__xludf.DUMMYFUNCTION("""COMPUTED_VALUE"""),45698.58807157408)</f>
        <v>45698.58807</v>
      </c>
      <c r="H1043" s="14" t="str">
        <f>IFERROR(__xludf.DUMMYFUNCTION("""COMPUTED_VALUE"""),"Bu Eva (SU)")</f>
        <v>Bu Eva (SU)</v>
      </c>
      <c r="I1043" s="13" t="str">
        <f>IFERROR(__xludf.DUMMYFUNCTION("""COMPUTED_VALUE"""),"SELESAI (VIA PERMOHONAN)")</f>
        <v>SELESAI (VIA PERMOHONAN)</v>
      </c>
      <c r="J1043" s="17">
        <f>IFERROR(__xludf.DUMMYFUNCTION("""COMPUTED_VALUE"""),45698.6589127662)</f>
        <v>45698.65891</v>
      </c>
      <c r="K1043" s="13" t="str">
        <f>IFERROR(__xludf.DUMMYFUNCTION("""COMPUTED_VALUE"""),"Selesai")</f>
        <v>Selesai</v>
      </c>
      <c r="L1043" s="17">
        <f>IFERROR(__xludf.DUMMYFUNCTION("""COMPUTED_VALUE"""),45698.6589127662)</f>
        <v>45698.65891</v>
      </c>
      <c r="M1043" s="13"/>
      <c r="N1043" s="13" t="str">
        <f>IFERROR(__xludf.DUMMYFUNCTION("""COMPUTED_VALUE"""),"")</f>
        <v/>
      </c>
      <c r="O1043" s="13" t="str">
        <f t="shared" si="1"/>
        <v/>
      </c>
    </row>
    <row r="1044" ht="22.5" customHeight="1">
      <c r="B1044" s="13">
        <f>IFERROR(__xludf.DUMMYFUNCTION("""COMPUTED_VALUE"""),1039.0)</f>
        <v>1039</v>
      </c>
      <c r="C1044" s="13" t="str">
        <f>IFERROR(__xludf.DUMMYFUNCTION("""COMPUTED_VALUE"""),"M. 9311/ Tanjung Baru")</f>
        <v>M. 9311/ Tanjung Baru</v>
      </c>
      <c r="D1044" s="13" t="str">
        <f>IFERROR(__xludf.DUMMYFUNCTION("""COMPUTED_VALUE"""),"K/6/310125/1")</f>
        <v>K/6/310125/1</v>
      </c>
      <c r="E1044" s="14" t="str">
        <f>IFERROR(__xludf.DUMMYFUNCTION("""COMPUTED_VALUE"""),"Nadian (BT)")</f>
        <v>Nadian (BT)</v>
      </c>
      <c r="F1044" s="14" t="str">
        <f>IFERROR(__xludf.DUMMYFUNCTION("""COMPUTED_VALUE"""),"SELESAI (VIA PERMOHONAN)")</f>
        <v>SELESAI (VIA PERMOHONAN)</v>
      </c>
      <c r="G1044" s="17">
        <f>IFERROR(__xludf.DUMMYFUNCTION("""COMPUTED_VALUE"""),45698.588102430556)</f>
        <v>45698.5881</v>
      </c>
      <c r="H1044" s="14" t="str">
        <f>IFERROR(__xludf.DUMMYFUNCTION("""COMPUTED_VALUE"""),"Bu Eva (SU)")</f>
        <v>Bu Eva (SU)</v>
      </c>
      <c r="I1044" s="13" t="str">
        <f>IFERROR(__xludf.DUMMYFUNCTION("""COMPUTED_VALUE"""),"SELESAI (VIA PERMOHONAN)")</f>
        <v>SELESAI (VIA PERMOHONAN)</v>
      </c>
      <c r="J1044" s="17">
        <f>IFERROR(__xludf.DUMMYFUNCTION("""COMPUTED_VALUE"""),45698.6589127662)</f>
        <v>45698.65891</v>
      </c>
      <c r="K1044" s="13" t="str">
        <f>IFERROR(__xludf.DUMMYFUNCTION("""COMPUTED_VALUE"""),"Selesai")</f>
        <v>Selesai</v>
      </c>
      <c r="L1044" s="17">
        <f>IFERROR(__xludf.DUMMYFUNCTION("""COMPUTED_VALUE"""),45698.6589127662)</f>
        <v>45698.65891</v>
      </c>
      <c r="M1044" s="13"/>
      <c r="N1044" s="13" t="str">
        <f>IFERROR(__xludf.DUMMYFUNCTION("""COMPUTED_VALUE"""),"")</f>
        <v/>
      </c>
      <c r="O1044" s="13" t="str">
        <f t="shared" si="1"/>
        <v/>
      </c>
    </row>
    <row r="1045" ht="22.5" customHeight="1">
      <c r="B1045" s="13">
        <f>IFERROR(__xludf.DUMMYFUNCTION("""COMPUTED_VALUE"""),1040.0)</f>
        <v>1040</v>
      </c>
      <c r="C1045" s="13" t="str">
        <f>IFERROR(__xludf.DUMMYFUNCTION("""COMPUTED_VALUE"""),"M. 334/ ketapang")</f>
        <v>M. 334/ ketapang</v>
      </c>
      <c r="D1045" s="13" t="str">
        <f>IFERROR(__xludf.DUMMYFUNCTION("""COMPUTED_VALUE"""),"K/32/050225/2")</f>
        <v>K/32/050225/2</v>
      </c>
      <c r="E1045" s="14" t="str">
        <f>IFERROR(__xludf.DUMMYFUNCTION("""COMPUTED_VALUE"""),"Nadian (BT)")</f>
        <v>Nadian (BT)</v>
      </c>
      <c r="F1045" s="14" t="str">
        <f>IFERROR(__xludf.DUMMYFUNCTION("""COMPUTED_VALUE"""),"SELESAI (VIA PERMOHONAN)")</f>
        <v>SELESAI (VIA PERMOHONAN)</v>
      </c>
      <c r="G1045" s="17">
        <f>IFERROR(__xludf.DUMMYFUNCTION("""COMPUTED_VALUE"""),45698.588102430556)</f>
        <v>45698.5881</v>
      </c>
      <c r="H1045" s="14" t="str">
        <f>IFERROR(__xludf.DUMMYFUNCTION("""COMPUTED_VALUE"""),"Bu Eva (SU)")</f>
        <v>Bu Eva (SU)</v>
      </c>
      <c r="I1045" s="13" t="str">
        <f>IFERROR(__xludf.DUMMYFUNCTION("""COMPUTED_VALUE"""),"SELESAI (VIA PERMOHONAN)")</f>
        <v>SELESAI (VIA PERMOHONAN)</v>
      </c>
      <c r="J1045" s="17">
        <f>IFERROR(__xludf.DUMMYFUNCTION("""COMPUTED_VALUE"""),45698.6589127662)</f>
        <v>45698.65891</v>
      </c>
      <c r="K1045" s="13" t="str">
        <f>IFERROR(__xludf.DUMMYFUNCTION("""COMPUTED_VALUE"""),"Selesai")</f>
        <v>Selesai</v>
      </c>
      <c r="L1045" s="17">
        <f>IFERROR(__xludf.DUMMYFUNCTION("""COMPUTED_VALUE"""),45698.6589127662)</f>
        <v>45698.65891</v>
      </c>
      <c r="M1045" s="13"/>
      <c r="N1045" s="13" t="str">
        <f>IFERROR(__xludf.DUMMYFUNCTION("""COMPUTED_VALUE"""),"")</f>
        <v/>
      </c>
      <c r="O1045" s="13" t="str">
        <f t="shared" si="1"/>
        <v/>
      </c>
    </row>
    <row r="1046" ht="22.5" customHeight="1">
      <c r="B1046" s="13">
        <f>IFERROR(__xludf.DUMMYFUNCTION("""COMPUTED_VALUE"""),1041.0)</f>
        <v>1041</v>
      </c>
      <c r="C1046" s="13" t="str">
        <f>IFERROR(__xludf.DUMMYFUNCTION("""COMPUTED_VALUE"""),"M. 1436/ Rajabasa Pemuka")</f>
        <v>M. 1436/ Rajabasa Pemuka</v>
      </c>
      <c r="D1046" s="13" t="str">
        <f>IFERROR(__xludf.DUMMYFUNCTION("""COMPUTED_VALUE"""),"K/4/040225/2")</f>
        <v>K/4/040225/2</v>
      </c>
      <c r="E1046" s="14" t="str">
        <f>IFERROR(__xludf.DUMMYFUNCTION("""COMPUTED_VALUE"""),"Nadian (BT)")</f>
        <v>Nadian (BT)</v>
      </c>
      <c r="F1046" s="14" t="str">
        <f>IFERROR(__xludf.DUMMYFUNCTION("""COMPUTED_VALUE"""),"SELESAI (VIA PERMOHONAN)")</f>
        <v>SELESAI (VIA PERMOHONAN)</v>
      </c>
      <c r="G1046" s="17">
        <f>IFERROR(__xludf.DUMMYFUNCTION("""COMPUTED_VALUE"""),45698.588102430556)</f>
        <v>45698.5881</v>
      </c>
      <c r="H1046" s="14" t="str">
        <f>IFERROR(__xludf.DUMMYFUNCTION("""COMPUTED_VALUE"""),"Bu Eva (SU)")</f>
        <v>Bu Eva (SU)</v>
      </c>
      <c r="I1046" s="13" t="str">
        <f>IFERROR(__xludf.DUMMYFUNCTION("""COMPUTED_VALUE"""),"SELESAI (VIA PERMOHONAN)")</f>
        <v>SELESAI (VIA PERMOHONAN)</v>
      </c>
      <c r="J1046" s="17">
        <f>IFERROR(__xludf.DUMMYFUNCTION("""COMPUTED_VALUE"""),45698.6589127662)</f>
        <v>45698.65891</v>
      </c>
      <c r="K1046" s="13" t="str">
        <f>IFERROR(__xludf.DUMMYFUNCTION("""COMPUTED_VALUE"""),"Selesai")</f>
        <v>Selesai</v>
      </c>
      <c r="L1046" s="17">
        <f>IFERROR(__xludf.DUMMYFUNCTION("""COMPUTED_VALUE"""),45698.6589127662)</f>
        <v>45698.65891</v>
      </c>
      <c r="M1046" s="13"/>
      <c r="N1046" s="13" t="str">
        <f>IFERROR(__xludf.DUMMYFUNCTION("""COMPUTED_VALUE"""),"")</f>
        <v/>
      </c>
      <c r="O1046" s="13" t="str">
        <f t="shared" si="1"/>
        <v/>
      </c>
    </row>
    <row r="1047" ht="22.5" customHeight="1">
      <c r="B1047" s="13">
        <f>IFERROR(__xludf.DUMMYFUNCTION("""COMPUTED_VALUE"""),1042.0)</f>
        <v>1042</v>
      </c>
      <c r="C1047" s="13" t="str">
        <f>IFERROR(__xludf.DUMMYFUNCTION("""COMPUTED_VALUE"""),"M. 12858/ Beringin Raya")</f>
        <v>M. 12858/ Beringin Raya</v>
      </c>
      <c r="D1047" s="13" t="str">
        <f>IFERROR(__xludf.DUMMYFUNCTION("""COMPUTED_VALUE"""),"K/20/050225/3")</f>
        <v>K/20/050225/3</v>
      </c>
      <c r="E1047" s="14" t="str">
        <f>IFERROR(__xludf.DUMMYFUNCTION("""COMPUTED_VALUE"""),"Nadian (BT)")</f>
        <v>Nadian (BT)</v>
      </c>
      <c r="F1047" s="14" t="str">
        <f>IFERROR(__xludf.DUMMYFUNCTION("""COMPUTED_VALUE"""),"SELESAI (VIA PERMOHONAN)")</f>
        <v>SELESAI (VIA PERMOHONAN)</v>
      </c>
      <c r="G1047" s="17">
        <f>IFERROR(__xludf.DUMMYFUNCTION("""COMPUTED_VALUE"""),45698.588102430556)</f>
        <v>45698.5881</v>
      </c>
      <c r="H1047" s="14" t="str">
        <f>IFERROR(__xludf.DUMMYFUNCTION("""COMPUTED_VALUE"""),"Bu Eva (SU)")</f>
        <v>Bu Eva (SU)</v>
      </c>
      <c r="I1047" s="13" t="str">
        <f>IFERROR(__xludf.DUMMYFUNCTION("""COMPUTED_VALUE"""),"SELESAI (VIA PERMOHONAN)")</f>
        <v>SELESAI (VIA PERMOHONAN)</v>
      </c>
      <c r="J1047" s="17">
        <f>IFERROR(__xludf.DUMMYFUNCTION("""COMPUTED_VALUE"""),45698.6589127662)</f>
        <v>45698.65891</v>
      </c>
      <c r="K1047" s="13" t="str">
        <f>IFERROR(__xludf.DUMMYFUNCTION("""COMPUTED_VALUE"""),"Selesai")</f>
        <v>Selesai</v>
      </c>
      <c r="L1047" s="17">
        <f>IFERROR(__xludf.DUMMYFUNCTION("""COMPUTED_VALUE"""),45698.6589127662)</f>
        <v>45698.65891</v>
      </c>
      <c r="M1047" s="13"/>
      <c r="N1047" s="13" t="str">
        <f>IFERROR(__xludf.DUMMYFUNCTION("""COMPUTED_VALUE"""),"")</f>
        <v/>
      </c>
      <c r="O1047" s="13" t="str">
        <f t="shared" si="1"/>
        <v/>
      </c>
    </row>
    <row r="1048" ht="22.5" customHeight="1">
      <c r="B1048" s="13">
        <f>IFERROR(__xludf.DUMMYFUNCTION("""COMPUTED_VALUE"""),1043.0)</f>
        <v>1043</v>
      </c>
      <c r="C1048" s="13" t="str">
        <f>IFERROR(__xludf.DUMMYFUNCTION("""COMPUTED_VALUE"""),"B.398/KALI BALAU KENCANA")</f>
        <v>B.398/KALI BALAU KENCANA</v>
      </c>
      <c r="D1048" s="13" t="str">
        <f>IFERROR(__xludf.DUMMYFUNCTION("""COMPUTED_VALUE"""),"K/32/030225/1")</f>
        <v>K/32/030225/1</v>
      </c>
      <c r="E1048" s="14" t="str">
        <f>IFERROR(__xludf.DUMMYFUNCTION("""COMPUTED_VALUE"""),"Nadian (BT)")</f>
        <v>Nadian (BT)</v>
      </c>
      <c r="F1048" s="14" t="str">
        <f>IFERROR(__xludf.DUMMYFUNCTION("""COMPUTED_VALUE"""),"SELESAI (VIA PERMOHONAN)")</f>
        <v>SELESAI (VIA PERMOHONAN)</v>
      </c>
      <c r="G1048" s="17">
        <f>IFERROR(__xludf.DUMMYFUNCTION("""COMPUTED_VALUE"""),45698.588102430556)</f>
        <v>45698.5881</v>
      </c>
      <c r="H1048" s="14" t="str">
        <f>IFERROR(__xludf.DUMMYFUNCTION("""COMPUTED_VALUE"""),"Bu Eva (SU)")</f>
        <v>Bu Eva (SU)</v>
      </c>
      <c r="I1048" s="13" t="str">
        <f>IFERROR(__xludf.DUMMYFUNCTION("""COMPUTED_VALUE"""),"SELESAI (VIA PERMOHONAN)")</f>
        <v>SELESAI (VIA PERMOHONAN)</v>
      </c>
      <c r="J1048" s="17">
        <f>IFERROR(__xludf.DUMMYFUNCTION("""COMPUTED_VALUE"""),45698.6589127662)</f>
        <v>45698.65891</v>
      </c>
      <c r="K1048" s="13" t="str">
        <f>IFERROR(__xludf.DUMMYFUNCTION("""COMPUTED_VALUE"""),"Selesai")</f>
        <v>Selesai</v>
      </c>
      <c r="L1048" s="17">
        <f>IFERROR(__xludf.DUMMYFUNCTION("""COMPUTED_VALUE"""),45698.6589127662)</f>
        <v>45698.65891</v>
      </c>
      <c r="M1048" s="13"/>
      <c r="N1048" s="13" t="str">
        <f>IFERROR(__xludf.DUMMYFUNCTION("""COMPUTED_VALUE"""),"")</f>
        <v/>
      </c>
      <c r="O1048" s="13" t="str">
        <f t="shared" si="1"/>
        <v/>
      </c>
    </row>
    <row r="1049" ht="22.5" customHeight="1">
      <c r="B1049" s="13">
        <f>IFERROR(__xludf.DUMMYFUNCTION("""COMPUTED_VALUE"""),1044.0)</f>
        <v>1044</v>
      </c>
      <c r="C1049" s="13" t="str">
        <f>IFERROR(__xludf.DUMMYFUNCTION("""COMPUTED_VALUE"""),"M.10159/KEDAMAIAN DAN M.10803/KEDAMAIAN")</f>
        <v>M.10159/KEDAMAIAN DAN M.10803/KEDAMAIAN</v>
      </c>
      <c r="D1049" s="13" t="str">
        <f>IFERROR(__xludf.DUMMYFUNCTION("""COMPUTED_VALUE"""),"K/7/300125/1")</f>
        <v>K/7/300125/1</v>
      </c>
      <c r="E1049" s="14" t="str">
        <f>IFERROR(__xludf.DUMMYFUNCTION("""COMPUTED_VALUE"""),"Nadian (BT)")</f>
        <v>Nadian (BT)</v>
      </c>
      <c r="F1049" s="14" t="str">
        <f>IFERROR(__xludf.DUMMYFUNCTION("""COMPUTED_VALUE"""),"SELESAI (VIA PERMOHONAN)")</f>
        <v>SELESAI (VIA PERMOHONAN)</v>
      </c>
      <c r="G1049" s="17">
        <f>IFERROR(__xludf.DUMMYFUNCTION("""COMPUTED_VALUE"""),45698.58813087963)</f>
        <v>45698.58813</v>
      </c>
      <c r="H1049" s="14" t="str">
        <f>IFERROR(__xludf.DUMMYFUNCTION("""COMPUTED_VALUE"""),"Bu Eva (SU)")</f>
        <v>Bu Eva (SU)</v>
      </c>
      <c r="I1049" s="13" t="str">
        <f>IFERROR(__xludf.DUMMYFUNCTION("""COMPUTED_VALUE"""),"SELESAI (VIA PERMOHONAN)")</f>
        <v>SELESAI (VIA PERMOHONAN)</v>
      </c>
      <c r="J1049" s="17">
        <f>IFERROR(__xludf.DUMMYFUNCTION("""COMPUTED_VALUE"""),45698.65895521991)</f>
        <v>45698.65896</v>
      </c>
      <c r="K1049" s="13" t="str">
        <f>IFERROR(__xludf.DUMMYFUNCTION("""COMPUTED_VALUE"""),"Selesai")</f>
        <v>Selesai</v>
      </c>
      <c r="L1049" s="17">
        <f>IFERROR(__xludf.DUMMYFUNCTION("""COMPUTED_VALUE"""),45698.65895521991)</f>
        <v>45698.65896</v>
      </c>
      <c r="M1049" s="13"/>
      <c r="N1049" s="13" t="str">
        <f>IFERROR(__xludf.DUMMYFUNCTION("""COMPUTED_VALUE"""),"")</f>
        <v/>
      </c>
      <c r="O1049" s="13" t="str">
        <f t="shared" si="1"/>
        <v/>
      </c>
    </row>
    <row r="1050" ht="22.5" customHeight="1">
      <c r="B1050" s="13">
        <f>IFERROR(__xludf.DUMMYFUNCTION("""COMPUTED_VALUE"""),1045.0)</f>
        <v>1045</v>
      </c>
      <c r="C1050" s="13" t="str">
        <f>IFERROR(__xludf.DUMMYFUNCTION("""COMPUTED_VALUE"""),"B.5634/BERINGIN RAYA")</f>
        <v>B.5634/BERINGIN RAYA</v>
      </c>
      <c r="D1050" s="13" t="str">
        <f>IFERROR(__xludf.DUMMYFUNCTION("""COMPUTED_VALUE"""),"K/46/050225/3")</f>
        <v>K/46/050225/3</v>
      </c>
      <c r="E1050" s="14" t="str">
        <f>IFERROR(__xludf.DUMMYFUNCTION("""COMPUTED_VALUE"""),"Nadian (BT)")</f>
        <v>Nadian (BT)</v>
      </c>
      <c r="F1050" s="14" t="str">
        <f>IFERROR(__xludf.DUMMYFUNCTION("""COMPUTED_VALUE"""),"SELESAI (VIA PERMOHONAN)")</f>
        <v>SELESAI (VIA PERMOHONAN)</v>
      </c>
      <c r="G1050" s="17">
        <f>IFERROR(__xludf.DUMMYFUNCTION("""COMPUTED_VALUE"""),45698.58813087963)</f>
        <v>45698.58813</v>
      </c>
      <c r="H1050" s="14" t="str">
        <f>IFERROR(__xludf.DUMMYFUNCTION("""COMPUTED_VALUE"""),"Bu Eva (SU)")</f>
        <v>Bu Eva (SU)</v>
      </c>
      <c r="I1050" s="13" t="str">
        <f>IFERROR(__xludf.DUMMYFUNCTION("""COMPUTED_VALUE"""),"SELESAI (VIA PERMOHONAN)")</f>
        <v>SELESAI (VIA PERMOHONAN)</v>
      </c>
      <c r="J1050" s="17">
        <f>IFERROR(__xludf.DUMMYFUNCTION("""COMPUTED_VALUE"""),45698.65895521991)</f>
        <v>45698.65896</v>
      </c>
      <c r="K1050" s="13" t="str">
        <f>IFERROR(__xludf.DUMMYFUNCTION("""COMPUTED_VALUE"""),"Selesai")</f>
        <v>Selesai</v>
      </c>
      <c r="L1050" s="17">
        <f>IFERROR(__xludf.DUMMYFUNCTION("""COMPUTED_VALUE"""),45698.65895521991)</f>
        <v>45698.65896</v>
      </c>
      <c r="M1050" s="13"/>
      <c r="N1050" s="13" t="str">
        <f>IFERROR(__xludf.DUMMYFUNCTION("""COMPUTED_VALUE"""),"")</f>
        <v/>
      </c>
      <c r="O1050" s="13" t="str">
        <f t="shared" si="1"/>
        <v/>
      </c>
    </row>
    <row r="1051" ht="22.5" customHeight="1">
      <c r="B1051" s="13">
        <f>IFERROR(__xludf.DUMMYFUNCTION("""COMPUTED_VALUE"""),1046.0)</f>
        <v>1046</v>
      </c>
      <c r="C1051" s="13" t="str">
        <f>IFERROR(__xludf.DUMMYFUNCTION("""COMPUTED_VALUE"""),"M. 3014/ Gedong Air")</f>
        <v>M. 3014/ Gedong Air</v>
      </c>
      <c r="D1051" s="13" t="str">
        <f>IFERROR(__xludf.DUMMYFUNCTION("""COMPUTED_VALUE"""),"K/2/040225/1")</f>
        <v>K/2/040225/1</v>
      </c>
      <c r="E1051" s="14" t="str">
        <f>IFERROR(__xludf.DUMMYFUNCTION("""COMPUTED_VALUE"""),"Nadian (BT)")</f>
        <v>Nadian (BT)</v>
      </c>
      <c r="F1051" s="14" t="str">
        <f>IFERROR(__xludf.DUMMYFUNCTION("""COMPUTED_VALUE"""),"SELESAI (VIA PERMOHONAN)")</f>
        <v>SELESAI (VIA PERMOHONAN)</v>
      </c>
      <c r="G1051" s="17">
        <f>IFERROR(__xludf.DUMMYFUNCTION("""COMPUTED_VALUE"""),45698.58813087963)</f>
        <v>45698.58813</v>
      </c>
      <c r="H1051" s="14" t="str">
        <f>IFERROR(__xludf.DUMMYFUNCTION("""COMPUTED_VALUE"""),"Bu Eva (SU)")</f>
        <v>Bu Eva (SU)</v>
      </c>
      <c r="I1051" s="13" t="str">
        <f>IFERROR(__xludf.DUMMYFUNCTION("""COMPUTED_VALUE"""),"SELESAI (VIA PERMOHONAN)")</f>
        <v>SELESAI (VIA PERMOHONAN)</v>
      </c>
      <c r="J1051" s="17">
        <f>IFERROR(__xludf.DUMMYFUNCTION("""COMPUTED_VALUE"""),45698.65895521991)</f>
        <v>45698.65896</v>
      </c>
      <c r="K1051" s="13" t="str">
        <f>IFERROR(__xludf.DUMMYFUNCTION("""COMPUTED_VALUE"""),"Selesai")</f>
        <v>Selesai</v>
      </c>
      <c r="L1051" s="17">
        <f>IFERROR(__xludf.DUMMYFUNCTION("""COMPUTED_VALUE"""),45698.65895521991)</f>
        <v>45698.65896</v>
      </c>
      <c r="M1051" s="13"/>
      <c r="N1051" s="13" t="str">
        <f>IFERROR(__xludf.DUMMYFUNCTION("""COMPUTED_VALUE"""),"")</f>
        <v/>
      </c>
      <c r="O1051" s="13" t="str">
        <f t="shared" si="1"/>
        <v/>
      </c>
    </row>
    <row r="1052" ht="22.5" customHeight="1">
      <c r="B1052" s="13">
        <f>IFERROR(__xludf.DUMMYFUNCTION("""COMPUTED_VALUE"""),1047.0)</f>
        <v>1047</v>
      </c>
      <c r="C1052" s="13" t="str">
        <f>IFERROR(__xludf.DUMMYFUNCTION("""COMPUTED_VALUE"""),"M. 464/ Kota Sepang")</f>
        <v>M. 464/ Kota Sepang</v>
      </c>
      <c r="D1052" s="13" t="str">
        <f>IFERROR(__xludf.DUMMYFUNCTION("""COMPUTED_VALUE"""),"K/27/050225/4")</f>
        <v>K/27/050225/4</v>
      </c>
      <c r="E1052" s="14" t="str">
        <f>IFERROR(__xludf.DUMMYFUNCTION("""COMPUTED_VALUE"""),"Nadian (BT)")</f>
        <v>Nadian (BT)</v>
      </c>
      <c r="F1052" s="14" t="str">
        <f>IFERROR(__xludf.DUMMYFUNCTION("""COMPUTED_VALUE"""),"SELESAI (VIA PERMOHONAN)")</f>
        <v>SELESAI (VIA PERMOHONAN)</v>
      </c>
      <c r="G1052" s="17">
        <f>IFERROR(__xludf.DUMMYFUNCTION("""COMPUTED_VALUE"""),45698.58813087963)</f>
        <v>45698.58813</v>
      </c>
      <c r="H1052" s="14" t="str">
        <f>IFERROR(__xludf.DUMMYFUNCTION("""COMPUTED_VALUE"""),"Bu Eva (SU)")</f>
        <v>Bu Eva (SU)</v>
      </c>
      <c r="I1052" s="13" t="str">
        <f>IFERROR(__xludf.DUMMYFUNCTION("""COMPUTED_VALUE"""),"SELESAI (VIA PERMOHONAN)")</f>
        <v>SELESAI (VIA PERMOHONAN)</v>
      </c>
      <c r="J1052" s="17">
        <f>IFERROR(__xludf.DUMMYFUNCTION("""COMPUTED_VALUE"""),45698.65895521991)</f>
        <v>45698.65896</v>
      </c>
      <c r="K1052" s="13" t="str">
        <f>IFERROR(__xludf.DUMMYFUNCTION("""COMPUTED_VALUE"""),"Selesai")</f>
        <v>Selesai</v>
      </c>
      <c r="L1052" s="17">
        <f>IFERROR(__xludf.DUMMYFUNCTION("""COMPUTED_VALUE"""),45698.65895521991)</f>
        <v>45698.65896</v>
      </c>
      <c r="M1052" s="13"/>
      <c r="N1052" s="13" t="str">
        <f>IFERROR(__xludf.DUMMYFUNCTION("""COMPUTED_VALUE"""),"")</f>
        <v/>
      </c>
      <c r="O1052" s="13" t="str">
        <f t="shared" si="1"/>
        <v/>
      </c>
    </row>
    <row r="1053" ht="22.5" customHeight="1">
      <c r="B1053" s="13">
        <f>IFERROR(__xludf.DUMMYFUNCTION("""COMPUTED_VALUE"""),1048.0)</f>
        <v>1048</v>
      </c>
      <c r="C1053" s="13" t="str">
        <f>IFERROR(__xludf.DUMMYFUNCTION("""COMPUTED_VALUE"""),"B. 490/ sumur Putri")</f>
        <v>B. 490/ sumur Putri</v>
      </c>
      <c r="D1053" s="13" t="str">
        <f>IFERROR(__xludf.DUMMYFUNCTION("""COMPUTED_VALUE""")," K/9/070125/1")</f>
        <v> K/9/070125/1</v>
      </c>
      <c r="E1053" s="14" t="str">
        <f>IFERROR(__xludf.DUMMYFUNCTION("""COMPUTED_VALUE"""),"Nadian (BT)")</f>
        <v>Nadian (BT)</v>
      </c>
      <c r="F1053" s="14" t="str">
        <f>IFERROR(__xludf.DUMMYFUNCTION("""COMPUTED_VALUE"""),"SELESAI (VIA PERMOHONAN)")</f>
        <v>SELESAI (VIA PERMOHONAN)</v>
      </c>
      <c r="G1053" s="17">
        <f>IFERROR(__xludf.DUMMYFUNCTION("""COMPUTED_VALUE"""),45698.58816180556)</f>
        <v>45698.58816</v>
      </c>
      <c r="H1053" s="14" t="str">
        <f>IFERROR(__xludf.DUMMYFUNCTION("""COMPUTED_VALUE"""),"Bu Eva (SU)")</f>
        <v>Bu Eva (SU)</v>
      </c>
      <c r="I1053" s="13" t="str">
        <f>IFERROR(__xludf.DUMMYFUNCTION("""COMPUTED_VALUE"""),"SELESAI (VIA PERMOHONAN)")</f>
        <v>SELESAI (VIA PERMOHONAN)</v>
      </c>
      <c r="J1053" s="17">
        <f>IFERROR(__xludf.DUMMYFUNCTION("""COMPUTED_VALUE"""),45698.65895521991)</f>
        <v>45698.65896</v>
      </c>
      <c r="K1053" s="13" t="str">
        <f>IFERROR(__xludf.DUMMYFUNCTION("""COMPUTED_VALUE"""),"Selesai")</f>
        <v>Selesai</v>
      </c>
      <c r="L1053" s="17">
        <f>IFERROR(__xludf.DUMMYFUNCTION("""COMPUTED_VALUE"""),45698.65895521991)</f>
        <v>45698.65896</v>
      </c>
      <c r="M1053" s="13"/>
      <c r="N1053" s="13" t="str">
        <f>IFERROR(__xludf.DUMMYFUNCTION("""COMPUTED_VALUE"""),"")</f>
        <v/>
      </c>
      <c r="O1053" s="13" t="str">
        <f t="shared" si="1"/>
        <v/>
      </c>
    </row>
    <row r="1054" ht="22.5" customHeight="1">
      <c r="B1054" s="13">
        <f>IFERROR(__xludf.DUMMYFUNCTION("""COMPUTED_VALUE"""),1049.0)</f>
        <v>1049</v>
      </c>
      <c r="C1054" s="13" t="str">
        <f>IFERROR(__xludf.DUMMYFUNCTION("""COMPUTED_VALUE"""),"M.15726/SUKABUMI")</f>
        <v>M.15726/SUKABUMI</v>
      </c>
      <c r="D1054" s="13" t="str">
        <f>IFERROR(__xludf.DUMMYFUNCTION("""COMPUTED_VALUE"""),"K/29/050225/1")</f>
        <v>K/29/050225/1</v>
      </c>
      <c r="E1054" s="14" t="str">
        <f>IFERROR(__xludf.DUMMYFUNCTION("""COMPUTED_VALUE"""),"Nadian (BT)")</f>
        <v>Nadian (BT)</v>
      </c>
      <c r="F1054" s="14" t="str">
        <f>IFERROR(__xludf.DUMMYFUNCTION("""COMPUTED_VALUE"""),"SELESAI (VIA PERMOHONAN)")</f>
        <v>SELESAI (VIA PERMOHONAN)</v>
      </c>
      <c r="G1054" s="17">
        <f>IFERROR(__xludf.DUMMYFUNCTION("""COMPUTED_VALUE"""),45698.58816180556)</f>
        <v>45698.58816</v>
      </c>
      <c r="H1054" s="14" t="str">
        <f>IFERROR(__xludf.DUMMYFUNCTION("""COMPUTED_VALUE"""),"Bu Eva (SU)")</f>
        <v>Bu Eva (SU)</v>
      </c>
      <c r="I1054" s="13" t="str">
        <f>IFERROR(__xludf.DUMMYFUNCTION("""COMPUTED_VALUE"""),"SELESAI (VIA PERMOHONAN)")</f>
        <v>SELESAI (VIA PERMOHONAN)</v>
      </c>
      <c r="J1054" s="17">
        <f>IFERROR(__xludf.DUMMYFUNCTION("""COMPUTED_VALUE"""),45698.65895521991)</f>
        <v>45698.65896</v>
      </c>
      <c r="K1054" s="13" t="str">
        <f>IFERROR(__xludf.DUMMYFUNCTION("""COMPUTED_VALUE"""),"Selesai")</f>
        <v>Selesai</v>
      </c>
      <c r="L1054" s="17">
        <f>IFERROR(__xludf.DUMMYFUNCTION("""COMPUTED_VALUE"""),45698.65895521991)</f>
        <v>45698.65896</v>
      </c>
      <c r="M1054" s="13"/>
      <c r="N1054" s="13" t="str">
        <f>IFERROR(__xludf.DUMMYFUNCTION("""COMPUTED_VALUE"""),"")</f>
        <v/>
      </c>
      <c r="O1054" s="13" t="str">
        <f t="shared" si="1"/>
        <v/>
      </c>
    </row>
    <row r="1055" ht="22.5" customHeight="1">
      <c r="B1055" s="13">
        <f>IFERROR(__xludf.DUMMYFUNCTION("""COMPUTED_VALUE"""),1050.0)</f>
        <v>1050</v>
      </c>
      <c r="C1055" s="13" t="str">
        <f>IFERROR(__xludf.DUMMYFUNCTION("""COMPUTED_VALUE"""),"M. 1805/ Tanjung Seneng")</f>
        <v>M. 1805/ Tanjung Seneng</v>
      </c>
      <c r="D1055" s="13" t="str">
        <f>IFERROR(__xludf.DUMMYFUNCTION("""COMPUTED_VALUE"""),"K/10/060225/2")</f>
        <v>K/10/060225/2</v>
      </c>
      <c r="E1055" s="14" t="str">
        <f>IFERROR(__xludf.DUMMYFUNCTION("""COMPUTED_VALUE"""),"Afriza (BT)")</f>
        <v>Afriza (BT)</v>
      </c>
      <c r="F1055" s="14" t="str">
        <f>IFERROR(__xludf.DUMMYFUNCTION("""COMPUTED_VALUE"""),"SELESAI (VIA PERMOHONAN)")</f>
        <v>SELESAI (VIA PERMOHONAN)</v>
      </c>
      <c r="G1055" s="17">
        <f>IFERROR(__xludf.DUMMYFUNCTION("""COMPUTED_VALUE"""),45699.37783898148)</f>
        <v>45699.37784</v>
      </c>
      <c r="H1055" s="14" t="str">
        <f>IFERROR(__xludf.DUMMYFUNCTION("""COMPUTED_VALUE"""),"Bu Eva (SU)")</f>
        <v>Bu Eva (SU)</v>
      </c>
      <c r="I1055" s="13" t="str">
        <f>IFERROR(__xludf.DUMMYFUNCTION("""COMPUTED_VALUE"""),"SELESAI (VIA PERMOHONAN)")</f>
        <v>SELESAI (VIA PERMOHONAN)</v>
      </c>
      <c r="J1055" s="17">
        <f>IFERROR(__xludf.DUMMYFUNCTION("""COMPUTED_VALUE"""),45700.643956064814)</f>
        <v>45700.64396</v>
      </c>
      <c r="K1055" s="13" t="str">
        <f>IFERROR(__xludf.DUMMYFUNCTION("""COMPUTED_VALUE"""),"Selesai")</f>
        <v>Selesai</v>
      </c>
      <c r="L1055" s="17">
        <f>IFERROR(__xludf.DUMMYFUNCTION("""COMPUTED_VALUE"""),45700.643956064814)</f>
        <v>45700.64396</v>
      </c>
      <c r="M1055" s="13"/>
      <c r="N1055" s="13" t="str">
        <f>IFERROR(__xludf.DUMMYFUNCTION("""COMPUTED_VALUE"""),"")</f>
        <v/>
      </c>
      <c r="O1055" s="13" t="str">
        <f t="shared" si="1"/>
        <v/>
      </c>
    </row>
    <row r="1056" ht="22.5" customHeight="1">
      <c r="B1056" s="13">
        <f>IFERROR(__xludf.DUMMYFUNCTION("""COMPUTED_VALUE"""),1051.0)</f>
        <v>1051</v>
      </c>
      <c r="C1056" s="13" t="str">
        <f>IFERROR(__xludf.DUMMYFUNCTION("""COMPUTED_VALUE"""),"M. 1051/ Pematang Wangi")</f>
        <v>M. 1051/ Pematang Wangi</v>
      </c>
      <c r="D1056" s="13" t="str">
        <f>IFERROR(__xludf.DUMMYFUNCTION("""COMPUTED_VALUE"""),"K/31/070225/1")</f>
        <v>K/31/070225/1</v>
      </c>
      <c r="E1056" s="14" t="str">
        <f>IFERROR(__xludf.DUMMYFUNCTION("""COMPUTED_VALUE"""),"Afriza (BT)")</f>
        <v>Afriza (BT)</v>
      </c>
      <c r="F1056" s="14" t="str">
        <f>IFERROR(__xludf.DUMMYFUNCTION("""COMPUTED_VALUE"""),"SELESAI (VIA PERMOHONAN)")</f>
        <v>SELESAI (VIA PERMOHONAN)</v>
      </c>
      <c r="G1056" s="17">
        <f>IFERROR(__xludf.DUMMYFUNCTION("""COMPUTED_VALUE"""),45699.37792881945)</f>
        <v>45699.37793</v>
      </c>
      <c r="H1056" s="14" t="str">
        <f>IFERROR(__xludf.DUMMYFUNCTION("""COMPUTED_VALUE"""),"Bu Eva (SU)")</f>
        <v>Bu Eva (SU)</v>
      </c>
      <c r="I1056" s="13" t="str">
        <f>IFERROR(__xludf.DUMMYFUNCTION("""COMPUTED_VALUE"""),"SELESAI (VIA PERMOHONAN)")</f>
        <v>SELESAI (VIA PERMOHONAN)</v>
      </c>
      <c r="J1056" s="17">
        <f>IFERROR(__xludf.DUMMYFUNCTION("""COMPUTED_VALUE"""),45700.643956064814)</f>
        <v>45700.64396</v>
      </c>
      <c r="K1056" s="13" t="str">
        <f>IFERROR(__xludf.DUMMYFUNCTION("""COMPUTED_VALUE"""),"Selesai")</f>
        <v>Selesai</v>
      </c>
      <c r="L1056" s="17">
        <f>IFERROR(__xludf.DUMMYFUNCTION("""COMPUTED_VALUE"""),45700.643956064814)</f>
        <v>45700.64396</v>
      </c>
      <c r="M1056" s="13"/>
      <c r="N1056" s="13" t="str">
        <f>IFERROR(__xludf.DUMMYFUNCTION("""COMPUTED_VALUE"""),"")</f>
        <v/>
      </c>
      <c r="O1056" s="13" t="str">
        <f t="shared" si="1"/>
        <v/>
      </c>
    </row>
    <row r="1057" ht="22.5" customHeight="1">
      <c r="B1057" s="13">
        <f>IFERROR(__xludf.DUMMYFUNCTION("""COMPUTED_VALUE"""),1052.0)</f>
        <v>1052</v>
      </c>
      <c r="C1057" s="13" t="str">
        <f>IFERROR(__xludf.DUMMYFUNCTION("""COMPUTED_VALUE"""),"M. 728/ Labuhan Dalam")</f>
        <v>M. 728/ Labuhan Dalam</v>
      </c>
      <c r="D1057" s="13" t="str">
        <f>IFERROR(__xludf.DUMMYFUNCTION("""COMPUTED_VALUE"""),"K/39/070225/1")</f>
        <v>K/39/070225/1</v>
      </c>
      <c r="E1057" s="14" t="str">
        <f>IFERROR(__xludf.DUMMYFUNCTION("""COMPUTED_VALUE"""),"Afriza (BT)")</f>
        <v>Afriza (BT)</v>
      </c>
      <c r="F1057" s="14" t="str">
        <f>IFERROR(__xludf.DUMMYFUNCTION("""COMPUTED_VALUE"""),"SELESAI (VIA PERMOHONAN)")</f>
        <v>SELESAI (VIA PERMOHONAN)</v>
      </c>
      <c r="G1057" s="17">
        <f>IFERROR(__xludf.DUMMYFUNCTION("""COMPUTED_VALUE"""),45699.37807045139)</f>
        <v>45699.37807</v>
      </c>
      <c r="H1057" s="14" t="str">
        <f>IFERROR(__xludf.DUMMYFUNCTION("""COMPUTED_VALUE"""),"Bu Eva (SU)")</f>
        <v>Bu Eva (SU)</v>
      </c>
      <c r="I1057" s="13" t="str">
        <f>IFERROR(__xludf.DUMMYFUNCTION("""COMPUTED_VALUE"""),"SELESAI (VIA PERMOHONAN)")</f>
        <v>SELESAI (VIA PERMOHONAN)</v>
      </c>
      <c r="J1057" s="17">
        <f>IFERROR(__xludf.DUMMYFUNCTION("""COMPUTED_VALUE"""),45700.643956064814)</f>
        <v>45700.64396</v>
      </c>
      <c r="K1057" s="13" t="str">
        <f>IFERROR(__xludf.DUMMYFUNCTION("""COMPUTED_VALUE"""),"Selesai")</f>
        <v>Selesai</v>
      </c>
      <c r="L1057" s="17">
        <f>IFERROR(__xludf.DUMMYFUNCTION("""COMPUTED_VALUE"""),45700.643956064814)</f>
        <v>45700.64396</v>
      </c>
      <c r="M1057" s="13"/>
      <c r="N1057" s="13" t="str">
        <f>IFERROR(__xludf.DUMMYFUNCTION("""COMPUTED_VALUE"""),"")</f>
        <v/>
      </c>
      <c r="O1057" s="13" t="str">
        <f t="shared" si="1"/>
        <v/>
      </c>
    </row>
    <row r="1058" ht="22.5" customHeight="1">
      <c r="B1058" s="13">
        <f>IFERROR(__xludf.DUMMYFUNCTION("""COMPUTED_VALUE"""),1053.0)</f>
        <v>1053</v>
      </c>
      <c r="C1058" s="13" t="str">
        <f>IFERROR(__xludf.DUMMYFUNCTION("""COMPUTED_VALUE"""),"M. 2663/ Pinang Jaya")</f>
        <v>M. 2663/ Pinang Jaya</v>
      </c>
      <c r="D1058" s="13" t="str">
        <f>IFERROR(__xludf.DUMMYFUNCTION("""COMPUTED_VALUE""")," K/23/070225/1")</f>
        <v> K/23/070225/1</v>
      </c>
      <c r="E1058" s="14" t="str">
        <f>IFERROR(__xludf.DUMMYFUNCTION("""COMPUTED_VALUE"""),"Afriza (BT)")</f>
        <v>Afriza (BT)</v>
      </c>
      <c r="F1058" s="14" t="str">
        <f>IFERROR(__xludf.DUMMYFUNCTION("""COMPUTED_VALUE"""),"SELESAI (VIA PERMOHONAN)")</f>
        <v>SELESAI (VIA PERMOHONAN)</v>
      </c>
      <c r="G1058" s="17">
        <f>IFERROR(__xludf.DUMMYFUNCTION("""COMPUTED_VALUE"""),45699.378167372684)</f>
        <v>45699.37817</v>
      </c>
      <c r="H1058" s="14" t="str">
        <f>IFERROR(__xludf.DUMMYFUNCTION("""COMPUTED_VALUE"""),"Bu Eva (SU)")</f>
        <v>Bu Eva (SU)</v>
      </c>
      <c r="I1058" s="13" t="str">
        <f>IFERROR(__xludf.DUMMYFUNCTION("""COMPUTED_VALUE"""),"SELESAI (VIA PERMOHONAN)")</f>
        <v>SELESAI (VIA PERMOHONAN)</v>
      </c>
      <c r="J1058" s="17">
        <f>IFERROR(__xludf.DUMMYFUNCTION("""COMPUTED_VALUE"""),45700.643956064814)</f>
        <v>45700.64396</v>
      </c>
      <c r="K1058" s="13" t="str">
        <f>IFERROR(__xludf.DUMMYFUNCTION("""COMPUTED_VALUE"""),"Selesai")</f>
        <v>Selesai</v>
      </c>
      <c r="L1058" s="17">
        <f>IFERROR(__xludf.DUMMYFUNCTION("""COMPUTED_VALUE"""),45700.643956064814)</f>
        <v>45700.64396</v>
      </c>
      <c r="M1058" s="13"/>
      <c r="N1058" s="13" t="str">
        <f>IFERROR(__xludf.DUMMYFUNCTION("""COMPUTED_VALUE"""),"")</f>
        <v/>
      </c>
      <c r="O1058" s="13" t="str">
        <f t="shared" si="1"/>
        <v/>
      </c>
    </row>
    <row r="1059" ht="22.5" customHeight="1">
      <c r="B1059" s="13">
        <f>IFERROR(__xludf.DUMMYFUNCTION("""COMPUTED_VALUE"""),1054.0)</f>
        <v>1054</v>
      </c>
      <c r="C1059" s="13" t="str">
        <f>IFERROR(__xludf.DUMMYFUNCTION("""COMPUTED_VALUE"""),"M. 5583/ Langkapura")</f>
        <v>M. 5583/ Langkapura</v>
      </c>
      <c r="D1059" s="13" t="str">
        <f>IFERROR(__xludf.DUMMYFUNCTION("""COMPUTED_VALUE"""),"K/30/050225/1")</f>
        <v>K/30/050225/1</v>
      </c>
      <c r="E1059" s="14" t="str">
        <f>IFERROR(__xludf.DUMMYFUNCTION("""COMPUTED_VALUE"""),"Afriza (BT)")</f>
        <v>Afriza (BT)</v>
      </c>
      <c r="F1059" s="14" t="str">
        <f>IFERROR(__xludf.DUMMYFUNCTION("""COMPUTED_VALUE"""),"SELESAI (VIA PERMOHONAN)")</f>
        <v>SELESAI (VIA PERMOHONAN)</v>
      </c>
      <c r="G1059" s="17">
        <f>IFERROR(__xludf.DUMMYFUNCTION("""COMPUTED_VALUE"""),45699.37828640046)</f>
        <v>45699.37829</v>
      </c>
      <c r="H1059" s="14" t="str">
        <f>IFERROR(__xludf.DUMMYFUNCTION("""COMPUTED_VALUE"""),"Bu Eva (SU)")</f>
        <v>Bu Eva (SU)</v>
      </c>
      <c r="I1059" s="13" t="str">
        <f>IFERROR(__xludf.DUMMYFUNCTION("""COMPUTED_VALUE"""),"SELESAI (VIA PERMOHONAN)")</f>
        <v>SELESAI (VIA PERMOHONAN)</v>
      </c>
      <c r="J1059" s="17">
        <f>IFERROR(__xludf.DUMMYFUNCTION("""COMPUTED_VALUE"""),45700.643956064814)</f>
        <v>45700.64396</v>
      </c>
      <c r="K1059" s="13" t="str">
        <f>IFERROR(__xludf.DUMMYFUNCTION("""COMPUTED_VALUE"""),"Selesai")</f>
        <v>Selesai</v>
      </c>
      <c r="L1059" s="17">
        <f>IFERROR(__xludf.DUMMYFUNCTION("""COMPUTED_VALUE"""),45700.643956064814)</f>
        <v>45700.64396</v>
      </c>
      <c r="M1059" s="13"/>
      <c r="N1059" s="13" t="str">
        <f>IFERROR(__xludf.DUMMYFUNCTION("""COMPUTED_VALUE"""),"")</f>
        <v/>
      </c>
      <c r="O1059" s="13" t="str">
        <f t="shared" si="1"/>
        <v/>
      </c>
    </row>
    <row r="1060" ht="22.5" customHeight="1">
      <c r="B1060" s="13">
        <f>IFERROR(__xludf.DUMMYFUNCTION("""COMPUTED_VALUE"""),1055.0)</f>
        <v>1055</v>
      </c>
      <c r="C1060" s="13" t="str">
        <f>IFERROR(__xludf.DUMMYFUNCTION("""COMPUTED_VALUE"""),"M. 3655/ Langkapura")</f>
        <v>M. 3655/ Langkapura</v>
      </c>
      <c r="D1060" s="13" t="str">
        <f>IFERROR(__xludf.DUMMYFUNCTION("""COMPUTED_VALUE"""),"K/13/200125/1")</f>
        <v>K/13/200125/1</v>
      </c>
      <c r="E1060" s="14" t="str">
        <f>IFERROR(__xludf.DUMMYFUNCTION("""COMPUTED_VALUE"""),"Nadian (BT)")</f>
        <v>Nadian (BT)</v>
      </c>
      <c r="F1060" s="14" t="str">
        <f>IFERROR(__xludf.DUMMYFUNCTION("""COMPUTED_VALUE"""),"SELESAI (VIA PERMOHONAN)")</f>
        <v>SELESAI (VIA PERMOHONAN)</v>
      </c>
      <c r="G1060" s="17">
        <f>IFERROR(__xludf.DUMMYFUNCTION("""COMPUTED_VALUE"""),45699.65570793982)</f>
        <v>45699.65571</v>
      </c>
      <c r="H1060" s="14" t="str">
        <f>IFERROR(__xludf.DUMMYFUNCTION("""COMPUTED_VALUE"""),"Bu Eva (SU)")</f>
        <v>Bu Eva (SU)</v>
      </c>
      <c r="I1060" s="13" t="str">
        <f>IFERROR(__xludf.DUMMYFUNCTION("""COMPUTED_VALUE"""),"SELESAI (VIA PERMOHONAN)")</f>
        <v>SELESAI (VIA PERMOHONAN)</v>
      </c>
      <c r="J1060" s="17">
        <f>IFERROR(__xludf.DUMMYFUNCTION("""COMPUTED_VALUE"""),45700.643956064814)</f>
        <v>45700.64396</v>
      </c>
      <c r="K1060" s="13" t="str">
        <f>IFERROR(__xludf.DUMMYFUNCTION("""COMPUTED_VALUE"""),"Selesai")</f>
        <v>Selesai</v>
      </c>
      <c r="L1060" s="17">
        <f>IFERROR(__xludf.DUMMYFUNCTION("""COMPUTED_VALUE"""),45700.643956064814)</f>
        <v>45700.64396</v>
      </c>
      <c r="M1060" s="13"/>
      <c r="N1060" s="13" t="str">
        <f>IFERROR(__xludf.DUMMYFUNCTION("""COMPUTED_VALUE"""),"")</f>
        <v/>
      </c>
      <c r="O1060" s="13" t="str">
        <f t="shared" si="1"/>
        <v/>
      </c>
    </row>
    <row r="1061" ht="22.5" customHeight="1">
      <c r="B1061" s="13">
        <f>IFERROR(__xludf.DUMMYFUNCTION("""COMPUTED_VALUE"""),1056.0)</f>
        <v>1056</v>
      </c>
      <c r="C1061" s="13" t="str">
        <f>IFERROR(__xludf.DUMMYFUNCTION("""COMPUTED_VALUE"""),"M. 2227/ Susunan Baru")</f>
        <v>M. 2227/ Susunan Baru</v>
      </c>
      <c r="D1061" s="13" t="str">
        <f>IFERROR(__xludf.DUMMYFUNCTION("""COMPUTED_VALUE"""),"K/2/240125/1")</f>
        <v>K/2/240125/1</v>
      </c>
      <c r="E1061" s="14" t="str">
        <f>IFERROR(__xludf.DUMMYFUNCTION("""COMPUTED_VALUE"""),"Nadian (BT)")</f>
        <v>Nadian (BT)</v>
      </c>
      <c r="F1061" s="14" t="str">
        <f>IFERROR(__xludf.DUMMYFUNCTION("""COMPUTED_VALUE"""),"SELESAI (VIA PERMOHONAN)")</f>
        <v>SELESAI (VIA PERMOHONAN)</v>
      </c>
      <c r="G1061" s="17">
        <f>IFERROR(__xludf.DUMMYFUNCTION("""COMPUTED_VALUE"""),45699.65574210648)</f>
        <v>45699.65574</v>
      </c>
      <c r="H1061" s="14" t="str">
        <f>IFERROR(__xludf.DUMMYFUNCTION("""COMPUTED_VALUE"""),"Bu Eva (SU)")</f>
        <v>Bu Eva (SU)</v>
      </c>
      <c r="I1061" s="13" t="str">
        <f>IFERROR(__xludf.DUMMYFUNCTION("""COMPUTED_VALUE"""),"SELESAI (VIA PERMOHONAN)")</f>
        <v>SELESAI (VIA PERMOHONAN)</v>
      </c>
      <c r="J1061" s="17">
        <f>IFERROR(__xludf.DUMMYFUNCTION("""COMPUTED_VALUE"""),45700.64395607639)</f>
        <v>45700.64396</v>
      </c>
      <c r="K1061" s="13" t="str">
        <f>IFERROR(__xludf.DUMMYFUNCTION("""COMPUTED_VALUE"""),"Selesai")</f>
        <v>Selesai</v>
      </c>
      <c r="L1061" s="17">
        <f>IFERROR(__xludf.DUMMYFUNCTION("""COMPUTED_VALUE"""),45700.64395607639)</f>
        <v>45700.64396</v>
      </c>
      <c r="M1061" s="13"/>
      <c r="N1061" s="13" t="str">
        <f>IFERROR(__xludf.DUMMYFUNCTION("""COMPUTED_VALUE"""),"")</f>
        <v/>
      </c>
      <c r="O1061" s="13" t="str">
        <f t="shared" si="1"/>
        <v/>
      </c>
    </row>
    <row r="1062" ht="22.5" customHeight="1">
      <c r="B1062" s="13">
        <f>IFERROR(__xludf.DUMMYFUNCTION("""COMPUTED_VALUE"""),1057.0)</f>
        <v>1057</v>
      </c>
      <c r="C1062" s="13" t="str">
        <f>IFERROR(__xludf.DUMMYFUNCTION("""COMPUTED_VALUE"""),"M. 2070/ Labuhan Ratu Raya")</f>
        <v>M. 2070/ Labuhan Ratu Raya</v>
      </c>
      <c r="D1062" s="13" t="str">
        <f>IFERROR(__xludf.DUMMYFUNCTION("""COMPUTED_VALUE"""),"K/15/300125/1")</f>
        <v>K/15/300125/1</v>
      </c>
      <c r="E1062" s="14" t="str">
        <f>IFERROR(__xludf.DUMMYFUNCTION("""COMPUTED_VALUE"""),"Nadian (BT)")</f>
        <v>Nadian (BT)</v>
      </c>
      <c r="F1062" s="14" t="str">
        <f>IFERROR(__xludf.DUMMYFUNCTION("""COMPUTED_VALUE"""),"SELESAI (VIA PERMOHONAN)")</f>
        <v>SELESAI (VIA PERMOHONAN)</v>
      </c>
      <c r="G1062" s="17">
        <f>IFERROR(__xludf.DUMMYFUNCTION("""COMPUTED_VALUE"""),45699.65574210648)</f>
        <v>45699.65574</v>
      </c>
      <c r="H1062" s="14" t="str">
        <f>IFERROR(__xludf.DUMMYFUNCTION("""COMPUTED_VALUE"""),"Bu Eva (SU)")</f>
        <v>Bu Eva (SU)</v>
      </c>
      <c r="I1062" s="13" t="str">
        <f>IFERROR(__xludf.DUMMYFUNCTION("""COMPUTED_VALUE"""),"SELESAI (VIA PERMOHONAN)")</f>
        <v>SELESAI (VIA PERMOHONAN)</v>
      </c>
      <c r="J1062" s="17">
        <f>IFERROR(__xludf.DUMMYFUNCTION("""COMPUTED_VALUE"""),45700.644070532406)</f>
        <v>45700.64407</v>
      </c>
      <c r="K1062" s="13" t="str">
        <f>IFERROR(__xludf.DUMMYFUNCTION("""COMPUTED_VALUE"""),"Selesai")</f>
        <v>Selesai</v>
      </c>
      <c r="L1062" s="17">
        <f>IFERROR(__xludf.DUMMYFUNCTION("""COMPUTED_VALUE"""),45700.644070532406)</f>
        <v>45700.64407</v>
      </c>
      <c r="M1062" s="13"/>
      <c r="N1062" s="13" t="str">
        <f>IFERROR(__xludf.DUMMYFUNCTION("""COMPUTED_VALUE"""),"")</f>
        <v/>
      </c>
      <c r="O1062" s="13" t="str">
        <f t="shared" si="1"/>
        <v/>
      </c>
    </row>
    <row r="1063" ht="22.5" customHeight="1">
      <c r="B1063" s="13">
        <f>IFERROR(__xludf.DUMMYFUNCTION("""COMPUTED_VALUE"""),1058.0)</f>
        <v>1058</v>
      </c>
      <c r="C1063" s="13" t="str">
        <f>IFERROR(__xludf.DUMMYFUNCTION("""COMPUTED_VALUE"""),"M. 1869/ Sumberejo Sejahtera")</f>
        <v>M. 1869/ Sumberejo Sejahtera</v>
      </c>
      <c r="D1063" s="13" t="str">
        <f>IFERROR(__xludf.DUMMYFUNCTION("""COMPUTED_VALUE"""),"K/25/040225/2")</f>
        <v>K/25/040225/2</v>
      </c>
      <c r="E1063" s="14" t="str">
        <f>IFERROR(__xludf.DUMMYFUNCTION("""COMPUTED_VALUE"""),"Nadian (BT)")</f>
        <v>Nadian (BT)</v>
      </c>
      <c r="F1063" s="14" t="str">
        <f>IFERROR(__xludf.DUMMYFUNCTION("""COMPUTED_VALUE"""),"SELESAI (VIA PERMOHONAN)")</f>
        <v>SELESAI (VIA PERMOHONAN)</v>
      </c>
      <c r="G1063" s="17">
        <f>IFERROR(__xludf.DUMMYFUNCTION("""COMPUTED_VALUE"""),45699.65574210648)</f>
        <v>45699.65574</v>
      </c>
      <c r="H1063" s="14" t="str">
        <f>IFERROR(__xludf.DUMMYFUNCTION("""COMPUTED_VALUE"""),"Bu Eva (SU)")</f>
        <v>Bu Eva (SU)</v>
      </c>
      <c r="I1063" s="13" t="str">
        <f>IFERROR(__xludf.DUMMYFUNCTION("""COMPUTED_VALUE"""),"SELESAI (VIA PERMOHONAN)")</f>
        <v>SELESAI (VIA PERMOHONAN)</v>
      </c>
      <c r="J1063" s="17">
        <f>IFERROR(__xludf.DUMMYFUNCTION("""COMPUTED_VALUE"""),45700.644070532406)</f>
        <v>45700.64407</v>
      </c>
      <c r="K1063" s="13" t="str">
        <f>IFERROR(__xludf.DUMMYFUNCTION("""COMPUTED_VALUE"""),"Selesai")</f>
        <v>Selesai</v>
      </c>
      <c r="L1063" s="17">
        <f>IFERROR(__xludf.DUMMYFUNCTION("""COMPUTED_VALUE"""),45700.644070532406)</f>
        <v>45700.64407</v>
      </c>
      <c r="M1063" s="13"/>
      <c r="N1063" s="13" t="str">
        <f>IFERROR(__xludf.DUMMYFUNCTION("""COMPUTED_VALUE"""),"")</f>
        <v/>
      </c>
      <c r="O1063" s="13" t="str">
        <f t="shared" si="1"/>
        <v/>
      </c>
    </row>
    <row r="1064" ht="22.5" customHeight="1">
      <c r="B1064" s="13">
        <f>IFERROR(__xludf.DUMMYFUNCTION("""COMPUTED_VALUE"""),1059.0)</f>
        <v>1059</v>
      </c>
      <c r="C1064" s="13" t="str">
        <f>IFERROR(__xludf.DUMMYFUNCTION("""COMPUTED_VALUE"""),"B. 1094/ Keteguhan")</f>
        <v>B. 1094/ Keteguhan</v>
      </c>
      <c r="D1064" s="13" t="str">
        <f>IFERROR(__xludf.DUMMYFUNCTION("""COMPUTED_VALUE"""),"K/30/030225/1")</f>
        <v>K/30/030225/1</v>
      </c>
      <c r="E1064" s="14" t="str">
        <f>IFERROR(__xludf.DUMMYFUNCTION("""COMPUTED_VALUE"""),"Nadian (BT)")</f>
        <v>Nadian (BT)</v>
      </c>
      <c r="F1064" s="14" t="str">
        <f>IFERROR(__xludf.DUMMYFUNCTION("""COMPUTED_VALUE"""),"SELESAI (VIA PERMOHONAN)")</f>
        <v>SELESAI (VIA PERMOHONAN)</v>
      </c>
      <c r="G1064" s="17">
        <f>IFERROR(__xludf.DUMMYFUNCTION("""COMPUTED_VALUE"""),45699.65574210648)</f>
        <v>45699.65574</v>
      </c>
      <c r="H1064" s="14" t="str">
        <f>IFERROR(__xludf.DUMMYFUNCTION("""COMPUTED_VALUE"""),"Bu Eva (SU)")</f>
        <v>Bu Eva (SU)</v>
      </c>
      <c r="I1064" s="13" t="str">
        <f>IFERROR(__xludf.DUMMYFUNCTION("""COMPUTED_VALUE"""),"SELESAI (VIA PERMOHONAN)")</f>
        <v>SELESAI (VIA PERMOHONAN)</v>
      </c>
      <c r="J1064" s="17">
        <f>IFERROR(__xludf.DUMMYFUNCTION("""COMPUTED_VALUE"""),45700.644070532406)</f>
        <v>45700.64407</v>
      </c>
      <c r="K1064" s="13" t="str">
        <f>IFERROR(__xludf.DUMMYFUNCTION("""COMPUTED_VALUE"""),"Selesai")</f>
        <v>Selesai</v>
      </c>
      <c r="L1064" s="17">
        <f>IFERROR(__xludf.DUMMYFUNCTION("""COMPUTED_VALUE"""),45700.644070532406)</f>
        <v>45700.64407</v>
      </c>
      <c r="M1064" s="13"/>
      <c r="N1064" s="13" t="str">
        <f>IFERROR(__xludf.DUMMYFUNCTION("""COMPUTED_VALUE"""),"")</f>
        <v/>
      </c>
      <c r="O1064" s="13" t="str">
        <f t="shared" si="1"/>
        <v/>
      </c>
    </row>
    <row r="1065" ht="22.5" customHeight="1">
      <c r="B1065" s="13">
        <f>IFERROR(__xludf.DUMMYFUNCTION("""COMPUTED_VALUE"""),1060.0)</f>
        <v>1060</v>
      </c>
      <c r="C1065" s="13" t="str">
        <f>IFERROR(__xludf.DUMMYFUNCTION("""COMPUTED_VALUE"""),"M. 246/ Gunung Sulah")</f>
        <v>M. 246/ Gunung Sulah</v>
      </c>
      <c r="D1065" s="13" t="str">
        <f>IFERROR(__xludf.DUMMYFUNCTION("""COMPUTED_VALUE"""),"K/22/200125/1")</f>
        <v>K/22/200125/1</v>
      </c>
      <c r="E1065" s="14" t="str">
        <f>IFERROR(__xludf.DUMMYFUNCTION("""COMPUTED_VALUE"""),"Nadian (BT)")</f>
        <v>Nadian (BT)</v>
      </c>
      <c r="F1065" s="14" t="str">
        <f>IFERROR(__xludf.DUMMYFUNCTION("""COMPUTED_VALUE"""),"SELESAI (VIA PERMOHONAN)")</f>
        <v>SELESAI (VIA PERMOHONAN)</v>
      </c>
      <c r="G1065" s="17">
        <f>IFERROR(__xludf.DUMMYFUNCTION("""COMPUTED_VALUE"""),45699.65574210648)</f>
        <v>45699.65574</v>
      </c>
      <c r="H1065" s="14" t="str">
        <f>IFERROR(__xludf.DUMMYFUNCTION("""COMPUTED_VALUE"""),"Bu Eva (SU)")</f>
        <v>Bu Eva (SU)</v>
      </c>
      <c r="I1065" s="13" t="str">
        <f>IFERROR(__xludf.DUMMYFUNCTION("""COMPUTED_VALUE"""),"SELESAI (VIA PERMOHONAN)")</f>
        <v>SELESAI (VIA PERMOHONAN)</v>
      </c>
      <c r="J1065" s="17">
        <f>IFERROR(__xludf.DUMMYFUNCTION("""COMPUTED_VALUE"""),45700.644070532406)</f>
        <v>45700.64407</v>
      </c>
      <c r="K1065" s="13" t="str">
        <f>IFERROR(__xludf.DUMMYFUNCTION("""COMPUTED_VALUE"""),"Selesai")</f>
        <v>Selesai</v>
      </c>
      <c r="L1065" s="17">
        <f>IFERROR(__xludf.DUMMYFUNCTION("""COMPUTED_VALUE"""),45700.644070532406)</f>
        <v>45700.64407</v>
      </c>
      <c r="M1065" s="13"/>
      <c r="N1065" s="13" t="str">
        <f>IFERROR(__xludf.DUMMYFUNCTION("""COMPUTED_VALUE"""),"")</f>
        <v/>
      </c>
      <c r="O1065" s="13" t="str">
        <f t="shared" si="1"/>
        <v/>
      </c>
    </row>
    <row r="1066" ht="22.5" customHeight="1">
      <c r="B1066" s="13">
        <f>IFERROR(__xludf.DUMMYFUNCTION("""COMPUTED_VALUE"""),1061.0)</f>
        <v>1061</v>
      </c>
      <c r="C1066" s="13" t="str">
        <f>IFERROR(__xludf.DUMMYFUNCTION("""COMPUTED_VALUE"""),"M. 979/ Kemiling Raya")</f>
        <v>M. 979/ Kemiling Raya</v>
      </c>
      <c r="D1066" s="13" t="str">
        <f>IFERROR(__xludf.DUMMYFUNCTION("""COMPUTED_VALUE"""),"K/3/050225/2")</f>
        <v>K/3/050225/2</v>
      </c>
      <c r="E1066" s="14" t="str">
        <f>IFERROR(__xludf.DUMMYFUNCTION("""COMPUTED_VALUE"""),"Nadian (BT)")</f>
        <v>Nadian (BT)</v>
      </c>
      <c r="F1066" s="14" t="str">
        <f>IFERROR(__xludf.DUMMYFUNCTION("""COMPUTED_VALUE"""),"SELESAI (VIA PERMOHONAN)")</f>
        <v>SELESAI (VIA PERMOHONAN)</v>
      </c>
      <c r="G1066" s="17">
        <f>IFERROR(__xludf.DUMMYFUNCTION("""COMPUTED_VALUE"""),45699.65574210648)</f>
        <v>45699.65574</v>
      </c>
      <c r="H1066" s="14" t="str">
        <f>IFERROR(__xludf.DUMMYFUNCTION("""COMPUTED_VALUE"""),"Bu Eva (SU)")</f>
        <v>Bu Eva (SU)</v>
      </c>
      <c r="I1066" s="13" t="str">
        <f>IFERROR(__xludf.DUMMYFUNCTION("""COMPUTED_VALUE"""),"SELESAI (VIA PERMOHONAN)")</f>
        <v>SELESAI (VIA PERMOHONAN)</v>
      </c>
      <c r="J1066" s="17">
        <f>IFERROR(__xludf.DUMMYFUNCTION("""COMPUTED_VALUE"""),45700.644070532406)</f>
        <v>45700.64407</v>
      </c>
      <c r="K1066" s="13" t="str">
        <f>IFERROR(__xludf.DUMMYFUNCTION("""COMPUTED_VALUE"""),"Selesai")</f>
        <v>Selesai</v>
      </c>
      <c r="L1066" s="17">
        <f>IFERROR(__xludf.DUMMYFUNCTION("""COMPUTED_VALUE"""),45700.644070532406)</f>
        <v>45700.64407</v>
      </c>
      <c r="M1066" s="13"/>
      <c r="N1066" s="13" t="str">
        <f>IFERROR(__xludf.DUMMYFUNCTION("""COMPUTED_VALUE"""),"")</f>
        <v/>
      </c>
      <c r="O1066" s="13" t="str">
        <f t="shared" si="1"/>
        <v/>
      </c>
    </row>
    <row r="1067" ht="22.5" customHeight="1">
      <c r="B1067" s="13">
        <f>IFERROR(__xludf.DUMMYFUNCTION("""COMPUTED_VALUE"""),1062.0)</f>
        <v>1062</v>
      </c>
      <c r="C1067" s="13" t="str">
        <f>IFERROR(__xludf.DUMMYFUNCTION("""COMPUTED_VALUE"""),"M. 2272/ Rajabasa Raya")</f>
        <v>M. 2272/ Rajabasa Raya</v>
      </c>
      <c r="D1067" s="13" t="str">
        <f>IFERROR(__xludf.DUMMYFUNCTION("""COMPUTED_VALUE"""),"K/9/050225/1")</f>
        <v>K/9/050225/1</v>
      </c>
      <c r="E1067" s="14" t="str">
        <f>IFERROR(__xludf.DUMMYFUNCTION("""COMPUTED_VALUE"""),"Nadian (BT)")</f>
        <v>Nadian (BT)</v>
      </c>
      <c r="F1067" s="14" t="str">
        <f>IFERROR(__xludf.DUMMYFUNCTION("""COMPUTED_VALUE"""),"SELESAI (VIA PERMOHONAN)")</f>
        <v>SELESAI (VIA PERMOHONAN)</v>
      </c>
      <c r="G1067" s="17">
        <f>IFERROR(__xludf.DUMMYFUNCTION("""COMPUTED_VALUE"""),45699.65574210648)</f>
        <v>45699.65574</v>
      </c>
      <c r="H1067" s="14" t="str">
        <f>IFERROR(__xludf.DUMMYFUNCTION("""COMPUTED_VALUE"""),"Bu Eva (SU)")</f>
        <v>Bu Eva (SU)</v>
      </c>
      <c r="I1067" s="13" t="str">
        <f>IFERROR(__xludf.DUMMYFUNCTION("""COMPUTED_VALUE"""),"SELESAI (VIA PERMOHONAN)")</f>
        <v>SELESAI (VIA PERMOHONAN)</v>
      </c>
      <c r="J1067" s="17">
        <f>IFERROR(__xludf.DUMMYFUNCTION("""COMPUTED_VALUE"""),45700.644070532406)</f>
        <v>45700.64407</v>
      </c>
      <c r="K1067" s="13" t="str">
        <f>IFERROR(__xludf.DUMMYFUNCTION("""COMPUTED_VALUE"""),"Selesai")</f>
        <v>Selesai</v>
      </c>
      <c r="L1067" s="17">
        <f>IFERROR(__xludf.DUMMYFUNCTION("""COMPUTED_VALUE"""),45700.644070532406)</f>
        <v>45700.64407</v>
      </c>
      <c r="M1067" s="13"/>
      <c r="N1067" s="13" t="str">
        <f>IFERROR(__xludf.DUMMYFUNCTION("""COMPUTED_VALUE"""),"")</f>
        <v/>
      </c>
      <c r="O1067" s="13" t="str">
        <f t="shared" si="1"/>
        <v/>
      </c>
    </row>
    <row r="1068" ht="22.5" customHeight="1">
      <c r="B1068" s="13">
        <f>IFERROR(__xludf.DUMMYFUNCTION("""COMPUTED_VALUE"""),1063.0)</f>
        <v>1063</v>
      </c>
      <c r="C1068" s="13" t="str">
        <f>IFERROR(__xludf.DUMMYFUNCTION("""COMPUTED_VALUE"""),"M. 2472/ Kemiling Permai")</f>
        <v>M. 2472/ Kemiling Permai</v>
      </c>
      <c r="D1068" s="13" t="str">
        <f>IFERROR(__xludf.DUMMYFUNCTION("""COMPUTED_VALUE"""),"K/2/050225/1")</f>
        <v>K/2/050225/1</v>
      </c>
      <c r="E1068" s="14" t="str">
        <f>IFERROR(__xludf.DUMMYFUNCTION("""COMPUTED_VALUE"""),"Nadian (BT)")</f>
        <v>Nadian (BT)</v>
      </c>
      <c r="F1068" s="14" t="str">
        <f>IFERROR(__xludf.DUMMYFUNCTION("""COMPUTED_VALUE"""),"SELESAI (VIA PERMOHONAN)")</f>
        <v>SELESAI (VIA PERMOHONAN)</v>
      </c>
      <c r="G1068" s="17">
        <f>IFERROR(__xludf.DUMMYFUNCTION("""COMPUTED_VALUE"""),45699.65574210648)</f>
        <v>45699.65574</v>
      </c>
      <c r="H1068" s="14" t="str">
        <f>IFERROR(__xludf.DUMMYFUNCTION("""COMPUTED_VALUE"""),"Bu Eva (SU)")</f>
        <v>Bu Eva (SU)</v>
      </c>
      <c r="I1068" s="13" t="str">
        <f>IFERROR(__xludf.DUMMYFUNCTION("""COMPUTED_VALUE"""),"SELESAI (VIA PERMOHONAN)")</f>
        <v>SELESAI (VIA PERMOHONAN)</v>
      </c>
      <c r="J1068" s="17">
        <f>IFERROR(__xludf.DUMMYFUNCTION("""COMPUTED_VALUE"""),45700.64407054398)</f>
        <v>45700.64407</v>
      </c>
      <c r="K1068" s="13" t="str">
        <f>IFERROR(__xludf.DUMMYFUNCTION("""COMPUTED_VALUE"""),"Selesai")</f>
        <v>Selesai</v>
      </c>
      <c r="L1068" s="17">
        <f>IFERROR(__xludf.DUMMYFUNCTION("""COMPUTED_VALUE"""),45700.64407054398)</f>
        <v>45700.64407</v>
      </c>
      <c r="M1068" s="13"/>
      <c r="N1068" s="13" t="str">
        <f>IFERROR(__xludf.DUMMYFUNCTION("""COMPUTED_VALUE"""),"")</f>
        <v/>
      </c>
      <c r="O1068" s="13" t="str">
        <f t="shared" si="1"/>
        <v/>
      </c>
    </row>
    <row r="1069" ht="22.5" customHeight="1">
      <c r="B1069" s="13">
        <f>IFERROR(__xludf.DUMMYFUNCTION("""COMPUTED_VALUE"""),1064.0)</f>
        <v>1064</v>
      </c>
      <c r="C1069" s="13" t="str">
        <f>IFERROR(__xludf.DUMMYFUNCTION("""COMPUTED_VALUE"""),"M. 925/ Gotong Royong")</f>
        <v>M. 925/ Gotong Royong</v>
      </c>
      <c r="D1069" s="13" t="str">
        <f>IFERROR(__xludf.DUMMYFUNCTION("""COMPUTED_VALUE"""),"K/1/310125/1")</f>
        <v>K/1/310125/1</v>
      </c>
      <c r="E1069" s="14" t="str">
        <f>IFERROR(__xludf.DUMMYFUNCTION("""COMPUTED_VALUE"""),"Nadian (BT)")</f>
        <v>Nadian (BT)</v>
      </c>
      <c r="F1069" s="14" t="str">
        <f>IFERROR(__xludf.DUMMYFUNCTION("""COMPUTED_VALUE"""),"SELESAI (VIA PERMOHONAN)")</f>
        <v>SELESAI (VIA PERMOHONAN)</v>
      </c>
      <c r="G1069" s="17">
        <f>IFERROR(__xludf.DUMMYFUNCTION("""COMPUTED_VALUE"""),45699.65574210648)</f>
        <v>45699.65574</v>
      </c>
      <c r="H1069" s="14" t="str">
        <f>IFERROR(__xludf.DUMMYFUNCTION("""COMPUTED_VALUE"""),"Bu Eva (SU)")</f>
        <v>Bu Eva (SU)</v>
      </c>
      <c r="I1069" s="13" t="str">
        <f>IFERROR(__xludf.DUMMYFUNCTION("""COMPUTED_VALUE"""),"SELESAI (VIA PERMOHONAN)")</f>
        <v>SELESAI (VIA PERMOHONAN)</v>
      </c>
      <c r="J1069" s="17">
        <f>IFERROR(__xludf.DUMMYFUNCTION("""COMPUTED_VALUE"""),45700.64424096065)</f>
        <v>45700.64424</v>
      </c>
      <c r="K1069" s="13" t="str">
        <f>IFERROR(__xludf.DUMMYFUNCTION("""COMPUTED_VALUE"""),"Selesai")</f>
        <v>Selesai</v>
      </c>
      <c r="L1069" s="17">
        <f>IFERROR(__xludf.DUMMYFUNCTION("""COMPUTED_VALUE"""),45700.64424096065)</f>
        <v>45700.64424</v>
      </c>
      <c r="M1069" s="13"/>
      <c r="N1069" s="13" t="str">
        <f>IFERROR(__xludf.DUMMYFUNCTION("""COMPUTED_VALUE"""),"")</f>
        <v/>
      </c>
      <c r="O1069" s="13" t="str">
        <f t="shared" si="1"/>
        <v/>
      </c>
    </row>
    <row r="1070" ht="22.5" customHeight="1">
      <c r="B1070" s="13">
        <f>IFERROR(__xludf.DUMMYFUNCTION("""COMPUTED_VALUE"""),1065.0)</f>
        <v>1065</v>
      </c>
      <c r="C1070" s="13" t="str">
        <f>IFERROR(__xludf.DUMMYFUNCTION("""COMPUTED_VALUE"""),"B.454/NUSANTARA PERMAI")</f>
        <v>B.454/NUSANTARA PERMAI</v>
      </c>
      <c r="D1070" s="13" t="str">
        <f>IFERROR(__xludf.DUMMYFUNCTION("""COMPUTED_VALUE"""),"K/64/261124/2")</f>
        <v>K/64/261124/2</v>
      </c>
      <c r="E1070" s="14" t="str">
        <f>IFERROR(__xludf.DUMMYFUNCTION("""COMPUTED_VALUE"""),"Nadian (BT)")</f>
        <v>Nadian (BT)</v>
      </c>
      <c r="F1070" s="14" t="str">
        <f>IFERROR(__xludf.DUMMYFUNCTION("""COMPUTED_VALUE"""),"SELESAI (VIA PERMOHONAN)")</f>
        <v>SELESAI (VIA PERMOHONAN)</v>
      </c>
      <c r="G1070" s="17">
        <f>IFERROR(__xludf.DUMMYFUNCTION("""COMPUTED_VALUE"""),45699.65574210648)</f>
        <v>45699.65574</v>
      </c>
      <c r="H1070" s="14" t="str">
        <f>IFERROR(__xludf.DUMMYFUNCTION("""COMPUTED_VALUE"""),"Bu Eva (SU)")</f>
        <v>Bu Eva (SU)</v>
      </c>
      <c r="I1070" s="13" t="str">
        <f>IFERROR(__xludf.DUMMYFUNCTION("""COMPUTED_VALUE"""),"SELESAI (VIA PERMOHONAN)")</f>
        <v>SELESAI (VIA PERMOHONAN)</v>
      </c>
      <c r="J1070" s="17">
        <f>IFERROR(__xludf.DUMMYFUNCTION("""COMPUTED_VALUE"""),45700.64424096065)</f>
        <v>45700.64424</v>
      </c>
      <c r="K1070" s="13" t="str">
        <f>IFERROR(__xludf.DUMMYFUNCTION("""COMPUTED_VALUE"""),"Selesai")</f>
        <v>Selesai</v>
      </c>
      <c r="L1070" s="17">
        <f>IFERROR(__xludf.DUMMYFUNCTION("""COMPUTED_VALUE"""),45700.64424096065)</f>
        <v>45700.64424</v>
      </c>
      <c r="M1070" s="13"/>
      <c r="N1070" s="13" t="str">
        <f>IFERROR(__xludf.DUMMYFUNCTION("""COMPUTED_VALUE"""),"")</f>
        <v/>
      </c>
      <c r="O1070" s="13" t="str">
        <f t="shared" si="1"/>
        <v/>
      </c>
    </row>
    <row r="1071" ht="22.5" customHeight="1">
      <c r="B1071" s="13">
        <f>IFERROR(__xludf.DUMMYFUNCTION("""COMPUTED_VALUE"""),1066.0)</f>
        <v>1066</v>
      </c>
      <c r="C1071" s="13" t="str">
        <f>IFERROR(__xludf.DUMMYFUNCTION("""COMPUTED_VALUE"""),"M.15696/SUKABUMI")</f>
        <v>M.15696/SUKABUMI</v>
      </c>
      <c r="D1071" s="13" t="str">
        <f>IFERROR(__xludf.DUMMYFUNCTION("""COMPUTED_VALUE"""),"K/39/050225/2")</f>
        <v>K/39/050225/2</v>
      </c>
      <c r="E1071" s="14" t="str">
        <f>IFERROR(__xludf.DUMMYFUNCTION("""COMPUTED_VALUE"""),"Nadian (BT)")</f>
        <v>Nadian (BT)</v>
      </c>
      <c r="F1071" s="14" t="str">
        <f>IFERROR(__xludf.DUMMYFUNCTION("""COMPUTED_VALUE"""),"SELESAI (VIA PERMOHONAN)")</f>
        <v>SELESAI (VIA PERMOHONAN)</v>
      </c>
      <c r="G1071" s="17">
        <f>IFERROR(__xludf.DUMMYFUNCTION("""COMPUTED_VALUE"""),45699.65574210648)</f>
        <v>45699.65574</v>
      </c>
      <c r="H1071" s="14" t="str">
        <f>IFERROR(__xludf.DUMMYFUNCTION("""COMPUTED_VALUE"""),"Bu Eva (SU)")</f>
        <v>Bu Eva (SU)</v>
      </c>
      <c r="I1071" s="13" t="str">
        <f>IFERROR(__xludf.DUMMYFUNCTION("""COMPUTED_VALUE"""),"SELESAI (VIA PERMOHONAN)")</f>
        <v>SELESAI (VIA PERMOHONAN)</v>
      </c>
      <c r="J1071" s="17">
        <f>IFERROR(__xludf.DUMMYFUNCTION("""COMPUTED_VALUE"""),45700.64424096065)</f>
        <v>45700.64424</v>
      </c>
      <c r="K1071" s="13" t="str">
        <f>IFERROR(__xludf.DUMMYFUNCTION("""COMPUTED_VALUE"""),"Selesai")</f>
        <v>Selesai</v>
      </c>
      <c r="L1071" s="17">
        <f>IFERROR(__xludf.DUMMYFUNCTION("""COMPUTED_VALUE"""),45700.64424096065)</f>
        <v>45700.64424</v>
      </c>
      <c r="M1071" s="13"/>
      <c r="N1071" s="13" t="str">
        <f>IFERROR(__xludf.DUMMYFUNCTION("""COMPUTED_VALUE"""),"")</f>
        <v/>
      </c>
      <c r="O1071" s="13" t="str">
        <f t="shared" si="1"/>
        <v/>
      </c>
    </row>
    <row r="1072" ht="22.5" customHeight="1">
      <c r="B1072" s="13">
        <f>IFERROR(__xludf.DUMMYFUNCTION("""COMPUTED_VALUE"""),1067.0)</f>
        <v>1067</v>
      </c>
      <c r="C1072" s="13" t="str">
        <f>IFERROR(__xludf.DUMMYFUNCTION("""COMPUTED_VALUE"""),"M.1603/TANJUNG SENANG")</f>
        <v>M.1603/TANJUNG SENANG</v>
      </c>
      <c r="D1072" s="13" t="str">
        <f>IFERROR(__xludf.DUMMYFUNCTION("""COMPUTED_VALUE"""),"K/11/050225/1")</f>
        <v>K/11/050225/1</v>
      </c>
      <c r="E1072" s="14" t="str">
        <f>IFERROR(__xludf.DUMMYFUNCTION("""COMPUTED_VALUE"""),"Nadian (BT)")</f>
        <v>Nadian (BT)</v>
      </c>
      <c r="F1072" s="14" t="str">
        <f>IFERROR(__xludf.DUMMYFUNCTION("""COMPUTED_VALUE"""),"SELESAI (VIA PERMOHONAN)")</f>
        <v>SELESAI (VIA PERMOHONAN)</v>
      </c>
      <c r="G1072" s="17">
        <f>IFERROR(__xludf.DUMMYFUNCTION("""COMPUTED_VALUE"""),45699.65574210648)</f>
        <v>45699.65574</v>
      </c>
      <c r="H1072" s="14" t="str">
        <f>IFERROR(__xludf.DUMMYFUNCTION("""COMPUTED_VALUE"""),"Bu Eva (SU)")</f>
        <v>Bu Eva (SU)</v>
      </c>
      <c r="I1072" s="13" t="str">
        <f>IFERROR(__xludf.DUMMYFUNCTION("""COMPUTED_VALUE"""),"SELESAI (VIA PERMOHONAN)")</f>
        <v>SELESAI (VIA PERMOHONAN)</v>
      </c>
      <c r="J1072" s="17">
        <f>IFERROR(__xludf.DUMMYFUNCTION("""COMPUTED_VALUE"""),45700.64424096065)</f>
        <v>45700.64424</v>
      </c>
      <c r="K1072" s="13" t="str">
        <f>IFERROR(__xludf.DUMMYFUNCTION("""COMPUTED_VALUE"""),"Selesai")</f>
        <v>Selesai</v>
      </c>
      <c r="L1072" s="17">
        <f>IFERROR(__xludf.DUMMYFUNCTION("""COMPUTED_VALUE"""),45700.64424096065)</f>
        <v>45700.64424</v>
      </c>
      <c r="M1072" s="13"/>
      <c r="N1072" s="13" t="str">
        <f>IFERROR(__xludf.DUMMYFUNCTION("""COMPUTED_VALUE"""),"")</f>
        <v/>
      </c>
      <c r="O1072" s="13" t="str">
        <f t="shared" si="1"/>
        <v/>
      </c>
    </row>
    <row r="1073" ht="22.5" customHeight="1">
      <c r="B1073" s="13">
        <f>IFERROR(__xludf.DUMMYFUNCTION("""COMPUTED_VALUE"""),1068.0)</f>
        <v>1068</v>
      </c>
      <c r="C1073" s="13" t="str">
        <f>IFERROR(__xludf.DUMMYFUNCTION("""COMPUTED_VALUE"""),"M.1604/TANJUNG SENANG")</f>
        <v>M.1604/TANJUNG SENANG</v>
      </c>
      <c r="D1073" s="13" t="str">
        <f>IFERROR(__xludf.DUMMYFUNCTION("""COMPUTED_VALUE"""),"K/12/050225/2")</f>
        <v>K/12/050225/2</v>
      </c>
      <c r="E1073" s="14" t="str">
        <f>IFERROR(__xludf.DUMMYFUNCTION("""COMPUTED_VALUE"""),"Nadian (BT)")</f>
        <v>Nadian (BT)</v>
      </c>
      <c r="F1073" s="14" t="str">
        <f>IFERROR(__xludf.DUMMYFUNCTION("""COMPUTED_VALUE"""),"SELESAI (VIA PERMOHONAN)")</f>
        <v>SELESAI (VIA PERMOHONAN)</v>
      </c>
      <c r="G1073" s="17">
        <f>IFERROR(__xludf.DUMMYFUNCTION("""COMPUTED_VALUE"""),45699.65574210648)</f>
        <v>45699.65574</v>
      </c>
      <c r="H1073" s="14" t="str">
        <f>IFERROR(__xludf.DUMMYFUNCTION("""COMPUTED_VALUE"""),"Bu Eva (SU)")</f>
        <v>Bu Eva (SU)</v>
      </c>
      <c r="I1073" s="13" t="str">
        <f>IFERROR(__xludf.DUMMYFUNCTION("""COMPUTED_VALUE"""),"SELESAI (VIA PERMOHONAN)")</f>
        <v>SELESAI (VIA PERMOHONAN)</v>
      </c>
      <c r="J1073" s="17">
        <f>IFERROR(__xludf.DUMMYFUNCTION("""COMPUTED_VALUE"""),45700.64424096065)</f>
        <v>45700.64424</v>
      </c>
      <c r="K1073" s="13" t="str">
        <f>IFERROR(__xludf.DUMMYFUNCTION("""COMPUTED_VALUE"""),"Selesai")</f>
        <v>Selesai</v>
      </c>
      <c r="L1073" s="17">
        <f>IFERROR(__xludf.DUMMYFUNCTION("""COMPUTED_VALUE"""),45700.64424096065)</f>
        <v>45700.64424</v>
      </c>
      <c r="M1073" s="13"/>
      <c r="N1073" s="13" t="str">
        <f>IFERROR(__xludf.DUMMYFUNCTION("""COMPUTED_VALUE"""),"")</f>
        <v/>
      </c>
      <c r="O1073" s="13" t="str">
        <f t="shared" si="1"/>
        <v/>
      </c>
    </row>
    <row r="1074" ht="22.5" customHeight="1">
      <c r="B1074" s="13">
        <f>IFERROR(__xludf.DUMMYFUNCTION("""COMPUTED_VALUE"""),1069.0)</f>
        <v>1069</v>
      </c>
      <c r="C1074" s="13" t="str">
        <f>IFERROR(__xludf.DUMMYFUNCTION("""COMPUTED_VALUE"""),"M. 2296/SEPANG JAYA")</f>
        <v>M. 2296/SEPANG JAYA</v>
      </c>
      <c r="D1074" s="13" t="str">
        <f>IFERROR(__xludf.DUMMYFUNCTION("""COMPUTED_VALUE"""),"K/6/050225/3")</f>
        <v>K/6/050225/3</v>
      </c>
      <c r="E1074" s="14" t="str">
        <f>IFERROR(__xludf.DUMMYFUNCTION("""COMPUTED_VALUE"""),"Nadian (BT)")</f>
        <v>Nadian (BT)</v>
      </c>
      <c r="F1074" s="14" t="str">
        <f>IFERROR(__xludf.DUMMYFUNCTION("""COMPUTED_VALUE"""),"SELESAI (VIA PERMOHONAN)")</f>
        <v>SELESAI (VIA PERMOHONAN)</v>
      </c>
      <c r="G1074" s="17">
        <f>IFERROR(__xludf.DUMMYFUNCTION("""COMPUTED_VALUE"""),45699.65574210648)</f>
        <v>45699.65574</v>
      </c>
      <c r="H1074" s="14" t="str">
        <f>IFERROR(__xludf.DUMMYFUNCTION("""COMPUTED_VALUE"""),"Bu Eva (SU)")</f>
        <v>Bu Eva (SU)</v>
      </c>
      <c r="I1074" s="13" t="str">
        <f>IFERROR(__xludf.DUMMYFUNCTION("""COMPUTED_VALUE"""),"SELESAI (VIA PERMOHONAN)")</f>
        <v>SELESAI (VIA PERMOHONAN)</v>
      </c>
      <c r="J1074" s="17">
        <f>IFERROR(__xludf.DUMMYFUNCTION("""COMPUTED_VALUE"""),45700.64424096065)</f>
        <v>45700.64424</v>
      </c>
      <c r="K1074" s="13" t="str">
        <f>IFERROR(__xludf.DUMMYFUNCTION("""COMPUTED_VALUE"""),"Selesai")</f>
        <v>Selesai</v>
      </c>
      <c r="L1074" s="17">
        <f>IFERROR(__xludf.DUMMYFUNCTION("""COMPUTED_VALUE"""),45700.64424096065)</f>
        <v>45700.64424</v>
      </c>
      <c r="M1074" s="13"/>
      <c r="N1074" s="13" t="str">
        <f>IFERROR(__xludf.DUMMYFUNCTION("""COMPUTED_VALUE"""),"")</f>
        <v/>
      </c>
      <c r="O1074" s="13" t="str">
        <f t="shared" si="1"/>
        <v/>
      </c>
    </row>
    <row r="1075" ht="22.5" customHeight="1">
      <c r="B1075" s="13">
        <f>IFERROR(__xludf.DUMMYFUNCTION("""COMPUTED_VALUE"""),1070.0)</f>
        <v>1070</v>
      </c>
      <c r="C1075" s="13" t="str">
        <f>IFERROR(__xludf.DUMMYFUNCTION("""COMPUTED_VALUE"""),"M.2619/BERINGIN RAYA ")</f>
        <v>M.2619/BERINGIN RAYA </v>
      </c>
      <c r="D1075" s="13" t="str">
        <f>IFERROR(__xludf.DUMMYFUNCTION("""COMPUTED_VALUE"""),"K/29/070225/1")</f>
        <v>K/29/070225/1</v>
      </c>
      <c r="E1075" s="14" t="str">
        <f>IFERROR(__xludf.DUMMYFUNCTION("""COMPUTED_VALUE"""),"Nadian (BT)")</f>
        <v>Nadian (BT)</v>
      </c>
      <c r="F1075" s="14" t="str">
        <f>IFERROR(__xludf.DUMMYFUNCTION("""COMPUTED_VALUE"""),"SELESAI (VIA PERMOHONAN)")</f>
        <v>SELESAI (VIA PERMOHONAN)</v>
      </c>
      <c r="G1075" s="17">
        <f>IFERROR(__xludf.DUMMYFUNCTION("""COMPUTED_VALUE"""),45700.5937361574)</f>
        <v>45700.59374</v>
      </c>
      <c r="H1075" s="14" t="str">
        <f>IFERROR(__xludf.DUMMYFUNCTION("""COMPUTED_VALUE"""),"Bu Eva (SU)")</f>
        <v>Bu Eva (SU)</v>
      </c>
      <c r="I1075" s="13" t="str">
        <f>IFERROR(__xludf.DUMMYFUNCTION("""COMPUTED_VALUE"""),"SELESAI (VIA PERMOHONAN)")</f>
        <v>SELESAI (VIA PERMOHONAN)</v>
      </c>
      <c r="J1075" s="17">
        <f>IFERROR(__xludf.DUMMYFUNCTION("""COMPUTED_VALUE"""),45700.64424096065)</f>
        <v>45700.64424</v>
      </c>
      <c r="K1075" s="13" t="str">
        <f>IFERROR(__xludf.DUMMYFUNCTION("""COMPUTED_VALUE"""),"Selesai")</f>
        <v>Selesai</v>
      </c>
      <c r="L1075" s="17">
        <f>IFERROR(__xludf.DUMMYFUNCTION("""COMPUTED_VALUE"""),45700.64424096065)</f>
        <v>45700.64424</v>
      </c>
      <c r="M1075" s="13"/>
      <c r="N1075" s="13" t="str">
        <f>IFERROR(__xludf.DUMMYFUNCTION("""COMPUTED_VALUE"""),"")</f>
        <v/>
      </c>
      <c r="O1075" s="13" t="str">
        <f t="shared" si="1"/>
        <v/>
      </c>
    </row>
    <row r="1076" ht="22.5" customHeight="1">
      <c r="B1076" s="13">
        <f>IFERROR(__xludf.DUMMYFUNCTION("""COMPUTED_VALUE"""),1071.0)</f>
        <v>1071</v>
      </c>
      <c r="C1076" s="13" t="str">
        <f>IFERROR(__xludf.DUMMYFUNCTION("""COMPUTED_VALUE"""),"M.509/PERUMNAS WAY HALIM")</f>
        <v>M.509/PERUMNAS WAY HALIM</v>
      </c>
      <c r="D1076" s="13" t="str">
        <f>IFERROR(__xludf.DUMMYFUNCTION("""COMPUTED_VALUE"""),"K/21/230125/1")</f>
        <v>K/21/230125/1</v>
      </c>
      <c r="E1076" s="14" t="str">
        <f>IFERROR(__xludf.DUMMYFUNCTION("""COMPUTED_VALUE"""),"Nadian (BT)")</f>
        <v>Nadian (BT)</v>
      </c>
      <c r="F1076" s="14" t="str">
        <f>IFERROR(__xludf.DUMMYFUNCTION("""COMPUTED_VALUE"""),"SELESAI (VIA PERMOHONAN)")</f>
        <v>SELESAI (VIA PERMOHONAN)</v>
      </c>
      <c r="G1076" s="17">
        <f>IFERROR(__xludf.DUMMYFUNCTION("""COMPUTED_VALUE"""),45700.59376403935)</f>
        <v>45700.59376</v>
      </c>
      <c r="H1076" s="14" t="str">
        <f>IFERROR(__xludf.DUMMYFUNCTION("""COMPUTED_VALUE"""),"Bu Eva (SU)")</f>
        <v>Bu Eva (SU)</v>
      </c>
      <c r="I1076" s="13" t="str">
        <f>IFERROR(__xludf.DUMMYFUNCTION("""COMPUTED_VALUE"""),"SELESAI (VIA PERMOHONAN)")</f>
        <v>SELESAI (VIA PERMOHONAN)</v>
      </c>
      <c r="J1076" s="17">
        <f>IFERROR(__xludf.DUMMYFUNCTION("""COMPUTED_VALUE"""),45700.64424096065)</f>
        <v>45700.64424</v>
      </c>
      <c r="K1076" s="13" t="str">
        <f>IFERROR(__xludf.DUMMYFUNCTION("""COMPUTED_VALUE"""),"Selesai")</f>
        <v>Selesai</v>
      </c>
      <c r="L1076" s="17">
        <f>IFERROR(__xludf.DUMMYFUNCTION("""COMPUTED_VALUE"""),45700.64424096065)</f>
        <v>45700.64424</v>
      </c>
      <c r="M1076" s="13"/>
      <c r="N1076" s="13" t="str">
        <f>IFERROR(__xludf.DUMMYFUNCTION("""COMPUTED_VALUE"""),"")</f>
        <v/>
      </c>
      <c r="O1076" s="13" t="str">
        <f t="shared" si="1"/>
        <v/>
      </c>
    </row>
    <row r="1077" ht="22.5" customHeight="1">
      <c r="B1077" s="13">
        <f>IFERROR(__xludf.DUMMYFUNCTION("""COMPUTED_VALUE"""),1072.0)</f>
        <v>1072</v>
      </c>
      <c r="C1077" s="13" t="str">
        <f>IFERROR(__xludf.DUMMYFUNCTION("""COMPUTED_VALUE"""),"M. 2052/ Labuhan Ratu")</f>
        <v>M. 2052/ Labuhan Ratu</v>
      </c>
      <c r="D1077" s="13" t="str">
        <f>IFERROR(__xludf.DUMMYFUNCTION("""COMPUTED_VALUE"""),"K/26/171224/1")</f>
        <v>K/26/171224/1</v>
      </c>
      <c r="E1077" s="14" t="str">
        <f>IFERROR(__xludf.DUMMYFUNCTION("""COMPUTED_VALUE"""),"Nadian (BT)")</f>
        <v>Nadian (BT)</v>
      </c>
      <c r="F1077" s="14" t="str">
        <f>IFERROR(__xludf.DUMMYFUNCTION("""COMPUTED_VALUE"""),"SELESAI (VIA PERMOHONAN)")</f>
        <v>SELESAI (VIA PERMOHONAN)</v>
      </c>
      <c r="G1077" s="17">
        <f>IFERROR(__xludf.DUMMYFUNCTION("""COMPUTED_VALUE"""),45700.59376403935)</f>
        <v>45700.59376</v>
      </c>
      <c r="H1077" s="14" t="str">
        <f>IFERROR(__xludf.DUMMYFUNCTION("""COMPUTED_VALUE"""),"Bu Eva (SU)")</f>
        <v>Bu Eva (SU)</v>
      </c>
      <c r="I1077" s="13" t="str">
        <f>IFERROR(__xludf.DUMMYFUNCTION("""COMPUTED_VALUE"""),"SELESAI (VIA PERMOHONAN)")</f>
        <v>SELESAI (VIA PERMOHONAN)</v>
      </c>
      <c r="J1077" s="17">
        <f>IFERROR(__xludf.DUMMYFUNCTION("""COMPUTED_VALUE"""),45700.64424096065)</f>
        <v>45700.64424</v>
      </c>
      <c r="K1077" s="13" t="str">
        <f>IFERROR(__xludf.DUMMYFUNCTION("""COMPUTED_VALUE"""),"Selesai")</f>
        <v>Selesai</v>
      </c>
      <c r="L1077" s="17">
        <f>IFERROR(__xludf.DUMMYFUNCTION("""COMPUTED_VALUE"""),45700.64424096065)</f>
        <v>45700.64424</v>
      </c>
      <c r="M1077" s="13"/>
      <c r="N1077" s="13" t="str">
        <f>IFERROR(__xludf.DUMMYFUNCTION("""COMPUTED_VALUE"""),"")</f>
        <v/>
      </c>
      <c r="O1077" s="13" t="str">
        <f t="shared" si="1"/>
        <v/>
      </c>
    </row>
    <row r="1078" ht="22.5" customHeight="1">
      <c r="B1078" s="13">
        <f>IFERROR(__xludf.DUMMYFUNCTION("""COMPUTED_VALUE"""),1073.0)</f>
        <v>1073</v>
      </c>
      <c r="C1078" s="13" t="str">
        <f>IFERROR(__xludf.DUMMYFUNCTION("""COMPUTED_VALUE"""),"M. 16760/ Sukabumi")</f>
        <v>M. 16760/ Sukabumi</v>
      </c>
      <c r="D1078" s="13" t="str">
        <f>IFERROR(__xludf.DUMMYFUNCTION("""COMPUTED_VALUE"""),"K/28/050225/1")</f>
        <v>K/28/050225/1</v>
      </c>
      <c r="E1078" s="14" t="str">
        <f>IFERROR(__xludf.DUMMYFUNCTION("""COMPUTED_VALUE"""),"Nadian (BT)")</f>
        <v>Nadian (BT)</v>
      </c>
      <c r="F1078" s="14" t="str">
        <f>IFERROR(__xludf.DUMMYFUNCTION("""COMPUTED_VALUE"""),"SELESAI (VIA PERMOHONAN)")</f>
        <v>SELESAI (VIA PERMOHONAN)</v>
      </c>
      <c r="G1078" s="17">
        <f>IFERROR(__xludf.DUMMYFUNCTION("""COMPUTED_VALUE"""),45700.59376403935)</f>
        <v>45700.59376</v>
      </c>
      <c r="H1078" s="14" t="str">
        <f>IFERROR(__xludf.DUMMYFUNCTION("""COMPUTED_VALUE"""),"Bu Eva (SU)")</f>
        <v>Bu Eva (SU)</v>
      </c>
      <c r="I1078" s="13" t="str">
        <f>IFERROR(__xludf.DUMMYFUNCTION("""COMPUTED_VALUE"""),"SELESAI (VIA PERMOHONAN)")</f>
        <v>SELESAI (VIA PERMOHONAN)</v>
      </c>
      <c r="J1078" s="17">
        <f>IFERROR(__xludf.DUMMYFUNCTION("""COMPUTED_VALUE"""),45700.64424096065)</f>
        <v>45700.64424</v>
      </c>
      <c r="K1078" s="13" t="str">
        <f>IFERROR(__xludf.DUMMYFUNCTION("""COMPUTED_VALUE"""),"Selesai")</f>
        <v>Selesai</v>
      </c>
      <c r="L1078" s="17">
        <f>IFERROR(__xludf.DUMMYFUNCTION("""COMPUTED_VALUE"""),45700.64424096065)</f>
        <v>45700.64424</v>
      </c>
      <c r="M1078" s="13"/>
      <c r="N1078" s="13" t="str">
        <f>IFERROR(__xludf.DUMMYFUNCTION("""COMPUTED_VALUE"""),"")</f>
        <v/>
      </c>
      <c r="O1078" s="13" t="str">
        <f t="shared" si="1"/>
        <v/>
      </c>
    </row>
    <row r="1079" ht="22.5" customHeight="1">
      <c r="B1079" s="13">
        <f>IFERROR(__xludf.DUMMYFUNCTION("""COMPUTED_VALUE"""),1074.0)</f>
        <v>1074</v>
      </c>
      <c r="C1079" s="13" t="str">
        <f>IFERROR(__xludf.DUMMYFUNCTION("""COMPUTED_VALUE"""),"B. 607/ Sumber AGung")</f>
        <v>B. 607/ Sumber AGung</v>
      </c>
      <c r="D1079" s="13" t="str">
        <f>IFERROR(__xludf.DUMMYFUNCTION("""COMPUTED_VALUE"""),"K/32/070225/2")</f>
        <v>K/32/070225/2</v>
      </c>
      <c r="E1079" s="14" t="str">
        <f>IFERROR(__xludf.DUMMYFUNCTION("""COMPUTED_VALUE"""),"Nadian (BT)")</f>
        <v>Nadian (BT)</v>
      </c>
      <c r="F1079" s="14" t="str">
        <f>IFERROR(__xludf.DUMMYFUNCTION("""COMPUTED_VALUE"""),"SELESAI (VIA PERMOHONAN)")</f>
        <v>SELESAI (VIA PERMOHONAN)</v>
      </c>
      <c r="G1079" s="17">
        <f>IFERROR(__xludf.DUMMYFUNCTION("""COMPUTED_VALUE"""),45700.59376403935)</f>
        <v>45700.59376</v>
      </c>
      <c r="H1079" s="14" t="str">
        <f>IFERROR(__xludf.DUMMYFUNCTION("""COMPUTED_VALUE"""),"Bu Eva (SU)")</f>
        <v>Bu Eva (SU)</v>
      </c>
      <c r="I1079" s="13" t="str">
        <f>IFERROR(__xludf.DUMMYFUNCTION("""COMPUTED_VALUE"""),"SELESAI (VIA PERMOHONAN)")</f>
        <v>SELESAI (VIA PERMOHONAN)</v>
      </c>
      <c r="J1079" s="17">
        <f>IFERROR(__xludf.DUMMYFUNCTION("""COMPUTED_VALUE"""),45700.64424096065)</f>
        <v>45700.64424</v>
      </c>
      <c r="K1079" s="13" t="str">
        <f>IFERROR(__xludf.DUMMYFUNCTION("""COMPUTED_VALUE"""),"Selesai")</f>
        <v>Selesai</v>
      </c>
      <c r="L1079" s="17">
        <f>IFERROR(__xludf.DUMMYFUNCTION("""COMPUTED_VALUE"""),45700.64424096065)</f>
        <v>45700.64424</v>
      </c>
      <c r="M1079" s="13"/>
      <c r="N1079" s="13" t="str">
        <f>IFERROR(__xludf.DUMMYFUNCTION("""COMPUTED_VALUE"""),"")</f>
        <v/>
      </c>
      <c r="O1079" s="13" t="str">
        <f t="shared" si="1"/>
        <v/>
      </c>
    </row>
    <row r="1080" ht="22.5" customHeight="1">
      <c r="B1080" s="13">
        <f>IFERROR(__xludf.DUMMYFUNCTION("""COMPUTED_VALUE"""),1075.0)</f>
        <v>1075</v>
      </c>
      <c r="C1080" s="13" t="str">
        <f>IFERROR(__xludf.DUMMYFUNCTION("""COMPUTED_VALUE"""),"M.15026/SUKABUMI")</f>
        <v>M.15026/SUKABUMI</v>
      </c>
      <c r="D1080" s="13" t="str">
        <f>IFERROR(__xludf.DUMMYFUNCTION("""COMPUTED_VALUE"""),"K/4/060225/1")</f>
        <v>K/4/060225/1</v>
      </c>
      <c r="E1080" s="14" t="str">
        <f>IFERROR(__xludf.DUMMYFUNCTION("""COMPUTED_VALUE"""),"Nadian (BT)")</f>
        <v>Nadian (BT)</v>
      </c>
      <c r="F1080" s="14" t="str">
        <f>IFERROR(__xludf.DUMMYFUNCTION("""COMPUTED_VALUE"""),"SELESAI (VIA PERMOHONAN)")</f>
        <v>SELESAI (VIA PERMOHONAN)</v>
      </c>
      <c r="G1080" s="17">
        <f>IFERROR(__xludf.DUMMYFUNCTION("""COMPUTED_VALUE"""),45700.593790370374)</f>
        <v>45700.59379</v>
      </c>
      <c r="H1080" s="14" t="str">
        <f>IFERROR(__xludf.DUMMYFUNCTION("""COMPUTED_VALUE"""),"Bu Eva (SU)")</f>
        <v>Bu Eva (SU)</v>
      </c>
      <c r="I1080" s="13" t="str">
        <f>IFERROR(__xludf.DUMMYFUNCTION("""COMPUTED_VALUE"""),"SELESAI (VIA PERMOHONAN)")</f>
        <v>SELESAI (VIA PERMOHONAN)</v>
      </c>
      <c r="J1080" s="17">
        <f>IFERROR(__xludf.DUMMYFUNCTION("""COMPUTED_VALUE"""),45700.64424097222)</f>
        <v>45700.64424</v>
      </c>
      <c r="K1080" s="13" t="str">
        <f>IFERROR(__xludf.DUMMYFUNCTION("""COMPUTED_VALUE"""),"Selesai")</f>
        <v>Selesai</v>
      </c>
      <c r="L1080" s="17">
        <f>IFERROR(__xludf.DUMMYFUNCTION("""COMPUTED_VALUE"""),45700.64424097222)</f>
        <v>45700.64424</v>
      </c>
      <c r="M1080" s="13"/>
      <c r="N1080" s="13" t="str">
        <f>IFERROR(__xludf.DUMMYFUNCTION("""COMPUTED_VALUE"""),"")</f>
        <v/>
      </c>
      <c r="O1080" s="13" t="str">
        <f t="shared" si="1"/>
        <v/>
      </c>
    </row>
    <row r="1081" ht="22.5" customHeight="1">
      <c r="B1081" s="13">
        <f>IFERROR(__xludf.DUMMYFUNCTION("""COMPUTED_VALUE"""),1076.0)</f>
        <v>1076</v>
      </c>
      <c r="C1081" s="13" t="str">
        <f>IFERROR(__xludf.DUMMYFUNCTION("""COMPUTED_VALUE"""),"B.750/SUMUR PUTRI")</f>
        <v>B.750/SUMUR PUTRI</v>
      </c>
      <c r="D1081" s="13" t="str">
        <f>IFERROR(__xludf.DUMMYFUNCTION("""COMPUTED_VALUE"""),"K/17/060225/1")</f>
        <v>K/17/060225/1</v>
      </c>
      <c r="E1081" s="14" t="str">
        <f>IFERROR(__xludf.DUMMYFUNCTION("""COMPUTED_VALUE"""),"Nadian (BT)")</f>
        <v>Nadian (BT)</v>
      </c>
      <c r="F1081" s="14" t="str">
        <f>IFERROR(__xludf.DUMMYFUNCTION("""COMPUTED_VALUE"""),"SELESAI (VIA PERMOHONAN)")</f>
        <v>SELESAI (VIA PERMOHONAN)</v>
      </c>
      <c r="G1081" s="17">
        <f>IFERROR(__xludf.DUMMYFUNCTION("""COMPUTED_VALUE"""),45700.593790370374)</f>
        <v>45700.59379</v>
      </c>
      <c r="H1081" s="14" t="str">
        <f>IFERROR(__xludf.DUMMYFUNCTION("""COMPUTED_VALUE"""),"Bu Eva (SU)")</f>
        <v>Bu Eva (SU)</v>
      </c>
      <c r="I1081" s="13" t="str">
        <f>IFERROR(__xludf.DUMMYFUNCTION("""COMPUTED_VALUE"""),"SELESAI (VIA PERMOHONAN)")</f>
        <v>SELESAI (VIA PERMOHONAN)</v>
      </c>
      <c r="J1081" s="17">
        <f>IFERROR(__xludf.DUMMYFUNCTION("""COMPUTED_VALUE"""),45700.64435590278)</f>
        <v>45700.64436</v>
      </c>
      <c r="K1081" s="13" t="str">
        <f>IFERROR(__xludf.DUMMYFUNCTION("""COMPUTED_VALUE"""),"Selesai")</f>
        <v>Selesai</v>
      </c>
      <c r="L1081" s="17">
        <f>IFERROR(__xludf.DUMMYFUNCTION("""COMPUTED_VALUE"""),45700.64435590278)</f>
        <v>45700.64436</v>
      </c>
      <c r="M1081" s="13"/>
      <c r="N1081" s="13" t="str">
        <f>IFERROR(__xludf.DUMMYFUNCTION("""COMPUTED_VALUE"""),"")</f>
        <v/>
      </c>
      <c r="O1081" s="13" t="str">
        <f t="shared" si="1"/>
        <v/>
      </c>
    </row>
    <row r="1082" ht="22.5" customHeight="1">
      <c r="B1082" s="13">
        <f>IFERROR(__xludf.DUMMYFUNCTION("""COMPUTED_VALUE"""),1077.0)</f>
        <v>1077</v>
      </c>
      <c r="C1082" s="13" t="str">
        <f>IFERROR(__xludf.DUMMYFUNCTION("""COMPUTED_VALUE"""),"M.1440/LABUHAN RATU RAYA")</f>
        <v>M.1440/LABUHAN RATU RAYA</v>
      </c>
      <c r="D1082" s="13" t="str">
        <f>IFERROR(__xludf.DUMMYFUNCTION("""COMPUTED_VALUE"""),"K/47/050225/1")</f>
        <v>K/47/050225/1</v>
      </c>
      <c r="E1082" s="14" t="str">
        <f>IFERROR(__xludf.DUMMYFUNCTION("""COMPUTED_VALUE"""),"Nadian (BT)")</f>
        <v>Nadian (BT)</v>
      </c>
      <c r="F1082" s="14" t="str">
        <f>IFERROR(__xludf.DUMMYFUNCTION("""COMPUTED_VALUE"""),"SELESAI (VIA PERMOHONAN)")</f>
        <v>SELESAI (VIA PERMOHONAN)</v>
      </c>
      <c r="G1082" s="17">
        <f>IFERROR(__xludf.DUMMYFUNCTION("""COMPUTED_VALUE"""),45700.593790370374)</f>
        <v>45700.59379</v>
      </c>
      <c r="H1082" s="14" t="str">
        <f>IFERROR(__xludf.DUMMYFUNCTION("""COMPUTED_VALUE"""),"Bu Eva (SU)")</f>
        <v>Bu Eva (SU)</v>
      </c>
      <c r="I1082" s="13" t="str">
        <f>IFERROR(__xludf.DUMMYFUNCTION("""COMPUTED_VALUE"""),"SELESAI (VIA PERMOHONAN)")</f>
        <v>SELESAI (VIA PERMOHONAN)</v>
      </c>
      <c r="J1082" s="17">
        <f>IFERROR(__xludf.DUMMYFUNCTION("""COMPUTED_VALUE"""),45700.64435590278)</f>
        <v>45700.64436</v>
      </c>
      <c r="K1082" s="13" t="str">
        <f>IFERROR(__xludf.DUMMYFUNCTION("""COMPUTED_VALUE"""),"Selesai")</f>
        <v>Selesai</v>
      </c>
      <c r="L1082" s="17">
        <f>IFERROR(__xludf.DUMMYFUNCTION("""COMPUTED_VALUE"""),45700.64435590278)</f>
        <v>45700.64436</v>
      </c>
      <c r="M1082" s="13"/>
      <c r="N1082" s="13" t="str">
        <f>IFERROR(__xludf.DUMMYFUNCTION("""COMPUTED_VALUE"""),"")</f>
        <v/>
      </c>
      <c r="O1082" s="13" t="str">
        <f t="shared" si="1"/>
        <v/>
      </c>
    </row>
    <row r="1083" ht="22.5" customHeight="1">
      <c r="B1083" s="13">
        <f>IFERROR(__xludf.DUMMYFUNCTION("""COMPUTED_VALUE"""),1078.0)</f>
        <v>1078</v>
      </c>
      <c r="C1083" s="13" t="str">
        <f>IFERROR(__xludf.DUMMYFUNCTION("""COMPUTED_VALUE"""),"B.698/SUMBER AGUNG")</f>
        <v>B.698/SUMBER AGUNG</v>
      </c>
      <c r="D1083" s="13" t="str">
        <f>IFERROR(__xludf.DUMMYFUNCTION("""COMPUTED_VALUE"""),"K/8/050225/2")</f>
        <v>K/8/050225/2</v>
      </c>
      <c r="E1083" s="14" t="str">
        <f>IFERROR(__xludf.DUMMYFUNCTION("""COMPUTED_VALUE"""),"Nadian (BT)")</f>
        <v>Nadian (BT)</v>
      </c>
      <c r="F1083" s="14" t="str">
        <f>IFERROR(__xludf.DUMMYFUNCTION("""COMPUTED_VALUE"""),"SELESAI (VIA PERMOHONAN)")</f>
        <v>SELESAI (VIA PERMOHONAN)</v>
      </c>
      <c r="G1083" s="17">
        <f>IFERROR(__xludf.DUMMYFUNCTION("""COMPUTED_VALUE"""),45700.593790370374)</f>
        <v>45700.59379</v>
      </c>
      <c r="H1083" s="14" t="str">
        <f>IFERROR(__xludf.DUMMYFUNCTION("""COMPUTED_VALUE"""),"Bu Eva (SU)")</f>
        <v>Bu Eva (SU)</v>
      </c>
      <c r="I1083" s="13" t="str">
        <f>IFERROR(__xludf.DUMMYFUNCTION("""COMPUTED_VALUE"""),"SELESAI (VIA PERMOHONAN)")</f>
        <v>SELESAI (VIA PERMOHONAN)</v>
      </c>
      <c r="J1083" s="17">
        <f>IFERROR(__xludf.DUMMYFUNCTION("""COMPUTED_VALUE"""),45700.64435590278)</f>
        <v>45700.64436</v>
      </c>
      <c r="K1083" s="13" t="str">
        <f>IFERROR(__xludf.DUMMYFUNCTION("""COMPUTED_VALUE"""),"Selesai")</f>
        <v>Selesai</v>
      </c>
      <c r="L1083" s="17">
        <f>IFERROR(__xludf.DUMMYFUNCTION("""COMPUTED_VALUE"""),45700.64435590278)</f>
        <v>45700.64436</v>
      </c>
      <c r="M1083" s="13"/>
      <c r="N1083" s="13" t="str">
        <f>IFERROR(__xludf.DUMMYFUNCTION("""COMPUTED_VALUE"""),"")</f>
        <v/>
      </c>
      <c r="O1083" s="13" t="str">
        <f t="shared" si="1"/>
        <v/>
      </c>
    </row>
    <row r="1084" ht="22.5" customHeight="1">
      <c r="B1084" s="13">
        <f>IFERROR(__xludf.DUMMYFUNCTION("""COMPUTED_VALUE"""),1079.0)</f>
        <v>1079</v>
      </c>
      <c r="C1084" s="13" t="str">
        <f>IFERROR(__xludf.DUMMYFUNCTION("""COMPUTED_VALUE"""),"M. 3567/SUKADANA HAM")</f>
        <v>M. 3567/SUKADANA HAM</v>
      </c>
      <c r="D1084" s="13" t="str">
        <f>IFERROR(__xludf.DUMMYFUNCTION("""COMPUTED_VALUE"""),"K/6/070225/1")</f>
        <v>K/6/070225/1</v>
      </c>
      <c r="E1084" s="14" t="str">
        <f>IFERROR(__xludf.DUMMYFUNCTION("""COMPUTED_VALUE"""),"Nadian (BT)")</f>
        <v>Nadian (BT)</v>
      </c>
      <c r="F1084" s="14" t="str">
        <f>IFERROR(__xludf.DUMMYFUNCTION("""COMPUTED_VALUE"""),"SELESAI (VIA PERMOHONAN)")</f>
        <v>SELESAI (VIA PERMOHONAN)</v>
      </c>
      <c r="G1084" s="17">
        <f>IFERROR(__xludf.DUMMYFUNCTION("""COMPUTED_VALUE"""),45700.59381144676)</f>
        <v>45700.59381</v>
      </c>
      <c r="H1084" s="14" t="str">
        <f>IFERROR(__xludf.DUMMYFUNCTION("""COMPUTED_VALUE"""),"Bu Eva (SU)")</f>
        <v>Bu Eva (SU)</v>
      </c>
      <c r="I1084" s="13" t="str">
        <f>IFERROR(__xludf.DUMMYFUNCTION("""COMPUTED_VALUE"""),"SELESAI (VIA PERMOHONAN)")</f>
        <v>SELESAI (VIA PERMOHONAN)</v>
      </c>
      <c r="J1084" s="17">
        <f>IFERROR(__xludf.DUMMYFUNCTION("""COMPUTED_VALUE"""),45700.64435590278)</f>
        <v>45700.64436</v>
      </c>
      <c r="K1084" s="13" t="str">
        <f>IFERROR(__xludf.DUMMYFUNCTION("""COMPUTED_VALUE"""),"Selesai")</f>
        <v>Selesai</v>
      </c>
      <c r="L1084" s="17">
        <f>IFERROR(__xludf.DUMMYFUNCTION("""COMPUTED_VALUE"""),45700.64435590278)</f>
        <v>45700.64436</v>
      </c>
      <c r="M1084" s="13"/>
      <c r="N1084" s="13" t="str">
        <f>IFERROR(__xludf.DUMMYFUNCTION("""COMPUTED_VALUE"""),"")</f>
        <v/>
      </c>
      <c r="O1084" s="13" t="str">
        <f t="shared" si="1"/>
        <v/>
      </c>
    </row>
    <row r="1085" ht="22.5" customHeight="1">
      <c r="B1085" s="13">
        <f>IFERROR(__xludf.DUMMYFUNCTION("""COMPUTED_VALUE"""),1080.0)</f>
        <v>1080</v>
      </c>
      <c r="C1085" s="13" t="str">
        <f>IFERROR(__xludf.DUMMYFUNCTION("""COMPUTED_VALUE"""),"B.716/SUMUR PUTRI")</f>
        <v>B.716/SUMUR PUTRI</v>
      </c>
      <c r="D1085" s="13" t="str">
        <f>IFERROR(__xludf.DUMMYFUNCTION("""COMPUTED_VALUE"""),"K/18/070225/5")</f>
        <v>K/18/070225/5</v>
      </c>
      <c r="E1085" s="14" t="str">
        <f>IFERROR(__xludf.DUMMYFUNCTION("""COMPUTED_VALUE"""),"Nadian (BT)")</f>
        <v>Nadian (BT)</v>
      </c>
      <c r="F1085" s="14" t="str">
        <f>IFERROR(__xludf.DUMMYFUNCTION("""COMPUTED_VALUE"""),"SELESAI (VIA PERMOHONAN)")</f>
        <v>SELESAI (VIA PERMOHONAN)</v>
      </c>
      <c r="G1085" s="17">
        <f>IFERROR(__xludf.DUMMYFUNCTION("""COMPUTED_VALUE"""),45700.59381144676)</f>
        <v>45700.59381</v>
      </c>
      <c r="H1085" s="14" t="str">
        <f>IFERROR(__xludf.DUMMYFUNCTION("""COMPUTED_VALUE"""),"Bu Eva (SU)")</f>
        <v>Bu Eva (SU)</v>
      </c>
      <c r="I1085" s="13" t="str">
        <f>IFERROR(__xludf.DUMMYFUNCTION("""COMPUTED_VALUE"""),"SELESAI (VIA PERMOHONAN)")</f>
        <v>SELESAI (VIA PERMOHONAN)</v>
      </c>
      <c r="J1085" s="17">
        <f>IFERROR(__xludf.DUMMYFUNCTION("""COMPUTED_VALUE"""),45700.64435590278)</f>
        <v>45700.64436</v>
      </c>
      <c r="K1085" s="13" t="str">
        <f>IFERROR(__xludf.DUMMYFUNCTION("""COMPUTED_VALUE"""),"Selesai")</f>
        <v>Selesai</v>
      </c>
      <c r="L1085" s="17">
        <f>IFERROR(__xludf.DUMMYFUNCTION("""COMPUTED_VALUE"""),45700.64435590278)</f>
        <v>45700.64436</v>
      </c>
      <c r="M1085" s="13"/>
      <c r="N1085" s="13" t="str">
        <f>IFERROR(__xludf.DUMMYFUNCTION("""COMPUTED_VALUE"""),"")</f>
        <v/>
      </c>
      <c r="O1085" s="13" t="str">
        <f t="shared" si="1"/>
        <v/>
      </c>
    </row>
    <row r="1086" ht="22.5" customHeight="1">
      <c r="B1086" s="13">
        <f>IFERROR(__xludf.DUMMYFUNCTION("""COMPUTED_VALUE"""),1081.0)</f>
        <v>1081</v>
      </c>
      <c r="C1086" s="13" t="str">
        <f>IFERROR(__xludf.DUMMYFUNCTION("""COMPUTED_VALUE"""),"M. 487/ Kupang Teba")</f>
        <v>M. 487/ Kupang Teba</v>
      </c>
      <c r="D1086" s="13" t="str">
        <f>IFERROR(__xludf.DUMMYFUNCTION("""COMPUTED_VALUE"""),"K/29/201224/1")</f>
        <v>K/29/201224/1</v>
      </c>
      <c r="E1086" s="14" t="str">
        <f>IFERROR(__xludf.DUMMYFUNCTION("""COMPUTED_VALUE"""),"Afriza (BT)")</f>
        <v>Afriza (BT)</v>
      </c>
      <c r="F1086" s="14" t="str">
        <f>IFERROR(__xludf.DUMMYFUNCTION("""COMPUTED_VALUE"""),"SELESAI (VIA PERMOHONAN)")</f>
        <v>SELESAI (VIA PERMOHONAN)</v>
      </c>
      <c r="G1086" s="17">
        <f>IFERROR(__xludf.DUMMYFUNCTION("""COMPUTED_VALUE"""),45700.756970567134)</f>
        <v>45700.75697</v>
      </c>
      <c r="H1086" s="14" t="str">
        <f>IFERROR(__xludf.DUMMYFUNCTION("""COMPUTED_VALUE"""),"Bu Eva (SU)")</f>
        <v>Bu Eva (SU)</v>
      </c>
      <c r="I1086" s="13" t="str">
        <f>IFERROR(__xludf.DUMMYFUNCTION("""COMPUTED_VALUE"""),"SELESAI (VIA PERMOHONAN)")</f>
        <v>SELESAI (VIA PERMOHONAN)</v>
      </c>
      <c r="J1086" s="17">
        <f>IFERROR(__xludf.DUMMYFUNCTION("""COMPUTED_VALUE"""),45700.75701778935)</f>
        <v>45700.75702</v>
      </c>
      <c r="K1086" s="13" t="str">
        <f>IFERROR(__xludf.DUMMYFUNCTION("""COMPUTED_VALUE"""),"Selesai")</f>
        <v>Selesai</v>
      </c>
      <c r="L1086" s="17">
        <f>IFERROR(__xludf.DUMMYFUNCTION("""COMPUTED_VALUE"""),45700.75701778935)</f>
        <v>45700.75702</v>
      </c>
      <c r="M1086" s="13"/>
      <c r="N1086" s="13" t="str">
        <f>IFERROR(__xludf.DUMMYFUNCTION("""COMPUTED_VALUE"""),"")</f>
        <v/>
      </c>
      <c r="O1086" s="13" t="str">
        <f t="shared" si="1"/>
        <v/>
      </c>
    </row>
    <row r="1087" ht="22.5" customHeight="1">
      <c r="B1087" s="13">
        <f>IFERROR(__xludf.DUMMYFUNCTION("""COMPUTED_VALUE"""),1082.0)</f>
        <v>1082</v>
      </c>
      <c r="C1087" s="13" t="str">
        <f>IFERROR(__xludf.DUMMYFUNCTION("""COMPUTED_VALUE"""),"M.995/SUKARAME BARU")</f>
        <v>M.995/SUKARAME BARU</v>
      </c>
      <c r="D1087" s="13" t="str">
        <f>IFERROR(__xludf.DUMMYFUNCTION("""COMPUTED_VALUE"""),"K/62/100225/1")</f>
        <v>K/62/100225/1</v>
      </c>
      <c r="E1087" s="14" t="str">
        <f>IFERROR(__xludf.DUMMYFUNCTION("""COMPUTED_VALUE"""),"Nadian (BT)")</f>
        <v>Nadian (BT)</v>
      </c>
      <c r="F1087" s="14" t="str">
        <f>IFERROR(__xludf.DUMMYFUNCTION("""COMPUTED_VALUE"""),"SELESAI (VIA PERMOHONAN)")</f>
        <v>SELESAI (VIA PERMOHONAN)</v>
      </c>
      <c r="G1087" s="17">
        <f>IFERROR(__xludf.DUMMYFUNCTION("""COMPUTED_VALUE"""),45701.64184788194)</f>
        <v>45701.64185</v>
      </c>
      <c r="H1087" s="14" t="str">
        <f>IFERROR(__xludf.DUMMYFUNCTION("""COMPUTED_VALUE"""),"Bu Eva (SU)")</f>
        <v>Bu Eva (SU)</v>
      </c>
      <c r="I1087" s="13" t="str">
        <f>IFERROR(__xludf.DUMMYFUNCTION("""COMPUTED_VALUE"""),"SELESAI (VIA PERMOHONAN)")</f>
        <v>SELESAI (VIA PERMOHONAN)</v>
      </c>
      <c r="J1087" s="17">
        <f>IFERROR(__xludf.DUMMYFUNCTION("""COMPUTED_VALUE"""),45702.46546451389)</f>
        <v>45702.46546</v>
      </c>
      <c r="K1087" s="13" t="str">
        <f>IFERROR(__xludf.DUMMYFUNCTION("""COMPUTED_VALUE"""),"Selesai")</f>
        <v>Selesai</v>
      </c>
      <c r="L1087" s="17">
        <f>IFERROR(__xludf.DUMMYFUNCTION("""COMPUTED_VALUE"""),45702.46546451389)</f>
        <v>45702.46546</v>
      </c>
      <c r="M1087" s="13"/>
      <c r="N1087" s="13" t="str">
        <f>IFERROR(__xludf.DUMMYFUNCTION("""COMPUTED_VALUE"""),"")</f>
        <v/>
      </c>
      <c r="O1087" s="13" t="str">
        <f t="shared" si="1"/>
        <v/>
      </c>
    </row>
    <row r="1088" ht="22.5" customHeight="1">
      <c r="B1088" s="13">
        <f>IFERROR(__xludf.DUMMYFUNCTION("""COMPUTED_VALUE"""),1083.0)</f>
        <v>1083</v>
      </c>
      <c r="C1088" s="13" t="str">
        <f>IFERROR(__xludf.DUMMYFUNCTION("""COMPUTED_VALUE"""),"M.2172/KOTA KARANG")</f>
        <v>M.2172/KOTA KARANG</v>
      </c>
      <c r="D1088" s="13" t="str">
        <f>IFERROR(__xludf.DUMMYFUNCTION("""COMPUTED_VALUE"""),"K/14/110225/1")</f>
        <v>K/14/110225/1</v>
      </c>
      <c r="E1088" s="14" t="str">
        <f>IFERROR(__xludf.DUMMYFUNCTION("""COMPUTED_VALUE"""),"Nadian (BT)")</f>
        <v>Nadian (BT)</v>
      </c>
      <c r="F1088" s="14" t="str">
        <f>IFERROR(__xludf.DUMMYFUNCTION("""COMPUTED_VALUE"""),"SELESAI (VIA PERMOHONAN)")</f>
        <v>SELESAI (VIA PERMOHONAN)</v>
      </c>
      <c r="G1088" s="17">
        <f>IFERROR(__xludf.DUMMYFUNCTION("""COMPUTED_VALUE"""),45701.64218108796)</f>
        <v>45701.64218</v>
      </c>
      <c r="H1088" s="14" t="str">
        <f>IFERROR(__xludf.DUMMYFUNCTION("""COMPUTED_VALUE"""),"Bu Eva (SU)")</f>
        <v>Bu Eva (SU)</v>
      </c>
      <c r="I1088" s="13" t="str">
        <f>IFERROR(__xludf.DUMMYFUNCTION("""COMPUTED_VALUE"""),"SELESAI (VIA PERMOHONAN)")</f>
        <v>SELESAI (VIA PERMOHONAN)</v>
      </c>
      <c r="J1088" s="17">
        <f>IFERROR(__xludf.DUMMYFUNCTION("""COMPUTED_VALUE"""),45702.465558275464)</f>
        <v>45702.46556</v>
      </c>
      <c r="K1088" s="13" t="str">
        <f>IFERROR(__xludf.DUMMYFUNCTION("""COMPUTED_VALUE"""),"Selesai")</f>
        <v>Selesai</v>
      </c>
      <c r="L1088" s="17">
        <f>IFERROR(__xludf.DUMMYFUNCTION("""COMPUTED_VALUE"""),45702.465558275464)</f>
        <v>45702.46556</v>
      </c>
      <c r="M1088" s="13"/>
      <c r="N1088" s="13" t="str">
        <f>IFERROR(__xludf.DUMMYFUNCTION("""COMPUTED_VALUE"""),"")</f>
        <v/>
      </c>
      <c r="O1088" s="13" t="str">
        <f t="shared" si="1"/>
        <v/>
      </c>
    </row>
    <row r="1089" ht="22.5" customHeight="1">
      <c r="B1089" s="13">
        <f>IFERROR(__xludf.DUMMYFUNCTION("""COMPUTED_VALUE"""),1084.0)</f>
        <v>1084</v>
      </c>
      <c r="C1089" s="13" t="str">
        <f>IFERROR(__xludf.DUMMYFUNCTION("""COMPUTED_VALUE"""),"M. 1364/ Durian Payung")</f>
        <v>M. 1364/ Durian Payung</v>
      </c>
      <c r="D1089" s="13" t="str">
        <f>IFERROR(__xludf.DUMMYFUNCTION("""COMPUTED_VALUE"""),"K/10/100225/1")</f>
        <v>K/10/100225/1</v>
      </c>
      <c r="E1089" s="14" t="str">
        <f>IFERROR(__xludf.DUMMYFUNCTION("""COMPUTED_VALUE"""),"Nadian (BT)")</f>
        <v>Nadian (BT)</v>
      </c>
      <c r="F1089" s="14" t="str">
        <f>IFERROR(__xludf.DUMMYFUNCTION("""COMPUTED_VALUE"""),"SELESAI (VIA PERMOHONAN)")</f>
        <v>SELESAI (VIA PERMOHONAN)</v>
      </c>
      <c r="G1089" s="17">
        <f>IFERROR(__xludf.DUMMYFUNCTION("""COMPUTED_VALUE"""),45701.64218108796)</f>
        <v>45701.64218</v>
      </c>
      <c r="H1089" s="14" t="str">
        <f>IFERROR(__xludf.DUMMYFUNCTION("""COMPUTED_VALUE"""),"Bu Eva (SU)")</f>
        <v>Bu Eva (SU)</v>
      </c>
      <c r="I1089" s="13" t="str">
        <f>IFERROR(__xludf.DUMMYFUNCTION("""COMPUTED_VALUE"""),"SELESAI (VIA PERMOHONAN)")</f>
        <v>SELESAI (VIA PERMOHONAN)</v>
      </c>
      <c r="J1089" s="17">
        <f>IFERROR(__xludf.DUMMYFUNCTION("""COMPUTED_VALUE"""),45702.465558275464)</f>
        <v>45702.46556</v>
      </c>
      <c r="K1089" s="13" t="str">
        <f>IFERROR(__xludf.DUMMYFUNCTION("""COMPUTED_VALUE"""),"Selesai")</f>
        <v>Selesai</v>
      </c>
      <c r="L1089" s="17">
        <f>IFERROR(__xludf.DUMMYFUNCTION("""COMPUTED_VALUE"""),45702.465558275464)</f>
        <v>45702.46556</v>
      </c>
      <c r="M1089" s="13"/>
      <c r="N1089" s="13" t="str">
        <f>IFERROR(__xludf.DUMMYFUNCTION("""COMPUTED_VALUE"""),"")</f>
        <v/>
      </c>
      <c r="O1089" s="13" t="str">
        <f t="shared" si="1"/>
        <v/>
      </c>
    </row>
    <row r="1090" ht="22.5" customHeight="1">
      <c r="B1090" s="13">
        <f>IFERROR(__xludf.DUMMYFUNCTION("""COMPUTED_VALUE"""),1085.0)</f>
        <v>1085</v>
      </c>
      <c r="C1090" s="13" t="str">
        <f>IFERROR(__xludf.DUMMYFUNCTION("""COMPUTED_VALUE"""),"M. 292/ K B K ")</f>
        <v>M. 292/ K B K </v>
      </c>
      <c r="D1090" s="13" t="str">
        <f>IFERROR(__xludf.DUMMYFUNCTION("""COMPUTED_VALUE"""),"K/33/100225/1")</f>
        <v>K/33/100225/1</v>
      </c>
      <c r="E1090" s="14" t="str">
        <f>IFERROR(__xludf.DUMMYFUNCTION("""COMPUTED_VALUE"""),"Nadian (BT)")</f>
        <v>Nadian (BT)</v>
      </c>
      <c r="F1090" s="14" t="str">
        <f>IFERROR(__xludf.DUMMYFUNCTION("""COMPUTED_VALUE"""),"SELESAI (VIA PERMOHONAN)")</f>
        <v>SELESAI (VIA PERMOHONAN)</v>
      </c>
      <c r="G1090" s="17">
        <f>IFERROR(__xludf.DUMMYFUNCTION("""COMPUTED_VALUE"""),45701.64218108796)</f>
        <v>45701.64218</v>
      </c>
      <c r="H1090" s="14" t="str">
        <f>IFERROR(__xludf.DUMMYFUNCTION("""COMPUTED_VALUE"""),"Bu Eva (SU)")</f>
        <v>Bu Eva (SU)</v>
      </c>
      <c r="I1090" s="13" t="str">
        <f>IFERROR(__xludf.DUMMYFUNCTION("""COMPUTED_VALUE"""),"SELESAI (VIA PERMOHONAN)")</f>
        <v>SELESAI (VIA PERMOHONAN)</v>
      </c>
      <c r="J1090" s="17">
        <f>IFERROR(__xludf.DUMMYFUNCTION("""COMPUTED_VALUE"""),45702.465558275464)</f>
        <v>45702.46556</v>
      </c>
      <c r="K1090" s="13" t="str">
        <f>IFERROR(__xludf.DUMMYFUNCTION("""COMPUTED_VALUE"""),"Selesai")</f>
        <v>Selesai</v>
      </c>
      <c r="L1090" s="17">
        <f>IFERROR(__xludf.DUMMYFUNCTION("""COMPUTED_VALUE"""),45702.465558275464)</f>
        <v>45702.46556</v>
      </c>
      <c r="M1090" s="13"/>
      <c r="N1090" s="13" t="str">
        <f>IFERROR(__xludf.DUMMYFUNCTION("""COMPUTED_VALUE"""),"")</f>
        <v/>
      </c>
      <c r="O1090" s="13" t="str">
        <f t="shared" si="1"/>
        <v/>
      </c>
    </row>
    <row r="1091" ht="22.5" customHeight="1">
      <c r="B1091" s="13">
        <f>IFERROR(__xludf.DUMMYFUNCTION("""COMPUTED_VALUE"""),1086.0)</f>
        <v>1086</v>
      </c>
      <c r="C1091" s="13" t="str">
        <f>IFERROR(__xludf.DUMMYFUNCTION("""COMPUTED_VALUE"""),"M.1351/WAY HALIM PERMAI ")</f>
        <v>M.1351/WAY HALIM PERMAI </v>
      </c>
      <c r="D1091" s="13" t="str">
        <f>IFERROR(__xludf.DUMMYFUNCTION("""COMPUTED_VALUE"""),"K/19/070225/1")</f>
        <v>K/19/070225/1</v>
      </c>
      <c r="E1091" s="14" t="str">
        <f>IFERROR(__xludf.DUMMYFUNCTION("""COMPUTED_VALUE"""),"Nadian (BT)")</f>
        <v>Nadian (BT)</v>
      </c>
      <c r="F1091" s="14" t="str">
        <f>IFERROR(__xludf.DUMMYFUNCTION("""COMPUTED_VALUE"""),"SELESAI (VIA PERMOHONAN)")</f>
        <v>SELESAI (VIA PERMOHONAN)</v>
      </c>
      <c r="G1091" s="17">
        <f>IFERROR(__xludf.DUMMYFUNCTION("""COMPUTED_VALUE"""),45701.64218109954)</f>
        <v>45701.64218</v>
      </c>
      <c r="H1091" s="14" t="str">
        <f>IFERROR(__xludf.DUMMYFUNCTION("""COMPUTED_VALUE"""),"Bu Eva (SU)")</f>
        <v>Bu Eva (SU)</v>
      </c>
      <c r="I1091" s="13" t="str">
        <f>IFERROR(__xludf.DUMMYFUNCTION("""COMPUTED_VALUE"""),"SELESAI (VIA PERMOHONAN)")</f>
        <v>SELESAI (VIA PERMOHONAN)</v>
      </c>
      <c r="J1091" s="17">
        <f>IFERROR(__xludf.DUMMYFUNCTION("""COMPUTED_VALUE"""),45702.465558275464)</f>
        <v>45702.46556</v>
      </c>
      <c r="K1091" s="13" t="str">
        <f>IFERROR(__xludf.DUMMYFUNCTION("""COMPUTED_VALUE"""),"Selesai")</f>
        <v>Selesai</v>
      </c>
      <c r="L1091" s="17">
        <f>IFERROR(__xludf.DUMMYFUNCTION("""COMPUTED_VALUE"""),45702.465558275464)</f>
        <v>45702.46556</v>
      </c>
      <c r="M1091" s="13"/>
      <c r="N1091" s="13" t="str">
        <f>IFERROR(__xludf.DUMMYFUNCTION("""COMPUTED_VALUE"""),"")</f>
        <v/>
      </c>
      <c r="O1091" s="13" t="str">
        <f t="shared" si="1"/>
        <v/>
      </c>
    </row>
    <row r="1092" ht="22.5" customHeight="1">
      <c r="B1092" s="13">
        <f>IFERROR(__xludf.DUMMYFUNCTION("""COMPUTED_VALUE"""),1087.0)</f>
        <v>1087</v>
      </c>
      <c r="C1092" s="13" t="str">
        <f>IFERROR(__xludf.DUMMYFUNCTION("""COMPUTED_VALUE"""),"M. 19502/ Sukarame")</f>
        <v>M. 19502/ Sukarame</v>
      </c>
      <c r="D1092" s="13" t="str">
        <f>IFERROR(__xludf.DUMMYFUNCTION("""COMPUTED_VALUE"""),"K/26/060225/5")</f>
        <v>K/26/060225/5</v>
      </c>
      <c r="E1092" s="14" t="str">
        <f>IFERROR(__xludf.DUMMYFUNCTION("""COMPUTED_VALUE"""),"Nadian (BT)")</f>
        <v>Nadian (BT)</v>
      </c>
      <c r="F1092" s="14" t="str">
        <f>IFERROR(__xludf.DUMMYFUNCTION("""COMPUTED_VALUE"""),"SELESAI (VIA PERMOHONAN)")</f>
        <v>SELESAI (VIA PERMOHONAN)</v>
      </c>
      <c r="G1092" s="17">
        <f>IFERROR(__xludf.DUMMYFUNCTION("""COMPUTED_VALUE"""),45701.64218109954)</f>
        <v>45701.64218</v>
      </c>
      <c r="H1092" s="14" t="str">
        <f>IFERROR(__xludf.DUMMYFUNCTION("""COMPUTED_VALUE"""),"Bu Eva (SU)")</f>
        <v>Bu Eva (SU)</v>
      </c>
      <c r="I1092" s="13" t="str">
        <f>IFERROR(__xludf.DUMMYFUNCTION("""COMPUTED_VALUE"""),"SELESAI (VIA PERMOHONAN)")</f>
        <v>SELESAI (VIA PERMOHONAN)</v>
      </c>
      <c r="J1092" s="17">
        <f>IFERROR(__xludf.DUMMYFUNCTION("""COMPUTED_VALUE"""),45702.465558275464)</f>
        <v>45702.46556</v>
      </c>
      <c r="K1092" s="13" t="str">
        <f>IFERROR(__xludf.DUMMYFUNCTION("""COMPUTED_VALUE"""),"Selesai")</f>
        <v>Selesai</v>
      </c>
      <c r="L1092" s="17">
        <f>IFERROR(__xludf.DUMMYFUNCTION("""COMPUTED_VALUE"""),45702.465558275464)</f>
        <v>45702.46556</v>
      </c>
      <c r="M1092" s="13"/>
      <c r="N1092" s="13" t="str">
        <f>IFERROR(__xludf.DUMMYFUNCTION("""COMPUTED_VALUE"""),"")</f>
        <v/>
      </c>
      <c r="O1092" s="13" t="str">
        <f t="shared" si="1"/>
        <v/>
      </c>
    </row>
    <row r="1093" ht="22.5" customHeight="1">
      <c r="B1093" s="13">
        <f>IFERROR(__xludf.DUMMYFUNCTION("""COMPUTED_VALUE"""),1088.0)</f>
        <v>1088</v>
      </c>
      <c r="C1093" s="13" t="str">
        <f>IFERROR(__xludf.DUMMYFUNCTION("""COMPUTED_VALUE"""),"M. 2267/ Kota Baru")</f>
        <v>M. 2267/ Kota Baru</v>
      </c>
      <c r="D1093" s="13" t="str">
        <f>IFERROR(__xludf.DUMMYFUNCTION("""COMPUTED_VALUE"""),"K/26/110225/2")</f>
        <v>K/26/110225/2</v>
      </c>
      <c r="E1093" s="14" t="str">
        <f>IFERROR(__xludf.DUMMYFUNCTION("""COMPUTED_VALUE"""),"Nadian (BT)")</f>
        <v>Nadian (BT)</v>
      </c>
      <c r="F1093" s="14" t="str">
        <f>IFERROR(__xludf.DUMMYFUNCTION("""COMPUTED_VALUE"""),"SELESAI (VIA PERMOHONAN)")</f>
        <v>SELESAI (VIA PERMOHONAN)</v>
      </c>
      <c r="G1093" s="17">
        <f>IFERROR(__xludf.DUMMYFUNCTION("""COMPUTED_VALUE"""),45701.642201724535)</f>
        <v>45701.6422</v>
      </c>
      <c r="H1093" s="14" t="str">
        <f>IFERROR(__xludf.DUMMYFUNCTION("""COMPUTED_VALUE"""),"Bu Eva (SU)")</f>
        <v>Bu Eva (SU)</v>
      </c>
      <c r="I1093" s="13" t="str">
        <f>IFERROR(__xludf.DUMMYFUNCTION("""COMPUTED_VALUE"""),"SELESAI (VIA PERMOHONAN)")</f>
        <v>SELESAI (VIA PERMOHONAN)</v>
      </c>
      <c r="J1093" s="17">
        <f>IFERROR(__xludf.DUMMYFUNCTION("""COMPUTED_VALUE"""),45702.465558275464)</f>
        <v>45702.46556</v>
      </c>
      <c r="K1093" s="13" t="str">
        <f>IFERROR(__xludf.DUMMYFUNCTION("""COMPUTED_VALUE"""),"Selesai")</f>
        <v>Selesai</v>
      </c>
      <c r="L1093" s="17">
        <f>IFERROR(__xludf.DUMMYFUNCTION("""COMPUTED_VALUE"""),45702.465558275464)</f>
        <v>45702.46556</v>
      </c>
      <c r="M1093" s="13"/>
      <c r="N1093" s="13" t="str">
        <f>IFERROR(__xludf.DUMMYFUNCTION("""COMPUTED_VALUE"""),"")</f>
        <v/>
      </c>
      <c r="O1093" s="13" t="str">
        <f t="shared" si="1"/>
        <v/>
      </c>
    </row>
    <row r="1094" ht="22.5" customHeight="1">
      <c r="B1094" s="13">
        <f>IFERROR(__xludf.DUMMYFUNCTION("""COMPUTED_VALUE"""),1089.0)</f>
        <v>1089</v>
      </c>
      <c r="C1094" s="13" t="str">
        <f>IFERROR(__xludf.DUMMYFUNCTION("""COMPUTED_VALUE"""),"M. 11047/ Segala Mider")</f>
        <v>M. 11047/ Segala Mider</v>
      </c>
      <c r="D1094" s="13" t="str">
        <f>IFERROR(__xludf.DUMMYFUNCTION("""COMPUTED_VALUE"""),"K/21/040225/1")</f>
        <v>K/21/040225/1</v>
      </c>
      <c r="E1094" s="14" t="str">
        <f>IFERROR(__xludf.DUMMYFUNCTION("""COMPUTED_VALUE"""),"Nadian (BT)")</f>
        <v>Nadian (BT)</v>
      </c>
      <c r="F1094" s="14" t="str">
        <f>IFERROR(__xludf.DUMMYFUNCTION("""COMPUTED_VALUE"""),"SELESAI (VIA PERMOHONAN)")</f>
        <v>SELESAI (VIA PERMOHONAN)</v>
      </c>
      <c r="G1094" s="17">
        <f>IFERROR(__xludf.DUMMYFUNCTION("""COMPUTED_VALUE"""),45701.642201724535)</f>
        <v>45701.6422</v>
      </c>
      <c r="H1094" s="14" t="str">
        <f>IFERROR(__xludf.DUMMYFUNCTION("""COMPUTED_VALUE"""),"Bu Eva (SU)")</f>
        <v>Bu Eva (SU)</v>
      </c>
      <c r="I1094" s="13" t="str">
        <f>IFERROR(__xludf.DUMMYFUNCTION("""COMPUTED_VALUE"""),"SELESAI (VIA PERMOHONAN)")</f>
        <v>SELESAI (VIA PERMOHONAN)</v>
      </c>
      <c r="J1094" s="17">
        <f>IFERROR(__xludf.DUMMYFUNCTION("""COMPUTED_VALUE"""),45702.465558275464)</f>
        <v>45702.46556</v>
      </c>
      <c r="K1094" s="13" t="str">
        <f>IFERROR(__xludf.DUMMYFUNCTION("""COMPUTED_VALUE"""),"Selesai")</f>
        <v>Selesai</v>
      </c>
      <c r="L1094" s="17">
        <f>IFERROR(__xludf.DUMMYFUNCTION("""COMPUTED_VALUE"""),45702.465558275464)</f>
        <v>45702.46556</v>
      </c>
      <c r="M1094" s="13"/>
      <c r="N1094" s="13" t="str">
        <f>IFERROR(__xludf.DUMMYFUNCTION("""COMPUTED_VALUE"""),"")</f>
        <v/>
      </c>
      <c r="O1094" s="13" t="str">
        <f t="shared" si="1"/>
        <v/>
      </c>
    </row>
    <row r="1095" ht="22.5" customHeight="1">
      <c r="B1095" s="13">
        <f>IFERROR(__xludf.DUMMYFUNCTION("""COMPUTED_VALUE"""),1090.0)</f>
        <v>1090</v>
      </c>
      <c r="C1095" s="13" t="str">
        <f>IFERROR(__xludf.DUMMYFUNCTION("""COMPUTED_VALUE"""),"M. 11862/ Segala Mider")</f>
        <v>M. 11862/ Segala Mider</v>
      </c>
      <c r="D1095" s="13" t="str">
        <f>IFERROR(__xludf.DUMMYFUNCTION("""COMPUTED_VALUE"""),"K/11/030225/1")</f>
        <v>K/11/030225/1</v>
      </c>
      <c r="E1095" s="14" t="str">
        <f>IFERROR(__xludf.DUMMYFUNCTION("""COMPUTED_VALUE"""),"Nadian (BT)")</f>
        <v>Nadian (BT)</v>
      </c>
      <c r="F1095" s="14" t="str">
        <f>IFERROR(__xludf.DUMMYFUNCTION("""COMPUTED_VALUE"""),"SELESAI (VIA PERMOHONAN)")</f>
        <v>SELESAI (VIA PERMOHONAN)</v>
      </c>
      <c r="G1095" s="17">
        <f>IFERROR(__xludf.DUMMYFUNCTION("""COMPUTED_VALUE"""),45701.642201724535)</f>
        <v>45701.6422</v>
      </c>
      <c r="H1095" s="14" t="str">
        <f>IFERROR(__xludf.DUMMYFUNCTION("""COMPUTED_VALUE"""),"Bu Eva (SU)")</f>
        <v>Bu Eva (SU)</v>
      </c>
      <c r="I1095" s="13" t="str">
        <f>IFERROR(__xludf.DUMMYFUNCTION("""COMPUTED_VALUE"""),"SELESAI (VIA PERMOHONAN)")</f>
        <v>SELESAI (VIA PERMOHONAN)</v>
      </c>
      <c r="J1095" s="17">
        <f>IFERROR(__xludf.DUMMYFUNCTION("""COMPUTED_VALUE"""),45702.465558275464)</f>
        <v>45702.46556</v>
      </c>
      <c r="K1095" s="13" t="str">
        <f>IFERROR(__xludf.DUMMYFUNCTION("""COMPUTED_VALUE"""),"Selesai")</f>
        <v>Selesai</v>
      </c>
      <c r="L1095" s="17">
        <f>IFERROR(__xludf.DUMMYFUNCTION("""COMPUTED_VALUE"""),45702.465558275464)</f>
        <v>45702.46556</v>
      </c>
      <c r="M1095" s="13"/>
      <c r="N1095" s="13" t="str">
        <f>IFERROR(__xludf.DUMMYFUNCTION("""COMPUTED_VALUE"""),"")</f>
        <v/>
      </c>
      <c r="O1095" s="13" t="str">
        <f t="shared" si="1"/>
        <v/>
      </c>
    </row>
    <row r="1096" ht="22.5" customHeight="1">
      <c r="B1096" s="13">
        <f>IFERROR(__xludf.DUMMYFUNCTION("""COMPUTED_VALUE"""),1091.0)</f>
        <v>1091</v>
      </c>
      <c r="C1096" s="13" t="str">
        <f>IFERROR(__xludf.DUMMYFUNCTION("""COMPUTED_VALUE"""),"M.13633/SUKABUMI")</f>
        <v>M.13633/SUKABUMI</v>
      </c>
      <c r="D1096" s="13" t="str">
        <f>IFERROR(__xludf.DUMMYFUNCTION("""COMPUTED_VALUE"""),"K/5/100225/1")</f>
        <v>K/5/100225/1</v>
      </c>
      <c r="E1096" s="14" t="str">
        <f>IFERROR(__xludf.DUMMYFUNCTION("""COMPUTED_VALUE"""),"Nadian (BT)")</f>
        <v>Nadian (BT)</v>
      </c>
      <c r="F1096" s="14" t="str">
        <f>IFERROR(__xludf.DUMMYFUNCTION("""COMPUTED_VALUE"""),"SELESAI (VIA PERMOHONAN)")</f>
        <v>SELESAI (VIA PERMOHONAN)</v>
      </c>
      <c r="G1096" s="17">
        <f>IFERROR(__xludf.DUMMYFUNCTION("""COMPUTED_VALUE"""),45701.642201724535)</f>
        <v>45701.6422</v>
      </c>
      <c r="H1096" s="14" t="str">
        <f>IFERROR(__xludf.DUMMYFUNCTION("""COMPUTED_VALUE"""),"Bu Eva (SU)")</f>
        <v>Bu Eva (SU)</v>
      </c>
      <c r="I1096" s="13" t="str">
        <f>IFERROR(__xludf.DUMMYFUNCTION("""COMPUTED_VALUE"""),"SELESAI (VIA PERMOHONAN)")</f>
        <v>SELESAI (VIA PERMOHONAN)</v>
      </c>
      <c r="J1096" s="17">
        <f>IFERROR(__xludf.DUMMYFUNCTION("""COMPUTED_VALUE"""),45702.46561248843)</f>
        <v>45702.46561</v>
      </c>
      <c r="K1096" s="13" t="str">
        <f>IFERROR(__xludf.DUMMYFUNCTION("""COMPUTED_VALUE"""),"Selesai")</f>
        <v>Selesai</v>
      </c>
      <c r="L1096" s="17">
        <f>IFERROR(__xludf.DUMMYFUNCTION("""COMPUTED_VALUE"""),45702.46561248843)</f>
        <v>45702.46561</v>
      </c>
      <c r="M1096" s="13"/>
      <c r="N1096" s="13" t="str">
        <f>IFERROR(__xludf.DUMMYFUNCTION("""COMPUTED_VALUE"""),"")</f>
        <v/>
      </c>
      <c r="O1096" s="13" t="str">
        <f t="shared" si="1"/>
        <v/>
      </c>
    </row>
    <row r="1097" ht="22.5" customHeight="1">
      <c r="B1097" s="13">
        <f>IFERROR(__xludf.DUMMYFUNCTION("""COMPUTED_VALUE"""),1092.0)</f>
        <v>1092</v>
      </c>
      <c r="C1097" s="13" t="str">
        <f>IFERROR(__xludf.DUMMYFUNCTION("""COMPUTED_VALUE"""),"M.1802/RAJABASA JAYA")</f>
        <v>M.1802/RAJABASA JAYA</v>
      </c>
      <c r="D1097" s="13" t="str">
        <f>IFERROR(__xludf.DUMMYFUNCTION("""COMPUTED_VALUE"""),"K/39/100225/1")</f>
        <v>K/39/100225/1</v>
      </c>
      <c r="E1097" s="14" t="str">
        <f>IFERROR(__xludf.DUMMYFUNCTION("""COMPUTED_VALUE"""),"Nadian (BT)")</f>
        <v>Nadian (BT)</v>
      </c>
      <c r="F1097" s="14" t="str">
        <f>IFERROR(__xludf.DUMMYFUNCTION("""COMPUTED_VALUE"""),"SELESAI (VIA PERMOHONAN)")</f>
        <v>SELESAI (VIA PERMOHONAN)</v>
      </c>
      <c r="G1097" s="17">
        <f>IFERROR(__xludf.DUMMYFUNCTION("""COMPUTED_VALUE"""),45701.642201724535)</f>
        <v>45701.6422</v>
      </c>
      <c r="H1097" s="14" t="str">
        <f>IFERROR(__xludf.DUMMYFUNCTION("""COMPUTED_VALUE"""),"Bu Eva (SU)")</f>
        <v>Bu Eva (SU)</v>
      </c>
      <c r="I1097" s="13" t="str">
        <f>IFERROR(__xludf.DUMMYFUNCTION("""COMPUTED_VALUE"""),"SELESAI (VIA PERMOHONAN)")</f>
        <v>SELESAI (VIA PERMOHONAN)</v>
      </c>
      <c r="J1097" s="17">
        <f>IFERROR(__xludf.DUMMYFUNCTION("""COMPUTED_VALUE"""),45702.46561248843)</f>
        <v>45702.46561</v>
      </c>
      <c r="K1097" s="13" t="str">
        <f>IFERROR(__xludf.DUMMYFUNCTION("""COMPUTED_VALUE"""),"Selesai")</f>
        <v>Selesai</v>
      </c>
      <c r="L1097" s="17">
        <f>IFERROR(__xludf.DUMMYFUNCTION("""COMPUTED_VALUE"""),45702.46561248843)</f>
        <v>45702.46561</v>
      </c>
      <c r="M1097" s="13"/>
      <c r="N1097" s="13" t="str">
        <f>IFERROR(__xludf.DUMMYFUNCTION("""COMPUTED_VALUE"""),"")</f>
        <v/>
      </c>
      <c r="O1097" s="13" t="str">
        <f t="shared" si="1"/>
        <v/>
      </c>
    </row>
    <row r="1098" ht="22.5" customHeight="1">
      <c r="B1098" s="13">
        <f>IFERROR(__xludf.DUMMYFUNCTION("""COMPUTED_VALUE"""),1093.0)</f>
        <v>1093</v>
      </c>
      <c r="C1098" s="13" t="str">
        <f>IFERROR(__xludf.DUMMYFUNCTION("""COMPUTED_VALUE"""),"M. 1875/RAJABASA JAYA")</f>
        <v>M. 1875/RAJABASA JAYA</v>
      </c>
      <c r="D1098" s="13" t="str">
        <f>IFERROR(__xludf.DUMMYFUNCTION("""COMPUTED_VALUE"""),"K/54/100225/1")</f>
        <v>K/54/100225/1</v>
      </c>
      <c r="E1098" s="14" t="str">
        <f>IFERROR(__xludf.DUMMYFUNCTION("""COMPUTED_VALUE"""),"Nadian (BT)")</f>
        <v>Nadian (BT)</v>
      </c>
      <c r="F1098" s="14" t="str">
        <f>IFERROR(__xludf.DUMMYFUNCTION("""COMPUTED_VALUE"""),"SELESAI (VIA PERMOHONAN)")</f>
        <v>SELESAI (VIA PERMOHONAN)</v>
      </c>
      <c r="G1098" s="17">
        <f>IFERROR(__xludf.DUMMYFUNCTION("""COMPUTED_VALUE"""),45701.642201724535)</f>
        <v>45701.6422</v>
      </c>
      <c r="H1098" s="14" t="str">
        <f>IFERROR(__xludf.DUMMYFUNCTION("""COMPUTED_VALUE"""),"Bu Eva (SU)")</f>
        <v>Bu Eva (SU)</v>
      </c>
      <c r="I1098" s="13" t="str">
        <f>IFERROR(__xludf.DUMMYFUNCTION("""COMPUTED_VALUE"""),"SELESAI (VIA PERMOHONAN)")</f>
        <v>SELESAI (VIA PERMOHONAN)</v>
      </c>
      <c r="J1098" s="17">
        <f>IFERROR(__xludf.DUMMYFUNCTION("""COMPUTED_VALUE"""),45702.46561248843)</f>
        <v>45702.46561</v>
      </c>
      <c r="K1098" s="13" t="str">
        <f>IFERROR(__xludf.DUMMYFUNCTION("""COMPUTED_VALUE"""),"Selesai")</f>
        <v>Selesai</v>
      </c>
      <c r="L1098" s="17">
        <f>IFERROR(__xludf.DUMMYFUNCTION("""COMPUTED_VALUE"""),45702.46561248843)</f>
        <v>45702.46561</v>
      </c>
      <c r="M1098" s="13"/>
      <c r="N1098" s="13" t="str">
        <f>IFERROR(__xludf.DUMMYFUNCTION("""COMPUTED_VALUE"""),"")</f>
        <v/>
      </c>
      <c r="O1098" s="13" t="str">
        <f t="shared" si="1"/>
        <v/>
      </c>
    </row>
    <row r="1099" ht="22.5" customHeight="1">
      <c r="B1099" s="13">
        <f>IFERROR(__xludf.DUMMYFUNCTION("""COMPUTED_VALUE"""),1094.0)</f>
        <v>1094</v>
      </c>
      <c r="C1099" s="13" t="str">
        <f>IFERROR(__xludf.DUMMYFUNCTION("""COMPUTED_VALUE"""),"M. 1608/TANJUNG SENANG")</f>
        <v>M. 1608/TANJUNG SENANG</v>
      </c>
      <c r="D1099" s="13" t="str">
        <f>IFERROR(__xludf.DUMMYFUNCTION("""COMPUTED_VALUE"""),"K/13/050225/3")</f>
        <v>K/13/050225/3</v>
      </c>
      <c r="E1099" s="14" t="str">
        <f>IFERROR(__xludf.DUMMYFUNCTION("""COMPUTED_VALUE"""),"Nadian (BT)")</f>
        <v>Nadian (BT)</v>
      </c>
      <c r="F1099" s="14" t="str">
        <f>IFERROR(__xludf.DUMMYFUNCTION("""COMPUTED_VALUE"""),"SELESAI (VIA PERMOHONAN)")</f>
        <v>SELESAI (VIA PERMOHONAN)</v>
      </c>
      <c r="G1099" s="17">
        <f>IFERROR(__xludf.DUMMYFUNCTION("""COMPUTED_VALUE"""),45701.642201724535)</f>
        <v>45701.6422</v>
      </c>
      <c r="H1099" s="14" t="str">
        <f>IFERROR(__xludf.DUMMYFUNCTION("""COMPUTED_VALUE"""),"Bu Eva (SU)")</f>
        <v>Bu Eva (SU)</v>
      </c>
      <c r="I1099" s="13" t="str">
        <f>IFERROR(__xludf.DUMMYFUNCTION("""COMPUTED_VALUE"""),"SELESAI (VIA PERMOHONAN)")</f>
        <v>SELESAI (VIA PERMOHONAN)</v>
      </c>
      <c r="J1099" s="17">
        <f>IFERROR(__xludf.DUMMYFUNCTION("""COMPUTED_VALUE"""),45702.465612500004)</f>
        <v>45702.46561</v>
      </c>
      <c r="K1099" s="13" t="str">
        <f>IFERROR(__xludf.DUMMYFUNCTION("""COMPUTED_VALUE"""),"Selesai")</f>
        <v>Selesai</v>
      </c>
      <c r="L1099" s="17">
        <f>IFERROR(__xludf.DUMMYFUNCTION("""COMPUTED_VALUE"""),45702.465612500004)</f>
        <v>45702.46561</v>
      </c>
      <c r="M1099" s="13"/>
      <c r="N1099" s="13" t="str">
        <f>IFERROR(__xludf.DUMMYFUNCTION("""COMPUTED_VALUE"""),"")</f>
        <v/>
      </c>
      <c r="O1099" s="13" t="str">
        <f t="shared" si="1"/>
        <v/>
      </c>
    </row>
    <row r="1100" ht="22.5" customHeight="1">
      <c r="B1100" s="13">
        <f>IFERROR(__xludf.DUMMYFUNCTION("""COMPUTED_VALUE"""),1095.0)</f>
        <v>1095</v>
      </c>
      <c r="C1100" s="13" t="str">
        <f>IFERROR(__xludf.DUMMYFUNCTION("""COMPUTED_VALUE"""),"M.2295/SEPANG JAYA")</f>
        <v>M.2295/SEPANG JAYA</v>
      </c>
      <c r="D1100" s="13" t="str">
        <f>IFERROR(__xludf.DUMMYFUNCTION("""COMPUTED_VALUE"""),"K/5/050225/2")</f>
        <v>K/5/050225/2</v>
      </c>
      <c r="E1100" s="14" t="str">
        <f>IFERROR(__xludf.DUMMYFUNCTION("""COMPUTED_VALUE"""),"Nadian (BT)")</f>
        <v>Nadian (BT)</v>
      </c>
      <c r="F1100" s="14" t="str">
        <f>IFERROR(__xludf.DUMMYFUNCTION("""COMPUTED_VALUE"""),"SELESAI (VIA PERMOHONAN)")</f>
        <v>SELESAI (VIA PERMOHONAN)</v>
      </c>
      <c r="G1100" s="17">
        <f>IFERROR(__xludf.DUMMYFUNCTION("""COMPUTED_VALUE"""),45701.642201724535)</f>
        <v>45701.6422</v>
      </c>
      <c r="H1100" s="14" t="str">
        <f>IFERROR(__xludf.DUMMYFUNCTION("""COMPUTED_VALUE"""),"Bu Eva (SU)")</f>
        <v>Bu Eva (SU)</v>
      </c>
      <c r="I1100" s="13" t="str">
        <f>IFERROR(__xludf.DUMMYFUNCTION("""COMPUTED_VALUE"""),"SELESAI (VIA PERMOHONAN)")</f>
        <v>SELESAI (VIA PERMOHONAN)</v>
      </c>
      <c r="J1100" s="17">
        <f>IFERROR(__xludf.DUMMYFUNCTION("""COMPUTED_VALUE"""),45702.465612500004)</f>
        <v>45702.46561</v>
      </c>
      <c r="K1100" s="13" t="str">
        <f>IFERROR(__xludf.DUMMYFUNCTION("""COMPUTED_VALUE"""),"Selesai")</f>
        <v>Selesai</v>
      </c>
      <c r="L1100" s="17">
        <f>IFERROR(__xludf.DUMMYFUNCTION("""COMPUTED_VALUE"""),45702.465612500004)</f>
        <v>45702.46561</v>
      </c>
      <c r="M1100" s="13"/>
      <c r="N1100" s="13" t="str">
        <f>IFERROR(__xludf.DUMMYFUNCTION("""COMPUTED_VALUE"""),"")</f>
        <v/>
      </c>
      <c r="O1100" s="13" t="str">
        <f t="shared" si="1"/>
        <v/>
      </c>
    </row>
    <row r="1101" ht="22.5" customHeight="1">
      <c r="B1101" s="13">
        <f>IFERROR(__xludf.DUMMYFUNCTION("""COMPUTED_VALUE"""),1096.0)</f>
        <v>1096</v>
      </c>
      <c r="C1101" s="13" t="str">
        <f>IFERROR(__xludf.DUMMYFUNCTION("""COMPUTED_VALUE"""),"M.2722/SUMBERREJO")</f>
        <v>M.2722/SUMBERREJO</v>
      </c>
      <c r="D1101" s="13" t="str">
        <f>IFERROR(__xludf.DUMMYFUNCTION("""COMPUTED_VALUE"""),"K/43/050225/1")</f>
        <v>K/43/050225/1</v>
      </c>
      <c r="E1101" s="14" t="str">
        <f>IFERROR(__xludf.DUMMYFUNCTION("""COMPUTED_VALUE"""),"Nadian (BT)")</f>
        <v>Nadian (BT)</v>
      </c>
      <c r="F1101" s="14" t="str">
        <f>IFERROR(__xludf.DUMMYFUNCTION("""COMPUTED_VALUE"""),"SELESAI (VIA PERMOHONAN)")</f>
        <v>SELESAI (VIA PERMOHONAN)</v>
      </c>
      <c r="G1101" s="17">
        <f>IFERROR(__xludf.DUMMYFUNCTION("""COMPUTED_VALUE"""),45701.64222409722)</f>
        <v>45701.64222</v>
      </c>
      <c r="H1101" s="14" t="str">
        <f>IFERROR(__xludf.DUMMYFUNCTION("""COMPUTED_VALUE"""),"Bu Eva (SU)")</f>
        <v>Bu Eva (SU)</v>
      </c>
      <c r="I1101" s="13" t="str">
        <f>IFERROR(__xludf.DUMMYFUNCTION("""COMPUTED_VALUE"""),"SELESAI (VIA PERMOHONAN)")</f>
        <v>SELESAI (VIA PERMOHONAN)</v>
      </c>
      <c r="J1101" s="17">
        <f>IFERROR(__xludf.DUMMYFUNCTION("""COMPUTED_VALUE"""),45702.465612500004)</f>
        <v>45702.46561</v>
      </c>
      <c r="K1101" s="13" t="str">
        <f>IFERROR(__xludf.DUMMYFUNCTION("""COMPUTED_VALUE"""),"Selesai")</f>
        <v>Selesai</v>
      </c>
      <c r="L1101" s="17">
        <f>IFERROR(__xludf.DUMMYFUNCTION("""COMPUTED_VALUE"""),45702.465612500004)</f>
        <v>45702.46561</v>
      </c>
      <c r="M1101" s="13"/>
      <c r="N1101" s="13" t="str">
        <f>IFERROR(__xludf.DUMMYFUNCTION("""COMPUTED_VALUE"""),"")</f>
        <v/>
      </c>
      <c r="O1101" s="13" t="str">
        <f t="shared" si="1"/>
        <v/>
      </c>
    </row>
    <row r="1102" ht="22.5" customHeight="1">
      <c r="B1102" s="13">
        <f>IFERROR(__xludf.DUMMYFUNCTION("""COMPUTED_VALUE"""),1097.0)</f>
        <v>1097</v>
      </c>
      <c r="C1102" s="13" t="str">
        <f>IFERROR(__xludf.DUMMYFUNCTION("""COMPUTED_VALUE"""),"M.578/KUPANG RAYA")</f>
        <v>M.578/KUPANG RAYA</v>
      </c>
      <c r="D1102" s="13" t="str">
        <f>IFERROR(__xludf.DUMMYFUNCTION("""COMPUTED_VALUE"""),"K/28/060225/1")</f>
        <v>K/28/060225/1</v>
      </c>
      <c r="E1102" s="14" t="str">
        <f>IFERROR(__xludf.DUMMYFUNCTION("""COMPUTED_VALUE"""),"Nadian (BT)")</f>
        <v>Nadian (BT)</v>
      </c>
      <c r="F1102" s="14" t="str">
        <f>IFERROR(__xludf.DUMMYFUNCTION("""COMPUTED_VALUE"""),"SELESAI (VIA PERMOHONAN)")</f>
        <v>SELESAI (VIA PERMOHONAN)</v>
      </c>
      <c r="G1102" s="17">
        <f>IFERROR(__xludf.DUMMYFUNCTION("""COMPUTED_VALUE"""),45701.64222409722)</f>
        <v>45701.64222</v>
      </c>
      <c r="H1102" s="14" t="str">
        <f>IFERROR(__xludf.DUMMYFUNCTION("""COMPUTED_VALUE"""),"Bu Eva (SU)")</f>
        <v>Bu Eva (SU)</v>
      </c>
      <c r="I1102" s="13" t="str">
        <f>IFERROR(__xludf.DUMMYFUNCTION("""COMPUTED_VALUE"""),"SELESAI (VIA PERMOHONAN)")</f>
        <v>SELESAI (VIA PERMOHONAN)</v>
      </c>
      <c r="J1102" s="17">
        <f>IFERROR(__xludf.DUMMYFUNCTION("""COMPUTED_VALUE"""),45702.465612500004)</f>
        <v>45702.46561</v>
      </c>
      <c r="K1102" s="13" t="str">
        <f>IFERROR(__xludf.DUMMYFUNCTION("""COMPUTED_VALUE"""),"Selesai")</f>
        <v>Selesai</v>
      </c>
      <c r="L1102" s="17">
        <f>IFERROR(__xludf.DUMMYFUNCTION("""COMPUTED_VALUE"""),45702.465612500004)</f>
        <v>45702.46561</v>
      </c>
      <c r="M1102" s="13"/>
      <c r="N1102" s="13" t="str">
        <f>IFERROR(__xludf.DUMMYFUNCTION("""COMPUTED_VALUE"""),"")</f>
        <v/>
      </c>
      <c r="O1102" s="13" t="str">
        <f t="shared" si="1"/>
        <v/>
      </c>
    </row>
    <row r="1103" ht="22.5" customHeight="1">
      <c r="B1103" s="13">
        <f>IFERROR(__xludf.DUMMYFUNCTION("""COMPUTED_VALUE"""),1098.0)</f>
        <v>1098</v>
      </c>
      <c r="C1103" s="13" t="str">
        <f>IFERROR(__xludf.DUMMYFUNCTION("""COMPUTED_VALUE"""),"M.12771/TANJUNG BARU, M.12772/TANJUNG BARU")</f>
        <v>M.12771/TANJUNG BARU, M.12772/TANJUNG BARU</v>
      </c>
      <c r="D1103" s="13" t="str">
        <f>IFERROR(__xludf.DUMMYFUNCTION("""COMPUTED_VALUE"""),"K/24/100225/2")</f>
        <v>K/24/100225/2</v>
      </c>
      <c r="E1103" s="14" t="str">
        <f>IFERROR(__xludf.DUMMYFUNCTION("""COMPUTED_VALUE"""),"Nadian (BT)")</f>
        <v>Nadian (BT)</v>
      </c>
      <c r="F1103" s="14" t="str">
        <f>IFERROR(__xludf.DUMMYFUNCTION("""COMPUTED_VALUE"""),"SELESAI (VIA PERMOHONAN)")</f>
        <v>SELESAI (VIA PERMOHONAN)</v>
      </c>
      <c r="G1103" s="17">
        <f>IFERROR(__xludf.DUMMYFUNCTION("""COMPUTED_VALUE"""),45701.64222409722)</f>
        <v>45701.64222</v>
      </c>
      <c r="H1103" s="14" t="str">
        <f>IFERROR(__xludf.DUMMYFUNCTION("""COMPUTED_VALUE"""),"Bu Eva (SU)")</f>
        <v>Bu Eva (SU)</v>
      </c>
      <c r="I1103" s="13" t="str">
        <f>IFERROR(__xludf.DUMMYFUNCTION("""COMPUTED_VALUE"""),"SELESAI (VIA PERMOHONAN)")</f>
        <v>SELESAI (VIA PERMOHONAN)</v>
      </c>
      <c r="J1103" s="17">
        <f>IFERROR(__xludf.DUMMYFUNCTION("""COMPUTED_VALUE"""),45702.465612500004)</f>
        <v>45702.46561</v>
      </c>
      <c r="K1103" s="13" t="str">
        <f>IFERROR(__xludf.DUMMYFUNCTION("""COMPUTED_VALUE"""),"Selesai")</f>
        <v>Selesai</v>
      </c>
      <c r="L1103" s="17">
        <f>IFERROR(__xludf.DUMMYFUNCTION("""COMPUTED_VALUE"""),45702.465612500004)</f>
        <v>45702.46561</v>
      </c>
      <c r="M1103" s="13"/>
      <c r="N1103" s="13" t="str">
        <f>IFERROR(__xludf.DUMMYFUNCTION("""COMPUTED_VALUE"""),"")</f>
        <v/>
      </c>
      <c r="O1103" s="13" t="str">
        <f t="shared" si="1"/>
        <v/>
      </c>
    </row>
    <row r="1104" ht="22.5" customHeight="1">
      <c r="B1104" s="13">
        <f>IFERROR(__xludf.DUMMYFUNCTION("""COMPUTED_VALUE"""),1099.0)</f>
        <v>1099</v>
      </c>
      <c r="C1104" s="13" t="str">
        <f>IFERROR(__xludf.DUMMYFUNCTION("""COMPUTED_VALUE"""),"M.1596/PINANG JAYA")</f>
        <v>M.1596/PINANG JAYA</v>
      </c>
      <c r="D1104" s="13" t="str">
        <f>IFERROR(__xludf.DUMMYFUNCTION("""COMPUTED_VALUE"""),"K/27/100225/1")</f>
        <v>K/27/100225/1</v>
      </c>
      <c r="E1104" s="14" t="str">
        <f>IFERROR(__xludf.DUMMYFUNCTION("""COMPUTED_VALUE"""),"Nadian (BT)")</f>
        <v>Nadian (BT)</v>
      </c>
      <c r="F1104" s="14" t="str">
        <f>IFERROR(__xludf.DUMMYFUNCTION("""COMPUTED_VALUE"""),"SELESAI (VIA PERMOHONAN)")</f>
        <v>SELESAI (VIA PERMOHONAN)</v>
      </c>
      <c r="G1104" s="17">
        <f>IFERROR(__xludf.DUMMYFUNCTION("""COMPUTED_VALUE"""),45701.64222409722)</f>
        <v>45701.64222</v>
      </c>
      <c r="H1104" s="14" t="str">
        <f>IFERROR(__xludf.DUMMYFUNCTION("""COMPUTED_VALUE"""),"Bu Eva (SU)")</f>
        <v>Bu Eva (SU)</v>
      </c>
      <c r="I1104" s="13" t="str">
        <f>IFERROR(__xludf.DUMMYFUNCTION("""COMPUTED_VALUE"""),"SELESAI (VIA PERMOHONAN)")</f>
        <v>SELESAI (VIA PERMOHONAN)</v>
      </c>
      <c r="J1104" s="17">
        <f>IFERROR(__xludf.DUMMYFUNCTION("""COMPUTED_VALUE"""),45702.46565039352)</f>
        <v>45702.46565</v>
      </c>
      <c r="K1104" s="13" t="str">
        <f>IFERROR(__xludf.DUMMYFUNCTION("""COMPUTED_VALUE"""),"Selesai")</f>
        <v>Selesai</v>
      </c>
      <c r="L1104" s="17">
        <f>IFERROR(__xludf.DUMMYFUNCTION("""COMPUTED_VALUE"""),45702.46565039352)</f>
        <v>45702.46565</v>
      </c>
      <c r="M1104" s="13"/>
      <c r="N1104" s="13" t="str">
        <f>IFERROR(__xludf.DUMMYFUNCTION("""COMPUTED_VALUE"""),"")</f>
        <v/>
      </c>
      <c r="O1104" s="13" t="str">
        <f t="shared" si="1"/>
        <v/>
      </c>
    </row>
    <row r="1105" ht="22.5" customHeight="1">
      <c r="B1105" s="13">
        <f>IFERROR(__xludf.DUMMYFUNCTION("""COMPUTED_VALUE"""),1100.0)</f>
        <v>1100</v>
      </c>
      <c r="C1105" s="13" t="str">
        <f>IFERROR(__xludf.DUMMYFUNCTION("""COMPUTED_VALUE"""),"M.1983/RAJABASA JAYA")</f>
        <v>M.1983/RAJABASA JAYA</v>
      </c>
      <c r="D1105" s="13" t="str">
        <f>IFERROR(__xludf.DUMMYFUNCTION("""COMPUTED_VALUE"""),"K/40/100225/2")</f>
        <v>K/40/100225/2</v>
      </c>
      <c r="E1105" s="14" t="str">
        <f>IFERROR(__xludf.DUMMYFUNCTION("""COMPUTED_VALUE"""),"Nadian (BT)")</f>
        <v>Nadian (BT)</v>
      </c>
      <c r="F1105" s="14" t="str">
        <f>IFERROR(__xludf.DUMMYFUNCTION("""COMPUTED_VALUE"""),"SELESAI (VIA PERMOHONAN)")</f>
        <v>SELESAI (VIA PERMOHONAN)</v>
      </c>
      <c r="G1105" s="17">
        <f>IFERROR(__xludf.DUMMYFUNCTION("""COMPUTED_VALUE"""),45701.64222409722)</f>
        <v>45701.64222</v>
      </c>
      <c r="H1105" s="14" t="str">
        <f>IFERROR(__xludf.DUMMYFUNCTION("""COMPUTED_VALUE"""),"Bu Eva (SU)")</f>
        <v>Bu Eva (SU)</v>
      </c>
      <c r="I1105" s="13" t="str">
        <f>IFERROR(__xludf.DUMMYFUNCTION("""COMPUTED_VALUE"""),"SELESAI (VIA PERMOHONAN)")</f>
        <v>SELESAI (VIA PERMOHONAN)</v>
      </c>
      <c r="J1105" s="17">
        <f>IFERROR(__xludf.DUMMYFUNCTION("""COMPUTED_VALUE"""),45702.46565039352)</f>
        <v>45702.46565</v>
      </c>
      <c r="K1105" s="13" t="str">
        <f>IFERROR(__xludf.DUMMYFUNCTION("""COMPUTED_VALUE"""),"Selesai")</f>
        <v>Selesai</v>
      </c>
      <c r="L1105" s="17">
        <f>IFERROR(__xludf.DUMMYFUNCTION("""COMPUTED_VALUE"""),45702.46565039352)</f>
        <v>45702.46565</v>
      </c>
      <c r="M1105" s="13"/>
      <c r="N1105" s="13" t="str">
        <f>IFERROR(__xludf.DUMMYFUNCTION("""COMPUTED_VALUE"""),"")</f>
        <v/>
      </c>
      <c r="O1105" s="13" t="str">
        <f t="shared" si="1"/>
        <v/>
      </c>
    </row>
    <row r="1106" ht="22.5" customHeight="1">
      <c r="B1106" s="13">
        <f>IFERROR(__xludf.DUMMYFUNCTION("""COMPUTED_VALUE"""),1101.0)</f>
        <v>1101</v>
      </c>
      <c r="C1106" s="13" t="str">
        <f>IFERROR(__xludf.DUMMYFUNCTION("""COMPUTED_VALUE"""),"M. 6454/ Way Kandis")</f>
        <v>M. 6454/ Way Kandis</v>
      </c>
      <c r="D1106" s="13" t="str">
        <f>IFERROR(__xludf.DUMMYFUNCTION("""COMPUTED_VALUE"""),"K/30/110225/1")</f>
        <v>K/30/110225/1</v>
      </c>
      <c r="E1106" s="14" t="str">
        <f>IFERROR(__xludf.DUMMYFUNCTION("""COMPUTED_VALUE"""),"Nadian (BT)")</f>
        <v>Nadian (BT)</v>
      </c>
      <c r="F1106" s="14" t="str">
        <f>IFERROR(__xludf.DUMMYFUNCTION("""COMPUTED_VALUE"""),"SELESAI (VIA PERMOHONAN)")</f>
        <v>SELESAI (VIA PERMOHONAN)</v>
      </c>
      <c r="G1106" s="17">
        <f>IFERROR(__xludf.DUMMYFUNCTION("""COMPUTED_VALUE"""),45701.64222409722)</f>
        <v>45701.64222</v>
      </c>
      <c r="H1106" s="14" t="str">
        <f>IFERROR(__xludf.DUMMYFUNCTION("""COMPUTED_VALUE"""),"Bu Eva (SU)")</f>
        <v>Bu Eva (SU)</v>
      </c>
      <c r="I1106" s="13" t="str">
        <f>IFERROR(__xludf.DUMMYFUNCTION("""COMPUTED_VALUE"""),"SELESAI (VIA PERMOHONAN)")</f>
        <v>SELESAI (VIA PERMOHONAN)</v>
      </c>
      <c r="J1106" s="17">
        <f>IFERROR(__xludf.DUMMYFUNCTION("""COMPUTED_VALUE"""),45702.46565039352)</f>
        <v>45702.46565</v>
      </c>
      <c r="K1106" s="13" t="str">
        <f>IFERROR(__xludf.DUMMYFUNCTION("""COMPUTED_VALUE"""),"Selesai")</f>
        <v>Selesai</v>
      </c>
      <c r="L1106" s="17">
        <f>IFERROR(__xludf.DUMMYFUNCTION("""COMPUTED_VALUE"""),45702.46565039352)</f>
        <v>45702.46565</v>
      </c>
      <c r="M1106" s="13"/>
      <c r="N1106" s="13" t="str">
        <f>IFERROR(__xludf.DUMMYFUNCTION("""COMPUTED_VALUE"""),"")</f>
        <v/>
      </c>
      <c r="O1106" s="13" t="str">
        <f t="shared" si="1"/>
        <v/>
      </c>
    </row>
    <row r="1107" ht="22.5" customHeight="1">
      <c r="B1107" s="13">
        <f>IFERROR(__xludf.DUMMYFUNCTION("""COMPUTED_VALUE"""),1102.0)</f>
        <v>1102</v>
      </c>
      <c r="C1107" s="13" t="str">
        <f>IFERROR(__xludf.DUMMYFUNCTION("""COMPUTED_VALUE"""),"M. 754/ Rajabasa Raya")</f>
        <v>M. 754/ Rajabasa Raya</v>
      </c>
      <c r="D1107" s="13" t="str">
        <f>IFERROR(__xludf.DUMMYFUNCTION("""COMPUTED_VALUE"""),"K/23/110225/1")</f>
        <v>K/23/110225/1</v>
      </c>
      <c r="E1107" s="14" t="str">
        <f>IFERROR(__xludf.DUMMYFUNCTION("""COMPUTED_VALUE"""),"Nadian (BT)")</f>
        <v>Nadian (BT)</v>
      </c>
      <c r="F1107" s="14" t="str">
        <f>IFERROR(__xludf.DUMMYFUNCTION("""COMPUTED_VALUE"""),"SELESAI (VIA PERMOHONAN)")</f>
        <v>SELESAI (VIA PERMOHONAN)</v>
      </c>
      <c r="G1107" s="17">
        <f>IFERROR(__xludf.DUMMYFUNCTION("""COMPUTED_VALUE"""),45701.64225517361)</f>
        <v>45701.64226</v>
      </c>
      <c r="H1107" s="14" t="str">
        <f>IFERROR(__xludf.DUMMYFUNCTION("""COMPUTED_VALUE"""),"Bu Eva (SU)")</f>
        <v>Bu Eva (SU)</v>
      </c>
      <c r="I1107" s="13" t="str">
        <f>IFERROR(__xludf.DUMMYFUNCTION("""COMPUTED_VALUE"""),"SELESAI (VIA PERMOHONAN)")</f>
        <v>SELESAI (VIA PERMOHONAN)</v>
      </c>
      <c r="J1107" s="17">
        <f>IFERROR(__xludf.DUMMYFUNCTION("""COMPUTED_VALUE"""),45702.46565039352)</f>
        <v>45702.46565</v>
      </c>
      <c r="K1107" s="13" t="str">
        <f>IFERROR(__xludf.DUMMYFUNCTION("""COMPUTED_VALUE"""),"Selesai")</f>
        <v>Selesai</v>
      </c>
      <c r="L1107" s="17">
        <f>IFERROR(__xludf.DUMMYFUNCTION("""COMPUTED_VALUE"""),45702.46565039352)</f>
        <v>45702.46565</v>
      </c>
      <c r="M1107" s="13"/>
      <c r="N1107" s="13" t="str">
        <f>IFERROR(__xludf.DUMMYFUNCTION("""COMPUTED_VALUE"""),"")</f>
        <v/>
      </c>
      <c r="O1107" s="13" t="str">
        <f t="shared" si="1"/>
        <v/>
      </c>
    </row>
    <row r="1108" ht="22.5" customHeight="1">
      <c r="B1108" s="13">
        <f>IFERROR(__xludf.DUMMYFUNCTION("""COMPUTED_VALUE"""),1103.0)</f>
        <v>1103</v>
      </c>
      <c r="C1108" s="13" t="str">
        <f>IFERROR(__xludf.DUMMYFUNCTION("""COMPUTED_VALUE"""),"M. 1291/ Pinang Jaya")</f>
        <v>M. 1291/ Pinang Jaya</v>
      </c>
      <c r="D1108" s="13" t="str">
        <f>IFERROR(__xludf.DUMMYFUNCTION("""COMPUTED_VALUE"""),"K/41/070225/1")</f>
        <v>K/41/070225/1</v>
      </c>
      <c r="E1108" s="14" t="str">
        <f>IFERROR(__xludf.DUMMYFUNCTION("""COMPUTED_VALUE"""),"Nadian (BT)")</f>
        <v>Nadian (BT)</v>
      </c>
      <c r="F1108" s="14" t="str">
        <f>IFERROR(__xludf.DUMMYFUNCTION("""COMPUTED_VALUE"""),"SELESAI (VIA PERMOHONAN)")</f>
        <v>SELESAI (VIA PERMOHONAN)</v>
      </c>
      <c r="G1108" s="17">
        <f>IFERROR(__xludf.DUMMYFUNCTION("""COMPUTED_VALUE"""),45701.64225517361)</f>
        <v>45701.64226</v>
      </c>
      <c r="H1108" s="14" t="str">
        <f>IFERROR(__xludf.DUMMYFUNCTION("""COMPUTED_VALUE"""),"Bu Eva (SU)")</f>
        <v>Bu Eva (SU)</v>
      </c>
      <c r="I1108" s="13" t="str">
        <f>IFERROR(__xludf.DUMMYFUNCTION("""COMPUTED_VALUE"""),"SELESAI (VIA PERMOHONAN)")</f>
        <v>SELESAI (VIA PERMOHONAN)</v>
      </c>
      <c r="J1108" s="17">
        <f>IFERROR(__xludf.DUMMYFUNCTION("""COMPUTED_VALUE"""),45702.46565039352)</f>
        <v>45702.46565</v>
      </c>
      <c r="K1108" s="13" t="str">
        <f>IFERROR(__xludf.DUMMYFUNCTION("""COMPUTED_VALUE"""),"Selesai")</f>
        <v>Selesai</v>
      </c>
      <c r="L1108" s="17">
        <f>IFERROR(__xludf.DUMMYFUNCTION("""COMPUTED_VALUE"""),45702.46565039352)</f>
        <v>45702.46565</v>
      </c>
      <c r="M1108" s="13"/>
      <c r="N1108" s="13" t="str">
        <f>IFERROR(__xludf.DUMMYFUNCTION("""COMPUTED_VALUE"""),"")</f>
        <v/>
      </c>
      <c r="O1108" s="13" t="str">
        <f t="shared" si="1"/>
        <v/>
      </c>
    </row>
    <row r="1109" ht="22.5" customHeight="1">
      <c r="B1109" s="13">
        <f>IFERROR(__xludf.DUMMYFUNCTION("""COMPUTED_VALUE"""),1104.0)</f>
        <v>1104</v>
      </c>
      <c r="C1109" s="13" t="str">
        <f>IFERROR(__xludf.DUMMYFUNCTION("""COMPUTED_VALUE"""),"M. 4320/ Gunung Terang")</f>
        <v>M. 4320/ Gunung Terang</v>
      </c>
      <c r="D1109" s="13" t="str">
        <f>IFERROR(__xludf.DUMMYFUNCTION("""COMPUTED_VALUE"""),"K/25/070225/1")</f>
        <v>K/25/070225/1</v>
      </c>
      <c r="E1109" s="14" t="str">
        <f>IFERROR(__xludf.DUMMYFUNCTION("""COMPUTED_VALUE"""),"Nadian (BT)")</f>
        <v>Nadian (BT)</v>
      </c>
      <c r="F1109" s="14" t="str">
        <f>IFERROR(__xludf.DUMMYFUNCTION("""COMPUTED_VALUE"""),"SELESAI (VIA PERMOHONAN)")</f>
        <v>SELESAI (VIA PERMOHONAN)</v>
      </c>
      <c r="G1109" s="17">
        <f>IFERROR(__xludf.DUMMYFUNCTION("""COMPUTED_VALUE"""),45701.64225518519)</f>
        <v>45701.64226</v>
      </c>
      <c r="H1109" s="14" t="str">
        <f>IFERROR(__xludf.DUMMYFUNCTION("""COMPUTED_VALUE"""),"Bu Eva (SU)")</f>
        <v>Bu Eva (SU)</v>
      </c>
      <c r="I1109" s="13" t="str">
        <f>IFERROR(__xludf.DUMMYFUNCTION("""COMPUTED_VALUE"""),"SELESAI (VIA PERMOHONAN)")</f>
        <v>SELESAI (VIA PERMOHONAN)</v>
      </c>
      <c r="J1109" s="17">
        <f>IFERROR(__xludf.DUMMYFUNCTION("""COMPUTED_VALUE"""),45702.46565039352)</f>
        <v>45702.46565</v>
      </c>
      <c r="K1109" s="13" t="str">
        <f>IFERROR(__xludf.DUMMYFUNCTION("""COMPUTED_VALUE"""),"Selesai")</f>
        <v>Selesai</v>
      </c>
      <c r="L1109" s="17">
        <f>IFERROR(__xludf.DUMMYFUNCTION("""COMPUTED_VALUE"""),45702.46565039352)</f>
        <v>45702.46565</v>
      </c>
      <c r="M1109" s="13"/>
      <c r="N1109" s="13" t="str">
        <f>IFERROR(__xludf.DUMMYFUNCTION("""COMPUTED_VALUE"""),"")</f>
        <v/>
      </c>
      <c r="O1109" s="13" t="str">
        <f t="shared" si="1"/>
        <v/>
      </c>
    </row>
    <row r="1110" ht="22.5" customHeight="1">
      <c r="B1110" s="13">
        <f>IFERROR(__xludf.DUMMYFUNCTION("""COMPUTED_VALUE"""),1105.0)</f>
        <v>1105</v>
      </c>
      <c r="C1110" s="13" t="str">
        <f>IFERROR(__xludf.DUMMYFUNCTION("""COMPUTED_VALUE"""),"B. 948/ Beringin Jaya")</f>
        <v>B. 948/ Beringin Jaya</v>
      </c>
      <c r="D1110" s="13" t="str">
        <f>IFERROR(__xludf.DUMMYFUNCTION("""COMPUTED_VALUE"""),"K/44/100225/2")</f>
        <v>K/44/100225/2</v>
      </c>
      <c r="E1110" s="14" t="str">
        <f>IFERROR(__xludf.DUMMYFUNCTION("""COMPUTED_VALUE"""),"Nadian (BT)")</f>
        <v>Nadian (BT)</v>
      </c>
      <c r="F1110" s="14" t="str">
        <f>IFERROR(__xludf.DUMMYFUNCTION("""COMPUTED_VALUE"""),"SELESAI (VIA PERMOHONAN)")</f>
        <v>SELESAI (VIA PERMOHONAN)</v>
      </c>
      <c r="G1110" s="17">
        <f>IFERROR(__xludf.DUMMYFUNCTION("""COMPUTED_VALUE"""),45701.64225518519)</f>
        <v>45701.64226</v>
      </c>
      <c r="H1110" s="14" t="str">
        <f>IFERROR(__xludf.DUMMYFUNCTION("""COMPUTED_VALUE"""),"Bu Eva (SU)")</f>
        <v>Bu Eva (SU)</v>
      </c>
      <c r="I1110" s="13" t="str">
        <f>IFERROR(__xludf.DUMMYFUNCTION("""COMPUTED_VALUE"""),"SELESAI (VIA PERMOHONAN)")</f>
        <v>SELESAI (VIA PERMOHONAN)</v>
      </c>
      <c r="J1110" s="17">
        <f>IFERROR(__xludf.DUMMYFUNCTION("""COMPUTED_VALUE"""),45702.46565039352)</f>
        <v>45702.46565</v>
      </c>
      <c r="K1110" s="13" t="str">
        <f>IFERROR(__xludf.DUMMYFUNCTION("""COMPUTED_VALUE"""),"Selesai")</f>
        <v>Selesai</v>
      </c>
      <c r="L1110" s="17">
        <f>IFERROR(__xludf.DUMMYFUNCTION("""COMPUTED_VALUE"""),45702.46565039352)</f>
        <v>45702.46565</v>
      </c>
      <c r="M1110" s="13"/>
      <c r="N1110" s="13" t="str">
        <f>IFERROR(__xludf.DUMMYFUNCTION("""COMPUTED_VALUE"""),"")</f>
        <v/>
      </c>
      <c r="O1110" s="13" t="str">
        <f t="shared" si="1"/>
        <v/>
      </c>
    </row>
    <row r="1111" ht="22.5" customHeight="1">
      <c r="B1111" s="13">
        <f>IFERROR(__xludf.DUMMYFUNCTION("""COMPUTED_VALUE"""),1106.0)</f>
        <v>1106</v>
      </c>
      <c r="C1111" s="13" t="str">
        <f>IFERROR(__xludf.DUMMYFUNCTION("""COMPUTED_VALUE"""),"M. 637/ Gulak Galik")</f>
        <v>M. 637/ Gulak Galik</v>
      </c>
      <c r="D1111" s="13" t="str">
        <f>IFERROR(__xludf.DUMMYFUNCTION("""COMPUTED_VALUE"""),"K/43/100225/1")</f>
        <v>K/43/100225/1</v>
      </c>
      <c r="E1111" s="14" t="str">
        <f>IFERROR(__xludf.DUMMYFUNCTION("""COMPUTED_VALUE"""),"Nadian (BT)")</f>
        <v>Nadian (BT)</v>
      </c>
      <c r="F1111" s="14" t="str">
        <f>IFERROR(__xludf.DUMMYFUNCTION("""COMPUTED_VALUE"""),"SELESAI (VIA PERMOHONAN)")</f>
        <v>SELESAI (VIA PERMOHONAN)</v>
      </c>
      <c r="G1111" s="17">
        <f>IFERROR(__xludf.DUMMYFUNCTION("""COMPUTED_VALUE"""),45701.64225518519)</f>
        <v>45701.64226</v>
      </c>
      <c r="H1111" s="14" t="str">
        <f>IFERROR(__xludf.DUMMYFUNCTION("""COMPUTED_VALUE"""),"Bu Eva (SU)")</f>
        <v>Bu Eva (SU)</v>
      </c>
      <c r="I1111" s="13" t="str">
        <f>IFERROR(__xludf.DUMMYFUNCTION("""COMPUTED_VALUE"""),"SELESAI (VIA PERMOHONAN)")</f>
        <v>SELESAI (VIA PERMOHONAN)</v>
      </c>
      <c r="J1111" s="17">
        <f>IFERROR(__xludf.DUMMYFUNCTION("""COMPUTED_VALUE"""),45702.46565039352)</f>
        <v>45702.46565</v>
      </c>
      <c r="K1111" s="13" t="str">
        <f>IFERROR(__xludf.DUMMYFUNCTION("""COMPUTED_VALUE"""),"Selesai")</f>
        <v>Selesai</v>
      </c>
      <c r="L1111" s="17">
        <f>IFERROR(__xludf.DUMMYFUNCTION("""COMPUTED_VALUE"""),45702.46565039352)</f>
        <v>45702.46565</v>
      </c>
      <c r="M1111" s="13"/>
      <c r="N1111" s="13" t="str">
        <f>IFERROR(__xludf.DUMMYFUNCTION("""COMPUTED_VALUE"""),"")</f>
        <v/>
      </c>
      <c r="O1111" s="13" t="str">
        <f t="shared" si="1"/>
        <v/>
      </c>
    </row>
    <row r="1112" ht="22.5" customHeight="1">
      <c r="B1112" s="13">
        <f>IFERROR(__xludf.DUMMYFUNCTION("""COMPUTED_VALUE"""),1107.0)</f>
        <v>1107</v>
      </c>
      <c r="C1112" s="13" t="str">
        <f>IFERROR(__xludf.DUMMYFUNCTION("""COMPUTED_VALUE"""),"M. 2064/ Sukarame II")</f>
        <v>M. 2064/ Sukarame II</v>
      </c>
      <c r="D1112" s="13" t="str">
        <f>IFERROR(__xludf.DUMMYFUNCTION("""COMPUTED_VALUE"""),"K/3/060225/1")</f>
        <v>K/3/060225/1</v>
      </c>
      <c r="E1112" s="14" t="str">
        <f>IFERROR(__xludf.DUMMYFUNCTION("""COMPUTED_VALUE"""),"Nadian (BT)")</f>
        <v>Nadian (BT)</v>
      </c>
      <c r="F1112" s="14" t="str">
        <f>IFERROR(__xludf.DUMMYFUNCTION("""COMPUTED_VALUE"""),"SELESAI (VIA PERMOHONAN)")</f>
        <v>SELESAI (VIA PERMOHONAN)</v>
      </c>
      <c r="G1112" s="17">
        <f>IFERROR(__xludf.DUMMYFUNCTION("""COMPUTED_VALUE"""),45701.64225518519)</f>
        <v>45701.64226</v>
      </c>
      <c r="H1112" s="14" t="str">
        <f>IFERROR(__xludf.DUMMYFUNCTION("""COMPUTED_VALUE"""),"Bu Eva (SU)")</f>
        <v>Bu Eva (SU)</v>
      </c>
      <c r="I1112" s="13" t="str">
        <f>IFERROR(__xludf.DUMMYFUNCTION("""COMPUTED_VALUE"""),"SELESAI (VIA PERMOHONAN)")</f>
        <v>SELESAI (VIA PERMOHONAN)</v>
      </c>
      <c r="J1112" s="17">
        <f>IFERROR(__xludf.DUMMYFUNCTION("""COMPUTED_VALUE"""),45702.465692812504)</f>
        <v>45702.46569</v>
      </c>
      <c r="K1112" s="13" t="str">
        <f>IFERROR(__xludf.DUMMYFUNCTION("""COMPUTED_VALUE"""),"Selesai")</f>
        <v>Selesai</v>
      </c>
      <c r="L1112" s="17">
        <f>IFERROR(__xludf.DUMMYFUNCTION("""COMPUTED_VALUE"""),45702.465692812504)</f>
        <v>45702.46569</v>
      </c>
      <c r="M1112" s="13"/>
      <c r="N1112" s="13" t="str">
        <f>IFERROR(__xludf.DUMMYFUNCTION("""COMPUTED_VALUE"""),"")</f>
        <v/>
      </c>
      <c r="O1112" s="13" t="str">
        <f t="shared" si="1"/>
        <v/>
      </c>
    </row>
    <row r="1113" ht="22.5" customHeight="1">
      <c r="B1113" s="13">
        <f>IFERROR(__xludf.DUMMYFUNCTION("""COMPUTED_VALUE"""),1108.0)</f>
        <v>1108</v>
      </c>
      <c r="C1113" s="13" t="str">
        <f>IFERROR(__xludf.DUMMYFUNCTION("""COMPUTED_VALUE"""),"M. 764/ Sawah Brebes")</f>
        <v>M. 764/ Sawah Brebes</v>
      </c>
      <c r="D1113" s="13" t="str">
        <f>IFERROR(__xludf.DUMMYFUNCTION("""COMPUTED_VALUE"""),"K/47/100225/1")</f>
        <v>K/47/100225/1</v>
      </c>
      <c r="E1113" s="14" t="str">
        <f>IFERROR(__xludf.DUMMYFUNCTION("""COMPUTED_VALUE"""),"Nadian (BT)")</f>
        <v>Nadian (BT)</v>
      </c>
      <c r="F1113" s="14" t="str">
        <f>IFERROR(__xludf.DUMMYFUNCTION("""COMPUTED_VALUE"""),"SELESAI (VIA PERMOHONAN)")</f>
        <v>SELESAI (VIA PERMOHONAN)</v>
      </c>
      <c r="G1113" s="17">
        <f>IFERROR(__xludf.DUMMYFUNCTION("""COMPUTED_VALUE"""),45701.64225518519)</f>
        <v>45701.64226</v>
      </c>
      <c r="H1113" s="14" t="str">
        <f>IFERROR(__xludf.DUMMYFUNCTION("""COMPUTED_VALUE"""),"Bu Eva (SU)")</f>
        <v>Bu Eva (SU)</v>
      </c>
      <c r="I1113" s="13" t="str">
        <f>IFERROR(__xludf.DUMMYFUNCTION("""COMPUTED_VALUE"""),"SELESAI (VIA PERMOHONAN)")</f>
        <v>SELESAI (VIA PERMOHONAN)</v>
      </c>
      <c r="J1113" s="17">
        <f>IFERROR(__xludf.DUMMYFUNCTION("""COMPUTED_VALUE"""),45702.465692812504)</f>
        <v>45702.46569</v>
      </c>
      <c r="K1113" s="13" t="str">
        <f>IFERROR(__xludf.DUMMYFUNCTION("""COMPUTED_VALUE"""),"Selesai")</f>
        <v>Selesai</v>
      </c>
      <c r="L1113" s="17">
        <f>IFERROR(__xludf.DUMMYFUNCTION("""COMPUTED_VALUE"""),45702.465692812504)</f>
        <v>45702.46569</v>
      </c>
      <c r="M1113" s="13"/>
      <c r="N1113" s="13" t="str">
        <f>IFERROR(__xludf.DUMMYFUNCTION("""COMPUTED_VALUE"""),"")</f>
        <v/>
      </c>
      <c r="O1113" s="13" t="str">
        <f t="shared" si="1"/>
        <v/>
      </c>
    </row>
    <row r="1114" ht="22.5" customHeight="1">
      <c r="B1114" s="13">
        <f>IFERROR(__xludf.DUMMYFUNCTION("""COMPUTED_VALUE"""),1109.0)</f>
        <v>1109</v>
      </c>
      <c r="C1114" s="13" t="str">
        <f>IFERROR(__xludf.DUMMYFUNCTION("""COMPUTED_VALUE"""),"M. 2591/ Pinang Jaya")</f>
        <v>M. 2591/ Pinang Jaya</v>
      </c>
      <c r="D1114" s="13" t="str">
        <f>IFERROR(__xludf.DUMMYFUNCTION("""COMPUTED_VALUE"""),"K/33/050225/1")</f>
        <v>K/33/050225/1</v>
      </c>
      <c r="E1114" s="14" t="str">
        <f>IFERROR(__xludf.DUMMYFUNCTION("""COMPUTED_VALUE"""),"Nadian (BT)")</f>
        <v>Nadian (BT)</v>
      </c>
      <c r="F1114" s="14" t="str">
        <f>IFERROR(__xludf.DUMMYFUNCTION("""COMPUTED_VALUE"""),"SELESAI (VIA PERMOHONAN)")</f>
        <v>SELESAI (VIA PERMOHONAN)</v>
      </c>
      <c r="G1114" s="17">
        <f>IFERROR(__xludf.DUMMYFUNCTION("""COMPUTED_VALUE"""),45701.64225518519)</f>
        <v>45701.64226</v>
      </c>
      <c r="H1114" s="14" t="str">
        <f>IFERROR(__xludf.DUMMYFUNCTION("""COMPUTED_VALUE"""),"Bu Eva (SU)")</f>
        <v>Bu Eva (SU)</v>
      </c>
      <c r="I1114" s="13" t="str">
        <f>IFERROR(__xludf.DUMMYFUNCTION("""COMPUTED_VALUE"""),"SELESAI (VIA PERMOHONAN)")</f>
        <v>SELESAI (VIA PERMOHONAN)</v>
      </c>
      <c r="J1114" s="17">
        <f>IFERROR(__xludf.DUMMYFUNCTION("""COMPUTED_VALUE"""),45702.465692812504)</f>
        <v>45702.46569</v>
      </c>
      <c r="K1114" s="13" t="str">
        <f>IFERROR(__xludf.DUMMYFUNCTION("""COMPUTED_VALUE"""),"Selesai")</f>
        <v>Selesai</v>
      </c>
      <c r="L1114" s="17">
        <f>IFERROR(__xludf.DUMMYFUNCTION("""COMPUTED_VALUE"""),45702.465692812504)</f>
        <v>45702.46569</v>
      </c>
      <c r="M1114" s="13"/>
      <c r="N1114" s="13" t="str">
        <f>IFERROR(__xludf.DUMMYFUNCTION("""COMPUTED_VALUE"""),"")</f>
        <v/>
      </c>
      <c r="O1114" s="13" t="str">
        <f t="shared" si="1"/>
        <v/>
      </c>
    </row>
    <row r="1115" ht="22.5" customHeight="1">
      <c r="B1115" s="13">
        <f>IFERROR(__xludf.DUMMYFUNCTION("""COMPUTED_VALUE"""),1110.0)</f>
        <v>1110</v>
      </c>
      <c r="C1115" s="13" t="str">
        <f>IFERROR(__xludf.DUMMYFUNCTION("""COMPUTED_VALUE"""),"B. 949/ Beringin Jaya")</f>
        <v>B. 949/ Beringin Jaya</v>
      </c>
      <c r="D1115" s="13" t="str">
        <f>IFERROR(__xludf.DUMMYFUNCTION("""COMPUTED_VALUE"""),"K/45/100225/3")</f>
        <v>K/45/100225/3</v>
      </c>
      <c r="E1115" s="14" t="str">
        <f>IFERROR(__xludf.DUMMYFUNCTION("""COMPUTED_VALUE"""),"Nadian (BT)")</f>
        <v>Nadian (BT)</v>
      </c>
      <c r="F1115" s="14" t="str">
        <f>IFERROR(__xludf.DUMMYFUNCTION("""COMPUTED_VALUE"""),"SELESAI (VIA PERMOHONAN)")</f>
        <v>SELESAI (VIA PERMOHONAN)</v>
      </c>
      <c r="G1115" s="17">
        <f>IFERROR(__xludf.DUMMYFUNCTION("""COMPUTED_VALUE"""),45701.64225518519)</f>
        <v>45701.64226</v>
      </c>
      <c r="H1115" s="14" t="str">
        <f>IFERROR(__xludf.DUMMYFUNCTION("""COMPUTED_VALUE"""),"Bu Eva (SU)")</f>
        <v>Bu Eva (SU)</v>
      </c>
      <c r="I1115" s="13" t="str">
        <f>IFERROR(__xludf.DUMMYFUNCTION("""COMPUTED_VALUE"""),"SELESAI (VIA PERMOHONAN)")</f>
        <v>SELESAI (VIA PERMOHONAN)</v>
      </c>
      <c r="J1115" s="17">
        <f>IFERROR(__xludf.DUMMYFUNCTION("""COMPUTED_VALUE"""),45702.465692812504)</f>
        <v>45702.46569</v>
      </c>
      <c r="K1115" s="13" t="str">
        <f>IFERROR(__xludf.DUMMYFUNCTION("""COMPUTED_VALUE"""),"Selesai")</f>
        <v>Selesai</v>
      </c>
      <c r="L1115" s="17">
        <f>IFERROR(__xludf.DUMMYFUNCTION("""COMPUTED_VALUE"""),45702.465692812504)</f>
        <v>45702.46569</v>
      </c>
      <c r="M1115" s="13"/>
      <c r="N1115" s="13" t="str">
        <f>IFERROR(__xludf.DUMMYFUNCTION("""COMPUTED_VALUE"""),"")</f>
        <v/>
      </c>
      <c r="O1115" s="13" t="str">
        <f t="shared" si="1"/>
        <v/>
      </c>
    </row>
    <row r="1116" ht="22.5" customHeight="1">
      <c r="B1116" s="13">
        <f>IFERROR(__xludf.DUMMYFUNCTION("""COMPUTED_VALUE"""),1111.0)</f>
        <v>1111</v>
      </c>
      <c r="C1116" s="13" t="str">
        <f>IFERROR(__xludf.DUMMYFUNCTION("""COMPUTED_VALUE"""),"M.2493/SUSUNAN BARU")</f>
        <v>M.2493/SUSUNAN BARU</v>
      </c>
      <c r="D1116" s="13" t="str">
        <f>IFERROR(__xludf.DUMMYFUNCTION("""COMPUTED_VALUE"""),"K/30/100225/1")</f>
        <v>K/30/100225/1</v>
      </c>
      <c r="E1116" s="14" t="str">
        <f>IFERROR(__xludf.DUMMYFUNCTION("""COMPUTED_VALUE"""),"Nadian (BT)")</f>
        <v>Nadian (BT)</v>
      </c>
      <c r="F1116" s="14" t="str">
        <f>IFERROR(__xludf.DUMMYFUNCTION("""COMPUTED_VALUE"""),"SELESAI (VIA PERMOHONAN)")</f>
        <v>SELESAI (VIA PERMOHONAN)</v>
      </c>
      <c r="G1116" s="17">
        <f>IFERROR(__xludf.DUMMYFUNCTION("""COMPUTED_VALUE"""),45701.64228148149)</f>
        <v>45701.64228</v>
      </c>
      <c r="H1116" s="14" t="str">
        <f>IFERROR(__xludf.DUMMYFUNCTION("""COMPUTED_VALUE"""),"Bu Eva (SU)")</f>
        <v>Bu Eva (SU)</v>
      </c>
      <c r="I1116" s="13" t="str">
        <f>IFERROR(__xludf.DUMMYFUNCTION("""COMPUTED_VALUE"""),"SELESAI (VIA PERMOHONAN)")</f>
        <v>SELESAI (VIA PERMOHONAN)</v>
      </c>
      <c r="J1116" s="17">
        <f>IFERROR(__xludf.DUMMYFUNCTION("""COMPUTED_VALUE"""),45702.465692812504)</f>
        <v>45702.46569</v>
      </c>
      <c r="K1116" s="13" t="str">
        <f>IFERROR(__xludf.DUMMYFUNCTION("""COMPUTED_VALUE"""),"Selesai")</f>
        <v>Selesai</v>
      </c>
      <c r="L1116" s="17">
        <f>IFERROR(__xludf.DUMMYFUNCTION("""COMPUTED_VALUE"""),45702.465692812504)</f>
        <v>45702.46569</v>
      </c>
      <c r="M1116" s="13"/>
      <c r="N1116" s="13" t="str">
        <f>IFERROR(__xludf.DUMMYFUNCTION("""COMPUTED_VALUE"""),"")</f>
        <v/>
      </c>
      <c r="O1116" s="13" t="str">
        <f t="shared" si="1"/>
        <v/>
      </c>
    </row>
    <row r="1117" ht="22.5" customHeight="1">
      <c r="B1117" s="13">
        <f>IFERROR(__xludf.DUMMYFUNCTION("""COMPUTED_VALUE"""),1112.0)</f>
        <v>1112</v>
      </c>
      <c r="C1117" s="13" t="str">
        <f>IFERROR(__xludf.DUMMYFUNCTION("""COMPUTED_VALUE"""),"B.313/LABUHAN RATU RAYA")</f>
        <v>B.313/LABUHAN RATU RAYA</v>
      </c>
      <c r="D1117" s="13" t="str">
        <f>IFERROR(__xludf.DUMMYFUNCTION("""COMPUTED_VALUE"""),"K/16/070225/3")</f>
        <v>K/16/070225/3</v>
      </c>
      <c r="E1117" s="14" t="str">
        <f>IFERROR(__xludf.DUMMYFUNCTION("""COMPUTED_VALUE"""),"Nadian (BT)")</f>
        <v>Nadian (BT)</v>
      </c>
      <c r="F1117" s="14" t="str">
        <f>IFERROR(__xludf.DUMMYFUNCTION("""COMPUTED_VALUE"""),"SELESAI (VIA PERMOHONAN)")</f>
        <v>SELESAI (VIA PERMOHONAN)</v>
      </c>
      <c r="G1117" s="17">
        <f>IFERROR(__xludf.DUMMYFUNCTION("""COMPUTED_VALUE"""),45701.64228148149)</f>
        <v>45701.64228</v>
      </c>
      <c r="H1117" s="14" t="str">
        <f>IFERROR(__xludf.DUMMYFUNCTION("""COMPUTED_VALUE"""),"Bu Eva (SU)")</f>
        <v>Bu Eva (SU)</v>
      </c>
      <c r="I1117" s="13" t="str">
        <f>IFERROR(__xludf.DUMMYFUNCTION("""COMPUTED_VALUE"""),"SELESAI (VIA PERMOHONAN)")</f>
        <v>SELESAI (VIA PERMOHONAN)</v>
      </c>
      <c r="J1117" s="17">
        <f>IFERROR(__xludf.DUMMYFUNCTION("""COMPUTED_VALUE"""),45702.465692812504)</f>
        <v>45702.46569</v>
      </c>
      <c r="K1117" s="13" t="str">
        <f>IFERROR(__xludf.DUMMYFUNCTION("""COMPUTED_VALUE"""),"Selesai")</f>
        <v>Selesai</v>
      </c>
      <c r="L1117" s="17">
        <f>IFERROR(__xludf.DUMMYFUNCTION("""COMPUTED_VALUE"""),45702.465692812504)</f>
        <v>45702.46569</v>
      </c>
      <c r="M1117" s="13"/>
      <c r="N1117" s="13" t="str">
        <f>IFERROR(__xludf.DUMMYFUNCTION("""COMPUTED_VALUE"""),"")</f>
        <v/>
      </c>
      <c r="O1117" s="13" t="str">
        <f t="shared" si="1"/>
        <v/>
      </c>
    </row>
    <row r="1118" ht="22.5" customHeight="1">
      <c r="B1118" s="13">
        <f>IFERROR(__xludf.DUMMYFUNCTION("""COMPUTED_VALUE"""),1113.0)</f>
        <v>1113</v>
      </c>
      <c r="C1118" s="13" t="str">
        <f>IFERROR(__xludf.DUMMYFUNCTION("""COMPUTED_VALUE"""),"M.3208/LABUHAN DALAM")</f>
        <v>M.3208/LABUHAN DALAM</v>
      </c>
      <c r="D1118" s="13" t="str">
        <f>IFERROR(__xludf.DUMMYFUNCTION("""COMPUTED_VALUE"""),"K/7/060225/4")</f>
        <v>K/7/060225/4</v>
      </c>
      <c r="E1118" s="14" t="str">
        <f>IFERROR(__xludf.DUMMYFUNCTION("""COMPUTED_VALUE"""),"Nadian (BT)")</f>
        <v>Nadian (BT)</v>
      </c>
      <c r="F1118" s="14" t="str">
        <f>IFERROR(__xludf.DUMMYFUNCTION("""COMPUTED_VALUE"""),"SELESAI (VIA PERMOHONAN)")</f>
        <v>SELESAI (VIA PERMOHONAN)</v>
      </c>
      <c r="G1118" s="17">
        <f>IFERROR(__xludf.DUMMYFUNCTION("""COMPUTED_VALUE"""),45701.64228148149)</f>
        <v>45701.64228</v>
      </c>
      <c r="H1118" s="14" t="str">
        <f>IFERROR(__xludf.DUMMYFUNCTION("""COMPUTED_VALUE"""),"Bu Eva (SU)")</f>
        <v>Bu Eva (SU)</v>
      </c>
      <c r="I1118" s="13" t="str">
        <f>IFERROR(__xludf.DUMMYFUNCTION("""COMPUTED_VALUE"""),"SELESAI (VIA PERMOHONAN)")</f>
        <v>SELESAI (VIA PERMOHONAN)</v>
      </c>
      <c r="J1118" s="17">
        <f>IFERROR(__xludf.DUMMYFUNCTION("""COMPUTED_VALUE"""),45702.465692812504)</f>
        <v>45702.46569</v>
      </c>
      <c r="K1118" s="13" t="str">
        <f>IFERROR(__xludf.DUMMYFUNCTION("""COMPUTED_VALUE"""),"Selesai")</f>
        <v>Selesai</v>
      </c>
      <c r="L1118" s="17">
        <f>IFERROR(__xludf.DUMMYFUNCTION("""COMPUTED_VALUE"""),45702.465692812504)</f>
        <v>45702.46569</v>
      </c>
      <c r="M1118" s="13"/>
      <c r="N1118" s="13" t="str">
        <f>IFERROR(__xludf.DUMMYFUNCTION("""COMPUTED_VALUE"""),"")</f>
        <v/>
      </c>
      <c r="O1118" s="13" t="str">
        <f t="shared" si="1"/>
        <v/>
      </c>
    </row>
    <row r="1119" ht="22.5" customHeight="1">
      <c r="B1119" s="13">
        <f>IFERROR(__xludf.DUMMYFUNCTION("""COMPUTED_VALUE"""),1114.0)</f>
        <v>1114</v>
      </c>
      <c r="C1119" s="13" t="str">
        <f>IFERROR(__xludf.DUMMYFUNCTION("""COMPUTED_VALUE"""),"M. 2255/ Rajabasa Raya")</f>
        <v>M. 2255/ Rajabasa Raya</v>
      </c>
      <c r="D1119" s="13" t="str">
        <f>IFERROR(__xludf.DUMMYFUNCTION("""COMPUTED_VALUE"""),"K/36/100225/1")</f>
        <v>K/36/100225/1</v>
      </c>
      <c r="E1119" s="14" t="str">
        <f>IFERROR(__xludf.DUMMYFUNCTION("""COMPUTED_VALUE"""),"Nadian (BT)")</f>
        <v>Nadian (BT)</v>
      </c>
      <c r="F1119" s="14" t="str">
        <f>IFERROR(__xludf.DUMMYFUNCTION("""COMPUTED_VALUE"""),"SELESAI (VIA PERMOHONAN)")</f>
        <v>SELESAI (VIA PERMOHONAN)</v>
      </c>
      <c r="G1119" s="17">
        <f>IFERROR(__xludf.DUMMYFUNCTION("""COMPUTED_VALUE"""),45701.64228148149)</f>
        <v>45701.64228</v>
      </c>
      <c r="H1119" s="14" t="str">
        <f>IFERROR(__xludf.DUMMYFUNCTION("""COMPUTED_VALUE"""),"Bu Eva (SU)")</f>
        <v>Bu Eva (SU)</v>
      </c>
      <c r="I1119" s="13" t="str">
        <f>IFERROR(__xludf.DUMMYFUNCTION("""COMPUTED_VALUE"""),"SELESAI (VIA PERMOHONAN)")</f>
        <v>SELESAI (VIA PERMOHONAN)</v>
      </c>
      <c r="J1119" s="17">
        <f>IFERROR(__xludf.DUMMYFUNCTION("""COMPUTED_VALUE"""),45702.46569282407)</f>
        <v>45702.46569</v>
      </c>
      <c r="K1119" s="13" t="str">
        <f>IFERROR(__xludf.DUMMYFUNCTION("""COMPUTED_VALUE"""),"Selesai")</f>
        <v>Selesai</v>
      </c>
      <c r="L1119" s="17">
        <f>IFERROR(__xludf.DUMMYFUNCTION("""COMPUTED_VALUE"""),45702.46569282407)</f>
        <v>45702.46569</v>
      </c>
      <c r="M1119" s="13"/>
      <c r="N1119" s="13" t="str">
        <f>IFERROR(__xludf.DUMMYFUNCTION("""COMPUTED_VALUE"""),"")</f>
        <v/>
      </c>
      <c r="O1119" s="13" t="str">
        <f t="shared" si="1"/>
        <v/>
      </c>
    </row>
    <row r="1120" ht="22.5" customHeight="1">
      <c r="B1120" s="13">
        <f>IFERROR(__xludf.DUMMYFUNCTION("""COMPUTED_VALUE"""),1115.0)</f>
        <v>1115</v>
      </c>
      <c r="C1120" s="13" t="str">
        <f>IFERROR(__xludf.DUMMYFUNCTION("""COMPUTED_VALUE"""),"M. 12913/ Segala Mider")</f>
        <v>M. 12913/ Segala Mider</v>
      </c>
      <c r="D1120" s="13" t="str">
        <f>IFERROR(__xludf.DUMMYFUNCTION("""COMPUTED_VALUE"""),"K/37/050225/1")</f>
        <v>K/37/050225/1</v>
      </c>
      <c r="E1120" s="14" t="str">
        <f>IFERROR(__xludf.DUMMYFUNCTION("""COMPUTED_VALUE"""),"Nadian (BT)")</f>
        <v>Nadian (BT)</v>
      </c>
      <c r="F1120" s="14" t="str">
        <f>IFERROR(__xludf.DUMMYFUNCTION("""COMPUTED_VALUE"""),"SELESAI (VIA PERMOHONAN)")</f>
        <v>SELESAI (VIA PERMOHONAN)</v>
      </c>
      <c r="G1120" s="17">
        <f>IFERROR(__xludf.DUMMYFUNCTION("""COMPUTED_VALUE"""),45701.64228148149)</f>
        <v>45701.64228</v>
      </c>
      <c r="H1120" s="14" t="str">
        <f>IFERROR(__xludf.DUMMYFUNCTION("""COMPUTED_VALUE"""),"Bu Eva (SU)")</f>
        <v>Bu Eva (SU)</v>
      </c>
      <c r="I1120" s="13" t="str">
        <f>IFERROR(__xludf.DUMMYFUNCTION("""COMPUTED_VALUE"""),"SELESAI (VIA PERMOHONAN)")</f>
        <v>SELESAI (VIA PERMOHONAN)</v>
      </c>
      <c r="J1120" s="17">
        <f>IFERROR(__xludf.DUMMYFUNCTION("""COMPUTED_VALUE"""),45702.46579111111)</f>
        <v>45702.46579</v>
      </c>
      <c r="K1120" s="13" t="str">
        <f>IFERROR(__xludf.DUMMYFUNCTION("""COMPUTED_VALUE"""),"Selesai")</f>
        <v>Selesai</v>
      </c>
      <c r="L1120" s="17">
        <f>IFERROR(__xludf.DUMMYFUNCTION("""COMPUTED_VALUE"""),45702.46579111111)</f>
        <v>45702.46579</v>
      </c>
      <c r="M1120" s="13"/>
      <c r="N1120" s="13" t="str">
        <f>IFERROR(__xludf.DUMMYFUNCTION("""COMPUTED_VALUE"""),"")</f>
        <v/>
      </c>
      <c r="O1120" s="13" t="str">
        <f t="shared" si="1"/>
        <v/>
      </c>
    </row>
    <row r="1121" ht="22.5" customHeight="1">
      <c r="B1121" s="13">
        <f>IFERROR(__xludf.DUMMYFUNCTION("""COMPUTED_VALUE"""),1116.0)</f>
        <v>1116</v>
      </c>
      <c r="C1121" s="13" t="str">
        <f>IFERROR(__xludf.DUMMYFUNCTION("""COMPUTED_VALUE"""),"M. 2593/ Sukarame II")</f>
        <v>M. 2593/ Sukarame II</v>
      </c>
      <c r="D1121" s="13" t="str">
        <f>IFERROR(__xludf.DUMMYFUNCTION("""COMPUTED_VALUE"""),"K/45/050225/1")</f>
        <v>K/45/050225/1</v>
      </c>
      <c r="E1121" s="14" t="str">
        <f>IFERROR(__xludf.DUMMYFUNCTION("""COMPUTED_VALUE"""),"Nadian (BT)")</f>
        <v>Nadian (BT)</v>
      </c>
      <c r="F1121" s="14" t="str">
        <f>IFERROR(__xludf.DUMMYFUNCTION("""COMPUTED_VALUE"""),"SELESAI (VIA PERMOHONAN)")</f>
        <v>SELESAI (VIA PERMOHONAN)</v>
      </c>
      <c r="G1121" s="17">
        <f>IFERROR(__xludf.DUMMYFUNCTION("""COMPUTED_VALUE"""),45701.64228148149)</f>
        <v>45701.64228</v>
      </c>
      <c r="H1121" s="14" t="str">
        <f>IFERROR(__xludf.DUMMYFUNCTION("""COMPUTED_VALUE"""),"Bu Eva (SU)")</f>
        <v>Bu Eva (SU)</v>
      </c>
      <c r="I1121" s="13" t="str">
        <f>IFERROR(__xludf.DUMMYFUNCTION("""COMPUTED_VALUE"""),"SELESAI (VIA PERMOHONAN)")</f>
        <v>SELESAI (VIA PERMOHONAN)</v>
      </c>
      <c r="J1121" s="17">
        <f>IFERROR(__xludf.DUMMYFUNCTION("""COMPUTED_VALUE"""),45702.46579111111)</f>
        <v>45702.46579</v>
      </c>
      <c r="K1121" s="13" t="str">
        <f>IFERROR(__xludf.DUMMYFUNCTION("""COMPUTED_VALUE"""),"Selesai")</f>
        <v>Selesai</v>
      </c>
      <c r="L1121" s="17">
        <f>IFERROR(__xludf.DUMMYFUNCTION("""COMPUTED_VALUE"""),45702.46579111111)</f>
        <v>45702.46579</v>
      </c>
      <c r="M1121" s="13"/>
      <c r="N1121" s="13" t="str">
        <f>IFERROR(__xludf.DUMMYFUNCTION("""COMPUTED_VALUE"""),"")</f>
        <v/>
      </c>
      <c r="O1121" s="13" t="str">
        <f t="shared" si="1"/>
        <v/>
      </c>
    </row>
    <row r="1122" ht="22.5" customHeight="1">
      <c r="B1122" s="13">
        <f>IFERROR(__xludf.DUMMYFUNCTION("""COMPUTED_VALUE"""),1117.0)</f>
        <v>1117</v>
      </c>
      <c r="C1122" s="13" t="str">
        <f>IFERROR(__xludf.DUMMYFUNCTION("""COMPUTED_VALUE"""),"M. 886/ Pelita")</f>
        <v>M. 886/ Pelita</v>
      </c>
      <c r="D1122" s="13" t="str">
        <f>IFERROR(__xludf.DUMMYFUNCTION("""COMPUTED_VALUE"""),"K/40/050225/1")</f>
        <v>K/40/050225/1</v>
      </c>
      <c r="E1122" s="14" t="str">
        <f>IFERROR(__xludf.DUMMYFUNCTION("""COMPUTED_VALUE"""),"Nadian (BT)")</f>
        <v>Nadian (BT)</v>
      </c>
      <c r="F1122" s="14" t="str">
        <f>IFERROR(__xludf.DUMMYFUNCTION("""COMPUTED_VALUE"""),"SELESAI (VIA PERMOHONAN)")</f>
        <v>SELESAI (VIA PERMOHONAN)</v>
      </c>
      <c r="G1122" s="17">
        <f>IFERROR(__xludf.DUMMYFUNCTION("""COMPUTED_VALUE"""),45701.642300011576)</f>
        <v>45701.6423</v>
      </c>
      <c r="H1122" s="14" t="str">
        <f>IFERROR(__xludf.DUMMYFUNCTION("""COMPUTED_VALUE"""),"Bu Eva (SU)")</f>
        <v>Bu Eva (SU)</v>
      </c>
      <c r="I1122" s="13" t="str">
        <f>IFERROR(__xludf.DUMMYFUNCTION("""COMPUTED_VALUE"""),"SELESAI (VIA PERMOHONAN)")</f>
        <v>SELESAI (VIA PERMOHONAN)</v>
      </c>
      <c r="J1122" s="17">
        <f>IFERROR(__xludf.DUMMYFUNCTION("""COMPUTED_VALUE"""),45702.46579111111)</f>
        <v>45702.46579</v>
      </c>
      <c r="K1122" s="13" t="str">
        <f>IFERROR(__xludf.DUMMYFUNCTION("""COMPUTED_VALUE"""),"Selesai")</f>
        <v>Selesai</v>
      </c>
      <c r="L1122" s="17">
        <f>IFERROR(__xludf.DUMMYFUNCTION("""COMPUTED_VALUE"""),45702.46579111111)</f>
        <v>45702.46579</v>
      </c>
      <c r="M1122" s="13"/>
      <c r="N1122" s="13" t="str">
        <f>IFERROR(__xludf.DUMMYFUNCTION("""COMPUTED_VALUE"""),"")</f>
        <v/>
      </c>
      <c r="O1122" s="13" t="str">
        <f t="shared" si="1"/>
        <v/>
      </c>
    </row>
    <row r="1123" ht="22.5" customHeight="1">
      <c r="B1123" s="13">
        <f>IFERROR(__xludf.DUMMYFUNCTION("""COMPUTED_VALUE"""),1118.0)</f>
        <v>1118</v>
      </c>
      <c r="C1123" s="13" t="str">
        <f>IFERROR(__xludf.DUMMYFUNCTION("""COMPUTED_VALUE"""),"M. 9195/ Jagabaya II")</f>
        <v>M. 9195/ Jagabaya II</v>
      </c>
      <c r="D1123" s="13" t="str">
        <f>IFERROR(__xludf.DUMMYFUNCTION("""COMPUTED_VALUE"""),"K/2/070225/2")</f>
        <v>K/2/070225/2</v>
      </c>
      <c r="E1123" s="14" t="str">
        <f>IFERROR(__xludf.DUMMYFUNCTION("""COMPUTED_VALUE"""),"Nadian (BT)")</f>
        <v>Nadian (BT)</v>
      </c>
      <c r="F1123" s="14" t="str">
        <f>IFERROR(__xludf.DUMMYFUNCTION("""COMPUTED_VALUE"""),"SELESAI (VIA PERMOHONAN)")</f>
        <v>SELESAI (VIA PERMOHONAN)</v>
      </c>
      <c r="G1123" s="17">
        <f>IFERROR(__xludf.DUMMYFUNCTION("""COMPUTED_VALUE"""),45702.58658974537)</f>
        <v>45702.58659</v>
      </c>
      <c r="H1123" s="14" t="str">
        <f>IFERROR(__xludf.DUMMYFUNCTION("""COMPUTED_VALUE"""),"Bu Eva (SU)")</f>
        <v>Bu Eva (SU)</v>
      </c>
      <c r="I1123" s="13" t="str">
        <f>IFERROR(__xludf.DUMMYFUNCTION("""COMPUTED_VALUE"""),"SELESAI (VIA PERMOHONAN)")</f>
        <v>SELESAI (VIA PERMOHONAN)</v>
      </c>
      <c r="J1123" s="17">
        <f>IFERROR(__xludf.DUMMYFUNCTION("""COMPUTED_VALUE"""),45702.63422523148)</f>
        <v>45702.63423</v>
      </c>
      <c r="K1123" s="13" t="str">
        <f>IFERROR(__xludf.DUMMYFUNCTION("""COMPUTED_VALUE"""),"Selesai")</f>
        <v>Selesai</v>
      </c>
      <c r="L1123" s="17">
        <f>IFERROR(__xludf.DUMMYFUNCTION("""COMPUTED_VALUE"""),45702.63422523148)</f>
        <v>45702.63423</v>
      </c>
      <c r="M1123" s="13"/>
      <c r="N1123" s="13" t="str">
        <f>IFERROR(__xludf.DUMMYFUNCTION("""COMPUTED_VALUE"""),"")</f>
        <v/>
      </c>
      <c r="O1123" s="13" t="str">
        <f t="shared" si="1"/>
        <v/>
      </c>
    </row>
    <row r="1124" ht="22.5" customHeight="1">
      <c r="B1124" s="13">
        <f>IFERROR(__xludf.DUMMYFUNCTION("""COMPUTED_VALUE"""),1119.0)</f>
        <v>1119</v>
      </c>
      <c r="C1124" s="13" t="str">
        <f>IFERROR(__xludf.DUMMYFUNCTION("""COMPUTED_VALUE"""),"M.266/CAMPANG JAYA")</f>
        <v>M.266/CAMPANG JAYA</v>
      </c>
      <c r="D1124" s="13" t="str">
        <f>IFERROR(__xludf.DUMMYFUNCTION("""COMPUTED_VALUE"""),"K/31/060225/1")</f>
        <v>K/31/060225/1</v>
      </c>
      <c r="E1124" s="14" t="str">
        <f>IFERROR(__xludf.DUMMYFUNCTION("""COMPUTED_VALUE"""),"Nadian (BT)")</f>
        <v>Nadian (BT)</v>
      </c>
      <c r="F1124" s="14" t="str">
        <f>IFERROR(__xludf.DUMMYFUNCTION("""COMPUTED_VALUE"""),"SELESAI (VIA PERMOHONAN)")</f>
        <v>SELESAI (VIA PERMOHONAN)</v>
      </c>
      <c r="G1124" s="17">
        <f>IFERROR(__xludf.DUMMYFUNCTION("""COMPUTED_VALUE"""),45702.58660733796)</f>
        <v>45702.58661</v>
      </c>
      <c r="H1124" s="14" t="str">
        <f>IFERROR(__xludf.DUMMYFUNCTION("""COMPUTED_VALUE"""),"Bu Eva (SU)")</f>
        <v>Bu Eva (SU)</v>
      </c>
      <c r="I1124" s="13" t="str">
        <f>IFERROR(__xludf.DUMMYFUNCTION("""COMPUTED_VALUE"""),"SELESAI (VIA PERMOHONAN)")</f>
        <v>SELESAI (VIA PERMOHONAN)</v>
      </c>
      <c r="J1124" s="17">
        <f>IFERROR(__xludf.DUMMYFUNCTION("""COMPUTED_VALUE"""),45702.63422523148)</f>
        <v>45702.63423</v>
      </c>
      <c r="K1124" s="13" t="str">
        <f>IFERROR(__xludf.DUMMYFUNCTION("""COMPUTED_VALUE"""),"Selesai")</f>
        <v>Selesai</v>
      </c>
      <c r="L1124" s="17">
        <f>IFERROR(__xludf.DUMMYFUNCTION("""COMPUTED_VALUE"""),45702.63422523148)</f>
        <v>45702.63423</v>
      </c>
      <c r="M1124" s="13"/>
      <c r="N1124" s="13" t="str">
        <f>IFERROR(__xludf.DUMMYFUNCTION("""COMPUTED_VALUE"""),"")</f>
        <v/>
      </c>
      <c r="O1124" s="13" t="str">
        <f t="shared" si="1"/>
        <v/>
      </c>
    </row>
    <row r="1125" ht="22.5" customHeight="1">
      <c r="B1125" s="13">
        <f>IFERROR(__xludf.DUMMYFUNCTION("""COMPUTED_VALUE"""),1120.0)</f>
        <v>1120</v>
      </c>
      <c r="C1125" s="13" t="str">
        <f>IFERROR(__xludf.DUMMYFUNCTION("""COMPUTED_VALUE"""),"M.1143/ENGGAL")</f>
        <v>M.1143/ENGGAL</v>
      </c>
      <c r="D1125" s="13" t="str">
        <f>IFERROR(__xludf.DUMMYFUNCTION("""COMPUTED_VALUE"""),"K/15/310125/1")</f>
        <v>K/15/310125/1</v>
      </c>
      <c r="E1125" s="14" t="str">
        <f>IFERROR(__xludf.DUMMYFUNCTION("""COMPUTED_VALUE"""),"Nadian (BT)")</f>
        <v>Nadian (BT)</v>
      </c>
      <c r="F1125" s="14" t="str">
        <f>IFERROR(__xludf.DUMMYFUNCTION("""COMPUTED_VALUE"""),"SELESAI (VIA PERMOHONAN)")</f>
        <v>SELESAI (VIA PERMOHONAN)</v>
      </c>
      <c r="G1125" s="17">
        <f>IFERROR(__xludf.DUMMYFUNCTION("""COMPUTED_VALUE"""),45702.58660733796)</f>
        <v>45702.58661</v>
      </c>
      <c r="H1125" s="14" t="str">
        <f>IFERROR(__xludf.DUMMYFUNCTION("""COMPUTED_VALUE"""),"Bu Eva (SU)")</f>
        <v>Bu Eva (SU)</v>
      </c>
      <c r="I1125" s="13" t="str">
        <f>IFERROR(__xludf.DUMMYFUNCTION("""COMPUTED_VALUE"""),"SELESAI (VIA PERMOHONAN)")</f>
        <v>SELESAI (VIA PERMOHONAN)</v>
      </c>
      <c r="J1125" s="17">
        <f>IFERROR(__xludf.DUMMYFUNCTION("""COMPUTED_VALUE"""),45702.63422523148)</f>
        <v>45702.63423</v>
      </c>
      <c r="K1125" s="13" t="str">
        <f>IFERROR(__xludf.DUMMYFUNCTION("""COMPUTED_VALUE"""),"Selesai")</f>
        <v>Selesai</v>
      </c>
      <c r="L1125" s="17">
        <f>IFERROR(__xludf.DUMMYFUNCTION("""COMPUTED_VALUE"""),45702.63422523148)</f>
        <v>45702.63423</v>
      </c>
      <c r="M1125" s="13"/>
      <c r="N1125" s="13" t="str">
        <f>IFERROR(__xludf.DUMMYFUNCTION("""COMPUTED_VALUE"""),"")</f>
        <v/>
      </c>
      <c r="O1125" s="13" t="str">
        <f t="shared" si="1"/>
        <v/>
      </c>
    </row>
    <row r="1126" ht="22.5" customHeight="1">
      <c r="B1126" s="13">
        <f>IFERROR(__xludf.DUMMYFUNCTION("""COMPUTED_VALUE"""),1121.0)</f>
        <v>1121</v>
      </c>
      <c r="C1126" s="13" t="str">
        <f>IFERROR(__xludf.DUMMYFUNCTION("""COMPUTED_VALUE"""),"B.8/PENGAJARAN")</f>
        <v>B.8/PENGAJARAN</v>
      </c>
      <c r="D1126" s="13" t="str">
        <f>IFERROR(__xludf.DUMMYFUNCTION("""COMPUTED_VALUE"""),"K/31/110225/1")</f>
        <v>K/31/110225/1</v>
      </c>
      <c r="E1126" s="14" t="str">
        <f>IFERROR(__xludf.DUMMYFUNCTION("""COMPUTED_VALUE"""),"Nadian (BT)")</f>
        <v>Nadian (BT)</v>
      </c>
      <c r="F1126" s="14" t="str">
        <f>IFERROR(__xludf.DUMMYFUNCTION("""COMPUTED_VALUE"""),"SELESAI (VIA PERMOHONAN)")</f>
        <v>SELESAI (VIA PERMOHONAN)</v>
      </c>
      <c r="G1126" s="17">
        <f>IFERROR(__xludf.DUMMYFUNCTION("""COMPUTED_VALUE"""),45702.58660733796)</f>
        <v>45702.58661</v>
      </c>
      <c r="H1126" s="14" t="str">
        <f>IFERROR(__xludf.DUMMYFUNCTION("""COMPUTED_VALUE"""),"Bu Eva (SU)")</f>
        <v>Bu Eva (SU)</v>
      </c>
      <c r="I1126" s="13" t="str">
        <f>IFERROR(__xludf.DUMMYFUNCTION("""COMPUTED_VALUE"""),"SELESAI (VIA PERMOHONAN)")</f>
        <v>SELESAI (VIA PERMOHONAN)</v>
      </c>
      <c r="J1126" s="17">
        <f>IFERROR(__xludf.DUMMYFUNCTION("""COMPUTED_VALUE"""),45702.63422523148)</f>
        <v>45702.63423</v>
      </c>
      <c r="K1126" s="13" t="str">
        <f>IFERROR(__xludf.DUMMYFUNCTION("""COMPUTED_VALUE"""),"Selesai")</f>
        <v>Selesai</v>
      </c>
      <c r="L1126" s="17">
        <f>IFERROR(__xludf.DUMMYFUNCTION("""COMPUTED_VALUE"""),45702.63422523148)</f>
        <v>45702.63423</v>
      </c>
      <c r="M1126" s="13"/>
      <c r="N1126" s="13" t="str">
        <f>IFERROR(__xludf.DUMMYFUNCTION("""COMPUTED_VALUE"""),"")</f>
        <v/>
      </c>
      <c r="O1126" s="13" t="str">
        <f t="shared" si="1"/>
        <v/>
      </c>
    </row>
    <row r="1127" ht="22.5" customHeight="1">
      <c r="B1127" s="13">
        <f>IFERROR(__xludf.DUMMYFUNCTION("""COMPUTED_VALUE"""),1122.0)</f>
        <v>1122</v>
      </c>
      <c r="C1127" s="13" t="str">
        <f>IFERROR(__xludf.DUMMYFUNCTION("""COMPUTED_VALUE"""),"M. 400/ Kemiling Permai")</f>
        <v>M. 400/ Kemiling Permai</v>
      </c>
      <c r="D1127" s="13" t="str">
        <f>IFERROR(__xludf.DUMMYFUNCTION("""COMPUTED_VALUE"""),"K/39/070225/2")</f>
        <v>K/39/070225/2</v>
      </c>
      <c r="E1127" s="14" t="str">
        <f>IFERROR(__xludf.DUMMYFUNCTION("""COMPUTED_VALUE"""),"Nadian (BT)")</f>
        <v>Nadian (BT)</v>
      </c>
      <c r="F1127" s="14" t="str">
        <f>IFERROR(__xludf.DUMMYFUNCTION("""COMPUTED_VALUE"""),"SELESAI (VIA PERMOHONAN)")</f>
        <v>SELESAI (VIA PERMOHONAN)</v>
      </c>
      <c r="G1127" s="17">
        <f>IFERROR(__xludf.DUMMYFUNCTION("""COMPUTED_VALUE"""),45702.58660733796)</f>
        <v>45702.58661</v>
      </c>
      <c r="H1127" s="14" t="str">
        <f>IFERROR(__xludf.DUMMYFUNCTION("""COMPUTED_VALUE"""),"Bu Eva (SU)")</f>
        <v>Bu Eva (SU)</v>
      </c>
      <c r="I1127" s="13" t="str">
        <f>IFERROR(__xludf.DUMMYFUNCTION("""COMPUTED_VALUE"""),"SELESAI (VIA PERMOHONAN)")</f>
        <v>SELESAI (VIA PERMOHONAN)</v>
      </c>
      <c r="J1127" s="17">
        <f>IFERROR(__xludf.DUMMYFUNCTION("""COMPUTED_VALUE"""),45702.634225243055)</f>
        <v>45702.63423</v>
      </c>
      <c r="K1127" s="13" t="str">
        <f>IFERROR(__xludf.DUMMYFUNCTION("""COMPUTED_VALUE"""),"Selesai")</f>
        <v>Selesai</v>
      </c>
      <c r="L1127" s="17">
        <f>IFERROR(__xludf.DUMMYFUNCTION("""COMPUTED_VALUE"""),45702.634225243055)</f>
        <v>45702.63423</v>
      </c>
      <c r="M1127" s="13"/>
      <c r="N1127" s="13" t="str">
        <f>IFERROR(__xludf.DUMMYFUNCTION("""COMPUTED_VALUE"""),"")</f>
        <v/>
      </c>
      <c r="O1127" s="13" t="str">
        <f t="shared" si="1"/>
        <v/>
      </c>
    </row>
    <row r="1128" ht="22.5" customHeight="1">
      <c r="B1128" s="13">
        <f>IFERROR(__xludf.DUMMYFUNCTION("""COMPUTED_VALUE"""),1123.0)</f>
        <v>1123</v>
      </c>
      <c r="C1128" s="13" t="str">
        <f>IFERROR(__xludf.DUMMYFUNCTION("""COMPUTED_VALUE"""),"MRS. 70/ Tanjungkarang")</f>
        <v>MRS. 70/ Tanjungkarang</v>
      </c>
      <c r="D1128" s="13" t="str">
        <f>IFERROR(__xludf.DUMMYFUNCTION("""COMPUTED_VALUE"""),"K/13/100225/4")</f>
        <v>K/13/100225/4</v>
      </c>
      <c r="E1128" s="14" t="str">
        <f>IFERROR(__xludf.DUMMYFUNCTION("""COMPUTED_VALUE"""),"Nadian (BT)")</f>
        <v>Nadian (BT)</v>
      </c>
      <c r="F1128" s="14" t="str">
        <f>IFERROR(__xludf.DUMMYFUNCTION("""COMPUTED_VALUE"""),"SELESAI (VIA PERMOHONAN)")</f>
        <v>SELESAI (VIA PERMOHONAN)</v>
      </c>
      <c r="G1128" s="17">
        <f>IFERROR(__xludf.DUMMYFUNCTION("""COMPUTED_VALUE"""),45702.58660733796)</f>
        <v>45702.58661</v>
      </c>
      <c r="H1128" s="14" t="str">
        <f>IFERROR(__xludf.DUMMYFUNCTION("""COMPUTED_VALUE"""),"Bu Eva (SU)")</f>
        <v>Bu Eva (SU)</v>
      </c>
      <c r="I1128" s="13" t="str">
        <f>IFERROR(__xludf.DUMMYFUNCTION("""COMPUTED_VALUE"""),"SELESAI (VIA PERMOHONAN)")</f>
        <v>SELESAI (VIA PERMOHONAN)</v>
      </c>
      <c r="J1128" s="17">
        <f>IFERROR(__xludf.DUMMYFUNCTION("""COMPUTED_VALUE"""),45702.634225243055)</f>
        <v>45702.63423</v>
      </c>
      <c r="K1128" s="13" t="str">
        <f>IFERROR(__xludf.DUMMYFUNCTION("""COMPUTED_VALUE"""),"Selesai")</f>
        <v>Selesai</v>
      </c>
      <c r="L1128" s="17">
        <f>IFERROR(__xludf.DUMMYFUNCTION("""COMPUTED_VALUE"""),45702.634225243055)</f>
        <v>45702.63423</v>
      </c>
      <c r="M1128" s="13"/>
      <c r="N1128" s="13" t="str">
        <f>IFERROR(__xludf.DUMMYFUNCTION("""COMPUTED_VALUE"""),"")</f>
        <v/>
      </c>
      <c r="O1128" s="13" t="str">
        <f t="shared" si="1"/>
        <v/>
      </c>
    </row>
    <row r="1129" ht="22.5" customHeight="1">
      <c r="B1129" s="13">
        <f>IFERROR(__xludf.DUMMYFUNCTION("""COMPUTED_VALUE"""),1124.0)</f>
        <v>1124</v>
      </c>
      <c r="C1129" s="13" t="str">
        <f>IFERROR(__xludf.DUMMYFUNCTION("""COMPUTED_VALUE"""),"M.1473/KUPANG TEBA")</f>
        <v>M.1473/KUPANG TEBA</v>
      </c>
      <c r="D1129" s="13" t="str">
        <f>IFERROR(__xludf.DUMMYFUNCTION("""COMPUTED_VALUE"""),"K/51/100225/1")</f>
        <v>K/51/100225/1</v>
      </c>
      <c r="E1129" s="14" t="str">
        <f>IFERROR(__xludf.DUMMYFUNCTION("""COMPUTED_VALUE"""),"Nadian (BT)")</f>
        <v>Nadian (BT)</v>
      </c>
      <c r="F1129" s="14" t="str">
        <f>IFERROR(__xludf.DUMMYFUNCTION("""COMPUTED_VALUE"""),"SELESAI (VIA PERMOHONAN)")</f>
        <v>SELESAI (VIA PERMOHONAN)</v>
      </c>
      <c r="G1129" s="17">
        <f>IFERROR(__xludf.DUMMYFUNCTION("""COMPUTED_VALUE"""),45702.5866437963)</f>
        <v>45702.58664</v>
      </c>
      <c r="H1129" s="14" t="str">
        <f>IFERROR(__xludf.DUMMYFUNCTION("""COMPUTED_VALUE"""),"Bu Eva (SU)")</f>
        <v>Bu Eva (SU)</v>
      </c>
      <c r="I1129" s="13" t="str">
        <f>IFERROR(__xludf.DUMMYFUNCTION("""COMPUTED_VALUE"""),"SELESAI (VIA PERMOHONAN)")</f>
        <v>SELESAI (VIA PERMOHONAN)</v>
      </c>
      <c r="J1129" s="17">
        <f>IFERROR(__xludf.DUMMYFUNCTION("""COMPUTED_VALUE"""),45702.634225243055)</f>
        <v>45702.63423</v>
      </c>
      <c r="K1129" s="13" t="str">
        <f>IFERROR(__xludf.DUMMYFUNCTION("""COMPUTED_VALUE"""),"Selesai")</f>
        <v>Selesai</v>
      </c>
      <c r="L1129" s="17">
        <f>IFERROR(__xludf.DUMMYFUNCTION("""COMPUTED_VALUE"""),45702.634225243055)</f>
        <v>45702.63423</v>
      </c>
      <c r="M1129" s="13"/>
      <c r="N1129" s="13" t="str">
        <f>IFERROR(__xludf.DUMMYFUNCTION("""COMPUTED_VALUE"""),"")</f>
        <v/>
      </c>
      <c r="O1129" s="13" t="str">
        <f t="shared" si="1"/>
        <v/>
      </c>
    </row>
    <row r="1130" ht="22.5" customHeight="1">
      <c r="B1130" s="13">
        <f>IFERROR(__xludf.DUMMYFUNCTION("""COMPUTED_VALUE"""),1125.0)</f>
        <v>1125</v>
      </c>
      <c r="C1130" s="13" t="str">
        <f>IFERROR(__xludf.DUMMYFUNCTION("""COMPUTED_VALUE"""),"M.202/RAJABASA PEMUKA")</f>
        <v>M.202/RAJABASA PEMUKA</v>
      </c>
      <c r="D1130" s="13" t="str">
        <f>IFERROR(__xludf.DUMMYFUNCTION("""COMPUTED_VALUE"""),"K/55/100225/2")</f>
        <v>K/55/100225/2</v>
      </c>
      <c r="E1130" s="14" t="str">
        <f>IFERROR(__xludf.DUMMYFUNCTION("""COMPUTED_VALUE"""),"Nadian (BT)")</f>
        <v>Nadian (BT)</v>
      </c>
      <c r="F1130" s="14" t="str">
        <f>IFERROR(__xludf.DUMMYFUNCTION("""COMPUTED_VALUE"""),"SELESAI (VIA PERMOHONAN)")</f>
        <v>SELESAI (VIA PERMOHONAN)</v>
      </c>
      <c r="G1130" s="17">
        <f>IFERROR(__xludf.DUMMYFUNCTION("""COMPUTED_VALUE"""),45702.58664380787)</f>
        <v>45702.58664</v>
      </c>
      <c r="H1130" s="14" t="str">
        <f>IFERROR(__xludf.DUMMYFUNCTION("""COMPUTED_VALUE"""),"Bu Eva (SU)")</f>
        <v>Bu Eva (SU)</v>
      </c>
      <c r="I1130" s="13" t="str">
        <f>IFERROR(__xludf.DUMMYFUNCTION("""COMPUTED_VALUE"""),"SELESAI (VIA PERMOHONAN)")</f>
        <v>SELESAI (VIA PERMOHONAN)</v>
      </c>
      <c r="J1130" s="17">
        <f>IFERROR(__xludf.DUMMYFUNCTION("""COMPUTED_VALUE"""),45702.634225243055)</f>
        <v>45702.63423</v>
      </c>
      <c r="K1130" s="13" t="str">
        <f>IFERROR(__xludf.DUMMYFUNCTION("""COMPUTED_VALUE"""),"Selesai")</f>
        <v>Selesai</v>
      </c>
      <c r="L1130" s="17">
        <f>IFERROR(__xludf.DUMMYFUNCTION("""COMPUTED_VALUE"""),45702.634225243055)</f>
        <v>45702.63423</v>
      </c>
      <c r="M1130" s="13"/>
      <c r="N1130" s="13" t="str">
        <f>IFERROR(__xludf.DUMMYFUNCTION("""COMPUTED_VALUE"""),"")</f>
        <v/>
      </c>
      <c r="O1130" s="13" t="str">
        <f t="shared" si="1"/>
        <v/>
      </c>
    </row>
    <row r="1131" ht="22.5" customHeight="1">
      <c r="B1131" s="13">
        <f>IFERROR(__xludf.DUMMYFUNCTION("""COMPUTED_VALUE"""),1126.0)</f>
        <v>1126</v>
      </c>
      <c r="C1131" s="13" t="str">
        <f>IFERROR(__xludf.DUMMYFUNCTION("""COMPUTED_VALUE"""),"M.78/KOTA SEPANG")</f>
        <v>M.78/KOTA SEPANG</v>
      </c>
      <c r="D1131" s="13" t="str">
        <f>IFERROR(__xludf.DUMMYFUNCTION("""COMPUTED_VALUE"""),"K/5/060225/2")</f>
        <v>K/5/060225/2</v>
      </c>
      <c r="E1131" s="14" t="str">
        <f>IFERROR(__xludf.DUMMYFUNCTION("""COMPUTED_VALUE"""),"Nadian (BT)")</f>
        <v>Nadian (BT)</v>
      </c>
      <c r="F1131" s="14" t="str">
        <f>IFERROR(__xludf.DUMMYFUNCTION("""COMPUTED_VALUE"""),"SELESAI (VIA PERMOHONAN)")</f>
        <v>SELESAI (VIA PERMOHONAN)</v>
      </c>
      <c r="G1131" s="17">
        <f>IFERROR(__xludf.DUMMYFUNCTION("""COMPUTED_VALUE"""),45702.58664380787)</f>
        <v>45702.58664</v>
      </c>
      <c r="H1131" s="14" t="str">
        <f>IFERROR(__xludf.DUMMYFUNCTION("""COMPUTED_VALUE"""),"Bu Eva (SU)")</f>
        <v>Bu Eva (SU)</v>
      </c>
      <c r="I1131" s="13" t="str">
        <f>IFERROR(__xludf.DUMMYFUNCTION("""COMPUTED_VALUE"""),"SELESAI (VIA PERMOHONAN)")</f>
        <v>SELESAI (VIA PERMOHONAN)</v>
      </c>
      <c r="J1131" s="17">
        <f>IFERROR(__xludf.DUMMYFUNCTION("""COMPUTED_VALUE"""),45702.634225243055)</f>
        <v>45702.63423</v>
      </c>
      <c r="K1131" s="13" t="str">
        <f>IFERROR(__xludf.DUMMYFUNCTION("""COMPUTED_VALUE"""),"Selesai")</f>
        <v>Selesai</v>
      </c>
      <c r="L1131" s="17">
        <f>IFERROR(__xludf.DUMMYFUNCTION("""COMPUTED_VALUE"""),45702.634225243055)</f>
        <v>45702.63423</v>
      </c>
      <c r="M1131" s="13"/>
      <c r="N1131" s="13" t="str">
        <f>IFERROR(__xludf.DUMMYFUNCTION("""COMPUTED_VALUE"""),"")</f>
        <v/>
      </c>
      <c r="O1131" s="13" t="str">
        <f t="shared" si="1"/>
        <v/>
      </c>
    </row>
    <row r="1132" ht="22.5" customHeight="1">
      <c r="B1132" s="13">
        <f>IFERROR(__xludf.DUMMYFUNCTION("""COMPUTED_VALUE"""),1127.0)</f>
        <v>1127</v>
      </c>
      <c r="C1132" s="13" t="str">
        <f>IFERROR(__xludf.DUMMYFUNCTION("""COMPUTED_VALUE"""),"B.315/LABUHAN RATU RAYA")</f>
        <v>B.315/LABUHAN RATU RAYA</v>
      </c>
      <c r="D1132" s="13" t="str">
        <f>IFERROR(__xludf.DUMMYFUNCTION("""COMPUTED_VALUE"""),"K/15/070225/2")</f>
        <v>K/15/070225/2</v>
      </c>
      <c r="E1132" s="14" t="str">
        <f>IFERROR(__xludf.DUMMYFUNCTION("""COMPUTED_VALUE"""),"Nadian (BT)")</f>
        <v>Nadian (BT)</v>
      </c>
      <c r="F1132" s="14" t="str">
        <f>IFERROR(__xludf.DUMMYFUNCTION("""COMPUTED_VALUE"""),"SELESAI (VIA PERMOHONAN)")</f>
        <v>SELESAI (VIA PERMOHONAN)</v>
      </c>
      <c r="G1132" s="17">
        <f>IFERROR(__xludf.DUMMYFUNCTION("""COMPUTED_VALUE"""),45702.58664380787)</f>
        <v>45702.58664</v>
      </c>
      <c r="H1132" s="14" t="str">
        <f>IFERROR(__xludf.DUMMYFUNCTION("""COMPUTED_VALUE"""),"Bu Eva (SU)")</f>
        <v>Bu Eva (SU)</v>
      </c>
      <c r="I1132" s="13" t="str">
        <f>IFERROR(__xludf.DUMMYFUNCTION("""COMPUTED_VALUE"""),"SELESAI (VIA PERMOHONAN)")</f>
        <v>SELESAI (VIA PERMOHONAN)</v>
      </c>
      <c r="J1132" s="17">
        <f>IFERROR(__xludf.DUMMYFUNCTION("""COMPUTED_VALUE"""),45702.63427040509)</f>
        <v>45702.63427</v>
      </c>
      <c r="K1132" s="13" t="str">
        <f>IFERROR(__xludf.DUMMYFUNCTION("""COMPUTED_VALUE"""),"Selesai")</f>
        <v>Selesai</v>
      </c>
      <c r="L1132" s="17">
        <f>IFERROR(__xludf.DUMMYFUNCTION("""COMPUTED_VALUE"""),45702.63427040509)</f>
        <v>45702.63427</v>
      </c>
      <c r="M1132" s="13"/>
      <c r="N1132" s="13" t="str">
        <f>IFERROR(__xludf.DUMMYFUNCTION("""COMPUTED_VALUE"""),"")</f>
        <v/>
      </c>
      <c r="O1132" s="13" t="str">
        <f t="shared" si="1"/>
        <v/>
      </c>
    </row>
    <row r="1133" ht="22.5" customHeight="1">
      <c r="B1133" s="13">
        <f>IFERROR(__xludf.DUMMYFUNCTION("""COMPUTED_VALUE"""),1128.0)</f>
        <v>1128</v>
      </c>
      <c r="C1133" s="13" t="str">
        <f>IFERROR(__xludf.DUMMYFUNCTION("""COMPUTED_VALUE"""),"B.314/LABUHAN RATU RAYA")</f>
        <v>B.314/LABUHAN RATU RAYA</v>
      </c>
      <c r="D1133" s="13" t="str">
        <f>IFERROR(__xludf.DUMMYFUNCTION("""COMPUTED_VALUE"""),"K/17/070225/4")</f>
        <v>K/17/070225/4</v>
      </c>
      <c r="E1133" s="14" t="str">
        <f>IFERROR(__xludf.DUMMYFUNCTION("""COMPUTED_VALUE"""),"Nadian (BT)")</f>
        <v>Nadian (BT)</v>
      </c>
      <c r="F1133" s="14" t="str">
        <f>IFERROR(__xludf.DUMMYFUNCTION("""COMPUTED_VALUE"""),"SELESAI (VIA PERMOHONAN)")</f>
        <v>SELESAI (VIA PERMOHONAN)</v>
      </c>
      <c r="G1133" s="17">
        <f>IFERROR(__xludf.DUMMYFUNCTION("""COMPUTED_VALUE"""),45702.58664380787)</f>
        <v>45702.58664</v>
      </c>
      <c r="H1133" s="14" t="str">
        <f>IFERROR(__xludf.DUMMYFUNCTION("""COMPUTED_VALUE"""),"Bu Eva (SU)")</f>
        <v>Bu Eva (SU)</v>
      </c>
      <c r="I1133" s="13" t="str">
        <f>IFERROR(__xludf.DUMMYFUNCTION("""COMPUTED_VALUE"""),"SELESAI (VIA PERMOHONAN)")</f>
        <v>SELESAI (VIA PERMOHONAN)</v>
      </c>
      <c r="J1133" s="17">
        <f>IFERROR(__xludf.DUMMYFUNCTION("""COMPUTED_VALUE"""),45702.63427040509)</f>
        <v>45702.63427</v>
      </c>
      <c r="K1133" s="13" t="str">
        <f>IFERROR(__xludf.DUMMYFUNCTION("""COMPUTED_VALUE"""),"Selesai")</f>
        <v>Selesai</v>
      </c>
      <c r="L1133" s="17">
        <f>IFERROR(__xludf.DUMMYFUNCTION("""COMPUTED_VALUE"""),45702.63427040509)</f>
        <v>45702.63427</v>
      </c>
      <c r="M1133" s="13"/>
      <c r="N1133" s="13" t="str">
        <f>IFERROR(__xludf.DUMMYFUNCTION("""COMPUTED_VALUE"""),"")</f>
        <v/>
      </c>
      <c r="O1133" s="13" t="str">
        <f t="shared" si="1"/>
        <v/>
      </c>
    </row>
    <row r="1134" ht="22.5" customHeight="1">
      <c r="B1134" s="13">
        <f>IFERROR(__xludf.DUMMYFUNCTION("""COMPUTED_VALUE"""),1129.0)</f>
        <v>1129</v>
      </c>
      <c r="C1134" s="13" t="str">
        <f>IFERROR(__xludf.DUMMYFUNCTION("""COMPUTED_VALUE"""),"M. 1921/ Rajabasa Raya")</f>
        <v>M. 1921/ Rajabasa Raya</v>
      </c>
      <c r="D1134" s="13" t="str">
        <f>IFERROR(__xludf.DUMMYFUNCTION("""COMPUTED_VALUE"""),"K/37/060225/1")</f>
        <v>K/37/060225/1</v>
      </c>
      <c r="E1134" s="14" t="str">
        <f>IFERROR(__xludf.DUMMYFUNCTION("""COMPUTED_VALUE"""),"Afriza (BT)")</f>
        <v>Afriza (BT)</v>
      </c>
      <c r="F1134" s="14" t="str">
        <f>IFERROR(__xludf.DUMMYFUNCTION("""COMPUTED_VALUE"""),"SELESAI (VIA PERMOHONAN)")</f>
        <v>SELESAI (VIA PERMOHONAN)</v>
      </c>
      <c r="G1134" s="17">
        <f>IFERROR(__xludf.DUMMYFUNCTION("""COMPUTED_VALUE"""),45702.63458677083)</f>
        <v>45702.63459</v>
      </c>
      <c r="H1134" s="14" t="str">
        <f>IFERROR(__xludf.DUMMYFUNCTION("""COMPUTED_VALUE"""),"Bu Eva (SU)")</f>
        <v>Bu Eva (SU)</v>
      </c>
      <c r="I1134" s="13" t="str">
        <f>IFERROR(__xludf.DUMMYFUNCTION("""COMPUTED_VALUE"""),"SELESAI (VIA PERMOHONAN)")</f>
        <v>SELESAI (VIA PERMOHONAN)</v>
      </c>
      <c r="J1134" s="17">
        <f>IFERROR(__xludf.DUMMYFUNCTION("""COMPUTED_VALUE"""),45702.63427040509)</f>
        <v>45702.63427</v>
      </c>
      <c r="K1134" s="13" t="str">
        <f>IFERROR(__xludf.DUMMYFUNCTION("""COMPUTED_VALUE"""),"Selesai")</f>
        <v>Selesai</v>
      </c>
      <c r="L1134" s="17">
        <f>IFERROR(__xludf.DUMMYFUNCTION("""COMPUTED_VALUE"""),45702.63427040509)</f>
        <v>45702.63427</v>
      </c>
      <c r="M1134" s="13"/>
      <c r="N1134" s="13" t="str">
        <f>IFERROR(__xludf.DUMMYFUNCTION("""COMPUTED_VALUE"""),"")</f>
        <v/>
      </c>
      <c r="O1134" s="13" t="str">
        <f t="shared" si="1"/>
        <v/>
      </c>
    </row>
    <row r="1135" ht="22.5" customHeight="1">
      <c r="B1135" s="13">
        <f>IFERROR(__xludf.DUMMYFUNCTION("""COMPUTED_VALUE"""),1130.0)</f>
        <v>1130</v>
      </c>
      <c r="C1135" s="13" t="str">
        <f>IFERROR(__xludf.DUMMYFUNCTION("""COMPUTED_VALUE"""),"M. 2072/ Labuhan Rau Raya")</f>
        <v>M. 2072/ Labuhan Rau Raya</v>
      </c>
      <c r="D1135" s="13" t="str">
        <f>IFERROR(__xludf.DUMMYFUNCTION("""COMPUTED_VALUE"""),"K/24/060225/3")</f>
        <v>K/24/060225/3</v>
      </c>
      <c r="E1135" s="14" t="str">
        <f>IFERROR(__xludf.DUMMYFUNCTION("""COMPUTED_VALUE"""),"Afriza (BT)")</f>
        <v>Afriza (BT)</v>
      </c>
      <c r="F1135" s="14" t="str">
        <f>IFERROR(__xludf.DUMMYFUNCTION("""COMPUTED_VALUE"""),"SELESAI (VIA PERMOHONAN)")</f>
        <v>SELESAI (VIA PERMOHONAN)</v>
      </c>
      <c r="G1135" s="17">
        <f>IFERROR(__xludf.DUMMYFUNCTION("""COMPUTED_VALUE"""),45702.63488508102)</f>
        <v>45702.63489</v>
      </c>
      <c r="H1135" s="14" t="str">
        <f>IFERROR(__xludf.DUMMYFUNCTION("""COMPUTED_VALUE"""),"Bu Eva (SU)")</f>
        <v>Bu Eva (SU)</v>
      </c>
      <c r="I1135" s="13" t="str">
        <f>IFERROR(__xludf.DUMMYFUNCTION("""COMPUTED_VALUE"""),"SELESAI (VIA PERMOHONAN)")</f>
        <v>SELESAI (VIA PERMOHONAN)</v>
      </c>
      <c r="J1135" s="17">
        <f>IFERROR(__xludf.DUMMYFUNCTION("""COMPUTED_VALUE"""),45702.63427040509)</f>
        <v>45702.63427</v>
      </c>
      <c r="K1135" s="13" t="str">
        <f>IFERROR(__xludf.DUMMYFUNCTION("""COMPUTED_VALUE"""),"Selesai")</f>
        <v>Selesai</v>
      </c>
      <c r="L1135" s="17">
        <f>IFERROR(__xludf.DUMMYFUNCTION("""COMPUTED_VALUE"""),45702.63427040509)</f>
        <v>45702.63427</v>
      </c>
      <c r="M1135" s="13"/>
      <c r="N1135" s="13" t="str">
        <f>IFERROR(__xludf.DUMMYFUNCTION("""COMPUTED_VALUE"""),"")</f>
        <v/>
      </c>
      <c r="O1135" s="13" t="str">
        <f t="shared" si="1"/>
        <v/>
      </c>
    </row>
    <row r="1136" ht="22.5" customHeight="1">
      <c r="B1136" s="13">
        <f>IFERROR(__xludf.DUMMYFUNCTION("""COMPUTED_VALUE"""),1131.0)</f>
        <v>1131</v>
      </c>
      <c r="C1136" s="13" t="str">
        <f>IFERROR(__xludf.DUMMYFUNCTION("""COMPUTED_VALUE"""),"B. 679/ Sumber Agung")</f>
        <v>B. 679/ Sumber Agung</v>
      </c>
      <c r="D1136" s="13" t="str">
        <f>IFERROR(__xludf.DUMMYFUNCTION("""COMPUTED_VALUE"""),"K/9/301224/2")</f>
        <v>K/9/301224/2</v>
      </c>
      <c r="E1136" s="14" t="str">
        <f>IFERROR(__xludf.DUMMYFUNCTION("""COMPUTED_VALUE"""),"Afriza (BT)")</f>
        <v>Afriza (BT)</v>
      </c>
      <c r="F1136" s="14" t="str">
        <f>IFERROR(__xludf.DUMMYFUNCTION("""COMPUTED_VALUE"""),"SELESAI (VIA PERMOHONAN)")</f>
        <v>SELESAI (VIA PERMOHONAN)</v>
      </c>
      <c r="G1136" s="17">
        <f>IFERROR(__xludf.DUMMYFUNCTION("""COMPUTED_VALUE"""),45702.635129884264)</f>
        <v>45702.63513</v>
      </c>
      <c r="H1136" s="14" t="str">
        <f>IFERROR(__xludf.DUMMYFUNCTION("""COMPUTED_VALUE"""),"Bu Eva (SU)")</f>
        <v>Bu Eva (SU)</v>
      </c>
      <c r="I1136" s="13" t="str">
        <f>IFERROR(__xludf.DUMMYFUNCTION("""COMPUTED_VALUE"""),"SELESAI (VIA PERMOHONAN)")</f>
        <v>SELESAI (VIA PERMOHONAN)</v>
      </c>
      <c r="J1136" s="17">
        <f>IFERROR(__xludf.DUMMYFUNCTION("""COMPUTED_VALUE"""),45702.63427040509)</f>
        <v>45702.63427</v>
      </c>
      <c r="K1136" s="13" t="str">
        <f>IFERROR(__xludf.DUMMYFUNCTION("""COMPUTED_VALUE"""),"Selesai")</f>
        <v>Selesai</v>
      </c>
      <c r="L1136" s="17">
        <f>IFERROR(__xludf.DUMMYFUNCTION("""COMPUTED_VALUE"""),45702.63427040509)</f>
        <v>45702.63427</v>
      </c>
      <c r="M1136" s="13"/>
      <c r="N1136" s="13" t="str">
        <f>IFERROR(__xludf.DUMMYFUNCTION("""COMPUTED_VALUE"""),"")</f>
        <v/>
      </c>
      <c r="O1136" s="13" t="str">
        <f t="shared" si="1"/>
        <v/>
      </c>
    </row>
    <row r="1137" ht="22.5" customHeight="1">
      <c r="B1137" s="13">
        <f>IFERROR(__xludf.DUMMYFUNCTION("""COMPUTED_VALUE"""),1132.0)</f>
        <v>1132</v>
      </c>
      <c r="C1137" s="13" t="str">
        <f>IFERROR(__xludf.DUMMYFUNCTION("""COMPUTED_VALUE"""),"M. 12426/ Sukarame I")</f>
        <v>M. 12426/ Sukarame I</v>
      </c>
      <c r="D1137" s="13" t="str">
        <f>IFERROR(__xludf.DUMMYFUNCTION("""COMPUTED_VALUE"""),"K/9/060225/1")</f>
        <v>K/9/060225/1</v>
      </c>
      <c r="E1137" s="14" t="str">
        <f>IFERROR(__xludf.DUMMYFUNCTION("""COMPUTED_VALUE"""),"Afriza (BT)")</f>
        <v>Afriza (BT)</v>
      </c>
      <c r="F1137" s="14" t="str">
        <f>IFERROR(__xludf.DUMMYFUNCTION("""COMPUTED_VALUE"""),"SELESAI (VIA PERMOHONAN)")</f>
        <v>SELESAI (VIA PERMOHONAN)</v>
      </c>
      <c r="G1137" s="17">
        <f>IFERROR(__xludf.DUMMYFUNCTION("""COMPUTED_VALUE"""),45702.6353821875)</f>
        <v>45702.63538</v>
      </c>
      <c r="H1137" s="14" t="str">
        <f>IFERROR(__xludf.DUMMYFUNCTION("""COMPUTED_VALUE"""),"Bu Eva (SU)")</f>
        <v>Bu Eva (SU)</v>
      </c>
      <c r="I1137" s="13" t="str">
        <f>IFERROR(__xludf.DUMMYFUNCTION("""COMPUTED_VALUE"""),"SELESAI (VIA PERMOHONAN)")</f>
        <v>SELESAI (VIA PERMOHONAN)</v>
      </c>
      <c r="J1137" s="17">
        <f>IFERROR(__xludf.DUMMYFUNCTION("""COMPUTED_VALUE"""),45702.63427040509)</f>
        <v>45702.63427</v>
      </c>
      <c r="K1137" s="13" t="str">
        <f>IFERROR(__xludf.DUMMYFUNCTION("""COMPUTED_VALUE"""),"Selesai")</f>
        <v>Selesai</v>
      </c>
      <c r="L1137" s="17">
        <f>IFERROR(__xludf.DUMMYFUNCTION("""COMPUTED_VALUE"""),45702.63427040509)</f>
        <v>45702.63427</v>
      </c>
      <c r="M1137" s="13"/>
      <c r="N1137" s="13" t="str">
        <f>IFERROR(__xludf.DUMMYFUNCTION("""COMPUTED_VALUE"""),"")</f>
        <v/>
      </c>
      <c r="O1137" s="13" t="str">
        <f t="shared" si="1"/>
        <v/>
      </c>
    </row>
    <row r="1138" ht="22.5" customHeight="1">
      <c r="B1138" s="13">
        <f>IFERROR(__xludf.DUMMYFUNCTION("""COMPUTED_VALUE"""),1133.0)</f>
        <v>1133</v>
      </c>
      <c r="C1138" s="13" t="str">
        <f>IFERROR(__xludf.DUMMYFUNCTION("""COMPUTED_VALUE"""),"M. 11823/ Sukarame I")</f>
        <v>M. 11823/ Sukarame I</v>
      </c>
      <c r="D1138" s="13" t="str">
        <f>IFERROR(__xludf.DUMMYFUNCTION("""COMPUTED_VALUE"""),"K/25/060225/4")</f>
        <v>K/25/060225/4</v>
      </c>
      <c r="E1138" s="14" t="str">
        <f>IFERROR(__xludf.DUMMYFUNCTION("""COMPUTED_VALUE"""),"Afriza (BT)")</f>
        <v>Afriza (BT)</v>
      </c>
      <c r="F1138" s="14" t="str">
        <f>IFERROR(__xludf.DUMMYFUNCTION("""COMPUTED_VALUE"""),"SELESAI (VIA PERMOHONAN)")</f>
        <v>SELESAI (VIA PERMOHONAN)</v>
      </c>
      <c r="G1138" s="17">
        <f>IFERROR(__xludf.DUMMYFUNCTION("""COMPUTED_VALUE"""),45702.63571171297)</f>
        <v>45702.63571</v>
      </c>
      <c r="H1138" s="14" t="str">
        <f>IFERROR(__xludf.DUMMYFUNCTION("""COMPUTED_VALUE"""),"Bu Eva (SU)")</f>
        <v>Bu Eva (SU)</v>
      </c>
      <c r="I1138" s="13" t="str">
        <f>IFERROR(__xludf.DUMMYFUNCTION("""COMPUTED_VALUE"""),"SELESAI (VIA PERMOHONAN)")</f>
        <v>SELESAI (VIA PERMOHONAN)</v>
      </c>
      <c r="J1138" s="17">
        <f>IFERROR(__xludf.DUMMYFUNCTION("""COMPUTED_VALUE"""),45702.63427040509)</f>
        <v>45702.63427</v>
      </c>
      <c r="K1138" s="13" t="str">
        <f>IFERROR(__xludf.DUMMYFUNCTION("""COMPUTED_VALUE"""),"Selesai")</f>
        <v>Selesai</v>
      </c>
      <c r="L1138" s="17">
        <f>IFERROR(__xludf.DUMMYFUNCTION("""COMPUTED_VALUE"""),45702.63427040509)</f>
        <v>45702.63427</v>
      </c>
      <c r="M1138" s="13"/>
      <c r="N1138" s="13" t="str">
        <f>IFERROR(__xludf.DUMMYFUNCTION("""COMPUTED_VALUE"""),"")</f>
        <v/>
      </c>
      <c r="O1138" s="13" t="str">
        <f t="shared" si="1"/>
        <v/>
      </c>
    </row>
    <row r="1139" ht="22.5" customHeight="1">
      <c r="B1139" s="13">
        <f>IFERROR(__xludf.DUMMYFUNCTION("""COMPUTED_VALUE"""),1134.0)</f>
        <v>1134</v>
      </c>
      <c r="C1139" s="13" t="str">
        <f>IFERROR(__xludf.DUMMYFUNCTION("""COMPUTED_VALUE"""),"M. 1/ Gedong Air")</f>
        <v>M. 1/ Gedong Air</v>
      </c>
      <c r="D1139" s="13" t="str">
        <f>IFERROR(__xludf.DUMMYFUNCTION("""COMPUTED_VALUE"""),"K/10/110225/2")</f>
        <v>K/10/110225/2</v>
      </c>
      <c r="E1139" s="14" t="str">
        <f>IFERROR(__xludf.DUMMYFUNCTION("""COMPUTED_VALUE"""),"Afriza (BT)")</f>
        <v>Afriza (BT)</v>
      </c>
      <c r="F1139" s="14" t="str">
        <f>IFERROR(__xludf.DUMMYFUNCTION("""COMPUTED_VALUE"""),"SELESAI (VIA PERMOHONAN)")</f>
        <v>SELESAI (VIA PERMOHONAN)</v>
      </c>
      <c r="G1139" s="17">
        <f>IFERROR(__xludf.DUMMYFUNCTION("""COMPUTED_VALUE"""),45702.636834178236)</f>
        <v>45702.63683</v>
      </c>
      <c r="H1139" s="14" t="str">
        <f>IFERROR(__xludf.DUMMYFUNCTION("""COMPUTED_VALUE"""),"Bu Eva (SU)")</f>
        <v>Bu Eva (SU)</v>
      </c>
      <c r="I1139" s="13" t="str">
        <f>IFERROR(__xludf.DUMMYFUNCTION("""COMPUTED_VALUE"""),"SELESAI (VIA PERMOHONAN)")</f>
        <v>SELESAI (VIA PERMOHONAN)</v>
      </c>
      <c r="J1139" s="17">
        <f>IFERROR(__xludf.DUMMYFUNCTION("""COMPUTED_VALUE"""),45702.63427040509)</f>
        <v>45702.63427</v>
      </c>
      <c r="K1139" s="13" t="str">
        <f>IFERROR(__xludf.DUMMYFUNCTION("""COMPUTED_VALUE"""),"Selesai")</f>
        <v>Selesai</v>
      </c>
      <c r="L1139" s="17">
        <f>IFERROR(__xludf.DUMMYFUNCTION("""COMPUTED_VALUE"""),45702.63427040509)</f>
        <v>45702.63427</v>
      </c>
      <c r="M1139" s="13"/>
      <c r="N1139" s="13" t="str">
        <f>IFERROR(__xludf.DUMMYFUNCTION("""COMPUTED_VALUE"""),"shm m. 1/gedong air di lembar monitoring tidak ada")</f>
        <v>shm m. 1/gedong air di lembar monitoring tidak ada</v>
      </c>
      <c r="O1139" s="13">
        <f t="shared" si="1"/>
        <v>1</v>
      </c>
    </row>
    <row r="1140" ht="22.5" customHeight="1">
      <c r="B1140" s="13">
        <f>IFERROR(__xludf.DUMMYFUNCTION("""COMPUTED_VALUE"""),1135.0)</f>
        <v>1135</v>
      </c>
      <c r="C1140" s="13" t="str">
        <f>IFERROR(__xludf.DUMMYFUNCTION("""COMPUTED_VALUE"""),"M. 1396/ Sumberrejo sejahtera")</f>
        <v>M. 1396/ Sumberrejo sejahtera</v>
      </c>
      <c r="D1140" s="13" t="str">
        <f>IFERROR(__xludf.DUMMYFUNCTION("""COMPUTED_VALUE"""),"K/1/060225/1")</f>
        <v>K/1/060225/1</v>
      </c>
      <c r="E1140" s="14" t="str">
        <f>IFERROR(__xludf.DUMMYFUNCTION("""COMPUTED_VALUE"""),"Afriza (BT)")</f>
        <v>Afriza (BT)</v>
      </c>
      <c r="F1140" s="14" t="str">
        <f>IFERROR(__xludf.DUMMYFUNCTION("""COMPUTED_VALUE"""),"SELESAI (VIA PERMOHONAN)")</f>
        <v>SELESAI (VIA PERMOHONAN)</v>
      </c>
      <c r="G1140" s="17">
        <f>IFERROR(__xludf.DUMMYFUNCTION("""COMPUTED_VALUE"""),45705.58340895834)</f>
        <v>45705.58341</v>
      </c>
      <c r="H1140" s="14" t="str">
        <f>IFERROR(__xludf.DUMMYFUNCTION("""COMPUTED_VALUE"""),"Bu Eva (SU)")</f>
        <v>Bu Eva (SU)</v>
      </c>
      <c r="I1140" s="13" t="str">
        <f>IFERROR(__xludf.DUMMYFUNCTION("""COMPUTED_VALUE"""),"SELESAI (VIA PERMOHONAN)")</f>
        <v>SELESAI (VIA PERMOHONAN)</v>
      </c>
      <c r="J1140" s="17">
        <f>IFERROR(__xludf.DUMMYFUNCTION("""COMPUTED_VALUE"""),45702.63427040509)</f>
        <v>45702.63427</v>
      </c>
      <c r="K1140" s="13" t="str">
        <f>IFERROR(__xludf.DUMMYFUNCTION("""COMPUTED_VALUE"""),"Selesai")</f>
        <v>Selesai</v>
      </c>
      <c r="L1140" s="17">
        <f>IFERROR(__xludf.DUMMYFUNCTION("""COMPUTED_VALUE"""),45702.63427040509)</f>
        <v>45702.63427</v>
      </c>
      <c r="M1140" s="13"/>
      <c r="N1140" s="13" t="str">
        <f>IFERROR(__xludf.DUMMYFUNCTION("""COMPUTED_VALUE"""),"")</f>
        <v/>
      </c>
      <c r="O1140" s="13" t="str">
        <f t="shared" si="1"/>
        <v/>
      </c>
    </row>
    <row r="1141" ht="22.5" customHeight="1">
      <c r="B1141" s="13">
        <f>IFERROR(__xludf.DUMMYFUNCTION("""COMPUTED_VALUE"""),1136.0)</f>
        <v>1136</v>
      </c>
      <c r="C1141" s="13" t="str">
        <f>IFERROR(__xludf.DUMMYFUNCTION("""COMPUTED_VALUE"""),"M. 1975/ Perumnas Way Halim")</f>
        <v>M. 1975/ Perumnas Way Halim</v>
      </c>
      <c r="D1141" s="13" t="str">
        <f>IFERROR(__xludf.DUMMYFUNCTION("""COMPUTED_VALUE"""),"K/1/050225/1")</f>
        <v>K/1/050225/1</v>
      </c>
      <c r="E1141" s="14" t="str">
        <f>IFERROR(__xludf.DUMMYFUNCTION("""COMPUTED_VALUE"""),"Afriza (BT)")</f>
        <v>Afriza (BT)</v>
      </c>
      <c r="F1141" s="14" t="str">
        <f>IFERROR(__xludf.DUMMYFUNCTION("""COMPUTED_VALUE"""),"SELESAI (VIA PERMOHONAN)")</f>
        <v>SELESAI (VIA PERMOHONAN)</v>
      </c>
      <c r="G1141" s="17">
        <f>IFERROR(__xludf.DUMMYFUNCTION("""COMPUTED_VALUE"""),45705.583642893514)</f>
        <v>45705.58364</v>
      </c>
      <c r="H1141" s="14" t="str">
        <f>IFERROR(__xludf.DUMMYFUNCTION("""COMPUTED_VALUE"""),"Bu Eva (SU)")</f>
        <v>Bu Eva (SU)</v>
      </c>
      <c r="I1141" s="13" t="str">
        <f>IFERROR(__xludf.DUMMYFUNCTION("""COMPUTED_VALUE"""),"SELESAI (VIA PERMOHONAN)")</f>
        <v>SELESAI (VIA PERMOHONAN)</v>
      </c>
      <c r="J1141" s="17">
        <f>IFERROR(__xludf.DUMMYFUNCTION("""COMPUTED_VALUE"""),45705.583701180556)</f>
        <v>45705.5837</v>
      </c>
      <c r="K1141" s="13" t="str">
        <f>IFERROR(__xludf.DUMMYFUNCTION("""COMPUTED_VALUE"""),"Selesai")</f>
        <v>Selesai</v>
      </c>
      <c r="L1141" s="17">
        <f>IFERROR(__xludf.DUMMYFUNCTION("""COMPUTED_VALUE"""),45705.583701180556)</f>
        <v>45705.5837</v>
      </c>
      <c r="M1141" s="13"/>
      <c r="N1141" s="13" t="str">
        <f>IFERROR(__xludf.DUMMYFUNCTION("""COMPUTED_VALUE"""),"")</f>
        <v/>
      </c>
      <c r="O1141" s="13" t="str">
        <f t="shared" si="1"/>
        <v/>
      </c>
    </row>
    <row r="1142" ht="22.5" customHeight="1">
      <c r="B1142" s="13">
        <f>IFERROR(__xludf.DUMMYFUNCTION("""COMPUTED_VALUE"""),1137.0)</f>
        <v>1137</v>
      </c>
      <c r="C1142" s="13" t="str">
        <f>IFERROR(__xludf.DUMMYFUNCTION("""COMPUTED_VALUE"""),"B. 41/ Sumberejo Sejahtera")</f>
        <v>B. 41/ Sumberejo Sejahtera</v>
      </c>
      <c r="D1142" s="13" t="str">
        <f>IFERROR(__xludf.DUMMYFUNCTION("""COMPUTED_VALUE"""),"K/34/110225/1")</f>
        <v>K/34/110225/1</v>
      </c>
      <c r="E1142" s="14" t="str">
        <f>IFERROR(__xludf.DUMMYFUNCTION("""COMPUTED_VALUE"""),"Nadian (BT)")</f>
        <v>Nadian (BT)</v>
      </c>
      <c r="F1142" s="14" t="str">
        <f>IFERROR(__xludf.DUMMYFUNCTION("""COMPUTED_VALUE"""),"SELESAI (VIA PERMOHONAN)")</f>
        <v>SELESAI (VIA PERMOHONAN)</v>
      </c>
      <c r="G1142" s="17">
        <f>IFERROR(__xludf.DUMMYFUNCTION("""COMPUTED_VALUE"""),45705.635061458335)</f>
        <v>45705.63506</v>
      </c>
      <c r="H1142" s="14" t="str">
        <f>IFERROR(__xludf.DUMMYFUNCTION("""COMPUTED_VALUE"""),"Bu Eva (SU)")</f>
        <v>Bu Eva (SU)</v>
      </c>
      <c r="I1142" s="13" t="str">
        <f>IFERROR(__xludf.DUMMYFUNCTION("""COMPUTED_VALUE"""),"SELESAI (VIA PERMOHONAN)")</f>
        <v>SELESAI (VIA PERMOHONAN)</v>
      </c>
      <c r="J1142" s="17">
        <f>IFERROR(__xludf.DUMMYFUNCTION("""COMPUTED_VALUE"""),45707.67511965278)</f>
        <v>45707.67512</v>
      </c>
      <c r="K1142" s="13" t="str">
        <f>IFERROR(__xludf.DUMMYFUNCTION("""COMPUTED_VALUE"""),"Selesai")</f>
        <v>Selesai</v>
      </c>
      <c r="L1142" s="17">
        <f>IFERROR(__xludf.DUMMYFUNCTION("""COMPUTED_VALUE"""),45707.67511965278)</f>
        <v>45707.67512</v>
      </c>
      <c r="M1142" s="13"/>
      <c r="N1142" s="13" t="str">
        <f>IFERROR(__xludf.DUMMYFUNCTION("""COMPUTED_VALUE"""),"")</f>
        <v/>
      </c>
      <c r="O1142" s="13" t="str">
        <f t="shared" si="1"/>
        <v/>
      </c>
    </row>
    <row r="1143" ht="22.5" customHeight="1">
      <c r="B1143" s="13">
        <f>IFERROR(__xludf.DUMMYFUNCTION("""COMPUTED_VALUE"""),1138.0)</f>
        <v>1138</v>
      </c>
      <c r="C1143" s="13" t="str">
        <f>IFERROR(__xludf.DUMMYFUNCTION("""COMPUTED_VALUE"""),"M. 1851/ Labuhan Dalam")</f>
        <v>M. 1851/ Labuhan Dalam</v>
      </c>
      <c r="D1143" s="13" t="str">
        <f>IFERROR(__xludf.DUMMYFUNCTION("""COMPUTED_VALUE"""),"K/5/300125/1")</f>
        <v>K/5/300125/1</v>
      </c>
      <c r="E1143" s="14" t="str">
        <f>IFERROR(__xludf.DUMMYFUNCTION("""COMPUTED_VALUE"""),"Nadian (BT)")</f>
        <v>Nadian (BT)</v>
      </c>
      <c r="F1143" s="14" t="str">
        <f>IFERROR(__xludf.DUMMYFUNCTION("""COMPUTED_VALUE"""),"SELESAI (VIA PERMOHONAN)")</f>
        <v>SELESAI (VIA PERMOHONAN)</v>
      </c>
      <c r="G1143" s="17">
        <f>IFERROR(__xludf.DUMMYFUNCTION("""COMPUTED_VALUE"""),45705.635086759256)</f>
        <v>45705.63509</v>
      </c>
      <c r="H1143" s="14" t="str">
        <f>IFERROR(__xludf.DUMMYFUNCTION("""COMPUTED_VALUE"""),"Bu Eva (SU)")</f>
        <v>Bu Eva (SU)</v>
      </c>
      <c r="I1143" s="13" t="str">
        <f>IFERROR(__xludf.DUMMYFUNCTION("""COMPUTED_VALUE"""),"SELESAI (VIA PERMOHONAN)")</f>
        <v>SELESAI (VIA PERMOHONAN)</v>
      </c>
      <c r="J1143" s="17">
        <f>IFERROR(__xludf.DUMMYFUNCTION("""COMPUTED_VALUE"""),45707.67511965278)</f>
        <v>45707.67512</v>
      </c>
      <c r="K1143" s="13" t="str">
        <f>IFERROR(__xludf.DUMMYFUNCTION("""COMPUTED_VALUE"""),"Selesai")</f>
        <v>Selesai</v>
      </c>
      <c r="L1143" s="17">
        <f>IFERROR(__xludf.DUMMYFUNCTION("""COMPUTED_VALUE"""),45707.67511965278)</f>
        <v>45707.67512</v>
      </c>
      <c r="M1143" s="13"/>
      <c r="N1143" s="13" t="str">
        <f>IFERROR(__xludf.DUMMYFUNCTION("""COMPUTED_VALUE"""),"")</f>
        <v/>
      </c>
      <c r="O1143" s="13" t="str">
        <f t="shared" si="1"/>
        <v/>
      </c>
    </row>
    <row r="1144" ht="22.5" customHeight="1">
      <c r="B1144" s="13">
        <f>IFERROR(__xludf.DUMMYFUNCTION("""COMPUTED_VALUE"""),1139.0)</f>
        <v>1139</v>
      </c>
      <c r="C1144" s="13" t="str">
        <f>IFERROR(__xludf.DUMMYFUNCTION("""COMPUTED_VALUE"""),"M. 12985/ Beringin Raya")</f>
        <v>M. 12985/ Beringin Raya</v>
      </c>
      <c r="D1144" s="13" t="str">
        <f>IFERROR(__xludf.DUMMYFUNCTION("""COMPUTED_VALUE"""),"K/1/120225/1")</f>
        <v>K/1/120225/1</v>
      </c>
      <c r="E1144" s="14" t="str">
        <f>IFERROR(__xludf.DUMMYFUNCTION("""COMPUTED_VALUE"""),"Nadian (BT)")</f>
        <v>Nadian (BT)</v>
      </c>
      <c r="F1144" s="14" t="str">
        <f>IFERROR(__xludf.DUMMYFUNCTION("""COMPUTED_VALUE"""),"SELESAI (VIA PERMOHONAN)")</f>
        <v>SELESAI (VIA PERMOHONAN)</v>
      </c>
      <c r="G1144" s="17">
        <f>IFERROR(__xludf.DUMMYFUNCTION("""COMPUTED_VALUE"""),45705.635086759256)</f>
        <v>45705.63509</v>
      </c>
      <c r="H1144" s="14" t="str">
        <f>IFERROR(__xludf.DUMMYFUNCTION("""COMPUTED_VALUE"""),"Bu Eva (SU)")</f>
        <v>Bu Eva (SU)</v>
      </c>
      <c r="I1144" s="13" t="str">
        <f>IFERROR(__xludf.DUMMYFUNCTION("""COMPUTED_VALUE"""),"SELESAI (VIA PERMOHONAN)")</f>
        <v>SELESAI (VIA PERMOHONAN)</v>
      </c>
      <c r="J1144" s="17">
        <f>IFERROR(__xludf.DUMMYFUNCTION("""COMPUTED_VALUE"""),45707.67511965278)</f>
        <v>45707.67512</v>
      </c>
      <c r="K1144" s="13" t="str">
        <f>IFERROR(__xludf.DUMMYFUNCTION("""COMPUTED_VALUE"""),"Selesai")</f>
        <v>Selesai</v>
      </c>
      <c r="L1144" s="17">
        <f>IFERROR(__xludf.DUMMYFUNCTION("""COMPUTED_VALUE"""),45707.67511965278)</f>
        <v>45707.67512</v>
      </c>
      <c r="M1144" s="13"/>
      <c r="N1144" s="13" t="str">
        <f>IFERROR(__xludf.DUMMYFUNCTION("""COMPUTED_VALUE"""),"")</f>
        <v/>
      </c>
      <c r="O1144" s="13" t="str">
        <f t="shared" si="1"/>
        <v/>
      </c>
    </row>
    <row r="1145" ht="22.5" customHeight="1">
      <c r="B1145" s="13">
        <f>IFERROR(__xludf.DUMMYFUNCTION("""COMPUTED_VALUE"""),1140.0)</f>
        <v>1140</v>
      </c>
      <c r="C1145" s="13" t="str">
        <f>IFERROR(__xludf.DUMMYFUNCTION("""COMPUTED_VALUE"""),"M. 1230/ Perumnas Way Kandis")</f>
        <v>M. 1230/ Perumnas Way Kandis</v>
      </c>
      <c r="D1145" s="13" t="str">
        <f>IFERROR(__xludf.DUMMYFUNCTION("""COMPUTED_VALUE"""),"K/22/130225/1")</f>
        <v>K/22/130225/1</v>
      </c>
      <c r="E1145" s="14" t="str">
        <f>IFERROR(__xludf.DUMMYFUNCTION("""COMPUTED_VALUE"""),"Nadian (BT)")</f>
        <v>Nadian (BT)</v>
      </c>
      <c r="F1145" s="14" t="str">
        <f>IFERROR(__xludf.DUMMYFUNCTION("""COMPUTED_VALUE"""),"SELESAI (VIA PERMOHONAN)")</f>
        <v>SELESAI (VIA PERMOHONAN)</v>
      </c>
      <c r="G1145" s="17">
        <f>IFERROR(__xludf.DUMMYFUNCTION("""COMPUTED_VALUE"""),45705.635086759256)</f>
        <v>45705.63509</v>
      </c>
      <c r="H1145" s="14" t="str">
        <f>IFERROR(__xludf.DUMMYFUNCTION("""COMPUTED_VALUE"""),"Bu Eva (SU)")</f>
        <v>Bu Eva (SU)</v>
      </c>
      <c r="I1145" s="13" t="str">
        <f>IFERROR(__xludf.DUMMYFUNCTION("""COMPUTED_VALUE"""),"SELESAI (VIA PERMOHONAN)")</f>
        <v>SELESAI (VIA PERMOHONAN)</v>
      </c>
      <c r="J1145" s="17">
        <f>IFERROR(__xludf.DUMMYFUNCTION("""COMPUTED_VALUE"""),45707.67511965278)</f>
        <v>45707.67512</v>
      </c>
      <c r="K1145" s="13" t="str">
        <f>IFERROR(__xludf.DUMMYFUNCTION("""COMPUTED_VALUE"""),"Selesai")</f>
        <v>Selesai</v>
      </c>
      <c r="L1145" s="17">
        <f>IFERROR(__xludf.DUMMYFUNCTION("""COMPUTED_VALUE"""),45707.67511965278)</f>
        <v>45707.67512</v>
      </c>
      <c r="M1145" s="13"/>
      <c r="N1145" s="13" t="str">
        <f>IFERROR(__xludf.DUMMYFUNCTION("""COMPUTED_VALUE"""),"")</f>
        <v/>
      </c>
      <c r="O1145" s="13" t="str">
        <f t="shared" si="1"/>
        <v/>
      </c>
    </row>
    <row r="1146" ht="22.5" customHeight="1">
      <c r="B1146" s="13">
        <f>IFERROR(__xludf.DUMMYFUNCTION("""COMPUTED_VALUE"""),1141.0)</f>
        <v>1141</v>
      </c>
      <c r="C1146" s="13" t="str">
        <f>IFERROR(__xludf.DUMMYFUNCTION("""COMPUTED_VALUE"""),"M. 911/ Sukarame Baru")</f>
        <v>M. 911/ Sukarame Baru</v>
      </c>
      <c r="D1146" s="13" t="str">
        <f>IFERROR(__xludf.DUMMYFUNCTION("""COMPUTED_VALUE"""),"L/1/160225/1")</f>
        <v>L/1/160225/1</v>
      </c>
      <c r="E1146" s="14" t="str">
        <f>IFERROR(__xludf.DUMMYFUNCTION("""COMPUTED_VALUE"""),"Nadian (BT)")</f>
        <v>Nadian (BT)</v>
      </c>
      <c r="F1146" s="14" t="str">
        <f>IFERROR(__xludf.DUMMYFUNCTION("""COMPUTED_VALUE"""),"SELESAI (VIA PERMOHONAN)")</f>
        <v>SELESAI (VIA PERMOHONAN)</v>
      </c>
      <c r="G1146" s="17">
        <f>IFERROR(__xludf.DUMMYFUNCTION("""COMPUTED_VALUE"""),45705.635086759256)</f>
        <v>45705.63509</v>
      </c>
      <c r="H1146" s="14" t="str">
        <f>IFERROR(__xludf.DUMMYFUNCTION("""COMPUTED_VALUE"""),"Bu Eva (SU)")</f>
        <v>Bu Eva (SU)</v>
      </c>
      <c r="I1146" s="13" t="str">
        <f>IFERROR(__xludf.DUMMYFUNCTION("""COMPUTED_VALUE"""),"SELESAI (VIA PERMOHONAN)")</f>
        <v>SELESAI (VIA PERMOHONAN)</v>
      </c>
      <c r="J1146" s="17">
        <f>IFERROR(__xludf.DUMMYFUNCTION("""COMPUTED_VALUE"""),45707.67511965278)</f>
        <v>45707.67512</v>
      </c>
      <c r="K1146" s="13" t="str">
        <f>IFERROR(__xludf.DUMMYFUNCTION("""COMPUTED_VALUE"""),"Selesai")</f>
        <v>Selesai</v>
      </c>
      <c r="L1146" s="17">
        <f>IFERROR(__xludf.DUMMYFUNCTION("""COMPUTED_VALUE"""),45707.67511965278)</f>
        <v>45707.67512</v>
      </c>
      <c r="M1146" s="13"/>
      <c r="N1146" s="13" t="str">
        <f>IFERROR(__xludf.DUMMYFUNCTION("""COMPUTED_VALUE"""),"")</f>
        <v/>
      </c>
      <c r="O1146" s="13" t="str">
        <f t="shared" si="1"/>
        <v/>
      </c>
    </row>
    <row r="1147" ht="22.5" customHeight="1">
      <c r="B1147" s="13">
        <f>IFERROR(__xludf.DUMMYFUNCTION("""COMPUTED_VALUE"""),1142.0)</f>
        <v>1142</v>
      </c>
      <c r="C1147" s="13" t="str">
        <f>IFERROR(__xludf.DUMMYFUNCTION("""COMPUTED_VALUE"""),"M. 1356/ Rawa Laut")</f>
        <v>M. 1356/ Rawa Laut</v>
      </c>
      <c r="D1147" s="13" t="str">
        <f>IFERROR(__xludf.DUMMYFUNCTION("""COMPUTED_VALUE"""),"K/13/120225/3")</f>
        <v>K/13/120225/3</v>
      </c>
      <c r="E1147" s="14" t="str">
        <f>IFERROR(__xludf.DUMMYFUNCTION("""COMPUTED_VALUE"""),"Nadian (BT)")</f>
        <v>Nadian (BT)</v>
      </c>
      <c r="F1147" s="14" t="str">
        <f>IFERROR(__xludf.DUMMYFUNCTION("""COMPUTED_VALUE"""),"SELESAI (VIA PERMOHONAN)")</f>
        <v>SELESAI (VIA PERMOHONAN)</v>
      </c>
      <c r="G1147" s="17">
        <f>IFERROR(__xludf.DUMMYFUNCTION("""COMPUTED_VALUE"""),45705.635086759256)</f>
        <v>45705.63509</v>
      </c>
      <c r="H1147" s="14" t="str">
        <f>IFERROR(__xludf.DUMMYFUNCTION("""COMPUTED_VALUE"""),"Bu Eva (SU)")</f>
        <v>Bu Eva (SU)</v>
      </c>
      <c r="I1147" s="13" t="str">
        <f>IFERROR(__xludf.DUMMYFUNCTION("""COMPUTED_VALUE"""),"SELESAI (VIA PERMOHONAN)")</f>
        <v>SELESAI (VIA PERMOHONAN)</v>
      </c>
      <c r="J1147" s="17">
        <f>IFERROR(__xludf.DUMMYFUNCTION("""COMPUTED_VALUE"""),45707.675155335644)</f>
        <v>45707.67516</v>
      </c>
      <c r="K1147" s="13" t="str">
        <f>IFERROR(__xludf.DUMMYFUNCTION("""COMPUTED_VALUE"""),"Selesai")</f>
        <v>Selesai</v>
      </c>
      <c r="L1147" s="17">
        <f>IFERROR(__xludf.DUMMYFUNCTION("""COMPUTED_VALUE"""),45707.675155335644)</f>
        <v>45707.67516</v>
      </c>
      <c r="M1147" s="13"/>
      <c r="N1147" s="13" t="str">
        <f>IFERROR(__xludf.DUMMYFUNCTION("""COMPUTED_VALUE"""),"")</f>
        <v/>
      </c>
      <c r="O1147" s="13" t="str">
        <f t="shared" si="1"/>
        <v/>
      </c>
    </row>
    <row r="1148" ht="22.5" customHeight="1">
      <c r="B1148" s="13">
        <f>IFERROR(__xludf.DUMMYFUNCTION("""COMPUTED_VALUE"""),1143.0)</f>
        <v>1143</v>
      </c>
      <c r="C1148" s="13" t="str">
        <f>IFERROR(__xludf.DUMMYFUNCTION("""COMPUTED_VALUE"""),"M. 10669/ Segala Mider")</f>
        <v>M. 10669/ Segala Mider</v>
      </c>
      <c r="D1148" s="13" t="str">
        <f>IFERROR(__xludf.DUMMYFUNCTION("""COMPUTED_VALUE"""),"K/19/130225/1")</f>
        <v>K/19/130225/1</v>
      </c>
      <c r="E1148" s="14" t="str">
        <f>IFERROR(__xludf.DUMMYFUNCTION("""COMPUTED_VALUE"""),"Nadian (BT)")</f>
        <v>Nadian (BT)</v>
      </c>
      <c r="F1148" s="14" t="str">
        <f>IFERROR(__xludf.DUMMYFUNCTION("""COMPUTED_VALUE"""),"SELESAI (VIA PERMOHONAN)")</f>
        <v>SELESAI (VIA PERMOHONAN)</v>
      </c>
      <c r="G1148" s="17">
        <f>IFERROR(__xludf.DUMMYFUNCTION("""COMPUTED_VALUE"""),45705.63511783565)</f>
        <v>45705.63512</v>
      </c>
      <c r="H1148" s="14" t="str">
        <f>IFERROR(__xludf.DUMMYFUNCTION("""COMPUTED_VALUE"""),"Bu Eva (SU)")</f>
        <v>Bu Eva (SU)</v>
      </c>
      <c r="I1148" s="13" t="str">
        <f>IFERROR(__xludf.DUMMYFUNCTION("""COMPUTED_VALUE"""),"SELESAI (VIA PERMOHONAN)")</f>
        <v>SELESAI (VIA PERMOHONAN)</v>
      </c>
      <c r="J1148" s="17">
        <f>IFERROR(__xludf.DUMMYFUNCTION("""COMPUTED_VALUE"""),45707.675155335644)</f>
        <v>45707.67516</v>
      </c>
      <c r="K1148" s="13" t="str">
        <f>IFERROR(__xludf.DUMMYFUNCTION("""COMPUTED_VALUE"""),"Selesai")</f>
        <v>Selesai</v>
      </c>
      <c r="L1148" s="17">
        <f>IFERROR(__xludf.DUMMYFUNCTION("""COMPUTED_VALUE"""),45707.675155335644)</f>
        <v>45707.67516</v>
      </c>
      <c r="M1148" s="13"/>
      <c r="N1148" s="13" t="str">
        <f>IFERROR(__xludf.DUMMYFUNCTION("""COMPUTED_VALUE"""),"")</f>
        <v/>
      </c>
      <c r="O1148" s="13" t="str">
        <f t="shared" si="1"/>
        <v/>
      </c>
    </row>
    <row r="1149" ht="22.5" customHeight="1">
      <c r="B1149" s="13">
        <f>IFERROR(__xludf.DUMMYFUNCTION("""COMPUTED_VALUE"""),1144.0)</f>
        <v>1144</v>
      </c>
      <c r="C1149" s="13" t="str">
        <f>IFERROR(__xludf.DUMMYFUNCTION("""COMPUTED_VALUE"""),"M. 1154/ Bumi Kedamaian")</f>
        <v>M. 1154/ Bumi Kedamaian</v>
      </c>
      <c r="D1149" s="13" t="str">
        <f>IFERROR(__xludf.DUMMYFUNCTION("""COMPUTED_VALUE"""),"K/53/100225/1")</f>
        <v>K/53/100225/1</v>
      </c>
      <c r="E1149" s="14" t="str">
        <f>IFERROR(__xludf.DUMMYFUNCTION("""COMPUTED_VALUE"""),"Nadian (BT)")</f>
        <v>Nadian (BT)</v>
      </c>
      <c r="F1149" s="14" t="str">
        <f>IFERROR(__xludf.DUMMYFUNCTION("""COMPUTED_VALUE"""),"SELESAI (VIA PERMOHONAN)")</f>
        <v>SELESAI (VIA PERMOHONAN)</v>
      </c>
      <c r="G1149" s="17">
        <f>IFERROR(__xludf.DUMMYFUNCTION("""COMPUTED_VALUE"""),45706.605778125)</f>
        <v>45706.60578</v>
      </c>
      <c r="H1149" s="14" t="str">
        <f>IFERROR(__xludf.DUMMYFUNCTION("""COMPUTED_VALUE"""),"Bu Eva (SU)")</f>
        <v>Bu Eva (SU)</v>
      </c>
      <c r="I1149" s="13" t="str">
        <f>IFERROR(__xludf.DUMMYFUNCTION("""COMPUTED_VALUE"""),"SELESAI (VIA PERMOHONAN)")</f>
        <v>SELESAI (VIA PERMOHONAN)</v>
      </c>
      <c r="J1149" s="17">
        <f>IFERROR(__xludf.DUMMYFUNCTION("""COMPUTED_VALUE"""),45707.675155335644)</f>
        <v>45707.67516</v>
      </c>
      <c r="K1149" s="13" t="str">
        <f>IFERROR(__xludf.DUMMYFUNCTION("""COMPUTED_VALUE"""),"Selesai")</f>
        <v>Selesai</v>
      </c>
      <c r="L1149" s="17">
        <f>IFERROR(__xludf.DUMMYFUNCTION("""COMPUTED_VALUE"""),45707.675155335644)</f>
        <v>45707.67516</v>
      </c>
      <c r="M1149" s="13"/>
      <c r="N1149" s="13" t="str">
        <f>IFERROR(__xludf.DUMMYFUNCTION("""COMPUTED_VALUE"""),"")</f>
        <v/>
      </c>
      <c r="O1149" s="13" t="str">
        <f t="shared" si="1"/>
        <v/>
      </c>
    </row>
    <row r="1150" ht="22.5" customHeight="1">
      <c r="B1150" s="13">
        <f>IFERROR(__xludf.DUMMYFUNCTION("""COMPUTED_VALUE"""),1145.0)</f>
        <v>1145</v>
      </c>
      <c r="C1150" s="13" t="str">
        <f>IFERROR(__xludf.DUMMYFUNCTION("""COMPUTED_VALUE"""),"B. 312/ Sukarame Baru")</f>
        <v>B. 312/ Sukarame Baru</v>
      </c>
      <c r="D1150" s="13" t="str">
        <f>IFERROR(__xludf.DUMMYFUNCTION("""COMPUTED_VALUE"""),"K/4/120225/2")</f>
        <v>K/4/120225/2</v>
      </c>
      <c r="E1150" s="14" t="str">
        <f>IFERROR(__xludf.DUMMYFUNCTION("""COMPUTED_VALUE"""),"Nadian (BT)")</f>
        <v>Nadian (BT)</v>
      </c>
      <c r="F1150" s="14" t="str">
        <f>IFERROR(__xludf.DUMMYFUNCTION("""COMPUTED_VALUE"""),"SELESAI (VIA PERMOHONAN)")</f>
        <v>SELESAI (VIA PERMOHONAN)</v>
      </c>
      <c r="G1150" s="17">
        <f>IFERROR(__xludf.DUMMYFUNCTION("""COMPUTED_VALUE"""),45706.60581465278)</f>
        <v>45706.60581</v>
      </c>
      <c r="H1150" s="14" t="str">
        <f>IFERROR(__xludf.DUMMYFUNCTION("""COMPUTED_VALUE"""),"Bu Eva (SU)")</f>
        <v>Bu Eva (SU)</v>
      </c>
      <c r="I1150" s="13" t="str">
        <f>IFERROR(__xludf.DUMMYFUNCTION("""COMPUTED_VALUE"""),"SELESAI (VIA PERMOHONAN)")</f>
        <v>SELESAI (VIA PERMOHONAN)</v>
      </c>
      <c r="J1150" s="17">
        <f>IFERROR(__xludf.DUMMYFUNCTION("""COMPUTED_VALUE"""),45707.675155335644)</f>
        <v>45707.67516</v>
      </c>
      <c r="K1150" s="13" t="str">
        <f>IFERROR(__xludf.DUMMYFUNCTION("""COMPUTED_VALUE"""),"Selesai")</f>
        <v>Selesai</v>
      </c>
      <c r="L1150" s="17">
        <f>IFERROR(__xludf.DUMMYFUNCTION("""COMPUTED_VALUE"""),45707.675155335644)</f>
        <v>45707.67516</v>
      </c>
      <c r="M1150" s="13"/>
      <c r="N1150" s="13" t="str">
        <f>IFERROR(__xludf.DUMMYFUNCTION("""COMPUTED_VALUE"""),"")</f>
        <v/>
      </c>
      <c r="O1150" s="13" t="str">
        <f t="shared" si="1"/>
        <v/>
      </c>
    </row>
    <row r="1151" ht="22.5" customHeight="1">
      <c r="B1151" s="13">
        <f>IFERROR(__xludf.DUMMYFUNCTION("""COMPUTED_VALUE"""),1146.0)</f>
        <v>1146</v>
      </c>
      <c r="C1151" s="13" t="str">
        <f>IFERROR(__xludf.DUMMYFUNCTION("""COMPUTED_VALUE"""),"M. 14000/ Labuhan Ratu")</f>
        <v>M. 14000/ Labuhan Ratu</v>
      </c>
      <c r="D1151" s="13" t="str">
        <f>IFERROR(__xludf.DUMMYFUNCTION("""COMPUTED_VALUE"""),"K/9/110225/1")</f>
        <v>K/9/110225/1</v>
      </c>
      <c r="E1151" s="14" t="str">
        <f>IFERROR(__xludf.DUMMYFUNCTION("""COMPUTED_VALUE"""),"Nadian (BT)")</f>
        <v>Nadian (BT)</v>
      </c>
      <c r="F1151" s="14" t="str">
        <f>IFERROR(__xludf.DUMMYFUNCTION("""COMPUTED_VALUE"""),"SELESAI (VIA PERMOHONAN)")</f>
        <v>SELESAI (VIA PERMOHONAN)</v>
      </c>
      <c r="G1151" s="17">
        <f>IFERROR(__xludf.DUMMYFUNCTION("""COMPUTED_VALUE"""),45706.60581466435)</f>
        <v>45706.60581</v>
      </c>
      <c r="H1151" s="14" t="str">
        <f>IFERROR(__xludf.DUMMYFUNCTION("""COMPUTED_VALUE"""),"Bu Eva (SU)")</f>
        <v>Bu Eva (SU)</v>
      </c>
      <c r="I1151" s="13" t="str">
        <f>IFERROR(__xludf.DUMMYFUNCTION("""COMPUTED_VALUE"""),"SELESAI (VIA PERMOHONAN)")</f>
        <v>SELESAI (VIA PERMOHONAN)</v>
      </c>
      <c r="J1151" s="17">
        <f>IFERROR(__xludf.DUMMYFUNCTION("""COMPUTED_VALUE"""),45707.675155335644)</f>
        <v>45707.67516</v>
      </c>
      <c r="K1151" s="13" t="str">
        <f>IFERROR(__xludf.DUMMYFUNCTION("""COMPUTED_VALUE"""),"Selesai")</f>
        <v>Selesai</v>
      </c>
      <c r="L1151" s="17">
        <f>IFERROR(__xludf.DUMMYFUNCTION("""COMPUTED_VALUE"""),45707.675155335644)</f>
        <v>45707.67516</v>
      </c>
      <c r="M1151" s="13"/>
      <c r="N1151" s="13" t="str">
        <f>IFERROR(__xludf.DUMMYFUNCTION("""COMPUTED_VALUE"""),"")</f>
        <v/>
      </c>
      <c r="O1151" s="13" t="str">
        <f t="shared" si="1"/>
        <v/>
      </c>
    </row>
    <row r="1152" ht="22.5" customHeight="1">
      <c r="B1152" s="13">
        <f>IFERROR(__xludf.DUMMYFUNCTION("""COMPUTED_VALUE"""),1147.0)</f>
        <v>1147</v>
      </c>
      <c r="C1152" s="13" t="str">
        <f>IFERROR(__xludf.DUMMYFUNCTION("""COMPUTED_VALUE"""),"B. 309/ Labuhan ratu Raya")</f>
        <v>B. 309/ Labuhan ratu Raya</v>
      </c>
      <c r="D1152" s="13" t="str">
        <f>IFERROR(__xludf.DUMMYFUNCTION("""COMPUTED_VALUE"""),"K/30/140225/5")</f>
        <v>K/30/140225/5</v>
      </c>
      <c r="E1152" s="14" t="str">
        <f>IFERROR(__xludf.DUMMYFUNCTION("""COMPUTED_VALUE"""),"Nadian (BT)")</f>
        <v>Nadian (BT)</v>
      </c>
      <c r="F1152" s="14" t="str">
        <f>IFERROR(__xludf.DUMMYFUNCTION("""COMPUTED_VALUE"""),"SELESAI (VIA PERMOHONAN)")</f>
        <v>SELESAI (VIA PERMOHONAN)</v>
      </c>
      <c r="G1152" s="17">
        <f>IFERROR(__xludf.DUMMYFUNCTION("""COMPUTED_VALUE"""),45706.60581466435)</f>
        <v>45706.60581</v>
      </c>
      <c r="H1152" s="14" t="str">
        <f>IFERROR(__xludf.DUMMYFUNCTION("""COMPUTED_VALUE"""),"Bu Eva (SU)")</f>
        <v>Bu Eva (SU)</v>
      </c>
      <c r="I1152" s="13" t="str">
        <f>IFERROR(__xludf.DUMMYFUNCTION("""COMPUTED_VALUE"""),"SELESAI (VIA PERMOHONAN)")</f>
        <v>SELESAI (VIA PERMOHONAN)</v>
      </c>
      <c r="J1152" s="17">
        <f>IFERROR(__xludf.DUMMYFUNCTION("""COMPUTED_VALUE"""),45707.67518835649)</f>
        <v>45707.67519</v>
      </c>
      <c r="K1152" s="13" t="str">
        <f>IFERROR(__xludf.DUMMYFUNCTION("""COMPUTED_VALUE"""),"Selesai")</f>
        <v>Selesai</v>
      </c>
      <c r="L1152" s="17">
        <f>IFERROR(__xludf.DUMMYFUNCTION("""COMPUTED_VALUE"""),45707.67518835649)</f>
        <v>45707.67519</v>
      </c>
      <c r="M1152" s="13"/>
      <c r="N1152" s="13" t="str">
        <f>IFERROR(__xludf.DUMMYFUNCTION("""COMPUTED_VALUE"""),"")</f>
        <v/>
      </c>
      <c r="O1152" s="13" t="str">
        <f t="shared" si="1"/>
        <v/>
      </c>
    </row>
    <row r="1153" ht="22.5" customHeight="1">
      <c r="B1153" s="13">
        <f>IFERROR(__xludf.DUMMYFUNCTION("""COMPUTED_VALUE"""),1148.0)</f>
        <v>1148</v>
      </c>
      <c r="C1153" s="13" t="str">
        <f>IFERROR(__xludf.DUMMYFUNCTION("""COMPUTED_VALUE"""),"B. 662/ Sumber Agung")</f>
        <v>B. 662/ Sumber Agung</v>
      </c>
      <c r="D1153" s="13" t="str">
        <f>IFERROR(__xludf.DUMMYFUNCTION("""COMPUTED_VALUE"""),"K/2/130225/1")</f>
        <v>K/2/130225/1</v>
      </c>
      <c r="E1153" s="14" t="str">
        <f>IFERROR(__xludf.DUMMYFUNCTION("""COMPUTED_VALUE"""),"Nadian (BT)")</f>
        <v>Nadian (BT)</v>
      </c>
      <c r="F1153" s="14" t="str">
        <f>IFERROR(__xludf.DUMMYFUNCTION("""COMPUTED_VALUE"""),"SELESAI (VIA PERMOHONAN)")</f>
        <v>SELESAI (VIA PERMOHONAN)</v>
      </c>
      <c r="G1153" s="17">
        <f>IFERROR(__xludf.DUMMYFUNCTION("""COMPUTED_VALUE"""),45706.60581466435)</f>
        <v>45706.60581</v>
      </c>
      <c r="H1153" s="14" t="str">
        <f>IFERROR(__xludf.DUMMYFUNCTION("""COMPUTED_VALUE"""),"Bu Eva (SU)")</f>
        <v>Bu Eva (SU)</v>
      </c>
      <c r="I1153" s="13" t="str">
        <f>IFERROR(__xludf.DUMMYFUNCTION("""COMPUTED_VALUE"""),"SELESAI (VIA PERMOHONAN)")</f>
        <v>SELESAI (VIA PERMOHONAN)</v>
      </c>
      <c r="J1153" s="17">
        <f>IFERROR(__xludf.DUMMYFUNCTION("""COMPUTED_VALUE"""),45707.67518835649)</f>
        <v>45707.67519</v>
      </c>
      <c r="K1153" s="13" t="str">
        <f>IFERROR(__xludf.DUMMYFUNCTION("""COMPUTED_VALUE"""),"Selesai")</f>
        <v>Selesai</v>
      </c>
      <c r="L1153" s="17">
        <f>IFERROR(__xludf.DUMMYFUNCTION("""COMPUTED_VALUE"""),45707.67518835649)</f>
        <v>45707.67519</v>
      </c>
      <c r="M1153" s="13"/>
      <c r="N1153" s="13" t="str">
        <f>IFERROR(__xludf.DUMMYFUNCTION("""COMPUTED_VALUE"""),"")</f>
        <v/>
      </c>
      <c r="O1153" s="13" t="str">
        <f t="shared" si="1"/>
        <v/>
      </c>
    </row>
    <row r="1154" ht="22.5" customHeight="1">
      <c r="B1154" s="13">
        <f>IFERROR(__xludf.DUMMYFUNCTION("""COMPUTED_VALUE"""),1149.0)</f>
        <v>1149</v>
      </c>
      <c r="C1154" s="13" t="str">
        <f>IFERROR(__xludf.DUMMYFUNCTION("""COMPUTED_VALUE"""),"B. 158/ Way Laga")</f>
        <v>B. 158/ Way Laga</v>
      </c>
      <c r="D1154" s="13" t="str">
        <f>IFERROR(__xludf.DUMMYFUNCTION("""COMPUTED_VALUE"""),"K/25/050225/2")</f>
        <v>K/25/050225/2</v>
      </c>
      <c r="E1154" s="14" t="str">
        <f>IFERROR(__xludf.DUMMYFUNCTION("""COMPUTED_VALUE"""),"Nadian (BT)")</f>
        <v>Nadian (BT)</v>
      </c>
      <c r="F1154" s="14" t="str">
        <f>IFERROR(__xludf.DUMMYFUNCTION("""COMPUTED_VALUE"""),"SELESAI (VIA PERMOHONAN)")</f>
        <v>SELESAI (VIA PERMOHONAN)</v>
      </c>
      <c r="G1154" s="17">
        <f>IFERROR(__xludf.DUMMYFUNCTION("""COMPUTED_VALUE"""),45706.60581466435)</f>
        <v>45706.60581</v>
      </c>
      <c r="H1154" s="14" t="str">
        <f>IFERROR(__xludf.DUMMYFUNCTION("""COMPUTED_VALUE"""),"Bu Eva (SU)")</f>
        <v>Bu Eva (SU)</v>
      </c>
      <c r="I1154" s="13" t="str">
        <f>IFERROR(__xludf.DUMMYFUNCTION("""COMPUTED_VALUE"""),"SELESAI (VIA PERMOHONAN)")</f>
        <v>SELESAI (VIA PERMOHONAN)</v>
      </c>
      <c r="J1154" s="17">
        <f>IFERROR(__xludf.DUMMYFUNCTION("""COMPUTED_VALUE"""),45707.67518835649)</f>
        <v>45707.67519</v>
      </c>
      <c r="K1154" s="13" t="str">
        <f>IFERROR(__xludf.DUMMYFUNCTION("""COMPUTED_VALUE"""),"Selesai")</f>
        <v>Selesai</v>
      </c>
      <c r="L1154" s="17">
        <f>IFERROR(__xludf.DUMMYFUNCTION("""COMPUTED_VALUE"""),45707.67518835649)</f>
        <v>45707.67519</v>
      </c>
      <c r="M1154" s="13"/>
      <c r="N1154" s="13" t="str">
        <f>IFERROR(__xludf.DUMMYFUNCTION("""COMPUTED_VALUE"""),"")</f>
        <v/>
      </c>
      <c r="O1154" s="13" t="str">
        <f t="shared" si="1"/>
        <v/>
      </c>
    </row>
    <row r="1155" ht="22.5" customHeight="1">
      <c r="B1155" s="13">
        <f>IFERROR(__xludf.DUMMYFUNCTION("""COMPUTED_VALUE"""),1150.0)</f>
        <v>1150</v>
      </c>
      <c r="C1155" s="13" t="str">
        <f>IFERROR(__xludf.DUMMYFUNCTION("""COMPUTED_VALUE"""),"B. 663/ Sumber Agung")</f>
        <v>B. 663/ Sumber Agung</v>
      </c>
      <c r="D1155" s="13" t="str">
        <f>IFERROR(__xludf.DUMMYFUNCTION("""COMPUTED_VALUE"""),"K/3/130225/2")</f>
        <v>K/3/130225/2</v>
      </c>
      <c r="E1155" s="14" t="str">
        <f>IFERROR(__xludf.DUMMYFUNCTION("""COMPUTED_VALUE"""),"Nadian (BT)")</f>
        <v>Nadian (BT)</v>
      </c>
      <c r="F1155" s="14" t="str">
        <f>IFERROR(__xludf.DUMMYFUNCTION("""COMPUTED_VALUE"""),"SELESAI (VIA PERMOHONAN)")</f>
        <v>SELESAI (VIA PERMOHONAN)</v>
      </c>
      <c r="G1155" s="17">
        <f>IFERROR(__xludf.DUMMYFUNCTION("""COMPUTED_VALUE"""),45706.60581466435)</f>
        <v>45706.60581</v>
      </c>
      <c r="H1155" s="14" t="str">
        <f>IFERROR(__xludf.DUMMYFUNCTION("""COMPUTED_VALUE"""),"Bu Eva (SU)")</f>
        <v>Bu Eva (SU)</v>
      </c>
      <c r="I1155" s="13" t="str">
        <f>IFERROR(__xludf.DUMMYFUNCTION("""COMPUTED_VALUE"""),"SELESAI (VIA PERMOHONAN)")</f>
        <v>SELESAI (VIA PERMOHONAN)</v>
      </c>
      <c r="J1155" s="17">
        <f>IFERROR(__xludf.DUMMYFUNCTION("""COMPUTED_VALUE"""),45707.67518835649)</f>
        <v>45707.67519</v>
      </c>
      <c r="K1155" s="13" t="str">
        <f>IFERROR(__xludf.DUMMYFUNCTION("""COMPUTED_VALUE"""),"Selesai")</f>
        <v>Selesai</v>
      </c>
      <c r="L1155" s="17">
        <f>IFERROR(__xludf.DUMMYFUNCTION("""COMPUTED_VALUE"""),45707.67518835649)</f>
        <v>45707.67519</v>
      </c>
      <c r="M1155" s="13"/>
      <c r="N1155" s="13" t="str">
        <f>IFERROR(__xludf.DUMMYFUNCTION("""COMPUTED_VALUE"""),"")</f>
        <v/>
      </c>
      <c r="O1155" s="13" t="str">
        <f t="shared" si="1"/>
        <v/>
      </c>
    </row>
    <row r="1156" ht="22.5" customHeight="1">
      <c r="B1156" s="13">
        <f>IFERROR(__xludf.DUMMYFUNCTION("""COMPUTED_VALUE"""),1151.0)</f>
        <v>1151</v>
      </c>
      <c r="C1156" s="13" t="str">
        <f>IFERROR(__xludf.DUMMYFUNCTION("""COMPUTED_VALUE"""),"M. 96/ Sumur Putri")</f>
        <v>M. 96/ Sumur Putri</v>
      </c>
      <c r="D1156" s="13" t="str">
        <f>IFERROR(__xludf.DUMMYFUNCTION("""COMPUTED_VALUE"""),"K/7/130225/3")</f>
        <v>K/7/130225/3</v>
      </c>
      <c r="E1156" s="14" t="str">
        <f>IFERROR(__xludf.DUMMYFUNCTION("""COMPUTED_VALUE"""),"Nadian (BT)")</f>
        <v>Nadian (BT)</v>
      </c>
      <c r="F1156" s="14" t="str">
        <f>IFERROR(__xludf.DUMMYFUNCTION("""COMPUTED_VALUE"""),"SELESAI (VIA PERMOHONAN)")</f>
        <v>SELESAI (VIA PERMOHONAN)</v>
      </c>
      <c r="G1156" s="17">
        <f>IFERROR(__xludf.DUMMYFUNCTION("""COMPUTED_VALUE"""),45706.60581466435)</f>
        <v>45706.60581</v>
      </c>
      <c r="H1156" s="14" t="str">
        <f>IFERROR(__xludf.DUMMYFUNCTION("""COMPUTED_VALUE"""),"Bu Eva (SU)")</f>
        <v>Bu Eva (SU)</v>
      </c>
      <c r="I1156" s="13" t="str">
        <f>IFERROR(__xludf.DUMMYFUNCTION("""COMPUTED_VALUE"""),"SELESAI (VIA PERMOHONAN)")</f>
        <v>SELESAI (VIA PERMOHONAN)</v>
      </c>
      <c r="J1156" s="17">
        <f>IFERROR(__xludf.DUMMYFUNCTION("""COMPUTED_VALUE"""),45707.67518835649)</f>
        <v>45707.67519</v>
      </c>
      <c r="K1156" s="13" t="str">
        <f>IFERROR(__xludf.DUMMYFUNCTION("""COMPUTED_VALUE"""),"Selesai")</f>
        <v>Selesai</v>
      </c>
      <c r="L1156" s="17">
        <f>IFERROR(__xludf.DUMMYFUNCTION("""COMPUTED_VALUE"""),45707.67518835649)</f>
        <v>45707.67519</v>
      </c>
      <c r="M1156" s="13"/>
      <c r="N1156" s="13" t="str">
        <f>IFERROR(__xludf.DUMMYFUNCTION("""COMPUTED_VALUE"""),"")</f>
        <v/>
      </c>
      <c r="O1156" s="13" t="str">
        <f t="shared" si="1"/>
        <v/>
      </c>
    </row>
    <row r="1157" ht="22.5" customHeight="1">
      <c r="B1157" s="13">
        <f>IFERROR(__xludf.DUMMYFUNCTION("""COMPUTED_VALUE"""),1152.0)</f>
        <v>1152</v>
      </c>
      <c r="C1157" s="13" t="str">
        <f>IFERROR(__xludf.DUMMYFUNCTION("""COMPUTED_VALUE"""),"M. 2809/ Sukarame Baru")</f>
        <v>M. 2809/ Sukarame Baru</v>
      </c>
      <c r="D1157" s="13" t="str">
        <f>IFERROR(__xludf.DUMMYFUNCTION("""COMPUTED_VALUE"""),"K/9/120225/1")</f>
        <v>K/9/120225/1</v>
      </c>
      <c r="E1157" s="14" t="str">
        <f>IFERROR(__xludf.DUMMYFUNCTION("""COMPUTED_VALUE"""),"Nadian (BT)")</f>
        <v>Nadian (BT)</v>
      </c>
      <c r="F1157" s="14" t="str">
        <f>IFERROR(__xludf.DUMMYFUNCTION("""COMPUTED_VALUE"""),"SELESAI (VIA PERMOHONAN)")</f>
        <v>SELESAI (VIA PERMOHONAN)</v>
      </c>
      <c r="G1157" s="17">
        <f>IFERROR(__xludf.DUMMYFUNCTION("""COMPUTED_VALUE"""),45706.60581466435)</f>
        <v>45706.60581</v>
      </c>
      <c r="H1157" s="14" t="str">
        <f>IFERROR(__xludf.DUMMYFUNCTION("""COMPUTED_VALUE"""),"Bu Eva (SU)")</f>
        <v>Bu Eva (SU)</v>
      </c>
      <c r="I1157" s="13" t="str">
        <f>IFERROR(__xludf.DUMMYFUNCTION("""COMPUTED_VALUE"""),"SELESAI (VIA PERMOHONAN)")</f>
        <v>SELESAI (VIA PERMOHONAN)</v>
      </c>
      <c r="J1157" s="17">
        <f>IFERROR(__xludf.DUMMYFUNCTION("""COMPUTED_VALUE"""),45707.67634371528)</f>
        <v>45707.67634</v>
      </c>
      <c r="K1157" s="13" t="str">
        <f>IFERROR(__xludf.DUMMYFUNCTION("""COMPUTED_VALUE"""),"Selesai")</f>
        <v>Selesai</v>
      </c>
      <c r="L1157" s="17">
        <f>IFERROR(__xludf.DUMMYFUNCTION("""COMPUTED_VALUE"""),45707.67634371528)</f>
        <v>45707.67634</v>
      </c>
      <c r="M1157" s="13"/>
      <c r="N1157" s="13" t="str">
        <f>IFERROR(__xludf.DUMMYFUNCTION("""COMPUTED_VALUE"""),"")</f>
        <v/>
      </c>
      <c r="O1157" s="13" t="str">
        <f t="shared" si="1"/>
        <v/>
      </c>
    </row>
    <row r="1158" ht="22.5" customHeight="1">
      <c r="B1158" s="13">
        <f>IFERROR(__xludf.DUMMYFUNCTION("""COMPUTED_VALUE"""),1153.0)</f>
        <v>1153</v>
      </c>
      <c r="C1158" s="13" t="str">
        <f>IFERROR(__xludf.DUMMYFUNCTION("""COMPUTED_VALUE"""),"M. 1461/ Sepang Jaya")</f>
        <v>M. 1461/ Sepang Jaya</v>
      </c>
      <c r="D1158" s="13" t="str">
        <f>IFERROR(__xludf.DUMMYFUNCTION("""COMPUTED_VALUE"""),"K/16/110225/2")</f>
        <v>K/16/110225/2</v>
      </c>
      <c r="E1158" s="14" t="str">
        <f>IFERROR(__xludf.DUMMYFUNCTION("""COMPUTED_VALUE"""),"Nadian (BT)")</f>
        <v>Nadian (BT)</v>
      </c>
      <c r="F1158" s="14" t="str">
        <f>IFERROR(__xludf.DUMMYFUNCTION("""COMPUTED_VALUE"""),"SELESAI (VIA PERMOHONAN)")</f>
        <v>SELESAI (VIA PERMOHONAN)</v>
      </c>
      <c r="G1158" s="17">
        <f>IFERROR(__xludf.DUMMYFUNCTION("""COMPUTED_VALUE"""),45706.605833912035)</f>
        <v>45706.60583</v>
      </c>
      <c r="H1158" s="14" t="str">
        <f>IFERROR(__xludf.DUMMYFUNCTION("""COMPUTED_VALUE"""),"Bu Eva (SU)")</f>
        <v>Bu Eva (SU)</v>
      </c>
      <c r="I1158" s="13" t="str">
        <f>IFERROR(__xludf.DUMMYFUNCTION("""COMPUTED_VALUE"""),"SELESAI (VIA PERMOHONAN)")</f>
        <v>SELESAI (VIA PERMOHONAN)</v>
      </c>
      <c r="J1158" s="17">
        <f>IFERROR(__xludf.DUMMYFUNCTION("""COMPUTED_VALUE"""),45707.67634371528)</f>
        <v>45707.67634</v>
      </c>
      <c r="K1158" s="13" t="str">
        <f>IFERROR(__xludf.DUMMYFUNCTION("""COMPUTED_VALUE"""),"Selesai")</f>
        <v>Selesai</v>
      </c>
      <c r="L1158" s="17">
        <f>IFERROR(__xludf.DUMMYFUNCTION("""COMPUTED_VALUE"""),45707.67634371528)</f>
        <v>45707.67634</v>
      </c>
      <c r="M1158" s="13"/>
      <c r="N1158" s="13" t="str">
        <f>IFERROR(__xludf.DUMMYFUNCTION("""COMPUTED_VALUE"""),"")</f>
        <v/>
      </c>
      <c r="O1158" s="13" t="str">
        <f t="shared" si="1"/>
        <v/>
      </c>
    </row>
    <row r="1159" ht="22.5" customHeight="1">
      <c r="B1159" s="13">
        <f>IFERROR(__xludf.DUMMYFUNCTION("""COMPUTED_VALUE"""),1154.0)</f>
        <v>1154</v>
      </c>
      <c r="C1159" s="13" t="str">
        <f>IFERROR(__xludf.DUMMYFUNCTION("""COMPUTED_VALUE"""),"M. 3241/ Gedong Air")</f>
        <v>M. 3241/ Gedong Air</v>
      </c>
      <c r="D1159" s="13" t="str">
        <f>IFERROR(__xludf.DUMMYFUNCTION("""COMPUTED_VALUE"""),"K/18/040225/1")</f>
        <v>K/18/040225/1</v>
      </c>
      <c r="E1159" s="14" t="str">
        <f>IFERROR(__xludf.DUMMYFUNCTION("""COMPUTED_VALUE"""),"Nadian (BT)")</f>
        <v>Nadian (BT)</v>
      </c>
      <c r="F1159" s="14" t="str">
        <f>IFERROR(__xludf.DUMMYFUNCTION("""COMPUTED_VALUE"""),"SELESAI (VIA PERMOHONAN)")</f>
        <v>SELESAI (VIA PERMOHONAN)</v>
      </c>
      <c r="G1159" s="17">
        <f>IFERROR(__xludf.DUMMYFUNCTION("""COMPUTED_VALUE"""),45706.605833912035)</f>
        <v>45706.60583</v>
      </c>
      <c r="H1159" s="14" t="str">
        <f>IFERROR(__xludf.DUMMYFUNCTION("""COMPUTED_VALUE"""),"Bu Eva (SU)")</f>
        <v>Bu Eva (SU)</v>
      </c>
      <c r="I1159" s="13" t="str">
        <f>IFERROR(__xludf.DUMMYFUNCTION("""COMPUTED_VALUE"""),"SELESAI (VIA PERMOHONAN)")</f>
        <v>SELESAI (VIA PERMOHONAN)</v>
      </c>
      <c r="J1159" s="17">
        <f>IFERROR(__xludf.DUMMYFUNCTION("""COMPUTED_VALUE"""),45707.67634372685)</f>
        <v>45707.67634</v>
      </c>
      <c r="K1159" s="13" t="str">
        <f>IFERROR(__xludf.DUMMYFUNCTION("""COMPUTED_VALUE"""),"Selesai")</f>
        <v>Selesai</v>
      </c>
      <c r="L1159" s="17">
        <f>IFERROR(__xludf.DUMMYFUNCTION("""COMPUTED_VALUE"""),45707.67634372685)</f>
        <v>45707.67634</v>
      </c>
      <c r="M1159" s="13"/>
      <c r="N1159" s="13" t="str">
        <f>IFERROR(__xludf.DUMMYFUNCTION("""COMPUTED_VALUE"""),"")</f>
        <v/>
      </c>
      <c r="O1159" s="13" t="str">
        <f t="shared" si="1"/>
        <v/>
      </c>
    </row>
    <row r="1160" ht="22.5" customHeight="1">
      <c r="B1160" s="13">
        <f>IFERROR(__xludf.DUMMYFUNCTION("""COMPUTED_VALUE"""),1155.0)</f>
        <v>1155</v>
      </c>
      <c r="C1160" s="13" t="str">
        <f>IFERROR(__xludf.DUMMYFUNCTION("""COMPUTED_VALUE"""),"M.1046/SUSUNAN BARU")</f>
        <v>M.1046/SUSUNAN BARU</v>
      </c>
      <c r="D1160" s="13" t="str">
        <f>IFERROR(__xludf.DUMMYFUNCTION("""COMPUTED_VALUE"""),"K/31/030225/1")</f>
        <v>K/31/030225/1</v>
      </c>
      <c r="E1160" s="14" t="str">
        <f>IFERROR(__xludf.DUMMYFUNCTION("""COMPUTED_VALUE"""),"Nadian (BT)")</f>
        <v>Nadian (BT)</v>
      </c>
      <c r="F1160" s="14" t="str">
        <f>IFERROR(__xludf.DUMMYFUNCTION("""COMPUTED_VALUE"""),"SELESAI (VIA PERMOHONAN)")</f>
        <v>SELESAI (VIA PERMOHONAN)</v>
      </c>
      <c r="G1160" s="17">
        <f>IFERROR(__xludf.DUMMYFUNCTION("""COMPUTED_VALUE"""),45706.605833912035)</f>
        <v>45706.60583</v>
      </c>
      <c r="H1160" s="14" t="str">
        <f>IFERROR(__xludf.DUMMYFUNCTION("""COMPUTED_VALUE"""),"Bu Eva (SU)")</f>
        <v>Bu Eva (SU)</v>
      </c>
      <c r="I1160" s="13" t="str">
        <f>IFERROR(__xludf.DUMMYFUNCTION("""COMPUTED_VALUE"""),"SELESAI (VIA PERMOHONAN)")</f>
        <v>SELESAI (VIA PERMOHONAN)</v>
      </c>
      <c r="J1160" s="17">
        <f>IFERROR(__xludf.DUMMYFUNCTION("""COMPUTED_VALUE"""),45707.67634372685)</f>
        <v>45707.67634</v>
      </c>
      <c r="K1160" s="13" t="str">
        <f>IFERROR(__xludf.DUMMYFUNCTION("""COMPUTED_VALUE"""),"Selesai")</f>
        <v>Selesai</v>
      </c>
      <c r="L1160" s="17">
        <f>IFERROR(__xludf.DUMMYFUNCTION("""COMPUTED_VALUE"""),45707.67634372685)</f>
        <v>45707.67634</v>
      </c>
      <c r="M1160" s="13"/>
      <c r="N1160" s="13" t="str">
        <f>IFERROR(__xludf.DUMMYFUNCTION("""COMPUTED_VALUE"""),"")</f>
        <v/>
      </c>
      <c r="O1160" s="13" t="str">
        <f t="shared" si="1"/>
        <v/>
      </c>
    </row>
    <row r="1161" ht="22.5" customHeight="1">
      <c r="B1161" s="13">
        <f>IFERROR(__xludf.DUMMYFUNCTION("""COMPUTED_VALUE"""),1156.0)</f>
        <v>1156</v>
      </c>
      <c r="C1161" s="13" t="str">
        <f>IFERROR(__xludf.DUMMYFUNCTION("""COMPUTED_VALUE"""),"M. 225/ Bilabong Jaya")</f>
        <v>M. 225/ Bilabong Jaya</v>
      </c>
      <c r="D1161" s="13" t="str">
        <f>IFERROR(__xludf.DUMMYFUNCTION("""COMPUTED_VALUE"""),"K/21/100225/1")</f>
        <v>K/21/100225/1</v>
      </c>
      <c r="E1161" s="14" t="str">
        <f>IFERROR(__xludf.DUMMYFUNCTION("""COMPUTED_VALUE"""),"Nadian (BT)")</f>
        <v>Nadian (BT)</v>
      </c>
      <c r="F1161" s="14" t="str">
        <f>IFERROR(__xludf.DUMMYFUNCTION("""COMPUTED_VALUE"""),"SELESAI (VIA PERMOHONAN)")</f>
        <v>SELESAI (VIA PERMOHONAN)</v>
      </c>
      <c r="G1161" s="17">
        <f>IFERROR(__xludf.DUMMYFUNCTION("""COMPUTED_VALUE"""),45706.605833912035)</f>
        <v>45706.60583</v>
      </c>
      <c r="H1161" s="14" t="str">
        <f>IFERROR(__xludf.DUMMYFUNCTION("""COMPUTED_VALUE"""),"Bu Eva (SU)")</f>
        <v>Bu Eva (SU)</v>
      </c>
      <c r="I1161" s="13" t="str">
        <f>IFERROR(__xludf.DUMMYFUNCTION("""COMPUTED_VALUE"""),"SELESAI (VIA PERMOHONAN)")</f>
        <v>SELESAI (VIA PERMOHONAN)</v>
      </c>
      <c r="J1161" s="17">
        <f>IFERROR(__xludf.DUMMYFUNCTION("""COMPUTED_VALUE"""),45707.67634372685)</f>
        <v>45707.67634</v>
      </c>
      <c r="K1161" s="13" t="str">
        <f>IFERROR(__xludf.DUMMYFUNCTION("""COMPUTED_VALUE"""),"Selesai")</f>
        <v>Selesai</v>
      </c>
      <c r="L1161" s="17">
        <f>IFERROR(__xludf.DUMMYFUNCTION("""COMPUTED_VALUE"""),45707.67634372685)</f>
        <v>45707.67634</v>
      </c>
      <c r="M1161" s="13"/>
      <c r="N1161" s="13" t="str">
        <f>IFERROR(__xludf.DUMMYFUNCTION("""COMPUTED_VALUE"""),"")</f>
        <v/>
      </c>
      <c r="O1161" s="13" t="str">
        <f t="shared" si="1"/>
        <v/>
      </c>
    </row>
    <row r="1162" ht="22.5" customHeight="1">
      <c r="B1162" s="13">
        <f>IFERROR(__xludf.DUMMYFUNCTION("""COMPUTED_VALUE"""),1157.0)</f>
        <v>1157</v>
      </c>
      <c r="C1162" s="13" t="str">
        <f>IFERROR(__xludf.DUMMYFUNCTION("""COMPUTED_VALUE"""),"M. 9368/ Sidodadi")</f>
        <v>M. 9368/ Sidodadi</v>
      </c>
      <c r="D1162" s="13" t="str">
        <f>IFERROR(__xludf.DUMMYFUNCTION("""COMPUTED_VALUE"""),"K/32/110225/1")</f>
        <v>K/32/110225/1</v>
      </c>
      <c r="E1162" s="14" t="str">
        <f>IFERROR(__xludf.DUMMYFUNCTION("""COMPUTED_VALUE"""),"Nadian (BT)")</f>
        <v>Nadian (BT)</v>
      </c>
      <c r="F1162" s="14" t="str">
        <f>IFERROR(__xludf.DUMMYFUNCTION("""COMPUTED_VALUE"""),"SELESAI (VIA PERMOHONAN)")</f>
        <v>SELESAI (VIA PERMOHONAN)</v>
      </c>
      <c r="G1162" s="17">
        <f>IFERROR(__xludf.DUMMYFUNCTION("""COMPUTED_VALUE"""),45706.605833912035)</f>
        <v>45706.60583</v>
      </c>
      <c r="H1162" s="14" t="str">
        <f>IFERROR(__xludf.DUMMYFUNCTION("""COMPUTED_VALUE"""),"Bu Eva (SU)")</f>
        <v>Bu Eva (SU)</v>
      </c>
      <c r="I1162" s="13" t="str">
        <f>IFERROR(__xludf.DUMMYFUNCTION("""COMPUTED_VALUE"""),"SELESAI (VIA PERMOHONAN)")</f>
        <v>SELESAI (VIA PERMOHONAN)</v>
      </c>
      <c r="J1162" s="17">
        <f>IFERROR(__xludf.DUMMYFUNCTION("""COMPUTED_VALUE"""),45707.67637453704)</f>
        <v>45707.67637</v>
      </c>
      <c r="K1162" s="13" t="str">
        <f>IFERROR(__xludf.DUMMYFUNCTION("""COMPUTED_VALUE"""),"Selesai")</f>
        <v>Selesai</v>
      </c>
      <c r="L1162" s="17">
        <f>IFERROR(__xludf.DUMMYFUNCTION("""COMPUTED_VALUE"""),45707.67637453704)</f>
        <v>45707.67637</v>
      </c>
      <c r="M1162" s="13"/>
      <c r="N1162" s="13" t="str">
        <f>IFERROR(__xludf.DUMMYFUNCTION("""COMPUTED_VALUE"""),"")</f>
        <v/>
      </c>
      <c r="O1162" s="13" t="str">
        <f t="shared" si="1"/>
        <v/>
      </c>
    </row>
    <row r="1163" ht="22.5" customHeight="1">
      <c r="B1163" s="13">
        <f>IFERROR(__xludf.DUMMYFUNCTION("""COMPUTED_VALUE"""),1158.0)</f>
        <v>1158</v>
      </c>
      <c r="C1163" s="13" t="str">
        <f>IFERROR(__xludf.DUMMYFUNCTION("""COMPUTED_VALUE"""),"M. 1183/ Sumber Agung")</f>
        <v>M. 1183/ Sumber Agung</v>
      </c>
      <c r="D1163" s="13" t="str">
        <f>IFERROR(__xludf.DUMMYFUNCTION("""COMPUTED_VALUE"""),"K/27/130225/1")</f>
        <v>K/27/130225/1</v>
      </c>
      <c r="E1163" s="14" t="str">
        <f>IFERROR(__xludf.DUMMYFUNCTION("""COMPUTED_VALUE"""),"Nadian (BT)")</f>
        <v>Nadian (BT)</v>
      </c>
      <c r="F1163" s="14" t="str">
        <f>IFERROR(__xludf.DUMMYFUNCTION("""COMPUTED_VALUE"""),"SELESAI (VIA PERMOHONAN)")</f>
        <v>SELESAI (VIA PERMOHONAN)</v>
      </c>
      <c r="G1163" s="17">
        <f>IFERROR(__xludf.DUMMYFUNCTION("""COMPUTED_VALUE"""),45706.605833912035)</f>
        <v>45706.60583</v>
      </c>
      <c r="H1163" s="14" t="str">
        <f>IFERROR(__xludf.DUMMYFUNCTION("""COMPUTED_VALUE"""),"Bu Eva (SU)")</f>
        <v>Bu Eva (SU)</v>
      </c>
      <c r="I1163" s="13" t="str">
        <f>IFERROR(__xludf.DUMMYFUNCTION("""COMPUTED_VALUE"""),"SELESAI (VIA PERMOHONAN)")</f>
        <v>SELESAI (VIA PERMOHONAN)</v>
      </c>
      <c r="J1163" s="17">
        <f>IFERROR(__xludf.DUMMYFUNCTION("""COMPUTED_VALUE"""),45707.67637453704)</f>
        <v>45707.67637</v>
      </c>
      <c r="K1163" s="13" t="str">
        <f>IFERROR(__xludf.DUMMYFUNCTION("""COMPUTED_VALUE"""),"Selesai")</f>
        <v>Selesai</v>
      </c>
      <c r="L1163" s="17">
        <f>IFERROR(__xludf.DUMMYFUNCTION("""COMPUTED_VALUE"""),45707.67637453704)</f>
        <v>45707.67637</v>
      </c>
      <c r="M1163" s="13"/>
      <c r="N1163" s="13" t="str">
        <f>IFERROR(__xludf.DUMMYFUNCTION("""COMPUTED_VALUE"""),"")</f>
        <v/>
      </c>
      <c r="O1163" s="13" t="str">
        <f t="shared" si="1"/>
        <v/>
      </c>
    </row>
    <row r="1164" ht="22.5" customHeight="1">
      <c r="B1164" s="13">
        <f>IFERROR(__xludf.DUMMYFUNCTION("""COMPUTED_VALUE"""),1159.0)</f>
        <v>1159</v>
      </c>
      <c r="C1164" s="13" t="str">
        <f>IFERROR(__xludf.DUMMYFUNCTION("""COMPUTED_VALUE"""),"M. 3238/ Gedong Air")</f>
        <v>M. 3238/ Gedong Air</v>
      </c>
      <c r="D1164" s="13" t="str">
        <f>IFERROR(__xludf.DUMMYFUNCTION("""COMPUTED_VALUE"""),"K/19/040225/2")</f>
        <v>K/19/040225/2</v>
      </c>
      <c r="E1164" s="14" t="str">
        <f>IFERROR(__xludf.DUMMYFUNCTION("""COMPUTED_VALUE"""),"Nadian (BT)")</f>
        <v>Nadian (BT)</v>
      </c>
      <c r="F1164" s="14" t="str">
        <f>IFERROR(__xludf.DUMMYFUNCTION("""COMPUTED_VALUE"""),"SELESAI (VIA PERMOHONAN)")</f>
        <v>SELESAI (VIA PERMOHONAN)</v>
      </c>
      <c r="G1164" s="17">
        <f>IFERROR(__xludf.DUMMYFUNCTION("""COMPUTED_VALUE"""),45706.605833912035)</f>
        <v>45706.60583</v>
      </c>
      <c r="H1164" s="14" t="str">
        <f>IFERROR(__xludf.DUMMYFUNCTION("""COMPUTED_VALUE"""),"Bu Eva (SU)")</f>
        <v>Bu Eva (SU)</v>
      </c>
      <c r="I1164" s="13" t="str">
        <f>IFERROR(__xludf.DUMMYFUNCTION("""COMPUTED_VALUE"""),"SELESAI (VIA PERMOHONAN)")</f>
        <v>SELESAI (VIA PERMOHONAN)</v>
      </c>
      <c r="J1164" s="17">
        <f>IFERROR(__xludf.DUMMYFUNCTION("""COMPUTED_VALUE"""),45707.67637453704)</f>
        <v>45707.67637</v>
      </c>
      <c r="K1164" s="13" t="str">
        <f>IFERROR(__xludf.DUMMYFUNCTION("""COMPUTED_VALUE"""),"Selesai")</f>
        <v>Selesai</v>
      </c>
      <c r="L1164" s="17">
        <f>IFERROR(__xludf.DUMMYFUNCTION("""COMPUTED_VALUE"""),45707.67637453704)</f>
        <v>45707.67637</v>
      </c>
      <c r="M1164" s="13"/>
      <c r="N1164" s="13" t="str">
        <f>IFERROR(__xludf.DUMMYFUNCTION("""COMPUTED_VALUE"""),"")</f>
        <v/>
      </c>
      <c r="O1164" s="13" t="str">
        <f t="shared" si="1"/>
        <v/>
      </c>
    </row>
    <row r="1165" ht="22.5" customHeight="1">
      <c r="B1165" s="13">
        <f>IFERROR(__xludf.DUMMYFUNCTION("""COMPUTED_VALUE"""),1160.0)</f>
        <v>1160</v>
      </c>
      <c r="C1165" s="13" t="str">
        <f>IFERROR(__xludf.DUMMYFUNCTION("""COMPUTED_VALUE"""),"M. 19091/ Sukarame")</f>
        <v>M. 19091/ Sukarame</v>
      </c>
      <c r="D1165" s="13" t="str">
        <f>IFERROR(__xludf.DUMMYFUNCTION("""COMPUTED_VALUE"""),"K/6/140225/1")</f>
        <v>K/6/140225/1</v>
      </c>
      <c r="E1165" s="14" t="str">
        <f>IFERROR(__xludf.DUMMYFUNCTION("""COMPUTED_VALUE"""),"Nadian (BT)")</f>
        <v>Nadian (BT)</v>
      </c>
      <c r="F1165" s="14" t="str">
        <f>IFERROR(__xludf.DUMMYFUNCTION("""COMPUTED_VALUE"""),"SELESAI (VIA PERMOHONAN)")</f>
        <v>SELESAI (VIA PERMOHONAN)</v>
      </c>
      <c r="G1165" s="17">
        <f>IFERROR(__xludf.DUMMYFUNCTION("""COMPUTED_VALUE"""),45706.6058628125)</f>
        <v>45706.60586</v>
      </c>
      <c r="H1165" s="14" t="str">
        <f>IFERROR(__xludf.DUMMYFUNCTION("""COMPUTED_VALUE"""),"Bu Eva (SU)")</f>
        <v>Bu Eva (SU)</v>
      </c>
      <c r="I1165" s="13" t="str">
        <f>IFERROR(__xludf.DUMMYFUNCTION("""COMPUTED_VALUE"""),"SELESAI (VIA PERMOHONAN)")</f>
        <v>SELESAI (VIA PERMOHONAN)</v>
      </c>
      <c r="J1165" s="17">
        <f>IFERROR(__xludf.DUMMYFUNCTION("""COMPUTED_VALUE"""),45707.67637453704)</f>
        <v>45707.67637</v>
      </c>
      <c r="K1165" s="13" t="str">
        <f>IFERROR(__xludf.DUMMYFUNCTION("""COMPUTED_VALUE"""),"Selesai")</f>
        <v>Selesai</v>
      </c>
      <c r="L1165" s="17">
        <f>IFERROR(__xludf.DUMMYFUNCTION("""COMPUTED_VALUE"""),45707.67637453704)</f>
        <v>45707.67637</v>
      </c>
      <c r="M1165" s="13"/>
      <c r="N1165" s="13" t="str">
        <f>IFERROR(__xludf.DUMMYFUNCTION("""COMPUTED_VALUE"""),"")</f>
        <v/>
      </c>
      <c r="O1165" s="13" t="str">
        <f t="shared" si="1"/>
        <v/>
      </c>
    </row>
    <row r="1166" ht="22.5" customHeight="1">
      <c r="B1166" s="13">
        <f>IFERROR(__xludf.DUMMYFUNCTION("""COMPUTED_VALUE"""),1161.0)</f>
        <v>1161</v>
      </c>
      <c r="C1166" s="13" t="str">
        <f>IFERROR(__xludf.DUMMYFUNCTION("""COMPUTED_VALUE"""),"M.380/SUMBERREJO SEJAHTERA")</f>
        <v>M.380/SUMBERREJO SEJAHTERA</v>
      </c>
      <c r="D1166" s="13" t="str">
        <f>IFERROR(__xludf.DUMMYFUNCTION("""COMPUTED_VALUE"""),"K/22/220125/1")</f>
        <v>K/22/220125/1</v>
      </c>
      <c r="E1166" s="14" t="str">
        <f>IFERROR(__xludf.DUMMYFUNCTION("""COMPUTED_VALUE"""),"Nadian (BT)")</f>
        <v>Nadian (BT)</v>
      </c>
      <c r="F1166" s="14" t="str">
        <f>IFERROR(__xludf.DUMMYFUNCTION("""COMPUTED_VALUE"""),"SELESAI (VIA PERMOHONAN)")</f>
        <v>SELESAI (VIA PERMOHONAN)</v>
      </c>
      <c r="G1166" s="17">
        <f>IFERROR(__xludf.DUMMYFUNCTION("""COMPUTED_VALUE"""),45706.6058628125)</f>
        <v>45706.60586</v>
      </c>
      <c r="H1166" s="14" t="str">
        <f>IFERROR(__xludf.DUMMYFUNCTION("""COMPUTED_VALUE"""),"Bu Eva (SU)")</f>
        <v>Bu Eva (SU)</v>
      </c>
      <c r="I1166" s="13" t="str">
        <f>IFERROR(__xludf.DUMMYFUNCTION("""COMPUTED_VALUE"""),"SELESAI (VIA PERMOHONAN)")</f>
        <v>SELESAI (VIA PERMOHONAN)</v>
      </c>
      <c r="J1166" s="17">
        <f>IFERROR(__xludf.DUMMYFUNCTION("""COMPUTED_VALUE"""),45707.67637453704)</f>
        <v>45707.67637</v>
      </c>
      <c r="K1166" s="13" t="str">
        <f>IFERROR(__xludf.DUMMYFUNCTION("""COMPUTED_VALUE"""),"Selesai")</f>
        <v>Selesai</v>
      </c>
      <c r="L1166" s="17">
        <f>IFERROR(__xludf.DUMMYFUNCTION("""COMPUTED_VALUE"""),45707.67637453704)</f>
        <v>45707.67637</v>
      </c>
      <c r="M1166" s="13"/>
      <c r="N1166" s="13" t="str">
        <f>IFERROR(__xludf.DUMMYFUNCTION("""COMPUTED_VALUE"""),"")</f>
        <v/>
      </c>
      <c r="O1166" s="13" t="str">
        <f t="shared" si="1"/>
        <v/>
      </c>
    </row>
    <row r="1167" ht="22.5" customHeight="1">
      <c r="B1167" s="13">
        <f>IFERROR(__xludf.DUMMYFUNCTION("""COMPUTED_VALUE"""),1162.0)</f>
        <v>1162</v>
      </c>
      <c r="C1167" s="13" t="str">
        <f>IFERROR(__xludf.DUMMYFUNCTION("""COMPUTED_VALUE"""),"M.4244/GUNUNG TERANG")</f>
        <v>M.4244/GUNUNG TERANG</v>
      </c>
      <c r="D1167" s="13" t="str">
        <f>IFERROR(__xludf.DUMMYFUNCTION("""COMPUTED_VALUE"""),"K/25/130225/1")</f>
        <v>K/25/130225/1</v>
      </c>
      <c r="E1167" s="14" t="str">
        <f>IFERROR(__xludf.DUMMYFUNCTION("""COMPUTED_VALUE"""),"Nadian (BT)")</f>
        <v>Nadian (BT)</v>
      </c>
      <c r="F1167" s="14" t="str">
        <f>IFERROR(__xludf.DUMMYFUNCTION("""COMPUTED_VALUE"""),"SELESAI (VIA PERMOHONAN)")</f>
        <v>SELESAI (VIA PERMOHONAN)</v>
      </c>
      <c r="G1167" s="17">
        <f>IFERROR(__xludf.DUMMYFUNCTION("""COMPUTED_VALUE"""),45706.6058628125)</f>
        <v>45706.60586</v>
      </c>
      <c r="H1167" s="14" t="str">
        <f>IFERROR(__xludf.DUMMYFUNCTION("""COMPUTED_VALUE"""),"Bu Eva (SU)")</f>
        <v>Bu Eva (SU)</v>
      </c>
      <c r="I1167" s="13" t="str">
        <f>IFERROR(__xludf.DUMMYFUNCTION("""COMPUTED_VALUE"""),"SELESAI (VIA PERMOHONAN)")</f>
        <v>SELESAI (VIA PERMOHONAN)</v>
      </c>
      <c r="J1167" s="17">
        <f>IFERROR(__xludf.DUMMYFUNCTION("""COMPUTED_VALUE"""),45707.676401550925)</f>
        <v>45707.6764</v>
      </c>
      <c r="K1167" s="13" t="str">
        <f>IFERROR(__xludf.DUMMYFUNCTION("""COMPUTED_VALUE"""),"Selesai")</f>
        <v>Selesai</v>
      </c>
      <c r="L1167" s="17">
        <f>IFERROR(__xludf.DUMMYFUNCTION("""COMPUTED_VALUE"""),45707.676401550925)</f>
        <v>45707.6764</v>
      </c>
      <c r="M1167" s="13"/>
      <c r="N1167" s="13" t="str">
        <f>IFERROR(__xludf.DUMMYFUNCTION("""COMPUTED_VALUE"""),"")</f>
        <v/>
      </c>
      <c r="O1167" s="13" t="str">
        <f t="shared" si="1"/>
        <v/>
      </c>
    </row>
    <row r="1168" ht="22.5" customHeight="1">
      <c r="B1168" s="13">
        <f>IFERROR(__xludf.DUMMYFUNCTION("""COMPUTED_VALUE"""),1163.0)</f>
        <v>1163</v>
      </c>
      <c r="C1168" s="13" t="str">
        <f>IFERROR(__xludf.DUMMYFUNCTION("""COMPUTED_VALUE"""),"B.628/SUMBER AGUNG")</f>
        <v>B.628/SUMBER AGUNG</v>
      </c>
      <c r="D1168" s="13" t="str">
        <f>IFERROR(__xludf.DUMMYFUNCTION("""COMPUTED_VALUE"""),"K/7/050225/1")</f>
        <v>K/7/050225/1</v>
      </c>
      <c r="E1168" s="14" t="str">
        <f>IFERROR(__xludf.DUMMYFUNCTION("""COMPUTED_VALUE"""),"Nadian (BT)")</f>
        <v>Nadian (BT)</v>
      </c>
      <c r="F1168" s="14" t="str">
        <f>IFERROR(__xludf.DUMMYFUNCTION("""COMPUTED_VALUE"""),"SELESAI (VIA PERMOHONAN)")</f>
        <v>SELESAI (VIA PERMOHONAN)</v>
      </c>
      <c r="G1168" s="17">
        <f>IFERROR(__xludf.DUMMYFUNCTION("""COMPUTED_VALUE"""),45706.6058628125)</f>
        <v>45706.60586</v>
      </c>
      <c r="H1168" s="14" t="str">
        <f>IFERROR(__xludf.DUMMYFUNCTION("""COMPUTED_VALUE"""),"Bu Eva (SU)")</f>
        <v>Bu Eva (SU)</v>
      </c>
      <c r="I1168" s="13" t="str">
        <f>IFERROR(__xludf.DUMMYFUNCTION("""COMPUTED_VALUE"""),"SELESAI (VIA PERMOHONAN)")</f>
        <v>SELESAI (VIA PERMOHONAN)</v>
      </c>
      <c r="J1168" s="17">
        <f>IFERROR(__xludf.DUMMYFUNCTION("""COMPUTED_VALUE"""),45707.676401550925)</f>
        <v>45707.6764</v>
      </c>
      <c r="K1168" s="13" t="str">
        <f>IFERROR(__xludf.DUMMYFUNCTION("""COMPUTED_VALUE"""),"Selesai")</f>
        <v>Selesai</v>
      </c>
      <c r="L1168" s="17">
        <f>IFERROR(__xludf.DUMMYFUNCTION("""COMPUTED_VALUE"""),45707.676401550925)</f>
        <v>45707.6764</v>
      </c>
      <c r="M1168" s="13"/>
      <c r="N1168" s="13" t="str">
        <f>IFERROR(__xludf.DUMMYFUNCTION("""COMPUTED_VALUE"""),"")</f>
        <v/>
      </c>
      <c r="O1168" s="13" t="str">
        <f t="shared" si="1"/>
        <v/>
      </c>
    </row>
    <row r="1169" ht="22.5" customHeight="1">
      <c r="B1169" s="13">
        <f>IFERROR(__xludf.DUMMYFUNCTION("""COMPUTED_VALUE"""),1164.0)</f>
        <v>1164</v>
      </c>
      <c r="C1169" s="13" t="str">
        <f>IFERROR(__xludf.DUMMYFUNCTION("""COMPUTED_VALUE"""),"1M.1255/GULAK GALIK; 2. M.1254/SUMUR BATU")</f>
        <v>1M.1255/GULAK GALIK; 2. M.1254/SUMUR BATU</v>
      </c>
      <c r="D1169" s="13" t="str">
        <f>IFERROR(__xludf.DUMMYFUNCTION("""COMPUTED_VALUE"""),"K/14/070225/1")</f>
        <v>K/14/070225/1</v>
      </c>
      <c r="E1169" s="14" t="str">
        <f>IFERROR(__xludf.DUMMYFUNCTION("""COMPUTED_VALUE"""),"Nadian (BT)")</f>
        <v>Nadian (BT)</v>
      </c>
      <c r="F1169" s="14" t="str">
        <f>IFERROR(__xludf.DUMMYFUNCTION("""COMPUTED_VALUE"""),"SELESAI (VIA PERMOHONAN)")</f>
        <v>SELESAI (VIA PERMOHONAN)</v>
      </c>
      <c r="G1169" s="17">
        <f>IFERROR(__xludf.DUMMYFUNCTION("""COMPUTED_VALUE"""),45706.6058628125)</f>
        <v>45706.60586</v>
      </c>
      <c r="H1169" s="14" t="str">
        <f>IFERROR(__xludf.DUMMYFUNCTION("""COMPUTED_VALUE"""),"Bu Eva (SU)")</f>
        <v>Bu Eva (SU)</v>
      </c>
      <c r="I1169" s="13" t="str">
        <f>IFERROR(__xludf.DUMMYFUNCTION("""COMPUTED_VALUE"""),"SELESAI (VIA PERMOHONAN)")</f>
        <v>SELESAI (VIA PERMOHONAN)</v>
      </c>
      <c r="J1169" s="17">
        <f>IFERROR(__xludf.DUMMYFUNCTION("""COMPUTED_VALUE"""),45707.676401550925)</f>
        <v>45707.6764</v>
      </c>
      <c r="K1169" s="13" t="str">
        <f>IFERROR(__xludf.DUMMYFUNCTION("""COMPUTED_VALUE"""),"Selesai")</f>
        <v>Selesai</v>
      </c>
      <c r="L1169" s="17">
        <f>IFERROR(__xludf.DUMMYFUNCTION("""COMPUTED_VALUE"""),45707.676401550925)</f>
        <v>45707.6764</v>
      </c>
      <c r="M1169" s="13"/>
      <c r="N1169" s="13" t="str">
        <f>IFERROR(__xludf.DUMMYFUNCTION("""COMPUTED_VALUE"""),"")</f>
        <v/>
      </c>
      <c r="O1169" s="13" t="str">
        <f t="shared" si="1"/>
        <v/>
      </c>
    </row>
    <row r="1170" ht="22.5" customHeight="1">
      <c r="B1170" s="13">
        <f>IFERROR(__xludf.DUMMYFUNCTION("""COMPUTED_VALUE"""),1165.0)</f>
        <v>1165</v>
      </c>
      <c r="C1170" s="13" t="str">
        <f>IFERROR(__xludf.DUMMYFUNCTION("""COMPUTED_VALUE"""),"M.1088/SRENGSEM")</f>
        <v>M.1088/SRENGSEM</v>
      </c>
      <c r="D1170" s="13" t="str">
        <f>IFERROR(__xludf.DUMMYFUNCTION("""COMPUTED_VALUE"""),"K/14/140225/1")</f>
        <v>K/14/140225/1</v>
      </c>
      <c r="E1170" s="14" t="str">
        <f>IFERROR(__xludf.DUMMYFUNCTION("""COMPUTED_VALUE"""),"Nadian (BT)")</f>
        <v>Nadian (BT)</v>
      </c>
      <c r="F1170" s="14" t="str">
        <f>IFERROR(__xludf.DUMMYFUNCTION("""COMPUTED_VALUE"""),"SELESAI (VIA PERMOHONAN)")</f>
        <v>SELESAI (VIA PERMOHONAN)</v>
      </c>
      <c r="G1170" s="17">
        <f>IFERROR(__xludf.DUMMYFUNCTION("""COMPUTED_VALUE"""),45706.6058628125)</f>
        <v>45706.60586</v>
      </c>
      <c r="H1170" s="14" t="str">
        <f>IFERROR(__xludf.DUMMYFUNCTION("""COMPUTED_VALUE"""),"Bu Eva (SU)")</f>
        <v>Bu Eva (SU)</v>
      </c>
      <c r="I1170" s="13" t="str">
        <f>IFERROR(__xludf.DUMMYFUNCTION("""COMPUTED_VALUE"""),"SELESAI (VIA PERMOHONAN)")</f>
        <v>SELESAI (VIA PERMOHONAN)</v>
      </c>
      <c r="J1170" s="17">
        <f>IFERROR(__xludf.DUMMYFUNCTION("""COMPUTED_VALUE"""),45707.676401550925)</f>
        <v>45707.6764</v>
      </c>
      <c r="K1170" s="13" t="str">
        <f>IFERROR(__xludf.DUMMYFUNCTION("""COMPUTED_VALUE"""),"Selesai")</f>
        <v>Selesai</v>
      </c>
      <c r="L1170" s="17">
        <f>IFERROR(__xludf.DUMMYFUNCTION("""COMPUTED_VALUE"""),45707.676401550925)</f>
        <v>45707.6764</v>
      </c>
      <c r="M1170" s="13"/>
      <c r="N1170" s="13" t="str">
        <f>IFERROR(__xludf.DUMMYFUNCTION("""COMPUTED_VALUE"""),"")</f>
        <v/>
      </c>
      <c r="O1170" s="13" t="str">
        <f t="shared" si="1"/>
        <v/>
      </c>
    </row>
    <row r="1171" ht="22.5" customHeight="1">
      <c r="B1171" s="13">
        <f>IFERROR(__xludf.DUMMYFUNCTION("""COMPUTED_VALUE"""),1166.0)</f>
        <v>1166</v>
      </c>
      <c r="C1171" s="13" t="str">
        <f>IFERROR(__xludf.DUMMYFUNCTION("""COMPUTED_VALUE"""),"M. 2462/ Sukamaju")</f>
        <v>M. 2462/ Sukamaju</v>
      </c>
      <c r="D1171" s="13" t="str">
        <f>IFERROR(__xludf.DUMMYFUNCTION("""COMPUTED_VALUE"""),"K/10/191224/1")</f>
        <v>K/10/191224/1</v>
      </c>
      <c r="E1171" s="14" t="str">
        <f>IFERROR(__xludf.DUMMYFUNCTION("""COMPUTED_VALUE"""),"Nadian (BT)")</f>
        <v>Nadian (BT)</v>
      </c>
      <c r="F1171" s="14" t="str">
        <f>IFERROR(__xludf.DUMMYFUNCTION("""COMPUTED_VALUE"""),"SELESAI (VIA PERMOHONAN)")</f>
        <v>SELESAI (VIA PERMOHONAN)</v>
      </c>
      <c r="G1171" s="17">
        <f>IFERROR(__xludf.DUMMYFUNCTION("""COMPUTED_VALUE"""),45706.6058628125)</f>
        <v>45706.60586</v>
      </c>
      <c r="H1171" s="14" t="str">
        <f>IFERROR(__xludf.DUMMYFUNCTION("""COMPUTED_VALUE"""),"Bu Eva (SU)")</f>
        <v>Bu Eva (SU)</v>
      </c>
      <c r="I1171" s="13" t="str">
        <f>IFERROR(__xludf.DUMMYFUNCTION("""COMPUTED_VALUE"""),"SELESAI (VIA PERMOHONAN)")</f>
        <v>SELESAI (VIA PERMOHONAN)</v>
      </c>
      <c r="J1171" s="17">
        <f>IFERROR(__xludf.DUMMYFUNCTION("""COMPUTED_VALUE"""),45707.676401550925)</f>
        <v>45707.6764</v>
      </c>
      <c r="K1171" s="13" t="str">
        <f>IFERROR(__xludf.DUMMYFUNCTION("""COMPUTED_VALUE"""),"Selesai")</f>
        <v>Selesai</v>
      </c>
      <c r="L1171" s="17">
        <f>IFERROR(__xludf.DUMMYFUNCTION("""COMPUTED_VALUE"""),45707.676401550925)</f>
        <v>45707.6764</v>
      </c>
      <c r="M1171" s="13"/>
      <c r="N1171" s="13" t="str">
        <f>IFERROR(__xludf.DUMMYFUNCTION("""COMPUTED_VALUE"""),"")</f>
        <v/>
      </c>
      <c r="O1171" s="13" t="str">
        <f t="shared" si="1"/>
        <v/>
      </c>
    </row>
    <row r="1172" ht="22.5" customHeight="1">
      <c r="B1172" s="13">
        <f>IFERROR(__xludf.DUMMYFUNCTION("""COMPUTED_VALUE"""),1167.0)</f>
        <v>1167</v>
      </c>
      <c r="C1172" s="13" t="str">
        <f>IFERROR(__xludf.DUMMYFUNCTION("""COMPUTED_VALUE"""),"M.3460/RANJUNG SENANG ")</f>
        <v>M.3460/RANJUNG SENANG </v>
      </c>
      <c r="D1172" s="13" t="str">
        <f>IFERROR(__xludf.DUMMYFUNCTION("""COMPUTED_VALUE"""),"L/57/100225/1")</f>
        <v>L/57/100225/1</v>
      </c>
      <c r="E1172" s="14" t="str">
        <f>IFERROR(__xludf.DUMMYFUNCTION("""COMPUTED_VALUE"""),"Nadian (BT)")</f>
        <v>Nadian (BT)</v>
      </c>
      <c r="F1172" s="14" t="str">
        <f>IFERROR(__xludf.DUMMYFUNCTION("""COMPUTED_VALUE"""),"SELESAI (VIA PERMOHONAN)")</f>
        <v>SELESAI (VIA PERMOHONAN)</v>
      </c>
      <c r="G1172" s="17">
        <f>IFERROR(__xludf.DUMMYFUNCTION("""COMPUTED_VALUE"""),45706.60589438658)</f>
        <v>45706.60589</v>
      </c>
      <c r="H1172" s="14" t="str">
        <f>IFERROR(__xludf.DUMMYFUNCTION("""COMPUTED_VALUE"""),"Bu Eva (SU)")</f>
        <v>Bu Eva (SU)</v>
      </c>
      <c r="I1172" s="13" t="str">
        <f>IFERROR(__xludf.DUMMYFUNCTION("""COMPUTED_VALUE"""),"SELESAI (VIA PERMOHONAN)")</f>
        <v>SELESAI (VIA PERMOHONAN)</v>
      </c>
      <c r="J1172" s="17">
        <f>IFERROR(__xludf.DUMMYFUNCTION("""COMPUTED_VALUE"""),45707.67648822917)</f>
        <v>45707.67649</v>
      </c>
      <c r="K1172" s="13" t="str">
        <f>IFERROR(__xludf.DUMMYFUNCTION("""COMPUTED_VALUE"""),"Selesai")</f>
        <v>Selesai</v>
      </c>
      <c r="L1172" s="17">
        <f>IFERROR(__xludf.DUMMYFUNCTION("""COMPUTED_VALUE"""),45707.67648822917)</f>
        <v>45707.67649</v>
      </c>
      <c r="M1172" s="13"/>
      <c r="N1172" s="13" t="str">
        <f>IFERROR(__xludf.DUMMYFUNCTION("""COMPUTED_VALUE"""),"")</f>
        <v/>
      </c>
      <c r="O1172" s="13" t="str">
        <f t="shared" si="1"/>
        <v/>
      </c>
    </row>
    <row r="1173" ht="22.5" customHeight="1">
      <c r="B1173" s="13">
        <f>IFERROR(__xludf.DUMMYFUNCTION("""COMPUTED_VALUE"""),1168.0)</f>
        <v>1168</v>
      </c>
      <c r="C1173" s="13" t="str">
        <f>IFERROR(__xludf.DUMMYFUNCTION("""COMPUTED_VALUE"""),"M.91/RAJABASA RAYA")</f>
        <v>M.91/RAJABASA RAYA</v>
      </c>
      <c r="D1173" s="13" t="str">
        <f>IFERROR(__xludf.DUMMYFUNCTION("""COMPUTED_VALUE"""),"L/8/100225/2")</f>
        <v>L/8/100225/2</v>
      </c>
      <c r="E1173" s="14" t="str">
        <f>IFERROR(__xludf.DUMMYFUNCTION("""COMPUTED_VALUE"""),"Nadian (BT)")</f>
        <v>Nadian (BT)</v>
      </c>
      <c r="F1173" s="14" t="str">
        <f>IFERROR(__xludf.DUMMYFUNCTION("""COMPUTED_VALUE"""),"SELESAI (VIA PERMOHONAN)")</f>
        <v>SELESAI (VIA PERMOHONAN)</v>
      </c>
      <c r="G1173" s="17">
        <f>IFERROR(__xludf.DUMMYFUNCTION("""COMPUTED_VALUE"""),45706.60589438658)</f>
        <v>45706.60589</v>
      </c>
      <c r="H1173" s="14" t="str">
        <f>IFERROR(__xludf.DUMMYFUNCTION("""COMPUTED_VALUE"""),"Bu Eva (SU)")</f>
        <v>Bu Eva (SU)</v>
      </c>
      <c r="I1173" s="13" t="str">
        <f>IFERROR(__xludf.DUMMYFUNCTION("""COMPUTED_VALUE"""),"SELESAI (VIA PERMOHONAN)")</f>
        <v>SELESAI (VIA PERMOHONAN)</v>
      </c>
      <c r="J1173" s="17">
        <f>IFERROR(__xludf.DUMMYFUNCTION("""COMPUTED_VALUE"""),45707.67648822917)</f>
        <v>45707.67649</v>
      </c>
      <c r="K1173" s="13" t="str">
        <f>IFERROR(__xludf.DUMMYFUNCTION("""COMPUTED_VALUE"""),"Selesai")</f>
        <v>Selesai</v>
      </c>
      <c r="L1173" s="17">
        <f>IFERROR(__xludf.DUMMYFUNCTION("""COMPUTED_VALUE"""),45707.67648822917)</f>
        <v>45707.67649</v>
      </c>
      <c r="M1173" s="13"/>
      <c r="N1173" s="13" t="str">
        <f>IFERROR(__xludf.DUMMYFUNCTION("""COMPUTED_VALUE"""),"")</f>
        <v/>
      </c>
      <c r="O1173" s="13" t="str">
        <f t="shared" si="1"/>
        <v/>
      </c>
    </row>
    <row r="1174" ht="22.5" customHeight="1">
      <c r="B1174" s="13">
        <f>IFERROR(__xludf.DUMMYFUNCTION("""COMPUTED_VALUE"""),1169.0)</f>
        <v>1169</v>
      </c>
      <c r="C1174" s="13" t="str">
        <f>IFERROR(__xludf.DUMMYFUNCTION("""COMPUTED_VALUE"""),"HM 13384/SUKARAME")</f>
        <v>HM 13384/SUKARAME</v>
      </c>
      <c r="D1174" s="13" t="str">
        <f>IFERROR(__xludf.DUMMYFUNCTION("""COMPUTED_VALUE"""),"L/10/050225/1")</f>
        <v>L/10/050225/1</v>
      </c>
      <c r="E1174" s="14" t="str">
        <f>IFERROR(__xludf.DUMMYFUNCTION("""COMPUTED_VALUE"""),"Nadian (BT)")</f>
        <v>Nadian (BT)</v>
      </c>
      <c r="F1174" s="14" t="str">
        <f>IFERROR(__xludf.DUMMYFUNCTION("""COMPUTED_VALUE"""),"SELESAI (VIA PERMOHONAN)")</f>
        <v>SELESAI (VIA PERMOHONAN)</v>
      </c>
      <c r="G1174" s="17">
        <f>IFERROR(__xludf.DUMMYFUNCTION("""COMPUTED_VALUE"""),45706.60589438658)</f>
        <v>45706.60589</v>
      </c>
      <c r="H1174" s="14" t="str">
        <f>IFERROR(__xludf.DUMMYFUNCTION("""COMPUTED_VALUE"""),"Bu Eva (SU)")</f>
        <v>Bu Eva (SU)</v>
      </c>
      <c r="I1174" s="13" t="str">
        <f>IFERROR(__xludf.DUMMYFUNCTION("""COMPUTED_VALUE"""),"SELESAI (VIA PERMOHONAN)")</f>
        <v>SELESAI (VIA PERMOHONAN)</v>
      </c>
      <c r="J1174" s="17">
        <f>IFERROR(__xludf.DUMMYFUNCTION("""COMPUTED_VALUE"""),45707.67648822917)</f>
        <v>45707.67649</v>
      </c>
      <c r="K1174" s="13" t="str">
        <f>IFERROR(__xludf.DUMMYFUNCTION("""COMPUTED_VALUE"""),"Selesai")</f>
        <v>Selesai</v>
      </c>
      <c r="L1174" s="17">
        <f>IFERROR(__xludf.DUMMYFUNCTION("""COMPUTED_VALUE"""),45707.67648822917)</f>
        <v>45707.67649</v>
      </c>
      <c r="M1174" s="13"/>
      <c r="N1174" s="13" t="str">
        <f>IFERROR(__xludf.DUMMYFUNCTION("""COMPUTED_VALUE"""),"")</f>
        <v/>
      </c>
      <c r="O1174" s="13" t="str">
        <f t="shared" si="1"/>
        <v/>
      </c>
    </row>
    <row r="1175" ht="22.5" customHeight="1">
      <c r="B1175" s="13">
        <f>IFERROR(__xludf.DUMMYFUNCTION("""COMPUTED_VALUE"""),1170.0)</f>
        <v>1170</v>
      </c>
      <c r="C1175" s="13" t="str">
        <f>IFERROR(__xludf.DUMMYFUNCTION("""COMPUTED_VALUE"""),"HM 11091/KEDATON")</f>
        <v>HM 11091/KEDATON</v>
      </c>
      <c r="D1175" s="13" t="str">
        <f>IFERROR(__xludf.DUMMYFUNCTION("""COMPUTED_VALUE"""),"L/11/060225/1")</f>
        <v>L/11/060225/1</v>
      </c>
      <c r="E1175" s="14" t="str">
        <f>IFERROR(__xludf.DUMMYFUNCTION("""COMPUTED_VALUE"""),"Nadian (BT)")</f>
        <v>Nadian (BT)</v>
      </c>
      <c r="F1175" s="14" t="str">
        <f>IFERROR(__xludf.DUMMYFUNCTION("""COMPUTED_VALUE"""),"SELESAI (VIA PERMOHONAN)")</f>
        <v>SELESAI (VIA PERMOHONAN)</v>
      </c>
      <c r="G1175" s="17">
        <f>IFERROR(__xludf.DUMMYFUNCTION("""COMPUTED_VALUE"""),45706.60589438658)</f>
        <v>45706.60589</v>
      </c>
      <c r="H1175" s="14" t="str">
        <f>IFERROR(__xludf.DUMMYFUNCTION("""COMPUTED_VALUE"""),"Bu Eva (SU)")</f>
        <v>Bu Eva (SU)</v>
      </c>
      <c r="I1175" s="13" t="str">
        <f>IFERROR(__xludf.DUMMYFUNCTION("""COMPUTED_VALUE"""),"SELESAI (VIA PERMOHONAN)")</f>
        <v>SELESAI (VIA PERMOHONAN)</v>
      </c>
      <c r="J1175" s="17">
        <f>IFERROR(__xludf.DUMMYFUNCTION("""COMPUTED_VALUE"""),45707.67648822917)</f>
        <v>45707.67649</v>
      </c>
      <c r="K1175" s="13" t="str">
        <f>IFERROR(__xludf.DUMMYFUNCTION("""COMPUTED_VALUE"""),"Selesai")</f>
        <v>Selesai</v>
      </c>
      <c r="L1175" s="17">
        <f>IFERROR(__xludf.DUMMYFUNCTION("""COMPUTED_VALUE"""),45707.67648822917)</f>
        <v>45707.67649</v>
      </c>
      <c r="M1175" s="13"/>
      <c r="N1175" s="13" t="str">
        <f>IFERROR(__xludf.DUMMYFUNCTION("""COMPUTED_VALUE"""),"")</f>
        <v/>
      </c>
      <c r="O1175" s="13" t="str">
        <f t="shared" si="1"/>
        <v/>
      </c>
    </row>
    <row r="1176" ht="22.5" customHeight="1">
      <c r="B1176" s="13">
        <f>IFERROR(__xludf.DUMMYFUNCTION("""COMPUTED_VALUE"""),1171.0)</f>
        <v>1171</v>
      </c>
      <c r="C1176" s="13" t="str">
        <f>IFERROR(__xludf.DUMMYFUNCTION("""COMPUTED_VALUE"""),"M.3360/WAY KANDIS ")</f>
        <v>M.3360/WAY KANDIS </v>
      </c>
      <c r="D1176" s="13" t="str">
        <f>IFERROR(__xludf.DUMMYFUNCTION("""COMPUTED_VALUE"""),"L/6/100225/1")</f>
        <v>L/6/100225/1</v>
      </c>
      <c r="E1176" s="14" t="str">
        <f>IFERROR(__xludf.DUMMYFUNCTION("""COMPUTED_VALUE"""),"Nadian (BT)")</f>
        <v>Nadian (BT)</v>
      </c>
      <c r="F1176" s="14" t="str">
        <f>IFERROR(__xludf.DUMMYFUNCTION("""COMPUTED_VALUE"""),"SELESAI (VIA PERMOHONAN)")</f>
        <v>SELESAI (VIA PERMOHONAN)</v>
      </c>
      <c r="G1176" s="17">
        <f>IFERROR(__xludf.DUMMYFUNCTION("""COMPUTED_VALUE"""),45706.60589438658)</f>
        <v>45706.60589</v>
      </c>
      <c r="H1176" s="14" t="str">
        <f>IFERROR(__xludf.DUMMYFUNCTION("""COMPUTED_VALUE"""),"Bu Eva (SU)")</f>
        <v>Bu Eva (SU)</v>
      </c>
      <c r="I1176" s="13" t="str">
        <f>IFERROR(__xludf.DUMMYFUNCTION("""COMPUTED_VALUE"""),"SELESAI (VIA PERMOHONAN)")</f>
        <v>SELESAI (VIA PERMOHONAN)</v>
      </c>
      <c r="J1176" s="17">
        <f>IFERROR(__xludf.DUMMYFUNCTION("""COMPUTED_VALUE"""),45707.67648822917)</f>
        <v>45707.67649</v>
      </c>
      <c r="K1176" s="13" t="str">
        <f>IFERROR(__xludf.DUMMYFUNCTION("""COMPUTED_VALUE"""),"Selesai")</f>
        <v>Selesai</v>
      </c>
      <c r="L1176" s="17">
        <f>IFERROR(__xludf.DUMMYFUNCTION("""COMPUTED_VALUE"""),45707.67648822917)</f>
        <v>45707.67649</v>
      </c>
      <c r="M1176" s="13"/>
      <c r="N1176" s="13" t="str">
        <f>IFERROR(__xludf.DUMMYFUNCTION("""COMPUTED_VALUE"""),"")</f>
        <v/>
      </c>
      <c r="O1176" s="13" t="str">
        <f t="shared" si="1"/>
        <v/>
      </c>
    </row>
    <row r="1177" ht="22.5" customHeight="1">
      <c r="B1177" s="13">
        <f>IFERROR(__xludf.DUMMYFUNCTION("""COMPUTED_VALUE"""),1172.0)</f>
        <v>1172</v>
      </c>
      <c r="C1177" s="13" t="str">
        <f>IFERROR(__xludf.DUMMYFUNCTION("""COMPUTED_VALUE"""),"B.4946/BERINGIN RAYA")</f>
        <v>B.4946/BERINGIN RAYA</v>
      </c>
      <c r="D1177" s="13" t="str">
        <f>IFERROR(__xludf.DUMMYFUNCTION("""COMPUTED_VALUE"""),"L/20/100225/1")</f>
        <v>L/20/100225/1</v>
      </c>
      <c r="E1177" s="14" t="str">
        <f>IFERROR(__xludf.DUMMYFUNCTION("""COMPUTED_VALUE"""),"Nadian (BT)")</f>
        <v>Nadian (BT)</v>
      </c>
      <c r="F1177" s="14" t="str">
        <f>IFERROR(__xludf.DUMMYFUNCTION("""COMPUTED_VALUE"""),"SELESAI (VIA PERMOHONAN)")</f>
        <v>SELESAI (VIA PERMOHONAN)</v>
      </c>
      <c r="G1177" s="17">
        <f>IFERROR(__xludf.DUMMYFUNCTION("""COMPUTED_VALUE"""),45706.60589438658)</f>
        <v>45706.60589</v>
      </c>
      <c r="H1177" s="14" t="str">
        <f>IFERROR(__xludf.DUMMYFUNCTION("""COMPUTED_VALUE"""),"Bu Eva (SU)")</f>
        <v>Bu Eva (SU)</v>
      </c>
      <c r="I1177" s="13" t="str">
        <f>IFERROR(__xludf.DUMMYFUNCTION("""COMPUTED_VALUE"""),"SELESAI (VIA PERMOHONAN)")</f>
        <v>SELESAI (VIA PERMOHONAN)</v>
      </c>
      <c r="J1177" s="17">
        <f>IFERROR(__xludf.DUMMYFUNCTION("""COMPUTED_VALUE"""),45707.67657570602)</f>
        <v>45707.67658</v>
      </c>
      <c r="K1177" s="13" t="str">
        <f>IFERROR(__xludf.DUMMYFUNCTION("""COMPUTED_VALUE"""),"Selesai")</f>
        <v>Selesai</v>
      </c>
      <c r="L1177" s="17">
        <f>IFERROR(__xludf.DUMMYFUNCTION("""COMPUTED_VALUE"""),45707.67657570602)</f>
        <v>45707.67658</v>
      </c>
      <c r="M1177" s="13"/>
      <c r="N1177" s="13" t="str">
        <f>IFERROR(__xludf.DUMMYFUNCTION("""COMPUTED_VALUE"""),"")</f>
        <v/>
      </c>
      <c r="O1177" s="13" t="str">
        <f t="shared" si="1"/>
        <v/>
      </c>
    </row>
    <row r="1178" ht="22.5" customHeight="1">
      <c r="B1178" s="13">
        <f>IFERROR(__xludf.DUMMYFUNCTION("""COMPUTED_VALUE"""),1173.0)</f>
        <v>1173</v>
      </c>
      <c r="C1178" s="13" t="str">
        <f>IFERROR(__xludf.DUMMYFUNCTION("""COMPUTED_VALUE"""),"M.11872/JAGABAYA II")</f>
        <v>M.11872/JAGABAYA II</v>
      </c>
      <c r="D1178" s="13" t="str">
        <f>IFERROR(__xludf.DUMMYFUNCTION("""COMPUTED_VALUE"""),"L/30/130225/1")</f>
        <v>L/30/130225/1</v>
      </c>
      <c r="E1178" s="14" t="str">
        <f>IFERROR(__xludf.DUMMYFUNCTION("""COMPUTED_VALUE"""),"Nadian (BT)")</f>
        <v>Nadian (BT)</v>
      </c>
      <c r="F1178" s="14" t="str">
        <f>IFERROR(__xludf.DUMMYFUNCTION("""COMPUTED_VALUE"""),"SELESAI (VIA PERMOHONAN)")</f>
        <v>SELESAI (VIA PERMOHONAN)</v>
      </c>
      <c r="G1178" s="17">
        <f>IFERROR(__xludf.DUMMYFUNCTION("""COMPUTED_VALUE"""),45706.605927638884)</f>
        <v>45706.60593</v>
      </c>
      <c r="H1178" s="14" t="str">
        <f>IFERROR(__xludf.DUMMYFUNCTION("""COMPUTED_VALUE"""),"Bu Eva (SU)")</f>
        <v>Bu Eva (SU)</v>
      </c>
      <c r="I1178" s="13" t="str">
        <f>IFERROR(__xludf.DUMMYFUNCTION("""COMPUTED_VALUE"""),"SELESAI (VIA PERMOHONAN)")</f>
        <v>SELESAI (VIA PERMOHONAN)</v>
      </c>
      <c r="J1178" s="17">
        <f>IFERROR(__xludf.DUMMYFUNCTION("""COMPUTED_VALUE"""),45707.67657570602)</f>
        <v>45707.67658</v>
      </c>
      <c r="K1178" s="13" t="str">
        <f>IFERROR(__xludf.DUMMYFUNCTION("""COMPUTED_VALUE"""),"Selesai")</f>
        <v>Selesai</v>
      </c>
      <c r="L1178" s="17">
        <f>IFERROR(__xludf.DUMMYFUNCTION("""COMPUTED_VALUE"""),45707.67657570602)</f>
        <v>45707.67658</v>
      </c>
      <c r="M1178" s="13"/>
      <c r="N1178" s="13" t="str">
        <f>IFERROR(__xludf.DUMMYFUNCTION("""COMPUTED_VALUE"""),"")</f>
        <v/>
      </c>
      <c r="O1178" s="13" t="str">
        <f t="shared" si="1"/>
        <v/>
      </c>
    </row>
    <row r="1179" ht="22.5" customHeight="1">
      <c r="B1179" s="13">
        <f>IFERROR(__xludf.DUMMYFUNCTION("""COMPUTED_VALUE"""),1174.0)</f>
        <v>1174</v>
      </c>
      <c r="C1179" s="13" t="str">
        <f>IFERROR(__xludf.DUMMYFUNCTION("""COMPUTED_VALUE"""),"B.467/SUBER AGUNG")</f>
        <v>B.467/SUBER AGUNG</v>
      </c>
      <c r="D1179" s="13" t="str">
        <f>IFERROR(__xludf.DUMMYFUNCTION("""COMPUTED_VALUE"""),"K/30/120225/3")</f>
        <v>K/30/120225/3</v>
      </c>
      <c r="E1179" s="14" t="str">
        <f>IFERROR(__xludf.DUMMYFUNCTION("""COMPUTED_VALUE"""),"Nadian (BT)")</f>
        <v>Nadian (BT)</v>
      </c>
      <c r="F1179" s="14" t="str">
        <f>IFERROR(__xludf.DUMMYFUNCTION("""COMPUTED_VALUE"""),"SELESAI (VIA PERMOHONAN)")</f>
        <v>SELESAI (VIA PERMOHONAN)</v>
      </c>
      <c r="G1179" s="17">
        <f>IFERROR(__xludf.DUMMYFUNCTION("""COMPUTED_VALUE"""),45706.605927638884)</f>
        <v>45706.60593</v>
      </c>
      <c r="H1179" s="14" t="str">
        <f>IFERROR(__xludf.DUMMYFUNCTION("""COMPUTED_VALUE"""),"Bu Eva (SU)")</f>
        <v>Bu Eva (SU)</v>
      </c>
      <c r="I1179" s="13" t="str">
        <f>IFERROR(__xludf.DUMMYFUNCTION("""COMPUTED_VALUE"""),"SELESAI (VIA PERMOHONAN)")</f>
        <v>SELESAI (VIA PERMOHONAN)</v>
      </c>
      <c r="J1179" s="17">
        <f>IFERROR(__xludf.DUMMYFUNCTION("""COMPUTED_VALUE"""),45707.67657570602)</f>
        <v>45707.67658</v>
      </c>
      <c r="K1179" s="13" t="str">
        <f>IFERROR(__xludf.DUMMYFUNCTION("""COMPUTED_VALUE"""),"Selesai")</f>
        <v>Selesai</v>
      </c>
      <c r="L1179" s="17">
        <f>IFERROR(__xludf.DUMMYFUNCTION("""COMPUTED_VALUE"""),45707.67657570602)</f>
        <v>45707.67658</v>
      </c>
      <c r="M1179" s="13"/>
      <c r="N1179" s="13" t="str">
        <f>IFERROR(__xludf.DUMMYFUNCTION("""COMPUTED_VALUE"""),"")</f>
        <v/>
      </c>
      <c r="O1179" s="13" t="str">
        <f t="shared" si="1"/>
        <v/>
      </c>
    </row>
    <row r="1180" ht="22.5" customHeight="1">
      <c r="B1180" s="13">
        <f>IFERROR(__xludf.DUMMYFUNCTION("""COMPUTED_VALUE"""),1175.0)</f>
        <v>1175</v>
      </c>
      <c r="C1180" s="13" t="str">
        <f>IFERROR(__xludf.DUMMYFUNCTION("""COMPUTED_VALUE"""),"M.663/NEGERI OLOK GADING")</f>
        <v>M.663/NEGERI OLOK GADING</v>
      </c>
      <c r="D1180" s="13" t="str">
        <f>IFERROR(__xludf.DUMMYFUNCTION("""COMPUTED_VALUE"""),"K/6/120225/1")</f>
        <v>K/6/120225/1</v>
      </c>
      <c r="E1180" s="14" t="str">
        <f>IFERROR(__xludf.DUMMYFUNCTION("""COMPUTED_VALUE"""),"Nadian (BT)")</f>
        <v>Nadian (BT)</v>
      </c>
      <c r="F1180" s="14" t="str">
        <f>IFERROR(__xludf.DUMMYFUNCTION("""COMPUTED_VALUE"""),"SELESAI (VIA PERMOHONAN)")</f>
        <v>SELESAI (VIA PERMOHONAN)</v>
      </c>
      <c r="G1180" s="17">
        <f>IFERROR(__xludf.DUMMYFUNCTION("""COMPUTED_VALUE"""),45706.605927638884)</f>
        <v>45706.60593</v>
      </c>
      <c r="H1180" s="14" t="str">
        <f>IFERROR(__xludf.DUMMYFUNCTION("""COMPUTED_VALUE"""),"Bu Eva (SU)")</f>
        <v>Bu Eva (SU)</v>
      </c>
      <c r="I1180" s="13" t="str">
        <f>IFERROR(__xludf.DUMMYFUNCTION("""COMPUTED_VALUE"""),"SELESAI (VIA PERMOHONAN)")</f>
        <v>SELESAI (VIA PERMOHONAN)</v>
      </c>
      <c r="J1180" s="17">
        <f>IFERROR(__xludf.DUMMYFUNCTION("""COMPUTED_VALUE"""),45707.67657570602)</f>
        <v>45707.67658</v>
      </c>
      <c r="K1180" s="13" t="str">
        <f>IFERROR(__xludf.DUMMYFUNCTION("""COMPUTED_VALUE"""),"Selesai")</f>
        <v>Selesai</v>
      </c>
      <c r="L1180" s="17">
        <f>IFERROR(__xludf.DUMMYFUNCTION("""COMPUTED_VALUE"""),45707.67657570602)</f>
        <v>45707.67658</v>
      </c>
      <c r="M1180" s="13"/>
      <c r="N1180" s="13" t="str">
        <f>IFERROR(__xludf.DUMMYFUNCTION("""COMPUTED_VALUE"""),"")</f>
        <v/>
      </c>
      <c r="O1180" s="13" t="str">
        <f t="shared" si="1"/>
        <v/>
      </c>
    </row>
    <row r="1181" ht="22.5" customHeight="1">
      <c r="B1181" s="13">
        <f>IFERROR(__xludf.DUMMYFUNCTION("""COMPUTED_VALUE"""),1176.0)</f>
        <v>1176</v>
      </c>
      <c r="C1181" s="13" t="str">
        <f>IFERROR(__xludf.DUMMYFUNCTION("""COMPUTED_VALUE"""),"HM 3174/GUNUNG TERANG")</f>
        <v>HM 3174/GUNUNG TERANG</v>
      </c>
      <c r="D1181" s="13" t="str">
        <f>IFERROR(__xludf.DUMMYFUNCTION("""COMPUTED_VALUE"""),"L/12/300125/1")</f>
        <v>L/12/300125/1</v>
      </c>
      <c r="E1181" s="14" t="str">
        <f>IFERROR(__xludf.DUMMYFUNCTION("""COMPUTED_VALUE"""),"Afriza (BT)")</f>
        <v>Afriza (BT)</v>
      </c>
      <c r="F1181" s="14" t="str">
        <f>IFERROR(__xludf.DUMMYFUNCTION("""COMPUTED_VALUE"""),"SELESAI (VIA PERMOHONAN)")</f>
        <v>SELESAI (VIA PERMOHONAN)</v>
      </c>
      <c r="G1181" s="17">
        <f>IFERROR(__xludf.DUMMYFUNCTION("""COMPUTED_VALUE"""),45706.62919920139)</f>
        <v>45706.6292</v>
      </c>
      <c r="H1181" s="14" t="str">
        <f>IFERROR(__xludf.DUMMYFUNCTION("""COMPUTED_VALUE"""),"Bu Eva (SU)")</f>
        <v>Bu Eva (SU)</v>
      </c>
      <c r="I1181" s="13" t="str">
        <f>IFERROR(__xludf.DUMMYFUNCTION("""COMPUTED_VALUE"""),"SELESAI (VIA PERMOHONAN)")</f>
        <v>SELESAI (VIA PERMOHONAN)</v>
      </c>
      <c r="J1181" s="17">
        <f>IFERROR(__xludf.DUMMYFUNCTION("""COMPUTED_VALUE"""),45706.629264930554)</f>
        <v>45706.62926</v>
      </c>
      <c r="K1181" s="13" t="str">
        <f>IFERROR(__xludf.DUMMYFUNCTION("""COMPUTED_VALUE"""),"Selesai")</f>
        <v>Selesai</v>
      </c>
      <c r="L1181" s="17">
        <f>IFERROR(__xludf.DUMMYFUNCTION("""COMPUTED_VALUE"""),45706.629264930554)</f>
        <v>45706.62926</v>
      </c>
      <c r="M1181" s="13"/>
      <c r="N1181" s="13" t="str">
        <f>IFERROR(__xludf.DUMMYFUNCTION("""COMPUTED_VALUE"""),"")</f>
        <v/>
      </c>
      <c r="O1181" s="13" t="str">
        <f t="shared" si="1"/>
        <v/>
      </c>
    </row>
    <row r="1182" ht="22.5" customHeight="1">
      <c r="B1182" s="13">
        <f>IFERROR(__xludf.DUMMYFUNCTION("""COMPUTED_VALUE"""),1177.0)</f>
        <v>1177</v>
      </c>
      <c r="C1182" s="13" t="str">
        <f>IFERROR(__xludf.DUMMYFUNCTION("""COMPUTED_VALUE"""),"HM 10586,10587/SIDODADI")</f>
        <v>HM 10586,10587/SIDODADI</v>
      </c>
      <c r="D1182" s="13" t="str">
        <f>IFERROR(__xludf.DUMMYFUNCTION("""COMPUTED_VALUE"""),"L/16/240125/1")</f>
        <v>L/16/240125/1</v>
      </c>
      <c r="E1182" s="14" t="str">
        <f>IFERROR(__xludf.DUMMYFUNCTION("""COMPUTED_VALUE"""),"Afriza (BT)")</f>
        <v>Afriza (BT)</v>
      </c>
      <c r="F1182" s="14" t="str">
        <f>IFERROR(__xludf.DUMMYFUNCTION("""COMPUTED_VALUE"""),"SELESAI (VIA PERMOHONAN)")</f>
        <v>SELESAI (VIA PERMOHONAN)</v>
      </c>
      <c r="G1182" s="17">
        <f>IFERROR(__xludf.DUMMYFUNCTION("""COMPUTED_VALUE"""),45706.630316423616)</f>
        <v>45706.63032</v>
      </c>
      <c r="H1182" s="14" t="str">
        <f>IFERROR(__xludf.DUMMYFUNCTION("""COMPUTED_VALUE"""),"Bu Eva (SU)")</f>
        <v>Bu Eva (SU)</v>
      </c>
      <c r="I1182" s="13" t="str">
        <f>IFERROR(__xludf.DUMMYFUNCTION("""COMPUTED_VALUE"""),"SELESAI (VIA PERMOHONAN)")</f>
        <v>SELESAI (VIA PERMOHONAN)</v>
      </c>
      <c r="J1182" s="17">
        <f>IFERROR(__xludf.DUMMYFUNCTION("""COMPUTED_VALUE"""),45706.63037112269)</f>
        <v>45706.63037</v>
      </c>
      <c r="K1182" s="13" t="str">
        <f>IFERROR(__xludf.DUMMYFUNCTION("""COMPUTED_VALUE"""),"Selesai")</f>
        <v>Selesai</v>
      </c>
      <c r="L1182" s="17">
        <f>IFERROR(__xludf.DUMMYFUNCTION("""COMPUTED_VALUE"""),45706.63037112269)</f>
        <v>45706.63037</v>
      </c>
      <c r="M1182" s="13"/>
      <c r="N1182" s="13" t="str">
        <f>IFERROR(__xludf.DUMMYFUNCTION("""COMPUTED_VALUE"""),"")</f>
        <v/>
      </c>
      <c r="O1182" s="13" t="str">
        <f t="shared" si="1"/>
        <v/>
      </c>
    </row>
    <row r="1183" ht="22.5" customHeight="1">
      <c r="B1183" s="13">
        <f>IFERROR(__xludf.DUMMYFUNCTION("""COMPUTED_VALUE"""),1178.0)</f>
        <v>1178</v>
      </c>
      <c r="C1183" s="13" t="str">
        <f>IFERROR(__xludf.DUMMYFUNCTION("""COMPUTED_VALUE"""),"HM 1716/BAKUNG")</f>
        <v>HM 1716/BAKUNG</v>
      </c>
      <c r="D1183" s="13" t="str">
        <f>IFERROR(__xludf.DUMMYFUNCTION("""COMPUTED_VALUE"""),"L/10/030225/1")</f>
        <v>L/10/030225/1</v>
      </c>
      <c r="E1183" s="14" t="str">
        <f>IFERROR(__xludf.DUMMYFUNCTION("""COMPUTED_VALUE"""),"Afriza (BT)")</f>
        <v>Afriza (BT)</v>
      </c>
      <c r="F1183" s="14" t="str">
        <f>IFERROR(__xludf.DUMMYFUNCTION("""COMPUTED_VALUE"""),"SELESAI (VIA PERMOHONAN)")</f>
        <v>SELESAI (VIA PERMOHONAN)</v>
      </c>
      <c r="G1183" s="17">
        <f>IFERROR(__xludf.DUMMYFUNCTION("""COMPUTED_VALUE"""),45706.630991365746)</f>
        <v>45706.63099</v>
      </c>
      <c r="H1183" s="14" t="str">
        <f>IFERROR(__xludf.DUMMYFUNCTION("""COMPUTED_VALUE"""),"Bu Eva (SU)")</f>
        <v>Bu Eva (SU)</v>
      </c>
      <c r="I1183" s="13" t="str">
        <f>IFERROR(__xludf.DUMMYFUNCTION("""COMPUTED_VALUE"""),"SELESAI (VIA PERMOHONAN)")</f>
        <v>SELESAI (VIA PERMOHONAN)</v>
      </c>
      <c r="J1183" s="17">
        <f>IFERROR(__xludf.DUMMYFUNCTION("""COMPUTED_VALUE"""),45706.63103556713)</f>
        <v>45706.63104</v>
      </c>
      <c r="K1183" s="13" t="str">
        <f>IFERROR(__xludf.DUMMYFUNCTION("""COMPUTED_VALUE"""),"Selesai")</f>
        <v>Selesai</v>
      </c>
      <c r="L1183" s="17">
        <f>IFERROR(__xludf.DUMMYFUNCTION("""COMPUTED_VALUE"""),45706.63103556713)</f>
        <v>45706.63104</v>
      </c>
      <c r="M1183" s="13"/>
      <c r="N1183" s="13" t="str">
        <f>IFERROR(__xludf.DUMMYFUNCTION("""COMPUTED_VALUE"""),"")</f>
        <v/>
      </c>
      <c r="O1183" s="13" t="str">
        <f t="shared" si="1"/>
        <v/>
      </c>
    </row>
    <row r="1184" ht="22.5" customHeight="1">
      <c r="B1184" s="13">
        <f>IFERROR(__xludf.DUMMYFUNCTION("""COMPUTED_VALUE"""),1179.0)</f>
        <v>1179</v>
      </c>
      <c r="C1184" s="13" t="str">
        <f>IFERROR(__xludf.DUMMYFUNCTION("""COMPUTED_VALUE"""),"M.5298/RAJABASA JAYA")</f>
        <v>M.5298/RAJABASA JAYA</v>
      </c>
      <c r="D1184" s="13" t="str">
        <f>IFERROR(__xludf.DUMMYFUNCTION("""COMPUTED_VALUE"""),"K/41/120225/1")</f>
        <v>K/41/120225/1</v>
      </c>
      <c r="E1184" s="14" t="str">
        <f>IFERROR(__xludf.DUMMYFUNCTION("""COMPUTED_VALUE"""),"Nadian (BT)")</f>
        <v>Nadian (BT)</v>
      </c>
      <c r="F1184" s="14" t="str">
        <f>IFERROR(__xludf.DUMMYFUNCTION("""COMPUTED_VALUE"""),"SELESAI (VIA PERMOHONAN)")</f>
        <v>SELESAI (VIA PERMOHONAN)</v>
      </c>
      <c r="G1184" s="17">
        <f>IFERROR(__xludf.DUMMYFUNCTION("""COMPUTED_VALUE"""),45707.65984608796)</f>
        <v>45707.65985</v>
      </c>
      <c r="H1184" s="14" t="str">
        <f>IFERROR(__xludf.DUMMYFUNCTION("""COMPUTED_VALUE"""),"Bu Eva (SU)")</f>
        <v>Bu Eva (SU)</v>
      </c>
      <c r="I1184" s="13" t="str">
        <f>IFERROR(__xludf.DUMMYFUNCTION("""COMPUTED_VALUE"""),"SELESAI (VIA PERMOHONAN)")</f>
        <v>SELESAI (VIA PERMOHONAN)</v>
      </c>
      <c r="J1184" s="17">
        <f>IFERROR(__xludf.DUMMYFUNCTION("""COMPUTED_VALUE"""),45707.67670193287)</f>
        <v>45707.6767</v>
      </c>
      <c r="K1184" s="13" t="str">
        <f>IFERROR(__xludf.DUMMYFUNCTION("""COMPUTED_VALUE"""),"Selesai")</f>
        <v>Selesai</v>
      </c>
      <c r="L1184" s="17">
        <f>IFERROR(__xludf.DUMMYFUNCTION("""COMPUTED_VALUE"""),45707.67670193287)</f>
        <v>45707.6767</v>
      </c>
      <c r="M1184" s="13"/>
      <c r="N1184" s="13" t="str">
        <f>IFERROR(__xludf.DUMMYFUNCTION("""COMPUTED_VALUE"""),"")</f>
        <v/>
      </c>
      <c r="O1184" s="13" t="str">
        <f t="shared" si="1"/>
        <v/>
      </c>
    </row>
    <row r="1185" ht="22.5" customHeight="1">
      <c r="B1185" s="13">
        <f>IFERROR(__xludf.DUMMYFUNCTION("""COMPUTED_VALUE"""),1180.0)</f>
        <v>1180</v>
      </c>
      <c r="C1185" s="13" t="str">
        <f>IFERROR(__xludf.DUMMYFUNCTION("""COMPUTED_VALUE"""),"M. 294/ Way Halim Permai")</f>
        <v>M. 294/ Way Halim Permai</v>
      </c>
      <c r="D1185" s="13" t="str">
        <f>IFERROR(__xludf.DUMMYFUNCTION("""COMPUTED_VALUE"""),"K/28/070225/1")</f>
        <v>K/28/070225/1</v>
      </c>
      <c r="E1185" s="14" t="str">
        <f>IFERROR(__xludf.DUMMYFUNCTION("""COMPUTED_VALUE"""),"Nadian (BT)")</f>
        <v>Nadian (BT)</v>
      </c>
      <c r="F1185" s="14" t="str">
        <f>IFERROR(__xludf.DUMMYFUNCTION("""COMPUTED_VALUE"""),"SELESAI (VIA PERMOHONAN)")</f>
        <v>SELESAI (VIA PERMOHONAN)</v>
      </c>
      <c r="G1185" s="17">
        <f>IFERROR(__xludf.DUMMYFUNCTION("""COMPUTED_VALUE"""),45707.65984608796)</f>
        <v>45707.65985</v>
      </c>
      <c r="H1185" s="14" t="str">
        <f>IFERROR(__xludf.DUMMYFUNCTION("""COMPUTED_VALUE"""),"Bu Eva (SU)")</f>
        <v>Bu Eva (SU)</v>
      </c>
      <c r="I1185" s="13" t="str">
        <f>IFERROR(__xludf.DUMMYFUNCTION("""COMPUTED_VALUE"""),"SELESAI (VIA PERMOHONAN)")</f>
        <v>SELESAI (VIA PERMOHONAN)</v>
      </c>
      <c r="J1185" s="17">
        <f>IFERROR(__xludf.DUMMYFUNCTION("""COMPUTED_VALUE"""),45707.67670193287)</f>
        <v>45707.6767</v>
      </c>
      <c r="K1185" s="13" t="str">
        <f>IFERROR(__xludf.DUMMYFUNCTION("""COMPUTED_VALUE"""),"Selesai")</f>
        <v>Selesai</v>
      </c>
      <c r="L1185" s="17">
        <f>IFERROR(__xludf.DUMMYFUNCTION("""COMPUTED_VALUE"""),45707.67670193287)</f>
        <v>45707.6767</v>
      </c>
      <c r="M1185" s="13"/>
      <c r="N1185" s="13" t="str">
        <f>IFERROR(__xludf.DUMMYFUNCTION("""COMPUTED_VALUE"""),"")</f>
        <v/>
      </c>
      <c r="O1185" s="13" t="str">
        <f t="shared" si="1"/>
        <v/>
      </c>
    </row>
    <row r="1186" ht="22.5" customHeight="1">
      <c r="B1186" s="13">
        <f>IFERROR(__xludf.DUMMYFUNCTION("""COMPUTED_VALUE"""),1181.0)</f>
        <v>1181</v>
      </c>
      <c r="C1186" s="13" t="str">
        <f>IFERROR(__xludf.DUMMYFUNCTION("""COMPUTED_VALUE"""),"M.12196/JAGABAYA II")</f>
        <v>M.12196/JAGABAYA II</v>
      </c>
      <c r="D1186" s="13" t="str">
        <f>IFERROR(__xludf.DUMMYFUNCTION("""COMPUTED_VALUE"""),"K/23/170225/1")</f>
        <v>K/23/170225/1</v>
      </c>
      <c r="E1186" s="14" t="str">
        <f>IFERROR(__xludf.DUMMYFUNCTION("""COMPUTED_VALUE"""),"Nadian (BT)")</f>
        <v>Nadian (BT)</v>
      </c>
      <c r="F1186" s="14" t="str">
        <f>IFERROR(__xludf.DUMMYFUNCTION("""COMPUTED_VALUE"""),"SELESAI (VIA PERMOHONAN)")</f>
        <v>SELESAI (VIA PERMOHONAN)</v>
      </c>
      <c r="G1186" s="17">
        <f>IFERROR(__xludf.DUMMYFUNCTION("""COMPUTED_VALUE"""),45707.65984608796)</f>
        <v>45707.65985</v>
      </c>
      <c r="H1186" s="14" t="str">
        <f>IFERROR(__xludf.DUMMYFUNCTION("""COMPUTED_VALUE"""),"Bu Eva (SU)")</f>
        <v>Bu Eva (SU)</v>
      </c>
      <c r="I1186" s="13" t="str">
        <f>IFERROR(__xludf.DUMMYFUNCTION("""COMPUTED_VALUE"""),"SELESAI (VIA PERMOHONAN)")</f>
        <v>SELESAI (VIA PERMOHONAN)</v>
      </c>
      <c r="J1186" s="17">
        <f>IFERROR(__xludf.DUMMYFUNCTION("""COMPUTED_VALUE"""),45707.67670193287)</f>
        <v>45707.6767</v>
      </c>
      <c r="K1186" s="13" t="str">
        <f>IFERROR(__xludf.DUMMYFUNCTION("""COMPUTED_VALUE"""),"Selesai")</f>
        <v>Selesai</v>
      </c>
      <c r="L1186" s="17">
        <f>IFERROR(__xludf.DUMMYFUNCTION("""COMPUTED_VALUE"""),45707.67670193287)</f>
        <v>45707.6767</v>
      </c>
      <c r="M1186" s="13"/>
      <c r="N1186" s="13" t="str">
        <f>IFERROR(__xludf.DUMMYFUNCTION("""COMPUTED_VALUE"""),"")</f>
        <v/>
      </c>
      <c r="O1186" s="13" t="str">
        <f t="shared" si="1"/>
        <v/>
      </c>
    </row>
    <row r="1187" ht="22.5" customHeight="1">
      <c r="B1187" s="13">
        <f>IFERROR(__xludf.DUMMYFUNCTION("""COMPUTED_VALUE"""),1182.0)</f>
        <v>1182</v>
      </c>
      <c r="C1187" s="13" t="str">
        <f>IFERROR(__xludf.DUMMYFUNCTION("""COMPUTED_VALUE"""),"B.617/KEMILING PERMAI")</f>
        <v>B.617/KEMILING PERMAI</v>
      </c>
      <c r="D1187" s="13" t="str">
        <f>IFERROR(__xludf.DUMMYFUNCTION("""COMPUTED_VALUE"""),"K/28/120225/1")</f>
        <v>K/28/120225/1</v>
      </c>
      <c r="E1187" s="14" t="str">
        <f>IFERROR(__xludf.DUMMYFUNCTION("""COMPUTED_VALUE"""),"Nadian (BT)")</f>
        <v>Nadian (BT)</v>
      </c>
      <c r="F1187" s="14" t="str">
        <f>IFERROR(__xludf.DUMMYFUNCTION("""COMPUTED_VALUE"""),"SELESAI (VIA PERMOHONAN)")</f>
        <v>SELESAI (VIA PERMOHONAN)</v>
      </c>
      <c r="G1187" s="17">
        <f>IFERROR(__xludf.DUMMYFUNCTION("""COMPUTED_VALUE"""),45707.65984608796)</f>
        <v>45707.65985</v>
      </c>
      <c r="H1187" s="14" t="str">
        <f>IFERROR(__xludf.DUMMYFUNCTION("""COMPUTED_VALUE"""),"Bu Eva (SU)")</f>
        <v>Bu Eva (SU)</v>
      </c>
      <c r="I1187" s="13" t="str">
        <f>IFERROR(__xludf.DUMMYFUNCTION("""COMPUTED_VALUE"""),"SELESAI (VIA PERMOHONAN)")</f>
        <v>SELESAI (VIA PERMOHONAN)</v>
      </c>
      <c r="J1187" s="17">
        <f>IFERROR(__xludf.DUMMYFUNCTION("""COMPUTED_VALUE"""),45707.67670193287)</f>
        <v>45707.6767</v>
      </c>
      <c r="K1187" s="13" t="str">
        <f>IFERROR(__xludf.DUMMYFUNCTION("""COMPUTED_VALUE"""),"Selesai")</f>
        <v>Selesai</v>
      </c>
      <c r="L1187" s="17">
        <f>IFERROR(__xludf.DUMMYFUNCTION("""COMPUTED_VALUE"""),45707.67670193287)</f>
        <v>45707.6767</v>
      </c>
      <c r="M1187" s="13"/>
      <c r="N1187" s="13" t="str">
        <f>IFERROR(__xludf.DUMMYFUNCTION("""COMPUTED_VALUE"""),"")</f>
        <v/>
      </c>
      <c r="O1187" s="13" t="str">
        <f t="shared" si="1"/>
        <v/>
      </c>
    </row>
    <row r="1188" ht="22.5" customHeight="1">
      <c r="B1188" s="13">
        <f>IFERROR(__xludf.DUMMYFUNCTION("""COMPUTED_VALUE"""),1183.0)</f>
        <v>1183</v>
      </c>
      <c r="C1188" s="13" t="str">
        <f>IFERROR(__xludf.DUMMYFUNCTION("""COMPUTED_VALUE"""),"M.1992/WAY KANDIS")</f>
        <v>M.1992/WAY KANDIS</v>
      </c>
      <c r="D1188" s="13" t="str">
        <f>IFERROR(__xludf.DUMMYFUNCTION("""COMPUTED_VALUE"""),"K/40/130225/1")</f>
        <v>K/40/130225/1</v>
      </c>
      <c r="E1188" s="14" t="str">
        <f>IFERROR(__xludf.DUMMYFUNCTION("""COMPUTED_VALUE"""),"Nadian (BT)")</f>
        <v>Nadian (BT)</v>
      </c>
      <c r="F1188" s="14" t="str">
        <f>IFERROR(__xludf.DUMMYFUNCTION("""COMPUTED_VALUE"""),"SELESAI (VIA PERMOHONAN)")</f>
        <v>SELESAI (VIA PERMOHONAN)</v>
      </c>
      <c r="G1188" s="17">
        <f>IFERROR(__xludf.DUMMYFUNCTION("""COMPUTED_VALUE"""),45707.65984608796)</f>
        <v>45707.65985</v>
      </c>
      <c r="H1188" s="14" t="str">
        <f>IFERROR(__xludf.DUMMYFUNCTION("""COMPUTED_VALUE"""),"Bu Eva (SU)")</f>
        <v>Bu Eva (SU)</v>
      </c>
      <c r="I1188" s="13" t="str">
        <f>IFERROR(__xludf.DUMMYFUNCTION("""COMPUTED_VALUE"""),"SELESAI (VIA PERMOHONAN)")</f>
        <v>SELESAI (VIA PERMOHONAN)</v>
      </c>
      <c r="J1188" s="17">
        <f>IFERROR(__xludf.DUMMYFUNCTION("""COMPUTED_VALUE"""),45707.67670193287)</f>
        <v>45707.6767</v>
      </c>
      <c r="K1188" s="13" t="str">
        <f>IFERROR(__xludf.DUMMYFUNCTION("""COMPUTED_VALUE"""),"Selesai")</f>
        <v>Selesai</v>
      </c>
      <c r="L1188" s="17">
        <f>IFERROR(__xludf.DUMMYFUNCTION("""COMPUTED_VALUE"""),45707.67670193287)</f>
        <v>45707.6767</v>
      </c>
      <c r="M1188" s="13"/>
      <c r="N1188" s="13" t="str">
        <f>IFERROR(__xludf.DUMMYFUNCTION("""COMPUTED_VALUE"""),"")</f>
        <v/>
      </c>
      <c r="O1188" s="13" t="str">
        <f t="shared" si="1"/>
        <v/>
      </c>
    </row>
    <row r="1189" ht="22.5" customHeight="1">
      <c r="B1189" s="13">
        <f>IFERROR(__xludf.DUMMYFUNCTION("""COMPUTED_VALUE"""),1184.0)</f>
        <v>1184</v>
      </c>
      <c r="C1189" s="13" t="str">
        <f>IFERROR(__xludf.DUMMYFUNCTION("""COMPUTED_VALUE"""),"M. 3234/GEDONG AIR")</f>
        <v>M. 3234/GEDONG AIR</v>
      </c>
      <c r="D1189" s="13" t="str">
        <f>IFERROR(__xludf.DUMMYFUNCTION("""COMPUTED_VALUE"""),"K/45/110225/3")</f>
        <v>K/45/110225/3</v>
      </c>
      <c r="E1189" s="14" t="str">
        <f>IFERROR(__xludf.DUMMYFUNCTION("""COMPUTED_VALUE"""),"Nadian (BT)")</f>
        <v>Nadian (BT)</v>
      </c>
      <c r="F1189" s="14" t="str">
        <f>IFERROR(__xludf.DUMMYFUNCTION("""COMPUTED_VALUE"""),"SELESAI (VIA PERMOHONAN)")</f>
        <v>SELESAI (VIA PERMOHONAN)</v>
      </c>
      <c r="G1189" s="17">
        <f>IFERROR(__xludf.DUMMYFUNCTION("""COMPUTED_VALUE"""),45707.65984608796)</f>
        <v>45707.65985</v>
      </c>
      <c r="H1189" s="14" t="str">
        <f>IFERROR(__xludf.DUMMYFUNCTION("""COMPUTED_VALUE"""),"Bu Eva (SU)")</f>
        <v>Bu Eva (SU)</v>
      </c>
      <c r="I1189" s="13" t="str">
        <f>IFERROR(__xludf.DUMMYFUNCTION("""COMPUTED_VALUE"""),"SELESAI (VIA PERMOHONAN)")</f>
        <v>SELESAI (VIA PERMOHONAN)</v>
      </c>
      <c r="J1189" s="17">
        <f>IFERROR(__xludf.DUMMYFUNCTION("""COMPUTED_VALUE"""),45707.67677327547)</f>
        <v>45707.67677</v>
      </c>
      <c r="K1189" s="13" t="str">
        <f>IFERROR(__xludf.DUMMYFUNCTION("""COMPUTED_VALUE"""),"Selesai")</f>
        <v>Selesai</v>
      </c>
      <c r="L1189" s="17">
        <f>IFERROR(__xludf.DUMMYFUNCTION("""COMPUTED_VALUE"""),45707.67677327547)</f>
        <v>45707.67677</v>
      </c>
      <c r="M1189" s="13"/>
      <c r="N1189" s="13" t="str">
        <f>IFERROR(__xludf.DUMMYFUNCTION("""COMPUTED_VALUE"""),"")</f>
        <v/>
      </c>
      <c r="O1189" s="13" t="str">
        <f t="shared" si="1"/>
        <v/>
      </c>
    </row>
    <row r="1190" ht="22.5" customHeight="1">
      <c r="B1190" s="13">
        <f>IFERROR(__xludf.DUMMYFUNCTION("""COMPUTED_VALUE"""),1185.0)</f>
        <v>1185</v>
      </c>
      <c r="C1190" s="13" t="str">
        <f>IFERROR(__xludf.DUMMYFUNCTION("""COMPUTED_VALUE"""),"B. 5635/BERINGIN RAYA")</f>
        <v>B. 5635/BERINGIN RAYA</v>
      </c>
      <c r="D1190" s="13" t="str">
        <f>IFERROR(__xludf.DUMMYFUNCTION("""COMPUTED_VALUE"""),"K/8/140225/1")</f>
        <v>K/8/140225/1</v>
      </c>
      <c r="E1190" s="14" t="str">
        <f>IFERROR(__xludf.DUMMYFUNCTION("""COMPUTED_VALUE"""),"Nadian (BT)")</f>
        <v>Nadian (BT)</v>
      </c>
      <c r="F1190" s="14" t="str">
        <f>IFERROR(__xludf.DUMMYFUNCTION("""COMPUTED_VALUE"""),"SELESAI (VIA PERMOHONAN)")</f>
        <v>SELESAI (VIA PERMOHONAN)</v>
      </c>
      <c r="G1190" s="17">
        <f>IFERROR(__xludf.DUMMYFUNCTION("""COMPUTED_VALUE"""),45707.659890104165)</f>
        <v>45707.65989</v>
      </c>
      <c r="H1190" s="14" t="str">
        <f>IFERROR(__xludf.DUMMYFUNCTION("""COMPUTED_VALUE"""),"Bu Eva (SU)")</f>
        <v>Bu Eva (SU)</v>
      </c>
      <c r="I1190" s="13" t="str">
        <f>IFERROR(__xludf.DUMMYFUNCTION("""COMPUTED_VALUE"""),"SELESAI (VIA PERMOHONAN)")</f>
        <v>SELESAI (VIA PERMOHONAN)</v>
      </c>
      <c r="J1190" s="17">
        <f>IFERROR(__xludf.DUMMYFUNCTION("""COMPUTED_VALUE"""),45707.67677327547)</f>
        <v>45707.67677</v>
      </c>
      <c r="K1190" s="13" t="str">
        <f>IFERROR(__xludf.DUMMYFUNCTION("""COMPUTED_VALUE"""),"Selesai")</f>
        <v>Selesai</v>
      </c>
      <c r="L1190" s="17">
        <f>IFERROR(__xludf.DUMMYFUNCTION("""COMPUTED_VALUE"""),45707.67677327547)</f>
        <v>45707.67677</v>
      </c>
      <c r="M1190" s="13"/>
      <c r="N1190" s="13" t="str">
        <f>IFERROR(__xludf.DUMMYFUNCTION("""COMPUTED_VALUE"""),"")</f>
        <v/>
      </c>
      <c r="O1190" s="13" t="str">
        <f t="shared" si="1"/>
        <v/>
      </c>
    </row>
    <row r="1191" ht="22.5" customHeight="1">
      <c r="B1191" s="13">
        <f>IFERROR(__xludf.DUMMYFUNCTION("""COMPUTED_VALUE"""),1186.0)</f>
        <v>1186</v>
      </c>
      <c r="C1191" s="13" t="str">
        <f>IFERROR(__xludf.DUMMYFUNCTION("""COMPUTED_VALUE"""),"M. 11384/ Sukarame")</f>
        <v>M. 11384/ Sukarame</v>
      </c>
      <c r="D1191" s="13" t="str">
        <f>IFERROR(__xludf.DUMMYFUNCTION("""COMPUTED_VALUE"""),"K/3/140225/1")</f>
        <v>K/3/140225/1</v>
      </c>
      <c r="E1191" s="14" t="str">
        <f>IFERROR(__xludf.DUMMYFUNCTION("""COMPUTED_VALUE"""),"Nadian (BT)")</f>
        <v>Nadian (BT)</v>
      </c>
      <c r="F1191" s="14" t="str">
        <f>IFERROR(__xludf.DUMMYFUNCTION("""COMPUTED_VALUE"""),"SELESAI (VIA PERMOHONAN)")</f>
        <v>SELESAI (VIA PERMOHONAN)</v>
      </c>
      <c r="G1191" s="17">
        <f>IFERROR(__xludf.DUMMYFUNCTION("""COMPUTED_VALUE"""),45707.659890104165)</f>
        <v>45707.65989</v>
      </c>
      <c r="H1191" s="14" t="str">
        <f>IFERROR(__xludf.DUMMYFUNCTION("""COMPUTED_VALUE"""),"Bu Eva (SU)")</f>
        <v>Bu Eva (SU)</v>
      </c>
      <c r="I1191" s="13" t="str">
        <f>IFERROR(__xludf.DUMMYFUNCTION("""COMPUTED_VALUE"""),"SELESAI (VIA PERMOHONAN)")</f>
        <v>SELESAI (VIA PERMOHONAN)</v>
      </c>
      <c r="J1191" s="17">
        <f>IFERROR(__xludf.DUMMYFUNCTION("""COMPUTED_VALUE"""),45707.67677327547)</f>
        <v>45707.67677</v>
      </c>
      <c r="K1191" s="13" t="str">
        <f>IFERROR(__xludf.DUMMYFUNCTION("""COMPUTED_VALUE"""),"Selesai")</f>
        <v>Selesai</v>
      </c>
      <c r="L1191" s="17">
        <f>IFERROR(__xludf.DUMMYFUNCTION("""COMPUTED_VALUE"""),45707.67677327547)</f>
        <v>45707.67677</v>
      </c>
      <c r="M1191" s="13"/>
      <c r="N1191" s="13" t="str">
        <f>IFERROR(__xludf.DUMMYFUNCTION("""COMPUTED_VALUE"""),"")</f>
        <v/>
      </c>
      <c r="O1191" s="13" t="str">
        <f t="shared" si="1"/>
        <v/>
      </c>
    </row>
    <row r="1192" ht="22.5" customHeight="1">
      <c r="B1192" s="13">
        <f>IFERROR(__xludf.DUMMYFUNCTION("""COMPUTED_VALUE"""),1187.0)</f>
        <v>1187</v>
      </c>
      <c r="C1192" s="13" t="str">
        <f>IFERROR(__xludf.DUMMYFUNCTION("""COMPUTED_VALUE"""),"M.43/NUSANTARA PERMAI")</f>
        <v>M.43/NUSANTARA PERMAI</v>
      </c>
      <c r="D1192" s="13" t="str">
        <f>IFERROR(__xludf.DUMMYFUNCTION("""COMPUTED_VALUE"""),"L/6/130225/1")</f>
        <v>L/6/130225/1</v>
      </c>
      <c r="E1192" s="14" t="str">
        <f>IFERROR(__xludf.DUMMYFUNCTION("""COMPUTED_VALUE"""),"Nadian (BT)")</f>
        <v>Nadian (BT)</v>
      </c>
      <c r="F1192" s="14" t="str">
        <f>IFERROR(__xludf.DUMMYFUNCTION("""COMPUTED_VALUE"""),"SELESAI (VIA PERMOHONAN)")</f>
        <v>SELESAI (VIA PERMOHONAN)</v>
      </c>
      <c r="G1192" s="17">
        <f>IFERROR(__xludf.DUMMYFUNCTION("""COMPUTED_VALUE"""),45707.659890104165)</f>
        <v>45707.65989</v>
      </c>
      <c r="H1192" s="14" t="str">
        <f>IFERROR(__xludf.DUMMYFUNCTION("""COMPUTED_VALUE"""),"Bu Eva (SU)")</f>
        <v>Bu Eva (SU)</v>
      </c>
      <c r="I1192" s="13" t="str">
        <f>IFERROR(__xludf.DUMMYFUNCTION("""COMPUTED_VALUE"""),"SELESAI (VIA PERMOHONAN)")</f>
        <v>SELESAI (VIA PERMOHONAN)</v>
      </c>
      <c r="J1192" s="17">
        <f>IFERROR(__xludf.DUMMYFUNCTION("""COMPUTED_VALUE"""),45707.67677327547)</f>
        <v>45707.67677</v>
      </c>
      <c r="K1192" s="13" t="str">
        <f>IFERROR(__xludf.DUMMYFUNCTION("""COMPUTED_VALUE"""),"Selesai")</f>
        <v>Selesai</v>
      </c>
      <c r="L1192" s="17">
        <f>IFERROR(__xludf.DUMMYFUNCTION("""COMPUTED_VALUE"""),45707.67677327547)</f>
        <v>45707.67677</v>
      </c>
      <c r="M1192" s="13"/>
      <c r="N1192" s="13" t="str">
        <f>IFERROR(__xludf.DUMMYFUNCTION("""COMPUTED_VALUE"""),"")</f>
        <v/>
      </c>
      <c r="O1192" s="13" t="str">
        <f t="shared" si="1"/>
        <v/>
      </c>
    </row>
    <row r="1193" ht="22.5" customHeight="1">
      <c r="B1193" s="13">
        <f>IFERROR(__xludf.DUMMYFUNCTION("""COMPUTED_VALUE"""),1188.0)</f>
        <v>1188</v>
      </c>
      <c r="C1193" s="13" t="str">
        <f>IFERROR(__xludf.DUMMYFUNCTION("""COMPUTED_VALUE"""),"SUKARAME BARU")</f>
        <v>SUKARAME BARU</v>
      </c>
      <c r="D1193" s="13" t="str">
        <f>IFERROR(__xludf.DUMMYFUNCTION("""COMPUTED_VALUE"""),"L/61/100225/1")</f>
        <v>L/61/100225/1</v>
      </c>
      <c r="E1193" s="14" t="str">
        <f>IFERROR(__xludf.DUMMYFUNCTION("""COMPUTED_VALUE"""),"Nadian (BT)")</f>
        <v>Nadian (BT)</v>
      </c>
      <c r="F1193" s="14" t="str">
        <f>IFERROR(__xludf.DUMMYFUNCTION("""COMPUTED_VALUE"""),"SELESAI (VIA PERMOHONAN)")</f>
        <v>SELESAI (VIA PERMOHONAN)</v>
      </c>
      <c r="G1193" s="17">
        <f>IFERROR(__xludf.DUMMYFUNCTION("""COMPUTED_VALUE"""),45707.659890104165)</f>
        <v>45707.65989</v>
      </c>
      <c r="H1193" s="14" t="str">
        <f>IFERROR(__xludf.DUMMYFUNCTION("""COMPUTED_VALUE"""),"Bu Eva (SU)")</f>
        <v>Bu Eva (SU)</v>
      </c>
      <c r="I1193" s="13" t="str">
        <f>IFERROR(__xludf.DUMMYFUNCTION("""COMPUTED_VALUE"""),"SELESAI (VIA PERMOHONAN)")</f>
        <v>SELESAI (VIA PERMOHONAN)</v>
      </c>
      <c r="J1193" s="17">
        <f>IFERROR(__xludf.DUMMYFUNCTION("""COMPUTED_VALUE"""),45707.67677327547)</f>
        <v>45707.67677</v>
      </c>
      <c r="K1193" s="13" t="str">
        <f>IFERROR(__xludf.DUMMYFUNCTION("""COMPUTED_VALUE"""),"Selesai")</f>
        <v>Selesai</v>
      </c>
      <c r="L1193" s="17">
        <f>IFERROR(__xludf.DUMMYFUNCTION("""COMPUTED_VALUE"""),45707.67677327547)</f>
        <v>45707.67677</v>
      </c>
      <c r="M1193" s="13"/>
      <c r="N1193" s="13" t="str">
        <f>IFERROR(__xludf.DUMMYFUNCTION("""COMPUTED_VALUE"""),"")</f>
        <v/>
      </c>
      <c r="O1193" s="13" t="str">
        <f t="shared" si="1"/>
        <v/>
      </c>
    </row>
    <row r="1194" ht="22.5" customHeight="1">
      <c r="B1194" s="13">
        <f>IFERROR(__xludf.DUMMYFUNCTION("""COMPUTED_VALUE"""),1189.0)</f>
        <v>1189</v>
      </c>
      <c r="C1194" s="13" t="str">
        <f>IFERROR(__xludf.DUMMYFUNCTION("""COMPUTED_VALUE"""),"M. 1885/ Labuhan Ratu Raya")</f>
        <v>M. 1885/ Labuhan Ratu Raya</v>
      </c>
      <c r="D1194" s="13" t="str">
        <f>IFERROR(__xludf.DUMMYFUNCTION("""COMPUTED_VALUE"""),"K/27/120225/2")</f>
        <v>K/27/120225/2</v>
      </c>
      <c r="E1194" s="14" t="str">
        <f>IFERROR(__xludf.DUMMYFUNCTION("""COMPUTED_VALUE"""),"Nadian (BT)")</f>
        <v>Nadian (BT)</v>
      </c>
      <c r="F1194" s="14" t="str">
        <f>IFERROR(__xludf.DUMMYFUNCTION("""COMPUTED_VALUE"""),"SELESAI (VIA PERMOHONAN)")</f>
        <v>SELESAI (VIA PERMOHONAN)</v>
      </c>
      <c r="G1194" s="17">
        <f>IFERROR(__xludf.DUMMYFUNCTION("""COMPUTED_VALUE"""),45707.659890104165)</f>
        <v>45707.65989</v>
      </c>
      <c r="H1194" s="14" t="str">
        <f>IFERROR(__xludf.DUMMYFUNCTION("""COMPUTED_VALUE"""),"Bu Eva (SU)")</f>
        <v>Bu Eva (SU)</v>
      </c>
      <c r="I1194" s="13" t="str">
        <f>IFERROR(__xludf.DUMMYFUNCTION("""COMPUTED_VALUE"""),"SELESAI (VIA PERMOHONAN)")</f>
        <v>SELESAI (VIA PERMOHONAN)</v>
      </c>
      <c r="J1194" s="17">
        <f>IFERROR(__xludf.DUMMYFUNCTION("""COMPUTED_VALUE"""),45707.6768409838)</f>
        <v>45707.67684</v>
      </c>
      <c r="K1194" s="13" t="str">
        <f>IFERROR(__xludf.DUMMYFUNCTION("""COMPUTED_VALUE"""),"Selesai")</f>
        <v>Selesai</v>
      </c>
      <c r="L1194" s="17">
        <f>IFERROR(__xludf.DUMMYFUNCTION("""COMPUTED_VALUE"""),45707.6768409838)</f>
        <v>45707.67684</v>
      </c>
      <c r="M1194" s="13"/>
      <c r="N1194" s="13" t="str">
        <f>IFERROR(__xludf.DUMMYFUNCTION("""COMPUTED_VALUE"""),"")</f>
        <v/>
      </c>
      <c r="O1194" s="13" t="str">
        <f t="shared" si="1"/>
        <v/>
      </c>
    </row>
    <row r="1195" ht="22.5" customHeight="1">
      <c r="B1195" s="13">
        <f>IFERROR(__xludf.DUMMYFUNCTION("""COMPUTED_VALUE"""),1190.0)</f>
        <v>1190</v>
      </c>
      <c r="C1195" s="13" t="str">
        <f>IFERROR(__xludf.DUMMYFUNCTION("""COMPUTED_VALUE"""),"M. 207/ Korpri Jaya")</f>
        <v>M. 207/ Korpri Jaya</v>
      </c>
      <c r="D1195" s="13" t="str">
        <f>IFERROR(__xludf.DUMMYFUNCTION("""COMPUTED_VALUE"""),"K/12/110225/1")</f>
        <v>K/12/110225/1</v>
      </c>
      <c r="E1195" s="14" t="str">
        <f>IFERROR(__xludf.DUMMYFUNCTION("""COMPUTED_VALUE"""),"Nadian (BT)")</f>
        <v>Nadian (BT)</v>
      </c>
      <c r="F1195" s="14" t="str">
        <f>IFERROR(__xludf.DUMMYFUNCTION("""COMPUTED_VALUE"""),"SELESAI (VIA PERMOHONAN)")</f>
        <v>SELESAI (VIA PERMOHONAN)</v>
      </c>
      <c r="G1195" s="17">
        <f>IFERROR(__xludf.DUMMYFUNCTION("""COMPUTED_VALUE"""),45707.659890104165)</f>
        <v>45707.65989</v>
      </c>
      <c r="H1195" s="14" t="str">
        <f>IFERROR(__xludf.DUMMYFUNCTION("""COMPUTED_VALUE"""),"Bu Eva (SU)")</f>
        <v>Bu Eva (SU)</v>
      </c>
      <c r="I1195" s="13" t="str">
        <f>IFERROR(__xludf.DUMMYFUNCTION("""COMPUTED_VALUE"""),"SELESAI (VIA PERMOHONAN)")</f>
        <v>SELESAI (VIA PERMOHONAN)</v>
      </c>
      <c r="J1195" s="17">
        <f>IFERROR(__xludf.DUMMYFUNCTION("""COMPUTED_VALUE"""),45707.6768409838)</f>
        <v>45707.67684</v>
      </c>
      <c r="K1195" s="13" t="str">
        <f>IFERROR(__xludf.DUMMYFUNCTION("""COMPUTED_VALUE"""),"Selesai")</f>
        <v>Selesai</v>
      </c>
      <c r="L1195" s="17">
        <f>IFERROR(__xludf.DUMMYFUNCTION("""COMPUTED_VALUE"""),45707.6768409838)</f>
        <v>45707.67684</v>
      </c>
      <c r="M1195" s="13"/>
      <c r="N1195" s="13" t="str">
        <f>IFERROR(__xludf.DUMMYFUNCTION("""COMPUTED_VALUE"""),"")</f>
        <v/>
      </c>
      <c r="O1195" s="13" t="str">
        <f t="shared" si="1"/>
        <v/>
      </c>
    </row>
    <row r="1196" ht="22.5" customHeight="1">
      <c r="B1196" s="13">
        <f>IFERROR(__xludf.DUMMYFUNCTION("""COMPUTED_VALUE"""),1191.0)</f>
        <v>1191</v>
      </c>
      <c r="C1196" s="13" t="str">
        <f>IFERROR(__xludf.DUMMYFUNCTION("""COMPUTED_VALUE"""),"M. 6414/ Gunung Sulah")</f>
        <v>M. 6414/ Gunung Sulah</v>
      </c>
      <c r="D1196" s="13" t="str">
        <f>IFERROR(__xludf.DUMMYFUNCTION("""COMPUTED_VALUE"""),"K/60/151124/2")</f>
        <v>K/60/151124/2</v>
      </c>
      <c r="E1196" s="14" t="str">
        <f>IFERROR(__xludf.DUMMYFUNCTION("""COMPUTED_VALUE"""),"Nadian (BT)")</f>
        <v>Nadian (BT)</v>
      </c>
      <c r="F1196" s="14" t="str">
        <f>IFERROR(__xludf.DUMMYFUNCTION("""COMPUTED_VALUE"""),"SELESAI (VIA PERMOHONAN)")</f>
        <v>SELESAI (VIA PERMOHONAN)</v>
      </c>
      <c r="G1196" s="17">
        <f>IFERROR(__xludf.DUMMYFUNCTION("""COMPUTED_VALUE"""),45707.659890104165)</f>
        <v>45707.65989</v>
      </c>
      <c r="H1196" s="14" t="str">
        <f>IFERROR(__xludf.DUMMYFUNCTION("""COMPUTED_VALUE"""),"Bu Eva (SU)")</f>
        <v>Bu Eva (SU)</v>
      </c>
      <c r="I1196" s="13" t="str">
        <f>IFERROR(__xludf.DUMMYFUNCTION("""COMPUTED_VALUE"""),"SELESAI (VIA PERMOHONAN)")</f>
        <v>SELESAI (VIA PERMOHONAN)</v>
      </c>
      <c r="J1196" s="17">
        <f>IFERROR(__xludf.DUMMYFUNCTION("""COMPUTED_VALUE"""),45707.6768409838)</f>
        <v>45707.67684</v>
      </c>
      <c r="K1196" s="13" t="str">
        <f>IFERROR(__xludf.DUMMYFUNCTION("""COMPUTED_VALUE"""),"Selesai")</f>
        <v>Selesai</v>
      </c>
      <c r="L1196" s="17">
        <f>IFERROR(__xludf.DUMMYFUNCTION("""COMPUTED_VALUE"""),45707.6768409838)</f>
        <v>45707.67684</v>
      </c>
      <c r="M1196" s="13"/>
      <c r="N1196" s="13" t="str">
        <f>IFERROR(__xludf.DUMMYFUNCTION("""COMPUTED_VALUE"""),"")</f>
        <v/>
      </c>
      <c r="O1196" s="13" t="str">
        <f t="shared" si="1"/>
        <v/>
      </c>
    </row>
    <row r="1197" ht="22.5" customHeight="1">
      <c r="B1197" s="13">
        <f>IFERROR(__xludf.DUMMYFUNCTION("""COMPUTED_VALUE"""),1192.0)</f>
        <v>1192</v>
      </c>
      <c r="C1197" s="13" t="str">
        <f>IFERROR(__xludf.DUMMYFUNCTION("""COMPUTED_VALUE"""),"M. 1951/ Sumberrejo sejahtera")</f>
        <v>M. 1951/ Sumberrejo sejahtera</v>
      </c>
      <c r="D1197" s="13" t="str">
        <f>IFERROR(__xludf.DUMMYFUNCTION("""COMPUTED_VALUE"""),"K/41/130225/1")</f>
        <v>K/41/130225/1</v>
      </c>
      <c r="E1197" s="14" t="str">
        <f>IFERROR(__xludf.DUMMYFUNCTION("""COMPUTED_VALUE"""),"Nadian (BT)")</f>
        <v>Nadian (BT)</v>
      </c>
      <c r="F1197" s="14" t="str">
        <f>IFERROR(__xludf.DUMMYFUNCTION("""COMPUTED_VALUE"""),"SELESAI (VIA PERMOHONAN)")</f>
        <v>SELESAI (VIA PERMOHONAN)</v>
      </c>
      <c r="G1197" s="17">
        <f>IFERROR(__xludf.DUMMYFUNCTION("""COMPUTED_VALUE"""),45708.39668578704)</f>
        <v>45708.39669</v>
      </c>
      <c r="H1197" s="14" t="str">
        <f>IFERROR(__xludf.DUMMYFUNCTION("""COMPUTED_VALUE"""),"Bu Eva (SU)")</f>
        <v>Bu Eva (SU)</v>
      </c>
      <c r="I1197" s="13" t="str">
        <f>IFERROR(__xludf.DUMMYFUNCTION("""COMPUTED_VALUE"""),"SELESAI (VIA PERMOHONAN)")</f>
        <v>SELESAI (VIA PERMOHONAN)</v>
      </c>
      <c r="J1197" s="17">
        <f>IFERROR(__xludf.DUMMYFUNCTION("""COMPUTED_VALUE"""),45708.396733738424)</f>
        <v>45708.39673</v>
      </c>
      <c r="K1197" s="13" t="str">
        <f>IFERROR(__xludf.DUMMYFUNCTION("""COMPUTED_VALUE"""),"Selesai")</f>
        <v>Selesai</v>
      </c>
      <c r="L1197" s="17">
        <f>IFERROR(__xludf.DUMMYFUNCTION("""COMPUTED_VALUE"""),45708.396733738424)</f>
        <v>45708.39673</v>
      </c>
      <c r="M1197" s="13"/>
      <c r="N1197" s="13" t="str">
        <f>IFERROR(__xludf.DUMMYFUNCTION("""COMPUTED_VALUE"""),"")</f>
        <v/>
      </c>
      <c r="O1197" s="13" t="str">
        <f t="shared" si="1"/>
        <v/>
      </c>
    </row>
    <row r="1198" ht="22.5" customHeight="1">
      <c r="B1198" s="13">
        <f>IFERROR(__xludf.DUMMYFUNCTION("""COMPUTED_VALUE"""),1193.0)</f>
        <v>1193</v>
      </c>
      <c r="C1198" s="13" t="str">
        <f>IFERROR(__xludf.DUMMYFUNCTION("""COMPUTED_VALUE"""),"HM 353/BERINGIN RAYA")</f>
        <v>HM 353/BERINGIN RAYA</v>
      </c>
      <c r="D1198" s="13" t="str">
        <f>IFERROR(__xludf.DUMMYFUNCTION("""COMPUTED_VALUE"""),"L/14/220125/1")</f>
        <v>L/14/220125/1</v>
      </c>
      <c r="E1198" s="14" t="str">
        <f>IFERROR(__xludf.DUMMYFUNCTION("""COMPUTED_VALUE"""),"Nadian (BT)")</f>
        <v>Nadian (BT)</v>
      </c>
      <c r="F1198" s="14" t="str">
        <f>IFERROR(__xludf.DUMMYFUNCTION("""COMPUTED_VALUE"""),"SELESAI (VIA PERMOHONAN)")</f>
        <v>SELESAI (VIA PERMOHONAN)</v>
      </c>
      <c r="G1198" s="17">
        <f>IFERROR(__xludf.DUMMYFUNCTION("""COMPUTED_VALUE"""),45708.49938681713)</f>
        <v>45708.49939</v>
      </c>
      <c r="H1198" s="14" t="str">
        <f>IFERROR(__xludf.DUMMYFUNCTION("""COMPUTED_VALUE"""),"Bu Eva (SU)")</f>
        <v>Bu Eva (SU)</v>
      </c>
      <c r="I1198" s="13" t="str">
        <f>IFERROR(__xludf.DUMMYFUNCTION("""COMPUTED_VALUE"""),"SELESAI (VIA PERMOHONAN)")</f>
        <v>SELESAI (VIA PERMOHONAN)</v>
      </c>
      <c r="J1198" s="17">
        <f>IFERROR(__xludf.DUMMYFUNCTION("""COMPUTED_VALUE"""),45708.66428711805)</f>
        <v>45708.66429</v>
      </c>
      <c r="K1198" s="13" t="str">
        <f>IFERROR(__xludf.DUMMYFUNCTION("""COMPUTED_VALUE"""),"Selesai")</f>
        <v>Selesai</v>
      </c>
      <c r="L1198" s="17">
        <f>IFERROR(__xludf.DUMMYFUNCTION("""COMPUTED_VALUE"""),45708.66428711805)</f>
        <v>45708.66429</v>
      </c>
      <c r="M1198" s="13"/>
      <c r="N1198" s="13" t="str">
        <f>IFERROR(__xludf.DUMMYFUNCTION("""COMPUTED_VALUE"""),"")</f>
        <v/>
      </c>
      <c r="O1198" s="13" t="str">
        <f t="shared" si="1"/>
        <v/>
      </c>
    </row>
    <row r="1199" ht="22.5" customHeight="1">
      <c r="B1199" s="13">
        <f>IFERROR(__xludf.DUMMYFUNCTION("""COMPUTED_VALUE"""),1194.0)</f>
        <v>1194</v>
      </c>
      <c r="C1199" s="13" t="str">
        <f>IFERROR(__xludf.DUMMYFUNCTION("""COMPUTED_VALUE"""),"HM 361/RAJABASA JAYA")</f>
        <v>HM 361/RAJABASA JAYA</v>
      </c>
      <c r="D1199" s="13" t="str">
        <f>IFERROR(__xludf.DUMMYFUNCTION("""COMPUTED_VALUE"""),"L/13/040225/1")</f>
        <v>L/13/040225/1</v>
      </c>
      <c r="E1199" s="14" t="str">
        <f>IFERROR(__xludf.DUMMYFUNCTION("""COMPUTED_VALUE"""),"Nadian (BT)")</f>
        <v>Nadian (BT)</v>
      </c>
      <c r="F1199" s="14" t="str">
        <f>IFERROR(__xludf.DUMMYFUNCTION("""COMPUTED_VALUE"""),"SELESAI (VIA PERMOHONAN)")</f>
        <v>SELESAI (VIA PERMOHONAN)</v>
      </c>
      <c r="G1199" s="17">
        <f>IFERROR(__xludf.DUMMYFUNCTION("""COMPUTED_VALUE"""),45708.49942144676)</f>
        <v>45708.49942</v>
      </c>
      <c r="H1199" s="14" t="str">
        <f>IFERROR(__xludf.DUMMYFUNCTION("""COMPUTED_VALUE"""),"Bu Eva (SU)")</f>
        <v>Bu Eva (SU)</v>
      </c>
      <c r="I1199" s="13" t="str">
        <f>IFERROR(__xludf.DUMMYFUNCTION("""COMPUTED_VALUE"""),"SELESAI (VIA PERMOHONAN)")</f>
        <v>SELESAI (VIA PERMOHONAN)</v>
      </c>
      <c r="J1199" s="17">
        <f>IFERROR(__xludf.DUMMYFUNCTION("""COMPUTED_VALUE"""),45708.66428711805)</f>
        <v>45708.66429</v>
      </c>
      <c r="K1199" s="13" t="str">
        <f>IFERROR(__xludf.DUMMYFUNCTION("""COMPUTED_VALUE"""),"Selesai")</f>
        <v>Selesai</v>
      </c>
      <c r="L1199" s="17">
        <f>IFERROR(__xludf.DUMMYFUNCTION("""COMPUTED_VALUE"""),45708.66428711805)</f>
        <v>45708.66429</v>
      </c>
      <c r="M1199" s="13"/>
      <c r="N1199" s="13" t="str">
        <f>IFERROR(__xludf.DUMMYFUNCTION("""COMPUTED_VALUE"""),"")</f>
        <v/>
      </c>
      <c r="O1199" s="13" t="str">
        <f t="shared" si="1"/>
        <v/>
      </c>
    </row>
    <row r="1200" ht="22.5" customHeight="1">
      <c r="B1200" s="13">
        <f>IFERROR(__xludf.DUMMYFUNCTION("""COMPUTED_VALUE"""),1195.0)</f>
        <v>1195</v>
      </c>
      <c r="C1200" s="13" t="str">
        <f>IFERROR(__xludf.DUMMYFUNCTION("""COMPUTED_VALUE"""),"M.2044/CAMPANG RAYA")</f>
        <v>M.2044/CAMPANG RAYA</v>
      </c>
      <c r="D1200" s="13" t="str">
        <f>IFERROR(__xludf.DUMMYFUNCTION("""COMPUTED_VALUE"""),"L/23/140225/1")</f>
        <v>L/23/140225/1</v>
      </c>
      <c r="E1200" s="14" t="str">
        <f>IFERROR(__xludf.DUMMYFUNCTION("""COMPUTED_VALUE"""),"Nadian (BT)")</f>
        <v>Nadian (BT)</v>
      </c>
      <c r="F1200" s="14" t="str">
        <f>IFERROR(__xludf.DUMMYFUNCTION("""COMPUTED_VALUE"""),"SELESAI (VIA PERMOHONAN)")</f>
        <v>SELESAI (VIA PERMOHONAN)</v>
      </c>
      <c r="G1200" s="17">
        <f>IFERROR(__xludf.DUMMYFUNCTION("""COMPUTED_VALUE"""),45708.49942144676)</f>
        <v>45708.49942</v>
      </c>
      <c r="H1200" s="14" t="str">
        <f>IFERROR(__xludf.DUMMYFUNCTION("""COMPUTED_VALUE"""),"Bu Eva (SU)")</f>
        <v>Bu Eva (SU)</v>
      </c>
      <c r="I1200" s="13" t="str">
        <f>IFERROR(__xludf.DUMMYFUNCTION("""COMPUTED_VALUE"""),"SELESAI (VIA PERMOHONAN)")</f>
        <v>SELESAI (VIA PERMOHONAN)</v>
      </c>
      <c r="J1200" s="17">
        <f>IFERROR(__xludf.DUMMYFUNCTION("""COMPUTED_VALUE"""),45708.66428711805)</f>
        <v>45708.66429</v>
      </c>
      <c r="K1200" s="13" t="str">
        <f>IFERROR(__xludf.DUMMYFUNCTION("""COMPUTED_VALUE"""),"Selesai")</f>
        <v>Selesai</v>
      </c>
      <c r="L1200" s="17">
        <f>IFERROR(__xludf.DUMMYFUNCTION("""COMPUTED_VALUE"""),45708.66428711805)</f>
        <v>45708.66429</v>
      </c>
      <c r="M1200" s="13"/>
      <c r="N1200" s="13" t="str">
        <f>IFERROR(__xludf.DUMMYFUNCTION("""COMPUTED_VALUE"""),"")</f>
        <v/>
      </c>
      <c r="O1200" s="13" t="str">
        <f t="shared" si="1"/>
        <v/>
      </c>
    </row>
    <row r="1201" ht="22.5" customHeight="1">
      <c r="B1201" s="13">
        <f>IFERROR(__xludf.DUMMYFUNCTION("""COMPUTED_VALUE"""),1196.0)</f>
        <v>1196</v>
      </c>
      <c r="C1201" s="13" t="str">
        <f>IFERROR(__xludf.DUMMYFUNCTION("""COMPUTED_VALUE"""),"M.16664/SUKARAME I")</f>
        <v>M.16664/SUKARAME I</v>
      </c>
      <c r="D1201" s="13" t="str">
        <f>IFERROR(__xludf.DUMMYFUNCTION("""COMPUTED_VALUE"""),"K/8/130225/1")</f>
        <v>K/8/130225/1</v>
      </c>
      <c r="E1201" s="14" t="str">
        <f>IFERROR(__xludf.DUMMYFUNCTION("""COMPUTED_VALUE"""),"Nadian (BT)")</f>
        <v>Nadian (BT)</v>
      </c>
      <c r="F1201" s="14" t="str">
        <f>IFERROR(__xludf.DUMMYFUNCTION("""COMPUTED_VALUE"""),"SELESAI (VIA PERMOHONAN)")</f>
        <v>SELESAI (VIA PERMOHONAN)</v>
      </c>
      <c r="G1201" s="17">
        <f>IFERROR(__xludf.DUMMYFUNCTION("""COMPUTED_VALUE"""),45708.49942144676)</f>
        <v>45708.49942</v>
      </c>
      <c r="H1201" s="14" t="str">
        <f>IFERROR(__xludf.DUMMYFUNCTION("""COMPUTED_VALUE"""),"Bu Eva (SU)")</f>
        <v>Bu Eva (SU)</v>
      </c>
      <c r="I1201" s="13" t="str">
        <f>IFERROR(__xludf.DUMMYFUNCTION("""COMPUTED_VALUE"""),"SELESAI (VIA PERMOHONAN)")</f>
        <v>SELESAI (VIA PERMOHONAN)</v>
      </c>
      <c r="J1201" s="17">
        <f>IFERROR(__xludf.DUMMYFUNCTION("""COMPUTED_VALUE"""),45708.66428711805)</f>
        <v>45708.66429</v>
      </c>
      <c r="K1201" s="13" t="str">
        <f>IFERROR(__xludf.DUMMYFUNCTION("""COMPUTED_VALUE"""),"Selesai")</f>
        <v>Selesai</v>
      </c>
      <c r="L1201" s="17">
        <f>IFERROR(__xludf.DUMMYFUNCTION("""COMPUTED_VALUE"""),45708.66428711805)</f>
        <v>45708.66429</v>
      </c>
      <c r="M1201" s="13"/>
      <c r="N1201" s="13" t="str">
        <f>IFERROR(__xludf.DUMMYFUNCTION("""COMPUTED_VALUE"""),"")</f>
        <v/>
      </c>
      <c r="O1201" s="13" t="str">
        <f t="shared" si="1"/>
        <v/>
      </c>
    </row>
    <row r="1202" ht="22.5" customHeight="1">
      <c r="B1202" s="13">
        <f>IFERROR(__xludf.DUMMYFUNCTION("""COMPUTED_VALUE"""),1197.0)</f>
        <v>1197</v>
      </c>
      <c r="C1202" s="13" t="str">
        <f>IFERROR(__xludf.DUMMYFUNCTION("""COMPUTED_VALUE"""),"M. 238/ Sukarame Baru")</f>
        <v>M. 238/ Sukarame Baru</v>
      </c>
      <c r="D1202" s="13" t="str">
        <f>IFERROR(__xludf.DUMMYFUNCTION("""COMPUTED_VALUE"""),"K/5/140225/2")</f>
        <v>K/5/140225/2</v>
      </c>
      <c r="E1202" s="14" t="str">
        <f>IFERROR(__xludf.DUMMYFUNCTION("""COMPUTED_VALUE"""),"Nadian (BT)")</f>
        <v>Nadian (BT)</v>
      </c>
      <c r="F1202" s="14" t="str">
        <f>IFERROR(__xludf.DUMMYFUNCTION("""COMPUTED_VALUE"""),"SELESAI (VIA PERMOHONAN)")</f>
        <v>SELESAI (VIA PERMOHONAN)</v>
      </c>
      <c r="G1202" s="17">
        <f>IFERROR(__xludf.DUMMYFUNCTION("""COMPUTED_VALUE"""),45708.49942144676)</f>
        <v>45708.49942</v>
      </c>
      <c r="H1202" s="14" t="str">
        <f>IFERROR(__xludf.DUMMYFUNCTION("""COMPUTED_VALUE"""),"Bu Eva (SU)")</f>
        <v>Bu Eva (SU)</v>
      </c>
      <c r="I1202" s="13" t="str">
        <f>IFERROR(__xludf.DUMMYFUNCTION("""COMPUTED_VALUE"""),"SELESAI (VIA PERMOHONAN)")</f>
        <v>SELESAI (VIA PERMOHONAN)</v>
      </c>
      <c r="J1202" s="17">
        <f>IFERROR(__xludf.DUMMYFUNCTION("""COMPUTED_VALUE"""),45708.66428711805)</f>
        <v>45708.66429</v>
      </c>
      <c r="K1202" s="13" t="str">
        <f>IFERROR(__xludf.DUMMYFUNCTION("""COMPUTED_VALUE"""),"Selesai")</f>
        <v>Selesai</v>
      </c>
      <c r="L1202" s="17">
        <f>IFERROR(__xludf.DUMMYFUNCTION("""COMPUTED_VALUE"""),45708.66428711805)</f>
        <v>45708.66429</v>
      </c>
      <c r="M1202" s="13"/>
      <c r="N1202" s="13" t="str">
        <f>IFERROR(__xludf.DUMMYFUNCTION("""COMPUTED_VALUE"""),"")</f>
        <v/>
      </c>
      <c r="O1202" s="13" t="str">
        <f t="shared" si="1"/>
        <v/>
      </c>
    </row>
    <row r="1203" ht="22.5" customHeight="1">
      <c r="B1203" s="13">
        <f>IFERROR(__xludf.DUMMYFUNCTION("""COMPUTED_VALUE"""),1198.0)</f>
        <v>1198</v>
      </c>
      <c r="C1203" s="13" t="str">
        <f>IFERROR(__xludf.DUMMYFUNCTION("""COMPUTED_VALUE"""),"M. 9009/ Sidodadi")</f>
        <v>M. 9009/ Sidodadi</v>
      </c>
      <c r="D1203" s="13" t="str">
        <f>IFERROR(__xludf.DUMMYFUNCTION("""COMPUTED_VALUE"""),"K/13/170225/2")</f>
        <v>K/13/170225/2</v>
      </c>
      <c r="E1203" s="14" t="str">
        <f>IFERROR(__xludf.DUMMYFUNCTION("""COMPUTED_VALUE"""),"Nadian (BT)")</f>
        <v>Nadian (BT)</v>
      </c>
      <c r="F1203" s="14" t="str">
        <f>IFERROR(__xludf.DUMMYFUNCTION("""COMPUTED_VALUE"""),"SELESAI (VIA PERMOHONAN)")</f>
        <v>SELESAI (VIA PERMOHONAN)</v>
      </c>
      <c r="G1203" s="17">
        <f>IFERROR(__xludf.DUMMYFUNCTION("""COMPUTED_VALUE"""),45708.49942144676)</f>
        <v>45708.49942</v>
      </c>
      <c r="H1203" s="14" t="str">
        <f>IFERROR(__xludf.DUMMYFUNCTION("""COMPUTED_VALUE"""),"Bu Eva (SU)")</f>
        <v>Bu Eva (SU)</v>
      </c>
      <c r="I1203" s="13" t="str">
        <f>IFERROR(__xludf.DUMMYFUNCTION("""COMPUTED_VALUE"""),"SELESAI (VIA PERMOHONAN)")</f>
        <v>SELESAI (VIA PERMOHONAN)</v>
      </c>
      <c r="J1203" s="17">
        <f>IFERROR(__xludf.DUMMYFUNCTION("""COMPUTED_VALUE"""),45708.66428711805)</f>
        <v>45708.66429</v>
      </c>
      <c r="K1203" s="13" t="str">
        <f>IFERROR(__xludf.DUMMYFUNCTION("""COMPUTED_VALUE"""),"Selesai")</f>
        <v>Selesai</v>
      </c>
      <c r="L1203" s="17">
        <f>IFERROR(__xludf.DUMMYFUNCTION("""COMPUTED_VALUE"""),45708.66428711805)</f>
        <v>45708.66429</v>
      </c>
      <c r="M1203" s="13"/>
      <c r="N1203" s="13" t="str">
        <f>IFERROR(__xludf.DUMMYFUNCTION("""COMPUTED_VALUE"""),"")</f>
        <v/>
      </c>
      <c r="O1203" s="13" t="str">
        <f t="shared" si="1"/>
        <v/>
      </c>
    </row>
    <row r="1204" ht="22.5" customHeight="1">
      <c r="B1204" s="13">
        <f>IFERROR(__xludf.DUMMYFUNCTION("""COMPUTED_VALUE"""),1199.0)</f>
        <v>1199</v>
      </c>
      <c r="C1204" s="13" t="str">
        <f>IFERROR(__xludf.DUMMYFUNCTION("""COMPUTED_VALUE"""),"M.2259/PERUMNAS WAY HALIM")</f>
        <v>M.2259/PERUMNAS WAY HALIM</v>
      </c>
      <c r="D1204" s="13" t="str">
        <f>IFERROR(__xludf.DUMMYFUNCTION("""COMPUTED_VALUE"""),"K/9/140225/2")</f>
        <v>K/9/140225/2</v>
      </c>
      <c r="E1204" s="14" t="str">
        <f>IFERROR(__xludf.DUMMYFUNCTION("""COMPUTED_VALUE"""),"Nadian (BT)")</f>
        <v>Nadian (BT)</v>
      </c>
      <c r="F1204" s="14" t="str">
        <f>IFERROR(__xludf.DUMMYFUNCTION("""COMPUTED_VALUE"""),"SELESAI (VIA PERMOHONAN)")</f>
        <v>SELESAI (VIA PERMOHONAN)</v>
      </c>
      <c r="G1204" s="17">
        <f>IFERROR(__xludf.DUMMYFUNCTION("""COMPUTED_VALUE"""),45708.499449675925)</f>
        <v>45708.49945</v>
      </c>
      <c r="H1204" s="14" t="str">
        <f>IFERROR(__xludf.DUMMYFUNCTION("""COMPUTED_VALUE"""),"Bu Eva (SU)")</f>
        <v>Bu Eva (SU)</v>
      </c>
      <c r="I1204" s="13" t="str">
        <f>IFERROR(__xludf.DUMMYFUNCTION("""COMPUTED_VALUE"""),"SELESAI (VIA PERMOHONAN)")</f>
        <v>SELESAI (VIA PERMOHONAN)</v>
      </c>
      <c r="J1204" s="17">
        <f>IFERROR(__xludf.DUMMYFUNCTION("""COMPUTED_VALUE"""),45708.66428711805)</f>
        <v>45708.66429</v>
      </c>
      <c r="K1204" s="13" t="str">
        <f>IFERROR(__xludf.DUMMYFUNCTION("""COMPUTED_VALUE"""),"Selesai")</f>
        <v>Selesai</v>
      </c>
      <c r="L1204" s="17">
        <f>IFERROR(__xludf.DUMMYFUNCTION("""COMPUTED_VALUE"""),45708.66428711805)</f>
        <v>45708.66429</v>
      </c>
      <c r="M1204" s="13"/>
      <c r="N1204" s="13" t="str">
        <f>IFERROR(__xludf.DUMMYFUNCTION("""COMPUTED_VALUE"""),"")</f>
        <v/>
      </c>
      <c r="O1204" s="13" t="str">
        <f t="shared" si="1"/>
        <v/>
      </c>
    </row>
    <row r="1205" ht="22.5" customHeight="1">
      <c r="B1205" s="13">
        <f>IFERROR(__xludf.DUMMYFUNCTION("""COMPUTED_VALUE"""),1200.0)</f>
        <v>1200</v>
      </c>
      <c r="C1205" s="13" t="str">
        <f>IFERROR(__xludf.DUMMYFUNCTION("""COMPUTED_VALUE"""),"M.996/GEDONG AIR")</f>
        <v>M.996/GEDONG AIR</v>
      </c>
      <c r="D1205" s="13" t="str">
        <f>IFERROR(__xludf.DUMMYFUNCTION("""COMPUTED_VALUE"""),"K/14/120225/1")</f>
        <v>K/14/120225/1</v>
      </c>
      <c r="E1205" s="14" t="str">
        <f>IFERROR(__xludf.DUMMYFUNCTION("""COMPUTED_VALUE"""),"Nadian (BT)")</f>
        <v>Nadian (BT)</v>
      </c>
      <c r="F1205" s="14" t="str">
        <f>IFERROR(__xludf.DUMMYFUNCTION("""COMPUTED_VALUE"""),"SELESAI (VIA PERMOHONAN)")</f>
        <v>SELESAI (VIA PERMOHONAN)</v>
      </c>
      <c r="G1205" s="17">
        <f>IFERROR(__xludf.DUMMYFUNCTION("""COMPUTED_VALUE"""),45708.499449675925)</f>
        <v>45708.49945</v>
      </c>
      <c r="H1205" s="14" t="str">
        <f>IFERROR(__xludf.DUMMYFUNCTION("""COMPUTED_VALUE"""),"Bu Eva (SU)")</f>
        <v>Bu Eva (SU)</v>
      </c>
      <c r="I1205" s="13" t="str">
        <f>IFERROR(__xludf.DUMMYFUNCTION("""COMPUTED_VALUE"""),"SELESAI (VIA PERMOHONAN)")</f>
        <v>SELESAI (VIA PERMOHONAN)</v>
      </c>
      <c r="J1205" s="17">
        <f>IFERROR(__xludf.DUMMYFUNCTION("""COMPUTED_VALUE"""),45708.66432140046)</f>
        <v>45708.66432</v>
      </c>
      <c r="K1205" s="13" t="str">
        <f>IFERROR(__xludf.DUMMYFUNCTION("""COMPUTED_VALUE"""),"Selesai")</f>
        <v>Selesai</v>
      </c>
      <c r="L1205" s="17">
        <f>IFERROR(__xludf.DUMMYFUNCTION("""COMPUTED_VALUE"""),45708.66432140046)</f>
        <v>45708.66432</v>
      </c>
      <c r="M1205" s="13"/>
      <c r="N1205" s="13" t="str">
        <f>IFERROR(__xludf.DUMMYFUNCTION("""COMPUTED_VALUE"""),"")</f>
        <v/>
      </c>
      <c r="O1205" s="13" t="str">
        <f t="shared" si="1"/>
        <v/>
      </c>
    </row>
    <row r="1206" ht="22.5" customHeight="1">
      <c r="B1206" s="13">
        <f>IFERROR(__xludf.DUMMYFUNCTION("""COMPUTED_VALUE"""),1201.0)</f>
        <v>1201</v>
      </c>
      <c r="C1206" s="13" t="str">
        <f>IFERROR(__xludf.DUMMYFUNCTION("""COMPUTED_VALUE"""),"M. 2162/ Way Halim Permai")</f>
        <v>M. 2162/ Way Halim Permai</v>
      </c>
      <c r="D1206" s="13" t="str">
        <f>IFERROR(__xludf.DUMMYFUNCTION("""COMPUTED_VALUE"""),"K/15/140225/1")</f>
        <v>K/15/140225/1</v>
      </c>
      <c r="E1206" s="14" t="str">
        <f>IFERROR(__xludf.DUMMYFUNCTION("""COMPUTED_VALUE"""),"Nadian (BT)")</f>
        <v>Nadian (BT)</v>
      </c>
      <c r="F1206" s="14" t="str">
        <f>IFERROR(__xludf.DUMMYFUNCTION("""COMPUTED_VALUE"""),"SELESAI (VIA PERMOHONAN)")</f>
        <v>SELESAI (VIA PERMOHONAN)</v>
      </c>
      <c r="G1206" s="17">
        <f>IFERROR(__xludf.DUMMYFUNCTION("""COMPUTED_VALUE"""),45708.499449675925)</f>
        <v>45708.49945</v>
      </c>
      <c r="H1206" s="14" t="str">
        <f>IFERROR(__xludf.DUMMYFUNCTION("""COMPUTED_VALUE"""),"Bu Eva (SU)")</f>
        <v>Bu Eva (SU)</v>
      </c>
      <c r="I1206" s="13" t="str">
        <f>IFERROR(__xludf.DUMMYFUNCTION("""COMPUTED_VALUE"""),"SELESAI (VIA PERMOHONAN)")</f>
        <v>SELESAI (VIA PERMOHONAN)</v>
      </c>
      <c r="J1206" s="17">
        <f>IFERROR(__xludf.DUMMYFUNCTION("""COMPUTED_VALUE"""),45708.66432140046)</f>
        <v>45708.66432</v>
      </c>
      <c r="K1206" s="13" t="str">
        <f>IFERROR(__xludf.DUMMYFUNCTION("""COMPUTED_VALUE"""),"Selesai")</f>
        <v>Selesai</v>
      </c>
      <c r="L1206" s="17">
        <f>IFERROR(__xludf.DUMMYFUNCTION("""COMPUTED_VALUE"""),45708.66432140046)</f>
        <v>45708.66432</v>
      </c>
      <c r="M1206" s="13"/>
      <c r="N1206" s="13" t="str">
        <f>IFERROR(__xludf.DUMMYFUNCTION("""COMPUTED_VALUE"""),"")</f>
        <v/>
      </c>
      <c r="O1206" s="13" t="str">
        <f t="shared" si="1"/>
        <v/>
      </c>
    </row>
    <row r="1207" ht="22.5" customHeight="1">
      <c r="B1207" s="13">
        <f>IFERROR(__xludf.DUMMYFUNCTION("""COMPUTED_VALUE"""),1202.0)</f>
        <v>1202</v>
      </c>
      <c r="C1207" s="13" t="str">
        <f>IFERROR(__xludf.DUMMYFUNCTION("""COMPUTED_VALUE"""),"B. 100/ Pinang Jaya")</f>
        <v>B. 100/ Pinang Jaya</v>
      </c>
      <c r="D1207" s="13" t="str">
        <f>IFERROR(__xludf.DUMMYFUNCTION("""COMPUTED_VALUE"""),"K/11/170225/1")</f>
        <v>K/11/170225/1</v>
      </c>
      <c r="E1207" s="14" t="str">
        <f>IFERROR(__xludf.DUMMYFUNCTION("""COMPUTED_VALUE"""),"Nadian (BT)")</f>
        <v>Nadian (BT)</v>
      </c>
      <c r="F1207" s="14" t="str">
        <f>IFERROR(__xludf.DUMMYFUNCTION("""COMPUTED_VALUE"""),"SELESAI (VIA PERMOHONAN)")</f>
        <v>SELESAI (VIA PERMOHONAN)</v>
      </c>
      <c r="G1207" s="17">
        <f>IFERROR(__xludf.DUMMYFUNCTION("""COMPUTED_VALUE"""),45708.499449675925)</f>
        <v>45708.49945</v>
      </c>
      <c r="H1207" s="14" t="str">
        <f>IFERROR(__xludf.DUMMYFUNCTION("""COMPUTED_VALUE"""),"Bu Eva (SU)")</f>
        <v>Bu Eva (SU)</v>
      </c>
      <c r="I1207" s="13" t="str">
        <f>IFERROR(__xludf.DUMMYFUNCTION("""COMPUTED_VALUE"""),"SELESAI (VIA PERMOHONAN)")</f>
        <v>SELESAI (VIA PERMOHONAN)</v>
      </c>
      <c r="J1207" s="17">
        <f>IFERROR(__xludf.DUMMYFUNCTION("""COMPUTED_VALUE"""),45708.66432140046)</f>
        <v>45708.66432</v>
      </c>
      <c r="K1207" s="13" t="str">
        <f>IFERROR(__xludf.DUMMYFUNCTION("""COMPUTED_VALUE"""),"Selesai")</f>
        <v>Selesai</v>
      </c>
      <c r="L1207" s="17">
        <f>IFERROR(__xludf.DUMMYFUNCTION("""COMPUTED_VALUE"""),45708.66432140046)</f>
        <v>45708.66432</v>
      </c>
      <c r="M1207" s="13"/>
      <c r="N1207" s="13" t="str">
        <f>IFERROR(__xludf.DUMMYFUNCTION("""COMPUTED_VALUE"""),"")</f>
        <v/>
      </c>
      <c r="O1207" s="13" t="str">
        <f t="shared" si="1"/>
        <v/>
      </c>
    </row>
    <row r="1208" ht="22.5" customHeight="1">
      <c r="B1208" s="13">
        <f>IFERROR(__xludf.DUMMYFUNCTION("""COMPUTED_VALUE"""),1203.0)</f>
        <v>1203</v>
      </c>
      <c r="C1208" s="13" t="str">
        <f>IFERROR(__xludf.DUMMYFUNCTION("""COMPUTED_VALUE"""),"M. 9728/ Sidodadi")</f>
        <v>M. 9728/ Sidodadi</v>
      </c>
      <c r="D1208" s="13" t="str">
        <f>IFERROR(__xludf.DUMMYFUNCTION("""COMPUTED_VALUE"""),"K/32/130225/1")</f>
        <v>K/32/130225/1</v>
      </c>
      <c r="E1208" s="14" t="str">
        <f>IFERROR(__xludf.DUMMYFUNCTION("""COMPUTED_VALUE"""),"Nadian (BT)")</f>
        <v>Nadian (BT)</v>
      </c>
      <c r="F1208" s="14" t="str">
        <f>IFERROR(__xludf.DUMMYFUNCTION("""COMPUTED_VALUE"""),"SELESAI (VIA PERMOHONAN)")</f>
        <v>SELESAI (VIA PERMOHONAN)</v>
      </c>
      <c r="G1208" s="17">
        <f>IFERROR(__xludf.DUMMYFUNCTION("""COMPUTED_VALUE"""),45708.499449675925)</f>
        <v>45708.49945</v>
      </c>
      <c r="H1208" s="14" t="str">
        <f>IFERROR(__xludf.DUMMYFUNCTION("""COMPUTED_VALUE"""),"Bu Eva (SU)")</f>
        <v>Bu Eva (SU)</v>
      </c>
      <c r="I1208" s="13" t="str">
        <f>IFERROR(__xludf.DUMMYFUNCTION("""COMPUTED_VALUE"""),"SELESAI (VIA PERMOHONAN)")</f>
        <v>SELESAI (VIA PERMOHONAN)</v>
      </c>
      <c r="J1208" s="17">
        <f>IFERROR(__xludf.DUMMYFUNCTION("""COMPUTED_VALUE"""),45708.66432140046)</f>
        <v>45708.66432</v>
      </c>
      <c r="K1208" s="13" t="str">
        <f>IFERROR(__xludf.DUMMYFUNCTION("""COMPUTED_VALUE"""),"Selesai")</f>
        <v>Selesai</v>
      </c>
      <c r="L1208" s="17">
        <f>IFERROR(__xludf.DUMMYFUNCTION("""COMPUTED_VALUE"""),45708.66432140046)</f>
        <v>45708.66432</v>
      </c>
      <c r="M1208" s="13"/>
      <c r="N1208" s="13" t="str">
        <f>IFERROR(__xludf.DUMMYFUNCTION("""COMPUTED_VALUE"""),"")</f>
        <v/>
      </c>
      <c r="O1208" s="13" t="str">
        <f t="shared" si="1"/>
        <v/>
      </c>
    </row>
    <row r="1209" ht="22.5" customHeight="1">
      <c r="B1209" s="13">
        <f>IFERROR(__xludf.DUMMYFUNCTION("""COMPUTED_VALUE"""),1204.0)</f>
        <v>1204</v>
      </c>
      <c r="C1209" s="13" t="str">
        <f>IFERROR(__xludf.DUMMYFUNCTION("""COMPUTED_VALUE"""),"M. 234/ Sukarame II")</f>
        <v>M. 234/ Sukarame II</v>
      </c>
      <c r="D1209" s="13" t="str">
        <f>IFERROR(__xludf.DUMMYFUNCTION("""COMPUTED_VALUE"""),"K/21/201224/1")</f>
        <v>K/21/201224/1</v>
      </c>
      <c r="E1209" s="14" t="str">
        <f>IFERROR(__xludf.DUMMYFUNCTION("""COMPUTED_VALUE"""),"Nadian (BT)")</f>
        <v>Nadian (BT)</v>
      </c>
      <c r="F1209" s="14" t="str">
        <f>IFERROR(__xludf.DUMMYFUNCTION("""COMPUTED_VALUE"""),"SELESAI (VIA PERMOHONAN)")</f>
        <v>SELESAI (VIA PERMOHONAN)</v>
      </c>
      <c r="G1209" s="17">
        <f>IFERROR(__xludf.DUMMYFUNCTION("""COMPUTED_VALUE"""),45708.499449675925)</f>
        <v>45708.49945</v>
      </c>
      <c r="H1209" s="14" t="str">
        <f>IFERROR(__xludf.DUMMYFUNCTION("""COMPUTED_VALUE"""),"Bu Eva (SU)")</f>
        <v>Bu Eva (SU)</v>
      </c>
      <c r="I1209" s="13" t="str">
        <f>IFERROR(__xludf.DUMMYFUNCTION("""COMPUTED_VALUE"""),"SELESAI (VIA PERMOHONAN)")</f>
        <v>SELESAI (VIA PERMOHONAN)</v>
      </c>
      <c r="J1209" s="17">
        <f>IFERROR(__xludf.DUMMYFUNCTION("""COMPUTED_VALUE"""),45708.66432140046)</f>
        <v>45708.66432</v>
      </c>
      <c r="K1209" s="13" t="str">
        <f>IFERROR(__xludf.DUMMYFUNCTION("""COMPUTED_VALUE"""),"Selesai")</f>
        <v>Selesai</v>
      </c>
      <c r="L1209" s="17">
        <f>IFERROR(__xludf.DUMMYFUNCTION("""COMPUTED_VALUE"""),45708.66432140046)</f>
        <v>45708.66432</v>
      </c>
      <c r="M1209" s="13"/>
      <c r="N1209" s="13" t="str">
        <f>IFERROR(__xludf.DUMMYFUNCTION("""COMPUTED_VALUE"""),"")</f>
        <v/>
      </c>
      <c r="O1209" s="13" t="str">
        <f t="shared" si="1"/>
        <v/>
      </c>
    </row>
    <row r="1210" ht="22.5" customHeight="1">
      <c r="B1210" s="13">
        <f>IFERROR(__xludf.DUMMYFUNCTION("""COMPUTED_VALUE"""),1205.0)</f>
        <v>1205</v>
      </c>
      <c r="C1210" s="13" t="str">
        <f>IFERROR(__xludf.DUMMYFUNCTION("""COMPUTED_VALUE"""),"M. 1867/ Beringin Jaya")</f>
        <v>M. 1867/ Beringin Jaya</v>
      </c>
      <c r="D1210" s="13" t="str">
        <f>IFERROR(__xludf.DUMMYFUNCTION("""COMPUTED_VALUE"""),"K/30/170225/1")</f>
        <v>K/30/170225/1</v>
      </c>
      <c r="E1210" s="14" t="str">
        <f>IFERROR(__xludf.DUMMYFUNCTION("""COMPUTED_VALUE"""),"Nadian (BT)")</f>
        <v>Nadian (BT)</v>
      </c>
      <c r="F1210" s="14" t="str">
        <f>IFERROR(__xludf.DUMMYFUNCTION("""COMPUTED_VALUE"""),"SELESAI (VIA PERMOHONAN)")</f>
        <v>SELESAI (VIA PERMOHONAN)</v>
      </c>
      <c r="G1210" s="17">
        <f>IFERROR(__xludf.DUMMYFUNCTION("""COMPUTED_VALUE"""),45708.499449675925)</f>
        <v>45708.49945</v>
      </c>
      <c r="H1210" s="14" t="str">
        <f>IFERROR(__xludf.DUMMYFUNCTION("""COMPUTED_VALUE"""),"Bu Eva (SU)")</f>
        <v>Bu Eva (SU)</v>
      </c>
      <c r="I1210" s="13" t="str">
        <f>IFERROR(__xludf.DUMMYFUNCTION("""COMPUTED_VALUE"""),"SELESAI (VIA PERMOHONAN)")</f>
        <v>SELESAI (VIA PERMOHONAN)</v>
      </c>
      <c r="J1210" s="17">
        <f>IFERROR(__xludf.DUMMYFUNCTION("""COMPUTED_VALUE"""),45708.66432140046)</f>
        <v>45708.66432</v>
      </c>
      <c r="K1210" s="13" t="str">
        <f>IFERROR(__xludf.DUMMYFUNCTION("""COMPUTED_VALUE"""),"Selesai")</f>
        <v>Selesai</v>
      </c>
      <c r="L1210" s="17">
        <f>IFERROR(__xludf.DUMMYFUNCTION("""COMPUTED_VALUE"""),45708.66432140046)</f>
        <v>45708.66432</v>
      </c>
      <c r="M1210" s="13"/>
      <c r="N1210" s="13" t="str">
        <f>IFERROR(__xludf.DUMMYFUNCTION("""COMPUTED_VALUE"""),"")</f>
        <v/>
      </c>
      <c r="O1210" s="13" t="str">
        <f t="shared" si="1"/>
        <v/>
      </c>
    </row>
    <row r="1211" ht="22.5" customHeight="1">
      <c r="B1211" s="13">
        <f>IFERROR(__xludf.DUMMYFUNCTION("""COMPUTED_VALUE"""),1206.0)</f>
        <v>1206</v>
      </c>
      <c r="C1211" s="13" t="str">
        <f>IFERROR(__xludf.DUMMYFUNCTION("""COMPUTED_VALUE"""),"M.2641/PINANG JAYA")</f>
        <v>M.2641/PINANG JAYA</v>
      </c>
      <c r="D1211" s="13" t="str">
        <f>IFERROR(__xludf.DUMMYFUNCTION("""COMPUTED_VALUE"""),"K/20/140225/1")</f>
        <v>K/20/140225/1</v>
      </c>
      <c r="E1211" s="14" t="str">
        <f>IFERROR(__xludf.DUMMYFUNCTION("""COMPUTED_VALUE"""),"Nadian (BT)")</f>
        <v>Nadian (BT)</v>
      </c>
      <c r="F1211" s="14" t="str">
        <f>IFERROR(__xludf.DUMMYFUNCTION("""COMPUTED_VALUE"""),"SELESAI (VIA PERMOHONAN)")</f>
        <v>SELESAI (VIA PERMOHONAN)</v>
      </c>
      <c r="G1211" s="17">
        <f>IFERROR(__xludf.DUMMYFUNCTION("""COMPUTED_VALUE"""),45708.499449675925)</f>
        <v>45708.49945</v>
      </c>
      <c r="H1211" s="14" t="str">
        <f>IFERROR(__xludf.DUMMYFUNCTION("""COMPUTED_VALUE"""),"Bu Eva (SU)")</f>
        <v>Bu Eva (SU)</v>
      </c>
      <c r="I1211" s="13" t="str">
        <f>IFERROR(__xludf.DUMMYFUNCTION("""COMPUTED_VALUE"""),"SELESAI (VIA PERMOHONAN)")</f>
        <v>SELESAI (VIA PERMOHONAN)</v>
      </c>
      <c r="J1211" s="17">
        <f>IFERROR(__xludf.DUMMYFUNCTION("""COMPUTED_VALUE"""),45708.66432141204)</f>
        <v>45708.66432</v>
      </c>
      <c r="K1211" s="13" t="str">
        <f>IFERROR(__xludf.DUMMYFUNCTION("""COMPUTED_VALUE"""),"Selesai")</f>
        <v>Selesai</v>
      </c>
      <c r="L1211" s="17">
        <f>IFERROR(__xludf.DUMMYFUNCTION("""COMPUTED_VALUE"""),45708.66432141204)</f>
        <v>45708.66432</v>
      </c>
      <c r="M1211" s="13"/>
      <c r="N1211" s="13" t="str">
        <f>IFERROR(__xludf.DUMMYFUNCTION("""COMPUTED_VALUE"""),"")</f>
        <v/>
      </c>
      <c r="O1211" s="13" t="str">
        <f t="shared" si="1"/>
        <v/>
      </c>
    </row>
    <row r="1212" ht="22.5" customHeight="1">
      <c r="B1212" s="13">
        <f>IFERROR(__xludf.DUMMYFUNCTION("""COMPUTED_VALUE"""),1207.0)</f>
        <v>1207</v>
      </c>
      <c r="C1212" s="13" t="str">
        <f>IFERROR(__xludf.DUMMYFUNCTION("""COMPUTED_VALUE"""),"M.1469/PINANG JAYA ")</f>
        <v>M.1469/PINANG JAYA </v>
      </c>
      <c r="D1212" s="13" t="str">
        <f>IFERROR(__xludf.DUMMYFUNCTION("""COMPUTED_VALUE"""),"K/23/180225/1")</f>
        <v>K/23/180225/1</v>
      </c>
      <c r="E1212" s="14" t="str">
        <f>IFERROR(__xludf.DUMMYFUNCTION("""COMPUTED_VALUE"""),"Nadian (BT)")</f>
        <v>Nadian (BT)</v>
      </c>
      <c r="F1212" s="14" t="str">
        <f>IFERROR(__xludf.DUMMYFUNCTION("""COMPUTED_VALUE"""),"SELESAI (VIA PERMOHONAN)")</f>
        <v>SELESAI (VIA PERMOHONAN)</v>
      </c>
      <c r="G1212" s="17">
        <f>IFERROR(__xludf.DUMMYFUNCTION("""COMPUTED_VALUE"""),45708.49947430556)</f>
        <v>45708.49947</v>
      </c>
      <c r="H1212" s="14" t="str">
        <f>IFERROR(__xludf.DUMMYFUNCTION("""COMPUTED_VALUE"""),"Bu Eva (SU)")</f>
        <v>Bu Eva (SU)</v>
      </c>
      <c r="I1212" s="13" t="str">
        <f>IFERROR(__xludf.DUMMYFUNCTION("""COMPUTED_VALUE"""),"SELESAI (VIA PERMOHONAN)")</f>
        <v>SELESAI (VIA PERMOHONAN)</v>
      </c>
      <c r="J1212" s="17">
        <f>IFERROR(__xludf.DUMMYFUNCTION("""COMPUTED_VALUE"""),45708.66436079861)</f>
        <v>45708.66436</v>
      </c>
      <c r="K1212" s="13" t="str">
        <f>IFERROR(__xludf.DUMMYFUNCTION("""COMPUTED_VALUE"""),"Selesai")</f>
        <v>Selesai</v>
      </c>
      <c r="L1212" s="17">
        <f>IFERROR(__xludf.DUMMYFUNCTION("""COMPUTED_VALUE"""),45708.66436079861)</f>
        <v>45708.66436</v>
      </c>
      <c r="M1212" s="13"/>
      <c r="N1212" s="13" t="str">
        <f>IFERROR(__xludf.DUMMYFUNCTION("""COMPUTED_VALUE"""),"")</f>
        <v/>
      </c>
      <c r="O1212" s="13" t="str">
        <f t="shared" si="1"/>
        <v/>
      </c>
    </row>
    <row r="1213" ht="22.5" customHeight="1">
      <c r="B1213" s="13">
        <f>IFERROR(__xludf.DUMMYFUNCTION("""COMPUTED_VALUE"""),1208.0)</f>
        <v>1208</v>
      </c>
      <c r="C1213" s="13" t="str">
        <f>IFERROR(__xludf.DUMMYFUNCTION("""COMPUTED_VALUE"""),"M.116/GEDONG MENENG BARU")</f>
        <v>M.116/GEDONG MENENG BARU</v>
      </c>
      <c r="D1213" s="13" t="str">
        <f>IFERROR(__xludf.DUMMYFUNCTION("""COMPUTED_VALUE"""),"K/4/180225/1")</f>
        <v>K/4/180225/1</v>
      </c>
      <c r="E1213" s="14" t="str">
        <f>IFERROR(__xludf.DUMMYFUNCTION("""COMPUTED_VALUE"""),"Nadian (BT)")</f>
        <v>Nadian (BT)</v>
      </c>
      <c r="F1213" s="14" t="str">
        <f>IFERROR(__xludf.DUMMYFUNCTION("""COMPUTED_VALUE"""),"SELESAI (VIA PERMOHONAN)")</f>
        <v>SELESAI (VIA PERMOHONAN)</v>
      </c>
      <c r="G1213" s="17">
        <f>IFERROR(__xludf.DUMMYFUNCTION("""COMPUTED_VALUE"""),45708.49947430556)</f>
        <v>45708.49947</v>
      </c>
      <c r="H1213" s="14" t="str">
        <f>IFERROR(__xludf.DUMMYFUNCTION("""COMPUTED_VALUE"""),"Bu Eva (SU)")</f>
        <v>Bu Eva (SU)</v>
      </c>
      <c r="I1213" s="13" t="str">
        <f>IFERROR(__xludf.DUMMYFUNCTION("""COMPUTED_VALUE"""),"SELESAI (VIA PERMOHONAN)")</f>
        <v>SELESAI (VIA PERMOHONAN)</v>
      </c>
      <c r="J1213" s="17">
        <f>IFERROR(__xludf.DUMMYFUNCTION("""COMPUTED_VALUE"""),45708.66436081019)</f>
        <v>45708.66436</v>
      </c>
      <c r="K1213" s="13" t="str">
        <f>IFERROR(__xludf.DUMMYFUNCTION("""COMPUTED_VALUE"""),"Selesai")</f>
        <v>Selesai</v>
      </c>
      <c r="L1213" s="17">
        <f>IFERROR(__xludf.DUMMYFUNCTION("""COMPUTED_VALUE"""),45708.66436081019)</f>
        <v>45708.66436</v>
      </c>
      <c r="M1213" s="13"/>
      <c r="N1213" s="13" t="str">
        <f>IFERROR(__xludf.DUMMYFUNCTION("""COMPUTED_VALUE"""),"")</f>
        <v/>
      </c>
      <c r="O1213" s="13" t="str">
        <f t="shared" si="1"/>
        <v/>
      </c>
    </row>
    <row r="1214" ht="22.5" customHeight="1">
      <c r="B1214" s="13">
        <f>IFERROR(__xludf.DUMMYFUNCTION("""COMPUTED_VALUE"""),1209.0)</f>
        <v>1209</v>
      </c>
      <c r="C1214" s="13" t="str">
        <f>IFERROR(__xludf.DUMMYFUNCTION("""COMPUTED_VALUE"""),"B. 308/ Labuhan Ratu Raya")</f>
        <v>B. 308/ Labuhan Ratu Raya</v>
      </c>
      <c r="D1214" s="13" t="str">
        <f>IFERROR(__xludf.DUMMYFUNCTION("""COMPUTED_VALUE"""),"K/26/140225/1")</f>
        <v>K/26/140225/1</v>
      </c>
      <c r="E1214" s="14" t="str">
        <f>IFERROR(__xludf.DUMMYFUNCTION("""COMPUTED_VALUE"""),"Nadian (BT)")</f>
        <v>Nadian (BT)</v>
      </c>
      <c r="F1214" s="14" t="str">
        <f>IFERROR(__xludf.DUMMYFUNCTION("""COMPUTED_VALUE"""),"SELESAI (VIA PERMOHONAN)")</f>
        <v>SELESAI (VIA PERMOHONAN)</v>
      </c>
      <c r="G1214" s="17">
        <f>IFERROR(__xludf.DUMMYFUNCTION("""COMPUTED_VALUE"""),45708.49947430556)</f>
        <v>45708.49947</v>
      </c>
      <c r="H1214" s="14" t="str">
        <f>IFERROR(__xludf.DUMMYFUNCTION("""COMPUTED_VALUE"""),"Bu Eva (SU)")</f>
        <v>Bu Eva (SU)</v>
      </c>
      <c r="I1214" s="13" t="str">
        <f>IFERROR(__xludf.DUMMYFUNCTION("""COMPUTED_VALUE"""),"SELESAI (VIA PERMOHONAN)")</f>
        <v>SELESAI (VIA PERMOHONAN)</v>
      </c>
      <c r="J1214" s="17">
        <f>IFERROR(__xludf.DUMMYFUNCTION("""COMPUTED_VALUE"""),45708.66436081019)</f>
        <v>45708.66436</v>
      </c>
      <c r="K1214" s="13" t="str">
        <f>IFERROR(__xludf.DUMMYFUNCTION("""COMPUTED_VALUE"""),"Selesai")</f>
        <v>Selesai</v>
      </c>
      <c r="L1214" s="17">
        <f>IFERROR(__xludf.DUMMYFUNCTION("""COMPUTED_VALUE"""),45708.66436081019)</f>
        <v>45708.66436</v>
      </c>
      <c r="M1214" s="13"/>
      <c r="N1214" s="13" t="str">
        <f>IFERROR(__xludf.DUMMYFUNCTION("""COMPUTED_VALUE"""),"")</f>
        <v/>
      </c>
      <c r="O1214" s="13" t="str">
        <f t="shared" si="1"/>
        <v/>
      </c>
    </row>
    <row r="1215" ht="22.5" customHeight="1">
      <c r="B1215" s="13">
        <f>IFERROR(__xludf.DUMMYFUNCTION("""COMPUTED_VALUE"""),1210.0)</f>
        <v>1210</v>
      </c>
      <c r="C1215" s="13" t="str">
        <f>IFERROR(__xludf.DUMMYFUNCTION("""COMPUTED_VALUE"""),"B. 310/ Labuhan Ratu Raya")</f>
        <v>B. 310/ Labuhan Ratu Raya</v>
      </c>
      <c r="D1215" s="13" t="str">
        <f>IFERROR(__xludf.DUMMYFUNCTION("""COMPUTED_VALUE"""),"K/29/140225/4")</f>
        <v>K/29/140225/4</v>
      </c>
      <c r="E1215" s="14" t="str">
        <f>IFERROR(__xludf.DUMMYFUNCTION("""COMPUTED_VALUE"""),"Nadian (BT)")</f>
        <v>Nadian (BT)</v>
      </c>
      <c r="F1215" s="14" t="str">
        <f>IFERROR(__xludf.DUMMYFUNCTION("""COMPUTED_VALUE"""),"SELESAI (VIA PERMOHONAN)")</f>
        <v>SELESAI (VIA PERMOHONAN)</v>
      </c>
      <c r="G1215" s="17">
        <f>IFERROR(__xludf.DUMMYFUNCTION("""COMPUTED_VALUE"""),45708.49947430556)</f>
        <v>45708.49947</v>
      </c>
      <c r="H1215" s="14" t="str">
        <f>IFERROR(__xludf.DUMMYFUNCTION("""COMPUTED_VALUE"""),"Bu Eva (SU)")</f>
        <v>Bu Eva (SU)</v>
      </c>
      <c r="I1215" s="13" t="str">
        <f>IFERROR(__xludf.DUMMYFUNCTION("""COMPUTED_VALUE"""),"SELESAI (VIA PERMOHONAN)")</f>
        <v>SELESAI (VIA PERMOHONAN)</v>
      </c>
      <c r="J1215" s="17">
        <f>IFERROR(__xludf.DUMMYFUNCTION("""COMPUTED_VALUE"""),45708.66436081019)</f>
        <v>45708.66436</v>
      </c>
      <c r="K1215" s="13" t="str">
        <f>IFERROR(__xludf.DUMMYFUNCTION("""COMPUTED_VALUE"""),"Selesai")</f>
        <v>Selesai</v>
      </c>
      <c r="L1215" s="17">
        <f>IFERROR(__xludf.DUMMYFUNCTION("""COMPUTED_VALUE"""),45708.66436081019)</f>
        <v>45708.66436</v>
      </c>
      <c r="M1215" s="13"/>
      <c r="N1215" s="13" t="str">
        <f>IFERROR(__xludf.DUMMYFUNCTION("""COMPUTED_VALUE"""),"")</f>
        <v/>
      </c>
      <c r="O1215" s="13" t="str">
        <f t="shared" si="1"/>
        <v/>
      </c>
    </row>
    <row r="1216" ht="22.5" customHeight="1">
      <c r="B1216" s="13">
        <f>IFERROR(__xludf.DUMMYFUNCTION("""COMPUTED_VALUE"""),1211.0)</f>
        <v>1211</v>
      </c>
      <c r="C1216" s="13" t="str">
        <f>IFERROR(__xludf.DUMMYFUNCTION("""COMPUTED_VALUE"""),"B. 1104/ Keteguhan")</f>
        <v>B. 1104/ Keteguhan</v>
      </c>
      <c r="D1216" s="13" t="str">
        <f>IFERROR(__xludf.DUMMYFUNCTION("""COMPUTED_VALUE"""),"K/23/130225/2")</f>
        <v>K/23/130225/2</v>
      </c>
      <c r="E1216" s="14" t="str">
        <f>IFERROR(__xludf.DUMMYFUNCTION("""COMPUTED_VALUE"""),"Nadian (BT)")</f>
        <v>Nadian (BT)</v>
      </c>
      <c r="F1216" s="14" t="str">
        <f>IFERROR(__xludf.DUMMYFUNCTION("""COMPUTED_VALUE"""),"SELESAI (VIA PERMOHONAN)")</f>
        <v>SELESAI (VIA PERMOHONAN)</v>
      </c>
      <c r="G1216" s="17">
        <f>IFERROR(__xludf.DUMMYFUNCTION("""COMPUTED_VALUE"""),45708.49947430556)</f>
        <v>45708.49947</v>
      </c>
      <c r="H1216" s="14" t="str">
        <f>IFERROR(__xludf.DUMMYFUNCTION("""COMPUTED_VALUE"""),"Bu Eva (SU)")</f>
        <v>Bu Eva (SU)</v>
      </c>
      <c r="I1216" s="13" t="str">
        <f>IFERROR(__xludf.DUMMYFUNCTION("""COMPUTED_VALUE"""),"SELESAI (VIA PERMOHONAN)")</f>
        <v>SELESAI (VIA PERMOHONAN)</v>
      </c>
      <c r="J1216" s="17">
        <f>IFERROR(__xludf.DUMMYFUNCTION("""COMPUTED_VALUE"""),45708.66436081019)</f>
        <v>45708.66436</v>
      </c>
      <c r="K1216" s="13" t="str">
        <f>IFERROR(__xludf.DUMMYFUNCTION("""COMPUTED_VALUE"""),"Selesai")</f>
        <v>Selesai</v>
      </c>
      <c r="L1216" s="17">
        <f>IFERROR(__xludf.DUMMYFUNCTION("""COMPUTED_VALUE"""),45708.66436081019)</f>
        <v>45708.66436</v>
      </c>
      <c r="M1216" s="13"/>
      <c r="N1216" s="13" t="str">
        <f>IFERROR(__xludf.DUMMYFUNCTION("""COMPUTED_VALUE"""),"")</f>
        <v/>
      </c>
      <c r="O1216" s="13" t="str">
        <f t="shared" si="1"/>
        <v/>
      </c>
    </row>
    <row r="1217" ht="22.5" customHeight="1">
      <c r="B1217" s="13">
        <f>IFERROR(__xludf.DUMMYFUNCTION("""COMPUTED_VALUE"""),1212.0)</f>
        <v>1212</v>
      </c>
      <c r="C1217" s="13" t="str">
        <f>IFERROR(__xludf.DUMMYFUNCTION("""COMPUTED_VALUE"""),"M.3263/KOTA KARANG")</f>
        <v>M.3263/KOTA KARANG</v>
      </c>
      <c r="D1217" s="13" t="str">
        <f>IFERROR(__xludf.DUMMYFUNCTION("""COMPUTED_VALUE"""),"K/39/140225/1")</f>
        <v>K/39/140225/1</v>
      </c>
      <c r="E1217" s="14" t="str">
        <f>IFERROR(__xludf.DUMMYFUNCTION("""COMPUTED_VALUE"""),"Nadian (BT)")</f>
        <v>Nadian (BT)</v>
      </c>
      <c r="F1217" s="14" t="str">
        <f>IFERROR(__xludf.DUMMYFUNCTION("""COMPUTED_VALUE"""),"SELESAI (VIA PERMOHONAN)")</f>
        <v>SELESAI (VIA PERMOHONAN)</v>
      </c>
      <c r="G1217" s="17">
        <f>IFERROR(__xludf.DUMMYFUNCTION("""COMPUTED_VALUE"""),45708.49947430556)</f>
        <v>45708.49947</v>
      </c>
      <c r="H1217" s="14" t="str">
        <f>IFERROR(__xludf.DUMMYFUNCTION("""COMPUTED_VALUE"""),"Bu Eva (SU)")</f>
        <v>Bu Eva (SU)</v>
      </c>
      <c r="I1217" s="13" t="str">
        <f>IFERROR(__xludf.DUMMYFUNCTION("""COMPUTED_VALUE"""),"SELESAI (VIA PERMOHONAN)")</f>
        <v>SELESAI (VIA PERMOHONAN)</v>
      </c>
      <c r="J1217" s="17">
        <f>IFERROR(__xludf.DUMMYFUNCTION("""COMPUTED_VALUE"""),45708.66436081019)</f>
        <v>45708.66436</v>
      </c>
      <c r="K1217" s="13" t="str">
        <f>IFERROR(__xludf.DUMMYFUNCTION("""COMPUTED_VALUE"""),"Selesai")</f>
        <v>Selesai</v>
      </c>
      <c r="L1217" s="17">
        <f>IFERROR(__xludf.DUMMYFUNCTION("""COMPUTED_VALUE"""),45708.66436081019)</f>
        <v>45708.66436</v>
      </c>
      <c r="M1217" s="13"/>
      <c r="N1217" s="13" t="str">
        <f>IFERROR(__xludf.DUMMYFUNCTION("""COMPUTED_VALUE"""),"")</f>
        <v/>
      </c>
      <c r="O1217" s="13" t="str">
        <f t="shared" si="1"/>
        <v/>
      </c>
    </row>
    <row r="1218" ht="22.5" customHeight="1">
      <c r="B1218" s="13">
        <f>IFERROR(__xludf.DUMMYFUNCTION("""COMPUTED_VALUE"""),1213.0)</f>
        <v>1213</v>
      </c>
      <c r="C1218" s="13" t="str">
        <f>IFERROR(__xludf.DUMMYFUNCTION("""COMPUTED_VALUE"""),"HM 2275/GUNUNG TERANG")</f>
        <v>HM 2275/GUNUNG TERANG</v>
      </c>
      <c r="D1218" s="13" t="str">
        <f>IFERROR(__xludf.DUMMYFUNCTION("""COMPUTED_VALUE"""),"L/3/170225/1")</f>
        <v>L/3/170225/1</v>
      </c>
      <c r="E1218" s="14" t="str">
        <f>IFERROR(__xludf.DUMMYFUNCTION("""COMPUTED_VALUE"""),"Nadian (BT)")</f>
        <v>Nadian (BT)</v>
      </c>
      <c r="F1218" s="14" t="str">
        <f>IFERROR(__xludf.DUMMYFUNCTION("""COMPUTED_VALUE"""),"SELESAI (VIA PERMOHONAN)")</f>
        <v>SELESAI (VIA PERMOHONAN)</v>
      </c>
      <c r="G1218" s="17">
        <f>IFERROR(__xludf.DUMMYFUNCTION("""COMPUTED_VALUE"""),45708.49949109954)</f>
        <v>45708.49949</v>
      </c>
      <c r="H1218" s="14" t="str">
        <f>IFERROR(__xludf.DUMMYFUNCTION("""COMPUTED_VALUE"""),"Bu Eva (SU)")</f>
        <v>Bu Eva (SU)</v>
      </c>
      <c r="I1218" s="13" t="str">
        <f>IFERROR(__xludf.DUMMYFUNCTION("""COMPUTED_VALUE"""),"SELESAI (VIA PERMOHONAN)")</f>
        <v>SELESAI (VIA PERMOHONAN)</v>
      </c>
      <c r="J1218" s="17">
        <f>IFERROR(__xludf.DUMMYFUNCTION("""COMPUTED_VALUE"""),45708.66436081019)</f>
        <v>45708.66436</v>
      </c>
      <c r="K1218" s="13" t="str">
        <f>IFERROR(__xludf.DUMMYFUNCTION("""COMPUTED_VALUE"""),"Selesai")</f>
        <v>Selesai</v>
      </c>
      <c r="L1218" s="17">
        <f>IFERROR(__xludf.DUMMYFUNCTION("""COMPUTED_VALUE"""),45708.66436081019)</f>
        <v>45708.66436</v>
      </c>
      <c r="M1218" s="13"/>
      <c r="N1218" s="13" t="str">
        <f>IFERROR(__xludf.DUMMYFUNCTION("""COMPUTED_VALUE"""),"")</f>
        <v/>
      </c>
      <c r="O1218" s="13" t="str">
        <f t="shared" si="1"/>
        <v/>
      </c>
    </row>
    <row r="1219" ht="22.5" customHeight="1">
      <c r="B1219" s="13">
        <f>IFERROR(__xludf.DUMMYFUNCTION("""COMPUTED_VALUE"""),1214.0)</f>
        <v>1214</v>
      </c>
      <c r="C1219" s="13" t="str">
        <f>IFERROR(__xludf.DUMMYFUNCTION("""COMPUTED_VALUE"""),"M.322/SEPANG JAYA")</f>
        <v>M.322/SEPANG JAYA</v>
      </c>
      <c r="D1219" s="13" t="str">
        <f>IFERROR(__xludf.DUMMYFUNCTION("""COMPUTED_VALUE"""),"L/33/140225/1")</f>
        <v>L/33/140225/1</v>
      </c>
      <c r="E1219" s="14" t="str">
        <f>IFERROR(__xludf.DUMMYFUNCTION("""COMPUTED_VALUE"""),"Nadian (BT)")</f>
        <v>Nadian (BT)</v>
      </c>
      <c r="F1219" s="14" t="str">
        <f>IFERROR(__xludf.DUMMYFUNCTION("""COMPUTED_VALUE"""),"SELESAI (VIA PERMOHONAN)")</f>
        <v>SELESAI (VIA PERMOHONAN)</v>
      </c>
      <c r="G1219" s="17">
        <f>IFERROR(__xludf.DUMMYFUNCTION("""COMPUTED_VALUE"""),45708.49949109954)</f>
        <v>45708.49949</v>
      </c>
      <c r="H1219" s="14" t="str">
        <f>IFERROR(__xludf.DUMMYFUNCTION("""COMPUTED_VALUE"""),"Bu Eva (SU)")</f>
        <v>Bu Eva (SU)</v>
      </c>
      <c r="I1219" s="13" t="str">
        <f>IFERROR(__xludf.DUMMYFUNCTION("""COMPUTED_VALUE"""),"SELESAI (VIA PERMOHONAN)")</f>
        <v>SELESAI (VIA PERMOHONAN)</v>
      </c>
      <c r="J1219" s="17">
        <f>IFERROR(__xludf.DUMMYFUNCTION("""COMPUTED_VALUE"""),45708.66441128472)</f>
        <v>45708.66441</v>
      </c>
      <c r="K1219" s="13" t="str">
        <f>IFERROR(__xludf.DUMMYFUNCTION("""COMPUTED_VALUE"""),"Selesai")</f>
        <v>Selesai</v>
      </c>
      <c r="L1219" s="17">
        <f>IFERROR(__xludf.DUMMYFUNCTION("""COMPUTED_VALUE"""),45708.66441128472)</f>
        <v>45708.66441</v>
      </c>
      <c r="M1219" s="13"/>
      <c r="N1219" s="13" t="str">
        <f>IFERROR(__xludf.DUMMYFUNCTION("""COMPUTED_VALUE"""),"")</f>
        <v/>
      </c>
      <c r="O1219" s="13" t="str">
        <f t="shared" si="1"/>
        <v/>
      </c>
    </row>
    <row r="1220" ht="22.5" customHeight="1">
      <c r="B1220" s="13">
        <f>IFERROR(__xludf.DUMMYFUNCTION("""COMPUTED_VALUE"""),1215.0)</f>
        <v>1215</v>
      </c>
      <c r="C1220" s="13" t="str">
        <f>IFERROR(__xludf.DUMMYFUNCTION("""COMPUTED_VALUE"""),"M.1089/LABUHAN DALAM DAN M.1369/ LABUHAN DALAM")</f>
        <v>M.1089/LABUHAN DALAM DAN M.1369/ LABUHAN DALAM</v>
      </c>
      <c r="D1220" s="13" t="str">
        <f>IFERROR(__xludf.DUMMYFUNCTION("""COMPUTED_VALUE"""),"L/1/150225/1")</f>
        <v>L/1/150225/1</v>
      </c>
      <c r="E1220" s="14" t="str">
        <f>IFERROR(__xludf.DUMMYFUNCTION("""COMPUTED_VALUE"""),"Nadian (BT)")</f>
        <v>Nadian (BT)</v>
      </c>
      <c r="F1220" s="14" t="str">
        <f>IFERROR(__xludf.DUMMYFUNCTION("""COMPUTED_VALUE"""),"SELESAI (VIA PERMOHONAN)")</f>
        <v>SELESAI (VIA PERMOHONAN)</v>
      </c>
      <c r="G1220" s="17">
        <f>IFERROR(__xludf.DUMMYFUNCTION("""COMPUTED_VALUE"""),45709.72981454861)</f>
        <v>45709.72981</v>
      </c>
      <c r="H1220" s="14" t="str">
        <f>IFERROR(__xludf.DUMMYFUNCTION("""COMPUTED_VALUE"""),"Bu Eva (SU)")</f>
        <v>Bu Eva (SU)</v>
      </c>
      <c r="I1220" s="13" t="str">
        <f>IFERROR(__xludf.DUMMYFUNCTION("""COMPUTED_VALUE"""),"SELESAI (VIA PERMOHONAN)")</f>
        <v>SELESAI (VIA PERMOHONAN)</v>
      </c>
      <c r="J1220" s="17">
        <f>IFERROR(__xludf.DUMMYFUNCTION("""COMPUTED_VALUE"""),45712.628569803244)</f>
        <v>45712.62857</v>
      </c>
      <c r="K1220" s="13" t="str">
        <f>IFERROR(__xludf.DUMMYFUNCTION("""COMPUTED_VALUE"""),"Selesai")</f>
        <v>Selesai</v>
      </c>
      <c r="L1220" s="17">
        <f>IFERROR(__xludf.DUMMYFUNCTION("""COMPUTED_VALUE"""),45712.628569803244)</f>
        <v>45712.62857</v>
      </c>
      <c r="M1220" s="13"/>
      <c r="N1220" s="13" t="str">
        <f>IFERROR(__xludf.DUMMYFUNCTION("""COMPUTED_VALUE"""),"")</f>
        <v/>
      </c>
      <c r="O1220" s="13" t="str">
        <f t="shared" si="1"/>
        <v/>
      </c>
    </row>
    <row r="1221" ht="22.5" customHeight="1">
      <c r="B1221" s="13">
        <f>IFERROR(__xludf.DUMMYFUNCTION("""COMPUTED_VALUE"""),1216.0)</f>
        <v>1216</v>
      </c>
      <c r="C1221" s="13" t="str">
        <f>IFERROR(__xludf.DUMMYFUNCTION("""COMPUTED_VALUE"""),"M.1367/KALIAWI")</f>
        <v>M.1367/KALIAWI</v>
      </c>
      <c r="D1221" s="13" t="str">
        <f>IFERROR(__xludf.DUMMYFUNCTION("""COMPUTED_VALUE"""),"K/35/120225/1")</f>
        <v>K/35/120225/1</v>
      </c>
      <c r="E1221" s="14" t="str">
        <f>IFERROR(__xludf.DUMMYFUNCTION("""COMPUTED_VALUE"""),"Nadian (BT)")</f>
        <v>Nadian (BT)</v>
      </c>
      <c r="F1221" s="14" t="str">
        <f>IFERROR(__xludf.DUMMYFUNCTION("""COMPUTED_VALUE"""),"SELESAI (VIA PERMOHONAN)")</f>
        <v>SELESAI (VIA PERMOHONAN)</v>
      </c>
      <c r="G1221" s="17">
        <f>IFERROR(__xludf.DUMMYFUNCTION("""COMPUTED_VALUE"""),45709.72983222222)</f>
        <v>45709.72983</v>
      </c>
      <c r="H1221" s="14" t="str">
        <f>IFERROR(__xludf.DUMMYFUNCTION("""COMPUTED_VALUE"""),"Bu Eva (SU)")</f>
        <v>Bu Eva (SU)</v>
      </c>
      <c r="I1221" s="13" t="str">
        <f>IFERROR(__xludf.DUMMYFUNCTION("""COMPUTED_VALUE"""),"SELESAI (VIA PERMOHONAN)")</f>
        <v>SELESAI (VIA PERMOHONAN)</v>
      </c>
      <c r="J1221" s="17">
        <f>IFERROR(__xludf.DUMMYFUNCTION("""COMPUTED_VALUE"""),45712.628569803244)</f>
        <v>45712.62857</v>
      </c>
      <c r="K1221" s="13" t="str">
        <f>IFERROR(__xludf.DUMMYFUNCTION("""COMPUTED_VALUE"""),"Selesai")</f>
        <v>Selesai</v>
      </c>
      <c r="L1221" s="17">
        <f>IFERROR(__xludf.DUMMYFUNCTION("""COMPUTED_VALUE"""),45712.628569803244)</f>
        <v>45712.62857</v>
      </c>
      <c r="M1221" s="13"/>
      <c r="N1221" s="13" t="str">
        <f>IFERROR(__xludf.DUMMYFUNCTION("""COMPUTED_VALUE"""),"")</f>
        <v/>
      </c>
      <c r="O1221" s="13" t="str">
        <f t="shared" si="1"/>
        <v/>
      </c>
    </row>
    <row r="1222" ht="22.5" customHeight="1">
      <c r="B1222" s="13">
        <f>IFERROR(__xludf.DUMMYFUNCTION("""COMPUTED_VALUE"""),1217.0)</f>
        <v>1217</v>
      </c>
      <c r="C1222" s="13" t="str">
        <f>IFERROR(__xludf.DUMMYFUNCTION("""COMPUTED_VALUE"""),"M.126/TANJUNG KARANG")</f>
        <v>M.126/TANJUNG KARANG</v>
      </c>
      <c r="D1222" s="13" t="str">
        <f>IFERROR(__xludf.DUMMYFUNCTION("""COMPUTED_VALUE"""),"K/17/170225/1")</f>
        <v>K/17/170225/1</v>
      </c>
      <c r="E1222" s="14" t="str">
        <f>IFERROR(__xludf.DUMMYFUNCTION("""COMPUTED_VALUE"""),"Nadian (BT)")</f>
        <v>Nadian (BT)</v>
      </c>
      <c r="F1222" s="14" t="str">
        <f>IFERROR(__xludf.DUMMYFUNCTION("""COMPUTED_VALUE"""),"SELESAI (VIA PERMOHONAN)")</f>
        <v>SELESAI (VIA PERMOHONAN)</v>
      </c>
      <c r="G1222" s="17">
        <f>IFERROR(__xludf.DUMMYFUNCTION("""COMPUTED_VALUE"""),45709.72983222222)</f>
        <v>45709.72983</v>
      </c>
      <c r="H1222" s="14" t="str">
        <f>IFERROR(__xludf.DUMMYFUNCTION("""COMPUTED_VALUE"""),"Bu Eva (SU)")</f>
        <v>Bu Eva (SU)</v>
      </c>
      <c r="I1222" s="13" t="str">
        <f>IFERROR(__xludf.DUMMYFUNCTION("""COMPUTED_VALUE"""),"SELESAI (VIA PERMOHONAN)")</f>
        <v>SELESAI (VIA PERMOHONAN)</v>
      </c>
      <c r="J1222" s="17">
        <f>IFERROR(__xludf.DUMMYFUNCTION("""COMPUTED_VALUE"""),45712.628569803244)</f>
        <v>45712.62857</v>
      </c>
      <c r="K1222" s="13" t="str">
        <f>IFERROR(__xludf.DUMMYFUNCTION("""COMPUTED_VALUE"""),"Selesai")</f>
        <v>Selesai</v>
      </c>
      <c r="L1222" s="17">
        <f>IFERROR(__xludf.DUMMYFUNCTION("""COMPUTED_VALUE"""),45712.628569803244)</f>
        <v>45712.62857</v>
      </c>
      <c r="M1222" s="13"/>
      <c r="N1222" s="13" t="str">
        <f>IFERROR(__xludf.DUMMYFUNCTION("""COMPUTED_VALUE"""),"")</f>
        <v/>
      </c>
      <c r="O1222" s="13" t="str">
        <f t="shared" si="1"/>
        <v/>
      </c>
    </row>
    <row r="1223" ht="22.5" customHeight="1">
      <c r="B1223" s="13">
        <f>IFERROR(__xludf.DUMMYFUNCTION("""COMPUTED_VALUE"""),1218.0)</f>
        <v>1218</v>
      </c>
      <c r="C1223" s="13" t="str">
        <f>IFERROR(__xludf.DUMMYFUNCTION("""COMPUTED_VALUE"""),"B. 311/ Labuhan Ratu Raya")</f>
        <v>B. 311/ Labuhan Ratu Raya</v>
      </c>
      <c r="D1223" s="13" t="str">
        <f>IFERROR(__xludf.DUMMYFUNCTION("""COMPUTED_VALUE"""),"K/28/140225/3")</f>
        <v>K/28/140225/3</v>
      </c>
      <c r="E1223" s="14" t="str">
        <f>IFERROR(__xludf.DUMMYFUNCTION("""COMPUTED_VALUE"""),"Nadian (BT)")</f>
        <v>Nadian (BT)</v>
      </c>
      <c r="F1223" s="14" t="str">
        <f>IFERROR(__xludf.DUMMYFUNCTION("""COMPUTED_VALUE"""),"SELESAI (VIA PERMOHONAN)")</f>
        <v>SELESAI (VIA PERMOHONAN)</v>
      </c>
      <c r="G1223" s="17">
        <f>IFERROR(__xludf.DUMMYFUNCTION("""COMPUTED_VALUE"""),45709.72983222222)</f>
        <v>45709.72983</v>
      </c>
      <c r="H1223" s="14" t="str">
        <f>IFERROR(__xludf.DUMMYFUNCTION("""COMPUTED_VALUE"""),"Bu Eva (SU)")</f>
        <v>Bu Eva (SU)</v>
      </c>
      <c r="I1223" s="13" t="str">
        <f>IFERROR(__xludf.DUMMYFUNCTION("""COMPUTED_VALUE"""),"SELESAI (VIA PERMOHONAN)")</f>
        <v>SELESAI (VIA PERMOHONAN)</v>
      </c>
      <c r="J1223" s="17">
        <f>IFERROR(__xludf.DUMMYFUNCTION("""COMPUTED_VALUE"""),45712.628569803244)</f>
        <v>45712.62857</v>
      </c>
      <c r="K1223" s="13" t="str">
        <f>IFERROR(__xludf.DUMMYFUNCTION("""COMPUTED_VALUE"""),"Selesai")</f>
        <v>Selesai</v>
      </c>
      <c r="L1223" s="17">
        <f>IFERROR(__xludf.DUMMYFUNCTION("""COMPUTED_VALUE"""),45712.628569803244)</f>
        <v>45712.62857</v>
      </c>
      <c r="M1223" s="13"/>
      <c r="N1223" s="13" t="str">
        <f>IFERROR(__xludf.DUMMYFUNCTION("""COMPUTED_VALUE"""),"")</f>
        <v/>
      </c>
      <c r="O1223" s="13" t="str">
        <f t="shared" si="1"/>
        <v/>
      </c>
    </row>
    <row r="1224" ht="22.5" customHeight="1">
      <c r="B1224" s="13">
        <f>IFERROR(__xludf.DUMMYFUNCTION("""COMPUTED_VALUE"""),1219.0)</f>
        <v>1219</v>
      </c>
      <c r="C1224" s="13" t="str">
        <f>IFERROR(__xludf.DUMMYFUNCTION("""COMPUTED_VALUE"""),"M. 18248/ Sukarame")</f>
        <v>M. 18248/ Sukarame</v>
      </c>
      <c r="D1224" s="13" t="str">
        <f>IFERROR(__xludf.DUMMYFUNCTION("""COMPUTED_VALUE"""),"K/20/170225/2")</f>
        <v>K/20/170225/2</v>
      </c>
      <c r="E1224" s="14" t="str">
        <f>IFERROR(__xludf.DUMMYFUNCTION("""COMPUTED_VALUE"""),"Nadian (BT)")</f>
        <v>Nadian (BT)</v>
      </c>
      <c r="F1224" s="14" t="str">
        <f>IFERROR(__xludf.DUMMYFUNCTION("""COMPUTED_VALUE"""),"SELESAI (VIA PERMOHONAN)")</f>
        <v>SELESAI (VIA PERMOHONAN)</v>
      </c>
      <c r="G1224" s="17">
        <f>IFERROR(__xludf.DUMMYFUNCTION("""COMPUTED_VALUE"""),45709.72983222222)</f>
        <v>45709.72983</v>
      </c>
      <c r="H1224" s="14" t="str">
        <f>IFERROR(__xludf.DUMMYFUNCTION("""COMPUTED_VALUE"""),"Bu Eva (SU)")</f>
        <v>Bu Eva (SU)</v>
      </c>
      <c r="I1224" s="13" t="str">
        <f>IFERROR(__xludf.DUMMYFUNCTION("""COMPUTED_VALUE"""),"SELESAI (VIA PERMOHONAN)")</f>
        <v>SELESAI (VIA PERMOHONAN)</v>
      </c>
      <c r="J1224" s="17">
        <f>IFERROR(__xludf.DUMMYFUNCTION("""COMPUTED_VALUE"""),45712.628569803244)</f>
        <v>45712.62857</v>
      </c>
      <c r="K1224" s="13" t="str">
        <f>IFERROR(__xludf.DUMMYFUNCTION("""COMPUTED_VALUE"""),"Selesai")</f>
        <v>Selesai</v>
      </c>
      <c r="L1224" s="17">
        <f>IFERROR(__xludf.DUMMYFUNCTION("""COMPUTED_VALUE"""),45712.628569803244)</f>
        <v>45712.62857</v>
      </c>
      <c r="M1224" s="13"/>
      <c r="N1224" s="13" t="str">
        <f>IFERROR(__xludf.DUMMYFUNCTION("""COMPUTED_VALUE"""),"")</f>
        <v/>
      </c>
      <c r="O1224" s="13" t="str">
        <f t="shared" si="1"/>
        <v/>
      </c>
    </row>
    <row r="1225" ht="22.5" customHeight="1">
      <c r="B1225" s="13">
        <f>IFERROR(__xludf.DUMMYFUNCTION("""COMPUTED_VALUE"""),1220.0)</f>
        <v>1220</v>
      </c>
      <c r="C1225" s="13" t="str">
        <f>IFERROR(__xludf.DUMMYFUNCTION("""COMPUTED_VALUE"""),"M.1751/CAMPANG RAYA")</f>
        <v>M.1751/CAMPANG RAYA</v>
      </c>
      <c r="D1225" s="13" t="str">
        <f>IFERROR(__xludf.DUMMYFUNCTION("""COMPUTED_VALUE"""),"L/7/120225/1")</f>
        <v>L/7/120225/1</v>
      </c>
      <c r="E1225" s="14" t="str">
        <f>IFERROR(__xludf.DUMMYFUNCTION("""COMPUTED_VALUE"""),"Nadian (BT)")</f>
        <v>Nadian (BT)</v>
      </c>
      <c r="F1225" s="14" t="str">
        <f>IFERROR(__xludf.DUMMYFUNCTION("""COMPUTED_VALUE"""),"SELESAI (VIA PERMOHONAN)")</f>
        <v>SELESAI (VIA PERMOHONAN)</v>
      </c>
      <c r="G1225" s="17">
        <f>IFERROR(__xludf.DUMMYFUNCTION("""COMPUTED_VALUE"""),45709.729851724536)</f>
        <v>45709.72985</v>
      </c>
      <c r="H1225" s="14" t="str">
        <f>IFERROR(__xludf.DUMMYFUNCTION("""COMPUTED_VALUE"""),"Bu Eva (SU)")</f>
        <v>Bu Eva (SU)</v>
      </c>
      <c r="I1225" s="13" t="str">
        <f>IFERROR(__xludf.DUMMYFUNCTION("""COMPUTED_VALUE"""),"SELESAI (VIA PERMOHONAN)")</f>
        <v>SELESAI (VIA PERMOHONAN)</v>
      </c>
      <c r="J1225" s="17">
        <f>IFERROR(__xludf.DUMMYFUNCTION("""COMPUTED_VALUE"""),45712.62856981481)</f>
        <v>45712.62857</v>
      </c>
      <c r="K1225" s="13" t="str">
        <f>IFERROR(__xludf.DUMMYFUNCTION("""COMPUTED_VALUE"""),"Selesai")</f>
        <v>Selesai</v>
      </c>
      <c r="L1225" s="17">
        <f>IFERROR(__xludf.DUMMYFUNCTION("""COMPUTED_VALUE"""),45712.62856981481)</f>
        <v>45712.62857</v>
      </c>
      <c r="M1225" s="13"/>
      <c r="N1225" s="13" t="str">
        <f>IFERROR(__xludf.DUMMYFUNCTION("""COMPUTED_VALUE"""),"")</f>
        <v/>
      </c>
      <c r="O1225" s="13" t="str">
        <f t="shared" si="1"/>
        <v/>
      </c>
    </row>
    <row r="1226" ht="22.5" customHeight="1">
      <c r="B1226" s="13">
        <f>IFERROR(__xludf.DUMMYFUNCTION("""COMPUTED_VALUE"""),1221.0)</f>
        <v>1221</v>
      </c>
      <c r="C1226" s="13" t="str">
        <f>IFERROR(__xludf.DUMMYFUNCTION("""COMPUTED_VALUE"""),"M.3242/GEDONG AIR")</f>
        <v>M.3242/GEDONG AIR</v>
      </c>
      <c r="D1226" s="13" t="str">
        <f>IFERROR(__xludf.DUMMYFUNCTION("""COMPUTED_VALUE"""),"K/25/180225/1")</f>
        <v>K/25/180225/1</v>
      </c>
      <c r="E1226" s="14" t="str">
        <f>IFERROR(__xludf.DUMMYFUNCTION("""COMPUTED_VALUE"""),"Nadian (BT)")</f>
        <v>Nadian (BT)</v>
      </c>
      <c r="F1226" s="14" t="str">
        <f>IFERROR(__xludf.DUMMYFUNCTION("""COMPUTED_VALUE"""),"SELESAI (VIA PERMOHONAN)")</f>
        <v>SELESAI (VIA PERMOHONAN)</v>
      </c>
      <c r="G1226" s="17">
        <f>IFERROR(__xludf.DUMMYFUNCTION("""COMPUTED_VALUE"""),45709.729851724536)</f>
        <v>45709.72985</v>
      </c>
      <c r="H1226" s="14" t="str">
        <f>IFERROR(__xludf.DUMMYFUNCTION("""COMPUTED_VALUE"""),"Bu Eva (SU)")</f>
        <v>Bu Eva (SU)</v>
      </c>
      <c r="I1226" s="13" t="str">
        <f>IFERROR(__xludf.DUMMYFUNCTION("""COMPUTED_VALUE"""),"SELESAI (VIA PERMOHONAN)")</f>
        <v>SELESAI (VIA PERMOHONAN)</v>
      </c>
      <c r="J1226" s="17">
        <f>IFERROR(__xludf.DUMMYFUNCTION("""COMPUTED_VALUE"""),45712.62856981481)</f>
        <v>45712.62857</v>
      </c>
      <c r="K1226" s="13" t="str">
        <f>IFERROR(__xludf.DUMMYFUNCTION("""COMPUTED_VALUE"""),"Selesai")</f>
        <v>Selesai</v>
      </c>
      <c r="L1226" s="17">
        <f>IFERROR(__xludf.DUMMYFUNCTION("""COMPUTED_VALUE"""),45712.62856981481)</f>
        <v>45712.62857</v>
      </c>
      <c r="M1226" s="13"/>
      <c r="N1226" s="13" t="str">
        <f>IFERROR(__xludf.DUMMYFUNCTION("""COMPUTED_VALUE"""),"")</f>
        <v/>
      </c>
      <c r="O1226" s="13" t="str">
        <f t="shared" si="1"/>
        <v/>
      </c>
    </row>
    <row r="1227" ht="22.5" customHeight="1">
      <c r="B1227" s="13">
        <f>IFERROR(__xludf.DUMMYFUNCTION("""COMPUTED_VALUE"""),1222.0)</f>
        <v>1222</v>
      </c>
      <c r="C1227" s="13" t="str">
        <f>IFERROR(__xludf.DUMMYFUNCTION("""COMPUTED_VALUE"""),"M.5100/RAJABASA JAYA")</f>
        <v>M.5100/RAJABASA JAYA</v>
      </c>
      <c r="D1227" s="13" t="str">
        <f>IFERROR(__xludf.DUMMYFUNCTION("""COMPUTED_VALUE"""),"K/33/190225/2")</f>
        <v>K/33/190225/2</v>
      </c>
      <c r="E1227" s="14" t="str">
        <f>IFERROR(__xludf.DUMMYFUNCTION("""COMPUTED_VALUE"""),"Nadian (BT)")</f>
        <v>Nadian (BT)</v>
      </c>
      <c r="F1227" s="14" t="str">
        <f>IFERROR(__xludf.DUMMYFUNCTION("""COMPUTED_VALUE"""),"SELESAI (VIA PERMOHONAN)")</f>
        <v>SELESAI (VIA PERMOHONAN)</v>
      </c>
      <c r="G1227" s="17">
        <f>IFERROR(__xludf.DUMMYFUNCTION("""COMPUTED_VALUE"""),45709.729851724536)</f>
        <v>45709.72985</v>
      </c>
      <c r="H1227" s="14" t="str">
        <f>IFERROR(__xludf.DUMMYFUNCTION("""COMPUTED_VALUE"""),"Bu Eva (SU)")</f>
        <v>Bu Eva (SU)</v>
      </c>
      <c r="I1227" s="13" t="str">
        <f>IFERROR(__xludf.DUMMYFUNCTION("""COMPUTED_VALUE"""),"SELESAI (VIA PERMOHONAN)")</f>
        <v>SELESAI (VIA PERMOHONAN)</v>
      </c>
      <c r="J1227" s="17">
        <f>IFERROR(__xludf.DUMMYFUNCTION("""COMPUTED_VALUE"""),45712.62856981481)</f>
        <v>45712.62857</v>
      </c>
      <c r="K1227" s="13" t="str">
        <f>IFERROR(__xludf.DUMMYFUNCTION("""COMPUTED_VALUE"""),"Selesai")</f>
        <v>Selesai</v>
      </c>
      <c r="L1227" s="17">
        <f>IFERROR(__xludf.DUMMYFUNCTION("""COMPUTED_VALUE"""),45712.62856981481)</f>
        <v>45712.62857</v>
      </c>
      <c r="M1227" s="13"/>
      <c r="N1227" s="13" t="str">
        <f>IFERROR(__xludf.DUMMYFUNCTION("""COMPUTED_VALUE"""),"")</f>
        <v/>
      </c>
      <c r="O1227" s="13" t="str">
        <f t="shared" si="1"/>
        <v/>
      </c>
    </row>
    <row r="1228" ht="22.5" customHeight="1">
      <c r="B1228" s="13">
        <f>IFERROR(__xludf.DUMMYFUNCTION("""COMPUTED_VALUE"""),1223.0)</f>
        <v>1223</v>
      </c>
      <c r="C1228" s="13" t="str">
        <f>IFERROR(__xludf.DUMMYFUNCTION("""COMPUTED_VALUE"""),"B. 578/ Nusantara Permai")</f>
        <v>B. 578/ Nusantara Permai</v>
      </c>
      <c r="D1228" s="13" t="str">
        <f>IFERROR(__xludf.DUMMYFUNCTION("""COMPUTED_VALUE"""),"K/4/070225/1")</f>
        <v>K/4/070225/1</v>
      </c>
      <c r="E1228" s="14" t="str">
        <f>IFERROR(__xludf.DUMMYFUNCTION("""COMPUTED_VALUE"""),"Nadian (BT)")</f>
        <v>Nadian (BT)</v>
      </c>
      <c r="F1228" s="14" t="str">
        <f>IFERROR(__xludf.DUMMYFUNCTION("""COMPUTED_VALUE"""),"SELESAI (VIA PERMOHONAN)")</f>
        <v>SELESAI (VIA PERMOHONAN)</v>
      </c>
      <c r="G1228" s="17">
        <f>IFERROR(__xludf.DUMMYFUNCTION("""COMPUTED_VALUE"""),45709.729851724536)</f>
        <v>45709.72985</v>
      </c>
      <c r="H1228" s="14" t="str">
        <f>IFERROR(__xludf.DUMMYFUNCTION("""COMPUTED_VALUE"""),"Bu Eva (SU)")</f>
        <v>Bu Eva (SU)</v>
      </c>
      <c r="I1228" s="13" t="str">
        <f>IFERROR(__xludf.DUMMYFUNCTION("""COMPUTED_VALUE"""),"SELESAI (VIA PERMOHONAN)")</f>
        <v>SELESAI (VIA PERMOHONAN)</v>
      </c>
      <c r="J1228" s="17">
        <f>IFERROR(__xludf.DUMMYFUNCTION("""COMPUTED_VALUE"""),45712.62856981481)</f>
        <v>45712.62857</v>
      </c>
      <c r="K1228" s="13" t="str">
        <f>IFERROR(__xludf.DUMMYFUNCTION("""COMPUTED_VALUE"""),"Selesai")</f>
        <v>Selesai</v>
      </c>
      <c r="L1228" s="17">
        <f>IFERROR(__xludf.DUMMYFUNCTION("""COMPUTED_VALUE"""),45712.62856981481)</f>
        <v>45712.62857</v>
      </c>
      <c r="M1228" s="13"/>
      <c r="N1228" s="13" t="str">
        <f>IFERROR(__xludf.DUMMYFUNCTION("""COMPUTED_VALUE"""),"")</f>
        <v/>
      </c>
      <c r="O1228" s="13" t="str">
        <f t="shared" si="1"/>
        <v/>
      </c>
    </row>
    <row r="1229" ht="22.5" customHeight="1">
      <c r="B1229" s="13">
        <f>IFERROR(__xludf.DUMMYFUNCTION("""COMPUTED_VALUE"""),1224.0)</f>
        <v>1224</v>
      </c>
      <c r="C1229" s="13" t="str">
        <f>IFERROR(__xludf.DUMMYFUNCTION("""COMPUTED_VALUE"""),"M. 5288/ Langkapura")</f>
        <v>M. 5288/ Langkapura</v>
      </c>
      <c r="D1229" s="13" t="str">
        <f>IFERROR(__xludf.DUMMYFUNCTION("""COMPUTED_VALUE"""),"K/12/140225/1")</f>
        <v>K/12/140225/1</v>
      </c>
      <c r="E1229" s="14" t="str">
        <f>IFERROR(__xludf.DUMMYFUNCTION("""COMPUTED_VALUE"""),"Nadian (BT)")</f>
        <v>Nadian (BT)</v>
      </c>
      <c r="F1229" s="14" t="str">
        <f>IFERROR(__xludf.DUMMYFUNCTION("""COMPUTED_VALUE"""),"SELESAI (VIA PERMOHONAN)")</f>
        <v>SELESAI (VIA PERMOHONAN)</v>
      </c>
      <c r="G1229" s="17">
        <f>IFERROR(__xludf.DUMMYFUNCTION("""COMPUTED_VALUE"""),45709.729851724536)</f>
        <v>45709.72985</v>
      </c>
      <c r="H1229" s="14" t="str">
        <f>IFERROR(__xludf.DUMMYFUNCTION("""COMPUTED_VALUE"""),"Bu Eva (SU)")</f>
        <v>Bu Eva (SU)</v>
      </c>
      <c r="I1229" s="13" t="str">
        <f>IFERROR(__xludf.DUMMYFUNCTION("""COMPUTED_VALUE"""),"SELESAI (VIA PERMOHONAN)")</f>
        <v>SELESAI (VIA PERMOHONAN)</v>
      </c>
      <c r="J1229" s="17">
        <f>IFERROR(__xludf.DUMMYFUNCTION("""COMPUTED_VALUE"""),45712.62856981481)</f>
        <v>45712.62857</v>
      </c>
      <c r="K1229" s="13" t="str">
        <f>IFERROR(__xludf.DUMMYFUNCTION("""COMPUTED_VALUE"""),"Selesai")</f>
        <v>Selesai</v>
      </c>
      <c r="L1229" s="17">
        <f>IFERROR(__xludf.DUMMYFUNCTION("""COMPUTED_VALUE"""),45712.62856981481)</f>
        <v>45712.62857</v>
      </c>
      <c r="M1229" s="13"/>
      <c r="N1229" s="13" t="str">
        <f>IFERROR(__xludf.DUMMYFUNCTION("""COMPUTED_VALUE"""),"")</f>
        <v/>
      </c>
      <c r="O1229" s="13" t="str">
        <f t="shared" si="1"/>
        <v/>
      </c>
    </row>
    <row r="1230" ht="22.5" customHeight="1">
      <c r="B1230" s="13">
        <f>IFERROR(__xludf.DUMMYFUNCTION("""COMPUTED_VALUE"""),1225.0)</f>
        <v>1225</v>
      </c>
      <c r="C1230" s="13" t="str">
        <f>IFERROR(__xludf.DUMMYFUNCTION("""COMPUTED_VALUE"""),"M. 2566/ Beringin Raya")</f>
        <v>M. 2566/ Beringin Raya</v>
      </c>
      <c r="D1230" s="13" t="str">
        <f>IFERROR(__xludf.DUMMYFUNCTION("""COMPUTED_VALUE"""),"K/19/140225/1")</f>
        <v>K/19/140225/1</v>
      </c>
      <c r="E1230" s="14" t="str">
        <f>IFERROR(__xludf.DUMMYFUNCTION("""COMPUTED_VALUE"""),"Nadian (BT)")</f>
        <v>Nadian (BT)</v>
      </c>
      <c r="F1230" s="14" t="str">
        <f>IFERROR(__xludf.DUMMYFUNCTION("""COMPUTED_VALUE"""),"SELESAI (VIA PERMOHONAN)")</f>
        <v>SELESAI (VIA PERMOHONAN)</v>
      </c>
      <c r="G1230" s="17">
        <f>IFERROR(__xludf.DUMMYFUNCTION("""COMPUTED_VALUE"""),45709.72988230324)</f>
        <v>45709.72988</v>
      </c>
      <c r="H1230" s="14" t="str">
        <f>IFERROR(__xludf.DUMMYFUNCTION("""COMPUTED_VALUE"""),"Bu Eva (SU)")</f>
        <v>Bu Eva (SU)</v>
      </c>
      <c r="I1230" s="13" t="str">
        <f>IFERROR(__xludf.DUMMYFUNCTION("""COMPUTED_VALUE"""),"SELESAI (VIA PERMOHONAN)")</f>
        <v>SELESAI (VIA PERMOHONAN)</v>
      </c>
      <c r="J1230" s="17">
        <f>IFERROR(__xludf.DUMMYFUNCTION("""COMPUTED_VALUE"""),45712.628593263886)</f>
        <v>45712.62859</v>
      </c>
      <c r="K1230" s="13" t="str">
        <f>IFERROR(__xludf.DUMMYFUNCTION("""COMPUTED_VALUE"""),"Selesai")</f>
        <v>Selesai</v>
      </c>
      <c r="L1230" s="17">
        <f>IFERROR(__xludf.DUMMYFUNCTION("""COMPUTED_VALUE"""),45712.628593263886)</f>
        <v>45712.62859</v>
      </c>
      <c r="M1230" s="13"/>
      <c r="N1230" s="13" t="str">
        <f>IFERROR(__xludf.DUMMYFUNCTION("""COMPUTED_VALUE"""),"")</f>
        <v/>
      </c>
      <c r="O1230" s="13" t="str">
        <f t="shared" si="1"/>
        <v/>
      </c>
    </row>
    <row r="1231" ht="22.5" customHeight="1">
      <c r="B1231" s="13">
        <f>IFERROR(__xludf.DUMMYFUNCTION("""COMPUTED_VALUE"""),1226.0)</f>
        <v>1226</v>
      </c>
      <c r="C1231" s="13" t="str">
        <f>IFERROR(__xludf.DUMMYFUNCTION("""COMPUTED_VALUE"""),"M. 9633/ Labuhan Ratu")</f>
        <v>M. 9633/ Labuhan Ratu</v>
      </c>
      <c r="D1231" s="13" t="str">
        <f>IFERROR(__xludf.DUMMYFUNCTION("""COMPUTED_VALUE"""),"K/25/120225/2")</f>
        <v>K/25/120225/2</v>
      </c>
      <c r="E1231" s="14" t="str">
        <f>IFERROR(__xludf.DUMMYFUNCTION("""COMPUTED_VALUE"""),"Nadian (BT)")</f>
        <v>Nadian (BT)</v>
      </c>
      <c r="F1231" s="14" t="str">
        <f>IFERROR(__xludf.DUMMYFUNCTION("""COMPUTED_VALUE"""),"SELESAI (VIA PERMOHONAN)")</f>
        <v>SELESAI (VIA PERMOHONAN)</v>
      </c>
      <c r="G1231" s="17">
        <f>IFERROR(__xludf.DUMMYFUNCTION("""COMPUTED_VALUE"""),45709.72988230324)</f>
        <v>45709.72988</v>
      </c>
      <c r="H1231" s="14" t="str">
        <f>IFERROR(__xludf.DUMMYFUNCTION("""COMPUTED_VALUE"""),"Bu Eva (SU)")</f>
        <v>Bu Eva (SU)</v>
      </c>
      <c r="I1231" s="13" t="str">
        <f>IFERROR(__xludf.DUMMYFUNCTION("""COMPUTED_VALUE"""),"SELESAI (VIA PERMOHONAN)")</f>
        <v>SELESAI (VIA PERMOHONAN)</v>
      </c>
      <c r="J1231" s="17">
        <f>IFERROR(__xludf.DUMMYFUNCTION("""COMPUTED_VALUE"""),45712.62859327546)</f>
        <v>45712.62859</v>
      </c>
      <c r="K1231" s="13" t="str">
        <f>IFERROR(__xludf.DUMMYFUNCTION("""COMPUTED_VALUE"""),"Selesai")</f>
        <v>Selesai</v>
      </c>
      <c r="L1231" s="17">
        <f>IFERROR(__xludf.DUMMYFUNCTION("""COMPUTED_VALUE"""),45712.62859327546)</f>
        <v>45712.62859</v>
      </c>
      <c r="M1231" s="13"/>
      <c r="N1231" s="13" t="str">
        <f>IFERROR(__xludf.DUMMYFUNCTION("""COMPUTED_VALUE"""),"")</f>
        <v/>
      </c>
      <c r="O1231" s="13" t="str">
        <f t="shared" si="1"/>
        <v/>
      </c>
    </row>
    <row r="1232" ht="22.5" customHeight="1">
      <c r="B1232" s="13">
        <f>IFERROR(__xludf.DUMMYFUNCTION("""COMPUTED_VALUE"""),1227.0)</f>
        <v>1227</v>
      </c>
      <c r="C1232" s="13" t="str">
        <f>IFERROR(__xludf.DUMMYFUNCTION("""COMPUTED_VALUE"""),"M. 189/ Garuntang")</f>
        <v>M. 189/ Garuntang</v>
      </c>
      <c r="D1232" s="13" t="str">
        <f>IFERROR(__xludf.DUMMYFUNCTION("""COMPUTED_VALUE"""),"K/9/180225/1")</f>
        <v>K/9/180225/1</v>
      </c>
      <c r="E1232" s="14" t="str">
        <f>IFERROR(__xludf.DUMMYFUNCTION("""COMPUTED_VALUE"""),"Nadian (BT)")</f>
        <v>Nadian (BT)</v>
      </c>
      <c r="F1232" s="14" t="str">
        <f>IFERROR(__xludf.DUMMYFUNCTION("""COMPUTED_VALUE"""),"SELESAI (VIA PERMOHONAN)")</f>
        <v>SELESAI (VIA PERMOHONAN)</v>
      </c>
      <c r="G1232" s="17">
        <f>IFERROR(__xludf.DUMMYFUNCTION("""COMPUTED_VALUE"""),45709.72988230324)</f>
        <v>45709.72988</v>
      </c>
      <c r="H1232" s="14" t="str">
        <f>IFERROR(__xludf.DUMMYFUNCTION("""COMPUTED_VALUE"""),"Bu Eva (SU)")</f>
        <v>Bu Eva (SU)</v>
      </c>
      <c r="I1232" s="13" t="str">
        <f>IFERROR(__xludf.DUMMYFUNCTION("""COMPUTED_VALUE"""),"SELESAI (VIA PERMOHONAN)")</f>
        <v>SELESAI (VIA PERMOHONAN)</v>
      </c>
      <c r="J1232" s="17">
        <f>IFERROR(__xludf.DUMMYFUNCTION("""COMPUTED_VALUE"""),45712.62859327546)</f>
        <v>45712.62859</v>
      </c>
      <c r="K1232" s="13" t="str">
        <f>IFERROR(__xludf.DUMMYFUNCTION("""COMPUTED_VALUE"""),"Selesai")</f>
        <v>Selesai</v>
      </c>
      <c r="L1232" s="17">
        <f>IFERROR(__xludf.DUMMYFUNCTION("""COMPUTED_VALUE"""),45712.62859327546)</f>
        <v>45712.62859</v>
      </c>
      <c r="M1232" s="13"/>
      <c r="N1232" s="13" t="str">
        <f>IFERROR(__xludf.DUMMYFUNCTION("""COMPUTED_VALUE"""),"")</f>
        <v/>
      </c>
      <c r="O1232" s="13" t="str">
        <f t="shared" si="1"/>
        <v/>
      </c>
    </row>
    <row r="1233" ht="22.5" customHeight="1">
      <c r="B1233" s="13">
        <f>IFERROR(__xludf.DUMMYFUNCTION("""COMPUTED_VALUE"""),1228.0)</f>
        <v>1228</v>
      </c>
      <c r="C1233" s="13" t="str">
        <f>IFERROR(__xludf.DUMMYFUNCTION("""COMPUTED_VALUE"""),"B. 845/ Beringin Jaya")</f>
        <v>B. 845/ Beringin Jaya</v>
      </c>
      <c r="D1233" s="13" t="str">
        <f>IFERROR(__xludf.DUMMYFUNCTION("""COMPUTED_VALUE"""),"K/9/170225/1")</f>
        <v>K/9/170225/1</v>
      </c>
      <c r="E1233" s="14" t="str">
        <f>IFERROR(__xludf.DUMMYFUNCTION("""COMPUTED_VALUE"""),"Nadian (BT)")</f>
        <v>Nadian (BT)</v>
      </c>
      <c r="F1233" s="14" t="str">
        <f>IFERROR(__xludf.DUMMYFUNCTION("""COMPUTED_VALUE"""),"SELESAI (VIA PERMOHONAN)")</f>
        <v>SELESAI (VIA PERMOHONAN)</v>
      </c>
      <c r="G1233" s="17">
        <f>IFERROR(__xludf.DUMMYFUNCTION("""COMPUTED_VALUE"""),45709.72988230324)</f>
        <v>45709.72988</v>
      </c>
      <c r="H1233" s="14" t="str">
        <f>IFERROR(__xludf.DUMMYFUNCTION("""COMPUTED_VALUE"""),"Bu Eva (SU)")</f>
        <v>Bu Eva (SU)</v>
      </c>
      <c r="I1233" s="13" t="str">
        <f>IFERROR(__xludf.DUMMYFUNCTION("""COMPUTED_VALUE"""),"SELESAI (VIA PERMOHONAN)")</f>
        <v>SELESAI (VIA PERMOHONAN)</v>
      </c>
      <c r="J1233" s="17">
        <f>IFERROR(__xludf.DUMMYFUNCTION("""COMPUTED_VALUE"""),45712.62859327546)</f>
        <v>45712.62859</v>
      </c>
      <c r="K1233" s="13" t="str">
        <f>IFERROR(__xludf.DUMMYFUNCTION("""COMPUTED_VALUE"""),"Selesai")</f>
        <v>Selesai</v>
      </c>
      <c r="L1233" s="17">
        <f>IFERROR(__xludf.DUMMYFUNCTION("""COMPUTED_VALUE"""),45712.62859327546)</f>
        <v>45712.62859</v>
      </c>
      <c r="M1233" s="13"/>
      <c r="N1233" s="13" t="str">
        <f>IFERROR(__xludf.DUMMYFUNCTION("""COMPUTED_VALUE"""),"")</f>
        <v/>
      </c>
      <c r="O1233" s="13" t="str">
        <f t="shared" si="1"/>
        <v/>
      </c>
    </row>
    <row r="1234" ht="22.5" customHeight="1">
      <c r="B1234" s="13">
        <f>IFERROR(__xludf.DUMMYFUNCTION("""COMPUTED_VALUE"""),1229.0)</f>
        <v>1229</v>
      </c>
      <c r="C1234" s="13" t="str">
        <f>IFERROR(__xludf.DUMMYFUNCTION("""COMPUTED_VALUE"""),"M. 8135/ Sukabumi")</f>
        <v>M. 8135/ Sukabumi</v>
      </c>
      <c r="D1234" s="13" t="str">
        <f>IFERROR(__xludf.DUMMYFUNCTION("""COMPUTED_VALUE"""),"K/18/170225/1")</f>
        <v>K/18/170225/1</v>
      </c>
      <c r="E1234" s="14" t="str">
        <f>IFERROR(__xludf.DUMMYFUNCTION("""COMPUTED_VALUE"""),"Nadian (BT)")</f>
        <v>Nadian (BT)</v>
      </c>
      <c r="F1234" s="14" t="str">
        <f>IFERROR(__xludf.DUMMYFUNCTION("""COMPUTED_VALUE"""),"SELESAI (VIA PERMOHONAN)")</f>
        <v>SELESAI (VIA PERMOHONAN)</v>
      </c>
      <c r="G1234" s="17">
        <f>IFERROR(__xludf.DUMMYFUNCTION("""COMPUTED_VALUE"""),45709.72988230324)</f>
        <v>45709.72988</v>
      </c>
      <c r="H1234" s="14" t="str">
        <f>IFERROR(__xludf.DUMMYFUNCTION("""COMPUTED_VALUE"""),"Bu Eva (SU)")</f>
        <v>Bu Eva (SU)</v>
      </c>
      <c r="I1234" s="13" t="str">
        <f>IFERROR(__xludf.DUMMYFUNCTION("""COMPUTED_VALUE"""),"SELESAI (VIA PERMOHONAN)")</f>
        <v>SELESAI (VIA PERMOHONAN)</v>
      </c>
      <c r="J1234" s="17">
        <f>IFERROR(__xludf.DUMMYFUNCTION("""COMPUTED_VALUE"""),45712.62859327546)</f>
        <v>45712.62859</v>
      </c>
      <c r="K1234" s="13" t="str">
        <f>IFERROR(__xludf.DUMMYFUNCTION("""COMPUTED_VALUE"""),"Selesai")</f>
        <v>Selesai</v>
      </c>
      <c r="L1234" s="17">
        <f>IFERROR(__xludf.DUMMYFUNCTION("""COMPUTED_VALUE"""),45712.62859327546)</f>
        <v>45712.62859</v>
      </c>
      <c r="M1234" s="13"/>
      <c r="N1234" s="13" t="str">
        <f>IFERROR(__xludf.DUMMYFUNCTION("""COMPUTED_VALUE"""),"")</f>
        <v/>
      </c>
      <c r="O1234" s="13" t="str">
        <f t="shared" si="1"/>
        <v/>
      </c>
    </row>
    <row r="1235" ht="22.5" customHeight="1">
      <c r="B1235" s="13">
        <f>IFERROR(__xludf.DUMMYFUNCTION("""COMPUTED_VALUE"""),1230.0)</f>
        <v>1230</v>
      </c>
      <c r="C1235" s="13" t="str">
        <f>IFERROR(__xludf.DUMMYFUNCTION("""COMPUTED_VALUE"""),"M.265//BERINGIN RAYA")</f>
        <v>M.265//BERINGIN RAYA</v>
      </c>
      <c r="D1235" s="13" t="str">
        <f>IFERROR(__xludf.DUMMYFUNCTION("""COMPUTED_VALUE"""),"K/19/100225/1")</f>
        <v>K/19/100225/1</v>
      </c>
      <c r="E1235" s="14" t="str">
        <f>IFERROR(__xludf.DUMMYFUNCTION("""COMPUTED_VALUE"""),"Nadian (BT)")</f>
        <v>Nadian (BT)</v>
      </c>
      <c r="F1235" s="14" t="str">
        <f>IFERROR(__xludf.DUMMYFUNCTION("""COMPUTED_VALUE"""),"SELESAI (VIA PERMOHONAN)")</f>
        <v>SELESAI (VIA PERMOHONAN)</v>
      </c>
      <c r="G1235" s="17">
        <f>IFERROR(__xludf.DUMMYFUNCTION("""COMPUTED_VALUE"""),45709.72991260416)</f>
        <v>45709.72991</v>
      </c>
      <c r="H1235" s="14" t="str">
        <f>IFERROR(__xludf.DUMMYFUNCTION("""COMPUTED_VALUE"""),"Bu Eva (SU)")</f>
        <v>Bu Eva (SU)</v>
      </c>
      <c r="I1235" s="13" t="str">
        <f>IFERROR(__xludf.DUMMYFUNCTION("""COMPUTED_VALUE"""),"SELESAI (VIA PERMOHONAN)")</f>
        <v>SELESAI (VIA PERMOHONAN)</v>
      </c>
      <c r="J1235" s="17">
        <f>IFERROR(__xludf.DUMMYFUNCTION("""COMPUTED_VALUE"""),45712.62859327546)</f>
        <v>45712.62859</v>
      </c>
      <c r="K1235" s="13" t="str">
        <f>IFERROR(__xludf.DUMMYFUNCTION("""COMPUTED_VALUE"""),"Selesai")</f>
        <v>Selesai</v>
      </c>
      <c r="L1235" s="17">
        <f>IFERROR(__xludf.DUMMYFUNCTION("""COMPUTED_VALUE"""),45712.62859327546)</f>
        <v>45712.62859</v>
      </c>
      <c r="M1235" s="13"/>
      <c r="N1235" s="13" t="str">
        <f>IFERROR(__xludf.DUMMYFUNCTION("""COMPUTED_VALUE"""),"")</f>
        <v/>
      </c>
      <c r="O1235" s="13" t="str">
        <f t="shared" si="1"/>
        <v/>
      </c>
    </row>
    <row r="1236" ht="22.5" customHeight="1">
      <c r="B1236" s="13">
        <f>IFERROR(__xludf.DUMMYFUNCTION("""COMPUTED_VALUE"""),1231.0)</f>
        <v>1231</v>
      </c>
      <c r="C1236" s="13" t="str">
        <f>IFERROR(__xludf.DUMMYFUNCTION("""COMPUTED_VALUE"""),"M.823/TANJUNG AGUNG")</f>
        <v>M.823/TANJUNG AGUNG</v>
      </c>
      <c r="D1236" s="13" t="str">
        <f>IFERROR(__xludf.DUMMYFUNCTION("""COMPUTED_VALUE"""),"K/28/130225/1")</f>
        <v>K/28/130225/1</v>
      </c>
      <c r="E1236" s="14" t="str">
        <f>IFERROR(__xludf.DUMMYFUNCTION("""COMPUTED_VALUE"""),"Nadian (BT)")</f>
        <v>Nadian (BT)</v>
      </c>
      <c r="F1236" s="14" t="str">
        <f>IFERROR(__xludf.DUMMYFUNCTION("""COMPUTED_VALUE"""),"SELESAI (VIA PERMOHONAN)")</f>
        <v>SELESAI (VIA PERMOHONAN)</v>
      </c>
      <c r="G1236" s="17">
        <f>IFERROR(__xludf.DUMMYFUNCTION("""COMPUTED_VALUE"""),45709.72991260416)</f>
        <v>45709.72991</v>
      </c>
      <c r="H1236" s="14" t="str">
        <f>IFERROR(__xludf.DUMMYFUNCTION("""COMPUTED_VALUE"""),"Bu Eva (SU)")</f>
        <v>Bu Eva (SU)</v>
      </c>
      <c r="I1236" s="13" t="str">
        <f>IFERROR(__xludf.DUMMYFUNCTION("""COMPUTED_VALUE"""),"SELESAI (VIA PERMOHONAN)")</f>
        <v>SELESAI (VIA PERMOHONAN)</v>
      </c>
      <c r="J1236" s="17">
        <f>IFERROR(__xludf.DUMMYFUNCTION("""COMPUTED_VALUE"""),45712.62859327546)</f>
        <v>45712.62859</v>
      </c>
      <c r="K1236" s="13" t="str">
        <f>IFERROR(__xludf.DUMMYFUNCTION("""COMPUTED_VALUE"""),"Selesai")</f>
        <v>Selesai</v>
      </c>
      <c r="L1236" s="17">
        <f>IFERROR(__xludf.DUMMYFUNCTION("""COMPUTED_VALUE"""),45712.62859327546)</f>
        <v>45712.62859</v>
      </c>
      <c r="M1236" s="13"/>
      <c r="N1236" s="13" t="str">
        <f>IFERROR(__xludf.DUMMYFUNCTION("""COMPUTED_VALUE"""),"")</f>
        <v/>
      </c>
      <c r="O1236" s="13" t="str">
        <f t="shared" si="1"/>
        <v/>
      </c>
    </row>
    <row r="1237" ht="22.5" customHeight="1">
      <c r="B1237" s="13">
        <f>IFERROR(__xludf.DUMMYFUNCTION("""COMPUTED_VALUE"""),1232.0)</f>
        <v>1232</v>
      </c>
      <c r="C1237" s="13" t="str">
        <f>IFERROR(__xludf.DUMMYFUNCTION("""COMPUTED_VALUE"""),"M.15589/SUKABUMI DAN M.15642/SUKABUMI")</f>
        <v>M.15589/SUKABUMI DAN M.15642/SUKABUMI</v>
      </c>
      <c r="D1237" s="13" t="str">
        <f>IFERROR(__xludf.DUMMYFUNCTION("""COMPUTED_VALUE"""),"K/1/300125/1")</f>
        <v>K/1/300125/1</v>
      </c>
      <c r="E1237" s="14" t="str">
        <f>IFERROR(__xludf.DUMMYFUNCTION("""COMPUTED_VALUE"""),"Nadian (BT)")</f>
        <v>Nadian (BT)</v>
      </c>
      <c r="F1237" s="14" t="str">
        <f>IFERROR(__xludf.DUMMYFUNCTION("""COMPUTED_VALUE"""),"SELESAI (VIA PERMOHONAN)")</f>
        <v>SELESAI (VIA PERMOHONAN)</v>
      </c>
      <c r="G1237" s="17">
        <f>IFERROR(__xludf.DUMMYFUNCTION("""COMPUTED_VALUE"""),45709.72991260416)</f>
        <v>45709.72991</v>
      </c>
      <c r="H1237" s="14" t="str">
        <f>IFERROR(__xludf.DUMMYFUNCTION("""COMPUTED_VALUE"""),"Bu Eva (SU)")</f>
        <v>Bu Eva (SU)</v>
      </c>
      <c r="I1237" s="13" t="str">
        <f>IFERROR(__xludf.DUMMYFUNCTION("""COMPUTED_VALUE"""),"SELESAI (VIA PERMOHONAN)")</f>
        <v>SELESAI (VIA PERMOHONAN)</v>
      </c>
      <c r="J1237" s="17">
        <f>IFERROR(__xludf.DUMMYFUNCTION("""COMPUTED_VALUE"""),45712.62859327546)</f>
        <v>45712.62859</v>
      </c>
      <c r="K1237" s="13" t="str">
        <f>IFERROR(__xludf.DUMMYFUNCTION("""COMPUTED_VALUE"""),"Selesai")</f>
        <v>Selesai</v>
      </c>
      <c r="L1237" s="17">
        <f>IFERROR(__xludf.DUMMYFUNCTION("""COMPUTED_VALUE"""),45712.62859327546)</f>
        <v>45712.62859</v>
      </c>
      <c r="M1237" s="13"/>
      <c r="N1237" s="13" t="str">
        <f>IFERROR(__xludf.DUMMYFUNCTION("""COMPUTED_VALUE"""),"")</f>
        <v/>
      </c>
      <c r="O1237" s="13" t="str">
        <f t="shared" si="1"/>
        <v/>
      </c>
    </row>
    <row r="1238" ht="22.5" customHeight="1">
      <c r="B1238" s="13">
        <f>IFERROR(__xludf.DUMMYFUNCTION("""COMPUTED_VALUE"""),1233.0)</f>
        <v>1233</v>
      </c>
      <c r="C1238" s="13" t="str">
        <f>IFERROR(__xludf.DUMMYFUNCTION("""COMPUTED_VALUE"""),"B. 28/ Sumur Batu")</f>
        <v>B. 28/ Sumur Batu</v>
      </c>
      <c r="D1238" s="13" t="str">
        <f>IFERROR(__xludf.DUMMYFUNCTION("""COMPUTED_VALUE"""),"K/43/120225/2")</f>
        <v>K/43/120225/2</v>
      </c>
      <c r="E1238" s="14" t="str">
        <f>IFERROR(__xludf.DUMMYFUNCTION("""COMPUTED_VALUE"""),"Nadian (BT)")</f>
        <v>Nadian (BT)</v>
      </c>
      <c r="F1238" s="14" t="str">
        <f>IFERROR(__xludf.DUMMYFUNCTION("""COMPUTED_VALUE"""),"SELESAI (VIA PERMOHONAN)")</f>
        <v>SELESAI (VIA PERMOHONAN)</v>
      </c>
      <c r="G1238" s="17">
        <f>IFERROR(__xludf.DUMMYFUNCTION("""COMPUTED_VALUE"""),45709.72991260416)</f>
        <v>45709.72991</v>
      </c>
      <c r="H1238" s="14" t="str">
        <f>IFERROR(__xludf.DUMMYFUNCTION("""COMPUTED_VALUE"""),"Bu Eva (SU)")</f>
        <v>Bu Eva (SU)</v>
      </c>
      <c r="I1238" s="13" t="str">
        <f>IFERROR(__xludf.DUMMYFUNCTION("""COMPUTED_VALUE"""),"SELESAI (VIA PERMOHONAN)")</f>
        <v>SELESAI (VIA PERMOHONAN)</v>
      </c>
      <c r="J1238" s="17">
        <f>IFERROR(__xludf.DUMMYFUNCTION("""COMPUTED_VALUE"""),45712.62859327546)</f>
        <v>45712.62859</v>
      </c>
      <c r="K1238" s="13" t="str">
        <f>IFERROR(__xludf.DUMMYFUNCTION("""COMPUTED_VALUE"""),"Selesai")</f>
        <v>Selesai</v>
      </c>
      <c r="L1238" s="17">
        <f>IFERROR(__xludf.DUMMYFUNCTION("""COMPUTED_VALUE"""),45712.62859327546)</f>
        <v>45712.62859</v>
      </c>
      <c r="M1238" s="13"/>
      <c r="N1238" s="13" t="str">
        <f>IFERROR(__xludf.DUMMYFUNCTION("""COMPUTED_VALUE"""),"")</f>
        <v/>
      </c>
      <c r="O1238" s="13" t="str">
        <f t="shared" si="1"/>
        <v/>
      </c>
    </row>
    <row r="1239" ht="22.5" customHeight="1">
      <c r="B1239" s="13">
        <f>IFERROR(__xludf.DUMMYFUNCTION("""COMPUTED_VALUE"""),1234.0)</f>
        <v>1234</v>
      </c>
      <c r="C1239" s="13" t="str">
        <f>IFERROR(__xludf.DUMMYFUNCTION("""COMPUTED_VALUE"""),"M.16547/SUKABUMI")</f>
        <v>M.16547/SUKABUMI</v>
      </c>
      <c r="D1239" s="13" t="str">
        <f>IFERROR(__xludf.DUMMYFUNCTION("""COMPUTED_VALUE"""),"K/27/190225/2")</f>
        <v>K/27/190225/2</v>
      </c>
      <c r="E1239" s="14" t="str">
        <f>IFERROR(__xludf.DUMMYFUNCTION("""COMPUTED_VALUE"""),"Nadian (BT)")</f>
        <v>Nadian (BT)</v>
      </c>
      <c r="F1239" s="14" t="str">
        <f>IFERROR(__xludf.DUMMYFUNCTION("""COMPUTED_VALUE"""),"SELESAI (VIA PERMOHONAN)")</f>
        <v>SELESAI (VIA PERMOHONAN)</v>
      </c>
      <c r="G1239" s="17">
        <f>IFERROR(__xludf.DUMMYFUNCTION("""COMPUTED_VALUE"""),45709.72991260416)</f>
        <v>45709.72991</v>
      </c>
      <c r="H1239" s="14" t="str">
        <f>IFERROR(__xludf.DUMMYFUNCTION("""COMPUTED_VALUE"""),"Bu Eva (SU)")</f>
        <v>Bu Eva (SU)</v>
      </c>
      <c r="I1239" s="13" t="str">
        <f>IFERROR(__xludf.DUMMYFUNCTION("""COMPUTED_VALUE"""),"SELESAI (VIA PERMOHONAN)")</f>
        <v>SELESAI (VIA PERMOHONAN)</v>
      </c>
      <c r="J1239" s="17">
        <f>IFERROR(__xludf.DUMMYFUNCTION("""COMPUTED_VALUE"""),45712.62859327546)</f>
        <v>45712.62859</v>
      </c>
      <c r="K1239" s="13" t="str">
        <f>IFERROR(__xludf.DUMMYFUNCTION("""COMPUTED_VALUE"""),"Selesai")</f>
        <v>Selesai</v>
      </c>
      <c r="L1239" s="17">
        <f>IFERROR(__xludf.DUMMYFUNCTION("""COMPUTED_VALUE"""),45712.62859327546)</f>
        <v>45712.62859</v>
      </c>
      <c r="M1239" s="13"/>
      <c r="N1239" s="13" t="str">
        <f>IFERROR(__xludf.DUMMYFUNCTION("""COMPUTED_VALUE"""),"")</f>
        <v/>
      </c>
      <c r="O1239" s="13" t="str">
        <f t="shared" si="1"/>
        <v/>
      </c>
    </row>
    <row r="1240" ht="22.5" customHeight="1">
      <c r="B1240" s="13">
        <f>IFERROR(__xludf.DUMMYFUNCTION("""COMPUTED_VALUE"""),1235.0)</f>
        <v>1235</v>
      </c>
      <c r="C1240" s="13" t="str">
        <f>IFERROR(__xludf.DUMMYFUNCTION("""COMPUTED_VALUE"""),"M. 751/ Sukarame Baru")</f>
        <v>M. 751/ Sukarame Baru</v>
      </c>
      <c r="D1240" s="13" t="str">
        <f>IFERROR(__xludf.DUMMYFUNCTION("""COMPUTED_VALUE"""),"K/37/140225/1")</f>
        <v>K/37/140225/1</v>
      </c>
      <c r="E1240" s="14" t="str">
        <f>IFERROR(__xludf.DUMMYFUNCTION("""COMPUTED_VALUE"""),"Nadian (BT)")</f>
        <v>Nadian (BT)</v>
      </c>
      <c r="F1240" s="14" t="str">
        <f>IFERROR(__xludf.DUMMYFUNCTION("""COMPUTED_VALUE"""),"SELESAI (VIA PERMOHONAN)")</f>
        <v>SELESAI (VIA PERMOHONAN)</v>
      </c>
      <c r="G1240" s="17">
        <f>IFERROR(__xludf.DUMMYFUNCTION("""COMPUTED_VALUE"""),45709.72991260416)</f>
        <v>45709.72991</v>
      </c>
      <c r="H1240" s="14" t="str">
        <f>IFERROR(__xludf.DUMMYFUNCTION("""COMPUTED_VALUE"""),"Bu Eva (SU)")</f>
        <v>Bu Eva (SU)</v>
      </c>
      <c r="I1240" s="13" t="str">
        <f>IFERROR(__xludf.DUMMYFUNCTION("""COMPUTED_VALUE"""),"SELESAI (VIA PERMOHONAN)")</f>
        <v>SELESAI (VIA PERMOHONAN)</v>
      </c>
      <c r="J1240" s="17">
        <f>IFERROR(__xludf.DUMMYFUNCTION("""COMPUTED_VALUE"""),45712.628641979165)</f>
        <v>45712.62864</v>
      </c>
      <c r="K1240" s="13" t="str">
        <f>IFERROR(__xludf.DUMMYFUNCTION("""COMPUTED_VALUE"""),"Selesai")</f>
        <v>Selesai</v>
      </c>
      <c r="L1240" s="17">
        <f>IFERROR(__xludf.DUMMYFUNCTION("""COMPUTED_VALUE"""),45712.628641979165)</f>
        <v>45712.62864</v>
      </c>
      <c r="M1240" s="13"/>
      <c r="N1240" s="13" t="str">
        <f>IFERROR(__xludf.DUMMYFUNCTION("""COMPUTED_VALUE"""),"")</f>
        <v/>
      </c>
      <c r="O1240" s="13" t="str">
        <f t="shared" si="1"/>
        <v/>
      </c>
    </row>
    <row r="1241" ht="22.5" customHeight="1">
      <c r="B1241" s="13">
        <f>IFERROR(__xludf.DUMMYFUNCTION("""COMPUTED_VALUE"""),1236.0)</f>
        <v>1236</v>
      </c>
      <c r="C1241" s="13" t="str">
        <f>IFERROR(__xludf.DUMMYFUNCTION("""COMPUTED_VALUE"""),"HGB 61/WAY LAGA")</f>
        <v>HGB 61/WAY LAGA</v>
      </c>
      <c r="D1241" s="13" t="str">
        <f>IFERROR(__xludf.DUMMYFUNCTION("""COMPUTED_VALUE"""),"L/12/190225/1")</f>
        <v>L/12/190225/1</v>
      </c>
      <c r="E1241" s="14" t="str">
        <f>IFERROR(__xludf.DUMMYFUNCTION("""COMPUTED_VALUE"""),"Afriza (BT)")</f>
        <v>Afriza (BT)</v>
      </c>
      <c r="F1241" s="14" t="str">
        <f>IFERROR(__xludf.DUMMYFUNCTION("""COMPUTED_VALUE"""),"SELESAI (VIA PERMOHONAN)")</f>
        <v>SELESAI (VIA PERMOHONAN)</v>
      </c>
      <c r="G1241" s="17">
        <f>IFERROR(__xludf.DUMMYFUNCTION("""COMPUTED_VALUE"""),45712.586285625)</f>
        <v>45712.58629</v>
      </c>
      <c r="H1241" s="14" t="str">
        <f>IFERROR(__xludf.DUMMYFUNCTION("""COMPUTED_VALUE"""),"Bu Eva (SU)")</f>
        <v>Bu Eva (SU)</v>
      </c>
      <c r="I1241" s="13" t="str">
        <f>IFERROR(__xludf.DUMMYFUNCTION("""COMPUTED_VALUE"""),"SELESAI (VIA PERMOHONAN)")</f>
        <v>SELESAI (VIA PERMOHONAN)</v>
      </c>
      <c r="J1241" s="17">
        <f>IFERROR(__xludf.DUMMYFUNCTION("""COMPUTED_VALUE"""),45712.586285625)</f>
        <v>45712.58629</v>
      </c>
      <c r="K1241" s="13" t="str">
        <f>IFERROR(__xludf.DUMMYFUNCTION("""COMPUTED_VALUE"""),"Selesai")</f>
        <v>Selesai</v>
      </c>
      <c r="L1241" s="17">
        <f>IFERROR(__xludf.DUMMYFUNCTION("""COMPUTED_VALUE"""),45712.586285625)</f>
        <v>45712.58629</v>
      </c>
      <c r="M1241" s="13"/>
      <c r="N1241" s="13" t="str">
        <f>IFERROR(__xludf.DUMMYFUNCTION("""COMPUTED_VALUE"""),"")</f>
        <v/>
      </c>
      <c r="O1241" s="13" t="str">
        <f t="shared" si="1"/>
        <v/>
      </c>
    </row>
    <row r="1242" ht="22.5" customHeight="1">
      <c r="B1242" s="13">
        <f>IFERROR(__xludf.DUMMYFUNCTION("""COMPUTED_VALUE"""),1237.0)</f>
        <v>1237</v>
      </c>
      <c r="C1242" s="13" t="str">
        <f>IFERROR(__xludf.DUMMYFUNCTION("""COMPUTED_VALUE"""),"HM 4451/RAJABASA JAYA")</f>
        <v>HM 4451/RAJABASA JAYA</v>
      </c>
      <c r="D1242" s="13" t="str">
        <f>IFERROR(__xludf.DUMMYFUNCTION("""COMPUTED_VALUE"""),"L/3/190225/1")</f>
        <v>L/3/190225/1</v>
      </c>
      <c r="E1242" s="14" t="str">
        <f>IFERROR(__xludf.DUMMYFUNCTION("""COMPUTED_VALUE"""),"Afriza (BT)")</f>
        <v>Afriza (BT)</v>
      </c>
      <c r="F1242" s="14" t="str">
        <f>IFERROR(__xludf.DUMMYFUNCTION("""COMPUTED_VALUE"""),"SELESAI (VIA PERMOHONAN)")</f>
        <v>SELESAI (VIA PERMOHONAN)</v>
      </c>
      <c r="G1242" s="17">
        <f>IFERROR(__xludf.DUMMYFUNCTION("""COMPUTED_VALUE"""),45713.5118949537)</f>
        <v>45713.51189</v>
      </c>
      <c r="H1242" s="14" t="str">
        <f>IFERROR(__xludf.DUMMYFUNCTION("""COMPUTED_VALUE"""),"Bu Eva (SU)")</f>
        <v>Bu Eva (SU)</v>
      </c>
      <c r="I1242" s="13" t="str">
        <f>IFERROR(__xludf.DUMMYFUNCTION("""COMPUTED_VALUE"""),"SELESAI (VIA PERMOHONAN)")</f>
        <v>SELESAI (VIA PERMOHONAN)</v>
      </c>
      <c r="J1242" s="17">
        <f>IFERROR(__xludf.DUMMYFUNCTION("""COMPUTED_VALUE"""),45713.51194175926)</f>
        <v>45713.51194</v>
      </c>
      <c r="K1242" s="13" t="str">
        <f>IFERROR(__xludf.DUMMYFUNCTION("""COMPUTED_VALUE"""),"Selesai")</f>
        <v>Selesai</v>
      </c>
      <c r="L1242" s="17">
        <f>IFERROR(__xludf.DUMMYFUNCTION("""COMPUTED_VALUE"""),45713.51194175926)</f>
        <v>45713.51194</v>
      </c>
      <c r="M1242" s="13"/>
      <c r="N1242" s="13" t="str">
        <f>IFERROR(__xludf.DUMMYFUNCTION("""COMPUTED_VALUE"""),"")</f>
        <v/>
      </c>
      <c r="O1242" s="13" t="str">
        <f t="shared" si="1"/>
        <v/>
      </c>
    </row>
    <row r="1243" ht="22.5" customHeight="1">
      <c r="B1243" s="13">
        <f>IFERROR(__xludf.DUMMYFUNCTION("""COMPUTED_VALUE"""),1238.0)</f>
        <v>1238</v>
      </c>
      <c r="C1243" s="13" t="str">
        <f>IFERROR(__xludf.DUMMYFUNCTION("""COMPUTED_VALUE"""),"HM 2139/RAJABASA RAYA")</f>
        <v>HM 2139/RAJABASA RAYA</v>
      </c>
      <c r="D1243" s="13" t="str">
        <f>IFERROR(__xludf.DUMMYFUNCTION("""COMPUTED_VALUE"""),"L/7/200225/1")</f>
        <v>L/7/200225/1</v>
      </c>
      <c r="E1243" s="14" t="str">
        <f>IFERROR(__xludf.DUMMYFUNCTION("""COMPUTED_VALUE"""),"Afriza (BT)")</f>
        <v>Afriza (BT)</v>
      </c>
      <c r="F1243" s="14" t="str">
        <f>IFERROR(__xludf.DUMMYFUNCTION("""COMPUTED_VALUE"""),"SELESAI (VIA PERMOHONAN)")</f>
        <v>SELESAI (VIA PERMOHONAN)</v>
      </c>
      <c r="G1243" s="17">
        <f>IFERROR(__xludf.DUMMYFUNCTION("""COMPUTED_VALUE"""),45714.68322721065)</f>
        <v>45714.68323</v>
      </c>
      <c r="H1243" s="14" t="str">
        <f>IFERROR(__xludf.DUMMYFUNCTION("""COMPUTED_VALUE"""),"Bu Eva (SU)")</f>
        <v>Bu Eva (SU)</v>
      </c>
      <c r="I1243" s="13" t="str">
        <f>IFERROR(__xludf.DUMMYFUNCTION("""COMPUTED_VALUE"""),"SELESAI (VIA PERMOHONAN)")</f>
        <v>SELESAI (VIA PERMOHONAN)</v>
      </c>
      <c r="J1243" s="17">
        <f>IFERROR(__xludf.DUMMYFUNCTION("""COMPUTED_VALUE"""),45714.683270740745)</f>
        <v>45714.68327</v>
      </c>
      <c r="K1243" s="13" t="str">
        <f>IFERROR(__xludf.DUMMYFUNCTION("""COMPUTED_VALUE"""),"Selesai")</f>
        <v>Selesai</v>
      </c>
      <c r="L1243" s="17">
        <f>IFERROR(__xludf.DUMMYFUNCTION("""COMPUTED_VALUE"""),45714.683270740745)</f>
        <v>45714.68327</v>
      </c>
      <c r="M1243" s="13"/>
      <c r="N1243" s="13" t="str">
        <f>IFERROR(__xludf.DUMMYFUNCTION("""COMPUTED_VALUE"""),"")</f>
        <v/>
      </c>
      <c r="O1243" s="13" t="str">
        <f t="shared" si="1"/>
        <v/>
      </c>
    </row>
    <row r="1244" ht="22.5" customHeight="1">
      <c r="B1244" s="13">
        <f>IFERROR(__xludf.DUMMYFUNCTION("""COMPUTED_VALUE"""),1239.0)</f>
        <v>1239</v>
      </c>
      <c r="C1244" s="13" t="str">
        <f>IFERROR(__xludf.DUMMYFUNCTION("""COMPUTED_VALUE"""),"HM 2007/LABUHAN RATU RAYA")</f>
        <v>HM 2007/LABUHAN RATU RAYA</v>
      </c>
      <c r="D1244" s="13" t="str">
        <f>IFERROR(__xludf.DUMMYFUNCTION("""COMPUTED_VALUE"""),"L/2/170225/1")</f>
        <v>L/2/170225/1</v>
      </c>
      <c r="E1244" s="14" t="str">
        <f>IFERROR(__xludf.DUMMYFUNCTION("""COMPUTED_VALUE"""),"Afriza (BT)")</f>
        <v>Afriza (BT)</v>
      </c>
      <c r="F1244" s="14" t="str">
        <f>IFERROR(__xludf.DUMMYFUNCTION("""COMPUTED_VALUE"""),"SELESAI (VIA PERMOHONAN)")</f>
        <v>SELESAI (VIA PERMOHONAN)</v>
      </c>
      <c r="G1244" s="17">
        <f>IFERROR(__xludf.DUMMYFUNCTION("""COMPUTED_VALUE"""),45714.68339319444)</f>
        <v>45714.68339</v>
      </c>
      <c r="H1244" s="14" t="str">
        <f>IFERROR(__xludf.DUMMYFUNCTION("""COMPUTED_VALUE"""),"Bu Eva (SU)")</f>
        <v>Bu Eva (SU)</v>
      </c>
      <c r="I1244" s="13" t="str">
        <f>IFERROR(__xludf.DUMMYFUNCTION("""COMPUTED_VALUE"""),"SELESAI (VIA PERMOHONAN)")</f>
        <v>SELESAI (VIA PERMOHONAN)</v>
      </c>
      <c r="J1244" s="17">
        <f>IFERROR(__xludf.DUMMYFUNCTION("""COMPUTED_VALUE"""),45714.68343179398)</f>
        <v>45714.68343</v>
      </c>
      <c r="K1244" s="13" t="str">
        <f>IFERROR(__xludf.DUMMYFUNCTION("""COMPUTED_VALUE"""),"Selesai")</f>
        <v>Selesai</v>
      </c>
      <c r="L1244" s="17">
        <f>IFERROR(__xludf.DUMMYFUNCTION("""COMPUTED_VALUE"""),45714.68343179398)</f>
        <v>45714.68343</v>
      </c>
      <c r="M1244" s="13"/>
      <c r="N1244" s="13" t="str">
        <f>IFERROR(__xludf.DUMMYFUNCTION("""COMPUTED_VALUE"""),"")</f>
        <v/>
      </c>
      <c r="O1244" s="13" t="str">
        <f t="shared" si="1"/>
        <v/>
      </c>
    </row>
    <row r="1245" ht="22.5" customHeight="1">
      <c r="B1245" s="13">
        <f>IFERROR(__xludf.DUMMYFUNCTION("""COMPUTED_VALUE"""),1240.0)</f>
        <v>1240</v>
      </c>
      <c r="C1245" s="13" t="str">
        <f>IFERROR(__xludf.DUMMYFUNCTION("""COMPUTED_VALUE"""),"M. 11205/ Sukabumi")</f>
        <v>M. 11205/ Sukabumi</v>
      </c>
      <c r="D1245" s="13" t="str">
        <f>IFERROR(__xludf.DUMMYFUNCTION("""COMPUTED_VALUE"""),"K/7/170225/1")</f>
        <v>K/7/170225/1</v>
      </c>
      <c r="E1245" s="14" t="str">
        <f>IFERROR(__xludf.DUMMYFUNCTION("""COMPUTED_VALUE"""),"Nadian (BT)")</f>
        <v>Nadian (BT)</v>
      </c>
      <c r="F1245" s="14" t="str">
        <f>IFERROR(__xludf.DUMMYFUNCTION("""COMPUTED_VALUE"""),"SELESAI (VIA PERMOHONAN)")</f>
        <v>SELESAI (VIA PERMOHONAN)</v>
      </c>
      <c r="G1245" s="17">
        <f>IFERROR(__xludf.DUMMYFUNCTION("""COMPUTED_VALUE"""),45715.5530531713)</f>
        <v>45715.55305</v>
      </c>
      <c r="H1245" s="14" t="str">
        <f>IFERROR(__xludf.DUMMYFUNCTION("""COMPUTED_VALUE"""),"Bu Eva (SU)")</f>
        <v>Bu Eva (SU)</v>
      </c>
      <c r="I1245" s="13" t="str">
        <f>IFERROR(__xludf.DUMMYFUNCTION("""COMPUTED_VALUE"""),"SELESAI (VIA PERMOHONAN)")</f>
        <v>SELESAI (VIA PERMOHONAN)</v>
      </c>
      <c r="J1245" s="17">
        <f>IFERROR(__xludf.DUMMYFUNCTION("""COMPUTED_VALUE"""),45716.57235609954)</f>
        <v>45716.57236</v>
      </c>
      <c r="K1245" s="13" t="str">
        <f>IFERROR(__xludf.DUMMYFUNCTION("""COMPUTED_VALUE"""),"Selesai")</f>
        <v>Selesai</v>
      </c>
      <c r="L1245" s="17">
        <f>IFERROR(__xludf.DUMMYFUNCTION("""COMPUTED_VALUE"""),45716.57235609954)</f>
        <v>45716.57236</v>
      </c>
      <c r="M1245" s="13"/>
      <c r="N1245" s="13" t="str">
        <f>IFERROR(__xludf.DUMMYFUNCTION("""COMPUTED_VALUE"""),"")</f>
        <v/>
      </c>
      <c r="O1245" s="13" t="str">
        <f t="shared" si="1"/>
        <v/>
      </c>
    </row>
    <row r="1246" ht="22.5" customHeight="1">
      <c r="B1246" s="13">
        <f>IFERROR(__xludf.DUMMYFUNCTION("""COMPUTED_VALUE"""),1241.0)</f>
        <v>1241</v>
      </c>
      <c r="C1246" s="13" t="str">
        <f>IFERROR(__xludf.DUMMYFUNCTION("""COMPUTED_VALUE"""),"M. 2294/ Rajabasa Raya")</f>
        <v>M. 2294/ Rajabasa Raya</v>
      </c>
      <c r="D1246" s="13" t="str">
        <f>IFERROR(__xludf.DUMMYFUNCTION("""COMPUTED_VALUE"""),"K/22/110225/1")</f>
        <v>K/22/110225/1</v>
      </c>
      <c r="E1246" s="14" t="str">
        <f>IFERROR(__xludf.DUMMYFUNCTION("""COMPUTED_VALUE"""),"Afriza (BT)")</f>
        <v>Afriza (BT)</v>
      </c>
      <c r="F1246" s="14" t="str">
        <f>IFERROR(__xludf.DUMMYFUNCTION("""COMPUTED_VALUE"""),"SELESAI (VIA PERMOHONAN)")</f>
        <v>SELESAI (VIA PERMOHONAN)</v>
      </c>
      <c r="G1246" s="17">
        <f>IFERROR(__xludf.DUMMYFUNCTION("""COMPUTED_VALUE"""),45715.56483371528)</f>
        <v>45715.56483</v>
      </c>
      <c r="H1246" s="14" t="str">
        <f>IFERROR(__xludf.DUMMYFUNCTION("""COMPUTED_VALUE"""),"Bu Eva (SU)")</f>
        <v>Bu Eva (SU)</v>
      </c>
      <c r="I1246" s="13" t="str">
        <f>IFERROR(__xludf.DUMMYFUNCTION("""COMPUTED_VALUE"""),"SELESAI (VIA PERMOHONAN)")</f>
        <v>SELESAI (VIA PERMOHONAN)</v>
      </c>
      <c r="J1246" s="17">
        <f>IFERROR(__xludf.DUMMYFUNCTION("""COMPUTED_VALUE"""),45716.57235609954)</f>
        <v>45716.57236</v>
      </c>
      <c r="K1246" s="13" t="str">
        <f>IFERROR(__xludf.DUMMYFUNCTION("""COMPUTED_VALUE"""),"Selesai")</f>
        <v>Selesai</v>
      </c>
      <c r="L1246" s="17">
        <f>IFERROR(__xludf.DUMMYFUNCTION("""COMPUTED_VALUE"""),45716.57235609954)</f>
        <v>45716.57236</v>
      </c>
      <c r="M1246" s="13"/>
      <c r="N1246" s="13" t="str">
        <f>IFERROR(__xludf.DUMMYFUNCTION("""COMPUTED_VALUE"""),"")</f>
        <v/>
      </c>
      <c r="O1246" s="13" t="str">
        <f t="shared" si="1"/>
        <v/>
      </c>
    </row>
    <row r="1247" ht="22.5" customHeight="1">
      <c r="B1247" s="13">
        <f>IFERROR(__xludf.DUMMYFUNCTION("""COMPUTED_VALUE"""),1242.0)</f>
        <v>1242</v>
      </c>
      <c r="C1247" s="13" t="str">
        <f>IFERROR(__xludf.DUMMYFUNCTION("""COMPUTED_VALUE"""),"M. 43/ gulak galik")</f>
        <v>M. 43/ gulak galik</v>
      </c>
      <c r="D1247" s="13" t="str">
        <f>IFERROR(__xludf.DUMMYFUNCTION("""COMPUTED_VALUE"""),"K/35/210225/2")</f>
        <v>K/35/210225/2</v>
      </c>
      <c r="E1247" s="14" t="str">
        <f>IFERROR(__xludf.DUMMYFUNCTION("""COMPUTED_VALUE"""),"Afriza (BT)")</f>
        <v>Afriza (BT)</v>
      </c>
      <c r="F1247" s="14" t="str">
        <f>IFERROR(__xludf.DUMMYFUNCTION("""COMPUTED_VALUE"""),"SELESAI (VIA PERMOHONAN)")</f>
        <v>SELESAI (VIA PERMOHONAN)</v>
      </c>
      <c r="G1247" s="17">
        <f>IFERROR(__xludf.DUMMYFUNCTION("""COMPUTED_VALUE"""),45715.56499087963)</f>
        <v>45715.56499</v>
      </c>
      <c r="H1247" s="14" t="str">
        <f>IFERROR(__xludf.DUMMYFUNCTION("""COMPUTED_VALUE"""),"Bu Eva (SU)")</f>
        <v>Bu Eva (SU)</v>
      </c>
      <c r="I1247" s="13" t="str">
        <f>IFERROR(__xludf.DUMMYFUNCTION("""COMPUTED_VALUE"""),"SELESAI (VIA PERMOHONAN)")</f>
        <v>SELESAI (VIA PERMOHONAN)</v>
      </c>
      <c r="J1247" s="17">
        <f>IFERROR(__xludf.DUMMYFUNCTION("""COMPUTED_VALUE"""),45716.57235611111)</f>
        <v>45716.57236</v>
      </c>
      <c r="K1247" s="13" t="str">
        <f>IFERROR(__xludf.DUMMYFUNCTION("""COMPUTED_VALUE"""),"Selesai")</f>
        <v>Selesai</v>
      </c>
      <c r="L1247" s="17">
        <f>IFERROR(__xludf.DUMMYFUNCTION("""COMPUTED_VALUE"""),45716.57235611111)</f>
        <v>45716.57236</v>
      </c>
      <c r="M1247" s="13"/>
      <c r="N1247" s="13" t="str">
        <f>IFERROR(__xludf.DUMMYFUNCTION("""COMPUTED_VALUE"""),"")</f>
        <v/>
      </c>
      <c r="O1247" s="13" t="str">
        <f t="shared" si="1"/>
        <v/>
      </c>
    </row>
    <row r="1248" ht="22.5" customHeight="1">
      <c r="B1248" s="13">
        <f>IFERROR(__xludf.DUMMYFUNCTION("""COMPUTED_VALUE"""),1243.0)</f>
        <v>1243</v>
      </c>
      <c r="C1248" s="13" t="str">
        <f>IFERROR(__xludf.DUMMYFUNCTION("""COMPUTED_VALUE"""),"M. 415/ Labuhan ratu Raya")</f>
        <v>M. 415/ Labuhan ratu Raya</v>
      </c>
      <c r="D1248" s="13" t="str">
        <f>IFERROR(__xludf.DUMMYFUNCTION("""COMPUTED_VALUE"""),"K/39/200225/1")</f>
        <v>K/39/200225/1</v>
      </c>
      <c r="E1248" s="14" t="str">
        <f>IFERROR(__xludf.DUMMYFUNCTION("""COMPUTED_VALUE"""),"Afriza (BT)")</f>
        <v>Afriza (BT)</v>
      </c>
      <c r="F1248" s="14" t="str">
        <f>IFERROR(__xludf.DUMMYFUNCTION("""COMPUTED_VALUE"""),"SELESAI (VIA PERMOHONAN)")</f>
        <v>SELESAI (VIA PERMOHONAN)</v>
      </c>
      <c r="G1248" s="17">
        <f>IFERROR(__xludf.DUMMYFUNCTION("""COMPUTED_VALUE"""),45715.56509804398)</f>
        <v>45715.5651</v>
      </c>
      <c r="H1248" s="14" t="str">
        <f>IFERROR(__xludf.DUMMYFUNCTION("""COMPUTED_VALUE"""),"Bu Eva (SU)")</f>
        <v>Bu Eva (SU)</v>
      </c>
      <c r="I1248" s="13" t="str">
        <f>IFERROR(__xludf.DUMMYFUNCTION("""COMPUTED_VALUE"""),"SELESAI (VIA PERMOHONAN)")</f>
        <v>SELESAI (VIA PERMOHONAN)</v>
      </c>
      <c r="J1248" s="17">
        <f>IFERROR(__xludf.DUMMYFUNCTION("""COMPUTED_VALUE"""),45716.57235611111)</f>
        <v>45716.57236</v>
      </c>
      <c r="K1248" s="13" t="str">
        <f>IFERROR(__xludf.DUMMYFUNCTION("""COMPUTED_VALUE"""),"Selesai")</f>
        <v>Selesai</v>
      </c>
      <c r="L1248" s="17">
        <f>IFERROR(__xludf.DUMMYFUNCTION("""COMPUTED_VALUE"""),45716.57235611111)</f>
        <v>45716.57236</v>
      </c>
      <c r="M1248" s="13"/>
      <c r="N1248" s="13" t="str">
        <f>IFERROR(__xludf.DUMMYFUNCTION("""COMPUTED_VALUE"""),"")</f>
        <v/>
      </c>
      <c r="O1248" s="13" t="str">
        <f t="shared" si="1"/>
        <v/>
      </c>
    </row>
    <row r="1249" ht="22.5" customHeight="1">
      <c r="B1249" s="13">
        <f>IFERROR(__xludf.DUMMYFUNCTION("""COMPUTED_VALUE"""),1244.0)</f>
        <v>1244</v>
      </c>
      <c r="C1249" s="13" t="str">
        <f>IFERROR(__xludf.DUMMYFUNCTION("""COMPUTED_VALUE"""),"B. 307/ Labuhan Ratu Raya")</f>
        <v>B. 307/ Labuhan Ratu Raya</v>
      </c>
      <c r="D1249" s="13" t="str">
        <f>IFERROR(__xludf.DUMMYFUNCTION("""COMPUTED_VALUE"""),"K/27/140225/2")</f>
        <v>K/27/140225/2</v>
      </c>
      <c r="E1249" s="14" t="str">
        <f>IFERROR(__xludf.DUMMYFUNCTION("""COMPUTED_VALUE"""),"Afriza (BT)")</f>
        <v>Afriza (BT)</v>
      </c>
      <c r="F1249" s="14" t="str">
        <f>IFERROR(__xludf.DUMMYFUNCTION("""COMPUTED_VALUE"""),"SELESAI (VIA PERMOHONAN)")</f>
        <v>SELESAI (VIA PERMOHONAN)</v>
      </c>
      <c r="G1249" s="17">
        <f>IFERROR(__xludf.DUMMYFUNCTION("""COMPUTED_VALUE"""),45715.56523107638)</f>
        <v>45715.56523</v>
      </c>
      <c r="H1249" s="14" t="str">
        <f>IFERROR(__xludf.DUMMYFUNCTION("""COMPUTED_VALUE"""),"Bu Eva (SU)")</f>
        <v>Bu Eva (SU)</v>
      </c>
      <c r="I1249" s="13" t="str">
        <f>IFERROR(__xludf.DUMMYFUNCTION("""COMPUTED_VALUE"""),"SELESAI (VIA PERMOHONAN)")</f>
        <v>SELESAI (VIA PERMOHONAN)</v>
      </c>
      <c r="J1249" s="17">
        <f>IFERROR(__xludf.DUMMYFUNCTION("""COMPUTED_VALUE"""),45716.57235611111)</f>
        <v>45716.57236</v>
      </c>
      <c r="K1249" s="13" t="str">
        <f>IFERROR(__xludf.DUMMYFUNCTION("""COMPUTED_VALUE"""),"Selesai")</f>
        <v>Selesai</v>
      </c>
      <c r="L1249" s="17">
        <f>IFERROR(__xludf.DUMMYFUNCTION("""COMPUTED_VALUE"""),45716.57235611111)</f>
        <v>45716.57236</v>
      </c>
      <c r="M1249" s="13"/>
      <c r="N1249" s="13" t="str">
        <f>IFERROR(__xludf.DUMMYFUNCTION("""COMPUTED_VALUE"""),"")</f>
        <v/>
      </c>
      <c r="O1249" s="13" t="str">
        <f t="shared" si="1"/>
        <v/>
      </c>
    </row>
    <row r="1250" ht="22.5" customHeight="1">
      <c r="B1250" s="13">
        <f>IFERROR(__xludf.DUMMYFUNCTION("""COMPUTED_VALUE"""),1245.0)</f>
        <v>1245</v>
      </c>
      <c r="C1250" s="13" t="str">
        <f>IFERROR(__xludf.DUMMYFUNCTION("""COMPUTED_VALUE"""),"M. 11421/ Jagabaya III")</f>
        <v>M. 11421/ Jagabaya III</v>
      </c>
      <c r="D1250" s="13" t="str">
        <f>IFERROR(__xludf.DUMMYFUNCTION("""COMPUTED_VALUE"""),"K/36/210225/3")</f>
        <v>K/36/210225/3</v>
      </c>
      <c r="E1250" s="14" t="str">
        <f>IFERROR(__xludf.DUMMYFUNCTION("""COMPUTED_VALUE"""),"Nadian (BT)")</f>
        <v>Nadian (BT)</v>
      </c>
      <c r="F1250" s="14" t="str">
        <f>IFERROR(__xludf.DUMMYFUNCTION("""COMPUTED_VALUE"""),"SELESAI (VIA PERMOHONAN)")</f>
        <v>SELESAI (VIA PERMOHONAN)</v>
      </c>
      <c r="G1250" s="17">
        <f>IFERROR(__xludf.DUMMYFUNCTION("""COMPUTED_VALUE"""),45720.55091435185)</f>
        <v>45720.55091</v>
      </c>
      <c r="H1250" s="14" t="str">
        <f>IFERROR(__xludf.DUMMYFUNCTION("""COMPUTED_VALUE"""),"Bu Eva (SU)")</f>
        <v>Bu Eva (SU)</v>
      </c>
      <c r="I1250" s="13" t="str">
        <f>IFERROR(__xludf.DUMMYFUNCTION("""COMPUTED_VALUE"""),"SELESAI (VIA PERMOHONAN)")</f>
        <v>SELESAI (VIA PERMOHONAN)</v>
      </c>
      <c r="J1250" s="17">
        <f>IFERROR(__xludf.DUMMYFUNCTION("""COMPUTED_VALUE"""),45716.57235611111)</f>
        <v>45716.57236</v>
      </c>
      <c r="K1250" s="13" t="str">
        <f>IFERROR(__xludf.DUMMYFUNCTION("""COMPUTED_VALUE"""),"Selesai")</f>
        <v>Selesai</v>
      </c>
      <c r="L1250" s="17">
        <f>IFERROR(__xludf.DUMMYFUNCTION("""COMPUTED_VALUE"""),45716.57235611111)</f>
        <v>45716.57236</v>
      </c>
      <c r="M1250" s="13"/>
      <c r="N1250" s="13" t="str">
        <f>IFERROR(__xludf.DUMMYFUNCTION("""COMPUTED_VALUE"""),"")</f>
        <v/>
      </c>
      <c r="O1250" s="13" t="str">
        <f t="shared" si="1"/>
        <v/>
      </c>
    </row>
    <row r="1251" ht="22.5" customHeight="1">
      <c r="B1251" s="13">
        <f>IFERROR(__xludf.DUMMYFUNCTION("""COMPUTED_VALUE"""),1246.0)</f>
        <v>1246</v>
      </c>
      <c r="C1251" s="13" t="str">
        <f>IFERROR(__xludf.DUMMYFUNCTION("""COMPUTED_VALUE"""),"B. 897/ Kemiling Permai")</f>
        <v>B. 897/ Kemiling Permai</v>
      </c>
      <c r="D1251" s="13" t="str">
        <f>IFERROR(__xludf.DUMMYFUNCTION("""COMPUTED_VALUE"""),"K/18/120225/1")</f>
        <v>K/18/120225/1</v>
      </c>
      <c r="E1251" s="14" t="str">
        <f>IFERROR(__xludf.DUMMYFUNCTION("""COMPUTED_VALUE"""),"Nadian (BT)")</f>
        <v>Nadian (BT)</v>
      </c>
      <c r="F1251" s="14" t="str">
        <f>IFERROR(__xludf.DUMMYFUNCTION("""COMPUTED_VALUE"""),"SELESAI (VIA PERMOHONAN)")</f>
        <v>SELESAI (VIA PERMOHONAN)</v>
      </c>
      <c r="G1251" s="17">
        <f>IFERROR(__xludf.DUMMYFUNCTION("""COMPUTED_VALUE"""),45720.5510250463)</f>
        <v>45720.55103</v>
      </c>
      <c r="H1251" s="14" t="str">
        <f>IFERROR(__xludf.DUMMYFUNCTION("""COMPUTED_VALUE"""),"Bu Eva (SU)")</f>
        <v>Bu Eva (SU)</v>
      </c>
      <c r="I1251" s="13" t="str">
        <f>IFERROR(__xludf.DUMMYFUNCTION("""COMPUTED_VALUE"""),"SELESAI (VIA PERMOHONAN)")</f>
        <v>SELESAI (VIA PERMOHONAN)</v>
      </c>
      <c r="J1251" s="17">
        <f>IFERROR(__xludf.DUMMYFUNCTION("""COMPUTED_VALUE"""),45716.57240121528)</f>
        <v>45716.5724</v>
      </c>
      <c r="K1251" s="13" t="str">
        <f>IFERROR(__xludf.DUMMYFUNCTION("""COMPUTED_VALUE"""),"Selesai")</f>
        <v>Selesai</v>
      </c>
      <c r="L1251" s="17">
        <f>IFERROR(__xludf.DUMMYFUNCTION("""COMPUTED_VALUE"""),45716.57240121528)</f>
        <v>45716.5724</v>
      </c>
      <c r="M1251" s="13"/>
      <c r="N1251" s="13" t="str">
        <f>IFERROR(__xludf.DUMMYFUNCTION("""COMPUTED_VALUE"""),"")</f>
        <v/>
      </c>
      <c r="O1251" s="13" t="str">
        <f t="shared" si="1"/>
        <v/>
      </c>
    </row>
    <row r="1252" ht="22.5" customHeight="1">
      <c r="B1252" s="13">
        <f>IFERROR(__xludf.DUMMYFUNCTION("""COMPUTED_VALUE"""),1247.0)</f>
        <v>1247</v>
      </c>
      <c r="C1252" s="13" t="str">
        <f>IFERROR(__xludf.DUMMYFUNCTION("""COMPUTED_VALUE"""),"M. 4753/ Rajabasa Jaya")</f>
        <v>M. 4753/ Rajabasa Jaya</v>
      </c>
      <c r="D1252" s="13" t="str">
        <f>IFERROR(__xludf.DUMMYFUNCTION("""COMPUTED_VALUE"""),"K/36/210225/1")</f>
        <v>K/36/210225/1</v>
      </c>
      <c r="E1252" s="14" t="str">
        <f>IFERROR(__xludf.DUMMYFUNCTION("""COMPUTED_VALUE"""),"Nadian (BT)")</f>
        <v>Nadian (BT)</v>
      </c>
      <c r="F1252" s="14" t="str">
        <f>IFERROR(__xludf.DUMMYFUNCTION("""COMPUTED_VALUE"""),"SELESAI (VIA PERMOHONAN)")</f>
        <v>SELESAI (VIA PERMOHONAN)</v>
      </c>
      <c r="G1252" s="17">
        <f>IFERROR(__xludf.DUMMYFUNCTION("""COMPUTED_VALUE"""),45720.551025057866)</f>
        <v>45720.55103</v>
      </c>
      <c r="H1252" s="14" t="str">
        <f>IFERROR(__xludf.DUMMYFUNCTION("""COMPUTED_VALUE"""),"Bu Eva (SU)")</f>
        <v>Bu Eva (SU)</v>
      </c>
      <c r="I1252" s="13" t="str">
        <f>IFERROR(__xludf.DUMMYFUNCTION("""COMPUTED_VALUE"""),"SELESAI (VIA PERMOHONAN)")</f>
        <v>SELESAI (VIA PERMOHONAN)</v>
      </c>
      <c r="J1252" s="17">
        <f>IFERROR(__xludf.DUMMYFUNCTION("""COMPUTED_VALUE"""),45716.57240121528)</f>
        <v>45716.5724</v>
      </c>
      <c r="K1252" s="13" t="str">
        <f>IFERROR(__xludf.DUMMYFUNCTION("""COMPUTED_VALUE"""),"Selesai")</f>
        <v>Selesai</v>
      </c>
      <c r="L1252" s="17">
        <f>IFERROR(__xludf.DUMMYFUNCTION("""COMPUTED_VALUE"""),45716.57240121528)</f>
        <v>45716.5724</v>
      </c>
      <c r="M1252" s="13"/>
      <c r="N1252" s="13" t="str">
        <f>IFERROR(__xludf.DUMMYFUNCTION("""COMPUTED_VALUE"""),"")</f>
        <v/>
      </c>
      <c r="O1252" s="13" t="str">
        <f t="shared" si="1"/>
        <v/>
      </c>
    </row>
    <row r="1253" ht="22.5" customHeight="1">
      <c r="B1253" s="13">
        <f>IFERROR(__xludf.DUMMYFUNCTION("""COMPUTED_VALUE"""),1248.0)</f>
        <v>1248</v>
      </c>
      <c r="C1253" s="13" t="str">
        <f>IFERROR(__xludf.DUMMYFUNCTION("""COMPUTED_VALUE"""),"M.  5156/ Way Kandis")</f>
        <v>M.  5156/ Way Kandis</v>
      </c>
      <c r="D1253" s="13" t="str">
        <f>IFERROR(__xludf.DUMMYFUNCTION("""COMPUTED_VALUE"""),"K/19/210225/1")</f>
        <v>K/19/210225/1</v>
      </c>
      <c r="E1253" s="14" t="str">
        <f>IFERROR(__xludf.DUMMYFUNCTION("""COMPUTED_VALUE"""),"Nadian (BT)")</f>
        <v>Nadian (BT)</v>
      </c>
      <c r="F1253" s="14" t="str">
        <f>IFERROR(__xludf.DUMMYFUNCTION("""COMPUTED_VALUE"""),"SELESAI (VIA PERMOHONAN)")</f>
        <v>SELESAI (VIA PERMOHONAN)</v>
      </c>
      <c r="G1253" s="17">
        <f>IFERROR(__xludf.DUMMYFUNCTION("""COMPUTED_VALUE"""),45720.551025057866)</f>
        <v>45720.55103</v>
      </c>
      <c r="H1253" s="14" t="str">
        <f>IFERROR(__xludf.DUMMYFUNCTION("""COMPUTED_VALUE"""),"Bu Eva (SU)")</f>
        <v>Bu Eva (SU)</v>
      </c>
      <c r="I1253" s="13" t="str">
        <f>IFERROR(__xludf.DUMMYFUNCTION("""COMPUTED_VALUE"""),"SELESAI (VIA PERMOHONAN)")</f>
        <v>SELESAI (VIA PERMOHONAN)</v>
      </c>
      <c r="J1253" s="17">
        <f>IFERROR(__xludf.DUMMYFUNCTION("""COMPUTED_VALUE"""),45716.57240121528)</f>
        <v>45716.5724</v>
      </c>
      <c r="K1253" s="13" t="str">
        <f>IFERROR(__xludf.DUMMYFUNCTION("""COMPUTED_VALUE"""),"Selesai")</f>
        <v>Selesai</v>
      </c>
      <c r="L1253" s="17">
        <f>IFERROR(__xludf.DUMMYFUNCTION("""COMPUTED_VALUE"""),45716.57240121528)</f>
        <v>45716.5724</v>
      </c>
      <c r="M1253" s="13"/>
      <c r="N1253" s="13" t="str">
        <f>IFERROR(__xludf.DUMMYFUNCTION("""COMPUTED_VALUE"""),"")</f>
        <v/>
      </c>
      <c r="O1253" s="13" t="str">
        <f t="shared" si="1"/>
        <v/>
      </c>
    </row>
    <row r="1254" ht="22.5" customHeight="1">
      <c r="B1254" s="13">
        <f>IFERROR(__xludf.DUMMYFUNCTION("""COMPUTED_VALUE"""),1249.0)</f>
        <v>1249</v>
      </c>
      <c r="C1254" s="13" t="str">
        <f>IFERROR(__xludf.DUMMYFUNCTION("""COMPUTED_VALUE"""),"M. 1987/ Labuhan Ratu Raya")</f>
        <v>M. 1987/ Labuhan Ratu Raya</v>
      </c>
      <c r="D1254" s="13" t="str">
        <f>IFERROR(__xludf.DUMMYFUNCTION("""COMPUTED_VALUE"""),"K/26/120225/1")</f>
        <v>K/26/120225/1</v>
      </c>
      <c r="E1254" s="14" t="str">
        <f>IFERROR(__xludf.DUMMYFUNCTION("""COMPUTED_VALUE"""),"Nadian (BT)")</f>
        <v>Nadian (BT)</v>
      </c>
      <c r="F1254" s="14" t="str">
        <f>IFERROR(__xludf.DUMMYFUNCTION("""COMPUTED_VALUE"""),"SELESAI (VIA PERMOHONAN)")</f>
        <v>SELESAI (VIA PERMOHONAN)</v>
      </c>
      <c r="G1254" s="17">
        <f>IFERROR(__xludf.DUMMYFUNCTION("""COMPUTED_VALUE"""),45720.551025057866)</f>
        <v>45720.55103</v>
      </c>
      <c r="H1254" s="14" t="str">
        <f>IFERROR(__xludf.DUMMYFUNCTION("""COMPUTED_VALUE"""),"Bu Eva (SU)")</f>
        <v>Bu Eva (SU)</v>
      </c>
      <c r="I1254" s="13" t="str">
        <f>IFERROR(__xludf.DUMMYFUNCTION("""COMPUTED_VALUE"""),"SELESAI (VIA PERMOHONAN)")</f>
        <v>SELESAI (VIA PERMOHONAN)</v>
      </c>
      <c r="J1254" s="17">
        <f>IFERROR(__xludf.DUMMYFUNCTION("""COMPUTED_VALUE"""),45716.57240121528)</f>
        <v>45716.5724</v>
      </c>
      <c r="K1254" s="13" t="str">
        <f>IFERROR(__xludf.DUMMYFUNCTION("""COMPUTED_VALUE"""),"Selesai")</f>
        <v>Selesai</v>
      </c>
      <c r="L1254" s="17">
        <f>IFERROR(__xludf.DUMMYFUNCTION("""COMPUTED_VALUE"""),45716.57240121528)</f>
        <v>45716.5724</v>
      </c>
      <c r="M1254" s="13"/>
      <c r="N1254" s="13" t="str">
        <f>IFERROR(__xludf.DUMMYFUNCTION("""COMPUTED_VALUE"""),"")</f>
        <v/>
      </c>
      <c r="O1254" s="13" t="str">
        <f t="shared" si="1"/>
        <v/>
      </c>
    </row>
    <row r="1255" ht="22.5" customHeight="1">
      <c r="B1255" s="13">
        <f>IFERROR(__xludf.DUMMYFUNCTION("""COMPUTED_VALUE"""),1250.0)</f>
        <v>1250</v>
      </c>
      <c r="C1255" s="13" t="str">
        <f>IFERROR(__xludf.DUMMYFUNCTION("""COMPUTED_VALUE"""),"M. 1880 / PERUMNAS WAY HALIM")</f>
        <v>M. 1880 / PERUMNAS WAY HALIM</v>
      </c>
      <c r="D1255" s="13" t="str">
        <f>IFERROR(__xludf.DUMMYFUNCTION("""COMPUTED_VALUE"""),"K/43/210225/4")</f>
        <v>K/43/210225/4</v>
      </c>
      <c r="E1255" s="14" t="str">
        <f>IFERROR(__xludf.DUMMYFUNCTION("""COMPUTED_VALUE"""),"Nadian (BT)")</f>
        <v>Nadian (BT)</v>
      </c>
      <c r="F1255" s="14" t="str">
        <f>IFERROR(__xludf.DUMMYFUNCTION("""COMPUTED_VALUE"""),"SELESAI (VIA PERMOHONAN)")</f>
        <v>SELESAI (VIA PERMOHONAN)</v>
      </c>
      <c r="G1255" s="17">
        <f>IFERROR(__xludf.DUMMYFUNCTION("""COMPUTED_VALUE"""),45720.551025057866)</f>
        <v>45720.55103</v>
      </c>
      <c r="H1255" s="14" t="str">
        <f>IFERROR(__xludf.DUMMYFUNCTION("""COMPUTED_VALUE"""),"Bu Eva (SU)")</f>
        <v>Bu Eva (SU)</v>
      </c>
      <c r="I1255" s="13" t="str">
        <f>IFERROR(__xludf.DUMMYFUNCTION("""COMPUTED_VALUE"""),"SELESAI (VIA PERMOHONAN)")</f>
        <v>SELESAI (VIA PERMOHONAN)</v>
      </c>
      <c r="J1255" s="17">
        <f>IFERROR(__xludf.DUMMYFUNCTION("""COMPUTED_VALUE"""),45716.57240121528)</f>
        <v>45716.5724</v>
      </c>
      <c r="K1255" s="13" t="str">
        <f>IFERROR(__xludf.DUMMYFUNCTION("""COMPUTED_VALUE"""),"Selesai")</f>
        <v>Selesai</v>
      </c>
      <c r="L1255" s="17">
        <f>IFERROR(__xludf.DUMMYFUNCTION("""COMPUTED_VALUE"""),45716.57240121528)</f>
        <v>45716.5724</v>
      </c>
      <c r="M1255" s="13"/>
      <c r="N1255" s="13" t="str">
        <f>IFERROR(__xludf.DUMMYFUNCTION("""COMPUTED_VALUE"""),"")</f>
        <v/>
      </c>
      <c r="O1255" s="13" t="str">
        <f t="shared" si="1"/>
        <v/>
      </c>
    </row>
    <row r="1256" ht="22.5" customHeight="1">
      <c r="B1256" s="13">
        <f>IFERROR(__xludf.DUMMYFUNCTION("""COMPUTED_VALUE"""),1251.0)</f>
        <v>1251</v>
      </c>
      <c r="C1256" s="13" t="str">
        <f>IFERROR(__xludf.DUMMYFUNCTION("""COMPUTED_VALUE"""),"M.15619/SUKABUMI")</f>
        <v>M.15619/SUKABUMI</v>
      </c>
      <c r="D1256" s="13" t="str">
        <f>IFERROR(__xludf.DUMMYFUNCTION("""COMPUTED_VALUE"""),"K/37/210225/1")</f>
        <v>K/37/210225/1</v>
      </c>
      <c r="E1256" s="14" t="str">
        <f>IFERROR(__xludf.DUMMYFUNCTION("""COMPUTED_VALUE"""),"Nadian (BT)")</f>
        <v>Nadian (BT)</v>
      </c>
      <c r="F1256" s="14" t="str">
        <f>IFERROR(__xludf.DUMMYFUNCTION("""COMPUTED_VALUE"""),"SELESAI (VIA PERMOHONAN)")</f>
        <v>SELESAI (VIA PERMOHONAN)</v>
      </c>
      <c r="G1256" s="17">
        <f>IFERROR(__xludf.DUMMYFUNCTION("""COMPUTED_VALUE"""),45720.551025057866)</f>
        <v>45720.55103</v>
      </c>
      <c r="H1256" s="14" t="str">
        <f>IFERROR(__xludf.DUMMYFUNCTION("""COMPUTED_VALUE"""),"Bu Eva (SU)")</f>
        <v>Bu Eva (SU)</v>
      </c>
      <c r="I1256" s="13" t="str">
        <f>IFERROR(__xludf.DUMMYFUNCTION("""COMPUTED_VALUE"""),"SELESAI (VIA PERMOHONAN)")</f>
        <v>SELESAI (VIA PERMOHONAN)</v>
      </c>
      <c r="J1256" s="17">
        <f>IFERROR(__xludf.DUMMYFUNCTION("""COMPUTED_VALUE"""),45716.57240121528)</f>
        <v>45716.5724</v>
      </c>
      <c r="K1256" s="13" t="str">
        <f>IFERROR(__xludf.DUMMYFUNCTION("""COMPUTED_VALUE"""),"Selesai")</f>
        <v>Selesai</v>
      </c>
      <c r="L1256" s="17">
        <f>IFERROR(__xludf.DUMMYFUNCTION("""COMPUTED_VALUE"""),45716.57240121528)</f>
        <v>45716.5724</v>
      </c>
      <c r="M1256" s="13"/>
      <c r="N1256" s="13" t="str">
        <f>IFERROR(__xludf.DUMMYFUNCTION("""COMPUTED_VALUE"""),"")</f>
        <v/>
      </c>
      <c r="O1256" s="13" t="str">
        <f t="shared" si="1"/>
        <v/>
      </c>
    </row>
    <row r="1257" ht="22.5" customHeight="1">
      <c r="B1257" s="13">
        <f>IFERROR(__xludf.DUMMYFUNCTION("""COMPUTED_VALUE"""),1252.0)</f>
        <v>1252</v>
      </c>
      <c r="C1257" s="13" t="str">
        <f>IFERROR(__xludf.DUMMYFUNCTION("""COMPUTED_VALUE"""),"M.475/LANGKAPURA BARU")</f>
        <v>M.475/LANGKAPURA BARU</v>
      </c>
      <c r="D1257" s="13" t="str">
        <f>IFERROR(__xludf.DUMMYFUNCTION("""COMPUTED_VALUE"""),"K/8/210225/3")</f>
        <v>K/8/210225/3</v>
      </c>
      <c r="E1257" s="14" t="str">
        <f>IFERROR(__xludf.DUMMYFUNCTION("""COMPUTED_VALUE"""),"Nadian (BT)")</f>
        <v>Nadian (BT)</v>
      </c>
      <c r="F1257" s="14" t="str">
        <f>IFERROR(__xludf.DUMMYFUNCTION("""COMPUTED_VALUE"""),"SELESAI (VIA PERMOHONAN)")</f>
        <v>SELESAI (VIA PERMOHONAN)</v>
      </c>
      <c r="G1257" s="17">
        <f>IFERROR(__xludf.DUMMYFUNCTION("""COMPUTED_VALUE"""),45720.551025057866)</f>
        <v>45720.55103</v>
      </c>
      <c r="H1257" s="14" t="str">
        <f>IFERROR(__xludf.DUMMYFUNCTION("""COMPUTED_VALUE"""),"Bu Eva (SU)")</f>
        <v>Bu Eva (SU)</v>
      </c>
      <c r="I1257" s="13" t="str">
        <f>IFERROR(__xludf.DUMMYFUNCTION("""COMPUTED_VALUE"""),"SELESAI (VIA PERMOHONAN)")</f>
        <v>SELESAI (VIA PERMOHONAN)</v>
      </c>
      <c r="J1257" s="17">
        <f>IFERROR(__xludf.DUMMYFUNCTION("""COMPUTED_VALUE"""),45716.57252128472)</f>
        <v>45716.57252</v>
      </c>
      <c r="K1257" s="13" t="str">
        <f>IFERROR(__xludf.DUMMYFUNCTION("""COMPUTED_VALUE"""),"Selesai")</f>
        <v>Selesai</v>
      </c>
      <c r="L1257" s="17">
        <f>IFERROR(__xludf.DUMMYFUNCTION("""COMPUTED_VALUE"""),45716.57252128472)</f>
        <v>45716.57252</v>
      </c>
      <c r="M1257" s="13"/>
      <c r="N1257" s="13" t="str">
        <f>IFERROR(__xludf.DUMMYFUNCTION("""COMPUTED_VALUE"""),"")</f>
        <v/>
      </c>
      <c r="O1257" s="13" t="str">
        <f t="shared" si="1"/>
        <v/>
      </c>
    </row>
    <row r="1258" ht="22.5" customHeight="1">
      <c r="B1258" s="13">
        <f>IFERROR(__xludf.DUMMYFUNCTION("""COMPUTED_VALUE"""),1253.0)</f>
        <v>1253</v>
      </c>
      <c r="C1258" s="13" t="str">
        <f>IFERROR(__xludf.DUMMYFUNCTION("""COMPUTED_VALUE"""),"M. 1504/ Rawa Laut")</f>
        <v>M. 1504/ Rawa Laut</v>
      </c>
      <c r="D1258" s="13" t="str">
        <f>IFERROR(__xludf.DUMMYFUNCTION("""COMPUTED_VALUE"""),"K/21/170225/3")</f>
        <v>K/21/170225/3</v>
      </c>
      <c r="E1258" s="14" t="str">
        <f>IFERROR(__xludf.DUMMYFUNCTION("""COMPUTED_VALUE"""),"Nadian (BT)")</f>
        <v>Nadian (BT)</v>
      </c>
      <c r="F1258" s="14" t="str">
        <f>IFERROR(__xludf.DUMMYFUNCTION("""COMPUTED_VALUE"""),"SELESAI (VIA PERMOHONAN)")</f>
        <v>SELESAI (VIA PERMOHONAN)</v>
      </c>
      <c r="G1258" s="17">
        <f>IFERROR(__xludf.DUMMYFUNCTION("""COMPUTED_VALUE"""),45720.551025057866)</f>
        <v>45720.55103</v>
      </c>
      <c r="H1258" s="14" t="str">
        <f>IFERROR(__xludf.DUMMYFUNCTION("""COMPUTED_VALUE"""),"Bu Eva (SU)")</f>
        <v>Bu Eva (SU)</v>
      </c>
      <c r="I1258" s="13" t="str">
        <f>IFERROR(__xludf.DUMMYFUNCTION("""COMPUTED_VALUE"""),"SELESAI (VIA PERMOHONAN)")</f>
        <v>SELESAI (VIA PERMOHONAN)</v>
      </c>
      <c r="J1258" s="17">
        <f>IFERROR(__xludf.DUMMYFUNCTION("""COMPUTED_VALUE"""),45716.57252128472)</f>
        <v>45716.57252</v>
      </c>
      <c r="K1258" s="13" t="str">
        <f>IFERROR(__xludf.DUMMYFUNCTION("""COMPUTED_VALUE"""),"Selesai")</f>
        <v>Selesai</v>
      </c>
      <c r="L1258" s="17">
        <f>IFERROR(__xludf.DUMMYFUNCTION("""COMPUTED_VALUE"""),45716.57252128472)</f>
        <v>45716.57252</v>
      </c>
      <c r="M1258" s="13"/>
      <c r="N1258" s="13" t="str">
        <f>IFERROR(__xludf.DUMMYFUNCTION("""COMPUTED_VALUE"""),"")</f>
        <v/>
      </c>
      <c r="O1258" s="13" t="str">
        <f t="shared" si="1"/>
        <v/>
      </c>
    </row>
    <row r="1259" ht="22.5" customHeight="1">
      <c r="B1259" s="13">
        <f>IFERROR(__xludf.DUMMYFUNCTION("""COMPUTED_VALUE"""),1254.0)</f>
        <v>1254</v>
      </c>
      <c r="C1259" s="13" t="str">
        <f>IFERROR(__xludf.DUMMYFUNCTION("""COMPUTED_VALUE"""),"M. 647/ Kangkung")</f>
        <v>M. 647/ Kangkung</v>
      </c>
      <c r="D1259" s="13" t="str">
        <f>IFERROR(__xludf.DUMMYFUNCTION("""COMPUTED_VALUE"""),"K/2/210225/1")</f>
        <v>K/2/210225/1</v>
      </c>
      <c r="E1259" s="14" t="str">
        <f>IFERROR(__xludf.DUMMYFUNCTION("""COMPUTED_VALUE"""),"Nadian (BT)")</f>
        <v>Nadian (BT)</v>
      </c>
      <c r="F1259" s="14" t="str">
        <f>IFERROR(__xludf.DUMMYFUNCTION("""COMPUTED_VALUE"""),"SELESAI (VIA PERMOHONAN)")</f>
        <v>SELESAI (VIA PERMOHONAN)</v>
      </c>
      <c r="G1259" s="17">
        <f>IFERROR(__xludf.DUMMYFUNCTION("""COMPUTED_VALUE"""),45720.551025057866)</f>
        <v>45720.55103</v>
      </c>
      <c r="H1259" s="14" t="str">
        <f>IFERROR(__xludf.DUMMYFUNCTION("""COMPUTED_VALUE"""),"Bu Eva (SU)")</f>
        <v>Bu Eva (SU)</v>
      </c>
      <c r="I1259" s="13" t="str">
        <f>IFERROR(__xludf.DUMMYFUNCTION("""COMPUTED_VALUE"""),"SELESAI (VIA PERMOHONAN)")</f>
        <v>SELESAI (VIA PERMOHONAN)</v>
      </c>
      <c r="J1259" s="17">
        <f>IFERROR(__xludf.DUMMYFUNCTION("""COMPUTED_VALUE"""),45716.57252128472)</f>
        <v>45716.57252</v>
      </c>
      <c r="K1259" s="13" t="str">
        <f>IFERROR(__xludf.DUMMYFUNCTION("""COMPUTED_VALUE"""),"Selesai")</f>
        <v>Selesai</v>
      </c>
      <c r="L1259" s="17">
        <f>IFERROR(__xludf.DUMMYFUNCTION("""COMPUTED_VALUE"""),45716.57252128472)</f>
        <v>45716.57252</v>
      </c>
      <c r="M1259" s="13"/>
      <c r="N1259" s="13" t="str">
        <f>IFERROR(__xludf.DUMMYFUNCTION("""COMPUTED_VALUE"""),"")</f>
        <v/>
      </c>
      <c r="O1259" s="13" t="str">
        <f t="shared" si="1"/>
        <v/>
      </c>
    </row>
    <row r="1260" ht="22.5" customHeight="1">
      <c r="B1260" s="13">
        <f>IFERROR(__xludf.DUMMYFUNCTION("""COMPUTED_VALUE"""),1255.0)</f>
        <v>1255</v>
      </c>
      <c r="C1260" s="13" t="str">
        <f>IFERROR(__xludf.DUMMYFUNCTION("""COMPUTED_VALUE"""),"M. 9980/ Gedung Meneng")</f>
        <v>M. 9980/ Gedung Meneng</v>
      </c>
      <c r="D1260" s="13" t="str">
        <f>IFERROR(__xludf.DUMMYFUNCTION("""COMPUTED_VALUE"""),"K/40/120225/1")</f>
        <v>K/40/120225/1</v>
      </c>
      <c r="E1260" s="14" t="str">
        <f>IFERROR(__xludf.DUMMYFUNCTION("""COMPUTED_VALUE"""),"Nadian (BT)")</f>
        <v>Nadian (BT)</v>
      </c>
      <c r="F1260" s="14" t="str">
        <f>IFERROR(__xludf.DUMMYFUNCTION("""COMPUTED_VALUE"""),"SELESAI (VIA PERMOHONAN)")</f>
        <v>SELESAI (VIA PERMOHONAN)</v>
      </c>
      <c r="G1260" s="17">
        <f>IFERROR(__xludf.DUMMYFUNCTION("""COMPUTED_VALUE"""),45720.551025057866)</f>
        <v>45720.55103</v>
      </c>
      <c r="H1260" s="14" t="str">
        <f>IFERROR(__xludf.DUMMYFUNCTION("""COMPUTED_VALUE"""),"Bu Eva (SU)")</f>
        <v>Bu Eva (SU)</v>
      </c>
      <c r="I1260" s="13" t="str">
        <f>IFERROR(__xludf.DUMMYFUNCTION("""COMPUTED_VALUE"""),"SELESAI (VIA PERMOHONAN)")</f>
        <v>SELESAI (VIA PERMOHONAN)</v>
      </c>
      <c r="J1260" s="17">
        <f>IFERROR(__xludf.DUMMYFUNCTION("""COMPUTED_VALUE"""),45716.57252128472)</f>
        <v>45716.57252</v>
      </c>
      <c r="K1260" s="13" t="str">
        <f>IFERROR(__xludf.DUMMYFUNCTION("""COMPUTED_VALUE"""),"Selesai")</f>
        <v>Selesai</v>
      </c>
      <c r="L1260" s="17">
        <f>IFERROR(__xludf.DUMMYFUNCTION("""COMPUTED_VALUE"""),45716.57252128472)</f>
        <v>45716.57252</v>
      </c>
      <c r="M1260" s="13"/>
      <c r="N1260" s="13" t="str">
        <f>IFERROR(__xludf.DUMMYFUNCTION("""COMPUTED_VALUE"""),"")</f>
        <v/>
      </c>
      <c r="O1260" s="13" t="str">
        <f t="shared" si="1"/>
        <v/>
      </c>
    </row>
    <row r="1261" ht="22.5" customHeight="1">
      <c r="B1261" s="13">
        <f>IFERROR(__xludf.DUMMYFUNCTION("""COMPUTED_VALUE"""),1256.0)</f>
        <v>1256</v>
      </c>
      <c r="C1261" s="13" t="str">
        <f>IFERROR(__xludf.DUMMYFUNCTION("""COMPUTED_VALUE"""),"M. 5307/ Rajabasa Jaya")</f>
        <v>M. 5307/ Rajabasa Jaya</v>
      </c>
      <c r="D1261" s="13" t="str">
        <f>IFERROR(__xludf.DUMMYFUNCTION("""COMPUTED_VALUE"""),"K/40/200225/2")</f>
        <v>K/40/200225/2</v>
      </c>
      <c r="E1261" s="14" t="str">
        <f>IFERROR(__xludf.DUMMYFUNCTION("""COMPUTED_VALUE"""),"Nadian (BT)")</f>
        <v>Nadian (BT)</v>
      </c>
      <c r="F1261" s="14" t="str">
        <f>IFERROR(__xludf.DUMMYFUNCTION("""COMPUTED_VALUE"""),"SELESAI (VIA PERMOHONAN)")</f>
        <v>SELESAI (VIA PERMOHONAN)</v>
      </c>
      <c r="G1261" s="17">
        <f>IFERROR(__xludf.DUMMYFUNCTION("""COMPUTED_VALUE"""),45720.551025057866)</f>
        <v>45720.55103</v>
      </c>
      <c r="H1261" s="14" t="str">
        <f>IFERROR(__xludf.DUMMYFUNCTION("""COMPUTED_VALUE"""),"Bu Eva (SU)")</f>
        <v>Bu Eva (SU)</v>
      </c>
      <c r="I1261" s="13" t="str">
        <f>IFERROR(__xludf.DUMMYFUNCTION("""COMPUTED_VALUE"""),"SELESAI (VIA PERMOHONAN)")</f>
        <v>SELESAI (VIA PERMOHONAN)</v>
      </c>
      <c r="J1261" s="17">
        <f>IFERROR(__xludf.DUMMYFUNCTION("""COMPUTED_VALUE"""),45716.57252128472)</f>
        <v>45716.57252</v>
      </c>
      <c r="K1261" s="13" t="str">
        <f>IFERROR(__xludf.DUMMYFUNCTION("""COMPUTED_VALUE"""),"Selesai")</f>
        <v>Selesai</v>
      </c>
      <c r="L1261" s="17">
        <f>IFERROR(__xludf.DUMMYFUNCTION("""COMPUTED_VALUE"""),45716.57252128472)</f>
        <v>45716.57252</v>
      </c>
      <c r="M1261" s="13"/>
      <c r="N1261" s="13" t="str">
        <f>IFERROR(__xludf.DUMMYFUNCTION("""COMPUTED_VALUE"""),"")</f>
        <v/>
      </c>
      <c r="O1261" s="13" t="str">
        <f t="shared" si="1"/>
        <v/>
      </c>
    </row>
    <row r="1262" ht="22.5" customHeight="1">
      <c r="B1262" s="13">
        <f>IFERROR(__xludf.DUMMYFUNCTION("""COMPUTED_VALUE"""),1257.0)</f>
        <v>1257</v>
      </c>
      <c r="C1262" s="13" t="str">
        <f>IFERROR(__xludf.DUMMYFUNCTION("""COMPUTED_VALUE"""),"M. 29/BUMI KEDAMAIAN")</f>
        <v>M. 29/BUMI KEDAMAIAN</v>
      </c>
      <c r="D1262" s="13" t="str">
        <f>IFERROR(__xludf.DUMMYFUNCTION("""COMPUTED_VALUE"""),"L/2/220225/PELATARAN")</f>
        <v>L/2/220225/PELATARAN</v>
      </c>
      <c r="E1262" s="14" t="str">
        <f>IFERROR(__xludf.DUMMYFUNCTION("""COMPUTED_VALUE"""),"Nadian (BT)")</f>
        <v>Nadian (BT)</v>
      </c>
      <c r="F1262" s="14" t="str">
        <f>IFERROR(__xludf.DUMMYFUNCTION("""COMPUTED_VALUE"""),"SELESAI (VIA PERMOHONAN)")</f>
        <v>SELESAI (VIA PERMOHONAN)</v>
      </c>
      <c r="G1262" s="17">
        <f>IFERROR(__xludf.DUMMYFUNCTION("""COMPUTED_VALUE"""),45720.551025057866)</f>
        <v>45720.55103</v>
      </c>
      <c r="H1262" s="14" t="str">
        <f>IFERROR(__xludf.DUMMYFUNCTION("""COMPUTED_VALUE"""),"Bu Eva (SU)")</f>
        <v>Bu Eva (SU)</v>
      </c>
      <c r="I1262" s="13" t="str">
        <f>IFERROR(__xludf.DUMMYFUNCTION("""COMPUTED_VALUE"""),"SELESAI (VIA PERMOHONAN)")</f>
        <v>SELESAI (VIA PERMOHONAN)</v>
      </c>
      <c r="J1262" s="17">
        <f>IFERROR(__xludf.DUMMYFUNCTION("""COMPUTED_VALUE"""),45716.57252128472)</f>
        <v>45716.57252</v>
      </c>
      <c r="K1262" s="13" t="str">
        <f>IFERROR(__xludf.DUMMYFUNCTION("""COMPUTED_VALUE"""),"Selesai")</f>
        <v>Selesai</v>
      </c>
      <c r="L1262" s="17">
        <f>IFERROR(__xludf.DUMMYFUNCTION("""COMPUTED_VALUE"""),45716.57252128472)</f>
        <v>45716.57252</v>
      </c>
      <c r="M1262" s="13"/>
      <c r="N1262" s="13" t="str">
        <f>IFERROR(__xludf.DUMMYFUNCTION("""COMPUTED_VALUE"""),"")</f>
        <v/>
      </c>
      <c r="O1262" s="13" t="str">
        <f t="shared" si="1"/>
        <v/>
      </c>
    </row>
    <row r="1263" ht="22.5" customHeight="1">
      <c r="B1263" s="13">
        <f>IFERROR(__xludf.DUMMYFUNCTION("""COMPUTED_VALUE"""),1258.0)</f>
        <v>1258</v>
      </c>
      <c r="C1263" s="13" t="str">
        <f>IFERROR(__xludf.DUMMYFUNCTION("""COMPUTED_VALUE"""),"M.331/NUSANTARA PERMAI;B.389/CAMPANG RAYA-DAHULU")</f>
        <v>M.331/NUSANTARA PERMAI;B.389/CAMPANG RAYA-DAHULU</v>
      </c>
      <c r="D1263" s="13" t="str">
        <f>IFERROR(__xludf.DUMMYFUNCTION("""COMPUTED_VALUE"""),"L/18/141024/1")</f>
        <v>L/18/141024/1</v>
      </c>
      <c r="E1263" s="14" t="str">
        <f>IFERROR(__xludf.DUMMYFUNCTION("""COMPUTED_VALUE"""),"Nadian (BT)")</f>
        <v>Nadian (BT)</v>
      </c>
      <c r="F1263" s="14" t="str">
        <f>IFERROR(__xludf.DUMMYFUNCTION("""COMPUTED_VALUE"""),"SELESAI (VIA PERMOHONAN)")</f>
        <v>SELESAI (VIA PERMOHONAN)</v>
      </c>
      <c r="G1263" s="17">
        <f>IFERROR(__xludf.DUMMYFUNCTION("""COMPUTED_VALUE"""),45720.55102506945)</f>
        <v>45720.55103</v>
      </c>
      <c r="H1263" s="14" t="str">
        <f>IFERROR(__xludf.DUMMYFUNCTION("""COMPUTED_VALUE"""),"Bu Eva (SU)")</f>
        <v>Bu Eva (SU)</v>
      </c>
      <c r="I1263" s="13" t="str">
        <f>IFERROR(__xludf.DUMMYFUNCTION("""COMPUTED_VALUE"""),"SELESAI (VIA PERMOHONAN)")</f>
        <v>SELESAI (VIA PERMOHONAN)</v>
      </c>
      <c r="J1263" s="17">
        <f>IFERROR(__xludf.DUMMYFUNCTION("""COMPUTED_VALUE"""),45716.57252128472)</f>
        <v>45716.57252</v>
      </c>
      <c r="K1263" s="13" t="str">
        <f>IFERROR(__xludf.DUMMYFUNCTION("""COMPUTED_VALUE"""),"Selesai")</f>
        <v>Selesai</v>
      </c>
      <c r="L1263" s="17">
        <f>IFERROR(__xludf.DUMMYFUNCTION("""COMPUTED_VALUE"""),45716.57252128472)</f>
        <v>45716.57252</v>
      </c>
      <c r="M1263" s="13"/>
      <c r="N1263" s="13" t="str">
        <f>IFERROR(__xludf.DUMMYFUNCTION("""COMPUTED_VALUE"""),"")</f>
        <v/>
      </c>
      <c r="O1263" s="13" t="str">
        <f t="shared" si="1"/>
        <v/>
      </c>
    </row>
    <row r="1264" ht="22.5" customHeight="1">
      <c r="B1264" s="13">
        <f>IFERROR(__xludf.DUMMYFUNCTION("""COMPUTED_VALUE"""),1259.0)</f>
        <v>1259</v>
      </c>
      <c r="C1264" s="13" t="str">
        <f>IFERROR(__xludf.DUMMYFUNCTION("""COMPUTED_VALUE"""),"M. 1114/ Tanjungkarang")</f>
        <v>M. 1114/ Tanjungkarang</v>
      </c>
      <c r="D1264" s="13" t="str">
        <f>IFERROR(__xludf.DUMMYFUNCTION("""COMPUTED_VALUE"""),"K/10/180225/2")</f>
        <v>K/10/180225/2</v>
      </c>
      <c r="E1264" s="14" t="str">
        <f>IFERROR(__xludf.DUMMYFUNCTION("""COMPUTED_VALUE"""),"Nadian (BT)")</f>
        <v>Nadian (BT)</v>
      </c>
      <c r="F1264" s="14" t="str">
        <f>IFERROR(__xludf.DUMMYFUNCTION("""COMPUTED_VALUE"""),"SELESAI (VIA PERMOHONAN)")</f>
        <v>SELESAI (VIA PERMOHONAN)</v>
      </c>
      <c r="G1264" s="17">
        <f>IFERROR(__xludf.DUMMYFUNCTION("""COMPUTED_VALUE"""),45720.55102506945)</f>
        <v>45720.55103</v>
      </c>
      <c r="H1264" s="14" t="str">
        <f>IFERROR(__xludf.DUMMYFUNCTION("""COMPUTED_VALUE"""),"Bu Eva (SU)")</f>
        <v>Bu Eva (SU)</v>
      </c>
      <c r="I1264" s="13" t="str">
        <f>IFERROR(__xludf.DUMMYFUNCTION("""COMPUTED_VALUE"""),"SELESAI (VIA PERMOHONAN)")</f>
        <v>SELESAI (VIA PERMOHONAN)</v>
      </c>
      <c r="J1264" s="17">
        <f>IFERROR(__xludf.DUMMYFUNCTION("""COMPUTED_VALUE"""),45716.57252128472)</f>
        <v>45716.57252</v>
      </c>
      <c r="K1264" s="13" t="str">
        <f>IFERROR(__xludf.DUMMYFUNCTION("""COMPUTED_VALUE"""),"Selesai")</f>
        <v>Selesai</v>
      </c>
      <c r="L1264" s="17">
        <f>IFERROR(__xludf.DUMMYFUNCTION("""COMPUTED_VALUE"""),45716.57252128472)</f>
        <v>45716.57252</v>
      </c>
      <c r="M1264" s="13"/>
      <c r="N1264" s="13" t="str">
        <f>IFERROR(__xludf.DUMMYFUNCTION("""COMPUTED_VALUE"""),"")</f>
        <v/>
      </c>
      <c r="O1264" s="13" t="str">
        <f t="shared" si="1"/>
        <v/>
      </c>
    </row>
    <row r="1265" ht="22.5" customHeight="1">
      <c r="B1265" s="13">
        <f>IFERROR(__xludf.DUMMYFUNCTION("""COMPUTED_VALUE"""),1260.0)</f>
        <v>1260</v>
      </c>
      <c r="C1265" s="13" t="str">
        <f>IFERROR(__xludf.DUMMYFUNCTION("""COMPUTED_VALUE"""),"M. 2162/ Bakung")</f>
        <v>M. 2162/ Bakung</v>
      </c>
      <c r="D1265" s="13" t="str">
        <f>IFERROR(__xludf.DUMMYFUNCTION("""COMPUTED_VALUE"""),"K/24/140125/1")</f>
        <v>K/24/140125/1</v>
      </c>
      <c r="E1265" s="14" t="str">
        <f>IFERROR(__xludf.DUMMYFUNCTION("""COMPUTED_VALUE"""),"Nadian (BT)")</f>
        <v>Nadian (BT)</v>
      </c>
      <c r="F1265" s="14" t="str">
        <f>IFERROR(__xludf.DUMMYFUNCTION("""COMPUTED_VALUE"""),"SELESAI (VIA PERMOHONAN)")</f>
        <v>SELESAI (VIA PERMOHONAN)</v>
      </c>
      <c r="G1265" s="17">
        <f>IFERROR(__xludf.DUMMYFUNCTION("""COMPUTED_VALUE"""),45720.55102506945)</f>
        <v>45720.55103</v>
      </c>
      <c r="H1265" s="14" t="str">
        <f>IFERROR(__xludf.DUMMYFUNCTION("""COMPUTED_VALUE"""),"Bu Eva (SU)")</f>
        <v>Bu Eva (SU)</v>
      </c>
      <c r="I1265" s="13" t="str">
        <f>IFERROR(__xludf.DUMMYFUNCTION("""COMPUTED_VALUE"""),"SELESAI (VIA PERMOHONAN)")</f>
        <v>SELESAI (VIA PERMOHONAN)</v>
      </c>
      <c r="J1265" s="17">
        <f>IFERROR(__xludf.DUMMYFUNCTION("""COMPUTED_VALUE"""),45716.57252128472)</f>
        <v>45716.57252</v>
      </c>
      <c r="K1265" s="13" t="str">
        <f>IFERROR(__xludf.DUMMYFUNCTION("""COMPUTED_VALUE"""),"Selesai")</f>
        <v>Selesai</v>
      </c>
      <c r="L1265" s="17">
        <f>IFERROR(__xludf.DUMMYFUNCTION("""COMPUTED_VALUE"""),45716.57252128472)</f>
        <v>45716.57252</v>
      </c>
      <c r="M1265" s="13"/>
      <c r="N1265" s="13" t="str">
        <f>IFERROR(__xludf.DUMMYFUNCTION("""COMPUTED_VALUE"""),"")</f>
        <v/>
      </c>
      <c r="O1265" s="13" t="str">
        <f t="shared" si="1"/>
        <v/>
      </c>
    </row>
    <row r="1266" ht="22.5" customHeight="1">
      <c r="B1266" s="13">
        <f>IFERROR(__xludf.DUMMYFUNCTION("""COMPUTED_VALUE"""),1261.0)</f>
        <v>1261</v>
      </c>
      <c r="C1266" s="13" t="str">
        <f>IFERROR(__xludf.DUMMYFUNCTION("""COMPUTED_VALUE"""),"M. 354/ Sukarame Baru")</f>
        <v>M. 354/ Sukarame Baru</v>
      </c>
      <c r="D1266" s="13" t="str">
        <f>IFERROR(__xludf.DUMMYFUNCTION("""COMPUTED_VALUE"""),"K/26/130225/1")</f>
        <v>K/26/130225/1</v>
      </c>
      <c r="E1266" s="14" t="str">
        <f>IFERROR(__xludf.DUMMYFUNCTION("""COMPUTED_VALUE"""),"Nadian (BT)")</f>
        <v>Nadian (BT)</v>
      </c>
      <c r="F1266" s="14" t="str">
        <f>IFERROR(__xludf.DUMMYFUNCTION("""COMPUTED_VALUE"""),"SELESAI (VIA PERMOHONAN)")</f>
        <v>SELESAI (VIA PERMOHONAN)</v>
      </c>
      <c r="G1266" s="17">
        <f>IFERROR(__xludf.DUMMYFUNCTION("""COMPUTED_VALUE"""),45720.55102506945)</f>
        <v>45720.55103</v>
      </c>
      <c r="H1266" s="14" t="str">
        <f>IFERROR(__xludf.DUMMYFUNCTION("""COMPUTED_VALUE"""),"Bu Eva (SU)")</f>
        <v>Bu Eva (SU)</v>
      </c>
      <c r="I1266" s="13" t="str">
        <f>IFERROR(__xludf.DUMMYFUNCTION("""COMPUTED_VALUE"""),"SELESAI (VIA PERMOHONAN)")</f>
        <v>SELESAI (VIA PERMOHONAN)</v>
      </c>
      <c r="J1266" s="17">
        <f>IFERROR(__xludf.DUMMYFUNCTION("""COMPUTED_VALUE"""),45716.57252128472)</f>
        <v>45716.57252</v>
      </c>
      <c r="K1266" s="13" t="str">
        <f>IFERROR(__xludf.DUMMYFUNCTION("""COMPUTED_VALUE"""),"Selesai")</f>
        <v>Selesai</v>
      </c>
      <c r="L1266" s="17">
        <f>IFERROR(__xludf.DUMMYFUNCTION("""COMPUTED_VALUE"""),45716.57252128472)</f>
        <v>45716.57252</v>
      </c>
      <c r="M1266" s="13"/>
      <c r="N1266" s="13" t="str">
        <f>IFERROR(__xludf.DUMMYFUNCTION("""COMPUTED_VALUE"""),"")</f>
        <v/>
      </c>
      <c r="O1266" s="13" t="str">
        <f t="shared" si="1"/>
        <v/>
      </c>
    </row>
    <row r="1267" ht="22.5" customHeight="1">
      <c r="B1267" s="13">
        <f>IFERROR(__xludf.DUMMYFUNCTION("""COMPUTED_VALUE"""),1262.0)</f>
        <v>1262</v>
      </c>
      <c r="C1267" s="13" t="str">
        <f>IFERROR(__xludf.DUMMYFUNCTION("""COMPUTED_VALUE"""),"M.15677/SUKABUMI")</f>
        <v>M.15677/SUKABUMI</v>
      </c>
      <c r="D1267" s="13" t="str">
        <f>IFERROR(__xludf.DUMMYFUNCTION("""COMPUTED_VALUE"""),"K/26/190225/1")</f>
        <v>K/26/190225/1</v>
      </c>
      <c r="E1267" s="14" t="str">
        <f>IFERROR(__xludf.DUMMYFUNCTION("""COMPUTED_VALUE"""),"Nadian (BT)")</f>
        <v>Nadian (BT)</v>
      </c>
      <c r="F1267" s="14" t="str">
        <f>IFERROR(__xludf.DUMMYFUNCTION("""COMPUTED_VALUE"""),"SELESAI (VIA PERMOHONAN)")</f>
        <v>SELESAI (VIA PERMOHONAN)</v>
      </c>
      <c r="G1267" s="17">
        <f>IFERROR(__xludf.DUMMYFUNCTION("""COMPUTED_VALUE"""),45720.55102506945)</f>
        <v>45720.55103</v>
      </c>
      <c r="H1267" s="14" t="str">
        <f>IFERROR(__xludf.DUMMYFUNCTION("""COMPUTED_VALUE"""),"Bu Eva (SU)")</f>
        <v>Bu Eva (SU)</v>
      </c>
      <c r="I1267" s="13" t="str">
        <f>IFERROR(__xludf.DUMMYFUNCTION("""COMPUTED_VALUE"""),"SELESAI (VIA PERMOHONAN)")</f>
        <v>SELESAI (VIA PERMOHONAN)</v>
      </c>
      <c r="J1267" s="17">
        <f>IFERROR(__xludf.DUMMYFUNCTION("""COMPUTED_VALUE"""),45716.57252128472)</f>
        <v>45716.57252</v>
      </c>
      <c r="K1267" s="13" t="str">
        <f>IFERROR(__xludf.DUMMYFUNCTION("""COMPUTED_VALUE"""),"Selesai")</f>
        <v>Selesai</v>
      </c>
      <c r="L1267" s="17">
        <f>IFERROR(__xludf.DUMMYFUNCTION("""COMPUTED_VALUE"""),45716.57252128472)</f>
        <v>45716.57252</v>
      </c>
      <c r="M1267" s="13"/>
      <c r="N1267" s="13" t="str">
        <f>IFERROR(__xludf.DUMMYFUNCTION("""COMPUTED_VALUE"""),"")</f>
        <v/>
      </c>
      <c r="O1267" s="13" t="str">
        <f t="shared" si="1"/>
        <v/>
      </c>
    </row>
    <row r="1268" ht="22.5" customHeight="1">
      <c r="B1268" s="13">
        <f>IFERROR(__xludf.DUMMYFUNCTION("""COMPUTED_VALUE"""),1263.0)</f>
        <v>1263</v>
      </c>
      <c r="C1268" s="13" t="str">
        <f>IFERROR(__xludf.DUMMYFUNCTION("""COMPUTED_VALUE"""),"M.4184/CAMPANG RAYA")</f>
        <v>M.4184/CAMPANG RAYA</v>
      </c>
      <c r="D1268" s="13" t="str">
        <f>IFERROR(__xludf.DUMMYFUNCTION("""COMPUTED_VALUE"""),"K/32/190225/1")</f>
        <v>K/32/190225/1</v>
      </c>
      <c r="E1268" s="14" t="str">
        <f>IFERROR(__xludf.DUMMYFUNCTION("""COMPUTED_VALUE"""),"Nadian (BT)")</f>
        <v>Nadian (BT)</v>
      </c>
      <c r="F1268" s="14" t="str">
        <f>IFERROR(__xludf.DUMMYFUNCTION("""COMPUTED_VALUE"""),"SELESAI (VIA PERMOHONAN)")</f>
        <v>SELESAI (VIA PERMOHONAN)</v>
      </c>
      <c r="G1268" s="17">
        <f>IFERROR(__xludf.DUMMYFUNCTION("""COMPUTED_VALUE"""),45720.55102506945)</f>
        <v>45720.55103</v>
      </c>
      <c r="H1268" s="14" t="str">
        <f>IFERROR(__xludf.DUMMYFUNCTION("""COMPUTED_VALUE"""),"Bu Eva (SU)")</f>
        <v>Bu Eva (SU)</v>
      </c>
      <c r="I1268" s="13" t="str">
        <f>IFERROR(__xludf.DUMMYFUNCTION("""COMPUTED_VALUE"""),"SELESAI (VIA PERMOHONAN)")</f>
        <v>SELESAI (VIA PERMOHONAN)</v>
      </c>
      <c r="J1268" s="17">
        <f>IFERROR(__xludf.DUMMYFUNCTION("""COMPUTED_VALUE"""),45716.57257174769)</f>
        <v>45716.57257</v>
      </c>
      <c r="K1268" s="13" t="str">
        <f>IFERROR(__xludf.DUMMYFUNCTION("""COMPUTED_VALUE"""),"Selesai")</f>
        <v>Selesai</v>
      </c>
      <c r="L1268" s="17">
        <f>IFERROR(__xludf.DUMMYFUNCTION("""COMPUTED_VALUE"""),45716.57257174769)</f>
        <v>45716.57257</v>
      </c>
      <c r="M1268" s="13"/>
      <c r="N1268" s="13" t="str">
        <f>IFERROR(__xludf.DUMMYFUNCTION("""COMPUTED_VALUE"""),"")</f>
        <v/>
      </c>
      <c r="O1268" s="13" t="str">
        <f t="shared" si="1"/>
        <v/>
      </c>
    </row>
    <row r="1269" ht="22.5" customHeight="1">
      <c r="B1269" s="13">
        <f>IFERROR(__xludf.DUMMYFUNCTION("""COMPUTED_VALUE"""),1264.0)</f>
        <v>1264</v>
      </c>
      <c r="C1269" s="13" t="str">
        <f>IFERROR(__xludf.DUMMYFUNCTION("""COMPUTED_VALUE"""),"B. 1009/ kemiling Permai")</f>
        <v>B. 1009/ kemiling Permai</v>
      </c>
      <c r="D1269" s="13" t="str">
        <f>IFERROR(__xludf.DUMMYFUNCTION("""COMPUTED_VALUE"""),"K/6/200225/4")</f>
        <v>K/6/200225/4</v>
      </c>
      <c r="E1269" s="14" t="str">
        <f>IFERROR(__xludf.DUMMYFUNCTION("""COMPUTED_VALUE"""),"Nadian (BT)")</f>
        <v>Nadian (BT)</v>
      </c>
      <c r="F1269" s="14" t="str">
        <f>IFERROR(__xludf.DUMMYFUNCTION("""COMPUTED_VALUE"""),"SELESAI (VIA PERMOHONAN)")</f>
        <v>SELESAI (VIA PERMOHONAN)</v>
      </c>
      <c r="G1269" s="17">
        <f>IFERROR(__xludf.DUMMYFUNCTION("""COMPUTED_VALUE"""),45720.55102506945)</f>
        <v>45720.55103</v>
      </c>
      <c r="H1269" s="14" t="str">
        <f>IFERROR(__xludf.DUMMYFUNCTION("""COMPUTED_VALUE"""),"Bu Eva (SU)")</f>
        <v>Bu Eva (SU)</v>
      </c>
      <c r="I1269" s="13" t="str">
        <f>IFERROR(__xludf.DUMMYFUNCTION("""COMPUTED_VALUE"""),"SELESAI (VIA PERMOHONAN)")</f>
        <v>SELESAI (VIA PERMOHONAN)</v>
      </c>
      <c r="J1269" s="17">
        <f>IFERROR(__xludf.DUMMYFUNCTION("""COMPUTED_VALUE"""),45716.57257174769)</f>
        <v>45716.57257</v>
      </c>
      <c r="K1269" s="13" t="str">
        <f>IFERROR(__xludf.DUMMYFUNCTION("""COMPUTED_VALUE"""),"Selesai")</f>
        <v>Selesai</v>
      </c>
      <c r="L1269" s="17">
        <f>IFERROR(__xludf.DUMMYFUNCTION("""COMPUTED_VALUE"""),45716.57257174769)</f>
        <v>45716.57257</v>
      </c>
      <c r="M1269" s="13"/>
      <c r="N1269" s="13" t="str">
        <f>IFERROR(__xludf.DUMMYFUNCTION("""COMPUTED_VALUE"""),"")</f>
        <v/>
      </c>
      <c r="O1269" s="13" t="str">
        <f t="shared" si="1"/>
        <v/>
      </c>
    </row>
    <row r="1270" ht="22.5" customHeight="1">
      <c r="B1270" s="13">
        <f>IFERROR(__xludf.DUMMYFUNCTION("""COMPUTED_VALUE"""),1265.0)</f>
        <v>1265</v>
      </c>
      <c r="C1270" s="13" t="str">
        <f>IFERROR(__xludf.DUMMYFUNCTION("""COMPUTED_VALUE"""),"B. 989/ Kemiling Permai")</f>
        <v>B. 989/ Kemiling Permai</v>
      </c>
      <c r="D1270" s="13" t="str">
        <f>IFERROR(__xludf.DUMMYFUNCTION("""COMPUTED_VALUE"""),"K/12/210225/2")</f>
        <v>K/12/210225/2</v>
      </c>
      <c r="E1270" s="14" t="str">
        <f>IFERROR(__xludf.DUMMYFUNCTION("""COMPUTED_VALUE"""),"Nadian (BT)")</f>
        <v>Nadian (BT)</v>
      </c>
      <c r="F1270" s="14" t="str">
        <f>IFERROR(__xludf.DUMMYFUNCTION("""COMPUTED_VALUE"""),"SELESAI (VIA PERMOHONAN)")</f>
        <v>SELESAI (VIA PERMOHONAN)</v>
      </c>
      <c r="G1270" s="17">
        <f>IFERROR(__xludf.DUMMYFUNCTION("""COMPUTED_VALUE"""),45720.55102506945)</f>
        <v>45720.55103</v>
      </c>
      <c r="H1270" s="14" t="str">
        <f>IFERROR(__xludf.DUMMYFUNCTION("""COMPUTED_VALUE"""),"Bu Eva (SU)")</f>
        <v>Bu Eva (SU)</v>
      </c>
      <c r="I1270" s="13" t="str">
        <f>IFERROR(__xludf.DUMMYFUNCTION("""COMPUTED_VALUE"""),"SELESAI (VIA PERMOHONAN)")</f>
        <v>SELESAI (VIA PERMOHONAN)</v>
      </c>
      <c r="J1270" s="17">
        <f>IFERROR(__xludf.DUMMYFUNCTION("""COMPUTED_VALUE"""),45716.57257174769)</f>
        <v>45716.57257</v>
      </c>
      <c r="K1270" s="13" t="str">
        <f>IFERROR(__xludf.DUMMYFUNCTION("""COMPUTED_VALUE"""),"Selesai")</f>
        <v>Selesai</v>
      </c>
      <c r="L1270" s="17">
        <f>IFERROR(__xludf.DUMMYFUNCTION("""COMPUTED_VALUE"""),45716.57257174769)</f>
        <v>45716.57257</v>
      </c>
      <c r="M1270" s="13"/>
      <c r="N1270" s="13" t="str">
        <f>IFERROR(__xludf.DUMMYFUNCTION("""COMPUTED_VALUE"""),"")</f>
        <v/>
      </c>
      <c r="O1270" s="13" t="str">
        <f t="shared" si="1"/>
        <v/>
      </c>
    </row>
    <row r="1271" ht="22.5" customHeight="1">
      <c r="B1271" s="13">
        <f>IFERROR(__xludf.DUMMYFUNCTION("""COMPUTED_VALUE"""),1266.0)</f>
        <v>1266</v>
      </c>
      <c r="C1271" s="13" t="str">
        <f>IFERROR(__xludf.DUMMYFUNCTION("""COMPUTED_VALUE"""),"M. 2293/ Sepang Jaya")</f>
        <v>M. 2293/ Sepang Jaya</v>
      </c>
      <c r="D1271" s="13" t="str">
        <f>IFERROR(__xludf.DUMMYFUNCTION("""COMPUTED_VALUE"""),"K/15/110225/1")</f>
        <v>K/15/110225/1</v>
      </c>
      <c r="E1271" s="14" t="str">
        <f>IFERROR(__xludf.DUMMYFUNCTION("""COMPUTED_VALUE"""),"Nadian (BT)")</f>
        <v>Nadian (BT)</v>
      </c>
      <c r="F1271" s="14" t="str">
        <f>IFERROR(__xludf.DUMMYFUNCTION("""COMPUTED_VALUE"""),"SELESAI (VIA PERMOHONAN)")</f>
        <v>SELESAI (VIA PERMOHONAN)</v>
      </c>
      <c r="G1271" s="17">
        <f>IFERROR(__xludf.DUMMYFUNCTION("""COMPUTED_VALUE"""),45720.55102506945)</f>
        <v>45720.55103</v>
      </c>
      <c r="H1271" s="14" t="str">
        <f>IFERROR(__xludf.DUMMYFUNCTION("""COMPUTED_VALUE"""),"Bu Eva (SU)")</f>
        <v>Bu Eva (SU)</v>
      </c>
      <c r="I1271" s="13" t="str">
        <f>IFERROR(__xludf.DUMMYFUNCTION("""COMPUTED_VALUE"""),"SELESAI (VIA PERMOHONAN)")</f>
        <v>SELESAI (VIA PERMOHONAN)</v>
      </c>
      <c r="J1271" s="17">
        <f>IFERROR(__xludf.DUMMYFUNCTION("""COMPUTED_VALUE"""),45716.57257174769)</f>
        <v>45716.57257</v>
      </c>
      <c r="K1271" s="13" t="str">
        <f>IFERROR(__xludf.DUMMYFUNCTION("""COMPUTED_VALUE"""),"Selesai")</f>
        <v>Selesai</v>
      </c>
      <c r="L1271" s="17">
        <f>IFERROR(__xludf.DUMMYFUNCTION("""COMPUTED_VALUE"""),45716.57257174769)</f>
        <v>45716.57257</v>
      </c>
      <c r="M1271" s="13"/>
      <c r="N1271" s="13" t="str">
        <f>IFERROR(__xludf.DUMMYFUNCTION("""COMPUTED_VALUE"""),"")</f>
        <v/>
      </c>
      <c r="O1271" s="13" t="str">
        <f t="shared" si="1"/>
        <v/>
      </c>
    </row>
    <row r="1272" ht="22.5" customHeight="1">
      <c r="B1272" s="13">
        <f>IFERROR(__xludf.DUMMYFUNCTION("""COMPUTED_VALUE"""),1267.0)</f>
        <v>1267</v>
      </c>
      <c r="C1272" s="13" t="str">
        <f>IFERROR(__xludf.DUMMYFUNCTION("""COMPUTED_VALUE"""),"B. 922/ kemiling Permai")</f>
        <v>B. 922/ kemiling Permai</v>
      </c>
      <c r="D1272" s="13" t="str">
        <f>IFERROR(__xludf.DUMMYFUNCTION("""COMPUTED_VALUE"""),"K/11/210225/1")</f>
        <v>K/11/210225/1</v>
      </c>
      <c r="E1272" s="14" t="str">
        <f>IFERROR(__xludf.DUMMYFUNCTION("""COMPUTED_VALUE"""),"Nadian (BT)")</f>
        <v>Nadian (BT)</v>
      </c>
      <c r="F1272" s="14" t="str">
        <f>IFERROR(__xludf.DUMMYFUNCTION("""COMPUTED_VALUE"""),"SELESAI (VIA PERMOHONAN)")</f>
        <v>SELESAI (VIA PERMOHONAN)</v>
      </c>
      <c r="G1272" s="17">
        <f>IFERROR(__xludf.DUMMYFUNCTION("""COMPUTED_VALUE"""),45720.55102506945)</f>
        <v>45720.55103</v>
      </c>
      <c r="H1272" s="14" t="str">
        <f>IFERROR(__xludf.DUMMYFUNCTION("""COMPUTED_VALUE"""),"Bu Eva (SU)")</f>
        <v>Bu Eva (SU)</v>
      </c>
      <c r="I1272" s="13" t="str">
        <f>IFERROR(__xludf.DUMMYFUNCTION("""COMPUTED_VALUE"""),"SELESAI (VIA PERMOHONAN)")</f>
        <v>SELESAI (VIA PERMOHONAN)</v>
      </c>
      <c r="J1272" s="17">
        <f>IFERROR(__xludf.DUMMYFUNCTION("""COMPUTED_VALUE"""),45716.57257174769)</f>
        <v>45716.57257</v>
      </c>
      <c r="K1272" s="13" t="str">
        <f>IFERROR(__xludf.DUMMYFUNCTION("""COMPUTED_VALUE"""),"Selesai")</f>
        <v>Selesai</v>
      </c>
      <c r="L1272" s="17">
        <f>IFERROR(__xludf.DUMMYFUNCTION("""COMPUTED_VALUE"""),45716.57257174769)</f>
        <v>45716.57257</v>
      </c>
      <c r="M1272" s="13"/>
      <c r="N1272" s="13" t="str">
        <f>IFERROR(__xludf.DUMMYFUNCTION("""COMPUTED_VALUE"""),"")</f>
        <v/>
      </c>
      <c r="O1272" s="13" t="str">
        <f t="shared" si="1"/>
        <v/>
      </c>
    </row>
    <row r="1273" ht="22.5" customHeight="1">
      <c r="B1273" s="13">
        <f>IFERROR(__xludf.DUMMYFUNCTION("""COMPUTED_VALUE"""),1268.0)</f>
        <v>1268</v>
      </c>
      <c r="C1273" s="13" t="str">
        <f>IFERROR(__xludf.DUMMYFUNCTION("""COMPUTED_VALUE"""),"B. 1064/ kemiling Permai")</f>
        <v>B. 1064/ kemiling Permai</v>
      </c>
      <c r="D1273" s="13" t="str">
        <f>IFERROR(__xludf.DUMMYFUNCTION("""COMPUTED_VALUE"""),"K/3/200225/1")</f>
        <v>K/3/200225/1</v>
      </c>
      <c r="E1273" s="14" t="str">
        <f>IFERROR(__xludf.DUMMYFUNCTION("""COMPUTED_VALUE"""),"Nadian (BT)")</f>
        <v>Nadian (BT)</v>
      </c>
      <c r="F1273" s="14" t="str">
        <f>IFERROR(__xludf.DUMMYFUNCTION("""COMPUTED_VALUE"""),"SELESAI (VIA PERMOHONAN)")</f>
        <v>SELESAI (VIA PERMOHONAN)</v>
      </c>
      <c r="G1273" s="17">
        <f>IFERROR(__xludf.DUMMYFUNCTION("""COMPUTED_VALUE"""),45720.55102508102)</f>
        <v>45720.55103</v>
      </c>
      <c r="H1273" s="14" t="str">
        <f>IFERROR(__xludf.DUMMYFUNCTION("""COMPUTED_VALUE"""),"Bu Eva (SU)")</f>
        <v>Bu Eva (SU)</v>
      </c>
      <c r="I1273" s="13" t="str">
        <f>IFERROR(__xludf.DUMMYFUNCTION("""COMPUTED_VALUE"""),"SELESAI (VIA PERMOHONAN)")</f>
        <v>SELESAI (VIA PERMOHONAN)</v>
      </c>
      <c r="J1273" s="17">
        <f>IFERROR(__xludf.DUMMYFUNCTION("""COMPUTED_VALUE"""),45716.57257174769)</f>
        <v>45716.57257</v>
      </c>
      <c r="K1273" s="13" t="str">
        <f>IFERROR(__xludf.DUMMYFUNCTION("""COMPUTED_VALUE"""),"Selesai")</f>
        <v>Selesai</v>
      </c>
      <c r="L1273" s="17">
        <f>IFERROR(__xludf.DUMMYFUNCTION("""COMPUTED_VALUE"""),45716.57257174769)</f>
        <v>45716.57257</v>
      </c>
      <c r="M1273" s="13"/>
      <c r="N1273" s="13" t="str">
        <f>IFERROR(__xludf.DUMMYFUNCTION("""COMPUTED_VALUE"""),"")</f>
        <v/>
      </c>
      <c r="O1273" s="13" t="str">
        <f t="shared" si="1"/>
        <v/>
      </c>
    </row>
    <row r="1274" ht="22.5" customHeight="1">
      <c r="B1274" s="13">
        <f>IFERROR(__xludf.DUMMYFUNCTION("""COMPUTED_VALUE"""),1269.0)</f>
        <v>1269</v>
      </c>
      <c r="C1274" s="13" t="str">
        <f>IFERROR(__xludf.DUMMYFUNCTION("""COMPUTED_VALUE"""),"B. 1063/ Kemiling Permai")</f>
        <v>B. 1063/ Kemiling Permai</v>
      </c>
      <c r="D1274" s="13" t="str">
        <f>IFERROR(__xludf.DUMMYFUNCTION("""COMPUTED_VALUE"""),"K/5/200225/3")</f>
        <v>K/5/200225/3</v>
      </c>
      <c r="E1274" s="14" t="str">
        <f>IFERROR(__xludf.DUMMYFUNCTION("""COMPUTED_VALUE"""),"Nadian (BT)")</f>
        <v>Nadian (BT)</v>
      </c>
      <c r="F1274" s="14" t="str">
        <f>IFERROR(__xludf.DUMMYFUNCTION("""COMPUTED_VALUE"""),"SELESAI (VIA PERMOHONAN)")</f>
        <v>SELESAI (VIA PERMOHONAN)</v>
      </c>
      <c r="G1274" s="17">
        <f>IFERROR(__xludf.DUMMYFUNCTION("""COMPUTED_VALUE"""),45720.55102508102)</f>
        <v>45720.55103</v>
      </c>
      <c r="H1274" s="14" t="str">
        <f>IFERROR(__xludf.DUMMYFUNCTION("""COMPUTED_VALUE"""),"Bu Eva (SU)")</f>
        <v>Bu Eva (SU)</v>
      </c>
      <c r="I1274" s="13" t="str">
        <f>IFERROR(__xludf.DUMMYFUNCTION("""COMPUTED_VALUE"""),"SELESAI (VIA PERMOHONAN)")</f>
        <v>SELESAI (VIA PERMOHONAN)</v>
      </c>
      <c r="J1274" s="17">
        <f>IFERROR(__xludf.DUMMYFUNCTION("""COMPUTED_VALUE"""),45716.57257174769)</f>
        <v>45716.57257</v>
      </c>
      <c r="K1274" s="13" t="str">
        <f>IFERROR(__xludf.DUMMYFUNCTION("""COMPUTED_VALUE"""),"Selesai")</f>
        <v>Selesai</v>
      </c>
      <c r="L1274" s="17">
        <f>IFERROR(__xludf.DUMMYFUNCTION("""COMPUTED_VALUE"""),45716.57257174769)</f>
        <v>45716.57257</v>
      </c>
      <c r="M1274" s="13"/>
      <c r="N1274" s="13" t="str">
        <f>IFERROR(__xludf.DUMMYFUNCTION("""COMPUTED_VALUE"""),"")</f>
        <v/>
      </c>
      <c r="O1274" s="13" t="str">
        <f t="shared" si="1"/>
        <v/>
      </c>
    </row>
    <row r="1275" ht="22.5" customHeight="1">
      <c r="B1275" s="13">
        <f>IFERROR(__xludf.DUMMYFUNCTION("""COMPUTED_VALUE"""),1270.0)</f>
        <v>1270</v>
      </c>
      <c r="C1275" s="13" t="str">
        <f>IFERROR(__xludf.DUMMYFUNCTION("""COMPUTED_VALUE"""),"M.1987/KALI BALAU KENCANA")</f>
        <v>M.1987/KALI BALAU KENCANA</v>
      </c>
      <c r="D1275" s="13" t="str">
        <f>IFERROR(__xludf.DUMMYFUNCTION("""COMPUTED_VALUE"""),"K/30/210225/1")</f>
        <v>K/30/210225/1</v>
      </c>
      <c r="E1275" s="14" t="str">
        <f>IFERROR(__xludf.DUMMYFUNCTION("""COMPUTED_VALUE"""),"Nadian (BT)")</f>
        <v>Nadian (BT)</v>
      </c>
      <c r="F1275" s="14" t="str">
        <f>IFERROR(__xludf.DUMMYFUNCTION("""COMPUTED_VALUE"""),"SELESAI (VIA PERMOHONAN)")</f>
        <v>SELESAI (VIA PERMOHONAN)</v>
      </c>
      <c r="G1275" s="17">
        <f>IFERROR(__xludf.DUMMYFUNCTION("""COMPUTED_VALUE"""),45720.55102508102)</f>
        <v>45720.55103</v>
      </c>
      <c r="H1275" s="14" t="str">
        <f>IFERROR(__xludf.DUMMYFUNCTION("""COMPUTED_VALUE"""),"Bu Eva (SU)")</f>
        <v>Bu Eva (SU)</v>
      </c>
      <c r="I1275" s="13" t="str">
        <f>IFERROR(__xludf.DUMMYFUNCTION("""COMPUTED_VALUE"""),"SELESAI (VIA PERMOHONAN)")</f>
        <v>SELESAI (VIA PERMOHONAN)</v>
      </c>
      <c r="J1275" s="17">
        <f>IFERROR(__xludf.DUMMYFUNCTION("""COMPUTED_VALUE"""),45716.57257174769)</f>
        <v>45716.57257</v>
      </c>
      <c r="K1275" s="13" t="str">
        <f>IFERROR(__xludf.DUMMYFUNCTION("""COMPUTED_VALUE"""),"Selesai")</f>
        <v>Selesai</v>
      </c>
      <c r="L1275" s="17">
        <f>IFERROR(__xludf.DUMMYFUNCTION("""COMPUTED_VALUE"""),45716.57257174769)</f>
        <v>45716.57257</v>
      </c>
      <c r="M1275" s="13"/>
      <c r="N1275" s="13" t="str">
        <f>IFERROR(__xludf.DUMMYFUNCTION("""COMPUTED_VALUE"""),"")</f>
        <v/>
      </c>
      <c r="O1275" s="13" t="str">
        <f t="shared" si="1"/>
        <v/>
      </c>
    </row>
    <row r="1276" ht="22.5" customHeight="1">
      <c r="B1276" s="13">
        <f>IFERROR(__xludf.DUMMYFUNCTION("""COMPUTED_VALUE"""),1271.0)</f>
        <v>1271</v>
      </c>
      <c r="C1276" s="13" t="str">
        <f>IFERROR(__xludf.DUMMYFUNCTION("""COMPUTED_VALUE"""),"B.652/SUMBER AGUNG")</f>
        <v>B.652/SUMBER AGUNG</v>
      </c>
      <c r="D1276" s="13" t="str">
        <f>IFERROR(__xludf.DUMMYFUNCTION("""COMPUTED_VALUE"""),"K/7/210225/2")</f>
        <v>K/7/210225/2</v>
      </c>
      <c r="E1276" s="14" t="str">
        <f>IFERROR(__xludf.DUMMYFUNCTION("""COMPUTED_VALUE"""),"Nadian (BT)")</f>
        <v>Nadian (BT)</v>
      </c>
      <c r="F1276" s="14" t="str">
        <f>IFERROR(__xludf.DUMMYFUNCTION("""COMPUTED_VALUE"""),"SELESAI (VIA PERMOHONAN)")</f>
        <v>SELESAI (VIA PERMOHONAN)</v>
      </c>
      <c r="G1276" s="17">
        <f>IFERROR(__xludf.DUMMYFUNCTION("""COMPUTED_VALUE"""),45720.55102508102)</f>
        <v>45720.55103</v>
      </c>
      <c r="H1276" s="14" t="str">
        <f>IFERROR(__xludf.DUMMYFUNCTION("""COMPUTED_VALUE"""),"Bu Eva (SU)")</f>
        <v>Bu Eva (SU)</v>
      </c>
      <c r="I1276" s="13" t="str">
        <f>IFERROR(__xludf.DUMMYFUNCTION("""COMPUTED_VALUE"""),"SELESAI (VIA PERMOHONAN)")</f>
        <v>SELESAI (VIA PERMOHONAN)</v>
      </c>
      <c r="J1276" s="17">
        <f>IFERROR(__xludf.DUMMYFUNCTION("""COMPUTED_VALUE"""),45716.57257174769)</f>
        <v>45716.57257</v>
      </c>
      <c r="K1276" s="13" t="str">
        <f>IFERROR(__xludf.DUMMYFUNCTION("""COMPUTED_VALUE"""),"Selesai")</f>
        <v>Selesai</v>
      </c>
      <c r="L1276" s="17">
        <f>IFERROR(__xludf.DUMMYFUNCTION("""COMPUTED_VALUE"""),45716.57257174769)</f>
        <v>45716.57257</v>
      </c>
      <c r="M1276" s="13"/>
      <c r="N1276" s="13" t="str">
        <f>IFERROR(__xludf.DUMMYFUNCTION("""COMPUTED_VALUE"""),"")</f>
        <v/>
      </c>
      <c r="O1276" s="13" t="str">
        <f t="shared" si="1"/>
        <v/>
      </c>
    </row>
    <row r="1277" ht="22.5" customHeight="1">
      <c r="B1277" s="13">
        <f>IFERROR(__xludf.DUMMYFUNCTION("""COMPUTED_VALUE"""),1272.0)</f>
        <v>1272</v>
      </c>
      <c r="C1277" s="13" t="str">
        <f>IFERROR(__xludf.DUMMYFUNCTION("""COMPUTED_VALUE"""),"M. 599/KALI BALAU KENCANA")</f>
        <v>M. 599/KALI BALAU KENCANA</v>
      </c>
      <c r="D1277" s="13" t="str">
        <f>IFERROR(__xludf.DUMMYFUNCTION("""COMPUTED_VALUE"""),"K/31/210225/2")</f>
        <v>K/31/210225/2</v>
      </c>
      <c r="E1277" s="14" t="str">
        <f>IFERROR(__xludf.DUMMYFUNCTION("""COMPUTED_VALUE"""),"Nadian (BT)")</f>
        <v>Nadian (BT)</v>
      </c>
      <c r="F1277" s="14" t="str">
        <f>IFERROR(__xludf.DUMMYFUNCTION("""COMPUTED_VALUE"""),"SELESAI (VIA PERMOHONAN)")</f>
        <v>SELESAI (VIA PERMOHONAN)</v>
      </c>
      <c r="G1277" s="17">
        <f>IFERROR(__xludf.DUMMYFUNCTION("""COMPUTED_VALUE"""),45720.55102508102)</f>
        <v>45720.55103</v>
      </c>
      <c r="H1277" s="14" t="str">
        <f>IFERROR(__xludf.DUMMYFUNCTION("""COMPUTED_VALUE"""),"Bu Eva (SU)")</f>
        <v>Bu Eva (SU)</v>
      </c>
      <c r="I1277" s="13" t="str">
        <f>IFERROR(__xludf.DUMMYFUNCTION("""COMPUTED_VALUE"""),"SELESAI (VIA PERMOHONAN)")</f>
        <v>SELESAI (VIA PERMOHONAN)</v>
      </c>
      <c r="J1277" s="17">
        <f>IFERROR(__xludf.DUMMYFUNCTION("""COMPUTED_VALUE"""),45716.57257174769)</f>
        <v>45716.57257</v>
      </c>
      <c r="K1277" s="13" t="str">
        <f>IFERROR(__xludf.DUMMYFUNCTION("""COMPUTED_VALUE"""),"Selesai")</f>
        <v>Selesai</v>
      </c>
      <c r="L1277" s="17">
        <f>IFERROR(__xludf.DUMMYFUNCTION("""COMPUTED_VALUE"""),45716.57257174769)</f>
        <v>45716.57257</v>
      </c>
      <c r="M1277" s="13"/>
      <c r="N1277" s="13" t="str">
        <f>IFERROR(__xludf.DUMMYFUNCTION("""COMPUTED_VALUE"""),"")</f>
        <v/>
      </c>
      <c r="O1277" s="13" t="str">
        <f t="shared" si="1"/>
        <v/>
      </c>
    </row>
    <row r="1278" ht="22.5" customHeight="1">
      <c r="B1278" s="13">
        <f>IFERROR(__xludf.DUMMYFUNCTION("""COMPUTED_VALUE"""),1273.0)</f>
        <v>1273</v>
      </c>
      <c r="C1278" s="13" t="str">
        <f>IFERROR(__xludf.DUMMYFUNCTION("""COMPUTED_VALUE"""),"B.601/SUMBER AGUNG")</f>
        <v>B.601/SUMBER AGUNG</v>
      </c>
      <c r="D1278" s="13" t="str">
        <f>IFERROR(__xludf.DUMMYFUNCTION("""COMPUTED_VALUE"""),"K/3/100225/1")</f>
        <v>K/3/100225/1</v>
      </c>
      <c r="E1278" s="14" t="str">
        <f>IFERROR(__xludf.DUMMYFUNCTION("""COMPUTED_VALUE"""),"Nadian (BT)")</f>
        <v>Nadian (BT)</v>
      </c>
      <c r="F1278" s="14" t="str">
        <f>IFERROR(__xludf.DUMMYFUNCTION("""COMPUTED_VALUE"""),"SELESAI (VIA PERMOHONAN)")</f>
        <v>SELESAI (VIA PERMOHONAN)</v>
      </c>
      <c r="G1278" s="17">
        <f>IFERROR(__xludf.DUMMYFUNCTION("""COMPUTED_VALUE"""),45720.55102508102)</f>
        <v>45720.55103</v>
      </c>
      <c r="H1278" s="14" t="str">
        <f>IFERROR(__xludf.DUMMYFUNCTION("""COMPUTED_VALUE"""),"Bu Eva (SU)")</f>
        <v>Bu Eva (SU)</v>
      </c>
      <c r="I1278" s="13" t="str">
        <f>IFERROR(__xludf.DUMMYFUNCTION("""COMPUTED_VALUE"""),"SELESAI (VIA PERMOHONAN)")</f>
        <v>SELESAI (VIA PERMOHONAN)</v>
      </c>
      <c r="J1278" s="17">
        <f>IFERROR(__xludf.DUMMYFUNCTION("""COMPUTED_VALUE"""),45716.57257174769)</f>
        <v>45716.57257</v>
      </c>
      <c r="K1278" s="13" t="str">
        <f>IFERROR(__xludf.DUMMYFUNCTION("""COMPUTED_VALUE"""),"Selesai")</f>
        <v>Selesai</v>
      </c>
      <c r="L1278" s="17">
        <f>IFERROR(__xludf.DUMMYFUNCTION("""COMPUTED_VALUE"""),45716.57257174769)</f>
        <v>45716.57257</v>
      </c>
      <c r="M1278" s="13"/>
      <c r="N1278" s="13" t="str">
        <f>IFERROR(__xludf.DUMMYFUNCTION("""COMPUTED_VALUE"""),"")</f>
        <v/>
      </c>
      <c r="O1278" s="13" t="str">
        <f t="shared" si="1"/>
        <v/>
      </c>
    </row>
    <row r="1279" ht="22.5" customHeight="1">
      <c r="B1279" s="13">
        <f>IFERROR(__xludf.DUMMYFUNCTION("""COMPUTED_VALUE"""),1274.0)</f>
        <v>1274</v>
      </c>
      <c r="C1279" s="13" t="str">
        <f>IFERROR(__xludf.DUMMYFUNCTION("""COMPUTED_VALUE"""),"M. 1175/ WAY KANDIS")</f>
        <v>M. 1175/ WAY KANDIS</v>
      </c>
      <c r="D1279" s="13" t="str">
        <f>IFERROR(__xludf.DUMMYFUNCTION("""COMPUTED_VALUE"""),"K/40/210225/1")</f>
        <v>K/40/210225/1</v>
      </c>
      <c r="E1279" s="14" t="str">
        <f>IFERROR(__xludf.DUMMYFUNCTION("""COMPUTED_VALUE"""),"Nadian (BT)")</f>
        <v>Nadian (BT)</v>
      </c>
      <c r="F1279" s="14" t="str">
        <f>IFERROR(__xludf.DUMMYFUNCTION("""COMPUTED_VALUE"""),"SELESAI (VIA PERMOHONAN)")</f>
        <v>SELESAI (VIA PERMOHONAN)</v>
      </c>
      <c r="G1279" s="17">
        <f>IFERROR(__xludf.DUMMYFUNCTION("""COMPUTED_VALUE"""),45720.55102508102)</f>
        <v>45720.55103</v>
      </c>
      <c r="H1279" s="14" t="str">
        <f>IFERROR(__xludf.DUMMYFUNCTION("""COMPUTED_VALUE"""),"Bu Eva (SU)")</f>
        <v>Bu Eva (SU)</v>
      </c>
      <c r="I1279" s="13" t="str">
        <f>IFERROR(__xludf.DUMMYFUNCTION("""COMPUTED_VALUE"""),"SELESAI (VIA PERMOHONAN)")</f>
        <v>SELESAI (VIA PERMOHONAN)</v>
      </c>
      <c r="J1279" s="17">
        <f>IFERROR(__xludf.DUMMYFUNCTION("""COMPUTED_VALUE"""),45716.57274188657)</f>
        <v>45716.57274</v>
      </c>
      <c r="K1279" s="13" t="str">
        <f>IFERROR(__xludf.DUMMYFUNCTION("""COMPUTED_VALUE"""),"Selesai")</f>
        <v>Selesai</v>
      </c>
      <c r="L1279" s="17">
        <f>IFERROR(__xludf.DUMMYFUNCTION("""COMPUTED_VALUE"""),45716.57274188657)</f>
        <v>45716.57274</v>
      </c>
      <c r="M1279" s="13"/>
      <c r="N1279" s="13" t="str">
        <f>IFERROR(__xludf.DUMMYFUNCTION("""COMPUTED_VALUE"""),"")</f>
        <v/>
      </c>
      <c r="O1279" s="13" t="str">
        <f t="shared" si="1"/>
        <v/>
      </c>
    </row>
    <row r="1280" ht="22.5" customHeight="1">
      <c r="B1280" s="13">
        <f>IFERROR(__xludf.DUMMYFUNCTION("""COMPUTED_VALUE"""),1275.0)</f>
        <v>1275</v>
      </c>
      <c r="C1280" s="13" t="str">
        <f>IFERROR(__xludf.DUMMYFUNCTION("""COMPUTED_VALUE"""),"M. 5308/ Surabaya")</f>
        <v>M. 5308/ Surabaya</v>
      </c>
      <c r="D1280" s="13" t="str">
        <f>IFERROR(__xludf.DUMMYFUNCTION("""COMPUTED_VALUE"""),"K/42/120225/1")</f>
        <v>K/42/120225/1</v>
      </c>
      <c r="E1280" s="14" t="str">
        <f>IFERROR(__xludf.DUMMYFUNCTION("""COMPUTED_VALUE"""),"Nadian (BT)")</f>
        <v>Nadian (BT)</v>
      </c>
      <c r="F1280" s="14" t="str">
        <f>IFERROR(__xludf.DUMMYFUNCTION("""COMPUTED_VALUE"""),"SELESAI (VIA PERMOHONAN)")</f>
        <v>SELESAI (VIA PERMOHONAN)</v>
      </c>
      <c r="G1280" s="17">
        <f>IFERROR(__xludf.DUMMYFUNCTION("""COMPUTED_VALUE"""),45720.55102508102)</f>
        <v>45720.55103</v>
      </c>
      <c r="H1280" s="14" t="str">
        <f>IFERROR(__xludf.DUMMYFUNCTION("""COMPUTED_VALUE"""),"Bu Eva (SU)")</f>
        <v>Bu Eva (SU)</v>
      </c>
      <c r="I1280" s="13" t="str">
        <f>IFERROR(__xludf.DUMMYFUNCTION("""COMPUTED_VALUE"""),"SELESAI (VIA PERMOHONAN)")</f>
        <v>SELESAI (VIA PERMOHONAN)</v>
      </c>
      <c r="J1280" s="17">
        <f>IFERROR(__xludf.DUMMYFUNCTION("""COMPUTED_VALUE"""),45716.57274188657)</f>
        <v>45716.57274</v>
      </c>
      <c r="K1280" s="13" t="str">
        <f>IFERROR(__xludf.DUMMYFUNCTION("""COMPUTED_VALUE"""),"Selesai")</f>
        <v>Selesai</v>
      </c>
      <c r="L1280" s="17">
        <f>IFERROR(__xludf.DUMMYFUNCTION("""COMPUTED_VALUE"""),45716.57274188657)</f>
        <v>45716.57274</v>
      </c>
      <c r="M1280" s="13"/>
      <c r="N1280" s="13" t="str">
        <f>IFERROR(__xludf.DUMMYFUNCTION("""COMPUTED_VALUE"""),"")</f>
        <v/>
      </c>
      <c r="O1280" s="13" t="str">
        <f t="shared" si="1"/>
        <v/>
      </c>
    </row>
    <row r="1281" ht="22.5" customHeight="1">
      <c r="B1281" s="13">
        <f>IFERROR(__xludf.DUMMYFUNCTION("""COMPUTED_VALUE"""),1276.0)</f>
        <v>1276</v>
      </c>
      <c r="C1281" s="13" t="str">
        <f>IFERROR(__xludf.DUMMYFUNCTION("""COMPUTED_VALUE"""),"M. 1920; 1921/ Keteguhan")</f>
        <v>M. 1920; 1921/ Keteguhan</v>
      </c>
      <c r="D1281" s="13" t="str">
        <f>IFERROR(__xludf.DUMMYFUNCTION("""COMPUTED_VALUE"""),"K/17/200225/1")</f>
        <v>K/17/200225/1</v>
      </c>
      <c r="E1281" s="14" t="str">
        <f>IFERROR(__xludf.DUMMYFUNCTION("""COMPUTED_VALUE"""),"Nadian (BT)")</f>
        <v>Nadian (BT)</v>
      </c>
      <c r="F1281" s="14" t="str">
        <f>IFERROR(__xludf.DUMMYFUNCTION("""COMPUTED_VALUE"""),"SELESAI (VIA PERMOHONAN)")</f>
        <v>SELESAI (VIA PERMOHONAN)</v>
      </c>
      <c r="G1281" s="17">
        <f>IFERROR(__xludf.DUMMYFUNCTION("""COMPUTED_VALUE"""),45720.55102509259)</f>
        <v>45720.55103</v>
      </c>
      <c r="H1281" s="14" t="str">
        <f>IFERROR(__xludf.DUMMYFUNCTION("""COMPUTED_VALUE"""),"Bu Eva (SU)")</f>
        <v>Bu Eva (SU)</v>
      </c>
      <c r="I1281" s="13" t="str">
        <f>IFERROR(__xludf.DUMMYFUNCTION("""COMPUTED_VALUE"""),"SELESAI (VIA PERMOHONAN)")</f>
        <v>SELESAI (VIA PERMOHONAN)</v>
      </c>
      <c r="J1281" s="17">
        <f>IFERROR(__xludf.DUMMYFUNCTION("""COMPUTED_VALUE"""),45716.57274188657)</f>
        <v>45716.57274</v>
      </c>
      <c r="K1281" s="13" t="str">
        <f>IFERROR(__xludf.DUMMYFUNCTION("""COMPUTED_VALUE"""),"Selesai")</f>
        <v>Selesai</v>
      </c>
      <c r="L1281" s="17">
        <f>IFERROR(__xludf.DUMMYFUNCTION("""COMPUTED_VALUE"""),45716.57274188657)</f>
        <v>45716.57274</v>
      </c>
      <c r="M1281" s="13"/>
      <c r="N1281" s="13" t="str">
        <f>IFERROR(__xludf.DUMMYFUNCTION("""COMPUTED_VALUE"""),"")</f>
        <v/>
      </c>
      <c r="O1281" s="13" t="str">
        <f t="shared" si="1"/>
        <v/>
      </c>
    </row>
    <row r="1282" ht="22.5" customHeight="1">
      <c r="B1282" s="13">
        <f>IFERROR(__xludf.DUMMYFUNCTION("""COMPUTED_VALUE"""),1277.0)</f>
        <v>1277</v>
      </c>
      <c r="C1282" s="13" t="str">
        <f>IFERROR(__xludf.DUMMYFUNCTION("""COMPUTED_VALUE"""),"M. 606/ Tanjung Gading")</f>
        <v>M. 606/ Tanjung Gading</v>
      </c>
      <c r="D1282" s="13" t="str">
        <f>IFERROR(__xludf.DUMMYFUNCTION("""COMPUTED_VALUE"""),"K/1/170225/1")</f>
        <v>K/1/170225/1</v>
      </c>
      <c r="E1282" s="14" t="str">
        <f>IFERROR(__xludf.DUMMYFUNCTION("""COMPUTED_VALUE"""),"Nadian (BT)")</f>
        <v>Nadian (BT)</v>
      </c>
      <c r="F1282" s="14" t="str">
        <f>IFERROR(__xludf.DUMMYFUNCTION("""COMPUTED_VALUE"""),"SELESAI (VIA PERMOHONAN)")</f>
        <v>SELESAI (VIA PERMOHONAN)</v>
      </c>
      <c r="G1282" s="17">
        <f>IFERROR(__xludf.DUMMYFUNCTION("""COMPUTED_VALUE"""),45720.55102509259)</f>
        <v>45720.55103</v>
      </c>
      <c r="H1282" s="14" t="str">
        <f>IFERROR(__xludf.DUMMYFUNCTION("""COMPUTED_VALUE"""),"Bu Eva (SU)")</f>
        <v>Bu Eva (SU)</v>
      </c>
      <c r="I1282" s="13" t="str">
        <f>IFERROR(__xludf.DUMMYFUNCTION("""COMPUTED_VALUE"""),"SELESAI (VIA PERMOHONAN)")</f>
        <v>SELESAI (VIA PERMOHONAN)</v>
      </c>
      <c r="J1282" s="17">
        <f>IFERROR(__xludf.DUMMYFUNCTION("""COMPUTED_VALUE"""),45716.57274188657)</f>
        <v>45716.57274</v>
      </c>
      <c r="K1282" s="13" t="str">
        <f>IFERROR(__xludf.DUMMYFUNCTION("""COMPUTED_VALUE"""),"Selesai")</f>
        <v>Selesai</v>
      </c>
      <c r="L1282" s="17">
        <f>IFERROR(__xludf.DUMMYFUNCTION("""COMPUTED_VALUE"""),45716.57274188657)</f>
        <v>45716.57274</v>
      </c>
      <c r="M1282" s="13"/>
      <c r="N1282" s="13" t="str">
        <f>IFERROR(__xludf.DUMMYFUNCTION("""COMPUTED_VALUE"""),"")</f>
        <v/>
      </c>
      <c r="O1282" s="13" t="str">
        <f t="shared" si="1"/>
        <v/>
      </c>
    </row>
    <row r="1283" ht="22.5" customHeight="1">
      <c r="B1283" s="13">
        <f>IFERROR(__xludf.DUMMYFUNCTION("""COMPUTED_VALUE"""),1278.0)</f>
        <v>1278</v>
      </c>
      <c r="C1283" s="13" t="str">
        <f>IFERROR(__xludf.DUMMYFUNCTION("""COMPUTED_VALUE"""),"M. 1171/ Gedong Air")</f>
        <v>M. 1171/ Gedong Air</v>
      </c>
      <c r="D1283" s="13" t="str">
        <f>IFERROR(__xludf.DUMMYFUNCTION("""COMPUTED_VALUE"""),"K/12/180225/4")</f>
        <v>K/12/180225/4</v>
      </c>
      <c r="E1283" s="14" t="str">
        <f>IFERROR(__xludf.DUMMYFUNCTION("""COMPUTED_VALUE"""),"Nadian (BT)")</f>
        <v>Nadian (BT)</v>
      </c>
      <c r="F1283" s="14" t="str">
        <f>IFERROR(__xludf.DUMMYFUNCTION("""COMPUTED_VALUE"""),"SELESAI (VIA PERMOHONAN)")</f>
        <v>SELESAI (VIA PERMOHONAN)</v>
      </c>
      <c r="G1283" s="17">
        <f>IFERROR(__xludf.DUMMYFUNCTION("""COMPUTED_VALUE"""),45720.55102509259)</f>
        <v>45720.55103</v>
      </c>
      <c r="H1283" s="14" t="str">
        <f>IFERROR(__xludf.DUMMYFUNCTION("""COMPUTED_VALUE"""),"Bu Eva (SU)")</f>
        <v>Bu Eva (SU)</v>
      </c>
      <c r="I1283" s="13" t="str">
        <f>IFERROR(__xludf.DUMMYFUNCTION("""COMPUTED_VALUE"""),"SELESAI (VIA PERMOHONAN)")</f>
        <v>SELESAI (VIA PERMOHONAN)</v>
      </c>
      <c r="J1283" s="17">
        <f>IFERROR(__xludf.DUMMYFUNCTION("""COMPUTED_VALUE"""),45716.57274188657)</f>
        <v>45716.57274</v>
      </c>
      <c r="K1283" s="13" t="str">
        <f>IFERROR(__xludf.DUMMYFUNCTION("""COMPUTED_VALUE"""),"Selesai")</f>
        <v>Selesai</v>
      </c>
      <c r="L1283" s="17">
        <f>IFERROR(__xludf.DUMMYFUNCTION("""COMPUTED_VALUE"""),45716.57274188657)</f>
        <v>45716.57274</v>
      </c>
      <c r="M1283" s="13"/>
      <c r="N1283" s="13" t="str">
        <f>IFERROR(__xludf.DUMMYFUNCTION("""COMPUTED_VALUE"""),"")</f>
        <v/>
      </c>
      <c r="O1283" s="13" t="str">
        <f t="shared" si="1"/>
        <v/>
      </c>
    </row>
    <row r="1284" ht="22.5" customHeight="1">
      <c r="B1284" s="13">
        <f>IFERROR(__xludf.DUMMYFUNCTION("""COMPUTED_VALUE"""),1279.0)</f>
        <v>1279</v>
      </c>
      <c r="C1284" s="13" t="str">
        <f>IFERROR(__xludf.DUMMYFUNCTION("""COMPUTED_VALUE"""),"B. 201/ Sukabumi Indah")</f>
        <v>B. 201/ Sukabumi Indah</v>
      </c>
      <c r="D1284" s="13" t="str">
        <f>IFERROR(__xludf.DUMMYFUNCTION("""COMPUTED_VALUE"""),"K/2/180225/1")</f>
        <v>K/2/180225/1</v>
      </c>
      <c r="E1284" s="14" t="str">
        <f>IFERROR(__xludf.DUMMYFUNCTION("""COMPUTED_VALUE"""),"Nadian (BT)")</f>
        <v>Nadian (BT)</v>
      </c>
      <c r="F1284" s="14" t="str">
        <f>IFERROR(__xludf.DUMMYFUNCTION("""COMPUTED_VALUE"""),"SELESAI (VIA PERMOHONAN)")</f>
        <v>SELESAI (VIA PERMOHONAN)</v>
      </c>
      <c r="G1284" s="17">
        <f>IFERROR(__xludf.DUMMYFUNCTION("""COMPUTED_VALUE"""),45720.55102509259)</f>
        <v>45720.55103</v>
      </c>
      <c r="H1284" s="14" t="str">
        <f>IFERROR(__xludf.DUMMYFUNCTION("""COMPUTED_VALUE"""),"Bu Eva (SU)")</f>
        <v>Bu Eva (SU)</v>
      </c>
      <c r="I1284" s="13" t="str">
        <f>IFERROR(__xludf.DUMMYFUNCTION("""COMPUTED_VALUE"""),"SELESAI (VIA PERMOHONAN)")</f>
        <v>SELESAI (VIA PERMOHONAN)</v>
      </c>
      <c r="J1284" s="17">
        <f>IFERROR(__xludf.DUMMYFUNCTION("""COMPUTED_VALUE"""),45716.57274188657)</f>
        <v>45716.57274</v>
      </c>
      <c r="K1284" s="13" t="str">
        <f>IFERROR(__xludf.DUMMYFUNCTION("""COMPUTED_VALUE"""),"Selesai")</f>
        <v>Selesai</v>
      </c>
      <c r="L1284" s="17">
        <f>IFERROR(__xludf.DUMMYFUNCTION("""COMPUTED_VALUE"""),45716.57274188657)</f>
        <v>45716.57274</v>
      </c>
      <c r="M1284" s="13"/>
      <c r="N1284" s="13" t="str">
        <f>IFERROR(__xludf.DUMMYFUNCTION("""COMPUTED_VALUE"""),"")</f>
        <v/>
      </c>
      <c r="O1284" s="13" t="str">
        <f t="shared" si="1"/>
        <v/>
      </c>
    </row>
    <row r="1285" ht="22.5" customHeight="1">
      <c r="B1285" s="13">
        <f>IFERROR(__xludf.DUMMYFUNCTION("""COMPUTED_VALUE"""),1280.0)</f>
        <v>1280</v>
      </c>
      <c r="C1285" s="13" t="str">
        <f>IFERROR(__xludf.DUMMYFUNCTION("""COMPUTED_VALUE"""),"M.5608/LANGKAPURA DAN NIBEL M 12752/LANGKAPURA")</f>
        <v>M.5608/LANGKAPURA DAN NIBEL M 12752/LANGKAPURA</v>
      </c>
      <c r="D1285" s="13" t="str">
        <f>IFERROR(__xludf.DUMMYFUNCTION("""COMPUTED_VALUE"""),"K/35/190225/1")</f>
        <v>K/35/190225/1</v>
      </c>
      <c r="E1285" s="14" t="str">
        <f>IFERROR(__xludf.DUMMYFUNCTION("""COMPUTED_VALUE"""),"Nadian (BT)")</f>
        <v>Nadian (BT)</v>
      </c>
      <c r="F1285" s="14" t="str">
        <f>IFERROR(__xludf.DUMMYFUNCTION("""COMPUTED_VALUE"""),"SELESAI (VIA PERMOHONAN)")</f>
        <v>SELESAI (VIA PERMOHONAN)</v>
      </c>
      <c r="G1285" s="17">
        <f>IFERROR(__xludf.DUMMYFUNCTION("""COMPUTED_VALUE"""),45720.55102509259)</f>
        <v>45720.55103</v>
      </c>
      <c r="H1285" s="14" t="str">
        <f>IFERROR(__xludf.DUMMYFUNCTION("""COMPUTED_VALUE"""),"Bu Eva (SU)")</f>
        <v>Bu Eva (SU)</v>
      </c>
      <c r="I1285" s="13" t="str">
        <f>IFERROR(__xludf.DUMMYFUNCTION("""COMPUTED_VALUE"""),"SELESAI (VIA PERMOHONAN)")</f>
        <v>SELESAI (VIA PERMOHONAN)</v>
      </c>
      <c r="J1285" s="17">
        <f>IFERROR(__xludf.DUMMYFUNCTION("""COMPUTED_VALUE"""),45716.57274188657)</f>
        <v>45716.57274</v>
      </c>
      <c r="K1285" s="13" t="str">
        <f>IFERROR(__xludf.DUMMYFUNCTION("""COMPUTED_VALUE"""),"Selesai")</f>
        <v>Selesai</v>
      </c>
      <c r="L1285" s="17">
        <f>IFERROR(__xludf.DUMMYFUNCTION("""COMPUTED_VALUE"""),45716.57274188657)</f>
        <v>45716.57274</v>
      </c>
      <c r="M1285" s="13"/>
      <c r="N1285" s="13" t="str">
        <f>IFERROR(__xludf.DUMMYFUNCTION("""COMPUTED_VALUE"""),"")</f>
        <v/>
      </c>
      <c r="O1285" s="13" t="str">
        <f t="shared" si="1"/>
        <v/>
      </c>
    </row>
    <row r="1286" ht="22.5" customHeight="1">
      <c r="B1286" s="13">
        <f>IFERROR(__xludf.DUMMYFUNCTION("""COMPUTED_VALUE"""),1281.0)</f>
        <v>1281</v>
      </c>
      <c r="C1286" s="13" t="str">
        <f>IFERROR(__xludf.DUMMYFUNCTION("""COMPUTED_VALUE"""),"M.448/KOTA SEPANG")</f>
        <v>M.448/KOTA SEPANG</v>
      </c>
      <c r="D1286" s="13" t="str">
        <f>IFERROR(__xludf.DUMMYFUNCTION("""COMPUTED_VALUE"""),"K/29/200225/1")</f>
        <v>K/29/200225/1</v>
      </c>
      <c r="E1286" s="14" t="str">
        <f>IFERROR(__xludf.DUMMYFUNCTION("""COMPUTED_VALUE"""),"Nadian (BT)")</f>
        <v>Nadian (BT)</v>
      </c>
      <c r="F1286" s="14" t="str">
        <f>IFERROR(__xludf.DUMMYFUNCTION("""COMPUTED_VALUE"""),"SELESAI (VIA PERMOHONAN)")</f>
        <v>SELESAI (VIA PERMOHONAN)</v>
      </c>
      <c r="G1286" s="17">
        <f>IFERROR(__xludf.DUMMYFUNCTION("""COMPUTED_VALUE"""),45720.55102509259)</f>
        <v>45720.55103</v>
      </c>
      <c r="H1286" s="14" t="str">
        <f>IFERROR(__xludf.DUMMYFUNCTION("""COMPUTED_VALUE"""),"Bu Eva (SU)")</f>
        <v>Bu Eva (SU)</v>
      </c>
      <c r="I1286" s="13" t="str">
        <f>IFERROR(__xludf.DUMMYFUNCTION("""COMPUTED_VALUE"""),"SELESAI (VIA PERMOHONAN)")</f>
        <v>SELESAI (VIA PERMOHONAN)</v>
      </c>
      <c r="J1286" s="17">
        <f>IFERROR(__xludf.DUMMYFUNCTION("""COMPUTED_VALUE"""),45716.57274188657)</f>
        <v>45716.57274</v>
      </c>
      <c r="K1286" s="13" t="str">
        <f>IFERROR(__xludf.DUMMYFUNCTION("""COMPUTED_VALUE"""),"Selesai")</f>
        <v>Selesai</v>
      </c>
      <c r="L1286" s="17">
        <f>IFERROR(__xludf.DUMMYFUNCTION("""COMPUTED_VALUE"""),45716.57274188657)</f>
        <v>45716.57274</v>
      </c>
      <c r="M1286" s="13"/>
      <c r="N1286" s="13" t="str">
        <f>IFERROR(__xludf.DUMMYFUNCTION("""COMPUTED_VALUE"""),"")</f>
        <v/>
      </c>
      <c r="O1286" s="13" t="str">
        <f t="shared" si="1"/>
        <v/>
      </c>
    </row>
    <row r="1287" ht="22.5" customHeight="1">
      <c r="B1287" s="13">
        <f>IFERROR(__xludf.DUMMYFUNCTION("""COMPUTED_VALUE"""),1282.0)</f>
        <v>1282</v>
      </c>
      <c r="C1287" s="13" t="str">
        <f>IFERROR(__xludf.DUMMYFUNCTION("""COMPUTED_VALUE"""),"M. 564/WAY LAGA")</f>
        <v>M. 564/WAY LAGA</v>
      </c>
      <c r="D1287" s="13" t="str">
        <f>IFERROR(__xludf.DUMMYFUNCTION("""COMPUTED_VALUE"""),"K/10/300125/1")</f>
        <v>K/10/300125/1</v>
      </c>
      <c r="E1287" s="14" t="str">
        <f>IFERROR(__xludf.DUMMYFUNCTION("""COMPUTED_VALUE"""),"Nadian (BT)")</f>
        <v>Nadian (BT)</v>
      </c>
      <c r="F1287" s="14" t="str">
        <f>IFERROR(__xludf.DUMMYFUNCTION("""COMPUTED_VALUE"""),"SELESAI (VIA PERMOHONAN)")</f>
        <v>SELESAI (VIA PERMOHONAN)</v>
      </c>
      <c r="G1287" s="17">
        <f>IFERROR(__xludf.DUMMYFUNCTION("""COMPUTED_VALUE"""),45720.55102509259)</f>
        <v>45720.55103</v>
      </c>
      <c r="H1287" s="14" t="str">
        <f>IFERROR(__xludf.DUMMYFUNCTION("""COMPUTED_VALUE"""),"Bu Eva (SU)")</f>
        <v>Bu Eva (SU)</v>
      </c>
      <c r="I1287" s="13" t="str">
        <f>IFERROR(__xludf.DUMMYFUNCTION("""COMPUTED_VALUE"""),"SELESAI (VIA PERMOHONAN)")</f>
        <v>SELESAI (VIA PERMOHONAN)</v>
      </c>
      <c r="J1287" s="17">
        <f>IFERROR(__xludf.DUMMYFUNCTION("""COMPUTED_VALUE"""),45716.57274188657)</f>
        <v>45716.57274</v>
      </c>
      <c r="K1287" s="13" t="str">
        <f>IFERROR(__xludf.DUMMYFUNCTION("""COMPUTED_VALUE"""),"Selesai")</f>
        <v>Selesai</v>
      </c>
      <c r="L1287" s="17">
        <f>IFERROR(__xludf.DUMMYFUNCTION("""COMPUTED_VALUE"""),45716.57274188657)</f>
        <v>45716.57274</v>
      </c>
      <c r="M1287" s="13"/>
      <c r="N1287" s="13" t="str">
        <f>IFERROR(__xludf.DUMMYFUNCTION("""COMPUTED_VALUE"""),"")</f>
        <v/>
      </c>
      <c r="O1287" s="13" t="str">
        <f t="shared" si="1"/>
        <v/>
      </c>
    </row>
    <row r="1288" ht="22.5" customHeight="1">
      <c r="B1288" s="13">
        <f>IFERROR(__xludf.DUMMYFUNCTION("""COMPUTED_VALUE"""),1283.0)</f>
        <v>1283</v>
      </c>
      <c r="C1288" s="13" t="str">
        <f>IFERROR(__xludf.DUMMYFUNCTION("""COMPUTED_VALUE"""),"B.620/SUMBER AGUNG")</f>
        <v>B.620/SUMBER AGUNG</v>
      </c>
      <c r="D1288" s="13" t="str">
        <f>IFERROR(__xludf.DUMMYFUNCTION("""COMPUTED_VALUE"""),"K/41/060225/1")</f>
        <v>K/41/060225/1</v>
      </c>
      <c r="E1288" s="14" t="str">
        <f>IFERROR(__xludf.DUMMYFUNCTION("""COMPUTED_VALUE"""),"Nadian (BT)")</f>
        <v>Nadian (BT)</v>
      </c>
      <c r="F1288" s="14" t="str">
        <f>IFERROR(__xludf.DUMMYFUNCTION("""COMPUTED_VALUE"""),"SELESAI (VIA PERMOHONAN)")</f>
        <v>SELESAI (VIA PERMOHONAN)</v>
      </c>
      <c r="G1288" s="17">
        <f>IFERROR(__xludf.DUMMYFUNCTION("""COMPUTED_VALUE"""),45720.55102509259)</f>
        <v>45720.55103</v>
      </c>
      <c r="H1288" s="14" t="str">
        <f>IFERROR(__xludf.DUMMYFUNCTION("""COMPUTED_VALUE"""),"Bu Eva (SU)")</f>
        <v>Bu Eva (SU)</v>
      </c>
      <c r="I1288" s="13" t="str">
        <f>IFERROR(__xludf.DUMMYFUNCTION("""COMPUTED_VALUE"""),"SELESAI (VIA PERMOHONAN)")</f>
        <v>SELESAI (VIA PERMOHONAN)</v>
      </c>
      <c r="J1288" s="17">
        <f>IFERROR(__xludf.DUMMYFUNCTION("""COMPUTED_VALUE"""),45716.57274188657)</f>
        <v>45716.57274</v>
      </c>
      <c r="K1288" s="13" t="str">
        <f>IFERROR(__xludf.DUMMYFUNCTION("""COMPUTED_VALUE"""),"Selesai")</f>
        <v>Selesai</v>
      </c>
      <c r="L1288" s="17">
        <f>IFERROR(__xludf.DUMMYFUNCTION("""COMPUTED_VALUE"""),45716.57274188657)</f>
        <v>45716.57274</v>
      </c>
      <c r="M1288" s="13"/>
      <c r="N1288" s="13" t="str">
        <f>IFERROR(__xludf.DUMMYFUNCTION("""COMPUTED_VALUE"""),"")</f>
        <v/>
      </c>
      <c r="O1288" s="13" t="str">
        <f t="shared" si="1"/>
        <v/>
      </c>
    </row>
    <row r="1289" ht="22.5" customHeight="1">
      <c r="B1289" s="13">
        <f>IFERROR(__xludf.DUMMYFUNCTION("""COMPUTED_VALUE"""),1284.0)</f>
        <v>1284</v>
      </c>
      <c r="C1289" s="13" t="str">
        <f>IFERROR(__xludf.DUMMYFUNCTION("""COMPUTED_VALUE"""),"M.3126/GEDONG AIR")</f>
        <v>M.3126/GEDONG AIR</v>
      </c>
      <c r="D1289" s="13" t="str">
        <f>IFERROR(__xludf.DUMMYFUNCTION("""COMPUTED_VALUE"""),"K/26/180225/2")</f>
        <v>K/26/180225/2</v>
      </c>
      <c r="E1289" s="14" t="str">
        <f>IFERROR(__xludf.DUMMYFUNCTION("""COMPUTED_VALUE"""),"Nadian (BT)")</f>
        <v>Nadian (BT)</v>
      </c>
      <c r="F1289" s="14" t="str">
        <f>IFERROR(__xludf.DUMMYFUNCTION("""COMPUTED_VALUE"""),"SELESAI (VIA PERMOHONAN)")</f>
        <v>SELESAI (VIA PERMOHONAN)</v>
      </c>
      <c r="G1289" s="17">
        <f>IFERROR(__xludf.DUMMYFUNCTION("""COMPUTED_VALUE"""),45720.55102509259)</f>
        <v>45720.55103</v>
      </c>
      <c r="H1289" s="14" t="str">
        <f>IFERROR(__xludf.DUMMYFUNCTION("""COMPUTED_VALUE"""),"Bu Eva (SU)")</f>
        <v>Bu Eva (SU)</v>
      </c>
      <c r="I1289" s="13" t="str">
        <f>IFERROR(__xludf.DUMMYFUNCTION("""COMPUTED_VALUE"""),"SELESAI (VIA PERMOHONAN)")</f>
        <v>SELESAI (VIA PERMOHONAN)</v>
      </c>
      <c r="J1289" s="17">
        <f>IFERROR(__xludf.DUMMYFUNCTION("""COMPUTED_VALUE"""),45716.57274188657)</f>
        <v>45716.57274</v>
      </c>
      <c r="K1289" s="13" t="str">
        <f>IFERROR(__xludf.DUMMYFUNCTION("""COMPUTED_VALUE"""),"Selesai")</f>
        <v>Selesai</v>
      </c>
      <c r="L1289" s="17">
        <f>IFERROR(__xludf.DUMMYFUNCTION("""COMPUTED_VALUE"""),45716.57274188657)</f>
        <v>45716.57274</v>
      </c>
      <c r="M1289" s="13"/>
      <c r="N1289" s="13" t="str">
        <f>IFERROR(__xludf.DUMMYFUNCTION("""COMPUTED_VALUE"""),"")</f>
        <v/>
      </c>
      <c r="O1289" s="13" t="str">
        <f t="shared" si="1"/>
        <v/>
      </c>
    </row>
    <row r="1290" ht="22.5" customHeight="1">
      <c r="B1290" s="13">
        <f>IFERROR(__xludf.DUMMYFUNCTION("""COMPUTED_VALUE"""),1285.0)</f>
        <v>1285</v>
      </c>
      <c r="C1290" s="13" t="str">
        <f>IFERROR(__xludf.DUMMYFUNCTION("""COMPUTED_VALUE"""),"M. 2217/ Langkapura")</f>
        <v>M. 2217/ Langkapura</v>
      </c>
      <c r="D1290" s="13" t="str">
        <f>IFERROR(__xludf.DUMMYFUNCTION("""COMPUTED_VALUE"""),"K/4/140225/1")</f>
        <v>K/4/140225/1</v>
      </c>
      <c r="E1290" s="14" t="str">
        <f>IFERROR(__xludf.DUMMYFUNCTION("""COMPUTED_VALUE"""),"Nadian (BT)")</f>
        <v>Nadian (BT)</v>
      </c>
      <c r="F1290" s="14" t="str">
        <f>IFERROR(__xludf.DUMMYFUNCTION("""COMPUTED_VALUE"""),"SELESAI (VIA PERMOHONAN)")</f>
        <v>SELESAI (VIA PERMOHONAN)</v>
      </c>
      <c r="G1290" s="17">
        <f>IFERROR(__xludf.DUMMYFUNCTION("""COMPUTED_VALUE"""),45720.55102510417)</f>
        <v>45720.55103</v>
      </c>
      <c r="H1290" s="14" t="str">
        <f>IFERROR(__xludf.DUMMYFUNCTION("""COMPUTED_VALUE"""),"Bu Eva (SU)")</f>
        <v>Bu Eva (SU)</v>
      </c>
      <c r="I1290" s="13" t="str">
        <f>IFERROR(__xludf.DUMMYFUNCTION("""COMPUTED_VALUE"""),"SELESAI (VIA PERMOHONAN)")</f>
        <v>SELESAI (VIA PERMOHONAN)</v>
      </c>
      <c r="J1290" s="17">
        <f>IFERROR(__xludf.DUMMYFUNCTION("""COMPUTED_VALUE"""),45716.57274188657)</f>
        <v>45716.57274</v>
      </c>
      <c r="K1290" s="13" t="str">
        <f>IFERROR(__xludf.DUMMYFUNCTION("""COMPUTED_VALUE"""),"Selesai")</f>
        <v>Selesai</v>
      </c>
      <c r="L1290" s="17">
        <f>IFERROR(__xludf.DUMMYFUNCTION("""COMPUTED_VALUE"""),45716.57274188657)</f>
        <v>45716.57274</v>
      </c>
      <c r="M1290" s="13"/>
      <c r="N1290" s="13" t="str">
        <f>IFERROR(__xludf.DUMMYFUNCTION("""COMPUTED_VALUE"""),"")</f>
        <v/>
      </c>
      <c r="O1290" s="13" t="str">
        <f t="shared" si="1"/>
        <v/>
      </c>
    </row>
    <row r="1291" ht="22.5" customHeight="1">
      <c r="B1291" s="13">
        <f>IFERROR(__xludf.DUMMYFUNCTION("""COMPUTED_VALUE"""),1286.0)</f>
        <v>1286</v>
      </c>
      <c r="C1291" s="13" t="str">
        <f>IFERROR(__xludf.DUMMYFUNCTION("""COMPUTED_VALUE"""),"M. 4702/SUKADANA HAM")</f>
        <v>M. 4702/SUKADANA HAM</v>
      </c>
      <c r="D1291" s="13" t="str">
        <f>IFERROR(__xludf.DUMMYFUNCTION("""COMPUTED_VALUE"""),"K/22/200225/2")</f>
        <v>K/22/200225/2</v>
      </c>
      <c r="E1291" s="14" t="str">
        <f>IFERROR(__xludf.DUMMYFUNCTION("""COMPUTED_VALUE"""),"Nadian (BT)")</f>
        <v>Nadian (BT)</v>
      </c>
      <c r="F1291" s="14" t="str">
        <f>IFERROR(__xludf.DUMMYFUNCTION("""COMPUTED_VALUE"""),"SELESAI (VIA PERMOHONAN)")</f>
        <v>SELESAI (VIA PERMOHONAN)</v>
      </c>
      <c r="G1291" s="17">
        <f>IFERROR(__xludf.DUMMYFUNCTION("""COMPUTED_VALUE"""),45720.55102510417)</f>
        <v>45720.55103</v>
      </c>
      <c r="H1291" s="14" t="str">
        <f>IFERROR(__xludf.DUMMYFUNCTION("""COMPUTED_VALUE"""),"Bu Eva (SU)")</f>
        <v>Bu Eva (SU)</v>
      </c>
      <c r="I1291" s="13" t="str">
        <f>IFERROR(__xludf.DUMMYFUNCTION("""COMPUTED_VALUE"""),"SELESAI (VIA PERMOHONAN)")</f>
        <v>SELESAI (VIA PERMOHONAN)</v>
      </c>
      <c r="J1291" s="17">
        <f>IFERROR(__xludf.DUMMYFUNCTION("""COMPUTED_VALUE"""),45716.57274188657)</f>
        <v>45716.57274</v>
      </c>
      <c r="K1291" s="13" t="str">
        <f>IFERROR(__xludf.DUMMYFUNCTION("""COMPUTED_VALUE"""),"Selesai")</f>
        <v>Selesai</v>
      </c>
      <c r="L1291" s="17">
        <f>IFERROR(__xludf.DUMMYFUNCTION("""COMPUTED_VALUE"""),45716.57274188657)</f>
        <v>45716.57274</v>
      </c>
      <c r="M1291" s="13"/>
      <c r="N1291" s="13" t="str">
        <f>IFERROR(__xludf.DUMMYFUNCTION("""COMPUTED_VALUE"""),"")</f>
        <v/>
      </c>
      <c r="O1291" s="13" t="str">
        <f t="shared" si="1"/>
        <v/>
      </c>
    </row>
    <row r="1292" ht="22.5" customHeight="1">
      <c r="B1292" s="13">
        <f>IFERROR(__xludf.DUMMYFUNCTION("""COMPUTED_VALUE"""),1287.0)</f>
        <v>1287</v>
      </c>
      <c r="C1292" s="13" t="str">
        <f>IFERROR(__xludf.DUMMYFUNCTION("""COMPUTED_VALUE"""),"M.11086/GEDONG MENENG")</f>
        <v>M.11086/GEDONG MENENG</v>
      </c>
      <c r="D1292" s="13" t="str">
        <f>IFERROR(__xludf.DUMMYFUNCTION("""COMPUTED_VALUE"""),"K/10/210225/1")</f>
        <v>K/10/210225/1</v>
      </c>
      <c r="E1292" s="14" t="str">
        <f>IFERROR(__xludf.DUMMYFUNCTION("""COMPUTED_VALUE"""),"Nadian (BT)")</f>
        <v>Nadian (BT)</v>
      </c>
      <c r="F1292" s="14" t="str">
        <f>IFERROR(__xludf.DUMMYFUNCTION("""COMPUTED_VALUE"""),"SELESAI (VIA PERMOHONAN)")</f>
        <v>SELESAI (VIA PERMOHONAN)</v>
      </c>
      <c r="G1292" s="17">
        <f>IFERROR(__xludf.DUMMYFUNCTION("""COMPUTED_VALUE"""),45720.55102510417)</f>
        <v>45720.55103</v>
      </c>
      <c r="H1292" s="14" t="str">
        <f>IFERROR(__xludf.DUMMYFUNCTION("""COMPUTED_VALUE"""),"Bu Eva (SU)")</f>
        <v>Bu Eva (SU)</v>
      </c>
      <c r="I1292" s="13" t="str">
        <f>IFERROR(__xludf.DUMMYFUNCTION("""COMPUTED_VALUE"""),"SELESAI (VIA PERMOHONAN)")</f>
        <v>SELESAI (VIA PERMOHONAN)</v>
      </c>
      <c r="J1292" s="17">
        <f>IFERROR(__xludf.DUMMYFUNCTION("""COMPUTED_VALUE"""),45716.57274188657)</f>
        <v>45716.57274</v>
      </c>
      <c r="K1292" s="13" t="str">
        <f>IFERROR(__xludf.DUMMYFUNCTION("""COMPUTED_VALUE"""),"Selesai")</f>
        <v>Selesai</v>
      </c>
      <c r="L1292" s="17">
        <f>IFERROR(__xludf.DUMMYFUNCTION("""COMPUTED_VALUE"""),45716.57274188657)</f>
        <v>45716.57274</v>
      </c>
      <c r="M1292" s="13"/>
      <c r="N1292" s="13" t="str">
        <f>IFERROR(__xludf.DUMMYFUNCTION("""COMPUTED_VALUE"""),"")</f>
        <v/>
      </c>
      <c r="O1292" s="13" t="str">
        <f t="shared" si="1"/>
        <v/>
      </c>
    </row>
    <row r="1293" ht="22.5" customHeight="1">
      <c r="B1293" s="13">
        <f>IFERROR(__xludf.DUMMYFUNCTION("""COMPUTED_VALUE"""),1288.0)</f>
        <v>1288</v>
      </c>
      <c r="C1293" s="13" t="str">
        <f>IFERROR(__xludf.DUMMYFUNCTION("""COMPUTED_VALUE"""),"M. 6478/ Way Kandis")</f>
        <v>M. 6478/ Way Kandis</v>
      </c>
      <c r="D1293" s="13" t="str">
        <f>IFERROR(__xludf.DUMMYFUNCTION("""COMPUTED_VALUE"""),"K/27/170225/2")</f>
        <v>K/27/170225/2</v>
      </c>
      <c r="E1293" s="14" t="str">
        <f>IFERROR(__xludf.DUMMYFUNCTION("""COMPUTED_VALUE"""),"Nadian (BT)")</f>
        <v>Nadian (BT)</v>
      </c>
      <c r="F1293" s="14" t="str">
        <f>IFERROR(__xludf.DUMMYFUNCTION("""COMPUTED_VALUE"""),"SELESAI (VIA PERMOHONAN)")</f>
        <v>SELESAI (VIA PERMOHONAN)</v>
      </c>
      <c r="G1293" s="17">
        <f>IFERROR(__xludf.DUMMYFUNCTION("""COMPUTED_VALUE"""),45720.55102510417)</f>
        <v>45720.55103</v>
      </c>
      <c r="H1293" s="14" t="str">
        <f>IFERROR(__xludf.DUMMYFUNCTION("""COMPUTED_VALUE"""),"Bu Eva (SU)")</f>
        <v>Bu Eva (SU)</v>
      </c>
      <c r="I1293" s="13" t="str">
        <f>IFERROR(__xludf.DUMMYFUNCTION("""COMPUTED_VALUE"""),"SELESAI (VIA PERMOHONAN)")</f>
        <v>SELESAI (VIA PERMOHONAN)</v>
      </c>
      <c r="J1293" s="17">
        <f>IFERROR(__xludf.DUMMYFUNCTION("""COMPUTED_VALUE"""),45716.57274188657)</f>
        <v>45716.57274</v>
      </c>
      <c r="K1293" s="13" t="str">
        <f>IFERROR(__xludf.DUMMYFUNCTION("""COMPUTED_VALUE"""),"Selesai")</f>
        <v>Selesai</v>
      </c>
      <c r="L1293" s="17">
        <f>IFERROR(__xludf.DUMMYFUNCTION("""COMPUTED_VALUE"""),45716.57274188657)</f>
        <v>45716.57274</v>
      </c>
      <c r="M1293" s="13"/>
      <c r="N1293" s="13" t="str">
        <f>IFERROR(__xludf.DUMMYFUNCTION("""COMPUTED_VALUE"""),"")</f>
        <v/>
      </c>
      <c r="O1293" s="13" t="str">
        <f t="shared" si="1"/>
        <v/>
      </c>
    </row>
    <row r="1294" ht="22.5" customHeight="1">
      <c r="B1294" s="13">
        <f>IFERROR(__xludf.DUMMYFUNCTION("""COMPUTED_VALUE"""),1289.0)</f>
        <v>1289</v>
      </c>
      <c r="C1294" s="13" t="str">
        <f>IFERROR(__xludf.DUMMYFUNCTION("""COMPUTED_VALUE"""),"M. 495/ Pesawahan")</f>
        <v>M. 495/ Pesawahan</v>
      </c>
      <c r="D1294" s="13" t="str">
        <f>IFERROR(__xludf.DUMMYFUNCTION("""COMPUTED_VALUE"""),"K/10/220125/1")</f>
        <v>K/10/220125/1</v>
      </c>
      <c r="E1294" s="14" t="str">
        <f>IFERROR(__xludf.DUMMYFUNCTION("""COMPUTED_VALUE"""),"Nadian (BT)")</f>
        <v>Nadian (BT)</v>
      </c>
      <c r="F1294" s="14" t="str">
        <f>IFERROR(__xludf.DUMMYFUNCTION("""COMPUTED_VALUE"""),"SELESAI (VIA PERMOHONAN)")</f>
        <v>SELESAI (VIA PERMOHONAN)</v>
      </c>
      <c r="G1294" s="17">
        <f>IFERROR(__xludf.DUMMYFUNCTION("""COMPUTED_VALUE"""),45720.55102510417)</f>
        <v>45720.55103</v>
      </c>
      <c r="H1294" s="14" t="str">
        <f>IFERROR(__xludf.DUMMYFUNCTION("""COMPUTED_VALUE"""),"Bu Eva (SU)")</f>
        <v>Bu Eva (SU)</v>
      </c>
      <c r="I1294" s="13" t="str">
        <f>IFERROR(__xludf.DUMMYFUNCTION("""COMPUTED_VALUE"""),"SELESAI (VIA PERMOHONAN)")</f>
        <v>SELESAI (VIA PERMOHONAN)</v>
      </c>
      <c r="J1294" s="17">
        <f>IFERROR(__xludf.DUMMYFUNCTION("""COMPUTED_VALUE"""),45716.57274188657)</f>
        <v>45716.57274</v>
      </c>
      <c r="K1294" s="13" t="str">
        <f>IFERROR(__xludf.DUMMYFUNCTION("""COMPUTED_VALUE"""),"Selesai")</f>
        <v>Selesai</v>
      </c>
      <c r="L1294" s="17">
        <f>IFERROR(__xludf.DUMMYFUNCTION("""COMPUTED_VALUE"""),45716.57274188657)</f>
        <v>45716.57274</v>
      </c>
      <c r="M1294" s="13"/>
      <c r="N1294" s="13" t="str">
        <f>IFERROR(__xludf.DUMMYFUNCTION("""COMPUTED_VALUE"""),"")</f>
        <v/>
      </c>
      <c r="O1294" s="13" t="str">
        <f t="shared" si="1"/>
        <v/>
      </c>
    </row>
    <row r="1295" ht="22.5" customHeight="1">
      <c r="B1295" s="13">
        <f>IFERROR(__xludf.DUMMYFUNCTION("""COMPUTED_VALUE"""),1290.0)</f>
        <v>1290</v>
      </c>
      <c r="C1295" s="13" t="str">
        <f>IFERROR(__xludf.DUMMYFUNCTION("""COMPUTED_VALUE"""),"M. 12439/KEDAMAIAN")</f>
        <v>M. 12439/KEDAMAIAN</v>
      </c>
      <c r="D1295" s="13" t="str">
        <f>IFERROR(__xludf.DUMMYFUNCTION("""COMPUTED_VALUE"""),"L/4/220225/PELATARAN")</f>
        <v>L/4/220225/PELATARAN</v>
      </c>
      <c r="E1295" s="14" t="str">
        <f>IFERROR(__xludf.DUMMYFUNCTION("""COMPUTED_VALUE"""),"Nadian (BT)")</f>
        <v>Nadian (BT)</v>
      </c>
      <c r="F1295" s="14" t="str">
        <f>IFERROR(__xludf.DUMMYFUNCTION("""COMPUTED_VALUE"""),"SELESAI (VIA PERMOHONAN)")</f>
        <v>SELESAI (VIA PERMOHONAN)</v>
      </c>
      <c r="G1295" s="17">
        <f>IFERROR(__xludf.DUMMYFUNCTION("""COMPUTED_VALUE"""),45720.55102510417)</f>
        <v>45720.55103</v>
      </c>
      <c r="H1295" s="14" t="str">
        <f>IFERROR(__xludf.DUMMYFUNCTION("""COMPUTED_VALUE"""),"Bu Eva (SU)")</f>
        <v>Bu Eva (SU)</v>
      </c>
      <c r="I1295" s="13" t="str">
        <f>IFERROR(__xludf.DUMMYFUNCTION("""COMPUTED_VALUE"""),"SELESAI (VIA PERMOHONAN)")</f>
        <v>SELESAI (VIA PERMOHONAN)</v>
      </c>
      <c r="J1295" s="17">
        <f>IFERROR(__xludf.DUMMYFUNCTION("""COMPUTED_VALUE"""),45716.57274188657)</f>
        <v>45716.57274</v>
      </c>
      <c r="K1295" s="13" t="str">
        <f>IFERROR(__xludf.DUMMYFUNCTION("""COMPUTED_VALUE"""),"Selesai")</f>
        <v>Selesai</v>
      </c>
      <c r="L1295" s="17">
        <f>IFERROR(__xludf.DUMMYFUNCTION("""COMPUTED_VALUE"""),45716.57274188657)</f>
        <v>45716.57274</v>
      </c>
      <c r="M1295" s="13"/>
      <c r="N1295" s="13" t="str">
        <f>IFERROR(__xludf.DUMMYFUNCTION("""COMPUTED_VALUE"""),"")</f>
        <v/>
      </c>
      <c r="O1295" s="13" t="str">
        <f t="shared" si="1"/>
        <v/>
      </c>
    </row>
    <row r="1296" ht="22.5" customHeight="1">
      <c r="B1296" s="13">
        <f>IFERROR(__xludf.DUMMYFUNCTION("""COMPUTED_VALUE"""),1291.0)</f>
        <v>1291</v>
      </c>
      <c r="C1296" s="13" t="str">
        <f>IFERROR(__xludf.DUMMYFUNCTION("""COMPUTED_VALUE"""),"M.10221/GEDONG MENENG")</f>
        <v>M.10221/GEDONG MENENG</v>
      </c>
      <c r="D1296" s="13" t="str">
        <f>IFERROR(__xludf.DUMMYFUNCTION("""COMPUTED_VALUE"""),"K/4/130225/1")</f>
        <v>K/4/130225/1</v>
      </c>
      <c r="E1296" s="14" t="str">
        <f>IFERROR(__xludf.DUMMYFUNCTION("""COMPUTED_VALUE"""),"Afriza (BT)")</f>
        <v>Afriza (BT)</v>
      </c>
      <c r="F1296" s="14" t="str">
        <f>IFERROR(__xludf.DUMMYFUNCTION("""COMPUTED_VALUE"""),"SELESAI (VIA PERMOHONAN)")</f>
        <v>SELESAI (VIA PERMOHONAN)</v>
      </c>
      <c r="G1296" s="17">
        <f>IFERROR(__xludf.DUMMYFUNCTION("""COMPUTED_VALUE"""),45719.478958472224)</f>
        <v>45719.47896</v>
      </c>
      <c r="H1296" s="14" t="str">
        <f>IFERROR(__xludf.DUMMYFUNCTION("""COMPUTED_VALUE"""),"Bu Eva (SU)")</f>
        <v>Bu Eva (SU)</v>
      </c>
      <c r="I1296" s="13" t="str">
        <f>IFERROR(__xludf.DUMMYFUNCTION("""COMPUTED_VALUE"""),"SELESAI (VIA PERMOHONAN)")</f>
        <v>SELESAI (VIA PERMOHONAN)</v>
      </c>
      <c r="J1296" s="17">
        <f>IFERROR(__xludf.DUMMYFUNCTION("""COMPUTED_VALUE"""),45716.57274188657)</f>
        <v>45716.57274</v>
      </c>
      <c r="K1296" s="13" t="str">
        <f>IFERROR(__xludf.DUMMYFUNCTION("""COMPUTED_VALUE"""),"Selesai")</f>
        <v>Selesai</v>
      </c>
      <c r="L1296" s="17">
        <f>IFERROR(__xludf.DUMMYFUNCTION("""COMPUTED_VALUE"""),45716.57274188657)</f>
        <v>45716.57274</v>
      </c>
      <c r="M1296" s="13"/>
      <c r="N1296" s="13" t="str">
        <f>IFERROR(__xludf.DUMMYFUNCTION("""COMPUTED_VALUE"""),"")</f>
        <v/>
      </c>
      <c r="O1296" s="13" t="str">
        <f t="shared" si="1"/>
        <v/>
      </c>
    </row>
    <row r="1297" ht="22.5" customHeight="1">
      <c r="B1297" s="13">
        <f>IFERROR(__xludf.DUMMYFUNCTION("""COMPUTED_VALUE"""),1292.0)</f>
        <v>1292</v>
      </c>
      <c r="C1297" s="13" t="str">
        <f>IFERROR(__xludf.DUMMYFUNCTION("""COMPUTED_VALUE"""),"M.1842/BERINGIN JAYA")</f>
        <v>M.1842/BERINGIN JAYA</v>
      </c>
      <c r="D1297" s="13" t="str">
        <f>IFERROR(__xludf.DUMMYFUNCTION("""COMPUTED_VALUE"""),"K/5/130225/1")</f>
        <v>K/5/130225/1</v>
      </c>
      <c r="E1297" s="14" t="str">
        <f>IFERROR(__xludf.DUMMYFUNCTION("""COMPUTED_VALUE"""),"Afriza (BT)")</f>
        <v>Afriza (BT)</v>
      </c>
      <c r="F1297" s="14" t="str">
        <f>IFERROR(__xludf.DUMMYFUNCTION("""COMPUTED_VALUE"""),"SELESAI (VIA PERMOHONAN)")</f>
        <v>SELESAI (VIA PERMOHONAN)</v>
      </c>
      <c r="G1297" s="17">
        <f>IFERROR(__xludf.DUMMYFUNCTION("""COMPUTED_VALUE"""),45719.478958472224)</f>
        <v>45719.47896</v>
      </c>
      <c r="H1297" s="14" t="str">
        <f>IFERROR(__xludf.DUMMYFUNCTION("""COMPUTED_VALUE"""),"Bu Eva (SU)")</f>
        <v>Bu Eva (SU)</v>
      </c>
      <c r="I1297" s="13" t="str">
        <f>IFERROR(__xludf.DUMMYFUNCTION("""COMPUTED_VALUE"""),"SELESAI (VIA PERMOHONAN)")</f>
        <v>SELESAI (VIA PERMOHONAN)</v>
      </c>
      <c r="J1297" s="17">
        <f>IFERROR(__xludf.DUMMYFUNCTION("""COMPUTED_VALUE"""),45719.478958472224)</f>
        <v>45719.47896</v>
      </c>
      <c r="K1297" s="13" t="str">
        <f>IFERROR(__xludf.DUMMYFUNCTION("""COMPUTED_VALUE"""),"Selesai")</f>
        <v>Selesai</v>
      </c>
      <c r="L1297" s="17">
        <f>IFERROR(__xludf.DUMMYFUNCTION("""COMPUTED_VALUE"""),45719.478958472224)</f>
        <v>45719.47896</v>
      </c>
      <c r="M1297" s="13"/>
      <c r="N1297" s="13" t="str">
        <f>IFERROR(__xludf.DUMMYFUNCTION("""COMPUTED_VALUE"""),"")</f>
        <v/>
      </c>
      <c r="O1297" s="13" t="str">
        <f t="shared" si="1"/>
        <v/>
      </c>
    </row>
    <row r="1298" ht="22.5" customHeight="1">
      <c r="B1298" s="13">
        <f>IFERROR(__xludf.DUMMYFUNCTION("""COMPUTED_VALUE"""),1293.0)</f>
        <v>1293</v>
      </c>
      <c r="C1298" s="13" t="str">
        <f>IFERROR(__xludf.DUMMYFUNCTION("""COMPUTED_VALUE"""),"M. 9620/TANJUNG BARU")</f>
        <v>M. 9620/TANJUNG BARU</v>
      </c>
      <c r="D1298" s="13" t="str">
        <f>IFERROR(__xludf.DUMMYFUNCTION("""COMPUTED_VALUE"""),"K/7/190225/1")</f>
        <v>K/7/190225/1</v>
      </c>
      <c r="E1298" s="14" t="str">
        <f>IFERROR(__xludf.DUMMYFUNCTION("""COMPUTED_VALUE"""),"Afriza (BT)")</f>
        <v>Afriza (BT)</v>
      </c>
      <c r="F1298" s="14" t="str">
        <f>IFERROR(__xludf.DUMMYFUNCTION("""COMPUTED_VALUE"""),"SELESAI (VIA PERMOHONAN)")</f>
        <v>SELESAI (VIA PERMOHONAN)</v>
      </c>
      <c r="G1298" s="17">
        <f>IFERROR(__xludf.DUMMYFUNCTION("""COMPUTED_VALUE"""),45719.4789584838)</f>
        <v>45719.47896</v>
      </c>
      <c r="H1298" s="14" t="str">
        <f>IFERROR(__xludf.DUMMYFUNCTION("""COMPUTED_VALUE"""),"Bu Eva (SU)")</f>
        <v>Bu Eva (SU)</v>
      </c>
      <c r="I1298" s="13" t="str">
        <f>IFERROR(__xludf.DUMMYFUNCTION("""COMPUTED_VALUE"""),"SELESAI (VIA PERMOHONAN)")</f>
        <v>SELESAI (VIA PERMOHONAN)</v>
      </c>
      <c r="J1298" s="17">
        <f>IFERROR(__xludf.DUMMYFUNCTION("""COMPUTED_VALUE"""),45719.4789584838)</f>
        <v>45719.47896</v>
      </c>
      <c r="K1298" s="13" t="str">
        <f>IFERROR(__xludf.DUMMYFUNCTION("""COMPUTED_VALUE"""),"Selesai")</f>
        <v>Selesai</v>
      </c>
      <c r="L1298" s="17">
        <f>IFERROR(__xludf.DUMMYFUNCTION("""COMPUTED_VALUE"""),45719.4789584838)</f>
        <v>45719.47896</v>
      </c>
      <c r="M1298" s="13"/>
      <c r="N1298" s="13" t="str">
        <f>IFERROR(__xludf.DUMMYFUNCTION("""COMPUTED_VALUE"""),"")</f>
        <v/>
      </c>
      <c r="O1298" s="13" t="str">
        <f t="shared" si="1"/>
        <v/>
      </c>
    </row>
    <row r="1299" ht="22.5" customHeight="1">
      <c r="B1299" s="13">
        <f>IFERROR(__xludf.DUMMYFUNCTION("""COMPUTED_VALUE"""),1294.0)</f>
        <v>1294</v>
      </c>
      <c r="C1299" s="13" t="str">
        <f>IFERROR(__xludf.DUMMYFUNCTION("""COMPUTED_VALUE"""),"M. 504/ Kupang Kota")</f>
        <v>M. 504/ Kupang Kota</v>
      </c>
      <c r="D1299" s="13" t="str">
        <f>IFERROR(__xludf.DUMMYFUNCTION("""COMPUTED_VALUE"""),"K/33/200225/1")</f>
        <v>K/33/200225/1</v>
      </c>
      <c r="E1299" s="14" t="str">
        <f>IFERROR(__xludf.DUMMYFUNCTION("""COMPUTED_VALUE"""),"Afriza (BT)")</f>
        <v>Afriza (BT)</v>
      </c>
      <c r="F1299" s="14" t="str">
        <f>IFERROR(__xludf.DUMMYFUNCTION("""COMPUTED_VALUE"""),"SELESAI (VIA PERMOHONAN)")</f>
        <v>SELESAI (VIA PERMOHONAN)</v>
      </c>
      <c r="G1299" s="17">
        <f>IFERROR(__xludf.DUMMYFUNCTION("""COMPUTED_VALUE"""),45719.4789584838)</f>
        <v>45719.47896</v>
      </c>
      <c r="H1299" s="14" t="str">
        <f>IFERROR(__xludf.DUMMYFUNCTION("""COMPUTED_VALUE"""),"Bu Eva (SU)")</f>
        <v>Bu Eva (SU)</v>
      </c>
      <c r="I1299" s="13" t="str">
        <f>IFERROR(__xludf.DUMMYFUNCTION("""COMPUTED_VALUE"""),"SELESAI (VIA PERMOHONAN)")</f>
        <v>SELESAI (VIA PERMOHONAN)</v>
      </c>
      <c r="J1299" s="17">
        <f>IFERROR(__xludf.DUMMYFUNCTION("""COMPUTED_VALUE"""),45719.4789584838)</f>
        <v>45719.47896</v>
      </c>
      <c r="K1299" s="13" t="str">
        <f>IFERROR(__xludf.DUMMYFUNCTION("""COMPUTED_VALUE"""),"Selesai")</f>
        <v>Selesai</v>
      </c>
      <c r="L1299" s="17">
        <f>IFERROR(__xludf.DUMMYFUNCTION("""COMPUTED_VALUE"""),45719.4789584838)</f>
        <v>45719.47896</v>
      </c>
      <c r="M1299" s="13"/>
      <c r="N1299" s="13" t="str">
        <f>IFERROR(__xludf.DUMMYFUNCTION("""COMPUTED_VALUE"""),"")</f>
        <v/>
      </c>
      <c r="O1299" s="13" t="str">
        <f t="shared" si="1"/>
        <v/>
      </c>
    </row>
    <row r="1300" ht="22.5" customHeight="1">
      <c r="B1300" s="13">
        <f>IFERROR(__xludf.DUMMYFUNCTION("""COMPUTED_VALUE"""),1295.0)</f>
        <v>1295</v>
      </c>
      <c r="C1300" s="13" t="str">
        <f>IFERROR(__xludf.DUMMYFUNCTION("""COMPUTED_VALUE"""),"M. 6581/ Sidodadi")</f>
        <v>M. 6581/ Sidodadi</v>
      </c>
      <c r="D1300" s="13" t="str">
        <f>IFERROR(__xludf.DUMMYFUNCTION("""COMPUTED_VALUE"""),"K/32/140225/1")</f>
        <v>K/32/140225/1</v>
      </c>
      <c r="E1300" s="14" t="str">
        <f>IFERROR(__xludf.DUMMYFUNCTION("""COMPUTED_VALUE"""),"Afriza (BT)")</f>
        <v>Afriza (BT)</v>
      </c>
      <c r="F1300" s="14" t="str">
        <f>IFERROR(__xludf.DUMMYFUNCTION("""COMPUTED_VALUE"""),"SELESAI (VIA PERMOHONAN)")</f>
        <v>SELESAI (VIA PERMOHONAN)</v>
      </c>
      <c r="G1300" s="17">
        <f>IFERROR(__xludf.DUMMYFUNCTION("""COMPUTED_VALUE"""),45719.4789584838)</f>
        <v>45719.47896</v>
      </c>
      <c r="H1300" s="14" t="str">
        <f>IFERROR(__xludf.DUMMYFUNCTION("""COMPUTED_VALUE"""),"Bu Eva (SU)")</f>
        <v>Bu Eva (SU)</v>
      </c>
      <c r="I1300" s="13" t="str">
        <f>IFERROR(__xludf.DUMMYFUNCTION("""COMPUTED_VALUE"""),"SELESAI (VIA PERMOHONAN)")</f>
        <v>SELESAI (VIA PERMOHONAN)</v>
      </c>
      <c r="J1300" s="17">
        <f>IFERROR(__xludf.DUMMYFUNCTION("""COMPUTED_VALUE"""),45719.4789584838)</f>
        <v>45719.47896</v>
      </c>
      <c r="K1300" s="13" t="str">
        <f>IFERROR(__xludf.DUMMYFUNCTION("""COMPUTED_VALUE"""),"Selesai")</f>
        <v>Selesai</v>
      </c>
      <c r="L1300" s="17">
        <f>IFERROR(__xludf.DUMMYFUNCTION("""COMPUTED_VALUE"""),45719.4789584838)</f>
        <v>45719.47896</v>
      </c>
      <c r="M1300" s="13"/>
      <c r="N1300" s="13" t="str">
        <f>IFERROR(__xludf.DUMMYFUNCTION("""COMPUTED_VALUE"""),"")</f>
        <v/>
      </c>
      <c r="O1300" s="13" t="str">
        <f t="shared" si="1"/>
        <v/>
      </c>
    </row>
    <row r="1301" ht="22.5" customHeight="1">
      <c r="B1301" s="13">
        <f>IFERROR(__xludf.DUMMYFUNCTION("""COMPUTED_VALUE"""),1296.0)</f>
        <v>1296</v>
      </c>
      <c r="C1301" s="13" t="str">
        <f>IFERROR(__xludf.DUMMYFUNCTION("""COMPUTED_VALUE"""),"M. 4747/ Rajabasa Jaya")</f>
        <v>M. 4747/ Rajabasa Jaya</v>
      </c>
      <c r="D1301" s="13" t="str">
        <f>IFERROR(__xludf.DUMMYFUNCTION("""COMPUTED_VALUE"""),"K/37/210225/2")</f>
        <v>K/37/210225/2</v>
      </c>
      <c r="E1301" s="14" t="str">
        <f>IFERROR(__xludf.DUMMYFUNCTION("""COMPUTED_VALUE"""),"Afriza (BT)")</f>
        <v>Afriza (BT)</v>
      </c>
      <c r="F1301" s="14" t="str">
        <f>IFERROR(__xludf.DUMMYFUNCTION("""COMPUTED_VALUE"""),"SELESAI (VIA PERMOHONAN)")</f>
        <v>SELESAI (VIA PERMOHONAN)</v>
      </c>
      <c r="G1301" s="17">
        <f>IFERROR(__xludf.DUMMYFUNCTION("""COMPUTED_VALUE"""),45719.4789584838)</f>
        <v>45719.47896</v>
      </c>
      <c r="H1301" s="14" t="str">
        <f>IFERROR(__xludf.DUMMYFUNCTION("""COMPUTED_VALUE"""),"Bu Eva (SU)")</f>
        <v>Bu Eva (SU)</v>
      </c>
      <c r="I1301" s="13" t="str">
        <f>IFERROR(__xludf.DUMMYFUNCTION("""COMPUTED_VALUE"""),"SELESAI (VIA PERMOHONAN)")</f>
        <v>SELESAI (VIA PERMOHONAN)</v>
      </c>
      <c r="J1301" s="17">
        <f>IFERROR(__xludf.DUMMYFUNCTION("""COMPUTED_VALUE"""),45719.4789584838)</f>
        <v>45719.47896</v>
      </c>
      <c r="K1301" s="13" t="str">
        <f>IFERROR(__xludf.DUMMYFUNCTION("""COMPUTED_VALUE"""),"Selesai")</f>
        <v>Selesai</v>
      </c>
      <c r="L1301" s="17">
        <f>IFERROR(__xludf.DUMMYFUNCTION("""COMPUTED_VALUE"""),45719.4789584838)</f>
        <v>45719.47896</v>
      </c>
      <c r="M1301" s="13"/>
      <c r="N1301" s="13" t="str">
        <f>IFERROR(__xludf.DUMMYFUNCTION("""COMPUTED_VALUE"""),"")</f>
        <v/>
      </c>
      <c r="O1301" s="13" t="str">
        <f t="shared" si="1"/>
        <v/>
      </c>
    </row>
    <row r="1302" ht="22.5" customHeight="1">
      <c r="B1302" s="13">
        <f>IFERROR(__xludf.DUMMYFUNCTION("""COMPUTED_VALUE"""),1297.0)</f>
        <v>1297</v>
      </c>
      <c r="C1302" s="13" t="str">
        <f>IFERROR(__xludf.DUMMYFUNCTION("""COMPUTED_VALUE"""),"M. 1193/ Sukamaju")</f>
        <v>M. 1193/ Sukamaju</v>
      </c>
      <c r="D1302" s="13" t="str">
        <f>IFERROR(__xludf.DUMMYFUNCTION("""COMPUTED_VALUE"""),"K/2/200225/1")</f>
        <v>K/2/200225/1</v>
      </c>
      <c r="E1302" s="14" t="str">
        <f>IFERROR(__xludf.DUMMYFUNCTION("""COMPUTED_VALUE"""),"Afriza (BT)")</f>
        <v>Afriza (BT)</v>
      </c>
      <c r="F1302" s="14" t="str">
        <f>IFERROR(__xludf.DUMMYFUNCTION("""COMPUTED_VALUE"""),"SELESAI (VIA PERMOHONAN)")</f>
        <v>SELESAI (VIA PERMOHONAN)</v>
      </c>
      <c r="G1302" s="17">
        <f>IFERROR(__xludf.DUMMYFUNCTION("""COMPUTED_VALUE"""),45719.4789584838)</f>
        <v>45719.47896</v>
      </c>
      <c r="H1302" s="14" t="str">
        <f>IFERROR(__xludf.DUMMYFUNCTION("""COMPUTED_VALUE"""),"Bu Eva (SU)")</f>
        <v>Bu Eva (SU)</v>
      </c>
      <c r="I1302" s="13" t="str">
        <f>IFERROR(__xludf.DUMMYFUNCTION("""COMPUTED_VALUE"""),"SELESAI (VIA PERMOHONAN)")</f>
        <v>SELESAI (VIA PERMOHONAN)</v>
      </c>
      <c r="J1302" s="17">
        <f>IFERROR(__xludf.DUMMYFUNCTION("""COMPUTED_VALUE"""),45719.4789584838)</f>
        <v>45719.47896</v>
      </c>
      <c r="K1302" s="13" t="str">
        <f>IFERROR(__xludf.DUMMYFUNCTION("""COMPUTED_VALUE"""),"Selesai")</f>
        <v>Selesai</v>
      </c>
      <c r="L1302" s="17">
        <f>IFERROR(__xludf.DUMMYFUNCTION("""COMPUTED_VALUE"""),45719.4789584838)</f>
        <v>45719.47896</v>
      </c>
      <c r="M1302" s="13"/>
      <c r="N1302" s="13" t="str">
        <f>IFERROR(__xludf.DUMMYFUNCTION("""COMPUTED_VALUE"""),"")</f>
        <v/>
      </c>
      <c r="O1302" s="13" t="str">
        <f t="shared" si="1"/>
        <v/>
      </c>
    </row>
    <row r="1303" ht="22.5" customHeight="1">
      <c r="B1303" s="13">
        <f>IFERROR(__xludf.DUMMYFUNCTION("""COMPUTED_VALUE"""),1298.0)</f>
        <v>1298</v>
      </c>
      <c r="C1303" s="13" t="str">
        <f>IFERROR(__xludf.DUMMYFUNCTION("""COMPUTED_VALUE"""),"B. 264/ Labuhan Ratu raya")</f>
        <v>B. 264/ Labuhan Ratu raya</v>
      </c>
      <c r="D1303" s="13" t="str">
        <f>IFERROR(__xludf.DUMMYFUNCTION("""COMPUTED_VALUE"""),"K/22/120225/2")</f>
        <v>K/22/120225/2</v>
      </c>
      <c r="E1303" s="14" t="str">
        <f>IFERROR(__xludf.DUMMYFUNCTION("""COMPUTED_VALUE"""),"Afriza (BT)")</f>
        <v>Afriza (BT)</v>
      </c>
      <c r="F1303" s="14" t="str">
        <f>IFERROR(__xludf.DUMMYFUNCTION("""COMPUTED_VALUE"""),"SELESAI (VIA PERMOHONAN)")</f>
        <v>SELESAI (VIA PERMOHONAN)</v>
      </c>
      <c r="G1303" s="17">
        <f>IFERROR(__xludf.DUMMYFUNCTION("""COMPUTED_VALUE"""),45719.4789584838)</f>
        <v>45719.47896</v>
      </c>
      <c r="H1303" s="14" t="str">
        <f>IFERROR(__xludf.DUMMYFUNCTION("""COMPUTED_VALUE"""),"Bu Eva (SU)")</f>
        <v>Bu Eva (SU)</v>
      </c>
      <c r="I1303" s="13" t="str">
        <f>IFERROR(__xludf.DUMMYFUNCTION("""COMPUTED_VALUE"""),"SELESAI (VIA PERMOHONAN)")</f>
        <v>SELESAI (VIA PERMOHONAN)</v>
      </c>
      <c r="J1303" s="17">
        <f>IFERROR(__xludf.DUMMYFUNCTION("""COMPUTED_VALUE"""),45719.4789584838)</f>
        <v>45719.47896</v>
      </c>
      <c r="K1303" s="13" t="str">
        <f>IFERROR(__xludf.DUMMYFUNCTION("""COMPUTED_VALUE"""),"Selesai")</f>
        <v>Selesai</v>
      </c>
      <c r="L1303" s="17">
        <f>IFERROR(__xludf.DUMMYFUNCTION("""COMPUTED_VALUE"""),45719.4789584838)</f>
        <v>45719.47896</v>
      </c>
      <c r="M1303" s="13"/>
      <c r="N1303" s="13" t="str">
        <f>IFERROR(__xludf.DUMMYFUNCTION("""COMPUTED_VALUE"""),"")</f>
        <v/>
      </c>
      <c r="O1303" s="13" t="str">
        <f t="shared" si="1"/>
        <v/>
      </c>
    </row>
    <row r="1304" ht="22.5" customHeight="1">
      <c r="B1304" s="13">
        <f>IFERROR(__xludf.DUMMYFUNCTION("""COMPUTED_VALUE"""),1299.0)</f>
        <v>1299</v>
      </c>
      <c r="C1304" s="13" t="str">
        <f>IFERROR(__xludf.DUMMYFUNCTION("""COMPUTED_VALUE"""),"M. 4346/ Gunung terang")</f>
        <v>M. 4346/ Gunung terang</v>
      </c>
      <c r="D1304" s="13" t="str">
        <f>IFERROR(__xludf.DUMMYFUNCTION("""COMPUTED_VALUE"""),"K/38/190225/2")</f>
        <v>K/38/190225/2</v>
      </c>
      <c r="E1304" s="14" t="str">
        <f>IFERROR(__xludf.DUMMYFUNCTION("""COMPUTED_VALUE"""),"Afriza (BT)")</f>
        <v>Afriza (BT)</v>
      </c>
      <c r="F1304" s="14" t="str">
        <f>IFERROR(__xludf.DUMMYFUNCTION("""COMPUTED_VALUE"""),"SELESAI (VIA PERMOHONAN)")</f>
        <v>SELESAI (VIA PERMOHONAN)</v>
      </c>
      <c r="G1304" s="17">
        <f>IFERROR(__xludf.DUMMYFUNCTION("""COMPUTED_VALUE"""),45719.47895849537)</f>
        <v>45719.47896</v>
      </c>
      <c r="H1304" s="14" t="str">
        <f>IFERROR(__xludf.DUMMYFUNCTION("""COMPUTED_VALUE"""),"Bu Eva (SU)")</f>
        <v>Bu Eva (SU)</v>
      </c>
      <c r="I1304" s="13" t="str">
        <f>IFERROR(__xludf.DUMMYFUNCTION("""COMPUTED_VALUE"""),"SELESAI (VIA PERMOHONAN)")</f>
        <v>SELESAI (VIA PERMOHONAN)</v>
      </c>
      <c r="J1304" s="17">
        <f>IFERROR(__xludf.DUMMYFUNCTION("""COMPUTED_VALUE"""),45720.419066608796)</f>
        <v>45720.41907</v>
      </c>
      <c r="K1304" s="13" t="str">
        <f>IFERROR(__xludf.DUMMYFUNCTION("""COMPUTED_VALUE"""),"Selesai")</f>
        <v>Selesai</v>
      </c>
      <c r="L1304" s="17">
        <f>IFERROR(__xludf.DUMMYFUNCTION("""COMPUTED_VALUE"""),45720.419066608796)</f>
        <v>45720.41907</v>
      </c>
      <c r="M1304" s="13"/>
      <c r="N1304" s="13" t="str">
        <f>IFERROR(__xludf.DUMMYFUNCTION("""COMPUTED_VALUE"""),"")</f>
        <v/>
      </c>
      <c r="O1304" s="13" t="str">
        <f t="shared" si="1"/>
        <v/>
      </c>
    </row>
    <row r="1305" ht="22.5" customHeight="1">
      <c r="B1305" s="13">
        <f>IFERROR(__xludf.DUMMYFUNCTION("""COMPUTED_VALUE"""),1300.0)</f>
        <v>1300</v>
      </c>
      <c r="C1305" s="13" t="str">
        <f>IFERROR(__xludf.DUMMYFUNCTION("""COMPUTED_VALUE"""),"M. 3355/ Kemiling Permai")</f>
        <v>M. 3355/ Kemiling Permai</v>
      </c>
      <c r="D1305" s="13" t="str">
        <f>IFERROR(__xludf.DUMMYFUNCTION("""COMPUTED_VALUE"""),"K/4/190225/1")</f>
        <v>K/4/190225/1</v>
      </c>
      <c r="E1305" s="14" t="str">
        <f>IFERROR(__xludf.DUMMYFUNCTION("""COMPUTED_VALUE"""),"Afriza (BT)")</f>
        <v>Afriza (BT)</v>
      </c>
      <c r="F1305" s="14" t="str">
        <f>IFERROR(__xludf.DUMMYFUNCTION("""COMPUTED_VALUE"""),"SELESAI (VIA PERMOHONAN)")</f>
        <v>SELESAI (VIA PERMOHONAN)</v>
      </c>
      <c r="G1305" s="17">
        <f>IFERROR(__xludf.DUMMYFUNCTION("""COMPUTED_VALUE"""),45719.47895849537)</f>
        <v>45719.47896</v>
      </c>
      <c r="H1305" s="14" t="str">
        <f>IFERROR(__xludf.DUMMYFUNCTION("""COMPUTED_VALUE"""),"Bu Eva (SU)")</f>
        <v>Bu Eva (SU)</v>
      </c>
      <c r="I1305" s="13" t="str">
        <f>IFERROR(__xludf.DUMMYFUNCTION("""COMPUTED_VALUE"""),"SELESAI (VIA PERMOHONAN)")</f>
        <v>SELESAI (VIA PERMOHONAN)</v>
      </c>
      <c r="J1305" s="17">
        <f>IFERROR(__xludf.DUMMYFUNCTION("""COMPUTED_VALUE"""),45720.419066608796)</f>
        <v>45720.41907</v>
      </c>
      <c r="K1305" s="13" t="str">
        <f>IFERROR(__xludf.DUMMYFUNCTION("""COMPUTED_VALUE"""),"Selesai")</f>
        <v>Selesai</v>
      </c>
      <c r="L1305" s="17">
        <f>IFERROR(__xludf.DUMMYFUNCTION("""COMPUTED_VALUE"""),45720.419066608796)</f>
        <v>45720.41907</v>
      </c>
      <c r="M1305" s="13"/>
      <c r="N1305" s="13" t="str">
        <f>IFERROR(__xludf.DUMMYFUNCTION("""COMPUTED_VALUE"""),"")</f>
        <v/>
      </c>
      <c r="O1305" s="13" t="str">
        <f t="shared" si="1"/>
        <v/>
      </c>
    </row>
    <row r="1306" ht="22.5" customHeight="1">
      <c r="B1306" s="13">
        <f>IFERROR(__xludf.DUMMYFUNCTION("""COMPUTED_VALUE"""),1301.0)</f>
        <v>1301</v>
      </c>
      <c r="C1306" s="13" t="str">
        <f>IFERROR(__xludf.DUMMYFUNCTION("""COMPUTED_VALUE"""),"M. 1615/ Rajabasa Nunyai")</f>
        <v>M. 1615/ Rajabasa Nunyai</v>
      </c>
      <c r="D1306" s="13" t="str">
        <f>IFERROR(__xludf.DUMMYFUNCTION("""COMPUTED_VALUE"""),"K/18/050225/1")</f>
        <v>K/18/050225/1</v>
      </c>
      <c r="E1306" s="14" t="str">
        <f>IFERROR(__xludf.DUMMYFUNCTION("""COMPUTED_VALUE"""),"Afriza (BT)")</f>
        <v>Afriza (BT)</v>
      </c>
      <c r="F1306" s="14" t="str">
        <f>IFERROR(__xludf.DUMMYFUNCTION("""COMPUTED_VALUE"""),"SELESAI (VIA PERMOHONAN)")</f>
        <v>SELESAI (VIA PERMOHONAN)</v>
      </c>
      <c r="G1306" s="17">
        <f>IFERROR(__xludf.DUMMYFUNCTION("""COMPUTED_VALUE"""),45719.47895849537)</f>
        <v>45719.47896</v>
      </c>
      <c r="H1306" s="14" t="str">
        <f>IFERROR(__xludf.DUMMYFUNCTION("""COMPUTED_VALUE"""),"Bu Eva (SU)")</f>
        <v>Bu Eva (SU)</v>
      </c>
      <c r="I1306" s="13" t="str">
        <f>IFERROR(__xludf.DUMMYFUNCTION("""COMPUTED_VALUE"""),"SELESAI (VIA PERMOHONAN)")</f>
        <v>SELESAI (VIA PERMOHONAN)</v>
      </c>
      <c r="J1306" s="17">
        <f>IFERROR(__xludf.DUMMYFUNCTION("""COMPUTED_VALUE"""),45720.419066608796)</f>
        <v>45720.41907</v>
      </c>
      <c r="K1306" s="13" t="str">
        <f>IFERROR(__xludf.DUMMYFUNCTION("""COMPUTED_VALUE"""),"Selesai")</f>
        <v>Selesai</v>
      </c>
      <c r="L1306" s="17">
        <f>IFERROR(__xludf.DUMMYFUNCTION("""COMPUTED_VALUE"""),45720.419066608796)</f>
        <v>45720.41907</v>
      </c>
      <c r="M1306" s="13"/>
      <c r="N1306" s="13" t="str">
        <f>IFERROR(__xludf.DUMMYFUNCTION("""COMPUTED_VALUE"""),"")</f>
        <v/>
      </c>
      <c r="O1306" s="13" t="str">
        <f t="shared" si="1"/>
        <v/>
      </c>
    </row>
    <row r="1307" ht="22.5" customHeight="1">
      <c r="B1307" s="13">
        <f>IFERROR(__xludf.DUMMYFUNCTION("""COMPUTED_VALUE"""),1302.0)</f>
        <v>1302</v>
      </c>
      <c r="C1307" s="13" t="str">
        <f>IFERROR(__xludf.DUMMYFUNCTION("""COMPUTED_VALUE"""),"B. 618/ Sumber Agung")</f>
        <v>B. 618/ Sumber Agung</v>
      </c>
      <c r="D1307" s="13" t="str">
        <f>IFERROR(__xludf.DUMMYFUNCTION("""COMPUTED_VALUE"""),"K/46/100225/4")</f>
        <v>K/46/100225/4</v>
      </c>
      <c r="E1307" s="14" t="str">
        <f>IFERROR(__xludf.DUMMYFUNCTION("""COMPUTED_VALUE"""),"Afriza (BT)")</f>
        <v>Afriza (BT)</v>
      </c>
      <c r="F1307" s="14" t="str">
        <f>IFERROR(__xludf.DUMMYFUNCTION("""COMPUTED_VALUE"""),"SELESAI (VIA PERMOHONAN)")</f>
        <v>SELESAI (VIA PERMOHONAN)</v>
      </c>
      <c r="G1307" s="17">
        <f>IFERROR(__xludf.DUMMYFUNCTION("""COMPUTED_VALUE"""),45719.47895849537)</f>
        <v>45719.47896</v>
      </c>
      <c r="H1307" s="14" t="str">
        <f>IFERROR(__xludf.DUMMYFUNCTION("""COMPUTED_VALUE"""),"Bu Eva (SU)")</f>
        <v>Bu Eva (SU)</v>
      </c>
      <c r="I1307" s="13" t="str">
        <f>IFERROR(__xludf.DUMMYFUNCTION("""COMPUTED_VALUE"""),"SELESAI (VIA PERMOHONAN)")</f>
        <v>SELESAI (VIA PERMOHONAN)</v>
      </c>
      <c r="J1307" s="17">
        <f>IFERROR(__xludf.DUMMYFUNCTION("""COMPUTED_VALUE"""),45720.419066608796)</f>
        <v>45720.41907</v>
      </c>
      <c r="K1307" s="13" t="str">
        <f>IFERROR(__xludf.DUMMYFUNCTION("""COMPUTED_VALUE"""),"Selesai")</f>
        <v>Selesai</v>
      </c>
      <c r="L1307" s="17">
        <f>IFERROR(__xludf.DUMMYFUNCTION("""COMPUTED_VALUE"""),45720.419066608796)</f>
        <v>45720.41907</v>
      </c>
      <c r="M1307" s="13"/>
      <c r="N1307" s="13" t="str">
        <f>IFERROR(__xludf.DUMMYFUNCTION("""COMPUTED_VALUE"""),"")</f>
        <v/>
      </c>
      <c r="O1307" s="13" t="str">
        <f t="shared" si="1"/>
        <v/>
      </c>
    </row>
    <row r="1308" ht="22.5" customHeight="1">
      <c r="B1308" s="13">
        <f>IFERROR(__xludf.DUMMYFUNCTION("""COMPUTED_VALUE"""),1303.0)</f>
        <v>1303</v>
      </c>
      <c r="C1308" s="13" t="str">
        <f>IFERROR(__xludf.DUMMYFUNCTION("""COMPUTED_VALUE"""),"B. 345/ Kemiling Permai")</f>
        <v>B. 345/ Kemiling Permai</v>
      </c>
      <c r="D1308" s="13" t="str">
        <f>IFERROR(__xludf.DUMMYFUNCTION("""COMPUTED_VALUE"""),"K/43/250225/1")</f>
        <v>K/43/250225/1</v>
      </c>
      <c r="E1308" s="14" t="str">
        <f>IFERROR(__xludf.DUMMYFUNCTION("""COMPUTED_VALUE"""),"Afriza (BT)")</f>
        <v>Afriza (BT)</v>
      </c>
      <c r="F1308" s="14" t="str">
        <f>IFERROR(__xludf.DUMMYFUNCTION("""COMPUTED_VALUE"""),"SELESAI (VIA PERMOHONAN)")</f>
        <v>SELESAI (VIA PERMOHONAN)</v>
      </c>
      <c r="G1308" s="17">
        <f>IFERROR(__xludf.DUMMYFUNCTION("""COMPUTED_VALUE"""),45719.47895849537)</f>
        <v>45719.47896</v>
      </c>
      <c r="H1308" s="14" t="str">
        <f>IFERROR(__xludf.DUMMYFUNCTION("""COMPUTED_VALUE"""),"Bu Eva (SU)")</f>
        <v>Bu Eva (SU)</v>
      </c>
      <c r="I1308" s="13" t="str">
        <f>IFERROR(__xludf.DUMMYFUNCTION("""COMPUTED_VALUE"""),"SELESAI (VIA PERMOHONAN)")</f>
        <v>SELESAI (VIA PERMOHONAN)</v>
      </c>
      <c r="J1308" s="17">
        <f>IFERROR(__xludf.DUMMYFUNCTION("""COMPUTED_VALUE"""),45720.419066608796)</f>
        <v>45720.41907</v>
      </c>
      <c r="K1308" s="13" t="str">
        <f>IFERROR(__xludf.DUMMYFUNCTION("""COMPUTED_VALUE"""),"Selesai")</f>
        <v>Selesai</v>
      </c>
      <c r="L1308" s="17">
        <f>IFERROR(__xludf.DUMMYFUNCTION("""COMPUTED_VALUE"""),45720.419066608796)</f>
        <v>45720.41907</v>
      </c>
      <c r="M1308" s="13"/>
      <c r="N1308" s="13" t="str">
        <f>IFERROR(__xludf.DUMMYFUNCTION("""COMPUTED_VALUE"""),"")</f>
        <v/>
      </c>
      <c r="O1308" s="13" t="str">
        <f t="shared" si="1"/>
        <v/>
      </c>
    </row>
    <row r="1309" ht="22.5" customHeight="1">
      <c r="B1309" s="13">
        <f>IFERROR(__xludf.DUMMYFUNCTION("""COMPUTED_VALUE"""),1304.0)</f>
        <v>1304</v>
      </c>
      <c r="C1309" s="13" t="str">
        <f>IFERROR(__xludf.DUMMYFUNCTION("""COMPUTED_VALUE"""),"M. 653/ Sukabumi Indah")</f>
        <v>M. 653/ Sukabumi Indah</v>
      </c>
      <c r="D1309" s="13" t="str">
        <f>IFERROR(__xludf.DUMMYFUNCTION("""COMPUTED_VALUE"""),"K/16/250225/3")</f>
        <v>K/16/250225/3</v>
      </c>
      <c r="E1309" s="14" t="str">
        <f>IFERROR(__xludf.DUMMYFUNCTION("""COMPUTED_VALUE"""),"Afriza (BT)")</f>
        <v>Afriza (BT)</v>
      </c>
      <c r="F1309" s="14" t="str">
        <f>IFERROR(__xludf.DUMMYFUNCTION("""COMPUTED_VALUE"""),"SELESAI (VIA PERMOHONAN)")</f>
        <v>SELESAI (VIA PERMOHONAN)</v>
      </c>
      <c r="G1309" s="17">
        <f>IFERROR(__xludf.DUMMYFUNCTION("""COMPUTED_VALUE"""),45719.47895849537)</f>
        <v>45719.47896</v>
      </c>
      <c r="H1309" s="14" t="str">
        <f>IFERROR(__xludf.DUMMYFUNCTION("""COMPUTED_VALUE"""),"Bu Eva (SU)")</f>
        <v>Bu Eva (SU)</v>
      </c>
      <c r="I1309" s="13" t="str">
        <f>IFERROR(__xludf.DUMMYFUNCTION("""COMPUTED_VALUE"""),"SELESAI (VIA PERMOHONAN)")</f>
        <v>SELESAI (VIA PERMOHONAN)</v>
      </c>
      <c r="J1309" s="17">
        <f>IFERROR(__xludf.DUMMYFUNCTION("""COMPUTED_VALUE"""),45720.419066608796)</f>
        <v>45720.41907</v>
      </c>
      <c r="K1309" s="13" t="str">
        <f>IFERROR(__xludf.DUMMYFUNCTION("""COMPUTED_VALUE"""),"Selesai")</f>
        <v>Selesai</v>
      </c>
      <c r="L1309" s="17">
        <f>IFERROR(__xludf.DUMMYFUNCTION("""COMPUTED_VALUE"""),45720.419066608796)</f>
        <v>45720.41907</v>
      </c>
      <c r="M1309" s="13"/>
      <c r="N1309" s="13" t="str">
        <f>IFERROR(__xludf.DUMMYFUNCTION("""COMPUTED_VALUE"""),"")</f>
        <v/>
      </c>
      <c r="O1309" s="13" t="str">
        <f t="shared" si="1"/>
        <v/>
      </c>
    </row>
    <row r="1310" ht="22.5" customHeight="1">
      <c r="B1310" s="13">
        <f>IFERROR(__xludf.DUMMYFUNCTION("""COMPUTED_VALUE"""),1305.0)</f>
        <v>1305</v>
      </c>
      <c r="C1310" s="13" t="str">
        <f>IFERROR(__xludf.DUMMYFUNCTION("""COMPUTED_VALUE"""),"M. 1357/ Rawa Laut")</f>
        <v>M. 1357/ Rawa Laut</v>
      </c>
      <c r="D1310" s="13" t="str">
        <f>IFERROR(__xludf.DUMMYFUNCTION("""COMPUTED_VALUE"""),"K/31/240225/2")</f>
        <v>K/31/240225/2</v>
      </c>
      <c r="E1310" s="14" t="str">
        <f>IFERROR(__xludf.DUMMYFUNCTION("""COMPUTED_VALUE"""),"Afriza (BT)")</f>
        <v>Afriza (BT)</v>
      </c>
      <c r="F1310" s="14" t="str">
        <f>IFERROR(__xludf.DUMMYFUNCTION("""COMPUTED_VALUE"""),"SELESAI (VIA PERMOHONAN)")</f>
        <v>SELESAI (VIA PERMOHONAN)</v>
      </c>
      <c r="G1310" s="17">
        <f>IFERROR(__xludf.DUMMYFUNCTION("""COMPUTED_VALUE"""),45719.47895849537)</f>
        <v>45719.47896</v>
      </c>
      <c r="H1310" s="14" t="str">
        <f>IFERROR(__xludf.DUMMYFUNCTION("""COMPUTED_VALUE"""),"Bu Eva (SU)")</f>
        <v>Bu Eva (SU)</v>
      </c>
      <c r="I1310" s="13" t="str">
        <f>IFERROR(__xludf.DUMMYFUNCTION("""COMPUTED_VALUE"""),"SELESAI (VIA PERMOHONAN)")</f>
        <v>SELESAI (VIA PERMOHONAN)</v>
      </c>
      <c r="J1310" s="17">
        <f>IFERROR(__xludf.DUMMYFUNCTION("""COMPUTED_VALUE"""),45720.419066608796)</f>
        <v>45720.41907</v>
      </c>
      <c r="K1310" s="13" t="str">
        <f>IFERROR(__xludf.DUMMYFUNCTION("""COMPUTED_VALUE"""),"Selesai")</f>
        <v>Selesai</v>
      </c>
      <c r="L1310" s="17">
        <f>IFERROR(__xludf.DUMMYFUNCTION("""COMPUTED_VALUE"""),45720.419066608796)</f>
        <v>45720.41907</v>
      </c>
      <c r="M1310" s="13"/>
      <c r="N1310" s="13" t="str">
        <f>IFERROR(__xludf.DUMMYFUNCTION("""COMPUTED_VALUE"""),"")</f>
        <v/>
      </c>
      <c r="O1310" s="13" t="str">
        <f t="shared" si="1"/>
        <v/>
      </c>
    </row>
    <row r="1311" ht="22.5" customHeight="1">
      <c r="B1311" s="13">
        <f>IFERROR(__xludf.DUMMYFUNCTION("""COMPUTED_VALUE"""),1306.0)</f>
        <v>1306</v>
      </c>
      <c r="C1311" s="13" t="str">
        <f>IFERROR(__xludf.DUMMYFUNCTION("""COMPUTED_VALUE"""),"M. 3125/ Gedong Air")</f>
        <v>M. 3125/ Gedong Air</v>
      </c>
      <c r="D1311" s="13" t="str">
        <f>IFERROR(__xludf.DUMMYFUNCTION("""COMPUTED_VALUE"""),"K/41/200225/1")</f>
        <v>K/41/200225/1</v>
      </c>
      <c r="E1311" s="14" t="str">
        <f>IFERROR(__xludf.DUMMYFUNCTION("""COMPUTED_VALUE"""),"Afriza (BT)")</f>
        <v>Afriza (BT)</v>
      </c>
      <c r="F1311" s="14" t="str">
        <f>IFERROR(__xludf.DUMMYFUNCTION("""COMPUTED_VALUE"""),"SELESAI (VIA PERMOHONAN)")</f>
        <v>SELESAI (VIA PERMOHONAN)</v>
      </c>
      <c r="G1311" s="17">
        <f>IFERROR(__xludf.DUMMYFUNCTION("""COMPUTED_VALUE"""),45719.47895849537)</f>
        <v>45719.47896</v>
      </c>
      <c r="H1311" s="14" t="str">
        <f>IFERROR(__xludf.DUMMYFUNCTION("""COMPUTED_VALUE"""),"Bu Eva (SU)")</f>
        <v>Bu Eva (SU)</v>
      </c>
      <c r="I1311" s="13" t="str">
        <f>IFERROR(__xludf.DUMMYFUNCTION("""COMPUTED_VALUE"""),"SELESAI (VIA PERMOHONAN)")</f>
        <v>SELESAI (VIA PERMOHONAN)</v>
      </c>
      <c r="J1311" s="17">
        <f>IFERROR(__xludf.DUMMYFUNCTION("""COMPUTED_VALUE"""),45720.419066608796)</f>
        <v>45720.41907</v>
      </c>
      <c r="K1311" s="13" t="str">
        <f>IFERROR(__xludf.DUMMYFUNCTION("""COMPUTED_VALUE"""),"Selesai")</f>
        <v>Selesai</v>
      </c>
      <c r="L1311" s="17">
        <f>IFERROR(__xludf.DUMMYFUNCTION("""COMPUTED_VALUE"""),45720.419066608796)</f>
        <v>45720.41907</v>
      </c>
      <c r="M1311" s="13"/>
      <c r="N1311" s="13" t="str">
        <f>IFERROR(__xludf.DUMMYFUNCTION("""COMPUTED_VALUE"""),"")</f>
        <v/>
      </c>
      <c r="O1311" s="13" t="str">
        <f t="shared" si="1"/>
        <v/>
      </c>
    </row>
    <row r="1312" ht="22.5" customHeight="1">
      <c r="B1312" s="13">
        <f>IFERROR(__xludf.DUMMYFUNCTION("""COMPUTED_VALUE"""),1307.0)</f>
        <v>1307</v>
      </c>
      <c r="C1312" s="13" t="str">
        <f>IFERROR(__xludf.DUMMYFUNCTION("""COMPUTED_VALUE"""),"M.4477/GUNUNG TERANG")</f>
        <v>M.4477/GUNUNG TERANG</v>
      </c>
      <c r="D1312" s="13" t="str">
        <f>IFERROR(__xludf.DUMMYFUNCTION("""COMPUTED_VALUE"""),"K/13/140225/1")</f>
        <v>K/13/140225/1</v>
      </c>
      <c r="E1312" s="14" t="str">
        <f>IFERROR(__xludf.DUMMYFUNCTION("""COMPUTED_VALUE"""),"Afriza (BT)")</f>
        <v>Afriza (BT)</v>
      </c>
      <c r="F1312" s="14" t="str">
        <f>IFERROR(__xludf.DUMMYFUNCTION("""COMPUTED_VALUE"""),"SELESAI (VIA PERMOHONAN)")</f>
        <v>SELESAI (VIA PERMOHONAN)</v>
      </c>
      <c r="G1312" s="17">
        <f>IFERROR(__xludf.DUMMYFUNCTION("""COMPUTED_VALUE"""),45719.47895849537)</f>
        <v>45719.47896</v>
      </c>
      <c r="H1312" s="14" t="str">
        <f>IFERROR(__xludf.DUMMYFUNCTION("""COMPUTED_VALUE"""),"Bu Eva (SU)")</f>
        <v>Bu Eva (SU)</v>
      </c>
      <c r="I1312" s="13" t="str">
        <f>IFERROR(__xludf.DUMMYFUNCTION("""COMPUTED_VALUE"""),"SELESAI (VIA PERMOHONAN)")</f>
        <v>SELESAI (VIA PERMOHONAN)</v>
      </c>
      <c r="J1312" s="17">
        <f>IFERROR(__xludf.DUMMYFUNCTION("""COMPUTED_VALUE"""),45720.41918195602)</f>
        <v>45720.41918</v>
      </c>
      <c r="K1312" s="13" t="str">
        <f>IFERROR(__xludf.DUMMYFUNCTION("""COMPUTED_VALUE"""),"Selesai")</f>
        <v>Selesai</v>
      </c>
      <c r="L1312" s="17">
        <f>IFERROR(__xludf.DUMMYFUNCTION("""COMPUTED_VALUE"""),45720.41918195602)</f>
        <v>45720.41918</v>
      </c>
      <c r="M1312" s="13"/>
      <c r="N1312" s="13" t="str">
        <f>IFERROR(__xludf.DUMMYFUNCTION("""COMPUTED_VALUE"""),"")</f>
        <v/>
      </c>
      <c r="O1312" s="13" t="str">
        <f t="shared" si="1"/>
        <v/>
      </c>
    </row>
    <row r="1313" ht="22.5" customHeight="1">
      <c r="B1313" s="13">
        <f>IFERROR(__xludf.DUMMYFUNCTION("""COMPUTED_VALUE"""),1308.0)</f>
        <v>1308</v>
      </c>
      <c r="C1313" s="13" t="str">
        <f>IFERROR(__xludf.DUMMYFUNCTION("""COMPUTED_VALUE"""),"B.56/PINANG JAYA")</f>
        <v>B.56/PINANG JAYA</v>
      </c>
      <c r="D1313" s="13" t="str">
        <f>IFERROR(__xludf.DUMMYFUNCTION("""COMPUTED_VALUE"""),"K/38/110225/1")</f>
        <v>K/38/110225/1</v>
      </c>
      <c r="E1313" s="14" t="str">
        <f>IFERROR(__xludf.DUMMYFUNCTION("""COMPUTED_VALUE"""),"Afriza (BT)")</f>
        <v>Afriza (BT)</v>
      </c>
      <c r="F1313" s="14" t="str">
        <f>IFERROR(__xludf.DUMMYFUNCTION("""COMPUTED_VALUE"""),"SELESAI (VIA PERMOHONAN)")</f>
        <v>SELESAI (VIA PERMOHONAN)</v>
      </c>
      <c r="G1313" s="17">
        <f>IFERROR(__xludf.DUMMYFUNCTION("""COMPUTED_VALUE"""),45719.47895849537)</f>
        <v>45719.47896</v>
      </c>
      <c r="H1313" s="14" t="str">
        <f>IFERROR(__xludf.DUMMYFUNCTION("""COMPUTED_VALUE"""),"Bu Eva (SU)")</f>
        <v>Bu Eva (SU)</v>
      </c>
      <c r="I1313" s="13" t="str">
        <f>IFERROR(__xludf.DUMMYFUNCTION("""COMPUTED_VALUE"""),"SELESAI (VIA PERMOHONAN)")</f>
        <v>SELESAI (VIA PERMOHONAN)</v>
      </c>
      <c r="J1313" s="17">
        <f>IFERROR(__xludf.DUMMYFUNCTION("""COMPUTED_VALUE"""),45720.41918195602)</f>
        <v>45720.41918</v>
      </c>
      <c r="K1313" s="13" t="str">
        <f>IFERROR(__xludf.DUMMYFUNCTION("""COMPUTED_VALUE"""),"Selesai")</f>
        <v>Selesai</v>
      </c>
      <c r="L1313" s="17">
        <f>IFERROR(__xludf.DUMMYFUNCTION("""COMPUTED_VALUE"""),45720.41918195602)</f>
        <v>45720.41918</v>
      </c>
      <c r="M1313" s="13"/>
      <c r="N1313" s="13" t="str">
        <f>IFERROR(__xludf.DUMMYFUNCTION("""COMPUTED_VALUE"""),"")</f>
        <v/>
      </c>
      <c r="O1313" s="13" t="str">
        <f t="shared" si="1"/>
        <v/>
      </c>
    </row>
    <row r="1314" ht="22.5" customHeight="1">
      <c r="B1314" s="13">
        <f>IFERROR(__xludf.DUMMYFUNCTION("""COMPUTED_VALUE"""),1309.0)</f>
        <v>1309</v>
      </c>
      <c r="C1314" s="13" t="str">
        <f>IFERROR(__xludf.DUMMYFUNCTION("""COMPUTED_VALUE"""),"M.2637/PINANG JAYA")</f>
        <v>M.2637/PINANG JAYA</v>
      </c>
      <c r="D1314" s="13" t="str">
        <f>IFERROR(__xludf.DUMMYFUNCTION("""COMPUTED_VALUE"""),"K/39/110225/2")</f>
        <v>K/39/110225/2</v>
      </c>
      <c r="E1314" s="14" t="str">
        <f>IFERROR(__xludf.DUMMYFUNCTION("""COMPUTED_VALUE"""),"Afriza (BT)")</f>
        <v>Afriza (BT)</v>
      </c>
      <c r="F1314" s="14" t="str">
        <f>IFERROR(__xludf.DUMMYFUNCTION("""COMPUTED_VALUE"""),"SELESAI (VIA PERMOHONAN)")</f>
        <v>SELESAI (VIA PERMOHONAN)</v>
      </c>
      <c r="G1314" s="17">
        <f>IFERROR(__xludf.DUMMYFUNCTION("""COMPUTED_VALUE"""),45719.47895849537)</f>
        <v>45719.47896</v>
      </c>
      <c r="H1314" s="14" t="str">
        <f>IFERROR(__xludf.DUMMYFUNCTION("""COMPUTED_VALUE"""),"Bu Eva (SU)")</f>
        <v>Bu Eva (SU)</v>
      </c>
      <c r="I1314" s="13" t="str">
        <f>IFERROR(__xludf.DUMMYFUNCTION("""COMPUTED_VALUE"""),"SELESAI (VIA PERMOHONAN)")</f>
        <v>SELESAI (VIA PERMOHONAN)</v>
      </c>
      <c r="J1314" s="17">
        <f>IFERROR(__xludf.DUMMYFUNCTION("""COMPUTED_VALUE"""),45720.41918195602)</f>
        <v>45720.41918</v>
      </c>
      <c r="K1314" s="13" t="str">
        <f>IFERROR(__xludf.DUMMYFUNCTION("""COMPUTED_VALUE"""),"Selesai")</f>
        <v>Selesai</v>
      </c>
      <c r="L1314" s="17">
        <f>IFERROR(__xludf.DUMMYFUNCTION("""COMPUTED_VALUE"""),45720.41918195602)</f>
        <v>45720.41918</v>
      </c>
      <c r="M1314" s="13"/>
      <c r="N1314" s="13" t="str">
        <f>IFERROR(__xludf.DUMMYFUNCTION("""COMPUTED_VALUE"""),"")</f>
        <v/>
      </c>
      <c r="O1314" s="13" t="str">
        <f t="shared" si="1"/>
        <v/>
      </c>
    </row>
    <row r="1315" ht="22.5" customHeight="1">
      <c r="B1315" s="13">
        <f>IFERROR(__xludf.DUMMYFUNCTION("""COMPUTED_VALUE"""),1310.0)</f>
        <v>1310</v>
      </c>
      <c r="C1315" s="13" t="str">
        <f>IFERROR(__xludf.DUMMYFUNCTION("""COMPUTED_VALUE"""),"M. 1505/SUMUR BATU")</f>
        <v>M. 1505/SUMUR BATU</v>
      </c>
      <c r="D1315" s="13" t="str">
        <f>IFERROR(__xludf.DUMMYFUNCTION("""COMPUTED_VALUE"""),"K/21/210225/1")</f>
        <v>K/21/210225/1</v>
      </c>
      <c r="E1315" s="14" t="str">
        <f>IFERROR(__xludf.DUMMYFUNCTION("""COMPUTED_VALUE"""),"Afriza (BT)")</f>
        <v>Afriza (BT)</v>
      </c>
      <c r="F1315" s="14" t="str">
        <f>IFERROR(__xludf.DUMMYFUNCTION("""COMPUTED_VALUE"""),"SELESAI (VIA PERMOHONAN)")</f>
        <v>SELESAI (VIA PERMOHONAN)</v>
      </c>
      <c r="G1315" s="17">
        <f>IFERROR(__xludf.DUMMYFUNCTION("""COMPUTED_VALUE"""),45719.47895849537)</f>
        <v>45719.47896</v>
      </c>
      <c r="H1315" s="14" t="str">
        <f>IFERROR(__xludf.DUMMYFUNCTION("""COMPUTED_VALUE"""),"Bu Eva (SU)")</f>
        <v>Bu Eva (SU)</v>
      </c>
      <c r="I1315" s="13" t="str">
        <f>IFERROR(__xludf.DUMMYFUNCTION("""COMPUTED_VALUE"""),"SELESAI (VIA PERMOHONAN)")</f>
        <v>SELESAI (VIA PERMOHONAN)</v>
      </c>
      <c r="J1315" s="17">
        <f>IFERROR(__xludf.DUMMYFUNCTION("""COMPUTED_VALUE"""),45720.41918195602)</f>
        <v>45720.41918</v>
      </c>
      <c r="K1315" s="13" t="str">
        <f>IFERROR(__xludf.DUMMYFUNCTION("""COMPUTED_VALUE"""),"Selesai")</f>
        <v>Selesai</v>
      </c>
      <c r="L1315" s="17">
        <f>IFERROR(__xludf.DUMMYFUNCTION("""COMPUTED_VALUE"""),45720.41918195602)</f>
        <v>45720.41918</v>
      </c>
      <c r="M1315" s="13"/>
      <c r="N1315" s="13" t="str">
        <f>IFERROR(__xludf.DUMMYFUNCTION("""COMPUTED_VALUE"""),"")</f>
        <v/>
      </c>
      <c r="O1315" s="13" t="str">
        <f t="shared" si="1"/>
        <v/>
      </c>
    </row>
    <row r="1316" ht="22.5" customHeight="1">
      <c r="B1316" s="13">
        <f>IFERROR(__xludf.DUMMYFUNCTION("""COMPUTED_VALUE"""),1311.0)</f>
        <v>1311</v>
      </c>
      <c r="C1316" s="13" t="str">
        <f>IFERROR(__xludf.DUMMYFUNCTION("""COMPUTED_VALUE"""),"M. 14853/ Sukarame I")</f>
        <v>M. 14853/ Sukarame I</v>
      </c>
      <c r="D1316" s="13" t="str">
        <f>IFERROR(__xludf.DUMMYFUNCTION("""COMPUTED_VALUE"""),"K/39/210225/1")</f>
        <v>K/39/210225/1</v>
      </c>
      <c r="E1316" s="14" t="str">
        <f>IFERROR(__xludf.DUMMYFUNCTION("""COMPUTED_VALUE"""),"Afriza (BT)")</f>
        <v>Afriza (BT)</v>
      </c>
      <c r="F1316" s="14" t="str">
        <f>IFERROR(__xludf.DUMMYFUNCTION("""COMPUTED_VALUE"""),"SELESAI (VIA PERMOHONAN)")</f>
        <v>SELESAI (VIA PERMOHONAN)</v>
      </c>
      <c r="G1316" s="17">
        <f>IFERROR(__xludf.DUMMYFUNCTION("""COMPUTED_VALUE"""),45719.545942372686)</f>
        <v>45719.54594</v>
      </c>
      <c r="H1316" s="14" t="str">
        <f>IFERROR(__xludf.DUMMYFUNCTION("""COMPUTED_VALUE"""),"Bu Eva (SU)")</f>
        <v>Bu Eva (SU)</v>
      </c>
      <c r="I1316" s="13" t="str">
        <f>IFERROR(__xludf.DUMMYFUNCTION("""COMPUTED_VALUE"""),"SELESAI (VIA PERMOHONAN)")</f>
        <v>SELESAI (VIA PERMOHONAN)</v>
      </c>
      <c r="J1316" s="17">
        <f>IFERROR(__xludf.DUMMYFUNCTION("""COMPUTED_VALUE"""),45720.41924962963)</f>
        <v>45720.41925</v>
      </c>
      <c r="K1316" s="13" t="str">
        <f>IFERROR(__xludf.DUMMYFUNCTION("""COMPUTED_VALUE"""),"Selesai")</f>
        <v>Selesai</v>
      </c>
      <c r="L1316" s="17">
        <f>IFERROR(__xludf.DUMMYFUNCTION("""COMPUTED_VALUE"""),45720.41924962963)</f>
        <v>45720.41925</v>
      </c>
      <c r="M1316" s="13"/>
      <c r="N1316" s="13" t="str">
        <f>IFERROR(__xludf.DUMMYFUNCTION("""COMPUTED_VALUE"""),"")</f>
        <v/>
      </c>
      <c r="O1316" s="13" t="str">
        <f t="shared" si="1"/>
        <v/>
      </c>
    </row>
    <row r="1317" ht="22.5" customHeight="1">
      <c r="B1317" s="13">
        <f>IFERROR(__xludf.DUMMYFUNCTION("""COMPUTED_VALUE"""),1312.0)</f>
        <v>1312</v>
      </c>
      <c r="C1317" s="13" t="str">
        <f>IFERROR(__xludf.DUMMYFUNCTION("""COMPUTED_VALUE"""),"M. 677/ Gunung Sulah")</f>
        <v>M. 677/ Gunung Sulah</v>
      </c>
      <c r="D1317" s="13" t="str">
        <f>IFERROR(__xludf.DUMMYFUNCTION("""COMPUTED_VALUE"""),"K/47/210225/1")</f>
        <v>K/47/210225/1</v>
      </c>
      <c r="E1317" s="14" t="str">
        <f>IFERROR(__xludf.DUMMYFUNCTION("""COMPUTED_VALUE"""),"Nadian (BT)")</f>
        <v>Nadian (BT)</v>
      </c>
      <c r="F1317" s="14" t="str">
        <f>IFERROR(__xludf.DUMMYFUNCTION("""COMPUTED_VALUE"""),"SELESAI (VIA PERMOHONAN)")</f>
        <v>SELESAI (VIA PERMOHONAN)</v>
      </c>
      <c r="G1317" s="17">
        <f>IFERROR(__xludf.DUMMYFUNCTION("""COMPUTED_VALUE"""),45720.5511481713)</f>
        <v>45720.55115</v>
      </c>
      <c r="H1317" s="14" t="str">
        <f>IFERROR(__xludf.DUMMYFUNCTION("""COMPUTED_VALUE"""),"Bu Eva (SU)")</f>
        <v>Bu Eva (SU)</v>
      </c>
      <c r="I1317" s="13" t="str">
        <f>IFERROR(__xludf.DUMMYFUNCTION("""COMPUTED_VALUE"""),"SELESAI (VIA PERMOHONAN)")</f>
        <v>SELESAI (VIA PERMOHONAN)</v>
      </c>
      <c r="J1317" s="17">
        <f>IFERROR(__xludf.DUMMYFUNCTION("""COMPUTED_VALUE"""),45720.42119898148)</f>
        <v>45720.4212</v>
      </c>
      <c r="K1317" s="13" t="str">
        <f>IFERROR(__xludf.DUMMYFUNCTION("""COMPUTED_VALUE"""),"Selesai")</f>
        <v>Selesai</v>
      </c>
      <c r="L1317" s="17">
        <f>IFERROR(__xludf.DUMMYFUNCTION("""COMPUTED_VALUE"""),45720.42119898148)</f>
        <v>45720.4212</v>
      </c>
      <c r="M1317" s="13"/>
      <c r="N1317" s="13" t="str">
        <f>IFERROR(__xludf.DUMMYFUNCTION("""COMPUTED_VALUE"""),"")</f>
        <v/>
      </c>
      <c r="O1317" s="13" t="str">
        <f t="shared" si="1"/>
        <v/>
      </c>
    </row>
    <row r="1318" ht="22.5" customHeight="1">
      <c r="B1318" s="13">
        <f>IFERROR(__xludf.DUMMYFUNCTION("""COMPUTED_VALUE"""),1313.0)</f>
        <v>1313</v>
      </c>
      <c r="C1318" s="13" t="str">
        <f>IFERROR(__xludf.DUMMYFUNCTION("""COMPUTED_VALUE"""),"M. 9205/ Gedong Meneng")</f>
        <v>M. 9205/ Gedong Meneng</v>
      </c>
      <c r="D1318" s="13" t="str">
        <f>IFERROR(__xludf.DUMMYFUNCTION("""COMPUTED_VALUE"""),"K/9/200225/3")</f>
        <v>K/9/200225/3</v>
      </c>
      <c r="E1318" s="14" t="str">
        <f>IFERROR(__xludf.DUMMYFUNCTION("""COMPUTED_VALUE"""),"Nadian (BT)")</f>
        <v>Nadian (BT)</v>
      </c>
      <c r="F1318" s="14" t="str">
        <f>IFERROR(__xludf.DUMMYFUNCTION("""COMPUTED_VALUE"""),"SELESAI (VIA PERMOHONAN)")</f>
        <v>SELESAI (VIA PERMOHONAN)</v>
      </c>
      <c r="G1318" s="17">
        <f>IFERROR(__xludf.DUMMYFUNCTION("""COMPUTED_VALUE"""),45720.55118199074)</f>
        <v>45720.55118</v>
      </c>
      <c r="H1318" s="14" t="str">
        <f>IFERROR(__xludf.DUMMYFUNCTION("""COMPUTED_VALUE"""),"Bu Eva (SU)")</f>
        <v>Bu Eva (SU)</v>
      </c>
      <c r="I1318" s="13" t="str">
        <f>IFERROR(__xludf.DUMMYFUNCTION("""COMPUTED_VALUE"""),"SELESAI (VIA PERMOHONAN)")</f>
        <v>SELESAI (VIA PERMOHONAN)</v>
      </c>
      <c r="J1318" s="17">
        <f>IFERROR(__xludf.DUMMYFUNCTION("""COMPUTED_VALUE"""),45720.42119898148)</f>
        <v>45720.4212</v>
      </c>
      <c r="K1318" s="13" t="str">
        <f>IFERROR(__xludf.DUMMYFUNCTION("""COMPUTED_VALUE"""),"Selesai")</f>
        <v>Selesai</v>
      </c>
      <c r="L1318" s="17">
        <f>IFERROR(__xludf.DUMMYFUNCTION("""COMPUTED_VALUE"""),45720.42119898148)</f>
        <v>45720.4212</v>
      </c>
      <c r="M1318" s="13"/>
      <c r="N1318" s="13" t="str">
        <f>IFERROR(__xludf.DUMMYFUNCTION("""COMPUTED_VALUE"""),"")</f>
        <v/>
      </c>
      <c r="O1318" s="13" t="str">
        <f t="shared" si="1"/>
        <v/>
      </c>
    </row>
    <row r="1319" ht="22.5" customHeight="1">
      <c r="B1319" s="13">
        <f>IFERROR(__xludf.DUMMYFUNCTION("""COMPUTED_VALUE"""),1314.0)</f>
        <v>1314</v>
      </c>
      <c r="C1319" s="13" t="str">
        <f>IFERROR(__xludf.DUMMYFUNCTION("""COMPUTED_VALUE"""),"M. 1970/ Durian Payung")</f>
        <v>M. 1970/ Durian Payung</v>
      </c>
      <c r="D1319" s="13" t="str">
        <f>IFERROR(__xludf.DUMMYFUNCTION("""COMPUTED_VALUE"""),"K/34/200225/2")</f>
        <v>K/34/200225/2</v>
      </c>
      <c r="E1319" s="14" t="str">
        <f>IFERROR(__xludf.DUMMYFUNCTION("""COMPUTED_VALUE"""),"Nadian (BT)")</f>
        <v>Nadian (BT)</v>
      </c>
      <c r="F1319" s="14" t="str">
        <f>IFERROR(__xludf.DUMMYFUNCTION("""COMPUTED_VALUE"""),"SELESAI (VIA PERMOHONAN)")</f>
        <v>SELESAI (VIA PERMOHONAN)</v>
      </c>
      <c r="G1319" s="17">
        <f>IFERROR(__xludf.DUMMYFUNCTION("""COMPUTED_VALUE"""),45720.55118200231)</f>
        <v>45720.55118</v>
      </c>
      <c r="H1319" s="14" t="str">
        <f>IFERROR(__xludf.DUMMYFUNCTION("""COMPUTED_VALUE"""),"Bu Eva (SU)")</f>
        <v>Bu Eva (SU)</v>
      </c>
      <c r="I1319" s="13" t="str">
        <f>IFERROR(__xludf.DUMMYFUNCTION("""COMPUTED_VALUE"""),"SELESAI (VIA PERMOHONAN)")</f>
        <v>SELESAI (VIA PERMOHONAN)</v>
      </c>
      <c r="J1319" s="17">
        <f>IFERROR(__xludf.DUMMYFUNCTION("""COMPUTED_VALUE"""),45720.42119898148)</f>
        <v>45720.4212</v>
      </c>
      <c r="K1319" s="13" t="str">
        <f>IFERROR(__xludf.DUMMYFUNCTION("""COMPUTED_VALUE"""),"Selesai")</f>
        <v>Selesai</v>
      </c>
      <c r="L1319" s="17">
        <f>IFERROR(__xludf.DUMMYFUNCTION("""COMPUTED_VALUE"""),45720.42119898148)</f>
        <v>45720.4212</v>
      </c>
      <c r="M1319" s="13"/>
      <c r="N1319" s="13" t="str">
        <f>IFERROR(__xludf.DUMMYFUNCTION("""COMPUTED_VALUE"""),"")</f>
        <v/>
      </c>
      <c r="O1319" s="13" t="str">
        <f t="shared" si="1"/>
        <v/>
      </c>
    </row>
    <row r="1320" ht="22.5" customHeight="1">
      <c r="B1320" s="13">
        <f>IFERROR(__xludf.DUMMYFUNCTION("""COMPUTED_VALUE"""),1315.0)</f>
        <v>1315</v>
      </c>
      <c r="C1320" s="13" t="str">
        <f>IFERROR(__xludf.DUMMYFUNCTION("""COMPUTED_VALUE"""),"B. 538/ Gunung Sulah")</f>
        <v>B. 538/ Gunung Sulah</v>
      </c>
      <c r="D1320" s="13" t="str">
        <f>IFERROR(__xludf.DUMMYFUNCTION("""COMPUTED_VALUE"""),"K/18/250225/2")</f>
        <v>K/18/250225/2</v>
      </c>
      <c r="E1320" s="14" t="str">
        <f>IFERROR(__xludf.DUMMYFUNCTION("""COMPUTED_VALUE"""),"Nadian (BT)")</f>
        <v>Nadian (BT)</v>
      </c>
      <c r="F1320" s="14" t="str">
        <f>IFERROR(__xludf.DUMMYFUNCTION("""COMPUTED_VALUE"""),"SELESAI (VIA PERMOHONAN)")</f>
        <v>SELESAI (VIA PERMOHONAN)</v>
      </c>
      <c r="G1320" s="17">
        <f>IFERROR(__xludf.DUMMYFUNCTION("""COMPUTED_VALUE"""),45720.55118200231)</f>
        <v>45720.55118</v>
      </c>
      <c r="H1320" s="14" t="str">
        <f>IFERROR(__xludf.DUMMYFUNCTION("""COMPUTED_VALUE"""),"Bu Eva (SU)")</f>
        <v>Bu Eva (SU)</v>
      </c>
      <c r="I1320" s="13" t="str">
        <f>IFERROR(__xludf.DUMMYFUNCTION("""COMPUTED_VALUE"""),"SELESAI (VIA PERMOHONAN)")</f>
        <v>SELESAI (VIA PERMOHONAN)</v>
      </c>
      <c r="J1320" s="17">
        <f>IFERROR(__xludf.DUMMYFUNCTION("""COMPUTED_VALUE"""),45720.42119898148)</f>
        <v>45720.4212</v>
      </c>
      <c r="K1320" s="13" t="str">
        <f>IFERROR(__xludf.DUMMYFUNCTION("""COMPUTED_VALUE"""),"Selesai")</f>
        <v>Selesai</v>
      </c>
      <c r="L1320" s="17">
        <f>IFERROR(__xludf.DUMMYFUNCTION("""COMPUTED_VALUE"""),45720.42119898148)</f>
        <v>45720.4212</v>
      </c>
      <c r="M1320" s="13"/>
      <c r="N1320" s="13" t="str">
        <f>IFERROR(__xludf.DUMMYFUNCTION("""COMPUTED_VALUE"""),"")</f>
        <v/>
      </c>
      <c r="O1320" s="13" t="str">
        <f t="shared" si="1"/>
        <v/>
      </c>
    </row>
    <row r="1321" ht="22.5" customHeight="1">
      <c r="B1321" s="13">
        <f>IFERROR(__xludf.DUMMYFUNCTION("""COMPUTED_VALUE"""),1316.0)</f>
        <v>1316</v>
      </c>
      <c r="C1321" s="13" t="str">
        <f>IFERROR(__xludf.DUMMYFUNCTION("""COMPUTED_VALUE"""),"MRS. 69/ Tanjungkarang")</f>
        <v>MRS. 69/ Tanjungkarang</v>
      </c>
      <c r="D1321" s="13" t="str">
        <f>IFERROR(__xludf.DUMMYFUNCTION("""COMPUTED_VALUE"""),"K/12/100225/3")</f>
        <v>K/12/100225/3</v>
      </c>
      <c r="E1321" s="14" t="str">
        <f>IFERROR(__xludf.DUMMYFUNCTION("""COMPUTED_VALUE"""),"Nadian (BT)")</f>
        <v>Nadian (BT)</v>
      </c>
      <c r="F1321" s="14" t="str">
        <f>IFERROR(__xludf.DUMMYFUNCTION("""COMPUTED_VALUE"""),"SELESAI (VIA PERMOHONAN)")</f>
        <v>SELESAI (VIA PERMOHONAN)</v>
      </c>
      <c r="G1321" s="17">
        <f>IFERROR(__xludf.DUMMYFUNCTION("""COMPUTED_VALUE"""),45720.55118200231)</f>
        <v>45720.55118</v>
      </c>
      <c r="H1321" s="14" t="str">
        <f>IFERROR(__xludf.DUMMYFUNCTION("""COMPUTED_VALUE"""),"Bu Eva (SU)")</f>
        <v>Bu Eva (SU)</v>
      </c>
      <c r="I1321" s="13" t="str">
        <f>IFERROR(__xludf.DUMMYFUNCTION("""COMPUTED_VALUE"""),"SELESAI (VIA PERMOHONAN)")</f>
        <v>SELESAI (VIA PERMOHONAN)</v>
      </c>
      <c r="J1321" s="17">
        <f>IFERROR(__xludf.DUMMYFUNCTION("""COMPUTED_VALUE"""),45720.42119898148)</f>
        <v>45720.4212</v>
      </c>
      <c r="K1321" s="13" t="str">
        <f>IFERROR(__xludf.DUMMYFUNCTION("""COMPUTED_VALUE"""),"Selesai")</f>
        <v>Selesai</v>
      </c>
      <c r="L1321" s="17">
        <f>IFERROR(__xludf.DUMMYFUNCTION("""COMPUTED_VALUE"""),45720.42119898148)</f>
        <v>45720.4212</v>
      </c>
      <c r="M1321" s="13"/>
      <c r="N1321" s="13" t="str">
        <f>IFERROR(__xludf.DUMMYFUNCTION("""COMPUTED_VALUE"""),"")</f>
        <v/>
      </c>
      <c r="O1321" s="13" t="str">
        <f t="shared" si="1"/>
        <v/>
      </c>
    </row>
    <row r="1322" ht="22.5" customHeight="1">
      <c r="B1322" s="13">
        <f>IFERROR(__xludf.DUMMYFUNCTION("""COMPUTED_VALUE"""),1317.0)</f>
        <v>1317</v>
      </c>
      <c r="C1322" s="13" t="str">
        <f>IFERROR(__xludf.DUMMYFUNCTION("""COMPUTED_VALUE"""),"M. 1850/ Beringin Jaya")</f>
        <v>M. 1850/ Beringin Jaya</v>
      </c>
      <c r="D1322" s="13" t="str">
        <f>IFERROR(__xludf.DUMMYFUNCTION("""COMPUTED_VALUE"""),"K/38/240225/4")</f>
        <v>K/38/240225/4</v>
      </c>
      <c r="E1322" s="14" t="str">
        <f>IFERROR(__xludf.DUMMYFUNCTION("""COMPUTED_VALUE"""),"Nadian (BT)")</f>
        <v>Nadian (BT)</v>
      </c>
      <c r="F1322" s="14" t="str">
        <f>IFERROR(__xludf.DUMMYFUNCTION("""COMPUTED_VALUE"""),"SELESAI (VIA PERMOHONAN)")</f>
        <v>SELESAI (VIA PERMOHONAN)</v>
      </c>
      <c r="G1322" s="17">
        <f>IFERROR(__xludf.DUMMYFUNCTION("""COMPUTED_VALUE"""),45720.55118200231)</f>
        <v>45720.55118</v>
      </c>
      <c r="H1322" s="14" t="str">
        <f>IFERROR(__xludf.DUMMYFUNCTION("""COMPUTED_VALUE"""),"Bu Eva (SU)")</f>
        <v>Bu Eva (SU)</v>
      </c>
      <c r="I1322" s="13" t="str">
        <f>IFERROR(__xludf.DUMMYFUNCTION("""COMPUTED_VALUE"""),"SELESAI (VIA PERMOHONAN)")</f>
        <v>SELESAI (VIA PERMOHONAN)</v>
      </c>
      <c r="J1322" s="17">
        <f>IFERROR(__xludf.DUMMYFUNCTION("""COMPUTED_VALUE"""),45720.42119898148)</f>
        <v>45720.4212</v>
      </c>
      <c r="K1322" s="13" t="str">
        <f>IFERROR(__xludf.DUMMYFUNCTION("""COMPUTED_VALUE"""),"Selesai")</f>
        <v>Selesai</v>
      </c>
      <c r="L1322" s="17">
        <f>IFERROR(__xludf.DUMMYFUNCTION("""COMPUTED_VALUE"""),45720.42119898148)</f>
        <v>45720.4212</v>
      </c>
      <c r="M1322" s="13"/>
      <c r="N1322" s="13" t="str">
        <f>IFERROR(__xludf.DUMMYFUNCTION("""COMPUTED_VALUE"""),"")</f>
        <v/>
      </c>
      <c r="O1322" s="13" t="str">
        <f t="shared" si="1"/>
        <v/>
      </c>
    </row>
    <row r="1323" ht="22.5" customHeight="1">
      <c r="B1323" s="13">
        <f>IFERROR(__xludf.DUMMYFUNCTION("""COMPUTED_VALUE"""),1318.0)</f>
        <v>1318</v>
      </c>
      <c r="C1323" s="13" t="str">
        <f>IFERROR(__xludf.DUMMYFUNCTION("""COMPUTED_VALUE"""),"M. 1375/ Batu Putuk")</f>
        <v>M. 1375/ Batu Putuk</v>
      </c>
      <c r="D1323" s="13" t="str">
        <f>IFERROR(__xludf.DUMMYFUNCTION("""COMPUTED_VALUE"""),"K/49/250225/1")</f>
        <v>K/49/250225/1</v>
      </c>
      <c r="E1323" s="14" t="str">
        <f>IFERROR(__xludf.DUMMYFUNCTION("""COMPUTED_VALUE"""),"Nadian (BT)")</f>
        <v>Nadian (BT)</v>
      </c>
      <c r="F1323" s="14" t="str">
        <f>IFERROR(__xludf.DUMMYFUNCTION("""COMPUTED_VALUE"""),"SELESAI (VIA PERMOHONAN)")</f>
        <v>SELESAI (VIA PERMOHONAN)</v>
      </c>
      <c r="G1323" s="17">
        <f>IFERROR(__xludf.DUMMYFUNCTION("""COMPUTED_VALUE"""),45720.55118200231)</f>
        <v>45720.55118</v>
      </c>
      <c r="H1323" s="14" t="str">
        <f>IFERROR(__xludf.DUMMYFUNCTION("""COMPUTED_VALUE"""),"Bu Eva (SU)")</f>
        <v>Bu Eva (SU)</v>
      </c>
      <c r="I1323" s="13" t="str">
        <f>IFERROR(__xludf.DUMMYFUNCTION("""COMPUTED_VALUE"""),"SELESAI (VIA PERMOHONAN)")</f>
        <v>SELESAI (VIA PERMOHONAN)</v>
      </c>
      <c r="J1323" s="17">
        <f>IFERROR(__xludf.DUMMYFUNCTION("""COMPUTED_VALUE"""),45720.42119898148)</f>
        <v>45720.4212</v>
      </c>
      <c r="K1323" s="13" t="str">
        <f>IFERROR(__xludf.DUMMYFUNCTION("""COMPUTED_VALUE"""),"Selesai")</f>
        <v>Selesai</v>
      </c>
      <c r="L1323" s="17">
        <f>IFERROR(__xludf.DUMMYFUNCTION("""COMPUTED_VALUE"""),45720.42119898148)</f>
        <v>45720.4212</v>
      </c>
      <c r="M1323" s="13"/>
      <c r="N1323" s="13" t="str">
        <f>IFERROR(__xludf.DUMMYFUNCTION("""COMPUTED_VALUE"""),"")</f>
        <v/>
      </c>
      <c r="O1323" s="13" t="str">
        <f t="shared" si="1"/>
        <v/>
      </c>
    </row>
    <row r="1324" ht="22.5" customHeight="1">
      <c r="B1324" s="13">
        <f>IFERROR(__xludf.DUMMYFUNCTION("""COMPUTED_VALUE"""),1319.0)</f>
        <v>1319</v>
      </c>
      <c r="C1324" s="13" t="str">
        <f>IFERROR(__xludf.DUMMYFUNCTION("""COMPUTED_VALUE"""),"M. 1852/ Beringin Jaya")</f>
        <v>M. 1852/ Beringin Jaya</v>
      </c>
      <c r="D1324" s="13" t="str">
        <f>IFERROR(__xludf.DUMMYFUNCTION("""COMPUTED_VALUE"""),"K/35/240225/1")</f>
        <v>K/35/240225/1</v>
      </c>
      <c r="E1324" s="14" t="str">
        <f>IFERROR(__xludf.DUMMYFUNCTION("""COMPUTED_VALUE"""),"Nadian (BT)")</f>
        <v>Nadian (BT)</v>
      </c>
      <c r="F1324" s="14" t="str">
        <f>IFERROR(__xludf.DUMMYFUNCTION("""COMPUTED_VALUE"""),"SELESAI (VIA PERMOHONAN)")</f>
        <v>SELESAI (VIA PERMOHONAN)</v>
      </c>
      <c r="G1324" s="17">
        <f>IFERROR(__xludf.DUMMYFUNCTION("""COMPUTED_VALUE"""),45720.55118200231)</f>
        <v>45720.55118</v>
      </c>
      <c r="H1324" s="14" t="str">
        <f>IFERROR(__xludf.DUMMYFUNCTION("""COMPUTED_VALUE"""),"Bu Eva (SU)")</f>
        <v>Bu Eva (SU)</v>
      </c>
      <c r="I1324" s="13" t="str">
        <f>IFERROR(__xludf.DUMMYFUNCTION("""COMPUTED_VALUE"""),"SELESAI (VIA PERMOHONAN)")</f>
        <v>SELESAI (VIA PERMOHONAN)</v>
      </c>
      <c r="J1324" s="17">
        <f>IFERROR(__xludf.DUMMYFUNCTION("""COMPUTED_VALUE"""),45720.42119898148)</f>
        <v>45720.4212</v>
      </c>
      <c r="K1324" s="13" t="str">
        <f>IFERROR(__xludf.DUMMYFUNCTION("""COMPUTED_VALUE"""),"Selesai")</f>
        <v>Selesai</v>
      </c>
      <c r="L1324" s="17">
        <f>IFERROR(__xludf.DUMMYFUNCTION("""COMPUTED_VALUE"""),45720.42119898148)</f>
        <v>45720.4212</v>
      </c>
      <c r="M1324" s="13"/>
      <c r="N1324" s="13" t="str">
        <f>IFERROR(__xludf.DUMMYFUNCTION("""COMPUTED_VALUE"""),"")</f>
        <v/>
      </c>
      <c r="O1324" s="13" t="str">
        <f t="shared" si="1"/>
        <v/>
      </c>
    </row>
    <row r="1325" ht="22.5" customHeight="1">
      <c r="B1325" s="13">
        <f>IFERROR(__xludf.DUMMYFUNCTION("""COMPUTED_VALUE"""),1320.0)</f>
        <v>1320</v>
      </c>
      <c r="C1325" s="13" t="str">
        <f>IFERROR(__xludf.DUMMYFUNCTION("""COMPUTED_VALUE"""),"M. 1831/ Beringin Jaya")</f>
        <v>M. 1831/ Beringin Jaya</v>
      </c>
      <c r="D1325" s="13" t="str">
        <f>IFERROR(__xludf.DUMMYFUNCTION("""COMPUTED_VALUE"""),"K/11/260225/3")</f>
        <v>K/11/260225/3</v>
      </c>
      <c r="E1325" s="14" t="str">
        <f>IFERROR(__xludf.DUMMYFUNCTION("""COMPUTED_VALUE"""),"Nadian (BT)")</f>
        <v>Nadian (BT)</v>
      </c>
      <c r="F1325" s="14" t="str">
        <f>IFERROR(__xludf.DUMMYFUNCTION("""COMPUTED_VALUE"""),"SELESAI (VIA PERMOHONAN)")</f>
        <v>SELESAI (VIA PERMOHONAN)</v>
      </c>
      <c r="G1325" s="17">
        <f>IFERROR(__xludf.DUMMYFUNCTION("""COMPUTED_VALUE"""),45720.55118200231)</f>
        <v>45720.55118</v>
      </c>
      <c r="H1325" s="14" t="str">
        <f>IFERROR(__xludf.DUMMYFUNCTION("""COMPUTED_VALUE"""),"Bu Eva (SU)")</f>
        <v>Bu Eva (SU)</v>
      </c>
      <c r="I1325" s="13" t="str">
        <f>IFERROR(__xludf.DUMMYFUNCTION("""COMPUTED_VALUE"""),"SELESAI (VIA PERMOHONAN)")</f>
        <v>SELESAI (VIA PERMOHONAN)</v>
      </c>
      <c r="J1325" s="17">
        <f>IFERROR(__xludf.DUMMYFUNCTION("""COMPUTED_VALUE"""),45720.42124016203)</f>
        <v>45720.42124</v>
      </c>
      <c r="K1325" s="13" t="str">
        <f>IFERROR(__xludf.DUMMYFUNCTION("""COMPUTED_VALUE"""),"Selesai")</f>
        <v>Selesai</v>
      </c>
      <c r="L1325" s="17">
        <f>IFERROR(__xludf.DUMMYFUNCTION("""COMPUTED_VALUE"""),45720.42124016203)</f>
        <v>45720.42124</v>
      </c>
      <c r="M1325" s="13"/>
      <c r="N1325" s="13" t="str">
        <f>IFERROR(__xludf.DUMMYFUNCTION("""COMPUTED_VALUE"""),"")</f>
        <v/>
      </c>
      <c r="O1325" s="13" t="str">
        <f t="shared" si="1"/>
        <v/>
      </c>
    </row>
    <row r="1326" ht="22.5" customHeight="1">
      <c r="B1326" s="13">
        <f>IFERROR(__xludf.DUMMYFUNCTION("""COMPUTED_VALUE"""),1321.0)</f>
        <v>1321</v>
      </c>
      <c r="C1326" s="13" t="str">
        <f>IFERROR(__xludf.DUMMYFUNCTION("""COMPUTED_VALUE"""),"M. 1851/ Beringin Jaya")</f>
        <v>M. 1851/ Beringin Jaya</v>
      </c>
      <c r="D1326" s="13" t="str">
        <f>IFERROR(__xludf.DUMMYFUNCTION("""COMPUTED_VALUE"""),"K/39/240225/5")</f>
        <v>K/39/240225/5</v>
      </c>
      <c r="E1326" s="14" t="str">
        <f>IFERROR(__xludf.DUMMYFUNCTION("""COMPUTED_VALUE"""),"Nadian (BT)")</f>
        <v>Nadian (BT)</v>
      </c>
      <c r="F1326" s="14" t="str">
        <f>IFERROR(__xludf.DUMMYFUNCTION("""COMPUTED_VALUE"""),"SELESAI (VIA PERMOHONAN)")</f>
        <v>SELESAI (VIA PERMOHONAN)</v>
      </c>
      <c r="G1326" s="17">
        <f>IFERROR(__xludf.DUMMYFUNCTION("""COMPUTED_VALUE"""),45720.55118200231)</f>
        <v>45720.55118</v>
      </c>
      <c r="H1326" s="14" t="str">
        <f>IFERROR(__xludf.DUMMYFUNCTION("""COMPUTED_VALUE"""),"Bu Eva (SU)")</f>
        <v>Bu Eva (SU)</v>
      </c>
      <c r="I1326" s="13" t="str">
        <f>IFERROR(__xludf.DUMMYFUNCTION("""COMPUTED_VALUE"""),"SELESAI (VIA PERMOHONAN)")</f>
        <v>SELESAI (VIA PERMOHONAN)</v>
      </c>
      <c r="J1326" s="17">
        <f>IFERROR(__xludf.DUMMYFUNCTION("""COMPUTED_VALUE"""),45720.42124016203)</f>
        <v>45720.42124</v>
      </c>
      <c r="K1326" s="13" t="str">
        <f>IFERROR(__xludf.DUMMYFUNCTION("""COMPUTED_VALUE"""),"Selesai")</f>
        <v>Selesai</v>
      </c>
      <c r="L1326" s="17">
        <f>IFERROR(__xludf.DUMMYFUNCTION("""COMPUTED_VALUE"""),45720.42124016203)</f>
        <v>45720.42124</v>
      </c>
      <c r="M1326" s="13"/>
      <c r="N1326" s="13" t="str">
        <f>IFERROR(__xludf.DUMMYFUNCTION("""COMPUTED_VALUE"""),"")</f>
        <v/>
      </c>
      <c r="O1326" s="13" t="str">
        <f t="shared" si="1"/>
        <v/>
      </c>
    </row>
    <row r="1327" ht="22.5" customHeight="1">
      <c r="B1327" s="13">
        <f>IFERROR(__xludf.DUMMYFUNCTION("""COMPUTED_VALUE"""),1322.0)</f>
        <v>1322</v>
      </c>
      <c r="C1327" s="13" t="str">
        <f>IFERROR(__xludf.DUMMYFUNCTION("""COMPUTED_VALUE"""),"M. 1238/ Beringin Jaya")</f>
        <v>M. 1238/ Beringin Jaya</v>
      </c>
      <c r="D1327" s="13" t="str">
        <f>IFERROR(__xludf.DUMMYFUNCTION("""COMPUTED_VALUE"""),"K/9/260225/1")</f>
        <v>K/9/260225/1</v>
      </c>
      <c r="E1327" s="14" t="str">
        <f>IFERROR(__xludf.DUMMYFUNCTION("""COMPUTED_VALUE"""),"Nadian (BT)")</f>
        <v>Nadian (BT)</v>
      </c>
      <c r="F1327" s="14" t="str">
        <f>IFERROR(__xludf.DUMMYFUNCTION("""COMPUTED_VALUE"""),"SELESAI (VIA PERMOHONAN)")</f>
        <v>SELESAI (VIA PERMOHONAN)</v>
      </c>
      <c r="G1327" s="17">
        <f>IFERROR(__xludf.DUMMYFUNCTION("""COMPUTED_VALUE"""),45720.55118200231)</f>
        <v>45720.55118</v>
      </c>
      <c r="H1327" s="14" t="str">
        <f>IFERROR(__xludf.DUMMYFUNCTION("""COMPUTED_VALUE"""),"Bu Eva (SU)")</f>
        <v>Bu Eva (SU)</v>
      </c>
      <c r="I1327" s="13" t="str">
        <f>IFERROR(__xludf.DUMMYFUNCTION("""COMPUTED_VALUE"""),"SELESAI (VIA PERMOHONAN)")</f>
        <v>SELESAI (VIA PERMOHONAN)</v>
      </c>
      <c r="J1327" s="17">
        <f>IFERROR(__xludf.DUMMYFUNCTION("""COMPUTED_VALUE"""),45720.42124016203)</f>
        <v>45720.42124</v>
      </c>
      <c r="K1327" s="13" t="str">
        <f>IFERROR(__xludf.DUMMYFUNCTION("""COMPUTED_VALUE"""),"Selesai")</f>
        <v>Selesai</v>
      </c>
      <c r="L1327" s="17">
        <f>IFERROR(__xludf.DUMMYFUNCTION("""COMPUTED_VALUE"""),45720.42124016203)</f>
        <v>45720.42124</v>
      </c>
      <c r="M1327" s="13"/>
      <c r="N1327" s="13" t="str">
        <f>IFERROR(__xludf.DUMMYFUNCTION("""COMPUTED_VALUE"""),"")</f>
        <v/>
      </c>
      <c r="O1327" s="13" t="str">
        <f t="shared" si="1"/>
        <v/>
      </c>
    </row>
    <row r="1328" ht="22.5" customHeight="1">
      <c r="B1328" s="13">
        <f>IFERROR(__xludf.DUMMYFUNCTION("""COMPUTED_VALUE"""),1323.0)</f>
        <v>1323</v>
      </c>
      <c r="C1328" s="13" t="str">
        <f>IFERROR(__xludf.DUMMYFUNCTION("""COMPUTED_VALUE"""),"M. 824/ Way Halim Permai")</f>
        <v>M. 824/ Way Halim Permai</v>
      </c>
      <c r="D1328" s="13" t="str">
        <f>IFERROR(__xludf.DUMMYFUNCTION("""COMPUTED_VALUE"""),"K/29/130225/1")</f>
        <v>K/29/130225/1</v>
      </c>
      <c r="E1328" s="14" t="str">
        <f>IFERROR(__xludf.DUMMYFUNCTION("""COMPUTED_VALUE"""),"Nadian (BT)")</f>
        <v>Nadian (BT)</v>
      </c>
      <c r="F1328" s="14" t="str">
        <f>IFERROR(__xludf.DUMMYFUNCTION("""COMPUTED_VALUE"""),"SELESAI (VIA PERMOHONAN)")</f>
        <v>SELESAI (VIA PERMOHONAN)</v>
      </c>
      <c r="G1328" s="17">
        <f>IFERROR(__xludf.DUMMYFUNCTION("""COMPUTED_VALUE"""),45720.55118201389)</f>
        <v>45720.55118</v>
      </c>
      <c r="H1328" s="14" t="str">
        <f>IFERROR(__xludf.DUMMYFUNCTION("""COMPUTED_VALUE"""),"Bu Eva (SU)")</f>
        <v>Bu Eva (SU)</v>
      </c>
      <c r="I1328" s="13" t="str">
        <f>IFERROR(__xludf.DUMMYFUNCTION("""COMPUTED_VALUE"""),"SELESAI (VIA PERMOHONAN)")</f>
        <v>SELESAI (VIA PERMOHONAN)</v>
      </c>
      <c r="J1328" s="17">
        <f>IFERROR(__xludf.DUMMYFUNCTION("""COMPUTED_VALUE"""),45720.42124016203)</f>
        <v>45720.42124</v>
      </c>
      <c r="K1328" s="13" t="str">
        <f>IFERROR(__xludf.DUMMYFUNCTION("""COMPUTED_VALUE"""),"Selesai")</f>
        <v>Selesai</v>
      </c>
      <c r="L1328" s="17">
        <f>IFERROR(__xludf.DUMMYFUNCTION("""COMPUTED_VALUE"""),45720.42124016203)</f>
        <v>45720.42124</v>
      </c>
      <c r="M1328" s="13"/>
      <c r="N1328" s="13" t="str">
        <f>IFERROR(__xludf.DUMMYFUNCTION("""COMPUTED_VALUE"""),"")</f>
        <v/>
      </c>
      <c r="O1328" s="13" t="str">
        <f t="shared" si="1"/>
        <v/>
      </c>
    </row>
    <row r="1329" ht="22.5" customHeight="1">
      <c r="B1329" s="13">
        <f>IFERROR(__xludf.DUMMYFUNCTION("""COMPUTED_VALUE"""),1324.0)</f>
        <v>1324</v>
      </c>
      <c r="C1329" s="13" t="str">
        <f>IFERROR(__xludf.DUMMYFUNCTION("""COMPUTED_VALUE"""),"B.3364/SUKABUMI")</f>
        <v>B.3364/SUKABUMI</v>
      </c>
      <c r="D1329" s="13" t="str">
        <f>IFERROR(__xludf.DUMMYFUNCTION("""COMPUTED_VALUE"""),"K/24/240225/3")</f>
        <v>K/24/240225/3</v>
      </c>
      <c r="E1329" s="14" t="str">
        <f>IFERROR(__xludf.DUMMYFUNCTION("""COMPUTED_VALUE"""),"Nadian (BT)")</f>
        <v>Nadian (BT)</v>
      </c>
      <c r="F1329" s="14" t="str">
        <f>IFERROR(__xludf.DUMMYFUNCTION("""COMPUTED_VALUE"""),"SELESAI (VIA PERMOHONAN)")</f>
        <v>SELESAI (VIA PERMOHONAN)</v>
      </c>
      <c r="G1329" s="17">
        <f>IFERROR(__xludf.DUMMYFUNCTION("""COMPUTED_VALUE"""),45720.55118201389)</f>
        <v>45720.55118</v>
      </c>
      <c r="H1329" s="14" t="str">
        <f>IFERROR(__xludf.DUMMYFUNCTION("""COMPUTED_VALUE"""),"Bu Eva (SU)")</f>
        <v>Bu Eva (SU)</v>
      </c>
      <c r="I1329" s="13" t="str">
        <f>IFERROR(__xludf.DUMMYFUNCTION("""COMPUTED_VALUE"""),"SELESAI (VIA PERMOHONAN)")</f>
        <v>SELESAI (VIA PERMOHONAN)</v>
      </c>
      <c r="J1329" s="17">
        <f>IFERROR(__xludf.DUMMYFUNCTION("""COMPUTED_VALUE"""),45720.42124016203)</f>
        <v>45720.42124</v>
      </c>
      <c r="K1329" s="13" t="str">
        <f>IFERROR(__xludf.DUMMYFUNCTION("""COMPUTED_VALUE"""),"Selesai")</f>
        <v>Selesai</v>
      </c>
      <c r="L1329" s="17">
        <f>IFERROR(__xludf.DUMMYFUNCTION("""COMPUTED_VALUE"""),45720.42124016203)</f>
        <v>45720.42124</v>
      </c>
      <c r="M1329" s="13"/>
      <c r="N1329" s="13" t="str">
        <f>IFERROR(__xludf.DUMMYFUNCTION("""COMPUTED_VALUE"""),"")</f>
        <v/>
      </c>
      <c r="O1329" s="13" t="str">
        <f t="shared" si="1"/>
        <v/>
      </c>
    </row>
    <row r="1330" ht="22.5" customHeight="1">
      <c r="B1330" s="13">
        <f>IFERROR(__xludf.DUMMYFUNCTION("""COMPUTED_VALUE"""),1325.0)</f>
        <v>1325</v>
      </c>
      <c r="C1330" s="13" t="str">
        <f>IFERROR(__xludf.DUMMYFUNCTION("""COMPUTED_VALUE"""),"B.108/SUMBERREJO")</f>
        <v>B.108/SUMBERREJO</v>
      </c>
      <c r="D1330" s="13" t="str">
        <f>IFERROR(__xludf.DUMMYFUNCTION("""COMPUTED_VALUE"""),"K/11/190225/1")</f>
        <v>K/11/190225/1</v>
      </c>
      <c r="E1330" s="14" t="str">
        <f>IFERROR(__xludf.DUMMYFUNCTION("""COMPUTED_VALUE"""),"Nadian (BT)")</f>
        <v>Nadian (BT)</v>
      </c>
      <c r="F1330" s="14" t="str">
        <f>IFERROR(__xludf.DUMMYFUNCTION("""COMPUTED_VALUE"""),"SELESAI (VIA PERMOHONAN)")</f>
        <v>SELESAI (VIA PERMOHONAN)</v>
      </c>
      <c r="G1330" s="17">
        <f>IFERROR(__xludf.DUMMYFUNCTION("""COMPUTED_VALUE"""),45720.55118201389)</f>
        <v>45720.55118</v>
      </c>
      <c r="H1330" s="14" t="str">
        <f>IFERROR(__xludf.DUMMYFUNCTION("""COMPUTED_VALUE"""),"Bu Eva (SU)")</f>
        <v>Bu Eva (SU)</v>
      </c>
      <c r="I1330" s="13" t="str">
        <f>IFERROR(__xludf.DUMMYFUNCTION("""COMPUTED_VALUE"""),"SELESAI (VIA PERMOHONAN)")</f>
        <v>SELESAI (VIA PERMOHONAN)</v>
      </c>
      <c r="J1330" s="17">
        <f>IFERROR(__xludf.DUMMYFUNCTION("""COMPUTED_VALUE"""),45720.42124016203)</f>
        <v>45720.42124</v>
      </c>
      <c r="K1330" s="13" t="str">
        <f>IFERROR(__xludf.DUMMYFUNCTION("""COMPUTED_VALUE"""),"Selesai")</f>
        <v>Selesai</v>
      </c>
      <c r="L1330" s="17">
        <f>IFERROR(__xludf.DUMMYFUNCTION("""COMPUTED_VALUE"""),45720.42124016203)</f>
        <v>45720.42124</v>
      </c>
      <c r="M1330" s="13"/>
      <c r="N1330" s="13" t="str">
        <f>IFERROR(__xludf.DUMMYFUNCTION("""COMPUTED_VALUE"""),"")</f>
        <v/>
      </c>
      <c r="O1330" s="13" t="str">
        <f t="shared" si="1"/>
        <v/>
      </c>
    </row>
    <row r="1331" ht="22.5" customHeight="1">
      <c r="B1331" s="13">
        <f>IFERROR(__xludf.DUMMYFUNCTION("""COMPUTED_VALUE"""),1326.0)</f>
        <v>1326</v>
      </c>
      <c r="C1331" s="13" t="str">
        <f>IFERROR(__xludf.DUMMYFUNCTION("""COMPUTED_VALUE"""),"B.579/NUSANTARA PERMAI")</f>
        <v>B.579/NUSANTARA PERMAI</v>
      </c>
      <c r="D1331" s="13" t="str">
        <f>IFERROR(__xludf.DUMMYFUNCTION("""COMPUTED_VALUE"""),"K/21/240125/1")</f>
        <v>K/21/240125/1</v>
      </c>
      <c r="E1331" s="14" t="str">
        <f>IFERROR(__xludf.DUMMYFUNCTION("""COMPUTED_VALUE"""),"Nadian (BT)")</f>
        <v>Nadian (BT)</v>
      </c>
      <c r="F1331" s="14" t="str">
        <f>IFERROR(__xludf.DUMMYFUNCTION("""COMPUTED_VALUE"""),"SELESAI (VIA PERMOHONAN)")</f>
        <v>SELESAI (VIA PERMOHONAN)</v>
      </c>
      <c r="G1331" s="17">
        <f>IFERROR(__xludf.DUMMYFUNCTION("""COMPUTED_VALUE"""),45720.55118201389)</f>
        <v>45720.55118</v>
      </c>
      <c r="H1331" s="14" t="str">
        <f>IFERROR(__xludf.DUMMYFUNCTION("""COMPUTED_VALUE"""),"Bu Eva (SU)")</f>
        <v>Bu Eva (SU)</v>
      </c>
      <c r="I1331" s="13" t="str">
        <f>IFERROR(__xludf.DUMMYFUNCTION("""COMPUTED_VALUE"""),"SELESAI (VIA PERMOHONAN)")</f>
        <v>SELESAI (VIA PERMOHONAN)</v>
      </c>
      <c r="J1331" s="17">
        <f>IFERROR(__xludf.DUMMYFUNCTION("""COMPUTED_VALUE"""),45720.42124016203)</f>
        <v>45720.42124</v>
      </c>
      <c r="K1331" s="13" t="str">
        <f>IFERROR(__xludf.DUMMYFUNCTION("""COMPUTED_VALUE"""),"Selesai")</f>
        <v>Selesai</v>
      </c>
      <c r="L1331" s="17">
        <f>IFERROR(__xludf.DUMMYFUNCTION("""COMPUTED_VALUE"""),45720.42124016203)</f>
        <v>45720.42124</v>
      </c>
      <c r="M1331" s="13"/>
      <c r="N1331" s="13" t="str">
        <f>IFERROR(__xludf.DUMMYFUNCTION("""COMPUTED_VALUE"""),"")</f>
        <v/>
      </c>
      <c r="O1331" s="13" t="str">
        <f t="shared" si="1"/>
        <v/>
      </c>
    </row>
    <row r="1332" ht="22.5" customHeight="1">
      <c r="B1332" s="13">
        <f>IFERROR(__xludf.DUMMYFUNCTION("""COMPUTED_VALUE"""),1327.0)</f>
        <v>1327</v>
      </c>
      <c r="C1332" s="13" t="str">
        <f>IFERROR(__xludf.DUMMYFUNCTION("""COMPUTED_VALUE"""),"M.1117/GUNUNG TERANG")</f>
        <v>M.1117/GUNUNG TERANG</v>
      </c>
      <c r="D1332" s="13" t="str">
        <f>IFERROR(__xludf.DUMMYFUNCTION("""COMPUTED_VALUE"""),"K/12/240225/1")</f>
        <v>K/12/240225/1</v>
      </c>
      <c r="E1332" s="14" t="str">
        <f>IFERROR(__xludf.DUMMYFUNCTION("""COMPUTED_VALUE"""),"Nadian (BT)")</f>
        <v>Nadian (BT)</v>
      </c>
      <c r="F1332" s="14" t="str">
        <f>IFERROR(__xludf.DUMMYFUNCTION("""COMPUTED_VALUE"""),"SELESAI (VIA PERMOHONAN)")</f>
        <v>SELESAI (VIA PERMOHONAN)</v>
      </c>
      <c r="G1332" s="17">
        <f>IFERROR(__xludf.DUMMYFUNCTION("""COMPUTED_VALUE"""),45720.55118201389)</f>
        <v>45720.55118</v>
      </c>
      <c r="H1332" s="14" t="str">
        <f>IFERROR(__xludf.DUMMYFUNCTION("""COMPUTED_VALUE"""),"Bu Eva (SU)")</f>
        <v>Bu Eva (SU)</v>
      </c>
      <c r="I1332" s="13" t="str">
        <f>IFERROR(__xludf.DUMMYFUNCTION("""COMPUTED_VALUE"""),"SELESAI (VIA PERMOHONAN)")</f>
        <v>SELESAI (VIA PERMOHONAN)</v>
      </c>
      <c r="J1332" s="17">
        <f>IFERROR(__xludf.DUMMYFUNCTION("""COMPUTED_VALUE"""),45720.42124016203)</f>
        <v>45720.42124</v>
      </c>
      <c r="K1332" s="13" t="str">
        <f>IFERROR(__xludf.DUMMYFUNCTION("""COMPUTED_VALUE"""),"Selesai")</f>
        <v>Selesai</v>
      </c>
      <c r="L1332" s="17">
        <f>IFERROR(__xludf.DUMMYFUNCTION("""COMPUTED_VALUE"""),45720.42124016203)</f>
        <v>45720.42124</v>
      </c>
      <c r="M1332" s="13"/>
      <c r="N1332" s="13" t="str">
        <f>IFERROR(__xludf.DUMMYFUNCTION("""COMPUTED_VALUE"""),"")</f>
        <v/>
      </c>
      <c r="O1332" s="13" t="str">
        <f t="shared" si="1"/>
        <v/>
      </c>
    </row>
    <row r="1333" ht="22.5" customHeight="1">
      <c r="B1333" s="13">
        <f>IFERROR(__xludf.DUMMYFUNCTION("""COMPUTED_VALUE"""),1328.0)</f>
        <v>1328</v>
      </c>
      <c r="C1333" s="13" t="str">
        <f>IFERROR(__xludf.DUMMYFUNCTION("""COMPUTED_VALUE"""),"M.1935/SUMUR BATU")</f>
        <v>M.1935/SUMUR BATU</v>
      </c>
      <c r="D1333" s="13" t="str">
        <f>IFERROR(__xludf.DUMMYFUNCTION("""COMPUTED_VALUE"""),"K/5/220225/1")</f>
        <v>K/5/220225/1</v>
      </c>
      <c r="E1333" s="14" t="str">
        <f>IFERROR(__xludf.DUMMYFUNCTION("""COMPUTED_VALUE"""),"Nadian (BT)")</f>
        <v>Nadian (BT)</v>
      </c>
      <c r="F1333" s="14" t="str">
        <f>IFERROR(__xludf.DUMMYFUNCTION("""COMPUTED_VALUE"""),"SELESAI (VIA PERMOHONAN)")</f>
        <v>SELESAI (VIA PERMOHONAN)</v>
      </c>
      <c r="G1333" s="17">
        <f>IFERROR(__xludf.DUMMYFUNCTION("""COMPUTED_VALUE"""),45720.55118201389)</f>
        <v>45720.55118</v>
      </c>
      <c r="H1333" s="14" t="str">
        <f>IFERROR(__xludf.DUMMYFUNCTION("""COMPUTED_VALUE"""),"Bu Eva (SU)")</f>
        <v>Bu Eva (SU)</v>
      </c>
      <c r="I1333" s="13" t="str">
        <f>IFERROR(__xludf.DUMMYFUNCTION("""COMPUTED_VALUE"""),"SELESAI (VIA PERMOHONAN)")</f>
        <v>SELESAI (VIA PERMOHONAN)</v>
      </c>
      <c r="J1333" s="17">
        <f>IFERROR(__xludf.DUMMYFUNCTION("""COMPUTED_VALUE"""),45720.42128434028)</f>
        <v>45720.42128</v>
      </c>
      <c r="K1333" s="13" t="str">
        <f>IFERROR(__xludf.DUMMYFUNCTION("""COMPUTED_VALUE"""),"Selesai")</f>
        <v>Selesai</v>
      </c>
      <c r="L1333" s="17">
        <f>IFERROR(__xludf.DUMMYFUNCTION("""COMPUTED_VALUE"""),45720.42128434028)</f>
        <v>45720.42128</v>
      </c>
      <c r="M1333" s="13"/>
      <c r="N1333" s="13" t="str">
        <f>IFERROR(__xludf.DUMMYFUNCTION("""COMPUTED_VALUE"""),"")</f>
        <v/>
      </c>
      <c r="O1333" s="13" t="str">
        <f t="shared" si="1"/>
        <v/>
      </c>
    </row>
    <row r="1334" ht="22.5" customHeight="1">
      <c r="B1334" s="13">
        <f>IFERROR(__xludf.DUMMYFUNCTION("""COMPUTED_VALUE"""),1329.0)</f>
        <v>1329</v>
      </c>
      <c r="C1334" s="13" t="str">
        <f>IFERROR(__xludf.DUMMYFUNCTION("""COMPUTED_VALUE"""),"M.14498/RAJABASA")</f>
        <v>M.14498/RAJABASA</v>
      </c>
      <c r="D1334" s="13" t="str">
        <f>IFERROR(__xludf.DUMMYFUNCTION("""COMPUTED_VALUE"""),"K/6/060225/3")</f>
        <v>K/6/060225/3</v>
      </c>
      <c r="E1334" s="14" t="str">
        <f>IFERROR(__xludf.DUMMYFUNCTION("""COMPUTED_VALUE"""),"Nadian (BT)")</f>
        <v>Nadian (BT)</v>
      </c>
      <c r="F1334" s="14" t="str">
        <f>IFERROR(__xludf.DUMMYFUNCTION("""COMPUTED_VALUE"""),"SELESAI (VIA PERMOHONAN)")</f>
        <v>SELESAI (VIA PERMOHONAN)</v>
      </c>
      <c r="G1334" s="17">
        <f>IFERROR(__xludf.DUMMYFUNCTION("""COMPUTED_VALUE"""),45720.55118201389)</f>
        <v>45720.55118</v>
      </c>
      <c r="H1334" s="14" t="str">
        <f>IFERROR(__xludf.DUMMYFUNCTION("""COMPUTED_VALUE"""),"Bu Eva (SU)")</f>
        <v>Bu Eva (SU)</v>
      </c>
      <c r="I1334" s="13" t="str">
        <f>IFERROR(__xludf.DUMMYFUNCTION("""COMPUTED_VALUE"""),"SELESAI (VIA PERMOHONAN)")</f>
        <v>SELESAI (VIA PERMOHONAN)</v>
      </c>
      <c r="J1334" s="17">
        <f>IFERROR(__xludf.DUMMYFUNCTION("""COMPUTED_VALUE"""),45720.42128434028)</f>
        <v>45720.42128</v>
      </c>
      <c r="K1334" s="13" t="str">
        <f>IFERROR(__xludf.DUMMYFUNCTION("""COMPUTED_VALUE"""),"Selesai")</f>
        <v>Selesai</v>
      </c>
      <c r="L1334" s="17">
        <f>IFERROR(__xludf.DUMMYFUNCTION("""COMPUTED_VALUE"""),45720.42128434028)</f>
        <v>45720.42128</v>
      </c>
      <c r="M1334" s="13"/>
      <c r="N1334" s="13" t="str">
        <f>IFERROR(__xludf.DUMMYFUNCTION("""COMPUTED_VALUE"""),"")</f>
        <v/>
      </c>
      <c r="O1334" s="13" t="str">
        <f t="shared" si="1"/>
        <v/>
      </c>
    </row>
    <row r="1335" ht="22.5" customHeight="1">
      <c r="B1335" s="13">
        <f>IFERROR(__xludf.DUMMYFUNCTION("""COMPUTED_VALUE"""),1330.0)</f>
        <v>1330</v>
      </c>
      <c r="C1335" s="13" t="str">
        <f>IFERROR(__xludf.DUMMYFUNCTION("""COMPUTED_VALUE"""),"M.179/RAJABASA RAYA")</f>
        <v>M.179/RAJABASA RAYA</v>
      </c>
      <c r="D1335" s="13" t="str">
        <f>IFERROR(__xludf.DUMMYFUNCTION("""COMPUTED_VALUE"""),"K/25/210225/1")</f>
        <v>K/25/210225/1</v>
      </c>
      <c r="E1335" s="14" t="str">
        <f>IFERROR(__xludf.DUMMYFUNCTION("""COMPUTED_VALUE"""),"Nadian (BT)")</f>
        <v>Nadian (BT)</v>
      </c>
      <c r="F1335" s="14" t="str">
        <f>IFERROR(__xludf.DUMMYFUNCTION("""COMPUTED_VALUE"""),"SELESAI (VIA PERMOHONAN)")</f>
        <v>SELESAI (VIA PERMOHONAN)</v>
      </c>
      <c r="G1335" s="17">
        <f>IFERROR(__xludf.DUMMYFUNCTION("""COMPUTED_VALUE"""),45720.55118201389)</f>
        <v>45720.55118</v>
      </c>
      <c r="H1335" s="14" t="str">
        <f>IFERROR(__xludf.DUMMYFUNCTION("""COMPUTED_VALUE"""),"Bu Eva (SU)")</f>
        <v>Bu Eva (SU)</v>
      </c>
      <c r="I1335" s="13" t="str">
        <f>IFERROR(__xludf.DUMMYFUNCTION("""COMPUTED_VALUE"""),"SELESAI (VIA PERMOHONAN)")</f>
        <v>SELESAI (VIA PERMOHONAN)</v>
      </c>
      <c r="J1335" s="17">
        <f>IFERROR(__xludf.DUMMYFUNCTION("""COMPUTED_VALUE"""),45720.42128434028)</f>
        <v>45720.42128</v>
      </c>
      <c r="K1335" s="13" t="str">
        <f>IFERROR(__xludf.DUMMYFUNCTION("""COMPUTED_VALUE"""),"Selesai")</f>
        <v>Selesai</v>
      </c>
      <c r="L1335" s="17">
        <f>IFERROR(__xludf.DUMMYFUNCTION("""COMPUTED_VALUE"""),45720.42128434028)</f>
        <v>45720.42128</v>
      </c>
      <c r="M1335" s="13"/>
      <c r="N1335" s="13" t="str">
        <f>IFERROR(__xludf.DUMMYFUNCTION("""COMPUTED_VALUE"""),"")</f>
        <v/>
      </c>
      <c r="O1335" s="13" t="str">
        <f t="shared" si="1"/>
        <v/>
      </c>
    </row>
    <row r="1336" ht="22.5" customHeight="1">
      <c r="B1336" s="13">
        <f>IFERROR(__xludf.DUMMYFUNCTION("""COMPUTED_VALUE"""),1331.0)</f>
        <v>1331</v>
      </c>
      <c r="C1336" s="13" t="str">
        <f>IFERROR(__xludf.DUMMYFUNCTION("""COMPUTED_VALUE"""),"B.312/LABUHAN RATU RAYA")</f>
        <v>B.312/LABUHAN RATU RAYA</v>
      </c>
      <c r="D1336" s="13" t="str">
        <f>IFERROR(__xludf.DUMMYFUNCTION("""COMPUTED_VALUE"""),"K/35/250225/1")</f>
        <v>K/35/250225/1</v>
      </c>
      <c r="E1336" s="14" t="str">
        <f>IFERROR(__xludf.DUMMYFUNCTION("""COMPUTED_VALUE"""),"Nadian (BT)")</f>
        <v>Nadian (BT)</v>
      </c>
      <c r="F1336" s="14" t="str">
        <f>IFERROR(__xludf.DUMMYFUNCTION("""COMPUTED_VALUE"""),"SELESAI (VIA PERMOHONAN)")</f>
        <v>SELESAI (VIA PERMOHONAN)</v>
      </c>
      <c r="G1336" s="17">
        <f>IFERROR(__xludf.DUMMYFUNCTION("""COMPUTED_VALUE"""),45720.55118201389)</f>
        <v>45720.55118</v>
      </c>
      <c r="H1336" s="14" t="str">
        <f>IFERROR(__xludf.DUMMYFUNCTION("""COMPUTED_VALUE"""),"Bu Eva (SU)")</f>
        <v>Bu Eva (SU)</v>
      </c>
      <c r="I1336" s="13" t="str">
        <f>IFERROR(__xludf.DUMMYFUNCTION("""COMPUTED_VALUE"""),"SELESAI (VIA PERMOHONAN)")</f>
        <v>SELESAI (VIA PERMOHONAN)</v>
      </c>
      <c r="J1336" s="17">
        <f>IFERROR(__xludf.DUMMYFUNCTION("""COMPUTED_VALUE"""),45720.42128434028)</f>
        <v>45720.42128</v>
      </c>
      <c r="K1336" s="13" t="str">
        <f>IFERROR(__xludf.DUMMYFUNCTION("""COMPUTED_VALUE"""),"Selesai")</f>
        <v>Selesai</v>
      </c>
      <c r="L1336" s="17">
        <f>IFERROR(__xludf.DUMMYFUNCTION("""COMPUTED_VALUE"""),45720.42128434028)</f>
        <v>45720.42128</v>
      </c>
      <c r="M1336" s="13"/>
      <c r="N1336" s="13" t="str">
        <f>IFERROR(__xludf.DUMMYFUNCTION("""COMPUTED_VALUE"""),"")</f>
        <v/>
      </c>
      <c r="O1336" s="13" t="str">
        <f t="shared" si="1"/>
        <v/>
      </c>
    </row>
    <row r="1337" ht="22.5" customHeight="1">
      <c r="B1337" s="13">
        <f>IFERROR(__xludf.DUMMYFUNCTION("""COMPUTED_VALUE"""),1332.0)</f>
        <v>1332</v>
      </c>
      <c r="C1337" s="13" t="str">
        <f>IFERROR(__xludf.DUMMYFUNCTION("""COMPUTED_VALUE"""),"M.3021/GEDONG AIR")</f>
        <v>M.3021/GEDONG AIR</v>
      </c>
      <c r="D1337" s="13" t="str">
        <f>IFERROR(__xludf.DUMMYFUNCTION("""COMPUTED_VALUE"""),"K/19/180225/2")</f>
        <v>K/19/180225/2</v>
      </c>
      <c r="E1337" s="14" t="str">
        <f>IFERROR(__xludf.DUMMYFUNCTION("""COMPUTED_VALUE"""),"Nadian (BT)")</f>
        <v>Nadian (BT)</v>
      </c>
      <c r="F1337" s="14" t="str">
        <f>IFERROR(__xludf.DUMMYFUNCTION("""COMPUTED_VALUE"""),"SELESAI (VIA PERMOHONAN)")</f>
        <v>SELESAI (VIA PERMOHONAN)</v>
      </c>
      <c r="G1337" s="17">
        <f>IFERROR(__xludf.DUMMYFUNCTION("""COMPUTED_VALUE"""),45720.55118201389)</f>
        <v>45720.55118</v>
      </c>
      <c r="H1337" s="14" t="str">
        <f>IFERROR(__xludf.DUMMYFUNCTION("""COMPUTED_VALUE"""),"Bu Eva (SU)")</f>
        <v>Bu Eva (SU)</v>
      </c>
      <c r="I1337" s="13" t="str">
        <f>IFERROR(__xludf.DUMMYFUNCTION("""COMPUTED_VALUE"""),"SELESAI (VIA PERMOHONAN)")</f>
        <v>SELESAI (VIA PERMOHONAN)</v>
      </c>
      <c r="J1337" s="17">
        <f>IFERROR(__xludf.DUMMYFUNCTION("""COMPUTED_VALUE"""),45720.42128434028)</f>
        <v>45720.42128</v>
      </c>
      <c r="K1337" s="13" t="str">
        <f>IFERROR(__xludf.DUMMYFUNCTION("""COMPUTED_VALUE"""),"Selesai")</f>
        <v>Selesai</v>
      </c>
      <c r="L1337" s="17">
        <f>IFERROR(__xludf.DUMMYFUNCTION("""COMPUTED_VALUE"""),45720.42128434028)</f>
        <v>45720.42128</v>
      </c>
      <c r="M1337" s="13"/>
      <c r="N1337" s="13" t="str">
        <f>IFERROR(__xludf.DUMMYFUNCTION("""COMPUTED_VALUE"""),"")</f>
        <v/>
      </c>
      <c r="O1337" s="13" t="str">
        <f t="shared" si="1"/>
        <v/>
      </c>
    </row>
    <row r="1338" ht="22.5" customHeight="1">
      <c r="B1338" s="13">
        <f>IFERROR(__xludf.DUMMYFUNCTION("""COMPUTED_VALUE"""),1333.0)</f>
        <v>1333</v>
      </c>
      <c r="C1338" s="13" t="str">
        <f>IFERROR(__xludf.DUMMYFUNCTION("""COMPUTED_VALUE"""),"M.3013/GEDONG AIR")</f>
        <v>M.3013/GEDONG AIR</v>
      </c>
      <c r="D1338" s="13" t="str">
        <f>IFERROR(__xludf.DUMMYFUNCTION("""COMPUTED_VALUE"""),"K/18/180225/1")</f>
        <v>K/18/180225/1</v>
      </c>
      <c r="E1338" s="14" t="str">
        <f>IFERROR(__xludf.DUMMYFUNCTION("""COMPUTED_VALUE"""),"Nadian (BT)")</f>
        <v>Nadian (BT)</v>
      </c>
      <c r="F1338" s="14" t="str">
        <f>IFERROR(__xludf.DUMMYFUNCTION("""COMPUTED_VALUE"""),"SELESAI (VIA PERMOHONAN)")</f>
        <v>SELESAI (VIA PERMOHONAN)</v>
      </c>
      <c r="G1338" s="17">
        <f>IFERROR(__xludf.DUMMYFUNCTION("""COMPUTED_VALUE"""),45720.55118201389)</f>
        <v>45720.55118</v>
      </c>
      <c r="H1338" s="14" t="str">
        <f>IFERROR(__xludf.DUMMYFUNCTION("""COMPUTED_VALUE"""),"Bu Eva (SU)")</f>
        <v>Bu Eva (SU)</v>
      </c>
      <c r="I1338" s="13" t="str">
        <f>IFERROR(__xludf.DUMMYFUNCTION("""COMPUTED_VALUE"""),"SELESAI (VIA PERMOHONAN)")</f>
        <v>SELESAI (VIA PERMOHONAN)</v>
      </c>
      <c r="J1338" s="17">
        <f>IFERROR(__xludf.DUMMYFUNCTION("""COMPUTED_VALUE"""),45720.42128434028)</f>
        <v>45720.42128</v>
      </c>
      <c r="K1338" s="13" t="str">
        <f>IFERROR(__xludf.DUMMYFUNCTION("""COMPUTED_VALUE"""),"Selesai")</f>
        <v>Selesai</v>
      </c>
      <c r="L1338" s="17">
        <f>IFERROR(__xludf.DUMMYFUNCTION("""COMPUTED_VALUE"""),45720.42128434028)</f>
        <v>45720.42128</v>
      </c>
      <c r="M1338" s="13"/>
      <c r="N1338" s="13" t="str">
        <f>IFERROR(__xludf.DUMMYFUNCTION("""COMPUTED_VALUE"""),"")</f>
        <v/>
      </c>
      <c r="O1338" s="13" t="str">
        <f t="shared" si="1"/>
        <v/>
      </c>
    </row>
    <row r="1339" ht="22.5" customHeight="1">
      <c r="B1339" s="13">
        <f>IFERROR(__xludf.DUMMYFUNCTION("""COMPUTED_VALUE"""),1334.0)</f>
        <v>1334</v>
      </c>
      <c r="C1339" s="13" t="str">
        <f>IFERROR(__xludf.DUMMYFUNCTION("""COMPUTED_VALUE"""),"M. 5616/ Langkapura")</f>
        <v>M. 5616/ Langkapura</v>
      </c>
      <c r="D1339" s="13" t="str">
        <f>IFERROR(__xludf.DUMMYFUNCTION("""COMPUTED_VALUE"""),"K/2/120225/1")</f>
        <v>K/2/120225/1</v>
      </c>
      <c r="E1339" s="14" t="str">
        <f>IFERROR(__xludf.DUMMYFUNCTION("""COMPUTED_VALUE"""),"Nadian (BT)")</f>
        <v>Nadian (BT)</v>
      </c>
      <c r="F1339" s="14" t="str">
        <f>IFERROR(__xludf.DUMMYFUNCTION("""COMPUTED_VALUE"""),"SELESAI (VIA PERMOHONAN)")</f>
        <v>SELESAI (VIA PERMOHONAN)</v>
      </c>
      <c r="G1339" s="17">
        <f>IFERROR(__xludf.DUMMYFUNCTION("""COMPUTED_VALUE"""),45720.55118202546)</f>
        <v>45720.55118</v>
      </c>
      <c r="H1339" s="14" t="str">
        <f>IFERROR(__xludf.DUMMYFUNCTION("""COMPUTED_VALUE"""),"Bu Eva (SU)")</f>
        <v>Bu Eva (SU)</v>
      </c>
      <c r="I1339" s="13" t="str">
        <f>IFERROR(__xludf.DUMMYFUNCTION("""COMPUTED_VALUE"""),"SELESAI (VIA PERMOHONAN)")</f>
        <v>SELESAI (VIA PERMOHONAN)</v>
      </c>
      <c r="J1339" s="17">
        <f>IFERROR(__xludf.DUMMYFUNCTION("""COMPUTED_VALUE"""),45720.42128434028)</f>
        <v>45720.42128</v>
      </c>
      <c r="K1339" s="13" t="str">
        <f>IFERROR(__xludf.DUMMYFUNCTION("""COMPUTED_VALUE"""),"Selesai")</f>
        <v>Selesai</v>
      </c>
      <c r="L1339" s="17">
        <f>IFERROR(__xludf.DUMMYFUNCTION("""COMPUTED_VALUE"""),45720.42128434028)</f>
        <v>45720.42128</v>
      </c>
      <c r="M1339" s="13"/>
      <c r="N1339" s="13" t="str">
        <f>IFERROR(__xludf.DUMMYFUNCTION("""COMPUTED_VALUE"""),"")</f>
        <v/>
      </c>
      <c r="O1339" s="13" t="str">
        <f t="shared" si="1"/>
        <v/>
      </c>
    </row>
    <row r="1340" ht="22.5" customHeight="1">
      <c r="B1340" s="13">
        <f>IFERROR(__xludf.DUMMYFUNCTION("""COMPUTED_VALUE"""),1335.0)</f>
        <v>1335</v>
      </c>
      <c r="C1340" s="13" t="str">
        <f>IFERROR(__xludf.DUMMYFUNCTION("""COMPUTED_VALUE"""),"M. 2313/ Sumber Agung")</f>
        <v>M. 2313/ Sumber Agung</v>
      </c>
      <c r="D1340" s="13" t="str">
        <f>IFERROR(__xludf.DUMMYFUNCTION("""COMPUTED_VALUE"""),"K/46/210225/1")</f>
        <v>K/46/210225/1</v>
      </c>
      <c r="E1340" s="14" t="str">
        <f>IFERROR(__xludf.DUMMYFUNCTION("""COMPUTED_VALUE"""),"Nadian (BT)")</f>
        <v>Nadian (BT)</v>
      </c>
      <c r="F1340" s="14" t="str">
        <f>IFERROR(__xludf.DUMMYFUNCTION("""COMPUTED_VALUE"""),"SELESAI (VIA PERMOHONAN)")</f>
        <v>SELESAI (VIA PERMOHONAN)</v>
      </c>
      <c r="G1340" s="17">
        <f>IFERROR(__xludf.DUMMYFUNCTION("""COMPUTED_VALUE"""),45720.55118202546)</f>
        <v>45720.55118</v>
      </c>
      <c r="H1340" s="14" t="str">
        <f>IFERROR(__xludf.DUMMYFUNCTION("""COMPUTED_VALUE"""),"Bu Eva (SU)")</f>
        <v>Bu Eva (SU)</v>
      </c>
      <c r="I1340" s="13" t="str">
        <f>IFERROR(__xludf.DUMMYFUNCTION("""COMPUTED_VALUE"""),"SELESAI (VIA PERMOHONAN)")</f>
        <v>SELESAI (VIA PERMOHONAN)</v>
      </c>
      <c r="J1340" s="17">
        <f>IFERROR(__xludf.DUMMYFUNCTION("""COMPUTED_VALUE"""),45720.42128434028)</f>
        <v>45720.42128</v>
      </c>
      <c r="K1340" s="13" t="str">
        <f>IFERROR(__xludf.DUMMYFUNCTION("""COMPUTED_VALUE"""),"Selesai")</f>
        <v>Selesai</v>
      </c>
      <c r="L1340" s="17">
        <f>IFERROR(__xludf.DUMMYFUNCTION("""COMPUTED_VALUE"""),45720.42128434028)</f>
        <v>45720.42128</v>
      </c>
      <c r="M1340" s="13"/>
      <c r="N1340" s="13" t="str">
        <f>IFERROR(__xludf.DUMMYFUNCTION("""COMPUTED_VALUE"""),"")</f>
        <v/>
      </c>
      <c r="O1340" s="13" t="str">
        <f t="shared" si="1"/>
        <v/>
      </c>
    </row>
    <row r="1341" ht="22.5" customHeight="1">
      <c r="B1341" s="13">
        <f>IFERROR(__xludf.DUMMYFUNCTION("""COMPUTED_VALUE"""),1336.0)</f>
        <v>1336</v>
      </c>
      <c r="C1341" s="13" t="str">
        <f>IFERROR(__xludf.DUMMYFUNCTION("""COMPUTED_VALUE"""),"M.88/PERUMNAS WAY KANDIS")</f>
        <v>M.88/PERUMNAS WAY KANDIS</v>
      </c>
      <c r="D1341" s="13" t="str">
        <f>IFERROR(__xludf.DUMMYFUNCTION("""COMPUTED_VALUE"""),"K/36/190225/1")</f>
        <v>K/36/190225/1</v>
      </c>
      <c r="E1341" s="14" t="str">
        <f>IFERROR(__xludf.DUMMYFUNCTION("""COMPUTED_VALUE"""),"Nadian (BT)")</f>
        <v>Nadian (BT)</v>
      </c>
      <c r="F1341" s="14" t="str">
        <f>IFERROR(__xludf.DUMMYFUNCTION("""COMPUTED_VALUE"""),"SELESAI (VIA PERMOHONAN)")</f>
        <v>SELESAI (VIA PERMOHONAN)</v>
      </c>
      <c r="G1341" s="17">
        <f>IFERROR(__xludf.DUMMYFUNCTION("""COMPUTED_VALUE"""),45720.558729282406)</f>
        <v>45720.55873</v>
      </c>
      <c r="H1341" s="14" t="str">
        <f>IFERROR(__xludf.DUMMYFUNCTION("""COMPUTED_VALUE"""),"Bu Eva (SU)")</f>
        <v>Bu Eva (SU)</v>
      </c>
      <c r="I1341" s="13" t="str">
        <f>IFERROR(__xludf.DUMMYFUNCTION("""COMPUTED_VALUE"""),"SELESAI (VIA PERMOHONAN)")</f>
        <v>SELESAI (VIA PERMOHONAN)</v>
      </c>
      <c r="J1341" s="17">
        <f>IFERROR(__xludf.DUMMYFUNCTION("""COMPUTED_VALUE"""),45720.59131476852)</f>
        <v>45720.59131</v>
      </c>
      <c r="K1341" s="13" t="str">
        <f>IFERROR(__xludf.DUMMYFUNCTION("""COMPUTED_VALUE"""),"Selesai")</f>
        <v>Selesai</v>
      </c>
      <c r="L1341" s="17">
        <f>IFERROR(__xludf.DUMMYFUNCTION("""COMPUTED_VALUE"""),45720.59131476852)</f>
        <v>45720.59131</v>
      </c>
      <c r="M1341" s="13"/>
      <c r="N1341" s="13" t="str">
        <f>IFERROR(__xludf.DUMMYFUNCTION("""COMPUTED_VALUE"""),"")</f>
        <v/>
      </c>
      <c r="O1341" s="13" t="str">
        <f t="shared" si="1"/>
        <v/>
      </c>
    </row>
    <row r="1342" ht="22.5" customHeight="1">
      <c r="B1342" s="13">
        <f>IFERROR(__xludf.DUMMYFUNCTION("""COMPUTED_VALUE"""),1337.0)</f>
        <v>1337</v>
      </c>
      <c r="C1342" s="13" t="str">
        <f>IFERROR(__xludf.DUMMYFUNCTION("""COMPUTED_VALUE"""),"M. 9246/ Kedamaian")</f>
        <v>M. 9246/ Kedamaian</v>
      </c>
      <c r="D1342" s="13" t="str">
        <f>IFERROR(__xludf.DUMMYFUNCTION("""COMPUTED_VALUE"""),"K/31/200225/1")</f>
        <v>K/31/200225/1</v>
      </c>
      <c r="E1342" s="14" t="str">
        <f>IFERROR(__xludf.DUMMYFUNCTION("""COMPUTED_VALUE"""),"Nadian (BT)")</f>
        <v>Nadian (BT)</v>
      </c>
      <c r="F1342" s="14" t="str">
        <f>IFERROR(__xludf.DUMMYFUNCTION("""COMPUTED_VALUE"""),"SELESAI (VIA PERMOHONAN)")</f>
        <v>SELESAI (VIA PERMOHONAN)</v>
      </c>
      <c r="G1342" s="17">
        <f>IFERROR(__xludf.DUMMYFUNCTION("""COMPUTED_VALUE"""),45720.558794826386)</f>
        <v>45720.55879</v>
      </c>
      <c r="H1342" s="14" t="str">
        <f>IFERROR(__xludf.DUMMYFUNCTION("""COMPUTED_VALUE"""),"Bu Eva (SU)")</f>
        <v>Bu Eva (SU)</v>
      </c>
      <c r="I1342" s="13" t="str">
        <f>IFERROR(__xludf.DUMMYFUNCTION("""COMPUTED_VALUE"""),"SELESAI (VIA PERMOHONAN)")</f>
        <v>SELESAI (VIA PERMOHONAN)</v>
      </c>
      <c r="J1342" s="17">
        <f>IFERROR(__xludf.DUMMYFUNCTION("""COMPUTED_VALUE"""),45720.59131476852)</f>
        <v>45720.59131</v>
      </c>
      <c r="K1342" s="13" t="str">
        <f>IFERROR(__xludf.DUMMYFUNCTION("""COMPUTED_VALUE"""),"Selesai")</f>
        <v>Selesai</v>
      </c>
      <c r="L1342" s="17">
        <f>IFERROR(__xludf.DUMMYFUNCTION("""COMPUTED_VALUE"""),45720.59131476852)</f>
        <v>45720.59131</v>
      </c>
      <c r="M1342" s="13"/>
      <c r="N1342" s="13" t="str">
        <f>IFERROR(__xludf.DUMMYFUNCTION("""COMPUTED_VALUE"""),"")</f>
        <v/>
      </c>
      <c r="O1342" s="13" t="str">
        <f t="shared" si="1"/>
        <v/>
      </c>
    </row>
    <row r="1343" ht="22.5" customHeight="1">
      <c r="B1343" s="13">
        <f>IFERROR(__xludf.DUMMYFUNCTION("""COMPUTED_VALUE"""),1338.0)</f>
        <v>1338</v>
      </c>
      <c r="C1343" s="13" t="str">
        <f>IFERROR(__xludf.DUMMYFUNCTION("""COMPUTED_VALUE"""),"M. 2632/ Pinang Jaya")</f>
        <v>M. 2632/ Pinang Jaya</v>
      </c>
      <c r="D1343" s="13" t="str">
        <f>IFERROR(__xludf.DUMMYFUNCTION("""COMPUTED_VALUE"""),"K/30/210225/1")</f>
        <v>K/30/210225/1</v>
      </c>
      <c r="E1343" s="14" t="str">
        <f>IFERROR(__xludf.DUMMYFUNCTION("""COMPUTED_VALUE"""),"Nadian (BT)")</f>
        <v>Nadian (BT)</v>
      </c>
      <c r="F1343" s="14" t="str">
        <f>IFERROR(__xludf.DUMMYFUNCTION("""COMPUTED_VALUE"""),"SELESAI (VIA PERMOHONAN)")</f>
        <v>SELESAI (VIA PERMOHONAN)</v>
      </c>
      <c r="G1343" s="17">
        <f>IFERROR(__xludf.DUMMYFUNCTION("""COMPUTED_VALUE"""),45720.558794826386)</f>
        <v>45720.55879</v>
      </c>
      <c r="H1343" s="14" t="str">
        <f>IFERROR(__xludf.DUMMYFUNCTION("""COMPUTED_VALUE"""),"Bu Eva (SU)")</f>
        <v>Bu Eva (SU)</v>
      </c>
      <c r="I1343" s="13" t="str">
        <f>IFERROR(__xludf.DUMMYFUNCTION("""COMPUTED_VALUE"""),"SELESAI (VIA PERMOHONAN)")</f>
        <v>SELESAI (VIA PERMOHONAN)</v>
      </c>
      <c r="J1343" s="17">
        <f>IFERROR(__xludf.DUMMYFUNCTION("""COMPUTED_VALUE"""),45720.59131476852)</f>
        <v>45720.59131</v>
      </c>
      <c r="K1343" s="13" t="str">
        <f>IFERROR(__xludf.DUMMYFUNCTION("""COMPUTED_VALUE"""),"Selesai")</f>
        <v>Selesai</v>
      </c>
      <c r="L1343" s="17">
        <f>IFERROR(__xludf.DUMMYFUNCTION("""COMPUTED_VALUE"""),45720.59131476852)</f>
        <v>45720.59131</v>
      </c>
      <c r="M1343" s="13"/>
      <c r="N1343" s="13" t="str">
        <f>IFERROR(__xludf.DUMMYFUNCTION("""COMPUTED_VALUE"""),"")</f>
        <v/>
      </c>
      <c r="O1343" s="13" t="str">
        <f t="shared" si="1"/>
        <v/>
      </c>
    </row>
    <row r="1344" ht="22.5" customHeight="1">
      <c r="B1344" s="13">
        <f>IFERROR(__xludf.DUMMYFUNCTION("""COMPUTED_VALUE"""),1339.0)</f>
        <v>1339</v>
      </c>
      <c r="C1344" s="13" t="str">
        <f>IFERROR(__xludf.DUMMYFUNCTION("""COMPUTED_VALUE"""),"M. 1853/ Beringin Jaya")</f>
        <v>M. 1853/ Beringin Jaya</v>
      </c>
      <c r="D1344" s="13" t="str">
        <f>IFERROR(__xludf.DUMMYFUNCTION("""COMPUTED_VALUE"""),"K/36/240225/2")</f>
        <v>K/36/240225/2</v>
      </c>
      <c r="E1344" s="14" t="str">
        <f>IFERROR(__xludf.DUMMYFUNCTION("""COMPUTED_VALUE"""),"Nadian (BT)")</f>
        <v>Nadian (BT)</v>
      </c>
      <c r="F1344" s="14" t="str">
        <f>IFERROR(__xludf.DUMMYFUNCTION("""COMPUTED_VALUE"""),"SELESAI (VIA PERMOHONAN)")</f>
        <v>SELESAI (VIA PERMOHONAN)</v>
      </c>
      <c r="G1344" s="17">
        <f>IFERROR(__xludf.DUMMYFUNCTION("""COMPUTED_VALUE"""),45720.558794826386)</f>
        <v>45720.55879</v>
      </c>
      <c r="H1344" s="14" t="str">
        <f>IFERROR(__xludf.DUMMYFUNCTION("""COMPUTED_VALUE"""),"Bu Eva (SU)")</f>
        <v>Bu Eva (SU)</v>
      </c>
      <c r="I1344" s="13" t="str">
        <f>IFERROR(__xludf.DUMMYFUNCTION("""COMPUTED_VALUE"""),"SELESAI (VIA PERMOHONAN)")</f>
        <v>SELESAI (VIA PERMOHONAN)</v>
      </c>
      <c r="J1344" s="17">
        <f>IFERROR(__xludf.DUMMYFUNCTION("""COMPUTED_VALUE"""),45720.59131476852)</f>
        <v>45720.59131</v>
      </c>
      <c r="K1344" s="13" t="str">
        <f>IFERROR(__xludf.DUMMYFUNCTION("""COMPUTED_VALUE"""),"Selesai")</f>
        <v>Selesai</v>
      </c>
      <c r="L1344" s="17">
        <f>IFERROR(__xludf.DUMMYFUNCTION("""COMPUTED_VALUE"""),45720.59131476852)</f>
        <v>45720.59131</v>
      </c>
      <c r="M1344" s="13"/>
      <c r="N1344" s="13" t="str">
        <f>IFERROR(__xludf.DUMMYFUNCTION("""COMPUTED_VALUE"""),"")</f>
        <v/>
      </c>
      <c r="O1344" s="13" t="str">
        <f t="shared" si="1"/>
        <v/>
      </c>
    </row>
    <row r="1345" ht="22.5" customHeight="1">
      <c r="B1345" s="13">
        <f>IFERROR(__xludf.DUMMYFUNCTION("""COMPUTED_VALUE"""),1340.0)</f>
        <v>1340</v>
      </c>
      <c r="C1345" s="13" t="str">
        <f>IFERROR(__xludf.DUMMYFUNCTION("""COMPUTED_VALUE"""),"M. 13844/ Kedamaian")</f>
        <v>M. 13844/ Kedamaian</v>
      </c>
      <c r="D1345" s="13" t="str">
        <f>IFERROR(__xludf.DUMMYFUNCTION("""COMPUTED_VALUE"""),"K/49/210225/1")</f>
        <v>K/49/210225/1</v>
      </c>
      <c r="E1345" s="14" t="str">
        <f>IFERROR(__xludf.DUMMYFUNCTION("""COMPUTED_VALUE"""),"Nadian (BT)")</f>
        <v>Nadian (BT)</v>
      </c>
      <c r="F1345" s="14" t="str">
        <f>IFERROR(__xludf.DUMMYFUNCTION("""COMPUTED_VALUE"""),"SELESAI (VIA PERMOHONAN)")</f>
        <v>SELESAI (VIA PERMOHONAN)</v>
      </c>
      <c r="G1345" s="17">
        <f>IFERROR(__xludf.DUMMYFUNCTION("""COMPUTED_VALUE"""),45720.558794826386)</f>
        <v>45720.55879</v>
      </c>
      <c r="H1345" s="14" t="str">
        <f>IFERROR(__xludf.DUMMYFUNCTION("""COMPUTED_VALUE"""),"Bu Eva (SU)")</f>
        <v>Bu Eva (SU)</v>
      </c>
      <c r="I1345" s="13" t="str">
        <f>IFERROR(__xludf.DUMMYFUNCTION("""COMPUTED_VALUE"""),"SELESAI (VIA PERMOHONAN)")</f>
        <v>SELESAI (VIA PERMOHONAN)</v>
      </c>
      <c r="J1345" s="17">
        <f>IFERROR(__xludf.DUMMYFUNCTION("""COMPUTED_VALUE"""),45720.59131476852)</f>
        <v>45720.59131</v>
      </c>
      <c r="K1345" s="13" t="str">
        <f>IFERROR(__xludf.DUMMYFUNCTION("""COMPUTED_VALUE"""),"Selesai")</f>
        <v>Selesai</v>
      </c>
      <c r="L1345" s="17">
        <f>IFERROR(__xludf.DUMMYFUNCTION("""COMPUTED_VALUE"""),45720.59131476852)</f>
        <v>45720.59131</v>
      </c>
      <c r="M1345" s="13"/>
      <c r="N1345" s="13" t="str">
        <f>IFERROR(__xludf.DUMMYFUNCTION("""COMPUTED_VALUE"""),"")</f>
        <v/>
      </c>
      <c r="O1345" s="13" t="str">
        <f t="shared" si="1"/>
        <v/>
      </c>
    </row>
    <row r="1346" ht="22.5" customHeight="1">
      <c r="B1346" s="13">
        <f>IFERROR(__xludf.DUMMYFUNCTION("""COMPUTED_VALUE"""),1341.0)</f>
        <v>1341</v>
      </c>
      <c r="C1346" s="13" t="str">
        <f>IFERROR(__xludf.DUMMYFUNCTION("""COMPUTED_VALUE"""),"M. 1830/ Beringin Jaya")</f>
        <v>M. 1830/ Beringin Jaya</v>
      </c>
      <c r="D1346" s="13" t="str">
        <f>IFERROR(__xludf.DUMMYFUNCTION("""COMPUTED_VALUE"""),"K/10/260225/2")</f>
        <v>K/10/260225/2</v>
      </c>
      <c r="E1346" s="14" t="str">
        <f>IFERROR(__xludf.DUMMYFUNCTION("""COMPUTED_VALUE"""),"Nadian (BT)")</f>
        <v>Nadian (BT)</v>
      </c>
      <c r="F1346" s="14" t="str">
        <f>IFERROR(__xludf.DUMMYFUNCTION("""COMPUTED_VALUE"""),"SELESAI (VIA PERMOHONAN)")</f>
        <v>SELESAI (VIA PERMOHONAN)</v>
      </c>
      <c r="G1346" s="17">
        <f>IFERROR(__xludf.DUMMYFUNCTION("""COMPUTED_VALUE"""),45720.558794826386)</f>
        <v>45720.55879</v>
      </c>
      <c r="H1346" s="14" t="str">
        <f>IFERROR(__xludf.DUMMYFUNCTION("""COMPUTED_VALUE"""),"Bu Eva (SU)")</f>
        <v>Bu Eva (SU)</v>
      </c>
      <c r="I1346" s="13" t="str">
        <f>IFERROR(__xludf.DUMMYFUNCTION("""COMPUTED_VALUE"""),"SELESAI (VIA PERMOHONAN)")</f>
        <v>SELESAI (VIA PERMOHONAN)</v>
      </c>
      <c r="J1346" s="17">
        <f>IFERROR(__xludf.DUMMYFUNCTION("""COMPUTED_VALUE"""),45720.59131476852)</f>
        <v>45720.59131</v>
      </c>
      <c r="K1346" s="13" t="str">
        <f>IFERROR(__xludf.DUMMYFUNCTION("""COMPUTED_VALUE"""),"Selesai")</f>
        <v>Selesai</v>
      </c>
      <c r="L1346" s="17">
        <f>IFERROR(__xludf.DUMMYFUNCTION("""COMPUTED_VALUE"""),45720.59131476852)</f>
        <v>45720.59131</v>
      </c>
      <c r="M1346" s="13"/>
      <c r="N1346" s="13" t="str">
        <f>IFERROR(__xludf.DUMMYFUNCTION("""COMPUTED_VALUE"""),"")</f>
        <v/>
      </c>
      <c r="O1346" s="13" t="str">
        <f t="shared" si="1"/>
        <v/>
      </c>
    </row>
    <row r="1347" ht="22.5" customHeight="1">
      <c r="B1347" s="13">
        <f>IFERROR(__xludf.DUMMYFUNCTION("""COMPUTED_VALUE"""),1342.0)</f>
        <v>1342</v>
      </c>
      <c r="C1347" s="13" t="str">
        <f>IFERROR(__xludf.DUMMYFUNCTION("""COMPUTED_VALUE"""),"M. 2512/ Keteguhan")</f>
        <v>M. 2512/ Keteguhan</v>
      </c>
      <c r="D1347" s="13" t="str">
        <f>IFERROR(__xludf.DUMMYFUNCTION("""COMPUTED_VALUE"""),"K/1/260225/1")</f>
        <v>K/1/260225/1</v>
      </c>
      <c r="E1347" s="14" t="str">
        <f>IFERROR(__xludf.DUMMYFUNCTION("""COMPUTED_VALUE"""),"Nadian (BT)")</f>
        <v>Nadian (BT)</v>
      </c>
      <c r="F1347" s="14" t="str">
        <f>IFERROR(__xludf.DUMMYFUNCTION("""COMPUTED_VALUE"""),"SELESAI (VIA PERMOHONAN)")</f>
        <v>SELESAI (VIA PERMOHONAN)</v>
      </c>
      <c r="G1347" s="17">
        <f>IFERROR(__xludf.DUMMYFUNCTION("""COMPUTED_VALUE"""),45720.558794826386)</f>
        <v>45720.55879</v>
      </c>
      <c r="H1347" s="14" t="str">
        <f>IFERROR(__xludf.DUMMYFUNCTION("""COMPUTED_VALUE"""),"Bu Eva (SU)")</f>
        <v>Bu Eva (SU)</v>
      </c>
      <c r="I1347" s="13" t="str">
        <f>IFERROR(__xludf.DUMMYFUNCTION("""COMPUTED_VALUE"""),"SELESAI (VIA PERMOHONAN)")</f>
        <v>SELESAI (VIA PERMOHONAN)</v>
      </c>
      <c r="J1347" s="17">
        <f>IFERROR(__xludf.DUMMYFUNCTION("""COMPUTED_VALUE"""),45720.59131476852)</f>
        <v>45720.59131</v>
      </c>
      <c r="K1347" s="13" t="str">
        <f>IFERROR(__xludf.DUMMYFUNCTION("""COMPUTED_VALUE"""),"Selesai")</f>
        <v>Selesai</v>
      </c>
      <c r="L1347" s="17">
        <f>IFERROR(__xludf.DUMMYFUNCTION("""COMPUTED_VALUE"""),45720.59131476852)</f>
        <v>45720.59131</v>
      </c>
      <c r="M1347" s="13"/>
      <c r="N1347" s="13" t="str">
        <f>IFERROR(__xludf.DUMMYFUNCTION("""COMPUTED_VALUE"""),"")</f>
        <v/>
      </c>
      <c r="O1347" s="13" t="str">
        <f t="shared" si="1"/>
        <v/>
      </c>
    </row>
    <row r="1348" ht="22.5" customHeight="1">
      <c r="B1348" s="13">
        <f>IFERROR(__xludf.DUMMYFUNCTION("""COMPUTED_VALUE"""),1343.0)</f>
        <v>1343</v>
      </c>
      <c r="C1348" s="13" t="str">
        <f>IFERROR(__xludf.DUMMYFUNCTION("""COMPUTED_VALUE"""),"M.130/JAGABAYA III")</f>
        <v>M.130/JAGABAYA III</v>
      </c>
      <c r="D1348" s="13" t="str">
        <f>IFERROR(__xludf.DUMMYFUNCTION("""COMPUTED_VALUE"""),"K/28/240225/1")</f>
        <v>K/28/240225/1</v>
      </c>
      <c r="E1348" s="14" t="str">
        <f>IFERROR(__xludf.DUMMYFUNCTION("""COMPUTED_VALUE"""),"Nadian (BT)")</f>
        <v>Nadian (BT)</v>
      </c>
      <c r="F1348" s="14" t="str">
        <f>IFERROR(__xludf.DUMMYFUNCTION("""COMPUTED_VALUE"""),"SELESAI (VIA PERMOHONAN)")</f>
        <v>SELESAI (VIA PERMOHONAN)</v>
      </c>
      <c r="G1348" s="17">
        <f>IFERROR(__xludf.DUMMYFUNCTION("""COMPUTED_VALUE"""),45720.558794826386)</f>
        <v>45720.55879</v>
      </c>
      <c r="H1348" s="14" t="str">
        <f>IFERROR(__xludf.DUMMYFUNCTION("""COMPUTED_VALUE"""),"Bu Eva (SU)")</f>
        <v>Bu Eva (SU)</v>
      </c>
      <c r="I1348" s="13" t="str">
        <f>IFERROR(__xludf.DUMMYFUNCTION("""COMPUTED_VALUE"""),"SELESAI (VIA PERMOHONAN)")</f>
        <v>SELESAI (VIA PERMOHONAN)</v>
      </c>
      <c r="J1348" s="17">
        <f>IFERROR(__xludf.DUMMYFUNCTION("""COMPUTED_VALUE"""),45720.59131476852)</f>
        <v>45720.59131</v>
      </c>
      <c r="K1348" s="13" t="str">
        <f>IFERROR(__xludf.DUMMYFUNCTION("""COMPUTED_VALUE"""),"Selesai")</f>
        <v>Selesai</v>
      </c>
      <c r="L1348" s="17">
        <f>IFERROR(__xludf.DUMMYFUNCTION("""COMPUTED_VALUE"""),45720.59131476852)</f>
        <v>45720.59131</v>
      </c>
      <c r="M1348" s="13"/>
      <c r="N1348" s="13" t="str">
        <f>IFERROR(__xludf.DUMMYFUNCTION("""COMPUTED_VALUE"""),"")</f>
        <v/>
      </c>
      <c r="O1348" s="13" t="str">
        <f t="shared" si="1"/>
        <v/>
      </c>
    </row>
    <row r="1349" ht="22.5" customHeight="1">
      <c r="B1349" s="13">
        <f>IFERROR(__xludf.DUMMYFUNCTION("""COMPUTED_VALUE"""),1344.0)</f>
        <v>1344</v>
      </c>
      <c r="C1349" s="13" t="str">
        <f>IFERROR(__xludf.DUMMYFUNCTION("""COMPUTED_VALUE"""),"M. 332/ Sawah Lama")</f>
        <v>M. 332/ Sawah Lama</v>
      </c>
      <c r="D1349" s="13" t="str">
        <f>IFERROR(__xludf.DUMMYFUNCTION("""COMPUTED_VALUE"""),"K/23/280225/1")</f>
        <v>K/23/280225/1</v>
      </c>
      <c r="E1349" s="14" t="str">
        <f>IFERROR(__xludf.DUMMYFUNCTION("""COMPUTED_VALUE"""),"Nadian (BT)")</f>
        <v>Nadian (BT)</v>
      </c>
      <c r="F1349" s="14" t="str">
        <f>IFERROR(__xludf.DUMMYFUNCTION("""COMPUTED_VALUE"""),"SELESAI (VIA PERMOHONAN)")</f>
        <v>SELESAI (VIA PERMOHONAN)</v>
      </c>
      <c r="G1349" s="17">
        <f>IFERROR(__xludf.DUMMYFUNCTION("""COMPUTED_VALUE"""),45720.558794826386)</f>
        <v>45720.55879</v>
      </c>
      <c r="H1349" s="14" t="str">
        <f>IFERROR(__xludf.DUMMYFUNCTION("""COMPUTED_VALUE"""),"Bu Eva (SU)")</f>
        <v>Bu Eva (SU)</v>
      </c>
      <c r="I1349" s="13" t="str">
        <f>IFERROR(__xludf.DUMMYFUNCTION("""COMPUTED_VALUE"""),"SELESAI (VIA PERMOHONAN)")</f>
        <v>SELESAI (VIA PERMOHONAN)</v>
      </c>
      <c r="J1349" s="17">
        <f>IFERROR(__xludf.DUMMYFUNCTION("""COMPUTED_VALUE"""),45720.59131478009)</f>
        <v>45720.59131</v>
      </c>
      <c r="K1349" s="13" t="str">
        <f>IFERROR(__xludf.DUMMYFUNCTION("""COMPUTED_VALUE"""),"Selesai")</f>
        <v>Selesai</v>
      </c>
      <c r="L1349" s="17">
        <f>IFERROR(__xludf.DUMMYFUNCTION("""COMPUTED_VALUE"""),45720.59131478009)</f>
        <v>45720.59131</v>
      </c>
      <c r="M1349" s="13"/>
      <c r="N1349" s="13" t="str">
        <f>IFERROR(__xludf.DUMMYFUNCTION("""COMPUTED_VALUE"""),"")</f>
        <v/>
      </c>
      <c r="O1349" s="13" t="str">
        <f t="shared" si="1"/>
        <v/>
      </c>
    </row>
    <row r="1350" ht="22.5" customHeight="1">
      <c r="B1350" s="13">
        <f>IFERROR(__xludf.DUMMYFUNCTION("""COMPUTED_VALUE"""),1345.0)</f>
        <v>1345</v>
      </c>
      <c r="C1350" s="13" t="str">
        <f>IFERROR(__xludf.DUMMYFUNCTION("""COMPUTED_VALUE"""),"M.2500/RAJABASA JAYA")</f>
        <v>M.2500/RAJABASA JAYA</v>
      </c>
      <c r="D1350" s="13" t="str">
        <f>IFERROR(__xludf.DUMMYFUNCTION("""COMPUTED_VALUE"""),"K/25/260225/1")</f>
        <v>K/25/260225/1</v>
      </c>
      <c r="E1350" s="14" t="str">
        <f>IFERROR(__xludf.DUMMYFUNCTION("""COMPUTED_VALUE"""),"Nadian (BT)")</f>
        <v>Nadian (BT)</v>
      </c>
      <c r="F1350" s="14" t="str">
        <f>IFERROR(__xludf.DUMMYFUNCTION("""COMPUTED_VALUE"""),"SELESAI (VIA PERMOHONAN)")</f>
        <v>SELESAI (VIA PERMOHONAN)</v>
      </c>
      <c r="G1350" s="17">
        <f>IFERROR(__xludf.DUMMYFUNCTION("""COMPUTED_VALUE"""),45720.558794826386)</f>
        <v>45720.55879</v>
      </c>
      <c r="H1350" s="14" t="str">
        <f>IFERROR(__xludf.DUMMYFUNCTION("""COMPUTED_VALUE"""),"Bu Eva (SU)")</f>
        <v>Bu Eva (SU)</v>
      </c>
      <c r="I1350" s="13" t="str">
        <f>IFERROR(__xludf.DUMMYFUNCTION("""COMPUTED_VALUE"""),"SELESAI (VIA PERMOHONAN)")</f>
        <v>SELESAI (VIA PERMOHONAN)</v>
      </c>
      <c r="J1350" s="17">
        <f>IFERROR(__xludf.DUMMYFUNCTION("""COMPUTED_VALUE"""),45720.59131478009)</f>
        <v>45720.59131</v>
      </c>
      <c r="K1350" s="13" t="str">
        <f>IFERROR(__xludf.DUMMYFUNCTION("""COMPUTED_VALUE"""),"Selesai")</f>
        <v>Selesai</v>
      </c>
      <c r="L1350" s="17">
        <f>IFERROR(__xludf.DUMMYFUNCTION("""COMPUTED_VALUE"""),45720.59131478009)</f>
        <v>45720.59131</v>
      </c>
      <c r="M1350" s="13"/>
      <c r="N1350" s="13" t="str">
        <f>IFERROR(__xludf.DUMMYFUNCTION("""COMPUTED_VALUE"""),"")</f>
        <v/>
      </c>
      <c r="O1350" s="13" t="str">
        <f t="shared" si="1"/>
        <v/>
      </c>
    </row>
    <row r="1351" ht="22.5" customHeight="1">
      <c r="B1351" s="13">
        <f>IFERROR(__xludf.DUMMYFUNCTION("""COMPUTED_VALUE"""),1346.0)</f>
        <v>1346</v>
      </c>
      <c r="C1351" s="13" t="str">
        <f>IFERROR(__xludf.DUMMYFUNCTION("""COMPUTED_VALUE"""),"B.653/SUMBER AGUNG")</f>
        <v>B.653/SUMBER AGUNG</v>
      </c>
      <c r="D1351" s="13" t="str">
        <f>IFERROR(__xludf.DUMMYFUNCTION("""COMPUTED_VALUE"""),"K/6/210225/1")</f>
        <v>K/6/210225/1</v>
      </c>
      <c r="E1351" s="14" t="str">
        <f>IFERROR(__xludf.DUMMYFUNCTION("""COMPUTED_VALUE"""),"Nadian (BT)")</f>
        <v>Nadian (BT)</v>
      </c>
      <c r="F1351" s="14" t="str">
        <f>IFERROR(__xludf.DUMMYFUNCTION("""COMPUTED_VALUE"""),"SELESAI (VIA PERMOHONAN)")</f>
        <v>SELESAI (VIA PERMOHONAN)</v>
      </c>
      <c r="G1351" s="17">
        <f>IFERROR(__xludf.DUMMYFUNCTION("""COMPUTED_VALUE"""),45720.558794826386)</f>
        <v>45720.55879</v>
      </c>
      <c r="H1351" s="14" t="str">
        <f>IFERROR(__xludf.DUMMYFUNCTION("""COMPUTED_VALUE"""),"Bu Eva (SU)")</f>
        <v>Bu Eva (SU)</v>
      </c>
      <c r="I1351" s="13" t="str">
        <f>IFERROR(__xludf.DUMMYFUNCTION("""COMPUTED_VALUE"""),"SELESAI (VIA PERMOHONAN)")</f>
        <v>SELESAI (VIA PERMOHONAN)</v>
      </c>
      <c r="J1351" s="17">
        <f>IFERROR(__xludf.DUMMYFUNCTION("""COMPUTED_VALUE"""),45720.59131478009)</f>
        <v>45720.59131</v>
      </c>
      <c r="K1351" s="13" t="str">
        <f>IFERROR(__xludf.DUMMYFUNCTION("""COMPUTED_VALUE"""),"Selesai")</f>
        <v>Selesai</v>
      </c>
      <c r="L1351" s="17">
        <f>IFERROR(__xludf.DUMMYFUNCTION("""COMPUTED_VALUE"""),45720.59131478009)</f>
        <v>45720.59131</v>
      </c>
      <c r="M1351" s="13"/>
      <c r="N1351" s="13" t="str">
        <f>IFERROR(__xludf.DUMMYFUNCTION("""COMPUTED_VALUE"""),"")</f>
        <v/>
      </c>
      <c r="O1351" s="13" t="str">
        <f t="shared" si="1"/>
        <v/>
      </c>
    </row>
    <row r="1352" ht="22.5" customHeight="1">
      <c r="B1352" s="13">
        <f>IFERROR(__xludf.DUMMYFUNCTION("""COMPUTED_VALUE"""),1347.0)</f>
        <v>1347</v>
      </c>
      <c r="C1352" s="13" t="str">
        <f>IFERROR(__xludf.DUMMYFUNCTION("""COMPUTED_VALUE"""),"B.664/SUMBER AGUNG")</f>
        <v>B.664/SUMBER AGUNG</v>
      </c>
      <c r="D1352" s="13" t="str">
        <f>IFERROR(__xludf.DUMMYFUNCTION("""COMPUTED_VALUE"""),"K/10/240225/2")</f>
        <v>K/10/240225/2</v>
      </c>
      <c r="E1352" s="14" t="str">
        <f>IFERROR(__xludf.DUMMYFUNCTION("""COMPUTED_VALUE"""),"Nadian (BT)")</f>
        <v>Nadian (BT)</v>
      </c>
      <c r="F1352" s="14" t="str">
        <f>IFERROR(__xludf.DUMMYFUNCTION("""COMPUTED_VALUE"""),"SELESAI (VIA PERMOHONAN)")</f>
        <v>SELESAI (VIA PERMOHONAN)</v>
      </c>
      <c r="G1352" s="17">
        <f>IFERROR(__xludf.DUMMYFUNCTION("""COMPUTED_VALUE"""),45720.558794826386)</f>
        <v>45720.55879</v>
      </c>
      <c r="H1352" s="14" t="str">
        <f>IFERROR(__xludf.DUMMYFUNCTION("""COMPUTED_VALUE"""),"Bu Eva (SU)")</f>
        <v>Bu Eva (SU)</v>
      </c>
      <c r="I1352" s="13" t="str">
        <f>IFERROR(__xludf.DUMMYFUNCTION("""COMPUTED_VALUE"""),"SELESAI (VIA PERMOHONAN)")</f>
        <v>SELESAI (VIA PERMOHONAN)</v>
      </c>
      <c r="J1352" s="17">
        <f>IFERROR(__xludf.DUMMYFUNCTION("""COMPUTED_VALUE"""),45720.59160659723)</f>
        <v>45720.59161</v>
      </c>
      <c r="K1352" s="13" t="str">
        <f>IFERROR(__xludf.DUMMYFUNCTION("""COMPUTED_VALUE"""),"Selesai")</f>
        <v>Selesai</v>
      </c>
      <c r="L1352" s="17">
        <f>IFERROR(__xludf.DUMMYFUNCTION("""COMPUTED_VALUE"""),45720.59160659723)</f>
        <v>45720.59161</v>
      </c>
      <c r="M1352" s="13"/>
      <c r="N1352" s="13" t="str">
        <f>IFERROR(__xludf.DUMMYFUNCTION("""COMPUTED_VALUE"""),"")</f>
        <v/>
      </c>
      <c r="O1352" s="13" t="str">
        <f t="shared" si="1"/>
        <v/>
      </c>
    </row>
    <row r="1353" ht="22.5" customHeight="1">
      <c r="B1353" s="13">
        <f>IFERROR(__xludf.DUMMYFUNCTION("""COMPUTED_VALUE"""),1348.0)</f>
        <v>1348</v>
      </c>
      <c r="C1353" s="13" t="str">
        <f>IFERROR(__xludf.DUMMYFUNCTION("""COMPUTED_VALUE"""),"M.1990/LABUHAN RATU RAYA")</f>
        <v>M.1990/LABUHAN RATU RAYA</v>
      </c>
      <c r="D1353" s="13" t="str">
        <f>IFERROR(__xludf.DUMMYFUNCTION("""COMPUTED_VALUE"""),"K/30/190225/1")</f>
        <v>K/30/190225/1</v>
      </c>
      <c r="E1353" s="14" t="str">
        <f>IFERROR(__xludf.DUMMYFUNCTION("""COMPUTED_VALUE"""),"Nadian (BT)")</f>
        <v>Nadian (BT)</v>
      </c>
      <c r="F1353" s="14" t="str">
        <f>IFERROR(__xludf.DUMMYFUNCTION("""COMPUTED_VALUE"""),"SELESAI (VIA PERMOHONAN)")</f>
        <v>SELESAI (VIA PERMOHONAN)</v>
      </c>
      <c r="G1353" s="17">
        <f>IFERROR(__xludf.DUMMYFUNCTION("""COMPUTED_VALUE"""),45720.558794826386)</f>
        <v>45720.55879</v>
      </c>
      <c r="H1353" s="14" t="str">
        <f>IFERROR(__xludf.DUMMYFUNCTION("""COMPUTED_VALUE"""),"Bu Eva (SU)")</f>
        <v>Bu Eva (SU)</v>
      </c>
      <c r="I1353" s="13" t="str">
        <f>IFERROR(__xludf.DUMMYFUNCTION("""COMPUTED_VALUE"""),"SELESAI (VIA PERMOHONAN)")</f>
        <v>SELESAI (VIA PERMOHONAN)</v>
      </c>
      <c r="J1353" s="17">
        <f>IFERROR(__xludf.DUMMYFUNCTION("""COMPUTED_VALUE"""),45720.59160659723)</f>
        <v>45720.59161</v>
      </c>
      <c r="K1353" s="13" t="str">
        <f>IFERROR(__xludf.DUMMYFUNCTION("""COMPUTED_VALUE"""),"Selesai")</f>
        <v>Selesai</v>
      </c>
      <c r="L1353" s="17">
        <f>IFERROR(__xludf.DUMMYFUNCTION("""COMPUTED_VALUE"""),45720.59160659723)</f>
        <v>45720.59161</v>
      </c>
      <c r="M1353" s="13"/>
      <c r="N1353" s="13" t="str">
        <f>IFERROR(__xludf.DUMMYFUNCTION("""COMPUTED_VALUE"""),"")</f>
        <v/>
      </c>
      <c r="O1353" s="13" t="str">
        <f t="shared" si="1"/>
        <v/>
      </c>
    </row>
    <row r="1354" ht="22.5" customHeight="1">
      <c r="B1354" s="13">
        <f>IFERROR(__xludf.DUMMYFUNCTION("""COMPUTED_VALUE"""),1349.0)</f>
        <v>1349</v>
      </c>
      <c r="C1354" s="13" t="str">
        <f>IFERROR(__xludf.DUMMYFUNCTION("""COMPUTED_VALUE"""),"B.665/SUMBER AGUNG")</f>
        <v>B.665/SUMBER AGUNG</v>
      </c>
      <c r="D1354" s="13" t="str">
        <f>IFERROR(__xludf.DUMMYFUNCTION("""COMPUTED_VALUE"""),"K/9/240225/1")</f>
        <v>K/9/240225/1</v>
      </c>
      <c r="E1354" s="14" t="str">
        <f>IFERROR(__xludf.DUMMYFUNCTION("""COMPUTED_VALUE"""),"Nadian (BT)")</f>
        <v>Nadian (BT)</v>
      </c>
      <c r="F1354" s="14" t="str">
        <f>IFERROR(__xludf.DUMMYFUNCTION("""COMPUTED_VALUE"""),"SELESAI (VIA PERMOHONAN)")</f>
        <v>SELESAI (VIA PERMOHONAN)</v>
      </c>
      <c r="G1354" s="17">
        <f>IFERROR(__xludf.DUMMYFUNCTION("""COMPUTED_VALUE"""),45720.558794826386)</f>
        <v>45720.55879</v>
      </c>
      <c r="H1354" s="14" t="str">
        <f>IFERROR(__xludf.DUMMYFUNCTION("""COMPUTED_VALUE"""),"Bu Eva (SU)")</f>
        <v>Bu Eva (SU)</v>
      </c>
      <c r="I1354" s="13" t="str">
        <f>IFERROR(__xludf.DUMMYFUNCTION("""COMPUTED_VALUE"""),"SELESAI (VIA PERMOHONAN)")</f>
        <v>SELESAI (VIA PERMOHONAN)</v>
      </c>
      <c r="J1354" s="17">
        <f>IFERROR(__xludf.DUMMYFUNCTION("""COMPUTED_VALUE"""),45720.59160659723)</f>
        <v>45720.59161</v>
      </c>
      <c r="K1354" s="13" t="str">
        <f>IFERROR(__xludf.DUMMYFUNCTION("""COMPUTED_VALUE"""),"Selesai")</f>
        <v>Selesai</v>
      </c>
      <c r="L1354" s="17">
        <f>IFERROR(__xludf.DUMMYFUNCTION("""COMPUTED_VALUE"""),45720.59160659723)</f>
        <v>45720.59161</v>
      </c>
      <c r="M1354" s="13"/>
      <c r="N1354" s="13" t="str">
        <f>IFERROR(__xludf.DUMMYFUNCTION("""COMPUTED_VALUE"""),"")</f>
        <v/>
      </c>
      <c r="O1354" s="13" t="str">
        <f t="shared" si="1"/>
        <v/>
      </c>
    </row>
    <row r="1355" ht="22.5" customHeight="1">
      <c r="B1355" s="13">
        <f>IFERROR(__xludf.DUMMYFUNCTION("""COMPUTED_VALUE"""),1350.0)</f>
        <v>1350</v>
      </c>
      <c r="C1355" s="13" t="str">
        <f>IFERROR(__xludf.DUMMYFUNCTION("""COMPUTED_VALUE"""),"M. 351/ Nusantara Permai")</f>
        <v>M. 351/ Nusantara Permai</v>
      </c>
      <c r="D1355" s="13" t="str">
        <f>IFERROR(__xludf.DUMMYFUNCTION("""COMPUTED_VALUE"""),"K/15/250225/1")</f>
        <v>K/15/250225/1</v>
      </c>
      <c r="E1355" s="14" t="str">
        <f>IFERROR(__xludf.DUMMYFUNCTION("""COMPUTED_VALUE"""),"Nadian (BT)")</f>
        <v>Nadian (BT)</v>
      </c>
      <c r="F1355" s="14" t="str">
        <f>IFERROR(__xludf.DUMMYFUNCTION("""COMPUTED_VALUE"""),"SELESAI (VIA PERMOHONAN)")</f>
        <v>SELESAI (VIA PERMOHONAN)</v>
      </c>
      <c r="G1355" s="17">
        <f>IFERROR(__xludf.DUMMYFUNCTION("""COMPUTED_VALUE"""),45720.558794826386)</f>
        <v>45720.55879</v>
      </c>
      <c r="H1355" s="14" t="str">
        <f>IFERROR(__xludf.DUMMYFUNCTION("""COMPUTED_VALUE"""),"Bu Eva (SU)")</f>
        <v>Bu Eva (SU)</v>
      </c>
      <c r="I1355" s="13" t="str">
        <f>IFERROR(__xludf.DUMMYFUNCTION("""COMPUTED_VALUE"""),"SELESAI (VIA PERMOHONAN)")</f>
        <v>SELESAI (VIA PERMOHONAN)</v>
      </c>
      <c r="J1355" s="17">
        <f>IFERROR(__xludf.DUMMYFUNCTION("""COMPUTED_VALUE"""),45720.59160659723)</f>
        <v>45720.59161</v>
      </c>
      <c r="K1355" s="13" t="str">
        <f>IFERROR(__xludf.DUMMYFUNCTION("""COMPUTED_VALUE"""),"Selesai")</f>
        <v>Selesai</v>
      </c>
      <c r="L1355" s="17">
        <f>IFERROR(__xludf.DUMMYFUNCTION("""COMPUTED_VALUE"""),45720.59160659723)</f>
        <v>45720.59161</v>
      </c>
      <c r="M1355" s="13"/>
      <c r="N1355" s="13" t="str">
        <f>IFERROR(__xludf.DUMMYFUNCTION("""COMPUTED_VALUE"""),"")</f>
        <v/>
      </c>
      <c r="O1355" s="13" t="str">
        <f t="shared" si="1"/>
        <v/>
      </c>
    </row>
    <row r="1356" ht="22.5" customHeight="1">
      <c r="B1356" s="13">
        <f>IFERROR(__xludf.DUMMYFUNCTION("""COMPUTED_VALUE"""),1351.0)</f>
        <v>1351</v>
      </c>
      <c r="C1356" s="13" t="str">
        <f>IFERROR(__xludf.DUMMYFUNCTION("""COMPUTED_VALUE"""),"M. 14453/ SUkabumi")</f>
        <v>M. 14453/ SUkabumi</v>
      </c>
      <c r="D1356" s="13" t="str">
        <f>IFERROR(__xludf.DUMMYFUNCTION("""COMPUTED_VALUE"""),"K/12/280225/2")</f>
        <v>K/12/280225/2</v>
      </c>
      <c r="E1356" s="14" t="str">
        <f>IFERROR(__xludf.DUMMYFUNCTION("""COMPUTED_VALUE"""),"Nadian (BT)")</f>
        <v>Nadian (BT)</v>
      </c>
      <c r="F1356" s="14" t="str">
        <f>IFERROR(__xludf.DUMMYFUNCTION("""COMPUTED_VALUE"""),"SELESAI (VIA PERMOHONAN)")</f>
        <v>SELESAI (VIA PERMOHONAN)</v>
      </c>
      <c r="G1356" s="17">
        <f>IFERROR(__xludf.DUMMYFUNCTION("""COMPUTED_VALUE"""),45720.558794826386)</f>
        <v>45720.55879</v>
      </c>
      <c r="H1356" s="14" t="str">
        <f>IFERROR(__xludf.DUMMYFUNCTION("""COMPUTED_VALUE"""),"Bu Eva (SU)")</f>
        <v>Bu Eva (SU)</v>
      </c>
      <c r="I1356" s="13" t="str">
        <f>IFERROR(__xludf.DUMMYFUNCTION("""COMPUTED_VALUE"""),"SELESAI (VIA PERMOHONAN)")</f>
        <v>SELESAI (VIA PERMOHONAN)</v>
      </c>
      <c r="J1356" s="17">
        <f>IFERROR(__xludf.DUMMYFUNCTION("""COMPUTED_VALUE"""),45720.59160659723)</f>
        <v>45720.59161</v>
      </c>
      <c r="K1356" s="13" t="str">
        <f>IFERROR(__xludf.DUMMYFUNCTION("""COMPUTED_VALUE"""),"Selesai")</f>
        <v>Selesai</v>
      </c>
      <c r="L1356" s="17">
        <f>IFERROR(__xludf.DUMMYFUNCTION("""COMPUTED_VALUE"""),45720.59160659723)</f>
        <v>45720.59161</v>
      </c>
      <c r="M1356" s="13"/>
      <c r="N1356" s="13" t="str">
        <f>IFERROR(__xludf.DUMMYFUNCTION("""COMPUTED_VALUE"""),"")</f>
        <v/>
      </c>
      <c r="O1356" s="13" t="str">
        <f t="shared" si="1"/>
        <v/>
      </c>
    </row>
    <row r="1357" ht="22.5" customHeight="1">
      <c r="B1357" s="13">
        <f>IFERROR(__xludf.DUMMYFUNCTION("""COMPUTED_VALUE"""),1352.0)</f>
        <v>1352</v>
      </c>
      <c r="C1357" s="13" t="str">
        <f>IFERROR(__xludf.DUMMYFUNCTION("""COMPUTED_VALUE"""),"M.1853/KETEGUHAN")</f>
        <v>M.1853/KETEGUHAN</v>
      </c>
      <c r="D1357" s="13" t="str">
        <f>IFERROR(__xludf.DUMMYFUNCTION("""COMPUTED_VALUE"""),"K/26/210225/1")</f>
        <v>K/26/210225/1</v>
      </c>
      <c r="E1357" s="14" t="str">
        <f>IFERROR(__xludf.DUMMYFUNCTION("""COMPUTED_VALUE"""),"Nadian (BT)")</f>
        <v>Nadian (BT)</v>
      </c>
      <c r="F1357" s="14" t="str">
        <f>IFERROR(__xludf.DUMMYFUNCTION("""COMPUTED_VALUE"""),"SELESAI (VIA PERMOHONAN)")</f>
        <v>SELESAI (VIA PERMOHONAN)</v>
      </c>
      <c r="G1357" s="17">
        <f>IFERROR(__xludf.DUMMYFUNCTION("""COMPUTED_VALUE"""),45720.558794826386)</f>
        <v>45720.55879</v>
      </c>
      <c r="H1357" s="14" t="str">
        <f>IFERROR(__xludf.DUMMYFUNCTION("""COMPUTED_VALUE"""),"Bu Eva (SU)")</f>
        <v>Bu Eva (SU)</v>
      </c>
      <c r="I1357" s="13" t="str">
        <f>IFERROR(__xludf.DUMMYFUNCTION("""COMPUTED_VALUE"""),"SELESAI (VIA PERMOHONAN)")</f>
        <v>SELESAI (VIA PERMOHONAN)</v>
      </c>
      <c r="J1357" s="17">
        <f>IFERROR(__xludf.DUMMYFUNCTION("""COMPUTED_VALUE"""),45720.59160659723)</f>
        <v>45720.59161</v>
      </c>
      <c r="K1357" s="13" t="str">
        <f>IFERROR(__xludf.DUMMYFUNCTION("""COMPUTED_VALUE"""),"Selesai")</f>
        <v>Selesai</v>
      </c>
      <c r="L1357" s="17">
        <f>IFERROR(__xludf.DUMMYFUNCTION("""COMPUTED_VALUE"""),45720.59160659723)</f>
        <v>45720.59161</v>
      </c>
      <c r="M1357" s="13"/>
      <c r="N1357" s="13" t="str">
        <f>IFERROR(__xludf.DUMMYFUNCTION("""COMPUTED_VALUE"""),"")</f>
        <v/>
      </c>
      <c r="O1357" s="13" t="str">
        <f t="shared" si="1"/>
        <v/>
      </c>
    </row>
    <row r="1358" ht="22.5" customHeight="1">
      <c r="B1358" s="13">
        <f>IFERROR(__xludf.DUMMYFUNCTION("""COMPUTED_VALUE"""),1353.0)</f>
        <v>1353</v>
      </c>
      <c r="C1358" s="13" t="str">
        <f>IFERROR(__xludf.DUMMYFUNCTION("""COMPUTED_VALUE"""),"M. 1416/BAKUNG")</f>
        <v>M. 1416/BAKUNG</v>
      </c>
      <c r="D1358" s="13" t="str">
        <f>IFERROR(__xludf.DUMMYFUNCTION("""COMPUTED_VALUE"""),"K/7/280225/3")</f>
        <v>K/7/280225/3</v>
      </c>
      <c r="E1358" s="14" t="str">
        <f>IFERROR(__xludf.DUMMYFUNCTION("""COMPUTED_VALUE"""),"Nadian (BT)")</f>
        <v>Nadian (BT)</v>
      </c>
      <c r="F1358" s="14" t="str">
        <f>IFERROR(__xludf.DUMMYFUNCTION("""COMPUTED_VALUE"""),"SELESAI (VIA PERMOHONAN)")</f>
        <v>SELESAI (VIA PERMOHONAN)</v>
      </c>
      <c r="G1358" s="17">
        <f>IFERROR(__xludf.DUMMYFUNCTION("""COMPUTED_VALUE"""),45720.558794826386)</f>
        <v>45720.55879</v>
      </c>
      <c r="H1358" s="14" t="str">
        <f>IFERROR(__xludf.DUMMYFUNCTION("""COMPUTED_VALUE"""),"Bu Eva (SU)")</f>
        <v>Bu Eva (SU)</v>
      </c>
      <c r="I1358" s="13" t="str">
        <f>IFERROR(__xludf.DUMMYFUNCTION("""COMPUTED_VALUE"""),"SELESAI (VIA PERMOHONAN)")</f>
        <v>SELESAI (VIA PERMOHONAN)</v>
      </c>
      <c r="J1358" s="17">
        <f>IFERROR(__xludf.DUMMYFUNCTION("""COMPUTED_VALUE"""),45720.591606608796)</f>
        <v>45720.59161</v>
      </c>
      <c r="K1358" s="13" t="str">
        <f>IFERROR(__xludf.DUMMYFUNCTION("""COMPUTED_VALUE"""),"Selesai")</f>
        <v>Selesai</v>
      </c>
      <c r="L1358" s="17">
        <f>IFERROR(__xludf.DUMMYFUNCTION("""COMPUTED_VALUE"""),45720.591606608796)</f>
        <v>45720.59161</v>
      </c>
      <c r="M1358" s="13"/>
      <c r="N1358" s="13" t="str">
        <f>IFERROR(__xludf.DUMMYFUNCTION("""COMPUTED_VALUE"""),"")</f>
        <v/>
      </c>
      <c r="O1358" s="13" t="str">
        <f t="shared" si="1"/>
        <v/>
      </c>
    </row>
    <row r="1359" ht="22.5" customHeight="1">
      <c r="B1359" s="13">
        <f>IFERROR(__xludf.DUMMYFUNCTION("""COMPUTED_VALUE"""),1354.0)</f>
        <v>1354</v>
      </c>
      <c r="C1359" s="13" t="str">
        <f>IFERROR(__xludf.DUMMYFUNCTION("""COMPUTED_VALUE"""),"M.4603/GUNUNG TERANG")</f>
        <v>M.4603/GUNUNG TERANG</v>
      </c>
      <c r="D1359" s="13" t="str">
        <f>IFERROR(__xludf.DUMMYFUNCTION("""COMPUTED_VALUE"""),"K/7/161224/5")</f>
        <v>K/7/161224/5</v>
      </c>
      <c r="E1359" s="14" t="str">
        <f>IFERROR(__xludf.DUMMYFUNCTION("""COMPUTED_VALUE"""),"Nadian (BT)")</f>
        <v>Nadian (BT)</v>
      </c>
      <c r="F1359" s="14" t="str">
        <f>IFERROR(__xludf.DUMMYFUNCTION("""COMPUTED_VALUE"""),"SELESAI (VIA PERMOHONAN)")</f>
        <v>SELESAI (VIA PERMOHONAN)</v>
      </c>
      <c r="G1359" s="17">
        <f>IFERROR(__xludf.DUMMYFUNCTION("""COMPUTED_VALUE"""),45720.558794826386)</f>
        <v>45720.55879</v>
      </c>
      <c r="H1359" s="14" t="str">
        <f>IFERROR(__xludf.DUMMYFUNCTION("""COMPUTED_VALUE"""),"Bu Eva (SU)")</f>
        <v>Bu Eva (SU)</v>
      </c>
      <c r="I1359" s="13" t="str">
        <f>IFERROR(__xludf.DUMMYFUNCTION("""COMPUTED_VALUE"""),"SELESAI (VIA PERMOHONAN)")</f>
        <v>SELESAI (VIA PERMOHONAN)</v>
      </c>
      <c r="J1359" s="17">
        <f>IFERROR(__xludf.DUMMYFUNCTION("""COMPUTED_VALUE"""),45720.59166501157)</f>
        <v>45720.59167</v>
      </c>
      <c r="K1359" s="13" t="str">
        <f>IFERROR(__xludf.DUMMYFUNCTION("""COMPUTED_VALUE"""),"Selesai")</f>
        <v>Selesai</v>
      </c>
      <c r="L1359" s="17">
        <f>IFERROR(__xludf.DUMMYFUNCTION("""COMPUTED_VALUE"""),45720.59166501157)</f>
        <v>45720.59167</v>
      </c>
      <c r="M1359" s="13"/>
      <c r="N1359" s="13" t="str">
        <f>IFERROR(__xludf.DUMMYFUNCTION("""COMPUTED_VALUE"""),"")</f>
        <v/>
      </c>
      <c r="O1359" s="13" t="str">
        <f t="shared" si="1"/>
        <v/>
      </c>
    </row>
    <row r="1360" ht="22.5" customHeight="1">
      <c r="B1360" s="13">
        <f>IFERROR(__xludf.DUMMYFUNCTION("""COMPUTED_VALUE"""),1355.0)</f>
        <v>1355</v>
      </c>
      <c r="C1360" s="13" t="str">
        <f>IFERROR(__xludf.DUMMYFUNCTION("""COMPUTED_VALUE"""),"M. 3259 / GEDONG AIR")</f>
        <v>M. 3259 / GEDONG AIR</v>
      </c>
      <c r="D1360" s="13" t="str">
        <f>IFERROR(__xludf.DUMMYFUNCTION("""COMPUTED_VALUE"""),"K/12/270225/2")</f>
        <v>K/12/270225/2</v>
      </c>
      <c r="E1360" s="14" t="str">
        <f>IFERROR(__xludf.DUMMYFUNCTION("""COMPUTED_VALUE"""),"Nadian (BT)")</f>
        <v>Nadian (BT)</v>
      </c>
      <c r="F1360" s="14" t="str">
        <f>IFERROR(__xludf.DUMMYFUNCTION("""COMPUTED_VALUE"""),"SELESAI (VIA PERMOHONAN)")</f>
        <v>SELESAI (VIA PERMOHONAN)</v>
      </c>
      <c r="G1360" s="17">
        <f>IFERROR(__xludf.DUMMYFUNCTION("""COMPUTED_VALUE"""),45720.558794826386)</f>
        <v>45720.55879</v>
      </c>
      <c r="H1360" s="14" t="str">
        <f>IFERROR(__xludf.DUMMYFUNCTION("""COMPUTED_VALUE"""),"Bu Eva (SU)")</f>
        <v>Bu Eva (SU)</v>
      </c>
      <c r="I1360" s="13" t="str">
        <f>IFERROR(__xludf.DUMMYFUNCTION("""COMPUTED_VALUE"""),"SELESAI (VIA PERMOHONAN)")</f>
        <v>SELESAI (VIA PERMOHONAN)</v>
      </c>
      <c r="J1360" s="17">
        <f>IFERROR(__xludf.DUMMYFUNCTION("""COMPUTED_VALUE"""),45720.59166501157)</f>
        <v>45720.59167</v>
      </c>
      <c r="K1360" s="13" t="str">
        <f>IFERROR(__xludf.DUMMYFUNCTION("""COMPUTED_VALUE"""),"Selesai")</f>
        <v>Selesai</v>
      </c>
      <c r="L1360" s="17">
        <f>IFERROR(__xludf.DUMMYFUNCTION("""COMPUTED_VALUE"""),45720.59166501157)</f>
        <v>45720.59167</v>
      </c>
      <c r="M1360" s="13"/>
      <c r="N1360" s="13" t="str">
        <f>IFERROR(__xludf.DUMMYFUNCTION("""COMPUTED_VALUE"""),"")</f>
        <v/>
      </c>
      <c r="O1360" s="13" t="str">
        <f t="shared" si="1"/>
        <v/>
      </c>
    </row>
    <row r="1361" ht="22.5" customHeight="1">
      <c r="B1361" s="13">
        <f>IFERROR(__xludf.DUMMYFUNCTION("""COMPUTED_VALUE"""),1356.0)</f>
        <v>1356</v>
      </c>
      <c r="C1361" s="13" t="str">
        <f>IFERROR(__xludf.DUMMYFUNCTION("""COMPUTED_VALUE"""),"M. 80/ Korpri Jaya")</f>
        <v>M. 80/ Korpri Jaya</v>
      </c>
      <c r="D1361" s="13" t="str">
        <f>IFERROR(__xludf.DUMMYFUNCTION("""COMPUTED_VALUE"""),"K/37/250225/1")</f>
        <v>K/37/250225/1</v>
      </c>
      <c r="E1361" s="14" t="str">
        <f>IFERROR(__xludf.DUMMYFUNCTION("""COMPUTED_VALUE"""),"Nadian (BT)")</f>
        <v>Nadian (BT)</v>
      </c>
      <c r="F1361" s="14" t="str">
        <f>IFERROR(__xludf.DUMMYFUNCTION("""COMPUTED_VALUE"""),"SELESAI (VIA PERMOHONAN)")</f>
        <v>SELESAI (VIA PERMOHONAN)</v>
      </c>
      <c r="G1361" s="17">
        <f>IFERROR(__xludf.DUMMYFUNCTION("""COMPUTED_VALUE"""),45720.558794826386)</f>
        <v>45720.55879</v>
      </c>
      <c r="H1361" s="14" t="str">
        <f>IFERROR(__xludf.DUMMYFUNCTION("""COMPUTED_VALUE"""),"Bu Eva (SU)")</f>
        <v>Bu Eva (SU)</v>
      </c>
      <c r="I1361" s="13" t="str">
        <f>IFERROR(__xludf.DUMMYFUNCTION("""COMPUTED_VALUE"""),"SELESAI (VIA PERMOHONAN)")</f>
        <v>SELESAI (VIA PERMOHONAN)</v>
      </c>
      <c r="J1361" s="17">
        <f>IFERROR(__xludf.DUMMYFUNCTION("""COMPUTED_VALUE"""),45720.59166501157)</f>
        <v>45720.59167</v>
      </c>
      <c r="K1361" s="13" t="str">
        <f>IFERROR(__xludf.DUMMYFUNCTION("""COMPUTED_VALUE"""),"Selesai")</f>
        <v>Selesai</v>
      </c>
      <c r="L1361" s="17">
        <f>IFERROR(__xludf.DUMMYFUNCTION("""COMPUTED_VALUE"""),45720.59166501157)</f>
        <v>45720.59167</v>
      </c>
      <c r="M1361" s="13"/>
      <c r="N1361" s="13" t="str">
        <f>IFERROR(__xludf.DUMMYFUNCTION("""COMPUTED_VALUE"""),"")</f>
        <v/>
      </c>
      <c r="O1361" s="13" t="str">
        <f t="shared" si="1"/>
        <v/>
      </c>
    </row>
    <row r="1362" ht="22.5" customHeight="1">
      <c r="B1362" s="13">
        <f>IFERROR(__xludf.DUMMYFUNCTION("""COMPUTED_VALUE"""),1357.0)</f>
        <v>1357</v>
      </c>
      <c r="C1362" s="13" t="str">
        <f>IFERROR(__xludf.DUMMYFUNCTION("""COMPUTED_VALUE"""),"M. 5906/ Way Kandis")</f>
        <v>M. 5906/ Way Kandis</v>
      </c>
      <c r="D1362" s="13" t="str">
        <f>IFERROR(__xludf.DUMMYFUNCTION("""COMPUTED_VALUE"""),"K/5/210225/1")</f>
        <v>K/5/210225/1</v>
      </c>
      <c r="E1362" s="14" t="str">
        <f>IFERROR(__xludf.DUMMYFUNCTION("""COMPUTED_VALUE"""),"Nadian (BT)")</f>
        <v>Nadian (BT)</v>
      </c>
      <c r="F1362" s="14" t="str">
        <f>IFERROR(__xludf.DUMMYFUNCTION("""COMPUTED_VALUE"""),"SELESAI (VIA PERMOHONAN)")</f>
        <v>SELESAI (VIA PERMOHONAN)</v>
      </c>
      <c r="G1362" s="17">
        <f>IFERROR(__xludf.DUMMYFUNCTION("""COMPUTED_VALUE"""),45720.55879483796)</f>
        <v>45720.55879</v>
      </c>
      <c r="H1362" s="14" t="str">
        <f>IFERROR(__xludf.DUMMYFUNCTION("""COMPUTED_VALUE"""),"Bu Eva (SU)")</f>
        <v>Bu Eva (SU)</v>
      </c>
      <c r="I1362" s="13" t="str">
        <f>IFERROR(__xludf.DUMMYFUNCTION("""COMPUTED_VALUE"""),"SELESAI (VIA PERMOHONAN)")</f>
        <v>SELESAI (VIA PERMOHONAN)</v>
      </c>
      <c r="J1362" s="17">
        <f>IFERROR(__xludf.DUMMYFUNCTION("""COMPUTED_VALUE"""),45720.59166501157)</f>
        <v>45720.59167</v>
      </c>
      <c r="K1362" s="13" t="str">
        <f>IFERROR(__xludf.DUMMYFUNCTION("""COMPUTED_VALUE"""),"Selesai")</f>
        <v>Selesai</v>
      </c>
      <c r="L1362" s="17">
        <f>IFERROR(__xludf.DUMMYFUNCTION("""COMPUTED_VALUE"""),45720.59166501157)</f>
        <v>45720.59167</v>
      </c>
      <c r="M1362" s="13"/>
      <c r="N1362" s="13" t="str">
        <f>IFERROR(__xludf.DUMMYFUNCTION("""COMPUTED_VALUE"""),"")</f>
        <v/>
      </c>
      <c r="O1362" s="13" t="str">
        <f t="shared" si="1"/>
        <v/>
      </c>
    </row>
    <row r="1363" ht="22.5" customHeight="1">
      <c r="B1363" s="13">
        <f>IFERROR(__xludf.DUMMYFUNCTION("""COMPUTED_VALUE"""),1358.0)</f>
        <v>1358</v>
      </c>
      <c r="C1363" s="13" t="str">
        <f>IFERROR(__xludf.DUMMYFUNCTION("""COMPUTED_VALUE"""),"M. 13984/ Kedamaian")</f>
        <v>M. 13984/ Kedamaian</v>
      </c>
      <c r="D1363" s="13" t="str">
        <f>IFERROR(__xludf.DUMMYFUNCTION("""COMPUTED_VALUE"""),"K/27/210225/2")</f>
        <v>K/27/210225/2</v>
      </c>
      <c r="E1363" s="14" t="str">
        <f>IFERROR(__xludf.DUMMYFUNCTION("""COMPUTED_VALUE"""),"Nadian (BT)")</f>
        <v>Nadian (BT)</v>
      </c>
      <c r="F1363" s="14" t="str">
        <f>IFERROR(__xludf.DUMMYFUNCTION("""COMPUTED_VALUE"""),"SELESAI (VIA PERMOHONAN)")</f>
        <v>SELESAI (VIA PERMOHONAN)</v>
      </c>
      <c r="G1363" s="17">
        <f>IFERROR(__xludf.DUMMYFUNCTION("""COMPUTED_VALUE"""),45720.55879483796)</f>
        <v>45720.55879</v>
      </c>
      <c r="H1363" s="14" t="str">
        <f>IFERROR(__xludf.DUMMYFUNCTION("""COMPUTED_VALUE"""),"Bu Eva (SU)")</f>
        <v>Bu Eva (SU)</v>
      </c>
      <c r="I1363" s="13" t="str">
        <f>IFERROR(__xludf.DUMMYFUNCTION("""COMPUTED_VALUE"""),"SELESAI (VIA PERMOHONAN)")</f>
        <v>SELESAI (VIA PERMOHONAN)</v>
      </c>
      <c r="J1363" s="17">
        <f>IFERROR(__xludf.DUMMYFUNCTION("""COMPUTED_VALUE"""),45720.59166501157)</f>
        <v>45720.59167</v>
      </c>
      <c r="K1363" s="13" t="str">
        <f>IFERROR(__xludf.DUMMYFUNCTION("""COMPUTED_VALUE"""),"Selesai")</f>
        <v>Selesai</v>
      </c>
      <c r="L1363" s="17">
        <f>IFERROR(__xludf.DUMMYFUNCTION("""COMPUTED_VALUE"""),45720.59166501157)</f>
        <v>45720.59167</v>
      </c>
      <c r="M1363" s="13"/>
      <c r="N1363" s="13" t="str">
        <f>IFERROR(__xludf.DUMMYFUNCTION("""COMPUTED_VALUE"""),"")</f>
        <v/>
      </c>
      <c r="O1363" s="13" t="str">
        <f t="shared" si="1"/>
        <v/>
      </c>
    </row>
    <row r="1364" ht="22.5" customHeight="1">
      <c r="B1364" s="13">
        <f>IFERROR(__xludf.DUMMYFUNCTION("""COMPUTED_VALUE"""),1359.0)</f>
        <v>1359</v>
      </c>
      <c r="C1364" s="13" t="str">
        <f>IFERROR(__xludf.DUMMYFUNCTION("""COMPUTED_VALUE"""),"M. 16669/ Sukabumi")</f>
        <v>M. 16669/ Sukabumi</v>
      </c>
      <c r="D1364" s="13" t="str">
        <f>IFERROR(__xludf.DUMMYFUNCTION("""COMPUTED_VALUE"""),"K/20/190225/1")</f>
        <v>K/20/190225/1</v>
      </c>
      <c r="E1364" s="14" t="str">
        <f>IFERROR(__xludf.DUMMYFUNCTION("""COMPUTED_VALUE"""),"Nadian (BT)")</f>
        <v>Nadian (BT)</v>
      </c>
      <c r="F1364" s="14" t="str">
        <f>IFERROR(__xludf.DUMMYFUNCTION("""COMPUTED_VALUE"""),"SELESAI (VIA PERMOHONAN)")</f>
        <v>SELESAI (VIA PERMOHONAN)</v>
      </c>
      <c r="G1364" s="17">
        <f>IFERROR(__xludf.DUMMYFUNCTION("""COMPUTED_VALUE"""),45720.55879483796)</f>
        <v>45720.55879</v>
      </c>
      <c r="H1364" s="14" t="str">
        <f>IFERROR(__xludf.DUMMYFUNCTION("""COMPUTED_VALUE"""),"Bu Eva (SU)")</f>
        <v>Bu Eva (SU)</v>
      </c>
      <c r="I1364" s="13" t="str">
        <f>IFERROR(__xludf.DUMMYFUNCTION("""COMPUTED_VALUE"""),"SELESAI (VIA PERMOHONAN)")</f>
        <v>SELESAI (VIA PERMOHONAN)</v>
      </c>
      <c r="J1364" s="17">
        <f>IFERROR(__xludf.DUMMYFUNCTION("""COMPUTED_VALUE"""),45720.59166501157)</f>
        <v>45720.59167</v>
      </c>
      <c r="K1364" s="13" t="str">
        <f>IFERROR(__xludf.DUMMYFUNCTION("""COMPUTED_VALUE"""),"Selesai")</f>
        <v>Selesai</v>
      </c>
      <c r="L1364" s="17">
        <f>IFERROR(__xludf.DUMMYFUNCTION("""COMPUTED_VALUE"""),45720.59166501157)</f>
        <v>45720.59167</v>
      </c>
      <c r="M1364" s="13"/>
      <c r="N1364" s="13" t="str">
        <f>IFERROR(__xludf.DUMMYFUNCTION("""COMPUTED_VALUE"""),"")</f>
        <v/>
      </c>
      <c r="O1364" s="13" t="str">
        <f t="shared" si="1"/>
        <v/>
      </c>
    </row>
    <row r="1365" ht="22.5" customHeight="1">
      <c r="B1365" s="13">
        <f>IFERROR(__xludf.DUMMYFUNCTION("""COMPUTED_VALUE"""),1360.0)</f>
        <v>1360</v>
      </c>
      <c r="C1365" s="13" t="str">
        <f>IFERROR(__xludf.DUMMYFUNCTION("""COMPUTED_VALUE"""),"B. 598/ Sumur Putri")</f>
        <v>B. 598/ Sumur Putri</v>
      </c>
      <c r="D1365" s="13" t="str">
        <f>IFERROR(__xludf.DUMMYFUNCTION("""COMPUTED_VALUE"""),"K/14/250225/2")</f>
        <v>K/14/250225/2</v>
      </c>
      <c r="E1365" s="14" t="str">
        <f>IFERROR(__xludf.DUMMYFUNCTION("""COMPUTED_VALUE"""),"Afriza (BT)")</f>
        <v>Afriza (BT)</v>
      </c>
      <c r="F1365" s="14" t="str">
        <f>IFERROR(__xludf.DUMMYFUNCTION("""COMPUTED_VALUE"""),"SELESAI (VIA PERMOHONAN)")</f>
        <v>SELESAI (VIA PERMOHONAN)</v>
      </c>
      <c r="G1365" s="17">
        <f>IFERROR(__xludf.DUMMYFUNCTION("""COMPUTED_VALUE"""),45720.65389548611)</f>
        <v>45720.6539</v>
      </c>
      <c r="H1365" s="14" t="str">
        <f>IFERROR(__xludf.DUMMYFUNCTION("""COMPUTED_VALUE"""),"Bu Eva (SU)")</f>
        <v>Bu Eva (SU)</v>
      </c>
      <c r="I1365" s="13" t="str">
        <f>IFERROR(__xludf.DUMMYFUNCTION("""COMPUTED_VALUE"""),"SELESAI (VIA PERMOHONAN)")</f>
        <v>SELESAI (VIA PERMOHONAN)</v>
      </c>
      <c r="J1365" s="17">
        <f>IFERROR(__xludf.DUMMYFUNCTION("""COMPUTED_VALUE"""),45720.59166501157)</f>
        <v>45720.59167</v>
      </c>
      <c r="K1365" s="13" t="str">
        <f>IFERROR(__xludf.DUMMYFUNCTION("""COMPUTED_VALUE"""),"Selesai")</f>
        <v>Selesai</v>
      </c>
      <c r="L1365" s="17">
        <f>IFERROR(__xludf.DUMMYFUNCTION("""COMPUTED_VALUE"""),45720.59166501157)</f>
        <v>45720.59167</v>
      </c>
      <c r="M1365" s="13"/>
      <c r="N1365" s="13" t="str">
        <f>IFERROR(__xludf.DUMMYFUNCTION("""COMPUTED_VALUE"""),"")</f>
        <v/>
      </c>
      <c r="O1365" s="13" t="str">
        <f t="shared" si="1"/>
        <v/>
      </c>
    </row>
    <row r="1366" ht="22.5" customHeight="1">
      <c r="B1366" s="13">
        <f>IFERROR(__xludf.DUMMYFUNCTION("""COMPUTED_VALUE"""),1361.0)</f>
        <v>1361</v>
      </c>
      <c r="C1366" s="13" t="str">
        <f>IFERROR(__xludf.DUMMYFUNCTION("""COMPUTED_VALUE"""),"B. 1937/ Sukabumi")</f>
        <v>B. 1937/ Sukabumi</v>
      </c>
      <c r="D1366" s="13" t="str">
        <f>IFERROR(__xludf.DUMMYFUNCTION("""COMPUTED_VALUE"""),"K/10/270225/1")</f>
        <v>K/10/270225/1</v>
      </c>
      <c r="E1366" s="14" t="str">
        <f>IFERROR(__xludf.DUMMYFUNCTION("""COMPUTED_VALUE"""),"Afriza (BT)")</f>
        <v>Afriza (BT)</v>
      </c>
      <c r="F1366" s="14" t="str">
        <f>IFERROR(__xludf.DUMMYFUNCTION("""COMPUTED_VALUE"""),"SELESAI (VIA PERMOHONAN)")</f>
        <v>SELESAI (VIA PERMOHONAN)</v>
      </c>
      <c r="G1366" s="17">
        <f>IFERROR(__xludf.DUMMYFUNCTION("""COMPUTED_VALUE"""),45720.654044062496)</f>
        <v>45720.65404</v>
      </c>
      <c r="H1366" s="14" t="str">
        <f>IFERROR(__xludf.DUMMYFUNCTION("""COMPUTED_VALUE"""),"Bu Eva (SU)")</f>
        <v>Bu Eva (SU)</v>
      </c>
      <c r="I1366" s="13" t="str">
        <f>IFERROR(__xludf.DUMMYFUNCTION("""COMPUTED_VALUE"""),"SELESAI (VIA PERMOHONAN)")</f>
        <v>SELESAI (VIA PERMOHONAN)</v>
      </c>
      <c r="J1366" s="17">
        <f>IFERROR(__xludf.DUMMYFUNCTION("""COMPUTED_VALUE"""),45723.456267835645)</f>
        <v>45723.45627</v>
      </c>
      <c r="K1366" s="13" t="str">
        <f>IFERROR(__xludf.DUMMYFUNCTION("""COMPUTED_VALUE"""),"Selesai")</f>
        <v>Selesai</v>
      </c>
      <c r="L1366" s="17">
        <f>IFERROR(__xludf.DUMMYFUNCTION("""COMPUTED_VALUE"""),45723.456267835645)</f>
        <v>45723.45627</v>
      </c>
      <c r="M1366" s="13"/>
      <c r="N1366" s="13" t="str">
        <f>IFERROR(__xludf.DUMMYFUNCTION("""COMPUTED_VALUE"""),"")</f>
        <v/>
      </c>
      <c r="O1366" s="13" t="str">
        <f t="shared" si="1"/>
        <v/>
      </c>
    </row>
    <row r="1367" ht="22.5" customHeight="1">
      <c r="B1367" s="13">
        <f>IFERROR(__xludf.DUMMYFUNCTION("""COMPUTED_VALUE"""),1362.0)</f>
        <v>1362</v>
      </c>
      <c r="C1367" s="13" t="str">
        <f>IFERROR(__xludf.DUMMYFUNCTION("""COMPUTED_VALUE"""),"M. 2279/ sepang jaya")</f>
        <v>M. 2279/ sepang jaya</v>
      </c>
      <c r="D1367" s="13" t="str">
        <f>IFERROR(__xludf.DUMMYFUNCTION("""COMPUTED_VALUE"""),"K/7/260225/1")</f>
        <v>K/7/260225/1</v>
      </c>
      <c r="E1367" s="14" t="str">
        <f>IFERROR(__xludf.DUMMYFUNCTION("""COMPUTED_VALUE"""),"Afriza (BT)")</f>
        <v>Afriza (BT)</v>
      </c>
      <c r="F1367" s="14" t="str">
        <f>IFERROR(__xludf.DUMMYFUNCTION("""COMPUTED_VALUE"""),"SELESAI (VIA PERMOHONAN)")</f>
        <v>SELESAI (VIA PERMOHONAN)</v>
      </c>
      <c r="G1367" s="17">
        <f>IFERROR(__xludf.DUMMYFUNCTION("""COMPUTED_VALUE"""),45720.65428145834)</f>
        <v>45720.65428</v>
      </c>
      <c r="H1367" s="14" t="str">
        <f>IFERROR(__xludf.DUMMYFUNCTION("""COMPUTED_VALUE"""),"Bu Eva (SU)")</f>
        <v>Bu Eva (SU)</v>
      </c>
      <c r="I1367" s="13" t="str">
        <f>IFERROR(__xludf.DUMMYFUNCTION("""COMPUTED_VALUE"""),"SELESAI (VIA PERMOHONAN)")</f>
        <v>SELESAI (VIA PERMOHONAN)</v>
      </c>
      <c r="J1367" s="17">
        <f>IFERROR(__xludf.DUMMYFUNCTION("""COMPUTED_VALUE"""),45723.456267835645)</f>
        <v>45723.45627</v>
      </c>
      <c r="K1367" s="13" t="str">
        <f>IFERROR(__xludf.DUMMYFUNCTION("""COMPUTED_VALUE"""),"Selesai")</f>
        <v>Selesai</v>
      </c>
      <c r="L1367" s="17">
        <f>IFERROR(__xludf.DUMMYFUNCTION("""COMPUTED_VALUE"""),45723.456267835645)</f>
        <v>45723.45627</v>
      </c>
      <c r="M1367" s="13"/>
      <c r="N1367" s="13" t="str">
        <f>IFERROR(__xludf.DUMMYFUNCTION("""COMPUTED_VALUE"""),"")</f>
        <v/>
      </c>
      <c r="O1367" s="13" t="str">
        <f t="shared" si="1"/>
        <v/>
      </c>
    </row>
    <row r="1368" ht="22.5" customHeight="1">
      <c r="B1368" s="13">
        <f>IFERROR(__xludf.DUMMYFUNCTION("""COMPUTED_VALUE"""),1363.0)</f>
        <v>1363</v>
      </c>
      <c r="C1368" s="13" t="str">
        <f>IFERROR(__xludf.DUMMYFUNCTION("""COMPUTED_VALUE"""),"M. 12549/ Sukabumi")</f>
        <v>M. 12549/ Sukabumi</v>
      </c>
      <c r="D1368" s="13" t="str">
        <f>IFERROR(__xludf.DUMMYFUNCTION("""COMPUTED_VALUE"""),"K/20/210225/1")</f>
        <v>K/20/210225/1</v>
      </c>
      <c r="E1368" s="14" t="str">
        <f>IFERROR(__xludf.DUMMYFUNCTION("""COMPUTED_VALUE"""),"Afriza (BT)")</f>
        <v>Afriza (BT)</v>
      </c>
      <c r="F1368" s="14" t="str">
        <f>IFERROR(__xludf.DUMMYFUNCTION("""COMPUTED_VALUE"""),"SELESAI (VIA PERMOHONAN)")</f>
        <v>SELESAI (VIA PERMOHONAN)</v>
      </c>
      <c r="G1368" s="17">
        <f>IFERROR(__xludf.DUMMYFUNCTION("""COMPUTED_VALUE"""),45720.65437746528)</f>
        <v>45720.65438</v>
      </c>
      <c r="H1368" s="14" t="str">
        <f>IFERROR(__xludf.DUMMYFUNCTION("""COMPUTED_VALUE"""),"Bu Eva (SU)")</f>
        <v>Bu Eva (SU)</v>
      </c>
      <c r="I1368" s="13" t="str">
        <f>IFERROR(__xludf.DUMMYFUNCTION("""COMPUTED_VALUE"""),"SELESAI (VIA PERMOHONAN)")</f>
        <v>SELESAI (VIA PERMOHONAN)</v>
      </c>
      <c r="J1368" s="17">
        <f>IFERROR(__xludf.DUMMYFUNCTION("""COMPUTED_VALUE"""),45723.456267835645)</f>
        <v>45723.45627</v>
      </c>
      <c r="K1368" s="13" t="str">
        <f>IFERROR(__xludf.DUMMYFUNCTION("""COMPUTED_VALUE"""),"Selesai")</f>
        <v>Selesai</v>
      </c>
      <c r="L1368" s="17">
        <f>IFERROR(__xludf.DUMMYFUNCTION("""COMPUTED_VALUE"""),45723.456267835645)</f>
        <v>45723.45627</v>
      </c>
      <c r="M1368" s="13"/>
      <c r="N1368" s="13" t="str">
        <f>IFERROR(__xludf.DUMMYFUNCTION("""COMPUTED_VALUE"""),"")</f>
        <v/>
      </c>
      <c r="O1368" s="13" t="str">
        <f t="shared" si="1"/>
        <v/>
      </c>
    </row>
    <row r="1369" ht="22.5" customHeight="1">
      <c r="B1369" s="13">
        <f>IFERROR(__xludf.DUMMYFUNCTION("""COMPUTED_VALUE"""),1364.0)</f>
        <v>1364</v>
      </c>
      <c r="C1369" s="13" t="str">
        <f>IFERROR(__xludf.DUMMYFUNCTION("""COMPUTED_VALUE"""),"M. 12856/ Beringin Raya")</f>
        <v>M. 12856/ Beringin Raya</v>
      </c>
      <c r="D1369" s="13" t="str">
        <f>IFERROR(__xludf.DUMMYFUNCTION("""COMPUTED_VALUE"""),"K/19/050225/2")</f>
        <v>K/19/050225/2</v>
      </c>
      <c r="E1369" s="14" t="str">
        <f>IFERROR(__xludf.DUMMYFUNCTION("""COMPUTED_VALUE"""),"Afriza (BT)")</f>
        <v>Afriza (BT)</v>
      </c>
      <c r="F1369" s="14" t="str">
        <f>IFERROR(__xludf.DUMMYFUNCTION("""COMPUTED_VALUE"""),"SELESAI (VIA PERMOHONAN)")</f>
        <v>SELESAI (VIA PERMOHONAN)</v>
      </c>
      <c r="G1369" s="17">
        <f>IFERROR(__xludf.DUMMYFUNCTION("""COMPUTED_VALUE"""),45720.65468773148)</f>
        <v>45720.65469</v>
      </c>
      <c r="H1369" s="14" t="str">
        <f>IFERROR(__xludf.DUMMYFUNCTION("""COMPUTED_VALUE"""),"Bu Eva (SU)")</f>
        <v>Bu Eva (SU)</v>
      </c>
      <c r="I1369" s="13" t="str">
        <f>IFERROR(__xludf.DUMMYFUNCTION("""COMPUTED_VALUE"""),"SELESAI (VIA PERMOHONAN)")</f>
        <v>SELESAI (VIA PERMOHONAN)</v>
      </c>
      <c r="J1369" s="17">
        <f>IFERROR(__xludf.DUMMYFUNCTION("""COMPUTED_VALUE"""),45723.456267835645)</f>
        <v>45723.45627</v>
      </c>
      <c r="K1369" s="13" t="str">
        <f>IFERROR(__xludf.DUMMYFUNCTION("""COMPUTED_VALUE"""),"Selesai")</f>
        <v>Selesai</v>
      </c>
      <c r="L1369" s="17">
        <f>IFERROR(__xludf.DUMMYFUNCTION("""COMPUTED_VALUE"""),45723.456267835645)</f>
        <v>45723.45627</v>
      </c>
      <c r="M1369" s="13"/>
      <c r="N1369" s="13" t="str">
        <f>IFERROR(__xludf.DUMMYFUNCTION("""COMPUTED_VALUE"""),"")</f>
        <v/>
      </c>
      <c r="O1369" s="13" t="str">
        <f t="shared" si="1"/>
        <v/>
      </c>
    </row>
    <row r="1370" ht="22.5" customHeight="1">
      <c r="B1370" s="13">
        <f>IFERROR(__xludf.DUMMYFUNCTION("""COMPUTED_VALUE"""),1365.0)</f>
        <v>1365</v>
      </c>
      <c r="C1370" s="13" t="str">
        <f>IFERROR(__xludf.DUMMYFUNCTION("""COMPUTED_VALUE"""),"M. 4304/ Way Kandis")</f>
        <v>M. 4304/ Way Kandis</v>
      </c>
      <c r="D1370" s="13" t="str">
        <f>IFERROR(__xludf.DUMMYFUNCTION("""COMPUTED_VALUE"""),"K/3/120225/1")</f>
        <v>K/3/120225/1</v>
      </c>
      <c r="E1370" s="14" t="str">
        <f>IFERROR(__xludf.DUMMYFUNCTION("""COMPUTED_VALUE"""),"Afriza (BT)")</f>
        <v>Afriza (BT)</v>
      </c>
      <c r="F1370" s="14" t="str">
        <f>IFERROR(__xludf.DUMMYFUNCTION("""COMPUTED_VALUE"""),"SELESAI (VIA PERMOHONAN)")</f>
        <v>SELESAI (VIA PERMOHONAN)</v>
      </c>
      <c r="G1370" s="17">
        <f>IFERROR(__xludf.DUMMYFUNCTION("""COMPUTED_VALUE"""),45720.65482214121)</f>
        <v>45720.65482</v>
      </c>
      <c r="H1370" s="14" t="str">
        <f>IFERROR(__xludf.DUMMYFUNCTION("""COMPUTED_VALUE"""),"Bu Eva (SU)")</f>
        <v>Bu Eva (SU)</v>
      </c>
      <c r="I1370" s="13" t="str">
        <f>IFERROR(__xludf.DUMMYFUNCTION("""COMPUTED_VALUE"""),"SELESAI (VIA PERMOHONAN)")</f>
        <v>SELESAI (VIA PERMOHONAN)</v>
      </c>
      <c r="J1370" s="17">
        <f>IFERROR(__xludf.DUMMYFUNCTION("""COMPUTED_VALUE"""),45723.456267835645)</f>
        <v>45723.45627</v>
      </c>
      <c r="K1370" s="13" t="str">
        <f>IFERROR(__xludf.DUMMYFUNCTION("""COMPUTED_VALUE"""),"Selesai")</f>
        <v>Selesai</v>
      </c>
      <c r="L1370" s="17">
        <f>IFERROR(__xludf.DUMMYFUNCTION("""COMPUTED_VALUE"""),45723.456267835645)</f>
        <v>45723.45627</v>
      </c>
      <c r="M1370" s="13"/>
      <c r="N1370" s="13" t="str">
        <f>IFERROR(__xludf.DUMMYFUNCTION("""COMPUTED_VALUE"""),"")</f>
        <v/>
      </c>
      <c r="O1370" s="13" t="str">
        <f t="shared" si="1"/>
        <v/>
      </c>
    </row>
    <row r="1371" ht="22.5" customHeight="1">
      <c r="B1371" s="13">
        <f>IFERROR(__xludf.DUMMYFUNCTION("""COMPUTED_VALUE"""),1366.0)</f>
        <v>1366</v>
      </c>
      <c r="C1371" s="13" t="str">
        <f>IFERROR(__xludf.DUMMYFUNCTION("""COMPUTED_VALUE"""),"M. 956/ Durian Payung")</f>
        <v>M. 956/ Durian Payung</v>
      </c>
      <c r="D1371" s="13" t="str">
        <f>IFERROR(__xludf.DUMMYFUNCTION("""COMPUTED_VALUE"""),"K/16/130125/1")</f>
        <v>K/16/130125/1</v>
      </c>
      <c r="E1371" s="14" t="str">
        <f>IFERROR(__xludf.DUMMYFUNCTION("""COMPUTED_VALUE"""),"Afriza (BT)")</f>
        <v>Afriza (BT)</v>
      </c>
      <c r="F1371" s="14" t="str">
        <f>IFERROR(__xludf.DUMMYFUNCTION("""COMPUTED_VALUE"""),"SELESAI (VIA PERMOHONAN)")</f>
        <v>SELESAI (VIA PERMOHONAN)</v>
      </c>
      <c r="G1371" s="17">
        <f>IFERROR(__xludf.DUMMYFUNCTION("""COMPUTED_VALUE"""),45720.65496944444)</f>
        <v>45720.65497</v>
      </c>
      <c r="H1371" s="14" t="str">
        <f>IFERROR(__xludf.DUMMYFUNCTION("""COMPUTED_VALUE"""),"Bu Eva (SU)")</f>
        <v>Bu Eva (SU)</v>
      </c>
      <c r="I1371" s="13" t="str">
        <f>IFERROR(__xludf.DUMMYFUNCTION("""COMPUTED_VALUE"""),"SELESAI (VIA PERMOHONAN)")</f>
        <v>SELESAI (VIA PERMOHONAN)</v>
      </c>
      <c r="J1371" s="17">
        <f>IFERROR(__xludf.DUMMYFUNCTION("""COMPUTED_VALUE"""),45723.456267835645)</f>
        <v>45723.45627</v>
      </c>
      <c r="K1371" s="13" t="str">
        <f>IFERROR(__xludf.DUMMYFUNCTION("""COMPUTED_VALUE"""),"Selesai")</f>
        <v>Selesai</v>
      </c>
      <c r="L1371" s="17">
        <f>IFERROR(__xludf.DUMMYFUNCTION("""COMPUTED_VALUE"""),45723.456267835645)</f>
        <v>45723.45627</v>
      </c>
      <c r="M1371" s="13"/>
      <c r="N1371" s="13" t="str">
        <f>IFERROR(__xludf.DUMMYFUNCTION("""COMPUTED_VALUE"""),"")</f>
        <v/>
      </c>
      <c r="O1371" s="13" t="str">
        <f t="shared" si="1"/>
        <v/>
      </c>
    </row>
    <row r="1372" ht="22.5" customHeight="1">
      <c r="B1372" s="13">
        <f>IFERROR(__xludf.DUMMYFUNCTION("""COMPUTED_VALUE"""),1367.0)</f>
        <v>1367</v>
      </c>
      <c r="C1372" s="13" t="str">
        <f>IFERROR(__xludf.DUMMYFUNCTION("""COMPUTED_VALUE"""),"M. 1950/ Sukabumi Indah")</f>
        <v>M. 1950/ Sukabumi Indah</v>
      </c>
      <c r="D1372" s="13" t="str">
        <f>IFERROR(__xludf.DUMMYFUNCTION("""COMPUTED_VALUE"""),"K/29/260225/1")</f>
        <v>K/29/260225/1</v>
      </c>
      <c r="E1372" s="14" t="str">
        <f>IFERROR(__xludf.DUMMYFUNCTION("""COMPUTED_VALUE"""),"Afriza (BT)")</f>
        <v>Afriza (BT)</v>
      </c>
      <c r="F1372" s="14" t="str">
        <f>IFERROR(__xludf.DUMMYFUNCTION("""COMPUTED_VALUE"""),"SELESAI (VIA PERMOHONAN)")</f>
        <v>SELESAI (VIA PERMOHONAN)</v>
      </c>
      <c r="G1372" s="17">
        <f>IFERROR(__xludf.DUMMYFUNCTION("""COMPUTED_VALUE"""),45720.65507630787)</f>
        <v>45720.65508</v>
      </c>
      <c r="H1372" s="14" t="str">
        <f>IFERROR(__xludf.DUMMYFUNCTION("""COMPUTED_VALUE"""),"Bu Eva (SU)")</f>
        <v>Bu Eva (SU)</v>
      </c>
      <c r="I1372" s="13" t="str">
        <f>IFERROR(__xludf.DUMMYFUNCTION("""COMPUTED_VALUE"""),"SELESAI (VIA PERMOHONAN)")</f>
        <v>SELESAI (VIA PERMOHONAN)</v>
      </c>
      <c r="J1372" s="17">
        <f>IFERROR(__xludf.DUMMYFUNCTION("""COMPUTED_VALUE"""),45723.456267835645)</f>
        <v>45723.45627</v>
      </c>
      <c r="K1372" s="13" t="str">
        <f>IFERROR(__xludf.DUMMYFUNCTION("""COMPUTED_VALUE"""),"Selesai")</f>
        <v>Selesai</v>
      </c>
      <c r="L1372" s="17">
        <f>IFERROR(__xludf.DUMMYFUNCTION("""COMPUTED_VALUE"""),45723.456267835645)</f>
        <v>45723.45627</v>
      </c>
      <c r="M1372" s="13"/>
      <c r="N1372" s="13" t="str">
        <f>IFERROR(__xludf.DUMMYFUNCTION("""COMPUTED_VALUE"""),"")</f>
        <v/>
      </c>
      <c r="O1372" s="13" t="str">
        <f t="shared" si="1"/>
        <v/>
      </c>
    </row>
    <row r="1373" ht="22.5" customHeight="1">
      <c r="B1373" s="13">
        <f>IFERROR(__xludf.DUMMYFUNCTION("""COMPUTED_VALUE"""),1368.0)</f>
        <v>1368</v>
      </c>
      <c r="C1373" s="13" t="str">
        <f>IFERROR(__xludf.DUMMYFUNCTION("""COMPUTED_VALUE"""),"M. 16577/ Sukabumi")</f>
        <v>M. 16577/ Sukabumi</v>
      </c>
      <c r="D1373" s="13" t="str">
        <f>IFERROR(__xludf.DUMMYFUNCTION("""COMPUTED_VALUE"""),"K/26/280225/1")</f>
        <v>K/26/280225/1</v>
      </c>
      <c r="E1373" s="14" t="str">
        <f>IFERROR(__xludf.DUMMYFUNCTION("""COMPUTED_VALUE"""),"Afriza (BT)")</f>
        <v>Afriza (BT)</v>
      </c>
      <c r="F1373" s="14" t="str">
        <f>IFERROR(__xludf.DUMMYFUNCTION("""COMPUTED_VALUE"""),"SELESAI (VIA PERMOHONAN)")</f>
        <v>SELESAI (VIA PERMOHONAN)</v>
      </c>
      <c r="G1373" s="17">
        <f>IFERROR(__xludf.DUMMYFUNCTION("""COMPUTED_VALUE"""),45720.65521373843)</f>
        <v>45720.65521</v>
      </c>
      <c r="H1373" s="14" t="str">
        <f>IFERROR(__xludf.DUMMYFUNCTION("""COMPUTED_VALUE"""),"Bu Eva (SU)")</f>
        <v>Bu Eva (SU)</v>
      </c>
      <c r="I1373" s="13" t="str">
        <f>IFERROR(__xludf.DUMMYFUNCTION("""COMPUTED_VALUE"""),"SELESAI (VIA PERMOHONAN)")</f>
        <v>SELESAI (VIA PERMOHONAN)</v>
      </c>
      <c r="J1373" s="17">
        <f>IFERROR(__xludf.DUMMYFUNCTION("""COMPUTED_VALUE"""),45723.456267835645)</f>
        <v>45723.45627</v>
      </c>
      <c r="K1373" s="13" t="str">
        <f>IFERROR(__xludf.DUMMYFUNCTION("""COMPUTED_VALUE"""),"Selesai")</f>
        <v>Selesai</v>
      </c>
      <c r="L1373" s="17">
        <f>IFERROR(__xludf.DUMMYFUNCTION("""COMPUTED_VALUE"""),45723.456267835645)</f>
        <v>45723.45627</v>
      </c>
      <c r="M1373" s="13"/>
      <c r="N1373" s="13" t="str">
        <f>IFERROR(__xludf.DUMMYFUNCTION("""COMPUTED_VALUE"""),"")</f>
        <v/>
      </c>
      <c r="O1373" s="13" t="str">
        <f t="shared" si="1"/>
        <v/>
      </c>
    </row>
    <row r="1374" ht="22.5" customHeight="1">
      <c r="B1374" s="13">
        <f>IFERROR(__xludf.DUMMYFUNCTION("""COMPUTED_VALUE"""),1369.0)</f>
        <v>1369</v>
      </c>
      <c r="C1374" s="13" t="str">
        <f>IFERROR(__xludf.DUMMYFUNCTION("""COMPUTED_VALUE"""),"M. 11346 / SUKARAME")</f>
        <v>M. 11346 / SUKARAME</v>
      </c>
      <c r="D1374" s="13" t="str">
        <f>IFERROR(__xludf.DUMMYFUNCTION("""COMPUTED_VALUE"""),"K/42/210225/3")</f>
        <v>K/42/210225/3</v>
      </c>
      <c r="E1374" s="14" t="str">
        <f>IFERROR(__xludf.DUMMYFUNCTION("""COMPUTED_VALUE"""),"Afriza (BT)")</f>
        <v>Afriza (BT)</v>
      </c>
      <c r="F1374" s="14" t="str">
        <f>IFERROR(__xludf.DUMMYFUNCTION("""COMPUTED_VALUE"""),"SELESAI (VIA PERMOHONAN)")</f>
        <v>SELESAI (VIA PERMOHONAN)</v>
      </c>
      <c r="G1374" s="17">
        <f>IFERROR(__xludf.DUMMYFUNCTION("""COMPUTED_VALUE"""),45720.655382453704)</f>
        <v>45720.65538</v>
      </c>
      <c r="H1374" s="14" t="str">
        <f>IFERROR(__xludf.DUMMYFUNCTION("""COMPUTED_VALUE"""),"Bu Eva (SU)")</f>
        <v>Bu Eva (SU)</v>
      </c>
      <c r="I1374" s="13" t="str">
        <f>IFERROR(__xludf.DUMMYFUNCTION("""COMPUTED_VALUE"""),"SELESAI (VIA PERMOHONAN)")</f>
        <v>SELESAI (VIA PERMOHONAN)</v>
      </c>
      <c r="J1374" s="17">
        <f>IFERROR(__xludf.DUMMYFUNCTION("""COMPUTED_VALUE"""),45723.456267835645)</f>
        <v>45723.45627</v>
      </c>
      <c r="K1374" s="13" t="str">
        <f>IFERROR(__xludf.DUMMYFUNCTION("""COMPUTED_VALUE"""),"Selesai")</f>
        <v>Selesai</v>
      </c>
      <c r="L1374" s="17">
        <f>IFERROR(__xludf.DUMMYFUNCTION("""COMPUTED_VALUE"""),45723.456267835645)</f>
        <v>45723.45627</v>
      </c>
      <c r="M1374" s="13"/>
      <c r="N1374" s="13" t="str">
        <f>IFERROR(__xludf.DUMMYFUNCTION("""COMPUTED_VALUE"""),"")</f>
        <v/>
      </c>
      <c r="O1374" s="13" t="str">
        <f t="shared" si="1"/>
        <v/>
      </c>
    </row>
    <row r="1375" ht="22.5" customHeight="1">
      <c r="B1375" s="13">
        <f>IFERROR(__xludf.DUMMYFUNCTION("""COMPUTED_VALUE"""),1370.0)</f>
        <v>1370</v>
      </c>
      <c r="C1375" s="13" t="str">
        <f>IFERROR(__xludf.DUMMYFUNCTION("""COMPUTED_VALUE"""),"M. 1116/PEMATANG WANGI")</f>
        <v>M. 1116/PEMATANG WANGI</v>
      </c>
      <c r="D1375" s="13" t="str">
        <f>IFERROR(__xludf.DUMMYFUNCTION("""COMPUTED_VALUE"""),"K/41/210225/2")</f>
        <v>K/41/210225/2</v>
      </c>
      <c r="E1375" s="14" t="str">
        <f>IFERROR(__xludf.DUMMYFUNCTION("""COMPUTED_VALUE"""),"Afriza (BT)")</f>
        <v>Afriza (BT)</v>
      </c>
      <c r="F1375" s="14" t="str">
        <f>IFERROR(__xludf.DUMMYFUNCTION("""COMPUTED_VALUE"""),"SELESAI (VIA PERMOHONAN)")</f>
        <v>SELESAI (VIA PERMOHONAN)</v>
      </c>
      <c r="G1375" s="17">
        <f>IFERROR(__xludf.DUMMYFUNCTION("""COMPUTED_VALUE"""),45720.6554646875)</f>
        <v>45720.65546</v>
      </c>
      <c r="H1375" s="14" t="str">
        <f>IFERROR(__xludf.DUMMYFUNCTION("""COMPUTED_VALUE"""),"Bu Eva (SU)")</f>
        <v>Bu Eva (SU)</v>
      </c>
      <c r="I1375" s="13" t="str">
        <f>IFERROR(__xludf.DUMMYFUNCTION("""COMPUTED_VALUE"""),"SELESAI (VIA PERMOHONAN)")</f>
        <v>SELESAI (VIA PERMOHONAN)</v>
      </c>
      <c r="J1375" s="17">
        <f>IFERROR(__xludf.DUMMYFUNCTION("""COMPUTED_VALUE"""),45723.45643287037)</f>
        <v>45723.45643</v>
      </c>
      <c r="K1375" s="13" t="str">
        <f>IFERROR(__xludf.DUMMYFUNCTION("""COMPUTED_VALUE"""),"Selesai")</f>
        <v>Selesai</v>
      </c>
      <c r="L1375" s="17">
        <f>IFERROR(__xludf.DUMMYFUNCTION("""COMPUTED_VALUE"""),45723.45643287037)</f>
        <v>45723.45643</v>
      </c>
      <c r="M1375" s="13"/>
      <c r="N1375" s="13" t="str">
        <f>IFERROR(__xludf.DUMMYFUNCTION("""COMPUTED_VALUE"""),"")</f>
        <v/>
      </c>
      <c r="O1375" s="13" t="str">
        <f t="shared" si="1"/>
        <v/>
      </c>
    </row>
    <row r="1376" ht="22.5" customHeight="1">
      <c r="B1376" s="13">
        <f>IFERROR(__xludf.DUMMYFUNCTION("""COMPUTED_VALUE"""),1371.0)</f>
        <v>1371</v>
      </c>
      <c r="C1376" s="13" t="str">
        <f>IFERROR(__xludf.DUMMYFUNCTION("""COMPUTED_VALUE"""),"M. 2651/ Pinang Jaya")</f>
        <v>M. 2651/ Pinang Jaya</v>
      </c>
      <c r="D1376" s="13" t="str">
        <f>IFERROR(__xludf.DUMMYFUNCTION("""COMPUTED_VALUE"""),"K/33/210225/2")</f>
        <v>K/33/210225/2</v>
      </c>
      <c r="E1376" s="14" t="str">
        <f>IFERROR(__xludf.DUMMYFUNCTION("""COMPUTED_VALUE"""),"Afriza (BT)")</f>
        <v>Afriza (BT)</v>
      </c>
      <c r="F1376" s="14" t="str">
        <f>IFERROR(__xludf.DUMMYFUNCTION("""COMPUTED_VALUE"""),"SELESAI (VIA PERMOHONAN)")</f>
        <v>SELESAI (VIA PERMOHONAN)</v>
      </c>
      <c r="G1376" s="17">
        <f>IFERROR(__xludf.DUMMYFUNCTION("""COMPUTED_VALUE"""),45720.655558252314)</f>
        <v>45720.65556</v>
      </c>
      <c r="H1376" s="14" t="str">
        <f>IFERROR(__xludf.DUMMYFUNCTION("""COMPUTED_VALUE"""),"Bu Eva (SU)")</f>
        <v>Bu Eva (SU)</v>
      </c>
      <c r="I1376" s="13" t="str">
        <f>IFERROR(__xludf.DUMMYFUNCTION("""COMPUTED_VALUE"""),"SELESAI (VIA PERMOHONAN)")</f>
        <v>SELESAI (VIA PERMOHONAN)</v>
      </c>
      <c r="J1376" s="17">
        <f>IFERROR(__xludf.DUMMYFUNCTION("""COMPUTED_VALUE"""),45723.45643287037)</f>
        <v>45723.45643</v>
      </c>
      <c r="K1376" s="13" t="str">
        <f>IFERROR(__xludf.DUMMYFUNCTION("""COMPUTED_VALUE"""),"Selesai")</f>
        <v>Selesai</v>
      </c>
      <c r="L1376" s="17">
        <f>IFERROR(__xludf.DUMMYFUNCTION("""COMPUTED_VALUE"""),45723.45643287037)</f>
        <v>45723.45643</v>
      </c>
      <c r="M1376" s="13"/>
      <c r="N1376" s="13" t="str">
        <f>IFERROR(__xludf.DUMMYFUNCTION("""COMPUTED_VALUE"""),"")</f>
        <v/>
      </c>
      <c r="O1376" s="13" t="str">
        <f t="shared" si="1"/>
        <v/>
      </c>
    </row>
    <row r="1377" ht="22.5" customHeight="1">
      <c r="B1377" s="13">
        <f>IFERROR(__xludf.DUMMYFUNCTION("""COMPUTED_VALUE"""),1372.0)</f>
        <v>1372</v>
      </c>
      <c r="C1377" s="13" t="str">
        <f>IFERROR(__xludf.DUMMYFUNCTION("""COMPUTED_VALUE"""),"M. 1009/ Bumi Waras")</f>
        <v>M. 1009/ Bumi Waras</v>
      </c>
      <c r="D1377" s="13" t="str">
        <f>IFERROR(__xludf.DUMMYFUNCTION("""COMPUTED_VALUE"""),"K/39/130225/1")</f>
        <v>K/39/130225/1</v>
      </c>
      <c r="E1377" s="14" t="str">
        <f>IFERROR(__xludf.DUMMYFUNCTION("""COMPUTED_VALUE"""),"Afriza (BT)")</f>
        <v>Afriza (BT)</v>
      </c>
      <c r="F1377" s="14" t="str">
        <f>IFERROR(__xludf.DUMMYFUNCTION("""COMPUTED_VALUE"""),"SELESAI (VIA PERMOHONAN)")</f>
        <v>SELESAI (VIA PERMOHONAN)</v>
      </c>
      <c r="G1377" s="17">
        <f>IFERROR(__xludf.DUMMYFUNCTION("""COMPUTED_VALUE"""),45720.65568811343)</f>
        <v>45720.65569</v>
      </c>
      <c r="H1377" s="14" t="str">
        <f>IFERROR(__xludf.DUMMYFUNCTION("""COMPUTED_VALUE"""),"Bu Eva (SU)")</f>
        <v>Bu Eva (SU)</v>
      </c>
      <c r="I1377" s="13" t="str">
        <f>IFERROR(__xludf.DUMMYFUNCTION("""COMPUTED_VALUE"""),"SELESAI (VIA PERMOHONAN)")</f>
        <v>SELESAI (VIA PERMOHONAN)</v>
      </c>
      <c r="J1377" s="17">
        <f>IFERROR(__xludf.DUMMYFUNCTION("""COMPUTED_VALUE"""),45723.45643287037)</f>
        <v>45723.45643</v>
      </c>
      <c r="K1377" s="13" t="str">
        <f>IFERROR(__xludf.DUMMYFUNCTION("""COMPUTED_VALUE"""),"Selesai")</f>
        <v>Selesai</v>
      </c>
      <c r="L1377" s="17">
        <f>IFERROR(__xludf.DUMMYFUNCTION("""COMPUTED_VALUE"""),45723.45643287037)</f>
        <v>45723.45643</v>
      </c>
      <c r="M1377" s="13"/>
      <c r="N1377" s="13" t="str">
        <f>IFERROR(__xludf.DUMMYFUNCTION("""COMPUTED_VALUE"""),"")</f>
        <v/>
      </c>
      <c r="O1377" s="13" t="str">
        <f t="shared" si="1"/>
        <v/>
      </c>
    </row>
    <row r="1378" ht="22.5" customHeight="1">
      <c r="B1378" s="13">
        <f>IFERROR(__xludf.DUMMYFUNCTION("""COMPUTED_VALUE"""),1373.0)</f>
        <v>1373</v>
      </c>
      <c r="C1378" s="13" t="str">
        <f>IFERROR(__xludf.DUMMYFUNCTION("""COMPUTED_VALUE"""),"M. 14853/ Sukarame I")</f>
        <v>M. 14853/ Sukarame I</v>
      </c>
      <c r="D1378" s="13" t="str">
        <f>IFERROR(__xludf.DUMMYFUNCTION("""COMPUTED_VALUE"""),"K/39/210225/1")</f>
        <v>K/39/210225/1</v>
      </c>
      <c r="E1378" s="14" t="str">
        <f>IFERROR(__xludf.DUMMYFUNCTION("""COMPUTED_VALUE"""),"Afriza (BT)")</f>
        <v>Afriza (BT)</v>
      </c>
      <c r="F1378" s="14" t="str">
        <f>IFERROR(__xludf.DUMMYFUNCTION("""COMPUTED_VALUE"""),"SELESAI (VIA PERMOHONAN)")</f>
        <v>SELESAI (VIA PERMOHONAN)</v>
      </c>
      <c r="G1378" s="17">
        <f>IFERROR(__xludf.DUMMYFUNCTION("""COMPUTED_VALUE"""),45720.655774733794)</f>
        <v>45720.65577</v>
      </c>
      <c r="H1378" s="14" t="str">
        <f>IFERROR(__xludf.DUMMYFUNCTION("""COMPUTED_VALUE"""),"Bu Eva (SU)")</f>
        <v>Bu Eva (SU)</v>
      </c>
      <c r="I1378" s="13" t="str">
        <f>IFERROR(__xludf.DUMMYFUNCTION("""COMPUTED_VALUE"""),"SELESAI (VIA PERMOHONAN)")</f>
        <v>SELESAI (VIA PERMOHONAN)</v>
      </c>
      <c r="J1378" s="17">
        <f>IFERROR(__xludf.DUMMYFUNCTION("""COMPUTED_VALUE"""),45723.456494224534)</f>
        <v>45723.45649</v>
      </c>
      <c r="K1378" s="13" t="str">
        <f>IFERROR(__xludf.DUMMYFUNCTION("""COMPUTED_VALUE"""),"Selesai")</f>
        <v>Selesai</v>
      </c>
      <c r="L1378" s="17">
        <f>IFERROR(__xludf.DUMMYFUNCTION("""COMPUTED_VALUE"""),45723.456494224534)</f>
        <v>45723.45649</v>
      </c>
      <c r="M1378" s="13"/>
      <c r="N1378" s="13" t="str">
        <f>IFERROR(__xludf.DUMMYFUNCTION("""COMPUTED_VALUE"""),"")</f>
        <v/>
      </c>
      <c r="O1378" s="13" t="str">
        <f t="shared" si="1"/>
        <v/>
      </c>
    </row>
    <row r="1379" ht="22.5" customHeight="1">
      <c r="B1379" s="13">
        <f>IFERROR(__xludf.DUMMYFUNCTION("""COMPUTED_VALUE"""),1374.0)</f>
        <v>1374</v>
      </c>
      <c r="C1379" s="13" t="str">
        <f>IFERROR(__xludf.DUMMYFUNCTION("""COMPUTED_VALUE"""),"M. 1280/ Negeri Olok Gading")</f>
        <v>M. 1280/ Negeri Olok Gading</v>
      </c>
      <c r="D1379" s="13" t="str">
        <f>IFERROR(__xludf.DUMMYFUNCTION("""COMPUTED_VALUE"""),"K/31/270225/2")</f>
        <v>K/31/270225/2</v>
      </c>
      <c r="E1379" s="14" t="str">
        <f>IFERROR(__xludf.DUMMYFUNCTION("""COMPUTED_VALUE"""),"Afriza (BT)")</f>
        <v>Afriza (BT)</v>
      </c>
      <c r="F1379" s="14" t="str">
        <f>IFERROR(__xludf.DUMMYFUNCTION("""COMPUTED_VALUE"""),"SELESAI (VIA PERMOHONAN)")</f>
        <v>SELESAI (VIA PERMOHONAN)</v>
      </c>
      <c r="G1379" s="17">
        <f>IFERROR(__xludf.DUMMYFUNCTION("""COMPUTED_VALUE"""),45721.503593113426)</f>
        <v>45721.50359</v>
      </c>
      <c r="H1379" s="14" t="str">
        <f>IFERROR(__xludf.DUMMYFUNCTION("""COMPUTED_VALUE"""),"Bu Eva (SU)")</f>
        <v>Bu Eva (SU)</v>
      </c>
      <c r="I1379" s="13" t="str">
        <f>IFERROR(__xludf.DUMMYFUNCTION("""COMPUTED_VALUE"""),"SELESAI (VIA PERMOHONAN)")</f>
        <v>SELESAI (VIA PERMOHONAN)</v>
      </c>
      <c r="J1379" s="17">
        <f>IFERROR(__xludf.DUMMYFUNCTION("""COMPUTED_VALUE"""),45721.50368969908)</f>
        <v>45721.50369</v>
      </c>
      <c r="K1379" s="13" t="str">
        <f>IFERROR(__xludf.DUMMYFUNCTION("""COMPUTED_VALUE"""),"Selesai")</f>
        <v>Selesai</v>
      </c>
      <c r="L1379" s="17">
        <f>IFERROR(__xludf.DUMMYFUNCTION("""COMPUTED_VALUE"""),45721.50368969908)</f>
        <v>45721.50369</v>
      </c>
      <c r="M1379" s="13"/>
      <c r="N1379" s="13" t="str">
        <f>IFERROR(__xludf.DUMMYFUNCTION("""COMPUTED_VALUE"""),"")</f>
        <v/>
      </c>
      <c r="O1379" s="13" t="str">
        <f t="shared" si="1"/>
        <v/>
      </c>
    </row>
    <row r="1380" ht="22.5" customHeight="1">
      <c r="B1380" s="13">
        <f>IFERROR(__xludf.DUMMYFUNCTION("""COMPUTED_VALUE"""),1375.0)</f>
        <v>1375</v>
      </c>
      <c r="C1380" s="13" t="str">
        <f>IFERROR(__xludf.DUMMYFUNCTION("""COMPUTED_VALUE"""),"M. 15516/ Sukabumi")</f>
        <v>M. 15516/ Sukabumi</v>
      </c>
      <c r="D1380" s="13" t="str">
        <f>IFERROR(__xludf.DUMMYFUNCTION("""COMPUTED_VALUE"""),"K/30/270225/1")</f>
        <v>K/30/270225/1</v>
      </c>
      <c r="E1380" s="14" t="str">
        <f>IFERROR(__xludf.DUMMYFUNCTION("""COMPUTED_VALUE"""),"Afriza (BT)")</f>
        <v>Afriza (BT)</v>
      </c>
      <c r="F1380" s="14" t="str">
        <f>IFERROR(__xludf.DUMMYFUNCTION("""COMPUTED_VALUE"""),"SELESAI (VIA PERMOHONAN)")</f>
        <v>SELESAI (VIA PERMOHONAN)</v>
      </c>
      <c r="G1380" s="17">
        <f>IFERROR(__xludf.DUMMYFUNCTION("""COMPUTED_VALUE"""),45721.503845439816)</f>
        <v>45721.50385</v>
      </c>
      <c r="H1380" s="14" t="str">
        <f>IFERROR(__xludf.DUMMYFUNCTION("""COMPUTED_VALUE"""),"Bu Eva (SU)")</f>
        <v>Bu Eva (SU)</v>
      </c>
      <c r="I1380" s="13" t="str">
        <f>IFERROR(__xludf.DUMMYFUNCTION("""COMPUTED_VALUE"""),"SELESAI (VIA PERMOHONAN)")</f>
        <v>SELESAI (VIA PERMOHONAN)</v>
      </c>
      <c r="J1380" s="17">
        <f>IFERROR(__xludf.DUMMYFUNCTION("""COMPUTED_VALUE"""),45721.503888067135)</f>
        <v>45721.50389</v>
      </c>
      <c r="K1380" s="13" t="str">
        <f>IFERROR(__xludf.DUMMYFUNCTION("""COMPUTED_VALUE"""),"Selesai")</f>
        <v>Selesai</v>
      </c>
      <c r="L1380" s="17">
        <f>IFERROR(__xludf.DUMMYFUNCTION("""COMPUTED_VALUE"""),45721.503888067135)</f>
        <v>45721.50389</v>
      </c>
      <c r="M1380" s="13"/>
      <c r="N1380" s="13" t="str">
        <f>IFERROR(__xludf.DUMMYFUNCTION("""COMPUTED_VALUE"""),"")</f>
        <v/>
      </c>
      <c r="O1380" s="13" t="str">
        <f t="shared" si="1"/>
        <v/>
      </c>
    </row>
    <row r="1381" ht="22.5" customHeight="1">
      <c r="B1381" s="13">
        <f>IFERROR(__xludf.DUMMYFUNCTION("""COMPUTED_VALUE"""),1376.0)</f>
        <v>1376</v>
      </c>
      <c r="C1381" s="13" t="str">
        <f>IFERROR(__xludf.DUMMYFUNCTION("""COMPUTED_VALUE"""),"M.1887/GEDNG AIR")</f>
        <v>M.1887/GEDNG AIR</v>
      </c>
      <c r="D1381" s="13" t="str">
        <f>IFERROR(__xludf.DUMMYFUNCTION("""COMPUTED_VALUE"""),"K/30/030325/1")</f>
        <v>K/30/030325/1</v>
      </c>
      <c r="E1381" s="14" t="str">
        <f>IFERROR(__xludf.DUMMYFUNCTION("""COMPUTED_VALUE"""),"Nadian (BT)")</f>
        <v>Nadian (BT)</v>
      </c>
      <c r="F1381" s="14" t="str">
        <f>IFERROR(__xludf.DUMMYFUNCTION("""COMPUTED_VALUE"""),"SELESAI (VIA PERMOHONAN)")</f>
        <v>SELESAI (VIA PERMOHONAN)</v>
      </c>
      <c r="G1381" s="17">
        <f>IFERROR(__xludf.DUMMYFUNCTION("""COMPUTED_VALUE"""),45721.57324578703)</f>
        <v>45721.57325</v>
      </c>
      <c r="H1381" s="14" t="str">
        <f>IFERROR(__xludf.DUMMYFUNCTION("""COMPUTED_VALUE"""),"Bu Eva (SU)")</f>
        <v>Bu Eva (SU)</v>
      </c>
      <c r="I1381" s="13" t="str">
        <f>IFERROR(__xludf.DUMMYFUNCTION("""COMPUTED_VALUE"""),"SELESAI (VIA PERMOHONAN)")</f>
        <v>SELESAI (VIA PERMOHONAN)</v>
      </c>
      <c r="J1381" s="17">
        <f>IFERROR(__xludf.DUMMYFUNCTION("""COMPUTED_VALUE"""),45723.45657386574)</f>
        <v>45723.45657</v>
      </c>
      <c r="K1381" s="13" t="str">
        <f>IFERROR(__xludf.DUMMYFUNCTION("""COMPUTED_VALUE"""),"Selesai")</f>
        <v>Selesai</v>
      </c>
      <c r="L1381" s="17">
        <f>IFERROR(__xludf.DUMMYFUNCTION("""COMPUTED_VALUE"""),45723.45657386574)</f>
        <v>45723.45657</v>
      </c>
      <c r="M1381" s="13"/>
      <c r="N1381" s="13" t="str">
        <f>IFERROR(__xludf.DUMMYFUNCTION("""COMPUTED_VALUE"""),"")</f>
        <v/>
      </c>
      <c r="O1381" s="13" t="str">
        <f t="shared" si="1"/>
        <v/>
      </c>
    </row>
    <row r="1382" ht="22.5" customHeight="1">
      <c r="B1382" s="13">
        <f>IFERROR(__xludf.DUMMYFUNCTION("""COMPUTED_VALUE"""),1377.0)</f>
        <v>1377</v>
      </c>
      <c r="C1382" s="13" t="str">
        <f>IFERROR(__xludf.DUMMYFUNCTION("""COMPUTED_VALUE"""),"M. 2668/ Sumber Agung")</f>
        <v>M. 2668/ Sumber Agung</v>
      </c>
      <c r="D1382" s="13" t="str">
        <f>IFERROR(__xludf.DUMMYFUNCTION("""COMPUTED_VALUE"""),"K/17/030325/1")</f>
        <v>K/17/030325/1</v>
      </c>
      <c r="E1382" s="14" t="str">
        <f>IFERROR(__xludf.DUMMYFUNCTION("""COMPUTED_VALUE"""),"Nadian (BT)")</f>
        <v>Nadian (BT)</v>
      </c>
      <c r="F1382" s="14" t="str">
        <f>IFERROR(__xludf.DUMMYFUNCTION("""COMPUTED_VALUE"""),"SELESAI (VIA PERMOHONAN)")</f>
        <v>SELESAI (VIA PERMOHONAN)</v>
      </c>
      <c r="G1382" s="17">
        <f>IFERROR(__xludf.DUMMYFUNCTION("""COMPUTED_VALUE"""),45721.57330701389)</f>
        <v>45721.57331</v>
      </c>
      <c r="H1382" s="14" t="str">
        <f>IFERROR(__xludf.DUMMYFUNCTION("""COMPUTED_VALUE"""),"Bu Eva (SU)")</f>
        <v>Bu Eva (SU)</v>
      </c>
      <c r="I1382" s="13" t="str">
        <f>IFERROR(__xludf.DUMMYFUNCTION("""COMPUTED_VALUE"""),"SELESAI (VIA PERMOHONAN)")</f>
        <v>SELESAI (VIA PERMOHONAN)</v>
      </c>
      <c r="J1382" s="17">
        <f>IFERROR(__xludf.DUMMYFUNCTION("""COMPUTED_VALUE"""),45723.45657386574)</f>
        <v>45723.45657</v>
      </c>
      <c r="K1382" s="13" t="str">
        <f>IFERROR(__xludf.DUMMYFUNCTION("""COMPUTED_VALUE"""),"Selesai")</f>
        <v>Selesai</v>
      </c>
      <c r="L1382" s="17">
        <f>IFERROR(__xludf.DUMMYFUNCTION("""COMPUTED_VALUE"""),45723.45657386574)</f>
        <v>45723.45657</v>
      </c>
      <c r="M1382" s="13"/>
      <c r="N1382" s="13" t="str">
        <f>IFERROR(__xludf.DUMMYFUNCTION("""COMPUTED_VALUE"""),"")</f>
        <v/>
      </c>
      <c r="O1382" s="13" t="str">
        <f t="shared" si="1"/>
        <v/>
      </c>
    </row>
    <row r="1383" ht="22.5" customHeight="1">
      <c r="B1383" s="13">
        <f>IFERROR(__xludf.DUMMYFUNCTION("""COMPUTED_VALUE"""),1378.0)</f>
        <v>1378</v>
      </c>
      <c r="C1383" s="13" t="str">
        <f>IFERROR(__xludf.DUMMYFUNCTION("""COMPUTED_VALUE"""),"M. 1638/WAY KANDIS")</f>
        <v>M. 1638/WAY KANDIS</v>
      </c>
      <c r="D1383" s="13" t="str">
        <f>IFERROR(__xludf.DUMMYFUNCTION("""COMPUTED_VALUE"""),"K/23/030325/1")</f>
        <v>K/23/030325/1</v>
      </c>
      <c r="E1383" s="14" t="str">
        <f>IFERROR(__xludf.DUMMYFUNCTION("""COMPUTED_VALUE"""),"Nadian (BT)")</f>
        <v>Nadian (BT)</v>
      </c>
      <c r="F1383" s="14" t="str">
        <f>IFERROR(__xludf.DUMMYFUNCTION("""COMPUTED_VALUE"""),"SELESAI (VIA PERMOHONAN)")</f>
        <v>SELESAI (VIA PERMOHONAN)</v>
      </c>
      <c r="G1383" s="17">
        <f>IFERROR(__xludf.DUMMYFUNCTION("""COMPUTED_VALUE"""),45721.57330701389)</f>
        <v>45721.57331</v>
      </c>
      <c r="H1383" s="14" t="str">
        <f>IFERROR(__xludf.DUMMYFUNCTION("""COMPUTED_VALUE"""),"Bu Eva (SU)")</f>
        <v>Bu Eva (SU)</v>
      </c>
      <c r="I1383" s="13" t="str">
        <f>IFERROR(__xludf.DUMMYFUNCTION("""COMPUTED_VALUE"""),"SELESAI (VIA PERMOHONAN)")</f>
        <v>SELESAI (VIA PERMOHONAN)</v>
      </c>
      <c r="J1383" s="17">
        <f>IFERROR(__xludf.DUMMYFUNCTION("""COMPUTED_VALUE"""),45723.45657386574)</f>
        <v>45723.45657</v>
      </c>
      <c r="K1383" s="13" t="str">
        <f>IFERROR(__xludf.DUMMYFUNCTION("""COMPUTED_VALUE"""),"Selesai")</f>
        <v>Selesai</v>
      </c>
      <c r="L1383" s="17">
        <f>IFERROR(__xludf.DUMMYFUNCTION("""COMPUTED_VALUE"""),45723.45657386574)</f>
        <v>45723.45657</v>
      </c>
      <c r="M1383" s="13"/>
      <c r="N1383" s="13" t="str">
        <f>IFERROR(__xludf.DUMMYFUNCTION("""COMPUTED_VALUE"""),"")</f>
        <v/>
      </c>
      <c r="O1383" s="13" t="str">
        <f t="shared" si="1"/>
        <v/>
      </c>
    </row>
    <row r="1384" ht="22.5" customHeight="1">
      <c r="B1384" s="13">
        <f>IFERROR(__xludf.DUMMYFUNCTION("""COMPUTED_VALUE"""),1379.0)</f>
        <v>1379</v>
      </c>
      <c r="C1384" s="13" t="str">
        <f>IFERROR(__xludf.DUMMYFUNCTION("""COMPUTED_VALUE"""),"M. 1880/GEDONG AIR")</f>
        <v>M. 1880/GEDONG AIR</v>
      </c>
      <c r="D1384" s="13" t="str">
        <f>IFERROR(__xludf.DUMMYFUNCTION("""COMPUTED_VALUE"""),"K/44/210225/1")</f>
        <v>K/44/210225/1</v>
      </c>
      <c r="E1384" s="14" t="str">
        <f>IFERROR(__xludf.DUMMYFUNCTION("""COMPUTED_VALUE"""),"Nadian (BT)")</f>
        <v>Nadian (BT)</v>
      </c>
      <c r="F1384" s="14" t="str">
        <f>IFERROR(__xludf.DUMMYFUNCTION("""COMPUTED_VALUE"""),"SELESAI (VIA PERMOHONAN)")</f>
        <v>SELESAI (VIA PERMOHONAN)</v>
      </c>
      <c r="G1384" s="17">
        <f>IFERROR(__xludf.DUMMYFUNCTION("""COMPUTED_VALUE"""),45721.57330701389)</f>
        <v>45721.57331</v>
      </c>
      <c r="H1384" s="14" t="str">
        <f>IFERROR(__xludf.DUMMYFUNCTION("""COMPUTED_VALUE"""),"Bu Eva (SU)")</f>
        <v>Bu Eva (SU)</v>
      </c>
      <c r="I1384" s="13" t="str">
        <f>IFERROR(__xludf.DUMMYFUNCTION("""COMPUTED_VALUE"""),"SELESAI (VIA PERMOHONAN)")</f>
        <v>SELESAI (VIA PERMOHONAN)</v>
      </c>
      <c r="J1384" s="17">
        <f>IFERROR(__xludf.DUMMYFUNCTION("""COMPUTED_VALUE"""),45723.45660979167)</f>
        <v>45723.45661</v>
      </c>
      <c r="K1384" s="13" t="str">
        <f>IFERROR(__xludf.DUMMYFUNCTION("""COMPUTED_VALUE"""),"Selesai")</f>
        <v>Selesai</v>
      </c>
      <c r="L1384" s="17">
        <f>IFERROR(__xludf.DUMMYFUNCTION("""COMPUTED_VALUE"""),45723.45660979167)</f>
        <v>45723.45661</v>
      </c>
      <c r="M1384" s="13"/>
      <c r="N1384" s="13" t="str">
        <f>IFERROR(__xludf.DUMMYFUNCTION("""COMPUTED_VALUE"""),"")</f>
        <v/>
      </c>
      <c r="O1384" s="13" t="str">
        <f t="shared" si="1"/>
        <v/>
      </c>
    </row>
    <row r="1385" ht="22.5" customHeight="1">
      <c r="B1385" s="13">
        <f>IFERROR(__xludf.DUMMYFUNCTION("""COMPUTED_VALUE"""),1380.0)</f>
        <v>1380</v>
      </c>
      <c r="C1385" s="13" t="str">
        <f>IFERROR(__xludf.DUMMYFUNCTION("""COMPUTED_VALUE"""),"M. 11 / BUMI KEDAMAIAN")</f>
        <v>M. 11 / BUMI KEDAMAIAN</v>
      </c>
      <c r="D1385" s="13" t="str">
        <f>IFERROR(__xludf.DUMMYFUNCTION("""COMPUTED_VALUE"""),"L/3/220225/PELATARAN")</f>
        <v>L/3/220225/PELATARAN</v>
      </c>
      <c r="E1385" s="14" t="str">
        <f>IFERROR(__xludf.DUMMYFUNCTION("""COMPUTED_VALUE"""),"Nadian (BT)")</f>
        <v>Nadian (BT)</v>
      </c>
      <c r="F1385" s="14" t="str">
        <f>IFERROR(__xludf.DUMMYFUNCTION("""COMPUTED_VALUE"""),"SELESAI (VIA PERMOHONAN)")</f>
        <v>SELESAI (VIA PERMOHONAN)</v>
      </c>
      <c r="G1385" s="17">
        <f>IFERROR(__xludf.DUMMYFUNCTION("""COMPUTED_VALUE"""),45721.57330701389)</f>
        <v>45721.57331</v>
      </c>
      <c r="H1385" s="14" t="str">
        <f>IFERROR(__xludf.DUMMYFUNCTION("""COMPUTED_VALUE"""),"Bu Eva (SU)")</f>
        <v>Bu Eva (SU)</v>
      </c>
      <c r="I1385" s="13" t="str">
        <f>IFERROR(__xludf.DUMMYFUNCTION("""COMPUTED_VALUE"""),"SELESAI (VIA PERMOHONAN)")</f>
        <v>SELESAI (VIA PERMOHONAN)</v>
      </c>
      <c r="J1385" s="17">
        <f>IFERROR(__xludf.DUMMYFUNCTION("""COMPUTED_VALUE"""),45723.45660979167)</f>
        <v>45723.45661</v>
      </c>
      <c r="K1385" s="13" t="str">
        <f>IFERROR(__xludf.DUMMYFUNCTION("""COMPUTED_VALUE"""),"Selesai")</f>
        <v>Selesai</v>
      </c>
      <c r="L1385" s="17">
        <f>IFERROR(__xludf.DUMMYFUNCTION("""COMPUTED_VALUE"""),45723.45660979167)</f>
        <v>45723.45661</v>
      </c>
      <c r="M1385" s="13"/>
      <c r="N1385" s="13" t="str">
        <f>IFERROR(__xludf.DUMMYFUNCTION("""COMPUTED_VALUE"""),"")</f>
        <v/>
      </c>
      <c r="O1385" s="13" t="str">
        <f t="shared" si="1"/>
        <v/>
      </c>
    </row>
    <row r="1386" ht="22.5" customHeight="1">
      <c r="B1386" s="13">
        <f>IFERROR(__xludf.DUMMYFUNCTION("""COMPUTED_VALUE"""),1381.0)</f>
        <v>1381</v>
      </c>
      <c r="C1386" s="13" t="str">
        <f>IFERROR(__xludf.DUMMYFUNCTION("""COMPUTED_VALUE"""),"M. 1854/ Beringin Jaya")</f>
        <v>M. 1854/ Beringin Jaya</v>
      </c>
      <c r="D1386" s="13" t="str">
        <f>IFERROR(__xludf.DUMMYFUNCTION("""COMPUTED_VALUE"""),"K/37/240225/3")</f>
        <v>K/37/240225/3</v>
      </c>
      <c r="E1386" s="14" t="str">
        <f>IFERROR(__xludf.DUMMYFUNCTION("""COMPUTED_VALUE"""),"Nadian (BT)")</f>
        <v>Nadian (BT)</v>
      </c>
      <c r="F1386" s="14" t="str">
        <f>IFERROR(__xludf.DUMMYFUNCTION("""COMPUTED_VALUE"""),"SELESAI (VIA PERMOHONAN)")</f>
        <v>SELESAI (VIA PERMOHONAN)</v>
      </c>
      <c r="G1386" s="17">
        <f>IFERROR(__xludf.DUMMYFUNCTION("""COMPUTED_VALUE"""),45721.57330701389)</f>
        <v>45721.57331</v>
      </c>
      <c r="H1386" s="14" t="str">
        <f>IFERROR(__xludf.DUMMYFUNCTION("""COMPUTED_VALUE"""),"Bu Eva (SU)")</f>
        <v>Bu Eva (SU)</v>
      </c>
      <c r="I1386" s="13" t="str">
        <f>IFERROR(__xludf.DUMMYFUNCTION("""COMPUTED_VALUE"""),"SELESAI (VIA PERMOHONAN)")</f>
        <v>SELESAI (VIA PERMOHONAN)</v>
      </c>
      <c r="J1386" s="17">
        <f>IFERROR(__xludf.DUMMYFUNCTION("""COMPUTED_VALUE"""),45723.45660979167)</f>
        <v>45723.45661</v>
      </c>
      <c r="K1386" s="13" t="str">
        <f>IFERROR(__xludf.DUMMYFUNCTION("""COMPUTED_VALUE"""),"Selesai")</f>
        <v>Selesai</v>
      </c>
      <c r="L1386" s="17">
        <f>IFERROR(__xludf.DUMMYFUNCTION("""COMPUTED_VALUE"""),45723.45660979167)</f>
        <v>45723.45661</v>
      </c>
      <c r="M1386" s="13"/>
      <c r="N1386" s="13" t="str">
        <f>IFERROR(__xludf.DUMMYFUNCTION("""COMPUTED_VALUE"""),"")</f>
        <v/>
      </c>
      <c r="O1386" s="13" t="str">
        <f t="shared" si="1"/>
        <v/>
      </c>
    </row>
    <row r="1387" ht="22.5" customHeight="1">
      <c r="B1387" s="13">
        <f>IFERROR(__xludf.DUMMYFUNCTION("""COMPUTED_VALUE"""),1382.0)</f>
        <v>1382</v>
      </c>
      <c r="C1387" s="13" t="str">
        <f>IFERROR(__xludf.DUMMYFUNCTION("""COMPUTED_VALUE"""),"M. 3153/ Gedong Air")</f>
        <v>M. 3153/ Gedong Air</v>
      </c>
      <c r="D1387" s="13" t="str">
        <f>IFERROR(__xludf.DUMMYFUNCTION("""COMPUTED_VALUE"""),"K/39/120225/1")</f>
        <v>K/39/120225/1</v>
      </c>
      <c r="E1387" s="14" t="str">
        <f>IFERROR(__xludf.DUMMYFUNCTION("""COMPUTED_VALUE"""),"Nadian (BT)")</f>
        <v>Nadian (BT)</v>
      </c>
      <c r="F1387" s="14" t="str">
        <f>IFERROR(__xludf.DUMMYFUNCTION("""COMPUTED_VALUE"""),"SELESAI (VIA PERMOHONAN)")</f>
        <v>SELESAI (VIA PERMOHONAN)</v>
      </c>
      <c r="G1387" s="17">
        <f>IFERROR(__xludf.DUMMYFUNCTION("""COMPUTED_VALUE"""),45721.57330701389)</f>
        <v>45721.57331</v>
      </c>
      <c r="H1387" s="14" t="str">
        <f>IFERROR(__xludf.DUMMYFUNCTION("""COMPUTED_VALUE"""),"Bu Eva (SU)")</f>
        <v>Bu Eva (SU)</v>
      </c>
      <c r="I1387" s="13" t="str">
        <f>IFERROR(__xludf.DUMMYFUNCTION("""COMPUTED_VALUE"""),"SELESAI (VIA PERMOHONAN)")</f>
        <v>SELESAI (VIA PERMOHONAN)</v>
      </c>
      <c r="J1387" s="17">
        <f>IFERROR(__xludf.DUMMYFUNCTION("""COMPUTED_VALUE"""),45723.456715636574)</f>
        <v>45723.45672</v>
      </c>
      <c r="K1387" s="13" t="str">
        <f>IFERROR(__xludf.DUMMYFUNCTION("""COMPUTED_VALUE"""),"Selesai")</f>
        <v>Selesai</v>
      </c>
      <c r="L1387" s="17">
        <f>IFERROR(__xludf.DUMMYFUNCTION("""COMPUTED_VALUE"""),45723.456715636574)</f>
        <v>45723.45672</v>
      </c>
      <c r="M1387" s="13"/>
      <c r="N1387" s="13" t="str">
        <f>IFERROR(__xludf.DUMMYFUNCTION("""COMPUTED_VALUE"""),"")</f>
        <v/>
      </c>
      <c r="O1387" s="13" t="str">
        <f t="shared" si="1"/>
        <v/>
      </c>
    </row>
    <row r="1388" ht="22.5" customHeight="1">
      <c r="B1388" s="13">
        <f>IFERROR(__xludf.DUMMYFUNCTION("""COMPUTED_VALUE"""),1383.0)</f>
        <v>1383</v>
      </c>
      <c r="C1388" s="13" t="str">
        <f>IFERROR(__xludf.DUMMYFUNCTION("""COMPUTED_VALUE"""),"M. 1938/ Sukamaju")</f>
        <v>M. 1938/ Sukamaju</v>
      </c>
      <c r="D1388" s="13" t="str">
        <f>IFERROR(__xludf.DUMMYFUNCTION("""COMPUTED_VALUE"""),"K/32/180225/1")</f>
        <v>K/32/180225/1</v>
      </c>
      <c r="E1388" s="14" t="str">
        <f>IFERROR(__xludf.DUMMYFUNCTION("""COMPUTED_VALUE"""),"Nadian (BT)")</f>
        <v>Nadian (BT)</v>
      </c>
      <c r="F1388" s="14" t="str">
        <f>IFERROR(__xludf.DUMMYFUNCTION("""COMPUTED_VALUE"""),"SELESAI (VIA PERMOHONAN)")</f>
        <v>SELESAI (VIA PERMOHONAN)</v>
      </c>
      <c r="G1388" s="17">
        <f>IFERROR(__xludf.DUMMYFUNCTION("""COMPUTED_VALUE"""),45721.57330701389)</f>
        <v>45721.57331</v>
      </c>
      <c r="H1388" s="14" t="str">
        <f>IFERROR(__xludf.DUMMYFUNCTION("""COMPUTED_VALUE"""),"Bu Eva (SU)")</f>
        <v>Bu Eva (SU)</v>
      </c>
      <c r="I1388" s="13" t="str">
        <f>IFERROR(__xludf.DUMMYFUNCTION("""COMPUTED_VALUE"""),"SELESAI (VIA PERMOHONAN)")</f>
        <v>SELESAI (VIA PERMOHONAN)</v>
      </c>
      <c r="J1388" s="17">
        <f>IFERROR(__xludf.DUMMYFUNCTION("""COMPUTED_VALUE"""),45723.45671564815)</f>
        <v>45723.45672</v>
      </c>
      <c r="K1388" s="13" t="str">
        <f>IFERROR(__xludf.DUMMYFUNCTION("""COMPUTED_VALUE"""),"Selesai")</f>
        <v>Selesai</v>
      </c>
      <c r="L1388" s="17">
        <f>IFERROR(__xludf.DUMMYFUNCTION("""COMPUTED_VALUE"""),45723.45671564815)</f>
        <v>45723.45672</v>
      </c>
      <c r="M1388" s="13"/>
      <c r="N1388" s="13" t="str">
        <f>IFERROR(__xludf.DUMMYFUNCTION("""COMPUTED_VALUE"""),"")</f>
        <v/>
      </c>
      <c r="O1388" s="13" t="str">
        <f t="shared" si="1"/>
        <v/>
      </c>
    </row>
    <row r="1389" ht="22.5" customHeight="1">
      <c r="B1389" s="13">
        <f>IFERROR(__xludf.DUMMYFUNCTION("""COMPUTED_VALUE"""),1384.0)</f>
        <v>1384</v>
      </c>
      <c r="C1389" s="13" t="str">
        <f>IFERROR(__xludf.DUMMYFUNCTION("""COMPUTED_VALUE"""),"M. 11 / BUMI KEDAMAIAN")</f>
        <v>M. 11 / BUMI KEDAMAIAN</v>
      </c>
      <c r="D1389" s="13" t="str">
        <f>IFERROR(__xludf.DUMMYFUNCTION("""COMPUTED_VALUE"""),"L/3/220225/PELATARAN")</f>
        <v>L/3/220225/PELATARAN</v>
      </c>
      <c r="E1389" s="14" t="str">
        <f>IFERROR(__xludf.DUMMYFUNCTION("""COMPUTED_VALUE"""),"Nadian (BT)")</f>
        <v>Nadian (BT)</v>
      </c>
      <c r="F1389" s="14" t="str">
        <f>IFERROR(__xludf.DUMMYFUNCTION("""COMPUTED_VALUE"""),"SELESAI (VIA PERMOHONAN)")</f>
        <v>SELESAI (VIA PERMOHONAN)</v>
      </c>
      <c r="G1389" s="17">
        <f>IFERROR(__xludf.DUMMYFUNCTION("""COMPUTED_VALUE"""),45721.57330701389)</f>
        <v>45721.57331</v>
      </c>
      <c r="H1389" s="14" t="str">
        <f>IFERROR(__xludf.DUMMYFUNCTION("""COMPUTED_VALUE"""),"Bu Eva (SU)")</f>
        <v>Bu Eva (SU)</v>
      </c>
      <c r="I1389" s="13" t="str">
        <f>IFERROR(__xludf.DUMMYFUNCTION("""COMPUTED_VALUE"""),"SELESAI (VIA PERMOHONAN)")</f>
        <v>SELESAI (VIA PERMOHONAN)</v>
      </c>
      <c r="J1389" s="17">
        <f>IFERROR(__xludf.DUMMYFUNCTION("""COMPUTED_VALUE"""),45723.45671564815)</f>
        <v>45723.45672</v>
      </c>
      <c r="K1389" s="13" t="str">
        <f>IFERROR(__xludf.DUMMYFUNCTION("""COMPUTED_VALUE"""),"Selesai")</f>
        <v>Selesai</v>
      </c>
      <c r="L1389" s="17">
        <f>IFERROR(__xludf.DUMMYFUNCTION("""COMPUTED_VALUE"""),45723.45671564815)</f>
        <v>45723.45672</v>
      </c>
      <c r="M1389" s="13"/>
      <c r="N1389" s="13" t="str">
        <f>IFERROR(__xludf.DUMMYFUNCTION("""COMPUTED_VALUE"""),"")</f>
        <v/>
      </c>
      <c r="O1389" s="13" t="str">
        <f t="shared" si="1"/>
        <v/>
      </c>
    </row>
    <row r="1390" ht="22.5" customHeight="1">
      <c r="B1390" s="13">
        <f>IFERROR(__xludf.DUMMYFUNCTION("""COMPUTED_VALUE"""),1385.0)</f>
        <v>1385</v>
      </c>
      <c r="C1390" s="13" t="str">
        <f>IFERROR(__xludf.DUMMYFUNCTION("""COMPUTED_VALUE"""),"B. 355/ Way Dadi")</f>
        <v>B. 355/ Way Dadi</v>
      </c>
      <c r="D1390" s="13" t="str">
        <f>IFERROR(__xludf.DUMMYFUNCTION("""COMPUTED_VALUE"""),"K/23/120225/1")</f>
        <v>K/23/120225/1</v>
      </c>
      <c r="E1390" s="14" t="str">
        <f>IFERROR(__xludf.DUMMYFUNCTION("""COMPUTED_VALUE"""),"Nadian (BT)")</f>
        <v>Nadian (BT)</v>
      </c>
      <c r="F1390" s="14" t="str">
        <f>IFERROR(__xludf.DUMMYFUNCTION("""COMPUTED_VALUE"""),"SELESAI (VIA PERMOHONAN)")</f>
        <v>SELESAI (VIA PERMOHONAN)</v>
      </c>
      <c r="G1390" s="17">
        <f>IFERROR(__xludf.DUMMYFUNCTION("""COMPUTED_VALUE"""),45721.57330701389)</f>
        <v>45721.57331</v>
      </c>
      <c r="H1390" s="14" t="str">
        <f>IFERROR(__xludf.DUMMYFUNCTION("""COMPUTED_VALUE"""),"Bu Eva (SU)")</f>
        <v>Bu Eva (SU)</v>
      </c>
      <c r="I1390" s="13" t="str">
        <f>IFERROR(__xludf.DUMMYFUNCTION("""COMPUTED_VALUE"""),"SELESAI (VIA PERMOHONAN)")</f>
        <v>SELESAI (VIA PERMOHONAN)</v>
      </c>
      <c r="J1390" s="17">
        <f>IFERROR(__xludf.DUMMYFUNCTION("""COMPUTED_VALUE"""),45723.45671564815)</f>
        <v>45723.45672</v>
      </c>
      <c r="K1390" s="13" t="str">
        <f>IFERROR(__xludf.DUMMYFUNCTION("""COMPUTED_VALUE"""),"Selesai")</f>
        <v>Selesai</v>
      </c>
      <c r="L1390" s="17">
        <f>IFERROR(__xludf.DUMMYFUNCTION("""COMPUTED_VALUE"""),45723.45671564815)</f>
        <v>45723.45672</v>
      </c>
      <c r="M1390" s="13"/>
      <c r="N1390" s="13" t="str">
        <f>IFERROR(__xludf.DUMMYFUNCTION("""COMPUTED_VALUE"""),"")</f>
        <v/>
      </c>
      <c r="O1390" s="13" t="str">
        <f t="shared" si="1"/>
        <v/>
      </c>
    </row>
    <row r="1391" ht="22.5" customHeight="1">
      <c r="B1391" s="13">
        <f>IFERROR(__xludf.DUMMYFUNCTION("""COMPUTED_VALUE"""),1386.0)</f>
        <v>1386</v>
      </c>
      <c r="C1391" s="13" t="str">
        <f>IFERROR(__xludf.DUMMYFUNCTION("""COMPUTED_VALUE"""),"M. 1285/ Pinang Jaya")</f>
        <v>M. 1285/ Pinang Jaya</v>
      </c>
      <c r="D1391" s="13" t="str">
        <f>IFERROR(__xludf.DUMMYFUNCTION("""COMPUTED_VALUE"""),"K/29/240225/1")</f>
        <v>K/29/240225/1</v>
      </c>
      <c r="E1391" s="14" t="str">
        <f>IFERROR(__xludf.DUMMYFUNCTION("""COMPUTED_VALUE"""),"Nadian (BT)")</f>
        <v>Nadian (BT)</v>
      </c>
      <c r="F1391" s="14" t="str">
        <f>IFERROR(__xludf.DUMMYFUNCTION("""COMPUTED_VALUE"""),"SELESAI (VIA PERMOHONAN)")</f>
        <v>SELESAI (VIA PERMOHONAN)</v>
      </c>
      <c r="G1391" s="17">
        <f>IFERROR(__xludf.DUMMYFUNCTION("""COMPUTED_VALUE"""),45721.57330701389)</f>
        <v>45721.57331</v>
      </c>
      <c r="H1391" s="14" t="str">
        <f>IFERROR(__xludf.DUMMYFUNCTION("""COMPUTED_VALUE"""),"Bu Eva (SU)")</f>
        <v>Bu Eva (SU)</v>
      </c>
      <c r="I1391" s="13" t="str">
        <f>IFERROR(__xludf.DUMMYFUNCTION("""COMPUTED_VALUE"""),"SELESAI (VIA PERMOHONAN)")</f>
        <v>SELESAI (VIA PERMOHONAN)</v>
      </c>
      <c r="J1391" s="17">
        <f>IFERROR(__xludf.DUMMYFUNCTION("""COMPUTED_VALUE"""),45723.45671564815)</f>
        <v>45723.45672</v>
      </c>
      <c r="K1391" s="13" t="str">
        <f>IFERROR(__xludf.DUMMYFUNCTION("""COMPUTED_VALUE"""),"Selesai")</f>
        <v>Selesai</v>
      </c>
      <c r="L1391" s="17">
        <f>IFERROR(__xludf.DUMMYFUNCTION("""COMPUTED_VALUE"""),45723.45671564815)</f>
        <v>45723.45672</v>
      </c>
      <c r="M1391" s="13"/>
      <c r="N1391" s="13" t="str">
        <f>IFERROR(__xludf.DUMMYFUNCTION("""COMPUTED_VALUE"""),"")</f>
        <v/>
      </c>
      <c r="O1391" s="13" t="str">
        <f t="shared" si="1"/>
        <v/>
      </c>
    </row>
    <row r="1392" ht="22.5" customHeight="1">
      <c r="B1392" s="13">
        <f>IFERROR(__xludf.DUMMYFUNCTION("""COMPUTED_VALUE"""),1387.0)</f>
        <v>1387</v>
      </c>
      <c r="C1392" s="13" t="str">
        <f>IFERROR(__xludf.DUMMYFUNCTION("""COMPUTED_VALUE"""),"M. 1511/ Rajabasa Nunyai")</f>
        <v>M. 1511/ Rajabasa Nunyai</v>
      </c>
      <c r="D1392" s="13" t="str">
        <f>IFERROR(__xludf.DUMMYFUNCTION("""COMPUTED_VALUE"""),"K/22/250225/2")</f>
        <v>K/22/250225/2</v>
      </c>
      <c r="E1392" s="14" t="str">
        <f>IFERROR(__xludf.DUMMYFUNCTION("""COMPUTED_VALUE"""),"Nadian (BT)")</f>
        <v>Nadian (BT)</v>
      </c>
      <c r="F1392" s="14" t="str">
        <f>IFERROR(__xludf.DUMMYFUNCTION("""COMPUTED_VALUE"""),"SELESAI (VIA PERMOHONAN)")</f>
        <v>SELESAI (VIA PERMOHONAN)</v>
      </c>
      <c r="G1392" s="17">
        <f>IFERROR(__xludf.DUMMYFUNCTION("""COMPUTED_VALUE"""),45721.57330701389)</f>
        <v>45721.57331</v>
      </c>
      <c r="H1392" s="14" t="str">
        <f>IFERROR(__xludf.DUMMYFUNCTION("""COMPUTED_VALUE"""),"Bu Eva (SU)")</f>
        <v>Bu Eva (SU)</v>
      </c>
      <c r="I1392" s="13" t="str">
        <f>IFERROR(__xludf.DUMMYFUNCTION("""COMPUTED_VALUE"""),"SELESAI (VIA PERMOHONAN)")</f>
        <v>SELESAI (VIA PERMOHONAN)</v>
      </c>
      <c r="J1392" s="17">
        <f>IFERROR(__xludf.DUMMYFUNCTION("""COMPUTED_VALUE"""),45723.45671564815)</f>
        <v>45723.45672</v>
      </c>
      <c r="K1392" s="13" t="str">
        <f>IFERROR(__xludf.DUMMYFUNCTION("""COMPUTED_VALUE"""),"Selesai")</f>
        <v>Selesai</v>
      </c>
      <c r="L1392" s="17">
        <f>IFERROR(__xludf.DUMMYFUNCTION("""COMPUTED_VALUE"""),45723.45671564815)</f>
        <v>45723.45672</v>
      </c>
      <c r="M1392" s="13"/>
      <c r="N1392" s="13" t="str">
        <f>IFERROR(__xludf.DUMMYFUNCTION("""COMPUTED_VALUE"""),"")</f>
        <v/>
      </c>
      <c r="O1392" s="13" t="str">
        <f t="shared" si="1"/>
        <v/>
      </c>
    </row>
    <row r="1393" ht="22.5" customHeight="1">
      <c r="B1393" s="13">
        <f>IFERROR(__xludf.DUMMYFUNCTION("""COMPUTED_VALUE"""),1388.0)</f>
        <v>1388</v>
      </c>
      <c r="C1393" s="13" t="str">
        <f>IFERROR(__xludf.DUMMYFUNCTION("""COMPUTED_VALUE"""),"M. 9543/ Sidodadi")</f>
        <v>M. 9543/ Sidodadi</v>
      </c>
      <c r="D1393" s="13" t="str">
        <f>IFERROR(__xludf.DUMMYFUNCTION("""COMPUTED_VALUE"""),"K/4/280225/1")</f>
        <v>K/4/280225/1</v>
      </c>
      <c r="E1393" s="14" t="str">
        <f>IFERROR(__xludf.DUMMYFUNCTION("""COMPUTED_VALUE"""),"Nadian (BT)")</f>
        <v>Nadian (BT)</v>
      </c>
      <c r="F1393" s="14" t="str">
        <f>IFERROR(__xludf.DUMMYFUNCTION("""COMPUTED_VALUE"""),"SELESAI (VIA PERMOHONAN)")</f>
        <v>SELESAI (VIA PERMOHONAN)</v>
      </c>
      <c r="G1393" s="17">
        <f>IFERROR(__xludf.DUMMYFUNCTION("""COMPUTED_VALUE"""),45721.57330701389)</f>
        <v>45721.57331</v>
      </c>
      <c r="H1393" s="14" t="str">
        <f>IFERROR(__xludf.DUMMYFUNCTION("""COMPUTED_VALUE"""),"Bu Eva (SU)")</f>
        <v>Bu Eva (SU)</v>
      </c>
      <c r="I1393" s="13" t="str">
        <f>IFERROR(__xludf.DUMMYFUNCTION("""COMPUTED_VALUE"""),"SELESAI (VIA PERMOHONAN)")</f>
        <v>SELESAI (VIA PERMOHONAN)</v>
      </c>
      <c r="J1393" s="17">
        <f>IFERROR(__xludf.DUMMYFUNCTION("""COMPUTED_VALUE"""),45723.45671564815)</f>
        <v>45723.45672</v>
      </c>
      <c r="K1393" s="13" t="str">
        <f>IFERROR(__xludf.DUMMYFUNCTION("""COMPUTED_VALUE"""),"Selesai")</f>
        <v>Selesai</v>
      </c>
      <c r="L1393" s="17">
        <f>IFERROR(__xludf.DUMMYFUNCTION("""COMPUTED_VALUE"""),45723.45671564815)</f>
        <v>45723.45672</v>
      </c>
      <c r="M1393" s="13"/>
      <c r="N1393" s="13" t="str">
        <f>IFERROR(__xludf.DUMMYFUNCTION("""COMPUTED_VALUE"""),"")</f>
        <v/>
      </c>
      <c r="O1393" s="13" t="str">
        <f t="shared" si="1"/>
        <v/>
      </c>
    </row>
    <row r="1394" ht="22.5" customHeight="1">
      <c r="B1394" s="13">
        <f>IFERROR(__xludf.DUMMYFUNCTION("""COMPUTED_VALUE"""),1389.0)</f>
        <v>1389</v>
      </c>
      <c r="C1394" s="13" t="str">
        <f>IFERROR(__xludf.DUMMYFUNCTION("""COMPUTED_VALUE"""),"M. 9543/ Sidodadi")</f>
        <v>M. 9543/ Sidodadi</v>
      </c>
      <c r="D1394" s="13" t="str">
        <f>IFERROR(__xludf.DUMMYFUNCTION("""COMPUTED_VALUE"""),"K/4/280225/1")</f>
        <v>K/4/280225/1</v>
      </c>
      <c r="E1394" s="14" t="str">
        <f>IFERROR(__xludf.DUMMYFUNCTION("""COMPUTED_VALUE"""),"Nadian (BT)")</f>
        <v>Nadian (BT)</v>
      </c>
      <c r="F1394" s="14" t="str">
        <f>IFERROR(__xludf.DUMMYFUNCTION("""COMPUTED_VALUE"""),"SELESAI (VIA PERMOHONAN)")</f>
        <v>SELESAI (VIA PERMOHONAN)</v>
      </c>
      <c r="G1394" s="17">
        <f>IFERROR(__xludf.DUMMYFUNCTION("""COMPUTED_VALUE"""),45721.57330701389)</f>
        <v>45721.57331</v>
      </c>
      <c r="H1394" s="14" t="str">
        <f>IFERROR(__xludf.DUMMYFUNCTION("""COMPUTED_VALUE"""),"Bu Eva (SU)")</f>
        <v>Bu Eva (SU)</v>
      </c>
      <c r="I1394" s="13" t="str">
        <f>IFERROR(__xludf.DUMMYFUNCTION("""COMPUTED_VALUE"""),"SELESAI (VIA PERMOHONAN)")</f>
        <v>SELESAI (VIA PERMOHONAN)</v>
      </c>
      <c r="J1394" s="17">
        <f>IFERROR(__xludf.DUMMYFUNCTION("""COMPUTED_VALUE"""),45723.45675585648)</f>
        <v>45723.45676</v>
      </c>
      <c r="K1394" s="13" t="str">
        <f>IFERROR(__xludf.DUMMYFUNCTION("""COMPUTED_VALUE"""),"Selesai")</f>
        <v>Selesai</v>
      </c>
      <c r="L1394" s="17">
        <f>IFERROR(__xludf.DUMMYFUNCTION("""COMPUTED_VALUE"""),45723.45675585648)</f>
        <v>45723.45676</v>
      </c>
      <c r="M1394" s="13"/>
      <c r="N1394" s="13" t="str">
        <f>IFERROR(__xludf.DUMMYFUNCTION("""COMPUTED_VALUE"""),"")</f>
        <v/>
      </c>
      <c r="O1394" s="13" t="str">
        <f t="shared" si="1"/>
        <v/>
      </c>
    </row>
    <row r="1395" ht="22.5" customHeight="1">
      <c r="B1395" s="13">
        <f>IFERROR(__xludf.DUMMYFUNCTION("""COMPUTED_VALUE"""),1390.0)</f>
        <v>1390</v>
      </c>
      <c r="C1395" s="13" t="str">
        <f>IFERROR(__xludf.DUMMYFUNCTION("""COMPUTED_VALUE"""),"M. 1568/ Labuhan Ratu Raya")</f>
        <v>M. 1568/ Labuhan Ratu Raya</v>
      </c>
      <c r="D1395" s="13" t="str">
        <f>IFERROR(__xludf.DUMMYFUNCTION("""COMPUTED_VALUE"""),"K/46/250225/1")</f>
        <v>K/46/250225/1</v>
      </c>
      <c r="E1395" s="14" t="str">
        <f>IFERROR(__xludf.DUMMYFUNCTION("""COMPUTED_VALUE"""),"Nadian (BT)")</f>
        <v>Nadian (BT)</v>
      </c>
      <c r="F1395" s="14" t="str">
        <f>IFERROR(__xludf.DUMMYFUNCTION("""COMPUTED_VALUE"""),"SELESAI (VIA PERMOHONAN)")</f>
        <v>SELESAI (VIA PERMOHONAN)</v>
      </c>
      <c r="G1395" s="17">
        <f>IFERROR(__xludf.DUMMYFUNCTION("""COMPUTED_VALUE"""),45721.57330701389)</f>
        <v>45721.57331</v>
      </c>
      <c r="H1395" s="14" t="str">
        <f>IFERROR(__xludf.DUMMYFUNCTION("""COMPUTED_VALUE"""),"Bu Eva (SU)")</f>
        <v>Bu Eva (SU)</v>
      </c>
      <c r="I1395" s="13" t="str">
        <f>IFERROR(__xludf.DUMMYFUNCTION("""COMPUTED_VALUE"""),"SELESAI (VIA PERMOHONAN)")</f>
        <v>SELESAI (VIA PERMOHONAN)</v>
      </c>
      <c r="J1395" s="17">
        <f>IFERROR(__xludf.DUMMYFUNCTION("""COMPUTED_VALUE"""),45723.45675585648)</f>
        <v>45723.45676</v>
      </c>
      <c r="K1395" s="13" t="str">
        <f>IFERROR(__xludf.DUMMYFUNCTION("""COMPUTED_VALUE"""),"Selesai")</f>
        <v>Selesai</v>
      </c>
      <c r="L1395" s="17">
        <f>IFERROR(__xludf.DUMMYFUNCTION("""COMPUTED_VALUE"""),45723.45675585648)</f>
        <v>45723.45676</v>
      </c>
      <c r="M1395" s="13"/>
      <c r="N1395" s="13" t="str">
        <f>IFERROR(__xludf.DUMMYFUNCTION("""COMPUTED_VALUE"""),"")</f>
        <v/>
      </c>
      <c r="O1395" s="13" t="str">
        <f t="shared" si="1"/>
        <v/>
      </c>
    </row>
    <row r="1396" ht="22.5" customHeight="1">
      <c r="B1396" s="13">
        <f>IFERROR(__xludf.DUMMYFUNCTION("""COMPUTED_VALUE"""),1391.0)</f>
        <v>1391</v>
      </c>
      <c r="C1396" s="13" t="str">
        <f>IFERROR(__xludf.DUMMYFUNCTION("""COMPUTED_VALUE"""),"M. 1752/ Way Halim Permai")</f>
        <v>M. 1752/ Way Halim Permai</v>
      </c>
      <c r="D1396" s="13" t="str">
        <f>IFERROR(__xludf.DUMMYFUNCTION("""COMPUTED_VALUE"""),"K/22/270225/1")</f>
        <v>K/22/270225/1</v>
      </c>
      <c r="E1396" s="14" t="str">
        <f>IFERROR(__xludf.DUMMYFUNCTION("""COMPUTED_VALUE"""),"Nadian (BT)")</f>
        <v>Nadian (BT)</v>
      </c>
      <c r="F1396" s="14" t="str">
        <f>IFERROR(__xludf.DUMMYFUNCTION("""COMPUTED_VALUE"""),"SELESAI (VIA PERMOHONAN)")</f>
        <v>SELESAI (VIA PERMOHONAN)</v>
      </c>
      <c r="G1396" s="17">
        <f>IFERROR(__xludf.DUMMYFUNCTION("""COMPUTED_VALUE"""),45721.57330701389)</f>
        <v>45721.57331</v>
      </c>
      <c r="H1396" s="14" t="str">
        <f>IFERROR(__xludf.DUMMYFUNCTION("""COMPUTED_VALUE"""),"Bu Eva (SU)")</f>
        <v>Bu Eva (SU)</v>
      </c>
      <c r="I1396" s="13" t="str">
        <f>IFERROR(__xludf.DUMMYFUNCTION("""COMPUTED_VALUE"""),"SELESAI (VIA PERMOHONAN)")</f>
        <v>SELESAI (VIA PERMOHONAN)</v>
      </c>
      <c r="J1396" s="17">
        <f>IFERROR(__xludf.DUMMYFUNCTION("""COMPUTED_VALUE"""),45723.45675585648)</f>
        <v>45723.45676</v>
      </c>
      <c r="K1396" s="13" t="str">
        <f>IFERROR(__xludf.DUMMYFUNCTION("""COMPUTED_VALUE"""),"Selesai")</f>
        <v>Selesai</v>
      </c>
      <c r="L1396" s="17">
        <f>IFERROR(__xludf.DUMMYFUNCTION("""COMPUTED_VALUE"""),45723.45675585648)</f>
        <v>45723.45676</v>
      </c>
      <c r="M1396" s="13"/>
      <c r="N1396" s="13" t="str">
        <f>IFERROR(__xludf.DUMMYFUNCTION("""COMPUTED_VALUE"""),"")</f>
        <v/>
      </c>
      <c r="O1396" s="13" t="str">
        <f t="shared" si="1"/>
        <v/>
      </c>
    </row>
    <row r="1397" ht="22.5" customHeight="1">
      <c r="B1397" s="13">
        <f>IFERROR(__xludf.DUMMYFUNCTION("""COMPUTED_VALUE"""),1392.0)</f>
        <v>1392</v>
      </c>
      <c r="C1397" s="13" t="str">
        <f>IFERROR(__xludf.DUMMYFUNCTION("""COMPUTED_VALUE"""),"M. 15869/ Sukabumi")</f>
        <v>M. 15869/ Sukabumi</v>
      </c>
      <c r="D1397" s="13" t="str">
        <f>IFERROR(__xludf.DUMMYFUNCTION("""COMPUTED_VALUE"""),"K/4/030325/1")</f>
        <v>K/4/030325/1</v>
      </c>
      <c r="E1397" s="14" t="str">
        <f>IFERROR(__xludf.DUMMYFUNCTION("""COMPUTED_VALUE"""),"Nadian (BT)")</f>
        <v>Nadian (BT)</v>
      </c>
      <c r="F1397" s="14" t="str">
        <f>IFERROR(__xludf.DUMMYFUNCTION("""COMPUTED_VALUE"""),"SELESAI (VIA PERMOHONAN)")</f>
        <v>SELESAI (VIA PERMOHONAN)</v>
      </c>
      <c r="G1397" s="17">
        <f>IFERROR(__xludf.DUMMYFUNCTION("""COMPUTED_VALUE"""),45721.57330701389)</f>
        <v>45721.57331</v>
      </c>
      <c r="H1397" s="14" t="str">
        <f>IFERROR(__xludf.DUMMYFUNCTION("""COMPUTED_VALUE"""),"Bu Eva (SU)")</f>
        <v>Bu Eva (SU)</v>
      </c>
      <c r="I1397" s="13" t="str">
        <f>IFERROR(__xludf.DUMMYFUNCTION("""COMPUTED_VALUE"""),"SELESAI (VIA PERMOHONAN)")</f>
        <v>SELESAI (VIA PERMOHONAN)</v>
      </c>
      <c r="J1397" s="17">
        <f>IFERROR(__xludf.DUMMYFUNCTION("""COMPUTED_VALUE"""),45723.45675585648)</f>
        <v>45723.45676</v>
      </c>
      <c r="K1397" s="13" t="str">
        <f>IFERROR(__xludf.DUMMYFUNCTION("""COMPUTED_VALUE"""),"Selesai")</f>
        <v>Selesai</v>
      </c>
      <c r="L1397" s="17">
        <f>IFERROR(__xludf.DUMMYFUNCTION("""COMPUTED_VALUE"""),45723.45675585648)</f>
        <v>45723.45676</v>
      </c>
      <c r="M1397" s="13"/>
      <c r="N1397" s="13" t="str">
        <f>IFERROR(__xludf.DUMMYFUNCTION("""COMPUTED_VALUE"""),"")</f>
        <v/>
      </c>
      <c r="O1397" s="13" t="str">
        <f t="shared" si="1"/>
        <v/>
      </c>
    </row>
    <row r="1398" ht="22.5" customHeight="1">
      <c r="B1398" s="13">
        <f>IFERROR(__xludf.DUMMYFUNCTION("""COMPUTED_VALUE"""),1393.0)</f>
        <v>1393</v>
      </c>
      <c r="C1398" s="13" t="str">
        <f>IFERROR(__xludf.DUMMYFUNCTION("""COMPUTED_VALUE"""),"M.1370/SUKAMAJU")</f>
        <v>M.1370/SUKAMAJU</v>
      </c>
      <c r="D1398" s="13" t="str">
        <f>IFERROR(__xludf.DUMMYFUNCTION("""COMPUTED_VALUE"""),"K/11/030325/1")</f>
        <v>K/11/030325/1</v>
      </c>
      <c r="E1398" s="14" t="str">
        <f>IFERROR(__xludf.DUMMYFUNCTION("""COMPUTED_VALUE"""),"Nadian (BT)")</f>
        <v>Nadian (BT)</v>
      </c>
      <c r="F1398" s="14" t="str">
        <f>IFERROR(__xludf.DUMMYFUNCTION("""COMPUTED_VALUE"""),"SELESAI (VIA PERMOHONAN)")</f>
        <v>SELESAI (VIA PERMOHONAN)</v>
      </c>
      <c r="G1398" s="17">
        <f>IFERROR(__xludf.DUMMYFUNCTION("""COMPUTED_VALUE"""),45721.57330701389)</f>
        <v>45721.57331</v>
      </c>
      <c r="H1398" s="14" t="str">
        <f>IFERROR(__xludf.DUMMYFUNCTION("""COMPUTED_VALUE"""),"Bu Eva (SU)")</f>
        <v>Bu Eva (SU)</v>
      </c>
      <c r="I1398" s="13" t="str">
        <f>IFERROR(__xludf.DUMMYFUNCTION("""COMPUTED_VALUE"""),"SELESAI (VIA PERMOHONAN)")</f>
        <v>SELESAI (VIA PERMOHONAN)</v>
      </c>
      <c r="J1398" s="17">
        <f>IFERROR(__xludf.DUMMYFUNCTION("""COMPUTED_VALUE"""),45723.45675585648)</f>
        <v>45723.45676</v>
      </c>
      <c r="K1398" s="13" t="str">
        <f>IFERROR(__xludf.DUMMYFUNCTION("""COMPUTED_VALUE"""),"Selesai")</f>
        <v>Selesai</v>
      </c>
      <c r="L1398" s="17">
        <f>IFERROR(__xludf.DUMMYFUNCTION("""COMPUTED_VALUE"""),45723.45675585648)</f>
        <v>45723.45676</v>
      </c>
      <c r="M1398" s="13"/>
      <c r="N1398" s="13" t="str">
        <f>IFERROR(__xludf.DUMMYFUNCTION("""COMPUTED_VALUE"""),"")</f>
        <v/>
      </c>
      <c r="O1398" s="13" t="str">
        <f t="shared" si="1"/>
        <v/>
      </c>
    </row>
    <row r="1399" ht="22.5" customHeight="1">
      <c r="B1399" s="13">
        <f>IFERROR(__xludf.DUMMYFUNCTION("""COMPUTED_VALUE"""),1394.0)</f>
        <v>1394</v>
      </c>
      <c r="C1399" s="13" t="str">
        <f>IFERROR(__xludf.DUMMYFUNCTION("""COMPUTED_VALUE"""),"M.3023/GEDONG AIR")</f>
        <v>M.3023/GEDONG AIR</v>
      </c>
      <c r="D1399" s="13" t="str">
        <f>IFERROR(__xludf.DUMMYFUNCTION("""COMPUTED_VALUE"""),"K/8/030325/2")</f>
        <v>K/8/030325/2</v>
      </c>
      <c r="E1399" s="14" t="str">
        <f>IFERROR(__xludf.DUMMYFUNCTION("""COMPUTED_VALUE"""),"Nadian (BT)")</f>
        <v>Nadian (BT)</v>
      </c>
      <c r="F1399" s="14" t="str">
        <f>IFERROR(__xludf.DUMMYFUNCTION("""COMPUTED_VALUE"""),"SELESAI (VIA PERMOHONAN)")</f>
        <v>SELESAI (VIA PERMOHONAN)</v>
      </c>
      <c r="G1399" s="17">
        <f>IFERROR(__xludf.DUMMYFUNCTION("""COMPUTED_VALUE"""),45721.57330701389)</f>
        <v>45721.57331</v>
      </c>
      <c r="H1399" s="14" t="str">
        <f>IFERROR(__xludf.DUMMYFUNCTION("""COMPUTED_VALUE"""),"Bu Eva (SU)")</f>
        <v>Bu Eva (SU)</v>
      </c>
      <c r="I1399" s="13" t="str">
        <f>IFERROR(__xludf.DUMMYFUNCTION("""COMPUTED_VALUE"""),"SELESAI (VIA PERMOHONAN)")</f>
        <v>SELESAI (VIA PERMOHONAN)</v>
      </c>
      <c r="J1399" s="17">
        <f>IFERROR(__xludf.DUMMYFUNCTION("""COMPUTED_VALUE"""),45723.45675585648)</f>
        <v>45723.45676</v>
      </c>
      <c r="K1399" s="13" t="str">
        <f>IFERROR(__xludf.DUMMYFUNCTION("""COMPUTED_VALUE"""),"Selesai")</f>
        <v>Selesai</v>
      </c>
      <c r="L1399" s="17">
        <f>IFERROR(__xludf.DUMMYFUNCTION("""COMPUTED_VALUE"""),45723.45675585648)</f>
        <v>45723.45676</v>
      </c>
      <c r="M1399" s="13"/>
      <c r="N1399" s="13" t="str">
        <f>IFERROR(__xludf.DUMMYFUNCTION("""COMPUTED_VALUE"""),"")</f>
        <v/>
      </c>
      <c r="O1399" s="13" t="str">
        <f t="shared" si="1"/>
        <v/>
      </c>
    </row>
    <row r="1400" ht="22.5" customHeight="1">
      <c r="B1400" s="13">
        <f>IFERROR(__xludf.DUMMYFUNCTION("""COMPUTED_VALUE"""),1395.0)</f>
        <v>1395</v>
      </c>
      <c r="C1400" s="13" t="str">
        <f>IFERROR(__xludf.DUMMYFUNCTION("""COMPUTED_VALUE"""),"M.2381/LANGKAPURA")</f>
        <v>M.2381/LANGKAPURA</v>
      </c>
      <c r="D1400" s="13" t="str">
        <f>IFERROR(__xludf.DUMMYFUNCTION("""COMPUTED_VALUE"""),"K/31/030325/2")</f>
        <v>K/31/030325/2</v>
      </c>
      <c r="E1400" s="14" t="str">
        <f>IFERROR(__xludf.DUMMYFUNCTION("""COMPUTED_VALUE"""),"Nadian (BT)")</f>
        <v>Nadian (BT)</v>
      </c>
      <c r="F1400" s="14" t="str">
        <f>IFERROR(__xludf.DUMMYFUNCTION("""COMPUTED_VALUE"""),"SELESAI (VIA PERMOHONAN)")</f>
        <v>SELESAI (VIA PERMOHONAN)</v>
      </c>
      <c r="G1400" s="17">
        <f>IFERROR(__xludf.DUMMYFUNCTION("""COMPUTED_VALUE"""),45721.57330701389)</f>
        <v>45721.57331</v>
      </c>
      <c r="H1400" s="14" t="str">
        <f>IFERROR(__xludf.DUMMYFUNCTION("""COMPUTED_VALUE"""),"Bu Eva (SU)")</f>
        <v>Bu Eva (SU)</v>
      </c>
      <c r="I1400" s="13" t="str">
        <f>IFERROR(__xludf.DUMMYFUNCTION("""COMPUTED_VALUE"""),"SELESAI (VIA PERMOHONAN)")</f>
        <v>SELESAI (VIA PERMOHONAN)</v>
      </c>
      <c r="J1400" s="17">
        <f>IFERROR(__xludf.DUMMYFUNCTION("""COMPUTED_VALUE"""),45723.45675585648)</f>
        <v>45723.45676</v>
      </c>
      <c r="K1400" s="13" t="str">
        <f>IFERROR(__xludf.DUMMYFUNCTION("""COMPUTED_VALUE"""),"Selesai")</f>
        <v>Selesai</v>
      </c>
      <c r="L1400" s="17">
        <f>IFERROR(__xludf.DUMMYFUNCTION("""COMPUTED_VALUE"""),45723.45675585648)</f>
        <v>45723.45676</v>
      </c>
      <c r="M1400" s="13"/>
      <c r="N1400" s="13" t="str">
        <f>IFERROR(__xludf.DUMMYFUNCTION("""COMPUTED_VALUE"""),"")</f>
        <v/>
      </c>
      <c r="O1400" s="13" t="str">
        <f t="shared" si="1"/>
        <v/>
      </c>
    </row>
    <row r="1401" ht="22.5" customHeight="1">
      <c r="B1401" s="13">
        <f>IFERROR(__xludf.DUMMYFUNCTION("""COMPUTED_VALUE"""),1396.0)</f>
        <v>1396</v>
      </c>
      <c r="C1401" s="13" t="str">
        <f>IFERROR(__xludf.DUMMYFUNCTION("""COMPUTED_VALUE"""),"P.24/SUKARAME ")</f>
        <v>P.24/SUKARAME </v>
      </c>
      <c r="D1401" s="13" t="str">
        <f>IFERROR(__xludf.DUMMYFUNCTION("""COMPUTED_VALUE"""),"K/35/170225/1")</f>
        <v>K/35/170225/1</v>
      </c>
      <c r="E1401" s="14" t="str">
        <f>IFERROR(__xludf.DUMMYFUNCTION("""COMPUTED_VALUE"""),"Nadian (BT)")</f>
        <v>Nadian (BT)</v>
      </c>
      <c r="F1401" s="14" t="str">
        <f>IFERROR(__xludf.DUMMYFUNCTION("""COMPUTED_VALUE"""),"SELESAI (VIA PERMOHONAN)")</f>
        <v>SELESAI (VIA PERMOHONAN)</v>
      </c>
      <c r="G1401" s="17">
        <f>IFERROR(__xludf.DUMMYFUNCTION("""COMPUTED_VALUE"""),45721.57330701389)</f>
        <v>45721.57331</v>
      </c>
      <c r="H1401" s="14" t="str">
        <f>IFERROR(__xludf.DUMMYFUNCTION("""COMPUTED_VALUE"""),"Bu Eva (SU)")</f>
        <v>Bu Eva (SU)</v>
      </c>
      <c r="I1401" s="13" t="str">
        <f>IFERROR(__xludf.DUMMYFUNCTION("""COMPUTED_VALUE"""),"SELESAI (VIA PERMOHONAN)")</f>
        <v>SELESAI (VIA PERMOHONAN)</v>
      </c>
      <c r="J1401" s="17">
        <f>IFERROR(__xludf.DUMMYFUNCTION("""COMPUTED_VALUE"""),45723.456861597224)</f>
        <v>45723.45686</v>
      </c>
      <c r="K1401" s="13" t="str">
        <f>IFERROR(__xludf.DUMMYFUNCTION("""COMPUTED_VALUE"""),"Selesai")</f>
        <v>Selesai</v>
      </c>
      <c r="L1401" s="17">
        <f>IFERROR(__xludf.DUMMYFUNCTION("""COMPUTED_VALUE"""),45723.456861597224)</f>
        <v>45723.45686</v>
      </c>
      <c r="M1401" s="13"/>
      <c r="N1401" s="13" t="str">
        <f>IFERROR(__xludf.DUMMYFUNCTION("""COMPUTED_VALUE"""),"")</f>
        <v/>
      </c>
      <c r="O1401" s="13" t="str">
        <f t="shared" si="1"/>
        <v/>
      </c>
    </row>
    <row r="1402" ht="22.5" customHeight="1">
      <c r="B1402" s="13">
        <f>IFERROR(__xludf.DUMMYFUNCTION("""COMPUTED_VALUE"""),1397.0)</f>
        <v>1397</v>
      </c>
      <c r="C1402" s="13" t="str">
        <f>IFERROR(__xludf.DUMMYFUNCTION("""COMPUTED_VALUE"""),"M.2501/RAJABASA JAYA")</f>
        <v>M.2501/RAJABASA JAYA</v>
      </c>
      <c r="D1402" s="13" t="str">
        <f>IFERROR(__xludf.DUMMYFUNCTION("""COMPUTED_VALUE"""),"K/26/260225/2")</f>
        <v>K/26/260225/2</v>
      </c>
      <c r="E1402" s="14" t="str">
        <f>IFERROR(__xludf.DUMMYFUNCTION("""COMPUTED_VALUE"""),"Nadian (BT)")</f>
        <v>Nadian (BT)</v>
      </c>
      <c r="F1402" s="14" t="str">
        <f>IFERROR(__xludf.DUMMYFUNCTION("""COMPUTED_VALUE"""),"SELESAI (VIA PERMOHONAN)")</f>
        <v>SELESAI (VIA PERMOHONAN)</v>
      </c>
      <c r="G1402" s="17">
        <f>IFERROR(__xludf.DUMMYFUNCTION("""COMPUTED_VALUE"""),45721.57330701389)</f>
        <v>45721.57331</v>
      </c>
      <c r="H1402" s="14" t="str">
        <f>IFERROR(__xludf.DUMMYFUNCTION("""COMPUTED_VALUE"""),"Bu Eva (SU)")</f>
        <v>Bu Eva (SU)</v>
      </c>
      <c r="I1402" s="13" t="str">
        <f>IFERROR(__xludf.DUMMYFUNCTION("""COMPUTED_VALUE"""),"SELESAI (VIA PERMOHONAN)")</f>
        <v>SELESAI (VIA PERMOHONAN)</v>
      </c>
      <c r="J1402" s="17">
        <f>IFERROR(__xludf.DUMMYFUNCTION("""COMPUTED_VALUE"""),45723.456861597224)</f>
        <v>45723.45686</v>
      </c>
      <c r="K1402" s="13" t="str">
        <f>IFERROR(__xludf.DUMMYFUNCTION("""COMPUTED_VALUE"""),"Selesai")</f>
        <v>Selesai</v>
      </c>
      <c r="L1402" s="17">
        <f>IFERROR(__xludf.DUMMYFUNCTION("""COMPUTED_VALUE"""),45723.456861597224)</f>
        <v>45723.45686</v>
      </c>
      <c r="M1402" s="13"/>
      <c r="N1402" s="13" t="str">
        <f>IFERROR(__xludf.DUMMYFUNCTION("""COMPUTED_VALUE"""),"")</f>
        <v/>
      </c>
      <c r="O1402" s="13" t="str">
        <f t="shared" si="1"/>
        <v/>
      </c>
    </row>
    <row r="1403" ht="22.5" customHeight="1">
      <c r="B1403" s="13">
        <f>IFERROR(__xludf.DUMMYFUNCTION("""COMPUTED_VALUE"""),1398.0)</f>
        <v>1398</v>
      </c>
      <c r="C1403" s="13" t="str">
        <f>IFERROR(__xludf.DUMMYFUNCTION("""COMPUTED_VALUE"""),"M.2498/RAJABASA JAYA")</f>
        <v>M.2498/RAJABASA JAYA</v>
      </c>
      <c r="D1403" s="13" t="str">
        <f>IFERROR(__xludf.DUMMYFUNCTION("""COMPUTED_VALUE"""),"K/6/270225/1")</f>
        <v>K/6/270225/1</v>
      </c>
      <c r="E1403" s="14" t="str">
        <f>IFERROR(__xludf.DUMMYFUNCTION("""COMPUTED_VALUE"""),"Nadian (BT)")</f>
        <v>Nadian (BT)</v>
      </c>
      <c r="F1403" s="14" t="str">
        <f>IFERROR(__xludf.DUMMYFUNCTION("""COMPUTED_VALUE"""),"SELESAI (VIA PERMOHONAN)")</f>
        <v>SELESAI (VIA PERMOHONAN)</v>
      </c>
      <c r="G1403" s="17">
        <f>IFERROR(__xludf.DUMMYFUNCTION("""COMPUTED_VALUE"""),45721.57330701389)</f>
        <v>45721.57331</v>
      </c>
      <c r="H1403" s="14" t="str">
        <f>IFERROR(__xludf.DUMMYFUNCTION("""COMPUTED_VALUE"""),"Bu Eva (SU)")</f>
        <v>Bu Eva (SU)</v>
      </c>
      <c r="I1403" s="13" t="str">
        <f>IFERROR(__xludf.DUMMYFUNCTION("""COMPUTED_VALUE"""),"SELESAI (VIA PERMOHONAN)")</f>
        <v>SELESAI (VIA PERMOHONAN)</v>
      </c>
      <c r="J1403" s="17">
        <f>IFERROR(__xludf.DUMMYFUNCTION("""COMPUTED_VALUE"""),45723.456861597224)</f>
        <v>45723.45686</v>
      </c>
      <c r="K1403" s="13" t="str">
        <f>IFERROR(__xludf.DUMMYFUNCTION("""COMPUTED_VALUE"""),"Selesai")</f>
        <v>Selesai</v>
      </c>
      <c r="L1403" s="17">
        <f>IFERROR(__xludf.DUMMYFUNCTION("""COMPUTED_VALUE"""),45723.456861597224)</f>
        <v>45723.45686</v>
      </c>
      <c r="M1403" s="13"/>
      <c r="N1403" s="13" t="str">
        <f>IFERROR(__xludf.DUMMYFUNCTION("""COMPUTED_VALUE"""),"")</f>
        <v/>
      </c>
      <c r="O1403" s="13" t="str">
        <f t="shared" si="1"/>
        <v/>
      </c>
    </row>
    <row r="1404" ht="22.5" customHeight="1">
      <c r="B1404" s="13">
        <f>IFERROR(__xludf.DUMMYFUNCTION("""COMPUTED_VALUE"""),1399.0)</f>
        <v>1399</v>
      </c>
      <c r="C1404" s="13" t="str">
        <f>IFERROR(__xludf.DUMMYFUNCTION("""COMPUTED_VALUE"""),"B.654/SUMBER AGUNG")</f>
        <v>B.654/SUMBER AGUNG</v>
      </c>
      <c r="D1404" s="13" t="str">
        <f>IFERROR(__xludf.DUMMYFUNCTION("""COMPUTED_VALUE"""),"K/11/240225/3")</f>
        <v>K/11/240225/3</v>
      </c>
      <c r="E1404" s="14" t="str">
        <f>IFERROR(__xludf.DUMMYFUNCTION("""COMPUTED_VALUE"""),"Nadian (BT)")</f>
        <v>Nadian (BT)</v>
      </c>
      <c r="F1404" s="14" t="str">
        <f>IFERROR(__xludf.DUMMYFUNCTION("""COMPUTED_VALUE"""),"SELESAI (VIA PERMOHONAN)")</f>
        <v>SELESAI (VIA PERMOHONAN)</v>
      </c>
      <c r="G1404" s="17">
        <f>IFERROR(__xludf.DUMMYFUNCTION("""COMPUTED_VALUE"""),45721.57330701389)</f>
        <v>45721.57331</v>
      </c>
      <c r="H1404" s="14" t="str">
        <f>IFERROR(__xludf.DUMMYFUNCTION("""COMPUTED_VALUE"""),"Bu Eva (SU)")</f>
        <v>Bu Eva (SU)</v>
      </c>
      <c r="I1404" s="13" t="str">
        <f>IFERROR(__xludf.DUMMYFUNCTION("""COMPUTED_VALUE"""),"SELESAI (VIA PERMOHONAN)")</f>
        <v>SELESAI (VIA PERMOHONAN)</v>
      </c>
      <c r="J1404" s="17">
        <f>IFERROR(__xludf.DUMMYFUNCTION("""COMPUTED_VALUE"""),45723.456861597224)</f>
        <v>45723.45686</v>
      </c>
      <c r="K1404" s="13" t="str">
        <f>IFERROR(__xludf.DUMMYFUNCTION("""COMPUTED_VALUE"""),"Selesai")</f>
        <v>Selesai</v>
      </c>
      <c r="L1404" s="17">
        <f>IFERROR(__xludf.DUMMYFUNCTION("""COMPUTED_VALUE"""),45723.456861597224)</f>
        <v>45723.45686</v>
      </c>
      <c r="M1404" s="13"/>
      <c r="N1404" s="13" t="str">
        <f>IFERROR(__xludf.DUMMYFUNCTION("""COMPUTED_VALUE"""),"")</f>
        <v/>
      </c>
      <c r="O1404" s="13" t="str">
        <f t="shared" si="1"/>
        <v/>
      </c>
    </row>
    <row r="1405" ht="22.5" customHeight="1">
      <c r="B1405" s="13">
        <f>IFERROR(__xludf.DUMMYFUNCTION("""COMPUTED_VALUE"""),1400.0)</f>
        <v>1400</v>
      </c>
      <c r="C1405" s="13" t="str">
        <f>IFERROR(__xludf.DUMMYFUNCTION("""COMPUTED_VALUE"""),"B.3629/BERINGIN RAYA")</f>
        <v>B.3629/BERINGIN RAYA</v>
      </c>
      <c r="D1405" s="13" t="str">
        <f>IFERROR(__xludf.DUMMYFUNCTION("""COMPUTED_VALUE"""),"K/41/110225/1")</f>
        <v>K/41/110225/1</v>
      </c>
      <c r="E1405" s="14" t="str">
        <f>IFERROR(__xludf.DUMMYFUNCTION("""COMPUTED_VALUE"""),"Nadian (BT)")</f>
        <v>Nadian (BT)</v>
      </c>
      <c r="F1405" s="14" t="str">
        <f>IFERROR(__xludf.DUMMYFUNCTION("""COMPUTED_VALUE"""),"SELESAI (VIA PERMOHONAN)")</f>
        <v>SELESAI (VIA PERMOHONAN)</v>
      </c>
      <c r="G1405" s="17">
        <f>IFERROR(__xludf.DUMMYFUNCTION("""COMPUTED_VALUE"""),45721.57330701389)</f>
        <v>45721.57331</v>
      </c>
      <c r="H1405" s="14" t="str">
        <f>IFERROR(__xludf.DUMMYFUNCTION("""COMPUTED_VALUE"""),"Bu Eva (SU)")</f>
        <v>Bu Eva (SU)</v>
      </c>
      <c r="I1405" s="13" t="str">
        <f>IFERROR(__xludf.DUMMYFUNCTION("""COMPUTED_VALUE"""),"SELESAI (VIA PERMOHONAN)")</f>
        <v>SELESAI (VIA PERMOHONAN)</v>
      </c>
      <c r="J1405" s="17">
        <f>IFERROR(__xludf.DUMMYFUNCTION("""COMPUTED_VALUE"""),45723.456861597224)</f>
        <v>45723.45686</v>
      </c>
      <c r="K1405" s="13" t="str">
        <f>IFERROR(__xludf.DUMMYFUNCTION("""COMPUTED_VALUE"""),"Selesai")</f>
        <v>Selesai</v>
      </c>
      <c r="L1405" s="17">
        <f>IFERROR(__xludf.DUMMYFUNCTION("""COMPUTED_VALUE"""),45723.456861597224)</f>
        <v>45723.45686</v>
      </c>
      <c r="M1405" s="13"/>
      <c r="N1405" s="13" t="str">
        <f>IFERROR(__xludf.DUMMYFUNCTION("""COMPUTED_VALUE"""),"")</f>
        <v/>
      </c>
      <c r="O1405" s="13" t="str">
        <f t="shared" si="1"/>
        <v/>
      </c>
    </row>
    <row r="1406" ht="22.5" customHeight="1">
      <c r="B1406" s="13">
        <f>IFERROR(__xludf.DUMMYFUNCTION("""COMPUTED_VALUE"""),1401.0)</f>
        <v>1401</v>
      </c>
      <c r="C1406" s="13" t="str">
        <f>IFERROR(__xludf.DUMMYFUNCTION("""COMPUTED_VALUE"""),"M.3027/GEDONG AIR")</f>
        <v>M.3027/GEDONG AIR</v>
      </c>
      <c r="D1406" s="13" t="str">
        <f>IFERROR(__xludf.DUMMYFUNCTION("""COMPUTED_VALUE"""),"K/9/030325/3")</f>
        <v>K/9/030325/3</v>
      </c>
      <c r="E1406" s="14" t="str">
        <f>IFERROR(__xludf.DUMMYFUNCTION("""COMPUTED_VALUE"""),"Nadian (BT)")</f>
        <v>Nadian (BT)</v>
      </c>
      <c r="F1406" s="14" t="str">
        <f>IFERROR(__xludf.DUMMYFUNCTION("""COMPUTED_VALUE"""),"SELESAI (VIA PERMOHONAN)")</f>
        <v>SELESAI (VIA PERMOHONAN)</v>
      </c>
      <c r="G1406" s="17">
        <f>IFERROR(__xludf.DUMMYFUNCTION("""COMPUTED_VALUE"""),45721.573307025465)</f>
        <v>45721.57331</v>
      </c>
      <c r="H1406" s="14" t="str">
        <f>IFERROR(__xludf.DUMMYFUNCTION("""COMPUTED_VALUE"""),"Bu Eva (SU)")</f>
        <v>Bu Eva (SU)</v>
      </c>
      <c r="I1406" s="13" t="str">
        <f>IFERROR(__xludf.DUMMYFUNCTION("""COMPUTED_VALUE"""),"SELESAI (VIA PERMOHONAN)")</f>
        <v>SELESAI (VIA PERMOHONAN)</v>
      </c>
      <c r="J1406" s="17">
        <f>IFERROR(__xludf.DUMMYFUNCTION("""COMPUTED_VALUE"""),45723.456861597224)</f>
        <v>45723.45686</v>
      </c>
      <c r="K1406" s="13" t="str">
        <f>IFERROR(__xludf.DUMMYFUNCTION("""COMPUTED_VALUE"""),"Selesai")</f>
        <v>Selesai</v>
      </c>
      <c r="L1406" s="17">
        <f>IFERROR(__xludf.DUMMYFUNCTION("""COMPUTED_VALUE"""),45723.456861597224)</f>
        <v>45723.45686</v>
      </c>
      <c r="M1406" s="13"/>
      <c r="N1406" s="13" t="str">
        <f>IFERROR(__xludf.DUMMYFUNCTION("""COMPUTED_VALUE"""),"")</f>
        <v/>
      </c>
      <c r="O1406" s="13" t="str">
        <f t="shared" si="1"/>
        <v/>
      </c>
    </row>
    <row r="1407" ht="22.5" customHeight="1">
      <c r="B1407" s="13">
        <f>IFERROR(__xludf.DUMMYFUNCTION("""COMPUTED_VALUE"""),1402.0)</f>
        <v>1402</v>
      </c>
      <c r="C1407" s="13" t="str">
        <f>IFERROR(__xludf.DUMMYFUNCTION("""COMPUTED_VALUE"""),"M. 813/ Kedaung")</f>
        <v>M. 813/ Kedaung</v>
      </c>
      <c r="D1407" s="13" t="str">
        <f>IFERROR(__xludf.DUMMYFUNCTION("""COMPUTED_VALUE"""),"K/25/170225/1")</f>
        <v>K/25/170225/1</v>
      </c>
      <c r="E1407" s="14" t="str">
        <f>IFERROR(__xludf.DUMMYFUNCTION("""COMPUTED_VALUE"""),"Nadian (BT)")</f>
        <v>Nadian (BT)</v>
      </c>
      <c r="F1407" s="14" t="str">
        <f>IFERROR(__xludf.DUMMYFUNCTION("""COMPUTED_VALUE"""),"SELESAI (VIA PERMOHONAN)")</f>
        <v>SELESAI (VIA PERMOHONAN)</v>
      </c>
      <c r="G1407" s="17">
        <f>IFERROR(__xludf.DUMMYFUNCTION("""COMPUTED_VALUE"""),45721.573307025465)</f>
        <v>45721.57331</v>
      </c>
      <c r="H1407" s="14" t="str">
        <f>IFERROR(__xludf.DUMMYFUNCTION("""COMPUTED_VALUE"""),"Bu Eva (SU)")</f>
        <v>Bu Eva (SU)</v>
      </c>
      <c r="I1407" s="13" t="str">
        <f>IFERROR(__xludf.DUMMYFUNCTION("""COMPUTED_VALUE"""),"SELESAI (VIA PERMOHONAN)")</f>
        <v>SELESAI (VIA PERMOHONAN)</v>
      </c>
      <c r="J1407" s="17">
        <f>IFERROR(__xludf.DUMMYFUNCTION("""COMPUTED_VALUE"""),45723.456861597224)</f>
        <v>45723.45686</v>
      </c>
      <c r="K1407" s="13" t="str">
        <f>IFERROR(__xludf.DUMMYFUNCTION("""COMPUTED_VALUE"""),"Selesai")</f>
        <v>Selesai</v>
      </c>
      <c r="L1407" s="17">
        <f>IFERROR(__xludf.DUMMYFUNCTION("""COMPUTED_VALUE"""),45723.456861597224)</f>
        <v>45723.45686</v>
      </c>
      <c r="M1407" s="13"/>
      <c r="N1407" s="13" t="str">
        <f>IFERROR(__xludf.DUMMYFUNCTION("""COMPUTED_VALUE"""),"")</f>
        <v/>
      </c>
      <c r="O1407" s="13" t="str">
        <f t="shared" si="1"/>
        <v/>
      </c>
    </row>
    <row r="1408" ht="22.5" customHeight="1">
      <c r="B1408" s="13">
        <f>IFERROR(__xludf.DUMMYFUNCTION("""COMPUTED_VALUE"""),1403.0)</f>
        <v>1403</v>
      </c>
      <c r="C1408" s="13" t="str">
        <f>IFERROR(__xludf.DUMMYFUNCTION("""COMPUTED_VALUE"""),"M. 515/ Sukabumi Indah")</f>
        <v>M. 515/ Sukabumi Indah</v>
      </c>
      <c r="D1408" s="13" t="str">
        <f>IFERROR(__xludf.DUMMYFUNCTION("""COMPUTED_VALUE"""),"K/30/260225/2")</f>
        <v>K/30/260225/2</v>
      </c>
      <c r="E1408" s="14" t="str">
        <f>IFERROR(__xludf.DUMMYFUNCTION("""COMPUTED_VALUE"""),"Nadian (BT)")</f>
        <v>Nadian (BT)</v>
      </c>
      <c r="F1408" s="14" t="str">
        <f>IFERROR(__xludf.DUMMYFUNCTION("""COMPUTED_VALUE"""),"SELESAI (VIA PERMOHONAN)")</f>
        <v>SELESAI (VIA PERMOHONAN)</v>
      </c>
      <c r="G1408" s="17">
        <f>IFERROR(__xludf.DUMMYFUNCTION("""COMPUTED_VALUE"""),45721.573307025465)</f>
        <v>45721.57331</v>
      </c>
      <c r="H1408" s="14" t="str">
        <f>IFERROR(__xludf.DUMMYFUNCTION("""COMPUTED_VALUE"""),"Bu Eva (SU)")</f>
        <v>Bu Eva (SU)</v>
      </c>
      <c r="I1408" s="13" t="str">
        <f>IFERROR(__xludf.DUMMYFUNCTION("""COMPUTED_VALUE"""),"SELESAI (VIA PERMOHONAN)")</f>
        <v>SELESAI (VIA PERMOHONAN)</v>
      </c>
      <c r="J1408" s="17">
        <f>IFERROR(__xludf.DUMMYFUNCTION("""COMPUTED_VALUE"""),45723.456861597224)</f>
        <v>45723.45686</v>
      </c>
      <c r="K1408" s="13" t="str">
        <f>IFERROR(__xludf.DUMMYFUNCTION("""COMPUTED_VALUE"""),"Selesai")</f>
        <v>Selesai</v>
      </c>
      <c r="L1408" s="17">
        <f>IFERROR(__xludf.DUMMYFUNCTION("""COMPUTED_VALUE"""),45723.456861597224)</f>
        <v>45723.45686</v>
      </c>
      <c r="M1408" s="13"/>
      <c r="N1408" s="13" t="str">
        <f>IFERROR(__xludf.DUMMYFUNCTION("""COMPUTED_VALUE"""),"")</f>
        <v/>
      </c>
      <c r="O1408" s="13" t="str">
        <f t="shared" si="1"/>
        <v/>
      </c>
    </row>
    <row r="1409" ht="22.5" customHeight="1">
      <c r="B1409" s="13">
        <f>IFERROR(__xludf.DUMMYFUNCTION("""COMPUTED_VALUE"""),1404.0)</f>
        <v>1404</v>
      </c>
      <c r="C1409" s="13" t="str">
        <f>IFERROR(__xludf.DUMMYFUNCTION("""COMPUTED_VALUE""")," M. 1791/ Rajabasa Pemuka")</f>
        <v> M. 1791/ Rajabasa Pemuka</v>
      </c>
      <c r="D1409" s="13" t="str">
        <f>IFERROR(__xludf.DUMMYFUNCTION("""COMPUTED_VALUE"""),"K/28/280225/2")</f>
        <v>K/28/280225/2</v>
      </c>
      <c r="E1409" s="14" t="str">
        <f>IFERROR(__xludf.DUMMYFUNCTION("""COMPUTED_VALUE"""),"Nadian (BT)")</f>
        <v>Nadian (BT)</v>
      </c>
      <c r="F1409" s="14" t="str">
        <f>IFERROR(__xludf.DUMMYFUNCTION("""COMPUTED_VALUE"""),"SELESAI (VIA PERMOHONAN)")</f>
        <v>SELESAI (VIA PERMOHONAN)</v>
      </c>
      <c r="G1409" s="17">
        <f>IFERROR(__xludf.DUMMYFUNCTION("""COMPUTED_VALUE"""),45721.573307025465)</f>
        <v>45721.57331</v>
      </c>
      <c r="H1409" s="14" t="str">
        <f>IFERROR(__xludf.DUMMYFUNCTION("""COMPUTED_VALUE"""),"Bu Eva (SU)")</f>
        <v>Bu Eva (SU)</v>
      </c>
      <c r="I1409" s="13" t="str">
        <f>IFERROR(__xludf.DUMMYFUNCTION("""COMPUTED_VALUE"""),"SELESAI (VIA PERMOHONAN)")</f>
        <v>SELESAI (VIA PERMOHONAN)</v>
      </c>
      <c r="J1409" s="17">
        <f>IFERROR(__xludf.DUMMYFUNCTION("""COMPUTED_VALUE"""),45723.45686160879)</f>
        <v>45723.45686</v>
      </c>
      <c r="K1409" s="13" t="str">
        <f>IFERROR(__xludf.DUMMYFUNCTION("""COMPUTED_VALUE"""),"Selesai")</f>
        <v>Selesai</v>
      </c>
      <c r="L1409" s="17">
        <f>IFERROR(__xludf.DUMMYFUNCTION("""COMPUTED_VALUE"""),45723.45686160879)</f>
        <v>45723.45686</v>
      </c>
      <c r="M1409" s="13"/>
      <c r="N1409" s="13" t="str">
        <f>IFERROR(__xludf.DUMMYFUNCTION("""COMPUTED_VALUE"""),"")</f>
        <v/>
      </c>
      <c r="O1409" s="13" t="str">
        <f t="shared" si="1"/>
        <v/>
      </c>
    </row>
    <row r="1410" ht="22.5" customHeight="1">
      <c r="B1410" s="13">
        <f>IFERROR(__xludf.DUMMYFUNCTION("""COMPUTED_VALUE"""),1405.0)</f>
        <v>1405</v>
      </c>
      <c r="C1410" s="13" t="str">
        <f>IFERROR(__xludf.DUMMYFUNCTION("""COMPUTED_VALUE"""),"M. 12512/ Jagabaya II")</f>
        <v>M. 12512/ Jagabaya II</v>
      </c>
      <c r="D1410" s="13" t="str">
        <f>IFERROR(__xludf.DUMMYFUNCTION("""COMPUTED_VALUE"""),"K/32/240225/1")</f>
        <v>K/32/240225/1</v>
      </c>
      <c r="E1410" s="14" t="str">
        <f>IFERROR(__xludf.DUMMYFUNCTION("""COMPUTED_VALUE"""),"Nadian (BT)")</f>
        <v>Nadian (BT)</v>
      </c>
      <c r="F1410" s="14" t="str">
        <f>IFERROR(__xludf.DUMMYFUNCTION("""COMPUTED_VALUE"""),"SELESAI (VIA PERMOHONAN)")</f>
        <v>SELESAI (VIA PERMOHONAN)</v>
      </c>
      <c r="G1410" s="17">
        <f>IFERROR(__xludf.DUMMYFUNCTION("""COMPUTED_VALUE"""),45721.573307025465)</f>
        <v>45721.57331</v>
      </c>
      <c r="H1410" s="14" t="str">
        <f>IFERROR(__xludf.DUMMYFUNCTION("""COMPUTED_VALUE"""),"Bu Eva (SU)")</f>
        <v>Bu Eva (SU)</v>
      </c>
      <c r="I1410" s="13" t="str">
        <f>IFERROR(__xludf.DUMMYFUNCTION("""COMPUTED_VALUE"""),"SELESAI (VIA PERMOHONAN)")</f>
        <v>SELESAI (VIA PERMOHONAN)</v>
      </c>
      <c r="J1410" s="17">
        <f>IFERROR(__xludf.DUMMYFUNCTION("""COMPUTED_VALUE"""),45723.45686160879)</f>
        <v>45723.45686</v>
      </c>
      <c r="K1410" s="13" t="str">
        <f>IFERROR(__xludf.DUMMYFUNCTION("""COMPUTED_VALUE"""),"Selesai")</f>
        <v>Selesai</v>
      </c>
      <c r="L1410" s="17">
        <f>IFERROR(__xludf.DUMMYFUNCTION("""COMPUTED_VALUE"""),45723.45686160879)</f>
        <v>45723.45686</v>
      </c>
      <c r="M1410" s="13"/>
      <c r="N1410" s="13" t="str">
        <f>IFERROR(__xludf.DUMMYFUNCTION("""COMPUTED_VALUE"""),"")</f>
        <v/>
      </c>
      <c r="O1410" s="13" t="str">
        <f t="shared" si="1"/>
        <v/>
      </c>
    </row>
    <row r="1411" ht="22.5" customHeight="1">
      <c r="B1411" s="13">
        <f>IFERROR(__xludf.DUMMYFUNCTION("""COMPUTED_VALUE"""),1406.0)</f>
        <v>1406</v>
      </c>
      <c r="C1411" s="13" t="str">
        <f>IFERROR(__xludf.DUMMYFUNCTION("""COMPUTED_VALUE"""),"M. 2368/ Kedaung")</f>
        <v>M. 2368/ Kedaung</v>
      </c>
      <c r="D1411" s="13" t="str">
        <f>IFERROR(__xludf.DUMMYFUNCTION("""COMPUTED_VALUE"""),"K/26/250225/1")</f>
        <v>K/26/250225/1</v>
      </c>
      <c r="E1411" s="14" t="str">
        <f>IFERROR(__xludf.DUMMYFUNCTION("""COMPUTED_VALUE"""),"Nadian (BT)")</f>
        <v>Nadian (BT)</v>
      </c>
      <c r="F1411" s="14" t="str">
        <f>IFERROR(__xludf.DUMMYFUNCTION("""COMPUTED_VALUE"""),"SELESAI (VIA PERMOHONAN)")</f>
        <v>SELESAI (VIA PERMOHONAN)</v>
      </c>
      <c r="G1411" s="17">
        <f>IFERROR(__xludf.DUMMYFUNCTION("""COMPUTED_VALUE"""),45721.573307025465)</f>
        <v>45721.57331</v>
      </c>
      <c r="H1411" s="14" t="str">
        <f>IFERROR(__xludf.DUMMYFUNCTION("""COMPUTED_VALUE"""),"Bu Eva (SU)")</f>
        <v>Bu Eva (SU)</v>
      </c>
      <c r="I1411" s="13" t="str">
        <f>IFERROR(__xludf.DUMMYFUNCTION("""COMPUTED_VALUE"""),"SELESAI (VIA PERMOHONAN)")</f>
        <v>SELESAI (VIA PERMOHONAN)</v>
      </c>
      <c r="J1411" s="17">
        <f>IFERROR(__xludf.DUMMYFUNCTION("""COMPUTED_VALUE"""),45723.45686160879)</f>
        <v>45723.45686</v>
      </c>
      <c r="K1411" s="13" t="str">
        <f>IFERROR(__xludf.DUMMYFUNCTION("""COMPUTED_VALUE"""),"Selesai")</f>
        <v>Selesai</v>
      </c>
      <c r="L1411" s="17">
        <f>IFERROR(__xludf.DUMMYFUNCTION("""COMPUTED_VALUE"""),45723.45686160879)</f>
        <v>45723.45686</v>
      </c>
      <c r="M1411" s="13"/>
      <c r="N1411" s="13" t="str">
        <f>IFERROR(__xludf.DUMMYFUNCTION("""COMPUTED_VALUE"""),"")</f>
        <v/>
      </c>
      <c r="O1411" s="13" t="str">
        <f t="shared" si="1"/>
        <v/>
      </c>
    </row>
    <row r="1412" ht="22.5" customHeight="1">
      <c r="B1412" s="13">
        <f>IFERROR(__xludf.DUMMYFUNCTION("""COMPUTED_VALUE"""),1407.0)</f>
        <v>1407</v>
      </c>
      <c r="C1412" s="13" t="str">
        <f>IFERROR(__xludf.DUMMYFUNCTION("""COMPUTED_VALUE"""),"M. 2427/KEDAUNG")</f>
        <v>M. 2427/KEDAUNG</v>
      </c>
      <c r="D1412" s="13" t="str">
        <f>IFERROR(__xludf.DUMMYFUNCTION("""COMPUTED_VALUE"""),"K/25/270225/2")</f>
        <v>K/25/270225/2</v>
      </c>
      <c r="E1412" s="14" t="str">
        <f>IFERROR(__xludf.DUMMYFUNCTION("""COMPUTED_VALUE"""),"Nadian (BT)")</f>
        <v>Nadian (BT)</v>
      </c>
      <c r="F1412" s="14" t="str">
        <f>IFERROR(__xludf.DUMMYFUNCTION("""COMPUTED_VALUE"""),"SELESAI (VIA PERMOHONAN)")</f>
        <v>SELESAI (VIA PERMOHONAN)</v>
      </c>
      <c r="G1412" s="17">
        <f>IFERROR(__xludf.DUMMYFUNCTION("""COMPUTED_VALUE"""),45721.573307025465)</f>
        <v>45721.57331</v>
      </c>
      <c r="H1412" s="14" t="str">
        <f>IFERROR(__xludf.DUMMYFUNCTION("""COMPUTED_VALUE"""),"Bu Eva (SU)")</f>
        <v>Bu Eva (SU)</v>
      </c>
      <c r="I1412" s="13" t="str">
        <f>IFERROR(__xludf.DUMMYFUNCTION("""COMPUTED_VALUE"""),"SELESAI (VIA PERMOHONAN)")</f>
        <v>SELESAI (VIA PERMOHONAN)</v>
      </c>
      <c r="J1412" s="17">
        <f>IFERROR(__xludf.DUMMYFUNCTION("""COMPUTED_VALUE"""),45723.45686160879)</f>
        <v>45723.45686</v>
      </c>
      <c r="K1412" s="13" t="str">
        <f>IFERROR(__xludf.DUMMYFUNCTION("""COMPUTED_VALUE"""),"Selesai")</f>
        <v>Selesai</v>
      </c>
      <c r="L1412" s="17">
        <f>IFERROR(__xludf.DUMMYFUNCTION("""COMPUTED_VALUE"""),45723.45686160879)</f>
        <v>45723.45686</v>
      </c>
      <c r="M1412" s="13"/>
      <c r="N1412" s="13" t="str">
        <f>IFERROR(__xludf.DUMMYFUNCTION("""COMPUTED_VALUE"""),"")</f>
        <v/>
      </c>
      <c r="O1412" s="13" t="str">
        <f t="shared" si="1"/>
        <v/>
      </c>
    </row>
    <row r="1413" ht="22.5" customHeight="1">
      <c r="B1413" s="13">
        <f>IFERROR(__xludf.DUMMYFUNCTION("""COMPUTED_VALUE"""),1408.0)</f>
        <v>1408</v>
      </c>
      <c r="C1413" s="13" t="str">
        <f>IFERROR(__xludf.DUMMYFUNCTION("""COMPUTED_VALUE"""),"M.3260/GEDONG AIR")</f>
        <v>M.3260/GEDONG AIR</v>
      </c>
      <c r="D1413" s="13" t="str">
        <f>IFERROR(__xludf.DUMMYFUNCTION("""COMPUTED_VALUE"""),"K/11/270225/1")</f>
        <v>K/11/270225/1</v>
      </c>
      <c r="E1413" s="14" t="str">
        <f>IFERROR(__xludf.DUMMYFUNCTION("""COMPUTED_VALUE"""),"Nadian (BT)")</f>
        <v>Nadian (BT)</v>
      </c>
      <c r="F1413" s="14" t="str">
        <f>IFERROR(__xludf.DUMMYFUNCTION("""COMPUTED_VALUE"""),"SELESAI (VIA PERMOHONAN)")</f>
        <v>SELESAI (VIA PERMOHONAN)</v>
      </c>
      <c r="G1413" s="17">
        <f>IFERROR(__xludf.DUMMYFUNCTION("""COMPUTED_VALUE"""),45721.573307025465)</f>
        <v>45721.57331</v>
      </c>
      <c r="H1413" s="14" t="str">
        <f>IFERROR(__xludf.DUMMYFUNCTION("""COMPUTED_VALUE"""),"Bu Eva (SU)")</f>
        <v>Bu Eva (SU)</v>
      </c>
      <c r="I1413" s="13" t="str">
        <f>IFERROR(__xludf.DUMMYFUNCTION("""COMPUTED_VALUE"""),"SELESAI (VIA PERMOHONAN)")</f>
        <v>SELESAI (VIA PERMOHONAN)</v>
      </c>
      <c r="J1413" s="17">
        <f>IFERROR(__xludf.DUMMYFUNCTION("""COMPUTED_VALUE"""),45723.45686160879)</f>
        <v>45723.45686</v>
      </c>
      <c r="K1413" s="13" t="str">
        <f>IFERROR(__xludf.DUMMYFUNCTION("""COMPUTED_VALUE"""),"Selesai")</f>
        <v>Selesai</v>
      </c>
      <c r="L1413" s="17">
        <f>IFERROR(__xludf.DUMMYFUNCTION("""COMPUTED_VALUE"""),45723.45686160879)</f>
        <v>45723.45686</v>
      </c>
      <c r="M1413" s="13"/>
      <c r="N1413" s="13" t="str">
        <f>IFERROR(__xludf.DUMMYFUNCTION("""COMPUTED_VALUE"""),"")</f>
        <v/>
      </c>
      <c r="O1413" s="13" t="str">
        <f t="shared" si="1"/>
        <v/>
      </c>
    </row>
    <row r="1414" ht="22.5" customHeight="1">
      <c r="B1414" s="13">
        <f>IFERROR(__xludf.DUMMYFUNCTION("""COMPUTED_VALUE"""),1409.0)</f>
        <v>1409</v>
      </c>
      <c r="C1414" s="13" t="str">
        <f>IFERROR(__xludf.DUMMYFUNCTION("""COMPUTED_VALUE"""),"M.1534/BUMI KEDAMAIAN")</f>
        <v>M.1534/BUMI KEDAMAIAN</v>
      </c>
      <c r="D1414" s="13" t="str">
        <f>IFERROR(__xludf.DUMMYFUNCTION("""COMPUTED_VALUE"""),"K/2/030325/1")</f>
        <v>K/2/030325/1</v>
      </c>
      <c r="E1414" s="14" t="str">
        <f>IFERROR(__xludf.DUMMYFUNCTION("""COMPUTED_VALUE"""),"Nadian (BT)")</f>
        <v>Nadian (BT)</v>
      </c>
      <c r="F1414" s="14" t="str">
        <f>IFERROR(__xludf.DUMMYFUNCTION("""COMPUTED_VALUE"""),"SELESAI (VIA PERMOHONAN)")</f>
        <v>SELESAI (VIA PERMOHONAN)</v>
      </c>
      <c r="G1414" s="17">
        <f>IFERROR(__xludf.DUMMYFUNCTION("""COMPUTED_VALUE"""),45721.573307025465)</f>
        <v>45721.57331</v>
      </c>
      <c r="H1414" s="14" t="str">
        <f>IFERROR(__xludf.DUMMYFUNCTION("""COMPUTED_VALUE"""),"Bu Eva (SU)")</f>
        <v>Bu Eva (SU)</v>
      </c>
      <c r="I1414" s="13" t="str">
        <f>IFERROR(__xludf.DUMMYFUNCTION("""COMPUTED_VALUE"""),"SELESAI (VIA PERMOHONAN)")</f>
        <v>SELESAI (VIA PERMOHONAN)</v>
      </c>
      <c r="J1414" s="17">
        <f>IFERROR(__xludf.DUMMYFUNCTION("""COMPUTED_VALUE"""),45723.45686160879)</f>
        <v>45723.45686</v>
      </c>
      <c r="K1414" s="13" t="str">
        <f>IFERROR(__xludf.DUMMYFUNCTION("""COMPUTED_VALUE"""),"Selesai")</f>
        <v>Selesai</v>
      </c>
      <c r="L1414" s="17">
        <f>IFERROR(__xludf.DUMMYFUNCTION("""COMPUTED_VALUE"""),45723.45686160879)</f>
        <v>45723.45686</v>
      </c>
      <c r="M1414" s="13"/>
      <c r="N1414" s="13" t="str">
        <f>IFERROR(__xludf.DUMMYFUNCTION("""COMPUTED_VALUE"""),"")</f>
        <v/>
      </c>
      <c r="O1414" s="13" t="str">
        <f t="shared" si="1"/>
        <v/>
      </c>
    </row>
    <row r="1415" ht="22.5" customHeight="1">
      <c r="B1415" s="13">
        <f>IFERROR(__xludf.DUMMYFUNCTION("""COMPUTED_VALUE"""),1410.0)</f>
        <v>1410</v>
      </c>
      <c r="C1415" s="13" t="str">
        <f>IFERROR(__xludf.DUMMYFUNCTION("""COMPUTED_VALUE"""),"M. 1822/ Way Laga")</f>
        <v>M. 1822/ Way Laga</v>
      </c>
      <c r="D1415" s="13" t="str">
        <f>IFERROR(__xludf.DUMMYFUNCTION("""COMPUTED_VALUE"""),"K/23/270225/1")</f>
        <v>K/23/270225/1</v>
      </c>
      <c r="E1415" s="14" t="str">
        <f>IFERROR(__xludf.DUMMYFUNCTION("""COMPUTED_VALUE"""),"Nadian (BT)")</f>
        <v>Nadian (BT)</v>
      </c>
      <c r="F1415" s="14" t="str">
        <f>IFERROR(__xludf.DUMMYFUNCTION("""COMPUTED_VALUE"""),"SELESAI (VIA PERMOHONAN)")</f>
        <v>SELESAI (VIA PERMOHONAN)</v>
      </c>
      <c r="G1415" s="17">
        <f>IFERROR(__xludf.DUMMYFUNCTION("""COMPUTED_VALUE"""),45721.573307025465)</f>
        <v>45721.57331</v>
      </c>
      <c r="H1415" s="14" t="str">
        <f>IFERROR(__xludf.DUMMYFUNCTION("""COMPUTED_VALUE"""),"Bu Eva (SU)")</f>
        <v>Bu Eva (SU)</v>
      </c>
      <c r="I1415" s="13" t="str">
        <f>IFERROR(__xludf.DUMMYFUNCTION("""COMPUTED_VALUE"""),"SELESAI (VIA PERMOHONAN)")</f>
        <v>SELESAI (VIA PERMOHONAN)</v>
      </c>
      <c r="J1415" s="17">
        <f>IFERROR(__xludf.DUMMYFUNCTION("""COMPUTED_VALUE"""),45723.45686160879)</f>
        <v>45723.45686</v>
      </c>
      <c r="K1415" s="13" t="str">
        <f>IFERROR(__xludf.DUMMYFUNCTION("""COMPUTED_VALUE"""),"Selesai")</f>
        <v>Selesai</v>
      </c>
      <c r="L1415" s="17">
        <f>IFERROR(__xludf.DUMMYFUNCTION("""COMPUTED_VALUE"""),45723.45686160879)</f>
        <v>45723.45686</v>
      </c>
      <c r="M1415" s="13"/>
      <c r="N1415" s="13" t="str">
        <f>IFERROR(__xludf.DUMMYFUNCTION("""COMPUTED_VALUE"""),"")</f>
        <v/>
      </c>
      <c r="O1415" s="13" t="str">
        <f t="shared" si="1"/>
        <v/>
      </c>
    </row>
    <row r="1416" ht="22.5" customHeight="1">
      <c r="B1416" s="13">
        <f>IFERROR(__xludf.DUMMYFUNCTION("""COMPUTED_VALUE"""),1411.0)</f>
        <v>1411</v>
      </c>
      <c r="C1416" s="13" t="str">
        <f>IFERROR(__xludf.DUMMYFUNCTION("""COMPUTED_VALUE"""),"B. 536/ Sukarame Baru")</f>
        <v>B. 536/ Sukarame Baru</v>
      </c>
      <c r="D1416" s="13" t="str">
        <f>IFERROR(__xludf.DUMMYFUNCTION("""COMPUTED_VALUE"""),"K/13/280225/1")</f>
        <v>K/13/280225/1</v>
      </c>
      <c r="E1416" s="14" t="str">
        <f>IFERROR(__xludf.DUMMYFUNCTION("""COMPUTED_VALUE"""),"Nadian (BT)")</f>
        <v>Nadian (BT)</v>
      </c>
      <c r="F1416" s="14" t="str">
        <f>IFERROR(__xludf.DUMMYFUNCTION("""COMPUTED_VALUE"""),"SELESAI (VIA PERMOHONAN)")</f>
        <v>SELESAI (VIA PERMOHONAN)</v>
      </c>
      <c r="G1416" s="17">
        <f>IFERROR(__xludf.DUMMYFUNCTION("""COMPUTED_VALUE"""),45721.573307025465)</f>
        <v>45721.57331</v>
      </c>
      <c r="H1416" s="14" t="str">
        <f>IFERROR(__xludf.DUMMYFUNCTION("""COMPUTED_VALUE"""),"Bu Eva (SU)")</f>
        <v>Bu Eva (SU)</v>
      </c>
      <c r="I1416" s="13" t="str">
        <f>IFERROR(__xludf.DUMMYFUNCTION("""COMPUTED_VALUE"""),"SELESAI (VIA PERMOHONAN)")</f>
        <v>SELESAI (VIA PERMOHONAN)</v>
      </c>
      <c r="J1416" s="17">
        <f>IFERROR(__xludf.DUMMYFUNCTION("""COMPUTED_VALUE"""),45723.45686160879)</f>
        <v>45723.45686</v>
      </c>
      <c r="K1416" s="13" t="str">
        <f>IFERROR(__xludf.DUMMYFUNCTION("""COMPUTED_VALUE"""),"Selesai")</f>
        <v>Selesai</v>
      </c>
      <c r="L1416" s="17">
        <f>IFERROR(__xludf.DUMMYFUNCTION("""COMPUTED_VALUE"""),45723.45686160879)</f>
        <v>45723.45686</v>
      </c>
      <c r="M1416" s="13"/>
      <c r="N1416" s="13" t="str">
        <f>IFERROR(__xludf.DUMMYFUNCTION("""COMPUTED_VALUE"""),"")</f>
        <v/>
      </c>
      <c r="O1416" s="13" t="str">
        <f t="shared" si="1"/>
        <v/>
      </c>
    </row>
    <row r="1417" ht="22.5" customHeight="1">
      <c r="B1417" s="13">
        <f>IFERROR(__xludf.DUMMYFUNCTION("""COMPUTED_VALUE"""),1412.0)</f>
        <v>1412</v>
      </c>
      <c r="C1417" s="13" t="str">
        <f>IFERROR(__xludf.DUMMYFUNCTION("""COMPUTED_VALUE"""),"M. 11632/ Sukarame")</f>
        <v>M. 11632/ Sukarame</v>
      </c>
      <c r="D1417" s="13" t="str">
        <f>IFERROR(__xludf.DUMMYFUNCTION("""COMPUTED_VALUE"""),"K/14/211024/1")</f>
        <v>K/14/211024/1</v>
      </c>
      <c r="E1417" s="14" t="str">
        <f>IFERROR(__xludf.DUMMYFUNCTION("""COMPUTED_VALUE"""),"Nadian (BT)")</f>
        <v>Nadian (BT)</v>
      </c>
      <c r="F1417" s="14" t="str">
        <f>IFERROR(__xludf.DUMMYFUNCTION("""COMPUTED_VALUE"""),"SELESAI (VIA PERMOHONAN)")</f>
        <v>SELESAI (VIA PERMOHONAN)</v>
      </c>
      <c r="G1417" s="17">
        <f>IFERROR(__xludf.DUMMYFUNCTION("""COMPUTED_VALUE"""),45721.573307025465)</f>
        <v>45721.57331</v>
      </c>
      <c r="H1417" s="14" t="str">
        <f>IFERROR(__xludf.DUMMYFUNCTION("""COMPUTED_VALUE"""),"Bu Eva (SU)")</f>
        <v>Bu Eva (SU)</v>
      </c>
      <c r="I1417" s="13" t="str">
        <f>IFERROR(__xludf.DUMMYFUNCTION("""COMPUTED_VALUE"""),"SELESAI (VIA PERMOHONAN)")</f>
        <v>SELESAI (VIA PERMOHONAN)</v>
      </c>
      <c r="J1417" s="17">
        <f>IFERROR(__xludf.DUMMYFUNCTION("""COMPUTED_VALUE"""),45723.45686160879)</f>
        <v>45723.45686</v>
      </c>
      <c r="K1417" s="13" t="str">
        <f>IFERROR(__xludf.DUMMYFUNCTION("""COMPUTED_VALUE"""),"Selesai")</f>
        <v>Selesai</v>
      </c>
      <c r="L1417" s="17">
        <f>IFERROR(__xludf.DUMMYFUNCTION("""COMPUTED_VALUE"""),45723.45686160879)</f>
        <v>45723.45686</v>
      </c>
      <c r="M1417" s="13"/>
      <c r="N1417" s="13" t="str">
        <f>IFERROR(__xludf.DUMMYFUNCTION("""COMPUTED_VALUE"""),"")</f>
        <v/>
      </c>
      <c r="O1417" s="13" t="str">
        <f t="shared" si="1"/>
        <v/>
      </c>
    </row>
    <row r="1418" ht="22.5" customHeight="1">
      <c r="B1418" s="13">
        <f>IFERROR(__xludf.DUMMYFUNCTION("""COMPUTED_VALUE"""),1413.0)</f>
        <v>1413</v>
      </c>
      <c r="C1418" s="13" t="str">
        <f>IFERROR(__xludf.DUMMYFUNCTION("""COMPUTED_VALUE"""),"M. 1873. Kemiling Permai")</f>
        <v>M. 1873. Kemiling Permai</v>
      </c>
      <c r="D1418" s="13" t="str">
        <f>IFERROR(__xludf.DUMMYFUNCTION("""COMPUTED_VALUE"""),"K/28/030325/2")</f>
        <v>K/28/030325/2</v>
      </c>
      <c r="E1418" s="14" t="str">
        <f>IFERROR(__xludf.DUMMYFUNCTION("""COMPUTED_VALUE"""),"Nadian (BT)")</f>
        <v>Nadian (BT)</v>
      </c>
      <c r="F1418" s="14" t="str">
        <f>IFERROR(__xludf.DUMMYFUNCTION("""COMPUTED_VALUE"""),"SELESAI (VIA PERMOHONAN)")</f>
        <v>SELESAI (VIA PERMOHONAN)</v>
      </c>
      <c r="G1418" s="17">
        <f>IFERROR(__xludf.DUMMYFUNCTION("""COMPUTED_VALUE"""),45721.573307025465)</f>
        <v>45721.57331</v>
      </c>
      <c r="H1418" s="14" t="str">
        <f>IFERROR(__xludf.DUMMYFUNCTION("""COMPUTED_VALUE"""),"Bu Eva (SU)")</f>
        <v>Bu Eva (SU)</v>
      </c>
      <c r="I1418" s="13" t="str">
        <f>IFERROR(__xludf.DUMMYFUNCTION("""COMPUTED_VALUE"""),"SELESAI (VIA PERMOHONAN)")</f>
        <v>SELESAI (VIA PERMOHONAN)</v>
      </c>
      <c r="J1418" s="17">
        <f>IFERROR(__xludf.DUMMYFUNCTION("""COMPUTED_VALUE"""),45723.45686160879)</f>
        <v>45723.45686</v>
      </c>
      <c r="K1418" s="13" t="str">
        <f>IFERROR(__xludf.DUMMYFUNCTION("""COMPUTED_VALUE"""),"Selesai")</f>
        <v>Selesai</v>
      </c>
      <c r="L1418" s="17">
        <f>IFERROR(__xludf.DUMMYFUNCTION("""COMPUTED_VALUE"""),45723.45686160879)</f>
        <v>45723.45686</v>
      </c>
      <c r="M1418" s="13"/>
      <c r="N1418" s="13" t="str">
        <f>IFERROR(__xludf.DUMMYFUNCTION("""COMPUTED_VALUE"""),"")</f>
        <v/>
      </c>
      <c r="O1418" s="13" t="str">
        <f t="shared" si="1"/>
        <v/>
      </c>
    </row>
    <row r="1419" ht="22.5" customHeight="1">
      <c r="B1419" s="13">
        <f>IFERROR(__xludf.DUMMYFUNCTION("""COMPUTED_VALUE"""),1414.0)</f>
        <v>1414</v>
      </c>
      <c r="C1419" s="13" t="str">
        <f>IFERROR(__xludf.DUMMYFUNCTION("""COMPUTED_VALUE"""),"B.3235/SUKABUMI")</f>
        <v>B.3235/SUKABUMI</v>
      </c>
      <c r="D1419" s="13" t="str">
        <f>IFERROR(__xludf.DUMMYFUNCTION("""COMPUTED_VALUE"""),"K/29/110225/1")</f>
        <v>K/29/110225/1</v>
      </c>
      <c r="E1419" s="14" t="str">
        <f>IFERROR(__xludf.DUMMYFUNCTION("""COMPUTED_VALUE"""),"Nadian (BT)")</f>
        <v>Nadian (BT)</v>
      </c>
      <c r="F1419" s="14" t="str">
        <f>IFERROR(__xludf.DUMMYFUNCTION("""COMPUTED_VALUE"""),"SELESAI (VIA PERMOHONAN)")</f>
        <v>SELESAI (VIA PERMOHONAN)</v>
      </c>
      <c r="G1419" s="17">
        <f>IFERROR(__xludf.DUMMYFUNCTION("""COMPUTED_VALUE"""),45722.55696332176)</f>
        <v>45722.55696</v>
      </c>
      <c r="H1419" s="14" t="str">
        <f>IFERROR(__xludf.DUMMYFUNCTION("""COMPUTED_VALUE"""),"Bu Eva (SU)")</f>
        <v>Bu Eva (SU)</v>
      </c>
      <c r="I1419" s="13" t="str">
        <f>IFERROR(__xludf.DUMMYFUNCTION("""COMPUTED_VALUE"""),"SELESAI (VIA PERMOHONAN)")</f>
        <v>SELESAI (VIA PERMOHONAN)</v>
      </c>
      <c r="J1419" s="17">
        <f>IFERROR(__xludf.DUMMYFUNCTION("""COMPUTED_VALUE"""),45723.45686160879)</f>
        <v>45723.45686</v>
      </c>
      <c r="K1419" s="13" t="str">
        <f>IFERROR(__xludf.DUMMYFUNCTION("""COMPUTED_VALUE"""),"Selesai")</f>
        <v>Selesai</v>
      </c>
      <c r="L1419" s="17">
        <f>IFERROR(__xludf.DUMMYFUNCTION("""COMPUTED_VALUE"""),45723.45686160879)</f>
        <v>45723.45686</v>
      </c>
      <c r="M1419" s="13"/>
      <c r="N1419" s="13" t="str">
        <f>IFERROR(__xludf.DUMMYFUNCTION("""COMPUTED_VALUE"""),"")</f>
        <v/>
      </c>
      <c r="O1419" s="13" t="str">
        <f t="shared" si="1"/>
        <v/>
      </c>
    </row>
    <row r="1420" ht="22.5" customHeight="1">
      <c r="B1420" s="13">
        <f>IFERROR(__xludf.DUMMYFUNCTION("""COMPUTED_VALUE"""),1415.0)</f>
        <v>1415</v>
      </c>
      <c r="C1420" s="13" t="str">
        <f>IFERROR(__xludf.DUMMYFUNCTION("""COMPUTED_VALUE"""),"M.336/PENENGAHAN")</f>
        <v>M.336/PENENGAHAN</v>
      </c>
      <c r="D1420" s="13" t="str">
        <f>IFERROR(__xludf.DUMMYFUNCTION("""COMPUTED_VALUE"""),"K/30/040325/2")</f>
        <v>K/30/040325/2</v>
      </c>
      <c r="E1420" s="14" t="str">
        <f>IFERROR(__xludf.DUMMYFUNCTION("""COMPUTED_VALUE"""),"Nadian (BT)")</f>
        <v>Nadian (BT)</v>
      </c>
      <c r="F1420" s="14" t="str">
        <f>IFERROR(__xludf.DUMMYFUNCTION("""COMPUTED_VALUE"""),"SELESAI (VIA PERMOHONAN)")</f>
        <v>SELESAI (VIA PERMOHONAN)</v>
      </c>
      <c r="G1420" s="17">
        <f>IFERROR(__xludf.DUMMYFUNCTION("""COMPUTED_VALUE"""),45722.557013287034)</f>
        <v>45722.55701</v>
      </c>
      <c r="H1420" s="14" t="str">
        <f>IFERROR(__xludf.DUMMYFUNCTION("""COMPUTED_VALUE"""),"Bu Eva (SU)")</f>
        <v>Bu Eva (SU)</v>
      </c>
      <c r="I1420" s="13" t="str">
        <f>IFERROR(__xludf.DUMMYFUNCTION("""COMPUTED_VALUE"""),"SELESAI (VIA PERMOHONAN)")</f>
        <v>SELESAI (VIA PERMOHONAN)</v>
      </c>
      <c r="J1420" s="17">
        <f>IFERROR(__xludf.DUMMYFUNCTION("""COMPUTED_VALUE"""),45723.45686160879)</f>
        <v>45723.45686</v>
      </c>
      <c r="K1420" s="13" t="str">
        <f>IFERROR(__xludf.DUMMYFUNCTION("""COMPUTED_VALUE"""),"Selesai")</f>
        <v>Selesai</v>
      </c>
      <c r="L1420" s="17">
        <f>IFERROR(__xludf.DUMMYFUNCTION("""COMPUTED_VALUE"""),45723.45686160879)</f>
        <v>45723.45686</v>
      </c>
      <c r="M1420" s="13"/>
      <c r="N1420" s="13" t="str">
        <f>IFERROR(__xludf.DUMMYFUNCTION("""COMPUTED_VALUE"""),"")</f>
        <v/>
      </c>
      <c r="O1420" s="13" t="str">
        <f t="shared" si="1"/>
        <v/>
      </c>
    </row>
    <row r="1421" ht="22.5" customHeight="1">
      <c r="B1421" s="13">
        <f>IFERROR(__xludf.DUMMYFUNCTION("""COMPUTED_VALUE"""),1416.0)</f>
        <v>1416</v>
      </c>
      <c r="C1421" s="13" t="str">
        <f>IFERROR(__xludf.DUMMYFUNCTION("""COMPUTED_VALUE"""),"M.1231/TALANG")</f>
        <v>M.1231/TALANG</v>
      </c>
      <c r="D1421" s="13" t="str">
        <f>IFERROR(__xludf.DUMMYFUNCTION("""COMPUTED_VALUE"""),"K/24/250225/1")</f>
        <v>K/24/250225/1</v>
      </c>
      <c r="E1421" s="14" t="str">
        <f>IFERROR(__xludf.DUMMYFUNCTION("""COMPUTED_VALUE"""),"Nadian (BT)")</f>
        <v>Nadian (BT)</v>
      </c>
      <c r="F1421" s="14" t="str">
        <f>IFERROR(__xludf.DUMMYFUNCTION("""COMPUTED_VALUE"""),"SELESAI (VIA PERMOHONAN)")</f>
        <v>SELESAI (VIA PERMOHONAN)</v>
      </c>
      <c r="G1421" s="17">
        <f>IFERROR(__xludf.DUMMYFUNCTION("""COMPUTED_VALUE"""),45722.557013287034)</f>
        <v>45722.55701</v>
      </c>
      <c r="H1421" s="14" t="str">
        <f>IFERROR(__xludf.DUMMYFUNCTION("""COMPUTED_VALUE"""),"Bu Eva (SU)")</f>
        <v>Bu Eva (SU)</v>
      </c>
      <c r="I1421" s="13" t="str">
        <f>IFERROR(__xludf.DUMMYFUNCTION("""COMPUTED_VALUE"""),"SELESAI (VIA PERMOHONAN)")</f>
        <v>SELESAI (VIA PERMOHONAN)</v>
      </c>
      <c r="J1421" s="17">
        <f>IFERROR(__xludf.DUMMYFUNCTION("""COMPUTED_VALUE"""),45723.45686160879)</f>
        <v>45723.45686</v>
      </c>
      <c r="K1421" s="13" t="str">
        <f>IFERROR(__xludf.DUMMYFUNCTION("""COMPUTED_VALUE"""),"Selesai")</f>
        <v>Selesai</v>
      </c>
      <c r="L1421" s="17">
        <f>IFERROR(__xludf.DUMMYFUNCTION("""COMPUTED_VALUE"""),45723.45686160879)</f>
        <v>45723.45686</v>
      </c>
      <c r="M1421" s="13"/>
      <c r="N1421" s="13" t="str">
        <f>IFERROR(__xludf.DUMMYFUNCTION("""COMPUTED_VALUE"""),"")</f>
        <v/>
      </c>
      <c r="O1421" s="13" t="str">
        <f t="shared" si="1"/>
        <v/>
      </c>
    </row>
    <row r="1422" ht="22.5" customHeight="1">
      <c r="B1422" s="13">
        <f>IFERROR(__xludf.DUMMYFUNCTION("""COMPUTED_VALUE"""),1417.0)</f>
        <v>1417</v>
      </c>
      <c r="C1422" s="13" t="str">
        <f>IFERROR(__xludf.DUMMYFUNCTION("""COMPUTED_VALUE"""),"M.1656/BUMI KEDAMAIAN")</f>
        <v>M.1656/BUMI KEDAMAIAN</v>
      </c>
      <c r="D1422" s="13" t="str">
        <f>IFERROR(__xludf.DUMMYFUNCTION("""COMPUTED_VALUE"""),"K/34/040325/1")</f>
        <v>K/34/040325/1</v>
      </c>
      <c r="E1422" s="14" t="str">
        <f>IFERROR(__xludf.DUMMYFUNCTION("""COMPUTED_VALUE"""),"Nadian (BT)")</f>
        <v>Nadian (BT)</v>
      </c>
      <c r="F1422" s="14" t="str">
        <f>IFERROR(__xludf.DUMMYFUNCTION("""COMPUTED_VALUE"""),"SELESAI (VIA PERMOHONAN)")</f>
        <v>SELESAI (VIA PERMOHONAN)</v>
      </c>
      <c r="G1422" s="17">
        <f>IFERROR(__xludf.DUMMYFUNCTION("""COMPUTED_VALUE"""),45722.557013287034)</f>
        <v>45722.55701</v>
      </c>
      <c r="H1422" s="14" t="str">
        <f>IFERROR(__xludf.DUMMYFUNCTION("""COMPUTED_VALUE"""),"Bu Eva (SU)")</f>
        <v>Bu Eva (SU)</v>
      </c>
      <c r="I1422" s="13" t="str">
        <f>IFERROR(__xludf.DUMMYFUNCTION("""COMPUTED_VALUE"""),"SELESAI (VIA PERMOHONAN)")</f>
        <v>SELESAI (VIA PERMOHONAN)</v>
      </c>
      <c r="J1422" s="17">
        <f>IFERROR(__xludf.DUMMYFUNCTION("""COMPUTED_VALUE"""),45723.457028715275)</f>
        <v>45723.45703</v>
      </c>
      <c r="K1422" s="13" t="str">
        <f>IFERROR(__xludf.DUMMYFUNCTION("""COMPUTED_VALUE"""),"Selesai")</f>
        <v>Selesai</v>
      </c>
      <c r="L1422" s="17">
        <f>IFERROR(__xludf.DUMMYFUNCTION("""COMPUTED_VALUE"""),45723.457028715275)</f>
        <v>45723.45703</v>
      </c>
      <c r="M1422" s="13"/>
      <c r="N1422" s="13" t="str">
        <f>IFERROR(__xludf.DUMMYFUNCTION("""COMPUTED_VALUE"""),"")</f>
        <v/>
      </c>
      <c r="O1422" s="13" t="str">
        <f t="shared" si="1"/>
        <v/>
      </c>
    </row>
    <row r="1423" ht="22.5" customHeight="1">
      <c r="B1423" s="13">
        <f>IFERROR(__xludf.DUMMYFUNCTION("""COMPUTED_VALUE"""),1418.0)</f>
        <v>1418</v>
      </c>
      <c r="C1423" s="13" t="str">
        <f>IFERROR(__xludf.DUMMYFUNCTION("""COMPUTED_VALUE"""),"M.611/SAWAH BREBES")</f>
        <v>M.611/SAWAH BREBES</v>
      </c>
      <c r="D1423" s="13" t="str">
        <f>IFERROR(__xludf.DUMMYFUNCTION("""COMPUTED_VALUE"""),"K/12/260225/1")</f>
        <v>K/12/260225/1</v>
      </c>
      <c r="E1423" s="14" t="str">
        <f>IFERROR(__xludf.DUMMYFUNCTION("""COMPUTED_VALUE"""),"Nadian (BT)")</f>
        <v>Nadian (BT)</v>
      </c>
      <c r="F1423" s="14" t="str">
        <f>IFERROR(__xludf.DUMMYFUNCTION("""COMPUTED_VALUE"""),"SELESAI (VIA PERMOHONAN)")</f>
        <v>SELESAI (VIA PERMOHONAN)</v>
      </c>
      <c r="G1423" s="17">
        <f>IFERROR(__xludf.DUMMYFUNCTION("""COMPUTED_VALUE"""),45722.557013287034)</f>
        <v>45722.55701</v>
      </c>
      <c r="H1423" s="14" t="str">
        <f>IFERROR(__xludf.DUMMYFUNCTION("""COMPUTED_VALUE"""),"Bu Eva (SU)")</f>
        <v>Bu Eva (SU)</v>
      </c>
      <c r="I1423" s="13" t="str">
        <f>IFERROR(__xludf.DUMMYFUNCTION("""COMPUTED_VALUE"""),"SELESAI (VIA PERMOHONAN)")</f>
        <v>SELESAI (VIA PERMOHONAN)</v>
      </c>
      <c r="J1423" s="17">
        <f>IFERROR(__xludf.DUMMYFUNCTION("""COMPUTED_VALUE"""),45723.457028715275)</f>
        <v>45723.45703</v>
      </c>
      <c r="K1423" s="13" t="str">
        <f>IFERROR(__xludf.DUMMYFUNCTION("""COMPUTED_VALUE"""),"Selesai")</f>
        <v>Selesai</v>
      </c>
      <c r="L1423" s="17">
        <f>IFERROR(__xludf.DUMMYFUNCTION("""COMPUTED_VALUE"""),45723.457028715275)</f>
        <v>45723.45703</v>
      </c>
      <c r="M1423" s="13"/>
      <c r="N1423" s="13" t="str">
        <f>IFERROR(__xludf.DUMMYFUNCTION("""COMPUTED_VALUE"""),"")</f>
        <v/>
      </c>
      <c r="O1423" s="13" t="str">
        <f t="shared" si="1"/>
        <v/>
      </c>
    </row>
    <row r="1424" ht="22.5" customHeight="1">
      <c r="B1424" s="13">
        <f>IFERROR(__xludf.DUMMYFUNCTION("""COMPUTED_VALUE"""),1419.0)</f>
        <v>1419</v>
      </c>
      <c r="C1424" s="13" t="str">
        <f>IFERROR(__xludf.DUMMYFUNCTION("""COMPUTED_VALUE"""),"B.1113/KETEGUHAN")</f>
        <v>B.1113/KETEGUHAN</v>
      </c>
      <c r="D1424" s="13" t="str">
        <f>IFERROR(__xludf.DUMMYFUNCTION("""COMPUTED_VALUE"""),"K/16/240225/2")</f>
        <v>K/16/240225/2</v>
      </c>
      <c r="E1424" s="14" t="str">
        <f>IFERROR(__xludf.DUMMYFUNCTION("""COMPUTED_VALUE"""),"Nadian (BT)")</f>
        <v>Nadian (BT)</v>
      </c>
      <c r="F1424" s="14" t="str">
        <f>IFERROR(__xludf.DUMMYFUNCTION("""COMPUTED_VALUE"""),"SELESAI (VIA PERMOHONAN)")</f>
        <v>SELESAI (VIA PERMOHONAN)</v>
      </c>
      <c r="G1424" s="17">
        <f>IFERROR(__xludf.DUMMYFUNCTION("""COMPUTED_VALUE"""),45722.557013287034)</f>
        <v>45722.55701</v>
      </c>
      <c r="H1424" s="14" t="str">
        <f>IFERROR(__xludf.DUMMYFUNCTION("""COMPUTED_VALUE"""),"Bu Eva (SU)")</f>
        <v>Bu Eva (SU)</v>
      </c>
      <c r="I1424" s="13" t="str">
        <f>IFERROR(__xludf.DUMMYFUNCTION("""COMPUTED_VALUE"""),"SELESAI (VIA PERMOHONAN)")</f>
        <v>SELESAI (VIA PERMOHONAN)</v>
      </c>
      <c r="J1424" s="17">
        <f>IFERROR(__xludf.DUMMYFUNCTION("""COMPUTED_VALUE"""),45723.457028715275)</f>
        <v>45723.45703</v>
      </c>
      <c r="K1424" s="13" t="str">
        <f>IFERROR(__xludf.DUMMYFUNCTION("""COMPUTED_VALUE"""),"Selesai")</f>
        <v>Selesai</v>
      </c>
      <c r="L1424" s="17">
        <f>IFERROR(__xludf.DUMMYFUNCTION("""COMPUTED_VALUE"""),45723.457028715275)</f>
        <v>45723.45703</v>
      </c>
      <c r="M1424" s="13"/>
      <c r="N1424" s="13" t="str">
        <f>IFERROR(__xludf.DUMMYFUNCTION("""COMPUTED_VALUE"""),"")</f>
        <v/>
      </c>
      <c r="O1424" s="13" t="str">
        <f t="shared" si="1"/>
        <v/>
      </c>
    </row>
    <row r="1425" ht="22.5" customHeight="1">
      <c r="B1425" s="13">
        <f>IFERROR(__xludf.DUMMYFUNCTION("""COMPUTED_VALUE"""),1420.0)</f>
        <v>1420</v>
      </c>
      <c r="C1425" s="13" t="str">
        <f>IFERROR(__xludf.DUMMYFUNCTION("""COMPUTED_VALUE"""),"M.3022/GEDONG AIR")</f>
        <v>M.3022/GEDONG AIR</v>
      </c>
      <c r="D1425" s="13" t="str">
        <f>IFERROR(__xludf.DUMMYFUNCTION("""COMPUTED_VALUE"""),"K/7/030325/1")</f>
        <v>K/7/030325/1</v>
      </c>
      <c r="E1425" s="14" t="str">
        <f>IFERROR(__xludf.DUMMYFUNCTION("""COMPUTED_VALUE"""),"Nadian (BT)")</f>
        <v>Nadian (BT)</v>
      </c>
      <c r="F1425" s="14" t="str">
        <f>IFERROR(__xludf.DUMMYFUNCTION("""COMPUTED_VALUE"""),"SELESAI (VIA PERMOHONAN)")</f>
        <v>SELESAI (VIA PERMOHONAN)</v>
      </c>
      <c r="G1425" s="17">
        <f>IFERROR(__xludf.DUMMYFUNCTION("""COMPUTED_VALUE"""),45722.557013287034)</f>
        <v>45722.55701</v>
      </c>
      <c r="H1425" s="14" t="str">
        <f>IFERROR(__xludf.DUMMYFUNCTION("""COMPUTED_VALUE"""),"Bu Eva (SU)")</f>
        <v>Bu Eva (SU)</v>
      </c>
      <c r="I1425" s="13" t="str">
        <f>IFERROR(__xludf.DUMMYFUNCTION("""COMPUTED_VALUE"""),"SELESAI (VIA PERMOHONAN)")</f>
        <v>SELESAI (VIA PERMOHONAN)</v>
      </c>
      <c r="J1425" s="17">
        <f>IFERROR(__xludf.DUMMYFUNCTION("""COMPUTED_VALUE"""),45723.457028715275)</f>
        <v>45723.45703</v>
      </c>
      <c r="K1425" s="13" t="str">
        <f>IFERROR(__xludf.DUMMYFUNCTION("""COMPUTED_VALUE"""),"Selesai")</f>
        <v>Selesai</v>
      </c>
      <c r="L1425" s="17">
        <f>IFERROR(__xludf.DUMMYFUNCTION("""COMPUTED_VALUE"""),45723.457028715275)</f>
        <v>45723.45703</v>
      </c>
      <c r="M1425" s="13"/>
      <c r="N1425" s="13" t="str">
        <f>IFERROR(__xludf.DUMMYFUNCTION("""COMPUTED_VALUE"""),"")</f>
        <v/>
      </c>
      <c r="O1425" s="13" t="str">
        <f t="shared" si="1"/>
        <v/>
      </c>
    </row>
    <row r="1426" ht="22.5" customHeight="1">
      <c r="B1426" s="13">
        <f>IFERROR(__xludf.DUMMYFUNCTION("""COMPUTED_VALUE"""),1421.0)</f>
        <v>1421</v>
      </c>
      <c r="C1426" s="13" t="str">
        <f>IFERROR(__xludf.DUMMYFUNCTION("""COMPUTED_VALUE"""),"M.2870/SUKARAME BARU")</f>
        <v>M.2870/SUKARAME BARU</v>
      </c>
      <c r="D1426" s="13" t="str">
        <f>IFERROR(__xludf.DUMMYFUNCTION("""COMPUTED_VALUE"""),"K/19/050325/1")</f>
        <v>K/19/050325/1</v>
      </c>
      <c r="E1426" s="14" t="str">
        <f>IFERROR(__xludf.DUMMYFUNCTION("""COMPUTED_VALUE"""),"Nadian (BT)")</f>
        <v>Nadian (BT)</v>
      </c>
      <c r="F1426" s="14" t="str">
        <f>IFERROR(__xludf.DUMMYFUNCTION("""COMPUTED_VALUE"""),"SELESAI (VIA PERMOHONAN)")</f>
        <v>SELESAI (VIA PERMOHONAN)</v>
      </c>
      <c r="G1426" s="17">
        <f>IFERROR(__xludf.DUMMYFUNCTION("""COMPUTED_VALUE"""),45722.557013287034)</f>
        <v>45722.55701</v>
      </c>
      <c r="H1426" s="14" t="str">
        <f>IFERROR(__xludf.DUMMYFUNCTION("""COMPUTED_VALUE"""),"Bu Eva (SU)")</f>
        <v>Bu Eva (SU)</v>
      </c>
      <c r="I1426" s="13" t="str">
        <f>IFERROR(__xludf.DUMMYFUNCTION("""COMPUTED_VALUE"""),"SELESAI (VIA PERMOHONAN)")</f>
        <v>SELESAI (VIA PERMOHONAN)</v>
      </c>
      <c r="J1426" s="17">
        <f>IFERROR(__xludf.DUMMYFUNCTION("""COMPUTED_VALUE"""),45723.457028715275)</f>
        <v>45723.45703</v>
      </c>
      <c r="K1426" s="13" t="str">
        <f>IFERROR(__xludf.DUMMYFUNCTION("""COMPUTED_VALUE"""),"Selesai")</f>
        <v>Selesai</v>
      </c>
      <c r="L1426" s="17">
        <f>IFERROR(__xludf.DUMMYFUNCTION("""COMPUTED_VALUE"""),45723.457028715275)</f>
        <v>45723.45703</v>
      </c>
      <c r="M1426" s="13"/>
      <c r="N1426" s="13" t="str">
        <f>IFERROR(__xludf.DUMMYFUNCTION("""COMPUTED_VALUE"""),"")</f>
        <v/>
      </c>
      <c r="O1426" s="13" t="str">
        <f t="shared" si="1"/>
        <v/>
      </c>
    </row>
    <row r="1427" ht="22.5" customHeight="1">
      <c r="B1427" s="13">
        <f>IFERROR(__xludf.DUMMYFUNCTION("""COMPUTED_VALUE"""),1422.0)</f>
        <v>1422</v>
      </c>
      <c r="C1427" s="13" t="str">
        <f>IFERROR(__xludf.DUMMYFUNCTION("""COMPUTED_VALUE"""),"HM 19/SURABAYA")</f>
        <v>HM 19/SURABAYA</v>
      </c>
      <c r="D1427" s="13" t="str">
        <f>IFERROR(__xludf.DUMMYFUNCTION("""COMPUTED_VALUE"""),"L/32/250225/2")</f>
        <v>L/32/250225/2</v>
      </c>
      <c r="E1427" s="14" t="str">
        <f>IFERROR(__xludf.DUMMYFUNCTION("""COMPUTED_VALUE"""),"Nadian (BT)")</f>
        <v>Nadian (BT)</v>
      </c>
      <c r="F1427" s="14" t="str">
        <f>IFERROR(__xludf.DUMMYFUNCTION("""COMPUTED_VALUE"""),"SELESAI (VIA PERMOHONAN)")</f>
        <v>SELESAI (VIA PERMOHONAN)</v>
      </c>
      <c r="G1427" s="17">
        <f>IFERROR(__xludf.DUMMYFUNCTION("""COMPUTED_VALUE"""),45722.557013287034)</f>
        <v>45722.55701</v>
      </c>
      <c r="H1427" s="14" t="str">
        <f>IFERROR(__xludf.DUMMYFUNCTION("""COMPUTED_VALUE"""),"Bu Eva (SU)")</f>
        <v>Bu Eva (SU)</v>
      </c>
      <c r="I1427" s="13" t="str">
        <f>IFERROR(__xludf.DUMMYFUNCTION("""COMPUTED_VALUE"""),"SELESAI (VIA PERMOHONAN)")</f>
        <v>SELESAI (VIA PERMOHONAN)</v>
      </c>
      <c r="J1427" s="17">
        <f>IFERROR(__xludf.DUMMYFUNCTION("""COMPUTED_VALUE"""),45723.457028715275)</f>
        <v>45723.45703</v>
      </c>
      <c r="K1427" s="13" t="str">
        <f>IFERROR(__xludf.DUMMYFUNCTION("""COMPUTED_VALUE"""),"Selesai")</f>
        <v>Selesai</v>
      </c>
      <c r="L1427" s="17">
        <f>IFERROR(__xludf.DUMMYFUNCTION("""COMPUTED_VALUE"""),45723.457028715275)</f>
        <v>45723.45703</v>
      </c>
      <c r="M1427" s="13"/>
      <c r="N1427" s="13" t="str">
        <f>IFERROR(__xludf.DUMMYFUNCTION("""COMPUTED_VALUE"""),"")</f>
        <v/>
      </c>
      <c r="O1427" s="13" t="str">
        <f t="shared" si="1"/>
        <v/>
      </c>
    </row>
    <row r="1428" ht="22.5" customHeight="1">
      <c r="B1428" s="13">
        <f>IFERROR(__xludf.DUMMYFUNCTION("""COMPUTED_VALUE"""),1423.0)</f>
        <v>1423</v>
      </c>
      <c r="C1428" s="13" t="str">
        <f>IFERROR(__xludf.DUMMYFUNCTION("""COMPUTED_VALUE"""),"HM 18/SURABAYA")</f>
        <v>HM 18/SURABAYA</v>
      </c>
      <c r="D1428" s="13" t="str">
        <f>IFERROR(__xludf.DUMMYFUNCTION("""COMPUTED_VALUE"""),"L/31/250225/1")</f>
        <v>L/31/250225/1</v>
      </c>
      <c r="E1428" s="14" t="str">
        <f>IFERROR(__xludf.DUMMYFUNCTION("""COMPUTED_VALUE"""),"Nadian (BT)")</f>
        <v>Nadian (BT)</v>
      </c>
      <c r="F1428" s="14" t="str">
        <f>IFERROR(__xludf.DUMMYFUNCTION("""COMPUTED_VALUE"""),"SELESAI (VIA PERMOHONAN)")</f>
        <v>SELESAI (VIA PERMOHONAN)</v>
      </c>
      <c r="G1428" s="17">
        <f>IFERROR(__xludf.DUMMYFUNCTION("""COMPUTED_VALUE"""),45722.557013287034)</f>
        <v>45722.55701</v>
      </c>
      <c r="H1428" s="14" t="str">
        <f>IFERROR(__xludf.DUMMYFUNCTION("""COMPUTED_VALUE"""),"Bu Eva (SU)")</f>
        <v>Bu Eva (SU)</v>
      </c>
      <c r="I1428" s="13" t="str">
        <f>IFERROR(__xludf.DUMMYFUNCTION("""COMPUTED_VALUE"""),"SELESAI (VIA PERMOHONAN)")</f>
        <v>SELESAI (VIA PERMOHONAN)</v>
      </c>
      <c r="J1428" s="17">
        <f>IFERROR(__xludf.DUMMYFUNCTION("""COMPUTED_VALUE"""),45723.457028715275)</f>
        <v>45723.45703</v>
      </c>
      <c r="K1428" s="13" t="str">
        <f>IFERROR(__xludf.DUMMYFUNCTION("""COMPUTED_VALUE"""),"Selesai")</f>
        <v>Selesai</v>
      </c>
      <c r="L1428" s="17">
        <f>IFERROR(__xludf.DUMMYFUNCTION("""COMPUTED_VALUE"""),45723.457028715275)</f>
        <v>45723.45703</v>
      </c>
      <c r="M1428" s="13"/>
      <c r="N1428" s="13" t="str">
        <f>IFERROR(__xludf.DUMMYFUNCTION("""COMPUTED_VALUE"""),"")</f>
        <v/>
      </c>
      <c r="O1428" s="13" t="str">
        <f t="shared" si="1"/>
        <v/>
      </c>
    </row>
    <row r="1429" ht="22.5" customHeight="1">
      <c r="B1429" s="13">
        <f>IFERROR(__xludf.DUMMYFUNCTION("""COMPUTED_VALUE"""),1424.0)</f>
        <v>1424</v>
      </c>
      <c r="C1429" s="13" t="str">
        <f>IFERROR(__xludf.DUMMYFUNCTION("""COMPUTED_VALUE"""),"M. 1952/ SUMBERREJO SEJAHTERA")</f>
        <v>M. 1952/ SUMBERREJO SEJAHTERA</v>
      </c>
      <c r="D1429" s="13" t="str">
        <f>IFERROR(__xludf.DUMMYFUNCTION("""COMPUTED_VALUE"""),"K/32/280225/2")</f>
        <v>K/32/280225/2</v>
      </c>
      <c r="E1429" s="14" t="str">
        <f>IFERROR(__xludf.DUMMYFUNCTION("""COMPUTED_VALUE"""),"Nadian (BT)")</f>
        <v>Nadian (BT)</v>
      </c>
      <c r="F1429" s="14" t="str">
        <f>IFERROR(__xludf.DUMMYFUNCTION("""COMPUTED_VALUE"""),"SELESAI (VIA PERMOHONAN)")</f>
        <v>SELESAI (VIA PERMOHONAN)</v>
      </c>
      <c r="G1429" s="17">
        <f>IFERROR(__xludf.DUMMYFUNCTION("""COMPUTED_VALUE"""),45722.55701329861)</f>
        <v>45722.55701</v>
      </c>
      <c r="H1429" s="14" t="str">
        <f>IFERROR(__xludf.DUMMYFUNCTION("""COMPUTED_VALUE"""),"Bu Eva (SU)")</f>
        <v>Bu Eva (SU)</v>
      </c>
      <c r="I1429" s="13" t="str">
        <f>IFERROR(__xludf.DUMMYFUNCTION("""COMPUTED_VALUE"""),"SELESAI (VIA PERMOHONAN)")</f>
        <v>SELESAI (VIA PERMOHONAN)</v>
      </c>
      <c r="J1429" s="17">
        <f>IFERROR(__xludf.DUMMYFUNCTION("""COMPUTED_VALUE"""),45723.457028715275)</f>
        <v>45723.45703</v>
      </c>
      <c r="K1429" s="13" t="str">
        <f>IFERROR(__xludf.DUMMYFUNCTION("""COMPUTED_VALUE"""),"Selesai")</f>
        <v>Selesai</v>
      </c>
      <c r="L1429" s="17">
        <f>IFERROR(__xludf.DUMMYFUNCTION("""COMPUTED_VALUE"""),45723.457028715275)</f>
        <v>45723.45703</v>
      </c>
      <c r="M1429" s="13"/>
      <c r="N1429" s="13" t="str">
        <f>IFERROR(__xludf.DUMMYFUNCTION("""COMPUTED_VALUE"""),"")</f>
        <v/>
      </c>
      <c r="O1429" s="13" t="str">
        <f t="shared" si="1"/>
        <v/>
      </c>
    </row>
    <row r="1430" ht="22.5" customHeight="1">
      <c r="B1430" s="13">
        <f>IFERROR(__xludf.DUMMYFUNCTION("""COMPUTED_VALUE"""),1425.0)</f>
        <v>1425</v>
      </c>
      <c r="C1430" s="13" t="str">
        <f>IFERROR(__xludf.DUMMYFUNCTION("""COMPUTED_VALUE"""),"B. 276/ LABUHAN RATU RAYA")</f>
        <v>B. 276/ LABUHAN RATU RAYA</v>
      </c>
      <c r="D1430" s="13" t="str">
        <f>IFERROR(__xludf.DUMMYFUNCTION("""COMPUTED_VALUE"""),"K/43/240225/2")</f>
        <v>K/43/240225/2</v>
      </c>
      <c r="E1430" s="14" t="str">
        <f>IFERROR(__xludf.DUMMYFUNCTION("""COMPUTED_VALUE"""),"Nadian (BT)")</f>
        <v>Nadian (BT)</v>
      </c>
      <c r="F1430" s="14" t="str">
        <f>IFERROR(__xludf.DUMMYFUNCTION("""COMPUTED_VALUE"""),"SELESAI (VIA PERMOHONAN)")</f>
        <v>SELESAI (VIA PERMOHONAN)</v>
      </c>
      <c r="G1430" s="17">
        <f>IFERROR(__xludf.DUMMYFUNCTION("""COMPUTED_VALUE"""),45722.55701329861)</f>
        <v>45722.55701</v>
      </c>
      <c r="H1430" s="14" t="str">
        <f>IFERROR(__xludf.DUMMYFUNCTION("""COMPUTED_VALUE"""),"Bu Eva (SU)")</f>
        <v>Bu Eva (SU)</v>
      </c>
      <c r="I1430" s="13" t="str">
        <f>IFERROR(__xludf.DUMMYFUNCTION("""COMPUTED_VALUE"""),"SELESAI (VIA PERMOHONAN)")</f>
        <v>SELESAI (VIA PERMOHONAN)</v>
      </c>
      <c r="J1430" s="17">
        <f>IFERROR(__xludf.DUMMYFUNCTION("""COMPUTED_VALUE"""),45723.457028715275)</f>
        <v>45723.45703</v>
      </c>
      <c r="K1430" s="13" t="str">
        <f>IFERROR(__xludf.DUMMYFUNCTION("""COMPUTED_VALUE"""),"Selesai")</f>
        <v>Selesai</v>
      </c>
      <c r="L1430" s="17">
        <f>IFERROR(__xludf.DUMMYFUNCTION("""COMPUTED_VALUE"""),45723.457028715275)</f>
        <v>45723.45703</v>
      </c>
      <c r="M1430" s="13"/>
      <c r="N1430" s="13" t="str">
        <f>IFERROR(__xludf.DUMMYFUNCTION("""COMPUTED_VALUE"""),"")</f>
        <v/>
      </c>
      <c r="O1430" s="13" t="str">
        <f t="shared" si="1"/>
        <v/>
      </c>
    </row>
    <row r="1431" ht="22.5" customHeight="1">
      <c r="B1431" s="13">
        <f>IFERROR(__xludf.DUMMYFUNCTION("""COMPUTED_VALUE"""),1426.0)</f>
        <v>1426</v>
      </c>
      <c r="C1431" s="13" t="str">
        <f>IFERROR(__xludf.DUMMYFUNCTION("""COMPUTED_VALUE"""),"M. 25 / KALI BALAU KENCANA")</f>
        <v>M. 25 / KALI BALAU KENCANA</v>
      </c>
      <c r="D1431" s="13" t="str">
        <f>IFERROR(__xludf.DUMMYFUNCTION("""COMPUTED_VALUE"""),"K/8/040325/2")</f>
        <v>K/8/040325/2</v>
      </c>
      <c r="E1431" s="14" t="str">
        <f>IFERROR(__xludf.DUMMYFUNCTION("""COMPUTED_VALUE"""),"Nadian (BT)")</f>
        <v>Nadian (BT)</v>
      </c>
      <c r="F1431" s="14" t="str">
        <f>IFERROR(__xludf.DUMMYFUNCTION("""COMPUTED_VALUE"""),"SELESAI (VIA PERMOHONAN)")</f>
        <v>SELESAI (VIA PERMOHONAN)</v>
      </c>
      <c r="G1431" s="17">
        <f>IFERROR(__xludf.DUMMYFUNCTION("""COMPUTED_VALUE"""),45722.55701329861)</f>
        <v>45722.55701</v>
      </c>
      <c r="H1431" s="14" t="str">
        <f>IFERROR(__xludf.DUMMYFUNCTION("""COMPUTED_VALUE"""),"Bu Eva (SU)")</f>
        <v>Bu Eva (SU)</v>
      </c>
      <c r="I1431" s="13" t="str">
        <f>IFERROR(__xludf.DUMMYFUNCTION("""COMPUTED_VALUE"""),"SELESAI (VIA PERMOHONAN)")</f>
        <v>SELESAI (VIA PERMOHONAN)</v>
      </c>
      <c r="J1431" s="17">
        <f>IFERROR(__xludf.DUMMYFUNCTION("""COMPUTED_VALUE"""),45723.457028715275)</f>
        <v>45723.45703</v>
      </c>
      <c r="K1431" s="13" t="str">
        <f>IFERROR(__xludf.DUMMYFUNCTION("""COMPUTED_VALUE"""),"Selesai")</f>
        <v>Selesai</v>
      </c>
      <c r="L1431" s="17">
        <f>IFERROR(__xludf.DUMMYFUNCTION("""COMPUTED_VALUE"""),45723.457028715275)</f>
        <v>45723.45703</v>
      </c>
      <c r="M1431" s="13"/>
      <c r="N1431" s="13" t="str">
        <f>IFERROR(__xludf.DUMMYFUNCTION("""COMPUTED_VALUE"""),"")</f>
        <v/>
      </c>
      <c r="O1431" s="13" t="str">
        <f t="shared" si="1"/>
        <v/>
      </c>
    </row>
    <row r="1432" ht="22.5" customHeight="1">
      <c r="B1432" s="13">
        <f>IFERROR(__xludf.DUMMYFUNCTION("""COMPUTED_VALUE"""),1427.0)</f>
        <v>1427</v>
      </c>
      <c r="C1432" s="13" t="str">
        <f>IFERROR(__xludf.DUMMYFUNCTION("""COMPUTED_VALUE"""),"M. 1387/RAJABASA NUNYAI")</f>
        <v>M. 1387/RAJABASA NUNYAI</v>
      </c>
      <c r="D1432" s="13" t="str">
        <f>IFERROR(__xludf.DUMMYFUNCTION("""COMPUTED_VALUE"""),"K/31/040325/1")</f>
        <v>K/31/040325/1</v>
      </c>
      <c r="E1432" s="14" t="str">
        <f>IFERROR(__xludf.DUMMYFUNCTION("""COMPUTED_VALUE"""),"Nadian (BT)")</f>
        <v>Nadian (BT)</v>
      </c>
      <c r="F1432" s="14" t="str">
        <f>IFERROR(__xludf.DUMMYFUNCTION("""COMPUTED_VALUE"""),"SELESAI (VIA PERMOHONAN)")</f>
        <v>SELESAI (VIA PERMOHONAN)</v>
      </c>
      <c r="G1432" s="17">
        <f>IFERROR(__xludf.DUMMYFUNCTION("""COMPUTED_VALUE"""),45722.55701329861)</f>
        <v>45722.55701</v>
      </c>
      <c r="H1432" s="14" t="str">
        <f>IFERROR(__xludf.DUMMYFUNCTION("""COMPUTED_VALUE"""),"Bu Eva (SU)")</f>
        <v>Bu Eva (SU)</v>
      </c>
      <c r="I1432" s="13" t="str">
        <f>IFERROR(__xludf.DUMMYFUNCTION("""COMPUTED_VALUE"""),"SELESAI (VIA PERMOHONAN)")</f>
        <v>SELESAI (VIA PERMOHONAN)</v>
      </c>
      <c r="J1432" s="17">
        <f>IFERROR(__xludf.DUMMYFUNCTION("""COMPUTED_VALUE"""),45723.457028715275)</f>
        <v>45723.45703</v>
      </c>
      <c r="K1432" s="13" t="str">
        <f>IFERROR(__xludf.DUMMYFUNCTION("""COMPUTED_VALUE"""),"Selesai")</f>
        <v>Selesai</v>
      </c>
      <c r="L1432" s="17">
        <f>IFERROR(__xludf.DUMMYFUNCTION("""COMPUTED_VALUE"""),45723.457028715275)</f>
        <v>45723.45703</v>
      </c>
      <c r="M1432" s="13"/>
      <c r="N1432" s="13" t="str">
        <f>IFERROR(__xludf.DUMMYFUNCTION("""COMPUTED_VALUE"""),"")</f>
        <v/>
      </c>
      <c r="O1432" s="13" t="str">
        <f t="shared" si="1"/>
        <v/>
      </c>
    </row>
    <row r="1433" ht="22.5" customHeight="1">
      <c r="B1433" s="13">
        <f>IFERROR(__xludf.DUMMYFUNCTION("""COMPUTED_VALUE"""),1428.0)</f>
        <v>1428</v>
      </c>
      <c r="C1433" s="13" t="str">
        <f>IFERROR(__xludf.DUMMYFUNCTION("""COMPUTED_VALUE"""),"B. 3590 / SUKABUMI")</f>
        <v>B. 3590 / SUKABUMI</v>
      </c>
      <c r="D1433" s="13" t="str">
        <f>IFERROR(__xludf.DUMMYFUNCTION("""COMPUTED_VALUE"""),"K/4/040325/1")</f>
        <v>K/4/040325/1</v>
      </c>
      <c r="E1433" s="14" t="str">
        <f>IFERROR(__xludf.DUMMYFUNCTION("""COMPUTED_VALUE"""),"Nadian (BT)")</f>
        <v>Nadian (BT)</v>
      </c>
      <c r="F1433" s="14" t="str">
        <f>IFERROR(__xludf.DUMMYFUNCTION("""COMPUTED_VALUE"""),"SELESAI (VIA PERMOHONAN)")</f>
        <v>SELESAI (VIA PERMOHONAN)</v>
      </c>
      <c r="G1433" s="17">
        <f>IFERROR(__xludf.DUMMYFUNCTION("""COMPUTED_VALUE"""),45722.55701329861)</f>
        <v>45722.55701</v>
      </c>
      <c r="H1433" s="14" t="str">
        <f>IFERROR(__xludf.DUMMYFUNCTION("""COMPUTED_VALUE"""),"Bu Eva (SU)")</f>
        <v>Bu Eva (SU)</v>
      </c>
      <c r="I1433" s="13" t="str">
        <f>IFERROR(__xludf.DUMMYFUNCTION("""COMPUTED_VALUE"""),"SELESAI (VIA PERMOHONAN)")</f>
        <v>SELESAI (VIA PERMOHONAN)</v>
      </c>
      <c r="J1433" s="17">
        <f>IFERROR(__xludf.DUMMYFUNCTION("""COMPUTED_VALUE"""),45723.457136412035)</f>
        <v>45723.45714</v>
      </c>
      <c r="K1433" s="13" t="str">
        <f>IFERROR(__xludf.DUMMYFUNCTION("""COMPUTED_VALUE"""),"Selesai")</f>
        <v>Selesai</v>
      </c>
      <c r="L1433" s="17">
        <f>IFERROR(__xludf.DUMMYFUNCTION("""COMPUTED_VALUE"""),45723.457136412035)</f>
        <v>45723.45714</v>
      </c>
      <c r="M1433" s="13"/>
      <c r="N1433" s="13" t="str">
        <f>IFERROR(__xludf.DUMMYFUNCTION("""COMPUTED_VALUE"""),"")</f>
        <v/>
      </c>
      <c r="O1433" s="13" t="str">
        <f t="shared" si="1"/>
        <v/>
      </c>
    </row>
    <row r="1434" ht="22.5" customHeight="1">
      <c r="B1434" s="13">
        <f>IFERROR(__xludf.DUMMYFUNCTION("""COMPUTED_VALUE"""),1429.0)</f>
        <v>1429</v>
      </c>
      <c r="C1434" s="13" t="str">
        <f>IFERROR(__xludf.DUMMYFUNCTION("""COMPUTED_VALUE"""),"M. 398; 1322/ Kangkung  dan 998/ Teluk betung")</f>
        <v>M. 398; 1322/ Kangkung  dan 998/ Teluk betung</v>
      </c>
      <c r="D1434" s="13" t="str">
        <f>IFERROR(__xludf.DUMMYFUNCTION("""COMPUTED_VALUE"""),"K/17/040225/1")</f>
        <v>K/17/040225/1</v>
      </c>
      <c r="E1434" s="14" t="str">
        <f>IFERROR(__xludf.DUMMYFUNCTION("""COMPUTED_VALUE"""),"Nadian (BT)")</f>
        <v>Nadian (BT)</v>
      </c>
      <c r="F1434" s="14" t="str">
        <f>IFERROR(__xludf.DUMMYFUNCTION("""COMPUTED_VALUE"""),"SELESAI (VIA PERMOHONAN)")</f>
        <v>SELESAI (VIA PERMOHONAN)</v>
      </c>
      <c r="G1434" s="17">
        <f>IFERROR(__xludf.DUMMYFUNCTION("""COMPUTED_VALUE"""),45722.55701329861)</f>
        <v>45722.55701</v>
      </c>
      <c r="H1434" s="14" t="str">
        <f>IFERROR(__xludf.DUMMYFUNCTION("""COMPUTED_VALUE"""),"Bu Eva (SU)")</f>
        <v>Bu Eva (SU)</v>
      </c>
      <c r="I1434" s="13" t="str">
        <f>IFERROR(__xludf.DUMMYFUNCTION("""COMPUTED_VALUE"""),"SELESAI (VIA PERMOHONAN)")</f>
        <v>SELESAI (VIA PERMOHONAN)</v>
      </c>
      <c r="J1434" s="17">
        <f>IFERROR(__xludf.DUMMYFUNCTION("""COMPUTED_VALUE"""),45723.457136412035)</f>
        <v>45723.45714</v>
      </c>
      <c r="K1434" s="13" t="str">
        <f>IFERROR(__xludf.DUMMYFUNCTION("""COMPUTED_VALUE"""),"Selesai")</f>
        <v>Selesai</v>
      </c>
      <c r="L1434" s="17">
        <f>IFERROR(__xludf.DUMMYFUNCTION("""COMPUTED_VALUE"""),45723.457136412035)</f>
        <v>45723.45714</v>
      </c>
      <c r="M1434" s="13"/>
      <c r="N1434" s="13" t="str">
        <f>IFERROR(__xludf.DUMMYFUNCTION("""COMPUTED_VALUE"""),"")</f>
        <v/>
      </c>
      <c r="O1434" s="13" t="str">
        <f t="shared" si="1"/>
        <v/>
      </c>
    </row>
    <row r="1435" ht="22.5" customHeight="1">
      <c r="B1435" s="13">
        <f>IFERROR(__xludf.DUMMYFUNCTION("""COMPUTED_VALUE"""),1430.0)</f>
        <v>1430</v>
      </c>
      <c r="C1435" s="13" t="str">
        <f>IFERROR(__xludf.DUMMYFUNCTION("""COMPUTED_VALUE"""),"M. 2497/ Rajabasa Jaya")</f>
        <v>M. 2497/ Rajabasa Jaya</v>
      </c>
      <c r="D1435" s="13" t="str">
        <f>IFERROR(__xludf.DUMMYFUNCTION("""COMPUTED_VALUE"""),"K/35/070225/2")</f>
        <v>K/35/070225/2</v>
      </c>
      <c r="E1435" s="14" t="str">
        <f>IFERROR(__xludf.DUMMYFUNCTION("""COMPUTED_VALUE"""),"Nadian (BT)")</f>
        <v>Nadian (BT)</v>
      </c>
      <c r="F1435" s="14" t="str">
        <f>IFERROR(__xludf.DUMMYFUNCTION("""COMPUTED_VALUE"""),"SELESAI (VIA PERMOHONAN)")</f>
        <v>SELESAI (VIA PERMOHONAN)</v>
      </c>
      <c r="G1435" s="17">
        <f>IFERROR(__xludf.DUMMYFUNCTION("""COMPUTED_VALUE"""),45722.55701329861)</f>
        <v>45722.55701</v>
      </c>
      <c r="H1435" s="14" t="str">
        <f>IFERROR(__xludf.DUMMYFUNCTION("""COMPUTED_VALUE"""),"Bu Eva (SU)")</f>
        <v>Bu Eva (SU)</v>
      </c>
      <c r="I1435" s="13" t="str">
        <f>IFERROR(__xludf.DUMMYFUNCTION("""COMPUTED_VALUE"""),"SELESAI (VIA PERMOHONAN)")</f>
        <v>SELESAI (VIA PERMOHONAN)</v>
      </c>
      <c r="J1435" s="17">
        <f>IFERROR(__xludf.DUMMYFUNCTION("""COMPUTED_VALUE"""),45723.457136412035)</f>
        <v>45723.45714</v>
      </c>
      <c r="K1435" s="13" t="str">
        <f>IFERROR(__xludf.DUMMYFUNCTION("""COMPUTED_VALUE"""),"Selesai")</f>
        <v>Selesai</v>
      </c>
      <c r="L1435" s="17">
        <f>IFERROR(__xludf.DUMMYFUNCTION("""COMPUTED_VALUE"""),45723.457136412035)</f>
        <v>45723.45714</v>
      </c>
      <c r="M1435" s="13"/>
      <c r="N1435" s="13" t="str">
        <f>IFERROR(__xludf.DUMMYFUNCTION("""COMPUTED_VALUE"""),"")</f>
        <v/>
      </c>
      <c r="O1435" s="13" t="str">
        <f t="shared" si="1"/>
        <v/>
      </c>
    </row>
    <row r="1436" ht="22.5" customHeight="1">
      <c r="B1436" s="13">
        <f>IFERROR(__xludf.DUMMYFUNCTION("""COMPUTED_VALUE"""),1431.0)</f>
        <v>1431</v>
      </c>
      <c r="C1436" s="13" t="str">
        <f>IFERROR(__xludf.DUMMYFUNCTION("""COMPUTED_VALUE"""),"M. 2499/ Rajabasa Jaya")</f>
        <v>M. 2499/ Rajabasa Jaya</v>
      </c>
      <c r="D1436" s="13" t="str">
        <f>IFERROR(__xludf.DUMMYFUNCTION("""COMPUTED_VALUE"""),"K/34/070225/1")</f>
        <v>K/34/070225/1</v>
      </c>
      <c r="E1436" s="14" t="str">
        <f>IFERROR(__xludf.DUMMYFUNCTION("""COMPUTED_VALUE"""),"Nadian (BT)")</f>
        <v>Nadian (BT)</v>
      </c>
      <c r="F1436" s="14" t="str">
        <f>IFERROR(__xludf.DUMMYFUNCTION("""COMPUTED_VALUE"""),"SELESAI (VIA PERMOHONAN)")</f>
        <v>SELESAI (VIA PERMOHONAN)</v>
      </c>
      <c r="G1436" s="17">
        <f>IFERROR(__xludf.DUMMYFUNCTION("""COMPUTED_VALUE"""),45722.55701329861)</f>
        <v>45722.55701</v>
      </c>
      <c r="H1436" s="14" t="str">
        <f>IFERROR(__xludf.DUMMYFUNCTION("""COMPUTED_VALUE"""),"Bu Eva (SU)")</f>
        <v>Bu Eva (SU)</v>
      </c>
      <c r="I1436" s="13" t="str">
        <f>IFERROR(__xludf.DUMMYFUNCTION("""COMPUTED_VALUE"""),"SELESAI (VIA PERMOHONAN)")</f>
        <v>SELESAI (VIA PERMOHONAN)</v>
      </c>
      <c r="J1436" s="17">
        <f>IFERROR(__xludf.DUMMYFUNCTION("""COMPUTED_VALUE"""),45723.457136412035)</f>
        <v>45723.45714</v>
      </c>
      <c r="K1436" s="13" t="str">
        <f>IFERROR(__xludf.DUMMYFUNCTION("""COMPUTED_VALUE"""),"Selesai")</f>
        <v>Selesai</v>
      </c>
      <c r="L1436" s="17">
        <f>IFERROR(__xludf.DUMMYFUNCTION("""COMPUTED_VALUE"""),45723.457136412035)</f>
        <v>45723.45714</v>
      </c>
      <c r="M1436" s="13"/>
      <c r="N1436" s="13" t="str">
        <f>IFERROR(__xludf.DUMMYFUNCTION("""COMPUTED_VALUE"""),"")</f>
        <v/>
      </c>
      <c r="O1436" s="13" t="str">
        <f t="shared" si="1"/>
        <v/>
      </c>
    </row>
    <row r="1437" ht="22.5" customHeight="1">
      <c r="B1437" s="13">
        <f>IFERROR(__xludf.DUMMYFUNCTION("""COMPUTED_VALUE"""),1432.0)</f>
        <v>1432</v>
      </c>
      <c r="C1437" s="13" t="str">
        <f>IFERROR(__xludf.DUMMYFUNCTION("""COMPUTED_VALUE"""),"HM 52/TANJUNG AGUNG")</f>
        <v>HM 52/TANJUNG AGUNG</v>
      </c>
      <c r="D1437" s="13" t="str">
        <f>IFERROR(__xludf.DUMMYFUNCTION("""COMPUTED_VALUE"""),"L/10/030325/1")</f>
        <v>L/10/030325/1</v>
      </c>
      <c r="E1437" s="14" t="str">
        <f>IFERROR(__xludf.DUMMYFUNCTION("""COMPUTED_VALUE"""),"Nadian (BT)")</f>
        <v>Nadian (BT)</v>
      </c>
      <c r="F1437" s="14" t="str">
        <f>IFERROR(__xludf.DUMMYFUNCTION("""COMPUTED_VALUE"""),"SELESAI (VIA PERMOHONAN)")</f>
        <v>SELESAI (VIA PERMOHONAN)</v>
      </c>
      <c r="G1437" s="17">
        <f>IFERROR(__xludf.DUMMYFUNCTION("""COMPUTED_VALUE"""),45722.55701329861)</f>
        <v>45722.55701</v>
      </c>
      <c r="H1437" s="14" t="str">
        <f>IFERROR(__xludf.DUMMYFUNCTION("""COMPUTED_VALUE"""),"Bu Eva (SU)")</f>
        <v>Bu Eva (SU)</v>
      </c>
      <c r="I1437" s="13" t="str">
        <f>IFERROR(__xludf.DUMMYFUNCTION("""COMPUTED_VALUE"""),"SELESAI (VIA PERMOHONAN)")</f>
        <v>SELESAI (VIA PERMOHONAN)</v>
      </c>
      <c r="J1437" s="17">
        <f>IFERROR(__xludf.DUMMYFUNCTION("""COMPUTED_VALUE"""),45723.457136412035)</f>
        <v>45723.45714</v>
      </c>
      <c r="K1437" s="13" t="str">
        <f>IFERROR(__xludf.DUMMYFUNCTION("""COMPUTED_VALUE"""),"Selesai")</f>
        <v>Selesai</v>
      </c>
      <c r="L1437" s="17">
        <f>IFERROR(__xludf.DUMMYFUNCTION("""COMPUTED_VALUE"""),45723.457136412035)</f>
        <v>45723.45714</v>
      </c>
      <c r="M1437" s="13"/>
      <c r="N1437" s="13" t="str">
        <f>IFERROR(__xludf.DUMMYFUNCTION("""COMPUTED_VALUE"""),"")</f>
        <v/>
      </c>
      <c r="O1437" s="13" t="str">
        <f t="shared" si="1"/>
        <v/>
      </c>
    </row>
    <row r="1438" ht="22.5" customHeight="1">
      <c r="B1438" s="13">
        <f>IFERROR(__xludf.DUMMYFUNCTION("""COMPUTED_VALUE"""),1433.0)</f>
        <v>1433</v>
      </c>
      <c r="C1438" s="13" t="str">
        <f>IFERROR(__xludf.DUMMYFUNCTION("""COMPUTED_VALUE"""),"M. 1318/ Bumi Waras")</f>
        <v>M. 1318/ Bumi Waras</v>
      </c>
      <c r="D1438" s="13" t="str">
        <f>IFERROR(__xludf.DUMMYFUNCTION("""COMPUTED_VALUE"""),"K/3/210225/1")</f>
        <v>K/3/210225/1</v>
      </c>
      <c r="E1438" s="14" t="str">
        <f>IFERROR(__xludf.DUMMYFUNCTION("""COMPUTED_VALUE"""),"Afriza (BT)")</f>
        <v>Afriza (BT)</v>
      </c>
      <c r="F1438" s="14" t="str">
        <f>IFERROR(__xludf.DUMMYFUNCTION("""COMPUTED_VALUE"""),"SELESAI (VIA PERMOHONAN)")</f>
        <v>SELESAI (VIA PERMOHONAN)</v>
      </c>
      <c r="G1438" s="17">
        <f>IFERROR(__xludf.DUMMYFUNCTION("""COMPUTED_VALUE"""),45722.553544421295)</f>
        <v>45722.55354</v>
      </c>
      <c r="H1438" s="14" t="str">
        <f>IFERROR(__xludf.DUMMYFUNCTION("""COMPUTED_VALUE"""),"Bu Eva (SU)")</f>
        <v>Bu Eva (SU)</v>
      </c>
      <c r="I1438" s="13" t="str">
        <f>IFERROR(__xludf.DUMMYFUNCTION("""COMPUTED_VALUE"""),"SELESAI (VIA PERMOHONAN)")</f>
        <v>SELESAI (VIA PERMOHONAN)</v>
      </c>
      <c r="J1438" s="17">
        <f>IFERROR(__xludf.DUMMYFUNCTION("""COMPUTED_VALUE"""),45722.553606180554)</f>
        <v>45722.55361</v>
      </c>
      <c r="K1438" s="13" t="str">
        <f>IFERROR(__xludf.DUMMYFUNCTION("""COMPUTED_VALUE"""),"Selesai")</f>
        <v>Selesai</v>
      </c>
      <c r="L1438" s="17">
        <f>IFERROR(__xludf.DUMMYFUNCTION("""COMPUTED_VALUE"""),45722.553606180554)</f>
        <v>45722.55361</v>
      </c>
      <c r="M1438" s="13"/>
      <c r="N1438" s="13" t="str">
        <f>IFERROR(__xludf.DUMMYFUNCTION("""COMPUTED_VALUE"""),"")</f>
        <v/>
      </c>
      <c r="O1438" s="13" t="str">
        <f t="shared" si="1"/>
        <v/>
      </c>
    </row>
    <row r="1439" ht="22.5" customHeight="1">
      <c r="B1439" s="13">
        <f>IFERROR(__xludf.DUMMYFUNCTION("""COMPUTED_VALUE"""),1434.0)</f>
        <v>1434</v>
      </c>
      <c r="C1439" s="13" t="str">
        <f>IFERROR(__xludf.DUMMYFUNCTION("""COMPUTED_VALUE"""),"HGB 239/NUSANTARA PERMAI")</f>
        <v>HGB 239/NUSANTARA PERMAI</v>
      </c>
      <c r="D1439" s="13" t="str">
        <f>IFERROR(__xludf.DUMMYFUNCTION("""COMPUTED_VALUE"""),"L/28/210225/1")</f>
        <v>L/28/210225/1</v>
      </c>
      <c r="E1439" s="14" t="str">
        <f>IFERROR(__xludf.DUMMYFUNCTION("""COMPUTED_VALUE"""),"Afriza (BT)")</f>
        <v>Afriza (BT)</v>
      </c>
      <c r="F1439" s="14" t="str">
        <f>IFERROR(__xludf.DUMMYFUNCTION("""COMPUTED_VALUE"""),"SELESAI (VIA PERMOHONAN)")</f>
        <v>SELESAI (VIA PERMOHONAN)</v>
      </c>
      <c r="G1439" s="17">
        <f>IFERROR(__xludf.DUMMYFUNCTION("""COMPUTED_VALUE"""),45722.55404234954)</f>
        <v>45722.55404</v>
      </c>
      <c r="H1439" s="14" t="str">
        <f>IFERROR(__xludf.DUMMYFUNCTION("""COMPUTED_VALUE"""),"Bu Eva (SU)")</f>
        <v>Bu Eva (SU)</v>
      </c>
      <c r="I1439" s="13" t="str">
        <f>IFERROR(__xludf.DUMMYFUNCTION("""COMPUTED_VALUE"""),"SELESAI (VIA PERMOHONAN)")</f>
        <v>SELESAI (VIA PERMOHONAN)</v>
      </c>
      <c r="J1439" s="17">
        <f>IFERROR(__xludf.DUMMYFUNCTION("""COMPUTED_VALUE"""),45723.45732944444)</f>
        <v>45723.45733</v>
      </c>
      <c r="K1439" s="13" t="str">
        <f>IFERROR(__xludf.DUMMYFUNCTION("""COMPUTED_VALUE"""),"Selesai")</f>
        <v>Selesai</v>
      </c>
      <c r="L1439" s="17">
        <f>IFERROR(__xludf.DUMMYFUNCTION("""COMPUTED_VALUE"""),45723.45732944444)</f>
        <v>45723.45733</v>
      </c>
      <c r="M1439" s="13"/>
      <c r="N1439" s="13" t="str">
        <f>IFERROR(__xludf.DUMMYFUNCTION("""COMPUTED_VALUE"""),"")</f>
        <v/>
      </c>
      <c r="O1439" s="13" t="str">
        <f t="shared" si="1"/>
        <v/>
      </c>
    </row>
    <row r="1440" ht="22.5" customHeight="1">
      <c r="B1440" s="13">
        <f>IFERROR(__xludf.DUMMYFUNCTION("""COMPUTED_VALUE"""),1435.0)</f>
        <v>1435</v>
      </c>
      <c r="C1440" s="13" t="str">
        <f>IFERROR(__xludf.DUMMYFUNCTION("""COMPUTED_VALUE"""),"M. 522/ Jagabaya III")</f>
        <v>M. 522/ Jagabaya III</v>
      </c>
      <c r="D1440" s="13" t="str">
        <f>IFERROR(__xludf.DUMMYFUNCTION("""COMPUTED_VALUE"""),"K/2/250225/2")</f>
        <v>K/2/250225/2</v>
      </c>
      <c r="E1440" s="14" t="str">
        <f>IFERROR(__xludf.DUMMYFUNCTION("""COMPUTED_VALUE"""),"Afriza (BT)")</f>
        <v>Afriza (BT)</v>
      </c>
      <c r="F1440" s="14" t="str">
        <f>IFERROR(__xludf.DUMMYFUNCTION("""COMPUTED_VALUE"""),"SELESAI (VIA PERMOHONAN)")</f>
        <v>SELESAI (VIA PERMOHONAN)</v>
      </c>
      <c r="G1440" s="17">
        <f>IFERROR(__xludf.DUMMYFUNCTION("""COMPUTED_VALUE"""),45722.57168840278)</f>
        <v>45722.57169</v>
      </c>
      <c r="H1440" s="14" t="str">
        <f>IFERROR(__xludf.DUMMYFUNCTION("""COMPUTED_VALUE"""),"Bu Eva (SU)")</f>
        <v>Bu Eva (SU)</v>
      </c>
      <c r="I1440" s="13" t="str">
        <f>IFERROR(__xludf.DUMMYFUNCTION("""COMPUTED_VALUE"""),"SELESAI (VIA PERMOHONAN)")</f>
        <v>SELESAI (VIA PERMOHONAN)</v>
      </c>
      <c r="J1440" s="17">
        <f>IFERROR(__xludf.DUMMYFUNCTION("""COMPUTED_VALUE"""),45723.457302650466)</f>
        <v>45723.4573</v>
      </c>
      <c r="K1440" s="13" t="str">
        <f>IFERROR(__xludf.DUMMYFUNCTION("""COMPUTED_VALUE"""),"Selesai")</f>
        <v>Selesai</v>
      </c>
      <c r="L1440" s="17">
        <f>IFERROR(__xludf.DUMMYFUNCTION("""COMPUTED_VALUE"""),45723.457302650466)</f>
        <v>45723.4573</v>
      </c>
      <c r="M1440" s="13"/>
      <c r="N1440" s="13" t="str">
        <f>IFERROR(__xludf.DUMMYFUNCTION("""COMPUTED_VALUE"""),"")</f>
        <v/>
      </c>
      <c r="O1440" s="13" t="str">
        <f t="shared" si="1"/>
        <v/>
      </c>
    </row>
    <row r="1441" ht="22.5" customHeight="1">
      <c r="B1441" s="13">
        <f>IFERROR(__xludf.DUMMYFUNCTION("""COMPUTED_VALUE"""),1436.0)</f>
        <v>1436</v>
      </c>
      <c r="C1441" s="13" t="str">
        <f>IFERROR(__xludf.DUMMYFUNCTION("""COMPUTED_VALUE"""),"M. 653/ Sukarame II")</f>
        <v>M. 653/ Sukarame II</v>
      </c>
      <c r="D1441" s="13" t="str">
        <f>IFERROR(__xludf.DUMMYFUNCTION("""COMPUTED_VALUE"""),"K/5/040325/1")</f>
        <v>K/5/040325/1</v>
      </c>
      <c r="E1441" s="14" t="str">
        <f>IFERROR(__xludf.DUMMYFUNCTION("""COMPUTED_VALUE"""),"Afriza (BT)")</f>
        <v>Afriza (BT)</v>
      </c>
      <c r="F1441" s="14" t="str">
        <f>IFERROR(__xludf.DUMMYFUNCTION("""COMPUTED_VALUE"""),"SELESAI (VIA PERMOHONAN)")</f>
        <v>SELESAI (VIA PERMOHONAN)</v>
      </c>
      <c r="G1441" s="17">
        <f>IFERROR(__xludf.DUMMYFUNCTION("""COMPUTED_VALUE"""),45722.57177512732)</f>
        <v>45722.57178</v>
      </c>
      <c r="H1441" s="14" t="str">
        <f>IFERROR(__xludf.DUMMYFUNCTION("""COMPUTED_VALUE"""),"Bu Eva (SU)")</f>
        <v>Bu Eva (SU)</v>
      </c>
      <c r="I1441" s="13" t="str">
        <f>IFERROR(__xludf.DUMMYFUNCTION("""COMPUTED_VALUE"""),"SELESAI (VIA PERMOHONAN)")</f>
        <v>SELESAI (VIA PERMOHONAN)</v>
      </c>
      <c r="J1441" s="17">
        <f>IFERROR(__xludf.DUMMYFUNCTION("""COMPUTED_VALUE"""),45723.457302650466)</f>
        <v>45723.4573</v>
      </c>
      <c r="K1441" s="13" t="str">
        <f>IFERROR(__xludf.DUMMYFUNCTION("""COMPUTED_VALUE"""),"Selesai")</f>
        <v>Selesai</v>
      </c>
      <c r="L1441" s="17">
        <f>IFERROR(__xludf.DUMMYFUNCTION("""COMPUTED_VALUE"""),45723.457302650466)</f>
        <v>45723.4573</v>
      </c>
      <c r="M1441" s="13"/>
      <c r="N1441" s="13" t="str">
        <f>IFERROR(__xludf.DUMMYFUNCTION("""COMPUTED_VALUE"""),"")</f>
        <v/>
      </c>
      <c r="O1441" s="13" t="str">
        <f t="shared" si="1"/>
        <v/>
      </c>
    </row>
    <row r="1442" ht="22.5" customHeight="1">
      <c r="B1442" s="13">
        <f>IFERROR(__xludf.DUMMYFUNCTION("""COMPUTED_VALUE"""),1437.0)</f>
        <v>1437</v>
      </c>
      <c r="C1442" s="13" t="str">
        <f>IFERROR(__xludf.DUMMYFUNCTION("""COMPUTED_VALUE"""),"B. 394/ Kemiling Permai")</f>
        <v>B. 394/ Kemiling Permai</v>
      </c>
      <c r="D1442" s="13" t="str">
        <f>IFERROR(__xludf.DUMMYFUNCTION("""COMPUTED_VALUE"""),"K/13/210225/3")</f>
        <v>K/13/210225/3</v>
      </c>
      <c r="E1442" s="14" t="str">
        <f>IFERROR(__xludf.DUMMYFUNCTION("""COMPUTED_VALUE"""),"Afriza (BT)")</f>
        <v>Afriza (BT)</v>
      </c>
      <c r="F1442" s="14" t="str">
        <f>IFERROR(__xludf.DUMMYFUNCTION("""COMPUTED_VALUE"""),"SELESAI (VIA PERMOHONAN)")</f>
        <v>SELESAI (VIA PERMOHONAN)</v>
      </c>
      <c r="G1442" s="17">
        <f>IFERROR(__xludf.DUMMYFUNCTION("""COMPUTED_VALUE"""),45722.57187630787)</f>
        <v>45722.57188</v>
      </c>
      <c r="H1442" s="14" t="str">
        <f>IFERROR(__xludf.DUMMYFUNCTION("""COMPUTED_VALUE"""),"Bu Eva (SU)")</f>
        <v>Bu Eva (SU)</v>
      </c>
      <c r="I1442" s="13" t="str">
        <f>IFERROR(__xludf.DUMMYFUNCTION("""COMPUTED_VALUE"""),"SELESAI (VIA PERMOHONAN)")</f>
        <v>SELESAI (VIA PERMOHONAN)</v>
      </c>
      <c r="J1442" s="17">
        <f>IFERROR(__xludf.DUMMYFUNCTION("""COMPUTED_VALUE"""),45723.457302650466)</f>
        <v>45723.4573</v>
      </c>
      <c r="K1442" s="13" t="str">
        <f>IFERROR(__xludf.DUMMYFUNCTION("""COMPUTED_VALUE"""),"Selesai")</f>
        <v>Selesai</v>
      </c>
      <c r="L1442" s="17">
        <f>IFERROR(__xludf.DUMMYFUNCTION("""COMPUTED_VALUE"""),45723.457302650466)</f>
        <v>45723.4573</v>
      </c>
      <c r="M1442" s="13"/>
      <c r="N1442" s="13" t="str">
        <f>IFERROR(__xludf.DUMMYFUNCTION("""COMPUTED_VALUE"""),"")</f>
        <v/>
      </c>
      <c r="O1442" s="13" t="str">
        <f t="shared" si="1"/>
        <v/>
      </c>
    </row>
    <row r="1443" ht="22.5" customHeight="1">
      <c r="B1443" s="13">
        <f>IFERROR(__xludf.DUMMYFUNCTION("""COMPUTED_VALUE"""),1438.0)</f>
        <v>1438</v>
      </c>
      <c r="C1443" s="13" t="str">
        <f>IFERROR(__xludf.DUMMYFUNCTION("""COMPUTED_VALUE"""),"HM 1688/BERINGIN JAYA")</f>
        <v>HM 1688/BERINGIN JAYA</v>
      </c>
      <c r="D1443" s="13" t="str">
        <f>IFERROR(__xludf.DUMMYFUNCTION("""COMPUTED_VALUE"""),"L/13/040325/1")</f>
        <v>L/13/040325/1</v>
      </c>
      <c r="E1443" s="14" t="str">
        <f>IFERROR(__xludf.DUMMYFUNCTION("""COMPUTED_VALUE"""),"Afriza (BT)")</f>
        <v>Afriza (BT)</v>
      </c>
      <c r="F1443" s="14" t="str">
        <f>IFERROR(__xludf.DUMMYFUNCTION("""COMPUTED_VALUE"""),"SELESAI (VIA PERMOHONAN)")</f>
        <v>SELESAI (VIA PERMOHONAN)</v>
      </c>
      <c r="G1443" s="17">
        <f>IFERROR(__xludf.DUMMYFUNCTION("""COMPUTED_VALUE"""),45723.454005949076)</f>
        <v>45723.45401</v>
      </c>
      <c r="H1443" s="14" t="str">
        <f>IFERROR(__xludf.DUMMYFUNCTION("""COMPUTED_VALUE"""),"Bu Eva (SU)")</f>
        <v>Bu Eva (SU)</v>
      </c>
      <c r="I1443" s="13" t="str">
        <f>IFERROR(__xludf.DUMMYFUNCTION("""COMPUTED_VALUE"""),"SELESAI (VIA PERMOHONAN)")</f>
        <v>SELESAI (VIA PERMOHONAN)</v>
      </c>
      <c r="J1443" s="17">
        <f>IFERROR(__xludf.DUMMYFUNCTION("""COMPUTED_VALUE"""),45723.454005949076)</f>
        <v>45723.45401</v>
      </c>
      <c r="K1443" s="13" t="str">
        <f>IFERROR(__xludf.DUMMYFUNCTION("""COMPUTED_VALUE"""),"Selesai")</f>
        <v>Selesai</v>
      </c>
      <c r="L1443" s="17">
        <f>IFERROR(__xludf.DUMMYFUNCTION("""COMPUTED_VALUE"""),45723.454005949076)</f>
        <v>45723.45401</v>
      </c>
      <c r="M1443" s="13"/>
      <c r="N1443" s="13" t="str">
        <f>IFERROR(__xludf.DUMMYFUNCTION("""COMPUTED_VALUE"""),"")</f>
        <v/>
      </c>
      <c r="O1443" s="13" t="str">
        <f t="shared" si="1"/>
        <v/>
      </c>
    </row>
    <row r="1444" ht="22.5" customHeight="1">
      <c r="B1444" s="13">
        <f>IFERROR(__xludf.DUMMYFUNCTION("""COMPUTED_VALUE"""),1439.0)</f>
        <v>1439</v>
      </c>
      <c r="C1444" s="13" t="str">
        <f>IFERROR(__xludf.DUMMYFUNCTION("""COMPUTED_VALUE"""),"M. 588/LABUHAN DALAM")</f>
        <v>M. 588/LABUHAN DALAM</v>
      </c>
      <c r="D1444" s="13" t="str">
        <f>IFERROR(__xludf.DUMMYFUNCTION("""COMPUTED_VALUE"""),"K/27/050325/1")</f>
        <v>K/27/050325/1</v>
      </c>
      <c r="E1444" s="14" t="str">
        <f>IFERROR(__xludf.DUMMYFUNCTION("""COMPUTED_VALUE"""),"Nadian (BT)")</f>
        <v>Nadian (BT)</v>
      </c>
      <c r="F1444" s="14" t="str">
        <f>IFERROR(__xludf.DUMMYFUNCTION("""COMPUTED_VALUE"""),"SELESAI (VIA PERMOHONAN)")</f>
        <v>SELESAI (VIA PERMOHONAN)</v>
      </c>
      <c r="G1444" s="17">
        <f>IFERROR(__xludf.DUMMYFUNCTION("""COMPUTED_VALUE"""),45727.567212766204)</f>
        <v>45727.56721</v>
      </c>
      <c r="H1444" s="14" t="str">
        <f>IFERROR(__xludf.DUMMYFUNCTION("""COMPUTED_VALUE"""),"Bu Eva (SU)")</f>
        <v>Bu Eva (SU)</v>
      </c>
      <c r="I1444" s="13" t="str">
        <f>IFERROR(__xludf.DUMMYFUNCTION("""COMPUTED_VALUE"""),"SELESAI (VIA PERMOHONAN)")</f>
        <v>SELESAI (VIA PERMOHONAN)</v>
      </c>
      <c r="J1444" s="17">
        <f>IFERROR(__xludf.DUMMYFUNCTION("""COMPUTED_VALUE"""),45726.62194755787)</f>
        <v>45726.62195</v>
      </c>
      <c r="K1444" s="13" t="str">
        <f>IFERROR(__xludf.DUMMYFUNCTION("""COMPUTED_VALUE"""),"Selesai")</f>
        <v>Selesai</v>
      </c>
      <c r="L1444" s="17">
        <f>IFERROR(__xludf.DUMMYFUNCTION("""COMPUTED_VALUE"""),45726.62194755787)</f>
        <v>45726.62195</v>
      </c>
      <c r="M1444" s="13"/>
      <c r="N1444" s="13" t="str">
        <f>IFERROR(__xludf.DUMMYFUNCTION("""COMPUTED_VALUE"""),"")</f>
        <v/>
      </c>
      <c r="O1444" s="13" t="str">
        <f t="shared" si="1"/>
        <v/>
      </c>
    </row>
    <row r="1445" ht="22.5" customHeight="1">
      <c r="B1445" s="13">
        <f>IFERROR(__xludf.DUMMYFUNCTION("""COMPUTED_VALUE"""),1440.0)</f>
        <v>1440</v>
      </c>
      <c r="C1445" s="13" t="str">
        <f>IFERROR(__xludf.DUMMYFUNCTION("""COMPUTED_VALUE"""),"M. 11336/TANJUNG BARU")</f>
        <v>M. 11336/TANJUNG BARU</v>
      </c>
      <c r="D1445" s="13" t="str">
        <f>IFERROR(__xludf.DUMMYFUNCTION("""COMPUTED_VALUE"""),"K/18/210225/1")</f>
        <v>K/18/210225/1</v>
      </c>
      <c r="E1445" s="14" t="str">
        <f>IFERROR(__xludf.DUMMYFUNCTION("""COMPUTED_VALUE"""),"Nadian (BT)")</f>
        <v>Nadian (BT)</v>
      </c>
      <c r="F1445" s="14" t="str">
        <f>IFERROR(__xludf.DUMMYFUNCTION("""COMPUTED_VALUE"""),"SELESAI (VIA PERMOHONAN)")</f>
        <v>SELESAI (VIA PERMOHONAN)</v>
      </c>
      <c r="G1445" s="17">
        <f>IFERROR(__xludf.DUMMYFUNCTION("""COMPUTED_VALUE"""),45727.56725357639)</f>
        <v>45727.56725</v>
      </c>
      <c r="H1445" s="14" t="str">
        <f>IFERROR(__xludf.DUMMYFUNCTION("""COMPUTED_VALUE"""),"Bu Eva (SU)")</f>
        <v>Bu Eva (SU)</v>
      </c>
      <c r="I1445" s="13" t="str">
        <f>IFERROR(__xludf.DUMMYFUNCTION("""COMPUTED_VALUE"""),"SELESAI (VIA PERMOHONAN)")</f>
        <v>SELESAI (VIA PERMOHONAN)</v>
      </c>
      <c r="J1445" s="17">
        <f>IFERROR(__xludf.DUMMYFUNCTION("""COMPUTED_VALUE"""),45726.62194755787)</f>
        <v>45726.62195</v>
      </c>
      <c r="K1445" s="13" t="str">
        <f>IFERROR(__xludf.DUMMYFUNCTION("""COMPUTED_VALUE"""),"Selesai")</f>
        <v>Selesai</v>
      </c>
      <c r="L1445" s="17">
        <f>IFERROR(__xludf.DUMMYFUNCTION("""COMPUTED_VALUE"""),45726.62194755787)</f>
        <v>45726.62195</v>
      </c>
      <c r="M1445" s="13"/>
      <c r="N1445" s="13" t="str">
        <f>IFERROR(__xludf.DUMMYFUNCTION("""COMPUTED_VALUE"""),"")</f>
        <v/>
      </c>
      <c r="O1445" s="13" t="str">
        <f t="shared" si="1"/>
        <v/>
      </c>
    </row>
    <row r="1446" ht="22.5" customHeight="1">
      <c r="B1446" s="13">
        <f>IFERROR(__xludf.DUMMYFUNCTION("""COMPUTED_VALUE"""),1441.0)</f>
        <v>1441</v>
      </c>
      <c r="C1446" s="13" t="str">
        <f>IFERROR(__xludf.DUMMYFUNCTION("""COMPUTED_VALUE"""),"M. 9365/ Jagabaya II")</f>
        <v>M. 9365/ Jagabaya II</v>
      </c>
      <c r="D1446" s="13" t="str">
        <f>IFERROR(__xludf.DUMMYFUNCTION("""COMPUTED_VALUE"""),"K/30/280225/1")</f>
        <v>K/30/280225/1</v>
      </c>
      <c r="E1446" s="14" t="str">
        <f>IFERROR(__xludf.DUMMYFUNCTION("""COMPUTED_VALUE"""),"Nadian (BT)")</f>
        <v>Nadian (BT)</v>
      </c>
      <c r="F1446" s="14" t="str">
        <f>IFERROR(__xludf.DUMMYFUNCTION("""COMPUTED_VALUE"""),"SELESAI (VIA PERMOHONAN)")</f>
        <v>SELESAI (VIA PERMOHONAN)</v>
      </c>
      <c r="G1446" s="17">
        <f>IFERROR(__xludf.DUMMYFUNCTION("""COMPUTED_VALUE"""),45727.56725357639)</f>
        <v>45727.56725</v>
      </c>
      <c r="H1446" s="14" t="str">
        <f>IFERROR(__xludf.DUMMYFUNCTION("""COMPUTED_VALUE"""),"Bu Eva (SU)")</f>
        <v>Bu Eva (SU)</v>
      </c>
      <c r="I1446" s="13" t="str">
        <f>IFERROR(__xludf.DUMMYFUNCTION("""COMPUTED_VALUE"""),"SELESAI (VIA PERMOHONAN)")</f>
        <v>SELESAI (VIA PERMOHONAN)</v>
      </c>
      <c r="J1446" s="17">
        <f>IFERROR(__xludf.DUMMYFUNCTION("""COMPUTED_VALUE"""),45726.62194755787)</f>
        <v>45726.62195</v>
      </c>
      <c r="K1446" s="13" t="str">
        <f>IFERROR(__xludf.DUMMYFUNCTION("""COMPUTED_VALUE"""),"Selesai")</f>
        <v>Selesai</v>
      </c>
      <c r="L1446" s="17">
        <f>IFERROR(__xludf.DUMMYFUNCTION("""COMPUTED_VALUE"""),45726.62194755787)</f>
        <v>45726.62195</v>
      </c>
      <c r="M1446" s="13"/>
      <c r="N1446" s="13" t="str">
        <f>IFERROR(__xludf.DUMMYFUNCTION("""COMPUTED_VALUE"""),"")</f>
        <v/>
      </c>
      <c r="O1446" s="13" t="str">
        <f t="shared" si="1"/>
        <v/>
      </c>
    </row>
    <row r="1447" ht="22.5" customHeight="1">
      <c r="B1447" s="13">
        <f>IFERROR(__xludf.DUMMYFUNCTION("""COMPUTED_VALUE"""),1442.0)</f>
        <v>1442</v>
      </c>
      <c r="C1447" s="13" t="str">
        <f>IFERROR(__xludf.DUMMYFUNCTION("""COMPUTED_VALUE"""),"M. 573/ Korpri Jaya")</f>
        <v>M. 573/ Korpri Jaya</v>
      </c>
      <c r="D1447" s="13" t="str">
        <f>IFERROR(__xludf.DUMMYFUNCTION("""COMPUTED_VALUE"""),"K/39/250225/3")</f>
        <v>K/39/250225/3</v>
      </c>
      <c r="E1447" s="14" t="str">
        <f>IFERROR(__xludf.DUMMYFUNCTION("""COMPUTED_VALUE"""),"Nadian (BT)")</f>
        <v>Nadian (BT)</v>
      </c>
      <c r="F1447" s="14" t="str">
        <f>IFERROR(__xludf.DUMMYFUNCTION("""COMPUTED_VALUE"""),"SELESAI (VIA PERMOHONAN)")</f>
        <v>SELESAI (VIA PERMOHONAN)</v>
      </c>
      <c r="G1447" s="17">
        <f>IFERROR(__xludf.DUMMYFUNCTION("""COMPUTED_VALUE"""),45727.56725357639)</f>
        <v>45727.56725</v>
      </c>
      <c r="H1447" s="14" t="str">
        <f>IFERROR(__xludf.DUMMYFUNCTION("""COMPUTED_VALUE"""),"Bu Eva (SU)")</f>
        <v>Bu Eva (SU)</v>
      </c>
      <c r="I1447" s="13" t="str">
        <f>IFERROR(__xludf.DUMMYFUNCTION("""COMPUTED_VALUE"""),"SELESAI (VIA PERMOHONAN)")</f>
        <v>SELESAI (VIA PERMOHONAN)</v>
      </c>
      <c r="J1447" s="17">
        <f>IFERROR(__xludf.DUMMYFUNCTION("""COMPUTED_VALUE"""),45726.62194755787)</f>
        <v>45726.62195</v>
      </c>
      <c r="K1447" s="13" t="str">
        <f>IFERROR(__xludf.DUMMYFUNCTION("""COMPUTED_VALUE"""),"Selesai")</f>
        <v>Selesai</v>
      </c>
      <c r="L1447" s="17">
        <f>IFERROR(__xludf.DUMMYFUNCTION("""COMPUTED_VALUE"""),45726.62194755787)</f>
        <v>45726.62195</v>
      </c>
      <c r="M1447" s="13"/>
      <c r="N1447" s="13" t="str">
        <f>IFERROR(__xludf.DUMMYFUNCTION("""COMPUTED_VALUE"""),"")</f>
        <v/>
      </c>
      <c r="O1447" s="13" t="str">
        <f t="shared" si="1"/>
        <v/>
      </c>
    </row>
    <row r="1448" ht="22.5" customHeight="1">
      <c r="B1448" s="13">
        <f>IFERROR(__xludf.DUMMYFUNCTION("""COMPUTED_VALUE"""),1443.0)</f>
        <v>1443</v>
      </c>
      <c r="C1448" s="13" t="str">
        <f>IFERROR(__xludf.DUMMYFUNCTION("""COMPUTED_VALUE"""),"M. 6412/GUNUNG SULAH")</f>
        <v>M. 6412/GUNUNG SULAH</v>
      </c>
      <c r="D1448" s="13" t="str">
        <f>IFERROR(__xludf.DUMMYFUNCTION("""COMPUTED_VALUE"""),"K/24/270225/1")</f>
        <v>K/24/270225/1</v>
      </c>
      <c r="E1448" s="14" t="str">
        <f>IFERROR(__xludf.DUMMYFUNCTION("""COMPUTED_VALUE"""),"Nadian (BT)")</f>
        <v>Nadian (BT)</v>
      </c>
      <c r="F1448" s="14" t="str">
        <f>IFERROR(__xludf.DUMMYFUNCTION("""COMPUTED_VALUE"""),"SELESAI (VIA PERMOHONAN)")</f>
        <v>SELESAI (VIA PERMOHONAN)</v>
      </c>
      <c r="G1448" s="17">
        <f>IFERROR(__xludf.DUMMYFUNCTION("""COMPUTED_VALUE"""),45727.56725357639)</f>
        <v>45727.56725</v>
      </c>
      <c r="H1448" s="14" t="str">
        <f>IFERROR(__xludf.DUMMYFUNCTION("""COMPUTED_VALUE"""),"Bu Eva (SU)")</f>
        <v>Bu Eva (SU)</v>
      </c>
      <c r="I1448" s="13" t="str">
        <f>IFERROR(__xludf.DUMMYFUNCTION("""COMPUTED_VALUE"""),"SELESAI (VIA PERMOHONAN)")</f>
        <v>SELESAI (VIA PERMOHONAN)</v>
      </c>
      <c r="J1448" s="17">
        <f>IFERROR(__xludf.DUMMYFUNCTION("""COMPUTED_VALUE"""),45726.62194755787)</f>
        <v>45726.62195</v>
      </c>
      <c r="K1448" s="13" t="str">
        <f>IFERROR(__xludf.DUMMYFUNCTION("""COMPUTED_VALUE"""),"Selesai")</f>
        <v>Selesai</v>
      </c>
      <c r="L1448" s="17">
        <f>IFERROR(__xludf.DUMMYFUNCTION("""COMPUTED_VALUE"""),45726.62194755787)</f>
        <v>45726.62195</v>
      </c>
      <c r="M1448" s="13"/>
      <c r="N1448" s="13" t="str">
        <f>IFERROR(__xludf.DUMMYFUNCTION("""COMPUTED_VALUE"""),"")</f>
        <v/>
      </c>
      <c r="O1448" s="13" t="str">
        <f t="shared" si="1"/>
        <v/>
      </c>
    </row>
    <row r="1449" ht="22.5" customHeight="1">
      <c r="B1449" s="13">
        <f>IFERROR(__xludf.DUMMYFUNCTION("""COMPUTED_VALUE"""),1444.0)</f>
        <v>1444</v>
      </c>
      <c r="C1449" s="13" t="str">
        <f>IFERROR(__xludf.DUMMYFUNCTION("""COMPUTED_VALUE"""),"M.5576/LANGKAPURA")</f>
        <v>M.5576/LANGKAPURA</v>
      </c>
      <c r="D1449" s="13" t="str">
        <f>IFERROR(__xludf.DUMMYFUNCTION("""COMPUTED_VALUE"""),"K/22/050325/1")</f>
        <v>K/22/050325/1</v>
      </c>
      <c r="E1449" s="14" t="str">
        <f>IFERROR(__xludf.DUMMYFUNCTION("""COMPUTED_VALUE"""),"Nadian (BT)")</f>
        <v>Nadian (BT)</v>
      </c>
      <c r="F1449" s="14" t="str">
        <f>IFERROR(__xludf.DUMMYFUNCTION("""COMPUTED_VALUE"""),"SELESAI (VIA PERMOHONAN)")</f>
        <v>SELESAI (VIA PERMOHONAN)</v>
      </c>
      <c r="G1449" s="17">
        <f>IFERROR(__xludf.DUMMYFUNCTION("""COMPUTED_VALUE"""),45727.56725357639)</f>
        <v>45727.56725</v>
      </c>
      <c r="H1449" s="14" t="str">
        <f>IFERROR(__xludf.DUMMYFUNCTION("""COMPUTED_VALUE"""),"Bu Eva (SU)")</f>
        <v>Bu Eva (SU)</v>
      </c>
      <c r="I1449" s="13" t="str">
        <f>IFERROR(__xludf.DUMMYFUNCTION("""COMPUTED_VALUE"""),"SELESAI (VIA PERMOHONAN)")</f>
        <v>SELESAI (VIA PERMOHONAN)</v>
      </c>
      <c r="J1449" s="17">
        <f>IFERROR(__xludf.DUMMYFUNCTION("""COMPUTED_VALUE"""),45726.62194755787)</f>
        <v>45726.62195</v>
      </c>
      <c r="K1449" s="13" t="str">
        <f>IFERROR(__xludf.DUMMYFUNCTION("""COMPUTED_VALUE"""),"Selesai")</f>
        <v>Selesai</v>
      </c>
      <c r="L1449" s="17">
        <f>IFERROR(__xludf.DUMMYFUNCTION("""COMPUTED_VALUE"""),45726.62194755787)</f>
        <v>45726.62195</v>
      </c>
      <c r="M1449" s="13"/>
      <c r="N1449" s="13" t="str">
        <f>IFERROR(__xludf.DUMMYFUNCTION("""COMPUTED_VALUE"""),"")</f>
        <v/>
      </c>
      <c r="O1449" s="13" t="str">
        <f t="shared" si="1"/>
        <v/>
      </c>
    </row>
    <row r="1450" ht="22.5" customHeight="1">
      <c r="B1450" s="13">
        <f>IFERROR(__xludf.DUMMYFUNCTION("""COMPUTED_VALUE"""),1445.0)</f>
        <v>1445</v>
      </c>
      <c r="C1450" s="13" t="str">
        <f>IFERROR(__xludf.DUMMYFUNCTION("""COMPUTED_VALUE"""),"M. 594/GUNUNG AGUNG")</f>
        <v>M. 594/GUNUNG AGUNG</v>
      </c>
      <c r="D1450" s="13" t="str">
        <f>IFERROR(__xludf.DUMMYFUNCTION("""COMPUTED_VALUE"""),"K/41/240225/1")</f>
        <v>K/41/240225/1</v>
      </c>
      <c r="E1450" s="14" t="str">
        <f>IFERROR(__xludf.DUMMYFUNCTION("""COMPUTED_VALUE"""),"Nadian (BT)")</f>
        <v>Nadian (BT)</v>
      </c>
      <c r="F1450" s="14" t="str">
        <f>IFERROR(__xludf.DUMMYFUNCTION("""COMPUTED_VALUE"""),"SELESAI (VIA PERMOHONAN)")</f>
        <v>SELESAI (VIA PERMOHONAN)</v>
      </c>
      <c r="G1450" s="17">
        <f>IFERROR(__xludf.DUMMYFUNCTION("""COMPUTED_VALUE"""),45727.56725357639)</f>
        <v>45727.56725</v>
      </c>
      <c r="H1450" s="14" t="str">
        <f>IFERROR(__xludf.DUMMYFUNCTION("""COMPUTED_VALUE"""),"Bu Eva (SU)")</f>
        <v>Bu Eva (SU)</v>
      </c>
      <c r="I1450" s="13" t="str">
        <f>IFERROR(__xludf.DUMMYFUNCTION("""COMPUTED_VALUE"""),"SELESAI (VIA PERMOHONAN)")</f>
        <v>SELESAI (VIA PERMOHONAN)</v>
      </c>
      <c r="J1450" s="17">
        <f>IFERROR(__xludf.DUMMYFUNCTION("""COMPUTED_VALUE"""),45726.62194755787)</f>
        <v>45726.62195</v>
      </c>
      <c r="K1450" s="13" t="str">
        <f>IFERROR(__xludf.DUMMYFUNCTION("""COMPUTED_VALUE"""),"Selesai")</f>
        <v>Selesai</v>
      </c>
      <c r="L1450" s="17">
        <f>IFERROR(__xludf.DUMMYFUNCTION("""COMPUTED_VALUE"""),45726.62194755787)</f>
        <v>45726.62195</v>
      </c>
      <c r="M1450" s="13"/>
      <c r="N1450" s="13" t="str">
        <f>IFERROR(__xludf.DUMMYFUNCTION("""COMPUTED_VALUE"""),"")</f>
        <v/>
      </c>
      <c r="O1450" s="13" t="str">
        <f t="shared" si="1"/>
        <v/>
      </c>
    </row>
    <row r="1451" ht="22.5" customHeight="1">
      <c r="B1451" s="13">
        <f>IFERROR(__xludf.DUMMYFUNCTION("""COMPUTED_VALUE"""),1446.0)</f>
        <v>1446</v>
      </c>
      <c r="C1451" s="13" t="str">
        <f>IFERROR(__xludf.DUMMYFUNCTION("""COMPUTED_VALUE"""),"M. 1515/ Rajabasa Nunyai")</f>
        <v>M. 1515/ Rajabasa Nunyai</v>
      </c>
      <c r="D1451" s="13" t="str">
        <f>IFERROR(__xludf.DUMMYFUNCTION("""COMPUTED_VALUE"""),"K/21/250225/1")</f>
        <v>K/21/250225/1</v>
      </c>
      <c r="E1451" s="14" t="str">
        <f>IFERROR(__xludf.DUMMYFUNCTION("""COMPUTED_VALUE"""),"Nadian (BT)")</f>
        <v>Nadian (BT)</v>
      </c>
      <c r="F1451" s="14" t="str">
        <f>IFERROR(__xludf.DUMMYFUNCTION("""COMPUTED_VALUE"""),"SELESAI (VIA PERMOHONAN)")</f>
        <v>SELESAI (VIA PERMOHONAN)</v>
      </c>
      <c r="G1451" s="17">
        <f>IFERROR(__xludf.DUMMYFUNCTION("""COMPUTED_VALUE"""),45727.56725357639)</f>
        <v>45727.56725</v>
      </c>
      <c r="H1451" s="14" t="str">
        <f>IFERROR(__xludf.DUMMYFUNCTION("""COMPUTED_VALUE"""),"Bu Eva (SU)")</f>
        <v>Bu Eva (SU)</v>
      </c>
      <c r="I1451" s="13" t="str">
        <f>IFERROR(__xludf.DUMMYFUNCTION("""COMPUTED_VALUE"""),"SELESAI (VIA PERMOHONAN)")</f>
        <v>SELESAI (VIA PERMOHONAN)</v>
      </c>
      <c r="J1451" s="17">
        <f>IFERROR(__xludf.DUMMYFUNCTION("""COMPUTED_VALUE"""),45726.62194755787)</f>
        <v>45726.62195</v>
      </c>
      <c r="K1451" s="13" t="str">
        <f>IFERROR(__xludf.DUMMYFUNCTION("""COMPUTED_VALUE"""),"Selesai")</f>
        <v>Selesai</v>
      </c>
      <c r="L1451" s="17">
        <f>IFERROR(__xludf.DUMMYFUNCTION("""COMPUTED_VALUE"""),45726.62194755787)</f>
        <v>45726.62195</v>
      </c>
      <c r="M1451" s="13"/>
      <c r="N1451" s="13" t="str">
        <f>IFERROR(__xludf.DUMMYFUNCTION("""COMPUTED_VALUE"""),"")</f>
        <v/>
      </c>
      <c r="O1451" s="13" t="str">
        <f t="shared" si="1"/>
        <v/>
      </c>
    </row>
    <row r="1452" ht="22.5" customHeight="1">
      <c r="B1452" s="13">
        <f>IFERROR(__xludf.DUMMYFUNCTION("""COMPUTED_VALUE"""),1447.0)</f>
        <v>1447</v>
      </c>
      <c r="C1452" s="13" t="str">
        <f>IFERROR(__xludf.DUMMYFUNCTION("""COMPUTED_VALUE"""),"M. 1831/ Beringin Jaya")</f>
        <v>M. 1831/ Beringin Jaya</v>
      </c>
      <c r="D1452" s="13" t="str">
        <f>IFERROR(__xludf.DUMMYFUNCTION("""COMPUTED_VALUE"""),"K/11/260225/3")</f>
        <v>K/11/260225/3</v>
      </c>
      <c r="E1452" s="14" t="str">
        <f>IFERROR(__xludf.DUMMYFUNCTION("""COMPUTED_VALUE"""),"Nadian (BT)")</f>
        <v>Nadian (BT)</v>
      </c>
      <c r="F1452" s="14" t="str">
        <f>IFERROR(__xludf.DUMMYFUNCTION("""COMPUTED_VALUE"""),"SELESAI (VIA PERMOHONAN)")</f>
        <v>SELESAI (VIA PERMOHONAN)</v>
      </c>
      <c r="G1452" s="17">
        <f>IFERROR(__xludf.DUMMYFUNCTION("""COMPUTED_VALUE"""),45727.56725357639)</f>
        <v>45727.56725</v>
      </c>
      <c r="H1452" s="14" t="str">
        <f>IFERROR(__xludf.DUMMYFUNCTION("""COMPUTED_VALUE"""),"Bu Eva (SU)")</f>
        <v>Bu Eva (SU)</v>
      </c>
      <c r="I1452" s="13" t="str">
        <f>IFERROR(__xludf.DUMMYFUNCTION("""COMPUTED_VALUE"""),"SELESAI (VIA PERMOHONAN)")</f>
        <v>SELESAI (VIA PERMOHONAN)</v>
      </c>
      <c r="J1452" s="17">
        <f>IFERROR(__xludf.DUMMYFUNCTION("""COMPUTED_VALUE"""),45726.62194755787)</f>
        <v>45726.62195</v>
      </c>
      <c r="K1452" s="13" t="str">
        <f>IFERROR(__xludf.DUMMYFUNCTION("""COMPUTED_VALUE"""),"Selesai")</f>
        <v>Selesai</v>
      </c>
      <c r="L1452" s="17">
        <f>IFERROR(__xludf.DUMMYFUNCTION("""COMPUTED_VALUE"""),45726.62194755787)</f>
        <v>45726.62195</v>
      </c>
      <c r="M1452" s="13"/>
      <c r="N1452" s="13" t="str">
        <f>IFERROR(__xludf.DUMMYFUNCTION("""COMPUTED_VALUE"""),"")</f>
        <v/>
      </c>
      <c r="O1452" s="13" t="str">
        <f t="shared" si="1"/>
        <v/>
      </c>
    </row>
    <row r="1453" ht="22.5" customHeight="1">
      <c r="B1453" s="13">
        <f>IFERROR(__xludf.DUMMYFUNCTION("""COMPUTED_VALUE"""),1448.0)</f>
        <v>1448</v>
      </c>
      <c r="C1453" s="13" t="str">
        <f>IFERROR(__xludf.DUMMYFUNCTION("""COMPUTED_VALUE"""),"M. 6464/ Way Kandis")</f>
        <v>M. 6464/ Way Kandis</v>
      </c>
      <c r="D1453" s="13" t="str">
        <f>IFERROR(__xludf.DUMMYFUNCTION("""COMPUTED_VALUE"""),"K/23/040325/2")</f>
        <v>K/23/040325/2</v>
      </c>
      <c r="E1453" s="14" t="str">
        <f>IFERROR(__xludf.DUMMYFUNCTION("""COMPUTED_VALUE"""),"Nadian (BT)")</f>
        <v>Nadian (BT)</v>
      </c>
      <c r="F1453" s="14" t="str">
        <f>IFERROR(__xludf.DUMMYFUNCTION("""COMPUTED_VALUE"""),"SELESAI (VIA PERMOHONAN)")</f>
        <v>SELESAI (VIA PERMOHONAN)</v>
      </c>
      <c r="G1453" s="17">
        <f>IFERROR(__xludf.DUMMYFUNCTION("""COMPUTED_VALUE"""),45727.567253587964)</f>
        <v>45727.56725</v>
      </c>
      <c r="H1453" s="14" t="str">
        <f>IFERROR(__xludf.DUMMYFUNCTION("""COMPUTED_VALUE"""),"Bu Eva (SU)")</f>
        <v>Bu Eva (SU)</v>
      </c>
      <c r="I1453" s="13" t="str">
        <f>IFERROR(__xludf.DUMMYFUNCTION("""COMPUTED_VALUE"""),"SELESAI (VIA PERMOHONAN)")</f>
        <v>SELESAI (VIA PERMOHONAN)</v>
      </c>
      <c r="J1453" s="17">
        <f>IFERROR(__xludf.DUMMYFUNCTION("""COMPUTED_VALUE"""),45726.62194755787)</f>
        <v>45726.62195</v>
      </c>
      <c r="K1453" s="13" t="str">
        <f>IFERROR(__xludf.DUMMYFUNCTION("""COMPUTED_VALUE"""),"Selesai")</f>
        <v>Selesai</v>
      </c>
      <c r="L1453" s="17">
        <f>IFERROR(__xludf.DUMMYFUNCTION("""COMPUTED_VALUE"""),45726.62194755787)</f>
        <v>45726.62195</v>
      </c>
      <c r="M1453" s="13"/>
      <c r="N1453" s="13" t="str">
        <f>IFERROR(__xludf.DUMMYFUNCTION("""COMPUTED_VALUE"""),"")</f>
        <v/>
      </c>
      <c r="O1453" s="13" t="str">
        <f t="shared" si="1"/>
        <v/>
      </c>
    </row>
    <row r="1454" ht="22.5" customHeight="1">
      <c r="B1454" s="13">
        <f>IFERROR(__xludf.DUMMYFUNCTION("""COMPUTED_VALUE"""),1449.0)</f>
        <v>1449</v>
      </c>
      <c r="C1454" s="13" t="str">
        <f>IFERROR(__xludf.DUMMYFUNCTION("""COMPUTED_VALUE"""),"M. 4926/ Sukadana Ham")</f>
        <v>M. 4926/ Sukadana Ham</v>
      </c>
      <c r="D1454" s="13" t="str">
        <f>IFERROR(__xludf.DUMMYFUNCTION("""COMPUTED_VALUE"""),"K/17/260225/2")</f>
        <v>K/17/260225/2</v>
      </c>
      <c r="E1454" s="14" t="str">
        <f>IFERROR(__xludf.DUMMYFUNCTION("""COMPUTED_VALUE"""),"Nadian (BT)")</f>
        <v>Nadian (BT)</v>
      </c>
      <c r="F1454" s="14" t="str">
        <f>IFERROR(__xludf.DUMMYFUNCTION("""COMPUTED_VALUE"""),"SELESAI (VIA PERMOHONAN)")</f>
        <v>SELESAI (VIA PERMOHONAN)</v>
      </c>
      <c r="G1454" s="17">
        <f>IFERROR(__xludf.DUMMYFUNCTION("""COMPUTED_VALUE"""),45727.567253587964)</f>
        <v>45727.56725</v>
      </c>
      <c r="H1454" s="14" t="str">
        <f>IFERROR(__xludf.DUMMYFUNCTION("""COMPUTED_VALUE"""),"Bu Eva (SU)")</f>
        <v>Bu Eva (SU)</v>
      </c>
      <c r="I1454" s="13" t="str">
        <f>IFERROR(__xludf.DUMMYFUNCTION("""COMPUTED_VALUE"""),"SELESAI (VIA PERMOHONAN)")</f>
        <v>SELESAI (VIA PERMOHONAN)</v>
      </c>
      <c r="J1454" s="17">
        <f>IFERROR(__xludf.DUMMYFUNCTION("""COMPUTED_VALUE"""),45726.62194755787)</f>
        <v>45726.62195</v>
      </c>
      <c r="K1454" s="13" t="str">
        <f>IFERROR(__xludf.DUMMYFUNCTION("""COMPUTED_VALUE"""),"Selesai")</f>
        <v>Selesai</v>
      </c>
      <c r="L1454" s="17">
        <f>IFERROR(__xludf.DUMMYFUNCTION("""COMPUTED_VALUE"""),45726.62194755787)</f>
        <v>45726.62195</v>
      </c>
      <c r="M1454" s="13"/>
      <c r="N1454" s="13" t="str">
        <f>IFERROR(__xludf.DUMMYFUNCTION("""COMPUTED_VALUE"""),"")</f>
        <v/>
      </c>
      <c r="O1454" s="13" t="str">
        <f t="shared" si="1"/>
        <v/>
      </c>
    </row>
    <row r="1455" ht="22.5" customHeight="1">
      <c r="B1455" s="13">
        <f>IFERROR(__xludf.DUMMYFUNCTION("""COMPUTED_VALUE"""),1450.0)</f>
        <v>1450</v>
      </c>
      <c r="C1455" s="13" t="str">
        <f>IFERROR(__xludf.DUMMYFUNCTION("""COMPUTED_VALUE"""),"B. 350/ Rajabasa Nunyai")</f>
        <v>B. 350/ Rajabasa Nunyai</v>
      </c>
      <c r="D1455" s="13" t="str">
        <f>IFERROR(__xludf.DUMMYFUNCTION("""COMPUTED_VALUE"""),"K/14/280225/2")</f>
        <v>K/14/280225/2</v>
      </c>
      <c r="E1455" s="14" t="str">
        <f>IFERROR(__xludf.DUMMYFUNCTION("""COMPUTED_VALUE"""),"Nadian (BT)")</f>
        <v>Nadian (BT)</v>
      </c>
      <c r="F1455" s="14" t="str">
        <f>IFERROR(__xludf.DUMMYFUNCTION("""COMPUTED_VALUE"""),"SELESAI (VIA PERMOHONAN)")</f>
        <v>SELESAI (VIA PERMOHONAN)</v>
      </c>
      <c r="G1455" s="17">
        <f>IFERROR(__xludf.DUMMYFUNCTION("""COMPUTED_VALUE"""),45727.567253587964)</f>
        <v>45727.56725</v>
      </c>
      <c r="H1455" s="14" t="str">
        <f>IFERROR(__xludf.DUMMYFUNCTION("""COMPUTED_VALUE"""),"Bu Eva (SU)")</f>
        <v>Bu Eva (SU)</v>
      </c>
      <c r="I1455" s="13" t="str">
        <f>IFERROR(__xludf.DUMMYFUNCTION("""COMPUTED_VALUE"""),"SELESAI (VIA PERMOHONAN)")</f>
        <v>SELESAI (VIA PERMOHONAN)</v>
      </c>
      <c r="J1455" s="17">
        <f>IFERROR(__xludf.DUMMYFUNCTION("""COMPUTED_VALUE"""),45726.62194755787)</f>
        <v>45726.62195</v>
      </c>
      <c r="K1455" s="13" t="str">
        <f>IFERROR(__xludf.DUMMYFUNCTION("""COMPUTED_VALUE"""),"Selesai")</f>
        <v>Selesai</v>
      </c>
      <c r="L1455" s="17">
        <f>IFERROR(__xludf.DUMMYFUNCTION("""COMPUTED_VALUE"""),45726.62194755787)</f>
        <v>45726.62195</v>
      </c>
      <c r="M1455" s="13"/>
      <c r="N1455" s="13" t="str">
        <f>IFERROR(__xludf.DUMMYFUNCTION("""COMPUTED_VALUE"""),"")</f>
        <v/>
      </c>
      <c r="O1455" s="13" t="str">
        <f t="shared" si="1"/>
        <v/>
      </c>
    </row>
    <row r="1456" ht="22.5" customHeight="1">
      <c r="B1456" s="13">
        <f>IFERROR(__xludf.DUMMYFUNCTION("""COMPUTED_VALUE"""),1451.0)</f>
        <v>1451</v>
      </c>
      <c r="C1456" s="13" t="str">
        <f>IFERROR(__xludf.DUMMYFUNCTION("""COMPUTED_VALUE"""),"M. 4062/ Way Kandis")</f>
        <v>M. 4062/ Way Kandis</v>
      </c>
      <c r="D1456" s="13" t="str">
        <f>IFERROR(__xludf.DUMMYFUNCTION("""COMPUTED_VALUE"""),"K/29/250225/1")</f>
        <v>K/29/250225/1</v>
      </c>
      <c r="E1456" s="14" t="str">
        <f>IFERROR(__xludf.DUMMYFUNCTION("""COMPUTED_VALUE"""),"Nadian (BT)")</f>
        <v>Nadian (BT)</v>
      </c>
      <c r="F1456" s="14" t="str">
        <f>IFERROR(__xludf.DUMMYFUNCTION("""COMPUTED_VALUE"""),"SELESAI (VIA PERMOHONAN)")</f>
        <v>SELESAI (VIA PERMOHONAN)</v>
      </c>
      <c r="G1456" s="17">
        <f>IFERROR(__xludf.DUMMYFUNCTION("""COMPUTED_VALUE"""),45727.567253587964)</f>
        <v>45727.56725</v>
      </c>
      <c r="H1456" s="14" t="str">
        <f>IFERROR(__xludf.DUMMYFUNCTION("""COMPUTED_VALUE"""),"Bu Eva (SU)")</f>
        <v>Bu Eva (SU)</v>
      </c>
      <c r="I1456" s="13" t="str">
        <f>IFERROR(__xludf.DUMMYFUNCTION("""COMPUTED_VALUE"""),"SELESAI (VIA PERMOHONAN)")</f>
        <v>SELESAI (VIA PERMOHONAN)</v>
      </c>
      <c r="J1456" s="17">
        <f>IFERROR(__xludf.DUMMYFUNCTION("""COMPUTED_VALUE"""),45726.6220391088)</f>
        <v>45726.62204</v>
      </c>
      <c r="K1456" s="13" t="str">
        <f>IFERROR(__xludf.DUMMYFUNCTION("""COMPUTED_VALUE"""),"Selesai")</f>
        <v>Selesai</v>
      </c>
      <c r="L1456" s="17">
        <f>IFERROR(__xludf.DUMMYFUNCTION("""COMPUTED_VALUE"""),45726.6220391088)</f>
        <v>45726.62204</v>
      </c>
      <c r="M1456" s="13"/>
      <c r="N1456" s="13" t="str">
        <f>IFERROR(__xludf.DUMMYFUNCTION("""COMPUTED_VALUE"""),"")</f>
        <v/>
      </c>
      <c r="O1456" s="13" t="str">
        <f t="shared" si="1"/>
        <v/>
      </c>
    </row>
    <row r="1457" ht="22.5" customHeight="1">
      <c r="B1457" s="13">
        <f>IFERROR(__xludf.DUMMYFUNCTION("""COMPUTED_VALUE"""),1452.0)</f>
        <v>1452</v>
      </c>
      <c r="C1457" s="13" t="str">
        <f>IFERROR(__xludf.DUMMYFUNCTION("""COMPUTED_VALUE"""),"M. 2849/ Sukarame Baru")</f>
        <v>M. 2849/ Sukarame Baru</v>
      </c>
      <c r="D1457" s="13" t="str">
        <f>IFERROR(__xludf.DUMMYFUNCTION("""COMPUTED_VALUE"""),"K/16/260225/1")</f>
        <v>K/16/260225/1</v>
      </c>
      <c r="E1457" s="14" t="str">
        <f>IFERROR(__xludf.DUMMYFUNCTION("""COMPUTED_VALUE"""),"Nadian (BT)")</f>
        <v>Nadian (BT)</v>
      </c>
      <c r="F1457" s="14" t="str">
        <f>IFERROR(__xludf.DUMMYFUNCTION("""COMPUTED_VALUE"""),"SELESAI (VIA PERMOHONAN)")</f>
        <v>SELESAI (VIA PERMOHONAN)</v>
      </c>
      <c r="G1457" s="17">
        <f>IFERROR(__xludf.DUMMYFUNCTION("""COMPUTED_VALUE"""),45727.567253587964)</f>
        <v>45727.56725</v>
      </c>
      <c r="H1457" s="14" t="str">
        <f>IFERROR(__xludf.DUMMYFUNCTION("""COMPUTED_VALUE"""),"Bu Eva (SU)")</f>
        <v>Bu Eva (SU)</v>
      </c>
      <c r="I1457" s="13" t="str">
        <f>IFERROR(__xludf.DUMMYFUNCTION("""COMPUTED_VALUE"""),"SELESAI (VIA PERMOHONAN)")</f>
        <v>SELESAI (VIA PERMOHONAN)</v>
      </c>
      <c r="J1457" s="17">
        <f>IFERROR(__xludf.DUMMYFUNCTION("""COMPUTED_VALUE"""),45726.6220391088)</f>
        <v>45726.62204</v>
      </c>
      <c r="K1457" s="13" t="str">
        <f>IFERROR(__xludf.DUMMYFUNCTION("""COMPUTED_VALUE"""),"Selesai")</f>
        <v>Selesai</v>
      </c>
      <c r="L1457" s="17">
        <f>IFERROR(__xludf.DUMMYFUNCTION("""COMPUTED_VALUE"""),45726.6220391088)</f>
        <v>45726.62204</v>
      </c>
      <c r="M1457" s="13"/>
      <c r="N1457" s="13" t="str">
        <f>IFERROR(__xludf.DUMMYFUNCTION("""COMPUTED_VALUE"""),"")</f>
        <v/>
      </c>
      <c r="O1457" s="13" t="str">
        <f t="shared" si="1"/>
        <v/>
      </c>
    </row>
    <row r="1458" ht="22.5" customHeight="1">
      <c r="B1458" s="13">
        <f>IFERROR(__xludf.DUMMYFUNCTION("""COMPUTED_VALUE"""),1453.0)</f>
        <v>1453</v>
      </c>
      <c r="C1458" s="13" t="str">
        <f>IFERROR(__xludf.DUMMYFUNCTION("""COMPUTED_VALUE"""),"M. 250/ Pinang Jaya")</f>
        <v>M. 250/ Pinang Jaya</v>
      </c>
      <c r="D1458" s="13" t="str">
        <f>IFERROR(__xludf.DUMMYFUNCTION("""COMPUTED_VALUE"""),"K/32/040325/1")</f>
        <v>K/32/040325/1</v>
      </c>
      <c r="E1458" s="14" t="str">
        <f>IFERROR(__xludf.DUMMYFUNCTION("""COMPUTED_VALUE"""),"Nadian (BT)")</f>
        <v>Nadian (BT)</v>
      </c>
      <c r="F1458" s="14" t="str">
        <f>IFERROR(__xludf.DUMMYFUNCTION("""COMPUTED_VALUE"""),"SELESAI (VIA PERMOHONAN)")</f>
        <v>SELESAI (VIA PERMOHONAN)</v>
      </c>
      <c r="G1458" s="17">
        <f>IFERROR(__xludf.DUMMYFUNCTION("""COMPUTED_VALUE"""),45727.567253587964)</f>
        <v>45727.56725</v>
      </c>
      <c r="H1458" s="14" t="str">
        <f>IFERROR(__xludf.DUMMYFUNCTION("""COMPUTED_VALUE"""),"Bu Eva (SU)")</f>
        <v>Bu Eva (SU)</v>
      </c>
      <c r="I1458" s="13" t="str">
        <f>IFERROR(__xludf.DUMMYFUNCTION("""COMPUTED_VALUE"""),"SELESAI (VIA PERMOHONAN)")</f>
        <v>SELESAI (VIA PERMOHONAN)</v>
      </c>
      <c r="J1458" s="17">
        <f>IFERROR(__xludf.DUMMYFUNCTION("""COMPUTED_VALUE"""),45726.6220391088)</f>
        <v>45726.62204</v>
      </c>
      <c r="K1458" s="13" t="str">
        <f>IFERROR(__xludf.DUMMYFUNCTION("""COMPUTED_VALUE"""),"Selesai")</f>
        <v>Selesai</v>
      </c>
      <c r="L1458" s="17">
        <f>IFERROR(__xludf.DUMMYFUNCTION("""COMPUTED_VALUE"""),45726.6220391088)</f>
        <v>45726.62204</v>
      </c>
      <c r="M1458" s="13"/>
      <c r="N1458" s="13" t="str">
        <f>IFERROR(__xludf.DUMMYFUNCTION("""COMPUTED_VALUE"""),"")</f>
        <v/>
      </c>
      <c r="O1458" s="13" t="str">
        <f t="shared" si="1"/>
        <v/>
      </c>
    </row>
    <row r="1459" ht="22.5" customHeight="1">
      <c r="B1459" s="13">
        <f>IFERROR(__xludf.DUMMYFUNCTION("""COMPUTED_VALUE"""),1454.0)</f>
        <v>1454</v>
      </c>
      <c r="C1459" s="13" t="str">
        <f>IFERROR(__xludf.DUMMYFUNCTION("""COMPUTED_VALUE"""),"M. 04/ Penengahan")</f>
        <v>M. 04/ Penengahan</v>
      </c>
      <c r="D1459" s="13" t="str">
        <f>IFERROR(__xludf.DUMMYFUNCTION("""COMPUTED_VALUE"""),"K/21/270225/1")</f>
        <v>K/21/270225/1</v>
      </c>
      <c r="E1459" s="14" t="str">
        <f>IFERROR(__xludf.DUMMYFUNCTION("""COMPUTED_VALUE"""),"Nadian (BT)")</f>
        <v>Nadian (BT)</v>
      </c>
      <c r="F1459" s="14" t="str">
        <f>IFERROR(__xludf.DUMMYFUNCTION("""COMPUTED_VALUE"""),"SELESAI (VIA PERMOHONAN)")</f>
        <v>SELESAI (VIA PERMOHONAN)</v>
      </c>
      <c r="G1459" s="17">
        <f>IFERROR(__xludf.DUMMYFUNCTION("""COMPUTED_VALUE"""),45727.567253587964)</f>
        <v>45727.56725</v>
      </c>
      <c r="H1459" s="14" t="str">
        <f>IFERROR(__xludf.DUMMYFUNCTION("""COMPUTED_VALUE"""),"Bu Eva (SU)")</f>
        <v>Bu Eva (SU)</v>
      </c>
      <c r="I1459" s="13" t="str">
        <f>IFERROR(__xludf.DUMMYFUNCTION("""COMPUTED_VALUE"""),"SELESAI (VIA PERMOHONAN)")</f>
        <v>SELESAI (VIA PERMOHONAN)</v>
      </c>
      <c r="J1459" s="17">
        <f>IFERROR(__xludf.DUMMYFUNCTION("""COMPUTED_VALUE"""),45726.6220391088)</f>
        <v>45726.62204</v>
      </c>
      <c r="K1459" s="13" t="str">
        <f>IFERROR(__xludf.DUMMYFUNCTION("""COMPUTED_VALUE"""),"Selesai")</f>
        <v>Selesai</v>
      </c>
      <c r="L1459" s="17">
        <f>IFERROR(__xludf.DUMMYFUNCTION("""COMPUTED_VALUE"""),45726.6220391088)</f>
        <v>45726.62204</v>
      </c>
      <c r="M1459" s="13"/>
      <c r="N1459" s="13" t="str">
        <f>IFERROR(__xludf.DUMMYFUNCTION("""COMPUTED_VALUE"""),"")</f>
        <v/>
      </c>
      <c r="O1459" s="13" t="str">
        <f t="shared" si="1"/>
        <v/>
      </c>
    </row>
    <row r="1460" ht="22.5" customHeight="1">
      <c r="B1460" s="13">
        <f>IFERROR(__xludf.DUMMYFUNCTION("""COMPUTED_VALUE"""),1455.0)</f>
        <v>1455</v>
      </c>
      <c r="C1460" s="13" t="str">
        <f>IFERROR(__xludf.DUMMYFUNCTION("""COMPUTED_VALUE"""),"B.1113/KETEGUHAN")</f>
        <v>B.1113/KETEGUHAN</v>
      </c>
      <c r="D1460" s="13" t="str">
        <f>IFERROR(__xludf.DUMMYFUNCTION("""COMPUTED_VALUE"""),"K/16/240225/2")</f>
        <v>K/16/240225/2</v>
      </c>
      <c r="E1460" s="14" t="str">
        <f>IFERROR(__xludf.DUMMYFUNCTION("""COMPUTED_VALUE"""),"Afriza (BT)")</f>
        <v>Afriza (BT)</v>
      </c>
      <c r="F1460" s="14" t="str">
        <f>IFERROR(__xludf.DUMMYFUNCTION("""COMPUTED_VALUE"""),"SELESAI (VIA PERMOHONAN)")</f>
        <v>SELESAI (VIA PERMOHONAN)</v>
      </c>
      <c r="G1460" s="17">
        <f>IFERROR(__xludf.DUMMYFUNCTION("""COMPUTED_VALUE"""),45726.58840606481)</f>
        <v>45726.58841</v>
      </c>
      <c r="H1460" s="14" t="str">
        <f>IFERROR(__xludf.DUMMYFUNCTION("""COMPUTED_VALUE"""),"Bu Eva (SU)")</f>
        <v>Bu Eva (SU)</v>
      </c>
      <c r="I1460" s="13" t="str">
        <f>IFERROR(__xludf.DUMMYFUNCTION("""COMPUTED_VALUE"""),"SELESAI (VIA PERMOHONAN)")</f>
        <v>SELESAI (VIA PERMOHONAN)</v>
      </c>
      <c r="J1460" s="17">
        <f>IFERROR(__xludf.DUMMYFUNCTION("""COMPUTED_VALUE"""),45726.588469305556)</f>
        <v>45726.58847</v>
      </c>
      <c r="K1460" s="13" t="str">
        <f>IFERROR(__xludf.DUMMYFUNCTION("""COMPUTED_VALUE"""),"Selesai")</f>
        <v>Selesai</v>
      </c>
      <c r="L1460" s="17">
        <f>IFERROR(__xludf.DUMMYFUNCTION("""COMPUTED_VALUE"""),45726.588469305556)</f>
        <v>45726.58847</v>
      </c>
      <c r="M1460" s="13"/>
      <c r="N1460" s="13" t="str">
        <f>IFERROR(__xludf.DUMMYFUNCTION("""COMPUTED_VALUE"""),"")</f>
        <v/>
      </c>
      <c r="O1460" s="13" t="str">
        <f t="shared" si="1"/>
        <v/>
      </c>
    </row>
    <row r="1461" ht="22.5" customHeight="1">
      <c r="B1461" s="13">
        <f>IFERROR(__xludf.DUMMYFUNCTION("""COMPUTED_VALUE"""),1456.0)</f>
        <v>1456</v>
      </c>
      <c r="C1461" s="13" t="str">
        <f>IFERROR(__xludf.DUMMYFUNCTION("""COMPUTED_VALUE"""),"HM 16620/SUKABUMI")</f>
        <v>HM 16620/SUKABUMI</v>
      </c>
      <c r="D1461" s="13" t="str">
        <f>IFERROR(__xludf.DUMMYFUNCTION("""COMPUTED_VALUE"""),"L/10/250225/1")</f>
        <v>L/10/250225/1</v>
      </c>
      <c r="E1461" s="14" t="str">
        <f>IFERROR(__xludf.DUMMYFUNCTION("""COMPUTED_VALUE"""),"Afriza (BT)")</f>
        <v>Afriza (BT)</v>
      </c>
      <c r="F1461" s="14" t="str">
        <f>IFERROR(__xludf.DUMMYFUNCTION("""COMPUTED_VALUE"""),"SELESAI (VIA PERMOHONAN)")</f>
        <v>SELESAI (VIA PERMOHONAN)</v>
      </c>
      <c r="G1461" s="17">
        <f>IFERROR(__xludf.DUMMYFUNCTION("""COMPUTED_VALUE"""),45726.58858950232)</f>
        <v>45726.58859</v>
      </c>
      <c r="H1461" s="14" t="str">
        <f>IFERROR(__xludf.DUMMYFUNCTION("""COMPUTED_VALUE"""),"Bu Eva (SU)")</f>
        <v>Bu Eva (SU)</v>
      </c>
      <c r="I1461" s="13" t="str">
        <f>IFERROR(__xludf.DUMMYFUNCTION("""COMPUTED_VALUE"""),"SELESAI (VIA PERMOHONAN)")</f>
        <v>SELESAI (VIA PERMOHONAN)</v>
      </c>
      <c r="J1461" s="17">
        <f>IFERROR(__xludf.DUMMYFUNCTION("""COMPUTED_VALUE"""),45726.58864112268)</f>
        <v>45726.58864</v>
      </c>
      <c r="K1461" s="13" t="str">
        <f>IFERROR(__xludf.DUMMYFUNCTION("""COMPUTED_VALUE"""),"Selesai")</f>
        <v>Selesai</v>
      </c>
      <c r="L1461" s="17">
        <f>IFERROR(__xludf.DUMMYFUNCTION("""COMPUTED_VALUE"""),45726.58864112268)</f>
        <v>45726.58864</v>
      </c>
      <c r="M1461" s="13"/>
      <c r="N1461" s="13" t="str">
        <f>IFERROR(__xludf.DUMMYFUNCTION("""COMPUTED_VALUE"""),"")</f>
        <v/>
      </c>
      <c r="O1461" s="13" t="str">
        <f t="shared" si="1"/>
        <v/>
      </c>
    </row>
    <row r="1462" ht="22.5" customHeight="1">
      <c r="B1462" s="13">
        <f>IFERROR(__xludf.DUMMYFUNCTION("""COMPUTED_VALUE"""),1457.0)</f>
        <v>1457</v>
      </c>
      <c r="C1462" s="13" t="str">
        <f>IFERROR(__xludf.DUMMYFUNCTION("""COMPUTED_VALUE"""),"B.661/SUMBER AGUNG")</f>
        <v>B.661/SUMBER AGUNG</v>
      </c>
      <c r="D1462" s="13" t="str">
        <f>IFERROR(__xludf.DUMMYFUNCTION("""COMPUTED_VALUE"""),"K/32/210225/4")</f>
        <v>K/32/210225/4</v>
      </c>
      <c r="E1462" s="14" t="str">
        <f>IFERROR(__xludf.DUMMYFUNCTION("""COMPUTED_VALUE"""),"Afriza (BT)")</f>
        <v>Afriza (BT)</v>
      </c>
      <c r="F1462" s="14" t="str">
        <f>IFERROR(__xludf.DUMMYFUNCTION("""COMPUTED_VALUE"""),"SELESAI (VIA PERMOHONAN)")</f>
        <v>SELESAI (VIA PERMOHONAN)</v>
      </c>
      <c r="G1462" s="17">
        <f>IFERROR(__xludf.DUMMYFUNCTION("""COMPUTED_VALUE"""),45727.384227013885)</f>
        <v>45727.38423</v>
      </c>
      <c r="H1462" s="14" t="str">
        <f>IFERROR(__xludf.DUMMYFUNCTION("""COMPUTED_VALUE"""),"Bu Eva (SU)")</f>
        <v>Bu Eva (SU)</v>
      </c>
      <c r="I1462" s="13" t="str">
        <f>IFERROR(__xludf.DUMMYFUNCTION("""COMPUTED_VALUE"""),"SELESAI (VIA PERMOHONAN)")</f>
        <v>SELESAI (VIA PERMOHONAN)</v>
      </c>
      <c r="J1462" s="17">
        <f>IFERROR(__xludf.DUMMYFUNCTION("""COMPUTED_VALUE"""),45727.384277488425)</f>
        <v>45727.38428</v>
      </c>
      <c r="K1462" s="13" t="str">
        <f>IFERROR(__xludf.DUMMYFUNCTION("""COMPUTED_VALUE"""),"Selesai")</f>
        <v>Selesai</v>
      </c>
      <c r="L1462" s="17">
        <f>IFERROR(__xludf.DUMMYFUNCTION("""COMPUTED_VALUE"""),45727.384277488425)</f>
        <v>45727.38428</v>
      </c>
      <c r="M1462" s="13"/>
      <c r="N1462" s="13" t="str">
        <f>IFERROR(__xludf.DUMMYFUNCTION("""COMPUTED_VALUE"""),"")</f>
        <v/>
      </c>
      <c r="O1462" s="13" t="str">
        <f t="shared" si="1"/>
        <v/>
      </c>
    </row>
    <row r="1463" ht="22.5" customHeight="1">
      <c r="B1463" s="13">
        <f>IFERROR(__xludf.DUMMYFUNCTION("""COMPUTED_VALUE"""),1458.0)</f>
        <v>1458</v>
      </c>
      <c r="C1463" s="13" t="str">
        <f>IFERROR(__xludf.DUMMYFUNCTION("""COMPUTED_VALUE"""),"B.1360/PINANG JAYA ")</f>
        <v>B.1360/PINANG JAYA </v>
      </c>
      <c r="D1463" s="13" t="str">
        <f>IFERROR(__xludf.DUMMYFUNCTION("""COMPUTED_VALUE"""),"K/16/050325/1")</f>
        <v>K/16/050325/1</v>
      </c>
      <c r="E1463" s="14" t="str">
        <f>IFERROR(__xludf.DUMMYFUNCTION("""COMPUTED_VALUE"""),"Nadian (BT)")</f>
        <v>Nadian (BT)</v>
      </c>
      <c r="F1463" s="14" t="str">
        <f>IFERROR(__xludf.DUMMYFUNCTION("""COMPUTED_VALUE"""),"SELESAI (VIA PERMOHONAN)")</f>
        <v>SELESAI (VIA PERMOHONAN)</v>
      </c>
      <c r="G1463" s="17">
        <f>IFERROR(__xludf.DUMMYFUNCTION("""COMPUTED_VALUE"""),45727.59724195602)</f>
        <v>45727.59724</v>
      </c>
      <c r="H1463" s="14" t="str">
        <f>IFERROR(__xludf.DUMMYFUNCTION("""COMPUTED_VALUE"""),"Bu Eva (SU)")</f>
        <v>Bu Eva (SU)</v>
      </c>
      <c r="I1463" s="13" t="str">
        <f>IFERROR(__xludf.DUMMYFUNCTION("""COMPUTED_VALUE"""),"SELESAI (VIA PERMOHONAN)")</f>
        <v>SELESAI (VIA PERMOHONAN)</v>
      </c>
      <c r="J1463" s="17">
        <f>IFERROR(__xludf.DUMMYFUNCTION("""COMPUTED_VALUE"""),45728.63376211806)</f>
        <v>45728.63376</v>
      </c>
      <c r="K1463" s="13" t="str">
        <f>IFERROR(__xludf.DUMMYFUNCTION("""COMPUTED_VALUE"""),"Selesai")</f>
        <v>Selesai</v>
      </c>
      <c r="L1463" s="17">
        <f>IFERROR(__xludf.DUMMYFUNCTION("""COMPUTED_VALUE"""),45728.63376211806)</f>
        <v>45728.63376</v>
      </c>
      <c r="M1463" s="13"/>
      <c r="N1463" s="13" t="str">
        <f>IFERROR(__xludf.DUMMYFUNCTION("""COMPUTED_VALUE"""),"")</f>
        <v/>
      </c>
      <c r="O1463" s="13" t="str">
        <f t="shared" si="1"/>
        <v/>
      </c>
    </row>
    <row r="1464" ht="22.5" customHeight="1">
      <c r="B1464" s="13">
        <f>IFERROR(__xludf.DUMMYFUNCTION("""COMPUTED_VALUE"""),1459.0)</f>
        <v>1459</v>
      </c>
      <c r="C1464" s="13" t="str">
        <f>IFERROR(__xludf.DUMMYFUNCTION("""COMPUTED_VALUE"""),"M.3352/KEMILING PERMAI")</f>
        <v>M.3352/KEMILING PERMAI</v>
      </c>
      <c r="D1464" s="13" t="str">
        <f>IFERROR(__xludf.DUMMYFUNCTION("""COMPUTED_VALUE"""),"K/38/200225/3")</f>
        <v>K/38/200225/3</v>
      </c>
      <c r="E1464" s="14" t="str">
        <f>IFERROR(__xludf.DUMMYFUNCTION("""COMPUTED_VALUE"""),"Nadian (BT)")</f>
        <v>Nadian (BT)</v>
      </c>
      <c r="F1464" s="14" t="str">
        <f>IFERROR(__xludf.DUMMYFUNCTION("""COMPUTED_VALUE"""),"SELESAI (VIA PERMOHONAN)")</f>
        <v>SELESAI (VIA PERMOHONAN)</v>
      </c>
      <c r="G1464" s="17">
        <f>IFERROR(__xludf.DUMMYFUNCTION("""COMPUTED_VALUE"""),45727.5972703588)</f>
        <v>45727.59727</v>
      </c>
      <c r="H1464" s="14" t="str">
        <f>IFERROR(__xludf.DUMMYFUNCTION("""COMPUTED_VALUE"""),"Bu Eva (SU)")</f>
        <v>Bu Eva (SU)</v>
      </c>
      <c r="I1464" s="13" t="str">
        <f>IFERROR(__xludf.DUMMYFUNCTION("""COMPUTED_VALUE"""),"SELESAI (VIA PERMOHONAN)")</f>
        <v>SELESAI (VIA PERMOHONAN)</v>
      </c>
      <c r="J1464" s="17">
        <f>IFERROR(__xludf.DUMMYFUNCTION("""COMPUTED_VALUE"""),45728.633762129626)</f>
        <v>45728.63376</v>
      </c>
      <c r="K1464" s="13" t="str">
        <f>IFERROR(__xludf.DUMMYFUNCTION("""COMPUTED_VALUE"""),"Selesai")</f>
        <v>Selesai</v>
      </c>
      <c r="L1464" s="17">
        <f>IFERROR(__xludf.DUMMYFUNCTION("""COMPUTED_VALUE"""),45728.633762129626)</f>
        <v>45728.63376</v>
      </c>
      <c r="M1464" s="13"/>
      <c r="N1464" s="13" t="str">
        <f>IFERROR(__xludf.DUMMYFUNCTION("""COMPUTED_VALUE"""),"")</f>
        <v/>
      </c>
      <c r="O1464" s="13" t="str">
        <f t="shared" si="1"/>
        <v/>
      </c>
    </row>
    <row r="1465" ht="22.5" customHeight="1">
      <c r="B1465" s="13">
        <f>IFERROR(__xludf.DUMMYFUNCTION("""COMPUTED_VALUE"""),1460.0)</f>
        <v>1460</v>
      </c>
      <c r="C1465" s="13" t="str">
        <f>IFERROR(__xludf.DUMMYFUNCTION("""COMPUTED_VALUE"""),"M.1129/GOTONG ROYONG")</f>
        <v>M.1129/GOTONG ROYONG</v>
      </c>
      <c r="D1465" s="13" t="str">
        <f>IFERROR(__xludf.DUMMYFUNCTION("""COMPUTED_VALUE"""),"K/25/250225/2")</f>
        <v>K/25/250225/2</v>
      </c>
      <c r="E1465" s="14" t="str">
        <f>IFERROR(__xludf.DUMMYFUNCTION("""COMPUTED_VALUE"""),"Nadian (BT)")</f>
        <v>Nadian (BT)</v>
      </c>
      <c r="F1465" s="14" t="str">
        <f>IFERROR(__xludf.DUMMYFUNCTION("""COMPUTED_VALUE"""),"SELESAI (VIA PERMOHONAN)")</f>
        <v>SELESAI (VIA PERMOHONAN)</v>
      </c>
      <c r="G1465" s="17">
        <f>IFERROR(__xludf.DUMMYFUNCTION("""COMPUTED_VALUE"""),45727.5972703588)</f>
        <v>45727.59727</v>
      </c>
      <c r="H1465" s="14" t="str">
        <f>IFERROR(__xludf.DUMMYFUNCTION("""COMPUTED_VALUE"""),"Bu Eva (SU)")</f>
        <v>Bu Eva (SU)</v>
      </c>
      <c r="I1465" s="13" t="str">
        <f>IFERROR(__xludf.DUMMYFUNCTION("""COMPUTED_VALUE"""),"SELESAI (VIA PERMOHONAN)")</f>
        <v>SELESAI (VIA PERMOHONAN)</v>
      </c>
      <c r="J1465" s="17">
        <f>IFERROR(__xludf.DUMMYFUNCTION("""COMPUTED_VALUE"""),45728.633762129626)</f>
        <v>45728.63376</v>
      </c>
      <c r="K1465" s="13" t="str">
        <f>IFERROR(__xludf.DUMMYFUNCTION("""COMPUTED_VALUE"""),"Selesai")</f>
        <v>Selesai</v>
      </c>
      <c r="L1465" s="17">
        <f>IFERROR(__xludf.DUMMYFUNCTION("""COMPUTED_VALUE"""),45728.633762129626)</f>
        <v>45728.63376</v>
      </c>
      <c r="M1465" s="13"/>
      <c r="N1465" s="13" t="str">
        <f>IFERROR(__xludf.DUMMYFUNCTION("""COMPUTED_VALUE"""),"")</f>
        <v/>
      </c>
      <c r="O1465" s="13" t="str">
        <f t="shared" si="1"/>
        <v/>
      </c>
    </row>
    <row r="1466" ht="22.5" customHeight="1">
      <c r="B1466" s="13">
        <f>IFERROR(__xludf.DUMMYFUNCTION("""COMPUTED_VALUE"""),1461.0)</f>
        <v>1461</v>
      </c>
      <c r="C1466" s="13" t="str">
        <f>IFERROR(__xludf.DUMMYFUNCTION("""COMPUTED_VALUE"""),"B.678/SUMBER AGUNG")</f>
        <v>B.678/SUMBER AGUNG</v>
      </c>
      <c r="D1466" s="13" t="str">
        <f>IFERROR(__xludf.DUMMYFUNCTION("""COMPUTED_VALUE"""),"K/27/060325/3")</f>
        <v>K/27/060325/3</v>
      </c>
      <c r="E1466" s="14" t="str">
        <f>IFERROR(__xludf.DUMMYFUNCTION("""COMPUTED_VALUE"""),"Nadian (BT)")</f>
        <v>Nadian (BT)</v>
      </c>
      <c r="F1466" s="14" t="str">
        <f>IFERROR(__xludf.DUMMYFUNCTION("""COMPUTED_VALUE"""),"SELESAI (VIA PERMOHONAN)")</f>
        <v>SELESAI (VIA PERMOHONAN)</v>
      </c>
      <c r="G1466" s="17">
        <f>IFERROR(__xludf.DUMMYFUNCTION("""COMPUTED_VALUE"""),45727.5972703588)</f>
        <v>45727.59727</v>
      </c>
      <c r="H1466" s="14" t="str">
        <f>IFERROR(__xludf.DUMMYFUNCTION("""COMPUTED_VALUE"""),"Bu Eva (SU)")</f>
        <v>Bu Eva (SU)</v>
      </c>
      <c r="I1466" s="13" t="str">
        <f>IFERROR(__xludf.DUMMYFUNCTION("""COMPUTED_VALUE"""),"SELESAI (VIA PERMOHONAN)")</f>
        <v>SELESAI (VIA PERMOHONAN)</v>
      </c>
      <c r="J1466" s="17">
        <f>IFERROR(__xludf.DUMMYFUNCTION("""COMPUTED_VALUE"""),45728.633762129626)</f>
        <v>45728.63376</v>
      </c>
      <c r="K1466" s="13" t="str">
        <f>IFERROR(__xludf.DUMMYFUNCTION("""COMPUTED_VALUE"""),"Selesai")</f>
        <v>Selesai</v>
      </c>
      <c r="L1466" s="17">
        <f>IFERROR(__xludf.DUMMYFUNCTION("""COMPUTED_VALUE"""),45728.633762129626)</f>
        <v>45728.63376</v>
      </c>
      <c r="M1466" s="13"/>
      <c r="N1466" s="13" t="str">
        <f>IFERROR(__xludf.DUMMYFUNCTION("""COMPUTED_VALUE"""),"")</f>
        <v/>
      </c>
      <c r="O1466" s="13" t="str">
        <f t="shared" si="1"/>
        <v/>
      </c>
    </row>
    <row r="1467" ht="22.5" customHeight="1">
      <c r="B1467" s="13">
        <f>IFERROR(__xludf.DUMMYFUNCTION("""COMPUTED_VALUE"""),1462.0)</f>
        <v>1462</v>
      </c>
      <c r="C1467" s="13" t="str">
        <f>IFERROR(__xludf.DUMMYFUNCTION("""COMPUTED_VALUE"""),"M.1204/SUKARAME BARU")</f>
        <v>M.1204/SUKARAME BARU</v>
      </c>
      <c r="D1467" s="13" t="str">
        <f>IFERROR(__xludf.DUMMYFUNCTION("""COMPUTED_VALUE"""),"K/9/270225/1")</f>
        <v>K/9/270225/1</v>
      </c>
      <c r="E1467" s="14" t="str">
        <f>IFERROR(__xludf.DUMMYFUNCTION("""COMPUTED_VALUE"""),"Nadian (BT)")</f>
        <v>Nadian (BT)</v>
      </c>
      <c r="F1467" s="14" t="str">
        <f>IFERROR(__xludf.DUMMYFUNCTION("""COMPUTED_VALUE"""),"SELESAI (VIA PERMOHONAN)")</f>
        <v>SELESAI (VIA PERMOHONAN)</v>
      </c>
      <c r="G1467" s="17">
        <f>IFERROR(__xludf.DUMMYFUNCTION("""COMPUTED_VALUE"""),45727.5972703588)</f>
        <v>45727.59727</v>
      </c>
      <c r="H1467" s="14" t="str">
        <f>IFERROR(__xludf.DUMMYFUNCTION("""COMPUTED_VALUE"""),"Bu Eva (SU)")</f>
        <v>Bu Eva (SU)</v>
      </c>
      <c r="I1467" s="13" t="str">
        <f>IFERROR(__xludf.DUMMYFUNCTION("""COMPUTED_VALUE"""),"SELESAI (VIA PERMOHONAN)")</f>
        <v>SELESAI (VIA PERMOHONAN)</v>
      </c>
      <c r="J1467" s="17">
        <f>IFERROR(__xludf.DUMMYFUNCTION("""COMPUTED_VALUE"""),45728.633762129626)</f>
        <v>45728.63376</v>
      </c>
      <c r="K1467" s="13" t="str">
        <f>IFERROR(__xludf.DUMMYFUNCTION("""COMPUTED_VALUE"""),"Selesai")</f>
        <v>Selesai</v>
      </c>
      <c r="L1467" s="17">
        <f>IFERROR(__xludf.DUMMYFUNCTION("""COMPUTED_VALUE"""),45728.633762129626)</f>
        <v>45728.63376</v>
      </c>
      <c r="M1467" s="13"/>
      <c r="N1467" s="13" t="str">
        <f>IFERROR(__xludf.DUMMYFUNCTION("""COMPUTED_VALUE"""),"")</f>
        <v/>
      </c>
      <c r="O1467" s="13" t="str">
        <f t="shared" si="1"/>
        <v/>
      </c>
    </row>
    <row r="1468" ht="22.5" customHeight="1">
      <c r="B1468" s="13">
        <f>IFERROR(__xludf.DUMMYFUNCTION("""COMPUTED_VALUE"""),1463.0)</f>
        <v>1463</v>
      </c>
      <c r="C1468" s="13" t="str">
        <f>IFERROR(__xludf.DUMMYFUNCTION("""COMPUTED_VALUE"""),"M.1608/LABUHAN DALAM")</f>
        <v>M.1608/LABUHAN DALAM</v>
      </c>
      <c r="D1468" s="13" t="str">
        <f>IFERROR(__xludf.DUMMYFUNCTION("""COMPUTED_VALUE"""),"K/3/240225/1")</f>
        <v>K/3/240225/1</v>
      </c>
      <c r="E1468" s="14" t="str">
        <f>IFERROR(__xludf.DUMMYFUNCTION("""COMPUTED_VALUE"""),"Nadian (BT)")</f>
        <v>Nadian (BT)</v>
      </c>
      <c r="F1468" s="14" t="str">
        <f>IFERROR(__xludf.DUMMYFUNCTION("""COMPUTED_VALUE"""),"SELESAI (VIA PERMOHONAN)")</f>
        <v>SELESAI (VIA PERMOHONAN)</v>
      </c>
      <c r="G1468" s="17">
        <f>IFERROR(__xludf.DUMMYFUNCTION("""COMPUTED_VALUE"""),45727.5972703588)</f>
        <v>45727.59727</v>
      </c>
      <c r="H1468" s="14" t="str">
        <f>IFERROR(__xludf.DUMMYFUNCTION("""COMPUTED_VALUE"""),"Bu Eva (SU)")</f>
        <v>Bu Eva (SU)</v>
      </c>
      <c r="I1468" s="13" t="str">
        <f>IFERROR(__xludf.DUMMYFUNCTION("""COMPUTED_VALUE"""),"SELESAI (VIA PERMOHONAN)")</f>
        <v>SELESAI (VIA PERMOHONAN)</v>
      </c>
      <c r="J1468" s="17">
        <f>IFERROR(__xludf.DUMMYFUNCTION("""COMPUTED_VALUE"""),45728.633762129626)</f>
        <v>45728.63376</v>
      </c>
      <c r="K1468" s="13" t="str">
        <f>IFERROR(__xludf.DUMMYFUNCTION("""COMPUTED_VALUE"""),"Selesai")</f>
        <v>Selesai</v>
      </c>
      <c r="L1468" s="17">
        <f>IFERROR(__xludf.DUMMYFUNCTION("""COMPUTED_VALUE"""),45728.633762129626)</f>
        <v>45728.63376</v>
      </c>
      <c r="M1468" s="13"/>
      <c r="N1468" s="13" t="str">
        <f>IFERROR(__xludf.DUMMYFUNCTION("""COMPUTED_VALUE"""),"")</f>
        <v/>
      </c>
      <c r="O1468" s="13" t="str">
        <f t="shared" si="1"/>
        <v/>
      </c>
    </row>
    <row r="1469" ht="22.5" customHeight="1">
      <c r="B1469" s="13">
        <f>IFERROR(__xludf.DUMMYFUNCTION("""COMPUTED_VALUE"""),1464.0)</f>
        <v>1464</v>
      </c>
      <c r="C1469" s="13" t="str">
        <f>IFERROR(__xludf.DUMMYFUNCTION("""COMPUTED_VALUE"""),"M.2245/SUKARAME II")</f>
        <v>M.2245/SUKARAME II</v>
      </c>
      <c r="D1469" s="13" t="str">
        <f>IFERROR(__xludf.DUMMYFUNCTION("""COMPUTED_VALUE"""),"K/7/130125/1")</f>
        <v>K/7/130125/1</v>
      </c>
      <c r="E1469" s="14" t="str">
        <f>IFERROR(__xludf.DUMMYFUNCTION("""COMPUTED_VALUE"""),"Nadian (BT)")</f>
        <v>Nadian (BT)</v>
      </c>
      <c r="F1469" s="14" t="str">
        <f>IFERROR(__xludf.DUMMYFUNCTION("""COMPUTED_VALUE"""),"SELESAI (VIA PERMOHONAN)")</f>
        <v>SELESAI (VIA PERMOHONAN)</v>
      </c>
      <c r="G1469" s="17">
        <f>IFERROR(__xludf.DUMMYFUNCTION("""COMPUTED_VALUE"""),45727.597295011576)</f>
        <v>45727.5973</v>
      </c>
      <c r="H1469" s="14" t="str">
        <f>IFERROR(__xludf.DUMMYFUNCTION("""COMPUTED_VALUE"""),"Bu Eva (SU)")</f>
        <v>Bu Eva (SU)</v>
      </c>
      <c r="I1469" s="13" t="str">
        <f>IFERROR(__xludf.DUMMYFUNCTION("""COMPUTED_VALUE"""),"SELESAI (VIA PERMOHONAN)")</f>
        <v>SELESAI (VIA PERMOHONAN)</v>
      </c>
      <c r="J1469" s="17">
        <f>IFERROR(__xludf.DUMMYFUNCTION("""COMPUTED_VALUE"""),45728.633762129626)</f>
        <v>45728.63376</v>
      </c>
      <c r="K1469" s="13" t="str">
        <f>IFERROR(__xludf.DUMMYFUNCTION("""COMPUTED_VALUE"""),"Selesai")</f>
        <v>Selesai</v>
      </c>
      <c r="L1469" s="17">
        <f>IFERROR(__xludf.DUMMYFUNCTION("""COMPUTED_VALUE"""),45728.633762129626)</f>
        <v>45728.63376</v>
      </c>
      <c r="M1469" s="13"/>
      <c r="N1469" s="13" t="str">
        <f>IFERROR(__xludf.DUMMYFUNCTION("""COMPUTED_VALUE"""),"")</f>
        <v/>
      </c>
      <c r="O1469" s="13" t="str">
        <f t="shared" si="1"/>
        <v/>
      </c>
    </row>
    <row r="1470" ht="22.5" customHeight="1">
      <c r="B1470" s="13">
        <f>IFERROR(__xludf.DUMMYFUNCTION("""COMPUTED_VALUE"""),1465.0)</f>
        <v>1465</v>
      </c>
      <c r="C1470" s="13" t="str">
        <f>IFERROR(__xludf.DUMMYFUNCTION("""COMPUTED_VALUE"""),"M. 4922/ Sukadana Ham")</f>
        <v>M. 4922/ Sukadana Ham</v>
      </c>
      <c r="D1470" s="13" t="str">
        <f>IFERROR(__xludf.DUMMYFUNCTION("""COMPUTED_VALUE"""),"K/18/260225/3")</f>
        <v>K/18/260225/3</v>
      </c>
      <c r="E1470" s="14" t="str">
        <f>IFERROR(__xludf.DUMMYFUNCTION("""COMPUTED_VALUE"""),"Afriza (BT)")</f>
        <v>Afriza (BT)</v>
      </c>
      <c r="F1470" s="14" t="str">
        <f>IFERROR(__xludf.DUMMYFUNCTION("""COMPUTED_VALUE"""),"SELESAI (VIA PERMOHONAN)")</f>
        <v>SELESAI (VIA PERMOHONAN)</v>
      </c>
      <c r="G1470" s="17">
        <f>IFERROR(__xludf.DUMMYFUNCTION("""COMPUTED_VALUE"""),45728.529732951385)</f>
        <v>45728.52973</v>
      </c>
      <c r="H1470" s="14" t="str">
        <f>IFERROR(__xludf.DUMMYFUNCTION("""COMPUTED_VALUE"""),"Bu Eva (SU)")</f>
        <v>Bu Eva (SU)</v>
      </c>
      <c r="I1470" s="13" t="str">
        <f>IFERROR(__xludf.DUMMYFUNCTION("""COMPUTED_VALUE"""),"SELESAI (VIA PERMOHONAN)")</f>
        <v>SELESAI (VIA PERMOHONAN)</v>
      </c>
      <c r="J1470" s="17">
        <f>IFERROR(__xludf.DUMMYFUNCTION("""COMPUTED_VALUE"""),45728.52979104167)</f>
        <v>45728.52979</v>
      </c>
      <c r="K1470" s="13" t="str">
        <f>IFERROR(__xludf.DUMMYFUNCTION("""COMPUTED_VALUE"""),"Selesai")</f>
        <v>Selesai</v>
      </c>
      <c r="L1470" s="17">
        <f>IFERROR(__xludf.DUMMYFUNCTION("""COMPUTED_VALUE"""),45728.52979104167)</f>
        <v>45728.52979</v>
      </c>
      <c r="M1470" s="13"/>
      <c r="N1470" s="13" t="str">
        <f>IFERROR(__xludf.DUMMYFUNCTION("""COMPUTED_VALUE"""),"")</f>
        <v/>
      </c>
      <c r="O1470" s="13" t="str">
        <f t="shared" si="1"/>
        <v/>
      </c>
    </row>
    <row r="1471" ht="22.5" customHeight="1">
      <c r="B1471" s="13">
        <f>IFERROR(__xludf.DUMMYFUNCTION("""COMPUTED_VALUE"""),1466.0)</f>
        <v>1466</v>
      </c>
      <c r="C1471" s="13" t="str">
        <f>IFERROR(__xludf.DUMMYFUNCTION("""COMPUTED_VALUE"""),"M. 291/ Korpri Raya")</f>
        <v>M. 291/ Korpri Raya</v>
      </c>
      <c r="D1471" s="13" t="str">
        <f>IFERROR(__xludf.DUMMYFUNCTION("""COMPUTED_VALUE"""),"K/19/260225/4")</f>
        <v>K/19/260225/4</v>
      </c>
      <c r="E1471" s="14" t="str">
        <f>IFERROR(__xludf.DUMMYFUNCTION("""COMPUTED_VALUE"""),"Afriza (BT)")</f>
        <v>Afriza (BT)</v>
      </c>
      <c r="F1471" s="14" t="str">
        <f>IFERROR(__xludf.DUMMYFUNCTION("""COMPUTED_VALUE"""),"SELESAI (VIA PERMOHONAN)")</f>
        <v>SELESAI (VIA PERMOHONAN)</v>
      </c>
      <c r="G1471" s="17">
        <f>IFERROR(__xludf.DUMMYFUNCTION("""COMPUTED_VALUE"""),45728.52990700232)</f>
        <v>45728.52991</v>
      </c>
      <c r="H1471" s="14" t="str">
        <f>IFERROR(__xludf.DUMMYFUNCTION("""COMPUTED_VALUE"""),"Bu Eva (SU)")</f>
        <v>Bu Eva (SU)</v>
      </c>
      <c r="I1471" s="13" t="str">
        <f>IFERROR(__xludf.DUMMYFUNCTION("""COMPUTED_VALUE"""),"SELESAI (VIA PERMOHONAN)")</f>
        <v>SELESAI (VIA PERMOHONAN)</v>
      </c>
      <c r="J1471" s="17">
        <f>IFERROR(__xludf.DUMMYFUNCTION("""COMPUTED_VALUE"""),45728.529965208334)</f>
        <v>45728.52997</v>
      </c>
      <c r="K1471" s="13" t="str">
        <f>IFERROR(__xludf.DUMMYFUNCTION("""COMPUTED_VALUE"""),"Selesai")</f>
        <v>Selesai</v>
      </c>
      <c r="L1471" s="17">
        <f>IFERROR(__xludf.DUMMYFUNCTION("""COMPUTED_VALUE"""),45728.529965208334)</f>
        <v>45728.52997</v>
      </c>
      <c r="M1471" s="13"/>
      <c r="N1471" s="13" t="str">
        <f>IFERROR(__xludf.DUMMYFUNCTION("""COMPUTED_VALUE"""),"")</f>
        <v/>
      </c>
      <c r="O1471" s="13" t="str">
        <f t="shared" si="1"/>
        <v/>
      </c>
    </row>
    <row r="1472" ht="22.5" customHeight="1">
      <c r="B1472" s="13">
        <f>IFERROR(__xludf.DUMMYFUNCTION("""COMPUTED_VALUE"""),1467.0)</f>
        <v>1467</v>
      </c>
      <c r="C1472" s="13" t="str">
        <f>IFERROR(__xludf.DUMMYFUNCTION("""COMPUTED_VALUE"""),"HMASRS 292/ Sumur Putri")</f>
        <v>HMASRS 292/ Sumur Putri</v>
      </c>
      <c r="D1472" s="13" t="str">
        <f>IFERROR(__xludf.DUMMYFUNCTION("""COMPUTED_VALUE""")," K/14/210225/4")</f>
        <v> K/14/210225/4</v>
      </c>
      <c r="E1472" s="14" t="str">
        <f>IFERROR(__xludf.DUMMYFUNCTION("""COMPUTED_VALUE"""),"Afriza (BT)")</f>
        <v>Afriza (BT)</v>
      </c>
      <c r="F1472" s="14" t="str">
        <f>IFERROR(__xludf.DUMMYFUNCTION("""COMPUTED_VALUE"""),"SELESAI (VIA PERMOHONAN)")</f>
        <v>SELESAI (VIA PERMOHONAN)</v>
      </c>
      <c r="G1472" s="17">
        <f>IFERROR(__xludf.DUMMYFUNCTION("""COMPUTED_VALUE"""),45728.530111886575)</f>
        <v>45728.53011</v>
      </c>
      <c r="H1472" s="14" t="str">
        <f>IFERROR(__xludf.DUMMYFUNCTION("""COMPUTED_VALUE"""),"Bu Eva (SU)")</f>
        <v>Bu Eva (SU)</v>
      </c>
      <c r="I1472" s="13" t="str">
        <f>IFERROR(__xludf.DUMMYFUNCTION("""COMPUTED_VALUE"""),"SELESAI (VIA PERMOHONAN)")</f>
        <v>SELESAI (VIA PERMOHONAN)</v>
      </c>
      <c r="J1472" s="17">
        <f>IFERROR(__xludf.DUMMYFUNCTION("""COMPUTED_VALUE"""),45728.53015628472)</f>
        <v>45728.53016</v>
      </c>
      <c r="K1472" s="13" t="str">
        <f>IFERROR(__xludf.DUMMYFUNCTION("""COMPUTED_VALUE"""),"Selesai")</f>
        <v>Selesai</v>
      </c>
      <c r="L1472" s="17">
        <f>IFERROR(__xludf.DUMMYFUNCTION("""COMPUTED_VALUE"""),45728.53015628472)</f>
        <v>45728.53016</v>
      </c>
      <c r="M1472" s="13"/>
      <c r="N1472" s="13" t="str">
        <f>IFERROR(__xludf.DUMMYFUNCTION("""COMPUTED_VALUE"""),"")</f>
        <v/>
      </c>
      <c r="O1472" s="13" t="str">
        <f t="shared" si="1"/>
        <v/>
      </c>
    </row>
    <row r="1473" ht="22.5" customHeight="1">
      <c r="B1473" s="13">
        <f>IFERROR(__xludf.DUMMYFUNCTION("""COMPUTED_VALUE"""),1468.0)</f>
        <v>1468</v>
      </c>
      <c r="C1473" s="13" t="str">
        <f>IFERROR(__xludf.DUMMYFUNCTION("""COMPUTED_VALUE"""),"B. 2426/ Sukarame")</f>
        <v>B. 2426/ Sukarame</v>
      </c>
      <c r="D1473" s="13" t="str">
        <f>IFERROR(__xludf.DUMMYFUNCTION("""COMPUTED_VALUE"""),"K/11/280225/1")</f>
        <v>K/11/280225/1</v>
      </c>
      <c r="E1473" s="14" t="str">
        <f>IFERROR(__xludf.DUMMYFUNCTION("""COMPUTED_VALUE"""),"Afriza (BT)")</f>
        <v>Afriza (BT)</v>
      </c>
      <c r="F1473" s="14" t="str">
        <f>IFERROR(__xludf.DUMMYFUNCTION("""COMPUTED_VALUE"""),"SELESAI (VIA PERMOHONAN)")</f>
        <v>SELESAI (VIA PERMOHONAN)</v>
      </c>
      <c r="G1473" s="17">
        <f>IFERROR(__xludf.DUMMYFUNCTION("""COMPUTED_VALUE"""),45728.53029925926)</f>
        <v>45728.5303</v>
      </c>
      <c r="H1473" s="14" t="str">
        <f>IFERROR(__xludf.DUMMYFUNCTION("""COMPUTED_VALUE"""),"Bu Eva (SU)")</f>
        <v>Bu Eva (SU)</v>
      </c>
      <c r="I1473" s="13" t="str">
        <f>IFERROR(__xludf.DUMMYFUNCTION("""COMPUTED_VALUE"""),"SELESAI (VIA PERMOHONAN)")</f>
        <v>SELESAI (VIA PERMOHONAN)</v>
      </c>
      <c r="J1473" s="17">
        <f>IFERROR(__xludf.DUMMYFUNCTION("""COMPUTED_VALUE"""),45728.5303719213)</f>
        <v>45728.53037</v>
      </c>
      <c r="K1473" s="13" t="str">
        <f>IFERROR(__xludf.DUMMYFUNCTION("""COMPUTED_VALUE"""),"Selesai")</f>
        <v>Selesai</v>
      </c>
      <c r="L1473" s="17">
        <f>IFERROR(__xludf.DUMMYFUNCTION("""COMPUTED_VALUE"""),45728.5303719213)</f>
        <v>45728.53037</v>
      </c>
      <c r="M1473" s="13"/>
      <c r="N1473" s="13" t="str">
        <f>IFERROR(__xludf.DUMMYFUNCTION("""COMPUTED_VALUE"""),"")</f>
        <v/>
      </c>
      <c r="O1473" s="13" t="str">
        <f t="shared" si="1"/>
        <v/>
      </c>
    </row>
    <row r="1474" ht="22.5" customHeight="1">
      <c r="B1474" s="13">
        <f>IFERROR(__xludf.DUMMYFUNCTION("""COMPUTED_VALUE"""),1469.0)</f>
        <v>1469</v>
      </c>
      <c r="C1474" s="13" t="str">
        <f>IFERROR(__xludf.DUMMYFUNCTION("""COMPUTED_VALUE"""),"M. 2415/ Sukamaju")</f>
        <v>M. 2415/ Sukamaju</v>
      </c>
      <c r="D1474" s="13" t="str">
        <f>IFERROR(__xludf.DUMMYFUNCTION("""COMPUTED_VALUE"""),"K/14/130225/2")</f>
        <v>K/14/130225/2</v>
      </c>
      <c r="E1474" s="14" t="str">
        <f>IFERROR(__xludf.DUMMYFUNCTION("""COMPUTED_VALUE"""),"Afriza (BT)")</f>
        <v>Afriza (BT)</v>
      </c>
      <c r="F1474" s="14" t="str">
        <f>IFERROR(__xludf.DUMMYFUNCTION("""COMPUTED_VALUE"""),"SELESAI (VIA PERMOHONAN)")</f>
        <v>SELESAI (VIA PERMOHONAN)</v>
      </c>
      <c r="G1474" s="17">
        <f>IFERROR(__xludf.DUMMYFUNCTION("""COMPUTED_VALUE"""),45728.530476562504)</f>
        <v>45728.53048</v>
      </c>
      <c r="H1474" s="14" t="str">
        <f>IFERROR(__xludf.DUMMYFUNCTION("""COMPUTED_VALUE"""),"Bu Eva (SU)")</f>
        <v>Bu Eva (SU)</v>
      </c>
      <c r="I1474" s="13" t="str">
        <f>IFERROR(__xludf.DUMMYFUNCTION("""COMPUTED_VALUE"""),"SELESAI (VIA PERMOHONAN)")</f>
        <v>SELESAI (VIA PERMOHONAN)</v>
      </c>
      <c r="J1474" s="17">
        <f>IFERROR(__xludf.DUMMYFUNCTION("""COMPUTED_VALUE"""),45728.530520092594)</f>
        <v>45728.53052</v>
      </c>
      <c r="K1474" s="13" t="str">
        <f>IFERROR(__xludf.DUMMYFUNCTION("""COMPUTED_VALUE"""),"Selesai")</f>
        <v>Selesai</v>
      </c>
      <c r="L1474" s="17">
        <f>IFERROR(__xludf.DUMMYFUNCTION("""COMPUTED_VALUE"""),45728.530520092594)</f>
        <v>45728.53052</v>
      </c>
      <c r="M1474" s="13"/>
      <c r="N1474" s="13" t="str">
        <f>IFERROR(__xludf.DUMMYFUNCTION("""COMPUTED_VALUE"""),"")</f>
        <v/>
      </c>
      <c r="O1474" s="13" t="str">
        <f t="shared" si="1"/>
        <v/>
      </c>
    </row>
    <row r="1475" ht="22.5" customHeight="1">
      <c r="B1475" s="13">
        <f>IFERROR(__xludf.DUMMYFUNCTION("""COMPUTED_VALUE"""),1470.0)</f>
        <v>1470</v>
      </c>
      <c r="C1475" s="13" t="str">
        <f>IFERROR(__xludf.DUMMYFUNCTION("""COMPUTED_VALUE"""),"M. 6183/ way Kandis")</f>
        <v>M. 6183/ way Kandis</v>
      </c>
      <c r="D1475" s="13" t="str">
        <f>IFERROR(__xludf.DUMMYFUNCTION("""COMPUTED_VALUE"""),"K/7/050325/3")</f>
        <v>K/7/050325/3</v>
      </c>
      <c r="E1475" s="14" t="str">
        <f>IFERROR(__xludf.DUMMYFUNCTION("""COMPUTED_VALUE"""),"Afriza (BT)")</f>
        <v>Afriza (BT)</v>
      </c>
      <c r="F1475" s="14" t="str">
        <f>IFERROR(__xludf.DUMMYFUNCTION("""COMPUTED_VALUE"""),"SELESAI (VIA PERMOHONAN)")</f>
        <v>SELESAI (VIA PERMOHONAN)</v>
      </c>
      <c r="G1475" s="17">
        <f>IFERROR(__xludf.DUMMYFUNCTION("""COMPUTED_VALUE"""),45728.530645011575)</f>
        <v>45728.53065</v>
      </c>
      <c r="H1475" s="14" t="str">
        <f>IFERROR(__xludf.DUMMYFUNCTION("""COMPUTED_VALUE"""),"Bu Eva (SU)")</f>
        <v>Bu Eva (SU)</v>
      </c>
      <c r="I1475" s="13" t="str">
        <f>IFERROR(__xludf.DUMMYFUNCTION("""COMPUTED_VALUE"""),"SELESAI (VIA PERMOHONAN)")</f>
        <v>SELESAI (VIA PERMOHONAN)</v>
      </c>
      <c r="J1475" s="17">
        <f>IFERROR(__xludf.DUMMYFUNCTION("""COMPUTED_VALUE"""),45728.53069131944)</f>
        <v>45728.53069</v>
      </c>
      <c r="K1475" s="13" t="str">
        <f>IFERROR(__xludf.DUMMYFUNCTION("""COMPUTED_VALUE"""),"Selesai")</f>
        <v>Selesai</v>
      </c>
      <c r="L1475" s="17">
        <f>IFERROR(__xludf.DUMMYFUNCTION("""COMPUTED_VALUE"""),45728.53069131944)</f>
        <v>45728.53069</v>
      </c>
      <c r="M1475" s="13"/>
      <c r="N1475" s="13" t="str">
        <f>IFERROR(__xludf.DUMMYFUNCTION("""COMPUTED_VALUE"""),"")</f>
        <v/>
      </c>
      <c r="O1475" s="13" t="str">
        <f t="shared" si="1"/>
        <v/>
      </c>
    </row>
    <row r="1476" ht="22.5" customHeight="1">
      <c r="B1476" s="13">
        <f>IFERROR(__xludf.DUMMYFUNCTION("""COMPUTED_VALUE"""),1471.0)</f>
        <v>1471</v>
      </c>
      <c r="C1476" s="13" t="str">
        <f>IFERROR(__xludf.DUMMYFUNCTION("""COMPUTED_VALUE"""),"M. 1128/ Kuripan")</f>
        <v>M. 1128/ Kuripan</v>
      </c>
      <c r="D1476" s="13" t="str">
        <f>IFERROR(__xludf.DUMMYFUNCTION("""COMPUTED_VALUE"""),"K/47/070325/1")</f>
        <v>K/47/070325/1</v>
      </c>
      <c r="E1476" s="14" t="str">
        <f>IFERROR(__xludf.DUMMYFUNCTION("""COMPUTED_VALUE"""),"Nadian (BT)")</f>
        <v>Nadian (BT)</v>
      </c>
      <c r="F1476" s="14" t="str">
        <f>IFERROR(__xludf.DUMMYFUNCTION("""COMPUTED_VALUE"""),"SELESAI (VIA PERMOHONAN)")</f>
        <v>SELESAI (VIA PERMOHONAN)</v>
      </c>
      <c r="G1476" s="17">
        <f>IFERROR(__xludf.DUMMYFUNCTION("""COMPUTED_VALUE"""),45728.5626565162)</f>
        <v>45728.56266</v>
      </c>
      <c r="H1476" s="14" t="str">
        <f>IFERROR(__xludf.DUMMYFUNCTION("""COMPUTED_VALUE"""),"Bu Eva (SU)")</f>
        <v>Bu Eva (SU)</v>
      </c>
      <c r="I1476" s="13" t="str">
        <f>IFERROR(__xludf.DUMMYFUNCTION("""COMPUTED_VALUE"""),"SELESAI (VIA PERMOHONAN)")</f>
        <v>SELESAI (VIA PERMOHONAN)</v>
      </c>
      <c r="J1476" s="17">
        <f>IFERROR(__xludf.DUMMYFUNCTION("""COMPUTED_VALUE"""),45728.633823819444)</f>
        <v>45728.63382</v>
      </c>
      <c r="K1476" s="13" t="str">
        <f>IFERROR(__xludf.DUMMYFUNCTION("""COMPUTED_VALUE"""),"Selesai")</f>
        <v>Selesai</v>
      </c>
      <c r="L1476" s="17">
        <f>IFERROR(__xludf.DUMMYFUNCTION("""COMPUTED_VALUE"""),45728.633823819444)</f>
        <v>45728.63382</v>
      </c>
      <c r="M1476" s="13"/>
      <c r="N1476" s="13" t="str">
        <f>IFERROR(__xludf.DUMMYFUNCTION("""COMPUTED_VALUE"""),"")</f>
        <v/>
      </c>
      <c r="O1476" s="13" t="str">
        <f t="shared" si="1"/>
        <v/>
      </c>
    </row>
    <row r="1477" ht="22.5" customHeight="1">
      <c r="B1477" s="13">
        <f>IFERROR(__xludf.DUMMYFUNCTION("""COMPUTED_VALUE"""),1472.0)</f>
        <v>1472</v>
      </c>
      <c r="C1477" s="13" t="str">
        <f>IFERROR(__xludf.DUMMYFUNCTION("""COMPUTED_VALUE"""),"M. 520/ Sukarame")</f>
        <v>M. 520/ Sukarame</v>
      </c>
      <c r="D1477" s="13" t="str">
        <f>IFERROR(__xludf.DUMMYFUNCTION("""COMPUTED_VALUE"""),"K/26/060325/1")</f>
        <v>K/26/060325/1</v>
      </c>
      <c r="E1477" s="14" t="str">
        <f>IFERROR(__xludf.DUMMYFUNCTION("""COMPUTED_VALUE"""),"Nadian (BT)")</f>
        <v>Nadian (BT)</v>
      </c>
      <c r="F1477" s="14" t="str">
        <f>IFERROR(__xludf.DUMMYFUNCTION("""COMPUTED_VALUE"""),"SELESAI (VIA PERMOHONAN)")</f>
        <v>SELESAI (VIA PERMOHONAN)</v>
      </c>
      <c r="G1477" s="17">
        <f>IFERROR(__xludf.DUMMYFUNCTION("""COMPUTED_VALUE"""),45728.56267346065)</f>
        <v>45728.56267</v>
      </c>
      <c r="H1477" s="14" t="str">
        <f>IFERROR(__xludf.DUMMYFUNCTION("""COMPUTED_VALUE"""),"Bu Eva (SU)")</f>
        <v>Bu Eva (SU)</v>
      </c>
      <c r="I1477" s="13" t="str">
        <f>IFERROR(__xludf.DUMMYFUNCTION("""COMPUTED_VALUE"""),"SELESAI (VIA PERMOHONAN)")</f>
        <v>SELESAI (VIA PERMOHONAN)</v>
      </c>
      <c r="J1477" s="17">
        <f>IFERROR(__xludf.DUMMYFUNCTION("""COMPUTED_VALUE"""),45728.633823819444)</f>
        <v>45728.63382</v>
      </c>
      <c r="K1477" s="13" t="str">
        <f>IFERROR(__xludf.DUMMYFUNCTION("""COMPUTED_VALUE"""),"Selesai")</f>
        <v>Selesai</v>
      </c>
      <c r="L1477" s="17">
        <f>IFERROR(__xludf.DUMMYFUNCTION("""COMPUTED_VALUE"""),45728.633823819444)</f>
        <v>45728.63382</v>
      </c>
      <c r="M1477" s="13"/>
      <c r="N1477" s="13" t="str">
        <f>IFERROR(__xludf.DUMMYFUNCTION("""COMPUTED_VALUE"""),"")</f>
        <v/>
      </c>
      <c r="O1477" s="13" t="str">
        <f t="shared" si="1"/>
        <v/>
      </c>
    </row>
    <row r="1478" ht="22.5" customHeight="1">
      <c r="B1478" s="13">
        <f>IFERROR(__xludf.DUMMYFUNCTION("""COMPUTED_VALUE"""),1473.0)</f>
        <v>1473</v>
      </c>
      <c r="C1478" s="13" t="str">
        <f>IFERROR(__xludf.DUMMYFUNCTION("""COMPUTED_VALUE"""),"HM 2607/KALIAWI")</f>
        <v>HM 2607/KALIAWI</v>
      </c>
      <c r="D1478" s="13" t="str">
        <f>IFERROR(__xludf.DUMMYFUNCTION("""COMPUTED_VALUE"""),"L/33/260225/2")</f>
        <v>L/33/260225/2</v>
      </c>
      <c r="E1478" s="14" t="str">
        <f>IFERROR(__xludf.DUMMYFUNCTION("""COMPUTED_VALUE"""),"Nadian (BT)")</f>
        <v>Nadian (BT)</v>
      </c>
      <c r="F1478" s="14" t="str">
        <f>IFERROR(__xludf.DUMMYFUNCTION("""COMPUTED_VALUE"""),"SELESAI (VIA PERMOHONAN)")</f>
        <v>SELESAI (VIA PERMOHONAN)</v>
      </c>
      <c r="G1478" s="17">
        <f>IFERROR(__xludf.DUMMYFUNCTION("""COMPUTED_VALUE"""),45728.56267346065)</f>
        <v>45728.56267</v>
      </c>
      <c r="H1478" s="14" t="str">
        <f>IFERROR(__xludf.DUMMYFUNCTION("""COMPUTED_VALUE"""),"Bu Eva (SU)")</f>
        <v>Bu Eva (SU)</v>
      </c>
      <c r="I1478" s="13" t="str">
        <f>IFERROR(__xludf.DUMMYFUNCTION("""COMPUTED_VALUE"""),"SELESAI (VIA PERMOHONAN)")</f>
        <v>SELESAI (VIA PERMOHONAN)</v>
      </c>
      <c r="J1478" s="17">
        <f>IFERROR(__xludf.DUMMYFUNCTION("""COMPUTED_VALUE"""),45728.63382383102)</f>
        <v>45728.63382</v>
      </c>
      <c r="K1478" s="13" t="str">
        <f>IFERROR(__xludf.DUMMYFUNCTION("""COMPUTED_VALUE"""),"Selesai")</f>
        <v>Selesai</v>
      </c>
      <c r="L1478" s="17">
        <f>IFERROR(__xludf.DUMMYFUNCTION("""COMPUTED_VALUE"""),45728.63382383102)</f>
        <v>45728.63382</v>
      </c>
      <c r="M1478" s="13"/>
      <c r="N1478" s="13" t="str">
        <f>IFERROR(__xludf.DUMMYFUNCTION("""COMPUTED_VALUE"""),"")</f>
        <v/>
      </c>
      <c r="O1478" s="13" t="str">
        <f t="shared" si="1"/>
        <v/>
      </c>
    </row>
    <row r="1479" ht="22.5" customHeight="1">
      <c r="B1479" s="13">
        <f>IFERROR(__xludf.DUMMYFUNCTION("""COMPUTED_VALUE"""),1474.0)</f>
        <v>1474</v>
      </c>
      <c r="C1479" s="13" t="str">
        <f>IFERROR(__xludf.DUMMYFUNCTION("""COMPUTED_VALUE"""),"M. 5068/ Rajabasa Jaya")</f>
        <v>M. 5068/ Rajabasa Jaya</v>
      </c>
      <c r="D1479" s="13" t="str">
        <f>IFERROR(__xludf.DUMMYFUNCTION("""COMPUTED_VALUE"""),"K/19/040325/1")</f>
        <v>K/19/040325/1</v>
      </c>
      <c r="E1479" s="14" t="str">
        <f>IFERROR(__xludf.DUMMYFUNCTION("""COMPUTED_VALUE"""),"Nadian (BT)")</f>
        <v>Nadian (BT)</v>
      </c>
      <c r="F1479" s="14" t="str">
        <f>IFERROR(__xludf.DUMMYFUNCTION("""COMPUTED_VALUE"""),"SELESAI (VIA PERMOHONAN)")</f>
        <v>SELESAI (VIA PERMOHONAN)</v>
      </c>
      <c r="G1479" s="17">
        <f>IFERROR(__xludf.DUMMYFUNCTION("""COMPUTED_VALUE"""),45728.56267346065)</f>
        <v>45728.56267</v>
      </c>
      <c r="H1479" s="14" t="str">
        <f>IFERROR(__xludf.DUMMYFUNCTION("""COMPUTED_VALUE"""),"Bu Eva (SU)")</f>
        <v>Bu Eva (SU)</v>
      </c>
      <c r="I1479" s="13" t="str">
        <f>IFERROR(__xludf.DUMMYFUNCTION("""COMPUTED_VALUE"""),"SELESAI (VIA PERMOHONAN)")</f>
        <v>SELESAI (VIA PERMOHONAN)</v>
      </c>
      <c r="J1479" s="17">
        <f>IFERROR(__xludf.DUMMYFUNCTION("""COMPUTED_VALUE"""),45728.63382383102)</f>
        <v>45728.63382</v>
      </c>
      <c r="K1479" s="13" t="str">
        <f>IFERROR(__xludf.DUMMYFUNCTION("""COMPUTED_VALUE"""),"Selesai")</f>
        <v>Selesai</v>
      </c>
      <c r="L1479" s="17">
        <f>IFERROR(__xludf.DUMMYFUNCTION("""COMPUTED_VALUE"""),45728.63382383102)</f>
        <v>45728.63382</v>
      </c>
      <c r="M1479" s="13"/>
      <c r="N1479" s="13" t="str">
        <f>IFERROR(__xludf.DUMMYFUNCTION("""COMPUTED_VALUE"""),"")</f>
        <v/>
      </c>
      <c r="O1479" s="13" t="str">
        <f t="shared" si="1"/>
        <v/>
      </c>
    </row>
    <row r="1480" ht="22.5" customHeight="1">
      <c r="B1480" s="13">
        <f>IFERROR(__xludf.DUMMYFUNCTION("""COMPUTED_VALUE"""),1475.0)</f>
        <v>1475</v>
      </c>
      <c r="C1480" s="13" t="str">
        <f>IFERROR(__xludf.DUMMYFUNCTION("""COMPUTED_VALUE"""),"M. 6200/ Way Kandis")</f>
        <v>M. 6200/ Way Kandis</v>
      </c>
      <c r="D1480" s="13" t="str">
        <f>IFERROR(__xludf.DUMMYFUNCTION("""COMPUTED_VALUE"""),"K/70/261124/1")</f>
        <v>K/70/261124/1</v>
      </c>
      <c r="E1480" s="14" t="str">
        <f>IFERROR(__xludf.DUMMYFUNCTION("""COMPUTED_VALUE"""),"Nadian (BT)")</f>
        <v>Nadian (BT)</v>
      </c>
      <c r="F1480" s="14" t="str">
        <f>IFERROR(__xludf.DUMMYFUNCTION("""COMPUTED_VALUE"""),"SELESAI (VIA PERMOHONAN)")</f>
        <v>SELESAI (VIA PERMOHONAN)</v>
      </c>
      <c r="G1480" s="17">
        <f>IFERROR(__xludf.DUMMYFUNCTION("""COMPUTED_VALUE"""),45728.5627046875)</f>
        <v>45728.5627</v>
      </c>
      <c r="H1480" s="14" t="str">
        <f>IFERROR(__xludf.DUMMYFUNCTION("""COMPUTED_VALUE"""),"Bu Eva (SU)")</f>
        <v>Bu Eva (SU)</v>
      </c>
      <c r="I1480" s="13" t="str">
        <f>IFERROR(__xludf.DUMMYFUNCTION("""COMPUTED_VALUE"""),"SELESAI (VIA PERMOHONAN)")</f>
        <v>SELESAI (VIA PERMOHONAN)</v>
      </c>
      <c r="J1480" s="17">
        <f>IFERROR(__xludf.DUMMYFUNCTION("""COMPUTED_VALUE"""),45728.63382383102)</f>
        <v>45728.63382</v>
      </c>
      <c r="K1480" s="13" t="str">
        <f>IFERROR(__xludf.DUMMYFUNCTION("""COMPUTED_VALUE"""),"Selesai")</f>
        <v>Selesai</v>
      </c>
      <c r="L1480" s="17">
        <f>IFERROR(__xludf.DUMMYFUNCTION("""COMPUTED_VALUE"""),45728.63382383102)</f>
        <v>45728.63382</v>
      </c>
      <c r="M1480" s="13"/>
      <c r="N1480" s="13" t="str">
        <f>IFERROR(__xludf.DUMMYFUNCTION("""COMPUTED_VALUE"""),"")</f>
        <v/>
      </c>
      <c r="O1480" s="13" t="str">
        <f t="shared" si="1"/>
        <v/>
      </c>
    </row>
    <row r="1481" ht="22.5" customHeight="1">
      <c r="B1481" s="13">
        <f>IFERROR(__xludf.DUMMYFUNCTION("""COMPUTED_VALUE"""),1476.0)</f>
        <v>1476</v>
      </c>
      <c r="C1481" s="13" t="str">
        <f>IFERROR(__xludf.DUMMYFUNCTION("""COMPUTED_VALUE"""),"M. 6198/ Way Kandis")</f>
        <v>M. 6198/ Way Kandis</v>
      </c>
      <c r="D1481" s="13" t="str">
        <f>IFERROR(__xludf.DUMMYFUNCTION("""COMPUTED_VALUE"""),"K/71/261124/2")</f>
        <v>K/71/261124/2</v>
      </c>
      <c r="E1481" s="14" t="str">
        <f>IFERROR(__xludf.DUMMYFUNCTION("""COMPUTED_VALUE"""),"Nadian (BT)")</f>
        <v>Nadian (BT)</v>
      </c>
      <c r="F1481" s="14" t="str">
        <f>IFERROR(__xludf.DUMMYFUNCTION("""COMPUTED_VALUE"""),"SELESAI (VIA PERMOHONAN)")</f>
        <v>SELESAI (VIA PERMOHONAN)</v>
      </c>
      <c r="G1481" s="17">
        <f>IFERROR(__xludf.DUMMYFUNCTION("""COMPUTED_VALUE"""),45728.5627046875)</f>
        <v>45728.5627</v>
      </c>
      <c r="H1481" s="14" t="str">
        <f>IFERROR(__xludf.DUMMYFUNCTION("""COMPUTED_VALUE"""),"Bu Eva (SU)")</f>
        <v>Bu Eva (SU)</v>
      </c>
      <c r="I1481" s="13" t="str">
        <f>IFERROR(__xludf.DUMMYFUNCTION("""COMPUTED_VALUE"""),"SELESAI (VIA PERMOHONAN)")</f>
        <v>SELESAI (VIA PERMOHONAN)</v>
      </c>
      <c r="J1481" s="17">
        <f>IFERROR(__xludf.DUMMYFUNCTION("""COMPUTED_VALUE"""),45728.63382383102)</f>
        <v>45728.63382</v>
      </c>
      <c r="K1481" s="13" t="str">
        <f>IFERROR(__xludf.DUMMYFUNCTION("""COMPUTED_VALUE"""),"Selesai")</f>
        <v>Selesai</v>
      </c>
      <c r="L1481" s="17">
        <f>IFERROR(__xludf.DUMMYFUNCTION("""COMPUTED_VALUE"""),45728.63382383102)</f>
        <v>45728.63382</v>
      </c>
      <c r="M1481" s="13"/>
      <c r="N1481" s="13" t="str">
        <f>IFERROR(__xludf.DUMMYFUNCTION("""COMPUTED_VALUE"""),"")</f>
        <v/>
      </c>
      <c r="O1481" s="13" t="str">
        <f t="shared" si="1"/>
        <v/>
      </c>
    </row>
    <row r="1482" ht="22.5" customHeight="1">
      <c r="B1482" s="13">
        <f>IFERROR(__xludf.DUMMYFUNCTION("""COMPUTED_VALUE"""),1477.0)</f>
        <v>1477</v>
      </c>
      <c r="C1482" s="13" t="str">
        <f>IFERROR(__xludf.DUMMYFUNCTION("""COMPUTED_VALUE"""),"M. 785/ Sumur Putri")</f>
        <v>M. 785/ Sumur Putri</v>
      </c>
      <c r="D1482" s="13" t="str">
        <f>IFERROR(__xludf.DUMMYFUNCTION("""COMPUTED_VALUE"""),"K/32/050325/2")</f>
        <v>K/32/050325/2</v>
      </c>
      <c r="E1482" s="14" t="str">
        <f>IFERROR(__xludf.DUMMYFUNCTION("""COMPUTED_VALUE"""),"Nadian (BT)")</f>
        <v>Nadian (BT)</v>
      </c>
      <c r="F1482" s="14" t="str">
        <f>IFERROR(__xludf.DUMMYFUNCTION("""COMPUTED_VALUE"""),"SELESAI (VIA PERMOHONAN)")</f>
        <v>SELESAI (VIA PERMOHONAN)</v>
      </c>
      <c r="G1482" s="17">
        <f>IFERROR(__xludf.DUMMYFUNCTION("""COMPUTED_VALUE"""),45728.5627046875)</f>
        <v>45728.5627</v>
      </c>
      <c r="H1482" s="14" t="str">
        <f>IFERROR(__xludf.DUMMYFUNCTION("""COMPUTED_VALUE"""),"Bu Eva (SU)")</f>
        <v>Bu Eva (SU)</v>
      </c>
      <c r="I1482" s="13" t="str">
        <f>IFERROR(__xludf.DUMMYFUNCTION("""COMPUTED_VALUE"""),"SELESAI (VIA PERMOHONAN)")</f>
        <v>SELESAI (VIA PERMOHONAN)</v>
      </c>
      <c r="J1482" s="17">
        <f>IFERROR(__xludf.DUMMYFUNCTION("""COMPUTED_VALUE"""),45728.63382383102)</f>
        <v>45728.63382</v>
      </c>
      <c r="K1482" s="13" t="str">
        <f>IFERROR(__xludf.DUMMYFUNCTION("""COMPUTED_VALUE"""),"Selesai")</f>
        <v>Selesai</v>
      </c>
      <c r="L1482" s="17">
        <f>IFERROR(__xludf.DUMMYFUNCTION("""COMPUTED_VALUE"""),45728.63382383102)</f>
        <v>45728.63382</v>
      </c>
      <c r="M1482" s="13"/>
      <c r="N1482" s="13" t="str">
        <f>IFERROR(__xludf.DUMMYFUNCTION("""COMPUTED_VALUE"""),"")</f>
        <v/>
      </c>
      <c r="O1482" s="13" t="str">
        <f t="shared" si="1"/>
        <v/>
      </c>
    </row>
    <row r="1483" ht="22.5" customHeight="1">
      <c r="B1483" s="13">
        <f>IFERROR(__xludf.DUMMYFUNCTION("""COMPUTED_VALUE"""),1478.0)</f>
        <v>1478</v>
      </c>
      <c r="C1483" s="13" t="str">
        <f>IFERROR(__xludf.DUMMYFUNCTION("""COMPUTED_VALUE"""),"HM 12211/SUKARAME")</f>
        <v>HM 12211/SUKARAME</v>
      </c>
      <c r="D1483" s="13" t="str">
        <f>IFERROR(__xludf.DUMMYFUNCTION("""COMPUTED_VALUE"""),"L/28/060325/1")</f>
        <v>L/28/060325/1</v>
      </c>
      <c r="E1483" s="14" t="str">
        <f>IFERROR(__xludf.DUMMYFUNCTION("""COMPUTED_VALUE"""),"Afriza (BT)")</f>
        <v>Afriza (BT)</v>
      </c>
      <c r="F1483" s="14" t="str">
        <f>IFERROR(__xludf.DUMMYFUNCTION("""COMPUTED_VALUE"""),"SELESAI (VIA PERMOHONAN)")</f>
        <v>SELESAI (VIA PERMOHONAN)</v>
      </c>
      <c r="G1483" s="17">
        <f>IFERROR(__xludf.DUMMYFUNCTION("""COMPUTED_VALUE"""),45728.58320916667)</f>
        <v>45728.58321</v>
      </c>
      <c r="H1483" s="14" t="str">
        <f>IFERROR(__xludf.DUMMYFUNCTION("""COMPUTED_VALUE"""),"Bu Eva (SU)")</f>
        <v>Bu Eva (SU)</v>
      </c>
      <c r="I1483" s="13" t="str">
        <f>IFERROR(__xludf.DUMMYFUNCTION("""COMPUTED_VALUE"""),"SELESAI (VIA PERMOHONAN)")</f>
        <v>SELESAI (VIA PERMOHONAN)</v>
      </c>
      <c r="J1483" s="17">
        <f>IFERROR(__xludf.DUMMYFUNCTION("""COMPUTED_VALUE"""),45728.58323903935)</f>
        <v>45728.58324</v>
      </c>
      <c r="K1483" s="13" t="str">
        <f>IFERROR(__xludf.DUMMYFUNCTION("""COMPUTED_VALUE"""),"Selesai")</f>
        <v>Selesai</v>
      </c>
      <c r="L1483" s="17">
        <f>IFERROR(__xludf.DUMMYFUNCTION("""COMPUTED_VALUE"""),45728.58323903935)</f>
        <v>45728.58324</v>
      </c>
      <c r="M1483" s="13"/>
      <c r="N1483" s="13" t="str">
        <f>IFERROR(__xludf.DUMMYFUNCTION("""COMPUTED_VALUE"""),"")</f>
        <v/>
      </c>
      <c r="O1483" s="13" t="str">
        <f t="shared" si="1"/>
        <v/>
      </c>
    </row>
    <row r="1484" ht="22.5" customHeight="1">
      <c r="B1484" s="13">
        <f>IFERROR(__xludf.DUMMYFUNCTION("""COMPUTED_VALUE"""),1479.0)</f>
        <v>1479</v>
      </c>
      <c r="C1484" s="13" t="str">
        <f>IFERROR(__xludf.DUMMYFUNCTION("""COMPUTED_VALUE"""),"M. 6307/ gn sulah")</f>
        <v>M. 6307/ gn sulah</v>
      </c>
      <c r="D1484" s="13" t="str">
        <f>IFERROR(__xludf.DUMMYFUNCTION("""COMPUTED_VALUE"""),"K/16/040325/2")</f>
        <v>K/16/040325/2</v>
      </c>
      <c r="E1484" s="14" t="str">
        <f>IFERROR(__xludf.DUMMYFUNCTION("""COMPUTED_VALUE"""),"Nadian (BT)")</f>
        <v>Nadian (BT)</v>
      </c>
      <c r="F1484" s="14" t="str">
        <f>IFERROR(__xludf.DUMMYFUNCTION("""COMPUTED_VALUE"""),"SELESAI (VIA PERMOHONAN)")</f>
        <v>SELESAI (VIA PERMOHONAN)</v>
      </c>
      <c r="G1484" s="17">
        <f>IFERROR(__xludf.DUMMYFUNCTION("""COMPUTED_VALUE"""),45729.57423571759)</f>
        <v>45729.57424</v>
      </c>
      <c r="H1484" s="14" t="str">
        <f>IFERROR(__xludf.DUMMYFUNCTION("""COMPUTED_VALUE"""),"Bu Eva (SU)")</f>
        <v>Bu Eva (SU)</v>
      </c>
      <c r="I1484" s="13" t="str">
        <f>IFERROR(__xludf.DUMMYFUNCTION("""COMPUTED_VALUE"""),"SELESAI (VIA PERMOHONAN)")</f>
        <v>SELESAI (VIA PERMOHONAN)</v>
      </c>
      <c r="J1484" s="17">
        <f>IFERROR(__xludf.DUMMYFUNCTION("""COMPUTED_VALUE"""),45728.63382383102)</f>
        <v>45728.63382</v>
      </c>
      <c r="K1484" s="13" t="str">
        <f>IFERROR(__xludf.DUMMYFUNCTION("""COMPUTED_VALUE"""),"Selesai")</f>
        <v>Selesai</v>
      </c>
      <c r="L1484" s="17">
        <f>IFERROR(__xludf.DUMMYFUNCTION("""COMPUTED_VALUE"""),45728.63382383102)</f>
        <v>45728.63382</v>
      </c>
      <c r="M1484" s="13"/>
      <c r="N1484" s="13" t="str">
        <f>IFERROR(__xludf.DUMMYFUNCTION("""COMPUTED_VALUE"""),"")</f>
        <v/>
      </c>
      <c r="O1484" s="13" t="str">
        <f t="shared" si="1"/>
        <v/>
      </c>
    </row>
    <row r="1485" ht="22.5" customHeight="1">
      <c r="B1485" s="13">
        <f>IFERROR(__xludf.DUMMYFUNCTION("""COMPUTED_VALUE"""),1480.0)</f>
        <v>1480</v>
      </c>
      <c r="C1485" s="13" t="str">
        <f>IFERROR(__xludf.DUMMYFUNCTION("""COMPUTED_VALUE"""),"-M.12198 / RAJABASA PEMUKA")</f>
        <v>-M.12198 / RAJABASA PEMUKA</v>
      </c>
      <c r="D1485" s="13" t="str">
        <f>IFERROR(__xludf.DUMMYFUNCTION("""COMPUTED_VALUE"""),"K/29/280225/1")</f>
        <v>K/29/280225/1</v>
      </c>
      <c r="E1485" s="14" t="str">
        <f>IFERROR(__xludf.DUMMYFUNCTION("""COMPUTED_VALUE"""),"Nadian (BT)")</f>
        <v>Nadian (BT)</v>
      </c>
      <c r="F1485" s="14" t="str">
        <f>IFERROR(__xludf.DUMMYFUNCTION("""COMPUTED_VALUE"""),"SELESAI (VIA PERMOHONAN)")</f>
        <v>SELESAI (VIA PERMOHONAN)</v>
      </c>
      <c r="G1485" s="17">
        <f>IFERROR(__xludf.DUMMYFUNCTION("""COMPUTED_VALUE"""),45729.57423572917)</f>
        <v>45729.57424</v>
      </c>
      <c r="H1485" s="14" t="str">
        <f>IFERROR(__xludf.DUMMYFUNCTION("""COMPUTED_VALUE"""),"Bu Eva (SU)")</f>
        <v>Bu Eva (SU)</v>
      </c>
      <c r="I1485" s="13" t="str">
        <f>IFERROR(__xludf.DUMMYFUNCTION("""COMPUTED_VALUE"""),"SELESAI (VIA PERMOHONAN)")</f>
        <v>SELESAI (VIA PERMOHONAN)</v>
      </c>
      <c r="J1485" s="17">
        <f>IFERROR(__xludf.DUMMYFUNCTION("""COMPUTED_VALUE"""),45730.61484811343)</f>
        <v>45730.61485</v>
      </c>
      <c r="K1485" s="13" t="str">
        <f>IFERROR(__xludf.DUMMYFUNCTION("""COMPUTED_VALUE"""),"Selesai")</f>
        <v>Selesai</v>
      </c>
      <c r="L1485" s="17">
        <f>IFERROR(__xludf.DUMMYFUNCTION("""COMPUTED_VALUE"""),45730.61484811343)</f>
        <v>45730.61485</v>
      </c>
      <c r="M1485" s="13"/>
      <c r="N1485" s="13" t="str">
        <f>IFERROR(__xludf.DUMMYFUNCTION("""COMPUTED_VALUE"""),"")</f>
        <v/>
      </c>
      <c r="O1485" s="13" t="str">
        <f t="shared" si="1"/>
        <v/>
      </c>
    </row>
    <row r="1486" ht="22.5" customHeight="1">
      <c r="B1486" s="13">
        <f>IFERROR(__xludf.DUMMYFUNCTION("""COMPUTED_VALUE"""),1481.0)</f>
        <v>1481</v>
      </c>
      <c r="C1486" s="13" t="str">
        <f>IFERROR(__xludf.DUMMYFUNCTION("""COMPUTED_VALUE"""),"HGB .3324/SUKABUMI")</f>
        <v>HGB .3324/SUKABUMI</v>
      </c>
      <c r="D1486" s="13" t="str">
        <f>IFERROR(__xludf.DUMMYFUNCTION("""COMPUTED_VALUE"""),"L/4/100325/1")</f>
        <v>L/4/100325/1</v>
      </c>
      <c r="E1486" s="14" t="str">
        <f>IFERROR(__xludf.DUMMYFUNCTION("""COMPUTED_VALUE"""),"Nadian (BT)")</f>
        <v>Nadian (BT)</v>
      </c>
      <c r="F1486" s="14" t="str">
        <f>IFERROR(__xludf.DUMMYFUNCTION("""COMPUTED_VALUE"""),"SELESAI (VIA PERMOHONAN)")</f>
        <v>SELESAI (VIA PERMOHONAN)</v>
      </c>
      <c r="G1486" s="17">
        <f>IFERROR(__xludf.DUMMYFUNCTION("""COMPUTED_VALUE"""),45729.57423572917)</f>
        <v>45729.57424</v>
      </c>
      <c r="H1486" s="14" t="str">
        <f>IFERROR(__xludf.DUMMYFUNCTION("""COMPUTED_VALUE"""),"Bu Eva (SU)")</f>
        <v>Bu Eva (SU)</v>
      </c>
      <c r="I1486" s="13" t="str">
        <f>IFERROR(__xludf.DUMMYFUNCTION("""COMPUTED_VALUE"""),"SELESAI (VIA PERMOHONAN)")</f>
        <v>SELESAI (VIA PERMOHONAN)</v>
      </c>
      <c r="J1486" s="17">
        <f>IFERROR(__xludf.DUMMYFUNCTION("""COMPUTED_VALUE"""),45730.61489081019)</f>
        <v>45730.61489</v>
      </c>
      <c r="K1486" s="13" t="str">
        <f>IFERROR(__xludf.DUMMYFUNCTION("""COMPUTED_VALUE"""),"Selesai")</f>
        <v>Selesai</v>
      </c>
      <c r="L1486" s="17">
        <f>IFERROR(__xludf.DUMMYFUNCTION("""COMPUTED_VALUE"""),45730.61489081019)</f>
        <v>45730.61489</v>
      </c>
      <c r="M1486" s="13"/>
      <c r="N1486" s="13" t="str">
        <f>IFERROR(__xludf.DUMMYFUNCTION("""COMPUTED_VALUE"""),"")</f>
        <v/>
      </c>
      <c r="O1486" s="13" t="str">
        <f t="shared" si="1"/>
        <v/>
      </c>
    </row>
    <row r="1487" ht="22.5" customHeight="1">
      <c r="B1487" s="13">
        <f>IFERROR(__xludf.DUMMYFUNCTION("""COMPUTED_VALUE"""),1482.0)</f>
        <v>1482</v>
      </c>
      <c r="C1487" s="13" t="str">
        <f>IFERROR(__xludf.DUMMYFUNCTION("""COMPUTED_VALUE"""),"M. 1286/PANJANG UTARA")</f>
        <v>M. 1286/PANJANG UTARA</v>
      </c>
      <c r="D1487" s="13" t="str">
        <f>IFERROR(__xludf.DUMMYFUNCTION("""COMPUTED_VALUE"""),"K/22/100325/1")</f>
        <v>K/22/100325/1</v>
      </c>
      <c r="E1487" s="14" t="str">
        <f>IFERROR(__xludf.DUMMYFUNCTION("""COMPUTED_VALUE"""),"Nadian (BT)")</f>
        <v>Nadian (BT)</v>
      </c>
      <c r="F1487" s="14" t="str">
        <f>IFERROR(__xludf.DUMMYFUNCTION("""COMPUTED_VALUE"""),"SELESAI (VIA PERMOHONAN)")</f>
        <v>SELESAI (VIA PERMOHONAN)</v>
      </c>
      <c r="G1487" s="17">
        <f>IFERROR(__xludf.DUMMYFUNCTION("""COMPUTED_VALUE"""),45729.57423572917)</f>
        <v>45729.57424</v>
      </c>
      <c r="H1487" s="14" t="str">
        <f>IFERROR(__xludf.DUMMYFUNCTION("""COMPUTED_VALUE"""),"Bu Eva (SU)")</f>
        <v>Bu Eva (SU)</v>
      </c>
      <c r="I1487" s="13" t="str">
        <f>IFERROR(__xludf.DUMMYFUNCTION("""COMPUTED_VALUE"""),"SELESAI (VIA PERMOHONAN)")</f>
        <v>SELESAI (VIA PERMOHONAN)</v>
      </c>
      <c r="J1487" s="17">
        <f>IFERROR(__xludf.DUMMYFUNCTION("""COMPUTED_VALUE"""),45730.61489081019)</f>
        <v>45730.61489</v>
      </c>
      <c r="K1487" s="13" t="str">
        <f>IFERROR(__xludf.DUMMYFUNCTION("""COMPUTED_VALUE"""),"Selesai")</f>
        <v>Selesai</v>
      </c>
      <c r="L1487" s="17">
        <f>IFERROR(__xludf.DUMMYFUNCTION("""COMPUTED_VALUE"""),45730.61489081019)</f>
        <v>45730.61489</v>
      </c>
      <c r="M1487" s="13"/>
      <c r="N1487" s="13" t="str">
        <f>IFERROR(__xludf.DUMMYFUNCTION("""COMPUTED_VALUE"""),"")</f>
        <v/>
      </c>
      <c r="O1487" s="13" t="str">
        <f t="shared" si="1"/>
        <v/>
      </c>
    </row>
    <row r="1488" ht="22.5" customHeight="1">
      <c r="B1488" s="13">
        <f>IFERROR(__xludf.DUMMYFUNCTION("""COMPUTED_VALUE"""),1483.0)</f>
        <v>1483</v>
      </c>
      <c r="C1488" s="13" t="str">
        <f>IFERROR(__xludf.DUMMYFUNCTION("""COMPUTED_VALUE"""),"B. 1117/KETEGUHAN")</f>
        <v>B. 1117/KETEGUHAN</v>
      </c>
      <c r="D1488" s="13" t="str">
        <f>IFERROR(__xludf.DUMMYFUNCTION("""COMPUTED_VALUE"""),"K/11/070325/1")</f>
        <v>K/11/070325/1</v>
      </c>
      <c r="E1488" s="14" t="str">
        <f>IFERROR(__xludf.DUMMYFUNCTION("""COMPUTED_VALUE"""),"Nadian (BT)")</f>
        <v>Nadian (BT)</v>
      </c>
      <c r="F1488" s="14" t="str">
        <f>IFERROR(__xludf.DUMMYFUNCTION("""COMPUTED_VALUE"""),"SELESAI (VIA PERMOHONAN)")</f>
        <v>SELESAI (VIA PERMOHONAN)</v>
      </c>
      <c r="G1488" s="17">
        <f>IFERROR(__xludf.DUMMYFUNCTION("""COMPUTED_VALUE"""),45729.57423572917)</f>
        <v>45729.57424</v>
      </c>
      <c r="H1488" s="14" t="str">
        <f>IFERROR(__xludf.DUMMYFUNCTION("""COMPUTED_VALUE"""),"Bu Eva (SU)")</f>
        <v>Bu Eva (SU)</v>
      </c>
      <c r="I1488" s="13" t="str">
        <f>IFERROR(__xludf.DUMMYFUNCTION("""COMPUTED_VALUE"""),"SELESAI (VIA PERMOHONAN)")</f>
        <v>SELESAI (VIA PERMOHONAN)</v>
      </c>
      <c r="J1488" s="17">
        <f>IFERROR(__xludf.DUMMYFUNCTION("""COMPUTED_VALUE"""),45730.61489082176)</f>
        <v>45730.61489</v>
      </c>
      <c r="K1488" s="13" t="str">
        <f>IFERROR(__xludf.DUMMYFUNCTION("""COMPUTED_VALUE"""),"Selesai")</f>
        <v>Selesai</v>
      </c>
      <c r="L1488" s="17">
        <f>IFERROR(__xludf.DUMMYFUNCTION("""COMPUTED_VALUE"""),45730.61489082176)</f>
        <v>45730.61489</v>
      </c>
      <c r="M1488" s="13"/>
      <c r="N1488" s="13" t="str">
        <f>IFERROR(__xludf.DUMMYFUNCTION("""COMPUTED_VALUE"""),"")</f>
        <v/>
      </c>
      <c r="O1488" s="13" t="str">
        <f t="shared" si="1"/>
        <v/>
      </c>
    </row>
    <row r="1489" ht="22.5" customHeight="1">
      <c r="B1489" s="13">
        <f>IFERROR(__xludf.DUMMYFUNCTION("""COMPUTED_VALUE"""),1484.0)</f>
        <v>1484</v>
      </c>
      <c r="C1489" s="13" t="str">
        <f>IFERROR(__xludf.DUMMYFUNCTION("""COMPUTED_VALUE"""),"M.1916/LANGKAPURA")</f>
        <v>M.1916/LANGKAPURA</v>
      </c>
      <c r="D1489" s="13" t="str">
        <f>IFERROR(__xludf.DUMMYFUNCTION("""COMPUTED_VALUE"""),"K/30/070325/1")</f>
        <v>K/30/070325/1</v>
      </c>
      <c r="E1489" s="14" t="str">
        <f>IFERROR(__xludf.DUMMYFUNCTION("""COMPUTED_VALUE"""),"Nadian (BT)")</f>
        <v>Nadian (BT)</v>
      </c>
      <c r="F1489" s="14" t="str">
        <f>IFERROR(__xludf.DUMMYFUNCTION("""COMPUTED_VALUE"""),"SELESAI (VIA PERMOHONAN)")</f>
        <v>SELESAI (VIA PERMOHONAN)</v>
      </c>
      <c r="G1489" s="17">
        <f>IFERROR(__xludf.DUMMYFUNCTION("""COMPUTED_VALUE"""),45729.57423572917)</f>
        <v>45729.57424</v>
      </c>
      <c r="H1489" s="14" t="str">
        <f>IFERROR(__xludf.DUMMYFUNCTION("""COMPUTED_VALUE"""),"Bu Eva (SU)")</f>
        <v>Bu Eva (SU)</v>
      </c>
      <c r="I1489" s="13" t="str">
        <f>IFERROR(__xludf.DUMMYFUNCTION("""COMPUTED_VALUE"""),"SELESAI (VIA PERMOHONAN)")</f>
        <v>SELESAI (VIA PERMOHONAN)</v>
      </c>
      <c r="J1489" s="17">
        <f>IFERROR(__xludf.DUMMYFUNCTION("""COMPUTED_VALUE"""),45730.61489082176)</f>
        <v>45730.61489</v>
      </c>
      <c r="K1489" s="13" t="str">
        <f>IFERROR(__xludf.DUMMYFUNCTION("""COMPUTED_VALUE"""),"Selesai")</f>
        <v>Selesai</v>
      </c>
      <c r="L1489" s="17">
        <f>IFERROR(__xludf.DUMMYFUNCTION("""COMPUTED_VALUE"""),45730.61489082176)</f>
        <v>45730.61489</v>
      </c>
      <c r="M1489" s="13"/>
      <c r="N1489" s="13" t="str">
        <f>IFERROR(__xludf.DUMMYFUNCTION("""COMPUTED_VALUE"""),"")</f>
        <v/>
      </c>
      <c r="O1489" s="13" t="str">
        <f t="shared" si="1"/>
        <v/>
      </c>
    </row>
    <row r="1490" ht="22.5" customHeight="1">
      <c r="B1490" s="13">
        <f>IFERROR(__xludf.DUMMYFUNCTION("""COMPUTED_VALUE"""),1485.0)</f>
        <v>1485</v>
      </c>
      <c r="C1490" s="13" t="str">
        <f>IFERROR(__xludf.DUMMYFUNCTION("""COMPUTED_VALUE"""),"B. 764/ Sumur Putri")</f>
        <v>B. 764/ Sumur Putri</v>
      </c>
      <c r="D1490" s="13" t="str">
        <f>IFERROR(__xludf.DUMMYFUNCTION("""COMPUTED_VALUE"""),"K/13/250225/1")</f>
        <v>K/13/250225/1</v>
      </c>
      <c r="E1490" s="14" t="str">
        <f>IFERROR(__xludf.DUMMYFUNCTION("""COMPUTED_VALUE"""),"Nadian (BT)")</f>
        <v>Nadian (BT)</v>
      </c>
      <c r="F1490" s="14" t="str">
        <f>IFERROR(__xludf.DUMMYFUNCTION("""COMPUTED_VALUE"""),"SELESAI (VIA PERMOHONAN)")</f>
        <v>SELESAI (VIA PERMOHONAN)</v>
      </c>
      <c r="G1490" s="17">
        <f>IFERROR(__xludf.DUMMYFUNCTION("""COMPUTED_VALUE"""),45729.57423572917)</f>
        <v>45729.57424</v>
      </c>
      <c r="H1490" s="14" t="str">
        <f>IFERROR(__xludf.DUMMYFUNCTION("""COMPUTED_VALUE"""),"Bu Eva (SU)")</f>
        <v>Bu Eva (SU)</v>
      </c>
      <c r="I1490" s="13" t="str">
        <f>IFERROR(__xludf.DUMMYFUNCTION("""COMPUTED_VALUE"""),"SELESAI (VIA PERMOHONAN)")</f>
        <v>SELESAI (VIA PERMOHONAN)</v>
      </c>
      <c r="J1490" s="17">
        <f>IFERROR(__xludf.DUMMYFUNCTION("""COMPUTED_VALUE"""),45730.61489082176)</f>
        <v>45730.61489</v>
      </c>
      <c r="K1490" s="13" t="str">
        <f>IFERROR(__xludf.DUMMYFUNCTION("""COMPUTED_VALUE"""),"Selesai")</f>
        <v>Selesai</v>
      </c>
      <c r="L1490" s="17">
        <f>IFERROR(__xludf.DUMMYFUNCTION("""COMPUTED_VALUE"""),45730.61489082176)</f>
        <v>45730.61489</v>
      </c>
      <c r="M1490" s="13"/>
      <c r="N1490" s="13" t="str">
        <f>IFERROR(__xludf.DUMMYFUNCTION("""COMPUTED_VALUE"""),"")</f>
        <v/>
      </c>
      <c r="O1490" s="13" t="str">
        <f t="shared" si="1"/>
        <v/>
      </c>
    </row>
    <row r="1491" ht="22.5" customHeight="1">
      <c r="B1491" s="13">
        <f>IFERROR(__xludf.DUMMYFUNCTION("""COMPUTED_VALUE"""),1486.0)</f>
        <v>1486</v>
      </c>
      <c r="C1491" s="13" t="str">
        <f>IFERROR(__xludf.DUMMYFUNCTION("""COMPUTED_VALUE"""),"M. 211/ Bumi Raya")</f>
        <v>M. 211/ Bumi Raya</v>
      </c>
      <c r="D1491" s="13" t="str">
        <f>IFERROR(__xludf.DUMMYFUNCTION("""COMPUTED_VALUE"""),"K/2/100325/1")</f>
        <v>K/2/100325/1</v>
      </c>
      <c r="E1491" s="14" t="str">
        <f>IFERROR(__xludf.DUMMYFUNCTION("""COMPUTED_VALUE"""),"Nadian (BT)")</f>
        <v>Nadian (BT)</v>
      </c>
      <c r="F1491" s="14" t="str">
        <f>IFERROR(__xludf.DUMMYFUNCTION("""COMPUTED_VALUE"""),"SELESAI (VIA PERMOHONAN)")</f>
        <v>SELESAI (VIA PERMOHONAN)</v>
      </c>
      <c r="G1491" s="17">
        <f>IFERROR(__xludf.DUMMYFUNCTION("""COMPUTED_VALUE"""),45729.57423572917)</f>
        <v>45729.57424</v>
      </c>
      <c r="H1491" s="14" t="str">
        <f>IFERROR(__xludf.DUMMYFUNCTION("""COMPUTED_VALUE"""),"Bu Eva (SU)")</f>
        <v>Bu Eva (SU)</v>
      </c>
      <c r="I1491" s="13" t="str">
        <f>IFERROR(__xludf.DUMMYFUNCTION("""COMPUTED_VALUE"""),"SELESAI (VIA PERMOHONAN)")</f>
        <v>SELESAI (VIA PERMOHONAN)</v>
      </c>
      <c r="J1491" s="17">
        <f>IFERROR(__xludf.DUMMYFUNCTION("""COMPUTED_VALUE"""),45730.61489082176)</f>
        <v>45730.61489</v>
      </c>
      <c r="K1491" s="13" t="str">
        <f>IFERROR(__xludf.DUMMYFUNCTION("""COMPUTED_VALUE"""),"Selesai")</f>
        <v>Selesai</v>
      </c>
      <c r="L1491" s="17">
        <f>IFERROR(__xludf.DUMMYFUNCTION("""COMPUTED_VALUE"""),45730.61489082176)</f>
        <v>45730.61489</v>
      </c>
      <c r="M1491" s="13"/>
      <c r="N1491" s="13" t="str">
        <f>IFERROR(__xludf.DUMMYFUNCTION("""COMPUTED_VALUE"""),"")</f>
        <v/>
      </c>
      <c r="O1491" s="13" t="str">
        <f t="shared" si="1"/>
        <v/>
      </c>
    </row>
    <row r="1492" ht="22.5" customHeight="1">
      <c r="B1492" s="13">
        <f>IFERROR(__xludf.DUMMYFUNCTION("""COMPUTED_VALUE"""),1487.0)</f>
        <v>1487</v>
      </c>
      <c r="C1492" s="13" t="str">
        <f>IFERROR(__xludf.DUMMYFUNCTION("""COMPUTED_VALUE"""),"M. 18826/ Sukarame")</f>
        <v>M. 18826/ Sukarame</v>
      </c>
      <c r="D1492" s="13" t="str">
        <f>IFERROR(__xludf.DUMMYFUNCTION("""COMPUTED_VALUE"""),"K/10/050325/1")</f>
        <v>K/10/050325/1</v>
      </c>
      <c r="E1492" s="14" t="str">
        <f>IFERROR(__xludf.DUMMYFUNCTION("""COMPUTED_VALUE"""),"Afriza (BT)")</f>
        <v>Afriza (BT)</v>
      </c>
      <c r="F1492" s="14" t="str">
        <f>IFERROR(__xludf.DUMMYFUNCTION("""COMPUTED_VALUE"""),"SELESAI (VIA PERMOHONAN)")</f>
        <v>SELESAI (VIA PERMOHONAN)</v>
      </c>
      <c r="G1492" s="17">
        <f>IFERROR(__xludf.DUMMYFUNCTION("""COMPUTED_VALUE"""),45729.57423572917)</f>
        <v>45729.57424</v>
      </c>
      <c r="H1492" s="14" t="str">
        <f>IFERROR(__xludf.DUMMYFUNCTION("""COMPUTED_VALUE"""),"Bu Eva (SU)")</f>
        <v>Bu Eva (SU)</v>
      </c>
      <c r="I1492" s="13" t="str">
        <f>IFERROR(__xludf.DUMMYFUNCTION("""COMPUTED_VALUE"""),"SELESAI (VIA PERMOHONAN)")</f>
        <v>SELESAI (VIA PERMOHONAN)</v>
      </c>
      <c r="J1492" s="17">
        <f>IFERROR(__xludf.DUMMYFUNCTION("""COMPUTED_VALUE"""),45730.61489082176)</f>
        <v>45730.61489</v>
      </c>
      <c r="K1492" s="13" t="str">
        <f>IFERROR(__xludf.DUMMYFUNCTION("""COMPUTED_VALUE"""),"Selesai")</f>
        <v>Selesai</v>
      </c>
      <c r="L1492" s="17">
        <f>IFERROR(__xludf.DUMMYFUNCTION("""COMPUTED_VALUE"""),45730.61489082176)</f>
        <v>45730.61489</v>
      </c>
      <c r="M1492" s="13"/>
      <c r="N1492" s="13" t="str">
        <f>IFERROR(__xludf.DUMMYFUNCTION("""COMPUTED_VALUE"""),"")</f>
        <v/>
      </c>
      <c r="O1492" s="13" t="str">
        <f t="shared" si="1"/>
        <v/>
      </c>
    </row>
    <row r="1493" ht="22.5" customHeight="1">
      <c r="B1493" s="13">
        <f>IFERROR(__xludf.DUMMYFUNCTION("""COMPUTED_VALUE"""),1488.0)</f>
        <v>1488</v>
      </c>
      <c r="C1493" s="13" t="str">
        <f>IFERROR(__xludf.DUMMYFUNCTION("""COMPUTED_VALUE"""),"M. 2629/ Pinang Jaya")</f>
        <v>M. 2629/ Pinang Jaya</v>
      </c>
      <c r="D1493" s="13" t="str">
        <f>IFERROR(__xludf.DUMMYFUNCTION("""COMPUTED_VALUE"""),"K/11/100325/1")</f>
        <v>K/11/100325/1</v>
      </c>
      <c r="E1493" s="14" t="str">
        <f>IFERROR(__xludf.DUMMYFUNCTION("""COMPUTED_VALUE"""),"Afriza (BT)")</f>
        <v>Afriza (BT)</v>
      </c>
      <c r="F1493" s="14" t="str">
        <f>IFERROR(__xludf.DUMMYFUNCTION("""COMPUTED_VALUE"""),"SELESAI (VIA PERMOHONAN)")</f>
        <v>SELESAI (VIA PERMOHONAN)</v>
      </c>
      <c r="G1493" s="17">
        <f>IFERROR(__xludf.DUMMYFUNCTION("""COMPUTED_VALUE"""),45729.57423572917)</f>
        <v>45729.57424</v>
      </c>
      <c r="H1493" s="14" t="str">
        <f>IFERROR(__xludf.DUMMYFUNCTION("""COMPUTED_VALUE"""),"Bu Eva (SU)")</f>
        <v>Bu Eva (SU)</v>
      </c>
      <c r="I1493" s="13" t="str">
        <f>IFERROR(__xludf.DUMMYFUNCTION("""COMPUTED_VALUE"""),"SELESAI (VIA PERMOHONAN)")</f>
        <v>SELESAI (VIA PERMOHONAN)</v>
      </c>
      <c r="J1493" s="17">
        <f>IFERROR(__xludf.DUMMYFUNCTION("""COMPUTED_VALUE"""),45730.61489082176)</f>
        <v>45730.61489</v>
      </c>
      <c r="K1493" s="13" t="str">
        <f>IFERROR(__xludf.DUMMYFUNCTION("""COMPUTED_VALUE"""),"Selesai")</f>
        <v>Selesai</v>
      </c>
      <c r="L1493" s="17">
        <f>IFERROR(__xludf.DUMMYFUNCTION("""COMPUTED_VALUE"""),45730.61489082176)</f>
        <v>45730.61489</v>
      </c>
      <c r="M1493" s="13"/>
      <c r="N1493" s="13" t="str">
        <f>IFERROR(__xludf.DUMMYFUNCTION("""COMPUTED_VALUE"""),"")</f>
        <v/>
      </c>
      <c r="O1493" s="13" t="str">
        <f t="shared" si="1"/>
        <v/>
      </c>
    </row>
    <row r="1494" ht="22.5" customHeight="1">
      <c r="B1494" s="13">
        <f>IFERROR(__xludf.DUMMYFUNCTION("""COMPUTED_VALUE"""),1489.0)</f>
        <v>1489</v>
      </c>
      <c r="C1494" s="13" t="str">
        <f>IFERROR(__xludf.DUMMYFUNCTION("""COMPUTED_VALUE"""),"M. 2351/ Kedaung")</f>
        <v>M. 2351/ Kedaung</v>
      </c>
      <c r="D1494" s="13" t="str">
        <f>IFERROR(__xludf.DUMMYFUNCTION("""COMPUTED_VALUE"""),"K/34/070325/1")</f>
        <v>K/34/070325/1</v>
      </c>
      <c r="E1494" s="14" t="str">
        <f>IFERROR(__xludf.DUMMYFUNCTION("""COMPUTED_VALUE"""),"Afriza (BT)")</f>
        <v>Afriza (BT)</v>
      </c>
      <c r="F1494" s="14" t="str">
        <f>IFERROR(__xludf.DUMMYFUNCTION("""COMPUTED_VALUE"""),"SELESAI (VIA PERMOHONAN)")</f>
        <v>SELESAI (VIA PERMOHONAN)</v>
      </c>
      <c r="G1494" s="17">
        <f>IFERROR(__xludf.DUMMYFUNCTION("""COMPUTED_VALUE"""),45729.57423572917)</f>
        <v>45729.57424</v>
      </c>
      <c r="H1494" s="14" t="str">
        <f>IFERROR(__xludf.DUMMYFUNCTION("""COMPUTED_VALUE"""),"Bu Eva (SU)")</f>
        <v>Bu Eva (SU)</v>
      </c>
      <c r="I1494" s="13" t="str">
        <f>IFERROR(__xludf.DUMMYFUNCTION("""COMPUTED_VALUE"""),"SELESAI (VIA PERMOHONAN)")</f>
        <v>SELESAI (VIA PERMOHONAN)</v>
      </c>
      <c r="J1494" s="17">
        <f>IFERROR(__xludf.DUMMYFUNCTION("""COMPUTED_VALUE"""),45730.61489082176)</f>
        <v>45730.61489</v>
      </c>
      <c r="K1494" s="13" t="str">
        <f>IFERROR(__xludf.DUMMYFUNCTION("""COMPUTED_VALUE"""),"Selesai")</f>
        <v>Selesai</v>
      </c>
      <c r="L1494" s="17">
        <f>IFERROR(__xludf.DUMMYFUNCTION("""COMPUTED_VALUE"""),45730.61489082176)</f>
        <v>45730.61489</v>
      </c>
      <c r="M1494" s="13"/>
      <c r="N1494" s="13" t="str">
        <f>IFERROR(__xludf.DUMMYFUNCTION("""COMPUTED_VALUE"""),"")</f>
        <v/>
      </c>
      <c r="O1494" s="13" t="str">
        <f t="shared" si="1"/>
        <v/>
      </c>
    </row>
    <row r="1495" ht="22.5" customHeight="1">
      <c r="B1495" s="13">
        <f>IFERROR(__xludf.DUMMYFUNCTION("""COMPUTED_VALUE"""),1490.0)</f>
        <v>1490</v>
      </c>
      <c r="C1495" s="13" t="str">
        <f>IFERROR(__xludf.DUMMYFUNCTION("""COMPUTED_VALUE"""),"M. 14140/ Labuhan Ratu")</f>
        <v>M. 14140/ Labuhan Ratu</v>
      </c>
      <c r="D1495" s="13" t="str">
        <f>IFERROR(__xludf.DUMMYFUNCTION("""COMPUTED_VALUE"""),"K/9/060325/1")</f>
        <v>K/9/060325/1</v>
      </c>
      <c r="E1495" s="14" t="str">
        <f>IFERROR(__xludf.DUMMYFUNCTION("""COMPUTED_VALUE"""),"Afriza (BT)")</f>
        <v>Afriza (BT)</v>
      </c>
      <c r="F1495" s="14" t="str">
        <f>IFERROR(__xludf.DUMMYFUNCTION("""COMPUTED_VALUE"""),"SELESAI (VIA PERMOHONAN)")</f>
        <v>SELESAI (VIA PERMOHONAN)</v>
      </c>
      <c r="G1495" s="17">
        <f>IFERROR(__xludf.DUMMYFUNCTION("""COMPUTED_VALUE"""),45729.57423572917)</f>
        <v>45729.57424</v>
      </c>
      <c r="H1495" s="14" t="str">
        <f>IFERROR(__xludf.DUMMYFUNCTION("""COMPUTED_VALUE"""),"Bu Eva (SU)")</f>
        <v>Bu Eva (SU)</v>
      </c>
      <c r="I1495" s="13" t="str">
        <f>IFERROR(__xludf.DUMMYFUNCTION("""COMPUTED_VALUE"""),"SELESAI (VIA PERMOHONAN)")</f>
        <v>SELESAI (VIA PERMOHONAN)</v>
      </c>
      <c r="J1495" s="17">
        <f>IFERROR(__xludf.DUMMYFUNCTION("""COMPUTED_VALUE"""),45730.61489082176)</f>
        <v>45730.61489</v>
      </c>
      <c r="K1495" s="13" t="str">
        <f>IFERROR(__xludf.DUMMYFUNCTION("""COMPUTED_VALUE"""),"Selesai")</f>
        <v>Selesai</v>
      </c>
      <c r="L1495" s="17">
        <f>IFERROR(__xludf.DUMMYFUNCTION("""COMPUTED_VALUE"""),45730.61489082176)</f>
        <v>45730.61489</v>
      </c>
      <c r="M1495" s="13"/>
      <c r="N1495" s="13" t="str">
        <f>IFERROR(__xludf.DUMMYFUNCTION("""COMPUTED_VALUE"""),"")</f>
        <v/>
      </c>
      <c r="O1495" s="13" t="str">
        <f t="shared" si="1"/>
        <v/>
      </c>
    </row>
    <row r="1496" ht="22.5" customHeight="1">
      <c r="B1496" s="13">
        <f>IFERROR(__xludf.DUMMYFUNCTION("""COMPUTED_VALUE"""),1491.0)</f>
        <v>1491</v>
      </c>
      <c r="C1496" s="13" t="str">
        <f>IFERROR(__xludf.DUMMYFUNCTION("""COMPUTED_VALUE"""),"M. 986/ Korpri Jaya")</f>
        <v>M. 986/ Korpri Jaya</v>
      </c>
      <c r="D1496" s="13" t="str">
        <f>IFERROR(__xludf.DUMMYFUNCTION("""COMPUTED_VALUE"""),"K/17/060325/1")</f>
        <v>K/17/060325/1</v>
      </c>
      <c r="E1496" s="14" t="str">
        <f>IFERROR(__xludf.DUMMYFUNCTION("""COMPUTED_VALUE"""),"Afriza (BT)")</f>
        <v>Afriza (BT)</v>
      </c>
      <c r="F1496" s="14" t="str">
        <f>IFERROR(__xludf.DUMMYFUNCTION("""COMPUTED_VALUE"""),"SELESAI (VIA PERMOHONAN)")</f>
        <v>SELESAI (VIA PERMOHONAN)</v>
      </c>
      <c r="G1496" s="17">
        <f>IFERROR(__xludf.DUMMYFUNCTION("""COMPUTED_VALUE"""),45729.57423572917)</f>
        <v>45729.57424</v>
      </c>
      <c r="H1496" s="14" t="str">
        <f>IFERROR(__xludf.DUMMYFUNCTION("""COMPUTED_VALUE"""),"Bu Eva (SU)")</f>
        <v>Bu Eva (SU)</v>
      </c>
      <c r="I1496" s="13" t="str">
        <f>IFERROR(__xludf.DUMMYFUNCTION("""COMPUTED_VALUE"""),"SELESAI (VIA PERMOHONAN)")</f>
        <v>SELESAI (VIA PERMOHONAN)</v>
      </c>
      <c r="J1496" s="17">
        <f>IFERROR(__xludf.DUMMYFUNCTION("""COMPUTED_VALUE"""),45730.61489082176)</f>
        <v>45730.61489</v>
      </c>
      <c r="K1496" s="13" t="str">
        <f>IFERROR(__xludf.DUMMYFUNCTION("""COMPUTED_VALUE"""),"Selesai")</f>
        <v>Selesai</v>
      </c>
      <c r="L1496" s="17">
        <f>IFERROR(__xludf.DUMMYFUNCTION("""COMPUTED_VALUE"""),45730.61489082176)</f>
        <v>45730.61489</v>
      </c>
      <c r="M1496" s="13"/>
      <c r="N1496" s="13" t="str">
        <f>IFERROR(__xludf.DUMMYFUNCTION("""COMPUTED_VALUE"""),"")</f>
        <v/>
      </c>
      <c r="O1496" s="13" t="str">
        <f t="shared" si="1"/>
        <v/>
      </c>
    </row>
    <row r="1497" ht="22.5" customHeight="1">
      <c r="B1497" s="13">
        <f>IFERROR(__xludf.DUMMYFUNCTION("""COMPUTED_VALUE"""),1492.0)</f>
        <v>1492</v>
      </c>
      <c r="C1497" s="13" t="str">
        <f>IFERROR(__xludf.DUMMYFUNCTION("""COMPUTED_VALUE"""),"M. 4908/ Rajabasa Jaya")</f>
        <v>M. 4908/ Rajabasa Jaya</v>
      </c>
      <c r="D1497" s="13" t="str">
        <f>IFERROR(__xludf.DUMMYFUNCTION("""COMPUTED_VALUE"""),"K/35/060325/4")</f>
        <v>K/35/060325/4</v>
      </c>
      <c r="E1497" s="14" t="str">
        <f>IFERROR(__xludf.DUMMYFUNCTION("""COMPUTED_VALUE"""),"Afriza (BT)")</f>
        <v>Afriza (BT)</v>
      </c>
      <c r="F1497" s="14" t="str">
        <f>IFERROR(__xludf.DUMMYFUNCTION("""COMPUTED_VALUE"""),"SELESAI (VIA PERMOHONAN)")</f>
        <v>SELESAI (VIA PERMOHONAN)</v>
      </c>
      <c r="G1497" s="17">
        <f>IFERROR(__xludf.DUMMYFUNCTION("""COMPUTED_VALUE"""),45729.57423572917)</f>
        <v>45729.57424</v>
      </c>
      <c r="H1497" s="14" t="str">
        <f>IFERROR(__xludf.DUMMYFUNCTION("""COMPUTED_VALUE"""),"Bu Eva (SU)")</f>
        <v>Bu Eva (SU)</v>
      </c>
      <c r="I1497" s="13" t="str">
        <f>IFERROR(__xludf.DUMMYFUNCTION("""COMPUTED_VALUE"""),"SELESAI (VIA PERMOHONAN)")</f>
        <v>SELESAI (VIA PERMOHONAN)</v>
      </c>
      <c r="J1497" s="17">
        <f>IFERROR(__xludf.DUMMYFUNCTION("""COMPUTED_VALUE"""),45730.61489082176)</f>
        <v>45730.61489</v>
      </c>
      <c r="K1497" s="13" t="str">
        <f>IFERROR(__xludf.DUMMYFUNCTION("""COMPUTED_VALUE"""),"Selesai")</f>
        <v>Selesai</v>
      </c>
      <c r="L1497" s="17">
        <f>IFERROR(__xludf.DUMMYFUNCTION("""COMPUTED_VALUE"""),45730.61489082176)</f>
        <v>45730.61489</v>
      </c>
      <c r="M1497" s="13"/>
      <c r="N1497" s="13" t="str">
        <f>IFERROR(__xludf.DUMMYFUNCTION("""COMPUTED_VALUE"""),"")</f>
        <v/>
      </c>
      <c r="O1497" s="13" t="str">
        <f t="shared" si="1"/>
        <v/>
      </c>
    </row>
    <row r="1498" ht="22.5" customHeight="1">
      <c r="B1498" s="13">
        <f>IFERROR(__xludf.DUMMYFUNCTION("""COMPUTED_VALUE"""),1493.0)</f>
        <v>1493</v>
      </c>
      <c r="C1498" s="13" t="str">
        <f>IFERROR(__xludf.DUMMYFUNCTION("""COMPUTED_VALUE"""),"B. 157/ Way Laga")</f>
        <v>B. 157/ Way Laga</v>
      </c>
      <c r="D1498" s="13" t="str">
        <f>IFERROR(__xludf.DUMMYFUNCTION("""COMPUTED_VALUE"""),"K/18/270225/1")</f>
        <v>K/18/270225/1</v>
      </c>
      <c r="E1498" s="14" t="str">
        <f>IFERROR(__xludf.DUMMYFUNCTION("""COMPUTED_VALUE"""),"Afriza (BT)")</f>
        <v>Afriza (BT)</v>
      </c>
      <c r="F1498" s="14" t="str">
        <f>IFERROR(__xludf.DUMMYFUNCTION("""COMPUTED_VALUE"""),"SELESAI (VIA PERMOHONAN)")</f>
        <v>SELESAI (VIA PERMOHONAN)</v>
      </c>
      <c r="G1498" s="17">
        <f>IFERROR(__xludf.DUMMYFUNCTION("""COMPUTED_VALUE"""),45730.46097)</f>
        <v>45730.46097</v>
      </c>
      <c r="H1498" s="14" t="str">
        <f>IFERROR(__xludf.DUMMYFUNCTION("""COMPUTED_VALUE"""),"Bu Eva (SU)")</f>
        <v>Bu Eva (SU)</v>
      </c>
      <c r="I1498" s="13" t="str">
        <f>IFERROR(__xludf.DUMMYFUNCTION("""COMPUTED_VALUE"""),"SELESAI (VIA PERMOHONAN)")</f>
        <v>SELESAI (VIA PERMOHONAN)</v>
      </c>
      <c r="J1498" s="17">
        <f>IFERROR(__xludf.DUMMYFUNCTION("""COMPUTED_VALUE"""),45730.61489082176)</f>
        <v>45730.61489</v>
      </c>
      <c r="K1498" s="13" t="str">
        <f>IFERROR(__xludf.DUMMYFUNCTION("""COMPUTED_VALUE"""),"Selesai")</f>
        <v>Selesai</v>
      </c>
      <c r="L1498" s="17">
        <f>IFERROR(__xludf.DUMMYFUNCTION("""COMPUTED_VALUE"""),45730.61489082176)</f>
        <v>45730.61489</v>
      </c>
      <c r="M1498" s="13"/>
      <c r="N1498" s="13" t="str">
        <f>IFERROR(__xludf.DUMMYFUNCTION("""COMPUTED_VALUE"""),"")</f>
        <v/>
      </c>
      <c r="O1498" s="13" t="str">
        <f t="shared" si="1"/>
        <v/>
      </c>
    </row>
    <row r="1499" ht="22.5" customHeight="1">
      <c r="B1499" s="13">
        <f>IFERROR(__xludf.DUMMYFUNCTION("""COMPUTED_VALUE"""),1494.0)</f>
        <v>1494</v>
      </c>
      <c r="C1499" s="13" t="str">
        <f>IFERROR(__xludf.DUMMYFUNCTION("""COMPUTED_VALUE"""),"M. 6459/ Way Kandis")</f>
        <v>M. 6459/ Way Kandis</v>
      </c>
      <c r="D1499" s="13" t="str">
        <f>IFERROR(__xludf.DUMMYFUNCTION("""COMPUTED_VALUE"""),"K/22/040325/1")</f>
        <v>K/22/040325/1</v>
      </c>
      <c r="E1499" s="14" t="str">
        <f>IFERROR(__xludf.DUMMYFUNCTION("""COMPUTED_VALUE"""),"Afriza (BT)")</f>
        <v>Afriza (BT)</v>
      </c>
      <c r="F1499" s="14" t="str">
        <f>IFERROR(__xludf.DUMMYFUNCTION("""COMPUTED_VALUE"""),"SELESAI (VIA PERMOHONAN)")</f>
        <v>SELESAI (VIA PERMOHONAN)</v>
      </c>
      <c r="G1499" s="17">
        <f>IFERROR(__xludf.DUMMYFUNCTION("""COMPUTED_VALUE"""),45730.461121932865)</f>
        <v>45730.46112</v>
      </c>
      <c r="H1499" s="14" t="str">
        <f>IFERROR(__xludf.DUMMYFUNCTION("""COMPUTED_VALUE"""),"Bu Eva (SU)")</f>
        <v>Bu Eva (SU)</v>
      </c>
      <c r="I1499" s="13" t="str">
        <f>IFERROR(__xludf.DUMMYFUNCTION("""COMPUTED_VALUE"""),"SELESAI (VIA PERMOHONAN)")</f>
        <v>SELESAI (VIA PERMOHONAN)</v>
      </c>
      <c r="J1499" s="17">
        <f>IFERROR(__xludf.DUMMYFUNCTION("""COMPUTED_VALUE"""),45730.61489082176)</f>
        <v>45730.61489</v>
      </c>
      <c r="K1499" s="13" t="str">
        <f>IFERROR(__xludf.DUMMYFUNCTION("""COMPUTED_VALUE"""),"Selesai")</f>
        <v>Selesai</v>
      </c>
      <c r="L1499" s="17">
        <f>IFERROR(__xludf.DUMMYFUNCTION("""COMPUTED_VALUE"""),45730.61489082176)</f>
        <v>45730.61489</v>
      </c>
      <c r="M1499" s="13"/>
      <c r="N1499" s="13" t="str">
        <f>IFERROR(__xludf.DUMMYFUNCTION("""COMPUTED_VALUE"""),"")</f>
        <v/>
      </c>
      <c r="O1499" s="13" t="str">
        <f t="shared" si="1"/>
        <v/>
      </c>
    </row>
    <row r="1500" ht="22.5" customHeight="1">
      <c r="B1500" s="13">
        <f>IFERROR(__xludf.DUMMYFUNCTION("""COMPUTED_VALUE"""),1495.0)</f>
        <v>1495</v>
      </c>
      <c r="C1500" s="13" t="str">
        <f>IFERROR(__xludf.DUMMYFUNCTION("""COMPUTED_VALUE"""),"M. 323/ Talang")</f>
        <v>M. 323/ Talang</v>
      </c>
      <c r="D1500" s="13" t="str">
        <f>IFERROR(__xludf.DUMMYFUNCTION("""COMPUTED_VALUE"""),"K/38/060325/1")</f>
        <v>K/38/060325/1</v>
      </c>
      <c r="E1500" s="14" t="str">
        <f>IFERROR(__xludf.DUMMYFUNCTION("""COMPUTED_VALUE"""),"Afriza (BT)")</f>
        <v>Afriza (BT)</v>
      </c>
      <c r="F1500" s="14" t="str">
        <f>IFERROR(__xludf.DUMMYFUNCTION("""COMPUTED_VALUE"""),"SELESAI (VIA PERMOHONAN)")</f>
        <v>SELESAI (VIA PERMOHONAN)</v>
      </c>
      <c r="G1500" s="17">
        <f>IFERROR(__xludf.DUMMYFUNCTION("""COMPUTED_VALUE"""),45730.4612169676)</f>
        <v>45730.46122</v>
      </c>
      <c r="H1500" s="14" t="str">
        <f>IFERROR(__xludf.DUMMYFUNCTION("""COMPUTED_VALUE"""),"Bu Eva (SU)")</f>
        <v>Bu Eva (SU)</v>
      </c>
      <c r="I1500" s="13" t="str">
        <f>IFERROR(__xludf.DUMMYFUNCTION("""COMPUTED_VALUE"""),"SELESAI (VIA PERMOHONAN)")</f>
        <v>SELESAI (VIA PERMOHONAN)</v>
      </c>
      <c r="J1500" s="17">
        <f>IFERROR(__xludf.DUMMYFUNCTION("""COMPUTED_VALUE"""),45730.61489082176)</f>
        <v>45730.61489</v>
      </c>
      <c r="K1500" s="13" t="str">
        <f>IFERROR(__xludf.DUMMYFUNCTION("""COMPUTED_VALUE"""),"Selesai")</f>
        <v>Selesai</v>
      </c>
      <c r="L1500" s="17">
        <f>IFERROR(__xludf.DUMMYFUNCTION("""COMPUTED_VALUE"""),45730.61489082176)</f>
        <v>45730.61489</v>
      </c>
      <c r="M1500" s="13"/>
      <c r="N1500" s="13" t="str">
        <f>IFERROR(__xludf.DUMMYFUNCTION("""COMPUTED_VALUE"""),"")</f>
        <v/>
      </c>
      <c r="O1500" s="13" t="str">
        <f t="shared" si="1"/>
        <v/>
      </c>
    </row>
    <row r="1501" ht="22.5" customHeight="1">
      <c r="B1501" s="13">
        <f>IFERROR(__xludf.DUMMYFUNCTION("""COMPUTED_VALUE"""),1496.0)</f>
        <v>1496</v>
      </c>
      <c r="C1501" s="13" t="str">
        <f>IFERROR(__xludf.DUMMYFUNCTION("""COMPUTED_VALUE"""),"M. 478/ Korpri Raya")</f>
        <v>M. 478/ Korpri Raya</v>
      </c>
      <c r="D1501" s="13" t="str">
        <f>IFERROR(__xludf.DUMMYFUNCTION("""COMPUTED_VALUE"""),"K/35/061224/2")</f>
        <v>K/35/061224/2</v>
      </c>
      <c r="E1501" s="14" t="str">
        <f>IFERROR(__xludf.DUMMYFUNCTION("""COMPUTED_VALUE"""),"Afriza (BT)")</f>
        <v>Afriza (BT)</v>
      </c>
      <c r="F1501" s="14" t="str">
        <f>IFERROR(__xludf.DUMMYFUNCTION("""COMPUTED_VALUE"""),"SELESAI (VIA PERMOHONAN)")</f>
        <v>SELESAI (VIA PERMOHONAN)</v>
      </c>
      <c r="G1501" s="17">
        <f>IFERROR(__xludf.DUMMYFUNCTION("""COMPUTED_VALUE"""),45730.46156759259)</f>
        <v>45730.46157</v>
      </c>
      <c r="H1501" s="14" t="str">
        <f>IFERROR(__xludf.DUMMYFUNCTION("""COMPUTED_VALUE"""),"Bu Eva (SU)")</f>
        <v>Bu Eva (SU)</v>
      </c>
      <c r="I1501" s="13" t="str">
        <f>IFERROR(__xludf.DUMMYFUNCTION("""COMPUTED_VALUE"""),"SELESAI (VIA PERMOHONAN)")</f>
        <v>SELESAI (VIA PERMOHONAN)</v>
      </c>
      <c r="J1501" s="17">
        <f>IFERROR(__xludf.DUMMYFUNCTION("""COMPUTED_VALUE"""),45730.61489082176)</f>
        <v>45730.61489</v>
      </c>
      <c r="K1501" s="13" t="str">
        <f>IFERROR(__xludf.DUMMYFUNCTION("""COMPUTED_VALUE"""),"Selesai")</f>
        <v>Selesai</v>
      </c>
      <c r="L1501" s="17">
        <f>IFERROR(__xludf.DUMMYFUNCTION("""COMPUTED_VALUE"""),45730.61489082176)</f>
        <v>45730.61489</v>
      </c>
      <c r="M1501" s="13"/>
      <c r="N1501" s="13" t="str">
        <f>IFERROR(__xludf.DUMMYFUNCTION("""COMPUTED_VALUE"""),"")</f>
        <v/>
      </c>
      <c r="O1501" s="13" t="str">
        <f t="shared" si="1"/>
        <v/>
      </c>
    </row>
    <row r="1502" ht="22.5" customHeight="1">
      <c r="B1502" s="13">
        <f>IFERROR(__xludf.DUMMYFUNCTION("""COMPUTED_VALUE"""),1497.0)</f>
        <v>1497</v>
      </c>
      <c r="C1502" s="13" t="str">
        <f>IFERROR(__xludf.DUMMYFUNCTION("""COMPUTED_VALUE"""),"M. 3113/ Sukarame")</f>
        <v>M. 3113/ Sukarame</v>
      </c>
      <c r="D1502" s="13" t="str">
        <f>IFERROR(__xludf.DUMMYFUNCTION("""COMPUTED_VALUE"""),"K/3/110325/3")</f>
        <v>K/3/110325/3</v>
      </c>
      <c r="E1502" s="14" t="str">
        <f>IFERROR(__xludf.DUMMYFUNCTION("""COMPUTED_VALUE"""),"Afriza (BT)")</f>
        <v>Afriza (BT)</v>
      </c>
      <c r="F1502" s="14" t="str">
        <f>IFERROR(__xludf.DUMMYFUNCTION("""COMPUTED_VALUE"""),"SELESAI (VIA PERMOHONAN)")</f>
        <v>SELESAI (VIA PERMOHONAN)</v>
      </c>
      <c r="G1502" s="17">
        <f>IFERROR(__xludf.DUMMYFUNCTION("""COMPUTED_VALUE"""),45730.46173946759)</f>
        <v>45730.46174</v>
      </c>
      <c r="H1502" s="14" t="str">
        <f>IFERROR(__xludf.DUMMYFUNCTION("""COMPUTED_VALUE"""),"Bu Eva (SU)")</f>
        <v>Bu Eva (SU)</v>
      </c>
      <c r="I1502" s="13" t="str">
        <f>IFERROR(__xludf.DUMMYFUNCTION("""COMPUTED_VALUE"""),"SELESAI (VIA PERMOHONAN)")</f>
        <v>SELESAI (VIA PERMOHONAN)</v>
      </c>
      <c r="J1502" s="17">
        <f>IFERROR(__xludf.DUMMYFUNCTION("""COMPUTED_VALUE"""),45730.47452857639)</f>
        <v>45730.47453</v>
      </c>
      <c r="K1502" s="13" t="str">
        <f>IFERROR(__xludf.DUMMYFUNCTION("""COMPUTED_VALUE"""),"Selesai")</f>
        <v>Selesai</v>
      </c>
      <c r="L1502" s="17">
        <f>IFERROR(__xludf.DUMMYFUNCTION("""COMPUTED_VALUE"""),45730.47452857639)</f>
        <v>45730.47453</v>
      </c>
      <c r="M1502" s="13"/>
      <c r="N1502" s="13" t="str">
        <f>IFERROR(__xludf.DUMMYFUNCTION("""COMPUTED_VALUE"""),"")</f>
        <v/>
      </c>
      <c r="O1502" s="13" t="str">
        <f t="shared" si="1"/>
        <v/>
      </c>
    </row>
    <row r="1503" ht="22.5" customHeight="1">
      <c r="B1503" s="13">
        <f>IFERROR(__xludf.DUMMYFUNCTION("""COMPUTED_VALUE"""),1498.0)</f>
        <v>1498</v>
      </c>
      <c r="C1503" s="13" t="str">
        <f>IFERROR(__xludf.DUMMYFUNCTION("""COMPUTED_VALUE"""),"M. 4935/ Sukadana Ham")</f>
        <v>M. 4935/ Sukadana Ham</v>
      </c>
      <c r="D1503" s="13" t="str">
        <f>IFERROR(__xludf.DUMMYFUNCTION("""COMPUTED_VALUE"""),"K/44/110325/2")</f>
        <v>K/44/110325/2</v>
      </c>
      <c r="E1503" s="14" t="str">
        <f>IFERROR(__xludf.DUMMYFUNCTION("""COMPUTED_VALUE"""),"Afriza (BT)")</f>
        <v>Afriza (BT)</v>
      </c>
      <c r="F1503" s="14" t="str">
        <f>IFERROR(__xludf.DUMMYFUNCTION("""COMPUTED_VALUE"""),"SELESAI (VIA PERMOHONAN)")</f>
        <v>SELESAI (VIA PERMOHONAN)</v>
      </c>
      <c r="G1503" s="17">
        <f>IFERROR(__xludf.DUMMYFUNCTION("""COMPUTED_VALUE"""),45730.46183842592)</f>
        <v>45730.46184</v>
      </c>
      <c r="H1503" s="14" t="str">
        <f>IFERROR(__xludf.DUMMYFUNCTION("""COMPUTED_VALUE"""),"Bu Eva (SU)")</f>
        <v>Bu Eva (SU)</v>
      </c>
      <c r="I1503" s="13" t="str">
        <f>IFERROR(__xludf.DUMMYFUNCTION("""COMPUTED_VALUE"""),"SELESAI (VIA PERMOHONAN)")</f>
        <v>SELESAI (VIA PERMOHONAN)</v>
      </c>
      <c r="J1503" s="17">
        <f>IFERROR(__xludf.DUMMYFUNCTION("""COMPUTED_VALUE"""),45730.61480956018)</f>
        <v>45730.61481</v>
      </c>
      <c r="K1503" s="13" t="str">
        <f>IFERROR(__xludf.DUMMYFUNCTION("""COMPUTED_VALUE"""),"Selesai")</f>
        <v>Selesai</v>
      </c>
      <c r="L1503" s="17">
        <f>IFERROR(__xludf.DUMMYFUNCTION("""COMPUTED_VALUE"""),45730.61480956018)</f>
        <v>45730.61481</v>
      </c>
      <c r="M1503" s="13"/>
      <c r="N1503" s="13" t="str">
        <f>IFERROR(__xludf.DUMMYFUNCTION("""COMPUTED_VALUE"""),"")</f>
        <v/>
      </c>
      <c r="O1503" s="13" t="str">
        <f t="shared" si="1"/>
        <v/>
      </c>
    </row>
    <row r="1504" ht="22.5" customHeight="1">
      <c r="B1504" s="13">
        <f>IFERROR(__xludf.DUMMYFUNCTION("""COMPUTED_VALUE"""),1499.0)</f>
        <v>1499</v>
      </c>
      <c r="C1504" s="13" t="str">
        <f>IFERROR(__xludf.DUMMYFUNCTION("""COMPUTED_VALUE"""),"M. 2667/ Sumber Agung")</f>
        <v>M. 2667/ Sumber Agung</v>
      </c>
      <c r="D1504" s="13" t="str">
        <f>IFERROR(__xludf.DUMMYFUNCTION("""COMPUTED_VALUE"""),"K/18/030325/2")</f>
        <v>K/18/030325/2</v>
      </c>
      <c r="E1504" s="14" t="str">
        <f>IFERROR(__xludf.DUMMYFUNCTION("""COMPUTED_VALUE"""),"Afriza (BT)")</f>
        <v>Afriza (BT)</v>
      </c>
      <c r="F1504" s="14" t="str">
        <f>IFERROR(__xludf.DUMMYFUNCTION("""COMPUTED_VALUE"""),"SELESAI (VIA PERMOHONAN)")</f>
        <v>SELESAI (VIA PERMOHONAN)</v>
      </c>
      <c r="G1504" s="17">
        <f>IFERROR(__xludf.DUMMYFUNCTION("""COMPUTED_VALUE"""),45730.47445704861)</f>
        <v>45730.47446</v>
      </c>
      <c r="H1504" s="14" t="str">
        <f>IFERROR(__xludf.DUMMYFUNCTION("""COMPUTED_VALUE"""),"Bu Eva (SU)")</f>
        <v>Bu Eva (SU)</v>
      </c>
      <c r="I1504" s="13" t="str">
        <f>IFERROR(__xludf.DUMMYFUNCTION("""COMPUTED_VALUE"""),"SELESAI (VIA PERMOHONAN)")</f>
        <v>SELESAI (VIA PERMOHONAN)</v>
      </c>
      <c r="J1504" s="17">
        <f>IFERROR(__xludf.DUMMYFUNCTION("""COMPUTED_VALUE"""),45730.4745137037)</f>
        <v>45730.47451</v>
      </c>
      <c r="K1504" s="13" t="str">
        <f>IFERROR(__xludf.DUMMYFUNCTION("""COMPUTED_VALUE"""),"Selesai")</f>
        <v>Selesai</v>
      </c>
      <c r="L1504" s="17">
        <f>IFERROR(__xludf.DUMMYFUNCTION("""COMPUTED_VALUE"""),45730.4745137037)</f>
        <v>45730.47451</v>
      </c>
      <c r="M1504" s="13"/>
      <c r="N1504" s="13" t="str">
        <f>IFERROR(__xludf.DUMMYFUNCTION("""COMPUTED_VALUE"""),"")</f>
        <v/>
      </c>
      <c r="O1504" s="13" t="str">
        <f t="shared" si="1"/>
        <v/>
      </c>
    </row>
    <row r="1505" ht="22.5" customHeight="1">
      <c r="B1505" s="13">
        <f>IFERROR(__xludf.DUMMYFUNCTION("""COMPUTED_VALUE"""),1500.0)</f>
        <v>1500</v>
      </c>
      <c r="C1505" s="13" t="str">
        <f>IFERROR(__xludf.DUMMYFUNCTION("""COMPUTED_VALUE"""),"B. 1810/ Sukarame")</f>
        <v>B. 1810/ Sukarame</v>
      </c>
      <c r="D1505" s="13" t="str">
        <f>IFERROR(__xludf.DUMMYFUNCTION("""COMPUTED_VALUE"""),"K/22/060325/1")</f>
        <v>K/22/060325/1</v>
      </c>
      <c r="E1505" s="14" t="str">
        <f>IFERROR(__xludf.DUMMYFUNCTION("""COMPUTED_VALUE"""),"Afriza (BT)")</f>
        <v>Afriza (BT)</v>
      </c>
      <c r="F1505" s="14" t="str">
        <f>IFERROR(__xludf.DUMMYFUNCTION("""COMPUTED_VALUE"""),"SELESAI (VIA PERMOHONAN)")</f>
        <v>SELESAI (VIA PERMOHONAN)</v>
      </c>
      <c r="G1505" s="17">
        <f>IFERROR(__xludf.DUMMYFUNCTION("""COMPUTED_VALUE"""),45730.47471085648)</f>
        <v>45730.47471</v>
      </c>
      <c r="H1505" s="14" t="str">
        <f>IFERROR(__xludf.DUMMYFUNCTION("""COMPUTED_VALUE"""),"Bu Eva (SU)")</f>
        <v>Bu Eva (SU)</v>
      </c>
      <c r="I1505" s="13" t="str">
        <f>IFERROR(__xludf.DUMMYFUNCTION("""COMPUTED_VALUE"""),"SELESAI (VIA PERMOHONAN)")</f>
        <v>SELESAI (VIA PERMOHONAN)</v>
      </c>
      <c r="J1505" s="17">
        <f>IFERROR(__xludf.DUMMYFUNCTION("""COMPUTED_VALUE"""),45730.474757916665)</f>
        <v>45730.47476</v>
      </c>
      <c r="K1505" s="13" t="str">
        <f>IFERROR(__xludf.DUMMYFUNCTION("""COMPUTED_VALUE"""),"Selesai")</f>
        <v>Selesai</v>
      </c>
      <c r="L1505" s="17">
        <f>IFERROR(__xludf.DUMMYFUNCTION("""COMPUTED_VALUE"""),45730.474757916665)</f>
        <v>45730.47476</v>
      </c>
      <c r="M1505" s="13"/>
      <c r="N1505" s="13" t="str">
        <f>IFERROR(__xludf.DUMMYFUNCTION("""COMPUTED_VALUE"""),"")</f>
        <v/>
      </c>
      <c r="O1505" s="13" t="str">
        <f t="shared" si="1"/>
        <v/>
      </c>
    </row>
    <row r="1506" ht="22.5" customHeight="1">
      <c r="B1506" s="13">
        <f>IFERROR(__xludf.DUMMYFUNCTION("""COMPUTED_VALUE"""),1501.0)</f>
        <v>1501</v>
      </c>
      <c r="C1506" s="13" t="str">
        <f>IFERROR(__xludf.DUMMYFUNCTION("""COMPUTED_VALUE"""),"M. 14141/ Labuhan Ratu")</f>
        <v>M. 14141/ Labuhan Ratu</v>
      </c>
      <c r="D1506" s="13" t="str">
        <f>IFERROR(__xludf.DUMMYFUNCTION("""COMPUTED_VALUE"""),"K/10/060325/2")</f>
        <v>K/10/060325/2</v>
      </c>
      <c r="E1506" s="14" t="str">
        <f>IFERROR(__xludf.DUMMYFUNCTION("""COMPUTED_VALUE"""),"Afriza (BT)")</f>
        <v>Afriza (BT)</v>
      </c>
      <c r="F1506" s="14" t="str">
        <f>IFERROR(__xludf.DUMMYFUNCTION("""COMPUTED_VALUE"""),"SELESAI (VIA PERMOHONAN)")</f>
        <v>SELESAI (VIA PERMOHONAN)</v>
      </c>
      <c r="G1506" s="17">
        <f>IFERROR(__xludf.DUMMYFUNCTION("""COMPUTED_VALUE"""),45730.47487469907)</f>
        <v>45730.47487</v>
      </c>
      <c r="H1506" s="14" t="str">
        <f>IFERROR(__xludf.DUMMYFUNCTION("""COMPUTED_VALUE"""),"Bu Eva (SU)")</f>
        <v>Bu Eva (SU)</v>
      </c>
      <c r="I1506" s="13" t="str">
        <f>IFERROR(__xludf.DUMMYFUNCTION("""COMPUTED_VALUE"""),"SELESAI (VIA PERMOHONAN)")</f>
        <v>SELESAI (VIA PERMOHONAN)</v>
      </c>
      <c r="J1506" s="17">
        <f>IFERROR(__xludf.DUMMYFUNCTION("""COMPUTED_VALUE"""),45730.4749162963)</f>
        <v>45730.47492</v>
      </c>
      <c r="K1506" s="13" t="str">
        <f>IFERROR(__xludf.DUMMYFUNCTION("""COMPUTED_VALUE"""),"Selesai")</f>
        <v>Selesai</v>
      </c>
      <c r="L1506" s="17">
        <f>IFERROR(__xludf.DUMMYFUNCTION("""COMPUTED_VALUE"""),45730.4749162963)</f>
        <v>45730.47492</v>
      </c>
      <c r="M1506" s="13"/>
      <c r="N1506" s="13" t="str">
        <f>IFERROR(__xludf.DUMMYFUNCTION("""COMPUTED_VALUE"""),"")</f>
        <v/>
      </c>
      <c r="O1506" s="13" t="str">
        <f t="shared" si="1"/>
        <v/>
      </c>
    </row>
    <row r="1507" ht="22.5" customHeight="1">
      <c r="B1507" s="13">
        <f>IFERROR(__xludf.DUMMYFUNCTION("""COMPUTED_VALUE"""),1502.0)</f>
        <v>1502</v>
      </c>
      <c r="C1507" s="13" t="str">
        <f>IFERROR(__xludf.DUMMYFUNCTION("""COMPUTED_VALUE"""),"M. 121/ Korpri Jaya")</f>
        <v>M. 121/ Korpri Jaya</v>
      </c>
      <c r="D1507" s="13" t="str">
        <f>IFERROR(__xludf.DUMMYFUNCTION("""COMPUTED_VALUE"""),"K/2/260225/1")</f>
        <v>K/2/260225/1</v>
      </c>
      <c r="E1507" s="14" t="str">
        <f>IFERROR(__xludf.DUMMYFUNCTION("""COMPUTED_VALUE"""),"Afriza (BT)")</f>
        <v>Afriza (BT)</v>
      </c>
      <c r="F1507" s="14" t="str">
        <f>IFERROR(__xludf.DUMMYFUNCTION("""COMPUTED_VALUE"""),"SELESAI (VIA PERMOHONAN)")</f>
        <v>SELESAI (VIA PERMOHONAN)</v>
      </c>
      <c r="G1507" s="17">
        <f>IFERROR(__xludf.DUMMYFUNCTION("""COMPUTED_VALUE"""),45730.475103634264)</f>
        <v>45730.4751</v>
      </c>
      <c r="H1507" s="14" t="str">
        <f>IFERROR(__xludf.DUMMYFUNCTION("""COMPUTED_VALUE"""),"Bu Eva (SU)")</f>
        <v>Bu Eva (SU)</v>
      </c>
      <c r="I1507" s="13" t="str">
        <f>IFERROR(__xludf.DUMMYFUNCTION("""COMPUTED_VALUE"""),"SELESAI (VIA PERMOHONAN)")</f>
        <v>SELESAI (VIA PERMOHONAN)</v>
      </c>
      <c r="J1507" s="17">
        <f>IFERROR(__xludf.DUMMYFUNCTION("""COMPUTED_VALUE"""),45730.47514459491)</f>
        <v>45730.47514</v>
      </c>
      <c r="K1507" s="13" t="str">
        <f>IFERROR(__xludf.DUMMYFUNCTION("""COMPUTED_VALUE"""),"Selesai")</f>
        <v>Selesai</v>
      </c>
      <c r="L1507" s="17">
        <f>IFERROR(__xludf.DUMMYFUNCTION("""COMPUTED_VALUE"""),45730.47514459491)</f>
        <v>45730.47514</v>
      </c>
      <c r="M1507" s="13"/>
      <c r="N1507" s="13" t="str">
        <f>IFERROR(__xludf.DUMMYFUNCTION("""COMPUTED_VALUE"""),"")</f>
        <v/>
      </c>
      <c r="O1507" s="13" t="str">
        <f t="shared" si="1"/>
        <v/>
      </c>
    </row>
    <row r="1508" ht="22.5" customHeight="1">
      <c r="B1508" s="13">
        <f>IFERROR(__xludf.DUMMYFUNCTION("""COMPUTED_VALUE"""),1503.0)</f>
        <v>1503</v>
      </c>
      <c r="C1508" s="13" t="str">
        <f>IFERROR(__xludf.DUMMYFUNCTION("""COMPUTED_VALUE"""),"M. 465/ Kota Sepang")</f>
        <v>M. 465/ Kota Sepang</v>
      </c>
      <c r="D1508" s="13" t="str">
        <f>IFERROR(__xludf.DUMMYFUNCTION("""COMPUTED_VALUE"""),"K/20/060325/1")</f>
        <v>K/20/060325/1</v>
      </c>
      <c r="E1508" s="14" t="str">
        <f>IFERROR(__xludf.DUMMYFUNCTION("""COMPUTED_VALUE"""),"Afriza (BT)")</f>
        <v>Afriza (BT)</v>
      </c>
      <c r="F1508" s="14" t="str">
        <f>IFERROR(__xludf.DUMMYFUNCTION("""COMPUTED_VALUE"""),"SELESAI (VIA PERMOHONAN)")</f>
        <v>SELESAI (VIA PERMOHONAN)</v>
      </c>
      <c r="G1508" s="17">
        <f>IFERROR(__xludf.DUMMYFUNCTION("""COMPUTED_VALUE"""),45730.475339675926)</f>
        <v>45730.47534</v>
      </c>
      <c r="H1508" s="14" t="str">
        <f>IFERROR(__xludf.DUMMYFUNCTION("""COMPUTED_VALUE"""),"Bu Eva (SU)")</f>
        <v>Bu Eva (SU)</v>
      </c>
      <c r="I1508" s="13" t="str">
        <f>IFERROR(__xludf.DUMMYFUNCTION("""COMPUTED_VALUE"""),"SELESAI (VIA PERMOHONAN)")</f>
        <v>SELESAI (VIA PERMOHONAN)</v>
      </c>
      <c r="J1508" s="17">
        <f>IFERROR(__xludf.DUMMYFUNCTION("""COMPUTED_VALUE"""),45730.475471550926)</f>
        <v>45730.47547</v>
      </c>
      <c r="K1508" s="13" t="str">
        <f>IFERROR(__xludf.DUMMYFUNCTION("""COMPUTED_VALUE"""),"Selesai")</f>
        <v>Selesai</v>
      </c>
      <c r="L1508" s="17">
        <f>IFERROR(__xludf.DUMMYFUNCTION("""COMPUTED_VALUE"""),45730.475471550926)</f>
        <v>45730.47547</v>
      </c>
      <c r="M1508" s="13"/>
      <c r="N1508" s="13" t="str">
        <f>IFERROR(__xludf.DUMMYFUNCTION("""COMPUTED_VALUE"""),"")</f>
        <v/>
      </c>
      <c r="O1508" s="13" t="str">
        <f t="shared" si="1"/>
        <v/>
      </c>
    </row>
    <row r="1509" ht="22.5" customHeight="1">
      <c r="B1509" s="13">
        <f>IFERROR(__xludf.DUMMYFUNCTION("""COMPUTED_VALUE"""),1504.0)</f>
        <v>1504</v>
      </c>
      <c r="C1509" s="13" t="str">
        <f>IFERROR(__xludf.DUMMYFUNCTION("""COMPUTED_VALUE"""),"M. 1742/ Rajabasa Nunyai")</f>
        <v>M. 1742/ Rajabasa Nunyai</v>
      </c>
      <c r="D1509" s="13" t="str">
        <f>IFERROR(__xludf.DUMMYFUNCTION("""COMPUTED_VALUE"""),"K/25/060325/2")</f>
        <v>K/25/060325/2</v>
      </c>
      <c r="E1509" s="14" t="str">
        <f>IFERROR(__xludf.DUMMYFUNCTION("""COMPUTED_VALUE"""),"Afriza (BT)")</f>
        <v>Afriza (BT)</v>
      </c>
      <c r="F1509" s="14" t="str">
        <f>IFERROR(__xludf.DUMMYFUNCTION("""COMPUTED_VALUE"""),"SELESAI (VIA PERMOHONAN)")</f>
        <v>SELESAI (VIA PERMOHONAN)</v>
      </c>
      <c r="G1509" s="17">
        <f>IFERROR(__xludf.DUMMYFUNCTION("""COMPUTED_VALUE"""),45730.475588506946)</f>
        <v>45730.47559</v>
      </c>
      <c r="H1509" s="14" t="str">
        <f>IFERROR(__xludf.DUMMYFUNCTION("""COMPUTED_VALUE"""),"Bu Eva (SU)")</f>
        <v>Bu Eva (SU)</v>
      </c>
      <c r="I1509" s="13" t="str">
        <f>IFERROR(__xludf.DUMMYFUNCTION("""COMPUTED_VALUE"""),"SELESAI (VIA PERMOHONAN)")</f>
        <v>SELESAI (VIA PERMOHONAN)</v>
      </c>
      <c r="J1509" s="17">
        <f>IFERROR(__xludf.DUMMYFUNCTION("""COMPUTED_VALUE"""),45730.47564628472)</f>
        <v>45730.47565</v>
      </c>
      <c r="K1509" s="13" t="str">
        <f>IFERROR(__xludf.DUMMYFUNCTION("""COMPUTED_VALUE"""),"Selesai")</f>
        <v>Selesai</v>
      </c>
      <c r="L1509" s="17">
        <f>IFERROR(__xludf.DUMMYFUNCTION("""COMPUTED_VALUE"""),45730.47564628472)</f>
        <v>45730.47565</v>
      </c>
      <c r="M1509" s="13"/>
      <c r="N1509" s="13" t="str">
        <f>IFERROR(__xludf.DUMMYFUNCTION("""COMPUTED_VALUE"""),"")</f>
        <v/>
      </c>
      <c r="O1509" s="13" t="str">
        <f t="shared" si="1"/>
        <v/>
      </c>
    </row>
    <row r="1510" ht="22.5" customHeight="1">
      <c r="B1510" s="13">
        <f>IFERROR(__xludf.DUMMYFUNCTION("""COMPUTED_VALUE"""),1505.0)</f>
        <v>1505</v>
      </c>
      <c r="C1510" s="13" t="str">
        <f>IFERROR(__xludf.DUMMYFUNCTION("""COMPUTED_VALUE"""),"M. 1363/ Sumur Batu")</f>
        <v>M. 1363/ Sumur Batu</v>
      </c>
      <c r="D1510" s="13" t="str">
        <f>IFERROR(__xludf.DUMMYFUNCTION("""COMPUTED_VALUE"""),"K/15/060325/3")</f>
        <v>K/15/060325/3</v>
      </c>
      <c r="E1510" s="14" t="str">
        <f>IFERROR(__xludf.DUMMYFUNCTION("""COMPUTED_VALUE"""),"Afriza (BT)")</f>
        <v>Afriza (BT)</v>
      </c>
      <c r="F1510" s="14" t="str">
        <f>IFERROR(__xludf.DUMMYFUNCTION("""COMPUTED_VALUE"""),"SELESAI (VIA PERMOHONAN)")</f>
        <v>SELESAI (VIA PERMOHONAN)</v>
      </c>
      <c r="G1510" s="17">
        <f>IFERROR(__xludf.DUMMYFUNCTION("""COMPUTED_VALUE"""),45730.475847361115)</f>
        <v>45730.47585</v>
      </c>
      <c r="H1510" s="14" t="str">
        <f>IFERROR(__xludf.DUMMYFUNCTION("""COMPUTED_VALUE"""),"Bu Eva (SU)")</f>
        <v>Bu Eva (SU)</v>
      </c>
      <c r="I1510" s="13" t="str">
        <f>IFERROR(__xludf.DUMMYFUNCTION("""COMPUTED_VALUE"""),"SELESAI (VIA PERMOHONAN)")</f>
        <v>SELESAI (VIA PERMOHONAN)</v>
      </c>
      <c r="J1510" s="17">
        <f>IFERROR(__xludf.DUMMYFUNCTION("""COMPUTED_VALUE"""),45730.47588982639)</f>
        <v>45730.47589</v>
      </c>
      <c r="K1510" s="13" t="str">
        <f>IFERROR(__xludf.DUMMYFUNCTION("""COMPUTED_VALUE"""),"Selesai")</f>
        <v>Selesai</v>
      </c>
      <c r="L1510" s="17">
        <f>IFERROR(__xludf.DUMMYFUNCTION("""COMPUTED_VALUE"""),45730.47588982639)</f>
        <v>45730.47589</v>
      </c>
      <c r="M1510" s="13"/>
      <c r="N1510" s="13" t="str">
        <f>IFERROR(__xludf.DUMMYFUNCTION("""COMPUTED_VALUE"""),"")</f>
        <v/>
      </c>
      <c r="O1510" s="13" t="str">
        <f t="shared" si="1"/>
        <v/>
      </c>
    </row>
    <row r="1511" ht="22.5" customHeight="1">
      <c r="B1511" s="13">
        <f>IFERROR(__xludf.DUMMYFUNCTION("""COMPUTED_VALUE"""),1506.0)</f>
        <v>1506</v>
      </c>
      <c r="C1511" s="13" t="str">
        <f>IFERROR(__xludf.DUMMYFUNCTION("""COMPUTED_VALUE"""),"M. 542/ Sumberrejo sejahtera")</f>
        <v>M. 542/ Sumberrejo sejahtera</v>
      </c>
      <c r="D1511" s="13" t="str">
        <f>IFERROR(__xludf.DUMMYFUNCTION("""COMPUTED_VALUE"""),"K/6/050325/2")</f>
        <v>K/6/050325/2</v>
      </c>
      <c r="E1511" s="14" t="str">
        <f>IFERROR(__xludf.DUMMYFUNCTION("""COMPUTED_VALUE"""),"Afriza (BT)")</f>
        <v>Afriza (BT)</v>
      </c>
      <c r="F1511" s="14" t="str">
        <f>IFERROR(__xludf.DUMMYFUNCTION("""COMPUTED_VALUE"""),"SELESAI (VIA PERMOHONAN)")</f>
        <v>SELESAI (VIA PERMOHONAN)</v>
      </c>
      <c r="G1511" s="17">
        <f>IFERROR(__xludf.DUMMYFUNCTION("""COMPUTED_VALUE"""),45730.47602954861)</f>
        <v>45730.47603</v>
      </c>
      <c r="H1511" s="14" t="str">
        <f>IFERROR(__xludf.DUMMYFUNCTION("""COMPUTED_VALUE"""),"Bu Eva (SU)")</f>
        <v>Bu Eva (SU)</v>
      </c>
      <c r="I1511" s="13" t="str">
        <f>IFERROR(__xludf.DUMMYFUNCTION("""COMPUTED_VALUE"""),"SELESAI (VIA PERMOHONAN)")</f>
        <v>SELESAI (VIA PERMOHONAN)</v>
      </c>
      <c r="J1511" s="17">
        <f>IFERROR(__xludf.DUMMYFUNCTION("""COMPUTED_VALUE"""),45730.476076203704)</f>
        <v>45730.47608</v>
      </c>
      <c r="K1511" s="13" t="str">
        <f>IFERROR(__xludf.DUMMYFUNCTION("""COMPUTED_VALUE"""),"Selesai")</f>
        <v>Selesai</v>
      </c>
      <c r="L1511" s="17">
        <f>IFERROR(__xludf.DUMMYFUNCTION("""COMPUTED_VALUE"""),45730.476076203704)</f>
        <v>45730.47608</v>
      </c>
      <c r="M1511" s="13"/>
      <c r="N1511" s="13" t="str">
        <f>IFERROR(__xludf.DUMMYFUNCTION("""COMPUTED_VALUE"""),"")</f>
        <v/>
      </c>
      <c r="O1511" s="13" t="str">
        <f t="shared" si="1"/>
        <v/>
      </c>
    </row>
    <row r="1512" ht="22.5" customHeight="1">
      <c r="B1512" s="13">
        <f>IFERROR(__xludf.DUMMYFUNCTION("""COMPUTED_VALUE"""),1507.0)</f>
        <v>1507</v>
      </c>
      <c r="C1512" s="13" t="str">
        <f>IFERROR(__xludf.DUMMYFUNCTION("""COMPUTED_VALUE"""),"M. 1443/ Batu Putuk")</f>
        <v>M. 1443/ Batu Putuk</v>
      </c>
      <c r="D1512" s="13" t="str">
        <f>IFERROR(__xludf.DUMMYFUNCTION("""COMPUTED_VALUE"""),"K/17/280225/1")</f>
        <v>K/17/280225/1</v>
      </c>
      <c r="E1512" s="14" t="str">
        <f>IFERROR(__xludf.DUMMYFUNCTION("""COMPUTED_VALUE"""),"Afriza (BT)")</f>
        <v>Afriza (BT)</v>
      </c>
      <c r="F1512" s="14" t="str">
        <f>IFERROR(__xludf.DUMMYFUNCTION("""COMPUTED_VALUE"""),"SELESAI (VIA PERMOHONAN)")</f>
        <v>SELESAI (VIA PERMOHONAN)</v>
      </c>
      <c r="G1512" s="17">
        <f>IFERROR(__xludf.DUMMYFUNCTION("""COMPUTED_VALUE"""),45730.47623753472)</f>
        <v>45730.47624</v>
      </c>
      <c r="H1512" s="14" t="str">
        <f>IFERROR(__xludf.DUMMYFUNCTION("""COMPUTED_VALUE"""),"Bu Eva (SU)")</f>
        <v>Bu Eva (SU)</v>
      </c>
      <c r="I1512" s="13" t="str">
        <f>IFERROR(__xludf.DUMMYFUNCTION("""COMPUTED_VALUE"""),"SELESAI (VIA PERMOHONAN)")</f>
        <v>SELESAI (VIA PERMOHONAN)</v>
      </c>
      <c r="J1512" s="17">
        <f>IFERROR(__xludf.DUMMYFUNCTION("""COMPUTED_VALUE"""),45730.47628739583)</f>
        <v>45730.47629</v>
      </c>
      <c r="K1512" s="13" t="str">
        <f>IFERROR(__xludf.DUMMYFUNCTION("""COMPUTED_VALUE"""),"Selesai")</f>
        <v>Selesai</v>
      </c>
      <c r="L1512" s="17">
        <f>IFERROR(__xludf.DUMMYFUNCTION("""COMPUTED_VALUE"""),45730.47628739583)</f>
        <v>45730.47629</v>
      </c>
      <c r="M1512" s="13"/>
      <c r="N1512" s="13" t="str">
        <f>IFERROR(__xludf.DUMMYFUNCTION("""COMPUTED_VALUE"""),"")</f>
        <v/>
      </c>
      <c r="O1512" s="13" t="str">
        <f t="shared" si="1"/>
        <v/>
      </c>
    </row>
    <row r="1513" ht="22.5" customHeight="1">
      <c r="B1513" s="13">
        <f>IFERROR(__xludf.DUMMYFUNCTION("""COMPUTED_VALUE"""),1508.0)</f>
        <v>1508</v>
      </c>
      <c r="C1513" s="13" t="str">
        <f>IFERROR(__xludf.DUMMYFUNCTION("""COMPUTED_VALUE"""),"m.11548/KEDAMAIAN")</f>
        <v>m.11548/KEDAMAIAN</v>
      </c>
      <c r="D1513" s="13" t="str">
        <f>IFERROR(__xludf.DUMMYFUNCTION("""COMPUTED_VALUE"""),"L/4/100225/1")</f>
        <v>L/4/100225/1</v>
      </c>
      <c r="E1513" s="14" t="str">
        <f>IFERROR(__xludf.DUMMYFUNCTION("""COMPUTED_VALUE"""),"Afriza (BT)")</f>
        <v>Afriza (BT)</v>
      </c>
      <c r="F1513" s="14" t="str">
        <f>IFERROR(__xludf.DUMMYFUNCTION("""COMPUTED_VALUE"""),"SELESAI (VIA PERMOHONAN)")</f>
        <v>SELESAI (VIA PERMOHONAN)</v>
      </c>
      <c r="G1513" s="17">
        <f>IFERROR(__xludf.DUMMYFUNCTION("""COMPUTED_VALUE"""),45730.476588171296)</f>
        <v>45730.47659</v>
      </c>
      <c r="H1513" s="14" t="str">
        <f>IFERROR(__xludf.DUMMYFUNCTION("""COMPUTED_VALUE"""),"Bu Eva (SU)")</f>
        <v>Bu Eva (SU)</v>
      </c>
      <c r="I1513" s="13" t="str">
        <f>IFERROR(__xludf.DUMMYFUNCTION("""COMPUTED_VALUE"""),"SELESAI (VIA PERMOHONAN)")</f>
        <v>SELESAI (VIA PERMOHONAN)</v>
      </c>
      <c r="J1513" s="17">
        <f>IFERROR(__xludf.DUMMYFUNCTION("""COMPUTED_VALUE"""),45730.476611770835)</f>
        <v>45730.47661</v>
      </c>
      <c r="K1513" s="13" t="str">
        <f>IFERROR(__xludf.DUMMYFUNCTION("""COMPUTED_VALUE"""),"Selesai")</f>
        <v>Selesai</v>
      </c>
      <c r="L1513" s="17">
        <f>IFERROR(__xludf.DUMMYFUNCTION("""COMPUTED_VALUE"""),45730.476611770835)</f>
        <v>45730.47661</v>
      </c>
      <c r="M1513" s="13"/>
      <c r="N1513" s="13" t="str">
        <f>IFERROR(__xludf.DUMMYFUNCTION("""COMPUTED_VALUE"""),"")</f>
        <v/>
      </c>
      <c r="O1513" s="13" t="str">
        <f t="shared" si="1"/>
        <v/>
      </c>
    </row>
    <row r="1514" ht="22.5" customHeight="1">
      <c r="B1514" s="13">
        <f>IFERROR(__xludf.DUMMYFUNCTION("""COMPUTED_VALUE"""),1509.0)</f>
        <v>1509</v>
      </c>
      <c r="C1514" s="13" t="str">
        <f>IFERROR(__xludf.DUMMYFUNCTION("""COMPUTED_VALUE"""),"HM 4534/GUNUNG TERANG")</f>
        <v>HM 4534/GUNUNG TERANG</v>
      </c>
      <c r="D1514" s="13" t="str">
        <f>IFERROR(__xludf.DUMMYFUNCTION("""COMPUTED_VALUE"""),"L/19/060325/2")</f>
        <v>L/19/060325/2</v>
      </c>
      <c r="E1514" s="14" t="str">
        <f>IFERROR(__xludf.DUMMYFUNCTION("""COMPUTED_VALUE"""),"Afriza (BT)")</f>
        <v>Afriza (BT)</v>
      </c>
      <c r="F1514" s="14" t="str">
        <f>IFERROR(__xludf.DUMMYFUNCTION("""COMPUTED_VALUE"""),"SELESAI (VIA PERMOHONAN)")</f>
        <v>SELESAI (VIA PERMOHONAN)</v>
      </c>
      <c r="G1514" s="17">
        <f>IFERROR(__xludf.DUMMYFUNCTION("""COMPUTED_VALUE"""),45730.47673300926)</f>
        <v>45730.47673</v>
      </c>
      <c r="H1514" s="14" t="str">
        <f>IFERROR(__xludf.DUMMYFUNCTION("""COMPUTED_VALUE"""),"Bu Eva (SU)")</f>
        <v>Bu Eva (SU)</v>
      </c>
      <c r="I1514" s="13" t="str">
        <f>IFERROR(__xludf.DUMMYFUNCTION("""COMPUTED_VALUE"""),"SELESAI (VIA PERMOHONAN)")</f>
        <v>SELESAI (VIA PERMOHONAN)</v>
      </c>
      <c r="J1514" s="17">
        <f>IFERROR(__xludf.DUMMYFUNCTION("""COMPUTED_VALUE"""),45730.47677479166)</f>
        <v>45730.47677</v>
      </c>
      <c r="K1514" s="13" t="str">
        <f>IFERROR(__xludf.DUMMYFUNCTION("""COMPUTED_VALUE"""),"Selesai")</f>
        <v>Selesai</v>
      </c>
      <c r="L1514" s="17">
        <f>IFERROR(__xludf.DUMMYFUNCTION("""COMPUTED_VALUE"""),45730.47677479166)</f>
        <v>45730.47677</v>
      </c>
      <c r="M1514" s="13"/>
      <c r="N1514" s="13" t="str">
        <f>IFERROR(__xludf.DUMMYFUNCTION("""COMPUTED_VALUE"""),"")</f>
        <v/>
      </c>
      <c r="O1514" s="13" t="str">
        <f t="shared" si="1"/>
        <v/>
      </c>
    </row>
    <row r="1515" ht="22.5" customHeight="1">
      <c r="B1515" s="13">
        <f>IFERROR(__xludf.DUMMYFUNCTION("""COMPUTED_VALUE"""),1510.0)</f>
        <v>1510</v>
      </c>
      <c r="C1515" s="13" t="str">
        <f>IFERROR(__xludf.DUMMYFUNCTION("""COMPUTED_VALUE"""),"HM 1772/RAJABASA RAYA")</f>
        <v>HM 1772/RAJABASA RAYA</v>
      </c>
      <c r="D1515" s="13" t="str">
        <f>IFERROR(__xludf.DUMMYFUNCTION("""COMPUTED_VALUE"""),"L/18/060325/1")</f>
        <v>L/18/060325/1</v>
      </c>
      <c r="E1515" s="14" t="str">
        <f>IFERROR(__xludf.DUMMYFUNCTION("""COMPUTED_VALUE"""),"Afriza (BT)")</f>
        <v>Afriza (BT)</v>
      </c>
      <c r="F1515" s="14" t="str">
        <f>IFERROR(__xludf.DUMMYFUNCTION("""COMPUTED_VALUE"""),"SELESAI (VIA PERMOHONAN)")</f>
        <v>SELESAI (VIA PERMOHONAN)</v>
      </c>
      <c r="G1515" s="17">
        <f>IFERROR(__xludf.DUMMYFUNCTION("""COMPUTED_VALUE"""),45730.476932210644)</f>
        <v>45730.47693</v>
      </c>
      <c r="H1515" s="14" t="str">
        <f>IFERROR(__xludf.DUMMYFUNCTION("""COMPUTED_VALUE"""),"Bu Eva (SU)")</f>
        <v>Bu Eva (SU)</v>
      </c>
      <c r="I1515" s="13" t="str">
        <f>IFERROR(__xludf.DUMMYFUNCTION("""COMPUTED_VALUE"""),"SELESAI (VIA PERMOHONAN)")</f>
        <v>SELESAI (VIA PERMOHONAN)</v>
      </c>
      <c r="J1515" s="17">
        <f>IFERROR(__xludf.DUMMYFUNCTION("""COMPUTED_VALUE"""),45730.47697365741)</f>
        <v>45730.47697</v>
      </c>
      <c r="K1515" s="13" t="str">
        <f>IFERROR(__xludf.DUMMYFUNCTION("""COMPUTED_VALUE"""),"Selesai")</f>
        <v>Selesai</v>
      </c>
      <c r="L1515" s="17">
        <f>IFERROR(__xludf.DUMMYFUNCTION("""COMPUTED_VALUE"""),45730.47697365741)</f>
        <v>45730.47697</v>
      </c>
      <c r="M1515" s="13"/>
      <c r="N1515" s="13" t="str">
        <f>IFERROR(__xludf.DUMMYFUNCTION("""COMPUTED_VALUE"""),"")</f>
        <v/>
      </c>
      <c r="O1515" s="13" t="str">
        <f t="shared" si="1"/>
        <v/>
      </c>
    </row>
    <row r="1516" ht="22.5" customHeight="1">
      <c r="B1516" s="13">
        <f>IFERROR(__xludf.DUMMYFUNCTION("""COMPUTED_VALUE"""),1511.0)</f>
        <v>1511</v>
      </c>
      <c r="C1516" s="13" t="str">
        <f>IFERROR(__xludf.DUMMYFUNCTION("""COMPUTED_VALUE"""),"HM 216/SUMUR BATU")</f>
        <v>HM 216/SUMUR BATU</v>
      </c>
      <c r="D1516" s="13" t="str">
        <f>IFERROR(__xludf.DUMMYFUNCTION("""COMPUTED_VALUE"""),"L/24/180225/1")</f>
        <v>L/24/180225/1</v>
      </c>
      <c r="E1516" s="14" t="str">
        <f>IFERROR(__xludf.DUMMYFUNCTION("""COMPUTED_VALUE"""),"Afriza (BT)")</f>
        <v>Afriza (BT)</v>
      </c>
      <c r="F1516" s="14" t="str">
        <f>IFERROR(__xludf.DUMMYFUNCTION("""COMPUTED_VALUE"""),"SELESAI (VIA PERMOHONAN)")</f>
        <v>SELESAI (VIA PERMOHONAN)</v>
      </c>
      <c r="G1516" s="17">
        <f>IFERROR(__xludf.DUMMYFUNCTION("""COMPUTED_VALUE"""),45730.477169571765)</f>
        <v>45730.47717</v>
      </c>
      <c r="H1516" s="14" t="str">
        <f>IFERROR(__xludf.DUMMYFUNCTION("""COMPUTED_VALUE"""),"Bu Eva (SU)")</f>
        <v>Bu Eva (SU)</v>
      </c>
      <c r="I1516" s="13" t="str">
        <f>IFERROR(__xludf.DUMMYFUNCTION("""COMPUTED_VALUE"""),"SELESAI (VIA PERMOHONAN)")</f>
        <v>SELESAI (VIA PERMOHONAN)</v>
      </c>
      <c r="J1516" s="17">
        <f>IFERROR(__xludf.DUMMYFUNCTION("""COMPUTED_VALUE"""),45730.477196875)</f>
        <v>45730.4772</v>
      </c>
      <c r="K1516" s="13" t="str">
        <f>IFERROR(__xludf.DUMMYFUNCTION("""COMPUTED_VALUE"""),"Selesai")</f>
        <v>Selesai</v>
      </c>
      <c r="L1516" s="17">
        <f>IFERROR(__xludf.DUMMYFUNCTION("""COMPUTED_VALUE"""),45730.477196875)</f>
        <v>45730.4772</v>
      </c>
      <c r="M1516" s="13"/>
      <c r="N1516" s="13" t="str">
        <f>IFERROR(__xludf.DUMMYFUNCTION("""COMPUTED_VALUE"""),"")</f>
        <v/>
      </c>
      <c r="O1516" s="13" t="str">
        <f t="shared" si="1"/>
        <v/>
      </c>
    </row>
    <row r="1517" ht="22.5" customHeight="1">
      <c r="B1517" s="13">
        <f>IFERROR(__xludf.DUMMYFUNCTION("""COMPUTED_VALUE"""),1512.0)</f>
        <v>1512</v>
      </c>
      <c r="C1517" s="13" t="str">
        <f>IFERROR(__xludf.DUMMYFUNCTION("""COMPUTED_VALUE"""),"HM 1209/SEPANG JAYA")</f>
        <v>HM 1209/SEPANG JAYA</v>
      </c>
      <c r="D1517" s="13" t="str">
        <f>IFERROR(__xludf.DUMMYFUNCTION("""COMPUTED_VALUE"""),"L/26/270225/1")</f>
        <v>L/26/270225/1</v>
      </c>
      <c r="E1517" s="14" t="str">
        <f>IFERROR(__xludf.DUMMYFUNCTION("""COMPUTED_VALUE"""),"Afriza (BT)")</f>
        <v>Afriza (BT)</v>
      </c>
      <c r="F1517" s="14" t="str">
        <f>IFERROR(__xludf.DUMMYFUNCTION("""COMPUTED_VALUE"""),"SELESAI (VIA PERMOHONAN)")</f>
        <v>SELESAI (VIA PERMOHONAN)</v>
      </c>
      <c r="G1517" s="17">
        <f>IFERROR(__xludf.DUMMYFUNCTION("""COMPUTED_VALUE"""),45730.47732788195)</f>
        <v>45730.47733</v>
      </c>
      <c r="H1517" s="14" t="str">
        <f>IFERROR(__xludf.DUMMYFUNCTION("""COMPUTED_VALUE"""),"Bu Eva (SU)")</f>
        <v>Bu Eva (SU)</v>
      </c>
      <c r="I1517" s="13" t="str">
        <f>IFERROR(__xludf.DUMMYFUNCTION("""COMPUTED_VALUE"""),"SELESAI (VIA PERMOHONAN)")</f>
        <v>SELESAI (VIA PERMOHONAN)</v>
      </c>
      <c r="J1517" s="17">
        <f>IFERROR(__xludf.DUMMYFUNCTION("""COMPUTED_VALUE"""),45730.47737113426)</f>
        <v>45730.47737</v>
      </c>
      <c r="K1517" s="13" t="str">
        <f>IFERROR(__xludf.DUMMYFUNCTION("""COMPUTED_VALUE"""),"Selesai")</f>
        <v>Selesai</v>
      </c>
      <c r="L1517" s="17">
        <f>IFERROR(__xludf.DUMMYFUNCTION("""COMPUTED_VALUE"""),45730.47737113426)</f>
        <v>45730.47737</v>
      </c>
      <c r="M1517" s="13"/>
      <c r="N1517" s="13" t="str">
        <f>IFERROR(__xludf.DUMMYFUNCTION("""COMPUTED_VALUE"""),"")</f>
        <v/>
      </c>
      <c r="O1517" s="13" t="str">
        <f t="shared" si="1"/>
        <v/>
      </c>
    </row>
    <row r="1518" ht="22.5" customHeight="1">
      <c r="B1518" s="13">
        <f>IFERROR(__xludf.DUMMYFUNCTION("""COMPUTED_VALUE"""),1513.0)</f>
        <v>1513</v>
      </c>
      <c r="C1518" s="13" t="str">
        <f>IFERROR(__xludf.DUMMYFUNCTION("""COMPUTED_VALUE"""),"B.690/SUMBER AGUNG")</f>
        <v>B.690/SUMBER AGUNG</v>
      </c>
      <c r="D1518" s="13" t="str">
        <f>IFERROR(__xludf.DUMMYFUNCTION("""COMPUTED_VALUE"""),"K/7/060325/2")</f>
        <v>K/7/060325/2</v>
      </c>
      <c r="E1518" s="14" t="str">
        <f>IFERROR(__xludf.DUMMYFUNCTION("""COMPUTED_VALUE"""),"Nadian (BT)")</f>
        <v>Nadian (BT)</v>
      </c>
      <c r="F1518" s="14" t="str">
        <f>IFERROR(__xludf.DUMMYFUNCTION("""COMPUTED_VALUE"""),"SELESAI (VIA PERMOHONAN)")</f>
        <v>SELESAI (VIA PERMOHONAN)</v>
      </c>
      <c r="G1518" s="17">
        <f>IFERROR(__xludf.DUMMYFUNCTION("""COMPUTED_VALUE"""),45730.59151067129)</f>
        <v>45730.59151</v>
      </c>
      <c r="H1518" s="14" t="str">
        <f>IFERROR(__xludf.DUMMYFUNCTION("""COMPUTED_VALUE"""),"Bu Eva (SU)")</f>
        <v>Bu Eva (SU)</v>
      </c>
      <c r="I1518" s="13" t="str">
        <f>IFERROR(__xludf.DUMMYFUNCTION("""COMPUTED_VALUE"""),"SELESAI (VIA PERMOHONAN)")</f>
        <v>SELESAI (VIA PERMOHONAN)</v>
      </c>
      <c r="J1518" s="17">
        <f>IFERROR(__xludf.DUMMYFUNCTION("""COMPUTED_VALUE"""),45730.614552280094)</f>
        <v>45730.61455</v>
      </c>
      <c r="K1518" s="13" t="str">
        <f>IFERROR(__xludf.DUMMYFUNCTION("""COMPUTED_VALUE"""),"Selesai")</f>
        <v>Selesai</v>
      </c>
      <c r="L1518" s="17">
        <f>IFERROR(__xludf.DUMMYFUNCTION("""COMPUTED_VALUE"""),45730.614552280094)</f>
        <v>45730.61455</v>
      </c>
      <c r="M1518" s="13"/>
      <c r="N1518" s="13" t="str">
        <f>IFERROR(__xludf.DUMMYFUNCTION("""COMPUTED_VALUE"""),"")</f>
        <v/>
      </c>
      <c r="O1518" s="13" t="str">
        <f t="shared" si="1"/>
        <v/>
      </c>
    </row>
    <row r="1519" ht="22.5" customHeight="1">
      <c r="B1519" s="13">
        <f>IFERROR(__xludf.DUMMYFUNCTION("""COMPUTED_VALUE"""),1514.0)</f>
        <v>1514</v>
      </c>
      <c r="C1519" s="13" t="str">
        <f>IFERROR(__xludf.DUMMYFUNCTION("""COMPUTED_VALUE"""),"M. 3141/ Beringin Raya")</f>
        <v>M. 3141/ Beringin Raya</v>
      </c>
      <c r="D1519" s="13" t="str">
        <f>IFERROR(__xludf.DUMMYFUNCTION("""COMPUTED_VALUE"""),"K/24/040325/1")</f>
        <v>K/24/040325/1</v>
      </c>
      <c r="E1519" s="14" t="str">
        <f>IFERROR(__xludf.DUMMYFUNCTION("""COMPUTED_VALUE"""),"Nadian (BT)")</f>
        <v>Nadian (BT)</v>
      </c>
      <c r="F1519" s="14" t="str">
        <f>IFERROR(__xludf.DUMMYFUNCTION("""COMPUTED_VALUE"""),"SELESAI (VIA PERMOHONAN)")</f>
        <v>SELESAI (VIA PERMOHONAN)</v>
      </c>
      <c r="G1519" s="17">
        <f>IFERROR(__xludf.DUMMYFUNCTION("""COMPUTED_VALUE"""),45730.591545821764)</f>
        <v>45730.59155</v>
      </c>
      <c r="H1519" s="14" t="str">
        <f>IFERROR(__xludf.DUMMYFUNCTION("""COMPUTED_VALUE"""),"Bu Eva (SU)")</f>
        <v>Bu Eva (SU)</v>
      </c>
      <c r="I1519" s="13" t="str">
        <f>IFERROR(__xludf.DUMMYFUNCTION("""COMPUTED_VALUE"""),"SELESAI (VIA PERMOHONAN)")</f>
        <v>SELESAI (VIA PERMOHONAN)</v>
      </c>
      <c r="J1519" s="17">
        <f>IFERROR(__xludf.DUMMYFUNCTION("""COMPUTED_VALUE"""),45730.6145721875)</f>
        <v>45730.61457</v>
      </c>
      <c r="K1519" s="13" t="str">
        <f>IFERROR(__xludf.DUMMYFUNCTION("""COMPUTED_VALUE"""),"Selesai")</f>
        <v>Selesai</v>
      </c>
      <c r="L1519" s="17">
        <f>IFERROR(__xludf.DUMMYFUNCTION("""COMPUTED_VALUE"""),45730.6145721875)</f>
        <v>45730.61457</v>
      </c>
      <c r="M1519" s="13"/>
      <c r="N1519" s="13" t="str">
        <f>IFERROR(__xludf.DUMMYFUNCTION("""COMPUTED_VALUE"""),"")</f>
        <v/>
      </c>
      <c r="O1519" s="13" t="str">
        <f t="shared" si="1"/>
        <v/>
      </c>
    </row>
    <row r="1520" ht="22.5" customHeight="1">
      <c r="B1520" s="13">
        <f>IFERROR(__xludf.DUMMYFUNCTION("""COMPUTED_VALUE"""),1515.0)</f>
        <v>1515</v>
      </c>
      <c r="C1520" s="13" t="str">
        <f>IFERROR(__xludf.DUMMYFUNCTION("""COMPUTED_VALUE"""),"M. 920/SUMBEREJO SEJAHTERA")</f>
        <v>M. 920/SUMBEREJO SEJAHTERA</v>
      </c>
      <c r="D1520" s="13" t="str">
        <f>IFERROR(__xludf.DUMMYFUNCTION("""COMPUTED_VALUE"""),"K/33/110325/2")</f>
        <v>K/33/110325/2</v>
      </c>
      <c r="E1520" s="14" t="str">
        <f>IFERROR(__xludf.DUMMYFUNCTION("""COMPUTED_VALUE"""),"Nadian (BT)")</f>
        <v>Nadian (BT)</v>
      </c>
      <c r="F1520" s="14" t="str">
        <f>IFERROR(__xludf.DUMMYFUNCTION("""COMPUTED_VALUE"""),"SELESAI (VIA PERMOHONAN)")</f>
        <v>SELESAI (VIA PERMOHONAN)</v>
      </c>
      <c r="G1520" s="17">
        <f>IFERROR(__xludf.DUMMYFUNCTION("""COMPUTED_VALUE"""),45730.591545821764)</f>
        <v>45730.59155</v>
      </c>
      <c r="H1520" s="14" t="str">
        <f>IFERROR(__xludf.DUMMYFUNCTION("""COMPUTED_VALUE"""),"Bu Eva (SU)")</f>
        <v>Bu Eva (SU)</v>
      </c>
      <c r="I1520" s="13" t="str">
        <f>IFERROR(__xludf.DUMMYFUNCTION("""COMPUTED_VALUE"""),"SELESAI (VIA PERMOHONAN)")</f>
        <v>SELESAI (VIA PERMOHONAN)</v>
      </c>
      <c r="J1520" s="17">
        <f>IFERROR(__xludf.DUMMYFUNCTION("""COMPUTED_VALUE"""),45730.6145721875)</f>
        <v>45730.61457</v>
      </c>
      <c r="K1520" s="13" t="str">
        <f>IFERROR(__xludf.DUMMYFUNCTION("""COMPUTED_VALUE"""),"Selesai")</f>
        <v>Selesai</v>
      </c>
      <c r="L1520" s="17">
        <f>IFERROR(__xludf.DUMMYFUNCTION("""COMPUTED_VALUE"""),45730.6145721875)</f>
        <v>45730.61457</v>
      </c>
      <c r="M1520" s="13"/>
      <c r="N1520" s="13" t="str">
        <f>IFERROR(__xludf.DUMMYFUNCTION("""COMPUTED_VALUE"""),"")</f>
        <v/>
      </c>
      <c r="O1520" s="13" t="str">
        <f t="shared" si="1"/>
        <v/>
      </c>
    </row>
    <row r="1521" ht="22.5" customHeight="1">
      <c r="B1521" s="13">
        <f>IFERROR(__xludf.DUMMYFUNCTION("""COMPUTED_VALUE"""),1516.0)</f>
        <v>1516</v>
      </c>
      <c r="C1521" s="13" t="str">
        <f>IFERROR(__xludf.DUMMYFUNCTION("""COMPUTED_VALUE"""),"M. 2714/SUMBEREJO")</f>
        <v>M. 2714/SUMBEREJO</v>
      </c>
      <c r="D1521" s="13" t="str">
        <f>IFERROR(__xludf.DUMMYFUNCTION("""COMPUTED_VALUE"""),"K/32/110325/1")</f>
        <v>K/32/110325/1</v>
      </c>
      <c r="E1521" s="14" t="str">
        <f>IFERROR(__xludf.DUMMYFUNCTION("""COMPUTED_VALUE"""),"Nadian (BT)")</f>
        <v>Nadian (BT)</v>
      </c>
      <c r="F1521" s="14" t="str">
        <f>IFERROR(__xludf.DUMMYFUNCTION("""COMPUTED_VALUE"""),"SELESAI (VIA PERMOHONAN)")</f>
        <v>SELESAI (VIA PERMOHONAN)</v>
      </c>
      <c r="G1521" s="17">
        <f>IFERROR(__xludf.DUMMYFUNCTION("""COMPUTED_VALUE"""),45730.591545821764)</f>
        <v>45730.59155</v>
      </c>
      <c r="H1521" s="14" t="str">
        <f>IFERROR(__xludf.DUMMYFUNCTION("""COMPUTED_VALUE"""),"Bu Eva (SU)")</f>
        <v>Bu Eva (SU)</v>
      </c>
      <c r="I1521" s="13" t="str">
        <f>IFERROR(__xludf.DUMMYFUNCTION("""COMPUTED_VALUE"""),"SELESAI (VIA PERMOHONAN)")</f>
        <v>SELESAI (VIA PERMOHONAN)</v>
      </c>
      <c r="J1521" s="17">
        <f>IFERROR(__xludf.DUMMYFUNCTION("""COMPUTED_VALUE"""),45730.6145721875)</f>
        <v>45730.61457</v>
      </c>
      <c r="K1521" s="13" t="str">
        <f>IFERROR(__xludf.DUMMYFUNCTION("""COMPUTED_VALUE"""),"Selesai")</f>
        <v>Selesai</v>
      </c>
      <c r="L1521" s="17">
        <f>IFERROR(__xludf.DUMMYFUNCTION("""COMPUTED_VALUE"""),45730.6145721875)</f>
        <v>45730.61457</v>
      </c>
      <c r="M1521" s="13"/>
      <c r="N1521" s="13" t="str">
        <f>IFERROR(__xludf.DUMMYFUNCTION("""COMPUTED_VALUE"""),"")</f>
        <v/>
      </c>
      <c r="O1521" s="13" t="str">
        <f t="shared" si="1"/>
        <v/>
      </c>
    </row>
    <row r="1522" ht="22.5" customHeight="1">
      <c r="B1522" s="13">
        <f>IFERROR(__xludf.DUMMYFUNCTION("""COMPUTED_VALUE"""),1517.0)</f>
        <v>1517</v>
      </c>
      <c r="C1522" s="13" t="str">
        <f>IFERROR(__xludf.DUMMYFUNCTION("""COMPUTED_VALUE"""),"M. 1183/ Kedamain")</f>
        <v>M. 1183/ Kedamain</v>
      </c>
      <c r="D1522" s="13" t="str">
        <f>IFERROR(__xludf.DUMMYFUNCTION("""COMPUTED_VALUE"""),"K/27/100325/1")</f>
        <v>K/27/100325/1</v>
      </c>
      <c r="E1522" s="14" t="str">
        <f>IFERROR(__xludf.DUMMYFUNCTION("""COMPUTED_VALUE"""),"Nadian (BT)")</f>
        <v>Nadian (BT)</v>
      </c>
      <c r="F1522" s="14" t="str">
        <f>IFERROR(__xludf.DUMMYFUNCTION("""COMPUTED_VALUE"""),"SELESAI (VIA PERMOHONAN)")</f>
        <v>SELESAI (VIA PERMOHONAN)</v>
      </c>
      <c r="G1522" s="17">
        <f>IFERROR(__xludf.DUMMYFUNCTION("""COMPUTED_VALUE"""),45733.50240572917)</f>
        <v>45733.50241</v>
      </c>
      <c r="H1522" s="14" t="str">
        <f>IFERROR(__xludf.DUMMYFUNCTION("""COMPUTED_VALUE"""),"Bu Eva (SU)")</f>
        <v>Bu Eva (SU)</v>
      </c>
      <c r="I1522" s="13" t="str">
        <f>IFERROR(__xludf.DUMMYFUNCTION("""COMPUTED_VALUE"""),"SELESAI (VIA PERMOHONAN)")</f>
        <v>SELESAI (VIA PERMOHONAN)</v>
      </c>
      <c r="J1522" s="17">
        <f>IFERROR(__xludf.DUMMYFUNCTION("""COMPUTED_VALUE"""),45734.36346912037)</f>
        <v>45734.36347</v>
      </c>
      <c r="K1522" s="13" t="str">
        <f>IFERROR(__xludf.DUMMYFUNCTION("""COMPUTED_VALUE"""),"Selesai")</f>
        <v>Selesai</v>
      </c>
      <c r="L1522" s="17">
        <f>IFERROR(__xludf.DUMMYFUNCTION("""COMPUTED_VALUE"""),45734.36346912037)</f>
        <v>45734.36347</v>
      </c>
      <c r="M1522" s="13"/>
      <c r="N1522" s="13" t="str">
        <f>IFERROR(__xludf.DUMMYFUNCTION("""COMPUTED_VALUE"""),"")</f>
        <v/>
      </c>
      <c r="O1522" s="13" t="str">
        <f t="shared" si="1"/>
        <v/>
      </c>
    </row>
    <row r="1523" ht="22.5" customHeight="1">
      <c r="B1523" s="13">
        <f>IFERROR(__xludf.DUMMYFUNCTION("""COMPUTED_VALUE"""),1518.0)</f>
        <v>1518</v>
      </c>
      <c r="C1523" s="13" t="str">
        <f>IFERROR(__xludf.DUMMYFUNCTION("""COMPUTED_VALUE"""),"M. 212/ Sukaraja")</f>
        <v>M. 212/ Sukaraja</v>
      </c>
      <c r="D1523" s="13" t="str">
        <f>IFERROR(__xludf.DUMMYFUNCTION("""COMPUTED_VALUE"""),"K/11/120325/1")</f>
        <v>K/11/120325/1</v>
      </c>
      <c r="E1523" s="14" t="str">
        <f>IFERROR(__xludf.DUMMYFUNCTION("""COMPUTED_VALUE"""),"Nadian (BT)")</f>
        <v>Nadian (BT)</v>
      </c>
      <c r="F1523" s="14" t="str">
        <f>IFERROR(__xludf.DUMMYFUNCTION("""COMPUTED_VALUE"""),"SELESAI (VIA PERMOHONAN)")</f>
        <v>SELESAI (VIA PERMOHONAN)</v>
      </c>
      <c r="G1523" s="17">
        <f>IFERROR(__xludf.DUMMYFUNCTION("""COMPUTED_VALUE"""),45733.502456863425)</f>
        <v>45733.50246</v>
      </c>
      <c r="H1523" s="14" t="str">
        <f>IFERROR(__xludf.DUMMYFUNCTION("""COMPUTED_VALUE"""),"Bu Eva (SU)")</f>
        <v>Bu Eva (SU)</v>
      </c>
      <c r="I1523" s="13" t="str">
        <f>IFERROR(__xludf.DUMMYFUNCTION("""COMPUTED_VALUE"""),"SELESAI (VIA PERMOHONAN)")</f>
        <v>SELESAI (VIA PERMOHONAN)</v>
      </c>
      <c r="J1523" s="17">
        <f>IFERROR(__xludf.DUMMYFUNCTION("""COMPUTED_VALUE"""),45734.36346912037)</f>
        <v>45734.36347</v>
      </c>
      <c r="K1523" s="13" t="str">
        <f>IFERROR(__xludf.DUMMYFUNCTION("""COMPUTED_VALUE"""),"Selesai")</f>
        <v>Selesai</v>
      </c>
      <c r="L1523" s="17">
        <f>IFERROR(__xludf.DUMMYFUNCTION("""COMPUTED_VALUE"""),45734.36346912037)</f>
        <v>45734.36347</v>
      </c>
      <c r="M1523" s="13"/>
      <c r="N1523" s="13" t="str">
        <f>IFERROR(__xludf.DUMMYFUNCTION("""COMPUTED_VALUE"""),"")</f>
        <v/>
      </c>
      <c r="O1523" s="13" t="str">
        <f t="shared" si="1"/>
        <v/>
      </c>
    </row>
    <row r="1524" ht="22.5" customHeight="1">
      <c r="B1524" s="13">
        <f>IFERROR(__xludf.DUMMYFUNCTION("""COMPUTED_VALUE"""),1519.0)</f>
        <v>1519</v>
      </c>
      <c r="C1524" s="13" t="str">
        <f>IFERROR(__xludf.DUMMYFUNCTION("""COMPUTED_VALUE"""),"M. 1508/ Gd air")</f>
        <v>M. 1508/ Gd air</v>
      </c>
      <c r="D1524" s="13" t="str">
        <f>IFERROR(__xludf.DUMMYFUNCTION("""COMPUTED_VALUE"""),"K/5/050325/1")</f>
        <v>K/5/050325/1</v>
      </c>
      <c r="E1524" s="14" t="str">
        <f>IFERROR(__xludf.DUMMYFUNCTION("""COMPUTED_VALUE"""),"Nadian (BT)")</f>
        <v>Nadian (BT)</v>
      </c>
      <c r="F1524" s="14" t="str">
        <f>IFERROR(__xludf.DUMMYFUNCTION("""COMPUTED_VALUE"""),"SELESAI (VIA PERMOHONAN)")</f>
        <v>SELESAI (VIA PERMOHONAN)</v>
      </c>
      <c r="G1524" s="17">
        <f>IFERROR(__xludf.DUMMYFUNCTION("""COMPUTED_VALUE"""),45733.502456863425)</f>
        <v>45733.50246</v>
      </c>
      <c r="H1524" s="14" t="str">
        <f>IFERROR(__xludf.DUMMYFUNCTION("""COMPUTED_VALUE"""),"Bu Eva (SU)")</f>
        <v>Bu Eva (SU)</v>
      </c>
      <c r="I1524" s="13" t="str">
        <f>IFERROR(__xludf.DUMMYFUNCTION("""COMPUTED_VALUE"""),"SELESAI (VIA PERMOHONAN)")</f>
        <v>SELESAI (VIA PERMOHONAN)</v>
      </c>
      <c r="J1524" s="17">
        <f>IFERROR(__xludf.DUMMYFUNCTION("""COMPUTED_VALUE"""),45734.363469131946)</f>
        <v>45734.36347</v>
      </c>
      <c r="K1524" s="13" t="str">
        <f>IFERROR(__xludf.DUMMYFUNCTION("""COMPUTED_VALUE"""),"Selesai")</f>
        <v>Selesai</v>
      </c>
      <c r="L1524" s="17">
        <f>IFERROR(__xludf.DUMMYFUNCTION("""COMPUTED_VALUE"""),45734.363469131946)</f>
        <v>45734.36347</v>
      </c>
      <c r="M1524" s="13"/>
      <c r="N1524" s="13" t="str">
        <f>IFERROR(__xludf.DUMMYFUNCTION("""COMPUTED_VALUE"""),"")</f>
        <v/>
      </c>
      <c r="O1524" s="13" t="str">
        <f t="shared" si="1"/>
        <v/>
      </c>
    </row>
    <row r="1525" ht="22.5" customHeight="1">
      <c r="B1525" s="13">
        <f>IFERROR(__xludf.DUMMYFUNCTION("""COMPUTED_VALUE"""),1520.0)</f>
        <v>1520</v>
      </c>
      <c r="C1525" s="13" t="str">
        <f>IFERROR(__xludf.DUMMYFUNCTION("""COMPUTED_VALUE"""),"M. 1008/ Gunung Agung")</f>
        <v>M. 1008/ Gunung Agung</v>
      </c>
      <c r="D1525" s="13" t="str">
        <f>IFERROR(__xludf.DUMMYFUNCTION("""COMPUTED_VALUE"""),"K/8/100125/1")</f>
        <v>K/8/100125/1</v>
      </c>
      <c r="E1525" s="14" t="str">
        <f>IFERROR(__xludf.DUMMYFUNCTION("""COMPUTED_VALUE"""),"Nadian (BT)")</f>
        <v>Nadian (BT)</v>
      </c>
      <c r="F1525" s="14" t="str">
        <f>IFERROR(__xludf.DUMMYFUNCTION("""COMPUTED_VALUE"""),"SELESAI (VIA PERMOHONAN)")</f>
        <v>SELESAI (VIA PERMOHONAN)</v>
      </c>
      <c r="G1525" s="17">
        <f>IFERROR(__xludf.DUMMYFUNCTION("""COMPUTED_VALUE"""),45733.502456863425)</f>
        <v>45733.50246</v>
      </c>
      <c r="H1525" s="14" t="str">
        <f>IFERROR(__xludf.DUMMYFUNCTION("""COMPUTED_VALUE"""),"Bu Eva (SU)")</f>
        <v>Bu Eva (SU)</v>
      </c>
      <c r="I1525" s="13" t="str">
        <f>IFERROR(__xludf.DUMMYFUNCTION("""COMPUTED_VALUE"""),"SELESAI (VIA PERMOHONAN)")</f>
        <v>SELESAI (VIA PERMOHONAN)</v>
      </c>
      <c r="J1525" s="17">
        <f>IFERROR(__xludf.DUMMYFUNCTION("""COMPUTED_VALUE"""),45734.363469131946)</f>
        <v>45734.36347</v>
      </c>
      <c r="K1525" s="13" t="str">
        <f>IFERROR(__xludf.DUMMYFUNCTION("""COMPUTED_VALUE"""),"Selesai")</f>
        <v>Selesai</v>
      </c>
      <c r="L1525" s="17">
        <f>IFERROR(__xludf.DUMMYFUNCTION("""COMPUTED_VALUE"""),45734.363469131946)</f>
        <v>45734.36347</v>
      </c>
      <c r="M1525" s="13"/>
      <c r="N1525" s="13" t="str">
        <f>IFERROR(__xludf.DUMMYFUNCTION("""COMPUTED_VALUE"""),"")</f>
        <v/>
      </c>
      <c r="O1525" s="13" t="str">
        <f t="shared" si="1"/>
        <v/>
      </c>
    </row>
    <row r="1526" ht="22.5" customHeight="1">
      <c r="B1526" s="13">
        <f>IFERROR(__xludf.DUMMYFUNCTION("""COMPUTED_VALUE"""),1521.0)</f>
        <v>1521</v>
      </c>
      <c r="C1526" s="13" t="str">
        <f>IFERROR(__xludf.DUMMYFUNCTION("""COMPUTED_VALUE""")," M. 1791/ Rajabasa Pemuka")</f>
        <v> M. 1791/ Rajabasa Pemuka</v>
      </c>
      <c r="D1526" s="13" t="str">
        <f>IFERROR(__xludf.DUMMYFUNCTION("""COMPUTED_VALUE"""),"K/28/280225/2")</f>
        <v>K/28/280225/2</v>
      </c>
      <c r="E1526" s="14" t="str">
        <f>IFERROR(__xludf.DUMMYFUNCTION("""COMPUTED_VALUE"""),"Nadian (BT)")</f>
        <v>Nadian (BT)</v>
      </c>
      <c r="F1526" s="14" t="str">
        <f>IFERROR(__xludf.DUMMYFUNCTION("""COMPUTED_VALUE"""),"SELESAI (VIA PERMOHONAN)")</f>
        <v>SELESAI (VIA PERMOHONAN)</v>
      </c>
      <c r="G1526" s="17">
        <f>IFERROR(__xludf.DUMMYFUNCTION("""COMPUTED_VALUE"""),45733.502456863425)</f>
        <v>45733.50246</v>
      </c>
      <c r="H1526" s="14" t="str">
        <f>IFERROR(__xludf.DUMMYFUNCTION("""COMPUTED_VALUE"""),"Bu Eva (SU)")</f>
        <v>Bu Eva (SU)</v>
      </c>
      <c r="I1526" s="13" t="str">
        <f>IFERROR(__xludf.DUMMYFUNCTION("""COMPUTED_VALUE"""),"SELESAI (VIA PERMOHONAN)")</f>
        <v>SELESAI (VIA PERMOHONAN)</v>
      </c>
      <c r="J1526" s="17">
        <f>IFERROR(__xludf.DUMMYFUNCTION("""COMPUTED_VALUE"""),45734.363469131946)</f>
        <v>45734.36347</v>
      </c>
      <c r="K1526" s="13" t="str">
        <f>IFERROR(__xludf.DUMMYFUNCTION("""COMPUTED_VALUE"""),"Selesai")</f>
        <v>Selesai</v>
      </c>
      <c r="L1526" s="17">
        <f>IFERROR(__xludf.DUMMYFUNCTION("""COMPUTED_VALUE"""),45734.363469131946)</f>
        <v>45734.36347</v>
      </c>
      <c r="M1526" s="13"/>
      <c r="N1526" s="13" t="str">
        <f>IFERROR(__xludf.DUMMYFUNCTION("""COMPUTED_VALUE"""),"")</f>
        <v/>
      </c>
      <c r="O1526" s="13" t="str">
        <f t="shared" si="1"/>
        <v/>
      </c>
    </row>
    <row r="1527" ht="22.5" customHeight="1">
      <c r="B1527" s="13">
        <f>IFERROR(__xludf.DUMMYFUNCTION("""COMPUTED_VALUE"""),1522.0)</f>
        <v>1522</v>
      </c>
      <c r="C1527" s="13" t="str">
        <f>IFERROR(__xludf.DUMMYFUNCTION("""COMPUTED_VALUE"""),"M. 503/ Kelapa Tiga Permai")</f>
        <v>M. 503/ Kelapa Tiga Permai</v>
      </c>
      <c r="D1527" s="13" t="str">
        <f>IFERROR(__xludf.DUMMYFUNCTION("""COMPUTED_VALUE"""),"K/8/060325/1")</f>
        <v>K/8/060325/1</v>
      </c>
      <c r="E1527" s="14" t="str">
        <f>IFERROR(__xludf.DUMMYFUNCTION("""COMPUTED_VALUE"""),"Nadian (BT)")</f>
        <v>Nadian (BT)</v>
      </c>
      <c r="F1527" s="14" t="str">
        <f>IFERROR(__xludf.DUMMYFUNCTION("""COMPUTED_VALUE"""),"SELESAI (VIA PERMOHONAN)")</f>
        <v>SELESAI (VIA PERMOHONAN)</v>
      </c>
      <c r="G1527" s="17">
        <f>IFERROR(__xludf.DUMMYFUNCTION("""COMPUTED_VALUE"""),45733.502456863425)</f>
        <v>45733.50246</v>
      </c>
      <c r="H1527" s="14" t="str">
        <f>IFERROR(__xludf.DUMMYFUNCTION("""COMPUTED_VALUE"""),"Bu Eva (SU)")</f>
        <v>Bu Eva (SU)</v>
      </c>
      <c r="I1527" s="13" t="str">
        <f>IFERROR(__xludf.DUMMYFUNCTION("""COMPUTED_VALUE"""),"SELESAI (VIA PERMOHONAN)")</f>
        <v>SELESAI (VIA PERMOHONAN)</v>
      </c>
      <c r="J1527" s="17">
        <f>IFERROR(__xludf.DUMMYFUNCTION("""COMPUTED_VALUE"""),45734.363469131946)</f>
        <v>45734.36347</v>
      </c>
      <c r="K1527" s="13" t="str">
        <f>IFERROR(__xludf.DUMMYFUNCTION("""COMPUTED_VALUE"""),"Selesai")</f>
        <v>Selesai</v>
      </c>
      <c r="L1527" s="17">
        <f>IFERROR(__xludf.DUMMYFUNCTION("""COMPUTED_VALUE"""),45734.363469131946)</f>
        <v>45734.36347</v>
      </c>
      <c r="M1527" s="13"/>
      <c r="N1527" s="13" t="str">
        <f>IFERROR(__xludf.DUMMYFUNCTION("""COMPUTED_VALUE"""),"")</f>
        <v/>
      </c>
      <c r="O1527" s="13" t="str">
        <f t="shared" si="1"/>
        <v/>
      </c>
    </row>
    <row r="1528" ht="22.5" customHeight="1">
      <c r="B1528" s="13">
        <f>IFERROR(__xludf.DUMMYFUNCTION("""COMPUTED_VALUE"""),1523.0)</f>
        <v>1523</v>
      </c>
      <c r="C1528" s="13" t="str">
        <f>IFERROR(__xludf.DUMMYFUNCTION("""COMPUTED_VALUE"""),"M. 4673/ Rajabasa Jaya")</f>
        <v>M. 4673/ Rajabasa Jaya</v>
      </c>
      <c r="D1528" s="13" t="str">
        <f>IFERROR(__xludf.DUMMYFUNCTION("""COMPUTED_VALUE""")," K/42/250225/2")</f>
        <v> K/42/250225/2</v>
      </c>
      <c r="E1528" s="14" t="str">
        <f>IFERROR(__xludf.DUMMYFUNCTION("""COMPUTED_VALUE"""),"Nadian (BT)")</f>
        <v>Nadian (BT)</v>
      </c>
      <c r="F1528" s="14" t="str">
        <f>IFERROR(__xludf.DUMMYFUNCTION("""COMPUTED_VALUE"""),"SELESAI (VIA PERMOHONAN)")</f>
        <v>SELESAI (VIA PERMOHONAN)</v>
      </c>
      <c r="G1528" s="17">
        <f>IFERROR(__xludf.DUMMYFUNCTION("""COMPUTED_VALUE"""),45733.502456863425)</f>
        <v>45733.50246</v>
      </c>
      <c r="H1528" s="14" t="str">
        <f>IFERROR(__xludf.DUMMYFUNCTION("""COMPUTED_VALUE"""),"Bu Eva (SU)")</f>
        <v>Bu Eva (SU)</v>
      </c>
      <c r="I1528" s="13" t="str">
        <f>IFERROR(__xludf.DUMMYFUNCTION("""COMPUTED_VALUE"""),"SELESAI (VIA PERMOHONAN)")</f>
        <v>SELESAI (VIA PERMOHONAN)</v>
      </c>
      <c r="J1528" s="17">
        <f>IFERROR(__xludf.DUMMYFUNCTION("""COMPUTED_VALUE"""),45734.36353498843)</f>
        <v>45734.36353</v>
      </c>
      <c r="K1528" s="13" t="str">
        <f>IFERROR(__xludf.DUMMYFUNCTION("""COMPUTED_VALUE"""),"Selesai")</f>
        <v>Selesai</v>
      </c>
      <c r="L1528" s="17">
        <f>IFERROR(__xludf.DUMMYFUNCTION("""COMPUTED_VALUE"""),45734.36353498843)</f>
        <v>45734.36353</v>
      </c>
      <c r="M1528" s="13"/>
      <c r="N1528" s="13" t="str">
        <f>IFERROR(__xludf.DUMMYFUNCTION("""COMPUTED_VALUE"""),"")</f>
        <v/>
      </c>
      <c r="O1528" s="13" t="str">
        <f t="shared" si="1"/>
        <v/>
      </c>
    </row>
    <row r="1529" ht="22.5" customHeight="1">
      <c r="B1529" s="13">
        <f>IFERROR(__xludf.DUMMYFUNCTION("""COMPUTED_VALUE"""),1524.0)</f>
        <v>1524</v>
      </c>
      <c r="C1529" s="13" t="str">
        <f>IFERROR(__xludf.DUMMYFUNCTION("""COMPUTED_VALUE"""),"M. 529/ Korpri Raya")</f>
        <v>M. 529/ Korpri Raya</v>
      </c>
      <c r="D1529" s="13" t="str">
        <f>IFERROR(__xludf.DUMMYFUNCTION("""COMPUTED_VALUE"""),"K/24/060325/1")</f>
        <v>K/24/060325/1</v>
      </c>
      <c r="E1529" s="14" t="str">
        <f>IFERROR(__xludf.DUMMYFUNCTION("""COMPUTED_VALUE"""),"Nadian (BT)")</f>
        <v>Nadian (BT)</v>
      </c>
      <c r="F1529" s="14" t="str">
        <f>IFERROR(__xludf.DUMMYFUNCTION("""COMPUTED_VALUE"""),"SELESAI (VIA PERMOHONAN)")</f>
        <v>SELESAI (VIA PERMOHONAN)</v>
      </c>
      <c r="G1529" s="17">
        <f>IFERROR(__xludf.DUMMYFUNCTION("""COMPUTED_VALUE"""),45733.502456863425)</f>
        <v>45733.50246</v>
      </c>
      <c r="H1529" s="14" t="str">
        <f>IFERROR(__xludf.DUMMYFUNCTION("""COMPUTED_VALUE"""),"Bu Eva (SU)")</f>
        <v>Bu Eva (SU)</v>
      </c>
      <c r="I1529" s="13" t="str">
        <f>IFERROR(__xludf.DUMMYFUNCTION("""COMPUTED_VALUE"""),"SELESAI (VIA PERMOHONAN)")</f>
        <v>SELESAI (VIA PERMOHONAN)</v>
      </c>
      <c r="J1529" s="17">
        <f>IFERROR(__xludf.DUMMYFUNCTION("""COMPUTED_VALUE"""),45734.36353498843)</f>
        <v>45734.36353</v>
      </c>
      <c r="K1529" s="13" t="str">
        <f>IFERROR(__xludf.DUMMYFUNCTION("""COMPUTED_VALUE"""),"Selesai")</f>
        <v>Selesai</v>
      </c>
      <c r="L1529" s="17">
        <f>IFERROR(__xludf.DUMMYFUNCTION("""COMPUTED_VALUE"""),45734.36353498843)</f>
        <v>45734.36353</v>
      </c>
      <c r="M1529" s="13"/>
      <c r="N1529" s="13" t="str">
        <f>IFERROR(__xludf.DUMMYFUNCTION("""COMPUTED_VALUE"""),"")</f>
        <v/>
      </c>
      <c r="O1529" s="13" t="str">
        <f t="shared" si="1"/>
        <v/>
      </c>
    </row>
    <row r="1530" ht="22.5" customHeight="1">
      <c r="B1530" s="13">
        <f>IFERROR(__xludf.DUMMYFUNCTION("""COMPUTED_VALUE"""),1525.0)</f>
        <v>1525</v>
      </c>
      <c r="C1530" s="13" t="str">
        <f>IFERROR(__xludf.DUMMYFUNCTION("""COMPUTED_VALUE"""),"M. 4440/ Gunung Terang")</f>
        <v>M. 4440/ Gunung Terang</v>
      </c>
      <c r="D1530" s="13" t="str">
        <f>IFERROR(__xludf.DUMMYFUNCTION("""COMPUTED_VALUE"""),"K/26/100325/1")</f>
        <v>K/26/100325/1</v>
      </c>
      <c r="E1530" s="14" t="str">
        <f>IFERROR(__xludf.DUMMYFUNCTION("""COMPUTED_VALUE"""),"Nadian (BT)")</f>
        <v>Nadian (BT)</v>
      </c>
      <c r="F1530" s="14" t="str">
        <f>IFERROR(__xludf.DUMMYFUNCTION("""COMPUTED_VALUE"""),"SELESAI (VIA PERMOHONAN)")</f>
        <v>SELESAI (VIA PERMOHONAN)</v>
      </c>
      <c r="G1530" s="17">
        <f>IFERROR(__xludf.DUMMYFUNCTION("""COMPUTED_VALUE"""),45733.502456875)</f>
        <v>45733.50246</v>
      </c>
      <c r="H1530" s="14" t="str">
        <f>IFERROR(__xludf.DUMMYFUNCTION("""COMPUTED_VALUE"""),"Bu Eva (SU)")</f>
        <v>Bu Eva (SU)</v>
      </c>
      <c r="I1530" s="13" t="str">
        <f>IFERROR(__xludf.DUMMYFUNCTION("""COMPUTED_VALUE"""),"SELESAI (VIA PERMOHONAN)")</f>
        <v>SELESAI (VIA PERMOHONAN)</v>
      </c>
      <c r="J1530" s="17">
        <f>IFERROR(__xludf.DUMMYFUNCTION("""COMPUTED_VALUE"""),45734.36353498843)</f>
        <v>45734.36353</v>
      </c>
      <c r="K1530" s="13" t="str">
        <f>IFERROR(__xludf.DUMMYFUNCTION("""COMPUTED_VALUE"""),"Selesai")</f>
        <v>Selesai</v>
      </c>
      <c r="L1530" s="17">
        <f>IFERROR(__xludf.DUMMYFUNCTION("""COMPUTED_VALUE"""),45734.36353498843)</f>
        <v>45734.36353</v>
      </c>
      <c r="M1530" s="13"/>
      <c r="N1530" s="13" t="str">
        <f>IFERROR(__xludf.DUMMYFUNCTION("""COMPUTED_VALUE"""),"")</f>
        <v/>
      </c>
      <c r="O1530" s="13" t="str">
        <f t="shared" si="1"/>
        <v/>
      </c>
    </row>
    <row r="1531" ht="22.5" customHeight="1">
      <c r="B1531" s="13">
        <f>IFERROR(__xludf.DUMMYFUNCTION("""COMPUTED_VALUE"""),1526.0)</f>
        <v>1526</v>
      </c>
      <c r="C1531" s="13" t="str">
        <f>IFERROR(__xludf.DUMMYFUNCTION("""COMPUTED_VALUE"""),"M. 1782/ Tanjung Seneng")</f>
        <v>M. 1782/ Tanjung Seneng</v>
      </c>
      <c r="D1531" s="13" t="str">
        <f>IFERROR(__xludf.DUMMYFUNCTION("""COMPUTED_VALUE"""),"K/37/120325/1")</f>
        <v>K/37/120325/1</v>
      </c>
      <c r="E1531" s="14" t="str">
        <f>IFERROR(__xludf.DUMMYFUNCTION("""COMPUTED_VALUE"""),"Nadian (BT)")</f>
        <v>Nadian (BT)</v>
      </c>
      <c r="F1531" s="14" t="str">
        <f>IFERROR(__xludf.DUMMYFUNCTION("""COMPUTED_VALUE"""),"SELESAI (VIA PERMOHONAN)")</f>
        <v>SELESAI (VIA PERMOHONAN)</v>
      </c>
      <c r="G1531" s="17">
        <f>IFERROR(__xludf.DUMMYFUNCTION("""COMPUTED_VALUE"""),45733.502456875)</f>
        <v>45733.50246</v>
      </c>
      <c r="H1531" s="14" t="str">
        <f>IFERROR(__xludf.DUMMYFUNCTION("""COMPUTED_VALUE"""),"Bu Eva (SU)")</f>
        <v>Bu Eva (SU)</v>
      </c>
      <c r="I1531" s="13" t="str">
        <f>IFERROR(__xludf.DUMMYFUNCTION("""COMPUTED_VALUE"""),"SELESAI (VIA PERMOHONAN)")</f>
        <v>SELESAI (VIA PERMOHONAN)</v>
      </c>
      <c r="J1531" s="17">
        <f>IFERROR(__xludf.DUMMYFUNCTION("""COMPUTED_VALUE"""),45734.36353498843)</f>
        <v>45734.36353</v>
      </c>
      <c r="K1531" s="13" t="str">
        <f>IFERROR(__xludf.DUMMYFUNCTION("""COMPUTED_VALUE"""),"Selesai")</f>
        <v>Selesai</v>
      </c>
      <c r="L1531" s="17">
        <f>IFERROR(__xludf.DUMMYFUNCTION("""COMPUTED_VALUE"""),45734.36353498843)</f>
        <v>45734.36353</v>
      </c>
      <c r="M1531" s="13"/>
      <c r="N1531" s="13" t="str">
        <f>IFERROR(__xludf.DUMMYFUNCTION("""COMPUTED_VALUE"""),"")</f>
        <v/>
      </c>
      <c r="O1531" s="13" t="str">
        <f t="shared" si="1"/>
        <v/>
      </c>
    </row>
    <row r="1532" ht="22.5" customHeight="1">
      <c r="B1532" s="13">
        <f>IFERROR(__xludf.DUMMYFUNCTION("""COMPUTED_VALUE"""),1527.0)</f>
        <v>1527</v>
      </c>
      <c r="C1532" s="13" t="str">
        <f>IFERROR(__xludf.DUMMYFUNCTION("""COMPUTED_VALUE"""),"M. 2850/ Sukarame Baru")</f>
        <v>M. 2850/ Sukarame Baru</v>
      </c>
      <c r="D1532" s="13" t="str">
        <f>IFERROR(__xludf.DUMMYFUNCTION("""COMPUTED_VALUE"""),"K/18/100325/1")</f>
        <v>K/18/100325/1</v>
      </c>
      <c r="E1532" s="14" t="str">
        <f>IFERROR(__xludf.DUMMYFUNCTION("""COMPUTED_VALUE"""),"Nadian (BT)")</f>
        <v>Nadian (BT)</v>
      </c>
      <c r="F1532" s="14" t="str">
        <f>IFERROR(__xludf.DUMMYFUNCTION("""COMPUTED_VALUE"""),"SELESAI (VIA PERMOHONAN)")</f>
        <v>SELESAI (VIA PERMOHONAN)</v>
      </c>
      <c r="G1532" s="17">
        <f>IFERROR(__xludf.DUMMYFUNCTION("""COMPUTED_VALUE"""),45733.502456875)</f>
        <v>45733.50246</v>
      </c>
      <c r="H1532" s="14" t="str">
        <f>IFERROR(__xludf.DUMMYFUNCTION("""COMPUTED_VALUE"""),"Bu Eva (SU)")</f>
        <v>Bu Eva (SU)</v>
      </c>
      <c r="I1532" s="13" t="str">
        <f>IFERROR(__xludf.DUMMYFUNCTION("""COMPUTED_VALUE"""),"SELESAI (VIA PERMOHONAN)")</f>
        <v>SELESAI (VIA PERMOHONAN)</v>
      </c>
      <c r="J1532" s="17">
        <f>IFERROR(__xludf.DUMMYFUNCTION("""COMPUTED_VALUE"""),45734.36353498843)</f>
        <v>45734.36353</v>
      </c>
      <c r="K1532" s="13" t="str">
        <f>IFERROR(__xludf.DUMMYFUNCTION("""COMPUTED_VALUE"""),"Selesai")</f>
        <v>Selesai</v>
      </c>
      <c r="L1532" s="17">
        <f>IFERROR(__xludf.DUMMYFUNCTION("""COMPUTED_VALUE"""),45734.36353498843)</f>
        <v>45734.36353</v>
      </c>
      <c r="M1532" s="13"/>
      <c r="N1532" s="13" t="str">
        <f>IFERROR(__xludf.DUMMYFUNCTION("""COMPUTED_VALUE"""),"")</f>
        <v/>
      </c>
      <c r="O1532" s="13" t="str">
        <f t="shared" si="1"/>
        <v/>
      </c>
    </row>
    <row r="1533" ht="22.5" customHeight="1">
      <c r="B1533" s="13">
        <f>IFERROR(__xludf.DUMMYFUNCTION("""COMPUTED_VALUE"""),1528.0)</f>
        <v>1528</v>
      </c>
      <c r="C1533" s="13" t="str">
        <f>IFERROR(__xludf.DUMMYFUNCTION("""COMPUTED_VALUE"""),"B. 529/ Sukarame Baru")</f>
        <v>B. 529/ Sukarame Baru</v>
      </c>
      <c r="D1533" s="13" t="str">
        <f>IFERROR(__xludf.DUMMYFUNCTION("""COMPUTED_VALUE"""),"K/19/110325/2")</f>
        <v>K/19/110325/2</v>
      </c>
      <c r="E1533" s="14" t="str">
        <f>IFERROR(__xludf.DUMMYFUNCTION("""COMPUTED_VALUE"""),"Nadian (BT)")</f>
        <v>Nadian (BT)</v>
      </c>
      <c r="F1533" s="14" t="str">
        <f>IFERROR(__xludf.DUMMYFUNCTION("""COMPUTED_VALUE"""),"SELESAI (VIA PERMOHONAN)")</f>
        <v>SELESAI (VIA PERMOHONAN)</v>
      </c>
      <c r="G1533" s="17">
        <f>IFERROR(__xludf.DUMMYFUNCTION("""COMPUTED_VALUE"""),45733.502456875)</f>
        <v>45733.50246</v>
      </c>
      <c r="H1533" s="14" t="str">
        <f>IFERROR(__xludf.DUMMYFUNCTION("""COMPUTED_VALUE"""),"Bu Eva (SU)")</f>
        <v>Bu Eva (SU)</v>
      </c>
      <c r="I1533" s="13" t="str">
        <f>IFERROR(__xludf.DUMMYFUNCTION("""COMPUTED_VALUE"""),"SELESAI (VIA PERMOHONAN)")</f>
        <v>SELESAI (VIA PERMOHONAN)</v>
      </c>
      <c r="J1533" s="17">
        <f>IFERROR(__xludf.DUMMYFUNCTION("""COMPUTED_VALUE"""),45734.36353498843)</f>
        <v>45734.36353</v>
      </c>
      <c r="K1533" s="13" t="str">
        <f>IFERROR(__xludf.DUMMYFUNCTION("""COMPUTED_VALUE"""),"Selesai")</f>
        <v>Selesai</v>
      </c>
      <c r="L1533" s="17">
        <f>IFERROR(__xludf.DUMMYFUNCTION("""COMPUTED_VALUE"""),45734.36353498843)</f>
        <v>45734.36353</v>
      </c>
      <c r="M1533" s="13"/>
      <c r="N1533" s="13" t="str">
        <f>IFERROR(__xludf.DUMMYFUNCTION("""COMPUTED_VALUE"""),"")</f>
        <v/>
      </c>
      <c r="O1533" s="13" t="str">
        <f t="shared" si="1"/>
        <v/>
      </c>
    </row>
    <row r="1534" ht="22.5" customHeight="1">
      <c r="B1534" s="13">
        <f>IFERROR(__xludf.DUMMYFUNCTION("""COMPUTED_VALUE"""),1529.0)</f>
        <v>1529</v>
      </c>
      <c r="C1534" s="13" t="str">
        <f>IFERROR(__xludf.DUMMYFUNCTION("""COMPUTED_VALUE"""),"M. 6451/ Way Kandis")</f>
        <v>M. 6451/ Way Kandis</v>
      </c>
      <c r="D1534" s="13" t="str">
        <f>IFERROR(__xludf.DUMMYFUNCTION("""COMPUTED_VALUE"""),"K/32/060325/1")</f>
        <v>K/32/060325/1</v>
      </c>
      <c r="E1534" s="14" t="str">
        <f>IFERROR(__xludf.DUMMYFUNCTION("""COMPUTED_VALUE"""),"Nadian (BT)")</f>
        <v>Nadian (BT)</v>
      </c>
      <c r="F1534" s="14" t="str">
        <f>IFERROR(__xludf.DUMMYFUNCTION("""COMPUTED_VALUE"""),"SELESAI (VIA PERMOHONAN)")</f>
        <v>SELESAI (VIA PERMOHONAN)</v>
      </c>
      <c r="G1534" s="17">
        <f>IFERROR(__xludf.DUMMYFUNCTION("""COMPUTED_VALUE"""),45733.502456875)</f>
        <v>45733.50246</v>
      </c>
      <c r="H1534" s="14" t="str">
        <f>IFERROR(__xludf.DUMMYFUNCTION("""COMPUTED_VALUE"""),"Bu Eva (SU)")</f>
        <v>Bu Eva (SU)</v>
      </c>
      <c r="I1534" s="13" t="str">
        <f>IFERROR(__xludf.DUMMYFUNCTION("""COMPUTED_VALUE"""),"SELESAI (VIA PERMOHONAN)")</f>
        <v>SELESAI (VIA PERMOHONAN)</v>
      </c>
      <c r="J1534" s="17">
        <f>IFERROR(__xludf.DUMMYFUNCTION("""COMPUTED_VALUE"""),45734.36362239583)</f>
        <v>45734.36362</v>
      </c>
      <c r="K1534" s="13" t="str">
        <f>IFERROR(__xludf.DUMMYFUNCTION("""COMPUTED_VALUE"""),"Selesai")</f>
        <v>Selesai</v>
      </c>
      <c r="L1534" s="17">
        <f>IFERROR(__xludf.DUMMYFUNCTION("""COMPUTED_VALUE"""),45734.36362239583)</f>
        <v>45734.36362</v>
      </c>
      <c r="M1534" s="13"/>
      <c r="N1534" s="13" t="str">
        <f>IFERROR(__xludf.DUMMYFUNCTION("""COMPUTED_VALUE"""),"")</f>
        <v/>
      </c>
      <c r="O1534" s="13" t="str">
        <f t="shared" si="1"/>
        <v/>
      </c>
    </row>
    <row r="1535" ht="22.5" customHeight="1">
      <c r="B1535" s="13">
        <f>IFERROR(__xludf.DUMMYFUNCTION("""COMPUTED_VALUE"""),1530.0)</f>
        <v>1530</v>
      </c>
      <c r="C1535" s="13" t="str">
        <f>IFERROR(__xludf.DUMMYFUNCTION("""COMPUTED_VALUE"""),"M. 1035/ Korpri Jaya")</f>
        <v>M. 1035/ Korpri Jaya</v>
      </c>
      <c r="D1535" s="13" t="str">
        <f>IFERROR(__xludf.DUMMYFUNCTION("""COMPUTED_VALUE"""),"K/18/110325/1")</f>
        <v>K/18/110325/1</v>
      </c>
      <c r="E1535" s="14" t="str">
        <f>IFERROR(__xludf.DUMMYFUNCTION("""COMPUTED_VALUE"""),"Nadian (BT)")</f>
        <v>Nadian (BT)</v>
      </c>
      <c r="F1535" s="14" t="str">
        <f>IFERROR(__xludf.DUMMYFUNCTION("""COMPUTED_VALUE"""),"SELESAI (VIA PERMOHONAN)")</f>
        <v>SELESAI (VIA PERMOHONAN)</v>
      </c>
      <c r="G1535" s="17">
        <f>IFERROR(__xludf.DUMMYFUNCTION("""COMPUTED_VALUE"""),45733.502456875)</f>
        <v>45733.50246</v>
      </c>
      <c r="H1535" s="14" t="str">
        <f>IFERROR(__xludf.DUMMYFUNCTION("""COMPUTED_VALUE"""),"Bu Eva (SU)")</f>
        <v>Bu Eva (SU)</v>
      </c>
      <c r="I1535" s="13" t="str">
        <f>IFERROR(__xludf.DUMMYFUNCTION("""COMPUTED_VALUE"""),"SELESAI (VIA PERMOHONAN)")</f>
        <v>SELESAI (VIA PERMOHONAN)</v>
      </c>
      <c r="J1535" s="17">
        <f>IFERROR(__xludf.DUMMYFUNCTION("""COMPUTED_VALUE"""),45734.36362240741)</f>
        <v>45734.36362</v>
      </c>
      <c r="K1535" s="13" t="str">
        <f>IFERROR(__xludf.DUMMYFUNCTION("""COMPUTED_VALUE"""),"Selesai")</f>
        <v>Selesai</v>
      </c>
      <c r="L1535" s="17">
        <f>IFERROR(__xludf.DUMMYFUNCTION("""COMPUTED_VALUE"""),45734.36362240741)</f>
        <v>45734.36362</v>
      </c>
      <c r="M1535" s="13"/>
      <c r="N1535" s="13" t="str">
        <f>IFERROR(__xludf.DUMMYFUNCTION("""COMPUTED_VALUE"""),"")</f>
        <v/>
      </c>
      <c r="O1535" s="13" t="str">
        <f t="shared" si="1"/>
        <v/>
      </c>
    </row>
    <row r="1536" ht="22.5" customHeight="1">
      <c r="B1536" s="13">
        <f>IFERROR(__xludf.DUMMYFUNCTION("""COMPUTED_VALUE"""),1531.0)</f>
        <v>1531</v>
      </c>
      <c r="C1536" s="13" t="str">
        <f>IFERROR(__xludf.DUMMYFUNCTION("""COMPUTED_VALUE"""),"B. 697/ Sumber Agung")</f>
        <v>B. 697/ Sumber Agung</v>
      </c>
      <c r="D1536" s="13" t="str">
        <f>IFERROR(__xludf.DUMMYFUNCTION("""COMPUTED_VALUE"""),"K/1/110325/1")</f>
        <v>K/1/110325/1</v>
      </c>
      <c r="E1536" s="14" t="str">
        <f>IFERROR(__xludf.DUMMYFUNCTION("""COMPUTED_VALUE"""),"Nadian (BT)")</f>
        <v>Nadian (BT)</v>
      </c>
      <c r="F1536" s="14" t="str">
        <f>IFERROR(__xludf.DUMMYFUNCTION("""COMPUTED_VALUE"""),"SELESAI (VIA PERMOHONAN)")</f>
        <v>SELESAI (VIA PERMOHONAN)</v>
      </c>
      <c r="G1536" s="17">
        <f>IFERROR(__xludf.DUMMYFUNCTION("""COMPUTED_VALUE"""),45733.502456875)</f>
        <v>45733.50246</v>
      </c>
      <c r="H1536" s="14" t="str">
        <f>IFERROR(__xludf.DUMMYFUNCTION("""COMPUTED_VALUE"""),"Bu Eva (SU)")</f>
        <v>Bu Eva (SU)</v>
      </c>
      <c r="I1536" s="13" t="str">
        <f>IFERROR(__xludf.DUMMYFUNCTION("""COMPUTED_VALUE"""),"SELESAI (VIA PERMOHONAN)")</f>
        <v>SELESAI (VIA PERMOHONAN)</v>
      </c>
      <c r="J1536" s="17">
        <f>IFERROR(__xludf.DUMMYFUNCTION("""COMPUTED_VALUE"""),45734.36362240741)</f>
        <v>45734.36362</v>
      </c>
      <c r="K1536" s="13" t="str">
        <f>IFERROR(__xludf.DUMMYFUNCTION("""COMPUTED_VALUE"""),"Selesai")</f>
        <v>Selesai</v>
      </c>
      <c r="L1536" s="17">
        <f>IFERROR(__xludf.DUMMYFUNCTION("""COMPUTED_VALUE"""),45734.36362240741)</f>
        <v>45734.36362</v>
      </c>
      <c r="M1536" s="13"/>
      <c r="N1536" s="13" t="str">
        <f>IFERROR(__xludf.DUMMYFUNCTION("""COMPUTED_VALUE"""),"")</f>
        <v/>
      </c>
      <c r="O1536" s="13" t="str">
        <f t="shared" si="1"/>
        <v/>
      </c>
    </row>
    <row r="1537" ht="22.5" customHeight="1">
      <c r="B1537" s="13">
        <f>IFERROR(__xludf.DUMMYFUNCTION("""COMPUTED_VALUE"""),1532.0)</f>
        <v>1532</v>
      </c>
      <c r="C1537" s="13" t="str">
        <f>IFERROR(__xludf.DUMMYFUNCTION("""COMPUTED_VALUE"""),"M. 1629/ Perumnas Way Halim")</f>
        <v>M. 1629/ Perumnas Way Halim</v>
      </c>
      <c r="D1537" s="13" t="str">
        <f>IFERROR(__xludf.DUMMYFUNCTION("""COMPUTED_VALUE"""),"K/16/100325/1")</f>
        <v>K/16/100325/1</v>
      </c>
      <c r="E1537" s="14" t="str">
        <f>IFERROR(__xludf.DUMMYFUNCTION("""COMPUTED_VALUE"""),"Nadian (BT)")</f>
        <v>Nadian (BT)</v>
      </c>
      <c r="F1537" s="14" t="str">
        <f>IFERROR(__xludf.DUMMYFUNCTION("""COMPUTED_VALUE"""),"SELESAI (VIA PERMOHONAN)")</f>
        <v>SELESAI (VIA PERMOHONAN)</v>
      </c>
      <c r="G1537" s="17">
        <f>IFERROR(__xludf.DUMMYFUNCTION("""COMPUTED_VALUE"""),45733.502456875)</f>
        <v>45733.50246</v>
      </c>
      <c r="H1537" s="14" t="str">
        <f>IFERROR(__xludf.DUMMYFUNCTION("""COMPUTED_VALUE"""),"Bu Eva (SU)")</f>
        <v>Bu Eva (SU)</v>
      </c>
      <c r="I1537" s="13" t="str">
        <f>IFERROR(__xludf.DUMMYFUNCTION("""COMPUTED_VALUE"""),"SELESAI (VIA PERMOHONAN)")</f>
        <v>SELESAI (VIA PERMOHONAN)</v>
      </c>
      <c r="J1537" s="17">
        <f>IFERROR(__xludf.DUMMYFUNCTION("""COMPUTED_VALUE"""),45734.36362240741)</f>
        <v>45734.36362</v>
      </c>
      <c r="K1537" s="13" t="str">
        <f>IFERROR(__xludf.DUMMYFUNCTION("""COMPUTED_VALUE"""),"Selesai")</f>
        <v>Selesai</v>
      </c>
      <c r="L1537" s="17">
        <f>IFERROR(__xludf.DUMMYFUNCTION("""COMPUTED_VALUE"""),45734.36362240741)</f>
        <v>45734.36362</v>
      </c>
      <c r="M1537" s="13"/>
      <c r="N1537" s="13" t="str">
        <f>IFERROR(__xludf.DUMMYFUNCTION("""COMPUTED_VALUE"""),"")</f>
        <v/>
      </c>
      <c r="O1537" s="13" t="str">
        <f t="shared" si="1"/>
        <v/>
      </c>
    </row>
    <row r="1538" ht="22.5" customHeight="1">
      <c r="B1538" s="13">
        <f>IFERROR(__xludf.DUMMYFUNCTION("""COMPUTED_VALUE"""),1533.0)</f>
        <v>1533</v>
      </c>
      <c r="C1538" s="13" t="str">
        <f>IFERROR(__xludf.DUMMYFUNCTION("""COMPUTED_VALUE"""),"M. 1363/ Sukabumi Indah")</f>
        <v>M. 1363/ Sukabumi Indah</v>
      </c>
      <c r="D1538" s="13" t="str">
        <f>IFERROR(__xludf.DUMMYFUNCTION("""COMPUTED_VALUE"""),"K/48/240225/3")</f>
        <v>K/48/240225/3</v>
      </c>
      <c r="E1538" s="14" t="str">
        <f>IFERROR(__xludf.DUMMYFUNCTION("""COMPUTED_VALUE"""),"Afriza (BT)")</f>
        <v>Afriza (BT)</v>
      </c>
      <c r="F1538" s="14" t="str">
        <f>IFERROR(__xludf.DUMMYFUNCTION("""COMPUTED_VALUE"""),"SELESAI (VIA PERMOHONAN)")</f>
        <v>SELESAI (VIA PERMOHONAN)</v>
      </c>
      <c r="G1538" s="17">
        <f>IFERROR(__xludf.DUMMYFUNCTION("""COMPUTED_VALUE"""),45734.40210694444)</f>
        <v>45734.40211</v>
      </c>
      <c r="H1538" s="14" t="str">
        <f>IFERROR(__xludf.DUMMYFUNCTION("""COMPUTED_VALUE"""),"Bu Eva (SU)")</f>
        <v>Bu Eva (SU)</v>
      </c>
      <c r="I1538" s="13" t="str">
        <f>IFERROR(__xludf.DUMMYFUNCTION("""COMPUTED_VALUE"""),"SELESAI (VIA PERMOHONAN)")</f>
        <v>SELESAI (VIA PERMOHONAN)</v>
      </c>
      <c r="J1538" s="17">
        <f>IFERROR(__xludf.DUMMYFUNCTION("""COMPUTED_VALUE"""),45736.59871521991)</f>
        <v>45736.59872</v>
      </c>
      <c r="K1538" s="13" t="str">
        <f>IFERROR(__xludf.DUMMYFUNCTION("""COMPUTED_VALUE"""),"Selesai")</f>
        <v>Selesai</v>
      </c>
      <c r="L1538" s="17">
        <f>IFERROR(__xludf.DUMMYFUNCTION("""COMPUTED_VALUE"""),45736.59871521991)</f>
        <v>45736.59872</v>
      </c>
      <c r="M1538" s="13"/>
      <c r="N1538" s="13" t="str">
        <f>IFERROR(__xludf.DUMMYFUNCTION("""COMPUTED_VALUE"""),"")</f>
        <v/>
      </c>
      <c r="O1538" s="13" t="str">
        <f t="shared" si="1"/>
        <v/>
      </c>
    </row>
    <row r="1539" ht="22.5" customHeight="1">
      <c r="B1539" s="13">
        <f>IFERROR(__xludf.DUMMYFUNCTION("""COMPUTED_VALUE"""),1534.0)</f>
        <v>1534</v>
      </c>
      <c r="C1539" s="13" t="str">
        <f>IFERROR(__xludf.DUMMYFUNCTION("""COMPUTED_VALUE"""),"B. 581/ Nusantara Permai")</f>
        <v>B. 581/ Nusantara Permai</v>
      </c>
      <c r="D1539" s="13" t="str">
        <f>IFERROR(__xludf.DUMMYFUNCTION("""COMPUTED_VALUE"""),"K/28/250225/1")</f>
        <v>K/28/250225/1</v>
      </c>
      <c r="E1539" s="14" t="str">
        <f>IFERROR(__xludf.DUMMYFUNCTION("""COMPUTED_VALUE"""),"Afriza (BT)")</f>
        <v>Afriza (BT)</v>
      </c>
      <c r="F1539" s="14" t="str">
        <f>IFERROR(__xludf.DUMMYFUNCTION("""COMPUTED_VALUE"""),"SELESAI (VIA PERMOHONAN)")</f>
        <v>SELESAI (VIA PERMOHONAN)</v>
      </c>
      <c r="G1539" s="17">
        <f>IFERROR(__xludf.DUMMYFUNCTION("""COMPUTED_VALUE"""),45734.40222159722)</f>
        <v>45734.40222</v>
      </c>
      <c r="H1539" s="14" t="str">
        <f>IFERROR(__xludf.DUMMYFUNCTION("""COMPUTED_VALUE"""),"Bu Eva (SU)")</f>
        <v>Bu Eva (SU)</v>
      </c>
      <c r="I1539" s="13" t="str">
        <f>IFERROR(__xludf.DUMMYFUNCTION("""COMPUTED_VALUE"""),"SELESAI (VIA PERMOHONAN)")</f>
        <v>SELESAI (VIA PERMOHONAN)</v>
      </c>
      <c r="J1539" s="17">
        <f>IFERROR(__xludf.DUMMYFUNCTION("""COMPUTED_VALUE"""),45736.59871521991)</f>
        <v>45736.59872</v>
      </c>
      <c r="K1539" s="13" t="str">
        <f>IFERROR(__xludf.DUMMYFUNCTION("""COMPUTED_VALUE"""),"Selesai")</f>
        <v>Selesai</v>
      </c>
      <c r="L1539" s="17">
        <f>IFERROR(__xludf.DUMMYFUNCTION("""COMPUTED_VALUE"""),45736.59871521991)</f>
        <v>45736.59872</v>
      </c>
      <c r="M1539" s="13"/>
      <c r="N1539" s="13" t="str">
        <f>IFERROR(__xludf.DUMMYFUNCTION("""COMPUTED_VALUE"""),"")</f>
        <v/>
      </c>
      <c r="O1539" s="13" t="str">
        <f t="shared" si="1"/>
        <v/>
      </c>
    </row>
    <row r="1540" ht="22.5" customHeight="1">
      <c r="B1540" s="13">
        <f>IFERROR(__xludf.DUMMYFUNCTION("""COMPUTED_VALUE"""),1535.0)</f>
        <v>1535</v>
      </c>
      <c r="C1540" s="13" t="str">
        <f>IFERROR(__xludf.DUMMYFUNCTION("""COMPUTED_VALUE"""),"M. 427/ Kota Sepang")</f>
        <v>M. 427/ Kota Sepang</v>
      </c>
      <c r="D1540" s="13" t="str">
        <f>IFERROR(__xludf.DUMMYFUNCTION("""COMPUTED_VALUE"""),"K/24/050225/1")</f>
        <v>K/24/050225/1</v>
      </c>
      <c r="E1540" s="14" t="str">
        <f>IFERROR(__xludf.DUMMYFUNCTION("""COMPUTED_VALUE"""),"Afriza (BT)")</f>
        <v>Afriza (BT)</v>
      </c>
      <c r="F1540" s="14" t="str">
        <f>IFERROR(__xludf.DUMMYFUNCTION("""COMPUTED_VALUE"""),"SELESAI (VIA PERMOHONAN)")</f>
        <v>SELESAI (VIA PERMOHONAN)</v>
      </c>
      <c r="G1540" s="17">
        <f>IFERROR(__xludf.DUMMYFUNCTION("""COMPUTED_VALUE"""),45734.40321329861)</f>
        <v>45734.40321</v>
      </c>
      <c r="H1540" s="14" t="str">
        <f>IFERROR(__xludf.DUMMYFUNCTION("""COMPUTED_VALUE"""),"Bu Eva (SU)")</f>
        <v>Bu Eva (SU)</v>
      </c>
      <c r="I1540" s="13" t="str">
        <f>IFERROR(__xludf.DUMMYFUNCTION("""COMPUTED_VALUE"""),"SELESAI (VIA PERMOHONAN)")</f>
        <v>SELESAI (VIA PERMOHONAN)</v>
      </c>
      <c r="J1540" s="17">
        <f>IFERROR(__xludf.DUMMYFUNCTION("""COMPUTED_VALUE"""),45736.59871521991)</f>
        <v>45736.59872</v>
      </c>
      <c r="K1540" s="13" t="str">
        <f>IFERROR(__xludf.DUMMYFUNCTION("""COMPUTED_VALUE"""),"Selesai")</f>
        <v>Selesai</v>
      </c>
      <c r="L1540" s="17">
        <f>IFERROR(__xludf.DUMMYFUNCTION("""COMPUTED_VALUE"""),45736.59871521991)</f>
        <v>45736.59872</v>
      </c>
      <c r="M1540" s="13"/>
      <c r="N1540" s="13" t="str">
        <f>IFERROR(__xludf.DUMMYFUNCTION("""COMPUTED_VALUE"""),"")</f>
        <v/>
      </c>
      <c r="O1540" s="13" t="str">
        <f t="shared" si="1"/>
        <v/>
      </c>
    </row>
    <row r="1541" ht="22.5" customHeight="1">
      <c r="B1541" s="13">
        <f>IFERROR(__xludf.DUMMYFUNCTION("""COMPUTED_VALUE"""),1536.0)</f>
        <v>1536</v>
      </c>
      <c r="C1541" s="13" t="str">
        <f>IFERROR(__xludf.DUMMYFUNCTION("""COMPUTED_VALUE"""),"M. 4728/ Langkapura")</f>
        <v>M. 4728/ Langkapura</v>
      </c>
      <c r="D1541" s="13" t="str">
        <f>IFERROR(__xludf.DUMMYFUNCTION("""COMPUTED_VALUE"""),"K/34/131124/1")</f>
        <v>K/34/131124/1</v>
      </c>
      <c r="E1541" s="14" t="str">
        <f>IFERROR(__xludf.DUMMYFUNCTION("""COMPUTED_VALUE"""),"Afriza (BT)")</f>
        <v>Afriza (BT)</v>
      </c>
      <c r="F1541" s="14" t="str">
        <f>IFERROR(__xludf.DUMMYFUNCTION("""COMPUTED_VALUE"""),"SELESAI (VIA PERMOHONAN)")</f>
        <v>SELESAI (VIA PERMOHONAN)</v>
      </c>
      <c r="G1541" s="17">
        <f>IFERROR(__xludf.DUMMYFUNCTION("""COMPUTED_VALUE"""),45734.403319756944)</f>
        <v>45734.40332</v>
      </c>
      <c r="H1541" s="14" t="str">
        <f>IFERROR(__xludf.DUMMYFUNCTION("""COMPUTED_VALUE"""),"Bu Eva (SU)")</f>
        <v>Bu Eva (SU)</v>
      </c>
      <c r="I1541" s="13" t="str">
        <f>IFERROR(__xludf.DUMMYFUNCTION("""COMPUTED_VALUE"""),"SELESAI (VIA PERMOHONAN)")</f>
        <v>SELESAI (VIA PERMOHONAN)</v>
      </c>
      <c r="J1541" s="17">
        <f>IFERROR(__xludf.DUMMYFUNCTION("""COMPUTED_VALUE"""),45736.59871521991)</f>
        <v>45736.59872</v>
      </c>
      <c r="K1541" s="13" t="str">
        <f>IFERROR(__xludf.DUMMYFUNCTION("""COMPUTED_VALUE"""),"Selesai")</f>
        <v>Selesai</v>
      </c>
      <c r="L1541" s="17">
        <f>IFERROR(__xludf.DUMMYFUNCTION("""COMPUTED_VALUE"""),45736.59871521991)</f>
        <v>45736.59872</v>
      </c>
      <c r="M1541" s="13"/>
      <c r="N1541" s="13" t="str">
        <f>IFERROR(__xludf.DUMMYFUNCTION("""COMPUTED_VALUE"""),"")</f>
        <v/>
      </c>
      <c r="O1541" s="13" t="str">
        <f t="shared" si="1"/>
        <v/>
      </c>
    </row>
    <row r="1542" ht="22.5" customHeight="1">
      <c r="B1542" s="13">
        <f>IFERROR(__xludf.DUMMYFUNCTION("""COMPUTED_VALUE"""),1537.0)</f>
        <v>1537</v>
      </c>
      <c r="C1542" s="13" t="str">
        <f>IFERROR(__xludf.DUMMYFUNCTION("""COMPUTED_VALUE"""),"M. 18247/ Sukarame")</f>
        <v>M. 18247/ Sukarame</v>
      </c>
      <c r="D1542" s="13" t="str">
        <f>IFERROR(__xludf.DUMMYFUNCTION("""COMPUTED_VALUE"""),"K/19/170225/1")</f>
        <v>K/19/170225/1</v>
      </c>
      <c r="E1542" s="14" t="str">
        <f>IFERROR(__xludf.DUMMYFUNCTION("""COMPUTED_VALUE"""),"Afriza (BT)")</f>
        <v>Afriza (BT)</v>
      </c>
      <c r="F1542" s="14" t="str">
        <f>IFERROR(__xludf.DUMMYFUNCTION("""COMPUTED_VALUE"""),"SELESAI (VIA PERMOHONAN)")</f>
        <v>SELESAI (VIA PERMOHONAN)</v>
      </c>
      <c r="G1542" s="17">
        <f>IFERROR(__xludf.DUMMYFUNCTION("""COMPUTED_VALUE"""),45734.403656400464)</f>
        <v>45734.40366</v>
      </c>
      <c r="H1542" s="14" t="str">
        <f>IFERROR(__xludf.DUMMYFUNCTION("""COMPUTED_VALUE"""),"Bu Eva (SU)")</f>
        <v>Bu Eva (SU)</v>
      </c>
      <c r="I1542" s="13" t="str">
        <f>IFERROR(__xludf.DUMMYFUNCTION("""COMPUTED_VALUE"""),"SELESAI (VIA PERMOHONAN)")</f>
        <v>SELESAI (VIA PERMOHONAN)</v>
      </c>
      <c r="J1542" s="17">
        <f>IFERROR(__xludf.DUMMYFUNCTION("""COMPUTED_VALUE"""),45736.59871521991)</f>
        <v>45736.59872</v>
      </c>
      <c r="K1542" s="13" t="str">
        <f>IFERROR(__xludf.DUMMYFUNCTION("""COMPUTED_VALUE"""),"Selesai")</f>
        <v>Selesai</v>
      </c>
      <c r="L1542" s="17">
        <f>IFERROR(__xludf.DUMMYFUNCTION("""COMPUTED_VALUE"""),45736.59871521991)</f>
        <v>45736.59872</v>
      </c>
      <c r="M1542" s="13"/>
      <c r="N1542" s="13" t="str">
        <f>IFERROR(__xludf.DUMMYFUNCTION("""COMPUTED_VALUE"""),"")</f>
        <v/>
      </c>
      <c r="O1542" s="13" t="str">
        <f t="shared" si="1"/>
        <v/>
      </c>
    </row>
    <row r="1543" ht="22.5" customHeight="1">
      <c r="B1543" s="13">
        <f>IFERROR(__xludf.DUMMYFUNCTION("""COMPUTED_VALUE"""),1538.0)</f>
        <v>1538</v>
      </c>
      <c r="C1543" s="13" t="str">
        <f>IFERROR(__xludf.DUMMYFUNCTION("""COMPUTED_VALUE"""),"M. 5383/ Langkapura")</f>
        <v>M. 5383/ Langkapura</v>
      </c>
      <c r="D1543" s="13" t="str">
        <f>IFERROR(__xludf.DUMMYFUNCTION("""COMPUTED_VALUE"""),"K/35/200225/1")</f>
        <v>K/35/200225/1</v>
      </c>
      <c r="E1543" s="14" t="str">
        <f>IFERROR(__xludf.DUMMYFUNCTION("""COMPUTED_VALUE"""),"Afriza (BT)")</f>
        <v>Afriza (BT)</v>
      </c>
      <c r="F1543" s="14" t="str">
        <f>IFERROR(__xludf.DUMMYFUNCTION("""COMPUTED_VALUE"""),"SELESAI (VIA PERMOHONAN)")</f>
        <v>SELESAI (VIA PERMOHONAN)</v>
      </c>
      <c r="G1543" s="17">
        <f>IFERROR(__xludf.DUMMYFUNCTION("""COMPUTED_VALUE"""),45734.404656886574)</f>
        <v>45734.40466</v>
      </c>
      <c r="H1543" s="14" t="str">
        <f>IFERROR(__xludf.DUMMYFUNCTION("""COMPUTED_VALUE"""),"Bu Eva (SU)")</f>
        <v>Bu Eva (SU)</v>
      </c>
      <c r="I1543" s="13" t="str">
        <f>IFERROR(__xludf.DUMMYFUNCTION("""COMPUTED_VALUE"""),"SELESAI (VIA PERMOHONAN)")</f>
        <v>SELESAI (VIA PERMOHONAN)</v>
      </c>
      <c r="J1543" s="17">
        <f>IFERROR(__xludf.DUMMYFUNCTION("""COMPUTED_VALUE"""),45736.59871521991)</f>
        <v>45736.59872</v>
      </c>
      <c r="K1543" s="13" t="str">
        <f>IFERROR(__xludf.DUMMYFUNCTION("""COMPUTED_VALUE"""),"Selesai")</f>
        <v>Selesai</v>
      </c>
      <c r="L1543" s="17">
        <f>IFERROR(__xludf.DUMMYFUNCTION("""COMPUTED_VALUE"""),45736.59871521991)</f>
        <v>45736.59872</v>
      </c>
      <c r="M1543" s="13"/>
      <c r="N1543" s="13" t="str">
        <f>IFERROR(__xludf.DUMMYFUNCTION("""COMPUTED_VALUE"""),"")</f>
        <v/>
      </c>
      <c r="O1543" s="13" t="str">
        <f t="shared" si="1"/>
        <v/>
      </c>
    </row>
    <row r="1544" ht="22.5" customHeight="1">
      <c r="B1544" s="13">
        <f>IFERROR(__xludf.DUMMYFUNCTION("""COMPUTED_VALUE"""),1539.0)</f>
        <v>1539</v>
      </c>
      <c r="C1544" s="13" t="str">
        <f>IFERROR(__xludf.DUMMYFUNCTION("""COMPUTED_VALUE"""),"B. 543/ kemiling Permai")</f>
        <v>B. 543/ kemiling Permai</v>
      </c>
      <c r="D1544" s="13" t="str">
        <f>IFERROR(__xludf.DUMMYFUNCTION("""COMPUTED_VALUE"""),"K/4/200225/2")</f>
        <v>K/4/200225/2</v>
      </c>
      <c r="E1544" s="14" t="str">
        <f>IFERROR(__xludf.DUMMYFUNCTION("""COMPUTED_VALUE"""),"Afriza (BT)")</f>
        <v>Afriza (BT)</v>
      </c>
      <c r="F1544" s="14" t="str">
        <f>IFERROR(__xludf.DUMMYFUNCTION("""COMPUTED_VALUE"""),"SELESAI (VIA PERMOHONAN)")</f>
        <v>SELESAI (VIA PERMOHONAN)</v>
      </c>
      <c r="G1544" s="17">
        <f>IFERROR(__xludf.DUMMYFUNCTION("""COMPUTED_VALUE"""),45734.40481607639)</f>
        <v>45734.40482</v>
      </c>
      <c r="H1544" s="14" t="str">
        <f>IFERROR(__xludf.DUMMYFUNCTION("""COMPUTED_VALUE"""),"Bu Eva (SU)")</f>
        <v>Bu Eva (SU)</v>
      </c>
      <c r="I1544" s="13" t="str">
        <f>IFERROR(__xludf.DUMMYFUNCTION("""COMPUTED_VALUE"""),"SELESAI (VIA PERMOHONAN)")</f>
        <v>SELESAI (VIA PERMOHONAN)</v>
      </c>
      <c r="J1544" s="17">
        <f>IFERROR(__xludf.DUMMYFUNCTION("""COMPUTED_VALUE"""),45736.59871521991)</f>
        <v>45736.59872</v>
      </c>
      <c r="K1544" s="13" t="str">
        <f>IFERROR(__xludf.DUMMYFUNCTION("""COMPUTED_VALUE"""),"Selesai")</f>
        <v>Selesai</v>
      </c>
      <c r="L1544" s="17">
        <f>IFERROR(__xludf.DUMMYFUNCTION("""COMPUTED_VALUE"""),45736.59871521991)</f>
        <v>45736.59872</v>
      </c>
      <c r="M1544" s="13"/>
      <c r="N1544" s="13" t="str">
        <f>IFERROR(__xludf.DUMMYFUNCTION("""COMPUTED_VALUE"""),"")</f>
        <v/>
      </c>
      <c r="O1544" s="13" t="str">
        <f t="shared" si="1"/>
        <v/>
      </c>
    </row>
    <row r="1545" ht="22.5" customHeight="1">
      <c r="B1545" s="13">
        <f>IFERROR(__xludf.DUMMYFUNCTION("""COMPUTED_VALUE"""),1540.0)</f>
        <v>1540</v>
      </c>
      <c r="C1545" s="13" t="str">
        <f>IFERROR(__xludf.DUMMYFUNCTION("""COMPUTED_VALUE"""),"M. 1901/ Rajabasa Jaya")</f>
        <v>M. 1901/ Rajabasa Jaya</v>
      </c>
      <c r="D1545" s="13" t="str">
        <f>IFERROR(__xludf.DUMMYFUNCTION("""COMPUTED_VALUE"""),"K/36/110325/1")</f>
        <v>K/36/110325/1</v>
      </c>
      <c r="E1545" s="14" t="str">
        <f>IFERROR(__xludf.DUMMYFUNCTION("""COMPUTED_VALUE"""),"Afriza (BT)")</f>
        <v>Afriza (BT)</v>
      </c>
      <c r="F1545" s="14" t="str">
        <f>IFERROR(__xludf.DUMMYFUNCTION("""COMPUTED_VALUE"""),"SELESAI (VIA PERMOHONAN)")</f>
        <v>SELESAI (VIA PERMOHONAN)</v>
      </c>
      <c r="G1545" s="17">
        <f>IFERROR(__xludf.DUMMYFUNCTION("""COMPUTED_VALUE"""),45734.40520324074)</f>
        <v>45734.4052</v>
      </c>
      <c r="H1545" s="14" t="str">
        <f>IFERROR(__xludf.DUMMYFUNCTION("""COMPUTED_VALUE"""),"Bu Eva (SU)")</f>
        <v>Bu Eva (SU)</v>
      </c>
      <c r="I1545" s="13" t="str">
        <f>IFERROR(__xludf.DUMMYFUNCTION("""COMPUTED_VALUE"""),"SELESAI (VIA PERMOHONAN)")</f>
        <v>SELESAI (VIA PERMOHONAN)</v>
      </c>
      <c r="J1545" s="17">
        <f>IFERROR(__xludf.DUMMYFUNCTION("""COMPUTED_VALUE"""),45736.59871521991)</f>
        <v>45736.59872</v>
      </c>
      <c r="K1545" s="13" t="str">
        <f>IFERROR(__xludf.DUMMYFUNCTION("""COMPUTED_VALUE"""),"Selesai")</f>
        <v>Selesai</v>
      </c>
      <c r="L1545" s="17">
        <f>IFERROR(__xludf.DUMMYFUNCTION("""COMPUTED_VALUE"""),45736.59871521991)</f>
        <v>45736.59872</v>
      </c>
      <c r="M1545" s="13"/>
      <c r="N1545" s="13" t="str">
        <f>IFERROR(__xludf.DUMMYFUNCTION("""COMPUTED_VALUE"""),"")</f>
        <v/>
      </c>
      <c r="O1545" s="13" t="str">
        <f t="shared" si="1"/>
        <v/>
      </c>
    </row>
    <row r="1546" ht="22.5" customHeight="1">
      <c r="B1546" s="13">
        <f>IFERROR(__xludf.DUMMYFUNCTION("""COMPUTED_VALUE"""),1541.0)</f>
        <v>1541</v>
      </c>
      <c r="C1546" s="13" t="str">
        <f>IFERROR(__xludf.DUMMYFUNCTION("""COMPUTED_VALUE"""),"M. 2283/ Sepang Jaya")</f>
        <v>M. 2283/ Sepang Jaya</v>
      </c>
      <c r="D1546" s="13" t="str">
        <f>IFERROR(__xludf.DUMMYFUNCTION("""COMPUTED_VALUE"""),"K/37/110325/2")</f>
        <v>K/37/110325/2</v>
      </c>
      <c r="E1546" s="14" t="str">
        <f>IFERROR(__xludf.DUMMYFUNCTION("""COMPUTED_VALUE"""),"Afriza (BT)")</f>
        <v>Afriza (BT)</v>
      </c>
      <c r="F1546" s="14" t="str">
        <f>IFERROR(__xludf.DUMMYFUNCTION("""COMPUTED_VALUE"""),"SELESAI (VIA PERMOHONAN)")</f>
        <v>SELESAI (VIA PERMOHONAN)</v>
      </c>
      <c r="G1546" s="17">
        <f>IFERROR(__xludf.DUMMYFUNCTION("""COMPUTED_VALUE"""),45734.40617803241)</f>
        <v>45734.40618</v>
      </c>
      <c r="H1546" s="14" t="str">
        <f>IFERROR(__xludf.DUMMYFUNCTION("""COMPUTED_VALUE"""),"Bu Eva (SU)")</f>
        <v>Bu Eva (SU)</v>
      </c>
      <c r="I1546" s="13" t="str">
        <f>IFERROR(__xludf.DUMMYFUNCTION("""COMPUTED_VALUE"""),"SELESAI (VIA PERMOHONAN)")</f>
        <v>SELESAI (VIA PERMOHONAN)</v>
      </c>
      <c r="J1546" s="17">
        <f>IFERROR(__xludf.DUMMYFUNCTION("""COMPUTED_VALUE"""),45736.59871521991)</f>
        <v>45736.59872</v>
      </c>
      <c r="K1546" s="13" t="str">
        <f>IFERROR(__xludf.DUMMYFUNCTION("""COMPUTED_VALUE"""),"Selesai")</f>
        <v>Selesai</v>
      </c>
      <c r="L1546" s="17">
        <f>IFERROR(__xludf.DUMMYFUNCTION("""COMPUTED_VALUE"""),45736.59871521991)</f>
        <v>45736.59872</v>
      </c>
      <c r="M1546" s="13"/>
      <c r="N1546" s="13" t="str">
        <f>IFERROR(__xludf.DUMMYFUNCTION("""COMPUTED_VALUE"""),"")</f>
        <v/>
      </c>
      <c r="O1546" s="13" t="str">
        <f t="shared" si="1"/>
        <v/>
      </c>
    </row>
    <row r="1547" ht="22.5" customHeight="1">
      <c r="B1547" s="13">
        <f>IFERROR(__xludf.DUMMYFUNCTION("""COMPUTED_VALUE"""),1542.0)</f>
        <v>1542</v>
      </c>
      <c r="C1547" s="13" t="str">
        <f>IFERROR(__xludf.DUMMYFUNCTION("""COMPUTED_VALUE"""),"M. 1685/ Kupang Kota")</f>
        <v>M. 1685/ Kupang Kota</v>
      </c>
      <c r="D1547" s="13" t="str">
        <f>IFERROR(__xludf.DUMMYFUNCTION("""COMPUTED_VALUE"""),"K/3/120325/1")</f>
        <v>K/3/120325/1</v>
      </c>
      <c r="E1547" s="14" t="str">
        <f>IFERROR(__xludf.DUMMYFUNCTION("""COMPUTED_VALUE"""),"Afriza (BT)")</f>
        <v>Afriza (BT)</v>
      </c>
      <c r="F1547" s="14" t="str">
        <f>IFERROR(__xludf.DUMMYFUNCTION("""COMPUTED_VALUE"""),"SELESAI (VIA PERMOHONAN)")</f>
        <v>SELESAI (VIA PERMOHONAN)</v>
      </c>
      <c r="G1547" s="17">
        <f>IFERROR(__xludf.DUMMYFUNCTION("""COMPUTED_VALUE"""),45734.40657665509)</f>
        <v>45734.40658</v>
      </c>
      <c r="H1547" s="14" t="str">
        <f>IFERROR(__xludf.DUMMYFUNCTION("""COMPUTED_VALUE"""),"Bu Eva (SU)")</f>
        <v>Bu Eva (SU)</v>
      </c>
      <c r="I1547" s="13" t="str">
        <f>IFERROR(__xludf.DUMMYFUNCTION("""COMPUTED_VALUE"""),"SELESAI (VIA PERMOHONAN)")</f>
        <v>SELESAI (VIA PERMOHONAN)</v>
      </c>
      <c r="J1547" s="17">
        <f>IFERROR(__xludf.DUMMYFUNCTION("""COMPUTED_VALUE"""),45736.59871521991)</f>
        <v>45736.59872</v>
      </c>
      <c r="K1547" s="13" t="str">
        <f>IFERROR(__xludf.DUMMYFUNCTION("""COMPUTED_VALUE"""),"Selesai")</f>
        <v>Selesai</v>
      </c>
      <c r="L1547" s="17">
        <f>IFERROR(__xludf.DUMMYFUNCTION("""COMPUTED_VALUE"""),45736.59871521991)</f>
        <v>45736.59872</v>
      </c>
      <c r="M1547" s="13"/>
      <c r="N1547" s="13" t="str">
        <f>IFERROR(__xludf.DUMMYFUNCTION("""COMPUTED_VALUE"""),"")</f>
        <v/>
      </c>
      <c r="O1547" s="13" t="str">
        <f t="shared" si="1"/>
        <v/>
      </c>
    </row>
    <row r="1548" ht="22.5" customHeight="1">
      <c r="B1548" s="13">
        <f>IFERROR(__xludf.DUMMYFUNCTION("""COMPUTED_VALUE"""),1543.0)</f>
        <v>1543</v>
      </c>
      <c r="C1548" s="13" t="str">
        <f>IFERROR(__xludf.DUMMYFUNCTION("""COMPUTED_VALUE"""),"M. 9712/ Kampung Baru")</f>
        <v>M. 9712/ Kampung Baru</v>
      </c>
      <c r="D1548" s="13" t="str">
        <f>IFERROR(__xludf.DUMMYFUNCTION("""COMPUTED_VALUE"""),"K/39/120325/1")</f>
        <v>K/39/120325/1</v>
      </c>
      <c r="E1548" s="14" t="str">
        <f>IFERROR(__xludf.DUMMYFUNCTION("""COMPUTED_VALUE"""),"Afriza (BT)")</f>
        <v>Afriza (BT)</v>
      </c>
      <c r="F1548" s="14" t="str">
        <f>IFERROR(__xludf.DUMMYFUNCTION("""COMPUTED_VALUE"""),"SELESAI (VIA PERMOHONAN)")</f>
        <v>SELESAI (VIA PERMOHONAN)</v>
      </c>
      <c r="G1548" s="17">
        <f>IFERROR(__xludf.DUMMYFUNCTION("""COMPUTED_VALUE"""),45734.407699166666)</f>
        <v>45734.4077</v>
      </c>
      <c r="H1548" s="14" t="str">
        <f>IFERROR(__xludf.DUMMYFUNCTION("""COMPUTED_VALUE"""),"Bu Eva (SU)")</f>
        <v>Bu Eva (SU)</v>
      </c>
      <c r="I1548" s="13" t="str">
        <f>IFERROR(__xludf.DUMMYFUNCTION("""COMPUTED_VALUE"""),"SELESAI (VIA PERMOHONAN)")</f>
        <v>SELESAI (VIA PERMOHONAN)</v>
      </c>
      <c r="J1548" s="17">
        <f>IFERROR(__xludf.DUMMYFUNCTION("""COMPUTED_VALUE"""),45736.59871523148)</f>
        <v>45736.59872</v>
      </c>
      <c r="K1548" s="13" t="str">
        <f>IFERROR(__xludf.DUMMYFUNCTION("""COMPUTED_VALUE"""),"Selesai")</f>
        <v>Selesai</v>
      </c>
      <c r="L1548" s="17">
        <f>IFERROR(__xludf.DUMMYFUNCTION("""COMPUTED_VALUE"""),45736.59871523148)</f>
        <v>45736.59872</v>
      </c>
      <c r="M1548" s="13"/>
      <c r="N1548" s="13" t="str">
        <f>IFERROR(__xludf.DUMMYFUNCTION("""COMPUTED_VALUE"""),"")</f>
        <v/>
      </c>
      <c r="O1548" s="13" t="str">
        <f t="shared" si="1"/>
        <v/>
      </c>
    </row>
    <row r="1549" ht="22.5" customHeight="1">
      <c r="B1549" s="13">
        <f>IFERROR(__xludf.DUMMYFUNCTION("""COMPUTED_VALUE"""),1544.0)</f>
        <v>1544</v>
      </c>
      <c r="C1549" s="13" t="str">
        <f>IFERROR(__xludf.DUMMYFUNCTION("""COMPUTED_VALUE"""),"M. 1480/ Bakung")</f>
        <v>M. 1480/ Bakung</v>
      </c>
      <c r="D1549" s="13" t="str">
        <f>IFERROR(__xludf.DUMMYFUNCTION("""COMPUTED_VALUE"""),"K/21/060325/2")</f>
        <v>K/21/060325/2</v>
      </c>
      <c r="E1549" s="14" t="str">
        <f>IFERROR(__xludf.DUMMYFUNCTION("""COMPUTED_VALUE"""),"Afriza (BT)")</f>
        <v>Afriza (BT)</v>
      </c>
      <c r="F1549" s="14" t="str">
        <f>IFERROR(__xludf.DUMMYFUNCTION("""COMPUTED_VALUE"""),"SELESAI (VIA PERMOHONAN)")</f>
        <v>SELESAI (VIA PERMOHONAN)</v>
      </c>
      <c r="G1549" s="17">
        <f>IFERROR(__xludf.DUMMYFUNCTION("""COMPUTED_VALUE"""),45734.40812548611)</f>
        <v>45734.40813</v>
      </c>
      <c r="H1549" s="14" t="str">
        <f>IFERROR(__xludf.DUMMYFUNCTION("""COMPUTED_VALUE"""),"Bu Eva (SU)")</f>
        <v>Bu Eva (SU)</v>
      </c>
      <c r="I1549" s="13" t="str">
        <f>IFERROR(__xludf.DUMMYFUNCTION("""COMPUTED_VALUE"""),"SELESAI (VIA PERMOHONAN)")</f>
        <v>SELESAI (VIA PERMOHONAN)</v>
      </c>
      <c r="J1549" s="17">
        <f>IFERROR(__xludf.DUMMYFUNCTION("""COMPUTED_VALUE"""),45736.59871523148)</f>
        <v>45736.59872</v>
      </c>
      <c r="K1549" s="13" t="str">
        <f>IFERROR(__xludf.DUMMYFUNCTION("""COMPUTED_VALUE"""),"Selesai")</f>
        <v>Selesai</v>
      </c>
      <c r="L1549" s="17">
        <f>IFERROR(__xludf.DUMMYFUNCTION("""COMPUTED_VALUE"""),45736.59871523148)</f>
        <v>45736.59872</v>
      </c>
      <c r="M1549" s="13"/>
      <c r="N1549" s="13" t="str">
        <f>IFERROR(__xludf.DUMMYFUNCTION("""COMPUTED_VALUE"""),"")</f>
        <v/>
      </c>
      <c r="O1549" s="13" t="str">
        <f t="shared" si="1"/>
        <v/>
      </c>
    </row>
    <row r="1550" ht="22.5" customHeight="1">
      <c r="B1550" s="13">
        <f>IFERROR(__xludf.DUMMYFUNCTION("""COMPUTED_VALUE"""),1545.0)</f>
        <v>1545</v>
      </c>
      <c r="C1550" s="13" t="str">
        <f>IFERROR(__xludf.DUMMYFUNCTION("""COMPUTED_VALUE"""),"M. 2148/ Sukarame Baru")</f>
        <v>M. 2148/ Sukarame Baru</v>
      </c>
      <c r="D1550" s="13" t="str">
        <f>IFERROR(__xludf.DUMMYFUNCTION("""COMPUTED_VALUE"""),"K/22/260225/1")</f>
        <v>K/22/260225/1</v>
      </c>
      <c r="E1550" s="14" t="str">
        <f>IFERROR(__xludf.DUMMYFUNCTION("""COMPUTED_VALUE"""),"Afriza (BT)")</f>
        <v>Afriza (BT)</v>
      </c>
      <c r="F1550" s="14" t="str">
        <f>IFERROR(__xludf.DUMMYFUNCTION("""COMPUTED_VALUE"""),"SELESAI (VIA PERMOHONAN)")</f>
        <v>SELESAI (VIA PERMOHONAN)</v>
      </c>
      <c r="G1550" s="17">
        <f>IFERROR(__xludf.DUMMYFUNCTION("""COMPUTED_VALUE"""),45734.40858837963)</f>
        <v>45734.40859</v>
      </c>
      <c r="H1550" s="14" t="str">
        <f>IFERROR(__xludf.DUMMYFUNCTION("""COMPUTED_VALUE"""),"Bu Eva (SU)")</f>
        <v>Bu Eva (SU)</v>
      </c>
      <c r="I1550" s="13" t="str">
        <f>IFERROR(__xludf.DUMMYFUNCTION("""COMPUTED_VALUE"""),"SELESAI (VIA PERMOHONAN)")</f>
        <v>SELESAI (VIA PERMOHONAN)</v>
      </c>
      <c r="J1550" s="17">
        <f>IFERROR(__xludf.DUMMYFUNCTION("""COMPUTED_VALUE"""),45736.59871523148)</f>
        <v>45736.59872</v>
      </c>
      <c r="K1550" s="13" t="str">
        <f>IFERROR(__xludf.DUMMYFUNCTION("""COMPUTED_VALUE"""),"Selesai")</f>
        <v>Selesai</v>
      </c>
      <c r="L1550" s="17">
        <f>IFERROR(__xludf.DUMMYFUNCTION("""COMPUTED_VALUE"""),45736.59871523148)</f>
        <v>45736.59872</v>
      </c>
      <c r="M1550" s="13"/>
      <c r="N1550" s="13" t="str">
        <f>IFERROR(__xludf.DUMMYFUNCTION("""COMPUTED_VALUE"""),"")</f>
        <v/>
      </c>
      <c r="O1550" s="13" t="str">
        <f t="shared" si="1"/>
        <v/>
      </c>
    </row>
    <row r="1551" ht="22.5" customHeight="1">
      <c r="B1551" s="13">
        <f>IFERROR(__xludf.DUMMYFUNCTION("""COMPUTED_VALUE"""),1546.0)</f>
        <v>1546</v>
      </c>
      <c r="C1551" s="13" t="str">
        <f>IFERROR(__xludf.DUMMYFUNCTION("""COMPUTED_VALUE"""),"B. 89/ Pengajaran")</f>
        <v>B. 89/ Pengajaran</v>
      </c>
      <c r="D1551" s="13" t="str">
        <f>IFERROR(__xludf.DUMMYFUNCTION("""COMPUTED_VALUE"""),"K/11/130225/1")</f>
        <v>K/11/130225/1</v>
      </c>
      <c r="E1551" s="14" t="str">
        <f>IFERROR(__xludf.DUMMYFUNCTION("""COMPUTED_VALUE"""),"Afriza (BT)")</f>
        <v>Afriza (BT)</v>
      </c>
      <c r="F1551" s="14" t="str">
        <f>IFERROR(__xludf.DUMMYFUNCTION("""COMPUTED_VALUE"""),"SELESAI (VIA PERMOHONAN)")</f>
        <v>SELESAI (VIA PERMOHONAN)</v>
      </c>
      <c r="G1551" s="17">
        <f>IFERROR(__xludf.DUMMYFUNCTION("""COMPUTED_VALUE"""),45734.40876356482)</f>
        <v>45734.40876</v>
      </c>
      <c r="H1551" s="14" t="str">
        <f>IFERROR(__xludf.DUMMYFUNCTION("""COMPUTED_VALUE"""),"Bu Eva (SU)")</f>
        <v>Bu Eva (SU)</v>
      </c>
      <c r="I1551" s="13" t="str">
        <f>IFERROR(__xludf.DUMMYFUNCTION("""COMPUTED_VALUE"""),"SELESAI (VIA PERMOHONAN)")</f>
        <v>SELESAI (VIA PERMOHONAN)</v>
      </c>
      <c r="J1551" s="17">
        <f>IFERROR(__xludf.DUMMYFUNCTION("""COMPUTED_VALUE"""),45736.59871523148)</f>
        <v>45736.59872</v>
      </c>
      <c r="K1551" s="13" t="str">
        <f>IFERROR(__xludf.DUMMYFUNCTION("""COMPUTED_VALUE"""),"Selesai")</f>
        <v>Selesai</v>
      </c>
      <c r="L1551" s="17">
        <f>IFERROR(__xludf.DUMMYFUNCTION("""COMPUTED_VALUE"""),45736.59871523148)</f>
        <v>45736.59872</v>
      </c>
      <c r="M1551" s="13"/>
      <c r="N1551" s="13" t="str">
        <f>IFERROR(__xludf.DUMMYFUNCTION("""COMPUTED_VALUE"""),"")</f>
        <v/>
      </c>
      <c r="O1551" s="13" t="str">
        <f t="shared" si="1"/>
        <v/>
      </c>
    </row>
    <row r="1552" ht="22.5" customHeight="1">
      <c r="B1552" s="13">
        <f>IFERROR(__xludf.DUMMYFUNCTION("""COMPUTED_VALUE"""),1547.0)</f>
        <v>1547</v>
      </c>
      <c r="C1552" s="13" t="str">
        <f>IFERROR(__xludf.DUMMYFUNCTION("""COMPUTED_VALUE"""),"B. 158/ Labuhan Ratu Raya")</f>
        <v>B. 158/ Labuhan Ratu Raya</v>
      </c>
      <c r="D1552" s="13" t="str">
        <f>IFERROR(__xludf.DUMMYFUNCTION("""COMPUTED_VALUE"""),"K/13/200225/1")</f>
        <v>K/13/200225/1</v>
      </c>
      <c r="E1552" s="14" t="str">
        <f>IFERROR(__xludf.DUMMYFUNCTION("""COMPUTED_VALUE"""),"Afriza (BT)")</f>
        <v>Afriza (BT)</v>
      </c>
      <c r="F1552" s="14" t="str">
        <f>IFERROR(__xludf.DUMMYFUNCTION("""COMPUTED_VALUE"""),"SELESAI (VIA PERMOHONAN)")</f>
        <v>SELESAI (VIA PERMOHONAN)</v>
      </c>
      <c r="G1552" s="17">
        <f>IFERROR(__xludf.DUMMYFUNCTION("""COMPUTED_VALUE"""),45734.40946751158)</f>
        <v>45734.40947</v>
      </c>
      <c r="H1552" s="14" t="str">
        <f>IFERROR(__xludf.DUMMYFUNCTION("""COMPUTED_VALUE"""),"Bu Eva (SU)")</f>
        <v>Bu Eva (SU)</v>
      </c>
      <c r="I1552" s="13" t="str">
        <f>IFERROR(__xludf.DUMMYFUNCTION("""COMPUTED_VALUE"""),"SELESAI (VIA PERMOHONAN)")</f>
        <v>SELESAI (VIA PERMOHONAN)</v>
      </c>
      <c r="J1552" s="17">
        <f>IFERROR(__xludf.DUMMYFUNCTION("""COMPUTED_VALUE"""),45736.59871523148)</f>
        <v>45736.59872</v>
      </c>
      <c r="K1552" s="13" t="str">
        <f>IFERROR(__xludf.DUMMYFUNCTION("""COMPUTED_VALUE"""),"Selesai")</f>
        <v>Selesai</v>
      </c>
      <c r="L1552" s="17">
        <f>IFERROR(__xludf.DUMMYFUNCTION("""COMPUTED_VALUE"""),45736.59871523148)</f>
        <v>45736.59872</v>
      </c>
      <c r="M1552" s="13"/>
      <c r="N1552" s="13" t="str">
        <f>IFERROR(__xludf.DUMMYFUNCTION("""COMPUTED_VALUE"""),"")</f>
        <v/>
      </c>
      <c r="O1552" s="13" t="str">
        <f t="shared" si="1"/>
        <v/>
      </c>
    </row>
    <row r="1553" ht="22.5" customHeight="1">
      <c r="B1553" s="13">
        <f>IFERROR(__xludf.DUMMYFUNCTION("""COMPUTED_VALUE"""),1548.0)</f>
        <v>1548</v>
      </c>
      <c r="C1553" s="13" t="str">
        <f>IFERROR(__xludf.DUMMYFUNCTION("""COMPUTED_VALUE"""),"M. 10376/ Gedung meneng-")</f>
        <v>M. 10376/ Gedung meneng-</v>
      </c>
      <c r="D1553" s="13" t="str">
        <f>IFERROR(__xludf.DUMMYFUNCTION("""COMPUTED_VALUE"""),"K/14/100325/1")</f>
        <v>K/14/100325/1</v>
      </c>
      <c r="E1553" s="14" t="str">
        <f>IFERROR(__xludf.DUMMYFUNCTION("""COMPUTED_VALUE"""),"Afriza (BT)")</f>
        <v>Afriza (BT)</v>
      </c>
      <c r="F1553" s="14" t="str">
        <f>IFERROR(__xludf.DUMMYFUNCTION("""COMPUTED_VALUE"""),"SELESAI (VIA PERMOHONAN)")</f>
        <v>SELESAI (VIA PERMOHONAN)</v>
      </c>
      <c r="G1553" s="17">
        <f>IFERROR(__xludf.DUMMYFUNCTION("""COMPUTED_VALUE"""),45734.40958666667)</f>
        <v>45734.40959</v>
      </c>
      <c r="H1553" s="14" t="str">
        <f>IFERROR(__xludf.DUMMYFUNCTION("""COMPUTED_VALUE"""),"Bu Eva (SU)")</f>
        <v>Bu Eva (SU)</v>
      </c>
      <c r="I1553" s="13" t="str">
        <f>IFERROR(__xludf.DUMMYFUNCTION("""COMPUTED_VALUE"""),"SELESAI (VIA PERMOHONAN)")</f>
        <v>SELESAI (VIA PERMOHONAN)</v>
      </c>
      <c r="J1553" s="17">
        <f>IFERROR(__xludf.DUMMYFUNCTION("""COMPUTED_VALUE"""),45736.59871523148)</f>
        <v>45736.59872</v>
      </c>
      <c r="K1553" s="13" t="str">
        <f>IFERROR(__xludf.DUMMYFUNCTION("""COMPUTED_VALUE"""),"Selesai")</f>
        <v>Selesai</v>
      </c>
      <c r="L1553" s="17">
        <f>IFERROR(__xludf.DUMMYFUNCTION("""COMPUTED_VALUE"""),45736.59871523148)</f>
        <v>45736.59872</v>
      </c>
      <c r="M1553" s="13"/>
      <c r="N1553" s="13" t="str">
        <f>IFERROR(__xludf.DUMMYFUNCTION("""COMPUTED_VALUE"""),"")</f>
        <v/>
      </c>
      <c r="O1553" s="13" t="str">
        <f t="shared" si="1"/>
        <v/>
      </c>
    </row>
    <row r="1554" ht="22.5" customHeight="1">
      <c r="B1554" s="13">
        <f>IFERROR(__xludf.DUMMYFUNCTION("""COMPUTED_VALUE"""),1549.0)</f>
        <v>1549</v>
      </c>
      <c r="C1554" s="13" t="str">
        <f>IFERROR(__xludf.DUMMYFUNCTION("""COMPUTED_VALUE"""),"M. 9465/ Jagabaya II")</f>
        <v>M. 9465/ Jagabaya II</v>
      </c>
      <c r="D1554" s="13" t="str">
        <f>IFERROR(__xludf.DUMMYFUNCTION("""COMPUTED_VALUE"""),"K/17/270225/1")</f>
        <v>K/17/270225/1</v>
      </c>
      <c r="E1554" s="14" t="str">
        <f>IFERROR(__xludf.DUMMYFUNCTION("""COMPUTED_VALUE"""),"Afriza (BT)")</f>
        <v>Afriza (BT)</v>
      </c>
      <c r="F1554" s="14" t="str">
        <f>IFERROR(__xludf.DUMMYFUNCTION("""COMPUTED_VALUE"""),"SELESAI (VIA PERMOHONAN)")</f>
        <v>SELESAI (VIA PERMOHONAN)</v>
      </c>
      <c r="G1554" s="17">
        <f>IFERROR(__xludf.DUMMYFUNCTION("""COMPUTED_VALUE"""),45734.40987209491)</f>
        <v>45734.40987</v>
      </c>
      <c r="H1554" s="14" t="str">
        <f>IFERROR(__xludf.DUMMYFUNCTION("""COMPUTED_VALUE"""),"Bu Eva (SU)")</f>
        <v>Bu Eva (SU)</v>
      </c>
      <c r="I1554" s="13" t="str">
        <f>IFERROR(__xludf.DUMMYFUNCTION("""COMPUTED_VALUE"""),"SELESAI (VIA PERMOHONAN)")</f>
        <v>SELESAI (VIA PERMOHONAN)</v>
      </c>
      <c r="J1554" s="17">
        <f>IFERROR(__xludf.DUMMYFUNCTION("""COMPUTED_VALUE"""),45736.59871523148)</f>
        <v>45736.59872</v>
      </c>
      <c r="K1554" s="13" t="str">
        <f>IFERROR(__xludf.DUMMYFUNCTION("""COMPUTED_VALUE"""),"Selesai")</f>
        <v>Selesai</v>
      </c>
      <c r="L1554" s="17">
        <f>IFERROR(__xludf.DUMMYFUNCTION("""COMPUTED_VALUE"""),45736.59871523148)</f>
        <v>45736.59872</v>
      </c>
      <c r="M1554" s="13"/>
      <c r="N1554" s="13" t="str">
        <f>IFERROR(__xludf.DUMMYFUNCTION("""COMPUTED_VALUE"""),"")</f>
        <v/>
      </c>
      <c r="O1554" s="13" t="str">
        <f t="shared" si="1"/>
        <v/>
      </c>
    </row>
    <row r="1555" ht="22.5" customHeight="1">
      <c r="B1555" s="13">
        <f>IFERROR(__xludf.DUMMYFUNCTION("""COMPUTED_VALUE"""),1550.0)</f>
        <v>1550</v>
      </c>
      <c r="C1555" s="13" t="str">
        <f>IFERROR(__xludf.DUMMYFUNCTION("""COMPUTED_VALUE"""),"M.2584/GEDONG AIR")</f>
        <v>M.2584/GEDONG AIR</v>
      </c>
      <c r="D1555" s="13" t="str">
        <f>IFERROR(__xludf.DUMMYFUNCTION("""COMPUTED_VALUE"""),"K/45/210225/2")</f>
        <v>K/45/210225/2</v>
      </c>
      <c r="E1555" s="14" t="str">
        <f>IFERROR(__xludf.DUMMYFUNCTION("""COMPUTED_VALUE"""),"Nadian (BT)")</f>
        <v>Nadian (BT)</v>
      </c>
      <c r="F1555" s="14" t="str">
        <f>IFERROR(__xludf.DUMMYFUNCTION("""COMPUTED_VALUE"""),"SELESAI (VIA PERMOHONAN)")</f>
        <v>SELESAI (VIA PERMOHONAN)</v>
      </c>
      <c r="G1555" s="17">
        <f>IFERROR(__xludf.DUMMYFUNCTION("""COMPUTED_VALUE"""),45734.58309591435)</f>
        <v>45734.5831</v>
      </c>
      <c r="H1555" s="14" t="str">
        <f>IFERROR(__xludf.DUMMYFUNCTION("""COMPUTED_VALUE"""),"Bu Eva (SU)")</f>
        <v>Bu Eva (SU)</v>
      </c>
      <c r="I1555" s="13" t="str">
        <f>IFERROR(__xludf.DUMMYFUNCTION("""COMPUTED_VALUE"""),"SELESAI (VIA PERMOHONAN)")</f>
        <v>SELESAI (VIA PERMOHONAN)</v>
      </c>
      <c r="J1555" s="17">
        <f>IFERROR(__xludf.DUMMYFUNCTION("""COMPUTED_VALUE"""),45736.59875306713)</f>
        <v>45736.59875</v>
      </c>
      <c r="K1555" s="13" t="str">
        <f>IFERROR(__xludf.DUMMYFUNCTION("""COMPUTED_VALUE"""),"Selesai")</f>
        <v>Selesai</v>
      </c>
      <c r="L1555" s="17">
        <f>IFERROR(__xludf.DUMMYFUNCTION("""COMPUTED_VALUE"""),45736.59875306713)</f>
        <v>45736.59875</v>
      </c>
      <c r="M1555" s="13"/>
      <c r="N1555" s="13" t="str">
        <f>IFERROR(__xludf.DUMMYFUNCTION("""COMPUTED_VALUE"""),"")</f>
        <v/>
      </c>
      <c r="O1555" s="13" t="str">
        <f t="shared" si="1"/>
        <v/>
      </c>
    </row>
    <row r="1556" ht="22.5" customHeight="1">
      <c r="B1556" s="13">
        <f>IFERROR(__xludf.DUMMYFUNCTION("""COMPUTED_VALUE"""),1551.0)</f>
        <v>1551</v>
      </c>
      <c r="C1556" s="13" t="str">
        <f>IFERROR(__xludf.DUMMYFUNCTION("""COMPUTED_VALUE"""),"M.676/LABUHAN DALAM")</f>
        <v>M.676/LABUHAN DALAM</v>
      </c>
      <c r="D1556" s="13" t="str">
        <f>IFERROR(__xludf.DUMMYFUNCTION("""COMPUTED_VALUE"""),"K/46/110325/1")</f>
        <v>K/46/110325/1</v>
      </c>
      <c r="E1556" s="14" t="str">
        <f>IFERROR(__xludf.DUMMYFUNCTION("""COMPUTED_VALUE"""),"Nadian (BT)")</f>
        <v>Nadian (BT)</v>
      </c>
      <c r="F1556" s="14" t="str">
        <f>IFERROR(__xludf.DUMMYFUNCTION("""COMPUTED_VALUE"""),"SELESAI (VIA PERMOHONAN)")</f>
        <v>SELESAI (VIA PERMOHONAN)</v>
      </c>
      <c r="G1556" s="17">
        <f>IFERROR(__xludf.DUMMYFUNCTION("""COMPUTED_VALUE"""),45734.583132824075)</f>
        <v>45734.58313</v>
      </c>
      <c r="H1556" s="14" t="str">
        <f>IFERROR(__xludf.DUMMYFUNCTION("""COMPUTED_VALUE"""),"Bu Eva (SU)")</f>
        <v>Bu Eva (SU)</v>
      </c>
      <c r="I1556" s="13" t="str">
        <f>IFERROR(__xludf.DUMMYFUNCTION("""COMPUTED_VALUE"""),"SELESAI (VIA PERMOHONAN)")</f>
        <v>SELESAI (VIA PERMOHONAN)</v>
      </c>
      <c r="J1556" s="17">
        <f>IFERROR(__xludf.DUMMYFUNCTION("""COMPUTED_VALUE"""),45736.5987530787)</f>
        <v>45736.59875</v>
      </c>
      <c r="K1556" s="13" t="str">
        <f>IFERROR(__xludf.DUMMYFUNCTION("""COMPUTED_VALUE"""),"Selesai")</f>
        <v>Selesai</v>
      </c>
      <c r="L1556" s="17">
        <f>IFERROR(__xludf.DUMMYFUNCTION("""COMPUTED_VALUE"""),45736.5987530787)</f>
        <v>45736.59875</v>
      </c>
      <c r="M1556" s="13"/>
      <c r="N1556" s="13" t="str">
        <f>IFERROR(__xludf.DUMMYFUNCTION("""COMPUTED_VALUE"""),"")</f>
        <v/>
      </c>
      <c r="O1556" s="13" t="str">
        <f t="shared" si="1"/>
        <v/>
      </c>
    </row>
    <row r="1557" ht="22.5" customHeight="1">
      <c r="B1557" s="13">
        <f>IFERROR(__xludf.DUMMYFUNCTION("""COMPUTED_VALUE"""),1552.0)</f>
        <v>1552</v>
      </c>
      <c r="C1557" s="13" t="str">
        <f>IFERROR(__xludf.DUMMYFUNCTION("""COMPUTED_VALUE"""),"HM 470/TANJUNG GADING")</f>
        <v>HM 470/TANJUNG GADING</v>
      </c>
      <c r="D1557" s="13" t="str">
        <f>IFERROR(__xludf.DUMMYFUNCTION("""COMPUTED_VALUE"""),"L/17/120325/1")</f>
        <v>L/17/120325/1</v>
      </c>
      <c r="E1557" s="14" t="str">
        <f>IFERROR(__xludf.DUMMYFUNCTION("""COMPUTED_VALUE"""),"Nadian (BT)")</f>
        <v>Nadian (BT)</v>
      </c>
      <c r="F1557" s="14" t="str">
        <f>IFERROR(__xludf.DUMMYFUNCTION("""COMPUTED_VALUE"""),"SELESAI (VIA PERMOHONAN)")</f>
        <v>SELESAI (VIA PERMOHONAN)</v>
      </c>
      <c r="G1557" s="17">
        <f>IFERROR(__xludf.DUMMYFUNCTION("""COMPUTED_VALUE"""),45734.583132824075)</f>
        <v>45734.58313</v>
      </c>
      <c r="H1557" s="14" t="str">
        <f>IFERROR(__xludf.DUMMYFUNCTION("""COMPUTED_VALUE"""),"Bu Eva (SU)")</f>
        <v>Bu Eva (SU)</v>
      </c>
      <c r="I1557" s="13" t="str">
        <f>IFERROR(__xludf.DUMMYFUNCTION("""COMPUTED_VALUE"""),"SELESAI (VIA PERMOHONAN)")</f>
        <v>SELESAI (VIA PERMOHONAN)</v>
      </c>
      <c r="J1557" s="17">
        <f>IFERROR(__xludf.DUMMYFUNCTION("""COMPUTED_VALUE"""),45736.5987530787)</f>
        <v>45736.59875</v>
      </c>
      <c r="K1557" s="13" t="str">
        <f>IFERROR(__xludf.DUMMYFUNCTION("""COMPUTED_VALUE"""),"Selesai")</f>
        <v>Selesai</v>
      </c>
      <c r="L1557" s="17">
        <f>IFERROR(__xludf.DUMMYFUNCTION("""COMPUTED_VALUE"""),45736.5987530787)</f>
        <v>45736.59875</v>
      </c>
      <c r="M1557" s="13"/>
      <c r="N1557" s="13" t="str">
        <f>IFERROR(__xludf.DUMMYFUNCTION("""COMPUTED_VALUE"""),"")</f>
        <v/>
      </c>
      <c r="O1557" s="13" t="str">
        <f t="shared" si="1"/>
        <v/>
      </c>
    </row>
    <row r="1558" ht="22.5" customHeight="1">
      <c r="B1558" s="13">
        <f>IFERROR(__xludf.DUMMYFUNCTION("""COMPUTED_VALUE"""),1553.0)</f>
        <v>1553</v>
      </c>
      <c r="C1558" s="13" t="str">
        <f>IFERROR(__xludf.DUMMYFUNCTION("""COMPUTED_VALUE"""),"HM 1695/NOG")</f>
        <v>HM 1695/NOG</v>
      </c>
      <c r="D1558" s="13" t="str">
        <f>IFERROR(__xludf.DUMMYFUNCTION("""COMPUTED_VALUE"""),"L/28/070325/1")</f>
        <v>L/28/070325/1</v>
      </c>
      <c r="E1558" s="14" t="str">
        <f>IFERROR(__xludf.DUMMYFUNCTION("""COMPUTED_VALUE"""),"Nadian (BT)")</f>
        <v>Nadian (BT)</v>
      </c>
      <c r="F1558" s="14" t="str">
        <f>IFERROR(__xludf.DUMMYFUNCTION("""COMPUTED_VALUE"""),"SELESAI (VIA PERMOHONAN)")</f>
        <v>SELESAI (VIA PERMOHONAN)</v>
      </c>
      <c r="G1558" s="17">
        <f>IFERROR(__xludf.DUMMYFUNCTION("""COMPUTED_VALUE"""),45734.583132824075)</f>
        <v>45734.58313</v>
      </c>
      <c r="H1558" s="14" t="str">
        <f>IFERROR(__xludf.DUMMYFUNCTION("""COMPUTED_VALUE"""),"Bu Eva (SU)")</f>
        <v>Bu Eva (SU)</v>
      </c>
      <c r="I1558" s="13" t="str">
        <f>IFERROR(__xludf.DUMMYFUNCTION("""COMPUTED_VALUE"""),"SELESAI (VIA PERMOHONAN)")</f>
        <v>SELESAI (VIA PERMOHONAN)</v>
      </c>
      <c r="J1558" s="17">
        <f>IFERROR(__xludf.DUMMYFUNCTION("""COMPUTED_VALUE"""),45736.5987530787)</f>
        <v>45736.59875</v>
      </c>
      <c r="K1558" s="13" t="str">
        <f>IFERROR(__xludf.DUMMYFUNCTION("""COMPUTED_VALUE"""),"Selesai")</f>
        <v>Selesai</v>
      </c>
      <c r="L1558" s="17">
        <f>IFERROR(__xludf.DUMMYFUNCTION("""COMPUTED_VALUE"""),45736.5987530787)</f>
        <v>45736.59875</v>
      </c>
      <c r="M1558" s="13"/>
      <c r="N1558" s="13" t="str">
        <f>IFERROR(__xludf.DUMMYFUNCTION("""COMPUTED_VALUE"""),"")</f>
        <v/>
      </c>
      <c r="O1558" s="13" t="str">
        <f t="shared" si="1"/>
        <v/>
      </c>
    </row>
    <row r="1559" ht="22.5" customHeight="1">
      <c r="B1559" s="13">
        <f>IFERROR(__xludf.DUMMYFUNCTION("""COMPUTED_VALUE"""),1554.0)</f>
        <v>1554</v>
      </c>
      <c r="C1559" s="13" t="str">
        <f>IFERROR(__xludf.DUMMYFUNCTION("""COMPUTED_VALUE"""),"M,1238/TELUK BETUNG")</f>
        <v>M,1238/TELUK BETUNG</v>
      </c>
      <c r="D1559" s="13" t="str">
        <f>IFERROR(__xludf.DUMMYFUNCTION("""COMPUTED_VALUE"""),"K/31/120325/1")</f>
        <v>K/31/120325/1</v>
      </c>
      <c r="E1559" s="14" t="str">
        <f>IFERROR(__xludf.DUMMYFUNCTION("""COMPUTED_VALUE"""),"Nadian (BT)")</f>
        <v>Nadian (BT)</v>
      </c>
      <c r="F1559" s="14" t="str">
        <f>IFERROR(__xludf.DUMMYFUNCTION("""COMPUTED_VALUE"""),"SELESAI (VIA PERMOHONAN)")</f>
        <v>SELESAI (VIA PERMOHONAN)</v>
      </c>
      <c r="G1559" s="17">
        <f>IFERROR(__xludf.DUMMYFUNCTION("""COMPUTED_VALUE"""),45734.583132824075)</f>
        <v>45734.58313</v>
      </c>
      <c r="H1559" s="14" t="str">
        <f>IFERROR(__xludf.DUMMYFUNCTION("""COMPUTED_VALUE"""),"Bu Eva (SU)")</f>
        <v>Bu Eva (SU)</v>
      </c>
      <c r="I1559" s="13" t="str">
        <f>IFERROR(__xludf.DUMMYFUNCTION("""COMPUTED_VALUE"""),"SELESAI (VIA PERMOHONAN)")</f>
        <v>SELESAI (VIA PERMOHONAN)</v>
      </c>
      <c r="J1559" s="17">
        <f>IFERROR(__xludf.DUMMYFUNCTION("""COMPUTED_VALUE"""),45736.5987530787)</f>
        <v>45736.59875</v>
      </c>
      <c r="K1559" s="13" t="str">
        <f>IFERROR(__xludf.DUMMYFUNCTION("""COMPUTED_VALUE"""),"Selesai")</f>
        <v>Selesai</v>
      </c>
      <c r="L1559" s="17">
        <f>IFERROR(__xludf.DUMMYFUNCTION("""COMPUTED_VALUE"""),45736.5987530787)</f>
        <v>45736.59875</v>
      </c>
      <c r="M1559" s="13"/>
      <c r="N1559" s="13" t="str">
        <f>IFERROR(__xludf.DUMMYFUNCTION("""COMPUTED_VALUE"""),"")</f>
        <v/>
      </c>
      <c r="O1559" s="13" t="str">
        <f t="shared" si="1"/>
        <v/>
      </c>
    </row>
    <row r="1560" ht="22.5" customHeight="1">
      <c r="B1560" s="13">
        <f>IFERROR(__xludf.DUMMYFUNCTION("""COMPUTED_VALUE"""),1555.0)</f>
        <v>1555</v>
      </c>
      <c r="C1560" s="13" t="str">
        <f>IFERROR(__xludf.DUMMYFUNCTION("""COMPUTED_VALUE"""),"M.185/WAY KANDIS")</f>
        <v>M.185/WAY KANDIS</v>
      </c>
      <c r="D1560" s="13" t="str">
        <f>IFERROR(__xludf.DUMMYFUNCTION("""COMPUTED_VALUE"""),"K/14/110325/1")</f>
        <v>K/14/110325/1</v>
      </c>
      <c r="E1560" s="14" t="str">
        <f>IFERROR(__xludf.DUMMYFUNCTION("""COMPUTED_VALUE"""),"Nadian (BT)")</f>
        <v>Nadian (BT)</v>
      </c>
      <c r="F1560" s="14" t="str">
        <f>IFERROR(__xludf.DUMMYFUNCTION("""COMPUTED_VALUE"""),"SELESAI (VIA PERMOHONAN)")</f>
        <v>SELESAI (VIA PERMOHONAN)</v>
      </c>
      <c r="G1560" s="17">
        <f>IFERROR(__xludf.DUMMYFUNCTION("""COMPUTED_VALUE"""),45734.58313283564)</f>
        <v>45734.58313</v>
      </c>
      <c r="H1560" s="14" t="str">
        <f>IFERROR(__xludf.DUMMYFUNCTION("""COMPUTED_VALUE"""),"Bu Eva (SU)")</f>
        <v>Bu Eva (SU)</v>
      </c>
      <c r="I1560" s="13" t="str">
        <f>IFERROR(__xludf.DUMMYFUNCTION("""COMPUTED_VALUE"""),"SELESAI (VIA PERMOHONAN)")</f>
        <v>SELESAI (VIA PERMOHONAN)</v>
      </c>
      <c r="J1560" s="17">
        <f>IFERROR(__xludf.DUMMYFUNCTION("""COMPUTED_VALUE"""),45736.5987530787)</f>
        <v>45736.59875</v>
      </c>
      <c r="K1560" s="13" t="str">
        <f>IFERROR(__xludf.DUMMYFUNCTION("""COMPUTED_VALUE"""),"Selesai")</f>
        <v>Selesai</v>
      </c>
      <c r="L1560" s="17">
        <f>IFERROR(__xludf.DUMMYFUNCTION("""COMPUTED_VALUE"""),45736.5987530787)</f>
        <v>45736.59875</v>
      </c>
      <c r="M1560" s="13"/>
      <c r="N1560" s="13" t="str">
        <f>IFERROR(__xludf.DUMMYFUNCTION("""COMPUTED_VALUE"""),"")</f>
        <v/>
      </c>
      <c r="O1560" s="13" t="str">
        <f t="shared" si="1"/>
        <v/>
      </c>
    </row>
    <row r="1561" ht="22.5" customHeight="1">
      <c r="B1561" s="13">
        <f>IFERROR(__xludf.DUMMYFUNCTION("""COMPUTED_VALUE"""),1556.0)</f>
        <v>1556</v>
      </c>
      <c r="C1561" s="13" t="str">
        <f>IFERROR(__xludf.DUMMYFUNCTION("""COMPUTED_VALUE"""),"M.1628/BUMI KEDAMAIAN")</f>
        <v>M.1628/BUMI KEDAMAIAN</v>
      </c>
      <c r="D1561" s="13" t="str">
        <f>IFERROR(__xludf.DUMMYFUNCTION("""COMPUTED_VALUE"""),"K/38/120325/1")</f>
        <v>K/38/120325/1</v>
      </c>
      <c r="E1561" s="14" t="str">
        <f>IFERROR(__xludf.DUMMYFUNCTION("""COMPUTED_VALUE"""),"Nadian (BT)")</f>
        <v>Nadian (BT)</v>
      </c>
      <c r="F1561" s="14" t="str">
        <f>IFERROR(__xludf.DUMMYFUNCTION("""COMPUTED_VALUE"""),"SELESAI (VIA PERMOHONAN)")</f>
        <v>SELESAI (VIA PERMOHONAN)</v>
      </c>
      <c r="G1561" s="17">
        <f>IFERROR(__xludf.DUMMYFUNCTION("""COMPUTED_VALUE"""),45734.58313283564)</f>
        <v>45734.58313</v>
      </c>
      <c r="H1561" s="14" t="str">
        <f>IFERROR(__xludf.DUMMYFUNCTION("""COMPUTED_VALUE"""),"Bu Eva (SU)")</f>
        <v>Bu Eva (SU)</v>
      </c>
      <c r="I1561" s="13" t="str">
        <f>IFERROR(__xludf.DUMMYFUNCTION("""COMPUTED_VALUE"""),"SELESAI (VIA PERMOHONAN)")</f>
        <v>SELESAI (VIA PERMOHONAN)</v>
      </c>
      <c r="J1561" s="17">
        <f>IFERROR(__xludf.DUMMYFUNCTION("""COMPUTED_VALUE"""),45736.5987530787)</f>
        <v>45736.59875</v>
      </c>
      <c r="K1561" s="13" t="str">
        <f>IFERROR(__xludf.DUMMYFUNCTION("""COMPUTED_VALUE"""),"Selesai")</f>
        <v>Selesai</v>
      </c>
      <c r="L1561" s="17">
        <f>IFERROR(__xludf.DUMMYFUNCTION("""COMPUTED_VALUE"""),45736.5987530787)</f>
        <v>45736.59875</v>
      </c>
      <c r="M1561" s="13"/>
      <c r="N1561" s="13" t="str">
        <f>IFERROR(__xludf.DUMMYFUNCTION("""COMPUTED_VALUE"""),"")</f>
        <v/>
      </c>
      <c r="O1561" s="13" t="str">
        <f t="shared" si="1"/>
        <v/>
      </c>
    </row>
    <row r="1562" ht="22.5" customHeight="1">
      <c r="B1562" s="13">
        <f>IFERROR(__xludf.DUMMYFUNCTION("""COMPUTED_VALUE"""),1557.0)</f>
        <v>1557</v>
      </c>
      <c r="C1562" s="13" t="str">
        <f>IFERROR(__xludf.DUMMYFUNCTION("""COMPUTED_VALUE"""),"M.313/LABUHAN DALAM")</f>
        <v>M.313/LABUHAN DALAM</v>
      </c>
      <c r="D1562" s="13" t="str">
        <f>IFERROR(__xludf.DUMMYFUNCTION("""COMPUTED_VALUE"""),"K/24/030325/1")</f>
        <v>K/24/030325/1</v>
      </c>
      <c r="E1562" s="14" t="str">
        <f>IFERROR(__xludf.DUMMYFUNCTION("""COMPUTED_VALUE"""),"Nadian (BT)")</f>
        <v>Nadian (BT)</v>
      </c>
      <c r="F1562" s="14" t="str">
        <f>IFERROR(__xludf.DUMMYFUNCTION("""COMPUTED_VALUE"""),"SELESAI (VIA PERMOHONAN)")</f>
        <v>SELESAI (VIA PERMOHONAN)</v>
      </c>
      <c r="G1562" s="17">
        <f>IFERROR(__xludf.DUMMYFUNCTION("""COMPUTED_VALUE"""),45734.5831534375)</f>
        <v>45734.58315</v>
      </c>
      <c r="H1562" s="14" t="str">
        <f>IFERROR(__xludf.DUMMYFUNCTION("""COMPUTED_VALUE"""),"Bu Eva (SU)")</f>
        <v>Bu Eva (SU)</v>
      </c>
      <c r="I1562" s="13" t="str">
        <f>IFERROR(__xludf.DUMMYFUNCTION("""COMPUTED_VALUE"""),"SELESAI (VIA PERMOHONAN)")</f>
        <v>SELESAI (VIA PERMOHONAN)</v>
      </c>
      <c r="J1562" s="17">
        <f>IFERROR(__xludf.DUMMYFUNCTION("""COMPUTED_VALUE"""),45736.5987530787)</f>
        <v>45736.59875</v>
      </c>
      <c r="K1562" s="13" t="str">
        <f>IFERROR(__xludf.DUMMYFUNCTION("""COMPUTED_VALUE"""),"Selesai")</f>
        <v>Selesai</v>
      </c>
      <c r="L1562" s="17">
        <f>IFERROR(__xludf.DUMMYFUNCTION("""COMPUTED_VALUE"""),45736.5987530787)</f>
        <v>45736.59875</v>
      </c>
      <c r="M1562" s="13"/>
      <c r="N1562" s="13" t="str">
        <f>IFERROR(__xludf.DUMMYFUNCTION("""COMPUTED_VALUE"""),"")</f>
        <v/>
      </c>
      <c r="O1562" s="13" t="str">
        <f t="shared" si="1"/>
        <v/>
      </c>
    </row>
    <row r="1563" ht="22.5" customHeight="1">
      <c r="B1563" s="13">
        <f>IFERROR(__xludf.DUMMYFUNCTION("""COMPUTED_VALUE"""),1558.0)</f>
        <v>1558</v>
      </c>
      <c r="C1563" s="13" t="str">
        <f>IFERROR(__xludf.DUMMYFUNCTION("""COMPUTED_VALUE"""),"M.12/KOTA SEPANG")</f>
        <v>M.12/KOTA SEPANG</v>
      </c>
      <c r="D1563" s="13" t="str">
        <f>IFERROR(__xludf.DUMMYFUNCTION("""COMPUTED_VALUE"""),"K/32/030325/3")</f>
        <v>K/32/030325/3</v>
      </c>
      <c r="E1563" s="14" t="str">
        <f>IFERROR(__xludf.DUMMYFUNCTION("""COMPUTED_VALUE"""),"Nadian (BT)")</f>
        <v>Nadian (BT)</v>
      </c>
      <c r="F1563" s="14" t="str">
        <f>IFERROR(__xludf.DUMMYFUNCTION("""COMPUTED_VALUE"""),"SELESAI (VIA PERMOHONAN)")</f>
        <v>SELESAI (VIA PERMOHONAN)</v>
      </c>
      <c r="G1563" s="17">
        <f>IFERROR(__xludf.DUMMYFUNCTION("""COMPUTED_VALUE"""),45734.5831534375)</f>
        <v>45734.58315</v>
      </c>
      <c r="H1563" s="14" t="str">
        <f>IFERROR(__xludf.DUMMYFUNCTION("""COMPUTED_VALUE"""),"Bu Eva (SU)")</f>
        <v>Bu Eva (SU)</v>
      </c>
      <c r="I1563" s="13" t="str">
        <f>IFERROR(__xludf.DUMMYFUNCTION("""COMPUTED_VALUE"""),"SELESAI (VIA PERMOHONAN)")</f>
        <v>SELESAI (VIA PERMOHONAN)</v>
      </c>
      <c r="J1563" s="17">
        <f>IFERROR(__xludf.DUMMYFUNCTION("""COMPUTED_VALUE"""),45736.5987530787)</f>
        <v>45736.59875</v>
      </c>
      <c r="K1563" s="13" t="str">
        <f>IFERROR(__xludf.DUMMYFUNCTION("""COMPUTED_VALUE"""),"Selesai")</f>
        <v>Selesai</v>
      </c>
      <c r="L1563" s="17">
        <f>IFERROR(__xludf.DUMMYFUNCTION("""COMPUTED_VALUE"""),45736.5987530787)</f>
        <v>45736.59875</v>
      </c>
      <c r="M1563" s="13"/>
      <c r="N1563" s="13" t="str">
        <f>IFERROR(__xludf.DUMMYFUNCTION("""COMPUTED_VALUE"""),"")</f>
        <v/>
      </c>
      <c r="O1563" s="13" t="str">
        <f t="shared" si="1"/>
        <v/>
      </c>
    </row>
    <row r="1564" ht="22.5" customHeight="1">
      <c r="B1564" s="13">
        <f>IFERROR(__xludf.DUMMYFUNCTION("""COMPUTED_VALUE"""),1559.0)</f>
        <v>1559</v>
      </c>
      <c r="C1564" s="13" t="str">
        <f>IFERROR(__xludf.DUMMYFUNCTION("""COMPUTED_VALUE"""),"M.16051/SUKARAME I")</f>
        <v>M.16051/SUKARAME I</v>
      </c>
      <c r="D1564" s="13" t="str">
        <f>IFERROR(__xludf.DUMMYFUNCTION("""COMPUTED_VALUE"""),"K/24/070325/1")</f>
        <v>K/24/070325/1</v>
      </c>
      <c r="E1564" s="14" t="str">
        <f>IFERROR(__xludf.DUMMYFUNCTION("""COMPUTED_VALUE"""),"Nadian (BT)")</f>
        <v>Nadian (BT)</v>
      </c>
      <c r="F1564" s="14" t="str">
        <f>IFERROR(__xludf.DUMMYFUNCTION("""COMPUTED_VALUE"""),"SELESAI (VIA PERMOHONAN)")</f>
        <v>SELESAI (VIA PERMOHONAN)</v>
      </c>
      <c r="G1564" s="17">
        <f>IFERROR(__xludf.DUMMYFUNCTION("""COMPUTED_VALUE"""),45734.5831534375)</f>
        <v>45734.58315</v>
      </c>
      <c r="H1564" s="14" t="str">
        <f>IFERROR(__xludf.DUMMYFUNCTION("""COMPUTED_VALUE"""),"Bu Eva (SU)")</f>
        <v>Bu Eva (SU)</v>
      </c>
      <c r="I1564" s="13" t="str">
        <f>IFERROR(__xludf.DUMMYFUNCTION("""COMPUTED_VALUE"""),"SELESAI (VIA PERMOHONAN)")</f>
        <v>SELESAI (VIA PERMOHONAN)</v>
      </c>
      <c r="J1564" s="17">
        <f>IFERROR(__xludf.DUMMYFUNCTION("""COMPUTED_VALUE"""),45736.5987530787)</f>
        <v>45736.59875</v>
      </c>
      <c r="K1564" s="13" t="str">
        <f>IFERROR(__xludf.DUMMYFUNCTION("""COMPUTED_VALUE"""),"Selesai")</f>
        <v>Selesai</v>
      </c>
      <c r="L1564" s="17">
        <f>IFERROR(__xludf.DUMMYFUNCTION("""COMPUTED_VALUE"""),45736.5987530787)</f>
        <v>45736.59875</v>
      </c>
      <c r="M1564" s="13"/>
      <c r="N1564" s="13" t="str">
        <f>IFERROR(__xludf.DUMMYFUNCTION("""COMPUTED_VALUE"""),"")</f>
        <v/>
      </c>
      <c r="O1564" s="13" t="str">
        <f t="shared" si="1"/>
        <v/>
      </c>
    </row>
    <row r="1565" ht="22.5" customHeight="1">
      <c r="B1565" s="13">
        <f>IFERROR(__xludf.DUMMYFUNCTION("""COMPUTED_VALUE"""),1560.0)</f>
        <v>1560</v>
      </c>
      <c r="C1565" s="13" t="str">
        <f>IFERROR(__xludf.DUMMYFUNCTION("""COMPUTED_VALUE"""),"M.9955/KAMPUNG BARU")</f>
        <v>M.9955/KAMPUNG BARU</v>
      </c>
      <c r="D1565" s="13" t="str">
        <f>IFERROR(__xludf.DUMMYFUNCTION("""COMPUTED_VALUE"""),"K/2/120325/1")</f>
        <v>K/2/120325/1</v>
      </c>
      <c r="E1565" s="14" t="str">
        <f>IFERROR(__xludf.DUMMYFUNCTION("""COMPUTED_VALUE"""),"Nadian (BT)")</f>
        <v>Nadian (BT)</v>
      </c>
      <c r="F1565" s="14" t="str">
        <f>IFERROR(__xludf.DUMMYFUNCTION("""COMPUTED_VALUE"""),"SELESAI (VIA PERMOHONAN)")</f>
        <v>SELESAI (VIA PERMOHONAN)</v>
      </c>
      <c r="G1565" s="17">
        <f>IFERROR(__xludf.DUMMYFUNCTION("""COMPUTED_VALUE"""),45734.5831534375)</f>
        <v>45734.58315</v>
      </c>
      <c r="H1565" s="14" t="str">
        <f>IFERROR(__xludf.DUMMYFUNCTION("""COMPUTED_VALUE"""),"Bu Eva (SU)")</f>
        <v>Bu Eva (SU)</v>
      </c>
      <c r="I1565" s="13" t="str">
        <f>IFERROR(__xludf.DUMMYFUNCTION("""COMPUTED_VALUE"""),"SELESAI (VIA PERMOHONAN)")</f>
        <v>SELESAI (VIA PERMOHONAN)</v>
      </c>
      <c r="J1565" s="17">
        <f>IFERROR(__xludf.DUMMYFUNCTION("""COMPUTED_VALUE"""),45736.5987530787)</f>
        <v>45736.59875</v>
      </c>
      <c r="K1565" s="13" t="str">
        <f>IFERROR(__xludf.DUMMYFUNCTION("""COMPUTED_VALUE"""),"Selesai")</f>
        <v>Selesai</v>
      </c>
      <c r="L1565" s="17">
        <f>IFERROR(__xludf.DUMMYFUNCTION("""COMPUTED_VALUE"""),45736.5987530787)</f>
        <v>45736.59875</v>
      </c>
      <c r="M1565" s="13"/>
      <c r="N1565" s="13" t="str">
        <f>IFERROR(__xludf.DUMMYFUNCTION("""COMPUTED_VALUE"""),"")</f>
        <v/>
      </c>
      <c r="O1565" s="13" t="str">
        <f t="shared" si="1"/>
        <v/>
      </c>
    </row>
    <row r="1566" ht="22.5" customHeight="1">
      <c r="B1566" s="13">
        <f>IFERROR(__xludf.DUMMYFUNCTION("""COMPUTED_VALUE"""),1561.0)</f>
        <v>1561</v>
      </c>
      <c r="C1566" s="13" t="str">
        <f>IFERROR(__xludf.DUMMYFUNCTION("""COMPUTED_VALUE"""),"B.651/KEMILING PERMAI")</f>
        <v>B.651/KEMILING PERMAI</v>
      </c>
      <c r="D1566" s="13" t="str">
        <f>IFERROR(__xludf.DUMMYFUNCTION("""COMPUTED_VALUE"""),"K/36/060325/1")</f>
        <v>K/36/060325/1</v>
      </c>
      <c r="E1566" s="14" t="str">
        <f>IFERROR(__xludf.DUMMYFUNCTION("""COMPUTED_VALUE"""),"Nadian (BT)")</f>
        <v>Nadian (BT)</v>
      </c>
      <c r="F1566" s="14" t="str">
        <f>IFERROR(__xludf.DUMMYFUNCTION("""COMPUTED_VALUE"""),"SELESAI (VIA PERMOHONAN)")</f>
        <v>SELESAI (VIA PERMOHONAN)</v>
      </c>
      <c r="G1566" s="17">
        <f>IFERROR(__xludf.DUMMYFUNCTION("""COMPUTED_VALUE"""),45734.5831534375)</f>
        <v>45734.58315</v>
      </c>
      <c r="H1566" s="14" t="str">
        <f>IFERROR(__xludf.DUMMYFUNCTION("""COMPUTED_VALUE"""),"Bu Eva (SU)")</f>
        <v>Bu Eva (SU)</v>
      </c>
      <c r="I1566" s="13" t="str">
        <f>IFERROR(__xludf.DUMMYFUNCTION("""COMPUTED_VALUE"""),"SELESAI (VIA PERMOHONAN)")</f>
        <v>SELESAI (VIA PERMOHONAN)</v>
      </c>
      <c r="J1566" s="17">
        <f>IFERROR(__xludf.DUMMYFUNCTION("""COMPUTED_VALUE"""),45736.5987530787)</f>
        <v>45736.59875</v>
      </c>
      <c r="K1566" s="13" t="str">
        <f>IFERROR(__xludf.DUMMYFUNCTION("""COMPUTED_VALUE"""),"Selesai")</f>
        <v>Selesai</v>
      </c>
      <c r="L1566" s="17">
        <f>IFERROR(__xludf.DUMMYFUNCTION("""COMPUTED_VALUE"""),45736.5987530787)</f>
        <v>45736.59875</v>
      </c>
      <c r="M1566" s="13"/>
      <c r="N1566" s="13" t="str">
        <f>IFERROR(__xludf.DUMMYFUNCTION("""COMPUTED_VALUE"""),"")</f>
        <v/>
      </c>
      <c r="O1566" s="13" t="str">
        <f t="shared" si="1"/>
        <v/>
      </c>
    </row>
    <row r="1567" ht="22.5" customHeight="1">
      <c r="B1567" s="13">
        <f>IFERROR(__xludf.DUMMYFUNCTION("""COMPUTED_VALUE"""),1562.0)</f>
        <v>1562</v>
      </c>
      <c r="C1567" s="13" t="str">
        <f>IFERROR(__xludf.DUMMYFUNCTION("""COMPUTED_VALUE"""),"M. 15777/ Sukarame")</f>
        <v>M. 15777/ Sukarame</v>
      </c>
      <c r="D1567" s="13" t="str">
        <f>IFERROR(__xludf.DUMMYFUNCTION("""COMPUTED_VALUE"""),"K/38/110325/3")</f>
        <v>K/38/110325/3</v>
      </c>
      <c r="E1567" s="14" t="str">
        <f>IFERROR(__xludf.DUMMYFUNCTION("""COMPUTED_VALUE"""),"Nadian (BT)")</f>
        <v>Nadian (BT)</v>
      </c>
      <c r="F1567" s="14" t="str">
        <f>IFERROR(__xludf.DUMMYFUNCTION("""COMPUTED_VALUE"""),"SELESAI (VIA PERMOHONAN)")</f>
        <v>SELESAI (VIA PERMOHONAN)</v>
      </c>
      <c r="G1567" s="17">
        <f>IFERROR(__xludf.DUMMYFUNCTION("""COMPUTED_VALUE"""),45734.5831534375)</f>
        <v>45734.58315</v>
      </c>
      <c r="H1567" s="14" t="str">
        <f>IFERROR(__xludf.DUMMYFUNCTION("""COMPUTED_VALUE"""),"Bu Eva (SU)")</f>
        <v>Bu Eva (SU)</v>
      </c>
      <c r="I1567" s="13" t="str">
        <f>IFERROR(__xludf.DUMMYFUNCTION("""COMPUTED_VALUE"""),"SELESAI (VIA PERMOHONAN)")</f>
        <v>SELESAI (VIA PERMOHONAN)</v>
      </c>
      <c r="J1567" s="17">
        <f>IFERROR(__xludf.DUMMYFUNCTION("""COMPUTED_VALUE"""),45736.5987530787)</f>
        <v>45736.59875</v>
      </c>
      <c r="K1567" s="13" t="str">
        <f>IFERROR(__xludf.DUMMYFUNCTION("""COMPUTED_VALUE"""),"Selesai")</f>
        <v>Selesai</v>
      </c>
      <c r="L1567" s="17">
        <f>IFERROR(__xludf.DUMMYFUNCTION("""COMPUTED_VALUE"""),45736.5987530787)</f>
        <v>45736.59875</v>
      </c>
      <c r="M1567" s="13"/>
      <c r="N1567" s="13" t="str">
        <f>IFERROR(__xludf.DUMMYFUNCTION("""COMPUTED_VALUE"""),"")</f>
        <v/>
      </c>
      <c r="O1567" s="13" t="str">
        <f t="shared" si="1"/>
        <v/>
      </c>
    </row>
    <row r="1568" ht="22.5" customHeight="1">
      <c r="B1568" s="13">
        <f>IFERROR(__xludf.DUMMYFUNCTION("""COMPUTED_VALUE"""),1563.0)</f>
        <v>1563</v>
      </c>
      <c r="C1568" s="13" t="str">
        <f>IFERROR(__xludf.DUMMYFUNCTION("""COMPUTED_VALUE"""),"M.352/TANJUNG SENENG")</f>
        <v>M.352/TANJUNG SENENG</v>
      </c>
      <c r="D1568" s="13" t="str">
        <f>IFERROR(__xludf.DUMMYFUNCTION("""COMPUTED_VALUE"""),"K/39/201124/1")</f>
        <v>K/39/201124/1</v>
      </c>
      <c r="E1568" s="14" t="str">
        <f>IFERROR(__xludf.DUMMYFUNCTION("""COMPUTED_VALUE"""),"Nadian (BT)")</f>
        <v>Nadian (BT)</v>
      </c>
      <c r="F1568" s="14" t="str">
        <f>IFERROR(__xludf.DUMMYFUNCTION("""COMPUTED_VALUE"""),"SELESAI (VIA PERMOHONAN)")</f>
        <v>SELESAI (VIA PERMOHONAN)</v>
      </c>
      <c r="G1568" s="17">
        <f>IFERROR(__xludf.DUMMYFUNCTION("""COMPUTED_VALUE"""),45734.5831534375)</f>
        <v>45734.58315</v>
      </c>
      <c r="H1568" s="14" t="str">
        <f>IFERROR(__xludf.DUMMYFUNCTION("""COMPUTED_VALUE"""),"Bu Eva (SU)")</f>
        <v>Bu Eva (SU)</v>
      </c>
      <c r="I1568" s="13" t="str">
        <f>IFERROR(__xludf.DUMMYFUNCTION("""COMPUTED_VALUE"""),"SELESAI (VIA PERMOHONAN)")</f>
        <v>SELESAI (VIA PERMOHONAN)</v>
      </c>
      <c r="J1568" s="17">
        <f>IFERROR(__xludf.DUMMYFUNCTION("""COMPUTED_VALUE"""),45736.5987530787)</f>
        <v>45736.59875</v>
      </c>
      <c r="K1568" s="13" t="str">
        <f>IFERROR(__xludf.DUMMYFUNCTION("""COMPUTED_VALUE"""),"Selesai")</f>
        <v>Selesai</v>
      </c>
      <c r="L1568" s="17">
        <f>IFERROR(__xludf.DUMMYFUNCTION("""COMPUTED_VALUE"""),45736.5987530787)</f>
        <v>45736.59875</v>
      </c>
      <c r="M1568" s="13"/>
      <c r="N1568" s="13" t="str">
        <f>IFERROR(__xludf.DUMMYFUNCTION("""COMPUTED_VALUE"""),"")</f>
        <v/>
      </c>
      <c r="O1568" s="13" t="str">
        <f t="shared" si="1"/>
        <v/>
      </c>
    </row>
    <row r="1569" ht="22.5" customHeight="1">
      <c r="B1569" s="13">
        <f>IFERROR(__xludf.DUMMYFUNCTION("""COMPUTED_VALUE"""),1564.0)</f>
        <v>1564</v>
      </c>
      <c r="C1569" s="13" t="str">
        <f>IFERROR(__xludf.DUMMYFUNCTION("""COMPUTED_VALUE"""),"B.1223/KEMILING PERMAI")</f>
        <v>B.1223/KEMILING PERMAI</v>
      </c>
      <c r="D1569" s="13" t="str">
        <f>IFERROR(__xludf.DUMMYFUNCTION("""COMPUTED_VALUE"""),"K/33/190225/2")</f>
        <v>K/33/190225/2</v>
      </c>
      <c r="E1569" s="14" t="str">
        <f>IFERROR(__xludf.DUMMYFUNCTION("""COMPUTED_VALUE"""),"Nadian (BT)")</f>
        <v>Nadian (BT)</v>
      </c>
      <c r="F1569" s="14" t="str">
        <f>IFERROR(__xludf.DUMMYFUNCTION("""COMPUTED_VALUE"""),"SELESAI (VIA PERMOHONAN)")</f>
        <v>SELESAI (VIA PERMOHONAN)</v>
      </c>
      <c r="G1569" s="17">
        <f>IFERROR(__xludf.DUMMYFUNCTION("""COMPUTED_VALUE"""),45734.5831903125)</f>
        <v>45734.58319</v>
      </c>
      <c r="H1569" s="14" t="str">
        <f>IFERROR(__xludf.DUMMYFUNCTION("""COMPUTED_VALUE"""),"Bu Eva (SU)")</f>
        <v>Bu Eva (SU)</v>
      </c>
      <c r="I1569" s="13" t="str">
        <f>IFERROR(__xludf.DUMMYFUNCTION("""COMPUTED_VALUE"""),"SELESAI (VIA PERMOHONAN)")</f>
        <v>SELESAI (VIA PERMOHONAN)</v>
      </c>
      <c r="J1569" s="17">
        <f>IFERROR(__xludf.DUMMYFUNCTION("""COMPUTED_VALUE"""),45736.5987530787)</f>
        <v>45736.59875</v>
      </c>
      <c r="K1569" s="13" t="str">
        <f>IFERROR(__xludf.DUMMYFUNCTION("""COMPUTED_VALUE"""),"Selesai")</f>
        <v>Selesai</v>
      </c>
      <c r="L1569" s="17">
        <f>IFERROR(__xludf.DUMMYFUNCTION("""COMPUTED_VALUE"""),45736.5987530787)</f>
        <v>45736.59875</v>
      </c>
      <c r="M1569" s="13"/>
      <c r="N1569" s="13" t="str">
        <f>IFERROR(__xludf.DUMMYFUNCTION("""COMPUTED_VALUE"""),"")</f>
        <v/>
      </c>
      <c r="O1569" s="13" t="str">
        <f t="shared" si="1"/>
        <v/>
      </c>
    </row>
    <row r="1570" ht="22.5" customHeight="1">
      <c r="B1570" s="13">
        <f>IFERROR(__xludf.DUMMYFUNCTION("""COMPUTED_VALUE"""),1565.0)</f>
        <v>1565</v>
      </c>
      <c r="C1570" s="13" t="str">
        <f>IFERROR(__xludf.DUMMYFUNCTION("""COMPUTED_VALUE"""),"M.2326/SEPANG JAYA")</f>
        <v>M.2326/SEPANG JAYA</v>
      </c>
      <c r="D1570" s="13" t="str">
        <f>IFERROR(__xludf.DUMMYFUNCTION("""COMPUTED_VALUE"""),"K/4/050325/1")</f>
        <v>K/4/050325/1</v>
      </c>
      <c r="E1570" s="14" t="str">
        <f>IFERROR(__xludf.DUMMYFUNCTION("""COMPUTED_VALUE"""),"Nadian (BT)")</f>
        <v>Nadian (BT)</v>
      </c>
      <c r="F1570" s="14" t="str">
        <f>IFERROR(__xludf.DUMMYFUNCTION("""COMPUTED_VALUE"""),"SELESAI (VIA PERMOHONAN)")</f>
        <v>SELESAI (VIA PERMOHONAN)</v>
      </c>
      <c r="G1570" s="17">
        <f>IFERROR(__xludf.DUMMYFUNCTION("""COMPUTED_VALUE"""),45734.5831903125)</f>
        <v>45734.58319</v>
      </c>
      <c r="H1570" s="14" t="str">
        <f>IFERROR(__xludf.DUMMYFUNCTION("""COMPUTED_VALUE"""),"Bu Eva (SU)")</f>
        <v>Bu Eva (SU)</v>
      </c>
      <c r="I1570" s="13" t="str">
        <f>IFERROR(__xludf.DUMMYFUNCTION("""COMPUTED_VALUE"""),"SELESAI (VIA PERMOHONAN)")</f>
        <v>SELESAI (VIA PERMOHONAN)</v>
      </c>
      <c r="J1570" s="17">
        <f>IFERROR(__xludf.DUMMYFUNCTION("""COMPUTED_VALUE"""),45736.5987530787)</f>
        <v>45736.59875</v>
      </c>
      <c r="K1570" s="13" t="str">
        <f>IFERROR(__xludf.DUMMYFUNCTION("""COMPUTED_VALUE"""),"Selesai")</f>
        <v>Selesai</v>
      </c>
      <c r="L1570" s="17">
        <f>IFERROR(__xludf.DUMMYFUNCTION("""COMPUTED_VALUE"""),45736.5987530787)</f>
        <v>45736.59875</v>
      </c>
      <c r="M1570" s="13"/>
      <c r="N1570" s="13" t="str">
        <f>IFERROR(__xludf.DUMMYFUNCTION("""COMPUTED_VALUE"""),"")</f>
        <v/>
      </c>
      <c r="O1570" s="13" t="str">
        <f t="shared" si="1"/>
        <v/>
      </c>
    </row>
    <row r="1571" ht="22.5" customHeight="1">
      <c r="B1571" s="13">
        <f>IFERROR(__xludf.DUMMYFUNCTION("""COMPUTED_VALUE"""),1566.0)</f>
        <v>1566</v>
      </c>
      <c r="C1571" s="13" t="str">
        <f>IFERROR(__xludf.DUMMYFUNCTION("""COMPUTED_VALUE"""),"M. 391/TANJUNG SENANG")</f>
        <v>M. 391/TANJUNG SENANG</v>
      </c>
      <c r="D1571" s="13" t="str">
        <f>IFERROR(__xludf.DUMMYFUNCTION("""COMPUTED_VALUE"""),"K/23/060325/1")</f>
        <v>K/23/060325/1</v>
      </c>
      <c r="E1571" s="14" t="str">
        <f>IFERROR(__xludf.DUMMYFUNCTION("""COMPUTED_VALUE"""),"Nadian (BT)")</f>
        <v>Nadian (BT)</v>
      </c>
      <c r="F1571" s="14" t="str">
        <f>IFERROR(__xludf.DUMMYFUNCTION("""COMPUTED_VALUE"""),"SELESAI (VIA PERMOHONAN)")</f>
        <v>SELESAI (VIA PERMOHONAN)</v>
      </c>
      <c r="G1571" s="17">
        <f>IFERROR(__xludf.DUMMYFUNCTION("""COMPUTED_VALUE"""),45734.5831903125)</f>
        <v>45734.58319</v>
      </c>
      <c r="H1571" s="14" t="str">
        <f>IFERROR(__xludf.DUMMYFUNCTION("""COMPUTED_VALUE"""),"Bu Eva (SU)")</f>
        <v>Bu Eva (SU)</v>
      </c>
      <c r="I1571" s="13" t="str">
        <f>IFERROR(__xludf.DUMMYFUNCTION("""COMPUTED_VALUE"""),"SELESAI (VIA PERMOHONAN)")</f>
        <v>SELESAI (VIA PERMOHONAN)</v>
      </c>
      <c r="J1571" s="17">
        <f>IFERROR(__xludf.DUMMYFUNCTION("""COMPUTED_VALUE"""),45736.5987530787)</f>
        <v>45736.59875</v>
      </c>
      <c r="K1571" s="13" t="str">
        <f>IFERROR(__xludf.DUMMYFUNCTION("""COMPUTED_VALUE"""),"Selesai")</f>
        <v>Selesai</v>
      </c>
      <c r="L1571" s="17">
        <f>IFERROR(__xludf.DUMMYFUNCTION("""COMPUTED_VALUE"""),45736.5987530787)</f>
        <v>45736.59875</v>
      </c>
      <c r="M1571" s="13"/>
      <c r="N1571" s="13" t="str">
        <f>IFERROR(__xludf.DUMMYFUNCTION("""COMPUTED_VALUE"""),"")</f>
        <v/>
      </c>
      <c r="O1571" s="13" t="str">
        <f t="shared" si="1"/>
        <v/>
      </c>
    </row>
    <row r="1572" ht="22.5" customHeight="1">
      <c r="B1572" s="13">
        <f>IFERROR(__xludf.DUMMYFUNCTION("""COMPUTED_VALUE"""),1567.0)</f>
        <v>1567</v>
      </c>
      <c r="C1572" s="13" t="str">
        <f>IFERROR(__xludf.DUMMYFUNCTION("""COMPUTED_VALUE"""),"B. 797/SUMUR PUTRI")</f>
        <v>B. 797/SUMUR PUTRI</v>
      </c>
      <c r="D1572" s="13" t="str">
        <f>IFERROR(__xludf.DUMMYFUNCTION("""COMPUTED_VALUE"""),"K/45/070325/3")</f>
        <v>K/45/070325/3</v>
      </c>
      <c r="E1572" s="14" t="str">
        <f>IFERROR(__xludf.DUMMYFUNCTION("""COMPUTED_VALUE"""),"Nadian (BT)")</f>
        <v>Nadian (BT)</v>
      </c>
      <c r="F1572" s="14" t="str">
        <f>IFERROR(__xludf.DUMMYFUNCTION("""COMPUTED_VALUE"""),"SELESAI (VIA PERMOHONAN)")</f>
        <v>SELESAI (VIA PERMOHONAN)</v>
      </c>
      <c r="G1572" s="17">
        <f>IFERROR(__xludf.DUMMYFUNCTION("""COMPUTED_VALUE"""),45734.5831903125)</f>
        <v>45734.58319</v>
      </c>
      <c r="H1572" s="14" t="str">
        <f>IFERROR(__xludf.DUMMYFUNCTION("""COMPUTED_VALUE"""),"Bu Eva (SU)")</f>
        <v>Bu Eva (SU)</v>
      </c>
      <c r="I1572" s="13" t="str">
        <f>IFERROR(__xludf.DUMMYFUNCTION("""COMPUTED_VALUE"""),"SELESAI (VIA PERMOHONAN)")</f>
        <v>SELESAI (VIA PERMOHONAN)</v>
      </c>
      <c r="J1572" s="17">
        <f>IFERROR(__xludf.DUMMYFUNCTION("""COMPUTED_VALUE"""),45736.598948900464)</f>
        <v>45736.59895</v>
      </c>
      <c r="K1572" s="13" t="str">
        <f>IFERROR(__xludf.DUMMYFUNCTION("""COMPUTED_VALUE"""),"Selesai")</f>
        <v>Selesai</v>
      </c>
      <c r="L1572" s="17">
        <f>IFERROR(__xludf.DUMMYFUNCTION("""COMPUTED_VALUE"""),45736.598948900464)</f>
        <v>45736.59895</v>
      </c>
      <c r="M1572" s="13"/>
      <c r="N1572" s="13" t="str">
        <f>IFERROR(__xludf.DUMMYFUNCTION("""COMPUTED_VALUE"""),"")</f>
        <v/>
      </c>
      <c r="O1572" s="13" t="str">
        <f t="shared" si="1"/>
        <v/>
      </c>
    </row>
    <row r="1573" ht="22.5" customHeight="1">
      <c r="B1573" s="13">
        <f>IFERROR(__xludf.DUMMYFUNCTION("""COMPUTED_VALUE"""),1568.0)</f>
        <v>1568</v>
      </c>
      <c r="C1573" s="13" t="str">
        <f>IFERROR(__xludf.DUMMYFUNCTION("""COMPUTED_VALUE"""),"M. 5047/RAJABASA JAYA")</f>
        <v>M. 5047/RAJABASA JAYA</v>
      </c>
      <c r="D1573" s="13" t="str">
        <f>IFERROR(__xludf.DUMMYFUNCTION("""COMPUTED_VALUE"""),"K/44/070325/2")</f>
        <v>K/44/070325/2</v>
      </c>
      <c r="E1573" s="14" t="str">
        <f>IFERROR(__xludf.DUMMYFUNCTION("""COMPUTED_VALUE"""),"Nadian (BT)")</f>
        <v>Nadian (BT)</v>
      </c>
      <c r="F1573" s="14" t="str">
        <f>IFERROR(__xludf.DUMMYFUNCTION("""COMPUTED_VALUE"""),"SELESAI (VIA PERMOHONAN)")</f>
        <v>SELESAI (VIA PERMOHONAN)</v>
      </c>
      <c r="G1573" s="17">
        <f>IFERROR(__xludf.DUMMYFUNCTION("""COMPUTED_VALUE"""),45734.5831903125)</f>
        <v>45734.58319</v>
      </c>
      <c r="H1573" s="14" t="str">
        <f>IFERROR(__xludf.DUMMYFUNCTION("""COMPUTED_VALUE"""),"Bu Eva (SU)")</f>
        <v>Bu Eva (SU)</v>
      </c>
      <c r="I1573" s="13" t="str">
        <f>IFERROR(__xludf.DUMMYFUNCTION("""COMPUTED_VALUE"""),"SELESAI (VIA PERMOHONAN)")</f>
        <v>SELESAI (VIA PERMOHONAN)</v>
      </c>
      <c r="J1573" s="17">
        <f>IFERROR(__xludf.DUMMYFUNCTION("""COMPUTED_VALUE"""),45736.598948900464)</f>
        <v>45736.59895</v>
      </c>
      <c r="K1573" s="13" t="str">
        <f>IFERROR(__xludf.DUMMYFUNCTION("""COMPUTED_VALUE"""),"Selesai")</f>
        <v>Selesai</v>
      </c>
      <c r="L1573" s="17">
        <f>IFERROR(__xludf.DUMMYFUNCTION("""COMPUTED_VALUE"""),45736.598948900464)</f>
        <v>45736.59895</v>
      </c>
      <c r="M1573" s="13"/>
      <c r="N1573" s="13" t="str">
        <f>IFERROR(__xludf.DUMMYFUNCTION("""COMPUTED_VALUE"""),"")</f>
        <v/>
      </c>
      <c r="O1573" s="13" t="str">
        <f t="shared" si="1"/>
        <v/>
      </c>
    </row>
    <row r="1574" ht="22.5" customHeight="1">
      <c r="B1574" s="13">
        <f>IFERROR(__xludf.DUMMYFUNCTION("""COMPUTED_VALUE"""),1569.0)</f>
        <v>1569</v>
      </c>
      <c r="C1574" s="13" t="str">
        <f>IFERROR(__xludf.DUMMYFUNCTION("""COMPUTED_VALUE"""),"M. 6883/ Tanjung Senang")</f>
        <v>M. 6883/ Tanjung Senang</v>
      </c>
      <c r="D1574" s="13" t="str">
        <f>IFERROR(__xludf.DUMMYFUNCTION("""COMPUTED_VALUE"""),"K/34/130325/1")</f>
        <v>K/34/130325/1</v>
      </c>
      <c r="E1574" s="14" t="str">
        <f>IFERROR(__xludf.DUMMYFUNCTION("""COMPUTED_VALUE"""),"Nadian (BT)")</f>
        <v>Nadian (BT)</v>
      </c>
      <c r="F1574" s="14" t="str">
        <f>IFERROR(__xludf.DUMMYFUNCTION("""COMPUTED_VALUE"""),"SELESAI (VIA PERMOHONAN)")</f>
        <v>SELESAI (VIA PERMOHONAN)</v>
      </c>
      <c r="G1574" s="17">
        <f>IFERROR(__xludf.DUMMYFUNCTION("""COMPUTED_VALUE"""),45734.5831903125)</f>
        <v>45734.58319</v>
      </c>
      <c r="H1574" s="14" t="str">
        <f>IFERROR(__xludf.DUMMYFUNCTION("""COMPUTED_VALUE"""),"Bu Eva (SU)")</f>
        <v>Bu Eva (SU)</v>
      </c>
      <c r="I1574" s="13" t="str">
        <f>IFERROR(__xludf.DUMMYFUNCTION("""COMPUTED_VALUE"""),"SELESAI (VIA PERMOHONAN)")</f>
        <v>SELESAI (VIA PERMOHONAN)</v>
      </c>
      <c r="J1574" s="17">
        <f>IFERROR(__xludf.DUMMYFUNCTION("""COMPUTED_VALUE"""),45736.598948900464)</f>
        <v>45736.59895</v>
      </c>
      <c r="K1574" s="13" t="str">
        <f>IFERROR(__xludf.DUMMYFUNCTION("""COMPUTED_VALUE"""),"Selesai")</f>
        <v>Selesai</v>
      </c>
      <c r="L1574" s="17">
        <f>IFERROR(__xludf.DUMMYFUNCTION("""COMPUTED_VALUE"""),45736.598948900464)</f>
        <v>45736.59895</v>
      </c>
      <c r="M1574" s="13"/>
      <c r="N1574" s="13" t="str">
        <f>IFERROR(__xludf.DUMMYFUNCTION("""COMPUTED_VALUE"""),"")</f>
        <v/>
      </c>
      <c r="O1574" s="13" t="str">
        <f t="shared" si="1"/>
        <v/>
      </c>
    </row>
    <row r="1575" ht="22.5" customHeight="1">
      <c r="B1575" s="13">
        <f>IFERROR(__xludf.DUMMYFUNCTION("""COMPUTED_VALUE"""),1570.0)</f>
        <v>1570</v>
      </c>
      <c r="C1575" s="13" t="str">
        <f>IFERROR(__xludf.DUMMYFUNCTION("""COMPUTED_VALUE"""),"HM 323/SUMBEREJO S")</f>
        <v>HM 323/SUMBEREJO S</v>
      </c>
      <c r="D1575" s="13" t="str">
        <f>IFERROR(__xludf.DUMMYFUNCTION("""COMPUTED_VALUE"""),"L/25/110325/1")</f>
        <v>L/25/110325/1</v>
      </c>
      <c r="E1575" s="14" t="str">
        <f>IFERROR(__xludf.DUMMYFUNCTION("""COMPUTED_VALUE"""),"Afriza (BT)")</f>
        <v>Afriza (BT)</v>
      </c>
      <c r="F1575" s="14" t="str">
        <f>IFERROR(__xludf.DUMMYFUNCTION("""COMPUTED_VALUE"""),"SELESAI (VIA PERMOHONAN)")</f>
        <v>SELESAI (VIA PERMOHONAN)</v>
      </c>
      <c r="G1575" s="17">
        <f>IFERROR(__xludf.DUMMYFUNCTION("""COMPUTED_VALUE"""),45735.39405696759)</f>
        <v>45735.39406</v>
      </c>
      <c r="H1575" s="14" t="str">
        <f>IFERROR(__xludf.DUMMYFUNCTION("""COMPUTED_VALUE"""),"Bu Eva (SU)")</f>
        <v>Bu Eva (SU)</v>
      </c>
      <c r="I1575" s="13" t="str">
        <f>IFERROR(__xludf.DUMMYFUNCTION("""COMPUTED_VALUE"""),"SELESAI (VIA PERMOHONAN)")</f>
        <v>SELESAI (VIA PERMOHONAN)</v>
      </c>
      <c r="J1575" s="17">
        <f>IFERROR(__xludf.DUMMYFUNCTION("""COMPUTED_VALUE"""),45736.598948900464)</f>
        <v>45736.59895</v>
      </c>
      <c r="K1575" s="13" t="str">
        <f>IFERROR(__xludf.DUMMYFUNCTION("""COMPUTED_VALUE"""),"Selesai")</f>
        <v>Selesai</v>
      </c>
      <c r="L1575" s="17">
        <f>IFERROR(__xludf.DUMMYFUNCTION("""COMPUTED_VALUE"""),45736.598948900464)</f>
        <v>45736.59895</v>
      </c>
      <c r="M1575" s="13"/>
      <c r="N1575" s="13" t="str">
        <f>IFERROR(__xludf.DUMMYFUNCTION("""COMPUTED_VALUE"""),"")</f>
        <v/>
      </c>
      <c r="O1575" s="13" t="str">
        <f t="shared" si="1"/>
        <v/>
      </c>
    </row>
    <row r="1576" ht="22.5" customHeight="1">
      <c r="B1576" s="13">
        <f>IFERROR(__xludf.DUMMYFUNCTION("""COMPUTED_VALUE"""),1571.0)</f>
        <v>1571</v>
      </c>
      <c r="C1576" s="13" t="str">
        <f>IFERROR(__xludf.DUMMYFUNCTION("""COMPUTED_VALUE"""),"HM 1209/PWH")</f>
        <v>HM 1209/PWH</v>
      </c>
      <c r="D1576" s="13" t="str">
        <f>IFERROR(__xludf.DUMMYFUNCTION("""COMPUTED_VALUE"""),"L/49/110325/1")</f>
        <v>L/49/110325/1</v>
      </c>
      <c r="E1576" s="14" t="str">
        <f>IFERROR(__xludf.DUMMYFUNCTION("""COMPUTED_VALUE"""),"Afriza (BT)")</f>
        <v>Afriza (BT)</v>
      </c>
      <c r="F1576" s="14" t="str">
        <f>IFERROR(__xludf.DUMMYFUNCTION("""COMPUTED_VALUE"""),"SELESAI (VIA PERMOHONAN)")</f>
        <v>SELESAI (VIA PERMOHONAN)</v>
      </c>
      <c r="G1576" s="17">
        <f>IFERROR(__xludf.DUMMYFUNCTION("""COMPUTED_VALUE"""),45735.394223553245)</f>
        <v>45735.39422</v>
      </c>
      <c r="H1576" s="14" t="str">
        <f>IFERROR(__xludf.DUMMYFUNCTION("""COMPUTED_VALUE"""),"Bu Eva (SU)")</f>
        <v>Bu Eva (SU)</v>
      </c>
      <c r="I1576" s="13" t="str">
        <f>IFERROR(__xludf.DUMMYFUNCTION("""COMPUTED_VALUE"""),"SELESAI (VIA PERMOHONAN)")</f>
        <v>SELESAI (VIA PERMOHONAN)</v>
      </c>
      <c r="J1576" s="17">
        <f>IFERROR(__xludf.DUMMYFUNCTION("""COMPUTED_VALUE"""),45736.598948900464)</f>
        <v>45736.59895</v>
      </c>
      <c r="K1576" s="13" t="str">
        <f>IFERROR(__xludf.DUMMYFUNCTION("""COMPUTED_VALUE"""),"Selesai")</f>
        <v>Selesai</v>
      </c>
      <c r="L1576" s="17">
        <f>IFERROR(__xludf.DUMMYFUNCTION("""COMPUTED_VALUE"""),45736.598948900464)</f>
        <v>45736.59895</v>
      </c>
      <c r="M1576" s="13"/>
      <c r="N1576" s="13" t="str">
        <f>IFERROR(__xludf.DUMMYFUNCTION("""COMPUTED_VALUE"""),"")</f>
        <v/>
      </c>
      <c r="O1576" s="13" t="str">
        <f t="shared" si="1"/>
        <v/>
      </c>
    </row>
    <row r="1577" ht="22.5" customHeight="1">
      <c r="B1577" s="13">
        <f>IFERROR(__xludf.DUMMYFUNCTION("""COMPUTED_VALUE"""),1572.0)</f>
        <v>1572</v>
      </c>
      <c r="C1577" s="13" t="str">
        <f>IFERROR(__xludf.DUMMYFUNCTION("""COMPUTED_VALUE"""),"M. 18093/ Kedaton")</f>
        <v>M. 18093/ Kedaton</v>
      </c>
      <c r="D1577" s="13" t="str">
        <f>IFERROR(__xludf.DUMMYFUNCTION("""COMPUTED_VALUE"""),"K/50/110325/1")</f>
        <v>K/50/110325/1</v>
      </c>
      <c r="E1577" s="14" t="str">
        <f>IFERROR(__xludf.DUMMYFUNCTION("""COMPUTED_VALUE"""),"Afriza (BT)")</f>
        <v>Afriza (BT)</v>
      </c>
      <c r="F1577" s="14" t="str">
        <f>IFERROR(__xludf.DUMMYFUNCTION("""COMPUTED_VALUE"""),"SELESAI (VIA PERMOHONAN)")</f>
        <v>SELESAI (VIA PERMOHONAN)</v>
      </c>
      <c r="G1577" s="17">
        <f>IFERROR(__xludf.DUMMYFUNCTION("""COMPUTED_VALUE"""),45735.394340520834)</f>
        <v>45735.39434</v>
      </c>
      <c r="H1577" s="14" t="str">
        <f>IFERROR(__xludf.DUMMYFUNCTION("""COMPUTED_VALUE"""),"Bu Eva (SU)")</f>
        <v>Bu Eva (SU)</v>
      </c>
      <c r="I1577" s="13" t="str">
        <f>IFERROR(__xludf.DUMMYFUNCTION("""COMPUTED_VALUE"""),"SELESAI (VIA PERMOHONAN)")</f>
        <v>SELESAI (VIA PERMOHONAN)</v>
      </c>
      <c r="J1577" s="17">
        <f>IFERROR(__xludf.DUMMYFUNCTION("""COMPUTED_VALUE"""),45736.598948900464)</f>
        <v>45736.59895</v>
      </c>
      <c r="K1577" s="13" t="str">
        <f>IFERROR(__xludf.DUMMYFUNCTION("""COMPUTED_VALUE"""),"Selesai")</f>
        <v>Selesai</v>
      </c>
      <c r="L1577" s="17">
        <f>IFERROR(__xludf.DUMMYFUNCTION("""COMPUTED_VALUE"""),45736.598948900464)</f>
        <v>45736.59895</v>
      </c>
      <c r="M1577" s="13"/>
      <c r="N1577" s="13" t="str">
        <f>IFERROR(__xludf.DUMMYFUNCTION("""COMPUTED_VALUE"""),"")</f>
        <v/>
      </c>
      <c r="O1577" s="13" t="str">
        <f t="shared" si="1"/>
        <v/>
      </c>
    </row>
    <row r="1578" ht="22.5" customHeight="1">
      <c r="B1578" s="13">
        <f>IFERROR(__xludf.DUMMYFUNCTION("""COMPUTED_VALUE"""),1573.0)</f>
        <v>1573</v>
      </c>
      <c r="C1578" s="13" t="str">
        <f>IFERROR(__xludf.DUMMYFUNCTION("""COMPUTED_VALUE"""),"B. 167/ Way Laga")</f>
        <v>B. 167/ Way Laga</v>
      </c>
      <c r="D1578" s="13" t="str">
        <f>IFERROR(__xludf.DUMMYFUNCTION("""COMPUTED_VALUE"""),"K/20/270225/3")</f>
        <v>K/20/270225/3</v>
      </c>
      <c r="E1578" s="14" t="str">
        <f>IFERROR(__xludf.DUMMYFUNCTION("""COMPUTED_VALUE"""),"Afriza (BT)")</f>
        <v>Afriza (BT)</v>
      </c>
      <c r="F1578" s="14" t="str">
        <f>IFERROR(__xludf.DUMMYFUNCTION("""COMPUTED_VALUE"""),"SELESAI (VIA PERMOHONAN)")</f>
        <v>SELESAI (VIA PERMOHONAN)</v>
      </c>
      <c r="G1578" s="17">
        <f>IFERROR(__xludf.DUMMYFUNCTION("""COMPUTED_VALUE"""),45735.39441761574)</f>
        <v>45735.39442</v>
      </c>
      <c r="H1578" s="14" t="str">
        <f>IFERROR(__xludf.DUMMYFUNCTION("""COMPUTED_VALUE"""),"Bu Eva (SU)")</f>
        <v>Bu Eva (SU)</v>
      </c>
      <c r="I1578" s="13" t="str">
        <f>IFERROR(__xludf.DUMMYFUNCTION("""COMPUTED_VALUE"""),"SELESAI (VIA PERMOHONAN)")</f>
        <v>SELESAI (VIA PERMOHONAN)</v>
      </c>
      <c r="J1578" s="17">
        <f>IFERROR(__xludf.DUMMYFUNCTION("""COMPUTED_VALUE"""),45736.59894891204)</f>
        <v>45736.59895</v>
      </c>
      <c r="K1578" s="13" t="str">
        <f>IFERROR(__xludf.DUMMYFUNCTION("""COMPUTED_VALUE"""),"Selesai")</f>
        <v>Selesai</v>
      </c>
      <c r="L1578" s="17">
        <f>IFERROR(__xludf.DUMMYFUNCTION("""COMPUTED_VALUE"""),45736.59894891204)</f>
        <v>45736.59895</v>
      </c>
      <c r="M1578" s="13"/>
      <c r="N1578" s="13" t="str">
        <f>IFERROR(__xludf.DUMMYFUNCTION("""COMPUTED_VALUE"""),"")</f>
        <v/>
      </c>
      <c r="O1578" s="13" t="str">
        <f t="shared" si="1"/>
        <v/>
      </c>
    </row>
    <row r="1579" ht="22.5" customHeight="1">
      <c r="B1579" s="13">
        <f>IFERROR(__xludf.DUMMYFUNCTION("""COMPUTED_VALUE"""),1574.0)</f>
        <v>1574</v>
      </c>
      <c r="C1579" s="13" t="str">
        <f>IFERROR(__xludf.DUMMYFUNCTION("""COMPUTED_VALUE"""),"M. 11702/ Tanjung Baru")</f>
        <v>M. 11702/ Tanjung Baru</v>
      </c>
      <c r="D1579" s="13" t="str">
        <f>IFERROR(__xludf.DUMMYFUNCTION("""COMPUTED_VALUE"""),"K/30/250225/2")</f>
        <v>K/30/250225/2</v>
      </c>
      <c r="E1579" s="14" t="str">
        <f>IFERROR(__xludf.DUMMYFUNCTION("""COMPUTED_VALUE"""),"Afriza (BT)")</f>
        <v>Afriza (BT)</v>
      </c>
      <c r="F1579" s="14" t="str">
        <f>IFERROR(__xludf.DUMMYFUNCTION("""COMPUTED_VALUE"""),"SELESAI (VIA PERMOHONAN)")</f>
        <v>SELESAI (VIA PERMOHONAN)</v>
      </c>
      <c r="G1579" s="17">
        <f>IFERROR(__xludf.DUMMYFUNCTION("""COMPUTED_VALUE"""),45735.39454887732)</f>
        <v>45735.39455</v>
      </c>
      <c r="H1579" s="14" t="str">
        <f>IFERROR(__xludf.DUMMYFUNCTION("""COMPUTED_VALUE"""),"Bu Eva (SU)")</f>
        <v>Bu Eva (SU)</v>
      </c>
      <c r="I1579" s="13" t="str">
        <f>IFERROR(__xludf.DUMMYFUNCTION("""COMPUTED_VALUE"""),"SELESAI (VIA PERMOHONAN)")</f>
        <v>SELESAI (VIA PERMOHONAN)</v>
      </c>
      <c r="J1579" s="17">
        <f>IFERROR(__xludf.DUMMYFUNCTION("""COMPUTED_VALUE"""),45736.59894891204)</f>
        <v>45736.59895</v>
      </c>
      <c r="K1579" s="13" t="str">
        <f>IFERROR(__xludf.DUMMYFUNCTION("""COMPUTED_VALUE"""),"Selesai")</f>
        <v>Selesai</v>
      </c>
      <c r="L1579" s="17">
        <f>IFERROR(__xludf.DUMMYFUNCTION("""COMPUTED_VALUE"""),45736.59894891204)</f>
        <v>45736.59895</v>
      </c>
      <c r="M1579" s="13"/>
      <c r="N1579" s="13" t="str">
        <f>IFERROR(__xludf.DUMMYFUNCTION("""COMPUTED_VALUE"""),"")</f>
        <v/>
      </c>
      <c r="O1579" s="13" t="str">
        <f t="shared" si="1"/>
        <v/>
      </c>
    </row>
    <row r="1580" ht="22.5" customHeight="1">
      <c r="B1580" s="13">
        <f>IFERROR(__xludf.DUMMYFUNCTION("""COMPUTED_VALUE"""),1575.0)</f>
        <v>1575</v>
      </c>
      <c r="C1580" s="13" t="str">
        <f>IFERROR(__xludf.DUMMYFUNCTION("""COMPUTED_VALUE"""),"M. 306/ Kuapang Raya")</f>
        <v>M. 306/ Kuapang Raya</v>
      </c>
      <c r="D1580" s="13" t="str">
        <f>IFERROR(__xludf.DUMMYFUNCTION("""COMPUTED_VALUE"""),"K/27/110325/1")</f>
        <v>K/27/110325/1</v>
      </c>
      <c r="E1580" s="14" t="str">
        <f>IFERROR(__xludf.DUMMYFUNCTION("""COMPUTED_VALUE"""),"Afriza (BT)")</f>
        <v>Afriza (BT)</v>
      </c>
      <c r="F1580" s="14" t="str">
        <f>IFERROR(__xludf.DUMMYFUNCTION("""COMPUTED_VALUE"""),"SELESAI (VIA PERMOHONAN)")</f>
        <v>SELESAI (VIA PERMOHONAN)</v>
      </c>
      <c r="G1580" s="17">
        <f>IFERROR(__xludf.DUMMYFUNCTION("""COMPUTED_VALUE"""),45735.394644432876)</f>
        <v>45735.39464</v>
      </c>
      <c r="H1580" s="14" t="str">
        <f>IFERROR(__xludf.DUMMYFUNCTION("""COMPUTED_VALUE"""),"Bu Eva (SU)")</f>
        <v>Bu Eva (SU)</v>
      </c>
      <c r="I1580" s="13" t="str">
        <f>IFERROR(__xludf.DUMMYFUNCTION("""COMPUTED_VALUE"""),"SELESAI (VIA PERMOHONAN)")</f>
        <v>SELESAI (VIA PERMOHONAN)</v>
      </c>
      <c r="J1580" s="17">
        <f>IFERROR(__xludf.DUMMYFUNCTION("""COMPUTED_VALUE"""),45736.59894891204)</f>
        <v>45736.59895</v>
      </c>
      <c r="K1580" s="13" t="str">
        <f>IFERROR(__xludf.DUMMYFUNCTION("""COMPUTED_VALUE"""),"Selesai")</f>
        <v>Selesai</v>
      </c>
      <c r="L1580" s="17">
        <f>IFERROR(__xludf.DUMMYFUNCTION("""COMPUTED_VALUE"""),45736.59894891204)</f>
        <v>45736.59895</v>
      </c>
      <c r="M1580" s="13"/>
      <c r="N1580" s="13" t="str">
        <f>IFERROR(__xludf.DUMMYFUNCTION("""COMPUTED_VALUE"""),"")</f>
        <v/>
      </c>
      <c r="O1580" s="13" t="str">
        <f t="shared" si="1"/>
        <v/>
      </c>
    </row>
    <row r="1581" ht="22.5" customHeight="1">
      <c r="B1581" s="13">
        <f>IFERROR(__xludf.DUMMYFUNCTION("""COMPUTED_VALUE"""),1576.0)</f>
        <v>1576</v>
      </c>
      <c r="C1581" s="13" t="str">
        <f>IFERROR(__xludf.DUMMYFUNCTION("""COMPUTED_VALUE"""),"B. 26/ Gunung Mas")</f>
        <v>B. 26/ Gunung Mas</v>
      </c>
      <c r="D1581" s="13" t="str">
        <f>IFERROR(__xludf.DUMMYFUNCTION("""COMPUTED_VALUE"""),"K/39/110325/1")</f>
        <v>K/39/110325/1</v>
      </c>
      <c r="E1581" s="14" t="str">
        <f>IFERROR(__xludf.DUMMYFUNCTION("""COMPUTED_VALUE"""),"Afriza (BT)")</f>
        <v>Afriza (BT)</v>
      </c>
      <c r="F1581" s="14" t="str">
        <f>IFERROR(__xludf.DUMMYFUNCTION("""COMPUTED_VALUE"""),"SELESAI (VIA PERMOHONAN)")</f>
        <v>SELESAI (VIA PERMOHONAN)</v>
      </c>
      <c r="G1581" s="17">
        <f>IFERROR(__xludf.DUMMYFUNCTION("""COMPUTED_VALUE"""),45735.394879178246)</f>
        <v>45735.39488</v>
      </c>
      <c r="H1581" s="14" t="str">
        <f>IFERROR(__xludf.DUMMYFUNCTION("""COMPUTED_VALUE"""),"Bu Eva (SU)")</f>
        <v>Bu Eva (SU)</v>
      </c>
      <c r="I1581" s="13" t="str">
        <f>IFERROR(__xludf.DUMMYFUNCTION("""COMPUTED_VALUE"""),"SELESAI (VIA PERMOHONAN)")</f>
        <v>SELESAI (VIA PERMOHONAN)</v>
      </c>
      <c r="J1581" s="17">
        <f>IFERROR(__xludf.DUMMYFUNCTION("""COMPUTED_VALUE"""),45736.59894891204)</f>
        <v>45736.59895</v>
      </c>
      <c r="K1581" s="13" t="str">
        <f>IFERROR(__xludf.DUMMYFUNCTION("""COMPUTED_VALUE"""),"Selesai")</f>
        <v>Selesai</v>
      </c>
      <c r="L1581" s="17">
        <f>IFERROR(__xludf.DUMMYFUNCTION("""COMPUTED_VALUE"""),45736.59894891204)</f>
        <v>45736.59895</v>
      </c>
      <c r="M1581" s="13"/>
      <c r="N1581" s="13" t="str">
        <f>IFERROR(__xludf.DUMMYFUNCTION("""COMPUTED_VALUE"""),"")</f>
        <v/>
      </c>
      <c r="O1581" s="13" t="str">
        <f t="shared" si="1"/>
        <v/>
      </c>
    </row>
    <row r="1582" ht="22.5" customHeight="1">
      <c r="B1582" s="13">
        <f>IFERROR(__xludf.DUMMYFUNCTION("""COMPUTED_VALUE"""),1577.0)</f>
        <v>1577</v>
      </c>
      <c r="C1582" s="13" t="str">
        <f>IFERROR(__xludf.DUMMYFUNCTION("""COMPUTED_VALUE"""),"M. 4015/ Tanjung Senang")</f>
        <v>M. 4015/ Tanjung Senang</v>
      </c>
      <c r="D1582" s="13" t="str">
        <f>IFERROR(__xludf.DUMMYFUNCTION("""COMPUTED_VALUE"""),"K/28/200225/1")</f>
        <v>K/28/200225/1</v>
      </c>
      <c r="E1582" s="14" t="str">
        <f>IFERROR(__xludf.DUMMYFUNCTION("""COMPUTED_VALUE"""),"Afriza (BT)")</f>
        <v>Afriza (BT)</v>
      </c>
      <c r="F1582" s="14" t="str">
        <f>IFERROR(__xludf.DUMMYFUNCTION("""COMPUTED_VALUE"""),"SELESAI (VIA PERMOHONAN)")</f>
        <v>SELESAI (VIA PERMOHONAN)</v>
      </c>
      <c r="G1582" s="17">
        <f>IFERROR(__xludf.DUMMYFUNCTION("""COMPUTED_VALUE"""),45735.394991759254)</f>
        <v>45735.39499</v>
      </c>
      <c r="H1582" s="14" t="str">
        <f>IFERROR(__xludf.DUMMYFUNCTION("""COMPUTED_VALUE"""),"Bu Eva (SU)")</f>
        <v>Bu Eva (SU)</v>
      </c>
      <c r="I1582" s="13" t="str">
        <f>IFERROR(__xludf.DUMMYFUNCTION("""COMPUTED_VALUE"""),"SELESAI (VIA PERMOHONAN)")</f>
        <v>SELESAI (VIA PERMOHONAN)</v>
      </c>
      <c r="J1582" s="17">
        <f>IFERROR(__xludf.DUMMYFUNCTION("""COMPUTED_VALUE"""),45736.59894891204)</f>
        <v>45736.59895</v>
      </c>
      <c r="K1582" s="13" t="str">
        <f>IFERROR(__xludf.DUMMYFUNCTION("""COMPUTED_VALUE"""),"Selesai")</f>
        <v>Selesai</v>
      </c>
      <c r="L1582" s="17">
        <f>IFERROR(__xludf.DUMMYFUNCTION("""COMPUTED_VALUE"""),45736.59894891204)</f>
        <v>45736.59895</v>
      </c>
      <c r="M1582" s="13"/>
      <c r="N1582" s="13" t="str">
        <f>IFERROR(__xludf.DUMMYFUNCTION("""COMPUTED_VALUE"""),"")</f>
        <v/>
      </c>
      <c r="O1582" s="13" t="str">
        <f t="shared" si="1"/>
        <v/>
      </c>
    </row>
    <row r="1583" ht="22.5" customHeight="1">
      <c r="B1583" s="13">
        <f>IFERROR(__xludf.DUMMYFUNCTION("""COMPUTED_VALUE"""),1578.0)</f>
        <v>1578</v>
      </c>
      <c r="C1583" s="13" t="str">
        <f>IFERROR(__xludf.DUMMYFUNCTION("""COMPUTED_VALUE"""),"M. 2163/ Perumnas Way Halim")</f>
        <v>M. 2163/ Perumnas Way Halim</v>
      </c>
      <c r="D1583" s="13" t="str">
        <f>IFERROR(__xludf.DUMMYFUNCTION("""COMPUTED_VALUE"""),"K/22/120325/1")</f>
        <v>K/22/120325/1</v>
      </c>
      <c r="E1583" s="14" t="str">
        <f>IFERROR(__xludf.DUMMYFUNCTION("""COMPUTED_VALUE"""),"Afriza (BT)")</f>
        <v>Afriza (BT)</v>
      </c>
      <c r="F1583" s="14" t="str">
        <f>IFERROR(__xludf.DUMMYFUNCTION("""COMPUTED_VALUE"""),"SELESAI (VIA PERMOHONAN)")</f>
        <v>SELESAI (VIA PERMOHONAN)</v>
      </c>
      <c r="G1583" s="17">
        <f>IFERROR(__xludf.DUMMYFUNCTION("""COMPUTED_VALUE"""),45735.39507175926)</f>
        <v>45735.39507</v>
      </c>
      <c r="H1583" s="14" t="str">
        <f>IFERROR(__xludf.DUMMYFUNCTION("""COMPUTED_VALUE"""),"Bu Eva (SU)")</f>
        <v>Bu Eva (SU)</v>
      </c>
      <c r="I1583" s="13" t="str">
        <f>IFERROR(__xludf.DUMMYFUNCTION("""COMPUTED_VALUE"""),"SELESAI (VIA PERMOHONAN)")</f>
        <v>SELESAI (VIA PERMOHONAN)</v>
      </c>
      <c r="J1583" s="17">
        <f>IFERROR(__xludf.DUMMYFUNCTION("""COMPUTED_VALUE"""),45736.59894891204)</f>
        <v>45736.59895</v>
      </c>
      <c r="K1583" s="13" t="str">
        <f>IFERROR(__xludf.DUMMYFUNCTION("""COMPUTED_VALUE"""),"Selesai")</f>
        <v>Selesai</v>
      </c>
      <c r="L1583" s="17">
        <f>IFERROR(__xludf.DUMMYFUNCTION("""COMPUTED_VALUE"""),45736.59894891204)</f>
        <v>45736.59895</v>
      </c>
      <c r="M1583" s="13"/>
      <c r="N1583" s="13" t="str">
        <f>IFERROR(__xludf.DUMMYFUNCTION("""COMPUTED_VALUE"""),"")</f>
        <v/>
      </c>
      <c r="O1583" s="13" t="str">
        <f t="shared" si="1"/>
        <v/>
      </c>
    </row>
    <row r="1584" ht="22.5" customHeight="1">
      <c r="B1584" s="13">
        <f>IFERROR(__xludf.DUMMYFUNCTION("""COMPUTED_VALUE"""),1579.0)</f>
        <v>1579</v>
      </c>
      <c r="C1584" s="13" t="str">
        <f>IFERROR(__xludf.DUMMYFUNCTION("""COMPUTED_VALUE"""),"HM 10007/LABUHAN RATU")</f>
        <v>HM 10007/LABUHAN RATU</v>
      </c>
      <c r="D1584" s="13" t="str">
        <f>IFERROR(__xludf.DUMMYFUNCTION("""COMPUTED_VALUE"""),"L/1/100325/1")</f>
        <v>L/1/100325/1</v>
      </c>
      <c r="E1584" s="14" t="str">
        <f>IFERROR(__xludf.DUMMYFUNCTION("""COMPUTED_VALUE"""),"Admin (Migrasi)")</f>
        <v>Admin (Migrasi)</v>
      </c>
      <c r="F1584" s="14" t="str">
        <f>IFERROR(__xludf.DUMMYFUNCTION("""COMPUTED_VALUE"""),"SELESAI (VIA PERMOHONAN)")</f>
        <v>SELESAI (VIA PERMOHONAN)</v>
      </c>
      <c r="G1584" s="17">
        <f>IFERROR(__xludf.DUMMYFUNCTION("""COMPUTED_VALUE"""),45735.404291053244)</f>
        <v>45735.40429</v>
      </c>
      <c r="H1584" s="14" t="str">
        <f>IFERROR(__xludf.DUMMYFUNCTION("""COMPUTED_VALUE"""),"Admin (Migrasi)")</f>
        <v>Admin (Migrasi)</v>
      </c>
      <c r="I1584" s="13" t="str">
        <f>IFERROR(__xludf.DUMMYFUNCTION("""COMPUTED_VALUE"""),"SELESAI (VIA PERMOHONAN)")</f>
        <v>SELESAI (VIA PERMOHONAN)</v>
      </c>
      <c r="J1584" s="17">
        <f>IFERROR(__xludf.DUMMYFUNCTION("""COMPUTED_VALUE"""),45735.40433583333)</f>
        <v>45735.40434</v>
      </c>
      <c r="K1584" s="13" t="str">
        <f>IFERROR(__xludf.DUMMYFUNCTION("""COMPUTED_VALUE"""),"Selesai")</f>
        <v>Selesai</v>
      </c>
      <c r="L1584" s="17">
        <f>IFERROR(__xludf.DUMMYFUNCTION("""COMPUTED_VALUE"""),45735.40433583333)</f>
        <v>45735.40434</v>
      </c>
      <c r="M1584" s="13"/>
      <c r="N1584" s="13" t="str">
        <f>IFERROR(__xludf.DUMMYFUNCTION("""COMPUTED_VALUE"""),"")</f>
        <v/>
      </c>
      <c r="O1584" s="13" t="str">
        <f t="shared" si="1"/>
        <v/>
      </c>
    </row>
    <row r="1585" ht="22.5" customHeight="1">
      <c r="B1585" s="13">
        <f>IFERROR(__xludf.DUMMYFUNCTION("""COMPUTED_VALUE"""),1580.0)</f>
        <v>1580</v>
      </c>
      <c r="C1585" s="13" t="str">
        <f>IFERROR(__xludf.DUMMYFUNCTION("""COMPUTED_VALUE"""),"B. 758/SUMUR PUTRI")</f>
        <v>B. 758/SUMUR PUTRI</v>
      </c>
      <c r="D1585" s="13" t="str">
        <f>IFERROR(__xludf.DUMMYFUNCTION("""COMPUTED_VALUE"""),"K/42/110325/2")</f>
        <v>K/42/110325/2</v>
      </c>
      <c r="E1585" s="14" t="str">
        <f>IFERROR(__xludf.DUMMYFUNCTION("""COMPUTED_VALUE"""),"Nadian (BT)")</f>
        <v>Nadian (BT)</v>
      </c>
      <c r="F1585" s="14" t="str">
        <f>IFERROR(__xludf.DUMMYFUNCTION("""COMPUTED_VALUE"""),"SELESAI (VIA PERMOHONAN)")</f>
        <v>SELESAI (VIA PERMOHONAN)</v>
      </c>
      <c r="G1585" s="17">
        <f>IFERROR(__xludf.DUMMYFUNCTION("""COMPUTED_VALUE"""),45736.536382986116)</f>
        <v>45736.53638</v>
      </c>
      <c r="H1585" s="14" t="str">
        <f>IFERROR(__xludf.DUMMYFUNCTION("""COMPUTED_VALUE"""),"Bu Eva (SU)")</f>
        <v>Bu Eva (SU)</v>
      </c>
      <c r="I1585" s="13" t="str">
        <f>IFERROR(__xludf.DUMMYFUNCTION("""COMPUTED_VALUE"""),"SELESAI (VIA PERMOHONAN)")</f>
        <v>SELESAI (VIA PERMOHONAN)</v>
      </c>
      <c r="J1585" s="17">
        <f>IFERROR(__xludf.DUMMYFUNCTION("""COMPUTED_VALUE"""),45736.59909592592)</f>
        <v>45736.5991</v>
      </c>
      <c r="K1585" s="13" t="str">
        <f>IFERROR(__xludf.DUMMYFUNCTION("""COMPUTED_VALUE"""),"Selesai")</f>
        <v>Selesai</v>
      </c>
      <c r="L1585" s="17">
        <f>IFERROR(__xludf.DUMMYFUNCTION("""COMPUTED_VALUE"""),45736.59909592592)</f>
        <v>45736.5991</v>
      </c>
      <c r="M1585" s="13"/>
      <c r="N1585" s="13" t="str">
        <f>IFERROR(__xludf.DUMMYFUNCTION("""COMPUTED_VALUE"""),"")</f>
        <v/>
      </c>
      <c r="O1585" s="13" t="str">
        <f t="shared" si="1"/>
        <v/>
      </c>
    </row>
    <row r="1586" ht="22.5" customHeight="1">
      <c r="B1586" s="13">
        <f>IFERROR(__xludf.DUMMYFUNCTION("""COMPUTED_VALUE"""),1581.0)</f>
        <v>1581</v>
      </c>
      <c r="C1586" s="13" t="str">
        <f>IFERROR(__xludf.DUMMYFUNCTION("""COMPUTED_VALUE"""),"M. 985/PELITA")</f>
        <v>M. 985/PELITA</v>
      </c>
      <c r="D1586" s="13" t="str">
        <f>IFERROR(__xludf.DUMMYFUNCTION("""COMPUTED_VALUE"""),"K/36/120325/1")</f>
        <v>K/36/120325/1</v>
      </c>
      <c r="E1586" s="14" t="str">
        <f>IFERROR(__xludf.DUMMYFUNCTION("""COMPUTED_VALUE"""),"Nadian (BT)")</f>
        <v>Nadian (BT)</v>
      </c>
      <c r="F1586" s="14" t="str">
        <f>IFERROR(__xludf.DUMMYFUNCTION("""COMPUTED_VALUE"""),"SELESAI (VIA PERMOHONAN)")</f>
        <v>SELESAI (VIA PERMOHONAN)</v>
      </c>
      <c r="G1586" s="17">
        <f>IFERROR(__xludf.DUMMYFUNCTION("""COMPUTED_VALUE"""),45736.536398599535)</f>
        <v>45736.5364</v>
      </c>
      <c r="H1586" s="14" t="str">
        <f>IFERROR(__xludf.DUMMYFUNCTION("""COMPUTED_VALUE"""),"Bu Eva (SU)")</f>
        <v>Bu Eva (SU)</v>
      </c>
      <c r="I1586" s="13" t="str">
        <f>IFERROR(__xludf.DUMMYFUNCTION("""COMPUTED_VALUE"""),"SELESAI (VIA PERMOHONAN)")</f>
        <v>SELESAI (VIA PERMOHONAN)</v>
      </c>
      <c r="J1586" s="17">
        <f>IFERROR(__xludf.DUMMYFUNCTION("""COMPUTED_VALUE"""),45736.59909592592)</f>
        <v>45736.5991</v>
      </c>
      <c r="K1586" s="13" t="str">
        <f>IFERROR(__xludf.DUMMYFUNCTION("""COMPUTED_VALUE"""),"Selesai")</f>
        <v>Selesai</v>
      </c>
      <c r="L1586" s="17">
        <f>IFERROR(__xludf.DUMMYFUNCTION("""COMPUTED_VALUE"""),45736.59909592592)</f>
        <v>45736.5991</v>
      </c>
      <c r="M1586" s="13"/>
      <c r="N1586" s="13" t="str">
        <f>IFERROR(__xludf.DUMMYFUNCTION("""COMPUTED_VALUE"""),"")</f>
        <v/>
      </c>
      <c r="O1586" s="13" t="str">
        <f t="shared" si="1"/>
        <v/>
      </c>
    </row>
    <row r="1587" ht="22.5" customHeight="1">
      <c r="B1587" s="13">
        <f>IFERROR(__xludf.DUMMYFUNCTION("""COMPUTED_VALUE"""),1582.0)</f>
        <v>1582</v>
      </c>
      <c r="C1587" s="13" t="str">
        <f>IFERROR(__xludf.DUMMYFUNCTION("""COMPUTED_VALUE"""),"HM 13001/TANJUNG BARU")</f>
        <v>HM 13001/TANJUNG BARU</v>
      </c>
      <c r="D1587" s="13" t="str">
        <f>IFERROR(__xludf.DUMMYFUNCTION("""COMPUTED_VALUE"""),"L/20/120325/1")</f>
        <v>L/20/120325/1</v>
      </c>
      <c r="E1587" s="14" t="str">
        <f>IFERROR(__xludf.DUMMYFUNCTION("""COMPUTED_VALUE"""),"Nadian (BT)")</f>
        <v>Nadian (BT)</v>
      </c>
      <c r="F1587" s="14" t="str">
        <f>IFERROR(__xludf.DUMMYFUNCTION("""COMPUTED_VALUE"""),"SELESAI (VIA PERMOHONAN)")</f>
        <v>SELESAI (VIA PERMOHONAN)</v>
      </c>
      <c r="G1587" s="17">
        <f>IFERROR(__xludf.DUMMYFUNCTION("""COMPUTED_VALUE"""),45736.53639861111)</f>
        <v>45736.5364</v>
      </c>
      <c r="H1587" s="14" t="str">
        <f>IFERROR(__xludf.DUMMYFUNCTION("""COMPUTED_VALUE"""),"Bu Eva (SU)")</f>
        <v>Bu Eva (SU)</v>
      </c>
      <c r="I1587" s="13" t="str">
        <f>IFERROR(__xludf.DUMMYFUNCTION("""COMPUTED_VALUE"""),"SELESAI (VIA PERMOHONAN)")</f>
        <v>SELESAI (VIA PERMOHONAN)</v>
      </c>
      <c r="J1587" s="17">
        <f>IFERROR(__xludf.DUMMYFUNCTION("""COMPUTED_VALUE"""),45736.59909592592)</f>
        <v>45736.5991</v>
      </c>
      <c r="K1587" s="13" t="str">
        <f>IFERROR(__xludf.DUMMYFUNCTION("""COMPUTED_VALUE"""),"Selesai")</f>
        <v>Selesai</v>
      </c>
      <c r="L1587" s="17">
        <f>IFERROR(__xludf.DUMMYFUNCTION("""COMPUTED_VALUE"""),45736.59909592592)</f>
        <v>45736.5991</v>
      </c>
      <c r="M1587" s="13"/>
      <c r="N1587" s="13" t="str">
        <f>IFERROR(__xludf.DUMMYFUNCTION("""COMPUTED_VALUE"""),"")</f>
        <v/>
      </c>
      <c r="O1587" s="13" t="str">
        <f t="shared" si="1"/>
        <v/>
      </c>
    </row>
    <row r="1588" ht="22.5" customHeight="1">
      <c r="B1588" s="13">
        <f>IFERROR(__xludf.DUMMYFUNCTION("""COMPUTED_VALUE"""),1583.0)</f>
        <v>1583</v>
      </c>
      <c r="C1588" s="13" t="str">
        <f>IFERROR(__xludf.DUMMYFUNCTION("""COMPUTED_VALUE"""),"M.3012/SUKARAME II")</f>
        <v>M.3012/SUKARAME II</v>
      </c>
      <c r="D1588" s="13" t="str">
        <f>IFERROR(__xludf.DUMMYFUNCTION("""COMPUTED_VALUE"""),"K/13/130325/2")</f>
        <v>K/13/130325/2</v>
      </c>
      <c r="E1588" s="14" t="str">
        <f>IFERROR(__xludf.DUMMYFUNCTION("""COMPUTED_VALUE"""),"Nadian (BT)")</f>
        <v>Nadian (BT)</v>
      </c>
      <c r="F1588" s="14" t="str">
        <f>IFERROR(__xludf.DUMMYFUNCTION("""COMPUTED_VALUE"""),"SELESAI (VIA PERMOHONAN)")</f>
        <v>SELESAI (VIA PERMOHONAN)</v>
      </c>
      <c r="G1588" s="17">
        <f>IFERROR(__xludf.DUMMYFUNCTION("""COMPUTED_VALUE"""),45736.53639861111)</f>
        <v>45736.5364</v>
      </c>
      <c r="H1588" s="14" t="str">
        <f>IFERROR(__xludf.DUMMYFUNCTION("""COMPUTED_VALUE"""),"Bu Eva (SU)")</f>
        <v>Bu Eva (SU)</v>
      </c>
      <c r="I1588" s="13" t="str">
        <f>IFERROR(__xludf.DUMMYFUNCTION("""COMPUTED_VALUE"""),"SELESAI (VIA PERMOHONAN)")</f>
        <v>SELESAI (VIA PERMOHONAN)</v>
      </c>
      <c r="J1588" s="17">
        <f>IFERROR(__xludf.DUMMYFUNCTION("""COMPUTED_VALUE"""),45736.59909592592)</f>
        <v>45736.5991</v>
      </c>
      <c r="K1588" s="13" t="str">
        <f>IFERROR(__xludf.DUMMYFUNCTION("""COMPUTED_VALUE"""),"Selesai")</f>
        <v>Selesai</v>
      </c>
      <c r="L1588" s="17">
        <f>IFERROR(__xludf.DUMMYFUNCTION("""COMPUTED_VALUE"""),45736.59909592592)</f>
        <v>45736.5991</v>
      </c>
      <c r="M1588" s="13"/>
      <c r="N1588" s="13" t="str">
        <f>IFERROR(__xludf.DUMMYFUNCTION("""COMPUTED_VALUE"""),"")</f>
        <v/>
      </c>
      <c r="O1588" s="13" t="str">
        <f t="shared" si="1"/>
        <v/>
      </c>
    </row>
    <row r="1589" ht="22.5" customHeight="1">
      <c r="B1589" s="13">
        <f>IFERROR(__xludf.DUMMYFUNCTION("""COMPUTED_VALUE"""),1584.0)</f>
        <v>1584</v>
      </c>
      <c r="C1589" s="13" t="str">
        <f>IFERROR(__xludf.DUMMYFUNCTION("""COMPUTED_VALUE"""),"HM 11567/SEGALA MIDER")</f>
        <v>HM 11567/SEGALA MIDER</v>
      </c>
      <c r="D1589" s="13" t="str">
        <f>IFERROR(__xludf.DUMMYFUNCTION("""COMPUTED_VALUE"""),"L/2/140325/1")</f>
        <v>L/2/140325/1</v>
      </c>
      <c r="E1589" s="14" t="str">
        <f>IFERROR(__xludf.DUMMYFUNCTION("""COMPUTED_VALUE"""),"Nadian (BT)")</f>
        <v>Nadian (BT)</v>
      </c>
      <c r="F1589" s="14" t="str">
        <f>IFERROR(__xludf.DUMMYFUNCTION("""COMPUTED_VALUE"""),"SELESAI (VIA PERMOHONAN)")</f>
        <v>SELESAI (VIA PERMOHONAN)</v>
      </c>
      <c r="G1589" s="17">
        <f>IFERROR(__xludf.DUMMYFUNCTION("""COMPUTED_VALUE"""),45736.63171956019)</f>
        <v>45736.63172</v>
      </c>
      <c r="H1589" s="14" t="str">
        <f>IFERROR(__xludf.DUMMYFUNCTION("""COMPUTED_VALUE"""),"Bu Eva (SU)")</f>
        <v>Bu Eva (SU)</v>
      </c>
      <c r="I1589" s="13" t="str">
        <f>IFERROR(__xludf.DUMMYFUNCTION("""COMPUTED_VALUE"""),"SELESAI (VIA PERMOHONAN)")</f>
        <v>SELESAI (VIA PERMOHONAN)</v>
      </c>
      <c r="J1589" s="17">
        <f>IFERROR(__xludf.DUMMYFUNCTION("""COMPUTED_VALUE"""),45740.61049039352)</f>
        <v>45740.61049</v>
      </c>
      <c r="K1589" s="13" t="str">
        <f>IFERROR(__xludf.DUMMYFUNCTION("""COMPUTED_VALUE"""),"Selesai")</f>
        <v>Selesai</v>
      </c>
      <c r="L1589" s="17">
        <f>IFERROR(__xludf.DUMMYFUNCTION("""COMPUTED_VALUE"""),45740.61049039352)</f>
        <v>45740.61049</v>
      </c>
      <c r="M1589" s="13"/>
      <c r="N1589" s="13" t="str">
        <f>IFERROR(__xludf.DUMMYFUNCTION("""COMPUTED_VALUE"""),"")</f>
        <v/>
      </c>
      <c r="O1589" s="13" t="str">
        <f t="shared" si="1"/>
        <v/>
      </c>
    </row>
    <row r="1590" ht="22.5" customHeight="1">
      <c r="B1590" s="13">
        <f>IFERROR(__xludf.DUMMYFUNCTION("""COMPUTED_VALUE"""),1585.0)</f>
        <v>1585</v>
      </c>
      <c r="C1590" s="13" t="str">
        <f>IFERROR(__xludf.DUMMYFUNCTION("""COMPUTED_VALUE"""),"M. 555/ Sumber rejo")</f>
        <v>M. 555/ Sumber rejo</v>
      </c>
      <c r="D1590" s="13" t="str">
        <f>IFERROR(__xludf.DUMMYFUNCTION("""COMPUTED_VALUE"""),"K/19/130325/1")</f>
        <v>K/19/130325/1</v>
      </c>
      <c r="E1590" s="14" t="str">
        <f>IFERROR(__xludf.DUMMYFUNCTION("""COMPUTED_VALUE"""),"Afriza (BT)")</f>
        <v>Afriza (BT)</v>
      </c>
      <c r="F1590" s="14" t="str">
        <f>IFERROR(__xludf.DUMMYFUNCTION("""COMPUTED_VALUE"""),"SELESAI (VIA PERMOHONAN)")</f>
        <v>SELESAI (VIA PERMOHONAN)</v>
      </c>
      <c r="G1590" s="17">
        <f>IFERROR(__xludf.DUMMYFUNCTION("""COMPUTED_VALUE"""),45740.41777280092)</f>
        <v>45740.41777</v>
      </c>
      <c r="H1590" s="14" t="str">
        <f>IFERROR(__xludf.DUMMYFUNCTION("""COMPUTED_VALUE"""),"Bu Eva (SU)")</f>
        <v>Bu Eva (SU)</v>
      </c>
      <c r="I1590" s="13" t="str">
        <f>IFERROR(__xludf.DUMMYFUNCTION("""COMPUTED_VALUE"""),"SELESAI (VIA PERMOHONAN)")</f>
        <v>SELESAI (VIA PERMOHONAN)</v>
      </c>
      <c r="J1590" s="17">
        <f>IFERROR(__xludf.DUMMYFUNCTION("""COMPUTED_VALUE"""),45740.61049039352)</f>
        <v>45740.61049</v>
      </c>
      <c r="K1590" s="13" t="str">
        <f>IFERROR(__xludf.DUMMYFUNCTION("""COMPUTED_VALUE"""),"Selesai")</f>
        <v>Selesai</v>
      </c>
      <c r="L1590" s="17">
        <f>IFERROR(__xludf.DUMMYFUNCTION("""COMPUTED_VALUE"""),45740.61049039352)</f>
        <v>45740.61049</v>
      </c>
      <c r="M1590" s="13"/>
      <c r="N1590" s="13" t="str">
        <f>IFERROR(__xludf.DUMMYFUNCTION("""COMPUTED_VALUE"""),"")</f>
        <v/>
      </c>
      <c r="O1590" s="13" t="str">
        <f t="shared" si="1"/>
        <v/>
      </c>
    </row>
    <row r="1591" ht="22.5" customHeight="1">
      <c r="B1591" s="13">
        <f>IFERROR(__xludf.DUMMYFUNCTION("""COMPUTED_VALUE"""),1586.0)</f>
        <v>1586</v>
      </c>
      <c r="C1591" s="13" t="str">
        <f>IFERROR(__xludf.DUMMYFUNCTION("""COMPUTED_VALUE"""),"M. 610/ Sawah Brebes")</f>
        <v>M. 610/ Sawah Brebes</v>
      </c>
      <c r="D1591" s="13" t="str">
        <f>IFERROR(__xludf.DUMMYFUNCTION("""COMPUTED_VALUE"""),"K/53/130325/1")</f>
        <v>K/53/130325/1</v>
      </c>
      <c r="E1591" s="14" t="str">
        <f>IFERROR(__xludf.DUMMYFUNCTION("""COMPUTED_VALUE"""),"Afriza (BT)")</f>
        <v>Afriza (BT)</v>
      </c>
      <c r="F1591" s="14" t="str">
        <f>IFERROR(__xludf.DUMMYFUNCTION("""COMPUTED_VALUE"""),"SELESAI (VIA PERMOHONAN)")</f>
        <v>SELESAI (VIA PERMOHONAN)</v>
      </c>
      <c r="G1591" s="17">
        <f>IFERROR(__xludf.DUMMYFUNCTION("""COMPUTED_VALUE"""),45740.41777280092)</f>
        <v>45740.41777</v>
      </c>
      <c r="H1591" s="14" t="str">
        <f>IFERROR(__xludf.DUMMYFUNCTION("""COMPUTED_VALUE"""),"Bu Eva (SU)")</f>
        <v>Bu Eva (SU)</v>
      </c>
      <c r="I1591" s="13" t="str">
        <f>IFERROR(__xludf.DUMMYFUNCTION("""COMPUTED_VALUE"""),"SELESAI (VIA PERMOHONAN)")</f>
        <v>SELESAI (VIA PERMOHONAN)</v>
      </c>
      <c r="J1591" s="17">
        <f>IFERROR(__xludf.DUMMYFUNCTION("""COMPUTED_VALUE"""),45740.61049039352)</f>
        <v>45740.61049</v>
      </c>
      <c r="K1591" s="13" t="str">
        <f>IFERROR(__xludf.DUMMYFUNCTION("""COMPUTED_VALUE"""),"Selesai")</f>
        <v>Selesai</v>
      </c>
      <c r="L1591" s="17">
        <f>IFERROR(__xludf.DUMMYFUNCTION("""COMPUTED_VALUE"""),45740.61049039352)</f>
        <v>45740.61049</v>
      </c>
      <c r="M1591" s="13"/>
      <c r="N1591" s="13" t="str">
        <f>IFERROR(__xludf.DUMMYFUNCTION("""COMPUTED_VALUE"""),"")</f>
        <v/>
      </c>
      <c r="O1591" s="13" t="str">
        <f t="shared" si="1"/>
        <v/>
      </c>
    </row>
    <row r="1592" ht="22.5" customHeight="1">
      <c r="B1592" s="13">
        <f>IFERROR(__xludf.DUMMYFUNCTION("""COMPUTED_VALUE"""),1587.0)</f>
        <v>1587</v>
      </c>
      <c r="C1592" s="13" t="str">
        <f>IFERROR(__xludf.DUMMYFUNCTION("""COMPUTED_VALUE"""),"M. 161/ Sukaraja")</f>
        <v>M. 161/ Sukaraja</v>
      </c>
      <c r="D1592" s="13" t="str">
        <f>IFERROR(__xludf.DUMMYFUNCTION("""COMPUTED_VALUE"""),"K/12/120325/2")</f>
        <v>K/12/120325/2</v>
      </c>
      <c r="E1592" s="14" t="str">
        <f>IFERROR(__xludf.DUMMYFUNCTION("""COMPUTED_VALUE"""),"Afriza (BT)")</f>
        <v>Afriza (BT)</v>
      </c>
      <c r="F1592" s="14" t="str">
        <f>IFERROR(__xludf.DUMMYFUNCTION("""COMPUTED_VALUE"""),"SELESAI (VIA PERMOHONAN)")</f>
        <v>SELESAI (VIA PERMOHONAN)</v>
      </c>
      <c r="G1592" s="17">
        <f>IFERROR(__xludf.DUMMYFUNCTION("""COMPUTED_VALUE"""),45740.41777280092)</f>
        <v>45740.41777</v>
      </c>
      <c r="H1592" s="14" t="str">
        <f>IFERROR(__xludf.DUMMYFUNCTION("""COMPUTED_VALUE"""),"Bu Eva (SU)")</f>
        <v>Bu Eva (SU)</v>
      </c>
      <c r="I1592" s="13" t="str">
        <f>IFERROR(__xludf.DUMMYFUNCTION("""COMPUTED_VALUE"""),"SELESAI (VIA PERMOHONAN)")</f>
        <v>SELESAI (VIA PERMOHONAN)</v>
      </c>
      <c r="J1592" s="17">
        <f>IFERROR(__xludf.DUMMYFUNCTION("""COMPUTED_VALUE"""),45740.61049039352)</f>
        <v>45740.61049</v>
      </c>
      <c r="K1592" s="13" t="str">
        <f>IFERROR(__xludf.DUMMYFUNCTION("""COMPUTED_VALUE"""),"Selesai")</f>
        <v>Selesai</v>
      </c>
      <c r="L1592" s="17">
        <f>IFERROR(__xludf.DUMMYFUNCTION("""COMPUTED_VALUE"""),45740.61049039352)</f>
        <v>45740.61049</v>
      </c>
      <c r="M1592" s="13"/>
      <c r="N1592" s="13" t="str">
        <f>IFERROR(__xludf.DUMMYFUNCTION("""COMPUTED_VALUE"""),"")</f>
        <v/>
      </c>
      <c r="O1592" s="13" t="str">
        <f t="shared" si="1"/>
        <v/>
      </c>
    </row>
    <row r="1593" ht="22.5" customHeight="1">
      <c r="B1593" s="13">
        <f>IFERROR(__xludf.DUMMYFUNCTION("""COMPUTED_VALUE"""),1588.0)</f>
        <v>1588</v>
      </c>
      <c r="C1593" s="13" t="str">
        <f>IFERROR(__xludf.DUMMYFUNCTION("""COMPUTED_VALUE"""),"M. 225/ Bumi Raya")</f>
        <v>M. 225/ Bumi Raya</v>
      </c>
      <c r="D1593" s="13" t="str">
        <f>IFERROR(__xludf.DUMMYFUNCTION("""COMPUTED_VALUE"""),"K/28/140325/2")</f>
        <v>K/28/140325/2</v>
      </c>
      <c r="E1593" s="14" t="str">
        <f>IFERROR(__xludf.DUMMYFUNCTION("""COMPUTED_VALUE"""),"Afriza (BT)")</f>
        <v>Afriza (BT)</v>
      </c>
      <c r="F1593" s="14" t="str">
        <f>IFERROR(__xludf.DUMMYFUNCTION("""COMPUTED_VALUE"""),"SELESAI (VIA PERMOHONAN)")</f>
        <v>SELESAI (VIA PERMOHONAN)</v>
      </c>
      <c r="G1593" s="17">
        <f>IFERROR(__xludf.DUMMYFUNCTION("""COMPUTED_VALUE"""),45740.4177728125)</f>
        <v>45740.41777</v>
      </c>
      <c r="H1593" s="14" t="str">
        <f>IFERROR(__xludf.DUMMYFUNCTION("""COMPUTED_VALUE"""),"Bu Eva (SU)")</f>
        <v>Bu Eva (SU)</v>
      </c>
      <c r="I1593" s="13" t="str">
        <f>IFERROR(__xludf.DUMMYFUNCTION("""COMPUTED_VALUE"""),"SELESAI (VIA PERMOHONAN)")</f>
        <v>SELESAI (VIA PERMOHONAN)</v>
      </c>
      <c r="J1593" s="17">
        <f>IFERROR(__xludf.DUMMYFUNCTION("""COMPUTED_VALUE"""),45740.61051427083)</f>
        <v>45740.61051</v>
      </c>
      <c r="K1593" s="13" t="str">
        <f>IFERROR(__xludf.DUMMYFUNCTION("""COMPUTED_VALUE"""),"Selesai")</f>
        <v>Selesai</v>
      </c>
      <c r="L1593" s="17">
        <f>IFERROR(__xludf.DUMMYFUNCTION("""COMPUTED_VALUE"""),45740.61051427083)</f>
        <v>45740.61051</v>
      </c>
      <c r="M1593" s="13"/>
      <c r="N1593" s="13" t="str">
        <f>IFERROR(__xludf.DUMMYFUNCTION("""COMPUTED_VALUE"""),"")</f>
        <v/>
      </c>
      <c r="O1593" s="13" t="str">
        <f t="shared" si="1"/>
        <v/>
      </c>
    </row>
    <row r="1594" ht="22.5" customHeight="1">
      <c r="B1594" s="13">
        <f>IFERROR(__xludf.DUMMYFUNCTION("""COMPUTED_VALUE"""),1589.0)</f>
        <v>1589</v>
      </c>
      <c r="C1594" s="13" t="str">
        <f>IFERROR(__xludf.DUMMYFUNCTION("""COMPUTED_VALUE"""),"M. 66/ Kali Balau Kencana")</f>
        <v>M. 66/ Kali Balau Kencana</v>
      </c>
      <c r="D1594" s="13" t="str">
        <f>IFERROR(__xludf.DUMMYFUNCTION("""COMPUTED_VALUE"""),"K/52/130325/2")</f>
        <v>K/52/130325/2</v>
      </c>
      <c r="E1594" s="14" t="str">
        <f>IFERROR(__xludf.DUMMYFUNCTION("""COMPUTED_VALUE"""),"Afriza (BT)")</f>
        <v>Afriza (BT)</v>
      </c>
      <c r="F1594" s="14" t="str">
        <f>IFERROR(__xludf.DUMMYFUNCTION("""COMPUTED_VALUE"""),"SELESAI (VIA PERMOHONAN)")</f>
        <v>SELESAI (VIA PERMOHONAN)</v>
      </c>
      <c r="G1594" s="17">
        <f>IFERROR(__xludf.DUMMYFUNCTION("""COMPUTED_VALUE"""),45740.4177728125)</f>
        <v>45740.41777</v>
      </c>
      <c r="H1594" s="14" t="str">
        <f>IFERROR(__xludf.DUMMYFUNCTION("""COMPUTED_VALUE"""),"Bu Eva (SU)")</f>
        <v>Bu Eva (SU)</v>
      </c>
      <c r="I1594" s="13" t="str">
        <f>IFERROR(__xludf.DUMMYFUNCTION("""COMPUTED_VALUE"""),"SELESAI (VIA PERMOHONAN)")</f>
        <v>SELESAI (VIA PERMOHONAN)</v>
      </c>
      <c r="J1594" s="17">
        <f>IFERROR(__xludf.DUMMYFUNCTION("""COMPUTED_VALUE"""),45740.61051427083)</f>
        <v>45740.61051</v>
      </c>
      <c r="K1594" s="13" t="str">
        <f>IFERROR(__xludf.DUMMYFUNCTION("""COMPUTED_VALUE"""),"Selesai")</f>
        <v>Selesai</v>
      </c>
      <c r="L1594" s="17">
        <f>IFERROR(__xludf.DUMMYFUNCTION("""COMPUTED_VALUE"""),45740.61051427083)</f>
        <v>45740.61051</v>
      </c>
      <c r="M1594" s="13"/>
      <c r="N1594" s="13" t="str">
        <f>IFERROR(__xludf.DUMMYFUNCTION("""COMPUTED_VALUE"""),"")</f>
        <v/>
      </c>
      <c r="O1594" s="13" t="str">
        <f t="shared" si="1"/>
        <v/>
      </c>
    </row>
    <row r="1595" ht="22.5" customHeight="1">
      <c r="B1595" s="13">
        <f>IFERROR(__xludf.DUMMYFUNCTION("""COMPUTED_VALUE"""),1590.0)</f>
        <v>1590</v>
      </c>
      <c r="C1595" s="13" t="str">
        <f>IFERROR(__xludf.DUMMYFUNCTION("""COMPUTED_VALUE"""),"B. 161/ Sumber Agung")</f>
        <v>B. 161/ Sumber Agung</v>
      </c>
      <c r="D1595" s="13" t="str">
        <f>IFERROR(__xludf.DUMMYFUNCTION("""COMPUTED_VALUE"""),"K/10/280225/1")</f>
        <v>K/10/280225/1</v>
      </c>
      <c r="E1595" s="14" t="str">
        <f>IFERROR(__xludf.DUMMYFUNCTION("""COMPUTED_VALUE"""),"Afriza (BT)")</f>
        <v>Afriza (BT)</v>
      </c>
      <c r="F1595" s="14" t="str">
        <f>IFERROR(__xludf.DUMMYFUNCTION("""COMPUTED_VALUE"""),"SELESAI (VIA PERMOHONAN)")</f>
        <v>SELESAI (VIA PERMOHONAN)</v>
      </c>
      <c r="G1595" s="17">
        <f>IFERROR(__xludf.DUMMYFUNCTION("""COMPUTED_VALUE"""),45740.4177728125)</f>
        <v>45740.41777</v>
      </c>
      <c r="H1595" s="14" t="str">
        <f>IFERROR(__xludf.DUMMYFUNCTION("""COMPUTED_VALUE"""),"Bu Eva (SU)")</f>
        <v>Bu Eva (SU)</v>
      </c>
      <c r="I1595" s="13" t="str">
        <f>IFERROR(__xludf.DUMMYFUNCTION("""COMPUTED_VALUE"""),"SELESAI (VIA PERMOHONAN)")</f>
        <v>SELESAI (VIA PERMOHONAN)</v>
      </c>
      <c r="J1595" s="17">
        <f>IFERROR(__xludf.DUMMYFUNCTION("""COMPUTED_VALUE"""),45740.61051427083)</f>
        <v>45740.61051</v>
      </c>
      <c r="K1595" s="13" t="str">
        <f>IFERROR(__xludf.DUMMYFUNCTION("""COMPUTED_VALUE"""),"Selesai")</f>
        <v>Selesai</v>
      </c>
      <c r="L1595" s="17">
        <f>IFERROR(__xludf.DUMMYFUNCTION("""COMPUTED_VALUE"""),45740.61051427083)</f>
        <v>45740.61051</v>
      </c>
      <c r="M1595" s="13"/>
      <c r="N1595" s="13" t="str">
        <f>IFERROR(__xludf.DUMMYFUNCTION("""COMPUTED_VALUE"""),"")</f>
        <v/>
      </c>
      <c r="O1595" s="13" t="str">
        <f t="shared" si="1"/>
        <v/>
      </c>
    </row>
    <row r="1596" ht="22.5" customHeight="1">
      <c r="B1596" s="13">
        <f>IFERROR(__xludf.DUMMYFUNCTION("""COMPUTED_VALUE"""),1591.0)</f>
        <v>1591</v>
      </c>
      <c r="C1596" s="13" t="str">
        <f>IFERROR(__xludf.DUMMYFUNCTION("""COMPUTED_VALUE"""),"M. 9557/ Kampung Baru")</f>
        <v>M. 9557/ Kampung Baru</v>
      </c>
      <c r="D1596" s="13" t="str">
        <f>IFERROR(__xludf.DUMMYFUNCTION("""COMPUTED_VALUE"""),"K/10/130325/3")</f>
        <v>K/10/130325/3</v>
      </c>
      <c r="E1596" s="14" t="str">
        <f>IFERROR(__xludf.DUMMYFUNCTION("""COMPUTED_VALUE"""),"Afriza (BT)")</f>
        <v>Afriza (BT)</v>
      </c>
      <c r="F1596" s="14" t="str">
        <f>IFERROR(__xludf.DUMMYFUNCTION("""COMPUTED_VALUE"""),"SELESAI (VIA PERMOHONAN)")</f>
        <v>SELESAI (VIA PERMOHONAN)</v>
      </c>
      <c r="G1596" s="17">
        <f>IFERROR(__xludf.DUMMYFUNCTION("""COMPUTED_VALUE"""),45740.4177728125)</f>
        <v>45740.41777</v>
      </c>
      <c r="H1596" s="14" t="str">
        <f>IFERROR(__xludf.DUMMYFUNCTION("""COMPUTED_VALUE"""),"Bu Eva (SU)")</f>
        <v>Bu Eva (SU)</v>
      </c>
      <c r="I1596" s="13" t="str">
        <f>IFERROR(__xludf.DUMMYFUNCTION("""COMPUTED_VALUE"""),"SELESAI (VIA PERMOHONAN)")</f>
        <v>SELESAI (VIA PERMOHONAN)</v>
      </c>
      <c r="J1596" s="17">
        <f>IFERROR(__xludf.DUMMYFUNCTION("""COMPUTED_VALUE"""),45740.61051427083)</f>
        <v>45740.61051</v>
      </c>
      <c r="K1596" s="13" t="str">
        <f>IFERROR(__xludf.DUMMYFUNCTION("""COMPUTED_VALUE"""),"Selesai")</f>
        <v>Selesai</v>
      </c>
      <c r="L1596" s="17">
        <f>IFERROR(__xludf.DUMMYFUNCTION("""COMPUTED_VALUE"""),45740.61051427083)</f>
        <v>45740.61051</v>
      </c>
      <c r="M1596" s="13"/>
      <c r="N1596" s="13" t="str">
        <f>IFERROR(__xludf.DUMMYFUNCTION("""COMPUTED_VALUE"""),"")</f>
        <v/>
      </c>
      <c r="O1596" s="13" t="str">
        <f t="shared" si="1"/>
        <v/>
      </c>
    </row>
    <row r="1597" ht="22.5" customHeight="1">
      <c r="B1597" s="13">
        <f>IFERROR(__xludf.DUMMYFUNCTION("""COMPUTED_VALUE"""),1592.0)</f>
        <v>1592</v>
      </c>
      <c r="C1597" s="13" t="str">
        <f>IFERROR(__xludf.DUMMYFUNCTION("""COMPUTED_VALUE"""),"M. 2670/ Langkapura")</f>
        <v>M. 2670/ Langkapura</v>
      </c>
      <c r="D1597" s="13" t="str">
        <f>IFERROR(__xludf.DUMMYFUNCTION("""COMPUTED_VALUE"""),"K/41/130325/1")</f>
        <v>K/41/130325/1</v>
      </c>
      <c r="E1597" s="14" t="str">
        <f>IFERROR(__xludf.DUMMYFUNCTION("""COMPUTED_VALUE"""),"Afriza (BT)")</f>
        <v>Afriza (BT)</v>
      </c>
      <c r="F1597" s="14" t="str">
        <f>IFERROR(__xludf.DUMMYFUNCTION("""COMPUTED_VALUE"""),"SELESAI (VIA PERMOHONAN)")</f>
        <v>SELESAI (VIA PERMOHONAN)</v>
      </c>
      <c r="G1597" s="17">
        <f>IFERROR(__xludf.DUMMYFUNCTION("""COMPUTED_VALUE"""),45740.4177728125)</f>
        <v>45740.41777</v>
      </c>
      <c r="H1597" s="14" t="str">
        <f>IFERROR(__xludf.DUMMYFUNCTION("""COMPUTED_VALUE"""),"Bu Eva (SU)")</f>
        <v>Bu Eva (SU)</v>
      </c>
      <c r="I1597" s="13" t="str">
        <f>IFERROR(__xludf.DUMMYFUNCTION("""COMPUTED_VALUE"""),"SELESAI (VIA PERMOHONAN)")</f>
        <v>SELESAI (VIA PERMOHONAN)</v>
      </c>
      <c r="J1597" s="17">
        <f>IFERROR(__xludf.DUMMYFUNCTION("""COMPUTED_VALUE"""),45740.61057892361)</f>
        <v>45740.61058</v>
      </c>
      <c r="K1597" s="13" t="str">
        <f>IFERROR(__xludf.DUMMYFUNCTION("""COMPUTED_VALUE"""),"Selesai")</f>
        <v>Selesai</v>
      </c>
      <c r="L1597" s="17">
        <f>IFERROR(__xludf.DUMMYFUNCTION("""COMPUTED_VALUE"""),45740.61057892361)</f>
        <v>45740.61058</v>
      </c>
      <c r="M1597" s="13"/>
      <c r="N1597" s="13" t="str">
        <f>IFERROR(__xludf.DUMMYFUNCTION("""COMPUTED_VALUE"""),"")</f>
        <v/>
      </c>
      <c r="O1597" s="13" t="str">
        <f t="shared" si="1"/>
        <v/>
      </c>
    </row>
    <row r="1598" ht="22.5" customHeight="1">
      <c r="B1598" s="13">
        <f>IFERROR(__xludf.DUMMYFUNCTION("""COMPUTED_VALUE"""),1593.0)</f>
        <v>1593</v>
      </c>
      <c r="C1598" s="13" t="str">
        <f>IFERROR(__xludf.DUMMYFUNCTION("""COMPUTED_VALUE"""),"M,2167/PERUMNAS WAY HALIM")</f>
        <v>M,2167/PERUMNAS WAY HALIM</v>
      </c>
      <c r="D1598" s="13" t="str">
        <f>IFERROR(__xludf.DUMMYFUNCTION("""COMPUTED_VALUE"""),"K/25/140325/1")</f>
        <v>K/25/140325/1</v>
      </c>
      <c r="E1598" s="14" t="str">
        <f>IFERROR(__xludf.DUMMYFUNCTION("""COMPUTED_VALUE"""),"Nadian (BT)")</f>
        <v>Nadian (BT)</v>
      </c>
      <c r="F1598" s="14" t="str">
        <f>IFERROR(__xludf.DUMMYFUNCTION("""COMPUTED_VALUE"""),"SELESAI (VIA PERMOHONAN)")</f>
        <v>SELESAI (VIA PERMOHONAN)</v>
      </c>
      <c r="G1598" s="17">
        <f>IFERROR(__xludf.DUMMYFUNCTION("""COMPUTED_VALUE"""),45741.5192678125)</f>
        <v>45741.51927</v>
      </c>
      <c r="H1598" s="14" t="str">
        <f>IFERROR(__xludf.DUMMYFUNCTION("""COMPUTED_VALUE"""),"Bu Eva (SU)")</f>
        <v>Bu Eva (SU)</v>
      </c>
      <c r="I1598" s="13" t="str">
        <f>IFERROR(__xludf.DUMMYFUNCTION("""COMPUTED_VALUE"""),"SELESAI (VIA PERMOHONAN)")</f>
        <v>SELESAI (VIA PERMOHONAN)</v>
      </c>
      <c r="J1598" s="17">
        <f>IFERROR(__xludf.DUMMYFUNCTION("""COMPUTED_VALUE"""),45743.59167309028)</f>
        <v>45743.59167</v>
      </c>
      <c r="K1598" s="13" t="str">
        <f>IFERROR(__xludf.DUMMYFUNCTION("""COMPUTED_VALUE"""),"Selesai")</f>
        <v>Selesai</v>
      </c>
      <c r="L1598" s="17">
        <f>IFERROR(__xludf.DUMMYFUNCTION("""COMPUTED_VALUE"""),45743.59167309028)</f>
        <v>45743.59167</v>
      </c>
      <c r="M1598" s="13"/>
      <c r="N1598" s="13" t="str">
        <f>IFERROR(__xludf.DUMMYFUNCTION("""COMPUTED_VALUE"""),"")</f>
        <v/>
      </c>
      <c r="O1598" s="13" t="str">
        <f t="shared" si="1"/>
        <v/>
      </c>
    </row>
    <row r="1599" ht="22.5" customHeight="1">
      <c r="B1599" s="13">
        <f>IFERROR(__xludf.DUMMYFUNCTION("""COMPUTED_VALUE"""),1594.0)</f>
        <v>1594</v>
      </c>
      <c r="C1599" s="13" t="str">
        <f>IFERROR(__xludf.DUMMYFUNCTION("""COMPUTED_VALUE"""),"B.95/LABUHAN RATU")</f>
        <v>B.95/LABUHAN RATU</v>
      </c>
      <c r="D1599" s="13" t="str">
        <f>IFERROR(__xludf.DUMMYFUNCTION("""COMPUTED_VALUE"""),"K/24/140325/1")</f>
        <v>K/24/140325/1</v>
      </c>
      <c r="E1599" s="14" t="str">
        <f>IFERROR(__xludf.DUMMYFUNCTION("""COMPUTED_VALUE"""),"Nadian (BT)")</f>
        <v>Nadian (BT)</v>
      </c>
      <c r="F1599" s="14" t="str">
        <f>IFERROR(__xludf.DUMMYFUNCTION("""COMPUTED_VALUE"""),"SELESAI (VIA PERMOHONAN)")</f>
        <v>SELESAI (VIA PERMOHONAN)</v>
      </c>
      <c r="G1599" s="17">
        <f>IFERROR(__xludf.DUMMYFUNCTION("""COMPUTED_VALUE"""),45741.5192678125)</f>
        <v>45741.51927</v>
      </c>
      <c r="H1599" s="14" t="str">
        <f>IFERROR(__xludf.DUMMYFUNCTION("""COMPUTED_VALUE"""),"Bu Eva (SU)")</f>
        <v>Bu Eva (SU)</v>
      </c>
      <c r="I1599" s="13" t="str">
        <f>IFERROR(__xludf.DUMMYFUNCTION("""COMPUTED_VALUE"""),"SELESAI (VIA PERMOHONAN)")</f>
        <v>SELESAI (VIA PERMOHONAN)</v>
      </c>
      <c r="J1599" s="17">
        <f>IFERROR(__xludf.DUMMYFUNCTION("""COMPUTED_VALUE"""),45743.59167309028)</f>
        <v>45743.59167</v>
      </c>
      <c r="K1599" s="13" t="str">
        <f>IFERROR(__xludf.DUMMYFUNCTION("""COMPUTED_VALUE"""),"Selesai")</f>
        <v>Selesai</v>
      </c>
      <c r="L1599" s="17">
        <f>IFERROR(__xludf.DUMMYFUNCTION("""COMPUTED_VALUE"""),45743.59167309028)</f>
        <v>45743.59167</v>
      </c>
      <c r="M1599" s="13"/>
      <c r="N1599" s="13" t="str">
        <f>IFERROR(__xludf.DUMMYFUNCTION("""COMPUTED_VALUE"""),"")</f>
        <v/>
      </c>
      <c r="O1599" s="13" t="str">
        <f t="shared" si="1"/>
        <v/>
      </c>
    </row>
    <row r="1600" ht="22.5" customHeight="1">
      <c r="B1600" s="13">
        <f>IFERROR(__xludf.DUMMYFUNCTION("""COMPUTED_VALUE"""),1595.0)</f>
        <v>1595</v>
      </c>
      <c r="C1600" s="13" t="str">
        <f>IFERROR(__xludf.DUMMYFUNCTION("""COMPUTED_VALUE"""),"M.2574/KOTA KARANG")</f>
        <v>M.2574/KOTA KARANG</v>
      </c>
      <c r="D1600" s="13" t="str">
        <f>IFERROR(__xludf.DUMMYFUNCTION("""COMPUTED_VALUE"""),"K/3/280225/1")</f>
        <v>K/3/280225/1</v>
      </c>
      <c r="E1600" s="14" t="str">
        <f>IFERROR(__xludf.DUMMYFUNCTION("""COMPUTED_VALUE"""),"Nadian (BT)")</f>
        <v>Nadian (BT)</v>
      </c>
      <c r="F1600" s="14" t="str">
        <f>IFERROR(__xludf.DUMMYFUNCTION("""COMPUTED_VALUE"""),"SELESAI (VIA PERMOHONAN)")</f>
        <v>SELESAI (VIA PERMOHONAN)</v>
      </c>
      <c r="G1600" s="17">
        <f>IFERROR(__xludf.DUMMYFUNCTION("""COMPUTED_VALUE"""),45741.5192678125)</f>
        <v>45741.51927</v>
      </c>
      <c r="H1600" s="14" t="str">
        <f>IFERROR(__xludf.DUMMYFUNCTION("""COMPUTED_VALUE"""),"Bu Eva (SU)")</f>
        <v>Bu Eva (SU)</v>
      </c>
      <c r="I1600" s="13" t="str">
        <f>IFERROR(__xludf.DUMMYFUNCTION("""COMPUTED_VALUE"""),"SELESAI (VIA PERMOHONAN)")</f>
        <v>SELESAI (VIA PERMOHONAN)</v>
      </c>
      <c r="J1600" s="17">
        <f>IFERROR(__xludf.DUMMYFUNCTION("""COMPUTED_VALUE"""),45743.59167309028)</f>
        <v>45743.59167</v>
      </c>
      <c r="K1600" s="13" t="str">
        <f>IFERROR(__xludf.DUMMYFUNCTION("""COMPUTED_VALUE"""),"Selesai")</f>
        <v>Selesai</v>
      </c>
      <c r="L1600" s="17">
        <f>IFERROR(__xludf.DUMMYFUNCTION("""COMPUTED_VALUE"""),45743.59167309028)</f>
        <v>45743.59167</v>
      </c>
      <c r="M1600" s="13"/>
      <c r="N1600" s="13" t="str">
        <f>IFERROR(__xludf.DUMMYFUNCTION("""COMPUTED_VALUE"""),"")</f>
        <v/>
      </c>
      <c r="O1600" s="13" t="str">
        <f t="shared" si="1"/>
        <v/>
      </c>
    </row>
    <row r="1601" ht="22.5" customHeight="1">
      <c r="B1601" s="13">
        <f>IFERROR(__xludf.DUMMYFUNCTION("""COMPUTED_VALUE"""),1596.0)</f>
        <v>1596</v>
      </c>
      <c r="C1601" s="13" t="str">
        <f>IFERROR(__xludf.DUMMYFUNCTION("""COMPUTED_VALUE"""),"M.1475/BUMI KEDAMAIAN")</f>
        <v>M.1475/BUMI KEDAMAIAN</v>
      </c>
      <c r="D1601" s="13" t="str">
        <f>IFERROR(__xludf.DUMMYFUNCTION("""COMPUTED_VALUE"""),"K/44/120325/1")</f>
        <v>K/44/120325/1</v>
      </c>
      <c r="E1601" s="14" t="str">
        <f>IFERROR(__xludf.DUMMYFUNCTION("""COMPUTED_VALUE"""),"Nadian (BT)")</f>
        <v>Nadian (BT)</v>
      </c>
      <c r="F1601" s="14" t="str">
        <f>IFERROR(__xludf.DUMMYFUNCTION("""COMPUTED_VALUE"""),"SELESAI (VIA PERMOHONAN)")</f>
        <v>SELESAI (VIA PERMOHONAN)</v>
      </c>
      <c r="G1601" s="17">
        <f>IFERROR(__xludf.DUMMYFUNCTION("""COMPUTED_VALUE"""),45741.5192678125)</f>
        <v>45741.51927</v>
      </c>
      <c r="H1601" s="14" t="str">
        <f>IFERROR(__xludf.DUMMYFUNCTION("""COMPUTED_VALUE"""),"Bu Eva (SU)")</f>
        <v>Bu Eva (SU)</v>
      </c>
      <c r="I1601" s="13" t="str">
        <f>IFERROR(__xludf.DUMMYFUNCTION("""COMPUTED_VALUE"""),"SELESAI (VIA PERMOHONAN)")</f>
        <v>SELESAI (VIA PERMOHONAN)</v>
      </c>
      <c r="J1601" s="17">
        <f>IFERROR(__xludf.DUMMYFUNCTION("""COMPUTED_VALUE"""),45743.59167310185)</f>
        <v>45743.59167</v>
      </c>
      <c r="K1601" s="13" t="str">
        <f>IFERROR(__xludf.DUMMYFUNCTION("""COMPUTED_VALUE"""),"Selesai")</f>
        <v>Selesai</v>
      </c>
      <c r="L1601" s="17">
        <f>IFERROR(__xludf.DUMMYFUNCTION("""COMPUTED_VALUE"""),45743.59167310185)</f>
        <v>45743.59167</v>
      </c>
      <c r="M1601" s="13"/>
      <c r="N1601" s="13" t="str">
        <f>IFERROR(__xludf.DUMMYFUNCTION("""COMPUTED_VALUE"""),"")</f>
        <v/>
      </c>
      <c r="O1601" s="13" t="str">
        <f t="shared" si="1"/>
        <v/>
      </c>
    </row>
    <row r="1602" ht="22.5" customHeight="1">
      <c r="B1602" s="13">
        <f>IFERROR(__xludf.DUMMYFUNCTION("""COMPUTED_VALUE"""),1597.0)</f>
        <v>1597</v>
      </c>
      <c r="C1602" s="13" t="str">
        <f>IFERROR(__xludf.DUMMYFUNCTION("""COMPUTED_VALUE"""),"M.3028/SUKARAME II")</f>
        <v>M.3028/SUKARAME II</v>
      </c>
      <c r="D1602" s="13" t="str">
        <f>IFERROR(__xludf.DUMMYFUNCTION("""COMPUTED_VALUE"""),"K/12/130325/1")</f>
        <v>K/12/130325/1</v>
      </c>
      <c r="E1602" s="14" t="str">
        <f>IFERROR(__xludf.DUMMYFUNCTION("""COMPUTED_VALUE"""),"Nadian (BT)")</f>
        <v>Nadian (BT)</v>
      </c>
      <c r="F1602" s="14" t="str">
        <f>IFERROR(__xludf.DUMMYFUNCTION("""COMPUTED_VALUE"""),"SELESAI (VIA PERMOHONAN)")</f>
        <v>SELESAI (VIA PERMOHONAN)</v>
      </c>
      <c r="G1602" s="17">
        <f>IFERROR(__xludf.DUMMYFUNCTION("""COMPUTED_VALUE"""),45741.5192678125)</f>
        <v>45741.51927</v>
      </c>
      <c r="H1602" s="14" t="str">
        <f>IFERROR(__xludf.DUMMYFUNCTION("""COMPUTED_VALUE"""),"Bu Eva (SU)")</f>
        <v>Bu Eva (SU)</v>
      </c>
      <c r="I1602" s="13" t="str">
        <f>IFERROR(__xludf.DUMMYFUNCTION("""COMPUTED_VALUE"""),"SELESAI (VIA PERMOHONAN)")</f>
        <v>SELESAI (VIA PERMOHONAN)</v>
      </c>
      <c r="J1602" s="17">
        <f>IFERROR(__xludf.DUMMYFUNCTION("""COMPUTED_VALUE"""),45743.59167310185)</f>
        <v>45743.59167</v>
      </c>
      <c r="K1602" s="13" t="str">
        <f>IFERROR(__xludf.DUMMYFUNCTION("""COMPUTED_VALUE"""),"Selesai")</f>
        <v>Selesai</v>
      </c>
      <c r="L1602" s="17">
        <f>IFERROR(__xludf.DUMMYFUNCTION("""COMPUTED_VALUE"""),45743.59167310185)</f>
        <v>45743.59167</v>
      </c>
      <c r="M1602" s="13"/>
      <c r="N1602" s="13" t="str">
        <f>IFERROR(__xludf.DUMMYFUNCTION("""COMPUTED_VALUE"""),"")</f>
        <v/>
      </c>
      <c r="O1602" s="13" t="str">
        <f t="shared" si="1"/>
        <v/>
      </c>
    </row>
    <row r="1603" ht="22.5" customHeight="1">
      <c r="B1603" s="13">
        <f>IFERROR(__xludf.DUMMYFUNCTION("""COMPUTED_VALUE"""),1598.0)</f>
        <v>1598</v>
      </c>
      <c r="C1603" s="13" t="str">
        <f>IFERROR(__xludf.DUMMYFUNCTION("""COMPUTED_VALUE"""),"M. 1700/SUKARAME II")</f>
        <v>M. 1700/SUKARAME II</v>
      </c>
      <c r="D1603" s="13" t="str">
        <f>IFERROR(__xludf.DUMMYFUNCTION("""COMPUTED_VALUE"""),"K/12/110325/2")</f>
        <v>K/12/110325/2</v>
      </c>
      <c r="E1603" s="14" t="str">
        <f>IFERROR(__xludf.DUMMYFUNCTION("""COMPUTED_VALUE"""),"Nadian (BT)")</f>
        <v>Nadian (BT)</v>
      </c>
      <c r="F1603" s="14" t="str">
        <f>IFERROR(__xludf.DUMMYFUNCTION("""COMPUTED_VALUE"""),"SELESAI (VIA PERMOHONAN)")</f>
        <v>SELESAI (VIA PERMOHONAN)</v>
      </c>
      <c r="G1603" s="17">
        <f>IFERROR(__xludf.DUMMYFUNCTION("""COMPUTED_VALUE"""),45741.5192678125)</f>
        <v>45741.51927</v>
      </c>
      <c r="H1603" s="14" t="str">
        <f>IFERROR(__xludf.DUMMYFUNCTION("""COMPUTED_VALUE"""),"Bu Eva (SU)")</f>
        <v>Bu Eva (SU)</v>
      </c>
      <c r="I1603" s="13" t="str">
        <f>IFERROR(__xludf.DUMMYFUNCTION("""COMPUTED_VALUE"""),"SELESAI (VIA PERMOHONAN)")</f>
        <v>SELESAI (VIA PERMOHONAN)</v>
      </c>
      <c r="J1603" s="17">
        <f>IFERROR(__xludf.DUMMYFUNCTION("""COMPUTED_VALUE"""),45743.59167310185)</f>
        <v>45743.59167</v>
      </c>
      <c r="K1603" s="13" t="str">
        <f>IFERROR(__xludf.DUMMYFUNCTION("""COMPUTED_VALUE"""),"Selesai")</f>
        <v>Selesai</v>
      </c>
      <c r="L1603" s="17">
        <f>IFERROR(__xludf.DUMMYFUNCTION("""COMPUTED_VALUE"""),45743.59167310185)</f>
        <v>45743.59167</v>
      </c>
      <c r="M1603" s="13"/>
      <c r="N1603" s="13" t="str">
        <f>IFERROR(__xludf.DUMMYFUNCTION("""COMPUTED_VALUE"""),"")</f>
        <v/>
      </c>
      <c r="O1603" s="13" t="str">
        <f t="shared" si="1"/>
        <v/>
      </c>
    </row>
    <row r="1604" ht="22.5" customHeight="1">
      <c r="B1604" s="13">
        <f>IFERROR(__xludf.DUMMYFUNCTION("""COMPUTED_VALUE"""),1599.0)</f>
        <v>1599</v>
      </c>
      <c r="C1604" s="13" t="str">
        <f>IFERROR(__xludf.DUMMYFUNCTION("""COMPUTED_VALUE"""),"M. 3014/SUKARAME II")</f>
        <v>M. 3014/SUKARAME II</v>
      </c>
      <c r="D1604" s="13" t="str">
        <f>IFERROR(__xludf.DUMMYFUNCTION("""COMPUTED_VALUE"""),"K/26/120325/1")</f>
        <v>K/26/120325/1</v>
      </c>
      <c r="E1604" s="14" t="str">
        <f>IFERROR(__xludf.DUMMYFUNCTION("""COMPUTED_VALUE"""),"Nadian (BT)")</f>
        <v>Nadian (BT)</v>
      </c>
      <c r="F1604" s="14" t="str">
        <f>IFERROR(__xludf.DUMMYFUNCTION("""COMPUTED_VALUE"""),"SELESAI (VIA PERMOHONAN)")</f>
        <v>SELESAI (VIA PERMOHONAN)</v>
      </c>
      <c r="G1604" s="17">
        <f>IFERROR(__xludf.DUMMYFUNCTION("""COMPUTED_VALUE"""),45741.5192678125)</f>
        <v>45741.51927</v>
      </c>
      <c r="H1604" s="14" t="str">
        <f>IFERROR(__xludf.DUMMYFUNCTION("""COMPUTED_VALUE"""),"Bu Eva (SU)")</f>
        <v>Bu Eva (SU)</v>
      </c>
      <c r="I1604" s="13" t="str">
        <f>IFERROR(__xludf.DUMMYFUNCTION("""COMPUTED_VALUE"""),"SELESAI (VIA PERMOHONAN)")</f>
        <v>SELESAI (VIA PERMOHONAN)</v>
      </c>
      <c r="J1604" s="17">
        <f>IFERROR(__xludf.DUMMYFUNCTION("""COMPUTED_VALUE"""),45743.59167310185)</f>
        <v>45743.59167</v>
      </c>
      <c r="K1604" s="13" t="str">
        <f>IFERROR(__xludf.DUMMYFUNCTION("""COMPUTED_VALUE"""),"Selesai")</f>
        <v>Selesai</v>
      </c>
      <c r="L1604" s="17">
        <f>IFERROR(__xludf.DUMMYFUNCTION("""COMPUTED_VALUE"""),45743.59167310185)</f>
        <v>45743.59167</v>
      </c>
      <c r="M1604" s="13"/>
      <c r="N1604" s="13" t="str">
        <f>IFERROR(__xludf.DUMMYFUNCTION("""COMPUTED_VALUE"""),"")</f>
        <v/>
      </c>
      <c r="O1604" s="13" t="str">
        <f t="shared" si="1"/>
        <v/>
      </c>
    </row>
    <row r="1605" ht="22.5" customHeight="1">
      <c r="B1605" s="13">
        <f>IFERROR(__xludf.DUMMYFUNCTION("""COMPUTED_VALUE"""),1600.0)</f>
        <v>1600</v>
      </c>
      <c r="C1605" s="13" t="str">
        <f>IFERROR(__xludf.DUMMYFUNCTION("""COMPUTED_VALUE"""),"M.1202/RAJABASA RAYA")</f>
        <v>M.1202/RAJABASA RAYA</v>
      </c>
      <c r="D1605" s="13" t="str">
        <f>IFERROR(__xludf.DUMMYFUNCTION("""COMPUTED_VALUE"""),"K/25/070325/2")</f>
        <v>K/25/070325/2</v>
      </c>
      <c r="E1605" s="14" t="str">
        <f>IFERROR(__xludf.DUMMYFUNCTION("""COMPUTED_VALUE"""),"Nadian (BT)")</f>
        <v>Nadian (BT)</v>
      </c>
      <c r="F1605" s="14" t="str">
        <f>IFERROR(__xludf.DUMMYFUNCTION("""COMPUTED_VALUE"""),"SELESAI (VIA PERMOHONAN)")</f>
        <v>SELESAI (VIA PERMOHONAN)</v>
      </c>
      <c r="G1605" s="17">
        <f>IFERROR(__xludf.DUMMYFUNCTION("""COMPUTED_VALUE"""),45741.5192678125)</f>
        <v>45741.51927</v>
      </c>
      <c r="H1605" s="14" t="str">
        <f>IFERROR(__xludf.DUMMYFUNCTION("""COMPUTED_VALUE"""),"Bu Eva (SU)")</f>
        <v>Bu Eva (SU)</v>
      </c>
      <c r="I1605" s="13" t="str">
        <f>IFERROR(__xludf.DUMMYFUNCTION("""COMPUTED_VALUE"""),"SELESAI (VIA PERMOHONAN)")</f>
        <v>SELESAI (VIA PERMOHONAN)</v>
      </c>
      <c r="J1605" s="17">
        <f>IFERROR(__xludf.DUMMYFUNCTION("""COMPUTED_VALUE"""),45743.59171548611)</f>
        <v>45743.59172</v>
      </c>
      <c r="K1605" s="13" t="str">
        <f>IFERROR(__xludf.DUMMYFUNCTION("""COMPUTED_VALUE"""),"Selesai")</f>
        <v>Selesai</v>
      </c>
      <c r="L1605" s="17">
        <f>IFERROR(__xludf.DUMMYFUNCTION("""COMPUTED_VALUE"""),45743.59171548611)</f>
        <v>45743.59172</v>
      </c>
      <c r="M1605" s="13"/>
      <c r="N1605" s="13" t="str">
        <f>IFERROR(__xludf.DUMMYFUNCTION("""COMPUTED_VALUE"""),"")</f>
        <v/>
      </c>
      <c r="O1605" s="13" t="str">
        <f t="shared" si="1"/>
        <v/>
      </c>
    </row>
    <row r="1606" ht="22.5" customHeight="1">
      <c r="B1606" s="13">
        <f>IFERROR(__xludf.DUMMYFUNCTION("""COMPUTED_VALUE"""),1601.0)</f>
        <v>1601</v>
      </c>
      <c r="C1606" s="13" t="str">
        <f>IFERROR(__xludf.DUMMYFUNCTION("""COMPUTED_VALUE"""),"B.694/KEMILING PERMAI")</f>
        <v>B.694/KEMILING PERMAI</v>
      </c>
      <c r="D1606" s="13" t="str">
        <f>IFERROR(__xludf.DUMMYFUNCTION("""COMPUTED_VALUE"""),"K/37/060325/2")</f>
        <v>K/37/060325/2</v>
      </c>
      <c r="E1606" s="14" t="str">
        <f>IFERROR(__xludf.DUMMYFUNCTION("""COMPUTED_VALUE"""),"Nadian (BT)")</f>
        <v>Nadian (BT)</v>
      </c>
      <c r="F1606" s="14" t="str">
        <f>IFERROR(__xludf.DUMMYFUNCTION("""COMPUTED_VALUE"""),"SELESAI (VIA PERMOHONAN)")</f>
        <v>SELESAI (VIA PERMOHONAN)</v>
      </c>
      <c r="G1606" s="17">
        <f>IFERROR(__xludf.DUMMYFUNCTION("""COMPUTED_VALUE"""),45741.5192678125)</f>
        <v>45741.51927</v>
      </c>
      <c r="H1606" s="14" t="str">
        <f>IFERROR(__xludf.DUMMYFUNCTION("""COMPUTED_VALUE"""),"Bu Eva (SU)")</f>
        <v>Bu Eva (SU)</v>
      </c>
      <c r="I1606" s="13" t="str">
        <f>IFERROR(__xludf.DUMMYFUNCTION("""COMPUTED_VALUE"""),"SELESAI (VIA PERMOHONAN)")</f>
        <v>SELESAI (VIA PERMOHONAN)</v>
      </c>
      <c r="J1606" s="17">
        <f>IFERROR(__xludf.DUMMYFUNCTION("""COMPUTED_VALUE"""),45743.59171548611)</f>
        <v>45743.59172</v>
      </c>
      <c r="K1606" s="13" t="str">
        <f>IFERROR(__xludf.DUMMYFUNCTION("""COMPUTED_VALUE"""),"Selesai")</f>
        <v>Selesai</v>
      </c>
      <c r="L1606" s="17">
        <f>IFERROR(__xludf.DUMMYFUNCTION("""COMPUTED_VALUE"""),45743.59171548611)</f>
        <v>45743.59172</v>
      </c>
      <c r="M1606" s="13"/>
      <c r="N1606" s="13" t="str">
        <f>IFERROR(__xludf.DUMMYFUNCTION("""COMPUTED_VALUE"""),"")</f>
        <v/>
      </c>
      <c r="O1606" s="13" t="str">
        <f t="shared" si="1"/>
        <v/>
      </c>
    </row>
    <row r="1607" ht="22.5" customHeight="1">
      <c r="B1607" s="13">
        <f>IFERROR(__xludf.DUMMYFUNCTION("""COMPUTED_VALUE"""),1602.0)</f>
        <v>1602</v>
      </c>
      <c r="C1607" s="13" t="str">
        <f>IFERROR(__xludf.DUMMYFUNCTION("""COMPUTED_VALUE"""),"M.1130/KANGKUNG")</f>
        <v>M.1130/KANGKUNG</v>
      </c>
      <c r="D1607" s="13" t="str">
        <f>IFERROR(__xludf.DUMMYFUNCTION("""COMPUTED_VALUE"""),"K/13/070325/2")</f>
        <v>K/13/070325/2</v>
      </c>
      <c r="E1607" s="14" t="str">
        <f>IFERROR(__xludf.DUMMYFUNCTION("""COMPUTED_VALUE"""),"Nadian (BT)")</f>
        <v>Nadian (BT)</v>
      </c>
      <c r="F1607" s="14" t="str">
        <f>IFERROR(__xludf.DUMMYFUNCTION("""COMPUTED_VALUE"""),"SELESAI (VIA PERMOHONAN)")</f>
        <v>SELESAI (VIA PERMOHONAN)</v>
      </c>
      <c r="G1607" s="17">
        <f>IFERROR(__xludf.DUMMYFUNCTION("""COMPUTED_VALUE"""),45741.5192678125)</f>
        <v>45741.51927</v>
      </c>
      <c r="H1607" s="14" t="str">
        <f>IFERROR(__xludf.DUMMYFUNCTION("""COMPUTED_VALUE"""),"Bu Eva (SU)")</f>
        <v>Bu Eva (SU)</v>
      </c>
      <c r="I1607" s="13" t="str">
        <f>IFERROR(__xludf.DUMMYFUNCTION("""COMPUTED_VALUE"""),"SELESAI (VIA PERMOHONAN)")</f>
        <v>SELESAI (VIA PERMOHONAN)</v>
      </c>
      <c r="J1607" s="17">
        <f>IFERROR(__xludf.DUMMYFUNCTION("""COMPUTED_VALUE"""),45743.59171548611)</f>
        <v>45743.59172</v>
      </c>
      <c r="K1607" s="13" t="str">
        <f>IFERROR(__xludf.DUMMYFUNCTION("""COMPUTED_VALUE"""),"Selesai")</f>
        <v>Selesai</v>
      </c>
      <c r="L1607" s="17">
        <f>IFERROR(__xludf.DUMMYFUNCTION("""COMPUTED_VALUE"""),45743.59171548611)</f>
        <v>45743.59172</v>
      </c>
      <c r="M1607" s="13"/>
      <c r="N1607" s="13" t="str">
        <f>IFERROR(__xludf.DUMMYFUNCTION("""COMPUTED_VALUE"""),"")</f>
        <v/>
      </c>
      <c r="O1607" s="13" t="str">
        <f t="shared" si="1"/>
        <v/>
      </c>
    </row>
    <row r="1608" ht="22.5" customHeight="1">
      <c r="B1608" s="13">
        <f>IFERROR(__xludf.DUMMYFUNCTION("""COMPUTED_VALUE"""),1603.0)</f>
        <v>1603</v>
      </c>
      <c r="C1608" s="13" t="str">
        <f>IFERROR(__xludf.DUMMYFUNCTION("""COMPUTED_VALUE"""),"M. 1838/ Rajabasa Nunyai")</f>
        <v>M. 1838/ Rajabasa Nunyai</v>
      </c>
      <c r="D1608" s="13" t="str">
        <f>IFERROR(__xludf.DUMMYFUNCTION("""COMPUTED_VALUE"""),"K/13/050325/1")</f>
        <v>K/13/050325/1</v>
      </c>
      <c r="E1608" s="14" t="str">
        <f>IFERROR(__xludf.DUMMYFUNCTION("""COMPUTED_VALUE"""),"Afriza (BT)")</f>
        <v>Afriza (BT)</v>
      </c>
      <c r="F1608" s="14" t="str">
        <f>IFERROR(__xludf.DUMMYFUNCTION("""COMPUTED_VALUE"""),"SELESAI (VIA PERMOHONAN)")</f>
        <v>SELESAI (VIA PERMOHONAN)</v>
      </c>
      <c r="G1608" s="17">
        <f>IFERROR(__xludf.DUMMYFUNCTION("""COMPUTED_VALUE"""),45741.52111802083)</f>
        <v>45741.52112</v>
      </c>
      <c r="H1608" s="14" t="str">
        <f>IFERROR(__xludf.DUMMYFUNCTION("""COMPUTED_VALUE"""),"Bu Eva (SU)")</f>
        <v>Bu Eva (SU)</v>
      </c>
      <c r="I1608" s="13" t="str">
        <f>IFERROR(__xludf.DUMMYFUNCTION("""COMPUTED_VALUE"""),"SELESAI (VIA PERMOHONAN)")</f>
        <v>SELESAI (VIA PERMOHONAN)</v>
      </c>
      <c r="J1608" s="17">
        <f>IFERROR(__xludf.DUMMYFUNCTION("""COMPUTED_VALUE"""),45743.59171548611)</f>
        <v>45743.59172</v>
      </c>
      <c r="K1608" s="13" t="str">
        <f>IFERROR(__xludf.DUMMYFUNCTION("""COMPUTED_VALUE"""),"Selesai")</f>
        <v>Selesai</v>
      </c>
      <c r="L1608" s="17">
        <f>IFERROR(__xludf.DUMMYFUNCTION("""COMPUTED_VALUE"""),45743.59171548611)</f>
        <v>45743.59172</v>
      </c>
      <c r="M1608" s="13"/>
      <c r="N1608" s="13" t="str">
        <f>IFERROR(__xludf.DUMMYFUNCTION("""COMPUTED_VALUE"""),"")</f>
        <v/>
      </c>
      <c r="O1608" s="13" t="str">
        <f t="shared" si="1"/>
        <v/>
      </c>
    </row>
    <row r="1609" ht="22.5" customHeight="1">
      <c r="B1609" s="13">
        <f>IFERROR(__xludf.DUMMYFUNCTION("""COMPUTED_VALUE"""),1604.0)</f>
        <v>1604</v>
      </c>
      <c r="C1609" s="13" t="str">
        <f>IFERROR(__xludf.DUMMYFUNCTION("""COMPUTED_VALUE"""),"M. 14879/ Sukarame")</f>
        <v>M. 14879/ Sukarame</v>
      </c>
      <c r="D1609" s="13" t="str">
        <f>IFERROR(__xludf.DUMMYFUNCTION("""COMPUTED_VALUE"""),"K/34/120325/1")</f>
        <v>K/34/120325/1</v>
      </c>
      <c r="E1609" s="14" t="str">
        <f>IFERROR(__xludf.DUMMYFUNCTION("""COMPUTED_VALUE"""),"Afriza (BT)")</f>
        <v>Afriza (BT)</v>
      </c>
      <c r="F1609" s="14" t="str">
        <f>IFERROR(__xludf.DUMMYFUNCTION("""COMPUTED_VALUE"""),"SELESAI (VIA PERMOHONAN)")</f>
        <v>SELESAI (VIA PERMOHONAN)</v>
      </c>
      <c r="G1609" s="17">
        <f>IFERROR(__xludf.DUMMYFUNCTION("""COMPUTED_VALUE"""),45742.43576047454)</f>
        <v>45742.43576</v>
      </c>
      <c r="H1609" s="14" t="str">
        <f>IFERROR(__xludf.DUMMYFUNCTION("""COMPUTED_VALUE"""),"Bu Eva (SU)")</f>
        <v>Bu Eva (SU)</v>
      </c>
      <c r="I1609" s="13" t="str">
        <f>IFERROR(__xludf.DUMMYFUNCTION("""COMPUTED_VALUE"""),"SELESAI (VIA PERMOHONAN)")</f>
        <v>SELESAI (VIA PERMOHONAN)</v>
      </c>
      <c r="J1609" s="17">
        <f>IFERROR(__xludf.DUMMYFUNCTION("""COMPUTED_VALUE"""),45743.59171548611)</f>
        <v>45743.59172</v>
      </c>
      <c r="K1609" s="13" t="str">
        <f>IFERROR(__xludf.DUMMYFUNCTION("""COMPUTED_VALUE"""),"Selesai")</f>
        <v>Selesai</v>
      </c>
      <c r="L1609" s="17">
        <f>IFERROR(__xludf.DUMMYFUNCTION("""COMPUTED_VALUE"""),45743.59171548611)</f>
        <v>45743.59172</v>
      </c>
      <c r="M1609" s="13"/>
      <c r="N1609" s="13" t="str">
        <f>IFERROR(__xludf.DUMMYFUNCTION("""COMPUTED_VALUE"""),"")</f>
        <v/>
      </c>
      <c r="O1609" s="13" t="str">
        <f t="shared" si="1"/>
        <v/>
      </c>
    </row>
    <row r="1610" ht="22.5" customHeight="1">
      <c r="B1610" s="13">
        <f>IFERROR(__xludf.DUMMYFUNCTION("""COMPUTED_VALUE"""),1605.0)</f>
        <v>1605</v>
      </c>
      <c r="C1610" s="13" t="str">
        <f>IFERROR(__xludf.DUMMYFUNCTION("""COMPUTED_VALUE"""),"M. 227/ Bumi Raya")</f>
        <v>M. 227/ Bumi Raya</v>
      </c>
      <c r="D1610" s="13" t="str">
        <f>IFERROR(__xludf.DUMMYFUNCTION("""COMPUTED_VALUE"""),"K/29/140325/3")</f>
        <v>K/29/140325/3</v>
      </c>
      <c r="E1610" s="14" t="str">
        <f>IFERROR(__xludf.DUMMYFUNCTION("""COMPUTED_VALUE"""),"Afriza (BT)")</f>
        <v>Afriza (BT)</v>
      </c>
      <c r="F1610" s="14" t="str">
        <f>IFERROR(__xludf.DUMMYFUNCTION("""COMPUTED_VALUE"""),"SELESAI (VIA PERMOHONAN)")</f>
        <v>SELESAI (VIA PERMOHONAN)</v>
      </c>
      <c r="G1610" s="17">
        <f>IFERROR(__xludf.DUMMYFUNCTION("""COMPUTED_VALUE"""),45742.435869849534)</f>
        <v>45742.43587</v>
      </c>
      <c r="H1610" s="14" t="str">
        <f>IFERROR(__xludf.DUMMYFUNCTION("""COMPUTED_VALUE"""),"Bu Eva (SU)")</f>
        <v>Bu Eva (SU)</v>
      </c>
      <c r="I1610" s="13" t="str">
        <f>IFERROR(__xludf.DUMMYFUNCTION("""COMPUTED_VALUE"""),"SELESAI (VIA PERMOHONAN)")</f>
        <v>SELESAI (VIA PERMOHONAN)</v>
      </c>
      <c r="J1610" s="17">
        <f>IFERROR(__xludf.DUMMYFUNCTION("""COMPUTED_VALUE"""),45743.59171548611)</f>
        <v>45743.59172</v>
      </c>
      <c r="K1610" s="13" t="str">
        <f>IFERROR(__xludf.DUMMYFUNCTION("""COMPUTED_VALUE"""),"Selesai")</f>
        <v>Selesai</v>
      </c>
      <c r="L1610" s="17">
        <f>IFERROR(__xludf.DUMMYFUNCTION("""COMPUTED_VALUE"""),45743.59171548611)</f>
        <v>45743.59172</v>
      </c>
      <c r="M1610" s="13"/>
      <c r="N1610" s="13" t="str">
        <f>IFERROR(__xludf.DUMMYFUNCTION("""COMPUTED_VALUE"""),"")</f>
        <v/>
      </c>
      <c r="O1610" s="13" t="str">
        <f t="shared" si="1"/>
        <v/>
      </c>
    </row>
    <row r="1611" ht="22.5" customHeight="1">
      <c r="B1611" s="13">
        <f>IFERROR(__xludf.DUMMYFUNCTION("""COMPUTED_VALUE"""),1606.0)</f>
        <v>1606</v>
      </c>
      <c r="C1611" s="13" t="str">
        <f>IFERROR(__xludf.DUMMYFUNCTION("""COMPUTED_VALUE"""),"B. 706/ Sumur Putri")</f>
        <v>B. 706/ Sumur Putri</v>
      </c>
      <c r="D1611" s="13" t="str">
        <f>IFERROR(__xludf.DUMMYFUNCTION("""COMPUTED_VALUE"""),"K/1/130325/1")</f>
        <v>K/1/130325/1</v>
      </c>
      <c r="E1611" s="14" t="str">
        <f>IFERROR(__xludf.DUMMYFUNCTION("""COMPUTED_VALUE"""),"Afriza (BT)")</f>
        <v>Afriza (BT)</v>
      </c>
      <c r="F1611" s="14" t="str">
        <f>IFERROR(__xludf.DUMMYFUNCTION("""COMPUTED_VALUE"""),"SELESAI (VIA PERMOHONAN)")</f>
        <v>SELESAI (VIA PERMOHONAN)</v>
      </c>
      <c r="G1611" s="17">
        <f>IFERROR(__xludf.DUMMYFUNCTION("""COMPUTED_VALUE"""),45742.43596538194)</f>
        <v>45742.43597</v>
      </c>
      <c r="H1611" s="14" t="str">
        <f>IFERROR(__xludf.DUMMYFUNCTION("""COMPUTED_VALUE"""),"Bu Eva (SU)")</f>
        <v>Bu Eva (SU)</v>
      </c>
      <c r="I1611" s="13" t="str">
        <f>IFERROR(__xludf.DUMMYFUNCTION("""COMPUTED_VALUE"""),"SELESAI (VIA PERMOHONAN)")</f>
        <v>SELESAI (VIA PERMOHONAN)</v>
      </c>
      <c r="J1611" s="17">
        <f>IFERROR(__xludf.DUMMYFUNCTION("""COMPUTED_VALUE"""),45743.59171548611)</f>
        <v>45743.59172</v>
      </c>
      <c r="K1611" s="13" t="str">
        <f>IFERROR(__xludf.DUMMYFUNCTION("""COMPUTED_VALUE"""),"Selesai")</f>
        <v>Selesai</v>
      </c>
      <c r="L1611" s="17">
        <f>IFERROR(__xludf.DUMMYFUNCTION("""COMPUTED_VALUE"""),45743.59171548611)</f>
        <v>45743.59172</v>
      </c>
      <c r="M1611" s="13"/>
      <c r="N1611" s="13" t="str">
        <f>IFERROR(__xludf.DUMMYFUNCTION("""COMPUTED_VALUE"""),"")</f>
        <v/>
      </c>
      <c r="O1611" s="13" t="str">
        <f t="shared" si="1"/>
        <v/>
      </c>
    </row>
    <row r="1612" ht="22.5" customHeight="1">
      <c r="B1612" s="13">
        <f>IFERROR(__xludf.DUMMYFUNCTION("""COMPUTED_VALUE"""),1607.0)</f>
        <v>1607</v>
      </c>
      <c r="C1612" s="13" t="str">
        <f>IFERROR(__xludf.DUMMYFUNCTION("""COMPUTED_VALUE"""),"B. 263/ Labuhan Ratu Raya")</f>
        <v>B. 263/ Labuhan Ratu Raya</v>
      </c>
      <c r="D1612" s="13" t="str">
        <f>IFERROR(__xludf.DUMMYFUNCTION("""COMPUTED_VALUE"""),"K/15/270225/2")</f>
        <v>K/15/270225/2</v>
      </c>
      <c r="E1612" s="14" t="str">
        <f>IFERROR(__xludf.DUMMYFUNCTION("""COMPUTED_VALUE"""),"Afriza (BT)")</f>
        <v>Afriza (BT)</v>
      </c>
      <c r="F1612" s="14" t="str">
        <f>IFERROR(__xludf.DUMMYFUNCTION("""COMPUTED_VALUE"""),"SELESAI (VIA PERMOHONAN)")</f>
        <v>SELESAI (VIA PERMOHONAN)</v>
      </c>
      <c r="G1612" s="17">
        <f>IFERROR(__xludf.DUMMYFUNCTION("""COMPUTED_VALUE"""),45742.43606261574)</f>
        <v>45742.43606</v>
      </c>
      <c r="H1612" s="14" t="str">
        <f>IFERROR(__xludf.DUMMYFUNCTION("""COMPUTED_VALUE"""),"Bu Eva (SU)")</f>
        <v>Bu Eva (SU)</v>
      </c>
      <c r="I1612" s="13" t="str">
        <f>IFERROR(__xludf.DUMMYFUNCTION("""COMPUTED_VALUE"""),"SELESAI (VIA PERMOHONAN)")</f>
        <v>SELESAI (VIA PERMOHONAN)</v>
      </c>
      <c r="J1612" s="17">
        <f>IFERROR(__xludf.DUMMYFUNCTION("""COMPUTED_VALUE"""),45743.59175415509)</f>
        <v>45743.59175</v>
      </c>
      <c r="K1612" s="13" t="str">
        <f>IFERROR(__xludf.DUMMYFUNCTION("""COMPUTED_VALUE"""),"Selesai")</f>
        <v>Selesai</v>
      </c>
      <c r="L1612" s="17">
        <f>IFERROR(__xludf.DUMMYFUNCTION("""COMPUTED_VALUE"""),45743.59175415509)</f>
        <v>45743.59175</v>
      </c>
      <c r="M1612" s="13"/>
      <c r="N1612" s="13" t="str">
        <f>IFERROR(__xludf.DUMMYFUNCTION("""COMPUTED_VALUE"""),"")</f>
        <v/>
      </c>
      <c r="O1612" s="13" t="str">
        <f t="shared" si="1"/>
        <v/>
      </c>
    </row>
    <row r="1613" ht="22.5" customHeight="1">
      <c r="B1613" s="13">
        <f>IFERROR(__xludf.DUMMYFUNCTION("""COMPUTED_VALUE"""),1608.0)</f>
        <v>1608</v>
      </c>
      <c r="C1613" s="13" t="str">
        <f>IFERROR(__xludf.DUMMYFUNCTION("""COMPUTED_VALUE"""),"M. 894/ Perwata")</f>
        <v>M. 894/ Perwata</v>
      </c>
      <c r="D1613" s="13" t="str">
        <f>IFERROR(__xludf.DUMMYFUNCTION("""COMPUTED_VALUE"""),"K/25/030325/1")</f>
        <v>K/25/030325/1</v>
      </c>
      <c r="E1613" s="14" t="str">
        <f>IFERROR(__xludf.DUMMYFUNCTION("""COMPUTED_VALUE"""),"Afriza (BT)")</f>
        <v>Afriza (BT)</v>
      </c>
      <c r="F1613" s="14" t="str">
        <f>IFERROR(__xludf.DUMMYFUNCTION("""COMPUTED_VALUE"""),"SELESAI (VIA PERMOHONAN)")</f>
        <v>SELESAI (VIA PERMOHONAN)</v>
      </c>
      <c r="G1613" s="17">
        <f>IFERROR(__xludf.DUMMYFUNCTION("""COMPUTED_VALUE"""),45742.43623040509)</f>
        <v>45742.43623</v>
      </c>
      <c r="H1613" s="14" t="str">
        <f>IFERROR(__xludf.DUMMYFUNCTION("""COMPUTED_VALUE"""),"Bu Eva (SU)")</f>
        <v>Bu Eva (SU)</v>
      </c>
      <c r="I1613" s="13" t="str">
        <f>IFERROR(__xludf.DUMMYFUNCTION("""COMPUTED_VALUE"""),"SELESAI (VIA PERMOHONAN)")</f>
        <v>SELESAI (VIA PERMOHONAN)</v>
      </c>
      <c r="J1613" s="17">
        <f>IFERROR(__xludf.DUMMYFUNCTION("""COMPUTED_VALUE"""),45743.59175415509)</f>
        <v>45743.59175</v>
      </c>
      <c r="K1613" s="13" t="str">
        <f>IFERROR(__xludf.DUMMYFUNCTION("""COMPUTED_VALUE"""),"Selesai")</f>
        <v>Selesai</v>
      </c>
      <c r="L1613" s="17">
        <f>IFERROR(__xludf.DUMMYFUNCTION("""COMPUTED_VALUE"""),45743.59175415509)</f>
        <v>45743.59175</v>
      </c>
      <c r="M1613" s="13"/>
      <c r="N1613" s="13" t="str">
        <f>IFERROR(__xludf.DUMMYFUNCTION("""COMPUTED_VALUE"""),"")</f>
        <v/>
      </c>
      <c r="O1613" s="13" t="str">
        <f t="shared" si="1"/>
        <v/>
      </c>
    </row>
    <row r="1614" ht="22.5" customHeight="1">
      <c r="B1614" s="13">
        <f>IFERROR(__xludf.DUMMYFUNCTION("""COMPUTED_VALUE"""),1609.0)</f>
        <v>1609</v>
      </c>
      <c r="C1614" s="13" t="str">
        <f>IFERROR(__xludf.DUMMYFUNCTION("""COMPUTED_VALUE"""),"M. 1355/ batu Putuk")</f>
        <v>M. 1355/ batu Putuk</v>
      </c>
      <c r="D1614" s="13" t="str">
        <f>IFERROR(__xludf.DUMMYFUNCTION("""COMPUTED_VALUE"""),"K/23/260225/1")</f>
        <v>K/23/260225/1</v>
      </c>
      <c r="E1614" s="14" t="str">
        <f>IFERROR(__xludf.DUMMYFUNCTION("""COMPUTED_VALUE"""),"Afriza (BT)")</f>
        <v>Afriza (BT)</v>
      </c>
      <c r="F1614" s="14" t="str">
        <f>IFERROR(__xludf.DUMMYFUNCTION("""COMPUTED_VALUE"""),"SELESAI (VIA PERMOHONAN)")</f>
        <v>SELESAI (VIA PERMOHONAN)</v>
      </c>
      <c r="G1614" s="17">
        <f>IFERROR(__xludf.DUMMYFUNCTION("""COMPUTED_VALUE"""),45742.436316458334)</f>
        <v>45742.43632</v>
      </c>
      <c r="H1614" s="14" t="str">
        <f>IFERROR(__xludf.DUMMYFUNCTION("""COMPUTED_VALUE"""),"Bu Eva (SU)")</f>
        <v>Bu Eva (SU)</v>
      </c>
      <c r="I1614" s="13" t="str">
        <f>IFERROR(__xludf.DUMMYFUNCTION("""COMPUTED_VALUE"""),"SELESAI (VIA PERMOHONAN)")</f>
        <v>SELESAI (VIA PERMOHONAN)</v>
      </c>
      <c r="J1614" s="17">
        <f>IFERROR(__xludf.DUMMYFUNCTION("""COMPUTED_VALUE"""),45743.59175416667)</f>
        <v>45743.59175</v>
      </c>
      <c r="K1614" s="13" t="str">
        <f>IFERROR(__xludf.DUMMYFUNCTION("""COMPUTED_VALUE"""),"Selesai")</f>
        <v>Selesai</v>
      </c>
      <c r="L1614" s="17">
        <f>IFERROR(__xludf.DUMMYFUNCTION("""COMPUTED_VALUE"""),45743.59175416667)</f>
        <v>45743.59175</v>
      </c>
      <c r="M1614" s="13"/>
      <c r="N1614" s="13" t="str">
        <f>IFERROR(__xludf.DUMMYFUNCTION("""COMPUTED_VALUE"""),"")</f>
        <v/>
      </c>
      <c r="O1614" s="13" t="str">
        <f t="shared" si="1"/>
        <v/>
      </c>
    </row>
    <row r="1615" ht="22.5" customHeight="1">
      <c r="B1615" s="13">
        <f>IFERROR(__xludf.DUMMYFUNCTION("""COMPUTED_VALUE"""),1610.0)</f>
        <v>1610</v>
      </c>
      <c r="C1615" s="13" t="str">
        <f>IFERROR(__xludf.DUMMYFUNCTION("""COMPUTED_VALUE"""),"M. 16166/ Sukarame")</f>
        <v>M. 16166/ Sukarame</v>
      </c>
      <c r="D1615" s="13" t="str">
        <f>IFERROR(__xludf.DUMMYFUNCTION("""COMPUTED_VALUE"""),"K/14/070325/1")</f>
        <v>K/14/070325/1</v>
      </c>
      <c r="E1615" s="14" t="str">
        <f>IFERROR(__xludf.DUMMYFUNCTION("""COMPUTED_VALUE"""),"Afriza (BT)")</f>
        <v>Afriza (BT)</v>
      </c>
      <c r="F1615" s="14" t="str">
        <f>IFERROR(__xludf.DUMMYFUNCTION("""COMPUTED_VALUE"""),"SELESAI (VIA PERMOHONAN)")</f>
        <v>SELESAI (VIA PERMOHONAN)</v>
      </c>
      <c r="G1615" s="17">
        <f>IFERROR(__xludf.DUMMYFUNCTION("""COMPUTED_VALUE"""),45742.43641350695)</f>
        <v>45742.43641</v>
      </c>
      <c r="H1615" s="14" t="str">
        <f>IFERROR(__xludf.DUMMYFUNCTION("""COMPUTED_VALUE"""),"Bu Eva (SU)")</f>
        <v>Bu Eva (SU)</v>
      </c>
      <c r="I1615" s="13" t="str">
        <f>IFERROR(__xludf.DUMMYFUNCTION("""COMPUTED_VALUE"""),"SELESAI (VIA PERMOHONAN)")</f>
        <v>SELESAI (VIA PERMOHONAN)</v>
      </c>
      <c r="J1615" s="17">
        <f>IFERROR(__xludf.DUMMYFUNCTION("""COMPUTED_VALUE"""),45743.59175416667)</f>
        <v>45743.59175</v>
      </c>
      <c r="K1615" s="13" t="str">
        <f>IFERROR(__xludf.DUMMYFUNCTION("""COMPUTED_VALUE"""),"Selesai")</f>
        <v>Selesai</v>
      </c>
      <c r="L1615" s="17">
        <f>IFERROR(__xludf.DUMMYFUNCTION("""COMPUTED_VALUE"""),45743.59175416667)</f>
        <v>45743.59175</v>
      </c>
      <c r="M1615" s="13"/>
      <c r="N1615" s="13" t="str">
        <f>IFERROR(__xludf.DUMMYFUNCTION("""COMPUTED_VALUE"""),"")</f>
        <v/>
      </c>
      <c r="O1615" s="13" t="str">
        <f t="shared" si="1"/>
        <v/>
      </c>
    </row>
    <row r="1616" ht="22.5" customHeight="1">
      <c r="B1616" s="13">
        <f>IFERROR(__xludf.DUMMYFUNCTION("""COMPUTED_VALUE"""),1611.0)</f>
        <v>1611</v>
      </c>
      <c r="C1616" s="13" t="str">
        <f>IFERROR(__xludf.DUMMYFUNCTION("""COMPUTED_VALUE"""),"HM 101,102/SUMUR PUTRI")</f>
        <v>HM 101,102/SUMUR PUTRI</v>
      </c>
      <c r="D1616" s="13" t="str">
        <f>IFERROR(__xludf.DUMMYFUNCTION("""COMPUTED_VALUE"""),"L/16/170325/1")</f>
        <v>L/16/170325/1</v>
      </c>
      <c r="E1616" s="14" t="str">
        <f>IFERROR(__xludf.DUMMYFUNCTION("""COMPUTED_VALUE"""),"Afriza (BT)")</f>
        <v>Afriza (BT)</v>
      </c>
      <c r="F1616" s="14" t="str">
        <f>IFERROR(__xludf.DUMMYFUNCTION("""COMPUTED_VALUE"""),"SELESAI (VIA PERMOHONAN)")</f>
        <v>SELESAI (VIA PERMOHONAN)</v>
      </c>
      <c r="G1616" s="17">
        <f>IFERROR(__xludf.DUMMYFUNCTION("""COMPUTED_VALUE"""),45742.43655162037)</f>
        <v>45742.43655</v>
      </c>
      <c r="H1616" s="14" t="str">
        <f>IFERROR(__xludf.DUMMYFUNCTION("""COMPUTED_VALUE"""),"Bu Eva (SU)")</f>
        <v>Bu Eva (SU)</v>
      </c>
      <c r="I1616" s="13" t="str">
        <f>IFERROR(__xludf.DUMMYFUNCTION("""COMPUTED_VALUE"""),"SELESAI (VIA PERMOHONAN)")</f>
        <v>SELESAI (VIA PERMOHONAN)</v>
      </c>
      <c r="J1616" s="17">
        <f>IFERROR(__xludf.DUMMYFUNCTION("""COMPUTED_VALUE"""),45743.59175416667)</f>
        <v>45743.59175</v>
      </c>
      <c r="K1616" s="13" t="str">
        <f>IFERROR(__xludf.DUMMYFUNCTION("""COMPUTED_VALUE"""),"Selesai")</f>
        <v>Selesai</v>
      </c>
      <c r="L1616" s="17">
        <f>IFERROR(__xludf.DUMMYFUNCTION("""COMPUTED_VALUE"""),45743.59175416667)</f>
        <v>45743.59175</v>
      </c>
      <c r="M1616" s="13"/>
      <c r="N1616" s="13" t="str">
        <f>IFERROR(__xludf.DUMMYFUNCTION("""COMPUTED_VALUE"""),"")</f>
        <v/>
      </c>
      <c r="O1616" s="13" t="str">
        <f t="shared" si="1"/>
        <v/>
      </c>
    </row>
    <row r="1617" ht="22.5" customHeight="1">
      <c r="B1617" s="13">
        <f>IFERROR(__xludf.DUMMYFUNCTION("""COMPUTED_VALUE"""),1612.0)</f>
        <v>1612</v>
      </c>
      <c r="C1617" s="13" t="str">
        <f>IFERROR(__xludf.DUMMYFUNCTION("""COMPUTED_VALUE"""),"HM 9900/KEDAMAIAN")</f>
        <v>HM 9900/KEDAMAIAN</v>
      </c>
      <c r="D1617" s="13" t="str">
        <f>IFERROR(__xludf.DUMMYFUNCTION("""COMPUTED_VALUE"""),"L/28/040325/1")</f>
        <v>L/28/040325/1</v>
      </c>
      <c r="E1617" s="14" t="str">
        <f>IFERROR(__xludf.DUMMYFUNCTION("""COMPUTED_VALUE"""),"Afriza (BT)")</f>
        <v>Afriza (BT)</v>
      </c>
      <c r="F1617" s="14" t="str">
        <f>IFERROR(__xludf.DUMMYFUNCTION("""COMPUTED_VALUE"""),"SELESAI (VIA PERMOHONAN)")</f>
        <v>SELESAI (VIA PERMOHONAN)</v>
      </c>
      <c r="G1617" s="17">
        <f>IFERROR(__xludf.DUMMYFUNCTION("""COMPUTED_VALUE"""),45742.43664704861)</f>
        <v>45742.43665</v>
      </c>
      <c r="H1617" s="14" t="str">
        <f>IFERROR(__xludf.DUMMYFUNCTION("""COMPUTED_VALUE"""),"Bu Eva (SU)")</f>
        <v>Bu Eva (SU)</v>
      </c>
      <c r="I1617" s="13" t="str">
        <f>IFERROR(__xludf.DUMMYFUNCTION("""COMPUTED_VALUE"""),"SELESAI (VIA PERMOHONAN)")</f>
        <v>SELESAI (VIA PERMOHONAN)</v>
      </c>
      <c r="J1617" s="17">
        <f>IFERROR(__xludf.DUMMYFUNCTION("""COMPUTED_VALUE"""),45743.59175416667)</f>
        <v>45743.59175</v>
      </c>
      <c r="K1617" s="13" t="str">
        <f>IFERROR(__xludf.DUMMYFUNCTION("""COMPUTED_VALUE"""),"Selesai")</f>
        <v>Selesai</v>
      </c>
      <c r="L1617" s="17">
        <f>IFERROR(__xludf.DUMMYFUNCTION("""COMPUTED_VALUE"""),45743.59175416667)</f>
        <v>45743.59175</v>
      </c>
      <c r="M1617" s="13"/>
      <c r="N1617" s="13" t="str">
        <f>IFERROR(__xludf.DUMMYFUNCTION("""COMPUTED_VALUE"""),"")</f>
        <v/>
      </c>
      <c r="O1617" s="13" t="str">
        <f t="shared" si="1"/>
        <v/>
      </c>
    </row>
    <row r="1618" ht="22.5" customHeight="1">
      <c r="B1618" s="13">
        <f>IFERROR(__xludf.DUMMYFUNCTION("""COMPUTED_VALUE"""),1613.0)</f>
        <v>1613</v>
      </c>
      <c r="C1618" s="13" t="str">
        <f>IFERROR(__xludf.DUMMYFUNCTION("""COMPUTED_VALUE"""),"B.1223/KEMILING PERMAI")</f>
        <v>B.1223/KEMILING PERMAI</v>
      </c>
      <c r="D1618" s="13" t="str">
        <f>IFERROR(__xludf.DUMMYFUNCTION("""COMPUTED_VALUE"""),"K/33/190225/2")</f>
        <v>K/33/190225/2</v>
      </c>
      <c r="E1618" s="14" t="str">
        <f>IFERROR(__xludf.DUMMYFUNCTION("""COMPUTED_VALUE"""),"Afriza (BT)")</f>
        <v>Afriza (BT)</v>
      </c>
      <c r="F1618" s="14" t="str">
        <f>IFERROR(__xludf.DUMMYFUNCTION("""COMPUTED_VALUE"""),"SELESAI (VIA PERMOHONAN)")</f>
        <v>SELESAI (VIA PERMOHONAN)</v>
      </c>
      <c r="G1618" s="17">
        <f>IFERROR(__xludf.DUMMYFUNCTION("""COMPUTED_VALUE"""),45742.56285555556)</f>
        <v>45742.56286</v>
      </c>
      <c r="H1618" s="14" t="str">
        <f>IFERROR(__xludf.DUMMYFUNCTION("""COMPUTED_VALUE"""),"Bu Eva (SU)")</f>
        <v>Bu Eva (SU)</v>
      </c>
      <c r="I1618" s="13" t="str">
        <f>IFERROR(__xludf.DUMMYFUNCTION("""COMPUTED_VALUE"""),"SELESAI (VIA PERMOHONAN)")</f>
        <v>SELESAI (VIA PERMOHONAN)</v>
      </c>
      <c r="J1618" s="17">
        <f>IFERROR(__xludf.DUMMYFUNCTION("""COMPUTED_VALUE"""),45743.59175416667)</f>
        <v>45743.59175</v>
      </c>
      <c r="K1618" s="13" t="str">
        <f>IFERROR(__xludf.DUMMYFUNCTION("""COMPUTED_VALUE"""),"Selesai")</f>
        <v>Selesai</v>
      </c>
      <c r="L1618" s="17">
        <f>IFERROR(__xludf.DUMMYFUNCTION("""COMPUTED_VALUE"""),45743.59175416667)</f>
        <v>45743.59175</v>
      </c>
      <c r="M1618" s="13"/>
      <c r="N1618" s="13" t="str">
        <f>IFERROR(__xludf.DUMMYFUNCTION("""COMPUTED_VALUE"""),"")</f>
        <v/>
      </c>
      <c r="O1618" s="13" t="str">
        <f t="shared" si="1"/>
        <v/>
      </c>
    </row>
    <row r="1619" ht="22.5" customHeight="1">
      <c r="B1619" s="13">
        <f>IFERROR(__xludf.DUMMYFUNCTION("""COMPUTED_VALUE"""),1614.0)</f>
        <v>1614</v>
      </c>
      <c r="C1619" s="13" t="str">
        <f>IFERROR(__xludf.DUMMYFUNCTION("""COMPUTED_VALUE"""),"M. 524/ Pidada")</f>
        <v>M. 524/ Pidada</v>
      </c>
      <c r="D1619" s="13" t="str">
        <f>IFERROR(__xludf.DUMMYFUNCTION("""COMPUTED_VALUE"""),"K/20/030325/1")</f>
        <v>K/20/030325/1</v>
      </c>
      <c r="E1619" s="14" t="str">
        <f>IFERROR(__xludf.DUMMYFUNCTION("""COMPUTED_VALUE"""),"Afriza (BT)")</f>
        <v>Afriza (BT)</v>
      </c>
      <c r="F1619" s="14" t="str">
        <f>IFERROR(__xludf.DUMMYFUNCTION("""COMPUTED_VALUE"""),"SELESAI (VIA PERMOHONAN)")</f>
        <v>SELESAI (VIA PERMOHONAN)</v>
      </c>
      <c r="G1619" s="17">
        <f>IFERROR(__xludf.DUMMYFUNCTION("""COMPUTED_VALUE"""),45742.56294984954)</f>
        <v>45742.56295</v>
      </c>
      <c r="H1619" s="14" t="str">
        <f>IFERROR(__xludf.DUMMYFUNCTION("""COMPUTED_VALUE"""),"Bu Eva (SU)")</f>
        <v>Bu Eva (SU)</v>
      </c>
      <c r="I1619" s="13" t="str">
        <f>IFERROR(__xludf.DUMMYFUNCTION("""COMPUTED_VALUE"""),"SELESAI (VIA PERMOHONAN)")</f>
        <v>SELESAI (VIA PERMOHONAN)</v>
      </c>
      <c r="J1619" s="17">
        <f>IFERROR(__xludf.DUMMYFUNCTION("""COMPUTED_VALUE"""),45743.59178577546)</f>
        <v>45743.59179</v>
      </c>
      <c r="K1619" s="13" t="str">
        <f>IFERROR(__xludf.DUMMYFUNCTION("""COMPUTED_VALUE"""),"Selesai")</f>
        <v>Selesai</v>
      </c>
      <c r="L1619" s="17">
        <f>IFERROR(__xludf.DUMMYFUNCTION("""COMPUTED_VALUE"""),45743.59178577546)</f>
        <v>45743.59179</v>
      </c>
      <c r="M1619" s="13"/>
      <c r="N1619" s="13" t="str">
        <f>IFERROR(__xludf.DUMMYFUNCTION("""COMPUTED_VALUE"""),"")</f>
        <v/>
      </c>
      <c r="O1619" s="13" t="str">
        <f t="shared" si="1"/>
        <v/>
      </c>
    </row>
    <row r="1620" ht="22.5" customHeight="1">
      <c r="B1620" s="13">
        <f>IFERROR(__xludf.DUMMYFUNCTION("""COMPUTED_VALUE"""),1615.0)</f>
        <v>1615</v>
      </c>
      <c r="C1620" s="13" t="str">
        <f>IFERROR(__xludf.DUMMYFUNCTION("""COMPUTED_VALUE"""),"B. 1290/ Kemiling Permai")</f>
        <v>B. 1290/ Kemiling Permai</v>
      </c>
      <c r="D1620" s="13" t="str">
        <f>IFERROR(__xludf.DUMMYFUNCTION("""COMPUTED_VALUE"""),"K/42/130325/2")</f>
        <v>K/42/130325/2</v>
      </c>
      <c r="E1620" s="14" t="str">
        <f>IFERROR(__xludf.DUMMYFUNCTION("""COMPUTED_VALUE"""),"Nadian (BT)")</f>
        <v>Nadian (BT)</v>
      </c>
      <c r="F1620" s="14" t="str">
        <f>IFERROR(__xludf.DUMMYFUNCTION("""COMPUTED_VALUE"""),"SELESAI (VIA PERMOHONAN)")</f>
        <v>SELESAI (VIA PERMOHONAN)</v>
      </c>
      <c r="G1620" s="17">
        <f>IFERROR(__xludf.DUMMYFUNCTION("""COMPUTED_VALUE"""),45743.55606503472)</f>
        <v>45743.55607</v>
      </c>
      <c r="H1620" s="14" t="str">
        <f>IFERROR(__xludf.DUMMYFUNCTION("""COMPUTED_VALUE"""),"Bu Eva (SU)")</f>
        <v>Bu Eva (SU)</v>
      </c>
      <c r="I1620" s="13" t="str">
        <f>IFERROR(__xludf.DUMMYFUNCTION("""COMPUTED_VALUE"""),"SELESAI (VIA PERMOHONAN)")</f>
        <v>SELESAI (VIA PERMOHONAN)</v>
      </c>
      <c r="J1620" s="17">
        <f>IFERROR(__xludf.DUMMYFUNCTION("""COMPUTED_VALUE"""),45743.59178578704)</f>
        <v>45743.59179</v>
      </c>
      <c r="K1620" s="13" t="str">
        <f>IFERROR(__xludf.DUMMYFUNCTION("""COMPUTED_VALUE"""),"Selesai")</f>
        <v>Selesai</v>
      </c>
      <c r="L1620" s="17">
        <f>IFERROR(__xludf.DUMMYFUNCTION("""COMPUTED_VALUE"""),45743.59178578704)</f>
        <v>45743.59179</v>
      </c>
      <c r="M1620" s="13"/>
      <c r="N1620" s="13" t="str">
        <f>IFERROR(__xludf.DUMMYFUNCTION("""COMPUTED_VALUE"""),"")</f>
        <v/>
      </c>
      <c r="O1620" s="13" t="str">
        <f t="shared" si="1"/>
        <v/>
      </c>
    </row>
    <row r="1621" ht="22.5" customHeight="1">
      <c r="B1621" s="13">
        <f>IFERROR(__xludf.DUMMYFUNCTION("""COMPUTED_VALUE"""),1616.0)</f>
        <v>1616</v>
      </c>
      <c r="C1621" s="13" t="str">
        <f>IFERROR(__xludf.DUMMYFUNCTION("""COMPUTED_VALUE"""),"M. 502/ Jagabaya III")</f>
        <v>M. 502/ Jagabaya III</v>
      </c>
      <c r="D1621" s="13" t="str">
        <f>IFERROR(__xludf.DUMMYFUNCTION("""COMPUTED_VALUE"""),"K/1/250225/1")</f>
        <v>K/1/250225/1</v>
      </c>
      <c r="E1621" s="14" t="str">
        <f>IFERROR(__xludf.DUMMYFUNCTION("""COMPUTED_VALUE"""),"Nadian (BT)")</f>
        <v>Nadian (BT)</v>
      </c>
      <c r="F1621" s="14" t="str">
        <f>IFERROR(__xludf.DUMMYFUNCTION("""COMPUTED_VALUE"""),"SELESAI (VIA PERMOHONAN)")</f>
        <v>SELESAI (VIA PERMOHONAN)</v>
      </c>
      <c r="G1621" s="17">
        <f>IFERROR(__xludf.DUMMYFUNCTION("""COMPUTED_VALUE"""),45743.55610556713)</f>
        <v>45743.55611</v>
      </c>
      <c r="H1621" s="14" t="str">
        <f>IFERROR(__xludf.DUMMYFUNCTION("""COMPUTED_VALUE"""),"Bu Eva (SU)")</f>
        <v>Bu Eva (SU)</v>
      </c>
      <c r="I1621" s="13" t="str">
        <f>IFERROR(__xludf.DUMMYFUNCTION("""COMPUTED_VALUE"""),"SELESAI (VIA PERMOHONAN)")</f>
        <v>SELESAI (VIA PERMOHONAN)</v>
      </c>
      <c r="J1621" s="17">
        <f>IFERROR(__xludf.DUMMYFUNCTION("""COMPUTED_VALUE"""),45743.59178578704)</f>
        <v>45743.59179</v>
      </c>
      <c r="K1621" s="13" t="str">
        <f>IFERROR(__xludf.DUMMYFUNCTION("""COMPUTED_VALUE"""),"Selesai")</f>
        <v>Selesai</v>
      </c>
      <c r="L1621" s="17">
        <f>IFERROR(__xludf.DUMMYFUNCTION("""COMPUTED_VALUE"""),45743.59178578704)</f>
        <v>45743.59179</v>
      </c>
      <c r="M1621" s="13"/>
      <c r="N1621" s="13" t="str">
        <f>IFERROR(__xludf.DUMMYFUNCTION("""COMPUTED_VALUE"""),"")</f>
        <v/>
      </c>
      <c r="O1621" s="13" t="str">
        <f t="shared" si="1"/>
        <v/>
      </c>
    </row>
    <row r="1622" ht="22.5" customHeight="1">
      <c r="B1622" s="13">
        <f>IFERROR(__xludf.DUMMYFUNCTION("""COMPUTED_VALUE"""),1617.0)</f>
        <v>1617</v>
      </c>
      <c r="C1622" s="13" t="str">
        <f>IFERROR(__xludf.DUMMYFUNCTION("""COMPUTED_VALUE"""),"M. 483/ Langkapura Baru")</f>
        <v>M. 483/ Langkapura Baru</v>
      </c>
      <c r="D1622" s="13" t="str">
        <f>IFERROR(__xludf.DUMMYFUNCTION("""COMPUTED_VALUE"""),"K/37/190325/2")</f>
        <v>K/37/190325/2</v>
      </c>
      <c r="E1622" s="14" t="str">
        <f>IFERROR(__xludf.DUMMYFUNCTION("""COMPUTED_VALUE"""),"Nadian (BT)")</f>
        <v>Nadian (BT)</v>
      </c>
      <c r="F1622" s="14" t="str">
        <f>IFERROR(__xludf.DUMMYFUNCTION("""COMPUTED_VALUE"""),"SELESAI (VIA PERMOHONAN)")</f>
        <v>SELESAI (VIA PERMOHONAN)</v>
      </c>
      <c r="G1622" s="17">
        <f>IFERROR(__xludf.DUMMYFUNCTION("""COMPUTED_VALUE"""),45743.55610556713)</f>
        <v>45743.55611</v>
      </c>
      <c r="H1622" s="14" t="str">
        <f>IFERROR(__xludf.DUMMYFUNCTION("""COMPUTED_VALUE"""),"Bu Eva (SU)")</f>
        <v>Bu Eva (SU)</v>
      </c>
      <c r="I1622" s="13" t="str">
        <f>IFERROR(__xludf.DUMMYFUNCTION("""COMPUTED_VALUE"""),"SELESAI (VIA PERMOHONAN)")</f>
        <v>SELESAI (VIA PERMOHONAN)</v>
      </c>
      <c r="J1622" s="17">
        <f>IFERROR(__xludf.DUMMYFUNCTION("""COMPUTED_VALUE"""),45743.59178578704)</f>
        <v>45743.59179</v>
      </c>
      <c r="K1622" s="13" t="str">
        <f>IFERROR(__xludf.DUMMYFUNCTION("""COMPUTED_VALUE"""),"Selesai")</f>
        <v>Selesai</v>
      </c>
      <c r="L1622" s="17">
        <f>IFERROR(__xludf.DUMMYFUNCTION("""COMPUTED_VALUE"""),45743.59178578704)</f>
        <v>45743.59179</v>
      </c>
      <c r="M1622" s="13"/>
      <c r="N1622" s="13" t="str">
        <f>IFERROR(__xludf.DUMMYFUNCTION("""COMPUTED_VALUE"""),"")</f>
        <v/>
      </c>
      <c r="O1622" s="13" t="str">
        <f t="shared" si="1"/>
        <v/>
      </c>
    </row>
    <row r="1623" ht="22.5" customHeight="1">
      <c r="B1623" s="13">
        <f>IFERROR(__xludf.DUMMYFUNCTION("""COMPUTED_VALUE"""),1618.0)</f>
        <v>1618</v>
      </c>
      <c r="C1623" s="13" t="str">
        <f>IFERROR(__xludf.DUMMYFUNCTION("""COMPUTED_VALUE"""),"M. 1954/ Sumur Batu")</f>
        <v>M. 1954/ Sumur Batu</v>
      </c>
      <c r="D1623" s="13" t="str">
        <f>IFERROR(__xludf.DUMMYFUNCTION("""COMPUTED_VALUE"""),"K/12/190325/1")</f>
        <v>K/12/190325/1</v>
      </c>
      <c r="E1623" s="14" t="str">
        <f>IFERROR(__xludf.DUMMYFUNCTION("""COMPUTED_VALUE"""),"Nadian (BT)")</f>
        <v>Nadian (BT)</v>
      </c>
      <c r="F1623" s="14" t="str">
        <f>IFERROR(__xludf.DUMMYFUNCTION("""COMPUTED_VALUE"""),"SELESAI (VIA PERMOHONAN)")</f>
        <v>SELESAI (VIA PERMOHONAN)</v>
      </c>
      <c r="G1623" s="17">
        <f>IFERROR(__xludf.DUMMYFUNCTION("""COMPUTED_VALUE"""),45743.55610556713)</f>
        <v>45743.55611</v>
      </c>
      <c r="H1623" s="14" t="str">
        <f>IFERROR(__xludf.DUMMYFUNCTION("""COMPUTED_VALUE"""),"Bu Eva (SU)")</f>
        <v>Bu Eva (SU)</v>
      </c>
      <c r="I1623" s="13" t="str">
        <f>IFERROR(__xludf.DUMMYFUNCTION("""COMPUTED_VALUE"""),"SELESAI (VIA PERMOHONAN)")</f>
        <v>SELESAI (VIA PERMOHONAN)</v>
      </c>
      <c r="J1623" s="17">
        <f>IFERROR(__xludf.DUMMYFUNCTION("""COMPUTED_VALUE"""),45743.59178578704)</f>
        <v>45743.59179</v>
      </c>
      <c r="K1623" s="13" t="str">
        <f>IFERROR(__xludf.DUMMYFUNCTION("""COMPUTED_VALUE"""),"Selesai")</f>
        <v>Selesai</v>
      </c>
      <c r="L1623" s="17">
        <f>IFERROR(__xludf.DUMMYFUNCTION("""COMPUTED_VALUE"""),45743.59178578704)</f>
        <v>45743.59179</v>
      </c>
      <c r="M1623" s="13"/>
      <c r="N1623" s="13" t="str">
        <f>IFERROR(__xludf.DUMMYFUNCTION("""COMPUTED_VALUE"""),"")</f>
        <v/>
      </c>
      <c r="O1623" s="13" t="str">
        <f t="shared" si="1"/>
        <v/>
      </c>
    </row>
    <row r="1624" ht="22.5" customHeight="1">
      <c r="B1624" s="13">
        <f>IFERROR(__xludf.DUMMYFUNCTION("""COMPUTED_VALUE"""),1619.0)</f>
        <v>1619</v>
      </c>
      <c r="C1624" s="13" t="str">
        <f>IFERROR(__xludf.DUMMYFUNCTION("""COMPUTED_VALUE"""),"M. 4532/ Rajabasa Jaya")</f>
        <v>M. 4532/ Rajabasa Jaya</v>
      </c>
      <c r="D1624" s="13" t="str">
        <f>IFERROR(__xludf.DUMMYFUNCTION("""COMPUTED_VALUE"""),"K/39/301224/1")</f>
        <v>K/39/301224/1</v>
      </c>
      <c r="E1624" s="14" t="str">
        <f>IFERROR(__xludf.DUMMYFUNCTION("""COMPUTED_VALUE"""),"Nadian (BT)")</f>
        <v>Nadian (BT)</v>
      </c>
      <c r="F1624" s="14" t="str">
        <f>IFERROR(__xludf.DUMMYFUNCTION("""COMPUTED_VALUE"""),"SELESAI (VIA PERMOHONAN)")</f>
        <v>SELESAI (VIA PERMOHONAN)</v>
      </c>
      <c r="G1624" s="17">
        <f>IFERROR(__xludf.DUMMYFUNCTION("""COMPUTED_VALUE"""),45743.55610556713)</f>
        <v>45743.55611</v>
      </c>
      <c r="H1624" s="14" t="str">
        <f>IFERROR(__xludf.DUMMYFUNCTION("""COMPUTED_VALUE"""),"Bu Eva (SU)")</f>
        <v>Bu Eva (SU)</v>
      </c>
      <c r="I1624" s="13" t="str">
        <f>IFERROR(__xludf.DUMMYFUNCTION("""COMPUTED_VALUE"""),"SELESAI (VIA PERMOHONAN)")</f>
        <v>SELESAI (VIA PERMOHONAN)</v>
      </c>
      <c r="J1624" s="17">
        <f>IFERROR(__xludf.DUMMYFUNCTION("""COMPUTED_VALUE"""),45743.59178578704)</f>
        <v>45743.59179</v>
      </c>
      <c r="K1624" s="13" t="str">
        <f>IFERROR(__xludf.DUMMYFUNCTION("""COMPUTED_VALUE"""),"Selesai")</f>
        <v>Selesai</v>
      </c>
      <c r="L1624" s="17">
        <f>IFERROR(__xludf.DUMMYFUNCTION("""COMPUTED_VALUE"""),45743.59178578704)</f>
        <v>45743.59179</v>
      </c>
      <c r="M1624" s="13"/>
      <c r="N1624" s="13" t="str">
        <f>IFERROR(__xludf.DUMMYFUNCTION("""COMPUTED_VALUE"""),"")</f>
        <v/>
      </c>
      <c r="O1624" s="13" t="str">
        <f t="shared" si="1"/>
        <v/>
      </c>
    </row>
    <row r="1625" ht="22.5" customHeight="1">
      <c r="B1625" s="13">
        <f>IFERROR(__xludf.DUMMYFUNCTION("""COMPUTED_VALUE"""),1620.0)</f>
        <v>1620</v>
      </c>
      <c r="C1625" s="13" t="str">
        <f>IFERROR(__xludf.DUMMYFUNCTION("""COMPUTED_VALUE"""),"M. 1742/ sukarame baru ")</f>
        <v>M. 1742/ sukarame baru </v>
      </c>
      <c r="D1625" s="13" t="str">
        <f>IFERROR(__xludf.DUMMYFUNCTION("""COMPUTED_VALUE"""),"K/36/060225/2")</f>
        <v>K/36/060225/2</v>
      </c>
      <c r="E1625" s="14" t="str">
        <f>IFERROR(__xludf.DUMMYFUNCTION("""COMPUTED_VALUE"""),"Nadian (BT)")</f>
        <v>Nadian (BT)</v>
      </c>
      <c r="F1625" s="14" t="str">
        <f>IFERROR(__xludf.DUMMYFUNCTION("""COMPUTED_VALUE"""),"SELESAI (VIA PERMOHONAN)")</f>
        <v>SELESAI (VIA PERMOHONAN)</v>
      </c>
      <c r="G1625" s="17">
        <f>IFERROR(__xludf.DUMMYFUNCTION("""COMPUTED_VALUE"""),45743.55610556713)</f>
        <v>45743.55611</v>
      </c>
      <c r="H1625" s="14" t="str">
        <f>IFERROR(__xludf.DUMMYFUNCTION("""COMPUTED_VALUE"""),"Bu Eva (SU)")</f>
        <v>Bu Eva (SU)</v>
      </c>
      <c r="I1625" s="13" t="str">
        <f>IFERROR(__xludf.DUMMYFUNCTION("""COMPUTED_VALUE"""),"SELESAI (VIA PERMOHONAN)")</f>
        <v>SELESAI (VIA PERMOHONAN)</v>
      </c>
      <c r="J1625" s="17">
        <f>IFERROR(__xludf.DUMMYFUNCTION("""COMPUTED_VALUE"""),45743.59178578704)</f>
        <v>45743.59179</v>
      </c>
      <c r="K1625" s="13" t="str">
        <f>IFERROR(__xludf.DUMMYFUNCTION("""COMPUTED_VALUE"""),"Selesai")</f>
        <v>Selesai</v>
      </c>
      <c r="L1625" s="17">
        <f>IFERROR(__xludf.DUMMYFUNCTION("""COMPUTED_VALUE"""),45743.59178578704)</f>
        <v>45743.59179</v>
      </c>
      <c r="M1625" s="13"/>
      <c r="N1625" s="13" t="str">
        <f>IFERROR(__xludf.DUMMYFUNCTION("""COMPUTED_VALUE"""),"")</f>
        <v/>
      </c>
      <c r="O1625" s="13" t="str">
        <f t="shared" si="1"/>
        <v/>
      </c>
    </row>
    <row r="1626" ht="22.5" customHeight="1">
      <c r="B1626" s="13">
        <f>IFERROR(__xludf.DUMMYFUNCTION("""COMPUTED_VALUE"""),1621.0)</f>
        <v>1621</v>
      </c>
      <c r="C1626" s="13" t="str">
        <f>IFERROR(__xludf.DUMMYFUNCTION("""COMPUTED_VALUE"""),"M. 226/ Bumi Raya")</f>
        <v>M. 226/ Bumi Raya</v>
      </c>
      <c r="D1626" s="13" t="str">
        <f>IFERROR(__xludf.DUMMYFUNCTION("""COMPUTED_VALUE"""),"K/27/140325/1")</f>
        <v>K/27/140325/1</v>
      </c>
      <c r="E1626" s="14" t="str">
        <f>IFERROR(__xludf.DUMMYFUNCTION("""COMPUTED_VALUE"""),"Nadian (BT)")</f>
        <v>Nadian (BT)</v>
      </c>
      <c r="F1626" s="14" t="str">
        <f>IFERROR(__xludf.DUMMYFUNCTION("""COMPUTED_VALUE"""),"SELESAI (VIA PERMOHONAN)")</f>
        <v>SELESAI (VIA PERMOHONAN)</v>
      </c>
      <c r="G1626" s="17">
        <f>IFERROR(__xludf.DUMMYFUNCTION("""COMPUTED_VALUE"""),45743.55610556713)</f>
        <v>45743.55611</v>
      </c>
      <c r="H1626" s="14" t="str">
        <f>IFERROR(__xludf.DUMMYFUNCTION("""COMPUTED_VALUE"""),"Bu Eva (SU)")</f>
        <v>Bu Eva (SU)</v>
      </c>
      <c r="I1626" s="13" t="str">
        <f>IFERROR(__xludf.DUMMYFUNCTION("""COMPUTED_VALUE"""),"SELESAI (VIA PERMOHONAN)")</f>
        <v>SELESAI (VIA PERMOHONAN)</v>
      </c>
      <c r="J1626" s="17">
        <f>IFERROR(__xludf.DUMMYFUNCTION("""COMPUTED_VALUE"""),45743.591918148144)</f>
        <v>45743.59192</v>
      </c>
      <c r="K1626" s="13" t="str">
        <f>IFERROR(__xludf.DUMMYFUNCTION("""COMPUTED_VALUE"""),"Selesai")</f>
        <v>Selesai</v>
      </c>
      <c r="L1626" s="17">
        <f>IFERROR(__xludf.DUMMYFUNCTION("""COMPUTED_VALUE"""),45743.591918148144)</f>
        <v>45743.59192</v>
      </c>
      <c r="M1626" s="13"/>
      <c r="N1626" s="13" t="str">
        <f>IFERROR(__xludf.DUMMYFUNCTION("""COMPUTED_VALUE"""),"")</f>
        <v/>
      </c>
      <c r="O1626" s="13" t="str">
        <f t="shared" si="1"/>
        <v/>
      </c>
    </row>
    <row r="1627" ht="22.5" customHeight="1">
      <c r="B1627" s="13">
        <f>IFERROR(__xludf.DUMMYFUNCTION("""COMPUTED_VALUE"""),1622.0)</f>
        <v>1622</v>
      </c>
      <c r="C1627" s="13" t="str">
        <f>IFERROR(__xludf.DUMMYFUNCTION("""COMPUTED_VALUE"""),"M. 2386/ Pinang JayaQ")</f>
        <v>M. 2386/ Pinang JayaQ</v>
      </c>
      <c r="D1627" s="13" t="str">
        <f>IFERROR(__xludf.DUMMYFUNCTION("""COMPUTED_VALUE"""),"K/9/110325/1")</f>
        <v>K/9/110325/1</v>
      </c>
      <c r="E1627" s="14" t="str">
        <f>IFERROR(__xludf.DUMMYFUNCTION("""COMPUTED_VALUE"""),"Nadian (BT)")</f>
        <v>Nadian (BT)</v>
      </c>
      <c r="F1627" s="14" t="str">
        <f>IFERROR(__xludf.DUMMYFUNCTION("""COMPUTED_VALUE"""),"SELESAI (VIA PERMOHONAN)")</f>
        <v>SELESAI (VIA PERMOHONAN)</v>
      </c>
      <c r="G1627" s="17">
        <f>IFERROR(__xludf.DUMMYFUNCTION("""COMPUTED_VALUE"""),45743.55610556713)</f>
        <v>45743.55611</v>
      </c>
      <c r="H1627" s="14" t="str">
        <f>IFERROR(__xludf.DUMMYFUNCTION("""COMPUTED_VALUE"""),"Bu Eva (SU)")</f>
        <v>Bu Eva (SU)</v>
      </c>
      <c r="I1627" s="13" t="str">
        <f>IFERROR(__xludf.DUMMYFUNCTION("""COMPUTED_VALUE"""),"SELESAI (VIA PERMOHONAN)")</f>
        <v>SELESAI (VIA PERMOHONAN)</v>
      </c>
      <c r="J1627" s="17">
        <f>IFERROR(__xludf.DUMMYFUNCTION("""COMPUTED_VALUE"""),45743.591918148144)</f>
        <v>45743.59192</v>
      </c>
      <c r="K1627" s="13" t="str">
        <f>IFERROR(__xludf.DUMMYFUNCTION("""COMPUTED_VALUE"""),"Selesai")</f>
        <v>Selesai</v>
      </c>
      <c r="L1627" s="17">
        <f>IFERROR(__xludf.DUMMYFUNCTION("""COMPUTED_VALUE"""),45743.591918148144)</f>
        <v>45743.59192</v>
      </c>
      <c r="M1627" s="13"/>
      <c r="N1627" s="13" t="str">
        <f>IFERROR(__xludf.DUMMYFUNCTION("""COMPUTED_VALUE"""),"")</f>
        <v/>
      </c>
      <c r="O1627" s="13" t="str">
        <f t="shared" si="1"/>
        <v/>
      </c>
    </row>
    <row r="1628" ht="22.5" customHeight="1">
      <c r="B1628" s="13">
        <f>IFERROR(__xludf.DUMMYFUNCTION("""COMPUTED_VALUE"""),1623.0)</f>
        <v>1623</v>
      </c>
      <c r="C1628" s="13" t="str">
        <f>IFERROR(__xludf.DUMMYFUNCTION("""COMPUTED_VALUE"""),"M. 228/ Bumi Raya")</f>
        <v>M. 228/ Bumi Raya</v>
      </c>
      <c r="D1628" s="13" t="str">
        <f>IFERROR(__xludf.DUMMYFUNCTION("""COMPUTED_VALUE"""),"K/30/140325/4")</f>
        <v>K/30/140325/4</v>
      </c>
      <c r="E1628" s="14" t="str">
        <f>IFERROR(__xludf.DUMMYFUNCTION("""COMPUTED_VALUE"""),"Nadian (BT)")</f>
        <v>Nadian (BT)</v>
      </c>
      <c r="F1628" s="14" t="str">
        <f>IFERROR(__xludf.DUMMYFUNCTION("""COMPUTED_VALUE"""),"SELESAI (VIA PERMOHONAN)")</f>
        <v>SELESAI (VIA PERMOHONAN)</v>
      </c>
      <c r="G1628" s="17">
        <f>IFERROR(__xludf.DUMMYFUNCTION("""COMPUTED_VALUE"""),45743.55610556713)</f>
        <v>45743.55611</v>
      </c>
      <c r="H1628" s="14" t="str">
        <f>IFERROR(__xludf.DUMMYFUNCTION("""COMPUTED_VALUE"""),"Bu Eva (SU)")</f>
        <v>Bu Eva (SU)</v>
      </c>
      <c r="I1628" s="13" t="str">
        <f>IFERROR(__xludf.DUMMYFUNCTION("""COMPUTED_VALUE"""),"SELESAI (VIA PERMOHONAN)")</f>
        <v>SELESAI (VIA PERMOHONAN)</v>
      </c>
      <c r="J1628" s="17">
        <f>IFERROR(__xludf.DUMMYFUNCTION("""COMPUTED_VALUE"""),45743.591918148144)</f>
        <v>45743.59192</v>
      </c>
      <c r="K1628" s="13" t="str">
        <f>IFERROR(__xludf.DUMMYFUNCTION("""COMPUTED_VALUE"""),"Selesai")</f>
        <v>Selesai</v>
      </c>
      <c r="L1628" s="17">
        <f>IFERROR(__xludf.DUMMYFUNCTION("""COMPUTED_VALUE"""),45743.591918148144)</f>
        <v>45743.59192</v>
      </c>
      <c r="M1628" s="13"/>
      <c r="N1628" s="13" t="str">
        <f>IFERROR(__xludf.DUMMYFUNCTION("""COMPUTED_VALUE"""),"")</f>
        <v/>
      </c>
      <c r="O1628" s="13" t="str">
        <f t="shared" si="1"/>
        <v/>
      </c>
    </row>
    <row r="1629" ht="22.5" customHeight="1">
      <c r="B1629" s="13">
        <f>IFERROR(__xludf.DUMMYFUNCTION("""COMPUTED_VALUE"""),1624.0)</f>
        <v>1624</v>
      </c>
      <c r="C1629" s="13" t="str">
        <f>IFERROR(__xludf.DUMMYFUNCTION("""COMPUTED_VALUE"""),"B. 843/PERUMNAS WAY KANDIS")</f>
        <v>B. 843/PERUMNAS WAY KANDIS</v>
      </c>
      <c r="D1629" s="13" t="str">
        <f>IFERROR(__xludf.DUMMYFUNCTION("""COMPUTED_VALUE"""),"K/2/060325/1")</f>
        <v>K/2/060325/1</v>
      </c>
      <c r="E1629" s="14" t="str">
        <f>IFERROR(__xludf.DUMMYFUNCTION("""COMPUTED_VALUE"""),"Nadian (BT)")</f>
        <v>Nadian (BT)</v>
      </c>
      <c r="F1629" s="14" t="str">
        <f>IFERROR(__xludf.DUMMYFUNCTION("""COMPUTED_VALUE"""),"SELESAI (VIA PERMOHONAN)")</f>
        <v>SELESAI (VIA PERMOHONAN)</v>
      </c>
      <c r="G1629" s="17">
        <f>IFERROR(__xludf.DUMMYFUNCTION("""COMPUTED_VALUE"""),45743.55610556713)</f>
        <v>45743.55611</v>
      </c>
      <c r="H1629" s="14" t="str">
        <f>IFERROR(__xludf.DUMMYFUNCTION("""COMPUTED_VALUE"""),"Bu Eva (SU)")</f>
        <v>Bu Eva (SU)</v>
      </c>
      <c r="I1629" s="13" t="str">
        <f>IFERROR(__xludf.DUMMYFUNCTION("""COMPUTED_VALUE"""),"SELESAI (VIA PERMOHONAN)")</f>
        <v>SELESAI (VIA PERMOHONAN)</v>
      </c>
      <c r="J1629" s="17">
        <f>IFERROR(__xludf.DUMMYFUNCTION("""COMPUTED_VALUE"""),45743.591918148144)</f>
        <v>45743.59192</v>
      </c>
      <c r="K1629" s="13" t="str">
        <f>IFERROR(__xludf.DUMMYFUNCTION("""COMPUTED_VALUE"""),"Selesai")</f>
        <v>Selesai</v>
      </c>
      <c r="L1629" s="17">
        <f>IFERROR(__xludf.DUMMYFUNCTION("""COMPUTED_VALUE"""),45743.591918148144)</f>
        <v>45743.59192</v>
      </c>
      <c r="M1629" s="13"/>
      <c r="N1629" s="13" t="str">
        <f>IFERROR(__xludf.DUMMYFUNCTION("""COMPUTED_VALUE"""),"")</f>
        <v/>
      </c>
      <c r="O1629" s="13" t="str">
        <f t="shared" si="1"/>
        <v/>
      </c>
    </row>
    <row r="1630" ht="22.5" customHeight="1">
      <c r="B1630" s="13">
        <f>IFERROR(__xludf.DUMMYFUNCTION("""COMPUTED_VALUE"""),1625.0)</f>
        <v>1625</v>
      </c>
      <c r="C1630" s="13" t="str">
        <f>IFERROR(__xludf.DUMMYFUNCTION("""COMPUTED_VALUE"""),"B.306/TELUKBETUNG")</f>
        <v>B.306/TELUKBETUNG</v>
      </c>
      <c r="D1630" s="13" t="str">
        <f>IFERROR(__xludf.DUMMYFUNCTION("""COMPUTED_VALUE"""),"K/41/120325/1")</f>
        <v>K/41/120325/1</v>
      </c>
      <c r="E1630" s="14" t="str">
        <f>IFERROR(__xludf.DUMMYFUNCTION("""COMPUTED_VALUE"""),"Nadian (BT)")</f>
        <v>Nadian (BT)</v>
      </c>
      <c r="F1630" s="14" t="str">
        <f>IFERROR(__xludf.DUMMYFUNCTION("""COMPUTED_VALUE"""),"SELESAI (VIA PERMOHONAN)")</f>
        <v>SELESAI (VIA PERMOHONAN)</v>
      </c>
      <c r="G1630" s="17">
        <f>IFERROR(__xludf.DUMMYFUNCTION("""COMPUTED_VALUE"""),45743.55610556713)</f>
        <v>45743.55611</v>
      </c>
      <c r="H1630" s="14" t="str">
        <f>IFERROR(__xludf.DUMMYFUNCTION("""COMPUTED_VALUE"""),"Bu Eva (SU)")</f>
        <v>Bu Eva (SU)</v>
      </c>
      <c r="I1630" s="13" t="str">
        <f>IFERROR(__xludf.DUMMYFUNCTION("""COMPUTED_VALUE"""),"SELESAI (VIA PERMOHONAN)")</f>
        <v>SELESAI (VIA PERMOHONAN)</v>
      </c>
      <c r="J1630" s="17">
        <f>IFERROR(__xludf.DUMMYFUNCTION("""COMPUTED_VALUE"""),45743.591918148144)</f>
        <v>45743.59192</v>
      </c>
      <c r="K1630" s="13" t="str">
        <f>IFERROR(__xludf.DUMMYFUNCTION("""COMPUTED_VALUE"""),"Selesai")</f>
        <v>Selesai</v>
      </c>
      <c r="L1630" s="17">
        <f>IFERROR(__xludf.DUMMYFUNCTION("""COMPUTED_VALUE"""),45743.591918148144)</f>
        <v>45743.59192</v>
      </c>
      <c r="M1630" s="13"/>
      <c r="N1630" s="13" t="str">
        <f>IFERROR(__xludf.DUMMYFUNCTION("""COMPUTED_VALUE"""),"")</f>
        <v/>
      </c>
      <c r="O1630" s="13" t="str">
        <f t="shared" si="1"/>
        <v/>
      </c>
    </row>
    <row r="1631" ht="22.5" customHeight="1">
      <c r="B1631" s="13">
        <f>IFERROR(__xludf.DUMMYFUNCTION("""COMPUTED_VALUE"""),1626.0)</f>
        <v>1626</v>
      </c>
      <c r="C1631" s="13" t="str">
        <f>IFERROR(__xludf.DUMMYFUNCTION("""COMPUTED_VALUE"""),"M.10754/SEGALA MIDER")</f>
        <v>M.10754/SEGALA MIDER</v>
      </c>
      <c r="D1631" s="13" t="str">
        <f>IFERROR(__xludf.DUMMYFUNCTION("""COMPUTED_VALUE"""),"K/55/130325/2")</f>
        <v>K/55/130325/2</v>
      </c>
      <c r="E1631" s="14" t="str">
        <f>IFERROR(__xludf.DUMMYFUNCTION("""COMPUTED_VALUE"""),"Nadian (BT)")</f>
        <v>Nadian (BT)</v>
      </c>
      <c r="F1631" s="14" t="str">
        <f>IFERROR(__xludf.DUMMYFUNCTION("""COMPUTED_VALUE"""),"SELESAI (VIA PERMOHONAN)")</f>
        <v>SELESAI (VIA PERMOHONAN)</v>
      </c>
      <c r="G1631" s="17">
        <f>IFERROR(__xludf.DUMMYFUNCTION("""COMPUTED_VALUE"""),45743.55610556713)</f>
        <v>45743.55611</v>
      </c>
      <c r="H1631" s="14" t="str">
        <f>IFERROR(__xludf.DUMMYFUNCTION("""COMPUTED_VALUE"""),"Bu Eva (SU)")</f>
        <v>Bu Eva (SU)</v>
      </c>
      <c r="I1631" s="13" t="str">
        <f>IFERROR(__xludf.DUMMYFUNCTION("""COMPUTED_VALUE"""),"SELESAI (VIA PERMOHONAN)")</f>
        <v>SELESAI (VIA PERMOHONAN)</v>
      </c>
      <c r="J1631" s="17">
        <f>IFERROR(__xludf.DUMMYFUNCTION("""COMPUTED_VALUE"""),45743.591918148144)</f>
        <v>45743.59192</v>
      </c>
      <c r="K1631" s="13" t="str">
        <f>IFERROR(__xludf.DUMMYFUNCTION("""COMPUTED_VALUE"""),"Selesai")</f>
        <v>Selesai</v>
      </c>
      <c r="L1631" s="17">
        <f>IFERROR(__xludf.DUMMYFUNCTION("""COMPUTED_VALUE"""),45743.591918148144)</f>
        <v>45743.59192</v>
      </c>
      <c r="M1631" s="13"/>
      <c r="N1631" s="13" t="str">
        <f>IFERROR(__xludf.DUMMYFUNCTION("""COMPUTED_VALUE"""),"")</f>
        <v/>
      </c>
      <c r="O1631" s="13" t="str">
        <f t="shared" si="1"/>
        <v/>
      </c>
    </row>
    <row r="1632" ht="22.5" customHeight="1">
      <c r="B1632" s="13">
        <f>IFERROR(__xludf.DUMMYFUNCTION("""COMPUTED_VALUE"""),1627.0)</f>
        <v>1627</v>
      </c>
      <c r="C1632" s="13" t="str">
        <f>IFERROR(__xludf.DUMMYFUNCTION("""COMPUTED_VALUE"""),"M.2173/SUSUNAN BARU")</f>
        <v>M.2173/SUSUNAN BARU</v>
      </c>
      <c r="D1632" s="13" t="str">
        <f>IFERROR(__xludf.DUMMYFUNCTION("""COMPUTED_VALUE"""),"K/54/130325/1")</f>
        <v>K/54/130325/1</v>
      </c>
      <c r="E1632" s="14" t="str">
        <f>IFERROR(__xludf.DUMMYFUNCTION("""COMPUTED_VALUE"""),"Nadian (BT)")</f>
        <v>Nadian (BT)</v>
      </c>
      <c r="F1632" s="14" t="str">
        <f>IFERROR(__xludf.DUMMYFUNCTION("""COMPUTED_VALUE"""),"SELESAI (VIA PERMOHONAN)")</f>
        <v>SELESAI (VIA PERMOHONAN)</v>
      </c>
      <c r="G1632" s="17">
        <f>IFERROR(__xludf.DUMMYFUNCTION("""COMPUTED_VALUE"""),45743.55610556713)</f>
        <v>45743.55611</v>
      </c>
      <c r="H1632" s="14" t="str">
        <f>IFERROR(__xludf.DUMMYFUNCTION("""COMPUTED_VALUE"""),"Bu Eva (SU)")</f>
        <v>Bu Eva (SU)</v>
      </c>
      <c r="I1632" s="13" t="str">
        <f>IFERROR(__xludf.DUMMYFUNCTION("""COMPUTED_VALUE"""),"SELESAI (VIA PERMOHONAN)")</f>
        <v>SELESAI (VIA PERMOHONAN)</v>
      </c>
      <c r="J1632" s="17">
        <f>IFERROR(__xludf.DUMMYFUNCTION("""COMPUTED_VALUE"""),45743.591918148144)</f>
        <v>45743.59192</v>
      </c>
      <c r="K1632" s="13" t="str">
        <f>IFERROR(__xludf.DUMMYFUNCTION("""COMPUTED_VALUE"""),"Selesai")</f>
        <v>Selesai</v>
      </c>
      <c r="L1632" s="17">
        <f>IFERROR(__xludf.DUMMYFUNCTION("""COMPUTED_VALUE"""),45743.591918148144)</f>
        <v>45743.59192</v>
      </c>
      <c r="M1632" s="13"/>
      <c r="N1632" s="13" t="str">
        <f>IFERROR(__xludf.DUMMYFUNCTION("""COMPUTED_VALUE"""),"")</f>
        <v/>
      </c>
      <c r="O1632" s="13" t="str">
        <f t="shared" si="1"/>
        <v/>
      </c>
    </row>
    <row r="1633" ht="22.5" customHeight="1">
      <c r="B1633" s="13">
        <f>IFERROR(__xludf.DUMMYFUNCTION("""COMPUTED_VALUE"""),1628.0)</f>
        <v>1628</v>
      </c>
      <c r="C1633" s="13" t="str">
        <f>IFERROR(__xludf.DUMMYFUNCTION("""COMPUTED_VALUE"""),"M. 4907/ Rajabasa Raya")</f>
        <v>M. 4907/ Rajabasa Raya</v>
      </c>
      <c r="D1633" s="13" t="str">
        <f>IFERROR(__xludf.DUMMYFUNCTION("""COMPUTED_VALUE"""),"K/34/060325/3")</f>
        <v>K/34/060325/3</v>
      </c>
      <c r="E1633" s="14" t="str">
        <f>IFERROR(__xludf.DUMMYFUNCTION("""COMPUTED_VALUE"""),"Nadian (BT)")</f>
        <v>Nadian (BT)</v>
      </c>
      <c r="F1633" s="14" t="str">
        <f>IFERROR(__xludf.DUMMYFUNCTION("""COMPUTED_VALUE"""),"SELESAI (VIA PERMOHONAN)")</f>
        <v>SELESAI (VIA PERMOHONAN)</v>
      </c>
      <c r="G1633" s="17">
        <f>IFERROR(__xludf.DUMMYFUNCTION("""COMPUTED_VALUE"""),45743.55610556713)</f>
        <v>45743.55611</v>
      </c>
      <c r="H1633" s="14" t="str">
        <f>IFERROR(__xludf.DUMMYFUNCTION("""COMPUTED_VALUE"""),"Bu Eva (SU)")</f>
        <v>Bu Eva (SU)</v>
      </c>
      <c r="I1633" s="13" t="str">
        <f>IFERROR(__xludf.DUMMYFUNCTION("""COMPUTED_VALUE"""),"SELESAI (VIA PERMOHONAN)")</f>
        <v>SELESAI (VIA PERMOHONAN)</v>
      </c>
      <c r="J1633" s="17">
        <f>IFERROR(__xludf.DUMMYFUNCTION("""COMPUTED_VALUE"""),45743.59195641204)</f>
        <v>45743.59196</v>
      </c>
      <c r="K1633" s="13" t="str">
        <f>IFERROR(__xludf.DUMMYFUNCTION("""COMPUTED_VALUE"""),"Selesai")</f>
        <v>Selesai</v>
      </c>
      <c r="L1633" s="17">
        <f>IFERROR(__xludf.DUMMYFUNCTION("""COMPUTED_VALUE"""),45743.59195641204)</f>
        <v>45743.59196</v>
      </c>
      <c r="M1633" s="13"/>
      <c r="N1633" s="13" t="str">
        <f>IFERROR(__xludf.DUMMYFUNCTION("""COMPUTED_VALUE"""),"")</f>
        <v/>
      </c>
      <c r="O1633" s="13" t="str">
        <f t="shared" si="1"/>
        <v/>
      </c>
    </row>
    <row r="1634" ht="22.5" customHeight="1">
      <c r="B1634" s="13">
        <f>IFERROR(__xludf.DUMMYFUNCTION("""COMPUTED_VALUE"""),1629.0)</f>
        <v>1629</v>
      </c>
      <c r="C1634" s="13" t="str">
        <f>IFERROR(__xludf.DUMMYFUNCTION("""COMPUTED_VALUE"""),"M.16693/SUKARAME ")</f>
        <v>M.16693/SUKARAME </v>
      </c>
      <c r="D1634" s="13" t="str">
        <f>IFERROR(__xludf.DUMMYFUNCTION("""COMPUTED_VALUE"""),"K/10/120325/1")</f>
        <v>K/10/120325/1</v>
      </c>
      <c r="E1634" s="14" t="str">
        <f>IFERROR(__xludf.DUMMYFUNCTION("""COMPUTED_VALUE"""),"Nadian (BT)")</f>
        <v>Nadian (BT)</v>
      </c>
      <c r="F1634" s="14" t="str">
        <f>IFERROR(__xludf.DUMMYFUNCTION("""COMPUTED_VALUE"""),"SELESAI (VIA PERMOHONAN)")</f>
        <v>SELESAI (VIA PERMOHONAN)</v>
      </c>
      <c r="G1634" s="17">
        <f>IFERROR(__xludf.DUMMYFUNCTION("""COMPUTED_VALUE"""),45743.55610556713)</f>
        <v>45743.55611</v>
      </c>
      <c r="H1634" s="14" t="str">
        <f>IFERROR(__xludf.DUMMYFUNCTION("""COMPUTED_VALUE"""),"Bu Eva (SU)")</f>
        <v>Bu Eva (SU)</v>
      </c>
      <c r="I1634" s="13" t="str">
        <f>IFERROR(__xludf.DUMMYFUNCTION("""COMPUTED_VALUE"""),"SELESAI (VIA PERMOHONAN)")</f>
        <v>SELESAI (VIA PERMOHONAN)</v>
      </c>
      <c r="J1634" s="17">
        <f>IFERROR(__xludf.DUMMYFUNCTION("""COMPUTED_VALUE"""),45743.59195642361)</f>
        <v>45743.59196</v>
      </c>
      <c r="K1634" s="13" t="str">
        <f>IFERROR(__xludf.DUMMYFUNCTION("""COMPUTED_VALUE"""),"Selesai")</f>
        <v>Selesai</v>
      </c>
      <c r="L1634" s="17">
        <f>IFERROR(__xludf.DUMMYFUNCTION("""COMPUTED_VALUE"""),45743.59195642361)</f>
        <v>45743.59196</v>
      </c>
      <c r="M1634" s="13"/>
      <c r="N1634" s="13" t="str">
        <f>IFERROR(__xludf.DUMMYFUNCTION("""COMPUTED_VALUE"""),"")</f>
        <v/>
      </c>
      <c r="O1634" s="13" t="str">
        <f t="shared" si="1"/>
        <v/>
      </c>
    </row>
    <row r="1635" ht="22.5" customHeight="1">
      <c r="B1635" s="13">
        <f>IFERROR(__xludf.DUMMYFUNCTION("""COMPUTED_VALUE"""),1630.0)</f>
        <v>1630</v>
      </c>
      <c r="C1635" s="13" t="str">
        <f>IFERROR(__xludf.DUMMYFUNCTION("""COMPUTED_VALUE"""),"M.2276/RAJABASA RAYA")</f>
        <v>M.2276/RAJABASA RAYA</v>
      </c>
      <c r="D1635" s="13" t="str">
        <f>IFERROR(__xludf.DUMMYFUNCTION("""COMPUTED_VALUE"""),"K/26/070325/3")</f>
        <v>K/26/070325/3</v>
      </c>
      <c r="E1635" s="14" t="str">
        <f>IFERROR(__xludf.DUMMYFUNCTION("""COMPUTED_VALUE"""),"Nadian (BT)")</f>
        <v>Nadian (BT)</v>
      </c>
      <c r="F1635" s="14" t="str">
        <f>IFERROR(__xludf.DUMMYFUNCTION("""COMPUTED_VALUE"""),"SELESAI (VIA PERMOHONAN)")</f>
        <v>SELESAI (VIA PERMOHONAN)</v>
      </c>
      <c r="G1635" s="17">
        <f>IFERROR(__xludf.DUMMYFUNCTION("""COMPUTED_VALUE"""),45743.55610556713)</f>
        <v>45743.55611</v>
      </c>
      <c r="H1635" s="14" t="str">
        <f>IFERROR(__xludf.DUMMYFUNCTION("""COMPUTED_VALUE"""),"Bu Eva (SU)")</f>
        <v>Bu Eva (SU)</v>
      </c>
      <c r="I1635" s="13" t="str">
        <f>IFERROR(__xludf.DUMMYFUNCTION("""COMPUTED_VALUE"""),"SELESAI (VIA PERMOHONAN)")</f>
        <v>SELESAI (VIA PERMOHONAN)</v>
      </c>
      <c r="J1635" s="17">
        <f>IFERROR(__xludf.DUMMYFUNCTION("""COMPUTED_VALUE"""),45743.59195642361)</f>
        <v>45743.59196</v>
      </c>
      <c r="K1635" s="13" t="str">
        <f>IFERROR(__xludf.DUMMYFUNCTION("""COMPUTED_VALUE"""),"Selesai")</f>
        <v>Selesai</v>
      </c>
      <c r="L1635" s="17">
        <f>IFERROR(__xludf.DUMMYFUNCTION("""COMPUTED_VALUE"""),45743.59195642361)</f>
        <v>45743.59196</v>
      </c>
      <c r="M1635" s="13"/>
      <c r="N1635" s="13" t="str">
        <f>IFERROR(__xludf.DUMMYFUNCTION("""COMPUTED_VALUE"""),"")</f>
        <v/>
      </c>
      <c r="O1635" s="13" t="str">
        <f t="shared" si="1"/>
        <v/>
      </c>
    </row>
    <row r="1636" ht="22.5" customHeight="1">
      <c r="B1636" s="13">
        <f>IFERROR(__xludf.DUMMYFUNCTION("""COMPUTED_VALUE"""),1631.0)</f>
        <v>1631</v>
      </c>
      <c r="C1636" s="13" t="str">
        <f>IFERROR(__xludf.DUMMYFUNCTION("""COMPUTED_VALUE"""),"M..13617/SUKARAME")</f>
        <v>M..13617/SUKARAME</v>
      </c>
      <c r="D1636" s="13" t="str">
        <f>IFERROR(__xludf.DUMMYFUNCTION("""COMPUTED_VALUE"""),"K/15/190325/1")</f>
        <v>K/15/190325/1</v>
      </c>
      <c r="E1636" s="14" t="str">
        <f>IFERROR(__xludf.DUMMYFUNCTION("""COMPUTED_VALUE"""),"Nadian (BT)")</f>
        <v>Nadian (BT)</v>
      </c>
      <c r="F1636" s="14" t="str">
        <f>IFERROR(__xludf.DUMMYFUNCTION("""COMPUTED_VALUE"""),"SELESAI (VIA PERMOHONAN)")</f>
        <v>SELESAI (VIA PERMOHONAN)</v>
      </c>
      <c r="G1636" s="17">
        <f>IFERROR(__xludf.DUMMYFUNCTION("""COMPUTED_VALUE"""),45743.55610556713)</f>
        <v>45743.55611</v>
      </c>
      <c r="H1636" s="14" t="str">
        <f>IFERROR(__xludf.DUMMYFUNCTION("""COMPUTED_VALUE"""),"Bu Eva (SU)")</f>
        <v>Bu Eva (SU)</v>
      </c>
      <c r="I1636" s="13" t="str">
        <f>IFERROR(__xludf.DUMMYFUNCTION("""COMPUTED_VALUE"""),"SELESAI (VIA PERMOHONAN)")</f>
        <v>SELESAI (VIA PERMOHONAN)</v>
      </c>
      <c r="J1636" s="17">
        <f>IFERROR(__xludf.DUMMYFUNCTION("""COMPUTED_VALUE"""),45743.59195642361)</f>
        <v>45743.59196</v>
      </c>
      <c r="K1636" s="13" t="str">
        <f>IFERROR(__xludf.DUMMYFUNCTION("""COMPUTED_VALUE"""),"Selesai")</f>
        <v>Selesai</v>
      </c>
      <c r="L1636" s="17">
        <f>IFERROR(__xludf.DUMMYFUNCTION("""COMPUTED_VALUE"""),45743.59195642361)</f>
        <v>45743.59196</v>
      </c>
      <c r="M1636" s="13"/>
      <c r="N1636" s="13" t="str">
        <f>IFERROR(__xludf.DUMMYFUNCTION("""COMPUTED_VALUE"""),"")</f>
        <v/>
      </c>
      <c r="O1636" s="13" t="str">
        <f t="shared" si="1"/>
        <v/>
      </c>
    </row>
    <row r="1637" ht="22.5" customHeight="1">
      <c r="B1637" s="13">
        <f>IFERROR(__xludf.DUMMYFUNCTION("""COMPUTED_VALUE"""),1632.0)</f>
        <v>1632</v>
      </c>
      <c r="C1637" s="13" t="str">
        <f>IFERROR(__xludf.DUMMYFUNCTION("""COMPUTED_VALUE"""),"B.923/KEMILING PERMAI")</f>
        <v>B.923/KEMILING PERMAI</v>
      </c>
      <c r="D1637" s="13" t="str">
        <f>IFERROR(__xludf.DUMMYFUNCTION("""COMPUTED_VALUE"""),"K/36/170325/3")</f>
        <v>K/36/170325/3</v>
      </c>
      <c r="E1637" s="14" t="str">
        <f>IFERROR(__xludf.DUMMYFUNCTION("""COMPUTED_VALUE"""),"Nadian (BT)")</f>
        <v>Nadian (BT)</v>
      </c>
      <c r="F1637" s="14" t="str">
        <f>IFERROR(__xludf.DUMMYFUNCTION("""COMPUTED_VALUE"""),"SELESAI (VIA PERMOHONAN)")</f>
        <v>SELESAI (VIA PERMOHONAN)</v>
      </c>
      <c r="G1637" s="17">
        <f>IFERROR(__xludf.DUMMYFUNCTION("""COMPUTED_VALUE"""),45743.55610556713)</f>
        <v>45743.55611</v>
      </c>
      <c r="H1637" s="14" t="str">
        <f>IFERROR(__xludf.DUMMYFUNCTION("""COMPUTED_VALUE"""),"Bu Eva (SU)")</f>
        <v>Bu Eva (SU)</v>
      </c>
      <c r="I1637" s="13" t="str">
        <f>IFERROR(__xludf.DUMMYFUNCTION("""COMPUTED_VALUE"""),"SELESAI (VIA PERMOHONAN)")</f>
        <v>SELESAI (VIA PERMOHONAN)</v>
      </c>
      <c r="J1637" s="17">
        <f>IFERROR(__xludf.DUMMYFUNCTION("""COMPUTED_VALUE"""),45743.59195642361)</f>
        <v>45743.59196</v>
      </c>
      <c r="K1637" s="13" t="str">
        <f>IFERROR(__xludf.DUMMYFUNCTION("""COMPUTED_VALUE"""),"Selesai")</f>
        <v>Selesai</v>
      </c>
      <c r="L1637" s="17">
        <f>IFERROR(__xludf.DUMMYFUNCTION("""COMPUTED_VALUE"""),45743.59195642361)</f>
        <v>45743.59196</v>
      </c>
      <c r="M1637" s="13"/>
      <c r="N1637" s="13" t="str">
        <f>IFERROR(__xludf.DUMMYFUNCTION("""COMPUTED_VALUE"""),"")</f>
        <v/>
      </c>
      <c r="O1637" s="13" t="str">
        <f t="shared" si="1"/>
        <v/>
      </c>
    </row>
    <row r="1638" ht="22.5" customHeight="1">
      <c r="B1638" s="13">
        <f>IFERROR(__xludf.DUMMYFUNCTION("""COMPUTED_VALUE"""),1633.0)</f>
        <v>1633</v>
      </c>
      <c r="C1638" s="13" t="str">
        <f>IFERROR(__xludf.DUMMYFUNCTION("""COMPUTED_VALUE"""),"B.3603/BERINGIN RAYA ")</f>
        <v>B.3603/BERINGIN RAYA </v>
      </c>
      <c r="D1638" s="13" t="str">
        <f>IFERROR(__xludf.DUMMYFUNCTION("""COMPUTED_VALUE"""),"K/41/110325/1")</f>
        <v>K/41/110325/1</v>
      </c>
      <c r="E1638" s="14" t="str">
        <f>IFERROR(__xludf.DUMMYFUNCTION("""COMPUTED_VALUE"""),"Nadian (BT)")</f>
        <v>Nadian (BT)</v>
      </c>
      <c r="F1638" s="14" t="str">
        <f>IFERROR(__xludf.DUMMYFUNCTION("""COMPUTED_VALUE"""),"SELESAI (VIA PERMOHONAN)")</f>
        <v>SELESAI (VIA PERMOHONAN)</v>
      </c>
      <c r="G1638" s="17">
        <f>IFERROR(__xludf.DUMMYFUNCTION("""COMPUTED_VALUE"""),45743.55610556713)</f>
        <v>45743.55611</v>
      </c>
      <c r="H1638" s="14" t="str">
        <f>IFERROR(__xludf.DUMMYFUNCTION("""COMPUTED_VALUE"""),"Bu Eva (SU)")</f>
        <v>Bu Eva (SU)</v>
      </c>
      <c r="I1638" s="13" t="str">
        <f>IFERROR(__xludf.DUMMYFUNCTION("""COMPUTED_VALUE"""),"SELESAI (VIA PERMOHONAN)")</f>
        <v>SELESAI (VIA PERMOHONAN)</v>
      </c>
      <c r="J1638" s="17">
        <f>IFERROR(__xludf.DUMMYFUNCTION("""COMPUTED_VALUE"""),45743.59195642361)</f>
        <v>45743.59196</v>
      </c>
      <c r="K1638" s="13" t="str">
        <f>IFERROR(__xludf.DUMMYFUNCTION("""COMPUTED_VALUE"""),"Selesai")</f>
        <v>Selesai</v>
      </c>
      <c r="L1638" s="17">
        <f>IFERROR(__xludf.DUMMYFUNCTION("""COMPUTED_VALUE"""),45743.59195642361)</f>
        <v>45743.59196</v>
      </c>
      <c r="M1638" s="13"/>
      <c r="N1638" s="13" t="str">
        <f>IFERROR(__xludf.DUMMYFUNCTION("""COMPUTED_VALUE"""),"")</f>
        <v/>
      </c>
      <c r="O1638" s="13" t="str">
        <f t="shared" si="1"/>
        <v/>
      </c>
    </row>
    <row r="1639" ht="22.5" customHeight="1">
      <c r="B1639" s="13">
        <f>IFERROR(__xludf.DUMMYFUNCTION("""COMPUTED_VALUE"""),1634.0)</f>
        <v>1634</v>
      </c>
      <c r="C1639" s="13" t="str">
        <f>IFERROR(__xludf.DUMMYFUNCTION("""COMPUTED_VALUE"""),"M. 2456/KEDAUNG")</f>
        <v>M. 2456/KEDAUNG</v>
      </c>
      <c r="D1639" s="13" t="str">
        <f>IFERROR(__xludf.DUMMYFUNCTION("""COMPUTED_VALUE"""),"K/14/130325/1")</f>
        <v>K/14/130325/1</v>
      </c>
      <c r="E1639" s="14" t="str">
        <f>IFERROR(__xludf.DUMMYFUNCTION("""COMPUTED_VALUE"""),"Nadian (BT)")</f>
        <v>Nadian (BT)</v>
      </c>
      <c r="F1639" s="14" t="str">
        <f>IFERROR(__xludf.DUMMYFUNCTION("""COMPUTED_VALUE"""),"SELESAI (VIA PERMOHONAN)")</f>
        <v>SELESAI (VIA PERMOHONAN)</v>
      </c>
      <c r="G1639" s="17">
        <f>IFERROR(__xludf.DUMMYFUNCTION("""COMPUTED_VALUE"""),45743.55610556713)</f>
        <v>45743.55611</v>
      </c>
      <c r="H1639" s="14" t="str">
        <f>IFERROR(__xludf.DUMMYFUNCTION("""COMPUTED_VALUE"""),"Bu Eva (SU)")</f>
        <v>Bu Eva (SU)</v>
      </c>
      <c r="I1639" s="13" t="str">
        <f>IFERROR(__xludf.DUMMYFUNCTION("""COMPUTED_VALUE"""),"SELESAI (VIA PERMOHONAN)")</f>
        <v>SELESAI (VIA PERMOHONAN)</v>
      </c>
      <c r="J1639" s="17">
        <f>IFERROR(__xludf.DUMMYFUNCTION("""COMPUTED_VALUE"""),45743.59195642361)</f>
        <v>45743.59196</v>
      </c>
      <c r="K1639" s="13" t="str">
        <f>IFERROR(__xludf.DUMMYFUNCTION("""COMPUTED_VALUE"""),"Selesai")</f>
        <v>Selesai</v>
      </c>
      <c r="L1639" s="17">
        <f>IFERROR(__xludf.DUMMYFUNCTION("""COMPUTED_VALUE"""),45743.59195642361)</f>
        <v>45743.59196</v>
      </c>
      <c r="M1639" s="13"/>
      <c r="N1639" s="13" t="str">
        <f>IFERROR(__xludf.DUMMYFUNCTION("""COMPUTED_VALUE"""),"")</f>
        <v/>
      </c>
      <c r="O1639" s="13" t="str">
        <f t="shared" si="1"/>
        <v/>
      </c>
    </row>
    <row r="1640" ht="22.5" customHeight="1">
      <c r="B1640" s="13">
        <f>IFERROR(__xludf.DUMMYFUNCTION("""COMPUTED_VALUE"""),1635.0)</f>
        <v>1635</v>
      </c>
      <c r="C1640" s="13" t="str">
        <f>IFERROR(__xludf.DUMMYFUNCTION("""COMPUTED_VALUE"""),"B. 175/ Kampung Baru")</f>
        <v>B. 175/ Kampung Baru</v>
      </c>
      <c r="D1640" s="13" t="str">
        <f>IFERROR(__xludf.DUMMYFUNCTION("""COMPUTED_VALUE"""),"K/9/170325/1")</f>
        <v>K/9/170325/1</v>
      </c>
      <c r="E1640" s="14" t="str">
        <f>IFERROR(__xludf.DUMMYFUNCTION("""COMPUTED_VALUE"""),"Nadian (BT)")</f>
        <v>Nadian (BT)</v>
      </c>
      <c r="F1640" s="14" t="str">
        <f>IFERROR(__xludf.DUMMYFUNCTION("""COMPUTED_VALUE"""),"SELESAI (VIA PERMOHONAN)")</f>
        <v>SELESAI (VIA PERMOHONAN)</v>
      </c>
      <c r="G1640" s="17">
        <f>IFERROR(__xludf.DUMMYFUNCTION("""COMPUTED_VALUE"""),45743.55610556713)</f>
        <v>45743.55611</v>
      </c>
      <c r="H1640" s="14" t="str">
        <f>IFERROR(__xludf.DUMMYFUNCTION("""COMPUTED_VALUE"""),"Bu Eva (SU)")</f>
        <v>Bu Eva (SU)</v>
      </c>
      <c r="I1640" s="13" t="str">
        <f>IFERROR(__xludf.DUMMYFUNCTION("""COMPUTED_VALUE"""),"SELESAI (VIA PERMOHONAN)")</f>
        <v>SELESAI (VIA PERMOHONAN)</v>
      </c>
      <c r="J1640" s="17">
        <f>IFERROR(__xludf.DUMMYFUNCTION("""COMPUTED_VALUE"""),45743.59199185185)</f>
        <v>45743.59199</v>
      </c>
      <c r="K1640" s="13" t="str">
        <f>IFERROR(__xludf.DUMMYFUNCTION("""COMPUTED_VALUE"""),"Selesai")</f>
        <v>Selesai</v>
      </c>
      <c r="L1640" s="17">
        <f>IFERROR(__xludf.DUMMYFUNCTION("""COMPUTED_VALUE"""),45743.59199185185)</f>
        <v>45743.59199</v>
      </c>
      <c r="M1640" s="13"/>
      <c r="N1640" s="13" t="str">
        <f>IFERROR(__xludf.DUMMYFUNCTION("""COMPUTED_VALUE"""),"")</f>
        <v/>
      </c>
      <c r="O1640" s="13" t="str">
        <f t="shared" si="1"/>
        <v/>
      </c>
    </row>
    <row r="1641" ht="22.5" customHeight="1">
      <c r="B1641" s="13">
        <f>IFERROR(__xludf.DUMMYFUNCTION("""COMPUTED_VALUE"""),1636.0)</f>
        <v>1636</v>
      </c>
      <c r="C1641" s="13" t="str">
        <f>IFERROR(__xludf.DUMMYFUNCTION("""COMPUTED_VALUE"""),"M. 1835/ Rajabasa Nunyai")</f>
        <v>M. 1835/ Rajabasa Nunyai</v>
      </c>
      <c r="D1641" s="13" t="str">
        <f>IFERROR(__xludf.DUMMYFUNCTION("""COMPUTED_VALUE"""),"K/6/110325/1")</f>
        <v>K/6/110325/1</v>
      </c>
      <c r="E1641" s="14" t="str">
        <f>IFERROR(__xludf.DUMMYFUNCTION("""COMPUTED_VALUE"""),"Nadian (BT)")</f>
        <v>Nadian (BT)</v>
      </c>
      <c r="F1641" s="14" t="str">
        <f>IFERROR(__xludf.DUMMYFUNCTION("""COMPUTED_VALUE"""),"SELESAI (VIA PERMOHONAN)")</f>
        <v>SELESAI (VIA PERMOHONAN)</v>
      </c>
      <c r="G1641" s="17">
        <f>IFERROR(__xludf.DUMMYFUNCTION("""COMPUTED_VALUE"""),45743.55610556713)</f>
        <v>45743.55611</v>
      </c>
      <c r="H1641" s="14" t="str">
        <f>IFERROR(__xludf.DUMMYFUNCTION("""COMPUTED_VALUE"""),"Bu Eva (SU)")</f>
        <v>Bu Eva (SU)</v>
      </c>
      <c r="I1641" s="13" t="str">
        <f>IFERROR(__xludf.DUMMYFUNCTION("""COMPUTED_VALUE"""),"SELESAI (VIA PERMOHONAN)")</f>
        <v>SELESAI (VIA PERMOHONAN)</v>
      </c>
      <c r="J1641" s="17">
        <f>IFERROR(__xludf.DUMMYFUNCTION("""COMPUTED_VALUE"""),45743.59199185185)</f>
        <v>45743.59199</v>
      </c>
      <c r="K1641" s="13" t="str">
        <f>IFERROR(__xludf.DUMMYFUNCTION("""COMPUTED_VALUE"""),"Selesai")</f>
        <v>Selesai</v>
      </c>
      <c r="L1641" s="17">
        <f>IFERROR(__xludf.DUMMYFUNCTION("""COMPUTED_VALUE"""),45743.59199185185)</f>
        <v>45743.59199</v>
      </c>
      <c r="M1641" s="13"/>
      <c r="N1641" s="13" t="str">
        <f>IFERROR(__xludf.DUMMYFUNCTION("""COMPUTED_VALUE"""),"")</f>
        <v/>
      </c>
      <c r="O1641" s="13" t="str">
        <f t="shared" si="1"/>
        <v/>
      </c>
    </row>
    <row r="1642" ht="22.5" customHeight="1">
      <c r="B1642" s="13">
        <f>IFERROR(__xludf.DUMMYFUNCTION("""COMPUTED_VALUE"""),1637.0)</f>
        <v>1637</v>
      </c>
      <c r="C1642" s="13" t="str">
        <f>IFERROR(__xludf.DUMMYFUNCTION("""COMPUTED_VALUE"""),"M.6876/TANJUNG SENANG")</f>
        <v>M.6876/TANJUNG SENANG</v>
      </c>
      <c r="D1642" s="13" t="str">
        <f>IFERROR(__xludf.DUMMYFUNCTION("""COMPUTED_VALUE"""),"K/10/170225/1")</f>
        <v>K/10/170225/1</v>
      </c>
      <c r="E1642" s="14" t="str">
        <f>IFERROR(__xludf.DUMMYFUNCTION("""COMPUTED_VALUE"""),"Nadian (BT)")</f>
        <v>Nadian (BT)</v>
      </c>
      <c r="F1642" s="14" t="str">
        <f>IFERROR(__xludf.DUMMYFUNCTION("""COMPUTED_VALUE"""),"SELESAI (VIA PERMOHONAN)")</f>
        <v>SELESAI (VIA PERMOHONAN)</v>
      </c>
      <c r="G1642" s="17">
        <f>IFERROR(__xludf.DUMMYFUNCTION("""COMPUTED_VALUE"""),45743.55610556713)</f>
        <v>45743.55611</v>
      </c>
      <c r="H1642" s="14" t="str">
        <f>IFERROR(__xludf.DUMMYFUNCTION("""COMPUTED_VALUE"""),"Bu Eva (SU)")</f>
        <v>Bu Eva (SU)</v>
      </c>
      <c r="I1642" s="13" t="str">
        <f>IFERROR(__xludf.DUMMYFUNCTION("""COMPUTED_VALUE"""),"SELESAI (VIA PERMOHONAN)")</f>
        <v>SELESAI (VIA PERMOHONAN)</v>
      </c>
      <c r="J1642" s="17">
        <f>IFERROR(__xludf.DUMMYFUNCTION("""COMPUTED_VALUE"""),45743.59199185185)</f>
        <v>45743.59199</v>
      </c>
      <c r="K1642" s="13" t="str">
        <f>IFERROR(__xludf.DUMMYFUNCTION("""COMPUTED_VALUE"""),"Selesai")</f>
        <v>Selesai</v>
      </c>
      <c r="L1642" s="17">
        <f>IFERROR(__xludf.DUMMYFUNCTION("""COMPUTED_VALUE"""),45743.59199185185)</f>
        <v>45743.59199</v>
      </c>
      <c r="M1642" s="13"/>
      <c r="N1642" s="13" t="str">
        <f>IFERROR(__xludf.DUMMYFUNCTION("""COMPUTED_VALUE"""),"")</f>
        <v/>
      </c>
      <c r="O1642" s="13" t="str">
        <f t="shared" si="1"/>
        <v/>
      </c>
    </row>
    <row r="1643" ht="22.5" customHeight="1">
      <c r="B1643" s="13">
        <f>IFERROR(__xludf.DUMMYFUNCTION("""COMPUTED_VALUE"""),1638.0)</f>
        <v>1638</v>
      </c>
      <c r="C1643" s="13" t="str">
        <f>IFERROR(__xludf.DUMMYFUNCTION("""COMPUTED_VALUE"""),"HM 1730/PANJANG UTARA")</f>
        <v>HM 1730/PANJANG UTARA</v>
      </c>
      <c r="D1643" s="13" t="str">
        <f>IFERROR(__xludf.DUMMYFUNCTION("""COMPUTED_VALUE"""),"L/19/200225/1")</f>
        <v>L/19/200225/1</v>
      </c>
      <c r="E1643" s="14" t="str">
        <f>IFERROR(__xludf.DUMMYFUNCTION("""COMPUTED_VALUE"""),"Afriza (BT)")</f>
        <v>Afriza (BT)</v>
      </c>
      <c r="F1643" s="14" t="str">
        <f>IFERROR(__xludf.DUMMYFUNCTION("""COMPUTED_VALUE"""),"SELESAI (VIA PERMOHONAN)")</f>
        <v>SELESAI (VIA PERMOHONAN)</v>
      </c>
      <c r="G1643" s="17">
        <f>IFERROR(__xludf.DUMMYFUNCTION("""COMPUTED_VALUE"""),45743.40333935185)</f>
        <v>45743.40334</v>
      </c>
      <c r="H1643" s="14" t="str">
        <f>IFERROR(__xludf.DUMMYFUNCTION("""COMPUTED_VALUE"""),"Bu Eva (SU)")</f>
        <v>Bu Eva (SU)</v>
      </c>
      <c r="I1643" s="13" t="str">
        <f>IFERROR(__xludf.DUMMYFUNCTION("""COMPUTED_VALUE"""),"SELESAI (VIA PERMOHONAN)")</f>
        <v>SELESAI (VIA PERMOHONAN)</v>
      </c>
      <c r="J1643" s="17">
        <f>IFERROR(__xludf.DUMMYFUNCTION("""COMPUTED_VALUE"""),45743.59199185185)</f>
        <v>45743.59199</v>
      </c>
      <c r="K1643" s="13" t="str">
        <f>IFERROR(__xludf.DUMMYFUNCTION("""COMPUTED_VALUE"""),"Selesai")</f>
        <v>Selesai</v>
      </c>
      <c r="L1643" s="17">
        <f>IFERROR(__xludf.DUMMYFUNCTION("""COMPUTED_VALUE"""),45743.59199185185)</f>
        <v>45743.59199</v>
      </c>
      <c r="M1643" s="13"/>
      <c r="N1643" s="13" t="str">
        <f>IFERROR(__xludf.DUMMYFUNCTION("""COMPUTED_VALUE"""),"")</f>
        <v/>
      </c>
      <c r="O1643" s="13" t="str">
        <f t="shared" si="1"/>
        <v/>
      </c>
    </row>
    <row r="1644" ht="22.5" customHeight="1">
      <c r="B1644" s="13">
        <f>IFERROR(__xludf.DUMMYFUNCTION("""COMPUTED_VALUE"""),1639.0)</f>
        <v>1639</v>
      </c>
      <c r="C1644" s="13" t="str">
        <f>IFERROR(__xludf.DUMMYFUNCTION("""COMPUTED_VALUE"""),"HGB 145/NOG")</f>
        <v>HGB 145/NOG</v>
      </c>
      <c r="D1644" s="13" t="str">
        <f>IFERROR(__xludf.DUMMYFUNCTION("""COMPUTED_VALUE"""),"L/29/130325/1")</f>
        <v>L/29/130325/1</v>
      </c>
      <c r="E1644" s="14" t="str">
        <f>IFERROR(__xludf.DUMMYFUNCTION("""COMPUTED_VALUE"""),"Afriza (BT)")</f>
        <v>Afriza (BT)</v>
      </c>
      <c r="F1644" s="14" t="str">
        <f>IFERROR(__xludf.DUMMYFUNCTION("""COMPUTED_VALUE"""),"SELESAI (VIA PERMOHONAN)")</f>
        <v>SELESAI (VIA PERMOHONAN)</v>
      </c>
      <c r="G1644" s="17">
        <f>IFERROR(__xludf.DUMMYFUNCTION("""COMPUTED_VALUE"""),45743.40347116898)</f>
        <v>45743.40347</v>
      </c>
      <c r="H1644" s="14" t="str">
        <f>IFERROR(__xludf.DUMMYFUNCTION("""COMPUTED_VALUE"""),"Bu Eva (SU)")</f>
        <v>Bu Eva (SU)</v>
      </c>
      <c r="I1644" s="13" t="str">
        <f>IFERROR(__xludf.DUMMYFUNCTION("""COMPUTED_VALUE"""),"SELESAI (VIA PERMOHONAN)")</f>
        <v>SELESAI (VIA PERMOHONAN)</v>
      </c>
      <c r="J1644" s="17">
        <f>IFERROR(__xludf.DUMMYFUNCTION("""COMPUTED_VALUE"""),45743.59199185185)</f>
        <v>45743.59199</v>
      </c>
      <c r="K1644" s="13" t="str">
        <f>IFERROR(__xludf.DUMMYFUNCTION("""COMPUTED_VALUE"""),"Selesai")</f>
        <v>Selesai</v>
      </c>
      <c r="L1644" s="17">
        <f>IFERROR(__xludf.DUMMYFUNCTION("""COMPUTED_VALUE"""),45743.59199185185)</f>
        <v>45743.59199</v>
      </c>
      <c r="M1644" s="13"/>
      <c r="N1644" s="13" t="str">
        <f>IFERROR(__xludf.DUMMYFUNCTION("""COMPUTED_VALUE"""),"")</f>
        <v/>
      </c>
      <c r="O1644" s="13" t="str">
        <f t="shared" si="1"/>
        <v/>
      </c>
    </row>
    <row r="1645" ht="22.5" customHeight="1">
      <c r="B1645" s="13">
        <f>IFERROR(__xludf.DUMMYFUNCTION("""COMPUTED_VALUE"""),1640.0)</f>
        <v>1640</v>
      </c>
      <c r="C1645" s="13" t="str">
        <f>IFERROR(__xludf.DUMMYFUNCTION("""COMPUTED_VALUE"""),"HM 3142/WAY KANDIS")</f>
        <v>HM 3142/WAY KANDIS</v>
      </c>
      <c r="D1645" s="13" t="str">
        <f>IFERROR(__xludf.DUMMYFUNCTION("""COMPUTED_VALUE"""),"L/8/200325/1")</f>
        <v>L/8/200325/1</v>
      </c>
      <c r="E1645" s="14" t="str">
        <f>IFERROR(__xludf.DUMMYFUNCTION("""COMPUTED_VALUE"""),"Afriza (BT)")</f>
        <v>Afriza (BT)</v>
      </c>
      <c r="F1645" s="14" t="str">
        <f>IFERROR(__xludf.DUMMYFUNCTION("""COMPUTED_VALUE"""),"SELESAI (VIA PERMOHONAN)")</f>
        <v>SELESAI (VIA PERMOHONAN)</v>
      </c>
      <c r="G1645" s="17">
        <f>IFERROR(__xludf.DUMMYFUNCTION("""COMPUTED_VALUE"""),45743.55587684028)</f>
        <v>45743.55588</v>
      </c>
      <c r="H1645" s="14" t="str">
        <f>IFERROR(__xludf.DUMMYFUNCTION("""COMPUTED_VALUE"""),"Bu Eva (SU)")</f>
        <v>Bu Eva (SU)</v>
      </c>
      <c r="I1645" s="13" t="str">
        <f>IFERROR(__xludf.DUMMYFUNCTION("""COMPUTED_VALUE"""),"SELESAI (VIA PERMOHONAN)")</f>
        <v>SELESAI (VIA PERMOHONAN)</v>
      </c>
      <c r="J1645" s="17">
        <f>IFERROR(__xludf.DUMMYFUNCTION("""COMPUTED_VALUE"""),45743.59199185185)</f>
        <v>45743.59199</v>
      </c>
      <c r="K1645" s="13" t="str">
        <f>IFERROR(__xludf.DUMMYFUNCTION("""COMPUTED_VALUE"""),"Selesai")</f>
        <v>Selesai</v>
      </c>
      <c r="L1645" s="17">
        <f>IFERROR(__xludf.DUMMYFUNCTION("""COMPUTED_VALUE"""),45743.59199185185)</f>
        <v>45743.59199</v>
      </c>
      <c r="M1645" s="13"/>
      <c r="N1645" s="13" t="str">
        <f>IFERROR(__xludf.DUMMYFUNCTION("""COMPUTED_VALUE"""),"")</f>
        <v/>
      </c>
      <c r="O1645" s="13" t="str">
        <f t="shared" si="1"/>
        <v/>
      </c>
    </row>
    <row r="1646" ht="22.5" customHeight="1">
      <c r="B1646" s="13">
        <f>IFERROR(__xludf.DUMMYFUNCTION("""COMPUTED_VALUE"""),1641.0)</f>
        <v>1641</v>
      </c>
      <c r="C1646" s="13" t="str">
        <f>IFERROR(__xludf.DUMMYFUNCTION("""COMPUTED_VALUE"""),"B. 3649/ Sukabumi")</f>
        <v>B. 3649/ Sukabumi</v>
      </c>
      <c r="D1646" s="13" t="str">
        <f>IFERROR(__xludf.DUMMYFUNCTION("""COMPUTED_VALUE"""),"K/33/060325/2")</f>
        <v>K/33/060325/2</v>
      </c>
      <c r="E1646" s="14" t="str">
        <f>IFERROR(__xludf.DUMMYFUNCTION("""COMPUTED_VALUE"""),"Nadian (BT)")</f>
        <v>Nadian (BT)</v>
      </c>
      <c r="F1646" s="14" t="str">
        <f>IFERROR(__xludf.DUMMYFUNCTION("""COMPUTED_VALUE"""),"SELESAI (VIA PERMOHONAN)")</f>
        <v>SELESAI (VIA PERMOHONAN)</v>
      </c>
      <c r="G1646" s="17">
        <f>IFERROR(__xludf.DUMMYFUNCTION("""COMPUTED_VALUE"""),45743.56306144676)</f>
        <v>45743.56306</v>
      </c>
      <c r="H1646" s="14" t="str">
        <f>IFERROR(__xludf.DUMMYFUNCTION("""COMPUTED_VALUE"""),"Bu Eva (SU)")</f>
        <v>Bu Eva (SU)</v>
      </c>
      <c r="I1646" s="13" t="str">
        <f>IFERROR(__xludf.DUMMYFUNCTION("""COMPUTED_VALUE"""),"SELESAI (VIA PERMOHONAN)")</f>
        <v>SELESAI (VIA PERMOHONAN)</v>
      </c>
      <c r="J1646" s="17">
        <f>IFERROR(__xludf.DUMMYFUNCTION("""COMPUTED_VALUE"""),45743.59199185185)</f>
        <v>45743.59199</v>
      </c>
      <c r="K1646" s="13" t="str">
        <f>IFERROR(__xludf.DUMMYFUNCTION("""COMPUTED_VALUE"""),"Selesai")</f>
        <v>Selesai</v>
      </c>
      <c r="L1646" s="17">
        <f>IFERROR(__xludf.DUMMYFUNCTION("""COMPUTED_VALUE"""),45743.59199185185)</f>
        <v>45743.59199</v>
      </c>
      <c r="M1646" s="13"/>
      <c r="N1646" s="13" t="str">
        <f>IFERROR(__xludf.DUMMYFUNCTION("""COMPUTED_VALUE"""),"")</f>
        <v/>
      </c>
      <c r="O1646" s="13" t="str">
        <f t="shared" si="1"/>
        <v/>
      </c>
    </row>
    <row r="1647" ht="22.5" customHeight="1">
      <c r="B1647" s="13">
        <f>IFERROR(__xludf.DUMMYFUNCTION("""COMPUTED_VALUE"""),1642.0)</f>
        <v>1642</v>
      </c>
      <c r="C1647" s="13" t="str">
        <f>IFERROR(__xludf.DUMMYFUNCTION("""COMPUTED_VALUE"""),"M. 67/LABUHAN DALAM")</f>
        <v>M. 67/LABUHAN DALAM</v>
      </c>
      <c r="D1647" s="13" t="str">
        <f>IFERROR(__xludf.DUMMYFUNCTION("""COMPUTED_VALUE"""),"K/48/070325/1")</f>
        <v>K/48/070325/1</v>
      </c>
      <c r="E1647" s="14" t="str">
        <f>IFERROR(__xludf.DUMMYFUNCTION("""COMPUTED_VALUE"""),"Nadian (BT)")</f>
        <v>Nadian (BT)</v>
      </c>
      <c r="F1647" s="14" t="str">
        <f>IFERROR(__xludf.DUMMYFUNCTION("""COMPUTED_VALUE"""),"SELESAI (VIA PERMOHONAN)")</f>
        <v>SELESAI (VIA PERMOHONAN)</v>
      </c>
      <c r="G1647" s="17">
        <f>IFERROR(__xludf.DUMMYFUNCTION("""COMPUTED_VALUE"""),45743.56310733796)</f>
        <v>45743.56311</v>
      </c>
      <c r="H1647" s="14" t="str">
        <f>IFERROR(__xludf.DUMMYFUNCTION("""COMPUTED_VALUE"""),"Bu Eva (SU)")</f>
        <v>Bu Eva (SU)</v>
      </c>
      <c r="I1647" s="13" t="str">
        <f>IFERROR(__xludf.DUMMYFUNCTION("""COMPUTED_VALUE"""),"SELESAI (VIA PERMOHONAN)")</f>
        <v>SELESAI (VIA PERMOHONAN)</v>
      </c>
      <c r="J1647" s="17">
        <f>IFERROR(__xludf.DUMMYFUNCTION("""COMPUTED_VALUE"""),45743.59213846065)</f>
        <v>45743.59214</v>
      </c>
      <c r="K1647" s="13" t="str">
        <f>IFERROR(__xludf.DUMMYFUNCTION("""COMPUTED_VALUE"""),"Selesai")</f>
        <v>Selesai</v>
      </c>
      <c r="L1647" s="17">
        <f>IFERROR(__xludf.DUMMYFUNCTION("""COMPUTED_VALUE"""),45743.59213846065)</f>
        <v>45743.59214</v>
      </c>
      <c r="M1647" s="13"/>
      <c r="N1647" s="13" t="str">
        <f>IFERROR(__xludf.DUMMYFUNCTION("""COMPUTED_VALUE"""),"")</f>
        <v/>
      </c>
      <c r="O1647" s="13" t="str">
        <f t="shared" si="1"/>
        <v/>
      </c>
    </row>
    <row r="1648" ht="22.5" customHeight="1">
      <c r="B1648" s="13">
        <f>IFERROR(__xludf.DUMMYFUNCTION("""COMPUTED_VALUE"""),1643.0)</f>
        <v>1643</v>
      </c>
      <c r="C1648" s="13" t="str">
        <f>IFERROR(__xludf.DUMMYFUNCTION("""COMPUTED_VALUE"""),"HM 330/PERWATA")</f>
        <v>HM 330/PERWATA</v>
      </c>
      <c r="D1648" s="13" t="str">
        <f>IFERROR(__xludf.DUMMYFUNCTION("""COMPUTED_VALUE"""),"L/24/110325/1")</f>
        <v>L/24/110325/1</v>
      </c>
      <c r="E1648" s="14" t="str">
        <f>IFERROR(__xludf.DUMMYFUNCTION("""COMPUTED_VALUE"""),"Nadian (BT)")</f>
        <v>Nadian (BT)</v>
      </c>
      <c r="F1648" s="14" t="str">
        <f>IFERROR(__xludf.DUMMYFUNCTION("""COMPUTED_VALUE"""),"SELESAI (VIA PERMOHONAN)")</f>
        <v>SELESAI (VIA PERMOHONAN)</v>
      </c>
      <c r="G1648" s="17">
        <f>IFERROR(__xludf.DUMMYFUNCTION("""COMPUTED_VALUE"""),45743.56310734954)</f>
        <v>45743.56311</v>
      </c>
      <c r="H1648" s="14" t="str">
        <f>IFERROR(__xludf.DUMMYFUNCTION("""COMPUTED_VALUE"""),"Bu Eva (SU)")</f>
        <v>Bu Eva (SU)</v>
      </c>
      <c r="I1648" s="13" t="str">
        <f>IFERROR(__xludf.DUMMYFUNCTION("""COMPUTED_VALUE"""),"SELESAI (VIA PERMOHONAN)")</f>
        <v>SELESAI (VIA PERMOHONAN)</v>
      </c>
      <c r="J1648" s="17">
        <f>IFERROR(__xludf.DUMMYFUNCTION("""COMPUTED_VALUE"""),45743.59213846065)</f>
        <v>45743.59214</v>
      </c>
      <c r="K1648" s="13" t="str">
        <f>IFERROR(__xludf.DUMMYFUNCTION("""COMPUTED_VALUE"""),"Selesai")</f>
        <v>Selesai</v>
      </c>
      <c r="L1648" s="17">
        <f>IFERROR(__xludf.DUMMYFUNCTION("""COMPUTED_VALUE"""),45743.59213846065)</f>
        <v>45743.59214</v>
      </c>
      <c r="M1648" s="13"/>
      <c r="N1648" s="13" t="str">
        <f>IFERROR(__xludf.DUMMYFUNCTION("""COMPUTED_VALUE"""),"")</f>
        <v/>
      </c>
      <c r="O1648" s="13" t="str">
        <f t="shared" si="1"/>
        <v/>
      </c>
    </row>
    <row r="1649" ht="22.5" customHeight="1">
      <c r="B1649" s="13">
        <f>IFERROR(__xludf.DUMMYFUNCTION("""COMPUTED_VALUE"""),1644.0)</f>
        <v>1644</v>
      </c>
      <c r="C1649" s="13" t="str">
        <f>IFERROR(__xludf.DUMMYFUNCTION("""COMPUTED_VALUE"""),"HGB 157/GEDONG MENENG")</f>
        <v>HGB 157/GEDONG MENENG</v>
      </c>
      <c r="D1649" s="13" t="str">
        <f>IFERROR(__xludf.DUMMYFUNCTION("""COMPUTED_VALUE"""),"L/23/170325/1")</f>
        <v>L/23/170325/1</v>
      </c>
      <c r="E1649" s="14" t="str">
        <f>IFERROR(__xludf.DUMMYFUNCTION("""COMPUTED_VALUE"""),"Nadian (BT)")</f>
        <v>Nadian (BT)</v>
      </c>
      <c r="F1649" s="14" t="str">
        <f>IFERROR(__xludf.DUMMYFUNCTION("""COMPUTED_VALUE"""),"SELESAI (VIA PERMOHONAN)")</f>
        <v>SELESAI (VIA PERMOHONAN)</v>
      </c>
      <c r="G1649" s="17">
        <f>IFERROR(__xludf.DUMMYFUNCTION("""COMPUTED_VALUE"""),45743.56310734954)</f>
        <v>45743.56311</v>
      </c>
      <c r="H1649" s="14" t="str">
        <f>IFERROR(__xludf.DUMMYFUNCTION("""COMPUTED_VALUE"""),"Bu Eva (SU)")</f>
        <v>Bu Eva (SU)</v>
      </c>
      <c r="I1649" s="13" t="str">
        <f>IFERROR(__xludf.DUMMYFUNCTION("""COMPUTED_VALUE"""),"SELESAI (VIA PERMOHONAN)")</f>
        <v>SELESAI (VIA PERMOHONAN)</v>
      </c>
      <c r="J1649" s="17">
        <f>IFERROR(__xludf.DUMMYFUNCTION("""COMPUTED_VALUE"""),45743.59213846065)</f>
        <v>45743.59214</v>
      </c>
      <c r="K1649" s="13" t="str">
        <f>IFERROR(__xludf.DUMMYFUNCTION("""COMPUTED_VALUE"""),"Selesai")</f>
        <v>Selesai</v>
      </c>
      <c r="L1649" s="17">
        <f>IFERROR(__xludf.DUMMYFUNCTION("""COMPUTED_VALUE"""),45743.59213846065)</f>
        <v>45743.59214</v>
      </c>
      <c r="M1649" s="13"/>
      <c r="N1649" s="13" t="str">
        <f>IFERROR(__xludf.DUMMYFUNCTION("""COMPUTED_VALUE"""),"")</f>
        <v/>
      </c>
      <c r="O1649" s="13" t="str">
        <f t="shared" si="1"/>
        <v/>
      </c>
    </row>
    <row r="1650" ht="22.5" customHeight="1">
      <c r="B1650" s="13">
        <f>IFERROR(__xludf.DUMMYFUNCTION("""COMPUTED_VALUE"""),1645.0)</f>
        <v>1645</v>
      </c>
      <c r="C1650" s="13" t="str">
        <f>IFERROR(__xludf.DUMMYFUNCTION("""COMPUTED_VALUE"""),"M. 51/ Rajabasa Raya")</f>
        <v>M. 51/ Rajabasa Raya</v>
      </c>
      <c r="D1650" s="13" t="str">
        <f>IFERROR(__xludf.DUMMYFUNCTION("""COMPUTED_VALUE"""),"K/12/170325/1")</f>
        <v>K/12/170325/1</v>
      </c>
      <c r="E1650" s="14" t="str">
        <f>IFERROR(__xludf.DUMMYFUNCTION("""COMPUTED_VALUE"""),"Nadian (BT)")</f>
        <v>Nadian (BT)</v>
      </c>
      <c r="F1650" s="14" t="str">
        <f>IFERROR(__xludf.DUMMYFUNCTION("""COMPUTED_VALUE"""),"SELESAI (VIA PERMOHONAN)")</f>
        <v>SELESAI (VIA PERMOHONAN)</v>
      </c>
      <c r="G1650" s="17">
        <f>IFERROR(__xludf.DUMMYFUNCTION("""COMPUTED_VALUE"""),45743.56310734954)</f>
        <v>45743.56311</v>
      </c>
      <c r="H1650" s="14" t="str">
        <f>IFERROR(__xludf.DUMMYFUNCTION("""COMPUTED_VALUE"""),"Bu Eva (SU)")</f>
        <v>Bu Eva (SU)</v>
      </c>
      <c r="I1650" s="13" t="str">
        <f>IFERROR(__xludf.DUMMYFUNCTION("""COMPUTED_VALUE"""),"SELESAI (VIA PERMOHONAN)")</f>
        <v>SELESAI (VIA PERMOHONAN)</v>
      </c>
      <c r="J1650" s="17">
        <f>IFERROR(__xludf.DUMMYFUNCTION("""COMPUTED_VALUE"""),45743.59213846065)</f>
        <v>45743.59214</v>
      </c>
      <c r="K1650" s="13" t="str">
        <f>IFERROR(__xludf.DUMMYFUNCTION("""COMPUTED_VALUE"""),"Selesai")</f>
        <v>Selesai</v>
      </c>
      <c r="L1650" s="17">
        <f>IFERROR(__xludf.DUMMYFUNCTION("""COMPUTED_VALUE"""),45743.59213846065)</f>
        <v>45743.59214</v>
      </c>
      <c r="M1650" s="13"/>
      <c r="N1650" s="13" t="str">
        <f>IFERROR(__xludf.DUMMYFUNCTION("""COMPUTED_VALUE"""),"")</f>
        <v/>
      </c>
      <c r="O1650" s="13" t="str">
        <f t="shared" si="1"/>
        <v/>
      </c>
    </row>
    <row r="1651" ht="22.5" customHeight="1">
      <c r="B1651" s="13">
        <f>IFERROR(__xludf.DUMMYFUNCTION("""COMPUTED_VALUE"""),1646.0)</f>
        <v>1646</v>
      </c>
      <c r="C1651" s="13" t="str">
        <f>IFERROR(__xludf.DUMMYFUNCTION("""COMPUTED_VALUE"""),"M 3230/BUMI WARAS")</f>
        <v>M 3230/BUMI WARAS</v>
      </c>
      <c r="D1651" s="13" t="str">
        <f>IFERROR(__xludf.DUMMYFUNCTION("""COMPUTED_VALUE"""),"K/32/120325/2")</f>
        <v>K/32/120325/2</v>
      </c>
      <c r="E1651" s="14" t="str">
        <f>IFERROR(__xludf.DUMMYFUNCTION("""COMPUTED_VALUE"""),"Nadian (BT)")</f>
        <v>Nadian (BT)</v>
      </c>
      <c r="F1651" s="14" t="str">
        <f>IFERROR(__xludf.DUMMYFUNCTION("""COMPUTED_VALUE"""),"SELESAI (VIA PERMOHONAN)")</f>
        <v>SELESAI (VIA PERMOHONAN)</v>
      </c>
      <c r="G1651" s="17">
        <f>IFERROR(__xludf.DUMMYFUNCTION("""COMPUTED_VALUE"""),45743.56310734954)</f>
        <v>45743.56311</v>
      </c>
      <c r="H1651" s="14" t="str">
        <f>IFERROR(__xludf.DUMMYFUNCTION("""COMPUTED_VALUE"""),"Bu Eva (SU)")</f>
        <v>Bu Eva (SU)</v>
      </c>
      <c r="I1651" s="13" t="str">
        <f>IFERROR(__xludf.DUMMYFUNCTION("""COMPUTED_VALUE"""),"SELESAI (VIA PERMOHONAN)")</f>
        <v>SELESAI (VIA PERMOHONAN)</v>
      </c>
      <c r="J1651" s="17">
        <f>IFERROR(__xludf.DUMMYFUNCTION("""COMPUTED_VALUE"""),45743.59213846065)</f>
        <v>45743.59214</v>
      </c>
      <c r="K1651" s="13" t="str">
        <f>IFERROR(__xludf.DUMMYFUNCTION("""COMPUTED_VALUE"""),"Selesai")</f>
        <v>Selesai</v>
      </c>
      <c r="L1651" s="17">
        <f>IFERROR(__xludf.DUMMYFUNCTION("""COMPUTED_VALUE"""),45743.59213846065)</f>
        <v>45743.59214</v>
      </c>
      <c r="M1651" s="13"/>
      <c r="N1651" s="13" t="str">
        <f>IFERROR(__xludf.DUMMYFUNCTION("""COMPUTED_VALUE"""),"")</f>
        <v/>
      </c>
      <c r="O1651" s="13" t="str">
        <f t="shared" si="1"/>
        <v/>
      </c>
    </row>
    <row r="1652" ht="22.5" customHeight="1">
      <c r="B1652" s="13">
        <f>IFERROR(__xludf.DUMMYFUNCTION("""COMPUTED_VALUE"""),1647.0)</f>
        <v>1647</v>
      </c>
      <c r="C1652" s="13" t="str">
        <f>IFERROR(__xludf.DUMMYFUNCTION("""COMPUTED_VALUE"""),"M. 2736/ Beringin Raya")</f>
        <v>M. 2736/ Beringin Raya</v>
      </c>
      <c r="D1652" s="13" t="str">
        <f>IFERROR(__xludf.DUMMYFUNCTION("""COMPUTED_VALUE"""),"K/22/170325/1")</f>
        <v>K/22/170325/1</v>
      </c>
      <c r="E1652" s="14" t="str">
        <f>IFERROR(__xludf.DUMMYFUNCTION("""COMPUTED_VALUE"""),"Nadian (BT)")</f>
        <v>Nadian (BT)</v>
      </c>
      <c r="F1652" s="14" t="str">
        <f>IFERROR(__xludf.DUMMYFUNCTION("""COMPUTED_VALUE"""),"SELESAI (VIA PERMOHONAN)")</f>
        <v>SELESAI (VIA PERMOHONAN)</v>
      </c>
      <c r="G1652" s="17">
        <f>IFERROR(__xludf.DUMMYFUNCTION("""COMPUTED_VALUE"""),45743.56310734954)</f>
        <v>45743.56311</v>
      </c>
      <c r="H1652" s="14" t="str">
        <f>IFERROR(__xludf.DUMMYFUNCTION("""COMPUTED_VALUE"""),"Bu Eva (SU)")</f>
        <v>Bu Eva (SU)</v>
      </c>
      <c r="I1652" s="13" t="str">
        <f>IFERROR(__xludf.DUMMYFUNCTION("""COMPUTED_VALUE"""),"SELESAI (VIA PERMOHONAN)")</f>
        <v>SELESAI (VIA PERMOHONAN)</v>
      </c>
      <c r="J1652" s="17">
        <f>IFERROR(__xludf.DUMMYFUNCTION("""COMPUTED_VALUE"""),45743.59213846065)</f>
        <v>45743.59214</v>
      </c>
      <c r="K1652" s="13" t="str">
        <f>IFERROR(__xludf.DUMMYFUNCTION("""COMPUTED_VALUE"""),"Selesai")</f>
        <v>Selesai</v>
      </c>
      <c r="L1652" s="17">
        <f>IFERROR(__xludf.DUMMYFUNCTION("""COMPUTED_VALUE"""),45743.59213846065)</f>
        <v>45743.59214</v>
      </c>
      <c r="M1652" s="13"/>
      <c r="N1652" s="13" t="str">
        <f>IFERROR(__xludf.DUMMYFUNCTION("""COMPUTED_VALUE"""),"")</f>
        <v/>
      </c>
      <c r="O1652" s="13" t="str">
        <f t="shared" si="1"/>
        <v/>
      </c>
    </row>
    <row r="1653" ht="22.5" customHeight="1">
      <c r="B1653" s="13">
        <f>IFERROR(__xludf.DUMMYFUNCTION("""COMPUTED_VALUE"""),1648.0)</f>
        <v>1648</v>
      </c>
      <c r="C1653" s="13" t="str">
        <f>IFERROR(__xludf.DUMMYFUNCTION("""COMPUTED_VALUE"""),"M. 1065/ Way Halim Permai")</f>
        <v>M. 1065/ Way Halim Permai</v>
      </c>
      <c r="D1653" s="13" t="str">
        <f>IFERROR(__xludf.DUMMYFUNCTION("""COMPUTED_VALUE"""),"K/50/130325/1")</f>
        <v>K/50/130325/1</v>
      </c>
      <c r="E1653" s="14" t="str">
        <f>IFERROR(__xludf.DUMMYFUNCTION("""COMPUTED_VALUE"""),"Nadian (BT)")</f>
        <v>Nadian (BT)</v>
      </c>
      <c r="F1653" s="14" t="str">
        <f>IFERROR(__xludf.DUMMYFUNCTION("""COMPUTED_VALUE"""),"SELESAI (VIA PERMOHONAN)")</f>
        <v>SELESAI (VIA PERMOHONAN)</v>
      </c>
      <c r="G1653" s="17">
        <f>IFERROR(__xludf.DUMMYFUNCTION("""COMPUTED_VALUE"""),45743.56310734954)</f>
        <v>45743.56311</v>
      </c>
      <c r="H1653" s="14" t="str">
        <f>IFERROR(__xludf.DUMMYFUNCTION("""COMPUTED_VALUE"""),"Bu Eva (SU)")</f>
        <v>Bu Eva (SU)</v>
      </c>
      <c r="I1653" s="13" t="str">
        <f>IFERROR(__xludf.DUMMYFUNCTION("""COMPUTED_VALUE"""),"SELESAI (VIA PERMOHONAN)")</f>
        <v>SELESAI (VIA PERMOHONAN)</v>
      </c>
      <c r="J1653" s="17">
        <f>IFERROR(__xludf.DUMMYFUNCTION("""COMPUTED_VALUE"""),45743.59213847222)</f>
        <v>45743.59214</v>
      </c>
      <c r="K1653" s="13" t="str">
        <f>IFERROR(__xludf.DUMMYFUNCTION("""COMPUTED_VALUE"""),"Selesai")</f>
        <v>Selesai</v>
      </c>
      <c r="L1653" s="17">
        <f>IFERROR(__xludf.DUMMYFUNCTION("""COMPUTED_VALUE"""),45743.59213847222)</f>
        <v>45743.59214</v>
      </c>
      <c r="M1653" s="13"/>
      <c r="N1653" s="13" t="str">
        <f>IFERROR(__xludf.DUMMYFUNCTION("""COMPUTED_VALUE"""),"")</f>
        <v/>
      </c>
      <c r="O1653" s="13" t="str">
        <f t="shared" si="1"/>
        <v/>
      </c>
    </row>
    <row r="1654" ht="22.5" customHeight="1">
      <c r="B1654" s="13">
        <f>IFERROR(__xludf.DUMMYFUNCTION("""COMPUTED_VALUE"""),1649.0)</f>
        <v>1649</v>
      </c>
      <c r="C1654" s="13" t="str">
        <f>IFERROR(__xludf.DUMMYFUNCTION("""COMPUTED_VALUE"""),"HM 744/RAJABASA NUNYAI")</f>
        <v>HM 744/RAJABASA NUNYAI</v>
      </c>
      <c r="D1654" s="13" t="str">
        <f>IFERROR(__xludf.DUMMYFUNCTION("""COMPUTED_VALUE"""),"L/6/170325/1")</f>
        <v>L/6/170325/1</v>
      </c>
      <c r="E1654" s="14" t="str">
        <f>IFERROR(__xludf.DUMMYFUNCTION("""COMPUTED_VALUE"""),"Nadian (BT)")</f>
        <v>Nadian (BT)</v>
      </c>
      <c r="F1654" s="14" t="str">
        <f>IFERROR(__xludf.DUMMYFUNCTION("""COMPUTED_VALUE"""),"SELESAI (VIA PERMOHONAN)")</f>
        <v>SELESAI (VIA PERMOHONAN)</v>
      </c>
      <c r="G1654" s="17">
        <f>IFERROR(__xludf.DUMMYFUNCTION("""COMPUTED_VALUE"""),45743.56310734954)</f>
        <v>45743.56311</v>
      </c>
      <c r="H1654" s="14" t="str">
        <f>IFERROR(__xludf.DUMMYFUNCTION("""COMPUTED_VALUE"""),"Bu Eva (SU)")</f>
        <v>Bu Eva (SU)</v>
      </c>
      <c r="I1654" s="13" t="str">
        <f>IFERROR(__xludf.DUMMYFUNCTION("""COMPUTED_VALUE"""),"SELESAI (VIA PERMOHONAN)")</f>
        <v>SELESAI (VIA PERMOHONAN)</v>
      </c>
      <c r="J1654" s="17">
        <f>IFERROR(__xludf.DUMMYFUNCTION("""COMPUTED_VALUE"""),45743.59217275463)</f>
        <v>45743.59217</v>
      </c>
      <c r="K1654" s="13" t="str">
        <f>IFERROR(__xludf.DUMMYFUNCTION("""COMPUTED_VALUE"""),"Selesai")</f>
        <v>Selesai</v>
      </c>
      <c r="L1654" s="17">
        <f>IFERROR(__xludf.DUMMYFUNCTION("""COMPUTED_VALUE"""),45743.59217275463)</f>
        <v>45743.59217</v>
      </c>
      <c r="M1654" s="13"/>
      <c r="N1654" s="13" t="str">
        <f>IFERROR(__xludf.DUMMYFUNCTION("""COMPUTED_VALUE"""),"")</f>
        <v/>
      </c>
      <c r="O1654" s="13" t="str">
        <f t="shared" si="1"/>
        <v/>
      </c>
    </row>
    <row r="1655" ht="22.5" customHeight="1">
      <c r="B1655" s="13">
        <f>IFERROR(__xludf.DUMMYFUNCTION("""COMPUTED_VALUE"""),1650.0)</f>
        <v>1650</v>
      </c>
      <c r="C1655" s="13" t="str">
        <f>IFERROR(__xludf.DUMMYFUNCTION("""COMPUTED_VALUE"""),"M. 1834/RAJABASA PEMUKA")</f>
        <v>M. 1834/RAJABASA PEMUKA</v>
      </c>
      <c r="D1655" s="13" t="str">
        <f>IFERROR(__xludf.DUMMYFUNCTION("""COMPUTED_VALUE"""),"K/14/200325/1")</f>
        <v>K/14/200325/1</v>
      </c>
      <c r="E1655" s="14" t="str">
        <f>IFERROR(__xludf.DUMMYFUNCTION("""COMPUTED_VALUE"""),"Nadian (BT)")</f>
        <v>Nadian (BT)</v>
      </c>
      <c r="F1655" s="14" t="str">
        <f>IFERROR(__xludf.DUMMYFUNCTION("""COMPUTED_VALUE"""),"SELESAI (VIA PERMOHONAN)")</f>
        <v>SELESAI (VIA PERMOHONAN)</v>
      </c>
      <c r="G1655" s="17">
        <f>IFERROR(__xludf.DUMMYFUNCTION("""COMPUTED_VALUE"""),45743.56310734954)</f>
        <v>45743.56311</v>
      </c>
      <c r="H1655" s="14" t="str">
        <f>IFERROR(__xludf.DUMMYFUNCTION("""COMPUTED_VALUE"""),"Bu Eva (SU)")</f>
        <v>Bu Eva (SU)</v>
      </c>
      <c r="I1655" s="13" t="str">
        <f>IFERROR(__xludf.DUMMYFUNCTION("""COMPUTED_VALUE"""),"SELESAI (VIA PERMOHONAN)")</f>
        <v>SELESAI (VIA PERMOHONAN)</v>
      </c>
      <c r="J1655" s="17">
        <f>IFERROR(__xludf.DUMMYFUNCTION("""COMPUTED_VALUE"""),45743.59217275463)</f>
        <v>45743.59217</v>
      </c>
      <c r="K1655" s="13" t="str">
        <f>IFERROR(__xludf.DUMMYFUNCTION("""COMPUTED_VALUE"""),"Selesai")</f>
        <v>Selesai</v>
      </c>
      <c r="L1655" s="17">
        <f>IFERROR(__xludf.DUMMYFUNCTION("""COMPUTED_VALUE"""),45743.59217275463)</f>
        <v>45743.59217</v>
      </c>
      <c r="M1655" s="13"/>
      <c r="N1655" s="13" t="str">
        <f>IFERROR(__xludf.DUMMYFUNCTION("""COMPUTED_VALUE"""),"")</f>
        <v/>
      </c>
      <c r="O1655" s="13" t="str">
        <f t="shared" si="1"/>
        <v/>
      </c>
    </row>
    <row r="1656" ht="22.5" customHeight="1">
      <c r="B1656" s="13">
        <f>IFERROR(__xludf.DUMMYFUNCTION("""COMPUTED_VALUE"""),1651.0)</f>
        <v>1651</v>
      </c>
      <c r="C1656" s="13" t="str">
        <f>IFERROR(__xludf.DUMMYFUNCTION("""COMPUTED_VALUE"""),"M. 1644/ Rajabasa Nunyai")</f>
        <v>M. 1644/ Rajabasa Nunyai</v>
      </c>
      <c r="D1656" s="13" t="str">
        <f>IFERROR(__xludf.DUMMYFUNCTION("""COMPUTED_VALUE"""),"K/50/240225/2")</f>
        <v>K/50/240225/2</v>
      </c>
      <c r="E1656" s="14" t="str">
        <f>IFERROR(__xludf.DUMMYFUNCTION("""COMPUTED_VALUE"""),"Nadian (BT)")</f>
        <v>Nadian (BT)</v>
      </c>
      <c r="F1656" s="14" t="str">
        <f>IFERROR(__xludf.DUMMYFUNCTION("""COMPUTED_VALUE"""),"SELESAI (VIA PERMOHONAN)")</f>
        <v>SELESAI (VIA PERMOHONAN)</v>
      </c>
      <c r="G1656" s="17">
        <f>IFERROR(__xludf.DUMMYFUNCTION("""COMPUTED_VALUE"""),45743.56310734954)</f>
        <v>45743.56311</v>
      </c>
      <c r="H1656" s="14" t="str">
        <f>IFERROR(__xludf.DUMMYFUNCTION("""COMPUTED_VALUE"""),"Bu Eva (SU)")</f>
        <v>Bu Eva (SU)</v>
      </c>
      <c r="I1656" s="13" t="str">
        <f>IFERROR(__xludf.DUMMYFUNCTION("""COMPUTED_VALUE"""),"SELESAI (VIA PERMOHONAN)")</f>
        <v>SELESAI (VIA PERMOHONAN)</v>
      </c>
      <c r="J1656" s="17">
        <f>IFERROR(__xludf.DUMMYFUNCTION("""COMPUTED_VALUE"""),45743.59217275463)</f>
        <v>45743.59217</v>
      </c>
      <c r="K1656" s="13" t="str">
        <f>IFERROR(__xludf.DUMMYFUNCTION("""COMPUTED_VALUE"""),"Selesai")</f>
        <v>Selesai</v>
      </c>
      <c r="L1656" s="17">
        <f>IFERROR(__xludf.DUMMYFUNCTION("""COMPUTED_VALUE"""),45743.59217275463)</f>
        <v>45743.59217</v>
      </c>
      <c r="M1656" s="13"/>
      <c r="N1656" s="13" t="str">
        <f>IFERROR(__xludf.DUMMYFUNCTION("""COMPUTED_VALUE"""),"")</f>
        <v/>
      </c>
      <c r="O1656" s="13" t="str">
        <f t="shared" si="1"/>
        <v/>
      </c>
    </row>
    <row r="1657" ht="22.5" customHeight="1">
      <c r="B1657" s="13">
        <f>IFERROR(__xludf.DUMMYFUNCTION("""COMPUTED_VALUE"""),1652.0)</f>
        <v>1652</v>
      </c>
      <c r="C1657" s="13" t="str">
        <f>IFERROR(__xludf.DUMMYFUNCTION("""COMPUTED_VALUE"""),"M.1704/SUMUR PUTRI")</f>
        <v>M.1704/SUMUR PUTRI</v>
      </c>
      <c r="D1657" s="13" t="str">
        <f>IFERROR(__xludf.DUMMYFUNCTION("""COMPUTED_VALUE"""),"K/58/130325/1")</f>
        <v>K/58/130325/1</v>
      </c>
      <c r="E1657" s="14" t="str">
        <f>IFERROR(__xludf.DUMMYFUNCTION("""COMPUTED_VALUE"""),"Nadian (BT)")</f>
        <v>Nadian (BT)</v>
      </c>
      <c r="F1657" s="14" t="str">
        <f>IFERROR(__xludf.DUMMYFUNCTION("""COMPUTED_VALUE"""),"SELESAI (VIA PERMOHONAN)")</f>
        <v>SELESAI (VIA PERMOHONAN)</v>
      </c>
      <c r="G1657" s="17">
        <f>IFERROR(__xludf.DUMMYFUNCTION("""COMPUTED_VALUE"""),45743.56310734954)</f>
        <v>45743.56311</v>
      </c>
      <c r="H1657" s="14" t="str">
        <f>IFERROR(__xludf.DUMMYFUNCTION("""COMPUTED_VALUE"""),"Bu Eva (SU)")</f>
        <v>Bu Eva (SU)</v>
      </c>
      <c r="I1657" s="13" t="str">
        <f>IFERROR(__xludf.DUMMYFUNCTION("""COMPUTED_VALUE"""),"SELESAI (VIA PERMOHONAN)")</f>
        <v>SELESAI (VIA PERMOHONAN)</v>
      </c>
      <c r="J1657" s="17">
        <f>IFERROR(__xludf.DUMMYFUNCTION("""COMPUTED_VALUE"""),45743.59217275463)</f>
        <v>45743.59217</v>
      </c>
      <c r="K1657" s="13" t="str">
        <f>IFERROR(__xludf.DUMMYFUNCTION("""COMPUTED_VALUE"""),"Selesai")</f>
        <v>Selesai</v>
      </c>
      <c r="L1657" s="17">
        <f>IFERROR(__xludf.DUMMYFUNCTION("""COMPUTED_VALUE"""),45743.59217275463)</f>
        <v>45743.59217</v>
      </c>
      <c r="M1657" s="13"/>
      <c r="N1657" s="13" t="str">
        <f>IFERROR(__xludf.DUMMYFUNCTION("""COMPUTED_VALUE"""),"")</f>
        <v/>
      </c>
      <c r="O1657" s="13" t="str">
        <f t="shared" si="1"/>
        <v/>
      </c>
    </row>
    <row r="1658" ht="22.5" customHeight="1">
      <c r="B1658" s="13">
        <f>IFERROR(__xludf.DUMMYFUNCTION("""COMPUTED_VALUE"""),1653.0)</f>
        <v>1653</v>
      </c>
      <c r="C1658" s="13" t="str">
        <f>IFERROR(__xludf.DUMMYFUNCTION("""COMPUTED_VALUE"""),"HM 571/KORPRI RAYA")</f>
        <v>HM 571/KORPRI RAYA</v>
      </c>
      <c r="D1658" s="13" t="str">
        <f>IFERROR(__xludf.DUMMYFUNCTION("""COMPUTED_VALUE"""),"L/36/130325/1")</f>
        <v>L/36/130325/1</v>
      </c>
      <c r="E1658" s="14" t="str">
        <f>IFERROR(__xludf.DUMMYFUNCTION("""COMPUTED_VALUE"""),"Nadian (BT)")</f>
        <v>Nadian (BT)</v>
      </c>
      <c r="F1658" s="14" t="str">
        <f>IFERROR(__xludf.DUMMYFUNCTION("""COMPUTED_VALUE"""),"SELESAI (VIA PERMOHONAN)")</f>
        <v>SELESAI (VIA PERMOHONAN)</v>
      </c>
      <c r="G1658" s="17">
        <f>IFERROR(__xludf.DUMMYFUNCTION("""COMPUTED_VALUE"""),45743.56310734954)</f>
        <v>45743.56311</v>
      </c>
      <c r="H1658" s="14" t="str">
        <f>IFERROR(__xludf.DUMMYFUNCTION("""COMPUTED_VALUE"""),"Bu Eva (SU)")</f>
        <v>Bu Eva (SU)</v>
      </c>
      <c r="I1658" s="13" t="str">
        <f>IFERROR(__xludf.DUMMYFUNCTION("""COMPUTED_VALUE"""),"SELESAI (VIA PERMOHONAN)")</f>
        <v>SELESAI (VIA PERMOHONAN)</v>
      </c>
      <c r="J1658" s="17">
        <f>IFERROR(__xludf.DUMMYFUNCTION("""COMPUTED_VALUE"""),45743.59217275463)</f>
        <v>45743.59217</v>
      </c>
      <c r="K1658" s="13" t="str">
        <f>IFERROR(__xludf.DUMMYFUNCTION("""COMPUTED_VALUE"""),"Selesai")</f>
        <v>Selesai</v>
      </c>
      <c r="L1658" s="17">
        <f>IFERROR(__xludf.DUMMYFUNCTION("""COMPUTED_VALUE"""),45743.59217275463)</f>
        <v>45743.59217</v>
      </c>
      <c r="M1658" s="13"/>
      <c r="N1658" s="13" t="str">
        <f>IFERROR(__xludf.DUMMYFUNCTION("""COMPUTED_VALUE"""),"")</f>
        <v/>
      </c>
      <c r="O1658" s="13" t="str">
        <f t="shared" si="1"/>
        <v/>
      </c>
    </row>
    <row r="1659" ht="22.5" customHeight="1">
      <c r="B1659" s="13">
        <f>IFERROR(__xludf.DUMMYFUNCTION("""COMPUTED_VALUE"""),1654.0)</f>
        <v>1654</v>
      </c>
      <c r="C1659" s="13" t="str">
        <f>IFERROR(__xludf.DUMMYFUNCTION("""COMPUTED_VALUE"""),"M. 13465/RAJABASA")</f>
        <v>M. 13465/RAJABASA</v>
      </c>
      <c r="D1659" s="13" t="str">
        <f>IFERROR(__xludf.DUMMYFUNCTION("""COMPUTED_VALUE"""),"K/32/180325/2")</f>
        <v>K/32/180325/2</v>
      </c>
      <c r="E1659" s="14" t="str">
        <f>IFERROR(__xludf.DUMMYFUNCTION("""COMPUTED_VALUE"""),"Nadian (BT)")</f>
        <v>Nadian (BT)</v>
      </c>
      <c r="F1659" s="14" t="str">
        <f>IFERROR(__xludf.DUMMYFUNCTION("""COMPUTED_VALUE"""),"SELESAI (VIA PERMOHONAN)")</f>
        <v>SELESAI (VIA PERMOHONAN)</v>
      </c>
      <c r="G1659" s="17">
        <f>IFERROR(__xludf.DUMMYFUNCTION("""COMPUTED_VALUE"""),45743.56310734954)</f>
        <v>45743.56311</v>
      </c>
      <c r="H1659" s="14" t="str">
        <f>IFERROR(__xludf.DUMMYFUNCTION("""COMPUTED_VALUE"""),"Bu Eva (SU)")</f>
        <v>Bu Eva (SU)</v>
      </c>
      <c r="I1659" s="13" t="str">
        <f>IFERROR(__xludf.DUMMYFUNCTION("""COMPUTED_VALUE"""),"SELESAI (VIA PERMOHONAN)")</f>
        <v>SELESAI (VIA PERMOHONAN)</v>
      </c>
      <c r="J1659" s="17">
        <f>IFERROR(__xludf.DUMMYFUNCTION("""COMPUTED_VALUE"""),45743.59217275463)</f>
        <v>45743.59217</v>
      </c>
      <c r="K1659" s="13" t="str">
        <f>IFERROR(__xludf.DUMMYFUNCTION("""COMPUTED_VALUE"""),"Selesai")</f>
        <v>Selesai</v>
      </c>
      <c r="L1659" s="17">
        <f>IFERROR(__xludf.DUMMYFUNCTION("""COMPUTED_VALUE"""),45743.59217275463)</f>
        <v>45743.59217</v>
      </c>
      <c r="M1659" s="13"/>
      <c r="N1659" s="13" t="str">
        <f>IFERROR(__xludf.DUMMYFUNCTION("""COMPUTED_VALUE"""),"")</f>
        <v/>
      </c>
      <c r="O1659" s="13" t="str">
        <f t="shared" si="1"/>
        <v/>
      </c>
    </row>
    <row r="1660" ht="22.5" customHeight="1">
      <c r="B1660" s="13">
        <f>IFERROR(__xludf.DUMMYFUNCTION("""COMPUTED_VALUE"""),1655.0)</f>
        <v>1655</v>
      </c>
      <c r="C1660" s="13" t="str">
        <f>IFERROR(__xludf.DUMMYFUNCTION("""COMPUTED_VALUE"""),"M. 9797/ Jagabaya II")</f>
        <v>M. 9797/ Jagabaya II</v>
      </c>
      <c r="D1660" s="13" t="str">
        <f>IFERROR(__xludf.DUMMYFUNCTION("""COMPUTED_VALUE"""),"K/25/210325/1")</f>
        <v>K/25/210325/1</v>
      </c>
      <c r="E1660" s="14" t="str">
        <f>IFERROR(__xludf.DUMMYFUNCTION("""COMPUTED_VALUE"""),"Nadian (BT)")</f>
        <v>Nadian (BT)</v>
      </c>
      <c r="F1660" s="14" t="str">
        <f>IFERROR(__xludf.DUMMYFUNCTION("""COMPUTED_VALUE"""),"SELESAI (VIA PERMOHONAN)")</f>
        <v>SELESAI (VIA PERMOHONAN)</v>
      </c>
      <c r="G1660" s="17">
        <f>IFERROR(__xludf.DUMMYFUNCTION("""COMPUTED_VALUE"""),45743.56310734954)</f>
        <v>45743.56311</v>
      </c>
      <c r="H1660" s="14" t="str">
        <f>IFERROR(__xludf.DUMMYFUNCTION("""COMPUTED_VALUE"""),"Bu Eva (SU)")</f>
        <v>Bu Eva (SU)</v>
      </c>
      <c r="I1660" s="13" t="str">
        <f>IFERROR(__xludf.DUMMYFUNCTION("""COMPUTED_VALUE"""),"SELESAI (VIA PERMOHONAN)")</f>
        <v>SELESAI (VIA PERMOHONAN)</v>
      </c>
      <c r="J1660" s="17">
        <f>IFERROR(__xludf.DUMMYFUNCTION("""COMPUTED_VALUE"""),45743.59217275463)</f>
        <v>45743.59217</v>
      </c>
      <c r="K1660" s="13" t="str">
        <f>IFERROR(__xludf.DUMMYFUNCTION("""COMPUTED_VALUE"""),"Selesai")</f>
        <v>Selesai</v>
      </c>
      <c r="L1660" s="17">
        <f>IFERROR(__xludf.DUMMYFUNCTION("""COMPUTED_VALUE"""),45743.59217275463)</f>
        <v>45743.59217</v>
      </c>
      <c r="M1660" s="13"/>
      <c r="N1660" s="13" t="str">
        <f>IFERROR(__xludf.DUMMYFUNCTION("""COMPUTED_VALUE"""),"")</f>
        <v/>
      </c>
      <c r="O1660" s="13" t="str">
        <f t="shared" si="1"/>
        <v/>
      </c>
    </row>
    <row r="1661" ht="22.5" customHeight="1">
      <c r="B1661" s="13">
        <f>IFERROR(__xludf.DUMMYFUNCTION("""COMPUTED_VALUE"""),1656.0)</f>
        <v>1656</v>
      </c>
      <c r="C1661" s="13" t="str">
        <f>IFERROR(__xludf.DUMMYFUNCTION("""COMPUTED_VALUE"""),"M. 2009/ Kali Balau Kencana")</f>
        <v>M. 2009/ Kali Balau Kencana</v>
      </c>
      <c r="D1661" s="13" t="str">
        <f>IFERROR(__xludf.DUMMYFUNCTION("""COMPUTED_VALUE"""),"K/25/120325/1")</f>
        <v>K/25/120325/1</v>
      </c>
      <c r="E1661" s="14" t="str">
        <f>IFERROR(__xludf.DUMMYFUNCTION("""COMPUTED_VALUE"""),"Nadian (BT)")</f>
        <v>Nadian (BT)</v>
      </c>
      <c r="F1661" s="14" t="str">
        <f>IFERROR(__xludf.DUMMYFUNCTION("""COMPUTED_VALUE"""),"SELESAI (VIA PERMOHONAN)")</f>
        <v>SELESAI (VIA PERMOHONAN)</v>
      </c>
      <c r="G1661" s="17">
        <f>IFERROR(__xludf.DUMMYFUNCTION("""COMPUTED_VALUE"""),45743.56310734954)</f>
        <v>45743.56311</v>
      </c>
      <c r="H1661" s="14" t="str">
        <f>IFERROR(__xludf.DUMMYFUNCTION("""COMPUTED_VALUE"""),"Bu Eva (SU)")</f>
        <v>Bu Eva (SU)</v>
      </c>
      <c r="I1661" s="13" t="str">
        <f>IFERROR(__xludf.DUMMYFUNCTION("""COMPUTED_VALUE"""),"SELESAI (VIA PERMOHONAN)")</f>
        <v>SELESAI (VIA PERMOHONAN)</v>
      </c>
      <c r="J1661" s="17">
        <f>IFERROR(__xludf.DUMMYFUNCTION("""COMPUTED_VALUE"""),45743.59225677083)</f>
        <v>45743.59226</v>
      </c>
      <c r="K1661" s="13" t="str">
        <f>IFERROR(__xludf.DUMMYFUNCTION("""COMPUTED_VALUE"""),"Selesai")</f>
        <v>Selesai</v>
      </c>
      <c r="L1661" s="17">
        <f>IFERROR(__xludf.DUMMYFUNCTION("""COMPUTED_VALUE"""),45743.59225677083)</f>
        <v>45743.59226</v>
      </c>
      <c r="M1661" s="13"/>
      <c r="N1661" s="13" t="str">
        <f>IFERROR(__xludf.DUMMYFUNCTION("""COMPUTED_VALUE"""),"")</f>
        <v/>
      </c>
      <c r="O1661" s="13" t="str">
        <f t="shared" si="1"/>
        <v/>
      </c>
    </row>
    <row r="1662" ht="22.5" customHeight="1">
      <c r="B1662" s="13">
        <f>IFERROR(__xludf.DUMMYFUNCTION("""COMPUTED_VALUE"""),1657.0)</f>
        <v>1657</v>
      </c>
      <c r="C1662" s="13" t="str">
        <f>IFERROR(__xludf.DUMMYFUNCTION("""COMPUTED_VALUE"""),"M. 575/ Tanjung Raya")</f>
        <v>M. 575/ Tanjung Raya</v>
      </c>
      <c r="D1662" s="13" t="str">
        <f>IFERROR(__xludf.DUMMYFUNCTION("""COMPUTED_VALUE"""),"K/4/210325/3")</f>
        <v>K/4/210325/3</v>
      </c>
      <c r="E1662" s="14" t="str">
        <f>IFERROR(__xludf.DUMMYFUNCTION("""COMPUTED_VALUE"""),"Nadian (BT)")</f>
        <v>Nadian (BT)</v>
      </c>
      <c r="F1662" s="14" t="str">
        <f>IFERROR(__xludf.DUMMYFUNCTION("""COMPUTED_VALUE"""),"SELESAI (VIA PERMOHONAN)")</f>
        <v>SELESAI (VIA PERMOHONAN)</v>
      </c>
      <c r="G1662" s="17">
        <f>IFERROR(__xludf.DUMMYFUNCTION("""COMPUTED_VALUE"""),45743.56310734954)</f>
        <v>45743.56311</v>
      </c>
      <c r="H1662" s="14" t="str">
        <f>IFERROR(__xludf.DUMMYFUNCTION("""COMPUTED_VALUE"""),"Bu Eva (SU)")</f>
        <v>Bu Eva (SU)</v>
      </c>
      <c r="I1662" s="13" t="str">
        <f>IFERROR(__xludf.DUMMYFUNCTION("""COMPUTED_VALUE"""),"SELESAI (VIA PERMOHONAN)")</f>
        <v>SELESAI (VIA PERMOHONAN)</v>
      </c>
      <c r="J1662" s="17">
        <f>IFERROR(__xludf.DUMMYFUNCTION("""COMPUTED_VALUE"""),45743.59225677083)</f>
        <v>45743.59226</v>
      </c>
      <c r="K1662" s="13" t="str">
        <f>IFERROR(__xludf.DUMMYFUNCTION("""COMPUTED_VALUE"""),"Selesai")</f>
        <v>Selesai</v>
      </c>
      <c r="L1662" s="17">
        <f>IFERROR(__xludf.DUMMYFUNCTION("""COMPUTED_VALUE"""),45743.59225677083)</f>
        <v>45743.59226</v>
      </c>
      <c r="M1662" s="13"/>
      <c r="N1662" s="13" t="str">
        <f>IFERROR(__xludf.DUMMYFUNCTION("""COMPUTED_VALUE"""),"")</f>
        <v/>
      </c>
      <c r="O1662" s="13" t="str">
        <f t="shared" si="1"/>
        <v/>
      </c>
    </row>
    <row r="1663" ht="22.5" customHeight="1">
      <c r="B1663" s="13">
        <f>IFERROR(__xludf.DUMMYFUNCTION("""COMPUTED_VALUE"""),1658.0)</f>
        <v>1658</v>
      </c>
      <c r="C1663" s="13" t="str">
        <f>IFERROR(__xludf.DUMMYFUNCTION("""COMPUTED_VALUE"""),"M. 1510/ Rajabasa Nunyai")</f>
        <v>M. 1510/ Rajabasa Nunyai</v>
      </c>
      <c r="D1663" s="13" t="str">
        <f>IFERROR(__xludf.DUMMYFUNCTION("""COMPUTED_VALUE"""),"K/17/130325/1")</f>
        <v>K/17/130325/1</v>
      </c>
      <c r="E1663" s="14" t="str">
        <f>IFERROR(__xludf.DUMMYFUNCTION("""COMPUTED_VALUE"""),"Nadian (BT)")</f>
        <v>Nadian (BT)</v>
      </c>
      <c r="F1663" s="14" t="str">
        <f>IFERROR(__xludf.DUMMYFUNCTION("""COMPUTED_VALUE"""),"SELESAI (VIA PERMOHONAN)")</f>
        <v>SELESAI (VIA PERMOHONAN)</v>
      </c>
      <c r="G1663" s="17">
        <f>IFERROR(__xludf.DUMMYFUNCTION("""COMPUTED_VALUE"""),45743.56310734954)</f>
        <v>45743.56311</v>
      </c>
      <c r="H1663" s="14" t="str">
        <f>IFERROR(__xludf.DUMMYFUNCTION("""COMPUTED_VALUE"""),"Bu Eva (SU)")</f>
        <v>Bu Eva (SU)</v>
      </c>
      <c r="I1663" s="13" t="str">
        <f>IFERROR(__xludf.DUMMYFUNCTION("""COMPUTED_VALUE"""),"SELESAI (VIA PERMOHONAN)")</f>
        <v>SELESAI (VIA PERMOHONAN)</v>
      </c>
      <c r="J1663" s="17">
        <f>IFERROR(__xludf.DUMMYFUNCTION("""COMPUTED_VALUE"""),45743.59225677083)</f>
        <v>45743.59226</v>
      </c>
      <c r="K1663" s="13" t="str">
        <f>IFERROR(__xludf.DUMMYFUNCTION("""COMPUTED_VALUE"""),"Selesai")</f>
        <v>Selesai</v>
      </c>
      <c r="L1663" s="17">
        <f>IFERROR(__xludf.DUMMYFUNCTION("""COMPUTED_VALUE"""),45743.59225677083)</f>
        <v>45743.59226</v>
      </c>
      <c r="M1663" s="13"/>
      <c r="N1663" s="13" t="str">
        <f>IFERROR(__xludf.DUMMYFUNCTION("""COMPUTED_VALUE"""),"")</f>
        <v/>
      </c>
      <c r="O1663" s="13" t="str">
        <f t="shared" si="1"/>
        <v/>
      </c>
    </row>
    <row r="1664" ht="22.5" customHeight="1">
      <c r="B1664" s="13">
        <f>IFERROR(__xludf.DUMMYFUNCTION("""COMPUTED_VALUE"""),1659.0)</f>
        <v>1659</v>
      </c>
      <c r="C1664" s="13" t="str">
        <f>IFERROR(__xludf.DUMMYFUNCTION("""COMPUTED_VALUE"""),"M. 859/ Rajabasa Jaya")</f>
        <v>M. 859/ Rajabasa Jaya</v>
      </c>
      <c r="D1664" s="13" t="str">
        <f>IFERROR(__xludf.DUMMYFUNCTION("""COMPUTED_VALUE"""),"K/52/231224/1")</f>
        <v>K/52/231224/1</v>
      </c>
      <c r="E1664" s="14" t="str">
        <f>IFERROR(__xludf.DUMMYFUNCTION("""COMPUTED_VALUE"""),"Nadian (BT)")</f>
        <v>Nadian (BT)</v>
      </c>
      <c r="F1664" s="14" t="str">
        <f>IFERROR(__xludf.DUMMYFUNCTION("""COMPUTED_VALUE"""),"SELESAI (VIA PERMOHONAN)")</f>
        <v>SELESAI (VIA PERMOHONAN)</v>
      </c>
      <c r="G1664" s="17">
        <f>IFERROR(__xludf.DUMMYFUNCTION("""COMPUTED_VALUE"""),45743.56310734954)</f>
        <v>45743.56311</v>
      </c>
      <c r="H1664" s="14" t="str">
        <f>IFERROR(__xludf.DUMMYFUNCTION("""COMPUTED_VALUE"""),"Bu Eva (SU)")</f>
        <v>Bu Eva (SU)</v>
      </c>
      <c r="I1664" s="13" t="str">
        <f>IFERROR(__xludf.DUMMYFUNCTION("""COMPUTED_VALUE"""),"SELESAI (VIA PERMOHONAN)")</f>
        <v>SELESAI (VIA PERMOHONAN)</v>
      </c>
      <c r="J1664" s="17">
        <f>IFERROR(__xludf.DUMMYFUNCTION("""COMPUTED_VALUE"""),45743.59225678241)</f>
        <v>45743.59226</v>
      </c>
      <c r="K1664" s="13" t="str">
        <f>IFERROR(__xludf.DUMMYFUNCTION("""COMPUTED_VALUE"""),"Selesai")</f>
        <v>Selesai</v>
      </c>
      <c r="L1664" s="17">
        <f>IFERROR(__xludf.DUMMYFUNCTION("""COMPUTED_VALUE"""),45743.59225678241)</f>
        <v>45743.59226</v>
      </c>
      <c r="M1664" s="13"/>
      <c r="N1664" s="13" t="str">
        <f>IFERROR(__xludf.DUMMYFUNCTION("""COMPUTED_VALUE"""),"")</f>
        <v/>
      </c>
      <c r="O1664" s="13" t="str">
        <f t="shared" si="1"/>
        <v/>
      </c>
    </row>
    <row r="1665" ht="22.5" customHeight="1">
      <c r="B1665" s="13">
        <f>IFERROR(__xludf.DUMMYFUNCTION("""COMPUTED_VALUE"""),1660.0)</f>
        <v>1660</v>
      </c>
      <c r="C1665" s="13" t="str">
        <f>IFERROR(__xludf.DUMMYFUNCTION("""COMPUTED_VALUE"""),"B. 630/ Sumber Agung")</f>
        <v>B. 630/ Sumber Agung</v>
      </c>
      <c r="D1665" s="13" t="str">
        <f>IFERROR(__xludf.DUMMYFUNCTION("""COMPUTED_VALUE"""),"K/33/050325/3")</f>
        <v>K/33/050325/3</v>
      </c>
      <c r="E1665" s="14" t="str">
        <f>IFERROR(__xludf.DUMMYFUNCTION("""COMPUTED_VALUE"""),"Nadian (BT)")</f>
        <v>Nadian (BT)</v>
      </c>
      <c r="F1665" s="14" t="str">
        <f>IFERROR(__xludf.DUMMYFUNCTION("""COMPUTED_VALUE"""),"SELESAI (VIA PERMOHONAN)")</f>
        <v>SELESAI (VIA PERMOHONAN)</v>
      </c>
      <c r="G1665" s="17">
        <f>IFERROR(__xludf.DUMMYFUNCTION("""COMPUTED_VALUE"""),45743.56310734954)</f>
        <v>45743.56311</v>
      </c>
      <c r="H1665" s="14" t="str">
        <f>IFERROR(__xludf.DUMMYFUNCTION("""COMPUTED_VALUE"""),"Bu Eva (SU)")</f>
        <v>Bu Eva (SU)</v>
      </c>
      <c r="I1665" s="13" t="str">
        <f>IFERROR(__xludf.DUMMYFUNCTION("""COMPUTED_VALUE"""),"SELESAI (VIA PERMOHONAN)")</f>
        <v>SELESAI (VIA PERMOHONAN)</v>
      </c>
      <c r="J1665" s="17">
        <f>IFERROR(__xludf.DUMMYFUNCTION("""COMPUTED_VALUE"""),45743.59225678241)</f>
        <v>45743.59226</v>
      </c>
      <c r="K1665" s="13" t="str">
        <f>IFERROR(__xludf.DUMMYFUNCTION("""COMPUTED_VALUE"""),"Selesai")</f>
        <v>Selesai</v>
      </c>
      <c r="L1665" s="17">
        <f>IFERROR(__xludf.DUMMYFUNCTION("""COMPUTED_VALUE"""),45743.59225678241)</f>
        <v>45743.59226</v>
      </c>
      <c r="M1665" s="13"/>
      <c r="N1665" s="13" t="str">
        <f>IFERROR(__xludf.DUMMYFUNCTION("""COMPUTED_VALUE"""),"")</f>
        <v/>
      </c>
      <c r="O1665" s="13" t="str">
        <f t="shared" si="1"/>
        <v/>
      </c>
    </row>
    <row r="1666" ht="22.5" customHeight="1">
      <c r="B1666" s="13">
        <f>IFERROR(__xludf.DUMMYFUNCTION("""COMPUTED_VALUE"""),1661.0)</f>
        <v>1661</v>
      </c>
      <c r="C1666" s="13" t="str">
        <f>IFERROR(__xludf.DUMMYFUNCTION("""COMPUTED_VALUE"""),"B.600/SUMBER AGUNG")</f>
        <v>B.600/SUMBER AGUNG</v>
      </c>
      <c r="D1666" s="13" t="str">
        <f>IFERROR(__xludf.DUMMYFUNCTION("""COMPUTED_VALUE"""),"K/44/250225/1")</f>
        <v>K/44/250225/1</v>
      </c>
      <c r="E1666" s="14" t="str">
        <f>IFERROR(__xludf.DUMMYFUNCTION("""COMPUTED_VALUE"""),"Nadian (BT)")</f>
        <v>Nadian (BT)</v>
      </c>
      <c r="F1666" s="14" t="str">
        <f>IFERROR(__xludf.DUMMYFUNCTION("""COMPUTED_VALUE"""),"SELESAI (VIA PERMOHONAN)")</f>
        <v>SELESAI (VIA PERMOHONAN)</v>
      </c>
      <c r="G1666" s="17">
        <f>IFERROR(__xludf.DUMMYFUNCTION("""COMPUTED_VALUE"""),45743.56310734954)</f>
        <v>45743.56311</v>
      </c>
      <c r="H1666" s="14" t="str">
        <f>IFERROR(__xludf.DUMMYFUNCTION("""COMPUTED_VALUE"""),"Bu Eva (SU)")</f>
        <v>Bu Eva (SU)</v>
      </c>
      <c r="I1666" s="13" t="str">
        <f>IFERROR(__xludf.DUMMYFUNCTION("""COMPUTED_VALUE"""),"SELESAI (VIA PERMOHONAN)")</f>
        <v>SELESAI (VIA PERMOHONAN)</v>
      </c>
      <c r="J1666" s="17">
        <f>IFERROR(__xludf.DUMMYFUNCTION("""COMPUTED_VALUE"""),45743.59225678241)</f>
        <v>45743.59226</v>
      </c>
      <c r="K1666" s="13" t="str">
        <f>IFERROR(__xludf.DUMMYFUNCTION("""COMPUTED_VALUE"""),"Selesai")</f>
        <v>Selesai</v>
      </c>
      <c r="L1666" s="17">
        <f>IFERROR(__xludf.DUMMYFUNCTION("""COMPUTED_VALUE"""),45743.59225678241)</f>
        <v>45743.59226</v>
      </c>
      <c r="M1666" s="13"/>
      <c r="N1666" s="13" t="str">
        <f>IFERROR(__xludf.DUMMYFUNCTION("""COMPUTED_VALUE"""),"")</f>
        <v/>
      </c>
      <c r="O1666" s="13" t="str">
        <f t="shared" si="1"/>
        <v/>
      </c>
    </row>
    <row r="1667" ht="22.5" customHeight="1">
      <c r="B1667" s="13">
        <f>IFERROR(__xludf.DUMMYFUNCTION("""COMPUTED_VALUE"""),1662.0)</f>
        <v>1662</v>
      </c>
      <c r="C1667" s="13" t="str">
        <f>IFERROR(__xludf.DUMMYFUNCTION("""COMPUTED_VALUE"""),"M. 18359/ Sukarame")</f>
        <v>M. 18359/ Sukarame</v>
      </c>
      <c r="D1667" s="13" t="str">
        <f>IFERROR(__xludf.DUMMYFUNCTION("""COMPUTED_VALUE"""),"K/20/190325/1")</f>
        <v>K/20/190325/1</v>
      </c>
      <c r="E1667" s="14" t="str">
        <f>IFERROR(__xludf.DUMMYFUNCTION("""COMPUTED_VALUE"""),"Afriza (BT)")</f>
        <v>Afriza (BT)</v>
      </c>
      <c r="F1667" s="14" t="str">
        <f>IFERROR(__xludf.DUMMYFUNCTION("""COMPUTED_VALUE"""),"SELESAI (VIA PERMOHONAN)")</f>
        <v>SELESAI (VIA PERMOHONAN)</v>
      </c>
      <c r="G1667" s="17">
        <f>IFERROR(__xludf.DUMMYFUNCTION("""COMPUTED_VALUE"""),45756.43656611111)</f>
        <v>45756.43657</v>
      </c>
      <c r="H1667" s="14" t="str">
        <f>IFERROR(__xludf.DUMMYFUNCTION("""COMPUTED_VALUE"""),"Bu Eva (SU)")</f>
        <v>Bu Eva (SU)</v>
      </c>
      <c r="I1667" s="13" t="str">
        <f>IFERROR(__xludf.DUMMYFUNCTION("""COMPUTED_VALUE"""),"SELESAI (VIA PERMOHONAN)")</f>
        <v>SELESAI (VIA PERMOHONAN)</v>
      </c>
      <c r="J1667" s="17">
        <f>IFERROR(__xludf.DUMMYFUNCTION("""COMPUTED_VALUE"""),45743.59225678241)</f>
        <v>45743.59226</v>
      </c>
      <c r="K1667" s="13" t="str">
        <f>IFERROR(__xludf.DUMMYFUNCTION("""COMPUTED_VALUE"""),"Selesai")</f>
        <v>Selesai</v>
      </c>
      <c r="L1667" s="17">
        <f>IFERROR(__xludf.DUMMYFUNCTION("""COMPUTED_VALUE"""),45743.59225678241)</f>
        <v>45743.59226</v>
      </c>
      <c r="M1667" s="13"/>
      <c r="N1667" s="13" t="str">
        <f>IFERROR(__xludf.DUMMYFUNCTION("""COMPUTED_VALUE"""),"")</f>
        <v/>
      </c>
      <c r="O1667" s="13" t="str">
        <f t="shared" si="1"/>
        <v/>
      </c>
    </row>
    <row r="1668" ht="22.5" customHeight="1">
      <c r="B1668" s="13">
        <f>IFERROR(__xludf.DUMMYFUNCTION("""COMPUTED_VALUE"""),1663.0)</f>
        <v>1663</v>
      </c>
      <c r="C1668" s="13" t="str">
        <f>IFERROR(__xludf.DUMMYFUNCTION("""COMPUTED_VALUE"""),"M. 59/ Labuhan Ratu Raya")</f>
        <v>M. 59/ Labuhan Ratu Raya</v>
      </c>
      <c r="D1668" s="13" t="str">
        <f>IFERROR(__xludf.DUMMYFUNCTION("""COMPUTED_VALUE"""),"K/5/100325/1")</f>
        <v>K/5/100325/1</v>
      </c>
      <c r="E1668" s="14" t="str">
        <f>IFERROR(__xludf.DUMMYFUNCTION("""COMPUTED_VALUE"""),"Afriza (BT)")</f>
        <v>Afriza (BT)</v>
      </c>
      <c r="F1668" s="14" t="str">
        <f>IFERROR(__xludf.DUMMYFUNCTION("""COMPUTED_VALUE"""),"SELESAI (VIA PERMOHONAN)")</f>
        <v>SELESAI (VIA PERMOHONAN)</v>
      </c>
      <c r="G1668" s="17">
        <f>IFERROR(__xludf.DUMMYFUNCTION("""COMPUTED_VALUE"""),45756.43674633102)</f>
        <v>45756.43675</v>
      </c>
      <c r="H1668" s="14" t="str">
        <f>IFERROR(__xludf.DUMMYFUNCTION("""COMPUTED_VALUE"""),"Bu Eva (SU)")</f>
        <v>Bu Eva (SU)</v>
      </c>
      <c r="I1668" s="13" t="str">
        <f>IFERROR(__xludf.DUMMYFUNCTION("""COMPUTED_VALUE"""),"SELESAI (VIA PERMOHONAN)")</f>
        <v>SELESAI (VIA PERMOHONAN)</v>
      </c>
      <c r="J1668" s="17">
        <f>IFERROR(__xludf.DUMMYFUNCTION("""COMPUTED_VALUE"""),45756.66123644676)</f>
        <v>45756.66124</v>
      </c>
      <c r="K1668" s="13" t="str">
        <f>IFERROR(__xludf.DUMMYFUNCTION("""COMPUTED_VALUE"""),"Selesai")</f>
        <v>Selesai</v>
      </c>
      <c r="L1668" s="17">
        <f>IFERROR(__xludf.DUMMYFUNCTION("""COMPUTED_VALUE"""),45756.66123644676)</f>
        <v>45756.66124</v>
      </c>
      <c r="M1668" s="13"/>
      <c r="N1668" s="13" t="str">
        <f>IFERROR(__xludf.DUMMYFUNCTION("""COMPUTED_VALUE"""),"")</f>
        <v/>
      </c>
      <c r="O1668" s="13" t="str">
        <f t="shared" si="1"/>
        <v/>
      </c>
    </row>
    <row r="1669" ht="22.5" customHeight="1">
      <c r="B1669" s="13">
        <f>IFERROR(__xludf.DUMMYFUNCTION("""COMPUTED_VALUE"""),1664.0)</f>
        <v>1664</v>
      </c>
      <c r="C1669" s="13" t="str">
        <f>IFERROR(__xludf.DUMMYFUNCTION("""COMPUTED_VALUE"""),"B. 5561/ Beringin Raya")</f>
        <v>B. 5561/ Beringin Raya</v>
      </c>
      <c r="D1669" s="13" t="str">
        <f>IFERROR(__xludf.DUMMYFUNCTION("""COMPUTED_VALUE"""),"K/56/130325/1")</f>
        <v>K/56/130325/1</v>
      </c>
      <c r="E1669" s="14" t="str">
        <f>IFERROR(__xludf.DUMMYFUNCTION("""COMPUTED_VALUE"""),"Afriza (BT)")</f>
        <v>Afriza (BT)</v>
      </c>
      <c r="F1669" s="14" t="str">
        <f>IFERROR(__xludf.DUMMYFUNCTION("""COMPUTED_VALUE"""),"SELESAI (VIA PERMOHONAN)")</f>
        <v>SELESAI (VIA PERMOHONAN)</v>
      </c>
      <c r="G1669" s="17">
        <f>IFERROR(__xludf.DUMMYFUNCTION("""COMPUTED_VALUE"""),45756.436829212966)</f>
        <v>45756.43683</v>
      </c>
      <c r="H1669" s="14" t="str">
        <f>IFERROR(__xludf.DUMMYFUNCTION("""COMPUTED_VALUE"""),"Bu Eva (SU)")</f>
        <v>Bu Eva (SU)</v>
      </c>
      <c r="I1669" s="13" t="str">
        <f>IFERROR(__xludf.DUMMYFUNCTION("""COMPUTED_VALUE"""),"SELESAI (VIA PERMOHONAN)")</f>
        <v>SELESAI (VIA PERMOHONAN)</v>
      </c>
      <c r="J1669" s="17">
        <f>IFERROR(__xludf.DUMMYFUNCTION("""COMPUTED_VALUE"""),45756.66123644676)</f>
        <v>45756.66124</v>
      </c>
      <c r="K1669" s="13" t="str">
        <f>IFERROR(__xludf.DUMMYFUNCTION("""COMPUTED_VALUE"""),"Selesai")</f>
        <v>Selesai</v>
      </c>
      <c r="L1669" s="17">
        <f>IFERROR(__xludf.DUMMYFUNCTION("""COMPUTED_VALUE"""),45756.66123644676)</f>
        <v>45756.66124</v>
      </c>
      <c r="M1669" s="13"/>
      <c r="N1669" s="13" t="str">
        <f>IFERROR(__xludf.DUMMYFUNCTION("""COMPUTED_VALUE"""),"")</f>
        <v/>
      </c>
      <c r="O1669" s="13" t="str">
        <f t="shared" si="1"/>
        <v/>
      </c>
    </row>
    <row r="1670" ht="22.5" customHeight="1">
      <c r="B1670" s="13">
        <f>IFERROR(__xludf.DUMMYFUNCTION("""COMPUTED_VALUE"""),1665.0)</f>
        <v>1665</v>
      </c>
      <c r="C1670" s="13" t="str">
        <f>IFERROR(__xludf.DUMMYFUNCTION("""COMPUTED_VALUE"""),"M. 1766/ Way Halim Permai")</f>
        <v>M. 1766/ Way Halim Permai</v>
      </c>
      <c r="D1670" s="13" t="str">
        <f>IFERROR(__xludf.DUMMYFUNCTION("""COMPUTED_VALUE"""),"K/36/070325/1")</f>
        <v>K/36/070325/1</v>
      </c>
      <c r="E1670" s="14" t="str">
        <f>IFERROR(__xludf.DUMMYFUNCTION("""COMPUTED_VALUE"""),"Afriza (BT)")</f>
        <v>Afriza (BT)</v>
      </c>
      <c r="F1670" s="14" t="str">
        <f>IFERROR(__xludf.DUMMYFUNCTION("""COMPUTED_VALUE"""),"SELESAI (VIA PERMOHONAN)")</f>
        <v>SELESAI (VIA PERMOHONAN)</v>
      </c>
      <c r="G1670" s="17">
        <f>IFERROR(__xludf.DUMMYFUNCTION("""COMPUTED_VALUE"""),45756.4369825926)</f>
        <v>45756.43698</v>
      </c>
      <c r="H1670" s="14" t="str">
        <f>IFERROR(__xludf.DUMMYFUNCTION("""COMPUTED_VALUE"""),"Bu Eva (SU)")</f>
        <v>Bu Eva (SU)</v>
      </c>
      <c r="I1670" s="13" t="str">
        <f>IFERROR(__xludf.DUMMYFUNCTION("""COMPUTED_VALUE"""),"SELESAI (VIA PERMOHONAN)")</f>
        <v>SELESAI (VIA PERMOHONAN)</v>
      </c>
      <c r="J1670" s="17">
        <f>IFERROR(__xludf.DUMMYFUNCTION("""COMPUTED_VALUE"""),45756.66123644676)</f>
        <v>45756.66124</v>
      </c>
      <c r="K1670" s="13" t="str">
        <f>IFERROR(__xludf.DUMMYFUNCTION("""COMPUTED_VALUE"""),"Selesai")</f>
        <v>Selesai</v>
      </c>
      <c r="L1670" s="17">
        <f>IFERROR(__xludf.DUMMYFUNCTION("""COMPUTED_VALUE"""),45756.66123644676)</f>
        <v>45756.66124</v>
      </c>
      <c r="M1670" s="13"/>
      <c r="N1670" s="13" t="str">
        <f>IFERROR(__xludf.DUMMYFUNCTION("""COMPUTED_VALUE"""),"")</f>
        <v/>
      </c>
      <c r="O1670" s="13" t="str">
        <f t="shared" si="1"/>
        <v/>
      </c>
    </row>
    <row r="1671" ht="22.5" customHeight="1">
      <c r="B1671" s="13">
        <f>IFERROR(__xludf.DUMMYFUNCTION("""COMPUTED_VALUE"""),1666.0)</f>
        <v>1666</v>
      </c>
      <c r="C1671" s="13" t="str">
        <f>IFERROR(__xludf.DUMMYFUNCTION("""COMPUTED_VALUE"""),"M. 4583/ Langkapura")</f>
        <v>M. 4583/ Langkapura</v>
      </c>
      <c r="D1671" s="13" t="str">
        <f>IFERROR(__xludf.DUMMYFUNCTION("""COMPUTED_VALUE"""),"K/20/170325/1")</f>
        <v>K/20/170325/1</v>
      </c>
      <c r="E1671" s="14" t="str">
        <f>IFERROR(__xludf.DUMMYFUNCTION("""COMPUTED_VALUE"""),"Afriza (BT)")</f>
        <v>Afriza (BT)</v>
      </c>
      <c r="F1671" s="14" t="str">
        <f>IFERROR(__xludf.DUMMYFUNCTION("""COMPUTED_VALUE"""),"SELESAI (VIA PERMOHONAN)")</f>
        <v>SELESAI (VIA PERMOHONAN)</v>
      </c>
      <c r="G1671" s="17">
        <f>IFERROR(__xludf.DUMMYFUNCTION("""COMPUTED_VALUE"""),45756.43702199074)</f>
        <v>45756.43702</v>
      </c>
      <c r="H1671" s="14" t="str">
        <f>IFERROR(__xludf.DUMMYFUNCTION("""COMPUTED_VALUE"""),"Bu Eva (SU)")</f>
        <v>Bu Eva (SU)</v>
      </c>
      <c r="I1671" s="13" t="str">
        <f>IFERROR(__xludf.DUMMYFUNCTION("""COMPUTED_VALUE"""),"SELESAI (VIA PERMOHONAN)")</f>
        <v>SELESAI (VIA PERMOHONAN)</v>
      </c>
      <c r="J1671" s="17">
        <f>IFERROR(__xludf.DUMMYFUNCTION("""COMPUTED_VALUE"""),45756.66123644676)</f>
        <v>45756.66124</v>
      </c>
      <c r="K1671" s="13" t="str">
        <f>IFERROR(__xludf.DUMMYFUNCTION("""COMPUTED_VALUE"""),"Selesai")</f>
        <v>Selesai</v>
      </c>
      <c r="L1671" s="17">
        <f>IFERROR(__xludf.DUMMYFUNCTION("""COMPUTED_VALUE"""),45756.66123644676)</f>
        <v>45756.66124</v>
      </c>
      <c r="M1671" s="13"/>
      <c r="N1671" s="13" t="str">
        <f>IFERROR(__xludf.DUMMYFUNCTION("""COMPUTED_VALUE"""),"")</f>
        <v/>
      </c>
      <c r="O1671" s="13" t="str">
        <f t="shared" si="1"/>
        <v/>
      </c>
    </row>
    <row r="1672" ht="22.5" customHeight="1">
      <c r="B1672" s="13">
        <f>IFERROR(__xludf.DUMMYFUNCTION("""COMPUTED_VALUE"""),1667.0)</f>
        <v>1667</v>
      </c>
      <c r="C1672" s="13" t="str">
        <f>IFERROR(__xludf.DUMMYFUNCTION("""COMPUTED_VALUE"""),"M. 4590/ Beringin Raya")</f>
        <v>M. 4590/ Beringin Raya</v>
      </c>
      <c r="D1672" s="13" t="str">
        <f>IFERROR(__xludf.DUMMYFUNCTION("""COMPUTED_VALUE"""),"K/18/170325/1")</f>
        <v>K/18/170325/1</v>
      </c>
      <c r="E1672" s="14" t="str">
        <f>IFERROR(__xludf.DUMMYFUNCTION("""COMPUTED_VALUE"""),"Afriza (BT)")</f>
        <v>Afriza (BT)</v>
      </c>
      <c r="F1672" s="14" t="str">
        <f>IFERROR(__xludf.DUMMYFUNCTION("""COMPUTED_VALUE"""),"SELESAI (VIA PERMOHONAN)")</f>
        <v>SELESAI (VIA PERMOHONAN)</v>
      </c>
      <c r="G1672" s="17">
        <f>IFERROR(__xludf.DUMMYFUNCTION("""COMPUTED_VALUE"""),45756.43714155092)</f>
        <v>45756.43714</v>
      </c>
      <c r="H1672" s="14" t="str">
        <f>IFERROR(__xludf.DUMMYFUNCTION("""COMPUTED_VALUE"""),"Bu Eva (SU)")</f>
        <v>Bu Eva (SU)</v>
      </c>
      <c r="I1672" s="13" t="str">
        <f>IFERROR(__xludf.DUMMYFUNCTION("""COMPUTED_VALUE"""),"SELESAI (VIA PERMOHONAN)")</f>
        <v>SELESAI (VIA PERMOHONAN)</v>
      </c>
      <c r="J1672" s="17">
        <f>IFERROR(__xludf.DUMMYFUNCTION("""COMPUTED_VALUE"""),45756.66123644676)</f>
        <v>45756.66124</v>
      </c>
      <c r="K1672" s="13" t="str">
        <f>IFERROR(__xludf.DUMMYFUNCTION("""COMPUTED_VALUE"""),"Selesai")</f>
        <v>Selesai</v>
      </c>
      <c r="L1672" s="17">
        <f>IFERROR(__xludf.DUMMYFUNCTION("""COMPUTED_VALUE"""),45756.66123644676)</f>
        <v>45756.66124</v>
      </c>
      <c r="M1672" s="13"/>
      <c r="N1672" s="13" t="str">
        <f>IFERROR(__xludf.DUMMYFUNCTION("""COMPUTED_VALUE"""),"")</f>
        <v/>
      </c>
      <c r="O1672" s="13" t="str">
        <f t="shared" si="1"/>
        <v/>
      </c>
    </row>
    <row r="1673" ht="22.5" customHeight="1">
      <c r="B1673" s="13">
        <f>IFERROR(__xludf.DUMMYFUNCTION("""COMPUTED_VALUE"""),1668.0)</f>
        <v>1668</v>
      </c>
      <c r="C1673" s="13" t="str">
        <f>IFERROR(__xludf.DUMMYFUNCTION("""COMPUTED_VALUE"""),"M. 339/ Perwata")</f>
        <v>M. 339/ Perwata</v>
      </c>
      <c r="D1673" s="13" t="str">
        <f>IFERROR(__xludf.DUMMYFUNCTION("""COMPUTED_VALUE"""),"K/11/180325/1")</f>
        <v>K/11/180325/1</v>
      </c>
      <c r="E1673" s="14" t="str">
        <f>IFERROR(__xludf.DUMMYFUNCTION("""COMPUTED_VALUE"""),"Afriza (BT)")</f>
        <v>Afriza (BT)</v>
      </c>
      <c r="F1673" s="14" t="str">
        <f>IFERROR(__xludf.DUMMYFUNCTION("""COMPUTED_VALUE"""),"SELESAI (VIA PERMOHONAN)")</f>
        <v>SELESAI (VIA PERMOHONAN)</v>
      </c>
      <c r="G1673" s="17">
        <f>IFERROR(__xludf.DUMMYFUNCTION("""COMPUTED_VALUE"""),45756.437370405096)</f>
        <v>45756.43737</v>
      </c>
      <c r="H1673" s="14" t="str">
        <f>IFERROR(__xludf.DUMMYFUNCTION("""COMPUTED_VALUE"""),"Bu Eva (SU)")</f>
        <v>Bu Eva (SU)</v>
      </c>
      <c r="I1673" s="13" t="str">
        <f>IFERROR(__xludf.DUMMYFUNCTION("""COMPUTED_VALUE"""),"SELESAI (VIA PERMOHONAN)")</f>
        <v>SELESAI (VIA PERMOHONAN)</v>
      </c>
      <c r="J1673" s="17">
        <f>IFERROR(__xludf.DUMMYFUNCTION("""COMPUTED_VALUE"""),45756.66123644676)</f>
        <v>45756.66124</v>
      </c>
      <c r="K1673" s="13" t="str">
        <f>IFERROR(__xludf.DUMMYFUNCTION("""COMPUTED_VALUE"""),"Selesai")</f>
        <v>Selesai</v>
      </c>
      <c r="L1673" s="17">
        <f>IFERROR(__xludf.DUMMYFUNCTION("""COMPUTED_VALUE"""),45756.66123644676)</f>
        <v>45756.66124</v>
      </c>
      <c r="M1673" s="13"/>
      <c r="N1673" s="13" t="str">
        <f>IFERROR(__xludf.DUMMYFUNCTION("""COMPUTED_VALUE"""),"")</f>
        <v/>
      </c>
      <c r="O1673" s="13" t="str">
        <f t="shared" si="1"/>
        <v/>
      </c>
    </row>
    <row r="1674" ht="22.5" customHeight="1">
      <c r="B1674" s="13">
        <f>IFERROR(__xludf.DUMMYFUNCTION("""COMPUTED_VALUE"""),1669.0)</f>
        <v>1669</v>
      </c>
      <c r="C1674" s="13" t="str">
        <f>IFERROR(__xludf.DUMMYFUNCTION("""COMPUTED_VALUE"""),"M. 600/ Tanjung Raya")</f>
        <v>M. 600/ Tanjung Raya</v>
      </c>
      <c r="D1674" s="13" t="str">
        <f>IFERROR(__xludf.DUMMYFUNCTION("""COMPUTED_VALUE"""),"K/2/210325/1")</f>
        <v>K/2/210325/1</v>
      </c>
      <c r="E1674" s="14" t="str">
        <f>IFERROR(__xludf.DUMMYFUNCTION("""COMPUTED_VALUE"""),"Afriza (BT)")</f>
        <v>Afriza (BT)</v>
      </c>
      <c r="F1674" s="14" t="str">
        <f>IFERROR(__xludf.DUMMYFUNCTION("""COMPUTED_VALUE"""),"SELESAI (VIA PERMOHONAN)")</f>
        <v>SELESAI (VIA PERMOHONAN)</v>
      </c>
      <c r="G1674" s="17">
        <f>IFERROR(__xludf.DUMMYFUNCTION("""COMPUTED_VALUE"""),45756.43747074074)</f>
        <v>45756.43747</v>
      </c>
      <c r="H1674" s="14" t="str">
        <f>IFERROR(__xludf.DUMMYFUNCTION("""COMPUTED_VALUE"""),"Bu Eva (SU)")</f>
        <v>Bu Eva (SU)</v>
      </c>
      <c r="I1674" s="13" t="str">
        <f>IFERROR(__xludf.DUMMYFUNCTION("""COMPUTED_VALUE"""),"SELESAI (VIA PERMOHONAN)")</f>
        <v>SELESAI (VIA PERMOHONAN)</v>
      </c>
      <c r="J1674" s="17">
        <f>IFERROR(__xludf.DUMMYFUNCTION("""COMPUTED_VALUE"""),45756.66123644676)</f>
        <v>45756.66124</v>
      </c>
      <c r="K1674" s="13" t="str">
        <f>IFERROR(__xludf.DUMMYFUNCTION("""COMPUTED_VALUE"""),"Selesai")</f>
        <v>Selesai</v>
      </c>
      <c r="L1674" s="17">
        <f>IFERROR(__xludf.DUMMYFUNCTION("""COMPUTED_VALUE"""),45756.66123644676)</f>
        <v>45756.66124</v>
      </c>
      <c r="M1674" s="13"/>
      <c r="N1674" s="13" t="str">
        <f>IFERROR(__xludf.DUMMYFUNCTION("""COMPUTED_VALUE"""),"")</f>
        <v/>
      </c>
      <c r="O1674" s="13" t="str">
        <f t="shared" si="1"/>
        <v/>
      </c>
    </row>
    <row r="1675" ht="22.5" customHeight="1">
      <c r="B1675" s="13">
        <f>IFERROR(__xludf.DUMMYFUNCTION("""COMPUTED_VALUE"""),1670.0)</f>
        <v>1670</v>
      </c>
      <c r="C1675" s="13" t="str">
        <f>IFERROR(__xludf.DUMMYFUNCTION("""COMPUTED_VALUE"""),"M. 545/ Way Halim Permai")</f>
        <v>M. 545/ Way Halim Permai</v>
      </c>
      <c r="D1675" s="13" t="str">
        <f>IFERROR(__xludf.DUMMYFUNCTION("""COMPUTED_VALUE"""),"K/22/130325/1")</f>
        <v>K/22/130325/1</v>
      </c>
      <c r="E1675" s="14" t="str">
        <f>IFERROR(__xludf.DUMMYFUNCTION("""COMPUTED_VALUE"""),"Afriza (BT)")</f>
        <v>Afriza (BT)</v>
      </c>
      <c r="F1675" s="14" t="str">
        <f>IFERROR(__xludf.DUMMYFUNCTION("""COMPUTED_VALUE"""),"SELESAI (VIA PERMOHONAN)")</f>
        <v>SELESAI (VIA PERMOHONAN)</v>
      </c>
      <c r="G1675" s="17">
        <f>IFERROR(__xludf.DUMMYFUNCTION("""COMPUTED_VALUE"""),45756.43791425926)</f>
        <v>45756.43791</v>
      </c>
      <c r="H1675" s="14" t="str">
        <f>IFERROR(__xludf.DUMMYFUNCTION("""COMPUTED_VALUE"""),"Bu Eva (SU)")</f>
        <v>Bu Eva (SU)</v>
      </c>
      <c r="I1675" s="13" t="str">
        <f>IFERROR(__xludf.DUMMYFUNCTION("""COMPUTED_VALUE"""),"SELESAI (VIA PERMOHONAN)")</f>
        <v>SELESAI (VIA PERMOHONAN)</v>
      </c>
      <c r="J1675" s="17">
        <f>IFERROR(__xludf.DUMMYFUNCTION("""COMPUTED_VALUE"""),45756.661236458334)</f>
        <v>45756.66124</v>
      </c>
      <c r="K1675" s="13" t="str">
        <f>IFERROR(__xludf.DUMMYFUNCTION("""COMPUTED_VALUE"""),"Selesai")</f>
        <v>Selesai</v>
      </c>
      <c r="L1675" s="17">
        <f>IFERROR(__xludf.DUMMYFUNCTION("""COMPUTED_VALUE"""),45756.661236458334)</f>
        <v>45756.66124</v>
      </c>
      <c r="M1675" s="13"/>
      <c r="N1675" s="13" t="str">
        <f>IFERROR(__xludf.DUMMYFUNCTION("""COMPUTED_VALUE"""),"")</f>
        <v/>
      </c>
      <c r="O1675" s="13" t="str">
        <f t="shared" si="1"/>
        <v/>
      </c>
    </row>
    <row r="1676" ht="22.5" customHeight="1">
      <c r="B1676" s="13">
        <f>IFERROR(__xludf.DUMMYFUNCTION("""COMPUTED_VALUE"""),1671.0)</f>
        <v>1671</v>
      </c>
      <c r="C1676" s="13" t="str">
        <f>IFERROR(__xludf.DUMMYFUNCTION("""COMPUTED_VALUE"""),"M.  936/ Penengahan")</f>
        <v>M.  936/ Penengahan</v>
      </c>
      <c r="D1676" s="13" t="str">
        <f>IFERROR(__xludf.DUMMYFUNCTION("""COMPUTED_VALUE"""),"K/18/210325/3")</f>
        <v>K/18/210325/3</v>
      </c>
      <c r="E1676" s="14" t="str">
        <f>IFERROR(__xludf.DUMMYFUNCTION("""COMPUTED_VALUE"""),"Afriza (BT)")</f>
        <v>Afriza (BT)</v>
      </c>
      <c r="F1676" s="14" t="str">
        <f>IFERROR(__xludf.DUMMYFUNCTION("""COMPUTED_VALUE"""),"SELESAI (VIA PERMOHONAN)")</f>
        <v>SELESAI (VIA PERMOHONAN)</v>
      </c>
      <c r="G1676" s="17">
        <f>IFERROR(__xludf.DUMMYFUNCTION("""COMPUTED_VALUE"""),45756.43828178241)</f>
        <v>45756.43828</v>
      </c>
      <c r="H1676" s="14" t="str">
        <f>IFERROR(__xludf.DUMMYFUNCTION("""COMPUTED_VALUE"""),"Bu Eva (SU)")</f>
        <v>Bu Eva (SU)</v>
      </c>
      <c r="I1676" s="13" t="str">
        <f>IFERROR(__xludf.DUMMYFUNCTION("""COMPUTED_VALUE"""),"SELESAI (VIA PERMOHONAN)")</f>
        <v>SELESAI (VIA PERMOHONAN)</v>
      </c>
      <c r="J1676" s="17">
        <f>IFERROR(__xludf.DUMMYFUNCTION("""COMPUTED_VALUE"""),45756.661236458334)</f>
        <v>45756.66124</v>
      </c>
      <c r="K1676" s="13" t="str">
        <f>IFERROR(__xludf.DUMMYFUNCTION("""COMPUTED_VALUE"""),"Selesai")</f>
        <v>Selesai</v>
      </c>
      <c r="L1676" s="17">
        <f>IFERROR(__xludf.DUMMYFUNCTION("""COMPUTED_VALUE"""),45756.661236458334)</f>
        <v>45756.66124</v>
      </c>
      <c r="M1676" s="13"/>
      <c r="N1676" s="13" t="str">
        <f>IFERROR(__xludf.DUMMYFUNCTION("""COMPUTED_VALUE"""),"")</f>
        <v/>
      </c>
      <c r="O1676" s="13" t="str">
        <f t="shared" si="1"/>
        <v/>
      </c>
    </row>
    <row r="1677" ht="22.5" customHeight="1">
      <c r="B1677" s="13">
        <f>IFERROR(__xludf.DUMMYFUNCTION("""COMPUTED_VALUE"""),1672.0)</f>
        <v>1672</v>
      </c>
      <c r="C1677" s="13" t="str">
        <f>IFERROR(__xludf.DUMMYFUNCTION("""COMPUTED_VALUE"""),"M. 3015/ Sukarame II")</f>
        <v>M. 3015/ Sukarame II</v>
      </c>
      <c r="D1677" s="13" t="str">
        <f>IFERROR(__xludf.DUMMYFUNCTION("""COMPUTED_VALUE"""),"K/10/110325/1")</f>
        <v>K/10/110325/1</v>
      </c>
      <c r="E1677" s="14" t="str">
        <f>IFERROR(__xludf.DUMMYFUNCTION("""COMPUTED_VALUE"""),"Afriza (BT)")</f>
        <v>Afriza (BT)</v>
      </c>
      <c r="F1677" s="14" t="str">
        <f>IFERROR(__xludf.DUMMYFUNCTION("""COMPUTED_VALUE"""),"SELESAI (VIA PERMOHONAN)")</f>
        <v>SELESAI (VIA PERMOHONAN)</v>
      </c>
      <c r="G1677" s="17">
        <f>IFERROR(__xludf.DUMMYFUNCTION("""COMPUTED_VALUE"""),45756.43852138889)</f>
        <v>45756.43852</v>
      </c>
      <c r="H1677" s="14" t="str">
        <f>IFERROR(__xludf.DUMMYFUNCTION("""COMPUTED_VALUE"""),"Bu Eva (SU)")</f>
        <v>Bu Eva (SU)</v>
      </c>
      <c r="I1677" s="13" t="str">
        <f>IFERROR(__xludf.DUMMYFUNCTION("""COMPUTED_VALUE"""),"SELESAI (VIA PERMOHONAN)")</f>
        <v>SELESAI (VIA PERMOHONAN)</v>
      </c>
      <c r="J1677" s="17">
        <f>IFERROR(__xludf.DUMMYFUNCTION("""COMPUTED_VALUE"""),45756.661236458334)</f>
        <v>45756.66124</v>
      </c>
      <c r="K1677" s="13" t="str">
        <f>IFERROR(__xludf.DUMMYFUNCTION("""COMPUTED_VALUE"""),"Selesai")</f>
        <v>Selesai</v>
      </c>
      <c r="L1677" s="17">
        <f>IFERROR(__xludf.DUMMYFUNCTION("""COMPUTED_VALUE"""),45756.661236458334)</f>
        <v>45756.66124</v>
      </c>
      <c r="M1677" s="13"/>
      <c r="N1677" s="13" t="str">
        <f>IFERROR(__xludf.DUMMYFUNCTION("""COMPUTED_VALUE"""),"")</f>
        <v/>
      </c>
      <c r="O1677" s="13" t="str">
        <f t="shared" si="1"/>
        <v/>
      </c>
    </row>
    <row r="1678" ht="22.5" customHeight="1">
      <c r="B1678" s="13">
        <f>IFERROR(__xludf.DUMMYFUNCTION("""COMPUTED_VALUE"""),1673.0)</f>
        <v>1673</v>
      </c>
      <c r="C1678" s="13" t="str">
        <f>IFERROR(__xludf.DUMMYFUNCTION("""COMPUTED_VALUE"""),"M. 2652/ Pinang Jaya")</f>
        <v>M. 2652/ Pinang Jaya</v>
      </c>
      <c r="D1678" s="13" t="str">
        <f>IFERROR(__xludf.DUMMYFUNCTION("""COMPUTED_VALUE"""),"K/10/100325/1")</f>
        <v>K/10/100325/1</v>
      </c>
      <c r="E1678" s="14" t="str">
        <f>IFERROR(__xludf.DUMMYFUNCTION("""COMPUTED_VALUE"""),"Afriza (BT)")</f>
        <v>Afriza (BT)</v>
      </c>
      <c r="F1678" s="14" t="str">
        <f>IFERROR(__xludf.DUMMYFUNCTION("""COMPUTED_VALUE"""),"SELESAI (VIA PERMOHONAN)")</f>
        <v>SELESAI (VIA PERMOHONAN)</v>
      </c>
      <c r="G1678" s="17">
        <f>IFERROR(__xludf.DUMMYFUNCTION("""COMPUTED_VALUE"""),45756.43852138889)</f>
        <v>45756.43852</v>
      </c>
      <c r="H1678" s="14" t="str">
        <f>IFERROR(__xludf.DUMMYFUNCTION("""COMPUTED_VALUE"""),"Bu Eva (SU)")</f>
        <v>Bu Eva (SU)</v>
      </c>
      <c r="I1678" s="13" t="str">
        <f>IFERROR(__xludf.DUMMYFUNCTION("""COMPUTED_VALUE"""),"SELESAI (VIA PERMOHONAN)")</f>
        <v>SELESAI (VIA PERMOHONAN)</v>
      </c>
      <c r="J1678" s="17">
        <f>IFERROR(__xludf.DUMMYFUNCTION("""COMPUTED_VALUE"""),45756.661236458334)</f>
        <v>45756.66124</v>
      </c>
      <c r="K1678" s="13" t="str">
        <f>IFERROR(__xludf.DUMMYFUNCTION("""COMPUTED_VALUE"""),"Selesai")</f>
        <v>Selesai</v>
      </c>
      <c r="L1678" s="17">
        <f>IFERROR(__xludf.DUMMYFUNCTION("""COMPUTED_VALUE"""),45756.661236458334)</f>
        <v>45756.66124</v>
      </c>
      <c r="M1678" s="13"/>
      <c r="N1678" s="13" t="str">
        <f>IFERROR(__xludf.DUMMYFUNCTION("""COMPUTED_VALUE"""),"")</f>
        <v/>
      </c>
      <c r="O1678" s="13" t="str">
        <f t="shared" si="1"/>
        <v/>
      </c>
    </row>
    <row r="1679" ht="22.5" customHeight="1">
      <c r="B1679" s="13">
        <f>IFERROR(__xludf.DUMMYFUNCTION("""COMPUTED_VALUE"""),1674.0)</f>
        <v>1674</v>
      </c>
      <c r="C1679" s="13" t="str">
        <f>IFERROR(__xludf.DUMMYFUNCTION("""COMPUTED_VALUE"""),"M. 1835/ Rajabasa Nunyai")</f>
        <v>M. 1835/ Rajabasa Nunyai</v>
      </c>
      <c r="D1679" s="13" t="str">
        <f>IFERROR(__xludf.DUMMYFUNCTION("""COMPUTED_VALUE"""),"K/6/110325/1")</f>
        <v>K/6/110325/1</v>
      </c>
      <c r="E1679" s="14" t="str">
        <f>IFERROR(__xludf.DUMMYFUNCTION("""COMPUTED_VALUE"""),"Afriza (BT)")</f>
        <v>Afriza (BT)</v>
      </c>
      <c r="F1679" s="14" t="str">
        <f>IFERROR(__xludf.DUMMYFUNCTION("""COMPUTED_VALUE"""),"SELESAI (VIA PERMOHONAN)")</f>
        <v>SELESAI (VIA PERMOHONAN)</v>
      </c>
      <c r="G1679" s="17">
        <f>IFERROR(__xludf.DUMMYFUNCTION("""COMPUTED_VALUE"""),45756.43867923611)</f>
        <v>45756.43868</v>
      </c>
      <c r="H1679" s="14" t="str">
        <f>IFERROR(__xludf.DUMMYFUNCTION("""COMPUTED_VALUE"""),"Bu Eva (SU)")</f>
        <v>Bu Eva (SU)</v>
      </c>
      <c r="I1679" s="13" t="str">
        <f>IFERROR(__xludf.DUMMYFUNCTION("""COMPUTED_VALUE"""),"SELESAI (VIA PERMOHONAN)")</f>
        <v>SELESAI (VIA PERMOHONAN)</v>
      </c>
      <c r="J1679" s="17">
        <f>IFERROR(__xludf.DUMMYFUNCTION("""COMPUTED_VALUE"""),45756.661236458334)</f>
        <v>45756.66124</v>
      </c>
      <c r="K1679" s="13" t="str">
        <f>IFERROR(__xludf.DUMMYFUNCTION("""COMPUTED_VALUE"""),"Selesai")</f>
        <v>Selesai</v>
      </c>
      <c r="L1679" s="17">
        <f>IFERROR(__xludf.DUMMYFUNCTION("""COMPUTED_VALUE"""),45756.661236458334)</f>
        <v>45756.66124</v>
      </c>
      <c r="M1679" s="13"/>
      <c r="N1679" s="13" t="str">
        <f>IFERROR(__xludf.DUMMYFUNCTION("""COMPUTED_VALUE"""),"")</f>
        <v/>
      </c>
      <c r="O1679" s="13" t="str">
        <f t="shared" si="1"/>
        <v/>
      </c>
    </row>
    <row r="1680" ht="22.5" customHeight="1">
      <c r="B1680" s="13">
        <f>IFERROR(__xludf.DUMMYFUNCTION("""COMPUTED_VALUE"""),1675.0)</f>
        <v>1675</v>
      </c>
      <c r="C1680" s="13" t="str">
        <f>IFERROR(__xludf.DUMMYFUNCTION("""COMPUTED_VALUE"""),"M. 1888/ Rajabasa Raya")</f>
        <v>M. 1888/ Rajabasa Raya</v>
      </c>
      <c r="D1680" s="13" t="str">
        <f>IFERROR(__xludf.DUMMYFUNCTION("""COMPUTED_VALUE"""),"K/42/120325/1")</f>
        <v>K/42/120325/1</v>
      </c>
      <c r="E1680" s="14" t="str">
        <f>IFERROR(__xludf.DUMMYFUNCTION("""COMPUTED_VALUE"""),"Afriza (BT)")</f>
        <v>Afriza (BT)</v>
      </c>
      <c r="F1680" s="14" t="str">
        <f>IFERROR(__xludf.DUMMYFUNCTION("""COMPUTED_VALUE"""),"SELESAI (VIA PERMOHONAN)")</f>
        <v>SELESAI (VIA PERMOHONAN)</v>
      </c>
      <c r="G1680" s="17">
        <f>IFERROR(__xludf.DUMMYFUNCTION("""COMPUTED_VALUE"""),45756.43873098379)</f>
        <v>45756.43873</v>
      </c>
      <c r="H1680" s="14" t="str">
        <f>IFERROR(__xludf.DUMMYFUNCTION("""COMPUTED_VALUE"""),"Bu Eva (SU)")</f>
        <v>Bu Eva (SU)</v>
      </c>
      <c r="I1680" s="13" t="str">
        <f>IFERROR(__xludf.DUMMYFUNCTION("""COMPUTED_VALUE"""),"SELESAI (VIA PERMOHONAN)")</f>
        <v>SELESAI (VIA PERMOHONAN)</v>
      </c>
      <c r="J1680" s="17">
        <f>IFERROR(__xludf.DUMMYFUNCTION("""COMPUTED_VALUE"""),45756.661236458334)</f>
        <v>45756.66124</v>
      </c>
      <c r="K1680" s="13" t="str">
        <f>IFERROR(__xludf.DUMMYFUNCTION("""COMPUTED_VALUE"""),"Selesai")</f>
        <v>Selesai</v>
      </c>
      <c r="L1680" s="17">
        <f>IFERROR(__xludf.DUMMYFUNCTION("""COMPUTED_VALUE"""),45756.661236458334)</f>
        <v>45756.66124</v>
      </c>
      <c r="M1680" s="13"/>
      <c r="N1680" s="13" t="str">
        <f>IFERROR(__xludf.DUMMYFUNCTION("""COMPUTED_VALUE"""),"")</f>
        <v/>
      </c>
      <c r="O1680" s="13" t="str">
        <f t="shared" si="1"/>
        <v/>
      </c>
    </row>
    <row r="1681" ht="22.5" customHeight="1">
      <c r="B1681" s="13">
        <f>IFERROR(__xludf.DUMMYFUNCTION("""COMPUTED_VALUE"""),1676.0)</f>
        <v>1676</v>
      </c>
      <c r="C1681" s="13" t="str">
        <f>IFERROR(__xludf.DUMMYFUNCTION("""COMPUTED_VALUE"""),"M. 3336/ Tanjung Senang")</f>
        <v>M. 3336/ Tanjung Senang</v>
      </c>
      <c r="D1681" s="13" t="str">
        <f>IFERROR(__xludf.DUMMYFUNCTION("""COMPUTED_VALUE"""),"K/38/180325/1")</f>
        <v>K/38/180325/1</v>
      </c>
      <c r="E1681" s="14" t="str">
        <f>IFERROR(__xludf.DUMMYFUNCTION("""COMPUTED_VALUE"""),"Afriza (BT)")</f>
        <v>Afriza (BT)</v>
      </c>
      <c r="F1681" s="14" t="str">
        <f>IFERROR(__xludf.DUMMYFUNCTION("""COMPUTED_VALUE"""),"SELESAI (VIA PERMOHONAN)")</f>
        <v>SELESAI (VIA PERMOHONAN)</v>
      </c>
      <c r="G1681" s="17">
        <f>IFERROR(__xludf.DUMMYFUNCTION("""COMPUTED_VALUE"""),45756.438825578705)</f>
        <v>45756.43883</v>
      </c>
      <c r="H1681" s="14" t="str">
        <f>IFERROR(__xludf.DUMMYFUNCTION("""COMPUTED_VALUE"""),"Bu Eva (SU)")</f>
        <v>Bu Eva (SU)</v>
      </c>
      <c r="I1681" s="13" t="str">
        <f>IFERROR(__xludf.DUMMYFUNCTION("""COMPUTED_VALUE"""),"SELESAI (VIA PERMOHONAN)")</f>
        <v>SELESAI (VIA PERMOHONAN)</v>
      </c>
      <c r="J1681" s="17">
        <f>IFERROR(__xludf.DUMMYFUNCTION("""COMPUTED_VALUE"""),45756.661265625)</f>
        <v>45756.66127</v>
      </c>
      <c r="K1681" s="13" t="str">
        <f>IFERROR(__xludf.DUMMYFUNCTION("""COMPUTED_VALUE"""),"Selesai")</f>
        <v>Selesai</v>
      </c>
      <c r="L1681" s="17">
        <f>IFERROR(__xludf.DUMMYFUNCTION("""COMPUTED_VALUE"""),45756.661265625)</f>
        <v>45756.66127</v>
      </c>
      <c r="M1681" s="13"/>
      <c r="N1681" s="13" t="str">
        <f>IFERROR(__xludf.DUMMYFUNCTION("""COMPUTED_VALUE"""),"")</f>
        <v/>
      </c>
      <c r="O1681" s="13" t="str">
        <f t="shared" si="1"/>
        <v/>
      </c>
    </row>
    <row r="1682" ht="22.5" customHeight="1">
      <c r="B1682" s="13">
        <f>IFERROR(__xludf.DUMMYFUNCTION("""COMPUTED_VALUE"""),1677.0)</f>
        <v>1677</v>
      </c>
      <c r="C1682" s="13" t="str">
        <f>IFERROR(__xludf.DUMMYFUNCTION("""COMPUTED_VALUE"""),"M. 574/ Gunung Sulah")</f>
        <v>M. 574/ Gunung Sulah</v>
      </c>
      <c r="D1682" s="13" t="str">
        <f>IFERROR(__xludf.DUMMYFUNCTION("""COMPUTED_VALUE"""),"K/5/190325/2")</f>
        <v>K/5/190325/2</v>
      </c>
      <c r="E1682" s="14" t="str">
        <f>IFERROR(__xludf.DUMMYFUNCTION("""COMPUTED_VALUE"""),"Afriza (BT)")</f>
        <v>Afriza (BT)</v>
      </c>
      <c r="F1682" s="14" t="str">
        <f>IFERROR(__xludf.DUMMYFUNCTION("""COMPUTED_VALUE"""),"SELESAI (VIA PERMOHONAN)")</f>
        <v>SELESAI (VIA PERMOHONAN)</v>
      </c>
      <c r="G1682" s="17">
        <f>IFERROR(__xludf.DUMMYFUNCTION("""COMPUTED_VALUE"""),45756.438962685184)</f>
        <v>45756.43896</v>
      </c>
      <c r="H1682" s="14" t="str">
        <f>IFERROR(__xludf.DUMMYFUNCTION("""COMPUTED_VALUE"""),"Bu Eva (SU)")</f>
        <v>Bu Eva (SU)</v>
      </c>
      <c r="I1682" s="13" t="str">
        <f>IFERROR(__xludf.DUMMYFUNCTION("""COMPUTED_VALUE"""),"SELESAI (VIA PERMOHONAN)")</f>
        <v>SELESAI (VIA PERMOHONAN)</v>
      </c>
      <c r="J1682" s="17">
        <f>IFERROR(__xludf.DUMMYFUNCTION("""COMPUTED_VALUE"""),45756.661265625)</f>
        <v>45756.66127</v>
      </c>
      <c r="K1682" s="13" t="str">
        <f>IFERROR(__xludf.DUMMYFUNCTION("""COMPUTED_VALUE"""),"Selesai")</f>
        <v>Selesai</v>
      </c>
      <c r="L1682" s="17">
        <f>IFERROR(__xludf.DUMMYFUNCTION("""COMPUTED_VALUE"""),45756.661265625)</f>
        <v>45756.66127</v>
      </c>
      <c r="M1682" s="13"/>
      <c r="N1682" s="13" t="str">
        <f>IFERROR(__xludf.DUMMYFUNCTION("""COMPUTED_VALUE"""),"")</f>
        <v/>
      </c>
      <c r="O1682" s="13" t="str">
        <f t="shared" si="1"/>
        <v/>
      </c>
    </row>
    <row r="1683" ht="22.5" customHeight="1">
      <c r="B1683" s="13">
        <f>IFERROR(__xludf.DUMMYFUNCTION("""COMPUTED_VALUE"""),1678.0)</f>
        <v>1678</v>
      </c>
      <c r="C1683" s="13" t="str">
        <f>IFERROR(__xludf.DUMMYFUNCTION("""COMPUTED_VALUE"""),"M. 581/ Perumnas Way Kandis")</f>
        <v>M. 581/ Perumnas Way Kandis</v>
      </c>
      <c r="D1683" s="13" t="str">
        <f>IFERROR(__xludf.DUMMYFUNCTION("""COMPUTED_VALUE"""),"K/10/190325/1")</f>
        <v>K/10/190325/1</v>
      </c>
      <c r="E1683" s="14" t="str">
        <f>IFERROR(__xludf.DUMMYFUNCTION("""COMPUTED_VALUE"""),"Afriza (BT)")</f>
        <v>Afriza (BT)</v>
      </c>
      <c r="F1683" s="14" t="str">
        <f>IFERROR(__xludf.DUMMYFUNCTION("""COMPUTED_VALUE"""),"SELESAI (VIA PERMOHONAN)")</f>
        <v>SELESAI (VIA PERMOHONAN)</v>
      </c>
      <c r="G1683" s="17">
        <f>IFERROR(__xludf.DUMMYFUNCTION("""COMPUTED_VALUE"""),45756.45296726852)</f>
        <v>45756.45297</v>
      </c>
      <c r="H1683" s="14" t="str">
        <f>IFERROR(__xludf.DUMMYFUNCTION("""COMPUTED_VALUE"""),"Bu Eva (SU)")</f>
        <v>Bu Eva (SU)</v>
      </c>
      <c r="I1683" s="13" t="str">
        <f>IFERROR(__xludf.DUMMYFUNCTION("""COMPUTED_VALUE"""),"SELESAI (VIA PERMOHONAN)")</f>
        <v>SELESAI (VIA PERMOHONAN)</v>
      </c>
      <c r="J1683" s="17">
        <f>IFERROR(__xludf.DUMMYFUNCTION("""COMPUTED_VALUE"""),45756.661265625)</f>
        <v>45756.66127</v>
      </c>
      <c r="K1683" s="13" t="str">
        <f>IFERROR(__xludf.DUMMYFUNCTION("""COMPUTED_VALUE"""),"Selesai")</f>
        <v>Selesai</v>
      </c>
      <c r="L1683" s="17">
        <f>IFERROR(__xludf.DUMMYFUNCTION("""COMPUTED_VALUE"""),45756.661265625)</f>
        <v>45756.66127</v>
      </c>
      <c r="M1683" s="13"/>
      <c r="N1683" s="13" t="str">
        <f>IFERROR(__xludf.DUMMYFUNCTION("""COMPUTED_VALUE"""),"")</f>
        <v/>
      </c>
      <c r="O1683" s="13" t="str">
        <f t="shared" si="1"/>
        <v/>
      </c>
    </row>
    <row r="1684" ht="22.5" customHeight="1">
      <c r="B1684" s="13">
        <f>IFERROR(__xludf.DUMMYFUNCTION("""COMPUTED_VALUE"""),1679.0)</f>
        <v>1679</v>
      </c>
      <c r="C1684" s="13" t="str">
        <f>IFERROR(__xludf.DUMMYFUNCTION("""COMPUTED_VALUE"""),"M. 1939/ Labuhan Ratu Raya")</f>
        <v>M. 1939/ Labuhan Ratu Raya</v>
      </c>
      <c r="D1684" s="13" t="str">
        <f>IFERROR(__xludf.DUMMYFUNCTION("""COMPUTED_VALUE"""),"K/8/170325/1")</f>
        <v>K/8/170325/1</v>
      </c>
      <c r="E1684" s="14" t="str">
        <f>IFERROR(__xludf.DUMMYFUNCTION("""COMPUTED_VALUE"""),"Afriza (BT)")</f>
        <v>Afriza (BT)</v>
      </c>
      <c r="F1684" s="14" t="str">
        <f>IFERROR(__xludf.DUMMYFUNCTION("""COMPUTED_VALUE"""),"SELESAI (VIA PERMOHONAN)")</f>
        <v>SELESAI (VIA PERMOHONAN)</v>
      </c>
      <c r="G1684" s="17">
        <f>IFERROR(__xludf.DUMMYFUNCTION("""COMPUTED_VALUE"""),45756.45307311343)</f>
        <v>45756.45307</v>
      </c>
      <c r="H1684" s="14" t="str">
        <f>IFERROR(__xludf.DUMMYFUNCTION("""COMPUTED_VALUE"""),"Bu Eva (SU)")</f>
        <v>Bu Eva (SU)</v>
      </c>
      <c r="I1684" s="13" t="str">
        <f>IFERROR(__xludf.DUMMYFUNCTION("""COMPUTED_VALUE"""),"SELESAI (VIA PERMOHONAN)")</f>
        <v>SELESAI (VIA PERMOHONAN)</v>
      </c>
      <c r="J1684" s="17">
        <f>IFERROR(__xludf.DUMMYFUNCTION("""COMPUTED_VALUE"""),45756.661265625)</f>
        <v>45756.66127</v>
      </c>
      <c r="K1684" s="13" t="str">
        <f>IFERROR(__xludf.DUMMYFUNCTION("""COMPUTED_VALUE"""),"Selesai")</f>
        <v>Selesai</v>
      </c>
      <c r="L1684" s="17">
        <f>IFERROR(__xludf.DUMMYFUNCTION("""COMPUTED_VALUE"""),45756.661265625)</f>
        <v>45756.66127</v>
      </c>
      <c r="M1684" s="13"/>
      <c r="N1684" s="13" t="str">
        <f>IFERROR(__xludf.DUMMYFUNCTION("""COMPUTED_VALUE"""),"")</f>
        <v/>
      </c>
      <c r="O1684" s="13" t="str">
        <f t="shared" si="1"/>
        <v/>
      </c>
    </row>
    <row r="1685" ht="22.5" customHeight="1">
      <c r="B1685" s="13">
        <f>IFERROR(__xludf.DUMMYFUNCTION("""COMPUTED_VALUE"""),1680.0)</f>
        <v>1680</v>
      </c>
      <c r="C1685" s="13" t="str">
        <f>IFERROR(__xludf.DUMMYFUNCTION("""COMPUTED_VALUE"""),"M.1796/GEDONG AIR")</f>
        <v>M.1796/GEDONG AIR</v>
      </c>
      <c r="D1685" s="13" t="str">
        <f>IFERROR(__xludf.DUMMYFUNCTION("""COMPUTED_VALUE"""),"K/24/260325/3")</f>
        <v>K/24/260325/3</v>
      </c>
      <c r="E1685" s="14" t="str">
        <f>IFERROR(__xludf.DUMMYFUNCTION("""COMPUTED_VALUE"""),"Nadian (BT)")</f>
        <v>Nadian (BT)</v>
      </c>
      <c r="F1685" s="14" t="str">
        <f>IFERROR(__xludf.DUMMYFUNCTION("""COMPUTED_VALUE"""),"SELESAI (VIA PERMOHONAN)")</f>
        <v>SELESAI (VIA PERMOHONAN)</v>
      </c>
      <c r="G1685" s="17">
        <f>IFERROR(__xludf.DUMMYFUNCTION("""COMPUTED_VALUE"""),45756.55004135417)</f>
        <v>45756.55004</v>
      </c>
      <c r="H1685" s="14" t="str">
        <f>IFERROR(__xludf.DUMMYFUNCTION("""COMPUTED_VALUE"""),"Bu Eva (SU)")</f>
        <v>Bu Eva (SU)</v>
      </c>
      <c r="I1685" s="13" t="str">
        <f>IFERROR(__xludf.DUMMYFUNCTION("""COMPUTED_VALUE"""),"SELESAI (VIA PERMOHONAN)")</f>
        <v>SELESAI (VIA PERMOHONAN)</v>
      </c>
      <c r="J1685" s="17">
        <f>IFERROR(__xludf.DUMMYFUNCTION("""COMPUTED_VALUE"""),45756.661265625)</f>
        <v>45756.66127</v>
      </c>
      <c r="K1685" s="13" t="str">
        <f>IFERROR(__xludf.DUMMYFUNCTION("""COMPUTED_VALUE"""),"Selesai")</f>
        <v>Selesai</v>
      </c>
      <c r="L1685" s="17">
        <f>IFERROR(__xludf.DUMMYFUNCTION("""COMPUTED_VALUE"""),45756.661265625)</f>
        <v>45756.66127</v>
      </c>
      <c r="M1685" s="13"/>
      <c r="N1685" s="13" t="str">
        <f>IFERROR(__xludf.DUMMYFUNCTION("""COMPUTED_VALUE"""),"")</f>
        <v/>
      </c>
      <c r="O1685" s="13" t="str">
        <f t="shared" si="1"/>
        <v/>
      </c>
    </row>
    <row r="1686" ht="22.5" customHeight="1">
      <c r="B1686" s="13">
        <f>IFERROR(__xludf.DUMMYFUNCTION("""COMPUTED_VALUE"""),1681.0)</f>
        <v>1681</v>
      </c>
      <c r="C1686" s="13" t="str">
        <f>IFERROR(__xludf.DUMMYFUNCTION("""COMPUTED_VALUE"""),"M.473/KOTA SEPANG")</f>
        <v>M.473/KOTA SEPANG</v>
      </c>
      <c r="D1686" s="13" t="str">
        <f>IFERROR(__xludf.DUMMYFUNCTION("""COMPUTED_VALUE"""),"K/39/190325/2")</f>
        <v>K/39/190325/2</v>
      </c>
      <c r="E1686" s="14" t="str">
        <f>IFERROR(__xludf.DUMMYFUNCTION("""COMPUTED_VALUE"""),"Nadian (BT)")</f>
        <v>Nadian (BT)</v>
      </c>
      <c r="F1686" s="14" t="str">
        <f>IFERROR(__xludf.DUMMYFUNCTION("""COMPUTED_VALUE"""),"SELESAI (VIA PERMOHONAN)")</f>
        <v>SELESAI (VIA PERMOHONAN)</v>
      </c>
      <c r="G1686" s="17">
        <f>IFERROR(__xludf.DUMMYFUNCTION("""COMPUTED_VALUE"""),45756.55009568287)</f>
        <v>45756.5501</v>
      </c>
      <c r="H1686" s="14" t="str">
        <f>IFERROR(__xludf.DUMMYFUNCTION("""COMPUTED_VALUE"""),"Bu Eva (SU)")</f>
        <v>Bu Eva (SU)</v>
      </c>
      <c r="I1686" s="13" t="str">
        <f>IFERROR(__xludf.DUMMYFUNCTION("""COMPUTED_VALUE"""),"SELESAI (VIA PERMOHONAN)")</f>
        <v>SELESAI (VIA PERMOHONAN)</v>
      </c>
      <c r="J1686" s="17">
        <f>IFERROR(__xludf.DUMMYFUNCTION("""COMPUTED_VALUE"""),45756.661265636576)</f>
        <v>45756.66127</v>
      </c>
      <c r="K1686" s="13" t="str">
        <f>IFERROR(__xludf.DUMMYFUNCTION("""COMPUTED_VALUE"""),"Selesai")</f>
        <v>Selesai</v>
      </c>
      <c r="L1686" s="17">
        <f>IFERROR(__xludf.DUMMYFUNCTION("""COMPUTED_VALUE"""),45756.661265636576)</f>
        <v>45756.66127</v>
      </c>
      <c r="M1686" s="13"/>
      <c r="N1686" s="13" t="str">
        <f>IFERROR(__xludf.DUMMYFUNCTION("""COMPUTED_VALUE"""),"")</f>
        <v/>
      </c>
      <c r="O1686" s="13" t="str">
        <f t="shared" si="1"/>
        <v/>
      </c>
    </row>
    <row r="1687" ht="22.5" customHeight="1">
      <c r="B1687" s="13">
        <f>IFERROR(__xludf.DUMMYFUNCTION("""COMPUTED_VALUE"""),1682.0)</f>
        <v>1682</v>
      </c>
      <c r="C1687" s="13" t="str">
        <f>IFERROR(__xludf.DUMMYFUNCTION("""COMPUTED_VALUE"""),"HM 495/SUKARAME BARU")</f>
        <v>HM 495/SUKARAME BARU</v>
      </c>
      <c r="D1687" s="13" t="str">
        <f>IFERROR(__xludf.DUMMYFUNCTION("""COMPUTED_VALUE"""),"L/47/240325/1")</f>
        <v>L/47/240325/1</v>
      </c>
      <c r="E1687" s="14" t="str">
        <f>IFERROR(__xludf.DUMMYFUNCTION("""COMPUTED_VALUE"""),"Nadian (BT)")</f>
        <v>Nadian (BT)</v>
      </c>
      <c r="F1687" s="14" t="str">
        <f>IFERROR(__xludf.DUMMYFUNCTION("""COMPUTED_VALUE"""),"SELESAI (VIA PERMOHONAN)")</f>
        <v>SELESAI (VIA PERMOHONAN)</v>
      </c>
      <c r="G1687" s="17">
        <f>IFERROR(__xludf.DUMMYFUNCTION("""COMPUTED_VALUE"""),45756.55009568287)</f>
        <v>45756.5501</v>
      </c>
      <c r="H1687" s="14" t="str">
        <f>IFERROR(__xludf.DUMMYFUNCTION("""COMPUTED_VALUE"""),"Bu Eva (SU)")</f>
        <v>Bu Eva (SU)</v>
      </c>
      <c r="I1687" s="13" t="str">
        <f>IFERROR(__xludf.DUMMYFUNCTION("""COMPUTED_VALUE"""),"SELESAI (VIA PERMOHONAN)")</f>
        <v>SELESAI (VIA PERMOHONAN)</v>
      </c>
      <c r="J1687" s="17">
        <f>IFERROR(__xludf.DUMMYFUNCTION("""COMPUTED_VALUE"""),45756.661265636576)</f>
        <v>45756.66127</v>
      </c>
      <c r="K1687" s="13" t="str">
        <f>IFERROR(__xludf.DUMMYFUNCTION("""COMPUTED_VALUE"""),"Selesai")</f>
        <v>Selesai</v>
      </c>
      <c r="L1687" s="17">
        <f>IFERROR(__xludf.DUMMYFUNCTION("""COMPUTED_VALUE"""),45756.661265636576)</f>
        <v>45756.66127</v>
      </c>
      <c r="M1687" s="13"/>
      <c r="N1687" s="13" t="str">
        <f>IFERROR(__xludf.DUMMYFUNCTION("""COMPUTED_VALUE"""),"")</f>
        <v/>
      </c>
      <c r="O1687" s="13" t="str">
        <f t="shared" si="1"/>
        <v/>
      </c>
    </row>
    <row r="1688" ht="22.5" customHeight="1">
      <c r="B1688" s="13">
        <f>IFERROR(__xludf.DUMMYFUNCTION("""COMPUTED_VALUE"""),1683.0)</f>
        <v>1683</v>
      </c>
      <c r="C1688" s="13" t="str">
        <f>IFERROR(__xludf.DUMMYFUNCTION("""COMPUTED_VALUE"""),"M.2165/KALIAWI")</f>
        <v>M.2165/KALIAWI</v>
      </c>
      <c r="D1688" s="13" t="str">
        <f>IFERROR(__xludf.DUMMYFUNCTION("""COMPUTED_VALUE"""),"K/21/170325/1")</f>
        <v>K/21/170325/1</v>
      </c>
      <c r="E1688" s="14" t="str">
        <f>IFERROR(__xludf.DUMMYFUNCTION("""COMPUTED_VALUE"""),"Nadian (BT)")</f>
        <v>Nadian (BT)</v>
      </c>
      <c r="F1688" s="14" t="str">
        <f>IFERROR(__xludf.DUMMYFUNCTION("""COMPUTED_VALUE"""),"SELESAI (VIA PERMOHONAN)")</f>
        <v>SELESAI (VIA PERMOHONAN)</v>
      </c>
      <c r="G1688" s="17">
        <f>IFERROR(__xludf.DUMMYFUNCTION("""COMPUTED_VALUE"""),45756.55009568287)</f>
        <v>45756.5501</v>
      </c>
      <c r="H1688" s="14" t="str">
        <f>IFERROR(__xludf.DUMMYFUNCTION("""COMPUTED_VALUE"""),"Bu Eva (SU)")</f>
        <v>Bu Eva (SU)</v>
      </c>
      <c r="I1688" s="13" t="str">
        <f>IFERROR(__xludf.DUMMYFUNCTION("""COMPUTED_VALUE"""),"SELESAI (VIA PERMOHONAN)")</f>
        <v>SELESAI (VIA PERMOHONAN)</v>
      </c>
      <c r="J1688" s="17">
        <f>IFERROR(__xludf.DUMMYFUNCTION("""COMPUTED_VALUE"""),45756.661265636576)</f>
        <v>45756.66127</v>
      </c>
      <c r="K1688" s="13" t="str">
        <f>IFERROR(__xludf.DUMMYFUNCTION("""COMPUTED_VALUE"""),"Selesai")</f>
        <v>Selesai</v>
      </c>
      <c r="L1688" s="17">
        <f>IFERROR(__xludf.DUMMYFUNCTION("""COMPUTED_VALUE"""),45756.661265636576)</f>
        <v>45756.66127</v>
      </c>
      <c r="M1688" s="13"/>
      <c r="N1688" s="13" t="str">
        <f>IFERROR(__xludf.DUMMYFUNCTION("""COMPUTED_VALUE"""),"")</f>
        <v/>
      </c>
      <c r="O1688" s="13" t="str">
        <f t="shared" si="1"/>
        <v/>
      </c>
    </row>
    <row r="1689" ht="22.5" customHeight="1">
      <c r="B1689" s="13">
        <f>IFERROR(__xludf.DUMMYFUNCTION("""COMPUTED_VALUE"""),1684.0)</f>
        <v>1684</v>
      </c>
      <c r="C1689" s="13" t="str">
        <f>IFERROR(__xludf.DUMMYFUNCTION("""COMPUTED_VALUE"""),"M.771/SUMBER AGUNG")</f>
        <v>M.771/SUMBER AGUNG</v>
      </c>
      <c r="D1689" s="13" t="str">
        <f>IFERROR(__xludf.DUMMYFUNCTION("""COMPUTED_VALUE"""),"K/22/260325/1")</f>
        <v>K/22/260325/1</v>
      </c>
      <c r="E1689" s="14" t="str">
        <f>IFERROR(__xludf.DUMMYFUNCTION("""COMPUTED_VALUE"""),"Nadian (BT)")</f>
        <v>Nadian (BT)</v>
      </c>
      <c r="F1689" s="14" t="str">
        <f>IFERROR(__xludf.DUMMYFUNCTION("""COMPUTED_VALUE"""),"SELESAI (VIA PERMOHONAN)")</f>
        <v>SELESAI (VIA PERMOHONAN)</v>
      </c>
      <c r="G1689" s="17">
        <f>IFERROR(__xludf.DUMMYFUNCTION("""COMPUTED_VALUE"""),45756.550095694445)</f>
        <v>45756.5501</v>
      </c>
      <c r="H1689" s="14" t="str">
        <f>IFERROR(__xludf.DUMMYFUNCTION("""COMPUTED_VALUE"""),"Bu Eva (SU)")</f>
        <v>Bu Eva (SU)</v>
      </c>
      <c r="I1689" s="13" t="str">
        <f>IFERROR(__xludf.DUMMYFUNCTION("""COMPUTED_VALUE"""),"SELESAI (VIA PERMOHONAN)")</f>
        <v>SELESAI (VIA PERMOHONAN)</v>
      </c>
      <c r="J1689" s="17">
        <f>IFERROR(__xludf.DUMMYFUNCTION("""COMPUTED_VALUE"""),45756.661265636576)</f>
        <v>45756.66127</v>
      </c>
      <c r="K1689" s="13" t="str">
        <f>IFERROR(__xludf.DUMMYFUNCTION("""COMPUTED_VALUE"""),"Selesai")</f>
        <v>Selesai</v>
      </c>
      <c r="L1689" s="17">
        <f>IFERROR(__xludf.DUMMYFUNCTION("""COMPUTED_VALUE"""),45756.661265636576)</f>
        <v>45756.66127</v>
      </c>
      <c r="M1689" s="13"/>
      <c r="N1689" s="13" t="str">
        <f>IFERROR(__xludf.DUMMYFUNCTION("""COMPUTED_VALUE"""),"")</f>
        <v/>
      </c>
      <c r="O1689" s="13" t="str">
        <f t="shared" si="1"/>
        <v/>
      </c>
    </row>
    <row r="1690" ht="22.5" customHeight="1">
      <c r="B1690" s="13">
        <f>IFERROR(__xludf.DUMMYFUNCTION("""COMPUTED_VALUE"""),1685.0)</f>
        <v>1685</v>
      </c>
      <c r="C1690" s="13" t="str">
        <f>IFERROR(__xludf.DUMMYFUNCTION("""COMPUTED_VALUE"""),"B.882/KEMILING PERMAI")</f>
        <v>B.882/KEMILING PERMAI</v>
      </c>
      <c r="D1690" s="13" t="str">
        <f>IFERROR(__xludf.DUMMYFUNCTION("""COMPUTED_VALUE"""),"K/34/170325/1")</f>
        <v>K/34/170325/1</v>
      </c>
      <c r="E1690" s="14" t="str">
        <f>IFERROR(__xludf.DUMMYFUNCTION("""COMPUTED_VALUE"""),"Nadian (BT)")</f>
        <v>Nadian (BT)</v>
      </c>
      <c r="F1690" s="14" t="str">
        <f>IFERROR(__xludf.DUMMYFUNCTION("""COMPUTED_VALUE"""),"SELESAI (VIA PERMOHONAN)")</f>
        <v>SELESAI (VIA PERMOHONAN)</v>
      </c>
      <c r="G1690" s="17">
        <f>IFERROR(__xludf.DUMMYFUNCTION("""COMPUTED_VALUE"""),45756.550095694445)</f>
        <v>45756.5501</v>
      </c>
      <c r="H1690" s="14" t="str">
        <f>IFERROR(__xludf.DUMMYFUNCTION("""COMPUTED_VALUE"""),"Bu Eva (SU)")</f>
        <v>Bu Eva (SU)</v>
      </c>
      <c r="I1690" s="13" t="str">
        <f>IFERROR(__xludf.DUMMYFUNCTION("""COMPUTED_VALUE"""),"SELESAI (VIA PERMOHONAN)")</f>
        <v>SELESAI (VIA PERMOHONAN)</v>
      </c>
      <c r="J1690" s="17">
        <f>IFERROR(__xludf.DUMMYFUNCTION("""COMPUTED_VALUE"""),45756.661265636576)</f>
        <v>45756.66127</v>
      </c>
      <c r="K1690" s="13" t="str">
        <f>IFERROR(__xludf.DUMMYFUNCTION("""COMPUTED_VALUE"""),"Selesai")</f>
        <v>Selesai</v>
      </c>
      <c r="L1690" s="17">
        <f>IFERROR(__xludf.DUMMYFUNCTION("""COMPUTED_VALUE"""),45756.661265636576)</f>
        <v>45756.66127</v>
      </c>
      <c r="M1690" s="13"/>
      <c r="N1690" s="13" t="str">
        <f>IFERROR(__xludf.DUMMYFUNCTION("""COMPUTED_VALUE"""),"")</f>
        <v/>
      </c>
      <c r="O1690" s="13" t="str">
        <f t="shared" si="1"/>
        <v/>
      </c>
    </row>
    <row r="1691" ht="22.5" customHeight="1">
      <c r="B1691" s="13">
        <f>IFERROR(__xludf.DUMMYFUNCTION("""COMPUTED_VALUE"""),1686.0)</f>
        <v>1686</v>
      </c>
      <c r="C1691" s="13" t="str">
        <f>IFERROR(__xludf.DUMMYFUNCTION("""COMPUTED_VALUE"""),"M.914/KORPRI JAYA")</f>
        <v>M.914/KORPRI JAYA</v>
      </c>
      <c r="D1691" s="13" t="str">
        <f>IFERROR(__xludf.DUMMYFUNCTION("""COMPUTED_VALUE"""),"K/24/170325/1")</f>
        <v>K/24/170325/1</v>
      </c>
      <c r="E1691" s="14" t="str">
        <f>IFERROR(__xludf.DUMMYFUNCTION("""COMPUTED_VALUE"""),"Nadian (BT)")</f>
        <v>Nadian (BT)</v>
      </c>
      <c r="F1691" s="14" t="str">
        <f>IFERROR(__xludf.DUMMYFUNCTION("""COMPUTED_VALUE"""),"SELESAI (VIA PERMOHONAN)")</f>
        <v>SELESAI (VIA PERMOHONAN)</v>
      </c>
      <c r="G1691" s="17">
        <f>IFERROR(__xludf.DUMMYFUNCTION("""COMPUTED_VALUE"""),45756.550095694445)</f>
        <v>45756.5501</v>
      </c>
      <c r="H1691" s="14" t="str">
        <f>IFERROR(__xludf.DUMMYFUNCTION("""COMPUTED_VALUE"""),"Bu Eva (SU)")</f>
        <v>Bu Eva (SU)</v>
      </c>
      <c r="I1691" s="13" t="str">
        <f>IFERROR(__xludf.DUMMYFUNCTION("""COMPUTED_VALUE"""),"SELESAI (VIA PERMOHONAN)")</f>
        <v>SELESAI (VIA PERMOHONAN)</v>
      </c>
      <c r="J1691" s="17">
        <f>IFERROR(__xludf.DUMMYFUNCTION("""COMPUTED_VALUE"""),45756.661265636576)</f>
        <v>45756.66127</v>
      </c>
      <c r="K1691" s="13" t="str">
        <f>IFERROR(__xludf.DUMMYFUNCTION("""COMPUTED_VALUE"""),"Selesai")</f>
        <v>Selesai</v>
      </c>
      <c r="L1691" s="17">
        <f>IFERROR(__xludf.DUMMYFUNCTION("""COMPUTED_VALUE"""),45756.661265636576)</f>
        <v>45756.66127</v>
      </c>
      <c r="M1691" s="13"/>
      <c r="N1691" s="13" t="str">
        <f>IFERROR(__xludf.DUMMYFUNCTION("""COMPUTED_VALUE"""),"")</f>
        <v/>
      </c>
      <c r="O1691" s="13" t="str">
        <f t="shared" si="1"/>
        <v/>
      </c>
    </row>
    <row r="1692" ht="22.5" customHeight="1">
      <c r="B1692" s="13">
        <f>IFERROR(__xludf.DUMMYFUNCTION("""COMPUTED_VALUE"""),1687.0)</f>
        <v>1687</v>
      </c>
      <c r="C1692" s="13" t="str">
        <f>IFERROR(__xludf.DUMMYFUNCTION("""COMPUTED_VALUE"""),"B.627/SUMBER AGUNG")</f>
        <v>B.627/SUMBER AGUNG</v>
      </c>
      <c r="D1692" s="13" t="str">
        <f>IFERROR(__xludf.DUMMYFUNCTION("""COMPUTED_VALUE"""),"K/26/210325/1")</f>
        <v>K/26/210325/1</v>
      </c>
      <c r="E1692" s="14" t="str">
        <f>IFERROR(__xludf.DUMMYFUNCTION("""COMPUTED_VALUE"""),"Nadian (BT)")</f>
        <v>Nadian (BT)</v>
      </c>
      <c r="F1692" s="14" t="str">
        <f>IFERROR(__xludf.DUMMYFUNCTION("""COMPUTED_VALUE"""),"SELESAI (VIA PERMOHONAN)")</f>
        <v>SELESAI (VIA PERMOHONAN)</v>
      </c>
      <c r="G1692" s="17">
        <f>IFERROR(__xludf.DUMMYFUNCTION("""COMPUTED_VALUE"""),45756.550095694445)</f>
        <v>45756.5501</v>
      </c>
      <c r="H1692" s="14" t="str">
        <f>IFERROR(__xludf.DUMMYFUNCTION("""COMPUTED_VALUE"""),"Bu Eva (SU)")</f>
        <v>Bu Eva (SU)</v>
      </c>
      <c r="I1692" s="13" t="str">
        <f>IFERROR(__xludf.DUMMYFUNCTION("""COMPUTED_VALUE"""),"SELESAI (VIA PERMOHONAN)")</f>
        <v>SELESAI (VIA PERMOHONAN)</v>
      </c>
      <c r="J1692" s="17">
        <f>IFERROR(__xludf.DUMMYFUNCTION("""COMPUTED_VALUE"""),45756.661265636576)</f>
        <v>45756.66127</v>
      </c>
      <c r="K1692" s="13" t="str">
        <f>IFERROR(__xludf.DUMMYFUNCTION("""COMPUTED_VALUE"""),"Selesai")</f>
        <v>Selesai</v>
      </c>
      <c r="L1692" s="17">
        <f>IFERROR(__xludf.DUMMYFUNCTION("""COMPUTED_VALUE"""),45756.661265636576)</f>
        <v>45756.66127</v>
      </c>
      <c r="M1692" s="13"/>
      <c r="N1692" s="13" t="str">
        <f>IFERROR(__xludf.DUMMYFUNCTION("""COMPUTED_VALUE"""),"")</f>
        <v/>
      </c>
      <c r="O1692" s="13" t="str">
        <f t="shared" si="1"/>
        <v/>
      </c>
    </row>
    <row r="1693" ht="22.5" customHeight="1">
      <c r="B1693" s="13">
        <f>IFERROR(__xludf.DUMMYFUNCTION("""COMPUTED_VALUE"""),1688.0)</f>
        <v>1688</v>
      </c>
      <c r="C1693" s="13" t="str">
        <f>IFERROR(__xludf.DUMMYFUNCTION("""COMPUTED_VALUE"""),"M.1657/BUMI KEDAMAIAN")</f>
        <v>M.1657/BUMI KEDAMAIAN</v>
      </c>
      <c r="D1693" s="13" t="str">
        <f>IFERROR(__xludf.DUMMYFUNCTION("""COMPUTED_VALUE"""),"K/32/210325/1")</f>
        <v>K/32/210325/1</v>
      </c>
      <c r="E1693" s="14" t="str">
        <f>IFERROR(__xludf.DUMMYFUNCTION("""COMPUTED_VALUE"""),"Nadian (BT)")</f>
        <v>Nadian (BT)</v>
      </c>
      <c r="F1693" s="14" t="str">
        <f>IFERROR(__xludf.DUMMYFUNCTION("""COMPUTED_VALUE"""),"SELESAI (VIA PERMOHONAN)")</f>
        <v>SELESAI (VIA PERMOHONAN)</v>
      </c>
      <c r="G1693" s="17">
        <f>IFERROR(__xludf.DUMMYFUNCTION("""COMPUTED_VALUE"""),45756.550095694445)</f>
        <v>45756.5501</v>
      </c>
      <c r="H1693" s="14" t="str">
        <f>IFERROR(__xludf.DUMMYFUNCTION("""COMPUTED_VALUE"""),"Bu Eva (SU)")</f>
        <v>Bu Eva (SU)</v>
      </c>
      <c r="I1693" s="13" t="str">
        <f>IFERROR(__xludf.DUMMYFUNCTION("""COMPUTED_VALUE"""),"SELESAI (VIA PERMOHONAN)")</f>
        <v>SELESAI (VIA PERMOHONAN)</v>
      </c>
      <c r="J1693" s="17">
        <f>IFERROR(__xludf.DUMMYFUNCTION("""COMPUTED_VALUE"""),45756.661265636576)</f>
        <v>45756.66127</v>
      </c>
      <c r="K1693" s="13" t="str">
        <f>IFERROR(__xludf.DUMMYFUNCTION("""COMPUTED_VALUE"""),"Selesai")</f>
        <v>Selesai</v>
      </c>
      <c r="L1693" s="17">
        <f>IFERROR(__xludf.DUMMYFUNCTION("""COMPUTED_VALUE"""),45756.661265636576)</f>
        <v>45756.66127</v>
      </c>
      <c r="M1693" s="13"/>
      <c r="N1693" s="13" t="str">
        <f>IFERROR(__xludf.DUMMYFUNCTION("""COMPUTED_VALUE"""),"")</f>
        <v/>
      </c>
      <c r="O1693" s="13" t="str">
        <f t="shared" si="1"/>
        <v/>
      </c>
    </row>
    <row r="1694" ht="22.5" customHeight="1">
      <c r="B1694" s="13">
        <f>IFERROR(__xludf.DUMMYFUNCTION("""COMPUTED_VALUE"""),1689.0)</f>
        <v>1689</v>
      </c>
      <c r="C1694" s="13" t="str">
        <f>IFERROR(__xludf.DUMMYFUNCTION("""COMPUTED_VALUE"""),"B.298/RAJABASA NUNYAI")</f>
        <v>B.298/RAJABASA NUNYAI</v>
      </c>
      <c r="D1694" s="13" t="str">
        <f>IFERROR(__xludf.DUMMYFUNCTION("""COMPUTED_VALUE"""),"K/12/240325/2")</f>
        <v>K/12/240325/2</v>
      </c>
      <c r="E1694" s="14" t="str">
        <f>IFERROR(__xludf.DUMMYFUNCTION("""COMPUTED_VALUE"""),"Nadian (BT)")</f>
        <v>Nadian (BT)</v>
      </c>
      <c r="F1694" s="14" t="str">
        <f>IFERROR(__xludf.DUMMYFUNCTION("""COMPUTED_VALUE"""),"SELESAI (VIA PERMOHONAN)")</f>
        <v>SELESAI (VIA PERMOHONAN)</v>
      </c>
      <c r="G1694" s="17">
        <f>IFERROR(__xludf.DUMMYFUNCTION("""COMPUTED_VALUE"""),45756.550095694445)</f>
        <v>45756.5501</v>
      </c>
      <c r="H1694" s="14" t="str">
        <f>IFERROR(__xludf.DUMMYFUNCTION("""COMPUTED_VALUE"""),"Bu Eva (SU)")</f>
        <v>Bu Eva (SU)</v>
      </c>
      <c r="I1694" s="13" t="str">
        <f>IFERROR(__xludf.DUMMYFUNCTION("""COMPUTED_VALUE"""),"SELESAI (VIA PERMOHONAN)")</f>
        <v>SELESAI (VIA PERMOHONAN)</v>
      </c>
      <c r="J1694" s="17">
        <f>IFERROR(__xludf.DUMMYFUNCTION("""COMPUTED_VALUE"""),45756.66156783565)</f>
        <v>45756.66157</v>
      </c>
      <c r="K1694" s="13" t="str">
        <f>IFERROR(__xludf.DUMMYFUNCTION("""COMPUTED_VALUE"""),"Selesai")</f>
        <v>Selesai</v>
      </c>
      <c r="L1694" s="17">
        <f>IFERROR(__xludf.DUMMYFUNCTION("""COMPUTED_VALUE"""),45756.66156783565)</f>
        <v>45756.66157</v>
      </c>
      <c r="M1694" s="13"/>
      <c r="N1694" s="13" t="str">
        <f>IFERROR(__xludf.DUMMYFUNCTION("""COMPUTED_VALUE"""),"")</f>
        <v/>
      </c>
      <c r="O1694" s="13" t="str">
        <f t="shared" si="1"/>
        <v/>
      </c>
    </row>
    <row r="1695" ht="22.5" customHeight="1">
      <c r="B1695" s="13">
        <f>IFERROR(__xludf.DUMMYFUNCTION("""COMPUTED_VALUE"""),1690.0)</f>
        <v>1690</v>
      </c>
      <c r="C1695" s="13" t="str">
        <f>IFERROR(__xludf.DUMMYFUNCTION("""COMPUTED_VALUE"""),"M.2678/SUMBER REJO")</f>
        <v>M.2678/SUMBER REJO</v>
      </c>
      <c r="D1695" s="13" t="str">
        <f>IFERROR(__xludf.DUMMYFUNCTION("""COMPUTED_VALUE"""),"K/7/180325/1")</f>
        <v>K/7/180325/1</v>
      </c>
      <c r="E1695" s="14" t="str">
        <f>IFERROR(__xludf.DUMMYFUNCTION("""COMPUTED_VALUE"""),"Nadian (BT)")</f>
        <v>Nadian (BT)</v>
      </c>
      <c r="F1695" s="14" t="str">
        <f>IFERROR(__xludf.DUMMYFUNCTION("""COMPUTED_VALUE"""),"SELESAI (VIA PERMOHONAN)")</f>
        <v>SELESAI (VIA PERMOHONAN)</v>
      </c>
      <c r="G1695" s="17">
        <f>IFERROR(__xludf.DUMMYFUNCTION("""COMPUTED_VALUE"""),45756.550095694445)</f>
        <v>45756.5501</v>
      </c>
      <c r="H1695" s="14" t="str">
        <f>IFERROR(__xludf.DUMMYFUNCTION("""COMPUTED_VALUE"""),"Bu Eva (SU)")</f>
        <v>Bu Eva (SU)</v>
      </c>
      <c r="I1695" s="13" t="str">
        <f>IFERROR(__xludf.DUMMYFUNCTION("""COMPUTED_VALUE"""),"SELESAI (VIA PERMOHONAN)")</f>
        <v>SELESAI (VIA PERMOHONAN)</v>
      </c>
      <c r="J1695" s="17">
        <f>IFERROR(__xludf.DUMMYFUNCTION("""COMPUTED_VALUE"""),45756.66156783565)</f>
        <v>45756.66157</v>
      </c>
      <c r="K1695" s="13" t="str">
        <f>IFERROR(__xludf.DUMMYFUNCTION("""COMPUTED_VALUE"""),"Selesai")</f>
        <v>Selesai</v>
      </c>
      <c r="L1695" s="17">
        <f>IFERROR(__xludf.DUMMYFUNCTION("""COMPUTED_VALUE"""),45756.66156783565)</f>
        <v>45756.66157</v>
      </c>
      <c r="M1695" s="13"/>
      <c r="N1695" s="13" t="str">
        <f>IFERROR(__xludf.DUMMYFUNCTION("""COMPUTED_VALUE"""),"")</f>
        <v/>
      </c>
      <c r="O1695" s="13" t="str">
        <f t="shared" si="1"/>
        <v/>
      </c>
    </row>
    <row r="1696" ht="22.5" customHeight="1">
      <c r="B1696" s="13">
        <f>IFERROR(__xludf.DUMMYFUNCTION("""COMPUTED_VALUE"""),1691.0)</f>
        <v>1691</v>
      </c>
      <c r="C1696" s="13" t="str">
        <f>IFERROR(__xludf.DUMMYFUNCTION("""COMPUTED_VALUE"""),"M.3948/SUKADANA HAM")</f>
        <v>M.3948/SUKADANA HAM</v>
      </c>
      <c r="D1696" s="13" t="str">
        <f>IFERROR(__xludf.DUMMYFUNCTION("""COMPUTED_VALUE"""),"K/13/170325/1")</f>
        <v>K/13/170325/1</v>
      </c>
      <c r="E1696" s="14" t="str">
        <f>IFERROR(__xludf.DUMMYFUNCTION("""COMPUTED_VALUE"""),"Nadian (BT)")</f>
        <v>Nadian (BT)</v>
      </c>
      <c r="F1696" s="14" t="str">
        <f>IFERROR(__xludf.DUMMYFUNCTION("""COMPUTED_VALUE"""),"SELESAI (VIA PERMOHONAN)")</f>
        <v>SELESAI (VIA PERMOHONAN)</v>
      </c>
      <c r="G1696" s="17">
        <f>IFERROR(__xludf.DUMMYFUNCTION("""COMPUTED_VALUE"""),45756.550095694445)</f>
        <v>45756.5501</v>
      </c>
      <c r="H1696" s="14" t="str">
        <f>IFERROR(__xludf.DUMMYFUNCTION("""COMPUTED_VALUE"""),"Bu Eva (SU)")</f>
        <v>Bu Eva (SU)</v>
      </c>
      <c r="I1696" s="13" t="str">
        <f>IFERROR(__xludf.DUMMYFUNCTION("""COMPUTED_VALUE"""),"SELESAI (VIA PERMOHONAN)")</f>
        <v>SELESAI (VIA PERMOHONAN)</v>
      </c>
      <c r="J1696" s="17">
        <f>IFERROR(__xludf.DUMMYFUNCTION("""COMPUTED_VALUE"""),45756.66156783565)</f>
        <v>45756.66157</v>
      </c>
      <c r="K1696" s="13" t="str">
        <f>IFERROR(__xludf.DUMMYFUNCTION("""COMPUTED_VALUE"""),"Selesai")</f>
        <v>Selesai</v>
      </c>
      <c r="L1696" s="17">
        <f>IFERROR(__xludf.DUMMYFUNCTION("""COMPUTED_VALUE"""),45756.66156783565)</f>
        <v>45756.66157</v>
      </c>
      <c r="M1696" s="13"/>
      <c r="N1696" s="13" t="str">
        <f>IFERROR(__xludf.DUMMYFUNCTION("""COMPUTED_VALUE"""),"")</f>
        <v/>
      </c>
      <c r="O1696" s="13" t="str">
        <f t="shared" si="1"/>
        <v/>
      </c>
    </row>
    <row r="1697" ht="22.5" customHeight="1">
      <c r="B1697" s="13">
        <f>IFERROR(__xludf.DUMMYFUNCTION("""COMPUTED_VALUE"""),1692.0)</f>
        <v>1692</v>
      </c>
      <c r="C1697" s="13" t="str">
        <f>IFERROR(__xludf.DUMMYFUNCTION("""COMPUTED_VALUE"""),"M. 2570/SUKARAME II")</f>
        <v>M. 2570/SUKARAME II</v>
      </c>
      <c r="D1697" s="13" t="str">
        <f>IFERROR(__xludf.DUMMYFUNCTION("""COMPUTED_VALUE"""),"K/4/110325/1")</f>
        <v>K/4/110325/1</v>
      </c>
      <c r="E1697" s="14" t="str">
        <f>IFERROR(__xludf.DUMMYFUNCTION("""COMPUTED_VALUE"""),"Nadian (BT)")</f>
        <v>Nadian (BT)</v>
      </c>
      <c r="F1697" s="14" t="str">
        <f>IFERROR(__xludf.DUMMYFUNCTION("""COMPUTED_VALUE"""),"SELESAI (VIA PERMOHONAN)")</f>
        <v>SELESAI (VIA PERMOHONAN)</v>
      </c>
      <c r="G1697" s="17">
        <f>IFERROR(__xludf.DUMMYFUNCTION("""COMPUTED_VALUE"""),45756.550095694445)</f>
        <v>45756.5501</v>
      </c>
      <c r="H1697" s="14" t="str">
        <f>IFERROR(__xludf.DUMMYFUNCTION("""COMPUTED_VALUE"""),"Bu Eva (SU)")</f>
        <v>Bu Eva (SU)</v>
      </c>
      <c r="I1697" s="13" t="str">
        <f>IFERROR(__xludf.DUMMYFUNCTION("""COMPUTED_VALUE"""),"SELESAI (VIA PERMOHONAN)")</f>
        <v>SELESAI (VIA PERMOHONAN)</v>
      </c>
      <c r="J1697" s="17">
        <f>IFERROR(__xludf.DUMMYFUNCTION("""COMPUTED_VALUE"""),45756.661603472225)</f>
        <v>45756.6616</v>
      </c>
      <c r="K1697" s="13" t="str">
        <f>IFERROR(__xludf.DUMMYFUNCTION("""COMPUTED_VALUE"""),"Selesai")</f>
        <v>Selesai</v>
      </c>
      <c r="L1697" s="17">
        <f>IFERROR(__xludf.DUMMYFUNCTION("""COMPUTED_VALUE"""),45756.661603472225)</f>
        <v>45756.6616</v>
      </c>
      <c r="M1697" s="13"/>
      <c r="N1697" s="13" t="str">
        <f>IFERROR(__xludf.DUMMYFUNCTION("""COMPUTED_VALUE"""),"")</f>
        <v/>
      </c>
      <c r="O1697" s="13" t="str">
        <f t="shared" si="1"/>
        <v/>
      </c>
    </row>
    <row r="1698" ht="22.5" customHeight="1">
      <c r="B1698" s="13">
        <f>IFERROR(__xludf.DUMMYFUNCTION("""COMPUTED_VALUE"""),1693.0)</f>
        <v>1693</v>
      </c>
      <c r="C1698" s="13" t="str">
        <f>IFERROR(__xludf.DUMMYFUNCTION("""COMPUTED_VALUE"""),"M.16819/SUKARAME")</f>
        <v>M.16819/SUKARAME</v>
      </c>
      <c r="D1698" s="13" t="str">
        <f>IFERROR(__xludf.DUMMYFUNCTION("""COMPUTED_VALUE"""),"K/14/170325/2")</f>
        <v>K/14/170325/2</v>
      </c>
      <c r="E1698" s="14" t="str">
        <f>IFERROR(__xludf.DUMMYFUNCTION("""COMPUTED_VALUE"""),"Nadian (BT)")</f>
        <v>Nadian (BT)</v>
      </c>
      <c r="F1698" s="14" t="str">
        <f>IFERROR(__xludf.DUMMYFUNCTION("""COMPUTED_VALUE"""),"SELESAI (VIA PERMOHONAN)")</f>
        <v>SELESAI (VIA PERMOHONAN)</v>
      </c>
      <c r="G1698" s="17">
        <f>IFERROR(__xludf.DUMMYFUNCTION("""COMPUTED_VALUE"""),45756.550095694445)</f>
        <v>45756.5501</v>
      </c>
      <c r="H1698" s="14" t="str">
        <f>IFERROR(__xludf.DUMMYFUNCTION("""COMPUTED_VALUE"""),"Bu Eva (SU)")</f>
        <v>Bu Eva (SU)</v>
      </c>
      <c r="I1698" s="13" t="str">
        <f>IFERROR(__xludf.DUMMYFUNCTION("""COMPUTED_VALUE"""),"SELESAI (VIA PERMOHONAN)")</f>
        <v>SELESAI (VIA PERMOHONAN)</v>
      </c>
      <c r="J1698" s="17">
        <f>IFERROR(__xludf.DUMMYFUNCTION("""COMPUTED_VALUE"""),45756.661603472225)</f>
        <v>45756.6616</v>
      </c>
      <c r="K1698" s="13" t="str">
        <f>IFERROR(__xludf.DUMMYFUNCTION("""COMPUTED_VALUE"""),"Selesai")</f>
        <v>Selesai</v>
      </c>
      <c r="L1698" s="17">
        <f>IFERROR(__xludf.DUMMYFUNCTION("""COMPUTED_VALUE"""),45756.661603472225)</f>
        <v>45756.6616</v>
      </c>
      <c r="M1698" s="13"/>
      <c r="N1698" s="13" t="str">
        <f>IFERROR(__xludf.DUMMYFUNCTION("""COMPUTED_VALUE"""),"")</f>
        <v/>
      </c>
      <c r="O1698" s="13" t="str">
        <f t="shared" si="1"/>
        <v/>
      </c>
    </row>
    <row r="1699" ht="22.5" customHeight="1">
      <c r="B1699" s="13">
        <f>IFERROR(__xludf.DUMMYFUNCTION("""COMPUTED_VALUE"""),1694.0)</f>
        <v>1694</v>
      </c>
      <c r="C1699" s="13" t="str">
        <f>IFERROR(__xludf.DUMMYFUNCTION("""COMPUTED_VALUE"""),"-HM 9369/GEDONG MENENG")</f>
        <v>-HM 9369/GEDONG MENENG</v>
      </c>
      <c r="D1699" s="13" t="str">
        <f>IFERROR(__xludf.DUMMYFUNCTION("""COMPUTED_VALUE"""),"L/25/190325/1")</f>
        <v>L/25/190325/1</v>
      </c>
      <c r="E1699" s="14" t="str">
        <f>IFERROR(__xludf.DUMMYFUNCTION("""COMPUTED_VALUE"""),"Afriza (BT)")</f>
        <v>Afriza (BT)</v>
      </c>
      <c r="F1699" s="14" t="str">
        <f>IFERROR(__xludf.DUMMYFUNCTION("""COMPUTED_VALUE"""),"SELESAI (VIA PERMOHONAN)")</f>
        <v>SELESAI (VIA PERMOHONAN)</v>
      </c>
      <c r="G1699" s="17">
        <f>IFERROR(__xludf.DUMMYFUNCTION("""COMPUTED_VALUE"""),45757.475437534726)</f>
        <v>45757.47544</v>
      </c>
      <c r="H1699" s="14" t="str">
        <f>IFERROR(__xludf.DUMMYFUNCTION("""COMPUTED_VALUE"""),"Bu Eva (SU)")</f>
        <v>Bu Eva (SU)</v>
      </c>
      <c r="I1699" s="13" t="str">
        <f>IFERROR(__xludf.DUMMYFUNCTION("""COMPUTED_VALUE"""),"SELESAI (VIA PERMOHONAN)")</f>
        <v>SELESAI (VIA PERMOHONAN)</v>
      </c>
      <c r="J1699" s="17">
        <f>IFERROR(__xludf.DUMMYFUNCTION("""COMPUTED_VALUE"""),45757.63316909722)</f>
        <v>45757.63317</v>
      </c>
      <c r="K1699" s="13" t="str">
        <f>IFERROR(__xludf.DUMMYFUNCTION("""COMPUTED_VALUE"""),"Selesai")</f>
        <v>Selesai</v>
      </c>
      <c r="L1699" s="17">
        <f>IFERROR(__xludf.DUMMYFUNCTION("""COMPUTED_VALUE"""),45757.63316909722)</f>
        <v>45757.63317</v>
      </c>
      <c r="M1699" s="13"/>
      <c r="N1699" s="13" t="str">
        <f>IFERROR(__xludf.DUMMYFUNCTION("""COMPUTED_VALUE"""),"")</f>
        <v/>
      </c>
      <c r="O1699" s="13" t="str">
        <f t="shared" si="1"/>
        <v/>
      </c>
    </row>
    <row r="1700" ht="22.5" customHeight="1">
      <c r="B1700" s="13">
        <f>IFERROR(__xludf.DUMMYFUNCTION("""COMPUTED_VALUE"""),1695.0)</f>
        <v>1695</v>
      </c>
      <c r="C1700" s="13" t="str">
        <f>IFERROR(__xludf.DUMMYFUNCTION("""COMPUTED_VALUE"""),"B. 2566/ Sukarame I")</f>
        <v>B. 2566/ Sukarame I</v>
      </c>
      <c r="D1700" s="13" t="str">
        <f>IFERROR(__xludf.DUMMYFUNCTION("""COMPUTED_VALUE"""),"K/2/180325/1")</f>
        <v>K/2/180325/1</v>
      </c>
      <c r="E1700" s="14" t="str">
        <f>IFERROR(__xludf.DUMMYFUNCTION("""COMPUTED_VALUE"""),"Afriza (BT)")</f>
        <v>Afriza (BT)</v>
      </c>
      <c r="F1700" s="14" t="str">
        <f>IFERROR(__xludf.DUMMYFUNCTION("""COMPUTED_VALUE"""),"SELESAI (VIA PERMOHONAN)")</f>
        <v>SELESAI (VIA PERMOHONAN)</v>
      </c>
      <c r="G1700" s="17">
        <f>IFERROR(__xludf.DUMMYFUNCTION("""COMPUTED_VALUE"""),45757.47561523148)</f>
        <v>45757.47562</v>
      </c>
      <c r="H1700" s="14" t="str">
        <f>IFERROR(__xludf.DUMMYFUNCTION("""COMPUTED_VALUE"""),"Bu Eva (SU)")</f>
        <v>Bu Eva (SU)</v>
      </c>
      <c r="I1700" s="13" t="str">
        <f>IFERROR(__xludf.DUMMYFUNCTION("""COMPUTED_VALUE"""),"SELESAI (VIA PERMOHONAN)")</f>
        <v>SELESAI (VIA PERMOHONAN)</v>
      </c>
      <c r="J1700" s="17">
        <f>IFERROR(__xludf.DUMMYFUNCTION("""COMPUTED_VALUE"""),45757.63316909722)</f>
        <v>45757.63317</v>
      </c>
      <c r="K1700" s="13" t="str">
        <f>IFERROR(__xludf.DUMMYFUNCTION("""COMPUTED_VALUE"""),"Selesai")</f>
        <v>Selesai</v>
      </c>
      <c r="L1700" s="17">
        <f>IFERROR(__xludf.DUMMYFUNCTION("""COMPUTED_VALUE"""),45757.63316909722)</f>
        <v>45757.63317</v>
      </c>
      <c r="M1700" s="13"/>
      <c r="N1700" s="13" t="str">
        <f>IFERROR(__xludf.DUMMYFUNCTION("""COMPUTED_VALUE"""),"")</f>
        <v/>
      </c>
      <c r="O1700" s="13" t="str">
        <f t="shared" si="1"/>
        <v/>
      </c>
    </row>
    <row r="1701" ht="22.5" customHeight="1">
      <c r="B1701" s="13">
        <f>IFERROR(__xludf.DUMMYFUNCTION("""COMPUTED_VALUE"""),1696.0)</f>
        <v>1696</v>
      </c>
      <c r="C1701" s="13" t="str">
        <f>IFERROR(__xludf.DUMMYFUNCTION("""COMPUTED_VALUE"""),"B. 701/ Sumber Agung")</f>
        <v>B. 701/ Sumber Agung</v>
      </c>
      <c r="D1701" s="13" t="str">
        <f>IFERROR(__xludf.DUMMYFUNCTION("""COMPUTED_VALUE"""),"K/2/110325/2")</f>
        <v>K/2/110325/2</v>
      </c>
      <c r="E1701" s="14" t="str">
        <f>IFERROR(__xludf.DUMMYFUNCTION("""COMPUTED_VALUE"""),"Afriza (BT)")</f>
        <v>Afriza (BT)</v>
      </c>
      <c r="F1701" s="14" t="str">
        <f>IFERROR(__xludf.DUMMYFUNCTION("""COMPUTED_VALUE"""),"SELESAI (VIA PERMOHONAN)")</f>
        <v>SELESAI (VIA PERMOHONAN)</v>
      </c>
      <c r="G1701" s="17">
        <f>IFERROR(__xludf.DUMMYFUNCTION("""COMPUTED_VALUE"""),45757.475715277775)</f>
        <v>45757.47572</v>
      </c>
      <c r="H1701" s="14" t="str">
        <f>IFERROR(__xludf.DUMMYFUNCTION("""COMPUTED_VALUE"""),"Bu Eva (SU)")</f>
        <v>Bu Eva (SU)</v>
      </c>
      <c r="I1701" s="13" t="str">
        <f>IFERROR(__xludf.DUMMYFUNCTION("""COMPUTED_VALUE"""),"SELESAI (VIA PERMOHONAN)")</f>
        <v>SELESAI (VIA PERMOHONAN)</v>
      </c>
      <c r="J1701" s="17">
        <f>IFERROR(__xludf.DUMMYFUNCTION("""COMPUTED_VALUE"""),45757.63316909722)</f>
        <v>45757.63317</v>
      </c>
      <c r="K1701" s="13" t="str">
        <f>IFERROR(__xludf.DUMMYFUNCTION("""COMPUTED_VALUE"""),"Selesai")</f>
        <v>Selesai</v>
      </c>
      <c r="L1701" s="17">
        <f>IFERROR(__xludf.DUMMYFUNCTION("""COMPUTED_VALUE"""),45757.63316909722)</f>
        <v>45757.63317</v>
      </c>
      <c r="M1701" s="13"/>
      <c r="N1701" s="13" t="str">
        <f>IFERROR(__xludf.DUMMYFUNCTION("""COMPUTED_VALUE"""),"")</f>
        <v/>
      </c>
      <c r="O1701" s="13" t="str">
        <f t="shared" si="1"/>
        <v/>
      </c>
    </row>
    <row r="1702" ht="22.5" customHeight="1">
      <c r="B1702" s="13">
        <f>IFERROR(__xludf.DUMMYFUNCTION("""COMPUTED_VALUE"""),1697.0)</f>
        <v>1697</v>
      </c>
      <c r="C1702" s="13" t="str">
        <f>IFERROR(__xludf.DUMMYFUNCTION("""COMPUTED_VALUE"""),"HGB 1363/PINANG JAYA")</f>
        <v>HGB 1363/PINANG JAYA</v>
      </c>
      <c r="D1702" s="13" t="str">
        <f>IFERROR(__xludf.DUMMYFUNCTION("""COMPUTED_VALUE"""),"L/19/170325/1")</f>
        <v>L/19/170325/1</v>
      </c>
      <c r="E1702" s="14" t="str">
        <f>IFERROR(__xludf.DUMMYFUNCTION("""COMPUTED_VALUE"""),"Afriza (BT)")</f>
        <v>Afriza (BT)</v>
      </c>
      <c r="F1702" s="14" t="str">
        <f>IFERROR(__xludf.DUMMYFUNCTION("""COMPUTED_VALUE"""),"SELESAI (VIA PERMOHONAN)")</f>
        <v>SELESAI (VIA PERMOHONAN)</v>
      </c>
      <c r="G1702" s="17">
        <f>IFERROR(__xludf.DUMMYFUNCTION("""COMPUTED_VALUE"""),45757.475847002315)</f>
        <v>45757.47585</v>
      </c>
      <c r="H1702" s="14" t="str">
        <f>IFERROR(__xludf.DUMMYFUNCTION("""COMPUTED_VALUE"""),"Bu Eva (SU)")</f>
        <v>Bu Eva (SU)</v>
      </c>
      <c r="I1702" s="13" t="str">
        <f>IFERROR(__xludf.DUMMYFUNCTION("""COMPUTED_VALUE"""),"SELESAI (VIA PERMOHONAN)")</f>
        <v>SELESAI (VIA PERMOHONAN)</v>
      </c>
      <c r="J1702" s="17">
        <f>IFERROR(__xludf.DUMMYFUNCTION("""COMPUTED_VALUE"""),45757.63316909722)</f>
        <v>45757.63317</v>
      </c>
      <c r="K1702" s="13" t="str">
        <f>IFERROR(__xludf.DUMMYFUNCTION("""COMPUTED_VALUE"""),"Selesai")</f>
        <v>Selesai</v>
      </c>
      <c r="L1702" s="17">
        <f>IFERROR(__xludf.DUMMYFUNCTION("""COMPUTED_VALUE"""),45757.63316909722)</f>
        <v>45757.63317</v>
      </c>
      <c r="M1702" s="13"/>
      <c r="N1702" s="13" t="str">
        <f>IFERROR(__xludf.DUMMYFUNCTION("""COMPUTED_VALUE"""),"")</f>
        <v/>
      </c>
      <c r="O1702" s="13" t="str">
        <f t="shared" si="1"/>
        <v/>
      </c>
    </row>
    <row r="1703" ht="22.5" customHeight="1">
      <c r="B1703" s="13">
        <f>IFERROR(__xludf.DUMMYFUNCTION("""COMPUTED_VALUE"""),1698.0)</f>
        <v>1698</v>
      </c>
      <c r="C1703" s="13" t="str">
        <f>IFERROR(__xludf.DUMMYFUNCTION("""COMPUTED_VALUE"""),"M. 11141/ Sukabumi (3 SHT)")</f>
        <v>M. 11141/ Sukabumi (3 SHT)</v>
      </c>
      <c r="D1703" s="13" t="str">
        <f>IFERROR(__xludf.DUMMYFUNCTION("""COMPUTED_VALUE"""),"K/31/240325/1")</f>
        <v>K/31/240325/1</v>
      </c>
      <c r="E1703" s="14" t="str">
        <f>IFERROR(__xludf.DUMMYFUNCTION("""COMPUTED_VALUE"""),"Afriza (BT)")</f>
        <v>Afriza (BT)</v>
      </c>
      <c r="F1703" s="14" t="str">
        <f>IFERROR(__xludf.DUMMYFUNCTION("""COMPUTED_VALUE"""),"SELESAI (VIA PERMOHONAN)")</f>
        <v>SELESAI (VIA PERMOHONAN)</v>
      </c>
      <c r="G1703" s="17">
        <f>IFERROR(__xludf.DUMMYFUNCTION("""COMPUTED_VALUE"""),45757.475930659726)</f>
        <v>45757.47593</v>
      </c>
      <c r="H1703" s="14" t="str">
        <f>IFERROR(__xludf.DUMMYFUNCTION("""COMPUTED_VALUE"""),"Bu Eva (SU)")</f>
        <v>Bu Eva (SU)</v>
      </c>
      <c r="I1703" s="13" t="str">
        <f>IFERROR(__xludf.DUMMYFUNCTION("""COMPUTED_VALUE"""),"SELESAI (VIA PERMOHONAN)")</f>
        <v>SELESAI (VIA PERMOHONAN)</v>
      </c>
      <c r="J1703" s="17">
        <f>IFERROR(__xludf.DUMMYFUNCTION("""COMPUTED_VALUE"""),45757.6331691088)</f>
        <v>45757.63317</v>
      </c>
      <c r="K1703" s="13" t="str">
        <f>IFERROR(__xludf.DUMMYFUNCTION("""COMPUTED_VALUE"""),"Selesai")</f>
        <v>Selesai</v>
      </c>
      <c r="L1703" s="17">
        <f>IFERROR(__xludf.DUMMYFUNCTION("""COMPUTED_VALUE"""),45757.6331691088)</f>
        <v>45757.63317</v>
      </c>
      <c r="M1703" s="13"/>
      <c r="N1703" s="13" t="str">
        <f>IFERROR(__xludf.DUMMYFUNCTION("""COMPUTED_VALUE"""),"")</f>
        <v/>
      </c>
      <c r="O1703" s="13" t="str">
        <f t="shared" si="1"/>
        <v/>
      </c>
    </row>
    <row r="1704" ht="22.5" customHeight="1">
      <c r="B1704" s="13">
        <f>IFERROR(__xludf.DUMMYFUNCTION("""COMPUTED_VALUE"""),1699.0)</f>
        <v>1699</v>
      </c>
      <c r="C1704" s="13" t="str">
        <f>IFERROR(__xludf.DUMMYFUNCTION("""COMPUTED_VALUE"""),"M. 121/ Campang Raya")</f>
        <v>M. 121/ Campang Raya</v>
      </c>
      <c r="D1704" s="13" t="str">
        <f>IFERROR(__xludf.DUMMYFUNCTION("""COMPUTED_VALUE"""),"K/17/200325/2")</f>
        <v>K/17/200325/2</v>
      </c>
      <c r="E1704" s="14" t="str">
        <f>IFERROR(__xludf.DUMMYFUNCTION("""COMPUTED_VALUE"""),"Afriza (BT)")</f>
        <v>Afriza (BT)</v>
      </c>
      <c r="F1704" s="14" t="str">
        <f>IFERROR(__xludf.DUMMYFUNCTION("""COMPUTED_VALUE"""),"SELESAI (VIA PERMOHONAN)")</f>
        <v>SELESAI (VIA PERMOHONAN)</v>
      </c>
      <c r="G1704" s="17">
        <f>IFERROR(__xludf.DUMMYFUNCTION("""COMPUTED_VALUE"""),45757.47608619213)</f>
        <v>45757.47609</v>
      </c>
      <c r="H1704" s="14" t="str">
        <f>IFERROR(__xludf.DUMMYFUNCTION("""COMPUTED_VALUE"""),"Bu Eva (SU)")</f>
        <v>Bu Eva (SU)</v>
      </c>
      <c r="I1704" s="13" t="str">
        <f>IFERROR(__xludf.DUMMYFUNCTION("""COMPUTED_VALUE"""),"SELESAI (VIA PERMOHONAN)")</f>
        <v>SELESAI (VIA PERMOHONAN)</v>
      </c>
      <c r="J1704" s="17">
        <f>IFERROR(__xludf.DUMMYFUNCTION("""COMPUTED_VALUE"""),45757.6331691088)</f>
        <v>45757.63317</v>
      </c>
      <c r="K1704" s="13" t="str">
        <f>IFERROR(__xludf.DUMMYFUNCTION("""COMPUTED_VALUE"""),"Selesai")</f>
        <v>Selesai</v>
      </c>
      <c r="L1704" s="17">
        <f>IFERROR(__xludf.DUMMYFUNCTION("""COMPUTED_VALUE"""),45757.6331691088)</f>
        <v>45757.63317</v>
      </c>
      <c r="M1704" s="13"/>
      <c r="N1704" s="13" t="str">
        <f>IFERROR(__xludf.DUMMYFUNCTION("""COMPUTED_VALUE"""),"")</f>
        <v/>
      </c>
      <c r="O1704" s="13" t="str">
        <f t="shared" si="1"/>
        <v/>
      </c>
    </row>
    <row r="1705" ht="22.5" customHeight="1">
      <c r="B1705" s="13">
        <f>IFERROR(__xludf.DUMMYFUNCTION("""COMPUTED_VALUE"""),1700.0)</f>
        <v>1700</v>
      </c>
      <c r="C1705" s="13" t="str">
        <f>IFERROR(__xludf.DUMMYFUNCTION("""COMPUTED_VALUE"""),"M. 4214/ Gunung Terang")</f>
        <v>M. 4214/ Gunung Terang</v>
      </c>
      <c r="D1705" s="13" t="str">
        <f>IFERROR(__xludf.DUMMYFUNCTION("""COMPUTED_VALUE"""),"K/42/240325/1")</f>
        <v>K/42/240325/1</v>
      </c>
      <c r="E1705" s="14" t="str">
        <f>IFERROR(__xludf.DUMMYFUNCTION("""COMPUTED_VALUE"""),"Afriza (BT)")</f>
        <v>Afriza (BT)</v>
      </c>
      <c r="F1705" s="14" t="str">
        <f>IFERROR(__xludf.DUMMYFUNCTION("""COMPUTED_VALUE"""),"SELESAI (VIA PERMOHONAN)")</f>
        <v>SELESAI (VIA PERMOHONAN)</v>
      </c>
      <c r="G1705" s="17">
        <f>IFERROR(__xludf.DUMMYFUNCTION("""COMPUTED_VALUE"""),45757.47626976852)</f>
        <v>45757.47627</v>
      </c>
      <c r="H1705" s="14" t="str">
        <f>IFERROR(__xludf.DUMMYFUNCTION("""COMPUTED_VALUE"""),"Bu Eva (SU)")</f>
        <v>Bu Eva (SU)</v>
      </c>
      <c r="I1705" s="13" t="str">
        <f>IFERROR(__xludf.DUMMYFUNCTION("""COMPUTED_VALUE"""),"SELESAI (VIA PERMOHONAN)")</f>
        <v>SELESAI (VIA PERMOHONAN)</v>
      </c>
      <c r="J1705" s="17">
        <f>IFERROR(__xludf.DUMMYFUNCTION("""COMPUTED_VALUE"""),45757.6331691088)</f>
        <v>45757.63317</v>
      </c>
      <c r="K1705" s="13" t="str">
        <f>IFERROR(__xludf.DUMMYFUNCTION("""COMPUTED_VALUE"""),"Selesai")</f>
        <v>Selesai</v>
      </c>
      <c r="L1705" s="17">
        <f>IFERROR(__xludf.DUMMYFUNCTION("""COMPUTED_VALUE"""),45757.6331691088)</f>
        <v>45757.63317</v>
      </c>
      <c r="M1705" s="13"/>
      <c r="N1705" s="13" t="str">
        <f>IFERROR(__xludf.DUMMYFUNCTION("""COMPUTED_VALUE"""),"")</f>
        <v/>
      </c>
      <c r="O1705" s="13" t="str">
        <f t="shared" si="1"/>
        <v/>
      </c>
    </row>
    <row r="1706" ht="22.5" customHeight="1">
      <c r="B1706" s="13">
        <f>IFERROR(__xludf.DUMMYFUNCTION("""COMPUTED_VALUE"""),1701.0)</f>
        <v>1701</v>
      </c>
      <c r="C1706" s="13" t="str">
        <f>IFERROR(__xludf.DUMMYFUNCTION("""COMPUTED_VALUE"""),"M. 1172/ Srengsem")</f>
        <v>M. 1172/ Srengsem</v>
      </c>
      <c r="D1706" s="13" t="str">
        <f>IFERROR(__xludf.DUMMYFUNCTION("""COMPUTED_VALUE"""),"K/24/210225/1")</f>
        <v>K/24/210225/1</v>
      </c>
      <c r="E1706" s="14" t="str">
        <f>IFERROR(__xludf.DUMMYFUNCTION("""COMPUTED_VALUE"""),"Afriza (BT)")</f>
        <v>Afriza (BT)</v>
      </c>
      <c r="F1706" s="14" t="str">
        <f>IFERROR(__xludf.DUMMYFUNCTION("""COMPUTED_VALUE"""),"SELESAI (VIA PERMOHONAN)")</f>
        <v>SELESAI (VIA PERMOHONAN)</v>
      </c>
      <c r="G1706" s="17">
        <f>IFERROR(__xludf.DUMMYFUNCTION("""COMPUTED_VALUE"""),45757.476376562496)</f>
        <v>45757.47638</v>
      </c>
      <c r="H1706" s="14" t="str">
        <f>IFERROR(__xludf.DUMMYFUNCTION("""COMPUTED_VALUE"""),"Bu Eva (SU)")</f>
        <v>Bu Eva (SU)</v>
      </c>
      <c r="I1706" s="13" t="str">
        <f>IFERROR(__xludf.DUMMYFUNCTION("""COMPUTED_VALUE"""),"SELESAI (VIA PERMOHONAN)")</f>
        <v>SELESAI (VIA PERMOHONAN)</v>
      </c>
      <c r="J1706" s="17">
        <f>IFERROR(__xludf.DUMMYFUNCTION("""COMPUTED_VALUE"""),45757.6331691088)</f>
        <v>45757.63317</v>
      </c>
      <c r="K1706" s="13" t="str">
        <f>IFERROR(__xludf.DUMMYFUNCTION("""COMPUTED_VALUE"""),"Selesai")</f>
        <v>Selesai</v>
      </c>
      <c r="L1706" s="17">
        <f>IFERROR(__xludf.DUMMYFUNCTION("""COMPUTED_VALUE"""),45757.6331691088)</f>
        <v>45757.63317</v>
      </c>
      <c r="M1706" s="13"/>
      <c r="N1706" s="13" t="str">
        <f>IFERROR(__xludf.DUMMYFUNCTION("""COMPUTED_VALUE"""),"")</f>
        <v/>
      </c>
      <c r="O1706" s="13" t="str">
        <f t="shared" si="1"/>
        <v/>
      </c>
    </row>
    <row r="1707" ht="22.5" customHeight="1">
      <c r="B1707" s="13">
        <f>IFERROR(__xludf.DUMMYFUNCTION("""COMPUTED_VALUE"""),1702.0)</f>
        <v>1702</v>
      </c>
      <c r="C1707" s="13" t="str">
        <f>IFERROR(__xludf.DUMMYFUNCTION("""COMPUTED_VALUE"""),"HM 976/PENGAJARAN")</f>
        <v>HM 976/PENGAJARAN</v>
      </c>
      <c r="D1707" s="13" t="str">
        <f>IFERROR(__xludf.DUMMYFUNCTION("""COMPUTED_VALUE"""),"L/24/190325/2")</f>
        <v>L/24/190325/2</v>
      </c>
      <c r="E1707" s="14" t="str">
        <f>IFERROR(__xludf.DUMMYFUNCTION("""COMPUTED_VALUE"""),"Nadian (BT)")</f>
        <v>Nadian (BT)</v>
      </c>
      <c r="F1707" s="14" t="str">
        <f>IFERROR(__xludf.DUMMYFUNCTION("""COMPUTED_VALUE"""),"SELESAI (VIA PERMOHONAN)")</f>
        <v>SELESAI (VIA PERMOHONAN)</v>
      </c>
      <c r="G1707" s="17">
        <f>IFERROR(__xludf.DUMMYFUNCTION("""COMPUTED_VALUE"""),45758.583661296296)</f>
        <v>45758.58366</v>
      </c>
      <c r="H1707" s="14" t="str">
        <f>IFERROR(__xludf.DUMMYFUNCTION("""COMPUTED_VALUE"""),"Bu Eva (SU)")</f>
        <v>Bu Eva (SU)</v>
      </c>
      <c r="I1707" s="13" t="str">
        <f>IFERROR(__xludf.DUMMYFUNCTION("""COMPUTED_VALUE"""),"SELESAI (VIA PERMOHONAN)")</f>
        <v>SELESAI (VIA PERMOHONAN)</v>
      </c>
      <c r="J1707" s="17">
        <f>IFERROR(__xludf.DUMMYFUNCTION("""COMPUTED_VALUE"""),45758.61954143518)</f>
        <v>45758.61954</v>
      </c>
      <c r="K1707" s="13" t="str">
        <f>IFERROR(__xludf.DUMMYFUNCTION("""COMPUTED_VALUE"""),"Selesai")</f>
        <v>Selesai</v>
      </c>
      <c r="L1707" s="17">
        <f>IFERROR(__xludf.DUMMYFUNCTION("""COMPUTED_VALUE"""),45758.61954143518)</f>
        <v>45758.61954</v>
      </c>
      <c r="M1707" s="13"/>
      <c r="N1707" s="13" t="str">
        <f>IFERROR(__xludf.DUMMYFUNCTION("""COMPUTED_VALUE"""),"")</f>
        <v/>
      </c>
      <c r="O1707" s="13" t="str">
        <f t="shared" si="1"/>
        <v/>
      </c>
    </row>
    <row r="1708" ht="22.5" customHeight="1">
      <c r="B1708" s="13">
        <f>IFERROR(__xludf.DUMMYFUNCTION("""COMPUTED_VALUE"""),1703.0)</f>
        <v>1703</v>
      </c>
      <c r="C1708" s="13" t="str">
        <f>IFERROR(__xludf.DUMMYFUNCTION("""COMPUTED_VALUE"""),"M. 1611/RAJABASA NUNYAI")</f>
        <v>M. 1611/RAJABASA NUNYAI</v>
      </c>
      <c r="D1708" s="13" t="str">
        <f>IFERROR(__xludf.DUMMYFUNCTION("""COMPUTED_VALUE"""),"K/29/260325/2")</f>
        <v>K/29/260325/2</v>
      </c>
      <c r="E1708" s="14" t="str">
        <f>IFERROR(__xludf.DUMMYFUNCTION("""COMPUTED_VALUE"""),"Nadian (BT)")</f>
        <v>Nadian (BT)</v>
      </c>
      <c r="F1708" s="14" t="str">
        <f>IFERROR(__xludf.DUMMYFUNCTION("""COMPUTED_VALUE"""),"SELESAI (VIA PERMOHONAN)")</f>
        <v>SELESAI (VIA PERMOHONAN)</v>
      </c>
      <c r="G1708" s="17">
        <f>IFERROR(__xludf.DUMMYFUNCTION("""COMPUTED_VALUE"""),45758.58372751158)</f>
        <v>45758.58373</v>
      </c>
      <c r="H1708" s="14" t="str">
        <f>IFERROR(__xludf.DUMMYFUNCTION("""COMPUTED_VALUE"""),"Bu Eva (SU)")</f>
        <v>Bu Eva (SU)</v>
      </c>
      <c r="I1708" s="13" t="str">
        <f>IFERROR(__xludf.DUMMYFUNCTION("""COMPUTED_VALUE"""),"SELESAI (VIA PERMOHONAN)")</f>
        <v>SELESAI (VIA PERMOHONAN)</v>
      </c>
      <c r="J1708" s="17">
        <f>IFERROR(__xludf.DUMMYFUNCTION("""COMPUTED_VALUE"""),45758.61954143518)</f>
        <v>45758.61954</v>
      </c>
      <c r="K1708" s="13" t="str">
        <f>IFERROR(__xludf.DUMMYFUNCTION("""COMPUTED_VALUE"""),"Selesai")</f>
        <v>Selesai</v>
      </c>
      <c r="L1708" s="17">
        <f>IFERROR(__xludf.DUMMYFUNCTION("""COMPUTED_VALUE"""),45758.61954143518)</f>
        <v>45758.61954</v>
      </c>
      <c r="M1708" s="13"/>
      <c r="N1708" s="13" t="str">
        <f>IFERROR(__xludf.DUMMYFUNCTION("""COMPUTED_VALUE"""),"")</f>
        <v/>
      </c>
      <c r="O1708" s="13" t="str">
        <f t="shared" si="1"/>
        <v/>
      </c>
    </row>
    <row r="1709" ht="22.5" customHeight="1">
      <c r="B1709" s="13">
        <f>IFERROR(__xludf.DUMMYFUNCTION("""COMPUTED_VALUE"""),1704.0)</f>
        <v>1704</v>
      </c>
      <c r="C1709" s="13" t="str">
        <f>IFERROR(__xludf.DUMMYFUNCTION("""COMPUTED_VALUE"""),"M.12771/SUKABUMI")</f>
        <v>M.12771/SUKABUMI</v>
      </c>
      <c r="D1709" s="13" t="str">
        <f>IFERROR(__xludf.DUMMYFUNCTION("""COMPUTED_VALUE"""),"K/23/260325/2")</f>
        <v>K/23/260325/2</v>
      </c>
      <c r="E1709" s="14" t="str">
        <f>IFERROR(__xludf.DUMMYFUNCTION("""COMPUTED_VALUE"""),"Nadian (BT)")</f>
        <v>Nadian (BT)</v>
      </c>
      <c r="F1709" s="14" t="str">
        <f>IFERROR(__xludf.DUMMYFUNCTION("""COMPUTED_VALUE"""),"SELESAI (VIA PERMOHONAN)")</f>
        <v>SELESAI (VIA PERMOHONAN)</v>
      </c>
      <c r="G1709" s="17">
        <f>IFERROR(__xludf.DUMMYFUNCTION("""COMPUTED_VALUE"""),45758.58372751158)</f>
        <v>45758.58373</v>
      </c>
      <c r="H1709" s="14" t="str">
        <f>IFERROR(__xludf.DUMMYFUNCTION("""COMPUTED_VALUE"""),"Bu Eva (SU)")</f>
        <v>Bu Eva (SU)</v>
      </c>
      <c r="I1709" s="13" t="str">
        <f>IFERROR(__xludf.DUMMYFUNCTION("""COMPUTED_VALUE"""),"SELESAI (VIA PERMOHONAN)")</f>
        <v>SELESAI (VIA PERMOHONAN)</v>
      </c>
      <c r="J1709" s="17">
        <f>IFERROR(__xludf.DUMMYFUNCTION("""COMPUTED_VALUE"""),45758.61954143518)</f>
        <v>45758.61954</v>
      </c>
      <c r="K1709" s="13" t="str">
        <f>IFERROR(__xludf.DUMMYFUNCTION("""COMPUTED_VALUE"""),"Selesai")</f>
        <v>Selesai</v>
      </c>
      <c r="L1709" s="17">
        <f>IFERROR(__xludf.DUMMYFUNCTION("""COMPUTED_VALUE"""),45758.61954143518)</f>
        <v>45758.61954</v>
      </c>
      <c r="M1709" s="13"/>
      <c r="N1709" s="13" t="str">
        <f>IFERROR(__xludf.DUMMYFUNCTION("""COMPUTED_VALUE"""),"")</f>
        <v/>
      </c>
      <c r="O1709" s="13" t="str">
        <f t="shared" si="1"/>
        <v/>
      </c>
    </row>
    <row r="1710" ht="22.5" customHeight="1">
      <c r="B1710" s="13">
        <f>IFERROR(__xludf.DUMMYFUNCTION("""COMPUTED_VALUE"""),1705.0)</f>
        <v>1705</v>
      </c>
      <c r="C1710" s="13" t="str">
        <f>IFERROR(__xludf.DUMMYFUNCTION("""COMPUTED_VALUE"""),"B. 4586/SUKABUMI")</f>
        <v>B. 4586/SUKABUMI</v>
      </c>
      <c r="D1710" s="13" t="str">
        <f>IFERROR(__xludf.DUMMYFUNCTION("""COMPUTED_VALUE"""),"K/55/240325/2")</f>
        <v>K/55/240325/2</v>
      </c>
      <c r="E1710" s="14" t="str">
        <f>IFERROR(__xludf.DUMMYFUNCTION("""COMPUTED_VALUE"""),"Nadian (BT)")</f>
        <v>Nadian (BT)</v>
      </c>
      <c r="F1710" s="14" t="str">
        <f>IFERROR(__xludf.DUMMYFUNCTION("""COMPUTED_VALUE"""),"SELESAI (VIA PERMOHONAN)")</f>
        <v>SELESAI (VIA PERMOHONAN)</v>
      </c>
      <c r="G1710" s="17">
        <f>IFERROR(__xludf.DUMMYFUNCTION("""COMPUTED_VALUE"""),45758.58372751158)</f>
        <v>45758.58373</v>
      </c>
      <c r="H1710" s="14" t="str">
        <f>IFERROR(__xludf.DUMMYFUNCTION("""COMPUTED_VALUE"""),"Bu Eva (SU)")</f>
        <v>Bu Eva (SU)</v>
      </c>
      <c r="I1710" s="13" t="str">
        <f>IFERROR(__xludf.DUMMYFUNCTION("""COMPUTED_VALUE"""),"SELESAI (VIA PERMOHONAN)")</f>
        <v>SELESAI (VIA PERMOHONAN)</v>
      </c>
      <c r="J1710" s="17">
        <f>IFERROR(__xludf.DUMMYFUNCTION("""COMPUTED_VALUE"""),45758.61954143518)</f>
        <v>45758.61954</v>
      </c>
      <c r="K1710" s="13" t="str">
        <f>IFERROR(__xludf.DUMMYFUNCTION("""COMPUTED_VALUE"""),"Selesai")</f>
        <v>Selesai</v>
      </c>
      <c r="L1710" s="17">
        <f>IFERROR(__xludf.DUMMYFUNCTION("""COMPUTED_VALUE"""),45758.61954143518)</f>
        <v>45758.61954</v>
      </c>
      <c r="M1710" s="13"/>
      <c r="N1710" s="13" t="str">
        <f>IFERROR(__xludf.DUMMYFUNCTION("""COMPUTED_VALUE"""),"")</f>
        <v/>
      </c>
      <c r="O1710" s="13" t="str">
        <f t="shared" si="1"/>
        <v/>
      </c>
    </row>
    <row r="1711" ht="22.5" customHeight="1">
      <c r="B1711" s="13">
        <f>IFERROR(__xludf.DUMMYFUNCTION("""COMPUTED_VALUE"""),1706.0)</f>
        <v>1706</v>
      </c>
      <c r="C1711" s="13" t="str">
        <f>IFERROR(__xludf.DUMMYFUNCTION("""COMPUTED_VALUE"""),"B. 904/ Kemiling Permai")</f>
        <v>B. 904/ Kemiling Permai</v>
      </c>
      <c r="D1711" s="13" t="str">
        <f>IFERROR(__xludf.DUMMYFUNCTION("""COMPUTED_VALUE"""),"K/11/200325/1")</f>
        <v>K/11/200325/1</v>
      </c>
      <c r="E1711" s="14" t="str">
        <f>IFERROR(__xludf.DUMMYFUNCTION("""COMPUTED_VALUE"""),"Afriza (BT)")</f>
        <v>Afriza (BT)</v>
      </c>
      <c r="F1711" s="14" t="str">
        <f>IFERROR(__xludf.DUMMYFUNCTION("""COMPUTED_VALUE"""),"SELESAI (VIA PERMOHONAN)")</f>
        <v>SELESAI (VIA PERMOHONAN)</v>
      </c>
      <c r="G1711" s="17">
        <f>IFERROR(__xludf.DUMMYFUNCTION("""COMPUTED_VALUE"""),45758.59079981482)</f>
        <v>45758.5908</v>
      </c>
      <c r="H1711" s="14" t="str">
        <f>IFERROR(__xludf.DUMMYFUNCTION("""COMPUTED_VALUE"""),"Bu Eva (SU)")</f>
        <v>Bu Eva (SU)</v>
      </c>
      <c r="I1711" s="13" t="str">
        <f>IFERROR(__xludf.DUMMYFUNCTION("""COMPUTED_VALUE"""),"SELESAI (VIA PERMOHONAN)")</f>
        <v>SELESAI (VIA PERMOHONAN)</v>
      </c>
      <c r="J1711" s="17">
        <f>IFERROR(__xludf.DUMMYFUNCTION("""COMPUTED_VALUE"""),45758.61954143518)</f>
        <v>45758.61954</v>
      </c>
      <c r="K1711" s="13" t="str">
        <f>IFERROR(__xludf.DUMMYFUNCTION("""COMPUTED_VALUE"""),"Selesai")</f>
        <v>Selesai</v>
      </c>
      <c r="L1711" s="17">
        <f>IFERROR(__xludf.DUMMYFUNCTION("""COMPUTED_VALUE"""),45758.61954143518)</f>
        <v>45758.61954</v>
      </c>
      <c r="M1711" s="13"/>
      <c r="N1711" s="13" t="str">
        <f>IFERROR(__xludf.DUMMYFUNCTION("""COMPUTED_VALUE"""),"")</f>
        <v/>
      </c>
      <c r="O1711" s="13" t="str">
        <f t="shared" si="1"/>
        <v/>
      </c>
    </row>
    <row r="1712" ht="22.5" customHeight="1">
      <c r="B1712" s="13">
        <f>IFERROR(__xludf.DUMMYFUNCTION("""COMPUTED_VALUE"""),1707.0)</f>
        <v>1707</v>
      </c>
      <c r="C1712" s="13" t="str">
        <f>IFERROR(__xludf.DUMMYFUNCTION("""COMPUTED_VALUE"""),"M. 810/ Tanjung Seneng (2 sht)")</f>
        <v>M. 810/ Tanjung Seneng (2 sht)</v>
      </c>
      <c r="D1712" s="13" t="str">
        <f>IFERROR(__xludf.DUMMYFUNCTION("""COMPUTED_VALUE"""),"K/14/240325/2")</f>
        <v>K/14/240325/2</v>
      </c>
      <c r="E1712" s="14" t="str">
        <f>IFERROR(__xludf.DUMMYFUNCTION("""COMPUTED_VALUE"""),"Afriza (BT)")</f>
        <v>Afriza (BT)</v>
      </c>
      <c r="F1712" s="14" t="str">
        <f>IFERROR(__xludf.DUMMYFUNCTION("""COMPUTED_VALUE"""),"SELESAI (VIA PERMOHONAN)")</f>
        <v>SELESAI (VIA PERMOHONAN)</v>
      </c>
      <c r="G1712" s="17">
        <f>IFERROR(__xludf.DUMMYFUNCTION("""COMPUTED_VALUE"""),45758.59087939815)</f>
        <v>45758.59088</v>
      </c>
      <c r="H1712" s="14" t="str">
        <f>IFERROR(__xludf.DUMMYFUNCTION("""COMPUTED_VALUE"""),"Bu Eva (SU)")</f>
        <v>Bu Eva (SU)</v>
      </c>
      <c r="I1712" s="13" t="str">
        <f>IFERROR(__xludf.DUMMYFUNCTION("""COMPUTED_VALUE"""),"SELESAI (VIA PERMOHONAN)")</f>
        <v>SELESAI (VIA PERMOHONAN)</v>
      </c>
      <c r="J1712" s="17">
        <f>IFERROR(__xludf.DUMMYFUNCTION("""COMPUTED_VALUE"""),45758.61954143518)</f>
        <v>45758.61954</v>
      </c>
      <c r="K1712" s="13" t="str">
        <f>IFERROR(__xludf.DUMMYFUNCTION("""COMPUTED_VALUE"""),"Selesai")</f>
        <v>Selesai</v>
      </c>
      <c r="L1712" s="17">
        <f>IFERROR(__xludf.DUMMYFUNCTION("""COMPUTED_VALUE"""),45758.61954143518)</f>
        <v>45758.61954</v>
      </c>
      <c r="M1712" s="13"/>
      <c r="N1712" s="13" t="str">
        <f>IFERROR(__xludf.DUMMYFUNCTION("""COMPUTED_VALUE"""),"")</f>
        <v/>
      </c>
      <c r="O1712" s="13" t="str">
        <f t="shared" si="1"/>
        <v/>
      </c>
    </row>
    <row r="1713" ht="22.5" customHeight="1">
      <c r="B1713" s="13">
        <f>IFERROR(__xludf.DUMMYFUNCTION("""COMPUTED_VALUE"""),1708.0)</f>
        <v>1708</v>
      </c>
      <c r="C1713" s="13" t="str">
        <f>IFERROR(__xludf.DUMMYFUNCTION("""COMPUTED_VALUE"""),"B. 702/ Sumber Agung")</f>
        <v>B. 702/ Sumber Agung</v>
      </c>
      <c r="D1713" s="13" t="str">
        <f>IFERROR(__xludf.DUMMYFUNCTION("""COMPUTED_VALUE"""),"K/29/170325/1")</f>
        <v>K/29/170325/1</v>
      </c>
      <c r="E1713" s="14" t="str">
        <f>IFERROR(__xludf.DUMMYFUNCTION("""COMPUTED_VALUE"""),"Afriza (BT)")</f>
        <v>Afriza (BT)</v>
      </c>
      <c r="F1713" s="14" t="str">
        <f>IFERROR(__xludf.DUMMYFUNCTION("""COMPUTED_VALUE"""),"SELESAI (VIA PERMOHONAN)")</f>
        <v>SELESAI (VIA PERMOHONAN)</v>
      </c>
      <c r="G1713" s="17">
        <f>IFERROR(__xludf.DUMMYFUNCTION("""COMPUTED_VALUE"""),45758.591018611114)</f>
        <v>45758.59102</v>
      </c>
      <c r="H1713" s="14" t="str">
        <f>IFERROR(__xludf.DUMMYFUNCTION("""COMPUTED_VALUE"""),"Bu Eva (SU)")</f>
        <v>Bu Eva (SU)</v>
      </c>
      <c r="I1713" s="13" t="str">
        <f>IFERROR(__xludf.DUMMYFUNCTION("""COMPUTED_VALUE"""),"SELESAI (VIA PERMOHONAN)")</f>
        <v>SELESAI (VIA PERMOHONAN)</v>
      </c>
      <c r="J1713" s="17">
        <f>IFERROR(__xludf.DUMMYFUNCTION("""COMPUTED_VALUE"""),45758.61954143518)</f>
        <v>45758.61954</v>
      </c>
      <c r="K1713" s="13" t="str">
        <f>IFERROR(__xludf.DUMMYFUNCTION("""COMPUTED_VALUE"""),"Selesai")</f>
        <v>Selesai</v>
      </c>
      <c r="L1713" s="17">
        <f>IFERROR(__xludf.DUMMYFUNCTION("""COMPUTED_VALUE"""),45758.61954143518)</f>
        <v>45758.61954</v>
      </c>
      <c r="M1713" s="13"/>
      <c r="N1713" s="13" t="str">
        <f>IFERROR(__xludf.DUMMYFUNCTION("""COMPUTED_VALUE"""),"")</f>
        <v/>
      </c>
      <c r="O1713" s="13" t="str">
        <f t="shared" si="1"/>
        <v/>
      </c>
    </row>
    <row r="1714" ht="22.5" customHeight="1">
      <c r="B1714" s="13">
        <f>IFERROR(__xludf.DUMMYFUNCTION("""COMPUTED_VALUE"""),1709.0)</f>
        <v>1709</v>
      </c>
      <c r="C1714" s="13" t="str">
        <f>IFERROR(__xludf.DUMMYFUNCTION("""COMPUTED_VALUE"""),"M.409/WAY HALIM PERMAI")</f>
        <v>M.409/WAY HALIM PERMAI</v>
      </c>
      <c r="D1714" s="13" t="str">
        <f>IFERROR(__xludf.DUMMYFUNCTION("""COMPUTED_VALUE"""),"K/32/240325/1")</f>
        <v>K/32/240325/1</v>
      </c>
      <c r="E1714" s="14" t="str">
        <f>IFERROR(__xludf.DUMMYFUNCTION("""COMPUTED_VALUE"""),"Nadian (BT)")</f>
        <v>Nadian (BT)</v>
      </c>
      <c r="F1714" s="14" t="str">
        <f>IFERROR(__xludf.DUMMYFUNCTION("""COMPUTED_VALUE"""),"SELESAI (VIA PERMOHONAN)")</f>
        <v>SELESAI (VIA PERMOHONAN)</v>
      </c>
      <c r="G1714" s="17">
        <f>IFERROR(__xludf.DUMMYFUNCTION("""COMPUTED_VALUE"""),45761.60580068287)</f>
        <v>45761.6058</v>
      </c>
      <c r="H1714" s="14" t="str">
        <f>IFERROR(__xludf.DUMMYFUNCTION("""COMPUTED_VALUE"""),"Bu Eva (SU)")</f>
        <v>Bu Eva (SU)</v>
      </c>
      <c r="I1714" s="13" t="str">
        <f>IFERROR(__xludf.DUMMYFUNCTION("""COMPUTED_VALUE"""),"SELESAI (VIA PERMOHONAN)")</f>
        <v>SELESAI (VIA PERMOHONAN)</v>
      </c>
      <c r="J1714" s="17">
        <f>IFERROR(__xludf.DUMMYFUNCTION("""COMPUTED_VALUE"""),45762.440164699074)</f>
        <v>45762.44016</v>
      </c>
      <c r="K1714" s="13" t="str">
        <f>IFERROR(__xludf.DUMMYFUNCTION("""COMPUTED_VALUE"""),"Selesai")</f>
        <v>Selesai</v>
      </c>
      <c r="L1714" s="17">
        <f>IFERROR(__xludf.DUMMYFUNCTION("""COMPUTED_VALUE"""),45762.440164699074)</f>
        <v>45762.44016</v>
      </c>
      <c r="M1714" s="13"/>
      <c r="N1714" s="13" t="str">
        <f>IFERROR(__xludf.DUMMYFUNCTION("""COMPUTED_VALUE"""),"")</f>
        <v/>
      </c>
      <c r="O1714" s="13" t="str">
        <f t="shared" si="1"/>
        <v/>
      </c>
    </row>
    <row r="1715" ht="22.5" customHeight="1">
      <c r="B1715" s="13">
        <f>IFERROR(__xludf.DUMMYFUNCTION("""COMPUTED_VALUE"""),1710.0)</f>
        <v>1710</v>
      </c>
      <c r="C1715" s="13" t="str">
        <f>IFERROR(__xludf.DUMMYFUNCTION("""COMPUTED_VALUE"""),"M.10995/RAJABASA")</f>
        <v>M.10995/RAJABASA</v>
      </c>
      <c r="D1715" s="13" t="str">
        <f>IFERROR(__xludf.DUMMYFUNCTION("""COMPUTED_VALUE"""),"K/17/250325/1")</f>
        <v>K/17/250325/1</v>
      </c>
      <c r="E1715" s="14" t="str">
        <f>IFERROR(__xludf.DUMMYFUNCTION("""COMPUTED_VALUE"""),"Nadian (BT)")</f>
        <v>Nadian (BT)</v>
      </c>
      <c r="F1715" s="14" t="str">
        <f>IFERROR(__xludf.DUMMYFUNCTION("""COMPUTED_VALUE"""),"SELESAI (VIA PERMOHONAN)")</f>
        <v>SELESAI (VIA PERMOHONAN)</v>
      </c>
      <c r="G1715" s="17">
        <f>IFERROR(__xludf.DUMMYFUNCTION("""COMPUTED_VALUE"""),45761.60581684028)</f>
        <v>45761.60582</v>
      </c>
      <c r="H1715" s="14" t="str">
        <f>IFERROR(__xludf.DUMMYFUNCTION("""COMPUTED_VALUE"""),"Bu Eva (SU)")</f>
        <v>Bu Eva (SU)</v>
      </c>
      <c r="I1715" s="13" t="str">
        <f>IFERROR(__xludf.DUMMYFUNCTION("""COMPUTED_VALUE"""),"SELESAI (VIA PERMOHONAN)")</f>
        <v>SELESAI (VIA PERMOHONAN)</v>
      </c>
      <c r="J1715" s="17">
        <f>IFERROR(__xludf.DUMMYFUNCTION("""COMPUTED_VALUE"""),45762.440164699074)</f>
        <v>45762.44016</v>
      </c>
      <c r="K1715" s="13" t="str">
        <f>IFERROR(__xludf.DUMMYFUNCTION("""COMPUTED_VALUE"""),"Selesai")</f>
        <v>Selesai</v>
      </c>
      <c r="L1715" s="17">
        <f>IFERROR(__xludf.DUMMYFUNCTION("""COMPUTED_VALUE"""),45762.440164699074)</f>
        <v>45762.44016</v>
      </c>
      <c r="M1715" s="13"/>
      <c r="N1715" s="13" t="str">
        <f>IFERROR(__xludf.DUMMYFUNCTION("""COMPUTED_VALUE"""),"")</f>
        <v/>
      </c>
      <c r="O1715" s="13" t="str">
        <f t="shared" si="1"/>
        <v/>
      </c>
    </row>
    <row r="1716" ht="22.5" customHeight="1">
      <c r="B1716" s="13">
        <f>IFERROR(__xludf.DUMMYFUNCTION("""COMPUTED_VALUE"""),1711.0)</f>
        <v>1711</v>
      </c>
      <c r="C1716" s="13" t="str">
        <f>IFERROR(__xludf.DUMMYFUNCTION("""COMPUTED_VALUE"""),"M.443/KOTA KARANG RAYA")</f>
        <v>M.443/KOTA KARANG RAYA</v>
      </c>
      <c r="D1716" s="13" t="str">
        <f>IFERROR(__xludf.DUMMYFUNCTION("""COMPUTED_VALUE"""),"K/27/260325/2")</f>
        <v>K/27/260325/2</v>
      </c>
      <c r="E1716" s="14" t="str">
        <f>IFERROR(__xludf.DUMMYFUNCTION("""COMPUTED_VALUE"""),"Nadian (BT)")</f>
        <v>Nadian (BT)</v>
      </c>
      <c r="F1716" s="14" t="str">
        <f>IFERROR(__xludf.DUMMYFUNCTION("""COMPUTED_VALUE"""),"SELESAI (VIA PERMOHONAN)")</f>
        <v>SELESAI (VIA PERMOHONAN)</v>
      </c>
      <c r="G1716" s="17">
        <f>IFERROR(__xludf.DUMMYFUNCTION("""COMPUTED_VALUE"""),45761.60581684028)</f>
        <v>45761.60582</v>
      </c>
      <c r="H1716" s="14" t="str">
        <f>IFERROR(__xludf.DUMMYFUNCTION("""COMPUTED_VALUE"""),"Bu Eva (SU)")</f>
        <v>Bu Eva (SU)</v>
      </c>
      <c r="I1716" s="13" t="str">
        <f>IFERROR(__xludf.DUMMYFUNCTION("""COMPUTED_VALUE"""),"SELESAI (VIA PERMOHONAN)")</f>
        <v>SELESAI (VIA PERMOHONAN)</v>
      </c>
      <c r="J1716" s="17">
        <f>IFERROR(__xludf.DUMMYFUNCTION("""COMPUTED_VALUE"""),45762.440164699074)</f>
        <v>45762.44016</v>
      </c>
      <c r="K1716" s="13" t="str">
        <f>IFERROR(__xludf.DUMMYFUNCTION("""COMPUTED_VALUE"""),"Selesai")</f>
        <v>Selesai</v>
      </c>
      <c r="L1716" s="17">
        <f>IFERROR(__xludf.DUMMYFUNCTION("""COMPUTED_VALUE"""),45762.440164699074)</f>
        <v>45762.44016</v>
      </c>
      <c r="M1716" s="13"/>
      <c r="N1716" s="13" t="str">
        <f>IFERROR(__xludf.DUMMYFUNCTION("""COMPUTED_VALUE"""),"")</f>
        <v/>
      </c>
      <c r="O1716" s="13" t="str">
        <f t="shared" si="1"/>
        <v/>
      </c>
    </row>
    <row r="1717" ht="22.5" customHeight="1">
      <c r="B1717" s="13">
        <f>IFERROR(__xludf.DUMMYFUNCTION("""COMPUTED_VALUE"""),1712.0)</f>
        <v>1712</v>
      </c>
      <c r="C1717" s="13" t="str">
        <f>IFERROR(__xludf.DUMMYFUNCTION("""COMPUTED_VALUE"""),"M. 4938/ Sukadana Ham")</f>
        <v>M. 4938/ Sukadana Ham</v>
      </c>
      <c r="D1717" s="13" t="str">
        <f>IFERROR(__xludf.DUMMYFUNCTION("""COMPUTED_VALUE"""),"K/20/200325/1")</f>
        <v>K/20/200325/1</v>
      </c>
      <c r="E1717" s="14" t="str">
        <f>IFERROR(__xludf.DUMMYFUNCTION("""COMPUTED_VALUE"""),"Nadian (BT)")</f>
        <v>Nadian (BT)</v>
      </c>
      <c r="F1717" s="14" t="str">
        <f>IFERROR(__xludf.DUMMYFUNCTION("""COMPUTED_VALUE"""),"SELESAI (VIA PERMOHONAN)")</f>
        <v>SELESAI (VIA PERMOHONAN)</v>
      </c>
      <c r="G1717" s="17">
        <f>IFERROR(__xludf.DUMMYFUNCTION("""COMPUTED_VALUE"""),45761.60581684028)</f>
        <v>45761.60582</v>
      </c>
      <c r="H1717" s="14" t="str">
        <f>IFERROR(__xludf.DUMMYFUNCTION("""COMPUTED_VALUE"""),"Bu Eva (SU)")</f>
        <v>Bu Eva (SU)</v>
      </c>
      <c r="I1717" s="13" t="str">
        <f>IFERROR(__xludf.DUMMYFUNCTION("""COMPUTED_VALUE"""),"SELESAI (VIA PERMOHONAN)")</f>
        <v>SELESAI (VIA PERMOHONAN)</v>
      </c>
      <c r="J1717" s="17">
        <f>IFERROR(__xludf.DUMMYFUNCTION("""COMPUTED_VALUE"""),45762.440164699074)</f>
        <v>45762.44016</v>
      </c>
      <c r="K1717" s="13" t="str">
        <f>IFERROR(__xludf.DUMMYFUNCTION("""COMPUTED_VALUE"""),"Selesai")</f>
        <v>Selesai</v>
      </c>
      <c r="L1717" s="17">
        <f>IFERROR(__xludf.DUMMYFUNCTION("""COMPUTED_VALUE"""),45762.440164699074)</f>
        <v>45762.44016</v>
      </c>
      <c r="M1717" s="13"/>
      <c r="N1717" s="13" t="str">
        <f>IFERROR(__xludf.DUMMYFUNCTION("""COMPUTED_VALUE"""),"")</f>
        <v/>
      </c>
      <c r="O1717" s="13" t="str">
        <f t="shared" si="1"/>
        <v/>
      </c>
    </row>
    <row r="1718" ht="22.5" customHeight="1">
      <c r="B1718" s="13">
        <f>IFERROR(__xludf.DUMMYFUNCTION("""COMPUTED_VALUE"""),1713.0)</f>
        <v>1713</v>
      </c>
      <c r="C1718" s="13" t="str">
        <f>IFERROR(__xludf.DUMMYFUNCTION("""COMPUTED_VALUE"""),"M. 3335/ Tanjung Seneng")</f>
        <v>M. 3335/ Tanjung Seneng</v>
      </c>
      <c r="D1718" s="13" t="str">
        <f>IFERROR(__xludf.DUMMYFUNCTION("""COMPUTED_VALUE"""),"K/39/180325/2")</f>
        <v>K/39/180325/2</v>
      </c>
      <c r="E1718" s="14" t="str">
        <f>IFERROR(__xludf.DUMMYFUNCTION("""COMPUTED_VALUE"""),"Nadian (BT)")</f>
        <v>Nadian (BT)</v>
      </c>
      <c r="F1718" s="14" t="str">
        <f>IFERROR(__xludf.DUMMYFUNCTION("""COMPUTED_VALUE"""),"SELESAI (VIA PERMOHONAN)")</f>
        <v>SELESAI (VIA PERMOHONAN)</v>
      </c>
      <c r="G1718" s="17">
        <f>IFERROR(__xludf.DUMMYFUNCTION("""COMPUTED_VALUE"""),45761.60581684028)</f>
        <v>45761.60582</v>
      </c>
      <c r="H1718" s="14" t="str">
        <f>IFERROR(__xludf.DUMMYFUNCTION("""COMPUTED_VALUE"""),"Bu Eva (SU)")</f>
        <v>Bu Eva (SU)</v>
      </c>
      <c r="I1718" s="13" t="str">
        <f>IFERROR(__xludf.DUMMYFUNCTION("""COMPUTED_VALUE"""),"SELESAI (VIA PERMOHONAN)")</f>
        <v>SELESAI (VIA PERMOHONAN)</v>
      </c>
      <c r="J1718" s="17">
        <f>IFERROR(__xludf.DUMMYFUNCTION("""COMPUTED_VALUE"""),45762.440164699074)</f>
        <v>45762.44016</v>
      </c>
      <c r="K1718" s="13" t="str">
        <f>IFERROR(__xludf.DUMMYFUNCTION("""COMPUTED_VALUE"""),"Selesai")</f>
        <v>Selesai</v>
      </c>
      <c r="L1718" s="17">
        <f>IFERROR(__xludf.DUMMYFUNCTION("""COMPUTED_VALUE"""),45762.440164699074)</f>
        <v>45762.44016</v>
      </c>
      <c r="M1718" s="13"/>
      <c r="N1718" s="13" t="str">
        <f>IFERROR(__xludf.DUMMYFUNCTION("""COMPUTED_VALUE"""),"")</f>
        <v/>
      </c>
      <c r="O1718" s="13" t="str">
        <f t="shared" si="1"/>
        <v/>
      </c>
    </row>
    <row r="1719" ht="22.5" customHeight="1">
      <c r="B1719" s="13">
        <f>IFERROR(__xludf.DUMMYFUNCTION("""COMPUTED_VALUE"""),1714.0)</f>
        <v>1714</v>
      </c>
      <c r="C1719" s="13" t="str">
        <f>IFERROR(__xludf.DUMMYFUNCTION("""COMPUTED_VALUE"""),"M. 5982/ Way Kandis")</f>
        <v>M. 5982/ Way Kandis</v>
      </c>
      <c r="D1719" s="13" t="str">
        <f>IFERROR(__xludf.DUMMYFUNCTION("""COMPUTED_VALUE"""),"K/26/130325/1")</f>
        <v>K/26/130325/1</v>
      </c>
      <c r="E1719" s="14" t="str">
        <f>IFERROR(__xludf.DUMMYFUNCTION("""COMPUTED_VALUE"""),"Nadian (BT)")</f>
        <v>Nadian (BT)</v>
      </c>
      <c r="F1719" s="14" t="str">
        <f>IFERROR(__xludf.DUMMYFUNCTION("""COMPUTED_VALUE"""),"SELESAI (VIA PERMOHONAN)")</f>
        <v>SELESAI (VIA PERMOHONAN)</v>
      </c>
      <c r="G1719" s="17">
        <f>IFERROR(__xludf.DUMMYFUNCTION("""COMPUTED_VALUE"""),45761.60581684028)</f>
        <v>45761.60582</v>
      </c>
      <c r="H1719" s="14" t="str">
        <f>IFERROR(__xludf.DUMMYFUNCTION("""COMPUTED_VALUE"""),"Bu Eva (SU)")</f>
        <v>Bu Eva (SU)</v>
      </c>
      <c r="I1719" s="13" t="str">
        <f>IFERROR(__xludf.DUMMYFUNCTION("""COMPUTED_VALUE"""),"SELESAI (VIA PERMOHONAN)")</f>
        <v>SELESAI (VIA PERMOHONAN)</v>
      </c>
      <c r="J1719" s="17">
        <f>IFERROR(__xludf.DUMMYFUNCTION("""COMPUTED_VALUE"""),45762.440164699074)</f>
        <v>45762.44016</v>
      </c>
      <c r="K1719" s="13" t="str">
        <f>IFERROR(__xludf.DUMMYFUNCTION("""COMPUTED_VALUE"""),"Selesai")</f>
        <v>Selesai</v>
      </c>
      <c r="L1719" s="17">
        <f>IFERROR(__xludf.DUMMYFUNCTION("""COMPUTED_VALUE"""),45762.440164699074)</f>
        <v>45762.44016</v>
      </c>
      <c r="M1719" s="13"/>
      <c r="N1719" s="13" t="str">
        <f>IFERROR(__xludf.DUMMYFUNCTION("""COMPUTED_VALUE"""),"")</f>
        <v/>
      </c>
      <c r="O1719" s="13" t="str">
        <f t="shared" si="1"/>
        <v/>
      </c>
    </row>
    <row r="1720" ht="22.5" customHeight="1">
      <c r="B1720" s="13">
        <f>IFERROR(__xludf.DUMMYFUNCTION("""COMPUTED_VALUE"""),1715.0)</f>
        <v>1715</v>
      </c>
      <c r="C1720" s="13" t="str">
        <f>IFERROR(__xludf.DUMMYFUNCTION("""COMPUTED_VALUE"""),"M. 5983/ Way Kandis")</f>
        <v>M. 5983/ Way Kandis</v>
      </c>
      <c r="D1720" s="13" t="str">
        <f>IFERROR(__xludf.DUMMYFUNCTION("""COMPUTED_VALUE"""),"K/28/130325/3")</f>
        <v>K/28/130325/3</v>
      </c>
      <c r="E1720" s="14" t="str">
        <f>IFERROR(__xludf.DUMMYFUNCTION("""COMPUTED_VALUE"""),"Nadian (BT)")</f>
        <v>Nadian (BT)</v>
      </c>
      <c r="F1720" s="14" t="str">
        <f>IFERROR(__xludf.DUMMYFUNCTION("""COMPUTED_VALUE"""),"SELESAI (VIA PERMOHONAN)")</f>
        <v>SELESAI (VIA PERMOHONAN)</v>
      </c>
      <c r="G1720" s="17">
        <f>IFERROR(__xludf.DUMMYFUNCTION("""COMPUTED_VALUE"""),45761.605843680554)</f>
        <v>45761.60584</v>
      </c>
      <c r="H1720" s="14" t="str">
        <f>IFERROR(__xludf.DUMMYFUNCTION("""COMPUTED_VALUE"""),"Bu Eva (SU)")</f>
        <v>Bu Eva (SU)</v>
      </c>
      <c r="I1720" s="13" t="str">
        <f>IFERROR(__xludf.DUMMYFUNCTION("""COMPUTED_VALUE"""),"SELESAI (VIA PERMOHONAN)")</f>
        <v>SELESAI (VIA PERMOHONAN)</v>
      </c>
      <c r="J1720" s="17">
        <f>IFERROR(__xludf.DUMMYFUNCTION("""COMPUTED_VALUE"""),45762.44026173611)</f>
        <v>45762.44026</v>
      </c>
      <c r="K1720" s="13" t="str">
        <f>IFERROR(__xludf.DUMMYFUNCTION("""COMPUTED_VALUE"""),"Selesai")</f>
        <v>Selesai</v>
      </c>
      <c r="L1720" s="17">
        <f>IFERROR(__xludf.DUMMYFUNCTION("""COMPUTED_VALUE"""),45762.44026173611)</f>
        <v>45762.44026</v>
      </c>
      <c r="M1720" s="13"/>
      <c r="N1720" s="13" t="str">
        <f>IFERROR(__xludf.DUMMYFUNCTION("""COMPUTED_VALUE"""),"")</f>
        <v/>
      </c>
      <c r="O1720" s="13" t="str">
        <f t="shared" si="1"/>
        <v/>
      </c>
    </row>
    <row r="1721" ht="22.5" customHeight="1">
      <c r="B1721" s="13">
        <f>IFERROR(__xludf.DUMMYFUNCTION("""COMPUTED_VALUE"""),1716.0)</f>
        <v>1716</v>
      </c>
      <c r="C1721" s="13" t="str">
        <f>IFERROR(__xludf.DUMMYFUNCTION("""COMPUTED_VALUE"""),"M. 3004/ Langkapura")</f>
        <v>M. 3004/ Langkapura</v>
      </c>
      <c r="D1721" s="13" t="str">
        <f>IFERROR(__xludf.DUMMYFUNCTION("""COMPUTED_VALUE"""),"K/21/100325/4")</f>
        <v>K/21/100325/4</v>
      </c>
      <c r="E1721" s="14" t="str">
        <f>IFERROR(__xludf.DUMMYFUNCTION("""COMPUTED_VALUE"""),"Nadian (BT)")</f>
        <v>Nadian (BT)</v>
      </c>
      <c r="F1721" s="14" t="str">
        <f>IFERROR(__xludf.DUMMYFUNCTION("""COMPUTED_VALUE"""),"SELESAI (VIA PERMOHONAN)")</f>
        <v>SELESAI (VIA PERMOHONAN)</v>
      </c>
      <c r="G1721" s="17">
        <f>IFERROR(__xludf.DUMMYFUNCTION("""COMPUTED_VALUE"""),45761.605843680554)</f>
        <v>45761.60584</v>
      </c>
      <c r="H1721" s="14" t="str">
        <f>IFERROR(__xludf.DUMMYFUNCTION("""COMPUTED_VALUE"""),"Bu Eva (SU)")</f>
        <v>Bu Eva (SU)</v>
      </c>
      <c r="I1721" s="13" t="str">
        <f>IFERROR(__xludf.DUMMYFUNCTION("""COMPUTED_VALUE"""),"SELESAI (VIA PERMOHONAN)")</f>
        <v>SELESAI (VIA PERMOHONAN)</v>
      </c>
      <c r="J1721" s="17">
        <f>IFERROR(__xludf.DUMMYFUNCTION("""COMPUTED_VALUE"""),45762.44026173611)</f>
        <v>45762.44026</v>
      </c>
      <c r="K1721" s="13" t="str">
        <f>IFERROR(__xludf.DUMMYFUNCTION("""COMPUTED_VALUE"""),"Selesai")</f>
        <v>Selesai</v>
      </c>
      <c r="L1721" s="17">
        <f>IFERROR(__xludf.DUMMYFUNCTION("""COMPUTED_VALUE"""),45762.44026173611)</f>
        <v>45762.44026</v>
      </c>
      <c r="M1721" s="13"/>
      <c r="N1721" s="13" t="str">
        <f>IFERROR(__xludf.DUMMYFUNCTION("""COMPUTED_VALUE"""),"")</f>
        <v/>
      </c>
      <c r="O1721" s="13" t="str">
        <f t="shared" si="1"/>
        <v/>
      </c>
    </row>
    <row r="1722" ht="22.5" customHeight="1">
      <c r="B1722" s="13">
        <f>IFERROR(__xludf.DUMMYFUNCTION("""COMPUTED_VALUE"""),1717.0)</f>
        <v>1717</v>
      </c>
      <c r="C1722" s="13" t="str">
        <f>IFERROR(__xludf.DUMMYFUNCTION("""COMPUTED_VALUE"""),"B. 64/ Gedung Meneng")</f>
        <v>B. 64/ Gedung Meneng</v>
      </c>
      <c r="D1722" s="13" t="str">
        <f>IFERROR(__xludf.DUMMYFUNCTION("""COMPUTED_VALUE"""),"K/24/120325/1")</f>
        <v>K/24/120325/1</v>
      </c>
      <c r="E1722" s="14" t="str">
        <f>IFERROR(__xludf.DUMMYFUNCTION("""COMPUTED_VALUE"""),"Nadian (BT)")</f>
        <v>Nadian (BT)</v>
      </c>
      <c r="F1722" s="14" t="str">
        <f>IFERROR(__xludf.DUMMYFUNCTION("""COMPUTED_VALUE"""),"SELESAI (VIA PERMOHONAN)")</f>
        <v>SELESAI (VIA PERMOHONAN)</v>
      </c>
      <c r="G1722" s="17">
        <f>IFERROR(__xludf.DUMMYFUNCTION("""COMPUTED_VALUE"""),45761.605843680554)</f>
        <v>45761.60584</v>
      </c>
      <c r="H1722" s="14" t="str">
        <f>IFERROR(__xludf.DUMMYFUNCTION("""COMPUTED_VALUE"""),"Bu Eva (SU)")</f>
        <v>Bu Eva (SU)</v>
      </c>
      <c r="I1722" s="13" t="str">
        <f>IFERROR(__xludf.DUMMYFUNCTION("""COMPUTED_VALUE"""),"SELESAI (VIA PERMOHONAN)")</f>
        <v>SELESAI (VIA PERMOHONAN)</v>
      </c>
      <c r="J1722" s="17">
        <f>IFERROR(__xludf.DUMMYFUNCTION("""COMPUTED_VALUE"""),45762.44026173611)</f>
        <v>45762.44026</v>
      </c>
      <c r="K1722" s="13" t="str">
        <f>IFERROR(__xludf.DUMMYFUNCTION("""COMPUTED_VALUE"""),"Selesai")</f>
        <v>Selesai</v>
      </c>
      <c r="L1722" s="17">
        <f>IFERROR(__xludf.DUMMYFUNCTION("""COMPUTED_VALUE"""),45762.44026173611)</f>
        <v>45762.44026</v>
      </c>
      <c r="M1722" s="13"/>
      <c r="N1722" s="13" t="str">
        <f>IFERROR(__xludf.DUMMYFUNCTION("""COMPUTED_VALUE"""),"")</f>
        <v/>
      </c>
      <c r="O1722" s="13" t="str">
        <f t="shared" si="1"/>
        <v/>
      </c>
    </row>
    <row r="1723" ht="22.5" customHeight="1">
      <c r="B1723" s="13">
        <f>IFERROR(__xludf.DUMMYFUNCTION("""COMPUTED_VALUE"""),1718.0)</f>
        <v>1718</v>
      </c>
      <c r="C1723" s="13" t="str">
        <f>IFERROR(__xludf.DUMMYFUNCTION("""COMPUTED_VALUE"""),"HM 420/KORPRI JAYA")</f>
        <v>HM 420/KORPRI JAYA</v>
      </c>
      <c r="D1723" s="13" t="str">
        <f>IFERROR(__xludf.DUMMYFUNCTION("""COMPUTED_VALUE"""),"L/1/230125/1")</f>
        <v>L/1/230125/1</v>
      </c>
      <c r="E1723" s="14" t="str">
        <f>IFERROR(__xludf.DUMMYFUNCTION("""COMPUTED_VALUE"""),"Afriza (BT)")</f>
        <v>Afriza (BT)</v>
      </c>
      <c r="F1723" s="14" t="str">
        <f>IFERROR(__xludf.DUMMYFUNCTION("""COMPUTED_VALUE"""),"SELESAI (VIA PERMOHONAN)")</f>
        <v>SELESAI (VIA PERMOHONAN)</v>
      </c>
      <c r="G1723" s="17">
        <f>IFERROR(__xludf.DUMMYFUNCTION("""COMPUTED_VALUE"""),45762.43624271991)</f>
        <v>45762.43624</v>
      </c>
      <c r="H1723" s="14" t="str">
        <f>IFERROR(__xludf.DUMMYFUNCTION("""COMPUTED_VALUE"""),"Bu Eva (SU)")</f>
        <v>Bu Eva (SU)</v>
      </c>
      <c r="I1723" s="13" t="str">
        <f>IFERROR(__xludf.DUMMYFUNCTION("""COMPUTED_VALUE"""),"SELESAI (VIA PERMOHONAN)")</f>
        <v>SELESAI (VIA PERMOHONAN)</v>
      </c>
      <c r="J1723" s="17">
        <f>IFERROR(__xludf.DUMMYFUNCTION("""COMPUTED_VALUE"""),45762.43624271991)</f>
        <v>45762.43624</v>
      </c>
      <c r="K1723" s="13" t="str">
        <f>IFERROR(__xludf.DUMMYFUNCTION("""COMPUTED_VALUE"""),"Selesai")</f>
        <v>Selesai</v>
      </c>
      <c r="L1723" s="17">
        <f>IFERROR(__xludf.DUMMYFUNCTION("""COMPUTED_VALUE"""),45762.43624271991)</f>
        <v>45762.43624</v>
      </c>
      <c r="M1723" s="13"/>
      <c r="N1723" s="13" t="str">
        <f>IFERROR(__xludf.DUMMYFUNCTION("""COMPUTED_VALUE"""),"")</f>
        <v/>
      </c>
      <c r="O1723" s="13" t="str">
        <f t="shared" si="1"/>
        <v/>
      </c>
    </row>
    <row r="1724" ht="22.5" customHeight="1">
      <c r="B1724" s="13">
        <f>IFERROR(__xludf.DUMMYFUNCTION("""COMPUTED_VALUE"""),1719.0)</f>
        <v>1719</v>
      </c>
      <c r="C1724" s="13" t="str">
        <f>IFERROR(__xludf.DUMMYFUNCTION("""COMPUTED_VALUE"""),"M.4006/BERINGIN RAYA")</f>
        <v>M.4006/BERINGIN RAYA</v>
      </c>
      <c r="D1724" s="13" t="str">
        <f>IFERROR(__xludf.DUMMYFUNCTION("""COMPUTED_VALUE"""),"L/18/280225/1")</f>
        <v>L/18/280225/1</v>
      </c>
      <c r="E1724" s="14" t="str">
        <f>IFERROR(__xludf.DUMMYFUNCTION("""COMPUTED_VALUE"""),"Afriza (BT)")</f>
        <v>Afriza (BT)</v>
      </c>
      <c r="F1724" s="14" t="str">
        <f>IFERROR(__xludf.DUMMYFUNCTION("""COMPUTED_VALUE"""),"SELESAI (VIA PERMOHONAN)")</f>
        <v>SELESAI (VIA PERMOHONAN)</v>
      </c>
      <c r="G1724" s="17">
        <f>IFERROR(__xludf.DUMMYFUNCTION("""COMPUTED_VALUE"""),45762.43624271991)</f>
        <v>45762.43624</v>
      </c>
      <c r="H1724" s="14" t="str">
        <f>IFERROR(__xludf.DUMMYFUNCTION("""COMPUTED_VALUE"""),"Bu Eva (SU)")</f>
        <v>Bu Eva (SU)</v>
      </c>
      <c r="I1724" s="13" t="str">
        <f>IFERROR(__xludf.DUMMYFUNCTION("""COMPUTED_VALUE"""),"SELESAI (VIA PERMOHONAN)")</f>
        <v>SELESAI (VIA PERMOHONAN)</v>
      </c>
      <c r="J1724" s="17">
        <f>IFERROR(__xludf.DUMMYFUNCTION("""COMPUTED_VALUE"""),45762.43624271991)</f>
        <v>45762.43624</v>
      </c>
      <c r="K1724" s="13" t="str">
        <f>IFERROR(__xludf.DUMMYFUNCTION("""COMPUTED_VALUE"""),"Selesai")</f>
        <v>Selesai</v>
      </c>
      <c r="L1724" s="17">
        <f>IFERROR(__xludf.DUMMYFUNCTION("""COMPUTED_VALUE"""),45762.43624271991)</f>
        <v>45762.43624</v>
      </c>
      <c r="M1724" s="13"/>
      <c r="N1724" s="13" t="str">
        <f>IFERROR(__xludf.DUMMYFUNCTION("""COMPUTED_VALUE"""),"")</f>
        <v/>
      </c>
      <c r="O1724" s="13" t="str">
        <f t="shared" si="1"/>
        <v/>
      </c>
    </row>
    <row r="1725" ht="22.5" customHeight="1">
      <c r="B1725" s="13">
        <f>IFERROR(__xludf.DUMMYFUNCTION("""COMPUTED_VALUE"""),1720.0)</f>
        <v>1720</v>
      </c>
      <c r="C1725" s="13" t="str">
        <f>IFERROR(__xludf.DUMMYFUNCTION("""COMPUTED_VALUE"""),"NIB 481/GUNUNG TERANG")</f>
        <v>NIB 481/GUNUNG TERANG</v>
      </c>
      <c r="D1725" s="13" t="str">
        <f>IFERROR(__xludf.DUMMYFUNCTION("""COMPUTED_VALUE"""),"L/8/140325/1")</f>
        <v>L/8/140325/1</v>
      </c>
      <c r="E1725" s="14" t="str">
        <f>IFERROR(__xludf.DUMMYFUNCTION("""COMPUTED_VALUE"""),"Afriza (BT)")</f>
        <v>Afriza (BT)</v>
      </c>
      <c r="F1725" s="14" t="str">
        <f>IFERROR(__xludf.DUMMYFUNCTION("""COMPUTED_VALUE"""),"SELESAI (VIA PERMOHONAN)")</f>
        <v>SELESAI (VIA PERMOHONAN)</v>
      </c>
      <c r="G1725" s="17">
        <f>IFERROR(__xludf.DUMMYFUNCTION("""COMPUTED_VALUE"""),45762.43624271991)</f>
        <v>45762.43624</v>
      </c>
      <c r="H1725" s="14" t="str">
        <f>IFERROR(__xludf.DUMMYFUNCTION("""COMPUTED_VALUE"""),"Bu Eva (SU)")</f>
        <v>Bu Eva (SU)</v>
      </c>
      <c r="I1725" s="13" t="str">
        <f>IFERROR(__xludf.DUMMYFUNCTION("""COMPUTED_VALUE"""),"SELESAI (VIA PERMOHONAN)")</f>
        <v>SELESAI (VIA PERMOHONAN)</v>
      </c>
      <c r="J1725" s="17">
        <f>IFERROR(__xludf.DUMMYFUNCTION("""COMPUTED_VALUE"""),45762.43624271991)</f>
        <v>45762.43624</v>
      </c>
      <c r="K1725" s="13" t="str">
        <f>IFERROR(__xludf.DUMMYFUNCTION("""COMPUTED_VALUE"""),"Selesai")</f>
        <v>Selesai</v>
      </c>
      <c r="L1725" s="17">
        <f>IFERROR(__xludf.DUMMYFUNCTION("""COMPUTED_VALUE"""),45762.43624271991)</f>
        <v>45762.43624</v>
      </c>
      <c r="M1725" s="13"/>
      <c r="N1725" s="13" t="str">
        <f>IFERROR(__xludf.DUMMYFUNCTION("""COMPUTED_VALUE"""),"")</f>
        <v/>
      </c>
      <c r="O1725" s="13" t="str">
        <f t="shared" si="1"/>
        <v/>
      </c>
    </row>
    <row r="1726" ht="22.5" customHeight="1">
      <c r="B1726" s="13">
        <f>IFERROR(__xludf.DUMMYFUNCTION("""COMPUTED_VALUE"""),1721.0)</f>
        <v>1721</v>
      </c>
      <c r="C1726" s="13" t="str">
        <f>IFERROR(__xludf.DUMMYFUNCTION("""COMPUTED_VALUE"""),"M.6990/TANJUNG SENENG")</f>
        <v>M.6990/TANJUNG SENENG</v>
      </c>
      <c r="D1726" s="13" t="str">
        <f>IFERROR(__xludf.DUMMYFUNCTION("""COMPUTED_VALUE"""),"K/34/190325/1")</f>
        <v>K/34/190325/1</v>
      </c>
      <c r="E1726" s="14" t="str">
        <f>IFERROR(__xludf.DUMMYFUNCTION("""COMPUTED_VALUE"""),"Nadian (BT)")</f>
        <v>Nadian (BT)</v>
      </c>
      <c r="F1726" s="14" t="str">
        <f>IFERROR(__xludf.DUMMYFUNCTION("""COMPUTED_VALUE"""),"SELESAI (VIA PERMOHONAN)")</f>
        <v>SELESAI (VIA PERMOHONAN)</v>
      </c>
      <c r="G1726" s="17">
        <f>IFERROR(__xludf.DUMMYFUNCTION("""COMPUTED_VALUE"""),45762.44803375)</f>
        <v>45762.44803</v>
      </c>
      <c r="H1726" s="14" t="str">
        <f>IFERROR(__xludf.DUMMYFUNCTION("""COMPUTED_VALUE"""),"Bu Eva (SU)")</f>
        <v>Bu Eva (SU)</v>
      </c>
      <c r="I1726" s="13" t="str">
        <f>IFERROR(__xludf.DUMMYFUNCTION("""COMPUTED_VALUE"""),"SELESAI (VIA PERMOHONAN)")</f>
        <v>SELESAI (VIA PERMOHONAN)</v>
      </c>
      <c r="J1726" s="17">
        <f>IFERROR(__xludf.DUMMYFUNCTION("""COMPUTED_VALUE"""),45762.653447627315)</f>
        <v>45762.65345</v>
      </c>
      <c r="K1726" s="13" t="str">
        <f>IFERROR(__xludf.DUMMYFUNCTION("""COMPUTED_VALUE"""),"Selesai")</f>
        <v>Selesai</v>
      </c>
      <c r="L1726" s="17">
        <f>IFERROR(__xludf.DUMMYFUNCTION("""COMPUTED_VALUE"""),45762.653447627315)</f>
        <v>45762.65345</v>
      </c>
      <c r="M1726" s="13"/>
      <c r="N1726" s="13" t="str">
        <f>IFERROR(__xludf.DUMMYFUNCTION("""COMPUTED_VALUE"""),"")</f>
        <v/>
      </c>
      <c r="O1726" s="13" t="str">
        <f t="shared" si="1"/>
        <v/>
      </c>
    </row>
    <row r="1727" ht="22.5" customHeight="1">
      <c r="B1727" s="13">
        <f>IFERROR(__xludf.DUMMYFUNCTION("""COMPUTED_VALUE"""),1722.0)</f>
        <v>1722</v>
      </c>
      <c r="C1727" s="13" t="str">
        <f>IFERROR(__xludf.DUMMYFUNCTION("""COMPUTED_VALUE"""),"M.16407/SUKARAME I")</f>
        <v>M.16407/SUKARAME I</v>
      </c>
      <c r="D1727" s="13" t="str">
        <f>IFERROR(__xludf.DUMMYFUNCTION("""COMPUTED_VALUE"""),"K/21/190325/1")</f>
        <v>K/21/190325/1</v>
      </c>
      <c r="E1727" s="14" t="str">
        <f>IFERROR(__xludf.DUMMYFUNCTION("""COMPUTED_VALUE"""),"Nadian (BT)")</f>
        <v>Nadian (BT)</v>
      </c>
      <c r="F1727" s="14" t="str">
        <f>IFERROR(__xludf.DUMMYFUNCTION("""COMPUTED_VALUE"""),"SELESAI (VIA PERMOHONAN)")</f>
        <v>SELESAI (VIA PERMOHONAN)</v>
      </c>
      <c r="G1727" s="17">
        <f>IFERROR(__xludf.DUMMYFUNCTION("""COMPUTED_VALUE"""),45762.44803375)</f>
        <v>45762.44803</v>
      </c>
      <c r="H1727" s="14" t="str">
        <f>IFERROR(__xludf.DUMMYFUNCTION("""COMPUTED_VALUE"""),"Bu Eva (SU)")</f>
        <v>Bu Eva (SU)</v>
      </c>
      <c r="I1727" s="13" t="str">
        <f>IFERROR(__xludf.DUMMYFUNCTION("""COMPUTED_VALUE"""),"SELESAI (VIA PERMOHONAN)")</f>
        <v>SELESAI (VIA PERMOHONAN)</v>
      </c>
      <c r="J1727" s="17">
        <f>IFERROR(__xludf.DUMMYFUNCTION("""COMPUTED_VALUE"""),45762.653447627315)</f>
        <v>45762.65345</v>
      </c>
      <c r="K1727" s="13" t="str">
        <f>IFERROR(__xludf.DUMMYFUNCTION("""COMPUTED_VALUE"""),"Selesai")</f>
        <v>Selesai</v>
      </c>
      <c r="L1727" s="17">
        <f>IFERROR(__xludf.DUMMYFUNCTION("""COMPUTED_VALUE"""),45762.653447627315)</f>
        <v>45762.65345</v>
      </c>
      <c r="M1727" s="13"/>
      <c r="N1727" s="13" t="str">
        <f>IFERROR(__xludf.DUMMYFUNCTION("""COMPUTED_VALUE"""),"")</f>
        <v/>
      </c>
      <c r="O1727" s="13" t="str">
        <f t="shared" si="1"/>
        <v/>
      </c>
    </row>
    <row r="1728" ht="22.5" customHeight="1">
      <c r="B1728" s="13">
        <f>IFERROR(__xludf.DUMMYFUNCTION("""COMPUTED_VALUE"""),1723.0)</f>
        <v>1723</v>
      </c>
      <c r="C1728" s="13" t="str">
        <f>IFERROR(__xludf.DUMMYFUNCTION("""COMPUTED_VALUE"""),"M.3112/KEMILING PERMAI")</f>
        <v>M.3112/KEMILING PERMAI</v>
      </c>
      <c r="D1728" s="13" t="str">
        <f>IFERROR(__xludf.DUMMYFUNCTION("""COMPUTED_VALUE"""),"K/1/200325/1")</f>
        <v>K/1/200325/1</v>
      </c>
      <c r="E1728" s="14" t="str">
        <f>IFERROR(__xludf.DUMMYFUNCTION("""COMPUTED_VALUE"""),"Nadian (BT)")</f>
        <v>Nadian (BT)</v>
      </c>
      <c r="F1728" s="14" t="str">
        <f>IFERROR(__xludf.DUMMYFUNCTION("""COMPUTED_VALUE"""),"SELESAI (VIA PERMOHONAN)")</f>
        <v>SELESAI (VIA PERMOHONAN)</v>
      </c>
      <c r="G1728" s="17">
        <f>IFERROR(__xludf.DUMMYFUNCTION("""COMPUTED_VALUE"""),45762.44803375)</f>
        <v>45762.44803</v>
      </c>
      <c r="H1728" s="14" t="str">
        <f>IFERROR(__xludf.DUMMYFUNCTION("""COMPUTED_VALUE"""),"Bu Eva (SU)")</f>
        <v>Bu Eva (SU)</v>
      </c>
      <c r="I1728" s="13" t="str">
        <f>IFERROR(__xludf.DUMMYFUNCTION("""COMPUTED_VALUE"""),"SELESAI (VIA PERMOHONAN)")</f>
        <v>SELESAI (VIA PERMOHONAN)</v>
      </c>
      <c r="J1728" s="17">
        <f>IFERROR(__xludf.DUMMYFUNCTION("""COMPUTED_VALUE"""),45762.653447627315)</f>
        <v>45762.65345</v>
      </c>
      <c r="K1728" s="13" t="str">
        <f>IFERROR(__xludf.DUMMYFUNCTION("""COMPUTED_VALUE"""),"Selesai")</f>
        <v>Selesai</v>
      </c>
      <c r="L1728" s="17">
        <f>IFERROR(__xludf.DUMMYFUNCTION("""COMPUTED_VALUE"""),45762.653447627315)</f>
        <v>45762.65345</v>
      </c>
      <c r="M1728" s="13"/>
      <c r="N1728" s="13" t="str">
        <f>IFERROR(__xludf.DUMMYFUNCTION("""COMPUTED_VALUE"""),"")</f>
        <v/>
      </c>
      <c r="O1728" s="13" t="str">
        <f t="shared" si="1"/>
        <v/>
      </c>
    </row>
    <row r="1729" ht="22.5" customHeight="1">
      <c r="B1729" s="13">
        <f>IFERROR(__xludf.DUMMYFUNCTION("""COMPUTED_VALUE"""),1724.0)</f>
        <v>1724</v>
      </c>
      <c r="C1729" s="13" t="str">
        <f>IFERROR(__xludf.DUMMYFUNCTION("""COMPUTED_VALUE"""),"M.2661/SUMBER AGUNG")</f>
        <v>M.2661/SUMBER AGUNG</v>
      </c>
      <c r="D1729" s="13" t="str">
        <f>IFERROR(__xludf.DUMMYFUNCTION("""COMPUTED_VALUE"""),"K/32/190325/1")</f>
        <v>K/32/190325/1</v>
      </c>
      <c r="E1729" s="14" t="str">
        <f>IFERROR(__xludf.DUMMYFUNCTION("""COMPUTED_VALUE"""),"Nadian (BT)")</f>
        <v>Nadian (BT)</v>
      </c>
      <c r="F1729" s="14" t="str">
        <f>IFERROR(__xludf.DUMMYFUNCTION("""COMPUTED_VALUE"""),"SELESAI (VIA PERMOHONAN)")</f>
        <v>SELESAI (VIA PERMOHONAN)</v>
      </c>
      <c r="G1729" s="17">
        <f>IFERROR(__xludf.DUMMYFUNCTION("""COMPUTED_VALUE"""),45762.44803375)</f>
        <v>45762.44803</v>
      </c>
      <c r="H1729" s="14" t="str">
        <f>IFERROR(__xludf.DUMMYFUNCTION("""COMPUTED_VALUE"""),"Bu Eva (SU)")</f>
        <v>Bu Eva (SU)</v>
      </c>
      <c r="I1729" s="13" t="str">
        <f>IFERROR(__xludf.DUMMYFUNCTION("""COMPUTED_VALUE"""),"SELESAI (VIA PERMOHONAN)")</f>
        <v>SELESAI (VIA PERMOHONAN)</v>
      </c>
      <c r="J1729" s="17">
        <f>IFERROR(__xludf.DUMMYFUNCTION("""COMPUTED_VALUE"""),45762.653447627315)</f>
        <v>45762.65345</v>
      </c>
      <c r="K1729" s="13" t="str">
        <f>IFERROR(__xludf.DUMMYFUNCTION("""COMPUTED_VALUE"""),"Selesai")</f>
        <v>Selesai</v>
      </c>
      <c r="L1729" s="17">
        <f>IFERROR(__xludf.DUMMYFUNCTION("""COMPUTED_VALUE"""),45762.653447627315)</f>
        <v>45762.65345</v>
      </c>
      <c r="M1729" s="13"/>
      <c r="N1729" s="13" t="str">
        <f>IFERROR(__xludf.DUMMYFUNCTION("""COMPUTED_VALUE"""),"")</f>
        <v/>
      </c>
      <c r="O1729" s="13" t="str">
        <f t="shared" si="1"/>
        <v/>
      </c>
    </row>
    <row r="1730" ht="22.5" customHeight="1">
      <c r="B1730" s="13">
        <f>IFERROR(__xludf.DUMMYFUNCTION("""COMPUTED_VALUE"""),1725.0)</f>
        <v>1725</v>
      </c>
      <c r="C1730" s="13" t="str">
        <f>IFERROR(__xludf.DUMMYFUNCTION("""COMPUTED_VALUE"""),"M. 1364/ Kali Balau Kencana")</f>
        <v>M. 1364/ Kali Balau Kencana</v>
      </c>
      <c r="D1730" s="13" t="str">
        <f>IFERROR(__xludf.DUMMYFUNCTION("""COMPUTED_VALUE"""),"K/10/200325/1")</f>
        <v>K/10/200325/1</v>
      </c>
      <c r="E1730" s="14" t="str">
        <f>IFERROR(__xludf.DUMMYFUNCTION("""COMPUTED_VALUE"""),"Afriza (BT)")</f>
        <v>Afriza (BT)</v>
      </c>
      <c r="F1730" s="14" t="str">
        <f>IFERROR(__xludf.DUMMYFUNCTION("""COMPUTED_VALUE"""),"SELESAI (VIA PERMOHONAN)")</f>
        <v>SELESAI (VIA PERMOHONAN)</v>
      </c>
      <c r="G1730" s="17">
        <f>IFERROR(__xludf.DUMMYFUNCTION("""COMPUTED_VALUE"""),45762.70804625)</f>
        <v>45762.70805</v>
      </c>
      <c r="H1730" s="14" t="str">
        <f>IFERROR(__xludf.DUMMYFUNCTION("""COMPUTED_VALUE"""),"Bu Eva (SU)")</f>
        <v>Bu Eva (SU)</v>
      </c>
      <c r="I1730" s="13" t="str">
        <f>IFERROR(__xludf.DUMMYFUNCTION("""COMPUTED_VALUE"""),"SELESAI (VIA PERMOHONAN)")</f>
        <v>SELESAI (VIA PERMOHONAN)</v>
      </c>
      <c r="J1730" s="17">
        <f>IFERROR(__xludf.DUMMYFUNCTION("""COMPUTED_VALUE"""),45762.70808982639)</f>
        <v>45762.70809</v>
      </c>
      <c r="K1730" s="13" t="str">
        <f>IFERROR(__xludf.DUMMYFUNCTION("""COMPUTED_VALUE"""),"Selesai")</f>
        <v>Selesai</v>
      </c>
      <c r="L1730" s="17">
        <f>IFERROR(__xludf.DUMMYFUNCTION("""COMPUTED_VALUE"""),45762.70808982639)</f>
        <v>45762.70809</v>
      </c>
      <c r="M1730" s="13"/>
      <c r="N1730" s="13" t="str">
        <f>IFERROR(__xludf.DUMMYFUNCTION("""COMPUTED_VALUE"""),"")</f>
        <v/>
      </c>
      <c r="O1730" s="13" t="str">
        <f t="shared" si="1"/>
        <v/>
      </c>
    </row>
    <row r="1731" ht="22.5" customHeight="1">
      <c r="B1731" s="13">
        <f>IFERROR(__xludf.DUMMYFUNCTION("""COMPUTED_VALUE"""),1726.0)</f>
        <v>1726</v>
      </c>
      <c r="C1731" s="13" t="str">
        <f>IFERROR(__xludf.DUMMYFUNCTION("""COMPUTED_VALUE"""),"M. 10492/ Segala Mider")</f>
        <v>M. 10492/ Segala Mider</v>
      </c>
      <c r="D1731" s="13" t="str">
        <f>IFERROR(__xludf.DUMMYFUNCTION("""COMPUTED_VALUE"""),"K/12/250325/1")</f>
        <v>K/12/250325/1</v>
      </c>
      <c r="E1731" s="14" t="str">
        <f>IFERROR(__xludf.DUMMYFUNCTION("""COMPUTED_VALUE"""),"Afriza (BT)")</f>
        <v>Afriza (BT)</v>
      </c>
      <c r="F1731" s="14" t="str">
        <f>IFERROR(__xludf.DUMMYFUNCTION("""COMPUTED_VALUE"""),"SELESAI (VIA PERMOHONAN)")</f>
        <v>SELESAI (VIA PERMOHONAN)</v>
      </c>
      <c r="G1731" s="17">
        <f>IFERROR(__xludf.DUMMYFUNCTION("""COMPUTED_VALUE"""),45762.708312766204)</f>
        <v>45762.70831</v>
      </c>
      <c r="H1731" s="14" t="str">
        <f>IFERROR(__xludf.DUMMYFUNCTION("""COMPUTED_VALUE"""),"Bu Eva (SU)")</f>
        <v>Bu Eva (SU)</v>
      </c>
      <c r="I1731" s="13" t="str">
        <f>IFERROR(__xludf.DUMMYFUNCTION("""COMPUTED_VALUE"""),"SELESAI (VIA PERMOHONAN)")</f>
        <v>SELESAI (VIA PERMOHONAN)</v>
      </c>
      <c r="J1731" s="17">
        <f>IFERROR(__xludf.DUMMYFUNCTION("""COMPUTED_VALUE"""),45763.395322488424)</f>
        <v>45763.39532</v>
      </c>
      <c r="K1731" s="13" t="str">
        <f>IFERROR(__xludf.DUMMYFUNCTION("""COMPUTED_VALUE"""),"Selesai")</f>
        <v>Selesai</v>
      </c>
      <c r="L1731" s="17">
        <f>IFERROR(__xludf.DUMMYFUNCTION("""COMPUTED_VALUE"""),45763.395322488424)</f>
        <v>45763.39532</v>
      </c>
      <c r="M1731" s="13"/>
      <c r="N1731" s="13" t="str">
        <f>IFERROR(__xludf.DUMMYFUNCTION("""COMPUTED_VALUE"""),"")</f>
        <v/>
      </c>
      <c r="O1731" s="13" t="str">
        <f t="shared" si="1"/>
        <v/>
      </c>
    </row>
    <row r="1732" ht="22.5" customHeight="1">
      <c r="B1732" s="13">
        <f>IFERROR(__xludf.DUMMYFUNCTION("""COMPUTED_VALUE"""),1727.0)</f>
        <v>1727</v>
      </c>
      <c r="C1732" s="13" t="str">
        <f>IFERROR(__xludf.DUMMYFUNCTION("""COMPUTED_VALUE"""),"M. 1390/ Bumi Kedamaian")</f>
        <v>M. 1390/ Bumi Kedamaian</v>
      </c>
      <c r="D1732" s="13" t="str">
        <f>IFERROR(__xludf.DUMMYFUNCTION("""COMPUTED_VALUE"""),"K/15/260325/1")</f>
        <v>K/15/260325/1</v>
      </c>
      <c r="E1732" s="14" t="str">
        <f>IFERROR(__xludf.DUMMYFUNCTION("""COMPUTED_VALUE"""),"Afriza (BT)")</f>
        <v>Afriza (BT)</v>
      </c>
      <c r="F1732" s="14" t="str">
        <f>IFERROR(__xludf.DUMMYFUNCTION("""COMPUTED_VALUE"""),"SELESAI (VIA PERMOHONAN)")</f>
        <v>SELESAI (VIA PERMOHONAN)</v>
      </c>
      <c r="G1732" s="17">
        <f>IFERROR(__xludf.DUMMYFUNCTION("""COMPUTED_VALUE"""),45762.708446041666)</f>
        <v>45762.70845</v>
      </c>
      <c r="H1732" s="14" t="str">
        <f>IFERROR(__xludf.DUMMYFUNCTION("""COMPUTED_VALUE"""),"Bu Eva (SU)")</f>
        <v>Bu Eva (SU)</v>
      </c>
      <c r="I1732" s="13" t="str">
        <f>IFERROR(__xludf.DUMMYFUNCTION("""COMPUTED_VALUE"""),"SELESAI (VIA PERMOHONAN)")</f>
        <v>SELESAI (VIA PERMOHONAN)</v>
      </c>
      <c r="J1732" s="17">
        <f>IFERROR(__xludf.DUMMYFUNCTION("""COMPUTED_VALUE"""),45763.3953225)</f>
        <v>45763.39532</v>
      </c>
      <c r="K1732" s="13" t="str">
        <f>IFERROR(__xludf.DUMMYFUNCTION("""COMPUTED_VALUE"""),"Selesai")</f>
        <v>Selesai</v>
      </c>
      <c r="L1732" s="17">
        <f>IFERROR(__xludf.DUMMYFUNCTION("""COMPUTED_VALUE"""),45763.3953225)</f>
        <v>45763.39532</v>
      </c>
      <c r="M1732" s="13"/>
      <c r="N1732" s="13" t="str">
        <f>IFERROR(__xludf.DUMMYFUNCTION("""COMPUTED_VALUE"""),"")</f>
        <v/>
      </c>
      <c r="O1732" s="13" t="str">
        <f t="shared" si="1"/>
        <v/>
      </c>
    </row>
    <row r="1733" ht="22.5" customHeight="1">
      <c r="B1733" s="13">
        <f>IFERROR(__xludf.DUMMYFUNCTION("""COMPUTED_VALUE"""),1728.0)</f>
        <v>1728</v>
      </c>
      <c r="C1733" s="13" t="str">
        <f>IFERROR(__xludf.DUMMYFUNCTION("""COMPUTED_VALUE"""),"M. 744/ Rajabasa Jaya")</f>
        <v>M. 744/ Rajabasa Jaya</v>
      </c>
      <c r="D1733" s="13" t="str">
        <f>IFERROR(__xludf.DUMMYFUNCTION("""COMPUTED_VALUE"""),"K/16/260325/2")</f>
        <v>K/16/260325/2</v>
      </c>
      <c r="E1733" s="14" t="str">
        <f>IFERROR(__xludf.DUMMYFUNCTION("""COMPUTED_VALUE"""),"Afriza (BT)")</f>
        <v>Afriza (BT)</v>
      </c>
      <c r="F1733" s="14" t="str">
        <f>IFERROR(__xludf.DUMMYFUNCTION("""COMPUTED_VALUE"""),"SELESAI (VIA PERMOHONAN)")</f>
        <v>SELESAI (VIA PERMOHONAN)</v>
      </c>
      <c r="G1733" s="17">
        <f>IFERROR(__xludf.DUMMYFUNCTION("""COMPUTED_VALUE"""),45762.70857)</f>
        <v>45762.70857</v>
      </c>
      <c r="H1733" s="14" t="str">
        <f>IFERROR(__xludf.DUMMYFUNCTION("""COMPUTED_VALUE"""),"Bu Eva (SU)")</f>
        <v>Bu Eva (SU)</v>
      </c>
      <c r="I1733" s="13" t="str">
        <f>IFERROR(__xludf.DUMMYFUNCTION("""COMPUTED_VALUE"""),"SELESAI (VIA PERMOHONAN)")</f>
        <v>SELESAI (VIA PERMOHONAN)</v>
      </c>
      <c r="J1733" s="17">
        <f>IFERROR(__xludf.DUMMYFUNCTION("""COMPUTED_VALUE"""),45763.3953225)</f>
        <v>45763.39532</v>
      </c>
      <c r="K1733" s="13" t="str">
        <f>IFERROR(__xludf.DUMMYFUNCTION("""COMPUTED_VALUE"""),"Selesai")</f>
        <v>Selesai</v>
      </c>
      <c r="L1733" s="17">
        <f>IFERROR(__xludf.DUMMYFUNCTION("""COMPUTED_VALUE"""),45763.3953225)</f>
        <v>45763.39532</v>
      </c>
      <c r="M1733" s="13"/>
      <c r="N1733" s="13" t="str">
        <f>IFERROR(__xludf.DUMMYFUNCTION("""COMPUTED_VALUE"""),"")</f>
        <v/>
      </c>
      <c r="O1733" s="13" t="str">
        <f t="shared" si="1"/>
        <v/>
      </c>
    </row>
    <row r="1734" ht="22.5" customHeight="1">
      <c r="B1734" s="13">
        <f>IFERROR(__xludf.DUMMYFUNCTION("""COMPUTED_VALUE"""),1729.0)</f>
        <v>1729</v>
      </c>
      <c r="C1734" s="13" t="str">
        <f>IFERROR(__xludf.DUMMYFUNCTION("""COMPUTED_VALUE"""),"M. 352/ Batu Putuk")</f>
        <v>M. 352/ Batu Putuk</v>
      </c>
      <c r="D1734" s="13" t="str">
        <f>IFERROR(__xludf.DUMMYFUNCTION("""COMPUTED_VALUE"""),"K/31/260325/1")</f>
        <v>K/31/260325/1</v>
      </c>
      <c r="E1734" s="14" t="str">
        <f>IFERROR(__xludf.DUMMYFUNCTION("""COMPUTED_VALUE"""),"Afriza (BT)")</f>
        <v>Afriza (BT)</v>
      </c>
      <c r="F1734" s="14" t="str">
        <f>IFERROR(__xludf.DUMMYFUNCTION("""COMPUTED_VALUE"""),"SELESAI (VIA PERMOHONAN)")</f>
        <v>SELESAI (VIA PERMOHONAN)</v>
      </c>
      <c r="G1734" s="17">
        <f>IFERROR(__xludf.DUMMYFUNCTION("""COMPUTED_VALUE"""),45762.70862979167)</f>
        <v>45762.70863</v>
      </c>
      <c r="H1734" s="14" t="str">
        <f>IFERROR(__xludf.DUMMYFUNCTION("""COMPUTED_VALUE"""),"Bu Eva (SU)")</f>
        <v>Bu Eva (SU)</v>
      </c>
      <c r="I1734" s="13" t="str">
        <f>IFERROR(__xludf.DUMMYFUNCTION("""COMPUTED_VALUE"""),"SELESAI (VIA PERMOHONAN)")</f>
        <v>SELESAI (VIA PERMOHONAN)</v>
      </c>
      <c r="J1734" s="17">
        <f>IFERROR(__xludf.DUMMYFUNCTION("""COMPUTED_VALUE"""),45763.3953225)</f>
        <v>45763.39532</v>
      </c>
      <c r="K1734" s="13" t="str">
        <f>IFERROR(__xludf.DUMMYFUNCTION("""COMPUTED_VALUE"""),"Selesai")</f>
        <v>Selesai</v>
      </c>
      <c r="L1734" s="17">
        <f>IFERROR(__xludf.DUMMYFUNCTION("""COMPUTED_VALUE"""),45763.3953225)</f>
        <v>45763.39532</v>
      </c>
      <c r="M1734" s="13"/>
      <c r="N1734" s="13" t="str">
        <f>IFERROR(__xludf.DUMMYFUNCTION("""COMPUTED_VALUE"""),"")</f>
        <v/>
      </c>
      <c r="O1734" s="13" t="str">
        <f t="shared" si="1"/>
        <v/>
      </c>
    </row>
    <row r="1735" ht="22.5" customHeight="1">
      <c r="B1735" s="13">
        <f>IFERROR(__xludf.DUMMYFUNCTION("""COMPUTED_VALUE"""),1730.0)</f>
        <v>1730</v>
      </c>
      <c r="C1735" s="13" t="str">
        <f>IFERROR(__xludf.DUMMYFUNCTION("""COMPUTED_VALUE"""),"M. 1798/ Rajabasa Pemuka")</f>
        <v>M. 1798/ Rajabasa Pemuka</v>
      </c>
      <c r="D1735" s="13" t="str">
        <f>IFERROR(__xludf.DUMMYFUNCTION("""COMPUTED_VALUE"""),"K/38/170325/1")</f>
        <v>K/38/170325/1</v>
      </c>
      <c r="E1735" s="14" t="str">
        <f>IFERROR(__xludf.DUMMYFUNCTION("""COMPUTED_VALUE"""),"Afriza (BT)")</f>
        <v>Afriza (BT)</v>
      </c>
      <c r="F1735" s="14" t="str">
        <f>IFERROR(__xludf.DUMMYFUNCTION("""COMPUTED_VALUE"""),"SELESAI (VIA PERMOHONAN)")</f>
        <v>SELESAI (VIA PERMOHONAN)</v>
      </c>
      <c r="G1735" s="17">
        <f>IFERROR(__xludf.DUMMYFUNCTION("""COMPUTED_VALUE"""),45762.70878339121)</f>
        <v>45762.70878</v>
      </c>
      <c r="H1735" s="14" t="str">
        <f>IFERROR(__xludf.DUMMYFUNCTION("""COMPUTED_VALUE"""),"Bu Eva (SU)")</f>
        <v>Bu Eva (SU)</v>
      </c>
      <c r="I1735" s="13" t="str">
        <f>IFERROR(__xludf.DUMMYFUNCTION("""COMPUTED_VALUE"""),"SELESAI (VIA PERMOHONAN)")</f>
        <v>SELESAI (VIA PERMOHONAN)</v>
      </c>
      <c r="J1735" s="17">
        <f>IFERROR(__xludf.DUMMYFUNCTION("""COMPUTED_VALUE"""),45763.3953225)</f>
        <v>45763.39532</v>
      </c>
      <c r="K1735" s="13" t="str">
        <f>IFERROR(__xludf.DUMMYFUNCTION("""COMPUTED_VALUE"""),"Selesai")</f>
        <v>Selesai</v>
      </c>
      <c r="L1735" s="17">
        <f>IFERROR(__xludf.DUMMYFUNCTION("""COMPUTED_VALUE"""),45763.3953225)</f>
        <v>45763.39532</v>
      </c>
      <c r="M1735" s="13"/>
      <c r="N1735" s="13" t="str">
        <f>IFERROR(__xludf.DUMMYFUNCTION("""COMPUTED_VALUE"""),"")</f>
        <v/>
      </c>
      <c r="O1735" s="13" t="str">
        <f t="shared" si="1"/>
        <v/>
      </c>
    </row>
    <row r="1736" ht="22.5" customHeight="1">
      <c r="B1736" s="13">
        <f>IFERROR(__xludf.DUMMYFUNCTION("""COMPUTED_VALUE"""),1731.0)</f>
        <v>1731</v>
      </c>
      <c r="C1736" s="13" t="str">
        <f>IFERROR(__xludf.DUMMYFUNCTION("""COMPUTED_VALUE"""),"M. 5984/ Way Kandis")</f>
        <v>M. 5984/ Way Kandis</v>
      </c>
      <c r="D1736" s="13" t="str">
        <f>IFERROR(__xludf.DUMMYFUNCTION("""COMPUTED_VALUE"""),"K/27/130325/2")</f>
        <v>K/27/130325/2</v>
      </c>
      <c r="E1736" s="14" t="str">
        <f>IFERROR(__xludf.DUMMYFUNCTION("""COMPUTED_VALUE"""),"Afriza (BT)")</f>
        <v>Afriza (BT)</v>
      </c>
      <c r="F1736" s="14" t="str">
        <f>IFERROR(__xludf.DUMMYFUNCTION("""COMPUTED_VALUE"""),"SELESAI (VIA PERMOHONAN)")</f>
        <v>SELESAI (VIA PERMOHONAN)</v>
      </c>
      <c r="G1736" s="17">
        <f>IFERROR(__xludf.DUMMYFUNCTION("""COMPUTED_VALUE"""),45762.70880768519)</f>
        <v>45762.70881</v>
      </c>
      <c r="H1736" s="14" t="str">
        <f>IFERROR(__xludf.DUMMYFUNCTION("""COMPUTED_VALUE"""),"Bu Eva (SU)")</f>
        <v>Bu Eva (SU)</v>
      </c>
      <c r="I1736" s="13" t="str">
        <f>IFERROR(__xludf.DUMMYFUNCTION("""COMPUTED_VALUE"""),"SELESAI (VIA PERMOHONAN)")</f>
        <v>SELESAI (VIA PERMOHONAN)</v>
      </c>
      <c r="J1736" s="17">
        <f>IFERROR(__xludf.DUMMYFUNCTION("""COMPUTED_VALUE"""),45763.39536119213)</f>
        <v>45763.39536</v>
      </c>
      <c r="K1736" s="13" t="str">
        <f>IFERROR(__xludf.DUMMYFUNCTION("""COMPUTED_VALUE"""),"Selesai")</f>
        <v>Selesai</v>
      </c>
      <c r="L1736" s="17">
        <f>IFERROR(__xludf.DUMMYFUNCTION("""COMPUTED_VALUE"""),45763.39536119213)</f>
        <v>45763.39536</v>
      </c>
      <c r="M1736" s="13"/>
      <c r="N1736" s="13" t="str">
        <f>IFERROR(__xludf.DUMMYFUNCTION("""COMPUTED_VALUE"""),"")</f>
        <v/>
      </c>
      <c r="O1736" s="13" t="str">
        <f t="shared" si="1"/>
        <v/>
      </c>
    </row>
    <row r="1737" ht="22.5" customHeight="1">
      <c r="B1737" s="13">
        <f>IFERROR(__xludf.DUMMYFUNCTION("""COMPUTED_VALUE"""),1732.0)</f>
        <v>1732</v>
      </c>
      <c r="C1737" s="13" t="str">
        <f>IFERROR(__xludf.DUMMYFUNCTION("""COMPUTED_VALUE"""),"M.1924/RAJABASA RAYA")</f>
        <v>M.1924/RAJABASA RAYA</v>
      </c>
      <c r="D1737" s="13" t="str">
        <f>IFERROR(__xludf.DUMMYFUNCTION("""COMPUTED_VALUE"""),"K/11/190325/1")</f>
        <v>K/11/190325/1</v>
      </c>
      <c r="E1737" s="14" t="str">
        <f>IFERROR(__xludf.DUMMYFUNCTION("""COMPUTED_VALUE"""),"Nadian (BT)")</f>
        <v>Nadian (BT)</v>
      </c>
      <c r="F1737" s="14" t="str">
        <f>IFERROR(__xludf.DUMMYFUNCTION("""COMPUTED_VALUE"""),"SELESAI (VIA PERMOHONAN)")</f>
        <v>SELESAI (VIA PERMOHONAN)</v>
      </c>
      <c r="G1737" s="17">
        <f>IFERROR(__xludf.DUMMYFUNCTION("""COMPUTED_VALUE"""),45763.54956800926)</f>
        <v>45763.54957</v>
      </c>
      <c r="H1737" s="14" t="str">
        <f>IFERROR(__xludf.DUMMYFUNCTION("""COMPUTED_VALUE"""),"Bu Eva (SU)")</f>
        <v>Bu Eva (SU)</v>
      </c>
      <c r="I1737" s="13" t="str">
        <f>IFERROR(__xludf.DUMMYFUNCTION("""COMPUTED_VALUE"""),"SELESAI (VIA PERMOHONAN)")</f>
        <v>SELESAI (VIA PERMOHONAN)</v>
      </c>
      <c r="J1737" s="17">
        <f>IFERROR(__xludf.DUMMYFUNCTION("""COMPUTED_VALUE"""),45763.63900149305)</f>
        <v>45763.639</v>
      </c>
      <c r="K1737" s="13" t="str">
        <f>IFERROR(__xludf.DUMMYFUNCTION("""COMPUTED_VALUE"""),"Selesai")</f>
        <v>Selesai</v>
      </c>
      <c r="L1737" s="17">
        <f>IFERROR(__xludf.DUMMYFUNCTION("""COMPUTED_VALUE"""),45763.63900149305)</f>
        <v>45763.639</v>
      </c>
      <c r="M1737" s="13"/>
      <c r="N1737" s="13" t="str">
        <f>IFERROR(__xludf.DUMMYFUNCTION("""COMPUTED_VALUE"""),"")</f>
        <v/>
      </c>
      <c r="O1737" s="13" t="str">
        <f t="shared" si="1"/>
        <v/>
      </c>
    </row>
    <row r="1738" ht="22.5" customHeight="1">
      <c r="B1738" s="13">
        <f>IFERROR(__xludf.DUMMYFUNCTION("""COMPUTED_VALUE"""),1733.0)</f>
        <v>1733</v>
      </c>
      <c r="C1738" s="13" t="str">
        <f>IFERROR(__xludf.DUMMYFUNCTION("""COMPUTED_VALUE"""),"M. 14230/SEGAKA MIDER")</f>
        <v>M. 14230/SEGAKA MIDER</v>
      </c>
      <c r="D1738" s="13" t="str">
        <f>IFERROR(__xludf.DUMMYFUNCTION("""COMPUTED_VALUE"""),"K/11/250325/1")</f>
        <v>K/11/250325/1</v>
      </c>
      <c r="E1738" s="14" t="str">
        <f>IFERROR(__xludf.DUMMYFUNCTION("""COMPUTED_VALUE"""),"Nadian (BT)")</f>
        <v>Nadian (BT)</v>
      </c>
      <c r="F1738" s="14" t="str">
        <f>IFERROR(__xludf.DUMMYFUNCTION("""COMPUTED_VALUE"""),"SELESAI (VIA PERMOHONAN)")</f>
        <v>SELESAI (VIA PERMOHONAN)</v>
      </c>
      <c r="G1738" s="17">
        <f>IFERROR(__xludf.DUMMYFUNCTION("""COMPUTED_VALUE"""),45763.54956800926)</f>
        <v>45763.54957</v>
      </c>
      <c r="H1738" s="14" t="str">
        <f>IFERROR(__xludf.DUMMYFUNCTION("""COMPUTED_VALUE"""),"Bu Eva (SU)")</f>
        <v>Bu Eva (SU)</v>
      </c>
      <c r="I1738" s="13" t="str">
        <f>IFERROR(__xludf.DUMMYFUNCTION("""COMPUTED_VALUE"""),"SELESAI (VIA PERMOHONAN)")</f>
        <v>SELESAI (VIA PERMOHONAN)</v>
      </c>
      <c r="J1738" s="17">
        <f>IFERROR(__xludf.DUMMYFUNCTION("""COMPUTED_VALUE"""),45763.63900149305)</f>
        <v>45763.639</v>
      </c>
      <c r="K1738" s="13" t="str">
        <f>IFERROR(__xludf.DUMMYFUNCTION("""COMPUTED_VALUE"""),"Selesai")</f>
        <v>Selesai</v>
      </c>
      <c r="L1738" s="17">
        <f>IFERROR(__xludf.DUMMYFUNCTION("""COMPUTED_VALUE"""),45763.63900149305)</f>
        <v>45763.639</v>
      </c>
      <c r="M1738" s="13"/>
      <c r="N1738" s="13" t="str">
        <f>IFERROR(__xludf.DUMMYFUNCTION("""COMPUTED_VALUE"""),"")</f>
        <v/>
      </c>
      <c r="O1738" s="13" t="str">
        <f t="shared" si="1"/>
        <v/>
      </c>
    </row>
    <row r="1739" ht="22.5" customHeight="1">
      <c r="B1739" s="13">
        <f>IFERROR(__xludf.DUMMYFUNCTION("""COMPUTED_VALUE"""),1734.0)</f>
        <v>1734</v>
      </c>
      <c r="C1739" s="13" t="str">
        <f>IFERROR(__xludf.DUMMYFUNCTION("""COMPUTED_VALUE"""),"M. 415/PENENGAHAN")</f>
        <v>M. 415/PENENGAHAN</v>
      </c>
      <c r="D1739" s="13" t="str">
        <f>IFERROR(__xludf.DUMMYFUNCTION("""COMPUTED_VALUE"""),"K/18/100425/1")</f>
        <v>K/18/100425/1</v>
      </c>
      <c r="E1739" s="14" t="str">
        <f>IFERROR(__xludf.DUMMYFUNCTION("""COMPUTED_VALUE"""),"Nadian (BT)")</f>
        <v>Nadian (BT)</v>
      </c>
      <c r="F1739" s="14" t="str">
        <f>IFERROR(__xludf.DUMMYFUNCTION("""COMPUTED_VALUE"""),"SELESAI (VIA PERMOHONAN)")</f>
        <v>SELESAI (VIA PERMOHONAN)</v>
      </c>
      <c r="G1739" s="17">
        <f>IFERROR(__xludf.DUMMYFUNCTION("""COMPUTED_VALUE"""),45763.54956800926)</f>
        <v>45763.54957</v>
      </c>
      <c r="H1739" s="14" t="str">
        <f>IFERROR(__xludf.DUMMYFUNCTION("""COMPUTED_VALUE"""),"Bu Eva (SU)")</f>
        <v>Bu Eva (SU)</v>
      </c>
      <c r="I1739" s="13" t="str">
        <f>IFERROR(__xludf.DUMMYFUNCTION("""COMPUTED_VALUE"""),"SELESAI (VIA PERMOHONAN)")</f>
        <v>SELESAI (VIA PERMOHONAN)</v>
      </c>
      <c r="J1739" s="17">
        <f>IFERROR(__xludf.DUMMYFUNCTION("""COMPUTED_VALUE"""),45763.63900149305)</f>
        <v>45763.639</v>
      </c>
      <c r="K1739" s="13" t="str">
        <f>IFERROR(__xludf.DUMMYFUNCTION("""COMPUTED_VALUE"""),"Selesai")</f>
        <v>Selesai</v>
      </c>
      <c r="L1739" s="17">
        <f>IFERROR(__xludf.DUMMYFUNCTION("""COMPUTED_VALUE"""),45763.63900149305)</f>
        <v>45763.639</v>
      </c>
      <c r="M1739" s="13"/>
      <c r="N1739" s="13" t="str">
        <f>IFERROR(__xludf.DUMMYFUNCTION("""COMPUTED_VALUE"""),"")</f>
        <v/>
      </c>
      <c r="O1739" s="13" t="str">
        <f t="shared" si="1"/>
        <v/>
      </c>
    </row>
    <row r="1740" ht="22.5" customHeight="1">
      <c r="B1740" s="13">
        <f>IFERROR(__xludf.DUMMYFUNCTION("""COMPUTED_VALUE"""),1735.0)</f>
        <v>1735</v>
      </c>
      <c r="C1740" s="13" t="str">
        <f>IFERROR(__xludf.DUMMYFUNCTION("""COMPUTED_VALUE"""),"M.461/RAJABASA NUNYAI")</f>
        <v>M.461/RAJABASA NUNYAI</v>
      </c>
      <c r="D1740" s="13" t="str">
        <f>IFERROR(__xludf.DUMMYFUNCTION("""COMPUTED_VALUE"""),"L/2/070425/PELATARAN")</f>
        <v>L/2/070425/PELATARAN</v>
      </c>
      <c r="E1740" s="14" t="str">
        <f>IFERROR(__xludf.DUMMYFUNCTION("""COMPUTED_VALUE"""),"Nadian (BT)")</f>
        <v>Nadian (BT)</v>
      </c>
      <c r="F1740" s="14" t="str">
        <f>IFERROR(__xludf.DUMMYFUNCTION("""COMPUTED_VALUE"""),"SELESAI (VIA PERMOHONAN)")</f>
        <v>SELESAI (VIA PERMOHONAN)</v>
      </c>
      <c r="G1740" s="17">
        <f>IFERROR(__xludf.DUMMYFUNCTION("""COMPUTED_VALUE"""),45763.54956800926)</f>
        <v>45763.54957</v>
      </c>
      <c r="H1740" s="14" t="str">
        <f>IFERROR(__xludf.DUMMYFUNCTION("""COMPUTED_VALUE"""),"Bu Eva (SU)")</f>
        <v>Bu Eva (SU)</v>
      </c>
      <c r="I1740" s="13" t="str">
        <f>IFERROR(__xludf.DUMMYFUNCTION("""COMPUTED_VALUE"""),"SELESAI (VIA PERMOHONAN)")</f>
        <v>SELESAI (VIA PERMOHONAN)</v>
      </c>
      <c r="J1740" s="17">
        <f>IFERROR(__xludf.DUMMYFUNCTION("""COMPUTED_VALUE"""),45763.63900149305)</f>
        <v>45763.639</v>
      </c>
      <c r="K1740" s="13" t="str">
        <f>IFERROR(__xludf.DUMMYFUNCTION("""COMPUTED_VALUE"""),"Selesai")</f>
        <v>Selesai</v>
      </c>
      <c r="L1740" s="17">
        <f>IFERROR(__xludf.DUMMYFUNCTION("""COMPUTED_VALUE"""),45763.63900149305)</f>
        <v>45763.639</v>
      </c>
      <c r="M1740" s="13"/>
      <c r="N1740" s="13" t="str">
        <f>IFERROR(__xludf.DUMMYFUNCTION("""COMPUTED_VALUE"""),"")</f>
        <v/>
      </c>
      <c r="O1740" s="13" t="str">
        <f t="shared" si="1"/>
        <v/>
      </c>
    </row>
    <row r="1741" ht="22.5" customHeight="1">
      <c r="B1741" s="13">
        <f>IFERROR(__xludf.DUMMYFUNCTION("""COMPUTED_VALUE"""),1736.0)</f>
        <v>1736</v>
      </c>
      <c r="C1741" s="13" t="str">
        <f>IFERROR(__xludf.DUMMYFUNCTION("""COMPUTED_VALUE"""),"M.2047/BERINGIN RAYA")</f>
        <v>M.2047/BERINGIN RAYA</v>
      </c>
      <c r="D1741" s="13" t="str">
        <f>IFERROR(__xludf.DUMMYFUNCTION("""COMPUTED_VALUE"""),"K/7/170325/1")</f>
        <v>K/7/170325/1</v>
      </c>
      <c r="E1741" s="14" t="str">
        <f>IFERROR(__xludf.DUMMYFUNCTION("""COMPUTED_VALUE"""),"Nadian (BT)")</f>
        <v>Nadian (BT)</v>
      </c>
      <c r="F1741" s="14" t="str">
        <f>IFERROR(__xludf.DUMMYFUNCTION("""COMPUTED_VALUE"""),"SELESAI (VIA PERMOHONAN)")</f>
        <v>SELESAI (VIA PERMOHONAN)</v>
      </c>
      <c r="G1741" s="17">
        <f>IFERROR(__xludf.DUMMYFUNCTION("""COMPUTED_VALUE"""),45763.54956800926)</f>
        <v>45763.54957</v>
      </c>
      <c r="H1741" s="14" t="str">
        <f>IFERROR(__xludf.DUMMYFUNCTION("""COMPUTED_VALUE"""),"Bu Eva (SU)")</f>
        <v>Bu Eva (SU)</v>
      </c>
      <c r="I1741" s="13" t="str">
        <f>IFERROR(__xludf.DUMMYFUNCTION("""COMPUTED_VALUE"""),"SELESAI (VIA PERMOHONAN)")</f>
        <v>SELESAI (VIA PERMOHONAN)</v>
      </c>
      <c r="J1741" s="17">
        <f>IFERROR(__xludf.DUMMYFUNCTION("""COMPUTED_VALUE"""),45763.63900149305)</f>
        <v>45763.639</v>
      </c>
      <c r="K1741" s="13" t="str">
        <f>IFERROR(__xludf.DUMMYFUNCTION("""COMPUTED_VALUE"""),"Selesai")</f>
        <v>Selesai</v>
      </c>
      <c r="L1741" s="17">
        <f>IFERROR(__xludf.DUMMYFUNCTION("""COMPUTED_VALUE"""),45763.63900149305)</f>
        <v>45763.639</v>
      </c>
      <c r="M1741" s="13"/>
      <c r="N1741" s="13" t="str">
        <f>IFERROR(__xludf.DUMMYFUNCTION("""COMPUTED_VALUE"""),"")</f>
        <v/>
      </c>
      <c r="O1741" s="13" t="str">
        <f t="shared" si="1"/>
        <v/>
      </c>
    </row>
    <row r="1742" ht="22.5" customHeight="1">
      <c r="B1742" s="13">
        <f>IFERROR(__xludf.DUMMYFUNCTION("""COMPUTED_VALUE"""),1737.0)</f>
        <v>1737</v>
      </c>
      <c r="C1742" s="13" t="str">
        <f>IFERROR(__xludf.DUMMYFUNCTION("""COMPUTED_VALUE"""),"B.209/SUKARAJA")</f>
        <v>B.209/SUKARAJA</v>
      </c>
      <c r="D1742" s="13" t="str">
        <f>IFERROR(__xludf.DUMMYFUNCTION("""COMPUTED_VALUE"""),"L/1/070425/PELATARAN")</f>
        <v>L/1/070425/PELATARAN</v>
      </c>
      <c r="E1742" s="14" t="str">
        <f>IFERROR(__xludf.DUMMYFUNCTION("""COMPUTED_VALUE"""),"Nadian (BT)")</f>
        <v>Nadian (BT)</v>
      </c>
      <c r="F1742" s="14" t="str">
        <f>IFERROR(__xludf.DUMMYFUNCTION("""COMPUTED_VALUE"""),"SELESAI (VIA PERMOHONAN)")</f>
        <v>SELESAI (VIA PERMOHONAN)</v>
      </c>
      <c r="G1742" s="17">
        <f>IFERROR(__xludf.DUMMYFUNCTION("""COMPUTED_VALUE"""),45763.54956800926)</f>
        <v>45763.54957</v>
      </c>
      <c r="H1742" s="14" t="str">
        <f>IFERROR(__xludf.DUMMYFUNCTION("""COMPUTED_VALUE"""),"Bu Eva (SU)")</f>
        <v>Bu Eva (SU)</v>
      </c>
      <c r="I1742" s="13" t="str">
        <f>IFERROR(__xludf.DUMMYFUNCTION("""COMPUTED_VALUE"""),"SELESAI (VIA PERMOHONAN)")</f>
        <v>SELESAI (VIA PERMOHONAN)</v>
      </c>
      <c r="J1742" s="17">
        <f>IFERROR(__xludf.DUMMYFUNCTION("""COMPUTED_VALUE"""),45763.63900149305)</f>
        <v>45763.639</v>
      </c>
      <c r="K1742" s="13" t="str">
        <f>IFERROR(__xludf.DUMMYFUNCTION("""COMPUTED_VALUE"""),"Selesai")</f>
        <v>Selesai</v>
      </c>
      <c r="L1742" s="17">
        <f>IFERROR(__xludf.DUMMYFUNCTION("""COMPUTED_VALUE"""),45763.63900149305)</f>
        <v>45763.639</v>
      </c>
      <c r="M1742" s="13"/>
      <c r="N1742" s="13" t="str">
        <f>IFERROR(__xludf.DUMMYFUNCTION("""COMPUTED_VALUE"""),"")</f>
        <v/>
      </c>
      <c r="O1742" s="13" t="str">
        <f t="shared" si="1"/>
        <v/>
      </c>
    </row>
    <row r="1743" ht="22.5" customHeight="1">
      <c r="B1743" s="13">
        <f>IFERROR(__xludf.DUMMYFUNCTION("""COMPUTED_VALUE"""),1738.0)</f>
        <v>1738</v>
      </c>
      <c r="C1743" s="13" t="str">
        <f>IFERROR(__xludf.DUMMYFUNCTION("""COMPUTED_VALUE"""),"M. 466/KOTA SEPANG")</f>
        <v>M. 466/KOTA SEPANG</v>
      </c>
      <c r="D1743" s="13" t="str">
        <f>IFERROR(__xludf.DUMMYFUNCTION("""COMPUTED_VALUE"""),"K/54/240325/1")</f>
        <v>K/54/240325/1</v>
      </c>
      <c r="E1743" s="14" t="str">
        <f>IFERROR(__xludf.DUMMYFUNCTION("""COMPUTED_VALUE"""),"Nadian (BT)")</f>
        <v>Nadian (BT)</v>
      </c>
      <c r="F1743" s="14" t="str">
        <f>IFERROR(__xludf.DUMMYFUNCTION("""COMPUTED_VALUE"""),"SELESAI (VIA PERMOHONAN)")</f>
        <v>SELESAI (VIA PERMOHONAN)</v>
      </c>
      <c r="G1743" s="17">
        <f>IFERROR(__xludf.DUMMYFUNCTION("""COMPUTED_VALUE"""),45763.54956800926)</f>
        <v>45763.54957</v>
      </c>
      <c r="H1743" s="14" t="str">
        <f>IFERROR(__xludf.DUMMYFUNCTION("""COMPUTED_VALUE"""),"Bu Eva (SU)")</f>
        <v>Bu Eva (SU)</v>
      </c>
      <c r="I1743" s="13" t="str">
        <f>IFERROR(__xludf.DUMMYFUNCTION("""COMPUTED_VALUE"""),"SELESAI (VIA PERMOHONAN)")</f>
        <v>SELESAI (VIA PERMOHONAN)</v>
      </c>
      <c r="J1743" s="17">
        <f>IFERROR(__xludf.DUMMYFUNCTION("""COMPUTED_VALUE"""),45763.63900149305)</f>
        <v>45763.639</v>
      </c>
      <c r="K1743" s="13" t="str">
        <f>IFERROR(__xludf.DUMMYFUNCTION("""COMPUTED_VALUE"""),"Selesai")</f>
        <v>Selesai</v>
      </c>
      <c r="L1743" s="17">
        <f>IFERROR(__xludf.DUMMYFUNCTION("""COMPUTED_VALUE"""),45763.63900149305)</f>
        <v>45763.639</v>
      </c>
      <c r="M1743" s="13"/>
      <c r="N1743" s="13" t="str">
        <f>IFERROR(__xludf.DUMMYFUNCTION("""COMPUTED_VALUE"""),"")</f>
        <v/>
      </c>
      <c r="O1743" s="13" t="str">
        <f t="shared" si="1"/>
        <v/>
      </c>
    </row>
    <row r="1744" ht="22.5" customHeight="1">
      <c r="B1744" s="13">
        <f>IFERROR(__xludf.DUMMYFUNCTION("""COMPUTED_VALUE"""),1739.0)</f>
        <v>1739</v>
      </c>
      <c r="C1744" s="13" t="str">
        <f>IFERROR(__xludf.DUMMYFUNCTION("""COMPUTED_VALUE"""),"M. 2280/ Sepang Jaya")</f>
        <v>M. 2280/ Sepang Jaya</v>
      </c>
      <c r="D1744" s="13" t="str">
        <f>IFERROR(__xludf.DUMMYFUNCTION("""COMPUTED_VALUE"""),"K/20/210325/1")</f>
        <v>K/20/210325/1</v>
      </c>
      <c r="E1744" s="14" t="str">
        <f>IFERROR(__xludf.DUMMYFUNCTION("""COMPUTED_VALUE"""),"Nadian (BT)")</f>
        <v>Nadian (BT)</v>
      </c>
      <c r="F1744" s="14" t="str">
        <f>IFERROR(__xludf.DUMMYFUNCTION("""COMPUTED_VALUE"""),"SELESAI (VIA PERMOHONAN)")</f>
        <v>SELESAI (VIA PERMOHONAN)</v>
      </c>
      <c r="G1744" s="17">
        <f>IFERROR(__xludf.DUMMYFUNCTION("""COMPUTED_VALUE"""),45763.54956800926)</f>
        <v>45763.54957</v>
      </c>
      <c r="H1744" s="14" t="str">
        <f>IFERROR(__xludf.DUMMYFUNCTION("""COMPUTED_VALUE"""),"Bu Eva (SU)")</f>
        <v>Bu Eva (SU)</v>
      </c>
      <c r="I1744" s="13" t="str">
        <f>IFERROR(__xludf.DUMMYFUNCTION("""COMPUTED_VALUE"""),"SELESAI (VIA PERMOHONAN)")</f>
        <v>SELESAI (VIA PERMOHONAN)</v>
      </c>
      <c r="J1744" s="17">
        <f>IFERROR(__xludf.DUMMYFUNCTION("""COMPUTED_VALUE"""),45763.63900149305)</f>
        <v>45763.639</v>
      </c>
      <c r="K1744" s="13" t="str">
        <f>IFERROR(__xludf.DUMMYFUNCTION("""COMPUTED_VALUE"""),"Selesai")</f>
        <v>Selesai</v>
      </c>
      <c r="L1744" s="17">
        <f>IFERROR(__xludf.DUMMYFUNCTION("""COMPUTED_VALUE"""),45763.63900149305)</f>
        <v>45763.639</v>
      </c>
      <c r="M1744" s="13"/>
      <c r="N1744" s="13" t="str">
        <f>IFERROR(__xludf.DUMMYFUNCTION("""COMPUTED_VALUE"""),"")</f>
        <v/>
      </c>
      <c r="O1744" s="13" t="str">
        <f t="shared" si="1"/>
        <v/>
      </c>
    </row>
    <row r="1745" ht="22.5" customHeight="1">
      <c r="B1745" s="13">
        <f>IFERROR(__xludf.DUMMYFUNCTION("""COMPUTED_VALUE"""),1740.0)</f>
        <v>1740</v>
      </c>
      <c r="C1745" s="13" t="str">
        <f>IFERROR(__xludf.DUMMYFUNCTION("""COMPUTED_VALUE"""),"B. 841/ Bakung")</f>
        <v>B. 841/ Bakung</v>
      </c>
      <c r="D1745" s="13" t="str">
        <f>IFERROR(__xludf.DUMMYFUNCTION("""COMPUTED_VALUE"""),"K/15/200325/1")</f>
        <v>K/15/200325/1</v>
      </c>
      <c r="E1745" s="14" t="str">
        <f>IFERROR(__xludf.DUMMYFUNCTION("""COMPUTED_VALUE"""),"Nadian (BT)")</f>
        <v>Nadian (BT)</v>
      </c>
      <c r="F1745" s="14" t="str">
        <f>IFERROR(__xludf.DUMMYFUNCTION("""COMPUTED_VALUE"""),"SELESAI (VIA PERMOHONAN)")</f>
        <v>SELESAI (VIA PERMOHONAN)</v>
      </c>
      <c r="G1745" s="17">
        <f>IFERROR(__xludf.DUMMYFUNCTION("""COMPUTED_VALUE"""),45763.54956800926)</f>
        <v>45763.54957</v>
      </c>
      <c r="H1745" s="14" t="str">
        <f>IFERROR(__xludf.DUMMYFUNCTION("""COMPUTED_VALUE"""),"Bu Eva (SU)")</f>
        <v>Bu Eva (SU)</v>
      </c>
      <c r="I1745" s="13" t="str">
        <f>IFERROR(__xludf.DUMMYFUNCTION("""COMPUTED_VALUE"""),"SELESAI (VIA PERMOHONAN)")</f>
        <v>SELESAI (VIA PERMOHONAN)</v>
      </c>
      <c r="J1745" s="17">
        <f>IFERROR(__xludf.DUMMYFUNCTION("""COMPUTED_VALUE"""),45763.639006377314)</f>
        <v>45763.63901</v>
      </c>
      <c r="K1745" s="13" t="str">
        <f>IFERROR(__xludf.DUMMYFUNCTION("""COMPUTED_VALUE"""),"Selesai")</f>
        <v>Selesai</v>
      </c>
      <c r="L1745" s="17">
        <f>IFERROR(__xludf.DUMMYFUNCTION("""COMPUTED_VALUE"""),45763.639006377314)</f>
        <v>45763.63901</v>
      </c>
      <c r="M1745" s="13"/>
      <c r="N1745" s="13" t="str">
        <f>IFERROR(__xludf.DUMMYFUNCTION("""COMPUTED_VALUE"""),"")</f>
        <v/>
      </c>
      <c r="O1745" s="13" t="str">
        <f t="shared" si="1"/>
        <v/>
      </c>
    </row>
    <row r="1746" ht="22.5" customHeight="1">
      <c r="B1746" s="13">
        <f>IFERROR(__xludf.DUMMYFUNCTION("""COMPUTED_VALUE"""),1741.0)</f>
        <v>1741</v>
      </c>
      <c r="C1746" s="13" t="str">
        <f>IFERROR(__xludf.DUMMYFUNCTION("""COMPUTED_VALUE"""),"M. 1177/BAKUNG")</f>
        <v>M. 1177/BAKUNG</v>
      </c>
      <c r="D1746" s="13" t="str">
        <f>IFERROR(__xludf.DUMMYFUNCTION("""COMPUTED_VALUE"""),"K/21/080425/1")</f>
        <v>K/21/080425/1</v>
      </c>
      <c r="E1746" s="14" t="str">
        <f>IFERROR(__xludf.DUMMYFUNCTION("""COMPUTED_VALUE"""),"Nadian (BT)")</f>
        <v>Nadian (BT)</v>
      </c>
      <c r="F1746" s="14" t="str">
        <f>IFERROR(__xludf.DUMMYFUNCTION("""COMPUTED_VALUE"""),"SELESAI (VIA PERMOHONAN)")</f>
        <v>SELESAI (VIA PERMOHONAN)</v>
      </c>
      <c r="G1746" s="17">
        <f>IFERROR(__xludf.DUMMYFUNCTION("""COMPUTED_VALUE"""),45763.54956800926)</f>
        <v>45763.54957</v>
      </c>
      <c r="H1746" s="14" t="str">
        <f>IFERROR(__xludf.DUMMYFUNCTION("""COMPUTED_VALUE"""),"Bu Eva (SU)")</f>
        <v>Bu Eva (SU)</v>
      </c>
      <c r="I1746" s="13" t="str">
        <f>IFERROR(__xludf.DUMMYFUNCTION("""COMPUTED_VALUE"""),"SELESAI (VIA PERMOHONAN)")</f>
        <v>SELESAI (VIA PERMOHONAN)</v>
      </c>
      <c r="J1746" s="17">
        <f>IFERROR(__xludf.DUMMYFUNCTION("""COMPUTED_VALUE"""),45763.639006377314)</f>
        <v>45763.63901</v>
      </c>
      <c r="K1746" s="13" t="str">
        <f>IFERROR(__xludf.DUMMYFUNCTION("""COMPUTED_VALUE"""),"Selesai")</f>
        <v>Selesai</v>
      </c>
      <c r="L1746" s="17">
        <f>IFERROR(__xludf.DUMMYFUNCTION("""COMPUTED_VALUE"""),45763.639006377314)</f>
        <v>45763.63901</v>
      </c>
      <c r="M1746" s="13"/>
      <c r="N1746" s="13" t="str">
        <f>IFERROR(__xludf.DUMMYFUNCTION("""COMPUTED_VALUE"""),"")</f>
        <v/>
      </c>
      <c r="O1746" s="13" t="str">
        <f t="shared" si="1"/>
        <v/>
      </c>
    </row>
    <row r="1747" ht="22.5" customHeight="1">
      <c r="B1747" s="13">
        <f>IFERROR(__xludf.DUMMYFUNCTION("""COMPUTED_VALUE"""),1742.0)</f>
        <v>1742</v>
      </c>
      <c r="C1747" s="13" t="str">
        <f>IFERROR(__xludf.DUMMYFUNCTION("""COMPUTED_VALUE"""),"B. 753/SUMUR PUTRI")</f>
        <v>B. 753/SUMUR PUTRI</v>
      </c>
      <c r="D1747" s="13" t="str">
        <f>IFERROR(__xludf.DUMMYFUNCTION("""COMPUTED_VALUE"""),"K/7/250325/2")</f>
        <v>K/7/250325/2</v>
      </c>
      <c r="E1747" s="14" t="str">
        <f>IFERROR(__xludf.DUMMYFUNCTION("""COMPUTED_VALUE"""),"Nadian (BT)")</f>
        <v>Nadian (BT)</v>
      </c>
      <c r="F1747" s="14" t="str">
        <f>IFERROR(__xludf.DUMMYFUNCTION("""COMPUTED_VALUE"""),"SELESAI (VIA PERMOHONAN)")</f>
        <v>SELESAI (VIA PERMOHONAN)</v>
      </c>
      <c r="G1747" s="17">
        <f>IFERROR(__xludf.DUMMYFUNCTION("""COMPUTED_VALUE"""),45763.54956800926)</f>
        <v>45763.54957</v>
      </c>
      <c r="H1747" s="14" t="str">
        <f>IFERROR(__xludf.DUMMYFUNCTION("""COMPUTED_VALUE"""),"Bu Eva (SU)")</f>
        <v>Bu Eva (SU)</v>
      </c>
      <c r="I1747" s="13" t="str">
        <f>IFERROR(__xludf.DUMMYFUNCTION("""COMPUTED_VALUE"""),"SELESAI (VIA PERMOHONAN)")</f>
        <v>SELESAI (VIA PERMOHONAN)</v>
      </c>
      <c r="J1747" s="17">
        <f>IFERROR(__xludf.DUMMYFUNCTION("""COMPUTED_VALUE"""),45763.639006377314)</f>
        <v>45763.63901</v>
      </c>
      <c r="K1747" s="13" t="str">
        <f>IFERROR(__xludf.DUMMYFUNCTION("""COMPUTED_VALUE"""),"Selesai")</f>
        <v>Selesai</v>
      </c>
      <c r="L1747" s="17">
        <f>IFERROR(__xludf.DUMMYFUNCTION("""COMPUTED_VALUE"""),45763.639006377314)</f>
        <v>45763.63901</v>
      </c>
      <c r="M1747" s="13"/>
      <c r="N1747" s="13" t="str">
        <f>IFERROR(__xludf.DUMMYFUNCTION("""COMPUTED_VALUE"""),"")</f>
        <v/>
      </c>
      <c r="O1747" s="13" t="str">
        <f t="shared" si="1"/>
        <v/>
      </c>
    </row>
    <row r="1748" ht="22.5" customHeight="1">
      <c r="B1748" s="13">
        <f>IFERROR(__xludf.DUMMYFUNCTION("""COMPUTED_VALUE"""),1743.0)</f>
        <v>1743</v>
      </c>
      <c r="C1748" s="13" t="str">
        <f>IFERROR(__xludf.DUMMYFUNCTION("""COMPUTED_VALUE"""),"M. 3362/KOTA BARU")</f>
        <v>M. 3362/KOTA BARU</v>
      </c>
      <c r="D1748" s="13" t="str">
        <f>IFERROR(__xludf.DUMMYFUNCTION("""COMPUTED_VALUE"""),"K/28/260325/1")</f>
        <v>K/28/260325/1</v>
      </c>
      <c r="E1748" s="14" t="str">
        <f>IFERROR(__xludf.DUMMYFUNCTION("""COMPUTED_VALUE"""),"Nadian (BT)")</f>
        <v>Nadian (BT)</v>
      </c>
      <c r="F1748" s="14" t="str">
        <f>IFERROR(__xludf.DUMMYFUNCTION("""COMPUTED_VALUE"""),"SELESAI (VIA PERMOHONAN)")</f>
        <v>SELESAI (VIA PERMOHONAN)</v>
      </c>
      <c r="G1748" s="17">
        <f>IFERROR(__xludf.DUMMYFUNCTION("""COMPUTED_VALUE"""),45763.54956800926)</f>
        <v>45763.54957</v>
      </c>
      <c r="H1748" s="14" t="str">
        <f>IFERROR(__xludf.DUMMYFUNCTION("""COMPUTED_VALUE"""),"Bu Eva (SU)")</f>
        <v>Bu Eva (SU)</v>
      </c>
      <c r="I1748" s="13" t="str">
        <f>IFERROR(__xludf.DUMMYFUNCTION("""COMPUTED_VALUE"""),"SELESAI (VIA PERMOHONAN)")</f>
        <v>SELESAI (VIA PERMOHONAN)</v>
      </c>
      <c r="J1748" s="17">
        <f>IFERROR(__xludf.DUMMYFUNCTION("""COMPUTED_VALUE"""),45763.639006377314)</f>
        <v>45763.63901</v>
      </c>
      <c r="K1748" s="13" t="str">
        <f>IFERROR(__xludf.DUMMYFUNCTION("""COMPUTED_VALUE"""),"Selesai")</f>
        <v>Selesai</v>
      </c>
      <c r="L1748" s="17">
        <f>IFERROR(__xludf.DUMMYFUNCTION("""COMPUTED_VALUE"""),45763.639006377314)</f>
        <v>45763.63901</v>
      </c>
      <c r="M1748" s="13"/>
      <c r="N1748" s="13" t="str">
        <f>IFERROR(__xludf.DUMMYFUNCTION("""COMPUTED_VALUE"""),"")</f>
        <v/>
      </c>
      <c r="O1748" s="13" t="str">
        <f t="shared" si="1"/>
        <v/>
      </c>
    </row>
    <row r="1749" ht="22.5" customHeight="1">
      <c r="B1749" s="13">
        <f>IFERROR(__xludf.DUMMYFUNCTION("""COMPUTED_VALUE"""),1744.0)</f>
        <v>1744</v>
      </c>
      <c r="C1749" s="13" t="str">
        <f>IFERROR(__xludf.DUMMYFUNCTION("""COMPUTED_VALUE"""),"M. 2305/SEPANG JAYA")</f>
        <v>M. 2305/SEPANG JAYA</v>
      </c>
      <c r="D1749" s="13" t="str">
        <f>IFERROR(__xludf.DUMMYFUNCTION("""COMPUTED_VALUE"""),"K/3/200325/1")</f>
        <v>K/3/200325/1</v>
      </c>
      <c r="E1749" s="14" t="str">
        <f>IFERROR(__xludf.DUMMYFUNCTION("""COMPUTED_VALUE"""),"Nadian (BT)")</f>
        <v>Nadian (BT)</v>
      </c>
      <c r="F1749" s="14" t="str">
        <f>IFERROR(__xludf.DUMMYFUNCTION("""COMPUTED_VALUE"""),"SELESAI (VIA PERMOHONAN)")</f>
        <v>SELESAI (VIA PERMOHONAN)</v>
      </c>
      <c r="G1749" s="17">
        <f>IFERROR(__xludf.DUMMYFUNCTION("""COMPUTED_VALUE"""),45763.54956800926)</f>
        <v>45763.54957</v>
      </c>
      <c r="H1749" s="14" t="str">
        <f>IFERROR(__xludf.DUMMYFUNCTION("""COMPUTED_VALUE"""),"Bu Eva (SU)")</f>
        <v>Bu Eva (SU)</v>
      </c>
      <c r="I1749" s="13" t="str">
        <f>IFERROR(__xludf.DUMMYFUNCTION("""COMPUTED_VALUE"""),"SELESAI (VIA PERMOHONAN)")</f>
        <v>SELESAI (VIA PERMOHONAN)</v>
      </c>
      <c r="J1749" s="17">
        <f>IFERROR(__xludf.DUMMYFUNCTION("""COMPUTED_VALUE"""),45763.639006377314)</f>
        <v>45763.63901</v>
      </c>
      <c r="K1749" s="13" t="str">
        <f>IFERROR(__xludf.DUMMYFUNCTION("""COMPUTED_VALUE"""),"Selesai")</f>
        <v>Selesai</v>
      </c>
      <c r="L1749" s="17">
        <f>IFERROR(__xludf.DUMMYFUNCTION("""COMPUTED_VALUE"""),45763.639006377314)</f>
        <v>45763.63901</v>
      </c>
      <c r="M1749" s="13"/>
      <c r="N1749" s="13" t="str">
        <f>IFERROR(__xludf.DUMMYFUNCTION("""COMPUTED_VALUE"""),"")</f>
        <v/>
      </c>
      <c r="O1749" s="13" t="str">
        <f t="shared" si="1"/>
        <v/>
      </c>
    </row>
    <row r="1750" ht="22.5" customHeight="1">
      <c r="B1750" s="13">
        <f>IFERROR(__xludf.DUMMYFUNCTION("""COMPUTED_VALUE"""),1745.0)</f>
        <v>1745</v>
      </c>
      <c r="C1750" s="13" t="str">
        <f>IFERROR(__xludf.DUMMYFUNCTION("""COMPUTED_VALUE"""),"B. 1438/NEGERI OLOK GADING")</f>
        <v>B. 1438/NEGERI OLOK GADING</v>
      </c>
      <c r="D1750" s="13" t="str">
        <f>IFERROR(__xludf.DUMMYFUNCTION("""COMPUTED_VALUE"""),"K/52/240325/2")</f>
        <v>K/52/240325/2</v>
      </c>
      <c r="E1750" s="14" t="str">
        <f>IFERROR(__xludf.DUMMYFUNCTION("""COMPUTED_VALUE"""),"Nadian (BT)")</f>
        <v>Nadian (BT)</v>
      </c>
      <c r="F1750" s="14" t="str">
        <f>IFERROR(__xludf.DUMMYFUNCTION("""COMPUTED_VALUE"""),"SELESAI (VIA PERMOHONAN)")</f>
        <v>SELESAI (VIA PERMOHONAN)</v>
      </c>
      <c r="G1750" s="17">
        <f>IFERROR(__xludf.DUMMYFUNCTION("""COMPUTED_VALUE"""),45763.54956800926)</f>
        <v>45763.54957</v>
      </c>
      <c r="H1750" s="14" t="str">
        <f>IFERROR(__xludf.DUMMYFUNCTION("""COMPUTED_VALUE"""),"Bu Eva (SU)")</f>
        <v>Bu Eva (SU)</v>
      </c>
      <c r="I1750" s="13" t="str">
        <f>IFERROR(__xludf.DUMMYFUNCTION("""COMPUTED_VALUE"""),"SELESAI (VIA PERMOHONAN)")</f>
        <v>SELESAI (VIA PERMOHONAN)</v>
      </c>
      <c r="J1750" s="17">
        <f>IFERROR(__xludf.DUMMYFUNCTION("""COMPUTED_VALUE"""),45763.639006377314)</f>
        <v>45763.63901</v>
      </c>
      <c r="K1750" s="13" t="str">
        <f>IFERROR(__xludf.DUMMYFUNCTION("""COMPUTED_VALUE"""),"Selesai")</f>
        <v>Selesai</v>
      </c>
      <c r="L1750" s="17">
        <f>IFERROR(__xludf.DUMMYFUNCTION("""COMPUTED_VALUE"""),45763.639006377314)</f>
        <v>45763.63901</v>
      </c>
      <c r="M1750" s="13"/>
      <c r="N1750" s="13" t="str">
        <f>IFERROR(__xludf.DUMMYFUNCTION("""COMPUTED_VALUE"""),"")</f>
        <v/>
      </c>
      <c r="O1750" s="13" t="str">
        <f t="shared" si="1"/>
        <v/>
      </c>
    </row>
    <row r="1751" ht="22.5" customHeight="1">
      <c r="B1751" s="13">
        <f>IFERROR(__xludf.DUMMYFUNCTION("""COMPUTED_VALUE"""),1746.0)</f>
        <v>1746</v>
      </c>
      <c r="C1751" s="13" t="str">
        <f>IFERROR(__xludf.DUMMYFUNCTION("""COMPUTED_VALUE"""),"HGB 3726/BERINGIN RAYA")</f>
        <v>HGB 3726/BERINGIN RAYA</v>
      </c>
      <c r="D1751" s="13" t="str">
        <f>IFERROR(__xludf.DUMMYFUNCTION("""COMPUTED_VALUE"""),"L/17/110425/1")</f>
        <v>L/17/110425/1</v>
      </c>
      <c r="E1751" s="14" t="str">
        <f>IFERROR(__xludf.DUMMYFUNCTION("""COMPUTED_VALUE"""),"Nadian (BT)")</f>
        <v>Nadian (BT)</v>
      </c>
      <c r="F1751" s="14" t="str">
        <f>IFERROR(__xludf.DUMMYFUNCTION("""COMPUTED_VALUE"""),"SELESAI (VIA PERMOHONAN)")</f>
        <v>SELESAI (VIA PERMOHONAN)</v>
      </c>
      <c r="G1751" s="17">
        <f>IFERROR(__xludf.DUMMYFUNCTION("""COMPUTED_VALUE"""),45763.54956800926)</f>
        <v>45763.54957</v>
      </c>
      <c r="H1751" s="14" t="str">
        <f>IFERROR(__xludf.DUMMYFUNCTION("""COMPUTED_VALUE"""),"Bu Eva (SU)")</f>
        <v>Bu Eva (SU)</v>
      </c>
      <c r="I1751" s="13" t="str">
        <f>IFERROR(__xludf.DUMMYFUNCTION("""COMPUTED_VALUE"""),"SELESAI (VIA PERMOHONAN)")</f>
        <v>SELESAI (VIA PERMOHONAN)</v>
      </c>
      <c r="J1751" s="17">
        <f>IFERROR(__xludf.DUMMYFUNCTION("""COMPUTED_VALUE"""),45763.639006377314)</f>
        <v>45763.63901</v>
      </c>
      <c r="K1751" s="13" t="str">
        <f>IFERROR(__xludf.DUMMYFUNCTION("""COMPUTED_VALUE"""),"Selesai")</f>
        <v>Selesai</v>
      </c>
      <c r="L1751" s="17">
        <f>IFERROR(__xludf.DUMMYFUNCTION("""COMPUTED_VALUE"""),45763.639006377314)</f>
        <v>45763.63901</v>
      </c>
      <c r="M1751" s="13"/>
      <c r="N1751" s="13" t="str">
        <f>IFERROR(__xludf.DUMMYFUNCTION("""COMPUTED_VALUE"""),"")</f>
        <v/>
      </c>
      <c r="O1751" s="13" t="str">
        <f t="shared" si="1"/>
        <v/>
      </c>
    </row>
    <row r="1752" ht="22.5" customHeight="1">
      <c r="B1752" s="13">
        <f>IFERROR(__xludf.DUMMYFUNCTION("""COMPUTED_VALUE"""),1747.0)</f>
        <v>1747</v>
      </c>
      <c r="C1752" s="13" t="str">
        <f>IFERROR(__xludf.DUMMYFUNCTION("""COMPUTED_VALUE"""),"M.4250/WAY KANDIS")</f>
        <v>M.4250/WAY KANDIS</v>
      </c>
      <c r="D1752" s="13" t="str">
        <f>IFERROR(__xludf.DUMMYFUNCTION("""COMPUTED_VALUE"""),"K/5/270325/1")</f>
        <v>K/5/270325/1</v>
      </c>
      <c r="E1752" s="14" t="str">
        <f>IFERROR(__xludf.DUMMYFUNCTION("""COMPUTED_VALUE"""),"Nadian (BT)")</f>
        <v>Nadian (BT)</v>
      </c>
      <c r="F1752" s="14" t="str">
        <f>IFERROR(__xludf.DUMMYFUNCTION("""COMPUTED_VALUE"""),"SELESAI (VIA PERMOHONAN)")</f>
        <v>SELESAI (VIA PERMOHONAN)</v>
      </c>
      <c r="G1752" s="17">
        <f>IFERROR(__xludf.DUMMYFUNCTION("""COMPUTED_VALUE"""),45763.54956800926)</f>
        <v>45763.54957</v>
      </c>
      <c r="H1752" s="14" t="str">
        <f>IFERROR(__xludf.DUMMYFUNCTION("""COMPUTED_VALUE"""),"Bu Eva (SU)")</f>
        <v>Bu Eva (SU)</v>
      </c>
      <c r="I1752" s="13" t="str">
        <f>IFERROR(__xludf.DUMMYFUNCTION("""COMPUTED_VALUE"""),"SELESAI (VIA PERMOHONAN)")</f>
        <v>SELESAI (VIA PERMOHONAN)</v>
      </c>
      <c r="J1752" s="17">
        <f>IFERROR(__xludf.DUMMYFUNCTION("""COMPUTED_VALUE"""),45763.639006377314)</f>
        <v>45763.63901</v>
      </c>
      <c r="K1752" s="13" t="str">
        <f>IFERROR(__xludf.DUMMYFUNCTION("""COMPUTED_VALUE"""),"Selesai")</f>
        <v>Selesai</v>
      </c>
      <c r="L1752" s="17">
        <f>IFERROR(__xludf.DUMMYFUNCTION("""COMPUTED_VALUE"""),45763.639006377314)</f>
        <v>45763.63901</v>
      </c>
      <c r="M1752" s="13"/>
      <c r="N1752" s="13" t="str">
        <f>IFERROR(__xludf.DUMMYFUNCTION("""COMPUTED_VALUE"""),"")</f>
        <v/>
      </c>
      <c r="O1752" s="13" t="str">
        <f t="shared" si="1"/>
        <v/>
      </c>
    </row>
    <row r="1753" ht="22.5" customHeight="1">
      <c r="B1753" s="13">
        <f>IFERROR(__xludf.DUMMYFUNCTION("""COMPUTED_VALUE"""),1748.0)</f>
        <v>1748</v>
      </c>
      <c r="C1753" s="13" t="str">
        <f>IFERROR(__xludf.DUMMYFUNCTION("""COMPUTED_VALUE"""),"M.5170/RAJABASA JAYA")</f>
        <v>M.5170/RAJABASA JAYA</v>
      </c>
      <c r="D1753" s="13" t="str">
        <f>IFERROR(__xludf.DUMMYFUNCTION("""COMPUTED_VALUE"""),"K/10/210325/1")</f>
        <v>K/10/210325/1</v>
      </c>
      <c r="E1753" s="14" t="str">
        <f>IFERROR(__xludf.DUMMYFUNCTION("""COMPUTED_VALUE"""),"Nadian (BT)")</f>
        <v>Nadian (BT)</v>
      </c>
      <c r="F1753" s="14" t="str">
        <f>IFERROR(__xludf.DUMMYFUNCTION("""COMPUTED_VALUE"""),"SELESAI (VIA PERMOHONAN)")</f>
        <v>SELESAI (VIA PERMOHONAN)</v>
      </c>
      <c r="G1753" s="17">
        <f>IFERROR(__xludf.DUMMYFUNCTION("""COMPUTED_VALUE"""),45763.54956800926)</f>
        <v>45763.54957</v>
      </c>
      <c r="H1753" s="14" t="str">
        <f>IFERROR(__xludf.DUMMYFUNCTION("""COMPUTED_VALUE"""),"Bu Eva (SU)")</f>
        <v>Bu Eva (SU)</v>
      </c>
      <c r="I1753" s="13" t="str">
        <f>IFERROR(__xludf.DUMMYFUNCTION("""COMPUTED_VALUE"""),"SELESAI (VIA PERMOHONAN)")</f>
        <v>SELESAI (VIA PERMOHONAN)</v>
      </c>
      <c r="J1753" s="17">
        <f>IFERROR(__xludf.DUMMYFUNCTION("""COMPUTED_VALUE"""),45763.639067615746)</f>
        <v>45763.63907</v>
      </c>
      <c r="K1753" s="13" t="str">
        <f>IFERROR(__xludf.DUMMYFUNCTION("""COMPUTED_VALUE"""),"Selesai")</f>
        <v>Selesai</v>
      </c>
      <c r="L1753" s="17">
        <f>IFERROR(__xludf.DUMMYFUNCTION("""COMPUTED_VALUE"""),45763.639067615746)</f>
        <v>45763.63907</v>
      </c>
      <c r="M1753" s="13"/>
      <c r="N1753" s="13" t="str">
        <f>IFERROR(__xludf.DUMMYFUNCTION("""COMPUTED_VALUE"""),"")</f>
        <v/>
      </c>
      <c r="O1753" s="13" t="str">
        <f t="shared" si="1"/>
        <v/>
      </c>
    </row>
    <row r="1754" ht="22.5" customHeight="1">
      <c r="B1754" s="13">
        <f>IFERROR(__xludf.DUMMYFUNCTION("""COMPUTED_VALUE"""),1749.0)</f>
        <v>1749</v>
      </c>
      <c r="C1754" s="13" t="str">
        <f>IFERROR(__xludf.DUMMYFUNCTION("""COMPUTED_VALUE"""),"M.224/BUMI RAYA")</f>
        <v>M.224/BUMI RAYA</v>
      </c>
      <c r="D1754" s="13" t="str">
        <f>IFERROR(__xludf.DUMMYFUNCTION("""COMPUTED_VALUE"""),"K/4/180325/1")</f>
        <v>K/4/180325/1</v>
      </c>
      <c r="E1754" s="14" t="str">
        <f>IFERROR(__xludf.DUMMYFUNCTION("""COMPUTED_VALUE"""),"Nadian (BT)")</f>
        <v>Nadian (BT)</v>
      </c>
      <c r="F1754" s="14" t="str">
        <f>IFERROR(__xludf.DUMMYFUNCTION("""COMPUTED_VALUE"""),"SELESAI (VIA PERMOHONAN)")</f>
        <v>SELESAI (VIA PERMOHONAN)</v>
      </c>
      <c r="G1754" s="17">
        <f>IFERROR(__xludf.DUMMYFUNCTION("""COMPUTED_VALUE"""),45763.54956802083)</f>
        <v>45763.54957</v>
      </c>
      <c r="H1754" s="14" t="str">
        <f>IFERROR(__xludf.DUMMYFUNCTION("""COMPUTED_VALUE"""),"Bu Eva (SU)")</f>
        <v>Bu Eva (SU)</v>
      </c>
      <c r="I1754" s="13" t="str">
        <f>IFERROR(__xludf.DUMMYFUNCTION("""COMPUTED_VALUE"""),"SELESAI (VIA PERMOHONAN)")</f>
        <v>SELESAI (VIA PERMOHONAN)</v>
      </c>
      <c r="J1754" s="17">
        <f>IFERROR(__xludf.DUMMYFUNCTION("""COMPUTED_VALUE"""),45763.63914100695)</f>
        <v>45763.63914</v>
      </c>
      <c r="K1754" s="13" t="str">
        <f>IFERROR(__xludf.DUMMYFUNCTION("""COMPUTED_VALUE"""),"Selesai")</f>
        <v>Selesai</v>
      </c>
      <c r="L1754" s="17">
        <f>IFERROR(__xludf.DUMMYFUNCTION("""COMPUTED_VALUE"""),45763.63914100695)</f>
        <v>45763.63914</v>
      </c>
      <c r="M1754" s="13"/>
      <c r="N1754" s="13" t="str">
        <f>IFERROR(__xludf.DUMMYFUNCTION("""COMPUTED_VALUE"""),"")</f>
        <v/>
      </c>
      <c r="O1754" s="13" t="str">
        <f t="shared" si="1"/>
        <v/>
      </c>
    </row>
    <row r="1755" ht="22.5" customHeight="1">
      <c r="B1755" s="13">
        <f>IFERROR(__xludf.DUMMYFUNCTION("""COMPUTED_VALUE"""),1750.0)</f>
        <v>1750</v>
      </c>
      <c r="C1755" s="13" t="str">
        <f>IFERROR(__xludf.DUMMYFUNCTION("""COMPUTED_VALUE"""),"B.553/KEMILING PERMAI")</f>
        <v>B.553/KEMILING PERMAI</v>
      </c>
      <c r="D1755" s="13" t="str">
        <f>IFERROR(__xludf.DUMMYFUNCTION("""COMPUTED_VALUE"""),"K/35/170325/2")</f>
        <v>K/35/170325/2</v>
      </c>
      <c r="E1755" s="14" t="str">
        <f>IFERROR(__xludf.DUMMYFUNCTION("""COMPUTED_VALUE"""),"Nadian (BT)")</f>
        <v>Nadian (BT)</v>
      </c>
      <c r="F1755" s="14" t="str">
        <f>IFERROR(__xludf.DUMMYFUNCTION("""COMPUTED_VALUE"""),"SELESAI (VIA PERMOHONAN)")</f>
        <v>SELESAI (VIA PERMOHONAN)</v>
      </c>
      <c r="G1755" s="17">
        <f>IFERROR(__xludf.DUMMYFUNCTION("""COMPUTED_VALUE"""),45763.54956802083)</f>
        <v>45763.54957</v>
      </c>
      <c r="H1755" s="14" t="str">
        <f>IFERROR(__xludf.DUMMYFUNCTION("""COMPUTED_VALUE"""),"Bu Eva (SU)")</f>
        <v>Bu Eva (SU)</v>
      </c>
      <c r="I1755" s="13" t="str">
        <f>IFERROR(__xludf.DUMMYFUNCTION("""COMPUTED_VALUE"""),"SELESAI (VIA PERMOHONAN)")</f>
        <v>SELESAI (VIA PERMOHONAN)</v>
      </c>
      <c r="J1755" s="17">
        <f>IFERROR(__xludf.DUMMYFUNCTION("""COMPUTED_VALUE"""),45763.63914100695)</f>
        <v>45763.63914</v>
      </c>
      <c r="K1755" s="13" t="str">
        <f>IFERROR(__xludf.DUMMYFUNCTION("""COMPUTED_VALUE"""),"Selesai")</f>
        <v>Selesai</v>
      </c>
      <c r="L1755" s="17">
        <f>IFERROR(__xludf.DUMMYFUNCTION("""COMPUTED_VALUE"""),45763.63914100695)</f>
        <v>45763.63914</v>
      </c>
      <c r="M1755" s="13"/>
      <c r="N1755" s="13" t="str">
        <f>IFERROR(__xludf.DUMMYFUNCTION("""COMPUTED_VALUE"""),"")</f>
        <v/>
      </c>
      <c r="O1755" s="13" t="str">
        <f t="shared" si="1"/>
        <v/>
      </c>
    </row>
    <row r="1756" ht="22.5" customHeight="1">
      <c r="B1756" s="13">
        <f>IFERROR(__xludf.DUMMYFUNCTION("""COMPUTED_VALUE"""),1751.0)</f>
        <v>1751</v>
      </c>
      <c r="C1756" s="13" t="str">
        <f>IFERROR(__xludf.DUMMYFUNCTION("""COMPUTED_VALUE"""),"M. 14621/ Rajabasa")</f>
        <v>M. 14621/ Rajabasa</v>
      </c>
      <c r="D1756" s="13" t="str">
        <f>IFERROR(__xludf.DUMMYFUNCTION("""COMPUTED_VALUE"""),"K/22/150425/1")</f>
        <v>K/22/150425/1</v>
      </c>
      <c r="E1756" s="14" t="str">
        <f>IFERROR(__xludf.DUMMYFUNCTION("""COMPUTED_VALUE"""),"Afriza (BT)")</f>
        <v>Afriza (BT)</v>
      </c>
      <c r="F1756" s="14" t="str">
        <f>IFERROR(__xludf.DUMMYFUNCTION("""COMPUTED_VALUE"""),"SELESAI (VIA PERMOHONAN)")</f>
        <v>SELESAI (VIA PERMOHONAN)</v>
      </c>
      <c r="G1756" s="17">
        <f>IFERROR(__xludf.DUMMYFUNCTION("""COMPUTED_VALUE"""),45764.442164189815)</f>
        <v>45764.44216</v>
      </c>
      <c r="H1756" s="14" t="str">
        <f>IFERROR(__xludf.DUMMYFUNCTION("""COMPUTED_VALUE"""),"Bu Eva (SU)")</f>
        <v>Bu Eva (SU)</v>
      </c>
      <c r="I1756" s="13" t="str">
        <f>IFERROR(__xludf.DUMMYFUNCTION("""COMPUTED_VALUE"""),"SELESAI (VIA PERMOHONAN)")</f>
        <v>SELESAI (VIA PERMOHONAN)</v>
      </c>
      <c r="J1756" s="17">
        <f>IFERROR(__xludf.DUMMYFUNCTION("""COMPUTED_VALUE"""),45764.44222814815)</f>
        <v>45764.44223</v>
      </c>
      <c r="K1756" s="13" t="str">
        <f>IFERROR(__xludf.DUMMYFUNCTION("""COMPUTED_VALUE"""),"Selesai")</f>
        <v>Selesai</v>
      </c>
      <c r="L1756" s="17">
        <f>IFERROR(__xludf.DUMMYFUNCTION("""COMPUTED_VALUE"""),45764.44222814815)</f>
        <v>45764.44223</v>
      </c>
      <c r="M1756" s="13"/>
      <c r="N1756" s="13" t="str">
        <f>IFERROR(__xludf.DUMMYFUNCTION("""COMPUTED_VALUE"""),"")</f>
        <v/>
      </c>
      <c r="O1756" s="13" t="str">
        <f t="shared" si="1"/>
        <v/>
      </c>
    </row>
    <row r="1757" ht="22.5" customHeight="1">
      <c r="B1757" s="13">
        <f>IFERROR(__xludf.DUMMYFUNCTION("""COMPUTED_VALUE"""),1752.0)</f>
        <v>1752</v>
      </c>
      <c r="C1757" s="13" t="str">
        <f>IFERROR(__xludf.DUMMYFUNCTION("""COMPUTED_VALUE"""),"M. 328/ Bumi Kedamaian")</f>
        <v>M. 328/ Bumi Kedamaian</v>
      </c>
      <c r="D1757" s="13" t="str">
        <f>IFERROR(__xludf.DUMMYFUNCTION("""COMPUTED_VALUE"""),"K/14/160425/1")</f>
        <v>K/14/160425/1</v>
      </c>
      <c r="E1757" s="14" t="str">
        <f>IFERROR(__xludf.DUMMYFUNCTION("""COMPUTED_VALUE"""),"Afriza (BT)")</f>
        <v>Afriza (BT)</v>
      </c>
      <c r="F1757" s="14" t="str">
        <f>IFERROR(__xludf.DUMMYFUNCTION("""COMPUTED_VALUE"""),"SELESAI (VIA PERMOHONAN)")</f>
        <v>SELESAI (VIA PERMOHONAN)</v>
      </c>
      <c r="G1757" s="17">
        <f>IFERROR(__xludf.DUMMYFUNCTION("""COMPUTED_VALUE"""),45764.44230969908)</f>
        <v>45764.44231</v>
      </c>
      <c r="H1757" s="14" t="str">
        <f>IFERROR(__xludf.DUMMYFUNCTION("""COMPUTED_VALUE"""),"Bu Eva (SU)")</f>
        <v>Bu Eva (SU)</v>
      </c>
      <c r="I1757" s="13" t="str">
        <f>IFERROR(__xludf.DUMMYFUNCTION("""COMPUTED_VALUE"""),"SELESAI (VIA PERMOHONAN)")</f>
        <v>SELESAI (VIA PERMOHONAN)</v>
      </c>
      <c r="J1757" s="17">
        <f>IFERROR(__xludf.DUMMYFUNCTION("""COMPUTED_VALUE"""),45764.44230969908)</f>
        <v>45764.44231</v>
      </c>
      <c r="K1757" s="13" t="str">
        <f>IFERROR(__xludf.DUMMYFUNCTION("""COMPUTED_VALUE"""),"Selesai")</f>
        <v>Selesai</v>
      </c>
      <c r="L1757" s="17">
        <f>IFERROR(__xludf.DUMMYFUNCTION("""COMPUTED_VALUE"""),45764.44230969908)</f>
        <v>45764.44231</v>
      </c>
      <c r="M1757" s="13"/>
      <c r="N1757" s="13" t="str">
        <f>IFERROR(__xludf.DUMMYFUNCTION("""COMPUTED_VALUE"""),"")</f>
        <v/>
      </c>
      <c r="O1757" s="13" t="str">
        <f t="shared" si="1"/>
        <v/>
      </c>
    </row>
    <row r="1758" ht="22.5" customHeight="1">
      <c r="B1758" s="13">
        <f>IFERROR(__xludf.DUMMYFUNCTION("""COMPUTED_VALUE"""),1753.0)</f>
        <v>1753</v>
      </c>
      <c r="C1758" s="13" t="str">
        <f>IFERROR(__xludf.DUMMYFUNCTION("""COMPUTED_VALUE"""),"HM 114/SUKARAME BATRU")</f>
        <v>HM 114/SUKARAME BATRU</v>
      </c>
      <c r="D1758" s="13" t="str">
        <f>IFERROR(__xludf.DUMMYFUNCTION("""COMPUTED_VALUE"""),"L/9/090425/1")</f>
        <v>L/9/090425/1</v>
      </c>
      <c r="E1758" s="14" t="str">
        <f>IFERROR(__xludf.DUMMYFUNCTION("""COMPUTED_VALUE"""),"Nadian (BT)")</f>
        <v>Nadian (BT)</v>
      </c>
      <c r="F1758" s="14" t="str">
        <f>IFERROR(__xludf.DUMMYFUNCTION("""COMPUTED_VALUE"""),"SELESAI (VIA PERMOHONAN)")</f>
        <v>SELESAI (VIA PERMOHONAN)</v>
      </c>
      <c r="G1758" s="17">
        <f>IFERROR(__xludf.DUMMYFUNCTION("""COMPUTED_VALUE"""),45768.68601953704)</f>
        <v>45768.68602</v>
      </c>
      <c r="H1758" s="14" t="str">
        <f>IFERROR(__xludf.DUMMYFUNCTION("""COMPUTED_VALUE"""),"Bu Eva (SU)")</f>
        <v>Bu Eva (SU)</v>
      </c>
      <c r="I1758" s="13" t="str">
        <f>IFERROR(__xludf.DUMMYFUNCTION("""COMPUTED_VALUE"""),"SELESAI (VIA PERMOHONAN)")</f>
        <v>SELESAI (VIA PERMOHONAN)</v>
      </c>
      <c r="J1758" s="17">
        <f>IFERROR(__xludf.DUMMYFUNCTION("""COMPUTED_VALUE"""),45764.647764953705)</f>
        <v>45764.64776</v>
      </c>
      <c r="K1758" s="13" t="str">
        <f>IFERROR(__xludf.DUMMYFUNCTION("""COMPUTED_VALUE"""),"Selesai")</f>
        <v>Selesai</v>
      </c>
      <c r="L1758" s="17">
        <f>IFERROR(__xludf.DUMMYFUNCTION("""COMPUTED_VALUE"""),45764.647764953705)</f>
        <v>45764.64776</v>
      </c>
      <c r="M1758" s="13"/>
      <c r="N1758" s="13" t="str">
        <f>IFERROR(__xludf.DUMMYFUNCTION("""COMPUTED_VALUE"""),"")</f>
        <v/>
      </c>
      <c r="O1758" s="13" t="str">
        <f t="shared" si="1"/>
        <v/>
      </c>
    </row>
    <row r="1759" ht="22.5" customHeight="1">
      <c r="B1759" s="13">
        <f>IFERROR(__xludf.DUMMYFUNCTION("""COMPUTED_VALUE"""),1754.0)</f>
        <v>1754</v>
      </c>
      <c r="C1759" s="13" t="str">
        <f>IFERROR(__xludf.DUMMYFUNCTION("""COMPUTED_VALUE"""),"HM 1374/SEPANAG JAYA")</f>
        <v>HM 1374/SEPANAG JAYA</v>
      </c>
      <c r="D1759" s="13" t="str">
        <f>IFERROR(__xludf.DUMMYFUNCTION("""COMPUTED_VALUE"""),"L/10/270325/1")</f>
        <v>L/10/270325/1</v>
      </c>
      <c r="E1759" s="14" t="str">
        <f>IFERROR(__xludf.DUMMYFUNCTION("""COMPUTED_VALUE"""),"Nadian (BT)")</f>
        <v>Nadian (BT)</v>
      </c>
      <c r="F1759" s="14"/>
      <c r="G1759" s="17" t="str">
        <f>IFERROR(__xludf.DUMMYFUNCTION("""COMPUTED_VALUE"""),"")</f>
        <v/>
      </c>
      <c r="H1759" s="14" t="str">
        <f>IFERROR(__xludf.DUMMYFUNCTION("""COMPUTED_VALUE"""),"Bu Eva (SU)")</f>
        <v>Bu Eva (SU)</v>
      </c>
      <c r="I1759" s="13" t="str">
        <f>IFERROR(__xludf.DUMMYFUNCTION("""COMPUTED_VALUE"""),"SELESAI (VIA PERMOHONAN)")</f>
        <v>SELESAI (VIA PERMOHONAN)</v>
      </c>
      <c r="J1759" s="17">
        <f>IFERROR(__xludf.DUMMYFUNCTION("""COMPUTED_VALUE"""),45764.647764953705)</f>
        <v>45764.64776</v>
      </c>
      <c r="K1759" s="13" t="str">
        <f>IFERROR(__xludf.DUMMYFUNCTION("""COMPUTED_VALUE"""),"BT atau SU Belum Valid")</f>
        <v>BT atau SU Belum Valid</v>
      </c>
      <c r="L1759" s="13" t="str">
        <f>IFERROR(__xludf.DUMMYFUNCTION("""COMPUTED_VALUE"""),"")</f>
        <v/>
      </c>
      <c r="M1759" s="13"/>
      <c r="N1759" s="13" t="str">
        <f>IFERROR(__xludf.DUMMYFUNCTION("""COMPUTED_VALUE"""),"")</f>
        <v/>
      </c>
      <c r="O1759" s="13" t="str">
        <f t="shared" si="1"/>
        <v/>
      </c>
    </row>
    <row r="1760" ht="22.5" customHeight="1">
      <c r="B1760" s="13">
        <f>IFERROR(__xludf.DUMMYFUNCTION("""COMPUTED_VALUE"""),1755.0)</f>
        <v>1755</v>
      </c>
      <c r="C1760" s="13" t="str">
        <f>IFERROR(__xludf.DUMMYFUNCTION("""COMPUTED_VALUE"""),"M. 571/ Kupang Raya")</f>
        <v>M. 571/ Kupang Raya</v>
      </c>
      <c r="D1760" s="13" t="str">
        <f>IFERROR(__xludf.DUMMYFUNCTION("""COMPUTED_VALUE"""),"K/45/130325/1")</f>
        <v>K/45/130325/1</v>
      </c>
      <c r="E1760" s="14" t="str">
        <f>IFERROR(__xludf.DUMMYFUNCTION("""COMPUTED_VALUE"""),"Nadian (BT)")</f>
        <v>Nadian (BT)</v>
      </c>
      <c r="F1760" s="14"/>
      <c r="G1760" s="17" t="str">
        <f>IFERROR(__xludf.DUMMYFUNCTION("""COMPUTED_VALUE"""),"")</f>
        <v/>
      </c>
      <c r="H1760" s="14" t="str">
        <f>IFERROR(__xludf.DUMMYFUNCTION("""COMPUTED_VALUE"""),"Bu Eva (SU)")</f>
        <v>Bu Eva (SU)</v>
      </c>
      <c r="I1760" s="13" t="str">
        <f>IFERROR(__xludf.DUMMYFUNCTION("""COMPUTED_VALUE"""),"SELESAI (VIA PERMOHONAN)")</f>
        <v>SELESAI (VIA PERMOHONAN)</v>
      </c>
      <c r="J1760" s="17">
        <f>IFERROR(__xludf.DUMMYFUNCTION("""COMPUTED_VALUE"""),45764.647764953705)</f>
        <v>45764.64776</v>
      </c>
      <c r="K1760" s="13" t="str">
        <f>IFERROR(__xludf.DUMMYFUNCTION("""COMPUTED_VALUE"""),"BT atau SU Belum Valid")</f>
        <v>BT atau SU Belum Valid</v>
      </c>
      <c r="L1760" s="13" t="str">
        <f>IFERROR(__xludf.DUMMYFUNCTION("""COMPUTED_VALUE"""),"")</f>
        <v/>
      </c>
      <c r="M1760" s="13"/>
      <c r="N1760" s="13" t="str">
        <f>IFERROR(__xludf.DUMMYFUNCTION("""COMPUTED_VALUE"""),"")</f>
        <v/>
      </c>
      <c r="O1760" s="13" t="str">
        <f t="shared" si="1"/>
        <v/>
      </c>
    </row>
    <row r="1761" ht="22.5" customHeight="1">
      <c r="B1761" s="13">
        <f>IFERROR(__xludf.DUMMYFUNCTION("""COMPUTED_VALUE"""),1756.0)</f>
        <v>1756</v>
      </c>
      <c r="C1761" s="13" t="str">
        <f>IFERROR(__xludf.DUMMYFUNCTION("""COMPUTED_VALUE"""),"M. 3016/ Sukarame II")</f>
        <v>M. 3016/ Sukarame II</v>
      </c>
      <c r="D1761" s="13" t="str">
        <f>IFERROR(__xludf.DUMMYFUNCTION("""COMPUTED_VALUE"""),"K/32/140325/2")</f>
        <v>K/32/140325/2</v>
      </c>
      <c r="E1761" s="14" t="str">
        <f>IFERROR(__xludf.DUMMYFUNCTION("""COMPUTED_VALUE"""),"Nadian (BT)")</f>
        <v>Nadian (BT)</v>
      </c>
      <c r="F1761" s="14"/>
      <c r="G1761" s="17" t="str">
        <f>IFERROR(__xludf.DUMMYFUNCTION("""COMPUTED_VALUE"""),"")</f>
        <v/>
      </c>
      <c r="H1761" s="14" t="str">
        <f>IFERROR(__xludf.DUMMYFUNCTION("""COMPUTED_VALUE"""),"Bu Eva (SU)")</f>
        <v>Bu Eva (SU)</v>
      </c>
      <c r="I1761" s="13" t="str">
        <f>IFERROR(__xludf.DUMMYFUNCTION("""COMPUTED_VALUE"""),"SELESAI (VIA PERMOHONAN)")</f>
        <v>SELESAI (VIA PERMOHONAN)</v>
      </c>
      <c r="J1761" s="17">
        <f>IFERROR(__xludf.DUMMYFUNCTION("""COMPUTED_VALUE"""),45764.647764953705)</f>
        <v>45764.64776</v>
      </c>
      <c r="K1761" s="13" t="str">
        <f>IFERROR(__xludf.DUMMYFUNCTION("""COMPUTED_VALUE"""),"BT atau SU Belum Valid")</f>
        <v>BT atau SU Belum Valid</v>
      </c>
      <c r="L1761" s="13" t="str">
        <f>IFERROR(__xludf.DUMMYFUNCTION("""COMPUTED_VALUE"""),"")</f>
        <v/>
      </c>
      <c r="M1761" s="13"/>
      <c r="N1761" s="13" t="str">
        <f>IFERROR(__xludf.DUMMYFUNCTION("""COMPUTED_VALUE"""),"")</f>
        <v/>
      </c>
      <c r="O1761" s="13" t="str">
        <f t="shared" si="1"/>
        <v/>
      </c>
    </row>
    <row r="1762" ht="22.5" customHeight="1">
      <c r="B1762" s="13">
        <f>IFERROR(__xludf.DUMMYFUNCTION("""COMPUTED_VALUE"""),1757.0)</f>
        <v>1757</v>
      </c>
      <c r="C1762" s="13" t="str">
        <f>IFERROR(__xludf.DUMMYFUNCTION("""COMPUTED_VALUE"""),"M. 729/ Tanjung Gading")</f>
        <v>M. 729/ Tanjung Gading</v>
      </c>
      <c r="D1762" s="13" t="str">
        <f>IFERROR(__xludf.DUMMYFUNCTION("""COMPUTED_VALUE"""),"K/9/130325/2")</f>
        <v>K/9/130325/2</v>
      </c>
      <c r="E1762" s="14" t="str">
        <f>IFERROR(__xludf.DUMMYFUNCTION("""COMPUTED_VALUE"""),"Nadian (BT)")</f>
        <v>Nadian (BT)</v>
      </c>
      <c r="F1762" s="14"/>
      <c r="G1762" s="17" t="str">
        <f>IFERROR(__xludf.DUMMYFUNCTION("""COMPUTED_VALUE"""),"")</f>
        <v/>
      </c>
      <c r="H1762" s="14" t="str">
        <f>IFERROR(__xludf.DUMMYFUNCTION("""COMPUTED_VALUE"""),"Bu Eva (SU)")</f>
        <v>Bu Eva (SU)</v>
      </c>
      <c r="I1762" s="13" t="str">
        <f>IFERROR(__xludf.DUMMYFUNCTION("""COMPUTED_VALUE"""),"SELESAI (VIA PERMOHONAN)")</f>
        <v>SELESAI (VIA PERMOHONAN)</v>
      </c>
      <c r="J1762" s="17">
        <f>IFERROR(__xludf.DUMMYFUNCTION("""COMPUTED_VALUE"""),45764.647764953705)</f>
        <v>45764.64776</v>
      </c>
      <c r="K1762" s="13" t="str">
        <f>IFERROR(__xludf.DUMMYFUNCTION("""COMPUTED_VALUE"""),"BT atau SU Belum Valid")</f>
        <v>BT atau SU Belum Valid</v>
      </c>
      <c r="L1762" s="13" t="str">
        <f>IFERROR(__xludf.DUMMYFUNCTION("""COMPUTED_VALUE"""),"")</f>
        <v/>
      </c>
      <c r="M1762" s="13"/>
      <c r="N1762" s="13" t="str">
        <f>IFERROR(__xludf.DUMMYFUNCTION("""COMPUTED_VALUE"""),"")</f>
        <v/>
      </c>
      <c r="O1762" s="13" t="str">
        <f t="shared" si="1"/>
        <v/>
      </c>
    </row>
    <row r="1763" ht="22.5" customHeight="1">
      <c r="B1763" s="13">
        <f>IFERROR(__xludf.DUMMYFUNCTION("""COMPUTED_VALUE"""),1758.0)</f>
        <v>1758</v>
      </c>
      <c r="C1763" s="13" t="str">
        <f>IFERROR(__xludf.DUMMYFUNCTION("""COMPUTED_VALUE"""),"M. 3687/ Nusantara Permai")</f>
        <v>M. 3687/ Nusantara Permai</v>
      </c>
      <c r="D1763" s="13" t="str">
        <f>IFERROR(__xludf.DUMMYFUNCTION("""COMPUTED_VALUE"""),"K/5/140325/1")</f>
        <v>K/5/140325/1</v>
      </c>
      <c r="E1763" s="14" t="str">
        <f>IFERROR(__xludf.DUMMYFUNCTION("""COMPUTED_VALUE"""),"Nadian (BT)")</f>
        <v>Nadian (BT)</v>
      </c>
      <c r="F1763" s="14"/>
      <c r="G1763" s="17" t="str">
        <f>IFERROR(__xludf.DUMMYFUNCTION("""COMPUTED_VALUE"""),"")</f>
        <v/>
      </c>
      <c r="H1763" s="14" t="str">
        <f>IFERROR(__xludf.DUMMYFUNCTION("""COMPUTED_VALUE"""),"Bu Eva (SU)")</f>
        <v>Bu Eva (SU)</v>
      </c>
      <c r="I1763" s="13" t="str">
        <f>IFERROR(__xludf.DUMMYFUNCTION("""COMPUTED_VALUE"""),"SELESAI (VIA PERMOHONAN)")</f>
        <v>SELESAI (VIA PERMOHONAN)</v>
      </c>
      <c r="J1763" s="17">
        <f>IFERROR(__xludf.DUMMYFUNCTION("""COMPUTED_VALUE"""),45764.647764953705)</f>
        <v>45764.64776</v>
      </c>
      <c r="K1763" s="13" t="str">
        <f>IFERROR(__xludf.DUMMYFUNCTION("""COMPUTED_VALUE"""),"BT atau SU Belum Valid")</f>
        <v>BT atau SU Belum Valid</v>
      </c>
      <c r="L1763" s="13" t="str">
        <f>IFERROR(__xludf.DUMMYFUNCTION("""COMPUTED_VALUE"""),"")</f>
        <v/>
      </c>
      <c r="M1763" s="13"/>
      <c r="N1763" s="13" t="str">
        <f>IFERROR(__xludf.DUMMYFUNCTION("""COMPUTED_VALUE"""),"")</f>
        <v/>
      </c>
      <c r="O1763" s="13" t="str">
        <f t="shared" si="1"/>
        <v/>
      </c>
    </row>
    <row r="1764" ht="22.5" customHeight="1">
      <c r="B1764" s="13">
        <f>IFERROR(__xludf.DUMMYFUNCTION("""COMPUTED_VALUE"""),1759.0)</f>
        <v>1759</v>
      </c>
      <c r="C1764" s="13" t="str">
        <f>IFERROR(__xludf.DUMMYFUNCTION("""COMPUTED_VALUE"""),"B. 15/ Pinang Jaya")</f>
        <v>B. 15/ Pinang Jaya</v>
      </c>
      <c r="D1764" s="13" t="str">
        <f>IFERROR(__xludf.DUMMYFUNCTION("""COMPUTED_VALUE"""),"K/9/100425/1")</f>
        <v>K/9/100425/1</v>
      </c>
      <c r="E1764" s="14" t="str">
        <f>IFERROR(__xludf.DUMMYFUNCTION("""COMPUTED_VALUE"""),"Nadian (BT)")</f>
        <v>Nadian (BT)</v>
      </c>
      <c r="F1764" s="14"/>
      <c r="G1764" s="17" t="str">
        <f>IFERROR(__xludf.DUMMYFUNCTION("""COMPUTED_VALUE"""),"")</f>
        <v/>
      </c>
      <c r="H1764" s="14" t="str">
        <f>IFERROR(__xludf.DUMMYFUNCTION("""COMPUTED_VALUE"""),"Bu Eva (SU)")</f>
        <v>Bu Eva (SU)</v>
      </c>
      <c r="I1764" s="13" t="str">
        <f>IFERROR(__xludf.DUMMYFUNCTION("""COMPUTED_VALUE"""),"SELESAI (VIA PERMOHONAN)")</f>
        <v>SELESAI (VIA PERMOHONAN)</v>
      </c>
      <c r="J1764" s="17">
        <f>IFERROR(__xludf.DUMMYFUNCTION("""COMPUTED_VALUE"""),45764.647764953705)</f>
        <v>45764.64776</v>
      </c>
      <c r="K1764" s="13" t="str">
        <f>IFERROR(__xludf.DUMMYFUNCTION("""COMPUTED_VALUE"""),"BT atau SU Belum Valid")</f>
        <v>BT atau SU Belum Valid</v>
      </c>
      <c r="L1764" s="13" t="str">
        <f>IFERROR(__xludf.DUMMYFUNCTION("""COMPUTED_VALUE"""),"")</f>
        <v/>
      </c>
      <c r="M1764" s="13"/>
      <c r="N1764" s="13" t="str">
        <f>IFERROR(__xludf.DUMMYFUNCTION("""COMPUTED_VALUE"""),"")</f>
        <v/>
      </c>
      <c r="O1764" s="13" t="str">
        <f t="shared" si="1"/>
        <v/>
      </c>
    </row>
    <row r="1765" ht="22.5" customHeight="1">
      <c r="B1765" s="13">
        <f>IFERROR(__xludf.DUMMYFUNCTION("""COMPUTED_VALUE"""),1760.0)</f>
        <v>1760</v>
      </c>
      <c r="C1765" s="13" t="str">
        <f>IFERROR(__xludf.DUMMYFUNCTION("""COMPUTED_VALUE"""),"HM 2846/BERININ RAYA")</f>
        <v>HM 2846/BERININ RAYA</v>
      </c>
      <c r="D1765" s="13" t="str">
        <f>IFERROR(__xludf.DUMMYFUNCTION("""COMPUTED_VALUE"""),"L/2/170325/1")</f>
        <v>L/2/170325/1</v>
      </c>
      <c r="E1765" s="14" t="str">
        <f>IFERROR(__xludf.DUMMYFUNCTION("""COMPUTED_VALUE"""),"Nadian (BT)")</f>
        <v>Nadian (BT)</v>
      </c>
      <c r="F1765" s="14"/>
      <c r="G1765" s="17" t="str">
        <f>IFERROR(__xludf.DUMMYFUNCTION("""COMPUTED_VALUE"""),"")</f>
        <v/>
      </c>
      <c r="H1765" s="14" t="str">
        <f>IFERROR(__xludf.DUMMYFUNCTION("""COMPUTED_VALUE"""),"Bu Eva (SU)")</f>
        <v>Bu Eva (SU)</v>
      </c>
      <c r="I1765" s="13" t="str">
        <f>IFERROR(__xludf.DUMMYFUNCTION("""COMPUTED_VALUE"""),"SELESAI (VIA PERMOHONAN)")</f>
        <v>SELESAI (VIA PERMOHONAN)</v>
      </c>
      <c r="J1765" s="17">
        <f>IFERROR(__xludf.DUMMYFUNCTION("""COMPUTED_VALUE"""),45764.64776496528)</f>
        <v>45764.64776</v>
      </c>
      <c r="K1765" s="13" t="str">
        <f>IFERROR(__xludf.DUMMYFUNCTION("""COMPUTED_VALUE"""),"BT atau SU Belum Valid")</f>
        <v>BT atau SU Belum Valid</v>
      </c>
      <c r="L1765" s="13" t="str">
        <f>IFERROR(__xludf.DUMMYFUNCTION("""COMPUTED_VALUE"""),"")</f>
        <v/>
      </c>
      <c r="M1765" s="13"/>
      <c r="N1765" s="13" t="str">
        <f>IFERROR(__xludf.DUMMYFUNCTION("""COMPUTED_VALUE"""),"")</f>
        <v/>
      </c>
      <c r="O1765" s="13" t="str">
        <f t="shared" si="1"/>
        <v/>
      </c>
    </row>
    <row r="1766" ht="22.5" customHeight="1">
      <c r="B1766" s="13">
        <f>IFERROR(__xludf.DUMMYFUNCTION("""COMPUTED_VALUE"""),1761.0)</f>
        <v>1761</v>
      </c>
      <c r="C1766" s="13" t="str">
        <f>IFERROR(__xludf.DUMMYFUNCTION("""COMPUTED_VALUE"""),"M. 15126/ Sukarame")</f>
        <v>M. 15126/ Sukarame</v>
      </c>
      <c r="D1766" s="13" t="str">
        <f>IFERROR(__xludf.DUMMYFUNCTION("""COMPUTED_VALUE"""),"K/11/130325/4")</f>
        <v>K/11/130325/4</v>
      </c>
      <c r="E1766" s="14" t="str">
        <f>IFERROR(__xludf.DUMMYFUNCTION("""COMPUTED_VALUE"""),"Nadian (BT)")</f>
        <v>Nadian (BT)</v>
      </c>
      <c r="F1766" s="14"/>
      <c r="G1766" s="17" t="str">
        <f>IFERROR(__xludf.DUMMYFUNCTION("""COMPUTED_VALUE"""),"")</f>
        <v/>
      </c>
      <c r="H1766" s="14" t="str">
        <f>IFERROR(__xludf.DUMMYFUNCTION("""COMPUTED_VALUE"""),"Bu Eva (SU)")</f>
        <v>Bu Eva (SU)</v>
      </c>
      <c r="I1766" s="13" t="str">
        <f>IFERROR(__xludf.DUMMYFUNCTION("""COMPUTED_VALUE"""),"SELESAI (VIA PERMOHONAN)")</f>
        <v>SELESAI (VIA PERMOHONAN)</v>
      </c>
      <c r="J1766" s="17">
        <f>IFERROR(__xludf.DUMMYFUNCTION("""COMPUTED_VALUE"""),45764.64776496528)</f>
        <v>45764.64776</v>
      </c>
      <c r="K1766" s="13" t="str">
        <f>IFERROR(__xludf.DUMMYFUNCTION("""COMPUTED_VALUE"""),"BT atau SU Belum Valid")</f>
        <v>BT atau SU Belum Valid</v>
      </c>
      <c r="L1766" s="13" t="str">
        <f>IFERROR(__xludf.DUMMYFUNCTION("""COMPUTED_VALUE"""),"")</f>
        <v/>
      </c>
      <c r="M1766" s="13"/>
      <c r="N1766" s="13" t="str">
        <f>IFERROR(__xludf.DUMMYFUNCTION("""COMPUTED_VALUE"""),"")</f>
        <v/>
      </c>
      <c r="O1766" s="13" t="str">
        <f t="shared" si="1"/>
        <v/>
      </c>
    </row>
    <row r="1767" ht="22.5" customHeight="1">
      <c r="B1767" s="13">
        <f>IFERROR(__xludf.DUMMYFUNCTION("""COMPUTED_VALUE"""),1762.0)</f>
        <v>1762</v>
      </c>
      <c r="C1767" s="13" t="str">
        <f>IFERROR(__xludf.DUMMYFUNCTION("""COMPUTED_VALUE"""),"M. 219/ Bumi Raya")</f>
        <v>M. 219/ Bumi Raya</v>
      </c>
      <c r="D1767" s="13" t="str">
        <f>IFERROR(__xludf.DUMMYFUNCTION("""COMPUTED_VALUE"""),"K/10/140325/1")</f>
        <v>K/10/140325/1</v>
      </c>
      <c r="E1767" s="14" t="str">
        <f>IFERROR(__xludf.DUMMYFUNCTION("""COMPUTED_VALUE"""),"Nadian (BT)")</f>
        <v>Nadian (BT)</v>
      </c>
      <c r="F1767" s="14"/>
      <c r="G1767" s="17" t="str">
        <f>IFERROR(__xludf.DUMMYFUNCTION("""COMPUTED_VALUE"""),"")</f>
        <v/>
      </c>
      <c r="H1767" s="14" t="str">
        <f>IFERROR(__xludf.DUMMYFUNCTION("""COMPUTED_VALUE"""),"Bu Eva (SU)")</f>
        <v>Bu Eva (SU)</v>
      </c>
      <c r="I1767" s="13" t="str">
        <f>IFERROR(__xludf.DUMMYFUNCTION("""COMPUTED_VALUE"""),"SELESAI (VIA PERMOHONAN)")</f>
        <v>SELESAI (VIA PERMOHONAN)</v>
      </c>
      <c r="J1767" s="17">
        <f>IFERROR(__xludf.DUMMYFUNCTION("""COMPUTED_VALUE"""),45764.64776496528)</f>
        <v>45764.64776</v>
      </c>
      <c r="K1767" s="13" t="str">
        <f>IFERROR(__xludf.DUMMYFUNCTION("""COMPUTED_VALUE"""),"BT atau SU Belum Valid")</f>
        <v>BT atau SU Belum Valid</v>
      </c>
      <c r="L1767" s="13" t="str">
        <f>IFERROR(__xludf.DUMMYFUNCTION("""COMPUTED_VALUE"""),"")</f>
        <v/>
      </c>
      <c r="M1767" s="13"/>
      <c r="N1767" s="13" t="str">
        <f>IFERROR(__xludf.DUMMYFUNCTION("""COMPUTED_VALUE"""),"")</f>
        <v/>
      </c>
      <c r="O1767" s="13" t="str">
        <f t="shared" si="1"/>
        <v/>
      </c>
    </row>
    <row r="1768" ht="22.5" customHeight="1">
      <c r="B1768" s="13">
        <f>IFERROR(__xludf.DUMMYFUNCTION("""COMPUTED_VALUE"""),1763.0)</f>
        <v>1763</v>
      </c>
      <c r="C1768" s="13" t="str">
        <f>IFERROR(__xludf.DUMMYFUNCTION("""COMPUTED_VALUE"""),"M. 12490/ Sukabumi")</f>
        <v>M. 12490/ Sukabumi</v>
      </c>
      <c r="D1768" s="13" t="str">
        <f>IFERROR(__xludf.DUMMYFUNCTION("""COMPUTED_VALUE"""),"K/39/240325/3")</f>
        <v>K/39/240325/3</v>
      </c>
      <c r="E1768" s="14" t="str">
        <f>IFERROR(__xludf.DUMMYFUNCTION("""COMPUTED_VALUE"""),"Nadian (BT)")</f>
        <v>Nadian (BT)</v>
      </c>
      <c r="F1768" s="14"/>
      <c r="G1768" s="17" t="str">
        <f>IFERROR(__xludf.DUMMYFUNCTION("""COMPUTED_VALUE"""),"")</f>
        <v/>
      </c>
      <c r="H1768" s="14" t="str">
        <f>IFERROR(__xludf.DUMMYFUNCTION("""COMPUTED_VALUE"""),"Bu Eva (SU)")</f>
        <v>Bu Eva (SU)</v>
      </c>
      <c r="I1768" s="13" t="str">
        <f>IFERROR(__xludf.DUMMYFUNCTION("""COMPUTED_VALUE"""),"SELESAI (VIA PERMOHONAN)")</f>
        <v>SELESAI (VIA PERMOHONAN)</v>
      </c>
      <c r="J1768" s="17">
        <f>IFERROR(__xludf.DUMMYFUNCTION("""COMPUTED_VALUE"""),45764.64776496528)</f>
        <v>45764.64776</v>
      </c>
      <c r="K1768" s="13" t="str">
        <f>IFERROR(__xludf.DUMMYFUNCTION("""COMPUTED_VALUE"""),"BT atau SU Belum Valid")</f>
        <v>BT atau SU Belum Valid</v>
      </c>
      <c r="L1768" s="13" t="str">
        <f>IFERROR(__xludf.DUMMYFUNCTION("""COMPUTED_VALUE"""),"")</f>
        <v/>
      </c>
      <c r="M1768" s="13"/>
      <c r="N1768" s="13" t="str">
        <f>IFERROR(__xludf.DUMMYFUNCTION("""COMPUTED_VALUE"""),"")</f>
        <v/>
      </c>
      <c r="O1768" s="13" t="str">
        <f t="shared" si="1"/>
        <v/>
      </c>
    </row>
    <row r="1769" ht="22.5" customHeight="1">
      <c r="B1769" s="13">
        <f>IFERROR(__xludf.DUMMYFUNCTION("""COMPUTED_VALUE"""),1764.0)</f>
        <v>1764</v>
      </c>
      <c r="C1769" s="13" t="str">
        <f>IFERROR(__xludf.DUMMYFUNCTION("""COMPUTED_VALUE"""),"M. 1488/ Kota Karang")</f>
        <v>M. 1488/ Kota Karang</v>
      </c>
      <c r="D1769" s="13" t="str">
        <f>IFERROR(__xludf.DUMMYFUNCTION("""COMPUTED_VALUE"""),"K/23/140325/2")</f>
        <v>K/23/140325/2</v>
      </c>
      <c r="E1769" s="14" t="str">
        <f>IFERROR(__xludf.DUMMYFUNCTION("""COMPUTED_VALUE"""),"Nadian (BT)")</f>
        <v>Nadian (BT)</v>
      </c>
      <c r="F1769" s="14"/>
      <c r="G1769" s="17" t="str">
        <f>IFERROR(__xludf.DUMMYFUNCTION("""COMPUTED_VALUE"""),"")</f>
        <v/>
      </c>
      <c r="H1769" s="14" t="str">
        <f>IFERROR(__xludf.DUMMYFUNCTION("""COMPUTED_VALUE"""),"Bu Eva (SU)")</f>
        <v>Bu Eva (SU)</v>
      </c>
      <c r="I1769" s="13" t="str">
        <f>IFERROR(__xludf.DUMMYFUNCTION("""COMPUTED_VALUE"""),"SELESAI (VIA PERMOHONAN)")</f>
        <v>SELESAI (VIA PERMOHONAN)</v>
      </c>
      <c r="J1769" s="17">
        <f>IFERROR(__xludf.DUMMYFUNCTION("""COMPUTED_VALUE"""),45764.64776496528)</f>
        <v>45764.64776</v>
      </c>
      <c r="K1769" s="13" t="str">
        <f>IFERROR(__xludf.DUMMYFUNCTION("""COMPUTED_VALUE"""),"BT atau SU Belum Valid")</f>
        <v>BT atau SU Belum Valid</v>
      </c>
      <c r="L1769" s="13" t="str">
        <f>IFERROR(__xludf.DUMMYFUNCTION("""COMPUTED_VALUE"""),"")</f>
        <v/>
      </c>
      <c r="M1769" s="13"/>
      <c r="N1769" s="13" t="str">
        <f>IFERROR(__xludf.DUMMYFUNCTION("""COMPUTED_VALUE"""),"")</f>
        <v/>
      </c>
      <c r="O1769" s="13" t="str">
        <f t="shared" si="1"/>
        <v/>
      </c>
    </row>
    <row r="1770" ht="22.5" customHeight="1">
      <c r="B1770" s="13">
        <f>IFERROR(__xludf.DUMMYFUNCTION("""COMPUTED_VALUE"""),1765.0)</f>
        <v>1765</v>
      </c>
      <c r="C1770" s="13" t="str">
        <f>IFERROR(__xludf.DUMMYFUNCTION("""COMPUTED_VALUE"""),"M. 196/ Tanjung Raya")</f>
        <v>M. 196/ Tanjung Raya</v>
      </c>
      <c r="D1770" s="13" t="str">
        <f>IFERROR(__xludf.DUMMYFUNCTION("""COMPUTED_VALUE"""),"K/3/210325/2")</f>
        <v>K/3/210325/2</v>
      </c>
      <c r="E1770" s="14" t="str">
        <f>IFERROR(__xludf.DUMMYFUNCTION("""COMPUTED_VALUE"""),"Nadian (BT)")</f>
        <v>Nadian (BT)</v>
      </c>
      <c r="F1770" s="14"/>
      <c r="G1770" s="17" t="str">
        <f>IFERROR(__xludf.DUMMYFUNCTION("""COMPUTED_VALUE"""),"")</f>
        <v/>
      </c>
      <c r="H1770" s="14" t="str">
        <f>IFERROR(__xludf.DUMMYFUNCTION("""COMPUTED_VALUE"""),"Bu Eva (SU)")</f>
        <v>Bu Eva (SU)</v>
      </c>
      <c r="I1770" s="13" t="str">
        <f>IFERROR(__xludf.DUMMYFUNCTION("""COMPUTED_VALUE"""),"SELESAI (VIA PERMOHONAN)")</f>
        <v>SELESAI (VIA PERMOHONAN)</v>
      </c>
      <c r="J1770" s="17">
        <f>IFERROR(__xludf.DUMMYFUNCTION("""COMPUTED_VALUE"""),45764.64776496528)</f>
        <v>45764.64776</v>
      </c>
      <c r="K1770" s="13" t="str">
        <f>IFERROR(__xludf.DUMMYFUNCTION("""COMPUTED_VALUE"""),"BT atau SU Belum Valid")</f>
        <v>BT atau SU Belum Valid</v>
      </c>
      <c r="L1770" s="13" t="str">
        <f>IFERROR(__xludf.DUMMYFUNCTION("""COMPUTED_VALUE"""),"")</f>
        <v/>
      </c>
      <c r="M1770" s="13"/>
      <c r="N1770" s="13" t="str">
        <f>IFERROR(__xludf.DUMMYFUNCTION("""COMPUTED_VALUE"""),"")</f>
        <v/>
      </c>
      <c r="O1770" s="13" t="str">
        <f t="shared" si="1"/>
        <v/>
      </c>
    </row>
    <row r="1771" ht="22.5" customHeight="1">
      <c r="B1771" s="13">
        <f>IFERROR(__xludf.DUMMYFUNCTION("""COMPUTED_VALUE"""),1766.0)</f>
        <v>1766</v>
      </c>
      <c r="C1771" s="13" t="str">
        <f>IFERROR(__xludf.DUMMYFUNCTION("""COMPUTED_VALUE"""),"M. 11263/ Segala Mider")</f>
        <v>M. 11263/ Segala Mider</v>
      </c>
      <c r="D1771" s="13" t="str">
        <f>IFERROR(__xludf.DUMMYFUNCTION("""COMPUTED_VALUE"""),"K/38/070325/1")</f>
        <v>K/38/070325/1</v>
      </c>
      <c r="E1771" s="14" t="str">
        <f>IFERROR(__xludf.DUMMYFUNCTION("""COMPUTED_VALUE"""),"Nadian (BT)")</f>
        <v>Nadian (BT)</v>
      </c>
      <c r="F1771" s="14"/>
      <c r="G1771" s="17" t="str">
        <f>IFERROR(__xludf.DUMMYFUNCTION("""COMPUTED_VALUE"""),"")</f>
        <v/>
      </c>
      <c r="H1771" s="14" t="str">
        <f>IFERROR(__xludf.DUMMYFUNCTION("""COMPUTED_VALUE"""),"Bu Eva (SU)")</f>
        <v>Bu Eva (SU)</v>
      </c>
      <c r="I1771" s="13" t="str">
        <f>IFERROR(__xludf.DUMMYFUNCTION("""COMPUTED_VALUE"""),"SELESAI (VIA PERMOHONAN)")</f>
        <v>SELESAI (VIA PERMOHONAN)</v>
      </c>
      <c r="J1771" s="17">
        <f>IFERROR(__xludf.DUMMYFUNCTION("""COMPUTED_VALUE"""),45764.64776496528)</f>
        <v>45764.64776</v>
      </c>
      <c r="K1771" s="13" t="str">
        <f>IFERROR(__xludf.DUMMYFUNCTION("""COMPUTED_VALUE"""),"BT atau SU Belum Valid")</f>
        <v>BT atau SU Belum Valid</v>
      </c>
      <c r="L1771" s="13" t="str">
        <f>IFERROR(__xludf.DUMMYFUNCTION("""COMPUTED_VALUE"""),"")</f>
        <v/>
      </c>
      <c r="M1771" s="13"/>
      <c r="N1771" s="13" t="str">
        <f>IFERROR(__xludf.DUMMYFUNCTION("""COMPUTED_VALUE"""),"")</f>
        <v/>
      </c>
      <c r="O1771" s="13" t="str">
        <f t="shared" si="1"/>
        <v/>
      </c>
    </row>
    <row r="1772" ht="22.5" customHeight="1">
      <c r="B1772" s="13">
        <f>IFERROR(__xludf.DUMMYFUNCTION("""COMPUTED_VALUE"""),1767.0)</f>
        <v>1767</v>
      </c>
      <c r="C1772" s="13" t="str">
        <f>IFERROR(__xludf.DUMMYFUNCTION("""COMPUTED_VALUE"""),"M. 359/SUMBER REJO")</f>
        <v>M. 359/SUMBER REJO</v>
      </c>
      <c r="D1772" s="13" t="str">
        <f>IFERROR(__xludf.DUMMYFUNCTION("""COMPUTED_VALUE"""),"K/43/240325/1")</f>
        <v>K/43/240325/1</v>
      </c>
      <c r="E1772" s="14" t="str">
        <f>IFERROR(__xludf.DUMMYFUNCTION("""COMPUTED_VALUE"""),"Nadian (BT)")</f>
        <v>Nadian (BT)</v>
      </c>
      <c r="F1772" s="14"/>
      <c r="G1772" s="17" t="str">
        <f>IFERROR(__xludf.DUMMYFUNCTION("""COMPUTED_VALUE"""),"")</f>
        <v/>
      </c>
      <c r="H1772" s="14" t="str">
        <f>IFERROR(__xludf.DUMMYFUNCTION("""COMPUTED_VALUE"""),"Bu Eva (SU)")</f>
        <v>Bu Eva (SU)</v>
      </c>
      <c r="I1772" s="13" t="str">
        <f>IFERROR(__xludf.DUMMYFUNCTION("""COMPUTED_VALUE"""),"SELESAI (VIA PERMOHONAN)")</f>
        <v>SELESAI (VIA PERMOHONAN)</v>
      </c>
      <c r="J1772" s="17">
        <f>IFERROR(__xludf.DUMMYFUNCTION("""COMPUTED_VALUE"""),45764.64776496528)</f>
        <v>45764.64776</v>
      </c>
      <c r="K1772" s="13" t="str">
        <f>IFERROR(__xludf.DUMMYFUNCTION("""COMPUTED_VALUE"""),"BT atau SU Belum Valid")</f>
        <v>BT atau SU Belum Valid</v>
      </c>
      <c r="L1772" s="13" t="str">
        <f>IFERROR(__xludf.DUMMYFUNCTION("""COMPUTED_VALUE"""),"")</f>
        <v/>
      </c>
      <c r="M1772" s="13"/>
      <c r="N1772" s="13" t="str">
        <f>IFERROR(__xludf.DUMMYFUNCTION("""COMPUTED_VALUE"""),"")</f>
        <v/>
      </c>
      <c r="O1772" s="13" t="str">
        <f t="shared" si="1"/>
        <v/>
      </c>
    </row>
    <row r="1773" ht="22.5" customHeight="1">
      <c r="B1773" s="13">
        <f>IFERROR(__xludf.DUMMYFUNCTION("""COMPUTED_VALUE"""),1768.0)</f>
        <v>1768</v>
      </c>
      <c r="C1773" s="13" t="str">
        <f>IFERROR(__xludf.DUMMYFUNCTION("""COMPUTED_VALUE"""),"HM 208/PWK")</f>
        <v>HM 208/PWK</v>
      </c>
      <c r="D1773" s="13" t="str">
        <f>IFERROR(__xludf.DUMMYFUNCTION("""COMPUTED_VALUE"""),"L/36/100425/1")</f>
        <v>L/36/100425/1</v>
      </c>
      <c r="E1773" s="14" t="str">
        <f>IFERROR(__xludf.DUMMYFUNCTION("""COMPUTED_VALUE"""),"Nadian (BT)")</f>
        <v>Nadian (BT)</v>
      </c>
      <c r="F1773" s="14"/>
      <c r="G1773" s="17" t="str">
        <f>IFERROR(__xludf.DUMMYFUNCTION("""COMPUTED_VALUE"""),"")</f>
        <v/>
      </c>
      <c r="H1773" s="14" t="str">
        <f>IFERROR(__xludf.DUMMYFUNCTION("""COMPUTED_VALUE"""),"Bu Eva (SU)")</f>
        <v>Bu Eva (SU)</v>
      </c>
      <c r="I1773" s="13" t="str">
        <f>IFERROR(__xludf.DUMMYFUNCTION("""COMPUTED_VALUE"""),"SELESAI (VIA PERMOHONAN)")</f>
        <v>SELESAI (VIA PERMOHONAN)</v>
      </c>
      <c r="J1773" s="17">
        <f>IFERROR(__xludf.DUMMYFUNCTION("""COMPUTED_VALUE"""),45764.64776496528)</f>
        <v>45764.64776</v>
      </c>
      <c r="K1773" s="13" t="str">
        <f>IFERROR(__xludf.DUMMYFUNCTION("""COMPUTED_VALUE"""),"BT atau SU Belum Valid")</f>
        <v>BT atau SU Belum Valid</v>
      </c>
      <c r="L1773" s="13" t="str">
        <f>IFERROR(__xludf.DUMMYFUNCTION("""COMPUTED_VALUE"""),"")</f>
        <v/>
      </c>
      <c r="M1773" s="13"/>
      <c r="N1773" s="13" t="str">
        <f>IFERROR(__xludf.DUMMYFUNCTION("""COMPUTED_VALUE"""),"")</f>
        <v/>
      </c>
      <c r="O1773" s="13" t="str">
        <f t="shared" si="1"/>
        <v/>
      </c>
    </row>
    <row r="1774" ht="22.5" customHeight="1">
      <c r="B1774" s="13">
        <f>IFERROR(__xludf.DUMMYFUNCTION("""COMPUTED_VALUE"""),1769.0)</f>
        <v>1769</v>
      </c>
      <c r="C1774" s="13" t="str">
        <f>IFERROR(__xludf.DUMMYFUNCTION("""COMPUTED_VALUE"""),"HM 486/BERINGIN RAYA")</f>
        <v>HM 486/BERINGIN RAYA</v>
      </c>
      <c r="D1774" s="13" t="str">
        <f>IFERROR(__xludf.DUMMYFUNCTION("""COMPUTED_VALUE"""),"L/23/080425/2")</f>
        <v>L/23/080425/2</v>
      </c>
      <c r="E1774" s="14" t="str">
        <f>IFERROR(__xludf.DUMMYFUNCTION("""COMPUTED_VALUE"""),"Nadian (BT)")</f>
        <v>Nadian (BT)</v>
      </c>
      <c r="F1774" s="14"/>
      <c r="G1774" s="17" t="str">
        <f>IFERROR(__xludf.DUMMYFUNCTION("""COMPUTED_VALUE"""),"")</f>
        <v/>
      </c>
      <c r="H1774" s="14" t="str">
        <f>IFERROR(__xludf.DUMMYFUNCTION("""COMPUTED_VALUE"""),"Bu Eva (SU)")</f>
        <v>Bu Eva (SU)</v>
      </c>
      <c r="I1774" s="13" t="str">
        <f>IFERROR(__xludf.DUMMYFUNCTION("""COMPUTED_VALUE"""),"SELESAI (VIA PERMOHONAN)")</f>
        <v>SELESAI (VIA PERMOHONAN)</v>
      </c>
      <c r="J1774" s="17">
        <f>IFERROR(__xludf.DUMMYFUNCTION("""COMPUTED_VALUE"""),45764.647867858796)</f>
        <v>45764.64787</v>
      </c>
      <c r="K1774" s="13" t="str">
        <f>IFERROR(__xludf.DUMMYFUNCTION("""COMPUTED_VALUE"""),"BT atau SU Belum Valid")</f>
        <v>BT atau SU Belum Valid</v>
      </c>
      <c r="L1774" s="13" t="str">
        <f>IFERROR(__xludf.DUMMYFUNCTION("""COMPUTED_VALUE"""),"")</f>
        <v/>
      </c>
      <c r="M1774" s="13"/>
      <c r="N1774" s="13" t="str">
        <f>IFERROR(__xludf.DUMMYFUNCTION("""COMPUTED_VALUE"""),"")</f>
        <v/>
      </c>
      <c r="O1774" s="13" t="str">
        <f t="shared" si="1"/>
        <v/>
      </c>
    </row>
    <row r="1775" ht="22.5" customHeight="1">
      <c r="B1775" s="13">
        <f>IFERROR(__xludf.DUMMYFUNCTION("""COMPUTED_VALUE"""),1770.0)</f>
        <v>1770</v>
      </c>
      <c r="C1775" s="13" t="str">
        <f>IFERROR(__xludf.DUMMYFUNCTION("""COMPUTED_VALUE"""),"HM 11028/SUKABUMI")</f>
        <v>HM 11028/SUKABUMI</v>
      </c>
      <c r="D1775" s="13" t="str">
        <f>IFERROR(__xludf.DUMMYFUNCTION("""COMPUTED_VALUE"""),"L/15/090425/1")</f>
        <v>L/15/090425/1</v>
      </c>
      <c r="E1775" s="14" t="str">
        <f>IFERROR(__xludf.DUMMYFUNCTION("""COMPUTED_VALUE"""),"Nadian (BT)")</f>
        <v>Nadian (BT)</v>
      </c>
      <c r="F1775" s="14"/>
      <c r="G1775" s="17" t="str">
        <f>IFERROR(__xludf.DUMMYFUNCTION("""COMPUTED_VALUE"""),"")</f>
        <v/>
      </c>
      <c r="H1775" s="14" t="str">
        <f>IFERROR(__xludf.DUMMYFUNCTION("""COMPUTED_VALUE"""),"Bu Eva (SU)")</f>
        <v>Bu Eva (SU)</v>
      </c>
      <c r="I1775" s="13" t="str">
        <f>IFERROR(__xludf.DUMMYFUNCTION("""COMPUTED_VALUE"""),"SELESAI (VIA PERMOHONAN)")</f>
        <v>SELESAI (VIA PERMOHONAN)</v>
      </c>
      <c r="J1775" s="17">
        <f>IFERROR(__xludf.DUMMYFUNCTION("""COMPUTED_VALUE"""),45764.647867858796)</f>
        <v>45764.64787</v>
      </c>
      <c r="K1775" s="13" t="str">
        <f>IFERROR(__xludf.DUMMYFUNCTION("""COMPUTED_VALUE"""),"BT atau SU Belum Valid")</f>
        <v>BT atau SU Belum Valid</v>
      </c>
      <c r="L1775" s="13" t="str">
        <f>IFERROR(__xludf.DUMMYFUNCTION("""COMPUTED_VALUE"""),"")</f>
        <v/>
      </c>
      <c r="M1775" s="13"/>
      <c r="N1775" s="13" t="str">
        <f>IFERROR(__xludf.DUMMYFUNCTION("""COMPUTED_VALUE"""),"")</f>
        <v/>
      </c>
      <c r="O1775" s="13" t="str">
        <f t="shared" si="1"/>
        <v/>
      </c>
    </row>
    <row r="1776" ht="22.5" customHeight="1">
      <c r="B1776" s="13">
        <f>IFERROR(__xludf.DUMMYFUNCTION("""COMPUTED_VALUE"""),1771.0)</f>
        <v>1771</v>
      </c>
      <c r="C1776" s="13" t="str">
        <f>IFERROR(__xludf.DUMMYFUNCTION("""COMPUTED_VALUE"""),"M.898/SUKARAME BARU")</f>
        <v>M.898/SUKARAME BARU</v>
      </c>
      <c r="D1776" s="13" t="str">
        <f>IFERROR(__xludf.DUMMYFUNCTION("""COMPUTED_VALUE"""),"K/9/250325/1")</f>
        <v>K/9/250325/1</v>
      </c>
      <c r="E1776" s="14" t="str">
        <f>IFERROR(__xludf.DUMMYFUNCTION("""COMPUTED_VALUE"""),"Nadian (BT)")</f>
        <v>Nadian (BT)</v>
      </c>
      <c r="F1776" s="14"/>
      <c r="G1776" s="17" t="str">
        <f>IFERROR(__xludf.DUMMYFUNCTION("""COMPUTED_VALUE"""),"")</f>
        <v/>
      </c>
      <c r="H1776" s="14" t="str">
        <f>IFERROR(__xludf.DUMMYFUNCTION("""COMPUTED_VALUE"""),"Bu Eva (SU)")</f>
        <v>Bu Eva (SU)</v>
      </c>
      <c r="I1776" s="13" t="str">
        <f>IFERROR(__xludf.DUMMYFUNCTION("""COMPUTED_VALUE"""),"SELESAI (VIA PERMOHONAN)")</f>
        <v>SELESAI (VIA PERMOHONAN)</v>
      </c>
      <c r="J1776" s="17">
        <f>IFERROR(__xludf.DUMMYFUNCTION("""COMPUTED_VALUE"""),45764.647867858796)</f>
        <v>45764.64787</v>
      </c>
      <c r="K1776" s="13" t="str">
        <f>IFERROR(__xludf.DUMMYFUNCTION("""COMPUTED_VALUE"""),"BT atau SU Belum Valid")</f>
        <v>BT atau SU Belum Valid</v>
      </c>
      <c r="L1776" s="13" t="str">
        <f>IFERROR(__xludf.DUMMYFUNCTION("""COMPUTED_VALUE"""),"")</f>
        <v/>
      </c>
      <c r="M1776" s="13"/>
      <c r="N1776" s="13" t="str">
        <f>IFERROR(__xludf.DUMMYFUNCTION("""COMPUTED_VALUE"""),"")</f>
        <v/>
      </c>
      <c r="O1776" s="13" t="str">
        <f t="shared" si="1"/>
        <v/>
      </c>
    </row>
    <row r="1777" ht="22.5" customHeight="1">
      <c r="B1777" s="13">
        <f>IFERROR(__xludf.DUMMYFUNCTION("""COMPUTED_VALUE"""),1772.0)</f>
        <v>1772</v>
      </c>
      <c r="C1777" s="13" t="str">
        <f>IFERROR(__xludf.DUMMYFUNCTION("""COMPUTED_VALUE"""),"M.10674/SEGALA MIDER")</f>
        <v>M.10674/SEGALA MIDER</v>
      </c>
      <c r="D1777" s="13" t="str">
        <f>IFERROR(__xludf.DUMMYFUNCTION("""COMPUTED_VALUE"""),"K/7/130325/1")</f>
        <v>K/7/130325/1</v>
      </c>
      <c r="E1777" s="14" t="str">
        <f>IFERROR(__xludf.DUMMYFUNCTION("""COMPUTED_VALUE"""),"Nadian (BT)")</f>
        <v>Nadian (BT)</v>
      </c>
      <c r="F1777" s="14"/>
      <c r="G1777" s="17" t="str">
        <f>IFERROR(__xludf.DUMMYFUNCTION("""COMPUTED_VALUE"""),"")</f>
        <v/>
      </c>
      <c r="H1777" s="14" t="str">
        <f>IFERROR(__xludf.DUMMYFUNCTION("""COMPUTED_VALUE"""),"Bu Eva (SU)")</f>
        <v>Bu Eva (SU)</v>
      </c>
      <c r="I1777" s="13" t="str">
        <f>IFERROR(__xludf.DUMMYFUNCTION("""COMPUTED_VALUE"""),"SELESAI (VIA PERMOHONAN)")</f>
        <v>SELESAI (VIA PERMOHONAN)</v>
      </c>
      <c r="J1777" s="17">
        <f>IFERROR(__xludf.DUMMYFUNCTION("""COMPUTED_VALUE"""),45764.647867858796)</f>
        <v>45764.64787</v>
      </c>
      <c r="K1777" s="13" t="str">
        <f>IFERROR(__xludf.DUMMYFUNCTION("""COMPUTED_VALUE"""),"BT atau SU Belum Valid")</f>
        <v>BT atau SU Belum Valid</v>
      </c>
      <c r="L1777" s="13" t="str">
        <f>IFERROR(__xludf.DUMMYFUNCTION("""COMPUTED_VALUE"""),"")</f>
        <v/>
      </c>
      <c r="M1777" s="13"/>
      <c r="N1777" s="13" t="str">
        <f>IFERROR(__xludf.DUMMYFUNCTION("""COMPUTED_VALUE"""),"")</f>
        <v/>
      </c>
      <c r="O1777" s="13" t="str">
        <f t="shared" si="1"/>
        <v/>
      </c>
    </row>
    <row r="1778" ht="22.5" customHeight="1">
      <c r="B1778" s="13">
        <f>IFERROR(__xludf.DUMMYFUNCTION("""COMPUTED_VALUE"""),1773.0)</f>
        <v>1773</v>
      </c>
      <c r="C1778" s="13" t="str">
        <f>IFERROR(__xludf.DUMMYFUNCTION("""COMPUTED_VALUE"""),"M.271/WAY HALIM PERMAI")</f>
        <v>M.271/WAY HALIM PERMAI</v>
      </c>
      <c r="D1778" s="13" t="str">
        <f>IFERROR(__xludf.DUMMYFUNCTION("""COMPUTED_VALUE"""),"K/15/180325/1")</f>
        <v>K/15/180325/1</v>
      </c>
      <c r="E1778" s="14" t="str">
        <f>IFERROR(__xludf.DUMMYFUNCTION("""COMPUTED_VALUE"""),"Nadian (BT)")</f>
        <v>Nadian (BT)</v>
      </c>
      <c r="F1778" s="14"/>
      <c r="G1778" s="17" t="str">
        <f>IFERROR(__xludf.DUMMYFUNCTION("""COMPUTED_VALUE"""),"")</f>
        <v/>
      </c>
      <c r="H1778" s="14" t="str">
        <f>IFERROR(__xludf.DUMMYFUNCTION("""COMPUTED_VALUE"""),"Bu Eva (SU)")</f>
        <v>Bu Eva (SU)</v>
      </c>
      <c r="I1778" s="13" t="str">
        <f>IFERROR(__xludf.DUMMYFUNCTION("""COMPUTED_VALUE"""),"SELESAI (VIA PERMOHONAN)")</f>
        <v>SELESAI (VIA PERMOHONAN)</v>
      </c>
      <c r="J1778" s="17">
        <f>IFERROR(__xludf.DUMMYFUNCTION("""COMPUTED_VALUE"""),45764.647867858796)</f>
        <v>45764.64787</v>
      </c>
      <c r="K1778" s="13" t="str">
        <f>IFERROR(__xludf.DUMMYFUNCTION("""COMPUTED_VALUE"""),"BT atau SU Belum Valid")</f>
        <v>BT atau SU Belum Valid</v>
      </c>
      <c r="L1778" s="13" t="str">
        <f>IFERROR(__xludf.DUMMYFUNCTION("""COMPUTED_VALUE"""),"")</f>
        <v/>
      </c>
      <c r="M1778" s="13"/>
      <c r="N1778" s="13" t="str">
        <f>IFERROR(__xludf.DUMMYFUNCTION("""COMPUTED_VALUE"""),"")</f>
        <v/>
      </c>
      <c r="O1778" s="13" t="str">
        <f t="shared" si="1"/>
        <v/>
      </c>
    </row>
    <row r="1779" ht="22.5" customHeight="1">
      <c r="B1779" s="13">
        <f>IFERROR(__xludf.DUMMYFUNCTION("""COMPUTED_VALUE"""),1774.0)</f>
        <v>1774</v>
      </c>
      <c r="C1779" s="13" t="str">
        <f>IFERROR(__xludf.DUMMYFUNCTION("""COMPUTED_VALUE"""),"M.776/SUMUR PUTRI")</f>
        <v>M.776/SUMUR PUTRI</v>
      </c>
      <c r="D1779" s="13" t="str">
        <f>IFERROR(__xludf.DUMMYFUNCTION("""COMPUTED_VALUE"""),"K/4/140325/2")</f>
        <v>K/4/140325/2</v>
      </c>
      <c r="E1779" s="14" t="str">
        <f>IFERROR(__xludf.DUMMYFUNCTION("""COMPUTED_VALUE"""),"Nadian (BT)")</f>
        <v>Nadian (BT)</v>
      </c>
      <c r="F1779" s="14"/>
      <c r="G1779" s="17" t="str">
        <f>IFERROR(__xludf.DUMMYFUNCTION("""COMPUTED_VALUE"""),"")</f>
        <v/>
      </c>
      <c r="H1779" s="14" t="str">
        <f>IFERROR(__xludf.DUMMYFUNCTION("""COMPUTED_VALUE"""),"Bu Eva (SU)")</f>
        <v>Bu Eva (SU)</v>
      </c>
      <c r="I1779" s="13" t="str">
        <f>IFERROR(__xludf.DUMMYFUNCTION("""COMPUTED_VALUE"""),"SELESAI (VIA PERMOHONAN)")</f>
        <v>SELESAI (VIA PERMOHONAN)</v>
      </c>
      <c r="J1779" s="17">
        <f>IFERROR(__xludf.DUMMYFUNCTION("""COMPUTED_VALUE"""),45764.647867858796)</f>
        <v>45764.64787</v>
      </c>
      <c r="K1779" s="13" t="str">
        <f>IFERROR(__xludf.DUMMYFUNCTION("""COMPUTED_VALUE"""),"BT atau SU Belum Valid")</f>
        <v>BT atau SU Belum Valid</v>
      </c>
      <c r="L1779" s="13" t="str">
        <f>IFERROR(__xludf.DUMMYFUNCTION("""COMPUTED_VALUE"""),"")</f>
        <v/>
      </c>
      <c r="M1779" s="13"/>
      <c r="N1779" s="13" t="str">
        <f>IFERROR(__xludf.DUMMYFUNCTION("""COMPUTED_VALUE"""),"")</f>
        <v/>
      </c>
      <c r="O1779" s="13" t="str">
        <f t="shared" si="1"/>
        <v/>
      </c>
    </row>
    <row r="1780" ht="22.5" customHeight="1">
      <c r="B1780" s="13">
        <f>IFERROR(__xludf.DUMMYFUNCTION("""COMPUTED_VALUE"""),1775.0)</f>
        <v>1775</v>
      </c>
      <c r="C1780" s="13" t="str">
        <f>IFERROR(__xludf.DUMMYFUNCTION("""COMPUTED_VALUE"""),"M.12819/TANJUNG BARU")</f>
        <v>M.12819/TANJUNG BARU</v>
      </c>
      <c r="D1780" s="13" t="str">
        <f>IFERROR(__xludf.DUMMYFUNCTION("""COMPUTED_VALUE"""),"K/3/190325/1")</f>
        <v>K/3/190325/1</v>
      </c>
      <c r="E1780" s="14" t="str">
        <f>IFERROR(__xludf.DUMMYFUNCTION("""COMPUTED_VALUE"""),"Nadian (BT)")</f>
        <v>Nadian (BT)</v>
      </c>
      <c r="F1780" s="14"/>
      <c r="G1780" s="17" t="str">
        <f>IFERROR(__xludf.DUMMYFUNCTION("""COMPUTED_VALUE"""),"")</f>
        <v/>
      </c>
      <c r="H1780" s="14" t="str">
        <f>IFERROR(__xludf.DUMMYFUNCTION("""COMPUTED_VALUE"""),"Bu Eva (SU)")</f>
        <v>Bu Eva (SU)</v>
      </c>
      <c r="I1780" s="13" t="str">
        <f>IFERROR(__xludf.DUMMYFUNCTION("""COMPUTED_VALUE"""),"SELESAI (VIA PERMOHONAN)")</f>
        <v>SELESAI (VIA PERMOHONAN)</v>
      </c>
      <c r="J1780" s="17">
        <f>IFERROR(__xludf.DUMMYFUNCTION("""COMPUTED_VALUE"""),45764.64791053241)</f>
        <v>45764.64791</v>
      </c>
      <c r="K1780" s="13" t="str">
        <f>IFERROR(__xludf.DUMMYFUNCTION("""COMPUTED_VALUE"""),"BT atau SU Belum Valid")</f>
        <v>BT atau SU Belum Valid</v>
      </c>
      <c r="L1780" s="13" t="str">
        <f>IFERROR(__xludf.DUMMYFUNCTION("""COMPUTED_VALUE"""),"")</f>
        <v/>
      </c>
      <c r="M1780" s="13"/>
      <c r="N1780" s="13" t="str">
        <f>IFERROR(__xludf.DUMMYFUNCTION("""COMPUTED_VALUE"""),"")</f>
        <v/>
      </c>
      <c r="O1780" s="13" t="str">
        <f t="shared" si="1"/>
        <v/>
      </c>
    </row>
    <row r="1781" ht="22.5" customHeight="1">
      <c r="B1781" s="13">
        <f>IFERROR(__xludf.DUMMYFUNCTION("""COMPUTED_VALUE"""),1776.0)</f>
        <v>1776</v>
      </c>
      <c r="C1781" s="13" t="str">
        <f>IFERROR(__xludf.DUMMYFUNCTION("""COMPUTED_VALUE"""),"B.696/SUMBER AGUNG")</f>
        <v>B.696/SUMBER AGUNG</v>
      </c>
      <c r="D1781" s="13" t="str">
        <f>IFERROR(__xludf.DUMMYFUNCTION("""COMPUTED_VALUE"""),"K/6/060325/1")</f>
        <v>K/6/060325/1</v>
      </c>
      <c r="E1781" s="14" t="str">
        <f>IFERROR(__xludf.DUMMYFUNCTION("""COMPUTED_VALUE"""),"Nadian (BT)")</f>
        <v>Nadian (BT)</v>
      </c>
      <c r="F1781" s="14"/>
      <c r="G1781" s="17" t="str">
        <f>IFERROR(__xludf.DUMMYFUNCTION("""COMPUTED_VALUE"""),"")</f>
        <v/>
      </c>
      <c r="H1781" s="14" t="str">
        <f>IFERROR(__xludf.DUMMYFUNCTION("""COMPUTED_VALUE"""),"Bu Eva (SU)")</f>
        <v>Bu Eva (SU)</v>
      </c>
      <c r="I1781" s="13" t="str">
        <f>IFERROR(__xludf.DUMMYFUNCTION("""COMPUTED_VALUE"""),"SELESAI (VIA PERMOHONAN)")</f>
        <v>SELESAI (VIA PERMOHONAN)</v>
      </c>
      <c r="J1781" s="17">
        <f>IFERROR(__xludf.DUMMYFUNCTION("""COMPUTED_VALUE"""),45764.64791053241)</f>
        <v>45764.64791</v>
      </c>
      <c r="K1781" s="13" t="str">
        <f>IFERROR(__xludf.DUMMYFUNCTION("""COMPUTED_VALUE"""),"BT atau SU Belum Valid")</f>
        <v>BT atau SU Belum Valid</v>
      </c>
      <c r="L1781" s="13" t="str">
        <f>IFERROR(__xludf.DUMMYFUNCTION("""COMPUTED_VALUE"""),"")</f>
        <v/>
      </c>
      <c r="M1781" s="13"/>
      <c r="N1781" s="13" t="str">
        <f>IFERROR(__xludf.DUMMYFUNCTION("""COMPUTED_VALUE"""),"")</f>
        <v/>
      </c>
      <c r="O1781" s="13" t="str">
        <f t="shared" si="1"/>
        <v/>
      </c>
    </row>
    <row r="1782" ht="22.5" customHeight="1">
      <c r="B1782" s="13">
        <f>IFERROR(__xludf.DUMMYFUNCTION("""COMPUTED_VALUE"""),1777.0)</f>
        <v>1777</v>
      </c>
      <c r="C1782" s="13" t="str">
        <f>IFERROR(__xludf.DUMMYFUNCTION("""COMPUTED_VALUE"""),"B.195/CAMPANG RAYA")</f>
        <v>B.195/CAMPANG RAYA</v>
      </c>
      <c r="D1782" s="13" t="str">
        <f>IFERROR(__xludf.DUMMYFUNCTION("""COMPUTED_VALUE"""),"K/21/060225/1")</f>
        <v>K/21/060225/1</v>
      </c>
      <c r="E1782" s="14" t="str">
        <f>IFERROR(__xludf.DUMMYFUNCTION("""COMPUTED_VALUE"""),"Nadian (BT)")</f>
        <v>Nadian (BT)</v>
      </c>
      <c r="F1782" s="14"/>
      <c r="G1782" s="17" t="str">
        <f>IFERROR(__xludf.DUMMYFUNCTION("""COMPUTED_VALUE"""),"")</f>
        <v/>
      </c>
      <c r="H1782" s="14" t="str">
        <f>IFERROR(__xludf.DUMMYFUNCTION("""COMPUTED_VALUE"""),"Bu Eva (SU)")</f>
        <v>Bu Eva (SU)</v>
      </c>
      <c r="I1782" s="13" t="str">
        <f>IFERROR(__xludf.DUMMYFUNCTION("""COMPUTED_VALUE"""),"SELESAI (VIA PERMOHONAN)")</f>
        <v>SELESAI (VIA PERMOHONAN)</v>
      </c>
      <c r="J1782" s="17">
        <f>IFERROR(__xludf.DUMMYFUNCTION("""COMPUTED_VALUE"""),45764.64791054398)</f>
        <v>45764.64791</v>
      </c>
      <c r="K1782" s="13" t="str">
        <f>IFERROR(__xludf.DUMMYFUNCTION("""COMPUTED_VALUE"""),"BT atau SU Belum Valid")</f>
        <v>BT atau SU Belum Valid</v>
      </c>
      <c r="L1782" s="13" t="str">
        <f>IFERROR(__xludf.DUMMYFUNCTION("""COMPUTED_VALUE"""),"")</f>
        <v/>
      </c>
      <c r="M1782" s="13"/>
      <c r="N1782" s="13" t="str">
        <f>IFERROR(__xludf.DUMMYFUNCTION("""COMPUTED_VALUE"""),"")</f>
        <v/>
      </c>
      <c r="O1782" s="13" t="str">
        <f t="shared" si="1"/>
        <v/>
      </c>
    </row>
    <row r="1783" ht="22.5" customHeight="1">
      <c r="B1783" s="13">
        <f>IFERROR(__xludf.DUMMYFUNCTION("""COMPUTED_VALUE"""),1778.0)</f>
        <v>1778</v>
      </c>
      <c r="C1783" s="13" t="str">
        <f>IFERROR(__xludf.DUMMYFUNCTION("""COMPUTED_VALUE"""),"M.14273/SEGALA MIDER")</f>
        <v>M.14273/SEGALA MIDER</v>
      </c>
      <c r="D1783" s="13" t="str">
        <f>IFERROR(__xludf.DUMMYFUNCTION("""COMPUTED_VALUE"""),"K/1/270325/1")</f>
        <v>K/1/270325/1</v>
      </c>
      <c r="E1783" s="14" t="str">
        <f>IFERROR(__xludf.DUMMYFUNCTION("""COMPUTED_VALUE"""),"Nadian (BT)")</f>
        <v>Nadian (BT)</v>
      </c>
      <c r="F1783" s="14"/>
      <c r="G1783" s="17" t="str">
        <f>IFERROR(__xludf.DUMMYFUNCTION("""COMPUTED_VALUE"""),"")</f>
        <v/>
      </c>
      <c r="H1783" s="14" t="str">
        <f>IFERROR(__xludf.DUMMYFUNCTION("""COMPUTED_VALUE"""),"Bu Eva (SU)")</f>
        <v>Bu Eva (SU)</v>
      </c>
      <c r="I1783" s="13" t="str">
        <f>IFERROR(__xludf.DUMMYFUNCTION("""COMPUTED_VALUE"""),"SELESAI (VIA PERMOHONAN)")</f>
        <v>SELESAI (VIA PERMOHONAN)</v>
      </c>
      <c r="J1783" s="17">
        <f>IFERROR(__xludf.DUMMYFUNCTION("""COMPUTED_VALUE"""),45764.64791054398)</f>
        <v>45764.64791</v>
      </c>
      <c r="K1783" s="13" t="str">
        <f>IFERROR(__xludf.DUMMYFUNCTION("""COMPUTED_VALUE"""),"BT atau SU Belum Valid")</f>
        <v>BT atau SU Belum Valid</v>
      </c>
      <c r="L1783" s="13" t="str">
        <f>IFERROR(__xludf.DUMMYFUNCTION("""COMPUTED_VALUE"""),"")</f>
        <v/>
      </c>
      <c r="M1783" s="13"/>
      <c r="N1783" s="13" t="str">
        <f>IFERROR(__xludf.DUMMYFUNCTION("""COMPUTED_VALUE"""),"")</f>
        <v/>
      </c>
      <c r="O1783" s="13" t="str">
        <f t="shared" si="1"/>
        <v/>
      </c>
    </row>
    <row r="1784" ht="22.5" customHeight="1">
      <c r="B1784" s="13">
        <f>IFERROR(__xludf.DUMMYFUNCTION("""COMPUTED_VALUE"""),1779.0)</f>
        <v>1779</v>
      </c>
      <c r="C1784" s="13" t="str">
        <f>IFERROR(__xludf.DUMMYFUNCTION("""COMPUTED_VALUE"""),"M.13879/KEDAMAIAN")</f>
        <v>M.13879/KEDAMAIAN</v>
      </c>
      <c r="D1784" s="13" t="str">
        <f>IFERROR(__xludf.DUMMYFUNCTION("""COMPUTED_VALUE"""),"K/4/270325/4")</f>
        <v>K/4/270325/4</v>
      </c>
      <c r="E1784" s="14" t="str">
        <f>IFERROR(__xludf.DUMMYFUNCTION("""COMPUTED_VALUE"""),"Nadian (BT)")</f>
        <v>Nadian (BT)</v>
      </c>
      <c r="F1784" s="14"/>
      <c r="G1784" s="17" t="str">
        <f>IFERROR(__xludf.DUMMYFUNCTION("""COMPUTED_VALUE"""),"")</f>
        <v/>
      </c>
      <c r="H1784" s="14" t="str">
        <f>IFERROR(__xludf.DUMMYFUNCTION("""COMPUTED_VALUE"""),"Bu Eva (SU)")</f>
        <v>Bu Eva (SU)</v>
      </c>
      <c r="I1784" s="13" t="str">
        <f>IFERROR(__xludf.DUMMYFUNCTION("""COMPUTED_VALUE"""),"SELESAI (VIA PERMOHONAN)")</f>
        <v>SELESAI (VIA PERMOHONAN)</v>
      </c>
      <c r="J1784" s="17">
        <f>IFERROR(__xludf.DUMMYFUNCTION("""COMPUTED_VALUE"""),45764.64791054398)</f>
        <v>45764.64791</v>
      </c>
      <c r="K1784" s="13" t="str">
        <f>IFERROR(__xludf.DUMMYFUNCTION("""COMPUTED_VALUE"""),"BT atau SU Belum Valid")</f>
        <v>BT atau SU Belum Valid</v>
      </c>
      <c r="L1784" s="13" t="str">
        <f>IFERROR(__xludf.DUMMYFUNCTION("""COMPUTED_VALUE"""),"")</f>
        <v/>
      </c>
      <c r="M1784" s="13"/>
      <c r="N1784" s="13" t="str">
        <f>IFERROR(__xludf.DUMMYFUNCTION("""COMPUTED_VALUE"""),"")</f>
        <v/>
      </c>
      <c r="O1784" s="13" t="str">
        <f t="shared" si="1"/>
        <v/>
      </c>
    </row>
    <row r="1785" ht="22.5" customHeight="1">
      <c r="B1785" s="13">
        <f>IFERROR(__xludf.DUMMYFUNCTION("""COMPUTED_VALUE"""),1780.0)</f>
        <v>1780</v>
      </c>
      <c r="C1785" s="13" t="str">
        <f>IFERROR(__xludf.DUMMYFUNCTION("""COMPUTED_VALUE"""),"B.2152/SUKARAME")</f>
        <v>B.2152/SUKARAME</v>
      </c>
      <c r="D1785" s="13" t="str">
        <f>IFERROR(__xludf.DUMMYFUNCTION("""COMPUTED_VALUE"""),"K/2/110425/1")</f>
        <v>K/2/110425/1</v>
      </c>
      <c r="E1785" s="14" t="str">
        <f>IFERROR(__xludf.DUMMYFUNCTION("""COMPUTED_VALUE"""),"Nadian (BT)")</f>
        <v>Nadian (BT)</v>
      </c>
      <c r="F1785" s="14"/>
      <c r="G1785" s="17" t="str">
        <f>IFERROR(__xludf.DUMMYFUNCTION("""COMPUTED_VALUE"""),"")</f>
        <v/>
      </c>
      <c r="H1785" s="14" t="str">
        <f>IFERROR(__xludf.DUMMYFUNCTION("""COMPUTED_VALUE"""),"Bu Eva (SU)")</f>
        <v>Bu Eva (SU)</v>
      </c>
      <c r="I1785" s="13" t="str">
        <f>IFERROR(__xludf.DUMMYFUNCTION("""COMPUTED_VALUE"""),"SELESAI (VIA PERMOHONAN)")</f>
        <v>SELESAI (VIA PERMOHONAN)</v>
      </c>
      <c r="J1785" s="17">
        <f>IFERROR(__xludf.DUMMYFUNCTION("""COMPUTED_VALUE"""),45764.64791054398)</f>
        <v>45764.64791</v>
      </c>
      <c r="K1785" s="13" t="str">
        <f>IFERROR(__xludf.DUMMYFUNCTION("""COMPUTED_VALUE"""),"BT atau SU Belum Valid")</f>
        <v>BT atau SU Belum Valid</v>
      </c>
      <c r="L1785" s="13" t="str">
        <f>IFERROR(__xludf.DUMMYFUNCTION("""COMPUTED_VALUE"""),"")</f>
        <v/>
      </c>
      <c r="M1785" s="13"/>
      <c r="N1785" s="13" t="str">
        <f>IFERROR(__xludf.DUMMYFUNCTION("""COMPUTED_VALUE"""),"")</f>
        <v/>
      </c>
      <c r="O1785" s="13" t="str">
        <f t="shared" si="1"/>
        <v/>
      </c>
    </row>
    <row r="1786" ht="22.5" customHeight="1">
      <c r="B1786" s="13">
        <f>IFERROR(__xludf.DUMMYFUNCTION("""COMPUTED_VALUE"""),1781.0)</f>
        <v>1781</v>
      </c>
      <c r="C1786" s="13" t="str">
        <f>IFERROR(__xludf.DUMMYFUNCTION("""COMPUTED_VALUE"""),"M. 10102/ Jagabaya II")</f>
        <v>M. 10102/ Jagabaya II</v>
      </c>
      <c r="D1786" s="13" t="str">
        <f>IFERROR(__xludf.DUMMYFUNCTION("""COMPUTED_VALUE"""),"K/21/260225/1")</f>
        <v>K/21/260225/1</v>
      </c>
      <c r="E1786" s="14" t="str">
        <f>IFERROR(__xludf.DUMMYFUNCTION("""COMPUTED_VALUE"""),"Afriza (BT)")</f>
        <v>Afriza (BT)</v>
      </c>
      <c r="F1786" s="14" t="str">
        <f>IFERROR(__xludf.DUMMYFUNCTION("""COMPUTED_VALUE"""),"SELESAI (VIA PERMOHONAN)")</f>
        <v>SELESAI (VIA PERMOHONAN)</v>
      </c>
      <c r="G1786" s="17">
        <f>IFERROR(__xludf.DUMMYFUNCTION("""COMPUTED_VALUE"""),45764.602781724534)</f>
        <v>45764.60278</v>
      </c>
      <c r="H1786" s="14" t="str">
        <f>IFERROR(__xludf.DUMMYFUNCTION("""COMPUTED_VALUE"""),"Bu Eva (SU)")</f>
        <v>Bu Eva (SU)</v>
      </c>
      <c r="I1786" s="13" t="str">
        <f>IFERROR(__xludf.DUMMYFUNCTION("""COMPUTED_VALUE"""),"SELESAI (VIA PERMOHONAN)")</f>
        <v>SELESAI (VIA PERMOHONAN)</v>
      </c>
      <c r="J1786" s="17">
        <f>IFERROR(__xludf.DUMMYFUNCTION("""COMPUTED_VALUE"""),45768.42471633102)</f>
        <v>45768.42472</v>
      </c>
      <c r="K1786" s="13" t="str">
        <f>IFERROR(__xludf.DUMMYFUNCTION("""COMPUTED_VALUE"""),"Selesai")</f>
        <v>Selesai</v>
      </c>
      <c r="L1786" s="17">
        <f>IFERROR(__xludf.DUMMYFUNCTION("""COMPUTED_VALUE"""),45768.42471633102)</f>
        <v>45768.42472</v>
      </c>
      <c r="M1786" s="13"/>
      <c r="N1786" s="13" t="str">
        <f>IFERROR(__xludf.DUMMYFUNCTION("""COMPUTED_VALUE"""),"")</f>
        <v/>
      </c>
      <c r="O1786" s="13" t="str">
        <f t="shared" si="1"/>
        <v/>
      </c>
    </row>
    <row r="1787" ht="22.5" customHeight="1">
      <c r="B1787" s="13">
        <f>IFERROR(__xludf.DUMMYFUNCTION("""COMPUTED_VALUE"""),1782.0)</f>
        <v>1782</v>
      </c>
      <c r="C1787" s="13" t="str">
        <f>IFERROR(__xludf.DUMMYFUNCTION("""COMPUTED_VALUE"""),"SHM 15890/SUKARAME")</f>
        <v>SHM 15890/SUKARAME</v>
      </c>
      <c r="D1787" s="13" t="str">
        <f>IFERROR(__xludf.DUMMYFUNCTION("""COMPUTED_VALUE"""),"L/25/140225/1")</f>
        <v>L/25/140225/1</v>
      </c>
      <c r="E1787" s="14" t="str">
        <f>IFERROR(__xludf.DUMMYFUNCTION("""COMPUTED_VALUE"""),"Afriza (BT)")</f>
        <v>Afriza (BT)</v>
      </c>
      <c r="F1787" s="14" t="str">
        <f>IFERROR(__xludf.DUMMYFUNCTION("""COMPUTED_VALUE"""),"SELESAI (VIA PERMOHONAN)")</f>
        <v>SELESAI (VIA PERMOHONAN)</v>
      </c>
      <c r="G1787" s="17">
        <f>IFERROR(__xludf.DUMMYFUNCTION("""COMPUTED_VALUE"""),45764.60288672453)</f>
        <v>45764.60289</v>
      </c>
      <c r="H1787" s="14" t="str">
        <f>IFERROR(__xludf.DUMMYFUNCTION("""COMPUTED_VALUE"""),"Bu Eva (SU)")</f>
        <v>Bu Eva (SU)</v>
      </c>
      <c r="I1787" s="13" t="str">
        <f>IFERROR(__xludf.DUMMYFUNCTION("""COMPUTED_VALUE"""),"SELESAI (VIA PERMOHONAN)")</f>
        <v>SELESAI (VIA PERMOHONAN)</v>
      </c>
      <c r="J1787" s="17">
        <f>IFERROR(__xludf.DUMMYFUNCTION("""COMPUTED_VALUE"""),45768.424993078705)</f>
        <v>45768.42499</v>
      </c>
      <c r="K1787" s="13" t="str">
        <f>IFERROR(__xludf.DUMMYFUNCTION("""COMPUTED_VALUE"""),"Selesai")</f>
        <v>Selesai</v>
      </c>
      <c r="L1787" s="17">
        <f>IFERROR(__xludf.DUMMYFUNCTION("""COMPUTED_VALUE"""),45768.424993078705)</f>
        <v>45768.42499</v>
      </c>
      <c r="M1787" s="13"/>
      <c r="N1787" s="13" t="str">
        <f>IFERROR(__xludf.DUMMYFUNCTION("""COMPUTED_VALUE"""),"")</f>
        <v/>
      </c>
      <c r="O1787" s="13" t="str">
        <f t="shared" si="1"/>
        <v/>
      </c>
    </row>
    <row r="1788" ht="22.5" customHeight="1">
      <c r="B1788" s="13">
        <f>IFERROR(__xludf.DUMMYFUNCTION("""COMPUTED_VALUE"""),1783.0)</f>
        <v>1783</v>
      </c>
      <c r="C1788" s="13" t="str">
        <f>IFERROR(__xludf.DUMMYFUNCTION("""COMPUTED_VALUE"""),"M. 11217/ Rajabsaa Pemuka")</f>
        <v>M. 11217/ Rajabsaa Pemuka</v>
      </c>
      <c r="D1788" s="13" t="str">
        <f>IFERROR(__xludf.DUMMYFUNCTION("""COMPUTED_VALUE"""),"K/21/110425/1")</f>
        <v>K/21/110425/1</v>
      </c>
      <c r="E1788" s="14" t="str">
        <f>IFERROR(__xludf.DUMMYFUNCTION("""COMPUTED_VALUE"""),"Afriza (BT)")</f>
        <v>Afriza (BT)</v>
      </c>
      <c r="F1788" s="14" t="str">
        <f>IFERROR(__xludf.DUMMYFUNCTION("""COMPUTED_VALUE"""),"SELESAI (VIA PERMOHONAN)")</f>
        <v>SELESAI (VIA PERMOHONAN)</v>
      </c>
      <c r="G1788" s="17">
        <f>IFERROR(__xludf.DUMMYFUNCTION("""COMPUTED_VALUE"""),45764.603046874996)</f>
        <v>45764.60305</v>
      </c>
      <c r="H1788" s="14" t="str">
        <f>IFERROR(__xludf.DUMMYFUNCTION("""COMPUTED_VALUE"""),"Bu Eva (SU)")</f>
        <v>Bu Eva (SU)</v>
      </c>
      <c r="I1788" s="13" t="str">
        <f>IFERROR(__xludf.DUMMYFUNCTION("""COMPUTED_VALUE"""),"SELESAI (VIA PERMOHONAN)")</f>
        <v>SELESAI (VIA PERMOHONAN)</v>
      </c>
      <c r="J1788" s="17">
        <f>IFERROR(__xludf.DUMMYFUNCTION("""COMPUTED_VALUE"""),45768.527005393524)</f>
        <v>45768.52701</v>
      </c>
      <c r="K1788" s="13" t="str">
        <f>IFERROR(__xludf.DUMMYFUNCTION("""COMPUTED_VALUE"""),"Selesai")</f>
        <v>Selesai</v>
      </c>
      <c r="L1788" s="17">
        <f>IFERROR(__xludf.DUMMYFUNCTION("""COMPUTED_VALUE"""),45768.527005393524)</f>
        <v>45768.52701</v>
      </c>
      <c r="M1788" s="13"/>
      <c r="N1788" s="13" t="str">
        <f>IFERROR(__xludf.DUMMYFUNCTION("""COMPUTED_VALUE"""),"")</f>
        <v/>
      </c>
      <c r="O1788" s="13" t="str">
        <f t="shared" si="1"/>
        <v/>
      </c>
    </row>
    <row r="1789" ht="22.5" customHeight="1">
      <c r="B1789" s="13">
        <f>IFERROR(__xludf.DUMMYFUNCTION("""COMPUTED_VALUE"""),1784.0)</f>
        <v>1784</v>
      </c>
      <c r="C1789" s="13" t="str">
        <f>IFERROR(__xludf.DUMMYFUNCTION("""COMPUTED_VALUE"""),"M.16693/SUKARAME ")</f>
        <v>M.16693/SUKARAME </v>
      </c>
      <c r="D1789" s="13" t="str">
        <f>IFERROR(__xludf.DUMMYFUNCTION("""COMPUTED_VALUE"""),"K/10/120325/1")</f>
        <v>K/10/120325/1</v>
      </c>
      <c r="E1789" s="14" t="str">
        <f>IFERROR(__xludf.DUMMYFUNCTION("""COMPUTED_VALUE"""),"Afriza (BT)")</f>
        <v>Afriza (BT)</v>
      </c>
      <c r="F1789" s="14" t="str">
        <f>IFERROR(__xludf.DUMMYFUNCTION("""COMPUTED_VALUE"""),"SELESAI (VIA PERMOHONAN)")</f>
        <v>SELESAI (VIA PERMOHONAN)</v>
      </c>
      <c r="G1789" s="17">
        <f>IFERROR(__xludf.DUMMYFUNCTION("""COMPUTED_VALUE"""),45764.603075543986)</f>
        <v>45764.60308</v>
      </c>
      <c r="H1789" s="14" t="str">
        <f>IFERROR(__xludf.DUMMYFUNCTION("""COMPUTED_VALUE"""),"Bu Eva (SU)")</f>
        <v>Bu Eva (SU)</v>
      </c>
      <c r="I1789" s="13" t="str">
        <f>IFERROR(__xludf.DUMMYFUNCTION("""COMPUTED_VALUE"""),"SELESAI (VIA PERMOHONAN)")</f>
        <v>SELESAI (VIA PERMOHONAN)</v>
      </c>
      <c r="J1789" s="17">
        <f>IFERROR(__xludf.DUMMYFUNCTION("""COMPUTED_VALUE"""),45768.54480336806)</f>
        <v>45768.5448</v>
      </c>
      <c r="K1789" s="13" t="str">
        <f>IFERROR(__xludf.DUMMYFUNCTION("""COMPUTED_VALUE"""),"Selesai")</f>
        <v>Selesai</v>
      </c>
      <c r="L1789" s="17">
        <f>IFERROR(__xludf.DUMMYFUNCTION("""COMPUTED_VALUE"""),45768.54480336806)</f>
        <v>45768.5448</v>
      </c>
      <c r="M1789" s="13"/>
      <c r="N1789" s="13" t="str">
        <f>IFERROR(__xludf.DUMMYFUNCTION("""COMPUTED_VALUE"""),"")</f>
        <v/>
      </c>
      <c r="O1789" s="13" t="str">
        <f t="shared" si="1"/>
        <v/>
      </c>
    </row>
    <row r="1790" ht="22.5" customHeight="1">
      <c r="B1790" s="13">
        <f>IFERROR(__xludf.DUMMYFUNCTION("""COMPUTED_VALUE"""),1785.0)</f>
        <v>1785</v>
      </c>
      <c r="C1790" s="13" t="str">
        <f>IFERROR(__xludf.DUMMYFUNCTION("""COMPUTED_VALUE"""),"M. 215, 327/ Kali Balau Kencana (3 SHT)")</f>
        <v>M. 215, 327/ Kali Balau Kencana (3 SHT)</v>
      </c>
      <c r="D1790" s="13" t="str">
        <f>IFERROR(__xludf.DUMMYFUNCTION("""COMPUTED_VALUE"""),"K/15/230125/5")</f>
        <v>K/15/230125/5</v>
      </c>
      <c r="E1790" s="14" t="str">
        <f>IFERROR(__xludf.DUMMYFUNCTION("""COMPUTED_VALUE"""),"Afriza (BT)")</f>
        <v>Afriza (BT)</v>
      </c>
      <c r="F1790" s="14" t="str">
        <f>IFERROR(__xludf.DUMMYFUNCTION("""COMPUTED_VALUE"""),"SELESAI (VIA PERMOHONAN)")</f>
        <v>SELESAI (VIA PERMOHONAN)</v>
      </c>
      <c r="G1790" s="17">
        <f>IFERROR(__xludf.DUMMYFUNCTION("""COMPUTED_VALUE"""),45764.603236689814)</f>
        <v>45764.60324</v>
      </c>
      <c r="H1790" s="14" t="str">
        <f>IFERROR(__xludf.DUMMYFUNCTION("""COMPUTED_VALUE"""),"Bu Eva (SU)")</f>
        <v>Bu Eva (SU)</v>
      </c>
      <c r="I1790" s="13" t="str">
        <f>IFERROR(__xludf.DUMMYFUNCTION("""COMPUTED_VALUE"""),"SELESAI (VIA PERMOHONAN)")</f>
        <v>SELESAI (VIA PERMOHONAN)</v>
      </c>
      <c r="J1790" s="17">
        <f>IFERROR(__xludf.DUMMYFUNCTION("""COMPUTED_VALUE"""),45768.54480337963)</f>
        <v>45768.5448</v>
      </c>
      <c r="K1790" s="13" t="str">
        <f>IFERROR(__xludf.DUMMYFUNCTION("""COMPUTED_VALUE"""),"Selesai")</f>
        <v>Selesai</v>
      </c>
      <c r="L1790" s="17">
        <f>IFERROR(__xludf.DUMMYFUNCTION("""COMPUTED_VALUE"""),45768.54480337963)</f>
        <v>45768.5448</v>
      </c>
      <c r="M1790" s="13"/>
      <c r="N1790" s="13" t="str">
        <f>IFERROR(__xludf.DUMMYFUNCTION("""COMPUTED_VALUE"""),"")</f>
        <v/>
      </c>
      <c r="O1790" s="13" t="str">
        <f t="shared" si="1"/>
        <v/>
      </c>
    </row>
    <row r="1791" ht="22.5" customHeight="1">
      <c r="B1791" s="13">
        <f>IFERROR(__xludf.DUMMYFUNCTION("""COMPUTED_VALUE"""),1786.0)</f>
        <v>1786</v>
      </c>
      <c r="C1791" s="13" t="str">
        <f>IFERROR(__xludf.DUMMYFUNCTION("""COMPUTED_VALUE"""),"HM 12743/BERINGIN RAYA")</f>
        <v>HM 12743/BERINGIN RAYA</v>
      </c>
      <c r="D1791" s="13" t="str">
        <f>IFERROR(__xludf.DUMMYFUNCTION("""COMPUTED_VALUE"""),"L/31/070325/1")</f>
        <v>L/31/070325/1</v>
      </c>
      <c r="E1791" s="14" t="str">
        <f>IFERROR(__xludf.DUMMYFUNCTION("""COMPUTED_VALUE"""),"Afriza (BT)")</f>
        <v>Afriza (BT)</v>
      </c>
      <c r="F1791" s="14" t="str">
        <f>IFERROR(__xludf.DUMMYFUNCTION("""COMPUTED_VALUE"""),"SELESAI (VIA PERMOHONAN)")</f>
        <v>SELESAI (VIA PERMOHONAN)</v>
      </c>
      <c r="G1791" s="17">
        <f>IFERROR(__xludf.DUMMYFUNCTION("""COMPUTED_VALUE"""),45764.60637380787)</f>
        <v>45764.60637</v>
      </c>
      <c r="H1791" s="14" t="str">
        <f>IFERROR(__xludf.DUMMYFUNCTION("""COMPUTED_VALUE"""),"Bu Eva (SU)")</f>
        <v>Bu Eva (SU)</v>
      </c>
      <c r="I1791" s="13" t="str">
        <f>IFERROR(__xludf.DUMMYFUNCTION("""COMPUTED_VALUE"""),"SELESAI (VIA PERMOHONAN)")</f>
        <v>SELESAI (VIA PERMOHONAN)</v>
      </c>
      <c r="J1791" s="17">
        <f>IFERROR(__xludf.DUMMYFUNCTION("""COMPUTED_VALUE"""),45768.54482357639)</f>
        <v>45768.54482</v>
      </c>
      <c r="K1791" s="13" t="str">
        <f>IFERROR(__xludf.DUMMYFUNCTION("""COMPUTED_VALUE"""),"Selesai")</f>
        <v>Selesai</v>
      </c>
      <c r="L1791" s="17">
        <f>IFERROR(__xludf.DUMMYFUNCTION("""COMPUTED_VALUE"""),45768.54482357639)</f>
        <v>45768.54482</v>
      </c>
      <c r="M1791" s="13"/>
      <c r="N1791" s="13" t="str">
        <f>IFERROR(__xludf.DUMMYFUNCTION("""COMPUTED_VALUE"""),"")</f>
        <v/>
      </c>
      <c r="O1791" s="13" t="str">
        <f t="shared" si="1"/>
        <v/>
      </c>
    </row>
    <row r="1792" ht="22.5" customHeight="1">
      <c r="B1792" s="13">
        <f>IFERROR(__xludf.DUMMYFUNCTION("""COMPUTED_VALUE"""),1787.0)</f>
        <v>1787</v>
      </c>
      <c r="C1792" s="13" t="str">
        <f>IFERROR(__xludf.DUMMYFUNCTION("""COMPUTED_VALUE"""),"M. 3013/ Sukarame II")</f>
        <v>M. 3013/ Sukarame II</v>
      </c>
      <c r="D1792" s="13" t="str">
        <f>IFERROR(__xludf.DUMMYFUNCTION("""COMPUTED_VALUE"""),"K/7/100425/1")</f>
        <v>K/7/100425/1</v>
      </c>
      <c r="E1792" s="14" t="str">
        <f>IFERROR(__xludf.DUMMYFUNCTION("""COMPUTED_VALUE"""),"Nadian (BT)")</f>
        <v>Nadian (BT)</v>
      </c>
      <c r="F1792" s="14" t="str">
        <f>IFERROR(__xludf.DUMMYFUNCTION("""COMPUTED_VALUE"""),"SELESAI (VIA PERMOHONAN)")</f>
        <v>SELESAI (VIA PERMOHONAN)</v>
      </c>
      <c r="G1792" s="17">
        <f>IFERROR(__xludf.DUMMYFUNCTION("""COMPUTED_VALUE"""),45768.68601954861)</f>
        <v>45768.68602</v>
      </c>
      <c r="H1792" s="14" t="str">
        <f>IFERROR(__xludf.DUMMYFUNCTION("""COMPUTED_VALUE"""),"Bu Eva (SU)")</f>
        <v>Bu Eva (SU)</v>
      </c>
      <c r="I1792" s="13" t="str">
        <f>IFERROR(__xludf.DUMMYFUNCTION("""COMPUTED_VALUE"""),"SELESAI (VIA PERMOHONAN)")</f>
        <v>SELESAI (VIA PERMOHONAN)</v>
      </c>
      <c r="J1792" s="17">
        <f>IFERROR(__xludf.DUMMYFUNCTION("""COMPUTED_VALUE"""),45769.57301806713)</f>
        <v>45769.57302</v>
      </c>
      <c r="K1792" s="13" t="str">
        <f>IFERROR(__xludf.DUMMYFUNCTION("""COMPUTED_VALUE"""),"Selesai")</f>
        <v>Selesai</v>
      </c>
      <c r="L1792" s="17">
        <f>IFERROR(__xludf.DUMMYFUNCTION("""COMPUTED_VALUE"""),45769.57301806713)</f>
        <v>45769.57302</v>
      </c>
      <c r="M1792" s="13"/>
      <c r="N1792" s="13" t="str">
        <f>IFERROR(__xludf.DUMMYFUNCTION("""COMPUTED_VALUE"""),"")</f>
        <v/>
      </c>
      <c r="O1792" s="13" t="str">
        <f t="shared" si="1"/>
        <v/>
      </c>
    </row>
    <row r="1793" ht="22.5" customHeight="1">
      <c r="B1793" s="13">
        <f>IFERROR(__xludf.DUMMYFUNCTION("""COMPUTED_VALUE"""),1788.0)</f>
        <v>1788</v>
      </c>
      <c r="C1793" s="13" t="str">
        <f>IFERROR(__xludf.DUMMYFUNCTION("""COMPUTED_VALUE"""),"M. 5352/ Tanjung Senang")</f>
        <v>M. 5352/ Tanjung Senang</v>
      </c>
      <c r="D1793" s="13" t="str">
        <f>IFERROR(__xludf.DUMMYFUNCTION("""COMPUTED_VALUE"""),"K/7/110425/1")</f>
        <v>K/7/110425/1</v>
      </c>
      <c r="E1793" s="14" t="str">
        <f>IFERROR(__xludf.DUMMYFUNCTION("""COMPUTED_VALUE"""),"Nadian (BT)")</f>
        <v>Nadian (BT)</v>
      </c>
      <c r="F1793" s="14" t="str">
        <f>IFERROR(__xludf.DUMMYFUNCTION("""COMPUTED_VALUE"""),"SELESAI (VIA PERMOHONAN)")</f>
        <v>SELESAI (VIA PERMOHONAN)</v>
      </c>
      <c r="G1793" s="17">
        <f>IFERROR(__xludf.DUMMYFUNCTION("""COMPUTED_VALUE"""),45768.68601954861)</f>
        <v>45768.68602</v>
      </c>
      <c r="H1793" s="14" t="str">
        <f>IFERROR(__xludf.DUMMYFUNCTION("""COMPUTED_VALUE"""),"Bu Eva (SU)")</f>
        <v>Bu Eva (SU)</v>
      </c>
      <c r="I1793" s="13" t="str">
        <f>IFERROR(__xludf.DUMMYFUNCTION("""COMPUTED_VALUE"""),"SELESAI (VIA PERMOHONAN)")</f>
        <v>SELESAI (VIA PERMOHONAN)</v>
      </c>
      <c r="J1793" s="17">
        <f>IFERROR(__xludf.DUMMYFUNCTION("""COMPUTED_VALUE"""),45769.57301806713)</f>
        <v>45769.57302</v>
      </c>
      <c r="K1793" s="13" t="str">
        <f>IFERROR(__xludf.DUMMYFUNCTION("""COMPUTED_VALUE"""),"Selesai")</f>
        <v>Selesai</v>
      </c>
      <c r="L1793" s="17">
        <f>IFERROR(__xludf.DUMMYFUNCTION("""COMPUTED_VALUE"""),45769.57301806713)</f>
        <v>45769.57302</v>
      </c>
      <c r="M1793" s="13"/>
      <c r="N1793" s="13" t="str">
        <f>IFERROR(__xludf.DUMMYFUNCTION("""COMPUTED_VALUE"""),"")</f>
        <v/>
      </c>
      <c r="O1793" s="13" t="str">
        <f t="shared" si="1"/>
        <v/>
      </c>
    </row>
    <row r="1794" ht="22.5" customHeight="1">
      <c r="B1794" s="13">
        <f>IFERROR(__xludf.DUMMYFUNCTION("""COMPUTED_VALUE"""),1789.0)</f>
        <v>1789</v>
      </c>
      <c r="C1794" s="13" t="str">
        <f>IFERROR(__xludf.DUMMYFUNCTION("""COMPUTED_VALUE"""),"M. 12430/ jagabaya II")</f>
        <v>M. 12430/ jagabaya II</v>
      </c>
      <c r="D1794" s="13" t="str">
        <f>IFERROR(__xludf.DUMMYFUNCTION("""COMPUTED_VALUE"""),"K/13/110425/1")</f>
        <v>K/13/110425/1</v>
      </c>
      <c r="E1794" s="14" t="str">
        <f>IFERROR(__xludf.DUMMYFUNCTION("""COMPUTED_VALUE"""),"Nadian (BT)")</f>
        <v>Nadian (BT)</v>
      </c>
      <c r="F1794" s="14" t="str">
        <f>IFERROR(__xludf.DUMMYFUNCTION("""COMPUTED_VALUE"""),"SELESAI (VIA PERMOHONAN)")</f>
        <v>SELESAI (VIA PERMOHONAN)</v>
      </c>
      <c r="G1794" s="17">
        <f>IFERROR(__xludf.DUMMYFUNCTION("""COMPUTED_VALUE"""),45768.68601954861)</f>
        <v>45768.68602</v>
      </c>
      <c r="H1794" s="14" t="str">
        <f>IFERROR(__xludf.DUMMYFUNCTION("""COMPUTED_VALUE"""),"Bu Eva (SU)")</f>
        <v>Bu Eva (SU)</v>
      </c>
      <c r="I1794" s="13" t="str">
        <f>IFERROR(__xludf.DUMMYFUNCTION("""COMPUTED_VALUE"""),"SELESAI (VIA PERMOHONAN)")</f>
        <v>SELESAI (VIA PERMOHONAN)</v>
      </c>
      <c r="J1794" s="17">
        <f>IFERROR(__xludf.DUMMYFUNCTION("""COMPUTED_VALUE"""),45769.57301807871)</f>
        <v>45769.57302</v>
      </c>
      <c r="K1794" s="13" t="str">
        <f>IFERROR(__xludf.DUMMYFUNCTION("""COMPUTED_VALUE"""),"Selesai")</f>
        <v>Selesai</v>
      </c>
      <c r="L1794" s="17">
        <f>IFERROR(__xludf.DUMMYFUNCTION("""COMPUTED_VALUE"""),45769.57301807871)</f>
        <v>45769.57302</v>
      </c>
      <c r="M1794" s="13"/>
      <c r="N1794" s="13" t="str">
        <f>IFERROR(__xludf.DUMMYFUNCTION("""COMPUTED_VALUE"""),"")</f>
        <v/>
      </c>
      <c r="O1794" s="13" t="str">
        <f t="shared" si="1"/>
        <v/>
      </c>
    </row>
    <row r="1795" ht="22.5" customHeight="1">
      <c r="B1795" s="13">
        <f>IFERROR(__xludf.DUMMYFUNCTION("""COMPUTED_VALUE"""),1790.0)</f>
        <v>1790</v>
      </c>
      <c r="C1795" s="13" t="str">
        <f>IFERROR(__xludf.DUMMYFUNCTION("""COMPUTED_VALUE"""),"M. 1666/ Bumi Kedamaian")</f>
        <v>M. 1666/ Bumi Kedamaian</v>
      </c>
      <c r="D1795" s="13" t="str">
        <f>IFERROR(__xludf.DUMMYFUNCTION("""COMPUTED_VALUE"""),"K/9/270325/1")</f>
        <v>K/9/270325/1</v>
      </c>
      <c r="E1795" s="14" t="str">
        <f>IFERROR(__xludf.DUMMYFUNCTION("""COMPUTED_VALUE"""),"Nadian (BT)")</f>
        <v>Nadian (BT)</v>
      </c>
      <c r="F1795" s="14" t="str">
        <f>IFERROR(__xludf.DUMMYFUNCTION("""COMPUTED_VALUE"""),"SELESAI (VIA PERMOHONAN)")</f>
        <v>SELESAI (VIA PERMOHONAN)</v>
      </c>
      <c r="G1795" s="17">
        <f>IFERROR(__xludf.DUMMYFUNCTION("""COMPUTED_VALUE"""),45768.68601954861)</f>
        <v>45768.68602</v>
      </c>
      <c r="H1795" s="14" t="str">
        <f>IFERROR(__xludf.DUMMYFUNCTION("""COMPUTED_VALUE"""),"Bu Eva (SU)")</f>
        <v>Bu Eva (SU)</v>
      </c>
      <c r="I1795" s="13" t="str">
        <f>IFERROR(__xludf.DUMMYFUNCTION("""COMPUTED_VALUE"""),"SELESAI (VIA PERMOHONAN)")</f>
        <v>SELESAI (VIA PERMOHONAN)</v>
      </c>
      <c r="J1795" s="17">
        <f>IFERROR(__xludf.DUMMYFUNCTION("""COMPUTED_VALUE"""),45769.57301807871)</f>
        <v>45769.57302</v>
      </c>
      <c r="K1795" s="13" t="str">
        <f>IFERROR(__xludf.DUMMYFUNCTION("""COMPUTED_VALUE"""),"Selesai")</f>
        <v>Selesai</v>
      </c>
      <c r="L1795" s="17">
        <f>IFERROR(__xludf.DUMMYFUNCTION("""COMPUTED_VALUE"""),45769.57301807871)</f>
        <v>45769.57302</v>
      </c>
      <c r="M1795" s="13"/>
      <c r="N1795" s="13" t="str">
        <f>IFERROR(__xludf.DUMMYFUNCTION("""COMPUTED_VALUE"""),"")</f>
        <v/>
      </c>
      <c r="O1795" s="13" t="str">
        <f t="shared" si="1"/>
        <v/>
      </c>
    </row>
    <row r="1796" ht="22.5" customHeight="1">
      <c r="B1796" s="13">
        <f>IFERROR(__xludf.DUMMYFUNCTION("""COMPUTED_VALUE"""),1791.0)</f>
        <v>1791</v>
      </c>
      <c r="C1796" s="13" t="str">
        <f>IFERROR(__xludf.DUMMYFUNCTION("""COMPUTED_VALUE"""),"B. 892/ Negeri Olok Gading")</f>
        <v>B. 892/ Negeri Olok Gading</v>
      </c>
      <c r="D1796" s="13" t="str">
        <f>IFERROR(__xludf.DUMMYFUNCTION("""COMPUTED_VALUE"""),"K/16/110425/1")</f>
        <v>K/16/110425/1</v>
      </c>
      <c r="E1796" s="14" t="str">
        <f>IFERROR(__xludf.DUMMYFUNCTION("""COMPUTED_VALUE"""),"Nadian (BT)")</f>
        <v>Nadian (BT)</v>
      </c>
      <c r="F1796" s="14" t="str">
        <f>IFERROR(__xludf.DUMMYFUNCTION("""COMPUTED_VALUE"""),"SELESAI (VIA PERMOHONAN)")</f>
        <v>SELESAI (VIA PERMOHONAN)</v>
      </c>
      <c r="G1796" s="17">
        <f>IFERROR(__xludf.DUMMYFUNCTION("""COMPUTED_VALUE"""),45768.68601954861)</f>
        <v>45768.68602</v>
      </c>
      <c r="H1796" s="14" t="str">
        <f>IFERROR(__xludf.DUMMYFUNCTION("""COMPUTED_VALUE"""),"Bu Eva (SU)")</f>
        <v>Bu Eva (SU)</v>
      </c>
      <c r="I1796" s="13" t="str">
        <f>IFERROR(__xludf.DUMMYFUNCTION("""COMPUTED_VALUE"""),"SELESAI (VIA PERMOHONAN)")</f>
        <v>SELESAI (VIA PERMOHONAN)</v>
      </c>
      <c r="J1796" s="17">
        <f>IFERROR(__xludf.DUMMYFUNCTION("""COMPUTED_VALUE"""),45769.57301807871)</f>
        <v>45769.57302</v>
      </c>
      <c r="K1796" s="13" t="str">
        <f>IFERROR(__xludf.DUMMYFUNCTION("""COMPUTED_VALUE"""),"Selesai")</f>
        <v>Selesai</v>
      </c>
      <c r="L1796" s="17">
        <f>IFERROR(__xludf.DUMMYFUNCTION("""COMPUTED_VALUE"""),45769.57301807871)</f>
        <v>45769.57302</v>
      </c>
      <c r="M1796" s="13"/>
      <c r="N1796" s="13" t="str">
        <f>IFERROR(__xludf.DUMMYFUNCTION("""COMPUTED_VALUE"""),"")</f>
        <v/>
      </c>
      <c r="O1796" s="13" t="str">
        <f t="shared" si="1"/>
        <v/>
      </c>
    </row>
    <row r="1797" ht="22.5" customHeight="1">
      <c r="B1797" s="13">
        <f>IFERROR(__xludf.DUMMYFUNCTION("""COMPUTED_VALUE"""),1792.0)</f>
        <v>1792</v>
      </c>
      <c r="C1797" s="13" t="str">
        <f>IFERROR(__xludf.DUMMYFUNCTION("""COMPUTED_VALUE"""),"M. 4454/GUNUNG TERANG")</f>
        <v>M. 4454/GUNUNG TERANG</v>
      </c>
      <c r="D1797" s="13" t="str">
        <f>IFERROR(__xludf.DUMMYFUNCTION("""COMPUTED_VALUE"""),"K/35/100425/3")</f>
        <v>K/35/100425/3</v>
      </c>
      <c r="E1797" s="14" t="str">
        <f>IFERROR(__xludf.DUMMYFUNCTION("""COMPUTED_VALUE"""),"Nadian (BT)")</f>
        <v>Nadian (BT)</v>
      </c>
      <c r="F1797" s="14" t="str">
        <f>IFERROR(__xludf.DUMMYFUNCTION("""COMPUTED_VALUE"""),"SELESAI (VIA PERMOHONAN)")</f>
        <v>SELESAI (VIA PERMOHONAN)</v>
      </c>
      <c r="G1797" s="17">
        <f>IFERROR(__xludf.DUMMYFUNCTION("""COMPUTED_VALUE"""),45768.68601954861)</f>
        <v>45768.68602</v>
      </c>
      <c r="H1797" s="14" t="str">
        <f>IFERROR(__xludf.DUMMYFUNCTION("""COMPUTED_VALUE"""),"Bu Eva (SU)")</f>
        <v>Bu Eva (SU)</v>
      </c>
      <c r="I1797" s="13" t="str">
        <f>IFERROR(__xludf.DUMMYFUNCTION("""COMPUTED_VALUE"""),"SELESAI (VIA PERMOHONAN)")</f>
        <v>SELESAI (VIA PERMOHONAN)</v>
      </c>
      <c r="J1797" s="17">
        <f>IFERROR(__xludf.DUMMYFUNCTION("""COMPUTED_VALUE"""),45769.57301807871)</f>
        <v>45769.57302</v>
      </c>
      <c r="K1797" s="13" t="str">
        <f>IFERROR(__xludf.DUMMYFUNCTION("""COMPUTED_VALUE"""),"Selesai")</f>
        <v>Selesai</v>
      </c>
      <c r="L1797" s="17">
        <f>IFERROR(__xludf.DUMMYFUNCTION("""COMPUTED_VALUE"""),45769.57301807871)</f>
        <v>45769.57302</v>
      </c>
      <c r="M1797" s="13"/>
      <c r="N1797" s="13" t="str">
        <f>IFERROR(__xludf.DUMMYFUNCTION("""COMPUTED_VALUE"""),"")</f>
        <v/>
      </c>
      <c r="O1797" s="13" t="str">
        <f t="shared" si="1"/>
        <v/>
      </c>
    </row>
    <row r="1798" ht="22.5" customHeight="1">
      <c r="B1798" s="13">
        <f>IFERROR(__xludf.DUMMYFUNCTION("""COMPUTED_VALUE"""),1793.0)</f>
        <v>1793</v>
      </c>
      <c r="C1798" s="13" t="str">
        <f>IFERROR(__xludf.DUMMYFUNCTION("""COMPUTED_VALUE"""),"B.645/SUMBER AGUNG")</f>
        <v>B.645/SUMBER AGUNG</v>
      </c>
      <c r="D1798" s="13" t="str">
        <f>IFERROR(__xludf.DUMMYFUNCTION("""COMPUTED_VALUE"""),"K/11/080425/1")</f>
        <v>K/11/080425/1</v>
      </c>
      <c r="E1798" s="14" t="str">
        <f>IFERROR(__xludf.DUMMYFUNCTION("""COMPUTED_VALUE"""),"Nadian (BT)")</f>
        <v>Nadian (BT)</v>
      </c>
      <c r="F1798" s="14" t="str">
        <f>IFERROR(__xludf.DUMMYFUNCTION("""COMPUTED_VALUE"""),"SELESAI (VIA PERMOHONAN)")</f>
        <v>SELESAI (VIA PERMOHONAN)</v>
      </c>
      <c r="G1798" s="17">
        <f>IFERROR(__xludf.DUMMYFUNCTION("""COMPUTED_VALUE"""),45768.68601954861)</f>
        <v>45768.68602</v>
      </c>
      <c r="H1798" s="14" t="str">
        <f>IFERROR(__xludf.DUMMYFUNCTION("""COMPUTED_VALUE"""),"Bu Eva (SU)")</f>
        <v>Bu Eva (SU)</v>
      </c>
      <c r="I1798" s="13" t="str">
        <f>IFERROR(__xludf.DUMMYFUNCTION("""COMPUTED_VALUE"""),"SELESAI (VIA PERMOHONAN)")</f>
        <v>SELESAI (VIA PERMOHONAN)</v>
      </c>
      <c r="J1798" s="17">
        <f>IFERROR(__xludf.DUMMYFUNCTION("""COMPUTED_VALUE"""),45769.57301807871)</f>
        <v>45769.57302</v>
      </c>
      <c r="K1798" s="13" t="str">
        <f>IFERROR(__xludf.DUMMYFUNCTION("""COMPUTED_VALUE"""),"Selesai")</f>
        <v>Selesai</v>
      </c>
      <c r="L1798" s="17">
        <f>IFERROR(__xludf.DUMMYFUNCTION("""COMPUTED_VALUE"""),45769.57301807871)</f>
        <v>45769.57302</v>
      </c>
      <c r="M1798" s="13"/>
      <c r="N1798" s="13" t="str">
        <f>IFERROR(__xludf.DUMMYFUNCTION("""COMPUTED_VALUE"""),"")</f>
        <v/>
      </c>
      <c r="O1798" s="13" t="str">
        <f t="shared" si="1"/>
        <v/>
      </c>
    </row>
    <row r="1799" ht="22.5" customHeight="1">
      <c r="B1799" s="13">
        <f>IFERROR(__xludf.DUMMYFUNCTION("""COMPUTED_VALUE"""),1794.0)</f>
        <v>1794</v>
      </c>
      <c r="C1799" s="13" t="str">
        <f>IFERROR(__xludf.DUMMYFUNCTION("""COMPUTED_VALUE"""),"M. 14954/RAJABASA")</f>
        <v>M. 14954/RAJABASA</v>
      </c>
      <c r="D1799" s="13" t="str">
        <f>IFERROR(__xludf.DUMMYFUNCTION("""COMPUTED_VALUE"""),"K/33/100425/1")</f>
        <v>K/33/100425/1</v>
      </c>
      <c r="E1799" s="14" t="str">
        <f>IFERROR(__xludf.DUMMYFUNCTION("""COMPUTED_VALUE"""),"Nadian (BT)")</f>
        <v>Nadian (BT)</v>
      </c>
      <c r="F1799" s="14" t="str">
        <f>IFERROR(__xludf.DUMMYFUNCTION("""COMPUTED_VALUE"""),"SELESAI (VIA PERMOHONAN)")</f>
        <v>SELESAI (VIA PERMOHONAN)</v>
      </c>
      <c r="G1799" s="17">
        <f>IFERROR(__xludf.DUMMYFUNCTION("""COMPUTED_VALUE"""),45768.68601954861)</f>
        <v>45768.68602</v>
      </c>
      <c r="H1799" s="14" t="str">
        <f>IFERROR(__xludf.DUMMYFUNCTION("""COMPUTED_VALUE"""),"Bu Eva (SU)")</f>
        <v>Bu Eva (SU)</v>
      </c>
      <c r="I1799" s="13" t="str">
        <f>IFERROR(__xludf.DUMMYFUNCTION("""COMPUTED_VALUE"""),"SELESAI (VIA PERMOHONAN)")</f>
        <v>SELESAI (VIA PERMOHONAN)</v>
      </c>
      <c r="J1799" s="17">
        <f>IFERROR(__xludf.DUMMYFUNCTION("""COMPUTED_VALUE"""),45769.57301807871)</f>
        <v>45769.57302</v>
      </c>
      <c r="K1799" s="13" t="str">
        <f>IFERROR(__xludf.DUMMYFUNCTION("""COMPUTED_VALUE"""),"Selesai")</f>
        <v>Selesai</v>
      </c>
      <c r="L1799" s="17">
        <f>IFERROR(__xludf.DUMMYFUNCTION("""COMPUTED_VALUE"""),45769.57301807871)</f>
        <v>45769.57302</v>
      </c>
      <c r="M1799" s="13"/>
      <c r="N1799" s="13" t="str">
        <f>IFERROR(__xludf.DUMMYFUNCTION("""COMPUTED_VALUE"""),"")</f>
        <v/>
      </c>
      <c r="O1799" s="13" t="str">
        <f t="shared" si="1"/>
        <v/>
      </c>
    </row>
    <row r="1800" ht="22.5" customHeight="1">
      <c r="B1800" s="13">
        <f>IFERROR(__xludf.DUMMYFUNCTION("""COMPUTED_VALUE"""),1795.0)</f>
        <v>1795</v>
      </c>
      <c r="C1800" s="13" t="str">
        <f>IFERROR(__xludf.DUMMYFUNCTION("""COMPUTED_VALUE"""),"HM 7607/KEDAMAIAN")</f>
        <v>HM 7607/KEDAMAIAN</v>
      </c>
      <c r="D1800" s="13" t="str">
        <f>IFERROR(__xludf.DUMMYFUNCTION("""COMPUTED_VALUE"""),"L/20/080425/1")</f>
        <v>L/20/080425/1</v>
      </c>
      <c r="E1800" s="14" t="str">
        <f>IFERROR(__xludf.DUMMYFUNCTION("""COMPUTED_VALUE"""),"Nadian (BT)")</f>
        <v>Nadian (BT)</v>
      </c>
      <c r="F1800" s="14" t="str">
        <f>IFERROR(__xludf.DUMMYFUNCTION("""COMPUTED_VALUE"""),"SELESAI (VIA PERMOHONAN)")</f>
        <v>SELESAI (VIA PERMOHONAN)</v>
      </c>
      <c r="G1800" s="17">
        <f>IFERROR(__xludf.DUMMYFUNCTION("""COMPUTED_VALUE"""),45768.68601954861)</f>
        <v>45768.68602</v>
      </c>
      <c r="H1800" s="14" t="str">
        <f>IFERROR(__xludf.DUMMYFUNCTION("""COMPUTED_VALUE"""),"Bu Eva (SU)")</f>
        <v>Bu Eva (SU)</v>
      </c>
      <c r="I1800" s="13" t="str">
        <f>IFERROR(__xludf.DUMMYFUNCTION("""COMPUTED_VALUE"""),"SELESAI (VIA PERMOHONAN)")</f>
        <v>SELESAI (VIA PERMOHONAN)</v>
      </c>
      <c r="J1800" s="17">
        <f>IFERROR(__xludf.DUMMYFUNCTION("""COMPUTED_VALUE"""),45769.57316865741)</f>
        <v>45769.57317</v>
      </c>
      <c r="K1800" s="13" t="str">
        <f>IFERROR(__xludf.DUMMYFUNCTION("""COMPUTED_VALUE"""),"Selesai")</f>
        <v>Selesai</v>
      </c>
      <c r="L1800" s="17">
        <f>IFERROR(__xludf.DUMMYFUNCTION("""COMPUTED_VALUE"""),45769.57316865741)</f>
        <v>45769.57317</v>
      </c>
      <c r="M1800" s="13"/>
      <c r="N1800" s="13" t="str">
        <f>IFERROR(__xludf.DUMMYFUNCTION("""COMPUTED_VALUE"""),"")</f>
        <v/>
      </c>
      <c r="O1800" s="13" t="str">
        <f t="shared" si="1"/>
        <v/>
      </c>
    </row>
    <row r="1801" ht="22.5" customHeight="1">
      <c r="B1801" s="13">
        <f>IFERROR(__xludf.DUMMYFUNCTION("""COMPUTED_VALUE"""),1796.0)</f>
        <v>1796</v>
      </c>
      <c r="C1801" s="13" t="str">
        <f>IFERROR(__xludf.DUMMYFUNCTION("""COMPUTED_VALUE"""),"HM 757/SUMBER AGUNG")</f>
        <v>HM 757/SUMBER AGUNG</v>
      </c>
      <c r="D1801" s="13" t="str">
        <f>IFERROR(__xludf.DUMMYFUNCTION("""COMPUTED_VALUE"""),"L/22/080425/1")</f>
        <v>L/22/080425/1</v>
      </c>
      <c r="E1801" s="14" t="str">
        <f>IFERROR(__xludf.DUMMYFUNCTION("""COMPUTED_VALUE"""),"Nadian (BT)")</f>
        <v>Nadian (BT)</v>
      </c>
      <c r="F1801" s="14" t="str">
        <f>IFERROR(__xludf.DUMMYFUNCTION("""COMPUTED_VALUE"""),"SELESAI (VIA PERMOHONAN)")</f>
        <v>SELESAI (VIA PERMOHONAN)</v>
      </c>
      <c r="G1801" s="17">
        <f>IFERROR(__xludf.DUMMYFUNCTION("""COMPUTED_VALUE"""),45768.68601954861)</f>
        <v>45768.68602</v>
      </c>
      <c r="H1801" s="14" t="str">
        <f>IFERROR(__xludf.DUMMYFUNCTION("""COMPUTED_VALUE"""),"Bu Eva (SU)")</f>
        <v>Bu Eva (SU)</v>
      </c>
      <c r="I1801" s="13" t="str">
        <f>IFERROR(__xludf.DUMMYFUNCTION("""COMPUTED_VALUE"""),"SELESAI (VIA PERMOHONAN)")</f>
        <v>SELESAI (VIA PERMOHONAN)</v>
      </c>
      <c r="J1801" s="17">
        <f>IFERROR(__xludf.DUMMYFUNCTION("""COMPUTED_VALUE"""),45769.57316866898)</f>
        <v>45769.57317</v>
      </c>
      <c r="K1801" s="13" t="str">
        <f>IFERROR(__xludf.DUMMYFUNCTION("""COMPUTED_VALUE"""),"Selesai")</f>
        <v>Selesai</v>
      </c>
      <c r="L1801" s="17">
        <f>IFERROR(__xludf.DUMMYFUNCTION("""COMPUTED_VALUE"""),45769.57316866898)</f>
        <v>45769.57317</v>
      </c>
      <c r="M1801" s="13"/>
      <c r="N1801" s="13" t="str">
        <f>IFERROR(__xludf.DUMMYFUNCTION("""COMPUTED_VALUE"""),"")</f>
        <v/>
      </c>
      <c r="O1801" s="13" t="str">
        <f t="shared" si="1"/>
        <v/>
      </c>
    </row>
    <row r="1802" ht="22.5" customHeight="1">
      <c r="B1802" s="13">
        <f>IFERROR(__xludf.DUMMYFUNCTION("""COMPUTED_VALUE"""),1797.0)</f>
        <v>1797</v>
      </c>
      <c r="C1802" s="13" t="str">
        <f>IFERROR(__xludf.DUMMYFUNCTION("""COMPUTED_VALUE"""),"HM 769/GULAK GALIK")</f>
        <v>HM 769/GULAK GALIK</v>
      </c>
      <c r="D1802" s="13" t="str">
        <f>IFERROR(__xludf.DUMMYFUNCTION("""COMPUTED_VALUE"""),"L/17/080425/1")</f>
        <v>L/17/080425/1</v>
      </c>
      <c r="E1802" s="14" t="str">
        <f>IFERROR(__xludf.DUMMYFUNCTION("""COMPUTED_VALUE"""),"Nadian (BT)")</f>
        <v>Nadian (BT)</v>
      </c>
      <c r="F1802" s="14" t="str">
        <f>IFERROR(__xludf.DUMMYFUNCTION("""COMPUTED_VALUE"""),"SELESAI (VIA PERMOHONAN)")</f>
        <v>SELESAI (VIA PERMOHONAN)</v>
      </c>
      <c r="G1802" s="17">
        <f>IFERROR(__xludf.DUMMYFUNCTION("""COMPUTED_VALUE"""),45768.686019560184)</f>
        <v>45768.68602</v>
      </c>
      <c r="H1802" s="14" t="str">
        <f>IFERROR(__xludf.DUMMYFUNCTION("""COMPUTED_VALUE"""),"Bu Eva (SU)")</f>
        <v>Bu Eva (SU)</v>
      </c>
      <c r="I1802" s="13" t="str">
        <f>IFERROR(__xludf.DUMMYFUNCTION("""COMPUTED_VALUE"""),"SELESAI (VIA PERMOHONAN)")</f>
        <v>SELESAI (VIA PERMOHONAN)</v>
      </c>
      <c r="J1802" s="17">
        <f>IFERROR(__xludf.DUMMYFUNCTION("""COMPUTED_VALUE"""),45769.57316866898)</f>
        <v>45769.57317</v>
      </c>
      <c r="K1802" s="13" t="str">
        <f>IFERROR(__xludf.DUMMYFUNCTION("""COMPUTED_VALUE"""),"Selesai")</f>
        <v>Selesai</v>
      </c>
      <c r="L1802" s="17">
        <f>IFERROR(__xludf.DUMMYFUNCTION("""COMPUTED_VALUE"""),45769.57316866898)</f>
        <v>45769.57317</v>
      </c>
      <c r="M1802" s="13"/>
      <c r="N1802" s="13" t="str">
        <f>IFERROR(__xludf.DUMMYFUNCTION("""COMPUTED_VALUE"""),"")</f>
        <v/>
      </c>
      <c r="O1802" s="13" t="str">
        <f t="shared" si="1"/>
        <v/>
      </c>
    </row>
    <row r="1803" ht="22.5" customHeight="1">
      <c r="B1803" s="13">
        <f>IFERROR(__xludf.DUMMYFUNCTION("""COMPUTED_VALUE"""),1798.0)</f>
        <v>1798</v>
      </c>
      <c r="C1803" s="13" t="str">
        <f>IFERROR(__xludf.DUMMYFUNCTION("""COMPUTED_VALUE"""),"M.1559/KUPANG KOTA")</f>
        <v>M.1559/KUPANG KOTA</v>
      </c>
      <c r="D1803" s="13" t="str">
        <f>IFERROR(__xludf.DUMMYFUNCTION("""COMPUTED_VALUE"""),"K/31/210325/1")</f>
        <v>K/31/210325/1</v>
      </c>
      <c r="E1803" s="14" t="str">
        <f>IFERROR(__xludf.DUMMYFUNCTION("""COMPUTED_VALUE"""),"Nadian (BT)")</f>
        <v>Nadian (BT)</v>
      </c>
      <c r="F1803" s="14" t="str">
        <f>IFERROR(__xludf.DUMMYFUNCTION("""COMPUTED_VALUE"""),"SELESAI (VIA PERMOHONAN)")</f>
        <v>SELESAI (VIA PERMOHONAN)</v>
      </c>
      <c r="G1803" s="17">
        <f>IFERROR(__xludf.DUMMYFUNCTION("""COMPUTED_VALUE"""),45768.686019560184)</f>
        <v>45768.68602</v>
      </c>
      <c r="H1803" s="14" t="str">
        <f>IFERROR(__xludf.DUMMYFUNCTION("""COMPUTED_VALUE"""),"Bu Eva (SU)")</f>
        <v>Bu Eva (SU)</v>
      </c>
      <c r="I1803" s="13" t="str">
        <f>IFERROR(__xludf.DUMMYFUNCTION("""COMPUTED_VALUE"""),"SELESAI (VIA PERMOHONAN)")</f>
        <v>SELESAI (VIA PERMOHONAN)</v>
      </c>
      <c r="J1803" s="17">
        <f>IFERROR(__xludf.DUMMYFUNCTION("""COMPUTED_VALUE"""),45769.57316866898)</f>
        <v>45769.57317</v>
      </c>
      <c r="K1803" s="13" t="str">
        <f>IFERROR(__xludf.DUMMYFUNCTION("""COMPUTED_VALUE"""),"Selesai")</f>
        <v>Selesai</v>
      </c>
      <c r="L1803" s="17">
        <f>IFERROR(__xludf.DUMMYFUNCTION("""COMPUTED_VALUE"""),45769.57316866898)</f>
        <v>45769.57317</v>
      </c>
      <c r="M1803" s="13"/>
      <c r="N1803" s="13" t="str">
        <f>IFERROR(__xludf.DUMMYFUNCTION("""COMPUTED_VALUE"""),"")</f>
        <v/>
      </c>
      <c r="O1803" s="13" t="str">
        <f t="shared" si="1"/>
        <v/>
      </c>
    </row>
    <row r="1804" ht="22.5" customHeight="1">
      <c r="B1804" s="13">
        <f>IFERROR(__xludf.DUMMYFUNCTION("""COMPUTED_VALUE"""),1799.0)</f>
        <v>1799</v>
      </c>
      <c r="C1804" s="13" t="str">
        <f>IFERROR(__xludf.DUMMYFUNCTION("""COMPUTED_VALUE"""),"HM 10934/JAGABAYA II")</f>
        <v>HM 10934/JAGABAYA II</v>
      </c>
      <c r="D1804" s="13" t="str">
        <f>IFERROR(__xludf.DUMMYFUNCTION("""COMPUTED_VALUE"""),"L/21/100425/1")</f>
        <v>L/21/100425/1</v>
      </c>
      <c r="E1804" s="14" t="str">
        <f>IFERROR(__xludf.DUMMYFUNCTION("""COMPUTED_VALUE"""),"Nadian (BT)")</f>
        <v>Nadian (BT)</v>
      </c>
      <c r="F1804" s="14" t="str">
        <f>IFERROR(__xludf.DUMMYFUNCTION("""COMPUTED_VALUE"""),"SELESAI (VIA PERMOHONAN)")</f>
        <v>SELESAI (VIA PERMOHONAN)</v>
      </c>
      <c r="G1804" s="17">
        <f>IFERROR(__xludf.DUMMYFUNCTION("""COMPUTED_VALUE"""),45768.686019560184)</f>
        <v>45768.68602</v>
      </c>
      <c r="H1804" s="14" t="str">
        <f>IFERROR(__xludf.DUMMYFUNCTION("""COMPUTED_VALUE"""),"Bu Eva (SU)")</f>
        <v>Bu Eva (SU)</v>
      </c>
      <c r="I1804" s="13" t="str">
        <f>IFERROR(__xludf.DUMMYFUNCTION("""COMPUTED_VALUE"""),"SELESAI (VIA PERMOHONAN)")</f>
        <v>SELESAI (VIA PERMOHONAN)</v>
      </c>
      <c r="J1804" s="17">
        <f>IFERROR(__xludf.DUMMYFUNCTION("""COMPUTED_VALUE"""),45769.57316866898)</f>
        <v>45769.57317</v>
      </c>
      <c r="K1804" s="13" t="str">
        <f>IFERROR(__xludf.DUMMYFUNCTION("""COMPUTED_VALUE"""),"Selesai")</f>
        <v>Selesai</v>
      </c>
      <c r="L1804" s="17">
        <f>IFERROR(__xludf.DUMMYFUNCTION("""COMPUTED_VALUE"""),45769.57316866898)</f>
        <v>45769.57317</v>
      </c>
      <c r="M1804" s="13"/>
      <c r="N1804" s="13" t="str">
        <f>IFERROR(__xludf.DUMMYFUNCTION("""COMPUTED_VALUE"""),"")</f>
        <v/>
      </c>
      <c r="O1804" s="13" t="str">
        <f t="shared" si="1"/>
        <v/>
      </c>
    </row>
    <row r="1805" ht="22.5" customHeight="1">
      <c r="B1805" s="13">
        <f>IFERROR(__xludf.DUMMYFUNCTION("""COMPUTED_VALUE"""),1800.0)</f>
        <v>1800</v>
      </c>
      <c r="C1805" s="13" t="str">
        <f>IFERROR(__xludf.DUMMYFUNCTION("""COMPUTED_VALUE"""),"M. 3315/ Sukadana Ham")</f>
        <v>M. 3315/ Sukadana Ham</v>
      </c>
      <c r="D1805" s="13" t="str">
        <f>IFERROR(__xludf.DUMMYFUNCTION("""COMPUTED_VALUE"""),"K/36/190325/1")</f>
        <v>K/36/190325/1</v>
      </c>
      <c r="E1805" s="14" t="str">
        <f>IFERROR(__xludf.DUMMYFUNCTION("""COMPUTED_VALUE"""),"Afriza (BT)")</f>
        <v>Afriza (BT)</v>
      </c>
      <c r="F1805" s="14" t="str">
        <f>IFERROR(__xludf.DUMMYFUNCTION("""COMPUTED_VALUE"""),"SELESAI (VIA PERMOHONAN)")</f>
        <v>SELESAI (VIA PERMOHONAN)</v>
      </c>
      <c r="G1805" s="17">
        <f>IFERROR(__xludf.DUMMYFUNCTION("""COMPUTED_VALUE"""),45769.35535184028)</f>
        <v>45769.35535</v>
      </c>
      <c r="H1805" s="14" t="str">
        <f>IFERROR(__xludf.DUMMYFUNCTION("""COMPUTED_VALUE"""),"Bu Eva (SU)")</f>
        <v>Bu Eva (SU)</v>
      </c>
      <c r="I1805" s="13" t="str">
        <f>IFERROR(__xludf.DUMMYFUNCTION("""COMPUTED_VALUE"""),"SELESAI (VIA PERMOHONAN)")</f>
        <v>SELESAI (VIA PERMOHONAN)</v>
      </c>
      <c r="J1805" s="17">
        <f>IFERROR(__xludf.DUMMYFUNCTION("""COMPUTED_VALUE"""),45769.57316866898)</f>
        <v>45769.57317</v>
      </c>
      <c r="K1805" s="13" t="str">
        <f>IFERROR(__xludf.DUMMYFUNCTION("""COMPUTED_VALUE"""),"Selesai")</f>
        <v>Selesai</v>
      </c>
      <c r="L1805" s="17">
        <f>IFERROR(__xludf.DUMMYFUNCTION("""COMPUTED_VALUE"""),45769.57316866898)</f>
        <v>45769.57317</v>
      </c>
      <c r="M1805" s="13"/>
      <c r="N1805" s="13" t="str">
        <f>IFERROR(__xludf.DUMMYFUNCTION("""COMPUTED_VALUE"""),"")</f>
        <v/>
      </c>
      <c r="O1805" s="13" t="str">
        <f t="shared" si="1"/>
        <v/>
      </c>
    </row>
    <row r="1806" ht="22.5" customHeight="1">
      <c r="B1806" s="13">
        <f>IFERROR(__xludf.DUMMYFUNCTION("""COMPUTED_VALUE"""),1801.0)</f>
        <v>1801</v>
      </c>
      <c r="C1806" s="13" t="str">
        <f>IFERROR(__xludf.DUMMYFUNCTION("""COMPUTED_VALUE"""),"M. 3272/ Kota Karang")</f>
        <v>M. 3272/ Kota Karang</v>
      </c>
      <c r="D1806" s="13" t="str">
        <f>IFERROR(__xludf.DUMMYFUNCTION("""COMPUTED_VALUE"""),"K/5/100425/2")</f>
        <v>K/5/100425/2</v>
      </c>
      <c r="E1806" s="14" t="str">
        <f>IFERROR(__xludf.DUMMYFUNCTION("""COMPUTED_VALUE"""),"Afriza (BT)")</f>
        <v>Afriza (BT)</v>
      </c>
      <c r="F1806" s="14" t="str">
        <f>IFERROR(__xludf.DUMMYFUNCTION("""COMPUTED_VALUE"""),"SELESAI (VIA PERMOHONAN)")</f>
        <v>SELESAI (VIA PERMOHONAN)</v>
      </c>
      <c r="G1806" s="17">
        <f>IFERROR(__xludf.DUMMYFUNCTION("""COMPUTED_VALUE"""),45769.35549297454)</f>
        <v>45769.35549</v>
      </c>
      <c r="H1806" s="14" t="str">
        <f>IFERROR(__xludf.DUMMYFUNCTION("""COMPUTED_VALUE"""),"Bu Eva (SU)")</f>
        <v>Bu Eva (SU)</v>
      </c>
      <c r="I1806" s="13" t="str">
        <f>IFERROR(__xludf.DUMMYFUNCTION("""COMPUTED_VALUE"""),"SELESAI (VIA PERMOHONAN)")</f>
        <v>SELESAI (VIA PERMOHONAN)</v>
      </c>
      <c r="J1806" s="17">
        <f>IFERROR(__xludf.DUMMYFUNCTION("""COMPUTED_VALUE"""),45769.57316866898)</f>
        <v>45769.57317</v>
      </c>
      <c r="K1806" s="13" t="str">
        <f>IFERROR(__xludf.DUMMYFUNCTION("""COMPUTED_VALUE"""),"Selesai")</f>
        <v>Selesai</v>
      </c>
      <c r="L1806" s="17">
        <f>IFERROR(__xludf.DUMMYFUNCTION("""COMPUTED_VALUE"""),45769.57316866898)</f>
        <v>45769.57317</v>
      </c>
      <c r="M1806" s="13"/>
      <c r="N1806" s="13" t="str">
        <f>IFERROR(__xludf.DUMMYFUNCTION("""COMPUTED_VALUE"""),"")</f>
        <v/>
      </c>
      <c r="O1806" s="13" t="str">
        <f t="shared" si="1"/>
        <v/>
      </c>
    </row>
    <row r="1807" ht="22.5" customHeight="1">
      <c r="B1807" s="13">
        <f>IFERROR(__xludf.DUMMYFUNCTION("""COMPUTED_VALUE"""),1802.0)</f>
        <v>1802</v>
      </c>
      <c r="C1807" s="13" t="str">
        <f>IFERROR(__xludf.DUMMYFUNCTION("""COMPUTED_VALUE"""),"M. 4909/ Sukadanaham")</f>
        <v>M. 4909/ Sukadanaham</v>
      </c>
      <c r="D1807" s="13" t="str">
        <f>IFERROR(__xludf.DUMMYFUNCTION("""COMPUTED_VALUE"""),"K/13/260325/2")</f>
        <v>K/13/260325/2</v>
      </c>
      <c r="E1807" s="14" t="str">
        <f>IFERROR(__xludf.DUMMYFUNCTION("""COMPUTED_VALUE"""),"Afriza (BT)")</f>
        <v>Afriza (BT)</v>
      </c>
      <c r="F1807" s="14" t="str">
        <f>IFERROR(__xludf.DUMMYFUNCTION("""COMPUTED_VALUE"""),"SELESAI (VIA PERMOHONAN)")</f>
        <v>SELESAI (VIA PERMOHONAN)</v>
      </c>
      <c r="G1807" s="17">
        <f>IFERROR(__xludf.DUMMYFUNCTION("""COMPUTED_VALUE"""),45769.355589722225)</f>
        <v>45769.35559</v>
      </c>
      <c r="H1807" s="14" t="str">
        <f>IFERROR(__xludf.DUMMYFUNCTION("""COMPUTED_VALUE"""),"Bu Eva (SU)")</f>
        <v>Bu Eva (SU)</v>
      </c>
      <c r="I1807" s="13" t="str">
        <f>IFERROR(__xludf.DUMMYFUNCTION("""COMPUTED_VALUE"""),"SELESAI (VIA PERMOHONAN)")</f>
        <v>SELESAI (VIA PERMOHONAN)</v>
      </c>
      <c r="J1807" s="17">
        <f>IFERROR(__xludf.DUMMYFUNCTION("""COMPUTED_VALUE"""),45769.57316866898)</f>
        <v>45769.57317</v>
      </c>
      <c r="K1807" s="13" t="str">
        <f>IFERROR(__xludf.DUMMYFUNCTION("""COMPUTED_VALUE"""),"Selesai")</f>
        <v>Selesai</v>
      </c>
      <c r="L1807" s="17">
        <f>IFERROR(__xludf.DUMMYFUNCTION("""COMPUTED_VALUE"""),45769.57316866898)</f>
        <v>45769.57317</v>
      </c>
      <c r="M1807" s="13"/>
      <c r="N1807" s="13" t="str">
        <f>IFERROR(__xludf.DUMMYFUNCTION("""COMPUTED_VALUE"""),"")</f>
        <v/>
      </c>
      <c r="O1807" s="13" t="str">
        <f t="shared" si="1"/>
        <v/>
      </c>
    </row>
    <row r="1808" ht="22.5" customHeight="1">
      <c r="B1808" s="13">
        <f>IFERROR(__xludf.DUMMYFUNCTION("""COMPUTED_VALUE"""),1803.0)</f>
        <v>1803</v>
      </c>
      <c r="C1808" s="13" t="str">
        <f>IFERROR(__xludf.DUMMYFUNCTION("""COMPUTED_VALUE"""),"M. 13745; 13743/ Sukarame")</f>
        <v>M. 13745; 13743/ Sukarame</v>
      </c>
      <c r="D1808" s="13" t="str">
        <f>IFERROR(__xludf.DUMMYFUNCTION("""COMPUTED_VALUE"""),"K/24/090425/1")</f>
        <v>K/24/090425/1</v>
      </c>
      <c r="E1808" s="14" t="str">
        <f>IFERROR(__xludf.DUMMYFUNCTION("""COMPUTED_VALUE"""),"Nadian (BT)")</f>
        <v>Nadian (BT)</v>
      </c>
      <c r="F1808" s="14" t="str">
        <f>IFERROR(__xludf.DUMMYFUNCTION("""COMPUTED_VALUE"""),"SELESAI (VIA PERMOHONAN)")</f>
        <v>SELESAI (VIA PERMOHONAN)</v>
      </c>
      <c r="G1808" s="17">
        <f>IFERROR(__xludf.DUMMYFUNCTION("""COMPUTED_VALUE"""),45769.510708807866)</f>
        <v>45769.51071</v>
      </c>
      <c r="H1808" s="14" t="str">
        <f>IFERROR(__xludf.DUMMYFUNCTION("""COMPUTED_VALUE"""),"Bu Eva (SU)")</f>
        <v>Bu Eva (SU)</v>
      </c>
      <c r="I1808" s="13" t="str">
        <f>IFERROR(__xludf.DUMMYFUNCTION("""COMPUTED_VALUE"""),"SELESAI (VIA PERMOHONAN)")</f>
        <v>SELESAI (VIA PERMOHONAN)</v>
      </c>
      <c r="J1808" s="17">
        <f>IFERROR(__xludf.DUMMYFUNCTION("""COMPUTED_VALUE"""),45769.57322802083)</f>
        <v>45769.57323</v>
      </c>
      <c r="K1808" s="13" t="str">
        <f>IFERROR(__xludf.DUMMYFUNCTION("""COMPUTED_VALUE"""),"Selesai")</f>
        <v>Selesai</v>
      </c>
      <c r="L1808" s="17">
        <f>IFERROR(__xludf.DUMMYFUNCTION("""COMPUTED_VALUE"""),45769.57322802083)</f>
        <v>45769.57323</v>
      </c>
      <c r="M1808" s="13"/>
      <c r="N1808" s="13" t="str">
        <f>IFERROR(__xludf.DUMMYFUNCTION("""COMPUTED_VALUE"""),"")</f>
        <v/>
      </c>
      <c r="O1808" s="13" t="str">
        <f t="shared" si="1"/>
        <v/>
      </c>
    </row>
    <row r="1809" ht="22.5" customHeight="1">
      <c r="B1809" s="13">
        <f>IFERROR(__xludf.DUMMYFUNCTION("""COMPUTED_VALUE"""),1804.0)</f>
        <v>1804</v>
      </c>
      <c r="C1809" s="13" t="str">
        <f>IFERROR(__xludf.DUMMYFUNCTION("""COMPUTED_VALUE"""),"M. 3696/ Sumberejo Kemiling")</f>
        <v>M. 3696/ Sumberejo Kemiling</v>
      </c>
      <c r="D1809" s="13" t="str">
        <f>IFERROR(__xludf.DUMMYFUNCTION("""COMPUTED_VALUE"""),"K/4/110425/1")</f>
        <v>K/4/110425/1</v>
      </c>
      <c r="E1809" s="14" t="str">
        <f>IFERROR(__xludf.DUMMYFUNCTION("""COMPUTED_VALUE"""),"Nadian (BT)")</f>
        <v>Nadian (BT)</v>
      </c>
      <c r="F1809" s="14" t="str">
        <f>IFERROR(__xludf.DUMMYFUNCTION("""COMPUTED_VALUE"""),"SELESAI (VIA PERMOHONAN)")</f>
        <v>SELESAI (VIA PERMOHONAN)</v>
      </c>
      <c r="G1809" s="17">
        <f>IFERROR(__xludf.DUMMYFUNCTION("""COMPUTED_VALUE"""),45769.51074755787)</f>
        <v>45769.51075</v>
      </c>
      <c r="H1809" s="14" t="str">
        <f>IFERROR(__xludf.DUMMYFUNCTION("""COMPUTED_VALUE"""),"Bu Eva (SU)")</f>
        <v>Bu Eva (SU)</v>
      </c>
      <c r="I1809" s="13" t="str">
        <f>IFERROR(__xludf.DUMMYFUNCTION("""COMPUTED_VALUE"""),"SELESAI (VIA PERMOHONAN)")</f>
        <v>SELESAI (VIA PERMOHONAN)</v>
      </c>
      <c r="J1809" s="17">
        <f>IFERROR(__xludf.DUMMYFUNCTION("""COMPUTED_VALUE"""),45769.57322802083)</f>
        <v>45769.57323</v>
      </c>
      <c r="K1809" s="13" t="str">
        <f>IFERROR(__xludf.DUMMYFUNCTION("""COMPUTED_VALUE"""),"Selesai")</f>
        <v>Selesai</v>
      </c>
      <c r="L1809" s="17">
        <f>IFERROR(__xludf.DUMMYFUNCTION("""COMPUTED_VALUE"""),45769.57322802083)</f>
        <v>45769.57323</v>
      </c>
      <c r="M1809" s="13"/>
      <c r="N1809" s="13" t="str">
        <f>IFERROR(__xludf.DUMMYFUNCTION("""COMPUTED_VALUE"""),"")</f>
        <v/>
      </c>
      <c r="O1809" s="13" t="str">
        <f t="shared" si="1"/>
        <v/>
      </c>
    </row>
    <row r="1810" ht="22.5" customHeight="1">
      <c r="B1810" s="13">
        <f>IFERROR(__xludf.DUMMYFUNCTION("""COMPUTED_VALUE"""),1805.0)</f>
        <v>1805</v>
      </c>
      <c r="C1810" s="13" t="str">
        <f>IFERROR(__xludf.DUMMYFUNCTION("""COMPUTED_VALUE"""),"M. 118/ Kali Balau Kencana")</f>
        <v>M. 118/ Kali Balau Kencana</v>
      </c>
      <c r="D1810" s="13" t="str">
        <f>IFERROR(__xludf.DUMMYFUNCTION("""COMPUTED_VALUE"""),"K/27/090425/1")</f>
        <v>K/27/090425/1</v>
      </c>
      <c r="E1810" s="14" t="str">
        <f>IFERROR(__xludf.DUMMYFUNCTION("""COMPUTED_VALUE"""),"Nadian (BT)")</f>
        <v>Nadian (BT)</v>
      </c>
      <c r="F1810" s="14" t="str">
        <f>IFERROR(__xludf.DUMMYFUNCTION("""COMPUTED_VALUE"""),"SELESAI (VIA PERMOHONAN)")</f>
        <v>SELESAI (VIA PERMOHONAN)</v>
      </c>
      <c r="G1810" s="17">
        <f>IFERROR(__xludf.DUMMYFUNCTION("""COMPUTED_VALUE"""),45769.51074755787)</f>
        <v>45769.51075</v>
      </c>
      <c r="H1810" s="14" t="str">
        <f>IFERROR(__xludf.DUMMYFUNCTION("""COMPUTED_VALUE"""),"Bu Eva (SU)")</f>
        <v>Bu Eva (SU)</v>
      </c>
      <c r="I1810" s="13" t="str">
        <f>IFERROR(__xludf.DUMMYFUNCTION("""COMPUTED_VALUE"""),"SELESAI (VIA PERMOHONAN)")</f>
        <v>SELESAI (VIA PERMOHONAN)</v>
      </c>
      <c r="J1810" s="17">
        <f>IFERROR(__xludf.DUMMYFUNCTION("""COMPUTED_VALUE"""),45769.57322802083)</f>
        <v>45769.57323</v>
      </c>
      <c r="K1810" s="13" t="str">
        <f>IFERROR(__xludf.DUMMYFUNCTION("""COMPUTED_VALUE"""),"Selesai")</f>
        <v>Selesai</v>
      </c>
      <c r="L1810" s="17">
        <f>IFERROR(__xludf.DUMMYFUNCTION("""COMPUTED_VALUE"""),45769.57322802083)</f>
        <v>45769.57323</v>
      </c>
      <c r="M1810" s="13"/>
      <c r="N1810" s="13" t="str">
        <f>IFERROR(__xludf.DUMMYFUNCTION("""COMPUTED_VALUE"""),"")</f>
        <v/>
      </c>
      <c r="O1810" s="13" t="str">
        <f t="shared" si="1"/>
        <v/>
      </c>
    </row>
    <row r="1811" ht="22.5" customHeight="1">
      <c r="B1811" s="13">
        <f>IFERROR(__xludf.DUMMYFUNCTION("""COMPUTED_VALUE"""),1806.0)</f>
        <v>1806</v>
      </c>
      <c r="C1811" s="13" t="str">
        <f>IFERROR(__xludf.DUMMYFUNCTION("""COMPUTED_VALUE"""),"M.2904/CAMPANG RAYA")</f>
        <v>M.2904/CAMPANG RAYA</v>
      </c>
      <c r="D1811" s="13" t="str">
        <f>IFERROR(__xludf.DUMMYFUNCTION("""COMPUTED_VALUE"""),"K/10/090425/1")</f>
        <v>K/10/090425/1</v>
      </c>
      <c r="E1811" s="14" t="str">
        <f>IFERROR(__xludf.DUMMYFUNCTION("""COMPUTED_VALUE"""),"Nadian (BT)")</f>
        <v>Nadian (BT)</v>
      </c>
      <c r="F1811" s="14" t="str">
        <f>IFERROR(__xludf.DUMMYFUNCTION("""COMPUTED_VALUE"""),"SELESAI (VIA PERMOHONAN)")</f>
        <v>SELESAI (VIA PERMOHONAN)</v>
      </c>
      <c r="G1811" s="17">
        <f>IFERROR(__xludf.DUMMYFUNCTION("""COMPUTED_VALUE"""),45769.51074755787)</f>
        <v>45769.51075</v>
      </c>
      <c r="H1811" s="14" t="str">
        <f>IFERROR(__xludf.DUMMYFUNCTION("""COMPUTED_VALUE"""),"Bu Eva (SU)")</f>
        <v>Bu Eva (SU)</v>
      </c>
      <c r="I1811" s="13" t="str">
        <f>IFERROR(__xludf.DUMMYFUNCTION("""COMPUTED_VALUE"""),"SELESAI (VIA PERMOHONAN)")</f>
        <v>SELESAI (VIA PERMOHONAN)</v>
      </c>
      <c r="J1811" s="17">
        <f>IFERROR(__xludf.DUMMYFUNCTION("""COMPUTED_VALUE"""),45769.57322802083)</f>
        <v>45769.57323</v>
      </c>
      <c r="K1811" s="13" t="str">
        <f>IFERROR(__xludf.DUMMYFUNCTION("""COMPUTED_VALUE"""),"Selesai")</f>
        <v>Selesai</v>
      </c>
      <c r="L1811" s="17">
        <f>IFERROR(__xludf.DUMMYFUNCTION("""COMPUTED_VALUE"""),45769.57322802083)</f>
        <v>45769.57323</v>
      </c>
      <c r="M1811" s="13"/>
      <c r="N1811" s="13" t="str">
        <f>IFERROR(__xludf.DUMMYFUNCTION("""COMPUTED_VALUE"""),"")</f>
        <v/>
      </c>
      <c r="O1811" s="13" t="str">
        <f t="shared" si="1"/>
        <v/>
      </c>
    </row>
    <row r="1812" ht="22.5" customHeight="1">
      <c r="B1812" s="13">
        <f>IFERROR(__xludf.DUMMYFUNCTION("""COMPUTED_VALUE"""),1807.0)</f>
        <v>1807</v>
      </c>
      <c r="C1812" s="13" t="str">
        <f>IFERROR(__xludf.DUMMYFUNCTION("""COMPUTED_VALUE"""),"B.2413/SUKARAME")</f>
        <v>B.2413/SUKARAME</v>
      </c>
      <c r="D1812" s="13" t="str">
        <f>IFERROR(__xludf.DUMMYFUNCTION("""COMPUTED_VALUE"""),"K/13/180325/1")</f>
        <v>K/13/180325/1</v>
      </c>
      <c r="E1812" s="14" t="str">
        <f>IFERROR(__xludf.DUMMYFUNCTION("""COMPUTED_VALUE"""),"Nadian (BT)")</f>
        <v>Nadian (BT)</v>
      </c>
      <c r="F1812" s="14" t="str">
        <f>IFERROR(__xludf.DUMMYFUNCTION("""COMPUTED_VALUE"""),"SELESAI (VIA PERMOHONAN)")</f>
        <v>SELESAI (VIA PERMOHONAN)</v>
      </c>
      <c r="G1812" s="17">
        <f>IFERROR(__xludf.DUMMYFUNCTION("""COMPUTED_VALUE"""),45769.51074755787)</f>
        <v>45769.51075</v>
      </c>
      <c r="H1812" s="14" t="str">
        <f>IFERROR(__xludf.DUMMYFUNCTION("""COMPUTED_VALUE"""),"Bu Eva (SU)")</f>
        <v>Bu Eva (SU)</v>
      </c>
      <c r="I1812" s="13" t="str">
        <f>IFERROR(__xludf.DUMMYFUNCTION("""COMPUTED_VALUE"""),"SELESAI (VIA PERMOHONAN)")</f>
        <v>SELESAI (VIA PERMOHONAN)</v>
      </c>
      <c r="J1812" s="17">
        <f>IFERROR(__xludf.DUMMYFUNCTION("""COMPUTED_VALUE"""),45769.57322802083)</f>
        <v>45769.57323</v>
      </c>
      <c r="K1812" s="13" t="str">
        <f>IFERROR(__xludf.DUMMYFUNCTION("""COMPUTED_VALUE"""),"Selesai")</f>
        <v>Selesai</v>
      </c>
      <c r="L1812" s="17">
        <f>IFERROR(__xludf.DUMMYFUNCTION("""COMPUTED_VALUE"""),45769.57322802083)</f>
        <v>45769.57323</v>
      </c>
      <c r="M1812" s="13"/>
      <c r="N1812" s="13" t="str">
        <f>IFERROR(__xludf.DUMMYFUNCTION("""COMPUTED_VALUE"""),"")</f>
        <v/>
      </c>
      <c r="O1812" s="13" t="str">
        <f t="shared" si="1"/>
        <v/>
      </c>
    </row>
    <row r="1813" ht="22.5" customHeight="1">
      <c r="B1813" s="13">
        <f>IFERROR(__xludf.DUMMYFUNCTION("""COMPUTED_VALUE"""),1808.0)</f>
        <v>1808</v>
      </c>
      <c r="C1813" s="13" t="str">
        <f>IFERROR(__xludf.DUMMYFUNCTION("""COMPUTED_VALUE"""),"M.249/SUKAJAWA BARU")</f>
        <v>M.249/SUKAJAWA BARU</v>
      </c>
      <c r="D1813" s="13" t="str">
        <f>IFERROR(__xludf.DUMMYFUNCTION("""COMPUTED_VALUE"""),"K/7/090425/1")</f>
        <v>K/7/090425/1</v>
      </c>
      <c r="E1813" s="14" t="str">
        <f>IFERROR(__xludf.DUMMYFUNCTION("""COMPUTED_VALUE"""),"Nadian (BT)")</f>
        <v>Nadian (BT)</v>
      </c>
      <c r="F1813" s="14" t="str">
        <f>IFERROR(__xludf.DUMMYFUNCTION("""COMPUTED_VALUE"""),"SELESAI (VIA PERMOHONAN)")</f>
        <v>SELESAI (VIA PERMOHONAN)</v>
      </c>
      <c r="G1813" s="17">
        <f>IFERROR(__xludf.DUMMYFUNCTION("""COMPUTED_VALUE"""),45769.51074755787)</f>
        <v>45769.51075</v>
      </c>
      <c r="H1813" s="14" t="str">
        <f>IFERROR(__xludf.DUMMYFUNCTION("""COMPUTED_VALUE"""),"Bu Eva (SU)")</f>
        <v>Bu Eva (SU)</v>
      </c>
      <c r="I1813" s="13" t="str">
        <f>IFERROR(__xludf.DUMMYFUNCTION("""COMPUTED_VALUE"""),"SELESAI (VIA PERMOHONAN)")</f>
        <v>SELESAI (VIA PERMOHONAN)</v>
      </c>
      <c r="J1813" s="17">
        <f>IFERROR(__xludf.DUMMYFUNCTION("""COMPUTED_VALUE"""),45769.57322803241)</f>
        <v>45769.57323</v>
      </c>
      <c r="K1813" s="13" t="str">
        <f>IFERROR(__xludf.DUMMYFUNCTION("""COMPUTED_VALUE"""),"Selesai")</f>
        <v>Selesai</v>
      </c>
      <c r="L1813" s="17">
        <f>IFERROR(__xludf.DUMMYFUNCTION("""COMPUTED_VALUE"""),45769.57322803241)</f>
        <v>45769.57323</v>
      </c>
      <c r="M1813" s="13"/>
      <c r="N1813" s="13" t="str">
        <f>IFERROR(__xludf.DUMMYFUNCTION("""COMPUTED_VALUE"""),"")</f>
        <v/>
      </c>
      <c r="O1813" s="13" t="str">
        <f t="shared" si="1"/>
        <v/>
      </c>
    </row>
    <row r="1814" ht="22.5" customHeight="1">
      <c r="B1814" s="13">
        <f>IFERROR(__xludf.DUMMYFUNCTION("""COMPUTED_VALUE"""),1809.0)</f>
        <v>1809</v>
      </c>
      <c r="C1814" s="13" t="str">
        <f>IFERROR(__xludf.DUMMYFUNCTION("""COMPUTED_VALUE"""),"HM 276/SUKARAME BARU")</f>
        <v>HM 276/SUKARAME BARU</v>
      </c>
      <c r="D1814" s="13" t="str">
        <f>IFERROR(__xludf.DUMMYFUNCTION("""COMPUTED_VALUE"""),"L/12/080425/1")</f>
        <v>L/12/080425/1</v>
      </c>
      <c r="E1814" s="14" t="str">
        <f>IFERROR(__xludf.DUMMYFUNCTION("""COMPUTED_VALUE"""),"Nadian (BT)")</f>
        <v>Nadian (BT)</v>
      </c>
      <c r="F1814" s="14" t="str">
        <f>IFERROR(__xludf.DUMMYFUNCTION("""COMPUTED_VALUE"""),"SELESAI (VIA PERMOHONAN)")</f>
        <v>SELESAI (VIA PERMOHONAN)</v>
      </c>
      <c r="G1814" s="17">
        <f>IFERROR(__xludf.DUMMYFUNCTION("""COMPUTED_VALUE"""),45769.51074755787)</f>
        <v>45769.51075</v>
      </c>
      <c r="H1814" s="14" t="str">
        <f>IFERROR(__xludf.DUMMYFUNCTION("""COMPUTED_VALUE"""),"Bu Eva (SU)")</f>
        <v>Bu Eva (SU)</v>
      </c>
      <c r="I1814" s="13" t="str">
        <f>IFERROR(__xludf.DUMMYFUNCTION("""COMPUTED_VALUE"""),"SELESAI (VIA PERMOHONAN)")</f>
        <v>SELESAI (VIA PERMOHONAN)</v>
      </c>
      <c r="J1814" s="17">
        <f>IFERROR(__xludf.DUMMYFUNCTION("""COMPUTED_VALUE"""),45769.57322803241)</f>
        <v>45769.57323</v>
      </c>
      <c r="K1814" s="13" t="str">
        <f>IFERROR(__xludf.DUMMYFUNCTION("""COMPUTED_VALUE"""),"Selesai")</f>
        <v>Selesai</v>
      </c>
      <c r="L1814" s="17">
        <f>IFERROR(__xludf.DUMMYFUNCTION("""COMPUTED_VALUE"""),45769.57322803241)</f>
        <v>45769.57323</v>
      </c>
      <c r="M1814" s="13"/>
      <c r="N1814" s="13" t="str">
        <f>IFERROR(__xludf.DUMMYFUNCTION("""COMPUTED_VALUE"""),"")</f>
        <v/>
      </c>
      <c r="O1814" s="13" t="str">
        <f t="shared" si="1"/>
        <v/>
      </c>
    </row>
    <row r="1815" ht="22.5" customHeight="1">
      <c r="B1815" s="13">
        <f>IFERROR(__xludf.DUMMYFUNCTION("""COMPUTED_VALUE"""),1810.0)</f>
        <v>1810</v>
      </c>
      <c r="C1815" s="13" t="str">
        <f>IFERROR(__xludf.DUMMYFUNCTION("""COMPUTED_VALUE"""),"M. 2009/LABUHAN DALAM")</f>
        <v>M. 2009/LABUHAN DALAM</v>
      </c>
      <c r="D1815" s="13" t="str">
        <f>IFERROR(__xludf.DUMMYFUNCTION("""COMPUTED_VALUE"""),"K/22/110425/1")</f>
        <v>K/22/110425/1</v>
      </c>
      <c r="E1815" s="14" t="str">
        <f>IFERROR(__xludf.DUMMYFUNCTION("""COMPUTED_VALUE"""),"Nadian (BT)")</f>
        <v>Nadian (BT)</v>
      </c>
      <c r="F1815" s="14" t="str">
        <f>IFERROR(__xludf.DUMMYFUNCTION("""COMPUTED_VALUE"""),"SELESAI (VIA PERMOHONAN)")</f>
        <v>SELESAI (VIA PERMOHONAN)</v>
      </c>
      <c r="G1815" s="17">
        <f>IFERROR(__xludf.DUMMYFUNCTION("""COMPUTED_VALUE"""),45769.51074755787)</f>
        <v>45769.51075</v>
      </c>
      <c r="H1815" s="14" t="str">
        <f>IFERROR(__xludf.DUMMYFUNCTION("""COMPUTED_VALUE"""),"Bu Eva (SU)")</f>
        <v>Bu Eva (SU)</v>
      </c>
      <c r="I1815" s="13" t="str">
        <f>IFERROR(__xludf.DUMMYFUNCTION("""COMPUTED_VALUE"""),"SELESAI (VIA PERMOHONAN)")</f>
        <v>SELESAI (VIA PERMOHONAN)</v>
      </c>
      <c r="J1815" s="17">
        <f>IFERROR(__xludf.DUMMYFUNCTION("""COMPUTED_VALUE"""),45769.57322803241)</f>
        <v>45769.57323</v>
      </c>
      <c r="K1815" s="13" t="str">
        <f>IFERROR(__xludf.DUMMYFUNCTION("""COMPUTED_VALUE"""),"Selesai")</f>
        <v>Selesai</v>
      </c>
      <c r="L1815" s="17">
        <f>IFERROR(__xludf.DUMMYFUNCTION("""COMPUTED_VALUE"""),45769.57322803241)</f>
        <v>45769.57323</v>
      </c>
      <c r="M1815" s="13"/>
      <c r="N1815" s="13" t="str">
        <f>IFERROR(__xludf.DUMMYFUNCTION("""COMPUTED_VALUE"""),"")</f>
        <v/>
      </c>
      <c r="O1815" s="13" t="str">
        <f t="shared" si="1"/>
        <v/>
      </c>
    </row>
    <row r="1816" ht="22.5" customHeight="1">
      <c r="B1816" s="13">
        <f>IFERROR(__xludf.DUMMYFUNCTION("""COMPUTED_VALUE"""),1811.0)</f>
        <v>1811</v>
      </c>
      <c r="C1816" s="13" t="str">
        <f>IFERROR(__xludf.DUMMYFUNCTION("""COMPUTED_VALUE"""),"M. 1070/ Sepang Jaya")</f>
        <v>M. 1070/ Sepang Jaya</v>
      </c>
      <c r="D1816" s="13" t="str">
        <f>IFERROR(__xludf.DUMMYFUNCTION("""COMPUTED_VALUE"""),"K/32/100425/1")</f>
        <v>K/32/100425/1</v>
      </c>
      <c r="E1816" s="14" t="str">
        <f>IFERROR(__xludf.DUMMYFUNCTION("""COMPUTED_VALUE"""),"Nadian (BT)")</f>
        <v>Nadian (BT)</v>
      </c>
      <c r="F1816" s="14" t="str">
        <f>IFERROR(__xludf.DUMMYFUNCTION("""COMPUTED_VALUE"""),"SELESAI (VIA PERMOHONAN)")</f>
        <v>SELESAI (VIA PERMOHONAN)</v>
      </c>
      <c r="G1816" s="17">
        <f>IFERROR(__xludf.DUMMYFUNCTION("""COMPUTED_VALUE"""),45769.51074755787)</f>
        <v>45769.51075</v>
      </c>
      <c r="H1816" s="14" t="str">
        <f>IFERROR(__xludf.DUMMYFUNCTION("""COMPUTED_VALUE"""),"Bu Eva (SU)")</f>
        <v>Bu Eva (SU)</v>
      </c>
      <c r="I1816" s="13" t="str">
        <f>IFERROR(__xludf.DUMMYFUNCTION("""COMPUTED_VALUE"""),"SELESAI (VIA PERMOHONAN)")</f>
        <v>SELESAI (VIA PERMOHONAN)</v>
      </c>
      <c r="J1816" s="17">
        <f>IFERROR(__xludf.DUMMYFUNCTION("""COMPUTED_VALUE"""),45769.57328740741)</f>
        <v>45769.57329</v>
      </c>
      <c r="K1816" s="13" t="str">
        <f>IFERROR(__xludf.DUMMYFUNCTION("""COMPUTED_VALUE"""),"Selesai")</f>
        <v>Selesai</v>
      </c>
      <c r="L1816" s="17">
        <f>IFERROR(__xludf.DUMMYFUNCTION("""COMPUTED_VALUE"""),45769.57328740741)</f>
        <v>45769.57329</v>
      </c>
      <c r="M1816" s="13"/>
      <c r="N1816" s="13" t="str">
        <f>IFERROR(__xludf.DUMMYFUNCTION("""COMPUTED_VALUE"""),"")</f>
        <v/>
      </c>
      <c r="O1816" s="13" t="str">
        <f t="shared" si="1"/>
        <v/>
      </c>
    </row>
    <row r="1817" ht="22.5" customHeight="1">
      <c r="B1817" s="13">
        <f>IFERROR(__xludf.DUMMYFUNCTION("""COMPUTED_VALUE"""),1812.0)</f>
        <v>1812</v>
      </c>
      <c r="C1817" s="13" t="str">
        <f>IFERROR(__xludf.DUMMYFUNCTION("""COMPUTED_VALUE"""),"M. 2334/ Sepang Jaya")</f>
        <v>M. 2334/ Sepang Jaya</v>
      </c>
      <c r="D1817" s="13" t="str">
        <f>IFERROR(__xludf.DUMMYFUNCTION("""COMPUTED_VALUE"""),"K/24/210325/5")</f>
        <v>K/24/210325/5</v>
      </c>
      <c r="E1817" s="14" t="str">
        <f>IFERROR(__xludf.DUMMYFUNCTION("""COMPUTED_VALUE"""),"Nadian (BT)")</f>
        <v>Nadian (BT)</v>
      </c>
      <c r="F1817" s="14" t="str">
        <f>IFERROR(__xludf.DUMMYFUNCTION("""COMPUTED_VALUE"""),"SELESAI (VIA PERMOHONAN)")</f>
        <v>SELESAI (VIA PERMOHONAN)</v>
      </c>
      <c r="G1817" s="17">
        <f>IFERROR(__xludf.DUMMYFUNCTION("""COMPUTED_VALUE"""),45769.51074755787)</f>
        <v>45769.51075</v>
      </c>
      <c r="H1817" s="14" t="str">
        <f>IFERROR(__xludf.DUMMYFUNCTION("""COMPUTED_VALUE"""),"Bu Eva (SU)")</f>
        <v>Bu Eva (SU)</v>
      </c>
      <c r="I1817" s="13" t="str">
        <f>IFERROR(__xludf.DUMMYFUNCTION("""COMPUTED_VALUE"""),"SELESAI (VIA PERMOHONAN)")</f>
        <v>SELESAI (VIA PERMOHONAN)</v>
      </c>
      <c r="J1817" s="17">
        <f>IFERROR(__xludf.DUMMYFUNCTION("""COMPUTED_VALUE"""),45769.57328740741)</f>
        <v>45769.57329</v>
      </c>
      <c r="K1817" s="13" t="str">
        <f>IFERROR(__xludf.DUMMYFUNCTION("""COMPUTED_VALUE"""),"Selesai")</f>
        <v>Selesai</v>
      </c>
      <c r="L1817" s="17">
        <f>IFERROR(__xludf.DUMMYFUNCTION("""COMPUTED_VALUE"""),45769.57328740741)</f>
        <v>45769.57329</v>
      </c>
      <c r="M1817" s="13"/>
      <c r="N1817" s="13" t="str">
        <f>IFERROR(__xludf.DUMMYFUNCTION("""COMPUTED_VALUE"""),"")</f>
        <v/>
      </c>
      <c r="O1817" s="13" t="str">
        <f t="shared" si="1"/>
        <v/>
      </c>
    </row>
    <row r="1818" ht="22.5" customHeight="1">
      <c r="B1818" s="13">
        <f>IFERROR(__xludf.DUMMYFUNCTION("""COMPUTED_VALUE"""),1813.0)</f>
        <v>1813</v>
      </c>
      <c r="C1818" s="13" t="str">
        <f>IFERROR(__xludf.DUMMYFUNCTION("""COMPUTED_VALUE"""),"M. 6465/ Way Kandis")</f>
        <v>M. 6465/ Way Kandis</v>
      </c>
      <c r="D1818" s="13" t="str">
        <f>IFERROR(__xludf.DUMMYFUNCTION("""COMPUTED_VALUE"""),"K/25/100425/1")</f>
        <v>K/25/100425/1</v>
      </c>
      <c r="E1818" s="14" t="str">
        <f>IFERROR(__xludf.DUMMYFUNCTION("""COMPUTED_VALUE"""),"Nadian (BT)")</f>
        <v>Nadian (BT)</v>
      </c>
      <c r="F1818" s="14" t="str">
        <f>IFERROR(__xludf.DUMMYFUNCTION("""COMPUTED_VALUE"""),"SELESAI (VIA PERMOHONAN)")</f>
        <v>SELESAI (VIA PERMOHONAN)</v>
      </c>
      <c r="G1818" s="17">
        <f>IFERROR(__xludf.DUMMYFUNCTION("""COMPUTED_VALUE"""),45769.51074755787)</f>
        <v>45769.51075</v>
      </c>
      <c r="H1818" s="14" t="str">
        <f>IFERROR(__xludf.DUMMYFUNCTION("""COMPUTED_VALUE"""),"Bu Eva (SU)")</f>
        <v>Bu Eva (SU)</v>
      </c>
      <c r="I1818" s="13" t="str">
        <f>IFERROR(__xludf.DUMMYFUNCTION("""COMPUTED_VALUE"""),"SELESAI (VIA PERMOHONAN)")</f>
        <v>SELESAI (VIA PERMOHONAN)</v>
      </c>
      <c r="J1818" s="17">
        <f>IFERROR(__xludf.DUMMYFUNCTION("""COMPUTED_VALUE"""),45769.57328740741)</f>
        <v>45769.57329</v>
      </c>
      <c r="K1818" s="13" t="str">
        <f>IFERROR(__xludf.DUMMYFUNCTION("""COMPUTED_VALUE"""),"Selesai")</f>
        <v>Selesai</v>
      </c>
      <c r="L1818" s="17">
        <f>IFERROR(__xludf.DUMMYFUNCTION("""COMPUTED_VALUE"""),45769.57328740741)</f>
        <v>45769.57329</v>
      </c>
      <c r="M1818" s="13"/>
      <c r="N1818" s="13" t="str">
        <f>IFERROR(__xludf.DUMMYFUNCTION("""COMPUTED_VALUE"""),"")</f>
        <v/>
      </c>
      <c r="O1818" s="13" t="str">
        <f t="shared" si="1"/>
        <v/>
      </c>
    </row>
    <row r="1819" ht="22.5" customHeight="1">
      <c r="B1819" s="13">
        <f>IFERROR(__xludf.DUMMYFUNCTION("""COMPUTED_VALUE"""),1814.0)</f>
        <v>1814</v>
      </c>
      <c r="C1819" s="13" t="str">
        <f>IFERROR(__xludf.DUMMYFUNCTION("""COMPUTED_VALUE"""),"HM 185/SUMUR BATU")</f>
        <v>HM 185/SUMUR BATU</v>
      </c>
      <c r="D1819" s="13" t="str">
        <f>IFERROR(__xludf.DUMMYFUNCTION("""COMPUTED_VALUE"""),"L/16/090425/1")</f>
        <v>L/16/090425/1</v>
      </c>
      <c r="E1819" s="14" t="str">
        <f>IFERROR(__xludf.DUMMYFUNCTION("""COMPUTED_VALUE"""),"Nadian (BT)")</f>
        <v>Nadian (BT)</v>
      </c>
      <c r="F1819" s="14" t="str">
        <f>IFERROR(__xludf.DUMMYFUNCTION("""COMPUTED_VALUE"""),"SELESAI (VIA PERMOHONAN)")</f>
        <v>SELESAI (VIA PERMOHONAN)</v>
      </c>
      <c r="G1819" s="17">
        <f>IFERROR(__xludf.DUMMYFUNCTION("""COMPUTED_VALUE"""),45769.51074755787)</f>
        <v>45769.51075</v>
      </c>
      <c r="H1819" s="14" t="str">
        <f>IFERROR(__xludf.DUMMYFUNCTION("""COMPUTED_VALUE"""),"Bu Eva (SU)")</f>
        <v>Bu Eva (SU)</v>
      </c>
      <c r="I1819" s="13" t="str">
        <f>IFERROR(__xludf.DUMMYFUNCTION("""COMPUTED_VALUE"""),"SELESAI (VIA PERMOHONAN)")</f>
        <v>SELESAI (VIA PERMOHONAN)</v>
      </c>
      <c r="J1819" s="17">
        <f>IFERROR(__xludf.DUMMYFUNCTION("""COMPUTED_VALUE"""),45769.57328740741)</f>
        <v>45769.57329</v>
      </c>
      <c r="K1819" s="13" t="str">
        <f>IFERROR(__xludf.DUMMYFUNCTION("""COMPUTED_VALUE"""),"Selesai")</f>
        <v>Selesai</v>
      </c>
      <c r="L1819" s="17">
        <f>IFERROR(__xludf.DUMMYFUNCTION("""COMPUTED_VALUE"""),45769.57328740741)</f>
        <v>45769.57329</v>
      </c>
      <c r="M1819" s="13"/>
      <c r="N1819" s="13" t="str">
        <f>IFERROR(__xludf.DUMMYFUNCTION("""COMPUTED_VALUE"""),"")</f>
        <v/>
      </c>
      <c r="O1819" s="13" t="str">
        <f t="shared" si="1"/>
        <v/>
      </c>
    </row>
    <row r="1820" ht="22.5" customHeight="1">
      <c r="B1820" s="13">
        <f>IFERROR(__xludf.DUMMYFUNCTION("""COMPUTED_VALUE"""),1815.0)</f>
        <v>1815</v>
      </c>
      <c r="C1820" s="13" t="str">
        <f>IFERROR(__xludf.DUMMYFUNCTION("""COMPUTED_VALUE"""),"M. 394/PINANG JAYA")</f>
        <v>M. 394/PINANG JAYA</v>
      </c>
      <c r="D1820" s="13" t="str">
        <f>IFERROR(__xludf.DUMMYFUNCTION("""COMPUTED_VALUE"""),"K/12/100425/2")</f>
        <v>K/12/100425/2</v>
      </c>
      <c r="E1820" s="14" t="str">
        <f>IFERROR(__xludf.DUMMYFUNCTION("""COMPUTED_VALUE"""),"Nadian (BT)")</f>
        <v>Nadian (BT)</v>
      </c>
      <c r="F1820" s="14" t="str">
        <f>IFERROR(__xludf.DUMMYFUNCTION("""COMPUTED_VALUE"""),"SELESAI (VIA PERMOHONAN)")</f>
        <v>SELESAI (VIA PERMOHONAN)</v>
      </c>
      <c r="G1820" s="17">
        <f>IFERROR(__xludf.DUMMYFUNCTION("""COMPUTED_VALUE"""),45769.51074755787)</f>
        <v>45769.51075</v>
      </c>
      <c r="H1820" s="14" t="str">
        <f>IFERROR(__xludf.DUMMYFUNCTION("""COMPUTED_VALUE"""),"Bu Eva (SU)")</f>
        <v>Bu Eva (SU)</v>
      </c>
      <c r="I1820" s="13" t="str">
        <f>IFERROR(__xludf.DUMMYFUNCTION("""COMPUTED_VALUE"""),"SELESAI (VIA PERMOHONAN)")</f>
        <v>SELESAI (VIA PERMOHONAN)</v>
      </c>
      <c r="J1820" s="17">
        <f>IFERROR(__xludf.DUMMYFUNCTION("""COMPUTED_VALUE"""),45769.57336027778)</f>
        <v>45769.57336</v>
      </c>
      <c r="K1820" s="13" t="str">
        <f>IFERROR(__xludf.DUMMYFUNCTION("""COMPUTED_VALUE"""),"Selesai")</f>
        <v>Selesai</v>
      </c>
      <c r="L1820" s="17">
        <f>IFERROR(__xludf.DUMMYFUNCTION("""COMPUTED_VALUE"""),45769.57336027778)</f>
        <v>45769.57336</v>
      </c>
      <c r="M1820" s="13"/>
      <c r="N1820" s="13" t="str">
        <f>IFERROR(__xludf.DUMMYFUNCTION("""COMPUTED_VALUE"""),"")</f>
        <v/>
      </c>
      <c r="O1820" s="13" t="str">
        <f t="shared" si="1"/>
        <v/>
      </c>
    </row>
    <row r="1821" ht="22.5" customHeight="1">
      <c r="B1821" s="13">
        <f>IFERROR(__xludf.DUMMYFUNCTION("""COMPUTED_VALUE"""),1816.0)</f>
        <v>1816</v>
      </c>
      <c r="C1821" s="13" t="str">
        <f>IFERROR(__xludf.DUMMYFUNCTION("""COMPUTED_VALUE"""),"M. 500/ Gulak Galik")</f>
        <v>M. 500/ Gulak Galik</v>
      </c>
      <c r="D1821" s="13" t="str">
        <f>IFERROR(__xludf.DUMMYFUNCTION("""COMPUTED_VALUE"""),"K/22/100425/1")</f>
        <v>K/22/100425/1</v>
      </c>
      <c r="E1821" s="14" t="str">
        <f>IFERROR(__xludf.DUMMYFUNCTION("""COMPUTED_VALUE"""),"Nadian (BT)")</f>
        <v>Nadian (BT)</v>
      </c>
      <c r="F1821" s="14" t="str">
        <f>IFERROR(__xludf.DUMMYFUNCTION("""COMPUTED_VALUE"""),"SELESAI (VIA PERMOHONAN)")</f>
        <v>SELESAI (VIA PERMOHONAN)</v>
      </c>
      <c r="G1821" s="17">
        <f>IFERROR(__xludf.DUMMYFUNCTION("""COMPUTED_VALUE"""),45769.51074755787)</f>
        <v>45769.51075</v>
      </c>
      <c r="H1821" s="14" t="str">
        <f>IFERROR(__xludf.DUMMYFUNCTION("""COMPUTED_VALUE"""),"Bu Eva (SU)")</f>
        <v>Bu Eva (SU)</v>
      </c>
      <c r="I1821" s="13" t="str">
        <f>IFERROR(__xludf.DUMMYFUNCTION("""COMPUTED_VALUE"""),"SELESAI (VIA PERMOHONAN)")</f>
        <v>SELESAI (VIA PERMOHONAN)</v>
      </c>
      <c r="J1821" s="17">
        <f>IFERROR(__xludf.DUMMYFUNCTION("""COMPUTED_VALUE"""),45769.57336027778)</f>
        <v>45769.57336</v>
      </c>
      <c r="K1821" s="13" t="str">
        <f>IFERROR(__xludf.DUMMYFUNCTION("""COMPUTED_VALUE"""),"Selesai")</f>
        <v>Selesai</v>
      </c>
      <c r="L1821" s="17">
        <f>IFERROR(__xludf.DUMMYFUNCTION("""COMPUTED_VALUE"""),45769.57336027778)</f>
        <v>45769.57336</v>
      </c>
      <c r="M1821" s="13"/>
      <c r="N1821" s="13" t="str">
        <f>IFERROR(__xludf.DUMMYFUNCTION("""COMPUTED_VALUE"""),"")</f>
        <v/>
      </c>
      <c r="O1821" s="13" t="str">
        <f t="shared" si="1"/>
        <v/>
      </c>
    </row>
    <row r="1822" ht="22.5" customHeight="1">
      <c r="B1822" s="13">
        <f>IFERROR(__xludf.DUMMYFUNCTION("""COMPUTED_VALUE"""),1817.0)</f>
        <v>1817</v>
      </c>
      <c r="C1822" s="13" t="str">
        <f>IFERROR(__xludf.DUMMYFUNCTION("""COMPUTED_VALUE"""),"M. 1127/ Sukadana Ham")</f>
        <v>M. 1127/ Sukadana Ham</v>
      </c>
      <c r="D1822" s="13" t="str">
        <f>IFERROR(__xludf.DUMMYFUNCTION("""COMPUTED_VALUE"""),"K/33/030225/1")</f>
        <v>K/33/030225/1</v>
      </c>
      <c r="E1822" s="14" t="str">
        <f>IFERROR(__xludf.DUMMYFUNCTION("""COMPUTED_VALUE"""),"Afriza (BT)")</f>
        <v>Afriza (BT)</v>
      </c>
      <c r="F1822" s="14" t="str">
        <f>IFERROR(__xludf.DUMMYFUNCTION("""COMPUTED_VALUE"""),"SELESAI (VIA PERMOHONAN)")</f>
        <v>SELESAI (VIA PERMOHONAN)</v>
      </c>
      <c r="G1822" s="17">
        <f>IFERROR(__xludf.DUMMYFUNCTION("""COMPUTED_VALUE"""),45769.5631349537)</f>
        <v>45769.56313</v>
      </c>
      <c r="H1822" s="14" t="str">
        <f>IFERROR(__xludf.DUMMYFUNCTION("""COMPUTED_VALUE"""),"Aprill (SU)")</f>
        <v>Aprill (SU)</v>
      </c>
      <c r="I1822" s="13" t="str">
        <f>IFERROR(__xludf.DUMMYFUNCTION("""COMPUTED_VALUE"""),"SELESAI (VIA PERMOHONAN)")</f>
        <v>SELESAI (VIA PERMOHONAN)</v>
      </c>
      <c r="J1822" s="17">
        <f>IFERROR(__xludf.DUMMYFUNCTION("""COMPUTED_VALUE"""),45769.563227754625)</f>
        <v>45769.56323</v>
      </c>
      <c r="K1822" s="13" t="str">
        <f>IFERROR(__xludf.DUMMYFUNCTION("""COMPUTED_VALUE"""),"Selesai")</f>
        <v>Selesai</v>
      </c>
      <c r="L1822" s="17">
        <f>IFERROR(__xludf.DUMMYFUNCTION("""COMPUTED_VALUE"""),45769.563227754625)</f>
        <v>45769.56323</v>
      </c>
      <c r="M1822" s="13"/>
      <c r="N1822" s="13" t="str">
        <f>IFERROR(__xludf.DUMMYFUNCTION("""COMPUTED_VALUE"""),"")</f>
        <v/>
      </c>
      <c r="O1822" s="13" t="str">
        <f t="shared" si="1"/>
        <v/>
      </c>
    </row>
    <row r="1823" ht="22.5" customHeight="1">
      <c r="B1823" s="13">
        <f>IFERROR(__xludf.DUMMYFUNCTION("""COMPUTED_VALUE"""),1818.0)</f>
        <v>1818</v>
      </c>
      <c r="C1823" s="13" t="str">
        <f>IFERROR(__xludf.DUMMYFUNCTION("""COMPUTED_VALUE"""),"HM 772/WAY GUBAK")</f>
        <v>HM 772/WAY GUBAK</v>
      </c>
      <c r="D1823" s="13" t="str">
        <f>IFERROR(__xludf.DUMMYFUNCTION("""COMPUTED_VALUE"""),"L/12/200325/1")</f>
        <v>L/12/200325/1</v>
      </c>
      <c r="E1823" s="14" t="str">
        <f>IFERROR(__xludf.DUMMYFUNCTION("""COMPUTED_VALUE"""),"Afriza (BT)")</f>
        <v>Afriza (BT)</v>
      </c>
      <c r="F1823" s="14" t="str">
        <f>IFERROR(__xludf.DUMMYFUNCTION("""COMPUTED_VALUE"""),"SELESAI (VIA PERMOHONAN)")</f>
        <v>SELESAI (VIA PERMOHONAN)</v>
      </c>
      <c r="G1823" s="17">
        <f>IFERROR(__xludf.DUMMYFUNCTION("""COMPUTED_VALUE"""),45769.563169444446)</f>
        <v>45769.56317</v>
      </c>
      <c r="H1823" s="14" t="str">
        <f>IFERROR(__xludf.DUMMYFUNCTION("""COMPUTED_VALUE"""),"Aprill (SU)")</f>
        <v>Aprill (SU)</v>
      </c>
      <c r="I1823" s="13" t="str">
        <f>IFERROR(__xludf.DUMMYFUNCTION("""COMPUTED_VALUE"""),"SELESAI (VIA PERMOHONAN)")</f>
        <v>SELESAI (VIA PERMOHONAN)</v>
      </c>
      <c r="J1823" s="17">
        <f>IFERROR(__xludf.DUMMYFUNCTION("""COMPUTED_VALUE"""),45769.56333296296)</f>
        <v>45769.56333</v>
      </c>
      <c r="K1823" s="13" t="str">
        <f>IFERROR(__xludf.DUMMYFUNCTION("""COMPUTED_VALUE"""),"Selesai")</f>
        <v>Selesai</v>
      </c>
      <c r="L1823" s="17">
        <f>IFERROR(__xludf.DUMMYFUNCTION("""COMPUTED_VALUE"""),45769.56333296296)</f>
        <v>45769.56333</v>
      </c>
      <c r="M1823" s="13"/>
      <c r="N1823" s="13" t="str">
        <f>IFERROR(__xludf.DUMMYFUNCTION("""COMPUTED_VALUE"""),"")</f>
        <v/>
      </c>
      <c r="O1823" s="13" t="str">
        <f t="shared" si="1"/>
        <v/>
      </c>
    </row>
    <row r="1824" ht="22.5" customHeight="1">
      <c r="B1824" s="13">
        <f>IFERROR(__xludf.DUMMYFUNCTION("""COMPUTED_VALUE"""),1819.0)</f>
        <v>1819</v>
      </c>
      <c r="C1824" s="13" t="str">
        <f>IFERROR(__xludf.DUMMYFUNCTION("""COMPUTED_VALUE"""),"M. 5854/ Way Kandis")</f>
        <v>M. 5854/ Way Kandis</v>
      </c>
      <c r="D1824" s="13" t="str">
        <f>IFERROR(__xludf.DUMMYFUNCTION("""COMPUTED_VALUE"""),"K/4/170325/1")</f>
        <v>K/4/170325/1</v>
      </c>
      <c r="E1824" s="14" t="str">
        <f>IFERROR(__xludf.DUMMYFUNCTION("""COMPUTED_VALUE"""),"Afriza (BT)")</f>
        <v>Afriza (BT)</v>
      </c>
      <c r="F1824" s="14" t="str">
        <f>IFERROR(__xludf.DUMMYFUNCTION("""COMPUTED_VALUE"""),"SELESAI (VIA PERMOHONAN)")</f>
        <v>SELESAI (VIA PERMOHONAN)</v>
      </c>
      <c r="G1824" s="17">
        <f>IFERROR(__xludf.DUMMYFUNCTION("""COMPUTED_VALUE"""),45770.39070063658)</f>
        <v>45770.3907</v>
      </c>
      <c r="H1824" s="14" t="str">
        <f>IFERROR(__xludf.DUMMYFUNCTION("""COMPUTED_VALUE"""),"Bu Eva (SU)")</f>
        <v>Bu Eva (SU)</v>
      </c>
      <c r="I1824" s="13" t="str">
        <f>IFERROR(__xludf.DUMMYFUNCTION("""COMPUTED_VALUE"""),"SELESAI (VIA PERMOHONAN)")</f>
        <v>SELESAI (VIA PERMOHONAN)</v>
      </c>
      <c r="J1824" s="17">
        <f>IFERROR(__xludf.DUMMYFUNCTION("""COMPUTED_VALUE"""),45770.50912271991)</f>
        <v>45770.50912</v>
      </c>
      <c r="K1824" s="13" t="str">
        <f>IFERROR(__xludf.DUMMYFUNCTION("""COMPUTED_VALUE"""),"Selesai")</f>
        <v>Selesai</v>
      </c>
      <c r="L1824" s="17">
        <f>IFERROR(__xludf.DUMMYFUNCTION("""COMPUTED_VALUE"""),45770.50912271991)</f>
        <v>45770.50912</v>
      </c>
      <c r="M1824" s="13"/>
      <c r="N1824" s="13" t="str">
        <f>IFERROR(__xludf.DUMMYFUNCTION("""COMPUTED_VALUE"""),"")</f>
        <v/>
      </c>
      <c r="O1824" s="13" t="str">
        <f t="shared" si="1"/>
        <v/>
      </c>
    </row>
    <row r="1825" ht="22.5" customHeight="1">
      <c r="B1825" s="13">
        <f>IFERROR(__xludf.DUMMYFUNCTION("""COMPUTED_VALUE"""),1820.0)</f>
        <v>1820</v>
      </c>
      <c r="C1825" s="13" t="str">
        <f>IFERROR(__xludf.DUMMYFUNCTION("""COMPUTED_VALUE"""),"M. 2157/ Kota Baru")</f>
        <v>M. 2157/ Kota Baru</v>
      </c>
      <c r="D1825" s="13" t="str">
        <f>IFERROR(__xludf.DUMMYFUNCTION("""COMPUTED_VALUE"""),"K/15/250325/1")</f>
        <v>K/15/250325/1</v>
      </c>
      <c r="E1825" s="14" t="str">
        <f>IFERROR(__xludf.DUMMYFUNCTION("""COMPUTED_VALUE"""),"Afriza (BT)")</f>
        <v>Afriza (BT)</v>
      </c>
      <c r="F1825" s="14" t="str">
        <f>IFERROR(__xludf.DUMMYFUNCTION("""COMPUTED_VALUE"""),"SELESAI (VIA PERMOHONAN)")</f>
        <v>SELESAI (VIA PERMOHONAN)</v>
      </c>
      <c r="G1825" s="17">
        <f>IFERROR(__xludf.DUMMYFUNCTION("""COMPUTED_VALUE"""),45770.390785509255)</f>
        <v>45770.39079</v>
      </c>
      <c r="H1825" s="14" t="str">
        <f>IFERROR(__xludf.DUMMYFUNCTION("""COMPUTED_VALUE"""),"Bu Eva (SU)")</f>
        <v>Bu Eva (SU)</v>
      </c>
      <c r="I1825" s="13" t="str">
        <f>IFERROR(__xludf.DUMMYFUNCTION("""COMPUTED_VALUE"""),"SELESAI (VIA PERMOHONAN)")</f>
        <v>SELESAI (VIA PERMOHONAN)</v>
      </c>
      <c r="J1825" s="17">
        <f>IFERROR(__xludf.DUMMYFUNCTION("""COMPUTED_VALUE"""),45770.509122731484)</f>
        <v>45770.50912</v>
      </c>
      <c r="K1825" s="13" t="str">
        <f>IFERROR(__xludf.DUMMYFUNCTION("""COMPUTED_VALUE"""),"Selesai")</f>
        <v>Selesai</v>
      </c>
      <c r="L1825" s="17">
        <f>IFERROR(__xludf.DUMMYFUNCTION("""COMPUTED_VALUE"""),45770.509122731484)</f>
        <v>45770.50912</v>
      </c>
      <c r="M1825" s="13"/>
      <c r="N1825" s="13" t="str">
        <f>IFERROR(__xludf.DUMMYFUNCTION("""COMPUTED_VALUE"""),"")</f>
        <v/>
      </c>
      <c r="O1825" s="13" t="str">
        <f t="shared" si="1"/>
        <v/>
      </c>
    </row>
    <row r="1826" ht="22.5" customHeight="1">
      <c r="B1826" s="13">
        <f>IFERROR(__xludf.DUMMYFUNCTION("""COMPUTED_VALUE"""),1821.0)</f>
        <v>1821</v>
      </c>
      <c r="C1826" s="13" t="str">
        <f>IFERROR(__xludf.DUMMYFUNCTION("""COMPUTED_VALUE"""),"M. 223/ Bumi Raya")</f>
        <v>M. 223/ Bumi Raya</v>
      </c>
      <c r="D1826" s="13" t="str">
        <f>IFERROR(__xludf.DUMMYFUNCTION("""COMPUTED_VALUE"""),"K/16/250325/2")</f>
        <v>K/16/250325/2</v>
      </c>
      <c r="E1826" s="14" t="str">
        <f>IFERROR(__xludf.DUMMYFUNCTION("""COMPUTED_VALUE"""),"Afriza (BT)")</f>
        <v>Afriza (BT)</v>
      </c>
      <c r="F1826" s="14" t="str">
        <f>IFERROR(__xludf.DUMMYFUNCTION("""COMPUTED_VALUE"""),"SELESAI (VIA PERMOHONAN)")</f>
        <v>SELESAI (VIA PERMOHONAN)</v>
      </c>
      <c r="G1826" s="17">
        <f>IFERROR(__xludf.DUMMYFUNCTION("""COMPUTED_VALUE"""),45770.390951678244)</f>
        <v>45770.39095</v>
      </c>
      <c r="H1826" s="14" t="str">
        <f>IFERROR(__xludf.DUMMYFUNCTION("""COMPUTED_VALUE"""),"Bu Eva (SU)")</f>
        <v>Bu Eva (SU)</v>
      </c>
      <c r="I1826" s="13" t="str">
        <f>IFERROR(__xludf.DUMMYFUNCTION("""COMPUTED_VALUE"""),"SELESAI (VIA PERMOHONAN)")</f>
        <v>SELESAI (VIA PERMOHONAN)</v>
      </c>
      <c r="J1826" s="17">
        <f>IFERROR(__xludf.DUMMYFUNCTION("""COMPUTED_VALUE"""),45770.509122731484)</f>
        <v>45770.50912</v>
      </c>
      <c r="K1826" s="13" t="str">
        <f>IFERROR(__xludf.DUMMYFUNCTION("""COMPUTED_VALUE"""),"Selesai")</f>
        <v>Selesai</v>
      </c>
      <c r="L1826" s="17">
        <f>IFERROR(__xludf.DUMMYFUNCTION("""COMPUTED_VALUE"""),45770.509122731484)</f>
        <v>45770.50912</v>
      </c>
      <c r="M1826" s="13"/>
      <c r="N1826" s="13" t="str">
        <f>IFERROR(__xludf.DUMMYFUNCTION("""COMPUTED_VALUE"""),"")</f>
        <v/>
      </c>
      <c r="O1826" s="13" t="str">
        <f t="shared" si="1"/>
        <v/>
      </c>
    </row>
    <row r="1827" ht="22.5" customHeight="1">
      <c r="B1827" s="13">
        <f>IFERROR(__xludf.DUMMYFUNCTION("""COMPUTED_VALUE"""),1822.0)</f>
        <v>1822</v>
      </c>
      <c r="C1827" s="13" t="str">
        <f>IFERROR(__xludf.DUMMYFUNCTION("""COMPUTED_VALUE"""),"M. 526/ Gunung Mas")</f>
        <v>M. 526/ Gunung Mas</v>
      </c>
      <c r="D1827" s="13" t="str">
        <f>IFERROR(__xludf.DUMMYFUNCTION("""COMPUTED_VALUE"""),"K/37/210325/1")</f>
        <v>K/37/210325/1</v>
      </c>
      <c r="E1827" s="14" t="str">
        <f>IFERROR(__xludf.DUMMYFUNCTION("""COMPUTED_VALUE"""),"Afriza (BT)")</f>
        <v>Afriza (BT)</v>
      </c>
      <c r="F1827" s="14" t="str">
        <f>IFERROR(__xludf.DUMMYFUNCTION("""COMPUTED_VALUE"""),"SELESAI (VIA PERMOHONAN)")</f>
        <v>SELESAI (VIA PERMOHONAN)</v>
      </c>
      <c r="G1827" s="17">
        <f>IFERROR(__xludf.DUMMYFUNCTION("""COMPUTED_VALUE"""),45770.391058298614)</f>
        <v>45770.39106</v>
      </c>
      <c r="H1827" s="14" t="str">
        <f>IFERROR(__xludf.DUMMYFUNCTION("""COMPUTED_VALUE"""),"Bu Eva (SU)")</f>
        <v>Bu Eva (SU)</v>
      </c>
      <c r="I1827" s="13" t="str">
        <f>IFERROR(__xludf.DUMMYFUNCTION("""COMPUTED_VALUE"""),"SELESAI (VIA PERMOHONAN)")</f>
        <v>SELESAI (VIA PERMOHONAN)</v>
      </c>
      <c r="J1827" s="17">
        <f>IFERROR(__xludf.DUMMYFUNCTION("""COMPUTED_VALUE"""),45770.509122731484)</f>
        <v>45770.50912</v>
      </c>
      <c r="K1827" s="13" t="str">
        <f>IFERROR(__xludf.DUMMYFUNCTION("""COMPUTED_VALUE"""),"Selesai")</f>
        <v>Selesai</v>
      </c>
      <c r="L1827" s="17">
        <f>IFERROR(__xludf.DUMMYFUNCTION("""COMPUTED_VALUE"""),45770.509122731484)</f>
        <v>45770.50912</v>
      </c>
      <c r="M1827" s="13"/>
      <c r="N1827" s="13" t="str">
        <f>IFERROR(__xludf.DUMMYFUNCTION("""COMPUTED_VALUE"""),"")</f>
        <v/>
      </c>
      <c r="O1827" s="13" t="str">
        <f t="shared" si="1"/>
        <v/>
      </c>
    </row>
    <row r="1828" ht="22.5" customHeight="1">
      <c r="B1828" s="13">
        <f>IFERROR(__xludf.DUMMYFUNCTION("""COMPUTED_VALUE"""),1823.0)</f>
        <v>1823</v>
      </c>
      <c r="C1828" s="13" t="str">
        <f>IFERROR(__xludf.DUMMYFUNCTION("""COMPUTED_VALUE"""),"M.13861/SEGALA MIDER")</f>
        <v>M.13861/SEGALA MIDER</v>
      </c>
      <c r="D1828" s="13" t="str">
        <f>IFERROR(__xludf.DUMMYFUNCTION("""COMPUTED_VALUE"""),"K/41/240325/1")</f>
        <v>K/41/240325/1</v>
      </c>
      <c r="E1828" s="14" t="str">
        <f>IFERROR(__xludf.DUMMYFUNCTION("""COMPUTED_VALUE"""),"Nadian (BT)")</f>
        <v>Nadian (BT)</v>
      </c>
      <c r="F1828" s="14" t="str">
        <f>IFERROR(__xludf.DUMMYFUNCTION("""COMPUTED_VALUE"""),"SELESAI (VIA PERMOHONAN)")</f>
        <v>SELESAI (VIA PERMOHONAN)</v>
      </c>
      <c r="G1828" s="17">
        <f>IFERROR(__xludf.DUMMYFUNCTION("""COMPUTED_VALUE"""),45770.604575289355)</f>
        <v>45770.60458</v>
      </c>
      <c r="H1828" s="14" t="str">
        <f>IFERROR(__xludf.DUMMYFUNCTION("""COMPUTED_VALUE"""),"Bu Eva (SU)")</f>
        <v>Bu Eva (SU)</v>
      </c>
      <c r="I1828" s="13" t="str">
        <f>IFERROR(__xludf.DUMMYFUNCTION("""COMPUTED_VALUE"""),"SELESAI (VIA PERMOHONAN)")</f>
        <v>SELESAI (VIA PERMOHONAN)</v>
      </c>
      <c r="J1828" s="17">
        <f>IFERROR(__xludf.DUMMYFUNCTION("""COMPUTED_VALUE"""),45772.640886493056)</f>
        <v>45772.64089</v>
      </c>
      <c r="K1828" s="13" t="str">
        <f>IFERROR(__xludf.DUMMYFUNCTION("""COMPUTED_VALUE"""),"Selesai")</f>
        <v>Selesai</v>
      </c>
      <c r="L1828" s="17">
        <f>IFERROR(__xludf.DUMMYFUNCTION("""COMPUTED_VALUE"""),45772.640886493056)</f>
        <v>45772.64089</v>
      </c>
      <c r="M1828" s="13"/>
      <c r="N1828" s="13" t="str">
        <f>IFERROR(__xludf.DUMMYFUNCTION("""COMPUTED_VALUE"""),"")</f>
        <v/>
      </c>
      <c r="O1828" s="13" t="str">
        <f t="shared" si="1"/>
        <v/>
      </c>
    </row>
    <row r="1829" ht="22.5" customHeight="1">
      <c r="B1829" s="13">
        <f>IFERROR(__xludf.DUMMYFUNCTION("""COMPUTED_VALUE"""),1824.0)</f>
        <v>1824</v>
      </c>
      <c r="C1829" s="13" t="str">
        <f>IFERROR(__xludf.DUMMYFUNCTION("""COMPUTED_VALUE"""),"M.2665/CAMPANG RAYA")</f>
        <v>M.2665/CAMPANG RAYA</v>
      </c>
      <c r="D1829" s="13" t="str">
        <f>IFERROR(__xludf.DUMMYFUNCTION("""COMPUTED_VALUE"""),"K/29/040325/1")</f>
        <v>K/29/040325/1</v>
      </c>
      <c r="E1829" s="14" t="str">
        <f>IFERROR(__xludf.DUMMYFUNCTION("""COMPUTED_VALUE"""),"Nadian (BT)")</f>
        <v>Nadian (BT)</v>
      </c>
      <c r="F1829" s="14" t="str">
        <f>IFERROR(__xludf.DUMMYFUNCTION("""COMPUTED_VALUE"""),"SELESAI (VIA PERMOHONAN)")</f>
        <v>SELESAI (VIA PERMOHONAN)</v>
      </c>
      <c r="G1829" s="17">
        <f>IFERROR(__xludf.DUMMYFUNCTION("""COMPUTED_VALUE"""),45770.604590069444)</f>
        <v>45770.60459</v>
      </c>
      <c r="H1829" s="14" t="str">
        <f>IFERROR(__xludf.DUMMYFUNCTION("""COMPUTED_VALUE"""),"Bu Eva (SU)")</f>
        <v>Bu Eva (SU)</v>
      </c>
      <c r="I1829" s="13" t="str">
        <f>IFERROR(__xludf.DUMMYFUNCTION("""COMPUTED_VALUE"""),"SELESAI (VIA PERMOHONAN)")</f>
        <v>SELESAI (VIA PERMOHONAN)</v>
      </c>
      <c r="J1829" s="17">
        <f>IFERROR(__xludf.DUMMYFUNCTION("""COMPUTED_VALUE"""),45772.640886493056)</f>
        <v>45772.64089</v>
      </c>
      <c r="K1829" s="13" t="str">
        <f>IFERROR(__xludf.DUMMYFUNCTION("""COMPUTED_VALUE"""),"Selesai")</f>
        <v>Selesai</v>
      </c>
      <c r="L1829" s="17">
        <f>IFERROR(__xludf.DUMMYFUNCTION("""COMPUTED_VALUE"""),45772.640886493056)</f>
        <v>45772.64089</v>
      </c>
      <c r="M1829" s="13"/>
      <c r="N1829" s="13" t="str">
        <f>IFERROR(__xludf.DUMMYFUNCTION("""COMPUTED_VALUE"""),"")</f>
        <v/>
      </c>
      <c r="O1829" s="13" t="str">
        <f t="shared" si="1"/>
        <v/>
      </c>
    </row>
    <row r="1830" ht="22.5" customHeight="1">
      <c r="B1830" s="13">
        <f>IFERROR(__xludf.DUMMYFUNCTION("""COMPUTED_VALUE"""),1825.0)</f>
        <v>1825</v>
      </c>
      <c r="C1830" s="13" t="str">
        <f>IFERROR(__xludf.DUMMYFUNCTION("""COMPUTED_VALUE"""),"M.3462/SUKADANAHAM")</f>
        <v>M.3462/SUKADANAHAM</v>
      </c>
      <c r="D1830" s="13" t="str">
        <f>IFERROR(__xludf.DUMMYFUNCTION("""COMPUTED_VALUE"""),"K/9/200325/1")</f>
        <v>K/9/200325/1</v>
      </c>
      <c r="E1830" s="14" t="str">
        <f>IFERROR(__xludf.DUMMYFUNCTION("""COMPUTED_VALUE"""),"Nadian (BT)")</f>
        <v>Nadian (BT)</v>
      </c>
      <c r="F1830" s="14" t="str">
        <f>IFERROR(__xludf.DUMMYFUNCTION("""COMPUTED_VALUE"""),"SELESAI (VIA PERMOHONAN)")</f>
        <v>SELESAI (VIA PERMOHONAN)</v>
      </c>
      <c r="G1830" s="17">
        <f>IFERROR(__xludf.DUMMYFUNCTION("""COMPUTED_VALUE"""),45770.604590069444)</f>
        <v>45770.60459</v>
      </c>
      <c r="H1830" s="14" t="str">
        <f>IFERROR(__xludf.DUMMYFUNCTION("""COMPUTED_VALUE"""),"Bu Eva (SU)")</f>
        <v>Bu Eva (SU)</v>
      </c>
      <c r="I1830" s="13" t="str">
        <f>IFERROR(__xludf.DUMMYFUNCTION("""COMPUTED_VALUE"""),"SELESAI (VIA PERMOHONAN)")</f>
        <v>SELESAI (VIA PERMOHONAN)</v>
      </c>
      <c r="J1830" s="17">
        <f>IFERROR(__xludf.DUMMYFUNCTION("""COMPUTED_VALUE"""),45772.640886493056)</f>
        <v>45772.64089</v>
      </c>
      <c r="K1830" s="13" t="str">
        <f>IFERROR(__xludf.DUMMYFUNCTION("""COMPUTED_VALUE"""),"Selesai")</f>
        <v>Selesai</v>
      </c>
      <c r="L1830" s="17">
        <f>IFERROR(__xludf.DUMMYFUNCTION("""COMPUTED_VALUE"""),45772.640886493056)</f>
        <v>45772.64089</v>
      </c>
      <c r="M1830" s="13"/>
      <c r="N1830" s="13" t="str">
        <f>IFERROR(__xludf.DUMMYFUNCTION("""COMPUTED_VALUE"""),"")</f>
        <v/>
      </c>
      <c r="O1830" s="13" t="str">
        <f t="shared" si="1"/>
        <v/>
      </c>
    </row>
    <row r="1831" ht="22.5" customHeight="1">
      <c r="B1831" s="13">
        <f>IFERROR(__xludf.DUMMYFUNCTION("""COMPUTED_VALUE"""),1826.0)</f>
        <v>1826</v>
      </c>
      <c r="C1831" s="13" t="str">
        <f>IFERROR(__xludf.DUMMYFUNCTION("""COMPUTED_VALUE"""),"M.1731/SEPANG JAYA")</f>
        <v>M.1731/SEPANG JAYA</v>
      </c>
      <c r="D1831" s="13" t="str">
        <f>IFERROR(__xludf.DUMMYFUNCTION("""COMPUTED_VALUE"""),"K/36/210325/4")</f>
        <v>K/36/210325/4</v>
      </c>
      <c r="E1831" s="14" t="str">
        <f>IFERROR(__xludf.DUMMYFUNCTION("""COMPUTED_VALUE"""),"Nadian (BT)")</f>
        <v>Nadian (BT)</v>
      </c>
      <c r="F1831" s="14" t="str">
        <f>IFERROR(__xludf.DUMMYFUNCTION("""COMPUTED_VALUE"""),"SELESAI (VIA PERMOHONAN)")</f>
        <v>SELESAI (VIA PERMOHONAN)</v>
      </c>
      <c r="G1831" s="17">
        <f>IFERROR(__xludf.DUMMYFUNCTION("""COMPUTED_VALUE"""),45770.604590069444)</f>
        <v>45770.60459</v>
      </c>
      <c r="H1831" s="14" t="str">
        <f>IFERROR(__xludf.DUMMYFUNCTION("""COMPUTED_VALUE"""),"Bu Eva (SU)")</f>
        <v>Bu Eva (SU)</v>
      </c>
      <c r="I1831" s="13" t="str">
        <f>IFERROR(__xludf.DUMMYFUNCTION("""COMPUTED_VALUE"""),"SELESAI (VIA PERMOHONAN)")</f>
        <v>SELESAI (VIA PERMOHONAN)</v>
      </c>
      <c r="J1831" s="17">
        <f>IFERROR(__xludf.DUMMYFUNCTION("""COMPUTED_VALUE"""),45772.640886493056)</f>
        <v>45772.64089</v>
      </c>
      <c r="K1831" s="13" t="str">
        <f>IFERROR(__xludf.DUMMYFUNCTION("""COMPUTED_VALUE"""),"Selesai")</f>
        <v>Selesai</v>
      </c>
      <c r="L1831" s="17">
        <f>IFERROR(__xludf.DUMMYFUNCTION("""COMPUTED_VALUE"""),45772.640886493056)</f>
        <v>45772.64089</v>
      </c>
      <c r="M1831" s="13"/>
      <c r="N1831" s="13" t="str">
        <f>IFERROR(__xludf.DUMMYFUNCTION("""COMPUTED_VALUE"""),"")</f>
        <v/>
      </c>
      <c r="O1831" s="13" t="str">
        <f t="shared" si="1"/>
        <v/>
      </c>
    </row>
    <row r="1832" ht="22.5" customHeight="1">
      <c r="B1832" s="13">
        <f>IFERROR(__xludf.DUMMYFUNCTION("""COMPUTED_VALUE"""),1827.0)</f>
        <v>1827</v>
      </c>
      <c r="C1832" s="13" t="str">
        <f>IFERROR(__xludf.DUMMYFUNCTION("""COMPUTED_VALUE"""),"M.16732/SUKABUMI")</f>
        <v>M.16732/SUKABUMI</v>
      </c>
      <c r="D1832" s="13" t="str">
        <f>IFERROR(__xludf.DUMMYFUNCTION("""COMPUTED_VALUE"""),"K/16/190325/2")</f>
        <v>K/16/190325/2</v>
      </c>
      <c r="E1832" s="14" t="str">
        <f>IFERROR(__xludf.DUMMYFUNCTION("""COMPUTED_VALUE"""),"Nadian (BT)")</f>
        <v>Nadian (BT)</v>
      </c>
      <c r="F1832" s="14" t="str">
        <f>IFERROR(__xludf.DUMMYFUNCTION("""COMPUTED_VALUE"""),"SELESAI (VIA PERMOHONAN)")</f>
        <v>SELESAI (VIA PERMOHONAN)</v>
      </c>
      <c r="G1832" s="17">
        <f>IFERROR(__xludf.DUMMYFUNCTION("""COMPUTED_VALUE"""),45770.604590069444)</f>
        <v>45770.60459</v>
      </c>
      <c r="H1832" s="14" t="str">
        <f>IFERROR(__xludf.DUMMYFUNCTION("""COMPUTED_VALUE"""),"Bu Eva (SU)")</f>
        <v>Bu Eva (SU)</v>
      </c>
      <c r="I1832" s="13" t="str">
        <f>IFERROR(__xludf.DUMMYFUNCTION("""COMPUTED_VALUE"""),"SELESAI (VIA PERMOHONAN)")</f>
        <v>SELESAI (VIA PERMOHONAN)</v>
      </c>
      <c r="J1832" s="17">
        <f>IFERROR(__xludf.DUMMYFUNCTION("""COMPUTED_VALUE"""),45772.640886493056)</f>
        <v>45772.64089</v>
      </c>
      <c r="K1832" s="13" t="str">
        <f>IFERROR(__xludf.DUMMYFUNCTION("""COMPUTED_VALUE"""),"Selesai")</f>
        <v>Selesai</v>
      </c>
      <c r="L1832" s="17">
        <f>IFERROR(__xludf.DUMMYFUNCTION("""COMPUTED_VALUE"""),45772.640886493056)</f>
        <v>45772.64089</v>
      </c>
      <c r="M1832" s="13"/>
      <c r="N1832" s="13" t="str">
        <f>IFERROR(__xludf.DUMMYFUNCTION("""COMPUTED_VALUE"""),"")</f>
        <v/>
      </c>
      <c r="O1832" s="13" t="str">
        <f t="shared" si="1"/>
        <v/>
      </c>
    </row>
    <row r="1833" ht="22.5" customHeight="1">
      <c r="B1833" s="13">
        <f>IFERROR(__xludf.DUMMYFUNCTION("""COMPUTED_VALUE"""),1828.0)</f>
        <v>1828</v>
      </c>
      <c r="C1833" s="13" t="str">
        <f>IFERROR(__xludf.DUMMYFUNCTION("""COMPUTED_VALUE"""),"M.1659/BUMI KEDAMAIAN")</f>
        <v>M.1659/BUMI KEDAMAIAN</v>
      </c>
      <c r="D1833" s="13" t="str">
        <f>IFERROR(__xludf.DUMMYFUNCTION("""COMPUTED_VALUE"""),"K/15/170325/1")</f>
        <v>K/15/170325/1</v>
      </c>
      <c r="E1833" s="14" t="str">
        <f>IFERROR(__xludf.DUMMYFUNCTION("""COMPUTED_VALUE"""),"Nadian (BT)")</f>
        <v>Nadian (BT)</v>
      </c>
      <c r="F1833" s="14" t="str">
        <f>IFERROR(__xludf.DUMMYFUNCTION("""COMPUTED_VALUE"""),"SELESAI (VIA PERMOHONAN)")</f>
        <v>SELESAI (VIA PERMOHONAN)</v>
      </c>
      <c r="G1833" s="17">
        <f>IFERROR(__xludf.DUMMYFUNCTION("""COMPUTED_VALUE"""),45770.604606574074)</f>
        <v>45770.60461</v>
      </c>
      <c r="H1833" s="14" t="str">
        <f>IFERROR(__xludf.DUMMYFUNCTION("""COMPUTED_VALUE"""),"Bu Eva (SU)")</f>
        <v>Bu Eva (SU)</v>
      </c>
      <c r="I1833" s="13" t="str">
        <f>IFERROR(__xludf.DUMMYFUNCTION("""COMPUTED_VALUE"""),"SELESAI (VIA PERMOHONAN)")</f>
        <v>SELESAI (VIA PERMOHONAN)</v>
      </c>
      <c r="J1833" s="17">
        <f>IFERROR(__xludf.DUMMYFUNCTION("""COMPUTED_VALUE"""),45772.640886493056)</f>
        <v>45772.64089</v>
      </c>
      <c r="K1833" s="13" t="str">
        <f>IFERROR(__xludf.DUMMYFUNCTION("""COMPUTED_VALUE"""),"Selesai")</f>
        <v>Selesai</v>
      </c>
      <c r="L1833" s="17">
        <f>IFERROR(__xludf.DUMMYFUNCTION("""COMPUTED_VALUE"""),45772.640886493056)</f>
        <v>45772.64089</v>
      </c>
      <c r="M1833" s="13"/>
      <c r="N1833" s="13" t="str">
        <f>IFERROR(__xludf.DUMMYFUNCTION("""COMPUTED_VALUE"""),"")</f>
        <v/>
      </c>
      <c r="O1833" s="13" t="str">
        <f t="shared" si="1"/>
        <v/>
      </c>
    </row>
    <row r="1834" ht="22.5" customHeight="1">
      <c r="B1834" s="13">
        <f>IFERROR(__xludf.DUMMYFUNCTION("""COMPUTED_VALUE"""),1829.0)</f>
        <v>1829</v>
      </c>
      <c r="C1834" s="13" t="str">
        <f>IFERROR(__xludf.DUMMYFUNCTION("""COMPUTED_VALUE"""),"M.1138/PEMATANG WANGI")</f>
        <v>M.1138/PEMATANG WANGI</v>
      </c>
      <c r="D1834" s="13" t="str">
        <f>IFERROR(__xludf.DUMMYFUNCTION("""COMPUTED_VALUE"""),"K/35/210325/1")</f>
        <v>K/35/210325/1</v>
      </c>
      <c r="E1834" s="14" t="str">
        <f>IFERROR(__xludf.DUMMYFUNCTION("""COMPUTED_VALUE"""),"Nadian (BT)")</f>
        <v>Nadian (BT)</v>
      </c>
      <c r="F1834" s="14" t="str">
        <f>IFERROR(__xludf.DUMMYFUNCTION("""COMPUTED_VALUE"""),"SELESAI (VIA PERMOHONAN)")</f>
        <v>SELESAI (VIA PERMOHONAN)</v>
      </c>
      <c r="G1834" s="17">
        <f>IFERROR(__xludf.DUMMYFUNCTION("""COMPUTED_VALUE"""),45770.604606574074)</f>
        <v>45770.60461</v>
      </c>
      <c r="H1834" s="14" t="str">
        <f>IFERROR(__xludf.DUMMYFUNCTION("""COMPUTED_VALUE"""),"Bu Eva (SU)")</f>
        <v>Bu Eva (SU)</v>
      </c>
      <c r="I1834" s="13" t="str">
        <f>IFERROR(__xludf.DUMMYFUNCTION("""COMPUTED_VALUE"""),"SELESAI (VIA PERMOHONAN)")</f>
        <v>SELESAI (VIA PERMOHONAN)</v>
      </c>
      <c r="J1834" s="17">
        <f>IFERROR(__xludf.DUMMYFUNCTION("""COMPUTED_VALUE"""),45772.640886493056)</f>
        <v>45772.64089</v>
      </c>
      <c r="K1834" s="13" t="str">
        <f>IFERROR(__xludf.DUMMYFUNCTION("""COMPUTED_VALUE"""),"Selesai")</f>
        <v>Selesai</v>
      </c>
      <c r="L1834" s="17">
        <f>IFERROR(__xludf.DUMMYFUNCTION("""COMPUTED_VALUE"""),45772.640886493056)</f>
        <v>45772.64089</v>
      </c>
      <c r="M1834" s="13"/>
      <c r="N1834" s="13" t="str">
        <f>IFERROR(__xludf.DUMMYFUNCTION("""COMPUTED_VALUE"""),"")</f>
        <v/>
      </c>
      <c r="O1834" s="13" t="str">
        <f t="shared" si="1"/>
        <v/>
      </c>
    </row>
    <row r="1835" ht="22.5" customHeight="1">
      <c r="B1835" s="13">
        <f>IFERROR(__xludf.DUMMYFUNCTION("""COMPUTED_VALUE"""),1830.0)</f>
        <v>1830</v>
      </c>
      <c r="C1835" s="13" t="str">
        <f>IFERROR(__xludf.DUMMYFUNCTION("""COMPUTED_VALUE"""),"M.1142/PEMATANG WANGI")</f>
        <v>M.1142/PEMATANG WANGI</v>
      </c>
      <c r="D1835" s="13" t="str">
        <f>IFERROR(__xludf.DUMMYFUNCTION("""COMPUTED_VALUE"""),"K/30/180325/1")</f>
        <v>K/30/180325/1</v>
      </c>
      <c r="E1835" s="14" t="str">
        <f>IFERROR(__xludf.DUMMYFUNCTION("""COMPUTED_VALUE"""),"Nadian (BT)")</f>
        <v>Nadian (BT)</v>
      </c>
      <c r="F1835" s="14" t="str">
        <f>IFERROR(__xludf.DUMMYFUNCTION("""COMPUTED_VALUE"""),"SELESAI (VIA PERMOHONAN)")</f>
        <v>SELESAI (VIA PERMOHONAN)</v>
      </c>
      <c r="G1835" s="17">
        <f>IFERROR(__xludf.DUMMYFUNCTION("""COMPUTED_VALUE"""),45770.604606574074)</f>
        <v>45770.60461</v>
      </c>
      <c r="H1835" s="14" t="str">
        <f>IFERROR(__xludf.DUMMYFUNCTION("""COMPUTED_VALUE"""),"Bu Eva (SU)")</f>
        <v>Bu Eva (SU)</v>
      </c>
      <c r="I1835" s="13" t="str">
        <f>IFERROR(__xludf.DUMMYFUNCTION("""COMPUTED_VALUE"""),"SELESAI (VIA PERMOHONAN)")</f>
        <v>SELESAI (VIA PERMOHONAN)</v>
      </c>
      <c r="J1835" s="17">
        <f>IFERROR(__xludf.DUMMYFUNCTION("""COMPUTED_VALUE"""),45772.640886493056)</f>
        <v>45772.64089</v>
      </c>
      <c r="K1835" s="13" t="str">
        <f>IFERROR(__xludf.DUMMYFUNCTION("""COMPUTED_VALUE"""),"Selesai")</f>
        <v>Selesai</v>
      </c>
      <c r="L1835" s="17">
        <f>IFERROR(__xludf.DUMMYFUNCTION("""COMPUTED_VALUE"""),45772.640886493056)</f>
        <v>45772.64089</v>
      </c>
      <c r="M1835" s="13"/>
      <c r="N1835" s="13" t="str">
        <f>IFERROR(__xludf.DUMMYFUNCTION("""COMPUTED_VALUE"""),"")</f>
        <v/>
      </c>
      <c r="O1835" s="13" t="str">
        <f t="shared" si="1"/>
        <v/>
      </c>
    </row>
    <row r="1836" ht="22.5" customHeight="1">
      <c r="B1836" s="13">
        <f>IFERROR(__xludf.DUMMYFUNCTION("""COMPUTED_VALUE"""),1831.0)</f>
        <v>1831</v>
      </c>
      <c r="C1836" s="13" t="str">
        <f>IFERROR(__xludf.DUMMYFUNCTION("""COMPUTED_VALUE"""),"B,897/SUKARAME BARU")</f>
        <v>B,897/SUKARAME BARU</v>
      </c>
      <c r="D1836" s="13" t="str">
        <f>IFERROR(__xludf.DUMMYFUNCTION("""COMPUTED_VALUE"""),"K/10/250325/1")</f>
        <v>K/10/250325/1</v>
      </c>
      <c r="E1836" s="14" t="str">
        <f>IFERROR(__xludf.DUMMYFUNCTION("""COMPUTED_VALUE"""),"Nadian (BT)")</f>
        <v>Nadian (BT)</v>
      </c>
      <c r="F1836" s="14" t="str">
        <f>IFERROR(__xludf.DUMMYFUNCTION("""COMPUTED_VALUE"""),"SELESAI (VIA PERMOHONAN)")</f>
        <v>SELESAI (VIA PERMOHONAN)</v>
      </c>
      <c r="G1836" s="17">
        <f>IFERROR(__xludf.DUMMYFUNCTION("""COMPUTED_VALUE"""),45770.604606574074)</f>
        <v>45770.60461</v>
      </c>
      <c r="H1836" s="14" t="str">
        <f>IFERROR(__xludf.DUMMYFUNCTION("""COMPUTED_VALUE"""),"Bu Eva (SU)")</f>
        <v>Bu Eva (SU)</v>
      </c>
      <c r="I1836" s="13" t="str">
        <f>IFERROR(__xludf.DUMMYFUNCTION("""COMPUTED_VALUE"""),"SELESAI (VIA PERMOHONAN)")</f>
        <v>SELESAI (VIA PERMOHONAN)</v>
      </c>
      <c r="J1836" s="17">
        <f>IFERROR(__xludf.DUMMYFUNCTION("""COMPUTED_VALUE"""),45772.640886504625)</f>
        <v>45772.64089</v>
      </c>
      <c r="K1836" s="13" t="str">
        <f>IFERROR(__xludf.DUMMYFUNCTION("""COMPUTED_VALUE"""),"Selesai")</f>
        <v>Selesai</v>
      </c>
      <c r="L1836" s="17">
        <f>IFERROR(__xludf.DUMMYFUNCTION("""COMPUTED_VALUE"""),45772.640886504625)</f>
        <v>45772.64089</v>
      </c>
      <c r="M1836" s="13"/>
      <c r="N1836" s="13" t="str">
        <f>IFERROR(__xludf.DUMMYFUNCTION("""COMPUTED_VALUE"""),"")</f>
        <v/>
      </c>
      <c r="O1836" s="13" t="str">
        <f t="shared" si="1"/>
        <v/>
      </c>
    </row>
    <row r="1837" ht="22.5" customHeight="1">
      <c r="B1837" s="13">
        <f>IFERROR(__xludf.DUMMYFUNCTION("""COMPUTED_VALUE"""),1832.0)</f>
        <v>1832</v>
      </c>
      <c r="C1837" s="13" t="str">
        <f>IFERROR(__xludf.DUMMYFUNCTION("""COMPUTED_VALUE"""),"M. 1264/ Kali Balau Kencana")</f>
        <v>M. 1264/ Kali Balau Kencana</v>
      </c>
      <c r="D1837" s="13" t="str">
        <f>IFERROR(__xludf.DUMMYFUNCTION("""COMPUTED_VALUE"""),"K/1/090425/1")</f>
        <v>K/1/090425/1</v>
      </c>
      <c r="E1837" s="14" t="str">
        <f>IFERROR(__xludf.DUMMYFUNCTION("""COMPUTED_VALUE"""),"Afriza (BT)")</f>
        <v>Afriza (BT)</v>
      </c>
      <c r="F1837" s="14" t="str">
        <f>IFERROR(__xludf.DUMMYFUNCTION("""COMPUTED_VALUE"""),"SELESAI (VIA PERMOHONAN)")</f>
        <v>SELESAI (VIA PERMOHONAN)</v>
      </c>
      <c r="G1837" s="17">
        <f>IFERROR(__xludf.DUMMYFUNCTION("""COMPUTED_VALUE"""),45771.39537652778)</f>
        <v>45771.39538</v>
      </c>
      <c r="H1837" s="14" t="str">
        <f>IFERROR(__xludf.DUMMYFUNCTION("""COMPUTED_VALUE"""),"Bu Eva (SU)")</f>
        <v>Bu Eva (SU)</v>
      </c>
      <c r="I1837" s="13" t="str">
        <f>IFERROR(__xludf.DUMMYFUNCTION("""COMPUTED_VALUE"""),"SELESAI (VIA PERMOHONAN)")</f>
        <v>SELESAI (VIA PERMOHONAN)</v>
      </c>
      <c r="J1837" s="17">
        <f>IFERROR(__xludf.DUMMYFUNCTION("""COMPUTED_VALUE"""),45772.640886504625)</f>
        <v>45772.64089</v>
      </c>
      <c r="K1837" s="13" t="str">
        <f>IFERROR(__xludf.DUMMYFUNCTION("""COMPUTED_VALUE"""),"Selesai")</f>
        <v>Selesai</v>
      </c>
      <c r="L1837" s="17">
        <f>IFERROR(__xludf.DUMMYFUNCTION("""COMPUTED_VALUE"""),45772.640886504625)</f>
        <v>45772.64089</v>
      </c>
      <c r="M1837" s="13"/>
      <c r="N1837" s="13" t="str">
        <f>IFERROR(__xludf.DUMMYFUNCTION("""COMPUTED_VALUE"""),"")</f>
        <v/>
      </c>
      <c r="O1837" s="13" t="str">
        <f t="shared" si="1"/>
        <v/>
      </c>
    </row>
    <row r="1838" ht="22.5" customHeight="1">
      <c r="B1838" s="13">
        <f>IFERROR(__xludf.DUMMYFUNCTION("""COMPUTED_VALUE"""),1833.0)</f>
        <v>1833</v>
      </c>
      <c r="C1838" s="13" t="str">
        <f>IFERROR(__xludf.DUMMYFUNCTION("""COMPUTED_VALUE"""),"B. 2105/ Way Halim")</f>
        <v>B. 2105/ Way Halim</v>
      </c>
      <c r="D1838" s="13" t="str">
        <f>IFERROR(__xludf.DUMMYFUNCTION("""COMPUTED_VALUE"""),"K/20/110425/2")</f>
        <v>K/20/110425/2</v>
      </c>
      <c r="E1838" s="14" t="str">
        <f>IFERROR(__xludf.DUMMYFUNCTION("""COMPUTED_VALUE"""),"Afriza (BT)")</f>
        <v>Afriza (BT)</v>
      </c>
      <c r="F1838" s="14" t="str">
        <f>IFERROR(__xludf.DUMMYFUNCTION("""COMPUTED_VALUE"""),"SELESAI (VIA PERMOHONAN)")</f>
        <v>SELESAI (VIA PERMOHONAN)</v>
      </c>
      <c r="G1838" s="17">
        <f>IFERROR(__xludf.DUMMYFUNCTION("""COMPUTED_VALUE"""),45771.39547744213)</f>
        <v>45771.39548</v>
      </c>
      <c r="H1838" s="14" t="str">
        <f>IFERROR(__xludf.DUMMYFUNCTION("""COMPUTED_VALUE"""),"Bu Eva (SU)")</f>
        <v>Bu Eva (SU)</v>
      </c>
      <c r="I1838" s="13" t="str">
        <f>IFERROR(__xludf.DUMMYFUNCTION("""COMPUTED_VALUE"""),"SELESAI (VIA PERMOHONAN)")</f>
        <v>SELESAI (VIA PERMOHONAN)</v>
      </c>
      <c r="J1838" s="17">
        <f>IFERROR(__xludf.DUMMYFUNCTION("""COMPUTED_VALUE"""),45772.640886504625)</f>
        <v>45772.64089</v>
      </c>
      <c r="K1838" s="13" t="str">
        <f>IFERROR(__xludf.DUMMYFUNCTION("""COMPUTED_VALUE"""),"Selesai")</f>
        <v>Selesai</v>
      </c>
      <c r="L1838" s="17">
        <f>IFERROR(__xludf.DUMMYFUNCTION("""COMPUTED_VALUE"""),45772.640886504625)</f>
        <v>45772.64089</v>
      </c>
      <c r="M1838" s="13"/>
      <c r="N1838" s="13" t="str">
        <f>IFERROR(__xludf.DUMMYFUNCTION("""COMPUTED_VALUE"""),"")</f>
        <v/>
      </c>
      <c r="O1838" s="13" t="str">
        <f t="shared" si="1"/>
        <v/>
      </c>
    </row>
    <row r="1839" ht="22.5" customHeight="1">
      <c r="B1839" s="13">
        <f>IFERROR(__xludf.DUMMYFUNCTION("""COMPUTED_VALUE"""),1834.0)</f>
        <v>1834</v>
      </c>
      <c r="C1839" s="13" t="str">
        <f>IFERROR(__xludf.DUMMYFUNCTION("""COMPUTED_VALUE"""),"M, 1943/ Sumur Batu")</f>
        <v>M, 1943/ Sumur Batu</v>
      </c>
      <c r="D1839" s="13" t="str">
        <f>IFERROR(__xludf.DUMMYFUNCTION("""COMPUTED_VALUE"""),"K/12/090425/1")</f>
        <v>K/12/090425/1</v>
      </c>
      <c r="E1839" s="14" t="str">
        <f>IFERROR(__xludf.DUMMYFUNCTION("""COMPUTED_VALUE"""),"Afriza (BT)")</f>
        <v>Afriza (BT)</v>
      </c>
      <c r="F1839" s="14" t="str">
        <f>IFERROR(__xludf.DUMMYFUNCTION("""COMPUTED_VALUE"""),"SELESAI (VIA PERMOHONAN)")</f>
        <v>SELESAI (VIA PERMOHONAN)</v>
      </c>
      <c r="G1839" s="17">
        <f>IFERROR(__xludf.DUMMYFUNCTION("""COMPUTED_VALUE"""),45771.39579188658)</f>
        <v>45771.39579</v>
      </c>
      <c r="H1839" s="14" t="str">
        <f>IFERROR(__xludf.DUMMYFUNCTION("""COMPUTED_VALUE"""),"Bu Eva (SU)")</f>
        <v>Bu Eva (SU)</v>
      </c>
      <c r="I1839" s="13" t="str">
        <f>IFERROR(__xludf.DUMMYFUNCTION("""COMPUTED_VALUE"""),"SELESAI (VIA PERMOHONAN)")</f>
        <v>SELESAI (VIA PERMOHONAN)</v>
      </c>
      <c r="J1839" s="17">
        <f>IFERROR(__xludf.DUMMYFUNCTION("""COMPUTED_VALUE"""),45772.640886504625)</f>
        <v>45772.64089</v>
      </c>
      <c r="K1839" s="13" t="str">
        <f>IFERROR(__xludf.DUMMYFUNCTION("""COMPUTED_VALUE"""),"Selesai")</f>
        <v>Selesai</v>
      </c>
      <c r="L1839" s="17">
        <f>IFERROR(__xludf.DUMMYFUNCTION("""COMPUTED_VALUE"""),45772.640886504625)</f>
        <v>45772.64089</v>
      </c>
      <c r="M1839" s="13"/>
      <c r="N1839" s="13" t="str">
        <f>IFERROR(__xludf.DUMMYFUNCTION("""COMPUTED_VALUE"""),"")</f>
        <v/>
      </c>
      <c r="O1839" s="13" t="str">
        <f t="shared" si="1"/>
        <v/>
      </c>
    </row>
    <row r="1840" ht="22.5" customHeight="1">
      <c r="B1840" s="13">
        <f>IFERROR(__xludf.DUMMYFUNCTION("""COMPUTED_VALUE"""),1835.0)</f>
        <v>1835</v>
      </c>
      <c r="C1840" s="13" t="str">
        <f>IFERROR(__xludf.DUMMYFUNCTION("""COMPUTED_VALUE"""),"M. 403/ Gulak Galik")</f>
        <v>M. 403/ Gulak Galik</v>
      </c>
      <c r="D1840" s="13" t="str">
        <f>IFERROR(__xludf.DUMMYFUNCTION("""COMPUTED_VALUE"""),"K/26/100425/2")</f>
        <v>K/26/100425/2</v>
      </c>
      <c r="E1840" s="14" t="str">
        <f>IFERROR(__xludf.DUMMYFUNCTION("""COMPUTED_VALUE"""),"Afriza (BT)")</f>
        <v>Afriza (BT)</v>
      </c>
      <c r="F1840" s="14" t="str">
        <f>IFERROR(__xludf.DUMMYFUNCTION("""COMPUTED_VALUE"""),"SELESAI (VIA PERMOHONAN)")</f>
        <v>SELESAI (VIA PERMOHONAN)</v>
      </c>
      <c r="G1840" s="17">
        <f>IFERROR(__xludf.DUMMYFUNCTION("""COMPUTED_VALUE"""),45771.39590145834)</f>
        <v>45771.3959</v>
      </c>
      <c r="H1840" s="14" t="str">
        <f>IFERROR(__xludf.DUMMYFUNCTION("""COMPUTED_VALUE"""),"Bu Eva (SU)")</f>
        <v>Bu Eva (SU)</v>
      </c>
      <c r="I1840" s="13" t="str">
        <f>IFERROR(__xludf.DUMMYFUNCTION("""COMPUTED_VALUE"""),"SELESAI (VIA PERMOHONAN)")</f>
        <v>SELESAI (VIA PERMOHONAN)</v>
      </c>
      <c r="J1840" s="17">
        <f>IFERROR(__xludf.DUMMYFUNCTION("""COMPUTED_VALUE"""),45772.640886504625)</f>
        <v>45772.64089</v>
      </c>
      <c r="K1840" s="13" t="str">
        <f>IFERROR(__xludf.DUMMYFUNCTION("""COMPUTED_VALUE"""),"Selesai")</f>
        <v>Selesai</v>
      </c>
      <c r="L1840" s="17">
        <f>IFERROR(__xludf.DUMMYFUNCTION("""COMPUTED_VALUE"""),45772.640886504625)</f>
        <v>45772.64089</v>
      </c>
      <c r="M1840" s="13"/>
      <c r="N1840" s="13" t="str">
        <f>IFERROR(__xludf.DUMMYFUNCTION("""COMPUTED_VALUE"""),"")</f>
        <v/>
      </c>
      <c r="O1840" s="13" t="str">
        <f t="shared" si="1"/>
        <v/>
      </c>
    </row>
    <row r="1841" ht="22.5" customHeight="1">
      <c r="B1841" s="13">
        <f>IFERROR(__xludf.DUMMYFUNCTION("""COMPUTED_VALUE"""),1836.0)</f>
        <v>1836</v>
      </c>
      <c r="C1841" s="13" t="str">
        <f>IFERROR(__xludf.DUMMYFUNCTION("""COMPUTED_VALUE"""),"M. 338/ Kangkung")</f>
        <v>M. 338/ Kangkung</v>
      </c>
      <c r="D1841" s="13" t="str">
        <f>IFERROR(__xludf.DUMMYFUNCTION("""COMPUTED_VALUE"""),"K/10/110425/1")</f>
        <v>K/10/110425/1</v>
      </c>
      <c r="E1841" s="14" t="str">
        <f>IFERROR(__xludf.DUMMYFUNCTION("""COMPUTED_VALUE"""),"Afriza (BT)")</f>
        <v>Afriza (BT)</v>
      </c>
      <c r="F1841" s="14" t="str">
        <f>IFERROR(__xludf.DUMMYFUNCTION("""COMPUTED_VALUE"""),"SELESAI (VIA PERMOHONAN)")</f>
        <v>SELESAI (VIA PERMOHONAN)</v>
      </c>
      <c r="G1841" s="17">
        <f>IFERROR(__xludf.DUMMYFUNCTION("""COMPUTED_VALUE"""),45771.39603527778)</f>
        <v>45771.39604</v>
      </c>
      <c r="H1841" s="14" t="str">
        <f>IFERROR(__xludf.DUMMYFUNCTION("""COMPUTED_VALUE"""),"Bu Eva (SU)")</f>
        <v>Bu Eva (SU)</v>
      </c>
      <c r="I1841" s="13" t="str">
        <f>IFERROR(__xludf.DUMMYFUNCTION("""COMPUTED_VALUE"""),"SELESAI (VIA PERMOHONAN)")</f>
        <v>SELESAI (VIA PERMOHONAN)</v>
      </c>
      <c r="J1841" s="17">
        <f>IFERROR(__xludf.DUMMYFUNCTION("""COMPUTED_VALUE"""),45772.640886504625)</f>
        <v>45772.64089</v>
      </c>
      <c r="K1841" s="13" t="str">
        <f>IFERROR(__xludf.DUMMYFUNCTION("""COMPUTED_VALUE"""),"Selesai")</f>
        <v>Selesai</v>
      </c>
      <c r="L1841" s="17">
        <f>IFERROR(__xludf.DUMMYFUNCTION("""COMPUTED_VALUE"""),45772.640886504625)</f>
        <v>45772.64089</v>
      </c>
      <c r="M1841" s="13"/>
      <c r="N1841" s="13" t="str">
        <f>IFERROR(__xludf.DUMMYFUNCTION("""COMPUTED_VALUE"""),"")</f>
        <v/>
      </c>
      <c r="O1841" s="13" t="str">
        <f t="shared" si="1"/>
        <v/>
      </c>
    </row>
    <row r="1842" ht="22.5" customHeight="1">
      <c r="B1842" s="13">
        <f>IFERROR(__xludf.DUMMYFUNCTION("""COMPUTED_VALUE"""),1837.0)</f>
        <v>1837</v>
      </c>
      <c r="C1842" s="13" t="str">
        <f>IFERROR(__xludf.DUMMYFUNCTION("""COMPUTED_VALUE"""),"M. 14142/ Labuhan Ratu")</f>
        <v>M. 14142/ Labuhan Ratu</v>
      </c>
      <c r="D1842" s="13" t="str">
        <f>IFERROR(__xludf.DUMMYFUNCTION("""COMPUTED_VALUE"""),"K/11/060325/3")</f>
        <v>K/11/060325/3</v>
      </c>
      <c r="E1842" s="14" t="str">
        <f>IFERROR(__xludf.DUMMYFUNCTION("""COMPUTED_VALUE"""),"Afriza (BT)")</f>
        <v>Afriza (BT)</v>
      </c>
      <c r="F1842" s="14" t="str">
        <f>IFERROR(__xludf.DUMMYFUNCTION("""COMPUTED_VALUE"""),"SELESAI (VIA PERMOHONAN)")</f>
        <v>SELESAI (VIA PERMOHONAN)</v>
      </c>
      <c r="G1842" s="17">
        <f>IFERROR(__xludf.DUMMYFUNCTION("""COMPUTED_VALUE"""),45771.39614369213)</f>
        <v>45771.39614</v>
      </c>
      <c r="H1842" s="14" t="str">
        <f>IFERROR(__xludf.DUMMYFUNCTION("""COMPUTED_VALUE"""),"Bu Eva (SU)")</f>
        <v>Bu Eva (SU)</v>
      </c>
      <c r="I1842" s="13" t="str">
        <f>IFERROR(__xludf.DUMMYFUNCTION("""COMPUTED_VALUE"""),"SELESAI (VIA PERMOHONAN)")</f>
        <v>SELESAI (VIA PERMOHONAN)</v>
      </c>
      <c r="J1842" s="17">
        <f>IFERROR(__xludf.DUMMYFUNCTION("""COMPUTED_VALUE"""),45772.6411224537)</f>
        <v>45772.64112</v>
      </c>
      <c r="K1842" s="13" t="str">
        <f>IFERROR(__xludf.DUMMYFUNCTION("""COMPUTED_VALUE"""),"Selesai")</f>
        <v>Selesai</v>
      </c>
      <c r="L1842" s="17">
        <f>IFERROR(__xludf.DUMMYFUNCTION("""COMPUTED_VALUE"""),45772.6411224537)</f>
        <v>45772.64112</v>
      </c>
      <c r="M1842" s="13"/>
      <c r="N1842" s="13" t="str">
        <f>IFERROR(__xludf.DUMMYFUNCTION("""COMPUTED_VALUE"""),"")</f>
        <v/>
      </c>
      <c r="O1842" s="13" t="str">
        <f t="shared" si="1"/>
        <v/>
      </c>
    </row>
    <row r="1843" ht="22.5" customHeight="1">
      <c r="B1843" s="13">
        <f>IFERROR(__xludf.DUMMYFUNCTION("""COMPUTED_VALUE"""),1838.0)</f>
        <v>1838</v>
      </c>
      <c r="C1843" s="13" t="str">
        <f>IFERROR(__xludf.DUMMYFUNCTION("""COMPUTED_VALUE"""),"M. 07/ Korpri Jaya")</f>
        <v>M. 07/ Korpri Jaya</v>
      </c>
      <c r="D1843" s="13" t="str">
        <f>IFERROR(__xludf.DUMMYFUNCTION("""COMPUTED_VALUE"""),"K/38/250225/2")</f>
        <v>K/38/250225/2</v>
      </c>
      <c r="E1843" s="14" t="str">
        <f>IFERROR(__xludf.DUMMYFUNCTION("""COMPUTED_VALUE"""),"Afriza (BT)")</f>
        <v>Afriza (BT)</v>
      </c>
      <c r="F1843" s="14" t="str">
        <f>IFERROR(__xludf.DUMMYFUNCTION("""COMPUTED_VALUE"""),"SELESAI (VIA PERMOHONAN)")</f>
        <v>SELESAI (VIA PERMOHONAN)</v>
      </c>
      <c r="G1843" s="17">
        <f>IFERROR(__xludf.DUMMYFUNCTION("""COMPUTED_VALUE"""),45771.3962322338)</f>
        <v>45771.39623</v>
      </c>
      <c r="H1843" s="14" t="str">
        <f>IFERROR(__xludf.DUMMYFUNCTION("""COMPUTED_VALUE"""),"Bu Eva (SU)")</f>
        <v>Bu Eva (SU)</v>
      </c>
      <c r="I1843" s="13" t="str">
        <f>IFERROR(__xludf.DUMMYFUNCTION("""COMPUTED_VALUE"""),"SELESAI (VIA PERMOHONAN)")</f>
        <v>SELESAI (VIA PERMOHONAN)</v>
      </c>
      <c r="J1843" s="17">
        <f>IFERROR(__xludf.DUMMYFUNCTION("""COMPUTED_VALUE"""),45772.64112246528)</f>
        <v>45772.64112</v>
      </c>
      <c r="K1843" s="13" t="str">
        <f>IFERROR(__xludf.DUMMYFUNCTION("""COMPUTED_VALUE"""),"Selesai")</f>
        <v>Selesai</v>
      </c>
      <c r="L1843" s="17">
        <f>IFERROR(__xludf.DUMMYFUNCTION("""COMPUTED_VALUE"""),45772.64112246528)</f>
        <v>45772.64112</v>
      </c>
      <c r="M1843" s="13"/>
      <c r="N1843" s="13" t="str">
        <f>IFERROR(__xludf.DUMMYFUNCTION("""COMPUTED_VALUE"""),"")</f>
        <v/>
      </c>
      <c r="O1843" s="13" t="str">
        <f t="shared" si="1"/>
        <v/>
      </c>
    </row>
    <row r="1844" ht="22.5" customHeight="1">
      <c r="B1844" s="13">
        <f>IFERROR(__xludf.DUMMYFUNCTION("""COMPUTED_VALUE"""),1839.0)</f>
        <v>1839</v>
      </c>
      <c r="C1844" s="13" t="str">
        <f>IFERROR(__xludf.DUMMYFUNCTION("""COMPUTED_VALUE"""),"M. 583/ Korpri Jaya")</f>
        <v>M. 583/ Korpri Jaya</v>
      </c>
      <c r="D1844" s="13" t="str">
        <f>IFERROR(__xludf.DUMMYFUNCTION("""COMPUTED_VALUE"""),"K/14/250325/1")</f>
        <v>K/14/250325/1</v>
      </c>
      <c r="E1844" s="14" t="str">
        <f>IFERROR(__xludf.DUMMYFUNCTION("""COMPUTED_VALUE"""),"Afriza (BT)")</f>
        <v>Afriza (BT)</v>
      </c>
      <c r="F1844" s="14" t="str">
        <f>IFERROR(__xludf.DUMMYFUNCTION("""COMPUTED_VALUE"""),"SELESAI (VIA PERMOHONAN)")</f>
        <v>SELESAI (VIA PERMOHONAN)</v>
      </c>
      <c r="G1844" s="17">
        <f>IFERROR(__xludf.DUMMYFUNCTION("""COMPUTED_VALUE"""),45771.39639618056)</f>
        <v>45771.3964</v>
      </c>
      <c r="H1844" s="14" t="str">
        <f>IFERROR(__xludf.DUMMYFUNCTION("""COMPUTED_VALUE"""),"Bu Eva (SU)")</f>
        <v>Bu Eva (SU)</v>
      </c>
      <c r="I1844" s="13" t="str">
        <f>IFERROR(__xludf.DUMMYFUNCTION("""COMPUTED_VALUE"""),"SELESAI (VIA PERMOHONAN)")</f>
        <v>SELESAI (VIA PERMOHONAN)</v>
      </c>
      <c r="J1844" s="17">
        <f>IFERROR(__xludf.DUMMYFUNCTION("""COMPUTED_VALUE"""),45772.64112246528)</f>
        <v>45772.64112</v>
      </c>
      <c r="K1844" s="13" t="str">
        <f>IFERROR(__xludf.DUMMYFUNCTION("""COMPUTED_VALUE"""),"Selesai")</f>
        <v>Selesai</v>
      </c>
      <c r="L1844" s="17">
        <f>IFERROR(__xludf.DUMMYFUNCTION("""COMPUTED_VALUE"""),45772.64112246528)</f>
        <v>45772.64112</v>
      </c>
      <c r="M1844" s="13"/>
      <c r="N1844" s="13" t="str">
        <f>IFERROR(__xludf.DUMMYFUNCTION("""COMPUTED_VALUE"""),"")</f>
        <v/>
      </c>
      <c r="O1844" s="13" t="str">
        <f t="shared" si="1"/>
        <v/>
      </c>
    </row>
    <row r="1845" ht="22.5" customHeight="1">
      <c r="B1845" s="13">
        <f>IFERROR(__xludf.DUMMYFUNCTION("""COMPUTED_VALUE"""),1840.0)</f>
        <v>1840</v>
      </c>
      <c r="C1845" s="13" t="str">
        <f>IFERROR(__xludf.DUMMYFUNCTION("""COMPUTED_VALUE"""),"M. 1944/ Sumur Batu")</f>
        <v>M. 1944/ Sumur Batu</v>
      </c>
      <c r="D1845" s="13" t="str">
        <f>IFERROR(__xludf.DUMMYFUNCTION("""COMPUTED_VALUE"""),"K/13/090425/2")</f>
        <v>K/13/090425/2</v>
      </c>
      <c r="E1845" s="14" t="str">
        <f>IFERROR(__xludf.DUMMYFUNCTION("""COMPUTED_VALUE"""),"Afriza (BT)")</f>
        <v>Afriza (BT)</v>
      </c>
      <c r="F1845" s="14" t="str">
        <f>IFERROR(__xludf.DUMMYFUNCTION("""COMPUTED_VALUE"""),"SELESAI (VIA PERMOHONAN)")</f>
        <v>SELESAI (VIA PERMOHONAN)</v>
      </c>
      <c r="G1845" s="17">
        <f>IFERROR(__xludf.DUMMYFUNCTION("""COMPUTED_VALUE"""),45771.39652609953)</f>
        <v>45771.39653</v>
      </c>
      <c r="H1845" s="14" t="str">
        <f>IFERROR(__xludf.DUMMYFUNCTION("""COMPUTED_VALUE"""),"Bu Eva (SU)")</f>
        <v>Bu Eva (SU)</v>
      </c>
      <c r="I1845" s="13" t="str">
        <f>IFERROR(__xludf.DUMMYFUNCTION("""COMPUTED_VALUE"""),"SELESAI (VIA PERMOHONAN)")</f>
        <v>SELESAI (VIA PERMOHONAN)</v>
      </c>
      <c r="J1845" s="17">
        <f>IFERROR(__xludf.DUMMYFUNCTION("""COMPUTED_VALUE"""),45772.64112246528)</f>
        <v>45772.64112</v>
      </c>
      <c r="K1845" s="13" t="str">
        <f>IFERROR(__xludf.DUMMYFUNCTION("""COMPUTED_VALUE"""),"Selesai")</f>
        <v>Selesai</v>
      </c>
      <c r="L1845" s="17">
        <f>IFERROR(__xludf.DUMMYFUNCTION("""COMPUTED_VALUE"""),45772.64112246528)</f>
        <v>45772.64112</v>
      </c>
      <c r="M1845" s="13"/>
      <c r="N1845" s="13" t="str">
        <f>IFERROR(__xludf.DUMMYFUNCTION("""COMPUTED_VALUE"""),"")</f>
        <v/>
      </c>
      <c r="O1845" s="13" t="str">
        <f t="shared" si="1"/>
        <v/>
      </c>
    </row>
    <row r="1846" ht="22.5" customHeight="1">
      <c r="B1846" s="13">
        <f>IFERROR(__xludf.DUMMYFUNCTION("""COMPUTED_VALUE"""),1841.0)</f>
        <v>1841</v>
      </c>
      <c r="C1846" s="13" t="str">
        <f>IFERROR(__xludf.DUMMYFUNCTION("""COMPUTED_VALUE"""),"M. 2625/ Pinang Jaya")</f>
        <v>M. 2625/ Pinang Jaya</v>
      </c>
      <c r="D1846" s="13" t="str">
        <f>IFERROR(__xludf.DUMMYFUNCTION("""COMPUTED_VALUE"""),"K/11/210325/1")</f>
        <v>K/11/210325/1</v>
      </c>
      <c r="E1846" s="14" t="str">
        <f>IFERROR(__xludf.DUMMYFUNCTION("""COMPUTED_VALUE"""),"Afriza (BT)")</f>
        <v>Afriza (BT)</v>
      </c>
      <c r="F1846" s="14" t="str">
        <f>IFERROR(__xludf.DUMMYFUNCTION("""COMPUTED_VALUE"""),"SELESAI (VIA PERMOHONAN)")</f>
        <v>SELESAI (VIA PERMOHONAN)</v>
      </c>
      <c r="G1846" s="17">
        <f>IFERROR(__xludf.DUMMYFUNCTION("""COMPUTED_VALUE"""),45771.3966072801)</f>
        <v>45771.39661</v>
      </c>
      <c r="H1846" s="14" t="str">
        <f>IFERROR(__xludf.DUMMYFUNCTION("""COMPUTED_VALUE"""),"Bu Eva (SU)")</f>
        <v>Bu Eva (SU)</v>
      </c>
      <c r="I1846" s="13" t="str">
        <f>IFERROR(__xludf.DUMMYFUNCTION("""COMPUTED_VALUE"""),"SELESAI (VIA PERMOHONAN)")</f>
        <v>SELESAI (VIA PERMOHONAN)</v>
      </c>
      <c r="J1846" s="17">
        <f>IFERROR(__xludf.DUMMYFUNCTION("""COMPUTED_VALUE"""),45772.64112246528)</f>
        <v>45772.64112</v>
      </c>
      <c r="K1846" s="13" t="str">
        <f>IFERROR(__xludf.DUMMYFUNCTION("""COMPUTED_VALUE"""),"Selesai")</f>
        <v>Selesai</v>
      </c>
      <c r="L1846" s="17">
        <f>IFERROR(__xludf.DUMMYFUNCTION("""COMPUTED_VALUE"""),45772.64112246528)</f>
        <v>45772.64112</v>
      </c>
      <c r="M1846" s="13"/>
      <c r="N1846" s="13" t="str">
        <f>IFERROR(__xludf.DUMMYFUNCTION("""COMPUTED_VALUE"""),"")</f>
        <v/>
      </c>
      <c r="O1846" s="13" t="str">
        <f t="shared" si="1"/>
        <v/>
      </c>
    </row>
    <row r="1847" ht="22.5" customHeight="1">
      <c r="B1847" s="13">
        <f>IFERROR(__xludf.DUMMYFUNCTION("""COMPUTED_VALUE"""),1842.0)</f>
        <v>1842</v>
      </c>
      <c r="C1847" s="13" t="str">
        <f>IFERROR(__xludf.DUMMYFUNCTION("""COMPUTED_VALUE"""),"M. 1658/ Kemiling Permai")</f>
        <v>M. 1658/ Kemiling Permai</v>
      </c>
      <c r="D1847" s="13" t="str">
        <f>IFERROR(__xludf.DUMMYFUNCTION("""COMPUTED_VALUE"""),"K/28/240325/1")</f>
        <v>K/28/240325/1</v>
      </c>
      <c r="E1847" s="14" t="str">
        <f>IFERROR(__xludf.DUMMYFUNCTION("""COMPUTED_VALUE"""),"Afriza (BT)")</f>
        <v>Afriza (BT)</v>
      </c>
      <c r="F1847" s="14" t="str">
        <f>IFERROR(__xludf.DUMMYFUNCTION("""COMPUTED_VALUE"""),"SELESAI (VIA PERMOHONAN)")</f>
        <v>SELESAI (VIA PERMOHONAN)</v>
      </c>
      <c r="G1847" s="17">
        <f>IFERROR(__xludf.DUMMYFUNCTION("""COMPUTED_VALUE"""),45771.396837002314)</f>
        <v>45771.39684</v>
      </c>
      <c r="H1847" s="14" t="str">
        <f>IFERROR(__xludf.DUMMYFUNCTION("""COMPUTED_VALUE"""),"Bu Eva (SU)")</f>
        <v>Bu Eva (SU)</v>
      </c>
      <c r="I1847" s="13" t="str">
        <f>IFERROR(__xludf.DUMMYFUNCTION("""COMPUTED_VALUE"""),"SELESAI (VIA PERMOHONAN)")</f>
        <v>SELESAI (VIA PERMOHONAN)</v>
      </c>
      <c r="J1847" s="17">
        <f>IFERROR(__xludf.DUMMYFUNCTION("""COMPUTED_VALUE"""),45772.64112246528)</f>
        <v>45772.64112</v>
      </c>
      <c r="K1847" s="13" t="str">
        <f>IFERROR(__xludf.DUMMYFUNCTION("""COMPUTED_VALUE"""),"Selesai")</f>
        <v>Selesai</v>
      </c>
      <c r="L1847" s="17">
        <f>IFERROR(__xludf.DUMMYFUNCTION("""COMPUTED_VALUE"""),45772.64112246528)</f>
        <v>45772.64112</v>
      </c>
      <c r="M1847" s="13"/>
      <c r="N1847" s="13" t="str">
        <f>IFERROR(__xludf.DUMMYFUNCTION("""COMPUTED_VALUE"""),"")</f>
        <v/>
      </c>
      <c r="O1847" s="13" t="str">
        <f t="shared" si="1"/>
        <v/>
      </c>
    </row>
    <row r="1848" ht="22.5" customHeight="1">
      <c r="B1848" s="13">
        <f>IFERROR(__xludf.DUMMYFUNCTION("""COMPUTED_VALUE"""),1843.0)</f>
        <v>1843</v>
      </c>
      <c r="C1848" s="13" t="str">
        <f>IFERROR(__xludf.DUMMYFUNCTION("""COMPUTED_VALUE"""),"M. 1618/ Gunung Terang")</f>
        <v>M. 1618/ Gunung Terang</v>
      </c>
      <c r="D1848" s="13" t="str">
        <f>IFERROR(__xludf.DUMMYFUNCTION("""COMPUTED_VALUE"""),"K/11/270325/1")</f>
        <v>K/11/270325/1</v>
      </c>
      <c r="E1848" s="14" t="str">
        <f>IFERROR(__xludf.DUMMYFUNCTION("""COMPUTED_VALUE"""),"Afriza (BT)")</f>
        <v>Afriza (BT)</v>
      </c>
      <c r="F1848" s="14" t="str">
        <f>IFERROR(__xludf.DUMMYFUNCTION("""COMPUTED_VALUE"""),"SELESAI (VIA PERMOHONAN)")</f>
        <v>SELESAI (VIA PERMOHONAN)</v>
      </c>
      <c r="G1848" s="17">
        <f>IFERROR(__xludf.DUMMYFUNCTION("""COMPUTED_VALUE"""),45771.405050625)</f>
        <v>45771.40505</v>
      </c>
      <c r="H1848" s="14" t="str">
        <f>IFERROR(__xludf.DUMMYFUNCTION("""COMPUTED_VALUE"""),"Bu Eva (SU)")</f>
        <v>Bu Eva (SU)</v>
      </c>
      <c r="I1848" s="13" t="str">
        <f>IFERROR(__xludf.DUMMYFUNCTION("""COMPUTED_VALUE"""),"SELESAI (VIA PERMOHONAN)")</f>
        <v>SELESAI (VIA PERMOHONAN)</v>
      </c>
      <c r="J1848" s="17">
        <f>IFERROR(__xludf.DUMMYFUNCTION("""COMPUTED_VALUE"""),45772.64112246528)</f>
        <v>45772.64112</v>
      </c>
      <c r="K1848" s="13" t="str">
        <f>IFERROR(__xludf.DUMMYFUNCTION("""COMPUTED_VALUE"""),"Selesai")</f>
        <v>Selesai</v>
      </c>
      <c r="L1848" s="17">
        <f>IFERROR(__xludf.DUMMYFUNCTION("""COMPUTED_VALUE"""),45772.64112246528)</f>
        <v>45772.64112</v>
      </c>
      <c r="M1848" s="13"/>
      <c r="N1848" s="13" t="str">
        <f>IFERROR(__xludf.DUMMYFUNCTION("""COMPUTED_VALUE"""),"")</f>
        <v/>
      </c>
      <c r="O1848" s="13" t="str">
        <f t="shared" si="1"/>
        <v/>
      </c>
    </row>
    <row r="1849" ht="22.5" customHeight="1">
      <c r="B1849" s="13">
        <f>IFERROR(__xludf.DUMMYFUNCTION("""COMPUTED_VALUE"""),1844.0)</f>
        <v>1844</v>
      </c>
      <c r="C1849" s="13" t="str">
        <f>IFERROR(__xludf.DUMMYFUNCTION("""COMPUTED_VALUE"""),"HM 1373/GUNUNG SULAH")</f>
        <v>HM 1373/GUNUNG SULAH</v>
      </c>
      <c r="D1849" s="13" t="str">
        <f>IFERROR(__xludf.DUMMYFUNCTION("""COMPUTED_VALUE"""),"L/34/210325/1")</f>
        <v>L/34/210325/1</v>
      </c>
      <c r="E1849" s="14" t="str">
        <f>IFERROR(__xludf.DUMMYFUNCTION("""COMPUTED_VALUE"""),"Afriza (BT)")</f>
        <v>Afriza (BT)</v>
      </c>
      <c r="F1849" s="14" t="str">
        <f>IFERROR(__xludf.DUMMYFUNCTION("""COMPUTED_VALUE"""),"SELESAI (VIA PERMOHONAN)")</f>
        <v>SELESAI (VIA PERMOHONAN)</v>
      </c>
      <c r="G1849" s="17">
        <f>IFERROR(__xludf.DUMMYFUNCTION("""COMPUTED_VALUE"""),45771.405190694444)</f>
        <v>45771.40519</v>
      </c>
      <c r="H1849" s="14" t="str">
        <f>IFERROR(__xludf.DUMMYFUNCTION("""COMPUTED_VALUE"""),"Bu Eva (SU)")</f>
        <v>Bu Eva (SU)</v>
      </c>
      <c r="I1849" s="13" t="str">
        <f>IFERROR(__xludf.DUMMYFUNCTION("""COMPUTED_VALUE"""),"SELESAI (VIA PERMOHONAN)")</f>
        <v>SELESAI (VIA PERMOHONAN)</v>
      </c>
      <c r="J1849" s="17">
        <f>IFERROR(__xludf.DUMMYFUNCTION("""COMPUTED_VALUE"""),45772.64112246528)</f>
        <v>45772.64112</v>
      </c>
      <c r="K1849" s="13" t="str">
        <f>IFERROR(__xludf.DUMMYFUNCTION("""COMPUTED_VALUE"""),"Selesai")</f>
        <v>Selesai</v>
      </c>
      <c r="L1849" s="17">
        <f>IFERROR(__xludf.DUMMYFUNCTION("""COMPUTED_VALUE"""),45772.64112246528)</f>
        <v>45772.64112</v>
      </c>
      <c r="M1849" s="13"/>
      <c r="N1849" s="13" t="str">
        <f>IFERROR(__xludf.DUMMYFUNCTION("""COMPUTED_VALUE"""),"")</f>
        <v/>
      </c>
      <c r="O1849" s="13" t="str">
        <f t="shared" si="1"/>
        <v/>
      </c>
    </row>
    <row r="1850" ht="22.5" customHeight="1">
      <c r="B1850" s="13">
        <f>IFERROR(__xludf.DUMMYFUNCTION("""COMPUTED_VALUE"""),1845.0)</f>
        <v>1845</v>
      </c>
      <c r="C1850" s="13" t="str">
        <f>IFERROR(__xludf.DUMMYFUNCTION("""COMPUTED_VALUE"""),"HM 2926/TANJUNG SENANG")</f>
        <v>HM 2926/TANJUNG SENANG</v>
      </c>
      <c r="D1850" s="13" t="str">
        <f>IFERROR(__xludf.DUMMYFUNCTION("""COMPUTED_VALUE"""),"L/19/190325/1")</f>
        <v>L/19/190325/1</v>
      </c>
      <c r="E1850" s="14" t="str">
        <f>IFERROR(__xludf.DUMMYFUNCTION("""COMPUTED_VALUE"""),"Afriza (BT)")</f>
        <v>Afriza (BT)</v>
      </c>
      <c r="F1850" s="14" t="str">
        <f>IFERROR(__xludf.DUMMYFUNCTION("""COMPUTED_VALUE"""),"SELESAI (VIA PERMOHONAN)")</f>
        <v>SELESAI (VIA PERMOHONAN)</v>
      </c>
      <c r="G1850" s="17">
        <f>IFERROR(__xludf.DUMMYFUNCTION("""COMPUTED_VALUE"""),45771.42400033565)</f>
        <v>45771.424</v>
      </c>
      <c r="H1850" s="14" t="str">
        <f>IFERROR(__xludf.DUMMYFUNCTION("""COMPUTED_VALUE"""),"Bu Eva (SU)")</f>
        <v>Bu Eva (SU)</v>
      </c>
      <c r="I1850" s="13" t="str">
        <f>IFERROR(__xludf.DUMMYFUNCTION("""COMPUTED_VALUE"""),"SELESAI (VIA PERMOHONAN)")</f>
        <v>SELESAI (VIA PERMOHONAN)</v>
      </c>
      <c r="J1850" s="17">
        <f>IFERROR(__xludf.DUMMYFUNCTION("""COMPUTED_VALUE"""),45772.64121108796)</f>
        <v>45772.64121</v>
      </c>
      <c r="K1850" s="13" t="str">
        <f>IFERROR(__xludf.DUMMYFUNCTION("""COMPUTED_VALUE"""),"Selesai")</f>
        <v>Selesai</v>
      </c>
      <c r="L1850" s="17">
        <f>IFERROR(__xludf.DUMMYFUNCTION("""COMPUTED_VALUE"""),45772.64121108796)</f>
        <v>45772.64121</v>
      </c>
      <c r="M1850" s="13"/>
      <c r="N1850" s="13" t="str">
        <f>IFERROR(__xludf.DUMMYFUNCTION("""COMPUTED_VALUE"""),"")</f>
        <v/>
      </c>
      <c r="O1850" s="13" t="str">
        <f t="shared" si="1"/>
        <v/>
      </c>
    </row>
    <row r="1851" ht="22.5" customHeight="1">
      <c r="B1851" s="13">
        <f>IFERROR(__xludf.DUMMYFUNCTION("""COMPUTED_VALUE"""),1846.0)</f>
        <v>1846</v>
      </c>
      <c r="C1851" s="13" t="str">
        <f>IFERROR(__xludf.DUMMYFUNCTION("""COMPUTED_VALUE"""),"HM 4437/BERINGIN RAYA")</f>
        <v>HM 4437/BERINGIN RAYA</v>
      </c>
      <c r="D1851" s="13" t="str">
        <f>IFERROR(__xludf.DUMMYFUNCTION("""COMPUTED_VALUE"""),"L/7/270325/1")</f>
        <v>L/7/270325/1</v>
      </c>
      <c r="E1851" s="14" t="str">
        <f>IFERROR(__xludf.DUMMYFUNCTION("""COMPUTED_VALUE"""),"Afriza (BT)")</f>
        <v>Afriza (BT)</v>
      </c>
      <c r="F1851" s="14" t="str">
        <f>IFERROR(__xludf.DUMMYFUNCTION("""COMPUTED_VALUE"""),"SELESAI (VIA PERMOHONAN)")</f>
        <v>SELESAI (VIA PERMOHONAN)</v>
      </c>
      <c r="G1851" s="17">
        <f>IFERROR(__xludf.DUMMYFUNCTION("""COMPUTED_VALUE"""),45771.42454180555)</f>
        <v>45771.42454</v>
      </c>
      <c r="H1851" s="14" t="str">
        <f>IFERROR(__xludf.DUMMYFUNCTION("""COMPUTED_VALUE"""),"Bu Eva (SU)")</f>
        <v>Bu Eva (SU)</v>
      </c>
      <c r="I1851" s="13" t="str">
        <f>IFERROR(__xludf.DUMMYFUNCTION("""COMPUTED_VALUE"""),"SELESAI (VIA PERMOHONAN)")</f>
        <v>SELESAI (VIA PERMOHONAN)</v>
      </c>
      <c r="J1851" s="17">
        <f>IFERROR(__xludf.DUMMYFUNCTION("""COMPUTED_VALUE"""),45772.64123313657)</f>
        <v>45772.64123</v>
      </c>
      <c r="K1851" s="13" t="str">
        <f>IFERROR(__xludf.DUMMYFUNCTION("""COMPUTED_VALUE"""),"Selesai")</f>
        <v>Selesai</v>
      </c>
      <c r="L1851" s="17">
        <f>IFERROR(__xludf.DUMMYFUNCTION("""COMPUTED_VALUE"""),45772.64123313657)</f>
        <v>45772.64123</v>
      </c>
      <c r="M1851" s="13"/>
      <c r="N1851" s="13" t="str">
        <f>IFERROR(__xludf.DUMMYFUNCTION("""COMPUTED_VALUE"""),"")</f>
        <v/>
      </c>
      <c r="O1851" s="13" t="str">
        <f t="shared" si="1"/>
        <v/>
      </c>
    </row>
    <row r="1852" ht="22.5" customHeight="1">
      <c r="B1852" s="13">
        <f>IFERROR(__xludf.DUMMYFUNCTION("""COMPUTED_VALUE"""),1847.0)</f>
        <v>1847</v>
      </c>
      <c r="C1852" s="13" t="str">
        <f>IFERROR(__xludf.DUMMYFUNCTION("""COMPUTED_VALUE"""),"HMRS 209/TANJUNGKARANG")</f>
        <v>HMRS 209/TANJUNGKARANG</v>
      </c>
      <c r="D1852" s="13" t="str">
        <f>IFERROR(__xludf.DUMMYFUNCTION("""COMPUTED_VALUE"""),"L/5/240125/1")</f>
        <v>L/5/240125/1</v>
      </c>
      <c r="E1852" s="14" t="str">
        <f>IFERROR(__xludf.DUMMYFUNCTION("""COMPUTED_VALUE"""),"Afriza (BT)")</f>
        <v>Afriza (BT)</v>
      </c>
      <c r="F1852" s="14" t="str">
        <f>IFERROR(__xludf.DUMMYFUNCTION("""COMPUTED_VALUE"""),"SELESAI (VIA PERMOHONAN)")</f>
        <v>SELESAI (VIA PERMOHONAN)</v>
      </c>
      <c r="G1852" s="17">
        <f>IFERROR(__xludf.DUMMYFUNCTION("""COMPUTED_VALUE"""),45771.598914849536)</f>
        <v>45771.59891</v>
      </c>
      <c r="H1852" s="14" t="str">
        <f>IFERROR(__xludf.DUMMYFUNCTION("""COMPUTED_VALUE"""),"Aprill (SU)")</f>
        <v>Aprill (SU)</v>
      </c>
      <c r="I1852" s="13" t="str">
        <f>IFERROR(__xludf.DUMMYFUNCTION("""COMPUTED_VALUE"""),"SELESAI (VIA PERMOHONAN)")</f>
        <v>SELESAI (VIA PERMOHONAN)</v>
      </c>
      <c r="J1852" s="17">
        <f>IFERROR(__xludf.DUMMYFUNCTION("""COMPUTED_VALUE"""),45771.59899162037)</f>
        <v>45771.59899</v>
      </c>
      <c r="K1852" s="13" t="str">
        <f>IFERROR(__xludf.DUMMYFUNCTION("""COMPUTED_VALUE"""),"Selesai")</f>
        <v>Selesai</v>
      </c>
      <c r="L1852" s="17">
        <f>IFERROR(__xludf.DUMMYFUNCTION("""COMPUTED_VALUE"""),45771.59899162037)</f>
        <v>45771.59899</v>
      </c>
      <c r="M1852" s="13"/>
      <c r="N1852" s="13" t="str">
        <f>IFERROR(__xludf.DUMMYFUNCTION("""COMPUTED_VALUE"""),"")</f>
        <v/>
      </c>
      <c r="O1852" s="13" t="str">
        <f t="shared" si="1"/>
        <v/>
      </c>
    </row>
    <row r="1853" ht="22.5" customHeight="1">
      <c r="B1853" s="13">
        <f>IFERROR(__xludf.DUMMYFUNCTION("""COMPUTED_VALUE"""),1848.0)</f>
        <v>1848</v>
      </c>
      <c r="C1853" s="13" t="str">
        <f>IFERROR(__xludf.DUMMYFUNCTION("""COMPUTED_VALUE"""),"M.93/NUSANTARA PERMAI")</f>
        <v>M.93/NUSANTARA PERMAI</v>
      </c>
      <c r="D1853" s="13" t="str">
        <f>IFERROR(__xludf.DUMMYFUNCTION("""COMPUTED_VALUE"""),"K/33/190325/1")</f>
        <v>K/33/190325/1</v>
      </c>
      <c r="E1853" s="14" t="str">
        <f>IFERROR(__xludf.DUMMYFUNCTION("""COMPUTED_VALUE"""),"Afriza (BT)")</f>
        <v>Afriza (BT)</v>
      </c>
      <c r="F1853" s="14" t="str">
        <f>IFERROR(__xludf.DUMMYFUNCTION("""COMPUTED_VALUE"""),"SELESAI (VIA PERMOHONAN)")</f>
        <v>SELESAI (VIA PERMOHONAN)</v>
      </c>
      <c r="G1853" s="17">
        <f>IFERROR(__xludf.DUMMYFUNCTION("""COMPUTED_VALUE"""),45771.598935208334)</f>
        <v>45771.59894</v>
      </c>
      <c r="H1853" s="14" t="str">
        <f>IFERROR(__xludf.DUMMYFUNCTION("""COMPUTED_VALUE"""),"Aprill (SU)")</f>
        <v>Aprill (SU)</v>
      </c>
      <c r="I1853" s="13" t="str">
        <f>IFERROR(__xludf.DUMMYFUNCTION("""COMPUTED_VALUE"""),"SELESAI (VIA PERMOHONAN)")</f>
        <v>SELESAI (VIA PERMOHONAN)</v>
      </c>
      <c r="J1853" s="17">
        <f>IFERROR(__xludf.DUMMYFUNCTION("""COMPUTED_VALUE"""),45771.59900768519)</f>
        <v>45771.59901</v>
      </c>
      <c r="K1853" s="13" t="str">
        <f>IFERROR(__xludf.DUMMYFUNCTION("""COMPUTED_VALUE"""),"Selesai")</f>
        <v>Selesai</v>
      </c>
      <c r="L1853" s="17">
        <f>IFERROR(__xludf.DUMMYFUNCTION("""COMPUTED_VALUE"""),45771.59900768519)</f>
        <v>45771.59901</v>
      </c>
      <c r="M1853" s="13"/>
      <c r="N1853" s="13" t="str">
        <f>IFERROR(__xludf.DUMMYFUNCTION("""COMPUTED_VALUE"""),"")</f>
        <v/>
      </c>
      <c r="O1853" s="13" t="str">
        <f t="shared" si="1"/>
        <v/>
      </c>
    </row>
    <row r="1854" ht="22.5" customHeight="1">
      <c r="B1854" s="13">
        <f>IFERROR(__xludf.DUMMYFUNCTION("""COMPUTED_VALUE"""),1849.0)</f>
        <v>1849</v>
      </c>
      <c r="C1854" s="13" t="str">
        <f>IFERROR(__xludf.DUMMYFUNCTION("""COMPUTED_VALUE"""),"M 2501/GEDONG AIR")</f>
        <v>M 2501/GEDONG AIR</v>
      </c>
      <c r="D1854" s="13" t="str">
        <f>IFERROR(__xludf.DUMMYFUNCTION("""COMPUTED_VALUE"""),"K/24/240325/4")</f>
        <v>K/24/240325/4</v>
      </c>
      <c r="E1854" s="14" t="str">
        <f>IFERROR(__xludf.DUMMYFUNCTION("""COMPUTED_VALUE"""),"Nadian (BT)")</f>
        <v>Nadian (BT)</v>
      </c>
      <c r="F1854" s="14" t="str">
        <f>IFERROR(__xludf.DUMMYFUNCTION("""COMPUTED_VALUE"""),"SELESAI (VIA PERMOHONAN)")</f>
        <v>SELESAI (VIA PERMOHONAN)</v>
      </c>
      <c r="G1854" s="17">
        <f>IFERROR(__xludf.DUMMYFUNCTION("""COMPUTED_VALUE"""),45771.643477233796)</f>
        <v>45771.64348</v>
      </c>
      <c r="H1854" s="14" t="str">
        <f>IFERROR(__xludf.DUMMYFUNCTION("""COMPUTED_VALUE"""),"Bu Eva (SU)")</f>
        <v>Bu Eva (SU)</v>
      </c>
      <c r="I1854" s="13" t="str">
        <f>IFERROR(__xludf.DUMMYFUNCTION("""COMPUTED_VALUE"""),"SELESAI (VIA PERMOHONAN)")</f>
        <v>SELESAI (VIA PERMOHONAN)</v>
      </c>
      <c r="J1854" s="17">
        <f>IFERROR(__xludf.DUMMYFUNCTION("""COMPUTED_VALUE"""),45772.64093460648)</f>
        <v>45772.64093</v>
      </c>
      <c r="K1854" s="13" t="str">
        <f>IFERROR(__xludf.DUMMYFUNCTION("""COMPUTED_VALUE"""),"Selesai")</f>
        <v>Selesai</v>
      </c>
      <c r="L1854" s="17">
        <f>IFERROR(__xludf.DUMMYFUNCTION("""COMPUTED_VALUE"""),45772.64093460648)</f>
        <v>45772.64093</v>
      </c>
      <c r="M1854" s="13"/>
      <c r="N1854" s="13" t="str">
        <f>IFERROR(__xludf.DUMMYFUNCTION("""COMPUTED_VALUE"""),"")</f>
        <v/>
      </c>
      <c r="O1854" s="13" t="str">
        <f t="shared" si="1"/>
        <v/>
      </c>
    </row>
    <row r="1855" ht="22.5" customHeight="1">
      <c r="B1855" s="13">
        <f>IFERROR(__xludf.DUMMYFUNCTION("""COMPUTED_VALUE"""),1850.0)</f>
        <v>1850</v>
      </c>
      <c r="C1855" s="13" t="str">
        <f>IFERROR(__xludf.DUMMYFUNCTION("""COMPUTED_VALUE"""),"M.808/PALAPA")</f>
        <v>M.808/PALAPA</v>
      </c>
      <c r="D1855" s="13" t="str">
        <f>IFERROR(__xludf.DUMMYFUNCTION("""COMPUTED_VALUE"""),"K/25/200325/1")</f>
        <v>K/25/200325/1</v>
      </c>
      <c r="E1855" s="14" t="str">
        <f>IFERROR(__xludf.DUMMYFUNCTION("""COMPUTED_VALUE"""),"Nadian (BT)")</f>
        <v>Nadian (BT)</v>
      </c>
      <c r="F1855" s="14" t="str">
        <f>IFERROR(__xludf.DUMMYFUNCTION("""COMPUTED_VALUE"""),"SELESAI (VIA PERMOHONAN)")</f>
        <v>SELESAI (VIA PERMOHONAN)</v>
      </c>
      <c r="G1855" s="17">
        <f>IFERROR(__xludf.DUMMYFUNCTION("""COMPUTED_VALUE"""),45771.64350351851)</f>
        <v>45771.6435</v>
      </c>
      <c r="H1855" s="14" t="str">
        <f>IFERROR(__xludf.DUMMYFUNCTION("""COMPUTED_VALUE"""),"Bu Eva (SU)")</f>
        <v>Bu Eva (SU)</v>
      </c>
      <c r="I1855" s="13" t="str">
        <f>IFERROR(__xludf.DUMMYFUNCTION("""COMPUTED_VALUE"""),"SELESAI (VIA PERMOHONAN)")</f>
        <v>SELESAI (VIA PERMOHONAN)</v>
      </c>
      <c r="J1855" s="17">
        <f>IFERROR(__xludf.DUMMYFUNCTION("""COMPUTED_VALUE"""),45772.64093460648)</f>
        <v>45772.64093</v>
      </c>
      <c r="K1855" s="13" t="str">
        <f>IFERROR(__xludf.DUMMYFUNCTION("""COMPUTED_VALUE"""),"Selesai")</f>
        <v>Selesai</v>
      </c>
      <c r="L1855" s="17">
        <f>IFERROR(__xludf.DUMMYFUNCTION("""COMPUTED_VALUE"""),45772.64093460648)</f>
        <v>45772.64093</v>
      </c>
      <c r="M1855" s="13"/>
      <c r="N1855" s="13" t="str">
        <f>IFERROR(__xludf.DUMMYFUNCTION("""COMPUTED_VALUE"""),"")</f>
        <v/>
      </c>
      <c r="O1855" s="13" t="str">
        <f t="shared" si="1"/>
        <v/>
      </c>
    </row>
    <row r="1856" ht="22.5" customHeight="1">
      <c r="B1856" s="13">
        <f>IFERROR(__xludf.DUMMYFUNCTION("""COMPUTED_VALUE"""),1851.0)</f>
        <v>1851</v>
      </c>
      <c r="C1856" s="13" t="str">
        <f>IFERROR(__xludf.DUMMYFUNCTION("""COMPUTED_VALUE"""),"M.1231/LABUHAN DALAM")</f>
        <v>M.1231/LABUHAN DALAM</v>
      </c>
      <c r="D1856" s="13" t="str">
        <f>IFERROR(__xludf.DUMMYFUNCTION("""COMPUTED_VALUE"""),"K/26/260325/1")</f>
        <v>K/26/260325/1</v>
      </c>
      <c r="E1856" s="14" t="str">
        <f>IFERROR(__xludf.DUMMYFUNCTION("""COMPUTED_VALUE"""),"Nadian (BT)")</f>
        <v>Nadian (BT)</v>
      </c>
      <c r="F1856" s="14" t="str">
        <f>IFERROR(__xludf.DUMMYFUNCTION("""COMPUTED_VALUE"""),"SELESAI (VIA PERMOHONAN)")</f>
        <v>SELESAI (VIA PERMOHONAN)</v>
      </c>
      <c r="G1856" s="17">
        <f>IFERROR(__xludf.DUMMYFUNCTION("""COMPUTED_VALUE"""),45771.64350351851)</f>
        <v>45771.6435</v>
      </c>
      <c r="H1856" s="14" t="str">
        <f>IFERROR(__xludf.DUMMYFUNCTION("""COMPUTED_VALUE"""),"Bu Eva (SU)")</f>
        <v>Bu Eva (SU)</v>
      </c>
      <c r="I1856" s="13" t="str">
        <f>IFERROR(__xludf.DUMMYFUNCTION("""COMPUTED_VALUE"""),"SELESAI (VIA PERMOHONAN)")</f>
        <v>SELESAI (VIA PERMOHONAN)</v>
      </c>
      <c r="J1856" s="17">
        <f>IFERROR(__xludf.DUMMYFUNCTION("""COMPUTED_VALUE"""),45772.64093460648)</f>
        <v>45772.64093</v>
      </c>
      <c r="K1856" s="13" t="str">
        <f>IFERROR(__xludf.DUMMYFUNCTION("""COMPUTED_VALUE"""),"Selesai")</f>
        <v>Selesai</v>
      </c>
      <c r="L1856" s="17">
        <f>IFERROR(__xludf.DUMMYFUNCTION("""COMPUTED_VALUE"""),45772.64093460648)</f>
        <v>45772.64093</v>
      </c>
      <c r="M1856" s="13"/>
      <c r="N1856" s="13" t="str">
        <f>IFERROR(__xludf.DUMMYFUNCTION("""COMPUTED_VALUE"""),"")</f>
        <v/>
      </c>
      <c r="O1856" s="13" t="str">
        <f t="shared" si="1"/>
        <v/>
      </c>
    </row>
    <row r="1857" ht="22.5" customHeight="1">
      <c r="B1857" s="13">
        <f>IFERROR(__xludf.DUMMYFUNCTION("""COMPUTED_VALUE"""),1852.0)</f>
        <v>1852</v>
      </c>
      <c r="C1857" s="13" t="str">
        <f>IFERROR(__xludf.DUMMYFUNCTION("""COMPUTED_VALUE"""),"M 13013/SUKARAME")</f>
        <v>M 13013/SUKARAME</v>
      </c>
      <c r="D1857" s="13" t="str">
        <f>IFERROR(__xludf.DUMMYFUNCTION("""COMPUTED_VALUE"""),"L/49/240325/3")</f>
        <v>L/49/240325/3</v>
      </c>
      <c r="E1857" s="14" t="str">
        <f>IFERROR(__xludf.DUMMYFUNCTION("""COMPUTED_VALUE"""),"Nadian (BT)")</f>
        <v>Nadian (BT)</v>
      </c>
      <c r="F1857" s="14" t="str">
        <f>IFERROR(__xludf.DUMMYFUNCTION("""COMPUTED_VALUE"""),"SELESAI (VIA PERMOHONAN)")</f>
        <v>SELESAI (VIA PERMOHONAN)</v>
      </c>
      <c r="G1857" s="17">
        <f>IFERROR(__xludf.DUMMYFUNCTION("""COMPUTED_VALUE"""),45771.64350351851)</f>
        <v>45771.6435</v>
      </c>
      <c r="H1857" s="14" t="str">
        <f>IFERROR(__xludf.DUMMYFUNCTION("""COMPUTED_VALUE"""),"Bu Eva (SU)")</f>
        <v>Bu Eva (SU)</v>
      </c>
      <c r="I1857" s="13" t="str">
        <f>IFERROR(__xludf.DUMMYFUNCTION("""COMPUTED_VALUE"""),"SELESAI (VIA PERMOHONAN)")</f>
        <v>SELESAI (VIA PERMOHONAN)</v>
      </c>
      <c r="J1857" s="17">
        <f>IFERROR(__xludf.DUMMYFUNCTION("""COMPUTED_VALUE"""),45772.64093460648)</f>
        <v>45772.64093</v>
      </c>
      <c r="K1857" s="13" t="str">
        <f>IFERROR(__xludf.DUMMYFUNCTION("""COMPUTED_VALUE"""),"Selesai")</f>
        <v>Selesai</v>
      </c>
      <c r="L1857" s="17">
        <f>IFERROR(__xludf.DUMMYFUNCTION("""COMPUTED_VALUE"""),45772.64093460648)</f>
        <v>45772.64093</v>
      </c>
      <c r="M1857" s="13"/>
      <c r="N1857" s="13" t="str">
        <f>IFERROR(__xludf.DUMMYFUNCTION("""COMPUTED_VALUE"""),"")</f>
        <v/>
      </c>
      <c r="O1857" s="13" t="str">
        <f t="shared" si="1"/>
        <v/>
      </c>
    </row>
    <row r="1858" ht="22.5" customHeight="1">
      <c r="B1858" s="13">
        <f>IFERROR(__xludf.DUMMYFUNCTION("""COMPUTED_VALUE"""),1853.0)</f>
        <v>1853</v>
      </c>
      <c r="C1858" s="13" t="str">
        <f>IFERROR(__xludf.DUMMYFUNCTION("""COMPUTED_VALUE"""),"HM 58/BAKUNG")</f>
        <v>HM 58/BAKUNG</v>
      </c>
      <c r="D1858" s="13" t="str">
        <f>IFERROR(__xludf.DUMMYFUNCTION("""COMPUTED_VALUE"""),"L/1/110425/1")</f>
        <v>L/1/110425/1</v>
      </c>
      <c r="E1858" s="14" t="str">
        <f>IFERROR(__xludf.DUMMYFUNCTION("""COMPUTED_VALUE"""),"Nadian (BT)")</f>
        <v>Nadian (BT)</v>
      </c>
      <c r="F1858" s="14" t="str">
        <f>IFERROR(__xludf.DUMMYFUNCTION("""COMPUTED_VALUE"""),"SELESAI (VIA PERMOHONAN)")</f>
        <v>SELESAI (VIA PERMOHONAN)</v>
      </c>
      <c r="G1858" s="17">
        <f>IFERROR(__xludf.DUMMYFUNCTION("""COMPUTED_VALUE"""),45771.64350351851)</f>
        <v>45771.6435</v>
      </c>
      <c r="H1858" s="14" t="str">
        <f>IFERROR(__xludf.DUMMYFUNCTION("""COMPUTED_VALUE"""),"Bu Eva (SU)")</f>
        <v>Bu Eva (SU)</v>
      </c>
      <c r="I1858" s="13" t="str">
        <f>IFERROR(__xludf.DUMMYFUNCTION("""COMPUTED_VALUE"""),"SELESAI (VIA PERMOHONAN)")</f>
        <v>SELESAI (VIA PERMOHONAN)</v>
      </c>
      <c r="J1858" s="17">
        <f>IFERROR(__xludf.DUMMYFUNCTION("""COMPUTED_VALUE"""),45772.64093460648)</f>
        <v>45772.64093</v>
      </c>
      <c r="K1858" s="13" t="str">
        <f>IFERROR(__xludf.DUMMYFUNCTION("""COMPUTED_VALUE"""),"Selesai")</f>
        <v>Selesai</v>
      </c>
      <c r="L1858" s="17">
        <f>IFERROR(__xludf.DUMMYFUNCTION("""COMPUTED_VALUE"""),45772.64093460648)</f>
        <v>45772.64093</v>
      </c>
      <c r="M1858" s="13"/>
      <c r="N1858" s="13" t="str">
        <f>IFERROR(__xludf.DUMMYFUNCTION("""COMPUTED_VALUE"""),"")</f>
        <v/>
      </c>
      <c r="O1858" s="13" t="str">
        <f t="shared" si="1"/>
        <v/>
      </c>
    </row>
    <row r="1859" ht="22.5" customHeight="1">
      <c r="B1859" s="13">
        <f>IFERROR(__xludf.DUMMYFUNCTION("""COMPUTED_VALUE"""),1854.0)</f>
        <v>1854</v>
      </c>
      <c r="C1859" s="13" t="str">
        <f>IFERROR(__xludf.DUMMYFUNCTION("""COMPUTED_VALUE"""),"B. 1439/NOG")</f>
        <v>B. 1439/NOG</v>
      </c>
      <c r="D1859" s="13" t="str">
        <f>IFERROR(__xludf.DUMMYFUNCTION("""COMPUTED_VALUE"""),"K/6/250325/1")</f>
        <v>K/6/250325/1</v>
      </c>
      <c r="E1859" s="14" t="str">
        <f>IFERROR(__xludf.DUMMYFUNCTION("""COMPUTED_VALUE"""),"Nadian (BT)")</f>
        <v>Nadian (BT)</v>
      </c>
      <c r="F1859" s="14" t="str">
        <f>IFERROR(__xludf.DUMMYFUNCTION("""COMPUTED_VALUE"""),"SELESAI (VIA PERMOHONAN)")</f>
        <v>SELESAI (VIA PERMOHONAN)</v>
      </c>
      <c r="G1859" s="17">
        <f>IFERROR(__xludf.DUMMYFUNCTION("""COMPUTED_VALUE"""),45771.64350351851)</f>
        <v>45771.6435</v>
      </c>
      <c r="H1859" s="14" t="str">
        <f>IFERROR(__xludf.DUMMYFUNCTION("""COMPUTED_VALUE"""),"Bu Eva (SU)")</f>
        <v>Bu Eva (SU)</v>
      </c>
      <c r="I1859" s="13" t="str">
        <f>IFERROR(__xludf.DUMMYFUNCTION("""COMPUTED_VALUE"""),"SELESAI (VIA PERMOHONAN)")</f>
        <v>SELESAI (VIA PERMOHONAN)</v>
      </c>
      <c r="J1859" s="17">
        <f>IFERROR(__xludf.DUMMYFUNCTION("""COMPUTED_VALUE"""),45772.64093460648)</f>
        <v>45772.64093</v>
      </c>
      <c r="K1859" s="13" t="str">
        <f>IFERROR(__xludf.DUMMYFUNCTION("""COMPUTED_VALUE"""),"Selesai")</f>
        <v>Selesai</v>
      </c>
      <c r="L1859" s="17">
        <f>IFERROR(__xludf.DUMMYFUNCTION("""COMPUTED_VALUE"""),45772.64093460648)</f>
        <v>45772.64093</v>
      </c>
      <c r="M1859" s="13"/>
      <c r="N1859" s="13" t="str">
        <f>IFERROR(__xludf.DUMMYFUNCTION("""COMPUTED_VALUE"""),"")</f>
        <v/>
      </c>
      <c r="O1859" s="13" t="str">
        <f t="shared" si="1"/>
        <v/>
      </c>
    </row>
    <row r="1860" ht="22.5" customHeight="1">
      <c r="B1860" s="13">
        <f>IFERROR(__xludf.DUMMYFUNCTION("""COMPUTED_VALUE"""),1855.0)</f>
        <v>1855</v>
      </c>
      <c r="C1860" s="13" t="str">
        <f>IFERROR(__xludf.DUMMYFUNCTION("""COMPUTED_VALUE"""),"M. 874/SUMBER AGUNG")</f>
        <v>M. 874/SUMBER AGUNG</v>
      </c>
      <c r="D1860" s="13" t="str">
        <f>IFERROR(__xludf.DUMMYFUNCTION("""COMPUTED_VALUE"""),"K/11/240325/1")</f>
        <v>K/11/240325/1</v>
      </c>
      <c r="E1860" s="14" t="str">
        <f>IFERROR(__xludf.DUMMYFUNCTION("""COMPUTED_VALUE"""),"Nadian (BT)")</f>
        <v>Nadian (BT)</v>
      </c>
      <c r="F1860" s="14" t="str">
        <f>IFERROR(__xludf.DUMMYFUNCTION("""COMPUTED_VALUE"""),"SELESAI (VIA PERMOHONAN)")</f>
        <v>SELESAI (VIA PERMOHONAN)</v>
      </c>
      <c r="G1860" s="17">
        <f>IFERROR(__xludf.DUMMYFUNCTION("""COMPUTED_VALUE"""),45771.64350351851)</f>
        <v>45771.6435</v>
      </c>
      <c r="H1860" s="14" t="str">
        <f>IFERROR(__xludf.DUMMYFUNCTION("""COMPUTED_VALUE"""),"Bu Eva (SU)")</f>
        <v>Bu Eva (SU)</v>
      </c>
      <c r="I1860" s="13" t="str">
        <f>IFERROR(__xludf.DUMMYFUNCTION("""COMPUTED_VALUE"""),"SELESAI (VIA PERMOHONAN)")</f>
        <v>SELESAI (VIA PERMOHONAN)</v>
      </c>
      <c r="J1860" s="17">
        <f>IFERROR(__xludf.DUMMYFUNCTION("""COMPUTED_VALUE"""),45772.64093460648)</f>
        <v>45772.64093</v>
      </c>
      <c r="K1860" s="13" t="str">
        <f>IFERROR(__xludf.DUMMYFUNCTION("""COMPUTED_VALUE"""),"Selesai")</f>
        <v>Selesai</v>
      </c>
      <c r="L1860" s="17">
        <f>IFERROR(__xludf.DUMMYFUNCTION("""COMPUTED_VALUE"""),45772.64093460648)</f>
        <v>45772.64093</v>
      </c>
      <c r="M1860" s="13"/>
      <c r="N1860" s="13" t="str">
        <f>IFERROR(__xludf.DUMMYFUNCTION("""COMPUTED_VALUE"""),"")</f>
        <v/>
      </c>
      <c r="O1860" s="13" t="str">
        <f t="shared" si="1"/>
        <v/>
      </c>
    </row>
    <row r="1861" ht="22.5" customHeight="1">
      <c r="B1861" s="13">
        <f>IFERROR(__xludf.DUMMYFUNCTION("""COMPUTED_VALUE"""),1856.0)</f>
        <v>1856</v>
      </c>
      <c r="C1861" s="13" t="str">
        <f>IFERROR(__xludf.DUMMYFUNCTION("""COMPUTED_VALUE"""),"B.580/KEMILING PERMAI")</f>
        <v>B.580/KEMILING PERMAI</v>
      </c>
      <c r="D1861" s="13" t="str">
        <f>IFERROR(__xludf.DUMMYFUNCTION("""COMPUTED_VALUE"""),"K/8/090425/2")</f>
        <v>K/8/090425/2</v>
      </c>
      <c r="E1861" s="14" t="str">
        <f>IFERROR(__xludf.DUMMYFUNCTION("""COMPUTED_VALUE"""),"Nadian (BT)")</f>
        <v>Nadian (BT)</v>
      </c>
      <c r="F1861" s="14" t="str">
        <f>IFERROR(__xludf.DUMMYFUNCTION("""COMPUTED_VALUE"""),"SELESAI (VIA PERMOHONAN)")</f>
        <v>SELESAI (VIA PERMOHONAN)</v>
      </c>
      <c r="G1861" s="17">
        <f>IFERROR(__xludf.DUMMYFUNCTION("""COMPUTED_VALUE"""),45771.64353189815)</f>
        <v>45771.64353</v>
      </c>
      <c r="H1861" s="14" t="str">
        <f>IFERROR(__xludf.DUMMYFUNCTION("""COMPUTED_VALUE"""),"Bu Eva (SU)")</f>
        <v>Bu Eva (SU)</v>
      </c>
      <c r="I1861" s="13" t="str">
        <f>IFERROR(__xludf.DUMMYFUNCTION("""COMPUTED_VALUE"""),"SELESAI (VIA PERMOHONAN)")</f>
        <v>SELESAI (VIA PERMOHONAN)</v>
      </c>
      <c r="J1861" s="17">
        <f>IFERROR(__xludf.DUMMYFUNCTION("""COMPUTED_VALUE"""),45772.64093460648)</f>
        <v>45772.64093</v>
      </c>
      <c r="K1861" s="13" t="str">
        <f>IFERROR(__xludf.DUMMYFUNCTION("""COMPUTED_VALUE"""),"Selesai")</f>
        <v>Selesai</v>
      </c>
      <c r="L1861" s="17">
        <f>IFERROR(__xludf.DUMMYFUNCTION("""COMPUTED_VALUE"""),45772.64093460648)</f>
        <v>45772.64093</v>
      </c>
      <c r="M1861" s="13"/>
      <c r="N1861" s="13" t="str">
        <f>IFERROR(__xludf.DUMMYFUNCTION("""COMPUTED_VALUE"""),"")</f>
        <v/>
      </c>
      <c r="O1861" s="13" t="str">
        <f t="shared" si="1"/>
        <v/>
      </c>
    </row>
    <row r="1862" ht="22.5" customHeight="1">
      <c r="B1862" s="13">
        <f>IFERROR(__xludf.DUMMYFUNCTION("""COMPUTED_VALUE"""),1857.0)</f>
        <v>1857</v>
      </c>
      <c r="C1862" s="13" t="str">
        <f>IFERROR(__xludf.DUMMYFUNCTION("""COMPUTED_VALUE"""),"B. 782/SUMUR PUTRI")</f>
        <v>B. 782/SUMUR PUTRI</v>
      </c>
      <c r="D1862" s="13" t="str">
        <f>IFERROR(__xludf.DUMMYFUNCTION("""COMPUTED_VALUE"""),"K/51/240325/1")</f>
        <v>K/51/240325/1</v>
      </c>
      <c r="E1862" s="14" t="str">
        <f>IFERROR(__xludf.DUMMYFUNCTION("""COMPUTED_VALUE"""),"Nadian (BT)")</f>
        <v>Nadian (BT)</v>
      </c>
      <c r="F1862" s="14" t="str">
        <f>IFERROR(__xludf.DUMMYFUNCTION("""COMPUTED_VALUE"""),"SELESAI (VIA PERMOHONAN)")</f>
        <v>SELESAI (VIA PERMOHONAN)</v>
      </c>
      <c r="G1862" s="17">
        <f>IFERROR(__xludf.DUMMYFUNCTION("""COMPUTED_VALUE"""),45771.64353189815)</f>
        <v>45771.64353</v>
      </c>
      <c r="H1862" s="14" t="str">
        <f>IFERROR(__xludf.DUMMYFUNCTION("""COMPUTED_VALUE"""),"Bu Eva (SU)")</f>
        <v>Bu Eva (SU)</v>
      </c>
      <c r="I1862" s="13" t="str">
        <f>IFERROR(__xludf.DUMMYFUNCTION("""COMPUTED_VALUE"""),"SELESAI (VIA PERMOHONAN)")</f>
        <v>SELESAI (VIA PERMOHONAN)</v>
      </c>
      <c r="J1862" s="17">
        <f>IFERROR(__xludf.DUMMYFUNCTION("""COMPUTED_VALUE"""),45772.64093460648)</f>
        <v>45772.64093</v>
      </c>
      <c r="K1862" s="13" t="str">
        <f>IFERROR(__xludf.DUMMYFUNCTION("""COMPUTED_VALUE"""),"Selesai")</f>
        <v>Selesai</v>
      </c>
      <c r="L1862" s="17">
        <f>IFERROR(__xludf.DUMMYFUNCTION("""COMPUTED_VALUE"""),45772.64093460648)</f>
        <v>45772.64093</v>
      </c>
      <c r="M1862" s="13"/>
      <c r="N1862" s="13" t="str">
        <f>IFERROR(__xludf.DUMMYFUNCTION("""COMPUTED_VALUE"""),"")</f>
        <v/>
      </c>
      <c r="O1862" s="13" t="str">
        <f t="shared" si="1"/>
        <v/>
      </c>
    </row>
    <row r="1863" ht="22.5" customHeight="1">
      <c r="B1863" s="13">
        <f>IFERROR(__xludf.DUMMYFUNCTION("""COMPUTED_VALUE"""),1858.0)</f>
        <v>1858</v>
      </c>
      <c r="C1863" s="13" t="str">
        <f>IFERROR(__xludf.DUMMYFUNCTION("""COMPUTED_VALUE"""),"M. 2819/ beringin raya")</f>
        <v>M. 2819/ beringin raya</v>
      </c>
      <c r="D1863" s="13" t="str">
        <f>IFERROR(__xludf.DUMMYFUNCTION("""COMPUTED_VALUE"""),"K/40/190325/1")</f>
        <v>K/40/190325/1</v>
      </c>
      <c r="E1863" s="14" t="str">
        <f>IFERROR(__xludf.DUMMYFUNCTION("""COMPUTED_VALUE"""),"Afriza (BT)")</f>
        <v>Afriza (BT)</v>
      </c>
      <c r="F1863" s="14" t="str">
        <f>IFERROR(__xludf.DUMMYFUNCTION("""COMPUTED_VALUE"""),"SELESAI (VIA PERMOHONAN)")</f>
        <v>SELESAI (VIA PERMOHONAN)</v>
      </c>
      <c r="G1863" s="17">
        <f>IFERROR(__xludf.DUMMYFUNCTION("""COMPUTED_VALUE"""),45771.736232511576)</f>
        <v>45771.73623</v>
      </c>
      <c r="H1863" s="14" t="str">
        <f>IFERROR(__xludf.DUMMYFUNCTION("""COMPUTED_VALUE"""),"Bu Eva (SU)")</f>
        <v>Bu Eva (SU)</v>
      </c>
      <c r="I1863" s="13" t="str">
        <f>IFERROR(__xludf.DUMMYFUNCTION("""COMPUTED_VALUE"""),"SELESAI (VIA PERMOHONAN)")</f>
        <v>SELESAI (VIA PERMOHONAN)</v>
      </c>
      <c r="J1863" s="17">
        <f>IFERROR(__xludf.DUMMYFUNCTION("""COMPUTED_VALUE"""),45772.64093460648)</f>
        <v>45772.64093</v>
      </c>
      <c r="K1863" s="13" t="str">
        <f>IFERROR(__xludf.DUMMYFUNCTION("""COMPUTED_VALUE"""),"Selesai")</f>
        <v>Selesai</v>
      </c>
      <c r="L1863" s="17">
        <f>IFERROR(__xludf.DUMMYFUNCTION("""COMPUTED_VALUE"""),45772.64093460648)</f>
        <v>45772.64093</v>
      </c>
      <c r="M1863" s="13"/>
      <c r="N1863" s="13" t="str">
        <f>IFERROR(__xludf.DUMMYFUNCTION("""COMPUTED_VALUE"""),"")</f>
        <v/>
      </c>
      <c r="O1863" s="13" t="str">
        <f t="shared" si="1"/>
        <v/>
      </c>
    </row>
    <row r="1864" ht="22.5" customHeight="1">
      <c r="B1864" s="13">
        <f>IFERROR(__xludf.DUMMYFUNCTION("""COMPUTED_VALUE"""),1859.0)</f>
        <v>1859</v>
      </c>
      <c r="C1864" s="13" t="str">
        <f>IFERROR(__xludf.DUMMYFUNCTION("""COMPUTED_VALUE"""),"M. 864/ Kota BaruQ")</f>
        <v>M. 864/ Kota BaruQ</v>
      </c>
      <c r="D1864" s="13" t="str">
        <f>IFERROR(__xludf.DUMMYFUNCTION("""COMPUTED_VALUE"""),"K/20/140425/1")</f>
        <v>K/20/140425/1</v>
      </c>
      <c r="E1864" s="14" t="str">
        <f>IFERROR(__xludf.DUMMYFUNCTION("""COMPUTED_VALUE"""),"Afriza (BT)")</f>
        <v>Afriza (BT)</v>
      </c>
      <c r="F1864" s="14" t="str">
        <f>IFERROR(__xludf.DUMMYFUNCTION("""COMPUTED_VALUE"""),"SELESAI (VIA PERMOHONAN)")</f>
        <v>SELESAI (VIA PERMOHONAN)</v>
      </c>
      <c r="G1864" s="17">
        <f>IFERROR(__xludf.DUMMYFUNCTION("""COMPUTED_VALUE"""),45771.736245162036)</f>
        <v>45771.73625</v>
      </c>
      <c r="H1864" s="14" t="str">
        <f>IFERROR(__xludf.DUMMYFUNCTION("""COMPUTED_VALUE"""),"Bu Eva (SU)")</f>
        <v>Bu Eva (SU)</v>
      </c>
      <c r="I1864" s="13" t="str">
        <f>IFERROR(__xludf.DUMMYFUNCTION("""COMPUTED_VALUE"""),"SELESAI (VIA PERMOHONAN)")</f>
        <v>SELESAI (VIA PERMOHONAN)</v>
      </c>
      <c r="J1864" s="17">
        <f>IFERROR(__xludf.DUMMYFUNCTION("""COMPUTED_VALUE"""),45772.64093461806)</f>
        <v>45772.64093</v>
      </c>
      <c r="K1864" s="13" t="str">
        <f>IFERROR(__xludf.DUMMYFUNCTION("""COMPUTED_VALUE"""),"Selesai")</f>
        <v>Selesai</v>
      </c>
      <c r="L1864" s="17">
        <f>IFERROR(__xludf.DUMMYFUNCTION("""COMPUTED_VALUE"""),45772.64093461806)</f>
        <v>45772.64093</v>
      </c>
      <c r="M1864" s="13"/>
      <c r="N1864" s="13" t="str">
        <f>IFERROR(__xludf.DUMMYFUNCTION("""COMPUTED_VALUE"""),"")</f>
        <v/>
      </c>
      <c r="O1864" s="13" t="str">
        <f t="shared" si="1"/>
        <v/>
      </c>
    </row>
    <row r="1865" ht="22.5" customHeight="1">
      <c r="B1865" s="13">
        <f>IFERROR(__xludf.DUMMYFUNCTION("""COMPUTED_VALUE"""),1860.0)</f>
        <v>1860</v>
      </c>
      <c r="C1865" s="13" t="str">
        <f>IFERROR(__xludf.DUMMYFUNCTION("""COMPUTED_VALUE"""),"M. 1615/ Bumi Kedamaian")</f>
        <v>M. 1615/ Bumi Kedamaian</v>
      </c>
      <c r="D1865" s="13" t="str">
        <f>IFERROR(__xludf.DUMMYFUNCTION("""COMPUTED_VALUE"""),"K/69/261124/2")</f>
        <v>K/69/261124/2</v>
      </c>
      <c r="E1865" s="14" t="str">
        <f>IFERROR(__xludf.DUMMYFUNCTION("""COMPUTED_VALUE"""),"Afriza (BT)")</f>
        <v>Afriza (BT)</v>
      </c>
      <c r="F1865" s="14" t="str">
        <f>IFERROR(__xludf.DUMMYFUNCTION("""COMPUTED_VALUE"""),"SELESAI (VIA PERMOHONAN)")</f>
        <v>SELESAI (VIA PERMOHONAN)</v>
      </c>
      <c r="G1865" s="17">
        <f>IFERROR(__xludf.DUMMYFUNCTION("""COMPUTED_VALUE"""),45771.736257094904)</f>
        <v>45771.73626</v>
      </c>
      <c r="H1865" s="14" t="str">
        <f>IFERROR(__xludf.DUMMYFUNCTION("""COMPUTED_VALUE"""),"Bu Eva (SU)")</f>
        <v>Bu Eva (SU)</v>
      </c>
      <c r="I1865" s="13" t="str">
        <f>IFERROR(__xludf.DUMMYFUNCTION("""COMPUTED_VALUE"""),"SELESAI (VIA PERMOHONAN)")</f>
        <v>SELESAI (VIA PERMOHONAN)</v>
      </c>
      <c r="J1865" s="17">
        <f>IFERROR(__xludf.DUMMYFUNCTION("""COMPUTED_VALUE"""),45772.64093461806)</f>
        <v>45772.64093</v>
      </c>
      <c r="K1865" s="13" t="str">
        <f>IFERROR(__xludf.DUMMYFUNCTION("""COMPUTED_VALUE"""),"Selesai")</f>
        <v>Selesai</v>
      </c>
      <c r="L1865" s="17">
        <f>IFERROR(__xludf.DUMMYFUNCTION("""COMPUTED_VALUE"""),45772.64093461806)</f>
        <v>45772.64093</v>
      </c>
      <c r="M1865" s="13"/>
      <c r="N1865" s="13" t="str">
        <f>IFERROR(__xludf.DUMMYFUNCTION("""COMPUTED_VALUE"""),"")</f>
        <v/>
      </c>
      <c r="O1865" s="13" t="str">
        <f t="shared" si="1"/>
        <v/>
      </c>
    </row>
    <row r="1866" ht="22.5" customHeight="1">
      <c r="B1866" s="13">
        <f>IFERROR(__xludf.DUMMYFUNCTION("""COMPUTED_VALUE"""),1861.0)</f>
        <v>1861</v>
      </c>
      <c r="C1866" s="13" t="str">
        <f>IFERROR(__xludf.DUMMYFUNCTION("""COMPUTED_VALUE"""),"M. 3125/ Sukarame Baru")</f>
        <v>M. 3125/ Sukarame Baru</v>
      </c>
      <c r="D1866" s="13" t="str">
        <f>IFERROR(__xludf.DUMMYFUNCTION("""COMPUTED_VALUE"""),"K/25/170425/1")</f>
        <v>K/25/170425/1</v>
      </c>
      <c r="E1866" s="14" t="str">
        <f>IFERROR(__xludf.DUMMYFUNCTION("""COMPUTED_VALUE"""),"Afriza (BT)")</f>
        <v>Afriza (BT)</v>
      </c>
      <c r="F1866" s="14" t="str">
        <f>IFERROR(__xludf.DUMMYFUNCTION("""COMPUTED_VALUE"""),"SELESAI (VIA PERMOHONAN)")</f>
        <v>SELESAI (VIA PERMOHONAN)</v>
      </c>
      <c r="G1866" s="17">
        <f>IFERROR(__xludf.DUMMYFUNCTION("""COMPUTED_VALUE"""),45771.73639248843)</f>
        <v>45771.73639</v>
      </c>
      <c r="H1866" s="14" t="str">
        <f>IFERROR(__xludf.DUMMYFUNCTION("""COMPUTED_VALUE"""),"Bu Eva (SU)")</f>
        <v>Bu Eva (SU)</v>
      </c>
      <c r="I1866" s="13" t="str">
        <f>IFERROR(__xludf.DUMMYFUNCTION("""COMPUTED_VALUE"""),"SELESAI (VIA PERMOHONAN)")</f>
        <v>SELESAI (VIA PERMOHONAN)</v>
      </c>
      <c r="J1866" s="17">
        <f>IFERROR(__xludf.DUMMYFUNCTION("""COMPUTED_VALUE"""),45772.64093461806)</f>
        <v>45772.64093</v>
      </c>
      <c r="K1866" s="13" t="str">
        <f>IFERROR(__xludf.DUMMYFUNCTION("""COMPUTED_VALUE"""),"Selesai")</f>
        <v>Selesai</v>
      </c>
      <c r="L1866" s="17">
        <f>IFERROR(__xludf.DUMMYFUNCTION("""COMPUTED_VALUE"""),45772.64093461806)</f>
        <v>45772.64093</v>
      </c>
      <c r="M1866" s="13"/>
      <c r="N1866" s="13" t="str">
        <f>IFERROR(__xludf.DUMMYFUNCTION("""COMPUTED_VALUE"""),"")</f>
        <v/>
      </c>
      <c r="O1866" s="13" t="str">
        <f t="shared" si="1"/>
        <v/>
      </c>
    </row>
    <row r="1867" ht="22.5" customHeight="1">
      <c r="B1867" s="13">
        <f>IFERROR(__xludf.DUMMYFUNCTION("""COMPUTED_VALUE"""),1862.0)</f>
        <v>1862</v>
      </c>
      <c r="C1867" s="13" t="str">
        <f>IFERROR(__xludf.DUMMYFUNCTION("""COMPUTED_VALUE"""),"M. 14190/ Segala Mider")</f>
        <v>M. 14190/ Segala Mider</v>
      </c>
      <c r="D1867" s="13" t="str">
        <f>IFERROR(__xludf.DUMMYFUNCTION("""COMPUTED_VALUE"""),"K/13/170425/1")</f>
        <v>K/13/170425/1</v>
      </c>
      <c r="E1867" s="14" t="str">
        <f>IFERROR(__xludf.DUMMYFUNCTION("""COMPUTED_VALUE"""),"Afriza (BT)")</f>
        <v>Afriza (BT)</v>
      </c>
      <c r="F1867" s="14" t="str">
        <f>IFERROR(__xludf.DUMMYFUNCTION("""COMPUTED_VALUE"""),"SELESAI (VIA PERMOHONAN)")</f>
        <v>SELESAI (VIA PERMOHONAN)</v>
      </c>
      <c r="G1867" s="17">
        <f>IFERROR(__xludf.DUMMYFUNCTION("""COMPUTED_VALUE"""),45771.73643318287)</f>
        <v>45771.73643</v>
      </c>
      <c r="H1867" s="14" t="str">
        <f>IFERROR(__xludf.DUMMYFUNCTION("""COMPUTED_VALUE"""),"Bu Eva (SU)")</f>
        <v>Bu Eva (SU)</v>
      </c>
      <c r="I1867" s="13" t="str">
        <f>IFERROR(__xludf.DUMMYFUNCTION("""COMPUTED_VALUE"""),"SELESAI (VIA PERMOHONAN)")</f>
        <v>SELESAI (VIA PERMOHONAN)</v>
      </c>
      <c r="J1867" s="17">
        <f>IFERROR(__xludf.DUMMYFUNCTION("""COMPUTED_VALUE"""),45772.64093461806)</f>
        <v>45772.64093</v>
      </c>
      <c r="K1867" s="13" t="str">
        <f>IFERROR(__xludf.DUMMYFUNCTION("""COMPUTED_VALUE"""),"Selesai")</f>
        <v>Selesai</v>
      </c>
      <c r="L1867" s="17">
        <f>IFERROR(__xludf.DUMMYFUNCTION("""COMPUTED_VALUE"""),45772.64093461806)</f>
        <v>45772.64093</v>
      </c>
      <c r="M1867" s="13"/>
      <c r="N1867" s="13" t="str">
        <f>IFERROR(__xludf.DUMMYFUNCTION("""COMPUTED_VALUE"""),"")</f>
        <v/>
      </c>
      <c r="O1867" s="13" t="str">
        <f t="shared" si="1"/>
        <v/>
      </c>
    </row>
    <row r="1868" ht="22.5" customHeight="1">
      <c r="B1868" s="13">
        <f>IFERROR(__xludf.DUMMYFUNCTION("""COMPUTED_VALUE"""),1863.0)</f>
        <v>1863</v>
      </c>
      <c r="C1868" s="13" t="str">
        <f>IFERROR(__xludf.DUMMYFUNCTION("""COMPUTED_VALUE"""),"M. 12679/ Sukarame")</f>
        <v>M. 12679/ Sukarame</v>
      </c>
      <c r="D1868" s="13" t="str">
        <f>IFERROR(__xludf.DUMMYFUNCTION("""COMPUTED_VALUE"""),"K/6/100425/3")</f>
        <v>K/6/100425/3</v>
      </c>
      <c r="E1868" s="14" t="str">
        <f>IFERROR(__xludf.DUMMYFUNCTION("""COMPUTED_VALUE"""),"Afriza (BT)")</f>
        <v>Afriza (BT)</v>
      </c>
      <c r="F1868" s="14" t="str">
        <f>IFERROR(__xludf.DUMMYFUNCTION("""COMPUTED_VALUE"""),"SELESAI (VIA PERMOHONAN)")</f>
        <v>SELESAI (VIA PERMOHONAN)</v>
      </c>
      <c r="G1868" s="17">
        <f>IFERROR(__xludf.DUMMYFUNCTION("""COMPUTED_VALUE"""),45771.736564039355)</f>
        <v>45771.73656</v>
      </c>
      <c r="H1868" s="14" t="str">
        <f>IFERROR(__xludf.DUMMYFUNCTION("""COMPUTED_VALUE"""),"Bu Eva (SU)")</f>
        <v>Bu Eva (SU)</v>
      </c>
      <c r="I1868" s="13" t="str">
        <f>IFERROR(__xludf.DUMMYFUNCTION("""COMPUTED_VALUE"""),"SELESAI (VIA PERMOHONAN)")</f>
        <v>SELESAI (VIA PERMOHONAN)</v>
      </c>
      <c r="J1868" s="17">
        <f>IFERROR(__xludf.DUMMYFUNCTION("""COMPUTED_VALUE"""),45772.64097273148)</f>
        <v>45772.64097</v>
      </c>
      <c r="K1868" s="13" t="str">
        <f>IFERROR(__xludf.DUMMYFUNCTION("""COMPUTED_VALUE"""),"Selesai")</f>
        <v>Selesai</v>
      </c>
      <c r="L1868" s="17">
        <f>IFERROR(__xludf.DUMMYFUNCTION("""COMPUTED_VALUE"""),45772.64097273148)</f>
        <v>45772.64097</v>
      </c>
      <c r="M1868" s="13"/>
      <c r="N1868" s="13" t="str">
        <f>IFERROR(__xludf.DUMMYFUNCTION("""COMPUTED_VALUE"""),"")</f>
        <v/>
      </c>
      <c r="O1868" s="13" t="str">
        <f t="shared" si="1"/>
        <v/>
      </c>
    </row>
    <row r="1869" ht="22.5" customHeight="1">
      <c r="B1869" s="13">
        <f>IFERROR(__xludf.DUMMYFUNCTION("""COMPUTED_VALUE"""),1864.0)</f>
        <v>1864</v>
      </c>
      <c r="C1869" s="13" t="str">
        <f>IFERROR(__xludf.DUMMYFUNCTION("""COMPUTED_VALUE"""),"M. 91/ Gunung Agung")</f>
        <v>M. 91/ Gunung Agung</v>
      </c>
      <c r="D1869" s="13" t="str">
        <f>IFERROR(__xludf.DUMMYFUNCTION("""COMPUTED_VALUE"""),"K/23/160425/1")</f>
        <v>K/23/160425/1</v>
      </c>
      <c r="E1869" s="14" t="str">
        <f>IFERROR(__xludf.DUMMYFUNCTION("""COMPUTED_VALUE"""),"Afriza (BT)")</f>
        <v>Afriza (BT)</v>
      </c>
      <c r="F1869" s="14" t="str">
        <f>IFERROR(__xludf.DUMMYFUNCTION("""COMPUTED_VALUE"""),"SELESAI (VIA PERMOHONAN)")</f>
        <v>SELESAI (VIA PERMOHONAN)</v>
      </c>
      <c r="G1869" s="17">
        <f>IFERROR(__xludf.DUMMYFUNCTION("""COMPUTED_VALUE"""),45771.736723912036)</f>
        <v>45771.73672</v>
      </c>
      <c r="H1869" s="14" t="str">
        <f>IFERROR(__xludf.DUMMYFUNCTION("""COMPUTED_VALUE"""),"Bu Eva (SU)")</f>
        <v>Bu Eva (SU)</v>
      </c>
      <c r="I1869" s="13" t="str">
        <f>IFERROR(__xludf.DUMMYFUNCTION("""COMPUTED_VALUE"""),"SELESAI (VIA PERMOHONAN)")</f>
        <v>SELESAI (VIA PERMOHONAN)</v>
      </c>
      <c r="J1869" s="17">
        <f>IFERROR(__xludf.DUMMYFUNCTION("""COMPUTED_VALUE"""),45772.64097273148)</f>
        <v>45772.64097</v>
      </c>
      <c r="K1869" s="13" t="str">
        <f>IFERROR(__xludf.DUMMYFUNCTION("""COMPUTED_VALUE"""),"Selesai")</f>
        <v>Selesai</v>
      </c>
      <c r="L1869" s="17">
        <f>IFERROR(__xludf.DUMMYFUNCTION("""COMPUTED_VALUE"""),45772.64097273148)</f>
        <v>45772.64097</v>
      </c>
      <c r="M1869" s="13"/>
      <c r="N1869" s="13" t="str">
        <f>IFERROR(__xludf.DUMMYFUNCTION("""COMPUTED_VALUE"""),"")</f>
        <v/>
      </c>
      <c r="O1869" s="13" t="str">
        <f t="shared" si="1"/>
        <v/>
      </c>
    </row>
    <row r="1870" ht="22.5" customHeight="1">
      <c r="B1870" s="13">
        <f>IFERROR(__xludf.DUMMYFUNCTION("""COMPUTED_VALUE"""),1865.0)</f>
        <v>1865</v>
      </c>
      <c r="C1870" s="13" t="str">
        <f>IFERROR(__xludf.DUMMYFUNCTION("""COMPUTED_VALUE"""),"M.1055/PINANG JAYA")</f>
        <v>M.1055/PINANG JAYA</v>
      </c>
      <c r="D1870" s="13" t="str">
        <f>IFERROR(__xludf.DUMMYFUNCTION("""COMPUTED_VALUE"""),"K/36/240325/1")</f>
        <v>K/36/240325/1</v>
      </c>
      <c r="E1870" s="14" t="str">
        <f>IFERROR(__xludf.DUMMYFUNCTION("""COMPUTED_VALUE"""),"Nadian (BT)")</f>
        <v>Nadian (BT)</v>
      </c>
      <c r="F1870" s="14" t="str">
        <f>IFERROR(__xludf.DUMMYFUNCTION("""COMPUTED_VALUE"""),"SELESAI (VIA PERMOHONAN)")</f>
        <v>SELESAI (VIA PERMOHONAN)</v>
      </c>
      <c r="G1870" s="17">
        <f>IFERROR(__xludf.DUMMYFUNCTION("""COMPUTED_VALUE"""),45772.59706684027)</f>
        <v>45772.59707</v>
      </c>
      <c r="H1870" s="14" t="str">
        <f>IFERROR(__xludf.DUMMYFUNCTION("""COMPUTED_VALUE"""),"Bu Eva (SU)")</f>
        <v>Bu Eva (SU)</v>
      </c>
      <c r="I1870" s="13" t="str">
        <f>IFERROR(__xludf.DUMMYFUNCTION("""COMPUTED_VALUE"""),"SELESAI (VIA PERMOHONAN)")</f>
        <v>SELESAI (VIA PERMOHONAN)</v>
      </c>
      <c r="J1870" s="17">
        <f>IFERROR(__xludf.DUMMYFUNCTION("""COMPUTED_VALUE"""),45772.64097273148)</f>
        <v>45772.64097</v>
      </c>
      <c r="K1870" s="13" t="str">
        <f>IFERROR(__xludf.DUMMYFUNCTION("""COMPUTED_VALUE"""),"Selesai")</f>
        <v>Selesai</v>
      </c>
      <c r="L1870" s="17">
        <f>IFERROR(__xludf.DUMMYFUNCTION("""COMPUTED_VALUE"""),45772.64097273148)</f>
        <v>45772.64097</v>
      </c>
      <c r="M1870" s="13"/>
      <c r="N1870" s="13" t="str">
        <f>IFERROR(__xludf.DUMMYFUNCTION("""COMPUTED_VALUE"""),"")</f>
        <v/>
      </c>
      <c r="O1870" s="13" t="str">
        <f t="shared" si="1"/>
        <v/>
      </c>
    </row>
    <row r="1871" ht="22.5" customHeight="1">
      <c r="B1871" s="13">
        <f>IFERROR(__xludf.DUMMYFUNCTION("""COMPUTED_VALUE"""),1866.0)</f>
        <v>1866</v>
      </c>
      <c r="C1871" s="13" t="str">
        <f>IFERROR(__xludf.DUMMYFUNCTION("""COMPUTED_VALUE"""),"M. 345/ Susunan Baru")</f>
        <v>M. 345/ Susunan Baru</v>
      </c>
      <c r="D1871" s="13" t="str">
        <f>IFERROR(__xludf.DUMMYFUNCTION("""COMPUTED_VALUE"""),"K/29/140425/4")</f>
        <v>K/29/140425/4</v>
      </c>
      <c r="E1871" s="14" t="str">
        <f>IFERROR(__xludf.DUMMYFUNCTION("""COMPUTED_VALUE"""),"Nadian (BT)")</f>
        <v>Nadian (BT)</v>
      </c>
      <c r="F1871" s="14" t="str">
        <f>IFERROR(__xludf.DUMMYFUNCTION("""COMPUTED_VALUE"""),"SELESAI (VIA PERMOHONAN)")</f>
        <v>SELESAI (VIA PERMOHONAN)</v>
      </c>
      <c r="G1871" s="17">
        <f>IFERROR(__xludf.DUMMYFUNCTION("""COMPUTED_VALUE"""),45772.59709633102)</f>
        <v>45772.5971</v>
      </c>
      <c r="H1871" s="14" t="str">
        <f>IFERROR(__xludf.DUMMYFUNCTION("""COMPUTED_VALUE"""),"Bu Eva (SU)")</f>
        <v>Bu Eva (SU)</v>
      </c>
      <c r="I1871" s="13" t="str">
        <f>IFERROR(__xludf.DUMMYFUNCTION("""COMPUTED_VALUE"""),"SELESAI (VIA PERMOHONAN)")</f>
        <v>SELESAI (VIA PERMOHONAN)</v>
      </c>
      <c r="J1871" s="17">
        <f>IFERROR(__xludf.DUMMYFUNCTION("""COMPUTED_VALUE"""),45772.64097273148)</f>
        <v>45772.64097</v>
      </c>
      <c r="K1871" s="13" t="str">
        <f>IFERROR(__xludf.DUMMYFUNCTION("""COMPUTED_VALUE"""),"Selesai")</f>
        <v>Selesai</v>
      </c>
      <c r="L1871" s="17">
        <f>IFERROR(__xludf.DUMMYFUNCTION("""COMPUTED_VALUE"""),45772.64097273148)</f>
        <v>45772.64097</v>
      </c>
      <c r="M1871" s="13"/>
      <c r="N1871" s="13" t="str">
        <f>IFERROR(__xludf.DUMMYFUNCTION("""COMPUTED_VALUE"""),"")</f>
        <v/>
      </c>
      <c r="O1871" s="13" t="str">
        <f t="shared" si="1"/>
        <v/>
      </c>
    </row>
    <row r="1872" ht="22.5" customHeight="1">
      <c r="B1872" s="13">
        <f>IFERROR(__xludf.DUMMYFUNCTION("""COMPUTED_VALUE"""),1867.0)</f>
        <v>1867</v>
      </c>
      <c r="C1872" s="13" t="str">
        <f>IFERROR(__xludf.DUMMYFUNCTION("""COMPUTED_VALUE"""),"HM 1162/8KOTA BARU")</f>
        <v>HM 1162/8KOTA BARU</v>
      </c>
      <c r="D1872" s="13" t="str">
        <f>IFERROR(__xludf.DUMMYFUNCTION("""COMPUTED_VALUE"""),"L/24/100425/1")</f>
        <v>L/24/100425/1</v>
      </c>
      <c r="E1872" s="14" t="str">
        <f>IFERROR(__xludf.DUMMYFUNCTION("""COMPUTED_VALUE"""),"Nadian (BT)")</f>
        <v>Nadian (BT)</v>
      </c>
      <c r="F1872" s="14" t="str">
        <f>IFERROR(__xludf.DUMMYFUNCTION("""COMPUTED_VALUE"""),"SELESAI (VIA PERMOHONAN)")</f>
        <v>SELESAI (VIA PERMOHONAN)</v>
      </c>
      <c r="G1872" s="17">
        <f>IFERROR(__xludf.DUMMYFUNCTION("""COMPUTED_VALUE"""),45772.59709633102)</f>
        <v>45772.5971</v>
      </c>
      <c r="H1872" s="14" t="str">
        <f>IFERROR(__xludf.DUMMYFUNCTION("""COMPUTED_VALUE"""),"Bu Eva (SU)")</f>
        <v>Bu Eva (SU)</v>
      </c>
      <c r="I1872" s="13" t="str">
        <f>IFERROR(__xludf.DUMMYFUNCTION("""COMPUTED_VALUE"""),"SELESAI (VIA PERMOHONAN)")</f>
        <v>SELESAI (VIA PERMOHONAN)</v>
      </c>
      <c r="J1872" s="17">
        <f>IFERROR(__xludf.DUMMYFUNCTION("""COMPUTED_VALUE"""),45772.64097273148)</f>
        <v>45772.64097</v>
      </c>
      <c r="K1872" s="13" t="str">
        <f>IFERROR(__xludf.DUMMYFUNCTION("""COMPUTED_VALUE"""),"Selesai")</f>
        <v>Selesai</v>
      </c>
      <c r="L1872" s="17">
        <f>IFERROR(__xludf.DUMMYFUNCTION("""COMPUTED_VALUE"""),45772.64097273148)</f>
        <v>45772.64097</v>
      </c>
      <c r="M1872" s="13"/>
      <c r="N1872" s="13" t="str">
        <f>IFERROR(__xludf.DUMMYFUNCTION("""COMPUTED_VALUE"""),"")</f>
        <v/>
      </c>
      <c r="O1872" s="13" t="str">
        <f t="shared" si="1"/>
        <v/>
      </c>
    </row>
    <row r="1873" ht="22.5" customHeight="1">
      <c r="B1873" s="13">
        <f>IFERROR(__xludf.DUMMYFUNCTION("""COMPUTED_VALUE"""),1868.0)</f>
        <v>1868</v>
      </c>
      <c r="C1873" s="13" t="str">
        <f>IFERROR(__xludf.DUMMYFUNCTION("""COMPUTED_VALUE"""),"M.9482/GDEONG MENENG")</f>
        <v>M.9482/GDEONG MENENG</v>
      </c>
      <c r="D1873" s="13" t="str">
        <f>IFERROR(__xludf.DUMMYFUNCTION("""COMPUTED_VALUE"""),"K/22/190325/2")</f>
        <v>K/22/190325/2</v>
      </c>
      <c r="E1873" s="14" t="str">
        <f>IFERROR(__xludf.DUMMYFUNCTION("""COMPUTED_VALUE"""),"Nadian (BT)")</f>
        <v>Nadian (BT)</v>
      </c>
      <c r="F1873" s="14" t="str">
        <f>IFERROR(__xludf.DUMMYFUNCTION("""COMPUTED_VALUE"""),"SELESAI (VIA PERMOHONAN)")</f>
        <v>SELESAI (VIA PERMOHONAN)</v>
      </c>
      <c r="G1873" s="17">
        <f>IFERROR(__xludf.DUMMYFUNCTION("""COMPUTED_VALUE"""),45772.59709633102)</f>
        <v>45772.5971</v>
      </c>
      <c r="H1873" s="14" t="str">
        <f>IFERROR(__xludf.DUMMYFUNCTION("""COMPUTED_VALUE"""),"Bu Eva (SU)")</f>
        <v>Bu Eva (SU)</v>
      </c>
      <c r="I1873" s="13" t="str">
        <f>IFERROR(__xludf.DUMMYFUNCTION("""COMPUTED_VALUE"""),"SELESAI (VIA PERMOHONAN)")</f>
        <v>SELESAI (VIA PERMOHONAN)</v>
      </c>
      <c r="J1873" s="17">
        <f>IFERROR(__xludf.DUMMYFUNCTION("""COMPUTED_VALUE"""),45772.64097273148)</f>
        <v>45772.64097</v>
      </c>
      <c r="K1873" s="13" t="str">
        <f>IFERROR(__xludf.DUMMYFUNCTION("""COMPUTED_VALUE"""),"Selesai")</f>
        <v>Selesai</v>
      </c>
      <c r="L1873" s="17">
        <f>IFERROR(__xludf.DUMMYFUNCTION("""COMPUTED_VALUE"""),45772.64097273148)</f>
        <v>45772.64097</v>
      </c>
      <c r="M1873" s="13"/>
      <c r="N1873" s="13" t="str">
        <f>IFERROR(__xludf.DUMMYFUNCTION("""COMPUTED_VALUE"""),"")</f>
        <v/>
      </c>
      <c r="O1873" s="13" t="str">
        <f t="shared" si="1"/>
        <v/>
      </c>
    </row>
    <row r="1874" ht="22.5" customHeight="1">
      <c r="B1874" s="13">
        <f>IFERROR(__xludf.DUMMYFUNCTION("""COMPUTED_VALUE"""),1869.0)</f>
        <v>1869</v>
      </c>
      <c r="C1874" s="13" t="str">
        <f>IFERROR(__xludf.DUMMYFUNCTION("""COMPUTED_VALUE"""),"M.1739/KOTA BARU")</f>
        <v>M.1739/KOTA BARU</v>
      </c>
      <c r="D1874" s="13" t="str">
        <f>IFERROR(__xludf.DUMMYFUNCTION("""COMPUTED_VALUE"""),"K/6/140425/1")</f>
        <v>K/6/140425/1</v>
      </c>
      <c r="E1874" s="14" t="str">
        <f>IFERROR(__xludf.DUMMYFUNCTION("""COMPUTED_VALUE"""),"Nadian (BT)")</f>
        <v>Nadian (BT)</v>
      </c>
      <c r="F1874" s="14" t="str">
        <f>IFERROR(__xludf.DUMMYFUNCTION("""COMPUTED_VALUE"""),"SELESAI (VIA PERMOHONAN)")</f>
        <v>SELESAI (VIA PERMOHONAN)</v>
      </c>
      <c r="G1874" s="17">
        <f>IFERROR(__xludf.DUMMYFUNCTION("""COMPUTED_VALUE"""),45772.59709633102)</f>
        <v>45772.5971</v>
      </c>
      <c r="H1874" s="14" t="str">
        <f>IFERROR(__xludf.DUMMYFUNCTION("""COMPUTED_VALUE"""),"Bu Eva (SU)")</f>
        <v>Bu Eva (SU)</v>
      </c>
      <c r="I1874" s="13" t="str">
        <f>IFERROR(__xludf.DUMMYFUNCTION("""COMPUTED_VALUE"""),"SELESAI (VIA PERMOHONAN)")</f>
        <v>SELESAI (VIA PERMOHONAN)</v>
      </c>
      <c r="J1874" s="17">
        <f>IFERROR(__xludf.DUMMYFUNCTION("""COMPUTED_VALUE"""),45772.64097273148)</f>
        <v>45772.64097</v>
      </c>
      <c r="K1874" s="13" t="str">
        <f>IFERROR(__xludf.DUMMYFUNCTION("""COMPUTED_VALUE"""),"Selesai")</f>
        <v>Selesai</v>
      </c>
      <c r="L1874" s="17">
        <f>IFERROR(__xludf.DUMMYFUNCTION("""COMPUTED_VALUE"""),45772.64097273148)</f>
        <v>45772.64097</v>
      </c>
      <c r="M1874" s="13"/>
      <c r="N1874" s="13" t="str">
        <f>IFERROR(__xludf.DUMMYFUNCTION("""COMPUTED_VALUE"""),"")</f>
        <v/>
      </c>
      <c r="O1874" s="13" t="str">
        <f t="shared" si="1"/>
        <v/>
      </c>
    </row>
    <row r="1875" ht="22.5" customHeight="1">
      <c r="B1875" s="13">
        <f>IFERROR(__xludf.DUMMYFUNCTION("""COMPUTED_VALUE"""),1870.0)</f>
        <v>1870</v>
      </c>
      <c r="C1875" s="13" t="str">
        <f>IFERROR(__xludf.DUMMYFUNCTION("""COMPUTED_VALUE"""),"M.262/CAMPANG JAYA")</f>
        <v>M.262/CAMPANG JAYA</v>
      </c>
      <c r="D1875" s="13" t="str">
        <f>IFERROR(__xludf.DUMMYFUNCTION("""COMPUTED_VALUE"""),"K/26/150425/1")</f>
        <v>K/26/150425/1</v>
      </c>
      <c r="E1875" s="14" t="str">
        <f>IFERROR(__xludf.DUMMYFUNCTION("""COMPUTED_VALUE"""),"Nadian (BT)")</f>
        <v>Nadian (BT)</v>
      </c>
      <c r="F1875" s="14" t="str">
        <f>IFERROR(__xludf.DUMMYFUNCTION("""COMPUTED_VALUE"""),"SELESAI (VIA PERMOHONAN)")</f>
        <v>SELESAI (VIA PERMOHONAN)</v>
      </c>
      <c r="G1875" s="17">
        <f>IFERROR(__xludf.DUMMYFUNCTION("""COMPUTED_VALUE"""),45772.59709633102)</f>
        <v>45772.5971</v>
      </c>
      <c r="H1875" s="14" t="str">
        <f>IFERROR(__xludf.DUMMYFUNCTION("""COMPUTED_VALUE"""),"Bu Eva (SU)")</f>
        <v>Bu Eva (SU)</v>
      </c>
      <c r="I1875" s="13" t="str">
        <f>IFERROR(__xludf.DUMMYFUNCTION("""COMPUTED_VALUE"""),"SELESAI (VIA PERMOHONAN)")</f>
        <v>SELESAI (VIA PERMOHONAN)</v>
      </c>
      <c r="J1875" s="17">
        <f>IFERROR(__xludf.DUMMYFUNCTION("""COMPUTED_VALUE"""),45772.64097273148)</f>
        <v>45772.64097</v>
      </c>
      <c r="K1875" s="13" t="str">
        <f>IFERROR(__xludf.DUMMYFUNCTION("""COMPUTED_VALUE"""),"Selesai")</f>
        <v>Selesai</v>
      </c>
      <c r="L1875" s="17">
        <f>IFERROR(__xludf.DUMMYFUNCTION("""COMPUTED_VALUE"""),45772.64097273148)</f>
        <v>45772.64097</v>
      </c>
      <c r="M1875" s="13"/>
      <c r="N1875" s="13" t="str">
        <f>IFERROR(__xludf.DUMMYFUNCTION("""COMPUTED_VALUE"""),"")</f>
        <v/>
      </c>
      <c r="O1875" s="13" t="str">
        <f t="shared" si="1"/>
        <v/>
      </c>
    </row>
    <row r="1876" ht="22.5" customHeight="1">
      <c r="B1876" s="13">
        <f>IFERROR(__xludf.DUMMYFUNCTION("""COMPUTED_VALUE"""),1871.0)</f>
        <v>1871</v>
      </c>
      <c r="C1876" s="13" t="str">
        <f>IFERROR(__xludf.DUMMYFUNCTION("""COMPUTED_VALUE"""),"M.14069/RAJABASA")</f>
        <v>M.14069/RAJABASA</v>
      </c>
      <c r="D1876" s="13" t="str">
        <f>IFERROR(__xludf.DUMMYFUNCTION("""COMPUTED_VALUE"""),"K/22/140425/2")</f>
        <v>K/22/140425/2</v>
      </c>
      <c r="E1876" s="14" t="str">
        <f>IFERROR(__xludf.DUMMYFUNCTION("""COMPUTED_VALUE"""),"Nadian (BT)")</f>
        <v>Nadian (BT)</v>
      </c>
      <c r="F1876" s="14" t="str">
        <f>IFERROR(__xludf.DUMMYFUNCTION("""COMPUTED_VALUE"""),"SELESAI (VIA PERMOHONAN)")</f>
        <v>SELESAI (VIA PERMOHONAN)</v>
      </c>
      <c r="G1876" s="17">
        <f>IFERROR(__xludf.DUMMYFUNCTION("""COMPUTED_VALUE"""),45772.59709633102)</f>
        <v>45772.5971</v>
      </c>
      <c r="H1876" s="14" t="str">
        <f>IFERROR(__xludf.DUMMYFUNCTION("""COMPUTED_VALUE"""),"Bu Eva (SU)")</f>
        <v>Bu Eva (SU)</v>
      </c>
      <c r="I1876" s="13" t="str">
        <f>IFERROR(__xludf.DUMMYFUNCTION("""COMPUTED_VALUE"""),"SELESAI (VIA PERMOHONAN)")</f>
        <v>SELESAI (VIA PERMOHONAN)</v>
      </c>
      <c r="J1876" s="17">
        <f>IFERROR(__xludf.DUMMYFUNCTION("""COMPUTED_VALUE"""),45772.64097273148)</f>
        <v>45772.64097</v>
      </c>
      <c r="K1876" s="13" t="str">
        <f>IFERROR(__xludf.DUMMYFUNCTION("""COMPUTED_VALUE"""),"Selesai")</f>
        <v>Selesai</v>
      </c>
      <c r="L1876" s="17">
        <f>IFERROR(__xludf.DUMMYFUNCTION("""COMPUTED_VALUE"""),45772.64097273148)</f>
        <v>45772.64097</v>
      </c>
      <c r="M1876" s="13"/>
      <c r="N1876" s="13" t="str">
        <f>IFERROR(__xludf.DUMMYFUNCTION("""COMPUTED_VALUE"""),"")</f>
        <v/>
      </c>
      <c r="O1876" s="13" t="str">
        <f t="shared" si="1"/>
        <v/>
      </c>
    </row>
    <row r="1877" ht="22.5" customHeight="1">
      <c r="B1877" s="13">
        <f>IFERROR(__xludf.DUMMYFUNCTION("""COMPUTED_VALUE"""),1872.0)</f>
        <v>1872</v>
      </c>
      <c r="C1877" s="13" t="str">
        <f>IFERROR(__xludf.DUMMYFUNCTION("""COMPUTED_VALUE"""),"M.1568/GUNUNG TERANG")</f>
        <v>M.1568/GUNUNG TERANG</v>
      </c>
      <c r="D1877" s="13" t="str">
        <f>IFERROR(__xludf.DUMMYFUNCTION("""COMPUTED_VALUE"""),"K/29/190325/1")</f>
        <v>K/29/190325/1</v>
      </c>
      <c r="E1877" s="14" t="str">
        <f>IFERROR(__xludf.DUMMYFUNCTION("""COMPUTED_VALUE"""),"Nadian (BT)")</f>
        <v>Nadian (BT)</v>
      </c>
      <c r="F1877" s="14" t="str">
        <f>IFERROR(__xludf.DUMMYFUNCTION("""COMPUTED_VALUE"""),"SELESAI (VIA PERMOHONAN)")</f>
        <v>SELESAI (VIA PERMOHONAN)</v>
      </c>
      <c r="G1877" s="17">
        <f>IFERROR(__xludf.DUMMYFUNCTION("""COMPUTED_VALUE"""),45772.59709633102)</f>
        <v>45772.5971</v>
      </c>
      <c r="H1877" s="14" t="str">
        <f>IFERROR(__xludf.DUMMYFUNCTION("""COMPUTED_VALUE"""),"Bu Eva (SU)")</f>
        <v>Bu Eva (SU)</v>
      </c>
      <c r="I1877" s="13" t="str">
        <f>IFERROR(__xludf.DUMMYFUNCTION("""COMPUTED_VALUE"""),"SELESAI (VIA PERMOHONAN)")</f>
        <v>SELESAI (VIA PERMOHONAN)</v>
      </c>
      <c r="J1877" s="17">
        <f>IFERROR(__xludf.DUMMYFUNCTION("""COMPUTED_VALUE"""),45772.64097274306)</f>
        <v>45772.64097</v>
      </c>
      <c r="K1877" s="13" t="str">
        <f>IFERROR(__xludf.DUMMYFUNCTION("""COMPUTED_VALUE"""),"Selesai")</f>
        <v>Selesai</v>
      </c>
      <c r="L1877" s="17">
        <f>IFERROR(__xludf.DUMMYFUNCTION("""COMPUTED_VALUE"""),45772.64097274306)</f>
        <v>45772.64097</v>
      </c>
      <c r="M1877" s="13"/>
      <c r="N1877" s="13" t="str">
        <f>IFERROR(__xludf.DUMMYFUNCTION("""COMPUTED_VALUE"""),"")</f>
        <v/>
      </c>
      <c r="O1877" s="13" t="str">
        <f t="shared" si="1"/>
        <v/>
      </c>
    </row>
    <row r="1878" ht="22.5" customHeight="1">
      <c r="B1878" s="13">
        <f>IFERROR(__xludf.DUMMYFUNCTION("""COMPUTED_VALUE"""),1873.0)</f>
        <v>1873</v>
      </c>
      <c r="C1878" s="13" t="str">
        <f>IFERROR(__xludf.DUMMYFUNCTION("""COMPUTED_VALUE"""),"M.9596/SUKAMENANTI")</f>
        <v>M.9596/SUKAMENANTI</v>
      </c>
      <c r="D1878" s="13" t="str">
        <f>IFERROR(__xludf.DUMMYFUNCTION("""COMPUTED_VALUE"""),"K/35/240325/1")</f>
        <v>K/35/240325/1</v>
      </c>
      <c r="E1878" s="14" t="str">
        <f>IFERROR(__xludf.DUMMYFUNCTION("""COMPUTED_VALUE"""),"Nadian (BT)")</f>
        <v>Nadian (BT)</v>
      </c>
      <c r="F1878" s="14" t="str">
        <f>IFERROR(__xludf.DUMMYFUNCTION("""COMPUTED_VALUE"""),"SELESAI (VIA PERMOHONAN)")</f>
        <v>SELESAI (VIA PERMOHONAN)</v>
      </c>
      <c r="G1878" s="17">
        <f>IFERROR(__xludf.DUMMYFUNCTION("""COMPUTED_VALUE"""),45772.59709633102)</f>
        <v>45772.5971</v>
      </c>
      <c r="H1878" s="14" t="str">
        <f>IFERROR(__xludf.DUMMYFUNCTION("""COMPUTED_VALUE"""),"Bu Eva (SU)")</f>
        <v>Bu Eva (SU)</v>
      </c>
      <c r="I1878" s="13" t="str">
        <f>IFERROR(__xludf.DUMMYFUNCTION("""COMPUTED_VALUE"""),"SELESAI (VIA PERMOHONAN)")</f>
        <v>SELESAI (VIA PERMOHONAN)</v>
      </c>
      <c r="J1878" s="17">
        <f>IFERROR(__xludf.DUMMYFUNCTION("""COMPUTED_VALUE"""),45772.64097274306)</f>
        <v>45772.64097</v>
      </c>
      <c r="K1878" s="13" t="str">
        <f>IFERROR(__xludf.DUMMYFUNCTION("""COMPUTED_VALUE"""),"Selesai")</f>
        <v>Selesai</v>
      </c>
      <c r="L1878" s="17">
        <f>IFERROR(__xludf.DUMMYFUNCTION("""COMPUTED_VALUE"""),45772.64097274306)</f>
        <v>45772.64097</v>
      </c>
      <c r="M1878" s="13"/>
      <c r="N1878" s="13" t="str">
        <f>IFERROR(__xludf.DUMMYFUNCTION("""COMPUTED_VALUE"""),"")</f>
        <v/>
      </c>
      <c r="O1878" s="13" t="str">
        <f t="shared" si="1"/>
        <v/>
      </c>
    </row>
    <row r="1879" ht="22.5" customHeight="1">
      <c r="B1879" s="13">
        <f>IFERROR(__xludf.DUMMYFUNCTION("""COMPUTED_VALUE"""),1874.0)</f>
        <v>1874</v>
      </c>
      <c r="C1879" s="13" t="str">
        <f>IFERROR(__xludf.DUMMYFUNCTION("""COMPUTED_VALUE"""),"B. 989/ Kemiling Permai")</f>
        <v>B. 989/ Kemiling Permai</v>
      </c>
      <c r="D1879" s="13" t="str">
        <f>IFERROR(__xludf.DUMMYFUNCTION("""COMPUTED_VALUE"""),"K/12/210225/2")</f>
        <v>K/12/210225/2</v>
      </c>
      <c r="E1879" s="14" t="str">
        <f>IFERROR(__xludf.DUMMYFUNCTION("""COMPUTED_VALUE"""),"Nadian (BT)")</f>
        <v>Nadian (BT)</v>
      </c>
      <c r="F1879" s="14" t="str">
        <f>IFERROR(__xludf.DUMMYFUNCTION("""COMPUTED_VALUE"""),"SELESAI (VIA PERMOHONAN)")</f>
        <v>SELESAI (VIA PERMOHONAN)</v>
      </c>
      <c r="G1879" s="17">
        <f>IFERROR(__xludf.DUMMYFUNCTION("""COMPUTED_VALUE"""),45772.59709633102)</f>
        <v>45772.5971</v>
      </c>
      <c r="H1879" s="14" t="str">
        <f>IFERROR(__xludf.DUMMYFUNCTION("""COMPUTED_VALUE"""),"Bu Eva (SU)")</f>
        <v>Bu Eva (SU)</v>
      </c>
      <c r="I1879" s="13" t="str">
        <f>IFERROR(__xludf.DUMMYFUNCTION("""COMPUTED_VALUE"""),"SELESAI (VIA PERMOHONAN)")</f>
        <v>SELESAI (VIA PERMOHONAN)</v>
      </c>
      <c r="J1879" s="17">
        <f>IFERROR(__xludf.DUMMYFUNCTION("""COMPUTED_VALUE"""),45772.64097274306)</f>
        <v>45772.64097</v>
      </c>
      <c r="K1879" s="13" t="str">
        <f>IFERROR(__xludf.DUMMYFUNCTION("""COMPUTED_VALUE"""),"Selesai")</f>
        <v>Selesai</v>
      </c>
      <c r="L1879" s="17">
        <f>IFERROR(__xludf.DUMMYFUNCTION("""COMPUTED_VALUE"""),45772.64097274306)</f>
        <v>45772.64097</v>
      </c>
      <c r="M1879" s="13"/>
      <c r="N1879" s="13" t="str">
        <f>IFERROR(__xludf.DUMMYFUNCTION("""COMPUTED_VALUE"""),"")</f>
        <v/>
      </c>
      <c r="O1879" s="13" t="str">
        <f t="shared" si="1"/>
        <v/>
      </c>
    </row>
    <row r="1880" ht="22.5" customHeight="1">
      <c r="B1880" s="13">
        <f>IFERROR(__xludf.DUMMYFUNCTION("""COMPUTED_VALUE"""),1875.0)</f>
        <v>1875</v>
      </c>
      <c r="C1880" s="13" t="str">
        <f>IFERROR(__xludf.DUMMYFUNCTION("""COMPUTED_VALUE"""),"M. 178/WAY LAGA")</f>
        <v>M. 178/WAY LAGA</v>
      </c>
      <c r="D1880" s="13" t="str">
        <f>IFERROR(__xludf.DUMMYFUNCTION("""COMPUTED_VALUE"""),"K/17/160425/1")</f>
        <v>K/17/160425/1</v>
      </c>
      <c r="E1880" s="14" t="str">
        <f>IFERROR(__xludf.DUMMYFUNCTION("""COMPUTED_VALUE"""),"Nadian (BT)")</f>
        <v>Nadian (BT)</v>
      </c>
      <c r="F1880" s="14" t="str">
        <f>IFERROR(__xludf.DUMMYFUNCTION("""COMPUTED_VALUE"""),"SELESAI (VIA PERMOHONAN)")</f>
        <v>SELESAI (VIA PERMOHONAN)</v>
      </c>
      <c r="G1880" s="17">
        <f>IFERROR(__xludf.DUMMYFUNCTION("""COMPUTED_VALUE"""),45772.59709633102)</f>
        <v>45772.5971</v>
      </c>
      <c r="H1880" s="14" t="str">
        <f>IFERROR(__xludf.DUMMYFUNCTION("""COMPUTED_VALUE"""),"Bu Eva (SU)")</f>
        <v>Bu Eva (SU)</v>
      </c>
      <c r="I1880" s="13" t="str">
        <f>IFERROR(__xludf.DUMMYFUNCTION("""COMPUTED_VALUE"""),"SELESAI (VIA PERMOHONAN)")</f>
        <v>SELESAI (VIA PERMOHONAN)</v>
      </c>
      <c r="J1880" s="17">
        <f>IFERROR(__xludf.DUMMYFUNCTION("""COMPUTED_VALUE"""),45772.64097274306)</f>
        <v>45772.64097</v>
      </c>
      <c r="K1880" s="13" t="str">
        <f>IFERROR(__xludf.DUMMYFUNCTION("""COMPUTED_VALUE"""),"Selesai")</f>
        <v>Selesai</v>
      </c>
      <c r="L1880" s="17">
        <f>IFERROR(__xludf.DUMMYFUNCTION("""COMPUTED_VALUE"""),45772.64097274306)</f>
        <v>45772.64097</v>
      </c>
      <c r="M1880" s="13"/>
      <c r="N1880" s="13" t="str">
        <f>IFERROR(__xludf.DUMMYFUNCTION("""COMPUTED_VALUE"""),"")</f>
        <v/>
      </c>
      <c r="O1880" s="13" t="str">
        <f t="shared" si="1"/>
        <v/>
      </c>
    </row>
    <row r="1881" ht="22.5" customHeight="1">
      <c r="B1881" s="13">
        <f>IFERROR(__xludf.DUMMYFUNCTION("""COMPUTED_VALUE"""),1876.0)</f>
        <v>1876</v>
      </c>
      <c r="C1881" s="13" t="str">
        <f>IFERROR(__xludf.DUMMYFUNCTION("""COMPUTED_VALUE"""),"M.13619/SUKARAME")</f>
        <v>M.13619/SUKARAME</v>
      </c>
      <c r="D1881" s="13" t="str">
        <f>IFERROR(__xludf.DUMMYFUNCTION("""COMPUTED_VALUE"""),"K/17/190325/3")</f>
        <v>K/17/190325/3</v>
      </c>
      <c r="E1881" s="14" t="str">
        <f>IFERROR(__xludf.DUMMYFUNCTION("""COMPUTED_VALUE"""),"Nadian (BT)")</f>
        <v>Nadian (BT)</v>
      </c>
      <c r="F1881" s="14" t="str">
        <f>IFERROR(__xludf.DUMMYFUNCTION("""COMPUTED_VALUE"""),"SELESAI (VIA PERMOHONAN)")</f>
        <v>SELESAI (VIA PERMOHONAN)</v>
      </c>
      <c r="G1881" s="17">
        <f>IFERROR(__xludf.DUMMYFUNCTION("""COMPUTED_VALUE"""),45772.59709633102)</f>
        <v>45772.5971</v>
      </c>
      <c r="H1881" s="14" t="str">
        <f>IFERROR(__xludf.DUMMYFUNCTION("""COMPUTED_VALUE"""),"Bu Eva (SU)")</f>
        <v>Bu Eva (SU)</v>
      </c>
      <c r="I1881" s="13" t="str">
        <f>IFERROR(__xludf.DUMMYFUNCTION("""COMPUTED_VALUE"""),"SELESAI (VIA PERMOHONAN)")</f>
        <v>SELESAI (VIA PERMOHONAN)</v>
      </c>
      <c r="J1881" s="17">
        <f>IFERROR(__xludf.DUMMYFUNCTION("""COMPUTED_VALUE"""),45772.64097274306)</f>
        <v>45772.64097</v>
      </c>
      <c r="K1881" s="13" t="str">
        <f>IFERROR(__xludf.DUMMYFUNCTION("""COMPUTED_VALUE"""),"Selesai")</f>
        <v>Selesai</v>
      </c>
      <c r="L1881" s="17">
        <f>IFERROR(__xludf.DUMMYFUNCTION("""COMPUTED_VALUE"""),45772.64097274306)</f>
        <v>45772.64097</v>
      </c>
      <c r="M1881" s="13"/>
      <c r="N1881" s="13" t="str">
        <f>IFERROR(__xludf.DUMMYFUNCTION("""COMPUTED_VALUE"""),"")</f>
        <v/>
      </c>
      <c r="O1881" s="13" t="str">
        <f t="shared" si="1"/>
        <v/>
      </c>
    </row>
    <row r="1882" ht="22.5" customHeight="1">
      <c r="B1882" s="13">
        <f>IFERROR(__xludf.DUMMYFUNCTION("""COMPUTED_VALUE"""),1877.0)</f>
        <v>1877</v>
      </c>
      <c r="C1882" s="13" t="str">
        <f>IFERROR(__xludf.DUMMYFUNCTION("""COMPUTED_VALUE"""),"M.660/PERUMNAS WAY HALIM")</f>
        <v>M.660/PERUMNAS WAY HALIM</v>
      </c>
      <c r="D1882" s="13" t="str">
        <f>IFERROR(__xludf.DUMMYFUNCTION("""COMPUTED_VALUE"""),"K/10/220425/1")</f>
        <v>K/10/220425/1</v>
      </c>
      <c r="E1882" s="14" t="str">
        <f>IFERROR(__xludf.DUMMYFUNCTION("""COMPUTED_VALUE"""),"Nadian (BT)")</f>
        <v>Nadian (BT)</v>
      </c>
      <c r="F1882" s="14" t="str">
        <f>IFERROR(__xludf.DUMMYFUNCTION("""COMPUTED_VALUE"""),"SELESAI (VIA PERMOHONAN)")</f>
        <v>SELESAI (VIA PERMOHONAN)</v>
      </c>
      <c r="G1882" s="17">
        <f>IFERROR(__xludf.DUMMYFUNCTION("""COMPUTED_VALUE"""),45772.59709633102)</f>
        <v>45772.5971</v>
      </c>
      <c r="H1882" s="14" t="str">
        <f>IFERROR(__xludf.DUMMYFUNCTION("""COMPUTED_VALUE"""),"Bu Eva (SU)")</f>
        <v>Bu Eva (SU)</v>
      </c>
      <c r="I1882" s="13" t="str">
        <f>IFERROR(__xludf.DUMMYFUNCTION("""COMPUTED_VALUE"""),"SELESAI (VIA PERMOHONAN)")</f>
        <v>SELESAI (VIA PERMOHONAN)</v>
      </c>
      <c r="J1882" s="17">
        <f>IFERROR(__xludf.DUMMYFUNCTION("""COMPUTED_VALUE"""),45772.64103028935)</f>
        <v>45772.64103</v>
      </c>
      <c r="K1882" s="13" t="str">
        <f>IFERROR(__xludf.DUMMYFUNCTION("""COMPUTED_VALUE"""),"Selesai")</f>
        <v>Selesai</v>
      </c>
      <c r="L1882" s="17">
        <f>IFERROR(__xludf.DUMMYFUNCTION("""COMPUTED_VALUE"""),45772.64103028935)</f>
        <v>45772.64103</v>
      </c>
      <c r="M1882" s="13"/>
      <c r="N1882" s="13" t="str">
        <f>IFERROR(__xludf.DUMMYFUNCTION("""COMPUTED_VALUE"""),"")</f>
        <v/>
      </c>
      <c r="O1882" s="13" t="str">
        <f t="shared" si="1"/>
        <v/>
      </c>
    </row>
    <row r="1883" ht="22.5" customHeight="1">
      <c r="B1883" s="13">
        <f>IFERROR(__xludf.DUMMYFUNCTION("""COMPUTED_VALUE"""),1878.0)</f>
        <v>1878</v>
      </c>
      <c r="C1883" s="13" t="str">
        <f>IFERROR(__xludf.DUMMYFUNCTION("""COMPUTED_VALUE"""),"B.97/SUMUR PUTRI")</f>
        <v>B.97/SUMUR PUTRI</v>
      </c>
      <c r="D1883" s="13" t="str">
        <f>IFERROR(__xludf.DUMMYFUNCTION("""COMPUTED_VALUE"""),"K/8/250325/3")</f>
        <v>K/8/250325/3</v>
      </c>
      <c r="E1883" s="14" t="str">
        <f>IFERROR(__xludf.DUMMYFUNCTION("""COMPUTED_VALUE"""),"Nadian (BT)")</f>
        <v>Nadian (BT)</v>
      </c>
      <c r="F1883" s="14" t="str">
        <f>IFERROR(__xludf.DUMMYFUNCTION("""COMPUTED_VALUE"""),"SELESAI (VIA PERMOHONAN)")</f>
        <v>SELESAI (VIA PERMOHONAN)</v>
      </c>
      <c r="G1883" s="17">
        <f>IFERROR(__xludf.DUMMYFUNCTION("""COMPUTED_VALUE"""),45772.59709633102)</f>
        <v>45772.5971</v>
      </c>
      <c r="H1883" s="14" t="str">
        <f>IFERROR(__xludf.DUMMYFUNCTION("""COMPUTED_VALUE"""),"Bu Eva (SU)")</f>
        <v>Bu Eva (SU)</v>
      </c>
      <c r="I1883" s="13" t="str">
        <f>IFERROR(__xludf.DUMMYFUNCTION("""COMPUTED_VALUE"""),"SELESAI (VIA PERMOHONAN)")</f>
        <v>SELESAI (VIA PERMOHONAN)</v>
      </c>
      <c r="J1883" s="17">
        <f>IFERROR(__xludf.DUMMYFUNCTION("""COMPUTED_VALUE"""),45772.64103028935)</f>
        <v>45772.64103</v>
      </c>
      <c r="K1883" s="13" t="str">
        <f>IFERROR(__xludf.DUMMYFUNCTION("""COMPUTED_VALUE"""),"Selesai")</f>
        <v>Selesai</v>
      </c>
      <c r="L1883" s="17">
        <f>IFERROR(__xludf.DUMMYFUNCTION("""COMPUTED_VALUE"""),45772.64103028935)</f>
        <v>45772.64103</v>
      </c>
      <c r="M1883" s="13"/>
      <c r="N1883" s="13" t="str">
        <f>IFERROR(__xludf.DUMMYFUNCTION("""COMPUTED_VALUE"""),"")</f>
        <v/>
      </c>
      <c r="O1883" s="13" t="str">
        <f t="shared" si="1"/>
        <v/>
      </c>
    </row>
    <row r="1884" ht="22.5" customHeight="1">
      <c r="B1884" s="13">
        <f>IFERROR(__xludf.DUMMYFUNCTION("""COMPUTED_VALUE"""),1879.0)</f>
        <v>1879</v>
      </c>
      <c r="C1884" s="13" t="str">
        <f>IFERROR(__xludf.DUMMYFUNCTION("""COMPUTED_VALUE"""),"B. 1437/NEGERI OLOK GADING")</f>
        <v>B. 1437/NEGERI OLOK GADING</v>
      </c>
      <c r="D1884" s="13" t="str">
        <f>IFERROR(__xludf.DUMMYFUNCTION("""COMPUTED_VALUE"""),"K/53/240325/3")</f>
        <v>K/53/240325/3</v>
      </c>
      <c r="E1884" s="14" t="str">
        <f>IFERROR(__xludf.DUMMYFUNCTION("""COMPUTED_VALUE"""),"Nadian (BT)")</f>
        <v>Nadian (BT)</v>
      </c>
      <c r="F1884" s="14" t="str">
        <f>IFERROR(__xludf.DUMMYFUNCTION("""COMPUTED_VALUE"""),"SELESAI (VIA PERMOHONAN)")</f>
        <v>SELESAI (VIA PERMOHONAN)</v>
      </c>
      <c r="G1884" s="17">
        <f>IFERROR(__xludf.DUMMYFUNCTION("""COMPUTED_VALUE"""),45772.59709633102)</f>
        <v>45772.5971</v>
      </c>
      <c r="H1884" s="14" t="str">
        <f>IFERROR(__xludf.DUMMYFUNCTION("""COMPUTED_VALUE"""),"Bu Eva (SU)")</f>
        <v>Bu Eva (SU)</v>
      </c>
      <c r="I1884" s="13" t="str">
        <f>IFERROR(__xludf.DUMMYFUNCTION("""COMPUTED_VALUE"""),"SELESAI (VIA PERMOHONAN)")</f>
        <v>SELESAI (VIA PERMOHONAN)</v>
      </c>
      <c r="J1884" s="17">
        <f>IFERROR(__xludf.DUMMYFUNCTION("""COMPUTED_VALUE"""),45772.64103028935)</f>
        <v>45772.64103</v>
      </c>
      <c r="K1884" s="13" t="str">
        <f>IFERROR(__xludf.DUMMYFUNCTION("""COMPUTED_VALUE"""),"Selesai")</f>
        <v>Selesai</v>
      </c>
      <c r="L1884" s="17">
        <f>IFERROR(__xludf.DUMMYFUNCTION("""COMPUTED_VALUE"""),45772.64103028935)</f>
        <v>45772.64103</v>
      </c>
      <c r="M1884" s="13"/>
      <c r="N1884" s="13" t="str">
        <f>IFERROR(__xludf.DUMMYFUNCTION("""COMPUTED_VALUE"""),"")</f>
        <v/>
      </c>
      <c r="O1884" s="13" t="str">
        <f t="shared" si="1"/>
        <v/>
      </c>
    </row>
    <row r="1885" ht="22.5" customHeight="1">
      <c r="B1885" s="13">
        <f>IFERROR(__xludf.DUMMYFUNCTION("""COMPUTED_VALUE"""),1880.0)</f>
        <v>1880</v>
      </c>
      <c r="C1885" s="13" t="str">
        <f>IFERROR(__xludf.DUMMYFUNCTION("""COMPUTED_VALUE"""),"M.2805/SUKARAME BARU")</f>
        <v>M.2805/SUKARAME BARU</v>
      </c>
      <c r="D1885" s="13" t="str">
        <f>IFERROR(__xludf.DUMMYFUNCTION("""COMPUTED_VALUE"""),"K/11/100425/1")</f>
        <v>K/11/100425/1</v>
      </c>
      <c r="E1885" s="14" t="str">
        <f>IFERROR(__xludf.DUMMYFUNCTION("""COMPUTED_VALUE"""),"Nadian (BT)")</f>
        <v>Nadian (BT)</v>
      </c>
      <c r="F1885" s="14" t="str">
        <f>IFERROR(__xludf.DUMMYFUNCTION("""COMPUTED_VALUE"""),"SELESAI (VIA PERMOHONAN)")</f>
        <v>SELESAI (VIA PERMOHONAN)</v>
      </c>
      <c r="G1885" s="17">
        <f>IFERROR(__xludf.DUMMYFUNCTION("""COMPUTED_VALUE"""),45772.59709633102)</f>
        <v>45772.5971</v>
      </c>
      <c r="H1885" s="14" t="str">
        <f>IFERROR(__xludf.DUMMYFUNCTION("""COMPUTED_VALUE"""),"Bu Eva (SU)")</f>
        <v>Bu Eva (SU)</v>
      </c>
      <c r="I1885" s="13" t="str">
        <f>IFERROR(__xludf.DUMMYFUNCTION("""COMPUTED_VALUE"""),"SELESAI (VIA PERMOHONAN)")</f>
        <v>SELESAI (VIA PERMOHONAN)</v>
      </c>
      <c r="J1885" s="17">
        <f>IFERROR(__xludf.DUMMYFUNCTION("""COMPUTED_VALUE"""),45772.641030300925)</f>
        <v>45772.64103</v>
      </c>
      <c r="K1885" s="13" t="str">
        <f>IFERROR(__xludf.DUMMYFUNCTION("""COMPUTED_VALUE"""),"Selesai")</f>
        <v>Selesai</v>
      </c>
      <c r="L1885" s="17">
        <f>IFERROR(__xludf.DUMMYFUNCTION("""COMPUTED_VALUE"""),45772.641030300925)</f>
        <v>45772.64103</v>
      </c>
      <c r="M1885" s="13"/>
      <c r="N1885" s="13" t="str">
        <f>IFERROR(__xludf.DUMMYFUNCTION("""COMPUTED_VALUE"""),"")</f>
        <v/>
      </c>
      <c r="O1885" s="13" t="str">
        <f t="shared" si="1"/>
        <v/>
      </c>
    </row>
    <row r="1886" ht="22.5" customHeight="1">
      <c r="B1886" s="13">
        <f>IFERROR(__xludf.DUMMYFUNCTION("""COMPUTED_VALUE"""),1881.0)</f>
        <v>1881</v>
      </c>
      <c r="C1886" s="13" t="str">
        <f>IFERROR(__xludf.DUMMYFUNCTION("""COMPUTED_VALUE"""),"M.6489/WAY KANDIS")</f>
        <v>M.6489/WAY KANDIS</v>
      </c>
      <c r="D1886" s="13" t="str">
        <f>IFERROR(__xludf.DUMMYFUNCTION("""COMPUTED_VALUE"""),"K/33/210325/2")</f>
        <v>K/33/210325/2</v>
      </c>
      <c r="E1886" s="14" t="str">
        <f>IFERROR(__xludf.DUMMYFUNCTION("""COMPUTED_VALUE"""),"Nadian (BT)")</f>
        <v>Nadian (BT)</v>
      </c>
      <c r="F1886" s="14" t="str">
        <f>IFERROR(__xludf.DUMMYFUNCTION("""COMPUTED_VALUE"""),"SELESAI (VIA PERMOHONAN)")</f>
        <v>SELESAI (VIA PERMOHONAN)</v>
      </c>
      <c r="G1886" s="17">
        <f>IFERROR(__xludf.DUMMYFUNCTION("""COMPUTED_VALUE"""),45772.59709633102)</f>
        <v>45772.5971</v>
      </c>
      <c r="H1886" s="14" t="str">
        <f>IFERROR(__xludf.DUMMYFUNCTION("""COMPUTED_VALUE"""),"Bu Eva (SU)")</f>
        <v>Bu Eva (SU)</v>
      </c>
      <c r="I1886" s="13" t="str">
        <f>IFERROR(__xludf.DUMMYFUNCTION("""COMPUTED_VALUE"""),"SELESAI (VIA PERMOHONAN)")</f>
        <v>SELESAI (VIA PERMOHONAN)</v>
      </c>
      <c r="J1886" s="17">
        <f>IFERROR(__xludf.DUMMYFUNCTION("""COMPUTED_VALUE"""),45772.641030300925)</f>
        <v>45772.64103</v>
      </c>
      <c r="K1886" s="13" t="str">
        <f>IFERROR(__xludf.DUMMYFUNCTION("""COMPUTED_VALUE"""),"Selesai")</f>
        <v>Selesai</v>
      </c>
      <c r="L1886" s="17">
        <f>IFERROR(__xludf.DUMMYFUNCTION("""COMPUTED_VALUE"""),45772.641030300925)</f>
        <v>45772.64103</v>
      </c>
      <c r="M1886" s="13"/>
      <c r="N1886" s="13" t="str">
        <f>IFERROR(__xludf.DUMMYFUNCTION("""COMPUTED_VALUE"""),"")</f>
        <v/>
      </c>
      <c r="O1886" s="13" t="str">
        <f t="shared" si="1"/>
        <v/>
      </c>
    </row>
    <row r="1887" ht="22.5" customHeight="1">
      <c r="B1887" s="13">
        <f>IFERROR(__xludf.DUMMYFUNCTION("""COMPUTED_VALUE"""),1882.0)</f>
        <v>1882</v>
      </c>
      <c r="C1887" s="13" t="str">
        <f>IFERROR(__xludf.DUMMYFUNCTION("""COMPUTED_VALUE"""),"M.1878/KEDAUNG")</f>
        <v>M.1878/KEDAUNG</v>
      </c>
      <c r="D1887" s="13" t="str">
        <f>IFERROR(__xludf.DUMMYFUNCTION("""COMPUTED_VALUE"""),"K/42/231024/1")</f>
        <v>K/42/231024/1</v>
      </c>
      <c r="E1887" s="14" t="str">
        <f>IFERROR(__xludf.DUMMYFUNCTION("""COMPUTED_VALUE"""),"Nadian (BT)")</f>
        <v>Nadian (BT)</v>
      </c>
      <c r="F1887" s="14" t="str">
        <f>IFERROR(__xludf.DUMMYFUNCTION("""COMPUTED_VALUE"""),"SELESAI (VIA PERMOHONAN)")</f>
        <v>SELESAI (VIA PERMOHONAN)</v>
      </c>
      <c r="G1887" s="17">
        <f>IFERROR(__xludf.DUMMYFUNCTION("""COMPUTED_VALUE"""),45772.59709633102)</f>
        <v>45772.5971</v>
      </c>
      <c r="H1887" s="14" t="str">
        <f>IFERROR(__xludf.DUMMYFUNCTION("""COMPUTED_VALUE"""),"Bu Eva (SU)")</f>
        <v>Bu Eva (SU)</v>
      </c>
      <c r="I1887" s="13" t="str">
        <f>IFERROR(__xludf.DUMMYFUNCTION("""COMPUTED_VALUE"""),"SELESAI (VIA PERMOHONAN)")</f>
        <v>SELESAI (VIA PERMOHONAN)</v>
      </c>
      <c r="J1887" s="17">
        <f>IFERROR(__xludf.DUMMYFUNCTION("""COMPUTED_VALUE"""),45772.641030300925)</f>
        <v>45772.64103</v>
      </c>
      <c r="K1887" s="13" t="str">
        <f>IFERROR(__xludf.DUMMYFUNCTION("""COMPUTED_VALUE"""),"Selesai")</f>
        <v>Selesai</v>
      </c>
      <c r="L1887" s="17">
        <f>IFERROR(__xludf.DUMMYFUNCTION("""COMPUTED_VALUE"""),45772.641030300925)</f>
        <v>45772.64103</v>
      </c>
      <c r="M1887" s="13"/>
      <c r="N1887" s="13" t="str">
        <f>IFERROR(__xludf.DUMMYFUNCTION("""COMPUTED_VALUE"""),"")</f>
        <v/>
      </c>
      <c r="O1887" s="13" t="str">
        <f t="shared" si="1"/>
        <v/>
      </c>
    </row>
    <row r="1888" ht="22.5" customHeight="1">
      <c r="B1888" s="13">
        <f>IFERROR(__xludf.DUMMYFUNCTION("""COMPUTED_VALUE"""),1883.0)</f>
        <v>1883</v>
      </c>
      <c r="C1888" s="13" t="str">
        <f>IFERROR(__xludf.DUMMYFUNCTION("""COMPUTED_VALUE"""),"M. 872/ Pidada")</f>
        <v>M. 872/ Pidada</v>
      </c>
      <c r="D1888" s="13" t="str">
        <f>IFERROR(__xludf.DUMMYFUNCTION("""COMPUTED_VALUE"""),"K/6/200325/1")</f>
        <v>K/6/200325/1</v>
      </c>
      <c r="E1888" s="14" t="str">
        <f>IFERROR(__xludf.DUMMYFUNCTION("""COMPUTED_VALUE"""),"Nadian (BT)")</f>
        <v>Nadian (BT)</v>
      </c>
      <c r="F1888" s="14" t="str">
        <f>IFERROR(__xludf.DUMMYFUNCTION("""COMPUTED_VALUE"""),"SELESAI (VIA PERMOHONAN)")</f>
        <v>SELESAI (VIA PERMOHONAN)</v>
      </c>
      <c r="G1888" s="17">
        <f>IFERROR(__xludf.DUMMYFUNCTION("""COMPUTED_VALUE"""),45775.609566053245)</f>
        <v>45775.60957</v>
      </c>
      <c r="H1888" s="14" t="str">
        <f>IFERROR(__xludf.DUMMYFUNCTION("""COMPUTED_VALUE"""),"Bu Eva (SU)")</f>
        <v>Bu Eva (SU)</v>
      </c>
      <c r="I1888" s="13" t="str">
        <f>IFERROR(__xludf.DUMMYFUNCTION("""COMPUTED_VALUE"""),"SELESAI (VIA PERMOHONAN)")</f>
        <v>SELESAI (VIA PERMOHONAN)</v>
      </c>
      <c r="J1888" s="17">
        <f>IFERROR(__xludf.DUMMYFUNCTION("""COMPUTED_VALUE"""),45776.64822524306)</f>
        <v>45776.64823</v>
      </c>
      <c r="K1888" s="13" t="str">
        <f>IFERROR(__xludf.DUMMYFUNCTION("""COMPUTED_VALUE"""),"Selesai")</f>
        <v>Selesai</v>
      </c>
      <c r="L1888" s="17">
        <f>IFERROR(__xludf.DUMMYFUNCTION("""COMPUTED_VALUE"""),45776.64822524306)</f>
        <v>45776.64823</v>
      </c>
      <c r="M1888" s="13"/>
      <c r="N1888" s="13" t="str">
        <f>IFERROR(__xludf.DUMMYFUNCTION("""COMPUTED_VALUE"""),"")</f>
        <v/>
      </c>
      <c r="O1888" s="13" t="str">
        <f t="shared" si="1"/>
        <v/>
      </c>
    </row>
    <row r="1889" ht="22.5" customHeight="1">
      <c r="B1889" s="13">
        <f>IFERROR(__xludf.DUMMYFUNCTION("""COMPUTED_VALUE"""),1884.0)</f>
        <v>1884</v>
      </c>
      <c r="C1889" s="13" t="str">
        <f>IFERROR(__xludf.DUMMYFUNCTION("""COMPUTED_VALUE"""),"M. 1366/ Bumi Kedamaian")</f>
        <v>M. 1366/ Bumi Kedamaian</v>
      </c>
      <c r="D1889" s="13" t="str">
        <f>IFERROR(__xludf.DUMMYFUNCTION("""COMPUTED_VALUE"""),"K/17/260325/3")</f>
        <v>K/17/260325/3</v>
      </c>
      <c r="E1889" s="14" t="str">
        <f>IFERROR(__xludf.DUMMYFUNCTION("""COMPUTED_VALUE"""),"Nadian (BT)")</f>
        <v>Nadian (BT)</v>
      </c>
      <c r="F1889" s="14" t="str">
        <f>IFERROR(__xludf.DUMMYFUNCTION("""COMPUTED_VALUE"""),"SELESAI (VIA PERMOHONAN)")</f>
        <v>SELESAI (VIA PERMOHONAN)</v>
      </c>
      <c r="G1889" s="17">
        <f>IFERROR(__xludf.DUMMYFUNCTION("""COMPUTED_VALUE"""),45775.60959998843)</f>
        <v>45775.6096</v>
      </c>
      <c r="H1889" s="14" t="str">
        <f>IFERROR(__xludf.DUMMYFUNCTION("""COMPUTED_VALUE"""),"Bu Eva (SU)")</f>
        <v>Bu Eva (SU)</v>
      </c>
      <c r="I1889" s="13" t="str">
        <f>IFERROR(__xludf.DUMMYFUNCTION("""COMPUTED_VALUE"""),"SELESAI (VIA PERMOHONAN)")</f>
        <v>SELESAI (VIA PERMOHONAN)</v>
      </c>
      <c r="J1889" s="17">
        <f>IFERROR(__xludf.DUMMYFUNCTION("""COMPUTED_VALUE"""),45776.64822524306)</f>
        <v>45776.64823</v>
      </c>
      <c r="K1889" s="13" t="str">
        <f>IFERROR(__xludf.DUMMYFUNCTION("""COMPUTED_VALUE"""),"Selesai")</f>
        <v>Selesai</v>
      </c>
      <c r="L1889" s="17">
        <f>IFERROR(__xludf.DUMMYFUNCTION("""COMPUTED_VALUE"""),45776.64822524306)</f>
        <v>45776.64823</v>
      </c>
      <c r="M1889" s="13"/>
      <c r="N1889" s="13" t="str">
        <f>IFERROR(__xludf.DUMMYFUNCTION("""COMPUTED_VALUE"""),"")</f>
        <v/>
      </c>
      <c r="O1889" s="13" t="str">
        <f t="shared" si="1"/>
        <v/>
      </c>
    </row>
    <row r="1890" ht="22.5" customHeight="1">
      <c r="B1890" s="13">
        <f>IFERROR(__xludf.DUMMYFUNCTION("""COMPUTED_VALUE"""),1885.0)</f>
        <v>1885</v>
      </c>
      <c r="C1890" s="13" t="str">
        <f>IFERROR(__xludf.DUMMYFUNCTION("""COMPUTED_VALUE"""),"M. 723/ Way Dadi")</f>
        <v>M. 723/ Way Dadi</v>
      </c>
      <c r="D1890" s="13" t="str">
        <f>IFERROR(__xludf.DUMMYFUNCTION("""COMPUTED_VALUE"""),"K/16/140425/1")</f>
        <v>K/16/140425/1</v>
      </c>
      <c r="E1890" s="14" t="str">
        <f>IFERROR(__xludf.DUMMYFUNCTION("""COMPUTED_VALUE"""),"Nadian (BT)")</f>
        <v>Nadian (BT)</v>
      </c>
      <c r="F1890" s="14" t="str">
        <f>IFERROR(__xludf.DUMMYFUNCTION("""COMPUTED_VALUE"""),"SELESAI (VIA PERMOHONAN)")</f>
        <v>SELESAI (VIA PERMOHONAN)</v>
      </c>
      <c r="G1890" s="17">
        <f>IFERROR(__xludf.DUMMYFUNCTION("""COMPUTED_VALUE"""),45775.60959998843)</f>
        <v>45775.6096</v>
      </c>
      <c r="H1890" s="14" t="str">
        <f>IFERROR(__xludf.DUMMYFUNCTION("""COMPUTED_VALUE"""),"Bu Eva (SU)")</f>
        <v>Bu Eva (SU)</v>
      </c>
      <c r="I1890" s="13" t="str">
        <f>IFERROR(__xludf.DUMMYFUNCTION("""COMPUTED_VALUE"""),"SELESAI (VIA PERMOHONAN)")</f>
        <v>SELESAI (VIA PERMOHONAN)</v>
      </c>
      <c r="J1890" s="17">
        <f>IFERROR(__xludf.DUMMYFUNCTION("""COMPUTED_VALUE"""),45776.64822524306)</f>
        <v>45776.64823</v>
      </c>
      <c r="K1890" s="13" t="str">
        <f>IFERROR(__xludf.DUMMYFUNCTION("""COMPUTED_VALUE"""),"Selesai")</f>
        <v>Selesai</v>
      </c>
      <c r="L1890" s="17">
        <f>IFERROR(__xludf.DUMMYFUNCTION("""COMPUTED_VALUE"""),45776.64822524306)</f>
        <v>45776.64823</v>
      </c>
      <c r="M1890" s="13"/>
      <c r="N1890" s="13" t="str">
        <f>IFERROR(__xludf.DUMMYFUNCTION("""COMPUTED_VALUE"""),"")</f>
        <v/>
      </c>
      <c r="O1890" s="13" t="str">
        <f t="shared" si="1"/>
        <v/>
      </c>
    </row>
    <row r="1891" ht="22.5" customHeight="1">
      <c r="B1891" s="13">
        <f>IFERROR(__xludf.DUMMYFUNCTION("""COMPUTED_VALUE"""),1886.0)</f>
        <v>1886</v>
      </c>
      <c r="C1891" s="13" t="str">
        <f>IFERROR(__xludf.DUMMYFUNCTION("""COMPUTED_VALUE"""),"M. 2386/ Kedaung")</f>
        <v>M. 2386/ Kedaung</v>
      </c>
      <c r="D1891" s="13" t="str">
        <f>IFERROR(__xludf.DUMMYFUNCTION("""COMPUTED_VALUE"""),"K/9/110425/3")</f>
        <v>K/9/110425/3</v>
      </c>
      <c r="E1891" s="14" t="str">
        <f>IFERROR(__xludf.DUMMYFUNCTION("""COMPUTED_VALUE"""),"Nadian (BT)")</f>
        <v>Nadian (BT)</v>
      </c>
      <c r="F1891" s="14" t="str">
        <f>IFERROR(__xludf.DUMMYFUNCTION("""COMPUTED_VALUE"""),"SELESAI (VIA PERMOHONAN)")</f>
        <v>SELESAI (VIA PERMOHONAN)</v>
      </c>
      <c r="G1891" s="17">
        <f>IFERROR(__xludf.DUMMYFUNCTION("""COMPUTED_VALUE"""),45775.60959998843)</f>
        <v>45775.6096</v>
      </c>
      <c r="H1891" s="14" t="str">
        <f>IFERROR(__xludf.DUMMYFUNCTION("""COMPUTED_VALUE"""),"Bu Eva (SU)")</f>
        <v>Bu Eva (SU)</v>
      </c>
      <c r="I1891" s="13" t="str">
        <f>IFERROR(__xludf.DUMMYFUNCTION("""COMPUTED_VALUE"""),"SELESAI (VIA PERMOHONAN)")</f>
        <v>SELESAI (VIA PERMOHONAN)</v>
      </c>
      <c r="J1891" s="17">
        <f>IFERROR(__xludf.DUMMYFUNCTION("""COMPUTED_VALUE"""),45776.64822524306)</f>
        <v>45776.64823</v>
      </c>
      <c r="K1891" s="13" t="str">
        <f>IFERROR(__xludf.DUMMYFUNCTION("""COMPUTED_VALUE"""),"Selesai")</f>
        <v>Selesai</v>
      </c>
      <c r="L1891" s="17">
        <f>IFERROR(__xludf.DUMMYFUNCTION("""COMPUTED_VALUE"""),45776.64822524306)</f>
        <v>45776.64823</v>
      </c>
      <c r="M1891" s="13"/>
      <c r="N1891" s="13" t="str">
        <f>IFERROR(__xludf.DUMMYFUNCTION("""COMPUTED_VALUE"""),"")</f>
        <v/>
      </c>
      <c r="O1891" s="13" t="str">
        <f t="shared" si="1"/>
        <v/>
      </c>
    </row>
    <row r="1892" ht="22.5" customHeight="1">
      <c r="B1892" s="13">
        <f>IFERROR(__xludf.DUMMYFUNCTION("""COMPUTED_VALUE"""),1887.0)</f>
        <v>1887</v>
      </c>
      <c r="C1892" s="13" t="str">
        <f>IFERROR(__xludf.DUMMYFUNCTION("""COMPUTED_VALUE"""),"M. 9975/ Sukabumi")</f>
        <v>M. 9975/ Sukabumi</v>
      </c>
      <c r="D1892" s="13" t="str">
        <f>IFERROR(__xludf.DUMMYFUNCTION("""COMPUTED_VALUE"""),"K/13/140425/4")</f>
        <v>K/13/140425/4</v>
      </c>
      <c r="E1892" s="14" t="str">
        <f>IFERROR(__xludf.DUMMYFUNCTION("""COMPUTED_VALUE"""),"Nadian (BT)")</f>
        <v>Nadian (BT)</v>
      </c>
      <c r="F1892" s="14" t="str">
        <f>IFERROR(__xludf.DUMMYFUNCTION("""COMPUTED_VALUE"""),"SELESAI (VIA PERMOHONAN)")</f>
        <v>SELESAI (VIA PERMOHONAN)</v>
      </c>
      <c r="G1892" s="17">
        <f>IFERROR(__xludf.DUMMYFUNCTION("""COMPUTED_VALUE"""),45775.60959998843)</f>
        <v>45775.6096</v>
      </c>
      <c r="H1892" s="14" t="str">
        <f>IFERROR(__xludf.DUMMYFUNCTION("""COMPUTED_VALUE"""),"Bu Eva (SU)")</f>
        <v>Bu Eva (SU)</v>
      </c>
      <c r="I1892" s="13" t="str">
        <f>IFERROR(__xludf.DUMMYFUNCTION("""COMPUTED_VALUE"""),"SELESAI (VIA PERMOHONAN)")</f>
        <v>SELESAI (VIA PERMOHONAN)</v>
      </c>
      <c r="J1892" s="17">
        <f>IFERROR(__xludf.DUMMYFUNCTION("""COMPUTED_VALUE"""),45776.64822524306)</f>
        <v>45776.64823</v>
      </c>
      <c r="K1892" s="13" t="str">
        <f>IFERROR(__xludf.DUMMYFUNCTION("""COMPUTED_VALUE"""),"Selesai")</f>
        <v>Selesai</v>
      </c>
      <c r="L1892" s="17">
        <f>IFERROR(__xludf.DUMMYFUNCTION("""COMPUTED_VALUE"""),45776.64822524306)</f>
        <v>45776.64823</v>
      </c>
      <c r="M1892" s="13"/>
      <c r="N1892" s="13" t="str">
        <f>IFERROR(__xludf.DUMMYFUNCTION("""COMPUTED_VALUE"""),"")</f>
        <v/>
      </c>
      <c r="O1892" s="13" t="str">
        <f t="shared" si="1"/>
        <v/>
      </c>
    </row>
    <row r="1893" ht="22.5" customHeight="1">
      <c r="B1893" s="13">
        <f>IFERROR(__xludf.DUMMYFUNCTION("""COMPUTED_VALUE"""),1888.0)</f>
        <v>1888</v>
      </c>
      <c r="C1893" s="13" t="str">
        <f>IFERROR(__xludf.DUMMYFUNCTION("""COMPUTED_VALUE"""),"M. 1839/ Rajabasa Nunyai")</f>
        <v>M. 1839/ Rajabasa Nunyai</v>
      </c>
      <c r="D1893" s="13" t="str">
        <f>IFERROR(__xludf.DUMMYFUNCTION("""COMPUTED_VALUE"""),"K/38/160425/3")</f>
        <v>K/38/160425/3</v>
      </c>
      <c r="E1893" s="14" t="str">
        <f>IFERROR(__xludf.DUMMYFUNCTION("""COMPUTED_VALUE"""),"Nadian (BT)")</f>
        <v>Nadian (BT)</v>
      </c>
      <c r="F1893" s="14" t="str">
        <f>IFERROR(__xludf.DUMMYFUNCTION("""COMPUTED_VALUE"""),"SELESAI (VIA PERMOHONAN)")</f>
        <v>SELESAI (VIA PERMOHONAN)</v>
      </c>
      <c r="G1893" s="17">
        <f>IFERROR(__xludf.DUMMYFUNCTION("""COMPUTED_VALUE"""),45775.60959998843)</f>
        <v>45775.6096</v>
      </c>
      <c r="H1893" s="14" t="str">
        <f>IFERROR(__xludf.DUMMYFUNCTION("""COMPUTED_VALUE"""),"Bu Eva (SU)")</f>
        <v>Bu Eva (SU)</v>
      </c>
      <c r="I1893" s="13" t="str">
        <f>IFERROR(__xludf.DUMMYFUNCTION("""COMPUTED_VALUE"""),"SELESAI (VIA PERMOHONAN)")</f>
        <v>SELESAI (VIA PERMOHONAN)</v>
      </c>
      <c r="J1893" s="17">
        <f>IFERROR(__xludf.DUMMYFUNCTION("""COMPUTED_VALUE"""),45776.64822524306)</f>
        <v>45776.64823</v>
      </c>
      <c r="K1893" s="13" t="str">
        <f>IFERROR(__xludf.DUMMYFUNCTION("""COMPUTED_VALUE"""),"Selesai")</f>
        <v>Selesai</v>
      </c>
      <c r="L1893" s="17">
        <f>IFERROR(__xludf.DUMMYFUNCTION("""COMPUTED_VALUE"""),45776.64822524306)</f>
        <v>45776.64823</v>
      </c>
      <c r="M1893" s="13"/>
      <c r="N1893" s="13" t="str">
        <f>IFERROR(__xludf.DUMMYFUNCTION("""COMPUTED_VALUE"""),"")</f>
        <v/>
      </c>
      <c r="O1893" s="13" t="str">
        <f t="shared" si="1"/>
        <v/>
      </c>
    </row>
    <row r="1894" ht="22.5" customHeight="1">
      <c r="B1894" s="13">
        <f>IFERROR(__xludf.DUMMYFUNCTION("""COMPUTED_VALUE"""),1889.0)</f>
        <v>1889</v>
      </c>
      <c r="C1894" s="13" t="str">
        <f>IFERROR(__xludf.DUMMYFUNCTION("""COMPUTED_VALUE"""),"M. 1435/ Rajabasa Pemuka")</f>
        <v>M. 1435/ Rajabasa Pemuka</v>
      </c>
      <c r="D1894" s="13" t="str">
        <f>IFERROR(__xludf.DUMMYFUNCTION("""COMPUTED_VALUE"""),"K/1/170425/1")</f>
        <v>K/1/170425/1</v>
      </c>
      <c r="E1894" s="14" t="str">
        <f>IFERROR(__xludf.DUMMYFUNCTION("""COMPUTED_VALUE"""),"Nadian (BT)")</f>
        <v>Nadian (BT)</v>
      </c>
      <c r="F1894" s="14" t="str">
        <f>IFERROR(__xludf.DUMMYFUNCTION("""COMPUTED_VALUE"""),"SELESAI (VIA PERMOHONAN)")</f>
        <v>SELESAI (VIA PERMOHONAN)</v>
      </c>
      <c r="G1894" s="17">
        <f>IFERROR(__xludf.DUMMYFUNCTION("""COMPUTED_VALUE"""),45775.60959998843)</f>
        <v>45775.6096</v>
      </c>
      <c r="H1894" s="14" t="str">
        <f>IFERROR(__xludf.DUMMYFUNCTION("""COMPUTED_VALUE"""),"Bu Eva (SU)")</f>
        <v>Bu Eva (SU)</v>
      </c>
      <c r="I1894" s="13" t="str">
        <f>IFERROR(__xludf.DUMMYFUNCTION("""COMPUTED_VALUE"""),"SELESAI (VIA PERMOHONAN)")</f>
        <v>SELESAI (VIA PERMOHONAN)</v>
      </c>
      <c r="J1894" s="17">
        <f>IFERROR(__xludf.DUMMYFUNCTION("""COMPUTED_VALUE"""),45776.64822524306)</f>
        <v>45776.64823</v>
      </c>
      <c r="K1894" s="13" t="str">
        <f>IFERROR(__xludf.DUMMYFUNCTION("""COMPUTED_VALUE"""),"Selesai")</f>
        <v>Selesai</v>
      </c>
      <c r="L1894" s="17">
        <f>IFERROR(__xludf.DUMMYFUNCTION("""COMPUTED_VALUE"""),45776.64822524306)</f>
        <v>45776.64823</v>
      </c>
      <c r="M1894" s="13"/>
      <c r="N1894" s="13" t="str">
        <f>IFERROR(__xludf.DUMMYFUNCTION("""COMPUTED_VALUE"""),"")</f>
        <v/>
      </c>
      <c r="O1894" s="13" t="str">
        <f t="shared" si="1"/>
        <v/>
      </c>
    </row>
    <row r="1895" ht="22.5" customHeight="1">
      <c r="B1895" s="13">
        <f>IFERROR(__xludf.DUMMYFUNCTION("""COMPUTED_VALUE"""),1890.0)</f>
        <v>1890</v>
      </c>
      <c r="C1895" s="13" t="str">
        <f>IFERROR(__xludf.DUMMYFUNCTION("""COMPUTED_VALUE"""),"M. 12673/ Sukabumi")</f>
        <v>M. 12673/ Sukabumi</v>
      </c>
      <c r="D1895" s="13" t="str">
        <f>IFERROR(__xludf.DUMMYFUNCTION("""COMPUTED_VALUE"""),"K/19/250325/1")</f>
        <v>K/19/250325/1</v>
      </c>
      <c r="E1895" s="14" t="str">
        <f>IFERROR(__xludf.DUMMYFUNCTION("""COMPUTED_VALUE"""),"Nadian (BT)")</f>
        <v>Nadian (BT)</v>
      </c>
      <c r="F1895" s="14" t="str">
        <f>IFERROR(__xludf.DUMMYFUNCTION("""COMPUTED_VALUE"""),"SELESAI (VIA PERMOHONAN)")</f>
        <v>SELESAI (VIA PERMOHONAN)</v>
      </c>
      <c r="G1895" s="17">
        <f>IFERROR(__xludf.DUMMYFUNCTION("""COMPUTED_VALUE"""),45775.60959998843)</f>
        <v>45775.6096</v>
      </c>
      <c r="H1895" s="14" t="str">
        <f>IFERROR(__xludf.DUMMYFUNCTION("""COMPUTED_VALUE"""),"Bu Eva (SU)")</f>
        <v>Bu Eva (SU)</v>
      </c>
      <c r="I1895" s="13" t="str">
        <f>IFERROR(__xludf.DUMMYFUNCTION("""COMPUTED_VALUE"""),"SELESAI (VIA PERMOHONAN)")</f>
        <v>SELESAI (VIA PERMOHONAN)</v>
      </c>
      <c r="J1895" s="17">
        <f>IFERROR(__xludf.DUMMYFUNCTION("""COMPUTED_VALUE"""),45776.64822524306)</f>
        <v>45776.64823</v>
      </c>
      <c r="K1895" s="13" t="str">
        <f>IFERROR(__xludf.DUMMYFUNCTION("""COMPUTED_VALUE"""),"Selesai")</f>
        <v>Selesai</v>
      </c>
      <c r="L1895" s="17">
        <f>IFERROR(__xludf.DUMMYFUNCTION("""COMPUTED_VALUE"""),45776.64822524306)</f>
        <v>45776.64823</v>
      </c>
      <c r="M1895" s="13"/>
      <c r="N1895" s="13" t="str">
        <f>IFERROR(__xludf.DUMMYFUNCTION("""COMPUTED_VALUE"""),"")</f>
        <v/>
      </c>
      <c r="O1895" s="13" t="str">
        <f t="shared" si="1"/>
        <v/>
      </c>
    </row>
    <row r="1896" ht="22.5" customHeight="1">
      <c r="B1896" s="13">
        <f>IFERROR(__xludf.DUMMYFUNCTION("""COMPUTED_VALUE"""),1891.0)</f>
        <v>1891</v>
      </c>
      <c r="C1896" s="13" t="str">
        <f>IFERROR(__xludf.DUMMYFUNCTION("""COMPUTED_VALUE"""),"M. 12428/ Jagabaya II")</f>
        <v>M. 12428/ Jagabaya II</v>
      </c>
      <c r="D1896" s="13" t="str">
        <f>IFERROR(__xludf.DUMMYFUNCTION("""COMPUTED_VALUE"""),"K/16/160425/1")</f>
        <v>K/16/160425/1</v>
      </c>
      <c r="E1896" s="14" t="str">
        <f>IFERROR(__xludf.DUMMYFUNCTION("""COMPUTED_VALUE"""),"Nadian (BT)")</f>
        <v>Nadian (BT)</v>
      </c>
      <c r="F1896" s="14" t="str">
        <f>IFERROR(__xludf.DUMMYFUNCTION("""COMPUTED_VALUE"""),"SELESAI (VIA PERMOHONAN)")</f>
        <v>SELESAI (VIA PERMOHONAN)</v>
      </c>
      <c r="G1896" s="17">
        <f>IFERROR(__xludf.DUMMYFUNCTION("""COMPUTED_VALUE"""),45775.60959998843)</f>
        <v>45775.6096</v>
      </c>
      <c r="H1896" s="14" t="str">
        <f>IFERROR(__xludf.DUMMYFUNCTION("""COMPUTED_VALUE"""),"Bu Eva (SU)")</f>
        <v>Bu Eva (SU)</v>
      </c>
      <c r="I1896" s="13" t="str">
        <f>IFERROR(__xludf.DUMMYFUNCTION("""COMPUTED_VALUE"""),"SELESAI (VIA PERMOHONAN)")</f>
        <v>SELESAI (VIA PERMOHONAN)</v>
      </c>
      <c r="J1896" s="17">
        <f>IFERROR(__xludf.DUMMYFUNCTION("""COMPUTED_VALUE"""),45776.64822524306)</f>
        <v>45776.64823</v>
      </c>
      <c r="K1896" s="13" t="str">
        <f>IFERROR(__xludf.DUMMYFUNCTION("""COMPUTED_VALUE"""),"Selesai")</f>
        <v>Selesai</v>
      </c>
      <c r="L1896" s="17">
        <f>IFERROR(__xludf.DUMMYFUNCTION("""COMPUTED_VALUE"""),45776.64822524306)</f>
        <v>45776.64823</v>
      </c>
      <c r="M1896" s="13"/>
      <c r="N1896" s="13" t="str">
        <f>IFERROR(__xludf.DUMMYFUNCTION("""COMPUTED_VALUE"""),"")</f>
        <v/>
      </c>
      <c r="O1896" s="13" t="str">
        <f t="shared" si="1"/>
        <v/>
      </c>
    </row>
    <row r="1897" ht="22.5" customHeight="1">
      <c r="B1897" s="13">
        <f>IFERROR(__xludf.DUMMYFUNCTION("""COMPUTED_VALUE"""),1892.0)</f>
        <v>1892</v>
      </c>
      <c r="C1897" s="13" t="str">
        <f>IFERROR(__xludf.DUMMYFUNCTION("""COMPUTED_VALUE"""),"HM 17873/SUKARAME I")</f>
        <v>HM 17873/SUKARAME I</v>
      </c>
      <c r="D1897" s="13" t="str">
        <f>IFERROR(__xludf.DUMMYFUNCTION("""COMPUTED_VALUE"""),"L/2/240325/1")</f>
        <v>L/2/240325/1</v>
      </c>
      <c r="E1897" s="14" t="str">
        <f>IFERROR(__xludf.DUMMYFUNCTION("""COMPUTED_VALUE"""),"Nadian (BT)")</f>
        <v>Nadian (BT)</v>
      </c>
      <c r="F1897" s="14" t="str">
        <f>IFERROR(__xludf.DUMMYFUNCTION("""COMPUTED_VALUE"""),"SELESAI (VIA PERMOHONAN)")</f>
        <v>SELESAI (VIA PERMOHONAN)</v>
      </c>
      <c r="G1897" s="17">
        <f>IFERROR(__xludf.DUMMYFUNCTION("""COMPUTED_VALUE"""),45775.60959998843)</f>
        <v>45775.6096</v>
      </c>
      <c r="H1897" s="14" t="str">
        <f>IFERROR(__xludf.DUMMYFUNCTION("""COMPUTED_VALUE"""),"Bu Eva (SU)")</f>
        <v>Bu Eva (SU)</v>
      </c>
      <c r="I1897" s="13" t="str">
        <f>IFERROR(__xludf.DUMMYFUNCTION("""COMPUTED_VALUE"""),"SELESAI (VIA PERMOHONAN)")</f>
        <v>SELESAI (VIA PERMOHONAN)</v>
      </c>
      <c r="J1897" s="17">
        <f>IFERROR(__xludf.DUMMYFUNCTION("""COMPUTED_VALUE"""),45776.64822524306)</f>
        <v>45776.64823</v>
      </c>
      <c r="K1897" s="13" t="str">
        <f>IFERROR(__xludf.DUMMYFUNCTION("""COMPUTED_VALUE"""),"Selesai")</f>
        <v>Selesai</v>
      </c>
      <c r="L1897" s="17">
        <f>IFERROR(__xludf.DUMMYFUNCTION("""COMPUTED_VALUE"""),45776.64822524306)</f>
        <v>45776.64823</v>
      </c>
      <c r="M1897" s="13"/>
      <c r="N1897" s="13" t="str">
        <f>IFERROR(__xludf.DUMMYFUNCTION("""COMPUTED_VALUE"""),"")</f>
        <v/>
      </c>
      <c r="O1897" s="13" t="str">
        <f t="shared" si="1"/>
        <v/>
      </c>
    </row>
    <row r="1898" ht="22.5" customHeight="1">
      <c r="B1898" s="13">
        <f>IFERROR(__xludf.DUMMYFUNCTION("""COMPUTED_VALUE"""),1893.0)</f>
        <v>1893</v>
      </c>
      <c r="C1898" s="13" t="str">
        <f>IFERROR(__xludf.DUMMYFUNCTION("""COMPUTED_VALUE"""),"M 7829/SUKARAME")</f>
        <v>M 7829/SUKARAME</v>
      </c>
      <c r="D1898" s="13" t="str">
        <f>IFERROR(__xludf.DUMMYFUNCTION("""COMPUTED_VALUE"""),"L/50/240325/4")</f>
        <v>L/50/240325/4</v>
      </c>
      <c r="E1898" s="14" t="str">
        <f>IFERROR(__xludf.DUMMYFUNCTION("""COMPUTED_VALUE"""),"Nadian (BT)")</f>
        <v>Nadian (BT)</v>
      </c>
      <c r="F1898" s="14" t="str">
        <f>IFERROR(__xludf.DUMMYFUNCTION("""COMPUTED_VALUE"""),"SELESAI (VIA PERMOHONAN)")</f>
        <v>SELESAI (VIA PERMOHONAN)</v>
      </c>
      <c r="G1898" s="17">
        <f>IFERROR(__xludf.DUMMYFUNCTION("""COMPUTED_VALUE"""),45775.609599999996)</f>
        <v>45775.6096</v>
      </c>
      <c r="H1898" s="14" t="str">
        <f>IFERROR(__xludf.DUMMYFUNCTION("""COMPUTED_VALUE"""),"Bu Eva (SU)")</f>
        <v>Bu Eva (SU)</v>
      </c>
      <c r="I1898" s="13" t="str">
        <f>IFERROR(__xludf.DUMMYFUNCTION("""COMPUTED_VALUE"""),"SELESAI (VIA PERMOHONAN)")</f>
        <v>SELESAI (VIA PERMOHONAN)</v>
      </c>
      <c r="J1898" s="17">
        <f>IFERROR(__xludf.DUMMYFUNCTION("""COMPUTED_VALUE"""),45776.64822524306)</f>
        <v>45776.64823</v>
      </c>
      <c r="K1898" s="13" t="str">
        <f>IFERROR(__xludf.DUMMYFUNCTION("""COMPUTED_VALUE"""),"Selesai")</f>
        <v>Selesai</v>
      </c>
      <c r="L1898" s="17">
        <f>IFERROR(__xludf.DUMMYFUNCTION("""COMPUTED_VALUE"""),45776.64822524306)</f>
        <v>45776.64823</v>
      </c>
      <c r="M1898" s="13"/>
      <c r="N1898" s="13" t="str">
        <f>IFERROR(__xludf.DUMMYFUNCTION("""COMPUTED_VALUE"""),"")</f>
        <v/>
      </c>
      <c r="O1898" s="13" t="str">
        <f t="shared" si="1"/>
        <v/>
      </c>
    </row>
    <row r="1899" ht="22.5" customHeight="1">
      <c r="B1899" s="13">
        <f>IFERROR(__xludf.DUMMYFUNCTION("""COMPUTED_VALUE"""),1894.0)</f>
        <v>1894</v>
      </c>
      <c r="C1899" s="13" t="str">
        <f>IFERROR(__xludf.DUMMYFUNCTION("""COMPUTED_VALUE"""),"M. 1748/ Batu Putuk")</f>
        <v>M. 1748/ Batu Putuk</v>
      </c>
      <c r="D1899" s="13" t="str">
        <f>IFERROR(__xludf.DUMMYFUNCTION("""COMPUTED_VALUE"""),"K/2/140425/1")</f>
        <v>K/2/140425/1</v>
      </c>
      <c r="E1899" s="14" t="str">
        <f>IFERROR(__xludf.DUMMYFUNCTION("""COMPUTED_VALUE"""),"Nadian (BT)")</f>
        <v>Nadian (BT)</v>
      </c>
      <c r="F1899" s="14" t="str">
        <f>IFERROR(__xludf.DUMMYFUNCTION("""COMPUTED_VALUE"""),"SELESAI (VIA PERMOHONAN)")</f>
        <v>SELESAI (VIA PERMOHONAN)</v>
      </c>
      <c r="G1899" s="17">
        <f>IFERROR(__xludf.DUMMYFUNCTION("""COMPUTED_VALUE"""),45775.609599999996)</f>
        <v>45775.6096</v>
      </c>
      <c r="H1899" s="14" t="str">
        <f>IFERROR(__xludf.DUMMYFUNCTION("""COMPUTED_VALUE"""),"Bu Eva (SU)")</f>
        <v>Bu Eva (SU)</v>
      </c>
      <c r="I1899" s="13" t="str">
        <f>IFERROR(__xludf.DUMMYFUNCTION("""COMPUTED_VALUE"""),"SELESAI (VIA PERMOHONAN)")</f>
        <v>SELESAI (VIA PERMOHONAN)</v>
      </c>
      <c r="J1899" s="17">
        <f>IFERROR(__xludf.DUMMYFUNCTION("""COMPUTED_VALUE"""),45776.64822524306)</f>
        <v>45776.64823</v>
      </c>
      <c r="K1899" s="13" t="str">
        <f>IFERROR(__xludf.DUMMYFUNCTION("""COMPUTED_VALUE"""),"Selesai")</f>
        <v>Selesai</v>
      </c>
      <c r="L1899" s="17">
        <f>IFERROR(__xludf.DUMMYFUNCTION("""COMPUTED_VALUE"""),45776.64822524306)</f>
        <v>45776.64823</v>
      </c>
      <c r="M1899" s="13"/>
      <c r="N1899" s="13" t="str">
        <f>IFERROR(__xludf.DUMMYFUNCTION("""COMPUTED_VALUE"""),"")</f>
        <v/>
      </c>
      <c r="O1899" s="13" t="str">
        <f t="shared" si="1"/>
        <v/>
      </c>
    </row>
    <row r="1900" ht="22.5" customHeight="1">
      <c r="B1900" s="13">
        <f>IFERROR(__xludf.DUMMYFUNCTION("""COMPUTED_VALUE"""),1895.0)</f>
        <v>1895</v>
      </c>
      <c r="C1900" s="13" t="str">
        <f>IFERROR(__xludf.DUMMYFUNCTION("""COMPUTED_VALUE"""),"M. 1170/ Pematang Wangi")</f>
        <v>M. 1170/ Pematang Wangi</v>
      </c>
      <c r="D1900" s="13" t="str">
        <f>IFERROR(__xludf.DUMMYFUNCTION("""COMPUTED_VALUE"""),"K/15/140425/1")</f>
        <v>K/15/140425/1</v>
      </c>
      <c r="E1900" s="14" t="str">
        <f>IFERROR(__xludf.DUMMYFUNCTION("""COMPUTED_VALUE"""),"Nadian (BT)")</f>
        <v>Nadian (BT)</v>
      </c>
      <c r="F1900" s="14" t="str">
        <f>IFERROR(__xludf.DUMMYFUNCTION("""COMPUTED_VALUE"""),"SELESAI (VIA PERMOHONAN)")</f>
        <v>SELESAI (VIA PERMOHONAN)</v>
      </c>
      <c r="G1900" s="17">
        <f>IFERROR(__xludf.DUMMYFUNCTION("""COMPUTED_VALUE"""),45775.609599999996)</f>
        <v>45775.6096</v>
      </c>
      <c r="H1900" s="14" t="str">
        <f>IFERROR(__xludf.DUMMYFUNCTION("""COMPUTED_VALUE"""),"Bu Eva (SU)")</f>
        <v>Bu Eva (SU)</v>
      </c>
      <c r="I1900" s="13" t="str">
        <f>IFERROR(__xludf.DUMMYFUNCTION("""COMPUTED_VALUE"""),"SELESAI (VIA PERMOHONAN)")</f>
        <v>SELESAI (VIA PERMOHONAN)</v>
      </c>
      <c r="J1900" s="17">
        <f>IFERROR(__xludf.DUMMYFUNCTION("""COMPUTED_VALUE"""),45776.64822524306)</f>
        <v>45776.64823</v>
      </c>
      <c r="K1900" s="13" t="str">
        <f>IFERROR(__xludf.DUMMYFUNCTION("""COMPUTED_VALUE"""),"Selesai")</f>
        <v>Selesai</v>
      </c>
      <c r="L1900" s="17">
        <f>IFERROR(__xludf.DUMMYFUNCTION("""COMPUTED_VALUE"""),45776.64822524306)</f>
        <v>45776.64823</v>
      </c>
      <c r="M1900" s="13"/>
      <c r="N1900" s="13" t="str">
        <f>IFERROR(__xludf.DUMMYFUNCTION("""COMPUTED_VALUE"""),"")</f>
        <v/>
      </c>
      <c r="O1900" s="13" t="str">
        <f t="shared" si="1"/>
        <v/>
      </c>
    </row>
    <row r="1901" ht="22.5" customHeight="1">
      <c r="B1901" s="13">
        <f>IFERROR(__xludf.DUMMYFUNCTION("""COMPUTED_VALUE"""),1896.0)</f>
        <v>1896</v>
      </c>
      <c r="C1901" s="13" t="str">
        <f>IFERROR(__xludf.DUMMYFUNCTION("""COMPUTED_VALUE"""),"M. 243/ Durian Payung")</f>
        <v>M. 243/ Durian Payung</v>
      </c>
      <c r="D1901" s="13" t="str">
        <f>IFERROR(__xludf.DUMMYFUNCTION("""COMPUTED_VALUE"""),"K/21/140325/2")</f>
        <v>K/21/140325/2</v>
      </c>
      <c r="E1901" s="14" t="str">
        <f>IFERROR(__xludf.DUMMYFUNCTION("""COMPUTED_VALUE"""),"Nadian (BT)")</f>
        <v>Nadian (BT)</v>
      </c>
      <c r="F1901" s="14" t="str">
        <f>IFERROR(__xludf.DUMMYFUNCTION("""COMPUTED_VALUE"""),"SELESAI (VIA PERMOHONAN)")</f>
        <v>SELESAI (VIA PERMOHONAN)</v>
      </c>
      <c r="G1901" s="17">
        <f>IFERROR(__xludf.DUMMYFUNCTION("""COMPUTED_VALUE"""),45775.609599999996)</f>
        <v>45775.6096</v>
      </c>
      <c r="H1901" s="14" t="str">
        <f>IFERROR(__xludf.DUMMYFUNCTION("""COMPUTED_VALUE"""),"Bu Eva (SU)")</f>
        <v>Bu Eva (SU)</v>
      </c>
      <c r="I1901" s="13" t="str">
        <f>IFERROR(__xludf.DUMMYFUNCTION("""COMPUTED_VALUE"""),"SELESAI (VIA PERMOHONAN)")</f>
        <v>SELESAI (VIA PERMOHONAN)</v>
      </c>
      <c r="J1901" s="17">
        <f>IFERROR(__xludf.DUMMYFUNCTION("""COMPUTED_VALUE"""),45776.64822524306)</f>
        <v>45776.64823</v>
      </c>
      <c r="K1901" s="13" t="str">
        <f>IFERROR(__xludf.DUMMYFUNCTION("""COMPUTED_VALUE"""),"Selesai")</f>
        <v>Selesai</v>
      </c>
      <c r="L1901" s="17">
        <f>IFERROR(__xludf.DUMMYFUNCTION("""COMPUTED_VALUE"""),45776.64822524306)</f>
        <v>45776.64823</v>
      </c>
      <c r="M1901" s="13"/>
      <c r="N1901" s="13" t="str">
        <f>IFERROR(__xludf.DUMMYFUNCTION("""COMPUTED_VALUE"""),"")</f>
        <v/>
      </c>
      <c r="O1901" s="13" t="str">
        <f t="shared" si="1"/>
        <v/>
      </c>
    </row>
    <row r="1902" ht="22.5" customHeight="1">
      <c r="B1902" s="13">
        <f>IFERROR(__xludf.DUMMYFUNCTION("""COMPUTED_VALUE"""),1897.0)</f>
        <v>1897</v>
      </c>
      <c r="C1902" s="13" t="str">
        <f>IFERROR(__xludf.DUMMYFUNCTION("""COMPUTED_VALUE"""),"M. 9564/ Kedaton")</f>
        <v>M. 9564/ Kedaton</v>
      </c>
      <c r="D1902" s="13" t="str">
        <f>IFERROR(__xludf.DUMMYFUNCTION("""COMPUTED_VALUE"""),"K/7/170425/2")</f>
        <v>K/7/170425/2</v>
      </c>
      <c r="E1902" s="14" t="str">
        <f>IFERROR(__xludf.DUMMYFUNCTION("""COMPUTED_VALUE"""),"Nadian (BT)")</f>
        <v>Nadian (BT)</v>
      </c>
      <c r="F1902" s="14" t="str">
        <f>IFERROR(__xludf.DUMMYFUNCTION("""COMPUTED_VALUE"""),"SELESAI (VIA PERMOHONAN)")</f>
        <v>SELESAI (VIA PERMOHONAN)</v>
      </c>
      <c r="G1902" s="17">
        <f>IFERROR(__xludf.DUMMYFUNCTION("""COMPUTED_VALUE"""),45775.609599999996)</f>
        <v>45775.6096</v>
      </c>
      <c r="H1902" s="14" t="str">
        <f>IFERROR(__xludf.DUMMYFUNCTION("""COMPUTED_VALUE"""),"Bu Eva (SU)")</f>
        <v>Bu Eva (SU)</v>
      </c>
      <c r="I1902" s="13" t="str">
        <f>IFERROR(__xludf.DUMMYFUNCTION("""COMPUTED_VALUE"""),"SELESAI (VIA PERMOHONAN)")</f>
        <v>SELESAI (VIA PERMOHONAN)</v>
      </c>
      <c r="J1902" s="17">
        <f>IFERROR(__xludf.DUMMYFUNCTION("""COMPUTED_VALUE"""),45776.64828258102)</f>
        <v>45776.64828</v>
      </c>
      <c r="K1902" s="13" t="str">
        <f>IFERROR(__xludf.DUMMYFUNCTION("""COMPUTED_VALUE"""),"Selesai")</f>
        <v>Selesai</v>
      </c>
      <c r="L1902" s="17">
        <f>IFERROR(__xludf.DUMMYFUNCTION("""COMPUTED_VALUE"""),45776.64828258102)</f>
        <v>45776.64828</v>
      </c>
      <c r="M1902" s="13"/>
      <c r="N1902" s="13" t="str">
        <f>IFERROR(__xludf.DUMMYFUNCTION("""COMPUTED_VALUE"""),"")</f>
        <v/>
      </c>
      <c r="O1902" s="13" t="str">
        <f t="shared" si="1"/>
        <v/>
      </c>
    </row>
    <row r="1903" ht="22.5" customHeight="1">
      <c r="B1903" s="13">
        <f>IFERROR(__xludf.DUMMYFUNCTION("""COMPUTED_VALUE"""),1898.0)</f>
        <v>1898</v>
      </c>
      <c r="C1903" s="13" t="str">
        <f>IFERROR(__xludf.DUMMYFUNCTION("""COMPUTED_VALUE"""),"M. 2453/ Kedaung ")</f>
        <v>M. 2453/ Kedaung </v>
      </c>
      <c r="D1903" s="13" t="str">
        <f>IFERROR(__xludf.DUMMYFUNCTION("""COMPUTED_VALUE"""),"K/33/120325/1")</f>
        <v>K/33/120325/1</v>
      </c>
      <c r="E1903" s="14" t="str">
        <f>IFERROR(__xludf.DUMMYFUNCTION("""COMPUTED_VALUE"""),"Nadian (BT)")</f>
        <v>Nadian (BT)</v>
      </c>
      <c r="F1903" s="14" t="str">
        <f>IFERROR(__xludf.DUMMYFUNCTION("""COMPUTED_VALUE"""),"SELESAI (VIA PERMOHONAN)")</f>
        <v>SELESAI (VIA PERMOHONAN)</v>
      </c>
      <c r="G1903" s="17">
        <f>IFERROR(__xludf.DUMMYFUNCTION("""COMPUTED_VALUE"""),45775.609599999996)</f>
        <v>45775.6096</v>
      </c>
      <c r="H1903" s="14" t="str">
        <f>IFERROR(__xludf.DUMMYFUNCTION("""COMPUTED_VALUE"""),"Bu Eva (SU)")</f>
        <v>Bu Eva (SU)</v>
      </c>
      <c r="I1903" s="13" t="str">
        <f>IFERROR(__xludf.DUMMYFUNCTION("""COMPUTED_VALUE"""),"SELESAI (VIA PERMOHONAN)")</f>
        <v>SELESAI (VIA PERMOHONAN)</v>
      </c>
      <c r="J1903" s="17">
        <f>IFERROR(__xludf.DUMMYFUNCTION("""COMPUTED_VALUE"""),45776.64828258102)</f>
        <v>45776.64828</v>
      </c>
      <c r="K1903" s="13" t="str">
        <f>IFERROR(__xludf.DUMMYFUNCTION("""COMPUTED_VALUE"""),"Selesai")</f>
        <v>Selesai</v>
      </c>
      <c r="L1903" s="17">
        <f>IFERROR(__xludf.DUMMYFUNCTION("""COMPUTED_VALUE"""),45776.64828258102)</f>
        <v>45776.64828</v>
      </c>
      <c r="M1903" s="13"/>
      <c r="N1903" s="13" t="str">
        <f>IFERROR(__xludf.DUMMYFUNCTION("""COMPUTED_VALUE"""),"")</f>
        <v/>
      </c>
      <c r="O1903" s="13" t="str">
        <f t="shared" si="1"/>
        <v/>
      </c>
    </row>
    <row r="1904" ht="22.5" customHeight="1">
      <c r="B1904" s="13">
        <f>IFERROR(__xludf.DUMMYFUNCTION("""COMPUTED_VALUE"""),1899.0)</f>
        <v>1899</v>
      </c>
      <c r="C1904" s="13" t="str">
        <f>IFERROR(__xludf.DUMMYFUNCTION("""COMPUTED_VALUE"""),"M. 9045/ Gedong Meneng")</f>
        <v>M. 9045/ Gedong Meneng</v>
      </c>
      <c r="D1904" s="13" t="str">
        <f>IFERROR(__xludf.DUMMYFUNCTION("""COMPUTED_VALUE"""),"K/32/160425/1")</f>
        <v>K/32/160425/1</v>
      </c>
      <c r="E1904" s="14" t="str">
        <f>IFERROR(__xludf.DUMMYFUNCTION("""COMPUTED_VALUE"""),"Nadian (BT)")</f>
        <v>Nadian (BT)</v>
      </c>
      <c r="F1904" s="14" t="str">
        <f>IFERROR(__xludf.DUMMYFUNCTION("""COMPUTED_VALUE"""),"SELESAI (VIA PERMOHONAN)")</f>
        <v>SELESAI (VIA PERMOHONAN)</v>
      </c>
      <c r="G1904" s="17">
        <f>IFERROR(__xludf.DUMMYFUNCTION("""COMPUTED_VALUE"""),45775.609599999996)</f>
        <v>45775.6096</v>
      </c>
      <c r="H1904" s="14" t="str">
        <f>IFERROR(__xludf.DUMMYFUNCTION("""COMPUTED_VALUE"""),"Bu Eva (SU)")</f>
        <v>Bu Eva (SU)</v>
      </c>
      <c r="I1904" s="13" t="str">
        <f>IFERROR(__xludf.DUMMYFUNCTION("""COMPUTED_VALUE"""),"SELESAI (VIA PERMOHONAN)")</f>
        <v>SELESAI (VIA PERMOHONAN)</v>
      </c>
      <c r="J1904" s="17">
        <f>IFERROR(__xludf.DUMMYFUNCTION("""COMPUTED_VALUE"""),45776.64828259259)</f>
        <v>45776.64828</v>
      </c>
      <c r="K1904" s="13" t="str">
        <f>IFERROR(__xludf.DUMMYFUNCTION("""COMPUTED_VALUE"""),"Selesai")</f>
        <v>Selesai</v>
      </c>
      <c r="L1904" s="17">
        <f>IFERROR(__xludf.DUMMYFUNCTION("""COMPUTED_VALUE"""),45776.64828259259)</f>
        <v>45776.64828</v>
      </c>
      <c r="M1904" s="13"/>
      <c r="N1904" s="13" t="str">
        <f>IFERROR(__xludf.DUMMYFUNCTION("""COMPUTED_VALUE"""),"")</f>
        <v/>
      </c>
      <c r="O1904" s="13" t="str">
        <f t="shared" si="1"/>
        <v/>
      </c>
    </row>
    <row r="1905" ht="22.5" customHeight="1">
      <c r="B1905" s="13">
        <f>IFERROR(__xludf.DUMMYFUNCTION("""COMPUTED_VALUE"""),1900.0)</f>
        <v>1900</v>
      </c>
      <c r="C1905" s="13" t="str">
        <f>IFERROR(__xludf.DUMMYFUNCTION("""COMPUTED_VALUE"""),"M.1552/PESAWAHAN")</f>
        <v>M.1552/PESAWAHAN</v>
      </c>
      <c r="D1905" s="13" t="str">
        <f>IFERROR(__xludf.DUMMYFUNCTION("""COMPUTED_VALUE"""),"K/34/181024/2")</f>
        <v>K/34/181024/2</v>
      </c>
      <c r="E1905" s="14" t="str">
        <f>IFERROR(__xludf.DUMMYFUNCTION("""COMPUTED_VALUE"""),"Nadian (BT)")</f>
        <v>Nadian (BT)</v>
      </c>
      <c r="F1905" s="14" t="str">
        <f>IFERROR(__xludf.DUMMYFUNCTION("""COMPUTED_VALUE"""),"SELESAI (VIA PERMOHONAN)")</f>
        <v>SELESAI (VIA PERMOHONAN)</v>
      </c>
      <c r="G1905" s="17">
        <f>IFERROR(__xludf.DUMMYFUNCTION("""COMPUTED_VALUE"""),45775.609599999996)</f>
        <v>45775.6096</v>
      </c>
      <c r="H1905" s="14" t="str">
        <f>IFERROR(__xludf.DUMMYFUNCTION("""COMPUTED_VALUE"""),"Bu Eva (SU)")</f>
        <v>Bu Eva (SU)</v>
      </c>
      <c r="I1905" s="13" t="str">
        <f>IFERROR(__xludf.DUMMYFUNCTION("""COMPUTED_VALUE"""),"SELESAI (VIA PERMOHONAN)")</f>
        <v>SELESAI (VIA PERMOHONAN)</v>
      </c>
      <c r="J1905" s="17">
        <f>IFERROR(__xludf.DUMMYFUNCTION("""COMPUTED_VALUE"""),45776.64828259259)</f>
        <v>45776.64828</v>
      </c>
      <c r="K1905" s="13" t="str">
        <f>IFERROR(__xludf.DUMMYFUNCTION("""COMPUTED_VALUE"""),"Selesai")</f>
        <v>Selesai</v>
      </c>
      <c r="L1905" s="17">
        <f>IFERROR(__xludf.DUMMYFUNCTION("""COMPUTED_VALUE"""),45776.64828259259)</f>
        <v>45776.64828</v>
      </c>
      <c r="M1905" s="13"/>
      <c r="N1905" s="13" t="str">
        <f>IFERROR(__xludf.DUMMYFUNCTION("""COMPUTED_VALUE"""),"")</f>
        <v/>
      </c>
      <c r="O1905" s="13" t="str">
        <f t="shared" si="1"/>
        <v/>
      </c>
    </row>
    <row r="1906" ht="22.5" customHeight="1">
      <c r="B1906" s="13">
        <f>IFERROR(__xludf.DUMMYFUNCTION("""COMPUTED_VALUE"""),1901.0)</f>
        <v>1901</v>
      </c>
      <c r="C1906" s="13" t="str">
        <f>IFERROR(__xludf.DUMMYFUNCTION("""COMPUTED_VALUE"""),"M. 971/ Kangkung")</f>
        <v>M. 971/ Kangkung</v>
      </c>
      <c r="D1906" s="13" t="str">
        <f>IFERROR(__xludf.DUMMYFUNCTION("""COMPUTED_VALUE"""),"K/26/030325/1")</f>
        <v>K/26/030325/1</v>
      </c>
      <c r="E1906" s="14" t="str">
        <f>IFERROR(__xludf.DUMMYFUNCTION("""COMPUTED_VALUE"""),"Nadian (BT)")</f>
        <v>Nadian (BT)</v>
      </c>
      <c r="F1906" s="14" t="str">
        <f>IFERROR(__xludf.DUMMYFUNCTION("""COMPUTED_VALUE"""),"SELESAI (VIA PERMOHONAN)")</f>
        <v>SELESAI (VIA PERMOHONAN)</v>
      </c>
      <c r="G1906" s="17">
        <f>IFERROR(__xludf.DUMMYFUNCTION("""COMPUTED_VALUE"""),45775.609599999996)</f>
        <v>45775.6096</v>
      </c>
      <c r="H1906" s="14" t="str">
        <f>IFERROR(__xludf.DUMMYFUNCTION("""COMPUTED_VALUE"""),"Bu Eva (SU)")</f>
        <v>Bu Eva (SU)</v>
      </c>
      <c r="I1906" s="13" t="str">
        <f>IFERROR(__xludf.DUMMYFUNCTION("""COMPUTED_VALUE"""),"SELESAI (VIA PERMOHONAN)")</f>
        <v>SELESAI (VIA PERMOHONAN)</v>
      </c>
      <c r="J1906" s="17">
        <f>IFERROR(__xludf.DUMMYFUNCTION("""COMPUTED_VALUE"""),45776.64832065972)</f>
        <v>45776.64832</v>
      </c>
      <c r="K1906" s="13" t="str">
        <f>IFERROR(__xludf.DUMMYFUNCTION("""COMPUTED_VALUE"""),"Selesai")</f>
        <v>Selesai</v>
      </c>
      <c r="L1906" s="17">
        <f>IFERROR(__xludf.DUMMYFUNCTION("""COMPUTED_VALUE"""),45776.64832065972)</f>
        <v>45776.64832</v>
      </c>
      <c r="M1906" s="13"/>
      <c r="N1906" s="13" t="str">
        <f>IFERROR(__xludf.DUMMYFUNCTION("""COMPUTED_VALUE"""),"")</f>
        <v/>
      </c>
      <c r="O1906" s="13" t="str">
        <f t="shared" si="1"/>
        <v/>
      </c>
    </row>
    <row r="1907" ht="22.5" customHeight="1">
      <c r="B1907" s="13">
        <f>IFERROR(__xludf.DUMMYFUNCTION("""COMPUTED_VALUE"""),1902.0)</f>
        <v>1902</v>
      </c>
      <c r="C1907" s="13" t="str">
        <f>IFERROR(__xludf.DUMMYFUNCTION("""COMPUTED_VALUE"""),"M. 1644/ Labuhan Dalam")</f>
        <v>M. 1644/ Labuhan Dalam</v>
      </c>
      <c r="D1907" s="13" t="str">
        <f>IFERROR(__xludf.DUMMYFUNCTION("""COMPUTED_VALUE"""),"K/20/100425/1")</f>
        <v>K/20/100425/1</v>
      </c>
      <c r="E1907" s="14" t="str">
        <f>IFERROR(__xludf.DUMMYFUNCTION("""COMPUTED_VALUE"""),"Nadian (BT)")</f>
        <v>Nadian (BT)</v>
      </c>
      <c r="F1907" s="14" t="str">
        <f>IFERROR(__xludf.DUMMYFUNCTION("""COMPUTED_VALUE"""),"SELESAI (VIA PERMOHONAN)")</f>
        <v>SELESAI (VIA PERMOHONAN)</v>
      </c>
      <c r="G1907" s="17">
        <f>IFERROR(__xludf.DUMMYFUNCTION("""COMPUTED_VALUE"""),45775.609599999996)</f>
        <v>45775.6096</v>
      </c>
      <c r="H1907" s="14" t="str">
        <f>IFERROR(__xludf.DUMMYFUNCTION("""COMPUTED_VALUE"""),"Bu Eva (SU)")</f>
        <v>Bu Eva (SU)</v>
      </c>
      <c r="I1907" s="13" t="str">
        <f>IFERROR(__xludf.DUMMYFUNCTION("""COMPUTED_VALUE"""),"SELESAI (VIA PERMOHONAN)")</f>
        <v>SELESAI (VIA PERMOHONAN)</v>
      </c>
      <c r="J1907" s="17">
        <f>IFERROR(__xludf.DUMMYFUNCTION("""COMPUTED_VALUE"""),45776.64832065972)</f>
        <v>45776.64832</v>
      </c>
      <c r="K1907" s="13" t="str">
        <f>IFERROR(__xludf.DUMMYFUNCTION("""COMPUTED_VALUE"""),"Selesai")</f>
        <v>Selesai</v>
      </c>
      <c r="L1907" s="17">
        <f>IFERROR(__xludf.DUMMYFUNCTION("""COMPUTED_VALUE"""),45776.64832065972)</f>
        <v>45776.64832</v>
      </c>
      <c r="M1907" s="13"/>
      <c r="N1907" s="13" t="str">
        <f>IFERROR(__xludf.DUMMYFUNCTION("""COMPUTED_VALUE"""),"")</f>
        <v/>
      </c>
      <c r="O1907" s="13" t="str">
        <f t="shared" si="1"/>
        <v/>
      </c>
    </row>
    <row r="1908" ht="22.5" customHeight="1">
      <c r="B1908" s="13">
        <f>IFERROR(__xludf.DUMMYFUNCTION("""COMPUTED_VALUE"""),1903.0)</f>
        <v>1903</v>
      </c>
      <c r="C1908" s="13" t="str">
        <f>IFERROR(__xludf.DUMMYFUNCTION("""COMPUTED_VALUE"""),"M. 1000/SUKARAME BARU")</f>
        <v>M. 1000/SUKARAME BARU</v>
      </c>
      <c r="D1908" s="13" t="str">
        <f>IFERROR(__xludf.DUMMYFUNCTION("""COMPUTED_VALUE"""),"K/8/260325/1")</f>
        <v>K/8/260325/1</v>
      </c>
      <c r="E1908" s="14" t="str">
        <f>IFERROR(__xludf.DUMMYFUNCTION("""COMPUTED_VALUE"""),"Afriza (BT)")</f>
        <v>Afriza (BT)</v>
      </c>
      <c r="F1908" s="14" t="str">
        <f>IFERROR(__xludf.DUMMYFUNCTION("""COMPUTED_VALUE"""),"SELESAI (VIA PERMOHONAN)")</f>
        <v>SELESAI (VIA PERMOHONAN)</v>
      </c>
      <c r="G1908" s="17">
        <f>IFERROR(__xludf.DUMMYFUNCTION("""COMPUTED_VALUE"""),45776.43732506945)</f>
        <v>45776.43733</v>
      </c>
      <c r="H1908" s="14" t="str">
        <f>IFERROR(__xludf.DUMMYFUNCTION("""COMPUTED_VALUE"""),"Bu Eva (SU)")</f>
        <v>Bu Eva (SU)</v>
      </c>
      <c r="I1908" s="13" t="str">
        <f>IFERROR(__xludf.DUMMYFUNCTION("""COMPUTED_VALUE"""),"SELESAI (VIA PERMOHONAN)")</f>
        <v>SELESAI (VIA PERMOHONAN)</v>
      </c>
      <c r="J1908" s="17">
        <f>IFERROR(__xludf.DUMMYFUNCTION("""COMPUTED_VALUE"""),45776.437377256945)</f>
        <v>45776.43738</v>
      </c>
      <c r="K1908" s="13" t="str">
        <f>IFERROR(__xludf.DUMMYFUNCTION("""COMPUTED_VALUE"""),"Selesai")</f>
        <v>Selesai</v>
      </c>
      <c r="L1908" s="17">
        <f>IFERROR(__xludf.DUMMYFUNCTION("""COMPUTED_VALUE"""),45776.437377256945)</f>
        <v>45776.43738</v>
      </c>
      <c r="M1908" s="13"/>
      <c r="N1908" s="13" t="str">
        <f>IFERROR(__xludf.DUMMYFUNCTION("""COMPUTED_VALUE"""),"")</f>
        <v/>
      </c>
      <c r="O1908" s="13" t="str">
        <f t="shared" si="1"/>
        <v/>
      </c>
    </row>
    <row r="1909" ht="22.5" customHeight="1">
      <c r="B1909" s="13">
        <f>IFERROR(__xludf.DUMMYFUNCTION("""COMPUTED_VALUE"""),1904.0)</f>
        <v>1904</v>
      </c>
      <c r="C1909" s="13" t="str">
        <f>IFERROR(__xludf.DUMMYFUNCTION("""COMPUTED_VALUE"""),"HM 1066/TALANG")</f>
        <v>HM 1066/TALANG</v>
      </c>
      <c r="D1909" s="13" t="str">
        <f>IFERROR(__xludf.DUMMYFUNCTION("""COMPUTED_VALUE"""),"L/20/260325/1")</f>
        <v>L/20/260325/1</v>
      </c>
      <c r="E1909" s="14" t="str">
        <f>IFERROR(__xludf.DUMMYFUNCTION("""COMPUTED_VALUE"""),"Afriza (BT)")</f>
        <v>Afriza (BT)</v>
      </c>
      <c r="F1909" s="14" t="str">
        <f>IFERROR(__xludf.DUMMYFUNCTION("""COMPUTED_VALUE"""),"SELESAI (VIA PERMOHONAN)")</f>
        <v>SELESAI (VIA PERMOHONAN)</v>
      </c>
      <c r="G1909" s="17">
        <f>IFERROR(__xludf.DUMMYFUNCTION("""COMPUTED_VALUE"""),45776.43752057871)</f>
        <v>45776.43752</v>
      </c>
      <c r="H1909" s="14" t="str">
        <f>IFERROR(__xludf.DUMMYFUNCTION("""COMPUTED_VALUE"""),"Bu Eva (SU)")</f>
        <v>Bu Eva (SU)</v>
      </c>
      <c r="I1909" s="13" t="str">
        <f>IFERROR(__xludf.DUMMYFUNCTION("""COMPUTED_VALUE"""),"SELESAI (VIA PERMOHONAN)")</f>
        <v>SELESAI (VIA PERMOHONAN)</v>
      </c>
      <c r="J1909" s="17">
        <f>IFERROR(__xludf.DUMMYFUNCTION("""COMPUTED_VALUE"""),45776.43757289352)</f>
        <v>45776.43757</v>
      </c>
      <c r="K1909" s="13" t="str">
        <f>IFERROR(__xludf.DUMMYFUNCTION("""COMPUTED_VALUE"""),"Selesai")</f>
        <v>Selesai</v>
      </c>
      <c r="L1909" s="17">
        <f>IFERROR(__xludf.DUMMYFUNCTION("""COMPUTED_VALUE"""),45776.43757289352)</f>
        <v>45776.43757</v>
      </c>
      <c r="M1909" s="13"/>
      <c r="N1909" s="13" t="str">
        <f>IFERROR(__xludf.DUMMYFUNCTION("""COMPUTED_VALUE"""),"")</f>
        <v/>
      </c>
      <c r="O1909" s="13" t="str">
        <f t="shared" si="1"/>
        <v/>
      </c>
    </row>
    <row r="1910" ht="22.5" customHeight="1">
      <c r="B1910" s="13">
        <f>IFERROR(__xludf.DUMMYFUNCTION("""COMPUTED_VALUE"""),1905.0)</f>
        <v>1905</v>
      </c>
      <c r="C1910" s="13" t="str">
        <f>IFERROR(__xludf.DUMMYFUNCTION("""COMPUTED_VALUE"""),"HM 4506/RAJABASA JAYA")</f>
        <v>HM 4506/RAJABASA JAYA</v>
      </c>
      <c r="D1910" s="13" t="str">
        <f>IFERROR(__xludf.DUMMYFUNCTION("""COMPUTED_VALUE"""),"L/14/250425/1")</f>
        <v>L/14/250425/1</v>
      </c>
      <c r="E1910" s="14" t="str">
        <f>IFERROR(__xludf.DUMMYFUNCTION("""COMPUTED_VALUE"""),"Afriza (BT)")</f>
        <v>Afriza (BT)</v>
      </c>
      <c r="F1910" s="14" t="str">
        <f>IFERROR(__xludf.DUMMYFUNCTION("""COMPUTED_VALUE"""),"SELESAI (VIA PERMOHONAN)")</f>
        <v>SELESAI (VIA PERMOHONAN)</v>
      </c>
      <c r="G1910" s="17">
        <f>IFERROR(__xludf.DUMMYFUNCTION("""COMPUTED_VALUE"""),45776.438682418986)</f>
        <v>45776.43868</v>
      </c>
      <c r="H1910" s="14" t="str">
        <f>IFERROR(__xludf.DUMMYFUNCTION("""COMPUTED_VALUE"""),"Bu Eva (SU)")</f>
        <v>Bu Eva (SU)</v>
      </c>
      <c r="I1910" s="13" t="str">
        <f>IFERROR(__xludf.DUMMYFUNCTION("""COMPUTED_VALUE"""),"SELESAI (VIA PERMOHONAN)")</f>
        <v>SELESAI (VIA PERMOHONAN)</v>
      </c>
      <c r="J1910" s="17">
        <f>IFERROR(__xludf.DUMMYFUNCTION("""COMPUTED_VALUE"""),45776.4387133912)</f>
        <v>45776.43871</v>
      </c>
      <c r="K1910" s="13" t="str">
        <f>IFERROR(__xludf.DUMMYFUNCTION("""COMPUTED_VALUE"""),"Selesai")</f>
        <v>Selesai</v>
      </c>
      <c r="L1910" s="17">
        <f>IFERROR(__xludf.DUMMYFUNCTION("""COMPUTED_VALUE"""),45776.4387133912)</f>
        <v>45776.43871</v>
      </c>
      <c r="M1910" s="13"/>
      <c r="N1910" s="13" t="str">
        <f>IFERROR(__xludf.DUMMYFUNCTION("""COMPUTED_VALUE"""),"")</f>
        <v/>
      </c>
      <c r="O1910" s="13" t="str">
        <f t="shared" si="1"/>
        <v/>
      </c>
    </row>
    <row r="1911" ht="22.5" customHeight="1">
      <c r="B1911" s="13">
        <f>IFERROR(__xludf.DUMMYFUNCTION("""COMPUTED_VALUE"""),1906.0)</f>
        <v>1906</v>
      </c>
      <c r="C1911" s="13" t="str">
        <f>IFERROR(__xludf.DUMMYFUNCTION("""COMPUTED_VALUE"""),"M.1828/WAY KANDIS")</f>
        <v>M.1828/WAY KANDIS</v>
      </c>
      <c r="D1911" s="13" t="str">
        <f>IFERROR(__xludf.DUMMYFUNCTION("""COMPUTED_VALUE"""),"K/17/270325/1")</f>
        <v>K/17/270325/1</v>
      </c>
      <c r="E1911" s="14" t="str">
        <f>IFERROR(__xludf.DUMMYFUNCTION("""COMPUTED_VALUE"""),"Afriza (BT)")</f>
        <v>Afriza (BT)</v>
      </c>
      <c r="F1911" s="14" t="str">
        <f>IFERROR(__xludf.DUMMYFUNCTION("""COMPUTED_VALUE"""),"SELESAI (VIA PERMOHONAN)")</f>
        <v>SELESAI (VIA PERMOHONAN)</v>
      </c>
      <c r="G1911" s="17">
        <f>IFERROR(__xludf.DUMMYFUNCTION("""COMPUTED_VALUE"""),45776.43959800926)</f>
        <v>45776.4396</v>
      </c>
      <c r="H1911" s="14" t="str">
        <f>IFERROR(__xludf.DUMMYFUNCTION("""COMPUTED_VALUE"""),"Bu Eva (SU)")</f>
        <v>Bu Eva (SU)</v>
      </c>
      <c r="I1911" s="13" t="str">
        <f>IFERROR(__xludf.DUMMYFUNCTION("""COMPUTED_VALUE"""),"SELESAI (VIA PERMOHONAN)")</f>
        <v>SELESAI (VIA PERMOHONAN)</v>
      </c>
      <c r="J1911" s="17">
        <f>IFERROR(__xludf.DUMMYFUNCTION("""COMPUTED_VALUE"""),45776.43964471065)</f>
        <v>45776.43964</v>
      </c>
      <c r="K1911" s="13" t="str">
        <f>IFERROR(__xludf.DUMMYFUNCTION("""COMPUTED_VALUE"""),"Selesai")</f>
        <v>Selesai</v>
      </c>
      <c r="L1911" s="17">
        <f>IFERROR(__xludf.DUMMYFUNCTION("""COMPUTED_VALUE"""),45776.43964471065)</f>
        <v>45776.43964</v>
      </c>
      <c r="M1911" s="13"/>
      <c r="N1911" s="13" t="str">
        <f>IFERROR(__xludf.DUMMYFUNCTION("""COMPUTED_VALUE"""),"")</f>
        <v/>
      </c>
      <c r="O1911" s="13" t="str">
        <f t="shared" si="1"/>
        <v/>
      </c>
    </row>
    <row r="1912" ht="22.5" customHeight="1">
      <c r="B1912" s="13">
        <f>IFERROR(__xludf.DUMMYFUNCTION("""COMPUTED_VALUE"""),1907.0)</f>
        <v>1907</v>
      </c>
      <c r="C1912" s="13" t="str">
        <f>IFERROR(__xludf.DUMMYFUNCTION("""COMPUTED_VALUE"""),"M.11169/KEDATON")</f>
        <v>M.11169/KEDATON</v>
      </c>
      <c r="D1912" s="13" t="str">
        <f>IFERROR(__xludf.DUMMYFUNCTION("""COMPUTED_VALUE"""),"K/1/260325/1")</f>
        <v>K/1/260325/1</v>
      </c>
      <c r="E1912" s="14" t="str">
        <f>IFERROR(__xludf.DUMMYFUNCTION("""COMPUTED_VALUE"""),"Afriza (BT)")</f>
        <v>Afriza (BT)</v>
      </c>
      <c r="F1912" s="14" t="str">
        <f>IFERROR(__xludf.DUMMYFUNCTION("""COMPUTED_VALUE"""),"SELESAI (VIA PERMOHONAN)")</f>
        <v>SELESAI (VIA PERMOHONAN)</v>
      </c>
      <c r="G1912" s="17">
        <f>IFERROR(__xludf.DUMMYFUNCTION("""COMPUTED_VALUE"""),45776.5113921875)</f>
        <v>45776.51139</v>
      </c>
      <c r="H1912" s="14" t="str">
        <f>IFERROR(__xludf.DUMMYFUNCTION("""COMPUTED_VALUE"""),"Bu Eva (SU)")</f>
        <v>Bu Eva (SU)</v>
      </c>
      <c r="I1912" s="13" t="str">
        <f>IFERROR(__xludf.DUMMYFUNCTION("""COMPUTED_VALUE"""),"SELESAI (VIA PERMOHONAN)")</f>
        <v>SELESAI (VIA PERMOHONAN)</v>
      </c>
      <c r="J1912" s="17">
        <f>IFERROR(__xludf.DUMMYFUNCTION("""COMPUTED_VALUE"""),45776.51144689815)</f>
        <v>45776.51145</v>
      </c>
      <c r="K1912" s="13" t="str">
        <f>IFERROR(__xludf.DUMMYFUNCTION("""COMPUTED_VALUE"""),"Selesai")</f>
        <v>Selesai</v>
      </c>
      <c r="L1912" s="17">
        <f>IFERROR(__xludf.DUMMYFUNCTION("""COMPUTED_VALUE"""),45776.51144689815)</f>
        <v>45776.51145</v>
      </c>
      <c r="M1912" s="13"/>
      <c r="N1912" s="13" t="str">
        <f>IFERROR(__xludf.DUMMYFUNCTION("""COMPUTED_VALUE"""),"")</f>
        <v/>
      </c>
      <c r="O1912" s="13" t="str">
        <f t="shared" si="1"/>
        <v/>
      </c>
    </row>
    <row r="1913" ht="22.5" customHeight="1">
      <c r="B1913" s="13">
        <f>IFERROR(__xludf.DUMMYFUNCTION("""COMPUTED_VALUE"""),1908.0)</f>
        <v>1908</v>
      </c>
      <c r="C1913" s="13" t="str">
        <f>IFERROR(__xludf.DUMMYFUNCTION("""COMPUTED_VALUE"""),"M. 9737/LABUHAN RATU")</f>
        <v>M. 9737/LABUHAN RATU</v>
      </c>
      <c r="D1913" s="13" t="str">
        <f>IFERROR(__xludf.DUMMYFUNCTION("""COMPUTED_VALUE"""),"K/19/230425/1")</f>
        <v>K/19/230425/1</v>
      </c>
      <c r="E1913" s="14" t="str">
        <f>IFERROR(__xludf.DUMMYFUNCTION("""COMPUTED_VALUE"""),"Nadian (BT)")</f>
        <v>Nadian (BT)</v>
      </c>
      <c r="F1913" s="14" t="str">
        <f>IFERROR(__xludf.DUMMYFUNCTION("""COMPUTED_VALUE"""),"SELESAI (VIA PERMOHONAN)")</f>
        <v>SELESAI (VIA PERMOHONAN)</v>
      </c>
      <c r="G1913" s="17">
        <f>IFERROR(__xludf.DUMMYFUNCTION("""COMPUTED_VALUE"""),45776.64990221064)</f>
        <v>45776.6499</v>
      </c>
      <c r="H1913" s="14" t="str">
        <f>IFERROR(__xludf.DUMMYFUNCTION("""COMPUTED_VALUE"""),"Bu Eva (SU)")</f>
        <v>Bu Eva (SU)</v>
      </c>
      <c r="I1913" s="13" t="str">
        <f>IFERROR(__xludf.DUMMYFUNCTION("""COMPUTED_VALUE"""),"SELESAI (VIA PERMOHONAN)")</f>
        <v>SELESAI (VIA PERMOHONAN)</v>
      </c>
      <c r="J1913" s="17">
        <f>IFERROR(__xludf.DUMMYFUNCTION("""COMPUTED_VALUE"""),45776.67291116898)</f>
        <v>45776.67291</v>
      </c>
      <c r="K1913" s="13" t="str">
        <f>IFERROR(__xludf.DUMMYFUNCTION("""COMPUTED_VALUE"""),"Selesai")</f>
        <v>Selesai</v>
      </c>
      <c r="L1913" s="17">
        <f>IFERROR(__xludf.DUMMYFUNCTION("""COMPUTED_VALUE"""),45776.67291116898)</f>
        <v>45776.67291</v>
      </c>
      <c r="M1913" s="13"/>
      <c r="N1913" s="13" t="str">
        <f>IFERROR(__xludf.DUMMYFUNCTION("""COMPUTED_VALUE"""),"")</f>
        <v/>
      </c>
      <c r="O1913" s="13" t="str">
        <f t="shared" si="1"/>
        <v/>
      </c>
    </row>
    <row r="1914" ht="22.5" customHeight="1">
      <c r="B1914" s="13">
        <f>IFERROR(__xludf.DUMMYFUNCTION("""COMPUTED_VALUE"""),1909.0)</f>
        <v>1909</v>
      </c>
      <c r="C1914" s="13" t="str">
        <f>IFERROR(__xludf.DUMMYFUNCTION("""COMPUTED_VALUE"""),"M. 135/SUSUNAN BARU")</f>
        <v>M. 135/SUSUNAN BARU</v>
      </c>
      <c r="D1914" s="13" t="str">
        <f>IFERROR(__xludf.DUMMYFUNCTION("""COMPUTED_VALUE"""),"K/4/170425/1")</f>
        <v>K/4/170425/1</v>
      </c>
      <c r="E1914" s="14" t="str">
        <f>IFERROR(__xludf.DUMMYFUNCTION("""COMPUTED_VALUE"""),"Nadian (BT)")</f>
        <v>Nadian (BT)</v>
      </c>
      <c r="F1914" s="14" t="str">
        <f>IFERROR(__xludf.DUMMYFUNCTION("""COMPUTED_VALUE"""),"SELESAI (VIA PERMOHONAN)")</f>
        <v>SELESAI (VIA PERMOHONAN)</v>
      </c>
      <c r="G1914" s="17">
        <f>IFERROR(__xludf.DUMMYFUNCTION("""COMPUTED_VALUE"""),45776.64990221064)</f>
        <v>45776.6499</v>
      </c>
      <c r="H1914" s="14" t="str">
        <f>IFERROR(__xludf.DUMMYFUNCTION("""COMPUTED_VALUE"""),"Bu Eva (SU)")</f>
        <v>Bu Eva (SU)</v>
      </c>
      <c r="I1914" s="13" t="str">
        <f>IFERROR(__xludf.DUMMYFUNCTION("""COMPUTED_VALUE"""),"SELESAI (VIA PERMOHONAN)")</f>
        <v>SELESAI (VIA PERMOHONAN)</v>
      </c>
      <c r="J1914" s="17">
        <f>IFERROR(__xludf.DUMMYFUNCTION("""COMPUTED_VALUE"""),45776.67291116898)</f>
        <v>45776.67291</v>
      </c>
      <c r="K1914" s="13" t="str">
        <f>IFERROR(__xludf.DUMMYFUNCTION("""COMPUTED_VALUE"""),"Selesai")</f>
        <v>Selesai</v>
      </c>
      <c r="L1914" s="17">
        <f>IFERROR(__xludf.DUMMYFUNCTION("""COMPUTED_VALUE"""),45776.67291116898)</f>
        <v>45776.67291</v>
      </c>
      <c r="M1914" s="13"/>
      <c r="N1914" s="13" t="str">
        <f>IFERROR(__xludf.DUMMYFUNCTION("""COMPUTED_VALUE"""),"")</f>
        <v/>
      </c>
      <c r="O1914" s="13" t="str">
        <f t="shared" si="1"/>
        <v/>
      </c>
    </row>
    <row r="1915" ht="22.5" customHeight="1">
      <c r="B1915" s="13">
        <f>IFERROR(__xludf.DUMMYFUNCTION("""COMPUTED_VALUE"""),1910.0)</f>
        <v>1910</v>
      </c>
      <c r="C1915" s="13" t="str">
        <f>IFERROR(__xludf.DUMMYFUNCTION("""COMPUTED_VALUE"""),"B. 26/PANJANG UTARA")</f>
        <v>B. 26/PANJANG UTARA</v>
      </c>
      <c r="D1915" s="13" t="str">
        <f>IFERROR(__xludf.DUMMYFUNCTION("""COMPUTED_VALUE"""),"K/3/250325/1")</f>
        <v>K/3/250325/1</v>
      </c>
      <c r="E1915" s="14" t="str">
        <f>IFERROR(__xludf.DUMMYFUNCTION("""COMPUTED_VALUE"""),"Nadian (BT)")</f>
        <v>Nadian (BT)</v>
      </c>
      <c r="F1915" s="14" t="str">
        <f>IFERROR(__xludf.DUMMYFUNCTION("""COMPUTED_VALUE"""),"SELESAI (VIA PERMOHONAN)")</f>
        <v>SELESAI (VIA PERMOHONAN)</v>
      </c>
      <c r="G1915" s="17">
        <f>IFERROR(__xludf.DUMMYFUNCTION("""COMPUTED_VALUE"""),45776.64990221064)</f>
        <v>45776.6499</v>
      </c>
      <c r="H1915" s="14" t="str">
        <f>IFERROR(__xludf.DUMMYFUNCTION("""COMPUTED_VALUE"""),"Bu Eva (SU)")</f>
        <v>Bu Eva (SU)</v>
      </c>
      <c r="I1915" s="13" t="str">
        <f>IFERROR(__xludf.DUMMYFUNCTION("""COMPUTED_VALUE"""),"SELESAI (VIA PERMOHONAN)")</f>
        <v>SELESAI (VIA PERMOHONAN)</v>
      </c>
      <c r="J1915" s="17">
        <f>IFERROR(__xludf.DUMMYFUNCTION("""COMPUTED_VALUE"""),45776.67291116898)</f>
        <v>45776.67291</v>
      </c>
      <c r="K1915" s="13" t="str">
        <f>IFERROR(__xludf.DUMMYFUNCTION("""COMPUTED_VALUE"""),"Selesai")</f>
        <v>Selesai</v>
      </c>
      <c r="L1915" s="17">
        <f>IFERROR(__xludf.DUMMYFUNCTION("""COMPUTED_VALUE"""),45776.67291116898)</f>
        <v>45776.67291</v>
      </c>
      <c r="M1915" s="13"/>
      <c r="N1915" s="13" t="str">
        <f>IFERROR(__xludf.DUMMYFUNCTION("""COMPUTED_VALUE"""),"")</f>
        <v/>
      </c>
      <c r="O1915" s="13" t="str">
        <f t="shared" si="1"/>
        <v/>
      </c>
    </row>
    <row r="1916" ht="22.5" customHeight="1">
      <c r="B1916" s="13">
        <f>IFERROR(__xludf.DUMMYFUNCTION("""COMPUTED_VALUE"""),1911.0)</f>
        <v>1911</v>
      </c>
      <c r="C1916" s="13" t="str">
        <f>IFERROR(__xludf.DUMMYFUNCTION("""COMPUTED_VALUE"""),"M. 772/PERUMNAS WAY KANDIS")</f>
        <v>M. 772/PERUMNAS WAY KANDIS</v>
      </c>
      <c r="D1916" s="13" t="str">
        <f>IFERROR(__xludf.DUMMYFUNCTION("""COMPUTED_VALUE"""),"K/23/110425/2")</f>
        <v>K/23/110425/2</v>
      </c>
      <c r="E1916" s="14" t="str">
        <f>IFERROR(__xludf.DUMMYFUNCTION("""COMPUTED_VALUE"""),"Nadian (BT)")</f>
        <v>Nadian (BT)</v>
      </c>
      <c r="F1916" s="14" t="str">
        <f>IFERROR(__xludf.DUMMYFUNCTION("""COMPUTED_VALUE"""),"SELESAI (VIA PERMOHONAN)")</f>
        <v>SELESAI (VIA PERMOHONAN)</v>
      </c>
      <c r="G1916" s="17">
        <f>IFERROR(__xludf.DUMMYFUNCTION("""COMPUTED_VALUE"""),45776.64990221064)</f>
        <v>45776.6499</v>
      </c>
      <c r="H1916" s="14" t="str">
        <f>IFERROR(__xludf.DUMMYFUNCTION("""COMPUTED_VALUE"""),"Bu Eva (SU)")</f>
        <v>Bu Eva (SU)</v>
      </c>
      <c r="I1916" s="13" t="str">
        <f>IFERROR(__xludf.DUMMYFUNCTION("""COMPUTED_VALUE"""),"SELESAI (VIA PERMOHONAN)")</f>
        <v>SELESAI (VIA PERMOHONAN)</v>
      </c>
      <c r="J1916" s="17">
        <f>IFERROR(__xludf.DUMMYFUNCTION("""COMPUTED_VALUE"""),45776.67291116898)</f>
        <v>45776.67291</v>
      </c>
      <c r="K1916" s="13" t="str">
        <f>IFERROR(__xludf.DUMMYFUNCTION("""COMPUTED_VALUE"""),"Selesai")</f>
        <v>Selesai</v>
      </c>
      <c r="L1916" s="17">
        <f>IFERROR(__xludf.DUMMYFUNCTION("""COMPUTED_VALUE"""),45776.67291116898)</f>
        <v>45776.67291</v>
      </c>
      <c r="M1916" s="13"/>
      <c r="N1916" s="13" t="str">
        <f>IFERROR(__xludf.DUMMYFUNCTION("""COMPUTED_VALUE"""),"")</f>
        <v/>
      </c>
      <c r="O1916" s="13" t="str">
        <f t="shared" si="1"/>
        <v/>
      </c>
    </row>
    <row r="1917" ht="22.5" customHeight="1">
      <c r="B1917" s="13">
        <f>IFERROR(__xludf.DUMMYFUNCTION("""COMPUTED_VALUE"""),1912.0)</f>
        <v>1912</v>
      </c>
      <c r="C1917" s="13" t="str">
        <f>IFERROR(__xludf.DUMMYFUNCTION("""COMPUTED_VALUE"""),"M. 245/ Jagabaya III")</f>
        <v>M. 245/ Jagabaya III</v>
      </c>
      <c r="D1917" s="13" t="str">
        <f>IFERROR(__xludf.DUMMYFUNCTION("""COMPUTED_VALUE"""),"K/4/140425/3")</f>
        <v>K/4/140425/3</v>
      </c>
      <c r="E1917" s="14" t="str">
        <f>IFERROR(__xludf.DUMMYFUNCTION("""COMPUTED_VALUE"""),"Nadian (BT)")</f>
        <v>Nadian (BT)</v>
      </c>
      <c r="F1917" s="14" t="str">
        <f>IFERROR(__xludf.DUMMYFUNCTION("""COMPUTED_VALUE"""),"SELESAI (VIA PERMOHONAN)")</f>
        <v>SELESAI (VIA PERMOHONAN)</v>
      </c>
      <c r="G1917" s="17">
        <f>IFERROR(__xludf.DUMMYFUNCTION("""COMPUTED_VALUE"""),45776.64990221064)</f>
        <v>45776.6499</v>
      </c>
      <c r="H1917" s="14" t="str">
        <f>IFERROR(__xludf.DUMMYFUNCTION("""COMPUTED_VALUE"""),"Bu Eva (SU)")</f>
        <v>Bu Eva (SU)</v>
      </c>
      <c r="I1917" s="13" t="str">
        <f>IFERROR(__xludf.DUMMYFUNCTION("""COMPUTED_VALUE"""),"SELESAI (VIA PERMOHONAN)")</f>
        <v>SELESAI (VIA PERMOHONAN)</v>
      </c>
      <c r="J1917" s="17">
        <f>IFERROR(__xludf.DUMMYFUNCTION("""COMPUTED_VALUE"""),45776.67291116898)</f>
        <v>45776.67291</v>
      </c>
      <c r="K1917" s="13" t="str">
        <f>IFERROR(__xludf.DUMMYFUNCTION("""COMPUTED_VALUE"""),"Selesai")</f>
        <v>Selesai</v>
      </c>
      <c r="L1917" s="17">
        <f>IFERROR(__xludf.DUMMYFUNCTION("""COMPUTED_VALUE"""),45776.67291116898)</f>
        <v>45776.67291</v>
      </c>
      <c r="M1917" s="13"/>
      <c r="N1917" s="13" t="str">
        <f>IFERROR(__xludf.DUMMYFUNCTION("""COMPUTED_VALUE"""),"")</f>
        <v/>
      </c>
      <c r="O1917" s="13" t="str">
        <f t="shared" si="1"/>
        <v/>
      </c>
    </row>
    <row r="1918" ht="22.5" customHeight="1">
      <c r="B1918" s="13">
        <f>IFERROR(__xludf.DUMMYFUNCTION("""COMPUTED_VALUE"""),1913.0)</f>
        <v>1913</v>
      </c>
      <c r="C1918" s="13" t="str">
        <f>IFERROR(__xludf.DUMMYFUNCTION("""COMPUTED_VALUE"""),"B.467/KETEGUHAN")</f>
        <v>B.467/KETEGUHAN</v>
      </c>
      <c r="D1918" s="13" t="str">
        <f>IFERROR(__xludf.DUMMYFUNCTION("""COMPUTED_VALUE"""),"K/13/270325/1")</f>
        <v>K/13/270325/1</v>
      </c>
      <c r="E1918" s="14" t="str">
        <f>IFERROR(__xludf.DUMMYFUNCTION("""COMPUTED_VALUE"""),"Nadian (BT)")</f>
        <v>Nadian (BT)</v>
      </c>
      <c r="F1918" s="14" t="str">
        <f>IFERROR(__xludf.DUMMYFUNCTION("""COMPUTED_VALUE"""),"SELESAI (VIA PERMOHONAN)")</f>
        <v>SELESAI (VIA PERMOHONAN)</v>
      </c>
      <c r="G1918" s="17">
        <f>IFERROR(__xludf.DUMMYFUNCTION("""COMPUTED_VALUE"""),45776.64990221064)</f>
        <v>45776.6499</v>
      </c>
      <c r="H1918" s="14" t="str">
        <f>IFERROR(__xludf.DUMMYFUNCTION("""COMPUTED_VALUE"""),"Bu Eva (SU)")</f>
        <v>Bu Eva (SU)</v>
      </c>
      <c r="I1918" s="13" t="str">
        <f>IFERROR(__xludf.DUMMYFUNCTION("""COMPUTED_VALUE"""),"SELESAI (VIA PERMOHONAN)")</f>
        <v>SELESAI (VIA PERMOHONAN)</v>
      </c>
      <c r="J1918" s="17">
        <f>IFERROR(__xludf.DUMMYFUNCTION("""COMPUTED_VALUE"""),45776.67291116898)</f>
        <v>45776.67291</v>
      </c>
      <c r="K1918" s="13" t="str">
        <f>IFERROR(__xludf.DUMMYFUNCTION("""COMPUTED_VALUE"""),"Selesai")</f>
        <v>Selesai</v>
      </c>
      <c r="L1918" s="17">
        <f>IFERROR(__xludf.DUMMYFUNCTION("""COMPUTED_VALUE"""),45776.67291116898)</f>
        <v>45776.67291</v>
      </c>
      <c r="M1918" s="13"/>
      <c r="N1918" s="13" t="str">
        <f>IFERROR(__xludf.DUMMYFUNCTION("""COMPUTED_VALUE"""),"")</f>
        <v/>
      </c>
      <c r="O1918" s="13" t="str">
        <f t="shared" si="1"/>
        <v/>
      </c>
    </row>
    <row r="1919" ht="22.5" customHeight="1">
      <c r="B1919" s="13">
        <f>IFERROR(__xludf.DUMMYFUNCTION("""COMPUTED_VALUE"""),1914.0)</f>
        <v>1914</v>
      </c>
      <c r="C1919" s="13" t="str">
        <f>IFERROR(__xludf.DUMMYFUNCTION("""COMPUTED_VALUE"""),"M.304/KEBON JERUK")</f>
        <v>M.304/KEBON JERUK</v>
      </c>
      <c r="D1919" s="13" t="str">
        <f>IFERROR(__xludf.DUMMYFUNCTION("""COMPUTED_VALUE"""),"K/26/160425/1")</f>
        <v>K/26/160425/1</v>
      </c>
      <c r="E1919" s="14" t="str">
        <f>IFERROR(__xludf.DUMMYFUNCTION("""COMPUTED_VALUE"""),"Nadian (BT)")</f>
        <v>Nadian (BT)</v>
      </c>
      <c r="F1919" s="14" t="str">
        <f>IFERROR(__xludf.DUMMYFUNCTION("""COMPUTED_VALUE"""),"SELESAI (VIA PERMOHONAN)")</f>
        <v>SELESAI (VIA PERMOHONAN)</v>
      </c>
      <c r="G1919" s="17">
        <f>IFERROR(__xludf.DUMMYFUNCTION("""COMPUTED_VALUE"""),45776.64990221064)</f>
        <v>45776.6499</v>
      </c>
      <c r="H1919" s="14" t="str">
        <f>IFERROR(__xludf.DUMMYFUNCTION("""COMPUTED_VALUE"""),"Bu Eva (SU)")</f>
        <v>Bu Eva (SU)</v>
      </c>
      <c r="I1919" s="13" t="str">
        <f>IFERROR(__xludf.DUMMYFUNCTION("""COMPUTED_VALUE"""),"SELESAI (VIA PERMOHONAN)")</f>
        <v>SELESAI (VIA PERMOHONAN)</v>
      </c>
      <c r="J1919" s="17">
        <f>IFERROR(__xludf.DUMMYFUNCTION("""COMPUTED_VALUE"""),45776.67291116898)</f>
        <v>45776.67291</v>
      </c>
      <c r="K1919" s="13" t="str">
        <f>IFERROR(__xludf.DUMMYFUNCTION("""COMPUTED_VALUE"""),"Selesai")</f>
        <v>Selesai</v>
      </c>
      <c r="L1919" s="17">
        <f>IFERROR(__xludf.DUMMYFUNCTION("""COMPUTED_VALUE"""),45776.67291116898)</f>
        <v>45776.67291</v>
      </c>
      <c r="M1919" s="13"/>
      <c r="N1919" s="13" t="str">
        <f>IFERROR(__xludf.DUMMYFUNCTION("""COMPUTED_VALUE"""),"")</f>
        <v/>
      </c>
      <c r="O1919" s="13" t="str">
        <f t="shared" si="1"/>
        <v/>
      </c>
    </row>
    <row r="1920" ht="22.5" customHeight="1">
      <c r="B1920" s="13">
        <f>IFERROR(__xludf.DUMMYFUNCTION("""COMPUTED_VALUE"""),1915.0)</f>
        <v>1915</v>
      </c>
      <c r="C1920" s="13" t="str">
        <f>IFERROR(__xludf.DUMMYFUNCTION("""COMPUTED_VALUE"""),"M.2811/SUKARAME BARU")</f>
        <v>M.2811/SUKARAME BARU</v>
      </c>
      <c r="D1920" s="13" t="str">
        <f>IFERROR(__xludf.DUMMYFUNCTION("""COMPUTED_VALUE"""),"K/23/140425/1")</f>
        <v>K/23/140425/1</v>
      </c>
      <c r="E1920" s="14" t="str">
        <f>IFERROR(__xludf.DUMMYFUNCTION("""COMPUTED_VALUE"""),"Nadian (BT)")</f>
        <v>Nadian (BT)</v>
      </c>
      <c r="F1920" s="14" t="str">
        <f>IFERROR(__xludf.DUMMYFUNCTION("""COMPUTED_VALUE"""),"SELESAI (VIA PERMOHONAN)")</f>
        <v>SELESAI (VIA PERMOHONAN)</v>
      </c>
      <c r="G1920" s="17">
        <f>IFERROR(__xludf.DUMMYFUNCTION("""COMPUTED_VALUE"""),45776.64990221064)</f>
        <v>45776.6499</v>
      </c>
      <c r="H1920" s="14" t="str">
        <f>IFERROR(__xludf.DUMMYFUNCTION("""COMPUTED_VALUE"""),"Bu Eva (SU)")</f>
        <v>Bu Eva (SU)</v>
      </c>
      <c r="I1920" s="13" t="str">
        <f>IFERROR(__xludf.DUMMYFUNCTION("""COMPUTED_VALUE"""),"SELESAI (VIA PERMOHONAN)")</f>
        <v>SELESAI (VIA PERMOHONAN)</v>
      </c>
      <c r="J1920" s="17">
        <f>IFERROR(__xludf.DUMMYFUNCTION("""COMPUTED_VALUE"""),45776.67291116898)</f>
        <v>45776.67291</v>
      </c>
      <c r="K1920" s="13" t="str">
        <f>IFERROR(__xludf.DUMMYFUNCTION("""COMPUTED_VALUE"""),"Selesai")</f>
        <v>Selesai</v>
      </c>
      <c r="L1920" s="17">
        <f>IFERROR(__xludf.DUMMYFUNCTION("""COMPUTED_VALUE"""),45776.67291116898)</f>
        <v>45776.67291</v>
      </c>
      <c r="M1920" s="13"/>
      <c r="N1920" s="13" t="str">
        <f>IFERROR(__xludf.DUMMYFUNCTION("""COMPUTED_VALUE"""),"")</f>
        <v/>
      </c>
      <c r="O1920" s="13" t="str">
        <f t="shared" si="1"/>
        <v/>
      </c>
    </row>
    <row r="1921" ht="22.5" customHeight="1">
      <c r="B1921" s="13">
        <f>IFERROR(__xludf.DUMMYFUNCTION("""COMPUTED_VALUE"""),1916.0)</f>
        <v>1916</v>
      </c>
      <c r="C1921" s="13" t="str">
        <f>IFERROR(__xludf.DUMMYFUNCTION("""COMPUTED_VALUE"""),"M.2800/SUKARAME BARU")</f>
        <v>M.2800/SUKARAME BARU</v>
      </c>
      <c r="D1921" s="13" t="str">
        <f>IFERROR(__xludf.DUMMYFUNCTION("""COMPUTED_VALUE"""),"K/24/140425/1")</f>
        <v>K/24/140425/1</v>
      </c>
      <c r="E1921" s="14" t="str">
        <f>IFERROR(__xludf.DUMMYFUNCTION("""COMPUTED_VALUE"""),"Nadian (BT)")</f>
        <v>Nadian (BT)</v>
      </c>
      <c r="F1921" s="14" t="str">
        <f>IFERROR(__xludf.DUMMYFUNCTION("""COMPUTED_VALUE"""),"SELESAI (VIA PERMOHONAN)")</f>
        <v>SELESAI (VIA PERMOHONAN)</v>
      </c>
      <c r="G1921" s="17">
        <f>IFERROR(__xludf.DUMMYFUNCTION("""COMPUTED_VALUE"""),45776.64990221064)</f>
        <v>45776.6499</v>
      </c>
      <c r="H1921" s="14" t="str">
        <f>IFERROR(__xludf.DUMMYFUNCTION("""COMPUTED_VALUE"""),"Bu Eva (SU)")</f>
        <v>Bu Eva (SU)</v>
      </c>
      <c r="I1921" s="13" t="str">
        <f>IFERROR(__xludf.DUMMYFUNCTION("""COMPUTED_VALUE"""),"SELESAI (VIA PERMOHONAN)")</f>
        <v>SELESAI (VIA PERMOHONAN)</v>
      </c>
      <c r="J1921" s="17">
        <f>IFERROR(__xludf.DUMMYFUNCTION("""COMPUTED_VALUE"""),45776.67291116898)</f>
        <v>45776.67291</v>
      </c>
      <c r="K1921" s="13" t="str">
        <f>IFERROR(__xludf.DUMMYFUNCTION("""COMPUTED_VALUE"""),"Selesai")</f>
        <v>Selesai</v>
      </c>
      <c r="L1921" s="17">
        <f>IFERROR(__xludf.DUMMYFUNCTION("""COMPUTED_VALUE"""),45776.67291116898)</f>
        <v>45776.67291</v>
      </c>
      <c r="M1921" s="13"/>
      <c r="N1921" s="13" t="str">
        <f>IFERROR(__xludf.DUMMYFUNCTION("""COMPUTED_VALUE"""),"")</f>
        <v/>
      </c>
      <c r="O1921" s="13" t="str">
        <f t="shared" si="1"/>
        <v/>
      </c>
    </row>
    <row r="1922" ht="22.5" customHeight="1">
      <c r="B1922" s="13">
        <f>IFERROR(__xludf.DUMMYFUNCTION("""COMPUTED_VALUE"""),1917.0)</f>
        <v>1917</v>
      </c>
      <c r="C1922" s="13" t="str">
        <f>IFERROR(__xludf.DUMMYFUNCTION("""COMPUTED_VALUE"""),"B.1552/SUKABUMI")</f>
        <v>B.1552/SUKABUMI</v>
      </c>
      <c r="D1922" s="13" t="str">
        <f>IFERROR(__xludf.DUMMYFUNCTION("""COMPUTED_VALUE"""),"K/42/230425/1")</f>
        <v>K/42/230425/1</v>
      </c>
      <c r="E1922" s="14" t="str">
        <f>IFERROR(__xludf.DUMMYFUNCTION("""COMPUTED_VALUE"""),"Nadian (BT)")</f>
        <v>Nadian (BT)</v>
      </c>
      <c r="F1922" s="14" t="str">
        <f>IFERROR(__xludf.DUMMYFUNCTION("""COMPUTED_VALUE"""),"SELESAI (VIA PERMOHONAN)")</f>
        <v>SELESAI (VIA PERMOHONAN)</v>
      </c>
      <c r="G1922" s="17">
        <f>IFERROR(__xludf.DUMMYFUNCTION("""COMPUTED_VALUE"""),45776.64990221064)</f>
        <v>45776.6499</v>
      </c>
      <c r="H1922" s="14" t="str">
        <f>IFERROR(__xludf.DUMMYFUNCTION("""COMPUTED_VALUE"""),"Bu Eva (SU)")</f>
        <v>Bu Eva (SU)</v>
      </c>
      <c r="I1922" s="13" t="str">
        <f>IFERROR(__xludf.DUMMYFUNCTION("""COMPUTED_VALUE"""),"SELESAI (VIA PERMOHONAN)")</f>
        <v>SELESAI (VIA PERMOHONAN)</v>
      </c>
      <c r="J1922" s="17">
        <f>IFERROR(__xludf.DUMMYFUNCTION("""COMPUTED_VALUE"""),45776.67297707176)</f>
        <v>45776.67298</v>
      </c>
      <c r="K1922" s="13" t="str">
        <f>IFERROR(__xludf.DUMMYFUNCTION("""COMPUTED_VALUE"""),"Selesai")</f>
        <v>Selesai</v>
      </c>
      <c r="L1922" s="17">
        <f>IFERROR(__xludf.DUMMYFUNCTION("""COMPUTED_VALUE"""),45776.67297707176)</f>
        <v>45776.67298</v>
      </c>
      <c r="M1922" s="13"/>
      <c r="N1922" s="13" t="str">
        <f>IFERROR(__xludf.DUMMYFUNCTION("""COMPUTED_VALUE"""),"")</f>
        <v/>
      </c>
      <c r="O1922" s="13" t="str">
        <f t="shared" si="1"/>
        <v/>
      </c>
    </row>
    <row r="1923" ht="22.5" customHeight="1">
      <c r="B1923" s="13">
        <f>IFERROR(__xludf.DUMMYFUNCTION("""COMPUTED_VALUE"""),1918.0)</f>
        <v>1918</v>
      </c>
      <c r="C1923" s="13" t="str">
        <f>IFERROR(__xludf.DUMMYFUNCTION("""COMPUTED_VALUE"""),"M.1005/SEPANG JAYA")</f>
        <v>M.1005/SEPANG JAYA</v>
      </c>
      <c r="D1923" s="13" t="str">
        <f>IFERROR(__xludf.DUMMYFUNCTION("""COMPUTED_VALUE"""),"K/34/250425/1")</f>
        <v>K/34/250425/1</v>
      </c>
      <c r="E1923" s="14" t="str">
        <f>IFERROR(__xludf.DUMMYFUNCTION("""COMPUTED_VALUE"""),"Nadian (BT)")</f>
        <v>Nadian (BT)</v>
      </c>
      <c r="F1923" s="14" t="str">
        <f>IFERROR(__xludf.DUMMYFUNCTION("""COMPUTED_VALUE"""),"SELESAI (VIA PERMOHONAN)")</f>
        <v>SELESAI (VIA PERMOHONAN)</v>
      </c>
      <c r="G1923" s="17">
        <f>IFERROR(__xludf.DUMMYFUNCTION("""COMPUTED_VALUE"""),45776.64990221064)</f>
        <v>45776.6499</v>
      </c>
      <c r="H1923" s="14" t="str">
        <f>IFERROR(__xludf.DUMMYFUNCTION("""COMPUTED_VALUE"""),"Bu Eva (SU)")</f>
        <v>Bu Eva (SU)</v>
      </c>
      <c r="I1923" s="13" t="str">
        <f>IFERROR(__xludf.DUMMYFUNCTION("""COMPUTED_VALUE"""),"SELESAI (VIA PERMOHONAN)")</f>
        <v>SELESAI (VIA PERMOHONAN)</v>
      </c>
      <c r="J1923" s="17">
        <f>IFERROR(__xludf.DUMMYFUNCTION("""COMPUTED_VALUE"""),45776.67297707176)</f>
        <v>45776.67298</v>
      </c>
      <c r="K1923" s="13" t="str">
        <f>IFERROR(__xludf.DUMMYFUNCTION("""COMPUTED_VALUE"""),"Selesai")</f>
        <v>Selesai</v>
      </c>
      <c r="L1923" s="17">
        <f>IFERROR(__xludf.DUMMYFUNCTION("""COMPUTED_VALUE"""),45776.67297707176)</f>
        <v>45776.67298</v>
      </c>
      <c r="M1923" s="13"/>
      <c r="N1923" s="13" t="str">
        <f>IFERROR(__xludf.DUMMYFUNCTION("""COMPUTED_VALUE"""),"")</f>
        <v/>
      </c>
      <c r="O1923" s="13" t="str">
        <f t="shared" si="1"/>
        <v/>
      </c>
    </row>
    <row r="1924" ht="22.5" customHeight="1">
      <c r="B1924" s="13">
        <f>IFERROR(__xludf.DUMMYFUNCTION("""COMPUTED_VALUE"""),1919.0)</f>
        <v>1919</v>
      </c>
      <c r="C1924" s="13" t="str">
        <f>IFERROR(__xludf.DUMMYFUNCTION("""COMPUTED_VALUE"""),"M. 4642/GUNUNG TERANG")</f>
        <v>M. 4642/GUNUNG TERANG</v>
      </c>
      <c r="D1924" s="13" t="str">
        <f>IFERROR(__xludf.DUMMYFUNCTION("""COMPUTED_VALUE"""),"K/18/160425/1")</f>
        <v>K/18/160425/1</v>
      </c>
      <c r="E1924" s="14" t="str">
        <f>IFERROR(__xludf.DUMMYFUNCTION("""COMPUTED_VALUE"""),"Nadian (BT)")</f>
        <v>Nadian (BT)</v>
      </c>
      <c r="F1924" s="14" t="str">
        <f>IFERROR(__xludf.DUMMYFUNCTION("""COMPUTED_VALUE"""),"SELESAI (VIA PERMOHONAN)")</f>
        <v>SELESAI (VIA PERMOHONAN)</v>
      </c>
      <c r="G1924" s="17">
        <f>IFERROR(__xludf.DUMMYFUNCTION("""COMPUTED_VALUE"""),45776.64990221064)</f>
        <v>45776.6499</v>
      </c>
      <c r="H1924" s="14" t="str">
        <f>IFERROR(__xludf.DUMMYFUNCTION("""COMPUTED_VALUE"""),"Bu Eva (SU)")</f>
        <v>Bu Eva (SU)</v>
      </c>
      <c r="I1924" s="13" t="str">
        <f>IFERROR(__xludf.DUMMYFUNCTION("""COMPUTED_VALUE"""),"SELESAI (VIA PERMOHONAN)")</f>
        <v>SELESAI (VIA PERMOHONAN)</v>
      </c>
      <c r="J1924" s="17">
        <f>IFERROR(__xludf.DUMMYFUNCTION("""COMPUTED_VALUE"""),45776.67297707176)</f>
        <v>45776.67298</v>
      </c>
      <c r="K1924" s="13" t="str">
        <f>IFERROR(__xludf.DUMMYFUNCTION("""COMPUTED_VALUE"""),"Selesai")</f>
        <v>Selesai</v>
      </c>
      <c r="L1924" s="17">
        <f>IFERROR(__xludf.DUMMYFUNCTION("""COMPUTED_VALUE"""),45776.67297707176)</f>
        <v>45776.67298</v>
      </c>
      <c r="M1924" s="13"/>
      <c r="N1924" s="13" t="str">
        <f>IFERROR(__xludf.DUMMYFUNCTION("""COMPUTED_VALUE"""),"")</f>
        <v/>
      </c>
      <c r="O1924" s="13" t="str">
        <f t="shared" si="1"/>
        <v/>
      </c>
    </row>
    <row r="1925" ht="22.5" customHeight="1">
      <c r="B1925" s="13">
        <f>IFERROR(__xludf.DUMMYFUNCTION("""COMPUTED_VALUE"""),1920.0)</f>
        <v>1920</v>
      </c>
      <c r="C1925" s="13" t="str">
        <f>IFERROR(__xludf.DUMMYFUNCTION("""COMPUTED_VALUE"""),"B. 2151/SUKARAME")</f>
        <v>B. 2151/SUKARAME</v>
      </c>
      <c r="D1925" s="13" t="str">
        <f>IFERROR(__xludf.DUMMYFUNCTION("""COMPUTED_VALUE"""),"K/3/100425/1")</f>
        <v>K/3/100425/1</v>
      </c>
      <c r="E1925" s="14" t="str">
        <f>IFERROR(__xludf.DUMMYFUNCTION("""COMPUTED_VALUE"""),"Nadian (BT)")</f>
        <v>Nadian (BT)</v>
      </c>
      <c r="F1925" s="14" t="str">
        <f>IFERROR(__xludf.DUMMYFUNCTION("""COMPUTED_VALUE"""),"SELESAI (VIA PERMOHONAN)")</f>
        <v>SELESAI (VIA PERMOHONAN)</v>
      </c>
      <c r="G1925" s="17">
        <f>IFERROR(__xludf.DUMMYFUNCTION("""COMPUTED_VALUE"""),45776.64990221064)</f>
        <v>45776.6499</v>
      </c>
      <c r="H1925" s="14" t="str">
        <f>IFERROR(__xludf.DUMMYFUNCTION("""COMPUTED_VALUE"""),"Bu Eva (SU)")</f>
        <v>Bu Eva (SU)</v>
      </c>
      <c r="I1925" s="13" t="str">
        <f>IFERROR(__xludf.DUMMYFUNCTION("""COMPUTED_VALUE"""),"SELESAI (VIA PERMOHONAN)")</f>
        <v>SELESAI (VIA PERMOHONAN)</v>
      </c>
      <c r="J1925" s="17">
        <f>IFERROR(__xludf.DUMMYFUNCTION("""COMPUTED_VALUE"""),45776.67297707176)</f>
        <v>45776.67298</v>
      </c>
      <c r="K1925" s="13" t="str">
        <f>IFERROR(__xludf.DUMMYFUNCTION("""COMPUTED_VALUE"""),"Selesai")</f>
        <v>Selesai</v>
      </c>
      <c r="L1925" s="17">
        <f>IFERROR(__xludf.DUMMYFUNCTION("""COMPUTED_VALUE"""),45776.67297707176)</f>
        <v>45776.67298</v>
      </c>
      <c r="M1925" s="13"/>
      <c r="N1925" s="13" t="str">
        <f>IFERROR(__xludf.DUMMYFUNCTION("""COMPUTED_VALUE"""),"")</f>
        <v/>
      </c>
      <c r="O1925" s="13" t="str">
        <f t="shared" si="1"/>
        <v/>
      </c>
    </row>
    <row r="1926" ht="22.5" customHeight="1">
      <c r="B1926" s="13">
        <f>IFERROR(__xludf.DUMMYFUNCTION("""COMPUTED_VALUE"""),1921.0)</f>
        <v>1921</v>
      </c>
      <c r="C1926" s="13" t="str">
        <f>IFERROR(__xludf.DUMMYFUNCTION("""COMPUTED_VALUE"""),"M. 10680/GEDONG MENENG")</f>
        <v>M. 10680/GEDONG MENENG</v>
      </c>
      <c r="D1926" s="13" t="str">
        <f>IFERROR(__xludf.DUMMYFUNCTION("""COMPUTED_VALUE"""),"K/14/100425/4")</f>
        <v>K/14/100425/4</v>
      </c>
      <c r="E1926" s="14" t="str">
        <f>IFERROR(__xludf.DUMMYFUNCTION("""COMPUTED_VALUE"""),"Nadian (BT)")</f>
        <v>Nadian (BT)</v>
      </c>
      <c r="F1926" s="14" t="str">
        <f>IFERROR(__xludf.DUMMYFUNCTION("""COMPUTED_VALUE"""),"SELESAI (VIA PERMOHONAN)")</f>
        <v>SELESAI (VIA PERMOHONAN)</v>
      </c>
      <c r="G1926" s="17">
        <f>IFERROR(__xludf.DUMMYFUNCTION("""COMPUTED_VALUE"""),45776.64990221064)</f>
        <v>45776.6499</v>
      </c>
      <c r="H1926" s="14" t="str">
        <f>IFERROR(__xludf.DUMMYFUNCTION("""COMPUTED_VALUE"""),"Bu Eva (SU)")</f>
        <v>Bu Eva (SU)</v>
      </c>
      <c r="I1926" s="13" t="str">
        <f>IFERROR(__xludf.DUMMYFUNCTION("""COMPUTED_VALUE"""),"SELESAI (VIA PERMOHONAN)")</f>
        <v>SELESAI (VIA PERMOHONAN)</v>
      </c>
      <c r="J1926" s="17">
        <f>IFERROR(__xludf.DUMMYFUNCTION("""COMPUTED_VALUE"""),45776.67297708333)</f>
        <v>45776.67298</v>
      </c>
      <c r="K1926" s="13" t="str">
        <f>IFERROR(__xludf.DUMMYFUNCTION("""COMPUTED_VALUE"""),"Selesai")</f>
        <v>Selesai</v>
      </c>
      <c r="L1926" s="17">
        <f>IFERROR(__xludf.DUMMYFUNCTION("""COMPUTED_VALUE"""),45776.67297708333)</f>
        <v>45776.67298</v>
      </c>
      <c r="M1926" s="13"/>
      <c r="N1926" s="13" t="str">
        <f>IFERROR(__xludf.DUMMYFUNCTION("""COMPUTED_VALUE"""),"")</f>
        <v/>
      </c>
      <c r="O1926" s="13" t="str">
        <f t="shared" si="1"/>
        <v/>
      </c>
    </row>
    <row r="1927" ht="22.5" customHeight="1">
      <c r="B1927" s="13">
        <f>IFERROR(__xludf.DUMMYFUNCTION("""COMPUTED_VALUE"""),1922.0)</f>
        <v>1922</v>
      </c>
      <c r="C1927" s="13" t="str">
        <f>IFERROR(__xludf.DUMMYFUNCTION("""COMPUTED_VALUE"""),"M. 13771/LABUHAN RATU")</f>
        <v>M. 13771/LABUHAN RATU</v>
      </c>
      <c r="D1927" s="13" t="str">
        <f>IFERROR(__xludf.DUMMYFUNCTION("""COMPUTED_VALUE"""),"K/13/160425/2")</f>
        <v>K/13/160425/2</v>
      </c>
      <c r="E1927" s="14" t="str">
        <f>IFERROR(__xludf.DUMMYFUNCTION("""COMPUTED_VALUE"""),"Nadian (BT)")</f>
        <v>Nadian (BT)</v>
      </c>
      <c r="F1927" s="14" t="str">
        <f>IFERROR(__xludf.DUMMYFUNCTION("""COMPUTED_VALUE"""),"SELESAI (VIA PERMOHONAN)")</f>
        <v>SELESAI (VIA PERMOHONAN)</v>
      </c>
      <c r="G1927" s="17">
        <f>IFERROR(__xludf.DUMMYFUNCTION("""COMPUTED_VALUE"""),45776.64990221064)</f>
        <v>45776.6499</v>
      </c>
      <c r="H1927" s="14" t="str">
        <f>IFERROR(__xludf.DUMMYFUNCTION("""COMPUTED_VALUE"""),"Bu Eva (SU)")</f>
        <v>Bu Eva (SU)</v>
      </c>
      <c r="I1927" s="13" t="str">
        <f>IFERROR(__xludf.DUMMYFUNCTION("""COMPUTED_VALUE"""),"SELESAI (VIA PERMOHONAN)")</f>
        <v>SELESAI (VIA PERMOHONAN)</v>
      </c>
      <c r="J1927" s="17">
        <f>IFERROR(__xludf.DUMMYFUNCTION("""COMPUTED_VALUE"""),45776.67297708333)</f>
        <v>45776.67298</v>
      </c>
      <c r="K1927" s="13" t="str">
        <f>IFERROR(__xludf.DUMMYFUNCTION("""COMPUTED_VALUE"""),"Selesai")</f>
        <v>Selesai</v>
      </c>
      <c r="L1927" s="17">
        <f>IFERROR(__xludf.DUMMYFUNCTION("""COMPUTED_VALUE"""),45776.67297708333)</f>
        <v>45776.67298</v>
      </c>
      <c r="M1927" s="13"/>
      <c r="N1927" s="13" t="str">
        <f>IFERROR(__xludf.DUMMYFUNCTION("""COMPUTED_VALUE"""),"")</f>
        <v/>
      </c>
      <c r="O1927" s="13" t="str">
        <f t="shared" si="1"/>
        <v/>
      </c>
    </row>
    <row r="1928" ht="22.5" customHeight="1">
      <c r="B1928" s="13">
        <f>IFERROR(__xludf.DUMMYFUNCTION("""COMPUTED_VALUE"""),1923.0)</f>
        <v>1923</v>
      </c>
      <c r="C1928" s="13" t="str">
        <f>IFERROR(__xludf.DUMMYFUNCTION("""COMPUTED_VALUE"""),"M. 9147/SIDODADI")</f>
        <v>M. 9147/SIDODADI</v>
      </c>
      <c r="D1928" s="13" t="str">
        <f>IFERROR(__xludf.DUMMYFUNCTION("""COMPUTED_VALUE"""),"K/23/180325/1")</f>
        <v>K/23/180325/1</v>
      </c>
      <c r="E1928" s="14" t="str">
        <f>IFERROR(__xludf.DUMMYFUNCTION("""COMPUTED_VALUE"""),"Nadian (BT)")</f>
        <v>Nadian (BT)</v>
      </c>
      <c r="F1928" s="14" t="str">
        <f>IFERROR(__xludf.DUMMYFUNCTION("""COMPUTED_VALUE"""),"SELESAI (VIA PERMOHONAN)")</f>
        <v>SELESAI (VIA PERMOHONAN)</v>
      </c>
      <c r="G1928" s="17">
        <f>IFERROR(__xludf.DUMMYFUNCTION("""COMPUTED_VALUE"""),45776.64990221064)</f>
        <v>45776.6499</v>
      </c>
      <c r="H1928" s="14" t="str">
        <f>IFERROR(__xludf.DUMMYFUNCTION("""COMPUTED_VALUE"""),"Bu Eva (SU)")</f>
        <v>Bu Eva (SU)</v>
      </c>
      <c r="I1928" s="13" t="str">
        <f>IFERROR(__xludf.DUMMYFUNCTION("""COMPUTED_VALUE"""),"SELESAI (VIA PERMOHONAN)")</f>
        <v>SELESAI (VIA PERMOHONAN)</v>
      </c>
      <c r="J1928" s="17">
        <f>IFERROR(__xludf.DUMMYFUNCTION("""COMPUTED_VALUE"""),45776.67297708333)</f>
        <v>45776.67298</v>
      </c>
      <c r="K1928" s="13" t="str">
        <f>IFERROR(__xludf.DUMMYFUNCTION("""COMPUTED_VALUE"""),"Selesai")</f>
        <v>Selesai</v>
      </c>
      <c r="L1928" s="17">
        <f>IFERROR(__xludf.DUMMYFUNCTION("""COMPUTED_VALUE"""),45776.67297708333)</f>
        <v>45776.67298</v>
      </c>
      <c r="M1928" s="13"/>
      <c r="N1928" s="13" t="str">
        <f>IFERROR(__xludf.DUMMYFUNCTION("""COMPUTED_VALUE"""),"")</f>
        <v/>
      </c>
      <c r="O1928" s="13" t="str">
        <f t="shared" si="1"/>
        <v/>
      </c>
    </row>
    <row r="1929" ht="22.5" customHeight="1">
      <c r="B1929" s="13">
        <f>IFERROR(__xludf.DUMMYFUNCTION("""COMPUTED_VALUE"""),1924.0)</f>
        <v>1924</v>
      </c>
      <c r="C1929" s="13" t="str">
        <f>IFERROR(__xludf.DUMMYFUNCTION("""COMPUTED_VALUE"""),"M. 13489/KEDAMAIAN")</f>
        <v>M. 13489/KEDAMAIAN</v>
      </c>
      <c r="D1929" s="13" t="str">
        <f>IFERROR(__xludf.DUMMYFUNCTION("""COMPUTED_VALUE"""),"K/12/160425/1")</f>
        <v>K/12/160425/1</v>
      </c>
      <c r="E1929" s="14" t="str">
        <f>IFERROR(__xludf.DUMMYFUNCTION("""COMPUTED_VALUE"""),"Nadian (BT)")</f>
        <v>Nadian (BT)</v>
      </c>
      <c r="F1929" s="14" t="str">
        <f>IFERROR(__xludf.DUMMYFUNCTION("""COMPUTED_VALUE"""),"SELESAI (VIA PERMOHONAN)")</f>
        <v>SELESAI (VIA PERMOHONAN)</v>
      </c>
      <c r="G1929" s="17">
        <f>IFERROR(__xludf.DUMMYFUNCTION("""COMPUTED_VALUE"""),45776.64990221064)</f>
        <v>45776.6499</v>
      </c>
      <c r="H1929" s="14" t="str">
        <f>IFERROR(__xludf.DUMMYFUNCTION("""COMPUTED_VALUE"""),"Bu Eva (SU)")</f>
        <v>Bu Eva (SU)</v>
      </c>
      <c r="I1929" s="13" t="str">
        <f>IFERROR(__xludf.DUMMYFUNCTION("""COMPUTED_VALUE"""),"SELESAI (VIA PERMOHONAN)")</f>
        <v>SELESAI (VIA PERMOHONAN)</v>
      </c>
      <c r="J1929" s="17">
        <f>IFERROR(__xludf.DUMMYFUNCTION("""COMPUTED_VALUE"""),45776.67297708333)</f>
        <v>45776.67298</v>
      </c>
      <c r="K1929" s="13" t="str">
        <f>IFERROR(__xludf.DUMMYFUNCTION("""COMPUTED_VALUE"""),"Selesai")</f>
        <v>Selesai</v>
      </c>
      <c r="L1929" s="17">
        <f>IFERROR(__xludf.DUMMYFUNCTION("""COMPUTED_VALUE"""),45776.67297708333)</f>
        <v>45776.67298</v>
      </c>
      <c r="M1929" s="13"/>
      <c r="N1929" s="13" t="str">
        <f>IFERROR(__xludf.DUMMYFUNCTION("""COMPUTED_VALUE"""),"")</f>
        <v/>
      </c>
      <c r="O1929" s="13" t="str">
        <f t="shared" si="1"/>
        <v/>
      </c>
    </row>
    <row r="1930" ht="22.5" customHeight="1">
      <c r="B1930" s="13">
        <f>IFERROR(__xludf.DUMMYFUNCTION("""COMPUTED_VALUE"""),1925.0)</f>
        <v>1925</v>
      </c>
      <c r="C1930" s="13" t="str">
        <f>IFERROR(__xludf.DUMMYFUNCTION("""COMPUTED_VALUE"""),"M. 2379/KEDAUNG")</f>
        <v>M. 2379/KEDAUNG</v>
      </c>
      <c r="D1930" s="13" t="str">
        <f>IFERROR(__xludf.DUMMYFUNCTION("""COMPUTED_VALUE"""),"K/28/170425/1")</f>
        <v>K/28/170425/1</v>
      </c>
      <c r="E1930" s="14" t="str">
        <f>IFERROR(__xludf.DUMMYFUNCTION("""COMPUTED_VALUE"""),"Nadian (BT)")</f>
        <v>Nadian (BT)</v>
      </c>
      <c r="F1930" s="14" t="str">
        <f>IFERROR(__xludf.DUMMYFUNCTION("""COMPUTED_VALUE"""),"SELESAI (VIA PERMOHONAN)")</f>
        <v>SELESAI (VIA PERMOHONAN)</v>
      </c>
      <c r="G1930" s="17">
        <f>IFERROR(__xludf.DUMMYFUNCTION("""COMPUTED_VALUE"""),45776.64990221064)</f>
        <v>45776.6499</v>
      </c>
      <c r="H1930" s="14" t="str">
        <f>IFERROR(__xludf.DUMMYFUNCTION("""COMPUTED_VALUE"""),"Bu Eva (SU)")</f>
        <v>Bu Eva (SU)</v>
      </c>
      <c r="I1930" s="13" t="str">
        <f>IFERROR(__xludf.DUMMYFUNCTION("""COMPUTED_VALUE"""),"SELESAI (VIA PERMOHONAN)")</f>
        <v>SELESAI (VIA PERMOHONAN)</v>
      </c>
      <c r="J1930" s="17">
        <f>IFERROR(__xludf.DUMMYFUNCTION("""COMPUTED_VALUE"""),45776.67297708333)</f>
        <v>45776.67298</v>
      </c>
      <c r="K1930" s="13" t="str">
        <f>IFERROR(__xludf.DUMMYFUNCTION("""COMPUTED_VALUE"""),"Selesai")</f>
        <v>Selesai</v>
      </c>
      <c r="L1930" s="17">
        <f>IFERROR(__xludf.DUMMYFUNCTION("""COMPUTED_VALUE"""),45776.67297708333)</f>
        <v>45776.67298</v>
      </c>
      <c r="M1930" s="13"/>
      <c r="N1930" s="13" t="str">
        <f>IFERROR(__xludf.DUMMYFUNCTION("""COMPUTED_VALUE"""),"")</f>
        <v/>
      </c>
      <c r="O1930" s="13" t="str">
        <f t="shared" si="1"/>
        <v/>
      </c>
    </row>
    <row r="1931" ht="22.5" customHeight="1">
      <c r="B1931" s="13">
        <f>IFERROR(__xludf.DUMMYFUNCTION("""COMPUTED_VALUE"""),1926.0)</f>
        <v>1926</v>
      </c>
      <c r="C1931" s="13" t="str">
        <f>IFERROR(__xludf.DUMMYFUNCTION("""COMPUTED_VALUE"""),"M. 2635/ Pinang Jaya")</f>
        <v>M. 2635/ Pinang Jaya</v>
      </c>
      <c r="D1931" s="13" t="str">
        <f>IFERROR(__xludf.DUMMYFUNCTION("""COMPUTED_VALUE"""),"K/38/240325/2")</f>
        <v>K/38/240325/2</v>
      </c>
      <c r="E1931" s="14" t="str">
        <f>IFERROR(__xludf.DUMMYFUNCTION("""COMPUTED_VALUE"""),"Afriza (BT)")</f>
        <v>Afriza (BT)</v>
      </c>
      <c r="F1931" s="14" t="str">
        <f>IFERROR(__xludf.DUMMYFUNCTION("""COMPUTED_VALUE"""),"SELESAI (VIA PERMOHONAN)")</f>
        <v>SELESAI (VIA PERMOHONAN)</v>
      </c>
      <c r="G1931" s="17">
        <f>IFERROR(__xludf.DUMMYFUNCTION("""COMPUTED_VALUE"""),45777.39011429399)</f>
        <v>45777.39011</v>
      </c>
      <c r="H1931" s="14" t="str">
        <f>IFERROR(__xludf.DUMMYFUNCTION("""COMPUTED_VALUE"""),"Bu Eva (SU)")</f>
        <v>Bu Eva (SU)</v>
      </c>
      <c r="I1931" s="13" t="str">
        <f>IFERROR(__xludf.DUMMYFUNCTION("""COMPUTED_VALUE"""),"SELESAI (VIA PERMOHONAN)")</f>
        <v>SELESAI (VIA PERMOHONAN)</v>
      </c>
      <c r="J1931" s="17">
        <f>IFERROR(__xludf.DUMMYFUNCTION("""COMPUTED_VALUE"""),45779.38252996528)</f>
        <v>45779.38253</v>
      </c>
      <c r="K1931" s="13" t="str">
        <f>IFERROR(__xludf.DUMMYFUNCTION("""COMPUTED_VALUE"""),"Selesai")</f>
        <v>Selesai</v>
      </c>
      <c r="L1931" s="17">
        <f>IFERROR(__xludf.DUMMYFUNCTION("""COMPUTED_VALUE"""),45779.38252996528)</f>
        <v>45779.38253</v>
      </c>
      <c r="M1931" s="13"/>
      <c r="N1931" s="13" t="str">
        <f>IFERROR(__xludf.DUMMYFUNCTION("""COMPUTED_VALUE"""),"")</f>
        <v/>
      </c>
      <c r="O1931" s="13" t="str">
        <f t="shared" si="1"/>
        <v/>
      </c>
    </row>
    <row r="1932" ht="22.5" customHeight="1">
      <c r="B1932" s="13">
        <f>IFERROR(__xludf.DUMMYFUNCTION("""COMPUTED_VALUE"""),1927.0)</f>
        <v>1927</v>
      </c>
      <c r="C1932" s="13" t="str">
        <f>IFERROR(__xludf.DUMMYFUNCTION("""COMPUTED_VALUE"""),"M. 2634/ Pinang Jaya")</f>
        <v>M. 2634/ Pinang Jaya</v>
      </c>
      <c r="D1932" s="13" t="str">
        <f>IFERROR(__xludf.DUMMYFUNCTION("""COMPUTED_VALUE"""),"K/21/260325/1")</f>
        <v>K/21/260325/1</v>
      </c>
      <c r="E1932" s="14" t="str">
        <f>IFERROR(__xludf.DUMMYFUNCTION("""COMPUTED_VALUE"""),"Afriza (BT)")</f>
        <v>Afriza (BT)</v>
      </c>
      <c r="F1932" s="14" t="str">
        <f>IFERROR(__xludf.DUMMYFUNCTION("""COMPUTED_VALUE"""),"SELESAI (VIA PERMOHONAN)")</f>
        <v>SELESAI (VIA PERMOHONAN)</v>
      </c>
      <c r="G1932" s="17">
        <f>IFERROR(__xludf.DUMMYFUNCTION("""COMPUTED_VALUE"""),45777.39020425926)</f>
        <v>45777.3902</v>
      </c>
      <c r="H1932" s="14" t="str">
        <f>IFERROR(__xludf.DUMMYFUNCTION("""COMPUTED_VALUE"""),"Bu Eva (SU)")</f>
        <v>Bu Eva (SU)</v>
      </c>
      <c r="I1932" s="13" t="str">
        <f>IFERROR(__xludf.DUMMYFUNCTION("""COMPUTED_VALUE"""),"SELESAI (VIA PERMOHONAN)")</f>
        <v>SELESAI (VIA PERMOHONAN)</v>
      </c>
      <c r="J1932" s="17">
        <f>IFERROR(__xludf.DUMMYFUNCTION("""COMPUTED_VALUE"""),45779.38252996528)</f>
        <v>45779.38253</v>
      </c>
      <c r="K1932" s="13" t="str">
        <f>IFERROR(__xludf.DUMMYFUNCTION("""COMPUTED_VALUE"""),"Selesai")</f>
        <v>Selesai</v>
      </c>
      <c r="L1932" s="17">
        <f>IFERROR(__xludf.DUMMYFUNCTION("""COMPUTED_VALUE"""),45779.38252996528)</f>
        <v>45779.38253</v>
      </c>
      <c r="M1932" s="13"/>
      <c r="N1932" s="13" t="str">
        <f>IFERROR(__xludf.DUMMYFUNCTION("""COMPUTED_VALUE"""),"")</f>
        <v/>
      </c>
      <c r="O1932" s="13" t="str">
        <f t="shared" si="1"/>
        <v/>
      </c>
    </row>
    <row r="1933" ht="22.5" customHeight="1">
      <c r="B1933" s="13">
        <f>IFERROR(__xludf.DUMMYFUNCTION("""COMPUTED_VALUE"""),1928.0)</f>
        <v>1928</v>
      </c>
      <c r="C1933" s="13" t="str">
        <f>IFERROR(__xludf.DUMMYFUNCTION("""COMPUTED_VALUE"""),"B. 608/ Sumber agung")</f>
        <v>B. 608/ Sumber agung</v>
      </c>
      <c r="D1933" s="13" t="str">
        <f>IFERROR(__xludf.DUMMYFUNCTION("""COMPUTED_VALUE"""),"K/31/170325/3")</f>
        <v>K/31/170325/3</v>
      </c>
      <c r="E1933" s="14" t="str">
        <f>IFERROR(__xludf.DUMMYFUNCTION("""COMPUTED_VALUE"""),"Afriza (BT)")</f>
        <v>Afriza (BT)</v>
      </c>
      <c r="F1933" s="14" t="str">
        <f>IFERROR(__xludf.DUMMYFUNCTION("""COMPUTED_VALUE"""),"SELESAI (VIA PERMOHONAN)")</f>
        <v>SELESAI (VIA PERMOHONAN)</v>
      </c>
      <c r="G1933" s="17">
        <f>IFERROR(__xludf.DUMMYFUNCTION("""COMPUTED_VALUE"""),45777.39027361111)</f>
        <v>45777.39027</v>
      </c>
      <c r="H1933" s="14" t="str">
        <f>IFERROR(__xludf.DUMMYFUNCTION("""COMPUTED_VALUE"""),"Bu Eva (SU)")</f>
        <v>Bu Eva (SU)</v>
      </c>
      <c r="I1933" s="13" t="str">
        <f>IFERROR(__xludf.DUMMYFUNCTION("""COMPUTED_VALUE"""),"SELESAI (VIA PERMOHONAN)")</f>
        <v>SELESAI (VIA PERMOHONAN)</v>
      </c>
      <c r="J1933" s="17">
        <f>IFERROR(__xludf.DUMMYFUNCTION("""COMPUTED_VALUE"""),45779.38252996528)</f>
        <v>45779.38253</v>
      </c>
      <c r="K1933" s="13" t="str">
        <f>IFERROR(__xludf.DUMMYFUNCTION("""COMPUTED_VALUE"""),"Selesai")</f>
        <v>Selesai</v>
      </c>
      <c r="L1933" s="17">
        <f>IFERROR(__xludf.DUMMYFUNCTION("""COMPUTED_VALUE"""),45779.38252996528)</f>
        <v>45779.38253</v>
      </c>
      <c r="M1933" s="13"/>
      <c r="N1933" s="13" t="str">
        <f>IFERROR(__xludf.DUMMYFUNCTION("""COMPUTED_VALUE"""),"")</f>
        <v/>
      </c>
      <c r="O1933" s="13" t="str">
        <f t="shared" si="1"/>
        <v/>
      </c>
    </row>
    <row r="1934" ht="22.5" customHeight="1">
      <c r="B1934" s="13">
        <f>IFERROR(__xludf.DUMMYFUNCTION("""COMPUTED_VALUE"""),1929.0)</f>
        <v>1929</v>
      </c>
      <c r="C1934" s="13" t="str">
        <f>IFERROR(__xludf.DUMMYFUNCTION("""COMPUTED_VALUE"""),"M. 2626/ Pinang jaya")</f>
        <v>M. 2626/ Pinang jaya</v>
      </c>
      <c r="D1934" s="13" t="str">
        <f>IFERROR(__xludf.DUMMYFUNCTION("""COMPUTED_VALUE"""),"K/27/250425/3")</f>
        <v>K/27/250425/3</v>
      </c>
      <c r="E1934" s="14" t="str">
        <f>IFERROR(__xludf.DUMMYFUNCTION("""COMPUTED_VALUE"""),"Afriza (BT)")</f>
        <v>Afriza (BT)</v>
      </c>
      <c r="F1934" s="14" t="str">
        <f>IFERROR(__xludf.DUMMYFUNCTION("""COMPUTED_VALUE"""),"SELESAI (VIA PERMOHONAN)")</f>
        <v>SELESAI (VIA PERMOHONAN)</v>
      </c>
      <c r="G1934" s="17">
        <f>IFERROR(__xludf.DUMMYFUNCTION("""COMPUTED_VALUE"""),45777.390392037036)</f>
        <v>45777.39039</v>
      </c>
      <c r="H1934" s="14" t="str">
        <f>IFERROR(__xludf.DUMMYFUNCTION("""COMPUTED_VALUE"""),"Bu Eva (SU)")</f>
        <v>Bu Eva (SU)</v>
      </c>
      <c r="I1934" s="13" t="str">
        <f>IFERROR(__xludf.DUMMYFUNCTION("""COMPUTED_VALUE"""),"SELESAI (VIA PERMOHONAN)")</f>
        <v>SELESAI (VIA PERMOHONAN)</v>
      </c>
      <c r="J1934" s="17">
        <f>IFERROR(__xludf.DUMMYFUNCTION("""COMPUTED_VALUE"""),45779.38252996528)</f>
        <v>45779.38253</v>
      </c>
      <c r="K1934" s="13" t="str">
        <f>IFERROR(__xludf.DUMMYFUNCTION("""COMPUTED_VALUE"""),"Selesai")</f>
        <v>Selesai</v>
      </c>
      <c r="L1934" s="17">
        <f>IFERROR(__xludf.DUMMYFUNCTION("""COMPUTED_VALUE"""),45779.38252996528)</f>
        <v>45779.38253</v>
      </c>
      <c r="M1934" s="13"/>
      <c r="N1934" s="13" t="str">
        <f>IFERROR(__xludf.DUMMYFUNCTION("""COMPUTED_VALUE"""),"")</f>
        <v/>
      </c>
      <c r="O1934" s="13" t="str">
        <f t="shared" si="1"/>
        <v/>
      </c>
    </row>
    <row r="1935" ht="22.5" customHeight="1">
      <c r="B1935" s="13">
        <f>IFERROR(__xludf.DUMMYFUNCTION("""COMPUTED_VALUE"""),1930.0)</f>
        <v>1930</v>
      </c>
      <c r="C1935" s="13" t="str">
        <f>IFERROR(__xludf.DUMMYFUNCTION("""COMPUTED_VALUE"""),"M. 1954/ sukadanaham")</f>
        <v>M. 1954/ sukadanaham</v>
      </c>
      <c r="D1935" s="13" t="str">
        <f>IFERROR(__xludf.DUMMYFUNCTION("""COMPUTED_VALUE"""),"K/27/170425/3")</f>
        <v>K/27/170425/3</v>
      </c>
      <c r="E1935" s="14" t="str">
        <f>IFERROR(__xludf.DUMMYFUNCTION("""COMPUTED_VALUE"""),"Afriza (BT)")</f>
        <v>Afriza (BT)</v>
      </c>
      <c r="F1935" s="14" t="str">
        <f>IFERROR(__xludf.DUMMYFUNCTION("""COMPUTED_VALUE"""),"SELESAI (VIA PERMOHONAN)")</f>
        <v>SELESAI (VIA PERMOHONAN)</v>
      </c>
      <c r="G1935" s="17">
        <f>IFERROR(__xludf.DUMMYFUNCTION("""COMPUTED_VALUE"""),45777.390488634264)</f>
        <v>45777.39049</v>
      </c>
      <c r="H1935" s="14" t="str">
        <f>IFERROR(__xludf.DUMMYFUNCTION("""COMPUTED_VALUE"""),"Bu Eva (SU)")</f>
        <v>Bu Eva (SU)</v>
      </c>
      <c r="I1935" s="13" t="str">
        <f>IFERROR(__xludf.DUMMYFUNCTION("""COMPUTED_VALUE"""),"SELESAI (VIA PERMOHONAN)")</f>
        <v>SELESAI (VIA PERMOHONAN)</v>
      </c>
      <c r="J1935" s="17">
        <f>IFERROR(__xludf.DUMMYFUNCTION("""COMPUTED_VALUE"""),45779.38252997685)</f>
        <v>45779.38253</v>
      </c>
      <c r="K1935" s="13" t="str">
        <f>IFERROR(__xludf.DUMMYFUNCTION("""COMPUTED_VALUE"""),"Selesai")</f>
        <v>Selesai</v>
      </c>
      <c r="L1935" s="17">
        <f>IFERROR(__xludf.DUMMYFUNCTION("""COMPUTED_VALUE"""),45779.38252997685)</f>
        <v>45779.38253</v>
      </c>
      <c r="M1935" s="13"/>
      <c r="N1935" s="13" t="str">
        <f>IFERROR(__xludf.DUMMYFUNCTION("""COMPUTED_VALUE"""),"")</f>
        <v/>
      </c>
      <c r="O1935" s="13" t="str">
        <f t="shared" si="1"/>
        <v/>
      </c>
    </row>
    <row r="1936" ht="22.5" customHeight="1">
      <c r="B1936" s="13">
        <f>IFERROR(__xludf.DUMMYFUNCTION("""COMPUTED_VALUE"""),1931.0)</f>
        <v>1931</v>
      </c>
      <c r="C1936" s="13" t="str">
        <f>IFERROR(__xludf.DUMMYFUNCTION("""COMPUTED_VALUE"""),"B. 285/ Way Dadi")</f>
        <v>B. 285/ Way Dadi</v>
      </c>
      <c r="D1936" s="13" t="str">
        <f>IFERROR(__xludf.DUMMYFUNCTION("""COMPUTED_VALUE"""),"K/3/180325/2")</f>
        <v>K/3/180325/2</v>
      </c>
      <c r="E1936" s="14" t="str">
        <f>IFERROR(__xludf.DUMMYFUNCTION("""COMPUTED_VALUE"""),"Afriza (BT)")</f>
        <v>Afriza (BT)</v>
      </c>
      <c r="F1936" s="14" t="str">
        <f>IFERROR(__xludf.DUMMYFUNCTION("""COMPUTED_VALUE"""),"SELESAI (VIA PERMOHONAN)")</f>
        <v>SELESAI (VIA PERMOHONAN)</v>
      </c>
      <c r="G1936" s="17">
        <f>IFERROR(__xludf.DUMMYFUNCTION("""COMPUTED_VALUE"""),45777.46709730324)</f>
        <v>45777.4671</v>
      </c>
      <c r="H1936" s="14" t="str">
        <f>IFERROR(__xludf.DUMMYFUNCTION("""COMPUTED_VALUE"""),"Bu Eva (SU)")</f>
        <v>Bu Eva (SU)</v>
      </c>
      <c r="I1936" s="13" t="str">
        <f>IFERROR(__xludf.DUMMYFUNCTION("""COMPUTED_VALUE"""),"SELESAI (VIA PERMOHONAN)")</f>
        <v>SELESAI (VIA PERMOHONAN)</v>
      </c>
      <c r="J1936" s="17">
        <f>IFERROR(__xludf.DUMMYFUNCTION("""COMPUTED_VALUE"""),45779.38252997685)</f>
        <v>45779.38253</v>
      </c>
      <c r="K1936" s="13" t="str">
        <f>IFERROR(__xludf.DUMMYFUNCTION("""COMPUTED_VALUE"""),"Selesai")</f>
        <v>Selesai</v>
      </c>
      <c r="L1936" s="17">
        <f>IFERROR(__xludf.DUMMYFUNCTION("""COMPUTED_VALUE"""),45779.38252997685)</f>
        <v>45779.38253</v>
      </c>
      <c r="M1936" s="13"/>
      <c r="N1936" s="13" t="str">
        <f>IFERROR(__xludf.DUMMYFUNCTION("""COMPUTED_VALUE"""),"")</f>
        <v/>
      </c>
      <c r="O1936" s="13" t="str">
        <f t="shared" si="1"/>
        <v/>
      </c>
    </row>
    <row r="1937" ht="22.5" customHeight="1">
      <c r="B1937" s="13">
        <f>IFERROR(__xludf.DUMMYFUNCTION("""COMPUTED_VALUE"""),1932.0)</f>
        <v>1932</v>
      </c>
      <c r="C1937" s="13" t="str">
        <f>IFERROR(__xludf.DUMMYFUNCTION("""COMPUTED_VALUE"""),"B. 494/ Gn Sulah")</f>
        <v>B. 494/ Gn Sulah</v>
      </c>
      <c r="D1937" s="13" t="str">
        <f>IFERROR(__xludf.DUMMYFUNCTION("""COMPUTED_VALUE"""),"K/13/210425/1")</f>
        <v>K/13/210425/1</v>
      </c>
      <c r="E1937" s="14" t="str">
        <f>IFERROR(__xludf.DUMMYFUNCTION("""COMPUTED_VALUE"""),"Afriza (BT)")</f>
        <v>Afriza (BT)</v>
      </c>
      <c r="F1937" s="14" t="str">
        <f>IFERROR(__xludf.DUMMYFUNCTION("""COMPUTED_VALUE"""),"SELESAI (VIA PERMOHONAN)")</f>
        <v>SELESAI (VIA PERMOHONAN)</v>
      </c>
      <c r="G1937" s="17">
        <f>IFERROR(__xludf.DUMMYFUNCTION("""COMPUTED_VALUE"""),45777.467223217594)</f>
        <v>45777.46722</v>
      </c>
      <c r="H1937" s="14" t="str">
        <f>IFERROR(__xludf.DUMMYFUNCTION("""COMPUTED_VALUE"""),"Bu Eva (SU)")</f>
        <v>Bu Eva (SU)</v>
      </c>
      <c r="I1937" s="13" t="str">
        <f>IFERROR(__xludf.DUMMYFUNCTION("""COMPUTED_VALUE"""),"SELESAI (VIA PERMOHONAN)")</f>
        <v>SELESAI (VIA PERMOHONAN)</v>
      </c>
      <c r="J1937" s="17">
        <f>IFERROR(__xludf.DUMMYFUNCTION("""COMPUTED_VALUE"""),45779.38252997685)</f>
        <v>45779.38253</v>
      </c>
      <c r="K1937" s="13" t="str">
        <f>IFERROR(__xludf.DUMMYFUNCTION("""COMPUTED_VALUE"""),"Selesai")</f>
        <v>Selesai</v>
      </c>
      <c r="L1937" s="17">
        <f>IFERROR(__xludf.DUMMYFUNCTION("""COMPUTED_VALUE"""),45779.38252997685)</f>
        <v>45779.38253</v>
      </c>
      <c r="M1937" s="13"/>
      <c r="N1937" s="13" t="str">
        <f>IFERROR(__xludf.DUMMYFUNCTION("""COMPUTED_VALUE"""),"")</f>
        <v/>
      </c>
      <c r="O1937" s="13" t="str">
        <f t="shared" si="1"/>
        <v/>
      </c>
    </row>
    <row r="1938" ht="22.5" customHeight="1">
      <c r="B1938" s="13">
        <f>IFERROR(__xludf.DUMMYFUNCTION("""COMPUTED_VALUE"""),1933.0)</f>
        <v>1933</v>
      </c>
      <c r="C1938" s="13" t="str">
        <f>IFERROR(__xludf.DUMMYFUNCTION("""COMPUTED_VALUE"""),"M. 194/ Sukaraja")</f>
        <v>M. 194/ Sukaraja</v>
      </c>
      <c r="D1938" s="13" t="str">
        <f>IFERROR(__xludf.DUMMYFUNCTION("""COMPUTED_VALUE"""),"K/18/240425/1")</f>
        <v>K/18/240425/1</v>
      </c>
      <c r="E1938" s="14" t="str">
        <f>IFERROR(__xludf.DUMMYFUNCTION("""COMPUTED_VALUE"""),"Afriza (BT)")</f>
        <v>Afriza (BT)</v>
      </c>
      <c r="F1938" s="14" t="str">
        <f>IFERROR(__xludf.DUMMYFUNCTION("""COMPUTED_VALUE"""),"SELESAI (VIA PERMOHONAN)")</f>
        <v>SELESAI (VIA PERMOHONAN)</v>
      </c>
      <c r="G1938" s="17">
        <f>IFERROR(__xludf.DUMMYFUNCTION("""COMPUTED_VALUE"""),45777.46738560185)</f>
        <v>45777.46739</v>
      </c>
      <c r="H1938" s="14" t="str">
        <f>IFERROR(__xludf.DUMMYFUNCTION("""COMPUTED_VALUE"""),"Bu Eva (SU)")</f>
        <v>Bu Eva (SU)</v>
      </c>
      <c r="I1938" s="13" t="str">
        <f>IFERROR(__xludf.DUMMYFUNCTION("""COMPUTED_VALUE"""),"SELESAI (VIA PERMOHONAN)")</f>
        <v>SELESAI (VIA PERMOHONAN)</v>
      </c>
      <c r="J1938" s="17">
        <f>IFERROR(__xludf.DUMMYFUNCTION("""COMPUTED_VALUE"""),45779.38252997685)</f>
        <v>45779.38253</v>
      </c>
      <c r="K1938" s="13" t="str">
        <f>IFERROR(__xludf.DUMMYFUNCTION("""COMPUTED_VALUE"""),"Selesai")</f>
        <v>Selesai</v>
      </c>
      <c r="L1938" s="17">
        <f>IFERROR(__xludf.DUMMYFUNCTION("""COMPUTED_VALUE"""),45779.38252997685)</f>
        <v>45779.38253</v>
      </c>
      <c r="M1938" s="13"/>
      <c r="N1938" s="13" t="str">
        <f>IFERROR(__xludf.DUMMYFUNCTION("""COMPUTED_VALUE"""),"")</f>
        <v/>
      </c>
      <c r="O1938" s="13" t="str">
        <f t="shared" si="1"/>
        <v/>
      </c>
    </row>
    <row r="1939" ht="22.5" customHeight="1">
      <c r="B1939" s="13">
        <f>IFERROR(__xludf.DUMMYFUNCTION("""COMPUTED_VALUE"""),1934.0)</f>
        <v>1934</v>
      </c>
      <c r="C1939" s="13" t="str">
        <f>IFERROR(__xludf.DUMMYFUNCTION("""COMPUTED_VALUE"""),"HM 13606/RAJABASA ")</f>
        <v>HM 13606/RAJABASA </v>
      </c>
      <c r="D1939" s="13" t="str">
        <f>IFERROR(__xludf.DUMMYFUNCTION("""COMPUTED_VALUE"""),"L/22/210425/1")</f>
        <v>L/22/210425/1</v>
      </c>
      <c r="E1939" s="14" t="str">
        <f>IFERROR(__xludf.DUMMYFUNCTION("""COMPUTED_VALUE"""),"Nadian (BT)")</f>
        <v>Nadian (BT)</v>
      </c>
      <c r="F1939" s="14" t="str">
        <f>IFERROR(__xludf.DUMMYFUNCTION("""COMPUTED_VALUE"""),"SELESAI (VIA PERMOHONAN)")</f>
        <v>SELESAI (VIA PERMOHONAN)</v>
      </c>
      <c r="G1939" s="17">
        <f>IFERROR(__xludf.DUMMYFUNCTION("""COMPUTED_VALUE"""),45777.63081805556)</f>
        <v>45777.63082</v>
      </c>
      <c r="H1939" s="14" t="str">
        <f>IFERROR(__xludf.DUMMYFUNCTION("""COMPUTED_VALUE"""),"Bu Eva (SU)")</f>
        <v>Bu Eva (SU)</v>
      </c>
      <c r="I1939" s="13" t="str">
        <f>IFERROR(__xludf.DUMMYFUNCTION("""COMPUTED_VALUE"""),"SELESAI (VIA PERMOHONAN)")</f>
        <v>SELESAI (VIA PERMOHONAN)</v>
      </c>
      <c r="J1939" s="17">
        <f>IFERROR(__xludf.DUMMYFUNCTION("""COMPUTED_VALUE"""),45779.38252997685)</f>
        <v>45779.38253</v>
      </c>
      <c r="K1939" s="13" t="str">
        <f>IFERROR(__xludf.DUMMYFUNCTION("""COMPUTED_VALUE"""),"Selesai")</f>
        <v>Selesai</v>
      </c>
      <c r="L1939" s="17">
        <f>IFERROR(__xludf.DUMMYFUNCTION("""COMPUTED_VALUE"""),45779.38252997685)</f>
        <v>45779.38253</v>
      </c>
      <c r="M1939" s="13"/>
      <c r="N1939" s="13" t="str">
        <f>IFERROR(__xludf.DUMMYFUNCTION("""COMPUTED_VALUE"""),"")</f>
        <v/>
      </c>
      <c r="O1939" s="13" t="str">
        <f t="shared" si="1"/>
        <v/>
      </c>
    </row>
    <row r="1940" ht="22.5" customHeight="1">
      <c r="B1940" s="13">
        <f>IFERROR(__xludf.DUMMYFUNCTION("""COMPUTED_VALUE"""),1935.0)</f>
        <v>1935</v>
      </c>
      <c r="C1940" s="13" t="str">
        <f>IFERROR(__xludf.DUMMYFUNCTION("""COMPUTED_VALUE"""),"B.386/BAKUNG")</f>
        <v>B.386/BAKUNG</v>
      </c>
      <c r="D1940" s="13" t="str">
        <f>IFERROR(__xludf.DUMMYFUNCTION("""COMPUTED_VALUE"""),"K/24/250425/1")</f>
        <v>K/24/250425/1</v>
      </c>
      <c r="E1940" s="14" t="str">
        <f>IFERROR(__xludf.DUMMYFUNCTION("""COMPUTED_VALUE"""),"Nadian (BT)")</f>
        <v>Nadian (BT)</v>
      </c>
      <c r="F1940" s="14" t="str">
        <f>IFERROR(__xludf.DUMMYFUNCTION("""COMPUTED_VALUE"""),"SELESAI (VIA PERMOHONAN)")</f>
        <v>SELESAI (VIA PERMOHONAN)</v>
      </c>
      <c r="G1940" s="17">
        <f>IFERROR(__xludf.DUMMYFUNCTION("""COMPUTED_VALUE"""),45777.63088726852)</f>
        <v>45777.63089</v>
      </c>
      <c r="H1940" s="14" t="str">
        <f>IFERROR(__xludf.DUMMYFUNCTION("""COMPUTED_VALUE"""),"Bu Eva (SU)")</f>
        <v>Bu Eva (SU)</v>
      </c>
      <c r="I1940" s="13" t="str">
        <f>IFERROR(__xludf.DUMMYFUNCTION("""COMPUTED_VALUE"""),"SELESAI (VIA PERMOHONAN)")</f>
        <v>SELESAI (VIA PERMOHONAN)</v>
      </c>
      <c r="J1940" s="17">
        <f>IFERROR(__xludf.DUMMYFUNCTION("""COMPUTED_VALUE"""),45779.38252997685)</f>
        <v>45779.38253</v>
      </c>
      <c r="K1940" s="13" t="str">
        <f>IFERROR(__xludf.DUMMYFUNCTION("""COMPUTED_VALUE"""),"Selesai")</f>
        <v>Selesai</v>
      </c>
      <c r="L1940" s="17">
        <f>IFERROR(__xludf.DUMMYFUNCTION("""COMPUTED_VALUE"""),45779.38252997685)</f>
        <v>45779.38253</v>
      </c>
      <c r="M1940" s="13"/>
      <c r="N1940" s="13" t="str">
        <f>IFERROR(__xludf.DUMMYFUNCTION("""COMPUTED_VALUE"""),"")</f>
        <v/>
      </c>
      <c r="O1940" s="13" t="str">
        <f t="shared" si="1"/>
        <v/>
      </c>
    </row>
    <row r="1941" ht="22.5" customHeight="1">
      <c r="B1941" s="13">
        <f>IFERROR(__xludf.DUMMYFUNCTION("""COMPUTED_VALUE"""),1936.0)</f>
        <v>1936</v>
      </c>
      <c r="C1941" s="13" t="str">
        <f>IFERROR(__xludf.DUMMYFUNCTION("""COMPUTED_VALUE"""),"M. 219/ Perwata")</f>
        <v>M. 219/ Perwata</v>
      </c>
      <c r="D1941" s="13" t="str">
        <f>IFERROR(__xludf.DUMMYFUNCTION("""COMPUTED_VALUE"""),"K/22/170425/1")</f>
        <v>K/22/170425/1</v>
      </c>
      <c r="E1941" s="14" t="str">
        <f>IFERROR(__xludf.DUMMYFUNCTION("""COMPUTED_VALUE"""),"Nadian (BT)")</f>
        <v>Nadian (BT)</v>
      </c>
      <c r="F1941" s="14" t="str">
        <f>IFERROR(__xludf.DUMMYFUNCTION("""COMPUTED_VALUE"""),"SELESAI (VIA PERMOHONAN)")</f>
        <v>SELESAI (VIA PERMOHONAN)</v>
      </c>
      <c r="G1941" s="17">
        <f>IFERROR(__xludf.DUMMYFUNCTION("""COMPUTED_VALUE"""),45777.63088726852)</f>
        <v>45777.63089</v>
      </c>
      <c r="H1941" s="14" t="str">
        <f>IFERROR(__xludf.DUMMYFUNCTION("""COMPUTED_VALUE"""),"Bu Eva (SU)")</f>
        <v>Bu Eva (SU)</v>
      </c>
      <c r="I1941" s="13" t="str">
        <f>IFERROR(__xludf.DUMMYFUNCTION("""COMPUTED_VALUE"""),"SELESAI (VIA PERMOHONAN)")</f>
        <v>SELESAI (VIA PERMOHONAN)</v>
      </c>
      <c r="J1941" s="17">
        <f>IFERROR(__xludf.DUMMYFUNCTION("""COMPUTED_VALUE"""),45779.38252997685)</f>
        <v>45779.38253</v>
      </c>
      <c r="K1941" s="13" t="str">
        <f>IFERROR(__xludf.DUMMYFUNCTION("""COMPUTED_VALUE"""),"Selesai")</f>
        <v>Selesai</v>
      </c>
      <c r="L1941" s="17">
        <f>IFERROR(__xludf.DUMMYFUNCTION("""COMPUTED_VALUE"""),45779.38252997685)</f>
        <v>45779.38253</v>
      </c>
      <c r="M1941" s="13"/>
      <c r="N1941" s="13" t="str">
        <f>IFERROR(__xludf.DUMMYFUNCTION("""COMPUTED_VALUE"""),"")</f>
        <v/>
      </c>
      <c r="O1941" s="13" t="str">
        <f t="shared" si="1"/>
        <v/>
      </c>
    </row>
    <row r="1942" ht="22.5" customHeight="1">
      <c r="B1942" s="13">
        <f>IFERROR(__xludf.DUMMYFUNCTION("""COMPUTED_VALUE"""),1937.0)</f>
        <v>1937</v>
      </c>
      <c r="C1942" s="13" t="str">
        <f>IFERROR(__xludf.DUMMYFUNCTION("""COMPUTED_VALUE"""),"M. 6712/ Tanjung Senang")</f>
        <v>M. 6712/ Tanjung Senang</v>
      </c>
      <c r="D1942" s="13" t="str">
        <f>IFERROR(__xludf.DUMMYFUNCTION("""COMPUTED_VALUE"""),"K/22/210325/3")</f>
        <v>K/22/210325/3</v>
      </c>
      <c r="E1942" s="14" t="str">
        <f>IFERROR(__xludf.DUMMYFUNCTION("""COMPUTED_VALUE"""),"Nadian (BT)")</f>
        <v>Nadian (BT)</v>
      </c>
      <c r="F1942" s="14" t="str">
        <f>IFERROR(__xludf.DUMMYFUNCTION("""COMPUTED_VALUE"""),"SELESAI (VIA PERMOHONAN)")</f>
        <v>SELESAI (VIA PERMOHONAN)</v>
      </c>
      <c r="G1942" s="17">
        <f>IFERROR(__xludf.DUMMYFUNCTION("""COMPUTED_VALUE"""),45777.63088726852)</f>
        <v>45777.63089</v>
      </c>
      <c r="H1942" s="14" t="str">
        <f>IFERROR(__xludf.DUMMYFUNCTION("""COMPUTED_VALUE"""),"Bu Eva (SU)")</f>
        <v>Bu Eva (SU)</v>
      </c>
      <c r="I1942" s="13" t="str">
        <f>IFERROR(__xludf.DUMMYFUNCTION("""COMPUTED_VALUE"""),"SELESAI (VIA PERMOHONAN)")</f>
        <v>SELESAI (VIA PERMOHONAN)</v>
      </c>
      <c r="J1942" s="17">
        <f>IFERROR(__xludf.DUMMYFUNCTION("""COMPUTED_VALUE"""),45779.38252997685)</f>
        <v>45779.38253</v>
      </c>
      <c r="K1942" s="13" t="str">
        <f>IFERROR(__xludf.DUMMYFUNCTION("""COMPUTED_VALUE"""),"Selesai")</f>
        <v>Selesai</v>
      </c>
      <c r="L1942" s="17">
        <f>IFERROR(__xludf.DUMMYFUNCTION("""COMPUTED_VALUE"""),45779.38252997685)</f>
        <v>45779.38253</v>
      </c>
      <c r="M1942" s="13"/>
      <c r="N1942" s="13" t="str">
        <f>IFERROR(__xludf.DUMMYFUNCTION("""COMPUTED_VALUE"""),"")</f>
        <v/>
      </c>
      <c r="O1942" s="13" t="str">
        <f t="shared" si="1"/>
        <v/>
      </c>
    </row>
    <row r="1943" ht="22.5" customHeight="1">
      <c r="B1943" s="13">
        <f>IFERROR(__xludf.DUMMYFUNCTION("""COMPUTED_VALUE"""),1938.0)</f>
        <v>1938</v>
      </c>
      <c r="C1943" s="13" t="str">
        <f>IFERROR(__xludf.DUMMYFUNCTION("""COMPUTED_VALUE"""),"M. 1420/ Gunung Terang")</f>
        <v>M. 1420/ Gunung Terang</v>
      </c>
      <c r="D1943" s="13" t="str">
        <f>IFERROR(__xludf.DUMMYFUNCTION("""COMPUTED_VALUE"""),"K/14/210325/1")</f>
        <v>K/14/210325/1</v>
      </c>
      <c r="E1943" s="14" t="str">
        <f>IFERROR(__xludf.DUMMYFUNCTION("""COMPUTED_VALUE"""),"Nadian (BT)")</f>
        <v>Nadian (BT)</v>
      </c>
      <c r="F1943" s="14" t="str">
        <f>IFERROR(__xludf.DUMMYFUNCTION("""COMPUTED_VALUE"""),"SELESAI (VIA PERMOHONAN)")</f>
        <v>SELESAI (VIA PERMOHONAN)</v>
      </c>
      <c r="G1943" s="17">
        <f>IFERROR(__xludf.DUMMYFUNCTION("""COMPUTED_VALUE"""),45777.63088726852)</f>
        <v>45777.63089</v>
      </c>
      <c r="H1943" s="14" t="str">
        <f>IFERROR(__xludf.DUMMYFUNCTION("""COMPUTED_VALUE"""),"Bu Eva (SU)")</f>
        <v>Bu Eva (SU)</v>
      </c>
      <c r="I1943" s="13" t="str">
        <f>IFERROR(__xludf.DUMMYFUNCTION("""COMPUTED_VALUE"""),"SELESAI (VIA PERMOHONAN)")</f>
        <v>SELESAI (VIA PERMOHONAN)</v>
      </c>
      <c r="J1943" s="17">
        <f>IFERROR(__xludf.DUMMYFUNCTION("""COMPUTED_VALUE"""),45779.38252997685)</f>
        <v>45779.38253</v>
      </c>
      <c r="K1943" s="13" t="str">
        <f>IFERROR(__xludf.DUMMYFUNCTION("""COMPUTED_VALUE"""),"Selesai")</f>
        <v>Selesai</v>
      </c>
      <c r="L1943" s="17">
        <f>IFERROR(__xludf.DUMMYFUNCTION("""COMPUTED_VALUE"""),45779.38252997685)</f>
        <v>45779.38253</v>
      </c>
      <c r="M1943" s="13"/>
      <c r="N1943" s="13" t="str">
        <f>IFERROR(__xludf.DUMMYFUNCTION("""COMPUTED_VALUE"""),"")</f>
        <v/>
      </c>
      <c r="O1943" s="13" t="str">
        <f t="shared" si="1"/>
        <v/>
      </c>
    </row>
    <row r="1944" ht="22.5" customHeight="1">
      <c r="B1944" s="13">
        <f>IFERROR(__xludf.DUMMYFUNCTION("""COMPUTED_VALUE"""),1939.0)</f>
        <v>1939</v>
      </c>
      <c r="C1944" s="13" t="str">
        <f>IFERROR(__xludf.DUMMYFUNCTION("""COMPUTED_VALUE"""),"M. 632/ Tanjung Senang")</f>
        <v>M. 632/ Tanjung Senang</v>
      </c>
      <c r="D1944" s="13" t="str">
        <f>IFERROR(__xludf.DUMMYFUNCTION("""COMPUTED_VALUE"""),"K/18/250325/1")</f>
        <v>K/18/250325/1</v>
      </c>
      <c r="E1944" s="14" t="str">
        <f>IFERROR(__xludf.DUMMYFUNCTION("""COMPUTED_VALUE"""),"Nadian (BT)")</f>
        <v>Nadian (BT)</v>
      </c>
      <c r="F1944" s="14" t="str">
        <f>IFERROR(__xludf.DUMMYFUNCTION("""COMPUTED_VALUE"""),"SELESAI (VIA PERMOHONAN)")</f>
        <v>SELESAI (VIA PERMOHONAN)</v>
      </c>
      <c r="G1944" s="17">
        <f>IFERROR(__xludf.DUMMYFUNCTION("""COMPUTED_VALUE"""),45777.63088726852)</f>
        <v>45777.63089</v>
      </c>
      <c r="H1944" s="14" t="str">
        <f>IFERROR(__xludf.DUMMYFUNCTION("""COMPUTED_VALUE"""),"Bu Eva (SU)")</f>
        <v>Bu Eva (SU)</v>
      </c>
      <c r="I1944" s="13" t="str">
        <f>IFERROR(__xludf.DUMMYFUNCTION("""COMPUTED_VALUE"""),"SELESAI (VIA PERMOHONAN)")</f>
        <v>SELESAI (VIA PERMOHONAN)</v>
      </c>
      <c r="J1944" s="17">
        <f>IFERROR(__xludf.DUMMYFUNCTION("""COMPUTED_VALUE"""),45779.38252997685)</f>
        <v>45779.38253</v>
      </c>
      <c r="K1944" s="13" t="str">
        <f>IFERROR(__xludf.DUMMYFUNCTION("""COMPUTED_VALUE"""),"Selesai")</f>
        <v>Selesai</v>
      </c>
      <c r="L1944" s="17">
        <f>IFERROR(__xludf.DUMMYFUNCTION("""COMPUTED_VALUE"""),45779.38252997685)</f>
        <v>45779.38253</v>
      </c>
      <c r="M1944" s="13"/>
      <c r="N1944" s="13" t="str">
        <f>IFERROR(__xludf.DUMMYFUNCTION("""COMPUTED_VALUE"""),"")</f>
        <v/>
      </c>
      <c r="O1944" s="13" t="str">
        <f t="shared" si="1"/>
        <v/>
      </c>
    </row>
    <row r="1945" ht="22.5" customHeight="1">
      <c r="B1945" s="13">
        <f>IFERROR(__xludf.DUMMYFUNCTION("""COMPUTED_VALUE"""),1940.0)</f>
        <v>1940</v>
      </c>
      <c r="C1945" s="13" t="str">
        <f>IFERROR(__xludf.DUMMYFUNCTION("""COMPUTED_VALUE"""),"M. 10684/ Sukabumi")</f>
        <v>M. 10684/ Sukabumi</v>
      </c>
      <c r="D1945" s="13" t="str">
        <f>IFERROR(__xludf.DUMMYFUNCTION("""COMPUTED_VALUE"""),"K/37/160425/2")</f>
        <v>K/37/160425/2</v>
      </c>
      <c r="E1945" s="14" t="str">
        <f>IFERROR(__xludf.DUMMYFUNCTION("""COMPUTED_VALUE"""),"Nadian (BT)")</f>
        <v>Nadian (BT)</v>
      </c>
      <c r="F1945" s="14" t="str">
        <f>IFERROR(__xludf.DUMMYFUNCTION("""COMPUTED_VALUE"""),"SELESAI (VIA PERMOHONAN)")</f>
        <v>SELESAI (VIA PERMOHONAN)</v>
      </c>
      <c r="G1945" s="17">
        <f>IFERROR(__xludf.DUMMYFUNCTION("""COMPUTED_VALUE"""),45777.63088726852)</f>
        <v>45777.63089</v>
      </c>
      <c r="H1945" s="14" t="str">
        <f>IFERROR(__xludf.DUMMYFUNCTION("""COMPUTED_VALUE"""),"Bu Eva (SU)")</f>
        <v>Bu Eva (SU)</v>
      </c>
      <c r="I1945" s="13" t="str">
        <f>IFERROR(__xludf.DUMMYFUNCTION("""COMPUTED_VALUE"""),"SELESAI (VIA PERMOHONAN)")</f>
        <v>SELESAI (VIA PERMOHONAN)</v>
      </c>
      <c r="J1945" s="17">
        <f>IFERROR(__xludf.DUMMYFUNCTION("""COMPUTED_VALUE"""),45779.38252997685)</f>
        <v>45779.38253</v>
      </c>
      <c r="K1945" s="13" t="str">
        <f>IFERROR(__xludf.DUMMYFUNCTION("""COMPUTED_VALUE"""),"Selesai")</f>
        <v>Selesai</v>
      </c>
      <c r="L1945" s="17">
        <f>IFERROR(__xludf.DUMMYFUNCTION("""COMPUTED_VALUE"""),45779.38252997685)</f>
        <v>45779.38253</v>
      </c>
      <c r="M1945" s="13"/>
      <c r="N1945" s="13" t="str">
        <f>IFERROR(__xludf.DUMMYFUNCTION("""COMPUTED_VALUE"""),"")</f>
        <v/>
      </c>
      <c r="O1945" s="13" t="str">
        <f t="shared" si="1"/>
        <v/>
      </c>
    </row>
    <row r="1946" ht="22.5" customHeight="1">
      <c r="B1946" s="13">
        <f>IFERROR(__xludf.DUMMYFUNCTION("""COMPUTED_VALUE"""),1941.0)</f>
        <v>1941</v>
      </c>
      <c r="C1946" s="13" t="str">
        <f>IFERROR(__xludf.DUMMYFUNCTION("""COMPUTED_VALUE"""),"M.472/BAKUNG")</f>
        <v>M.472/BAKUNG</v>
      </c>
      <c r="D1946" s="13" t="str">
        <f>IFERROR(__xludf.DUMMYFUNCTION("""COMPUTED_VALUE"""),"K/6/280225/2")</f>
        <v>K/6/280225/2</v>
      </c>
      <c r="E1946" s="14" t="str">
        <f>IFERROR(__xludf.DUMMYFUNCTION("""COMPUTED_VALUE"""),"Nadian (BT)")</f>
        <v>Nadian (BT)</v>
      </c>
      <c r="F1946" s="14" t="str">
        <f>IFERROR(__xludf.DUMMYFUNCTION("""COMPUTED_VALUE"""),"SELESAI (VIA PERMOHONAN)")</f>
        <v>SELESAI (VIA PERMOHONAN)</v>
      </c>
      <c r="G1946" s="17">
        <f>IFERROR(__xludf.DUMMYFUNCTION("""COMPUTED_VALUE"""),45777.63088726852)</f>
        <v>45777.63089</v>
      </c>
      <c r="H1946" s="14" t="str">
        <f>IFERROR(__xludf.DUMMYFUNCTION("""COMPUTED_VALUE"""),"Bu Eva (SU)")</f>
        <v>Bu Eva (SU)</v>
      </c>
      <c r="I1946" s="13" t="str">
        <f>IFERROR(__xludf.DUMMYFUNCTION("""COMPUTED_VALUE"""),"SELESAI (VIA PERMOHONAN)")</f>
        <v>SELESAI (VIA PERMOHONAN)</v>
      </c>
      <c r="J1946" s="17">
        <f>IFERROR(__xludf.DUMMYFUNCTION("""COMPUTED_VALUE"""),45779.38265513889)</f>
        <v>45779.38266</v>
      </c>
      <c r="K1946" s="13" t="str">
        <f>IFERROR(__xludf.DUMMYFUNCTION("""COMPUTED_VALUE"""),"Selesai")</f>
        <v>Selesai</v>
      </c>
      <c r="L1946" s="17">
        <f>IFERROR(__xludf.DUMMYFUNCTION("""COMPUTED_VALUE"""),45779.38265513889)</f>
        <v>45779.38266</v>
      </c>
      <c r="M1946" s="13"/>
      <c r="N1946" s="13" t="str">
        <f>IFERROR(__xludf.DUMMYFUNCTION("""COMPUTED_VALUE"""),"")</f>
        <v/>
      </c>
      <c r="O1946" s="13" t="str">
        <f t="shared" si="1"/>
        <v/>
      </c>
    </row>
    <row r="1947" ht="22.5" customHeight="1">
      <c r="B1947" s="13">
        <f>IFERROR(__xludf.DUMMYFUNCTION("""COMPUTED_VALUE"""),1942.0)</f>
        <v>1942</v>
      </c>
      <c r="C1947" s="13" t="str">
        <f>IFERROR(__xludf.DUMMYFUNCTION("""COMPUTED_VALUE"""),"M. 984/ Way Halim Permai")</f>
        <v>M. 984/ Way Halim Permai</v>
      </c>
      <c r="D1947" s="13" t="str">
        <f>IFERROR(__xludf.DUMMYFUNCTION("""COMPUTED_VALUE"""),"K/13/150425/1")</f>
        <v>K/13/150425/1</v>
      </c>
      <c r="E1947" s="14" t="str">
        <f>IFERROR(__xludf.DUMMYFUNCTION("""COMPUTED_VALUE"""),"Nadian (BT)")</f>
        <v>Nadian (BT)</v>
      </c>
      <c r="F1947" s="14" t="str">
        <f>IFERROR(__xludf.DUMMYFUNCTION("""COMPUTED_VALUE"""),"SELESAI (VIA PERMOHONAN)")</f>
        <v>SELESAI (VIA PERMOHONAN)</v>
      </c>
      <c r="G1947" s="17">
        <f>IFERROR(__xludf.DUMMYFUNCTION("""COMPUTED_VALUE"""),45777.63088726852)</f>
        <v>45777.63089</v>
      </c>
      <c r="H1947" s="14" t="str">
        <f>IFERROR(__xludf.DUMMYFUNCTION("""COMPUTED_VALUE"""),"Bu Eva (SU)")</f>
        <v>Bu Eva (SU)</v>
      </c>
      <c r="I1947" s="13" t="str">
        <f>IFERROR(__xludf.DUMMYFUNCTION("""COMPUTED_VALUE"""),"SELESAI (VIA PERMOHONAN)")</f>
        <v>SELESAI (VIA PERMOHONAN)</v>
      </c>
      <c r="J1947" s="17">
        <f>IFERROR(__xludf.DUMMYFUNCTION("""COMPUTED_VALUE"""),45779.38265513889)</f>
        <v>45779.38266</v>
      </c>
      <c r="K1947" s="13" t="str">
        <f>IFERROR(__xludf.DUMMYFUNCTION("""COMPUTED_VALUE"""),"Selesai")</f>
        <v>Selesai</v>
      </c>
      <c r="L1947" s="17">
        <f>IFERROR(__xludf.DUMMYFUNCTION("""COMPUTED_VALUE"""),45779.38265513889)</f>
        <v>45779.38266</v>
      </c>
      <c r="M1947" s="13"/>
      <c r="N1947" s="13" t="str">
        <f>IFERROR(__xludf.DUMMYFUNCTION("""COMPUTED_VALUE"""),"")</f>
        <v/>
      </c>
      <c r="O1947" s="13" t="str">
        <f t="shared" si="1"/>
        <v/>
      </c>
    </row>
    <row r="1948" ht="22.5" customHeight="1">
      <c r="B1948" s="13">
        <f>IFERROR(__xludf.DUMMYFUNCTION("""COMPUTED_VALUE"""),1943.0)</f>
        <v>1943</v>
      </c>
      <c r="C1948" s="13" t="str">
        <f>IFERROR(__xludf.DUMMYFUNCTION("""COMPUTED_VALUE"""),"M. 2335/ Sepang Jaya")</f>
        <v>M. 2335/ Sepang Jaya</v>
      </c>
      <c r="D1948" s="13" t="str">
        <f>IFERROR(__xludf.DUMMYFUNCTION("""COMPUTED_VALUE"""),"K/36/160425/1")</f>
        <v>K/36/160425/1</v>
      </c>
      <c r="E1948" s="14" t="str">
        <f>IFERROR(__xludf.DUMMYFUNCTION("""COMPUTED_VALUE"""),"Nadian (BT)")</f>
        <v>Nadian (BT)</v>
      </c>
      <c r="F1948" s="14" t="str">
        <f>IFERROR(__xludf.DUMMYFUNCTION("""COMPUTED_VALUE"""),"SELESAI (VIA PERMOHONAN)")</f>
        <v>SELESAI (VIA PERMOHONAN)</v>
      </c>
      <c r="G1948" s="17">
        <f>IFERROR(__xludf.DUMMYFUNCTION("""COMPUTED_VALUE"""),45777.63088726852)</f>
        <v>45777.63089</v>
      </c>
      <c r="H1948" s="14" t="str">
        <f>IFERROR(__xludf.DUMMYFUNCTION("""COMPUTED_VALUE"""),"Bu Eva (SU)")</f>
        <v>Bu Eva (SU)</v>
      </c>
      <c r="I1948" s="13" t="str">
        <f>IFERROR(__xludf.DUMMYFUNCTION("""COMPUTED_VALUE"""),"SELESAI (VIA PERMOHONAN)")</f>
        <v>SELESAI (VIA PERMOHONAN)</v>
      </c>
      <c r="J1948" s="17">
        <f>IFERROR(__xludf.DUMMYFUNCTION("""COMPUTED_VALUE"""),45779.38265513889)</f>
        <v>45779.38266</v>
      </c>
      <c r="K1948" s="13" t="str">
        <f>IFERROR(__xludf.DUMMYFUNCTION("""COMPUTED_VALUE"""),"Selesai")</f>
        <v>Selesai</v>
      </c>
      <c r="L1948" s="17">
        <f>IFERROR(__xludf.DUMMYFUNCTION("""COMPUTED_VALUE"""),45779.38265513889)</f>
        <v>45779.38266</v>
      </c>
      <c r="M1948" s="13"/>
      <c r="N1948" s="13" t="str">
        <f>IFERROR(__xludf.DUMMYFUNCTION("""COMPUTED_VALUE"""),"")</f>
        <v/>
      </c>
      <c r="O1948" s="13" t="str">
        <f t="shared" si="1"/>
        <v/>
      </c>
    </row>
    <row r="1949" ht="22.5" customHeight="1">
      <c r="B1949" s="13">
        <f>IFERROR(__xludf.DUMMYFUNCTION("""COMPUTED_VALUE"""),1944.0)</f>
        <v>1944</v>
      </c>
      <c r="C1949" s="13" t="str">
        <f>IFERROR(__xludf.DUMMYFUNCTION("""COMPUTED_VALUE"""),"M.9330/SIDODADI")</f>
        <v>M.9330/SIDODADI</v>
      </c>
      <c r="D1949" s="13" t="str">
        <f>IFERROR(__xludf.DUMMYFUNCTION("""COMPUTED_VALUE"""),"K/8/150425/1")</f>
        <v>K/8/150425/1</v>
      </c>
      <c r="E1949" s="14" t="str">
        <f>IFERROR(__xludf.DUMMYFUNCTION("""COMPUTED_VALUE"""),"Nadian (BT)")</f>
        <v>Nadian (BT)</v>
      </c>
      <c r="F1949" s="14" t="str">
        <f>IFERROR(__xludf.DUMMYFUNCTION("""COMPUTED_VALUE"""),"SELESAI (VIA PERMOHONAN)")</f>
        <v>SELESAI (VIA PERMOHONAN)</v>
      </c>
      <c r="G1949" s="17">
        <f>IFERROR(__xludf.DUMMYFUNCTION("""COMPUTED_VALUE"""),45777.63088726852)</f>
        <v>45777.63089</v>
      </c>
      <c r="H1949" s="14" t="str">
        <f>IFERROR(__xludf.DUMMYFUNCTION("""COMPUTED_VALUE"""),"Bu Eva (SU)")</f>
        <v>Bu Eva (SU)</v>
      </c>
      <c r="I1949" s="13" t="str">
        <f>IFERROR(__xludf.DUMMYFUNCTION("""COMPUTED_VALUE"""),"SELESAI (VIA PERMOHONAN)")</f>
        <v>SELESAI (VIA PERMOHONAN)</v>
      </c>
      <c r="J1949" s="17">
        <f>IFERROR(__xludf.DUMMYFUNCTION("""COMPUTED_VALUE"""),45779.38265513889)</f>
        <v>45779.38266</v>
      </c>
      <c r="K1949" s="13" t="str">
        <f>IFERROR(__xludf.DUMMYFUNCTION("""COMPUTED_VALUE"""),"Selesai")</f>
        <v>Selesai</v>
      </c>
      <c r="L1949" s="17">
        <f>IFERROR(__xludf.DUMMYFUNCTION("""COMPUTED_VALUE"""),45779.38265513889)</f>
        <v>45779.38266</v>
      </c>
      <c r="M1949" s="13"/>
      <c r="N1949" s="13" t="str">
        <f>IFERROR(__xludf.DUMMYFUNCTION("""COMPUTED_VALUE"""),"")</f>
        <v/>
      </c>
      <c r="O1949" s="13" t="str">
        <f t="shared" si="1"/>
        <v/>
      </c>
    </row>
    <row r="1950" ht="22.5" customHeight="1">
      <c r="B1950" s="13">
        <f>IFERROR(__xludf.DUMMYFUNCTION("""COMPUTED_VALUE"""),1945.0)</f>
        <v>1945</v>
      </c>
      <c r="C1950" s="13" t="str">
        <f>IFERROR(__xludf.DUMMYFUNCTION("""COMPUTED_VALUE"""),"M.16680/SUKABUMI")</f>
        <v>M.16680/SUKABUMI</v>
      </c>
      <c r="D1950" s="13" t="str">
        <f>IFERROR(__xludf.DUMMYFUNCTION("""COMPUTED_VALUE"""),"K/35/250425/2")</f>
        <v>K/35/250425/2</v>
      </c>
      <c r="E1950" s="14" t="str">
        <f>IFERROR(__xludf.DUMMYFUNCTION("""COMPUTED_VALUE"""),"Nadian (BT)")</f>
        <v>Nadian (BT)</v>
      </c>
      <c r="F1950" s="14" t="str">
        <f>IFERROR(__xludf.DUMMYFUNCTION("""COMPUTED_VALUE"""),"SELESAI (VIA PERMOHONAN)")</f>
        <v>SELESAI (VIA PERMOHONAN)</v>
      </c>
      <c r="G1950" s="17">
        <f>IFERROR(__xludf.DUMMYFUNCTION("""COMPUTED_VALUE"""),45777.63088726852)</f>
        <v>45777.63089</v>
      </c>
      <c r="H1950" s="14" t="str">
        <f>IFERROR(__xludf.DUMMYFUNCTION("""COMPUTED_VALUE"""),"Bu Eva (SU)")</f>
        <v>Bu Eva (SU)</v>
      </c>
      <c r="I1950" s="13" t="str">
        <f>IFERROR(__xludf.DUMMYFUNCTION("""COMPUTED_VALUE"""),"SELESAI (VIA PERMOHONAN)")</f>
        <v>SELESAI (VIA PERMOHONAN)</v>
      </c>
      <c r="J1950" s="17">
        <f>IFERROR(__xludf.DUMMYFUNCTION("""COMPUTED_VALUE"""),45779.38265513889)</f>
        <v>45779.38266</v>
      </c>
      <c r="K1950" s="13" t="str">
        <f>IFERROR(__xludf.DUMMYFUNCTION("""COMPUTED_VALUE"""),"Selesai")</f>
        <v>Selesai</v>
      </c>
      <c r="L1950" s="17">
        <f>IFERROR(__xludf.DUMMYFUNCTION("""COMPUTED_VALUE"""),45779.38265513889)</f>
        <v>45779.38266</v>
      </c>
      <c r="M1950" s="13"/>
      <c r="N1950" s="13" t="str">
        <f>IFERROR(__xludf.DUMMYFUNCTION("""COMPUTED_VALUE"""),"")</f>
        <v/>
      </c>
      <c r="O1950" s="13" t="str">
        <f t="shared" si="1"/>
        <v/>
      </c>
    </row>
    <row r="1951" ht="22.5" customHeight="1">
      <c r="B1951" s="13">
        <f>IFERROR(__xludf.DUMMYFUNCTION("""COMPUTED_VALUE"""),1946.0)</f>
        <v>1946</v>
      </c>
      <c r="C1951" s="13" t="str">
        <f>IFERROR(__xludf.DUMMYFUNCTION("""COMPUTED_VALUE"""),"M.16055/SUKARAME")</f>
        <v>M.16055/SUKARAME</v>
      </c>
      <c r="D1951" s="13" t="str">
        <f>IFERROR(__xludf.DUMMYFUNCTION("""COMPUTED_VALUE"""),"K/21/210425/1")</f>
        <v>K/21/210425/1</v>
      </c>
      <c r="E1951" s="14" t="str">
        <f>IFERROR(__xludf.DUMMYFUNCTION("""COMPUTED_VALUE"""),"Nadian (BT)")</f>
        <v>Nadian (BT)</v>
      </c>
      <c r="F1951" s="14" t="str">
        <f>IFERROR(__xludf.DUMMYFUNCTION("""COMPUTED_VALUE"""),"SELESAI (VIA PERMOHONAN)")</f>
        <v>SELESAI (VIA PERMOHONAN)</v>
      </c>
      <c r="G1951" s="17">
        <f>IFERROR(__xludf.DUMMYFUNCTION("""COMPUTED_VALUE"""),45777.63088726852)</f>
        <v>45777.63089</v>
      </c>
      <c r="H1951" s="14" t="str">
        <f>IFERROR(__xludf.DUMMYFUNCTION("""COMPUTED_VALUE"""),"Bu Eva (SU)")</f>
        <v>Bu Eva (SU)</v>
      </c>
      <c r="I1951" s="13" t="str">
        <f>IFERROR(__xludf.DUMMYFUNCTION("""COMPUTED_VALUE"""),"SELESAI (VIA PERMOHONAN)")</f>
        <v>SELESAI (VIA PERMOHONAN)</v>
      </c>
      <c r="J1951" s="17">
        <f>IFERROR(__xludf.DUMMYFUNCTION("""COMPUTED_VALUE"""),45779.38265513889)</f>
        <v>45779.38266</v>
      </c>
      <c r="K1951" s="13" t="str">
        <f>IFERROR(__xludf.DUMMYFUNCTION("""COMPUTED_VALUE"""),"Selesai")</f>
        <v>Selesai</v>
      </c>
      <c r="L1951" s="17">
        <f>IFERROR(__xludf.DUMMYFUNCTION("""COMPUTED_VALUE"""),45779.38265513889)</f>
        <v>45779.38266</v>
      </c>
      <c r="M1951" s="13"/>
      <c r="N1951" s="13" t="str">
        <f>IFERROR(__xludf.DUMMYFUNCTION("""COMPUTED_VALUE"""),"")</f>
        <v/>
      </c>
      <c r="O1951" s="13" t="str">
        <f t="shared" si="1"/>
        <v/>
      </c>
    </row>
    <row r="1952" ht="22.5" customHeight="1">
      <c r="B1952" s="13">
        <f>IFERROR(__xludf.DUMMYFUNCTION("""COMPUTED_VALUE"""),1947.0)</f>
        <v>1947</v>
      </c>
      <c r="C1952" s="13" t="str">
        <f>IFERROR(__xludf.DUMMYFUNCTION("""COMPUTED_VALUE"""),"B.747/SUMUR PUTRI")</f>
        <v>B.747/SUMUR PUTRI</v>
      </c>
      <c r="D1952" s="13" t="str">
        <f>IFERROR(__xludf.DUMMYFUNCTION("""COMPUTED_VALUE"""),"K/39/160425/1")</f>
        <v>K/39/160425/1</v>
      </c>
      <c r="E1952" s="14" t="str">
        <f>IFERROR(__xludf.DUMMYFUNCTION("""COMPUTED_VALUE"""),"Nadian (BT)")</f>
        <v>Nadian (BT)</v>
      </c>
      <c r="F1952" s="14" t="str">
        <f>IFERROR(__xludf.DUMMYFUNCTION("""COMPUTED_VALUE"""),"SELESAI (VIA PERMOHONAN)")</f>
        <v>SELESAI (VIA PERMOHONAN)</v>
      </c>
      <c r="G1952" s="17">
        <f>IFERROR(__xludf.DUMMYFUNCTION("""COMPUTED_VALUE"""),45777.63088726852)</f>
        <v>45777.63089</v>
      </c>
      <c r="H1952" s="14" t="str">
        <f>IFERROR(__xludf.DUMMYFUNCTION("""COMPUTED_VALUE"""),"Bu Eva (SU)")</f>
        <v>Bu Eva (SU)</v>
      </c>
      <c r="I1952" s="13" t="str">
        <f>IFERROR(__xludf.DUMMYFUNCTION("""COMPUTED_VALUE"""),"SELESAI (VIA PERMOHONAN)")</f>
        <v>SELESAI (VIA PERMOHONAN)</v>
      </c>
      <c r="J1952" s="17">
        <f>IFERROR(__xludf.DUMMYFUNCTION("""COMPUTED_VALUE"""),45779.38265513889)</f>
        <v>45779.38266</v>
      </c>
      <c r="K1952" s="13" t="str">
        <f>IFERROR(__xludf.DUMMYFUNCTION("""COMPUTED_VALUE"""),"Selesai")</f>
        <v>Selesai</v>
      </c>
      <c r="L1952" s="17">
        <f>IFERROR(__xludf.DUMMYFUNCTION("""COMPUTED_VALUE"""),45779.38265513889)</f>
        <v>45779.38266</v>
      </c>
      <c r="M1952" s="13"/>
      <c r="N1952" s="13" t="str">
        <f>IFERROR(__xludf.DUMMYFUNCTION("""COMPUTED_VALUE"""),"")</f>
        <v/>
      </c>
      <c r="O1952" s="13" t="str">
        <f t="shared" si="1"/>
        <v/>
      </c>
    </row>
    <row r="1953" ht="22.5" customHeight="1">
      <c r="B1953" s="13">
        <f>IFERROR(__xludf.DUMMYFUNCTION("""COMPUTED_VALUE"""),1948.0)</f>
        <v>1948</v>
      </c>
      <c r="C1953" s="13" t="str">
        <f>IFERROR(__xludf.DUMMYFUNCTION("""COMPUTED_VALUE"""),"M. 9737/LABUHAN RATU")</f>
        <v>M. 9737/LABUHAN RATU</v>
      </c>
      <c r="D1953" s="13" t="str">
        <f>IFERROR(__xludf.DUMMYFUNCTION("""COMPUTED_VALUE"""),"K/19/230425/1")</f>
        <v>K/19/230425/1</v>
      </c>
      <c r="E1953" s="14" t="str">
        <f>IFERROR(__xludf.DUMMYFUNCTION("""COMPUTED_VALUE"""),"Nadian (BT)")</f>
        <v>Nadian (BT)</v>
      </c>
      <c r="F1953" s="14" t="str">
        <f>IFERROR(__xludf.DUMMYFUNCTION("""COMPUTED_VALUE"""),"SELESAI (VIA PERMOHONAN)")</f>
        <v>SELESAI (VIA PERMOHONAN)</v>
      </c>
      <c r="G1953" s="17">
        <f>IFERROR(__xludf.DUMMYFUNCTION("""COMPUTED_VALUE"""),45777.63088728009)</f>
        <v>45777.63089</v>
      </c>
      <c r="H1953" s="14" t="str">
        <f>IFERROR(__xludf.DUMMYFUNCTION("""COMPUTED_VALUE"""),"Bu Eva (SU)")</f>
        <v>Bu Eva (SU)</v>
      </c>
      <c r="I1953" s="13" t="str">
        <f>IFERROR(__xludf.DUMMYFUNCTION("""COMPUTED_VALUE"""),"SELESAI (VIA PERMOHONAN)")</f>
        <v>SELESAI (VIA PERMOHONAN)</v>
      </c>
      <c r="J1953" s="17">
        <f>IFERROR(__xludf.DUMMYFUNCTION("""COMPUTED_VALUE"""),45779.38265513889)</f>
        <v>45779.38266</v>
      </c>
      <c r="K1953" s="13" t="str">
        <f>IFERROR(__xludf.DUMMYFUNCTION("""COMPUTED_VALUE"""),"Selesai")</f>
        <v>Selesai</v>
      </c>
      <c r="L1953" s="17">
        <f>IFERROR(__xludf.DUMMYFUNCTION("""COMPUTED_VALUE"""),45779.38265513889)</f>
        <v>45779.38266</v>
      </c>
      <c r="M1953" s="13"/>
      <c r="N1953" s="13" t="str">
        <f>IFERROR(__xludf.DUMMYFUNCTION("""COMPUTED_VALUE"""),"")</f>
        <v/>
      </c>
      <c r="O1953" s="13" t="str">
        <f t="shared" si="1"/>
        <v/>
      </c>
    </row>
    <row r="1954" ht="22.5" customHeight="1">
      <c r="B1954" s="13">
        <f>IFERROR(__xludf.DUMMYFUNCTION("""COMPUTED_VALUE"""),1949.0)</f>
        <v>1949</v>
      </c>
      <c r="C1954" s="13" t="str">
        <f>IFERROR(__xludf.DUMMYFUNCTION("""COMPUTED_VALUE"""),"M. 135/SUSUNAN BARU")</f>
        <v>M. 135/SUSUNAN BARU</v>
      </c>
      <c r="D1954" s="13" t="str">
        <f>IFERROR(__xludf.DUMMYFUNCTION("""COMPUTED_VALUE"""),"K/4/170425/1")</f>
        <v>K/4/170425/1</v>
      </c>
      <c r="E1954" s="14" t="str">
        <f>IFERROR(__xludf.DUMMYFUNCTION("""COMPUTED_VALUE"""),"Nadian (BT)")</f>
        <v>Nadian (BT)</v>
      </c>
      <c r="F1954" s="14" t="str">
        <f>IFERROR(__xludf.DUMMYFUNCTION("""COMPUTED_VALUE"""),"SELESAI (VIA PERMOHONAN)")</f>
        <v>SELESAI (VIA PERMOHONAN)</v>
      </c>
      <c r="G1954" s="17">
        <f>IFERROR(__xludf.DUMMYFUNCTION("""COMPUTED_VALUE"""),45777.63088728009)</f>
        <v>45777.63089</v>
      </c>
      <c r="H1954" s="14" t="str">
        <f>IFERROR(__xludf.DUMMYFUNCTION("""COMPUTED_VALUE"""),"Bu Eva (SU)")</f>
        <v>Bu Eva (SU)</v>
      </c>
      <c r="I1954" s="13" t="str">
        <f>IFERROR(__xludf.DUMMYFUNCTION("""COMPUTED_VALUE"""),"SELESAI (VIA PERMOHONAN)")</f>
        <v>SELESAI (VIA PERMOHONAN)</v>
      </c>
      <c r="J1954" s="17">
        <f>IFERROR(__xludf.DUMMYFUNCTION("""COMPUTED_VALUE"""),45779.38265513889)</f>
        <v>45779.38266</v>
      </c>
      <c r="K1954" s="13" t="str">
        <f>IFERROR(__xludf.DUMMYFUNCTION("""COMPUTED_VALUE"""),"Selesai")</f>
        <v>Selesai</v>
      </c>
      <c r="L1954" s="17">
        <f>IFERROR(__xludf.DUMMYFUNCTION("""COMPUTED_VALUE"""),45779.38265513889)</f>
        <v>45779.38266</v>
      </c>
      <c r="M1954" s="13"/>
      <c r="N1954" s="13" t="str">
        <f>IFERROR(__xludf.DUMMYFUNCTION("""COMPUTED_VALUE"""),"")</f>
        <v/>
      </c>
      <c r="O1954" s="13" t="str">
        <f t="shared" si="1"/>
        <v/>
      </c>
    </row>
    <row r="1955" ht="22.5" customHeight="1">
      <c r="B1955" s="13">
        <f>IFERROR(__xludf.DUMMYFUNCTION("""COMPUTED_VALUE"""),1950.0)</f>
        <v>1950</v>
      </c>
      <c r="C1955" s="13" t="str">
        <f>IFERROR(__xludf.DUMMYFUNCTION("""COMPUTED_VALUE"""),"M. 13771/LABUHAN RATU")</f>
        <v>M. 13771/LABUHAN RATU</v>
      </c>
      <c r="D1955" s="13" t="str">
        <f>IFERROR(__xludf.DUMMYFUNCTION("""COMPUTED_VALUE"""),"K/13/160425/2")</f>
        <v>K/13/160425/2</v>
      </c>
      <c r="E1955" s="14" t="str">
        <f>IFERROR(__xludf.DUMMYFUNCTION("""COMPUTED_VALUE"""),"Nadian (BT)")</f>
        <v>Nadian (BT)</v>
      </c>
      <c r="F1955" s="14" t="str">
        <f>IFERROR(__xludf.DUMMYFUNCTION("""COMPUTED_VALUE"""),"SELESAI (VIA PERMOHONAN)")</f>
        <v>SELESAI (VIA PERMOHONAN)</v>
      </c>
      <c r="G1955" s="17">
        <f>IFERROR(__xludf.DUMMYFUNCTION("""COMPUTED_VALUE"""),45777.63088728009)</f>
        <v>45777.63089</v>
      </c>
      <c r="H1955" s="14" t="str">
        <f>IFERROR(__xludf.DUMMYFUNCTION("""COMPUTED_VALUE"""),"Bu Eva (SU)")</f>
        <v>Bu Eva (SU)</v>
      </c>
      <c r="I1955" s="13" t="str">
        <f>IFERROR(__xludf.DUMMYFUNCTION("""COMPUTED_VALUE"""),"SELESAI (VIA PERMOHONAN)")</f>
        <v>SELESAI (VIA PERMOHONAN)</v>
      </c>
      <c r="J1955" s="17">
        <f>IFERROR(__xludf.DUMMYFUNCTION("""COMPUTED_VALUE"""),45779.38265513889)</f>
        <v>45779.38266</v>
      </c>
      <c r="K1955" s="13" t="str">
        <f>IFERROR(__xludf.DUMMYFUNCTION("""COMPUTED_VALUE"""),"Selesai")</f>
        <v>Selesai</v>
      </c>
      <c r="L1955" s="17">
        <f>IFERROR(__xludf.DUMMYFUNCTION("""COMPUTED_VALUE"""),45779.38265513889)</f>
        <v>45779.38266</v>
      </c>
      <c r="M1955" s="13"/>
      <c r="N1955" s="13" t="str">
        <f>IFERROR(__xludf.DUMMYFUNCTION("""COMPUTED_VALUE"""),"")</f>
        <v/>
      </c>
      <c r="O1955" s="13" t="str">
        <f t="shared" si="1"/>
        <v/>
      </c>
    </row>
    <row r="1956" ht="22.5" customHeight="1">
      <c r="B1956" s="13">
        <f>IFERROR(__xludf.DUMMYFUNCTION("""COMPUTED_VALUE"""),1951.0)</f>
        <v>1951</v>
      </c>
      <c r="C1956" s="13" t="str">
        <f>IFERROR(__xludf.DUMMYFUNCTION("""COMPUTED_VALUE"""),"B. 2151/SUKARAME")</f>
        <v>B. 2151/SUKARAME</v>
      </c>
      <c r="D1956" s="13" t="str">
        <f>IFERROR(__xludf.DUMMYFUNCTION("""COMPUTED_VALUE"""),"K/3/100425/1")</f>
        <v>K/3/100425/1</v>
      </c>
      <c r="E1956" s="14" t="str">
        <f>IFERROR(__xludf.DUMMYFUNCTION("""COMPUTED_VALUE"""),"Nadian (BT)")</f>
        <v>Nadian (BT)</v>
      </c>
      <c r="F1956" s="14" t="str">
        <f>IFERROR(__xludf.DUMMYFUNCTION("""COMPUTED_VALUE"""),"SELESAI (VIA PERMOHONAN)")</f>
        <v>SELESAI (VIA PERMOHONAN)</v>
      </c>
      <c r="G1956" s="17">
        <f>IFERROR(__xludf.DUMMYFUNCTION("""COMPUTED_VALUE"""),45777.63088728009)</f>
        <v>45777.63089</v>
      </c>
      <c r="H1956" s="14" t="str">
        <f>IFERROR(__xludf.DUMMYFUNCTION("""COMPUTED_VALUE"""),"Bu Eva (SU)")</f>
        <v>Bu Eva (SU)</v>
      </c>
      <c r="I1956" s="13" t="str">
        <f>IFERROR(__xludf.DUMMYFUNCTION("""COMPUTED_VALUE"""),"SELESAI (VIA PERMOHONAN)")</f>
        <v>SELESAI (VIA PERMOHONAN)</v>
      </c>
      <c r="J1956" s="17">
        <f>IFERROR(__xludf.DUMMYFUNCTION("""COMPUTED_VALUE"""),45779.38265513889)</f>
        <v>45779.38266</v>
      </c>
      <c r="K1956" s="13" t="str">
        <f>IFERROR(__xludf.DUMMYFUNCTION("""COMPUTED_VALUE"""),"Selesai")</f>
        <v>Selesai</v>
      </c>
      <c r="L1956" s="17">
        <f>IFERROR(__xludf.DUMMYFUNCTION("""COMPUTED_VALUE"""),45779.38265513889)</f>
        <v>45779.38266</v>
      </c>
      <c r="M1956" s="13"/>
      <c r="N1956" s="13" t="str">
        <f>IFERROR(__xludf.DUMMYFUNCTION("""COMPUTED_VALUE"""),"")</f>
        <v/>
      </c>
      <c r="O1956" s="13" t="str">
        <f t="shared" si="1"/>
        <v/>
      </c>
    </row>
    <row r="1957" ht="22.5" customHeight="1">
      <c r="B1957" s="13">
        <f>IFERROR(__xludf.DUMMYFUNCTION("""COMPUTED_VALUE"""),1952.0)</f>
        <v>1952</v>
      </c>
      <c r="C1957" s="13" t="str">
        <f>IFERROR(__xludf.DUMMYFUNCTION("""COMPUTED_VALUE"""),"M. 4642/GUNUNG TERANG")</f>
        <v>M. 4642/GUNUNG TERANG</v>
      </c>
      <c r="D1957" s="13" t="str">
        <f>IFERROR(__xludf.DUMMYFUNCTION("""COMPUTED_VALUE"""),"K/18/160425/1")</f>
        <v>K/18/160425/1</v>
      </c>
      <c r="E1957" s="14" t="str">
        <f>IFERROR(__xludf.DUMMYFUNCTION("""COMPUTED_VALUE"""),"Nadian (BT)")</f>
        <v>Nadian (BT)</v>
      </c>
      <c r="F1957" s="14" t="str">
        <f>IFERROR(__xludf.DUMMYFUNCTION("""COMPUTED_VALUE"""),"SELESAI (VIA PERMOHONAN)")</f>
        <v>SELESAI (VIA PERMOHONAN)</v>
      </c>
      <c r="G1957" s="17">
        <f>IFERROR(__xludf.DUMMYFUNCTION("""COMPUTED_VALUE"""),45777.63088728009)</f>
        <v>45777.63089</v>
      </c>
      <c r="H1957" s="14" t="str">
        <f>IFERROR(__xludf.DUMMYFUNCTION("""COMPUTED_VALUE"""),"Bu Eva (SU)")</f>
        <v>Bu Eva (SU)</v>
      </c>
      <c r="I1957" s="13" t="str">
        <f>IFERROR(__xludf.DUMMYFUNCTION("""COMPUTED_VALUE"""),"SELESAI (VIA PERMOHONAN)")</f>
        <v>SELESAI (VIA PERMOHONAN)</v>
      </c>
      <c r="J1957" s="17">
        <f>IFERROR(__xludf.DUMMYFUNCTION("""COMPUTED_VALUE"""),45779.38265515046)</f>
        <v>45779.38266</v>
      </c>
      <c r="K1957" s="13" t="str">
        <f>IFERROR(__xludf.DUMMYFUNCTION("""COMPUTED_VALUE"""),"Selesai")</f>
        <v>Selesai</v>
      </c>
      <c r="L1957" s="17">
        <f>IFERROR(__xludf.DUMMYFUNCTION("""COMPUTED_VALUE"""),45779.38265515046)</f>
        <v>45779.38266</v>
      </c>
      <c r="M1957" s="13"/>
      <c r="N1957" s="13" t="str">
        <f>IFERROR(__xludf.DUMMYFUNCTION("""COMPUTED_VALUE"""),"")</f>
        <v/>
      </c>
      <c r="O1957" s="13" t="str">
        <f t="shared" si="1"/>
        <v/>
      </c>
    </row>
    <row r="1958" ht="22.5" customHeight="1">
      <c r="B1958" s="13">
        <f>IFERROR(__xludf.DUMMYFUNCTION("""COMPUTED_VALUE"""),1953.0)</f>
        <v>1953</v>
      </c>
      <c r="C1958" s="13" t="str">
        <f>IFERROR(__xludf.DUMMYFUNCTION("""COMPUTED_VALUE"""),"M. 2379/KEDAUNG")</f>
        <v>M. 2379/KEDAUNG</v>
      </c>
      <c r="D1958" s="13" t="str">
        <f>IFERROR(__xludf.DUMMYFUNCTION("""COMPUTED_VALUE"""),"K/28/170425/1")</f>
        <v>K/28/170425/1</v>
      </c>
      <c r="E1958" s="14" t="str">
        <f>IFERROR(__xludf.DUMMYFUNCTION("""COMPUTED_VALUE"""),"Nadian (BT)")</f>
        <v>Nadian (BT)</v>
      </c>
      <c r="F1958" s="14" t="str">
        <f>IFERROR(__xludf.DUMMYFUNCTION("""COMPUTED_VALUE"""),"SELESAI (VIA PERMOHONAN)")</f>
        <v>SELESAI (VIA PERMOHONAN)</v>
      </c>
      <c r="G1958" s="17">
        <f>IFERROR(__xludf.DUMMYFUNCTION("""COMPUTED_VALUE"""),45777.63088728009)</f>
        <v>45777.63089</v>
      </c>
      <c r="H1958" s="14" t="str">
        <f>IFERROR(__xludf.DUMMYFUNCTION("""COMPUTED_VALUE"""),"Bu Eva (SU)")</f>
        <v>Bu Eva (SU)</v>
      </c>
      <c r="I1958" s="13" t="str">
        <f>IFERROR(__xludf.DUMMYFUNCTION("""COMPUTED_VALUE"""),"SELESAI (VIA PERMOHONAN)")</f>
        <v>SELESAI (VIA PERMOHONAN)</v>
      </c>
      <c r="J1958" s="17">
        <f>IFERROR(__xludf.DUMMYFUNCTION("""COMPUTED_VALUE"""),45779.38265515046)</f>
        <v>45779.38266</v>
      </c>
      <c r="K1958" s="13" t="str">
        <f>IFERROR(__xludf.DUMMYFUNCTION("""COMPUTED_VALUE"""),"Selesai")</f>
        <v>Selesai</v>
      </c>
      <c r="L1958" s="17">
        <f>IFERROR(__xludf.DUMMYFUNCTION("""COMPUTED_VALUE"""),45779.38265515046)</f>
        <v>45779.38266</v>
      </c>
      <c r="M1958" s="13"/>
      <c r="N1958" s="13" t="str">
        <f>IFERROR(__xludf.DUMMYFUNCTION("""COMPUTED_VALUE"""),"")</f>
        <v/>
      </c>
      <c r="O1958" s="13" t="str">
        <f t="shared" si="1"/>
        <v/>
      </c>
    </row>
    <row r="1959" ht="22.5" customHeight="1">
      <c r="B1959" s="13">
        <f>IFERROR(__xludf.DUMMYFUNCTION("""COMPUTED_VALUE"""),1954.0)</f>
        <v>1954</v>
      </c>
      <c r="C1959" s="13" t="str">
        <f>IFERROR(__xludf.DUMMYFUNCTION("""COMPUTED_VALUE"""),"M.584/KORPRI RAYA")</f>
        <v>M.584/KORPRI RAYA</v>
      </c>
      <c r="D1959" s="13" t="str">
        <f>IFERROR(__xludf.DUMMYFUNCTION("""COMPUTED_VALUE"""),"K/9/220425/1")</f>
        <v>K/9/220425/1</v>
      </c>
      <c r="E1959" s="14" t="str">
        <f>IFERROR(__xludf.DUMMYFUNCTION("""COMPUTED_VALUE"""),"Nadian (BT)")</f>
        <v>Nadian (BT)</v>
      </c>
      <c r="F1959" s="14" t="str">
        <f>IFERROR(__xludf.DUMMYFUNCTION("""COMPUTED_VALUE"""),"SELESAI (VIA PERMOHONAN)")</f>
        <v>SELESAI (VIA PERMOHONAN)</v>
      </c>
      <c r="G1959" s="17">
        <f>IFERROR(__xludf.DUMMYFUNCTION("""COMPUTED_VALUE"""),45777.63088728009)</f>
        <v>45777.63089</v>
      </c>
      <c r="H1959" s="14" t="str">
        <f>IFERROR(__xludf.DUMMYFUNCTION("""COMPUTED_VALUE"""),"Bu Eva (SU)")</f>
        <v>Bu Eva (SU)</v>
      </c>
      <c r="I1959" s="13" t="str">
        <f>IFERROR(__xludf.DUMMYFUNCTION("""COMPUTED_VALUE"""),"SELESAI (VIA PERMOHONAN)")</f>
        <v>SELESAI (VIA PERMOHONAN)</v>
      </c>
      <c r="J1959" s="17">
        <f>IFERROR(__xludf.DUMMYFUNCTION("""COMPUTED_VALUE"""),45779.38265515046)</f>
        <v>45779.38266</v>
      </c>
      <c r="K1959" s="13" t="str">
        <f>IFERROR(__xludf.DUMMYFUNCTION("""COMPUTED_VALUE"""),"Selesai")</f>
        <v>Selesai</v>
      </c>
      <c r="L1959" s="17">
        <f>IFERROR(__xludf.DUMMYFUNCTION("""COMPUTED_VALUE"""),45779.38265515046)</f>
        <v>45779.38266</v>
      </c>
      <c r="M1959" s="13"/>
      <c r="N1959" s="13" t="str">
        <f>IFERROR(__xludf.DUMMYFUNCTION("""COMPUTED_VALUE"""),"")</f>
        <v/>
      </c>
      <c r="O1959" s="13" t="str">
        <f t="shared" si="1"/>
        <v/>
      </c>
    </row>
    <row r="1960" ht="22.5" customHeight="1">
      <c r="B1960" s="13">
        <f>IFERROR(__xludf.DUMMYFUNCTION("""COMPUTED_VALUE"""),1955.0)</f>
        <v>1955</v>
      </c>
      <c r="C1960" s="13" t="str">
        <f>IFERROR(__xludf.DUMMYFUNCTION("""COMPUTED_VALUE"""),"M.660/PERUMNAS WAY HALIM")</f>
        <v>M.660/PERUMNAS WAY HALIM</v>
      </c>
      <c r="D1960" s="13" t="str">
        <f>IFERROR(__xludf.DUMMYFUNCTION("""COMPUTED_VALUE"""),"K/10/220425/1")</f>
        <v>K/10/220425/1</v>
      </c>
      <c r="E1960" s="14" t="str">
        <f>IFERROR(__xludf.DUMMYFUNCTION("""COMPUTED_VALUE"""),"Nadian (BT)")</f>
        <v>Nadian (BT)</v>
      </c>
      <c r="F1960" s="14" t="str">
        <f>IFERROR(__xludf.DUMMYFUNCTION("""COMPUTED_VALUE"""),"SELESAI (VIA PERMOHONAN)")</f>
        <v>SELESAI (VIA PERMOHONAN)</v>
      </c>
      <c r="G1960" s="17">
        <f>IFERROR(__xludf.DUMMYFUNCTION("""COMPUTED_VALUE"""),45777.63088728009)</f>
        <v>45777.63089</v>
      </c>
      <c r="H1960" s="14" t="str">
        <f>IFERROR(__xludf.DUMMYFUNCTION("""COMPUTED_VALUE"""),"Bu Eva (SU)")</f>
        <v>Bu Eva (SU)</v>
      </c>
      <c r="I1960" s="13" t="str">
        <f>IFERROR(__xludf.DUMMYFUNCTION("""COMPUTED_VALUE"""),"SELESAI (VIA PERMOHONAN)")</f>
        <v>SELESAI (VIA PERMOHONAN)</v>
      </c>
      <c r="J1960" s="17">
        <f>IFERROR(__xludf.DUMMYFUNCTION("""COMPUTED_VALUE"""),45779.38265515046)</f>
        <v>45779.38266</v>
      </c>
      <c r="K1960" s="13" t="str">
        <f>IFERROR(__xludf.DUMMYFUNCTION("""COMPUTED_VALUE"""),"Selesai")</f>
        <v>Selesai</v>
      </c>
      <c r="L1960" s="17">
        <f>IFERROR(__xludf.DUMMYFUNCTION("""COMPUTED_VALUE"""),45779.38265515046)</f>
        <v>45779.38266</v>
      </c>
      <c r="M1960" s="13"/>
      <c r="N1960" s="13" t="str">
        <f>IFERROR(__xludf.DUMMYFUNCTION("""COMPUTED_VALUE"""),"")</f>
        <v/>
      </c>
      <c r="O1960" s="13" t="str">
        <f t="shared" si="1"/>
        <v/>
      </c>
    </row>
    <row r="1961" ht="22.5" customHeight="1">
      <c r="B1961" s="13">
        <f>IFERROR(__xludf.DUMMYFUNCTION("""COMPUTED_VALUE"""),1956.0)</f>
        <v>1956</v>
      </c>
      <c r="C1961" s="13" t="str">
        <f>IFERROR(__xludf.DUMMYFUNCTION("""COMPUTED_VALUE"""),"HM 9001/SURABAYA")</f>
        <v>HM 9001/SURABAYA</v>
      </c>
      <c r="D1961" s="13" t="str">
        <f>IFERROR(__xludf.DUMMYFUNCTION("""COMPUTED_VALUE"""),"L/21/150425/1")</f>
        <v>L/21/150425/1</v>
      </c>
      <c r="E1961" s="14" t="str">
        <f>IFERROR(__xludf.DUMMYFUNCTION("""COMPUTED_VALUE"""),"Nadian (BT)")</f>
        <v>Nadian (BT)</v>
      </c>
      <c r="F1961" s="14" t="str">
        <f>IFERROR(__xludf.DUMMYFUNCTION("""COMPUTED_VALUE"""),"SELESAI (VIA PERMOHONAN)")</f>
        <v>SELESAI (VIA PERMOHONAN)</v>
      </c>
      <c r="G1961" s="17">
        <f>IFERROR(__xludf.DUMMYFUNCTION("""COMPUTED_VALUE"""),45777.63088728009)</f>
        <v>45777.63089</v>
      </c>
      <c r="H1961" s="14" t="str">
        <f>IFERROR(__xludf.DUMMYFUNCTION("""COMPUTED_VALUE"""),"Bu Eva (SU)")</f>
        <v>Bu Eva (SU)</v>
      </c>
      <c r="I1961" s="13" t="str">
        <f>IFERROR(__xludf.DUMMYFUNCTION("""COMPUTED_VALUE"""),"SELESAI (VIA PERMOHONAN)")</f>
        <v>SELESAI (VIA PERMOHONAN)</v>
      </c>
      <c r="J1961" s="17">
        <f>IFERROR(__xludf.DUMMYFUNCTION("""COMPUTED_VALUE"""),45779.3827527199)</f>
        <v>45779.38275</v>
      </c>
      <c r="K1961" s="13" t="str">
        <f>IFERROR(__xludf.DUMMYFUNCTION("""COMPUTED_VALUE"""),"Selesai")</f>
        <v>Selesai</v>
      </c>
      <c r="L1961" s="17">
        <f>IFERROR(__xludf.DUMMYFUNCTION("""COMPUTED_VALUE"""),45779.3827527199)</f>
        <v>45779.38275</v>
      </c>
      <c r="M1961" s="13"/>
      <c r="N1961" s="13" t="str">
        <f>IFERROR(__xludf.DUMMYFUNCTION("""COMPUTED_VALUE"""),"")</f>
        <v/>
      </c>
      <c r="O1961" s="13" t="str">
        <f t="shared" si="1"/>
        <v/>
      </c>
    </row>
    <row r="1962" ht="22.5" customHeight="1">
      <c r="B1962" s="13">
        <f>IFERROR(__xludf.DUMMYFUNCTION("""COMPUTED_VALUE"""),1957.0)</f>
        <v>1957</v>
      </c>
      <c r="C1962" s="13" t="str">
        <f>IFERROR(__xludf.DUMMYFUNCTION("""COMPUTED_VALUE"""),"HM 1373/GUNUNG SULAH")</f>
        <v>HM 1373/GUNUNG SULAH</v>
      </c>
      <c r="D1962" s="13" t="str">
        <f>IFERROR(__xludf.DUMMYFUNCTION("""COMPUTED_VALUE"""),"L/34/210325/1")</f>
        <v>L/34/210325/1</v>
      </c>
      <c r="E1962" s="14" t="str">
        <f>IFERROR(__xludf.DUMMYFUNCTION("""COMPUTED_VALUE"""),"Nadian (BT)")</f>
        <v>Nadian (BT)</v>
      </c>
      <c r="F1962" s="14" t="str">
        <f>IFERROR(__xludf.DUMMYFUNCTION("""COMPUTED_VALUE"""),"SELESAI (VIA PERMOHONAN)")</f>
        <v>SELESAI (VIA PERMOHONAN)</v>
      </c>
      <c r="G1962" s="17">
        <f>IFERROR(__xludf.DUMMYFUNCTION("""COMPUTED_VALUE"""),45777.63088728009)</f>
        <v>45777.63089</v>
      </c>
      <c r="H1962" s="14" t="str">
        <f>IFERROR(__xludf.DUMMYFUNCTION("""COMPUTED_VALUE"""),"Bu Eva (SU)")</f>
        <v>Bu Eva (SU)</v>
      </c>
      <c r="I1962" s="13" t="str">
        <f>IFERROR(__xludf.DUMMYFUNCTION("""COMPUTED_VALUE"""),"SELESAI (VIA PERMOHONAN)")</f>
        <v>SELESAI (VIA PERMOHONAN)</v>
      </c>
      <c r="J1962" s="17">
        <f>IFERROR(__xludf.DUMMYFUNCTION("""COMPUTED_VALUE"""),45779.3827527199)</f>
        <v>45779.38275</v>
      </c>
      <c r="K1962" s="13" t="str">
        <f>IFERROR(__xludf.DUMMYFUNCTION("""COMPUTED_VALUE"""),"Selesai")</f>
        <v>Selesai</v>
      </c>
      <c r="L1962" s="17">
        <f>IFERROR(__xludf.DUMMYFUNCTION("""COMPUTED_VALUE"""),45779.3827527199)</f>
        <v>45779.38275</v>
      </c>
      <c r="M1962" s="13"/>
      <c r="N1962" s="13" t="str">
        <f>IFERROR(__xludf.DUMMYFUNCTION("""COMPUTED_VALUE"""),"")</f>
        <v/>
      </c>
      <c r="O1962" s="13" t="str">
        <f t="shared" si="1"/>
        <v/>
      </c>
    </row>
    <row r="1963" ht="22.5" customHeight="1">
      <c r="B1963" s="13">
        <f>IFERROR(__xludf.DUMMYFUNCTION("""COMPUTED_VALUE"""),1958.0)</f>
        <v>1958</v>
      </c>
      <c r="C1963" s="13" t="str">
        <f>IFERROR(__xludf.DUMMYFUNCTION("""COMPUTED_VALUE"""),"HM 1498/WAY LUNIK")</f>
        <v>HM 1498/WAY LUNIK</v>
      </c>
      <c r="D1963" s="13" t="str">
        <f>IFERROR(__xludf.DUMMYFUNCTION("""COMPUTED_VALUE"""),"L/5/160425/1")</f>
        <v>L/5/160425/1</v>
      </c>
      <c r="E1963" s="14" t="str">
        <f>IFERROR(__xludf.DUMMYFUNCTION("""COMPUTED_VALUE"""),"Nadian (BT)")</f>
        <v>Nadian (BT)</v>
      </c>
      <c r="F1963" s="14" t="str">
        <f>IFERROR(__xludf.DUMMYFUNCTION("""COMPUTED_VALUE"""),"SELESAI (VIA PERMOHONAN)")</f>
        <v>SELESAI (VIA PERMOHONAN)</v>
      </c>
      <c r="G1963" s="17">
        <f>IFERROR(__xludf.DUMMYFUNCTION("""COMPUTED_VALUE"""),45777.63088728009)</f>
        <v>45777.63089</v>
      </c>
      <c r="H1963" s="14" t="str">
        <f>IFERROR(__xludf.DUMMYFUNCTION("""COMPUTED_VALUE"""),"Bu Eva (SU)")</f>
        <v>Bu Eva (SU)</v>
      </c>
      <c r="I1963" s="13" t="str">
        <f>IFERROR(__xludf.DUMMYFUNCTION("""COMPUTED_VALUE"""),"SELESAI (VIA PERMOHONAN)")</f>
        <v>SELESAI (VIA PERMOHONAN)</v>
      </c>
      <c r="J1963" s="17">
        <f>IFERROR(__xludf.DUMMYFUNCTION("""COMPUTED_VALUE"""),45779.3827527199)</f>
        <v>45779.38275</v>
      </c>
      <c r="K1963" s="13" t="str">
        <f>IFERROR(__xludf.DUMMYFUNCTION("""COMPUTED_VALUE"""),"Selesai")</f>
        <v>Selesai</v>
      </c>
      <c r="L1963" s="17">
        <f>IFERROR(__xludf.DUMMYFUNCTION("""COMPUTED_VALUE"""),45779.3827527199)</f>
        <v>45779.38275</v>
      </c>
      <c r="M1963" s="13"/>
      <c r="N1963" s="13" t="str">
        <f>IFERROR(__xludf.DUMMYFUNCTION("""COMPUTED_VALUE"""),"")</f>
        <v/>
      </c>
      <c r="O1963" s="13" t="str">
        <f t="shared" si="1"/>
        <v/>
      </c>
    </row>
    <row r="1964" ht="22.5" customHeight="1">
      <c r="B1964" s="13">
        <f>IFERROR(__xludf.DUMMYFUNCTION("""COMPUTED_VALUE"""),1959.0)</f>
        <v>1959</v>
      </c>
      <c r="C1964" s="13" t="str">
        <f>IFERROR(__xludf.DUMMYFUNCTION("""COMPUTED_VALUE"""),"HM 2653/KEMILING PERMAI")</f>
        <v>HM 2653/KEMILING PERMAI</v>
      </c>
      <c r="D1964" s="13" t="str">
        <f>IFERROR(__xludf.DUMMYFUNCTION("""COMPUTED_VALUE"""),"L/30/150425/1")</f>
        <v>L/30/150425/1</v>
      </c>
      <c r="E1964" s="14" t="str">
        <f>IFERROR(__xludf.DUMMYFUNCTION("""COMPUTED_VALUE"""),"Nadian (BT)")</f>
        <v>Nadian (BT)</v>
      </c>
      <c r="F1964" s="14" t="str">
        <f>IFERROR(__xludf.DUMMYFUNCTION("""COMPUTED_VALUE"""),"SELESAI (VIA PERMOHONAN)")</f>
        <v>SELESAI (VIA PERMOHONAN)</v>
      </c>
      <c r="G1964" s="17">
        <f>IFERROR(__xludf.DUMMYFUNCTION("""COMPUTED_VALUE"""),45777.63088728009)</f>
        <v>45777.63089</v>
      </c>
      <c r="H1964" s="14" t="str">
        <f>IFERROR(__xludf.DUMMYFUNCTION("""COMPUTED_VALUE"""),"Bu Eva (SU)")</f>
        <v>Bu Eva (SU)</v>
      </c>
      <c r="I1964" s="13" t="str">
        <f>IFERROR(__xludf.DUMMYFUNCTION("""COMPUTED_VALUE"""),"SELESAI (VIA PERMOHONAN)")</f>
        <v>SELESAI (VIA PERMOHONAN)</v>
      </c>
      <c r="J1964" s="17">
        <f>IFERROR(__xludf.DUMMYFUNCTION("""COMPUTED_VALUE"""),45779.382752731486)</f>
        <v>45779.38275</v>
      </c>
      <c r="K1964" s="13" t="str">
        <f>IFERROR(__xludf.DUMMYFUNCTION("""COMPUTED_VALUE"""),"Selesai")</f>
        <v>Selesai</v>
      </c>
      <c r="L1964" s="17">
        <f>IFERROR(__xludf.DUMMYFUNCTION("""COMPUTED_VALUE"""),45779.382752731486)</f>
        <v>45779.38275</v>
      </c>
      <c r="M1964" s="13"/>
      <c r="N1964" s="13" t="str">
        <f>IFERROR(__xludf.DUMMYFUNCTION("""COMPUTED_VALUE"""),"")</f>
        <v/>
      </c>
      <c r="O1964" s="13" t="str">
        <f t="shared" si="1"/>
        <v/>
      </c>
    </row>
    <row r="1965" ht="22.5" customHeight="1">
      <c r="B1965" s="13">
        <f>IFERROR(__xludf.DUMMYFUNCTION("""COMPUTED_VALUE"""),1960.0)</f>
        <v>1960</v>
      </c>
      <c r="C1965" s="13" t="str">
        <f>IFERROR(__xludf.DUMMYFUNCTION("""COMPUTED_VALUE"""),"HM 2263/WAY KANDIS")</f>
        <v>HM 2263/WAY KANDIS</v>
      </c>
      <c r="D1965" s="13" t="str">
        <f>IFERROR(__xludf.DUMMYFUNCTION("""COMPUTED_VALUE"""),"L/20/150425/1")</f>
        <v>L/20/150425/1</v>
      </c>
      <c r="E1965" s="14" t="str">
        <f>IFERROR(__xludf.DUMMYFUNCTION("""COMPUTED_VALUE"""),"Nadian (BT)")</f>
        <v>Nadian (BT)</v>
      </c>
      <c r="F1965" s="14" t="str">
        <f>IFERROR(__xludf.DUMMYFUNCTION("""COMPUTED_VALUE"""),"SELESAI (VIA PERMOHONAN)")</f>
        <v>SELESAI (VIA PERMOHONAN)</v>
      </c>
      <c r="G1965" s="17">
        <f>IFERROR(__xludf.DUMMYFUNCTION("""COMPUTED_VALUE"""),45777.63088728009)</f>
        <v>45777.63089</v>
      </c>
      <c r="H1965" s="14" t="str">
        <f>IFERROR(__xludf.DUMMYFUNCTION("""COMPUTED_VALUE"""),"Bu Eva (SU)")</f>
        <v>Bu Eva (SU)</v>
      </c>
      <c r="I1965" s="13" t="str">
        <f>IFERROR(__xludf.DUMMYFUNCTION("""COMPUTED_VALUE"""),"SELESAI (VIA PERMOHONAN)")</f>
        <v>SELESAI (VIA PERMOHONAN)</v>
      </c>
      <c r="J1965" s="17">
        <f>IFERROR(__xludf.DUMMYFUNCTION("""COMPUTED_VALUE"""),45779.382752731486)</f>
        <v>45779.38275</v>
      </c>
      <c r="K1965" s="13" t="str">
        <f>IFERROR(__xludf.DUMMYFUNCTION("""COMPUTED_VALUE"""),"Selesai")</f>
        <v>Selesai</v>
      </c>
      <c r="L1965" s="17">
        <f>IFERROR(__xludf.DUMMYFUNCTION("""COMPUTED_VALUE"""),45779.382752731486)</f>
        <v>45779.38275</v>
      </c>
      <c r="M1965" s="13"/>
      <c r="N1965" s="13" t="str">
        <f>IFERROR(__xludf.DUMMYFUNCTION("""COMPUTED_VALUE"""),"")</f>
        <v/>
      </c>
      <c r="O1965" s="13" t="str">
        <f t="shared" si="1"/>
        <v/>
      </c>
    </row>
    <row r="1966" ht="22.5" customHeight="1">
      <c r="B1966" s="13">
        <f>IFERROR(__xludf.DUMMYFUNCTION("""COMPUTED_VALUE"""),1961.0)</f>
        <v>1961</v>
      </c>
      <c r="C1966" s="13" t="str">
        <f>IFERROR(__xludf.DUMMYFUNCTION("""COMPUTED_VALUE"""),"HM 3395/WAY KANDIS")</f>
        <v>HM 3395/WAY KANDIS</v>
      </c>
      <c r="D1966" s="13" t="str">
        <f>IFERROR(__xludf.DUMMYFUNCTION("""COMPUTED_VALUE"""),"L/15/270325/1")</f>
        <v>L/15/270325/1</v>
      </c>
      <c r="E1966" s="14" t="str">
        <f>IFERROR(__xludf.DUMMYFUNCTION("""COMPUTED_VALUE"""),"Nadian (BT)")</f>
        <v>Nadian (BT)</v>
      </c>
      <c r="F1966" s="14" t="str">
        <f>IFERROR(__xludf.DUMMYFUNCTION("""COMPUTED_VALUE"""),"SELESAI (VIA PERMOHONAN)")</f>
        <v>SELESAI (VIA PERMOHONAN)</v>
      </c>
      <c r="G1966" s="17">
        <f>IFERROR(__xludf.DUMMYFUNCTION("""COMPUTED_VALUE"""),45777.63088728009)</f>
        <v>45777.63089</v>
      </c>
      <c r="H1966" s="14" t="str">
        <f>IFERROR(__xludf.DUMMYFUNCTION("""COMPUTED_VALUE"""),"Bu Eva (SU)")</f>
        <v>Bu Eva (SU)</v>
      </c>
      <c r="I1966" s="13" t="str">
        <f>IFERROR(__xludf.DUMMYFUNCTION("""COMPUTED_VALUE"""),"SELESAI (VIA PERMOHONAN)")</f>
        <v>SELESAI (VIA PERMOHONAN)</v>
      </c>
      <c r="J1966" s="17">
        <f>IFERROR(__xludf.DUMMYFUNCTION("""COMPUTED_VALUE"""),45779.382866423606)</f>
        <v>45779.38287</v>
      </c>
      <c r="K1966" s="13" t="str">
        <f>IFERROR(__xludf.DUMMYFUNCTION("""COMPUTED_VALUE"""),"Selesai")</f>
        <v>Selesai</v>
      </c>
      <c r="L1966" s="17">
        <f>IFERROR(__xludf.DUMMYFUNCTION("""COMPUTED_VALUE"""),45779.382866423606)</f>
        <v>45779.38287</v>
      </c>
      <c r="M1966" s="13"/>
      <c r="N1966" s="13" t="str">
        <f>IFERROR(__xludf.DUMMYFUNCTION("""COMPUTED_VALUE"""),"")</f>
        <v/>
      </c>
      <c r="O1966" s="13" t="str">
        <f t="shared" si="1"/>
        <v/>
      </c>
    </row>
    <row r="1967" ht="22.5" customHeight="1">
      <c r="B1967" s="13">
        <f>IFERROR(__xludf.DUMMYFUNCTION("""COMPUTED_VALUE"""),1962.0)</f>
        <v>1962</v>
      </c>
      <c r="C1967" s="13" t="str">
        <f>IFERROR(__xludf.DUMMYFUNCTION("""COMPUTED_VALUE"""),"HM 9942/KEDAMAIAN")</f>
        <v>HM 9942/KEDAMAIAN</v>
      </c>
      <c r="D1967" s="13" t="str">
        <f>IFERROR(__xludf.DUMMYFUNCTION("""COMPUTED_VALUE"""),"L/33/180325/1")</f>
        <v>L/33/180325/1</v>
      </c>
      <c r="E1967" s="14" t="str">
        <f>IFERROR(__xludf.DUMMYFUNCTION("""COMPUTED_VALUE"""),"Afriza (BT)")</f>
        <v>Afriza (BT)</v>
      </c>
      <c r="F1967" s="14" t="str">
        <f>IFERROR(__xludf.DUMMYFUNCTION("""COMPUTED_VALUE"""),"SELESAI (VIA PERMOHONAN)")</f>
        <v>SELESAI (VIA PERMOHONAN)</v>
      </c>
      <c r="G1967" s="17">
        <f>IFERROR(__xludf.DUMMYFUNCTION("""COMPUTED_VALUE"""),45777.64226613426)</f>
        <v>45777.64227</v>
      </c>
      <c r="H1967" s="14" t="str">
        <f>IFERROR(__xludf.DUMMYFUNCTION("""COMPUTED_VALUE"""),"Bu Eva (SU)")</f>
        <v>Bu Eva (SU)</v>
      </c>
      <c r="I1967" s="13" t="str">
        <f>IFERROR(__xludf.DUMMYFUNCTION("""COMPUTED_VALUE"""),"SELESAI (VIA PERMOHONAN)")</f>
        <v>SELESAI (VIA PERMOHONAN)</v>
      </c>
      <c r="J1967" s="17">
        <f>IFERROR(__xludf.DUMMYFUNCTION("""COMPUTED_VALUE"""),45777.642355081014)</f>
        <v>45777.64236</v>
      </c>
      <c r="K1967" s="13" t="str">
        <f>IFERROR(__xludf.DUMMYFUNCTION("""COMPUTED_VALUE"""),"Selesai")</f>
        <v>Selesai</v>
      </c>
      <c r="L1967" s="17">
        <f>IFERROR(__xludf.DUMMYFUNCTION("""COMPUTED_VALUE"""),45777.642355081014)</f>
        <v>45777.64236</v>
      </c>
      <c r="M1967" s="13"/>
      <c r="N1967" s="13" t="str">
        <f>IFERROR(__xludf.DUMMYFUNCTION("""COMPUTED_VALUE"""),"")</f>
        <v/>
      </c>
      <c r="O1967" s="13" t="str">
        <f t="shared" si="1"/>
        <v/>
      </c>
    </row>
    <row r="1968" ht="22.5" customHeight="1">
      <c r="B1968" s="13">
        <f>IFERROR(__xludf.DUMMYFUNCTION("""COMPUTED_VALUE"""),1963.0)</f>
        <v>1963</v>
      </c>
      <c r="C1968" s="13" t="str">
        <f>IFERROR(__xludf.DUMMYFUNCTION("""COMPUTED_VALUE"""),"B. 768/ Sumur Putri")</f>
        <v>B. 768/ Sumur Putri</v>
      </c>
      <c r="D1968" s="13" t="str">
        <f>IFERROR(__xludf.DUMMYFUNCTION("""COMPUTED_VALUE"""),"K/16/150425/1")</f>
        <v>K/16/150425/1</v>
      </c>
      <c r="E1968" s="14" t="str">
        <f>IFERROR(__xludf.DUMMYFUNCTION("""COMPUTED_VALUE"""),"Afriza (BT)")</f>
        <v>Afriza (BT)</v>
      </c>
      <c r="F1968" s="14" t="str">
        <f>IFERROR(__xludf.DUMMYFUNCTION("""COMPUTED_VALUE"""),"SELESAI (VIA PERMOHONAN)")</f>
        <v>SELESAI (VIA PERMOHONAN)</v>
      </c>
      <c r="G1968" s="17">
        <f>IFERROR(__xludf.DUMMYFUNCTION("""COMPUTED_VALUE"""),45777.65499752315)</f>
        <v>45777.655</v>
      </c>
      <c r="H1968" s="14" t="str">
        <f>IFERROR(__xludf.DUMMYFUNCTION("""COMPUTED_VALUE"""),"Bu Eva (SU)")</f>
        <v>Bu Eva (SU)</v>
      </c>
      <c r="I1968" s="13" t="str">
        <f>IFERROR(__xludf.DUMMYFUNCTION("""COMPUTED_VALUE"""),"SELESAI (VIA PERMOHONAN)")</f>
        <v>SELESAI (VIA PERMOHONAN)</v>
      </c>
      <c r="J1968" s="17">
        <f>IFERROR(__xludf.DUMMYFUNCTION("""COMPUTED_VALUE"""),45777.6550278588)</f>
        <v>45777.65503</v>
      </c>
      <c r="K1968" s="13" t="str">
        <f>IFERROR(__xludf.DUMMYFUNCTION("""COMPUTED_VALUE"""),"Selesai")</f>
        <v>Selesai</v>
      </c>
      <c r="L1968" s="17">
        <f>IFERROR(__xludf.DUMMYFUNCTION("""COMPUTED_VALUE"""),45777.6550278588)</f>
        <v>45777.65503</v>
      </c>
      <c r="M1968" s="13"/>
      <c r="N1968" s="13" t="str">
        <f>IFERROR(__xludf.DUMMYFUNCTION("""COMPUTED_VALUE"""),"")</f>
        <v/>
      </c>
      <c r="O1968" s="13" t="str">
        <f t="shared" si="1"/>
        <v/>
      </c>
    </row>
    <row r="1969" ht="22.5" customHeight="1">
      <c r="B1969" s="13">
        <f>IFERROR(__xludf.DUMMYFUNCTION("""COMPUTED_VALUE"""),1964.0)</f>
        <v>1964</v>
      </c>
      <c r="C1969" s="13" t="str">
        <f>IFERROR(__xludf.DUMMYFUNCTION("""COMPUTED_VALUE"""),"M. 1552/ Batu Putuk")</f>
        <v>M. 1552/ Batu Putuk</v>
      </c>
      <c r="D1969" s="13" t="str">
        <f>IFERROR(__xludf.DUMMYFUNCTION("""COMPUTED_VALUE"""),"K/19/110425/1")</f>
        <v>K/19/110425/1</v>
      </c>
      <c r="E1969" s="14" t="str">
        <f>IFERROR(__xludf.DUMMYFUNCTION("""COMPUTED_VALUE"""),"Afriza (BT)")</f>
        <v>Afriza (BT)</v>
      </c>
      <c r="F1969" s="14" t="str">
        <f>IFERROR(__xludf.DUMMYFUNCTION("""COMPUTED_VALUE"""),"SELESAI (VIA PERMOHONAN)")</f>
        <v>SELESAI (VIA PERMOHONAN)</v>
      </c>
      <c r="G1969" s="17">
        <f>IFERROR(__xludf.DUMMYFUNCTION("""COMPUTED_VALUE"""),45777.655889340276)</f>
        <v>45777.65589</v>
      </c>
      <c r="H1969" s="14" t="str">
        <f>IFERROR(__xludf.DUMMYFUNCTION("""COMPUTED_VALUE"""),"Bu Eva (SU)")</f>
        <v>Bu Eva (SU)</v>
      </c>
      <c r="I1969" s="13" t="str">
        <f>IFERROR(__xludf.DUMMYFUNCTION("""COMPUTED_VALUE"""),"SELESAI (VIA PERMOHONAN)")</f>
        <v>SELESAI (VIA PERMOHONAN)</v>
      </c>
      <c r="J1969" s="17">
        <f>IFERROR(__xludf.DUMMYFUNCTION("""COMPUTED_VALUE"""),45777.655889340276)</f>
        <v>45777.65589</v>
      </c>
      <c r="K1969" s="13" t="str">
        <f>IFERROR(__xludf.DUMMYFUNCTION("""COMPUTED_VALUE"""),"Selesai")</f>
        <v>Selesai</v>
      </c>
      <c r="L1969" s="17">
        <f>IFERROR(__xludf.DUMMYFUNCTION("""COMPUTED_VALUE"""),45777.655889340276)</f>
        <v>45777.65589</v>
      </c>
      <c r="M1969" s="13"/>
      <c r="N1969" s="13" t="str">
        <f>IFERROR(__xludf.DUMMYFUNCTION("""COMPUTED_VALUE"""),"")</f>
        <v/>
      </c>
      <c r="O1969" s="13" t="str">
        <f t="shared" si="1"/>
        <v/>
      </c>
    </row>
    <row r="1970" ht="22.5" customHeight="1">
      <c r="B1970" s="13">
        <f>IFERROR(__xludf.DUMMYFUNCTION("""COMPUTED_VALUE"""),1965.0)</f>
        <v>1965</v>
      </c>
      <c r="C1970" s="13" t="str">
        <f>IFERROR(__xludf.DUMMYFUNCTION("""COMPUTED_VALUE"""),"M. 11789/ Kedamaian")</f>
        <v>M. 11789/ Kedamaian</v>
      </c>
      <c r="D1970" s="13" t="str">
        <f>IFERROR(__xludf.DUMMYFUNCTION("""COMPUTED_VALUE"""),"K/45/230425/1")</f>
        <v>K/45/230425/1</v>
      </c>
      <c r="E1970" s="14" t="str">
        <f>IFERROR(__xludf.DUMMYFUNCTION("""COMPUTED_VALUE"""),"Nadian (BT)")</f>
        <v>Nadian (BT)</v>
      </c>
      <c r="F1970" s="14" t="str">
        <f>IFERROR(__xludf.DUMMYFUNCTION("""COMPUTED_VALUE"""),"SELESAI (VIA PERMOHONAN)")</f>
        <v>SELESAI (VIA PERMOHONAN)</v>
      </c>
      <c r="G1970" s="17">
        <f>IFERROR(__xludf.DUMMYFUNCTION("""COMPUTED_VALUE"""),45777.71298744213)</f>
        <v>45777.71299</v>
      </c>
      <c r="H1970" s="14" t="str">
        <f>IFERROR(__xludf.DUMMYFUNCTION("""COMPUTED_VALUE"""),"Bu Eva (SU)")</f>
        <v>Bu Eva (SU)</v>
      </c>
      <c r="I1970" s="13" t="str">
        <f>IFERROR(__xludf.DUMMYFUNCTION("""COMPUTED_VALUE"""),"SELESAI (VIA PERMOHONAN)")</f>
        <v>SELESAI (VIA PERMOHONAN)</v>
      </c>
      <c r="J1970" s="17">
        <f>IFERROR(__xludf.DUMMYFUNCTION("""COMPUTED_VALUE"""),45783.652821655094)</f>
        <v>45783.65282</v>
      </c>
      <c r="K1970" s="13" t="str">
        <f>IFERROR(__xludf.DUMMYFUNCTION("""COMPUTED_VALUE"""),"Selesai")</f>
        <v>Selesai</v>
      </c>
      <c r="L1970" s="17">
        <f>IFERROR(__xludf.DUMMYFUNCTION("""COMPUTED_VALUE"""),45783.652821655094)</f>
        <v>45783.65282</v>
      </c>
      <c r="M1970" s="13"/>
      <c r="N1970" s="13" t="str">
        <f>IFERROR(__xludf.DUMMYFUNCTION("""COMPUTED_VALUE"""),"")</f>
        <v/>
      </c>
      <c r="O1970" s="13" t="str">
        <f t="shared" si="1"/>
        <v/>
      </c>
    </row>
    <row r="1971" ht="22.5" customHeight="1">
      <c r="B1971" s="13">
        <f>IFERROR(__xludf.DUMMYFUNCTION("""COMPUTED_VALUE"""),1966.0)</f>
        <v>1966</v>
      </c>
      <c r="C1971" s="13" t="str">
        <f>IFERROR(__xludf.DUMMYFUNCTION("""COMPUTED_VALUE"""),"M. 11492/SUKABUMI")</f>
        <v>M. 11492/SUKABUMI</v>
      </c>
      <c r="D1971" s="13" t="str">
        <f>IFERROR(__xludf.DUMMYFUNCTION("""COMPUTED_VALUE"""),"K/39/100425/1")</f>
        <v>K/39/100425/1</v>
      </c>
      <c r="E1971" s="14" t="str">
        <f>IFERROR(__xludf.DUMMYFUNCTION("""COMPUTED_VALUE"""),"Nadian (BT)")</f>
        <v>Nadian (BT)</v>
      </c>
      <c r="F1971" s="14" t="str">
        <f>IFERROR(__xludf.DUMMYFUNCTION("""COMPUTED_VALUE"""),"SELESAI (VIA PERMOHONAN)")</f>
        <v>SELESAI (VIA PERMOHONAN)</v>
      </c>
      <c r="G1971" s="17">
        <f>IFERROR(__xludf.DUMMYFUNCTION("""COMPUTED_VALUE"""),45779.70297918981)</f>
        <v>45779.70298</v>
      </c>
      <c r="H1971" s="14" t="str">
        <f>IFERROR(__xludf.DUMMYFUNCTION("""COMPUTED_VALUE"""),"Bu Eva (SU)")</f>
        <v>Bu Eva (SU)</v>
      </c>
      <c r="I1971" s="13" t="str">
        <f>IFERROR(__xludf.DUMMYFUNCTION("""COMPUTED_VALUE"""),"SELESAI (VIA PERMOHONAN)")</f>
        <v>SELESAI (VIA PERMOHONAN)</v>
      </c>
      <c r="J1971" s="17">
        <f>IFERROR(__xludf.DUMMYFUNCTION("""COMPUTED_VALUE"""),45783.652821655094)</f>
        <v>45783.65282</v>
      </c>
      <c r="K1971" s="13" t="str">
        <f>IFERROR(__xludf.DUMMYFUNCTION("""COMPUTED_VALUE"""),"Selesai")</f>
        <v>Selesai</v>
      </c>
      <c r="L1971" s="17">
        <f>IFERROR(__xludf.DUMMYFUNCTION("""COMPUTED_VALUE"""),45783.652821655094)</f>
        <v>45783.65282</v>
      </c>
      <c r="M1971" s="13"/>
      <c r="N1971" s="13" t="str">
        <f>IFERROR(__xludf.DUMMYFUNCTION("""COMPUTED_VALUE"""),"")</f>
        <v/>
      </c>
      <c r="O1971" s="13" t="str">
        <f t="shared" si="1"/>
        <v/>
      </c>
    </row>
    <row r="1972" ht="22.5" customHeight="1">
      <c r="B1972" s="13">
        <f>IFERROR(__xludf.DUMMYFUNCTION("""COMPUTED_VALUE"""),1967.0)</f>
        <v>1967</v>
      </c>
      <c r="C1972" s="13" t="str">
        <f>IFERROR(__xludf.DUMMYFUNCTION("""COMPUTED_VALUE"""),"M. 300/WAY HALIM PERMAI")</f>
        <v>M. 300/WAY HALIM PERMAI</v>
      </c>
      <c r="D1972" s="13" t="str">
        <f>IFERROR(__xludf.DUMMYFUNCTION("""COMPUTED_VALUE"""),"K/29/170425/2")</f>
        <v>K/29/170425/2</v>
      </c>
      <c r="E1972" s="14" t="str">
        <f>IFERROR(__xludf.DUMMYFUNCTION("""COMPUTED_VALUE"""),"Nadian (BT)")</f>
        <v>Nadian (BT)</v>
      </c>
      <c r="F1972" s="14" t="str">
        <f>IFERROR(__xludf.DUMMYFUNCTION("""COMPUTED_VALUE"""),"SELESAI (VIA PERMOHONAN)")</f>
        <v>SELESAI (VIA PERMOHONAN)</v>
      </c>
      <c r="G1972" s="17">
        <f>IFERROR(__xludf.DUMMYFUNCTION("""COMPUTED_VALUE"""),45779.70352347222)</f>
        <v>45779.70352</v>
      </c>
      <c r="H1972" s="14" t="str">
        <f>IFERROR(__xludf.DUMMYFUNCTION("""COMPUTED_VALUE"""),"Bu Eva (SU)")</f>
        <v>Bu Eva (SU)</v>
      </c>
      <c r="I1972" s="13" t="str">
        <f>IFERROR(__xludf.DUMMYFUNCTION("""COMPUTED_VALUE"""),"SELESAI (VIA PERMOHONAN)")</f>
        <v>SELESAI (VIA PERMOHONAN)</v>
      </c>
      <c r="J1972" s="17">
        <f>IFERROR(__xludf.DUMMYFUNCTION("""COMPUTED_VALUE"""),45783.652821655094)</f>
        <v>45783.65282</v>
      </c>
      <c r="K1972" s="13" t="str">
        <f>IFERROR(__xludf.DUMMYFUNCTION("""COMPUTED_VALUE"""),"Selesai")</f>
        <v>Selesai</v>
      </c>
      <c r="L1972" s="17">
        <f>IFERROR(__xludf.DUMMYFUNCTION("""COMPUTED_VALUE"""),45783.652821655094)</f>
        <v>45783.65282</v>
      </c>
      <c r="M1972" s="13"/>
      <c r="N1972" s="13" t="str">
        <f>IFERROR(__xludf.DUMMYFUNCTION("""COMPUTED_VALUE"""),"")</f>
        <v/>
      </c>
      <c r="O1972" s="13" t="str">
        <f t="shared" si="1"/>
        <v/>
      </c>
    </row>
    <row r="1973" ht="22.5" customHeight="1">
      <c r="B1973" s="13">
        <f>IFERROR(__xludf.DUMMYFUNCTION("""COMPUTED_VALUE"""),1968.0)</f>
        <v>1968</v>
      </c>
      <c r="C1973" s="13" t="str">
        <f>IFERROR(__xludf.DUMMYFUNCTION("""COMPUTED_VALUE"""),"M. 2164/WAY HALIM PERMAI")</f>
        <v>M. 2164/WAY HALIM PERMAI</v>
      </c>
      <c r="D1973" s="13" t="str">
        <f>IFERROR(__xludf.DUMMYFUNCTION("""COMPUTED_VALUE"""),"K/20/230425/2")</f>
        <v>K/20/230425/2</v>
      </c>
      <c r="E1973" s="14" t="str">
        <f>IFERROR(__xludf.DUMMYFUNCTION("""COMPUTED_VALUE"""),"Nadian (BT)")</f>
        <v>Nadian (BT)</v>
      </c>
      <c r="F1973" s="14" t="str">
        <f>IFERROR(__xludf.DUMMYFUNCTION("""COMPUTED_VALUE"""),"SELESAI (VIA PERMOHONAN)")</f>
        <v>SELESAI (VIA PERMOHONAN)</v>
      </c>
      <c r="G1973" s="17">
        <f>IFERROR(__xludf.DUMMYFUNCTION("""COMPUTED_VALUE"""),45779.70352347222)</f>
        <v>45779.70352</v>
      </c>
      <c r="H1973" s="14" t="str">
        <f>IFERROR(__xludf.DUMMYFUNCTION("""COMPUTED_VALUE"""),"Bu Eva (SU)")</f>
        <v>Bu Eva (SU)</v>
      </c>
      <c r="I1973" s="13" t="str">
        <f>IFERROR(__xludf.DUMMYFUNCTION("""COMPUTED_VALUE"""),"SELESAI (VIA PERMOHONAN)")</f>
        <v>SELESAI (VIA PERMOHONAN)</v>
      </c>
      <c r="J1973" s="17">
        <f>IFERROR(__xludf.DUMMYFUNCTION("""COMPUTED_VALUE"""),45783.652821655094)</f>
        <v>45783.65282</v>
      </c>
      <c r="K1973" s="13" t="str">
        <f>IFERROR(__xludf.DUMMYFUNCTION("""COMPUTED_VALUE"""),"Selesai")</f>
        <v>Selesai</v>
      </c>
      <c r="L1973" s="17">
        <f>IFERROR(__xludf.DUMMYFUNCTION("""COMPUTED_VALUE"""),45783.652821655094)</f>
        <v>45783.65282</v>
      </c>
      <c r="M1973" s="13"/>
      <c r="N1973" s="13" t="str">
        <f>IFERROR(__xludf.DUMMYFUNCTION("""COMPUTED_VALUE"""),"")</f>
        <v/>
      </c>
      <c r="O1973" s="13" t="str">
        <f t="shared" si="1"/>
        <v/>
      </c>
    </row>
    <row r="1974" ht="22.5" customHeight="1">
      <c r="B1974" s="13">
        <f>IFERROR(__xludf.DUMMYFUNCTION("""COMPUTED_VALUE"""),1969.0)</f>
        <v>1969</v>
      </c>
      <c r="C1974" s="13" t="str">
        <f>IFERROR(__xludf.DUMMYFUNCTION("""COMPUTED_VALUE"""),"M. 1992/GEDONG AIR")</f>
        <v>M. 1992/GEDONG AIR</v>
      </c>
      <c r="D1974" s="13" t="str">
        <f>IFERROR(__xludf.DUMMYFUNCTION("""COMPUTED_VALUE"""),"K/14/180325/1")</f>
        <v>K/14/180325/1</v>
      </c>
      <c r="E1974" s="14" t="str">
        <f>IFERROR(__xludf.DUMMYFUNCTION("""COMPUTED_VALUE"""),"Nadian (BT)")</f>
        <v>Nadian (BT)</v>
      </c>
      <c r="F1974" s="14" t="str">
        <f>IFERROR(__xludf.DUMMYFUNCTION("""COMPUTED_VALUE"""),"SELESAI (VIA PERMOHONAN)")</f>
        <v>SELESAI (VIA PERMOHONAN)</v>
      </c>
      <c r="G1974" s="17">
        <f>IFERROR(__xludf.DUMMYFUNCTION("""COMPUTED_VALUE"""),45779.70352347222)</f>
        <v>45779.70352</v>
      </c>
      <c r="H1974" s="14" t="str">
        <f>IFERROR(__xludf.DUMMYFUNCTION("""COMPUTED_VALUE"""),"Bu Eva (SU)")</f>
        <v>Bu Eva (SU)</v>
      </c>
      <c r="I1974" s="13" t="str">
        <f>IFERROR(__xludf.DUMMYFUNCTION("""COMPUTED_VALUE"""),"SELESAI (VIA PERMOHONAN)")</f>
        <v>SELESAI (VIA PERMOHONAN)</v>
      </c>
      <c r="J1974" s="17">
        <f>IFERROR(__xludf.DUMMYFUNCTION("""COMPUTED_VALUE"""),45783.652821655094)</f>
        <v>45783.65282</v>
      </c>
      <c r="K1974" s="13" t="str">
        <f>IFERROR(__xludf.DUMMYFUNCTION("""COMPUTED_VALUE"""),"Selesai")</f>
        <v>Selesai</v>
      </c>
      <c r="L1974" s="17">
        <f>IFERROR(__xludf.DUMMYFUNCTION("""COMPUTED_VALUE"""),45783.652821655094)</f>
        <v>45783.65282</v>
      </c>
      <c r="M1974" s="13"/>
      <c r="N1974" s="13" t="str">
        <f>IFERROR(__xludf.DUMMYFUNCTION("""COMPUTED_VALUE"""),"")</f>
        <v/>
      </c>
      <c r="O1974" s="13" t="str">
        <f t="shared" si="1"/>
        <v/>
      </c>
    </row>
    <row r="1975" ht="22.5" customHeight="1">
      <c r="B1975" s="13">
        <f>IFERROR(__xludf.DUMMYFUNCTION("""COMPUTED_VALUE"""),1970.0)</f>
        <v>1970</v>
      </c>
      <c r="C1975" s="13" t="str">
        <f>IFERROR(__xludf.DUMMYFUNCTION("""COMPUTED_VALUE"""),"B. 2425; 2406/ Sukarame ")</f>
        <v>B. 2425; 2406/ Sukarame </v>
      </c>
      <c r="D1975" s="13" t="str">
        <f>IFERROR(__xludf.DUMMYFUNCTION("""COMPUTED_VALUE"""),"K/32/250425/1")</f>
        <v>K/32/250425/1</v>
      </c>
      <c r="E1975" s="14" t="str">
        <f>IFERROR(__xludf.DUMMYFUNCTION("""COMPUTED_VALUE"""),"Nadian (BT)")</f>
        <v>Nadian (BT)</v>
      </c>
      <c r="F1975" s="14" t="str">
        <f>IFERROR(__xludf.DUMMYFUNCTION("""COMPUTED_VALUE"""),"SELESAI (VIA PERMOHONAN)")</f>
        <v>SELESAI (VIA PERMOHONAN)</v>
      </c>
      <c r="G1975" s="17">
        <f>IFERROR(__xludf.DUMMYFUNCTION("""COMPUTED_VALUE"""),45779.703542222225)</f>
        <v>45779.70354</v>
      </c>
      <c r="H1975" s="14" t="str">
        <f>IFERROR(__xludf.DUMMYFUNCTION("""COMPUTED_VALUE"""),"Bu Eva (SU)")</f>
        <v>Bu Eva (SU)</v>
      </c>
      <c r="I1975" s="13" t="str">
        <f>IFERROR(__xludf.DUMMYFUNCTION("""COMPUTED_VALUE"""),"SELESAI (VIA PERMOHONAN)")</f>
        <v>SELESAI (VIA PERMOHONAN)</v>
      </c>
      <c r="J1975" s="17">
        <f>IFERROR(__xludf.DUMMYFUNCTION("""COMPUTED_VALUE"""),45783.652821655094)</f>
        <v>45783.65282</v>
      </c>
      <c r="K1975" s="13" t="str">
        <f>IFERROR(__xludf.DUMMYFUNCTION("""COMPUTED_VALUE"""),"Selesai")</f>
        <v>Selesai</v>
      </c>
      <c r="L1975" s="17">
        <f>IFERROR(__xludf.DUMMYFUNCTION("""COMPUTED_VALUE"""),45783.652821655094)</f>
        <v>45783.65282</v>
      </c>
      <c r="M1975" s="13"/>
      <c r="N1975" s="13" t="str">
        <f>IFERROR(__xludf.DUMMYFUNCTION("""COMPUTED_VALUE"""),"")</f>
        <v/>
      </c>
      <c r="O1975" s="13" t="str">
        <f t="shared" si="1"/>
        <v/>
      </c>
    </row>
    <row r="1976" ht="22.5" customHeight="1">
      <c r="B1976" s="13">
        <f>IFERROR(__xludf.DUMMYFUNCTION("""COMPUTED_VALUE"""),1971.0)</f>
        <v>1971</v>
      </c>
      <c r="C1976" s="13" t="str">
        <f>IFERROR(__xludf.DUMMYFUNCTION("""COMPUTED_VALUE"""),"M. 13724/ Kedamaian")</f>
        <v>M. 13724/ Kedamaian</v>
      </c>
      <c r="D1976" s="13" t="str">
        <f>IFERROR(__xludf.DUMMYFUNCTION("""COMPUTED_VALUE"""),"K/43/120325/1")</f>
        <v>K/43/120325/1</v>
      </c>
      <c r="E1976" s="14" t="str">
        <f>IFERROR(__xludf.DUMMYFUNCTION("""COMPUTED_VALUE"""),"Nadian (BT)")</f>
        <v>Nadian (BT)</v>
      </c>
      <c r="F1976" s="14" t="str">
        <f>IFERROR(__xludf.DUMMYFUNCTION("""COMPUTED_VALUE"""),"SELESAI (VIA PERMOHONAN)")</f>
        <v>SELESAI (VIA PERMOHONAN)</v>
      </c>
      <c r="G1976" s="17">
        <f>IFERROR(__xludf.DUMMYFUNCTION("""COMPUTED_VALUE"""),45779.703542222225)</f>
        <v>45779.70354</v>
      </c>
      <c r="H1976" s="14" t="str">
        <f>IFERROR(__xludf.DUMMYFUNCTION("""COMPUTED_VALUE"""),"Bu Eva (SU)")</f>
        <v>Bu Eva (SU)</v>
      </c>
      <c r="I1976" s="13" t="str">
        <f>IFERROR(__xludf.DUMMYFUNCTION("""COMPUTED_VALUE"""),"SELESAI (VIA PERMOHONAN)")</f>
        <v>SELESAI (VIA PERMOHONAN)</v>
      </c>
      <c r="J1976" s="17">
        <f>IFERROR(__xludf.DUMMYFUNCTION("""COMPUTED_VALUE"""),45783.652821655094)</f>
        <v>45783.65282</v>
      </c>
      <c r="K1976" s="13" t="str">
        <f>IFERROR(__xludf.DUMMYFUNCTION("""COMPUTED_VALUE"""),"Selesai")</f>
        <v>Selesai</v>
      </c>
      <c r="L1976" s="17">
        <f>IFERROR(__xludf.DUMMYFUNCTION("""COMPUTED_VALUE"""),45783.652821655094)</f>
        <v>45783.65282</v>
      </c>
      <c r="M1976" s="13"/>
      <c r="N1976" s="13" t="str">
        <f>IFERROR(__xludf.DUMMYFUNCTION("""COMPUTED_VALUE"""),"")</f>
        <v/>
      </c>
      <c r="O1976" s="13" t="str">
        <f t="shared" si="1"/>
        <v/>
      </c>
    </row>
    <row r="1977" ht="22.5" customHeight="1">
      <c r="B1977" s="13">
        <f>IFERROR(__xludf.DUMMYFUNCTION("""COMPUTED_VALUE"""),1972.0)</f>
        <v>1972</v>
      </c>
      <c r="C1977" s="13" t="str">
        <f>IFERROR(__xludf.DUMMYFUNCTION("""COMPUTED_VALUE"""),"M. 8979/ Jagabaya II")</f>
        <v>M. 8979/ Jagabaya II</v>
      </c>
      <c r="D1977" s="13" t="str">
        <f>IFERROR(__xludf.DUMMYFUNCTION("""COMPUTED_VALUE"""),"K/18/200325/1")</f>
        <v>K/18/200325/1</v>
      </c>
      <c r="E1977" s="14" t="str">
        <f>IFERROR(__xludf.DUMMYFUNCTION("""COMPUTED_VALUE"""),"Nadian (BT)")</f>
        <v>Nadian (BT)</v>
      </c>
      <c r="F1977" s="14" t="str">
        <f>IFERROR(__xludf.DUMMYFUNCTION("""COMPUTED_VALUE"""),"SELESAI (VIA PERMOHONAN)")</f>
        <v>SELESAI (VIA PERMOHONAN)</v>
      </c>
      <c r="G1977" s="17">
        <f>IFERROR(__xludf.DUMMYFUNCTION("""COMPUTED_VALUE"""),45779.703542222225)</f>
        <v>45779.70354</v>
      </c>
      <c r="H1977" s="14" t="str">
        <f>IFERROR(__xludf.DUMMYFUNCTION("""COMPUTED_VALUE"""),"Bu Eva (SU)")</f>
        <v>Bu Eva (SU)</v>
      </c>
      <c r="I1977" s="13" t="str">
        <f>IFERROR(__xludf.DUMMYFUNCTION("""COMPUTED_VALUE"""),"SELESAI (VIA PERMOHONAN)")</f>
        <v>SELESAI (VIA PERMOHONAN)</v>
      </c>
      <c r="J1977" s="17">
        <f>IFERROR(__xludf.DUMMYFUNCTION("""COMPUTED_VALUE"""),45783.652821655094)</f>
        <v>45783.65282</v>
      </c>
      <c r="K1977" s="13" t="str">
        <f>IFERROR(__xludf.DUMMYFUNCTION("""COMPUTED_VALUE"""),"Selesai")</f>
        <v>Selesai</v>
      </c>
      <c r="L1977" s="17">
        <f>IFERROR(__xludf.DUMMYFUNCTION("""COMPUTED_VALUE"""),45783.652821655094)</f>
        <v>45783.65282</v>
      </c>
      <c r="M1977" s="13"/>
      <c r="N1977" s="13" t="str">
        <f>IFERROR(__xludf.DUMMYFUNCTION("""COMPUTED_VALUE"""),"")</f>
        <v/>
      </c>
      <c r="O1977" s="13" t="str">
        <f t="shared" si="1"/>
        <v/>
      </c>
    </row>
    <row r="1978" ht="22.5" customHeight="1">
      <c r="B1978" s="13">
        <f>IFERROR(__xludf.DUMMYFUNCTION("""COMPUTED_VALUE"""),1973.0)</f>
        <v>1973</v>
      </c>
      <c r="C1978" s="13" t="str">
        <f>IFERROR(__xludf.DUMMYFUNCTION("""COMPUTED_VALUE"""),"HM 1377/CAMPANG RAYA")</f>
        <v>HM 1377/CAMPANG RAYA</v>
      </c>
      <c r="D1978" s="13" t="str">
        <f>IFERROR(__xludf.DUMMYFUNCTION("""COMPUTED_VALUE"""),"L/18/250425/1")</f>
        <v>L/18/250425/1</v>
      </c>
      <c r="E1978" s="14" t="str">
        <f>IFERROR(__xludf.DUMMYFUNCTION("""COMPUTED_VALUE"""),"Nadian (BT)")</f>
        <v>Nadian (BT)</v>
      </c>
      <c r="F1978" s="14" t="str">
        <f>IFERROR(__xludf.DUMMYFUNCTION("""COMPUTED_VALUE"""),"SELESAI (VIA PERMOHONAN)")</f>
        <v>SELESAI (VIA PERMOHONAN)</v>
      </c>
      <c r="G1978" s="17">
        <f>IFERROR(__xludf.DUMMYFUNCTION("""COMPUTED_VALUE"""),45779.703542222225)</f>
        <v>45779.70354</v>
      </c>
      <c r="H1978" s="14" t="str">
        <f>IFERROR(__xludf.DUMMYFUNCTION("""COMPUTED_VALUE"""),"Bu Eva (SU)")</f>
        <v>Bu Eva (SU)</v>
      </c>
      <c r="I1978" s="13" t="str">
        <f>IFERROR(__xludf.DUMMYFUNCTION("""COMPUTED_VALUE"""),"SELESAI (VIA PERMOHONAN)")</f>
        <v>SELESAI (VIA PERMOHONAN)</v>
      </c>
      <c r="J1978" s="17">
        <f>IFERROR(__xludf.DUMMYFUNCTION("""COMPUTED_VALUE"""),45783.652821655094)</f>
        <v>45783.65282</v>
      </c>
      <c r="K1978" s="13" t="str">
        <f>IFERROR(__xludf.DUMMYFUNCTION("""COMPUTED_VALUE"""),"Selesai")</f>
        <v>Selesai</v>
      </c>
      <c r="L1978" s="17">
        <f>IFERROR(__xludf.DUMMYFUNCTION("""COMPUTED_VALUE"""),45783.652821655094)</f>
        <v>45783.65282</v>
      </c>
      <c r="M1978" s="13"/>
      <c r="N1978" s="13" t="str">
        <f>IFERROR(__xludf.DUMMYFUNCTION("""COMPUTED_VALUE"""),"")</f>
        <v/>
      </c>
      <c r="O1978" s="13" t="str">
        <f t="shared" si="1"/>
        <v/>
      </c>
    </row>
    <row r="1979" ht="22.5" customHeight="1">
      <c r="B1979" s="13">
        <f>IFERROR(__xludf.DUMMYFUNCTION("""COMPUTED_VALUE"""),1974.0)</f>
        <v>1974</v>
      </c>
      <c r="C1979" s="13" t="str">
        <f>IFERROR(__xludf.DUMMYFUNCTION("""COMPUTED_VALUE"""),"HM 2429/KETEGUHAN")</f>
        <v>HM 2429/KETEGUHAN</v>
      </c>
      <c r="D1979" s="13" t="str">
        <f>IFERROR(__xludf.DUMMYFUNCTION("""COMPUTED_VALUE"""),"L/2/250425/1")</f>
        <v>L/2/250425/1</v>
      </c>
      <c r="E1979" s="14" t="str">
        <f>IFERROR(__xludf.DUMMYFUNCTION("""COMPUTED_VALUE"""),"Nadian (BT)")</f>
        <v>Nadian (BT)</v>
      </c>
      <c r="F1979" s="14" t="str">
        <f>IFERROR(__xludf.DUMMYFUNCTION("""COMPUTED_VALUE"""),"SELESAI (VIA PERMOHONAN)")</f>
        <v>SELESAI (VIA PERMOHONAN)</v>
      </c>
      <c r="G1979" s="17">
        <f>IFERROR(__xludf.DUMMYFUNCTION("""COMPUTED_VALUE"""),45779.703542222225)</f>
        <v>45779.70354</v>
      </c>
      <c r="H1979" s="14" t="str">
        <f>IFERROR(__xludf.DUMMYFUNCTION("""COMPUTED_VALUE"""),"Bu Eva (SU)")</f>
        <v>Bu Eva (SU)</v>
      </c>
      <c r="I1979" s="13" t="str">
        <f>IFERROR(__xludf.DUMMYFUNCTION("""COMPUTED_VALUE"""),"SELESAI (VIA PERMOHONAN)")</f>
        <v>SELESAI (VIA PERMOHONAN)</v>
      </c>
      <c r="J1979" s="17">
        <f>IFERROR(__xludf.DUMMYFUNCTION("""COMPUTED_VALUE"""),45783.652821655094)</f>
        <v>45783.65282</v>
      </c>
      <c r="K1979" s="13" t="str">
        <f>IFERROR(__xludf.DUMMYFUNCTION("""COMPUTED_VALUE"""),"Selesai")</f>
        <v>Selesai</v>
      </c>
      <c r="L1979" s="17">
        <f>IFERROR(__xludf.DUMMYFUNCTION("""COMPUTED_VALUE"""),45783.652821655094)</f>
        <v>45783.65282</v>
      </c>
      <c r="M1979" s="13"/>
      <c r="N1979" s="13" t="str">
        <f>IFERROR(__xludf.DUMMYFUNCTION("""COMPUTED_VALUE"""),"")</f>
        <v/>
      </c>
      <c r="O1979" s="13" t="str">
        <f t="shared" si="1"/>
        <v/>
      </c>
    </row>
    <row r="1980" ht="22.5" customHeight="1">
      <c r="B1980" s="13">
        <f>IFERROR(__xludf.DUMMYFUNCTION("""COMPUTED_VALUE"""),1975.0)</f>
        <v>1975</v>
      </c>
      <c r="C1980" s="13" t="str">
        <f>IFERROR(__xludf.DUMMYFUNCTION("""COMPUTED_VALUE"""),"HM 8215/SUKABUMI")</f>
        <v>HM 8215/SUKABUMI</v>
      </c>
      <c r="D1980" s="13" t="str">
        <f>IFERROR(__xludf.DUMMYFUNCTION("""COMPUTED_VALUE"""),"L/5/140425/1")</f>
        <v>L/5/140425/1</v>
      </c>
      <c r="E1980" s="14" t="str">
        <f>IFERROR(__xludf.DUMMYFUNCTION("""COMPUTED_VALUE"""),"Nadian (BT)")</f>
        <v>Nadian (BT)</v>
      </c>
      <c r="F1980" s="14" t="str">
        <f>IFERROR(__xludf.DUMMYFUNCTION("""COMPUTED_VALUE"""),"SELESAI (VIA PERMOHONAN)")</f>
        <v>SELESAI (VIA PERMOHONAN)</v>
      </c>
      <c r="G1980" s="17">
        <f>IFERROR(__xludf.DUMMYFUNCTION("""COMPUTED_VALUE"""),45779.703542222225)</f>
        <v>45779.70354</v>
      </c>
      <c r="H1980" s="14" t="str">
        <f>IFERROR(__xludf.DUMMYFUNCTION("""COMPUTED_VALUE"""),"Bu Eva (SU)")</f>
        <v>Bu Eva (SU)</v>
      </c>
      <c r="I1980" s="13" t="str">
        <f>IFERROR(__xludf.DUMMYFUNCTION("""COMPUTED_VALUE"""),"SELESAI (VIA PERMOHONAN)")</f>
        <v>SELESAI (VIA PERMOHONAN)</v>
      </c>
      <c r="J1980" s="17">
        <f>IFERROR(__xludf.DUMMYFUNCTION("""COMPUTED_VALUE"""),45783.652821655094)</f>
        <v>45783.65282</v>
      </c>
      <c r="K1980" s="13" t="str">
        <f>IFERROR(__xludf.DUMMYFUNCTION("""COMPUTED_VALUE"""),"Selesai")</f>
        <v>Selesai</v>
      </c>
      <c r="L1980" s="17">
        <f>IFERROR(__xludf.DUMMYFUNCTION("""COMPUTED_VALUE"""),45783.652821655094)</f>
        <v>45783.65282</v>
      </c>
      <c r="M1980" s="13"/>
      <c r="N1980" s="13" t="str">
        <f>IFERROR(__xludf.DUMMYFUNCTION("""COMPUTED_VALUE"""),"")</f>
        <v/>
      </c>
      <c r="O1980" s="13" t="str">
        <f t="shared" si="1"/>
        <v/>
      </c>
    </row>
    <row r="1981" ht="22.5" customHeight="1">
      <c r="B1981" s="13">
        <f>IFERROR(__xludf.DUMMYFUNCTION("""COMPUTED_VALUE"""),1976.0)</f>
        <v>1976</v>
      </c>
      <c r="C1981" s="13" t="str">
        <f>IFERROR(__xludf.DUMMYFUNCTION("""COMPUTED_VALUE"""),"M.591/BERINGIN JAYA")</f>
        <v>M.591/BERINGIN JAYA</v>
      </c>
      <c r="D1981" s="13" t="str">
        <f>IFERROR(__xludf.DUMMYFUNCTION("""COMPUTED_VALUE"""),"K/5/220425/1")</f>
        <v>K/5/220425/1</v>
      </c>
      <c r="E1981" s="14" t="str">
        <f>IFERROR(__xludf.DUMMYFUNCTION("""COMPUTED_VALUE"""),"Nadian (BT)")</f>
        <v>Nadian (BT)</v>
      </c>
      <c r="F1981" s="14" t="str">
        <f>IFERROR(__xludf.DUMMYFUNCTION("""COMPUTED_VALUE"""),"SELESAI (VIA PERMOHONAN)")</f>
        <v>SELESAI (VIA PERMOHONAN)</v>
      </c>
      <c r="G1981" s="17">
        <f>IFERROR(__xludf.DUMMYFUNCTION("""COMPUTED_VALUE"""),45779.703542222225)</f>
        <v>45779.70354</v>
      </c>
      <c r="H1981" s="14" t="str">
        <f>IFERROR(__xludf.DUMMYFUNCTION("""COMPUTED_VALUE"""),"Bu Eva (SU)")</f>
        <v>Bu Eva (SU)</v>
      </c>
      <c r="I1981" s="13" t="str">
        <f>IFERROR(__xludf.DUMMYFUNCTION("""COMPUTED_VALUE"""),"SELESAI (VIA PERMOHONAN)")</f>
        <v>SELESAI (VIA PERMOHONAN)</v>
      </c>
      <c r="J1981" s="17">
        <f>IFERROR(__xludf.DUMMYFUNCTION("""COMPUTED_VALUE"""),45783.652821655094)</f>
        <v>45783.65282</v>
      </c>
      <c r="K1981" s="13" t="str">
        <f>IFERROR(__xludf.DUMMYFUNCTION("""COMPUTED_VALUE"""),"Selesai")</f>
        <v>Selesai</v>
      </c>
      <c r="L1981" s="17">
        <f>IFERROR(__xludf.DUMMYFUNCTION("""COMPUTED_VALUE"""),45783.652821655094)</f>
        <v>45783.65282</v>
      </c>
      <c r="M1981" s="13"/>
      <c r="N1981" s="13" t="str">
        <f>IFERROR(__xludf.DUMMYFUNCTION("""COMPUTED_VALUE"""),"")</f>
        <v/>
      </c>
      <c r="O1981" s="13" t="str">
        <f t="shared" si="1"/>
        <v/>
      </c>
    </row>
    <row r="1982" ht="22.5" customHeight="1">
      <c r="B1982" s="13">
        <f>IFERROR(__xludf.DUMMYFUNCTION("""COMPUTED_VALUE"""),1977.0)</f>
        <v>1977</v>
      </c>
      <c r="C1982" s="13" t="str">
        <f>IFERROR(__xludf.DUMMYFUNCTION("""COMPUTED_VALUE"""),"M.994/GUNUNG AGUNG")</f>
        <v>M.994/GUNUNG AGUNG</v>
      </c>
      <c r="D1982" s="13" t="str">
        <f>IFERROR(__xludf.DUMMYFUNCTION("""COMPUTED_VALUE"""),"K/31/230425/1")</f>
        <v>K/31/230425/1</v>
      </c>
      <c r="E1982" s="14" t="str">
        <f>IFERROR(__xludf.DUMMYFUNCTION("""COMPUTED_VALUE"""),"Nadian (BT)")</f>
        <v>Nadian (BT)</v>
      </c>
      <c r="F1982" s="14" t="str">
        <f>IFERROR(__xludf.DUMMYFUNCTION("""COMPUTED_VALUE"""),"SELESAI (VIA PERMOHONAN)")</f>
        <v>SELESAI (VIA PERMOHONAN)</v>
      </c>
      <c r="G1982" s="17">
        <f>IFERROR(__xludf.DUMMYFUNCTION("""COMPUTED_VALUE"""),45779.703567557866)</f>
        <v>45779.70357</v>
      </c>
      <c r="H1982" s="14" t="str">
        <f>IFERROR(__xludf.DUMMYFUNCTION("""COMPUTED_VALUE"""),"Bu Eva (SU)")</f>
        <v>Bu Eva (SU)</v>
      </c>
      <c r="I1982" s="13" t="str">
        <f>IFERROR(__xludf.DUMMYFUNCTION("""COMPUTED_VALUE"""),"SELESAI (VIA PERMOHONAN)")</f>
        <v>SELESAI (VIA PERMOHONAN)</v>
      </c>
      <c r="J1982" s="17">
        <f>IFERROR(__xludf.DUMMYFUNCTION("""COMPUTED_VALUE"""),45783.652821655094)</f>
        <v>45783.65282</v>
      </c>
      <c r="K1982" s="13" t="str">
        <f>IFERROR(__xludf.DUMMYFUNCTION("""COMPUTED_VALUE"""),"Selesai")</f>
        <v>Selesai</v>
      </c>
      <c r="L1982" s="17">
        <f>IFERROR(__xludf.DUMMYFUNCTION("""COMPUTED_VALUE"""),45783.652821655094)</f>
        <v>45783.65282</v>
      </c>
      <c r="M1982" s="13"/>
      <c r="N1982" s="13" t="str">
        <f>IFERROR(__xludf.DUMMYFUNCTION("""COMPUTED_VALUE"""),"")</f>
        <v/>
      </c>
      <c r="O1982" s="13" t="str">
        <f t="shared" si="1"/>
        <v/>
      </c>
    </row>
    <row r="1983" ht="22.5" customHeight="1">
      <c r="B1983" s="13">
        <f>IFERROR(__xludf.DUMMYFUNCTION("""COMPUTED_VALUE"""),1978.0)</f>
        <v>1978</v>
      </c>
      <c r="C1983" s="13" t="str">
        <f>IFERROR(__xludf.DUMMYFUNCTION("""COMPUTED_VALUE"""),"M.1913/WAY KANDIS")</f>
        <v>M.1913/WAY KANDIS</v>
      </c>
      <c r="D1983" s="13" t="str">
        <f>IFERROR(__xludf.DUMMYFUNCTION("""COMPUTED_VALUE"""),"K/9/230425/3")</f>
        <v>K/9/230425/3</v>
      </c>
      <c r="E1983" s="14" t="str">
        <f>IFERROR(__xludf.DUMMYFUNCTION("""COMPUTED_VALUE"""),"Nadian (BT)")</f>
        <v>Nadian (BT)</v>
      </c>
      <c r="F1983" s="14" t="str">
        <f>IFERROR(__xludf.DUMMYFUNCTION("""COMPUTED_VALUE"""),"SELESAI (VIA PERMOHONAN)")</f>
        <v>SELESAI (VIA PERMOHONAN)</v>
      </c>
      <c r="G1983" s="17">
        <f>IFERROR(__xludf.DUMMYFUNCTION("""COMPUTED_VALUE"""),45779.703567557866)</f>
        <v>45779.70357</v>
      </c>
      <c r="H1983" s="14" t="str">
        <f>IFERROR(__xludf.DUMMYFUNCTION("""COMPUTED_VALUE"""),"Bu Eva (SU)")</f>
        <v>Bu Eva (SU)</v>
      </c>
      <c r="I1983" s="13" t="str">
        <f>IFERROR(__xludf.DUMMYFUNCTION("""COMPUTED_VALUE"""),"SELESAI (VIA PERMOHONAN)")</f>
        <v>SELESAI (VIA PERMOHONAN)</v>
      </c>
      <c r="J1983" s="17">
        <f>IFERROR(__xludf.DUMMYFUNCTION("""COMPUTED_VALUE"""),45783.652821655094)</f>
        <v>45783.65282</v>
      </c>
      <c r="K1983" s="13" t="str">
        <f>IFERROR(__xludf.DUMMYFUNCTION("""COMPUTED_VALUE"""),"Selesai")</f>
        <v>Selesai</v>
      </c>
      <c r="L1983" s="17">
        <f>IFERROR(__xludf.DUMMYFUNCTION("""COMPUTED_VALUE"""),45783.652821655094)</f>
        <v>45783.65282</v>
      </c>
      <c r="M1983" s="13"/>
      <c r="N1983" s="13" t="str">
        <f>IFERROR(__xludf.DUMMYFUNCTION("""COMPUTED_VALUE"""),"")</f>
        <v/>
      </c>
      <c r="O1983" s="13" t="str">
        <f t="shared" si="1"/>
        <v/>
      </c>
    </row>
    <row r="1984" ht="22.5" customHeight="1">
      <c r="B1984" s="13">
        <f>IFERROR(__xludf.DUMMYFUNCTION("""COMPUTED_VALUE"""),1979.0)</f>
        <v>1979</v>
      </c>
      <c r="C1984" s="13" t="str">
        <f>IFERROR(__xludf.DUMMYFUNCTION("""COMPUTED_VALUE"""),"M.2142/SEPANG JAYA")</f>
        <v>M.2142/SEPANG JAYA</v>
      </c>
      <c r="D1984" s="13" t="str">
        <f>IFERROR(__xludf.DUMMYFUNCTION("""COMPUTED_VALUE"""),"K/10/230425/4")</f>
        <v>K/10/230425/4</v>
      </c>
      <c r="E1984" s="14" t="str">
        <f>IFERROR(__xludf.DUMMYFUNCTION("""COMPUTED_VALUE"""),"Nadian (BT)")</f>
        <v>Nadian (BT)</v>
      </c>
      <c r="F1984" s="14" t="str">
        <f>IFERROR(__xludf.DUMMYFUNCTION("""COMPUTED_VALUE"""),"SELESAI (VIA PERMOHONAN)")</f>
        <v>SELESAI (VIA PERMOHONAN)</v>
      </c>
      <c r="G1984" s="17">
        <f>IFERROR(__xludf.DUMMYFUNCTION("""COMPUTED_VALUE"""),45779.703567557866)</f>
        <v>45779.70357</v>
      </c>
      <c r="H1984" s="14" t="str">
        <f>IFERROR(__xludf.DUMMYFUNCTION("""COMPUTED_VALUE"""),"Bu Eva (SU)")</f>
        <v>Bu Eva (SU)</v>
      </c>
      <c r="I1984" s="13" t="str">
        <f>IFERROR(__xludf.DUMMYFUNCTION("""COMPUTED_VALUE"""),"SELESAI (VIA PERMOHONAN)")</f>
        <v>SELESAI (VIA PERMOHONAN)</v>
      </c>
      <c r="J1984" s="17">
        <f>IFERROR(__xludf.DUMMYFUNCTION("""COMPUTED_VALUE"""),45783.652821655094)</f>
        <v>45783.65282</v>
      </c>
      <c r="K1984" s="13" t="str">
        <f>IFERROR(__xludf.DUMMYFUNCTION("""COMPUTED_VALUE"""),"Selesai")</f>
        <v>Selesai</v>
      </c>
      <c r="L1984" s="17">
        <f>IFERROR(__xludf.DUMMYFUNCTION("""COMPUTED_VALUE"""),45783.652821655094)</f>
        <v>45783.65282</v>
      </c>
      <c r="M1984" s="13"/>
      <c r="N1984" s="13" t="str">
        <f>IFERROR(__xludf.DUMMYFUNCTION("""COMPUTED_VALUE"""),"")</f>
        <v/>
      </c>
      <c r="O1984" s="13" t="str">
        <f t="shared" si="1"/>
        <v/>
      </c>
    </row>
    <row r="1985" ht="22.5" customHeight="1">
      <c r="B1985" s="13">
        <f>IFERROR(__xludf.DUMMYFUNCTION("""COMPUTED_VALUE"""),1980.0)</f>
        <v>1980</v>
      </c>
      <c r="C1985" s="13" t="str">
        <f>IFERROR(__xludf.DUMMYFUNCTION("""COMPUTED_VALUE"""),"HM 439/KORPRI JAYA")</f>
        <v>HM 439/KORPRI JAYA</v>
      </c>
      <c r="D1985" s="13" t="str">
        <f>IFERROR(__xludf.DUMMYFUNCTION("""COMPUTED_VALUE"""),"L/6/210425/1")</f>
        <v>L/6/210425/1</v>
      </c>
      <c r="E1985" s="14" t="str">
        <f>IFERROR(__xludf.DUMMYFUNCTION("""COMPUTED_VALUE"""),"Nadian (BT)")</f>
        <v>Nadian (BT)</v>
      </c>
      <c r="F1985" s="14" t="str">
        <f>IFERROR(__xludf.DUMMYFUNCTION("""COMPUTED_VALUE"""),"SELESAI (VIA PERMOHONAN)")</f>
        <v>SELESAI (VIA PERMOHONAN)</v>
      </c>
      <c r="G1985" s="17">
        <f>IFERROR(__xludf.DUMMYFUNCTION("""COMPUTED_VALUE"""),45779.703567557866)</f>
        <v>45779.70357</v>
      </c>
      <c r="H1985" s="14" t="str">
        <f>IFERROR(__xludf.DUMMYFUNCTION("""COMPUTED_VALUE"""),"Bu Eva (SU)")</f>
        <v>Bu Eva (SU)</v>
      </c>
      <c r="I1985" s="13" t="str">
        <f>IFERROR(__xludf.DUMMYFUNCTION("""COMPUTED_VALUE"""),"SELESAI (VIA PERMOHONAN)")</f>
        <v>SELESAI (VIA PERMOHONAN)</v>
      </c>
      <c r="J1985" s="17">
        <f>IFERROR(__xludf.DUMMYFUNCTION("""COMPUTED_VALUE"""),45783.652821655094)</f>
        <v>45783.65282</v>
      </c>
      <c r="K1985" s="13" t="str">
        <f>IFERROR(__xludf.DUMMYFUNCTION("""COMPUTED_VALUE"""),"Selesai")</f>
        <v>Selesai</v>
      </c>
      <c r="L1985" s="17">
        <f>IFERROR(__xludf.DUMMYFUNCTION("""COMPUTED_VALUE"""),45783.652821655094)</f>
        <v>45783.65282</v>
      </c>
      <c r="M1985" s="13"/>
      <c r="N1985" s="13" t="str">
        <f>IFERROR(__xludf.DUMMYFUNCTION("""COMPUTED_VALUE"""),"")</f>
        <v/>
      </c>
      <c r="O1985" s="13" t="str">
        <f t="shared" si="1"/>
        <v/>
      </c>
    </row>
    <row r="1986" ht="22.5" customHeight="1">
      <c r="B1986" s="13">
        <f>IFERROR(__xludf.DUMMYFUNCTION("""COMPUTED_VALUE"""),1981.0)</f>
        <v>1981</v>
      </c>
      <c r="C1986" s="13" t="str">
        <f>IFERROR(__xludf.DUMMYFUNCTION("""COMPUTED_VALUE"""),"M 13013/SUKARAME")</f>
        <v>M 13013/SUKARAME</v>
      </c>
      <c r="D1986" s="13" t="str">
        <f>IFERROR(__xludf.DUMMYFUNCTION("""COMPUTED_VALUE"""),"L/49/240325/3")</f>
        <v>L/49/240325/3</v>
      </c>
      <c r="E1986" s="14" t="str">
        <f>IFERROR(__xludf.DUMMYFUNCTION("""COMPUTED_VALUE"""),"Nadian (BT)")</f>
        <v>Nadian (BT)</v>
      </c>
      <c r="F1986" s="14" t="str">
        <f>IFERROR(__xludf.DUMMYFUNCTION("""COMPUTED_VALUE"""),"SELESAI (VIA PERMOHONAN)")</f>
        <v>SELESAI (VIA PERMOHONAN)</v>
      </c>
      <c r="G1986" s="17">
        <f>IFERROR(__xludf.DUMMYFUNCTION("""COMPUTED_VALUE"""),45779.703567557866)</f>
        <v>45779.70357</v>
      </c>
      <c r="H1986" s="14" t="str">
        <f>IFERROR(__xludf.DUMMYFUNCTION("""COMPUTED_VALUE"""),"Bu Eva (SU)")</f>
        <v>Bu Eva (SU)</v>
      </c>
      <c r="I1986" s="13" t="str">
        <f>IFERROR(__xludf.DUMMYFUNCTION("""COMPUTED_VALUE"""),"SELESAI (VIA PERMOHONAN)")</f>
        <v>SELESAI (VIA PERMOHONAN)</v>
      </c>
      <c r="J1986" s="17">
        <f>IFERROR(__xludf.DUMMYFUNCTION("""COMPUTED_VALUE"""),45783.652821655094)</f>
        <v>45783.65282</v>
      </c>
      <c r="K1986" s="13" t="str">
        <f>IFERROR(__xludf.DUMMYFUNCTION("""COMPUTED_VALUE"""),"Selesai")</f>
        <v>Selesai</v>
      </c>
      <c r="L1986" s="17">
        <f>IFERROR(__xludf.DUMMYFUNCTION("""COMPUTED_VALUE"""),45783.652821655094)</f>
        <v>45783.65282</v>
      </c>
      <c r="M1986" s="13"/>
      <c r="N1986" s="13" t="str">
        <f>IFERROR(__xludf.DUMMYFUNCTION("""COMPUTED_VALUE"""),"")</f>
        <v/>
      </c>
      <c r="O1986" s="13" t="str">
        <f t="shared" si="1"/>
        <v/>
      </c>
    </row>
    <row r="1987" ht="22.5" customHeight="1">
      <c r="B1987" s="13">
        <f>IFERROR(__xludf.DUMMYFUNCTION("""COMPUTED_VALUE"""),1982.0)</f>
        <v>1982</v>
      </c>
      <c r="C1987" s="13" t="str">
        <f>IFERROR(__xludf.DUMMYFUNCTION("""COMPUTED_VALUE"""),"M 7829/SUKARAME")</f>
        <v>M 7829/SUKARAME</v>
      </c>
      <c r="D1987" s="13" t="str">
        <f>IFERROR(__xludf.DUMMYFUNCTION("""COMPUTED_VALUE"""),"L/50/240325/4")</f>
        <v>L/50/240325/4</v>
      </c>
      <c r="E1987" s="14" t="str">
        <f>IFERROR(__xludf.DUMMYFUNCTION("""COMPUTED_VALUE"""),"Nadian (BT)")</f>
        <v>Nadian (BT)</v>
      </c>
      <c r="F1987" s="14" t="str">
        <f>IFERROR(__xludf.DUMMYFUNCTION("""COMPUTED_VALUE"""),"SELESAI (VIA PERMOHONAN)")</f>
        <v>SELESAI (VIA PERMOHONAN)</v>
      </c>
      <c r="G1987" s="17">
        <f>IFERROR(__xludf.DUMMYFUNCTION("""COMPUTED_VALUE"""),45779.703567557866)</f>
        <v>45779.70357</v>
      </c>
      <c r="H1987" s="14" t="str">
        <f>IFERROR(__xludf.DUMMYFUNCTION("""COMPUTED_VALUE"""),"Bu Eva (SU)")</f>
        <v>Bu Eva (SU)</v>
      </c>
      <c r="I1987" s="13" t="str">
        <f>IFERROR(__xludf.DUMMYFUNCTION("""COMPUTED_VALUE"""),"SELESAI (VIA PERMOHONAN)")</f>
        <v>SELESAI (VIA PERMOHONAN)</v>
      </c>
      <c r="J1987" s="17">
        <f>IFERROR(__xludf.DUMMYFUNCTION("""COMPUTED_VALUE"""),45783.652821655094)</f>
        <v>45783.65282</v>
      </c>
      <c r="K1987" s="13" t="str">
        <f>IFERROR(__xludf.DUMMYFUNCTION("""COMPUTED_VALUE"""),"Selesai")</f>
        <v>Selesai</v>
      </c>
      <c r="L1987" s="17">
        <f>IFERROR(__xludf.DUMMYFUNCTION("""COMPUTED_VALUE"""),45783.652821655094)</f>
        <v>45783.65282</v>
      </c>
      <c r="M1987" s="13"/>
      <c r="N1987" s="13" t="str">
        <f>IFERROR(__xludf.DUMMYFUNCTION("""COMPUTED_VALUE"""),"")</f>
        <v/>
      </c>
      <c r="O1987" s="13" t="str">
        <f t="shared" si="1"/>
        <v/>
      </c>
    </row>
    <row r="1988" ht="22.5" customHeight="1">
      <c r="B1988" s="13">
        <f>IFERROR(__xludf.DUMMYFUNCTION("""COMPUTED_VALUE"""),1983.0)</f>
        <v>1983</v>
      </c>
      <c r="C1988" s="13" t="str">
        <f>IFERROR(__xludf.DUMMYFUNCTION("""COMPUTED_VALUE"""),"M. 5180/ Rajabasa Jaya")</f>
        <v>M. 5180/ Rajabasa Jaya</v>
      </c>
      <c r="D1988" s="13" t="str">
        <f>IFERROR(__xludf.DUMMYFUNCTION("""COMPUTED_VALUE"""),"K/34/220425/1")</f>
        <v>K/34/220425/1</v>
      </c>
      <c r="E1988" s="14" t="str">
        <f>IFERROR(__xludf.DUMMYFUNCTION("""COMPUTED_VALUE"""),"Nadian (BT)")</f>
        <v>Nadian (BT)</v>
      </c>
      <c r="F1988" s="14" t="str">
        <f>IFERROR(__xludf.DUMMYFUNCTION("""COMPUTED_VALUE"""),"SELESAI (VIA PERMOHONAN)")</f>
        <v>SELESAI (VIA PERMOHONAN)</v>
      </c>
      <c r="G1988" s="17">
        <f>IFERROR(__xludf.DUMMYFUNCTION("""COMPUTED_VALUE"""),45779.703567557866)</f>
        <v>45779.70357</v>
      </c>
      <c r="H1988" s="14" t="str">
        <f>IFERROR(__xludf.DUMMYFUNCTION("""COMPUTED_VALUE"""),"Bu Eva (SU)")</f>
        <v>Bu Eva (SU)</v>
      </c>
      <c r="I1988" s="13" t="str">
        <f>IFERROR(__xludf.DUMMYFUNCTION("""COMPUTED_VALUE"""),"SELESAI (VIA PERMOHONAN)")</f>
        <v>SELESAI (VIA PERMOHONAN)</v>
      </c>
      <c r="J1988" s="17">
        <f>IFERROR(__xludf.DUMMYFUNCTION("""COMPUTED_VALUE"""),45783.652821655094)</f>
        <v>45783.65282</v>
      </c>
      <c r="K1988" s="13" t="str">
        <f>IFERROR(__xludf.DUMMYFUNCTION("""COMPUTED_VALUE"""),"Selesai")</f>
        <v>Selesai</v>
      </c>
      <c r="L1988" s="17">
        <f>IFERROR(__xludf.DUMMYFUNCTION("""COMPUTED_VALUE"""),45783.652821655094)</f>
        <v>45783.65282</v>
      </c>
      <c r="M1988" s="13"/>
      <c r="N1988" s="13" t="str">
        <f>IFERROR(__xludf.DUMMYFUNCTION("""COMPUTED_VALUE"""),"")</f>
        <v/>
      </c>
      <c r="O1988" s="13" t="str">
        <f t="shared" si="1"/>
        <v/>
      </c>
    </row>
    <row r="1989" ht="22.5" customHeight="1">
      <c r="B1989" s="13">
        <f>IFERROR(__xludf.DUMMYFUNCTION("""COMPUTED_VALUE"""),1984.0)</f>
        <v>1984</v>
      </c>
      <c r="C1989" s="13" t="str">
        <f>IFERROR(__xludf.DUMMYFUNCTION("""COMPUTED_VALUE"""),"M. 1858/ Suumber Rejo")</f>
        <v>M. 1858/ Suumber Rejo</v>
      </c>
      <c r="D1989" s="13" t="str">
        <f>IFERROR(__xludf.DUMMYFUNCTION("""COMPUTED_VALUE"""),"K/41/220425/1")</f>
        <v>K/41/220425/1</v>
      </c>
      <c r="E1989" s="14" t="str">
        <f>IFERROR(__xludf.DUMMYFUNCTION("""COMPUTED_VALUE"""),"Nadian (BT)")</f>
        <v>Nadian (BT)</v>
      </c>
      <c r="F1989" s="14" t="str">
        <f>IFERROR(__xludf.DUMMYFUNCTION("""COMPUTED_VALUE"""),"SELESAI (VIA PERMOHONAN)")</f>
        <v>SELESAI (VIA PERMOHONAN)</v>
      </c>
      <c r="G1989" s="17">
        <f>IFERROR(__xludf.DUMMYFUNCTION("""COMPUTED_VALUE"""),45779.703567557866)</f>
        <v>45779.70357</v>
      </c>
      <c r="H1989" s="14" t="str">
        <f>IFERROR(__xludf.DUMMYFUNCTION("""COMPUTED_VALUE"""),"Bu Eva (SU)")</f>
        <v>Bu Eva (SU)</v>
      </c>
      <c r="I1989" s="13" t="str">
        <f>IFERROR(__xludf.DUMMYFUNCTION("""COMPUTED_VALUE"""),"SELESAI (VIA PERMOHONAN)")</f>
        <v>SELESAI (VIA PERMOHONAN)</v>
      </c>
      <c r="J1989" s="17">
        <f>IFERROR(__xludf.DUMMYFUNCTION("""COMPUTED_VALUE"""),45783.652821655094)</f>
        <v>45783.65282</v>
      </c>
      <c r="K1989" s="13" t="str">
        <f>IFERROR(__xludf.DUMMYFUNCTION("""COMPUTED_VALUE"""),"Selesai")</f>
        <v>Selesai</v>
      </c>
      <c r="L1989" s="17">
        <f>IFERROR(__xludf.DUMMYFUNCTION("""COMPUTED_VALUE"""),45783.652821655094)</f>
        <v>45783.65282</v>
      </c>
      <c r="M1989" s="13"/>
      <c r="N1989" s="13" t="str">
        <f>IFERROR(__xludf.DUMMYFUNCTION("""COMPUTED_VALUE"""),"")</f>
        <v/>
      </c>
      <c r="O1989" s="13" t="str">
        <f t="shared" si="1"/>
        <v/>
      </c>
    </row>
    <row r="1990" ht="22.5" customHeight="1">
      <c r="B1990" s="13">
        <f>IFERROR(__xludf.DUMMYFUNCTION("""COMPUTED_VALUE"""),1985.0)</f>
        <v>1985</v>
      </c>
      <c r="C1990" s="13" t="str">
        <f>IFERROR(__xludf.DUMMYFUNCTION("""COMPUTED_VALUE"""),"M. 399/ Kaliawi Persada")</f>
        <v>M. 399/ Kaliawi Persada</v>
      </c>
      <c r="D1990" s="13" t="str">
        <f>IFERROR(__xludf.DUMMYFUNCTION("""COMPUTED_VALUE"""),"K/2/100425/1")</f>
        <v>K/2/100425/1</v>
      </c>
      <c r="E1990" s="14" t="str">
        <f>IFERROR(__xludf.DUMMYFUNCTION("""COMPUTED_VALUE"""),"Nadian (BT)")</f>
        <v>Nadian (BT)</v>
      </c>
      <c r="F1990" s="14" t="str">
        <f>IFERROR(__xludf.DUMMYFUNCTION("""COMPUTED_VALUE"""),"SELESAI (VIA PERMOHONAN)")</f>
        <v>SELESAI (VIA PERMOHONAN)</v>
      </c>
      <c r="G1990" s="17">
        <f>IFERROR(__xludf.DUMMYFUNCTION("""COMPUTED_VALUE"""),45779.703567557866)</f>
        <v>45779.70357</v>
      </c>
      <c r="H1990" s="14" t="str">
        <f>IFERROR(__xludf.DUMMYFUNCTION("""COMPUTED_VALUE"""),"Bu Eva (SU)")</f>
        <v>Bu Eva (SU)</v>
      </c>
      <c r="I1990" s="13" t="str">
        <f>IFERROR(__xludf.DUMMYFUNCTION("""COMPUTED_VALUE"""),"SELESAI (VIA PERMOHONAN)")</f>
        <v>SELESAI (VIA PERMOHONAN)</v>
      </c>
      <c r="J1990" s="17">
        <f>IFERROR(__xludf.DUMMYFUNCTION("""COMPUTED_VALUE"""),45783.652821655094)</f>
        <v>45783.65282</v>
      </c>
      <c r="K1990" s="13" t="str">
        <f>IFERROR(__xludf.DUMMYFUNCTION("""COMPUTED_VALUE"""),"Selesai")</f>
        <v>Selesai</v>
      </c>
      <c r="L1990" s="17">
        <f>IFERROR(__xludf.DUMMYFUNCTION("""COMPUTED_VALUE"""),45783.652821655094)</f>
        <v>45783.65282</v>
      </c>
      <c r="M1990" s="13"/>
      <c r="N1990" s="13" t="str">
        <f>IFERROR(__xludf.DUMMYFUNCTION("""COMPUTED_VALUE"""),"")</f>
        <v/>
      </c>
      <c r="O1990" s="13" t="str">
        <f t="shared" si="1"/>
        <v/>
      </c>
    </row>
    <row r="1991" ht="22.5" customHeight="1">
      <c r="B1991" s="13">
        <f>IFERROR(__xludf.DUMMYFUNCTION("""COMPUTED_VALUE"""),1986.0)</f>
        <v>1986</v>
      </c>
      <c r="C1991" s="13" t="str">
        <f>IFERROR(__xludf.DUMMYFUNCTION("""COMPUTED_VALUE"""),"M. 1153/ Perumnas Way Kandis")</f>
        <v>M. 1153/ Perumnas Way Kandis</v>
      </c>
      <c r="D1991" s="13" t="str">
        <f>IFERROR(__xludf.DUMMYFUNCTION("""COMPUTED_VALUE"""),"K/38/240425/1")</f>
        <v>K/38/240425/1</v>
      </c>
      <c r="E1991" s="14" t="str">
        <f>IFERROR(__xludf.DUMMYFUNCTION("""COMPUTED_VALUE"""),"Nadian (BT)")</f>
        <v>Nadian (BT)</v>
      </c>
      <c r="F1991" s="14" t="str">
        <f>IFERROR(__xludf.DUMMYFUNCTION("""COMPUTED_VALUE"""),"SELESAI (VIA PERMOHONAN)")</f>
        <v>SELESAI (VIA PERMOHONAN)</v>
      </c>
      <c r="G1991" s="17">
        <f>IFERROR(__xludf.DUMMYFUNCTION("""COMPUTED_VALUE"""),45779.703567557866)</f>
        <v>45779.70357</v>
      </c>
      <c r="H1991" s="14" t="str">
        <f>IFERROR(__xludf.DUMMYFUNCTION("""COMPUTED_VALUE"""),"Bu Eva (SU)")</f>
        <v>Bu Eva (SU)</v>
      </c>
      <c r="I1991" s="13" t="str">
        <f>IFERROR(__xludf.DUMMYFUNCTION("""COMPUTED_VALUE"""),"SELESAI (VIA PERMOHONAN)")</f>
        <v>SELESAI (VIA PERMOHONAN)</v>
      </c>
      <c r="J1991" s="17">
        <f>IFERROR(__xludf.DUMMYFUNCTION("""COMPUTED_VALUE"""),45783.652821655094)</f>
        <v>45783.65282</v>
      </c>
      <c r="K1991" s="13" t="str">
        <f>IFERROR(__xludf.DUMMYFUNCTION("""COMPUTED_VALUE"""),"Selesai")</f>
        <v>Selesai</v>
      </c>
      <c r="L1991" s="17">
        <f>IFERROR(__xludf.DUMMYFUNCTION("""COMPUTED_VALUE"""),45783.652821655094)</f>
        <v>45783.65282</v>
      </c>
      <c r="M1991" s="13"/>
      <c r="N1991" s="13" t="str">
        <f>IFERROR(__xludf.DUMMYFUNCTION("""COMPUTED_VALUE"""),"")</f>
        <v/>
      </c>
      <c r="O1991" s="13" t="str">
        <f t="shared" si="1"/>
        <v/>
      </c>
    </row>
    <row r="1992" ht="22.5" customHeight="1">
      <c r="B1992" s="13">
        <f>IFERROR(__xludf.DUMMYFUNCTION("""COMPUTED_VALUE"""),1987.0)</f>
        <v>1987</v>
      </c>
      <c r="C1992" s="13" t="str">
        <f>IFERROR(__xludf.DUMMYFUNCTION("""COMPUTED_VALUE"""),"M. 10504/ Sukabumi")</f>
        <v>M. 10504/ Sukabumi</v>
      </c>
      <c r="D1992" s="13" t="str">
        <f>IFERROR(__xludf.DUMMYFUNCTION("""COMPUTED_VALUE"""),"K/19/210425/2")</f>
        <v>K/19/210425/2</v>
      </c>
      <c r="E1992" s="14" t="str">
        <f>IFERROR(__xludf.DUMMYFUNCTION("""COMPUTED_VALUE"""),"Nadian (BT)")</f>
        <v>Nadian (BT)</v>
      </c>
      <c r="F1992" s="14" t="str">
        <f>IFERROR(__xludf.DUMMYFUNCTION("""COMPUTED_VALUE"""),"SELESAI (VIA PERMOHONAN)")</f>
        <v>SELESAI (VIA PERMOHONAN)</v>
      </c>
      <c r="G1992" s="17">
        <f>IFERROR(__xludf.DUMMYFUNCTION("""COMPUTED_VALUE"""),45779.703567557866)</f>
        <v>45779.70357</v>
      </c>
      <c r="H1992" s="14" t="str">
        <f>IFERROR(__xludf.DUMMYFUNCTION("""COMPUTED_VALUE"""),"Bu Eva (SU)")</f>
        <v>Bu Eva (SU)</v>
      </c>
      <c r="I1992" s="13" t="str">
        <f>IFERROR(__xludf.DUMMYFUNCTION("""COMPUTED_VALUE"""),"SELESAI (VIA PERMOHONAN)")</f>
        <v>SELESAI (VIA PERMOHONAN)</v>
      </c>
      <c r="J1992" s="17">
        <f>IFERROR(__xludf.DUMMYFUNCTION("""COMPUTED_VALUE"""),45783.652821655094)</f>
        <v>45783.65282</v>
      </c>
      <c r="K1992" s="13" t="str">
        <f>IFERROR(__xludf.DUMMYFUNCTION("""COMPUTED_VALUE"""),"Selesai")</f>
        <v>Selesai</v>
      </c>
      <c r="L1992" s="17">
        <f>IFERROR(__xludf.DUMMYFUNCTION("""COMPUTED_VALUE"""),45783.652821655094)</f>
        <v>45783.65282</v>
      </c>
      <c r="M1992" s="13"/>
      <c r="N1992" s="13" t="str">
        <f>IFERROR(__xludf.DUMMYFUNCTION("""COMPUTED_VALUE"""),"")</f>
        <v/>
      </c>
      <c r="O1992" s="13" t="str">
        <f t="shared" si="1"/>
        <v/>
      </c>
    </row>
    <row r="1993" ht="22.5" customHeight="1">
      <c r="B1993" s="13">
        <f>IFERROR(__xludf.DUMMYFUNCTION("""COMPUTED_VALUE"""),1988.0)</f>
        <v>1988</v>
      </c>
      <c r="C1993" s="13" t="str">
        <f>IFERROR(__xludf.DUMMYFUNCTION("""COMPUTED_VALUE"""),"M 19757/ Sukarame")</f>
        <v>M 19757/ Sukarame</v>
      </c>
      <c r="D1993" s="13" t="str">
        <f>IFERROR(__xludf.DUMMYFUNCTION("""COMPUTED_VALUE"""),"K/9/170425/2")</f>
        <v>K/9/170425/2</v>
      </c>
      <c r="E1993" s="14" t="str">
        <f>IFERROR(__xludf.DUMMYFUNCTION("""COMPUTED_VALUE"""),"Nadian (BT)")</f>
        <v>Nadian (BT)</v>
      </c>
      <c r="F1993" s="14" t="str">
        <f>IFERROR(__xludf.DUMMYFUNCTION("""COMPUTED_VALUE"""),"SELESAI (VIA PERMOHONAN)")</f>
        <v>SELESAI (VIA PERMOHONAN)</v>
      </c>
      <c r="G1993" s="17">
        <f>IFERROR(__xludf.DUMMYFUNCTION("""COMPUTED_VALUE"""),45779.703567557866)</f>
        <v>45779.70357</v>
      </c>
      <c r="H1993" s="14" t="str">
        <f>IFERROR(__xludf.DUMMYFUNCTION("""COMPUTED_VALUE"""),"Bu Eva (SU)")</f>
        <v>Bu Eva (SU)</v>
      </c>
      <c r="I1993" s="13" t="str">
        <f>IFERROR(__xludf.DUMMYFUNCTION("""COMPUTED_VALUE"""),"SELESAI (VIA PERMOHONAN)")</f>
        <v>SELESAI (VIA PERMOHONAN)</v>
      </c>
      <c r="J1993" s="17">
        <f>IFERROR(__xludf.DUMMYFUNCTION("""COMPUTED_VALUE"""),45783.652821655094)</f>
        <v>45783.65282</v>
      </c>
      <c r="K1993" s="13" t="str">
        <f>IFERROR(__xludf.DUMMYFUNCTION("""COMPUTED_VALUE"""),"Selesai")</f>
        <v>Selesai</v>
      </c>
      <c r="L1993" s="17">
        <f>IFERROR(__xludf.DUMMYFUNCTION("""COMPUTED_VALUE"""),45783.652821655094)</f>
        <v>45783.65282</v>
      </c>
      <c r="M1993" s="13"/>
      <c r="N1993" s="13" t="str">
        <f>IFERROR(__xludf.DUMMYFUNCTION("""COMPUTED_VALUE"""),"")</f>
        <v/>
      </c>
      <c r="O1993" s="13" t="str">
        <f t="shared" si="1"/>
        <v/>
      </c>
    </row>
    <row r="1994" ht="22.5" customHeight="1">
      <c r="B1994" s="13">
        <f>IFERROR(__xludf.DUMMYFUNCTION("""COMPUTED_VALUE"""),1989.0)</f>
        <v>1989</v>
      </c>
      <c r="C1994" s="13" t="str">
        <f>IFERROR(__xludf.DUMMYFUNCTION("""COMPUTED_VALUE"""),"M. 2150/ Kupang Teba")</f>
        <v>M. 2150/ Kupang Teba</v>
      </c>
      <c r="D1994" s="13" t="str">
        <f>IFERROR(__xludf.DUMMYFUNCTION("""COMPUTED_VALUE"""),"K/18/170425/1")</f>
        <v>K/18/170425/1</v>
      </c>
      <c r="E1994" s="14" t="str">
        <f>IFERROR(__xludf.DUMMYFUNCTION("""COMPUTED_VALUE"""),"Nadian (BT)")</f>
        <v>Nadian (BT)</v>
      </c>
      <c r="F1994" s="14" t="str">
        <f>IFERROR(__xludf.DUMMYFUNCTION("""COMPUTED_VALUE"""),"SELESAI (VIA PERMOHONAN)")</f>
        <v>SELESAI (VIA PERMOHONAN)</v>
      </c>
      <c r="G1994" s="17">
        <f>IFERROR(__xludf.DUMMYFUNCTION("""COMPUTED_VALUE"""),45779.703567557866)</f>
        <v>45779.70357</v>
      </c>
      <c r="H1994" s="14" t="str">
        <f>IFERROR(__xludf.DUMMYFUNCTION("""COMPUTED_VALUE"""),"Bu Eva (SU)")</f>
        <v>Bu Eva (SU)</v>
      </c>
      <c r="I1994" s="13" t="str">
        <f>IFERROR(__xludf.DUMMYFUNCTION("""COMPUTED_VALUE"""),"SELESAI (VIA PERMOHONAN)")</f>
        <v>SELESAI (VIA PERMOHONAN)</v>
      </c>
      <c r="J1994" s="17">
        <f>IFERROR(__xludf.DUMMYFUNCTION("""COMPUTED_VALUE"""),45783.652821655094)</f>
        <v>45783.65282</v>
      </c>
      <c r="K1994" s="13" t="str">
        <f>IFERROR(__xludf.DUMMYFUNCTION("""COMPUTED_VALUE"""),"Selesai")</f>
        <v>Selesai</v>
      </c>
      <c r="L1994" s="17">
        <f>IFERROR(__xludf.DUMMYFUNCTION("""COMPUTED_VALUE"""),45783.652821655094)</f>
        <v>45783.65282</v>
      </c>
      <c r="M1994" s="13"/>
      <c r="N1994" s="13" t="str">
        <f>IFERROR(__xludf.DUMMYFUNCTION("""COMPUTED_VALUE"""),"")</f>
        <v/>
      </c>
      <c r="O1994" s="13" t="str">
        <f t="shared" si="1"/>
        <v/>
      </c>
    </row>
    <row r="1995" ht="22.5" customHeight="1">
      <c r="B1995" s="13">
        <f>IFERROR(__xludf.DUMMYFUNCTION("""COMPUTED_VALUE"""),1990.0)</f>
        <v>1990</v>
      </c>
      <c r="C1995" s="13" t="str">
        <f>IFERROR(__xludf.DUMMYFUNCTION("""COMPUTED_VALUE"""),"M. 2354/ Gunung Terang")</f>
        <v>M. 2354/ Gunung Terang</v>
      </c>
      <c r="D1995" s="13" t="str">
        <f>IFERROR(__xludf.DUMMYFUNCTION("""COMPUTED_VALUE"""),"K/40/220425/1")</f>
        <v>K/40/220425/1</v>
      </c>
      <c r="E1995" s="14" t="str">
        <f>IFERROR(__xludf.DUMMYFUNCTION("""COMPUTED_VALUE"""),"Nadian (BT)")</f>
        <v>Nadian (BT)</v>
      </c>
      <c r="F1995" s="14" t="str">
        <f>IFERROR(__xludf.DUMMYFUNCTION("""COMPUTED_VALUE"""),"SELESAI (VIA PERMOHONAN)")</f>
        <v>SELESAI (VIA PERMOHONAN)</v>
      </c>
      <c r="G1995" s="17">
        <f>IFERROR(__xludf.DUMMYFUNCTION("""COMPUTED_VALUE"""),45779.703567557866)</f>
        <v>45779.70357</v>
      </c>
      <c r="H1995" s="14" t="str">
        <f>IFERROR(__xludf.DUMMYFUNCTION("""COMPUTED_VALUE"""),"Bu Eva (SU)")</f>
        <v>Bu Eva (SU)</v>
      </c>
      <c r="I1995" s="13" t="str">
        <f>IFERROR(__xludf.DUMMYFUNCTION("""COMPUTED_VALUE"""),"SELESAI (VIA PERMOHONAN)")</f>
        <v>SELESAI (VIA PERMOHONAN)</v>
      </c>
      <c r="J1995" s="17">
        <f>IFERROR(__xludf.DUMMYFUNCTION("""COMPUTED_VALUE"""),45783.652821655094)</f>
        <v>45783.65282</v>
      </c>
      <c r="K1995" s="13" t="str">
        <f>IFERROR(__xludf.DUMMYFUNCTION("""COMPUTED_VALUE"""),"Selesai")</f>
        <v>Selesai</v>
      </c>
      <c r="L1995" s="17">
        <f>IFERROR(__xludf.DUMMYFUNCTION("""COMPUTED_VALUE"""),45783.652821655094)</f>
        <v>45783.65282</v>
      </c>
      <c r="M1995" s="13"/>
      <c r="N1995" s="13" t="str">
        <f>IFERROR(__xludf.DUMMYFUNCTION("""COMPUTED_VALUE"""),"")</f>
        <v/>
      </c>
      <c r="O1995" s="13" t="str">
        <f t="shared" si="1"/>
        <v/>
      </c>
    </row>
    <row r="1996" ht="22.5" customHeight="1">
      <c r="B1996" s="13">
        <f>IFERROR(__xludf.DUMMYFUNCTION("""COMPUTED_VALUE"""),1991.0)</f>
        <v>1991</v>
      </c>
      <c r="C1996" s="13" t="str">
        <f>IFERROR(__xludf.DUMMYFUNCTION("""COMPUTED_VALUE"""),"M. 4519/ Gunung Terang")</f>
        <v>M. 4519/ Gunung Terang</v>
      </c>
      <c r="D1996" s="13" t="str">
        <f>IFERROR(__xludf.DUMMYFUNCTION("""COMPUTED_VALUE"""),"K/11/250425/2")</f>
        <v>K/11/250425/2</v>
      </c>
      <c r="E1996" s="14" t="str">
        <f>IFERROR(__xludf.DUMMYFUNCTION("""COMPUTED_VALUE"""),"Nadian (BT)")</f>
        <v>Nadian (BT)</v>
      </c>
      <c r="F1996" s="14" t="str">
        <f>IFERROR(__xludf.DUMMYFUNCTION("""COMPUTED_VALUE"""),"SELESAI (VIA PERMOHONAN)")</f>
        <v>SELESAI (VIA PERMOHONAN)</v>
      </c>
      <c r="G1996" s="17">
        <f>IFERROR(__xludf.DUMMYFUNCTION("""COMPUTED_VALUE"""),45779.703567557866)</f>
        <v>45779.70357</v>
      </c>
      <c r="H1996" s="14" t="str">
        <f>IFERROR(__xludf.DUMMYFUNCTION("""COMPUTED_VALUE"""),"Bu Eva (SU)")</f>
        <v>Bu Eva (SU)</v>
      </c>
      <c r="I1996" s="13" t="str">
        <f>IFERROR(__xludf.DUMMYFUNCTION("""COMPUTED_VALUE"""),"SELESAI (VIA PERMOHONAN)")</f>
        <v>SELESAI (VIA PERMOHONAN)</v>
      </c>
      <c r="J1996" s="17">
        <f>IFERROR(__xludf.DUMMYFUNCTION("""COMPUTED_VALUE"""),45783.652821655094)</f>
        <v>45783.65282</v>
      </c>
      <c r="K1996" s="13" t="str">
        <f>IFERROR(__xludf.DUMMYFUNCTION("""COMPUTED_VALUE"""),"Selesai")</f>
        <v>Selesai</v>
      </c>
      <c r="L1996" s="17">
        <f>IFERROR(__xludf.DUMMYFUNCTION("""COMPUTED_VALUE"""),45783.652821655094)</f>
        <v>45783.65282</v>
      </c>
      <c r="M1996" s="13"/>
      <c r="N1996" s="13" t="str">
        <f>IFERROR(__xludf.DUMMYFUNCTION("""COMPUTED_VALUE"""),"")</f>
        <v/>
      </c>
      <c r="O1996" s="13" t="str">
        <f t="shared" si="1"/>
        <v/>
      </c>
    </row>
    <row r="1997" ht="22.5" customHeight="1">
      <c r="B1997" s="13">
        <f>IFERROR(__xludf.DUMMYFUNCTION("""COMPUTED_VALUE"""),1992.0)</f>
        <v>1992</v>
      </c>
      <c r="C1997" s="13" t="str">
        <f>IFERROR(__xludf.DUMMYFUNCTION("""COMPUTED_VALUE"""),"M. 2455/ Kedaung")</f>
        <v>M. 2455/ Kedaung</v>
      </c>
      <c r="D1997" s="13" t="str">
        <f>IFERROR(__xludf.DUMMYFUNCTION("""COMPUTED_VALUE"""),"K/27/140425/2")</f>
        <v>K/27/140425/2</v>
      </c>
      <c r="E1997" s="14" t="str">
        <f>IFERROR(__xludf.DUMMYFUNCTION("""COMPUTED_VALUE"""),"Nadian (BT)")</f>
        <v>Nadian (BT)</v>
      </c>
      <c r="F1997" s="14" t="str">
        <f>IFERROR(__xludf.DUMMYFUNCTION("""COMPUTED_VALUE"""),"SELESAI (VIA PERMOHONAN)")</f>
        <v>SELESAI (VIA PERMOHONAN)</v>
      </c>
      <c r="G1997" s="17">
        <f>IFERROR(__xludf.DUMMYFUNCTION("""COMPUTED_VALUE"""),45779.703567557866)</f>
        <v>45779.70357</v>
      </c>
      <c r="H1997" s="14" t="str">
        <f>IFERROR(__xludf.DUMMYFUNCTION("""COMPUTED_VALUE"""),"Bu Eva (SU)")</f>
        <v>Bu Eva (SU)</v>
      </c>
      <c r="I1997" s="13" t="str">
        <f>IFERROR(__xludf.DUMMYFUNCTION("""COMPUTED_VALUE"""),"SELESAI (VIA PERMOHONAN)")</f>
        <v>SELESAI (VIA PERMOHONAN)</v>
      </c>
      <c r="J1997" s="17">
        <f>IFERROR(__xludf.DUMMYFUNCTION("""COMPUTED_VALUE"""),45783.652821655094)</f>
        <v>45783.65282</v>
      </c>
      <c r="K1997" s="13" t="str">
        <f>IFERROR(__xludf.DUMMYFUNCTION("""COMPUTED_VALUE"""),"Selesai")</f>
        <v>Selesai</v>
      </c>
      <c r="L1997" s="17">
        <f>IFERROR(__xludf.DUMMYFUNCTION("""COMPUTED_VALUE"""),45783.652821655094)</f>
        <v>45783.65282</v>
      </c>
      <c r="M1997" s="13"/>
      <c r="N1997" s="13" t="str">
        <f>IFERROR(__xludf.DUMMYFUNCTION("""COMPUTED_VALUE"""),"")</f>
        <v/>
      </c>
      <c r="O1997" s="13" t="str">
        <f t="shared" si="1"/>
        <v/>
      </c>
    </row>
    <row r="1998" ht="22.5" customHeight="1">
      <c r="B1998" s="13">
        <f>IFERROR(__xludf.DUMMYFUNCTION("""COMPUTED_VALUE"""),1993.0)</f>
        <v>1993</v>
      </c>
      <c r="C1998" s="13" t="str">
        <f>IFERROR(__xludf.DUMMYFUNCTION("""COMPUTED_VALUE"""),"M. 12431/ Jagabaya II")</f>
        <v>M. 12431/ Jagabaya II</v>
      </c>
      <c r="D1998" s="13" t="str">
        <f>IFERROR(__xludf.DUMMYFUNCTION("""COMPUTED_VALUE"""),"K/34/170425/1")</f>
        <v>K/34/170425/1</v>
      </c>
      <c r="E1998" s="14" t="str">
        <f>IFERROR(__xludf.DUMMYFUNCTION("""COMPUTED_VALUE"""),"Nadian (BT)")</f>
        <v>Nadian (BT)</v>
      </c>
      <c r="F1998" s="14" t="str">
        <f>IFERROR(__xludf.DUMMYFUNCTION("""COMPUTED_VALUE"""),"SELESAI (VIA PERMOHONAN)")</f>
        <v>SELESAI (VIA PERMOHONAN)</v>
      </c>
      <c r="G1998" s="17">
        <f>IFERROR(__xludf.DUMMYFUNCTION("""COMPUTED_VALUE"""),45779.703567557866)</f>
        <v>45779.70357</v>
      </c>
      <c r="H1998" s="14" t="str">
        <f>IFERROR(__xludf.DUMMYFUNCTION("""COMPUTED_VALUE"""),"Bu Eva (SU)")</f>
        <v>Bu Eva (SU)</v>
      </c>
      <c r="I1998" s="13" t="str">
        <f>IFERROR(__xludf.DUMMYFUNCTION("""COMPUTED_VALUE"""),"SELESAI (VIA PERMOHONAN)")</f>
        <v>SELESAI (VIA PERMOHONAN)</v>
      </c>
      <c r="J1998" s="17">
        <f>IFERROR(__xludf.DUMMYFUNCTION("""COMPUTED_VALUE"""),45783.652821655094)</f>
        <v>45783.65282</v>
      </c>
      <c r="K1998" s="13" t="str">
        <f>IFERROR(__xludf.DUMMYFUNCTION("""COMPUTED_VALUE"""),"Selesai")</f>
        <v>Selesai</v>
      </c>
      <c r="L1998" s="17">
        <f>IFERROR(__xludf.DUMMYFUNCTION("""COMPUTED_VALUE"""),45783.652821655094)</f>
        <v>45783.65282</v>
      </c>
      <c r="M1998" s="13"/>
      <c r="N1998" s="13" t="str">
        <f>IFERROR(__xludf.DUMMYFUNCTION("""COMPUTED_VALUE"""),"")</f>
        <v/>
      </c>
      <c r="O1998" s="13" t="str">
        <f t="shared" si="1"/>
        <v/>
      </c>
    </row>
    <row r="1999" ht="22.5" customHeight="1">
      <c r="B1999" s="13">
        <f>IFERROR(__xludf.DUMMYFUNCTION("""COMPUTED_VALUE"""),1994.0)</f>
        <v>1994</v>
      </c>
      <c r="C1999" s="13" t="str">
        <f>IFERROR(__xludf.DUMMYFUNCTION("""COMPUTED_VALUE"""),"M. 2401/ Kedaung")</f>
        <v>M. 2401/ Kedaung</v>
      </c>
      <c r="D1999" s="13" t="str">
        <f>IFERROR(__xludf.DUMMYFUNCTION("""COMPUTED_VALUE"""),"K/8/110425/2")</f>
        <v>K/8/110425/2</v>
      </c>
      <c r="E1999" s="14" t="str">
        <f>IFERROR(__xludf.DUMMYFUNCTION("""COMPUTED_VALUE"""),"Nadian (BT)")</f>
        <v>Nadian (BT)</v>
      </c>
      <c r="F1999" s="14" t="str">
        <f>IFERROR(__xludf.DUMMYFUNCTION("""COMPUTED_VALUE"""),"SELESAI (VIA PERMOHONAN)")</f>
        <v>SELESAI (VIA PERMOHONAN)</v>
      </c>
      <c r="G1999" s="17">
        <f>IFERROR(__xludf.DUMMYFUNCTION("""COMPUTED_VALUE"""),45779.703590590274)</f>
        <v>45779.70359</v>
      </c>
      <c r="H1999" s="14" t="str">
        <f>IFERROR(__xludf.DUMMYFUNCTION("""COMPUTED_VALUE"""),"Bu Eva (SU)")</f>
        <v>Bu Eva (SU)</v>
      </c>
      <c r="I1999" s="13" t="str">
        <f>IFERROR(__xludf.DUMMYFUNCTION("""COMPUTED_VALUE"""),"SELESAI (VIA PERMOHONAN)")</f>
        <v>SELESAI (VIA PERMOHONAN)</v>
      </c>
      <c r="J1999" s="17">
        <f>IFERROR(__xludf.DUMMYFUNCTION("""COMPUTED_VALUE"""),45783.652821655094)</f>
        <v>45783.65282</v>
      </c>
      <c r="K1999" s="13" t="str">
        <f>IFERROR(__xludf.DUMMYFUNCTION("""COMPUTED_VALUE"""),"Selesai")</f>
        <v>Selesai</v>
      </c>
      <c r="L1999" s="17">
        <f>IFERROR(__xludf.DUMMYFUNCTION("""COMPUTED_VALUE"""),45783.652821655094)</f>
        <v>45783.65282</v>
      </c>
      <c r="M1999" s="13"/>
      <c r="N1999" s="13" t="str">
        <f>IFERROR(__xludf.DUMMYFUNCTION("""COMPUTED_VALUE"""),"")</f>
        <v/>
      </c>
      <c r="O1999" s="13" t="str">
        <f t="shared" si="1"/>
        <v/>
      </c>
    </row>
    <row r="2000" ht="22.5" customHeight="1">
      <c r="B2000" s="13">
        <f>IFERROR(__xludf.DUMMYFUNCTION("""COMPUTED_VALUE"""),1995.0)</f>
        <v>1995</v>
      </c>
      <c r="C2000" s="13" t="str">
        <f>IFERROR(__xludf.DUMMYFUNCTION("""COMPUTED_VALUE"""),"M. 2753/ Sukarame II")</f>
        <v>M. 2753/ Sukarame II</v>
      </c>
      <c r="D2000" s="13" t="str">
        <f>IFERROR(__xludf.DUMMYFUNCTION("""COMPUTED_VALUE"""),"K/12/230425/1")</f>
        <v>K/12/230425/1</v>
      </c>
      <c r="E2000" s="14" t="str">
        <f>IFERROR(__xludf.DUMMYFUNCTION("""COMPUTED_VALUE"""),"Nadian (BT)")</f>
        <v>Nadian (BT)</v>
      </c>
      <c r="F2000" s="14" t="str">
        <f>IFERROR(__xludf.DUMMYFUNCTION("""COMPUTED_VALUE"""),"SELESAI (VIA PERMOHONAN)")</f>
        <v>SELESAI (VIA PERMOHONAN)</v>
      </c>
      <c r="G2000" s="17">
        <f>IFERROR(__xludf.DUMMYFUNCTION("""COMPUTED_VALUE"""),45779.703590590274)</f>
        <v>45779.70359</v>
      </c>
      <c r="H2000" s="14" t="str">
        <f>IFERROR(__xludf.DUMMYFUNCTION("""COMPUTED_VALUE"""),"Bu Eva (SU)")</f>
        <v>Bu Eva (SU)</v>
      </c>
      <c r="I2000" s="13" t="str">
        <f>IFERROR(__xludf.DUMMYFUNCTION("""COMPUTED_VALUE"""),"SELESAI (VIA PERMOHONAN)")</f>
        <v>SELESAI (VIA PERMOHONAN)</v>
      </c>
      <c r="J2000" s="17">
        <f>IFERROR(__xludf.DUMMYFUNCTION("""COMPUTED_VALUE"""),45783.652821655094)</f>
        <v>45783.65282</v>
      </c>
      <c r="K2000" s="13" t="str">
        <f>IFERROR(__xludf.DUMMYFUNCTION("""COMPUTED_VALUE"""),"Selesai")</f>
        <v>Selesai</v>
      </c>
      <c r="L2000" s="17">
        <f>IFERROR(__xludf.DUMMYFUNCTION("""COMPUTED_VALUE"""),45783.652821655094)</f>
        <v>45783.65282</v>
      </c>
      <c r="M2000" s="13"/>
      <c r="N2000" s="13" t="str">
        <f>IFERROR(__xludf.DUMMYFUNCTION("""COMPUTED_VALUE"""),"")</f>
        <v/>
      </c>
      <c r="O2000" s="13" t="str">
        <f t="shared" si="1"/>
        <v/>
      </c>
    </row>
    <row r="2001" ht="22.5" customHeight="1">
      <c r="B2001" s="13">
        <f>IFERROR(__xludf.DUMMYFUNCTION("""COMPUTED_VALUE"""),1996.0)</f>
        <v>1996</v>
      </c>
      <c r="C2001" s="13" t="str">
        <f>IFERROR(__xludf.DUMMYFUNCTION("""COMPUTED_VALUE"""),"M. 2844/ sukarame II")</f>
        <v>M. 2844/ sukarame II</v>
      </c>
      <c r="D2001" s="13" t="str">
        <f>IFERROR(__xludf.DUMMYFUNCTION("""COMPUTED_VALUE"""),"K/26/250425/2")</f>
        <v>K/26/250425/2</v>
      </c>
      <c r="E2001" s="14" t="str">
        <f>IFERROR(__xludf.DUMMYFUNCTION("""COMPUTED_VALUE"""),"Nadian (BT)")</f>
        <v>Nadian (BT)</v>
      </c>
      <c r="F2001" s="14" t="str">
        <f>IFERROR(__xludf.DUMMYFUNCTION("""COMPUTED_VALUE"""),"SELESAI (VIA PERMOHONAN)")</f>
        <v>SELESAI (VIA PERMOHONAN)</v>
      </c>
      <c r="G2001" s="17">
        <f>IFERROR(__xludf.DUMMYFUNCTION("""COMPUTED_VALUE"""),45779.703590590274)</f>
        <v>45779.70359</v>
      </c>
      <c r="H2001" s="14" t="str">
        <f>IFERROR(__xludf.DUMMYFUNCTION("""COMPUTED_VALUE"""),"Bu Eva (SU)")</f>
        <v>Bu Eva (SU)</v>
      </c>
      <c r="I2001" s="13" t="str">
        <f>IFERROR(__xludf.DUMMYFUNCTION("""COMPUTED_VALUE"""),"SELESAI (VIA PERMOHONAN)")</f>
        <v>SELESAI (VIA PERMOHONAN)</v>
      </c>
      <c r="J2001" s="17">
        <f>IFERROR(__xludf.DUMMYFUNCTION("""COMPUTED_VALUE"""),45783.652821655094)</f>
        <v>45783.65282</v>
      </c>
      <c r="K2001" s="13" t="str">
        <f>IFERROR(__xludf.DUMMYFUNCTION("""COMPUTED_VALUE"""),"Selesai")</f>
        <v>Selesai</v>
      </c>
      <c r="L2001" s="17">
        <f>IFERROR(__xludf.DUMMYFUNCTION("""COMPUTED_VALUE"""),45783.652821655094)</f>
        <v>45783.65282</v>
      </c>
      <c r="M2001" s="13"/>
      <c r="N2001" s="13" t="str">
        <f>IFERROR(__xludf.DUMMYFUNCTION("""COMPUTED_VALUE"""),"")</f>
        <v/>
      </c>
      <c r="O2001" s="13" t="str">
        <f t="shared" si="1"/>
        <v/>
      </c>
    </row>
    <row r="2002" ht="22.5" customHeight="1">
      <c r="B2002" s="13">
        <f>IFERROR(__xludf.DUMMYFUNCTION("""COMPUTED_VALUE"""),1997.0)</f>
        <v>1997</v>
      </c>
      <c r="C2002" s="13" t="str">
        <f>IFERROR(__xludf.DUMMYFUNCTION("""COMPUTED_VALUE"""),"B. 137/ Kota Karang")</f>
        <v>B. 137/ Kota Karang</v>
      </c>
      <c r="D2002" s="13" t="str">
        <f>IFERROR(__xludf.DUMMYFUNCTION("""COMPUTED_VALUE"""),"K/6/110425/1")</f>
        <v>K/6/110425/1</v>
      </c>
      <c r="E2002" s="14" t="str">
        <f>IFERROR(__xludf.DUMMYFUNCTION("""COMPUTED_VALUE"""),"Nadian (BT)")</f>
        <v>Nadian (BT)</v>
      </c>
      <c r="F2002" s="14" t="str">
        <f>IFERROR(__xludf.DUMMYFUNCTION("""COMPUTED_VALUE"""),"SELESAI (VIA PERMOHONAN)")</f>
        <v>SELESAI (VIA PERMOHONAN)</v>
      </c>
      <c r="G2002" s="17">
        <f>IFERROR(__xludf.DUMMYFUNCTION("""COMPUTED_VALUE"""),45779.703590590274)</f>
        <v>45779.70359</v>
      </c>
      <c r="H2002" s="14" t="str">
        <f>IFERROR(__xludf.DUMMYFUNCTION("""COMPUTED_VALUE"""),"Bu Eva (SU)")</f>
        <v>Bu Eva (SU)</v>
      </c>
      <c r="I2002" s="13" t="str">
        <f>IFERROR(__xludf.DUMMYFUNCTION("""COMPUTED_VALUE"""),"SELESAI (VIA PERMOHONAN)")</f>
        <v>SELESAI (VIA PERMOHONAN)</v>
      </c>
      <c r="J2002" s="17">
        <f>IFERROR(__xludf.DUMMYFUNCTION("""COMPUTED_VALUE"""),45783.652821655094)</f>
        <v>45783.65282</v>
      </c>
      <c r="K2002" s="13" t="str">
        <f>IFERROR(__xludf.DUMMYFUNCTION("""COMPUTED_VALUE"""),"Selesai")</f>
        <v>Selesai</v>
      </c>
      <c r="L2002" s="17">
        <f>IFERROR(__xludf.DUMMYFUNCTION("""COMPUTED_VALUE"""),45783.652821655094)</f>
        <v>45783.65282</v>
      </c>
      <c r="M2002" s="13"/>
      <c r="N2002" s="13" t="str">
        <f>IFERROR(__xludf.DUMMYFUNCTION("""COMPUTED_VALUE"""),"")</f>
        <v/>
      </c>
      <c r="O2002" s="13" t="str">
        <f t="shared" si="1"/>
        <v/>
      </c>
    </row>
    <row r="2003" ht="22.5" customHeight="1">
      <c r="B2003" s="13">
        <f>IFERROR(__xludf.DUMMYFUNCTION("""COMPUTED_VALUE"""),1998.0)</f>
        <v>1998</v>
      </c>
      <c r="C2003" s="13" t="str">
        <f>IFERROR(__xludf.DUMMYFUNCTION("""COMPUTED_VALUE"""),"M. 2199/ Rajabasa Raya")</f>
        <v>M. 2199/ Rajabasa Raya</v>
      </c>
      <c r="D2003" s="13" t="str">
        <f>IFERROR(__xludf.DUMMYFUNCTION("""COMPUTED_VALUE"""),"K/46/211124/1")</f>
        <v>K/46/211124/1</v>
      </c>
      <c r="E2003" s="14" t="str">
        <f>IFERROR(__xludf.DUMMYFUNCTION("""COMPUTED_VALUE"""),"Nadian (BT)")</f>
        <v>Nadian (BT)</v>
      </c>
      <c r="F2003" s="14" t="str">
        <f>IFERROR(__xludf.DUMMYFUNCTION("""COMPUTED_VALUE"""),"SELESAI (VIA PERMOHONAN)")</f>
        <v>SELESAI (VIA PERMOHONAN)</v>
      </c>
      <c r="G2003" s="17">
        <f>IFERROR(__xludf.DUMMYFUNCTION("""COMPUTED_VALUE"""),45779.703590590274)</f>
        <v>45779.70359</v>
      </c>
      <c r="H2003" s="14" t="str">
        <f>IFERROR(__xludf.DUMMYFUNCTION("""COMPUTED_VALUE"""),"Bu Eva (SU)")</f>
        <v>Bu Eva (SU)</v>
      </c>
      <c r="I2003" s="13" t="str">
        <f>IFERROR(__xludf.DUMMYFUNCTION("""COMPUTED_VALUE"""),"SELESAI (VIA PERMOHONAN)")</f>
        <v>SELESAI (VIA PERMOHONAN)</v>
      </c>
      <c r="J2003" s="17">
        <f>IFERROR(__xludf.DUMMYFUNCTION("""COMPUTED_VALUE"""),45783.652821655094)</f>
        <v>45783.65282</v>
      </c>
      <c r="K2003" s="13" t="str">
        <f>IFERROR(__xludf.DUMMYFUNCTION("""COMPUTED_VALUE"""),"Selesai")</f>
        <v>Selesai</v>
      </c>
      <c r="L2003" s="17">
        <f>IFERROR(__xludf.DUMMYFUNCTION("""COMPUTED_VALUE"""),45783.652821655094)</f>
        <v>45783.65282</v>
      </c>
      <c r="M2003" s="13"/>
      <c r="N2003" s="13" t="str">
        <f>IFERROR(__xludf.DUMMYFUNCTION("""COMPUTED_VALUE"""),"")</f>
        <v/>
      </c>
      <c r="O2003" s="13" t="str">
        <f t="shared" si="1"/>
        <v/>
      </c>
    </row>
    <row r="2004" ht="22.5" customHeight="1">
      <c r="B2004" s="13">
        <f>IFERROR(__xludf.DUMMYFUNCTION("""COMPUTED_VALUE"""),1999.0)</f>
        <v>1999</v>
      </c>
      <c r="C2004" s="13" t="str">
        <f>IFERROR(__xludf.DUMMYFUNCTION("""COMPUTED_VALUE"""),"M. 14936/RAJABASA")</f>
        <v>M. 14936/RAJABASA</v>
      </c>
      <c r="D2004" s="13" t="str">
        <f>IFERROR(__xludf.DUMMYFUNCTION("""COMPUTED_VALUE"""),"K/34/100425/2")</f>
        <v>K/34/100425/2</v>
      </c>
      <c r="E2004" s="14" t="str">
        <f>IFERROR(__xludf.DUMMYFUNCTION("""COMPUTED_VALUE"""),"Nadian (BT)")</f>
        <v>Nadian (BT)</v>
      </c>
      <c r="F2004" s="14" t="str">
        <f>IFERROR(__xludf.DUMMYFUNCTION("""COMPUTED_VALUE"""),"SELESAI (VIA PERMOHONAN)")</f>
        <v>SELESAI (VIA PERMOHONAN)</v>
      </c>
      <c r="G2004" s="17">
        <f>IFERROR(__xludf.DUMMYFUNCTION("""COMPUTED_VALUE"""),45779.703590590274)</f>
        <v>45779.70359</v>
      </c>
      <c r="H2004" s="14" t="str">
        <f>IFERROR(__xludf.DUMMYFUNCTION("""COMPUTED_VALUE"""),"Bu Eva (SU)")</f>
        <v>Bu Eva (SU)</v>
      </c>
      <c r="I2004" s="13" t="str">
        <f>IFERROR(__xludf.DUMMYFUNCTION("""COMPUTED_VALUE"""),"SELESAI (VIA PERMOHONAN)")</f>
        <v>SELESAI (VIA PERMOHONAN)</v>
      </c>
      <c r="J2004" s="17">
        <f>IFERROR(__xludf.DUMMYFUNCTION("""COMPUTED_VALUE"""),45783.652821655094)</f>
        <v>45783.65282</v>
      </c>
      <c r="K2004" s="13" t="str">
        <f>IFERROR(__xludf.DUMMYFUNCTION("""COMPUTED_VALUE"""),"Selesai")</f>
        <v>Selesai</v>
      </c>
      <c r="L2004" s="17">
        <f>IFERROR(__xludf.DUMMYFUNCTION("""COMPUTED_VALUE"""),45783.652821655094)</f>
        <v>45783.65282</v>
      </c>
      <c r="M2004" s="13"/>
      <c r="N2004" s="13" t="str">
        <f>IFERROR(__xludf.DUMMYFUNCTION("""COMPUTED_VALUE"""),"")</f>
        <v/>
      </c>
      <c r="O2004" s="13" t="str">
        <f t="shared" si="1"/>
        <v/>
      </c>
    </row>
    <row r="2005" ht="22.5" customHeight="1">
      <c r="B2005" s="13">
        <f>IFERROR(__xludf.DUMMYFUNCTION("""COMPUTED_VALUE"""),2000.0)</f>
        <v>2000</v>
      </c>
      <c r="C2005" s="13" t="str">
        <f>IFERROR(__xludf.DUMMYFUNCTION("""COMPUTED_VALUE"""),"M. 13235/ Segala Mider")</f>
        <v>M. 13235/ Segala Mider</v>
      </c>
      <c r="D2005" s="13" t="str">
        <f>IFERROR(__xludf.DUMMYFUNCTION("""COMPUTED_VALUE"""),"K/22/230425/1")</f>
        <v>K/22/230425/1</v>
      </c>
      <c r="E2005" s="14" t="str">
        <f>IFERROR(__xludf.DUMMYFUNCTION("""COMPUTED_VALUE"""),"Afriza (BT)")</f>
        <v>Afriza (BT)</v>
      </c>
      <c r="F2005" s="14" t="str">
        <f>IFERROR(__xludf.DUMMYFUNCTION("""COMPUTED_VALUE"""),"SELESAI (VIA PERMOHONAN)")</f>
        <v>SELESAI (VIA PERMOHONAN)</v>
      </c>
      <c r="G2005" s="17">
        <f>IFERROR(__xludf.DUMMYFUNCTION("""COMPUTED_VALUE"""),45782.598868194444)</f>
        <v>45782.59887</v>
      </c>
      <c r="H2005" s="14" t="str">
        <f>IFERROR(__xludf.DUMMYFUNCTION("""COMPUTED_VALUE"""),"Bu Eva (SU)")</f>
        <v>Bu Eva (SU)</v>
      </c>
      <c r="I2005" s="13" t="str">
        <f>IFERROR(__xludf.DUMMYFUNCTION("""COMPUTED_VALUE"""),"SELESAI (VIA PERMOHONAN)")</f>
        <v>SELESAI (VIA PERMOHONAN)</v>
      </c>
      <c r="J2005" s="17">
        <f>IFERROR(__xludf.DUMMYFUNCTION("""COMPUTED_VALUE"""),45783.652821655094)</f>
        <v>45783.65282</v>
      </c>
      <c r="K2005" s="13" t="str">
        <f>IFERROR(__xludf.DUMMYFUNCTION("""COMPUTED_VALUE"""),"Selesai")</f>
        <v>Selesai</v>
      </c>
      <c r="L2005" s="17">
        <f>IFERROR(__xludf.DUMMYFUNCTION("""COMPUTED_VALUE"""),45783.652821655094)</f>
        <v>45783.65282</v>
      </c>
      <c r="M2005" s="13"/>
      <c r="N2005" s="13" t="str">
        <f>IFERROR(__xludf.DUMMYFUNCTION("""COMPUTED_VALUE"""),"")</f>
        <v/>
      </c>
      <c r="O2005" s="13" t="str">
        <f t="shared" si="1"/>
        <v/>
      </c>
    </row>
    <row r="2006" ht="22.5" customHeight="1">
      <c r="B2006" s="13">
        <f>IFERROR(__xludf.DUMMYFUNCTION("""COMPUTED_VALUE"""),2001.0)</f>
        <v>2001</v>
      </c>
      <c r="C2006" s="13" t="str">
        <f>IFERROR(__xludf.DUMMYFUNCTION("""COMPUTED_VALUE"""),"M. 233/ Perumnas Way Halim")</f>
        <v>M. 233/ Perumnas Way Halim</v>
      </c>
      <c r="D2006" s="13" t="str">
        <f>IFERROR(__xludf.DUMMYFUNCTION("""COMPUTED_VALUE""")," K/10/170425/1")</f>
        <v> K/10/170425/1</v>
      </c>
      <c r="E2006" s="14" t="str">
        <f>IFERROR(__xludf.DUMMYFUNCTION("""COMPUTED_VALUE"""),"Afriza (BT)")</f>
        <v>Afriza (BT)</v>
      </c>
      <c r="F2006" s="14" t="str">
        <f>IFERROR(__xludf.DUMMYFUNCTION("""COMPUTED_VALUE"""),"SELESAI (VIA PERMOHONAN)")</f>
        <v>SELESAI (VIA PERMOHONAN)</v>
      </c>
      <c r="G2006" s="17">
        <f>IFERROR(__xludf.DUMMYFUNCTION("""COMPUTED_VALUE"""),45782.59899780093)</f>
        <v>45782.599</v>
      </c>
      <c r="H2006" s="14" t="str">
        <f>IFERROR(__xludf.DUMMYFUNCTION("""COMPUTED_VALUE"""),"Bu Eva (SU)")</f>
        <v>Bu Eva (SU)</v>
      </c>
      <c r="I2006" s="13" t="str">
        <f>IFERROR(__xludf.DUMMYFUNCTION("""COMPUTED_VALUE"""),"SELESAI (VIA PERMOHONAN)")</f>
        <v>SELESAI (VIA PERMOHONAN)</v>
      </c>
      <c r="J2006" s="17">
        <f>IFERROR(__xludf.DUMMYFUNCTION("""COMPUTED_VALUE"""),45783.652821655094)</f>
        <v>45783.65282</v>
      </c>
      <c r="K2006" s="13" t="str">
        <f>IFERROR(__xludf.DUMMYFUNCTION("""COMPUTED_VALUE"""),"Selesai")</f>
        <v>Selesai</v>
      </c>
      <c r="L2006" s="17">
        <f>IFERROR(__xludf.DUMMYFUNCTION("""COMPUTED_VALUE"""),45783.652821655094)</f>
        <v>45783.65282</v>
      </c>
      <c r="M2006" s="13"/>
      <c r="N2006" s="13" t="str">
        <f>IFERROR(__xludf.DUMMYFUNCTION("""COMPUTED_VALUE"""),"")</f>
        <v/>
      </c>
      <c r="O2006" s="13" t="str">
        <f t="shared" si="1"/>
        <v/>
      </c>
    </row>
    <row r="2007" ht="22.5" customHeight="1">
      <c r="B2007" s="13">
        <f>IFERROR(__xludf.DUMMYFUNCTION("""COMPUTED_VALUE"""),2002.0)</f>
        <v>2002</v>
      </c>
      <c r="C2007" s="13" t="str">
        <f>IFERROR(__xludf.DUMMYFUNCTION("""COMPUTED_VALUE"""),"M. 16758/ Sukabumi")</f>
        <v>M. 16758/ Sukabumi</v>
      </c>
      <c r="D2007" s="13" t="str">
        <f>IFERROR(__xludf.DUMMYFUNCTION("""COMPUTED_VALUE"""),"K/19/210325/1")</f>
        <v>K/19/210325/1</v>
      </c>
      <c r="E2007" s="14" t="str">
        <f>IFERROR(__xludf.DUMMYFUNCTION("""COMPUTED_VALUE"""),"Afriza (BT)")</f>
        <v>Afriza (BT)</v>
      </c>
      <c r="F2007" s="14" t="str">
        <f>IFERROR(__xludf.DUMMYFUNCTION("""COMPUTED_VALUE"""),"SELESAI (VIA PERMOHONAN)")</f>
        <v>SELESAI (VIA PERMOHONAN)</v>
      </c>
      <c r="G2007" s="17">
        <f>IFERROR(__xludf.DUMMYFUNCTION("""COMPUTED_VALUE"""),45782.59909392361)</f>
        <v>45782.59909</v>
      </c>
      <c r="H2007" s="14" t="str">
        <f>IFERROR(__xludf.DUMMYFUNCTION("""COMPUTED_VALUE"""),"Bu Eva (SU)")</f>
        <v>Bu Eva (SU)</v>
      </c>
      <c r="I2007" s="13" t="str">
        <f>IFERROR(__xludf.DUMMYFUNCTION("""COMPUTED_VALUE"""),"SELESAI (VIA PERMOHONAN)")</f>
        <v>SELESAI (VIA PERMOHONAN)</v>
      </c>
      <c r="J2007" s="17">
        <f>IFERROR(__xludf.DUMMYFUNCTION("""COMPUTED_VALUE"""),45783.652821655094)</f>
        <v>45783.65282</v>
      </c>
      <c r="K2007" s="13" t="str">
        <f>IFERROR(__xludf.DUMMYFUNCTION("""COMPUTED_VALUE"""),"Selesai")</f>
        <v>Selesai</v>
      </c>
      <c r="L2007" s="17">
        <f>IFERROR(__xludf.DUMMYFUNCTION("""COMPUTED_VALUE"""),45783.652821655094)</f>
        <v>45783.65282</v>
      </c>
      <c r="M2007" s="13"/>
      <c r="N2007" s="13" t="str">
        <f>IFERROR(__xludf.DUMMYFUNCTION("""COMPUTED_VALUE"""),"")</f>
        <v/>
      </c>
      <c r="O2007" s="13" t="str">
        <f t="shared" si="1"/>
        <v/>
      </c>
    </row>
    <row r="2008" ht="22.5" customHeight="1">
      <c r="B2008" s="13">
        <f>IFERROR(__xludf.DUMMYFUNCTION("""COMPUTED_VALUE"""),2003.0)</f>
        <v>2003</v>
      </c>
      <c r="C2008" s="13" t="str">
        <f>IFERROR(__xludf.DUMMYFUNCTION("""COMPUTED_VALUE"""),"B. 2197/ Sukarame")</f>
        <v>B. 2197/ Sukarame</v>
      </c>
      <c r="D2008" s="13" t="str">
        <f>IFERROR(__xludf.DUMMYFUNCTION("""COMPUTED_VALUE"""),"K/4/100425/1")</f>
        <v>K/4/100425/1</v>
      </c>
      <c r="E2008" s="14" t="str">
        <f>IFERROR(__xludf.DUMMYFUNCTION("""COMPUTED_VALUE"""),"Afriza (BT)")</f>
        <v>Afriza (BT)</v>
      </c>
      <c r="F2008" s="14" t="str">
        <f>IFERROR(__xludf.DUMMYFUNCTION("""COMPUTED_VALUE"""),"SELESAI (VIA PERMOHONAN)")</f>
        <v>SELESAI (VIA PERMOHONAN)</v>
      </c>
      <c r="G2008" s="17">
        <f>IFERROR(__xludf.DUMMYFUNCTION("""COMPUTED_VALUE"""),45782.599194131944)</f>
        <v>45782.59919</v>
      </c>
      <c r="H2008" s="14" t="str">
        <f>IFERROR(__xludf.DUMMYFUNCTION("""COMPUTED_VALUE"""),"Bu Eva (SU)")</f>
        <v>Bu Eva (SU)</v>
      </c>
      <c r="I2008" s="13" t="str">
        <f>IFERROR(__xludf.DUMMYFUNCTION("""COMPUTED_VALUE"""),"SELESAI (VIA PERMOHONAN)")</f>
        <v>SELESAI (VIA PERMOHONAN)</v>
      </c>
      <c r="J2008" s="17">
        <f>IFERROR(__xludf.DUMMYFUNCTION("""COMPUTED_VALUE"""),45783.652821655094)</f>
        <v>45783.65282</v>
      </c>
      <c r="K2008" s="13" t="str">
        <f>IFERROR(__xludf.DUMMYFUNCTION("""COMPUTED_VALUE"""),"Selesai")</f>
        <v>Selesai</v>
      </c>
      <c r="L2008" s="17">
        <f>IFERROR(__xludf.DUMMYFUNCTION("""COMPUTED_VALUE"""),45783.652821655094)</f>
        <v>45783.65282</v>
      </c>
      <c r="M2008" s="13"/>
      <c r="N2008" s="13" t="str">
        <f>IFERROR(__xludf.DUMMYFUNCTION("""COMPUTED_VALUE"""),"")</f>
        <v/>
      </c>
      <c r="O2008" s="13" t="str">
        <f t="shared" si="1"/>
        <v/>
      </c>
    </row>
    <row r="2009" ht="22.5" customHeight="1">
      <c r="B2009" s="13">
        <f>IFERROR(__xludf.DUMMYFUNCTION("""COMPUTED_VALUE"""),2004.0)</f>
        <v>2004</v>
      </c>
      <c r="C2009" s="13" t="str">
        <f>IFERROR(__xludf.DUMMYFUNCTION("""COMPUTED_VALUE"""),"M. 90/ Pahoman")</f>
        <v>M. 90/ Pahoman</v>
      </c>
      <c r="D2009" s="13" t="str">
        <f>IFERROR(__xludf.DUMMYFUNCTION("""COMPUTED_VALUE"""),"K/33/040325/1")</f>
        <v>K/33/040325/1</v>
      </c>
      <c r="E2009" s="14" t="str">
        <f>IFERROR(__xludf.DUMMYFUNCTION("""COMPUTED_VALUE"""),"Afriza (BT)")</f>
        <v>Afriza (BT)</v>
      </c>
      <c r="F2009" s="14" t="str">
        <f>IFERROR(__xludf.DUMMYFUNCTION("""COMPUTED_VALUE"""),"SELESAI (VIA PERMOHONAN)")</f>
        <v>SELESAI (VIA PERMOHONAN)</v>
      </c>
      <c r="G2009" s="17">
        <f>IFERROR(__xludf.DUMMYFUNCTION("""COMPUTED_VALUE"""),45782.59931488426)</f>
        <v>45782.59931</v>
      </c>
      <c r="H2009" s="14" t="str">
        <f>IFERROR(__xludf.DUMMYFUNCTION("""COMPUTED_VALUE"""),"Bu Eva (SU)")</f>
        <v>Bu Eva (SU)</v>
      </c>
      <c r="I2009" s="13" t="str">
        <f>IFERROR(__xludf.DUMMYFUNCTION("""COMPUTED_VALUE"""),"SELESAI (VIA PERMOHONAN)")</f>
        <v>SELESAI (VIA PERMOHONAN)</v>
      </c>
      <c r="J2009" s="17">
        <f>IFERROR(__xludf.DUMMYFUNCTION("""COMPUTED_VALUE"""),45783.652821655094)</f>
        <v>45783.65282</v>
      </c>
      <c r="K2009" s="13" t="str">
        <f>IFERROR(__xludf.DUMMYFUNCTION("""COMPUTED_VALUE"""),"Selesai")</f>
        <v>Selesai</v>
      </c>
      <c r="L2009" s="17">
        <f>IFERROR(__xludf.DUMMYFUNCTION("""COMPUTED_VALUE"""),45783.652821655094)</f>
        <v>45783.65282</v>
      </c>
      <c r="M2009" s="13"/>
      <c r="N2009" s="13" t="str">
        <f>IFERROR(__xludf.DUMMYFUNCTION("""COMPUTED_VALUE"""),"")</f>
        <v/>
      </c>
      <c r="O2009" s="13" t="str">
        <f t="shared" si="1"/>
        <v/>
      </c>
    </row>
    <row r="2010" ht="22.5" customHeight="1">
      <c r="B2010" s="13">
        <f>IFERROR(__xludf.DUMMYFUNCTION("""COMPUTED_VALUE"""),2005.0)</f>
        <v>2005</v>
      </c>
      <c r="C2010" s="13" t="str">
        <f>IFERROR(__xludf.DUMMYFUNCTION("""COMPUTED_VALUE"""),"HM 195/TANJUNG RAYA")</f>
        <v>HM 195/TANJUNG RAYA</v>
      </c>
      <c r="D2010" s="13" t="str">
        <f>IFERROR(__xludf.DUMMYFUNCTION("""COMPUTED_VALUE"""),"L/8/250425/1")</f>
        <v>L/8/250425/1</v>
      </c>
      <c r="E2010" s="14" t="str">
        <f>IFERROR(__xludf.DUMMYFUNCTION("""COMPUTED_VALUE"""),"Afriza (BT)")</f>
        <v>Afriza (BT)</v>
      </c>
      <c r="F2010" s="14" t="str">
        <f>IFERROR(__xludf.DUMMYFUNCTION("""COMPUTED_VALUE"""),"SELESAI (VIA PERMOHONAN)")</f>
        <v>SELESAI (VIA PERMOHONAN)</v>
      </c>
      <c r="G2010" s="17">
        <f>IFERROR(__xludf.DUMMYFUNCTION("""COMPUTED_VALUE"""),45783.40149913194)</f>
        <v>45783.4015</v>
      </c>
      <c r="H2010" s="14" t="str">
        <f>IFERROR(__xludf.DUMMYFUNCTION("""COMPUTED_VALUE"""),"Bu Eva (SU)")</f>
        <v>Bu Eva (SU)</v>
      </c>
      <c r="I2010" s="13" t="str">
        <f>IFERROR(__xludf.DUMMYFUNCTION("""COMPUTED_VALUE"""),"SELESAI (VIA PERMOHONAN)")</f>
        <v>SELESAI (VIA PERMOHONAN)</v>
      </c>
      <c r="J2010" s="17">
        <f>IFERROR(__xludf.DUMMYFUNCTION("""COMPUTED_VALUE"""),45783.40158013889)</f>
        <v>45783.40158</v>
      </c>
      <c r="K2010" s="13" t="str">
        <f>IFERROR(__xludf.DUMMYFUNCTION("""COMPUTED_VALUE"""),"Selesai")</f>
        <v>Selesai</v>
      </c>
      <c r="L2010" s="17">
        <f>IFERROR(__xludf.DUMMYFUNCTION("""COMPUTED_VALUE"""),45783.40158013889)</f>
        <v>45783.40158</v>
      </c>
      <c r="M2010" s="13"/>
      <c r="N2010" s="13" t="str">
        <f>IFERROR(__xludf.DUMMYFUNCTION("""COMPUTED_VALUE"""),"")</f>
        <v/>
      </c>
      <c r="O2010" s="13" t="str">
        <f t="shared" si="1"/>
        <v/>
      </c>
    </row>
    <row r="2011" ht="22.5" customHeight="1">
      <c r="B2011" s="13">
        <f>IFERROR(__xludf.DUMMYFUNCTION("""COMPUTED_VALUE"""),2006.0)</f>
        <v>2006</v>
      </c>
      <c r="C2011" s="13" t="str">
        <f>IFERROR(__xludf.DUMMYFUNCTION("""COMPUTED_VALUE"""),"M.1905/BERINGIN JAYA")</f>
        <v>M.1905/BERINGIN JAYA</v>
      </c>
      <c r="D2011" s="13" t="str">
        <f>IFERROR(__xludf.DUMMYFUNCTION("""COMPUTED_VALUE"""),"L/9/280425/1")</f>
        <v>L/9/280425/1</v>
      </c>
      <c r="E2011" s="14" t="str">
        <f>IFERROR(__xludf.DUMMYFUNCTION("""COMPUTED_VALUE"""),"Afriza (BT)")</f>
        <v>Afriza (BT)</v>
      </c>
      <c r="F2011" s="14" t="str">
        <f>IFERROR(__xludf.DUMMYFUNCTION("""COMPUTED_VALUE"""),"SELESAI (VIA PERMOHONAN)")</f>
        <v>SELESAI (VIA PERMOHONAN)</v>
      </c>
      <c r="G2011" s="17">
        <f>IFERROR(__xludf.DUMMYFUNCTION("""COMPUTED_VALUE"""),45783.401694409724)</f>
        <v>45783.40169</v>
      </c>
      <c r="H2011" s="14" t="str">
        <f>IFERROR(__xludf.DUMMYFUNCTION("""COMPUTED_VALUE"""),"Bu Eva (SU)")</f>
        <v>Bu Eva (SU)</v>
      </c>
      <c r="I2011" s="13" t="str">
        <f>IFERROR(__xludf.DUMMYFUNCTION("""COMPUTED_VALUE"""),"SELESAI (VIA PERMOHONAN)")</f>
        <v>SELESAI (VIA PERMOHONAN)</v>
      </c>
      <c r="J2011" s="17">
        <f>IFERROR(__xludf.DUMMYFUNCTION("""COMPUTED_VALUE"""),45783.401721828704)</f>
        <v>45783.40172</v>
      </c>
      <c r="K2011" s="13" t="str">
        <f>IFERROR(__xludf.DUMMYFUNCTION("""COMPUTED_VALUE"""),"Selesai")</f>
        <v>Selesai</v>
      </c>
      <c r="L2011" s="17">
        <f>IFERROR(__xludf.DUMMYFUNCTION("""COMPUTED_VALUE"""),45783.401721828704)</f>
        <v>45783.40172</v>
      </c>
      <c r="M2011" s="13"/>
      <c r="N2011" s="13" t="str">
        <f>IFERROR(__xludf.DUMMYFUNCTION("""COMPUTED_VALUE"""),"")</f>
        <v/>
      </c>
      <c r="O2011" s="13" t="str">
        <f t="shared" si="1"/>
        <v/>
      </c>
    </row>
    <row r="2012" ht="22.5" customHeight="1">
      <c r="B2012" s="13">
        <f>IFERROR(__xludf.DUMMYFUNCTION("""COMPUTED_VALUE"""),2007.0)</f>
        <v>2007</v>
      </c>
      <c r="C2012" s="13" t="str">
        <f>IFERROR(__xludf.DUMMYFUNCTION("""COMPUTED_VALUE"""),"HM 445/KOTA KARANG RAYA")</f>
        <v>HM 445/KOTA KARANG RAYA</v>
      </c>
      <c r="D2012" s="13" t="str">
        <f>IFERROR(__xludf.DUMMYFUNCTION("""COMPUTED_VALUE"""),"L/6/230425/1")</f>
        <v>L/6/230425/1</v>
      </c>
      <c r="E2012" s="14" t="str">
        <f>IFERROR(__xludf.DUMMYFUNCTION("""COMPUTED_VALUE"""),"Afriza (BT)")</f>
        <v>Afriza (BT)</v>
      </c>
      <c r="F2012" s="14" t="str">
        <f>IFERROR(__xludf.DUMMYFUNCTION("""COMPUTED_VALUE"""),"SELESAI (VIA PERMOHONAN)")</f>
        <v>SELESAI (VIA PERMOHONAN)</v>
      </c>
      <c r="G2012" s="17">
        <f>IFERROR(__xludf.DUMMYFUNCTION("""COMPUTED_VALUE"""),45783.401962303236)</f>
        <v>45783.40196</v>
      </c>
      <c r="H2012" s="14" t="str">
        <f>IFERROR(__xludf.DUMMYFUNCTION("""COMPUTED_VALUE"""),"Bu Eva (SU)")</f>
        <v>Bu Eva (SU)</v>
      </c>
      <c r="I2012" s="13" t="str">
        <f>IFERROR(__xludf.DUMMYFUNCTION("""COMPUTED_VALUE"""),"SELESAI (VIA PERMOHONAN)")</f>
        <v>SELESAI (VIA PERMOHONAN)</v>
      </c>
      <c r="J2012" s="17">
        <f>IFERROR(__xludf.DUMMYFUNCTION("""COMPUTED_VALUE"""),45783.40199020834)</f>
        <v>45783.40199</v>
      </c>
      <c r="K2012" s="13" t="str">
        <f>IFERROR(__xludf.DUMMYFUNCTION("""COMPUTED_VALUE"""),"Selesai")</f>
        <v>Selesai</v>
      </c>
      <c r="L2012" s="17">
        <f>IFERROR(__xludf.DUMMYFUNCTION("""COMPUTED_VALUE"""),45783.40199020834)</f>
        <v>45783.40199</v>
      </c>
      <c r="M2012" s="13"/>
      <c r="N2012" s="13" t="str">
        <f>IFERROR(__xludf.DUMMYFUNCTION("""COMPUTED_VALUE"""),"")</f>
        <v/>
      </c>
      <c r="O2012" s="13" t="str">
        <f t="shared" si="1"/>
        <v/>
      </c>
    </row>
    <row r="2013" ht="22.5" customHeight="1">
      <c r="B2013" s="13">
        <f>IFERROR(__xludf.DUMMYFUNCTION("""COMPUTED_VALUE"""),2008.0)</f>
        <v>2008</v>
      </c>
      <c r="C2013" s="13" t="str">
        <f>IFERROR(__xludf.DUMMYFUNCTION("""COMPUTED_VALUE"""),"M.2636/SUMBER AGUNG")</f>
        <v>M.2636/SUMBER AGUNG</v>
      </c>
      <c r="D2013" s="13" t="str">
        <f>IFERROR(__xludf.DUMMYFUNCTION("""COMPUTED_VALUE"""),"K/18/230425/2")</f>
        <v>K/18/230425/2</v>
      </c>
      <c r="E2013" s="14" t="str">
        <f>IFERROR(__xludf.DUMMYFUNCTION("""COMPUTED_VALUE"""),"Nadian (BT)")</f>
        <v>Nadian (BT)</v>
      </c>
      <c r="F2013" s="14" t="str">
        <f>IFERROR(__xludf.DUMMYFUNCTION("""COMPUTED_VALUE"""),"SELESAI (VIA PERMOHONAN)")</f>
        <v>SELESAI (VIA PERMOHONAN)</v>
      </c>
      <c r="G2013" s="17">
        <f>IFERROR(__xludf.DUMMYFUNCTION("""COMPUTED_VALUE"""),45783.573354016204)</f>
        <v>45783.57335</v>
      </c>
      <c r="H2013" s="14" t="str">
        <f>IFERROR(__xludf.DUMMYFUNCTION("""COMPUTED_VALUE"""),"Bu Eva (SU)")</f>
        <v>Bu Eva (SU)</v>
      </c>
      <c r="I2013" s="13" t="str">
        <f>IFERROR(__xludf.DUMMYFUNCTION("""COMPUTED_VALUE"""),"SELESAI (VIA PERMOHONAN)")</f>
        <v>SELESAI (VIA PERMOHONAN)</v>
      </c>
      <c r="J2013" s="17">
        <f>IFERROR(__xludf.DUMMYFUNCTION("""COMPUTED_VALUE"""),45784.64379099537)</f>
        <v>45784.64379</v>
      </c>
      <c r="K2013" s="13" t="str">
        <f>IFERROR(__xludf.DUMMYFUNCTION("""COMPUTED_VALUE"""),"Selesai")</f>
        <v>Selesai</v>
      </c>
      <c r="L2013" s="17">
        <f>IFERROR(__xludf.DUMMYFUNCTION("""COMPUTED_VALUE"""),45784.64379099537)</f>
        <v>45784.64379</v>
      </c>
      <c r="M2013" s="13"/>
      <c r="N2013" s="13" t="str">
        <f>IFERROR(__xludf.DUMMYFUNCTION("""COMPUTED_VALUE"""),"")</f>
        <v/>
      </c>
      <c r="O2013" s="13" t="str">
        <f t="shared" si="1"/>
        <v/>
      </c>
    </row>
    <row r="2014" ht="22.5" customHeight="1">
      <c r="B2014" s="13">
        <f>IFERROR(__xludf.DUMMYFUNCTION("""COMPUTED_VALUE"""),2009.0)</f>
        <v>2009</v>
      </c>
      <c r="C2014" s="13" t="str">
        <f>IFERROR(__xludf.DUMMYFUNCTION("""COMPUTED_VALUE"""),"M.16799/SUKARAME")</f>
        <v>M.16799/SUKARAME</v>
      </c>
      <c r="D2014" s="13" t="str">
        <f>IFERROR(__xludf.DUMMYFUNCTION("""COMPUTED_VALUE"""),"K/34/210425/1")</f>
        <v>K/34/210425/1</v>
      </c>
      <c r="E2014" s="14" t="str">
        <f>IFERROR(__xludf.DUMMYFUNCTION("""COMPUTED_VALUE"""),"Nadian (BT)")</f>
        <v>Nadian (BT)</v>
      </c>
      <c r="F2014" s="14" t="str">
        <f>IFERROR(__xludf.DUMMYFUNCTION("""COMPUTED_VALUE"""),"SELESAI (VIA PERMOHONAN)")</f>
        <v>SELESAI (VIA PERMOHONAN)</v>
      </c>
      <c r="G2014" s="17">
        <f>IFERROR(__xludf.DUMMYFUNCTION("""COMPUTED_VALUE"""),45783.573431689816)</f>
        <v>45783.57343</v>
      </c>
      <c r="H2014" s="14" t="str">
        <f>IFERROR(__xludf.DUMMYFUNCTION("""COMPUTED_VALUE"""),"Bu Eva (SU)")</f>
        <v>Bu Eva (SU)</v>
      </c>
      <c r="I2014" s="13" t="str">
        <f>IFERROR(__xludf.DUMMYFUNCTION("""COMPUTED_VALUE"""),"SELESAI (VIA PERMOHONAN)")</f>
        <v>SELESAI (VIA PERMOHONAN)</v>
      </c>
      <c r="J2014" s="17">
        <f>IFERROR(__xludf.DUMMYFUNCTION("""COMPUTED_VALUE"""),45784.64379099537)</f>
        <v>45784.64379</v>
      </c>
      <c r="K2014" s="13" t="str">
        <f>IFERROR(__xludf.DUMMYFUNCTION("""COMPUTED_VALUE"""),"Selesai")</f>
        <v>Selesai</v>
      </c>
      <c r="L2014" s="17">
        <f>IFERROR(__xludf.DUMMYFUNCTION("""COMPUTED_VALUE"""),45784.64379099537)</f>
        <v>45784.64379</v>
      </c>
      <c r="M2014" s="13"/>
      <c r="N2014" s="13" t="str">
        <f>IFERROR(__xludf.DUMMYFUNCTION("""COMPUTED_VALUE"""),"")</f>
        <v/>
      </c>
      <c r="O2014" s="13" t="str">
        <f t="shared" si="1"/>
        <v/>
      </c>
    </row>
    <row r="2015" ht="22.5" customHeight="1">
      <c r="B2015" s="13">
        <f>IFERROR(__xludf.DUMMYFUNCTION("""COMPUTED_VALUE"""),2010.0)</f>
        <v>2010</v>
      </c>
      <c r="C2015" s="13" t="str">
        <f>IFERROR(__xludf.DUMMYFUNCTION("""COMPUTED_VALUE"""),"M.3655/WAY KANDIS ")</f>
        <v>M.3655/WAY KANDIS </v>
      </c>
      <c r="D2015" s="13" t="str">
        <f>IFERROR(__xludf.DUMMYFUNCTION("""COMPUTED_VALUE"""),"K/18/280425/2")</f>
        <v>K/18/280425/2</v>
      </c>
      <c r="E2015" s="14" t="str">
        <f>IFERROR(__xludf.DUMMYFUNCTION("""COMPUTED_VALUE"""),"Nadian (BT)")</f>
        <v>Nadian (BT)</v>
      </c>
      <c r="F2015" s="14" t="str">
        <f>IFERROR(__xludf.DUMMYFUNCTION("""COMPUTED_VALUE"""),"SELESAI (VIA PERMOHONAN)")</f>
        <v>SELESAI (VIA PERMOHONAN)</v>
      </c>
      <c r="G2015" s="17">
        <f>IFERROR(__xludf.DUMMYFUNCTION("""COMPUTED_VALUE"""),45783.573431689816)</f>
        <v>45783.57343</v>
      </c>
      <c r="H2015" s="14" t="str">
        <f>IFERROR(__xludf.DUMMYFUNCTION("""COMPUTED_VALUE"""),"Bu Eva (SU)")</f>
        <v>Bu Eva (SU)</v>
      </c>
      <c r="I2015" s="13" t="str">
        <f>IFERROR(__xludf.DUMMYFUNCTION("""COMPUTED_VALUE"""),"SELESAI (VIA PERMOHONAN)")</f>
        <v>SELESAI (VIA PERMOHONAN)</v>
      </c>
      <c r="J2015" s="17">
        <f>IFERROR(__xludf.DUMMYFUNCTION("""COMPUTED_VALUE"""),45784.64379099537)</f>
        <v>45784.64379</v>
      </c>
      <c r="K2015" s="13" t="str">
        <f>IFERROR(__xludf.DUMMYFUNCTION("""COMPUTED_VALUE"""),"Selesai")</f>
        <v>Selesai</v>
      </c>
      <c r="L2015" s="17">
        <f>IFERROR(__xludf.DUMMYFUNCTION("""COMPUTED_VALUE"""),45784.64379099537)</f>
        <v>45784.64379</v>
      </c>
      <c r="M2015" s="13"/>
      <c r="N2015" s="13" t="str">
        <f>IFERROR(__xludf.DUMMYFUNCTION("""COMPUTED_VALUE"""),"")</f>
        <v/>
      </c>
      <c r="O2015" s="13" t="str">
        <f t="shared" si="1"/>
        <v/>
      </c>
    </row>
    <row r="2016" ht="22.5" customHeight="1">
      <c r="B2016" s="13">
        <f>IFERROR(__xludf.DUMMYFUNCTION("""COMPUTED_VALUE"""),2011.0)</f>
        <v>2011</v>
      </c>
      <c r="C2016" s="13" t="str">
        <f>IFERROR(__xludf.DUMMYFUNCTION("""COMPUTED_VALUE"""),"M.5516/TANJUNG SENENG")</f>
        <v>M.5516/TANJUNG SENENG</v>
      </c>
      <c r="D2016" s="13" t="str">
        <f>IFERROR(__xludf.DUMMYFUNCTION("""COMPUTED_VALUE"""),"K/28/280425/3")</f>
        <v>K/28/280425/3</v>
      </c>
      <c r="E2016" s="14" t="str">
        <f>IFERROR(__xludf.DUMMYFUNCTION("""COMPUTED_VALUE"""),"Nadian (BT)")</f>
        <v>Nadian (BT)</v>
      </c>
      <c r="F2016" s="14" t="str">
        <f>IFERROR(__xludf.DUMMYFUNCTION("""COMPUTED_VALUE"""),"SELESAI (VIA PERMOHONAN)")</f>
        <v>SELESAI (VIA PERMOHONAN)</v>
      </c>
      <c r="G2016" s="17">
        <f>IFERROR(__xludf.DUMMYFUNCTION("""COMPUTED_VALUE"""),45783.573431689816)</f>
        <v>45783.57343</v>
      </c>
      <c r="H2016" s="14" t="str">
        <f>IFERROR(__xludf.DUMMYFUNCTION("""COMPUTED_VALUE"""),"Bu Eva (SU)")</f>
        <v>Bu Eva (SU)</v>
      </c>
      <c r="I2016" s="13" t="str">
        <f>IFERROR(__xludf.DUMMYFUNCTION("""COMPUTED_VALUE"""),"SELESAI (VIA PERMOHONAN)")</f>
        <v>SELESAI (VIA PERMOHONAN)</v>
      </c>
      <c r="J2016" s="17">
        <f>IFERROR(__xludf.DUMMYFUNCTION("""COMPUTED_VALUE"""),45784.64379099537)</f>
        <v>45784.64379</v>
      </c>
      <c r="K2016" s="13" t="str">
        <f>IFERROR(__xludf.DUMMYFUNCTION("""COMPUTED_VALUE"""),"Selesai")</f>
        <v>Selesai</v>
      </c>
      <c r="L2016" s="17">
        <f>IFERROR(__xludf.DUMMYFUNCTION("""COMPUTED_VALUE"""),45784.64379099537)</f>
        <v>45784.64379</v>
      </c>
      <c r="M2016" s="13"/>
      <c r="N2016" s="13" t="str">
        <f>IFERROR(__xludf.DUMMYFUNCTION("""COMPUTED_VALUE"""),"")</f>
        <v/>
      </c>
      <c r="O2016" s="13" t="str">
        <f t="shared" si="1"/>
        <v/>
      </c>
    </row>
    <row r="2017" ht="22.5" customHeight="1">
      <c r="B2017" s="13">
        <f>IFERROR(__xludf.DUMMYFUNCTION("""COMPUTED_VALUE"""),2012.0)</f>
        <v>2012</v>
      </c>
      <c r="C2017" s="13" t="str">
        <f>IFERROR(__xludf.DUMMYFUNCTION("""COMPUTED_VALUE"""),"M.2368/SUMBER AGUNG")</f>
        <v>M.2368/SUMBER AGUNG</v>
      </c>
      <c r="D2017" s="13" t="str">
        <f>IFERROR(__xludf.DUMMYFUNCTION("""COMPUTED_VALUE"""),"K/29/280425/4")</f>
        <v>K/29/280425/4</v>
      </c>
      <c r="E2017" s="14" t="str">
        <f>IFERROR(__xludf.DUMMYFUNCTION("""COMPUTED_VALUE"""),"Nadian (BT)")</f>
        <v>Nadian (BT)</v>
      </c>
      <c r="F2017" s="14" t="str">
        <f>IFERROR(__xludf.DUMMYFUNCTION("""COMPUTED_VALUE"""),"SELESAI (VIA PERMOHONAN)")</f>
        <v>SELESAI (VIA PERMOHONAN)</v>
      </c>
      <c r="G2017" s="17">
        <f>IFERROR(__xludf.DUMMYFUNCTION("""COMPUTED_VALUE"""),45783.573431689816)</f>
        <v>45783.57343</v>
      </c>
      <c r="H2017" s="14" t="str">
        <f>IFERROR(__xludf.DUMMYFUNCTION("""COMPUTED_VALUE"""),"Bu Eva (SU)")</f>
        <v>Bu Eva (SU)</v>
      </c>
      <c r="I2017" s="13" t="str">
        <f>IFERROR(__xludf.DUMMYFUNCTION("""COMPUTED_VALUE"""),"SELESAI (VIA PERMOHONAN)")</f>
        <v>SELESAI (VIA PERMOHONAN)</v>
      </c>
      <c r="J2017" s="17">
        <f>IFERROR(__xludf.DUMMYFUNCTION("""COMPUTED_VALUE"""),45784.64379099537)</f>
        <v>45784.64379</v>
      </c>
      <c r="K2017" s="13" t="str">
        <f>IFERROR(__xludf.DUMMYFUNCTION("""COMPUTED_VALUE"""),"Selesai")</f>
        <v>Selesai</v>
      </c>
      <c r="L2017" s="17">
        <f>IFERROR(__xludf.DUMMYFUNCTION("""COMPUTED_VALUE"""),45784.64379099537)</f>
        <v>45784.64379</v>
      </c>
      <c r="M2017" s="13"/>
      <c r="N2017" s="13" t="str">
        <f>IFERROR(__xludf.DUMMYFUNCTION("""COMPUTED_VALUE"""),"")</f>
        <v/>
      </c>
      <c r="O2017" s="13" t="str">
        <f t="shared" si="1"/>
        <v/>
      </c>
    </row>
    <row r="2018" ht="22.5" customHeight="1">
      <c r="B2018" s="13">
        <f>IFERROR(__xludf.DUMMYFUNCTION("""COMPUTED_VALUE"""),2013.0)</f>
        <v>2013</v>
      </c>
      <c r="C2018" s="13" t="str">
        <f>IFERROR(__xludf.DUMMYFUNCTION("""COMPUTED_VALUE"""),"M.1155/PERUMNAS WAY KANDIS")</f>
        <v>M.1155/PERUMNAS WAY KANDIS</v>
      </c>
      <c r="D2018" s="13" t="str">
        <f>IFERROR(__xludf.DUMMYFUNCTION("""COMPUTED_VALUE"""),"K/14/280425/1")</f>
        <v>K/14/280425/1</v>
      </c>
      <c r="E2018" s="14" t="str">
        <f>IFERROR(__xludf.DUMMYFUNCTION("""COMPUTED_VALUE"""),"Nadian (BT)")</f>
        <v>Nadian (BT)</v>
      </c>
      <c r="F2018" s="14" t="str">
        <f>IFERROR(__xludf.DUMMYFUNCTION("""COMPUTED_VALUE"""),"SELESAI (VIA PERMOHONAN)")</f>
        <v>SELESAI (VIA PERMOHONAN)</v>
      </c>
      <c r="G2018" s="17">
        <f>IFERROR(__xludf.DUMMYFUNCTION("""COMPUTED_VALUE"""),45783.573431689816)</f>
        <v>45783.57343</v>
      </c>
      <c r="H2018" s="14" t="str">
        <f>IFERROR(__xludf.DUMMYFUNCTION("""COMPUTED_VALUE"""),"Bu Eva (SU)")</f>
        <v>Bu Eva (SU)</v>
      </c>
      <c r="I2018" s="13" t="str">
        <f>IFERROR(__xludf.DUMMYFUNCTION("""COMPUTED_VALUE"""),"SELESAI (VIA PERMOHONAN)")</f>
        <v>SELESAI (VIA PERMOHONAN)</v>
      </c>
      <c r="J2018" s="17">
        <f>IFERROR(__xludf.DUMMYFUNCTION("""COMPUTED_VALUE"""),45784.64379099537)</f>
        <v>45784.64379</v>
      </c>
      <c r="K2018" s="13" t="str">
        <f>IFERROR(__xludf.DUMMYFUNCTION("""COMPUTED_VALUE"""),"Selesai")</f>
        <v>Selesai</v>
      </c>
      <c r="L2018" s="17">
        <f>IFERROR(__xludf.DUMMYFUNCTION("""COMPUTED_VALUE"""),45784.64379099537)</f>
        <v>45784.64379</v>
      </c>
      <c r="M2018" s="13"/>
      <c r="N2018" s="13" t="str">
        <f>IFERROR(__xludf.DUMMYFUNCTION("""COMPUTED_VALUE"""),"")</f>
        <v/>
      </c>
      <c r="O2018" s="13" t="str">
        <f t="shared" si="1"/>
        <v/>
      </c>
    </row>
    <row r="2019" ht="22.5" customHeight="1">
      <c r="B2019" s="13">
        <f>IFERROR(__xludf.DUMMYFUNCTION("""COMPUTED_VALUE"""),2014.0)</f>
        <v>2014</v>
      </c>
      <c r="C2019" s="13" t="str">
        <f>IFERROR(__xludf.DUMMYFUNCTION("""COMPUTED_VALUE"""),"M.939/PERUMNAS WAY HALIM")</f>
        <v>M.939/PERUMNAS WAY HALIM</v>
      </c>
      <c r="D2019" s="13" t="str">
        <f>IFERROR(__xludf.DUMMYFUNCTION("""COMPUTED_VALUE"""),"K/29/250425/1")</f>
        <v>K/29/250425/1</v>
      </c>
      <c r="E2019" s="14" t="str">
        <f>IFERROR(__xludf.DUMMYFUNCTION("""COMPUTED_VALUE"""),"Nadian (BT)")</f>
        <v>Nadian (BT)</v>
      </c>
      <c r="F2019" s="14" t="str">
        <f>IFERROR(__xludf.DUMMYFUNCTION("""COMPUTED_VALUE"""),"SELESAI (VIA PERMOHONAN)")</f>
        <v>SELESAI (VIA PERMOHONAN)</v>
      </c>
      <c r="G2019" s="17">
        <f>IFERROR(__xludf.DUMMYFUNCTION("""COMPUTED_VALUE"""),45783.573431689816)</f>
        <v>45783.57343</v>
      </c>
      <c r="H2019" s="14" t="str">
        <f>IFERROR(__xludf.DUMMYFUNCTION("""COMPUTED_VALUE"""),"Bu Eva (SU)")</f>
        <v>Bu Eva (SU)</v>
      </c>
      <c r="I2019" s="13" t="str">
        <f>IFERROR(__xludf.DUMMYFUNCTION("""COMPUTED_VALUE"""),"SELESAI (VIA PERMOHONAN)")</f>
        <v>SELESAI (VIA PERMOHONAN)</v>
      </c>
      <c r="J2019" s="17">
        <f>IFERROR(__xludf.DUMMYFUNCTION("""COMPUTED_VALUE"""),45784.64379099537)</f>
        <v>45784.64379</v>
      </c>
      <c r="K2019" s="13" t="str">
        <f>IFERROR(__xludf.DUMMYFUNCTION("""COMPUTED_VALUE"""),"Selesai")</f>
        <v>Selesai</v>
      </c>
      <c r="L2019" s="17">
        <f>IFERROR(__xludf.DUMMYFUNCTION("""COMPUTED_VALUE"""),45784.64379099537)</f>
        <v>45784.64379</v>
      </c>
      <c r="M2019" s="13"/>
      <c r="N2019" s="13" t="str">
        <f>IFERROR(__xludf.DUMMYFUNCTION("""COMPUTED_VALUE"""),"")</f>
        <v/>
      </c>
      <c r="O2019" s="13" t="str">
        <f t="shared" si="1"/>
        <v/>
      </c>
    </row>
    <row r="2020" ht="22.5" customHeight="1">
      <c r="B2020" s="13">
        <f>IFERROR(__xludf.DUMMYFUNCTION("""COMPUTED_VALUE"""),2015.0)</f>
        <v>2015</v>
      </c>
      <c r="C2020" s="13" t="str">
        <f>IFERROR(__xludf.DUMMYFUNCTION("""COMPUTED_VALUE"""),"B. 1494/KEMILING PERMAI")</f>
        <v>B. 1494/KEMILING PERMAI</v>
      </c>
      <c r="D2020" s="13" t="str">
        <f>IFERROR(__xludf.DUMMYFUNCTION("""COMPUTED_VALUE"""),"K/28/150425/1")</f>
        <v>K/28/150425/1</v>
      </c>
      <c r="E2020" s="14" t="str">
        <f>IFERROR(__xludf.DUMMYFUNCTION("""COMPUTED_VALUE"""),"Nadian (BT)")</f>
        <v>Nadian (BT)</v>
      </c>
      <c r="F2020" s="14" t="str">
        <f>IFERROR(__xludf.DUMMYFUNCTION("""COMPUTED_VALUE"""),"SELESAI (VIA PERMOHONAN)")</f>
        <v>SELESAI (VIA PERMOHONAN)</v>
      </c>
      <c r="G2020" s="17">
        <f>IFERROR(__xludf.DUMMYFUNCTION("""COMPUTED_VALUE"""),45783.573431689816)</f>
        <v>45783.57343</v>
      </c>
      <c r="H2020" s="14" t="str">
        <f>IFERROR(__xludf.DUMMYFUNCTION("""COMPUTED_VALUE"""),"Bu Eva (SU)")</f>
        <v>Bu Eva (SU)</v>
      </c>
      <c r="I2020" s="13" t="str">
        <f>IFERROR(__xludf.DUMMYFUNCTION("""COMPUTED_VALUE"""),"SELESAI (VIA PERMOHONAN)")</f>
        <v>SELESAI (VIA PERMOHONAN)</v>
      </c>
      <c r="J2020" s="17">
        <f>IFERROR(__xludf.DUMMYFUNCTION("""COMPUTED_VALUE"""),45784.64379099537)</f>
        <v>45784.64379</v>
      </c>
      <c r="K2020" s="13" t="str">
        <f>IFERROR(__xludf.DUMMYFUNCTION("""COMPUTED_VALUE"""),"Selesai")</f>
        <v>Selesai</v>
      </c>
      <c r="L2020" s="17">
        <f>IFERROR(__xludf.DUMMYFUNCTION("""COMPUTED_VALUE"""),45784.64379099537)</f>
        <v>45784.64379</v>
      </c>
      <c r="M2020" s="13"/>
      <c r="N2020" s="13" t="str">
        <f>IFERROR(__xludf.DUMMYFUNCTION("""COMPUTED_VALUE"""),"")</f>
        <v/>
      </c>
      <c r="O2020" s="13" t="str">
        <f t="shared" si="1"/>
        <v/>
      </c>
    </row>
    <row r="2021" ht="22.5" customHeight="1">
      <c r="B2021" s="13">
        <f>IFERROR(__xludf.DUMMYFUNCTION("""COMPUTED_VALUE"""),2016.0)</f>
        <v>2016</v>
      </c>
      <c r="C2021" s="13" t="str">
        <f>IFERROR(__xludf.DUMMYFUNCTION("""COMPUTED_VALUE"""),"M. 1805/RAJABASA RAYA")</f>
        <v>M. 1805/RAJABASA RAYA</v>
      </c>
      <c r="D2021" s="13" t="str">
        <f>IFERROR(__xludf.DUMMYFUNCTION("""COMPUTED_VALUE"""),"K/47/290425/1")</f>
        <v>K/47/290425/1</v>
      </c>
      <c r="E2021" s="14" t="str">
        <f>IFERROR(__xludf.DUMMYFUNCTION("""COMPUTED_VALUE"""),"Nadian (BT)")</f>
        <v>Nadian (BT)</v>
      </c>
      <c r="F2021" s="14" t="str">
        <f>IFERROR(__xludf.DUMMYFUNCTION("""COMPUTED_VALUE"""),"SELESAI (VIA PERMOHONAN)")</f>
        <v>SELESAI (VIA PERMOHONAN)</v>
      </c>
      <c r="G2021" s="17">
        <f>IFERROR(__xludf.DUMMYFUNCTION("""COMPUTED_VALUE"""),45783.573431689816)</f>
        <v>45783.57343</v>
      </c>
      <c r="H2021" s="14" t="str">
        <f>IFERROR(__xludf.DUMMYFUNCTION("""COMPUTED_VALUE"""),"Bu Eva (SU)")</f>
        <v>Bu Eva (SU)</v>
      </c>
      <c r="I2021" s="13" t="str">
        <f>IFERROR(__xludf.DUMMYFUNCTION("""COMPUTED_VALUE"""),"SELESAI (VIA PERMOHONAN)")</f>
        <v>SELESAI (VIA PERMOHONAN)</v>
      </c>
      <c r="J2021" s="17">
        <f>IFERROR(__xludf.DUMMYFUNCTION("""COMPUTED_VALUE"""),45784.64379099537)</f>
        <v>45784.64379</v>
      </c>
      <c r="K2021" s="13" t="str">
        <f>IFERROR(__xludf.DUMMYFUNCTION("""COMPUTED_VALUE"""),"Selesai")</f>
        <v>Selesai</v>
      </c>
      <c r="L2021" s="17">
        <f>IFERROR(__xludf.DUMMYFUNCTION("""COMPUTED_VALUE"""),45784.64379099537)</f>
        <v>45784.64379</v>
      </c>
      <c r="M2021" s="13"/>
      <c r="N2021" s="13" t="str">
        <f>IFERROR(__xludf.DUMMYFUNCTION("""COMPUTED_VALUE"""),"")</f>
        <v/>
      </c>
      <c r="O2021" s="13" t="str">
        <f t="shared" si="1"/>
        <v/>
      </c>
    </row>
    <row r="2022" ht="22.5" customHeight="1">
      <c r="B2022" s="13">
        <f>IFERROR(__xludf.DUMMYFUNCTION("""COMPUTED_VALUE"""),2017.0)</f>
        <v>2017</v>
      </c>
      <c r="C2022" s="13" t="str">
        <f>IFERROR(__xludf.DUMMYFUNCTION("""COMPUTED_VALUE"""),"B. 3713/SUKABUMI")</f>
        <v>B. 3713/SUKABUMI</v>
      </c>
      <c r="D2022" s="13" t="str">
        <f>IFERROR(__xludf.DUMMYFUNCTION("""COMPUTED_VALUE"""),"K/15/230425/1")</f>
        <v>K/15/230425/1</v>
      </c>
      <c r="E2022" s="14" t="str">
        <f>IFERROR(__xludf.DUMMYFUNCTION("""COMPUTED_VALUE"""),"Nadian (BT)")</f>
        <v>Nadian (BT)</v>
      </c>
      <c r="F2022" s="14" t="str">
        <f>IFERROR(__xludf.DUMMYFUNCTION("""COMPUTED_VALUE"""),"SELESAI (VIA PERMOHONAN)")</f>
        <v>SELESAI (VIA PERMOHONAN)</v>
      </c>
      <c r="G2022" s="17">
        <f>IFERROR(__xludf.DUMMYFUNCTION("""COMPUTED_VALUE"""),45783.573431689816)</f>
        <v>45783.57343</v>
      </c>
      <c r="H2022" s="14" t="str">
        <f>IFERROR(__xludf.DUMMYFUNCTION("""COMPUTED_VALUE"""),"Bu Eva (SU)")</f>
        <v>Bu Eva (SU)</v>
      </c>
      <c r="I2022" s="13" t="str">
        <f>IFERROR(__xludf.DUMMYFUNCTION("""COMPUTED_VALUE"""),"SELESAI (VIA PERMOHONAN)")</f>
        <v>SELESAI (VIA PERMOHONAN)</v>
      </c>
      <c r="J2022" s="17">
        <f>IFERROR(__xludf.DUMMYFUNCTION("""COMPUTED_VALUE"""),45784.64379099537)</f>
        <v>45784.64379</v>
      </c>
      <c r="K2022" s="13" t="str">
        <f>IFERROR(__xludf.DUMMYFUNCTION("""COMPUTED_VALUE"""),"Selesai")</f>
        <v>Selesai</v>
      </c>
      <c r="L2022" s="17">
        <f>IFERROR(__xludf.DUMMYFUNCTION("""COMPUTED_VALUE"""),45784.64379099537)</f>
        <v>45784.64379</v>
      </c>
      <c r="M2022" s="13"/>
      <c r="N2022" s="13" t="str">
        <f>IFERROR(__xludf.DUMMYFUNCTION("""COMPUTED_VALUE"""),"")</f>
        <v/>
      </c>
      <c r="O2022" s="13" t="str">
        <f t="shared" si="1"/>
        <v/>
      </c>
    </row>
    <row r="2023" ht="22.5" customHeight="1">
      <c r="B2023" s="13">
        <f>IFERROR(__xludf.DUMMYFUNCTION("""COMPUTED_VALUE"""),2018.0)</f>
        <v>2018</v>
      </c>
      <c r="C2023" s="13" t="str">
        <f>IFERROR(__xludf.DUMMYFUNCTION("""COMPUTED_VALUE"""),"M.1484/BUMI KEDAMAIAN")</f>
        <v>M.1484/BUMI KEDAMAIAN</v>
      </c>
      <c r="D2023" s="13" t="str">
        <f>IFERROR(__xludf.DUMMYFUNCTION("""COMPUTED_VALUE"""),"K/31/240425/4")</f>
        <v>K/31/240425/4</v>
      </c>
      <c r="E2023" s="14" t="str">
        <f>IFERROR(__xludf.DUMMYFUNCTION("""COMPUTED_VALUE"""),"Nadian (BT)")</f>
        <v>Nadian (BT)</v>
      </c>
      <c r="F2023" s="14" t="str">
        <f>IFERROR(__xludf.DUMMYFUNCTION("""COMPUTED_VALUE"""),"SELESAI (VIA PERMOHONAN)")</f>
        <v>SELESAI (VIA PERMOHONAN)</v>
      </c>
      <c r="G2023" s="17">
        <f>IFERROR(__xludf.DUMMYFUNCTION("""COMPUTED_VALUE"""),45783.573431689816)</f>
        <v>45783.57343</v>
      </c>
      <c r="H2023" s="14" t="str">
        <f>IFERROR(__xludf.DUMMYFUNCTION("""COMPUTED_VALUE"""),"Bu Eva (SU)")</f>
        <v>Bu Eva (SU)</v>
      </c>
      <c r="I2023" s="13" t="str">
        <f>IFERROR(__xludf.DUMMYFUNCTION("""COMPUTED_VALUE"""),"SELESAI (VIA PERMOHONAN)")</f>
        <v>SELESAI (VIA PERMOHONAN)</v>
      </c>
      <c r="J2023" s="17">
        <f>IFERROR(__xludf.DUMMYFUNCTION("""COMPUTED_VALUE"""),45784.64379099537)</f>
        <v>45784.64379</v>
      </c>
      <c r="K2023" s="13" t="str">
        <f>IFERROR(__xludf.DUMMYFUNCTION("""COMPUTED_VALUE"""),"Selesai")</f>
        <v>Selesai</v>
      </c>
      <c r="L2023" s="17">
        <f>IFERROR(__xludf.DUMMYFUNCTION("""COMPUTED_VALUE"""),45784.64379099537)</f>
        <v>45784.64379</v>
      </c>
      <c r="M2023" s="13"/>
      <c r="N2023" s="13" t="str">
        <f>IFERROR(__xludf.DUMMYFUNCTION("""COMPUTED_VALUE"""),"")</f>
        <v/>
      </c>
      <c r="O2023" s="13" t="str">
        <f t="shared" si="1"/>
        <v/>
      </c>
    </row>
    <row r="2024" ht="22.5" customHeight="1">
      <c r="B2024" s="13">
        <f>IFERROR(__xludf.DUMMYFUNCTION("""COMPUTED_VALUE"""),2019.0)</f>
        <v>2019</v>
      </c>
      <c r="C2024" s="13" t="str">
        <f>IFERROR(__xludf.DUMMYFUNCTION("""COMPUTED_VALUE"""),"M. 1960/WAY HALIM PERMAI")</f>
        <v>M. 1960/WAY HALIM PERMAI</v>
      </c>
      <c r="D2024" s="13" t="str">
        <f>IFERROR(__xludf.DUMMYFUNCTION("""COMPUTED_VALUE"""),"K/13/100425/3")</f>
        <v>K/13/100425/3</v>
      </c>
      <c r="E2024" s="14" t="str">
        <f>IFERROR(__xludf.DUMMYFUNCTION("""COMPUTED_VALUE"""),"Nadian (BT)")</f>
        <v>Nadian (BT)</v>
      </c>
      <c r="F2024" s="14" t="str">
        <f>IFERROR(__xludf.DUMMYFUNCTION("""COMPUTED_VALUE"""),"SELESAI (VIA PERMOHONAN)")</f>
        <v>SELESAI (VIA PERMOHONAN)</v>
      </c>
      <c r="G2024" s="17">
        <f>IFERROR(__xludf.DUMMYFUNCTION("""COMPUTED_VALUE"""),45783.573431689816)</f>
        <v>45783.57343</v>
      </c>
      <c r="H2024" s="14" t="str">
        <f>IFERROR(__xludf.DUMMYFUNCTION("""COMPUTED_VALUE"""),"Bu Eva (SU)")</f>
        <v>Bu Eva (SU)</v>
      </c>
      <c r="I2024" s="13" t="str">
        <f>IFERROR(__xludf.DUMMYFUNCTION("""COMPUTED_VALUE"""),"SELESAI (VIA PERMOHONAN)")</f>
        <v>SELESAI (VIA PERMOHONAN)</v>
      </c>
      <c r="J2024" s="17">
        <f>IFERROR(__xludf.DUMMYFUNCTION("""COMPUTED_VALUE"""),45784.64379099537)</f>
        <v>45784.64379</v>
      </c>
      <c r="K2024" s="13" t="str">
        <f>IFERROR(__xludf.DUMMYFUNCTION("""COMPUTED_VALUE"""),"Selesai")</f>
        <v>Selesai</v>
      </c>
      <c r="L2024" s="17">
        <f>IFERROR(__xludf.DUMMYFUNCTION("""COMPUTED_VALUE"""),45784.64379099537)</f>
        <v>45784.64379</v>
      </c>
      <c r="M2024" s="13"/>
      <c r="N2024" s="13" t="str">
        <f>IFERROR(__xludf.DUMMYFUNCTION("""COMPUTED_VALUE"""),"")</f>
        <v/>
      </c>
      <c r="O2024" s="13" t="str">
        <f t="shared" si="1"/>
        <v/>
      </c>
    </row>
    <row r="2025" ht="22.5" customHeight="1">
      <c r="B2025" s="13">
        <f>IFERROR(__xludf.DUMMYFUNCTION("""COMPUTED_VALUE"""),2020.0)</f>
        <v>2020</v>
      </c>
      <c r="C2025" s="13" t="str">
        <f>IFERROR(__xludf.DUMMYFUNCTION("""COMPUTED_VALUE"""),"M. 2643/SUMBER AGUNG")</f>
        <v>M. 2643/SUMBER AGUNG</v>
      </c>
      <c r="D2025" s="13" t="str">
        <f>IFERROR(__xludf.DUMMYFUNCTION("""COMPUTED_VALUE"""),"K/21/090425/1")</f>
        <v>K/21/090425/1</v>
      </c>
      <c r="E2025" s="14" t="str">
        <f>IFERROR(__xludf.DUMMYFUNCTION("""COMPUTED_VALUE"""),"Nadian (BT)")</f>
        <v>Nadian (BT)</v>
      </c>
      <c r="F2025" s="14" t="str">
        <f>IFERROR(__xludf.DUMMYFUNCTION("""COMPUTED_VALUE"""),"SELESAI (VIA PERMOHONAN)")</f>
        <v>SELESAI (VIA PERMOHONAN)</v>
      </c>
      <c r="G2025" s="17">
        <f>IFERROR(__xludf.DUMMYFUNCTION("""COMPUTED_VALUE"""),45783.573431689816)</f>
        <v>45783.57343</v>
      </c>
      <c r="H2025" s="14" t="str">
        <f>IFERROR(__xludf.DUMMYFUNCTION("""COMPUTED_VALUE"""),"Bu Eva (SU)")</f>
        <v>Bu Eva (SU)</v>
      </c>
      <c r="I2025" s="13" t="str">
        <f>IFERROR(__xludf.DUMMYFUNCTION("""COMPUTED_VALUE"""),"SELESAI (VIA PERMOHONAN)")</f>
        <v>SELESAI (VIA PERMOHONAN)</v>
      </c>
      <c r="J2025" s="17">
        <f>IFERROR(__xludf.DUMMYFUNCTION("""COMPUTED_VALUE"""),45784.64379099537)</f>
        <v>45784.64379</v>
      </c>
      <c r="K2025" s="13" t="str">
        <f>IFERROR(__xludf.DUMMYFUNCTION("""COMPUTED_VALUE"""),"Selesai")</f>
        <v>Selesai</v>
      </c>
      <c r="L2025" s="17">
        <f>IFERROR(__xludf.DUMMYFUNCTION("""COMPUTED_VALUE"""),45784.64379099537)</f>
        <v>45784.64379</v>
      </c>
      <c r="M2025" s="13"/>
      <c r="N2025" s="13" t="str">
        <f>IFERROR(__xludf.DUMMYFUNCTION("""COMPUTED_VALUE"""),"")</f>
        <v/>
      </c>
      <c r="O2025" s="13" t="str">
        <f t="shared" si="1"/>
        <v/>
      </c>
    </row>
    <row r="2026" ht="22.5" customHeight="1">
      <c r="B2026" s="13">
        <f>IFERROR(__xludf.DUMMYFUNCTION("""COMPUTED_VALUE"""),2021.0)</f>
        <v>2021</v>
      </c>
      <c r="C2026" s="13" t="str">
        <f>IFERROR(__xludf.DUMMYFUNCTION("""COMPUTED_VALUE"""),"M. 3171/GEDONG AIR")</f>
        <v>M. 3171/GEDONG AIR</v>
      </c>
      <c r="D2026" s="13" t="str">
        <f>IFERROR(__xludf.DUMMYFUNCTION("""COMPUTED_VALUE"""),"K/20/280425/2")</f>
        <v>K/20/280425/2</v>
      </c>
      <c r="E2026" s="14" t="str">
        <f>IFERROR(__xludf.DUMMYFUNCTION("""COMPUTED_VALUE"""),"Nadian (BT)")</f>
        <v>Nadian (BT)</v>
      </c>
      <c r="F2026" s="14" t="str">
        <f>IFERROR(__xludf.DUMMYFUNCTION("""COMPUTED_VALUE"""),"SELESAI (VIA PERMOHONAN)")</f>
        <v>SELESAI (VIA PERMOHONAN)</v>
      </c>
      <c r="G2026" s="17">
        <f>IFERROR(__xludf.DUMMYFUNCTION("""COMPUTED_VALUE"""),45783.573431689816)</f>
        <v>45783.57343</v>
      </c>
      <c r="H2026" s="14" t="str">
        <f>IFERROR(__xludf.DUMMYFUNCTION("""COMPUTED_VALUE"""),"Bu Eva (SU)")</f>
        <v>Bu Eva (SU)</v>
      </c>
      <c r="I2026" s="13" t="str">
        <f>IFERROR(__xludf.DUMMYFUNCTION("""COMPUTED_VALUE"""),"SELESAI (VIA PERMOHONAN)")</f>
        <v>SELESAI (VIA PERMOHONAN)</v>
      </c>
      <c r="J2026" s="17">
        <f>IFERROR(__xludf.DUMMYFUNCTION("""COMPUTED_VALUE"""),45784.64379099537)</f>
        <v>45784.64379</v>
      </c>
      <c r="K2026" s="13" t="str">
        <f>IFERROR(__xludf.DUMMYFUNCTION("""COMPUTED_VALUE"""),"Selesai")</f>
        <v>Selesai</v>
      </c>
      <c r="L2026" s="17">
        <f>IFERROR(__xludf.DUMMYFUNCTION("""COMPUTED_VALUE"""),45784.64379099537)</f>
        <v>45784.64379</v>
      </c>
      <c r="M2026" s="13"/>
      <c r="N2026" s="13" t="str">
        <f>IFERROR(__xludf.DUMMYFUNCTION("""COMPUTED_VALUE"""),"")</f>
        <v/>
      </c>
      <c r="O2026" s="13" t="str">
        <f t="shared" si="1"/>
        <v/>
      </c>
    </row>
    <row r="2027" ht="22.5" customHeight="1">
      <c r="B2027" s="13">
        <f>IFERROR(__xludf.DUMMYFUNCTION("""COMPUTED_VALUE"""),2022.0)</f>
        <v>2022</v>
      </c>
      <c r="C2027" s="13" t="str">
        <f>IFERROR(__xludf.DUMMYFUNCTION("""COMPUTED_VALUE"""),"M. 2161/WAY HALIM PERMAI")</f>
        <v>M. 2161/WAY HALIM PERMAI</v>
      </c>
      <c r="D2027" s="13" t="str">
        <f>IFERROR(__xludf.DUMMYFUNCTION("""COMPUTED_VALUE"""),"K/27/280425/2")</f>
        <v>K/27/280425/2</v>
      </c>
      <c r="E2027" s="14" t="str">
        <f>IFERROR(__xludf.DUMMYFUNCTION("""COMPUTED_VALUE"""),"Nadian (BT)")</f>
        <v>Nadian (BT)</v>
      </c>
      <c r="F2027" s="14" t="str">
        <f>IFERROR(__xludf.DUMMYFUNCTION("""COMPUTED_VALUE"""),"SELESAI (VIA PERMOHONAN)")</f>
        <v>SELESAI (VIA PERMOHONAN)</v>
      </c>
      <c r="G2027" s="17">
        <f>IFERROR(__xludf.DUMMYFUNCTION("""COMPUTED_VALUE"""),45783.573431689816)</f>
        <v>45783.57343</v>
      </c>
      <c r="H2027" s="14" t="str">
        <f>IFERROR(__xludf.DUMMYFUNCTION("""COMPUTED_VALUE"""),"Bu Eva (SU)")</f>
        <v>Bu Eva (SU)</v>
      </c>
      <c r="I2027" s="13" t="str">
        <f>IFERROR(__xludf.DUMMYFUNCTION("""COMPUTED_VALUE"""),"SELESAI (VIA PERMOHONAN)")</f>
        <v>SELESAI (VIA PERMOHONAN)</v>
      </c>
      <c r="J2027" s="17">
        <f>IFERROR(__xludf.DUMMYFUNCTION("""COMPUTED_VALUE"""),45784.64379099537)</f>
        <v>45784.64379</v>
      </c>
      <c r="K2027" s="13" t="str">
        <f>IFERROR(__xludf.DUMMYFUNCTION("""COMPUTED_VALUE"""),"Selesai")</f>
        <v>Selesai</v>
      </c>
      <c r="L2027" s="17">
        <f>IFERROR(__xludf.DUMMYFUNCTION("""COMPUTED_VALUE"""),45784.64379099537)</f>
        <v>45784.64379</v>
      </c>
      <c r="M2027" s="13"/>
      <c r="N2027" s="13" t="str">
        <f>IFERROR(__xludf.DUMMYFUNCTION("""COMPUTED_VALUE"""),"")</f>
        <v/>
      </c>
      <c r="O2027" s="13" t="str">
        <f t="shared" si="1"/>
        <v/>
      </c>
    </row>
    <row r="2028" ht="22.5" customHeight="1">
      <c r="B2028" s="13">
        <f>IFERROR(__xludf.DUMMYFUNCTION("""COMPUTED_VALUE"""),2023.0)</f>
        <v>2023</v>
      </c>
      <c r="C2028" s="13" t="str">
        <f>IFERROR(__xludf.DUMMYFUNCTION("""COMPUTED_VALUE"""),"HM 14707/RAJABASA")</f>
        <v>HM 14707/RAJABASA</v>
      </c>
      <c r="D2028" s="13" t="str">
        <f>IFERROR(__xludf.DUMMYFUNCTION("""COMPUTED_VALUE"""),"L/23/250425/1")</f>
        <v>L/23/250425/1</v>
      </c>
      <c r="E2028" s="14" t="str">
        <f>IFERROR(__xludf.DUMMYFUNCTION("""COMPUTED_VALUE"""),"Nadian (BT)")</f>
        <v>Nadian (BT)</v>
      </c>
      <c r="F2028" s="14" t="str">
        <f>IFERROR(__xludf.DUMMYFUNCTION("""COMPUTED_VALUE"""),"SELESAI (VIA PERMOHONAN)")</f>
        <v>SELESAI (VIA PERMOHONAN)</v>
      </c>
      <c r="G2028" s="17">
        <f>IFERROR(__xludf.DUMMYFUNCTION("""COMPUTED_VALUE"""),45783.573431689816)</f>
        <v>45783.57343</v>
      </c>
      <c r="H2028" s="14" t="str">
        <f>IFERROR(__xludf.DUMMYFUNCTION("""COMPUTED_VALUE"""),"Bu Eva (SU)")</f>
        <v>Bu Eva (SU)</v>
      </c>
      <c r="I2028" s="13" t="str">
        <f>IFERROR(__xludf.DUMMYFUNCTION("""COMPUTED_VALUE"""),"SELESAI (VIA PERMOHONAN)")</f>
        <v>SELESAI (VIA PERMOHONAN)</v>
      </c>
      <c r="J2028" s="17">
        <f>IFERROR(__xludf.DUMMYFUNCTION("""COMPUTED_VALUE"""),45784.64379099537)</f>
        <v>45784.64379</v>
      </c>
      <c r="K2028" s="13" t="str">
        <f>IFERROR(__xludf.DUMMYFUNCTION("""COMPUTED_VALUE"""),"Selesai")</f>
        <v>Selesai</v>
      </c>
      <c r="L2028" s="17">
        <f>IFERROR(__xludf.DUMMYFUNCTION("""COMPUTED_VALUE"""),45784.64379099537)</f>
        <v>45784.64379</v>
      </c>
      <c r="M2028" s="13"/>
      <c r="N2028" s="13" t="str">
        <f>IFERROR(__xludf.DUMMYFUNCTION("""COMPUTED_VALUE"""),"")</f>
        <v/>
      </c>
      <c r="O2028" s="13" t="str">
        <f t="shared" si="1"/>
        <v/>
      </c>
    </row>
    <row r="2029" ht="22.5" customHeight="1">
      <c r="B2029" s="13">
        <f>IFERROR(__xludf.DUMMYFUNCTION("""COMPUTED_VALUE"""),2024.0)</f>
        <v>2024</v>
      </c>
      <c r="C2029" s="13" t="str">
        <f>IFERROR(__xludf.DUMMYFUNCTION("""COMPUTED_VALUE"""),"HGB 342/SUKAMAJU")</f>
        <v>HGB 342/SUKAMAJU</v>
      </c>
      <c r="D2029" s="13" t="str">
        <f>IFERROR(__xludf.DUMMYFUNCTION("""COMPUTED_VALUE"""),"L/7/220425/1")</f>
        <v>L/7/220425/1</v>
      </c>
      <c r="E2029" s="14" t="str">
        <f>IFERROR(__xludf.DUMMYFUNCTION("""COMPUTED_VALUE"""),"Nadian (BT)")</f>
        <v>Nadian (BT)</v>
      </c>
      <c r="F2029" s="14" t="str">
        <f>IFERROR(__xludf.DUMMYFUNCTION("""COMPUTED_VALUE"""),"SELESAI (VIA PERMOHONAN)")</f>
        <v>SELESAI (VIA PERMOHONAN)</v>
      </c>
      <c r="G2029" s="17">
        <f>IFERROR(__xludf.DUMMYFUNCTION("""COMPUTED_VALUE"""),45783.573431689816)</f>
        <v>45783.57343</v>
      </c>
      <c r="H2029" s="14" t="str">
        <f>IFERROR(__xludf.DUMMYFUNCTION("""COMPUTED_VALUE"""),"Bu Eva (SU)")</f>
        <v>Bu Eva (SU)</v>
      </c>
      <c r="I2029" s="13" t="str">
        <f>IFERROR(__xludf.DUMMYFUNCTION("""COMPUTED_VALUE"""),"SELESAI (VIA PERMOHONAN)")</f>
        <v>SELESAI (VIA PERMOHONAN)</v>
      </c>
      <c r="J2029" s="17">
        <f>IFERROR(__xludf.DUMMYFUNCTION("""COMPUTED_VALUE"""),45784.64379099537)</f>
        <v>45784.64379</v>
      </c>
      <c r="K2029" s="13" t="str">
        <f>IFERROR(__xludf.DUMMYFUNCTION("""COMPUTED_VALUE"""),"Selesai")</f>
        <v>Selesai</v>
      </c>
      <c r="L2029" s="17">
        <f>IFERROR(__xludf.DUMMYFUNCTION("""COMPUTED_VALUE"""),45784.64379099537)</f>
        <v>45784.64379</v>
      </c>
      <c r="M2029" s="13"/>
      <c r="N2029" s="13" t="str">
        <f>IFERROR(__xludf.DUMMYFUNCTION("""COMPUTED_VALUE"""),"")</f>
        <v/>
      </c>
      <c r="O2029" s="13" t="str">
        <f t="shared" si="1"/>
        <v/>
      </c>
    </row>
    <row r="2030" ht="22.5" customHeight="1">
      <c r="B2030" s="13">
        <f>IFERROR(__xludf.DUMMYFUNCTION("""COMPUTED_VALUE"""),2025.0)</f>
        <v>2025</v>
      </c>
      <c r="C2030" s="13" t="str">
        <f>IFERROR(__xludf.DUMMYFUNCTION("""COMPUTED_VALUE"""),"M. 1472/ Kaliawi")</f>
        <v>M. 1472/ Kaliawi</v>
      </c>
      <c r="D2030" s="13" t="str">
        <f>IFERROR(__xludf.DUMMYFUNCTION("""COMPUTED_VALUE"""),"K/16/230425/1")</f>
        <v>K/16/230425/1</v>
      </c>
      <c r="E2030" s="14" t="str">
        <f>IFERROR(__xludf.DUMMYFUNCTION("""COMPUTED_VALUE"""),"Nadian (BT)")</f>
        <v>Nadian (BT)</v>
      </c>
      <c r="F2030" s="14" t="str">
        <f>IFERROR(__xludf.DUMMYFUNCTION("""COMPUTED_VALUE"""),"SELESAI (VIA PERMOHONAN)")</f>
        <v>SELESAI (VIA PERMOHONAN)</v>
      </c>
      <c r="G2030" s="17">
        <f>IFERROR(__xludf.DUMMYFUNCTION("""COMPUTED_VALUE"""),45783.573431689816)</f>
        <v>45783.57343</v>
      </c>
      <c r="H2030" s="14" t="str">
        <f>IFERROR(__xludf.DUMMYFUNCTION("""COMPUTED_VALUE"""),"Bu Eva (SU)")</f>
        <v>Bu Eva (SU)</v>
      </c>
      <c r="I2030" s="13" t="str">
        <f>IFERROR(__xludf.DUMMYFUNCTION("""COMPUTED_VALUE"""),"SELESAI (VIA PERMOHONAN)")</f>
        <v>SELESAI (VIA PERMOHONAN)</v>
      </c>
      <c r="J2030" s="17">
        <f>IFERROR(__xludf.DUMMYFUNCTION("""COMPUTED_VALUE"""),45784.64379099537)</f>
        <v>45784.64379</v>
      </c>
      <c r="K2030" s="13" t="str">
        <f>IFERROR(__xludf.DUMMYFUNCTION("""COMPUTED_VALUE"""),"Selesai")</f>
        <v>Selesai</v>
      </c>
      <c r="L2030" s="17">
        <f>IFERROR(__xludf.DUMMYFUNCTION("""COMPUTED_VALUE"""),45784.64379099537)</f>
        <v>45784.64379</v>
      </c>
      <c r="M2030" s="13"/>
      <c r="N2030" s="13" t="str">
        <f>IFERROR(__xludf.DUMMYFUNCTION("""COMPUTED_VALUE"""),"")</f>
        <v/>
      </c>
      <c r="O2030" s="13" t="str">
        <f t="shared" si="1"/>
        <v/>
      </c>
    </row>
    <row r="2031" ht="22.5" customHeight="1">
      <c r="B2031" s="13">
        <f>IFERROR(__xludf.DUMMYFUNCTION("""COMPUTED_VALUE"""),2026.0)</f>
        <v>2026</v>
      </c>
      <c r="C2031" s="13" t="str">
        <f>IFERROR(__xludf.DUMMYFUNCTION("""COMPUTED_VALUE"""),"M.2594/BERINGIN RAYA")</f>
        <v>M.2594/BERINGIN RAYA</v>
      </c>
      <c r="D2031" s="13" t="str">
        <f>IFERROR(__xludf.DUMMYFUNCTION("""COMPUTED_VALUE"""),"K/17/300425/4")</f>
        <v>K/17/300425/4</v>
      </c>
      <c r="E2031" s="14" t="str">
        <f>IFERROR(__xludf.DUMMYFUNCTION("""COMPUTED_VALUE"""),"Nadian (BT)")</f>
        <v>Nadian (BT)</v>
      </c>
      <c r="F2031" s="14" t="str">
        <f>IFERROR(__xludf.DUMMYFUNCTION("""COMPUTED_VALUE"""),"SELESAI (VIA PERMOHONAN)")</f>
        <v>SELESAI (VIA PERMOHONAN)</v>
      </c>
      <c r="G2031" s="17">
        <f>IFERROR(__xludf.DUMMYFUNCTION("""COMPUTED_VALUE"""),45783.573431689816)</f>
        <v>45783.57343</v>
      </c>
      <c r="H2031" s="14" t="str">
        <f>IFERROR(__xludf.DUMMYFUNCTION("""COMPUTED_VALUE"""),"Bu Eva (SU)")</f>
        <v>Bu Eva (SU)</v>
      </c>
      <c r="I2031" s="13" t="str">
        <f>IFERROR(__xludf.DUMMYFUNCTION("""COMPUTED_VALUE"""),"SELESAI (VIA PERMOHONAN)")</f>
        <v>SELESAI (VIA PERMOHONAN)</v>
      </c>
      <c r="J2031" s="17">
        <f>IFERROR(__xludf.DUMMYFUNCTION("""COMPUTED_VALUE"""),45784.64379099537)</f>
        <v>45784.64379</v>
      </c>
      <c r="K2031" s="13" t="str">
        <f>IFERROR(__xludf.DUMMYFUNCTION("""COMPUTED_VALUE"""),"Selesai")</f>
        <v>Selesai</v>
      </c>
      <c r="L2031" s="17">
        <f>IFERROR(__xludf.DUMMYFUNCTION("""COMPUTED_VALUE"""),45784.64379099537)</f>
        <v>45784.64379</v>
      </c>
      <c r="M2031" s="13"/>
      <c r="N2031" s="13" t="str">
        <f>IFERROR(__xludf.DUMMYFUNCTION("""COMPUTED_VALUE"""),"")</f>
        <v/>
      </c>
      <c r="O2031" s="13" t="str">
        <f t="shared" si="1"/>
        <v/>
      </c>
    </row>
    <row r="2032" ht="22.5" customHeight="1">
      <c r="B2032" s="13">
        <f>IFERROR(__xludf.DUMMYFUNCTION("""COMPUTED_VALUE"""),2027.0)</f>
        <v>2027</v>
      </c>
      <c r="C2032" s="13" t="str">
        <f>IFERROR(__xludf.DUMMYFUNCTION("""COMPUTED_VALUE"""),"M. 2669/SUMBER AGUNG")</f>
        <v>M. 2669/SUMBER AGUNG</v>
      </c>
      <c r="D2032" s="13" t="str">
        <f>IFERROR(__xludf.DUMMYFUNCTION("""COMPUTED_VALUE"""),"K/26/220425/1")</f>
        <v>K/26/220425/1</v>
      </c>
      <c r="E2032" s="14" t="str">
        <f>IFERROR(__xludf.DUMMYFUNCTION("""COMPUTED_VALUE"""),"Nadian (BT)")</f>
        <v>Nadian (BT)</v>
      </c>
      <c r="F2032" s="14" t="str">
        <f>IFERROR(__xludf.DUMMYFUNCTION("""COMPUTED_VALUE"""),"SELESAI (VIA PERMOHONAN)")</f>
        <v>SELESAI (VIA PERMOHONAN)</v>
      </c>
      <c r="G2032" s="17">
        <f>IFERROR(__xludf.DUMMYFUNCTION("""COMPUTED_VALUE"""),45783.573431689816)</f>
        <v>45783.57343</v>
      </c>
      <c r="H2032" s="14" t="str">
        <f>IFERROR(__xludf.DUMMYFUNCTION("""COMPUTED_VALUE"""),"Bu Eva (SU)")</f>
        <v>Bu Eva (SU)</v>
      </c>
      <c r="I2032" s="13" t="str">
        <f>IFERROR(__xludf.DUMMYFUNCTION("""COMPUTED_VALUE"""),"SELESAI (VIA PERMOHONAN)")</f>
        <v>SELESAI (VIA PERMOHONAN)</v>
      </c>
      <c r="J2032" s="17">
        <f>IFERROR(__xludf.DUMMYFUNCTION("""COMPUTED_VALUE"""),45784.64379099537)</f>
        <v>45784.64379</v>
      </c>
      <c r="K2032" s="13" t="str">
        <f>IFERROR(__xludf.DUMMYFUNCTION("""COMPUTED_VALUE"""),"Selesai")</f>
        <v>Selesai</v>
      </c>
      <c r="L2032" s="17">
        <f>IFERROR(__xludf.DUMMYFUNCTION("""COMPUTED_VALUE"""),45784.64379099537)</f>
        <v>45784.64379</v>
      </c>
      <c r="M2032" s="13"/>
      <c r="N2032" s="13" t="str">
        <f>IFERROR(__xludf.DUMMYFUNCTION("""COMPUTED_VALUE"""),"")</f>
        <v/>
      </c>
      <c r="O2032" s="13" t="str">
        <f t="shared" si="1"/>
        <v/>
      </c>
    </row>
    <row r="2033" ht="22.5" customHeight="1">
      <c r="B2033" s="13">
        <f>IFERROR(__xludf.DUMMYFUNCTION("""COMPUTED_VALUE"""),2028.0)</f>
        <v>2028</v>
      </c>
      <c r="C2033" s="13" t="str">
        <f>IFERROR(__xludf.DUMMYFUNCTION("""COMPUTED_VALUE"""),"M. 1576/SUMUR PUTRI")</f>
        <v>M. 1576/SUMUR PUTRI</v>
      </c>
      <c r="D2033" s="13" t="str">
        <f>IFERROR(__xludf.DUMMYFUNCTION("""COMPUTED_VALUE"""),"K/35/160425/1")</f>
        <v>K/35/160425/1</v>
      </c>
      <c r="E2033" s="14" t="str">
        <f>IFERROR(__xludf.DUMMYFUNCTION("""COMPUTED_VALUE"""),"Nadian (BT)")</f>
        <v>Nadian (BT)</v>
      </c>
      <c r="F2033" s="14" t="str">
        <f>IFERROR(__xludf.DUMMYFUNCTION("""COMPUTED_VALUE"""),"SELESAI (VIA PERMOHONAN)")</f>
        <v>SELESAI (VIA PERMOHONAN)</v>
      </c>
      <c r="G2033" s="17">
        <f>IFERROR(__xludf.DUMMYFUNCTION("""COMPUTED_VALUE"""),45783.573431689816)</f>
        <v>45783.57343</v>
      </c>
      <c r="H2033" s="14" t="str">
        <f>IFERROR(__xludf.DUMMYFUNCTION("""COMPUTED_VALUE"""),"Bu Eva (SU)")</f>
        <v>Bu Eva (SU)</v>
      </c>
      <c r="I2033" s="13" t="str">
        <f>IFERROR(__xludf.DUMMYFUNCTION("""COMPUTED_VALUE"""),"SELESAI (VIA PERMOHONAN)")</f>
        <v>SELESAI (VIA PERMOHONAN)</v>
      </c>
      <c r="J2033" s="17">
        <f>IFERROR(__xludf.DUMMYFUNCTION("""COMPUTED_VALUE"""),45784.64379099537)</f>
        <v>45784.64379</v>
      </c>
      <c r="K2033" s="13" t="str">
        <f>IFERROR(__xludf.DUMMYFUNCTION("""COMPUTED_VALUE"""),"Selesai")</f>
        <v>Selesai</v>
      </c>
      <c r="L2033" s="17">
        <f>IFERROR(__xludf.DUMMYFUNCTION("""COMPUTED_VALUE"""),45784.64379099537)</f>
        <v>45784.64379</v>
      </c>
      <c r="M2033" s="13"/>
      <c r="N2033" s="13" t="str">
        <f>IFERROR(__xludf.DUMMYFUNCTION("""COMPUTED_VALUE"""),"")</f>
        <v/>
      </c>
      <c r="O2033" s="13" t="str">
        <f t="shared" si="1"/>
        <v/>
      </c>
    </row>
    <row r="2034" ht="22.5" customHeight="1">
      <c r="B2034" s="13">
        <f>IFERROR(__xludf.DUMMYFUNCTION("""COMPUTED_VALUE"""),2029.0)</f>
        <v>2029</v>
      </c>
      <c r="C2034" s="13" t="str">
        <f>IFERROR(__xludf.DUMMYFUNCTION("""COMPUTED_VALUE"""),"M.1407/SUKAJAWA")</f>
        <v>M.1407/SUKAJAWA</v>
      </c>
      <c r="D2034" s="13" t="str">
        <f>IFERROR(__xludf.DUMMYFUNCTION("""COMPUTED_VALUE"""),"K/17/280425/1")</f>
        <v>K/17/280425/1</v>
      </c>
      <c r="E2034" s="14" t="str">
        <f>IFERROR(__xludf.DUMMYFUNCTION("""COMPUTED_VALUE"""),"Nadian (BT)")</f>
        <v>Nadian (BT)</v>
      </c>
      <c r="F2034" s="14" t="str">
        <f>IFERROR(__xludf.DUMMYFUNCTION("""COMPUTED_VALUE"""),"SELESAI (VIA PERMOHONAN)")</f>
        <v>SELESAI (VIA PERMOHONAN)</v>
      </c>
      <c r="G2034" s="17">
        <f>IFERROR(__xludf.DUMMYFUNCTION("""COMPUTED_VALUE"""),45783.573431689816)</f>
        <v>45783.57343</v>
      </c>
      <c r="H2034" s="14" t="str">
        <f>IFERROR(__xludf.DUMMYFUNCTION("""COMPUTED_VALUE"""),"Bu Eva (SU)")</f>
        <v>Bu Eva (SU)</v>
      </c>
      <c r="I2034" s="13" t="str">
        <f>IFERROR(__xludf.DUMMYFUNCTION("""COMPUTED_VALUE"""),"SELESAI (VIA PERMOHONAN)")</f>
        <v>SELESAI (VIA PERMOHONAN)</v>
      </c>
      <c r="J2034" s="17">
        <f>IFERROR(__xludf.DUMMYFUNCTION("""COMPUTED_VALUE"""),45784.64379099537)</f>
        <v>45784.64379</v>
      </c>
      <c r="K2034" s="13" t="str">
        <f>IFERROR(__xludf.DUMMYFUNCTION("""COMPUTED_VALUE"""),"Selesai")</f>
        <v>Selesai</v>
      </c>
      <c r="L2034" s="17">
        <f>IFERROR(__xludf.DUMMYFUNCTION("""COMPUTED_VALUE"""),45784.64379099537)</f>
        <v>45784.64379</v>
      </c>
      <c r="M2034" s="13"/>
      <c r="N2034" s="13" t="str">
        <f>IFERROR(__xludf.DUMMYFUNCTION("""COMPUTED_VALUE"""),"")</f>
        <v/>
      </c>
      <c r="O2034" s="13" t="str">
        <f t="shared" si="1"/>
        <v/>
      </c>
    </row>
    <row r="2035" ht="22.5" customHeight="1">
      <c r="B2035" s="13">
        <f>IFERROR(__xludf.DUMMYFUNCTION("""COMPUTED_VALUE"""),2030.0)</f>
        <v>2030</v>
      </c>
      <c r="C2035" s="13" t="str">
        <f>IFERROR(__xludf.DUMMYFUNCTION("""COMPUTED_VALUE"""),"M.3289/BERINGIN RAYA")</f>
        <v>M.3289/BERINGIN RAYA</v>
      </c>
      <c r="D2035" s="13" t="str">
        <f>IFERROR(__xludf.DUMMYFUNCTION("""COMPUTED_VALUE"""),"K/16/280425/1")</f>
        <v>K/16/280425/1</v>
      </c>
      <c r="E2035" s="14" t="str">
        <f>IFERROR(__xludf.DUMMYFUNCTION("""COMPUTED_VALUE"""),"Nadian (BT)")</f>
        <v>Nadian (BT)</v>
      </c>
      <c r="F2035" s="14" t="str">
        <f>IFERROR(__xludf.DUMMYFUNCTION("""COMPUTED_VALUE"""),"SELESAI (VIA PERMOHONAN)")</f>
        <v>SELESAI (VIA PERMOHONAN)</v>
      </c>
      <c r="G2035" s="17">
        <f>IFERROR(__xludf.DUMMYFUNCTION("""COMPUTED_VALUE"""),45783.573431689816)</f>
        <v>45783.57343</v>
      </c>
      <c r="H2035" s="14" t="str">
        <f>IFERROR(__xludf.DUMMYFUNCTION("""COMPUTED_VALUE"""),"Bu Eva (SU)")</f>
        <v>Bu Eva (SU)</v>
      </c>
      <c r="I2035" s="13" t="str">
        <f>IFERROR(__xludf.DUMMYFUNCTION("""COMPUTED_VALUE"""),"SELESAI (VIA PERMOHONAN)")</f>
        <v>SELESAI (VIA PERMOHONAN)</v>
      </c>
      <c r="J2035" s="17">
        <f>IFERROR(__xludf.DUMMYFUNCTION("""COMPUTED_VALUE"""),45784.64379099537)</f>
        <v>45784.64379</v>
      </c>
      <c r="K2035" s="13" t="str">
        <f>IFERROR(__xludf.DUMMYFUNCTION("""COMPUTED_VALUE"""),"Selesai")</f>
        <v>Selesai</v>
      </c>
      <c r="L2035" s="17">
        <f>IFERROR(__xludf.DUMMYFUNCTION("""COMPUTED_VALUE"""),45784.64379099537)</f>
        <v>45784.64379</v>
      </c>
      <c r="M2035" s="13"/>
      <c r="N2035" s="13" t="str">
        <f>IFERROR(__xludf.DUMMYFUNCTION("""COMPUTED_VALUE"""),"")</f>
        <v/>
      </c>
      <c r="O2035" s="13" t="str">
        <f t="shared" si="1"/>
        <v/>
      </c>
    </row>
    <row r="2036" ht="22.5" customHeight="1">
      <c r="B2036" s="13">
        <f>IFERROR(__xludf.DUMMYFUNCTION("""COMPUTED_VALUE"""),2031.0)</f>
        <v>2031</v>
      </c>
      <c r="C2036" s="13" t="str">
        <f>IFERROR(__xludf.DUMMYFUNCTION("""COMPUTED_VALUE"""),"M.11489/SUKABUMI")</f>
        <v>M.11489/SUKABUMI</v>
      </c>
      <c r="D2036" s="13" t="str">
        <f>IFERROR(__xludf.DUMMYFUNCTION("""COMPUTED_VALUE"""),"K/30/230425/1")</f>
        <v>K/30/230425/1</v>
      </c>
      <c r="E2036" s="14" t="str">
        <f>IFERROR(__xludf.DUMMYFUNCTION("""COMPUTED_VALUE"""),"Nadian (BT)")</f>
        <v>Nadian (BT)</v>
      </c>
      <c r="F2036" s="14" t="str">
        <f>IFERROR(__xludf.DUMMYFUNCTION("""COMPUTED_VALUE"""),"SELESAI (VIA PERMOHONAN)")</f>
        <v>SELESAI (VIA PERMOHONAN)</v>
      </c>
      <c r="G2036" s="17">
        <f>IFERROR(__xludf.DUMMYFUNCTION("""COMPUTED_VALUE"""),45783.573431689816)</f>
        <v>45783.57343</v>
      </c>
      <c r="H2036" s="14" t="str">
        <f>IFERROR(__xludf.DUMMYFUNCTION("""COMPUTED_VALUE"""),"Bu Eva (SU)")</f>
        <v>Bu Eva (SU)</v>
      </c>
      <c r="I2036" s="13" t="str">
        <f>IFERROR(__xludf.DUMMYFUNCTION("""COMPUTED_VALUE"""),"SELESAI (VIA PERMOHONAN)")</f>
        <v>SELESAI (VIA PERMOHONAN)</v>
      </c>
      <c r="J2036" s="17">
        <f>IFERROR(__xludf.DUMMYFUNCTION("""COMPUTED_VALUE"""),45784.64379099537)</f>
        <v>45784.64379</v>
      </c>
      <c r="K2036" s="13" t="str">
        <f>IFERROR(__xludf.DUMMYFUNCTION("""COMPUTED_VALUE"""),"Selesai")</f>
        <v>Selesai</v>
      </c>
      <c r="L2036" s="17">
        <f>IFERROR(__xludf.DUMMYFUNCTION("""COMPUTED_VALUE"""),45784.64379099537)</f>
        <v>45784.64379</v>
      </c>
      <c r="M2036" s="13"/>
      <c r="N2036" s="13" t="str">
        <f>IFERROR(__xludf.DUMMYFUNCTION("""COMPUTED_VALUE"""),"")</f>
        <v/>
      </c>
      <c r="O2036" s="13" t="str">
        <f t="shared" si="1"/>
        <v/>
      </c>
    </row>
    <row r="2037" ht="22.5" customHeight="1">
      <c r="B2037" s="13">
        <f>IFERROR(__xludf.DUMMYFUNCTION("""COMPUTED_VALUE"""),2032.0)</f>
        <v>2032</v>
      </c>
      <c r="C2037" s="13" t="str">
        <f>IFERROR(__xludf.DUMMYFUNCTION("""COMPUTED_VALUE"""),"M.4288/GUNUNG TERANG")</f>
        <v>M.4288/GUNUNG TERANG</v>
      </c>
      <c r="D2037" s="13" t="str">
        <f>IFERROR(__xludf.DUMMYFUNCTION("""COMPUTED_VALUE"""),"K/2/230425/1")</f>
        <v>K/2/230425/1</v>
      </c>
      <c r="E2037" s="14" t="str">
        <f>IFERROR(__xludf.DUMMYFUNCTION("""COMPUTED_VALUE"""),"Nadian (BT)")</f>
        <v>Nadian (BT)</v>
      </c>
      <c r="F2037" s="14" t="str">
        <f>IFERROR(__xludf.DUMMYFUNCTION("""COMPUTED_VALUE"""),"SELESAI (VIA PERMOHONAN)")</f>
        <v>SELESAI (VIA PERMOHONAN)</v>
      </c>
      <c r="G2037" s="17">
        <f>IFERROR(__xludf.DUMMYFUNCTION("""COMPUTED_VALUE"""),45783.573431689816)</f>
        <v>45783.57343</v>
      </c>
      <c r="H2037" s="14" t="str">
        <f>IFERROR(__xludf.DUMMYFUNCTION("""COMPUTED_VALUE"""),"Bu Eva (SU)")</f>
        <v>Bu Eva (SU)</v>
      </c>
      <c r="I2037" s="13" t="str">
        <f>IFERROR(__xludf.DUMMYFUNCTION("""COMPUTED_VALUE"""),"SELESAI (VIA PERMOHONAN)")</f>
        <v>SELESAI (VIA PERMOHONAN)</v>
      </c>
      <c r="J2037" s="17">
        <f>IFERROR(__xludf.DUMMYFUNCTION("""COMPUTED_VALUE"""),45784.64379099537)</f>
        <v>45784.64379</v>
      </c>
      <c r="K2037" s="13" t="str">
        <f>IFERROR(__xludf.DUMMYFUNCTION("""COMPUTED_VALUE"""),"Selesai")</f>
        <v>Selesai</v>
      </c>
      <c r="L2037" s="17">
        <f>IFERROR(__xludf.DUMMYFUNCTION("""COMPUTED_VALUE"""),45784.64379099537)</f>
        <v>45784.64379</v>
      </c>
      <c r="M2037" s="13"/>
      <c r="N2037" s="13" t="str">
        <f>IFERROR(__xludf.DUMMYFUNCTION("""COMPUTED_VALUE"""),"")</f>
        <v/>
      </c>
      <c r="O2037" s="13" t="str">
        <f t="shared" si="1"/>
        <v/>
      </c>
    </row>
    <row r="2038" ht="22.5" customHeight="1">
      <c r="B2038" s="13">
        <f>IFERROR(__xludf.DUMMYFUNCTION("""COMPUTED_VALUE"""),2033.0)</f>
        <v>2033</v>
      </c>
      <c r="C2038" s="13" t="str">
        <f>IFERROR(__xludf.DUMMYFUNCTION("""COMPUTED_VALUE"""),"B.134/LANGKAPURA")</f>
        <v>B.134/LANGKAPURA</v>
      </c>
      <c r="D2038" s="13" t="str">
        <f>IFERROR(__xludf.DUMMYFUNCTION("""COMPUTED_VALUE"""),"K/33/250425/1")</f>
        <v>K/33/250425/1</v>
      </c>
      <c r="E2038" s="14" t="str">
        <f>IFERROR(__xludf.DUMMYFUNCTION("""COMPUTED_VALUE"""),"Nadian (BT)")</f>
        <v>Nadian (BT)</v>
      </c>
      <c r="F2038" s="14" t="str">
        <f>IFERROR(__xludf.DUMMYFUNCTION("""COMPUTED_VALUE"""),"SELESAI (VIA PERMOHONAN)")</f>
        <v>SELESAI (VIA PERMOHONAN)</v>
      </c>
      <c r="G2038" s="17">
        <f>IFERROR(__xludf.DUMMYFUNCTION("""COMPUTED_VALUE"""),45783.573431689816)</f>
        <v>45783.57343</v>
      </c>
      <c r="H2038" s="14" t="str">
        <f>IFERROR(__xludf.DUMMYFUNCTION("""COMPUTED_VALUE"""),"Bu Eva (SU)")</f>
        <v>Bu Eva (SU)</v>
      </c>
      <c r="I2038" s="13" t="str">
        <f>IFERROR(__xludf.DUMMYFUNCTION("""COMPUTED_VALUE"""),"SELESAI (VIA PERMOHONAN)")</f>
        <v>SELESAI (VIA PERMOHONAN)</v>
      </c>
      <c r="J2038" s="17">
        <f>IFERROR(__xludf.DUMMYFUNCTION("""COMPUTED_VALUE"""),45784.64379099537)</f>
        <v>45784.64379</v>
      </c>
      <c r="K2038" s="13" t="str">
        <f>IFERROR(__xludf.DUMMYFUNCTION("""COMPUTED_VALUE"""),"Selesai")</f>
        <v>Selesai</v>
      </c>
      <c r="L2038" s="17">
        <f>IFERROR(__xludf.DUMMYFUNCTION("""COMPUTED_VALUE"""),45784.64379099537)</f>
        <v>45784.64379</v>
      </c>
      <c r="M2038" s="13"/>
      <c r="N2038" s="13" t="str">
        <f>IFERROR(__xludf.DUMMYFUNCTION("""COMPUTED_VALUE"""),"")</f>
        <v/>
      </c>
      <c r="O2038" s="13" t="str">
        <f t="shared" si="1"/>
        <v/>
      </c>
    </row>
    <row r="2039" ht="22.5" customHeight="1">
      <c r="B2039" s="13">
        <f>IFERROR(__xludf.DUMMYFUNCTION("""COMPUTED_VALUE"""),2034.0)</f>
        <v>2034</v>
      </c>
      <c r="C2039" s="13" t="str">
        <f>IFERROR(__xludf.DUMMYFUNCTION("""COMPUTED_VALUE"""),"M. 5292/ Rajabasa Jaya")</f>
        <v>M. 5292/ Rajabasa Jaya</v>
      </c>
      <c r="D2039" s="13" t="str">
        <f>IFERROR(__xludf.DUMMYFUNCTION("""COMPUTED_VALUE"""),"K/18/050325/1")</f>
        <v>K/18/050325/1</v>
      </c>
      <c r="E2039" s="14" t="str">
        <f>IFERROR(__xludf.DUMMYFUNCTION("""COMPUTED_VALUE"""),"Nadian (BT)")</f>
        <v>Nadian (BT)</v>
      </c>
      <c r="F2039" s="14" t="str">
        <f>IFERROR(__xludf.DUMMYFUNCTION("""COMPUTED_VALUE"""),"SELESAI (VIA PERMOHONAN)")</f>
        <v>SELESAI (VIA PERMOHONAN)</v>
      </c>
      <c r="G2039" s="17">
        <f>IFERROR(__xludf.DUMMYFUNCTION("""COMPUTED_VALUE"""),45783.573431689816)</f>
        <v>45783.57343</v>
      </c>
      <c r="H2039" s="14" t="str">
        <f>IFERROR(__xludf.DUMMYFUNCTION("""COMPUTED_VALUE"""),"Bu Eva (SU)")</f>
        <v>Bu Eva (SU)</v>
      </c>
      <c r="I2039" s="13" t="str">
        <f>IFERROR(__xludf.DUMMYFUNCTION("""COMPUTED_VALUE"""),"SELESAI (VIA PERMOHONAN)")</f>
        <v>SELESAI (VIA PERMOHONAN)</v>
      </c>
      <c r="J2039" s="17">
        <f>IFERROR(__xludf.DUMMYFUNCTION("""COMPUTED_VALUE"""),45784.64379099537)</f>
        <v>45784.64379</v>
      </c>
      <c r="K2039" s="13" t="str">
        <f>IFERROR(__xludf.DUMMYFUNCTION("""COMPUTED_VALUE"""),"Selesai")</f>
        <v>Selesai</v>
      </c>
      <c r="L2039" s="17">
        <f>IFERROR(__xludf.DUMMYFUNCTION("""COMPUTED_VALUE"""),45784.64379099537)</f>
        <v>45784.64379</v>
      </c>
      <c r="M2039" s="13"/>
      <c r="N2039" s="13" t="str">
        <f>IFERROR(__xludf.DUMMYFUNCTION("""COMPUTED_VALUE"""),"")</f>
        <v/>
      </c>
      <c r="O2039" s="13" t="str">
        <f t="shared" si="1"/>
        <v/>
      </c>
    </row>
    <row r="2040" ht="22.5" customHeight="1">
      <c r="B2040" s="13">
        <f>IFERROR(__xludf.DUMMYFUNCTION("""COMPUTED_VALUE"""),2035.0)</f>
        <v>2035</v>
      </c>
      <c r="C2040" s="13" t="str">
        <f>IFERROR(__xludf.DUMMYFUNCTION("""COMPUTED_VALUE"""),"M. 2321/ Kota Baru")</f>
        <v>M. 2321/ Kota Baru</v>
      </c>
      <c r="D2040" s="13" t="str">
        <f>IFERROR(__xludf.DUMMYFUNCTION("""COMPUTED_VALUE"""),"K/14/210425/1")</f>
        <v>K/14/210425/1</v>
      </c>
      <c r="E2040" s="14" t="str">
        <f>IFERROR(__xludf.DUMMYFUNCTION("""COMPUTED_VALUE"""),"Nadian (BT)")</f>
        <v>Nadian (BT)</v>
      </c>
      <c r="F2040" s="14" t="str">
        <f>IFERROR(__xludf.DUMMYFUNCTION("""COMPUTED_VALUE"""),"SELESAI (VIA PERMOHONAN)")</f>
        <v>SELESAI (VIA PERMOHONAN)</v>
      </c>
      <c r="G2040" s="17">
        <f>IFERROR(__xludf.DUMMYFUNCTION("""COMPUTED_VALUE"""),45783.573431689816)</f>
        <v>45783.57343</v>
      </c>
      <c r="H2040" s="14" t="str">
        <f>IFERROR(__xludf.DUMMYFUNCTION("""COMPUTED_VALUE"""),"Bu Eva (SU)")</f>
        <v>Bu Eva (SU)</v>
      </c>
      <c r="I2040" s="13" t="str">
        <f>IFERROR(__xludf.DUMMYFUNCTION("""COMPUTED_VALUE"""),"SELESAI (VIA PERMOHONAN)")</f>
        <v>SELESAI (VIA PERMOHONAN)</v>
      </c>
      <c r="J2040" s="17">
        <f>IFERROR(__xludf.DUMMYFUNCTION("""COMPUTED_VALUE"""),45784.64379099537)</f>
        <v>45784.64379</v>
      </c>
      <c r="K2040" s="13" t="str">
        <f>IFERROR(__xludf.DUMMYFUNCTION("""COMPUTED_VALUE"""),"Selesai")</f>
        <v>Selesai</v>
      </c>
      <c r="L2040" s="17">
        <f>IFERROR(__xludf.DUMMYFUNCTION("""COMPUTED_VALUE"""),45784.64379099537)</f>
        <v>45784.64379</v>
      </c>
      <c r="M2040" s="13"/>
      <c r="N2040" s="13" t="str">
        <f>IFERROR(__xludf.DUMMYFUNCTION("""COMPUTED_VALUE"""),"")</f>
        <v/>
      </c>
      <c r="O2040" s="13" t="str">
        <f t="shared" si="1"/>
        <v/>
      </c>
    </row>
    <row r="2041" ht="22.5" customHeight="1">
      <c r="B2041" s="13">
        <f>IFERROR(__xludf.DUMMYFUNCTION("""COMPUTED_VALUE"""),2036.0)</f>
        <v>2036</v>
      </c>
      <c r="C2041" s="13" t="str">
        <f>IFERROR(__xludf.DUMMYFUNCTION("""COMPUTED_VALUE"""),"HM 1223/SUKADANAHAM")</f>
        <v>HM 1223/SUKADANAHAM</v>
      </c>
      <c r="D2041" s="13" t="str">
        <f>IFERROR(__xludf.DUMMYFUNCTION("""COMPUTED_VALUE"""),"L/3/170425/1")</f>
        <v>L/3/170425/1</v>
      </c>
      <c r="E2041" s="14" t="str">
        <f>IFERROR(__xludf.DUMMYFUNCTION("""COMPUTED_VALUE"""),"Nadian (BT)")</f>
        <v>Nadian (BT)</v>
      </c>
      <c r="F2041" s="14" t="str">
        <f>IFERROR(__xludf.DUMMYFUNCTION("""COMPUTED_VALUE"""),"SELESAI (VIA PERMOHONAN)")</f>
        <v>SELESAI (VIA PERMOHONAN)</v>
      </c>
      <c r="G2041" s="17">
        <f>IFERROR(__xludf.DUMMYFUNCTION("""COMPUTED_VALUE"""),45783.573431689816)</f>
        <v>45783.57343</v>
      </c>
      <c r="H2041" s="14" t="str">
        <f>IFERROR(__xludf.DUMMYFUNCTION("""COMPUTED_VALUE"""),"Bu Eva (SU)")</f>
        <v>Bu Eva (SU)</v>
      </c>
      <c r="I2041" s="13" t="str">
        <f>IFERROR(__xludf.DUMMYFUNCTION("""COMPUTED_VALUE"""),"SELESAI (VIA PERMOHONAN)")</f>
        <v>SELESAI (VIA PERMOHONAN)</v>
      </c>
      <c r="J2041" s="17">
        <f>IFERROR(__xludf.DUMMYFUNCTION("""COMPUTED_VALUE"""),45784.64379099537)</f>
        <v>45784.64379</v>
      </c>
      <c r="K2041" s="13" t="str">
        <f>IFERROR(__xludf.DUMMYFUNCTION("""COMPUTED_VALUE"""),"Selesai")</f>
        <v>Selesai</v>
      </c>
      <c r="L2041" s="17">
        <f>IFERROR(__xludf.DUMMYFUNCTION("""COMPUTED_VALUE"""),45784.64379099537)</f>
        <v>45784.64379</v>
      </c>
      <c r="M2041" s="13"/>
      <c r="N2041" s="13" t="str">
        <f>IFERROR(__xludf.DUMMYFUNCTION("""COMPUTED_VALUE"""),"")</f>
        <v/>
      </c>
      <c r="O2041" s="13" t="str">
        <f t="shared" si="1"/>
        <v/>
      </c>
    </row>
    <row r="2042" ht="22.5" customHeight="1">
      <c r="B2042" s="13">
        <f>IFERROR(__xludf.DUMMYFUNCTION("""COMPUTED_VALUE"""),2037.0)</f>
        <v>2037</v>
      </c>
      <c r="C2042" s="13" t="str">
        <f>IFERROR(__xludf.DUMMYFUNCTION("""COMPUTED_VALUE"""),"HM 2489/CAMPANG RAYA")</f>
        <v>HM 2489/CAMPANG RAYA</v>
      </c>
      <c r="D2042" s="13" t="str">
        <f>IFERROR(__xludf.DUMMYFUNCTION("""COMPUTED_VALUE"""),"L/23/210425/1")</f>
        <v>L/23/210425/1</v>
      </c>
      <c r="E2042" s="14" t="str">
        <f>IFERROR(__xludf.DUMMYFUNCTION("""COMPUTED_VALUE"""),"Nadian (BT)")</f>
        <v>Nadian (BT)</v>
      </c>
      <c r="F2042" s="14" t="str">
        <f>IFERROR(__xludf.DUMMYFUNCTION("""COMPUTED_VALUE"""),"SELESAI (VIA PERMOHONAN)")</f>
        <v>SELESAI (VIA PERMOHONAN)</v>
      </c>
      <c r="G2042" s="17">
        <f>IFERROR(__xludf.DUMMYFUNCTION("""COMPUTED_VALUE"""),45783.573431689816)</f>
        <v>45783.57343</v>
      </c>
      <c r="H2042" s="14" t="str">
        <f>IFERROR(__xludf.DUMMYFUNCTION("""COMPUTED_VALUE"""),"Bu Eva (SU)")</f>
        <v>Bu Eva (SU)</v>
      </c>
      <c r="I2042" s="13" t="str">
        <f>IFERROR(__xludf.DUMMYFUNCTION("""COMPUTED_VALUE"""),"SELESAI (VIA PERMOHONAN)")</f>
        <v>SELESAI (VIA PERMOHONAN)</v>
      </c>
      <c r="J2042" s="17">
        <f>IFERROR(__xludf.DUMMYFUNCTION("""COMPUTED_VALUE"""),45784.64379099537)</f>
        <v>45784.64379</v>
      </c>
      <c r="K2042" s="13" t="str">
        <f>IFERROR(__xludf.DUMMYFUNCTION("""COMPUTED_VALUE"""),"Selesai")</f>
        <v>Selesai</v>
      </c>
      <c r="L2042" s="17">
        <f>IFERROR(__xludf.DUMMYFUNCTION("""COMPUTED_VALUE"""),45784.64379099537)</f>
        <v>45784.64379</v>
      </c>
      <c r="M2042" s="13"/>
      <c r="N2042" s="13" t="str">
        <f>IFERROR(__xludf.DUMMYFUNCTION("""COMPUTED_VALUE"""),"")</f>
        <v/>
      </c>
      <c r="O2042" s="13" t="str">
        <f t="shared" si="1"/>
        <v/>
      </c>
    </row>
    <row r="2043" ht="22.5" customHeight="1">
      <c r="B2043" s="13">
        <f>IFERROR(__xludf.DUMMYFUNCTION("""COMPUTED_VALUE"""),2038.0)</f>
        <v>2038</v>
      </c>
      <c r="C2043" s="13" t="str">
        <f>IFERROR(__xludf.DUMMYFUNCTION("""COMPUTED_VALUE"""),"B. 1585/ Sukabumi")</f>
        <v>B. 1585/ Sukabumi</v>
      </c>
      <c r="D2043" s="13" t="str">
        <f>IFERROR(__xludf.DUMMYFUNCTION("""COMPUTED_VALUE"""),"K/8/170425/1")</f>
        <v>K/8/170425/1</v>
      </c>
      <c r="E2043" s="14" t="str">
        <f>IFERROR(__xludf.DUMMYFUNCTION("""COMPUTED_VALUE"""),"Nadian (BT)")</f>
        <v>Nadian (BT)</v>
      </c>
      <c r="F2043" s="14" t="str">
        <f>IFERROR(__xludf.DUMMYFUNCTION("""COMPUTED_VALUE"""),"SELESAI (VIA PERMOHONAN)")</f>
        <v>SELESAI (VIA PERMOHONAN)</v>
      </c>
      <c r="G2043" s="17">
        <f>IFERROR(__xludf.DUMMYFUNCTION("""COMPUTED_VALUE"""),45783.573431689816)</f>
        <v>45783.57343</v>
      </c>
      <c r="H2043" s="14" t="str">
        <f>IFERROR(__xludf.DUMMYFUNCTION("""COMPUTED_VALUE"""),"Bu Eva (SU)")</f>
        <v>Bu Eva (SU)</v>
      </c>
      <c r="I2043" s="13" t="str">
        <f>IFERROR(__xludf.DUMMYFUNCTION("""COMPUTED_VALUE"""),"SELESAI (VIA PERMOHONAN)")</f>
        <v>SELESAI (VIA PERMOHONAN)</v>
      </c>
      <c r="J2043" s="17">
        <f>IFERROR(__xludf.DUMMYFUNCTION("""COMPUTED_VALUE"""),45784.64379099537)</f>
        <v>45784.64379</v>
      </c>
      <c r="K2043" s="13" t="str">
        <f>IFERROR(__xludf.DUMMYFUNCTION("""COMPUTED_VALUE"""),"Selesai")</f>
        <v>Selesai</v>
      </c>
      <c r="L2043" s="17">
        <f>IFERROR(__xludf.DUMMYFUNCTION("""COMPUTED_VALUE"""),45784.64379099537)</f>
        <v>45784.64379</v>
      </c>
      <c r="M2043" s="13"/>
      <c r="N2043" s="13" t="str">
        <f>IFERROR(__xludf.DUMMYFUNCTION("""COMPUTED_VALUE"""),"")</f>
        <v/>
      </c>
      <c r="O2043" s="13" t="str">
        <f t="shared" si="1"/>
        <v/>
      </c>
    </row>
    <row r="2044" ht="22.5" customHeight="1">
      <c r="B2044" s="13">
        <f>IFERROR(__xludf.DUMMYFUNCTION("""COMPUTED_VALUE"""),2039.0)</f>
        <v>2039</v>
      </c>
      <c r="C2044" s="13" t="str">
        <f>IFERROR(__xludf.DUMMYFUNCTION("""COMPUTED_VALUE"""),"M. 2446/ Kedaung")</f>
        <v>M. 2446/ Kedaung</v>
      </c>
      <c r="D2044" s="13" t="str">
        <f>IFERROR(__xludf.DUMMYFUNCTION("""COMPUTED_VALUE"""),"K/24/150425/2")</f>
        <v>K/24/150425/2</v>
      </c>
      <c r="E2044" s="14" t="str">
        <f>IFERROR(__xludf.DUMMYFUNCTION("""COMPUTED_VALUE"""),"Nadian (BT)")</f>
        <v>Nadian (BT)</v>
      </c>
      <c r="F2044" s="14" t="str">
        <f>IFERROR(__xludf.DUMMYFUNCTION("""COMPUTED_VALUE"""),"SELESAI (VIA PERMOHONAN)")</f>
        <v>SELESAI (VIA PERMOHONAN)</v>
      </c>
      <c r="G2044" s="17">
        <f>IFERROR(__xludf.DUMMYFUNCTION("""COMPUTED_VALUE"""),45783.573431689816)</f>
        <v>45783.57343</v>
      </c>
      <c r="H2044" s="14" t="str">
        <f>IFERROR(__xludf.DUMMYFUNCTION("""COMPUTED_VALUE"""),"Bu Eva (SU)")</f>
        <v>Bu Eva (SU)</v>
      </c>
      <c r="I2044" s="13" t="str">
        <f>IFERROR(__xludf.DUMMYFUNCTION("""COMPUTED_VALUE"""),"SELESAI (VIA PERMOHONAN)")</f>
        <v>SELESAI (VIA PERMOHONAN)</v>
      </c>
      <c r="J2044" s="17">
        <f>IFERROR(__xludf.DUMMYFUNCTION("""COMPUTED_VALUE"""),45784.64379099537)</f>
        <v>45784.64379</v>
      </c>
      <c r="K2044" s="13" t="str">
        <f>IFERROR(__xludf.DUMMYFUNCTION("""COMPUTED_VALUE"""),"Selesai")</f>
        <v>Selesai</v>
      </c>
      <c r="L2044" s="17">
        <f>IFERROR(__xludf.DUMMYFUNCTION("""COMPUTED_VALUE"""),45784.64379099537)</f>
        <v>45784.64379</v>
      </c>
      <c r="M2044" s="13"/>
      <c r="N2044" s="13" t="str">
        <f>IFERROR(__xludf.DUMMYFUNCTION("""COMPUTED_VALUE"""),"")</f>
        <v/>
      </c>
      <c r="O2044" s="13" t="str">
        <f t="shared" si="1"/>
        <v/>
      </c>
    </row>
    <row r="2045" ht="22.5" customHeight="1">
      <c r="B2045" s="13">
        <f>IFERROR(__xludf.DUMMYFUNCTION("""COMPUTED_VALUE"""),2040.0)</f>
        <v>2040</v>
      </c>
      <c r="C2045" s="13" t="str">
        <f>IFERROR(__xludf.DUMMYFUNCTION("""COMPUTED_VALUE"""),"M. 2442/ Kedaung")</f>
        <v>M. 2442/ Kedaung</v>
      </c>
      <c r="D2045" s="13" t="str">
        <f>IFERROR(__xludf.DUMMYFUNCTION("""COMPUTED_VALUE"""),"K/28/140425/3")</f>
        <v>K/28/140425/3</v>
      </c>
      <c r="E2045" s="14" t="str">
        <f>IFERROR(__xludf.DUMMYFUNCTION("""COMPUTED_VALUE"""),"Nadian (BT)")</f>
        <v>Nadian (BT)</v>
      </c>
      <c r="F2045" s="14" t="str">
        <f>IFERROR(__xludf.DUMMYFUNCTION("""COMPUTED_VALUE"""),"SELESAI (VIA PERMOHONAN)")</f>
        <v>SELESAI (VIA PERMOHONAN)</v>
      </c>
      <c r="G2045" s="17">
        <f>IFERROR(__xludf.DUMMYFUNCTION("""COMPUTED_VALUE"""),45783.573431689816)</f>
        <v>45783.57343</v>
      </c>
      <c r="H2045" s="14" t="str">
        <f>IFERROR(__xludf.DUMMYFUNCTION("""COMPUTED_VALUE"""),"Bu Eva (SU)")</f>
        <v>Bu Eva (SU)</v>
      </c>
      <c r="I2045" s="13" t="str">
        <f>IFERROR(__xludf.DUMMYFUNCTION("""COMPUTED_VALUE"""),"SELESAI (VIA PERMOHONAN)")</f>
        <v>SELESAI (VIA PERMOHONAN)</v>
      </c>
      <c r="J2045" s="17">
        <f>IFERROR(__xludf.DUMMYFUNCTION("""COMPUTED_VALUE"""),45784.64379099537)</f>
        <v>45784.64379</v>
      </c>
      <c r="K2045" s="13" t="str">
        <f>IFERROR(__xludf.DUMMYFUNCTION("""COMPUTED_VALUE"""),"Selesai")</f>
        <v>Selesai</v>
      </c>
      <c r="L2045" s="17">
        <f>IFERROR(__xludf.DUMMYFUNCTION("""COMPUTED_VALUE"""),45784.64379099537)</f>
        <v>45784.64379</v>
      </c>
      <c r="M2045" s="13"/>
      <c r="N2045" s="13" t="str">
        <f>IFERROR(__xludf.DUMMYFUNCTION("""COMPUTED_VALUE"""),"")</f>
        <v/>
      </c>
      <c r="O2045" s="13" t="str">
        <f t="shared" si="1"/>
        <v/>
      </c>
    </row>
    <row r="2046" ht="22.5" customHeight="1">
      <c r="B2046" s="13">
        <f>IFERROR(__xludf.DUMMYFUNCTION("""COMPUTED_VALUE"""),2041.0)</f>
        <v>2041</v>
      </c>
      <c r="C2046" s="13" t="str">
        <f>IFERROR(__xludf.DUMMYFUNCTION("""COMPUTED_VALUE"""),"M. 1539/ Kemiling Permai")</f>
        <v>M. 1539/ Kemiling Permai</v>
      </c>
      <c r="D2046" s="13" t="str">
        <f>IFERROR(__xludf.DUMMYFUNCTION("""COMPUTED_VALUE"""),"K/30/260325/1")</f>
        <v>K/30/260325/1</v>
      </c>
      <c r="E2046" s="14" t="str">
        <f>IFERROR(__xludf.DUMMYFUNCTION("""COMPUTED_VALUE"""),"Nadian (BT)")</f>
        <v>Nadian (BT)</v>
      </c>
      <c r="F2046" s="14" t="str">
        <f>IFERROR(__xludf.DUMMYFUNCTION("""COMPUTED_VALUE"""),"SELESAI (VIA PERMOHONAN)")</f>
        <v>SELESAI (VIA PERMOHONAN)</v>
      </c>
      <c r="G2046" s="17">
        <f>IFERROR(__xludf.DUMMYFUNCTION("""COMPUTED_VALUE"""),45783.573431689816)</f>
        <v>45783.57343</v>
      </c>
      <c r="H2046" s="14" t="str">
        <f>IFERROR(__xludf.DUMMYFUNCTION("""COMPUTED_VALUE"""),"Bu Eva (SU)")</f>
        <v>Bu Eva (SU)</v>
      </c>
      <c r="I2046" s="13" t="str">
        <f>IFERROR(__xludf.DUMMYFUNCTION("""COMPUTED_VALUE"""),"SELESAI (VIA PERMOHONAN)")</f>
        <v>SELESAI (VIA PERMOHONAN)</v>
      </c>
      <c r="J2046" s="17">
        <f>IFERROR(__xludf.DUMMYFUNCTION("""COMPUTED_VALUE"""),45784.64379099537)</f>
        <v>45784.64379</v>
      </c>
      <c r="K2046" s="13" t="str">
        <f>IFERROR(__xludf.DUMMYFUNCTION("""COMPUTED_VALUE"""),"Selesai")</f>
        <v>Selesai</v>
      </c>
      <c r="L2046" s="17">
        <f>IFERROR(__xludf.DUMMYFUNCTION("""COMPUTED_VALUE"""),45784.64379099537)</f>
        <v>45784.64379</v>
      </c>
      <c r="M2046" s="13"/>
      <c r="N2046" s="13" t="str">
        <f>IFERROR(__xludf.DUMMYFUNCTION("""COMPUTED_VALUE"""),"")</f>
        <v/>
      </c>
      <c r="O2046" s="13" t="str">
        <f t="shared" si="1"/>
        <v/>
      </c>
    </row>
    <row r="2047" ht="22.5" customHeight="1">
      <c r="B2047" s="13">
        <f>IFERROR(__xludf.DUMMYFUNCTION("""COMPUTED_VALUE"""),2042.0)</f>
        <v>2042</v>
      </c>
      <c r="C2047" s="13" t="str">
        <f>IFERROR(__xludf.DUMMYFUNCTION("""COMPUTED_VALUE"""),"M. 5393/ Langkapura")</f>
        <v>M. 5393/ Langkapura</v>
      </c>
      <c r="D2047" s="13" t="str">
        <f>IFERROR(__xludf.DUMMYFUNCTION("""COMPUTED_VALUE"""),"K/34/180325/2")</f>
        <v>K/34/180325/2</v>
      </c>
      <c r="E2047" s="14" t="str">
        <f>IFERROR(__xludf.DUMMYFUNCTION("""COMPUTED_VALUE"""),"Nadian (BT)")</f>
        <v>Nadian (BT)</v>
      </c>
      <c r="F2047" s="14" t="str">
        <f>IFERROR(__xludf.DUMMYFUNCTION("""COMPUTED_VALUE"""),"SELESAI (VIA PERMOHONAN)")</f>
        <v>SELESAI (VIA PERMOHONAN)</v>
      </c>
      <c r="G2047" s="17">
        <f>IFERROR(__xludf.DUMMYFUNCTION("""COMPUTED_VALUE"""),45783.573431689816)</f>
        <v>45783.57343</v>
      </c>
      <c r="H2047" s="14" t="str">
        <f>IFERROR(__xludf.DUMMYFUNCTION("""COMPUTED_VALUE"""),"Bu Eva (SU)")</f>
        <v>Bu Eva (SU)</v>
      </c>
      <c r="I2047" s="13" t="str">
        <f>IFERROR(__xludf.DUMMYFUNCTION("""COMPUTED_VALUE"""),"SELESAI (VIA PERMOHONAN)")</f>
        <v>SELESAI (VIA PERMOHONAN)</v>
      </c>
      <c r="J2047" s="17">
        <f>IFERROR(__xludf.DUMMYFUNCTION("""COMPUTED_VALUE"""),45784.64379099537)</f>
        <v>45784.64379</v>
      </c>
      <c r="K2047" s="13" t="str">
        <f>IFERROR(__xludf.DUMMYFUNCTION("""COMPUTED_VALUE"""),"Selesai")</f>
        <v>Selesai</v>
      </c>
      <c r="L2047" s="17">
        <f>IFERROR(__xludf.DUMMYFUNCTION("""COMPUTED_VALUE"""),45784.64379099537)</f>
        <v>45784.64379</v>
      </c>
      <c r="M2047" s="13"/>
      <c r="N2047" s="13" t="str">
        <f>IFERROR(__xludf.DUMMYFUNCTION("""COMPUTED_VALUE"""),"")</f>
        <v/>
      </c>
      <c r="O2047" s="13" t="str">
        <f t="shared" si="1"/>
        <v/>
      </c>
    </row>
    <row r="2048" ht="22.5" customHeight="1">
      <c r="B2048" s="13">
        <f>IFERROR(__xludf.DUMMYFUNCTION("""COMPUTED_VALUE"""),2043.0)</f>
        <v>2043</v>
      </c>
      <c r="C2048" s="13" t="str">
        <f>IFERROR(__xludf.DUMMYFUNCTION("""COMPUTED_VALUE"""),"M. 2458/ Kedaung")</f>
        <v>M. 2458/ Kedaung</v>
      </c>
      <c r="D2048" s="13" t="str">
        <f>IFERROR(__xludf.DUMMYFUNCTION("""COMPUTED_VALUE"""),"K/26/140425/1")</f>
        <v>K/26/140425/1</v>
      </c>
      <c r="E2048" s="14" t="str">
        <f>IFERROR(__xludf.DUMMYFUNCTION("""COMPUTED_VALUE"""),"Nadian (BT)")</f>
        <v>Nadian (BT)</v>
      </c>
      <c r="F2048" s="14" t="str">
        <f>IFERROR(__xludf.DUMMYFUNCTION("""COMPUTED_VALUE"""),"SELESAI (VIA PERMOHONAN)")</f>
        <v>SELESAI (VIA PERMOHONAN)</v>
      </c>
      <c r="G2048" s="17">
        <f>IFERROR(__xludf.DUMMYFUNCTION("""COMPUTED_VALUE"""),45783.573431689816)</f>
        <v>45783.57343</v>
      </c>
      <c r="H2048" s="14" t="str">
        <f>IFERROR(__xludf.DUMMYFUNCTION("""COMPUTED_VALUE"""),"Bu Eva (SU)")</f>
        <v>Bu Eva (SU)</v>
      </c>
      <c r="I2048" s="13" t="str">
        <f>IFERROR(__xludf.DUMMYFUNCTION("""COMPUTED_VALUE"""),"SELESAI (VIA PERMOHONAN)")</f>
        <v>SELESAI (VIA PERMOHONAN)</v>
      </c>
      <c r="J2048" s="17">
        <f>IFERROR(__xludf.DUMMYFUNCTION("""COMPUTED_VALUE"""),45784.64379099537)</f>
        <v>45784.64379</v>
      </c>
      <c r="K2048" s="13" t="str">
        <f>IFERROR(__xludf.DUMMYFUNCTION("""COMPUTED_VALUE"""),"Selesai")</f>
        <v>Selesai</v>
      </c>
      <c r="L2048" s="17">
        <f>IFERROR(__xludf.DUMMYFUNCTION("""COMPUTED_VALUE"""),45784.64379099537)</f>
        <v>45784.64379</v>
      </c>
      <c r="M2048" s="13"/>
      <c r="N2048" s="13" t="str">
        <f>IFERROR(__xludf.DUMMYFUNCTION("""COMPUTED_VALUE"""),"")</f>
        <v/>
      </c>
      <c r="O2048" s="13" t="str">
        <f t="shared" si="1"/>
        <v/>
      </c>
    </row>
    <row r="2049" ht="22.5" customHeight="1">
      <c r="B2049" s="13">
        <f>IFERROR(__xludf.DUMMYFUNCTION("""COMPUTED_VALUE"""),2044.0)</f>
        <v>2044</v>
      </c>
      <c r="C2049" s="13" t="str">
        <f>IFERROR(__xludf.DUMMYFUNCTION("""COMPUTED_VALUE"""),"M. 2215/ Pengajaran")</f>
        <v>M. 2215/ Pengajaran</v>
      </c>
      <c r="D2049" s="13" t="str">
        <f>IFERROR(__xludf.DUMMYFUNCTION("""COMPUTED_VALUE"""),"K/24/240425/1")</f>
        <v>K/24/240425/1</v>
      </c>
      <c r="E2049" s="14" t="str">
        <f>IFERROR(__xludf.DUMMYFUNCTION("""COMPUTED_VALUE"""),"Nadian (BT)")</f>
        <v>Nadian (BT)</v>
      </c>
      <c r="F2049" s="14" t="str">
        <f>IFERROR(__xludf.DUMMYFUNCTION("""COMPUTED_VALUE"""),"SELESAI (VIA PERMOHONAN)")</f>
        <v>SELESAI (VIA PERMOHONAN)</v>
      </c>
      <c r="G2049" s="17">
        <f>IFERROR(__xludf.DUMMYFUNCTION("""COMPUTED_VALUE"""),45783.573431689816)</f>
        <v>45783.57343</v>
      </c>
      <c r="H2049" s="14" t="str">
        <f>IFERROR(__xludf.DUMMYFUNCTION("""COMPUTED_VALUE"""),"Bu Eva (SU)")</f>
        <v>Bu Eva (SU)</v>
      </c>
      <c r="I2049" s="13" t="str">
        <f>IFERROR(__xludf.DUMMYFUNCTION("""COMPUTED_VALUE"""),"SELESAI (VIA PERMOHONAN)")</f>
        <v>SELESAI (VIA PERMOHONAN)</v>
      </c>
      <c r="J2049" s="17">
        <f>IFERROR(__xludf.DUMMYFUNCTION("""COMPUTED_VALUE"""),45784.64379099537)</f>
        <v>45784.64379</v>
      </c>
      <c r="K2049" s="13" t="str">
        <f>IFERROR(__xludf.DUMMYFUNCTION("""COMPUTED_VALUE"""),"Selesai")</f>
        <v>Selesai</v>
      </c>
      <c r="L2049" s="17">
        <f>IFERROR(__xludf.DUMMYFUNCTION("""COMPUTED_VALUE"""),45784.64379099537)</f>
        <v>45784.64379</v>
      </c>
      <c r="M2049" s="13"/>
      <c r="N2049" s="13" t="str">
        <f>IFERROR(__xludf.DUMMYFUNCTION("""COMPUTED_VALUE"""),"")</f>
        <v/>
      </c>
      <c r="O2049" s="13" t="str">
        <f t="shared" si="1"/>
        <v/>
      </c>
    </row>
    <row r="2050" ht="22.5" customHeight="1">
      <c r="B2050" s="13">
        <f>IFERROR(__xludf.DUMMYFUNCTION("""COMPUTED_VALUE"""),2045.0)</f>
        <v>2045</v>
      </c>
      <c r="C2050" s="13" t="str">
        <f>IFERROR(__xludf.DUMMYFUNCTION("""COMPUTED_VALUE"""),"HGB 431/CAMPANG RAYA")</f>
        <v>HGB 431/CAMPANG RAYA</v>
      </c>
      <c r="D2050" s="13" t="str">
        <f>IFERROR(__xludf.DUMMYFUNCTION("""COMPUTED_VALUE"""),"L/13/240425/1")</f>
        <v>L/13/240425/1</v>
      </c>
      <c r="E2050" s="14" t="str">
        <f>IFERROR(__xludf.DUMMYFUNCTION("""COMPUTED_VALUE"""),"Nadian (BT)")</f>
        <v>Nadian (BT)</v>
      </c>
      <c r="F2050" s="14" t="str">
        <f>IFERROR(__xludf.DUMMYFUNCTION("""COMPUTED_VALUE"""),"SELESAI (VIA PERMOHONAN)")</f>
        <v>SELESAI (VIA PERMOHONAN)</v>
      </c>
      <c r="G2050" s="17">
        <f>IFERROR(__xludf.DUMMYFUNCTION("""COMPUTED_VALUE"""),45783.573431689816)</f>
        <v>45783.57343</v>
      </c>
      <c r="H2050" s="14" t="str">
        <f>IFERROR(__xludf.DUMMYFUNCTION("""COMPUTED_VALUE"""),"Bu Eva (SU)")</f>
        <v>Bu Eva (SU)</v>
      </c>
      <c r="I2050" s="13" t="str">
        <f>IFERROR(__xludf.DUMMYFUNCTION("""COMPUTED_VALUE"""),"SELESAI (VIA PERMOHONAN)")</f>
        <v>SELESAI (VIA PERMOHONAN)</v>
      </c>
      <c r="J2050" s="17">
        <f>IFERROR(__xludf.DUMMYFUNCTION("""COMPUTED_VALUE"""),45784.64379099537)</f>
        <v>45784.64379</v>
      </c>
      <c r="K2050" s="13" t="str">
        <f>IFERROR(__xludf.DUMMYFUNCTION("""COMPUTED_VALUE"""),"Selesai")</f>
        <v>Selesai</v>
      </c>
      <c r="L2050" s="17">
        <f>IFERROR(__xludf.DUMMYFUNCTION("""COMPUTED_VALUE"""),45784.64379099537)</f>
        <v>45784.64379</v>
      </c>
      <c r="M2050" s="13"/>
      <c r="N2050" s="13" t="str">
        <f>IFERROR(__xludf.DUMMYFUNCTION("""COMPUTED_VALUE"""),"")</f>
        <v/>
      </c>
      <c r="O2050" s="13" t="str">
        <f t="shared" si="1"/>
        <v/>
      </c>
    </row>
    <row r="2051" ht="22.5" customHeight="1">
      <c r="B2051" s="13">
        <f>IFERROR(__xludf.DUMMYFUNCTION("""COMPUTED_VALUE"""),2046.0)</f>
        <v>2046</v>
      </c>
      <c r="C2051" s="13" t="str">
        <f>IFERROR(__xludf.DUMMYFUNCTION("""COMPUTED_VALUE"""),"M. 12442/ Jagabaya II")</f>
        <v>M. 12442/ Jagabaya II</v>
      </c>
      <c r="D2051" s="13" t="str">
        <f>IFERROR(__xludf.DUMMYFUNCTION("""COMPUTED_VALUE"""),"K/35/170425/2")</f>
        <v>K/35/170425/2</v>
      </c>
      <c r="E2051" s="14" t="str">
        <f>IFERROR(__xludf.DUMMYFUNCTION("""COMPUTED_VALUE"""),"Nadian (BT)")</f>
        <v>Nadian (BT)</v>
      </c>
      <c r="F2051" s="14" t="str">
        <f>IFERROR(__xludf.DUMMYFUNCTION("""COMPUTED_VALUE"""),"SELESAI (VIA PERMOHONAN)")</f>
        <v>SELESAI (VIA PERMOHONAN)</v>
      </c>
      <c r="G2051" s="17">
        <f>IFERROR(__xludf.DUMMYFUNCTION("""COMPUTED_VALUE"""),45783.573431689816)</f>
        <v>45783.57343</v>
      </c>
      <c r="H2051" s="14" t="str">
        <f>IFERROR(__xludf.DUMMYFUNCTION("""COMPUTED_VALUE"""),"Bu Eva (SU)")</f>
        <v>Bu Eva (SU)</v>
      </c>
      <c r="I2051" s="13" t="str">
        <f>IFERROR(__xludf.DUMMYFUNCTION("""COMPUTED_VALUE"""),"SELESAI (VIA PERMOHONAN)")</f>
        <v>SELESAI (VIA PERMOHONAN)</v>
      </c>
      <c r="J2051" s="17">
        <f>IFERROR(__xludf.DUMMYFUNCTION("""COMPUTED_VALUE"""),45784.64379099537)</f>
        <v>45784.64379</v>
      </c>
      <c r="K2051" s="13" t="str">
        <f>IFERROR(__xludf.DUMMYFUNCTION("""COMPUTED_VALUE"""),"Selesai")</f>
        <v>Selesai</v>
      </c>
      <c r="L2051" s="17">
        <f>IFERROR(__xludf.DUMMYFUNCTION("""COMPUTED_VALUE"""),45784.64379099537)</f>
        <v>45784.64379</v>
      </c>
      <c r="M2051" s="13"/>
      <c r="N2051" s="13" t="str">
        <f>IFERROR(__xludf.DUMMYFUNCTION("""COMPUTED_VALUE"""),"")</f>
        <v/>
      </c>
      <c r="O2051" s="13" t="str">
        <f t="shared" si="1"/>
        <v/>
      </c>
    </row>
    <row r="2052" ht="22.5" customHeight="1">
      <c r="B2052" s="13">
        <f>IFERROR(__xludf.DUMMYFUNCTION("""COMPUTED_VALUE"""),2047.0)</f>
        <v>2047</v>
      </c>
      <c r="C2052" s="13" t="str">
        <f>IFERROR(__xludf.DUMMYFUNCTION("""COMPUTED_VALUE"""),"B. 766/ Sumur Putri")</f>
        <v>B. 766/ Sumur Putri</v>
      </c>
      <c r="D2052" s="13" t="str">
        <f>IFERROR(__xludf.DUMMYFUNCTION("""COMPUTED_VALUE"""),"K/3/130325/3")</f>
        <v>K/3/130325/3</v>
      </c>
      <c r="E2052" s="14" t="str">
        <f>IFERROR(__xludf.DUMMYFUNCTION("""COMPUTED_VALUE"""),"Nadian (BT)")</f>
        <v>Nadian (BT)</v>
      </c>
      <c r="F2052" s="14" t="str">
        <f>IFERROR(__xludf.DUMMYFUNCTION("""COMPUTED_VALUE"""),"SELESAI (VIA PERMOHONAN)")</f>
        <v>SELESAI (VIA PERMOHONAN)</v>
      </c>
      <c r="G2052" s="17">
        <f>IFERROR(__xludf.DUMMYFUNCTION("""COMPUTED_VALUE"""),45783.573431689816)</f>
        <v>45783.57343</v>
      </c>
      <c r="H2052" s="14" t="str">
        <f>IFERROR(__xludf.DUMMYFUNCTION("""COMPUTED_VALUE"""),"Bu Eva (SU)")</f>
        <v>Bu Eva (SU)</v>
      </c>
      <c r="I2052" s="13" t="str">
        <f>IFERROR(__xludf.DUMMYFUNCTION("""COMPUTED_VALUE"""),"SELESAI (VIA PERMOHONAN)")</f>
        <v>SELESAI (VIA PERMOHONAN)</v>
      </c>
      <c r="J2052" s="17">
        <f>IFERROR(__xludf.DUMMYFUNCTION("""COMPUTED_VALUE"""),45784.64379099537)</f>
        <v>45784.64379</v>
      </c>
      <c r="K2052" s="13" t="str">
        <f>IFERROR(__xludf.DUMMYFUNCTION("""COMPUTED_VALUE"""),"Selesai")</f>
        <v>Selesai</v>
      </c>
      <c r="L2052" s="17">
        <f>IFERROR(__xludf.DUMMYFUNCTION("""COMPUTED_VALUE"""),45784.64379099537)</f>
        <v>45784.64379</v>
      </c>
      <c r="M2052" s="13"/>
      <c r="N2052" s="13" t="str">
        <f>IFERROR(__xludf.DUMMYFUNCTION("""COMPUTED_VALUE"""),"")</f>
        <v/>
      </c>
      <c r="O2052" s="13" t="str">
        <f t="shared" si="1"/>
        <v/>
      </c>
    </row>
    <row r="2053" ht="22.5" customHeight="1">
      <c r="B2053" s="13">
        <f>IFERROR(__xludf.DUMMYFUNCTION("""COMPUTED_VALUE"""),2048.0)</f>
        <v>2048</v>
      </c>
      <c r="C2053" s="13" t="str">
        <f>IFERROR(__xludf.DUMMYFUNCTION("""COMPUTED_VALUE"""),"M. 3119/ Sukarame II")</f>
        <v>M. 3119/ Sukarame II</v>
      </c>
      <c r="D2053" s="13" t="str">
        <f>IFERROR(__xludf.DUMMYFUNCTION("""COMPUTED_VALUE"""),"K/14/260325/3")</f>
        <v>K/14/260325/3</v>
      </c>
      <c r="E2053" s="14" t="str">
        <f>IFERROR(__xludf.DUMMYFUNCTION("""COMPUTED_VALUE"""),"Nadian (BT)")</f>
        <v>Nadian (BT)</v>
      </c>
      <c r="F2053" s="14" t="str">
        <f>IFERROR(__xludf.DUMMYFUNCTION("""COMPUTED_VALUE"""),"SELESAI (VIA PERMOHONAN)")</f>
        <v>SELESAI (VIA PERMOHONAN)</v>
      </c>
      <c r="G2053" s="17">
        <f>IFERROR(__xludf.DUMMYFUNCTION("""COMPUTED_VALUE"""),45783.573431689816)</f>
        <v>45783.57343</v>
      </c>
      <c r="H2053" s="14" t="str">
        <f>IFERROR(__xludf.DUMMYFUNCTION("""COMPUTED_VALUE"""),"Bu Eva (SU)")</f>
        <v>Bu Eva (SU)</v>
      </c>
      <c r="I2053" s="13" t="str">
        <f>IFERROR(__xludf.DUMMYFUNCTION("""COMPUTED_VALUE"""),"SELESAI (VIA PERMOHONAN)")</f>
        <v>SELESAI (VIA PERMOHONAN)</v>
      </c>
      <c r="J2053" s="17">
        <f>IFERROR(__xludf.DUMMYFUNCTION("""COMPUTED_VALUE"""),45784.64379099537)</f>
        <v>45784.64379</v>
      </c>
      <c r="K2053" s="13" t="str">
        <f>IFERROR(__xludf.DUMMYFUNCTION("""COMPUTED_VALUE"""),"Selesai")</f>
        <v>Selesai</v>
      </c>
      <c r="L2053" s="17">
        <f>IFERROR(__xludf.DUMMYFUNCTION("""COMPUTED_VALUE"""),45784.64379099537)</f>
        <v>45784.64379</v>
      </c>
      <c r="M2053" s="13"/>
      <c r="N2053" s="13" t="str">
        <f>IFERROR(__xludf.DUMMYFUNCTION("""COMPUTED_VALUE"""),"")</f>
        <v/>
      </c>
      <c r="O2053" s="13" t="str">
        <f t="shared" si="1"/>
        <v/>
      </c>
    </row>
    <row r="2054" ht="22.5" customHeight="1">
      <c r="B2054" s="13">
        <f>IFERROR(__xludf.DUMMYFUNCTION("""COMPUTED_VALUE"""),2049.0)</f>
        <v>2049</v>
      </c>
      <c r="C2054" s="13" t="str">
        <f>IFERROR(__xludf.DUMMYFUNCTION("""COMPUTED_VALUE"""),"M. 6415/ Way Kandis")</f>
        <v>M. 6415/ Way Kandis</v>
      </c>
      <c r="D2054" s="13" t="str">
        <f>IFERROR(__xludf.DUMMYFUNCTION("""COMPUTED_VALUE"""),"K/3/240425/3")</f>
        <v>K/3/240425/3</v>
      </c>
      <c r="E2054" s="14" t="str">
        <f>IFERROR(__xludf.DUMMYFUNCTION("""COMPUTED_VALUE"""),"Nadian (BT)")</f>
        <v>Nadian (BT)</v>
      </c>
      <c r="F2054" s="14" t="str">
        <f>IFERROR(__xludf.DUMMYFUNCTION("""COMPUTED_VALUE"""),"SELESAI (VIA PERMOHONAN)")</f>
        <v>SELESAI (VIA PERMOHONAN)</v>
      </c>
      <c r="G2054" s="17">
        <f>IFERROR(__xludf.DUMMYFUNCTION("""COMPUTED_VALUE"""),45783.57346545139)</f>
        <v>45783.57347</v>
      </c>
      <c r="H2054" s="14" t="str">
        <f>IFERROR(__xludf.DUMMYFUNCTION("""COMPUTED_VALUE"""),"Bu Eva (SU)")</f>
        <v>Bu Eva (SU)</v>
      </c>
      <c r="I2054" s="13" t="str">
        <f>IFERROR(__xludf.DUMMYFUNCTION("""COMPUTED_VALUE"""),"SELESAI (VIA PERMOHONAN)")</f>
        <v>SELESAI (VIA PERMOHONAN)</v>
      </c>
      <c r="J2054" s="17">
        <f>IFERROR(__xludf.DUMMYFUNCTION("""COMPUTED_VALUE"""),45784.64379099537)</f>
        <v>45784.64379</v>
      </c>
      <c r="K2054" s="13" t="str">
        <f>IFERROR(__xludf.DUMMYFUNCTION("""COMPUTED_VALUE"""),"Selesai")</f>
        <v>Selesai</v>
      </c>
      <c r="L2054" s="17">
        <f>IFERROR(__xludf.DUMMYFUNCTION("""COMPUTED_VALUE"""),45784.64379099537)</f>
        <v>45784.64379</v>
      </c>
      <c r="M2054" s="13"/>
      <c r="N2054" s="13" t="str">
        <f>IFERROR(__xludf.DUMMYFUNCTION("""COMPUTED_VALUE"""),"")</f>
        <v/>
      </c>
      <c r="O2054" s="13" t="str">
        <f t="shared" si="1"/>
        <v/>
      </c>
    </row>
    <row r="2055" ht="22.5" customHeight="1">
      <c r="B2055" s="13">
        <f>IFERROR(__xludf.DUMMYFUNCTION("""COMPUTED_VALUE"""),2050.0)</f>
        <v>2050</v>
      </c>
      <c r="C2055" s="13" t="str">
        <f>IFERROR(__xludf.DUMMYFUNCTION("""COMPUTED_VALUE"""),"M.2391/KEDAUNG")</f>
        <v>M.2391/KEDAUNG</v>
      </c>
      <c r="D2055" s="13" t="str">
        <f>IFERROR(__xludf.DUMMYFUNCTION("""COMPUTED_VALUE"""),"w")</f>
        <v>w</v>
      </c>
      <c r="E2055" s="14" t="str">
        <f>IFERROR(__xludf.DUMMYFUNCTION("""COMPUTED_VALUE"""),"Nadian (BT)")</f>
        <v>Nadian (BT)</v>
      </c>
      <c r="F2055" s="14" t="str">
        <f>IFERROR(__xludf.DUMMYFUNCTION("""COMPUTED_VALUE"""),"SELESAI (VIA PERMOHONAN)")</f>
        <v>SELESAI (VIA PERMOHONAN)</v>
      </c>
      <c r="G2055" s="17">
        <f>IFERROR(__xludf.DUMMYFUNCTION("""COMPUTED_VALUE"""),45783.57346545139)</f>
        <v>45783.57347</v>
      </c>
      <c r="H2055" s="14" t="str">
        <f>IFERROR(__xludf.DUMMYFUNCTION("""COMPUTED_VALUE"""),"Bu Eva (SU)")</f>
        <v>Bu Eva (SU)</v>
      </c>
      <c r="I2055" s="13" t="str">
        <f>IFERROR(__xludf.DUMMYFUNCTION("""COMPUTED_VALUE"""),"SELESAI (VIA PERMOHONAN)")</f>
        <v>SELESAI (VIA PERMOHONAN)</v>
      </c>
      <c r="J2055" s="17">
        <f>IFERROR(__xludf.DUMMYFUNCTION("""COMPUTED_VALUE"""),45784.64379099537)</f>
        <v>45784.64379</v>
      </c>
      <c r="K2055" s="13" t="str">
        <f>IFERROR(__xludf.DUMMYFUNCTION("""COMPUTED_VALUE"""),"Selesai")</f>
        <v>Selesai</v>
      </c>
      <c r="L2055" s="17">
        <f>IFERROR(__xludf.DUMMYFUNCTION("""COMPUTED_VALUE"""),45784.64379099537)</f>
        <v>45784.64379</v>
      </c>
      <c r="M2055" s="13"/>
      <c r="N2055" s="13" t="str">
        <f>IFERROR(__xludf.DUMMYFUNCTION("""COMPUTED_VALUE"""),"")</f>
        <v/>
      </c>
      <c r="O2055" s="13" t="str">
        <f t="shared" si="1"/>
        <v/>
      </c>
    </row>
    <row r="2056" ht="22.5" customHeight="1">
      <c r="B2056" s="13">
        <f>IFERROR(__xludf.DUMMYFUNCTION("""COMPUTED_VALUE"""),2051.0)</f>
        <v>2051</v>
      </c>
      <c r="C2056" s="13" t="str">
        <f>IFERROR(__xludf.DUMMYFUNCTION("""COMPUTED_VALUE"""),"M. 343/ Kangkung")</f>
        <v>M. 343/ Kangkung</v>
      </c>
      <c r="D2056" s="13" t="str">
        <f>IFERROR(__xludf.DUMMYFUNCTION("""COMPUTED_VALUE"""),"K/33/290425/1")</f>
        <v>K/33/290425/1</v>
      </c>
      <c r="E2056" s="14" t="str">
        <f>IFERROR(__xludf.DUMMYFUNCTION("""COMPUTED_VALUE"""),"Afriza (BT)")</f>
        <v>Afriza (BT)</v>
      </c>
      <c r="F2056" s="14" t="str">
        <f>IFERROR(__xludf.DUMMYFUNCTION("""COMPUTED_VALUE"""),"SELESAI (VIA PERMOHONAN)")</f>
        <v>SELESAI (VIA PERMOHONAN)</v>
      </c>
      <c r="G2056" s="17">
        <f>IFERROR(__xludf.DUMMYFUNCTION("""COMPUTED_VALUE"""),45783.66721222222)</f>
        <v>45783.66721</v>
      </c>
      <c r="H2056" s="14" t="str">
        <f>IFERROR(__xludf.DUMMYFUNCTION("""COMPUTED_VALUE"""),"Bu Eva (SU)")</f>
        <v>Bu Eva (SU)</v>
      </c>
      <c r="I2056" s="13" t="str">
        <f>IFERROR(__xludf.DUMMYFUNCTION("""COMPUTED_VALUE"""),"SELESAI (VIA PERMOHONAN)")</f>
        <v>SELESAI (VIA PERMOHONAN)</v>
      </c>
      <c r="J2056" s="17">
        <f>IFERROR(__xludf.DUMMYFUNCTION("""COMPUTED_VALUE"""),45783.66727819444)</f>
        <v>45783.66728</v>
      </c>
      <c r="K2056" s="13" t="str">
        <f>IFERROR(__xludf.DUMMYFUNCTION("""COMPUTED_VALUE"""),"Selesai")</f>
        <v>Selesai</v>
      </c>
      <c r="L2056" s="17">
        <f>IFERROR(__xludf.DUMMYFUNCTION("""COMPUTED_VALUE"""),45783.66727819444)</f>
        <v>45783.66728</v>
      </c>
      <c r="M2056" s="13"/>
      <c r="N2056" s="13" t="str">
        <f>IFERROR(__xludf.DUMMYFUNCTION("""COMPUTED_VALUE"""),"")</f>
        <v/>
      </c>
      <c r="O2056" s="13" t="str">
        <f t="shared" si="1"/>
        <v/>
      </c>
    </row>
    <row r="2057" ht="22.5" customHeight="1">
      <c r="B2057" s="13">
        <f>IFERROR(__xludf.DUMMYFUNCTION("""COMPUTED_VALUE"""),2052.0)</f>
        <v>2052</v>
      </c>
      <c r="C2057" s="13" t="str">
        <f>IFERROR(__xludf.DUMMYFUNCTION("""COMPUTED_VALUE"""),"M. 6458/ Way Kandis")</f>
        <v>M. 6458/ Way Kandis</v>
      </c>
      <c r="D2057" s="13" t="str">
        <f>IFERROR(__xludf.DUMMYFUNCTION("""COMPUTED_VALUE"""),"K/23/150425/1")</f>
        <v>K/23/150425/1</v>
      </c>
      <c r="E2057" s="14" t="str">
        <f>IFERROR(__xludf.DUMMYFUNCTION("""COMPUTED_VALUE"""),"Afriza (BT)")</f>
        <v>Afriza (BT)</v>
      </c>
      <c r="F2057" s="14" t="str">
        <f>IFERROR(__xludf.DUMMYFUNCTION("""COMPUTED_VALUE"""),"SELESAI (VIA PERMOHONAN)")</f>
        <v>SELESAI (VIA PERMOHONAN)</v>
      </c>
      <c r="G2057" s="17">
        <f>IFERROR(__xludf.DUMMYFUNCTION("""COMPUTED_VALUE"""),45783.72286149306)</f>
        <v>45783.72286</v>
      </c>
      <c r="H2057" s="14" t="str">
        <f>IFERROR(__xludf.DUMMYFUNCTION("""COMPUTED_VALUE"""),"Bu Eva (SU)")</f>
        <v>Bu Eva (SU)</v>
      </c>
      <c r="I2057" s="13" t="str">
        <f>IFERROR(__xludf.DUMMYFUNCTION("""COMPUTED_VALUE"""),"SELESAI (VIA PERMOHONAN)")</f>
        <v>SELESAI (VIA PERMOHONAN)</v>
      </c>
      <c r="J2057" s="17">
        <f>IFERROR(__xludf.DUMMYFUNCTION("""COMPUTED_VALUE"""),45784.64379099537)</f>
        <v>45784.64379</v>
      </c>
      <c r="K2057" s="13" t="str">
        <f>IFERROR(__xludf.DUMMYFUNCTION("""COMPUTED_VALUE"""),"Selesai")</f>
        <v>Selesai</v>
      </c>
      <c r="L2057" s="17">
        <f>IFERROR(__xludf.DUMMYFUNCTION("""COMPUTED_VALUE"""),45784.64379099537)</f>
        <v>45784.64379</v>
      </c>
      <c r="M2057" s="13"/>
      <c r="N2057" s="13" t="str">
        <f>IFERROR(__xludf.DUMMYFUNCTION("""COMPUTED_VALUE"""),"")</f>
        <v/>
      </c>
      <c r="O2057" s="13" t="str">
        <f t="shared" si="1"/>
        <v/>
      </c>
    </row>
    <row r="2058" ht="22.5" customHeight="1">
      <c r="B2058" s="13">
        <f>IFERROR(__xludf.DUMMYFUNCTION("""COMPUTED_VALUE"""),2053.0)</f>
        <v>2053</v>
      </c>
      <c r="C2058" s="13" t="str">
        <f>IFERROR(__xludf.DUMMYFUNCTION("""COMPUTED_VALUE"""),"M. 6685/ Tanjung Senang")</f>
        <v>M. 6685/ Tanjung Senang</v>
      </c>
      <c r="D2058" s="13" t="str">
        <f>IFERROR(__xludf.DUMMYFUNCTION("""COMPUTED_VALUE"""),"K/22/290425/1")</f>
        <v>K/22/290425/1</v>
      </c>
      <c r="E2058" s="14" t="str">
        <f>IFERROR(__xludf.DUMMYFUNCTION("""COMPUTED_VALUE"""),"Afriza (BT)")</f>
        <v>Afriza (BT)</v>
      </c>
      <c r="F2058" s="14" t="str">
        <f>IFERROR(__xludf.DUMMYFUNCTION("""COMPUTED_VALUE"""),"SELESAI (VIA PERMOHONAN)")</f>
        <v>SELESAI (VIA PERMOHONAN)</v>
      </c>
      <c r="G2058" s="17">
        <f>IFERROR(__xludf.DUMMYFUNCTION("""COMPUTED_VALUE"""),45783.72292752315)</f>
        <v>45783.72293</v>
      </c>
      <c r="H2058" s="14" t="str">
        <f>IFERROR(__xludf.DUMMYFUNCTION("""COMPUTED_VALUE"""),"Bu Eva (SU)")</f>
        <v>Bu Eva (SU)</v>
      </c>
      <c r="I2058" s="13" t="str">
        <f>IFERROR(__xludf.DUMMYFUNCTION("""COMPUTED_VALUE"""),"SELESAI (VIA PERMOHONAN)")</f>
        <v>SELESAI (VIA PERMOHONAN)</v>
      </c>
      <c r="J2058" s="17">
        <f>IFERROR(__xludf.DUMMYFUNCTION("""COMPUTED_VALUE"""),45784.64379099537)</f>
        <v>45784.64379</v>
      </c>
      <c r="K2058" s="13" t="str">
        <f>IFERROR(__xludf.DUMMYFUNCTION("""COMPUTED_VALUE"""),"Selesai")</f>
        <v>Selesai</v>
      </c>
      <c r="L2058" s="17">
        <f>IFERROR(__xludf.DUMMYFUNCTION("""COMPUTED_VALUE"""),45784.64379099537)</f>
        <v>45784.64379</v>
      </c>
      <c r="M2058" s="13"/>
      <c r="N2058" s="13" t="str">
        <f>IFERROR(__xludf.DUMMYFUNCTION("""COMPUTED_VALUE"""),"")</f>
        <v/>
      </c>
      <c r="O2058" s="13" t="str">
        <f t="shared" si="1"/>
        <v/>
      </c>
    </row>
    <row r="2059" ht="22.5" customHeight="1">
      <c r="B2059" s="13">
        <f>IFERROR(__xludf.DUMMYFUNCTION("""COMPUTED_VALUE"""),2054.0)</f>
        <v>2054</v>
      </c>
      <c r="C2059" s="13" t="str">
        <f>IFERROR(__xludf.DUMMYFUNCTION("""COMPUTED_VALUE"""),"M. 14604/ Sukabumi")</f>
        <v>M. 14604/ Sukabumi</v>
      </c>
      <c r="D2059" s="13" t="str">
        <f>IFERROR(__xludf.DUMMYFUNCTION("""COMPUTED_VALUE"""),"K/1/300425/1")</f>
        <v>K/1/300425/1</v>
      </c>
      <c r="E2059" s="14" t="str">
        <f>IFERROR(__xludf.DUMMYFUNCTION("""COMPUTED_VALUE"""),"Afriza (BT)")</f>
        <v>Afriza (BT)</v>
      </c>
      <c r="F2059" s="14" t="str">
        <f>IFERROR(__xludf.DUMMYFUNCTION("""COMPUTED_VALUE"""),"SELESAI (VIA PERMOHONAN)")</f>
        <v>SELESAI (VIA PERMOHONAN)</v>
      </c>
      <c r="G2059" s="17">
        <f>IFERROR(__xludf.DUMMYFUNCTION("""COMPUTED_VALUE"""),45783.72318166667)</f>
        <v>45783.72318</v>
      </c>
      <c r="H2059" s="14" t="str">
        <f>IFERROR(__xludf.DUMMYFUNCTION("""COMPUTED_VALUE"""),"Bu Eva (SU)")</f>
        <v>Bu Eva (SU)</v>
      </c>
      <c r="I2059" s="13" t="str">
        <f>IFERROR(__xludf.DUMMYFUNCTION("""COMPUTED_VALUE"""),"SELESAI (VIA PERMOHONAN)")</f>
        <v>SELESAI (VIA PERMOHONAN)</v>
      </c>
      <c r="J2059" s="17">
        <f>IFERROR(__xludf.DUMMYFUNCTION("""COMPUTED_VALUE"""),45784.64379099537)</f>
        <v>45784.64379</v>
      </c>
      <c r="K2059" s="13" t="str">
        <f>IFERROR(__xludf.DUMMYFUNCTION("""COMPUTED_VALUE"""),"Selesai")</f>
        <v>Selesai</v>
      </c>
      <c r="L2059" s="17">
        <f>IFERROR(__xludf.DUMMYFUNCTION("""COMPUTED_VALUE"""),45784.64379099537)</f>
        <v>45784.64379</v>
      </c>
      <c r="M2059" s="13"/>
      <c r="N2059" s="13" t="str">
        <f>IFERROR(__xludf.DUMMYFUNCTION("""COMPUTED_VALUE"""),"")</f>
        <v/>
      </c>
      <c r="O2059" s="13" t="str">
        <f t="shared" si="1"/>
        <v/>
      </c>
    </row>
    <row r="2060" ht="22.5" customHeight="1">
      <c r="B2060" s="13">
        <f>IFERROR(__xludf.DUMMYFUNCTION("""COMPUTED_VALUE"""),2055.0)</f>
        <v>2055</v>
      </c>
      <c r="C2060" s="13" t="str">
        <f>IFERROR(__xludf.DUMMYFUNCTION("""COMPUTED_VALUE"""),"HM 11191/SEGALA MIDER")</f>
        <v>HM 11191/SEGALA MIDER</v>
      </c>
      <c r="D2060" s="13" t="str">
        <f>IFERROR(__xludf.DUMMYFUNCTION("""COMPUTED_VALUE"""),"L/13/300425/1")</f>
        <v>L/13/300425/1</v>
      </c>
      <c r="E2060" s="14" t="str">
        <f>IFERROR(__xludf.DUMMYFUNCTION("""COMPUTED_VALUE"""),"Afriza (BT)")</f>
        <v>Afriza (BT)</v>
      </c>
      <c r="F2060" s="14" t="str">
        <f>IFERROR(__xludf.DUMMYFUNCTION("""COMPUTED_VALUE"""),"SELESAI (VIA PERMOHONAN)")</f>
        <v>SELESAI (VIA PERMOHONAN)</v>
      </c>
      <c r="G2060" s="17">
        <f>IFERROR(__xludf.DUMMYFUNCTION("""COMPUTED_VALUE"""),45783.723280439815)</f>
        <v>45783.72328</v>
      </c>
      <c r="H2060" s="14" t="str">
        <f>IFERROR(__xludf.DUMMYFUNCTION("""COMPUTED_VALUE"""),"Bu Eva (SU)")</f>
        <v>Bu Eva (SU)</v>
      </c>
      <c r="I2060" s="13" t="str">
        <f>IFERROR(__xludf.DUMMYFUNCTION("""COMPUTED_VALUE"""),"SELESAI (VIA PERMOHONAN)")</f>
        <v>SELESAI (VIA PERMOHONAN)</v>
      </c>
      <c r="J2060" s="17">
        <f>IFERROR(__xludf.DUMMYFUNCTION("""COMPUTED_VALUE"""),45784.64379099537)</f>
        <v>45784.64379</v>
      </c>
      <c r="K2060" s="13" t="str">
        <f>IFERROR(__xludf.DUMMYFUNCTION("""COMPUTED_VALUE"""),"Selesai")</f>
        <v>Selesai</v>
      </c>
      <c r="L2060" s="17">
        <f>IFERROR(__xludf.DUMMYFUNCTION("""COMPUTED_VALUE"""),45784.64379099537)</f>
        <v>45784.64379</v>
      </c>
      <c r="M2060" s="13"/>
      <c r="N2060" s="13" t="str">
        <f>IFERROR(__xludf.DUMMYFUNCTION("""COMPUTED_VALUE"""),"")</f>
        <v/>
      </c>
      <c r="O2060" s="13" t="str">
        <f t="shared" si="1"/>
        <v/>
      </c>
    </row>
    <row r="2061" ht="22.5" customHeight="1">
      <c r="B2061" s="13">
        <f>IFERROR(__xludf.DUMMYFUNCTION("""COMPUTED_VALUE"""),2056.0)</f>
        <v>2056</v>
      </c>
      <c r="C2061" s="13" t="str">
        <f>IFERROR(__xludf.DUMMYFUNCTION("""COMPUTED_VALUE"""),"HM 2776/S KEMILING")</f>
        <v>HM 2776/S KEMILING</v>
      </c>
      <c r="D2061" s="13" t="str">
        <f>IFERROR(__xludf.DUMMYFUNCTION("""COMPUTED_VALUE"""),"L/5/150425/1")</f>
        <v>L/5/150425/1</v>
      </c>
      <c r="E2061" s="14" t="str">
        <f>IFERROR(__xludf.DUMMYFUNCTION("""COMPUTED_VALUE"""),"Afriza (BT)")</f>
        <v>Afriza (BT)</v>
      </c>
      <c r="F2061" s="14" t="str">
        <f>IFERROR(__xludf.DUMMYFUNCTION("""COMPUTED_VALUE"""),"SELESAI (VIA PERMOHONAN)")</f>
        <v>SELESAI (VIA PERMOHONAN)</v>
      </c>
      <c r="G2061" s="17">
        <f>IFERROR(__xludf.DUMMYFUNCTION("""COMPUTED_VALUE"""),45783.72358114584)</f>
        <v>45783.72358</v>
      </c>
      <c r="H2061" s="14" t="str">
        <f>IFERROR(__xludf.DUMMYFUNCTION("""COMPUTED_VALUE"""),"Bu Eva (SU)")</f>
        <v>Bu Eva (SU)</v>
      </c>
      <c r="I2061" s="13" t="str">
        <f>IFERROR(__xludf.DUMMYFUNCTION("""COMPUTED_VALUE"""),"SELESAI (VIA PERMOHONAN)")</f>
        <v>SELESAI (VIA PERMOHONAN)</v>
      </c>
      <c r="J2061" s="17">
        <f>IFERROR(__xludf.DUMMYFUNCTION("""COMPUTED_VALUE"""),45784.64379099537)</f>
        <v>45784.64379</v>
      </c>
      <c r="K2061" s="13" t="str">
        <f>IFERROR(__xludf.DUMMYFUNCTION("""COMPUTED_VALUE"""),"Selesai")</f>
        <v>Selesai</v>
      </c>
      <c r="L2061" s="17">
        <f>IFERROR(__xludf.DUMMYFUNCTION("""COMPUTED_VALUE"""),45784.64379099537)</f>
        <v>45784.64379</v>
      </c>
      <c r="M2061" s="13"/>
      <c r="N2061" s="13" t="str">
        <f>IFERROR(__xludf.DUMMYFUNCTION("""COMPUTED_VALUE"""),"")</f>
        <v/>
      </c>
      <c r="O2061" s="13" t="str">
        <f t="shared" si="1"/>
        <v/>
      </c>
    </row>
    <row r="2062" ht="22.5" customHeight="1">
      <c r="B2062" s="13">
        <f>IFERROR(__xludf.DUMMYFUNCTION("""COMPUTED_VALUE"""),2057.0)</f>
        <v>2057</v>
      </c>
      <c r="C2062" s="13" t="str">
        <f>IFERROR(__xludf.DUMMYFUNCTION("""COMPUTED_VALUE"""),"HM 542/SUKARAME BARU")</f>
        <v>HM 542/SUKARAME BARU</v>
      </c>
      <c r="D2062" s="13" t="str">
        <f>IFERROR(__xludf.DUMMYFUNCTION("""COMPUTED_VALUE"""),"L/19/290425/1")</f>
        <v>L/19/290425/1</v>
      </c>
      <c r="E2062" s="14" t="str">
        <f>IFERROR(__xludf.DUMMYFUNCTION("""COMPUTED_VALUE"""),"Afriza (BT)")</f>
        <v>Afriza (BT)</v>
      </c>
      <c r="F2062" s="14" t="str">
        <f>IFERROR(__xludf.DUMMYFUNCTION("""COMPUTED_VALUE"""),"SELESAI (VIA PERMOHONAN)")</f>
        <v>SELESAI (VIA PERMOHONAN)</v>
      </c>
      <c r="G2062" s="17">
        <f>IFERROR(__xludf.DUMMYFUNCTION("""COMPUTED_VALUE"""),45783.72367925926)</f>
        <v>45783.72368</v>
      </c>
      <c r="H2062" s="14" t="str">
        <f>IFERROR(__xludf.DUMMYFUNCTION("""COMPUTED_VALUE"""),"Bu Eva (SU)")</f>
        <v>Bu Eva (SU)</v>
      </c>
      <c r="I2062" s="13" t="str">
        <f>IFERROR(__xludf.DUMMYFUNCTION("""COMPUTED_VALUE"""),"SELESAI (VIA PERMOHONAN)")</f>
        <v>SELESAI (VIA PERMOHONAN)</v>
      </c>
      <c r="J2062" s="17">
        <f>IFERROR(__xludf.DUMMYFUNCTION("""COMPUTED_VALUE"""),45784.64379099537)</f>
        <v>45784.64379</v>
      </c>
      <c r="K2062" s="13" t="str">
        <f>IFERROR(__xludf.DUMMYFUNCTION("""COMPUTED_VALUE"""),"Selesai")</f>
        <v>Selesai</v>
      </c>
      <c r="L2062" s="17">
        <f>IFERROR(__xludf.DUMMYFUNCTION("""COMPUTED_VALUE"""),45784.64379099537)</f>
        <v>45784.64379</v>
      </c>
      <c r="M2062" s="13"/>
      <c r="N2062" s="13" t="str">
        <f>IFERROR(__xludf.DUMMYFUNCTION("""COMPUTED_VALUE"""),"")</f>
        <v/>
      </c>
      <c r="O2062" s="13" t="str">
        <f t="shared" si="1"/>
        <v/>
      </c>
    </row>
    <row r="2063" ht="22.5" customHeight="1">
      <c r="B2063" s="13">
        <f>IFERROR(__xludf.DUMMYFUNCTION("""COMPUTED_VALUE"""),2058.0)</f>
        <v>2058</v>
      </c>
      <c r="C2063" s="13" t="str">
        <f>IFERROR(__xludf.DUMMYFUNCTION("""COMPUTED_VALUE"""),"M. 6461/ Gunung ulah")</f>
        <v>M. 6461/ Gunung ulah</v>
      </c>
      <c r="D2063" s="13" t="str">
        <f>IFERROR(__xludf.DUMMYFUNCTION("""COMPUTED_VALUE"""),"K/43/220425/1")</f>
        <v>K/43/220425/1</v>
      </c>
      <c r="E2063" s="14" t="str">
        <f>IFERROR(__xludf.DUMMYFUNCTION("""COMPUTED_VALUE"""),"Afriza (BT)")</f>
        <v>Afriza (BT)</v>
      </c>
      <c r="F2063" s="14" t="str">
        <f>IFERROR(__xludf.DUMMYFUNCTION("""COMPUTED_VALUE"""),"SELESAI (VIA PERMOHONAN)")</f>
        <v>SELESAI (VIA PERMOHONAN)</v>
      </c>
      <c r="G2063" s="17">
        <f>IFERROR(__xludf.DUMMYFUNCTION("""COMPUTED_VALUE"""),45783.72378541667)</f>
        <v>45783.72379</v>
      </c>
      <c r="H2063" s="14" t="str">
        <f>IFERROR(__xludf.DUMMYFUNCTION("""COMPUTED_VALUE"""),"Bu Eva (SU)")</f>
        <v>Bu Eva (SU)</v>
      </c>
      <c r="I2063" s="13" t="str">
        <f>IFERROR(__xludf.DUMMYFUNCTION("""COMPUTED_VALUE"""),"SELESAI (VIA PERMOHONAN)")</f>
        <v>SELESAI (VIA PERMOHONAN)</v>
      </c>
      <c r="J2063" s="17">
        <f>IFERROR(__xludf.DUMMYFUNCTION("""COMPUTED_VALUE"""),45784.64379099537)</f>
        <v>45784.64379</v>
      </c>
      <c r="K2063" s="13" t="str">
        <f>IFERROR(__xludf.DUMMYFUNCTION("""COMPUTED_VALUE"""),"Selesai")</f>
        <v>Selesai</v>
      </c>
      <c r="L2063" s="17">
        <f>IFERROR(__xludf.DUMMYFUNCTION("""COMPUTED_VALUE"""),45784.64379099537)</f>
        <v>45784.64379</v>
      </c>
      <c r="M2063" s="13"/>
      <c r="N2063" s="13" t="str">
        <f>IFERROR(__xludf.DUMMYFUNCTION("""COMPUTED_VALUE"""),"")</f>
        <v/>
      </c>
      <c r="O2063" s="13" t="str">
        <f t="shared" si="1"/>
        <v/>
      </c>
    </row>
    <row r="2064" ht="22.5" customHeight="1">
      <c r="B2064" s="13">
        <f>IFERROR(__xludf.DUMMYFUNCTION("""COMPUTED_VALUE"""),2059.0)</f>
        <v>2059</v>
      </c>
      <c r="C2064" s="13" t="str">
        <f>IFERROR(__xludf.DUMMYFUNCTION("""COMPUTED_VALUE"""),"B. 314/ Pematang Wangi")</f>
        <v>B. 314/ Pematang Wangi</v>
      </c>
      <c r="D2064" s="13" t="str">
        <f>IFERROR(__xludf.DUMMYFUNCTION("""COMPUTED_VALUE"""),"K/9/250425/1")</f>
        <v>K/9/250425/1</v>
      </c>
      <c r="E2064" s="14" t="str">
        <f>IFERROR(__xludf.DUMMYFUNCTION("""COMPUTED_VALUE"""),"Afriza (BT)")</f>
        <v>Afriza (BT)</v>
      </c>
      <c r="F2064" s="14" t="str">
        <f>IFERROR(__xludf.DUMMYFUNCTION("""COMPUTED_VALUE"""),"SELESAI (VIA PERMOHONAN)")</f>
        <v>SELESAI (VIA PERMOHONAN)</v>
      </c>
      <c r="G2064" s="17">
        <f>IFERROR(__xludf.DUMMYFUNCTION("""COMPUTED_VALUE"""),45783.72397232639)</f>
        <v>45783.72397</v>
      </c>
      <c r="H2064" s="14" t="str">
        <f>IFERROR(__xludf.DUMMYFUNCTION("""COMPUTED_VALUE"""),"Bu Eva (SU)")</f>
        <v>Bu Eva (SU)</v>
      </c>
      <c r="I2064" s="13" t="str">
        <f>IFERROR(__xludf.DUMMYFUNCTION("""COMPUTED_VALUE"""),"SELESAI (VIA PERMOHONAN)")</f>
        <v>SELESAI (VIA PERMOHONAN)</v>
      </c>
      <c r="J2064" s="17">
        <f>IFERROR(__xludf.DUMMYFUNCTION("""COMPUTED_VALUE"""),45784.64379099537)</f>
        <v>45784.64379</v>
      </c>
      <c r="K2064" s="13" t="str">
        <f>IFERROR(__xludf.DUMMYFUNCTION("""COMPUTED_VALUE"""),"Selesai")</f>
        <v>Selesai</v>
      </c>
      <c r="L2064" s="17">
        <f>IFERROR(__xludf.DUMMYFUNCTION("""COMPUTED_VALUE"""),45784.64379099537)</f>
        <v>45784.64379</v>
      </c>
      <c r="M2064" s="13"/>
      <c r="N2064" s="13" t="str">
        <f>IFERROR(__xludf.DUMMYFUNCTION("""COMPUTED_VALUE"""),"")</f>
        <v/>
      </c>
      <c r="O2064" s="13" t="str">
        <f t="shared" si="1"/>
        <v/>
      </c>
    </row>
    <row r="2065" ht="22.5" customHeight="1">
      <c r="B2065" s="13">
        <f>IFERROR(__xludf.DUMMYFUNCTION("""COMPUTED_VALUE"""),2060.0)</f>
        <v>2060</v>
      </c>
      <c r="C2065" s="13" t="str">
        <f>IFERROR(__xludf.DUMMYFUNCTION("""COMPUTED_VALUE"""),"M. 2256, 2254/ kupang teba")</f>
        <v>M. 2256, 2254/ kupang teba</v>
      </c>
      <c r="D2065" s="13" t="str">
        <f>IFERROR(__xludf.DUMMYFUNCTION("""COMPUTED_VALUE"""),"K/13/290425/1")</f>
        <v>K/13/290425/1</v>
      </c>
      <c r="E2065" s="14" t="str">
        <f>IFERROR(__xludf.DUMMYFUNCTION("""COMPUTED_VALUE"""),"Afriza (BT)")</f>
        <v>Afriza (BT)</v>
      </c>
      <c r="F2065" s="14" t="str">
        <f>IFERROR(__xludf.DUMMYFUNCTION("""COMPUTED_VALUE"""),"SELESAI (VIA PERMOHONAN)")</f>
        <v>SELESAI (VIA PERMOHONAN)</v>
      </c>
      <c r="G2065" s="17">
        <f>IFERROR(__xludf.DUMMYFUNCTION("""COMPUTED_VALUE"""),45783.72424927083)</f>
        <v>45783.72425</v>
      </c>
      <c r="H2065" s="14" t="str">
        <f>IFERROR(__xludf.DUMMYFUNCTION("""COMPUTED_VALUE"""),"Bu Eva (SU)")</f>
        <v>Bu Eva (SU)</v>
      </c>
      <c r="I2065" s="13" t="str">
        <f>IFERROR(__xludf.DUMMYFUNCTION("""COMPUTED_VALUE"""),"SELESAI (VIA PERMOHONAN)")</f>
        <v>SELESAI (VIA PERMOHONAN)</v>
      </c>
      <c r="J2065" s="17">
        <f>IFERROR(__xludf.DUMMYFUNCTION("""COMPUTED_VALUE"""),45784.64379099537)</f>
        <v>45784.64379</v>
      </c>
      <c r="K2065" s="13" t="str">
        <f>IFERROR(__xludf.DUMMYFUNCTION("""COMPUTED_VALUE"""),"Selesai")</f>
        <v>Selesai</v>
      </c>
      <c r="L2065" s="17">
        <f>IFERROR(__xludf.DUMMYFUNCTION("""COMPUTED_VALUE"""),45784.64379099537)</f>
        <v>45784.64379</v>
      </c>
      <c r="M2065" s="13"/>
      <c r="N2065" s="13" t="str">
        <f>IFERROR(__xludf.DUMMYFUNCTION("""COMPUTED_VALUE"""),"")</f>
        <v/>
      </c>
      <c r="O2065" s="13" t="str">
        <f t="shared" si="1"/>
        <v/>
      </c>
    </row>
    <row r="2066" ht="22.5" customHeight="1">
      <c r="B2066" s="13">
        <f>IFERROR(__xludf.DUMMYFUNCTION("""COMPUTED_VALUE"""),2061.0)</f>
        <v>2061</v>
      </c>
      <c r="C2066" s="13" t="str">
        <f>IFERROR(__xludf.DUMMYFUNCTION("""COMPUTED_VALUE"""),"M. 13747/ Kedamaian")</f>
        <v>M. 13747/ Kedamaian</v>
      </c>
      <c r="D2066" s="13" t="str">
        <f>IFERROR(__xludf.DUMMYFUNCTION("""COMPUTED_VALUE"""),"K/29/210425/1")</f>
        <v>K/29/210425/1</v>
      </c>
      <c r="E2066" s="14" t="str">
        <f>IFERROR(__xludf.DUMMYFUNCTION("""COMPUTED_VALUE"""),"Afriza (BT)")</f>
        <v>Afriza (BT)</v>
      </c>
      <c r="F2066" s="14" t="str">
        <f>IFERROR(__xludf.DUMMYFUNCTION("""COMPUTED_VALUE"""),"SELESAI (VIA PERMOHONAN)")</f>
        <v>SELESAI (VIA PERMOHONAN)</v>
      </c>
      <c r="G2066" s="17">
        <f>IFERROR(__xludf.DUMMYFUNCTION("""COMPUTED_VALUE"""),45783.72437162037)</f>
        <v>45783.72437</v>
      </c>
      <c r="H2066" s="14" t="str">
        <f>IFERROR(__xludf.DUMMYFUNCTION("""COMPUTED_VALUE"""),"Bu Eva (SU)")</f>
        <v>Bu Eva (SU)</v>
      </c>
      <c r="I2066" s="13" t="str">
        <f>IFERROR(__xludf.DUMMYFUNCTION("""COMPUTED_VALUE"""),"SELESAI (VIA PERMOHONAN)")</f>
        <v>SELESAI (VIA PERMOHONAN)</v>
      </c>
      <c r="J2066" s="17">
        <f>IFERROR(__xludf.DUMMYFUNCTION("""COMPUTED_VALUE"""),45784.64379099537)</f>
        <v>45784.64379</v>
      </c>
      <c r="K2066" s="13" t="str">
        <f>IFERROR(__xludf.DUMMYFUNCTION("""COMPUTED_VALUE"""),"Selesai")</f>
        <v>Selesai</v>
      </c>
      <c r="L2066" s="17">
        <f>IFERROR(__xludf.DUMMYFUNCTION("""COMPUTED_VALUE"""),45784.64379099537)</f>
        <v>45784.64379</v>
      </c>
      <c r="M2066" s="13"/>
      <c r="N2066" s="13" t="str">
        <f>IFERROR(__xludf.DUMMYFUNCTION("""COMPUTED_VALUE"""),"")</f>
        <v/>
      </c>
      <c r="O2066" s="13" t="str">
        <f t="shared" si="1"/>
        <v/>
      </c>
    </row>
    <row r="2067" ht="22.5" customHeight="1">
      <c r="B2067" s="13">
        <f>IFERROR(__xludf.DUMMYFUNCTION("""COMPUTED_VALUE"""),2062.0)</f>
        <v>2062</v>
      </c>
      <c r="C2067" s="13" t="str">
        <f>IFERROR(__xludf.DUMMYFUNCTION("""COMPUTED_VALUE"""),"M. 123/ Way Kandis")</f>
        <v>M. 123/ Way Kandis</v>
      </c>
      <c r="D2067" s="13" t="str">
        <f>IFERROR(__xludf.DUMMYFUNCTION("""COMPUTED_VALUE"""),"K/36/170425/3")</f>
        <v>K/36/170425/3</v>
      </c>
      <c r="E2067" s="14" t="str">
        <f>IFERROR(__xludf.DUMMYFUNCTION("""COMPUTED_VALUE"""),"Afriza (BT)")</f>
        <v>Afriza (BT)</v>
      </c>
      <c r="F2067" s="14" t="str">
        <f>IFERROR(__xludf.DUMMYFUNCTION("""COMPUTED_VALUE"""),"SELESAI (VIA PERMOHONAN)")</f>
        <v>SELESAI (VIA PERMOHONAN)</v>
      </c>
      <c r="G2067" s="17">
        <f>IFERROR(__xludf.DUMMYFUNCTION("""COMPUTED_VALUE"""),45783.724594074076)</f>
        <v>45783.72459</v>
      </c>
      <c r="H2067" s="14" t="str">
        <f>IFERROR(__xludf.DUMMYFUNCTION("""COMPUTED_VALUE"""),"Bu Eva (SU)")</f>
        <v>Bu Eva (SU)</v>
      </c>
      <c r="I2067" s="13" t="str">
        <f>IFERROR(__xludf.DUMMYFUNCTION("""COMPUTED_VALUE"""),"SELESAI (VIA PERMOHONAN)")</f>
        <v>SELESAI (VIA PERMOHONAN)</v>
      </c>
      <c r="J2067" s="17">
        <f>IFERROR(__xludf.DUMMYFUNCTION("""COMPUTED_VALUE"""),45784.64379099537)</f>
        <v>45784.64379</v>
      </c>
      <c r="K2067" s="13" t="str">
        <f>IFERROR(__xludf.DUMMYFUNCTION("""COMPUTED_VALUE"""),"Selesai")</f>
        <v>Selesai</v>
      </c>
      <c r="L2067" s="17">
        <f>IFERROR(__xludf.DUMMYFUNCTION("""COMPUTED_VALUE"""),45784.64379099537)</f>
        <v>45784.64379</v>
      </c>
      <c r="M2067" s="13"/>
      <c r="N2067" s="13" t="str">
        <f>IFERROR(__xludf.DUMMYFUNCTION("""COMPUTED_VALUE"""),"")</f>
        <v/>
      </c>
      <c r="O2067" s="13" t="str">
        <f t="shared" si="1"/>
        <v/>
      </c>
    </row>
    <row r="2068" ht="22.5" customHeight="1">
      <c r="B2068" s="13">
        <f>IFERROR(__xludf.DUMMYFUNCTION("""COMPUTED_VALUE"""),2063.0)</f>
        <v>2063</v>
      </c>
      <c r="C2068" s="13" t="str">
        <f>IFERROR(__xludf.DUMMYFUNCTION("""COMPUTED_VALUE"""),"M. 322/ Sukabumi Indah")</f>
        <v>M. 322/ Sukabumi Indah</v>
      </c>
      <c r="D2068" s="13" t="str">
        <f>IFERROR(__xludf.DUMMYFUNCTION("""COMPUTED_VALUE"""),"K/40/290425/1")</f>
        <v>K/40/290425/1</v>
      </c>
      <c r="E2068" s="14" t="str">
        <f>IFERROR(__xludf.DUMMYFUNCTION("""COMPUTED_VALUE"""),"Afriza (BT)")</f>
        <v>Afriza (BT)</v>
      </c>
      <c r="F2068" s="14" t="str">
        <f>IFERROR(__xludf.DUMMYFUNCTION("""COMPUTED_VALUE"""),"SELESAI (VIA PERMOHONAN)")</f>
        <v>SELESAI (VIA PERMOHONAN)</v>
      </c>
      <c r="G2068" s="17">
        <f>IFERROR(__xludf.DUMMYFUNCTION("""COMPUTED_VALUE"""),45783.72477114583)</f>
        <v>45783.72477</v>
      </c>
      <c r="H2068" s="14" t="str">
        <f>IFERROR(__xludf.DUMMYFUNCTION("""COMPUTED_VALUE"""),"Bu Eva (SU)")</f>
        <v>Bu Eva (SU)</v>
      </c>
      <c r="I2068" s="13" t="str">
        <f>IFERROR(__xludf.DUMMYFUNCTION("""COMPUTED_VALUE"""),"SELESAI (VIA PERMOHONAN)")</f>
        <v>SELESAI (VIA PERMOHONAN)</v>
      </c>
      <c r="J2068" s="17">
        <f>IFERROR(__xludf.DUMMYFUNCTION("""COMPUTED_VALUE"""),45784.64379099537)</f>
        <v>45784.64379</v>
      </c>
      <c r="K2068" s="13" t="str">
        <f>IFERROR(__xludf.DUMMYFUNCTION("""COMPUTED_VALUE"""),"Selesai")</f>
        <v>Selesai</v>
      </c>
      <c r="L2068" s="17">
        <f>IFERROR(__xludf.DUMMYFUNCTION("""COMPUTED_VALUE"""),45784.64379099537)</f>
        <v>45784.64379</v>
      </c>
      <c r="M2068" s="13"/>
      <c r="N2068" s="13" t="str">
        <f>IFERROR(__xludf.DUMMYFUNCTION("""COMPUTED_VALUE"""),"")</f>
        <v/>
      </c>
      <c r="O2068" s="13" t="str">
        <f t="shared" si="1"/>
        <v/>
      </c>
    </row>
    <row r="2069" ht="22.5" customHeight="1">
      <c r="B2069" s="13">
        <f>IFERROR(__xludf.DUMMYFUNCTION("""COMPUTED_VALUE"""),2064.0)</f>
        <v>2064</v>
      </c>
      <c r="C2069" s="13" t="str">
        <f>IFERROR(__xludf.DUMMYFUNCTION("""COMPUTED_VALUE"""),"M. 10064/ Labuhan Ratu")</f>
        <v>M. 10064/ Labuhan Ratu</v>
      </c>
      <c r="D2069" s="13" t="str">
        <f>IFERROR(__xludf.DUMMYFUNCTION("""COMPUTED_VALUE"""),"K/18/300425/1")</f>
        <v>K/18/300425/1</v>
      </c>
      <c r="E2069" s="14" t="str">
        <f>IFERROR(__xludf.DUMMYFUNCTION("""COMPUTED_VALUE"""),"Afriza (BT)")</f>
        <v>Afriza (BT)</v>
      </c>
      <c r="F2069" s="14" t="str">
        <f>IFERROR(__xludf.DUMMYFUNCTION("""COMPUTED_VALUE"""),"SELESAI (VIA PERMOHONAN)")</f>
        <v>SELESAI (VIA PERMOHONAN)</v>
      </c>
      <c r="G2069" s="17">
        <f>IFERROR(__xludf.DUMMYFUNCTION("""COMPUTED_VALUE"""),45783.72502400463)</f>
        <v>45783.72502</v>
      </c>
      <c r="H2069" s="14" t="str">
        <f>IFERROR(__xludf.DUMMYFUNCTION("""COMPUTED_VALUE"""),"Bu Eva (SU)")</f>
        <v>Bu Eva (SU)</v>
      </c>
      <c r="I2069" s="13" t="str">
        <f>IFERROR(__xludf.DUMMYFUNCTION("""COMPUTED_VALUE"""),"SELESAI (VIA PERMOHONAN)")</f>
        <v>SELESAI (VIA PERMOHONAN)</v>
      </c>
      <c r="J2069" s="17">
        <f>IFERROR(__xludf.DUMMYFUNCTION("""COMPUTED_VALUE"""),45784.64379099537)</f>
        <v>45784.64379</v>
      </c>
      <c r="K2069" s="13" t="str">
        <f>IFERROR(__xludf.DUMMYFUNCTION("""COMPUTED_VALUE"""),"Selesai")</f>
        <v>Selesai</v>
      </c>
      <c r="L2069" s="17">
        <f>IFERROR(__xludf.DUMMYFUNCTION("""COMPUTED_VALUE"""),45784.64379099537)</f>
        <v>45784.64379</v>
      </c>
      <c r="M2069" s="13"/>
      <c r="N2069" s="13" t="str">
        <f>IFERROR(__xludf.DUMMYFUNCTION("""COMPUTED_VALUE"""),"")</f>
        <v/>
      </c>
      <c r="O2069" s="13" t="str">
        <f t="shared" si="1"/>
        <v/>
      </c>
    </row>
    <row r="2070" ht="22.5" customHeight="1">
      <c r="B2070" s="13">
        <f>IFERROR(__xludf.DUMMYFUNCTION("""COMPUTED_VALUE"""),2065.0)</f>
        <v>2065</v>
      </c>
      <c r="C2070" s="13" t="str">
        <f>IFERROR(__xludf.DUMMYFUNCTION("""COMPUTED_VALUE"""),"M. 16195/ Sukabumi")</f>
        <v>M. 16195/ Sukabumi</v>
      </c>
      <c r="D2070" s="13" t="str">
        <f>IFERROR(__xludf.DUMMYFUNCTION("""COMPUTED_VALUE"""),"K/44/290425/1")</f>
        <v>K/44/290425/1</v>
      </c>
      <c r="E2070" s="14" t="str">
        <f>IFERROR(__xludf.DUMMYFUNCTION("""COMPUTED_VALUE"""),"Afriza (BT)")</f>
        <v>Afriza (BT)</v>
      </c>
      <c r="F2070" s="14" t="str">
        <f>IFERROR(__xludf.DUMMYFUNCTION("""COMPUTED_VALUE"""),"SELESAI (VIA PERMOHONAN)")</f>
        <v>SELESAI (VIA PERMOHONAN)</v>
      </c>
      <c r="G2070" s="17">
        <f>IFERROR(__xludf.DUMMYFUNCTION("""COMPUTED_VALUE"""),45783.725384687496)</f>
        <v>45783.72538</v>
      </c>
      <c r="H2070" s="14" t="str">
        <f>IFERROR(__xludf.DUMMYFUNCTION("""COMPUTED_VALUE"""),"Bu Eva (SU)")</f>
        <v>Bu Eva (SU)</v>
      </c>
      <c r="I2070" s="13" t="str">
        <f>IFERROR(__xludf.DUMMYFUNCTION("""COMPUTED_VALUE"""),"SELESAI (VIA PERMOHONAN)")</f>
        <v>SELESAI (VIA PERMOHONAN)</v>
      </c>
      <c r="J2070" s="17">
        <f>IFERROR(__xludf.DUMMYFUNCTION("""COMPUTED_VALUE"""),45784.64379099537)</f>
        <v>45784.64379</v>
      </c>
      <c r="K2070" s="13" t="str">
        <f>IFERROR(__xludf.DUMMYFUNCTION("""COMPUTED_VALUE"""),"Selesai")</f>
        <v>Selesai</v>
      </c>
      <c r="L2070" s="17">
        <f>IFERROR(__xludf.DUMMYFUNCTION("""COMPUTED_VALUE"""),45784.64379099537)</f>
        <v>45784.64379</v>
      </c>
      <c r="M2070" s="13"/>
      <c r="N2070" s="13" t="str">
        <f>IFERROR(__xludf.DUMMYFUNCTION("""COMPUTED_VALUE"""),"")</f>
        <v/>
      </c>
      <c r="O2070" s="13" t="str">
        <f t="shared" si="1"/>
        <v/>
      </c>
    </row>
    <row r="2071" ht="22.5" customHeight="1">
      <c r="B2071" s="13">
        <f>IFERROR(__xludf.DUMMYFUNCTION("""COMPUTED_VALUE"""),2066.0)</f>
        <v>2066</v>
      </c>
      <c r="C2071" s="13" t="str">
        <f>IFERROR(__xludf.DUMMYFUNCTION("""COMPUTED_VALUE"""),"B. 161/ Pinang Jaya")</f>
        <v>B. 161/ Pinang Jaya</v>
      </c>
      <c r="D2071" s="13" t="str">
        <f>IFERROR(__xludf.DUMMYFUNCTION("""COMPUTED_VALUE"""),"K/4/300425/1")</f>
        <v>K/4/300425/1</v>
      </c>
      <c r="E2071" s="14" t="str">
        <f>IFERROR(__xludf.DUMMYFUNCTION("""COMPUTED_VALUE"""),"Afriza (BT)")</f>
        <v>Afriza (BT)</v>
      </c>
      <c r="F2071" s="14" t="str">
        <f>IFERROR(__xludf.DUMMYFUNCTION("""COMPUTED_VALUE"""),"SELESAI (VIA PERMOHONAN)")</f>
        <v>SELESAI (VIA PERMOHONAN)</v>
      </c>
      <c r="G2071" s="17">
        <f>IFERROR(__xludf.DUMMYFUNCTION("""COMPUTED_VALUE"""),45783.72665332176)</f>
        <v>45783.72665</v>
      </c>
      <c r="H2071" s="14" t="str">
        <f>IFERROR(__xludf.DUMMYFUNCTION("""COMPUTED_VALUE"""),"Bu Eva (SU)")</f>
        <v>Bu Eva (SU)</v>
      </c>
      <c r="I2071" s="13" t="str">
        <f>IFERROR(__xludf.DUMMYFUNCTION("""COMPUTED_VALUE"""),"SELESAI (VIA PERMOHONAN)")</f>
        <v>SELESAI (VIA PERMOHONAN)</v>
      </c>
      <c r="J2071" s="17">
        <f>IFERROR(__xludf.DUMMYFUNCTION("""COMPUTED_VALUE"""),45784.64379099537)</f>
        <v>45784.64379</v>
      </c>
      <c r="K2071" s="13" t="str">
        <f>IFERROR(__xludf.DUMMYFUNCTION("""COMPUTED_VALUE"""),"Selesai")</f>
        <v>Selesai</v>
      </c>
      <c r="L2071" s="17">
        <f>IFERROR(__xludf.DUMMYFUNCTION("""COMPUTED_VALUE"""),45784.64379099537)</f>
        <v>45784.64379</v>
      </c>
      <c r="M2071" s="13"/>
      <c r="N2071" s="13" t="str">
        <f>IFERROR(__xludf.DUMMYFUNCTION("""COMPUTED_VALUE"""),"")</f>
        <v/>
      </c>
      <c r="O2071" s="13" t="str">
        <f t="shared" si="1"/>
        <v/>
      </c>
    </row>
    <row r="2072" ht="22.5" customHeight="1">
      <c r="B2072" s="13">
        <f>IFERROR(__xludf.DUMMYFUNCTION("""COMPUTED_VALUE"""),2067.0)</f>
        <v>2067</v>
      </c>
      <c r="C2072" s="13" t="str">
        <f>IFERROR(__xludf.DUMMYFUNCTION("""COMPUTED_VALUE"""),"M. 79/ Kemiling Permai")</f>
        <v>M. 79/ Kemiling Permai</v>
      </c>
      <c r="D2072" s="13" t="str">
        <f>IFERROR(__xludf.DUMMYFUNCTION("""COMPUTED_VALUE"""),"K/6/170425/1")</f>
        <v>K/6/170425/1</v>
      </c>
      <c r="E2072" s="14" t="str">
        <f>IFERROR(__xludf.DUMMYFUNCTION("""COMPUTED_VALUE"""),"Afriza (BT)")</f>
        <v>Afriza (BT)</v>
      </c>
      <c r="F2072" s="14" t="str">
        <f>IFERROR(__xludf.DUMMYFUNCTION("""COMPUTED_VALUE"""),"SELESAI (VIA PERMOHONAN)")</f>
        <v>SELESAI (VIA PERMOHONAN)</v>
      </c>
      <c r="G2072" s="17">
        <f>IFERROR(__xludf.DUMMYFUNCTION("""COMPUTED_VALUE"""),45783.72682113426)</f>
        <v>45783.72682</v>
      </c>
      <c r="H2072" s="14" t="str">
        <f>IFERROR(__xludf.DUMMYFUNCTION("""COMPUTED_VALUE"""),"Bu Eva (SU)")</f>
        <v>Bu Eva (SU)</v>
      </c>
      <c r="I2072" s="13" t="str">
        <f>IFERROR(__xludf.DUMMYFUNCTION("""COMPUTED_VALUE"""),"SELESAI (VIA PERMOHONAN)")</f>
        <v>SELESAI (VIA PERMOHONAN)</v>
      </c>
      <c r="J2072" s="17">
        <f>IFERROR(__xludf.DUMMYFUNCTION("""COMPUTED_VALUE"""),45784.64379099537)</f>
        <v>45784.64379</v>
      </c>
      <c r="K2072" s="13" t="str">
        <f>IFERROR(__xludf.DUMMYFUNCTION("""COMPUTED_VALUE"""),"Selesai")</f>
        <v>Selesai</v>
      </c>
      <c r="L2072" s="17">
        <f>IFERROR(__xludf.DUMMYFUNCTION("""COMPUTED_VALUE"""),45784.64379099537)</f>
        <v>45784.64379</v>
      </c>
      <c r="M2072" s="13"/>
      <c r="N2072" s="13" t="str">
        <f>IFERROR(__xludf.DUMMYFUNCTION("""COMPUTED_VALUE"""),"")</f>
        <v/>
      </c>
      <c r="O2072" s="13" t="str">
        <f t="shared" si="1"/>
        <v/>
      </c>
    </row>
    <row r="2073" ht="22.5" customHeight="1">
      <c r="B2073" s="13">
        <f>IFERROR(__xludf.DUMMYFUNCTION("""COMPUTED_VALUE"""),2068.0)</f>
        <v>2068</v>
      </c>
      <c r="C2073" s="13" t="str">
        <f>IFERROR(__xludf.DUMMYFUNCTION("""COMPUTED_VALUE"""),"M. 864/KUPANG KOTA")</f>
        <v>M. 864/KUPANG KOTA</v>
      </c>
      <c r="D2073" s="13" t="str">
        <f>IFERROR(__xludf.DUMMYFUNCTION("""COMPUTED_VALUE"""),"K/2/300425/1")</f>
        <v>K/2/300425/1</v>
      </c>
      <c r="E2073" s="14" t="str">
        <f>IFERROR(__xludf.DUMMYFUNCTION("""COMPUTED_VALUE"""),"Afriza (BT)")</f>
        <v>Afriza (BT)</v>
      </c>
      <c r="F2073" s="14" t="str">
        <f>IFERROR(__xludf.DUMMYFUNCTION("""COMPUTED_VALUE"""),"SELESAI (VIA PERMOHONAN)")</f>
        <v>SELESAI (VIA PERMOHONAN)</v>
      </c>
      <c r="G2073" s="17">
        <f>IFERROR(__xludf.DUMMYFUNCTION("""COMPUTED_VALUE"""),45783.72699299769)</f>
        <v>45783.72699</v>
      </c>
      <c r="H2073" s="14" t="str">
        <f>IFERROR(__xludf.DUMMYFUNCTION("""COMPUTED_VALUE"""),"Bu Eva (SU)")</f>
        <v>Bu Eva (SU)</v>
      </c>
      <c r="I2073" s="13" t="str">
        <f>IFERROR(__xludf.DUMMYFUNCTION("""COMPUTED_VALUE"""),"SELESAI (VIA PERMOHONAN)")</f>
        <v>SELESAI (VIA PERMOHONAN)</v>
      </c>
      <c r="J2073" s="17">
        <f>IFERROR(__xludf.DUMMYFUNCTION("""COMPUTED_VALUE"""),45784.64379099537)</f>
        <v>45784.64379</v>
      </c>
      <c r="K2073" s="13" t="str">
        <f>IFERROR(__xludf.DUMMYFUNCTION("""COMPUTED_VALUE"""),"Selesai")</f>
        <v>Selesai</v>
      </c>
      <c r="L2073" s="17">
        <f>IFERROR(__xludf.DUMMYFUNCTION("""COMPUTED_VALUE"""),45784.64379099537)</f>
        <v>45784.64379</v>
      </c>
      <c r="M2073" s="13"/>
      <c r="N2073" s="13" t="str">
        <f>IFERROR(__xludf.DUMMYFUNCTION("""COMPUTED_VALUE"""),"")</f>
        <v/>
      </c>
      <c r="O2073" s="13" t="str">
        <f t="shared" si="1"/>
        <v/>
      </c>
    </row>
    <row r="2074" ht="22.5" customHeight="1">
      <c r="B2074" s="13">
        <f>IFERROR(__xludf.DUMMYFUNCTION("""COMPUTED_VALUE"""),2069.0)</f>
        <v>2069</v>
      </c>
      <c r="C2074" s="13" t="str">
        <f>IFERROR(__xludf.DUMMYFUNCTION("""COMPUTED_VALUE"""),"B. 112/KAMPUNG BARU RAYA")</f>
        <v>B. 112/KAMPUNG BARU RAYA</v>
      </c>
      <c r="D2074" s="13" t="str">
        <f>IFERROR(__xludf.DUMMYFUNCTION("""COMPUTED_VALUE"""),"K/13/280425/1")</f>
        <v>K/13/280425/1</v>
      </c>
      <c r="E2074" s="14" t="str">
        <f>IFERROR(__xludf.DUMMYFUNCTION("""COMPUTED_VALUE"""),"Afriza (BT)")</f>
        <v>Afriza (BT)</v>
      </c>
      <c r="F2074" s="14" t="str">
        <f>IFERROR(__xludf.DUMMYFUNCTION("""COMPUTED_VALUE"""),"SELESAI (VIA PERMOHONAN)")</f>
        <v>SELESAI (VIA PERMOHONAN)</v>
      </c>
      <c r="G2074" s="17">
        <f>IFERROR(__xludf.DUMMYFUNCTION("""COMPUTED_VALUE"""),45783.727104606485)</f>
        <v>45783.7271</v>
      </c>
      <c r="H2074" s="14" t="str">
        <f>IFERROR(__xludf.DUMMYFUNCTION("""COMPUTED_VALUE"""),"Bu Eva (SU)")</f>
        <v>Bu Eva (SU)</v>
      </c>
      <c r="I2074" s="13" t="str">
        <f>IFERROR(__xludf.DUMMYFUNCTION("""COMPUTED_VALUE"""),"SELESAI (VIA PERMOHONAN)")</f>
        <v>SELESAI (VIA PERMOHONAN)</v>
      </c>
      <c r="J2074" s="17">
        <f>IFERROR(__xludf.DUMMYFUNCTION("""COMPUTED_VALUE"""),45784.64379099537)</f>
        <v>45784.64379</v>
      </c>
      <c r="K2074" s="13" t="str">
        <f>IFERROR(__xludf.DUMMYFUNCTION("""COMPUTED_VALUE"""),"Selesai")</f>
        <v>Selesai</v>
      </c>
      <c r="L2074" s="17">
        <f>IFERROR(__xludf.DUMMYFUNCTION("""COMPUTED_VALUE"""),45784.64379099537)</f>
        <v>45784.64379</v>
      </c>
      <c r="M2074" s="13"/>
      <c r="N2074" s="13" t="str">
        <f>IFERROR(__xludf.DUMMYFUNCTION("""COMPUTED_VALUE"""),"")</f>
        <v/>
      </c>
      <c r="O2074" s="13" t="str">
        <f t="shared" si="1"/>
        <v/>
      </c>
    </row>
    <row r="2075" ht="22.5" customHeight="1">
      <c r="B2075" s="13">
        <f>IFERROR(__xludf.DUMMYFUNCTION("""COMPUTED_VALUE"""),2070.0)</f>
        <v>2070</v>
      </c>
      <c r="C2075" s="13" t="str">
        <f>IFERROR(__xludf.DUMMYFUNCTION("""COMPUTED_VALUE"""),"B.229/GUNUNG TERANG")</f>
        <v>B.229/GUNUNG TERANG</v>
      </c>
      <c r="D2075" s="13" t="str">
        <f>IFERROR(__xludf.DUMMYFUNCTION("""COMPUTED_VALUE"""),"K/27/290425/1")</f>
        <v>K/27/290425/1</v>
      </c>
      <c r="E2075" s="14" t="str">
        <f>IFERROR(__xludf.DUMMYFUNCTION("""COMPUTED_VALUE"""),"Afriza (BT)")</f>
        <v>Afriza (BT)</v>
      </c>
      <c r="F2075" s="14" t="str">
        <f>IFERROR(__xludf.DUMMYFUNCTION("""COMPUTED_VALUE"""),"SELESAI (VIA PERMOHONAN)")</f>
        <v>SELESAI (VIA PERMOHONAN)</v>
      </c>
      <c r="G2075" s="17">
        <f>IFERROR(__xludf.DUMMYFUNCTION("""COMPUTED_VALUE"""),45783.72721710648)</f>
        <v>45783.72722</v>
      </c>
      <c r="H2075" s="14" t="str">
        <f>IFERROR(__xludf.DUMMYFUNCTION("""COMPUTED_VALUE"""),"Bu Eva (SU)")</f>
        <v>Bu Eva (SU)</v>
      </c>
      <c r="I2075" s="13" t="str">
        <f>IFERROR(__xludf.DUMMYFUNCTION("""COMPUTED_VALUE"""),"SELESAI (VIA PERMOHONAN)")</f>
        <v>SELESAI (VIA PERMOHONAN)</v>
      </c>
      <c r="J2075" s="17">
        <f>IFERROR(__xludf.DUMMYFUNCTION("""COMPUTED_VALUE"""),45784.64379099537)</f>
        <v>45784.64379</v>
      </c>
      <c r="K2075" s="13" t="str">
        <f>IFERROR(__xludf.DUMMYFUNCTION("""COMPUTED_VALUE"""),"Selesai")</f>
        <v>Selesai</v>
      </c>
      <c r="L2075" s="17">
        <f>IFERROR(__xludf.DUMMYFUNCTION("""COMPUTED_VALUE"""),45784.64379099537)</f>
        <v>45784.64379</v>
      </c>
      <c r="M2075" s="13"/>
      <c r="N2075" s="13" t="str">
        <f>IFERROR(__xludf.DUMMYFUNCTION("""COMPUTED_VALUE"""),"")</f>
        <v/>
      </c>
      <c r="O2075" s="13" t="str">
        <f t="shared" si="1"/>
        <v/>
      </c>
    </row>
    <row r="2076" ht="22.5" customHeight="1">
      <c r="B2076" s="13">
        <f>IFERROR(__xludf.DUMMYFUNCTION("""COMPUTED_VALUE"""),2071.0)</f>
        <v>2071</v>
      </c>
      <c r="C2076" s="13" t="str">
        <f>IFERROR(__xludf.DUMMYFUNCTION("""COMPUTED_VALUE"""),"M. 2297/ Perumnas Way Kandis")</f>
        <v>M. 2297/ Perumnas Way Kandis</v>
      </c>
      <c r="D2076" s="13" t="str">
        <f>IFERROR(__xludf.DUMMYFUNCTION("""COMPUTED_VALUE"""),"K/21/300425/1")</f>
        <v>K/21/300425/1</v>
      </c>
      <c r="E2076" s="14" t="str">
        <f>IFERROR(__xludf.DUMMYFUNCTION("""COMPUTED_VALUE"""),"Afriza (BT)")</f>
        <v>Afriza (BT)</v>
      </c>
      <c r="F2076" s="14" t="str">
        <f>IFERROR(__xludf.DUMMYFUNCTION("""COMPUTED_VALUE"""),"SELESAI (VIA PERMOHONAN)")</f>
        <v>SELESAI (VIA PERMOHONAN)</v>
      </c>
      <c r="G2076" s="17">
        <f>IFERROR(__xludf.DUMMYFUNCTION("""COMPUTED_VALUE"""),45784.44450670139)</f>
        <v>45784.44451</v>
      </c>
      <c r="H2076" s="14" t="str">
        <f>IFERROR(__xludf.DUMMYFUNCTION("""COMPUTED_VALUE"""),"Bu Eva (SU)")</f>
        <v>Bu Eva (SU)</v>
      </c>
      <c r="I2076" s="13" t="str">
        <f>IFERROR(__xludf.DUMMYFUNCTION("""COMPUTED_VALUE"""),"SELESAI (VIA PERMOHONAN)")</f>
        <v>SELESAI (VIA PERMOHONAN)</v>
      </c>
      <c r="J2076" s="17">
        <f>IFERROR(__xludf.DUMMYFUNCTION("""COMPUTED_VALUE"""),45784.64379099537)</f>
        <v>45784.64379</v>
      </c>
      <c r="K2076" s="13" t="str">
        <f>IFERROR(__xludf.DUMMYFUNCTION("""COMPUTED_VALUE"""),"Selesai")</f>
        <v>Selesai</v>
      </c>
      <c r="L2076" s="17">
        <f>IFERROR(__xludf.DUMMYFUNCTION("""COMPUTED_VALUE"""),45784.64379099537)</f>
        <v>45784.64379</v>
      </c>
      <c r="M2076" s="13"/>
      <c r="N2076" s="13" t="str">
        <f>IFERROR(__xludf.DUMMYFUNCTION("""COMPUTED_VALUE"""),"")</f>
        <v/>
      </c>
      <c r="O2076" s="13" t="str">
        <f t="shared" si="1"/>
        <v/>
      </c>
    </row>
    <row r="2077" ht="22.5" customHeight="1">
      <c r="B2077" s="13">
        <f>IFERROR(__xludf.DUMMYFUNCTION("""COMPUTED_VALUE"""),2072.0)</f>
        <v>2072</v>
      </c>
      <c r="C2077" s="13" t="str">
        <f>IFERROR(__xludf.DUMMYFUNCTION("""COMPUTED_VALUE"""),"M. 2898/ Labuhan Dalam")</f>
        <v>M. 2898/ Labuhan Dalam</v>
      </c>
      <c r="D2077" s="13" t="str">
        <f>IFERROR(__xludf.DUMMYFUNCTION("""COMPUTED_VALUE"""),"K/34/230425/1")</f>
        <v>K/34/230425/1</v>
      </c>
      <c r="E2077" s="14" t="str">
        <f>IFERROR(__xludf.DUMMYFUNCTION("""COMPUTED_VALUE"""),"Afriza (BT)")</f>
        <v>Afriza (BT)</v>
      </c>
      <c r="F2077" s="14" t="str">
        <f>IFERROR(__xludf.DUMMYFUNCTION("""COMPUTED_VALUE"""),"SELESAI (VIA PERMOHONAN)")</f>
        <v>SELESAI (VIA PERMOHONAN)</v>
      </c>
      <c r="G2077" s="17">
        <f>IFERROR(__xludf.DUMMYFUNCTION("""COMPUTED_VALUE"""),45784.44592679398)</f>
        <v>45784.44593</v>
      </c>
      <c r="H2077" s="14" t="str">
        <f>IFERROR(__xludf.DUMMYFUNCTION("""COMPUTED_VALUE"""),"Bu Eva (SU)")</f>
        <v>Bu Eva (SU)</v>
      </c>
      <c r="I2077" s="13" t="str">
        <f>IFERROR(__xludf.DUMMYFUNCTION("""COMPUTED_VALUE"""),"SELESAI (VIA PERMOHONAN)")</f>
        <v>SELESAI (VIA PERMOHONAN)</v>
      </c>
      <c r="J2077" s="17">
        <f>IFERROR(__xludf.DUMMYFUNCTION("""COMPUTED_VALUE"""),45784.64379099537)</f>
        <v>45784.64379</v>
      </c>
      <c r="K2077" s="13" t="str">
        <f>IFERROR(__xludf.DUMMYFUNCTION("""COMPUTED_VALUE"""),"Selesai")</f>
        <v>Selesai</v>
      </c>
      <c r="L2077" s="17">
        <f>IFERROR(__xludf.DUMMYFUNCTION("""COMPUTED_VALUE"""),45784.64379099537)</f>
        <v>45784.64379</v>
      </c>
      <c r="M2077" s="13"/>
      <c r="N2077" s="13" t="str">
        <f>IFERROR(__xludf.DUMMYFUNCTION("""COMPUTED_VALUE"""),"")</f>
        <v/>
      </c>
      <c r="O2077" s="13" t="str">
        <f t="shared" si="1"/>
        <v/>
      </c>
    </row>
    <row r="2078" ht="22.5" customHeight="1">
      <c r="B2078" s="13">
        <f>IFERROR(__xludf.DUMMYFUNCTION("""COMPUTED_VALUE"""),2073.0)</f>
        <v>2073</v>
      </c>
      <c r="C2078" s="13" t="str">
        <f>IFERROR(__xludf.DUMMYFUNCTION("""COMPUTED_VALUE"""),"HM 552/WHP")</f>
        <v>HM 552/WHP</v>
      </c>
      <c r="D2078" s="13" t="str">
        <f>IFERROR(__xludf.DUMMYFUNCTION("""COMPUTED_VALUE"""),"L/22/220425/1")</f>
        <v>L/22/220425/1</v>
      </c>
      <c r="E2078" s="14" t="str">
        <f>IFERROR(__xludf.DUMMYFUNCTION("""COMPUTED_VALUE"""),"Afriza (BT)")</f>
        <v>Afriza (BT)</v>
      </c>
      <c r="F2078" s="14" t="str">
        <f>IFERROR(__xludf.DUMMYFUNCTION("""COMPUTED_VALUE"""),"SELESAI (VIA PERMOHONAN)")</f>
        <v>SELESAI (VIA PERMOHONAN)</v>
      </c>
      <c r="G2078" s="17">
        <f>IFERROR(__xludf.DUMMYFUNCTION("""COMPUTED_VALUE"""),45784.453103900465)</f>
        <v>45784.4531</v>
      </c>
      <c r="H2078" s="14" t="str">
        <f>IFERROR(__xludf.DUMMYFUNCTION("""COMPUTED_VALUE"""),"Bu Eva (SU)")</f>
        <v>Bu Eva (SU)</v>
      </c>
      <c r="I2078" s="13" t="str">
        <f>IFERROR(__xludf.DUMMYFUNCTION("""COMPUTED_VALUE"""),"SELESAI (VIA PERMOHONAN)")</f>
        <v>SELESAI (VIA PERMOHONAN)</v>
      </c>
      <c r="J2078" s="17">
        <f>IFERROR(__xludf.DUMMYFUNCTION("""COMPUTED_VALUE"""),45784.64379099537)</f>
        <v>45784.64379</v>
      </c>
      <c r="K2078" s="13" t="str">
        <f>IFERROR(__xludf.DUMMYFUNCTION("""COMPUTED_VALUE"""),"Selesai")</f>
        <v>Selesai</v>
      </c>
      <c r="L2078" s="17">
        <f>IFERROR(__xludf.DUMMYFUNCTION("""COMPUTED_VALUE"""),45784.64379099537)</f>
        <v>45784.64379</v>
      </c>
      <c r="M2078" s="13"/>
      <c r="N2078" s="13" t="str">
        <f>IFERROR(__xludf.DUMMYFUNCTION("""COMPUTED_VALUE"""),"")</f>
        <v/>
      </c>
      <c r="O2078" s="13" t="str">
        <f t="shared" si="1"/>
        <v/>
      </c>
    </row>
    <row r="2079" ht="22.5" customHeight="1">
      <c r="B2079" s="13">
        <f>IFERROR(__xludf.DUMMYFUNCTION("""COMPUTED_VALUE"""),2074.0)</f>
        <v>2074</v>
      </c>
      <c r="C2079" s="13" t="str">
        <f>IFERROR(__xludf.DUMMYFUNCTION("""COMPUTED_VALUE"""),"HMM 11377/SUKABUMI")</f>
        <v>HMM 11377/SUKABUMI</v>
      </c>
      <c r="D2079" s="13" t="str">
        <f>IFERROR(__xludf.DUMMYFUNCTION("""COMPUTED_VALUE"""),"L/8/290425/1")</f>
        <v>L/8/290425/1</v>
      </c>
      <c r="E2079" s="14" t="str">
        <f>IFERROR(__xludf.DUMMYFUNCTION("""COMPUTED_VALUE"""),"Afriza (BT)")</f>
        <v>Afriza (BT)</v>
      </c>
      <c r="F2079" s="14" t="str">
        <f>IFERROR(__xludf.DUMMYFUNCTION("""COMPUTED_VALUE"""),"SELESAI (VIA PERMOHONAN)")</f>
        <v>SELESAI (VIA PERMOHONAN)</v>
      </c>
      <c r="G2079" s="17">
        <f>IFERROR(__xludf.DUMMYFUNCTION("""COMPUTED_VALUE"""),45784.45738371528)</f>
        <v>45784.45738</v>
      </c>
      <c r="H2079" s="14" t="str">
        <f>IFERROR(__xludf.DUMMYFUNCTION("""COMPUTED_VALUE"""),"Bu Eva (SU)")</f>
        <v>Bu Eva (SU)</v>
      </c>
      <c r="I2079" s="13" t="str">
        <f>IFERROR(__xludf.DUMMYFUNCTION("""COMPUTED_VALUE"""),"SELESAI (VIA PERMOHONAN)")</f>
        <v>SELESAI (VIA PERMOHONAN)</v>
      </c>
      <c r="J2079" s="17">
        <f>IFERROR(__xludf.DUMMYFUNCTION("""COMPUTED_VALUE"""),45784.64379099537)</f>
        <v>45784.64379</v>
      </c>
      <c r="K2079" s="13" t="str">
        <f>IFERROR(__xludf.DUMMYFUNCTION("""COMPUTED_VALUE"""),"Selesai")</f>
        <v>Selesai</v>
      </c>
      <c r="L2079" s="17">
        <f>IFERROR(__xludf.DUMMYFUNCTION("""COMPUTED_VALUE"""),45784.64379099537)</f>
        <v>45784.64379</v>
      </c>
      <c r="M2079" s="13"/>
      <c r="N2079" s="13" t="str">
        <f>IFERROR(__xludf.DUMMYFUNCTION("""COMPUTED_VALUE"""),"")</f>
        <v/>
      </c>
      <c r="O2079" s="13" t="str">
        <f t="shared" si="1"/>
        <v/>
      </c>
    </row>
    <row r="2080" ht="22.5" customHeight="1">
      <c r="B2080" s="13">
        <f>IFERROR(__xludf.DUMMYFUNCTION("""COMPUTED_VALUE"""),2075.0)</f>
        <v>2075</v>
      </c>
      <c r="C2080" s="13" t="str">
        <f>IFERROR(__xludf.DUMMYFUNCTION("""COMPUTED_VALUE"""),"B. 1142/ Keteguhan")</f>
        <v>B. 1142/ Keteguhan</v>
      </c>
      <c r="D2080" s="13" t="str">
        <f>IFERROR(__xludf.DUMMYFUNCTION("""COMPUTED_VALUE"""),"K/17/150425/2")</f>
        <v>K/17/150425/2</v>
      </c>
      <c r="E2080" s="14" t="str">
        <f>IFERROR(__xludf.DUMMYFUNCTION("""COMPUTED_VALUE"""),"Afriza (BT)")</f>
        <v>Afriza (BT)</v>
      </c>
      <c r="F2080" s="14" t="str">
        <f>IFERROR(__xludf.DUMMYFUNCTION("""COMPUTED_VALUE"""),"SELESAI (VIA PERMOHONAN)")</f>
        <v>SELESAI (VIA PERMOHONAN)</v>
      </c>
      <c r="G2080" s="17">
        <f>IFERROR(__xludf.DUMMYFUNCTION("""COMPUTED_VALUE"""),45784.4877853125)</f>
        <v>45784.48779</v>
      </c>
      <c r="H2080" s="14" t="str">
        <f>IFERROR(__xludf.DUMMYFUNCTION("""COMPUTED_VALUE"""),"Bu Eva (SU)")</f>
        <v>Bu Eva (SU)</v>
      </c>
      <c r="I2080" s="13" t="str">
        <f>IFERROR(__xludf.DUMMYFUNCTION("""COMPUTED_VALUE"""),"SELESAI (VIA PERMOHONAN)")</f>
        <v>SELESAI (VIA PERMOHONAN)</v>
      </c>
      <c r="J2080" s="17">
        <f>IFERROR(__xludf.DUMMYFUNCTION("""COMPUTED_VALUE"""),45784.48784613426)</f>
        <v>45784.48785</v>
      </c>
      <c r="K2080" s="13" t="str">
        <f>IFERROR(__xludf.DUMMYFUNCTION("""COMPUTED_VALUE"""),"Selesai")</f>
        <v>Selesai</v>
      </c>
      <c r="L2080" s="17">
        <f>IFERROR(__xludf.DUMMYFUNCTION("""COMPUTED_VALUE"""),45784.48784613426)</f>
        <v>45784.48785</v>
      </c>
      <c r="M2080" s="13"/>
      <c r="N2080" s="13" t="str">
        <f>IFERROR(__xludf.DUMMYFUNCTION("""COMPUTED_VALUE"""),"")</f>
        <v/>
      </c>
      <c r="O2080" s="13" t="str">
        <f t="shared" si="1"/>
        <v/>
      </c>
    </row>
    <row r="2081" ht="22.5" customHeight="1">
      <c r="B2081" s="13">
        <f>IFERROR(__xludf.DUMMYFUNCTION("""COMPUTED_VALUE"""),2076.0)</f>
        <v>2076</v>
      </c>
      <c r="C2081" s="13" t="str">
        <f>IFERROR(__xludf.DUMMYFUNCTION("""COMPUTED_VALUE"""),"B. 343/SUKAMAJU")</f>
        <v>B. 343/SUKAMAJU</v>
      </c>
      <c r="D2081" s="13" t="str">
        <f>IFERROR(__xludf.DUMMYFUNCTION("""COMPUTED_VALUE"""),"K/30/300425/1")</f>
        <v>K/30/300425/1</v>
      </c>
      <c r="E2081" s="14" t="str">
        <f>IFERROR(__xludf.DUMMYFUNCTION("""COMPUTED_VALUE"""),"Nadian (BT)")</f>
        <v>Nadian (BT)</v>
      </c>
      <c r="F2081" s="14" t="str">
        <f>IFERROR(__xludf.DUMMYFUNCTION("""COMPUTED_VALUE"""),"SELESAI (VIA PERMOHONAN)")</f>
        <v>SELESAI (VIA PERMOHONAN)</v>
      </c>
      <c r="G2081" s="17">
        <f>IFERROR(__xludf.DUMMYFUNCTION("""COMPUTED_VALUE"""),45784.66756027778)</f>
        <v>45784.66756</v>
      </c>
      <c r="H2081" s="14" t="str">
        <f>IFERROR(__xludf.DUMMYFUNCTION("""COMPUTED_VALUE"""),"Bu Eva (SU)")</f>
        <v>Bu Eva (SU)</v>
      </c>
      <c r="I2081" s="13" t="str">
        <f>IFERROR(__xludf.DUMMYFUNCTION("""COMPUTED_VALUE"""),"SELESAI (VIA PERMOHONAN)")</f>
        <v>SELESAI (VIA PERMOHONAN)</v>
      </c>
      <c r="J2081" s="17">
        <f>IFERROR(__xludf.DUMMYFUNCTION("""COMPUTED_VALUE"""),45793.67430627315)</f>
        <v>45793.67431</v>
      </c>
      <c r="K2081" s="13" t="str">
        <f>IFERROR(__xludf.DUMMYFUNCTION("""COMPUTED_VALUE"""),"Selesai")</f>
        <v>Selesai</v>
      </c>
      <c r="L2081" s="17">
        <f>IFERROR(__xludf.DUMMYFUNCTION("""COMPUTED_VALUE"""),45793.67430627315)</f>
        <v>45793.67431</v>
      </c>
      <c r="M2081" s="13"/>
      <c r="N2081" s="13" t="str">
        <f>IFERROR(__xludf.DUMMYFUNCTION("""COMPUTED_VALUE"""),"")</f>
        <v/>
      </c>
      <c r="O2081" s="13" t="str">
        <f t="shared" si="1"/>
        <v/>
      </c>
    </row>
    <row r="2082" ht="22.5" customHeight="1">
      <c r="B2082" s="13">
        <f>IFERROR(__xludf.DUMMYFUNCTION("""COMPUTED_VALUE"""),2077.0)</f>
        <v>2077</v>
      </c>
      <c r="C2082" s="13" t="str">
        <f>IFERROR(__xludf.DUMMYFUNCTION("""COMPUTED_VALUE"""),"B.629/SUMBER AGUNG")</f>
        <v>B.629/SUMBER AGUNG</v>
      </c>
      <c r="D2082" s="13" t="str">
        <f>IFERROR(__xludf.DUMMYFUNCTION("""COMPUTED_VALUE"""),"K/15/280425/1")</f>
        <v>K/15/280425/1</v>
      </c>
      <c r="E2082" s="14" t="str">
        <f>IFERROR(__xludf.DUMMYFUNCTION("""COMPUTED_VALUE"""),"Nadian (BT)")</f>
        <v>Nadian (BT)</v>
      </c>
      <c r="F2082" s="14" t="str">
        <f>IFERROR(__xludf.DUMMYFUNCTION("""COMPUTED_VALUE"""),"SELESAI (VIA PERMOHONAN)")</f>
        <v>SELESAI (VIA PERMOHONAN)</v>
      </c>
      <c r="G2082" s="17">
        <f>IFERROR(__xludf.DUMMYFUNCTION("""COMPUTED_VALUE"""),45784.66760907407)</f>
        <v>45784.66761</v>
      </c>
      <c r="H2082" s="14" t="str">
        <f>IFERROR(__xludf.DUMMYFUNCTION("""COMPUTED_VALUE"""),"Bu Eva (SU)")</f>
        <v>Bu Eva (SU)</v>
      </c>
      <c r="I2082" s="13" t="str">
        <f>IFERROR(__xludf.DUMMYFUNCTION("""COMPUTED_VALUE"""),"SELESAI (VIA PERMOHONAN)")</f>
        <v>SELESAI (VIA PERMOHONAN)</v>
      </c>
      <c r="J2082" s="17">
        <f>IFERROR(__xludf.DUMMYFUNCTION("""COMPUTED_VALUE"""),45793.67430627315)</f>
        <v>45793.67431</v>
      </c>
      <c r="K2082" s="13" t="str">
        <f>IFERROR(__xludf.DUMMYFUNCTION("""COMPUTED_VALUE"""),"Selesai")</f>
        <v>Selesai</v>
      </c>
      <c r="L2082" s="17">
        <f>IFERROR(__xludf.DUMMYFUNCTION("""COMPUTED_VALUE"""),45793.67430627315)</f>
        <v>45793.67431</v>
      </c>
      <c r="M2082" s="13"/>
      <c r="N2082" s="13" t="str">
        <f>IFERROR(__xludf.DUMMYFUNCTION("""COMPUTED_VALUE"""),"")</f>
        <v/>
      </c>
      <c r="O2082" s="13" t="str">
        <f t="shared" si="1"/>
        <v/>
      </c>
    </row>
    <row r="2083" ht="22.5" customHeight="1">
      <c r="B2083" s="13">
        <f>IFERROR(__xludf.DUMMYFUNCTION("""COMPUTED_VALUE"""),2078.0)</f>
        <v>2078</v>
      </c>
      <c r="C2083" s="13" t="str">
        <f>IFERROR(__xludf.DUMMYFUNCTION("""COMPUTED_VALUE"""),"M.1708/SUMUR BATU")</f>
        <v>M.1708/SUMUR BATU</v>
      </c>
      <c r="D2083" s="13" t="str">
        <f>IFERROR(__xludf.DUMMYFUNCTION("""COMPUTED_VALUE"""),"K/29/050525/1")</f>
        <v>K/29/050525/1</v>
      </c>
      <c r="E2083" s="14" t="str">
        <f>IFERROR(__xludf.DUMMYFUNCTION("""COMPUTED_VALUE"""),"Nadian (BT)")</f>
        <v>Nadian (BT)</v>
      </c>
      <c r="F2083" s="14" t="str">
        <f>IFERROR(__xludf.DUMMYFUNCTION("""COMPUTED_VALUE"""),"SELESAI (VIA PERMOHONAN)")</f>
        <v>SELESAI (VIA PERMOHONAN)</v>
      </c>
      <c r="G2083" s="17">
        <f>IFERROR(__xludf.DUMMYFUNCTION("""COMPUTED_VALUE"""),45784.66760907407)</f>
        <v>45784.66761</v>
      </c>
      <c r="H2083" s="14" t="str">
        <f>IFERROR(__xludf.DUMMYFUNCTION("""COMPUTED_VALUE"""),"Bu Eva (SU)")</f>
        <v>Bu Eva (SU)</v>
      </c>
      <c r="I2083" s="13" t="str">
        <f>IFERROR(__xludf.DUMMYFUNCTION("""COMPUTED_VALUE"""),"SELESAI (VIA PERMOHONAN)")</f>
        <v>SELESAI (VIA PERMOHONAN)</v>
      </c>
      <c r="J2083" s="17">
        <f>IFERROR(__xludf.DUMMYFUNCTION("""COMPUTED_VALUE"""),45793.67430627315)</f>
        <v>45793.67431</v>
      </c>
      <c r="K2083" s="13" t="str">
        <f>IFERROR(__xludf.DUMMYFUNCTION("""COMPUTED_VALUE"""),"Selesai")</f>
        <v>Selesai</v>
      </c>
      <c r="L2083" s="17">
        <f>IFERROR(__xludf.DUMMYFUNCTION("""COMPUTED_VALUE"""),45793.67430627315)</f>
        <v>45793.67431</v>
      </c>
      <c r="M2083" s="13"/>
      <c r="N2083" s="13" t="str">
        <f>IFERROR(__xludf.DUMMYFUNCTION("""COMPUTED_VALUE"""),"")</f>
        <v/>
      </c>
      <c r="O2083" s="13" t="str">
        <f t="shared" si="1"/>
        <v/>
      </c>
    </row>
    <row r="2084" ht="22.5" customHeight="1">
      <c r="B2084" s="13">
        <f>IFERROR(__xludf.DUMMYFUNCTION("""COMPUTED_VALUE"""),2079.0)</f>
        <v>2079</v>
      </c>
      <c r="C2084" s="13" t="str">
        <f>IFERROR(__xludf.DUMMYFUNCTION("""COMPUTED_VALUE"""),"M.492/KALI BALAU KENCANA")</f>
        <v>M.492/KALI BALAU KENCANA</v>
      </c>
      <c r="D2084" s="13" t="str">
        <f>IFERROR(__xludf.DUMMYFUNCTION("""COMPUTED_VALUE"""),"K/24/280425/1")</f>
        <v>K/24/280425/1</v>
      </c>
      <c r="E2084" s="14" t="str">
        <f>IFERROR(__xludf.DUMMYFUNCTION("""COMPUTED_VALUE"""),"Nadian (BT)")</f>
        <v>Nadian (BT)</v>
      </c>
      <c r="F2084" s="14" t="str">
        <f>IFERROR(__xludf.DUMMYFUNCTION("""COMPUTED_VALUE"""),"SELESAI (VIA PERMOHONAN)")</f>
        <v>SELESAI (VIA PERMOHONAN)</v>
      </c>
      <c r="G2084" s="17">
        <f>IFERROR(__xludf.DUMMYFUNCTION("""COMPUTED_VALUE"""),45784.66760907407)</f>
        <v>45784.66761</v>
      </c>
      <c r="H2084" s="14" t="str">
        <f>IFERROR(__xludf.DUMMYFUNCTION("""COMPUTED_VALUE"""),"Bu Eva (SU)")</f>
        <v>Bu Eva (SU)</v>
      </c>
      <c r="I2084" s="13" t="str">
        <f>IFERROR(__xludf.DUMMYFUNCTION("""COMPUTED_VALUE"""),"SELESAI (VIA PERMOHONAN)")</f>
        <v>SELESAI (VIA PERMOHONAN)</v>
      </c>
      <c r="J2084" s="17">
        <f>IFERROR(__xludf.DUMMYFUNCTION("""COMPUTED_VALUE"""),45793.67430627315)</f>
        <v>45793.67431</v>
      </c>
      <c r="K2084" s="13" t="str">
        <f>IFERROR(__xludf.DUMMYFUNCTION("""COMPUTED_VALUE"""),"Selesai")</f>
        <v>Selesai</v>
      </c>
      <c r="L2084" s="17">
        <f>IFERROR(__xludf.DUMMYFUNCTION("""COMPUTED_VALUE"""),45793.67430627315)</f>
        <v>45793.67431</v>
      </c>
      <c r="M2084" s="13"/>
      <c r="N2084" s="13" t="str">
        <f>IFERROR(__xludf.DUMMYFUNCTION("""COMPUTED_VALUE"""),"")</f>
        <v/>
      </c>
      <c r="O2084" s="13" t="str">
        <f t="shared" si="1"/>
        <v/>
      </c>
    </row>
    <row r="2085" ht="22.5" customHeight="1">
      <c r="B2085" s="13">
        <f>IFERROR(__xludf.DUMMYFUNCTION("""COMPUTED_VALUE"""),2080.0)</f>
        <v>2080</v>
      </c>
      <c r="C2085" s="13" t="str">
        <f>IFERROR(__xludf.DUMMYFUNCTION("""COMPUTED_VALUE"""),"M.2642/PINANG JAYA")</f>
        <v>M.2642/PINANG JAYA</v>
      </c>
      <c r="D2085" s="13" t="str">
        <f>IFERROR(__xludf.DUMMYFUNCTION("""COMPUTED_VALUE"""),"K/25/290425/1")</f>
        <v>K/25/290425/1</v>
      </c>
      <c r="E2085" s="14" t="str">
        <f>IFERROR(__xludf.DUMMYFUNCTION("""COMPUTED_VALUE"""),"Nadian (BT)")</f>
        <v>Nadian (BT)</v>
      </c>
      <c r="F2085" s="14" t="str">
        <f>IFERROR(__xludf.DUMMYFUNCTION("""COMPUTED_VALUE"""),"SELESAI (VIA PERMOHONAN)")</f>
        <v>SELESAI (VIA PERMOHONAN)</v>
      </c>
      <c r="G2085" s="17">
        <f>IFERROR(__xludf.DUMMYFUNCTION("""COMPUTED_VALUE"""),45784.66760907407)</f>
        <v>45784.66761</v>
      </c>
      <c r="H2085" s="14" t="str">
        <f>IFERROR(__xludf.DUMMYFUNCTION("""COMPUTED_VALUE"""),"Bu Eva (SU)")</f>
        <v>Bu Eva (SU)</v>
      </c>
      <c r="I2085" s="13" t="str">
        <f>IFERROR(__xludf.DUMMYFUNCTION("""COMPUTED_VALUE"""),"SELESAI (VIA PERMOHONAN)")</f>
        <v>SELESAI (VIA PERMOHONAN)</v>
      </c>
      <c r="J2085" s="17">
        <f>IFERROR(__xludf.DUMMYFUNCTION("""COMPUTED_VALUE"""),45793.67430627315)</f>
        <v>45793.67431</v>
      </c>
      <c r="K2085" s="13" t="str">
        <f>IFERROR(__xludf.DUMMYFUNCTION("""COMPUTED_VALUE"""),"Selesai")</f>
        <v>Selesai</v>
      </c>
      <c r="L2085" s="17">
        <f>IFERROR(__xludf.DUMMYFUNCTION("""COMPUTED_VALUE"""),45793.67430627315)</f>
        <v>45793.67431</v>
      </c>
      <c r="M2085" s="13"/>
      <c r="N2085" s="13" t="str">
        <f>IFERROR(__xludf.DUMMYFUNCTION("""COMPUTED_VALUE"""),"")</f>
        <v/>
      </c>
      <c r="O2085" s="13" t="str">
        <f t="shared" si="1"/>
        <v/>
      </c>
    </row>
    <row r="2086" ht="22.5" customHeight="1">
      <c r="B2086" s="13">
        <f>IFERROR(__xludf.DUMMYFUNCTION("""COMPUTED_VALUE"""),2081.0)</f>
        <v>2081</v>
      </c>
      <c r="C2086" s="13" t="str">
        <f>IFERROR(__xludf.DUMMYFUNCTION("""COMPUTED_VALUE"""),"M. 1171/PEMATANG WANGI")</f>
        <v>M. 1171/PEMATANG WANGI</v>
      </c>
      <c r="D2086" s="13" t="str">
        <f>IFERROR(__xludf.DUMMYFUNCTION("""COMPUTED_VALUE"""),"K/35/300425/1")</f>
        <v>K/35/300425/1</v>
      </c>
      <c r="E2086" s="14" t="str">
        <f>IFERROR(__xludf.DUMMYFUNCTION("""COMPUTED_VALUE"""),"Nadian (BT)")</f>
        <v>Nadian (BT)</v>
      </c>
      <c r="F2086" s="14" t="str">
        <f>IFERROR(__xludf.DUMMYFUNCTION("""COMPUTED_VALUE"""),"SELESAI (VIA PERMOHONAN)")</f>
        <v>SELESAI (VIA PERMOHONAN)</v>
      </c>
      <c r="G2086" s="17">
        <f>IFERROR(__xludf.DUMMYFUNCTION("""COMPUTED_VALUE"""),45784.66760907407)</f>
        <v>45784.66761</v>
      </c>
      <c r="H2086" s="14" t="str">
        <f>IFERROR(__xludf.DUMMYFUNCTION("""COMPUTED_VALUE"""),"Bu Eva (SU)")</f>
        <v>Bu Eva (SU)</v>
      </c>
      <c r="I2086" s="13" t="str">
        <f>IFERROR(__xludf.DUMMYFUNCTION("""COMPUTED_VALUE"""),"SELESAI (VIA PERMOHONAN)")</f>
        <v>SELESAI (VIA PERMOHONAN)</v>
      </c>
      <c r="J2086" s="17">
        <f>IFERROR(__xludf.DUMMYFUNCTION("""COMPUTED_VALUE"""),45793.67430627315)</f>
        <v>45793.67431</v>
      </c>
      <c r="K2086" s="13" t="str">
        <f>IFERROR(__xludf.DUMMYFUNCTION("""COMPUTED_VALUE"""),"Selesai")</f>
        <v>Selesai</v>
      </c>
      <c r="L2086" s="17">
        <f>IFERROR(__xludf.DUMMYFUNCTION("""COMPUTED_VALUE"""),45793.67430627315)</f>
        <v>45793.67431</v>
      </c>
      <c r="M2086" s="13"/>
      <c r="N2086" s="13" t="str">
        <f>IFERROR(__xludf.DUMMYFUNCTION("""COMPUTED_VALUE"""),"")</f>
        <v/>
      </c>
      <c r="O2086" s="13" t="str">
        <f t="shared" si="1"/>
        <v/>
      </c>
    </row>
    <row r="2087" ht="22.5" customHeight="1">
      <c r="B2087" s="13">
        <f>IFERROR(__xludf.DUMMYFUNCTION("""COMPUTED_VALUE"""),2082.0)</f>
        <v>2082</v>
      </c>
      <c r="C2087" s="13" t="str">
        <f>IFERROR(__xludf.DUMMYFUNCTION("""COMPUTED_VALUE"""),"M. 2101/KETEGUHAN")</f>
        <v>M. 2101/KETEGUHAN</v>
      </c>
      <c r="D2087" s="13" t="str">
        <f>IFERROR(__xludf.DUMMYFUNCTION("""COMPUTED_VALUE"""),"K/17/240425/1")</f>
        <v>K/17/240425/1</v>
      </c>
      <c r="E2087" s="14" t="str">
        <f>IFERROR(__xludf.DUMMYFUNCTION("""COMPUTED_VALUE"""),"Nadian (BT)")</f>
        <v>Nadian (BT)</v>
      </c>
      <c r="F2087" s="14" t="str">
        <f>IFERROR(__xludf.DUMMYFUNCTION("""COMPUTED_VALUE"""),"SELESAI (VIA PERMOHONAN)")</f>
        <v>SELESAI (VIA PERMOHONAN)</v>
      </c>
      <c r="G2087" s="17">
        <f>IFERROR(__xludf.DUMMYFUNCTION("""COMPUTED_VALUE"""),45784.66760907407)</f>
        <v>45784.66761</v>
      </c>
      <c r="H2087" s="14" t="str">
        <f>IFERROR(__xludf.DUMMYFUNCTION("""COMPUTED_VALUE"""),"Bu Eva (SU)")</f>
        <v>Bu Eva (SU)</v>
      </c>
      <c r="I2087" s="13" t="str">
        <f>IFERROR(__xludf.DUMMYFUNCTION("""COMPUTED_VALUE"""),"SELESAI (VIA PERMOHONAN)")</f>
        <v>SELESAI (VIA PERMOHONAN)</v>
      </c>
      <c r="J2087" s="17">
        <f>IFERROR(__xludf.DUMMYFUNCTION("""COMPUTED_VALUE"""),45793.67430627315)</f>
        <v>45793.67431</v>
      </c>
      <c r="K2087" s="13" t="str">
        <f>IFERROR(__xludf.DUMMYFUNCTION("""COMPUTED_VALUE"""),"Selesai")</f>
        <v>Selesai</v>
      </c>
      <c r="L2087" s="17">
        <f>IFERROR(__xludf.DUMMYFUNCTION("""COMPUTED_VALUE"""),45793.67430627315)</f>
        <v>45793.67431</v>
      </c>
      <c r="M2087" s="13"/>
      <c r="N2087" s="13" t="str">
        <f>IFERROR(__xludf.DUMMYFUNCTION("""COMPUTED_VALUE"""),"")</f>
        <v/>
      </c>
      <c r="O2087" s="13" t="str">
        <f t="shared" si="1"/>
        <v/>
      </c>
    </row>
    <row r="2088" ht="22.5" customHeight="1">
      <c r="B2088" s="13">
        <f>IFERROR(__xludf.DUMMYFUNCTION("""COMPUTED_VALUE"""),2083.0)</f>
        <v>2083</v>
      </c>
      <c r="C2088" s="13" t="str">
        <f>IFERROR(__xludf.DUMMYFUNCTION("""COMPUTED_VALUE"""),"M. 118/TANJUNG GADING")</f>
        <v>M. 118/TANJUNG GADING</v>
      </c>
      <c r="D2088" s="13" t="str">
        <f>IFERROR(__xludf.DUMMYFUNCTION("""COMPUTED_VALUE"""),"K/12/050525/1")</f>
        <v>K/12/050525/1</v>
      </c>
      <c r="E2088" s="14" t="str">
        <f>IFERROR(__xludf.DUMMYFUNCTION("""COMPUTED_VALUE"""),"Nadian (BT)")</f>
        <v>Nadian (BT)</v>
      </c>
      <c r="F2088" s="14" t="str">
        <f>IFERROR(__xludf.DUMMYFUNCTION("""COMPUTED_VALUE"""),"SELESAI (VIA PERMOHONAN)")</f>
        <v>SELESAI (VIA PERMOHONAN)</v>
      </c>
      <c r="G2088" s="17">
        <f>IFERROR(__xludf.DUMMYFUNCTION("""COMPUTED_VALUE"""),45784.66760907407)</f>
        <v>45784.66761</v>
      </c>
      <c r="H2088" s="14" t="str">
        <f>IFERROR(__xludf.DUMMYFUNCTION("""COMPUTED_VALUE"""),"Bu Eva (SU)")</f>
        <v>Bu Eva (SU)</v>
      </c>
      <c r="I2088" s="13" t="str">
        <f>IFERROR(__xludf.DUMMYFUNCTION("""COMPUTED_VALUE"""),"SELESAI (VIA PERMOHONAN)")</f>
        <v>SELESAI (VIA PERMOHONAN)</v>
      </c>
      <c r="J2088" s="17">
        <f>IFERROR(__xludf.DUMMYFUNCTION("""COMPUTED_VALUE"""),45793.67430627315)</f>
        <v>45793.67431</v>
      </c>
      <c r="K2088" s="13" t="str">
        <f>IFERROR(__xludf.DUMMYFUNCTION("""COMPUTED_VALUE"""),"Selesai")</f>
        <v>Selesai</v>
      </c>
      <c r="L2088" s="17">
        <f>IFERROR(__xludf.DUMMYFUNCTION("""COMPUTED_VALUE"""),45793.67430627315)</f>
        <v>45793.67431</v>
      </c>
      <c r="M2088" s="13"/>
      <c r="N2088" s="13" t="str">
        <f>IFERROR(__xludf.DUMMYFUNCTION("""COMPUTED_VALUE"""),"")</f>
        <v/>
      </c>
      <c r="O2088" s="13" t="str">
        <f t="shared" si="1"/>
        <v/>
      </c>
    </row>
    <row r="2089" ht="22.5" customHeight="1">
      <c r="B2089" s="13">
        <f>IFERROR(__xludf.DUMMYFUNCTION("""COMPUTED_VALUE"""),2084.0)</f>
        <v>2084</v>
      </c>
      <c r="C2089" s="13" t="str">
        <f>IFERROR(__xludf.DUMMYFUNCTION("""COMPUTED_VALUE"""),"M.140/KORPRI RAYA")</f>
        <v>M.140/KORPRI RAYA</v>
      </c>
      <c r="D2089" s="13" t="str">
        <f>IFERROR(__xludf.DUMMYFUNCTION("""COMPUTED_VALUE"""),"K/42/290425/2")</f>
        <v>K/42/290425/2</v>
      </c>
      <c r="E2089" s="14" t="str">
        <f>IFERROR(__xludf.DUMMYFUNCTION("""COMPUTED_VALUE"""),"Nadian (BT)")</f>
        <v>Nadian (BT)</v>
      </c>
      <c r="F2089" s="14" t="str">
        <f>IFERROR(__xludf.DUMMYFUNCTION("""COMPUTED_VALUE"""),"SELESAI (VIA PERMOHONAN)")</f>
        <v>SELESAI (VIA PERMOHONAN)</v>
      </c>
      <c r="G2089" s="17">
        <f>IFERROR(__xludf.DUMMYFUNCTION("""COMPUTED_VALUE"""),45784.66760907407)</f>
        <v>45784.66761</v>
      </c>
      <c r="H2089" s="14" t="str">
        <f>IFERROR(__xludf.DUMMYFUNCTION("""COMPUTED_VALUE"""),"Bu Eva (SU)")</f>
        <v>Bu Eva (SU)</v>
      </c>
      <c r="I2089" s="13" t="str">
        <f>IFERROR(__xludf.DUMMYFUNCTION("""COMPUTED_VALUE"""),"SELESAI (VIA PERMOHONAN)")</f>
        <v>SELESAI (VIA PERMOHONAN)</v>
      </c>
      <c r="J2089" s="17">
        <f>IFERROR(__xludf.DUMMYFUNCTION("""COMPUTED_VALUE"""),45793.67430627315)</f>
        <v>45793.67431</v>
      </c>
      <c r="K2089" s="13" t="str">
        <f>IFERROR(__xludf.DUMMYFUNCTION("""COMPUTED_VALUE"""),"Selesai")</f>
        <v>Selesai</v>
      </c>
      <c r="L2089" s="17">
        <f>IFERROR(__xludf.DUMMYFUNCTION("""COMPUTED_VALUE"""),45793.67430627315)</f>
        <v>45793.67431</v>
      </c>
      <c r="M2089" s="13"/>
      <c r="N2089" s="13" t="str">
        <f>IFERROR(__xludf.DUMMYFUNCTION("""COMPUTED_VALUE"""),"")</f>
        <v/>
      </c>
      <c r="O2089" s="13" t="str">
        <f t="shared" si="1"/>
        <v/>
      </c>
    </row>
    <row r="2090" ht="22.5" customHeight="1">
      <c r="B2090" s="13">
        <f>IFERROR(__xludf.DUMMYFUNCTION("""COMPUTED_VALUE"""),2085.0)</f>
        <v>2085</v>
      </c>
      <c r="C2090" s="13" t="str">
        <f>IFERROR(__xludf.DUMMYFUNCTION("""COMPUTED_VALUE"""),"M.115/GEDONG MENENG BARU")</f>
        <v>M.115/GEDONG MENENG BARU</v>
      </c>
      <c r="D2090" s="13" t="str">
        <f>IFERROR(__xludf.DUMMYFUNCTION("""COMPUTED_VALUE"""),"K/5/180225/2")</f>
        <v>K/5/180225/2</v>
      </c>
      <c r="E2090" s="14" t="str">
        <f>IFERROR(__xludf.DUMMYFUNCTION("""COMPUTED_VALUE"""),"Nadian (BT)")</f>
        <v>Nadian (BT)</v>
      </c>
      <c r="F2090" s="14" t="str">
        <f>IFERROR(__xludf.DUMMYFUNCTION("""COMPUTED_VALUE"""),"SELESAI (VIA PERMOHONAN)")</f>
        <v>SELESAI (VIA PERMOHONAN)</v>
      </c>
      <c r="G2090" s="17">
        <f>IFERROR(__xludf.DUMMYFUNCTION("""COMPUTED_VALUE"""),45784.66760907407)</f>
        <v>45784.66761</v>
      </c>
      <c r="H2090" s="14" t="str">
        <f>IFERROR(__xludf.DUMMYFUNCTION("""COMPUTED_VALUE"""),"Bu Eva (SU)")</f>
        <v>Bu Eva (SU)</v>
      </c>
      <c r="I2090" s="13" t="str">
        <f>IFERROR(__xludf.DUMMYFUNCTION("""COMPUTED_VALUE"""),"SELESAI (VIA PERMOHONAN)")</f>
        <v>SELESAI (VIA PERMOHONAN)</v>
      </c>
      <c r="J2090" s="17">
        <f>IFERROR(__xludf.DUMMYFUNCTION("""COMPUTED_VALUE"""),45793.67430627315)</f>
        <v>45793.67431</v>
      </c>
      <c r="K2090" s="13" t="str">
        <f>IFERROR(__xludf.DUMMYFUNCTION("""COMPUTED_VALUE"""),"Selesai")</f>
        <v>Selesai</v>
      </c>
      <c r="L2090" s="17">
        <f>IFERROR(__xludf.DUMMYFUNCTION("""COMPUTED_VALUE"""),45793.67430627315)</f>
        <v>45793.67431</v>
      </c>
      <c r="M2090" s="13"/>
      <c r="N2090" s="13" t="str">
        <f>IFERROR(__xludf.DUMMYFUNCTION("""COMPUTED_VALUE"""),"")</f>
        <v/>
      </c>
      <c r="O2090" s="13" t="str">
        <f t="shared" si="1"/>
        <v/>
      </c>
    </row>
    <row r="2091" ht="22.5" customHeight="1">
      <c r="B2091" s="13">
        <f>IFERROR(__xludf.DUMMYFUNCTION("""COMPUTED_VALUE"""),2086.0)</f>
        <v>2086</v>
      </c>
      <c r="C2091" s="13" t="str">
        <f>IFERROR(__xludf.DUMMYFUNCTION("""COMPUTED_VALUE"""),"M.7063/TANJUNG SENENG")</f>
        <v>M.7063/TANJUNG SENENG</v>
      </c>
      <c r="D2091" s="13" t="str">
        <f>IFERROR(__xludf.DUMMYFUNCTION("""COMPUTED_VALUE"""),"K/27/240425/3")</f>
        <v>K/27/240425/3</v>
      </c>
      <c r="E2091" s="14" t="str">
        <f>IFERROR(__xludf.DUMMYFUNCTION("""COMPUTED_VALUE"""),"Nadian (BT)")</f>
        <v>Nadian (BT)</v>
      </c>
      <c r="F2091" s="14" t="str">
        <f>IFERROR(__xludf.DUMMYFUNCTION("""COMPUTED_VALUE"""),"SELESAI (VIA PERMOHONAN)")</f>
        <v>SELESAI (VIA PERMOHONAN)</v>
      </c>
      <c r="G2091" s="17">
        <f>IFERROR(__xludf.DUMMYFUNCTION("""COMPUTED_VALUE"""),45784.66760907407)</f>
        <v>45784.66761</v>
      </c>
      <c r="H2091" s="14" t="str">
        <f>IFERROR(__xludf.DUMMYFUNCTION("""COMPUTED_VALUE"""),"Bu Eva (SU)")</f>
        <v>Bu Eva (SU)</v>
      </c>
      <c r="I2091" s="13" t="str">
        <f>IFERROR(__xludf.DUMMYFUNCTION("""COMPUTED_VALUE"""),"SELESAI (VIA PERMOHONAN)")</f>
        <v>SELESAI (VIA PERMOHONAN)</v>
      </c>
      <c r="J2091" s="17">
        <f>IFERROR(__xludf.DUMMYFUNCTION("""COMPUTED_VALUE"""),45793.67430627315)</f>
        <v>45793.67431</v>
      </c>
      <c r="K2091" s="13" t="str">
        <f>IFERROR(__xludf.DUMMYFUNCTION("""COMPUTED_VALUE"""),"Selesai")</f>
        <v>Selesai</v>
      </c>
      <c r="L2091" s="17">
        <f>IFERROR(__xludf.DUMMYFUNCTION("""COMPUTED_VALUE"""),45793.67430627315)</f>
        <v>45793.67431</v>
      </c>
      <c r="M2091" s="13"/>
      <c r="N2091" s="13" t="str">
        <f>IFERROR(__xludf.DUMMYFUNCTION("""COMPUTED_VALUE"""),"")</f>
        <v/>
      </c>
      <c r="O2091" s="13" t="str">
        <f t="shared" si="1"/>
        <v/>
      </c>
    </row>
    <row r="2092" ht="22.5" customHeight="1">
      <c r="B2092" s="13">
        <f>IFERROR(__xludf.DUMMYFUNCTION("""COMPUTED_VALUE"""),2087.0)</f>
        <v>2087</v>
      </c>
      <c r="C2092" s="13" t="str">
        <f>IFERROR(__xludf.DUMMYFUNCTION("""COMPUTED_VALUE"""),"M.2799/SUKARAME BARU")</f>
        <v>M.2799/SUKARAME BARU</v>
      </c>
      <c r="D2092" s="13" t="str">
        <f>IFERROR(__xludf.DUMMYFUNCTION("""COMPUTED_VALUE"""),"K/8/230425/2")</f>
        <v>K/8/230425/2</v>
      </c>
      <c r="E2092" s="14" t="str">
        <f>IFERROR(__xludf.DUMMYFUNCTION("""COMPUTED_VALUE"""),"Nadian (BT)")</f>
        <v>Nadian (BT)</v>
      </c>
      <c r="F2092" s="14" t="str">
        <f>IFERROR(__xludf.DUMMYFUNCTION("""COMPUTED_VALUE"""),"SELESAI (VIA PERMOHONAN)")</f>
        <v>SELESAI (VIA PERMOHONAN)</v>
      </c>
      <c r="G2092" s="17">
        <f>IFERROR(__xludf.DUMMYFUNCTION("""COMPUTED_VALUE"""),45784.66760907407)</f>
        <v>45784.66761</v>
      </c>
      <c r="H2092" s="14" t="str">
        <f>IFERROR(__xludf.DUMMYFUNCTION("""COMPUTED_VALUE"""),"Bu Eva (SU)")</f>
        <v>Bu Eva (SU)</v>
      </c>
      <c r="I2092" s="13" t="str">
        <f>IFERROR(__xludf.DUMMYFUNCTION("""COMPUTED_VALUE"""),"SELESAI (VIA PERMOHONAN)")</f>
        <v>SELESAI (VIA PERMOHONAN)</v>
      </c>
      <c r="J2092" s="17">
        <f>IFERROR(__xludf.DUMMYFUNCTION("""COMPUTED_VALUE"""),45793.67430627315)</f>
        <v>45793.67431</v>
      </c>
      <c r="K2092" s="13" t="str">
        <f>IFERROR(__xludf.DUMMYFUNCTION("""COMPUTED_VALUE"""),"Selesai")</f>
        <v>Selesai</v>
      </c>
      <c r="L2092" s="17">
        <f>IFERROR(__xludf.DUMMYFUNCTION("""COMPUTED_VALUE"""),45793.67430627315)</f>
        <v>45793.67431</v>
      </c>
      <c r="M2092" s="13"/>
      <c r="N2092" s="13" t="str">
        <f>IFERROR(__xludf.DUMMYFUNCTION("""COMPUTED_VALUE"""),"")</f>
        <v/>
      </c>
      <c r="O2092" s="13" t="str">
        <f t="shared" si="1"/>
        <v/>
      </c>
    </row>
    <row r="2093" ht="22.5" customHeight="1">
      <c r="B2093" s="13">
        <f>IFERROR(__xludf.DUMMYFUNCTION("""COMPUTED_VALUE"""),2088.0)</f>
        <v>2088</v>
      </c>
      <c r="C2093" s="13" t="str">
        <f>IFERROR(__xludf.DUMMYFUNCTION("""COMPUTED_VALUE"""),"M.2505/PINANG JAYA")</f>
        <v>M.2505/PINANG JAYA</v>
      </c>
      <c r="D2093" s="13" t="str">
        <f>IFERROR(__xludf.DUMMYFUNCTION("""COMPUTED_VALUE"""),"K/7/020525/1")</f>
        <v>K/7/020525/1</v>
      </c>
      <c r="E2093" s="14" t="str">
        <f>IFERROR(__xludf.DUMMYFUNCTION("""COMPUTED_VALUE"""),"Nadian (BT)")</f>
        <v>Nadian (BT)</v>
      </c>
      <c r="F2093" s="14" t="str">
        <f>IFERROR(__xludf.DUMMYFUNCTION("""COMPUTED_VALUE"""),"SELESAI (VIA PERMOHONAN)")</f>
        <v>SELESAI (VIA PERMOHONAN)</v>
      </c>
      <c r="G2093" s="17">
        <f>IFERROR(__xludf.DUMMYFUNCTION("""COMPUTED_VALUE"""),45784.66760907407)</f>
        <v>45784.66761</v>
      </c>
      <c r="H2093" s="14" t="str">
        <f>IFERROR(__xludf.DUMMYFUNCTION("""COMPUTED_VALUE"""),"Bu Eva (SU)")</f>
        <v>Bu Eva (SU)</v>
      </c>
      <c r="I2093" s="13" t="str">
        <f>IFERROR(__xludf.DUMMYFUNCTION("""COMPUTED_VALUE"""),"SELESAI (VIA PERMOHONAN)")</f>
        <v>SELESAI (VIA PERMOHONAN)</v>
      </c>
      <c r="J2093" s="17">
        <f>IFERROR(__xludf.DUMMYFUNCTION("""COMPUTED_VALUE"""),45793.67430627315)</f>
        <v>45793.67431</v>
      </c>
      <c r="K2093" s="13" t="str">
        <f>IFERROR(__xludf.DUMMYFUNCTION("""COMPUTED_VALUE"""),"Selesai")</f>
        <v>Selesai</v>
      </c>
      <c r="L2093" s="17">
        <f>IFERROR(__xludf.DUMMYFUNCTION("""COMPUTED_VALUE"""),45793.67430627315)</f>
        <v>45793.67431</v>
      </c>
      <c r="M2093" s="13"/>
      <c r="N2093" s="13" t="str">
        <f>IFERROR(__xludf.DUMMYFUNCTION("""COMPUTED_VALUE"""),"")</f>
        <v/>
      </c>
      <c r="O2093" s="13" t="str">
        <f t="shared" si="1"/>
        <v/>
      </c>
    </row>
    <row r="2094" ht="22.5" customHeight="1">
      <c r="B2094" s="13">
        <f>IFERROR(__xludf.DUMMYFUNCTION("""COMPUTED_VALUE"""),2089.0)</f>
        <v>2089</v>
      </c>
      <c r="C2094" s="13" t="str">
        <f>IFERROR(__xludf.DUMMYFUNCTION("""COMPUTED_VALUE"""),"HM 14097/RAJABASA")</f>
        <v>HM 14097/RAJABASA</v>
      </c>
      <c r="D2094" s="13" t="str">
        <f>IFERROR(__xludf.DUMMYFUNCTION("""COMPUTED_VALUE"""),"L/11/020525/1")</f>
        <v>L/11/020525/1</v>
      </c>
      <c r="E2094" s="14" t="str">
        <f>IFERROR(__xludf.DUMMYFUNCTION("""COMPUTED_VALUE"""),"Nadian (BT)")</f>
        <v>Nadian (BT)</v>
      </c>
      <c r="F2094" s="14" t="str">
        <f>IFERROR(__xludf.DUMMYFUNCTION("""COMPUTED_VALUE"""),"SELESAI (VIA PERMOHONAN)")</f>
        <v>SELESAI (VIA PERMOHONAN)</v>
      </c>
      <c r="G2094" s="17">
        <f>IFERROR(__xludf.DUMMYFUNCTION("""COMPUTED_VALUE"""),45785.544182094905)</f>
        <v>45785.54418</v>
      </c>
      <c r="H2094" s="14" t="str">
        <f>IFERROR(__xludf.DUMMYFUNCTION("""COMPUTED_VALUE"""),"Bu Eva (SU)")</f>
        <v>Bu Eva (SU)</v>
      </c>
      <c r="I2094" s="13" t="str">
        <f>IFERROR(__xludf.DUMMYFUNCTION("""COMPUTED_VALUE"""),"SELESAI (VIA PERMOHONAN)")</f>
        <v>SELESAI (VIA PERMOHONAN)</v>
      </c>
      <c r="J2094" s="17">
        <f>IFERROR(__xludf.DUMMYFUNCTION("""COMPUTED_VALUE"""),45793.67430627315)</f>
        <v>45793.67431</v>
      </c>
      <c r="K2094" s="13" t="str">
        <f>IFERROR(__xludf.DUMMYFUNCTION("""COMPUTED_VALUE"""),"Selesai")</f>
        <v>Selesai</v>
      </c>
      <c r="L2094" s="17">
        <f>IFERROR(__xludf.DUMMYFUNCTION("""COMPUTED_VALUE"""),45793.67430627315)</f>
        <v>45793.67431</v>
      </c>
      <c r="M2094" s="13"/>
      <c r="N2094" s="13" t="str">
        <f>IFERROR(__xludf.DUMMYFUNCTION("""COMPUTED_VALUE"""),"")</f>
        <v/>
      </c>
      <c r="O2094" s="13" t="str">
        <f t="shared" si="1"/>
        <v/>
      </c>
    </row>
    <row r="2095" ht="22.5" customHeight="1">
      <c r="B2095" s="13">
        <f>IFERROR(__xludf.DUMMYFUNCTION("""COMPUTED_VALUE"""),2090.0)</f>
        <v>2090</v>
      </c>
      <c r="C2095" s="13" t="str">
        <f>IFERROR(__xludf.DUMMYFUNCTION("""COMPUTED_VALUE"""),"HM 1561/LABUHAN DALAM")</f>
        <v>HM 1561/LABUHAN DALAM</v>
      </c>
      <c r="D2095" s="13" t="str">
        <f>IFERROR(__xludf.DUMMYFUNCTION("""COMPUTED_VALUE"""),"L/5/020525/1")</f>
        <v>L/5/020525/1</v>
      </c>
      <c r="E2095" s="14" t="str">
        <f>IFERROR(__xludf.DUMMYFUNCTION("""COMPUTED_VALUE"""),"Nadian (BT)")</f>
        <v>Nadian (BT)</v>
      </c>
      <c r="F2095" s="14" t="str">
        <f>IFERROR(__xludf.DUMMYFUNCTION("""COMPUTED_VALUE"""),"SELESAI (VIA PERMOHONAN)")</f>
        <v>SELESAI (VIA PERMOHONAN)</v>
      </c>
      <c r="G2095" s="17">
        <f>IFERROR(__xludf.DUMMYFUNCTION("""COMPUTED_VALUE"""),45785.544182094905)</f>
        <v>45785.54418</v>
      </c>
      <c r="H2095" s="14" t="str">
        <f>IFERROR(__xludf.DUMMYFUNCTION("""COMPUTED_VALUE"""),"Bu Eva (SU)")</f>
        <v>Bu Eva (SU)</v>
      </c>
      <c r="I2095" s="13" t="str">
        <f>IFERROR(__xludf.DUMMYFUNCTION("""COMPUTED_VALUE"""),"SELESAI (VIA PERMOHONAN)")</f>
        <v>SELESAI (VIA PERMOHONAN)</v>
      </c>
      <c r="J2095" s="17">
        <f>IFERROR(__xludf.DUMMYFUNCTION("""COMPUTED_VALUE"""),45793.67430627315)</f>
        <v>45793.67431</v>
      </c>
      <c r="K2095" s="13" t="str">
        <f>IFERROR(__xludf.DUMMYFUNCTION("""COMPUTED_VALUE"""),"Selesai")</f>
        <v>Selesai</v>
      </c>
      <c r="L2095" s="17">
        <f>IFERROR(__xludf.DUMMYFUNCTION("""COMPUTED_VALUE"""),45793.67430627315)</f>
        <v>45793.67431</v>
      </c>
      <c r="M2095" s="13"/>
      <c r="N2095" s="13" t="str">
        <f>IFERROR(__xludf.DUMMYFUNCTION("""COMPUTED_VALUE"""),"")</f>
        <v/>
      </c>
      <c r="O2095" s="13" t="str">
        <f t="shared" si="1"/>
        <v/>
      </c>
    </row>
    <row r="2096" ht="22.5" customHeight="1">
      <c r="B2096" s="13">
        <f>IFERROR(__xludf.DUMMYFUNCTION("""COMPUTED_VALUE"""),2091.0)</f>
        <v>2091</v>
      </c>
      <c r="C2096" s="13" t="str">
        <f>IFERROR(__xludf.DUMMYFUNCTION("""COMPUTED_VALUE"""),"HGB 1315/RAJABASA")</f>
        <v>HGB 1315/RAJABASA</v>
      </c>
      <c r="D2096" s="13" t="str">
        <f>IFERROR(__xludf.DUMMYFUNCTION("""COMPUTED_VALUE"""),"L/18/020525/1")</f>
        <v>L/18/020525/1</v>
      </c>
      <c r="E2096" s="14" t="str">
        <f>IFERROR(__xludf.DUMMYFUNCTION("""COMPUTED_VALUE"""),"Nadian (BT)")</f>
        <v>Nadian (BT)</v>
      </c>
      <c r="F2096" s="14" t="str">
        <f>IFERROR(__xludf.DUMMYFUNCTION("""COMPUTED_VALUE"""),"SELESAI (VIA PERMOHONAN)")</f>
        <v>SELESAI (VIA PERMOHONAN)</v>
      </c>
      <c r="G2096" s="17">
        <f>IFERROR(__xludf.DUMMYFUNCTION("""COMPUTED_VALUE"""),45785.544182094905)</f>
        <v>45785.54418</v>
      </c>
      <c r="H2096" s="14" t="str">
        <f>IFERROR(__xludf.DUMMYFUNCTION("""COMPUTED_VALUE"""),"Bu Eva (SU)")</f>
        <v>Bu Eva (SU)</v>
      </c>
      <c r="I2096" s="13" t="str">
        <f>IFERROR(__xludf.DUMMYFUNCTION("""COMPUTED_VALUE"""),"SELESAI (VIA PERMOHONAN)")</f>
        <v>SELESAI (VIA PERMOHONAN)</v>
      </c>
      <c r="J2096" s="17">
        <f>IFERROR(__xludf.DUMMYFUNCTION("""COMPUTED_VALUE"""),45793.67430627315)</f>
        <v>45793.67431</v>
      </c>
      <c r="K2096" s="13" t="str">
        <f>IFERROR(__xludf.DUMMYFUNCTION("""COMPUTED_VALUE"""),"Selesai")</f>
        <v>Selesai</v>
      </c>
      <c r="L2096" s="17">
        <f>IFERROR(__xludf.DUMMYFUNCTION("""COMPUTED_VALUE"""),45793.67430627315)</f>
        <v>45793.67431</v>
      </c>
      <c r="M2096" s="13"/>
      <c r="N2096" s="13" t="str">
        <f>IFERROR(__xludf.DUMMYFUNCTION("""COMPUTED_VALUE"""),"")</f>
        <v/>
      </c>
      <c r="O2096" s="13" t="str">
        <f t="shared" si="1"/>
        <v/>
      </c>
    </row>
    <row r="2097" ht="22.5" customHeight="1">
      <c r="B2097" s="13">
        <f>IFERROR(__xludf.DUMMYFUNCTION("""COMPUTED_VALUE"""),2092.0)</f>
        <v>2092</v>
      </c>
      <c r="C2097" s="13" t="str">
        <f>IFERROR(__xludf.DUMMYFUNCTION("""COMPUTED_VALUE"""),"HM 11357/SUKABUMI")</f>
        <v>HM 11357/SUKABUMI</v>
      </c>
      <c r="D2097" s="13" t="str">
        <f>IFERROR(__xludf.DUMMYFUNCTION("""COMPUTED_VALUE"""),"L/10/260325/1")</f>
        <v>L/10/260325/1</v>
      </c>
      <c r="E2097" s="14" t="str">
        <f>IFERROR(__xludf.DUMMYFUNCTION("""COMPUTED_VALUE"""),"Nadian (BT)")</f>
        <v>Nadian (BT)</v>
      </c>
      <c r="F2097" s="14" t="str">
        <f>IFERROR(__xludf.DUMMYFUNCTION("""COMPUTED_VALUE"""),"SELESAI (VIA PERMOHONAN)")</f>
        <v>SELESAI (VIA PERMOHONAN)</v>
      </c>
      <c r="G2097" s="17">
        <f>IFERROR(__xludf.DUMMYFUNCTION("""COMPUTED_VALUE"""),45785.544182094905)</f>
        <v>45785.54418</v>
      </c>
      <c r="H2097" s="14" t="str">
        <f>IFERROR(__xludf.DUMMYFUNCTION("""COMPUTED_VALUE"""),"Bu Eva (SU)")</f>
        <v>Bu Eva (SU)</v>
      </c>
      <c r="I2097" s="13" t="str">
        <f>IFERROR(__xludf.DUMMYFUNCTION("""COMPUTED_VALUE"""),"SELESAI (VIA PERMOHONAN)")</f>
        <v>SELESAI (VIA PERMOHONAN)</v>
      </c>
      <c r="J2097" s="17">
        <f>IFERROR(__xludf.DUMMYFUNCTION("""COMPUTED_VALUE"""),45793.67430627315)</f>
        <v>45793.67431</v>
      </c>
      <c r="K2097" s="13" t="str">
        <f>IFERROR(__xludf.DUMMYFUNCTION("""COMPUTED_VALUE"""),"Selesai")</f>
        <v>Selesai</v>
      </c>
      <c r="L2097" s="17">
        <f>IFERROR(__xludf.DUMMYFUNCTION("""COMPUTED_VALUE"""),45793.67430627315)</f>
        <v>45793.67431</v>
      </c>
      <c r="M2097" s="13"/>
      <c r="N2097" s="13" t="str">
        <f>IFERROR(__xludf.DUMMYFUNCTION("""COMPUTED_VALUE"""),"")</f>
        <v/>
      </c>
      <c r="O2097" s="13" t="str">
        <f t="shared" si="1"/>
        <v/>
      </c>
    </row>
    <row r="2098" ht="22.5" customHeight="1">
      <c r="B2098" s="13">
        <f>IFERROR(__xludf.DUMMYFUNCTION("""COMPUTED_VALUE"""),2093.0)</f>
        <v>2093</v>
      </c>
      <c r="C2098" s="13" t="str">
        <f>IFERROR(__xludf.DUMMYFUNCTION("""COMPUTED_VALUE"""),"M.1957/SUKARAME BARU")</f>
        <v>M.1957/SUKARAME BARU</v>
      </c>
      <c r="D2098" s="13" t="str">
        <f>IFERROR(__xludf.DUMMYFUNCTION("""COMPUTED_VALUE"""),"K/17/230425/1")</f>
        <v>K/17/230425/1</v>
      </c>
      <c r="E2098" s="14" t="str">
        <f>IFERROR(__xludf.DUMMYFUNCTION("""COMPUTED_VALUE"""),"Nadian (BT)")</f>
        <v>Nadian (BT)</v>
      </c>
      <c r="F2098" s="14" t="str">
        <f>IFERROR(__xludf.DUMMYFUNCTION("""COMPUTED_VALUE"""),"SELESAI (VIA PERMOHONAN)")</f>
        <v>SELESAI (VIA PERMOHONAN)</v>
      </c>
      <c r="G2098" s="17">
        <f>IFERROR(__xludf.DUMMYFUNCTION("""COMPUTED_VALUE"""),45785.544182094905)</f>
        <v>45785.54418</v>
      </c>
      <c r="H2098" s="14" t="str">
        <f>IFERROR(__xludf.DUMMYFUNCTION("""COMPUTED_VALUE"""),"Bu Eva (SU)")</f>
        <v>Bu Eva (SU)</v>
      </c>
      <c r="I2098" s="13" t="str">
        <f>IFERROR(__xludf.DUMMYFUNCTION("""COMPUTED_VALUE"""),"SELESAI (VIA PERMOHONAN)")</f>
        <v>SELESAI (VIA PERMOHONAN)</v>
      </c>
      <c r="J2098" s="17">
        <f>IFERROR(__xludf.DUMMYFUNCTION("""COMPUTED_VALUE"""),45793.67430627315)</f>
        <v>45793.67431</v>
      </c>
      <c r="K2098" s="13" t="str">
        <f>IFERROR(__xludf.DUMMYFUNCTION("""COMPUTED_VALUE"""),"Selesai")</f>
        <v>Selesai</v>
      </c>
      <c r="L2098" s="17">
        <f>IFERROR(__xludf.DUMMYFUNCTION("""COMPUTED_VALUE"""),45793.67430627315)</f>
        <v>45793.67431</v>
      </c>
      <c r="M2098" s="13"/>
      <c r="N2098" s="13" t="str">
        <f>IFERROR(__xludf.DUMMYFUNCTION("""COMPUTED_VALUE"""),"")</f>
        <v/>
      </c>
      <c r="O2098" s="13" t="str">
        <f t="shared" si="1"/>
        <v/>
      </c>
    </row>
    <row r="2099" ht="22.5" customHeight="1">
      <c r="B2099" s="13">
        <f>IFERROR(__xludf.DUMMYFUNCTION("""COMPUTED_VALUE"""),2094.0)</f>
        <v>2094</v>
      </c>
      <c r="C2099" s="13" t="str">
        <f>IFERROR(__xludf.DUMMYFUNCTION("""COMPUTED_VALUE"""),"M.14854/SUKARAME ")</f>
        <v>M.14854/SUKARAME </v>
      </c>
      <c r="D2099" s="13" t="str">
        <f>IFERROR(__xludf.DUMMYFUNCTION("""COMPUTED_VALUE"""),"K/46/240325/1")</f>
        <v>K/46/240325/1</v>
      </c>
      <c r="E2099" s="14" t="str">
        <f>IFERROR(__xludf.DUMMYFUNCTION("""COMPUTED_VALUE"""),"Nadian (BT)")</f>
        <v>Nadian (BT)</v>
      </c>
      <c r="F2099" s="14" t="str">
        <f>IFERROR(__xludf.DUMMYFUNCTION("""COMPUTED_VALUE"""),"SELESAI (VIA PERMOHONAN)")</f>
        <v>SELESAI (VIA PERMOHONAN)</v>
      </c>
      <c r="G2099" s="17">
        <f>IFERROR(__xludf.DUMMYFUNCTION("""COMPUTED_VALUE"""),45785.544182094905)</f>
        <v>45785.54418</v>
      </c>
      <c r="H2099" s="14" t="str">
        <f>IFERROR(__xludf.DUMMYFUNCTION("""COMPUTED_VALUE"""),"Bu Eva (SU)")</f>
        <v>Bu Eva (SU)</v>
      </c>
      <c r="I2099" s="13" t="str">
        <f>IFERROR(__xludf.DUMMYFUNCTION("""COMPUTED_VALUE"""),"SELESAI (VIA PERMOHONAN)")</f>
        <v>SELESAI (VIA PERMOHONAN)</v>
      </c>
      <c r="J2099" s="17">
        <f>IFERROR(__xludf.DUMMYFUNCTION("""COMPUTED_VALUE"""),45793.67430627315)</f>
        <v>45793.67431</v>
      </c>
      <c r="K2099" s="13" t="str">
        <f>IFERROR(__xludf.DUMMYFUNCTION("""COMPUTED_VALUE"""),"Selesai")</f>
        <v>Selesai</v>
      </c>
      <c r="L2099" s="17">
        <f>IFERROR(__xludf.DUMMYFUNCTION("""COMPUTED_VALUE"""),45793.67430627315)</f>
        <v>45793.67431</v>
      </c>
      <c r="M2099" s="13"/>
      <c r="N2099" s="13" t="str">
        <f>IFERROR(__xludf.DUMMYFUNCTION("""COMPUTED_VALUE"""),"")</f>
        <v/>
      </c>
      <c r="O2099" s="13" t="str">
        <f t="shared" si="1"/>
        <v/>
      </c>
    </row>
    <row r="2100" ht="22.5" customHeight="1">
      <c r="B2100" s="13">
        <f>IFERROR(__xludf.DUMMYFUNCTION("""COMPUTED_VALUE"""),2095.0)</f>
        <v>2095</v>
      </c>
      <c r="C2100" s="13" t="str">
        <f>IFERROR(__xludf.DUMMYFUNCTION("""COMPUTED_VALUE"""),"HM 10520/SEGALA MIDER")</f>
        <v>HM 10520/SEGALA MIDER</v>
      </c>
      <c r="D2100" s="13" t="str">
        <f>IFERROR(__xludf.DUMMYFUNCTION("""COMPUTED_VALUE"""),"L/44/130325/1")</f>
        <v>L/44/130325/1</v>
      </c>
      <c r="E2100" s="14" t="str">
        <f>IFERROR(__xludf.DUMMYFUNCTION("""COMPUTED_VALUE"""),"Nadian (BT)")</f>
        <v>Nadian (BT)</v>
      </c>
      <c r="F2100" s="14" t="str">
        <f>IFERROR(__xludf.DUMMYFUNCTION("""COMPUTED_VALUE"""),"SELESAI (VIA PERMOHONAN)")</f>
        <v>SELESAI (VIA PERMOHONAN)</v>
      </c>
      <c r="G2100" s="17">
        <f>IFERROR(__xludf.DUMMYFUNCTION("""COMPUTED_VALUE"""),45785.544182094905)</f>
        <v>45785.54418</v>
      </c>
      <c r="H2100" s="14" t="str">
        <f>IFERROR(__xludf.DUMMYFUNCTION("""COMPUTED_VALUE"""),"Bu Eva (SU)")</f>
        <v>Bu Eva (SU)</v>
      </c>
      <c r="I2100" s="13" t="str">
        <f>IFERROR(__xludf.DUMMYFUNCTION("""COMPUTED_VALUE"""),"SELESAI (VIA PERMOHONAN)")</f>
        <v>SELESAI (VIA PERMOHONAN)</v>
      </c>
      <c r="J2100" s="17">
        <f>IFERROR(__xludf.DUMMYFUNCTION("""COMPUTED_VALUE"""),45793.67430627315)</f>
        <v>45793.67431</v>
      </c>
      <c r="K2100" s="13" t="str">
        <f>IFERROR(__xludf.DUMMYFUNCTION("""COMPUTED_VALUE"""),"Selesai")</f>
        <v>Selesai</v>
      </c>
      <c r="L2100" s="17">
        <f>IFERROR(__xludf.DUMMYFUNCTION("""COMPUTED_VALUE"""),45793.67430627315)</f>
        <v>45793.67431</v>
      </c>
      <c r="M2100" s="13"/>
      <c r="N2100" s="13" t="str">
        <f>IFERROR(__xludf.DUMMYFUNCTION("""COMPUTED_VALUE"""),"")</f>
        <v/>
      </c>
      <c r="O2100" s="13" t="str">
        <f t="shared" si="1"/>
        <v/>
      </c>
    </row>
    <row r="2101" ht="22.5" customHeight="1">
      <c r="B2101" s="13">
        <f>IFERROR(__xludf.DUMMYFUNCTION("""COMPUTED_VALUE"""),2096.0)</f>
        <v>2096</v>
      </c>
      <c r="C2101" s="13" t="str">
        <f>IFERROR(__xludf.DUMMYFUNCTION("""COMPUTED_VALUE"""),"M. 5101/ Rajabasa Jaya")</f>
        <v>M. 5101/ Rajabasa Jaya</v>
      </c>
      <c r="D2101" s="13" t="str">
        <f>IFERROR(__xludf.DUMMYFUNCTION("""COMPUTED_VALUE"""),"K/32/230425/1")</f>
        <v>K/32/230425/1</v>
      </c>
      <c r="E2101" s="14" t="str">
        <f>IFERROR(__xludf.DUMMYFUNCTION("""COMPUTED_VALUE"""),"Afriza (BT)")</f>
        <v>Afriza (BT)</v>
      </c>
      <c r="F2101" s="14" t="str">
        <f>IFERROR(__xludf.DUMMYFUNCTION("""COMPUTED_VALUE"""),"SELESAI (VIA PERMOHONAN)")</f>
        <v>SELESAI (VIA PERMOHONAN)</v>
      </c>
      <c r="G2101" s="17">
        <f>IFERROR(__xludf.DUMMYFUNCTION("""COMPUTED_VALUE"""),45785.579641689816)</f>
        <v>45785.57964</v>
      </c>
      <c r="H2101" s="14" t="str">
        <f>IFERROR(__xludf.DUMMYFUNCTION("""COMPUTED_VALUE"""),"Bu Eva (SU)")</f>
        <v>Bu Eva (SU)</v>
      </c>
      <c r="I2101" s="13" t="str">
        <f>IFERROR(__xludf.DUMMYFUNCTION("""COMPUTED_VALUE"""),"SELESAI (VIA PERMOHONAN)")</f>
        <v>SELESAI (VIA PERMOHONAN)</v>
      </c>
      <c r="J2101" s="17">
        <f>IFERROR(__xludf.DUMMYFUNCTION("""COMPUTED_VALUE"""),45785.579696493056)</f>
        <v>45785.5797</v>
      </c>
      <c r="K2101" s="13" t="str">
        <f>IFERROR(__xludf.DUMMYFUNCTION("""COMPUTED_VALUE"""),"Selesai")</f>
        <v>Selesai</v>
      </c>
      <c r="L2101" s="17">
        <f>IFERROR(__xludf.DUMMYFUNCTION("""COMPUTED_VALUE"""),45785.579696493056)</f>
        <v>45785.5797</v>
      </c>
      <c r="M2101" s="13"/>
      <c r="N2101" s="13" t="str">
        <f>IFERROR(__xludf.DUMMYFUNCTION("""COMPUTED_VALUE"""),"")</f>
        <v/>
      </c>
      <c r="O2101" s="13" t="str">
        <f t="shared" si="1"/>
        <v/>
      </c>
    </row>
    <row r="2102" ht="22.5" customHeight="1">
      <c r="B2102" s="13">
        <f>IFERROR(__xludf.DUMMYFUNCTION("""COMPUTED_VALUE"""),2097.0)</f>
        <v>2097</v>
      </c>
      <c r="C2102" s="13" t="str">
        <f>IFERROR(__xludf.DUMMYFUNCTION("""COMPUTED_VALUE"""),"M. 228/ Bilabong Jaya")</f>
        <v>M. 228/ Bilabong Jaya</v>
      </c>
      <c r="D2102" s="13" t="str">
        <f>IFERROR(__xludf.DUMMYFUNCTION("""COMPUTED_VALUE"""),"K/15/170425/1")</f>
        <v>K/15/170425/1</v>
      </c>
      <c r="E2102" s="14" t="str">
        <f>IFERROR(__xludf.DUMMYFUNCTION("""COMPUTED_VALUE"""),"Afriza (BT)")</f>
        <v>Afriza (BT)</v>
      </c>
      <c r="F2102" s="14" t="str">
        <f>IFERROR(__xludf.DUMMYFUNCTION("""COMPUTED_VALUE"""),"SELESAI (VIA PERMOHONAN)")</f>
        <v>SELESAI (VIA PERMOHONAN)</v>
      </c>
      <c r="G2102" s="17">
        <f>IFERROR(__xludf.DUMMYFUNCTION("""COMPUTED_VALUE"""),45785.57992020833)</f>
        <v>45785.57992</v>
      </c>
      <c r="H2102" s="14" t="str">
        <f>IFERROR(__xludf.DUMMYFUNCTION("""COMPUTED_VALUE"""),"Bu Eva (SU)")</f>
        <v>Bu Eva (SU)</v>
      </c>
      <c r="I2102" s="13" t="str">
        <f>IFERROR(__xludf.DUMMYFUNCTION("""COMPUTED_VALUE"""),"SELESAI (VIA PERMOHONAN)")</f>
        <v>SELESAI (VIA PERMOHONAN)</v>
      </c>
      <c r="J2102" s="17">
        <f>IFERROR(__xludf.DUMMYFUNCTION("""COMPUTED_VALUE"""),45785.57996311343)</f>
        <v>45785.57996</v>
      </c>
      <c r="K2102" s="13" t="str">
        <f>IFERROR(__xludf.DUMMYFUNCTION("""COMPUTED_VALUE"""),"Selesai")</f>
        <v>Selesai</v>
      </c>
      <c r="L2102" s="17">
        <f>IFERROR(__xludf.DUMMYFUNCTION("""COMPUTED_VALUE"""),45785.57996311343)</f>
        <v>45785.57996</v>
      </c>
      <c r="M2102" s="13"/>
      <c r="N2102" s="13" t="str">
        <f>IFERROR(__xludf.DUMMYFUNCTION("""COMPUTED_VALUE"""),"")</f>
        <v/>
      </c>
      <c r="O2102" s="13" t="str">
        <f t="shared" si="1"/>
        <v/>
      </c>
    </row>
    <row r="2103" ht="22.5" customHeight="1">
      <c r="B2103" s="13">
        <f>IFERROR(__xludf.DUMMYFUNCTION("""COMPUTED_VALUE"""),2098.0)</f>
        <v>2098</v>
      </c>
      <c r="C2103" s="13" t="str">
        <f>IFERROR(__xludf.DUMMYFUNCTION("""COMPUTED_VALUE"""),"M. 2699/ Sukarame Baru")</f>
        <v>M. 2699/ Sukarame Baru</v>
      </c>
      <c r="D2103" s="13" t="str">
        <f>IFERROR(__xludf.DUMMYFUNCTION("""COMPUTED_VALUE"""),"K/2/240425/2")</f>
        <v>K/2/240425/2</v>
      </c>
      <c r="E2103" s="14" t="str">
        <f>IFERROR(__xludf.DUMMYFUNCTION("""COMPUTED_VALUE"""),"Afriza (BT)")</f>
        <v>Afriza (BT)</v>
      </c>
      <c r="F2103" s="14" t="str">
        <f>IFERROR(__xludf.DUMMYFUNCTION("""COMPUTED_VALUE"""),"SELESAI (VIA PERMOHONAN)")</f>
        <v>SELESAI (VIA PERMOHONAN)</v>
      </c>
      <c r="G2103" s="17">
        <f>IFERROR(__xludf.DUMMYFUNCTION("""COMPUTED_VALUE"""),45785.58078741898)</f>
        <v>45785.58079</v>
      </c>
      <c r="H2103" s="14" t="str">
        <f>IFERROR(__xludf.DUMMYFUNCTION("""COMPUTED_VALUE"""),"Bu Eva (SU)")</f>
        <v>Bu Eva (SU)</v>
      </c>
      <c r="I2103" s="13" t="str">
        <f>IFERROR(__xludf.DUMMYFUNCTION("""COMPUTED_VALUE"""),"SELESAI (VIA PERMOHONAN)")</f>
        <v>SELESAI (VIA PERMOHONAN)</v>
      </c>
      <c r="J2103" s="17">
        <f>IFERROR(__xludf.DUMMYFUNCTION("""COMPUTED_VALUE"""),45785.58083274306)</f>
        <v>45785.58083</v>
      </c>
      <c r="K2103" s="13" t="str">
        <f>IFERROR(__xludf.DUMMYFUNCTION("""COMPUTED_VALUE"""),"Selesai")</f>
        <v>Selesai</v>
      </c>
      <c r="L2103" s="17">
        <f>IFERROR(__xludf.DUMMYFUNCTION("""COMPUTED_VALUE"""),45785.58083274306)</f>
        <v>45785.58083</v>
      </c>
      <c r="M2103" s="13"/>
      <c r="N2103" s="13" t="str">
        <f>IFERROR(__xludf.DUMMYFUNCTION("""COMPUTED_VALUE"""),"")</f>
        <v/>
      </c>
      <c r="O2103" s="13" t="str">
        <f t="shared" si="1"/>
        <v/>
      </c>
    </row>
    <row r="2104" ht="22.5" customHeight="1">
      <c r="B2104" s="13">
        <f>IFERROR(__xludf.DUMMYFUNCTION("""COMPUTED_VALUE"""),2099.0)</f>
        <v>2099</v>
      </c>
      <c r="C2104" s="13" t="str">
        <f>IFERROR(__xludf.DUMMYFUNCTION("""COMPUTED_VALUE"""),"M. 692/ sumur putri")</f>
        <v>M. 692/ sumur putri</v>
      </c>
      <c r="D2104" s="13" t="str">
        <f>IFERROR(__xludf.DUMMYFUNCTION("""COMPUTED_VALUE"""),"K/37/220425/2")</f>
        <v>K/37/220425/2</v>
      </c>
      <c r="E2104" s="14" t="str">
        <f>IFERROR(__xludf.DUMMYFUNCTION("""COMPUTED_VALUE"""),"Afriza (BT)")</f>
        <v>Afriza (BT)</v>
      </c>
      <c r="F2104" s="14" t="str">
        <f>IFERROR(__xludf.DUMMYFUNCTION("""COMPUTED_VALUE"""),"SELESAI (VIA PERMOHONAN)")</f>
        <v>SELESAI (VIA PERMOHONAN)</v>
      </c>
      <c r="G2104" s="17">
        <f>IFERROR(__xludf.DUMMYFUNCTION("""COMPUTED_VALUE"""),45785.58093978009)</f>
        <v>45785.58094</v>
      </c>
      <c r="H2104" s="14" t="str">
        <f>IFERROR(__xludf.DUMMYFUNCTION("""COMPUTED_VALUE"""),"Bu Eva (SU)")</f>
        <v>Bu Eva (SU)</v>
      </c>
      <c r="I2104" s="13" t="str">
        <f>IFERROR(__xludf.DUMMYFUNCTION("""COMPUTED_VALUE"""),"SELESAI (VIA PERMOHONAN)")</f>
        <v>SELESAI (VIA PERMOHONAN)</v>
      </c>
      <c r="J2104" s="17">
        <f>IFERROR(__xludf.DUMMYFUNCTION("""COMPUTED_VALUE"""),45785.58099185185)</f>
        <v>45785.58099</v>
      </c>
      <c r="K2104" s="13" t="str">
        <f>IFERROR(__xludf.DUMMYFUNCTION("""COMPUTED_VALUE"""),"Selesai")</f>
        <v>Selesai</v>
      </c>
      <c r="L2104" s="17">
        <f>IFERROR(__xludf.DUMMYFUNCTION("""COMPUTED_VALUE"""),45785.58099185185)</f>
        <v>45785.58099</v>
      </c>
      <c r="M2104" s="13"/>
      <c r="N2104" s="13" t="str">
        <f>IFERROR(__xludf.DUMMYFUNCTION("""COMPUTED_VALUE"""),"")</f>
        <v/>
      </c>
      <c r="O2104" s="13" t="str">
        <f t="shared" si="1"/>
        <v/>
      </c>
    </row>
    <row r="2105" ht="22.5" customHeight="1">
      <c r="B2105" s="13">
        <f>IFERROR(__xludf.DUMMYFUNCTION("""COMPUTED_VALUE"""),2100.0)</f>
        <v>2100</v>
      </c>
      <c r="C2105" s="13" t="str">
        <f>IFERROR(__xludf.DUMMYFUNCTION("""COMPUTED_VALUE"""),"M. 16681/ Sukabumi")</f>
        <v>M. 16681/ Sukabumi</v>
      </c>
      <c r="D2105" s="13" t="str">
        <f>IFERROR(__xludf.DUMMYFUNCTION("""COMPUTED_VALUE"""),"K/17/290425/1")</f>
        <v>K/17/290425/1</v>
      </c>
      <c r="E2105" s="14" t="str">
        <f>IFERROR(__xludf.DUMMYFUNCTION("""COMPUTED_VALUE"""),"Afriza (BT)")</f>
        <v>Afriza (BT)</v>
      </c>
      <c r="F2105" s="14" t="str">
        <f>IFERROR(__xludf.DUMMYFUNCTION("""COMPUTED_VALUE"""),"SELESAI (VIA PERMOHONAN)")</f>
        <v>SELESAI (VIA PERMOHONAN)</v>
      </c>
      <c r="G2105" s="17">
        <f>IFERROR(__xludf.DUMMYFUNCTION("""COMPUTED_VALUE"""),45785.581131087965)</f>
        <v>45785.58113</v>
      </c>
      <c r="H2105" s="14" t="str">
        <f>IFERROR(__xludf.DUMMYFUNCTION("""COMPUTED_VALUE"""),"Bu Eva (SU)")</f>
        <v>Bu Eva (SU)</v>
      </c>
      <c r="I2105" s="13" t="str">
        <f>IFERROR(__xludf.DUMMYFUNCTION("""COMPUTED_VALUE"""),"SELESAI (VIA PERMOHONAN)")</f>
        <v>SELESAI (VIA PERMOHONAN)</v>
      </c>
      <c r="J2105" s="17">
        <f>IFERROR(__xludf.DUMMYFUNCTION("""COMPUTED_VALUE"""),45785.58117609954)</f>
        <v>45785.58118</v>
      </c>
      <c r="K2105" s="13" t="str">
        <f>IFERROR(__xludf.DUMMYFUNCTION("""COMPUTED_VALUE"""),"Selesai")</f>
        <v>Selesai</v>
      </c>
      <c r="L2105" s="17">
        <f>IFERROR(__xludf.DUMMYFUNCTION("""COMPUTED_VALUE"""),45785.58117609954)</f>
        <v>45785.58118</v>
      </c>
      <c r="M2105" s="13"/>
      <c r="N2105" s="13" t="str">
        <f>IFERROR(__xludf.DUMMYFUNCTION("""COMPUTED_VALUE"""),"")</f>
        <v/>
      </c>
      <c r="O2105" s="13" t="str">
        <f t="shared" si="1"/>
        <v/>
      </c>
    </row>
    <row r="2106" ht="22.5" customHeight="1">
      <c r="B2106" s="13">
        <f>IFERROR(__xludf.DUMMYFUNCTION("""COMPUTED_VALUE"""),2101.0)</f>
        <v>2101</v>
      </c>
      <c r="C2106" s="13" t="str">
        <f>IFERROR(__xludf.DUMMYFUNCTION("""COMPUTED_VALUE"""),"M. 2650/ Pinang Jaya")</f>
        <v>M. 2650/ Pinang Jaya</v>
      </c>
      <c r="D2106" s="13" t="str">
        <f>IFERROR(__xludf.DUMMYFUNCTION("""COMPUTED_VALUE"""),"K/25/250425/1")</f>
        <v>K/25/250425/1</v>
      </c>
      <c r="E2106" s="14" t="str">
        <f>IFERROR(__xludf.DUMMYFUNCTION("""COMPUTED_VALUE"""),"Afriza (BT)")</f>
        <v>Afriza (BT)</v>
      </c>
      <c r="F2106" s="14" t="str">
        <f>IFERROR(__xludf.DUMMYFUNCTION("""COMPUTED_VALUE"""),"SELESAI (VIA PERMOHONAN)")</f>
        <v>SELESAI (VIA PERMOHONAN)</v>
      </c>
      <c r="G2106" s="17">
        <f>IFERROR(__xludf.DUMMYFUNCTION("""COMPUTED_VALUE"""),45785.58132456019)</f>
        <v>45785.58132</v>
      </c>
      <c r="H2106" s="14" t="str">
        <f>IFERROR(__xludf.DUMMYFUNCTION("""COMPUTED_VALUE"""),"Bu Eva (SU)")</f>
        <v>Bu Eva (SU)</v>
      </c>
      <c r="I2106" s="13" t="str">
        <f>IFERROR(__xludf.DUMMYFUNCTION("""COMPUTED_VALUE"""),"SELESAI (VIA PERMOHONAN)")</f>
        <v>SELESAI (VIA PERMOHONAN)</v>
      </c>
      <c r="J2106" s="17">
        <f>IFERROR(__xludf.DUMMYFUNCTION("""COMPUTED_VALUE"""),45785.58135234954)</f>
        <v>45785.58135</v>
      </c>
      <c r="K2106" s="13" t="str">
        <f>IFERROR(__xludf.DUMMYFUNCTION("""COMPUTED_VALUE"""),"Selesai")</f>
        <v>Selesai</v>
      </c>
      <c r="L2106" s="17">
        <f>IFERROR(__xludf.DUMMYFUNCTION("""COMPUTED_VALUE"""),45785.58135234954)</f>
        <v>45785.58135</v>
      </c>
      <c r="M2106" s="13"/>
      <c r="N2106" s="13" t="str">
        <f>IFERROR(__xludf.DUMMYFUNCTION("""COMPUTED_VALUE"""),"")</f>
        <v/>
      </c>
      <c r="O2106" s="13" t="str">
        <f t="shared" si="1"/>
        <v/>
      </c>
    </row>
    <row r="2107" ht="22.5" customHeight="1">
      <c r="B2107" s="13">
        <f>IFERROR(__xludf.DUMMYFUNCTION("""COMPUTED_VALUE"""),2102.0)</f>
        <v>2102</v>
      </c>
      <c r="C2107" s="13" t="str">
        <f>IFERROR(__xludf.DUMMYFUNCTION("""COMPUTED_VALUE"""),"M. 2021/ Rajabasa Raya")</f>
        <v>M. 2021/ Rajabasa Raya</v>
      </c>
      <c r="D2107" s="13" t="str">
        <f>IFERROR(__xludf.DUMMYFUNCTION("""COMPUTED_VALUE"""),"K/22/240425/1")</f>
        <v>K/22/240425/1</v>
      </c>
      <c r="E2107" s="14" t="str">
        <f>IFERROR(__xludf.DUMMYFUNCTION("""COMPUTED_VALUE"""),"Afriza (BT)")</f>
        <v>Afriza (BT)</v>
      </c>
      <c r="F2107" s="14" t="str">
        <f>IFERROR(__xludf.DUMMYFUNCTION("""COMPUTED_VALUE"""),"SELESAI (VIA PERMOHONAN)")</f>
        <v>SELESAI (VIA PERMOHONAN)</v>
      </c>
      <c r="G2107" s="17">
        <f>IFERROR(__xludf.DUMMYFUNCTION("""COMPUTED_VALUE"""),45785.58147559028)</f>
        <v>45785.58148</v>
      </c>
      <c r="H2107" s="14" t="str">
        <f>IFERROR(__xludf.DUMMYFUNCTION("""COMPUTED_VALUE"""),"Bu Eva (SU)")</f>
        <v>Bu Eva (SU)</v>
      </c>
      <c r="I2107" s="13" t="str">
        <f>IFERROR(__xludf.DUMMYFUNCTION("""COMPUTED_VALUE"""),"SELESAI (VIA PERMOHONAN)")</f>
        <v>SELESAI (VIA PERMOHONAN)</v>
      </c>
      <c r="J2107" s="17">
        <f>IFERROR(__xludf.DUMMYFUNCTION("""COMPUTED_VALUE"""),45785.581521203705)</f>
        <v>45785.58152</v>
      </c>
      <c r="K2107" s="13" t="str">
        <f>IFERROR(__xludf.DUMMYFUNCTION("""COMPUTED_VALUE"""),"Selesai")</f>
        <v>Selesai</v>
      </c>
      <c r="L2107" s="17">
        <f>IFERROR(__xludf.DUMMYFUNCTION("""COMPUTED_VALUE"""),45785.581521203705)</f>
        <v>45785.58152</v>
      </c>
      <c r="M2107" s="13"/>
      <c r="N2107" s="13" t="str">
        <f>IFERROR(__xludf.DUMMYFUNCTION("""COMPUTED_VALUE"""),"")</f>
        <v/>
      </c>
      <c r="O2107" s="13" t="str">
        <f t="shared" si="1"/>
        <v/>
      </c>
    </row>
    <row r="2108" ht="22.5" customHeight="1">
      <c r="B2108" s="13">
        <f>IFERROR(__xludf.DUMMYFUNCTION("""COMPUTED_VALUE"""),2103.0)</f>
        <v>2103</v>
      </c>
      <c r="C2108" s="13" t="str">
        <f>IFERROR(__xludf.DUMMYFUNCTION("""COMPUTED_VALUE"""),"M. 2391/KEDAUNG")</f>
        <v>M. 2391/KEDAUNG</v>
      </c>
      <c r="D2108" s="13" t="str">
        <f>IFERROR(__xludf.DUMMYFUNCTION("""COMPUTED_VALUE"""),"K/38/050225/1")</f>
        <v>K/38/050225/1</v>
      </c>
      <c r="E2108" s="14" t="str">
        <f>IFERROR(__xludf.DUMMYFUNCTION("""COMPUTED_VALUE"""),"Afriza (BT)")</f>
        <v>Afriza (BT)</v>
      </c>
      <c r="F2108" s="14" t="str">
        <f>IFERROR(__xludf.DUMMYFUNCTION("""COMPUTED_VALUE"""),"SELESAI (VIA PERMOHONAN)")</f>
        <v>SELESAI (VIA PERMOHONAN)</v>
      </c>
      <c r="G2108" s="17">
        <f>IFERROR(__xludf.DUMMYFUNCTION("""COMPUTED_VALUE"""),45785.58174155092)</f>
        <v>45785.58174</v>
      </c>
      <c r="H2108" s="14" t="str">
        <f>IFERROR(__xludf.DUMMYFUNCTION("""COMPUTED_VALUE"""),"Bu Eva (SU)")</f>
        <v>Bu Eva (SU)</v>
      </c>
      <c r="I2108" s="13" t="str">
        <f>IFERROR(__xludf.DUMMYFUNCTION("""COMPUTED_VALUE"""),"SELESAI (VIA PERMOHONAN)")</f>
        <v>SELESAI (VIA PERMOHONAN)</v>
      </c>
      <c r="J2108" s="17">
        <f>IFERROR(__xludf.DUMMYFUNCTION("""COMPUTED_VALUE"""),45785.581788483796)</f>
        <v>45785.58179</v>
      </c>
      <c r="K2108" s="13" t="str">
        <f>IFERROR(__xludf.DUMMYFUNCTION("""COMPUTED_VALUE"""),"Selesai")</f>
        <v>Selesai</v>
      </c>
      <c r="L2108" s="17">
        <f>IFERROR(__xludf.DUMMYFUNCTION("""COMPUTED_VALUE"""),45785.581788483796)</f>
        <v>45785.58179</v>
      </c>
      <c r="M2108" s="13"/>
      <c r="N2108" s="13" t="str">
        <f>IFERROR(__xludf.DUMMYFUNCTION("""COMPUTED_VALUE"""),"")</f>
        <v/>
      </c>
      <c r="O2108" s="13" t="str">
        <f t="shared" si="1"/>
        <v/>
      </c>
    </row>
    <row r="2109" ht="22.5" customHeight="1">
      <c r="B2109" s="13">
        <f>IFERROR(__xludf.DUMMYFUNCTION("""COMPUTED_VALUE"""),2104.0)</f>
        <v>2104</v>
      </c>
      <c r="C2109" s="13" t="str">
        <f>IFERROR(__xludf.DUMMYFUNCTION("""COMPUTED_VALUE"""),"M. 1722/ Kaliawi")</f>
        <v>M. 1722/ Kaliawi</v>
      </c>
      <c r="D2109" s="13" t="str">
        <f>IFERROR(__xludf.DUMMYFUNCTION("""COMPUTED_VALUE"""),"K/16/210225/2")</f>
        <v>K/16/210225/2</v>
      </c>
      <c r="E2109" s="14" t="str">
        <f>IFERROR(__xludf.DUMMYFUNCTION("""COMPUTED_VALUE"""),"Afriza (BT)")</f>
        <v>Afriza (BT)</v>
      </c>
      <c r="F2109" s="14" t="str">
        <f>IFERROR(__xludf.DUMMYFUNCTION("""COMPUTED_VALUE"""),"SELESAI (VIA PERMOHONAN)")</f>
        <v>SELESAI (VIA PERMOHONAN)</v>
      </c>
      <c r="G2109" s="17">
        <f>IFERROR(__xludf.DUMMYFUNCTION("""COMPUTED_VALUE"""),45785.581999490736)</f>
        <v>45785.582</v>
      </c>
      <c r="H2109" s="14" t="str">
        <f>IFERROR(__xludf.DUMMYFUNCTION("""COMPUTED_VALUE"""),"Bu Eva (SU)")</f>
        <v>Bu Eva (SU)</v>
      </c>
      <c r="I2109" s="13" t="str">
        <f>IFERROR(__xludf.DUMMYFUNCTION("""COMPUTED_VALUE"""),"SELESAI (VIA PERMOHONAN)")</f>
        <v>SELESAI (VIA PERMOHONAN)</v>
      </c>
      <c r="J2109" s="17">
        <f>IFERROR(__xludf.DUMMYFUNCTION("""COMPUTED_VALUE"""),45785.58204559028)</f>
        <v>45785.58205</v>
      </c>
      <c r="K2109" s="13" t="str">
        <f>IFERROR(__xludf.DUMMYFUNCTION("""COMPUTED_VALUE"""),"Selesai")</f>
        <v>Selesai</v>
      </c>
      <c r="L2109" s="17">
        <f>IFERROR(__xludf.DUMMYFUNCTION("""COMPUTED_VALUE"""),45785.58204559028)</f>
        <v>45785.58205</v>
      </c>
      <c r="M2109" s="13"/>
      <c r="N2109" s="13" t="str">
        <f>IFERROR(__xludf.DUMMYFUNCTION("""COMPUTED_VALUE"""),"")</f>
        <v/>
      </c>
      <c r="O2109" s="13" t="str">
        <f t="shared" si="1"/>
        <v/>
      </c>
    </row>
    <row r="2110" ht="22.5" customHeight="1">
      <c r="B2110" s="13">
        <f>IFERROR(__xludf.DUMMYFUNCTION("""COMPUTED_VALUE"""),2105.0)</f>
        <v>2105</v>
      </c>
      <c r="C2110" s="13" t="str">
        <f>IFERROR(__xludf.DUMMYFUNCTION("""COMPUTED_VALUE"""),"M. 1275/KETEGUHAN")</f>
        <v>M. 1275/KETEGUHAN</v>
      </c>
      <c r="D2110" s="13" t="str">
        <f>IFERROR(__xludf.DUMMYFUNCTION("""COMPUTED_VALUE"""),"K/16/050525/1")</f>
        <v>K/16/050525/1</v>
      </c>
      <c r="E2110" s="14" t="str">
        <f>IFERROR(__xludf.DUMMYFUNCTION("""COMPUTED_VALUE"""),"Afriza (BT)")</f>
        <v>Afriza (BT)</v>
      </c>
      <c r="F2110" s="14" t="str">
        <f>IFERROR(__xludf.DUMMYFUNCTION("""COMPUTED_VALUE"""),"SELESAI (VIA PERMOHONAN)")</f>
        <v>SELESAI (VIA PERMOHONAN)</v>
      </c>
      <c r="G2110" s="17">
        <f>IFERROR(__xludf.DUMMYFUNCTION("""COMPUTED_VALUE"""),45785.6792383912)</f>
        <v>45785.67924</v>
      </c>
      <c r="H2110" s="14" t="str">
        <f>IFERROR(__xludf.DUMMYFUNCTION("""COMPUTED_VALUE"""),"Bu Eva (SU)")</f>
        <v>Bu Eva (SU)</v>
      </c>
      <c r="I2110" s="13" t="str">
        <f>IFERROR(__xludf.DUMMYFUNCTION("""COMPUTED_VALUE"""),"SELESAI (VIA PERMOHONAN)")</f>
        <v>SELESAI (VIA PERMOHONAN)</v>
      </c>
      <c r="J2110" s="17">
        <f>IFERROR(__xludf.DUMMYFUNCTION("""COMPUTED_VALUE"""),45793.67430627315)</f>
        <v>45793.67431</v>
      </c>
      <c r="K2110" s="13" t="str">
        <f>IFERROR(__xludf.DUMMYFUNCTION("""COMPUTED_VALUE"""),"Selesai")</f>
        <v>Selesai</v>
      </c>
      <c r="L2110" s="17">
        <f>IFERROR(__xludf.DUMMYFUNCTION("""COMPUTED_VALUE"""),45793.67430627315)</f>
        <v>45793.67431</v>
      </c>
      <c r="M2110" s="13"/>
      <c r="N2110" s="13" t="str">
        <f>IFERROR(__xludf.DUMMYFUNCTION("""COMPUTED_VALUE"""),"")</f>
        <v/>
      </c>
      <c r="O2110" s="13" t="str">
        <f t="shared" si="1"/>
        <v/>
      </c>
    </row>
    <row r="2111" ht="22.5" customHeight="1">
      <c r="B2111" s="13">
        <f>IFERROR(__xludf.DUMMYFUNCTION("""COMPUTED_VALUE"""),2106.0)</f>
        <v>2106</v>
      </c>
      <c r="C2111" s="13" t="str">
        <f>IFERROR(__xludf.DUMMYFUNCTION("""COMPUTED_VALUE"""),"M. 1890/ Keteguhan")</f>
        <v>M. 1890/ Keteguhan</v>
      </c>
      <c r="D2111" s="13" t="str">
        <f>IFERROR(__xludf.DUMMYFUNCTION("""COMPUTED_VALUE"""),"K/3/140425/2")</f>
        <v>K/3/140425/2</v>
      </c>
      <c r="E2111" s="14" t="str">
        <f>IFERROR(__xludf.DUMMYFUNCTION("""COMPUTED_VALUE"""),"Afriza (BT)")</f>
        <v>Afriza (BT)</v>
      </c>
      <c r="F2111" s="14" t="str">
        <f>IFERROR(__xludf.DUMMYFUNCTION("""COMPUTED_VALUE"""),"SELESAI (VIA PERMOHONAN)")</f>
        <v>SELESAI (VIA PERMOHONAN)</v>
      </c>
      <c r="G2111" s="17">
        <f>IFERROR(__xludf.DUMMYFUNCTION("""COMPUTED_VALUE"""),45785.67948929398)</f>
        <v>45785.67949</v>
      </c>
      <c r="H2111" s="14" t="str">
        <f>IFERROR(__xludf.DUMMYFUNCTION("""COMPUTED_VALUE"""),"Bu Eva (SU)")</f>
        <v>Bu Eva (SU)</v>
      </c>
      <c r="I2111" s="13" t="str">
        <f>IFERROR(__xludf.DUMMYFUNCTION("""COMPUTED_VALUE"""),"SELESAI (VIA PERMOHONAN)")</f>
        <v>SELESAI (VIA PERMOHONAN)</v>
      </c>
      <c r="J2111" s="17">
        <f>IFERROR(__xludf.DUMMYFUNCTION("""COMPUTED_VALUE"""),45793.67430627315)</f>
        <v>45793.67431</v>
      </c>
      <c r="K2111" s="13" t="str">
        <f>IFERROR(__xludf.DUMMYFUNCTION("""COMPUTED_VALUE"""),"Selesai")</f>
        <v>Selesai</v>
      </c>
      <c r="L2111" s="17">
        <f>IFERROR(__xludf.DUMMYFUNCTION("""COMPUTED_VALUE"""),45793.67430627315)</f>
        <v>45793.67431</v>
      </c>
      <c r="M2111" s="13"/>
      <c r="N2111" s="13" t="str">
        <f>IFERROR(__xludf.DUMMYFUNCTION("""COMPUTED_VALUE"""),"")</f>
        <v/>
      </c>
      <c r="O2111" s="13" t="str">
        <f t="shared" si="1"/>
        <v/>
      </c>
    </row>
    <row r="2112" ht="22.5" customHeight="1">
      <c r="B2112" s="13">
        <f>IFERROR(__xludf.DUMMYFUNCTION("""COMPUTED_VALUE"""),2107.0)</f>
        <v>2107</v>
      </c>
      <c r="C2112" s="13" t="str">
        <f>IFERROR(__xludf.DUMMYFUNCTION("""COMPUTED_VALUE"""),"M. 293/ Sukarame Baru")</f>
        <v>M. 293/ Sukarame Baru</v>
      </c>
      <c r="D2112" s="13" t="str">
        <f>IFERROR(__xludf.DUMMYFUNCTION("""COMPUTED_VALUE""")," K/15/050525/1")</f>
        <v> K/15/050525/1</v>
      </c>
      <c r="E2112" s="14" t="str">
        <f>IFERROR(__xludf.DUMMYFUNCTION("""COMPUTED_VALUE"""),"Afriza (BT)")</f>
        <v>Afriza (BT)</v>
      </c>
      <c r="F2112" s="14" t="str">
        <f>IFERROR(__xludf.DUMMYFUNCTION("""COMPUTED_VALUE"""),"SELESAI (VIA PERMOHONAN)")</f>
        <v>SELESAI (VIA PERMOHONAN)</v>
      </c>
      <c r="G2112" s="17">
        <f>IFERROR(__xludf.DUMMYFUNCTION("""COMPUTED_VALUE"""),45785.67990811342)</f>
        <v>45785.67991</v>
      </c>
      <c r="H2112" s="14" t="str">
        <f>IFERROR(__xludf.DUMMYFUNCTION("""COMPUTED_VALUE"""),"Bu Eva (SU)")</f>
        <v>Bu Eva (SU)</v>
      </c>
      <c r="I2112" s="13" t="str">
        <f>IFERROR(__xludf.DUMMYFUNCTION("""COMPUTED_VALUE"""),"SELESAI (VIA PERMOHONAN)")</f>
        <v>SELESAI (VIA PERMOHONAN)</v>
      </c>
      <c r="J2112" s="17">
        <f>IFERROR(__xludf.DUMMYFUNCTION("""COMPUTED_VALUE"""),45793.67430627315)</f>
        <v>45793.67431</v>
      </c>
      <c r="K2112" s="13" t="str">
        <f>IFERROR(__xludf.DUMMYFUNCTION("""COMPUTED_VALUE"""),"Selesai")</f>
        <v>Selesai</v>
      </c>
      <c r="L2112" s="17">
        <f>IFERROR(__xludf.DUMMYFUNCTION("""COMPUTED_VALUE"""),45793.67430627315)</f>
        <v>45793.67431</v>
      </c>
      <c r="M2112" s="13"/>
      <c r="N2112" s="13" t="str">
        <f>IFERROR(__xludf.DUMMYFUNCTION("""COMPUTED_VALUE"""),"")</f>
        <v/>
      </c>
      <c r="O2112" s="13" t="str">
        <f t="shared" si="1"/>
        <v/>
      </c>
    </row>
    <row r="2113" ht="22.5" customHeight="1">
      <c r="B2113" s="13">
        <f>IFERROR(__xludf.DUMMYFUNCTION("""COMPUTED_VALUE"""),2108.0)</f>
        <v>2108</v>
      </c>
      <c r="C2113" s="13" t="str">
        <f>IFERROR(__xludf.DUMMYFUNCTION("""COMPUTED_VALUE"""),"M. 6685/ Tanjung Senang")</f>
        <v>M. 6685/ Tanjung Senang</v>
      </c>
      <c r="D2113" s="13" t="str">
        <f>IFERROR(__xludf.DUMMYFUNCTION("""COMPUTED_VALUE"""),"K/22/290425/1")</f>
        <v>K/22/290425/1</v>
      </c>
      <c r="E2113" s="14" t="str">
        <f>IFERROR(__xludf.DUMMYFUNCTION("""COMPUTED_VALUE"""),"Afriza (BT)")</f>
        <v>Afriza (BT)</v>
      </c>
      <c r="F2113" s="14" t="str">
        <f>IFERROR(__xludf.DUMMYFUNCTION("""COMPUTED_VALUE"""),"SELESAI (VIA PERMOHONAN)")</f>
        <v>SELESAI (VIA PERMOHONAN)</v>
      </c>
      <c r="G2113" s="17">
        <f>IFERROR(__xludf.DUMMYFUNCTION("""COMPUTED_VALUE"""),45785.68002148149)</f>
        <v>45785.68002</v>
      </c>
      <c r="H2113" s="14" t="str">
        <f>IFERROR(__xludf.DUMMYFUNCTION("""COMPUTED_VALUE"""),"Bu Eva (SU)")</f>
        <v>Bu Eva (SU)</v>
      </c>
      <c r="I2113" s="13" t="str">
        <f>IFERROR(__xludf.DUMMYFUNCTION("""COMPUTED_VALUE"""),"SELESAI (VIA PERMOHONAN)")</f>
        <v>SELESAI (VIA PERMOHONAN)</v>
      </c>
      <c r="J2113" s="17">
        <f>IFERROR(__xludf.DUMMYFUNCTION("""COMPUTED_VALUE"""),45793.67430627315)</f>
        <v>45793.67431</v>
      </c>
      <c r="K2113" s="13" t="str">
        <f>IFERROR(__xludf.DUMMYFUNCTION("""COMPUTED_VALUE"""),"Selesai")</f>
        <v>Selesai</v>
      </c>
      <c r="L2113" s="17">
        <f>IFERROR(__xludf.DUMMYFUNCTION("""COMPUTED_VALUE"""),45793.67430627315)</f>
        <v>45793.67431</v>
      </c>
      <c r="M2113" s="13"/>
      <c r="N2113" s="13" t="str">
        <f>IFERROR(__xludf.DUMMYFUNCTION("""COMPUTED_VALUE"""),"")</f>
        <v/>
      </c>
      <c r="O2113" s="13" t="str">
        <f t="shared" si="1"/>
        <v/>
      </c>
    </row>
    <row r="2114" ht="22.5" customHeight="1">
      <c r="B2114" s="13">
        <f>IFERROR(__xludf.DUMMYFUNCTION("""COMPUTED_VALUE"""),2109.0)</f>
        <v>2109</v>
      </c>
      <c r="C2114" s="13" t="str">
        <f>IFERROR(__xludf.DUMMYFUNCTION("""COMPUTED_VALUE"""),"M. 14604/ Sukabumi")</f>
        <v>M. 14604/ Sukabumi</v>
      </c>
      <c r="D2114" s="13" t="str">
        <f>IFERROR(__xludf.DUMMYFUNCTION("""COMPUTED_VALUE"""),"K/1/300425/1")</f>
        <v>K/1/300425/1</v>
      </c>
      <c r="E2114" s="14" t="str">
        <f>IFERROR(__xludf.DUMMYFUNCTION("""COMPUTED_VALUE"""),"Afriza (BT)")</f>
        <v>Afriza (BT)</v>
      </c>
      <c r="F2114" s="14" t="str">
        <f>IFERROR(__xludf.DUMMYFUNCTION("""COMPUTED_VALUE"""),"SELESAI (VIA PERMOHONAN)")</f>
        <v>SELESAI (VIA PERMOHONAN)</v>
      </c>
      <c r="G2114" s="17">
        <f>IFERROR(__xludf.DUMMYFUNCTION("""COMPUTED_VALUE"""),45785.680283194444)</f>
        <v>45785.68028</v>
      </c>
      <c r="H2114" s="14" t="str">
        <f>IFERROR(__xludf.DUMMYFUNCTION("""COMPUTED_VALUE"""),"Bu Eva (SU)")</f>
        <v>Bu Eva (SU)</v>
      </c>
      <c r="I2114" s="13" t="str">
        <f>IFERROR(__xludf.DUMMYFUNCTION("""COMPUTED_VALUE"""),"SELESAI (VIA PERMOHONAN)")</f>
        <v>SELESAI (VIA PERMOHONAN)</v>
      </c>
      <c r="J2114" s="17">
        <f>IFERROR(__xludf.DUMMYFUNCTION("""COMPUTED_VALUE"""),45793.67430627315)</f>
        <v>45793.67431</v>
      </c>
      <c r="K2114" s="13" t="str">
        <f>IFERROR(__xludf.DUMMYFUNCTION("""COMPUTED_VALUE"""),"Selesai")</f>
        <v>Selesai</v>
      </c>
      <c r="L2114" s="17">
        <f>IFERROR(__xludf.DUMMYFUNCTION("""COMPUTED_VALUE"""),45793.67430627315)</f>
        <v>45793.67431</v>
      </c>
      <c r="M2114" s="13"/>
      <c r="N2114" s="13" t="str">
        <f>IFERROR(__xludf.DUMMYFUNCTION("""COMPUTED_VALUE"""),"")</f>
        <v/>
      </c>
      <c r="O2114" s="13" t="str">
        <f t="shared" si="1"/>
        <v/>
      </c>
    </row>
    <row r="2115" ht="22.5" customHeight="1">
      <c r="B2115" s="13">
        <f>IFERROR(__xludf.DUMMYFUNCTION("""COMPUTED_VALUE"""),2110.0)</f>
        <v>2110</v>
      </c>
      <c r="C2115" s="13" t="str">
        <f>IFERROR(__xludf.DUMMYFUNCTION("""COMPUTED_VALUE"""),"HM 11191/SEGALA MIDER")</f>
        <v>HM 11191/SEGALA MIDER</v>
      </c>
      <c r="D2115" s="13" t="str">
        <f>IFERROR(__xludf.DUMMYFUNCTION("""COMPUTED_VALUE"""),"L/13/300425/1")</f>
        <v>L/13/300425/1</v>
      </c>
      <c r="E2115" s="14" t="str">
        <f>IFERROR(__xludf.DUMMYFUNCTION("""COMPUTED_VALUE"""),"Afriza (BT)")</f>
        <v>Afriza (BT)</v>
      </c>
      <c r="F2115" s="14" t="str">
        <f>IFERROR(__xludf.DUMMYFUNCTION("""COMPUTED_VALUE"""),"SELESAI (VIA PERMOHONAN)")</f>
        <v>SELESAI (VIA PERMOHONAN)</v>
      </c>
      <c r="G2115" s="17">
        <f>IFERROR(__xludf.DUMMYFUNCTION("""COMPUTED_VALUE"""),45785.680423356476)</f>
        <v>45785.68042</v>
      </c>
      <c r="H2115" s="14" t="str">
        <f>IFERROR(__xludf.DUMMYFUNCTION("""COMPUTED_VALUE"""),"Bu Eva (SU)")</f>
        <v>Bu Eva (SU)</v>
      </c>
      <c r="I2115" s="13" t="str">
        <f>IFERROR(__xludf.DUMMYFUNCTION("""COMPUTED_VALUE"""),"SELESAI (VIA PERMOHONAN)")</f>
        <v>SELESAI (VIA PERMOHONAN)</v>
      </c>
      <c r="J2115" s="17">
        <f>IFERROR(__xludf.DUMMYFUNCTION("""COMPUTED_VALUE"""),45793.67430627315)</f>
        <v>45793.67431</v>
      </c>
      <c r="K2115" s="13" t="str">
        <f>IFERROR(__xludf.DUMMYFUNCTION("""COMPUTED_VALUE"""),"Selesai")</f>
        <v>Selesai</v>
      </c>
      <c r="L2115" s="17">
        <f>IFERROR(__xludf.DUMMYFUNCTION("""COMPUTED_VALUE"""),45793.67430627315)</f>
        <v>45793.67431</v>
      </c>
      <c r="M2115" s="13"/>
      <c r="N2115" s="13" t="str">
        <f>IFERROR(__xludf.DUMMYFUNCTION("""COMPUTED_VALUE"""),"")</f>
        <v/>
      </c>
      <c r="O2115" s="13" t="str">
        <f t="shared" si="1"/>
        <v/>
      </c>
    </row>
    <row r="2116" ht="22.5" customHeight="1">
      <c r="B2116" s="13">
        <f>IFERROR(__xludf.DUMMYFUNCTION("""COMPUTED_VALUE"""),2111.0)</f>
        <v>2111</v>
      </c>
      <c r="C2116" s="13" t="str">
        <f>IFERROR(__xludf.DUMMYFUNCTION("""COMPUTED_VALUE"""),"HM 2776/S KEMILING")</f>
        <v>HM 2776/S KEMILING</v>
      </c>
      <c r="D2116" s="13" t="str">
        <f>IFERROR(__xludf.DUMMYFUNCTION("""COMPUTED_VALUE"""),"L/5/150425/1")</f>
        <v>L/5/150425/1</v>
      </c>
      <c r="E2116" s="14" t="str">
        <f>IFERROR(__xludf.DUMMYFUNCTION("""COMPUTED_VALUE"""),"Afriza (BT)")</f>
        <v>Afriza (BT)</v>
      </c>
      <c r="F2116" s="14" t="str">
        <f>IFERROR(__xludf.DUMMYFUNCTION("""COMPUTED_VALUE"""),"SELESAI (VIA PERMOHONAN)")</f>
        <v>SELESAI (VIA PERMOHONAN)</v>
      </c>
      <c r="G2116" s="17">
        <f>IFERROR(__xludf.DUMMYFUNCTION("""COMPUTED_VALUE"""),45785.68056371528)</f>
        <v>45785.68056</v>
      </c>
      <c r="H2116" s="14" t="str">
        <f>IFERROR(__xludf.DUMMYFUNCTION("""COMPUTED_VALUE"""),"Bu Eva (SU)")</f>
        <v>Bu Eva (SU)</v>
      </c>
      <c r="I2116" s="13" t="str">
        <f>IFERROR(__xludf.DUMMYFUNCTION("""COMPUTED_VALUE"""),"SELESAI (VIA PERMOHONAN)")</f>
        <v>SELESAI (VIA PERMOHONAN)</v>
      </c>
      <c r="J2116" s="17">
        <f>IFERROR(__xludf.DUMMYFUNCTION("""COMPUTED_VALUE"""),45793.67430627315)</f>
        <v>45793.67431</v>
      </c>
      <c r="K2116" s="13" t="str">
        <f>IFERROR(__xludf.DUMMYFUNCTION("""COMPUTED_VALUE"""),"Selesai")</f>
        <v>Selesai</v>
      </c>
      <c r="L2116" s="17">
        <f>IFERROR(__xludf.DUMMYFUNCTION("""COMPUTED_VALUE"""),45793.67430627315)</f>
        <v>45793.67431</v>
      </c>
      <c r="M2116" s="13"/>
      <c r="N2116" s="13" t="str">
        <f>IFERROR(__xludf.DUMMYFUNCTION("""COMPUTED_VALUE"""),"")</f>
        <v/>
      </c>
      <c r="O2116" s="13" t="str">
        <f t="shared" si="1"/>
        <v/>
      </c>
    </row>
    <row r="2117" ht="22.5" customHeight="1">
      <c r="B2117" s="13">
        <f>IFERROR(__xludf.DUMMYFUNCTION("""COMPUTED_VALUE"""),2112.0)</f>
        <v>2112</v>
      </c>
      <c r="C2117" s="13" t="str">
        <f>IFERROR(__xludf.DUMMYFUNCTION("""COMPUTED_VALUE"""),"HM 542/SUKARAME BARU")</f>
        <v>HM 542/SUKARAME BARU</v>
      </c>
      <c r="D2117" s="13" t="str">
        <f>IFERROR(__xludf.DUMMYFUNCTION("""COMPUTED_VALUE"""),"L/19/290425/1")</f>
        <v>L/19/290425/1</v>
      </c>
      <c r="E2117" s="14" t="str">
        <f>IFERROR(__xludf.DUMMYFUNCTION("""COMPUTED_VALUE"""),"Afriza (BT)")</f>
        <v>Afriza (BT)</v>
      </c>
      <c r="F2117" s="14" t="str">
        <f>IFERROR(__xludf.DUMMYFUNCTION("""COMPUTED_VALUE"""),"SELESAI (VIA PERMOHONAN)")</f>
        <v>SELESAI (VIA PERMOHONAN)</v>
      </c>
      <c r="G2117" s="17">
        <f>IFERROR(__xludf.DUMMYFUNCTION("""COMPUTED_VALUE"""),45785.68145027778)</f>
        <v>45785.68145</v>
      </c>
      <c r="H2117" s="14" t="str">
        <f>IFERROR(__xludf.DUMMYFUNCTION("""COMPUTED_VALUE"""),"Bu Eva (SU)")</f>
        <v>Bu Eva (SU)</v>
      </c>
      <c r="I2117" s="13" t="str">
        <f>IFERROR(__xludf.DUMMYFUNCTION("""COMPUTED_VALUE"""),"SELESAI (VIA PERMOHONAN)")</f>
        <v>SELESAI (VIA PERMOHONAN)</v>
      </c>
      <c r="J2117" s="17">
        <f>IFERROR(__xludf.DUMMYFUNCTION("""COMPUTED_VALUE"""),45793.67430627315)</f>
        <v>45793.67431</v>
      </c>
      <c r="K2117" s="13" t="str">
        <f>IFERROR(__xludf.DUMMYFUNCTION("""COMPUTED_VALUE"""),"Selesai")</f>
        <v>Selesai</v>
      </c>
      <c r="L2117" s="17">
        <f>IFERROR(__xludf.DUMMYFUNCTION("""COMPUTED_VALUE"""),45793.67430627315)</f>
        <v>45793.67431</v>
      </c>
      <c r="M2117" s="13"/>
      <c r="N2117" s="13" t="str">
        <f>IFERROR(__xludf.DUMMYFUNCTION("""COMPUTED_VALUE"""),"")</f>
        <v/>
      </c>
      <c r="O2117" s="13" t="str">
        <f t="shared" si="1"/>
        <v/>
      </c>
    </row>
    <row r="2118" ht="22.5" customHeight="1">
      <c r="B2118" s="13">
        <f>IFERROR(__xludf.DUMMYFUNCTION("""COMPUTED_VALUE"""),2113.0)</f>
        <v>2113</v>
      </c>
      <c r="C2118" s="13" t="str">
        <f>IFERROR(__xludf.DUMMYFUNCTION("""COMPUTED_VALUE"""),"M. 6461/ Gunung ulah")</f>
        <v>M. 6461/ Gunung ulah</v>
      </c>
      <c r="D2118" s="13" t="str">
        <f>IFERROR(__xludf.DUMMYFUNCTION("""COMPUTED_VALUE"""),"K/43/220425/1")</f>
        <v>K/43/220425/1</v>
      </c>
      <c r="E2118" s="14" t="str">
        <f>IFERROR(__xludf.DUMMYFUNCTION("""COMPUTED_VALUE"""),"Afriza (BT)")</f>
        <v>Afriza (BT)</v>
      </c>
      <c r="F2118" s="14" t="str">
        <f>IFERROR(__xludf.DUMMYFUNCTION("""COMPUTED_VALUE"""),"SELESAI (VIA PERMOHONAN)")</f>
        <v>SELESAI (VIA PERMOHONAN)</v>
      </c>
      <c r="G2118" s="17">
        <f>IFERROR(__xludf.DUMMYFUNCTION("""COMPUTED_VALUE"""),45785.68156012731)</f>
        <v>45785.68156</v>
      </c>
      <c r="H2118" s="14" t="str">
        <f>IFERROR(__xludf.DUMMYFUNCTION("""COMPUTED_VALUE"""),"Bu Eva (SU)")</f>
        <v>Bu Eva (SU)</v>
      </c>
      <c r="I2118" s="13" t="str">
        <f>IFERROR(__xludf.DUMMYFUNCTION("""COMPUTED_VALUE"""),"SELESAI (VIA PERMOHONAN)")</f>
        <v>SELESAI (VIA PERMOHONAN)</v>
      </c>
      <c r="J2118" s="17">
        <f>IFERROR(__xludf.DUMMYFUNCTION("""COMPUTED_VALUE"""),45793.67430627315)</f>
        <v>45793.67431</v>
      </c>
      <c r="K2118" s="13" t="str">
        <f>IFERROR(__xludf.DUMMYFUNCTION("""COMPUTED_VALUE"""),"Selesai")</f>
        <v>Selesai</v>
      </c>
      <c r="L2118" s="17">
        <f>IFERROR(__xludf.DUMMYFUNCTION("""COMPUTED_VALUE"""),45793.67430627315)</f>
        <v>45793.67431</v>
      </c>
      <c r="M2118" s="13"/>
      <c r="N2118" s="13" t="str">
        <f>IFERROR(__xludf.DUMMYFUNCTION("""COMPUTED_VALUE"""),"")</f>
        <v/>
      </c>
      <c r="O2118" s="13" t="str">
        <f t="shared" si="1"/>
        <v/>
      </c>
    </row>
    <row r="2119" ht="22.5" customHeight="1">
      <c r="B2119" s="13">
        <f>IFERROR(__xludf.DUMMYFUNCTION("""COMPUTED_VALUE"""),2114.0)</f>
        <v>2114</v>
      </c>
      <c r="C2119" s="13" t="str">
        <f>IFERROR(__xludf.DUMMYFUNCTION("""COMPUTED_VALUE"""),"B. 314/ Pematang Wangi")</f>
        <v>B. 314/ Pematang Wangi</v>
      </c>
      <c r="D2119" s="13" t="str">
        <f>IFERROR(__xludf.DUMMYFUNCTION("""COMPUTED_VALUE"""),"K/9/250425/1")</f>
        <v>K/9/250425/1</v>
      </c>
      <c r="E2119" s="14" t="str">
        <f>IFERROR(__xludf.DUMMYFUNCTION("""COMPUTED_VALUE"""),"Afriza (BT)")</f>
        <v>Afriza (BT)</v>
      </c>
      <c r="F2119" s="14" t="str">
        <f>IFERROR(__xludf.DUMMYFUNCTION("""COMPUTED_VALUE"""),"SELESAI (VIA PERMOHONAN)")</f>
        <v>SELESAI (VIA PERMOHONAN)</v>
      </c>
      <c r="G2119" s="17">
        <f>IFERROR(__xludf.DUMMYFUNCTION("""COMPUTED_VALUE"""),45785.681647777776)</f>
        <v>45785.68165</v>
      </c>
      <c r="H2119" s="14" t="str">
        <f>IFERROR(__xludf.DUMMYFUNCTION("""COMPUTED_VALUE"""),"Bu Eva (SU)")</f>
        <v>Bu Eva (SU)</v>
      </c>
      <c r="I2119" s="13" t="str">
        <f>IFERROR(__xludf.DUMMYFUNCTION("""COMPUTED_VALUE"""),"SELESAI (VIA PERMOHONAN)")</f>
        <v>SELESAI (VIA PERMOHONAN)</v>
      </c>
      <c r="J2119" s="17">
        <f>IFERROR(__xludf.DUMMYFUNCTION("""COMPUTED_VALUE"""),45793.67430627315)</f>
        <v>45793.67431</v>
      </c>
      <c r="K2119" s="13" t="str">
        <f>IFERROR(__xludf.DUMMYFUNCTION("""COMPUTED_VALUE"""),"Selesai")</f>
        <v>Selesai</v>
      </c>
      <c r="L2119" s="17">
        <f>IFERROR(__xludf.DUMMYFUNCTION("""COMPUTED_VALUE"""),45793.67430627315)</f>
        <v>45793.67431</v>
      </c>
      <c r="M2119" s="13"/>
      <c r="N2119" s="13" t="str">
        <f>IFERROR(__xludf.DUMMYFUNCTION("""COMPUTED_VALUE"""),"")</f>
        <v/>
      </c>
      <c r="O2119" s="13" t="str">
        <f t="shared" si="1"/>
        <v/>
      </c>
    </row>
    <row r="2120" ht="22.5" customHeight="1">
      <c r="B2120" s="13">
        <f>IFERROR(__xludf.DUMMYFUNCTION("""COMPUTED_VALUE"""),2115.0)</f>
        <v>2115</v>
      </c>
      <c r="C2120" s="13" t="str">
        <f>IFERROR(__xludf.DUMMYFUNCTION("""COMPUTED_VALUE"""),"M. 2256, 2254/ kupang teba")</f>
        <v>M. 2256, 2254/ kupang teba</v>
      </c>
      <c r="D2120" s="13" t="str">
        <f>IFERROR(__xludf.DUMMYFUNCTION("""COMPUTED_VALUE"""),"K/13/290425/1")</f>
        <v>K/13/290425/1</v>
      </c>
      <c r="E2120" s="14" t="str">
        <f>IFERROR(__xludf.DUMMYFUNCTION("""COMPUTED_VALUE"""),"Afriza (BT)")</f>
        <v>Afriza (BT)</v>
      </c>
      <c r="F2120" s="14" t="str">
        <f>IFERROR(__xludf.DUMMYFUNCTION("""COMPUTED_VALUE"""),"SELESAI (VIA PERMOHONAN)")</f>
        <v>SELESAI (VIA PERMOHONAN)</v>
      </c>
      <c r="G2120" s="17">
        <f>IFERROR(__xludf.DUMMYFUNCTION("""COMPUTED_VALUE"""),45785.68173773148)</f>
        <v>45785.68174</v>
      </c>
      <c r="H2120" s="14" t="str">
        <f>IFERROR(__xludf.DUMMYFUNCTION("""COMPUTED_VALUE"""),"Bu Eva (SU)")</f>
        <v>Bu Eva (SU)</v>
      </c>
      <c r="I2120" s="13" t="str">
        <f>IFERROR(__xludf.DUMMYFUNCTION("""COMPUTED_VALUE"""),"SELESAI (VIA PERMOHONAN)")</f>
        <v>SELESAI (VIA PERMOHONAN)</v>
      </c>
      <c r="J2120" s="17">
        <f>IFERROR(__xludf.DUMMYFUNCTION("""COMPUTED_VALUE"""),45793.67430627315)</f>
        <v>45793.67431</v>
      </c>
      <c r="K2120" s="13" t="str">
        <f>IFERROR(__xludf.DUMMYFUNCTION("""COMPUTED_VALUE"""),"Selesai")</f>
        <v>Selesai</v>
      </c>
      <c r="L2120" s="17">
        <f>IFERROR(__xludf.DUMMYFUNCTION("""COMPUTED_VALUE"""),45793.67430627315)</f>
        <v>45793.67431</v>
      </c>
      <c r="M2120" s="13"/>
      <c r="N2120" s="13" t="str">
        <f>IFERROR(__xludf.DUMMYFUNCTION("""COMPUTED_VALUE"""),"")</f>
        <v/>
      </c>
      <c r="O2120" s="13" t="str">
        <f t="shared" si="1"/>
        <v/>
      </c>
    </row>
    <row r="2121" ht="22.5" customHeight="1">
      <c r="B2121" s="13">
        <f>IFERROR(__xludf.DUMMYFUNCTION("""COMPUTED_VALUE"""),2116.0)</f>
        <v>2116</v>
      </c>
      <c r="C2121" s="13" t="str">
        <f>IFERROR(__xludf.DUMMYFUNCTION("""COMPUTED_VALUE"""),"M. 13747/ Kedamaian")</f>
        <v>M. 13747/ Kedamaian</v>
      </c>
      <c r="D2121" s="13" t="str">
        <f>IFERROR(__xludf.DUMMYFUNCTION("""COMPUTED_VALUE"""),"K/29/210425/1")</f>
        <v>K/29/210425/1</v>
      </c>
      <c r="E2121" s="14" t="str">
        <f>IFERROR(__xludf.DUMMYFUNCTION("""COMPUTED_VALUE"""),"Afriza (BT)")</f>
        <v>Afriza (BT)</v>
      </c>
      <c r="F2121" s="14" t="str">
        <f>IFERROR(__xludf.DUMMYFUNCTION("""COMPUTED_VALUE"""),"SELESAI (VIA PERMOHONAN)")</f>
        <v>SELESAI (VIA PERMOHONAN)</v>
      </c>
      <c r="G2121" s="17">
        <f>IFERROR(__xludf.DUMMYFUNCTION("""COMPUTED_VALUE"""),45785.68181556713)</f>
        <v>45785.68182</v>
      </c>
      <c r="H2121" s="14" t="str">
        <f>IFERROR(__xludf.DUMMYFUNCTION("""COMPUTED_VALUE"""),"Bu Eva (SU)")</f>
        <v>Bu Eva (SU)</v>
      </c>
      <c r="I2121" s="13" t="str">
        <f>IFERROR(__xludf.DUMMYFUNCTION("""COMPUTED_VALUE"""),"SELESAI (VIA PERMOHONAN)")</f>
        <v>SELESAI (VIA PERMOHONAN)</v>
      </c>
      <c r="J2121" s="17">
        <f>IFERROR(__xludf.DUMMYFUNCTION("""COMPUTED_VALUE"""),45793.67430627315)</f>
        <v>45793.67431</v>
      </c>
      <c r="K2121" s="13" t="str">
        <f>IFERROR(__xludf.DUMMYFUNCTION("""COMPUTED_VALUE"""),"Selesai")</f>
        <v>Selesai</v>
      </c>
      <c r="L2121" s="17">
        <f>IFERROR(__xludf.DUMMYFUNCTION("""COMPUTED_VALUE"""),45793.67430627315)</f>
        <v>45793.67431</v>
      </c>
      <c r="M2121" s="13"/>
      <c r="N2121" s="13" t="str">
        <f>IFERROR(__xludf.DUMMYFUNCTION("""COMPUTED_VALUE"""),"")</f>
        <v/>
      </c>
      <c r="O2121" s="13" t="str">
        <f t="shared" si="1"/>
        <v/>
      </c>
    </row>
    <row r="2122" ht="22.5" customHeight="1">
      <c r="B2122" s="13">
        <f>IFERROR(__xludf.DUMMYFUNCTION("""COMPUTED_VALUE"""),2117.0)</f>
        <v>2117</v>
      </c>
      <c r="C2122" s="13" t="str">
        <f>IFERROR(__xludf.DUMMYFUNCTION("""COMPUTED_VALUE"""),"M. 123/ Way Kandis")</f>
        <v>M. 123/ Way Kandis</v>
      </c>
      <c r="D2122" s="13" t="str">
        <f>IFERROR(__xludf.DUMMYFUNCTION("""COMPUTED_VALUE"""),"K/36/170425/3")</f>
        <v>K/36/170425/3</v>
      </c>
      <c r="E2122" s="14" t="str">
        <f>IFERROR(__xludf.DUMMYFUNCTION("""COMPUTED_VALUE"""),"Afriza (BT)")</f>
        <v>Afriza (BT)</v>
      </c>
      <c r="F2122" s="14" t="str">
        <f>IFERROR(__xludf.DUMMYFUNCTION("""COMPUTED_VALUE"""),"SELESAI (VIA PERMOHONAN)")</f>
        <v>SELESAI (VIA PERMOHONAN)</v>
      </c>
      <c r="G2122" s="17">
        <f>IFERROR(__xludf.DUMMYFUNCTION("""COMPUTED_VALUE"""),45785.68250034722)</f>
        <v>45785.6825</v>
      </c>
      <c r="H2122" s="14" t="str">
        <f>IFERROR(__xludf.DUMMYFUNCTION("""COMPUTED_VALUE"""),"Bu Eva (SU)")</f>
        <v>Bu Eva (SU)</v>
      </c>
      <c r="I2122" s="13" t="str">
        <f>IFERROR(__xludf.DUMMYFUNCTION("""COMPUTED_VALUE"""),"SELESAI (VIA PERMOHONAN)")</f>
        <v>SELESAI (VIA PERMOHONAN)</v>
      </c>
      <c r="J2122" s="17">
        <f>IFERROR(__xludf.DUMMYFUNCTION("""COMPUTED_VALUE"""),45793.67430627315)</f>
        <v>45793.67431</v>
      </c>
      <c r="K2122" s="13" t="str">
        <f>IFERROR(__xludf.DUMMYFUNCTION("""COMPUTED_VALUE"""),"Selesai")</f>
        <v>Selesai</v>
      </c>
      <c r="L2122" s="17">
        <f>IFERROR(__xludf.DUMMYFUNCTION("""COMPUTED_VALUE"""),45793.67430627315)</f>
        <v>45793.67431</v>
      </c>
      <c r="M2122" s="13"/>
      <c r="N2122" s="13" t="str">
        <f>IFERROR(__xludf.DUMMYFUNCTION("""COMPUTED_VALUE"""),"")</f>
        <v/>
      </c>
      <c r="O2122" s="13" t="str">
        <f t="shared" si="1"/>
        <v/>
      </c>
    </row>
    <row r="2123" ht="22.5" customHeight="1">
      <c r="B2123" s="13">
        <f>IFERROR(__xludf.DUMMYFUNCTION("""COMPUTED_VALUE"""),2118.0)</f>
        <v>2118</v>
      </c>
      <c r="C2123" s="13" t="str">
        <f>IFERROR(__xludf.DUMMYFUNCTION("""COMPUTED_VALUE"""),"M. 322/ Sukabumi Indah")</f>
        <v>M. 322/ Sukabumi Indah</v>
      </c>
      <c r="D2123" s="13" t="str">
        <f>IFERROR(__xludf.DUMMYFUNCTION("""COMPUTED_VALUE"""),"K/40/290425/1")</f>
        <v>K/40/290425/1</v>
      </c>
      <c r="E2123" s="14" t="str">
        <f>IFERROR(__xludf.DUMMYFUNCTION("""COMPUTED_VALUE"""),"Afriza (BT)")</f>
        <v>Afriza (BT)</v>
      </c>
      <c r="F2123" s="14" t="str">
        <f>IFERROR(__xludf.DUMMYFUNCTION("""COMPUTED_VALUE"""),"SELESAI (VIA PERMOHONAN)")</f>
        <v>SELESAI (VIA PERMOHONAN)</v>
      </c>
      <c r="G2123" s="17">
        <f>IFERROR(__xludf.DUMMYFUNCTION("""COMPUTED_VALUE"""),45785.68256666667)</f>
        <v>45785.68257</v>
      </c>
      <c r="H2123" s="14" t="str">
        <f>IFERROR(__xludf.DUMMYFUNCTION("""COMPUTED_VALUE"""),"Bu Eva (SU)")</f>
        <v>Bu Eva (SU)</v>
      </c>
      <c r="I2123" s="13" t="str">
        <f>IFERROR(__xludf.DUMMYFUNCTION("""COMPUTED_VALUE"""),"SELESAI (VIA PERMOHONAN)")</f>
        <v>SELESAI (VIA PERMOHONAN)</v>
      </c>
      <c r="J2123" s="17">
        <f>IFERROR(__xludf.DUMMYFUNCTION("""COMPUTED_VALUE"""),45793.67430627315)</f>
        <v>45793.67431</v>
      </c>
      <c r="K2123" s="13" t="str">
        <f>IFERROR(__xludf.DUMMYFUNCTION("""COMPUTED_VALUE"""),"Selesai")</f>
        <v>Selesai</v>
      </c>
      <c r="L2123" s="17">
        <f>IFERROR(__xludf.DUMMYFUNCTION("""COMPUTED_VALUE"""),45793.67430627315)</f>
        <v>45793.67431</v>
      </c>
      <c r="M2123" s="13"/>
      <c r="N2123" s="13" t="str">
        <f>IFERROR(__xludf.DUMMYFUNCTION("""COMPUTED_VALUE"""),"")</f>
        <v/>
      </c>
      <c r="O2123" s="13" t="str">
        <f t="shared" si="1"/>
        <v/>
      </c>
    </row>
    <row r="2124" ht="22.5" customHeight="1">
      <c r="B2124" s="13">
        <f>IFERROR(__xludf.DUMMYFUNCTION("""COMPUTED_VALUE"""),2119.0)</f>
        <v>2119</v>
      </c>
      <c r="C2124" s="13" t="str">
        <f>IFERROR(__xludf.DUMMYFUNCTION("""COMPUTED_VALUE"""),"M. 10064/ Labuhan Ratu")</f>
        <v>M. 10064/ Labuhan Ratu</v>
      </c>
      <c r="D2124" s="13" t="str">
        <f>IFERROR(__xludf.DUMMYFUNCTION("""COMPUTED_VALUE"""),"K/18/300425/1")</f>
        <v>K/18/300425/1</v>
      </c>
      <c r="E2124" s="14" t="str">
        <f>IFERROR(__xludf.DUMMYFUNCTION("""COMPUTED_VALUE"""),"Afriza (BT)")</f>
        <v>Afriza (BT)</v>
      </c>
      <c r="F2124" s="14" t="str">
        <f>IFERROR(__xludf.DUMMYFUNCTION("""COMPUTED_VALUE"""),"SELESAI (VIA PERMOHONAN)")</f>
        <v>SELESAI (VIA PERMOHONAN)</v>
      </c>
      <c r="G2124" s="17">
        <f>IFERROR(__xludf.DUMMYFUNCTION("""COMPUTED_VALUE"""),45785.68650003472)</f>
        <v>45785.6865</v>
      </c>
      <c r="H2124" s="14" t="str">
        <f>IFERROR(__xludf.DUMMYFUNCTION("""COMPUTED_VALUE"""),"Bu Eva (SU)")</f>
        <v>Bu Eva (SU)</v>
      </c>
      <c r="I2124" s="13" t="str">
        <f>IFERROR(__xludf.DUMMYFUNCTION("""COMPUTED_VALUE"""),"SELESAI (VIA PERMOHONAN)")</f>
        <v>SELESAI (VIA PERMOHONAN)</v>
      </c>
      <c r="J2124" s="17">
        <f>IFERROR(__xludf.DUMMYFUNCTION("""COMPUTED_VALUE"""),45793.67430627315)</f>
        <v>45793.67431</v>
      </c>
      <c r="K2124" s="13" t="str">
        <f>IFERROR(__xludf.DUMMYFUNCTION("""COMPUTED_VALUE"""),"Selesai")</f>
        <v>Selesai</v>
      </c>
      <c r="L2124" s="17">
        <f>IFERROR(__xludf.DUMMYFUNCTION("""COMPUTED_VALUE"""),45793.67430627315)</f>
        <v>45793.67431</v>
      </c>
      <c r="M2124" s="13"/>
      <c r="N2124" s="13" t="str">
        <f>IFERROR(__xludf.DUMMYFUNCTION("""COMPUTED_VALUE"""),"")</f>
        <v/>
      </c>
      <c r="O2124" s="13" t="str">
        <f t="shared" si="1"/>
        <v/>
      </c>
    </row>
    <row r="2125" ht="22.5" customHeight="1">
      <c r="B2125" s="13">
        <f>IFERROR(__xludf.DUMMYFUNCTION("""COMPUTED_VALUE"""),2120.0)</f>
        <v>2120</v>
      </c>
      <c r="C2125" s="13" t="str">
        <f>IFERROR(__xludf.DUMMYFUNCTION("""COMPUTED_VALUE"""),"M. 16195/ Sukabumi")</f>
        <v>M. 16195/ Sukabumi</v>
      </c>
      <c r="D2125" s="13" t="str">
        <f>IFERROR(__xludf.DUMMYFUNCTION("""COMPUTED_VALUE"""),"K/44/290425/1")</f>
        <v>K/44/290425/1</v>
      </c>
      <c r="E2125" s="14" t="str">
        <f>IFERROR(__xludf.DUMMYFUNCTION("""COMPUTED_VALUE"""),"Afriza (BT)")</f>
        <v>Afriza (BT)</v>
      </c>
      <c r="F2125" s="14" t="str">
        <f>IFERROR(__xludf.DUMMYFUNCTION("""COMPUTED_VALUE"""),"SELESAI (VIA PERMOHONAN)")</f>
        <v>SELESAI (VIA PERMOHONAN)</v>
      </c>
      <c r="G2125" s="17">
        <f>IFERROR(__xludf.DUMMYFUNCTION("""COMPUTED_VALUE"""),45785.68650003472)</f>
        <v>45785.6865</v>
      </c>
      <c r="H2125" s="14" t="str">
        <f>IFERROR(__xludf.DUMMYFUNCTION("""COMPUTED_VALUE"""),"Bu Eva (SU)")</f>
        <v>Bu Eva (SU)</v>
      </c>
      <c r="I2125" s="13" t="str">
        <f>IFERROR(__xludf.DUMMYFUNCTION("""COMPUTED_VALUE"""),"SELESAI (VIA PERMOHONAN)")</f>
        <v>SELESAI (VIA PERMOHONAN)</v>
      </c>
      <c r="J2125" s="17">
        <f>IFERROR(__xludf.DUMMYFUNCTION("""COMPUTED_VALUE"""),45793.67430627315)</f>
        <v>45793.67431</v>
      </c>
      <c r="K2125" s="13" t="str">
        <f>IFERROR(__xludf.DUMMYFUNCTION("""COMPUTED_VALUE"""),"Selesai")</f>
        <v>Selesai</v>
      </c>
      <c r="L2125" s="17">
        <f>IFERROR(__xludf.DUMMYFUNCTION("""COMPUTED_VALUE"""),45793.67430627315)</f>
        <v>45793.67431</v>
      </c>
      <c r="M2125" s="13"/>
      <c r="N2125" s="13" t="str">
        <f>IFERROR(__xludf.DUMMYFUNCTION("""COMPUTED_VALUE"""),"")</f>
        <v/>
      </c>
      <c r="O2125" s="13" t="str">
        <f t="shared" si="1"/>
        <v/>
      </c>
    </row>
    <row r="2126" ht="22.5" customHeight="1">
      <c r="B2126" s="13">
        <f>IFERROR(__xludf.DUMMYFUNCTION("""COMPUTED_VALUE"""),2121.0)</f>
        <v>2121</v>
      </c>
      <c r="C2126" s="13" t="str">
        <f>IFERROR(__xludf.DUMMYFUNCTION("""COMPUTED_VALUE"""),"B.229/GUNUNG TERANG")</f>
        <v>B.229/GUNUNG TERANG</v>
      </c>
      <c r="D2126" s="13" t="str">
        <f>IFERROR(__xludf.DUMMYFUNCTION("""COMPUTED_VALUE"""),"K/27/290425/1")</f>
        <v>K/27/290425/1</v>
      </c>
      <c r="E2126" s="14" t="str">
        <f>IFERROR(__xludf.DUMMYFUNCTION("""COMPUTED_VALUE"""),"Afriza (BT)")</f>
        <v>Afriza (BT)</v>
      </c>
      <c r="F2126" s="14" t="str">
        <f>IFERROR(__xludf.DUMMYFUNCTION("""COMPUTED_VALUE"""),"SELESAI (VIA PERMOHONAN)")</f>
        <v>SELESAI (VIA PERMOHONAN)</v>
      </c>
      <c r="G2126" s="17">
        <f>IFERROR(__xludf.DUMMYFUNCTION("""COMPUTED_VALUE"""),45785.68650003472)</f>
        <v>45785.6865</v>
      </c>
      <c r="H2126" s="14" t="str">
        <f>IFERROR(__xludf.DUMMYFUNCTION("""COMPUTED_VALUE"""),"Bu Eva (SU)")</f>
        <v>Bu Eva (SU)</v>
      </c>
      <c r="I2126" s="13" t="str">
        <f>IFERROR(__xludf.DUMMYFUNCTION("""COMPUTED_VALUE"""),"SELESAI (VIA PERMOHONAN)")</f>
        <v>SELESAI (VIA PERMOHONAN)</v>
      </c>
      <c r="J2126" s="17">
        <f>IFERROR(__xludf.DUMMYFUNCTION("""COMPUTED_VALUE"""),45793.67430627315)</f>
        <v>45793.67431</v>
      </c>
      <c r="K2126" s="13" t="str">
        <f>IFERROR(__xludf.DUMMYFUNCTION("""COMPUTED_VALUE"""),"Selesai")</f>
        <v>Selesai</v>
      </c>
      <c r="L2126" s="17">
        <f>IFERROR(__xludf.DUMMYFUNCTION("""COMPUTED_VALUE"""),45793.67430627315)</f>
        <v>45793.67431</v>
      </c>
      <c r="M2126" s="13"/>
      <c r="N2126" s="13" t="str">
        <f>IFERROR(__xludf.DUMMYFUNCTION("""COMPUTED_VALUE"""),"")</f>
        <v/>
      </c>
      <c r="O2126" s="13" t="str">
        <f t="shared" si="1"/>
        <v/>
      </c>
    </row>
    <row r="2127" ht="22.5" customHeight="1">
      <c r="B2127" s="13">
        <f>IFERROR(__xludf.DUMMYFUNCTION("""COMPUTED_VALUE"""),2122.0)</f>
        <v>2122</v>
      </c>
      <c r="C2127" s="13" t="str">
        <f>IFERROR(__xludf.DUMMYFUNCTION("""COMPUTED_VALUE"""),"B.112/KAMPUNG BARU RAYA")</f>
        <v>B.112/KAMPUNG BARU RAYA</v>
      </c>
      <c r="D2127" s="13" t="str">
        <f>IFERROR(__xludf.DUMMYFUNCTION("""COMPUTED_VALUE"""),"L/5/280425/3")</f>
        <v>L/5/280425/3</v>
      </c>
      <c r="E2127" s="14" t="str">
        <f>IFERROR(__xludf.DUMMYFUNCTION("""COMPUTED_VALUE"""),"Afriza (BT)")</f>
        <v>Afriza (BT)</v>
      </c>
      <c r="F2127" s="14" t="str">
        <f>IFERROR(__xludf.DUMMYFUNCTION("""COMPUTED_VALUE"""),"SELESAI (VIA PERMOHONAN)")</f>
        <v>SELESAI (VIA PERMOHONAN)</v>
      </c>
      <c r="G2127" s="17">
        <f>IFERROR(__xludf.DUMMYFUNCTION("""COMPUTED_VALUE"""),45785.68650003472)</f>
        <v>45785.6865</v>
      </c>
      <c r="H2127" s="14" t="str">
        <f>IFERROR(__xludf.DUMMYFUNCTION("""COMPUTED_VALUE"""),"Bu Eva (SU)")</f>
        <v>Bu Eva (SU)</v>
      </c>
      <c r="I2127" s="13" t="str">
        <f>IFERROR(__xludf.DUMMYFUNCTION("""COMPUTED_VALUE"""),"SELESAI (VIA PERMOHONAN)")</f>
        <v>SELESAI (VIA PERMOHONAN)</v>
      </c>
      <c r="J2127" s="17">
        <f>IFERROR(__xludf.DUMMYFUNCTION("""COMPUTED_VALUE"""),45793.67430627315)</f>
        <v>45793.67431</v>
      </c>
      <c r="K2127" s="13" t="str">
        <f>IFERROR(__xludf.DUMMYFUNCTION("""COMPUTED_VALUE"""),"Selesai")</f>
        <v>Selesai</v>
      </c>
      <c r="L2127" s="17">
        <f>IFERROR(__xludf.DUMMYFUNCTION("""COMPUTED_VALUE"""),45793.67430627315)</f>
        <v>45793.67431</v>
      </c>
      <c r="M2127" s="13"/>
      <c r="N2127" s="13" t="str">
        <f>IFERROR(__xludf.DUMMYFUNCTION("""COMPUTED_VALUE"""),"")</f>
        <v/>
      </c>
      <c r="O2127" s="13" t="str">
        <f t="shared" si="1"/>
        <v/>
      </c>
    </row>
    <row r="2128" ht="22.5" customHeight="1">
      <c r="B2128" s="13">
        <f>IFERROR(__xludf.DUMMYFUNCTION("""COMPUTED_VALUE"""),2123.0)</f>
        <v>2123</v>
      </c>
      <c r="C2128" s="13" t="str">
        <f>IFERROR(__xludf.DUMMYFUNCTION("""COMPUTED_VALUE"""),"M. 864/KUPANG KOTA")</f>
        <v>M. 864/KUPANG KOTA</v>
      </c>
      <c r="D2128" s="13" t="str">
        <f>IFERROR(__xludf.DUMMYFUNCTION("""COMPUTED_VALUE"""),"K/2/300425/1")</f>
        <v>K/2/300425/1</v>
      </c>
      <c r="E2128" s="14" t="str">
        <f>IFERROR(__xludf.DUMMYFUNCTION("""COMPUTED_VALUE"""),"Afriza (BT)")</f>
        <v>Afriza (BT)</v>
      </c>
      <c r="F2128" s="14" t="str">
        <f>IFERROR(__xludf.DUMMYFUNCTION("""COMPUTED_VALUE"""),"SELESAI (VIA PERMOHONAN)")</f>
        <v>SELESAI (VIA PERMOHONAN)</v>
      </c>
      <c r="G2128" s="17">
        <f>IFERROR(__xludf.DUMMYFUNCTION("""COMPUTED_VALUE"""),45785.68650003472)</f>
        <v>45785.6865</v>
      </c>
      <c r="H2128" s="14" t="str">
        <f>IFERROR(__xludf.DUMMYFUNCTION("""COMPUTED_VALUE"""),"Bu Eva (SU)")</f>
        <v>Bu Eva (SU)</v>
      </c>
      <c r="I2128" s="13" t="str">
        <f>IFERROR(__xludf.DUMMYFUNCTION("""COMPUTED_VALUE"""),"SELESAI (VIA PERMOHONAN)")</f>
        <v>SELESAI (VIA PERMOHONAN)</v>
      </c>
      <c r="J2128" s="17">
        <f>IFERROR(__xludf.DUMMYFUNCTION("""COMPUTED_VALUE"""),45793.67430627315)</f>
        <v>45793.67431</v>
      </c>
      <c r="K2128" s="13" t="str">
        <f>IFERROR(__xludf.DUMMYFUNCTION("""COMPUTED_VALUE"""),"Selesai")</f>
        <v>Selesai</v>
      </c>
      <c r="L2128" s="17">
        <f>IFERROR(__xludf.DUMMYFUNCTION("""COMPUTED_VALUE"""),45793.67430627315)</f>
        <v>45793.67431</v>
      </c>
      <c r="M2128" s="13"/>
      <c r="N2128" s="13" t="str">
        <f>IFERROR(__xludf.DUMMYFUNCTION("""COMPUTED_VALUE"""),"")</f>
        <v/>
      </c>
      <c r="O2128" s="13" t="str">
        <f t="shared" si="1"/>
        <v/>
      </c>
    </row>
    <row r="2129" ht="22.5" customHeight="1">
      <c r="B2129" s="13">
        <f>IFERROR(__xludf.DUMMYFUNCTION("""COMPUTED_VALUE"""),2124.0)</f>
        <v>2124</v>
      </c>
      <c r="C2129" s="13" t="str">
        <f>IFERROR(__xludf.DUMMYFUNCTION("""COMPUTED_VALUE"""),"B. 161/ Pinang Jaya")</f>
        <v>B. 161/ Pinang Jaya</v>
      </c>
      <c r="D2129" s="13" t="str">
        <f>IFERROR(__xludf.DUMMYFUNCTION("""COMPUTED_VALUE"""),"K/4/300425/1")</f>
        <v>K/4/300425/1</v>
      </c>
      <c r="E2129" s="14" t="str">
        <f>IFERROR(__xludf.DUMMYFUNCTION("""COMPUTED_VALUE"""),"Afriza (BT)")</f>
        <v>Afriza (BT)</v>
      </c>
      <c r="F2129" s="14" t="str">
        <f>IFERROR(__xludf.DUMMYFUNCTION("""COMPUTED_VALUE"""),"SELESAI (VIA PERMOHONAN)")</f>
        <v>SELESAI (VIA PERMOHONAN)</v>
      </c>
      <c r="G2129" s="17">
        <f>IFERROR(__xludf.DUMMYFUNCTION("""COMPUTED_VALUE"""),45785.68650003472)</f>
        <v>45785.6865</v>
      </c>
      <c r="H2129" s="14" t="str">
        <f>IFERROR(__xludf.DUMMYFUNCTION("""COMPUTED_VALUE"""),"Bu Eva (SU)")</f>
        <v>Bu Eva (SU)</v>
      </c>
      <c r="I2129" s="13" t="str">
        <f>IFERROR(__xludf.DUMMYFUNCTION("""COMPUTED_VALUE"""),"SELESAI (VIA PERMOHONAN)")</f>
        <v>SELESAI (VIA PERMOHONAN)</v>
      </c>
      <c r="J2129" s="17">
        <f>IFERROR(__xludf.DUMMYFUNCTION("""COMPUTED_VALUE"""),45793.67430627315)</f>
        <v>45793.67431</v>
      </c>
      <c r="K2129" s="13" t="str">
        <f>IFERROR(__xludf.DUMMYFUNCTION("""COMPUTED_VALUE"""),"Selesai")</f>
        <v>Selesai</v>
      </c>
      <c r="L2129" s="17">
        <f>IFERROR(__xludf.DUMMYFUNCTION("""COMPUTED_VALUE"""),45793.67430627315)</f>
        <v>45793.67431</v>
      </c>
      <c r="M2129" s="13"/>
      <c r="N2129" s="13" t="str">
        <f>IFERROR(__xludf.DUMMYFUNCTION("""COMPUTED_VALUE"""),"")</f>
        <v/>
      </c>
      <c r="O2129" s="13" t="str">
        <f t="shared" si="1"/>
        <v/>
      </c>
    </row>
    <row r="2130" ht="22.5" customHeight="1">
      <c r="B2130" s="13">
        <f>IFERROR(__xludf.DUMMYFUNCTION("""COMPUTED_VALUE"""),2125.0)</f>
        <v>2125</v>
      </c>
      <c r="C2130" s="13" t="str">
        <f>IFERROR(__xludf.DUMMYFUNCTION("""COMPUTED_VALUE"""),"M. 5181/ Rajabasa Jaya")</f>
        <v>M. 5181/ Rajabasa Jaya</v>
      </c>
      <c r="D2130" s="13" t="str">
        <f>IFERROR(__xludf.DUMMYFUNCTION("""COMPUTED_VALUE"""),"K/10/250425/1")</f>
        <v>K/10/250425/1</v>
      </c>
      <c r="E2130" s="14" t="str">
        <f>IFERROR(__xludf.DUMMYFUNCTION("""COMPUTED_VALUE"""),"Afriza (BT)")</f>
        <v>Afriza (BT)</v>
      </c>
      <c r="F2130" s="14" t="str">
        <f>IFERROR(__xludf.DUMMYFUNCTION("""COMPUTED_VALUE"""),"SELESAI (VIA PERMOHONAN)")</f>
        <v>SELESAI (VIA PERMOHONAN)</v>
      </c>
      <c r="G2130" s="17">
        <f>IFERROR(__xludf.DUMMYFUNCTION("""COMPUTED_VALUE"""),45785.68650003472)</f>
        <v>45785.6865</v>
      </c>
      <c r="H2130" s="14" t="str">
        <f>IFERROR(__xludf.DUMMYFUNCTION("""COMPUTED_VALUE"""),"Bu Eva (SU)")</f>
        <v>Bu Eva (SU)</v>
      </c>
      <c r="I2130" s="13" t="str">
        <f>IFERROR(__xludf.DUMMYFUNCTION("""COMPUTED_VALUE"""),"SELESAI (VIA PERMOHONAN)")</f>
        <v>SELESAI (VIA PERMOHONAN)</v>
      </c>
      <c r="J2130" s="17">
        <f>IFERROR(__xludf.DUMMYFUNCTION("""COMPUTED_VALUE"""),45793.67430627315)</f>
        <v>45793.67431</v>
      </c>
      <c r="K2130" s="13" t="str">
        <f>IFERROR(__xludf.DUMMYFUNCTION("""COMPUTED_VALUE"""),"Selesai")</f>
        <v>Selesai</v>
      </c>
      <c r="L2130" s="17">
        <f>IFERROR(__xludf.DUMMYFUNCTION("""COMPUTED_VALUE"""),45793.67430627315)</f>
        <v>45793.67431</v>
      </c>
      <c r="M2130" s="13"/>
      <c r="N2130" s="13" t="str">
        <f>IFERROR(__xludf.DUMMYFUNCTION("""COMPUTED_VALUE"""),"")</f>
        <v/>
      </c>
      <c r="O2130" s="13" t="str">
        <f t="shared" si="1"/>
        <v/>
      </c>
    </row>
    <row r="2131" ht="22.5" customHeight="1">
      <c r="B2131" s="13">
        <f>IFERROR(__xludf.DUMMYFUNCTION("""COMPUTED_VALUE"""),2126.0)</f>
        <v>2126</v>
      </c>
      <c r="C2131" s="13" t="str">
        <f>IFERROR(__xludf.DUMMYFUNCTION("""COMPUTED_VALUE"""),"M. 488/ Rajabasa Pemuka")</f>
        <v>M. 488/ Rajabasa Pemuka</v>
      </c>
      <c r="D2131" s="13" t="str">
        <f>IFERROR(__xludf.DUMMYFUNCTION("""COMPUTED_VALUE"""),"K/1/290425/1")</f>
        <v>K/1/290425/1</v>
      </c>
      <c r="E2131" s="14" t="str">
        <f>IFERROR(__xludf.DUMMYFUNCTION("""COMPUTED_VALUE"""),"Afriza (BT)")</f>
        <v>Afriza (BT)</v>
      </c>
      <c r="F2131" s="14" t="str">
        <f>IFERROR(__xludf.DUMMYFUNCTION("""COMPUTED_VALUE"""),"SELESAI (VIA PERMOHONAN)")</f>
        <v>SELESAI (VIA PERMOHONAN)</v>
      </c>
      <c r="G2131" s="17">
        <f>IFERROR(__xludf.DUMMYFUNCTION("""COMPUTED_VALUE"""),45785.68650003472)</f>
        <v>45785.6865</v>
      </c>
      <c r="H2131" s="14" t="str">
        <f>IFERROR(__xludf.DUMMYFUNCTION("""COMPUTED_VALUE"""),"Bu Eva (SU)")</f>
        <v>Bu Eva (SU)</v>
      </c>
      <c r="I2131" s="13" t="str">
        <f>IFERROR(__xludf.DUMMYFUNCTION("""COMPUTED_VALUE"""),"SELESAI (VIA PERMOHONAN)")</f>
        <v>SELESAI (VIA PERMOHONAN)</v>
      </c>
      <c r="J2131" s="17">
        <f>IFERROR(__xludf.DUMMYFUNCTION("""COMPUTED_VALUE"""),45793.67430627315)</f>
        <v>45793.67431</v>
      </c>
      <c r="K2131" s="13" t="str">
        <f>IFERROR(__xludf.DUMMYFUNCTION("""COMPUTED_VALUE"""),"Selesai")</f>
        <v>Selesai</v>
      </c>
      <c r="L2131" s="17">
        <f>IFERROR(__xludf.DUMMYFUNCTION("""COMPUTED_VALUE"""),45793.67430627315)</f>
        <v>45793.67431</v>
      </c>
      <c r="M2131" s="13"/>
      <c r="N2131" s="13" t="str">
        <f>IFERROR(__xludf.DUMMYFUNCTION("""COMPUTED_VALUE"""),"")</f>
        <v/>
      </c>
      <c r="O2131" s="13" t="str">
        <f t="shared" si="1"/>
        <v/>
      </c>
    </row>
    <row r="2132" ht="22.5" customHeight="1">
      <c r="B2132" s="13">
        <f>IFERROR(__xludf.DUMMYFUNCTION("""COMPUTED_VALUE"""),2127.0)</f>
        <v>2127</v>
      </c>
      <c r="C2132" s="13" t="str">
        <f>IFERROR(__xludf.DUMMYFUNCTION("""COMPUTED_VALUE"""),"B. 402/ Jagabaya III")</f>
        <v>B. 402/ Jagabaya III</v>
      </c>
      <c r="D2132" s="13" t="str">
        <f>IFERROR(__xludf.DUMMYFUNCTION("""COMPUTED_VALUE"""),"K/27/300425/1")</f>
        <v>K/27/300425/1</v>
      </c>
      <c r="E2132" s="14" t="str">
        <f>IFERROR(__xludf.DUMMYFUNCTION("""COMPUTED_VALUE"""),"Afriza (BT)")</f>
        <v>Afriza (BT)</v>
      </c>
      <c r="F2132" s="14" t="str">
        <f>IFERROR(__xludf.DUMMYFUNCTION("""COMPUTED_VALUE"""),"SELESAI (VIA PERMOHONAN)")</f>
        <v>SELESAI (VIA PERMOHONAN)</v>
      </c>
      <c r="G2132" s="17">
        <f>IFERROR(__xludf.DUMMYFUNCTION("""COMPUTED_VALUE"""),45785.68650003472)</f>
        <v>45785.6865</v>
      </c>
      <c r="H2132" s="14" t="str">
        <f>IFERROR(__xludf.DUMMYFUNCTION("""COMPUTED_VALUE"""),"Bu Eva (SU)")</f>
        <v>Bu Eva (SU)</v>
      </c>
      <c r="I2132" s="13" t="str">
        <f>IFERROR(__xludf.DUMMYFUNCTION("""COMPUTED_VALUE"""),"SELESAI (VIA PERMOHONAN)")</f>
        <v>SELESAI (VIA PERMOHONAN)</v>
      </c>
      <c r="J2132" s="17">
        <f>IFERROR(__xludf.DUMMYFUNCTION("""COMPUTED_VALUE"""),45793.67430627315)</f>
        <v>45793.67431</v>
      </c>
      <c r="K2132" s="13" t="str">
        <f>IFERROR(__xludf.DUMMYFUNCTION("""COMPUTED_VALUE"""),"Selesai")</f>
        <v>Selesai</v>
      </c>
      <c r="L2132" s="17">
        <f>IFERROR(__xludf.DUMMYFUNCTION("""COMPUTED_VALUE"""),45793.67430627315)</f>
        <v>45793.67431</v>
      </c>
      <c r="M2132" s="13"/>
      <c r="N2132" s="13" t="str">
        <f>IFERROR(__xludf.DUMMYFUNCTION("""COMPUTED_VALUE"""),"")</f>
        <v/>
      </c>
      <c r="O2132" s="13" t="str">
        <f t="shared" si="1"/>
        <v/>
      </c>
    </row>
    <row r="2133" ht="22.5" customHeight="1">
      <c r="B2133" s="13">
        <f>IFERROR(__xludf.DUMMYFUNCTION("""COMPUTED_VALUE"""),2128.0)</f>
        <v>2128</v>
      </c>
      <c r="C2133" s="13" t="str">
        <f>IFERROR(__xludf.DUMMYFUNCTION("""COMPUTED_VALUE"""),"M. 11177/ Segala Mider")</f>
        <v>M. 11177/ Segala Mider</v>
      </c>
      <c r="D2133" s="13" t="str">
        <f>IFERROR(__xludf.DUMMYFUNCTION("""COMPUTED_VALUE"""),"K/16/150125/2")</f>
        <v>K/16/150125/2</v>
      </c>
      <c r="E2133" s="14" t="str">
        <f>IFERROR(__xludf.DUMMYFUNCTION("""COMPUTED_VALUE"""),"Afriza (BT)")</f>
        <v>Afriza (BT)</v>
      </c>
      <c r="F2133" s="14" t="str">
        <f>IFERROR(__xludf.DUMMYFUNCTION("""COMPUTED_VALUE"""),"SELESAI (VIA PERMOHONAN)")</f>
        <v>SELESAI (VIA PERMOHONAN)</v>
      </c>
      <c r="G2133" s="17">
        <f>IFERROR(__xludf.DUMMYFUNCTION("""COMPUTED_VALUE"""),45785.68650003472)</f>
        <v>45785.6865</v>
      </c>
      <c r="H2133" s="14" t="str">
        <f>IFERROR(__xludf.DUMMYFUNCTION("""COMPUTED_VALUE"""),"Bu Eva (SU)")</f>
        <v>Bu Eva (SU)</v>
      </c>
      <c r="I2133" s="13" t="str">
        <f>IFERROR(__xludf.DUMMYFUNCTION("""COMPUTED_VALUE"""),"SELESAI (VIA PERMOHONAN)")</f>
        <v>SELESAI (VIA PERMOHONAN)</v>
      </c>
      <c r="J2133" s="17">
        <f>IFERROR(__xludf.DUMMYFUNCTION("""COMPUTED_VALUE"""),45793.67430627315)</f>
        <v>45793.67431</v>
      </c>
      <c r="K2133" s="13" t="str">
        <f>IFERROR(__xludf.DUMMYFUNCTION("""COMPUTED_VALUE"""),"Selesai")</f>
        <v>Selesai</v>
      </c>
      <c r="L2133" s="17">
        <f>IFERROR(__xludf.DUMMYFUNCTION("""COMPUTED_VALUE"""),45793.67430627315)</f>
        <v>45793.67431</v>
      </c>
      <c r="M2133" s="13"/>
      <c r="N2133" s="13" t="str">
        <f>IFERROR(__xludf.DUMMYFUNCTION("""COMPUTED_VALUE"""),"")</f>
        <v/>
      </c>
      <c r="O2133" s="13" t="str">
        <f t="shared" si="1"/>
        <v/>
      </c>
    </row>
    <row r="2134" ht="22.5" customHeight="1">
      <c r="B2134" s="13">
        <f>IFERROR(__xludf.DUMMYFUNCTION("""COMPUTED_VALUE"""),2129.0)</f>
        <v>2129</v>
      </c>
      <c r="C2134" s="13" t="str">
        <f>IFERROR(__xludf.DUMMYFUNCTION("""COMPUTED_VALUE"""),"M. 2389/ Kedaung")</f>
        <v>M. 2389/ Kedaung</v>
      </c>
      <c r="D2134" s="13" t="str">
        <f>IFERROR(__xludf.DUMMYFUNCTION("""COMPUTED_VALUE"""),"K/28/250425/1")</f>
        <v>K/28/250425/1</v>
      </c>
      <c r="E2134" s="14" t="str">
        <f>IFERROR(__xludf.DUMMYFUNCTION("""COMPUTED_VALUE"""),"Afriza (BT)")</f>
        <v>Afriza (BT)</v>
      </c>
      <c r="F2134" s="14" t="str">
        <f>IFERROR(__xludf.DUMMYFUNCTION("""COMPUTED_VALUE"""),"SELESAI (VIA PERMOHONAN)")</f>
        <v>SELESAI (VIA PERMOHONAN)</v>
      </c>
      <c r="G2134" s="17">
        <f>IFERROR(__xludf.DUMMYFUNCTION("""COMPUTED_VALUE"""),45785.68650003472)</f>
        <v>45785.6865</v>
      </c>
      <c r="H2134" s="14" t="str">
        <f>IFERROR(__xludf.DUMMYFUNCTION("""COMPUTED_VALUE"""),"Bu Eva (SU)")</f>
        <v>Bu Eva (SU)</v>
      </c>
      <c r="I2134" s="13" t="str">
        <f>IFERROR(__xludf.DUMMYFUNCTION("""COMPUTED_VALUE"""),"SELESAI (VIA PERMOHONAN)")</f>
        <v>SELESAI (VIA PERMOHONAN)</v>
      </c>
      <c r="J2134" s="17">
        <f>IFERROR(__xludf.DUMMYFUNCTION("""COMPUTED_VALUE"""),45793.67430627315)</f>
        <v>45793.67431</v>
      </c>
      <c r="K2134" s="13" t="str">
        <f>IFERROR(__xludf.DUMMYFUNCTION("""COMPUTED_VALUE"""),"Selesai")</f>
        <v>Selesai</v>
      </c>
      <c r="L2134" s="17">
        <f>IFERROR(__xludf.DUMMYFUNCTION("""COMPUTED_VALUE"""),45793.67430627315)</f>
        <v>45793.67431</v>
      </c>
      <c r="M2134" s="13"/>
      <c r="N2134" s="13" t="str">
        <f>IFERROR(__xludf.DUMMYFUNCTION("""COMPUTED_VALUE"""),"")</f>
        <v/>
      </c>
      <c r="O2134" s="13" t="str">
        <f t="shared" si="1"/>
        <v/>
      </c>
    </row>
    <row r="2135" ht="22.5" customHeight="1">
      <c r="B2135" s="13">
        <f>IFERROR(__xludf.DUMMYFUNCTION("""COMPUTED_VALUE"""),2130.0)</f>
        <v>2130</v>
      </c>
      <c r="C2135" s="13" t="str">
        <f>IFERROR(__xludf.DUMMYFUNCTION("""COMPUTED_VALUE"""),"M. 16199/ Sukabumi")</f>
        <v>M. 16199/ Sukabumi</v>
      </c>
      <c r="D2135" s="13" t="str">
        <f>IFERROR(__xludf.DUMMYFUNCTION("""COMPUTED_VALUE"""),"K/46/290425/3")</f>
        <v>K/46/290425/3</v>
      </c>
      <c r="E2135" s="14" t="str">
        <f>IFERROR(__xludf.DUMMYFUNCTION("""COMPUTED_VALUE"""),"Afriza (BT)")</f>
        <v>Afriza (BT)</v>
      </c>
      <c r="F2135" s="14" t="str">
        <f>IFERROR(__xludf.DUMMYFUNCTION("""COMPUTED_VALUE"""),"SELESAI (VIA PERMOHONAN)")</f>
        <v>SELESAI (VIA PERMOHONAN)</v>
      </c>
      <c r="G2135" s="17">
        <f>IFERROR(__xludf.DUMMYFUNCTION("""COMPUTED_VALUE"""),45785.68650003472)</f>
        <v>45785.6865</v>
      </c>
      <c r="H2135" s="14" t="str">
        <f>IFERROR(__xludf.DUMMYFUNCTION("""COMPUTED_VALUE"""),"Bu Eva (SU)")</f>
        <v>Bu Eva (SU)</v>
      </c>
      <c r="I2135" s="13" t="str">
        <f>IFERROR(__xludf.DUMMYFUNCTION("""COMPUTED_VALUE"""),"SELESAI (VIA PERMOHONAN)")</f>
        <v>SELESAI (VIA PERMOHONAN)</v>
      </c>
      <c r="J2135" s="17">
        <f>IFERROR(__xludf.DUMMYFUNCTION("""COMPUTED_VALUE"""),45793.67430627315)</f>
        <v>45793.67431</v>
      </c>
      <c r="K2135" s="13" t="str">
        <f>IFERROR(__xludf.DUMMYFUNCTION("""COMPUTED_VALUE"""),"Selesai")</f>
        <v>Selesai</v>
      </c>
      <c r="L2135" s="17">
        <f>IFERROR(__xludf.DUMMYFUNCTION("""COMPUTED_VALUE"""),45793.67430627315)</f>
        <v>45793.67431</v>
      </c>
      <c r="M2135" s="13"/>
      <c r="N2135" s="13" t="str">
        <f>IFERROR(__xludf.DUMMYFUNCTION("""COMPUTED_VALUE"""),"")</f>
        <v/>
      </c>
      <c r="O2135" s="13" t="str">
        <f t="shared" si="1"/>
        <v/>
      </c>
    </row>
    <row r="2136" ht="22.5" customHeight="1">
      <c r="B2136" s="13">
        <f>IFERROR(__xludf.DUMMYFUNCTION("""COMPUTED_VALUE"""),2131.0)</f>
        <v>2131</v>
      </c>
      <c r="C2136" s="13" t="str">
        <f>IFERROR(__xludf.DUMMYFUNCTION("""COMPUTED_VALUE"""),"M. 15009/ Sukabumi")</f>
        <v>M. 15009/ Sukabumi</v>
      </c>
      <c r="D2136" s="13" t="str">
        <f>IFERROR(__xludf.DUMMYFUNCTION("""COMPUTED_VALUE"""),"K/14/290425/1")</f>
        <v>K/14/290425/1</v>
      </c>
      <c r="E2136" s="14" t="str">
        <f>IFERROR(__xludf.DUMMYFUNCTION("""COMPUTED_VALUE"""),"Afriza (BT)")</f>
        <v>Afriza (BT)</v>
      </c>
      <c r="F2136" s="14" t="str">
        <f>IFERROR(__xludf.DUMMYFUNCTION("""COMPUTED_VALUE"""),"SELESAI (VIA PERMOHONAN)")</f>
        <v>SELESAI (VIA PERMOHONAN)</v>
      </c>
      <c r="G2136" s="17">
        <f>IFERROR(__xludf.DUMMYFUNCTION("""COMPUTED_VALUE"""),45785.68650003472)</f>
        <v>45785.6865</v>
      </c>
      <c r="H2136" s="14" t="str">
        <f>IFERROR(__xludf.DUMMYFUNCTION("""COMPUTED_VALUE"""),"Bu Eva (SU)")</f>
        <v>Bu Eva (SU)</v>
      </c>
      <c r="I2136" s="13" t="str">
        <f>IFERROR(__xludf.DUMMYFUNCTION("""COMPUTED_VALUE"""),"SELESAI (VIA PERMOHONAN)")</f>
        <v>SELESAI (VIA PERMOHONAN)</v>
      </c>
      <c r="J2136" s="17">
        <f>IFERROR(__xludf.DUMMYFUNCTION("""COMPUTED_VALUE"""),45793.67430627315)</f>
        <v>45793.67431</v>
      </c>
      <c r="K2136" s="13" t="str">
        <f>IFERROR(__xludf.DUMMYFUNCTION("""COMPUTED_VALUE"""),"Selesai")</f>
        <v>Selesai</v>
      </c>
      <c r="L2136" s="17">
        <f>IFERROR(__xludf.DUMMYFUNCTION("""COMPUTED_VALUE"""),45793.67430627315)</f>
        <v>45793.67431</v>
      </c>
      <c r="M2136" s="13"/>
      <c r="N2136" s="13" t="str">
        <f>IFERROR(__xludf.DUMMYFUNCTION("""COMPUTED_VALUE"""),"")</f>
        <v/>
      </c>
      <c r="O2136" s="13" t="str">
        <f t="shared" si="1"/>
        <v/>
      </c>
    </row>
    <row r="2137" ht="22.5" customHeight="1">
      <c r="B2137" s="13">
        <f>IFERROR(__xludf.DUMMYFUNCTION("""COMPUTED_VALUE"""),2132.0)</f>
        <v>2132</v>
      </c>
      <c r="C2137" s="13" t="str">
        <f>IFERROR(__xludf.DUMMYFUNCTION("""COMPUTED_VALUE"""),"M. 868/ Sumber Agung")</f>
        <v>M. 868/ Sumber Agung</v>
      </c>
      <c r="D2137" s="13" t="str">
        <f>IFERROR(__xludf.DUMMYFUNCTION("""COMPUTED_VALUE"""),"K/20/240425/1")</f>
        <v>K/20/240425/1</v>
      </c>
      <c r="E2137" s="14" t="str">
        <f>IFERROR(__xludf.DUMMYFUNCTION("""COMPUTED_VALUE"""),"Afriza (BT)")</f>
        <v>Afriza (BT)</v>
      </c>
      <c r="F2137" s="14" t="str">
        <f>IFERROR(__xludf.DUMMYFUNCTION("""COMPUTED_VALUE"""),"SELESAI (VIA PERMOHONAN)")</f>
        <v>SELESAI (VIA PERMOHONAN)</v>
      </c>
      <c r="G2137" s="17">
        <f>IFERROR(__xludf.DUMMYFUNCTION("""COMPUTED_VALUE"""),45785.68650003472)</f>
        <v>45785.6865</v>
      </c>
      <c r="H2137" s="14" t="str">
        <f>IFERROR(__xludf.DUMMYFUNCTION("""COMPUTED_VALUE"""),"Bu Eva (SU)")</f>
        <v>Bu Eva (SU)</v>
      </c>
      <c r="I2137" s="13" t="str">
        <f>IFERROR(__xludf.DUMMYFUNCTION("""COMPUTED_VALUE"""),"SELESAI (VIA PERMOHONAN)")</f>
        <v>SELESAI (VIA PERMOHONAN)</v>
      </c>
      <c r="J2137" s="17">
        <f>IFERROR(__xludf.DUMMYFUNCTION("""COMPUTED_VALUE"""),45793.67430627315)</f>
        <v>45793.67431</v>
      </c>
      <c r="K2137" s="13" t="str">
        <f>IFERROR(__xludf.DUMMYFUNCTION("""COMPUTED_VALUE"""),"Selesai")</f>
        <v>Selesai</v>
      </c>
      <c r="L2137" s="17">
        <f>IFERROR(__xludf.DUMMYFUNCTION("""COMPUTED_VALUE"""),45793.67430627315)</f>
        <v>45793.67431</v>
      </c>
      <c r="M2137" s="13"/>
      <c r="N2137" s="13" t="str">
        <f>IFERROR(__xludf.DUMMYFUNCTION("""COMPUTED_VALUE"""),"")</f>
        <v/>
      </c>
      <c r="O2137" s="13" t="str">
        <f t="shared" si="1"/>
        <v/>
      </c>
    </row>
    <row r="2138" ht="22.5" customHeight="1">
      <c r="B2138" s="13">
        <f>IFERROR(__xludf.DUMMYFUNCTION("""COMPUTED_VALUE"""),2133.0)</f>
        <v>2133</v>
      </c>
      <c r="C2138" s="13" t="str">
        <f>IFERROR(__xludf.DUMMYFUNCTION("""COMPUTED_VALUE"""),"M. 3110/ Sukarame II")</f>
        <v>M. 3110/ Sukarame II</v>
      </c>
      <c r="D2138" s="13" t="str">
        <f>IFERROR(__xludf.DUMMYFUNCTION("""COMPUTED_VALUE"""),"K/12/260325/1")</f>
        <v>K/12/260325/1</v>
      </c>
      <c r="E2138" s="14" t="str">
        <f>IFERROR(__xludf.DUMMYFUNCTION("""COMPUTED_VALUE"""),"Afriza (BT)")</f>
        <v>Afriza (BT)</v>
      </c>
      <c r="F2138" s="14" t="str">
        <f>IFERROR(__xludf.DUMMYFUNCTION("""COMPUTED_VALUE"""),"SELESAI (VIA PERMOHONAN)")</f>
        <v>SELESAI (VIA PERMOHONAN)</v>
      </c>
      <c r="G2138" s="17">
        <f>IFERROR(__xludf.DUMMYFUNCTION("""COMPUTED_VALUE"""),45785.68650003472)</f>
        <v>45785.6865</v>
      </c>
      <c r="H2138" s="14" t="str">
        <f>IFERROR(__xludf.DUMMYFUNCTION("""COMPUTED_VALUE"""),"Bu Eva (SU)")</f>
        <v>Bu Eva (SU)</v>
      </c>
      <c r="I2138" s="13" t="str">
        <f>IFERROR(__xludf.DUMMYFUNCTION("""COMPUTED_VALUE"""),"SELESAI (VIA PERMOHONAN)")</f>
        <v>SELESAI (VIA PERMOHONAN)</v>
      </c>
      <c r="J2138" s="17">
        <f>IFERROR(__xludf.DUMMYFUNCTION("""COMPUTED_VALUE"""),45793.67430627315)</f>
        <v>45793.67431</v>
      </c>
      <c r="K2138" s="13" t="str">
        <f>IFERROR(__xludf.DUMMYFUNCTION("""COMPUTED_VALUE"""),"Selesai")</f>
        <v>Selesai</v>
      </c>
      <c r="L2138" s="17">
        <f>IFERROR(__xludf.DUMMYFUNCTION("""COMPUTED_VALUE"""),45793.67430627315)</f>
        <v>45793.67431</v>
      </c>
      <c r="M2138" s="13"/>
      <c r="N2138" s="13" t="str">
        <f>IFERROR(__xludf.DUMMYFUNCTION("""COMPUTED_VALUE"""),"")</f>
        <v/>
      </c>
      <c r="O2138" s="13" t="str">
        <f t="shared" si="1"/>
        <v/>
      </c>
    </row>
    <row r="2139" ht="22.5" customHeight="1">
      <c r="B2139" s="13">
        <f>IFERROR(__xludf.DUMMYFUNCTION("""COMPUTED_VALUE"""),2134.0)</f>
        <v>2134</v>
      </c>
      <c r="C2139" s="13" t="str">
        <f>IFERROR(__xludf.DUMMYFUNCTION("""COMPUTED_VALUE"""),"HM 13151/TANJUNG BARU")</f>
        <v>HM 13151/TANJUNG BARU</v>
      </c>
      <c r="D2139" s="13" t="str">
        <f>IFERROR(__xludf.DUMMYFUNCTION("""COMPUTED_VALUE"""),"L/20/290425/1")</f>
        <v>L/20/290425/1</v>
      </c>
      <c r="E2139" s="14" t="str">
        <f>IFERROR(__xludf.DUMMYFUNCTION("""COMPUTED_VALUE"""),"Afriza (BT)")</f>
        <v>Afriza (BT)</v>
      </c>
      <c r="F2139" s="14" t="str">
        <f>IFERROR(__xludf.DUMMYFUNCTION("""COMPUTED_VALUE"""),"SELESAI (VIA PERMOHONAN)")</f>
        <v>SELESAI (VIA PERMOHONAN)</v>
      </c>
      <c r="G2139" s="17">
        <f>IFERROR(__xludf.DUMMYFUNCTION("""COMPUTED_VALUE"""),45786.6642231713)</f>
        <v>45786.66422</v>
      </c>
      <c r="H2139" s="14" t="str">
        <f>IFERROR(__xludf.DUMMYFUNCTION("""COMPUTED_VALUE"""),"Bu Eva (SU)")</f>
        <v>Bu Eva (SU)</v>
      </c>
      <c r="I2139" s="13" t="str">
        <f>IFERROR(__xludf.DUMMYFUNCTION("""COMPUTED_VALUE"""),"SELESAI (VIA PERMOHONAN)")</f>
        <v>SELESAI (VIA PERMOHONAN)</v>
      </c>
      <c r="J2139" s="17">
        <f>IFERROR(__xludf.DUMMYFUNCTION("""COMPUTED_VALUE"""),45793.67430627315)</f>
        <v>45793.67431</v>
      </c>
      <c r="K2139" s="13" t="str">
        <f>IFERROR(__xludf.DUMMYFUNCTION("""COMPUTED_VALUE"""),"Selesai")</f>
        <v>Selesai</v>
      </c>
      <c r="L2139" s="17">
        <f>IFERROR(__xludf.DUMMYFUNCTION("""COMPUTED_VALUE"""),45793.67430627315)</f>
        <v>45793.67431</v>
      </c>
      <c r="M2139" s="13"/>
      <c r="N2139" s="13" t="str">
        <f>IFERROR(__xludf.DUMMYFUNCTION("""COMPUTED_VALUE"""),"")</f>
        <v/>
      </c>
      <c r="O2139" s="13" t="str">
        <f t="shared" si="1"/>
        <v/>
      </c>
    </row>
    <row r="2140" ht="22.5" customHeight="1">
      <c r="B2140" s="13">
        <f>IFERROR(__xludf.DUMMYFUNCTION("""COMPUTED_VALUE"""),2135.0)</f>
        <v>2135</v>
      </c>
      <c r="C2140" s="13" t="str">
        <f>IFERROR(__xludf.DUMMYFUNCTION("""COMPUTED_VALUE"""),"HM 10938/KEDAMAIAN")</f>
        <v>HM 10938/KEDAMAIAN</v>
      </c>
      <c r="D2140" s="13" t="str">
        <f>IFERROR(__xludf.DUMMYFUNCTION("""COMPUTED_VALUE"""),"L/40/240425/1")</f>
        <v>L/40/240425/1</v>
      </c>
      <c r="E2140" s="14" t="str">
        <f>IFERROR(__xludf.DUMMYFUNCTION("""COMPUTED_VALUE"""),"Afriza (BT)")</f>
        <v>Afriza (BT)</v>
      </c>
      <c r="F2140" s="14" t="str">
        <f>IFERROR(__xludf.DUMMYFUNCTION("""COMPUTED_VALUE"""),"SELESAI (VIA PERMOHONAN)")</f>
        <v>SELESAI (VIA PERMOHONAN)</v>
      </c>
      <c r="G2140" s="17">
        <f>IFERROR(__xludf.DUMMYFUNCTION("""COMPUTED_VALUE"""),45786.66433912037)</f>
        <v>45786.66434</v>
      </c>
      <c r="H2140" s="14" t="str">
        <f>IFERROR(__xludf.DUMMYFUNCTION("""COMPUTED_VALUE"""),"Bu Eva (SU)")</f>
        <v>Bu Eva (SU)</v>
      </c>
      <c r="I2140" s="13" t="str">
        <f>IFERROR(__xludf.DUMMYFUNCTION("""COMPUTED_VALUE"""),"SELESAI (VIA PERMOHONAN)")</f>
        <v>SELESAI (VIA PERMOHONAN)</v>
      </c>
      <c r="J2140" s="17">
        <f>IFERROR(__xludf.DUMMYFUNCTION("""COMPUTED_VALUE"""),45793.67430627315)</f>
        <v>45793.67431</v>
      </c>
      <c r="K2140" s="13" t="str">
        <f>IFERROR(__xludf.DUMMYFUNCTION("""COMPUTED_VALUE"""),"Selesai")</f>
        <v>Selesai</v>
      </c>
      <c r="L2140" s="17">
        <f>IFERROR(__xludf.DUMMYFUNCTION("""COMPUTED_VALUE"""),45793.67430627315)</f>
        <v>45793.67431</v>
      </c>
      <c r="M2140" s="13"/>
      <c r="N2140" s="13" t="str">
        <f>IFERROR(__xludf.DUMMYFUNCTION("""COMPUTED_VALUE"""),"")</f>
        <v/>
      </c>
      <c r="O2140" s="13" t="str">
        <f t="shared" si="1"/>
        <v/>
      </c>
    </row>
    <row r="2141" ht="22.5" customHeight="1">
      <c r="B2141" s="13">
        <f>IFERROR(__xludf.DUMMYFUNCTION("""COMPUTED_VALUE"""),2136.0)</f>
        <v>2136</v>
      </c>
      <c r="C2141" s="13" t="str">
        <f>IFERROR(__xludf.DUMMYFUNCTION("""COMPUTED_VALUE"""),"M.329/PEMATANG WANGI")</f>
        <v>M.329/PEMATANG WANGI</v>
      </c>
      <c r="D2141" s="13" t="str">
        <f>IFERROR(__xludf.DUMMYFUNCTION("""COMPUTED_VALUE"""),"L/23/060525/1")</f>
        <v>L/23/060525/1</v>
      </c>
      <c r="E2141" s="14" t="str">
        <f>IFERROR(__xludf.DUMMYFUNCTION("""COMPUTED_VALUE"""),"Afriza (BT)")</f>
        <v>Afriza (BT)</v>
      </c>
      <c r="F2141" s="14" t="str">
        <f>IFERROR(__xludf.DUMMYFUNCTION("""COMPUTED_VALUE"""),"SELESAI (VIA PERMOHONAN)")</f>
        <v>SELESAI (VIA PERMOHONAN)</v>
      </c>
      <c r="G2141" s="17">
        <f>IFERROR(__xludf.DUMMYFUNCTION("""COMPUTED_VALUE"""),45786.664450185184)</f>
        <v>45786.66445</v>
      </c>
      <c r="H2141" s="14" t="str">
        <f>IFERROR(__xludf.DUMMYFUNCTION("""COMPUTED_VALUE"""),"Bu Eva (SU)")</f>
        <v>Bu Eva (SU)</v>
      </c>
      <c r="I2141" s="13" t="str">
        <f>IFERROR(__xludf.DUMMYFUNCTION("""COMPUTED_VALUE"""),"SELESAI (VIA PERMOHONAN)")</f>
        <v>SELESAI (VIA PERMOHONAN)</v>
      </c>
      <c r="J2141" s="17">
        <f>IFERROR(__xludf.DUMMYFUNCTION("""COMPUTED_VALUE"""),45793.67430627315)</f>
        <v>45793.67431</v>
      </c>
      <c r="K2141" s="13" t="str">
        <f>IFERROR(__xludf.DUMMYFUNCTION("""COMPUTED_VALUE"""),"Selesai")</f>
        <v>Selesai</v>
      </c>
      <c r="L2141" s="17">
        <f>IFERROR(__xludf.DUMMYFUNCTION("""COMPUTED_VALUE"""),45793.67430627315)</f>
        <v>45793.67431</v>
      </c>
      <c r="M2141" s="13"/>
      <c r="N2141" s="13" t="str">
        <f>IFERROR(__xludf.DUMMYFUNCTION("""COMPUTED_VALUE"""),"")</f>
        <v/>
      </c>
      <c r="O2141" s="13" t="str">
        <f t="shared" si="1"/>
        <v/>
      </c>
    </row>
    <row r="2142" ht="22.5" customHeight="1">
      <c r="B2142" s="13">
        <f>IFERROR(__xludf.DUMMYFUNCTION("""COMPUTED_VALUE"""),2137.0)</f>
        <v>2137</v>
      </c>
      <c r="C2142" s="13" t="str">
        <f>IFERROR(__xludf.DUMMYFUNCTION("""COMPUTED_VALUE"""),"M.222/SUMBEREJO SEJAHTERA")</f>
        <v>M.222/SUMBEREJO SEJAHTERA</v>
      </c>
      <c r="D2142" s="13" t="str">
        <f>IFERROR(__xludf.DUMMYFUNCTION("""COMPUTED_VALUE"""),"L/12/060525/1")</f>
        <v>L/12/060525/1</v>
      </c>
      <c r="E2142" s="14" t="str">
        <f>IFERROR(__xludf.DUMMYFUNCTION("""COMPUTED_VALUE"""),"Afriza (BT)")</f>
        <v>Afriza (BT)</v>
      </c>
      <c r="F2142" s="14" t="str">
        <f>IFERROR(__xludf.DUMMYFUNCTION("""COMPUTED_VALUE"""),"SELESAI (VIA PERMOHONAN)")</f>
        <v>SELESAI (VIA PERMOHONAN)</v>
      </c>
      <c r="G2142" s="17">
        <f>IFERROR(__xludf.DUMMYFUNCTION("""COMPUTED_VALUE"""),45786.664517337966)</f>
        <v>45786.66452</v>
      </c>
      <c r="H2142" s="14" t="str">
        <f>IFERROR(__xludf.DUMMYFUNCTION("""COMPUTED_VALUE"""),"Bu Eva (SU)")</f>
        <v>Bu Eva (SU)</v>
      </c>
      <c r="I2142" s="13" t="str">
        <f>IFERROR(__xludf.DUMMYFUNCTION("""COMPUTED_VALUE"""),"SELESAI (VIA PERMOHONAN)")</f>
        <v>SELESAI (VIA PERMOHONAN)</v>
      </c>
      <c r="J2142" s="17">
        <f>IFERROR(__xludf.DUMMYFUNCTION("""COMPUTED_VALUE"""),45793.67430627315)</f>
        <v>45793.67431</v>
      </c>
      <c r="K2142" s="13" t="str">
        <f>IFERROR(__xludf.DUMMYFUNCTION("""COMPUTED_VALUE"""),"Selesai")</f>
        <v>Selesai</v>
      </c>
      <c r="L2142" s="17">
        <f>IFERROR(__xludf.DUMMYFUNCTION("""COMPUTED_VALUE"""),45793.67430627315)</f>
        <v>45793.67431</v>
      </c>
      <c r="M2142" s="13"/>
      <c r="N2142" s="13" t="str">
        <f>IFERROR(__xludf.DUMMYFUNCTION("""COMPUTED_VALUE"""),"")</f>
        <v/>
      </c>
      <c r="O2142" s="13" t="str">
        <f t="shared" si="1"/>
        <v/>
      </c>
    </row>
    <row r="2143" ht="22.5" customHeight="1">
      <c r="B2143" s="13">
        <f>IFERROR(__xludf.DUMMYFUNCTION("""COMPUTED_VALUE"""),2138.0)</f>
        <v>2138</v>
      </c>
      <c r="C2143" s="13" t="str">
        <f>IFERROR(__xludf.DUMMYFUNCTION("""COMPUTED_VALUE"""),"M. 1231/ Perumnas Way Kandis")</f>
        <v>M. 1231/ Perumnas Way Kandis</v>
      </c>
      <c r="D2143" s="13" t="str">
        <f>IFERROR(__xludf.DUMMYFUNCTION("""COMPUTED_VALUE"""),"K/17/220425/1")</f>
        <v>K/17/220425/1</v>
      </c>
      <c r="E2143" s="14" t="str">
        <f>IFERROR(__xludf.DUMMYFUNCTION("""COMPUTED_VALUE"""),"Afriza (BT)")</f>
        <v>Afriza (BT)</v>
      </c>
      <c r="F2143" s="14" t="str">
        <f>IFERROR(__xludf.DUMMYFUNCTION("""COMPUTED_VALUE"""),"SELESAI (VIA PERMOHONAN)")</f>
        <v>SELESAI (VIA PERMOHONAN)</v>
      </c>
      <c r="G2143" s="17">
        <f>IFERROR(__xludf.DUMMYFUNCTION("""COMPUTED_VALUE"""),45786.6646603125)</f>
        <v>45786.66466</v>
      </c>
      <c r="H2143" s="14" t="str">
        <f>IFERROR(__xludf.DUMMYFUNCTION("""COMPUTED_VALUE"""),"Bu Eva (SU)")</f>
        <v>Bu Eva (SU)</v>
      </c>
      <c r="I2143" s="13" t="str">
        <f>IFERROR(__xludf.DUMMYFUNCTION("""COMPUTED_VALUE"""),"SELESAI (VIA PERMOHONAN)")</f>
        <v>SELESAI (VIA PERMOHONAN)</v>
      </c>
      <c r="J2143" s="17">
        <f>IFERROR(__xludf.DUMMYFUNCTION("""COMPUTED_VALUE"""),45793.67430627315)</f>
        <v>45793.67431</v>
      </c>
      <c r="K2143" s="13" t="str">
        <f>IFERROR(__xludf.DUMMYFUNCTION("""COMPUTED_VALUE"""),"Selesai")</f>
        <v>Selesai</v>
      </c>
      <c r="L2143" s="17">
        <f>IFERROR(__xludf.DUMMYFUNCTION("""COMPUTED_VALUE"""),45793.67430627315)</f>
        <v>45793.67431</v>
      </c>
      <c r="M2143" s="13"/>
      <c r="N2143" s="13" t="str">
        <f>IFERROR(__xludf.DUMMYFUNCTION("""COMPUTED_VALUE"""),"")</f>
        <v/>
      </c>
      <c r="O2143" s="13" t="str">
        <f t="shared" si="1"/>
        <v/>
      </c>
    </row>
    <row r="2144" ht="22.5" customHeight="1">
      <c r="B2144" s="13">
        <f>IFERROR(__xludf.DUMMYFUNCTION("""COMPUTED_VALUE"""),2139.0)</f>
        <v>2139</v>
      </c>
      <c r="C2144" s="13" t="str">
        <f>IFERROR(__xludf.DUMMYFUNCTION("""COMPUTED_VALUE"""),"M. 10590/ Gedung Meneng")</f>
        <v>M. 10590/ Gedung Meneng</v>
      </c>
      <c r="D2144" s="13" t="str">
        <f>IFERROR(__xludf.DUMMYFUNCTION("""COMPUTED_VALUE"""),"K/21/250425/1")</f>
        <v>K/21/250425/1</v>
      </c>
      <c r="E2144" s="14" t="str">
        <f>IFERROR(__xludf.DUMMYFUNCTION("""COMPUTED_VALUE"""),"Afriza (BT)")</f>
        <v>Afriza (BT)</v>
      </c>
      <c r="F2144" s="14" t="str">
        <f>IFERROR(__xludf.DUMMYFUNCTION("""COMPUTED_VALUE"""),"SELESAI (VIA PERMOHONAN)")</f>
        <v>SELESAI (VIA PERMOHONAN)</v>
      </c>
      <c r="G2144" s="17">
        <f>IFERROR(__xludf.DUMMYFUNCTION("""COMPUTED_VALUE"""),45786.66474934028)</f>
        <v>45786.66475</v>
      </c>
      <c r="H2144" s="14" t="str">
        <f>IFERROR(__xludf.DUMMYFUNCTION("""COMPUTED_VALUE"""),"Bu Eva (SU)")</f>
        <v>Bu Eva (SU)</v>
      </c>
      <c r="I2144" s="13" t="str">
        <f>IFERROR(__xludf.DUMMYFUNCTION("""COMPUTED_VALUE"""),"SELESAI (VIA PERMOHONAN)")</f>
        <v>SELESAI (VIA PERMOHONAN)</v>
      </c>
      <c r="J2144" s="17">
        <f>IFERROR(__xludf.DUMMYFUNCTION("""COMPUTED_VALUE"""),45793.67430627315)</f>
        <v>45793.67431</v>
      </c>
      <c r="K2144" s="13" t="str">
        <f>IFERROR(__xludf.DUMMYFUNCTION("""COMPUTED_VALUE"""),"Selesai")</f>
        <v>Selesai</v>
      </c>
      <c r="L2144" s="17">
        <f>IFERROR(__xludf.DUMMYFUNCTION("""COMPUTED_VALUE"""),45793.67430627315)</f>
        <v>45793.67431</v>
      </c>
      <c r="M2144" s="13"/>
      <c r="N2144" s="13" t="str">
        <f>IFERROR(__xludf.DUMMYFUNCTION("""COMPUTED_VALUE"""),"")</f>
        <v/>
      </c>
      <c r="O2144" s="13" t="str">
        <f t="shared" si="1"/>
        <v/>
      </c>
    </row>
    <row r="2145" ht="22.5" customHeight="1">
      <c r="B2145" s="13">
        <f>IFERROR(__xludf.DUMMYFUNCTION("""COMPUTED_VALUE"""),2140.0)</f>
        <v>2140</v>
      </c>
      <c r="C2145" s="13" t="str">
        <f>IFERROR(__xludf.DUMMYFUNCTION("""COMPUTED_VALUE"""),"M. 10425/ Labuhan Ratu")</f>
        <v>M. 10425/ Labuhan Ratu</v>
      </c>
      <c r="D2145" s="13" t="str">
        <f>IFERROR(__xludf.DUMMYFUNCTION("""COMPUTED_VALUE"""),"K/12/300425/1")</f>
        <v>K/12/300425/1</v>
      </c>
      <c r="E2145" s="14" t="str">
        <f>IFERROR(__xludf.DUMMYFUNCTION("""COMPUTED_VALUE"""),"Afriza (BT)")</f>
        <v>Afriza (BT)</v>
      </c>
      <c r="F2145" s="14" t="str">
        <f>IFERROR(__xludf.DUMMYFUNCTION("""COMPUTED_VALUE"""),"SELESAI (VIA PERMOHONAN)")</f>
        <v>SELESAI (VIA PERMOHONAN)</v>
      </c>
      <c r="G2145" s="17">
        <f>IFERROR(__xludf.DUMMYFUNCTION("""COMPUTED_VALUE"""),45786.66484943287)</f>
        <v>45786.66485</v>
      </c>
      <c r="H2145" s="14" t="str">
        <f>IFERROR(__xludf.DUMMYFUNCTION("""COMPUTED_VALUE"""),"Bu Eva (SU)")</f>
        <v>Bu Eva (SU)</v>
      </c>
      <c r="I2145" s="13" t="str">
        <f>IFERROR(__xludf.DUMMYFUNCTION("""COMPUTED_VALUE"""),"SELESAI (VIA PERMOHONAN)")</f>
        <v>SELESAI (VIA PERMOHONAN)</v>
      </c>
      <c r="J2145" s="17">
        <f>IFERROR(__xludf.DUMMYFUNCTION("""COMPUTED_VALUE"""),45793.67430627315)</f>
        <v>45793.67431</v>
      </c>
      <c r="K2145" s="13" t="str">
        <f>IFERROR(__xludf.DUMMYFUNCTION("""COMPUTED_VALUE"""),"Selesai")</f>
        <v>Selesai</v>
      </c>
      <c r="L2145" s="17">
        <f>IFERROR(__xludf.DUMMYFUNCTION("""COMPUTED_VALUE"""),45793.67430627315)</f>
        <v>45793.67431</v>
      </c>
      <c r="M2145" s="13"/>
      <c r="N2145" s="13" t="str">
        <f>IFERROR(__xludf.DUMMYFUNCTION("""COMPUTED_VALUE"""),"")</f>
        <v/>
      </c>
      <c r="O2145" s="13" t="str">
        <f t="shared" si="1"/>
        <v/>
      </c>
    </row>
    <row r="2146" ht="22.5" customHeight="1">
      <c r="B2146" s="13">
        <f>IFERROR(__xludf.DUMMYFUNCTION("""COMPUTED_VALUE"""),2141.0)</f>
        <v>2141</v>
      </c>
      <c r="C2146" s="13" t="str">
        <f>IFERROR(__xludf.DUMMYFUNCTION("""COMPUTED_VALUE"""),"M. 1012/ Pematang Wangi")</f>
        <v>M. 1012/ Pematang Wangi</v>
      </c>
      <c r="D2146" s="13" t="str">
        <f>IFERROR(__xludf.DUMMYFUNCTION("""COMPUTED_VALUE"""),"K/4/250425/1")</f>
        <v>K/4/250425/1</v>
      </c>
      <c r="E2146" s="14" t="str">
        <f>IFERROR(__xludf.DUMMYFUNCTION("""COMPUTED_VALUE"""),"Afriza (BT)")</f>
        <v>Afriza (BT)</v>
      </c>
      <c r="F2146" s="14" t="str">
        <f>IFERROR(__xludf.DUMMYFUNCTION("""COMPUTED_VALUE"""),"SELESAI (VIA PERMOHONAN)")</f>
        <v>SELESAI (VIA PERMOHONAN)</v>
      </c>
      <c r="G2146" s="17">
        <f>IFERROR(__xludf.DUMMYFUNCTION("""COMPUTED_VALUE"""),45786.6650202662)</f>
        <v>45786.66502</v>
      </c>
      <c r="H2146" s="14" t="str">
        <f>IFERROR(__xludf.DUMMYFUNCTION("""COMPUTED_VALUE"""),"Bu Eva (SU)")</f>
        <v>Bu Eva (SU)</v>
      </c>
      <c r="I2146" s="13" t="str">
        <f>IFERROR(__xludf.DUMMYFUNCTION("""COMPUTED_VALUE"""),"SELESAI (VIA PERMOHONAN)")</f>
        <v>SELESAI (VIA PERMOHONAN)</v>
      </c>
      <c r="J2146" s="17">
        <f>IFERROR(__xludf.DUMMYFUNCTION("""COMPUTED_VALUE"""),45793.67430627315)</f>
        <v>45793.67431</v>
      </c>
      <c r="K2146" s="13" t="str">
        <f>IFERROR(__xludf.DUMMYFUNCTION("""COMPUTED_VALUE"""),"Selesai")</f>
        <v>Selesai</v>
      </c>
      <c r="L2146" s="17">
        <f>IFERROR(__xludf.DUMMYFUNCTION("""COMPUTED_VALUE"""),45793.67430627315)</f>
        <v>45793.67431</v>
      </c>
      <c r="M2146" s="13"/>
      <c r="N2146" s="13" t="str">
        <f>IFERROR(__xludf.DUMMYFUNCTION("""COMPUTED_VALUE"""),"")</f>
        <v/>
      </c>
      <c r="O2146" s="13" t="str">
        <f t="shared" si="1"/>
        <v/>
      </c>
    </row>
    <row r="2147" ht="22.5" customHeight="1">
      <c r="B2147" s="13">
        <f>IFERROR(__xludf.DUMMYFUNCTION("""COMPUTED_VALUE"""),2142.0)</f>
        <v>2142</v>
      </c>
      <c r="C2147" s="13" t="str">
        <f>IFERROR(__xludf.DUMMYFUNCTION("""COMPUTED_VALUE"""),"B. 1496/ Kemiling Permai")</f>
        <v>B. 1496/ Kemiling Permai</v>
      </c>
      <c r="D2147" s="13" t="str">
        <f>IFERROR(__xludf.DUMMYFUNCTION("""COMPUTED_VALUE"""),"K/28/060525/1")</f>
        <v>K/28/060525/1</v>
      </c>
      <c r="E2147" s="14" t="str">
        <f>IFERROR(__xludf.DUMMYFUNCTION("""COMPUTED_VALUE"""),"Afriza (BT)")</f>
        <v>Afriza (BT)</v>
      </c>
      <c r="F2147" s="14" t="str">
        <f>IFERROR(__xludf.DUMMYFUNCTION("""COMPUTED_VALUE"""),"SELESAI (VIA PERMOHONAN)")</f>
        <v>SELESAI (VIA PERMOHONAN)</v>
      </c>
      <c r="G2147" s="17">
        <f>IFERROR(__xludf.DUMMYFUNCTION("""COMPUTED_VALUE"""),45786.66511206019)</f>
        <v>45786.66511</v>
      </c>
      <c r="H2147" s="14" t="str">
        <f>IFERROR(__xludf.DUMMYFUNCTION("""COMPUTED_VALUE"""),"Bu Eva (SU)")</f>
        <v>Bu Eva (SU)</v>
      </c>
      <c r="I2147" s="13" t="str">
        <f>IFERROR(__xludf.DUMMYFUNCTION("""COMPUTED_VALUE"""),"SELESAI (VIA PERMOHONAN)")</f>
        <v>SELESAI (VIA PERMOHONAN)</v>
      </c>
      <c r="J2147" s="17">
        <f>IFERROR(__xludf.DUMMYFUNCTION("""COMPUTED_VALUE"""),45793.67430627315)</f>
        <v>45793.67431</v>
      </c>
      <c r="K2147" s="13" t="str">
        <f>IFERROR(__xludf.DUMMYFUNCTION("""COMPUTED_VALUE"""),"Selesai")</f>
        <v>Selesai</v>
      </c>
      <c r="L2147" s="17">
        <f>IFERROR(__xludf.DUMMYFUNCTION("""COMPUTED_VALUE"""),45793.67430627315)</f>
        <v>45793.67431</v>
      </c>
      <c r="M2147" s="13"/>
      <c r="N2147" s="13" t="str">
        <f>IFERROR(__xludf.DUMMYFUNCTION("""COMPUTED_VALUE"""),"")</f>
        <v/>
      </c>
      <c r="O2147" s="13" t="str">
        <f t="shared" si="1"/>
        <v/>
      </c>
    </row>
    <row r="2148" ht="22.5" customHeight="1">
      <c r="B2148" s="13">
        <f>IFERROR(__xludf.DUMMYFUNCTION("""COMPUTED_VALUE"""),2143.0)</f>
        <v>2143</v>
      </c>
      <c r="C2148" s="13" t="str">
        <f>IFERROR(__xludf.DUMMYFUNCTION("""COMPUTED_VALUE"""),"M. 731/BERINGIN JAYA")</f>
        <v>M. 731/BERINGIN JAYA</v>
      </c>
      <c r="D2148" s="13" t="str">
        <f>IFERROR(__xludf.DUMMYFUNCTION("""COMPUTED_VALUE"""),"K/28/300425/1")</f>
        <v>K/28/300425/1</v>
      </c>
      <c r="E2148" s="14" t="str">
        <f>IFERROR(__xludf.DUMMYFUNCTION("""COMPUTED_VALUE"""),"Afriza (BT)")</f>
        <v>Afriza (BT)</v>
      </c>
      <c r="F2148" s="14" t="str">
        <f>IFERROR(__xludf.DUMMYFUNCTION("""COMPUTED_VALUE"""),"SELESAI (VIA PERMOHONAN)")</f>
        <v>SELESAI (VIA PERMOHONAN)</v>
      </c>
      <c r="G2148" s="17">
        <f>IFERROR(__xludf.DUMMYFUNCTION("""COMPUTED_VALUE"""),45791.65997329861)</f>
        <v>45791.65997</v>
      </c>
      <c r="H2148" s="14" t="str">
        <f>IFERROR(__xludf.DUMMYFUNCTION("""COMPUTED_VALUE"""),"Bu Eva (SU)")</f>
        <v>Bu Eva (SU)</v>
      </c>
      <c r="I2148" s="13" t="str">
        <f>IFERROR(__xludf.DUMMYFUNCTION("""COMPUTED_VALUE"""),"SELESAI (VIA PERMOHONAN)")</f>
        <v>SELESAI (VIA PERMOHONAN)</v>
      </c>
      <c r="J2148" s="17">
        <f>IFERROR(__xludf.DUMMYFUNCTION("""COMPUTED_VALUE"""),45793.67430627315)</f>
        <v>45793.67431</v>
      </c>
      <c r="K2148" s="13" t="str">
        <f>IFERROR(__xludf.DUMMYFUNCTION("""COMPUTED_VALUE"""),"Selesai")</f>
        <v>Selesai</v>
      </c>
      <c r="L2148" s="17">
        <f>IFERROR(__xludf.DUMMYFUNCTION("""COMPUTED_VALUE"""),45793.67430627315)</f>
        <v>45793.67431</v>
      </c>
      <c r="M2148" s="13"/>
      <c r="N2148" s="13" t="str">
        <f>IFERROR(__xludf.DUMMYFUNCTION("""COMPUTED_VALUE"""),"")</f>
        <v/>
      </c>
      <c r="O2148" s="13" t="str">
        <f t="shared" si="1"/>
        <v/>
      </c>
    </row>
    <row r="2149" ht="22.5" customHeight="1">
      <c r="B2149" s="13">
        <f>IFERROR(__xludf.DUMMYFUNCTION("""COMPUTED_VALUE"""),2144.0)</f>
        <v>2144</v>
      </c>
      <c r="C2149" s="13" t="str">
        <f>IFERROR(__xludf.DUMMYFUNCTION("""COMPUTED_VALUE"""),"M. 910/ Sepang Jaya")</f>
        <v>M. 910/ Sepang Jaya</v>
      </c>
      <c r="D2149" s="13" t="str">
        <f>IFERROR(__xludf.DUMMYFUNCTION("""COMPUTED_VALUE"""),"K/2/170425/1")</f>
        <v>K/2/170425/1</v>
      </c>
      <c r="E2149" s="14" t="str">
        <f>IFERROR(__xludf.DUMMYFUNCTION("""COMPUTED_VALUE"""),"Afriza (BT)")</f>
        <v>Afriza (BT)</v>
      </c>
      <c r="F2149" s="14" t="str">
        <f>IFERROR(__xludf.DUMMYFUNCTION("""COMPUTED_VALUE"""),"SELESAI (VIA PERMOHONAN)")</f>
        <v>SELESAI (VIA PERMOHONAN)</v>
      </c>
      <c r="G2149" s="17">
        <f>IFERROR(__xludf.DUMMYFUNCTION("""COMPUTED_VALUE"""),45791.660008402774)</f>
        <v>45791.66001</v>
      </c>
      <c r="H2149" s="14" t="str">
        <f>IFERROR(__xludf.DUMMYFUNCTION("""COMPUTED_VALUE"""),"Bu Eva (SU)")</f>
        <v>Bu Eva (SU)</v>
      </c>
      <c r="I2149" s="13" t="str">
        <f>IFERROR(__xludf.DUMMYFUNCTION("""COMPUTED_VALUE"""),"SELESAI (VIA PERMOHONAN)")</f>
        <v>SELESAI (VIA PERMOHONAN)</v>
      </c>
      <c r="J2149" s="17">
        <f>IFERROR(__xludf.DUMMYFUNCTION("""COMPUTED_VALUE"""),45793.67430627315)</f>
        <v>45793.67431</v>
      </c>
      <c r="K2149" s="13" t="str">
        <f>IFERROR(__xludf.DUMMYFUNCTION("""COMPUTED_VALUE"""),"Selesai")</f>
        <v>Selesai</v>
      </c>
      <c r="L2149" s="17">
        <f>IFERROR(__xludf.DUMMYFUNCTION("""COMPUTED_VALUE"""),45793.67430627315)</f>
        <v>45793.67431</v>
      </c>
      <c r="M2149" s="13"/>
      <c r="N2149" s="13" t="str">
        <f>IFERROR(__xludf.DUMMYFUNCTION("""COMPUTED_VALUE"""),"")</f>
        <v/>
      </c>
      <c r="O2149" s="13" t="str">
        <f t="shared" si="1"/>
        <v/>
      </c>
    </row>
    <row r="2150" ht="22.5" customHeight="1">
      <c r="B2150" s="13">
        <f>IFERROR(__xludf.DUMMYFUNCTION("""COMPUTED_VALUE"""),2145.0)</f>
        <v>2145</v>
      </c>
      <c r="C2150" s="13" t="str">
        <f>IFERROR(__xludf.DUMMYFUNCTION("""COMPUTED_VALUE"""),"M.3154/SUMBEREJO KEMILING")</f>
        <v>M.3154/SUMBEREJO KEMILING</v>
      </c>
      <c r="D2150" s="13" t="str">
        <f>IFERROR(__xludf.DUMMYFUNCTION("""COMPUTED_VALUE"""),"K/36/240425/2")</f>
        <v>K/36/240425/2</v>
      </c>
      <c r="E2150" s="14" t="str">
        <f>IFERROR(__xludf.DUMMYFUNCTION("""COMPUTED_VALUE"""),"Afriza (BT)")</f>
        <v>Afriza (BT)</v>
      </c>
      <c r="F2150" s="14" t="str">
        <f>IFERROR(__xludf.DUMMYFUNCTION("""COMPUTED_VALUE"""),"SELESAI (VIA PERMOHONAN)")</f>
        <v>SELESAI (VIA PERMOHONAN)</v>
      </c>
      <c r="G2150" s="17">
        <f>IFERROR(__xludf.DUMMYFUNCTION("""COMPUTED_VALUE"""),45791.660111944446)</f>
        <v>45791.66011</v>
      </c>
      <c r="H2150" s="14" t="str">
        <f>IFERROR(__xludf.DUMMYFUNCTION("""COMPUTED_VALUE"""),"Bu Eva (SU)")</f>
        <v>Bu Eva (SU)</v>
      </c>
      <c r="I2150" s="13" t="str">
        <f>IFERROR(__xludf.DUMMYFUNCTION("""COMPUTED_VALUE"""),"SELESAI (VIA PERMOHONAN)")</f>
        <v>SELESAI (VIA PERMOHONAN)</v>
      </c>
      <c r="J2150" s="17">
        <f>IFERROR(__xludf.DUMMYFUNCTION("""COMPUTED_VALUE"""),45793.67430627315)</f>
        <v>45793.67431</v>
      </c>
      <c r="K2150" s="13" t="str">
        <f>IFERROR(__xludf.DUMMYFUNCTION("""COMPUTED_VALUE"""),"Selesai")</f>
        <v>Selesai</v>
      </c>
      <c r="L2150" s="17">
        <f>IFERROR(__xludf.DUMMYFUNCTION("""COMPUTED_VALUE"""),45793.67430627315)</f>
        <v>45793.67431</v>
      </c>
      <c r="M2150" s="13"/>
      <c r="N2150" s="13" t="str">
        <f>IFERROR(__xludf.DUMMYFUNCTION("""COMPUTED_VALUE"""),"")</f>
        <v/>
      </c>
      <c r="O2150" s="13" t="str">
        <f t="shared" si="1"/>
        <v/>
      </c>
    </row>
    <row r="2151" ht="22.5" customHeight="1">
      <c r="B2151" s="13">
        <f>IFERROR(__xludf.DUMMYFUNCTION("""COMPUTED_VALUE"""),2146.0)</f>
        <v>2146</v>
      </c>
      <c r="C2151" s="13" t="str">
        <f>IFERROR(__xludf.DUMMYFUNCTION("""COMPUTED_VALUE"""),"B. 781/SUMUR PUTRI")</f>
        <v>B. 781/SUMUR PUTRI</v>
      </c>
      <c r="D2151" s="13" t="str">
        <f>IFERROR(__xludf.DUMMYFUNCTION("""COMPUTED_VALUE"""),"K/15/110325/1")</f>
        <v>K/15/110325/1</v>
      </c>
      <c r="E2151" s="14" t="str">
        <f>IFERROR(__xludf.DUMMYFUNCTION("""COMPUTED_VALUE"""),"Afriza (BT)")</f>
        <v>Afriza (BT)</v>
      </c>
      <c r="F2151" s="14" t="str">
        <f>IFERROR(__xludf.DUMMYFUNCTION("""COMPUTED_VALUE"""),"SELESAI (VIA PERMOHONAN)")</f>
        <v>SELESAI (VIA PERMOHONAN)</v>
      </c>
      <c r="G2151" s="17">
        <f>IFERROR(__xludf.DUMMYFUNCTION("""COMPUTED_VALUE"""),45791.66019954861)</f>
        <v>45791.6602</v>
      </c>
      <c r="H2151" s="14" t="str">
        <f>IFERROR(__xludf.DUMMYFUNCTION("""COMPUTED_VALUE"""),"Bu Eva (SU)")</f>
        <v>Bu Eva (SU)</v>
      </c>
      <c r="I2151" s="13" t="str">
        <f>IFERROR(__xludf.DUMMYFUNCTION("""COMPUTED_VALUE"""),"SELESAI (VIA PERMOHONAN)")</f>
        <v>SELESAI (VIA PERMOHONAN)</v>
      </c>
      <c r="J2151" s="17">
        <f>IFERROR(__xludf.DUMMYFUNCTION("""COMPUTED_VALUE"""),45793.67430627315)</f>
        <v>45793.67431</v>
      </c>
      <c r="K2151" s="13" t="str">
        <f>IFERROR(__xludf.DUMMYFUNCTION("""COMPUTED_VALUE"""),"Selesai")</f>
        <v>Selesai</v>
      </c>
      <c r="L2151" s="17">
        <f>IFERROR(__xludf.DUMMYFUNCTION("""COMPUTED_VALUE"""),45793.67430627315)</f>
        <v>45793.67431</v>
      </c>
      <c r="M2151" s="13"/>
      <c r="N2151" s="13" t="str">
        <f>IFERROR(__xludf.DUMMYFUNCTION("""COMPUTED_VALUE"""),"")</f>
        <v/>
      </c>
      <c r="O2151" s="13" t="str">
        <f t="shared" si="1"/>
        <v/>
      </c>
    </row>
    <row r="2152" ht="22.5" customHeight="1">
      <c r="B2152" s="13">
        <f>IFERROR(__xludf.DUMMYFUNCTION("""COMPUTED_VALUE"""),2147.0)</f>
        <v>2147</v>
      </c>
      <c r="C2152" s="13" t="str">
        <f>IFERROR(__xludf.DUMMYFUNCTION("""COMPUTED_VALUE"""),"M.3476/RAJABASA JAYA")</f>
        <v>M.3476/RAJABASA JAYA</v>
      </c>
      <c r="D2152" s="13" t="str">
        <f>IFERROR(__xludf.DUMMYFUNCTION("""COMPUTED_VALUE"""),"K/9/060525/2")</f>
        <v>K/9/060525/2</v>
      </c>
      <c r="E2152" s="14" t="str">
        <f>IFERROR(__xludf.DUMMYFUNCTION("""COMPUTED_VALUE"""),"Afriza (BT)")</f>
        <v>Afriza (BT)</v>
      </c>
      <c r="F2152" s="14" t="str">
        <f>IFERROR(__xludf.DUMMYFUNCTION("""COMPUTED_VALUE"""),"SELESAI (VIA PERMOHONAN)")</f>
        <v>SELESAI (VIA PERMOHONAN)</v>
      </c>
      <c r="G2152" s="17">
        <f>IFERROR(__xludf.DUMMYFUNCTION("""COMPUTED_VALUE"""),45791.660274884256)</f>
        <v>45791.66027</v>
      </c>
      <c r="H2152" s="14" t="str">
        <f>IFERROR(__xludf.DUMMYFUNCTION("""COMPUTED_VALUE"""),"Bu Eva (SU)")</f>
        <v>Bu Eva (SU)</v>
      </c>
      <c r="I2152" s="13" t="str">
        <f>IFERROR(__xludf.DUMMYFUNCTION("""COMPUTED_VALUE"""),"SELESAI (VIA PERMOHONAN)")</f>
        <v>SELESAI (VIA PERMOHONAN)</v>
      </c>
      <c r="J2152" s="17">
        <f>IFERROR(__xludf.DUMMYFUNCTION("""COMPUTED_VALUE"""),45793.67430627315)</f>
        <v>45793.67431</v>
      </c>
      <c r="K2152" s="13" t="str">
        <f>IFERROR(__xludf.DUMMYFUNCTION("""COMPUTED_VALUE"""),"Selesai")</f>
        <v>Selesai</v>
      </c>
      <c r="L2152" s="17">
        <f>IFERROR(__xludf.DUMMYFUNCTION("""COMPUTED_VALUE"""),45793.67430627315)</f>
        <v>45793.67431</v>
      </c>
      <c r="M2152" s="13"/>
      <c r="N2152" s="13" t="str">
        <f>IFERROR(__xludf.DUMMYFUNCTION("""COMPUTED_VALUE"""),"")</f>
        <v/>
      </c>
      <c r="O2152" s="13" t="str">
        <f t="shared" si="1"/>
        <v/>
      </c>
    </row>
    <row r="2153" ht="22.5" customHeight="1">
      <c r="B2153" s="13">
        <f>IFERROR(__xludf.DUMMYFUNCTION("""COMPUTED_VALUE"""),2148.0)</f>
        <v>2148</v>
      </c>
      <c r="C2153" s="13" t="str">
        <f>IFERROR(__xludf.DUMMYFUNCTION("""COMPUTED_VALUE"""),"M.1917/TANJUNG SENENG")</f>
        <v>M.1917/TANJUNG SENENG</v>
      </c>
      <c r="D2153" s="13" t="str">
        <f>IFERROR(__xludf.DUMMYFUNCTION("""COMPUTED_VALUE"""),"L/3/060525/1")</f>
        <v>L/3/060525/1</v>
      </c>
      <c r="E2153" s="14" t="str">
        <f>IFERROR(__xludf.DUMMYFUNCTION("""COMPUTED_VALUE"""),"Afriza (BT)")</f>
        <v>Afriza (BT)</v>
      </c>
      <c r="F2153" s="14" t="str">
        <f>IFERROR(__xludf.DUMMYFUNCTION("""COMPUTED_VALUE"""),"SELESAI (VIA PERMOHONAN)")</f>
        <v>SELESAI (VIA PERMOHONAN)</v>
      </c>
      <c r="G2153" s="17">
        <f>IFERROR(__xludf.DUMMYFUNCTION("""COMPUTED_VALUE"""),45791.66034599537)</f>
        <v>45791.66035</v>
      </c>
      <c r="H2153" s="14" t="str">
        <f>IFERROR(__xludf.DUMMYFUNCTION("""COMPUTED_VALUE"""),"Bu Eva (SU)")</f>
        <v>Bu Eva (SU)</v>
      </c>
      <c r="I2153" s="13" t="str">
        <f>IFERROR(__xludf.DUMMYFUNCTION("""COMPUTED_VALUE"""),"SELESAI (VIA PERMOHONAN)")</f>
        <v>SELESAI (VIA PERMOHONAN)</v>
      </c>
      <c r="J2153" s="17">
        <f>IFERROR(__xludf.DUMMYFUNCTION("""COMPUTED_VALUE"""),45793.67430627315)</f>
        <v>45793.67431</v>
      </c>
      <c r="K2153" s="13" t="str">
        <f>IFERROR(__xludf.DUMMYFUNCTION("""COMPUTED_VALUE"""),"Selesai")</f>
        <v>Selesai</v>
      </c>
      <c r="L2153" s="17">
        <f>IFERROR(__xludf.DUMMYFUNCTION("""COMPUTED_VALUE"""),45793.67430627315)</f>
        <v>45793.67431</v>
      </c>
      <c r="M2153" s="13"/>
      <c r="N2153" s="13" t="str">
        <f>IFERROR(__xludf.DUMMYFUNCTION("""COMPUTED_VALUE"""),"")</f>
        <v/>
      </c>
      <c r="O2153" s="13" t="str">
        <f t="shared" si="1"/>
        <v/>
      </c>
    </row>
    <row r="2154" ht="22.5" customHeight="1">
      <c r="B2154" s="13">
        <f>IFERROR(__xludf.DUMMYFUNCTION("""COMPUTED_VALUE"""),2149.0)</f>
        <v>2149</v>
      </c>
      <c r="C2154" s="13" t="str">
        <f>IFERROR(__xludf.DUMMYFUNCTION("""COMPUTED_VALUE"""),"HM 3215/GUNUNG TERANG")</f>
        <v>HM 3215/GUNUNG TERANG</v>
      </c>
      <c r="D2154" s="13" t="str">
        <f>IFERROR(__xludf.DUMMYFUNCTION("""COMPUTED_VALUE"""),"L/2/030525/1")</f>
        <v>L/2/030525/1</v>
      </c>
      <c r="E2154" s="14" t="str">
        <f>IFERROR(__xludf.DUMMYFUNCTION("""COMPUTED_VALUE"""),"Afriza (BT)")</f>
        <v>Afriza (BT)</v>
      </c>
      <c r="F2154" s="14" t="str">
        <f>IFERROR(__xludf.DUMMYFUNCTION("""COMPUTED_VALUE"""),"SELESAI (VIA PERMOHONAN)")</f>
        <v>SELESAI (VIA PERMOHONAN)</v>
      </c>
      <c r="G2154" s="17">
        <f>IFERROR(__xludf.DUMMYFUNCTION("""COMPUTED_VALUE"""),45791.66050194444)</f>
        <v>45791.6605</v>
      </c>
      <c r="H2154" s="14" t="str">
        <f>IFERROR(__xludf.DUMMYFUNCTION("""COMPUTED_VALUE"""),"Bu Eva (SU)")</f>
        <v>Bu Eva (SU)</v>
      </c>
      <c r="I2154" s="13" t="str">
        <f>IFERROR(__xludf.DUMMYFUNCTION("""COMPUTED_VALUE"""),"SELESAI (VIA PERMOHONAN)")</f>
        <v>SELESAI (VIA PERMOHONAN)</v>
      </c>
      <c r="J2154" s="17">
        <f>IFERROR(__xludf.DUMMYFUNCTION("""COMPUTED_VALUE"""),45793.67430627315)</f>
        <v>45793.67431</v>
      </c>
      <c r="K2154" s="13" t="str">
        <f>IFERROR(__xludf.DUMMYFUNCTION("""COMPUTED_VALUE"""),"Selesai")</f>
        <v>Selesai</v>
      </c>
      <c r="L2154" s="17">
        <f>IFERROR(__xludf.DUMMYFUNCTION("""COMPUTED_VALUE"""),45793.67430627315)</f>
        <v>45793.67431</v>
      </c>
      <c r="M2154" s="13"/>
      <c r="N2154" s="13" t="str">
        <f>IFERROR(__xludf.DUMMYFUNCTION("""COMPUTED_VALUE"""),"")</f>
        <v/>
      </c>
      <c r="O2154" s="13" t="str">
        <f t="shared" si="1"/>
        <v/>
      </c>
    </row>
    <row r="2155" ht="22.5" customHeight="1">
      <c r="B2155" s="13">
        <f>IFERROR(__xludf.DUMMYFUNCTION("""COMPUTED_VALUE"""),2150.0)</f>
        <v>2150</v>
      </c>
      <c r="C2155" s="13" t="str">
        <f>IFERROR(__xludf.DUMMYFUNCTION("""COMPUTED_VALUE"""),"HM 12252/SEGALA MIDER")</f>
        <v>HM 12252/SEGALA MIDER</v>
      </c>
      <c r="D2155" s="13" t="str">
        <f>IFERROR(__xludf.DUMMYFUNCTION("""COMPUTED_VALUE"""),"L/13/050525/1")</f>
        <v>L/13/050525/1</v>
      </c>
      <c r="E2155" s="14" t="str">
        <f>IFERROR(__xludf.DUMMYFUNCTION("""COMPUTED_VALUE"""),"Afriza (BT)")</f>
        <v>Afriza (BT)</v>
      </c>
      <c r="F2155" s="14" t="str">
        <f>IFERROR(__xludf.DUMMYFUNCTION("""COMPUTED_VALUE"""),"SELESAI (VIA PERMOHONAN)")</f>
        <v>SELESAI (VIA PERMOHONAN)</v>
      </c>
      <c r="G2155" s="17">
        <f>IFERROR(__xludf.DUMMYFUNCTION("""COMPUTED_VALUE"""),45791.66058401621)</f>
        <v>45791.66058</v>
      </c>
      <c r="H2155" s="14" t="str">
        <f>IFERROR(__xludf.DUMMYFUNCTION("""COMPUTED_VALUE"""),"Bu Eva (SU)")</f>
        <v>Bu Eva (SU)</v>
      </c>
      <c r="I2155" s="13" t="str">
        <f>IFERROR(__xludf.DUMMYFUNCTION("""COMPUTED_VALUE"""),"SELESAI (VIA PERMOHONAN)")</f>
        <v>SELESAI (VIA PERMOHONAN)</v>
      </c>
      <c r="J2155" s="17">
        <f>IFERROR(__xludf.DUMMYFUNCTION("""COMPUTED_VALUE"""),45793.67430627315)</f>
        <v>45793.67431</v>
      </c>
      <c r="K2155" s="13" t="str">
        <f>IFERROR(__xludf.DUMMYFUNCTION("""COMPUTED_VALUE"""),"Selesai")</f>
        <v>Selesai</v>
      </c>
      <c r="L2155" s="17">
        <f>IFERROR(__xludf.DUMMYFUNCTION("""COMPUTED_VALUE"""),45793.67430627315)</f>
        <v>45793.67431</v>
      </c>
      <c r="M2155" s="13"/>
      <c r="N2155" s="13" t="str">
        <f>IFERROR(__xludf.DUMMYFUNCTION("""COMPUTED_VALUE"""),"")</f>
        <v/>
      </c>
      <c r="O2155" s="13" t="str">
        <f t="shared" si="1"/>
        <v/>
      </c>
    </row>
    <row r="2156" ht="22.5" customHeight="1">
      <c r="B2156" s="13">
        <f>IFERROR(__xludf.DUMMYFUNCTION("""COMPUTED_VALUE"""),2151.0)</f>
        <v>2151</v>
      </c>
      <c r="C2156" s="13" t="str">
        <f>IFERROR(__xludf.DUMMYFUNCTION("""COMPUTED_VALUE"""),"B. 27/ korpri jaya")</f>
        <v>B. 27/ korpri jaya</v>
      </c>
      <c r="D2156" s="13" t="str">
        <f>IFERROR(__xludf.DUMMYFUNCTION("""COMPUTED_VALUE"""),"K/10/160425/1")</f>
        <v>K/10/160425/1</v>
      </c>
      <c r="E2156" s="14" t="str">
        <f>IFERROR(__xludf.DUMMYFUNCTION("""COMPUTED_VALUE"""),"Afriza (BT)")</f>
        <v>Afriza (BT)</v>
      </c>
      <c r="F2156" s="14" t="str">
        <f>IFERROR(__xludf.DUMMYFUNCTION("""COMPUTED_VALUE"""),"SELESAI (VIA PERMOHONAN)")</f>
        <v>SELESAI (VIA PERMOHONAN)</v>
      </c>
      <c r="G2156" s="17">
        <f>IFERROR(__xludf.DUMMYFUNCTION("""COMPUTED_VALUE"""),45791.6608908912)</f>
        <v>45791.66089</v>
      </c>
      <c r="H2156" s="14" t="str">
        <f>IFERROR(__xludf.DUMMYFUNCTION("""COMPUTED_VALUE"""),"Bu Eva (SU)")</f>
        <v>Bu Eva (SU)</v>
      </c>
      <c r="I2156" s="13" t="str">
        <f>IFERROR(__xludf.DUMMYFUNCTION("""COMPUTED_VALUE"""),"SELESAI (VIA PERMOHONAN)")</f>
        <v>SELESAI (VIA PERMOHONAN)</v>
      </c>
      <c r="J2156" s="17">
        <f>IFERROR(__xludf.DUMMYFUNCTION("""COMPUTED_VALUE"""),45793.67430627315)</f>
        <v>45793.67431</v>
      </c>
      <c r="K2156" s="13" t="str">
        <f>IFERROR(__xludf.DUMMYFUNCTION("""COMPUTED_VALUE"""),"Selesai")</f>
        <v>Selesai</v>
      </c>
      <c r="L2156" s="17">
        <f>IFERROR(__xludf.DUMMYFUNCTION("""COMPUTED_VALUE"""),45793.67430627315)</f>
        <v>45793.67431</v>
      </c>
      <c r="M2156" s="13"/>
      <c r="N2156" s="13" t="str">
        <f>IFERROR(__xludf.DUMMYFUNCTION("""COMPUTED_VALUE"""),"")</f>
        <v/>
      </c>
      <c r="O2156" s="13" t="str">
        <f t="shared" si="1"/>
        <v/>
      </c>
    </row>
    <row r="2157" ht="22.5" customHeight="1">
      <c r="B2157" s="13">
        <f>IFERROR(__xludf.DUMMYFUNCTION("""COMPUTED_VALUE"""),2152.0)</f>
        <v>2152</v>
      </c>
      <c r="C2157" s="13" t="str">
        <f>IFERROR(__xludf.DUMMYFUNCTION("""COMPUTED_VALUE"""),"M. 1850/ Labuhan Ratu raya")</f>
        <v>M. 1850/ Labuhan Ratu raya</v>
      </c>
      <c r="D2157" s="13" t="str">
        <f>IFERROR(__xludf.DUMMYFUNCTION("""COMPUTED_VALUE"""),"K/19/240425/2")</f>
        <v>K/19/240425/2</v>
      </c>
      <c r="E2157" s="14" t="str">
        <f>IFERROR(__xludf.DUMMYFUNCTION("""COMPUTED_VALUE"""),"Afriza (BT)")</f>
        <v>Afriza (BT)</v>
      </c>
      <c r="F2157" s="14" t="str">
        <f>IFERROR(__xludf.DUMMYFUNCTION("""COMPUTED_VALUE"""),"SELESAI (VIA PERMOHONAN)")</f>
        <v>SELESAI (VIA PERMOHONAN)</v>
      </c>
      <c r="G2157" s="17">
        <f>IFERROR(__xludf.DUMMYFUNCTION("""COMPUTED_VALUE"""),45791.66104449074)</f>
        <v>45791.66104</v>
      </c>
      <c r="H2157" s="14" t="str">
        <f>IFERROR(__xludf.DUMMYFUNCTION("""COMPUTED_VALUE"""),"Bu Eva (SU)")</f>
        <v>Bu Eva (SU)</v>
      </c>
      <c r="I2157" s="13" t="str">
        <f>IFERROR(__xludf.DUMMYFUNCTION("""COMPUTED_VALUE"""),"SELESAI (VIA PERMOHONAN)")</f>
        <v>SELESAI (VIA PERMOHONAN)</v>
      </c>
      <c r="J2157" s="17">
        <f>IFERROR(__xludf.DUMMYFUNCTION("""COMPUTED_VALUE"""),45793.67430627315)</f>
        <v>45793.67431</v>
      </c>
      <c r="K2157" s="13" t="str">
        <f>IFERROR(__xludf.DUMMYFUNCTION("""COMPUTED_VALUE"""),"Selesai")</f>
        <v>Selesai</v>
      </c>
      <c r="L2157" s="17">
        <f>IFERROR(__xludf.DUMMYFUNCTION("""COMPUTED_VALUE"""),45793.67430627315)</f>
        <v>45793.67431</v>
      </c>
      <c r="M2157" s="13"/>
      <c r="N2157" s="13" t="str">
        <f>IFERROR(__xludf.DUMMYFUNCTION("""COMPUTED_VALUE"""),"")</f>
        <v/>
      </c>
      <c r="O2157" s="13" t="str">
        <f t="shared" si="1"/>
        <v/>
      </c>
    </row>
    <row r="2158" ht="22.5" customHeight="1">
      <c r="B2158" s="13">
        <f>IFERROR(__xludf.DUMMYFUNCTION("""COMPUTED_VALUE"""),2153.0)</f>
        <v>2153</v>
      </c>
      <c r="C2158" s="13" t="str">
        <f>IFERROR(__xludf.DUMMYFUNCTION("""COMPUTED_VALUE"""),"HM 855/SUKABUMI")</f>
        <v>HM 855/SUKABUMI</v>
      </c>
      <c r="D2158" s="13" t="str">
        <f>IFERROR(__xludf.DUMMYFUNCTION("""COMPUTED_VALUE"""),"L/28/050525/1")</f>
        <v>L/28/050525/1</v>
      </c>
      <c r="E2158" s="14" t="str">
        <f>IFERROR(__xludf.DUMMYFUNCTION("""COMPUTED_VALUE"""),"Afriza (BT)")</f>
        <v>Afriza (BT)</v>
      </c>
      <c r="F2158" s="14" t="str">
        <f>IFERROR(__xludf.DUMMYFUNCTION("""COMPUTED_VALUE"""),"SELESAI (VIA PERMOHONAN)")</f>
        <v>SELESAI (VIA PERMOHONAN)</v>
      </c>
      <c r="G2158" s="17">
        <f>IFERROR(__xludf.DUMMYFUNCTION("""COMPUTED_VALUE"""),45791.66121521991)</f>
        <v>45791.66122</v>
      </c>
      <c r="H2158" s="14" t="str">
        <f>IFERROR(__xludf.DUMMYFUNCTION("""COMPUTED_VALUE"""),"Bu Eva (SU)")</f>
        <v>Bu Eva (SU)</v>
      </c>
      <c r="I2158" s="13" t="str">
        <f>IFERROR(__xludf.DUMMYFUNCTION("""COMPUTED_VALUE"""),"SELESAI (VIA PERMOHONAN)")</f>
        <v>SELESAI (VIA PERMOHONAN)</v>
      </c>
      <c r="J2158" s="17">
        <f>IFERROR(__xludf.DUMMYFUNCTION("""COMPUTED_VALUE"""),45793.67430627315)</f>
        <v>45793.67431</v>
      </c>
      <c r="K2158" s="13" t="str">
        <f>IFERROR(__xludf.DUMMYFUNCTION("""COMPUTED_VALUE"""),"Selesai")</f>
        <v>Selesai</v>
      </c>
      <c r="L2158" s="17">
        <f>IFERROR(__xludf.DUMMYFUNCTION("""COMPUTED_VALUE"""),45793.67430627315)</f>
        <v>45793.67431</v>
      </c>
      <c r="M2158" s="13"/>
      <c r="N2158" s="13" t="str">
        <f>IFERROR(__xludf.DUMMYFUNCTION("""COMPUTED_VALUE"""),"")</f>
        <v/>
      </c>
      <c r="O2158" s="13" t="str">
        <f t="shared" si="1"/>
        <v/>
      </c>
    </row>
    <row r="2159" ht="22.5" customHeight="1">
      <c r="B2159" s="13">
        <f>IFERROR(__xludf.DUMMYFUNCTION("""COMPUTED_VALUE"""),2154.0)</f>
        <v>2154</v>
      </c>
      <c r="C2159" s="13" t="str">
        <f>IFERROR(__xludf.DUMMYFUNCTION("""COMPUTED_VALUE"""),"M. 10055/ Sukabumi Indah")</f>
        <v>M. 10055/ Sukabumi Indah</v>
      </c>
      <c r="D2159" s="13" t="str">
        <f>IFERROR(__xludf.DUMMYFUNCTION("""COMPUTED_VALUE"""),"K/16/290425/1")</f>
        <v>K/16/290425/1</v>
      </c>
      <c r="E2159" s="14" t="str">
        <f>IFERROR(__xludf.DUMMYFUNCTION("""COMPUTED_VALUE"""),"Afriza (BT)")</f>
        <v>Afriza (BT)</v>
      </c>
      <c r="F2159" s="14" t="str">
        <f>IFERROR(__xludf.DUMMYFUNCTION("""COMPUTED_VALUE"""),"SELESAI (VIA PERMOHONAN)")</f>
        <v>SELESAI (VIA PERMOHONAN)</v>
      </c>
      <c r="G2159" s="17">
        <f>IFERROR(__xludf.DUMMYFUNCTION("""COMPUTED_VALUE"""),45791.661345347224)</f>
        <v>45791.66135</v>
      </c>
      <c r="H2159" s="14" t="str">
        <f>IFERROR(__xludf.DUMMYFUNCTION("""COMPUTED_VALUE"""),"Bu Eva (SU)")</f>
        <v>Bu Eva (SU)</v>
      </c>
      <c r="I2159" s="13" t="str">
        <f>IFERROR(__xludf.DUMMYFUNCTION("""COMPUTED_VALUE"""),"SELESAI (VIA PERMOHONAN)")</f>
        <v>SELESAI (VIA PERMOHONAN)</v>
      </c>
      <c r="J2159" s="17">
        <f>IFERROR(__xludf.DUMMYFUNCTION("""COMPUTED_VALUE"""),45793.67430627315)</f>
        <v>45793.67431</v>
      </c>
      <c r="K2159" s="13" t="str">
        <f>IFERROR(__xludf.DUMMYFUNCTION("""COMPUTED_VALUE"""),"Selesai")</f>
        <v>Selesai</v>
      </c>
      <c r="L2159" s="17">
        <f>IFERROR(__xludf.DUMMYFUNCTION("""COMPUTED_VALUE"""),45793.67430627315)</f>
        <v>45793.67431</v>
      </c>
      <c r="M2159" s="13"/>
      <c r="N2159" s="13" t="str">
        <f>IFERROR(__xludf.DUMMYFUNCTION("""COMPUTED_VALUE"""),"")</f>
        <v/>
      </c>
      <c r="O2159" s="13" t="str">
        <f t="shared" si="1"/>
        <v/>
      </c>
    </row>
    <row r="2160" ht="22.5" customHeight="1">
      <c r="B2160" s="13">
        <f>IFERROR(__xludf.DUMMYFUNCTION("""COMPUTED_VALUE"""),2155.0)</f>
        <v>2155</v>
      </c>
      <c r="C2160" s="13" t="str">
        <f>IFERROR(__xludf.DUMMYFUNCTION("""COMPUTED_VALUE"""),"M. 343/ Harapan Jaya")</f>
        <v>M. 343/ Harapan Jaya</v>
      </c>
      <c r="D2160" s="13" t="str">
        <f>IFERROR(__xludf.DUMMYFUNCTION("""COMPUTED_VALUE"""),"K/9/150425/1")</f>
        <v>K/9/150425/1</v>
      </c>
      <c r="E2160" s="14" t="str">
        <f>IFERROR(__xludf.DUMMYFUNCTION("""COMPUTED_VALUE"""),"Afriza (BT)")</f>
        <v>Afriza (BT)</v>
      </c>
      <c r="F2160" s="14" t="str">
        <f>IFERROR(__xludf.DUMMYFUNCTION("""COMPUTED_VALUE"""),"SELESAI (VIA PERMOHONAN)")</f>
        <v>SELESAI (VIA PERMOHONAN)</v>
      </c>
      <c r="G2160" s="17">
        <f>IFERROR(__xludf.DUMMYFUNCTION("""COMPUTED_VALUE"""),45791.66145717593)</f>
        <v>45791.66146</v>
      </c>
      <c r="H2160" s="14" t="str">
        <f>IFERROR(__xludf.DUMMYFUNCTION("""COMPUTED_VALUE"""),"Bu Eva (SU)")</f>
        <v>Bu Eva (SU)</v>
      </c>
      <c r="I2160" s="13" t="str">
        <f>IFERROR(__xludf.DUMMYFUNCTION("""COMPUTED_VALUE"""),"SELESAI (VIA PERMOHONAN)")</f>
        <v>SELESAI (VIA PERMOHONAN)</v>
      </c>
      <c r="J2160" s="17">
        <f>IFERROR(__xludf.DUMMYFUNCTION("""COMPUTED_VALUE"""),45793.67430627315)</f>
        <v>45793.67431</v>
      </c>
      <c r="K2160" s="13" t="str">
        <f>IFERROR(__xludf.DUMMYFUNCTION("""COMPUTED_VALUE"""),"Selesai")</f>
        <v>Selesai</v>
      </c>
      <c r="L2160" s="17">
        <f>IFERROR(__xludf.DUMMYFUNCTION("""COMPUTED_VALUE"""),45793.67430627315)</f>
        <v>45793.67431</v>
      </c>
      <c r="M2160" s="13"/>
      <c r="N2160" s="13" t="str">
        <f>IFERROR(__xludf.DUMMYFUNCTION("""COMPUTED_VALUE"""),"")</f>
        <v/>
      </c>
      <c r="O2160" s="13" t="str">
        <f t="shared" si="1"/>
        <v/>
      </c>
    </row>
    <row r="2161" ht="22.5" customHeight="1">
      <c r="B2161" s="13">
        <f>IFERROR(__xludf.DUMMYFUNCTION("""COMPUTED_VALUE"""),2156.0)</f>
        <v>2156</v>
      </c>
      <c r="C2161" s="13" t="str">
        <f>IFERROR(__xludf.DUMMYFUNCTION("""COMPUTED_VALUE"""),"M.1465/PESAWAHAN")</f>
        <v>M.1465/PESAWAHAN</v>
      </c>
      <c r="D2161" s="13" t="str">
        <f>IFERROR(__xludf.DUMMYFUNCTION("""COMPUTED_VALUE"""),"K/13/220425/1")</f>
        <v>K/13/220425/1</v>
      </c>
      <c r="E2161" s="14" t="str">
        <f>IFERROR(__xludf.DUMMYFUNCTION("""COMPUTED_VALUE"""),"Afriza (BT)")</f>
        <v>Afriza (BT)</v>
      </c>
      <c r="F2161" s="14" t="str">
        <f>IFERROR(__xludf.DUMMYFUNCTION("""COMPUTED_VALUE"""),"SELESAI (VIA PERMOHONAN)")</f>
        <v>SELESAI (VIA PERMOHONAN)</v>
      </c>
      <c r="G2161" s="17">
        <f>IFERROR(__xludf.DUMMYFUNCTION("""COMPUTED_VALUE"""),45791.66154758102)</f>
        <v>45791.66155</v>
      </c>
      <c r="H2161" s="14" t="str">
        <f>IFERROR(__xludf.DUMMYFUNCTION("""COMPUTED_VALUE"""),"Bu Eva (SU)")</f>
        <v>Bu Eva (SU)</v>
      </c>
      <c r="I2161" s="13" t="str">
        <f>IFERROR(__xludf.DUMMYFUNCTION("""COMPUTED_VALUE"""),"SELESAI (VIA PERMOHONAN)")</f>
        <v>SELESAI (VIA PERMOHONAN)</v>
      </c>
      <c r="J2161" s="17">
        <f>IFERROR(__xludf.DUMMYFUNCTION("""COMPUTED_VALUE"""),45793.67430627315)</f>
        <v>45793.67431</v>
      </c>
      <c r="K2161" s="13" t="str">
        <f>IFERROR(__xludf.DUMMYFUNCTION("""COMPUTED_VALUE"""),"Selesai")</f>
        <v>Selesai</v>
      </c>
      <c r="L2161" s="17">
        <f>IFERROR(__xludf.DUMMYFUNCTION("""COMPUTED_VALUE"""),45793.67430627315)</f>
        <v>45793.67431</v>
      </c>
      <c r="M2161" s="13"/>
      <c r="N2161" s="13" t="str">
        <f>IFERROR(__xludf.DUMMYFUNCTION("""COMPUTED_VALUE"""),"")</f>
        <v/>
      </c>
      <c r="O2161" s="13" t="str">
        <f t="shared" si="1"/>
        <v/>
      </c>
    </row>
    <row r="2162" ht="22.5" customHeight="1">
      <c r="B2162" s="13">
        <f>IFERROR(__xludf.DUMMYFUNCTION("""COMPUTED_VALUE"""),2157.0)</f>
        <v>2157</v>
      </c>
      <c r="C2162" s="13" t="str">
        <f>IFERROR(__xludf.DUMMYFUNCTION("""COMPUTED_VALUE"""),"M. 9675/GEDONG MENENG")</f>
        <v>M. 9675/GEDONG MENENG</v>
      </c>
      <c r="D2162" s="13" t="str">
        <f>IFERROR(__xludf.DUMMYFUNCTION("""COMPUTED_VALUE"""),"K/9/210425/1")</f>
        <v>K/9/210425/1</v>
      </c>
      <c r="E2162" s="14" t="str">
        <f>IFERROR(__xludf.DUMMYFUNCTION("""COMPUTED_VALUE"""),"Afriza (BT)")</f>
        <v>Afriza (BT)</v>
      </c>
      <c r="F2162" s="14" t="str">
        <f>IFERROR(__xludf.DUMMYFUNCTION("""COMPUTED_VALUE"""),"SELESAI (VIA PERMOHONAN)")</f>
        <v>SELESAI (VIA PERMOHONAN)</v>
      </c>
      <c r="G2162" s="17">
        <f>IFERROR(__xludf.DUMMYFUNCTION("""COMPUTED_VALUE"""),45791.661630312505)</f>
        <v>45791.66163</v>
      </c>
      <c r="H2162" s="14" t="str">
        <f>IFERROR(__xludf.DUMMYFUNCTION("""COMPUTED_VALUE"""),"Bu Eva (SU)")</f>
        <v>Bu Eva (SU)</v>
      </c>
      <c r="I2162" s="13" t="str">
        <f>IFERROR(__xludf.DUMMYFUNCTION("""COMPUTED_VALUE"""),"SELESAI (VIA PERMOHONAN)")</f>
        <v>SELESAI (VIA PERMOHONAN)</v>
      </c>
      <c r="J2162" s="17">
        <f>IFERROR(__xludf.DUMMYFUNCTION("""COMPUTED_VALUE"""),45793.67430627315)</f>
        <v>45793.67431</v>
      </c>
      <c r="K2162" s="13" t="str">
        <f>IFERROR(__xludf.DUMMYFUNCTION("""COMPUTED_VALUE"""),"Selesai")</f>
        <v>Selesai</v>
      </c>
      <c r="L2162" s="17">
        <f>IFERROR(__xludf.DUMMYFUNCTION("""COMPUTED_VALUE"""),45793.67430627315)</f>
        <v>45793.67431</v>
      </c>
      <c r="M2162" s="13"/>
      <c r="N2162" s="13" t="str">
        <f>IFERROR(__xludf.DUMMYFUNCTION("""COMPUTED_VALUE"""),"")</f>
        <v/>
      </c>
      <c r="O2162" s="13" t="str">
        <f t="shared" si="1"/>
        <v/>
      </c>
    </row>
    <row r="2163" ht="22.5" customHeight="1">
      <c r="B2163" s="13">
        <f>IFERROR(__xludf.DUMMYFUNCTION("""COMPUTED_VALUE"""),2158.0)</f>
        <v>2158</v>
      </c>
      <c r="C2163" s="13" t="str">
        <f>IFERROR(__xludf.DUMMYFUNCTION("""COMPUTED_VALUE"""),"M. 1154/ Kuripan")</f>
        <v>M. 1154/ Kuripan</v>
      </c>
      <c r="D2163" s="13" t="str">
        <f>IFERROR(__xludf.DUMMYFUNCTION("""COMPUTED_VALUE"""),"K/1/050525/1")</f>
        <v>K/1/050525/1</v>
      </c>
      <c r="E2163" s="14" t="str">
        <f>IFERROR(__xludf.DUMMYFUNCTION("""COMPUTED_VALUE"""),"Afriza (BT)")</f>
        <v>Afriza (BT)</v>
      </c>
      <c r="F2163" s="14" t="str">
        <f>IFERROR(__xludf.DUMMYFUNCTION("""COMPUTED_VALUE"""),"SELESAI (VIA PERMOHONAN)")</f>
        <v>SELESAI (VIA PERMOHONAN)</v>
      </c>
      <c r="G2163" s="17">
        <f>IFERROR(__xludf.DUMMYFUNCTION("""COMPUTED_VALUE"""),45791.661718240735)</f>
        <v>45791.66172</v>
      </c>
      <c r="H2163" s="14" t="str">
        <f>IFERROR(__xludf.DUMMYFUNCTION("""COMPUTED_VALUE"""),"Bu Eva (SU)")</f>
        <v>Bu Eva (SU)</v>
      </c>
      <c r="I2163" s="13" t="str">
        <f>IFERROR(__xludf.DUMMYFUNCTION("""COMPUTED_VALUE"""),"SELESAI (VIA PERMOHONAN)")</f>
        <v>SELESAI (VIA PERMOHONAN)</v>
      </c>
      <c r="J2163" s="17">
        <f>IFERROR(__xludf.DUMMYFUNCTION("""COMPUTED_VALUE"""),45793.67430627315)</f>
        <v>45793.67431</v>
      </c>
      <c r="K2163" s="13" t="str">
        <f>IFERROR(__xludf.DUMMYFUNCTION("""COMPUTED_VALUE"""),"Selesai")</f>
        <v>Selesai</v>
      </c>
      <c r="L2163" s="17">
        <f>IFERROR(__xludf.DUMMYFUNCTION("""COMPUTED_VALUE"""),45793.67430627315)</f>
        <v>45793.67431</v>
      </c>
      <c r="M2163" s="13"/>
      <c r="N2163" s="13" t="str">
        <f>IFERROR(__xludf.DUMMYFUNCTION("""COMPUTED_VALUE"""),"")</f>
        <v/>
      </c>
      <c r="O2163" s="13" t="str">
        <f t="shared" si="1"/>
        <v/>
      </c>
    </row>
    <row r="2164" ht="22.5" customHeight="1">
      <c r="B2164" s="13">
        <f>IFERROR(__xludf.DUMMYFUNCTION("""COMPUTED_VALUE"""),2159.0)</f>
        <v>2159</v>
      </c>
      <c r="C2164" s="13" t="str">
        <f>IFERROR(__xludf.DUMMYFUNCTION("""COMPUTED_VALUE"""),"HGB 3173/SUKABUMI")</f>
        <v>HGB 3173/SUKABUMI</v>
      </c>
      <c r="D2164" s="13" t="str">
        <f>IFERROR(__xludf.DUMMYFUNCTION("""COMPUTED_VALUE"""),"L/10/020525/1")</f>
        <v>L/10/020525/1</v>
      </c>
      <c r="E2164" s="14" t="str">
        <f>IFERROR(__xludf.DUMMYFUNCTION("""COMPUTED_VALUE"""),"Afriza (BT)")</f>
        <v>Afriza (BT)</v>
      </c>
      <c r="F2164" s="14" t="str">
        <f>IFERROR(__xludf.DUMMYFUNCTION("""COMPUTED_VALUE"""),"SELESAI (VIA PERMOHONAN)")</f>
        <v>SELESAI (VIA PERMOHONAN)</v>
      </c>
      <c r="G2164" s="17">
        <f>IFERROR(__xludf.DUMMYFUNCTION("""COMPUTED_VALUE"""),45791.66183618056)</f>
        <v>45791.66184</v>
      </c>
      <c r="H2164" s="14" t="str">
        <f>IFERROR(__xludf.DUMMYFUNCTION("""COMPUTED_VALUE"""),"Bu Eva (SU)")</f>
        <v>Bu Eva (SU)</v>
      </c>
      <c r="I2164" s="13" t="str">
        <f>IFERROR(__xludf.DUMMYFUNCTION("""COMPUTED_VALUE"""),"SELESAI (VIA PERMOHONAN)")</f>
        <v>SELESAI (VIA PERMOHONAN)</v>
      </c>
      <c r="J2164" s="17">
        <f>IFERROR(__xludf.DUMMYFUNCTION("""COMPUTED_VALUE"""),45793.67430627315)</f>
        <v>45793.67431</v>
      </c>
      <c r="K2164" s="13" t="str">
        <f>IFERROR(__xludf.DUMMYFUNCTION("""COMPUTED_VALUE"""),"Selesai")</f>
        <v>Selesai</v>
      </c>
      <c r="L2164" s="17">
        <f>IFERROR(__xludf.DUMMYFUNCTION("""COMPUTED_VALUE"""),45793.67430627315)</f>
        <v>45793.67431</v>
      </c>
      <c r="M2164" s="13"/>
      <c r="N2164" s="13" t="str">
        <f>IFERROR(__xludf.DUMMYFUNCTION("""COMPUTED_VALUE"""),"")</f>
        <v/>
      </c>
      <c r="O2164" s="13" t="str">
        <f t="shared" si="1"/>
        <v/>
      </c>
    </row>
    <row r="2165" ht="22.5" customHeight="1">
      <c r="B2165" s="13">
        <f>IFERROR(__xludf.DUMMYFUNCTION("""COMPUTED_VALUE"""),2160.0)</f>
        <v>2160</v>
      </c>
      <c r="C2165" s="13" t="str">
        <f>IFERROR(__xludf.DUMMYFUNCTION("""COMPUTED_VALUE"""),"M. 220/ Korpri Jaya")</f>
        <v>M. 220/ Korpri Jaya</v>
      </c>
      <c r="D2165" s="13" t="str">
        <f>IFERROR(__xludf.DUMMYFUNCTION("""COMPUTED_VALUE"""),"K/33/220425/1")</f>
        <v>K/33/220425/1</v>
      </c>
      <c r="E2165" s="14" t="str">
        <f>IFERROR(__xludf.DUMMYFUNCTION("""COMPUTED_VALUE"""),"Afriza (BT)")</f>
        <v>Afriza (BT)</v>
      </c>
      <c r="F2165" s="14" t="str">
        <f>IFERROR(__xludf.DUMMYFUNCTION("""COMPUTED_VALUE"""),"SELESAI (VIA PERMOHONAN)")</f>
        <v>SELESAI (VIA PERMOHONAN)</v>
      </c>
      <c r="G2165" s="17">
        <f>IFERROR(__xludf.DUMMYFUNCTION("""COMPUTED_VALUE"""),45791.661971504625)</f>
        <v>45791.66197</v>
      </c>
      <c r="H2165" s="14" t="str">
        <f>IFERROR(__xludf.DUMMYFUNCTION("""COMPUTED_VALUE"""),"Bu Eva (SU)")</f>
        <v>Bu Eva (SU)</v>
      </c>
      <c r="I2165" s="13" t="str">
        <f>IFERROR(__xludf.DUMMYFUNCTION("""COMPUTED_VALUE"""),"SELESAI (VIA PERMOHONAN)")</f>
        <v>SELESAI (VIA PERMOHONAN)</v>
      </c>
      <c r="J2165" s="17">
        <f>IFERROR(__xludf.DUMMYFUNCTION("""COMPUTED_VALUE"""),45793.67430627315)</f>
        <v>45793.67431</v>
      </c>
      <c r="K2165" s="13" t="str">
        <f>IFERROR(__xludf.DUMMYFUNCTION("""COMPUTED_VALUE"""),"Selesai")</f>
        <v>Selesai</v>
      </c>
      <c r="L2165" s="17">
        <f>IFERROR(__xludf.DUMMYFUNCTION("""COMPUTED_VALUE"""),45793.67430627315)</f>
        <v>45793.67431</v>
      </c>
      <c r="M2165" s="13"/>
      <c r="N2165" s="13" t="str">
        <f>IFERROR(__xludf.DUMMYFUNCTION("""COMPUTED_VALUE"""),"")</f>
        <v/>
      </c>
      <c r="O2165" s="13" t="str">
        <f t="shared" si="1"/>
        <v/>
      </c>
    </row>
    <row r="2166" ht="22.5" customHeight="1">
      <c r="B2166" s="13">
        <f>IFERROR(__xludf.DUMMYFUNCTION("""COMPUTED_VALUE"""),2161.0)</f>
        <v>2161</v>
      </c>
      <c r="C2166" s="13" t="str">
        <f>IFERROR(__xludf.DUMMYFUNCTION("""COMPUTED_VALUE"""),"M. 147/ Palapa")</f>
        <v>M. 147/ Palapa</v>
      </c>
      <c r="D2166" s="13" t="str">
        <f>IFERROR(__xludf.DUMMYFUNCTION("""COMPUTED_VALUE"""),"K/16/220425/1")</f>
        <v>K/16/220425/1</v>
      </c>
      <c r="E2166" s="14" t="str">
        <f>IFERROR(__xludf.DUMMYFUNCTION("""COMPUTED_VALUE"""),"Afriza (BT)")</f>
        <v>Afriza (BT)</v>
      </c>
      <c r="F2166" s="14" t="str">
        <f>IFERROR(__xludf.DUMMYFUNCTION("""COMPUTED_VALUE"""),"SELESAI (VIA PERMOHONAN)")</f>
        <v>SELESAI (VIA PERMOHONAN)</v>
      </c>
      <c r="G2166" s="17">
        <f>IFERROR(__xludf.DUMMYFUNCTION("""COMPUTED_VALUE"""),45791.66209402778)</f>
        <v>45791.66209</v>
      </c>
      <c r="H2166" s="14" t="str">
        <f>IFERROR(__xludf.DUMMYFUNCTION("""COMPUTED_VALUE"""),"Bu Eva (SU)")</f>
        <v>Bu Eva (SU)</v>
      </c>
      <c r="I2166" s="13" t="str">
        <f>IFERROR(__xludf.DUMMYFUNCTION("""COMPUTED_VALUE"""),"SELESAI (VIA PERMOHONAN)")</f>
        <v>SELESAI (VIA PERMOHONAN)</v>
      </c>
      <c r="J2166" s="17">
        <f>IFERROR(__xludf.DUMMYFUNCTION("""COMPUTED_VALUE"""),45793.67430627315)</f>
        <v>45793.67431</v>
      </c>
      <c r="K2166" s="13" t="str">
        <f>IFERROR(__xludf.DUMMYFUNCTION("""COMPUTED_VALUE"""),"Selesai")</f>
        <v>Selesai</v>
      </c>
      <c r="L2166" s="17">
        <f>IFERROR(__xludf.DUMMYFUNCTION("""COMPUTED_VALUE"""),45793.67430627315)</f>
        <v>45793.67431</v>
      </c>
      <c r="M2166" s="13"/>
      <c r="N2166" s="13" t="str">
        <f>IFERROR(__xludf.DUMMYFUNCTION("""COMPUTED_VALUE"""),"")</f>
        <v/>
      </c>
      <c r="O2166" s="13" t="str">
        <f t="shared" si="1"/>
        <v/>
      </c>
    </row>
    <row r="2167" ht="22.5" customHeight="1">
      <c r="B2167" s="13">
        <f>IFERROR(__xludf.DUMMYFUNCTION("""COMPUTED_VALUE"""),2162.0)</f>
        <v>2162</v>
      </c>
      <c r="C2167" s="13" t="str">
        <f>IFERROR(__xludf.DUMMYFUNCTION("""COMPUTED_VALUE"""),"M. 1154/ Perumnas Way Kandis")</f>
        <v>M. 1154/ Perumnas Way Kandis</v>
      </c>
      <c r="D2167" s="13" t="str">
        <f>IFERROR(__xludf.DUMMYFUNCTION("""COMPUTED_VALUE"""),"K/36/250425/1")</f>
        <v>K/36/250425/1</v>
      </c>
      <c r="E2167" s="14" t="str">
        <f>IFERROR(__xludf.DUMMYFUNCTION("""COMPUTED_VALUE"""),"Afriza (BT)")</f>
        <v>Afriza (BT)</v>
      </c>
      <c r="F2167" s="14" t="str">
        <f>IFERROR(__xludf.DUMMYFUNCTION("""COMPUTED_VALUE"""),"SELESAI (VIA PERMOHONAN)")</f>
        <v>SELESAI (VIA PERMOHONAN)</v>
      </c>
      <c r="G2167" s="17">
        <f>IFERROR(__xludf.DUMMYFUNCTION("""COMPUTED_VALUE"""),45791.66223920139)</f>
        <v>45791.66224</v>
      </c>
      <c r="H2167" s="14" t="str">
        <f>IFERROR(__xludf.DUMMYFUNCTION("""COMPUTED_VALUE"""),"Bu Eva (SU)")</f>
        <v>Bu Eva (SU)</v>
      </c>
      <c r="I2167" s="13" t="str">
        <f>IFERROR(__xludf.DUMMYFUNCTION("""COMPUTED_VALUE"""),"SELESAI (VIA PERMOHONAN)")</f>
        <v>SELESAI (VIA PERMOHONAN)</v>
      </c>
      <c r="J2167" s="17">
        <f>IFERROR(__xludf.DUMMYFUNCTION("""COMPUTED_VALUE"""),45793.67430627315)</f>
        <v>45793.67431</v>
      </c>
      <c r="K2167" s="13" t="str">
        <f>IFERROR(__xludf.DUMMYFUNCTION("""COMPUTED_VALUE"""),"Selesai")</f>
        <v>Selesai</v>
      </c>
      <c r="L2167" s="17">
        <f>IFERROR(__xludf.DUMMYFUNCTION("""COMPUTED_VALUE"""),45793.67430627315)</f>
        <v>45793.67431</v>
      </c>
      <c r="M2167" s="13"/>
      <c r="N2167" s="13" t="str">
        <f>IFERROR(__xludf.DUMMYFUNCTION("""COMPUTED_VALUE"""),"")</f>
        <v/>
      </c>
      <c r="O2167" s="13" t="str">
        <f t="shared" si="1"/>
        <v/>
      </c>
    </row>
    <row r="2168" ht="22.5" customHeight="1">
      <c r="B2168" s="13">
        <f>IFERROR(__xludf.DUMMYFUNCTION("""COMPUTED_VALUE"""),2163.0)</f>
        <v>2163</v>
      </c>
      <c r="C2168" s="13" t="str">
        <f>IFERROR(__xludf.DUMMYFUNCTION("""COMPUTED_VALUE"""),"HM 1172/PEMATANG WANGI")</f>
        <v>HM 1172/PEMATANG WANGI</v>
      </c>
      <c r="D2168" s="13" t="str">
        <f>IFERROR(__xludf.DUMMYFUNCTION("""COMPUTED_VALUE"""),"L/30/170425/1")</f>
        <v>L/30/170425/1</v>
      </c>
      <c r="E2168" s="14" t="str">
        <f>IFERROR(__xludf.DUMMYFUNCTION("""COMPUTED_VALUE"""),"Afriza (BT)")</f>
        <v>Afriza (BT)</v>
      </c>
      <c r="F2168" s="14" t="str">
        <f>IFERROR(__xludf.DUMMYFUNCTION("""COMPUTED_VALUE"""),"SELESAI (VIA PERMOHONAN)")</f>
        <v>SELESAI (VIA PERMOHONAN)</v>
      </c>
      <c r="G2168" s="17">
        <f>IFERROR(__xludf.DUMMYFUNCTION("""COMPUTED_VALUE"""),45792.36088226852)</f>
        <v>45792.36088</v>
      </c>
      <c r="H2168" s="14" t="str">
        <f>IFERROR(__xludf.DUMMYFUNCTION("""COMPUTED_VALUE"""),"Aprill (SU)")</f>
        <v>Aprill (SU)</v>
      </c>
      <c r="I2168" s="13" t="str">
        <f>IFERROR(__xludf.DUMMYFUNCTION("""COMPUTED_VALUE"""),"SELESAI (VIA PERMOHONAN)")</f>
        <v>SELESAI (VIA PERMOHONAN)</v>
      </c>
      <c r="J2168" s="17">
        <f>IFERROR(__xludf.DUMMYFUNCTION("""COMPUTED_VALUE"""),45793.67430627315)</f>
        <v>45793.67431</v>
      </c>
      <c r="K2168" s="13" t="str">
        <f>IFERROR(__xludf.DUMMYFUNCTION("""COMPUTED_VALUE"""),"Selesai")</f>
        <v>Selesai</v>
      </c>
      <c r="L2168" s="17">
        <f>IFERROR(__xludf.DUMMYFUNCTION("""COMPUTED_VALUE"""),45793.67430627315)</f>
        <v>45793.67431</v>
      </c>
      <c r="M2168" s="13"/>
      <c r="N2168" s="13" t="str">
        <f>IFERROR(__xludf.DUMMYFUNCTION("""COMPUTED_VALUE"""),"")</f>
        <v/>
      </c>
      <c r="O2168" s="13" t="str">
        <f t="shared" si="1"/>
        <v/>
      </c>
    </row>
    <row r="2169" ht="22.5" customHeight="1">
      <c r="B2169" s="13">
        <f>IFERROR(__xludf.DUMMYFUNCTION("""COMPUTED_VALUE"""),2164.0)</f>
        <v>2164</v>
      </c>
      <c r="C2169" s="13" t="str">
        <f>IFERROR(__xludf.DUMMYFUNCTION("""COMPUTED_VALUE"""),"M. 1197/  Sukadanaham")</f>
        <v>M. 1197/  Sukadanaham</v>
      </c>
      <c r="D2169" s="13" t="str">
        <f>IFERROR(__xludf.DUMMYFUNCTION("""COMPUTED_VALUE"""),"K/36/220425/1")</f>
        <v>K/36/220425/1</v>
      </c>
      <c r="E2169" s="14" t="str">
        <f>IFERROR(__xludf.DUMMYFUNCTION("""COMPUTED_VALUE"""),"Afriza (BT)")</f>
        <v>Afriza (BT)</v>
      </c>
      <c r="F2169" s="14" t="str">
        <f>IFERROR(__xludf.DUMMYFUNCTION("""COMPUTED_VALUE"""),"SELESAI (VIA PERMOHONAN)")</f>
        <v>SELESAI (VIA PERMOHONAN)</v>
      </c>
      <c r="G2169" s="17">
        <f>IFERROR(__xludf.DUMMYFUNCTION("""COMPUTED_VALUE"""),45792.659480393515)</f>
        <v>45792.65948</v>
      </c>
      <c r="H2169" s="14" t="str">
        <f>IFERROR(__xludf.DUMMYFUNCTION("""COMPUTED_VALUE"""),"Aprill (SU)")</f>
        <v>Aprill (SU)</v>
      </c>
      <c r="I2169" s="13" t="str">
        <f>IFERROR(__xludf.DUMMYFUNCTION("""COMPUTED_VALUE"""),"SELESAI (VIA PERMOHONAN)")</f>
        <v>SELESAI (VIA PERMOHONAN)</v>
      </c>
      <c r="J2169" s="17">
        <f>IFERROR(__xludf.DUMMYFUNCTION("""COMPUTED_VALUE"""),45793.67430627315)</f>
        <v>45793.67431</v>
      </c>
      <c r="K2169" s="13" t="str">
        <f>IFERROR(__xludf.DUMMYFUNCTION("""COMPUTED_VALUE"""),"Selesai")</f>
        <v>Selesai</v>
      </c>
      <c r="L2169" s="17">
        <f>IFERROR(__xludf.DUMMYFUNCTION("""COMPUTED_VALUE"""),45793.67430627315)</f>
        <v>45793.67431</v>
      </c>
      <c r="M2169" s="13"/>
      <c r="N2169" s="13" t="str">
        <f>IFERROR(__xludf.DUMMYFUNCTION("""COMPUTED_VALUE"""),"")</f>
        <v/>
      </c>
      <c r="O2169" s="13" t="str">
        <f t="shared" si="1"/>
        <v/>
      </c>
    </row>
    <row r="2170" ht="22.5" customHeight="1">
      <c r="B2170" s="13">
        <f>IFERROR(__xludf.DUMMYFUNCTION("""COMPUTED_VALUE"""),2165.0)</f>
        <v>2165</v>
      </c>
      <c r="C2170" s="13" t="str">
        <f>IFERROR(__xludf.DUMMYFUNCTION("""COMPUTED_VALUE"""),"M. 1146/ Rajabasa Raya")</f>
        <v>M. 1146/ Rajabasa Raya</v>
      </c>
      <c r="D2170" s="13" t="str">
        <f>IFERROR(__xludf.DUMMYFUNCTION("""COMPUTED_VALUE"""),"K/45/290425/2")</f>
        <v>K/45/290425/2</v>
      </c>
      <c r="E2170" s="14" t="str">
        <f>IFERROR(__xludf.DUMMYFUNCTION("""COMPUTED_VALUE"""),"Afriza (BT)")</f>
        <v>Afriza (BT)</v>
      </c>
      <c r="F2170" s="14" t="str">
        <f>IFERROR(__xludf.DUMMYFUNCTION("""COMPUTED_VALUE"""),"SELESAI (VIA PERMOHONAN)")</f>
        <v>SELESAI (VIA PERMOHONAN)</v>
      </c>
      <c r="G2170" s="17">
        <f>IFERROR(__xludf.DUMMYFUNCTION("""COMPUTED_VALUE"""),45792.659480393515)</f>
        <v>45792.65948</v>
      </c>
      <c r="H2170" s="14" t="str">
        <f>IFERROR(__xludf.DUMMYFUNCTION("""COMPUTED_VALUE"""),"Aprill (SU)")</f>
        <v>Aprill (SU)</v>
      </c>
      <c r="I2170" s="13" t="str">
        <f>IFERROR(__xludf.DUMMYFUNCTION("""COMPUTED_VALUE"""),"SELESAI (VIA PERMOHONAN)")</f>
        <v>SELESAI (VIA PERMOHONAN)</v>
      </c>
      <c r="J2170" s="17">
        <f>IFERROR(__xludf.DUMMYFUNCTION("""COMPUTED_VALUE"""),45793.67430627315)</f>
        <v>45793.67431</v>
      </c>
      <c r="K2170" s="13" t="str">
        <f>IFERROR(__xludf.DUMMYFUNCTION("""COMPUTED_VALUE"""),"Selesai")</f>
        <v>Selesai</v>
      </c>
      <c r="L2170" s="17">
        <f>IFERROR(__xludf.DUMMYFUNCTION("""COMPUTED_VALUE"""),45793.67430627315)</f>
        <v>45793.67431</v>
      </c>
      <c r="M2170" s="13"/>
      <c r="N2170" s="13" t="str">
        <f>IFERROR(__xludf.DUMMYFUNCTION("""COMPUTED_VALUE"""),"")</f>
        <v/>
      </c>
      <c r="O2170" s="13" t="str">
        <f t="shared" si="1"/>
        <v/>
      </c>
    </row>
    <row r="2171" ht="22.5" customHeight="1">
      <c r="B2171" s="13">
        <f>IFERROR(__xludf.DUMMYFUNCTION("""COMPUTED_VALUE"""),2166.0)</f>
        <v>2166</v>
      </c>
      <c r="C2171" s="13" t="str">
        <f>IFERROR(__xludf.DUMMYFUNCTION("""COMPUTED_VALUE"""),"M.860/PESAWAHAN")</f>
        <v>M.860/PESAWAHAN</v>
      </c>
      <c r="D2171" s="13" t="str">
        <f>IFERROR(__xludf.DUMMYFUNCTION("""COMPUTED_VALUE"""),"K/7/080525/1")</f>
        <v>K/7/080525/1</v>
      </c>
      <c r="E2171" s="14" t="str">
        <f>IFERROR(__xludf.DUMMYFUNCTION("""COMPUTED_VALUE"""),"Afriza (BT)")</f>
        <v>Afriza (BT)</v>
      </c>
      <c r="F2171" s="14" t="str">
        <f>IFERROR(__xludf.DUMMYFUNCTION("""COMPUTED_VALUE"""),"SELESAI (VIA PERMOHONAN)")</f>
        <v>SELESAI (VIA PERMOHONAN)</v>
      </c>
      <c r="G2171" s="17">
        <f>IFERROR(__xludf.DUMMYFUNCTION("""COMPUTED_VALUE"""),45792.659480393515)</f>
        <v>45792.65948</v>
      </c>
      <c r="H2171" s="14" t="str">
        <f>IFERROR(__xludf.DUMMYFUNCTION("""COMPUTED_VALUE"""),"Aprill (SU)")</f>
        <v>Aprill (SU)</v>
      </c>
      <c r="I2171" s="13" t="str">
        <f>IFERROR(__xludf.DUMMYFUNCTION("""COMPUTED_VALUE"""),"SELESAI (VIA PERMOHONAN)")</f>
        <v>SELESAI (VIA PERMOHONAN)</v>
      </c>
      <c r="J2171" s="17">
        <f>IFERROR(__xludf.DUMMYFUNCTION("""COMPUTED_VALUE"""),45793.67430627315)</f>
        <v>45793.67431</v>
      </c>
      <c r="K2171" s="13" t="str">
        <f>IFERROR(__xludf.DUMMYFUNCTION("""COMPUTED_VALUE"""),"Selesai")</f>
        <v>Selesai</v>
      </c>
      <c r="L2171" s="17">
        <f>IFERROR(__xludf.DUMMYFUNCTION("""COMPUTED_VALUE"""),45793.67430627315)</f>
        <v>45793.67431</v>
      </c>
      <c r="M2171" s="13"/>
      <c r="N2171" s="13" t="str">
        <f>IFERROR(__xludf.DUMMYFUNCTION("""COMPUTED_VALUE"""),"")</f>
        <v/>
      </c>
      <c r="O2171" s="13" t="str">
        <f t="shared" si="1"/>
        <v/>
      </c>
    </row>
    <row r="2172" ht="22.5" customHeight="1">
      <c r="B2172" s="13">
        <f>IFERROR(__xludf.DUMMYFUNCTION("""COMPUTED_VALUE"""),2167.0)</f>
        <v>2167</v>
      </c>
      <c r="C2172" s="13" t="str">
        <f>IFERROR(__xludf.DUMMYFUNCTION("""COMPUTED_VALUE"""),"M.2959/BERINGIN RAYA ")</f>
        <v>M.2959/BERINGIN RAYA </v>
      </c>
      <c r="D2172" s="13" t="str">
        <f>IFERROR(__xludf.DUMMYFUNCTION("""COMPUTED_VALUE"""),"K/20/300425/1")</f>
        <v>K/20/300425/1</v>
      </c>
      <c r="E2172" s="14" t="str">
        <f>IFERROR(__xludf.DUMMYFUNCTION("""COMPUTED_VALUE"""),"Afriza (BT)")</f>
        <v>Afriza (BT)</v>
      </c>
      <c r="F2172" s="14" t="str">
        <f>IFERROR(__xludf.DUMMYFUNCTION("""COMPUTED_VALUE"""),"SELESAI (VIA PERMOHONAN)")</f>
        <v>SELESAI (VIA PERMOHONAN)</v>
      </c>
      <c r="G2172" s="17">
        <f>IFERROR(__xludf.DUMMYFUNCTION("""COMPUTED_VALUE"""),45792.659480393515)</f>
        <v>45792.65948</v>
      </c>
      <c r="H2172" s="14" t="str">
        <f>IFERROR(__xludf.DUMMYFUNCTION("""COMPUTED_VALUE"""),"Aprill (SU)")</f>
        <v>Aprill (SU)</v>
      </c>
      <c r="I2172" s="13" t="str">
        <f>IFERROR(__xludf.DUMMYFUNCTION("""COMPUTED_VALUE"""),"SELESAI (VIA PERMOHONAN)")</f>
        <v>SELESAI (VIA PERMOHONAN)</v>
      </c>
      <c r="J2172" s="17">
        <f>IFERROR(__xludf.DUMMYFUNCTION("""COMPUTED_VALUE"""),45793.67430627315)</f>
        <v>45793.67431</v>
      </c>
      <c r="K2172" s="13" t="str">
        <f>IFERROR(__xludf.DUMMYFUNCTION("""COMPUTED_VALUE"""),"Selesai")</f>
        <v>Selesai</v>
      </c>
      <c r="L2172" s="17">
        <f>IFERROR(__xludf.DUMMYFUNCTION("""COMPUTED_VALUE"""),45793.67430627315)</f>
        <v>45793.67431</v>
      </c>
      <c r="M2172" s="13"/>
      <c r="N2172" s="13" t="str">
        <f>IFERROR(__xludf.DUMMYFUNCTION("""COMPUTED_VALUE"""),"")</f>
        <v/>
      </c>
      <c r="O2172" s="13" t="str">
        <f t="shared" si="1"/>
        <v/>
      </c>
    </row>
    <row r="2173" ht="22.5" customHeight="1">
      <c r="B2173" s="13">
        <f>IFERROR(__xludf.DUMMYFUNCTION("""COMPUTED_VALUE"""),2168.0)</f>
        <v>2168</v>
      </c>
      <c r="C2173" s="13" t="str">
        <f>IFERROR(__xludf.DUMMYFUNCTION("""COMPUTED_VALUE"""),"M.189/WAY HALIM PERMAI")</f>
        <v>M.189/WAY HALIM PERMAI</v>
      </c>
      <c r="D2173" s="13" t="str">
        <f>IFERROR(__xludf.DUMMYFUNCTION("""COMPUTED_VALUE"""),"K/24/070525/1")</f>
        <v>K/24/070525/1</v>
      </c>
      <c r="E2173" s="14" t="str">
        <f>IFERROR(__xludf.DUMMYFUNCTION("""COMPUTED_VALUE"""),"Afriza (BT)")</f>
        <v>Afriza (BT)</v>
      </c>
      <c r="F2173" s="14" t="str">
        <f>IFERROR(__xludf.DUMMYFUNCTION("""COMPUTED_VALUE"""),"SELESAI (VIA PERMOHONAN)")</f>
        <v>SELESAI (VIA PERMOHONAN)</v>
      </c>
      <c r="G2173" s="17">
        <f>IFERROR(__xludf.DUMMYFUNCTION("""COMPUTED_VALUE"""),45792.659480393515)</f>
        <v>45792.65948</v>
      </c>
      <c r="H2173" s="14" t="str">
        <f>IFERROR(__xludf.DUMMYFUNCTION("""COMPUTED_VALUE"""),"Aprill (SU)")</f>
        <v>Aprill (SU)</v>
      </c>
      <c r="I2173" s="13" t="str">
        <f>IFERROR(__xludf.DUMMYFUNCTION("""COMPUTED_VALUE"""),"SELESAI (VIA PERMOHONAN)")</f>
        <v>SELESAI (VIA PERMOHONAN)</v>
      </c>
      <c r="J2173" s="17">
        <f>IFERROR(__xludf.DUMMYFUNCTION("""COMPUTED_VALUE"""),45793.67430627315)</f>
        <v>45793.67431</v>
      </c>
      <c r="K2173" s="13" t="str">
        <f>IFERROR(__xludf.DUMMYFUNCTION("""COMPUTED_VALUE"""),"Selesai")</f>
        <v>Selesai</v>
      </c>
      <c r="L2173" s="17">
        <f>IFERROR(__xludf.DUMMYFUNCTION("""COMPUTED_VALUE"""),45793.67430627315)</f>
        <v>45793.67431</v>
      </c>
      <c r="M2173" s="13"/>
      <c r="N2173" s="13" t="str">
        <f>IFERROR(__xludf.DUMMYFUNCTION("""COMPUTED_VALUE"""),"")</f>
        <v/>
      </c>
      <c r="O2173" s="13" t="str">
        <f t="shared" si="1"/>
        <v/>
      </c>
    </row>
    <row r="2174" ht="22.5" customHeight="1">
      <c r="B2174" s="13">
        <f>IFERROR(__xludf.DUMMYFUNCTION("""COMPUTED_VALUE"""),2169.0)</f>
        <v>2169</v>
      </c>
      <c r="C2174" s="13" t="str">
        <f>IFERROR(__xludf.DUMMYFUNCTION("""COMPUTED_VALUE"""),"M.3855/TANJUNG SENENG")</f>
        <v>M.3855/TANJUNG SENENG</v>
      </c>
      <c r="D2174" s="13" t="str">
        <f>IFERROR(__xludf.DUMMYFUNCTION("""COMPUTED_VALUE"""),"K/27/050525/1")</f>
        <v>K/27/050525/1</v>
      </c>
      <c r="E2174" s="14" t="str">
        <f>IFERROR(__xludf.DUMMYFUNCTION("""COMPUTED_VALUE"""),"Afriza (BT)")</f>
        <v>Afriza (BT)</v>
      </c>
      <c r="F2174" s="14" t="str">
        <f>IFERROR(__xludf.DUMMYFUNCTION("""COMPUTED_VALUE"""),"SELESAI (VIA PERMOHONAN)")</f>
        <v>SELESAI (VIA PERMOHONAN)</v>
      </c>
      <c r="G2174" s="17">
        <f>IFERROR(__xludf.DUMMYFUNCTION("""COMPUTED_VALUE"""),45792.659480393515)</f>
        <v>45792.65948</v>
      </c>
      <c r="H2174" s="14" t="str">
        <f>IFERROR(__xludf.DUMMYFUNCTION("""COMPUTED_VALUE"""),"Aprill (SU)")</f>
        <v>Aprill (SU)</v>
      </c>
      <c r="I2174" s="13" t="str">
        <f>IFERROR(__xludf.DUMMYFUNCTION("""COMPUTED_VALUE"""),"SELESAI (VIA PERMOHONAN)")</f>
        <v>SELESAI (VIA PERMOHONAN)</v>
      </c>
      <c r="J2174" s="17">
        <f>IFERROR(__xludf.DUMMYFUNCTION("""COMPUTED_VALUE"""),45793.67430627315)</f>
        <v>45793.67431</v>
      </c>
      <c r="K2174" s="13" t="str">
        <f>IFERROR(__xludf.DUMMYFUNCTION("""COMPUTED_VALUE"""),"Selesai")</f>
        <v>Selesai</v>
      </c>
      <c r="L2174" s="17">
        <f>IFERROR(__xludf.DUMMYFUNCTION("""COMPUTED_VALUE"""),45793.67430627315)</f>
        <v>45793.67431</v>
      </c>
      <c r="M2174" s="13"/>
      <c r="N2174" s="13" t="str">
        <f>IFERROR(__xludf.DUMMYFUNCTION("""COMPUTED_VALUE"""),"")</f>
        <v/>
      </c>
      <c r="O2174" s="13" t="str">
        <f t="shared" si="1"/>
        <v/>
      </c>
    </row>
    <row r="2175" ht="22.5" customHeight="1">
      <c r="B2175" s="13">
        <f>IFERROR(__xludf.DUMMYFUNCTION("""COMPUTED_VALUE"""),2170.0)</f>
        <v>2170</v>
      </c>
      <c r="C2175" s="13" t="str">
        <f>IFERROR(__xludf.DUMMYFUNCTION("""COMPUTED_VALUE"""),"HM 4674/TANJUNG SENANG")</f>
        <v>HM 4674/TANJUNG SENANG</v>
      </c>
      <c r="D2175" s="13" t="str">
        <f>IFERROR(__xludf.DUMMYFUNCTION("""COMPUTED_VALUE"""),"L/26/070525/1")</f>
        <v>L/26/070525/1</v>
      </c>
      <c r="E2175" s="14" t="str">
        <f>IFERROR(__xludf.DUMMYFUNCTION("""COMPUTED_VALUE"""),"Afriza (BT)")</f>
        <v>Afriza (BT)</v>
      </c>
      <c r="F2175" s="14" t="str">
        <f>IFERROR(__xludf.DUMMYFUNCTION("""COMPUTED_VALUE"""),"SELESAI (VIA PERMOHONAN)")</f>
        <v>SELESAI (VIA PERMOHONAN)</v>
      </c>
      <c r="G2175" s="17">
        <f>IFERROR(__xludf.DUMMYFUNCTION("""COMPUTED_VALUE"""),45792.659480393515)</f>
        <v>45792.65948</v>
      </c>
      <c r="H2175" s="14" t="str">
        <f>IFERROR(__xludf.DUMMYFUNCTION("""COMPUTED_VALUE"""),"Aprill (SU)")</f>
        <v>Aprill (SU)</v>
      </c>
      <c r="I2175" s="13" t="str">
        <f>IFERROR(__xludf.DUMMYFUNCTION("""COMPUTED_VALUE"""),"SELESAI (VIA PERMOHONAN)")</f>
        <v>SELESAI (VIA PERMOHONAN)</v>
      </c>
      <c r="J2175" s="17">
        <f>IFERROR(__xludf.DUMMYFUNCTION("""COMPUTED_VALUE"""),45793.67430627315)</f>
        <v>45793.67431</v>
      </c>
      <c r="K2175" s="13" t="str">
        <f>IFERROR(__xludf.DUMMYFUNCTION("""COMPUTED_VALUE"""),"Selesai")</f>
        <v>Selesai</v>
      </c>
      <c r="L2175" s="17">
        <f>IFERROR(__xludf.DUMMYFUNCTION("""COMPUTED_VALUE"""),45793.67430627315)</f>
        <v>45793.67431</v>
      </c>
      <c r="M2175" s="13"/>
      <c r="N2175" s="13" t="str">
        <f>IFERROR(__xludf.DUMMYFUNCTION("""COMPUTED_VALUE"""),"")</f>
        <v/>
      </c>
      <c r="O2175" s="13" t="str">
        <f t="shared" si="1"/>
        <v/>
      </c>
    </row>
    <row r="2176" ht="22.5" customHeight="1">
      <c r="B2176" s="13">
        <f>IFERROR(__xludf.DUMMYFUNCTION("""COMPUTED_VALUE"""),2171.0)</f>
        <v>2171</v>
      </c>
      <c r="C2176" s="13" t="str">
        <f>IFERROR(__xludf.DUMMYFUNCTION("""COMPUTED_VALUE"""),"B.110/KAMPUNG BARU RAYA")</f>
        <v>B.110/KAMPUNG BARU RAYA</v>
      </c>
      <c r="D2176" s="13" t="str">
        <f>IFERROR(__xludf.DUMMYFUNCTION("""COMPUTED_VALUE"""),"L/3/280425/1")</f>
        <v>L/3/280425/1</v>
      </c>
      <c r="E2176" s="14" t="str">
        <f>IFERROR(__xludf.DUMMYFUNCTION("""COMPUTED_VALUE"""),"Afriza (BT)")</f>
        <v>Afriza (BT)</v>
      </c>
      <c r="F2176" s="14" t="str">
        <f>IFERROR(__xludf.DUMMYFUNCTION("""COMPUTED_VALUE"""),"SELESAI (VIA PERMOHONAN)")</f>
        <v>SELESAI (VIA PERMOHONAN)</v>
      </c>
      <c r="G2176" s="17">
        <f>IFERROR(__xludf.DUMMYFUNCTION("""COMPUTED_VALUE"""),45792.659480393515)</f>
        <v>45792.65948</v>
      </c>
      <c r="H2176" s="14" t="str">
        <f>IFERROR(__xludf.DUMMYFUNCTION("""COMPUTED_VALUE"""),"Aprill (SU)")</f>
        <v>Aprill (SU)</v>
      </c>
      <c r="I2176" s="13" t="str">
        <f>IFERROR(__xludf.DUMMYFUNCTION("""COMPUTED_VALUE"""),"SELESAI (VIA PERMOHONAN)")</f>
        <v>SELESAI (VIA PERMOHONAN)</v>
      </c>
      <c r="J2176" s="17">
        <f>IFERROR(__xludf.DUMMYFUNCTION("""COMPUTED_VALUE"""),45793.67430627315)</f>
        <v>45793.67431</v>
      </c>
      <c r="K2176" s="13" t="str">
        <f>IFERROR(__xludf.DUMMYFUNCTION("""COMPUTED_VALUE"""),"Selesai")</f>
        <v>Selesai</v>
      </c>
      <c r="L2176" s="17">
        <f>IFERROR(__xludf.DUMMYFUNCTION("""COMPUTED_VALUE"""),45793.67430627315)</f>
        <v>45793.67431</v>
      </c>
      <c r="M2176" s="13"/>
      <c r="N2176" s="13" t="str">
        <f>IFERROR(__xludf.DUMMYFUNCTION("""COMPUTED_VALUE"""),"")</f>
        <v/>
      </c>
      <c r="O2176" s="13" t="str">
        <f t="shared" si="1"/>
        <v/>
      </c>
    </row>
    <row r="2177" ht="22.5" customHeight="1">
      <c r="B2177" s="13">
        <f>IFERROR(__xludf.DUMMYFUNCTION("""COMPUTED_VALUE"""),2172.0)</f>
        <v>2172</v>
      </c>
      <c r="C2177" s="13" t="str">
        <f>IFERROR(__xludf.DUMMYFUNCTION("""COMPUTED_VALUE"""),"HM 08/KOTA KARANG RAYA")</f>
        <v>HM 08/KOTA KARANG RAYA</v>
      </c>
      <c r="D2177" s="13" t="str">
        <f>IFERROR(__xludf.DUMMYFUNCTION("""COMPUTED_VALUE"""),"L/1/070525/1")</f>
        <v>L/1/070525/1</v>
      </c>
      <c r="E2177" s="14" t="str">
        <f>IFERROR(__xludf.DUMMYFUNCTION("""COMPUTED_VALUE"""),"Afriza (BT)")</f>
        <v>Afriza (BT)</v>
      </c>
      <c r="F2177" s="14" t="str">
        <f>IFERROR(__xludf.DUMMYFUNCTION("""COMPUTED_VALUE"""),"SELESAI (VIA PERMOHONAN)")</f>
        <v>SELESAI (VIA PERMOHONAN)</v>
      </c>
      <c r="G2177" s="17">
        <f>IFERROR(__xludf.DUMMYFUNCTION("""COMPUTED_VALUE"""),45792.659480393515)</f>
        <v>45792.65948</v>
      </c>
      <c r="H2177" s="14" t="str">
        <f>IFERROR(__xludf.DUMMYFUNCTION("""COMPUTED_VALUE"""),"Aprill (SU)")</f>
        <v>Aprill (SU)</v>
      </c>
      <c r="I2177" s="13" t="str">
        <f>IFERROR(__xludf.DUMMYFUNCTION("""COMPUTED_VALUE"""),"SELESAI (VIA PERMOHONAN)")</f>
        <v>SELESAI (VIA PERMOHONAN)</v>
      </c>
      <c r="J2177" s="17">
        <f>IFERROR(__xludf.DUMMYFUNCTION("""COMPUTED_VALUE"""),45793.67430627315)</f>
        <v>45793.67431</v>
      </c>
      <c r="K2177" s="13" t="str">
        <f>IFERROR(__xludf.DUMMYFUNCTION("""COMPUTED_VALUE"""),"Selesai")</f>
        <v>Selesai</v>
      </c>
      <c r="L2177" s="17">
        <f>IFERROR(__xludf.DUMMYFUNCTION("""COMPUTED_VALUE"""),45793.67430627315)</f>
        <v>45793.67431</v>
      </c>
      <c r="M2177" s="13"/>
      <c r="N2177" s="13" t="str">
        <f>IFERROR(__xludf.DUMMYFUNCTION("""COMPUTED_VALUE"""),"")</f>
        <v/>
      </c>
      <c r="O2177" s="13" t="str">
        <f t="shared" si="1"/>
        <v/>
      </c>
    </row>
    <row r="2178" ht="22.5" customHeight="1">
      <c r="B2178" s="13">
        <f>IFERROR(__xludf.DUMMYFUNCTION("""COMPUTED_VALUE"""),2173.0)</f>
        <v>2173</v>
      </c>
      <c r="C2178" s="13" t="str">
        <f>IFERROR(__xludf.DUMMYFUNCTION("""COMPUTED_VALUE"""),"HGB 284/NUSANTARA PERMAI")</f>
        <v>HGB 284/NUSANTARA PERMAI</v>
      </c>
      <c r="D2178" s="13" t="str">
        <f>IFERROR(__xludf.DUMMYFUNCTION("""COMPUTED_VALUE"""),"L/15/070525/1")</f>
        <v>L/15/070525/1</v>
      </c>
      <c r="E2178" s="14" t="str">
        <f>IFERROR(__xludf.DUMMYFUNCTION("""COMPUTED_VALUE"""),"Afriza (BT)")</f>
        <v>Afriza (BT)</v>
      </c>
      <c r="F2178" s="14" t="str">
        <f>IFERROR(__xludf.DUMMYFUNCTION("""COMPUTED_VALUE"""),"SELESAI (VIA PERMOHONAN)")</f>
        <v>SELESAI (VIA PERMOHONAN)</v>
      </c>
      <c r="G2178" s="17">
        <f>IFERROR(__xludf.DUMMYFUNCTION("""COMPUTED_VALUE"""),45792.659480393515)</f>
        <v>45792.65948</v>
      </c>
      <c r="H2178" s="14" t="str">
        <f>IFERROR(__xludf.DUMMYFUNCTION("""COMPUTED_VALUE"""),"Aprill (SU)")</f>
        <v>Aprill (SU)</v>
      </c>
      <c r="I2178" s="13" t="str">
        <f>IFERROR(__xludf.DUMMYFUNCTION("""COMPUTED_VALUE"""),"SELESAI (VIA PERMOHONAN)")</f>
        <v>SELESAI (VIA PERMOHONAN)</v>
      </c>
      <c r="J2178" s="17">
        <f>IFERROR(__xludf.DUMMYFUNCTION("""COMPUTED_VALUE"""),45793.67430627315)</f>
        <v>45793.67431</v>
      </c>
      <c r="K2178" s="13" t="str">
        <f>IFERROR(__xludf.DUMMYFUNCTION("""COMPUTED_VALUE"""),"Selesai")</f>
        <v>Selesai</v>
      </c>
      <c r="L2178" s="17">
        <f>IFERROR(__xludf.DUMMYFUNCTION("""COMPUTED_VALUE"""),45793.67430627315)</f>
        <v>45793.67431</v>
      </c>
      <c r="M2178" s="13"/>
      <c r="N2178" s="13" t="str">
        <f>IFERROR(__xludf.DUMMYFUNCTION("""COMPUTED_VALUE"""),"")</f>
        <v/>
      </c>
      <c r="O2178" s="13" t="str">
        <f t="shared" si="1"/>
        <v/>
      </c>
    </row>
    <row r="2179" ht="22.5" customHeight="1">
      <c r="B2179" s="13">
        <f>IFERROR(__xludf.DUMMYFUNCTION("""COMPUTED_VALUE"""),2174.0)</f>
        <v>2174</v>
      </c>
      <c r="C2179" s="13" t="str">
        <f>IFERROR(__xludf.DUMMYFUNCTION("""COMPUTED_VALUE"""),"M. 397/ Pesawahan")</f>
        <v>M. 397/ Pesawahan</v>
      </c>
      <c r="D2179" s="13" t="str">
        <f>IFERROR(__xludf.DUMMYFUNCTION("""COMPUTED_VALUE"""),"K/2/020525/2")</f>
        <v>K/2/020525/2</v>
      </c>
      <c r="E2179" s="14" t="str">
        <f>IFERROR(__xludf.DUMMYFUNCTION("""COMPUTED_VALUE"""),"Afriza (BT)")</f>
        <v>Afriza (BT)</v>
      </c>
      <c r="F2179" s="14" t="str">
        <f>IFERROR(__xludf.DUMMYFUNCTION("""COMPUTED_VALUE"""),"SELESAI (VIA PERMOHONAN)")</f>
        <v>SELESAI (VIA PERMOHONAN)</v>
      </c>
      <c r="G2179" s="17">
        <f>IFERROR(__xludf.DUMMYFUNCTION("""COMPUTED_VALUE"""),45792.659480393515)</f>
        <v>45792.65948</v>
      </c>
      <c r="H2179" s="14" t="str">
        <f>IFERROR(__xludf.DUMMYFUNCTION("""COMPUTED_VALUE"""),"Aprill (SU)")</f>
        <v>Aprill (SU)</v>
      </c>
      <c r="I2179" s="13" t="str">
        <f>IFERROR(__xludf.DUMMYFUNCTION("""COMPUTED_VALUE"""),"SELESAI (VIA PERMOHONAN)")</f>
        <v>SELESAI (VIA PERMOHONAN)</v>
      </c>
      <c r="J2179" s="17">
        <f>IFERROR(__xludf.DUMMYFUNCTION("""COMPUTED_VALUE"""),45793.67430627315)</f>
        <v>45793.67431</v>
      </c>
      <c r="K2179" s="13" t="str">
        <f>IFERROR(__xludf.DUMMYFUNCTION("""COMPUTED_VALUE"""),"Selesai")</f>
        <v>Selesai</v>
      </c>
      <c r="L2179" s="17">
        <f>IFERROR(__xludf.DUMMYFUNCTION("""COMPUTED_VALUE"""),45793.67430627315)</f>
        <v>45793.67431</v>
      </c>
      <c r="M2179" s="13"/>
      <c r="N2179" s="13" t="str">
        <f>IFERROR(__xludf.DUMMYFUNCTION("""COMPUTED_VALUE"""),"")</f>
        <v/>
      </c>
      <c r="O2179" s="13" t="str">
        <f t="shared" si="1"/>
        <v/>
      </c>
    </row>
    <row r="2180" ht="22.5" customHeight="1">
      <c r="B2180" s="13">
        <f>IFERROR(__xludf.DUMMYFUNCTION("""COMPUTED_VALUE"""),2175.0)</f>
        <v>2175</v>
      </c>
      <c r="C2180" s="13" t="str">
        <f>IFERROR(__xludf.DUMMYFUNCTION("""COMPUTED_VALUE"""),"M. 3675/ Tanjung Seneng")</f>
        <v>M. 3675/ Tanjung Seneng</v>
      </c>
      <c r="D2180" s="13" t="str">
        <f>IFERROR(__xludf.DUMMYFUNCTION("""COMPUTED_VALUE"""),"K/31/150425/1")</f>
        <v>K/31/150425/1</v>
      </c>
      <c r="E2180" s="14" t="str">
        <f>IFERROR(__xludf.DUMMYFUNCTION("""COMPUTED_VALUE"""),"Afriza (BT)")</f>
        <v>Afriza (BT)</v>
      </c>
      <c r="F2180" s="14" t="str">
        <f>IFERROR(__xludf.DUMMYFUNCTION("""COMPUTED_VALUE"""),"SELESAI (VIA PERMOHONAN)")</f>
        <v>SELESAI (VIA PERMOHONAN)</v>
      </c>
      <c r="G2180" s="17">
        <f>IFERROR(__xludf.DUMMYFUNCTION("""COMPUTED_VALUE"""),45792.659480393515)</f>
        <v>45792.65948</v>
      </c>
      <c r="H2180" s="14" t="str">
        <f>IFERROR(__xludf.DUMMYFUNCTION("""COMPUTED_VALUE"""),"Aprill (SU)")</f>
        <v>Aprill (SU)</v>
      </c>
      <c r="I2180" s="13" t="str">
        <f>IFERROR(__xludf.DUMMYFUNCTION("""COMPUTED_VALUE"""),"SELESAI (VIA PERMOHONAN)")</f>
        <v>SELESAI (VIA PERMOHONAN)</v>
      </c>
      <c r="J2180" s="17">
        <f>IFERROR(__xludf.DUMMYFUNCTION("""COMPUTED_VALUE"""),45793.67430627315)</f>
        <v>45793.67431</v>
      </c>
      <c r="K2180" s="13" t="str">
        <f>IFERROR(__xludf.DUMMYFUNCTION("""COMPUTED_VALUE"""),"Selesai")</f>
        <v>Selesai</v>
      </c>
      <c r="L2180" s="17">
        <f>IFERROR(__xludf.DUMMYFUNCTION("""COMPUTED_VALUE"""),45793.67430627315)</f>
        <v>45793.67431</v>
      </c>
      <c r="M2180" s="13"/>
      <c r="N2180" s="13" t="str">
        <f>IFERROR(__xludf.DUMMYFUNCTION("""COMPUTED_VALUE"""),"")</f>
        <v/>
      </c>
      <c r="O2180" s="13" t="str">
        <f t="shared" si="1"/>
        <v/>
      </c>
    </row>
    <row r="2181" ht="22.5" customHeight="1">
      <c r="B2181" s="13">
        <f>IFERROR(__xludf.DUMMYFUNCTION("""COMPUTED_VALUE"""),2176.0)</f>
        <v>2176</v>
      </c>
      <c r="C2181" s="13" t="str">
        <f>IFERROR(__xludf.DUMMYFUNCTION("""COMPUTED_VALUE"""),"M. 10063/ Kedamaian")</f>
        <v>M. 10063/ Kedamaian</v>
      </c>
      <c r="D2181" s="13" t="str">
        <f>IFERROR(__xludf.DUMMYFUNCTION("""COMPUTED_VALUE"""),"K/34/290425/2")</f>
        <v>K/34/290425/2</v>
      </c>
      <c r="E2181" s="14" t="str">
        <f>IFERROR(__xludf.DUMMYFUNCTION("""COMPUTED_VALUE"""),"Afriza (BT)")</f>
        <v>Afriza (BT)</v>
      </c>
      <c r="F2181" s="14" t="str">
        <f>IFERROR(__xludf.DUMMYFUNCTION("""COMPUTED_VALUE"""),"SELESAI (VIA PERMOHONAN)")</f>
        <v>SELESAI (VIA PERMOHONAN)</v>
      </c>
      <c r="G2181" s="17">
        <f>IFERROR(__xludf.DUMMYFUNCTION("""COMPUTED_VALUE"""),45792.659480393515)</f>
        <v>45792.65948</v>
      </c>
      <c r="H2181" s="14" t="str">
        <f>IFERROR(__xludf.DUMMYFUNCTION("""COMPUTED_VALUE"""),"Aprill (SU)")</f>
        <v>Aprill (SU)</v>
      </c>
      <c r="I2181" s="13" t="str">
        <f>IFERROR(__xludf.DUMMYFUNCTION("""COMPUTED_VALUE"""),"SELESAI (VIA PERMOHONAN)")</f>
        <v>SELESAI (VIA PERMOHONAN)</v>
      </c>
      <c r="J2181" s="17">
        <f>IFERROR(__xludf.DUMMYFUNCTION("""COMPUTED_VALUE"""),45793.67430627315)</f>
        <v>45793.67431</v>
      </c>
      <c r="K2181" s="13" t="str">
        <f>IFERROR(__xludf.DUMMYFUNCTION("""COMPUTED_VALUE"""),"Selesai")</f>
        <v>Selesai</v>
      </c>
      <c r="L2181" s="17">
        <f>IFERROR(__xludf.DUMMYFUNCTION("""COMPUTED_VALUE"""),45793.67430627315)</f>
        <v>45793.67431</v>
      </c>
      <c r="M2181" s="13"/>
      <c r="N2181" s="13" t="str">
        <f>IFERROR(__xludf.DUMMYFUNCTION("""COMPUTED_VALUE"""),"")</f>
        <v/>
      </c>
      <c r="O2181" s="13" t="str">
        <f t="shared" si="1"/>
        <v/>
      </c>
    </row>
    <row r="2182" ht="22.5" customHeight="1">
      <c r="B2182" s="13">
        <f>IFERROR(__xludf.DUMMYFUNCTION("""COMPUTED_VALUE"""),2177.0)</f>
        <v>2177</v>
      </c>
      <c r="C2182" s="13" t="str">
        <f>IFERROR(__xludf.DUMMYFUNCTION("""COMPUTED_VALUE"""),"M.748/CAMPANG RAYA")</f>
        <v>M.748/CAMPANG RAYA</v>
      </c>
      <c r="D2182" s="13" t="str">
        <f>IFERROR(__xludf.DUMMYFUNCTION("""COMPUTED_VALUE"""),"L/29/060525/1")</f>
        <v>L/29/060525/1</v>
      </c>
      <c r="E2182" s="14" t="str">
        <f>IFERROR(__xludf.DUMMYFUNCTION("""COMPUTED_VALUE"""),"Afriza (BT)")</f>
        <v>Afriza (BT)</v>
      </c>
      <c r="F2182" s="14" t="str">
        <f>IFERROR(__xludf.DUMMYFUNCTION("""COMPUTED_VALUE"""),"SELESAI (VIA PERMOHONAN)")</f>
        <v>SELESAI (VIA PERMOHONAN)</v>
      </c>
      <c r="G2182" s="17">
        <f>IFERROR(__xludf.DUMMYFUNCTION("""COMPUTED_VALUE"""),45792.659480393515)</f>
        <v>45792.65948</v>
      </c>
      <c r="H2182" s="14" t="str">
        <f>IFERROR(__xludf.DUMMYFUNCTION("""COMPUTED_VALUE"""),"Aprill (SU)")</f>
        <v>Aprill (SU)</v>
      </c>
      <c r="I2182" s="13" t="str">
        <f>IFERROR(__xludf.DUMMYFUNCTION("""COMPUTED_VALUE"""),"SELESAI (VIA PERMOHONAN)")</f>
        <v>SELESAI (VIA PERMOHONAN)</v>
      </c>
      <c r="J2182" s="17">
        <f>IFERROR(__xludf.DUMMYFUNCTION("""COMPUTED_VALUE"""),45793.67430627315)</f>
        <v>45793.67431</v>
      </c>
      <c r="K2182" s="13" t="str">
        <f>IFERROR(__xludf.DUMMYFUNCTION("""COMPUTED_VALUE"""),"Selesai")</f>
        <v>Selesai</v>
      </c>
      <c r="L2182" s="17">
        <f>IFERROR(__xludf.DUMMYFUNCTION("""COMPUTED_VALUE"""),45793.67430627315)</f>
        <v>45793.67431</v>
      </c>
      <c r="M2182" s="13"/>
      <c r="N2182" s="13" t="str">
        <f>IFERROR(__xludf.DUMMYFUNCTION("""COMPUTED_VALUE"""),"")</f>
        <v/>
      </c>
      <c r="O2182" s="13" t="str">
        <f t="shared" si="1"/>
        <v/>
      </c>
    </row>
    <row r="2183" ht="22.5" customHeight="1">
      <c r="B2183" s="13">
        <f>IFERROR(__xludf.DUMMYFUNCTION("""COMPUTED_VALUE"""),2178.0)</f>
        <v>2178</v>
      </c>
      <c r="C2183" s="13" t="str">
        <f>IFERROR(__xludf.DUMMYFUNCTION("""COMPUTED_VALUE"""),"M.9047/GEDONG MENENG")</f>
        <v>M.9047/GEDONG MENENG</v>
      </c>
      <c r="D2183" s="13" t="str">
        <f>IFERROR(__xludf.DUMMYFUNCTION("""COMPUTED_VALUE"""),"L/14/060525/1")</f>
        <v>L/14/060525/1</v>
      </c>
      <c r="E2183" s="14" t="str">
        <f>IFERROR(__xludf.DUMMYFUNCTION("""COMPUTED_VALUE"""),"Afriza (BT)")</f>
        <v>Afriza (BT)</v>
      </c>
      <c r="F2183" s="14" t="str">
        <f>IFERROR(__xludf.DUMMYFUNCTION("""COMPUTED_VALUE"""),"SELESAI (VIA PERMOHONAN)")</f>
        <v>SELESAI (VIA PERMOHONAN)</v>
      </c>
      <c r="G2183" s="17">
        <f>IFERROR(__xludf.DUMMYFUNCTION("""COMPUTED_VALUE"""),45792.65951221065)</f>
        <v>45792.65951</v>
      </c>
      <c r="H2183" s="14" t="str">
        <f>IFERROR(__xludf.DUMMYFUNCTION("""COMPUTED_VALUE"""),"Aprill (SU)")</f>
        <v>Aprill (SU)</v>
      </c>
      <c r="I2183" s="13" t="str">
        <f>IFERROR(__xludf.DUMMYFUNCTION("""COMPUTED_VALUE"""),"SELESAI (VIA PERMOHONAN)")</f>
        <v>SELESAI (VIA PERMOHONAN)</v>
      </c>
      <c r="J2183" s="17">
        <f>IFERROR(__xludf.DUMMYFUNCTION("""COMPUTED_VALUE"""),45793.67430627315)</f>
        <v>45793.67431</v>
      </c>
      <c r="K2183" s="13" t="str">
        <f>IFERROR(__xludf.DUMMYFUNCTION("""COMPUTED_VALUE"""),"Selesai")</f>
        <v>Selesai</v>
      </c>
      <c r="L2183" s="17">
        <f>IFERROR(__xludf.DUMMYFUNCTION("""COMPUTED_VALUE"""),45793.67430627315)</f>
        <v>45793.67431</v>
      </c>
      <c r="M2183" s="13"/>
      <c r="N2183" s="13" t="str">
        <f>IFERROR(__xludf.DUMMYFUNCTION("""COMPUTED_VALUE"""),"")</f>
        <v/>
      </c>
      <c r="O2183" s="13" t="str">
        <f t="shared" si="1"/>
        <v/>
      </c>
    </row>
    <row r="2184" ht="22.5" customHeight="1">
      <c r="B2184" s="13">
        <f>IFERROR(__xludf.DUMMYFUNCTION("""COMPUTED_VALUE"""),2179.0)</f>
        <v>2179</v>
      </c>
      <c r="C2184" s="13" t="str">
        <f>IFERROR(__xludf.DUMMYFUNCTION("""COMPUTED_VALUE"""),"M. 228/KEMILING PERMAI")</f>
        <v>M. 228/KEMILING PERMAI</v>
      </c>
      <c r="D2184" s="13" t="str">
        <f>IFERROR(__xludf.DUMMYFUNCTION("""COMPUTED_VALUE"""),"K/37/240425/3")</f>
        <v>K/37/240425/3</v>
      </c>
      <c r="E2184" s="14" t="str">
        <f>IFERROR(__xludf.DUMMYFUNCTION("""COMPUTED_VALUE"""),"Afriza (BT)")</f>
        <v>Afriza (BT)</v>
      </c>
      <c r="F2184" s="14" t="str">
        <f>IFERROR(__xludf.DUMMYFUNCTION("""COMPUTED_VALUE"""),"SELESAI (VIA PERMOHONAN)")</f>
        <v>SELESAI (VIA PERMOHONAN)</v>
      </c>
      <c r="G2184" s="17">
        <f>IFERROR(__xludf.DUMMYFUNCTION("""COMPUTED_VALUE"""),45792.659719675925)</f>
        <v>45792.65972</v>
      </c>
      <c r="H2184" s="14" t="str">
        <f>IFERROR(__xludf.DUMMYFUNCTION("""COMPUTED_VALUE"""),"Aprill (SU)")</f>
        <v>Aprill (SU)</v>
      </c>
      <c r="I2184" s="13" t="str">
        <f>IFERROR(__xludf.DUMMYFUNCTION("""COMPUTED_VALUE"""),"SELESAI (VIA PERMOHONAN)")</f>
        <v>SELESAI (VIA PERMOHONAN)</v>
      </c>
      <c r="J2184" s="17">
        <f>IFERROR(__xludf.DUMMYFUNCTION("""COMPUTED_VALUE"""),45793.67430627315)</f>
        <v>45793.67431</v>
      </c>
      <c r="K2184" s="13" t="str">
        <f>IFERROR(__xludf.DUMMYFUNCTION("""COMPUTED_VALUE"""),"Selesai")</f>
        <v>Selesai</v>
      </c>
      <c r="L2184" s="17">
        <f>IFERROR(__xludf.DUMMYFUNCTION("""COMPUTED_VALUE"""),45793.67430627315)</f>
        <v>45793.67431</v>
      </c>
      <c r="M2184" s="13"/>
      <c r="N2184" s="13" t="str">
        <f>IFERROR(__xludf.DUMMYFUNCTION("""COMPUTED_VALUE"""),"")</f>
        <v/>
      </c>
      <c r="O2184" s="13" t="str">
        <f t="shared" si="1"/>
        <v/>
      </c>
    </row>
    <row r="2185" ht="22.5" customHeight="1">
      <c r="B2185" s="13">
        <f>IFERROR(__xludf.DUMMYFUNCTION("""COMPUTED_VALUE"""),2180.0)</f>
        <v>2180</v>
      </c>
      <c r="C2185" s="13" t="str">
        <f>IFERROR(__xludf.DUMMYFUNCTION("""COMPUTED_VALUE"""),"M. 3407/TANJUNG SENANG")</f>
        <v>M. 3407/TANJUNG SENANG</v>
      </c>
      <c r="D2185" s="13" t="str">
        <f>IFERROR(__xludf.DUMMYFUNCTION("""COMPUTED_VALUE"""),"K/34/080525/2")</f>
        <v>K/34/080525/2</v>
      </c>
      <c r="E2185" s="14" t="str">
        <f>IFERROR(__xludf.DUMMYFUNCTION("""COMPUTED_VALUE"""),"Afriza (BT)")</f>
        <v>Afriza (BT)</v>
      </c>
      <c r="F2185" s="14" t="str">
        <f>IFERROR(__xludf.DUMMYFUNCTION("""COMPUTED_VALUE"""),"SELESAI (VIA PERMOHONAN)")</f>
        <v>SELESAI (VIA PERMOHONAN)</v>
      </c>
      <c r="G2185" s="17">
        <f>IFERROR(__xludf.DUMMYFUNCTION("""COMPUTED_VALUE"""),45792.659886712965)</f>
        <v>45792.65989</v>
      </c>
      <c r="H2185" s="14" t="str">
        <f>IFERROR(__xludf.DUMMYFUNCTION("""COMPUTED_VALUE"""),"Aprill (SU)")</f>
        <v>Aprill (SU)</v>
      </c>
      <c r="I2185" s="13" t="str">
        <f>IFERROR(__xludf.DUMMYFUNCTION("""COMPUTED_VALUE"""),"SELESAI (VIA PERMOHONAN)")</f>
        <v>SELESAI (VIA PERMOHONAN)</v>
      </c>
      <c r="J2185" s="17">
        <f>IFERROR(__xludf.DUMMYFUNCTION("""COMPUTED_VALUE"""),45793.67430627315)</f>
        <v>45793.67431</v>
      </c>
      <c r="K2185" s="13" t="str">
        <f>IFERROR(__xludf.DUMMYFUNCTION("""COMPUTED_VALUE"""),"Selesai")</f>
        <v>Selesai</v>
      </c>
      <c r="L2185" s="17">
        <f>IFERROR(__xludf.DUMMYFUNCTION("""COMPUTED_VALUE"""),45793.67430627315)</f>
        <v>45793.67431</v>
      </c>
      <c r="M2185" s="13"/>
      <c r="N2185" s="13" t="str">
        <f>IFERROR(__xludf.DUMMYFUNCTION("""COMPUTED_VALUE"""),"")</f>
        <v/>
      </c>
      <c r="O2185" s="13" t="str">
        <f t="shared" si="1"/>
        <v/>
      </c>
    </row>
    <row r="2186" ht="22.5" customHeight="1">
      <c r="B2186" s="13">
        <f>IFERROR(__xludf.DUMMYFUNCTION("""COMPUTED_VALUE"""),2181.0)</f>
        <v>2181</v>
      </c>
      <c r="C2186" s="13" t="str">
        <f>IFERROR(__xludf.DUMMYFUNCTION("""COMPUTED_VALUE"""),"M. 9504/SIDODADI")</f>
        <v>M. 9504/SIDODADI</v>
      </c>
      <c r="D2186" s="13" t="str">
        <f>IFERROR(__xludf.DUMMYFUNCTION("""COMPUTED_VALUE"""),"K/26/210425/1")</f>
        <v>K/26/210425/1</v>
      </c>
      <c r="E2186" s="14" t="str">
        <f>IFERROR(__xludf.DUMMYFUNCTION("""COMPUTED_VALUE"""),"Afriza (BT)")</f>
        <v>Afriza (BT)</v>
      </c>
      <c r="F2186" s="14" t="str">
        <f>IFERROR(__xludf.DUMMYFUNCTION("""COMPUTED_VALUE"""),"SELESAI (VIA PERMOHONAN)")</f>
        <v>SELESAI (VIA PERMOHONAN)</v>
      </c>
      <c r="G2186" s="17">
        <f>IFERROR(__xludf.DUMMYFUNCTION("""COMPUTED_VALUE"""),45792.65997978009)</f>
        <v>45792.65998</v>
      </c>
      <c r="H2186" s="14" t="str">
        <f>IFERROR(__xludf.DUMMYFUNCTION("""COMPUTED_VALUE"""),"Aprill (SU)")</f>
        <v>Aprill (SU)</v>
      </c>
      <c r="I2186" s="13" t="str">
        <f>IFERROR(__xludf.DUMMYFUNCTION("""COMPUTED_VALUE"""),"SELESAI (VIA PERMOHONAN)")</f>
        <v>SELESAI (VIA PERMOHONAN)</v>
      </c>
      <c r="J2186" s="17">
        <f>IFERROR(__xludf.DUMMYFUNCTION("""COMPUTED_VALUE"""),45793.67430627315)</f>
        <v>45793.67431</v>
      </c>
      <c r="K2186" s="13" t="str">
        <f>IFERROR(__xludf.DUMMYFUNCTION("""COMPUTED_VALUE"""),"Selesai")</f>
        <v>Selesai</v>
      </c>
      <c r="L2186" s="17">
        <f>IFERROR(__xludf.DUMMYFUNCTION("""COMPUTED_VALUE"""),45793.67430627315)</f>
        <v>45793.67431</v>
      </c>
      <c r="M2186" s="13"/>
      <c r="N2186" s="13" t="str">
        <f>IFERROR(__xludf.DUMMYFUNCTION("""COMPUTED_VALUE"""),"")</f>
        <v/>
      </c>
      <c r="O2186" s="13" t="str">
        <f t="shared" si="1"/>
        <v/>
      </c>
    </row>
    <row r="2187" ht="22.5" customHeight="1">
      <c r="B2187" s="13">
        <f>IFERROR(__xludf.DUMMYFUNCTION("""COMPUTED_VALUE"""),2182.0)</f>
        <v>2182</v>
      </c>
      <c r="C2187" s="13" t="str">
        <f>IFERROR(__xludf.DUMMYFUNCTION("""COMPUTED_VALUE"""),"M.356/WAY LAGA")</f>
        <v>M.356/WAY LAGA</v>
      </c>
      <c r="D2187" s="13" t="str">
        <f>IFERROR(__xludf.DUMMYFUNCTION("""COMPUTED_VALUE"""),"K/35/240425/1")</f>
        <v>K/35/240425/1</v>
      </c>
      <c r="E2187" s="14" t="str">
        <f>IFERROR(__xludf.DUMMYFUNCTION("""COMPUTED_VALUE"""),"Afriza (BT)")</f>
        <v>Afriza (BT)</v>
      </c>
      <c r="F2187" s="14" t="str">
        <f>IFERROR(__xludf.DUMMYFUNCTION("""COMPUTED_VALUE"""),"SELESAI (VIA PERMOHONAN)")</f>
        <v>SELESAI (VIA PERMOHONAN)</v>
      </c>
      <c r="G2187" s="17">
        <f>IFERROR(__xludf.DUMMYFUNCTION("""COMPUTED_VALUE"""),45792.66009078704)</f>
        <v>45792.66009</v>
      </c>
      <c r="H2187" s="14" t="str">
        <f>IFERROR(__xludf.DUMMYFUNCTION("""COMPUTED_VALUE"""),"Aprill (SU)")</f>
        <v>Aprill (SU)</v>
      </c>
      <c r="I2187" s="13" t="str">
        <f>IFERROR(__xludf.DUMMYFUNCTION("""COMPUTED_VALUE"""),"SELESAI (VIA PERMOHONAN)")</f>
        <v>SELESAI (VIA PERMOHONAN)</v>
      </c>
      <c r="J2187" s="17">
        <f>IFERROR(__xludf.DUMMYFUNCTION("""COMPUTED_VALUE"""),45793.67430627315)</f>
        <v>45793.67431</v>
      </c>
      <c r="K2187" s="13" t="str">
        <f>IFERROR(__xludf.DUMMYFUNCTION("""COMPUTED_VALUE"""),"Selesai")</f>
        <v>Selesai</v>
      </c>
      <c r="L2187" s="17">
        <f>IFERROR(__xludf.DUMMYFUNCTION("""COMPUTED_VALUE"""),45793.67430627315)</f>
        <v>45793.67431</v>
      </c>
      <c r="M2187" s="13"/>
      <c r="N2187" s="13" t="str">
        <f>IFERROR(__xludf.DUMMYFUNCTION("""COMPUTED_VALUE"""),"")</f>
        <v/>
      </c>
      <c r="O2187" s="13" t="str">
        <f t="shared" si="1"/>
        <v/>
      </c>
    </row>
    <row r="2188" ht="22.5" customHeight="1">
      <c r="B2188" s="13">
        <f>IFERROR(__xludf.DUMMYFUNCTION("""COMPUTED_VALUE"""),2183.0)</f>
        <v>2183</v>
      </c>
      <c r="C2188" s="13" t="str">
        <f>IFERROR(__xludf.DUMMYFUNCTION("""COMPUTED_VALUE"""),"M. 2909/ Kemiling Permai")</f>
        <v>M. 2909/ Kemiling Permai</v>
      </c>
      <c r="D2188" s="13" t="str">
        <f>IFERROR(__xludf.DUMMYFUNCTION("""COMPUTED_VALUE"""),"K/10/060525/1")</f>
        <v>K/10/060525/1</v>
      </c>
      <c r="E2188" s="14" t="str">
        <f>IFERROR(__xludf.DUMMYFUNCTION("""COMPUTED_VALUE"""),"Afriza (BT)")</f>
        <v>Afriza (BT)</v>
      </c>
      <c r="F2188" s="14" t="str">
        <f>IFERROR(__xludf.DUMMYFUNCTION("""COMPUTED_VALUE"""),"SELESAI (VIA PERMOHONAN)")</f>
        <v>SELESAI (VIA PERMOHONAN)</v>
      </c>
      <c r="G2188" s="17">
        <f>IFERROR(__xludf.DUMMYFUNCTION("""COMPUTED_VALUE"""),45792.660172222226)</f>
        <v>45792.66017</v>
      </c>
      <c r="H2188" s="14" t="str">
        <f>IFERROR(__xludf.DUMMYFUNCTION("""COMPUTED_VALUE"""),"Aprill (SU)")</f>
        <v>Aprill (SU)</v>
      </c>
      <c r="I2188" s="13" t="str">
        <f>IFERROR(__xludf.DUMMYFUNCTION("""COMPUTED_VALUE"""),"SELESAI (VIA PERMOHONAN)")</f>
        <v>SELESAI (VIA PERMOHONAN)</v>
      </c>
      <c r="J2188" s="17">
        <f>IFERROR(__xludf.DUMMYFUNCTION("""COMPUTED_VALUE"""),45793.67430627315)</f>
        <v>45793.67431</v>
      </c>
      <c r="K2188" s="13" t="str">
        <f>IFERROR(__xludf.DUMMYFUNCTION("""COMPUTED_VALUE"""),"Selesai")</f>
        <v>Selesai</v>
      </c>
      <c r="L2188" s="17">
        <f>IFERROR(__xludf.DUMMYFUNCTION("""COMPUTED_VALUE"""),45793.67430627315)</f>
        <v>45793.67431</v>
      </c>
      <c r="M2188" s="13"/>
      <c r="N2188" s="13" t="str">
        <f>IFERROR(__xludf.DUMMYFUNCTION("""COMPUTED_VALUE"""),"")</f>
        <v/>
      </c>
      <c r="O2188" s="13" t="str">
        <f t="shared" si="1"/>
        <v/>
      </c>
    </row>
    <row r="2189" ht="22.5" customHeight="1">
      <c r="B2189" s="13">
        <f>IFERROR(__xludf.DUMMYFUNCTION("""COMPUTED_VALUE"""),2184.0)</f>
        <v>2184</v>
      </c>
      <c r="C2189" s="13" t="str">
        <f>IFERROR(__xludf.DUMMYFUNCTION("""COMPUTED_VALUE"""),"M. 1020/ Kupang Kota ")</f>
        <v>M. 1020/ Kupang Kota </v>
      </c>
      <c r="D2189" s="13" t="str">
        <f>IFERROR(__xludf.DUMMYFUNCTION("""COMPUTED_VALUE"""),"K/10/240425/1")</f>
        <v>K/10/240425/1</v>
      </c>
      <c r="E2189" s="14" t="str">
        <f>IFERROR(__xludf.DUMMYFUNCTION("""COMPUTED_VALUE"""),"Afriza (BT)")</f>
        <v>Afriza (BT)</v>
      </c>
      <c r="F2189" s="14" t="str">
        <f>IFERROR(__xludf.DUMMYFUNCTION("""COMPUTED_VALUE"""),"SELESAI (VIA PERMOHONAN)")</f>
        <v>SELESAI (VIA PERMOHONAN)</v>
      </c>
      <c r="G2189" s="17">
        <f>IFERROR(__xludf.DUMMYFUNCTION("""COMPUTED_VALUE"""),45792.660289907406)</f>
        <v>45792.66029</v>
      </c>
      <c r="H2189" s="14" t="str">
        <f>IFERROR(__xludf.DUMMYFUNCTION("""COMPUTED_VALUE"""),"Aprill (SU)")</f>
        <v>Aprill (SU)</v>
      </c>
      <c r="I2189" s="13" t="str">
        <f>IFERROR(__xludf.DUMMYFUNCTION("""COMPUTED_VALUE"""),"SELESAI (VIA PERMOHONAN)")</f>
        <v>SELESAI (VIA PERMOHONAN)</v>
      </c>
      <c r="J2189" s="17">
        <f>IFERROR(__xludf.DUMMYFUNCTION("""COMPUTED_VALUE"""),45793.67430627315)</f>
        <v>45793.67431</v>
      </c>
      <c r="K2189" s="13" t="str">
        <f>IFERROR(__xludf.DUMMYFUNCTION("""COMPUTED_VALUE"""),"Selesai")</f>
        <v>Selesai</v>
      </c>
      <c r="L2189" s="17">
        <f>IFERROR(__xludf.DUMMYFUNCTION("""COMPUTED_VALUE"""),45793.67430627315)</f>
        <v>45793.67431</v>
      </c>
      <c r="M2189" s="13"/>
      <c r="N2189" s="13" t="str">
        <f>IFERROR(__xludf.DUMMYFUNCTION("""COMPUTED_VALUE"""),"")</f>
        <v/>
      </c>
      <c r="O2189" s="13" t="str">
        <f t="shared" si="1"/>
        <v/>
      </c>
    </row>
    <row r="2190" ht="22.5" customHeight="1">
      <c r="B2190" s="13">
        <f>IFERROR(__xludf.DUMMYFUNCTION("""COMPUTED_VALUE"""),2185.0)</f>
        <v>2185</v>
      </c>
      <c r="C2190" s="13" t="str">
        <f>IFERROR(__xludf.DUMMYFUNCTION("""COMPUTED_VALUE"""),"M. 10063/ Labuhan Ratu")</f>
        <v>M. 10063/ Labuhan Ratu</v>
      </c>
      <c r="D2190" s="13" t="str">
        <f>IFERROR(__xludf.DUMMYFUNCTION("""COMPUTED_VALUE"""),"K/19/300425/2")</f>
        <v>K/19/300425/2</v>
      </c>
      <c r="E2190" s="14" t="str">
        <f>IFERROR(__xludf.DUMMYFUNCTION("""COMPUTED_VALUE"""),"Afriza (BT)")</f>
        <v>Afriza (BT)</v>
      </c>
      <c r="F2190" s="14" t="str">
        <f>IFERROR(__xludf.DUMMYFUNCTION("""COMPUTED_VALUE"""),"SELESAI (VIA PERMOHONAN)")</f>
        <v>SELESAI (VIA PERMOHONAN)</v>
      </c>
      <c r="G2190" s="17">
        <f>IFERROR(__xludf.DUMMYFUNCTION("""COMPUTED_VALUE"""),45792.66040084491)</f>
        <v>45792.6604</v>
      </c>
      <c r="H2190" s="14" t="str">
        <f>IFERROR(__xludf.DUMMYFUNCTION("""COMPUTED_VALUE"""),"Aprill (SU)")</f>
        <v>Aprill (SU)</v>
      </c>
      <c r="I2190" s="13" t="str">
        <f>IFERROR(__xludf.DUMMYFUNCTION("""COMPUTED_VALUE"""),"SELESAI (VIA PERMOHONAN)")</f>
        <v>SELESAI (VIA PERMOHONAN)</v>
      </c>
      <c r="J2190" s="17">
        <f>IFERROR(__xludf.DUMMYFUNCTION("""COMPUTED_VALUE"""),45793.67430627315)</f>
        <v>45793.67431</v>
      </c>
      <c r="K2190" s="13" t="str">
        <f>IFERROR(__xludf.DUMMYFUNCTION("""COMPUTED_VALUE"""),"Selesai")</f>
        <v>Selesai</v>
      </c>
      <c r="L2190" s="17">
        <f>IFERROR(__xludf.DUMMYFUNCTION("""COMPUTED_VALUE"""),45793.67430627315)</f>
        <v>45793.67431</v>
      </c>
      <c r="M2190" s="13"/>
      <c r="N2190" s="13" t="str">
        <f>IFERROR(__xludf.DUMMYFUNCTION("""COMPUTED_VALUE"""),"")</f>
        <v/>
      </c>
      <c r="O2190" s="13" t="str">
        <f t="shared" si="1"/>
        <v/>
      </c>
    </row>
    <row r="2191" ht="22.5" customHeight="1">
      <c r="B2191" s="13">
        <f>IFERROR(__xludf.DUMMYFUNCTION("""COMPUTED_VALUE"""),2186.0)</f>
        <v>2186</v>
      </c>
      <c r="C2191" s="13" t="str">
        <f>IFERROR(__xludf.DUMMYFUNCTION("""COMPUTED_VALUE"""),"M. 14124/ Rajabasa")</f>
        <v>M. 14124/ Rajabasa</v>
      </c>
      <c r="D2191" s="13" t="str">
        <f>IFERROR(__xludf.DUMMYFUNCTION("""COMPUTED_VALUE"""),"K/18/060525/1")</f>
        <v>K/18/060525/1</v>
      </c>
      <c r="E2191" s="14" t="str">
        <f>IFERROR(__xludf.DUMMYFUNCTION("""COMPUTED_VALUE"""),"Afriza (BT)")</f>
        <v>Afriza (BT)</v>
      </c>
      <c r="F2191" s="14" t="str">
        <f>IFERROR(__xludf.DUMMYFUNCTION("""COMPUTED_VALUE"""),"SELESAI (VIA PERMOHONAN)")</f>
        <v>SELESAI (VIA PERMOHONAN)</v>
      </c>
      <c r="G2191" s="17">
        <f>IFERROR(__xludf.DUMMYFUNCTION("""COMPUTED_VALUE"""),45792.66048496528)</f>
        <v>45792.66048</v>
      </c>
      <c r="H2191" s="14" t="str">
        <f>IFERROR(__xludf.DUMMYFUNCTION("""COMPUTED_VALUE"""),"Aprill (SU)")</f>
        <v>Aprill (SU)</v>
      </c>
      <c r="I2191" s="13" t="str">
        <f>IFERROR(__xludf.DUMMYFUNCTION("""COMPUTED_VALUE"""),"SELESAI (VIA PERMOHONAN)")</f>
        <v>SELESAI (VIA PERMOHONAN)</v>
      </c>
      <c r="J2191" s="17">
        <f>IFERROR(__xludf.DUMMYFUNCTION("""COMPUTED_VALUE"""),45793.67430627315)</f>
        <v>45793.67431</v>
      </c>
      <c r="K2191" s="13" t="str">
        <f>IFERROR(__xludf.DUMMYFUNCTION("""COMPUTED_VALUE"""),"Selesai")</f>
        <v>Selesai</v>
      </c>
      <c r="L2191" s="17">
        <f>IFERROR(__xludf.DUMMYFUNCTION("""COMPUTED_VALUE"""),45793.67430627315)</f>
        <v>45793.67431</v>
      </c>
      <c r="M2191" s="13"/>
      <c r="N2191" s="13" t="str">
        <f>IFERROR(__xludf.DUMMYFUNCTION("""COMPUTED_VALUE"""),"")</f>
        <v/>
      </c>
      <c r="O2191" s="13" t="str">
        <f t="shared" si="1"/>
        <v/>
      </c>
    </row>
    <row r="2192" ht="22.5" customHeight="1">
      <c r="B2192" s="13">
        <f>IFERROR(__xludf.DUMMYFUNCTION("""COMPUTED_VALUE"""),2187.0)</f>
        <v>2187</v>
      </c>
      <c r="C2192" s="13" t="str">
        <f>IFERROR(__xludf.DUMMYFUNCTION("""COMPUTED_VALUE"""),"HM 19731/SUKARAME")</f>
        <v>HM 19731/SUKARAME</v>
      </c>
      <c r="D2192" s="13" t="str">
        <f>IFERROR(__xludf.DUMMYFUNCTION("""COMPUTED_VALUE"""),"L/48/240325/2")</f>
        <v>L/48/240325/2</v>
      </c>
      <c r="E2192" s="14" t="str">
        <f>IFERROR(__xludf.DUMMYFUNCTION("""COMPUTED_VALUE"""),"Afriza (BT)")</f>
        <v>Afriza (BT)</v>
      </c>
      <c r="F2192" s="14" t="str">
        <f>IFERROR(__xludf.DUMMYFUNCTION("""COMPUTED_VALUE"""),"SELESAI (VIA PERMOHONAN)")</f>
        <v>SELESAI (VIA PERMOHONAN)</v>
      </c>
      <c r="G2192" s="17">
        <f>IFERROR(__xludf.DUMMYFUNCTION("""COMPUTED_VALUE"""),45792.66057059028)</f>
        <v>45792.66057</v>
      </c>
      <c r="H2192" s="14" t="str">
        <f>IFERROR(__xludf.DUMMYFUNCTION("""COMPUTED_VALUE"""),"Aprill (SU)")</f>
        <v>Aprill (SU)</v>
      </c>
      <c r="I2192" s="13" t="str">
        <f>IFERROR(__xludf.DUMMYFUNCTION("""COMPUTED_VALUE"""),"SELESAI (VIA PERMOHONAN)")</f>
        <v>SELESAI (VIA PERMOHONAN)</v>
      </c>
      <c r="J2192" s="17">
        <f>IFERROR(__xludf.DUMMYFUNCTION("""COMPUTED_VALUE"""),45793.67430627315)</f>
        <v>45793.67431</v>
      </c>
      <c r="K2192" s="13" t="str">
        <f>IFERROR(__xludf.DUMMYFUNCTION("""COMPUTED_VALUE"""),"Selesai")</f>
        <v>Selesai</v>
      </c>
      <c r="L2192" s="17">
        <f>IFERROR(__xludf.DUMMYFUNCTION("""COMPUTED_VALUE"""),45793.67430627315)</f>
        <v>45793.67431</v>
      </c>
      <c r="M2192" s="13"/>
      <c r="N2192" s="13" t="str">
        <f>IFERROR(__xludf.DUMMYFUNCTION("""COMPUTED_VALUE"""),"")</f>
        <v/>
      </c>
      <c r="O2192" s="13" t="str">
        <f t="shared" si="1"/>
        <v/>
      </c>
    </row>
    <row r="2193" ht="22.5" customHeight="1">
      <c r="B2193" s="13">
        <f>IFERROR(__xludf.DUMMYFUNCTION("""COMPUTED_VALUE"""),2188.0)</f>
        <v>2188</v>
      </c>
      <c r="C2193" s="13" t="str">
        <f>IFERROR(__xludf.DUMMYFUNCTION("""COMPUTED_VALUE"""),"HM 2991/KOTA BARU")</f>
        <v>HM 2991/KOTA BARU</v>
      </c>
      <c r="D2193" s="13" t="str">
        <f>IFERROR(__xludf.DUMMYFUNCTION("""COMPUTED_VALUE"""),"L/13/070525/1")</f>
        <v>L/13/070525/1</v>
      </c>
      <c r="E2193" s="14" t="str">
        <f>IFERROR(__xludf.DUMMYFUNCTION("""COMPUTED_VALUE"""),"Afriza (BT)")</f>
        <v>Afriza (BT)</v>
      </c>
      <c r="F2193" s="14" t="str">
        <f>IFERROR(__xludf.DUMMYFUNCTION("""COMPUTED_VALUE"""),"SELESAI (VIA PERMOHONAN)")</f>
        <v>SELESAI (VIA PERMOHONAN)</v>
      </c>
      <c r="G2193" s="17">
        <f>IFERROR(__xludf.DUMMYFUNCTION("""COMPUTED_VALUE"""),45792.66066515046)</f>
        <v>45792.66067</v>
      </c>
      <c r="H2193" s="14" t="str">
        <f>IFERROR(__xludf.DUMMYFUNCTION("""COMPUTED_VALUE"""),"Aprill (SU)")</f>
        <v>Aprill (SU)</v>
      </c>
      <c r="I2193" s="13" t="str">
        <f>IFERROR(__xludf.DUMMYFUNCTION("""COMPUTED_VALUE"""),"SELESAI (VIA PERMOHONAN)")</f>
        <v>SELESAI (VIA PERMOHONAN)</v>
      </c>
      <c r="J2193" s="17">
        <f>IFERROR(__xludf.DUMMYFUNCTION("""COMPUTED_VALUE"""),45793.67430627315)</f>
        <v>45793.67431</v>
      </c>
      <c r="K2193" s="13" t="str">
        <f>IFERROR(__xludf.DUMMYFUNCTION("""COMPUTED_VALUE"""),"Selesai")</f>
        <v>Selesai</v>
      </c>
      <c r="L2193" s="17">
        <f>IFERROR(__xludf.DUMMYFUNCTION("""COMPUTED_VALUE"""),45793.67430627315)</f>
        <v>45793.67431</v>
      </c>
      <c r="M2193" s="13"/>
      <c r="N2193" s="13" t="str">
        <f>IFERROR(__xludf.DUMMYFUNCTION("""COMPUTED_VALUE"""),"")</f>
        <v/>
      </c>
      <c r="O2193" s="13" t="str">
        <f t="shared" si="1"/>
        <v/>
      </c>
    </row>
    <row r="2194" ht="22.5" customHeight="1">
      <c r="B2194" s="13">
        <f>IFERROR(__xludf.DUMMYFUNCTION("""COMPUTED_VALUE"""),2189.0)</f>
        <v>2189</v>
      </c>
      <c r="C2194" s="13" t="str">
        <f>IFERROR(__xludf.DUMMYFUNCTION("""COMPUTED_VALUE"""),"M.975/SUMBER AGUNG")</f>
        <v>M.975/SUMBER AGUNG</v>
      </c>
      <c r="D2194" s="13" t="str">
        <f>IFERROR(__xludf.DUMMYFUNCTION("""COMPUTED_VALUE"""),"K/9/240425/1")</f>
        <v>K/9/240425/1</v>
      </c>
      <c r="E2194" s="14" t="str">
        <f>IFERROR(__xludf.DUMMYFUNCTION("""COMPUTED_VALUE"""),"Afriza (BT)")</f>
        <v>Afriza (BT)</v>
      </c>
      <c r="F2194" s="14" t="str">
        <f>IFERROR(__xludf.DUMMYFUNCTION("""COMPUTED_VALUE"""),"SELESAI (VIA PERMOHONAN)")</f>
        <v>SELESAI (VIA PERMOHONAN)</v>
      </c>
      <c r="G2194" s="17">
        <f>IFERROR(__xludf.DUMMYFUNCTION("""COMPUTED_VALUE"""),45792.660736631944)</f>
        <v>45792.66074</v>
      </c>
      <c r="H2194" s="14" t="str">
        <f>IFERROR(__xludf.DUMMYFUNCTION("""COMPUTED_VALUE"""),"Aprill (SU)")</f>
        <v>Aprill (SU)</v>
      </c>
      <c r="I2194" s="13" t="str">
        <f>IFERROR(__xludf.DUMMYFUNCTION("""COMPUTED_VALUE"""),"SELESAI (VIA PERMOHONAN)")</f>
        <v>SELESAI (VIA PERMOHONAN)</v>
      </c>
      <c r="J2194" s="17">
        <f>IFERROR(__xludf.DUMMYFUNCTION("""COMPUTED_VALUE"""),45793.67430627315)</f>
        <v>45793.67431</v>
      </c>
      <c r="K2194" s="13" t="str">
        <f>IFERROR(__xludf.DUMMYFUNCTION("""COMPUTED_VALUE"""),"Selesai")</f>
        <v>Selesai</v>
      </c>
      <c r="L2194" s="17">
        <f>IFERROR(__xludf.DUMMYFUNCTION("""COMPUTED_VALUE"""),45793.67430627315)</f>
        <v>45793.67431</v>
      </c>
      <c r="M2194" s="13"/>
      <c r="N2194" s="13" t="str">
        <f>IFERROR(__xludf.DUMMYFUNCTION("""COMPUTED_VALUE"""),"")</f>
        <v/>
      </c>
      <c r="O2194" s="13" t="str">
        <f t="shared" si="1"/>
        <v/>
      </c>
    </row>
    <row r="2195" ht="22.5" customHeight="1">
      <c r="B2195" s="13">
        <f>IFERROR(__xludf.DUMMYFUNCTION("""COMPUTED_VALUE"""),2190.0)</f>
        <v>2190</v>
      </c>
      <c r="C2195" s="13" t="str">
        <f>IFERROR(__xludf.DUMMYFUNCTION("""COMPUTED_VALUE"""),"M. 13039/ Segala Mider")</f>
        <v>M. 13039/ Segala Mider</v>
      </c>
      <c r="D2195" s="13" t="str">
        <f>IFERROR(__xludf.DUMMYFUNCTION("""COMPUTED_VALUE"""),"K/11/060525/1")</f>
        <v>K/11/060525/1</v>
      </c>
      <c r="E2195" s="14" t="str">
        <f>IFERROR(__xludf.DUMMYFUNCTION("""COMPUTED_VALUE"""),"Afriza (BT)")</f>
        <v>Afriza (BT)</v>
      </c>
      <c r="F2195" s="14" t="str">
        <f>IFERROR(__xludf.DUMMYFUNCTION("""COMPUTED_VALUE"""),"SELESAI (VIA PERMOHONAN)")</f>
        <v>SELESAI (VIA PERMOHONAN)</v>
      </c>
      <c r="G2195" s="17">
        <f>IFERROR(__xludf.DUMMYFUNCTION("""COMPUTED_VALUE"""),45792.66088140046)</f>
        <v>45792.66088</v>
      </c>
      <c r="H2195" s="14" t="str">
        <f>IFERROR(__xludf.DUMMYFUNCTION("""COMPUTED_VALUE"""),"Aprill (SU)")</f>
        <v>Aprill (SU)</v>
      </c>
      <c r="I2195" s="13" t="str">
        <f>IFERROR(__xludf.DUMMYFUNCTION("""COMPUTED_VALUE"""),"SELESAI (VIA PERMOHONAN)")</f>
        <v>SELESAI (VIA PERMOHONAN)</v>
      </c>
      <c r="J2195" s="17">
        <f>IFERROR(__xludf.DUMMYFUNCTION("""COMPUTED_VALUE"""),45793.67430627315)</f>
        <v>45793.67431</v>
      </c>
      <c r="K2195" s="13" t="str">
        <f>IFERROR(__xludf.DUMMYFUNCTION("""COMPUTED_VALUE"""),"Selesai")</f>
        <v>Selesai</v>
      </c>
      <c r="L2195" s="17">
        <f>IFERROR(__xludf.DUMMYFUNCTION("""COMPUTED_VALUE"""),45793.67430627315)</f>
        <v>45793.67431</v>
      </c>
      <c r="M2195" s="13"/>
      <c r="N2195" s="13" t="str">
        <f>IFERROR(__xludf.DUMMYFUNCTION("""COMPUTED_VALUE"""),"")</f>
        <v/>
      </c>
      <c r="O2195" s="13" t="str">
        <f t="shared" si="1"/>
        <v/>
      </c>
    </row>
    <row r="2196" ht="22.5" customHeight="1">
      <c r="B2196" s="13">
        <f>IFERROR(__xludf.DUMMYFUNCTION("""COMPUTED_VALUE"""),2191.0)</f>
        <v>2191</v>
      </c>
      <c r="C2196" s="13" t="str">
        <f>IFERROR(__xludf.DUMMYFUNCTION("""COMPUTED_VALUE"""),"M. 16498/ Sukabumi")</f>
        <v>M. 16498/ Sukabumi</v>
      </c>
      <c r="D2196" s="13" t="str">
        <f>IFERROR(__xludf.DUMMYFUNCTION("""COMPUTED_VALUE"""),"K/18/290425/1")</f>
        <v>K/18/290425/1</v>
      </c>
      <c r="E2196" s="14" t="str">
        <f>IFERROR(__xludf.DUMMYFUNCTION("""COMPUTED_VALUE"""),"Afriza (BT)")</f>
        <v>Afriza (BT)</v>
      </c>
      <c r="F2196" s="14" t="str">
        <f>IFERROR(__xludf.DUMMYFUNCTION("""COMPUTED_VALUE"""),"SELESAI (VIA PERMOHONAN)")</f>
        <v>SELESAI (VIA PERMOHONAN)</v>
      </c>
      <c r="G2196" s="17">
        <f>IFERROR(__xludf.DUMMYFUNCTION("""COMPUTED_VALUE"""),45792.6609778125)</f>
        <v>45792.66098</v>
      </c>
      <c r="H2196" s="14" t="str">
        <f>IFERROR(__xludf.DUMMYFUNCTION("""COMPUTED_VALUE"""),"Aprill (SU)")</f>
        <v>Aprill (SU)</v>
      </c>
      <c r="I2196" s="13" t="str">
        <f>IFERROR(__xludf.DUMMYFUNCTION("""COMPUTED_VALUE"""),"SELESAI (VIA PERMOHONAN)")</f>
        <v>SELESAI (VIA PERMOHONAN)</v>
      </c>
      <c r="J2196" s="17">
        <f>IFERROR(__xludf.DUMMYFUNCTION("""COMPUTED_VALUE"""),45793.67430627315)</f>
        <v>45793.67431</v>
      </c>
      <c r="K2196" s="13" t="str">
        <f>IFERROR(__xludf.DUMMYFUNCTION("""COMPUTED_VALUE"""),"Selesai")</f>
        <v>Selesai</v>
      </c>
      <c r="L2196" s="17">
        <f>IFERROR(__xludf.DUMMYFUNCTION("""COMPUTED_VALUE"""),45793.67430627315)</f>
        <v>45793.67431</v>
      </c>
      <c r="M2196" s="13"/>
      <c r="N2196" s="13" t="str">
        <f>IFERROR(__xludf.DUMMYFUNCTION("""COMPUTED_VALUE"""),"")</f>
        <v/>
      </c>
      <c r="O2196" s="13" t="str">
        <f t="shared" si="1"/>
        <v/>
      </c>
    </row>
    <row r="2197" ht="22.5" customHeight="1">
      <c r="B2197" s="13">
        <f>IFERROR(__xludf.DUMMYFUNCTION("""COMPUTED_VALUE"""),2192.0)</f>
        <v>2192</v>
      </c>
      <c r="C2197" s="13" t="str">
        <f>IFERROR(__xludf.DUMMYFUNCTION("""COMPUTED_VALUE"""),"B. 4953/ Beringin Jaya")</f>
        <v>B. 4953/ Beringin Jaya</v>
      </c>
      <c r="D2197" s="13" t="str">
        <f>IFERROR(__xludf.DUMMYFUNCTION("""COMPUTED_VALUE"""),"K/31/300425/1")</f>
        <v>K/31/300425/1</v>
      </c>
      <c r="E2197" s="14" t="str">
        <f>IFERROR(__xludf.DUMMYFUNCTION("""COMPUTED_VALUE"""),"Afriza (BT)")</f>
        <v>Afriza (BT)</v>
      </c>
      <c r="F2197" s="14" t="str">
        <f>IFERROR(__xludf.DUMMYFUNCTION("""COMPUTED_VALUE"""),"SELESAI (VIA PERMOHONAN)")</f>
        <v>SELESAI (VIA PERMOHONAN)</v>
      </c>
      <c r="G2197" s="17">
        <f>IFERROR(__xludf.DUMMYFUNCTION("""COMPUTED_VALUE"""),45792.661077916666)</f>
        <v>45792.66108</v>
      </c>
      <c r="H2197" s="14" t="str">
        <f>IFERROR(__xludf.DUMMYFUNCTION("""COMPUTED_VALUE"""),"Aprill (SU)")</f>
        <v>Aprill (SU)</v>
      </c>
      <c r="I2197" s="13" t="str">
        <f>IFERROR(__xludf.DUMMYFUNCTION("""COMPUTED_VALUE"""),"SELESAI (VIA PERMOHONAN)")</f>
        <v>SELESAI (VIA PERMOHONAN)</v>
      </c>
      <c r="J2197" s="17">
        <f>IFERROR(__xludf.DUMMYFUNCTION("""COMPUTED_VALUE"""),45793.67430627315)</f>
        <v>45793.67431</v>
      </c>
      <c r="K2197" s="13" t="str">
        <f>IFERROR(__xludf.DUMMYFUNCTION("""COMPUTED_VALUE"""),"Selesai")</f>
        <v>Selesai</v>
      </c>
      <c r="L2197" s="17">
        <f>IFERROR(__xludf.DUMMYFUNCTION("""COMPUTED_VALUE"""),45793.67430627315)</f>
        <v>45793.67431</v>
      </c>
      <c r="M2197" s="13"/>
      <c r="N2197" s="13" t="str">
        <f>IFERROR(__xludf.DUMMYFUNCTION("""COMPUTED_VALUE"""),"")</f>
        <v/>
      </c>
      <c r="O2197" s="13" t="str">
        <f t="shared" si="1"/>
        <v/>
      </c>
    </row>
    <row r="2198" ht="22.5" customHeight="1">
      <c r="B2198" s="13">
        <f>IFERROR(__xludf.DUMMYFUNCTION("""COMPUTED_VALUE"""),2193.0)</f>
        <v>2193</v>
      </c>
      <c r="C2198" s="13" t="str">
        <f>IFERROR(__xludf.DUMMYFUNCTION("""COMPUTED_VALUE"""),"M. 2233/ Rajabasa Raya")</f>
        <v>M. 2233/ Rajabasa Raya</v>
      </c>
      <c r="D2198" s="13" t="str">
        <f>IFERROR(__xludf.DUMMYFUNCTION("""COMPUTED_VALUE"""),"K/29/300425/1")</f>
        <v>K/29/300425/1</v>
      </c>
      <c r="E2198" s="14" t="str">
        <f>IFERROR(__xludf.DUMMYFUNCTION("""COMPUTED_VALUE"""),"Afriza (BT)")</f>
        <v>Afriza (BT)</v>
      </c>
      <c r="F2198" s="14" t="str">
        <f>IFERROR(__xludf.DUMMYFUNCTION("""COMPUTED_VALUE"""),"SELESAI (VIA PERMOHONAN)")</f>
        <v>SELESAI (VIA PERMOHONAN)</v>
      </c>
      <c r="G2198" s="17">
        <f>IFERROR(__xludf.DUMMYFUNCTION("""COMPUTED_VALUE"""),45792.661194988425)</f>
        <v>45792.66119</v>
      </c>
      <c r="H2198" s="14" t="str">
        <f>IFERROR(__xludf.DUMMYFUNCTION("""COMPUTED_VALUE"""),"Aprill (SU)")</f>
        <v>Aprill (SU)</v>
      </c>
      <c r="I2198" s="13" t="str">
        <f>IFERROR(__xludf.DUMMYFUNCTION("""COMPUTED_VALUE"""),"SELESAI (VIA PERMOHONAN)")</f>
        <v>SELESAI (VIA PERMOHONAN)</v>
      </c>
      <c r="J2198" s="17">
        <f>IFERROR(__xludf.DUMMYFUNCTION("""COMPUTED_VALUE"""),45793.67430627315)</f>
        <v>45793.67431</v>
      </c>
      <c r="K2198" s="13" t="str">
        <f>IFERROR(__xludf.DUMMYFUNCTION("""COMPUTED_VALUE"""),"Selesai")</f>
        <v>Selesai</v>
      </c>
      <c r="L2198" s="17">
        <f>IFERROR(__xludf.DUMMYFUNCTION("""COMPUTED_VALUE"""),45793.67430627315)</f>
        <v>45793.67431</v>
      </c>
      <c r="M2198" s="13"/>
      <c r="N2198" s="13" t="str">
        <f>IFERROR(__xludf.DUMMYFUNCTION("""COMPUTED_VALUE"""),"")</f>
        <v/>
      </c>
      <c r="O2198" s="13" t="str">
        <f t="shared" si="1"/>
        <v/>
      </c>
    </row>
    <row r="2199" ht="22.5" customHeight="1">
      <c r="B2199" s="13">
        <f>IFERROR(__xludf.DUMMYFUNCTION("""COMPUTED_VALUE"""),2194.0)</f>
        <v>2194</v>
      </c>
      <c r="C2199" s="13" t="str">
        <f>IFERROR(__xludf.DUMMYFUNCTION("""COMPUTED_VALUE"""),"M. 14253/ Segala Mider")</f>
        <v>M. 14253/ Segala Mider</v>
      </c>
      <c r="D2199" s="13" t="str">
        <f>IFERROR(__xludf.DUMMYFUNCTION("""COMPUTED_VALUE"""),"K/14/230425/3")</f>
        <v>K/14/230425/3</v>
      </c>
      <c r="E2199" s="14" t="str">
        <f>IFERROR(__xludf.DUMMYFUNCTION("""COMPUTED_VALUE"""),"Afriza (BT)")</f>
        <v>Afriza (BT)</v>
      </c>
      <c r="F2199" s="14" t="str">
        <f>IFERROR(__xludf.DUMMYFUNCTION("""COMPUTED_VALUE"""),"SELESAI (VIA PERMOHONAN)")</f>
        <v>SELESAI (VIA PERMOHONAN)</v>
      </c>
      <c r="G2199" s="17">
        <f>IFERROR(__xludf.DUMMYFUNCTION("""COMPUTED_VALUE"""),45792.661309953706)</f>
        <v>45792.66131</v>
      </c>
      <c r="H2199" s="14" t="str">
        <f>IFERROR(__xludf.DUMMYFUNCTION("""COMPUTED_VALUE"""),"Aprill (SU)")</f>
        <v>Aprill (SU)</v>
      </c>
      <c r="I2199" s="13" t="str">
        <f>IFERROR(__xludf.DUMMYFUNCTION("""COMPUTED_VALUE"""),"SELESAI (VIA PERMOHONAN)")</f>
        <v>SELESAI (VIA PERMOHONAN)</v>
      </c>
      <c r="J2199" s="17">
        <f>IFERROR(__xludf.DUMMYFUNCTION("""COMPUTED_VALUE"""),45793.67430627315)</f>
        <v>45793.67431</v>
      </c>
      <c r="K2199" s="13" t="str">
        <f>IFERROR(__xludf.DUMMYFUNCTION("""COMPUTED_VALUE"""),"Selesai")</f>
        <v>Selesai</v>
      </c>
      <c r="L2199" s="17">
        <f>IFERROR(__xludf.DUMMYFUNCTION("""COMPUTED_VALUE"""),45793.67430627315)</f>
        <v>45793.67431</v>
      </c>
      <c r="M2199" s="13"/>
      <c r="N2199" s="13" t="str">
        <f>IFERROR(__xludf.DUMMYFUNCTION("""COMPUTED_VALUE"""),"")</f>
        <v/>
      </c>
      <c r="O2199" s="13" t="str">
        <f t="shared" si="1"/>
        <v/>
      </c>
    </row>
    <row r="2200" ht="22.5" customHeight="1">
      <c r="B2200" s="13">
        <f>IFERROR(__xludf.DUMMYFUNCTION("""COMPUTED_VALUE"""),2195.0)</f>
        <v>2195</v>
      </c>
      <c r="C2200" s="13" t="str">
        <f>IFERROR(__xludf.DUMMYFUNCTION("""COMPUTED_VALUE"""),"B. 954/ Beringin Jaya")</f>
        <v>B. 954/ Beringin Jaya</v>
      </c>
      <c r="D2200" s="13" t="str">
        <f>IFERROR(__xludf.DUMMYFUNCTION("""COMPUTED_VALUE"""),"K/5/240425/2")</f>
        <v>K/5/240425/2</v>
      </c>
      <c r="E2200" s="14" t="str">
        <f>IFERROR(__xludf.DUMMYFUNCTION("""COMPUTED_VALUE"""),"Afriza (BT)")</f>
        <v>Afriza (BT)</v>
      </c>
      <c r="F2200" s="14" t="str">
        <f>IFERROR(__xludf.DUMMYFUNCTION("""COMPUTED_VALUE"""),"SELESAI (VIA PERMOHONAN)")</f>
        <v>SELESAI (VIA PERMOHONAN)</v>
      </c>
      <c r="G2200" s="17">
        <f>IFERROR(__xludf.DUMMYFUNCTION("""COMPUTED_VALUE"""),45792.686471099536)</f>
        <v>45792.68647</v>
      </c>
      <c r="H2200" s="14" t="str">
        <f>IFERROR(__xludf.DUMMYFUNCTION("""COMPUTED_VALUE"""),"Bu Eva (SU)")</f>
        <v>Bu Eva (SU)</v>
      </c>
      <c r="I2200" s="13" t="str">
        <f>IFERROR(__xludf.DUMMYFUNCTION("""COMPUTED_VALUE"""),"SELESAI (VIA PERMOHONAN)")</f>
        <v>SELESAI (VIA PERMOHONAN)</v>
      </c>
      <c r="J2200" s="17">
        <f>IFERROR(__xludf.DUMMYFUNCTION("""COMPUTED_VALUE"""),45792.686567847224)</f>
        <v>45792.68657</v>
      </c>
      <c r="K2200" s="13" t="str">
        <f>IFERROR(__xludf.DUMMYFUNCTION("""COMPUTED_VALUE"""),"Selesai")</f>
        <v>Selesai</v>
      </c>
      <c r="L2200" s="17">
        <f>IFERROR(__xludf.DUMMYFUNCTION("""COMPUTED_VALUE"""),45792.686567847224)</f>
        <v>45792.68657</v>
      </c>
      <c r="M2200" s="13"/>
      <c r="N2200" s="13" t="str">
        <f>IFERROR(__xludf.DUMMYFUNCTION("""COMPUTED_VALUE"""),"")</f>
        <v/>
      </c>
      <c r="O2200" s="13" t="str">
        <f t="shared" si="1"/>
        <v/>
      </c>
    </row>
    <row r="2201" ht="22.5" customHeight="1">
      <c r="B2201" s="13">
        <f>IFERROR(__xludf.DUMMYFUNCTION("""COMPUTED_VALUE"""),2196.0)</f>
        <v>2196</v>
      </c>
      <c r="C2201" s="13" t="str">
        <f>IFERROR(__xludf.DUMMYFUNCTION("""COMPUTED_VALUE"""),"M. 1850/ Labuhan Ratu raya")</f>
        <v>M. 1850/ Labuhan Ratu raya</v>
      </c>
      <c r="D2201" s="13" t="str">
        <f>IFERROR(__xludf.DUMMYFUNCTION("""COMPUTED_VALUE"""),"K/19/240425/2")</f>
        <v>K/19/240425/2</v>
      </c>
      <c r="E2201" s="14" t="str">
        <f>IFERROR(__xludf.DUMMYFUNCTION("""COMPUTED_VALUE"""),"Afriza (BT)")</f>
        <v>Afriza (BT)</v>
      </c>
      <c r="F2201" s="14" t="str">
        <f>IFERROR(__xludf.DUMMYFUNCTION("""COMPUTED_VALUE"""),"SELESAI (VIA PERMOHONAN)")</f>
        <v>SELESAI (VIA PERMOHONAN)</v>
      </c>
      <c r="G2201" s="17">
        <f>IFERROR(__xludf.DUMMYFUNCTION("""COMPUTED_VALUE"""),45792.6867274074)</f>
        <v>45792.68673</v>
      </c>
      <c r="H2201" s="14" t="str">
        <f>IFERROR(__xludf.DUMMYFUNCTION("""COMPUTED_VALUE"""),"Bu Eva (SU)")</f>
        <v>Bu Eva (SU)</v>
      </c>
      <c r="I2201" s="13" t="str">
        <f>IFERROR(__xludf.DUMMYFUNCTION("""COMPUTED_VALUE"""),"SELESAI (VIA PERMOHONAN)")</f>
        <v>SELESAI (VIA PERMOHONAN)</v>
      </c>
      <c r="J2201" s="17">
        <f>IFERROR(__xludf.DUMMYFUNCTION("""COMPUTED_VALUE"""),45792.686752256945)</f>
        <v>45792.68675</v>
      </c>
      <c r="K2201" s="13" t="str">
        <f>IFERROR(__xludf.DUMMYFUNCTION("""COMPUTED_VALUE"""),"Selesai")</f>
        <v>Selesai</v>
      </c>
      <c r="L2201" s="17">
        <f>IFERROR(__xludf.DUMMYFUNCTION("""COMPUTED_VALUE"""),45792.686752256945)</f>
        <v>45792.68675</v>
      </c>
      <c r="M2201" s="13"/>
      <c r="N2201" s="13" t="str">
        <f>IFERROR(__xludf.DUMMYFUNCTION("""COMPUTED_VALUE"""),"")</f>
        <v/>
      </c>
      <c r="O2201" s="13" t="str">
        <f t="shared" si="1"/>
        <v/>
      </c>
    </row>
    <row r="2202" ht="22.5" customHeight="1">
      <c r="B2202" s="13">
        <f>IFERROR(__xludf.DUMMYFUNCTION("""COMPUTED_VALUE"""),2197.0)</f>
        <v>2197</v>
      </c>
      <c r="C2202" s="13" t="str">
        <f>IFERROR(__xludf.DUMMYFUNCTION("""COMPUTED_VALUE"""),"M. 1977/ Labuhan Ratu Raya")</f>
        <v>M. 1977/ Labuhan Ratu Raya</v>
      </c>
      <c r="D2202" s="13" t="str">
        <f>IFERROR(__xludf.DUMMYFUNCTION("""COMPUTED_VALUE"""),"K/37/170325/1")</f>
        <v>K/37/170325/1</v>
      </c>
      <c r="E2202" s="14" t="str">
        <f>IFERROR(__xludf.DUMMYFUNCTION("""COMPUTED_VALUE"""),"Afriza (BT)")</f>
        <v>Afriza (BT)</v>
      </c>
      <c r="F2202" s="14" t="str">
        <f>IFERROR(__xludf.DUMMYFUNCTION("""COMPUTED_VALUE"""),"SELESAI (VIA PERMOHONAN)")</f>
        <v>SELESAI (VIA PERMOHONAN)</v>
      </c>
      <c r="G2202" s="17">
        <f>IFERROR(__xludf.DUMMYFUNCTION("""COMPUTED_VALUE"""),45792.68697465278)</f>
        <v>45792.68697</v>
      </c>
      <c r="H2202" s="14" t="str">
        <f>IFERROR(__xludf.DUMMYFUNCTION("""COMPUTED_VALUE"""),"Bu Eva (SU)")</f>
        <v>Bu Eva (SU)</v>
      </c>
      <c r="I2202" s="13" t="str">
        <f>IFERROR(__xludf.DUMMYFUNCTION("""COMPUTED_VALUE"""),"SELESAI (VIA PERMOHONAN)")</f>
        <v>SELESAI (VIA PERMOHONAN)</v>
      </c>
      <c r="J2202" s="17">
        <f>IFERROR(__xludf.DUMMYFUNCTION("""COMPUTED_VALUE"""),45792.68698153935)</f>
        <v>45792.68698</v>
      </c>
      <c r="K2202" s="13" t="str">
        <f>IFERROR(__xludf.DUMMYFUNCTION("""COMPUTED_VALUE"""),"Selesai")</f>
        <v>Selesai</v>
      </c>
      <c r="L2202" s="17">
        <f>IFERROR(__xludf.DUMMYFUNCTION("""COMPUTED_VALUE"""),45792.68698153935)</f>
        <v>45792.68698</v>
      </c>
      <c r="M2202" s="13"/>
      <c r="N2202" s="13" t="str">
        <f>IFERROR(__xludf.DUMMYFUNCTION("""COMPUTED_VALUE"""),"")</f>
        <v/>
      </c>
      <c r="O2202" s="13" t="str">
        <f t="shared" si="1"/>
        <v/>
      </c>
    </row>
    <row r="2203" ht="22.5" customHeight="1">
      <c r="B2203" s="13">
        <f>IFERROR(__xludf.DUMMYFUNCTION("""COMPUTED_VALUE"""),2198.0)</f>
        <v>2198</v>
      </c>
      <c r="C2203" s="13" t="str">
        <f>IFERROR(__xludf.DUMMYFUNCTION("""COMPUTED_VALUE"""),"HM 260/GEDONG AIR")</f>
        <v>HM 260/GEDONG AIR</v>
      </c>
      <c r="D2203" s="13" t="str">
        <f>IFERROR(__xludf.DUMMYFUNCTION("""COMPUTED_VALUE"""),"L/8/220425/1")</f>
        <v>L/8/220425/1</v>
      </c>
      <c r="E2203" s="14" t="str">
        <f>IFERROR(__xludf.DUMMYFUNCTION("""COMPUTED_VALUE"""),"Afriza (BT)")</f>
        <v>Afriza (BT)</v>
      </c>
      <c r="F2203" s="14" t="str">
        <f>IFERROR(__xludf.DUMMYFUNCTION("""COMPUTED_VALUE"""),"SELESAI (VIA PERMOHONAN)")</f>
        <v>SELESAI (VIA PERMOHONAN)</v>
      </c>
      <c r="G2203" s="17">
        <f>IFERROR(__xludf.DUMMYFUNCTION("""COMPUTED_VALUE"""),45792.68712538194)</f>
        <v>45792.68713</v>
      </c>
      <c r="H2203" s="14" t="str">
        <f>IFERROR(__xludf.DUMMYFUNCTION("""COMPUTED_VALUE"""),"Bu Eva (SU)")</f>
        <v>Bu Eva (SU)</v>
      </c>
      <c r="I2203" s="13" t="str">
        <f>IFERROR(__xludf.DUMMYFUNCTION("""COMPUTED_VALUE"""),"SELESAI (VIA PERMOHONAN)")</f>
        <v>SELESAI (VIA PERMOHONAN)</v>
      </c>
      <c r="J2203" s="17">
        <f>IFERROR(__xludf.DUMMYFUNCTION("""COMPUTED_VALUE"""),45792.68713839121)</f>
        <v>45792.68714</v>
      </c>
      <c r="K2203" s="13" t="str">
        <f>IFERROR(__xludf.DUMMYFUNCTION("""COMPUTED_VALUE"""),"Selesai")</f>
        <v>Selesai</v>
      </c>
      <c r="L2203" s="17">
        <f>IFERROR(__xludf.DUMMYFUNCTION("""COMPUTED_VALUE"""),45792.68713839121)</f>
        <v>45792.68714</v>
      </c>
      <c r="M2203" s="13"/>
      <c r="N2203" s="13" t="str">
        <f>IFERROR(__xludf.DUMMYFUNCTION("""COMPUTED_VALUE"""),"")</f>
        <v/>
      </c>
      <c r="O2203" s="13" t="str">
        <f t="shared" si="1"/>
        <v/>
      </c>
    </row>
    <row r="2204" ht="22.5" customHeight="1">
      <c r="B2204" s="13">
        <f>IFERROR(__xludf.DUMMYFUNCTION("""COMPUTED_VALUE"""),2199.0)</f>
        <v>2199</v>
      </c>
      <c r="C2204" s="13" t="str">
        <f>IFERROR(__xludf.DUMMYFUNCTION("""COMPUTED_VALUE"""),"M. 493/ Tanjung Senang")</f>
        <v>M. 493/ Tanjung Senang</v>
      </c>
      <c r="D2204" s="13" t="str">
        <f>IFERROR(__xludf.DUMMYFUNCTION("""COMPUTED_VALUE"""),"K/17/170425/1")</f>
        <v>K/17/170425/1</v>
      </c>
      <c r="E2204" s="14" t="str">
        <f>IFERROR(__xludf.DUMMYFUNCTION("""COMPUTED_VALUE"""),"Afriza (BT)")</f>
        <v>Afriza (BT)</v>
      </c>
      <c r="F2204" s="14" t="str">
        <f>IFERROR(__xludf.DUMMYFUNCTION("""COMPUTED_VALUE"""),"SELESAI (VIA PERMOHONAN)")</f>
        <v>SELESAI (VIA PERMOHONAN)</v>
      </c>
      <c r="G2204" s="17">
        <f>IFERROR(__xludf.DUMMYFUNCTION("""COMPUTED_VALUE"""),45796.39629079861)</f>
        <v>45796.39629</v>
      </c>
      <c r="H2204" s="14" t="str">
        <f>IFERROR(__xludf.DUMMYFUNCTION("""COMPUTED_VALUE"""),"Bu Eva (SU)")</f>
        <v>Bu Eva (SU)</v>
      </c>
      <c r="I2204" s="13" t="str">
        <f>IFERROR(__xludf.DUMMYFUNCTION("""COMPUTED_VALUE"""),"SELESAI (VIA PERMOHONAN)")</f>
        <v>SELESAI (VIA PERMOHONAN)</v>
      </c>
      <c r="J2204" s="17">
        <f>IFERROR(__xludf.DUMMYFUNCTION("""COMPUTED_VALUE"""),45796.39634651621)</f>
        <v>45796.39635</v>
      </c>
      <c r="K2204" s="13" t="str">
        <f>IFERROR(__xludf.DUMMYFUNCTION("""COMPUTED_VALUE"""),"Selesai")</f>
        <v>Selesai</v>
      </c>
      <c r="L2204" s="17">
        <f>IFERROR(__xludf.DUMMYFUNCTION("""COMPUTED_VALUE"""),45796.39634651621)</f>
        <v>45796.39635</v>
      </c>
      <c r="M2204" s="13"/>
      <c r="N2204" s="13" t="str">
        <f>IFERROR(__xludf.DUMMYFUNCTION("""COMPUTED_VALUE"""),"")</f>
        <v/>
      </c>
      <c r="O2204" s="13" t="str">
        <f t="shared" si="1"/>
        <v/>
      </c>
    </row>
    <row r="2205" ht="22.5" customHeight="1">
      <c r="B2205" s="13">
        <f>IFERROR(__xludf.DUMMYFUNCTION("""COMPUTED_VALUE"""),2200.0)</f>
        <v>2200</v>
      </c>
      <c r="C2205" s="13" t="str">
        <f>IFERROR(__xludf.DUMMYFUNCTION("""COMPUTED_VALUE"""),"M. 76/ Gunung Terang")</f>
        <v>M. 76/ Gunung Terang</v>
      </c>
      <c r="D2205" s="13" t="str">
        <f>IFERROR(__xludf.DUMMYFUNCTION("""COMPUTED_VALUE"""),"K/30/290425/2")</f>
        <v>K/30/290425/2</v>
      </c>
      <c r="E2205" s="14" t="str">
        <f>IFERROR(__xludf.DUMMYFUNCTION("""COMPUTED_VALUE"""),"Afriza (BT)")</f>
        <v>Afriza (BT)</v>
      </c>
      <c r="F2205" s="14" t="str">
        <f>IFERROR(__xludf.DUMMYFUNCTION("""COMPUTED_VALUE"""),"SELESAI (VIA PERMOHONAN)")</f>
        <v>SELESAI (VIA PERMOHONAN)</v>
      </c>
      <c r="G2205" s="17">
        <f>IFERROR(__xludf.DUMMYFUNCTION("""COMPUTED_VALUE"""),45796.39665456019)</f>
        <v>45796.39665</v>
      </c>
      <c r="H2205" s="14" t="str">
        <f>IFERROR(__xludf.DUMMYFUNCTION("""COMPUTED_VALUE"""),"Bu Eva (SU)")</f>
        <v>Bu Eva (SU)</v>
      </c>
      <c r="I2205" s="13" t="str">
        <f>IFERROR(__xludf.DUMMYFUNCTION("""COMPUTED_VALUE"""),"SELESAI (VIA PERMOHONAN)")</f>
        <v>SELESAI (VIA PERMOHONAN)</v>
      </c>
      <c r="J2205" s="17">
        <f>IFERROR(__xludf.DUMMYFUNCTION("""COMPUTED_VALUE"""),45796.396688912035)</f>
        <v>45796.39669</v>
      </c>
      <c r="K2205" s="13" t="str">
        <f>IFERROR(__xludf.DUMMYFUNCTION("""COMPUTED_VALUE"""),"Selesai")</f>
        <v>Selesai</v>
      </c>
      <c r="L2205" s="17">
        <f>IFERROR(__xludf.DUMMYFUNCTION("""COMPUTED_VALUE"""),45796.396688912035)</f>
        <v>45796.39669</v>
      </c>
      <c r="M2205" s="13"/>
      <c r="N2205" s="13" t="str">
        <f>IFERROR(__xludf.DUMMYFUNCTION("""COMPUTED_VALUE"""),"")</f>
        <v/>
      </c>
      <c r="O2205" s="13" t="str">
        <f t="shared" si="1"/>
        <v/>
      </c>
    </row>
    <row r="2206" ht="22.5" customHeight="1">
      <c r="B2206" s="13">
        <f>IFERROR(__xludf.DUMMYFUNCTION("""COMPUTED_VALUE"""),2201.0)</f>
        <v>2201</v>
      </c>
      <c r="C2206" s="13" t="str">
        <f>IFERROR(__xludf.DUMMYFUNCTION("""COMPUTED_VALUE"""),"HM 9499/JAGABAYA II")</f>
        <v>HM 9499/JAGABAYA II</v>
      </c>
      <c r="D2206" s="13" t="str">
        <f>IFERROR(__xludf.DUMMYFUNCTION("""COMPUTED_VALUE"""),"L/25/220425/1")</f>
        <v>L/25/220425/1</v>
      </c>
      <c r="E2206" s="14" t="str">
        <f>IFERROR(__xludf.DUMMYFUNCTION("""COMPUTED_VALUE"""),"Afriza (BT)")</f>
        <v>Afriza (BT)</v>
      </c>
      <c r="F2206" s="14" t="str">
        <f>IFERROR(__xludf.DUMMYFUNCTION("""COMPUTED_VALUE"""),"SELESAI (VIA PERMOHONAN)")</f>
        <v>SELESAI (VIA PERMOHONAN)</v>
      </c>
      <c r="G2206" s="17">
        <f>IFERROR(__xludf.DUMMYFUNCTION("""COMPUTED_VALUE"""),45796.396850833335)</f>
        <v>45796.39685</v>
      </c>
      <c r="H2206" s="14" t="str">
        <f>IFERROR(__xludf.DUMMYFUNCTION("""COMPUTED_VALUE"""),"Bu Eva (SU)")</f>
        <v>Bu Eva (SU)</v>
      </c>
      <c r="I2206" s="13" t="str">
        <f>IFERROR(__xludf.DUMMYFUNCTION("""COMPUTED_VALUE"""),"SELESAI (VIA PERMOHONAN)")</f>
        <v>SELESAI (VIA PERMOHONAN)</v>
      </c>
      <c r="J2206" s="17">
        <f>IFERROR(__xludf.DUMMYFUNCTION("""COMPUTED_VALUE"""),45796.39687873842)</f>
        <v>45796.39688</v>
      </c>
      <c r="K2206" s="13" t="str">
        <f>IFERROR(__xludf.DUMMYFUNCTION("""COMPUTED_VALUE"""),"Selesai")</f>
        <v>Selesai</v>
      </c>
      <c r="L2206" s="17">
        <f>IFERROR(__xludf.DUMMYFUNCTION("""COMPUTED_VALUE"""),45796.39687873842)</f>
        <v>45796.39688</v>
      </c>
      <c r="M2206" s="13"/>
      <c r="N2206" s="13" t="str">
        <f>IFERROR(__xludf.DUMMYFUNCTION("""COMPUTED_VALUE"""),"")</f>
        <v/>
      </c>
      <c r="O2206" s="13" t="str">
        <f t="shared" si="1"/>
        <v/>
      </c>
    </row>
    <row r="2207" ht="22.5" customHeight="1">
      <c r="B2207" s="13">
        <f>IFERROR(__xludf.DUMMYFUNCTION("""COMPUTED_VALUE"""),2202.0)</f>
        <v>2202</v>
      </c>
      <c r="C2207" s="13" t="str">
        <f>IFERROR(__xludf.DUMMYFUNCTION("""COMPUTED_VALUE"""),"M. 121/ Campang Raya")</f>
        <v>M. 121/ Campang Raya</v>
      </c>
      <c r="D2207" s="13" t="str">
        <f>IFERROR(__xludf.DUMMYFUNCTION("""COMPUTED_VALUE"""),"K/17/200325/2")</f>
        <v>K/17/200325/2</v>
      </c>
      <c r="E2207" s="14" t="str">
        <f>IFERROR(__xludf.DUMMYFUNCTION("""COMPUTED_VALUE"""),"Afriza (BT)")</f>
        <v>Afriza (BT)</v>
      </c>
      <c r="F2207" s="14" t="str">
        <f>IFERROR(__xludf.DUMMYFUNCTION("""COMPUTED_VALUE"""),"SELESAI (VIA PERMOHONAN)")</f>
        <v>SELESAI (VIA PERMOHONAN)</v>
      </c>
      <c r="G2207" s="17">
        <f>IFERROR(__xludf.DUMMYFUNCTION("""COMPUTED_VALUE"""),45796.57881457176)</f>
        <v>45796.57881</v>
      </c>
      <c r="H2207" s="14" t="str">
        <f>IFERROR(__xludf.DUMMYFUNCTION("""COMPUTED_VALUE"""),"Aprill (SU)")</f>
        <v>Aprill (SU)</v>
      </c>
      <c r="I2207" s="13" t="str">
        <f>IFERROR(__xludf.DUMMYFUNCTION("""COMPUTED_VALUE"""),"SELESAI (VIA PERMOHONAN)")</f>
        <v>SELESAI (VIA PERMOHONAN)</v>
      </c>
      <c r="J2207" s="17">
        <f>IFERROR(__xludf.DUMMYFUNCTION("""COMPUTED_VALUE"""),45798.611590949076)</f>
        <v>45798.61159</v>
      </c>
      <c r="K2207" s="13" t="str">
        <f>IFERROR(__xludf.DUMMYFUNCTION("""COMPUTED_VALUE"""),"Selesai")</f>
        <v>Selesai</v>
      </c>
      <c r="L2207" s="17">
        <f>IFERROR(__xludf.DUMMYFUNCTION("""COMPUTED_VALUE"""),45798.611590949076)</f>
        <v>45798.61159</v>
      </c>
      <c r="M2207" s="13"/>
      <c r="N2207" s="13" t="str">
        <f>IFERROR(__xludf.DUMMYFUNCTION("""COMPUTED_VALUE"""),"")</f>
        <v/>
      </c>
      <c r="O2207" s="13" t="str">
        <f t="shared" si="1"/>
        <v/>
      </c>
    </row>
    <row r="2208" ht="22.5" customHeight="1">
      <c r="B2208" s="13">
        <f>IFERROR(__xludf.DUMMYFUNCTION("""COMPUTED_VALUE"""),2203.0)</f>
        <v>2203</v>
      </c>
      <c r="C2208" s="13" t="str">
        <f>IFERROR(__xludf.DUMMYFUNCTION("""COMPUTED_VALUE"""),"M. 732/ Way Laga")</f>
        <v>M. 732/ Way Laga</v>
      </c>
      <c r="D2208" s="13" t="str">
        <f>IFERROR(__xludf.DUMMYFUNCTION("""COMPUTED_VALUE"""),"K/30/060525/1")</f>
        <v>K/30/060525/1</v>
      </c>
      <c r="E2208" s="14" t="str">
        <f>IFERROR(__xludf.DUMMYFUNCTION("""COMPUTED_VALUE"""),"Afriza (BT)")</f>
        <v>Afriza (BT)</v>
      </c>
      <c r="F2208" s="14" t="str">
        <f>IFERROR(__xludf.DUMMYFUNCTION("""COMPUTED_VALUE"""),"SELESAI (VIA PERMOHONAN)")</f>
        <v>SELESAI (VIA PERMOHONAN)</v>
      </c>
      <c r="G2208" s="17">
        <f>IFERROR(__xludf.DUMMYFUNCTION("""COMPUTED_VALUE"""),45796.57895646991)</f>
        <v>45796.57896</v>
      </c>
      <c r="H2208" s="14" t="str">
        <f>IFERROR(__xludf.DUMMYFUNCTION("""COMPUTED_VALUE"""),"Aprill (SU)")</f>
        <v>Aprill (SU)</v>
      </c>
      <c r="I2208" s="13" t="str">
        <f>IFERROR(__xludf.DUMMYFUNCTION("""COMPUTED_VALUE"""),"SELESAI (VIA PERMOHONAN)")</f>
        <v>SELESAI (VIA PERMOHONAN)</v>
      </c>
      <c r="J2208" s="17">
        <f>IFERROR(__xludf.DUMMYFUNCTION("""COMPUTED_VALUE"""),45798.611590949076)</f>
        <v>45798.61159</v>
      </c>
      <c r="K2208" s="13" t="str">
        <f>IFERROR(__xludf.DUMMYFUNCTION("""COMPUTED_VALUE"""),"Selesai")</f>
        <v>Selesai</v>
      </c>
      <c r="L2208" s="17">
        <f>IFERROR(__xludf.DUMMYFUNCTION("""COMPUTED_VALUE"""),45798.611590949076)</f>
        <v>45798.61159</v>
      </c>
      <c r="M2208" s="13"/>
      <c r="N2208" s="13" t="str">
        <f>IFERROR(__xludf.DUMMYFUNCTION("""COMPUTED_VALUE"""),"")</f>
        <v/>
      </c>
      <c r="O2208" s="13" t="str">
        <f t="shared" si="1"/>
        <v/>
      </c>
    </row>
    <row r="2209" ht="22.5" customHeight="1">
      <c r="B2209" s="13">
        <f>IFERROR(__xludf.DUMMYFUNCTION("""COMPUTED_VALUE"""),2204.0)</f>
        <v>2204</v>
      </c>
      <c r="C2209" s="13" t="str">
        <f>IFERROR(__xludf.DUMMYFUNCTION("""COMPUTED_VALUE"""),"M. 1754/ Kedaung")</f>
        <v>M. 1754/ Kedaung</v>
      </c>
      <c r="D2209" s="13" t="str">
        <f>IFERROR(__xludf.DUMMYFUNCTION("""COMPUTED_VALUE"""),"K/21/060525/1")</f>
        <v>K/21/060525/1</v>
      </c>
      <c r="E2209" s="14" t="str">
        <f>IFERROR(__xludf.DUMMYFUNCTION("""COMPUTED_VALUE"""),"Afriza (BT)")</f>
        <v>Afriza (BT)</v>
      </c>
      <c r="F2209" s="14" t="str">
        <f>IFERROR(__xludf.DUMMYFUNCTION("""COMPUTED_VALUE"""),"SELESAI (VIA PERMOHONAN)")</f>
        <v>SELESAI (VIA PERMOHONAN)</v>
      </c>
      <c r="G2209" s="17">
        <f>IFERROR(__xludf.DUMMYFUNCTION("""COMPUTED_VALUE"""),45796.57908548611)</f>
        <v>45796.57909</v>
      </c>
      <c r="H2209" s="14" t="str">
        <f>IFERROR(__xludf.DUMMYFUNCTION("""COMPUTED_VALUE"""),"Aprill (SU)")</f>
        <v>Aprill (SU)</v>
      </c>
      <c r="I2209" s="13" t="str">
        <f>IFERROR(__xludf.DUMMYFUNCTION("""COMPUTED_VALUE"""),"SELESAI (VIA PERMOHONAN)")</f>
        <v>SELESAI (VIA PERMOHONAN)</v>
      </c>
      <c r="J2209" s="17">
        <f>IFERROR(__xludf.DUMMYFUNCTION("""COMPUTED_VALUE"""),45798.611590949076)</f>
        <v>45798.61159</v>
      </c>
      <c r="K2209" s="13" t="str">
        <f>IFERROR(__xludf.DUMMYFUNCTION("""COMPUTED_VALUE"""),"Selesai")</f>
        <v>Selesai</v>
      </c>
      <c r="L2209" s="17">
        <f>IFERROR(__xludf.DUMMYFUNCTION("""COMPUTED_VALUE"""),45798.611590949076)</f>
        <v>45798.61159</v>
      </c>
      <c r="M2209" s="13"/>
      <c r="N2209" s="13" t="str">
        <f>IFERROR(__xludf.DUMMYFUNCTION("""COMPUTED_VALUE"""),"")</f>
        <v/>
      </c>
      <c r="O2209" s="13" t="str">
        <f t="shared" si="1"/>
        <v/>
      </c>
    </row>
    <row r="2210" ht="22.5" customHeight="1">
      <c r="B2210" s="13">
        <f>IFERROR(__xludf.DUMMYFUNCTION("""COMPUTED_VALUE"""),2205.0)</f>
        <v>2205</v>
      </c>
      <c r="C2210" s="13" t="str">
        <f>IFERROR(__xludf.DUMMYFUNCTION("""COMPUTED_VALUE"""),"M. 15002/ Rajabasa")</f>
        <v>M. 15002/ Rajabasa</v>
      </c>
      <c r="D2210" s="13" t="str">
        <f>IFERROR(__xludf.DUMMYFUNCTION("""COMPUTED_VALUE"""),"K/19/060525/2")</f>
        <v>K/19/060525/2</v>
      </c>
      <c r="E2210" s="14" t="str">
        <f>IFERROR(__xludf.DUMMYFUNCTION("""COMPUTED_VALUE"""),"Afriza (BT)")</f>
        <v>Afriza (BT)</v>
      </c>
      <c r="F2210" s="14" t="str">
        <f>IFERROR(__xludf.DUMMYFUNCTION("""COMPUTED_VALUE"""),"SELESAI (VIA PERMOHONAN)")</f>
        <v>SELESAI (VIA PERMOHONAN)</v>
      </c>
      <c r="G2210" s="17">
        <f>IFERROR(__xludf.DUMMYFUNCTION("""COMPUTED_VALUE"""),45796.57920144676)</f>
        <v>45796.5792</v>
      </c>
      <c r="H2210" s="14" t="str">
        <f>IFERROR(__xludf.DUMMYFUNCTION("""COMPUTED_VALUE"""),"Aprill (SU)")</f>
        <v>Aprill (SU)</v>
      </c>
      <c r="I2210" s="13" t="str">
        <f>IFERROR(__xludf.DUMMYFUNCTION("""COMPUTED_VALUE"""),"SELESAI (VIA PERMOHONAN)")</f>
        <v>SELESAI (VIA PERMOHONAN)</v>
      </c>
      <c r="J2210" s="17">
        <f>IFERROR(__xludf.DUMMYFUNCTION("""COMPUTED_VALUE"""),45798.611590949076)</f>
        <v>45798.61159</v>
      </c>
      <c r="K2210" s="13" t="str">
        <f>IFERROR(__xludf.DUMMYFUNCTION("""COMPUTED_VALUE"""),"Selesai")</f>
        <v>Selesai</v>
      </c>
      <c r="L2210" s="17">
        <f>IFERROR(__xludf.DUMMYFUNCTION("""COMPUTED_VALUE"""),45798.611590949076)</f>
        <v>45798.61159</v>
      </c>
      <c r="M2210" s="13"/>
      <c r="N2210" s="13" t="str">
        <f>IFERROR(__xludf.DUMMYFUNCTION("""COMPUTED_VALUE"""),"")</f>
        <v/>
      </c>
      <c r="O2210" s="13" t="str">
        <f t="shared" si="1"/>
        <v/>
      </c>
    </row>
    <row r="2211" ht="22.5" customHeight="1">
      <c r="B2211" s="13">
        <f>IFERROR(__xludf.DUMMYFUNCTION("""COMPUTED_VALUE"""),2206.0)</f>
        <v>2206</v>
      </c>
      <c r="C2211" s="13" t="str">
        <f>IFERROR(__xludf.DUMMYFUNCTION("""COMPUTED_VALUE"""),"M. 165/ Way Laga")</f>
        <v>M. 165/ Way Laga</v>
      </c>
      <c r="D2211" s="13" t="str">
        <f>IFERROR(__xludf.DUMMYFUNCTION("""COMPUTED_VALUE"""),"K/19/270225/2")</f>
        <v>K/19/270225/2</v>
      </c>
      <c r="E2211" s="14" t="str">
        <f>IFERROR(__xludf.DUMMYFUNCTION("""COMPUTED_VALUE"""),"Afriza (BT)")</f>
        <v>Afriza (BT)</v>
      </c>
      <c r="F2211" s="14" t="str">
        <f>IFERROR(__xludf.DUMMYFUNCTION("""COMPUTED_VALUE"""),"SELESAI (VIA PERMOHONAN)")</f>
        <v>SELESAI (VIA PERMOHONAN)</v>
      </c>
      <c r="G2211" s="17">
        <f>IFERROR(__xludf.DUMMYFUNCTION("""COMPUTED_VALUE"""),45796.579371087966)</f>
        <v>45796.57937</v>
      </c>
      <c r="H2211" s="14" t="str">
        <f>IFERROR(__xludf.DUMMYFUNCTION("""COMPUTED_VALUE"""),"Aprill (SU)")</f>
        <v>Aprill (SU)</v>
      </c>
      <c r="I2211" s="13" t="str">
        <f>IFERROR(__xludf.DUMMYFUNCTION("""COMPUTED_VALUE"""),"SELESAI (VIA PERMOHONAN)")</f>
        <v>SELESAI (VIA PERMOHONAN)</v>
      </c>
      <c r="J2211" s="17">
        <f>IFERROR(__xludf.DUMMYFUNCTION("""COMPUTED_VALUE"""),45798.611590949076)</f>
        <v>45798.61159</v>
      </c>
      <c r="K2211" s="13" t="str">
        <f>IFERROR(__xludf.DUMMYFUNCTION("""COMPUTED_VALUE"""),"Selesai")</f>
        <v>Selesai</v>
      </c>
      <c r="L2211" s="17">
        <f>IFERROR(__xludf.DUMMYFUNCTION("""COMPUTED_VALUE"""),45798.611590949076)</f>
        <v>45798.61159</v>
      </c>
      <c r="M2211" s="13"/>
      <c r="N2211" s="13" t="str">
        <f>IFERROR(__xludf.DUMMYFUNCTION("""COMPUTED_VALUE"""),"")</f>
        <v/>
      </c>
      <c r="O2211" s="13" t="str">
        <f t="shared" si="1"/>
        <v/>
      </c>
    </row>
    <row r="2212" ht="22.5" customHeight="1">
      <c r="B2212" s="13">
        <f>IFERROR(__xludf.DUMMYFUNCTION("""COMPUTED_VALUE"""),2207.0)</f>
        <v>2207</v>
      </c>
      <c r="C2212" s="13" t="str">
        <f>IFERROR(__xludf.DUMMYFUNCTION("""COMPUTED_VALUE"""),"M. 1093/ Pematang Wangi")</f>
        <v>M. 1093/ Pematang Wangi</v>
      </c>
      <c r="D2212" s="13" t="str">
        <f>IFERROR(__xludf.DUMMYFUNCTION("""COMPUTED_VALUE"""),"K/3/070525/2")</f>
        <v>K/3/070525/2</v>
      </c>
      <c r="E2212" s="14" t="str">
        <f>IFERROR(__xludf.DUMMYFUNCTION("""COMPUTED_VALUE"""),"Afriza (BT)")</f>
        <v>Afriza (BT)</v>
      </c>
      <c r="F2212" s="14" t="str">
        <f>IFERROR(__xludf.DUMMYFUNCTION("""COMPUTED_VALUE"""),"SELESAI (VIA PERMOHONAN)")</f>
        <v>SELESAI (VIA PERMOHONAN)</v>
      </c>
      <c r="G2212" s="17">
        <f>IFERROR(__xludf.DUMMYFUNCTION("""COMPUTED_VALUE"""),45796.57949962963)</f>
        <v>45796.5795</v>
      </c>
      <c r="H2212" s="14" t="str">
        <f>IFERROR(__xludf.DUMMYFUNCTION("""COMPUTED_VALUE"""),"Aprill (SU)")</f>
        <v>Aprill (SU)</v>
      </c>
      <c r="I2212" s="13" t="str">
        <f>IFERROR(__xludf.DUMMYFUNCTION("""COMPUTED_VALUE"""),"SELESAI (VIA PERMOHONAN)")</f>
        <v>SELESAI (VIA PERMOHONAN)</v>
      </c>
      <c r="J2212" s="17">
        <f>IFERROR(__xludf.DUMMYFUNCTION("""COMPUTED_VALUE"""),45798.611590949076)</f>
        <v>45798.61159</v>
      </c>
      <c r="K2212" s="13" t="str">
        <f>IFERROR(__xludf.DUMMYFUNCTION("""COMPUTED_VALUE"""),"Selesai")</f>
        <v>Selesai</v>
      </c>
      <c r="L2212" s="17">
        <f>IFERROR(__xludf.DUMMYFUNCTION("""COMPUTED_VALUE"""),45798.611590949076)</f>
        <v>45798.61159</v>
      </c>
      <c r="M2212" s="13"/>
      <c r="N2212" s="13" t="str">
        <f>IFERROR(__xludf.DUMMYFUNCTION("""COMPUTED_VALUE"""),"")</f>
        <v/>
      </c>
      <c r="O2212" s="13" t="str">
        <f t="shared" si="1"/>
        <v/>
      </c>
    </row>
    <row r="2213" ht="22.5" customHeight="1">
      <c r="B2213" s="13">
        <f>IFERROR(__xludf.DUMMYFUNCTION("""COMPUTED_VALUE"""),2208.0)</f>
        <v>2208</v>
      </c>
      <c r="C2213" s="13" t="str">
        <f>IFERROR(__xludf.DUMMYFUNCTION("""COMPUTED_VALUE"""),"M. 1163/ Beringin Raya")</f>
        <v>M. 1163/ Beringin Raya</v>
      </c>
      <c r="D2213" s="13" t="str">
        <f>IFERROR(__xludf.DUMMYFUNCTION("""COMPUTED_VALUE"""),"K/32/070525/1")</f>
        <v>K/32/070525/1</v>
      </c>
      <c r="E2213" s="14" t="str">
        <f>IFERROR(__xludf.DUMMYFUNCTION("""COMPUTED_VALUE"""),"Afriza (BT)")</f>
        <v>Afriza (BT)</v>
      </c>
      <c r="F2213" s="14" t="str">
        <f>IFERROR(__xludf.DUMMYFUNCTION("""COMPUTED_VALUE"""),"SELESAI (VIA PERMOHONAN)")</f>
        <v>SELESAI (VIA PERMOHONAN)</v>
      </c>
      <c r="G2213" s="17">
        <f>IFERROR(__xludf.DUMMYFUNCTION("""COMPUTED_VALUE"""),45796.57963638889)</f>
        <v>45796.57964</v>
      </c>
      <c r="H2213" s="14" t="str">
        <f>IFERROR(__xludf.DUMMYFUNCTION("""COMPUTED_VALUE"""),"Aprill (SU)")</f>
        <v>Aprill (SU)</v>
      </c>
      <c r="I2213" s="13" t="str">
        <f>IFERROR(__xludf.DUMMYFUNCTION("""COMPUTED_VALUE"""),"SELESAI (VIA PERMOHONAN)")</f>
        <v>SELESAI (VIA PERMOHONAN)</v>
      </c>
      <c r="J2213" s="17">
        <f>IFERROR(__xludf.DUMMYFUNCTION("""COMPUTED_VALUE"""),45798.611590949076)</f>
        <v>45798.61159</v>
      </c>
      <c r="K2213" s="13" t="str">
        <f>IFERROR(__xludf.DUMMYFUNCTION("""COMPUTED_VALUE"""),"Selesai")</f>
        <v>Selesai</v>
      </c>
      <c r="L2213" s="17">
        <f>IFERROR(__xludf.DUMMYFUNCTION("""COMPUTED_VALUE"""),45798.611590949076)</f>
        <v>45798.61159</v>
      </c>
      <c r="M2213" s="13"/>
      <c r="N2213" s="13" t="str">
        <f>IFERROR(__xludf.DUMMYFUNCTION("""COMPUTED_VALUE"""),"")</f>
        <v/>
      </c>
      <c r="O2213" s="13" t="str">
        <f t="shared" si="1"/>
        <v/>
      </c>
    </row>
    <row r="2214" ht="22.5" customHeight="1">
      <c r="B2214" s="13">
        <f>IFERROR(__xludf.DUMMYFUNCTION("""COMPUTED_VALUE"""),2209.0)</f>
        <v>2209</v>
      </c>
      <c r="C2214" s="13" t="str">
        <f>IFERROR(__xludf.DUMMYFUNCTION("""COMPUTED_VALUE"""),"HM 12252/SEGALA MIDER")</f>
        <v>HM 12252/SEGALA MIDER</v>
      </c>
      <c r="D2214" s="13" t="str">
        <f>IFERROR(__xludf.DUMMYFUNCTION("""COMPUTED_VALUE"""),"L/13/050525/1")</f>
        <v>L/13/050525/1</v>
      </c>
      <c r="E2214" s="14" t="str">
        <f>IFERROR(__xludf.DUMMYFUNCTION("""COMPUTED_VALUE"""),"Afriza (BT)")</f>
        <v>Afriza (BT)</v>
      </c>
      <c r="F2214" s="14" t="str">
        <f>IFERROR(__xludf.DUMMYFUNCTION("""COMPUTED_VALUE"""),"SELESAI (VIA PERMOHONAN)")</f>
        <v>SELESAI (VIA PERMOHONAN)</v>
      </c>
      <c r="G2214" s="17">
        <f>IFERROR(__xludf.DUMMYFUNCTION("""COMPUTED_VALUE"""),45796.579744131945)</f>
        <v>45796.57974</v>
      </c>
      <c r="H2214" s="14" t="str">
        <f>IFERROR(__xludf.DUMMYFUNCTION("""COMPUTED_VALUE"""),"Aprill (SU)")</f>
        <v>Aprill (SU)</v>
      </c>
      <c r="I2214" s="13" t="str">
        <f>IFERROR(__xludf.DUMMYFUNCTION("""COMPUTED_VALUE"""),"SELESAI (VIA PERMOHONAN)")</f>
        <v>SELESAI (VIA PERMOHONAN)</v>
      </c>
      <c r="J2214" s="17">
        <f>IFERROR(__xludf.DUMMYFUNCTION("""COMPUTED_VALUE"""),45798.611590949076)</f>
        <v>45798.61159</v>
      </c>
      <c r="K2214" s="13" t="str">
        <f>IFERROR(__xludf.DUMMYFUNCTION("""COMPUTED_VALUE"""),"Selesai")</f>
        <v>Selesai</v>
      </c>
      <c r="L2214" s="17">
        <f>IFERROR(__xludf.DUMMYFUNCTION("""COMPUTED_VALUE"""),45798.611590949076)</f>
        <v>45798.61159</v>
      </c>
      <c r="M2214" s="13"/>
      <c r="N2214" s="13" t="str">
        <f>IFERROR(__xludf.DUMMYFUNCTION("""COMPUTED_VALUE"""),"")</f>
        <v/>
      </c>
      <c r="O2214" s="13" t="str">
        <f t="shared" si="1"/>
        <v/>
      </c>
    </row>
    <row r="2215" ht="22.5" customHeight="1">
      <c r="B2215" s="13">
        <f>IFERROR(__xludf.DUMMYFUNCTION("""COMPUTED_VALUE"""),2210.0)</f>
        <v>2210</v>
      </c>
      <c r="C2215" s="13" t="str">
        <f>IFERROR(__xludf.DUMMYFUNCTION("""COMPUTED_VALUE"""),"M. 4715/ Rajabasa Jaya")</f>
        <v>M. 4715/ Rajabasa Jaya</v>
      </c>
      <c r="D2215" s="13" t="str">
        <f>IFERROR(__xludf.DUMMYFUNCTION("""COMPUTED_VALUE"""),"K/17/070525/2")</f>
        <v>K/17/070525/2</v>
      </c>
      <c r="E2215" s="14" t="str">
        <f>IFERROR(__xludf.DUMMYFUNCTION("""COMPUTED_VALUE"""),"Afriza (BT)")</f>
        <v>Afriza (BT)</v>
      </c>
      <c r="F2215" s="14" t="str">
        <f>IFERROR(__xludf.DUMMYFUNCTION("""COMPUTED_VALUE"""),"SELESAI (VIA PERMOHONAN)")</f>
        <v>SELESAI (VIA PERMOHONAN)</v>
      </c>
      <c r="G2215" s="17">
        <f>IFERROR(__xludf.DUMMYFUNCTION("""COMPUTED_VALUE"""),45796.57985663194)</f>
        <v>45796.57986</v>
      </c>
      <c r="H2215" s="14" t="str">
        <f>IFERROR(__xludf.DUMMYFUNCTION("""COMPUTED_VALUE"""),"Aprill (SU)")</f>
        <v>Aprill (SU)</v>
      </c>
      <c r="I2215" s="13" t="str">
        <f>IFERROR(__xludf.DUMMYFUNCTION("""COMPUTED_VALUE"""),"SELESAI (VIA PERMOHONAN)")</f>
        <v>SELESAI (VIA PERMOHONAN)</v>
      </c>
      <c r="J2215" s="17">
        <f>IFERROR(__xludf.DUMMYFUNCTION("""COMPUTED_VALUE"""),45798.611636574075)</f>
        <v>45798.61164</v>
      </c>
      <c r="K2215" s="13" t="str">
        <f>IFERROR(__xludf.DUMMYFUNCTION("""COMPUTED_VALUE"""),"Selesai")</f>
        <v>Selesai</v>
      </c>
      <c r="L2215" s="17">
        <f>IFERROR(__xludf.DUMMYFUNCTION("""COMPUTED_VALUE"""),45798.611636574075)</f>
        <v>45798.61164</v>
      </c>
      <c r="M2215" s="13"/>
      <c r="N2215" s="13" t="str">
        <f>IFERROR(__xludf.DUMMYFUNCTION("""COMPUTED_VALUE"""),"")</f>
        <v/>
      </c>
      <c r="O2215" s="13" t="str">
        <f t="shared" si="1"/>
        <v/>
      </c>
    </row>
    <row r="2216" ht="22.5" customHeight="1">
      <c r="B2216" s="13">
        <f>IFERROR(__xludf.DUMMYFUNCTION("""COMPUTED_VALUE"""),2211.0)</f>
        <v>2211</v>
      </c>
      <c r="C2216" s="13" t="str">
        <f>IFERROR(__xludf.DUMMYFUNCTION("""COMPUTED_VALUE"""),"M.971/KETEGUHAN; M.948/KETEGUHAN ")</f>
        <v>M.971/KETEGUHAN; M.948/KETEGUHAN </v>
      </c>
      <c r="D2216" s="13" t="str">
        <f>IFERROR(__xludf.DUMMYFUNCTION("""COMPUTED_VALUE"""),"K/2/050525/1")</f>
        <v>K/2/050525/1</v>
      </c>
      <c r="E2216" s="14" t="str">
        <f>IFERROR(__xludf.DUMMYFUNCTION("""COMPUTED_VALUE"""),"Afriza (BT)")</f>
        <v>Afriza (BT)</v>
      </c>
      <c r="F2216" s="14" t="str">
        <f>IFERROR(__xludf.DUMMYFUNCTION("""COMPUTED_VALUE"""),"SELESAI (VIA PERMOHONAN)")</f>
        <v>SELESAI (VIA PERMOHONAN)</v>
      </c>
      <c r="G2216" s="17">
        <f>IFERROR(__xludf.DUMMYFUNCTION("""COMPUTED_VALUE"""),45796.57998553241)</f>
        <v>45796.57999</v>
      </c>
      <c r="H2216" s="14" t="str">
        <f>IFERROR(__xludf.DUMMYFUNCTION("""COMPUTED_VALUE"""),"Aprill (SU)")</f>
        <v>Aprill (SU)</v>
      </c>
      <c r="I2216" s="13" t="str">
        <f>IFERROR(__xludf.DUMMYFUNCTION("""COMPUTED_VALUE"""),"SELESAI (VIA PERMOHONAN)")</f>
        <v>SELESAI (VIA PERMOHONAN)</v>
      </c>
      <c r="J2216" s="17">
        <f>IFERROR(__xludf.DUMMYFUNCTION("""COMPUTED_VALUE"""),45798.611636574075)</f>
        <v>45798.61164</v>
      </c>
      <c r="K2216" s="13" t="str">
        <f>IFERROR(__xludf.DUMMYFUNCTION("""COMPUTED_VALUE"""),"Selesai")</f>
        <v>Selesai</v>
      </c>
      <c r="L2216" s="17">
        <f>IFERROR(__xludf.DUMMYFUNCTION("""COMPUTED_VALUE"""),45798.611636574075)</f>
        <v>45798.61164</v>
      </c>
      <c r="M2216" s="13"/>
      <c r="N2216" s="13" t="str">
        <f>IFERROR(__xludf.DUMMYFUNCTION("""COMPUTED_VALUE"""),"")</f>
        <v/>
      </c>
      <c r="O2216" s="13" t="str">
        <f t="shared" si="1"/>
        <v/>
      </c>
    </row>
    <row r="2217" ht="22.5" customHeight="1">
      <c r="B2217" s="13">
        <f>IFERROR(__xludf.DUMMYFUNCTION("""COMPUTED_VALUE"""),2212.0)</f>
        <v>2212</v>
      </c>
      <c r="C2217" s="13" t="str">
        <f>IFERROR(__xludf.DUMMYFUNCTION("""COMPUTED_VALUE"""),"M. 677/ Ketapang")</f>
        <v>M. 677/ Ketapang</v>
      </c>
      <c r="D2217" s="13" t="str">
        <f>IFERROR(__xludf.DUMMYFUNCTION("""COMPUTED_VALUE"""),"K/4/220425/2")</f>
        <v>K/4/220425/2</v>
      </c>
      <c r="E2217" s="14" t="str">
        <f>IFERROR(__xludf.DUMMYFUNCTION("""COMPUTED_VALUE"""),"Afriza (BT)")</f>
        <v>Afriza (BT)</v>
      </c>
      <c r="F2217" s="14" t="str">
        <f>IFERROR(__xludf.DUMMYFUNCTION("""COMPUTED_VALUE"""),"SELESAI (VIA PERMOHONAN)")</f>
        <v>SELESAI (VIA PERMOHONAN)</v>
      </c>
      <c r="G2217" s="17">
        <f>IFERROR(__xludf.DUMMYFUNCTION("""COMPUTED_VALUE"""),45796.580141620376)</f>
        <v>45796.58014</v>
      </c>
      <c r="H2217" s="14" t="str">
        <f>IFERROR(__xludf.DUMMYFUNCTION("""COMPUTED_VALUE"""),"Aprill (SU)")</f>
        <v>Aprill (SU)</v>
      </c>
      <c r="I2217" s="13" t="str">
        <f>IFERROR(__xludf.DUMMYFUNCTION("""COMPUTED_VALUE"""),"SELESAI (VIA PERMOHONAN)")</f>
        <v>SELESAI (VIA PERMOHONAN)</v>
      </c>
      <c r="J2217" s="17">
        <f>IFERROR(__xludf.DUMMYFUNCTION("""COMPUTED_VALUE"""),45798.61166978009)</f>
        <v>45798.61167</v>
      </c>
      <c r="K2217" s="13" t="str">
        <f>IFERROR(__xludf.DUMMYFUNCTION("""COMPUTED_VALUE"""),"Selesai")</f>
        <v>Selesai</v>
      </c>
      <c r="L2217" s="17">
        <f>IFERROR(__xludf.DUMMYFUNCTION("""COMPUTED_VALUE"""),45798.61166978009)</f>
        <v>45798.61167</v>
      </c>
      <c r="M2217" s="13"/>
      <c r="N2217" s="13" t="str">
        <f>IFERROR(__xludf.DUMMYFUNCTION("""COMPUTED_VALUE"""),"")</f>
        <v/>
      </c>
      <c r="O2217" s="13" t="str">
        <f t="shared" si="1"/>
        <v/>
      </c>
    </row>
    <row r="2218" ht="22.5" customHeight="1">
      <c r="B2218" s="13">
        <f>IFERROR(__xludf.DUMMYFUNCTION("""COMPUTED_VALUE"""),2213.0)</f>
        <v>2213</v>
      </c>
      <c r="C2218" s="13" t="str">
        <f>IFERROR(__xludf.DUMMYFUNCTION("""COMPUTED_VALUE"""),"M. 1483/ Bumi Waras")</f>
        <v>M. 1483/ Bumi Waras</v>
      </c>
      <c r="D2218" s="13" t="str">
        <f>IFERROR(__xludf.DUMMYFUNCTION("""COMPUTED_VALUE""")," K/5/060525/1")</f>
        <v> K/5/060525/1</v>
      </c>
      <c r="E2218" s="14" t="str">
        <f>IFERROR(__xludf.DUMMYFUNCTION("""COMPUTED_VALUE"""),"Heri (BT)")</f>
        <v>Heri (BT)</v>
      </c>
      <c r="F2218" s="14" t="str">
        <f>IFERROR(__xludf.DUMMYFUNCTION("""COMPUTED_VALUE"""),"SELESAI (VIA PERMOHONAN)")</f>
        <v>SELESAI (VIA PERMOHONAN)</v>
      </c>
      <c r="G2218" s="17">
        <f>IFERROR(__xludf.DUMMYFUNCTION("""COMPUTED_VALUE"""),45797.325429502314)</f>
        <v>45797.32543</v>
      </c>
      <c r="H2218" s="14" t="str">
        <f>IFERROR(__xludf.DUMMYFUNCTION("""COMPUTED_VALUE"""),"Bu Eva (SU)")</f>
        <v>Bu Eva (SU)</v>
      </c>
      <c r="I2218" s="13" t="str">
        <f>IFERROR(__xludf.DUMMYFUNCTION("""COMPUTED_VALUE"""),"SELESAI (VIA PERMOHONAN)")</f>
        <v>SELESAI (VIA PERMOHONAN)</v>
      </c>
      <c r="J2218" s="17">
        <f>IFERROR(__xludf.DUMMYFUNCTION("""COMPUTED_VALUE"""),45798.370079120374)</f>
        <v>45798.37008</v>
      </c>
      <c r="K2218" s="13" t="str">
        <f>IFERROR(__xludf.DUMMYFUNCTION("""COMPUTED_VALUE"""),"Selesai")</f>
        <v>Selesai</v>
      </c>
      <c r="L2218" s="17">
        <f>IFERROR(__xludf.DUMMYFUNCTION("""COMPUTED_VALUE"""),45798.370079120374)</f>
        <v>45798.37008</v>
      </c>
      <c r="M2218" s="13"/>
      <c r="N2218" s="13" t="str">
        <f>IFERROR(__xludf.DUMMYFUNCTION("""COMPUTED_VALUE"""),"")</f>
        <v/>
      </c>
      <c r="O2218" s="13" t="str">
        <f t="shared" si="1"/>
        <v/>
      </c>
    </row>
    <row r="2219" ht="22.5" customHeight="1">
      <c r="B2219" s="13">
        <f>IFERROR(__xludf.DUMMYFUNCTION("""COMPUTED_VALUE"""),2214.0)</f>
        <v>2214</v>
      </c>
      <c r="C2219" s="13" t="str">
        <f>IFERROR(__xludf.DUMMYFUNCTION("""COMPUTED_VALUE"""),"M.1372/BAKUNG")</f>
        <v>M.1372/BAKUNG</v>
      </c>
      <c r="D2219" s="13" t="str">
        <f>IFERROR(__xludf.DUMMYFUNCTION("""COMPUTED_VALUE"""),"K/5/130325/1")</f>
        <v>K/5/130325/1</v>
      </c>
      <c r="E2219" s="14" t="str">
        <f>IFERROR(__xludf.DUMMYFUNCTION("""COMPUTED_VALUE"""),"Heri (BT)")</f>
        <v>Heri (BT)</v>
      </c>
      <c r="F2219" s="14" t="str">
        <f>IFERROR(__xludf.DUMMYFUNCTION("""COMPUTED_VALUE"""),"SELESAI (VIA PERMOHONAN)")</f>
        <v>SELESAI (VIA PERMOHONAN)</v>
      </c>
      <c r="G2219" s="17">
        <f>IFERROR(__xludf.DUMMYFUNCTION("""COMPUTED_VALUE"""),45797.32597895833)</f>
        <v>45797.32598</v>
      </c>
      <c r="H2219" s="14" t="str">
        <f>IFERROR(__xludf.DUMMYFUNCTION("""COMPUTED_VALUE"""),"Bu Eva (SU)")</f>
        <v>Bu Eva (SU)</v>
      </c>
      <c r="I2219" s="13" t="str">
        <f>IFERROR(__xludf.DUMMYFUNCTION("""COMPUTED_VALUE"""),"SELESAI (VIA PERMOHONAN)")</f>
        <v>SELESAI (VIA PERMOHONAN)</v>
      </c>
      <c r="J2219" s="17">
        <f>IFERROR(__xludf.DUMMYFUNCTION("""COMPUTED_VALUE"""),45798.370079120374)</f>
        <v>45798.37008</v>
      </c>
      <c r="K2219" s="13" t="str">
        <f>IFERROR(__xludf.DUMMYFUNCTION("""COMPUTED_VALUE"""),"Selesai")</f>
        <v>Selesai</v>
      </c>
      <c r="L2219" s="17">
        <f>IFERROR(__xludf.DUMMYFUNCTION("""COMPUTED_VALUE"""),45798.370079120374)</f>
        <v>45798.37008</v>
      </c>
      <c r="M2219" s="13"/>
      <c r="N2219" s="13" t="str">
        <f>IFERROR(__xludf.DUMMYFUNCTION("""COMPUTED_VALUE"""),"")</f>
        <v/>
      </c>
      <c r="O2219" s="13" t="str">
        <f t="shared" si="1"/>
        <v/>
      </c>
    </row>
    <row r="2220" ht="22.5" customHeight="1">
      <c r="B2220" s="13">
        <f>IFERROR(__xludf.DUMMYFUNCTION("""COMPUTED_VALUE"""),2215.0)</f>
        <v>2215</v>
      </c>
      <c r="C2220" s="13" t="str">
        <f>IFERROR(__xludf.DUMMYFUNCTION("""COMPUTED_VALUE"""),"M.903/GOTONG ROYONG")</f>
        <v>M.903/GOTONG ROYONG</v>
      </c>
      <c r="D2220" s="13"/>
      <c r="E2220" s="14" t="str">
        <f>IFERROR(__xludf.DUMMYFUNCTION("""COMPUTED_VALUE"""),"Heri (BT)")</f>
        <v>Heri (BT)</v>
      </c>
      <c r="F2220" s="14" t="str">
        <f>IFERROR(__xludf.DUMMYFUNCTION("""COMPUTED_VALUE"""),"SELESAI (VIA PERMOHONAN)")</f>
        <v>SELESAI (VIA PERMOHONAN)</v>
      </c>
      <c r="G2220" s="17">
        <f>IFERROR(__xludf.DUMMYFUNCTION("""COMPUTED_VALUE"""),45797.32659099537)</f>
        <v>45797.32659</v>
      </c>
      <c r="H2220" s="14" t="str">
        <f>IFERROR(__xludf.DUMMYFUNCTION("""COMPUTED_VALUE"""),"Bu Eva (SU)")</f>
        <v>Bu Eva (SU)</v>
      </c>
      <c r="I2220" s="13" t="str">
        <f>IFERROR(__xludf.DUMMYFUNCTION("""COMPUTED_VALUE"""),"SELESAI (VIA PERMOHONAN)")</f>
        <v>SELESAI (VIA PERMOHONAN)</v>
      </c>
      <c r="J2220" s="17">
        <f>IFERROR(__xludf.DUMMYFUNCTION("""COMPUTED_VALUE"""),45798.370079120374)</f>
        <v>45798.37008</v>
      </c>
      <c r="K2220" s="13" t="str">
        <f>IFERROR(__xludf.DUMMYFUNCTION("""COMPUTED_VALUE"""),"")</f>
        <v/>
      </c>
      <c r="L2220" s="13" t="str">
        <f>IFERROR(__xludf.DUMMYFUNCTION("""COMPUTED_VALUE"""),"")</f>
        <v/>
      </c>
      <c r="M2220" s="13"/>
      <c r="N2220" s="13" t="str">
        <f>IFERROR(__xludf.DUMMYFUNCTION("""COMPUTED_VALUE"""),"")</f>
        <v/>
      </c>
      <c r="O2220" s="13" t="str">
        <f t="shared" si="1"/>
        <v/>
      </c>
    </row>
    <row r="2221" ht="22.5" customHeight="1">
      <c r="B2221" s="13">
        <f>IFERROR(__xludf.DUMMYFUNCTION("""COMPUTED_VALUE"""),2216.0)</f>
        <v>2216</v>
      </c>
      <c r="C2221" s="13" t="str">
        <f>IFERROR(__xludf.DUMMYFUNCTION("""COMPUTED_VALUE"""),"M.638/KUPANG KOTA")</f>
        <v>M.638/KUPANG KOTA</v>
      </c>
      <c r="D2221" s="13" t="str">
        <f>IFERROR(__xludf.DUMMYFUNCTION("""COMPUTED_VALUE"""),"K/8/080525/2")</f>
        <v>K/8/080525/2</v>
      </c>
      <c r="E2221" s="14" t="str">
        <f>IFERROR(__xludf.DUMMYFUNCTION("""COMPUTED_VALUE"""),"Heri (BT)")</f>
        <v>Heri (BT)</v>
      </c>
      <c r="F2221" s="14" t="str">
        <f>IFERROR(__xludf.DUMMYFUNCTION("""COMPUTED_VALUE"""),"SELESAI (VIA PERMOHONAN)")</f>
        <v>SELESAI (VIA PERMOHONAN)</v>
      </c>
      <c r="G2221" s="17">
        <f>IFERROR(__xludf.DUMMYFUNCTION("""COMPUTED_VALUE"""),45797.326919837964)</f>
        <v>45797.32692</v>
      </c>
      <c r="H2221" s="14" t="str">
        <f>IFERROR(__xludf.DUMMYFUNCTION("""COMPUTED_VALUE"""),"Bu Eva (SU)")</f>
        <v>Bu Eva (SU)</v>
      </c>
      <c r="I2221" s="13" t="str">
        <f>IFERROR(__xludf.DUMMYFUNCTION("""COMPUTED_VALUE"""),"SELESAI (VIA PERMOHONAN)")</f>
        <v>SELESAI (VIA PERMOHONAN)</v>
      </c>
      <c r="J2221" s="17">
        <f>IFERROR(__xludf.DUMMYFUNCTION("""COMPUTED_VALUE"""),45798.370079120374)</f>
        <v>45798.37008</v>
      </c>
      <c r="K2221" s="13" t="str">
        <f>IFERROR(__xludf.DUMMYFUNCTION("""COMPUTED_VALUE"""),"Selesai")</f>
        <v>Selesai</v>
      </c>
      <c r="L2221" s="17">
        <f>IFERROR(__xludf.DUMMYFUNCTION("""COMPUTED_VALUE"""),45798.370079120374)</f>
        <v>45798.37008</v>
      </c>
      <c r="M2221" s="13"/>
      <c r="N2221" s="13" t="str">
        <f>IFERROR(__xludf.DUMMYFUNCTION("""COMPUTED_VALUE"""),"")</f>
        <v/>
      </c>
      <c r="O2221" s="13" t="str">
        <f t="shared" si="1"/>
        <v/>
      </c>
    </row>
    <row r="2222" ht="22.5" customHeight="1">
      <c r="B2222" s="13">
        <f>IFERROR(__xludf.DUMMYFUNCTION("""COMPUTED_VALUE"""),2217.0)</f>
        <v>2217</v>
      </c>
      <c r="C2222" s="13" t="str">
        <f>IFERROR(__xludf.DUMMYFUNCTION("""COMPUTED_VALUE"""),"M.12005/JAGABAYA II")</f>
        <v>M.12005/JAGABAYA II</v>
      </c>
      <c r="D2222" s="13" t="str">
        <f>IFERROR(__xludf.DUMMYFUNCTION("""COMPUTED_VALUE"""),"K/21/200325/1")</f>
        <v>K/21/200325/1</v>
      </c>
      <c r="E2222" s="14" t="str">
        <f>IFERROR(__xludf.DUMMYFUNCTION("""COMPUTED_VALUE"""),"Heri (BT)")</f>
        <v>Heri (BT)</v>
      </c>
      <c r="F2222" s="14" t="str">
        <f>IFERROR(__xludf.DUMMYFUNCTION("""COMPUTED_VALUE"""),"SELESAI (VIA PERMOHONAN)")</f>
        <v>SELESAI (VIA PERMOHONAN)</v>
      </c>
      <c r="G2222" s="17">
        <f>IFERROR(__xludf.DUMMYFUNCTION("""COMPUTED_VALUE"""),45797.32708440972)</f>
        <v>45797.32708</v>
      </c>
      <c r="H2222" s="14" t="str">
        <f>IFERROR(__xludf.DUMMYFUNCTION("""COMPUTED_VALUE"""),"Bu Eva (SU)")</f>
        <v>Bu Eva (SU)</v>
      </c>
      <c r="I2222" s="13" t="str">
        <f>IFERROR(__xludf.DUMMYFUNCTION("""COMPUTED_VALUE"""),"SELESAI (VIA PERMOHONAN)")</f>
        <v>SELESAI (VIA PERMOHONAN)</v>
      </c>
      <c r="J2222" s="17">
        <f>IFERROR(__xludf.DUMMYFUNCTION("""COMPUTED_VALUE"""),45798.370079120374)</f>
        <v>45798.37008</v>
      </c>
      <c r="K2222" s="13" t="str">
        <f>IFERROR(__xludf.DUMMYFUNCTION("""COMPUTED_VALUE"""),"Selesai")</f>
        <v>Selesai</v>
      </c>
      <c r="L2222" s="17">
        <f>IFERROR(__xludf.DUMMYFUNCTION("""COMPUTED_VALUE"""),45798.370079120374)</f>
        <v>45798.37008</v>
      </c>
      <c r="M2222" s="13"/>
      <c r="N2222" s="13" t="str">
        <f>IFERROR(__xludf.DUMMYFUNCTION("""COMPUTED_VALUE"""),"")</f>
        <v/>
      </c>
      <c r="O2222" s="13" t="str">
        <f t="shared" si="1"/>
        <v/>
      </c>
    </row>
    <row r="2223" ht="22.5" customHeight="1">
      <c r="B2223" s="13">
        <f>IFERROR(__xludf.DUMMYFUNCTION("""COMPUTED_VALUE"""),2218.0)</f>
        <v>2218</v>
      </c>
      <c r="C2223" s="13" t="str">
        <f>IFERROR(__xludf.DUMMYFUNCTION("""COMPUTED_VALUE"""),"B.180/RAJABASA NUNYAI")</f>
        <v>B.180/RAJABASA NUNYAI</v>
      </c>
      <c r="D2223" s="13" t="str">
        <f>IFERROR(__xludf.DUMMYFUNCTION("""COMPUTED_VALUE"""),"K/21/070525/1")</f>
        <v>K/21/070525/1</v>
      </c>
      <c r="E2223" s="14" t="str">
        <f>IFERROR(__xludf.DUMMYFUNCTION("""COMPUTED_VALUE"""),"Heri (BT)")</f>
        <v>Heri (BT)</v>
      </c>
      <c r="F2223" s="14" t="str">
        <f>IFERROR(__xludf.DUMMYFUNCTION("""COMPUTED_VALUE"""),"SELESAI (VIA PERMOHONAN)")</f>
        <v>SELESAI (VIA PERMOHONAN)</v>
      </c>
      <c r="G2223" s="17">
        <f>IFERROR(__xludf.DUMMYFUNCTION("""COMPUTED_VALUE"""),45797.32733782407)</f>
        <v>45797.32734</v>
      </c>
      <c r="H2223" s="14" t="str">
        <f>IFERROR(__xludf.DUMMYFUNCTION("""COMPUTED_VALUE"""),"Bu Eva (SU)")</f>
        <v>Bu Eva (SU)</v>
      </c>
      <c r="I2223" s="13" t="str">
        <f>IFERROR(__xludf.DUMMYFUNCTION("""COMPUTED_VALUE"""),"SELESAI (VIA PERMOHONAN)")</f>
        <v>SELESAI (VIA PERMOHONAN)</v>
      </c>
      <c r="J2223" s="17">
        <f>IFERROR(__xludf.DUMMYFUNCTION("""COMPUTED_VALUE"""),45798.370079120374)</f>
        <v>45798.37008</v>
      </c>
      <c r="K2223" s="13" t="str">
        <f>IFERROR(__xludf.DUMMYFUNCTION("""COMPUTED_VALUE"""),"Selesai")</f>
        <v>Selesai</v>
      </c>
      <c r="L2223" s="17">
        <f>IFERROR(__xludf.DUMMYFUNCTION("""COMPUTED_VALUE"""),45798.370079120374)</f>
        <v>45798.37008</v>
      </c>
      <c r="M2223" s="13"/>
      <c r="N2223" s="13" t="str">
        <f>IFERROR(__xludf.DUMMYFUNCTION("""COMPUTED_VALUE"""),"")</f>
        <v/>
      </c>
      <c r="O2223" s="13" t="str">
        <f t="shared" si="1"/>
        <v/>
      </c>
    </row>
    <row r="2224" ht="22.5" customHeight="1">
      <c r="B2224" s="13">
        <f>IFERROR(__xludf.DUMMYFUNCTION("""COMPUTED_VALUE"""),2219.0)</f>
        <v>2219</v>
      </c>
      <c r="C2224" s="13" t="str">
        <f>IFERROR(__xludf.DUMMYFUNCTION("""COMPUTED_VALUE"""),"M.752/SUMBEREJO SEJAHTERA")</f>
        <v>M.752/SUMBEREJO SEJAHTERA</v>
      </c>
      <c r="D2224" s="13" t="str">
        <f>IFERROR(__xludf.DUMMYFUNCTION("""COMPUTED_VALUE"""),"K/38/290425/3")</f>
        <v>K/38/290425/3</v>
      </c>
      <c r="E2224" s="14" t="str">
        <f>IFERROR(__xludf.DUMMYFUNCTION("""COMPUTED_VALUE"""),"Heri (BT)")</f>
        <v>Heri (BT)</v>
      </c>
      <c r="F2224" s="14" t="str">
        <f>IFERROR(__xludf.DUMMYFUNCTION("""COMPUTED_VALUE"""),"SELESAI (VIA PERMOHONAN)")</f>
        <v>SELESAI (VIA PERMOHONAN)</v>
      </c>
      <c r="G2224" s="17">
        <f>IFERROR(__xludf.DUMMYFUNCTION("""COMPUTED_VALUE"""),45797.32795831018)</f>
        <v>45797.32796</v>
      </c>
      <c r="H2224" s="14" t="str">
        <f>IFERROR(__xludf.DUMMYFUNCTION("""COMPUTED_VALUE"""),"Bu Eva (SU)")</f>
        <v>Bu Eva (SU)</v>
      </c>
      <c r="I2224" s="13" t="str">
        <f>IFERROR(__xludf.DUMMYFUNCTION("""COMPUTED_VALUE"""),"SELESAI (VIA PERMOHONAN)")</f>
        <v>SELESAI (VIA PERMOHONAN)</v>
      </c>
      <c r="J2224" s="17">
        <f>IFERROR(__xludf.DUMMYFUNCTION("""COMPUTED_VALUE"""),45798.370079120374)</f>
        <v>45798.37008</v>
      </c>
      <c r="K2224" s="13" t="str">
        <f>IFERROR(__xludf.DUMMYFUNCTION("""COMPUTED_VALUE"""),"Selesai")</f>
        <v>Selesai</v>
      </c>
      <c r="L2224" s="17">
        <f>IFERROR(__xludf.DUMMYFUNCTION("""COMPUTED_VALUE"""),45798.370079120374)</f>
        <v>45798.37008</v>
      </c>
      <c r="M2224" s="13"/>
      <c r="N2224" s="13" t="str">
        <f>IFERROR(__xludf.DUMMYFUNCTION("""COMPUTED_VALUE"""),"")</f>
        <v/>
      </c>
      <c r="O2224" s="13" t="str">
        <f t="shared" si="1"/>
        <v/>
      </c>
    </row>
    <row r="2225" ht="22.5" customHeight="1">
      <c r="B2225" s="13">
        <f>IFERROR(__xludf.DUMMYFUNCTION("""COMPUTED_VALUE"""),2220.0)</f>
        <v>2220</v>
      </c>
      <c r="C2225" s="13" t="str">
        <f>IFERROR(__xludf.DUMMYFUNCTION("""COMPUTED_VALUE"""),"M.1666/LABUHAN RATU RAYA")</f>
        <v>M.1666/LABUHAN RATU RAYA</v>
      </c>
      <c r="D2225" s="13" t="str">
        <f>IFERROR(__xludf.DUMMYFUNCTION("""COMPUTED_VALUE"""),"K/3/160525/1")</f>
        <v>K/3/160525/1</v>
      </c>
      <c r="E2225" s="14" t="str">
        <f>IFERROR(__xludf.DUMMYFUNCTION("""COMPUTED_VALUE"""),"Heri (BT)")</f>
        <v>Heri (BT)</v>
      </c>
      <c r="F2225" s="14" t="str">
        <f>IFERROR(__xludf.DUMMYFUNCTION("""COMPUTED_VALUE"""),"SELESAI (VIA PERMOHONAN)")</f>
        <v>SELESAI (VIA PERMOHONAN)</v>
      </c>
      <c r="G2225" s="17">
        <f>IFERROR(__xludf.DUMMYFUNCTION("""COMPUTED_VALUE"""),45797.38009875)</f>
        <v>45797.3801</v>
      </c>
      <c r="H2225" s="14" t="str">
        <f>IFERROR(__xludf.DUMMYFUNCTION("""COMPUTED_VALUE"""),"Bu Eva (SU)")</f>
        <v>Bu Eva (SU)</v>
      </c>
      <c r="I2225" s="13" t="str">
        <f>IFERROR(__xludf.DUMMYFUNCTION("""COMPUTED_VALUE"""),"SELESAI (VIA PERMOHONAN)")</f>
        <v>SELESAI (VIA PERMOHONAN)</v>
      </c>
      <c r="J2225" s="17">
        <f>IFERROR(__xludf.DUMMYFUNCTION("""COMPUTED_VALUE"""),45798.37033902778)</f>
        <v>45798.37034</v>
      </c>
      <c r="K2225" s="13" t="str">
        <f>IFERROR(__xludf.DUMMYFUNCTION("""COMPUTED_VALUE"""),"Selesai")</f>
        <v>Selesai</v>
      </c>
      <c r="L2225" s="17">
        <f>IFERROR(__xludf.DUMMYFUNCTION("""COMPUTED_VALUE"""),45798.37033902778)</f>
        <v>45798.37034</v>
      </c>
      <c r="M2225" s="13"/>
      <c r="N2225" s="13" t="str">
        <f>IFERROR(__xludf.DUMMYFUNCTION("""COMPUTED_VALUE"""),"")</f>
        <v/>
      </c>
      <c r="O2225" s="13" t="str">
        <f t="shared" si="1"/>
        <v/>
      </c>
    </row>
    <row r="2226" ht="22.5" customHeight="1">
      <c r="B2226" s="13">
        <f>IFERROR(__xludf.DUMMYFUNCTION("""COMPUTED_VALUE"""),2221.0)</f>
        <v>2221</v>
      </c>
      <c r="C2226" s="13" t="str">
        <f>IFERROR(__xludf.DUMMYFUNCTION("""COMPUTED_VALUE"""),"M. 2885/ Gunung Terang")</f>
        <v>M. 2885/ Gunung Terang</v>
      </c>
      <c r="D2226" s="13" t="str">
        <f>IFERROR(__xludf.DUMMYFUNCTION("""COMPUTED_VALUE"""),"K/24/290425/1")</f>
        <v>K/24/290425/1</v>
      </c>
      <c r="E2226" s="14" t="str">
        <f>IFERROR(__xludf.DUMMYFUNCTION("""COMPUTED_VALUE"""),"Afriza (BT)")</f>
        <v>Afriza (BT)</v>
      </c>
      <c r="F2226" s="14" t="str">
        <f>IFERROR(__xludf.DUMMYFUNCTION("""COMPUTED_VALUE"""),"SELESAI (VIA PERMOHONAN)")</f>
        <v>SELESAI (VIA PERMOHONAN)</v>
      </c>
      <c r="G2226" s="17">
        <f>IFERROR(__xludf.DUMMYFUNCTION("""COMPUTED_VALUE"""),45797.67504677083)</f>
        <v>45797.67505</v>
      </c>
      <c r="H2226" s="14" t="str">
        <f>IFERROR(__xludf.DUMMYFUNCTION("""COMPUTED_VALUE"""),"Bu Eva (SU)")</f>
        <v>Bu Eva (SU)</v>
      </c>
      <c r="I2226" s="13" t="str">
        <f>IFERROR(__xludf.DUMMYFUNCTION("""COMPUTED_VALUE"""),"SELESAI (VIA PERMOHONAN)")</f>
        <v>SELESAI (VIA PERMOHONAN)</v>
      </c>
      <c r="J2226" s="17">
        <f>IFERROR(__xludf.DUMMYFUNCTION("""COMPUTED_VALUE"""),45797.67511861111)</f>
        <v>45797.67512</v>
      </c>
      <c r="K2226" s="13" t="str">
        <f>IFERROR(__xludf.DUMMYFUNCTION("""COMPUTED_VALUE"""),"Selesai")</f>
        <v>Selesai</v>
      </c>
      <c r="L2226" s="17">
        <f>IFERROR(__xludf.DUMMYFUNCTION("""COMPUTED_VALUE"""),45797.67511861111)</f>
        <v>45797.67512</v>
      </c>
      <c r="M2226" s="13"/>
      <c r="N2226" s="13" t="str">
        <f>IFERROR(__xludf.DUMMYFUNCTION("""COMPUTED_VALUE"""),"")</f>
        <v/>
      </c>
      <c r="O2226" s="13" t="str">
        <f t="shared" si="1"/>
        <v/>
      </c>
    </row>
    <row r="2227" ht="22.5" customHeight="1">
      <c r="B2227" s="13">
        <f>IFERROR(__xludf.DUMMYFUNCTION("""COMPUTED_VALUE"""),2222.0)</f>
        <v>2222</v>
      </c>
      <c r="C2227" s="13" t="str">
        <f>IFERROR(__xludf.DUMMYFUNCTION("""COMPUTED_VALUE"""),"M. 212/ Kemiling Permai")</f>
        <v>M. 212/ Kemiling Permai</v>
      </c>
      <c r="D2227" s="13" t="str">
        <f>IFERROR(__xludf.DUMMYFUNCTION("""COMPUTED_VALUE"""),"K/24/090525/1")</f>
        <v>K/24/090525/1</v>
      </c>
      <c r="E2227" s="14" t="str">
        <f>IFERROR(__xludf.DUMMYFUNCTION("""COMPUTED_VALUE"""),"Afriza (BT)")</f>
        <v>Afriza (BT)</v>
      </c>
      <c r="F2227" s="14" t="str">
        <f>IFERROR(__xludf.DUMMYFUNCTION("""COMPUTED_VALUE"""),"SELESAI (VIA PERMOHONAN)")</f>
        <v>SELESAI (VIA PERMOHONAN)</v>
      </c>
      <c r="G2227" s="17">
        <f>IFERROR(__xludf.DUMMYFUNCTION("""COMPUTED_VALUE"""),45797.776878749995)</f>
        <v>45797.77688</v>
      </c>
      <c r="H2227" s="14" t="str">
        <f>IFERROR(__xludf.DUMMYFUNCTION("""COMPUTED_VALUE"""),"Aprill (SU)")</f>
        <v>Aprill (SU)</v>
      </c>
      <c r="I2227" s="13" t="str">
        <f>IFERROR(__xludf.DUMMYFUNCTION("""COMPUTED_VALUE"""),"SELESAI (VIA PERMOHONAN)")</f>
        <v>SELESAI (VIA PERMOHONAN)</v>
      </c>
      <c r="J2227" s="17">
        <f>IFERROR(__xludf.DUMMYFUNCTION("""COMPUTED_VALUE"""),45798.611708842596)</f>
        <v>45798.61171</v>
      </c>
      <c r="K2227" s="13" t="str">
        <f>IFERROR(__xludf.DUMMYFUNCTION("""COMPUTED_VALUE"""),"Selesai")</f>
        <v>Selesai</v>
      </c>
      <c r="L2227" s="17">
        <f>IFERROR(__xludf.DUMMYFUNCTION("""COMPUTED_VALUE"""),45798.611708842596)</f>
        <v>45798.61171</v>
      </c>
      <c r="M2227" s="13"/>
      <c r="N2227" s="13" t="str">
        <f>IFERROR(__xludf.DUMMYFUNCTION("""COMPUTED_VALUE"""),"")</f>
        <v/>
      </c>
      <c r="O2227" s="13" t="str">
        <f t="shared" si="1"/>
        <v/>
      </c>
    </row>
    <row r="2228" ht="22.5" customHeight="1">
      <c r="B2228" s="13">
        <f>IFERROR(__xludf.DUMMYFUNCTION("""COMPUTED_VALUE"""),2223.0)</f>
        <v>2223</v>
      </c>
      <c r="C2228" s="13" t="str">
        <f>IFERROR(__xludf.DUMMYFUNCTION("""COMPUTED_VALUE"""),"M. 10251/ Segala Mider")</f>
        <v>M. 10251/ Segala Mider</v>
      </c>
      <c r="D2228" s="13" t="str">
        <f>IFERROR(__xludf.DUMMYFUNCTION("""COMPUTED_VALUE"""),"K/11/050525/1")</f>
        <v>K/11/050525/1</v>
      </c>
      <c r="E2228" s="14" t="str">
        <f>IFERROR(__xludf.DUMMYFUNCTION("""COMPUTED_VALUE"""),"Afriza (BT)")</f>
        <v>Afriza (BT)</v>
      </c>
      <c r="F2228" s="14" t="str">
        <f>IFERROR(__xludf.DUMMYFUNCTION("""COMPUTED_VALUE"""),"SELESAI (VIA PERMOHONAN)")</f>
        <v>SELESAI (VIA PERMOHONAN)</v>
      </c>
      <c r="G2228" s="17">
        <f>IFERROR(__xludf.DUMMYFUNCTION("""COMPUTED_VALUE"""),45797.77698766204)</f>
        <v>45797.77699</v>
      </c>
      <c r="H2228" s="14" t="str">
        <f>IFERROR(__xludf.DUMMYFUNCTION("""COMPUTED_VALUE"""),"Aprill (SU)")</f>
        <v>Aprill (SU)</v>
      </c>
      <c r="I2228" s="13" t="str">
        <f>IFERROR(__xludf.DUMMYFUNCTION("""COMPUTED_VALUE"""),"SELESAI (VIA PERMOHONAN)")</f>
        <v>SELESAI (VIA PERMOHONAN)</v>
      </c>
      <c r="J2228" s="17">
        <f>IFERROR(__xludf.DUMMYFUNCTION("""COMPUTED_VALUE"""),45798.611708842596)</f>
        <v>45798.61171</v>
      </c>
      <c r="K2228" s="13" t="str">
        <f>IFERROR(__xludf.DUMMYFUNCTION("""COMPUTED_VALUE"""),"Selesai")</f>
        <v>Selesai</v>
      </c>
      <c r="L2228" s="17">
        <f>IFERROR(__xludf.DUMMYFUNCTION("""COMPUTED_VALUE"""),45798.611708842596)</f>
        <v>45798.61171</v>
      </c>
      <c r="M2228" s="13"/>
      <c r="N2228" s="13" t="str">
        <f>IFERROR(__xludf.DUMMYFUNCTION("""COMPUTED_VALUE"""),"")</f>
        <v/>
      </c>
      <c r="O2228" s="13" t="str">
        <f t="shared" si="1"/>
        <v/>
      </c>
    </row>
    <row r="2229" ht="22.5" customHeight="1">
      <c r="B2229" s="13">
        <f>IFERROR(__xludf.DUMMYFUNCTION("""COMPUTED_VALUE"""),2224.0)</f>
        <v>2224</v>
      </c>
      <c r="C2229" s="13" t="str">
        <f>IFERROR(__xludf.DUMMYFUNCTION("""COMPUTED_VALUE"""),"B. 1240/ Way Halim Permai")</f>
        <v>B. 1240/ Way Halim Permai</v>
      </c>
      <c r="D2229" s="13" t="str">
        <f>IFERROR(__xludf.DUMMYFUNCTION("""COMPUTED_VALUE"""),"K/7/160425/1")</f>
        <v>K/7/160425/1</v>
      </c>
      <c r="E2229" s="14" t="str">
        <f>IFERROR(__xludf.DUMMYFUNCTION("""COMPUTED_VALUE"""),"Afriza (BT)")</f>
        <v>Afriza (BT)</v>
      </c>
      <c r="F2229" s="14" t="str">
        <f>IFERROR(__xludf.DUMMYFUNCTION("""COMPUTED_VALUE"""),"SELESAI (VIA PERMOHONAN)")</f>
        <v>SELESAI (VIA PERMOHONAN)</v>
      </c>
      <c r="G2229" s="17">
        <f>IFERROR(__xludf.DUMMYFUNCTION("""COMPUTED_VALUE"""),45797.77711458333)</f>
        <v>45797.77711</v>
      </c>
      <c r="H2229" s="14" t="str">
        <f>IFERROR(__xludf.DUMMYFUNCTION("""COMPUTED_VALUE"""),"Aprill (SU)")</f>
        <v>Aprill (SU)</v>
      </c>
      <c r="I2229" s="13" t="str">
        <f>IFERROR(__xludf.DUMMYFUNCTION("""COMPUTED_VALUE"""),"SELESAI (VIA PERMOHONAN)")</f>
        <v>SELESAI (VIA PERMOHONAN)</v>
      </c>
      <c r="J2229" s="17">
        <f>IFERROR(__xludf.DUMMYFUNCTION("""COMPUTED_VALUE"""),45798.611708842596)</f>
        <v>45798.61171</v>
      </c>
      <c r="K2229" s="13" t="str">
        <f>IFERROR(__xludf.DUMMYFUNCTION("""COMPUTED_VALUE"""),"Selesai")</f>
        <v>Selesai</v>
      </c>
      <c r="L2229" s="17">
        <f>IFERROR(__xludf.DUMMYFUNCTION("""COMPUTED_VALUE"""),45798.611708842596)</f>
        <v>45798.61171</v>
      </c>
      <c r="M2229" s="13"/>
      <c r="N2229" s="13" t="str">
        <f>IFERROR(__xludf.DUMMYFUNCTION("""COMPUTED_VALUE"""),"")</f>
        <v/>
      </c>
      <c r="O2229" s="13" t="str">
        <f t="shared" si="1"/>
        <v/>
      </c>
    </row>
    <row r="2230" ht="22.5" customHeight="1">
      <c r="B2230" s="13">
        <f>IFERROR(__xludf.DUMMYFUNCTION("""COMPUTED_VALUE"""),2225.0)</f>
        <v>2225</v>
      </c>
      <c r="C2230" s="13" t="str">
        <f>IFERROR(__xludf.DUMMYFUNCTION("""COMPUTED_VALUE"""),"B. 644/ Sumber agung")</f>
        <v>B. 644/ Sumber agung</v>
      </c>
      <c r="D2230" s="13" t="str">
        <f>IFERROR(__xludf.DUMMYFUNCTION("""COMPUTED_VALUE"""),"K/30/170325/2")</f>
        <v>K/30/170325/2</v>
      </c>
      <c r="E2230" s="14" t="str">
        <f>IFERROR(__xludf.DUMMYFUNCTION("""COMPUTED_VALUE"""),"Afriza (BT)")</f>
        <v>Afriza (BT)</v>
      </c>
      <c r="F2230" s="14" t="str">
        <f>IFERROR(__xludf.DUMMYFUNCTION("""COMPUTED_VALUE"""),"SELESAI (VIA PERMOHONAN)")</f>
        <v>SELESAI (VIA PERMOHONAN)</v>
      </c>
      <c r="G2230" s="17">
        <f>IFERROR(__xludf.DUMMYFUNCTION("""COMPUTED_VALUE"""),45797.77719403935)</f>
        <v>45797.77719</v>
      </c>
      <c r="H2230" s="14" t="str">
        <f>IFERROR(__xludf.DUMMYFUNCTION("""COMPUTED_VALUE"""),"Aprill (SU)")</f>
        <v>Aprill (SU)</v>
      </c>
      <c r="I2230" s="13" t="str">
        <f>IFERROR(__xludf.DUMMYFUNCTION("""COMPUTED_VALUE"""),"SELESAI (VIA PERMOHONAN)")</f>
        <v>SELESAI (VIA PERMOHONAN)</v>
      </c>
      <c r="J2230" s="17">
        <f>IFERROR(__xludf.DUMMYFUNCTION("""COMPUTED_VALUE"""),45798.611708842596)</f>
        <v>45798.61171</v>
      </c>
      <c r="K2230" s="13" t="str">
        <f>IFERROR(__xludf.DUMMYFUNCTION("""COMPUTED_VALUE"""),"Selesai")</f>
        <v>Selesai</v>
      </c>
      <c r="L2230" s="17">
        <f>IFERROR(__xludf.DUMMYFUNCTION("""COMPUTED_VALUE"""),45798.611708842596)</f>
        <v>45798.61171</v>
      </c>
      <c r="M2230" s="13"/>
      <c r="N2230" s="13" t="str">
        <f>IFERROR(__xludf.DUMMYFUNCTION("""COMPUTED_VALUE"""),"")</f>
        <v/>
      </c>
      <c r="O2230" s="13" t="str">
        <f t="shared" si="1"/>
        <v/>
      </c>
    </row>
    <row r="2231" ht="22.5" customHeight="1">
      <c r="B2231" s="13">
        <f>IFERROR(__xludf.DUMMYFUNCTION("""COMPUTED_VALUE"""),2226.0)</f>
        <v>2226</v>
      </c>
      <c r="C2231" s="13" t="str">
        <f>IFERROR(__xludf.DUMMYFUNCTION("""COMPUTED_VALUE"""),"M. 873/ Sumber Agung")</f>
        <v>M. 873/ Sumber Agung</v>
      </c>
      <c r="D2231" s="13" t="str">
        <f>IFERROR(__xludf.DUMMYFUNCTION("""COMPUTED_VALUE"""),"K/24/140525/1")</f>
        <v>K/24/140525/1</v>
      </c>
      <c r="E2231" s="14" t="str">
        <f>IFERROR(__xludf.DUMMYFUNCTION("""COMPUTED_VALUE"""),"Afriza (BT)")</f>
        <v>Afriza (BT)</v>
      </c>
      <c r="F2231" s="14" t="str">
        <f>IFERROR(__xludf.DUMMYFUNCTION("""COMPUTED_VALUE"""),"SELESAI (VIA PERMOHONAN)")</f>
        <v>SELESAI (VIA PERMOHONAN)</v>
      </c>
      <c r="G2231" s="17">
        <f>IFERROR(__xludf.DUMMYFUNCTION("""COMPUTED_VALUE"""),45797.777372129625)</f>
        <v>45797.77737</v>
      </c>
      <c r="H2231" s="14" t="str">
        <f>IFERROR(__xludf.DUMMYFUNCTION("""COMPUTED_VALUE"""),"Aprill (SU)")</f>
        <v>Aprill (SU)</v>
      </c>
      <c r="I2231" s="13" t="str">
        <f>IFERROR(__xludf.DUMMYFUNCTION("""COMPUTED_VALUE"""),"SELESAI (VIA PERMOHONAN)")</f>
        <v>SELESAI (VIA PERMOHONAN)</v>
      </c>
      <c r="J2231" s="17">
        <f>IFERROR(__xludf.DUMMYFUNCTION("""COMPUTED_VALUE"""),45798.611708842596)</f>
        <v>45798.61171</v>
      </c>
      <c r="K2231" s="13" t="str">
        <f>IFERROR(__xludf.DUMMYFUNCTION("""COMPUTED_VALUE"""),"Selesai")</f>
        <v>Selesai</v>
      </c>
      <c r="L2231" s="17">
        <f>IFERROR(__xludf.DUMMYFUNCTION("""COMPUTED_VALUE"""),45798.611708842596)</f>
        <v>45798.61171</v>
      </c>
      <c r="M2231" s="13"/>
      <c r="N2231" s="13" t="str">
        <f>IFERROR(__xludf.DUMMYFUNCTION("""COMPUTED_VALUE"""),"")</f>
        <v/>
      </c>
      <c r="O2231" s="13" t="str">
        <f t="shared" si="1"/>
        <v/>
      </c>
    </row>
    <row r="2232" ht="22.5" customHeight="1">
      <c r="B2232" s="13">
        <f>IFERROR(__xludf.DUMMYFUNCTION("""COMPUTED_VALUE"""),2227.0)</f>
        <v>2227</v>
      </c>
      <c r="C2232" s="13" t="str">
        <f>IFERROR(__xludf.DUMMYFUNCTION("""COMPUTED_VALUE"""),"M. 13740/ Segala Mider")</f>
        <v>M. 13740/ Segala Mider</v>
      </c>
      <c r="D2232" s="13" t="str">
        <f>IFERROR(__xludf.DUMMYFUNCTION("""COMPUTED_VALUE"""),"K/13/090525/1")</f>
        <v>K/13/090525/1</v>
      </c>
      <c r="E2232" s="14" t="str">
        <f>IFERROR(__xludf.DUMMYFUNCTION("""COMPUTED_VALUE"""),"Afriza (BT)")</f>
        <v>Afriza (BT)</v>
      </c>
      <c r="F2232" s="14" t="str">
        <f>IFERROR(__xludf.DUMMYFUNCTION("""COMPUTED_VALUE"""),"SELESAI (VIA PERMOHONAN)")</f>
        <v>SELESAI (VIA PERMOHONAN)</v>
      </c>
      <c r="G2232" s="17">
        <f>IFERROR(__xludf.DUMMYFUNCTION("""COMPUTED_VALUE"""),45797.77751543981)</f>
        <v>45797.77752</v>
      </c>
      <c r="H2232" s="14" t="str">
        <f>IFERROR(__xludf.DUMMYFUNCTION("""COMPUTED_VALUE"""),"Aprill (SU)")</f>
        <v>Aprill (SU)</v>
      </c>
      <c r="I2232" s="13" t="str">
        <f>IFERROR(__xludf.DUMMYFUNCTION("""COMPUTED_VALUE"""),"SELESAI (VIA PERMOHONAN)")</f>
        <v>SELESAI (VIA PERMOHONAN)</v>
      </c>
      <c r="J2232" s="17">
        <f>IFERROR(__xludf.DUMMYFUNCTION("""COMPUTED_VALUE"""),45798.611708842596)</f>
        <v>45798.61171</v>
      </c>
      <c r="K2232" s="13" t="str">
        <f>IFERROR(__xludf.DUMMYFUNCTION("""COMPUTED_VALUE"""),"Selesai")</f>
        <v>Selesai</v>
      </c>
      <c r="L2232" s="17">
        <f>IFERROR(__xludf.DUMMYFUNCTION("""COMPUTED_VALUE"""),45798.611708842596)</f>
        <v>45798.61171</v>
      </c>
      <c r="M2232" s="13"/>
      <c r="N2232" s="13" t="str">
        <f>IFERROR(__xludf.DUMMYFUNCTION("""COMPUTED_VALUE"""),"")</f>
        <v/>
      </c>
      <c r="O2232" s="13" t="str">
        <f t="shared" si="1"/>
        <v/>
      </c>
    </row>
    <row r="2233" ht="22.5" customHeight="1">
      <c r="B2233" s="13">
        <f>IFERROR(__xludf.DUMMYFUNCTION("""COMPUTED_VALUE"""),2228.0)</f>
        <v>2228</v>
      </c>
      <c r="C2233" s="13" t="str">
        <f>IFERROR(__xludf.DUMMYFUNCTION("""COMPUTED_VALUE"""),"B. 4783/ Sukabumi")</f>
        <v>B. 4783/ Sukabumi</v>
      </c>
      <c r="D2233" s="13" t="str">
        <f>IFERROR(__xludf.DUMMYFUNCTION("""COMPUTED_VALUE"""),"K/13/250425/1")</f>
        <v>K/13/250425/1</v>
      </c>
      <c r="E2233" s="14" t="str">
        <f>IFERROR(__xludf.DUMMYFUNCTION("""COMPUTED_VALUE"""),"Afriza (BT)")</f>
        <v>Afriza (BT)</v>
      </c>
      <c r="F2233" s="14" t="str">
        <f>IFERROR(__xludf.DUMMYFUNCTION("""COMPUTED_VALUE"""),"SELESAI (VIA PERMOHONAN)")</f>
        <v>SELESAI (VIA PERMOHONAN)</v>
      </c>
      <c r="G2233" s="17">
        <f>IFERROR(__xludf.DUMMYFUNCTION("""COMPUTED_VALUE"""),45797.778098993054)</f>
        <v>45797.7781</v>
      </c>
      <c r="H2233" s="14" t="str">
        <f>IFERROR(__xludf.DUMMYFUNCTION("""COMPUTED_VALUE"""),"Aprill (SU)")</f>
        <v>Aprill (SU)</v>
      </c>
      <c r="I2233" s="13" t="str">
        <f>IFERROR(__xludf.DUMMYFUNCTION("""COMPUTED_VALUE"""),"SELESAI (VIA PERMOHONAN)")</f>
        <v>SELESAI (VIA PERMOHONAN)</v>
      </c>
      <c r="J2233" s="17">
        <f>IFERROR(__xludf.DUMMYFUNCTION("""COMPUTED_VALUE"""),45798.611708842596)</f>
        <v>45798.61171</v>
      </c>
      <c r="K2233" s="13" t="str">
        <f>IFERROR(__xludf.DUMMYFUNCTION("""COMPUTED_VALUE"""),"Selesai")</f>
        <v>Selesai</v>
      </c>
      <c r="L2233" s="17">
        <f>IFERROR(__xludf.DUMMYFUNCTION("""COMPUTED_VALUE"""),45798.611708842596)</f>
        <v>45798.61171</v>
      </c>
      <c r="M2233" s="13"/>
      <c r="N2233" s="13" t="str">
        <f>IFERROR(__xludf.DUMMYFUNCTION("""COMPUTED_VALUE"""),"")</f>
        <v/>
      </c>
      <c r="O2233" s="13" t="str">
        <f t="shared" si="1"/>
        <v/>
      </c>
    </row>
    <row r="2234" ht="22.5" customHeight="1">
      <c r="B2234" s="13">
        <f>IFERROR(__xludf.DUMMYFUNCTION("""COMPUTED_VALUE"""),2229.0)</f>
        <v>2229</v>
      </c>
      <c r="C2234" s="13" t="str">
        <f>IFERROR(__xludf.DUMMYFUNCTION("""COMPUTED_VALUE"""),"M. 4939/ Sukadan Ham")</f>
        <v>M. 4939/ Sukadan Ham</v>
      </c>
      <c r="D2234" s="13" t="str">
        <f>IFERROR(__xludf.DUMMYFUNCTION("""COMPUTED_VALUE"""),"K/41/080525/2")</f>
        <v>K/41/080525/2</v>
      </c>
      <c r="E2234" s="14" t="str">
        <f>IFERROR(__xludf.DUMMYFUNCTION("""COMPUTED_VALUE"""),"Afriza (BT)")</f>
        <v>Afriza (BT)</v>
      </c>
      <c r="F2234" s="14" t="str">
        <f>IFERROR(__xludf.DUMMYFUNCTION("""COMPUTED_VALUE"""),"SELESAI (VIA PERMOHONAN)")</f>
        <v>SELESAI (VIA PERMOHONAN)</v>
      </c>
      <c r="G2234" s="17">
        <f>IFERROR(__xludf.DUMMYFUNCTION("""COMPUTED_VALUE"""),45797.778182187496)</f>
        <v>45797.77818</v>
      </c>
      <c r="H2234" s="14" t="str">
        <f>IFERROR(__xludf.DUMMYFUNCTION("""COMPUTED_VALUE"""),"Aprill (SU)")</f>
        <v>Aprill (SU)</v>
      </c>
      <c r="I2234" s="13" t="str">
        <f>IFERROR(__xludf.DUMMYFUNCTION("""COMPUTED_VALUE"""),"SELESAI (VIA PERMOHONAN)")</f>
        <v>SELESAI (VIA PERMOHONAN)</v>
      </c>
      <c r="J2234" s="17">
        <f>IFERROR(__xludf.DUMMYFUNCTION("""COMPUTED_VALUE"""),45798.611708842596)</f>
        <v>45798.61171</v>
      </c>
      <c r="K2234" s="13" t="str">
        <f>IFERROR(__xludf.DUMMYFUNCTION("""COMPUTED_VALUE"""),"Selesai")</f>
        <v>Selesai</v>
      </c>
      <c r="L2234" s="17">
        <f>IFERROR(__xludf.DUMMYFUNCTION("""COMPUTED_VALUE"""),45798.611708842596)</f>
        <v>45798.61171</v>
      </c>
      <c r="M2234" s="13"/>
      <c r="N2234" s="13" t="str">
        <f>IFERROR(__xludf.DUMMYFUNCTION("""COMPUTED_VALUE"""),"")</f>
        <v/>
      </c>
      <c r="O2234" s="13" t="str">
        <f t="shared" si="1"/>
        <v/>
      </c>
    </row>
    <row r="2235" ht="22.5" customHeight="1">
      <c r="B2235" s="13">
        <f>IFERROR(__xludf.DUMMYFUNCTION("""COMPUTED_VALUE"""),2230.0)</f>
        <v>2230</v>
      </c>
      <c r="C2235" s="13" t="str">
        <f>IFERROR(__xludf.DUMMYFUNCTION("""COMPUTED_VALUE"""),"M.143/PESAWAHAN")</f>
        <v>M.143/PESAWAHAN</v>
      </c>
      <c r="D2235" s="13" t="str">
        <f>IFERROR(__xludf.DUMMYFUNCTION("""COMPUTED_VALUE"""),"K/10/080525/4")</f>
        <v>K/10/080525/4</v>
      </c>
      <c r="E2235" s="14" t="str">
        <f>IFERROR(__xludf.DUMMYFUNCTION("""COMPUTED_VALUE"""),"Heri (BT)")</f>
        <v>Heri (BT)</v>
      </c>
      <c r="F2235" s="14" t="str">
        <f>IFERROR(__xludf.DUMMYFUNCTION("""COMPUTED_VALUE"""),"SELESAI (VIA PERMOHONAN)")</f>
        <v>SELESAI (VIA PERMOHONAN)</v>
      </c>
      <c r="G2235" s="17">
        <f>IFERROR(__xludf.DUMMYFUNCTION("""COMPUTED_VALUE"""),45797.778549386574)</f>
        <v>45797.77855</v>
      </c>
      <c r="H2235" s="14" t="str">
        <f>IFERROR(__xludf.DUMMYFUNCTION("""COMPUTED_VALUE"""),"Bu Eva (SU)")</f>
        <v>Bu Eva (SU)</v>
      </c>
      <c r="I2235" s="13" t="str">
        <f>IFERROR(__xludf.DUMMYFUNCTION("""COMPUTED_VALUE"""),"SELESAI (VIA PERMOHONAN)")</f>
        <v>SELESAI (VIA PERMOHONAN)</v>
      </c>
      <c r="J2235" s="17">
        <f>IFERROR(__xludf.DUMMYFUNCTION("""COMPUTED_VALUE"""),45798.37012414352)</f>
        <v>45798.37012</v>
      </c>
      <c r="K2235" s="13" t="str">
        <f>IFERROR(__xludf.DUMMYFUNCTION("""COMPUTED_VALUE"""),"Selesai")</f>
        <v>Selesai</v>
      </c>
      <c r="L2235" s="17">
        <f>IFERROR(__xludf.DUMMYFUNCTION("""COMPUTED_VALUE"""),45798.37012414352)</f>
        <v>45798.37012</v>
      </c>
      <c r="M2235" s="13"/>
      <c r="N2235" s="13" t="str">
        <f>IFERROR(__xludf.DUMMYFUNCTION("""COMPUTED_VALUE"""),"")</f>
        <v/>
      </c>
      <c r="O2235" s="13" t="str">
        <f t="shared" si="1"/>
        <v/>
      </c>
    </row>
    <row r="2236" ht="22.5" customHeight="1">
      <c r="B2236" s="13">
        <f>IFERROR(__xludf.DUMMYFUNCTION("""COMPUTED_VALUE"""),2231.0)</f>
        <v>2231</v>
      </c>
      <c r="C2236" s="13" t="str">
        <f>IFERROR(__xludf.DUMMYFUNCTION("""COMPUTED_VALUE"""),"HM 1111/SUSUNAN BARU")</f>
        <v>HM 1111/SUSUNAN BARU</v>
      </c>
      <c r="D2236" s="13" t="str">
        <f>IFERROR(__xludf.DUMMYFUNCTION("""COMPUTED_VALUE"""),"L/40/090525/1")</f>
        <v>L/40/090525/1</v>
      </c>
      <c r="E2236" s="14" t="str">
        <f>IFERROR(__xludf.DUMMYFUNCTION("""COMPUTED_VALUE"""),"Heri (BT)")</f>
        <v>Heri (BT)</v>
      </c>
      <c r="F2236" s="14" t="str">
        <f>IFERROR(__xludf.DUMMYFUNCTION("""COMPUTED_VALUE"""),"SELESAI (VIA PERMOHONAN)")</f>
        <v>SELESAI (VIA PERMOHONAN)</v>
      </c>
      <c r="G2236" s="17">
        <f>IFERROR(__xludf.DUMMYFUNCTION("""COMPUTED_VALUE"""),45797.77873957176)</f>
        <v>45797.77874</v>
      </c>
      <c r="H2236" s="14" t="str">
        <f>IFERROR(__xludf.DUMMYFUNCTION("""COMPUTED_VALUE"""),"Bu Eva (SU)")</f>
        <v>Bu Eva (SU)</v>
      </c>
      <c r="I2236" s="13" t="str">
        <f>IFERROR(__xludf.DUMMYFUNCTION("""COMPUTED_VALUE"""),"SELESAI (VIA PERMOHONAN)")</f>
        <v>SELESAI (VIA PERMOHONAN)</v>
      </c>
      <c r="J2236" s="17">
        <f>IFERROR(__xludf.DUMMYFUNCTION("""COMPUTED_VALUE"""),45798.37012414352)</f>
        <v>45798.37012</v>
      </c>
      <c r="K2236" s="13" t="str">
        <f>IFERROR(__xludf.DUMMYFUNCTION("""COMPUTED_VALUE"""),"Selesai")</f>
        <v>Selesai</v>
      </c>
      <c r="L2236" s="17">
        <f>IFERROR(__xludf.DUMMYFUNCTION("""COMPUTED_VALUE"""),45798.37012414352)</f>
        <v>45798.37012</v>
      </c>
      <c r="M2236" s="13"/>
      <c r="N2236" s="13" t="str">
        <f>IFERROR(__xludf.DUMMYFUNCTION("""COMPUTED_VALUE"""),"")</f>
        <v/>
      </c>
      <c r="O2236" s="13" t="str">
        <f t="shared" si="1"/>
        <v/>
      </c>
    </row>
    <row r="2237" ht="22.5" customHeight="1">
      <c r="B2237" s="13">
        <f>IFERROR(__xludf.DUMMYFUNCTION("""COMPUTED_VALUE"""),2232.0)</f>
        <v>2232</v>
      </c>
      <c r="C2237" s="13" t="str">
        <f>IFERROR(__xludf.DUMMYFUNCTION("""COMPUTED_VALUE"""),"HM 2569/CAMPANG RAYA")</f>
        <v>HM 2569/CAMPANG RAYA</v>
      </c>
      <c r="D2237" s="13"/>
      <c r="E2237" s="14" t="str">
        <f>IFERROR(__xludf.DUMMYFUNCTION("""COMPUTED_VALUE"""),"Heri (BT)")</f>
        <v>Heri (BT)</v>
      </c>
      <c r="F2237" s="14" t="str">
        <f>IFERROR(__xludf.DUMMYFUNCTION("""COMPUTED_VALUE"""),"SELESAI (VIA PERMOHONAN)")</f>
        <v>SELESAI (VIA PERMOHONAN)</v>
      </c>
      <c r="G2237" s="17">
        <f>IFERROR(__xludf.DUMMYFUNCTION("""COMPUTED_VALUE"""),45797.77890559028)</f>
        <v>45797.77891</v>
      </c>
      <c r="H2237" s="14" t="str">
        <f>IFERROR(__xludf.DUMMYFUNCTION("""COMPUTED_VALUE"""),"Bu Eva (SU)")</f>
        <v>Bu Eva (SU)</v>
      </c>
      <c r="I2237" s="13" t="str">
        <f>IFERROR(__xludf.DUMMYFUNCTION("""COMPUTED_VALUE"""),"SELESAI (VIA PERMOHONAN)")</f>
        <v>SELESAI (VIA PERMOHONAN)</v>
      </c>
      <c r="J2237" s="17">
        <f>IFERROR(__xludf.DUMMYFUNCTION("""COMPUTED_VALUE"""),45798.37012414352)</f>
        <v>45798.37012</v>
      </c>
      <c r="K2237" s="13" t="str">
        <f>IFERROR(__xludf.DUMMYFUNCTION("""COMPUTED_VALUE"""),"")</f>
        <v/>
      </c>
      <c r="L2237" s="13" t="str">
        <f>IFERROR(__xludf.DUMMYFUNCTION("""COMPUTED_VALUE"""),"")</f>
        <v/>
      </c>
      <c r="M2237" s="13"/>
      <c r="N2237" s="13" t="str">
        <f>IFERROR(__xludf.DUMMYFUNCTION("""COMPUTED_VALUE"""),"")</f>
        <v/>
      </c>
      <c r="O2237" s="13" t="str">
        <f t="shared" si="1"/>
        <v/>
      </c>
    </row>
    <row r="2238" ht="22.5" customHeight="1">
      <c r="B2238" s="13">
        <f>IFERROR(__xludf.DUMMYFUNCTION("""COMPUTED_VALUE"""),2233.0)</f>
        <v>2233</v>
      </c>
      <c r="C2238" s="13" t="str">
        <f>IFERROR(__xludf.DUMMYFUNCTION("""COMPUTED_VALUE"""),"HM 10483/KEDAMAIAN")</f>
        <v>HM 10483/KEDAMAIAN</v>
      </c>
      <c r="D2238" s="13" t="str">
        <f>IFERROR(__xludf.DUMMYFUNCTION("""COMPUTED_VALUE"""),"L/33/160525/1")</f>
        <v>L/33/160525/1</v>
      </c>
      <c r="E2238" s="14" t="str">
        <f>IFERROR(__xludf.DUMMYFUNCTION("""COMPUTED_VALUE"""),"Heri (BT)")</f>
        <v>Heri (BT)</v>
      </c>
      <c r="F2238" s="14" t="str">
        <f>IFERROR(__xludf.DUMMYFUNCTION("""COMPUTED_VALUE"""),"SELESAI (VIA PERMOHONAN)")</f>
        <v>SELESAI (VIA PERMOHONAN)</v>
      </c>
      <c r="G2238" s="17">
        <f>IFERROR(__xludf.DUMMYFUNCTION("""COMPUTED_VALUE"""),45797.7790794676)</f>
        <v>45797.77908</v>
      </c>
      <c r="H2238" s="14" t="str">
        <f>IFERROR(__xludf.DUMMYFUNCTION("""COMPUTED_VALUE"""),"Bu Eva (SU)")</f>
        <v>Bu Eva (SU)</v>
      </c>
      <c r="I2238" s="13" t="str">
        <f>IFERROR(__xludf.DUMMYFUNCTION("""COMPUTED_VALUE"""),"SELESAI (VIA PERMOHONAN)")</f>
        <v>SELESAI (VIA PERMOHONAN)</v>
      </c>
      <c r="J2238" s="17">
        <f>IFERROR(__xludf.DUMMYFUNCTION("""COMPUTED_VALUE"""),45798.37012414352)</f>
        <v>45798.37012</v>
      </c>
      <c r="K2238" s="13" t="str">
        <f>IFERROR(__xludf.DUMMYFUNCTION("""COMPUTED_VALUE"""),"Selesai")</f>
        <v>Selesai</v>
      </c>
      <c r="L2238" s="17">
        <f>IFERROR(__xludf.DUMMYFUNCTION("""COMPUTED_VALUE"""),45798.37012414352)</f>
        <v>45798.37012</v>
      </c>
      <c r="M2238" s="13"/>
      <c r="N2238" s="13" t="str">
        <f>IFERROR(__xludf.DUMMYFUNCTION("""COMPUTED_VALUE"""),"")</f>
        <v/>
      </c>
      <c r="O2238" s="13" t="str">
        <f t="shared" si="1"/>
        <v/>
      </c>
    </row>
    <row r="2239" ht="22.5" customHeight="1">
      <c r="B2239" s="13">
        <f>IFERROR(__xludf.DUMMYFUNCTION("""COMPUTED_VALUE"""),2234.0)</f>
        <v>2234</v>
      </c>
      <c r="C2239" s="13" t="str">
        <f>IFERROR(__xludf.DUMMYFUNCTION("""COMPUTED_VALUE"""),"HM 5368/SUKARAME II")</f>
        <v>HM 5368/SUKARAME II</v>
      </c>
      <c r="D2239" s="13" t="str">
        <f>IFERROR(__xludf.DUMMYFUNCTION("""COMPUTED_VALUE"""),"L/18/090525/1")</f>
        <v>L/18/090525/1</v>
      </c>
      <c r="E2239" s="14" t="str">
        <f>IFERROR(__xludf.DUMMYFUNCTION("""COMPUTED_VALUE"""),"Heri (BT)")</f>
        <v>Heri (BT)</v>
      </c>
      <c r="F2239" s="14" t="str">
        <f>IFERROR(__xludf.DUMMYFUNCTION("""COMPUTED_VALUE"""),"SELESAI (VIA PERMOHONAN)")</f>
        <v>SELESAI (VIA PERMOHONAN)</v>
      </c>
      <c r="G2239" s="17">
        <f>IFERROR(__xludf.DUMMYFUNCTION("""COMPUTED_VALUE"""),45797.77923251157)</f>
        <v>45797.77923</v>
      </c>
      <c r="H2239" s="14" t="str">
        <f>IFERROR(__xludf.DUMMYFUNCTION("""COMPUTED_VALUE"""),"Bu Eva (SU)")</f>
        <v>Bu Eva (SU)</v>
      </c>
      <c r="I2239" s="13" t="str">
        <f>IFERROR(__xludf.DUMMYFUNCTION("""COMPUTED_VALUE"""),"SELESAI (VIA PERMOHONAN)")</f>
        <v>SELESAI (VIA PERMOHONAN)</v>
      </c>
      <c r="J2239" s="17">
        <f>IFERROR(__xludf.DUMMYFUNCTION("""COMPUTED_VALUE"""),45798.37012414352)</f>
        <v>45798.37012</v>
      </c>
      <c r="K2239" s="13" t="str">
        <f>IFERROR(__xludf.DUMMYFUNCTION("""COMPUTED_VALUE"""),"Selesai")</f>
        <v>Selesai</v>
      </c>
      <c r="L2239" s="17">
        <f>IFERROR(__xludf.DUMMYFUNCTION("""COMPUTED_VALUE"""),45798.37012414352)</f>
        <v>45798.37012</v>
      </c>
      <c r="M2239" s="13"/>
      <c r="N2239" s="13" t="str">
        <f>IFERROR(__xludf.DUMMYFUNCTION("""COMPUTED_VALUE"""),"")</f>
        <v/>
      </c>
      <c r="O2239" s="13" t="str">
        <f t="shared" si="1"/>
        <v/>
      </c>
    </row>
    <row r="2240" ht="22.5" customHeight="1">
      <c r="B2240" s="13">
        <f>IFERROR(__xludf.DUMMYFUNCTION("""COMPUTED_VALUE"""),2235.0)</f>
        <v>2235</v>
      </c>
      <c r="C2240" s="13" t="str">
        <f>IFERROR(__xludf.DUMMYFUNCTION("""COMPUTED_VALUE"""),"HM 276/PINANG JAYA")</f>
        <v>HM 276/PINANG JAYA</v>
      </c>
      <c r="D2240" s="13" t="str">
        <f>IFERROR(__xludf.DUMMYFUNCTION("""COMPUTED_VALUE"""),"L/13/080525/1")</f>
        <v>L/13/080525/1</v>
      </c>
      <c r="E2240" s="14" t="str">
        <f>IFERROR(__xludf.DUMMYFUNCTION("""COMPUTED_VALUE"""),"Heri (BT)")</f>
        <v>Heri (BT)</v>
      </c>
      <c r="F2240" s="14" t="str">
        <f>IFERROR(__xludf.DUMMYFUNCTION("""COMPUTED_VALUE"""),"SELESAI (VIA PERMOHONAN)")</f>
        <v>SELESAI (VIA PERMOHONAN)</v>
      </c>
      <c r="G2240" s="17">
        <f>IFERROR(__xludf.DUMMYFUNCTION("""COMPUTED_VALUE"""),45797.779697986116)</f>
        <v>45797.7797</v>
      </c>
      <c r="H2240" s="14" t="str">
        <f>IFERROR(__xludf.DUMMYFUNCTION("""COMPUTED_VALUE"""),"Bu Eva (SU)")</f>
        <v>Bu Eva (SU)</v>
      </c>
      <c r="I2240" s="13" t="str">
        <f>IFERROR(__xludf.DUMMYFUNCTION("""COMPUTED_VALUE"""),"SELESAI (VIA PERMOHONAN)")</f>
        <v>SELESAI (VIA PERMOHONAN)</v>
      </c>
      <c r="J2240" s="17">
        <f>IFERROR(__xludf.DUMMYFUNCTION("""COMPUTED_VALUE"""),45798.37012414352)</f>
        <v>45798.37012</v>
      </c>
      <c r="K2240" s="13" t="str">
        <f>IFERROR(__xludf.DUMMYFUNCTION("""COMPUTED_VALUE"""),"Selesai")</f>
        <v>Selesai</v>
      </c>
      <c r="L2240" s="17">
        <f>IFERROR(__xludf.DUMMYFUNCTION("""COMPUTED_VALUE"""),45798.37012414352)</f>
        <v>45798.37012</v>
      </c>
      <c r="M2240" s="13"/>
      <c r="N2240" s="13" t="str">
        <f>IFERROR(__xludf.DUMMYFUNCTION("""COMPUTED_VALUE"""),"")</f>
        <v/>
      </c>
      <c r="O2240" s="13" t="str">
        <f t="shared" si="1"/>
        <v/>
      </c>
    </row>
    <row r="2241" ht="22.5" customHeight="1">
      <c r="B2241" s="13">
        <f>IFERROR(__xludf.DUMMYFUNCTION("""COMPUTED_VALUE"""),2236.0)</f>
        <v>2236</v>
      </c>
      <c r="C2241" s="13" t="str">
        <f>IFERROR(__xludf.DUMMYFUNCTION("""COMPUTED_VALUE"""),"B.1593/CAMPANG RAYA")</f>
        <v>B.1593/CAMPANG RAYA</v>
      </c>
      <c r="D2241" s="13" t="str">
        <f>IFERROR(__xludf.DUMMYFUNCTION("""COMPUTED_VALUE"""),"K/16/150525/1")</f>
        <v>K/16/150525/1</v>
      </c>
      <c r="E2241" s="14" t="str">
        <f>IFERROR(__xludf.DUMMYFUNCTION("""COMPUTED_VALUE"""),"Heri (BT)")</f>
        <v>Heri (BT)</v>
      </c>
      <c r="F2241" s="14" t="str">
        <f>IFERROR(__xludf.DUMMYFUNCTION("""COMPUTED_VALUE"""),"SELESAI (VIA PERMOHONAN)")</f>
        <v>SELESAI (VIA PERMOHONAN)</v>
      </c>
      <c r="G2241" s="17">
        <f>IFERROR(__xludf.DUMMYFUNCTION("""COMPUTED_VALUE"""),45797.77995880787)</f>
        <v>45797.77996</v>
      </c>
      <c r="H2241" s="14" t="str">
        <f>IFERROR(__xludf.DUMMYFUNCTION("""COMPUTED_VALUE"""),"Bu Eva (SU)")</f>
        <v>Bu Eva (SU)</v>
      </c>
      <c r="I2241" s="13" t="str">
        <f>IFERROR(__xludf.DUMMYFUNCTION("""COMPUTED_VALUE"""),"SELESAI (VIA PERMOHONAN)")</f>
        <v>SELESAI (VIA PERMOHONAN)</v>
      </c>
      <c r="J2241" s="17">
        <f>IFERROR(__xludf.DUMMYFUNCTION("""COMPUTED_VALUE"""),45798.37012414352)</f>
        <v>45798.37012</v>
      </c>
      <c r="K2241" s="13" t="str">
        <f>IFERROR(__xludf.DUMMYFUNCTION("""COMPUTED_VALUE"""),"Selesai")</f>
        <v>Selesai</v>
      </c>
      <c r="L2241" s="17">
        <f>IFERROR(__xludf.DUMMYFUNCTION("""COMPUTED_VALUE"""),45798.37012414352)</f>
        <v>45798.37012</v>
      </c>
      <c r="M2241" s="13"/>
      <c r="N2241" s="13" t="str">
        <f>IFERROR(__xludf.DUMMYFUNCTION("""COMPUTED_VALUE"""),"")</f>
        <v/>
      </c>
      <c r="O2241" s="13" t="str">
        <f t="shared" si="1"/>
        <v/>
      </c>
    </row>
    <row r="2242" ht="22.5" customHeight="1">
      <c r="B2242" s="13">
        <f>IFERROR(__xludf.DUMMYFUNCTION("""COMPUTED_VALUE"""),2237.0)</f>
        <v>2237</v>
      </c>
      <c r="C2242" s="13" t="str">
        <f>IFERROR(__xludf.DUMMYFUNCTION("""COMPUTED_VALUE"""),"M.160/SUMBEREJO")</f>
        <v>M.160/SUMBEREJO</v>
      </c>
      <c r="D2242" s="13" t="str">
        <f>IFERROR(__xludf.DUMMYFUNCTION("""COMPUTED_VALUE"""),"K/7/090525/1")</f>
        <v>K/7/090525/1</v>
      </c>
      <c r="E2242" s="14" t="str">
        <f>IFERROR(__xludf.DUMMYFUNCTION("""COMPUTED_VALUE"""),"Heri (BT)")</f>
        <v>Heri (BT)</v>
      </c>
      <c r="F2242" s="14" t="str">
        <f>IFERROR(__xludf.DUMMYFUNCTION("""COMPUTED_VALUE"""),"SELESAI (VIA PERMOHONAN)")</f>
        <v>SELESAI (VIA PERMOHONAN)</v>
      </c>
      <c r="G2242" s="17">
        <f>IFERROR(__xludf.DUMMYFUNCTION("""COMPUTED_VALUE"""),45797.78020417824)</f>
        <v>45797.7802</v>
      </c>
      <c r="H2242" s="14" t="str">
        <f>IFERROR(__xludf.DUMMYFUNCTION("""COMPUTED_VALUE"""),"Bu Eva (SU)")</f>
        <v>Bu Eva (SU)</v>
      </c>
      <c r="I2242" s="13" t="str">
        <f>IFERROR(__xludf.DUMMYFUNCTION("""COMPUTED_VALUE"""),"SELESAI (VIA PERMOHONAN)")</f>
        <v>SELESAI (VIA PERMOHONAN)</v>
      </c>
      <c r="J2242" s="17">
        <f>IFERROR(__xludf.DUMMYFUNCTION("""COMPUTED_VALUE"""),45798.37022520833)</f>
        <v>45798.37023</v>
      </c>
      <c r="K2242" s="13" t="str">
        <f>IFERROR(__xludf.DUMMYFUNCTION("""COMPUTED_VALUE"""),"Selesai")</f>
        <v>Selesai</v>
      </c>
      <c r="L2242" s="17">
        <f>IFERROR(__xludf.DUMMYFUNCTION("""COMPUTED_VALUE"""),45798.37022520833)</f>
        <v>45798.37023</v>
      </c>
      <c r="M2242" s="13"/>
      <c r="N2242" s="13" t="str">
        <f>IFERROR(__xludf.DUMMYFUNCTION("""COMPUTED_VALUE"""),"")</f>
        <v/>
      </c>
      <c r="O2242" s="13" t="str">
        <f t="shared" si="1"/>
        <v/>
      </c>
    </row>
    <row r="2243" ht="22.5" customHeight="1">
      <c r="B2243" s="13">
        <f>IFERROR(__xludf.DUMMYFUNCTION("""COMPUTED_VALUE"""),2238.0)</f>
        <v>2238</v>
      </c>
      <c r="C2243" s="13" t="str">
        <f>IFERROR(__xludf.DUMMYFUNCTION("""COMPUTED_VALUE"""),"M.4636/WAY KANDIS ")</f>
        <v>M.4636/WAY KANDIS </v>
      </c>
      <c r="D2243" s="13" t="str">
        <f>IFERROR(__xludf.DUMMYFUNCTION("""COMPUTED_VALUE"""),"K/8/090525/1")</f>
        <v>K/8/090525/1</v>
      </c>
      <c r="E2243" s="14" t="str">
        <f>IFERROR(__xludf.DUMMYFUNCTION("""COMPUTED_VALUE"""),"Heri (BT)")</f>
        <v>Heri (BT)</v>
      </c>
      <c r="F2243" s="14" t="str">
        <f>IFERROR(__xludf.DUMMYFUNCTION("""COMPUTED_VALUE"""),"SELESAI (VIA PERMOHONAN)")</f>
        <v>SELESAI (VIA PERMOHONAN)</v>
      </c>
      <c r="G2243" s="17">
        <f>IFERROR(__xludf.DUMMYFUNCTION("""COMPUTED_VALUE"""),45797.78033041667)</f>
        <v>45797.78033</v>
      </c>
      <c r="H2243" s="14" t="str">
        <f>IFERROR(__xludf.DUMMYFUNCTION("""COMPUTED_VALUE"""),"Bu Eva (SU)")</f>
        <v>Bu Eva (SU)</v>
      </c>
      <c r="I2243" s="13" t="str">
        <f>IFERROR(__xludf.DUMMYFUNCTION("""COMPUTED_VALUE"""),"SELESAI (VIA PERMOHONAN)")</f>
        <v>SELESAI (VIA PERMOHONAN)</v>
      </c>
      <c r="J2243" s="17">
        <f>IFERROR(__xludf.DUMMYFUNCTION("""COMPUTED_VALUE"""),45798.37022520833)</f>
        <v>45798.37023</v>
      </c>
      <c r="K2243" s="13" t="str">
        <f>IFERROR(__xludf.DUMMYFUNCTION("""COMPUTED_VALUE"""),"Selesai")</f>
        <v>Selesai</v>
      </c>
      <c r="L2243" s="17">
        <f>IFERROR(__xludf.DUMMYFUNCTION("""COMPUTED_VALUE"""),45798.37022520833)</f>
        <v>45798.37023</v>
      </c>
      <c r="M2243" s="13"/>
      <c r="N2243" s="13" t="str">
        <f>IFERROR(__xludf.DUMMYFUNCTION("""COMPUTED_VALUE"""),"")</f>
        <v/>
      </c>
      <c r="O2243" s="13" t="str">
        <f t="shared" si="1"/>
        <v/>
      </c>
    </row>
    <row r="2244" ht="22.5" customHeight="1">
      <c r="B2244" s="13">
        <f>IFERROR(__xludf.DUMMYFUNCTION("""COMPUTED_VALUE"""),2239.0)</f>
        <v>2239</v>
      </c>
      <c r="C2244" s="13" t="str">
        <f>IFERROR(__xludf.DUMMYFUNCTION("""COMPUTED_VALUE"""),"M.5615/TANJUNG SENENG")</f>
        <v>M.5615/TANJUNG SENENG</v>
      </c>
      <c r="D2244" s="13" t="str">
        <f>IFERROR(__xludf.DUMMYFUNCTION("""COMPUTED_VALUE"""),"K/30/140525/2")</f>
        <v>K/30/140525/2</v>
      </c>
      <c r="E2244" s="14" t="str">
        <f>IFERROR(__xludf.DUMMYFUNCTION("""COMPUTED_VALUE"""),"Heri (BT)")</f>
        <v>Heri (BT)</v>
      </c>
      <c r="F2244" s="14" t="str">
        <f>IFERROR(__xludf.DUMMYFUNCTION("""COMPUTED_VALUE"""),"SELESAI (VIA PERMOHONAN)")</f>
        <v>SELESAI (VIA PERMOHONAN)</v>
      </c>
      <c r="G2244" s="17">
        <f>IFERROR(__xludf.DUMMYFUNCTION("""COMPUTED_VALUE"""),45797.7805958449)</f>
        <v>45797.7806</v>
      </c>
      <c r="H2244" s="14" t="str">
        <f>IFERROR(__xludf.DUMMYFUNCTION("""COMPUTED_VALUE"""),"Bu Eva (SU)")</f>
        <v>Bu Eva (SU)</v>
      </c>
      <c r="I2244" s="13" t="str">
        <f>IFERROR(__xludf.DUMMYFUNCTION("""COMPUTED_VALUE"""),"SELESAI (VIA PERMOHONAN)")</f>
        <v>SELESAI (VIA PERMOHONAN)</v>
      </c>
      <c r="J2244" s="17">
        <f>IFERROR(__xludf.DUMMYFUNCTION("""COMPUTED_VALUE"""),45798.37041265046)</f>
        <v>45798.37041</v>
      </c>
      <c r="K2244" s="13" t="str">
        <f>IFERROR(__xludf.DUMMYFUNCTION("""COMPUTED_VALUE"""),"Selesai")</f>
        <v>Selesai</v>
      </c>
      <c r="L2244" s="17">
        <f>IFERROR(__xludf.DUMMYFUNCTION("""COMPUTED_VALUE"""),45798.37041265046)</f>
        <v>45798.37041</v>
      </c>
      <c r="M2244" s="13"/>
      <c r="N2244" s="13" t="str">
        <f>IFERROR(__xludf.DUMMYFUNCTION("""COMPUTED_VALUE"""),"")</f>
        <v/>
      </c>
      <c r="O2244" s="13" t="str">
        <f t="shared" si="1"/>
        <v/>
      </c>
    </row>
    <row r="2245" ht="22.5" customHeight="1">
      <c r="B2245" s="13">
        <f>IFERROR(__xludf.DUMMYFUNCTION("""COMPUTED_VALUE"""),2240.0)</f>
        <v>2240</v>
      </c>
      <c r="C2245" s="13" t="str">
        <f>IFERROR(__xludf.DUMMYFUNCTION("""COMPUTED_VALUE"""),"M. 1736/ Susunan Baru")</f>
        <v>M. 1736/ Susunan Baru</v>
      </c>
      <c r="D2245" s="13" t="str">
        <f>IFERROR(__xludf.DUMMYFUNCTION("""COMPUTED_VALUE"""),"K/19/070525/1")</f>
        <v>K/19/070525/1</v>
      </c>
      <c r="E2245" s="14" t="str">
        <f>IFERROR(__xludf.DUMMYFUNCTION("""COMPUTED_VALUE"""),"Afriza (BT)")</f>
        <v>Afriza (BT)</v>
      </c>
      <c r="F2245" s="14" t="str">
        <f>IFERROR(__xludf.DUMMYFUNCTION("""COMPUTED_VALUE"""),"SELESAI (VIA PERMOHONAN)")</f>
        <v>SELESAI (VIA PERMOHONAN)</v>
      </c>
      <c r="G2245" s="17">
        <f>IFERROR(__xludf.DUMMYFUNCTION("""COMPUTED_VALUE"""),45797.82850920139)</f>
        <v>45797.82851</v>
      </c>
      <c r="H2245" s="14" t="str">
        <f>IFERROR(__xludf.DUMMYFUNCTION("""COMPUTED_VALUE"""),"Aprill (SU)")</f>
        <v>Aprill (SU)</v>
      </c>
      <c r="I2245" s="13" t="str">
        <f>IFERROR(__xludf.DUMMYFUNCTION("""COMPUTED_VALUE"""),"SELESAI (VIA PERMOHONAN)")</f>
        <v>SELESAI (VIA PERMOHONAN)</v>
      </c>
      <c r="J2245" s="17">
        <f>IFERROR(__xludf.DUMMYFUNCTION("""COMPUTED_VALUE"""),45798.611750682874)</f>
        <v>45798.61175</v>
      </c>
      <c r="K2245" s="13" t="str">
        <f>IFERROR(__xludf.DUMMYFUNCTION("""COMPUTED_VALUE"""),"Selesai")</f>
        <v>Selesai</v>
      </c>
      <c r="L2245" s="17">
        <f>IFERROR(__xludf.DUMMYFUNCTION("""COMPUTED_VALUE"""),45798.611750682874)</f>
        <v>45798.61175</v>
      </c>
      <c r="M2245" s="13"/>
      <c r="N2245" s="13" t="str">
        <f>IFERROR(__xludf.DUMMYFUNCTION("""COMPUTED_VALUE"""),"")</f>
        <v/>
      </c>
      <c r="O2245" s="13" t="str">
        <f t="shared" si="1"/>
        <v/>
      </c>
    </row>
    <row r="2246" ht="22.5" customHeight="1">
      <c r="B2246" s="13">
        <f>IFERROR(__xludf.DUMMYFUNCTION("""COMPUTED_VALUE"""),2241.0)</f>
        <v>2241</v>
      </c>
      <c r="C2246" s="13" t="str">
        <f>IFERROR(__xludf.DUMMYFUNCTION("""COMPUTED_VALUE"""),"HM 11682/SUKABUMI")</f>
        <v>HM 11682/SUKABUMI</v>
      </c>
      <c r="D2246" s="13" t="str">
        <f>IFERROR(__xludf.DUMMYFUNCTION("""COMPUTED_VALUE"""),"L/28/080525/1")</f>
        <v>L/28/080525/1</v>
      </c>
      <c r="E2246" s="14" t="str">
        <f>IFERROR(__xludf.DUMMYFUNCTION("""COMPUTED_VALUE"""),"Afriza (BT)")</f>
        <v>Afriza (BT)</v>
      </c>
      <c r="F2246" s="14" t="str">
        <f>IFERROR(__xludf.DUMMYFUNCTION("""COMPUTED_VALUE"""),"SELESAI (VIA PERMOHONAN)")</f>
        <v>SELESAI (VIA PERMOHONAN)</v>
      </c>
      <c r="G2246" s="17">
        <f>IFERROR(__xludf.DUMMYFUNCTION("""COMPUTED_VALUE"""),45797.83198877315)</f>
        <v>45797.83199</v>
      </c>
      <c r="H2246" s="14" t="str">
        <f>IFERROR(__xludf.DUMMYFUNCTION("""COMPUTED_VALUE"""),"Aprill (SU)")</f>
        <v>Aprill (SU)</v>
      </c>
      <c r="I2246" s="13" t="str">
        <f>IFERROR(__xludf.DUMMYFUNCTION("""COMPUTED_VALUE"""),"SELESAI (VIA PERMOHONAN)")</f>
        <v>SELESAI (VIA PERMOHONAN)</v>
      </c>
      <c r="J2246" s="17">
        <f>IFERROR(__xludf.DUMMYFUNCTION("""COMPUTED_VALUE"""),45798.611750682874)</f>
        <v>45798.61175</v>
      </c>
      <c r="K2246" s="13" t="str">
        <f>IFERROR(__xludf.DUMMYFUNCTION("""COMPUTED_VALUE"""),"Selesai")</f>
        <v>Selesai</v>
      </c>
      <c r="L2246" s="17">
        <f>IFERROR(__xludf.DUMMYFUNCTION("""COMPUTED_VALUE"""),45798.611750682874)</f>
        <v>45798.61175</v>
      </c>
      <c r="M2246" s="13"/>
      <c r="N2246" s="13" t="str">
        <f>IFERROR(__xludf.DUMMYFUNCTION("""COMPUTED_VALUE"""),"")</f>
        <v/>
      </c>
      <c r="O2246" s="13" t="str">
        <f t="shared" si="1"/>
        <v/>
      </c>
    </row>
    <row r="2247" ht="22.5" customHeight="1">
      <c r="B2247" s="13">
        <f>IFERROR(__xludf.DUMMYFUNCTION("""COMPUTED_VALUE"""),2242.0)</f>
        <v>2242</v>
      </c>
      <c r="C2247" s="13" t="str">
        <f>IFERROR(__xludf.DUMMYFUNCTION("""COMPUTED_VALUE"""),"M. 290/ Tanjung Agung")</f>
        <v>M. 290/ Tanjung Agung</v>
      </c>
      <c r="D2247" s="13" t="str">
        <f>IFERROR(__xludf.DUMMYFUNCTION("""COMPUTED_VALUE"""),"K/15/080525/2")</f>
        <v>K/15/080525/2</v>
      </c>
      <c r="E2247" s="14" t="str">
        <f>IFERROR(__xludf.DUMMYFUNCTION("""COMPUTED_VALUE"""),"Afriza (BT)")</f>
        <v>Afriza (BT)</v>
      </c>
      <c r="F2247" s="14" t="str">
        <f>IFERROR(__xludf.DUMMYFUNCTION("""COMPUTED_VALUE"""),"SELESAI (VIA PERMOHONAN)")</f>
        <v>SELESAI (VIA PERMOHONAN)</v>
      </c>
      <c r="G2247" s="17">
        <f>IFERROR(__xludf.DUMMYFUNCTION("""COMPUTED_VALUE"""),45797.83571417824)</f>
        <v>45797.83571</v>
      </c>
      <c r="H2247" s="14" t="str">
        <f>IFERROR(__xludf.DUMMYFUNCTION("""COMPUTED_VALUE"""),"Aprill (SU)")</f>
        <v>Aprill (SU)</v>
      </c>
      <c r="I2247" s="13" t="str">
        <f>IFERROR(__xludf.DUMMYFUNCTION("""COMPUTED_VALUE"""),"SELESAI (VIA PERMOHONAN)")</f>
        <v>SELESAI (VIA PERMOHONAN)</v>
      </c>
      <c r="J2247" s="17">
        <f>IFERROR(__xludf.DUMMYFUNCTION("""COMPUTED_VALUE"""),45798.611750682874)</f>
        <v>45798.61175</v>
      </c>
      <c r="K2247" s="13" t="str">
        <f>IFERROR(__xludf.DUMMYFUNCTION("""COMPUTED_VALUE"""),"Selesai")</f>
        <v>Selesai</v>
      </c>
      <c r="L2247" s="17">
        <f>IFERROR(__xludf.DUMMYFUNCTION("""COMPUTED_VALUE"""),45798.611750682874)</f>
        <v>45798.61175</v>
      </c>
      <c r="M2247" s="13"/>
      <c r="N2247" s="13" t="str">
        <f>IFERROR(__xludf.DUMMYFUNCTION("""COMPUTED_VALUE"""),"")</f>
        <v/>
      </c>
      <c r="O2247" s="13" t="str">
        <f t="shared" si="1"/>
        <v/>
      </c>
    </row>
    <row r="2248" ht="22.5" customHeight="1">
      <c r="B2248" s="13">
        <f>IFERROR(__xludf.DUMMYFUNCTION("""COMPUTED_VALUE"""),2243.0)</f>
        <v>2243</v>
      </c>
      <c r="C2248" s="13" t="str">
        <f>IFERROR(__xludf.DUMMYFUNCTION("""COMPUTED_VALUE"""),"HM 11707/SEGALA MIDER")</f>
        <v>HM 11707/SEGALA MIDER</v>
      </c>
      <c r="D2248" s="13" t="str">
        <f>IFERROR(__xludf.DUMMYFUNCTION("""COMPUTED_VALUE"""),"L/8/070525/1")</f>
        <v>L/8/070525/1</v>
      </c>
      <c r="E2248" s="14" t="str">
        <f>IFERROR(__xludf.DUMMYFUNCTION("""COMPUTED_VALUE"""),"Afriza (BT)")</f>
        <v>Afriza (BT)</v>
      </c>
      <c r="F2248" s="14" t="str">
        <f>IFERROR(__xludf.DUMMYFUNCTION("""COMPUTED_VALUE"""),"SELESAI (VIA PERMOHONAN)")</f>
        <v>SELESAI (VIA PERMOHONAN)</v>
      </c>
      <c r="G2248" s="17">
        <f>IFERROR(__xludf.DUMMYFUNCTION("""COMPUTED_VALUE"""),45797.837360590274)</f>
        <v>45797.83736</v>
      </c>
      <c r="H2248" s="14" t="str">
        <f>IFERROR(__xludf.DUMMYFUNCTION("""COMPUTED_VALUE"""),"Aprill (SU)")</f>
        <v>Aprill (SU)</v>
      </c>
      <c r="I2248" s="13" t="str">
        <f>IFERROR(__xludf.DUMMYFUNCTION("""COMPUTED_VALUE"""),"SELESAI (VIA PERMOHONAN)")</f>
        <v>SELESAI (VIA PERMOHONAN)</v>
      </c>
      <c r="J2248" s="17">
        <f>IFERROR(__xludf.DUMMYFUNCTION("""COMPUTED_VALUE"""),45798.611750682874)</f>
        <v>45798.61175</v>
      </c>
      <c r="K2248" s="13" t="str">
        <f>IFERROR(__xludf.DUMMYFUNCTION("""COMPUTED_VALUE"""),"Selesai")</f>
        <v>Selesai</v>
      </c>
      <c r="L2248" s="17">
        <f>IFERROR(__xludf.DUMMYFUNCTION("""COMPUTED_VALUE"""),45798.611750682874)</f>
        <v>45798.61175</v>
      </c>
      <c r="M2248" s="13"/>
      <c r="N2248" s="13" t="str">
        <f>IFERROR(__xludf.DUMMYFUNCTION("""COMPUTED_VALUE"""),"")</f>
        <v/>
      </c>
      <c r="O2248" s="13" t="str">
        <f t="shared" si="1"/>
        <v/>
      </c>
    </row>
    <row r="2249" ht="22.5" customHeight="1">
      <c r="B2249" s="13">
        <f>IFERROR(__xludf.DUMMYFUNCTION("""COMPUTED_VALUE"""),2244.0)</f>
        <v>2244</v>
      </c>
      <c r="C2249" s="13" t="str">
        <f>IFERROR(__xludf.DUMMYFUNCTION("""COMPUTED_VALUE"""),"HM 12928/SUKABUMI")</f>
        <v>HM 12928/SUKABUMI</v>
      </c>
      <c r="D2249" s="13" t="str">
        <f>IFERROR(__xludf.DUMMYFUNCTION("""COMPUTED_VALUE"""),"L/10/090525/1")</f>
        <v>L/10/090525/1</v>
      </c>
      <c r="E2249" s="14" t="str">
        <f>IFERROR(__xludf.DUMMYFUNCTION("""COMPUTED_VALUE"""),"Heri (BT)")</f>
        <v>Heri (BT)</v>
      </c>
      <c r="F2249" s="14" t="str">
        <f>IFERROR(__xludf.DUMMYFUNCTION("""COMPUTED_VALUE"""),"SELESAI (VIA PERMOHONAN)")</f>
        <v>SELESAI (VIA PERMOHONAN)</v>
      </c>
      <c r="G2249" s="17">
        <f>IFERROR(__xludf.DUMMYFUNCTION("""COMPUTED_VALUE"""),45798.37137633102)</f>
        <v>45798.37138</v>
      </c>
      <c r="H2249" s="14" t="str">
        <f>IFERROR(__xludf.DUMMYFUNCTION("""COMPUTED_VALUE"""),"Aprill (SU)")</f>
        <v>Aprill (SU)</v>
      </c>
      <c r="I2249" s="13" t="str">
        <f>IFERROR(__xludf.DUMMYFUNCTION("""COMPUTED_VALUE"""),"SELESAI (VIA PERMOHONAN)")</f>
        <v>SELESAI (VIA PERMOHONAN)</v>
      </c>
      <c r="J2249" s="17">
        <f>IFERROR(__xludf.DUMMYFUNCTION("""COMPUTED_VALUE"""),45798.611750682874)</f>
        <v>45798.61175</v>
      </c>
      <c r="K2249" s="13" t="str">
        <f>IFERROR(__xludf.DUMMYFUNCTION("""COMPUTED_VALUE"""),"Selesai")</f>
        <v>Selesai</v>
      </c>
      <c r="L2249" s="17">
        <f>IFERROR(__xludf.DUMMYFUNCTION("""COMPUTED_VALUE"""),45798.611750682874)</f>
        <v>45798.61175</v>
      </c>
      <c r="M2249" s="13"/>
      <c r="N2249" s="13" t="str">
        <f>IFERROR(__xludf.DUMMYFUNCTION("""COMPUTED_VALUE"""),"")</f>
        <v/>
      </c>
      <c r="O2249" s="13" t="str">
        <f t="shared" si="1"/>
        <v/>
      </c>
    </row>
    <row r="2250" ht="22.5" customHeight="1">
      <c r="B2250" s="13">
        <f>IFERROR(__xludf.DUMMYFUNCTION("""COMPUTED_VALUE"""),2245.0)</f>
        <v>2245</v>
      </c>
      <c r="C2250" s="13" t="str">
        <f>IFERROR(__xludf.DUMMYFUNCTION("""COMPUTED_VALUE"""),"M. 16122/ Sukabumi")</f>
        <v>M. 16122/ Sukabumi</v>
      </c>
      <c r="D2250" s="13" t="str">
        <f>IFERROR(__xludf.DUMMYFUNCTION("""COMPUTED_VALUE"""),"K/8/100425/2")</f>
        <v>K/8/100425/2</v>
      </c>
      <c r="E2250" s="14" t="str">
        <f>IFERROR(__xludf.DUMMYFUNCTION("""COMPUTED_VALUE"""),"Afriza (BT)")</f>
        <v>Afriza (BT)</v>
      </c>
      <c r="F2250" s="14" t="str">
        <f>IFERROR(__xludf.DUMMYFUNCTION("""COMPUTED_VALUE"""),"SELESAI (VIA PERMOHONAN)")</f>
        <v>SELESAI (VIA PERMOHONAN)</v>
      </c>
      <c r="G2250" s="17">
        <f>IFERROR(__xludf.DUMMYFUNCTION("""COMPUTED_VALUE"""),45798.41487064815)</f>
        <v>45798.41487</v>
      </c>
      <c r="H2250" s="14" t="str">
        <f>IFERROR(__xludf.DUMMYFUNCTION("""COMPUTED_VALUE"""),"Aprill (SU)")</f>
        <v>Aprill (SU)</v>
      </c>
      <c r="I2250" s="13" t="str">
        <f>IFERROR(__xludf.DUMMYFUNCTION("""COMPUTED_VALUE"""),"SELESAI (VIA PERMOHONAN)")</f>
        <v>SELESAI (VIA PERMOHONAN)</v>
      </c>
      <c r="J2250" s="17">
        <f>IFERROR(__xludf.DUMMYFUNCTION("""COMPUTED_VALUE"""),45798.611750682874)</f>
        <v>45798.61175</v>
      </c>
      <c r="K2250" s="13" t="str">
        <f>IFERROR(__xludf.DUMMYFUNCTION("""COMPUTED_VALUE"""),"Selesai")</f>
        <v>Selesai</v>
      </c>
      <c r="L2250" s="17">
        <f>IFERROR(__xludf.DUMMYFUNCTION("""COMPUTED_VALUE"""),45798.611750682874)</f>
        <v>45798.61175</v>
      </c>
      <c r="M2250" s="13"/>
      <c r="N2250" s="13" t="str">
        <f>IFERROR(__xludf.DUMMYFUNCTION("""COMPUTED_VALUE"""),"")</f>
        <v/>
      </c>
      <c r="O2250" s="13" t="str">
        <f t="shared" si="1"/>
        <v/>
      </c>
    </row>
    <row r="2251" ht="22.5" customHeight="1">
      <c r="B2251" s="13">
        <f>IFERROR(__xludf.DUMMYFUNCTION("""COMPUTED_VALUE"""),2246.0)</f>
        <v>2246</v>
      </c>
      <c r="C2251" s="13" t="str">
        <f>IFERROR(__xludf.DUMMYFUNCTION("""COMPUTED_VALUE"""),"M.2005/LABUHAN RATU RAYA")</f>
        <v>M.2005/LABUHAN RATU RAYA</v>
      </c>
      <c r="D2251" s="13" t="str">
        <f>IFERROR(__xludf.DUMMYFUNCTION("""COMPUTED_VALUE"""),"K/29/210325/2")</f>
        <v>K/29/210325/2</v>
      </c>
      <c r="E2251" s="14" t="str">
        <f>IFERROR(__xludf.DUMMYFUNCTION("""COMPUTED_VALUE"""),"Afriza (BT)")</f>
        <v>Afriza (BT)</v>
      </c>
      <c r="F2251" s="14" t="str">
        <f>IFERROR(__xludf.DUMMYFUNCTION("""COMPUTED_VALUE"""),"SELESAI (VIA PERMOHONAN)")</f>
        <v>SELESAI (VIA PERMOHONAN)</v>
      </c>
      <c r="G2251" s="17">
        <f>IFERROR(__xludf.DUMMYFUNCTION("""COMPUTED_VALUE"""),45798.41493837963)</f>
        <v>45798.41494</v>
      </c>
      <c r="H2251" s="14" t="str">
        <f>IFERROR(__xludf.DUMMYFUNCTION("""COMPUTED_VALUE"""),"Aprill (SU)")</f>
        <v>Aprill (SU)</v>
      </c>
      <c r="I2251" s="13" t="str">
        <f>IFERROR(__xludf.DUMMYFUNCTION("""COMPUTED_VALUE"""),"SELESAI (VIA PERMOHONAN)")</f>
        <v>SELESAI (VIA PERMOHONAN)</v>
      </c>
      <c r="J2251" s="17">
        <f>IFERROR(__xludf.DUMMYFUNCTION("""COMPUTED_VALUE"""),45798.611750682874)</f>
        <v>45798.61175</v>
      </c>
      <c r="K2251" s="13" t="str">
        <f>IFERROR(__xludf.DUMMYFUNCTION("""COMPUTED_VALUE"""),"Selesai")</f>
        <v>Selesai</v>
      </c>
      <c r="L2251" s="17">
        <f>IFERROR(__xludf.DUMMYFUNCTION("""COMPUTED_VALUE"""),45798.611750682874)</f>
        <v>45798.61175</v>
      </c>
      <c r="M2251" s="13"/>
      <c r="N2251" s="13" t="str">
        <f>IFERROR(__xludf.DUMMYFUNCTION("""COMPUTED_VALUE"""),"")</f>
        <v/>
      </c>
      <c r="O2251" s="13" t="str">
        <f t="shared" si="1"/>
        <v/>
      </c>
    </row>
    <row r="2252" ht="22.5" customHeight="1">
      <c r="B2252" s="13">
        <f>IFERROR(__xludf.DUMMYFUNCTION("""COMPUTED_VALUE"""),2247.0)</f>
        <v>2247</v>
      </c>
      <c r="C2252" s="13" t="str">
        <f>IFERROR(__xludf.DUMMYFUNCTION("""COMPUTED_VALUE"""),"M.862/SUMBER AGUNG")</f>
        <v>M.862/SUMBER AGUNG</v>
      </c>
      <c r="D2252" s="13" t="str">
        <f>IFERROR(__xludf.DUMMYFUNCTION("""COMPUTED_VALUE"""),"K/15/300425/2")</f>
        <v>K/15/300425/2</v>
      </c>
      <c r="E2252" s="14" t="str">
        <f>IFERROR(__xludf.DUMMYFUNCTION("""COMPUTED_VALUE"""),"Afriza (BT)")</f>
        <v>Afriza (BT)</v>
      </c>
      <c r="F2252" s="14" t="str">
        <f>IFERROR(__xludf.DUMMYFUNCTION("""COMPUTED_VALUE"""),"SELESAI (VIA PERMOHONAN)")</f>
        <v>SELESAI (VIA PERMOHONAN)</v>
      </c>
      <c r="G2252" s="17">
        <f>IFERROR(__xludf.DUMMYFUNCTION("""COMPUTED_VALUE"""),45798.41508106481)</f>
        <v>45798.41508</v>
      </c>
      <c r="H2252" s="14" t="str">
        <f>IFERROR(__xludf.DUMMYFUNCTION("""COMPUTED_VALUE"""),"Aprill (SU)")</f>
        <v>Aprill (SU)</v>
      </c>
      <c r="I2252" s="13" t="str">
        <f>IFERROR(__xludf.DUMMYFUNCTION("""COMPUTED_VALUE"""),"SELESAI (VIA PERMOHONAN)")</f>
        <v>SELESAI (VIA PERMOHONAN)</v>
      </c>
      <c r="J2252" s="17">
        <f>IFERROR(__xludf.DUMMYFUNCTION("""COMPUTED_VALUE"""),45798.611750682874)</f>
        <v>45798.61175</v>
      </c>
      <c r="K2252" s="13" t="str">
        <f>IFERROR(__xludf.DUMMYFUNCTION("""COMPUTED_VALUE"""),"Selesai")</f>
        <v>Selesai</v>
      </c>
      <c r="L2252" s="17">
        <f>IFERROR(__xludf.DUMMYFUNCTION("""COMPUTED_VALUE"""),45798.611750682874)</f>
        <v>45798.61175</v>
      </c>
      <c r="M2252" s="13"/>
      <c r="N2252" s="13" t="str">
        <f>IFERROR(__xludf.DUMMYFUNCTION("""COMPUTED_VALUE"""),"")</f>
        <v/>
      </c>
      <c r="O2252" s="13" t="str">
        <f t="shared" si="1"/>
        <v/>
      </c>
    </row>
    <row r="2253" ht="22.5" customHeight="1">
      <c r="B2253" s="13">
        <f>IFERROR(__xludf.DUMMYFUNCTION("""COMPUTED_VALUE"""),2248.0)</f>
        <v>2248</v>
      </c>
      <c r="C2253" s="13" t="str">
        <f>IFERROR(__xludf.DUMMYFUNCTION("""COMPUTED_VALUE"""),"M. 19185/SUKARAME")</f>
        <v>M. 19185/SUKARAME</v>
      </c>
      <c r="D2253" s="13" t="str">
        <f>IFERROR(__xludf.DUMMYFUNCTION("""COMPUTED_VALUE"""),"K/15/090525/1")</f>
        <v>K/15/090525/1</v>
      </c>
      <c r="E2253" s="14" t="str">
        <f>IFERROR(__xludf.DUMMYFUNCTION("""COMPUTED_VALUE"""),"Afriza (BT)")</f>
        <v>Afriza (BT)</v>
      </c>
      <c r="F2253" s="14" t="str">
        <f>IFERROR(__xludf.DUMMYFUNCTION("""COMPUTED_VALUE"""),"SELESAI (VIA PERMOHONAN)")</f>
        <v>SELESAI (VIA PERMOHONAN)</v>
      </c>
      <c r="G2253" s="17">
        <f>IFERROR(__xludf.DUMMYFUNCTION("""COMPUTED_VALUE"""),45798.41520063658)</f>
        <v>45798.4152</v>
      </c>
      <c r="H2253" s="14" t="str">
        <f>IFERROR(__xludf.DUMMYFUNCTION("""COMPUTED_VALUE"""),"Aprill (SU)")</f>
        <v>Aprill (SU)</v>
      </c>
      <c r="I2253" s="13" t="str">
        <f>IFERROR(__xludf.DUMMYFUNCTION("""COMPUTED_VALUE"""),"SELESAI (VIA PERMOHONAN)")</f>
        <v>SELESAI (VIA PERMOHONAN)</v>
      </c>
      <c r="J2253" s="17">
        <f>IFERROR(__xludf.DUMMYFUNCTION("""COMPUTED_VALUE"""),45798.61178715278)</f>
        <v>45798.61179</v>
      </c>
      <c r="K2253" s="13" t="str">
        <f>IFERROR(__xludf.DUMMYFUNCTION("""COMPUTED_VALUE"""),"Selesai")</f>
        <v>Selesai</v>
      </c>
      <c r="L2253" s="17">
        <f>IFERROR(__xludf.DUMMYFUNCTION("""COMPUTED_VALUE"""),45798.61178715278)</f>
        <v>45798.61179</v>
      </c>
      <c r="M2253" s="13"/>
      <c r="N2253" s="13" t="str">
        <f>IFERROR(__xludf.DUMMYFUNCTION("""COMPUTED_VALUE"""),"")</f>
        <v/>
      </c>
      <c r="O2253" s="13" t="str">
        <f t="shared" si="1"/>
        <v/>
      </c>
    </row>
    <row r="2254" ht="22.5" customHeight="1">
      <c r="B2254" s="13">
        <f>IFERROR(__xludf.DUMMYFUNCTION("""COMPUTED_VALUE"""),2249.0)</f>
        <v>2249</v>
      </c>
      <c r="C2254" s="13" t="str">
        <f>IFERROR(__xludf.DUMMYFUNCTION("""COMPUTED_VALUE"""),"B. 33/ Langkapura")</f>
        <v>B. 33/ Langkapura</v>
      </c>
      <c r="D2254" s="13" t="str">
        <f>IFERROR(__xludf.DUMMYFUNCTION("""COMPUTED_VALUE"""),"K/20/080525/1")</f>
        <v>K/20/080525/1</v>
      </c>
      <c r="E2254" s="14" t="str">
        <f>IFERROR(__xludf.DUMMYFUNCTION("""COMPUTED_VALUE"""),"Afriza (BT)")</f>
        <v>Afriza (BT)</v>
      </c>
      <c r="F2254" s="14" t="str">
        <f>IFERROR(__xludf.DUMMYFUNCTION("""COMPUTED_VALUE"""),"SELESAI (VIA PERMOHONAN)")</f>
        <v>SELESAI (VIA PERMOHONAN)</v>
      </c>
      <c r="G2254" s="17">
        <f>IFERROR(__xludf.DUMMYFUNCTION("""COMPUTED_VALUE"""),45798.562228888884)</f>
        <v>45798.56223</v>
      </c>
      <c r="H2254" s="14" t="str">
        <f>IFERROR(__xludf.DUMMYFUNCTION("""COMPUTED_VALUE"""),"Aprill (SU)")</f>
        <v>Aprill (SU)</v>
      </c>
      <c r="I2254" s="13" t="str">
        <f>IFERROR(__xludf.DUMMYFUNCTION("""COMPUTED_VALUE"""),"SELESAI (VIA PERMOHONAN)")</f>
        <v>SELESAI (VIA PERMOHONAN)</v>
      </c>
      <c r="J2254" s="17">
        <f>IFERROR(__xludf.DUMMYFUNCTION("""COMPUTED_VALUE"""),45798.61178715278)</f>
        <v>45798.61179</v>
      </c>
      <c r="K2254" s="13" t="str">
        <f>IFERROR(__xludf.DUMMYFUNCTION("""COMPUTED_VALUE"""),"Selesai")</f>
        <v>Selesai</v>
      </c>
      <c r="L2254" s="17">
        <f>IFERROR(__xludf.DUMMYFUNCTION("""COMPUTED_VALUE"""),45798.61178715278)</f>
        <v>45798.61179</v>
      </c>
      <c r="M2254" s="13"/>
      <c r="N2254" s="13" t="str">
        <f>IFERROR(__xludf.DUMMYFUNCTION("""COMPUTED_VALUE"""),"")</f>
        <v/>
      </c>
      <c r="O2254" s="13" t="str">
        <f t="shared" si="1"/>
        <v/>
      </c>
    </row>
    <row r="2255" ht="22.5" customHeight="1">
      <c r="B2255" s="13">
        <f>IFERROR(__xludf.DUMMYFUNCTION("""COMPUTED_VALUE"""),2250.0)</f>
        <v>2250</v>
      </c>
      <c r="C2255" s="13" t="str">
        <f>IFERROR(__xludf.DUMMYFUNCTION("""COMPUTED_VALUE"""),"M. 2165/ Kota Baru")</f>
        <v>M. 2165/ Kota Baru</v>
      </c>
      <c r="D2255" s="13" t="str">
        <f>IFERROR(__xludf.DUMMYFUNCTION("""COMPUTED_VALUE"""),"K/26/150525/4")</f>
        <v>K/26/150525/4</v>
      </c>
      <c r="E2255" s="14" t="str">
        <f>IFERROR(__xludf.DUMMYFUNCTION("""COMPUTED_VALUE"""),"Afriza (BT)")</f>
        <v>Afriza (BT)</v>
      </c>
      <c r="F2255" s="14" t="str">
        <f>IFERROR(__xludf.DUMMYFUNCTION("""COMPUTED_VALUE"""),"SELESAI (VIA PERMOHONAN)")</f>
        <v>SELESAI (VIA PERMOHONAN)</v>
      </c>
      <c r="G2255" s="17">
        <f>IFERROR(__xludf.DUMMYFUNCTION("""COMPUTED_VALUE"""),45798.56696315973)</f>
        <v>45798.56696</v>
      </c>
      <c r="H2255" s="14" t="str">
        <f>IFERROR(__xludf.DUMMYFUNCTION("""COMPUTED_VALUE"""),"Aprill (SU)")</f>
        <v>Aprill (SU)</v>
      </c>
      <c r="I2255" s="13" t="str">
        <f>IFERROR(__xludf.DUMMYFUNCTION("""COMPUTED_VALUE"""),"SELESAI (VIA PERMOHONAN)")</f>
        <v>SELESAI (VIA PERMOHONAN)</v>
      </c>
      <c r="J2255" s="17">
        <f>IFERROR(__xludf.DUMMYFUNCTION("""COMPUTED_VALUE"""),45798.61178715278)</f>
        <v>45798.61179</v>
      </c>
      <c r="K2255" s="13" t="str">
        <f>IFERROR(__xludf.DUMMYFUNCTION("""COMPUTED_VALUE"""),"Selesai")</f>
        <v>Selesai</v>
      </c>
      <c r="L2255" s="17">
        <f>IFERROR(__xludf.DUMMYFUNCTION("""COMPUTED_VALUE"""),45798.61178715278)</f>
        <v>45798.61179</v>
      </c>
      <c r="M2255" s="13"/>
      <c r="N2255" s="13" t="str">
        <f>IFERROR(__xludf.DUMMYFUNCTION("""COMPUTED_VALUE"""),"")</f>
        <v/>
      </c>
      <c r="O2255" s="13" t="str">
        <f t="shared" si="1"/>
        <v/>
      </c>
    </row>
    <row r="2256" ht="22.5" customHeight="1">
      <c r="B2256" s="13">
        <f>IFERROR(__xludf.DUMMYFUNCTION("""COMPUTED_VALUE"""),2251.0)</f>
        <v>2251</v>
      </c>
      <c r="C2256" s="13" t="str">
        <f>IFERROR(__xludf.DUMMYFUNCTION("""COMPUTED_VALUE"""),"M. 869, 783/ Perwata")</f>
        <v>M. 869, 783/ Perwata</v>
      </c>
      <c r="D2256" s="13" t="str">
        <f>IFERROR(__xludf.DUMMYFUNCTION("""COMPUTED_VALUE"""),"K/6/160525/1")</f>
        <v>K/6/160525/1</v>
      </c>
      <c r="E2256" s="14" t="str">
        <f>IFERROR(__xludf.DUMMYFUNCTION("""COMPUTED_VALUE"""),"Afriza (BT)")</f>
        <v>Afriza (BT)</v>
      </c>
      <c r="F2256" s="14" t="str">
        <f>IFERROR(__xludf.DUMMYFUNCTION("""COMPUTED_VALUE"""),"SELESAI (VIA PERMOHONAN)")</f>
        <v>SELESAI (VIA PERMOHONAN)</v>
      </c>
      <c r="G2256" s="17">
        <f>IFERROR(__xludf.DUMMYFUNCTION("""COMPUTED_VALUE"""),45798.573702615744)</f>
        <v>45798.5737</v>
      </c>
      <c r="H2256" s="14" t="str">
        <f>IFERROR(__xludf.DUMMYFUNCTION("""COMPUTED_VALUE"""),"Aprill (SU)")</f>
        <v>Aprill (SU)</v>
      </c>
      <c r="I2256" s="13" t="str">
        <f>IFERROR(__xludf.DUMMYFUNCTION("""COMPUTED_VALUE"""),"SELESAI (VIA PERMOHONAN)")</f>
        <v>SELESAI (VIA PERMOHONAN)</v>
      </c>
      <c r="J2256" s="17">
        <f>IFERROR(__xludf.DUMMYFUNCTION("""COMPUTED_VALUE"""),45798.61178715278)</f>
        <v>45798.61179</v>
      </c>
      <c r="K2256" s="13" t="str">
        <f>IFERROR(__xludf.DUMMYFUNCTION("""COMPUTED_VALUE"""),"Selesai")</f>
        <v>Selesai</v>
      </c>
      <c r="L2256" s="17">
        <f>IFERROR(__xludf.DUMMYFUNCTION("""COMPUTED_VALUE"""),45798.61178715278)</f>
        <v>45798.61179</v>
      </c>
      <c r="M2256" s="13"/>
      <c r="N2256" s="13" t="str">
        <f>IFERROR(__xludf.DUMMYFUNCTION("""COMPUTED_VALUE"""),"")</f>
        <v/>
      </c>
      <c r="O2256" s="13" t="str">
        <f t="shared" si="1"/>
        <v/>
      </c>
    </row>
    <row r="2257" ht="22.5" customHeight="1">
      <c r="B2257" s="13">
        <f>IFERROR(__xludf.DUMMYFUNCTION("""COMPUTED_VALUE"""),2252.0)</f>
        <v>2252</v>
      </c>
      <c r="C2257" s="13" t="str">
        <f>IFERROR(__xludf.DUMMYFUNCTION("""COMPUTED_VALUE"""),"M. 1884/ Langkapura")</f>
        <v>M. 1884/ Langkapura</v>
      </c>
      <c r="D2257" s="13" t="str">
        <f>IFERROR(__xludf.DUMMYFUNCTION("""COMPUTED_VALUE"""),"K/5/150525/1")</f>
        <v>K/5/150525/1</v>
      </c>
      <c r="E2257" s="14" t="str">
        <f>IFERROR(__xludf.DUMMYFUNCTION("""COMPUTED_VALUE"""),"Afriza (BT)")</f>
        <v>Afriza (BT)</v>
      </c>
      <c r="F2257" s="14" t="str">
        <f>IFERROR(__xludf.DUMMYFUNCTION("""COMPUTED_VALUE"""),"SELESAI (VIA PERMOHONAN)")</f>
        <v>SELESAI (VIA PERMOHONAN)</v>
      </c>
      <c r="G2257" s="17">
        <f>IFERROR(__xludf.DUMMYFUNCTION("""COMPUTED_VALUE"""),45798.5817971412)</f>
        <v>45798.5818</v>
      </c>
      <c r="H2257" s="14" t="str">
        <f>IFERROR(__xludf.DUMMYFUNCTION("""COMPUTED_VALUE"""),"Aprill (SU)")</f>
        <v>Aprill (SU)</v>
      </c>
      <c r="I2257" s="13" t="str">
        <f>IFERROR(__xludf.DUMMYFUNCTION("""COMPUTED_VALUE"""),"SELESAI (VIA PERMOHONAN)")</f>
        <v>SELESAI (VIA PERMOHONAN)</v>
      </c>
      <c r="J2257" s="17">
        <f>IFERROR(__xludf.DUMMYFUNCTION("""COMPUTED_VALUE"""),45798.61182174769)</f>
        <v>45798.61182</v>
      </c>
      <c r="K2257" s="13" t="str">
        <f>IFERROR(__xludf.DUMMYFUNCTION("""COMPUTED_VALUE"""),"Selesai")</f>
        <v>Selesai</v>
      </c>
      <c r="L2257" s="17">
        <f>IFERROR(__xludf.DUMMYFUNCTION("""COMPUTED_VALUE"""),45798.61182174769)</f>
        <v>45798.61182</v>
      </c>
      <c r="M2257" s="13"/>
      <c r="N2257" s="13" t="str">
        <f>IFERROR(__xludf.DUMMYFUNCTION("""COMPUTED_VALUE"""),"")</f>
        <v/>
      </c>
      <c r="O2257" s="13" t="str">
        <f t="shared" si="1"/>
        <v/>
      </c>
    </row>
    <row r="2258" ht="22.5" customHeight="1">
      <c r="B2258" s="13">
        <f>IFERROR(__xludf.DUMMYFUNCTION("""COMPUTED_VALUE"""),2253.0)</f>
        <v>2253</v>
      </c>
      <c r="C2258" s="13" t="str">
        <f>IFERROR(__xludf.DUMMYFUNCTION("""COMPUTED_VALUE"""),"M.1869/PANJANG SELATAN")</f>
        <v>M.1869/PANJANG SELATAN</v>
      </c>
      <c r="D2258" s="13" t="str">
        <f>IFERROR(__xludf.DUMMYFUNCTION("""COMPUTED_VALUE"""),"K/4/150525/1")</f>
        <v>K/4/150525/1</v>
      </c>
      <c r="E2258" s="14" t="str">
        <f>IFERROR(__xludf.DUMMYFUNCTION("""COMPUTED_VALUE"""),"Afriza (BT)")</f>
        <v>Afriza (BT)</v>
      </c>
      <c r="F2258" s="14" t="str">
        <f>IFERROR(__xludf.DUMMYFUNCTION("""COMPUTED_VALUE"""),"SELESAI (VIA PERMOHONAN)")</f>
        <v>SELESAI (VIA PERMOHONAN)</v>
      </c>
      <c r="G2258" s="17">
        <f>IFERROR(__xludf.DUMMYFUNCTION("""COMPUTED_VALUE"""),45798.59764142361)</f>
        <v>45798.59764</v>
      </c>
      <c r="H2258" s="14" t="str">
        <f>IFERROR(__xludf.DUMMYFUNCTION("""COMPUTED_VALUE"""),"Aprill (SU)")</f>
        <v>Aprill (SU)</v>
      </c>
      <c r="I2258" s="13" t="str">
        <f>IFERROR(__xludf.DUMMYFUNCTION("""COMPUTED_VALUE"""),"SELESAI (VIA PERMOHONAN)")</f>
        <v>SELESAI (VIA PERMOHONAN)</v>
      </c>
      <c r="J2258" s="17">
        <f>IFERROR(__xludf.DUMMYFUNCTION("""COMPUTED_VALUE"""),45798.61182174769)</f>
        <v>45798.61182</v>
      </c>
      <c r="K2258" s="13" t="str">
        <f>IFERROR(__xludf.DUMMYFUNCTION("""COMPUTED_VALUE"""),"Selesai")</f>
        <v>Selesai</v>
      </c>
      <c r="L2258" s="17">
        <f>IFERROR(__xludf.DUMMYFUNCTION("""COMPUTED_VALUE"""),45798.61182174769)</f>
        <v>45798.61182</v>
      </c>
      <c r="M2258" s="13"/>
      <c r="N2258" s="13" t="str">
        <f>IFERROR(__xludf.DUMMYFUNCTION("""COMPUTED_VALUE"""),"")</f>
        <v/>
      </c>
      <c r="O2258" s="13" t="str">
        <f t="shared" si="1"/>
        <v/>
      </c>
    </row>
    <row r="2259" ht="22.5" customHeight="1">
      <c r="B2259" s="13">
        <f>IFERROR(__xludf.DUMMYFUNCTION("""COMPUTED_VALUE"""),2254.0)</f>
        <v>2254</v>
      </c>
      <c r="C2259" s="13" t="str">
        <f>IFERROR(__xludf.DUMMYFUNCTION("""COMPUTED_VALUE"""),"HM 1255/KELAPA TIGA")</f>
        <v>HM 1255/KELAPA TIGA</v>
      </c>
      <c r="D2259" s="13" t="str">
        <f>IFERROR(__xludf.DUMMYFUNCTION("""COMPUTED_VALUE"""),"L/18/080525/1")</f>
        <v>L/18/080525/1</v>
      </c>
      <c r="E2259" s="14" t="str">
        <f>IFERROR(__xludf.DUMMYFUNCTION("""COMPUTED_VALUE"""),"Afriza (BT)")</f>
        <v>Afriza (BT)</v>
      </c>
      <c r="F2259" s="14" t="str">
        <f>IFERROR(__xludf.DUMMYFUNCTION("""COMPUTED_VALUE"""),"SELESAI (VIA PERMOHONAN)")</f>
        <v>SELESAI (VIA PERMOHONAN)</v>
      </c>
      <c r="G2259" s="17">
        <f>IFERROR(__xludf.DUMMYFUNCTION("""COMPUTED_VALUE"""),45798.60892273148)</f>
        <v>45798.60892</v>
      </c>
      <c r="H2259" s="14" t="str">
        <f>IFERROR(__xludf.DUMMYFUNCTION("""COMPUTED_VALUE"""),"Bu Eva (SU)")</f>
        <v>Bu Eva (SU)</v>
      </c>
      <c r="I2259" s="13" t="str">
        <f>IFERROR(__xludf.DUMMYFUNCTION("""COMPUTED_VALUE"""),"SELESAI (VIA PERMOHONAN)")</f>
        <v>SELESAI (VIA PERMOHONAN)</v>
      </c>
      <c r="J2259" s="17">
        <f>IFERROR(__xludf.DUMMYFUNCTION("""COMPUTED_VALUE"""),45798.608987430554)</f>
        <v>45798.60899</v>
      </c>
      <c r="K2259" s="13" t="str">
        <f>IFERROR(__xludf.DUMMYFUNCTION("""COMPUTED_VALUE"""),"Selesai")</f>
        <v>Selesai</v>
      </c>
      <c r="L2259" s="17">
        <f>IFERROR(__xludf.DUMMYFUNCTION("""COMPUTED_VALUE"""),45798.608987430554)</f>
        <v>45798.60899</v>
      </c>
      <c r="M2259" s="13"/>
      <c r="N2259" s="13" t="str">
        <f>IFERROR(__xludf.DUMMYFUNCTION("""COMPUTED_VALUE"""),"")</f>
        <v/>
      </c>
      <c r="O2259" s="13" t="str">
        <f t="shared" si="1"/>
        <v/>
      </c>
    </row>
    <row r="2260" ht="22.5" customHeight="1">
      <c r="B2260" s="13">
        <f>IFERROR(__xludf.DUMMYFUNCTION("""COMPUTED_VALUE"""),2255.0)</f>
        <v>2255</v>
      </c>
      <c r="C2260" s="13" t="str">
        <f>IFERROR(__xludf.DUMMYFUNCTION("""COMPUTED_VALUE"""),"HM 138/GARUNTANG")</f>
        <v>HM 138/GARUNTANG</v>
      </c>
      <c r="D2260" s="13"/>
      <c r="E2260" s="14" t="str">
        <f>IFERROR(__xludf.DUMMYFUNCTION("""COMPUTED_VALUE"""),"Afriza (BT)")</f>
        <v>Afriza (BT)</v>
      </c>
      <c r="F2260" s="14" t="str">
        <f>IFERROR(__xludf.DUMMYFUNCTION("""COMPUTED_VALUE"""),"SELESAI (VIA PERMOHONAN)")</f>
        <v>SELESAI (VIA PERMOHONAN)</v>
      </c>
      <c r="G2260" s="17">
        <f>IFERROR(__xludf.DUMMYFUNCTION("""COMPUTED_VALUE"""),45798.609226562505)</f>
        <v>45798.60923</v>
      </c>
      <c r="H2260" s="14" t="str">
        <f>IFERROR(__xludf.DUMMYFUNCTION("""COMPUTED_VALUE"""),"Bu Eva (SU)")</f>
        <v>Bu Eva (SU)</v>
      </c>
      <c r="I2260" s="13" t="str">
        <f>IFERROR(__xludf.DUMMYFUNCTION("""COMPUTED_VALUE"""),"SELESAI (VIA PERMOHONAN)")</f>
        <v>SELESAI (VIA PERMOHONAN)</v>
      </c>
      <c r="J2260" s="17">
        <f>IFERROR(__xludf.DUMMYFUNCTION("""COMPUTED_VALUE"""),45798.609287280095)</f>
        <v>45798.60929</v>
      </c>
      <c r="K2260" s="13" t="str">
        <f>IFERROR(__xludf.DUMMYFUNCTION("""COMPUTED_VALUE"""),"")</f>
        <v/>
      </c>
      <c r="L2260" s="13" t="str">
        <f>IFERROR(__xludf.DUMMYFUNCTION("""COMPUTED_VALUE"""),"")</f>
        <v/>
      </c>
      <c r="M2260" s="13"/>
      <c r="N2260" s="13" t="str">
        <f>IFERROR(__xludf.DUMMYFUNCTION("""COMPUTED_VALUE"""),"")</f>
        <v/>
      </c>
      <c r="O2260" s="13" t="str">
        <f t="shared" si="1"/>
        <v/>
      </c>
    </row>
    <row r="2261" ht="22.5" customHeight="1">
      <c r="B2261" s="13">
        <f>IFERROR(__xludf.DUMMYFUNCTION("""COMPUTED_VALUE"""),2256.0)</f>
        <v>2256</v>
      </c>
      <c r="C2261" s="13" t="str">
        <f>IFERROR(__xludf.DUMMYFUNCTION("""COMPUTED_VALUE"""),"M.903/GOTONG ROYONG")</f>
        <v>M.903/GOTONG ROYONG</v>
      </c>
      <c r="D2261" s="13"/>
      <c r="E2261" s="14" t="str">
        <f>IFERROR(__xludf.DUMMYFUNCTION("""COMPUTED_VALUE"""),"Afriza (BT)")</f>
        <v>Afriza (BT)</v>
      </c>
      <c r="F2261" s="14" t="str">
        <f>IFERROR(__xludf.DUMMYFUNCTION("""COMPUTED_VALUE"""),"SELESAI (VIA PERMOHONAN)")</f>
        <v>SELESAI (VIA PERMOHONAN)</v>
      </c>
      <c r="G2261" s="17">
        <f>IFERROR(__xludf.DUMMYFUNCTION("""COMPUTED_VALUE"""),45798.609564189814)</f>
        <v>45798.60956</v>
      </c>
      <c r="H2261" s="14" t="str">
        <f>IFERROR(__xludf.DUMMYFUNCTION("""COMPUTED_VALUE"""),"Bu Eva (SU)")</f>
        <v>Bu Eva (SU)</v>
      </c>
      <c r="I2261" s="13" t="str">
        <f>IFERROR(__xludf.DUMMYFUNCTION("""COMPUTED_VALUE"""),"SELESAI (VIA PERMOHONAN)")</f>
        <v>SELESAI (VIA PERMOHONAN)</v>
      </c>
      <c r="J2261" s="17">
        <f>IFERROR(__xludf.DUMMYFUNCTION("""COMPUTED_VALUE"""),45798.609620034724)</f>
        <v>45798.60962</v>
      </c>
      <c r="K2261" s="13" t="str">
        <f>IFERROR(__xludf.DUMMYFUNCTION("""COMPUTED_VALUE"""),"")</f>
        <v/>
      </c>
      <c r="L2261" s="13" t="str">
        <f>IFERROR(__xludf.DUMMYFUNCTION("""COMPUTED_VALUE"""),"")</f>
        <v/>
      </c>
      <c r="M2261" s="13"/>
      <c r="N2261" s="13" t="str">
        <f>IFERROR(__xludf.DUMMYFUNCTION("""COMPUTED_VALUE"""),"")</f>
        <v/>
      </c>
      <c r="O2261" s="13" t="str">
        <f t="shared" si="1"/>
        <v/>
      </c>
    </row>
    <row r="2262" ht="22.5" customHeight="1">
      <c r="B2262" s="13">
        <f>IFERROR(__xludf.DUMMYFUNCTION("""COMPUTED_VALUE"""),2257.0)</f>
        <v>2257</v>
      </c>
      <c r="C2262" s="13" t="str">
        <f>IFERROR(__xludf.DUMMYFUNCTION("""COMPUTED_VALUE"""),"M. 12354/KEDATON")</f>
        <v>M. 12354/KEDATON</v>
      </c>
      <c r="D2262" s="13" t="str">
        <f>IFERROR(__xludf.DUMMYFUNCTION("""COMPUTED_VALUE"""),"K/16/130325/3")</f>
        <v>K/16/130325/3</v>
      </c>
      <c r="E2262" s="14" t="str">
        <f>IFERROR(__xludf.DUMMYFUNCTION("""COMPUTED_VALUE"""),"Afriza (BT)")</f>
        <v>Afriza (BT)</v>
      </c>
      <c r="F2262" s="14" t="str">
        <f>IFERROR(__xludf.DUMMYFUNCTION("""COMPUTED_VALUE"""),"SELESAI (VIA PERMOHONAN)")</f>
        <v>SELESAI (VIA PERMOHONAN)</v>
      </c>
      <c r="G2262" s="17">
        <f>IFERROR(__xludf.DUMMYFUNCTION("""COMPUTED_VALUE"""),45798.647464884256)</f>
        <v>45798.64746</v>
      </c>
      <c r="H2262" s="14" t="str">
        <f>IFERROR(__xludf.DUMMYFUNCTION("""COMPUTED_VALUE"""),"Desy (SU)")</f>
        <v>Desy (SU)</v>
      </c>
      <c r="I2262" s="13" t="str">
        <f>IFERROR(__xludf.DUMMYFUNCTION("""COMPUTED_VALUE"""),"SELESAI (VIA PERMOHONAN)")</f>
        <v>SELESAI (VIA PERMOHONAN)</v>
      </c>
      <c r="J2262" s="17">
        <f>IFERROR(__xludf.DUMMYFUNCTION("""COMPUTED_VALUE"""),45799.623060474536)</f>
        <v>45799.62306</v>
      </c>
      <c r="K2262" s="13" t="str">
        <f>IFERROR(__xludf.DUMMYFUNCTION("""COMPUTED_VALUE"""),"Selesai")</f>
        <v>Selesai</v>
      </c>
      <c r="L2262" s="17">
        <f>IFERROR(__xludf.DUMMYFUNCTION("""COMPUTED_VALUE"""),45799.623060474536)</f>
        <v>45799.62306</v>
      </c>
      <c r="M2262" s="13"/>
      <c r="N2262" s="13" t="str">
        <f>IFERROR(__xludf.DUMMYFUNCTION("""COMPUTED_VALUE"""),"")</f>
        <v/>
      </c>
      <c r="O2262" s="13" t="str">
        <f t="shared" si="1"/>
        <v/>
      </c>
    </row>
    <row r="2263" ht="22.5" customHeight="1">
      <c r="B2263" s="13">
        <f>IFERROR(__xludf.DUMMYFUNCTION("""COMPUTED_VALUE"""),2258.0)</f>
        <v>2258</v>
      </c>
      <c r="C2263" s="13" t="str">
        <f>IFERROR(__xludf.DUMMYFUNCTION("""COMPUTED_VALUE"""),"M. 3303/ kemiling Permai")</f>
        <v>M. 3303/ kemiling Permai</v>
      </c>
      <c r="D2263" s="13" t="str">
        <f>IFERROR(__xludf.DUMMYFUNCTION("""COMPUTED_VALUE"""),"K/39/240425/1")</f>
        <v>K/39/240425/1</v>
      </c>
      <c r="E2263" s="14" t="str">
        <f>IFERROR(__xludf.DUMMYFUNCTION("""COMPUTED_VALUE"""),"Heri (BT)")</f>
        <v>Heri (BT)</v>
      </c>
      <c r="F2263" s="14" t="str">
        <f>IFERROR(__xludf.DUMMYFUNCTION("""COMPUTED_VALUE"""),"SELESAI (VIA PERMOHONAN)")</f>
        <v>SELESAI (VIA PERMOHONAN)</v>
      </c>
      <c r="G2263" s="17">
        <f>IFERROR(__xludf.DUMMYFUNCTION("""COMPUTED_VALUE"""),45798.80945)</f>
        <v>45798.80945</v>
      </c>
      <c r="H2263" s="14" t="str">
        <f>IFERROR(__xludf.DUMMYFUNCTION("""COMPUTED_VALUE"""),"Desy (SU)")</f>
        <v>Desy (SU)</v>
      </c>
      <c r="I2263" s="13" t="str">
        <f>IFERROR(__xludf.DUMMYFUNCTION("""COMPUTED_VALUE"""),"SELESAI (VIA PERMOHONAN)")</f>
        <v>SELESAI (VIA PERMOHONAN)</v>
      </c>
      <c r="J2263" s="17">
        <f>IFERROR(__xludf.DUMMYFUNCTION("""COMPUTED_VALUE"""),45799.62308181713)</f>
        <v>45799.62308</v>
      </c>
      <c r="K2263" s="13" t="str">
        <f>IFERROR(__xludf.DUMMYFUNCTION("""COMPUTED_VALUE"""),"Selesai")</f>
        <v>Selesai</v>
      </c>
      <c r="L2263" s="17">
        <f>IFERROR(__xludf.DUMMYFUNCTION("""COMPUTED_VALUE"""),45799.62308181713)</f>
        <v>45799.62308</v>
      </c>
      <c r="M2263" s="13"/>
      <c r="N2263" s="13" t="str">
        <f>IFERROR(__xludf.DUMMYFUNCTION("""COMPUTED_VALUE"""),"")</f>
        <v/>
      </c>
      <c r="O2263" s="13" t="str">
        <f t="shared" si="1"/>
        <v/>
      </c>
    </row>
    <row r="2264" ht="22.5" customHeight="1">
      <c r="B2264" s="13">
        <f>IFERROR(__xludf.DUMMYFUNCTION("""COMPUTED_VALUE"""),2259.0)</f>
        <v>2259</v>
      </c>
      <c r="C2264" s="13" t="str">
        <f>IFERROR(__xludf.DUMMYFUNCTION("""COMPUTED_VALUE"""),"M. 811/ palapa")</f>
        <v>M. 811/ palapa</v>
      </c>
      <c r="D2264" s="13"/>
      <c r="E2264" s="14" t="str">
        <f>IFERROR(__xludf.DUMMYFUNCTION("""COMPUTED_VALUE"""),"Heri (BT)")</f>
        <v>Heri (BT)</v>
      </c>
      <c r="F2264" s="14" t="str">
        <f>IFERROR(__xludf.DUMMYFUNCTION("""COMPUTED_VALUE"""),"SELESAI (VIA PERMOHONAN)")</f>
        <v>SELESAI (VIA PERMOHONAN)</v>
      </c>
      <c r="G2264" s="17">
        <f>IFERROR(__xludf.DUMMYFUNCTION("""COMPUTED_VALUE"""),45798.809780868054)</f>
        <v>45798.80978</v>
      </c>
      <c r="H2264" s="14" t="str">
        <f>IFERROR(__xludf.DUMMYFUNCTION("""COMPUTED_VALUE"""),"Desy (SU)")</f>
        <v>Desy (SU)</v>
      </c>
      <c r="I2264" s="13" t="str">
        <f>IFERROR(__xludf.DUMMYFUNCTION("""COMPUTED_VALUE"""),"SELESAI (VIA PERMOHONAN)")</f>
        <v>SELESAI (VIA PERMOHONAN)</v>
      </c>
      <c r="J2264" s="17">
        <f>IFERROR(__xludf.DUMMYFUNCTION("""COMPUTED_VALUE"""),45799.62316313657)</f>
        <v>45799.62316</v>
      </c>
      <c r="K2264" s="13" t="str">
        <f>IFERROR(__xludf.DUMMYFUNCTION("""COMPUTED_VALUE"""),"")</f>
        <v/>
      </c>
      <c r="L2264" s="13" t="str">
        <f>IFERROR(__xludf.DUMMYFUNCTION("""COMPUTED_VALUE"""),"")</f>
        <v/>
      </c>
      <c r="M2264" s="13"/>
      <c r="N2264" s="13" t="str">
        <f>IFERROR(__xludf.DUMMYFUNCTION("""COMPUTED_VALUE"""),"")</f>
        <v/>
      </c>
      <c r="O2264" s="13" t="str">
        <f t="shared" si="1"/>
        <v/>
      </c>
    </row>
    <row r="2265" ht="22.5" customHeight="1">
      <c r="B2265" s="13">
        <f>IFERROR(__xludf.DUMMYFUNCTION("""COMPUTED_VALUE"""),2260.0)</f>
        <v>2260</v>
      </c>
      <c r="C2265" s="13" t="str">
        <f>IFERROR(__xludf.DUMMYFUNCTION("""COMPUTED_VALUE"""),"M. 6342/ Gunung Sulah")</f>
        <v>M. 6342/ Gunung Sulah</v>
      </c>
      <c r="D2265" s="13" t="str">
        <f>IFERROR(__xludf.DUMMYFUNCTION("""COMPUTED_VALUE"""),"K/17/150525/1")</f>
        <v>K/17/150525/1</v>
      </c>
      <c r="E2265" s="14" t="str">
        <f>IFERROR(__xludf.DUMMYFUNCTION("""COMPUTED_VALUE"""),"Heri (BT)")</f>
        <v>Heri (BT)</v>
      </c>
      <c r="F2265" s="14" t="str">
        <f>IFERROR(__xludf.DUMMYFUNCTION("""COMPUTED_VALUE"""),"SELESAI (VIA PERMOHONAN)")</f>
        <v>SELESAI (VIA PERMOHONAN)</v>
      </c>
      <c r="G2265" s="17">
        <f>IFERROR(__xludf.DUMMYFUNCTION("""COMPUTED_VALUE"""),45798.80993549769)</f>
        <v>45798.80994</v>
      </c>
      <c r="H2265" s="14" t="str">
        <f>IFERROR(__xludf.DUMMYFUNCTION("""COMPUTED_VALUE"""),"Desy (SU)")</f>
        <v>Desy (SU)</v>
      </c>
      <c r="I2265" s="13" t="str">
        <f>IFERROR(__xludf.DUMMYFUNCTION("""COMPUTED_VALUE"""),"SELESAI (VIA PERMOHONAN)")</f>
        <v>SELESAI (VIA PERMOHONAN)</v>
      </c>
      <c r="J2265" s="17">
        <f>IFERROR(__xludf.DUMMYFUNCTION("""COMPUTED_VALUE"""),45799.62316313657)</f>
        <v>45799.62316</v>
      </c>
      <c r="K2265" s="13" t="str">
        <f>IFERROR(__xludf.DUMMYFUNCTION("""COMPUTED_VALUE"""),"Selesai")</f>
        <v>Selesai</v>
      </c>
      <c r="L2265" s="17">
        <f>IFERROR(__xludf.DUMMYFUNCTION("""COMPUTED_VALUE"""),45799.62316313657)</f>
        <v>45799.62316</v>
      </c>
      <c r="M2265" s="13"/>
      <c r="N2265" s="13" t="str">
        <f>IFERROR(__xludf.DUMMYFUNCTION("""COMPUTED_VALUE"""),"")</f>
        <v/>
      </c>
      <c r="O2265" s="13" t="str">
        <f t="shared" si="1"/>
        <v/>
      </c>
    </row>
    <row r="2266" ht="22.5" customHeight="1">
      <c r="B2266" s="13">
        <f>IFERROR(__xludf.DUMMYFUNCTION("""COMPUTED_VALUE"""),2261.0)</f>
        <v>2261</v>
      </c>
      <c r="C2266" s="13" t="str">
        <f>IFERROR(__xludf.DUMMYFUNCTION("""COMPUTED_VALUE"""),"M. 2271/ Sumber Agung")</f>
        <v>M. 2271/ Sumber Agung</v>
      </c>
      <c r="D2266" s="13" t="str">
        <f>IFERROR(__xludf.DUMMYFUNCTION("""COMPUTED_VALUE"""),"K/42/160525/1")</f>
        <v>K/42/160525/1</v>
      </c>
      <c r="E2266" s="14" t="str">
        <f>IFERROR(__xludf.DUMMYFUNCTION("""COMPUTED_VALUE"""),"Heri (BT)")</f>
        <v>Heri (BT)</v>
      </c>
      <c r="F2266" s="14" t="str">
        <f>IFERROR(__xludf.DUMMYFUNCTION("""COMPUTED_VALUE"""),"SELESAI (VIA PERMOHONAN)")</f>
        <v>SELESAI (VIA PERMOHONAN)</v>
      </c>
      <c r="G2266" s="17">
        <f>IFERROR(__xludf.DUMMYFUNCTION("""COMPUTED_VALUE"""),45798.81005717593)</f>
        <v>45798.81006</v>
      </c>
      <c r="H2266" s="14" t="str">
        <f>IFERROR(__xludf.DUMMYFUNCTION("""COMPUTED_VALUE"""),"Desy (SU)")</f>
        <v>Desy (SU)</v>
      </c>
      <c r="I2266" s="13" t="str">
        <f>IFERROR(__xludf.DUMMYFUNCTION("""COMPUTED_VALUE"""),"SELESAI (VIA PERMOHONAN)")</f>
        <v>SELESAI (VIA PERMOHONAN)</v>
      </c>
      <c r="J2266" s="17">
        <f>IFERROR(__xludf.DUMMYFUNCTION("""COMPUTED_VALUE"""),45799.62333689815)</f>
        <v>45799.62334</v>
      </c>
      <c r="K2266" s="13" t="str">
        <f>IFERROR(__xludf.DUMMYFUNCTION("""COMPUTED_VALUE"""),"Selesai")</f>
        <v>Selesai</v>
      </c>
      <c r="L2266" s="17">
        <f>IFERROR(__xludf.DUMMYFUNCTION("""COMPUTED_VALUE"""),45799.62333689815)</f>
        <v>45799.62334</v>
      </c>
      <c r="M2266" s="13"/>
      <c r="N2266" s="13" t="str">
        <f>IFERROR(__xludf.DUMMYFUNCTION("""COMPUTED_VALUE"""),"")</f>
        <v/>
      </c>
      <c r="O2266" s="13" t="str">
        <f t="shared" si="1"/>
        <v/>
      </c>
    </row>
    <row r="2267" ht="22.5" customHeight="1">
      <c r="B2267" s="13">
        <f>IFERROR(__xludf.DUMMYFUNCTION("""COMPUTED_VALUE"""),2262.0)</f>
        <v>2262</v>
      </c>
      <c r="C2267" s="13" t="str">
        <f>IFERROR(__xludf.DUMMYFUNCTION("""COMPUTED_VALUE"""),"B. 5168/ Beringin Raya")</f>
        <v>B. 5168/ Beringin Raya</v>
      </c>
      <c r="D2267" s="13" t="str">
        <f>IFERROR(__xludf.DUMMYFUNCTION("""COMPUTED_VALUE"""),"K/14/090525/1")</f>
        <v>K/14/090525/1</v>
      </c>
      <c r="E2267" s="14" t="str">
        <f>IFERROR(__xludf.DUMMYFUNCTION("""COMPUTED_VALUE"""),"Heri (BT)")</f>
        <v>Heri (BT)</v>
      </c>
      <c r="F2267" s="14" t="str">
        <f>IFERROR(__xludf.DUMMYFUNCTION("""COMPUTED_VALUE"""),"SELESAI (VIA PERMOHONAN)")</f>
        <v>SELESAI (VIA PERMOHONAN)</v>
      </c>
      <c r="G2267" s="17">
        <f>IFERROR(__xludf.DUMMYFUNCTION("""COMPUTED_VALUE"""),45798.81027165509)</f>
        <v>45798.81027</v>
      </c>
      <c r="H2267" s="14" t="str">
        <f>IFERROR(__xludf.DUMMYFUNCTION("""COMPUTED_VALUE"""),"Desy (SU)")</f>
        <v>Desy (SU)</v>
      </c>
      <c r="I2267" s="13" t="str">
        <f>IFERROR(__xludf.DUMMYFUNCTION("""COMPUTED_VALUE"""),"SELESAI (VIA PERMOHONAN)")</f>
        <v>SELESAI (VIA PERMOHONAN)</v>
      </c>
      <c r="J2267" s="17">
        <f>IFERROR(__xludf.DUMMYFUNCTION("""COMPUTED_VALUE"""),45799.62333689815)</f>
        <v>45799.62334</v>
      </c>
      <c r="K2267" s="13" t="str">
        <f>IFERROR(__xludf.DUMMYFUNCTION("""COMPUTED_VALUE"""),"Selesai")</f>
        <v>Selesai</v>
      </c>
      <c r="L2267" s="17">
        <f>IFERROR(__xludf.DUMMYFUNCTION("""COMPUTED_VALUE"""),45799.62333689815)</f>
        <v>45799.62334</v>
      </c>
      <c r="M2267" s="13"/>
      <c r="N2267" s="13" t="str">
        <f>IFERROR(__xludf.DUMMYFUNCTION("""COMPUTED_VALUE"""),"")</f>
        <v/>
      </c>
      <c r="O2267" s="13" t="str">
        <f t="shared" si="1"/>
        <v/>
      </c>
    </row>
    <row r="2268" ht="22.5" customHeight="1">
      <c r="B2268" s="13">
        <f>IFERROR(__xludf.DUMMYFUNCTION("""COMPUTED_VALUE"""),2263.0)</f>
        <v>2263</v>
      </c>
      <c r="C2268" s="13" t="str">
        <f>IFERROR(__xludf.DUMMYFUNCTION("""COMPUTED_VALUE"""),"M. 1454/ Bumi Kedamaian")</f>
        <v>M. 1454/ Bumi Kedamaian</v>
      </c>
      <c r="D2268" s="13" t="str">
        <f>IFERROR(__xludf.DUMMYFUNCTION("""COMPUTED_VALUE"""),"K/33/090525/1")</f>
        <v>K/33/090525/1</v>
      </c>
      <c r="E2268" s="14" t="str">
        <f>IFERROR(__xludf.DUMMYFUNCTION("""COMPUTED_VALUE"""),"Heri (BT)")</f>
        <v>Heri (BT)</v>
      </c>
      <c r="F2268" s="14" t="str">
        <f>IFERROR(__xludf.DUMMYFUNCTION("""COMPUTED_VALUE"""),"SELESAI (VIA PERMOHONAN)")</f>
        <v>SELESAI (VIA PERMOHONAN)</v>
      </c>
      <c r="G2268" s="17">
        <f>IFERROR(__xludf.DUMMYFUNCTION("""COMPUTED_VALUE"""),45798.8104674537)</f>
        <v>45798.81047</v>
      </c>
      <c r="H2268" s="14" t="str">
        <f>IFERROR(__xludf.DUMMYFUNCTION("""COMPUTED_VALUE"""),"Desy (SU)")</f>
        <v>Desy (SU)</v>
      </c>
      <c r="I2268" s="13" t="str">
        <f>IFERROR(__xludf.DUMMYFUNCTION("""COMPUTED_VALUE"""),"SELESAI (VIA PERMOHONAN)")</f>
        <v>SELESAI (VIA PERMOHONAN)</v>
      </c>
      <c r="J2268" s="17">
        <f>IFERROR(__xludf.DUMMYFUNCTION("""COMPUTED_VALUE"""),45799.62333689815)</f>
        <v>45799.62334</v>
      </c>
      <c r="K2268" s="13" t="str">
        <f>IFERROR(__xludf.DUMMYFUNCTION("""COMPUTED_VALUE"""),"Selesai")</f>
        <v>Selesai</v>
      </c>
      <c r="L2268" s="17">
        <f>IFERROR(__xludf.DUMMYFUNCTION("""COMPUTED_VALUE"""),45799.62333689815)</f>
        <v>45799.62334</v>
      </c>
      <c r="M2268" s="13"/>
      <c r="N2268" s="13" t="str">
        <f>IFERROR(__xludf.DUMMYFUNCTION("""COMPUTED_VALUE"""),"")</f>
        <v/>
      </c>
      <c r="O2268" s="13" t="str">
        <f t="shared" si="1"/>
        <v/>
      </c>
    </row>
    <row r="2269" ht="22.5" customHeight="1">
      <c r="B2269" s="13">
        <f>IFERROR(__xludf.DUMMYFUNCTION("""COMPUTED_VALUE"""),2264.0)</f>
        <v>2264</v>
      </c>
      <c r="C2269" s="13" t="str">
        <f>IFERROR(__xludf.DUMMYFUNCTION("""COMPUTED_VALUE"""),"M. 10402/ Kedaton")</f>
        <v>M. 10402/ Kedaton</v>
      </c>
      <c r="D2269" s="13" t="str">
        <f>IFERROR(__xludf.DUMMYFUNCTION("""COMPUTED_VALUE"""),"K/18/190525/1")</f>
        <v>K/18/190525/1</v>
      </c>
      <c r="E2269" s="14" t="str">
        <f>IFERROR(__xludf.DUMMYFUNCTION("""COMPUTED_VALUE"""),"Heri (BT)")</f>
        <v>Heri (BT)</v>
      </c>
      <c r="F2269" s="14" t="str">
        <f>IFERROR(__xludf.DUMMYFUNCTION("""COMPUTED_VALUE"""),"SELESAI (VIA PERMOHONAN)")</f>
        <v>SELESAI (VIA PERMOHONAN)</v>
      </c>
      <c r="G2269" s="17">
        <f>IFERROR(__xludf.DUMMYFUNCTION("""COMPUTED_VALUE"""),45798.81066246528)</f>
        <v>45798.81066</v>
      </c>
      <c r="H2269" s="14" t="str">
        <f>IFERROR(__xludf.DUMMYFUNCTION("""COMPUTED_VALUE"""),"Desy (SU)")</f>
        <v>Desy (SU)</v>
      </c>
      <c r="I2269" s="13" t="str">
        <f>IFERROR(__xludf.DUMMYFUNCTION("""COMPUTED_VALUE"""),"SELESAI (VIA PERMOHONAN)")</f>
        <v>SELESAI (VIA PERMOHONAN)</v>
      </c>
      <c r="J2269" s="17">
        <f>IFERROR(__xludf.DUMMYFUNCTION("""COMPUTED_VALUE"""),45799.62333689815)</f>
        <v>45799.62334</v>
      </c>
      <c r="K2269" s="13" t="str">
        <f>IFERROR(__xludf.DUMMYFUNCTION("""COMPUTED_VALUE"""),"Selesai")</f>
        <v>Selesai</v>
      </c>
      <c r="L2269" s="17">
        <f>IFERROR(__xludf.DUMMYFUNCTION("""COMPUTED_VALUE"""),45799.62333689815)</f>
        <v>45799.62334</v>
      </c>
      <c r="M2269" s="13"/>
      <c r="N2269" s="13" t="str">
        <f>IFERROR(__xludf.DUMMYFUNCTION("""COMPUTED_VALUE"""),"")</f>
        <v/>
      </c>
      <c r="O2269" s="13" t="str">
        <f t="shared" si="1"/>
        <v/>
      </c>
    </row>
    <row r="2270" ht="22.5" customHeight="1">
      <c r="B2270" s="13">
        <f>IFERROR(__xludf.DUMMYFUNCTION("""COMPUTED_VALUE"""),2265.0)</f>
        <v>2265</v>
      </c>
      <c r="C2270" s="13" t="str">
        <f>IFERROR(__xludf.DUMMYFUNCTION("""COMPUTED_VALUE"""),"B. 36/ Sumberrejo sejahtera")</f>
        <v>B. 36/ Sumberrejo sejahtera</v>
      </c>
      <c r="D2270" s="13" t="str">
        <f>IFERROR(__xludf.DUMMYFUNCTION("""COMPUTED_VALUE"""),"K/21/080525/2")</f>
        <v>K/21/080525/2</v>
      </c>
      <c r="E2270" s="14" t="str">
        <f>IFERROR(__xludf.DUMMYFUNCTION("""COMPUTED_VALUE"""),"Heri (BT)")</f>
        <v>Heri (BT)</v>
      </c>
      <c r="F2270" s="14" t="str">
        <f>IFERROR(__xludf.DUMMYFUNCTION("""COMPUTED_VALUE"""),"SELESAI (VIA PERMOHONAN)")</f>
        <v>SELESAI (VIA PERMOHONAN)</v>
      </c>
      <c r="G2270" s="17">
        <f>IFERROR(__xludf.DUMMYFUNCTION("""COMPUTED_VALUE"""),45798.81106648148)</f>
        <v>45798.81107</v>
      </c>
      <c r="H2270" s="14" t="str">
        <f>IFERROR(__xludf.DUMMYFUNCTION("""COMPUTED_VALUE"""),"Desy (SU)")</f>
        <v>Desy (SU)</v>
      </c>
      <c r="I2270" s="13" t="str">
        <f>IFERROR(__xludf.DUMMYFUNCTION("""COMPUTED_VALUE"""),"SELESAI (VIA PERMOHONAN)")</f>
        <v>SELESAI (VIA PERMOHONAN)</v>
      </c>
      <c r="J2270" s="17">
        <f>IFERROR(__xludf.DUMMYFUNCTION("""COMPUTED_VALUE"""),45799.62333689815)</f>
        <v>45799.62334</v>
      </c>
      <c r="K2270" s="13" t="str">
        <f>IFERROR(__xludf.DUMMYFUNCTION("""COMPUTED_VALUE"""),"Selesai")</f>
        <v>Selesai</v>
      </c>
      <c r="L2270" s="17">
        <f>IFERROR(__xludf.DUMMYFUNCTION("""COMPUTED_VALUE"""),45799.62333689815)</f>
        <v>45799.62334</v>
      </c>
      <c r="M2270" s="13"/>
      <c r="N2270" s="13" t="str">
        <f>IFERROR(__xludf.DUMMYFUNCTION("""COMPUTED_VALUE"""),"")</f>
        <v/>
      </c>
      <c r="O2270" s="13" t="str">
        <f t="shared" si="1"/>
        <v/>
      </c>
    </row>
    <row r="2271" ht="22.5" customHeight="1">
      <c r="B2271" s="13">
        <f>IFERROR(__xludf.DUMMYFUNCTION("""COMPUTED_VALUE"""),2266.0)</f>
        <v>2266</v>
      </c>
      <c r="C2271" s="13" t="str">
        <f>IFERROR(__xludf.DUMMYFUNCTION("""COMPUTED_VALUE"""),"M. 1511/SUKARAME BARU")</f>
        <v>M. 1511/SUKARAME BARU</v>
      </c>
      <c r="D2271" s="13" t="str">
        <f>IFERROR(__xludf.DUMMYFUNCTION("""COMPUTED_VALUE"""),"K/34/090525/1")</f>
        <v>K/34/090525/1</v>
      </c>
      <c r="E2271" s="14" t="str">
        <f>IFERROR(__xludf.DUMMYFUNCTION("""COMPUTED_VALUE"""),"Heri (BT)")</f>
        <v>Heri (BT)</v>
      </c>
      <c r="F2271" s="14" t="str">
        <f>IFERROR(__xludf.DUMMYFUNCTION("""COMPUTED_VALUE"""),"SELESAI (VIA PERMOHONAN)")</f>
        <v>SELESAI (VIA PERMOHONAN)</v>
      </c>
      <c r="G2271" s="17">
        <f>IFERROR(__xludf.DUMMYFUNCTION("""COMPUTED_VALUE"""),45798.811229328705)</f>
        <v>45798.81123</v>
      </c>
      <c r="H2271" s="14" t="str">
        <f>IFERROR(__xludf.DUMMYFUNCTION("""COMPUTED_VALUE"""),"Desy (SU)")</f>
        <v>Desy (SU)</v>
      </c>
      <c r="I2271" s="13" t="str">
        <f>IFERROR(__xludf.DUMMYFUNCTION("""COMPUTED_VALUE"""),"SELESAI (VIA PERMOHONAN)")</f>
        <v>SELESAI (VIA PERMOHONAN)</v>
      </c>
      <c r="J2271" s="17">
        <f>IFERROR(__xludf.DUMMYFUNCTION("""COMPUTED_VALUE"""),45799.62333689815)</f>
        <v>45799.62334</v>
      </c>
      <c r="K2271" s="13" t="str">
        <f>IFERROR(__xludf.DUMMYFUNCTION("""COMPUTED_VALUE"""),"Selesai")</f>
        <v>Selesai</v>
      </c>
      <c r="L2271" s="17">
        <f>IFERROR(__xludf.DUMMYFUNCTION("""COMPUTED_VALUE"""),45799.62333689815)</f>
        <v>45799.62334</v>
      </c>
      <c r="M2271" s="13"/>
      <c r="N2271" s="13" t="str">
        <f>IFERROR(__xludf.DUMMYFUNCTION("""COMPUTED_VALUE"""),"")</f>
        <v/>
      </c>
      <c r="O2271" s="13" t="str">
        <f t="shared" si="1"/>
        <v/>
      </c>
    </row>
    <row r="2272" ht="22.5" customHeight="1">
      <c r="B2272" s="13">
        <f>IFERROR(__xludf.DUMMYFUNCTION("""COMPUTED_VALUE"""),2267.0)</f>
        <v>2267</v>
      </c>
      <c r="C2272" s="13" t="str">
        <f>IFERROR(__xludf.DUMMYFUNCTION("""COMPUTED_VALUE"""),"B.659/SUMBER AGUNG")</f>
        <v>B.659/SUMBER AGUNG</v>
      </c>
      <c r="D2272" s="13" t="str">
        <f>IFERROR(__xludf.DUMMYFUNCTION("""COMPUTED_VALUE"""),"K/20/140525/1")</f>
        <v>K/20/140525/1</v>
      </c>
      <c r="E2272" s="14" t="str">
        <f>IFERROR(__xludf.DUMMYFUNCTION("""COMPUTED_VALUE"""),"Heri (BT)")</f>
        <v>Heri (BT)</v>
      </c>
      <c r="F2272" s="14" t="str">
        <f>IFERROR(__xludf.DUMMYFUNCTION("""COMPUTED_VALUE"""),"SELESAI (VIA PERMOHONAN)")</f>
        <v>SELESAI (VIA PERMOHONAN)</v>
      </c>
      <c r="G2272" s="17">
        <f>IFERROR(__xludf.DUMMYFUNCTION("""COMPUTED_VALUE"""),45798.81141642361)</f>
        <v>45798.81142</v>
      </c>
      <c r="H2272" s="14" t="str">
        <f>IFERROR(__xludf.DUMMYFUNCTION("""COMPUTED_VALUE"""),"Desy (SU)")</f>
        <v>Desy (SU)</v>
      </c>
      <c r="I2272" s="13" t="str">
        <f>IFERROR(__xludf.DUMMYFUNCTION("""COMPUTED_VALUE"""),"SELESAI (VIA PERMOHONAN)")</f>
        <v>SELESAI (VIA PERMOHONAN)</v>
      </c>
      <c r="J2272" s="17">
        <f>IFERROR(__xludf.DUMMYFUNCTION("""COMPUTED_VALUE"""),45799.62333689815)</f>
        <v>45799.62334</v>
      </c>
      <c r="K2272" s="13" t="str">
        <f>IFERROR(__xludf.DUMMYFUNCTION("""COMPUTED_VALUE"""),"Selesai")</f>
        <v>Selesai</v>
      </c>
      <c r="L2272" s="17">
        <f>IFERROR(__xludf.DUMMYFUNCTION("""COMPUTED_VALUE"""),45799.62333689815)</f>
        <v>45799.62334</v>
      </c>
      <c r="M2272" s="13"/>
      <c r="N2272" s="13" t="str">
        <f>IFERROR(__xludf.DUMMYFUNCTION("""COMPUTED_VALUE"""),"")</f>
        <v/>
      </c>
      <c r="O2272" s="13" t="str">
        <f t="shared" si="1"/>
        <v/>
      </c>
    </row>
    <row r="2273" ht="22.5" customHeight="1">
      <c r="B2273" s="13">
        <f>IFERROR(__xludf.DUMMYFUNCTION("""COMPUTED_VALUE"""),2268.0)</f>
        <v>2268</v>
      </c>
      <c r="C2273" s="13" t="str">
        <f>IFERROR(__xludf.DUMMYFUNCTION("""COMPUTED_VALUE"""),"B. 658/ Sumber Agung")</f>
        <v>B. 658/ Sumber Agung</v>
      </c>
      <c r="D2273" s="13" t="str">
        <f>IFERROR(__xludf.DUMMYFUNCTION("""COMPUTED_VALUE"""),"K/8/150525/1")</f>
        <v>K/8/150525/1</v>
      </c>
      <c r="E2273" s="14" t="str">
        <f>IFERROR(__xludf.DUMMYFUNCTION("""COMPUTED_VALUE"""),"Heri (BT)")</f>
        <v>Heri (BT)</v>
      </c>
      <c r="F2273" s="14" t="str">
        <f>IFERROR(__xludf.DUMMYFUNCTION("""COMPUTED_VALUE"""),"SELESAI (VIA PERMOHONAN)")</f>
        <v>SELESAI (VIA PERMOHONAN)</v>
      </c>
      <c r="G2273" s="17">
        <f>IFERROR(__xludf.DUMMYFUNCTION("""COMPUTED_VALUE"""),45798.81159157408)</f>
        <v>45798.81159</v>
      </c>
      <c r="H2273" s="14" t="str">
        <f>IFERROR(__xludf.DUMMYFUNCTION("""COMPUTED_VALUE"""),"Desy (SU)")</f>
        <v>Desy (SU)</v>
      </c>
      <c r="I2273" s="13" t="str">
        <f>IFERROR(__xludf.DUMMYFUNCTION("""COMPUTED_VALUE"""),"SELESAI (VIA PERMOHONAN)")</f>
        <v>SELESAI (VIA PERMOHONAN)</v>
      </c>
      <c r="J2273" s="17">
        <f>IFERROR(__xludf.DUMMYFUNCTION("""COMPUTED_VALUE"""),45799.62333689815)</f>
        <v>45799.62334</v>
      </c>
      <c r="K2273" s="13" t="str">
        <f>IFERROR(__xludf.DUMMYFUNCTION("""COMPUTED_VALUE"""),"Selesai")</f>
        <v>Selesai</v>
      </c>
      <c r="L2273" s="17">
        <f>IFERROR(__xludf.DUMMYFUNCTION("""COMPUTED_VALUE"""),45799.62333689815)</f>
        <v>45799.62334</v>
      </c>
      <c r="M2273" s="13"/>
      <c r="N2273" s="13" t="str">
        <f>IFERROR(__xludf.DUMMYFUNCTION("""COMPUTED_VALUE"""),"")</f>
        <v/>
      </c>
      <c r="O2273" s="13" t="str">
        <f t="shared" si="1"/>
        <v/>
      </c>
    </row>
    <row r="2274" ht="22.5" customHeight="1">
      <c r="B2274" s="13">
        <f>IFERROR(__xludf.DUMMYFUNCTION("""COMPUTED_VALUE"""),2269.0)</f>
        <v>2269</v>
      </c>
      <c r="C2274" s="13" t="str">
        <f>IFERROR(__xludf.DUMMYFUNCTION("""COMPUTED_VALUE"""),"B. 657/ Sumber Agung")</f>
        <v>B. 657/ Sumber Agung</v>
      </c>
      <c r="D2274" s="13" t="str">
        <f>IFERROR(__xludf.DUMMYFUNCTION("""COMPUTED_VALUE"""),"K/10/150525/3")</f>
        <v>K/10/150525/3</v>
      </c>
      <c r="E2274" s="14" t="str">
        <f>IFERROR(__xludf.DUMMYFUNCTION("""COMPUTED_VALUE"""),"Heri (BT)")</f>
        <v>Heri (BT)</v>
      </c>
      <c r="F2274" s="14" t="str">
        <f>IFERROR(__xludf.DUMMYFUNCTION("""COMPUTED_VALUE"""),"SELESAI (VIA PERMOHONAN)")</f>
        <v>SELESAI (VIA PERMOHONAN)</v>
      </c>
      <c r="G2274" s="17">
        <f>IFERROR(__xludf.DUMMYFUNCTION("""COMPUTED_VALUE"""),45798.81175622685)</f>
        <v>45798.81176</v>
      </c>
      <c r="H2274" s="14" t="str">
        <f>IFERROR(__xludf.DUMMYFUNCTION("""COMPUTED_VALUE"""),"Desy (SU)")</f>
        <v>Desy (SU)</v>
      </c>
      <c r="I2274" s="13" t="str">
        <f>IFERROR(__xludf.DUMMYFUNCTION("""COMPUTED_VALUE"""),"SELESAI (VIA PERMOHONAN)")</f>
        <v>SELESAI (VIA PERMOHONAN)</v>
      </c>
      <c r="J2274" s="17">
        <f>IFERROR(__xludf.DUMMYFUNCTION("""COMPUTED_VALUE"""),45799.62333689815)</f>
        <v>45799.62334</v>
      </c>
      <c r="K2274" s="13" t="str">
        <f>IFERROR(__xludf.DUMMYFUNCTION("""COMPUTED_VALUE"""),"Selesai")</f>
        <v>Selesai</v>
      </c>
      <c r="L2274" s="17">
        <f>IFERROR(__xludf.DUMMYFUNCTION("""COMPUTED_VALUE"""),45799.62333689815)</f>
        <v>45799.62334</v>
      </c>
      <c r="M2274" s="13"/>
      <c r="N2274" s="13" t="str">
        <f>IFERROR(__xludf.DUMMYFUNCTION("""COMPUTED_VALUE"""),"")</f>
        <v/>
      </c>
      <c r="O2274" s="13" t="str">
        <f t="shared" si="1"/>
        <v/>
      </c>
    </row>
    <row r="2275" ht="22.5" customHeight="1">
      <c r="B2275" s="13">
        <f>IFERROR(__xludf.DUMMYFUNCTION("""COMPUTED_VALUE"""),2270.0)</f>
        <v>2270</v>
      </c>
      <c r="C2275" s="13" t="str">
        <f>IFERROR(__xludf.DUMMYFUNCTION("""COMPUTED_VALUE"""),"B. 656/ Sumber Agung")</f>
        <v>B. 656/ Sumber Agung</v>
      </c>
      <c r="D2275" s="13" t="str">
        <f>IFERROR(__xludf.DUMMYFUNCTION("""COMPUTED_VALUE"""),"K/2/050325/1")</f>
        <v>K/2/050325/1</v>
      </c>
      <c r="E2275" s="14" t="str">
        <f>IFERROR(__xludf.DUMMYFUNCTION("""COMPUTED_VALUE"""),"Heri (BT)")</f>
        <v>Heri (BT)</v>
      </c>
      <c r="F2275" s="14" t="str">
        <f>IFERROR(__xludf.DUMMYFUNCTION("""COMPUTED_VALUE"""),"SELESAI (VIA PERMOHONAN)")</f>
        <v>SELESAI (VIA PERMOHONAN)</v>
      </c>
      <c r="G2275" s="17">
        <f>IFERROR(__xludf.DUMMYFUNCTION("""COMPUTED_VALUE"""),45798.811906840274)</f>
        <v>45798.81191</v>
      </c>
      <c r="H2275" s="14" t="str">
        <f>IFERROR(__xludf.DUMMYFUNCTION("""COMPUTED_VALUE"""),"Desy (SU)")</f>
        <v>Desy (SU)</v>
      </c>
      <c r="I2275" s="13" t="str">
        <f>IFERROR(__xludf.DUMMYFUNCTION("""COMPUTED_VALUE"""),"SELESAI (VIA PERMOHONAN)")</f>
        <v>SELESAI (VIA PERMOHONAN)</v>
      </c>
      <c r="J2275" s="17">
        <f>IFERROR(__xludf.DUMMYFUNCTION("""COMPUTED_VALUE"""),45799.62333689815)</f>
        <v>45799.62334</v>
      </c>
      <c r="K2275" s="13" t="str">
        <f>IFERROR(__xludf.DUMMYFUNCTION("""COMPUTED_VALUE"""),"Selesai")</f>
        <v>Selesai</v>
      </c>
      <c r="L2275" s="17">
        <f>IFERROR(__xludf.DUMMYFUNCTION("""COMPUTED_VALUE"""),45799.62333689815)</f>
        <v>45799.62334</v>
      </c>
      <c r="M2275" s="13"/>
      <c r="N2275" s="13" t="str">
        <f>IFERROR(__xludf.DUMMYFUNCTION("""COMPUTED_VALUE"""),"")</f>
        <v/>
      </c>
      <c r="O2275" s="13" t="str">
        <f t="shared" si="1"/>
        <v/>
      </c>
    </row>
    <row r="2276" ht="22.5" customHeight="1">
      <c r="B2276" s="13">
        <f>IFERROR(__xludf.DUMMYFUNCTION("""COMPUTED_VALUE"""),2271.0)</f>
        <v>2271</v>
      </c>
      <c r="C2276" s="13" t="str">
        <f>IFERROR(__xludf.DUMMYFUNCTION("""COMPUTED_VALUE"""),"B. 655/ Sumber Agung")</f>
        <v>B. 655/ Sumber Agung</v>
      </c>
      <c r="D2276" s="13" t="str">
        <f>IFERROR(__xludf.DUMMYFUNCTION("""COMPUTED_VALUE"""),"K/9/150525/2")</f>
        <v>K/9/150525/2</v>
      </c>
      <c r="E2276" s="14" t="str">
        <f>IFERROR(__xludf.DUMMYFUNCTION("""COMPUTED_VALUE"""),"Heri (BT)")</f>
        <v>Heri (BT)</v>
      </c>
      <c r="F2276" s="14" t="str">
        <f>IFERROR(__xludf.DUMMYFUNCTION("""COMPUTED_VALUE"""),"SELESAI (VIA PERMOHONAN)")</f>
        <v>SELESAI (VIA PERMOHONAN)</v>
      </c>
      <c r="G2276" s="17">
        <f>IFERROR(__xludf.DUMMYFUNCTION("""COMPUTED_VALUE"""),45798.81203972222)</f>
        <v>45798.81204</v>
      </c>
      <c r="H2276" s="14" t="str">
        <f>IFERROR(__xludf.DUMMYFUNCTION("""COMPUTED_VALUE"""),"Desy (SU)")</f>
        <v>Desy (SU)</v>
      </c>
      <c r="I2276" s="13" t="str">
        <f>IFERROR(__xludf.DUMMYFUNCTION("""COMPUTED_VALUE"""),"SELESAI (VIA PERMOHONAN)")</f>
        <v>SELESAI (VIA PERMOHONAN)</v>
      </c>
      <c r="J2276" s="17">
        <f>IFERROR(__xludf.DUMMYFUNCTION("""COMPUTED_VALUE"""),45799.62333689815)</f>
        <v>45799.62334</v>
      </c>
      <c r="K2276" s="13" t="str">
        <f>IFERROR(__xludf.DUMMYFUNCTION("""COMPUTED_VALUE"""),"Selesai")</f>
        <v>Selesai</v>
      </c>
      <c r="L2276" s="17">
        <f>IFERROR(__xludf.DUMMYFUNCTION("""COMPUTED_VALUE"""),45799.62333689815)</f>
        <v>45799.62334</v>
      </c>
      <c r="M2276" s="13"/>
      <c r="N2276" s="13" t="str">
        <f>IFERROR(__xludf.DUMMYFUNCTION("""COMPUTED_VALUE"""),"")</f>
        <v/>
      </c>
      <c r="O2276" s="13" t="str">
        <f t="shared" si="1"/>
        <v/>
      </c>
    </row>
    <row r="2277" ht="22.5" customHeight="1">
      <c r="B2277" s="13">
        <f>IFERROR(__xludf.DUMMYFUNCTION("""COMPUTED_VALUE"""),2272.0)</f>
        <v>2272</v>
      </c>
      <c r="C2277" s="13" t="str">
        <f>IFERROR(__xludf.DUMMYFUNCTION("""COMPUTED_VALUE"""),"B. 631/ Sumber Agung")</f>
        <v>B. 631/ Sumber Agung</v>
      </c>
      <c r="D2277" s="13" t="str">
        <f>IFERROR(__xludf.DUMMYFUNCTION("""COMPUTED_VALUE""")," K/11/150525/4")</f>
        <v> K/11/150525/4</v>
      </c>
      <c r="E2277" s="14" t="str">
        <f>IFERROR(__xludf.DUMMYFUNCTION("""COMPUTED_VALUE"""),"Heri (BT)")</f>
        <v>Heri (BT)</v>
      </c>
      <c r="F2277" s="14" t="str">
        <f>IFERROR(__xludf.DUMMYFUNCTION("""COMPUTED_VALUE"""),"SELESAI (VIA PERMOHONAN)")</f>
        <v>SELESAI (VIA PERMOHONAN)</v>
      </c>
      <c r="G2277" s="17">
        <f>IFERROR(__xludf.DUMMYFUNCTION("""COMPUTED_VALUE"""),45798.812258460646)</f>
        <v>45798.81226</v>
      </c>
      <c r="H2277" s="14" t="str">
        <f>IFERROR(__xludf.DUMMYFUNCTION("""COMPUTED_VALUE"""),"Desy (SU)")</f>
        <v>Desy (SU)</v>
      </c>
      <c r="I2277" s="13" t="str">
        <f>IFERROR(__xludf.DUMMYFUNCTION("""COMPUTED_VALUE"""),"SELESAI (VIA PERMOHONAN)")</f>
        <v>SELESAI (VIA PERMOHONAN)</v>
      </c>
      <c r="J2277" s="17">
        <f>IFERROR(__xludf.DUMMYFUNCTION("""COMPUTED_VALUE"""),45799.62333689815)</f>
        <v>45799.62334</v>
      </c>
      <c r="K2277" s="13" t="str">
        <f>IFERROR(__xludf.DUMMYFUNCTION("""COMPUTED_VALUE"""),"Selesai")</f>
        <v>Selesai</v>
      </c>
      <c r="L2277" s="17">
        <f>IFERROR(__xludf.DUMMYFUNCTION("""COMPUTED_VALUE"""),45799.62333689815)</f>
        <v>45799.62334</v>
      </c>
      <c r="M2277" s="13"/>
      <c r="N2277" s="13" t="str">
        <f>IFERROR(__xludf.DUMMYFUNCTION("""COMPUTED_VALUE"""),"")</f>
        <v/>
      </c>
      <c r="O2277" s="13" t="str">
        <f t="shared" si="1"/>
        <v/>
      </c>
    </row>
    <row r="2278" ht="22.5" customHeight="1">
      <c r="B2278" s="13">
        <f>IFERROR(__xludf.DUMMYFUNCTION("""COMPUTED_VALUE"""),2273.0)</f>
        <v>2273</v>
      </c>
      <c r="C2278" s="13" t="str">
        <f>IFERROR(__xludf.DUMMYFUNCTION("""COMPUTED_VALUE"""),"M. 13039/ Segala Mider")</f>
        <v>M. 13039/ Segala Mider</v>
      </c>
      <c r="D2278" s="13" t="str">
        <f>IFERROR(__xludf.DUMMYFUNCTION("""COMPUTED_VALUE"""),"K/11/060525/1")</f>
        <v>K/11/060525/1</v>
      </c>
      <c r="E2278" s="14" t="str">
        <f>IFERROR(__xludf.DUMMYFUNCTION("""COMPUTED_VALUE"""),"Heri (BT)")</f>
        <v>Heri (BT)</v>
      </c>
      <c r="F2278" s="14" t="str">
        <f>IFERROR(__xludf.DUMMYFUNCTION("""COMPUTED_VALUE"""),"SELESAI (VIA PERMOHONAN)")</f>
        <v>SELESAI (VIA PERMOHONAN)</v>
      </c>
      <c r="G2278" s="17">
        <f>IFERROR(__xludf.DUMMYFUNCTION("""COMPUTED_VALUE"""),45798.812459594905)</f>
        <v>45798.81246</v>
      </c>
      <c r="H2278" s="14" t="str">
        <f>IFERROR(__xludf.DUMMYFUNCTION("""COMPUTED_VALUE"""),"Desy (SU)")</f>
        <v>Desy (SU)</v>
      </c>
      <c r="I2278" s="13" t="str">
        <f>IFERROR(__xludf.DUMMYFUNCTION("""COMPUTED_VALUE"""),"SELESAI (VIA PERMOHONAN)")</f>
        <v>SELESAI (VIA PERMOHONAN)</v>
      </c>
      <c r="J2278" s="17">
        <f>IFERROR(__xludf.DUMMYFUNCTION("""COMPUTED_VALUE"""),45799.62333689815)</f>
        <v>45799.62334</v>
      </c>
      <c r="K2278" s="13" t="str">
        <f>IFERROR(__xludf.DUMMYFUNCTION("""COMPUTED_VALUE"""),"Selesai")</f>
        <v>Selesai</v>
      </c>
      <c r="L2278" s="17">
        <f>IFERROR(__xludf.DUMMYFUNCTION("""COMPUTED_VALUE"""),45799.62333689815)</f>
        <v>45799.62334</v>
      </c>
      <c r="M2278" s="13"/>
      <c r="N2278" s="13" t="str">
        <f>IFERROR(__xludf.DUMMYFUNCTION("""COMPUTED_VALUE"""),"")</f>
        <v/>
      </c>
      <c r="O2278" s="13" t="str">
        <f t="shared" si="1"/>
        <v/>
      </c>
    </row>
    <row r="2279" ht="22.5" customHeight="1">
      <c r="B2279" s="13">
        <f>IFERROR(__xludf.DUMMYFUNCTION("""COMPUTED_VALUE"""),2274.0)</f>
        <v>2274</v>
      </c>
      <c r="C2279" s="13" t="str">
        <f>IFERROR(__xludf.DUMMYFUNCTION("""COMPUTED_VALUE"""),"M. 11256/ sukabumi")</f>
        <v>M. 11256/ sukabumi</v>
      </c>
      <c r="D2279" s="13" t="str">
        <f>IFERROR(__xludf.DUMMYFUNCTION("""COMPUTED_VALUE"""),"K/25/150525/3")</f>
        <v>K/25/150525/3</v>
      </c>
      <c r="E2279" s="14" t="str">
        <f>IFERROR(__xludf.DUMMYFUNCTION("""COMPUTED_VALUE"""),"Heri (BT)")</f>
        <v>Heri (BT)</v>
      </c>
      <c r="F2279" s="14" t="str">
        <f>IFERROR(__xludf.DUMMYFUNCTION("""COMPUTED_VALUE"""),"SELESAI (VIA PERMOHONAN)")</f>
        <v>SELESAI (VIA PERMOHONAN)</v>
      </c>
      <c r="G2279" s="17">
        <f>IFERROR(__xludf.DUMMYFUNCTION("""COMPUTED_VALUE"""),45798.81988097222)</f>
        <v>45798.81988</v>
      </c>
      <c r="H2279" s="14" t="str">
        <f>IFERROR(__xludf.DUMMYFUNCTION("""COMPUTED_VALUE"""),"Desy (SU)")</f>
        <v>Desy (SU)</v>
      </c>
      <c r="I2279" s="13" t="str">
        <f>IFERROR(__xludf.DUMMYFUNCTION("""COMPUTED_VALUE"""),"SELESAI (VIA PERMOHONAN)")</f>
        <v>SELESAI (VIA PERMOHONAN)</v>
      </c>
      <c r="J2279" s="17">
        <f>IFERROR(__xludf.DUMMYFUNCTION("""COMPUTED_VALUE"""),45799.62333689815)</f>
        <v>45799.62334</v>
      </c>
      <c r="K2279" s="13" t="str">
        <f>IFERROR(__xludf.DUMMYFUNCTION("""COMPUTED_VALUE"""),"Selesai")</f>
        <v>Selesai</v>
      </c>
      <c r="L2279" s="17">
        <f>IFERROR(__xludf.DUMMYFUNCTION("""COMPUTED_VALUE"""),45799.62333689815)</f>
        <v>45799.62334</v>
      </c>
      <c r="M2279" s="13"/>
      <c r="N2279" s="13" t="str">
        <f>IFERROR(__xludf.DUMMYFUNCTION("""COMPUTED_VALUE"""),"")</f>
        <v/>
      </c>
      <c r="O2279" s="13" t="str">
        <f t="shared" si="1"/>
        <v/>
      </c>
    </row>
    <row r="2280" ht="22.5" customHeight="1">
      <c r="B2280" s="13">
        <f>IFERROR(__xludf.DUMMYFUNCTION("""COMPUTED_VALUE"""),2275.0)</f>
        <v>2275</v>
      </c>
      <c r="C2280" s="13" t="str">
        <f>IFERROR(__xludf.DUMMYFUNCTION("""COMPUTED_VALUE"""),"HM 1676/WHP")</f>
        <v>HM 1676/WHP</v>
      </c>
      <c r="D2280" s="13" t="str">
        <f>IFERROR(__xludf.DUMMYFUNCTION("""COMPUTED_VALUE"""),"L/6/240425/1")</f>
        <v>L/6/240425/1</v>
      </c>
      <c r="E2280" s="14" t="str">
        <f>IFERROR(__xludf.DUMMYFUNCTION("""COMPUTED_VALUE"""),"Afriza (BT)")</f>
        <v>Afriza (BT)</v>
      </c>
      <c r="F2280" s="14" t="str">
        <f>IFERROR(__xludf.DUMMYFUNCTION("""COMPUTED_VALUE"""),"SELESAI (VIA PERMOHONAN)")</f>
        <v>SELESAI (VIA PERMOHONAN)</v>
      </c>
      <c r="G2280" s="17">
        <f>IFERROR(__xludf.DUMMYFUNCTION("""COMPUTED_VALUE"""),45800.4872531713)</f>
        <v>45800.48725</v>
      </c>
      <c r="H2280" s="14"/>
      <c r="I2280" s="13" t="str">
        <f>IFERROR(__xludf.DUMMYFUNCTION("""COMPUTED_VALUE"""),"SELESAI (VIA PERMOHONAN)")</f>
        <v>SELESAI (VIA PERMOHONAN)</v>
      </c>
      <c r="J2280" s="17">
        <f>IFERROR(__xludf.DUMMYFUNCTION("""COMPUTED_VALUE"""),45874.68043001158)</f>
        <v>45874.68043</v>
      </c>
      <c r="K2280" s="13" t="str">
        <f>IFERROR(__xludf.DUMMYFUNCTION("""COMPUTED_VALUE"""),"Selesai")</f>
        <v>Selesai</v>
      </c>
      <c r="L2280" s="17">
        <f>IFERROR(__xludf.DUMMYFUNCTION("""COMPUTED_VALUE"""),45874.68043001158)</f>
        <v>45874.68043</v>
      </c>
      <c r="M2280" s="13"/>
      <c r="N2280" s="13" t="str">
        <f>IFERROR(__xludf.DUMMYFUNCTION("""COMPUTED_VALUE"""),"")</f>
        <v/>
      </c>
      <c r="O2280" s="13" t="str">
        <f t="shared" si="1"/>
        <v/>
      </c>
    </row>
    <row r="2281" ht="22.5" customHeight="1">
      <c r="B2281" s="13">
        <f>IFERROR(__xludf.DUMMYFUNCTION("""COMPUTED_VALUE"""),2276.0)</f>
        <v>2276</v>
      </c>
      <c r="C2281" s="13" t="str">
        <f>IFERROR(__xludf.DUMMYFUNCTION("""COMPUTED_VALUE"""),"M. 1072/ Rajabasa Pemuka")</f>
        <v>M. 1072/ Rajabasa Pemuka</v>
      </c>
      <c r="D2281" s="13" t="str">
        <f>IFERROR(__xludf.DUMMYFUNCTION("""COMPUTED_VALUE"""),"K/41/250225/1")</f>
        <v>K/41/250225/1</v>
      </c>
      <c r="E2281" s="14" t="str">
        <f>IFERROR(__xludf.DUMMYFUNCTION("""COMPUTED_VALUE"""),"Afriza (BT)")</f>
        <v>Afriza (BT)</v>
      </c>
      <c r="F2281" s="14" t="str">
        <f>IFERROR(__xludf.DUMMYFUNCTION("""COMPUTED_VALUE"""),"SELESAI (VIA PERMOHONAN)")</f>
        <v>SELESAI (VIA PERMOHONAN)</v>
      </c>
      <c r="G2281" s="17">
        <f>IFERROR(__xludf.DUMMYFUNCTION("""COMPUTED_VALUE"""),45800.48735790509)</f>
        <v>45800.48736</v>
      </c>
      <c r="H2281" s="14" t="str">
        <f>IFERROR(__xludf.DUMMYFUNCTION("""COMPUTED_VALUE"""),"Eci (SU)")</f>
        <v>Eci (SU)</v>
      </c>
      <c r="I2281" s="13" t="str">
        <f>IFERROR(__xludf.DUMMYFUNCTION("""COMPUTED_VALUE"""),"SELESAI (VIA PERMOHONAN)")</f>
        <v>SELESAI (VIA PERMOHONAN)</v>
      </c>
      <c r="J2281" s="17">
        <f>IFERROR(__xludf.DUMMYFUNCTION("""COMPUTED_VALUE"""),45805.59599761574)</f>
        <v>45805.596</v>
      </c>
      <c r="K2281" s="13" t="str">
        <f>IFERROR(__xludf.DUMMYFUNCTION("""COMPUTED_VALUE"""),"Selesai")</f>
        <v>Selesai</v>
      </c>
      <c r="L2281" s="17">
        <f>IFERROR(__xludf.DUMMYFUNCTION("""COMPUTED_VALUE"""),45805.59599761574)</f>
        <v>45805.596</v>
      </c>
      <c r="M2281" s="13"/>
      <c r="N2281" s="13" t="str">
        <f>IFERROR(__xludf.DUMMYFUNCTION("""COMPUTED_VALUE"""),"")</f>
        <v/>
      </c>
      <c r="O2281" s="13" t="str">
        <f t="shared" si="1"/>
        <v/>
      </c>
    </row>
    <row r="2282" ht="22.5" customHeight="1">
      <c r="B2282" s="13">
        <f>IFERROR(__xludf.DUMMYFUNCTION("""COMPUTED_VALUE"""),2277.0)</f>
        <v>2277</v>
      </c>
      <c r="C2282" s="13" t="str">
        <f>IFERROR(__xludf.DUMMYFUNCTION("""COMPUTED_VALUE"""),"M. 587/ Gunung Sulah")</f>
        <v>M. 587/ Gunung Sulah</v>
      </c>
      <c r="D2282" s="13" t="str">
        <f>IFERROR(__xludf.DUMMYFUNCTION("""COMPUTED_VALUE"""),"K/29/160425/1")</f>
        <v>K/29/160425/1</v>
      </c>
      <c r="E2282" s="14" t="str">
        <f>IFERROR(__xludf.DUMMYFUNCTION("""COMPUTED_VALUE"""),"Afriza (BT)")</f>
        <v>Afriza (BT)</v>
      </c>
      <c r="F2282" s="14" t="str">
        <f>IFERROR(__xludf.DUMMYFUNCTION("""COMPUTED_VALUE"""),"SELESAI (VIA PERMOHONAN)")</f>
        <v>SELESAI (VIA PERMOHONAN)</v>
      </c>
      <c r="G2282" s="17">
        <f>IFERROR(__xludf.DUMMYFUNCTION("""COMPUTED_VALUE"""),45800.48747978009)</f>
        <v>45800.48748</v>
      </c>
      <c r="H2282" s="14" t="str">
        <f>IFERROR(__xludf.DUMMYFUNCTION("""COMPUTED_VALUE"""),"Eci (SU)")</f>
        <v>Eci (SU)</v>
      </c>
      <c r="I2282" s="13" t="str">
        <f>IFERROR(__xludf.DUMMYFUNCTION("""COMPUTED_VALUE"""),"SELESAI (VIA PERMOHONAN)")</f>
        <v>SELESAI (VIA PERMOHONAN)</v>
      </c>
      <c r="J2282" s="17">
        <f>IFERROR(__xludf.DUMMYFUNCTION("""COMPUTED_VALUE"""),45805.59767575232)</f>
        <v>45805.59768</v>
      </c>
      <c r="K2282" s="13" t="str">
        <f>IFERROR(__xludf.DUMMYFUNCTION("""COMPUTED_VALUE"""),"Selesai")</f>
        <v>Selesai</v>
      </c>
      <c r="L2282" s="17">
        <f>IFERROR(__xludf.DUMMYFUNCTION("""COMPUTED_VALUE"""),45805.59767575232)</f>
        <v>45805.59768</v>
      </c>
      <c r="M2282" s="13"/>
      <c r="N2282" s="13" t="str">
        <f>IFERROR(__xludf.DUMMYFUNCTION("""COMPUTED_VALUE"""),"")</f>
        <v/>
      </c>
      <c r="O2282" s="13" t="str">
        <f t="shared" si="1"/>
        <v/>
      </c>
    </row>
    <row r="2283" ht="22.5" customHeight="1">
      <c r="B2283" s="13">
        <f>IFERROR(__xludf.DUMMYFUNCTION("""COMPUTED_VALUE"""),2278.0)</f>
        <v>2278</v>
      </c>
      <c r="C2283" s="13" t="str">
        <f>IFERROR(__xludf.DUMMYFUNCTION("""COMPUTED_VALUE"""),"M. 2502/ Rajabasa Jaya")</f>
        <v>M. 2502/ Rajabasa Jaya</v>
      </c>
      <c r="D2283" s="13" t="str">
        <f>IFERROR(__xludf.DUMMYFUNCTION("""COMPUTED_VALUE"""),"K/16/060525/1")</f>
        <v>K/16/060525/1</v>
      </c>
      <c r="E2283" s="14" t="str">
        <f>IFERROR(__xludf.DUMMYFUNCTION("""COMPUTED_VALUE"""),"Afriza (BT)")</f>
        <v>Afriza (BT)</v>
      </c>
      <c r="F2283" s="14" t="str">
        <f>IFERROR(__xludf.DUMMYFUNCTION("""COMPUTED_VALUE"""),"SELESAI (VIA PERMOHONAN)")</f>
        <v>SELESAI (VIA PERMOHONAN)</v>
      </c>
      <c r="G2283" s="17">
        <f>IFERROR(__xludf.DUMMYFUNCTION("""COMPUTED_VALUE"""),45800.487578078704)</f>
        <v>45800.48758</v>
      </c>
      <c r="H2283" s="14" t="str">
        <f>IFERROR(__xludf.DUMMYFUNCTION("""COMPUTED_VALUE"""),"Eci (SU)")</f>
        <v>Eci (SU)</v>
      </c>
      <c r="I2283" s="13" t="str">
        <f>IFERROR(__xludf.DUMMYFUNCTION("""COMPUTED_VALUE"""),"SELESAI (VIA PERMOHONAN)")</f>
        <v>SELESAI (VIA PERMOHONAN)</v>
      </c>
      <c r="J2283" s="17">
        <f>IFERROR(__xludf.DUMMYFUNCTION("""COMPUTED_VALUE"""),45805.59767575232)</f>
        <v>45805.59768</v>
      </c>
      <c r="K2283" s="13" t="str">
        <f>IFERROR(__xludf.DUMMYFUNCTION("""COMPUTED_VALUE"""),"Selesai")</f>
        <v>Selesai</v>
      </c>
      <c r="L2283" s="17">
        <f>IFERROR(__xludf.DUMMYFUNCTION("""COMPUTED_VALUE"""),45805.59767575232)</f>
        <v>45805.59768</v>
      </c>
      <c r="M2283" s="13"/>
      <c r="N2283" s="13" t="str">
        <f>IFERROR(__xludf.DUMMYFUNCTION("""COMPUTED_VALUE"""),"")</f>
        <v/>
      </c>
      <c r="O2283" s="13" t="str">
        <f t="shared" si="1"/>
        <v/>
      </c>
    </row>
    <row r="2284" ht="22.5" customHeight="1">
      <c r="B2284" s="13">
        <f>IFERROR(__xludf.DUMMYFUNCTION("""COMPUTED_VALUE"""),2279.0)</f>
        <v>2279</v>
      </c>
      <c r="C2284" s="13" t="str">
        <f>IFERROR(__xludf.DUMMYFUNCTION("""COMPUTED_VALUE"""),"M. 14807/ Sukarame")</f>
        <v>M. 14807/ Sukarame</v>
      </c>
      <c r="D2284" s="13" t="str">
        <f>IFERROR(__xludf.DUMMYFUNCTION("""COMPUTED_VALUE"""),"K/2/140525/1")</f>
        <v>K/2/140525/1</v>
      </c>
      <c r="E2284" s="14" t="str">
        <f>IFERROR(__xludf.DUMMYFUNCTION("""COMPUTED_VALUE"""),"Afriza (BT)")</f>
        <v>Afriza (BT)</v>
      </c>
      <c r="F2284" s="14" t="str">
        <f>IFERROR(__xludf.DUMMYFUNCTION("""COMPUTED_VALUE"""),"SELESAI (VIA PERMOHONAN)")</f>
        <v>SELESAI (VIA PERMOHONAN)</v>
      </c>
      <c r="G2284" s="17">
        <f>IFERROR(__xludf.DUMMYFUNCTION("""COMPUTED_VALUE"""),45800.48773515046)</f>
        <v>45800.48774</v>
      </c>
      <c r="H2284" s="14" t="str">
        <f>IFERROR(__xludf.DUMMYFUNCTION("""COMPUTED_VALUE"""),"Eci (SU)")</f>
        <v>Eci (SU)</v>
      </c>
      <c r="I2284" s="13" t="str">
        <f>IFERROR(__xludf.DUMMYFUNCTION("""COMPUTED_VALUE"""),"SELESAI (VIA PERMOHONAN)")</f>
        <v>SELESAI (VIA PERMOHONAN)</v>
      </c>
      <c r="J2284" s="17">
        <f>IFERROR(__xludf.DUMMYFUNCTION("""COMPUTED_VALUE"""),45805.59767575232)</f>
        <v>45805.59768</v>
      </c>
      <c r="K2284" s="13" t="str">
        <f>IFERROR(__xludf.DUMMYFUNCTION("""COMPUTED_VALUE"""),"Selesai")</f>
        <v>Selesai</v>
      </c>
      <c r="L2284" s="17">
        <f>IFERROR(__xludf.DUMMYFUNCTION("""COMPUTED_VALUE"""),45805.59767575232)</f>
        <v>45805.59768</v>
      </c>
      <c r="M2284" s="13"/>
      <c r="N2284" s="13" t="str">
        <f>IFERROR(__xludf.DUMMYFUNCTION("""COMPUTED_VALUE"""),"")</f>
        <v/>
      </c>
      <c r="O2284" s="13" t="str">
        <f t="shared" si="1"/>
        <v/>
      </c>
    </row>
    <row r="2285" ht="22.5" customHeight="1">
      <c r="B2285" s="13">
        <f>IFERROR(__xludf.DUMMYFUNCTION("""COMPUTED_VALUE"""),2280.0)</f>
        <v>2280</v>
      </c>
      <c r="C2285" s="13" t="str">
        <f>IFERROR(__xludf.DUMMYFUNCTION("""COMPUTED_VALUE"""),"M. 121/ Perumnas Way Halim")</f>
        <v>M. 121/ Perumnas Way Halim</v>
      </c>
      <c r="D2285" s="13" t="str">
        <f>IFERROR(__xludf.DUMMYFUNCTION("""COMPUTED_VALUE"""),"K/28/160525/1")</f>
        <v>K/28/160525/1</v>
      </c>
      <c r="E2285" s="14" t="str">
        <f>IFERROR(__xludf.DUMMYFUNCTION("""COMPUTED_VALUE"""),"Heri (BT)")</f>
        <v>Heri (BT)</v>
      </c>
      <c r="F2285" s="14" t="str">
        <f>IFERROR(__xludf.DUMMYFUNCTION("""COMPUTED_VALUE"""),"SELESAI (VIA PERMOHONAN)")</f>
        <v>SELESAI (VIA PERMOHONAN)</v>
      </c>
      <c r="G2285" s="17">
        <f>IFERROR(__xludf.DUMMYFUNCTION("""COMPUTED_VALUE"""),45800.56446554398)</f>
        <v>45800.56447</v>
      </c>
      <c r="H2285" s="14" t="str">
        <f>IFERROR(__xludf.DUMMYFUNCTION("""COMPUTED_VALUE"""),"Eci (SU)")</f>
        <v>Eci (SU)</v>
      </c>
      <c r="I2285" s="13" t="str">
        <f>IFERROR(__xludf.DUMMYFUNCTION("""COMPUTED_VALUE"""),"SELESAI (VIA PERMOHONAN)")</f>
        <v>SELESAI (VIA PERMOHONAN)</v>
      </c>
      <c r="J2285" s="17">
        <f>IFERROR(__xludf.DUMMYFUNCTION("""COMPUTED_VALUE"""),45805.59767575232)</f>
        <v>45805.59768</v>
      </c>
      <c r="K2285" s="13" t="str">
        <f>IFERROR(__xludf.DUMMYFUNCTION("""COMPUTED_VALUE"""),"Selesai")</f>
        <v>Selesai</v>
      </c>
      <c r="L2285" s="17">
        <f>IFERROR(__xludf.DUMMYFUNCTION("""COMPUTED_VALUE"""),45805.59767575232)</f>
        <v>45805.59768</v>
      </c>
      <c r="M2285" s="13"/>
      <c r="N2285" s="13" t="str">
        <f>IFERROR(__xludf.DUMMYFUNCTION("""COMPUTED_VALUE"""),"")</f>
        <v/>
      </c>
      <c r="O2285" s="13" t="str">
        <f t="shared" si="1"/>
        <v/>
      </c>
    </row>
    <row r="2286" ht="22.5" customHeight="1">
      <c r="B2286" s="13">
        <f>IFERROR(__xludf.DUMMYFUNCTION("""COMPUTED_VALUE"""),2281.0)</f>
        <v>2281</v>
      </c>
      <c r="C2286" s="13" t="str">
        <f>IFERROR(__xludf.DUMMYFUNCTION("""COMPUTED_VALUE"""),"M. 583/ Sumberrejo")</f>
        <v>M. 583/ Sumberrejo</v>
      </c>
      <c r="D2286" s="13" t="str">
        <f>IFERROR(__xludf.DUMMYFUNCTION("""COMPUTED_VALUE"""),"K/12/210425/1")</f>
        <v>K/12/210425/1</v>
      </c>
      <c r="E2286" s="14" t="str">
        <f>IFERROR(__xludf.DUMMYFUNCTION("""COMPUTED_VALUE"""),"Heri (BT)")</f>
        <v>Heri (BT)</v>
      </c>
      <c r="F2286" s="14" t="str">
        <f>IFERROR(__xludf.DUMMYFUNCTION("""COMPUTED_VALUE"""),"SELESAI (VIA PERMOHONAN)")</f>
        <v>SELESAI (VIA PERMOHONAN)</v>
      </c>
      <c r="G2286" s="17">
        <f>IFERROR(__xludf.DUMMYFUNCTION("""COMPUTED_VALUE"""),45800.56480835648)</f>
        <v>45800.56481</v>
      </c>
      <c r="H2286" s="14" t="str">
        <f>IFERROR(__xludf.DUMMYFUNCTION("""COMPUTED_VALUE"""),"Eci (SU)")</f>
        <v>Eci (SU)</v>
      </c>
      <c r="I2286" s="13" t="str">
        <f>IFERROR(__xludf.DUMMYFUNCTION("""COMPUTED_VALUE"""),"SELESAI (VIA PERMOHONAN)")</f>
        <v>SELESAI (VIA PERMOHONAN)</v>
      </c>
      <c r="J2286" s="17">
        <f>IFERROR(__xludf.DUMMYFUNCTION("""COMPUTED_VALUE"""),45805.59767575232)</f>
        <v>45805.59768</v>
      </c>
      <c r="K2286" s="13" t="str">
        <f>IFERROR(__xludf.DUMMYFUNCTION("""COMPUTED_VALUE"""),"Selesai")</f>
        <v>Selesai</v>
      </c>
      <c r="L2286" s="17">
        <f>IFERROR(__xludf.DUMMYFUNCTION("""COMPUTED_VALUE"""),45805.59767575232)</f>
        <v>45805.59768</v>
      </c>
      <c r="M2286" s="13"/>
      <c r="N2286" s="13" t="str">
        <f>IFERROR(__xludf.DUMMYFUNCTION("""COMPUTED_VALUE"""),"")</f>
        <v/>
      </c>
      <c r="O2286" s="13" t="str">
        <f t="shared" si="1"/>
        <v/>
      </c>
    </row>
    <row r="2287" ht="22.5" customHeight="1">
      <c r="B2287" s="13">
        <f>IFERROR(__xludf.DUMMYFUNCTION("""COMPUTED_VALUE"""),2282.0)</f>
        <v>2282</v>
      </c>
      <c r="C2287" s="13" t="str">
        <f>IFERROR(__xludf.DUMMYFUNCTION("""COMPUTED_VALUE"""),"M. 1675/ Negeri Olok Gading")</f>
        <v>M. 1675/ Negeri Olok Gading</v>
      </c>
      <c r="D2287" s="13" t="str">
        <f>IFERROR(__xludf.DUMMYFUNCTION("""COMPUTED_VALUE"""),"K/27/150525/5")</f>
        <v>K/27/150525/5</v>
      </c>
      <c r="E2287" s="14" t="str">
        <f>IFERROR(__xludf.DUMMYFUNCTION("""COMPUTED_VALUE"""),"Heri (BT)")</f>
        <v>Heri (BT)</v>
      </c>
      <c r="F2287" s="14" t="str">
        <f>IFERROR(__xludf.DUMMYFUNCTION("""COMPUTED_VALUE"""),"SELESAI (VIA PERMOHONAN)")</f>
        <v>SELESAI (VIA PERMOHONAN)</v>
      </c>
      <c r="G2287" s="17">
        <f>IFERROR(__xludf.DUMMYFUNCTION("""COMPUTED_VALUE"""),45800.56497388889)</f>
        <v>45800.56497</v>
      </c>
      <c r="H2287" s="14" t="str">
        <f>IFERROR(__xludf.DUMMYFUNCTION("""COMPUTED_VALUE"""),"Eci (SU)")</f>
        <v>Eci (SU)</v>
      </c>
      <c r="I2287" s="13" t="str">
        <f>IFERROR(__xludf.DUMMYFUNCTION("""COMPUTED_VALUE"""),"SELESAI (VIA PERMOHONAN)")</f>
        <v>SELESAI (VIA PERMOHONAN)</v>
      </c>
      <c r="J2287" s="17">
        <f>IFERROR(__xludf.DUMMYFUNCTION("""COMPUTED_VALUE"""),45805.59767575232)</f>
        <v>45805.59768</v>
      </c>
      <c r="K2287" s="13" t="str">
        <f>IFERROR(__xludf.DUMMYFUNCTION("""COMPUTED_VALUE"""),"Selesai")</f>
        <v>Selesai</v>
      </c>
      <c r="L2287" s="17">
        <f>IFERROR(__xludf.DUMMYFUNCTION("""COMPUTED_VALUE"""),45805.59767575232)</f>
        <v>45805.59768</v>
      </c>
      <c r="M2287" s="13"/>
      <c r="N2287" s="13" t="str">
        <f>IFERROR(__xludf.DUMMYFUNCTION("""COMPUTED_VALUE"""),"")</f>
        <v/>
      </c>
      <c r="O2287" s="13" t="str">
        <f t="shared" si="1"/>
        <v/>
      </c>
    </row>
    <row r="2288" ht="22.5" customHeight="1">
      <c r="B2288" s="13">
        <f>IFERROR(__xludf.DUMMYFUNCTION("""COMPUTED_VALUE"""),2283.0)</f>
        <v>2283</v>
      </c>
      <c r="C2288" s="13" t="str">
        <f>IFERROR(__xludf.DUMMYFUNCTION("""COMPUTED_VALUE"""),"M. 145, 137/ sumur putri (6 SHT)")</f>
        <v>M. 145, 137/ sumur putri (6 SHT)</v>
      </c>
      <c r="D2288" s="13" t="str">
        <f>IFERROR(__xludf.DUMMYFUNCTION("""COMPUTED_VALUE"""),"L/1/170525/pelataran")</f>
        <v>L/1/170525/pelataran</v>
      </c>
      <c r="E2288" s="14" t="str">
        <f>IFERROR(__xludf.DUMMYFUNCTION("""COMPUTED_VALUE"""),"Heri (BT)")</f>
        <v>Heri (BT)</v>
      </c>
      <c r="F2288" s="14" t="str">
        <f>IFERROR(__xludf.DUMMYFUNCTION("""COMPUTED_VALUE"""),"SELESAI (VIA PERMOHONAN)")</f>
        <v>SELESAI (VIA PERMOHONAN)</v>
      </c>
      <c r="G2288" s="17">
        <f>IFERROR(__xludf.DUMMYFUNCTION("""COMPUTED_VALUE"""),45800.566353159724)</f>
        <v>45800.56635</v>
      </c>
      <c r="H2288" s="14" t="str">
        <f>IFERROR(__xludf.DUMMYFUNCTION("""COMPUTED_VALUE"""),"Eci (SU)")</f>
        <v>Eci (SU)</v>
      </c>
      <c r="I2288" s="13" t="str">
        <f>IFERROR(__xludf.DUMMYFUNCTION("""COMPUTED_VALUE"""),"SELESAI (VIA PERMOHONAN)")</f>
        <v>SELESAI (VIA PERMOHONAN)</v>
      </c>
      <c r="J2288" s="17">
        <f>IFERROR(__xludf.DUMMYFUNCTION("""COMPUTED_VALUE"""),45805.59767575232)</f>
        <v>45805.59768</v>
      </c>
      <c r="K2288" s="13" t="str">
        <f>IFERROR(__xludf.DUMMYFUNCTION("""COMPUTED_VALUE"""),"Selesai")</f>
        <v>Selesai</v>
      </c>
      <c r="L2288" s="17">
        <f>IFERROR(__xludf.DUMMYFUNCTION("""COMPUTED_VALUE"""),45805.59767575232)</f>
        <v>45805.59768</v>
      </c>
      <c r="M2288" s="13"/>
      <c r="N2288" s="13" t="str">
        <f>IFERROR(__xludf.DUMMYFUNCTION("""COMPUTED_VALUE"""),"")</f>
        <v/>
      </c>
      <c r="O2288" s="13" t="str">
        <f t="shared" si="1"/>
        <v/>
      </c>
    </row>
    <row r="2289" ht="22.5" customHeight="1">
      <c r="B2289" s="13">
        <f>IFERROR(__xludf.DUMMYFUNCTION("""COMPUTED_VALUE"""),2284.0)</f>
        <v>2284</v>
      </c>
      <c r="C2289" s="13" t="str">
        <f>IFERROR(__xludf.DUMMYFUNCTION("""COMPUTED_VALUE"""),"M. 1337/ Kelapa Tiga")</f>
        <v>M. 1337/ Kelapa Tiga</v>
      </c>
      <c r="D2289" s="13" t="str">
        <f>IFERROR(__xludf.DUMMYFUNCTION("""COMPUTED_VALUE"""),"K/18/140525/3")</f>
        <v>K/18/140525/3</v>
      </c>
      <c r="E2289" s="14" t="str">
        <f>IFERROR(__xludf.DUMMYFUNCTION("""COMPUTED_VALUE"""),"Heri (BT)")</f>
        <v>Heri (BT)</v>
      </c>
      <c r="F2289" s="14" t="str">
        <f>IFERROR(__xludf.DUMMYFUNCTION("""COMPUTED_VALUE"""),"SELESAI (VIA PERMOHONAN)")</f>
        <v>SELESAI (VIA PERMOHONAN)</v>
      </c>
      <c r="G2289" s="17">
        <f>IFERROR(__xludf.DUMMYFUNCTION("""COMPUTED_VALUE"""),45800.56652491898)</f>
        <v>45800.56652</v>
      </c>
      <c r="H2289" s="14" t="str">
        <f>IFERROR(__xludf.DUMMYFUNCTION("""COMPUTED_VALUE"""),"Eci (SU)")</f>
        <v>Eci (SU)</v>
      </c>
      <c r="I2289" s="13" t="str">
        <f>IFERROR(__xludf.DUMMYFUNCTION("""COMPUTED_VALUE"""),"SELESAI (VIA PERMOHONAN)")</f>
        <v>SELESAI (VIA PERMOHONAN)</v>
      </c>
      <c r="J2289" s="17">
        <f>IFERROR(__xludf.DUMMYFUNCTION("""COMPUTED_VALUE"""),45805.59767575232)</f>
        <v>45805.59768</v>
      </c>
      <c r="K2289" s="13" t="str">
        <f>IFERROR(__xludf.DUMMYFUNCTION("""COMPUTED_VALUE"""),"Selesai")</f>
        <v>Selesai</v>
      </c>
      <c r="L2289" s="17">
        <f>IFERROR(__xludf.DUMMYFUNCTION("""COMPUTED_VALUE"""),45805.59767575232)</f>
        <v>45805.59768</v>
      </c>
      <c r="M2289" s="13"/>
      <c r="N2289" s="13" t="str">
        <f>IFERROR(__xludf.DUMMYFUNCTION("""COMPUTED_VALUE"""),"")</f>
        <v/>
      </c>
      <c r="O2289" s="13" t="str">
        <f t="shared" si="1"/>
        <v/>
      </c>
    </row>
    <row r="2290" ht="22.5" customHeight="1">
      <c r="B2290" s="13">
        <f>IFERROR(__xludf.DUMMYFUNCTION("""COMPUTED_VALUE"""),2285.0)</f>
        <v>2285</v>
      </c>
      <c r="C2290" s="13" t="str">
        <f>IFERROR(__xludf.DUMMYFUNCTION("""COMPUTED_VALUE"""),"M. 2645/ Sukarame")</f>
        <v>M. 2645/ Sukarame</v>
      </c>
      <c r="D2290" s="13" t="str">
        <f>IFERROR(__xludf.DUMMYFUNCTION("""COMPUTED_VALUE"""),"K/32/090525/5")</f>
        <v>K/32/090525/5</v>
      </c>
      <c r="E2290" s="14" t="str">
        <f>IFERROR(__xludf.DUMMYFUNCTION("""COMPUTED_VALUE"""),"Heri (BT)")</f>
        <v>Heri (BT)</v>
      </c>
      <c r="F2290" s="14" t="str">
        <f>IFERROR(__xludf.DUMMYFUNCTION("""COMPUTED_VALUE"""),"SELESAI (VIA PERMOHONAN)")</f>
        <v>SELESAI (VIA PERMOHONAN)</v>
      </c>
      <c r="G2290" s="17">
        <f>IFERROR(__xludf.DUMMYFUNCTION("""COMPUTED_VALUE"""),45800.566734583335)</f>
        <v>45800.56673</v>
      </c>
      <c r="H2290" s="14" t="str">
        <f>IFERROR(__xludf.DUMMYFUNCTION("""COMPUTED_VALUE"""),"Eci (SU)")</f>
        <v>Eci (SU)</v>
      </c>
      <c r="I2290" s="13" t="str">
        <f>IFERROR(__xludf.DUMMYFUNCTION("""COMPUTED_VALUE"""),"SELESAI (VIA PERMOHONAN)")</f>
        <v>SELESAI (VIA PERMOHONAN)</v>
      </c>
      <c r="J2290" s="17">
        <f>IFERROR(__xludf.DUMMYFUNCTION("""COMPUTED_VALUE"""),45805.59767575232)</f>
        <v>45805.59768</v>
      </c>
      <c r="K2290" s="13" t="str">
        <f>IFERROR(__xludf.DUMMYFUNCTION("""COMPUTED_VALUE"""),"Selesai")</f>
        <v>Selesai</v>
      </c>
      <c r="L2290" s="17">
        <f>IFERROR(__xludf.DUMMYFUNCTION("""COMPUTED_VALUE"""),45805.59767575232)</f>
        <v>45805.59768</v>
      </c>
      <c r="M2290" s="13"/>
      <c r="N2290" s="13" t="str">
        <f>IFERROR(__xludf.DUMMYFUNCTION("""COMPUTED_VALUE"""),"")</f>
        <v/>
      </c>
      <c r="O2290" s="13" t="str">
        <f t="shared" si="1"/>
        <v/>
      </c>
    </row>
    <row r="2291" ht="22.5" customHeight="1">
      <c r="B2291" s="13">
        <f>IFERROR(__xludf.DUMMYFUNCTION("""COMPUTED_VALUE"""),2286.0)</f>
        <v>2286</v>
      </c>
      <c r="C2291" s="13" t="str">
        <f>IFERROR(__xludf.DUMMYFUNCTION("""COMPUTED_VALUE"""),"M. 11880/ Segala Mider")</f>
        <v>M. 11880/ Segala Mider</v>
      </c>
      <c r="D2291" s="13" t="str">
        <f>IFERROR(__xludf.DUMMYFUNCTION("""COMPUTED_VALUE"""),"K/30/220425/2")</f>
        <v>K/30/220425/2</v>
      </c>
      <c r="E2291" s="14" t="str">
        <f>IFERROR(__xludf.DUMMYFUNCTION("""COMPUTED_VALUE"""),"Heri (BT)")</f>
        <v>Heri (BT)</v>
      </c>
      <c r="F2291" s="14" t="str">
        <f>IFERROR(__xludf.DUMMYFUNCTION("""COMPUTED_VALUE"""),"SELESAI (VIA PERMOHONAN)")</f>
        <v>SELESAI (VIA PERMOHONAN)</v>
      </c>
      <c r="G2291" s="17">
        <f>IFERROR(__xludf.DUMMYFUNCTION("""COMPUTED_VALUE"""),45800.56693626157)</f>
        <v>45800.56694</v>
      </c>
      <c r="H2291" s="14" t="str">
        <f>IFERROR(__xludf.DUMMYFUNCTION("""COMPUTED_VALUE"""),"Eci (SU)")</f>
        <v>Eci (SU)</v>
      </c>
      <c r="I2291" s="13" t="str">
        <f>IFERROR(__xludf.DUMMYFUNCTION("""COMPUTED_VALUE"""),"SELESAI (VIA PERMOHONAN)")</f>
        <v>SELESAI (VIA PERMOHONAN)</v>
      </c>
      <c r="J2291" s="17">
        <f>IFERROR(__xludf.DUMMYFUNCTION("""COMPUTED_VALUE"""),45805.59767575232)</f>
        <v>45805.59768</v>
      </c>
      <c r="K2291" s="13" t="str">
        <f>IFERROR(__xludf.DUMMYFUNCTION("""COMPUTED_VALUE"""),"Selesai")</f>
        <v>Selesai</v>
      </c>
      <c r="L2291" s="17">
        <f>IFERROR(__xludf.DUMMYFUNCTION("""COMPUTED_VALUE"""),45805.59767575232)</f>
        <v>45805.59768</v>
      </c>
      <c r="M2291" s="13"/>
      <c r="N2291" s="13" t="str">
        <f>IFERROR(__xludf.DUMMYFUNCTION("""COMPUTED_VALUE"""),"")</f>
        <v/>
      </c>
      <c r="O2291" s="13" t="str">
        <f t="shared" si="1"/>
        <v/>
      </c>
    </row>
    <row r="2292" ht="22.5" customHeight="1">
      <c r="B2292" s="13">
        <f>IFERROR(__xludf.DUMMYFUNCTION("""COMPUTED_VALUE"""),2287.0)</f>
        <v>2287</v>
      </c>
      <c r="C2292" s="13" t="str">
        <f>IFERROR(__xludf.DUMMYFUNCTION("""COMPUTED_VALUE"""),"HM 3/PENENGAHAN")</f>
        <v>HM 3/PENENGAHAN</v>
      </c>
      <c r="D2292" s="13" t="str">
        <f>IFERROR(__xludf.DUMMYFUNCTION("""COMPUTED_VALUE"""),"L/25/110425/1")</f>
        <v>L/25/110425/1</v>
      </c>
      <c r="E2292" s="14" t="str">
        <f>IFERROR(__xludf.DUMMYFUNCTION("""COMPUTED_VALUE"""),"Heri (BT)")</f>
        <v>Heri (BT)</v>
      </c>
      <c r="F2292" s="14" t="str">
        <f>IFERROR(__xludf.DUMMYFUNCTION("""COMPUTED_VALUE"""),"SELESAI (VIA PERMOHONAN)")</f>
        <v>SELESAI (VIA PERMOHONAN)</v>
      </c>
      <c r="G2292" s="17">
        <f>IFERROR(__xludf.DUMMYFUNCTION("""COMPUTED_VALUE"""),45800.56726340277)</f>
        <v>45800.56726</v>
      </c>
      <c r="H2292" s="14" t="str">
        <f>IFERROR(__xludf.DUMMYFUNCTION("""COMPUTED_VALUE"""),"Eci (SU)")</f>
        <v>Eci (SU)</v>
      </c>
      <c r="I2292" s="13" t="str">
        <f>IFERROR(__xludf.DUMMYFUNCTION("""COMPUTED_VALUE"""),"SELESAI (VIA PERMOHONAN)")</f>
        <v>SELESAI (VIA PERMOHONAN)</v>
      </c>
      <c r="J2292" s="17">
        <f>IFERROR(__xludf.DUMMYFUNCTION("""COMPUTED_VALUE"""),45805.59767575232)</f>
        <v>45805.59768</v>
      </c>
      <c r="K2292" s="13" t="str">
        <f>IFERROR(__xludf.DUMMYFUNCTION("""COMPUTED_VALUE"""),"Selesai")</f>
        <v>Selesai</v>
      </c>
      <c r="L2292" s="17">
        <f>IFERROR(__xludf.DUMMYFUNCTION("""COMPUTED_VALUE"""),45805.59767575232)</f>
        <v>45805.59768</v>
      </c>
      <c r="M2292" s="13"/>
      <c r="N2292" s="13" t="str">
        <f>IFERROR(__xludf.DUMMYFUNCTION("""COMPUTED_VALUE"""),"")</f>
        <v/>
      </c>
      <c r="O2292" s="13" t="str">
        <f t="shared" si="1"/>
        <v/>
      </c>
    </row>
    <row r="2293" ht="22.5" customHeight="1">
      <c r="B2293" s="13">
        <f>IFERROR(__xludf.DUMMYFUNCTION("""COMPUTED_VALUE"""),2288.0)</f>
        <v>2288</v>
      </c>
      <c r="C2293" s="13" t="str">
        <f>IFERROR(__xludf.DUMMYFUNCTION("""COMPUTED_VALUE"""),"B. 2269/ sukabumi; M. 569/ Sukabumi Indah")</f>
        <v>B. 2269/ sukabumi; M. 569/ Sukabumi Indah</v>
      </c>
      <c r="D2293" s="13"/>
      <c r="E2293" s="14" t="str">
        <f>IFERROR(__xludf.DUMMYFUNCTION("""COMPUTED_VALUE"""),"Heri (BT)")</f>
        <v>Heri (BT)</v>
      </c>
      <c r="F2293" s="14" t="str">
        <f>IFERROR(__xludf.DUMMYFUNCTION("""COMPUTED_VALUE"""),"SELESAI (VIA PERMOHONAN)")</f>
        <v>SELESAI (VIA PERMOHONAN)</v>
      </c>
      <c r="G2293" s="17">
        <f>IFERROR(__xludf.DUMMYFUNCTION("""COMPUTED_VALUE"""),45800.567529837965)</f>
        <v>45800.56753</v>
      </c>
      <c r="H2293" s="14" t="str">
        <f>IFERROR(__xludf.DUMMYFUNCTION("""COMPUTED_VALUE"""),"Eci (SU)")</f>
        <v>Eci (SU)</v>
      </c>
      <c r="I2293" s="13" t="str">
        <f>IFERROR(__xludf.DUMMYFUNCTION("""COMPUTED_VALUE"""),"SELESAI (VIA PERMOHONAN)")</f>
        <v>SELESAI (VIA PERMOHONAN)</v>
      </c>
      <c r="J2293" s="17">
        <f>IFERROR(__xludf.DUMMYFUNCTION("""COMPUTED_VALUE"""),45805.59767575232)</f>
        <v>45805.59768</v>
      </c>
      <c r="K2293" s="13" t="str">
        <f>IFERROR(__xludf.DUMMYFUNCTION("""COMPUTED_VALUE"""),"")</f>
        <v/>
      </c>
      <c r="L2293" s="13" t="str">
        <f>IFERROR(__xludf.DUMMYFUNCTION("""COMPUTED_VALUE"""),"")</f>
        <v/>
      </c>
      <c r="M2293" s="13"/>
      <c r="N2293" s="13" t="str">
        <f>IFERROR(__xludf.DUMMYFUNCTION("""COMPUTED_VALUE"""),"")</f>
        <v/>
      </c>
      <c r="O2293" s="13" t="str">
        <f t="shared" si="1"/>
        <v/>
      </c>
    </row>
    <row r="2294" ht="22.5" customHeight="1">
      <c r="B2294" s="13">
        <f>IFERROR(__xludf.DUMMYFUNCTION("""COMPUTED_VALUE"""),2289.0)</f>
        <v>2289</v>
      </c>
      <c r="C2294" s="13" t="str">
        <f>IFERROR(__xludf.DUMMYFUNCTION("""COMPUTED_VALUE"""),"M. 18832/ Sukarame I")</f>
        <v>M. 18832/ Sukarame I</v>
      </c>
      <c r="D2294" s="13" t="str">
        <f>IFERROR(__xludf.DUMMYFUNCTION("""COMPUTED_VALUE"""),"K/45/150525/2")</f>
        <v>K/45/150525/2</v>
      </c>
      <c r="E2294" s="14" t="str">
        <f>IFERROR(__xludf.DUMMYFUNCTION("""COMPUTED_VALUE"""),"Heri (BT)")</f>
        <v>Heri (BT)</v>
      </c>
      <c r="F2294" s="14" t="str">
        <f>IFERROR(__xludf.DUMMYFUNCTION("""COMPUTED_VALUE"""),"SELESAI (VIA PERMOHONAN)")</f>
        <v>SELESAI (VIA PERMOHONAN)</v>
      </c>
      <c r="G2294" s="17">
        <f>IFERROR(__xludf.DUMMYFUNCTION("""COMPUTED_VALUE"""),45800.570632233794)</f>
        <v>45800.57063</v>
      </c>
      <c r="H2294" s="14" t="str">
        <f>IFERROR(__xludf.DUMMYFUNCTION("""COMPUTED_VALUE"""),"Eci (SU)")</f>
        <v>Eci (SU)</v>
      </c>
      <c r="I2294" s="13" t="str">
        <f>IFERROR(__xludf.DUMMYFUNCTION("""COMPUTED_VALUE"""),"SELESAI (VIA PERMOHONAN)")</f>
        <v>SELESAI (VIA PERMOHONAN)</v>
      </c>
      <c r="J2294" s="17">
        <f>IFERROR(__xludf.DUMMYFUNCTION("""COMPUTED_VALUE"""),45805.59767575232)</f>
        <v>45805.59768</v>
      </c>
      <c r="K2294" s="13" t="str">
        <f>IFERROR(__xludf.DUMMYFUNCTION("""COMPUTED_VALUE"""),"Selesai")</f>
        <v>Selesai</v>
      </c>
      <c r="L2294" s="17">
        <f>IFERROR(__xludf.DUMMYFUNCTION("""COMPUTED_VALUE"""),45805.59767575232)</f>
        <v>45805.59768</v>
      </c>
      <c r="M2294" s="13"/>
      <c r="N2294" s="13" t="str">
        <f>IFERROR(__xludf.DUMMYFUNCTION("""COMPUTED_VALUE"""),"")</f>
        <v/>
      </c>
      <c r="O2294" s="13" t="str">
        <f t="shared" si="1"/>
        <v/>
      </c>
    </row>
    <row r="2295" ht="22.5" customHeight="1">
      <c r="B2295" s="13">
        <f>IFERROR(__xludf.DUMMYFUNCTION("""COMPUTED_VALUE"""),2290.0)</f>
        <v>2290</v>
      </c>
      <c r="C2295" s="13" t="str">
        <f>IFERROR(__xludf.DUMMYFUNCTION("""COMPUTED_VALUE"""),"M. 758/ Perumanas Way Kandis")</f>
        <v>M. 758/ Perumanas Way Kandis</v>
      </c>
      <c r="D2295" s="13" t="str">
        <f>IFERROR(__xludf.DUMMYFUNCTION("""COMPUTED_VALUE"""),"K/9/290425/1")</f>
        <v>K/9/290425/1</v>
      </c>
      <c r="E2295" s="14" t="str">
        <f>IFERROR(__xludf.DUMMYFUNCTION("""COMPUTED_VALUE"""),"Heri (BT)")</f>
        <v>Heri (BT)</v>
      </c>
      <c r="F2295" s="14" t="str">
        <f>IFERROR(__xludf.DUMMYFUNCTION("""COMPUTED_VALUE"""),"SELESAI (VIA PERMOHONAN)")</f>
        <v>SELESAI (VIA PERMOHONAN)</v>
      </c>
      <c r="G2295" s="17">
        <f>IFERROR(__xludf.DUMMYFUNCTION("""COMPUTED_VALUE"""),45800.57975792824)</f>
        <v>45800.57976</v>
      </c>
      <c r="H2295" s="14" t="str">
        <f>IFERROR(__xludf.DUMMYFUNCTION("""COMPUTED_VALUE"""),"Eci (SU)")</f>
        <v>Eci (SU)</v>
      </c>
      <c r="I2295" s="13" t="str">
        <f>IFERROR(__xludf.DUMMYFUNCTION("""COMPUTED_VALUE"""),"SELESAI (VIA PERMOHONAN)")</f>
        <v>SELESAI (VIA PERMOHONAN)</v>
      </c>
      <c r="J2295" s="17">
        <f>IFERROR(__xludf.DUMMYFUNCTION("""COMPUTED_VALUE"""),45805.59767575232)</f>
        <v>45805.59768</v>
      </c>
      <c r="K2295" s="13" t="str">
        <f>IFERROR(__xludf.DUMMYFUNCTION("""COMPUTED_VALUE"""),"Selesai")</f>
        <v>Selesai</v>
      </c>
      <c r="L2295" s="17">
        <f>IFERROR(__xludf.DUMMYFUNCTION("""COMPUTED_VALUE"""),45805.59767575232)</f>
        <v>45805.59768</v>
      </c>
      <c r="M2295" s="13"/>
      <c r="N2295" s="13" t="str">
        <f>IFERROR(__xludf.DUMMYFUNCTION("""COMPUTED_VALUE"""),"")</f>
        <v/>
      </c>
      <c r="O2295" s="13" t="str">
        <f t="shared" si="1"/>
        <v/>
      </c>
    </row>
    <row r="2296" ht="22.5" customHeight="1">
      <c r="B2296" s="13">
        <f>IFERROR(__xludf.DUMMYFUNCTION("""COMPUTED_VALUE"""),2291.0)</f>
        <v>2291</v>
      </c>
      <c r="C2296" s="13" t="str">
        <f>IFERROR(__xludf.DUMMYFUNCTION("""COMPUTED_VALUE"""),"M. 212/ Kemiling Permai")</f>
        <v>M. 212/ Kemiling Permai</v>
      </c>
      <c r="D2296" s="13" t="str">
        <f>IFERROR(__xludf.DUMMYFUNCTION("""COMPUTED_VALUE"""),"K/24/090525/1")</f>
        <v>K/24/090525/1</v>
      </c>
      <c r="E2296" s="14" t="str">
        <f>IFERROR(__xludf.DUMMYFUNCTION("""COMPUTED_VALUE"""),"Heri (BT)")</f>
        <v>Heri (BT)</v>
      </c>
      <c r="F2296" s="14" t="str">
        <f>IFERROR(__xludf.DUMMYFUNCTION("""COMPUTED_VALUE"""),"SELESAI (VIA PERMOHONAN)")</f>
        <v>SELESAI (VIA PERMOHONAN)</v>
      </c>
      <c r="G2296" s="17">
        <f>IFERROR(__xludf.DUMMYFUNCTION("""COMPUTED_VALUE"""),45800.579844293985)</f>
        <v>45800.57984</v>
      </c>
      <c r="H2296" s="14" t="str">
        <f>IFERROR(__xludf.DUMMYFUNCTION("""COMPUTED_VALUE"""),"Eci (SU)")</f>
        <v>Eci (SU)</v>
      </c>
      <c r="I2296" s="13" t="str">
        <f>IFERROR(__xludf.DUMMYFUNCTION("""COMPUTED_VALUE"""),"SELESAI (VIA PERMOHONAN)")</f>
        <v>SELESAI (VIA PERMOHONAN)</v>
      </c>
      <c r="J2296" s="17">
        <f>IFERROR(__xludf.DUMMYFUNCTION("""COMPUTED_VALUE"""),45805.59767575232)</f>
        <v>45805.59768</v>
      </c>
      <c r="K2296" s="13" t="str">
        <f>IFERROR(__xludf.DUMMYFUNCTION("""COMPUTED_VALUE"""),"Selesai")</f>
        <v>Selesai</v>
      </c>
      <c r="L2296" s="17">
        <f>IFERROR(__xludf.DUMMYFUNCTION("""COMPUTED_VALUE"""),45805.59767575232)</f>
        <v>45805.59768</v>
      </c>
      <c r="M2296" s="13"/>
      <c r="N2296" s="13" t="str">
        <f>IFERROR(__xludf.DUMMYFUNCTION("""COMPUTED_VALUE"""),"")</f>
        <v/>
      </c>
      <c r="O2296" s="13" t="str">
        <f t="shared" si="1"/>
        <v/>
      </c>
    </row>
    <row r="2297" ht="22.5" customHeight="1">
      <c r="B2297" s="13">
        <f>IFERROR(__xludf.DUMMYFUNCTION("""COMPUTED_VALUE"""),2292.0)</f>
        <v>2292</v>
      </c>
      <c r="C2297" s="13" t="str">
        <f>IFERROR(__xludf.DUMMYFUNCTION("""COMPUTED_VALUE"""),"M. 2125/ Kedaung")</f>
        <v>M. 2125/ Kedaung</v>
      </c>
      <c r="D2297" s="13" t="str">
        <f>IFERROR(__xludf.DUMMYFUNCTION("""COMPUTED_VALUE"""),"K/36/160525/1")</f>
        <v>K/36/160525/1</v>
      </c>
      <c r="E2297" s="14" t="str">
        <f>IFERROR(__xludf.DUMMYFUNCTION("""COMPUTED_VALUE"""),"Afriza (BT)")</f>
        <v>Afriza (BT)</v>
      </c>
      <c r="F2297" s="14" t="str">
        <f>IFERROR(__xludf.DUMMYFUNCTION("""COMPUTED_VALUE"""),"SELESAI (VIA PERMOHONAN)")</f>
        <v>SELESAI (VIA PERMOHONAN)</v>
      </c>
      <c r="G2297" s="17">
        <f>IFERROR(__xludf.DUMMYFUNCTION("""COMPUTED_VALUE"""),45800.68092303241)</f>
        <v>45800.68092</v>
      </c>
      <c r="H2297" s="14" t="str">
        <f>IFERROR(__xludf.DUMMYFUNCTION("""COMPUTED_VALUE"""),"Bu Eva (SU)")</f>
        <v>Bu Eva (SU)</v>
      </c>
      <c r="I2297" s="13" t="str">
        <f>IFERROR(__xludf.DUMMYFUNCTION("""COMPUTED_VALUE"""),"SELESAI (VIA PERMOHONAN)")</f>
        <v>SELESAI (VIA PERMOHONAN)</v>
      </c>
      <c r="J2297" s="17">
        <f>IFERROR(__xludf.DUMMYFUNCTION("""COMPUTED_VALUE"""),45800.6809794213)</f>
        <v>45800.68098</v>
      </c>
      <c r="K2297" s="13" t="str">
        <f>IFERROR(__xludf.DUMMYFUNCTION("""COMPUTED_VALUE"""),"Selesai")</f>
        <v>Selesai</v>
      </c>
      <c r="L2297" s="17">
        <f>IFERROR(__xludf.DUMMYFUNCTION("""COMPUTED_VALUE"""),45800.6809794213)</f>
        <v>45800.68098</v>
      </c>
      <c r="M2297" s="13"/>
      <c r="N2297" s="13" t="str">
        <f>IFERROR(__xludf.DUMMYFUNCTION("""COMPUTED_VALUE"""),"")</f>
        <v/>
      </c>
      <c r="O2297" s="13" t="str">
        <f t="shared" si="1"/>
        <v/>
      </c>
    </row>
    <row r="2298" ht="22.5" customHeight="1">
      <c r="B2298" s="13">
        <f>IFERROR(__xludf.DUMMYFUNCTION("""COMPUTED_VALUE"""),2293.0)</f>
        <v>2293</v>
      </c>
      <c r="C2298" s="13" t="str">
        <f>IFERROR(__xludf.DUMMYFUNCTION("""COMPUTED_VALUE"""),"M.16696/SUKABUMI")</f>
        <v>M.16696/SUKABUMI</v>
      </c>
      <c r="D2298" s="13" t="str">
        <f>IFERROR(__xludf.DUMMYFUNCTION("""COMPUTED_VALUE"""),"K/16/300425/3")</f>
        <v>K/16/300425/3</v>
      </c>
      <c r="E2298" s="14" t="str">
        <f>IFERROR(__xludf.DUMMYFUNCTION("""COMPUTED_VALUE"""),"Afriza (BT)")</f>
        <v>Afriza (BT)</v>
      </c>
      <c r="F2298" s="14" t="str">
        <f>IFERROR(__xludf.DUMMYFUNCTION("""COMPUTED_VALUE"""),"SELESAI (VIA PERMOHONAN)")</f>
        <v>SELESAI (VIA PERMOHONAN)</v>
      </c>
      <c r="G2298" s="17">
        <f>IFERROR(__xludf.DUMMYFUNCTION("""COMPUTED_VALUE"""),45800.68115752315)</f>
        <v>45800.68116</v>
      </c>
      <c r="H2298" s="14" t="str">
        <f>IFERROR(__xludf.DUMMYFUNCTION("""COMPUTED_VALUE"""),"Bu Eva (SU)")</f>
        <v>Bu Eva (SU)</v>
      </c>
      <c r="I2298" s="13" t="str">
        <f>IFERROR(__xludf.DUMMYFUNCTION("""COMPUTED_VALUE"""),"SELESAI (VIA PERMOHONAN)")</f>
        <v>SELESAI (VIA PERMOHONAN)</v>
      </c>
      <c r="J2298" s="17">
        <f>IFERROR(__xludf.DUMMYFUNCTION("""COMPUTED_VALUE"""),45800.68118349537)</f>
        <v>45800.68118</v>
      </c>
      <c r="K2298" s="13" t="str">
        <f>IFERROR(__xludf.DUMMYFUNCTION("""COMPUTED_VALUE"""),"Selesai")</f>
        <v>Selesai</v>
      </c>
      <c r="L2298" s="17">
        <f>IFERROR(__xludf.DUMMYFUNCTION("""COMPUTED_VALUE"""),45800.68118349537)</f>
        <v>45800.68118</v>
      </c>
      <c r="M2298" s="13"/>
      <c r="N2298" s="13" t="str">
        <f>IFERROR(__xludf.DUMMYFUNCTION("""COMPUTED_VALUE"""),"")</f>
        <v/>
      </c>
      <c r="O2298" s="13" t="str">
        <f t="shared" si="1"/>
        <v/>
      </c>
    </row>
    <row r="2299" ht="22.5" customHeight="1">
      <c r="B2299" s="13">
        <f>IFERROR(__xludf.DUMMYFUNCTION("""COMPUTED_VALUE"""),2294.0)</f>
        <v>2294</v>
      </c>
      <c r="C2299" s="13" t="str">
        <f>IFERROR(__xludf.DUMMYFUNCTION("""COMPUTED_VALUE"""),"HM 430/TALANG")</f>
        <v>HM 430/TALANG</v>
      </c>
      <c r="D2299" s="13" t="str">
        <f>IFERROR(__xludf.DUMMYFUNCTION("""COMPUTED_VALUE"""),"L/34/240425/1")</f>
        <v>L/34/240425/1</v>
      </c>
      <c r="E2299" s="14" t="str">
        <f>IFERROR(__xludf.DUMMYFUNCTION("""COMPUTED_VALUE"""),"Afriza (BT)")</f>
        <v>Afriza (BT)</v>
      </c>
      <c r="F2299" s="14" t="str">
        <f>IFERROR(__xludf.DUMMYFUNCTION("""COMPUTED_VALUE"""),"SELESAI (VIA PERMOHONAN)")</f>
        <v>SELESAI (VIA PERMOHONAN)</v>
      </c>
      <c r="G2299" s="17">
        <f>IFERROR(__xludf.DUMMYFUNCTION("""COMPUTED_VALUE"""),45800.68131085648)</f>
        <v>45800.68131</v>
      </c>
      <c r="H2299" s="14" t="str">
        <f>IFERROR(__xludf.DUMMYFUNCTION("""COMPUTED_VALUE"""),"Bu Eva (SU)")</f>
        <v>Bu Eva (SU)</v>
      </c>
      <c r="I2299" s="13" t="str">
        <f>IFERROR(__xludf.DUMMYFUNCTION("""COMPUTED_VALUE"""),"SELESAI (VIA PERMOHONAN)")</f>
        <v>SELESAI (VIA PERMOHONAN)</v>
      </c>
      <c r="J2299" s="17">
        <f>IFERROR(__xludf.DUMMYFUNCTION("""COMPUTED_VALUE"""),45800.68138700232)</f>
        <v>45800.68139</v>
      </c>
      <c r="K2299" s="13" t="str">
        <f>IFERROR(__xludf.DUMMYFUNCTION("""COMPUTED_VALUE"""),"Selesai")</f>
        <v>Selesai</v>
      </c>
      <c r="L2299" s="17">
        <f>IFERROR(__xludf.DUMMYFUNCTION("""COMPUTED_VALUE"""),45800.68138700232)</f>
        <v>45800.68139</v>
      </c>
      <c r="M2299" s="13"/>
      <c r="N2299" s="13" t="str">
        <f>IFERROR(__xludf.DUMMYFUNCTION("""COMPUTED_VALUE"""),"")</f>
        <v/>
      </c>
      <c r="O2299" s="13" t="str">
        <f t="shared" si="1"/>
        <v/>
      </c>
    </row>
    <row r="2300" ht="22.5" customHeight="1">
      <c r="B2300" s="13">
        <f>IFERROR(__xludf.DUMMYFUNCTION("""COMPUTED_VALUE"""),2295.0)</f>
        <v>2295</v>
      </c>
      <c r="C2300" s="13" t="str">
        <f>IFERROR(__xludf.DUMMYFUNCTION("""COMPUTED_VALUE"""),"B. 2269/ sukabumi; M. 569/ Sukabumi Indah")</f>
        <v>B. 2269/ sukabumi; M. 569/ Sukabumi Indah</v>
      </c>
      <c r="D2300" s="13"/>
      <c r="E2300" s="14"/>
      <c r="F2300" s="14"/>
      <c r="G2300" s="17" t="str">
        <f>IFERROR(__xludf.DUMMYFUNCTION("""COMPUTED_VALUE"""),"")</f>
        <v/>
      </c>
      <c r="H2300" s="14" t="str">
        <f>IFERROR(__xludf.DUMMYFUNCTION("""COMPUTED_VALUE"""),"Eci (SU)")</f>
        <v>Eci (SU)</v>
      </c>
      <c r="I2300" s="13" t="str">
        <f>IFERROR(__xludf.DUMMYFUNCTION("""COMPUTED_VALUE"""),"SELESAI (VIA PERMOHONAN)")</f>
        <v>SELESAI (VIA PERMOHONAN)</v>
      </c>
      <c r="J2300" s="17">
        <f>IFERROR(__xludf.DUMMYFUNCTION("""COMPUTED_VALUE"""),45804.581316192125)</f>
        <v>45804.58132</v>
      </c>
      <c r="K2300" s="13" t="str">
        <f>IFERROR(__xludf.DUMMYFUNCTION("""COMPUTED_VALUE"""),"")</f>
        <v/>
      </c>
      <c r="L2300" s="13" t="str">
        <f>IFERROR(__xludf.DUMMYFUNCTION("""COMPUTED_VALUE"""),"")</f>
        <v/>
      </c>
      <c r="M2300" s="13"/>
      <c r="N2300" s="13" t="str">
        <f>IFERROR(__xludf.DUMMYFUNCTION("""COMPUTED_VALUE"""),"")</f>
        <v/>
      </c>
      <c r="O2300" s="13" t="str">
        <f t="shared" si="1"/>
        <v/>
      </c>
    </row>
    <row r="2301" ht="22.5" customHeight="1">
      <c r="B2301" s="13">
        <f>IFERROR(__xludf.DUMMYFUNCTION("""COMPUTED_VALUE"""),2296.0)</f>
        <v>2296</v>
      </c>
      <c r="C2301" s="13" t="str">
        <f>IFERROR(__xludf.DUMMYFUNCTION("""COMPUTED_VALUE"""),"M. 1222/ Sukarame Baru")</f>
        <v>M. 1222/ Sukarame Baru</v>
      </c>
      <c r="D2301" s="13" t="str">
        <f>IFERROR(__xludf.DUMMYFUNCTION("""COMPUTED_VALUE"""),"K/33/160425/2")</f>
        <v>K/33/160425/2</v>
      </c>
      <c r="E2301" s="14" t="str">
        <f>IFERROR(__xludf.DUMMYFUNCTION("""COMPUTED_VALUE"""),"Afriza (BT)")</f>
        <v>Afriza (BT)</v>
      </c>
      <c r="F2301" s="14" t="str">
        <f>IFERROR(__xludf.DUMMYFUNCTION("""COMPUTED_VALUE"""),"SELESAI (VIA PERMOHONAN)")</f>
        <v>SELESAI (VIA PERMOHONAN)</v>
      </c>
      <c r="G2301" s="17">
        <f>IFERROR(__xludf.DUMMYFUNCTION("""COMPUTED_VALUE"""),45803.475472164355)</f>
        <v>45803.47547</v>
      </c>
      <c r="H2301" s="14" t="str">
        <f>IFERROR(__xludf.DUMMYFUNCTION("""COMPUTED_VALUE"""),"Eci (SU)")</f>
        <v>Eci (SU)</v>
      </c>
      <c r="I2301" s="13" t="str">
        <f>IFERROR(__xludf.DUMMYFUNCTION("""COMPUTED_VALUE"""),"SELESAI (VIA PERMOHONAN)")</f>
        <v>SELESAI (VIA PERMOHONAN)</v>
      </c>
      <c r="J2301" s="17">
        <f>IFERROR(__xludf.DUMMYFUNCTION("""COMPUTED_VALUE"""),45805.59789209491)</f>
        <v>45805.59789</v>
      </c>
      <c r="K2301" s="13" t="str">
        <f>IFERROR(__xludf.DUMMYFUNCTION("""COMPUTED_VALUE"""),"Selesai")</f>
        <v>Selesai</v>
      </c>
      <c r="L2301" s="17">
        <f>IFERROR(__xludf.DUMMYFUNCTION("""COMPUTED_VALUE"""),45805.59789209491)</f>
        <v>45805.59789</v>
      </c>
      <c r="M2301" s="13"/>
      <c r="N2301" s="13" t="str">
        <f>IFERROR(__xludf.DUMMYFUNCTION("""COMPUTED_VALUE"""),"")</f>
        <v/>
      </c>
      <c r="O2301" s="13" t="str">
        <f t="shared" si="1"/>
        <v/>
      </c>
    </row>
    <row r="2302" ht="22.5" customHeight="1">
      <c r="B2302" s="13">
        <f>IFERROR(__xludf.DUMMYFUNCTION("""COMPUTED_VALUE"""),2297.0)</f>
        <v>2297</v>
      </c>
      <c r="C2302" s="13" t="str">
        <f>IFERROR(__xludf.DUMMYFUNCTION("""COMPUTED_VALUE"""),"B. 952/ Beringin Jaya")</f>
        <v>B. 952/ Beringin Jaya</v>
      </c>
      <c r="D2302" s="13" t="str">
        <f>IFERROR(__xludf.DUMMYFUNCTION("""COMPUTED_VALUE"""),"K/4/240425/1")</f>
        <v>K/4/240425/1</v>
      </c>
      <c r="E2302" s="14" t="str">
        <f>IFERROR(__xludf.DUMMYFUNCTION("""COMPUTED_VALUE"""),"Afriza (BT)")</f>
        <v>Afriza (BT)</v>
      </c>
      <c r="F2302" s="14" t="str">
        <f>IFERROR(__xludf.DUMMYFUNCTION("""COMPUTED_VALUE"""),"SELESAI (VIA PERMOHONAN)")</f>
        <v>SELESAI (VIA PERMOHONAN)</v>
      </c>
      <c r="G2302" s="17">
        <f>IFERROR(__xludf.DUMMYFUNCTION("""COMPUTED_VALUE"""),45803.47558083333)</f>
        <v>45803.47558</v>
      </c>
      <c r="H2302" s="14" t="str">
        <f>IFERROR(__xludf.DUMMYFUNCTION("""COMPUTED_VALUE"""),"Eci (SU)")</f>
        <v>Eci (SU)</v>
      </c>
      <c r="I2302" s="13" t="str">
        <f>IFERROR(__xludf.DUMMYFUNCTION("""COMPUTED_VALUE"""),"SELESAI (VIA PERMOHONAN)")</f>
        <v>SELESAI (VIA PERMOHONAN)</v>
      </c>
      <c r="J2302" s="17">
        <f>IFERROR(__xludf.DUMMYFUNCTION("""COMPUTED_VALUE"""),45805.59789209491)</f>
        <v>45805.59789</v>
      </c>
      <c r="K2302" s="13" t="str">
        <f>IFERROR(__xludf.DUMMYFUNCTION("""COMPUTED_VALUE"""),"Selesai")</f>
        <v>Selesai</v>
      </c>
      <c r="L2302" s="17">
        <f>IFERROR(__xludf.DUMMYFUNCTION("""COMPUTED_VALUE"""),45805.59789209491)</f>
        <v>45805.59789</v>
      </c>
      <c r="M2302" s="13"/>
      <c r="N2302" s="13" t="str">
        <f>IFERROR(__xludf.DUMMYFUNCTION("""COMPUTED_VALUE"""),"")</f>
        <v/>
      </c>
      <c r="O2302" s="13" t="str">
        <f t="shared" si="1"/>
        <v/>
      </c>
    </row>
    <row r="2303" ht="22.5" customHeight="1">
      <c r="B2303" s="13">
        <f>IFERROR(__xludf.DUMMYFUNCTION("""COMPUTED_VALUE"""),2298.0)</f>
        <v>2298</v>
      </c>
      <c r="C2303" s="13" t="str">
        <f>IFERROR(__xludf.DUMMYFUNCTION("""COMPUTED_VALUE"""),"M. 1079/ Kali Balai Kencana")</f>
        <v>M. 1079/ Kali Balai Kencana</v>
      </c>
      <c r="D2303" s="13" t="str">
        <f>IFERROR(__xludf.DUMMYFUNCTION("""COMPUTED_VALUE"""),"K/43/160525/1")</f>
        <v>K/43/160525/1</v>
      </c>
      <c r="E2303" s="14" t="str">
        <f>IFERROR(__xludf.DUMMYFUNCTION("""COMPUTED_VALUE"""),"Afriza (BT)")</f>
        <v>Afriza (BT)</v>
      </c>
      <c r="F2303" s="14" t="str">
        <f>IFERROR(__xludf.DUMMYFUNCTION("""COMPUTED_VALUE"""),"SELESAI (VIA PERMOHONAN)")</f>
        <v>SELESAI (VIA PERMOHONAN)</v>
      </c>
      <c r="G2303" s="17">
        <f>IFERROR(__xludf.DUMMYFUNCTION("""COMPUTED_VALUE"""),45803.47577038195)</f>
        <v>45803.47577</v>
      </c>
      <c r="H2303" s="14" t="str">
        <f>IFERROR(__xludf.DUMMYFUNCTION("""COMPUTED_VALUE"""),"Eci (SU)")</f>
        <v>Eci (SU)</v>
      </c>
      <c r="I2303" s="13" t="str">
        <f>IFERROR(__xludf.DUMMYFUNCTION("""COMPUTED_VALUE"""),"SELESAI (VIA PERMOHONAN)")</f>
        <v>SELESAI (VIA PERMOHONAN)</v>
      </c>
      <c r="J2303" s="17">
        <f>IFERROR(__xludf.DUMMYFUNCTION("""COMPUTED_VALUE"""),45805.59789209491)</f>
        <v>45805.59789</v>
      </c>
      <c r="K2303" s="13" t="str">
        <f>IFERROR(__xludf.DUMMYFUNCTION("""COMPUTED_VALUE"""),"Selesai")</f>
        <v>Selesai</v>
      </c>
      <c r="L2303" s="17">
        <f>IFERROR(__xludf.DUMMYFUNCTION("""COMPUTED_VALUE"""),45805.59789209491)</f>
        <v>45805.59789</v>
      </c>
      <c r="M2303" s="13"/>
      <c r="N2303" s="13" t="str">
        <f>IFERROR(__xludf.DUMMYFUNCTION("""COMPUTED_VALUE"""),"")</f>
        <v/>
      </c>
      <c r="O2303" s="13" t="str">
        <f t="shared" si="1"/>
        <v/>
      </c>
    </row>
    <row r="2304" ht="22.5" customHeight="1">
      <c r="B2304" s="13">
        <f>IFERROR(__xludf.DUMMYFUNCTION("""COMPUTED_VALUE"""),2299.0)</f>
        <v>2299</v>
      </c>
      <c r="C2304" s="13" t="str">
        <f>IFERROR(__xludf.DUMMYFUNCTION("""COMPUTED_VALUE"""),"M. 2013/ Kali Balau Kencana")</f>
        <v>M. 2013/ Kali Balau Kencana</v>
      </c>
      <c r="D2304" s="13" t="str">
        <f>IFERROR(__xludf.DUMMYFUNCTION("""COMPUTED_VALUE"""),"K/30/160525/1")</f>
        <v>K/30/160525/1</v>
      </c>
      <c r="E2304" s="14" t="str">
        <f>IFERROR(__xludf.DUMMYFUNCTION("""COMPUTED_VALUE"""),"Afriza (BT)")</f>
        <v>Afriza (BT)</v>
      </c>
      <c r="F2304" s="14" t="str">
        <f>IFERROR(__xludf.DUMMYFUNCTION("""COMPUTED_VALUE"""),"SELESAI (VIA PERMOHONAN)")</f>
        <v>SELESAI (VIA PERMOHONAN)</v>
      </c>
      <c r="G2304" s="17">
        <f>IFERROR(__xludf.DUMMYFUNCTION("""COMPUTED_VALUE"""),45803.47577038195)</f>
        <v>45803.47577</v>
      </c>
      <c r="H2304" s="14" t="str">
        <f>IFERROR(__xludf.DUMMYFUNCTION("""COMPUTED_VALUE"""),"Eci (SU)")</f>
        <v>Eci (SU)</v>
      </c>
      <c r="I2304" s="13" t="str">
        <f>IFERROR(__xludf.DUMMYFUNCTION("""COMPUTED_VALUE"""),"SELESAI (VIA PERMOHONAN)")</f>
        <v>SELESAI (VIA PERMOHONAN)</v>
      </c>
      <c r="J2304" s="17">
        <f>IFERROR(__xludf.DUMMYFUNCTION("""COMPUTED_VALUE"""),45805.59789209491)</f>
        <v>45805.59789</v>
      </c>
      <c r="K2304" s="13" t="str">
        <f>IFERROR(__xludf.DUMMYFUNCTION("""COMPUTED_VALUE"""),"Selesai")</f>
        <v>Selesai</v>
      </c>
      <c r="L2304" s="17">
        <f>IFERROR(__xludf.DUMMYFUNCTION("""COMPUTED_VALUE"""),45805.59789209491)</f>
        <v>45805.59789</v>
      </c>
      <c r="M2304" s="13"/>
      <c r="N2304" s="13" t="str">
        <f>IFERROR(__xludf.DUMMYFUNCTION("""COMPUTED_VALUE"""),"")</f>
        <v/>
      </c>
      <c r="O2304" s="13" t="str">
        <f t="shared" si="1"/>
        <v/>
      </c>
    </row>
    <row r="2305" ht="22.5" customHeight="1">
      <c r="B2305" s="13">
        <f>IFERROR(__xludf.DUMMYFUNCTION("""COMPUTED_VALUE"""),2300.0)</f>
        <v>2300</v>
      </c>
      <c r="C2305" s="13" t="str">
        <f>IFERROR(__xludf.DUMMYFUNCTION("""COMPUTED_VALUE"""),"M. 3496/ Kota Baru")</f>
        <v>M. 3496/ Kota Baru</v>
      </c>
      <c r="D2305" s="13" t="str">
        <f>IFERROR(__xludf.DUMMYFUNCTION("""COMPUTED_VALUE"""),"K/31/220425/1")</f>
        <v>K/31/220425/1</v>
      </c>
      <c r="E2305" s="14" t="str">
        <f>IFERROR(__xludf.DUMMYFUNCTION("""COMPUTED_VALUE"""),"Afriza (BT)")</f>
        <v>Afriza (BT)</v>
      </c>
      <c r="F2305" s="14" t="str">
        <f>IFERROR(__xludf.DUMMYFUNCTION("""COMPUTED_VALUE"""),"SELESAI (VIA PERMOHONAN)")</f>
        <v>SELESAI (VIA PERMOHONAN)</v>
      </c>
      <c r="G2305" s="17">
        <f>IFERROR(__xludf.DUMMYFUNCTION("""COMPUTED_VALUE"""),45803.475861087965)</f>
        <v>45803.47586</v>
      </c>
      <c r="H2305" s="14" t="str">
        <f>IFERROR(__xludf.DUMMYFUNCTION("""COMPUTED_VALUE"""),"Eci (SU)")</f>
        <v>Eci (SU)</v>
      </c>
      <c r="I2305" s="13" t="str">
        <f>IFERROR(__xludf.DUMMYFUNCTION("""COMPUTED_VALUE"""),"SELESAI (VIA PERMOHONAN)")</f>
        <v>SELESAI (VIA PERMOHONAN)</v>
      </c>
      <c r="J2305" s="17">
        <f>IFERROR(__xludf.DUMMYFUNCTION("""COMPUTED_VALUE"""),45805.59789209491)</f>
        <v>45805.59789</v>
      </c>
      <c r="K2305" s="13" t="str">
        <f>IFERROR(__xludf.DUMMYFUNCTION("""COMPUTED_VALUE"""),"Selesai")</f>
        <v>Selesai</v>
      </c>
      <c r="L2305" s="17">
        <f>IFERROR(__xludf.DUMMYFUNCTION("""COMPUTED_VALUE"""),45805.59789209491)</f>
        <v>45805.59789</v>
      </c>
      <c r="M2305" s="13"/>
      <c r="N2305" s="13" t="str">
        <f>IFERROR(__xludf.DUMMYFUNCTION("""COMPUTED_VALUE"""),"")</f>
        <v/>
      </c>
      <c r="O2305" s="13" t="str">
        <f t="shared" si="1"/>
        <v/>
      </c>
    </row>
    <row r="2306" ht="22.5" customHeight="1">
      <c r="B2306" s="13">
        <f>IFERROR(__xludf.DUMMYFUNCTION("""COMPUTED_VALUE"""),2301.0)</f>
        <v>2301</v>
      </c>
      <c r="C2306" s="13" t="str">
        <f>IFERROR(__xludf.DUMMYFUNCTION("""COMPUTED_VALUE"""),"M. 6292/ Way Kandis")</f>
        <v>M. 6292/ Way Kandis</v>
      </c>
      <c r="D2306" s="13" t="str">
        <f>IFERROR(__xludf.DUMMYFUNCTION("""COMPUTED_VALUE"""),"K/35/080525/1")</f>
        <v>K/35/080525/1</v>
      </c>
      <c r="E2306" s="14" t="str">
        <f>IFERROR(__xludf.DUMMYFUNCTION("""COMPUTED_VALUE"""),"Afriza (BT)")</f>
        <v>Afriza (BT)</v>
      </c>
      <c r="F2306" s="14" t="str">
        <f>IFERROR(__xludf.DUMMYFUNCTION("""COMPUTED_VALUE"""),"SELESAI (VIA PERMOHONAN)")</f>
        <v>SELESAI (VIA PERMOHONAN)</v>
      </c>
      <c r="G2306" s="17">
        <f>IFERROR(__xludf.DUMMYFUNCTION("""COMPUTED_VALUE"""),45803.47595384259)</f>
        <v>45803.47595</v>
      </c>
      <c r="H2306" s="14" t="str">
        <f>IFERROR(__xludf.DUMMYFUNCTION("""COMPUTED_VALUE"""),"Eci (SU)")</f>
        <v>Eci (SU)</v>
      </c>
      <c r="I2306" s="13" t="str">
        <f>IFERROR(__xludf.DUMMYFUNCTION("""COMPUTED_VALUE"""),"SELESAI (VIA PERMOHONAN)")</f>
        <v>SELESAI (VIA PERMOHONAN)</v>
      </c>
      <c r="J2306" s="17">
        <f>IFERROR(__xludf.DUMMYFUNCTION("""COMPUTED_VALUE"""),45805.59789209491)</f>
        <v>45805.59789</v>
      </c>
      <c r="K2306" s="13" t="str">
        <f>IFERROR(__xludf.DUMMYFUNCTION("""COMPUTED_VALUE"""),"Selesai")</f>
        <v>Selesai</v>
      </c>
      <c r="L2306" s="17">
        <f>IFERROR(__xludf.DUMMYFUNCTION("""COMPUTED_VALUE"""),45805.59789209491)</f>
        <v>45805.59789</v>
      </c>
      <c r="M2306" s="13"/>
      <c r="N2306" s="13" t="str">
        <f>IFERROR(__xludf.DUMMYFUNCTION("""COMPUTED_VALUE"""),"")</f>
        <v/>
      </c>
      <c r="O2306" s="13" t="str">
        <f t="shared" si="1"/>
        <v/>
      </c>
    </row>
    <row r="2307" ht="22.5" customHeight="1">
      <c r="B2307" s="13">
        <f>IFERROR(__xludf.DUMMYFUNCTION("""COMPUTED_VALUE"""),2302.0)</f>
        <v>2302</v>
      </c>
      <c r="C2307" s="13" t="str">
        <f>IFERROR(__xludf.DUMMYFUNCTION("""COMPUTED_VALUE"""),"HM 12852/SEGALA MIDER")</f>
        <v>HM 12852/SEGALA MIDER</v>
      </c>
      <c r="D2307" s="13" t="str">
        <f>IFERROR(__xludf.DUMMYFUNCTION("""COMPUTED_VALUE"""),"L/13/150525/1")</f>
        <v>L/13/150525/1</v>
      </c>
      <c r="E2307" s="14" t="str">
        <f>IFERROR(__xludf.DUMMYFUNCTION("""COMPUTED_VALUE"""),"Afriza (BT)")</f>
        <v>Afriza (BT)</v>
      </c>
      <c r="F2307" s="14" t="str">
        <f>IFERROR(__xludf.DUMMYFUNCTION("""COMPUTED_VALUE"""),"SELESAI (VIA PERMOHONAN)")</f>
        <v>SELESAI (VIA PERMOHONAN)</v>
      </c>
      <c r="G2307" s="17">
        <f>IFERROR(__xludf.DUMMYFUNCTION("""COMPUTED_VALUE"""),45803.47621961805)</f>
        <v>45803.47622</v>
      </c>
      <c r="H2307" s="14" t="str">
        <f>IFERROR(__xludf.DUMMYFUNCTION("""COMPUTED_VALUE"""),"Eci (SU)")</f>
        <v>Eci (SU)</v>
      </c>
      <c r="I2307" s="13" t="str">
        <f>IFERROR(__xludf.DUMMYFUNCTION("""COMPUTED_VALUE"""),"SELESAI (VIA PERMOHONAN)")</f>
        <v>SELESAI (VIA PERMOHONAN)</v>
      </c>
      <c r="J2307" s="17">
        <f>IFERROR(__xludf.DUMMYFUNCTION("""COMPUTED_VALUE"""),45805.59789209491)</f>
        <v>45805.59789</v>
      </c>
      <c r="K2307" s="13" t="str">
        <f>IFERROR(__xludf.DUMMYFUNCTION("""COMPUTED_VALUE"""),"Selesai")</f>
        <v>Selesai</v>
      </c>
      <c r="L2307" s="17">
        <f>IFERROR(__xludf.DUMMYFUNCTION("""COMPUTED_VALUE"""),45805.59789209491)</f>
        <v>45805.59789</v>
      </c>
      <c r="M2307" s="13"/>
      <c r="N2307" s="13" t="str">
        <f>IFERROR(__xludf.DUMMYFUNCTION("""COMPUTED_VALUE"""),"")</f>
        <v/>
      </c>
      <c r="O2307" s="13" t="str">
        <f t="shared" si="1"/>
        <v/>
      </c>
    </row>
    <row r="2308" ht="22.5" customHeight="1">
      <c r="B2308" s="13">
        <f>IFERROR(__xludf.DUMMYFUNCTION("""COMPUTED_VALUE"""),2303.0)</f>
        <v>2303</v>
      </c>
      <c r="C2308" s="13" t="str">
        <f>IFERROR(__xludf.DUMMYFUNCTION("""COMPUTED_VALUE"""),"HGB 74/SUMBER AGUNG")</f>
        <v>HGB 74/SUMBER AGUNG</v>
      </c>
      <c r="D2308" s="13" t="str">
        <f>IFERROR(__xludf.DUMMYFUNCTION("""COMPUTED_VALUE"""),"L/26/160525/1")</f>
        <v>L/26/160525/1</v>
      </c>
      <c r="E2308" s="14" t="str">
        <f>IFERROR(__xludf.DUMMYFUNCTION("""COMPUTED_VALUE"""),"Afriza (BT)")</f>
        <v>Afriza (BT)</v>
      </c>
      <c r="F2308" s="14" t="str">
        <f>IFERROR(__xludf.DUMMYFUNCTION("""COMPUTED_VALUE"""),"SELESAI (VIA PERMOHONAN)")</f>
        <v>SELESAI (VIA PERMOHONAN)</v>
      </c>
      <c r="G2308" s="17">
        <f>IFERROR(__xludf.DUMMYFUNCTION("""COMPUTED_VALUE"""),45803.47632315972)</f>
        <v>45803.47632</v>
      </c>
      <c r="H2308" s="14" t="str">
        <f>IFERROR(__xludf.DUMMYFUNCTION("""COMPUTED_VALUE"""),"Eci (SU)")</f>
        <v>Eci (SU)</v>
      </c>
      <c r="I2308" s="13" t="str">
        <f>IFERROR(__xludf.DUMMYFUNCTION("""COMPUTED_VALUE"""),"SELESAI (VIA PERMOHONAN)")</f>
        <v>SELESAI (VIA PERMOHONAN)</v>
      </c>
      <c r="J2308" s="17">
        <f>IFERROR(__xludf.DUMMYFUNCTION("""COMPUTED_VALUE"""),45805.59789209491)</f>
        <v>45805.59789</v>
      </c>
      <c r="K2308" s="13" t="str">
        <f>IFERROR(__xludf.DUMMYFUNCTION("""COMPUTED_VALUE"""),"Selesai")</f>
        <v>Selesai</v>
      </c>
      <c r="L2308" s="17">
        <f>IFERROR(__xludf.DUMMYFUNCTION("""COMPUTED_VALUE"""),45805.59789209491)</f>
        <v>45805.59789</v>
      </c>
      <c r="M2308" s="13"/>
      <c r="N2308" s="13" t="str">
        <f>IFERROR(__xludf.DUMMYFUNCTION("""COMPUTED_VALUE"""),"")</f>
        <v/>
      </c>
      <c r="O2308" s="13" t="str">
        <f t="shared" si="1"/>
        <v/>
      </c>
    </row>
    <row r="2309" ht="22.5" customHeight="1">
      <c r="B2309" s="13">
        <f>IFERROR(__xludf.DUMMYFUNCTION("""COMPUTED_VALUE"""),2304.0)</f>
        <v>2304</v>
      </c>
      <c r="C2309" s="13" t="str">
        <f>IFERROR(__xludf.DUMMYFUNCTION("""COMPUTED_VALUE"""),"M. 972/ Sepang Jaya")</f>
        <v>M. 972/ Sepang Jaya</v>
      </c>
      <c r="D2309" s="13" t="str">
        <f>IFERROR(__xludf.DUMMYFUNCTION("""COMPUTED_VALUE"""),"K/13/210525/1")</f>
        <v>K/13/210525/1</v>
      </c>
      <c r="E2309" s="14" t="str">
        <f>IFERROR(__xludf.DUMMYFUNCTION("""COMPUTED_VALUE"""),"Afriza (BT)")</f>
        <v>Afriza (BT)</v>
      </c>
      <c r="F2309" s="14" t="str">
        <f>IFERROR(__xludf.DUMMYFUNCTION("""COMPUTED_VALUE"""),"SELESAI (VIA PERMOHONAN)")</f>
        <v>SELESAI (VIA PERMOHONAN)</v>
      </c>
      <c r="G2309" s="17">
        <f>IFERROR(__xludf.DUMMYFUNCTION("""COMPUTED_VALUE"""),45803.47643336805)</f>
        <v>45803.47643</v>
      </c>
      <c r="H2309" s="14" t="str">
        <f>IFERROR(__xludf.DUMMYFUNCTION("""COMPUTED_VALUE"""),"Eci (SU)")</f>
        <v>Eci (SU)</v>
      </c>
      <c r="I2309" s="13" t="str">
        <f>IFERROR(__xludf.DUMMYFUNCTION("""COMPUTED_VALUE"""),"SELESAI (VIA PERMOHONAN)")</f>
        <v>SELESAI (VIA PERMOHONAN)</v>
      </c>
      <c r="J2309" s="17">
        <f>IFERROR(__xludf.DUMMYFUNCTION("""COMPUTED_VALUE"""),45805.59789209491)</f>
        <v>45805.59789</v>
      </c>
      <c r="K2309" s="13" t="str">
        <f>IFERROR(__xludf.DUMMYFUNCTION("""COMPUTED_VALUE"""),"Selesai")</f>
        <v>Selesai</v>
      </c>
      <c r="L2309" s="17">
        <f>IFERROR(__xludf.DUMMYFUNCTION("""COMPUTED_VALUE"""),45805.59789209491)</f>
        <v>45805.59789</v>
      </c>
      <c r="M2309" s="13"/>
      <c r="N2309" s="13" t="str">
        <f>IFERROR(__xludf.DUMMYFUNCTION("""COMPUTED_VALUE"""),"")</f>
        <v/>
      </c>
      <c r="O2309" s="13" t="str">
        <f t="shared" si="1"/>
        <v/>
      </c>
    </row>
    <row r="2310" ht="22.5" customHeight="1">
      <c r="B2310" s="13">
        <f>IFERROR(__xludf.DUMMYFUNCTION("""COMPUTED_VALUE"""),2305.0)</f>
        <v>2305</v>
      </c>
      <c r="C2310" s="13" t="str">
        <f>IFERROR(__xludf.DUMMYFUNCTION("""COMPUTED_VALUE"""),"M. 10437/ Kampung Baru")</f>
        <v>M. 10437/ Kampung Baru</v>
      </c>
      <c r="D2310" s="13" t="str">
        <f>IFERROR(__xludf.DUMMYFUNCTION("""COMPUTED_VALUE"""),"K/27/200525/1")</f>
        <v>K/27/200525/1</v>
      </c>
      <c r="E2310" s="14" t="str">
        <f>IFERROR(__xludf.DUMMYFUNCTION("""COMPUTED_VALUE"""),"Afriza (BT)")</f>
        <v>Afriza (BT)</v>
      </c>
      <c r="F2310" s="14" t="str">
        <f>IFERROR(__xludf.DUMMYFUNCTION("""COMPUTED_VALUE"""),"SELESAI (VIA PERMOHONAN)")</f>
        <v>SELESAI (VIA PERMOHONAN)</v>
      </c>
      <c r="G2310" s="17">
        <f>IFERROR(__xludf.DUMMYFUNCTION("""COMPUTED_VALUE"""),45803.476528125)</f>
        <v>45803.47653</v>
      </c>
      <c r="H2310" s="14" t="str">
        <f>IFERROR(__xludf.DUMMYFUNCTION("""COMPUTED_VALUE"""),"Eci (SU)")</f>
        <v>Eci (SU)</v>
      </c>
      <c r="I2310" s="13" t="str">
        <f>IFERROR(__xludf.DUMMYFUNCTION("""COMPUTED_VALUE"""),"SELESAI (VIA PERMOHONAN)")</f>
        <v>SELESAI (VIA PERMOHONAN)</v>
      </c>
      <c r="J2310" s="17">
        <f>IFERROR(__xludf.DUMMYFUNCTION("""COMPUTED_VALUE"""),45805.59789209491)</f>
        <v>45805.59789</v>
      </c>
      <c r="K2310" s="13" t="str">
        <f>IFERROR(__xludf.DUMMYFUNCTION("""COMPUTED_VALUE"""),"Selesai")</f>
        <v>Selesai</v>
      </c>
      <c r="L2310" s="17">
        <f>IFERROR(__xludf.DUMMYFUNCTION("""COMPUTED_VALUE"""),45805.59789209491)</f>
        <v>45805.59789</v>
      </c>
      <c r="M2310" s="13"/>
      <c r="N2310" s="13" t="str">
        <f>IFERROR(__xludf.DUMMYFUNCTION("""COMPUTED_VALUE"""),"")</f>
        <v/>
      </c>
      <c r="O2310" s="13" t="str">
        <f t="shared" si="1"/>
        <v/>
      </c>
    </row>
    <row r="2311" ht="22.5" customHeight="1">
      <c r="B2311" s="13">
        <f>IFERROR(__xludf.DUMMYFUNCTION("""COMPUTED_VALUE"""),2306.0)</f>
        <v>2306</v>
      </c>
      <c r="C2311" s="13" t="str">
        <f>IFERROR(__xludf.DUMMYFUNCTION("""COMPUTED_VALUE"""),"M.2278/PERUMNAS WAY HALIM")</f>
        <v>M.2278/PERUMNAS WAY HALIM</v>
      </c>
      <c r="D2311" s="13" t="str">
        <f>IFERROR(__xludf.DUMMYFUNCTION("""COMPUTED_VALUE"""),"K/6/090525/1")</f>
        <v>K/6/090525/1</v>
      </c>
      <c r="E2311" s="14" t="str">
        <f>IFERROR(__xludf.DUMMYFUNCTION("""COMPUTED_VALUE"""),"Afriza (BT)")</f>
        <v>Afriza (BT)</v>
      </c>
      <c r="F2311" s="14" t="str">
        <f>IFERROR(__xludf.DUMMYFUNCTION("""COMPUTED_VALUE"""),"SELESAI (VIA PERMOHONAN)")</f>
        <v>SELESAI (VIA PERMOHONAN)</v>
      </c>
      <c r="G2311" s="17">
        <f>IFERROR(__xludf.DUMMYFUNCTION("""COMPUTED_VALUE"""),45803.476620208334)</f>
        <v>45803.47662</v>
      </c>
      <c r="H2311" s="14" t="str">
        <f>IFERROR(__xludf.DUMMYFUNCTION("""COMPUTED_VALUE"""),"Eci (SU)")</f>
        <v>Eci (SU)</v>
      </c>
      <c r="I2311" s="13" t="str">
        <f>IFERROR(__xludf.DUMMYFUNCTION("""COMPUTED_VALUE"""),"SELESAI (VIA PERMOHONAN)")</f>
        <v>SELESAI (VIA PERMOHONAN)</v>
      </c>
      <c r="J2311" s="17">
        <f>IFERROR(__xludf.DUMMYFUNCTION("""COMPUTED_VALUE"""),45805.59789209491)</f>
        <v>45805.59789</v>
      </c>
      <c r="K2311" s="13" t="str">
        <f>IFERROR(__xludf.DUMMYFUNCTION("""COMPUTED_VALUE"""),"Selesai")</f>
        <v>Selesai</v>
      </c>
      <c r="L2311" s="17">
        <f>IFERROR(__xludf.DUMMYFUNCTION("""COMPUTED_VALUE"""),45805.59789209491)</f>
        <v>45805.59789</v>
      </c>
      <c r="M2311" s="13"/>
      <c r="N2311" s="13" t="str">
        <f>IFERROR(__xludf.DUMMYFUNCTION("""COMPUTED_VALUE"""),"")</f>
        <v/>
      </c>
      <c r="O2311" s="13" t="str">
        <f t="shared" si="1"/>
        <v/>
      </c>
    </row>
    <row r="2312" ht="22.5" customHeight="1">
      <c r="B2312" s="13">
        <f>IFERROR(__xludf.DUMMYFUNCTION("""COMPUTED_VALUE"""),2307.0)</f>
        <v>2307</v>
      </c>
      <c r="C2312" s="13" t="str">
        <f>IFERROR(__xludf.DUMMYFUNCTION("""COMPUTED_VALUE"""),"M. 1222/ Sukarame Baru")</f>
        <v>M. 1222/ Sukarame Baru</v>
      </c>
      <c r="D2312" s="13" t="str">
        <f>IFERROR(__xludf.DUMMYFUNCTION("""COMPUTED_VALUE"""),"K/33/160425/2")</f>
        <v>K/33/160425/2</v>
      </c>
      <c r="E2312" s="14"/>
      <c r="F2312" s="14"/>
      <c r="G2312" s="17" t="str">
        <f>IFERROR(__xludf.DUMMYFUNCTION("""COMPUTED_VALUE"""),"")</f>
        <v/>
      </c>
      <c r="H2312" s="14" t="str">
        <f>IFERROR(__xludf.DUMMYFUNCTION("""COMPUTED_VALUE"""),"Eci (SU)")</f>
        <v>Eci (SU)</v>
      </c>
      <c r="I2312" s="13" t="str">
        <f>IFERROR(__xludf.DUMMYFUNCTION("""COMPUTED_VALUE"""),"SELESAI (VIA PERMOHONAN)")</f>
        <v>SELESAI (VIA PERMOHONAN)</v>
      </c>
      <c r="J2312" s="17">
        <f>IFERROR(__xludf.DUMMYFUNCTION("""COMPUTED_VALUE"""),45805.59789209491)</f>
        <v>45805.59789</v>
      </c>
      <c r="K2312" s="13" t="str">
        <f>IFERROR(__xludf.DUMMYFUNCTION("""COMPUTED_VALUE"""),"BT atau SU Belum Valid")</f>
        <v>BT atau SU Belum Valid</v>
      </c>
      <c r="L2312" s="13" t="str">
        <f>IFERROR(__xludf.DUMMYFUNCTION("""COMPUTED_VALUE"""),"")</f>
        <v/>
      </c>
      <c r="M2312" s="13"/>
      <c r="N2312" s="13" t="str">
        <f>IFERROR(__xludf.DUMMYFUNCTION("""COMPUTED_VALUE"""),"")</f>
        <v/>
      </c>
      <c r="O2312" s="13" t="str">
        <f t="shared" si="1"/>
        <v/>
      </c>
    </row>
    <row r="2313" ht="22.5" customHeight="1">
      <c r="B2313" s="13">
        <f>IFERROR(__xludf.DUMMYFUNCTION("""COMPUTED_VALUE"""),2308.0)</f>
        <v>2308</v>
      </c>
      <c r="C2313" s="13" t="str">
        <f>IFERROR(__xludf.DUMMYFUNCTION("""COMPUTED_VALUE"""),"HM 2462/KEMILING PERMAI")</f>
        <v>HM 2462/KEMILING PERMAI</v>
      </c>
      <c r="D2313" s="13" t="str">
        <f>IFERROR(__xludf.DUMMYFUNCTION("""COMPUTED_VALUE"""),"L/12/200525/1")</f>
        <v>L/12/200525/1</v>
      </c>
      <c r="E2313" s="14" t="str">
        <f>IFERROR(__xludf.DUMMYFUNCTION("""COMPUTED_VALUE"""),"Heri (BT)")</f>
        <v>Heri (BT)</v>
      </c>
      <c r="F2313" s="14" t="str">
        <f>IFERROR(__xludf.DUMMYFUNCTION("""COMPUTED_VALUE"""),"SELESAI (VIA PERMOHONAN)")</f>
        <v>SELESAI (VIA PERMOHONAN)</v>
      </c>
      <c r="G2313" s="17">
        <f>IFERROR(__xludf.DUMMYFUNCTION("""COMPUTED_VALUE"""),45803.69750710648)</f>
        <v>45803.69751</v>
      </c>
      <c r="H2313" s="14" t="str">
        <f>IFERROR(__xludf.DUMMYFUNCTION("""COMPUTED_VALUE"""),"Eci (SU)")</f>
        <v>Eci (SU)</v>
      </c>
      <c r="I2313" s="13" t="str">
        <f>IFERROR(__xludf.DUMMYFUNCTION("""COMPUTED_VALUE"""),"SELESAI (VIA PERMOHONAN)")</f>
        <v>SELESAI (VIA PERMOHONAN)</v>
      </c>
      <c r="J2313" s="17">
        <f>IFERROR(__xludf.DUMMYFUNCTION("""COMPUTED_VALUE"""),45805.59789209491)</f>
        <v>45805.59789</v>
      </c>
      <c r="K2313" s="13" t="str">
        <f>IFERROR(__xludf.DUMMYFUNCTION("""COMPUTED_VALUE"""),"Selesai")</f>
        <v>Selesai</v>
      </c>
      <c r="L2313" s="17">
        <f>IFERROR(__xludf.DUMMYFUNCTION("""COMPUTED_VALUE"""),45805.59789209491)</f>
        <v>45805.59789</v>
      </c>
      <c r="M2313" s="13"/>
      <c r="N2313" s="13" t="str">
        <f>IFERROR(__xludf.DUMMYFUNCTION("""COMPUTED_VALUE"""),"")</f>
        <v/>
      </c>
      <c r="O2313" s="13" t="str">
        <f t="shared" si="1"/>
        <v/>
      </c>
    </row>
    <row r="2314" ht="22.5" customHeight="1">
      <c r="B2314" s="13">
        <f>IFERROR(__xludf.DUMMYFUNCTION("""COMPUTED_VALUE"""),2309.0)</f>
        <v>2309</v>
      </c>
      <c r="C2314" s="13" t="str">
        <f>IFERROR(__xludf.DUMMYFUNCTION("""COMPUTED_VALUE"""),"M.4716/RAJABASA JAYA")</f>
        <v>M.4716/RAJABASA JAYA</v>
      </c>
      <c r="D2314" s="13" t="str">
        <f>IFERROR(__xludf.DUMMYFUNCTION("""COMPUTED_VALUE"""),"K/37/080525/1")</f>
        <v>K/37/080525/1</v>
      </c>
      <c r="E2314" s="14" t="str">
        <f>IFERROR(__xludf.DUMMYFUNCTION("""COMPUTED_VALUE"""),"Heri (BT)")</f>
        <v>Heri (BT)</v>
      </c>
      <c r="F2314" s="14" t="str">
        <f>IFERROR(__xludf.DUMMYFUNCTION("""COMPUTED_VALUE"""),"SELESAI (VIA PERMOHONAN)")</f>
        <v>SELESAI (VIA PERMOHONAN)</v>
      </c>
      <c r="G2314" s="17">
        <f>IFERROR(__xludf.DUMMYFUNCTION("""COMPUTED_VALUE"""),45803.70957452546)</f>
        <v>45803.70957</v>
      </c>
      <c r="H2314" s="14" t="str">
        <f>IFERROR(__xludf.DUMMYFUNCTION("""COMPUTED_VALUE"""),"Eci (SU)")</f>
        <v>Eci (SU)</v>
      </c>
      <c r="I2314" s="13" t="str">
        <f>IFERROR(__xludf.DUMMYFUNCTION("""COMPUTED_VALUE"""),"SELESAI (VIA PERMOHONAN)")</f>
        <v>SELESAI (VIA PERMOHONAN)</v>
      </c>
      <c r="J2314" s="17">
        <f>IFERROR(__xludf.DUMMYFUNCTION("""COMPUTED_VALUE"""),45805.59789209491)</f>
        <v>45805.59789</v>
      </c>
      <c r="K2314" s="13" t="str">
        <f>IFERROR(__xludf.DUMMYFUNCTION("""COMPUTED_VALUE"""),"Selesai")</f>
        <v>Selesai</v>
      </c>
      <c r="L2314" s="17">
        <f>IFERROR(__xludf.DUMMYFUNCTION("""COMPUTED_VALUE"""),45805.59789209491)</f>
        <v>45805.59789</v>
      </c>
      <c r="M2314" s="13"/>
      <c r="N2314" s="13" t="str">
        <f>IFERROR(__xludf.DUMMYFUNCTION("""COMPUTED_VALUE"""),"")</f>
        <v/>
      </c>
      <c r="O2314" s="13" t="str">
        <f t="shared" si="1"/>
        <v/>
      </c>
    </row>
    <row r="2315" ht="22.5" customHeight="1">
      <c r="B2315" s="13">
        <f>IFERROR(__xludf.DUMMYFUNCTION("""COMPUTED_VALUE"""),2310.0)</f>
        <v>2310</v>
      </c>
      <c r="C2315" s="13" t="str">
        <f>IFERROR(__xludf.DUMMYFUNCTION("""COMPUTED_VALUE"""),"M.983/KURIPAN")</f>
        <v>M.983/KURIPAN</v>
      </c>
      <c r="D2315" s="13" t="str">
        <f>IFERROR(__xludf.DUMMYFUNCTION("""COMPUTED_VALUE"""),"K/3/050525/2")</f>
        <v>K/3/050525/2</v>
      </c>
      <c r="E2315" s="14" t="str">
        <f>IFERROR(__xludf.DUMMYFUNCTION("""COMPUTED_VALUE"""),"Heri (BT)")</f>
        <v>Heri (BT)</v>
      </c>
      <c r="F2315" s="14" t="str">
        <f>IFERROR(__xludf.DUMMYFUNCTION("""COMPUTED_VALUE"""),"SELESAI (VIA PERMOHONAN)")</f>
        <v>SELESAI (VIA PERMOHONAN)</v>
      </c>
      <c r="G2315" s="17">
        <f>IFERROR(__xludf.DUMMYFUNCTION("""COMPUTED_VALUE"""),45804.43660210648)</f>
        <v>45804.4366</v>
      </c>
      <c r="H2315" s="14" t="str">
        <f>IFERROR(__xludf.DUMMYFUNCTION("""COMPUTED_VALUE"""),"Eci (SU)")</f>
        <v>Eci (SU)</v>
      </c>
      <c r="I2315" s="13" t="str">
        <f>IFERROR(__xludf.DUMMYFUNCTION("""COMPUTED_VALUE"""),"SELESAI (VIA PERMOHONAN)")</f>
        <v>SELESAI (VIA PERMOHONAN)</v>
      </c>
      <c r="J2315" s="17">
        <f>IFERROR(__xludf.DUMMYFUNCTION("""COMPUTED_VALUE"""),45805.59789209491)</f>
        <v>45805.59789</v>
      </c>
      <c r="K2315" s="13" t="str">
        <f>IFERROR(__xludf.DUMMYFUNCTION("""COMPUTED_VALUE"""),"Selesai")</f>
        <v>Selesai</v>
      </c>
      <c r="L2315" s="17">
        <f>IFERROR(__xludf.DUMMYFUNCTION("""COMPUTED_VALUE"""),45805.59789209491)</f>
        <v>45805.59789</v>
      </c>
      <c r="M2315" s="13"/>
      <c r="N2315" s="13" t="str">
        <f>IFERROR(__xludf.DUMMYFUNCTION("""COMPUTED_VALUE"""),"")</f>
        <v/>
      </c>
      <c r="O2315" s="13" t="str">
        <f t="shared" si="1"/>
        <v/>
      </c>
    </row>
    <row r="2316" ht="22.5" customHeight="1">
      <c r="B2316" s="13">
        <f>IFERROR(__xludf.DUMMYFUNCTION("""COMPUTED_VALUE"""),2311.0)</f>
        <v>2311</v>
      </c>
      <c r="C2316" s="13" t="str">
        <f>IFERROR(__xludf.DUMMYFUNCTION("""COMPUTED_VALUE"""),"M.629/KUPANG KOTA")</f>
        <v>M.629/KUPANG KOTA</v>
      </c>
      <c r="D2316" s="13" t="str">
        <f>IFERROR(__xludf.DUMMYFUNCTION("""COMPUTED_VALUE"""),"K/9/080525/3")</f>
        <v>K/9/080525/3</v>
      </c>
      <c r="E2316" s="14" t="str">
        <f>IFERROR(__xludf.DUMMYFUNCTION("""COMPUTED_VALUE"""),"Heri (BT)")</f>
        <v>Heri (BT)</v>
      </c>
      <c r="F2316" s="14" t="str">
        <f>IFERROR(__xludf.DUMMYFUNCTION("""COMPUTED_VALUE"""),"SELESAI (VIA PERMOHONAN)")</f>
        <v>SELESAI (VIA PERMOHONAN)</v>
      </c>
      <c r="G2316" s="17">
        <f>IFERROR(__xludf.DUMMYFUNCTION("""COMPUTED_VALUE"""),45804.43675936342)</f>
        <v>45804.43676</v>
      </c>
      <c r="H2316" s="14" t="str">
        <f>IFERROR(__xludf.DUMMYFUNCTION("""COMPUTED_VALUE"""),"Eci (SU)")</f>
        <v>Eci (SU)</v>
      </c>
      <c r="I2316" s="13" t="str">
        <f>IFERROR(__xludf.DUMMYFUNCTION("""COMPUTED_VALUE"""),"SELESAI (VIA PERMOHONAN)")</f>
        <v>SELESAI (VIA PERMOHONAN)</v>
      </c>
      <c r="J2316" s="17">
        <f>IFERROR(__xludf.DUMMYFUNCTION("""COMPUTED_VALUE"""),45805.59789209491)</f>
        <v>45805.59789</v>
      </c>
      <c r="K2316" s="13" t="str">
        <f>IFERROR(__xludf.DUMMYFUNCTION("""COMPUTED_VALUE"""),"Selesai")</f>
        <v>Selesai</v>
      </c>
      <c r="L2316" s="17">
        <f>IFERROR(__xludf.DUMMYFUNCTION("""COMPUTED_VALUE"""),45805.59789209491)</f>
        <v>45805.59789</v>
      </c>
      <c r="M2316" s="13"/>
      <c r="N2316" s="13" t="str">
        <f>IFERROR(__xludf.DUMMYFUNCTION("""COMPUTED_VALUE"""),"")</f>
        <v/>
      </c>
      <c r="O2316" s="13" t="str">
        <f t="shared" si="1"/>
        <v/>
      </c>
    </row>
    <row r="2317" ht="22.5" customHeight="1">
      <c r="B2317" s="13">
        <f>IFERROR(__xludf.DUMMYFUNCTION("""COMPUTED_VALUE"""),2312.0)</f>
        <v>2312</v>
      </c>
      <c r="C2317" s="13" t="str">
        <f>IFERROR(__xludf.DUMMYFUNCTION("""COMPUTED_VALUE"""),"M.970/KUPANG KOTA")</f>
        <v>M.970/KUPANG KOTA</v>
      </c>
      <c r="D2317" s="13" t="str">
        <f>IFERROR(__xludf.DUMMYFUNCTION("""COMPUTED_VALUE"""),"K/25/280425/2")</f>
        <v>K/25/280425/2</v>
      </c>
      <c r="E2317" s="14" t="str">
        <f>IFERROR(__xludf.DUMMYFUNCTION("""COMPUTED_VALUE"""),"Heri (BT)")</f>
        <v>Heri (BT)</v>
      </c>
      <c r="F2317" s="14" t="str">
        <f>IFERROR(__xludf.DUMMYFUNCTION("""COMPUTED_VALUE"""),"SELESAI (VIA PERMOHONAN)")</f>
        <v>SELESAI (VIA PERMOHONAN)</v>
      </c>
      <c r="G2317" s="17">
        <f>IFERROR(__xludf.DUMMYFUNCTION("""COMPUTED_VALUE"""),45804.43694950231)</f>
        <v>45804.43695</v>
      </c>
      <c r="H2317" s="14" t="str">
        <f>IFERROR(__xludf.DUMMYFUNCTION("""COMPUTED_VALUE"""),"Eci (SU)")</f>
        <v>Eci (SU)</v>
      </c>
      <c r="I2317" s="13" t="str">
        <f>IFERROR(__xludf.DUMMYFUNCTION("""COMPUTED_VALUE"""),"SELESAI (VIA PERMOHONAN)")</f>
        <v>SELESAI (VIA PERMOHONAN)</v>
      </c>
      <c r="J2317" s="17">
        <f>IFERROR(__xludf.DUMMYFUNCTION("""COMPUTED_VALUE"""),45805.59789209491)</f>
        <v>45805.59789</v>
      </c>
      <c r="K2317" s="13" t="str">
        <f>IFERROR(__xludf.DUMMYFUNCTION("""COMPUTED_VALUE"""),"Selesai")</f>
        <v>Selesai</v>
      </c>
      <c r="L2317" s="17">
        <f>IFERROR(__xludf.DUMMYFUNCTION("""COMPUTED_VALUE"""),45805.59789209491)</f>
        <v>45805.59789</v>
      </c>
      <c r="M2317" s="13"/>
      <c r="N2317" s="13" t="str">
        <f>IFERROR(__xludf.DUMMYFUNCTION("""COMPUTED_VALUE"""),"")</f>
        <v/>
      </c>
      <c r="O2317" s="13" t="str">
        <f t="shared" si="1"/>
        <v/>
      </c>
    </row>
    <row r="2318" ht="22.5" customHeight="1">
      <c r="B2318" s="13">
        <f>IFERROR(__xludf.DUMMYFUNCTION("""COMPUTED_VALUE"""),2313.0)</f>
        <v>2313</v>
      </c>
      <c r="C2318" s="13" t="str">
        <f>IFERROR(__xludf.DUMMYFUNCTION("""COMPUTED_VALUE"""),"M.103/PINANG JAYA")</f>
        <v>M.103/PINANG JAYA</v>
      </c>
      <c r="D2318" s="13" t="str">
        <f>IFERROR(__xludf.DUMMYFUNCTION("""COMPUTED_VALUE"""),"K/22/140525/1")</f>
        <v>K/22/140525/1</v>
      </c>
      <c r="E2318" s="14" t="str">
        <f>IFERROR(__xludf.DUMMYFUNCTION("""COMPUTED_VALUE"""),"Heri (BT)")</f>
        <v>Heri (BT)</v>
      </c>
      <c r="F2318" s="14" t="str">
        <f>IFERROR(__xludf.DUMMYFUNCTION("""COMPUTED_VALUE"""),"SELESAI (VIA PERMOHONAN)")</f>
        <v>SELESAI (VIA PERMOHONAN)</v>
      </c>
      <c r="G2318" s="17">
        <f>IFERROR(__xludf.DUMMYFUNCTION("""COMPUTED_VALUE"""),45804.437189351855)</f>
        <v>45804.43719</v>
      </c>
      <c r="H2318" s="14" t="str">
        <f>IFERROR(__xludf.DUMMYFUNCTION("""COMPUTED_VALUE"""),"Eci (SU)")</f>
        <v>Eci (SU)</v>
      </c>
      <c r="I2318" s="13" t="str">
        <f>IFERROR(__xludf.DUMMYFUNCTION("""COMPUTED_VALUE"""),"SELESAI (VIA PERMOHONAN)")</f>
        <v>SELESAI (VIA PERMOHONAN)</v>
      </c>
      <c r="J2318" s="17">
        <f>IFERROR(__xludf.DUMMYFUNCTION("""COMPUTED_VALUE"""),45805.59789209491)</f>
        <v>45805.59789</v>
      </c>
      <c r="K2318" s="13" t="str">
        <f>IFERROR(__xludf.DUMMYFUNCTION("""COMPUTED_VALUE"""),"Selesai")</f>
        <v>Selesai</v>
      </c>
      <c r="L2318" s="17">
        <f>IFERROR(__xludf.DUMMYFUNCTION("""COMPUTED_VALUE"""),45805.59789209491)</f>
        <v>45805.59789</v>
      </c>
      <c r="M2318" s="13"/>
      <c r="N2318" s="13" t="str">
        <f>IFERROR(__xludf.DUMMYFUNCTION("""COMPUTED_VALUE"""),"")</f>
        <v/>
      </c>
      <c r="O2318" s="13" t="str">
        <f t="shared" si="1"/>
        <v/>
      </c>
    </row>
    <row r="2319" ht="22.5" customHeight="1">
      <c r="B2319" s="13">
        <f>IFERROR(__xludf.DUMMYFUNCTION("""COMPUTED_VALUE"""),2314.0)</f>
        <v>2314</v>
      </c>
      <c r="C2319" s="13" t="str">
        <f>IFERROR(__xludf.DUMMYFUNCTION("""COMPUTED_VALUE"""),"M.1021/GUNUNG AGUNG")</f>
        <v>M.1021/GUNUNG AGUNG</v>
      </c>
      <c r="D2319" s="13" t="str">
        <f>IFERROR(__xludf.DUMMYFUNCTION("""COMPUTED_VALUE"""),"K/7/150525/1")</f>
        <v>K/7/150525/1</v>
      </c>
      <c r="E2319" s="14" t="str">
        <f>IFERROR(__xludf.DUMMYFUNCTION("""COMPUTED_VALUE"""),"Heri (BT)")</f>
        <v>Heri (BT)</v>
      </c>
      <c r="F2319" s="14" t="str">
        <f>IFERROR(__xludf.DUMMYFUNCTION("""COMPUTED_VALUE"""),"SELESAI (VIA PERMOHONAN)")</f>
        <v>SELESAI (VIA PERMOHONAN)</v>
      </c>
      <c r="G2319" s="17">
        <f>IFERROR(__xludf.DUMMYFUNCTION("""COMPUTED_VALUE"""),45804.43735263889)</f>
        <v>45804.43735</v>
      </c>
      <c r="H2319" s="14" t="str">
        <f>IFERROR(__xludf.DUMMYFUNCTION("""COMPUTED_VALUE"""),"Eci (SU)")</f>
        <v>Eci (SU)</v>
      </c>
      <c r="I2319" s="13" t="str">
        <f>IFERROR(__xludf.DUMMYFUNCTION("""COMPUTED_VALUE"""),"SELESAI (VIA PERMOHONAN)")</f>
        <v>SELESAI (VIA PERMOHONAN)</v>
      </c>
      <c r="J2319" s="17">
        <f>IFERROR(__xludf.DUMMYFUNCTION("""COMPUTED_VALUE"""),45805.59789209491)</f>
        <v>45805.59789</v>
      </c>
      <c r="K2319" s="13" t="str">
        <f>IFERROR(__xludf.DUMMYFUNCTION("""COMPUTED_VALUE"""),"Selesai")</f>
        <v>Selesai</v>
      </c>
      <c r="L2319" s="17">
        <f>IFERROR(__xludf.DUMMYFUNCTION("""COMPUTED_VALUE"""),45805.59789209491)</f>
        <v>45805.59789</v>
      </c>
      <c r="M2319" s="13"/>
      <c r="N2319" s="13" t="str">
        <f>IFERROR(__xludf.DUMMYFUNCTION("""COMPUTED_VALUE"""),"")</f>
        <v/>
      </c>
      <c r="O2319" s="13" t="str">
        <f t="shared" si="1"/>
        <v/>
      </c>
    </row>
    <row r="2320" ht="22.5" customHeight="1">
      <c r="B2320" s="13">
        <f>IFERROR(__xludf.DUMMYFUNCTION("""COMPUTED_VALUE"""),2315.0)</f>
        <v>2315</v>
      </c>
      <c r="C2320" s="13" t="str">
        <f>IFERROR(__xludf.DUMMYFUNCTION("""COMPUTED_VALUE"""),"M.14374/RAJABASA")</f>
        <v>M.14374/RAJABASA</v>
      </c>
      <c r="D2320" s="13" t="str">
        <f>IFERROR(__xludf.DUMMYFUNCTION("""COMPUTED_VALUE"""),"K/38/150525/1")</f>
        <v>K/38/150525/1</v>
      </c>
      <c r="E2320" s="14" t="str">
        <f>IFERROR(__xludf.DUMMYFUNCTION("""COMPUTED_VALUE"""),"Heri (BT)")</f>
        <v>Heri (BT)</v>
      </c>
      <c r="F2320" s="14" t="str">
        <f>IFERROR(__xludf.DUMMYFUNCTION("""COMPUTED_VALUE"""),"SELESAI (VIA PERMOHONAN)")</f>
        <v>SELESAI (VIA PERMOHONAN)</v>
      </c>
      <c r="G2320" s="17">
        <f>IFERROR(__xludf.DUMMYFUNCTION("""COMPUTED_VALUE"""),45804.437619247685)</f>
        <v>45804.43762</v>
      </c>
      <c r="H2320" s="14" t="str">
        <f>IFERROR(__xludf.DUMMYFUNCTION("""COMPUTED_VALUE"""),"Eci (SU)")</f>
        <v>Eci (SU)</v>
      </c>
      <c r="I2320" s="13" t="str">
        <f>IFERROR(__xludf.DUMMYFUNCTION("""COMPUTED_VALUE"""),"SELESAI (VIA PERMOHONAN)")</f>
        <v>SELESAI (VIA PERMOHONAN)</v>
      </c>
      <c r="J2320" s="17">
        <f>IFERROR(__xludf.DUMMYFUNCTION("""COMPUTED_VALUE"""),45805.59789209491)</f>
        <v>45805.59789</v>
      </c>
      <c r="K2320" s="13" t="str">
        <f>IFERROR(__xludf.DUMMYFUNCTION("""COMPUTED_VALUE"""),"Selesai")</f>
        <v>Selesai</v>
      </c>
      <c r="L2320" s="17">
        <f>IFERROR(__xludf.DUMMYFUNCTION("""COMPUTED_VALUE"""),45805.59789209491)</f>
        <v>45805.59789</v>
      </c>
      <c r="M2320" s="13"/>
      <c r="N2320" s="13" t="str">
        <f>IFERROR(__xludf.DUMMYFUNCTION("""COMPUTED_VALUE"""),"")</f>
        <v/>
      </c>
      <c r="O2320" s="13" t="str">
        <f t="shared" si="1"/>
        <v/>
      </c>
    </row>
    <row r="2321" ht="22.5" customHeight="1">
      <c r="B2321" s="13">
        <f>IFERROR(__xludf.DUMMYFUNCTION("""COMPUTED_VALUE"""),2316.0)</f>
        <v>2316</v>
      </c>
      <c r="C2321" s="13" t="str">
        <f>IFERROR(__xludf.DUMMYFUNCTION("""COMPUTED_VALUE"""),"M.13407/SEGALA MIDER")</f>
        <v>M.13407/SEGALA MIDER</v>
      </c>
      <c r="D2321" s="13" t="str">
        <f>IFERROR(__xludf.DUMMYFUNCTION("""COMPUTED_VALUE"""),"K/27/160525/1")</f>
        <v>K/27/160525/1</v>
      </c>
      <c r="E2321" s="14" t="str">
        <f>IFERROR(__xludf.DUMMYFUNCTION("""COMPUTED_VALUE"""),"Heri (BT)")</f>
        <v>Heri (BT)</v>
      </c>
      <c r="F2321" s="14" t="str">
        <f>IFERROR(__xludf.DUMMYFUNCTION("""COMPUTED_VALUE"""),"SELESAI (VIA PERMOHONAN)")</f>
        <v>SELESAI (VIA PERMOHONAN)</v>
      </c>
      <c r="G2321" s="17">
        <f>IFERROR(__xludf.DUMMYFUNCTION("""COMPUTED_VALUE"""),45804.43780596065)</f>
        <v>45804.43781</v>
      </c>
      <c r="H2321" s="14" t="str">
        <f>IFERROR(__xludf.DUMMYFUNCTION("""COMPUTED_VALUE"""),"Eci (SU)")</f>
        <v>Eci (SU)</v>
      </c>
      <c r="I2321" s="13" t="str">
        <f>IFERROR(__xludf.DUMMYFUNCTION("""COMPUTED_VALUE"""),"SELESAI (VIA PERMOHONAN)")</f>
        <v>SELESAI (VIA PERMOHONAN)</v>
      </c>
      <c r="J2321" s="17">
        <f>IFERROR(__xludf.DUMMYFUNCTION("""COMPUTED_VALUE"""),45805.59789209491)</f>
        <v>45805.59789</v>
      </c>
      <c r="K2321" s="13" t="str">
        <f>IFERROR(__xludf.DUMMYFUNCTION("""COMPUTED_VALUE"""),"Selesai")</f>
        <v>Selesai</v>
      </c>
      <c r="L2321" s="17">
        <f>IFERROR(__xludf.DUMMYFUNCTION("""COMPUTED_VALUE"""),45805.59789209491)</f>
        <v>45805.59789</v>
      </c>
      <c r="M2321" s="13"/>
      <c r="N2321" s="13" t="str">
        <f>IFERROR(__xludf.DUMMYFUNCTION("""COMPUTED_VALUE"""),"")</f>
        <v/>
      </c>
      <c r="O2321" s="13" t="str">
        <f t="shared" si="1"/>
        <v/>
      </c>
    </row>
    <row r="2322" ht="22.5" customHeight="1">
      <c r="B2322" s="13">
        <f>IFERROR(__xludf.DUMMYFUNCTION("""COMPUTED_VALUE"""),2317.0)</f>
        <v>2317</v>
      </c>
      <c r="C2322" s="13" t="str">
        <f>IFERROR(__xludf.DUMMYFUNCTION("""COMPUTED_VALUE"""),"M.942/SUKABUMI INDAH")</f>
        <v>M.942/SUKABUMI INDAH</v>
      </c>
      <c r="D2322" s="13" t="str">
        <f>IFERROR(__xludf.DUMMYFUNCTION("""COMPUTED_VALUE"""),"K/29/150525/1")</f>
        <v>K/29/150525/1</v>
      </c>
      <c r="E2322" s="14" t="str">
        <f>IFERROR(__xludf.DUMMYFUNCTION("""COMPUTED_VALUE"""),"Heri (BT)")</f>
        <v>Heri (BT)</v>
      </c>
      <c r="F2322" s="14" t="str">
        <f>IFERROR(__xludf.DUMMYFUNCTION("""COMPUTED_VALUE"""),"SELESAI (VIA PERMOHONAN)")</f>
        <v>SELESAI (VIA PERMOHONAN)</v>
      </c>
      <c r="G2322" s="17">
        <f>IFERROR(__xludf.DUMMYFUNCTION("""COMPUTED_VALUE"""),45804.438050150464)</f>
        <v>45804.43805</v>
      </c>
      <c r="H2322" s="14" t="str">
        <f>IFERROR(__xludf.DUMMYFUNCTION("""COMPUTED_VALUE"""),"Eci (SU)")</f>
        <v>Eci (SU)</v>
      </c>
      <c r="I2322" s="13" t="str">
        <f>IFERROR(__xludf.DUMMYFUNCTION("""COMPUTED_VALUE"""),"SELESAI (VIA PERMOHONAN)")</f>
        <v>SELESAI (VIA PERMOHONAN)</v>
      </c>
      <c r="J2322" s="17">
        <f>IFERROR(__xludf.DUMMYFUNCTION("""COMPUTED_VALUE"""),45805.59789209491)</f>
        <v>45805.59789</v>
      </c>
      <c r="K2322" s="13" t="str">
        <f>IFERROR(__xludf.DUMMYFUNCTION("""COMPUTED_VALUE"""),"Selesai")</f>
        <v>Selesai</v>
      </c>
      <c r="L2322" s="17">
        <f>IFERROR(__xludf.DUMMYFUNCTION("""COMPUTED_VALUE"""),45805.59789209491)</f>
        <v>45805.59789</v>
      </c>
      <c r="M2322" s="13"/>
      <c r="N2322" s="13" t="str">
        <f>IFERROR(__xludf.DUMMYFUNCTION("""COMPUTED_VALUE"""),"")</f>
        <v/>
      </c>
      <c r="O2322" s="13" t="str">
        <f t="shared" si="1"/>
        <v/>
      </c>
    </row>
    <row r="2323" ht="22.5" customHeight="1">
      <c r="B2323" s="13">
        <f>IFERROR(__xludf.DUMMYFUNCTION("""COMPUTED_VALUE"""),2318.0)</f>
        <v>2318</v>
      </c>
      <c r="C2323" s="13" t="str">
        <f>IFERROR(__xludf.DUMMYFUNCTION("""COMPUTED_VALUE"""),"B.102/RAJABASA NUNYAI")</f>
        <v>B.102/RAJABASA NUNYAI</v>
      </c>
      <c r="D2323" s="13" t="str">
        <f>IFERROR(__xludf.DUMMYFUNCTION("""COMPUTED_VALUE"""),"K/6/200525/1")</f>
        <v>K/6/200525/1</v>
      </c>
      <c r="E2323" s="14" t="str">
        <f>IFERROR(__xludf.DUMMYFUNCTION("""COMPUTED_VALUE"""),"Heri (BT)")</f>
        <v>Heri (BT)</v>
      </c>
      <c r="F2323" s="14" t="str">
        <f>IFERROR(__xludf.DUMMYFUNCTION("""COMPUTED_VALUE"""),"SELESAI (VIA PERMOHONAN)")</f>
        <v>SELESAI (VIA PERMOHONAN)</v>
      </c>
      <c r="G2323" s="17">
        <f>IFERROR(__xludf.DUMMYFUNCTION("""COMPUTED_VALUE"""),45804.43824373843)</f>
        <v>45804.43824</v>
      </c>
      <c r="H2323" s="14" t="str">
        <f>IFERROR(__xludf.DUMMYFUNCTION("""COMPUTED_VALUE"""),"Eci (SU)")</f>
        <v>Eci (SU)</v>
      </c>
      <c r="I2323" s="13" t="str">
        <f>IFERROR(__xludf.DUMMYFUNCTION("""COMPUTED_VALUE"""),"SELESAI (VIA PERMOHONAN)")</f>
        <v>SELESAI (VIA PERMOHONAN)</v>
      </c>
      <c r="J2323" s="17">
        <f>IFERROR(__xludf.DUMMYFUNCTION("""COMPUTED_VALUE"""),45805.59789209491)</f>
        <v>45805.59789</v>
      </c>
      <c r="K2323" s="13" t="str">
        <f>IFERROR(__xludf.DUMMYFUNCTION("""COMPUTED_VALUE"""),"Selesai")</f>
        <v>Selesai</v>
      </c>
      <c r="L2323" s="17">
        <f>IFERROR(__xludf.DUMMYFUNCTION("""COMPUTED_VALUE"""),45805.59789209491)</f>
        <v>45805.59789</v>
      </c>
      <c r="M2323" s="13"/>
      <c r="N2323" s="13" t="str">
        <f>IFERROR(__xludf.DUMMYFUNCTION("""COMPUTED_VALUE"""),"")</f>
        <v/>
      </c>
      <c r="O2323" s="13" t="str">
        <f t="shared" si="1"/>
        <v/>
      </c>
    </row>
    <row r="2324" ht="22.5" customHeight="1">
      <c r="B2324" s="13">
        <f>IFERROR(__xludf.DUMMYFUNCTION("""COMPUTED_VALUE"""),2319.0)</f>
        <v>2319</v>
      </c>
      <c r="C2324" s="13" t="str">
        <f>IFERROR(__xludf.DUMMYFUNCTION("""COMPUTED_VALUE"""),"M.2369/SUMBER AGUNG")</f>
        <v>M.2369/SUMBER AGUNG</v>
      </c>
      <c r="D2324" s="13" t="str">
        <f>IFERROR(__xludf.DUMMYFUNCTION("""COMPUTED_VALUE"""),"K/30/280425/5")</f>
        <v>K/30/280425/5</v>
      </c>
      <c r="E2324" s="14" t="str">
        <f>IFERROR(__xludf.DUMMYFUNCTION("""COMPUTED_VALUE"""),"Heri (BT)")</f>
        <v>Heri (BT)</v>
      </c>
      <c r="F2324" s="14" t="str">
        <f>IFERROR(__xludf.DUMMYFUNCTION("""COMPUTED_VALUE"""),"SELESAI (VIA PERMOHONAN)")</f>
        <v>SELESAI (VIA PERMOHONAN)</v>
      </c>
      <c r="G2324" s="17">
        <f>IFERROR(__xludf.DUMMYFUNCTION("""COMPUTED_VALUE"""),45804.438383773144)</f>
        <v>45804.43838</v>
      </c>
      <c r="H2324" s="14" t="str">
        <f>IFERROR(__xludf.DUMMYFUNCTION("""COMPUTED_VALUE"""),"Eci (SU)")</f>
        <v>Eci (SU)</v>
      </c>
      <c r="I2324" s="13" t="str">
        <f>IFERROR(__xludf.DUMMYFUNCTION("""COMPUTED_VALUE"""),"SELESAI (VIA PERMOHONAN)")</f>
        <v>SELESAI (VIA PERMOHONAN)</v>
      </c>
      <c r="J2324" s="17">
        <f>IFERROR(__xludf.DUMMYFUNCTION("""COMPUTED_VALUE"""),45805.59789209491)</f>
        <v>45805.59789</v>
      </c>
      <c r="K2324" s="13" t="str">
        <f>IFERROR(__xludf.DUMMYFUNCTION("""COMPUTED_VALUE"""),"Selesai")</f>
        <v>Selesai</v>
      </c>
      <c r="L2324" s="17">
        <f>IFERROR(__xludf.DUMMYFUNCTION("""COMPUTED_VALUE"""),45805.59789209491)</f>
        <v>45805.59789</v>
      </c>
      <c r="M2324" s="13"/>
      <c r="N2324" s="13" t="str">
        <f>IFERROR(__xludf.DUMMYFUNCTION("""COMPUTED_VALUE"""),"")</f>
        <v/>
      </c>
      <c r="O2324" s="13" t="str">
        <f t="shared" si="1"/>
        <v/>
      </c>
    </row>
    <row r="2325" ht="22.5" customHeight="1">
      <c r="B2325" s="13">
        <f>IFERROR(__xludf.DUMMYFUNCTION("""COMPUTED_VALUE"""),2320.0)</f>
        <v>2320</v>
      </c>
      <c r="C2325" s="13" t="str">
        <f>IFERROR(__xludf.DUMMYFUNCTION("""COMPUTED_VALUE"""),"M.51/CAMPANG JAYA")</f>
        <v>M.51/CAMPANG JAYA</v>
      </c>
      <c r="D2325" s="13" t="str">
        <f>IFERROR(__xludf.DUMMYFUNCTION("""COMPUTED_VALUE"""),"K/16/250425/2")</f>
        <v>K/16/250425/2</v>
      </c>
      <c r="E2325" s="14" t="str">
        <f>IFERROR(__xludf.DUMMYFUNCTION("""COMPUTED_VALUE"""),"Heri (BT)")</f>
        <v>Heri (BT)</v>
      </c>
      <c r="F2325" s="14" t="str">
        <f>IFERROR(__xludf.DUMMYFUNCTION("""COMPUTED_VALUE"""),"SELESAI (VIA PERMOHONAN)")</f>
        <v>SELESAI (VIA PERMOHONAN)</v>
      </c>
      <c r="G2325" s="17">
        <f>IFERROR(__xludf.DUMMYFUNCTION("""COMPUTED_VALUE"""),45804.43909788194)</f>
        <v>45804.4391</v>
      </c>
      <c r="H2325" s="14" t="str">
        <f>IFERROR(__xludf.DUMMYFUNCTION("""COMPUTED_VALUE"""),"Eci (SU)")</f>
        <v>Eci (SU)</v>
      </c>
      <c r="I2325" s="13" t="str">
        <f>IFERROR(__xludf.DUMMYFUNCTION("""COMPUTED_VALUE"""),"SELESAI (VIA PERMOHONAN)")</f>
        <v>SELESAI (VIA PERMOHONAN)</v>
      </c>
      <c r="J2325" s="17">
        <f>IFERROR(__xludf.DUMMYFUNCTION("""COMPUTED_VALUE"""),45805.59789209491)</f>
        <v>45805.59789</v>
      </c>
      <c r="K2325" s="13" t="str">
        <f>IFERROR(__xludf.DUMMYFUNCTION("""COMPUTED_VALUE"""),"Selesai")</f>
        <v>Selesai</v>
      </c>
      <c r="L2325" s="17">
        <f>IFERROR(__xludf.DUMMYFUNCTION("""COMPUTED_VALUE"""),45805.59789209491)</f>
        <v>45805.59789</v>
      </c>
      <c r="M2325" s="13"/>
      <c r="N2325" s="13" t="str">
        <f>IFERROR(__xludf.DUMMYFUNCTION("""COMPUTED_VALUE"""),"")</f>
        <v/>
      </c>
      <c r="O2325" s="13" t="str">
        <f t="shared" si="1"/>
        <v/>
      </c>
    </row>
    <row r="2326" ht="22.5" customHeight="1">
      <c r="B2326" s="13">
        <f>IFERROR(__xludf.DUMMYFUNCTION("""COMPUTED_VALUE"""),2321.0)</f>
        <v>2321</v>
      </c>
      <c r="C2326" s="13" t="str">
        <f>IFERROR(__xludf.DUMMYFUNCTION("""COMPUTED_VALUE"""),"M.2197/KUPANG TEBA")</f>
        <v>M.2197/KUPANG TEBA</v>
      </c>
      <c r="D2326" s="13" t="str">
        <f>IFERROR(__xludf.DUMMYFUNCTION("""COMPUTED_VALUE"""),"K/2/090525/1")</f>
        <v>K/2/090525/1</v>
      </c>
      <c r="E2326" s="14" t="str">
        <f>IFERROR(__xludf.DUMMYFUNCTION("""COMPUTED_VALUE"""),"Heri (BT)")</f>
        <v>Heri (BT)</v>
      </c>
      <c r="F2326" s="14" t="str">
        <f>IFERROR(__xludf.DUMMYFUNCTION("""COMPUTED_VALUE"""),"SELESAI (VIA PERMOHONAN)")</f>
        <v>SELESAI (VIA PERMOHONAN)</v>
      </c>
      <c r="G2326" s="17">
        <f>IFERROR(__xludf.DUMMYFUNCTION("""COMPUTED_VALUE"""),45804.43943748843)</f>
        <v>45804.43944</v>
      </c>
      <c r="H2326" s="14" t="str">
        <f>IFERROR(__xludf.DUMMYFUNCTION("""COMPUTED_VALUE"""),"Eci (SU)")</f>
        <v>Eci (SU)</v>
      </c>
      <c r="I2326" s="13" t="str">
        <f>IFERROR(__xludf.DUMMYFUNCTION("""COMPUTED_VALUE"""),"SELESAI (VIA PERMOHONAN)")</f>
        <v>SELESAI (VIA PERMOHONAN)</v>
      </c>
      <c r="J2326" s="17">
        <f>IFERROR(__xludf.DUMMYFUNCTION("""COMPUTED_VALUE"""),45805.59789209491)</f>
        <v>45805.59789</v>
      </c>
      <c r="K2326" s="13" t="str">
        <f>IFERROR(__xludf.DUMMYFUNCTION("""COMPUTED_VALUE"""),"Selesai")</f>
        <v>Selesai</v>
      </c>
      <c r="L2326" s="17">
        <f>IFERROR(__xludf.DUMMYFUNCTION("""COMPUTED_VALUE"""),45805.59789209491)</f>
        <v>45805.59789</v>
      </c>
      <c r="M2326" s="13"/>
      <c r="N2326" s="13" t="str">
        <f>IFERROR(__xludf.DUMMYFUNCTION("""COMPUTED_VALUE"""),"")</f>
        <v/>
      </c>
      <c r="O2326" s="13" t="str">
        <f t="shared" si="1"/>
        <v/>
      </c>
    </row>
    <row r="2327" ht="22.5" customHeight="1">
      <c r="B2327" s="13">
        <f>IFERROR(__xludf.DUMMYFUNCTION("""COMPUTED_VALUE"""),2322.0)</f>
        <v>2322</v>
      </c>
      <c r="C2327" s="13" t="str">
        <f>IFERROR(__xludf.DUMMYFUNCTION("""COMPUTED_VALUE"""),"B.2276/SUKABUMI")</f>
        <v>B.2276/SUKABUMI</v>
      </c>
      <c r="D2327" s="13" t="str">
        <f>IFERROR(__xludf.DUMMYFUNCTION("""COMPUTED_VALUE"""),"K/27/210425/1")</f>
        <v>K/27/210425/1</v>
      </c>
      <c r="E2327" s="14" t="str">
        <f>IFERROR(__xludf.DUMMYFUNCTION("""COMPUTED_VALUE"""),"Heri (BT)")</f>
        <v>Heri (BT)</v>
      </c>
      <c r="F2327" s="14" t="str">
        <f>IFERROR(__xludf.DUMMYFUNCTION("""COMPUTED_VALUE"""),"SELESAI (VIA PERMOHONAN)")</f>
        <v>SELESAI (VIA PERMOHONAN)</v>
      </c>
      <c r="G2327" s="17">
        <f>IFERROR(__xludf.DUMMYFUNCTION("""COMPUTED_VALUE"""),45804.43961137731)</f>
        <v>45804.43961</v>
      </c>
      <c r="H2327" s="14" t="str">
        <f>IFERROR(__xludf.DUMMYFUNCTION("""COMPUTED_VALUE"""),"Eci (SU)")</f>
        <v>Eci (SU)</v>
      </c>
      <c r="I2327" s="13" t="str">
        <f>IFERROR(__xludf.DUMMYFUNCTION("""COMPUTED_VALUE"""),"SELESAI (VIA PERMOHONAN)")</f>
        <v>SELESAI (VIA PERMOHONAN)</v>
      </c>
      <c r="J2327" s="17">
        <f>IFERROR(__xludf.DUMMYFUNCTION("""COMPUTED_VALUE"""),45805.59789209491)</f>
        <v>45805.59789</v>
      </c>
      <c r="K2327" s="13" t="str">
        <f>IFERROR(__xludf.DUMMYFUNCTION("""COMPUTED_VALUE"""),"Selesai")</f>
        <v>Selesai</v>
      </c>
      <c r="L2327" s="17">
        <f>IFERROR(__xludf.DUMMYFUNCTION("""COMPUTED_VALUE"""),45805.59789209491)</f>
        <v>45805.59789</v>
      </c>
      <c r="M2327" s="13"/>
      <c r="N2327" s="13" t="str">
        <f>IFERROR(__xludf.DUMMYFUNCTION("""COMPUTED_VALUE"""),"")</f>
        <v/>
      </c>
      <c r="O2327" s="13" t="str">
        <f t="shared" si="1"/>
        <v/>
      </c>
    </row>
    <row r="2328" ht="22.5" customHeight="1">
      <c r="B2328" s="13">
        <f>IFERROR(__xludf.DUMMYFUNCTION("""COMPUTED_VALUE"""),2323.0)</f>
        <v>2323</v>
      </c>
      <c r="C2328" s="13" t="str">
        <f>IFERROR(__xludf.DUMMYFUNCTION("""COMPUTED_VALUE"""),"M.6543/WAY KANDIS ")</f>
        <v>M.6543/WAY KANDIS </v>
      </c>
      <c r="D2328" s="13" t="str">
        <f>IFERROR(__xludf.DUMMYFUNCTION("""COMPUTED_VALUE"""),"K/9/160425/1")</f>
        <v>K/9/160425/1</v>
      </c>
      <c r="E2328" s="14" t="str">
        <f>IFERROR(__xludf.DUMMYFUNCTION("""COMPUTED_VALUE"""),"Heri (BT)")</f>
        <v>Heri (BT)</v>
      </c>
      <c r="F2328" s="14" t="str">
        <f>IFERROR(__xludf.DUMMYFUNCTION("""COMPUTED_VALUE"""),"SELESAI (VIA PERMOHONAN)")</f>
        <v>SELESAI (VIA PERMOHONAN)</v>
      </c>
      <c r="G2328" s="17">
        <f>IFERROR(__xludf.DUMMYFUNCTION("""COMPUTED_VALUE"""),45804.43984623843)</f>
        <v>45804.43985</v>
      </c>
      <c r="H2328" s="14" t="str">
        <f>IFERROR(__xludf.DUMMYFUNCTION("""COMPUTED_VALUE"""),"Eci (SU)")</f>
        <v>Eci (SU)</v>
      </c>
      <c r="I2328" s="13" t="str">
        <f>IFERROR(__xludf.DUMMYFUNCTION("""COMPUTED_VALUE"""),"SELESAI (VIA PERMOHONAN)")</f>
        <v>SELESAI (VIA PERMOHONAN)</v>
      </c>
      <c r="J2328" s="17">
        <f>IFERROR(__xludf.DUMMYFUNCTION("""COMPUTED_VALUE"""),45805.59789209491)</f>
        <v>45805.59789</v>
      </c>
      <c r="K2328" s="13" t="str">
        <f>IFERROR(__xludf.DUMMYFUNCTION("""COMPUTED_VALUE"""),"Selesai")</f>
        <v>Selesai</v>
      </c>
      <c r="L2328" s="17">
        <f>IFERROR(__xludf.DUMMYFUNCTION("""COMPUTED_VALUE"""),45805.59789209491)</f>
        <v>45805.59789</v>
      </c>
      <c r="M2328" s="13"/>
      <c r="N2328" s="13" t="str">
        <f>IFERROR(__xludf.DUMMYFUNCTION("""COMPUTED_VALUE"""),"")</f>
        <v/>
      </c>
      <c r="O2328" s="13" t="str">
        <f t="shared" si="1"/>
        <v/>
      </c>
    </row>
    <row r="2329" ht="22.5" customHeight="1">
      <c r="B2329" s="13">
        <f>IFERROR(__xludf.DUMMYFUNCTION("""COMPUTED_VALUE"""),2324.0)</f>
        <v>2324</v>
      </c>
      <c r="C2329" s="13" t="str">
        <f>IFERROR(__xludf.DUMMYFUNCTION("""COMPUTED_VALUE"""),"M. 1451/ Pesawahan")</f>
        <v>M. 1451/ Pesawahan</v>
      </c>
      <c r="D2329" s="13" t="str">
        <f>IFERROR(__xludf.DUMMYFUNCTION("""COMPUTED_VALUE"""),"K/16/220525/1")</f>
        <v>K/16/220525/1</v>
      </c>
      <c r="E2329" s="14" t="str">
        <f>IFERROR(__xludf.DUMMYFUNCTION("""COMPUTED_VALUE"""),"Afriza (BT)")</f>
        <v>Afriza (BT)</v>
      </c>
      <c r="F2329" s="14" t="str">
        <f>IFERROR(__xludf.DUMMYFUNCTION("""COMPUTED_VALUE"""),"SELESAI (VIA PERMOHONAN)")</f>
        <v>SELESAI (VIA PERMOHONAN)</v>
      </c>
      <c r="G2329" s="17">
        <f>IFERROR(__xludf.DUMMYFUNCTION("""COMPUTED_VALUE"""),45804.484650115744)</f>
        <v>45804.48465</v>
      </c>
      <c r="H2329" s="14" t="str">
        <f>IFERROR(__xludf.DUMMYFUNCTION("""COMPUTED_VALUE"""),"Eci (SU)")</f>
        <v>Eci (SU)</v>
      </c>
      <c r="I2329" s="13" t="str">
        <f>IFERROR(__xludf.DUMMYFUNCTION("""COMPUTED_VALUE"""),"SELESAI (VIA PERMOHONAN)")</f>
        <v>SELESAI (VIA PERMOHONAN)</v>
      </c>
      <c r="J2329" s="17">
        <f>IFERROR(__xludf.DUMMYFUNCTION("""COMPUTED_VALUE"""),45805.59789209491)</f>
        <v>45805.59789</v>
      </c>
      <c r="K2329" s="13" t="str">
        <f>IFERROR(__xludf.DUMMYFUNCTION("""COMPUTED_VALUE"""),"Selesai")</f>
        <v>Selesai</v>
      </c>
      <c r="L2329" s="17">
        <f>IFERROR(__xludf.DUMMYFUNCTION("""COMPUTED_VALUE"""),45805.59789209491)</f>
        <v>45805.59789</v>
      </c>
      <c r="M2329" s="13"/>
      <c r="N2329" s="13" t="str">
        <f>IFERROR(__xludf.DUMMYFUNCTION("""COMPUTED_VALUE"""),"")</f>
        <v/>
      </c>
      <c r="O2329" s="13" t="str">
        <f t="shared" si="1"/>
        <v/>
      </c>
    </row>
    <row r="2330" ht="22.5" customHeight="1">
      <c r="B2330" s="13">
        <f>IFERROR(__xludf.DUMMYFUNCTION("""COMPUTED_VALUE"""),2325.0)</f>
        <v>2325</v>
      </c>
      <c r="C2330" s="13" t="str">
        <f>IFERROR(__xludf.DUMMYFUNCTION("""COMPUTED_VALUE"""),"M. 1675/KEMILING RAYA")</f>
        <v>M. 1675/KEMILING RAYA</v>
      </c>
      <c r="D2330" s="13" t="str">
        <f>IFERROR(__xludf.DUMMYFUNCTION("""COMPUTED_VALUE"""),"K/25/050525/1")</f>
        <v>K/25/050525/1</v>
      </c>
      <c r="E2330" s="14" t="str">
        <f>IFERROR(__xludf.DUMMYFUNCTION("""COMPUTED_VALUE"""),"Afriza (BT)")</f>
        <v>Afriza (BT)</v>
      </c>
      <c r="F2330" s="14" t="str">
        <f>IFERROR(__xludf.DUMMYFUNCTION("""COMPUTED_VALUE"""),"SELESAI (VIA PERMOHONAN)")</f>
        <v>SELESAI (VIA PERMOHONAN)</v>
      </c>
      <c r="G2330" s="17">
        <f>IFERROR(__xludf.DUMMYFUNCTION("""COMPUTED_VALUE"""),45804.484768877315)</f>
        <v>45804.48477</v>
      </c>
      <c r="H2330" s="14" t="str">
        <f>IFERROR(__xludf.DUMMYFUNCTION("""COMPUTED_VALUE"""),"Eci (SU)")</f>
        <v>Eci (SU)</v>
      </c>
      <c r="I2330" s="13" t="str">
        <f>IFERROR(__xludf.DUMMYFUNCTION("""COMPUTED_VALUE"""),"SELESAI (VIA PERMOHONAN)")</f>
        <v>SELESAI (VIA PERMOHONAN)</v>
      </c>
      <c r="J2330" s="17">
        <f>IFERROR(__xludf.DUMMYFUNCTION("""COMPUTED_VALUE"""),45805.59789209491)</f>
        <v>45805.59789</v>
      </c>
      <c r="K2330" s="13" t="str">
        <f>IFERROR(__xludf.DUMMYFUNCTION("""COMPUTED_VALUE"""),"Selesai")</f>
        <v>Selesai</v>
      </c>
      <c r="L2330" s="17">
        <f>IFERROR(__xludf.DUMMYFUNCTION("""COMPUTED_VALUE"""),45805.59789209491)</f>
        <v>45805.59789</v>
      </c>
      <c r="M2330" s="13"/>
      <c r="N2330" s="13" t="str">
        <f>IFERROR(__xludf.DUMMYFUNCTION("""COMPUTED_VALUE"""),"")</f>
        <v/>
      </c>
      <c r="O2330" s="13" t="str">
        <f t="shared" si="1"/>
        <v/>
      </c>
    </row>
    <row r="2331" ht="22.5" customHeight="1">
      <c r="B2331" s="13">
        <f>IFERROR(__xludf.DUMMYFUNCTION("""COMPUTED_VALUE"""),2326.0)</f>
        <v>2326</v>
      </c>
      <c r="C2331" s="13" t="str">
        <f>IFERROR(__xludf.DUMMYFUNCTION("""COMPUTED_VALUE"""),"M. 10592/GEDONG MENENG")</f>
        <v>M. 10592/GEDONG MENENG</v>
      </c>
      <c r="D2331" s="13" t="str">
        <f>IFERROR(__xludf.DUMMYFUNCTION("""COMPUTED_VALUE"""),"K/27/090525/3")</f>
        <v>K/27/090525/3</v>
      </c>
      <c r="E2331" s="14" t="str">
        <f>IFERROR(__xludf.DUMMYFUNCTION("""COMPUTED_VALUE"""),"Afriza (BT)")</f>
        <v>Afriza (BT)</v>
      </c>
      <c r="F2331" s="14" t="str">
        <f>IFERROR(__xludf.DUMMYFUNCTION("""COMPUTED_VALUE"""),"SELESAI (VIA PERMOHONAN)")</f>
        <v>SELESAI (VIA PERMOHONAN)</v>
      </c>
      <c r="G2331" s="17">
        <f>IFERROR(__xludf.DUMMYFUNCTION("""COMPUTED_VALUE"""),45804.484918912036)</f>
        <v>45804.48492</v>
      </c>
      <c r="H2331" s="14" t="str">
        <f>IFERROR(__xludf.DUMMYFUNCTION("""COMPUTED_VALUE"""),"Eci (SU)")</f>
        <v>Eci (SU)</v>
      </c>
      <c r="I2331" s="13" t="str">
        <f>IFERROR(__xludf.DUMMYFUNCTION("""COMPUTED_VALUE"""),"SELESAI (VIA PERMOHONAN)")</f>
        <v>SELESAI (VIA PERMOHONAN)</v>
      </c>
      <c r="J2331" s="17">
        <f>IFERROR(__xludf.DUMMYFUNCTION("""COMPUTED_VALUE"""),45805.59789209491)</f>
        <v>45805.59789</v>
      </c>
      <c r="K2331" s="13" t="str">
        <f>IFERROR(__xludf.DUMMYFUNCTION("""COMPUTED_VALUE"""),"Selesai")</f>
        <v>Selesai</v>
      </c>
      <c r="L2331" s="17">
        <f>IFERROR(__xludf.DUMMYFUNCTION("""COMPUTED_VALUE"""),45805.59789209491)</f>
        <v>45805.59789</v>
      </c>
      <c r="M2331" s="13"/>
      <c r="N2331" s="13" t="str">
        <f>IFERROR(__xludf.DUMMYFUNCTION("""COMPUTED_VALUE"""),"")</f>
        <v/>
      </c>
      <c r="O2331" s="13" t="str">
        <f t="shared" si="1"/>
        <v/>
      </c>
    </row>
    <row r="2332" ht="22.5" customHeight="1">
      <c r="B2332" s="13">
        <f>IFERROR(__xludf.DUMMYFUNCTION("""COMPUTED_VALUE"""),2327.0)</f>
        <v>2327</v>
      </c>
      <c r="C2332" s="13" t="str">
        <f>IFERROR(__xludf.DUMMYFUNCTION("""COMPUTED_VALUE"""),"M. 590/ Sukaraja")</f>
        <v>M. 590/ Sukaraja</v>
      </c>
      <c r="D2332" s="13" t="str">
        <f>IFERROR(__xludf.DUMMYFUNCTION("""COMPUTED_VALUE"""),"K/3/110225/2")</f>
        <v>K/3/110225/2</v>
      </c>
      <c r="E2332" s="14" t="str">
        <f>IFERROR(__xludf.DUMMYFUNCTION("""COMPUTED_VALUE"""),"Afriza (BT)")</f>
        <v>Afriza (BT)</v>
      </c>
      <c r="F2332" s="14" t="str">
        <f>IFERROR(__xludf.DUMMYFUNCTION("""COMPUTED_VALUE"""),"SELESAI (VIA PERMOHONAN)")</f>
        <v>SELESAI (VIA PERMOHONAN)</v>
      </c>
      <c r="G2332" s="17">
        <f>IFERROR(__xludf.DUMMYFUNCTION("""COMPUTED_VALUE"""),45804.484943460644)</f>
        <v>45804.48494</v>
      </c>
      <c r="H2332" s="14" t="str">
        <f>IFERROR(__xludf.DUMMYFUNCTION("""COMPUTED_VALUE"""),"Eci (SU)")</f>
        <v>Eci (SU)</v>
      </c>
      <c r="I2332" s="13" t="str">
        <f>IFERROR(__xludf.DUMMYFUNCTION("""COMPUTED_VALUE"""),"SELESAI (VIA PERMOHONAN)")</f>
        <v>SELESAI (VIA PERMOHONAN)</v>
      </c>
      <c r="J2332" s="17">
        <f>IFERROR(__xludf.DUMMYFUNCTION("""COMPUTED_VALUE"""),45805.59789209491)</f>
        <v>45805.59789</v>
      </c>
      <c r="K2332" s="13" t="str">
        <f>IFERROR(__xludf.DUMMYFUNCTION("""COMPUTED_VALUE"""),"Selesai")</f>
        <v>Selesai</v>
      </c>
      <c r="L2332" s="17">
        <f>IFERROR(__xludf.DUMMYFUNCTION("""COMPUTED_VALUE"""),45805.59789209491)</f>
        <v>45805.59789</v>
      </c>
      <c r="M2332" s="13"/>
      <c r="N2332" s="13" t="str">
        <f>IFERROR(__xludf.DUMMYFUNCTION("""COMPUTED_VALUE"""),"")</f>
        <v/>
      </c>
      <c r="O2332" s="13" t="str">
        <f t="shared" si="1"/>
        <v/>
      </c>
    </row>
    <row r="2333" ht="22.5" customHeight="1">
      <c r="B2333" s="13">
        <f>IFERROR(__xludf.DUMMYFUNCTION("""COMPUTED_VALUE"""),2328.0)</f>
        <v>2328</v>
      </c>
      <c r="C2333" s="13" t="str">
        <f>IFERROR(__xludf.DUMMYFUNCTION("""COMPUTED_VALUE"""),"B. 1530/ Tanjung Seneng")</f>
        <v>B. 1530/ Tanjung Seneng</v>
      </c>
      <c r="D2333" s="13" t="str">
        <f>IFERROR(__xludf.DUMMYFUNCTION("""COMPUTED_VALUE"""),"K/44/080525/1")</f>
        <v>K/44/080525/1</v>
      </c>
      <c r="E2333" s="14" t="str">
        <f>IFERROR(__xludf.DUMMYFUNCTION("""COMPUTED_VALUE"""),"Afriza (BT)")</f>
        <v>Afriza (BT)</v>
      </c>
      <c r="F2333" s="14" t="str">
        <f>IFERROR(__xludf.DUMMYFUNCTION("""COMPUTED_VALUE"""),"SELESAI (VIA PERMOHONAN)")</f>
        <v>SELESAI (VIA PERMOHONAN)</v>
      </c>
      <c r="G2333" s="17">
        <f>IFERROR(__xludf.DUMMYFUNCTION("""COMPUTED_VALUE"""),45804.48505296296)</f>
        <v>45804.48505</v>
      </c>
      <c r="H2333" s="14" t="str">
        <f>IFERROR(__xludf.DUMMYFUNCTION("""COMPUTED_VALUE"""),"Eci (SU)")</f>
        <v>Eci (SU)</v>
      </c>
      <c r="I2333" s="13" t="str">
        <f>IFERROR(__xludf.DUMMYFUNCTION("""COMPUTED_VALUE"""),"SELESAI (VIA PERMOHONAN)")</f>
        <v>SELESAI (VIA PERMOHONAN)</v>
      </c>
      <c r="J2333" s="17">
        <f>IFERROR(__xludf.DUMMYFUNCTION("""COMPUTED_VALUE"""),45805.59789209491)</f>
        <v>45805.59789</v>
      </c>
      <c r="K2333" s="13" t="str">
        <f>IFERROR(__xludf.DUMMYFUNCTION("""COMPUTED_VALUE"""),"Selesai")</f>
        <v>Selesai</v>
      </c>
      <c r="L2333" s="17">
        <f>IFERROR(__xludf.DUMMYFUNCTION("""COMPUTED_VALUE"""),45805.59789209491)</f>
        <v>45805.59789</v>
      </c>
      <c r="M2333" s="13"/>
      <c r="N2333" s="13" t="str">
        <f>IFERROR(__xludf.DUMMYFUNCTION("""COMPUTED_VALUE"""),"")</f>
        <v/>
      </c>
      <c r="O2333" s="13" t="str">
        <f t="shared" si="1"/>
        <v/>
      </c>
    </row>
    <row r="2334" ht="22.5" customHeight="1">
      <c r="B2334" s="13">
        <f>IFERROR(__xludf.DUMMYFUNCTION("""COMPUTED_VALUE"""),2329.0)</f>
        <v>2329</v>
      </c>
      <c r="C2334" s="13" t="str">
        <f>IFERROR(__xludf.DUMMYFUNCTION("""COMPUTED_VALUE"""),"M. 2164/ Kota Baru")</f>
        <v>M. 2164/ Kota Baru</v>
      </c>
      <c r="D2334" s="13" t="str">
        <f>IFERROR(__xludf.DUMMYFUNCTION("""COMPUTED_VALUE"""),"K/24/150525/2")</f>
        <v>K/24/150525/2</v>
      </c>
      <c r="E2334" s="14" t="str">
        <f>IFERROR(__xludf.DUMMYFUNCTION("""COMPUTED_VALUE"""),"Afriza (BT)")</f>
        <v>Afriza (BT)</v>
      </c>
      <c r="F2334" s="14" t="str">
        <f>IFERROR(__xludf.DUMMYFUNCTION("""COMPUTED_VALUE"""),"SELESAI (VIA PERMOHONAN)")</f>
        <v>SELESAI (VIA PERMOHONAN)</v>
      </c>
      <c r="G2334" s="17">
        <f>IFERROR(__xludf.DUMMYFUNCTION("""COMPUTED_VALUE"""),45804.485167175924)</f>
        <v>45804.48517</v>
      </c>
      <c r="H2334" s="14" t="str">
        <f>IFERROR(__xludf.DUMMYFUNCTION("""COMPUTED_VALUE"""),"Eci (SU)")</f>
        <v>Eci (SU)</v>
      </c>
      <c r="I2334" s="13" t="str">
        <f>IFERROR(__xludf.DUMMYFUNCTION("""COMPUTED_VALUE"""),"SELESAI (VIA PERMOHONAN)")</f>
        <v>SELESAI (VIA PERMOHONAN)</v>
      </c>
      <c r="J2334" s="17">
        <f>IFERROR(__xludf.DUMMYFUNCTION("""COMPUTED_VALUE"""),45805.59789209491)</f>
        <v>45805.59789</v>
      </c>
      <c r="K2334" s="13" t="str">
        <f>IFERROR(__xludf.DUMMYFUNCTION("""COMPUTED_VALUE"""),"Selesai")</f>
        <v>Selesai</v>
      </c>
      <c r="L2334" s="17">
        <f>IFERROR(__xludf.DUMMYFUNCTION("""COMPUTED_VALUE"""),45805.59789209491)</f>
        <v>45805.59789</v>
      </c>
      <c r="M2334" s="13"/>
      <c r="N2334" s="13" t="str">
        <f>IFERROR(__xludf.DUMMYFUNCTION("""COMPUTED_VALUE"""),"")</f>
        <v/>
      </c>
      <c r="O2334" s="13" t="str">
        <f t="shared" si="1"/>
        <v/>
      </c>
    </row>
    <row r="2335" ht="22.5" customHeight="1">
      <c r="B2335" s="13">
        <f>IFERROR(__xludf.DUMMYFUNCTION("""COMPUTED_VALUE"""),2330.0)</f>
        <v>2330</v>
      </c>
      <c r="C2335" s="13" t="str">
        <f>IFERROR(__xludf.DUMMYFUNCTION("""COMPUTED_VALUE"""),"M.2820/Campang Raya")</f>
        <v>M.2820/Campang Raya</v>
      </c>
      <c r="D2335" s="13" t="str">
        <f>IFERROR(__xludf.DUMMYFUNCTION("""COMPUTED_VALUE"""),"L/2/280425/1")</f>
        <v>L/2/280425/1</v>
      </c>
      <c r="E2335" s="14" t="str">
        <f>IFERROR(__xludf.DUMMYFUNCTION("""COMPUTED_VALUE"""),"Afriza (BT)")</f>
        <v>Afriza (BT)</v>
      </c>
      <c r="F2335" s="14" t="str">
        <f>IFERROR(__xludf.DUMMYFUNCTION("""COMPUTED_VALUE"""),"SELESAI (VIA PERMOHONAN)")</f>
        <v>SELESAI (VIA PERMOHONAN)</v>
      </c>
      <c r="G2335" s="17">
        <f>IFERROR(__xludf.DUMMYFUNCTION("""COMPUTED_VALUE"""),45804.48629371528)</f>
        <v>45804.48629</v>
      </c>
      <c r="H2335" s="14" t="str">
        <f>IFERROR(__xludf.DUMMYFUNCTION("""COMPUTED_VALUE"""),"Eci (SU)")</f>
        <v>Eci (SU)</v>
      </c>
      <c r="I2335" s="13" t="str">
        <f>IFERROR(__xludf.DUMMYFUNCTION("""COMPUTED_VALUE"""),"SELESAI (VIA PERMOHONAN)")</f>
        <v>SELESAI (VIA PERMOHONAN)</v>
      </c>
      <c r="J2335" s="17">
        <f>IFERROR(__xludf.DUMMYFUNCTION("""COMPUTED_VALUE"""),45805.59789209491)</f>
        <v>45805.59789</v>
      </c>
      <c r="K2335" s="13" t="str">
        <f>IFERROR(__xludf.DUMMYFUNCTION("""COMPUTED_VALUE"""),"Selesai")</f>
        <v>Selesai</v>
      </c>
      <c r="L2335" s="17">
        <f>IFERROR(__xludf.DUMMYFUNCTION("""COMPUTED_VALUE"""),45805.59789209491)</f>
        <v>45805.59789</v>
      </c>
      <c r="M2335" s="13"/>
      <c r="N2335" s="13" t="str">
        <f>IFERROR(__xludf.DUMMYFUNCTION("""COMPUTED_VALUE"""),"")</f>
        <v/>
      </c>
      <c r="O2335" s="13" t="str">
        <f t="shared" si="1"/>
        <v/>
      </c>
    </row>
    <row r="2336" ht="22.5" customHeight="1">
      <c r="B2336" s="13">
        <f>IFERROR(__xludf.DUMMYFUNCTION("""COMPUTED_VALUE"""),2331.0)</f>
        <v>2331</v>
      </c>
      <c r="C2336" s="13" t="str">
        <f>IFERROR(__xludf.DUMMYFUNCTION("""COMPUTED_VALUE"""),"M. 16592/ Sukabumi")</f>
        <v>M. 16592/ Sukabumi</v>
      </c>
      <c r="D2336" s="13" t="str">
        <f>IFERROR(__xludf.DUMMYFUNCTION("""COMPUTED_VALUE"""),"K/34/160425/1")</f>
        <v>K/34/160425/1</v>
      </c>
      <c r="E2336" s="14" t="str">
        <f>IFERROR(__xludf.DUMMYFUNCTION("""COMPUTED_VALUE"""),"Afriza (BT)")</f>
        <v>Afriza (BT)</v>
      </c>
      <c r="F2336" s="14" t="str">
        <f>IFERROR(__xludf.DUMMYFUNCTION("""COMPUTED_VALUE"""),"SELESAI (VIA PERMOHONAN)")</f>
        <v>SELESAI (VIA PERMOHONAN)</v>
      </c>
      <c r="G2336" s="17">
        <f>IFERROR(__xludf.DUMMYFUNCTION("""COMPUTED_VALUE"""),45804.48644945602)</f>
        <v>45804.48645</v>
      </c>
      <c r="H2336" s="14" t="str">
        <f>IFERROR(__xludf.DUMMYFUNCTION("""COMPUTED_VALUE"""),"Eci (SU)")</f>
        <v>Eci (SU)</v>
      </c>
      <c r="I2336" s="13" t="str">
        <f>IFERROR(__xludf.DUMMYFUNCTION("""COMPUTED_VALUE"""),"SELESAI (VIA PERMOHONAN)")</f>
        <v>SELESAI (VIA PERMOHONAN)</v>
      </c>
      <c r="J2336" s="17">
        <f>IFERROR(__xludf.DUMMYFUNCTION("""COMPUTED_VALUE"""),45805.59789209491)</f>
        <v>45805.59789</v>
      </c>
      <c r="K2336" s="13" t="str">
        <f>IFERROR(__xludf.DUMMYFUNCTION("""COMPUTED_VALUE"""),"Selesai")</f>
        <v>Selesai</v>
      </c>
      <c r="L2336" s="17">
        <f>IFERROR(__xludf.DUMMYFUNCTION("""COMPUTED_VALUE"""),45805.59789209491)</f>
        <v>45805.59789</v>
      </c>
      <c r="M2336" s="13"/>
      <c r="N2336" s="13" t="str">
        <f>IFERROR(__xludf.DUMMYFUNCTION("""COMPUTED_VALUE"""),"")</f>
        <v/>
      </c>
      <c r="O2336" s="13" t="str">
        <f t="shared" si="1"/>
        <v/>
      </c>
    </row>
    <row r="2337" ht="22.5" customHeight="1">
      <c r="B2337" s="13">
        <f>IFERROR(__xludf.DUMMYFUNCTION("""COMPUTED_VALUE"""),2332.0)</f>
        <v>2332</v>
      </c>
      <c r="C2337" s="13" t="str">
        <f>IFERROR(__xludf.DUMMYFUNCTION("""COMPUTED_VALUE"""),"M. 947/ Perumnas Way Halim")</f>
        <v>M. 947/ Perumnas Way Halim</v>
      </c>
      <c r="D2337" s="13" t="str">
        <f>IFERROR(__xludf.DUMMYFUNCTION("""COMPUTED_VALUE"""),"K/22/300425/2")</f>
        <v>K/22/300425/2</v>
      </c>
      <c r="E2337" s="14" t="str">
        <f>IFERROR(__xludf.DUMMYFUNCTION("""COMPUTED_VALUE"""),"Afriza (BT)")</f>
        <v>Afriza (BT)</v>
      </c>
      <c r="F2337" s="14" t="str">
        <f>IFERROR(__xludf.DUMMYFUNCTION("""COMPUTED_VALUE"""),"SELESAI (VIA PERMOHONAN)")</f>
        <v>SELESAI (VIA PERMOHONAN)</v>
      </c>
      <c r="G2337" s="17">
        <f>IFERROR(__xludf.DUMMYFUNCTION("""COMPUTED_VALUE"""),45804.48650134259)</f>
        <v>45804.4865</v>
      </c>
      <c r="H2337" s="14" t="str">
        <f>IFERROR(__xludf.DUMMYFUNCTION("""COMPUTED_VALUE"""),"Eci (SU)")</f>
        <v>Eci (SU)</v>
      </c>
      <c r="I2337" s="13" t="str">
        <f>IFERROR(__xludf.DUMMYFUNCTION("""COMPUTED_VALUE"""),"SELESAI (VIA PERMOHONAN)")</f>
        <v>SELESAI (VIA PERMOHONAN)</v>
      </c>
      <c r="J2337" s="17">
        <f>IFERROR(__xludf.DUMMYFUNCTION("""COMPUTED_VALUE"""),45805.59789209491)</f>
        <v>45805.59789</v>
      </c>
      <c r="K2337" s="13" t="str">
        <f>IFERROR(__xludf.DUMMYFUNCTION("""COMPUTED_VALUE"""),"Selesai")</f>
        <v>Selesai</v>
      </c>
      <c r="L2337" s="17">
        <f>IFERROR(__xludf.DUMMYFUNCTION("""COMPUTED_VALUE"""),45805.59789209491)</f>
        <v>45805.59789</v>
      </c>
      <c r="M2337" s="13"/>
      <c r="N2337" s="13" t="str">
        <f>IFERROR(__xludf.DUMMYFUNCTION("""COMPUTED_VALUE"""),"")</f>
        <v/>
      </c>
      <c r="O2337" s="13" t="str">
        <f t="shared" si="1"/>
        <v/>
      </c>
    </row>
    <row r="2338" ht="22.5" customHeight="1">
      <c r="B2338" s="13">
        <f>IFERROR(__xludf.DUMMYFUNCTION("""COMPUTED_VALUE"""),2333.0)</f>
        <v>2333</v>
      </c>
      <c r="C2338" s="13" t="str">
        <f>IFERROR(__xludf.DUMMYFUNCTION("""COMPUTED_VALUE"""),"M. 1369/ Rajabasa Nunyai")</f>
        <v>M. 1369/ Rajabasa Nunyai</v>
      </c>
      <c r="D2338" s="13" t="str">
        <f>IFERROR(__xludf.DUMMYFUNCTION("""COMPUTED_VALUE"""),"K/46/230425/1")</f>
        <v>K/46/230425/1</v>
      </c>
      <c r="E2338" s="14" t="str">
        <f>IFERROR(__xludf.DUMMYFUNCTION("""COMPUTED_VALUE"""),"Afriza (BT)")</f>
        <v>Afriza (BT)</v>
      </c>
      <c r="F2338" s="14" t="str">
        <f>IFERROR(__xludf.DUMMYFUNCTION("""COMPUTED_VALUE"""),"SELESAI (VIA PERMOHONAN)")</f>
        <v>SELESAI (VIA PERMOHONAN)</v>
      </c>
      <c r="G2338" s="17">
        <f>IFERROR(__xludf.DUMMYFUNCTION("""COMPUTED_VALUE"""),45804.48661550926)</f>
        <v>45804.48662</v>
      </c>
      <c r="H2338" s="14" t="str">
        <f>IFERROR(__xludf.DUMMYFUNCTION("""COMPUTED_VALUE"""),"Eci (SU)")</f>
        <v>Eci (SU)</v>
      </c>
      <c r="I2338" s="13" t="str">
        <f>IFERROR(__xludf.DUMMYFUNCTION("""COMPUTED_VALUE"""),"SELESAI (VIA PERMOHONAN)")</f>
        <v>SELESAI (VIA PERMOHONAN)</v>
      </c>
      <c r="J2338" s="17">
        <f>IFERROR(__xludf.DUMMYFUNCTION("""COMPUTED_VALUE"""),45805.59789209491)</f>
        <v>45805.59789</v>
      </c>
      <c r="K2338" s="13" t="str">
        <f>IFERROR(__xludf.DUMMYFUNCTION("""COMPUTED_VALUE"""),"Selesai")</f>
        <v>Selesai</v>
      </c>
      <c r="L2338" s="17">
        <f>IFERROR(__xludf.DUMMYFUNCTION("""COMPUTED_VALUE"""),45805.59789209491)</f>
        <v>45805.59789</v>
      </c>
      <c r="M2338" s="13"/>
      <c r="N2338" s="13" t="str">
        <f>IFERROR(__xludf.DUMMYFUNCTION("""COMPUTED_VALUE"""),"")</f>
        <v/>
      </c>
      <c r="O2338" s="13" t="str">
        <f t="shared" si="1"/>
        <v/>
      </c>
    </row>
    <row r="2339" ht="22.5" customHeight="1">
      <c r="B2339" s="13">
        <f>IFERROR(__xludf.DUMMYFUNCTION("""COMPUTED_VALUE"""),2334.0)</f>
        <v>2334</v>
      </c>
      <c r="C2339" s="13" t="str">
        <f>IFERROR(__xludf.DUMMYFUNCTION("""COMPUTED_VALUE"""),"M. 164/ Campang Raya")</f>
        <v>M. 164/ Campang Raya</v>
      </c>
      <c r="D2339" s="13" t="str">
        <f>IFERROR(__xludf.DUMMYFUNCTION("""COMPUTED_VALUE"""),"K/16/200325/1")</f>
        <v>K/16/200325/1</v>
      </c>
      <c r="E2339" s="14" t="str">
        <f>IFERROR(__xludf.DUMMYFUNCTION("""COMPUTED_VALUE"""),"Afriza (BT)")</f>
        <v>Afriza (BT)</v>
      </c>
      <c r="F2339" s="14" t="str">
        <f>IFERROR(__xludf.DUMMYFUNCTION("""COMPUTED_VALUE"""),"SELESAI (VIA PERMOHONAN)")</f>
        <v>SELESAI (VIA PERMOHONAN)</v>
      </c>
      <c r="G2339" s="17">
        <f>IFERROR(__xludf.DUMMYFUNCTION("""COMPUTED_VALUE"""),45804.48679354167)</f>
        <v>45804.48679</v>
      </c>
      <c r="H2339" s="14" t="str">
        <f>IFERROR(__xludf.DUMMYFUNCTION("""COMPUTED_VALUE"""),"Eci (SU)")</f>
        <v>Eci (SU)</v>
      </c>
      <c r="I2339" s="13" t="str">
        <f>IFERROR(__xludf.DUMMYFUNCTION("""COMPUTED_VALUE"""),"SELESAI (VIA PERMOHONAN)")</f>
        <v>SELESAI (VIA PERMOHONAN)</v>
      </c>
      <c r="J2339" s="17">
        <f>IFERROR(__xludf.DUMMYFUNCTION("""COMPUTED_VALUE"""),45805.59789209491)</f>
        <v>45805.59789</v>
      </c>
      <c r="K2339" s="13" t="str">
        <f>IFERROR(__xludf.DUMMYFUNCTION("""COMPUTED_VALUE"""),"Selesai")</f>
        <v>Selesai</v>
      </c>
      <c r="L2339" s="17">
        <f>IFERROR(__xludf.DUMMYFUNCTION("""COMPUTED_VALUE"""),45805.59789209491)</f>
        <v>45805.59789</v>
      </c>
      <c r="M2339" s="13"/>
      <c r="N2339" s="13" t="str">
        <f>IFERROR(__xludf.DUMMYFUNCTION("""COMPUTED_VALUE"""),"")</f>
        <v/>
      </c>
      <c r="O2339" s="13" t="str">
        <f t="shared" si="1"/>
        <v/>
      </c>
    </row>
    <row r="2340" ht="22.5" customHeight="1">
      <c r="B2340" s="13">
        <f>IFERROR(__xludf.DUMMYFUNCTION("""COMPUTED_VALUE"""),2335.0)</f>
        <v>2335</v>
      </c>
      <c r="C2340" s="13" t="str">
        <f>IFERROR(__xludf.DUMMYFUNCTION("""COMPUTED_VALUE"""),"2596/Kaliawi")</f>
        <v>2596/Kaliawi</v>
      </c>
      <c r="D2340" s="13" t="str">
        <f>IFERROR(__xludf.DUMMYFUNCTION("""COMPUTED_VALUE"""),"")</f>
        <v/>
      </c>
      <c r="E2340" s="14"/>
      <c r="F2340" s="14"/>
      <c r="G2340" s="17" t="str">
        <f>IFERROR(__xludf.DUMMYFUNCTION("""COMPUTED_VALUE"""),"")</f>
        <v/>
      </c>
      <c r="H2340" s="14" t="str">
        <f>IFERROR(__xludf.DUMMYFUNCTION("""COMPUTED_VALUE"""),"Eci (SU)")</f>
        <v>Eci (SU)</v>
      </c>
      <c r="I2340" s="13" t="str">
        <f>IFERROR(__xludf.DUMMYFUNCTION("""COMPUTED_VALUE"""),"SELESAI (VIA PERMOHONAN)")</f>
        <v>SELESAI (VIA PERMOHONAN)</v>
      </c>
      <c r="J2340" s="17">
        <f>IFERROR(__xludf.DUMMYFUNCTION("""COMPUTED_VALUE"""),45805.59789209491)</f>
        <v>45805.59789</v>
      </c>
      <c r="K2340" s="13" t="str">
        <f>IFERROR(__xludf.DUMMYFUNCTION("""COMPUTED_VALUE"""),"")</f>
        <v/>
      </c>
      <c r="L2340" s="13" t="str">
        <f>IFERROR(__xludf.DUMMYFUNCTION("""COMPUTED_VALUE"""),"")</f>
        <v/>
      </c>
      <c r="M2340" s="13"/>
      <c r="N2340" s="13" t="str">
        <f>IFERROR(__xludf.DUMMYFUNCTION("""COMPUTED_VALUE"""),"")</f>
        <v/>
      </c>
      <c r="O2340" s="13" t="str">
        <f t="shared" si="1"/>
        <v/>
      </c>
    </row>
    <row r="2341" ht="22.5" customHeight="1">
      <c r="B2341" s="13">
        <f>IFERROR(__xludf.DUMMYFUNCTION("""COMPUTED_VALUE"""),2336.0)</f>
        <v>2336</v>
      </c>
      <c r="C2341" s="13" t="str">
        <f>IFERROR(__xludf.DUMMYFUNCTION("""COMPUTED_VALUE"""),"M. 2298/SEPANG JAYA")</f>
        <v>M. 2298/SEPANG JAYA</v>
      </c>
      <c r="D2341" s="13" t="str">
        <f>IFERROR(__xludf.DUMMYFUNCTION("""COMPUTED_VALUE"""),"K/8/060525/1")</f>
        <v>K/8/060525/1</v>
      </c>
      <c r="E2341" s="14" t="str">
        <f>IFERROR(__xludf.DUMMYFUNCTION("""COMPUTED_VALUE"""),"Afriza (BT)")</f>
        <v>Afriza (BT)</v>
      </c>
      <c r="F2341" s="14" t="str">
        <f>IFERROR(__xludf.DUMMYFUNCTION("""COMPUTED_VALUE"""),"SELESAI (VIA PERMOHONAN)")</f>
        <v>SELESAI (VIA PERMOHONAN)</v>
      </c>
      <c r="G2341" s="17">
        <f>IFERROR(__xludf.DUMMYFUNCTION("""COMPUTED_VALUE"""),45804.633894618055)</f>
        <v>45804.63389</v>
      </c>
      <c r="H2341" s="14" t="str">
        <f>IFERROR(__xludf.DUMMYFUNCTION("""COMPUTED_VALUE"""),"Eci (SU)")</f>
        <v>Eci (SU)</v>
      </c>
      <c r="I2341" s="13" t="str">
        <f>IFERROR(__xludf.DUMMYFUNCTION("""COMPUTED_VALUE"""),"SELESAI (VIA PERMOHONAN)")</f>
        <v>SELESAI (VIA PERMOHONAN)</v>
      </c>
      <c r="J2341" s="17">
        <f>IFERROR(__xludf.DUMMYFUNCTION("""COMPUTED_VALUE"""),45805.59813949074)</f>
        <v>45805.59814</v>
      </c>
      <c r="K2341" s="13" t="str">
        <f>IFERROR(__xludf.DUMMYFUNCTION("""COMPUTED_VALUE"""),"Selesai")</f>
        <v>Selesai</v>
      </c>
      <c r="L2341" s="17">
        <f>IFERROR(__xludf.DUMMYFUNCTION("""COMPUTED_VALUE"""),45805.59813949074)</f>
        <v>45805.59814</v>
      </c>
      <c r="M2341" s="13"/>
      <c r="N2341" s="13" t="str">
        <f>IFERROR(__xludf.DUMMYFUNCTION("""COMPUTED_VALUE"""),"")</f>
        <v/>
      </c>
      <c r="O2341" s="13" t="str">
        <f t="shared" si="1"/>
        <v/>
      </c>
    </row>
    <row r="2342" ht="22.5" customHeight="1">
      <c r="B2342" s="13">
        <f>IFERROR(__xludf.DUMMYFUNCTION("""COMPUTED_VALUE"""),2337.0)</f>
        <v>2337</v>
      </c>
      <c r="C2342" s="13" t="str">
        <f>IFERROR(__xludf.DUMMYFUNCTION("""COMPUTED_VALUE"""),"M. 1156/ Perumnas Way Kandis")</f>
        <v>M. 1156/ Perumnas Way Kandis</v>
      </c>
      <c r="D2342" s="13" t="str">
        <f>IFERROR(__xludf.DUMMYFUNCTION("""COMPUTED_VALUE"""),"K/25/150425/1")</f>
        <v>K/25/150425/1</v>
      </c>
      <c r="E2342" s="14" t="str">
        <f>IFERROR(__xludf.DUMMYFUNCTION("""COMPUTED_VALUE"""),"Afriza (BT)")</f>
        <v>Afriza (BT)</v>
      </c>
      <c r="F2342" s="14" t="str">
        <f>IFERROR(__xludf.DUMMYFUNCTION("""COMPUTED_VALUE"""),"SELESAI (VIA PERMOHONAN)")</f>
        <v>SELESAI (VIA PERMOHONAN)</v>
      </c>
      <c r="G2342" s="17">
        <f>IFERROR(__xludf.DUMMYFUNCTION("""COMPUTED_VALUE"""),45804.633894618055)</f>
        <v>45804.63389</v>
      </c>
      <c r="H2342" s="14" t="str">
        <f>IFERROR(__xludf.DUMMYFUNCTION("""COMPUTED_VALUE"""),"Eci (SU)")</f>
        <v>Eci (SU)</v>
      </c>
      <c r="I2342" s="13" t="str">
        <f>IFERROR(__xludf.DUMMYFUNCTION("""COMPUTED_VALUE"""),"SELESAI (VIA PERMOHONAN)")</f>
        <v>SELESAI (VIA PERMOHONAN)</v>
      </c>
      <c r="J2342" s="17">
        <f>IFERROR(__xludf.DUMMYFUNCTION("""COMPUTED_VALUE"""),45805.59813949074)</f>
        <v>45805.59814</v>
      </c>
      <c r="K2342" s="13" t="str">
        <f>IFERROR(__xludf.DUMMYFUNCTION("""COMPUTED_VALUE"""),"Selesai")</f>
        <v>Selesai</v>
      </c>
      <c r="L2342" s="17">
        <f>IFERROR(__xludf.DUMMYFUNCTION("""COMPUTED_VALUE"""),45805.59813949074)</f>
        <v>45805.59814</v>
      </c>
      <c r="M2342" s="13"/>
      <c r="N2342" s="13" t="str">
        <f>IFERROR(__xludf.DUMMYFUNCTION("""COMPUTED_VALUE"""),"")</f>
        <v/>
      </c>
      <c r="O2342" s="13" t="str">
        <f t="shared" si="1"/>
        <v/>
      </c>
    </row>
    <row r="2343" ht="22.5" customHeight="1">
      <c r="B2343" s="13">
        <f>IFERROR(__xludf.DUMMYFUNCTION("""COMPUTED_VALUE"""),2338.0)</f>
        <v>2338</v>
      </c>
      <c r="C2343" s="13" t="str">
        <f>IFERROR(__xludf.DUMMYFUNCTION("""COMPUTED_VALUE"""),"M. 587/ Tanjung Kkarang")</f>
        <v>M. 587/ Tanjung Kkarang</v>
      </c>
      <c r="D2343" s="13" t="str">
        <f>IFERROR(__xludf.DUMMYFUNCTION("""COMPUTED_VALUE"""),"K/24/200525/4")</f>
        <v>K/24/200525/4</v>
      </c>
      <c r="E2343" s="14" t="str">
        <f>IFERROR(__xludf.DUMMYFUNCTION("""COMPUTED_VALUE"""),"Afriza (BT)")</f>
        <v>Afriza (BT)</v>
      </c>
      <c r="F2343" s="14" t="str">
        <f>IFERROR(__xludf.DUMMYFUNCTION("""COMPUTED_VALUE"""),"SELESAI (VIA PERMOHONAN)")</f>
        <v>SELESAI (VIA PERMOHONAN)</v>
      </c>
      <c r="G2343" s="17">
        <f>IFERROR(__xludf.DUMMYFUNCTION("""COMPUTED_VALUE"""),45804.633894618055)</f>
        <v>45804.63389</v>
      </c>
      <c r="H2343" s="14" t="str">
        <f>IFERROR(__xludf.DUMMYFUNCTION("""COMPUTED_VALUE"""),"Eci (SU)")</f>
        <v>Eci (SU)</v>
      </c>
      <c r="I2343" s="13" t="str">
        <f>IFERROR(__xludf.DUMMYFUNCTION("""COMPUTED_VALUE"""),"SELESAI (VIA PERMOHONAN)")</f>
        <v>SELESAI (VIA PERMOHONAN)</v>
      </c>
      <c r="J2343" s="17">
        <f>IFERROR(__xludf.DUMMYFUNCTION("""COMPUTED_VALUE"""),45805.59813949074)</f>
        <v>45805.59814</v>
      </c>
      <c r="K2343" s="13" t="str">
        <f>IFERROR(__xludf.DUMMYFUNCTION("""COMPUTED_VALUE"""),"Selesai")</f>
        <v>Selesai</v>
      </c>
      <c r="L2343" s="17">
        <f>IFERROR(__xludf.DUMMYFUNCTION("""COMPUTED_VALUE"""),45805.59813949074)</f>
        <v>45805.59814</v>
      </c>
      <c r="M2343" s="13"/>
      <c r="N2343" s="13" t="str">
        <f>IFERROR(__xludf.DUMMYFUNCTION("""COMPUTED_VALUE"""),"")</f>
        <v/>
      </c>
      <c r="O2343" s="13" t="str">
        <f t="shared" si="1"/>
        <v/>
      </c>
    </row>
    <row r="2344" ht="22.5" customHeight="1">
      <c r="B2344" s="13">
        <f>IFERROR(__xludf.DUMMYFUNCTION("""COMPUTED_VALUE"""),2339.0)</f>
        <v>2339</v>
      </c>
      <c r="C2344" s="13" t="str">
        <f>IFERROR(__xludf.DUMMYFUNCTION("""COMPUTED_VALUE"""),"M. 1392/ Kangkung")</f>
        <v>M. 1392/ Kangkung</v>
      </c>
      <c r="D2344" s="13" t="str">
        <f>IFERROR(__xludf.DUMMYFUNCTION("""COMPUTED_VALUE"""),"K/36/190525/1")</f>
        <v>K/36/190525/1</v>
      </c>
      <c r="E2344" s="14" t="str">
        <f>IFERROR(__xludf.DUMMYFUNCTION("""COMPUTED_VALUE"""),"Afriza (BT)")</f>
        <v>Afriza (BT)</v>
      </c>
      <c r="F2344" s="14" t="str">
        <f>IFERROR(__xludf.DUMMYFUNCTION("""COMPUTED_VALUE"""),"SELESAI (VIA PERMOHONAN)")</f>
        <v>SELESAI (VIA PERMOHONAN)</v>
      </c>
      <c r="G2344" s="17">
        <f>IFERROR(__xludf.DUMMYFUNCTION("""COMPUTED_VALUE"""),45804.633894618055)</f>
        <v>45804.63389</v>
      </c>
      <c r="H2344" s="14" t="str">
        <f>IFERROR(__xludf.DUMMYFUNCTION("""COMPUTED_VALUE"""),"Eci (SU)")</f>
        <v>Eci (SU)</v>
      </c>
      <c r="I2344" s="13" t="str">
        <f>IFERROR(__xludf.DUMMYFUNCTION("""COMPUTED_VALUE"""),"SELESAI (VIA PERMOHONAN)")</f>
        <v>SELESAI (VIA PERMOHONAN)</v>
      </c>
      <c r="J2344" s="17">
        <f>IFERROR(__xludf.DUMMYFUNCTION("""COMPUTED_VALUE"""),45805.59813949074)</f>
        <v>45805.59814</v>
      </c>
      <c r="K2344" s="13" t="str">
        <f>IFERROR(__xludf.DUMMYFUNCTION("""COMPUTED_VALUE"""),"Selesai")</f>
        <v>Selesai</v>
      </c>
      <c r="L2344" s="17">
        <f>IFERROR(__xludf.DUMMYFUNCTION("""COMPUTED_VALUE"""),45805.59813949074)</f>
        <v>45805.59814</v>
      </c>
      <c r="M2344" s="13"/>
      <c r="N2344" s="13" t="str">
        <f>IFERROR(__xludf.DUMMYFUNCTION("""COMPUTED_VALUE"""),"")</f>
        <v/>
      </c>
      <c r="O2344" s="13" t="str">
        <f t="shared" si="1"/>
        <v/>
      </c>
    </row>
    <row r="2345" ht="22.5" customHeight="1">
      <c r="B2345" s="13">
        <f>IFERROR(__xludf.DUMMYFUNCTION("""COMPUTED_VALUE"""),2340.0)</f>
        <v>2340</v>
      </c>
      <c r="C2345" s="13" t="str">
        <f>IFERROR(__xludf.DUMMYFUNCTION("""COMPUTED_VALUE"""),"M. 1151/ Sumberejo Sejahtera")</f>
        <v>M. 1151/ Sumberejo Sejahtera</v>
      </c>
      <c r="D2345" s="13" t="str">
        <f>IFERROR(__xludf.DUMMYFUNCTION("""COMPUTED_VALUE"""),"K/38/160525/1")</f>
        <v>K/38/160525/1</v>
      </c>
      <c r="E2345" s="14" t="str">
        <f>IFERROR(__xludf.DUMMYFUNCTION("""COMPUTED_VALUE"""),"Afriza (BT)")</f>
        <v>Afriza (BT)</v>
      </c>
      <c r="F2345" s="14" t="str">
        <f>IFERROR(__xludf.DUMMYFUNCTION("""COMPUTED_VALUE"""),"SELESAI (VIA PERMOHONAN)")</f>
        <v>SELESAI (VIA PERMOHONAN)</v>
      </c>
      <c r="G2345" s="17">
        <f>IFERROR(__xludf.DUMMYFUNCTION("""COMPUTED_VALUE"""),45804.633894618055)</f>
        <v>45804.63389</v>
      </c>
      <c r="H2345" s="14" t="str">
        <f>IFERROR(__xludf.DUMMYFUNCTION("""COMPUTED_VALUE"""),"Eci (SU)")</f>
        <v>Eci (SU)</v>
      </c>
      <c r="I2345" s="13" t="str">
        <f>IFERROR(__xludf.DUMMYFUNCTION("""COMPUTED_VALUE"""),"SELESAI (VIA PERMOHONAN)")</f>
        <v>SELESAI (VIA PERMOHONAN)</v>
      </c>
      <c r="J2345" s="17">
        <f>IFERROR(__xludf.DUMMYFUNCTION("""COMPUTED_VALUE"""),45805.59813949074)</f>
        <v>45805.59814</v>
      </c>
      <c r="K2345" s="13" t="str">
        <f>IFERROR(__xludf.DUMMYFUNCTION("""COMPUTED_VALUE"""),"Selesai")</f>
        <v>Selesai</v>
      </c>
      <c r="L2345" s="17">
        <f>IFERROR(__xludf.DUMMYFUNCTION("""COMPUTED_VALUE"""),45805.59813949074)</f>
        <v>45805.59814</v>
      </c>
      <c r="M2345" s="13"/>
      <c r="N2345" s="13" t="str">
        <f>IFERROR(__xludf.DUMMYFUNCTION("""COMPUTED_VALUE"""),"")</f>
        <v/>
      </c>
      <c r="O2345" s="13" t="str">
        <f t="shared" si="1"/>
        <v/>
      </c>
    </row>
    <row r="2346" ht="22.5" customHeight="1">
      <c r="B2346" s="13">
        <f>IFERROR(__xludf.DUMMYFUNCTION("""COMPUTED_VALUE"""),2341.0)</f>
        <v>2341</v>
      </c>
      <c r="C2346" s="13" t="str">
        <f>IFERROR(__xludf.DUMMYFUNCTION("""COMPUTED_VALUE"""),"M. 2188/ Kedaung")</f>
        <v>M. 2188/ Kedaung</v>
      </c>
      <c r="D2346" s="13" t="str">
        <f>IFERROR(__xludf.DUMMYFUNCTION("""COMPUTED_VALUE"""),"K/22/060525/2")</f>
        <v>K/22/060525/2</v>
      </c>
      <c r="E2346" s="14" t="str">
        <f>IFERROR(__xludf.DUMMYFUNCTION("""COMPUTED_VALUE"""),"Afriza (BT)")</f>
        <v>Afriza (BT)</v>
      </c>
      <c r="F2346" s="14" t="str">
        <f>IFERROR(__xludf.DUMMYFUNCTION("""COMPUTED_VALUE"""),"SELESAI (VIA PERMOHONAN)")</f>
        <v>SELESAI (VIA PERMOHONAN)</v>
      </c>
      <c r="G2346" s="17">
        <f>IFERROR(__xludf.DUMMYFUNCTION("""COMPUTED_VALUE"""),45804.633894618055)</f>
        <v>45804.63389</v>
      </c>
      <c r="H2346" s="14" t="str">
        <f>IFERROR(__xludf.DUMMYFUNCTION("""COMPUTED_VALUE"""),"Eci (SU)")</f>
        <v>Eci (SU)</v>
      </c>
      <c r="I2346" s="13" t="str">
        <f>IFERROR(__xludf.DUMMYFUNCTION("""COMPUTED_VALUE"""),"SELESAI (VIA PERMOHONAN)")</f>
        <v>SELESAI (VIA PERMOHONAN)</v>
      </c>
      <c r="J2346" s="17">
        <f>IFERROR(__xludf.DUMMYFUNCTION("""COMPUTED_VALUE"""),45805.59813949074)</f>
        <v>45805.59814</v>
      </c>
      <c r="K2346" s="13" t="str">
        <f>IFERROR(__xludf.DUMMYFUNCTION("""COMPUTED_VALUE"""),"Selesai")</f>
        <v>Selesai</v>
      </c>
      <c r="L2346" s="17">
        <f>IFERROR(__xludf.DUMMYFUNCTION("""COMPUTED_VALUE"""),45805.59813949074)</f>
        <v>45805.59814</v>
      </c>
      <c r="M2346" s="13"/>
      <c r="N2346" s="13" t="str">
        <f>IFERROR(__xludf.DUMMYFUNCTION("""COMPUTED_VALUE"""),"")</f>
        <v/>
      </c>
      <c r="O2346" s="13" t="str">
        <f t="shared" si="1"/>
        <v/>
      </c>
    </row>
    <row r="2347" ht="22.5" customHeight="1">
      <c r="B2347" s="13">
        <f>IFERROR(__xludf.DUMMYFUNCTION("""COMPUTED_VALUE"""),2342.0)</f>
        <v>2342</v>
      </c>
      <c r="C2347" s="13" t="str">
        <f>IFERROR(__xludf.DUMMYFUNCTION("""COMPUTED_VALUE"""),"M. 4719/ Rajabasa Jaya")</f>
        <v>M. 4719/ Rajabasa Jaya</v>
      </c>
      <c r="D2347" s="13" t="str">
        <f>IFERROR(__xludf.DUMMYFUNCTION("""COMPUTED_VALUE"""),"K/16/070525/1")</f>
        <v>K/16/070525/1</v>
      </c>
      <c r="E2347" s="14" t="str">
        <f>IFERROR(__xludf.DUMMYFUNCTION("""COMPUTED_VALUE"""),"Afriza (BT)")</f>
        <v>Afriza (BT)</v>
      </c>
      <c r="F2347" s="14" t="str">
        <f>IFERROR(__xludf.DUMMYFUNCTION("""COMPUTED_VALUE"""),"SELESAI (VIA PERMOHONAN)")</f>
        <v>SELESAI (VIA PERMOHONAN)</v>
      </c>
      <c r="G2347" s="17">
        <f>IFERROR(__xludf.DUMMYFUNCTION("""COMPUTED_VALUE"""),45804.633894618055)</f>
        <v>45804.63389</v>
      </c>
      <c r="H2347" s="14" t="str">
        <f>IFERROR(__xludf.DUMMYFUNCTION("""COMPUTED_VALUE"""),"Eci (SU)")</f>
        <v>Eci (SU)</v>
      </c>
      <c r="I2347" s="13" t="str">
        <f>IFERROR(__xludf.DUMMYFUNCTION("""COMPUTED_VALUE"""),"SELESAI (VIA PERMOHONAN)")</f>
        <v>SELESAI (VIA PERMOHONAN)</v>
      </c>
      <c r="J2347" s="17">
        <f>IFERROR(__xludf.DUMMYFUNCTION("""COMPUTED_VALUE"""),45805.59813949074)</f>
        <v>45805.59814</v>
      </c>
      <c r="K2347" s="13" t="str">
        <f>IFERROR(__xludf.DUMMYFUNCTION("""COMPUTED_VALUE"""),"Selesai")</f>
        <v>Selesai</v>
      </c>
      <c r="L2347" s="17">
        <f>IFERROR(__xludf.DUMMYFUNCTION("""COMPUTED_VALUE"""),45805.59813949074)</f>
        <v>45805.59814</v>
      </c>
      <c r="M2347" s="13"/>
      <c r="N2347" s="13" t="str">
        <f>IFERROR(__xludf.DUMMYFUNCTION("""COMPUTED_VALUE"""),"")</f>
        <v/>
      </c>
      <c r="O2347" s="13" t="str">
        <f t="shared" si="1"/>
        <v/>
      </c>
    </row>
    <row r="2348" ht="22.5" customHeight="1">
      <c r="B2348" s="13">
        <f>IFERROR(__xludf.DUMMYFUNCTION("""COMPUTED_VALUE"""),2343.0)</f>
        <v>2343</v>
      </c>
      <c r="C2348" s="13" t="str">
        <f>IFERROR(__xludf.DUMMYFUNCTION("""COMPUTED_VALUE"""),"HGB 3950,3951/BERINGIN RAYA")</f>
        <v>HGB 3950,3951/BERINGIN RAYA</v>
      </c>
      <c r="D2348" s="13" t="str">
        <f>IFERROR(__xludf.DUMMYFUNCTION("""COMPUTED_VALUE"""),"L/4/210525/1")</f>
        <v>L/4/210525/1</v>
      </c>
      <c r="E2348" s="14" t="str">
        <f>IFERROR(__xludf.DUMMYFUNCTION("""COMPUTED_VALUE"""),"Heri (BT)")</f>
        <v>Heri (BT)</v>
      </c>
      <c r="F2348" s="14" t="str">
        <f>IFERROR(__xludf.DUMMYFUNCTION("""COMPUTED_VALUE"""),"SELESAI (VIA PERMOHONAN)")</f>
        <v>SELESAI (VIA PERMOHONAN)</v>
      </c>
      <c r="G2348" s="17">
        <f>IFERROR(__xludf.DUMMYFUNCTION("""COMPUTED_VALUE"""),45804.760263958335)</f>
        <v>45804.76026</v>
      </c>
      <c r="H2348" s="14" t="str">
        <f>IFERROR(__xludf.DUMMYFUNCTION("""COMPUTED_VALUE"""),"Eci (SU)")</f>
        <v>Eci (SU)</v>
      </c>
      <c r="I2348" s="13" t="str">
        <f>IFERROR(__xludf.DUMMYFUNCTION("""COMPUTED_VALUE"""),"SELESAI (VIA PERMOHONAN)")</f>
        <v>SELESAI (VIA PERMOHONAN)</v>
      </c>
      <c r="J2348" s="17">
        <f>IFERROR(__xludf.DUMMYFUNCTION("""COMPUTED_VALUE"""),45805.59813949074)</f>
        <v>45805.59814</v>
      </c>
      <c r="K2348" s="13" t="str">
        <f>IFERROR(__xludf.DUMMYFUNCTION("""COMPUTED_VALUE"""),"Selesai")</f>
        <v>Selesai</v>
      </c>
      <c r="L2348" s="17">
        <f>IFERROR(__xludf.DUMMYFUNCTION("""COMPUTED_VALUE"""),45805.59813949074)</f>
        <v>45805.59814</v>
      </c>
      <c r="M2348" s="13"/>
      <c r="N2348" s="13" t="str">
        <f>IFERROR(__xludf.DUMMYFUNCTION("""COMPUTED_VALUE"""),"")</f>
        <v/>
      </c>
      <c r="O2348" s="13" t="str">
        <f t="shared" si="1"/>
        <v/>
      </c>
    </row>
    <row r="2349" ht="22.5" customHeight="1">
      <c r="B2349" s="13">
        <f>IFERROR(__xludf.DUMMYFUNCTION("""COMPUTED_VALUE"""),2344.0)</f>
        <v>2344</v>
      </c>
      <c r="C2349" s="13" t="str">
        <f>IFERROR(__xludf.DUMMYFUNCTION("""COMPUTED_VALUE"""),"HM 2019/KETEGUHAN")</f>
        <v>HM 2019/KETEGUHAN</v>
      </c>
      <c r="D2349" s="13" t="str">
        <f>IFERROR(__xludf.DUMMYFUNCTION("""COMPUTED_VALUE"""),"L/14/200525/1")</f>
        <v>L/14/200525/1</v>
      </c>
      <c r="E2349" s="14" t="str">
        <f>IFERROR(__xludf.DUMMYFUNCTION("""COMPUTED_VALUE"""),"Heri (BT)")</f>
        <v>Heri (BT)</v>
      </c>
      <c r="F2349" s="14" t="str">
        <f>IFERROR(__xludf.DUMMYFUNCTION("""COMPUTED_VALUE"""),"SELESAI (VIA PERMOHONAN)")</f>
        <v>SELESAI (VIA PERMOHONAN)</v>
      </c>
      <c r="G2349" s="17">
        <f>IFERROR(__xludf.DUMMYFUNCTION("""COMPUTED_VALUE"""),45804.7605109838)</f>
        <v>45804.76051</v>
      </c>
      <c r="H2349" s="14" t="str">
        <f>IFERROR(__xludf.DUMMYFUNCTION("""COMPUTED_VALUE"""),"Eci (SU)")</f>
        <v>Eci (SU)</v>
      </c>
      <c r="I2349" s="13" t="str">
        <f>IFERROR(__xludf.DUMMYFUNCTION("""COMPUTED_VALUE"""),"SELESAI (VIA PERMOHONAN)")</f>
        <v>SELESAI (VIA PERMOHONAN)</v>
      </c>
      <c r="J2349" s="17">
        <f>IFERROR(__xludf.DUMMYFUNCTION("""COMPUTED_VALUE"""),45805.59813949074)</f>
        <v>45805.59814</v>
      </c>
      <c r="K2349" s="13" t="str">
        <f>IFERROR(__xludf.DUMMYFUNCTION("""COMPUTED_VALUE"""),"Selesai")</f>
        <v>Selesai</v>
      </c>
      <c r="L2349" s="17">
        <f>IFERROR(__xludf.DUMMYFUNCTION("""COMPUTED_VALUE"""),45805.59813949074)</f>
        <v>45805.59814</v>
      </c>
      <c r="M2349" s="13"/>
      <c r="N2349" s="13" t="str">
        <f>IFERROR(__xludf.DUMMYFUNCTION("""COMPUTED_VALUE"""),"")</f>
        <v/>
      </c>
      <c r="O2349" s="13" t="str">
        <f t="shared" si="1"/>
        <v/>
      </c>
    </row>
    <row r="2350" ht="22.5" customHeight="1">
      <c r="B2350" s="13">
        <f>IFERROR(__xludf.DUMMYFUNCTION("""COMPUTED_VALUE"""),2345.0)</f>
        <v>2345</v>
      </c>
      <c r="C2350" s="13" t="str">
        <f>IFERROR(__xludf.DUMMYFUNCTION("""COMPUTED_VALUE"""),"HM 11576/SUKABUMI")</f>
        <v>HM 11576/SUKABUMI</v>
      </c>
      <c r="D2350" s="13" t="str">
        <f>IFERROR(__xludf.DUMMYFUNCTION("""COMPUTED_VALUE"""),"L/20/160525/1")</f>
        <v>L/20/160525/1</v>
      </c>
      <c r="E2350" s="14" t="str">
        <f>IFERROR(__xludf.DUMMYFUNCTION("""COMPUTED_VALUE"""),"Heri (BT)")</f>
        <v>Heri (BT)</v>
      </c>
      <c r="F2350" s="14" t="str">
        <f>IFERROR(__xludf.DUMMYFUNCTION("""COMPUTED_VALUE"""),"SELESAI (VIA PERMOHONAN)")</f>
        <v>SELESAI (VIA PERMOHONAN)</v>
      </c>
      <c r="G2350" s="17">
        <f>IFERROR(__xludf.DUMMYFUNCTION("""COMPUTED_VALUE"""),45804.76065810185)</f>
        <v>45804.76066</v>
      </c>
      <c r="H2350" s="14" t="str">
        <f>IFERROR(__xludf.DUMMYFUNCTION("""COMPUTED_VALUE"""),"Eci (SU)")</f>
        <v>Eci (SU)</v>
      </c>
      <c r="I2350" s="13" t="str">
        <f>IFERROR(__xludf.DUMMYFUNCTION("""COMPUTED_VALUE"""),"SELESAI (VIA PERMOHONAN)")</f>
        <v>SELESAI (VIA PERMOHONAN)</v>
      </c>
      <c r="J2350" s="17">
        <f>IFERROR(__xludf.DUMMYFUNCTION("""COMPUTED_VALUE"""),45805.59813949074)</f>
        <v>45805.59814</v>
      </c>
      <c r="K2350" s="13" t="str">
        <f>IFERROR(__xludf.DUMMYFUNCTION("""COMPUTED_VALUE"""),"Selesai")</f>
        <v>Selesai</v>
      </c>
      <c r="L2350" s="17">
        <f>IFERROR(__xludf.DUMMYFUNCTION("""COMPUTED_VALUE"""),45805.59813949074)</f>
        <v>45805.59814</v>
      </c>
      <c r="M2350" s="13"/>
      <c r="N2350" s="13" t="str">
        <f>IFERROR(__xludf.DUMMYFUNCTION("""COMPUTED_VALUE"""),"")</f>
        <v/>
      </c>
      <c r="O2350" s="13" t="str">
        <f t="shared" si="1"/>
        <v/>
      </c>
    </row>
    <row r="2351" ht="22.5" customHeight="1">
      <c r="B2351" s="13">
        <f>IFERROR(__xludf.DUMMYFUNCTION("""COMPUTED_VALUE"""),2346.0)</f>
        <v>2346</v>
      </c>
      <c r="C2351" s="13" t="str">
        <f>IFERROR(__xludf.DUMMYFUNCTION("""COMPUTED_VALUE"""),"HM 1121/GUNUNG SULAH")</f>
        <v>HM 1121/GUNUNG SULAH</v>
      </c>
      <c r="D2351" s="13" t="str">
        <f>IFERROR(__xludf.DUMMYFUNCTION("""COMPUTED_VALUE"""),"L/2/210525/1")</f>
        <v>L/2/210525/1</v>
      </c>
      <c r="E2351" s="14" t="str">
        <f>IFERROR(__xludf.DUMMYFUNCTION("""COMPUTED_VALUE"""),"Heri (BT)")</f>
        <v>Heri (BT)</v>
      </c>
      <c r="F2351" s="14" t="str">
        <f>IFERROR(__xludf.DUMMYFUNCTION("""COMPUTED_VALUE"""),"SELESAI (VIA PERMOHONAN)")</f>
        <v>SELESAI (VIA PERMOHONAN)</v>
      </c>
      <c r="G2351" s="17">
        <f>IFERROR(__xludf.DUMMYFUNCTION("""COMPUTED_VALUE"""),45804.76082300926)</f>
        <v>45804.76082</v>
      </c>
      <c r="H2351" s="14" t="str">
        <f>IFERROR(__xludf.DUMMYFUNCTION("""COMPUTED_VALUE"""),"Eci (SU)")</f>
        <v>Eci (SU)</v>
      </c>
      <c r="I2351" s="13" t="str">
        <f>IFERROR(__xludf.DUMMYFUNCTION("""COMPUTED_VALUE"""),"SELESAI (VIA PERMOHONAN)")</f>
        <v>SELESAI (VIA PERMOHONAN)</v>
      </c>
      <c r="J2351" s="17">
        <f>IFERROR(__xludf.DUMMYFUNCTION("""COMPUTED_VALUE"""),45805.59813949074)</f>
        <v>45805.59814</v>
      </c>
      <c r="K2351" s="13" t="str">
        <f>IFERROR(__xludf.DUMMYFUNCTION("""COMPUTED_VALUE"""),"Selesai")</f>
        <v>Selesai</v>
      </c>
      <c r="L2351" s="17">
        <f>IFERROR(__xludf.DUMMYFUNCTION("""COMPUTED_VALUE"""),45805.59813949074)</f>
        <v>45805.59814</v>
      </c>
      <c r="M2351" s="13"/>
      <c r="N2351" s="13" t="str">
        <f>IFERROR(__xludf.DUMMYFUNCTION("""COMPUTED_VALUE"""),"")</f>
        <v/>
      </c>
      <c r="O2351" s="13" t="str">
        <f t="shared" si="1"/>
        <v/>
      </c>
    </row>
    <row r="2352" ht="22.5" customHeight="1">
      <c r="B2352" s="13">
        <f>IFERROR(__xludf.DUMMYFUNCTION("""COMPUTED_VALUE"""),2347.0)</f>
        <v>2347</v>
      </c>
      <c r="C2352" s="13" t="str">
        <f>IFERROR(__xludf.DUMMYFUNCTION("""COMPUTED_VALUE"""),"M.15450/SUKABUMI")</f>
        <v>M.15450/SUKABUMI</v>
      </c>
      <c r="D2352" s="13" t="str">
        <f>IFERROR(__xludf.DUMMYFUNCTION("""COMPUTED_VALUE"""),"K/2/160525/1")</f>
        <v>K/2/160525/1</v>
      </c>
      <c r="E2352" s="14" t="str">
        <f>IFERROR(__xludf.DUMMYFUNCTION("""COMPUTED_VALUE"""),"Heri (BT)")</f>
        <v>Heri (BT)</v>
      </c>
      <c r="F2352" s="14" t="str">
        <f>IFERROR(__xludf.DUMMYFUNCTION("""COMPUTED_VALUE"""),"SELESAI (VIA PERMOHONAN)")</f>
        <v>SELESAI (VIA PERMOHONAN)</v>
      </c>
      <c r="G2352" s="17">
        <f>IFERROR(__xludf.DUMMYFUNCTION("""COMPUTED_VALUE"""),45805.71629390046)</f>
        <v>45805.71629</v>
      </c>
      <c r="H2352" s="14" t="str">
        <f>IFERROR(__xludf.DUMMYFUNCTION("""COMPUTED_VALUE"""),"Eci (SU)")</f>
        <v>Eci (SU)</v>
      </c>
      <c r="I2352" s="13" t="str">
        <f>IFERROR(__xludf.DUMMYFUNCTION("""COMPUTED_VALUE"""),"SELESAI (VIA PERMOHONAN)")</f>
        <v>SELESAI (VIA PERMOHONAN)</v>
      </c>
      <c r="J2352" s="17">
        <f>IFERROR(__xludf.DUMMYFUNCTION("""COMPUTED_VALUE"""),45810.66687248842)</f>
        <v>45810.66687</v>
      </c>
      <c r="K2352" s="13" t="str">
        <f>IFERROR(__xludf.DUMMYFUNCTION("""COMPUTED_VALUE"""),"Selesai")</f>
        <v>Selesai</v>
      </c>
      <c r="L2352" s="17">
        <f>IFERROR(__xludf.DUMMYFUNCTION("""COMPUTED_VALUE"""),45810.66687248842)</f>
        <v>45810.66687</v>
      </c>
      <c r="M2352" s="13"/>
      <c r="N2352" s="13" t="str">
        <f>IFERROR(__xludf.DUMMYFUNCTION("""COMPUTED_VALUE"""),"")</f>
        <v/>
      </c>
      <c r="O2352" s="13" t="str">
        <f t="shared" si="1"/>
        <v/>
      </c>
    </row>
    <row r="2353" ht="22.5" customHeight="1">
      <c r="B2353" s="13">
        <f>IFERROR(__xludf.DUMMYFUNCTION("""COMPUTED_VALUE"""),2348.0)</f>
        <v>2348</v>
      </c>
      <c r="C2353" s="13" t="str">
        <f>IFERROR(__xludf.DUMMYFUNCTION("""COMPUTED_VALUE"""),"M.2143/BAKUNG")</f>
        <v>M.2143/BAKUNG</v>
      </c>
      <c r="D2353" s="13" t="str">
        <f>IFERROR(__xludf.DUMMYFUNCTION("""COMPUTED_VALUE"""),"K/40/311224/1")</f>
        <v>K/40/311224/1</v>
      </c>
      <c r="E2353" s="14" t="str">
        <f>IFERROR(__xludf.DUMMYFUNCTION("""COMPUTED_VALUE"""),"Heri (BT)")</f>
        <v>Heri (BT)</v>
      </c>
      <c r="F2353" s="14" t="str">
        <f>IFERROR(__xludf.DUMMYFUNCTION("""COMPUTED_VALUE"""),"SELESAI (VIA PERMOHONAN)")</f>
        <v>SELESAI (VIA PERMOHONAN)</v>
      </c>
      <c r="G2353" s="17">
        <f>IFERROR(__xludf.DUMMYFUNCTION("""COMPUTED_VALUE"""),45805.716566574076)</f>
        <v>45805.71657</v>
      </c>
      <c r="H2353" s="14" t="str">
        <f>IFERROR(__xludf.DUMMYFUNCTION("""COMPUTED_VALUE"""),"Eci (SU)")</f>
        <v>Eci (SU)</v>
      </c>
      <c r="I2353" s="13" t="str">
        <f>IFERROR(__xludf.DUMMYFUNCTION("""COMPUTED_VALUE"""),"SELESAI (VIA PERMOHONAN)")</f>
        <v>SELESAI (VIA PERMOHONAN)</v>
      </c>
      <c r="J2353" s="17">
        <f>IFERROR(__xludf.DUMMYFUNCTION("""COMPUTED_VALUE"""),45810.666726157404)</f>
        <v>45810.66673</v>
      </c>
      <c r="K2353" s="13" t="str">
        <f>IFERROR(__xludf.DUMMYFUNCTION("""COMPUTED_VALUE"""),"Selesai")</f>
        <v>Selesai</v>
      </c>
      <c r="L2353" s="17">
        <f>IFERROR(__xludf.DUMMYFUNCTION("""COMPUTED_VALUE"""),45810.666726157404)</f>
        <v>45810.66673</v>
      </c>
      <c r="M2353" s="13"/>
      <c r="N2353" s="13" t="str">
        <f>IFERROR(__xludf.DUMMYFUNCTION("""COMPUTED_VALUE"""),"")</f>
        <v/>
      </c>
      <c r="O2353" s="13" t="str">
        <f t="shared" si="1"/>
        <v/>
      </c>
    </row>
    <row r="2354" ht="22.5" customHeight="1">
      <c r="B2354" s="13">
        <f>IFERROR(__xludf.DUMMYFUNCTION("""COMPUTED_VALUE"""),2349.0)</f>
        <v>2349</v>
      </c>
      <c r="C2354" s="13" t="str">
        <f>IFERROR(__xludf.DUMMYFUNCTION("""COMPUTED_VALUE"""),"M.1975/KOTA BARU")</f>
        <v>M.1975/KOTA BARU</v>
      </c>
      <c r="D2354" s="13" t="str">
        <f>IFERROR(__xludf.DUMMYFUNCTION("""COMPUTED_VALUE"""),"K/16/080525/1")</f>
        <v>K/16/080525/1</v>
      </c>
      <c r="E2354" s="14" t="str">
        <f>IFERROR(__xludf.DUMMYFUNCTION("""COMPUTED_VALUE"""),"Heri (BT)")</f>
        <v>Heri (BT)</v>
      </c>
      <c r="F2354" s="14" t="str">
        <f>IFERROR(__xludf.DUMMYFUNCTION("""COMPUTED_VALUE"""),"SELESAI (VIA PERMOHONAN)")</f>
        <v>SELESAI (VIA PERMOHONAN)</v>
      </c>
      <c r="G2354" s="17">
        <f>IFERROR(__xludf.DUMMYFUNCTION("""COMPUTED_VALUE"""),45805.71689964121)</f>
        <v>45805.7169</v>
      </c>
      <c r="H2354" s="14" t="str">
        <f>IFERROR(__xludf.DUMMYFUNCTION("""COMPUTED_VALUE"""),"Eci (SU)")</f>
        <v>Eci (SU)</v>
      </c>
      <c r="I2354" s="13" t="str">
        <f>IFERROR(__xludf.DUMMYFUNCTION("""COMPUTED_VALUE"""),"SELESAI (VIA PERMOHONAN)")</f>
        <v>SELESAI (VIA PERMOHONAN)</v>
      </c>
      <c r="J2354" s="17">
        <f>IFERROR(__xludf.DUMMYFUNCTION("""COMPUTED_VALUE"""),45810.682582361114)</f>
        <v>45810.68258</v>
      </c>
      <c r="K2354" s="13" t="str">
        <f>IFERROR(__xludf.DUMMYFUNCTION("""COMPUTED_VALUE"""),"Selesai")</f>
        <v>Selesai</v>
      </c>
      <c r="L2354" s="17">
        <f>IFERROR(__xludf.DUMMYFUNCTION("""COMPUTED_VALUE"""),45810.682582361114)</f>
        <v>45810.68258</v>
      </c>
      <c r="M2354" s="13"/>
      <c r="N2354" s="13" t="str">
        <f>IFERROR(__xludf.DUMMYFUNCTION("""COMPUTED_VALUE"""),"")</f>
        <v/>
      </c>
      <c r="O2354" s="13" t="str">
        <f t="shared" si="1"/>
        <v/>
      </c>
    </row>
    <row r="2355" ht="22.5" customHeight="1">
      <c r="B2355" s="13">
        <f>IFERROR(__xludf.DUMMYFUNCTION("""COMPUTED_VALUE"""),2350.0)</f>
        <v>2350</v>
      </c>
      <c r="C2355" s="13" t="str">
        <f>IFERROR(__xludf.DUMMYFUNCTION("""COMPUTED_VALUE"""),"M. 10278/SIDODADI")</f>
        <v>M. 10278/SIDODADI</v>
      </c>
      <c r="D2355" s="13" t="str">
        <f>IFERROR(__xludf.DUMMYFUNCTION("""COMPUTED_VALUE"""),"K/22/020525/1")</f>
        <v>K/22/020525/1</v>
      </c>
      <c r="E2355" s="14" t="str">
        <f>IFERROR(__xludf.DUMMYFUNCTION("""COMPUTED_VALUE"""),"Heri (BT)")</f>
        <v>Heri (BT)</v>
      </c>
      <c r="F2355" s="14" t="str">
        <f>IFERROR(__xludf.DUMMYFUNCTION("""COMPUTED_VALUE"""),"SELESAI (VIA PERMOHONAN)")</f>
        <v>SELESAI (VIA PERMOHONAN)</v>
      </c>
      <c r="G2355" s="17">
        <f>IFERROR(__xludf.DUMMYFUNCTION("""COMPUTED_VALUE"""),45805.717092314815)</f>
        <v>45805.71709</v>
      </c>
      <c r="H2355" s="14" t="str">
        <f>IFERROR(__xludf.DUMMYFUNCTION("""COMPUTED_VALUE"""),"Eci (SU)")</f>
        <v>Eci (SU)</v>
      </c>
      <c r="I2355" s="13" t="str">
        <f>IFERROR(__xludf.DUMMYFUNCTION("""COMPUTED_VALUE"""),"SELESAI (VIA PERMOHONAN)")</f>
        <v>SELESAI (VIA PERMOHONAN)</v>
      </c>
      <c r="J2355" s="17">
        <f>IFERROR(__xludf.DUMMYFUNCTION("""COMPUTED_VALUE"""),45810.67904527778)</f>
        <v>45810.67905</v>
      </c>
      <c r="K2355" s="13" t="str">
        <f>IFERROR(__xludf.DUMMYFUNCTION("""COMPUTED_VALUE"""),"Selesai")</f>
        <v>Selesai</v>
      </c>
      <c r="L2355" s="17">
        <f>IFERROR(__xludf.DUMMYFUNCTION("""COMPUTED_VALUE"""),45810.67904527778)</f>
        <v>45810.67905</v>
      </c>
      <c r="M2355" s="13"/>
      <c r="N2355" s="13" t="str">
        <f>IFERROR(__xludf.DUMMYFUNCTION("""COMPUTED_VALUE"""),"")</f>
        <v/>
      </c>
      <c r="O2355" s="13" t="str">
        <f t="shared" si="1"/>
        <v/>
      </c>
    </row>
    <row r="2356" ht="22.5" customHeight="1">
      <c r="B2356" s="13">
        <f>IFERROR(__xludf.DUMMYFUNCTION("""COMPUTED_VALUE"""),2351.0)</f>
        <v>2351</v>
      </c>
      <c r="C2356" s="13" t="str">
        <f>IFERROR(__xludf.DUMMYFUNCTION("""COMPUTED_VALUE"""),"M.2962/GEDONG AIR")</f>
        <v>M.2962/GEDONG AIR</v>
      </c>
      <c r="D2356" s="13" t="str">
        <f>IFERROR(__xludf.DUMMYFUNCTION("""COMPUTED_VALUE"""),"K/12/230525/1")</f>
        <v>K/12/230525/1</v>
      </c>
      <c r="E2356" s="14" t="str">
        <f>IFERROR(__xludf.DUMMYFUNCTION("""COMPUTED_VALUE"""),"Afriza (BT)")</f>
        <v>Afriza (BT)</v>
      </c>
      <c r="F2356" s="14" t="str">
        <f>IFERROR(__xludf.DUMMYFUNCTION("""COMPUTED_VALUE"""),"SELESAI (VIA PERMOHONAN)")</f>
        <v>SELESAI (VIA PERMOHONAN)</v>
      </c>
      <c r="G2356" s="17">
        <f>IFERROR(__xludf.DUMMYFUNCTION("""COMPUTED_VALUE"""),45810.455356817125)</f>
        <v>45810.45536</v>
      </c>
      <c r="H2356" s="14" t="str">
        <f>IFERROR(__xludf.DUMMYFUNCTION("""COMPUTED_VALUE"""),"Eci (SU)")</f>
        <v>Eci (SU)</v>
      </c>
      <c r="I2356" s="13" t="str">
        <f>IFERROR(__xludf.DUMMYFUNCTION("""COMPUTED_VALUE"""),"SELESAI (VIA PERMOHONAN)")</f>
        <v>SELESAI (VIA PERMOHONAN)</v>
      </c>
      <c r="J2356" s="17">
        <f>IFERROR(__xludf.DUMMYFUNCTION("""COMPUTED_VALUE"""),45810.59465866898)</f>
        <v>45810.59466</v>
      </c>
      <c r="K2356" s="13" t="str">
        <f>IFERROR(__xludf.DUMMYFUNCTION("""COMPUTED_VALUE"""),"Selesai")</f>
        <v>Selesai</v>
      </c>
      <c r="L2356" s="17">
        <f>IFERROR(__xludf.DUMMYFUNCTION("""COMPUTED_VALUE"""),45810.59465866898)</f>
        <v>45810.59466</v>
      </c>
      <c r="M2356" s="13"/>
      <c r="N2356" s="13" t="str">
        <f>IFERROR(__xludf.DUMMYFUNCTION("""COMPUTED_VALUE"""),"")</f>
        <v/>
      </c>
      <c r="O2356" s="13" t="str">
        <f t="shared" si="1"/>
        <v/>
      </c>
    </row>
    <row r="2357" ht="22.5" customHeight="1">
      <c r="B2357" s="13">
        <f>IFERROR(__xludf.DUMMYFUNCTION("""COMPUTED_VALUE"""),2352.0)</f>
        <v>2352</v>
      </c>
      <c r="C2357" s="13" t="str">
        <f>IFERROR(__xludf.DUMMYFUNCTION("""COMPUTED_VALUE"""),"M. 290/SEPANG JAYA")</f>
        <v>M. 290/SEPANG JAYA</v>
      </c>
      <c r="D2357" s="13" t="str">
        <f>IFERROR(__xludf.DUMMYFUNCTION("""COMPUTED_VALUE"""),"K/14/220525/1")</f>
        <v>K/14/220525/1</v>
      </c>
      <c r="E2357" s="14" t="str">
        <f>IFERROR(__xludf.DUMMYFUNCTION("""COMPUTED_VALUE"""),"Afriza (BT)")</f>
        <v>Afriza (BT)</v>
      </c>
      <c r="F2357" s="14" t="str">
        <f>IFERROR(__xludf.DUMMYFUNCTION("""COMPUTED_VALUE"""),"SELESAI (VIA PERMOHONAN)")</f>
        <v>SELESAI (VIA PERMOHONAN)</v>
      </c>
      <c r="G2357" s="17">
        <f>IFERROR(__xludf.DUMMYFUNCTION("""COMPUTED_VALUE"""),45810.455515023146)</f>
        <v>45810.45552</v>
      </c>
      <c r="H2357" s="14" t="str">
        <f>IFERROR(__xludf.DUMMYFUNCTION("""COMPUTED_VALUE"""),"Eci (SU)")</f>
        <v>Eci (SU)</v>
      </c>
      <c r="I2357" s="13" t="str">
        <f>IFERROR(__xludf.DUMMYFUNCTION("""COMPUTED_VALUE"""),"SELESAI (VIA PERMOHONAN)")</f>
        <v>SELESAI (VIA PERMOHONAN)</v>
      </c>
      <c r="J2357" s="17">
        <f>IFERROR(__xludf.DUMMYFUNCTION("""COMPUTED_VALUE"""),45810.60235800926)</f>
        <v>45810.60236</v>
      </c>
      <c r="K2357" s="13" t="str">
        <f>IFERROR(__xludf.DUMMYFUNCTION("""COMPUTED_VALUE"""),"Selesai")</f>
        <v>Selesai</v>
      </c>
      <c r="L2357" s="17">
        <f>IFERROR(__xludf.DUMMYFUNCTION("""COMPUTED_VALUE"""),45810.60235800926)</f>
        <v>45810.60236</v>
      </c>
      <c r="M2357" s="13"/>
      <c r="N2357" s="13" t="str">
        <f>IFERROR(__xludf.DUMMYFUNCTION("""COMPUTED_VALUE"""),"")</f>
        <v/>
      </c>
      <c r="O2357" s="13" t="str">
        <f t="shared" si="1"/>
        <v/>
      </c>
    </row>
    <row r="2358" ht="22.5" customHeight="1">
      <c r="B2358" s="13">
        <f>IFERROR(__xludf.DUMMYFUNCTION("""COMPUTED_VALUE"""),2353.0)</f>
        <v>2353</v>
      </c>
      <c r="C2358" s="13" t="str">
        <f>IFERROR(__xludf.DUMMYFUNCTION("""COMPUTED_VALUE"""),"M.1836/SUMBER REJO")</f>
        <v>M.1836/SUMBER REJO</v>
      </c>
      <c r="D2358" s="13" t="str">
        <f>IFERROR(__xludf.DUMMYFUNCTION("""COMPUTED_VALUE"""),"K/15/020525/1")</f>
        <v>K/15/020525/1</v>
      </c>
      <c r="E2358" s="14" t="str">
        <f>IFERROR(__xludf.DUMMYFUNCTION("""COMPUTED_VALUE"""),"Afriza (BT)")</f>
        <v>Afriza (BT)</v>
      </c>
      <c r="F2358" s="14" t="str">
        <f>IFERROR(__xludf.DUMMYFUNCTION("""COMPUTED_VALUE"""),"SELESAI (VIA PERMOHONAN)")</f>
        <v>SELESAI (VIA PERMOHONAN)</v>
      </c>
      <c r="G2358" s="17">
        <f>IFERROR(__xludf.DUMMYFUNCTION("""COMPUTED_VALUE"""),45810.455656087965)</f>
        <v>45810.45566</v>
      </c>
      <c r="H2358" s="14" t="str">
        <f>IFERROR(__xludf.DUMMYFUNCTION("""COMPUTED_VALUE"""),"Eci (SU)")</f>
        <v>Eci (SU)</v>
      </c>
      <c r="I2358" s="13" t="str">
        <f>IFERROR(__xludf.DUMMYFUNCTION("""COMPUTED_VALUE"""),"SELESAI (VIA PERMOHONAN)")</f>
        <v>SELESAI (VIA PERMOHONAN)</v>
      </c>
      <c r="J2358" s="17">
        <f>IFERROR(__xludf.DUMMYFUNCTION("""COMPUTED_VALUE"""),45810.60235800926)</f>
        <v>45810.60236</v>
      </c>
      <c r="K2358" s="13" t="str">
        <f>IFERROR(__xludf.DUMMYFUNCTION("""COMPUTED_VALUE"""),"Selesai")</f>
        <v>Selesai</v>
      </c>
      <c r="L2358" s="17">
        <f>IFERROR(__xludf.DUMMYFUNCTION("""COMPUTED_VALUE"""),45810.60235800926)</f>
        <v>45810.60236</v>
      </c>
      <c r="M2358" s="13"/>
      <c r="N2358" s="13" t="str">
        <f>IFERROR(__xludf.DUMMYFUNCTION("""COMPUTED_VALUE"""),"")</f>
        <v/>
      </c>
      <c r="O2358" s="13" t="str">
        <f t="shared" si="1"/>
        <v/>
      </c>
    </row>
    <row r="2359" ht="22.5" customHeight="1">
      <c r="B2359" s="13">
        <f>IFERROR(__xludf.DUMMYFUNCTION("""COMPUTED_VALUE"""),2354.0)</f>
        <v>2354</v>
      </c>
      <c r="C2359" s="13" t="str">
        <f>IFERROR(__xludf.DUMMYFUNCTION("""COMPUTED_VALUE"""),"M.616/RAJABASA PEMUKA")</f>
        <v>M.616/RAJABASA PEMUKA</v>
      </c>
      <c r="D2359" s="13" t="str">
        <f>IFERROR(__xludf.DUMMYFUNCTION("""COMPUTED_VALUE"""),"K/10/190525/1")</f>
        <v>K/10/190525/1</v>
      </c>
      <c r="E2359" s="14" t="str">
        <f>IFERROR(__xludf.DUMMYFUNCTION("""COMPUTED_VALUE"""),"Afriza (BT)")</f>
        <v>Afriza (BT)</v>
      </c>
      <c r="F2359" s="14" t="str">
        <f>IFERROR(__xludf.DUMMYFUNCTION("""COMPUTED_VALUE"""),"SELESAI (VIA PERMOHONAN)")</f>
        <v>SELESAI (VIA PERMOHONAN)</v>
      </c>
      <c r="G2359" s="17">
        <f>IFERROR(__xludf.DUMMYFUNCTION("""COMPUTED_VALUE"""),45810.45578880787)</f>
        <v>45810.45579</v>
      </c>
      <c r="H2359" s="14" t="str">
        <f>IFERROR(__xludf.DUMMYFUNCTION("""COMPUTED_VALUE"""),"Eci (SU)")</f>
        <v>Eci (SU)</v>
      </c>
      <c r="I2359" s="13" t="str">
        <f>IFERROR(__xludf.DUMMYFUNCTION("""COMPUTED_VALUE"""),"SELESAI (VIA PERMOHONAN)")</f>
        <v>SELESAI (VIA PERMOHONAN)</v>
      </c>
      <c r="J2359" s="17">
        <f>IFERROR(__xludf.DUMMYFUNCTION("""COMPUTED_VALUE"""),45810.60235800926)</f>
        <v>45810.60236</v>
      </c>
      <c r="K2359" s="13" t="str">
        <f>IFERROR(__xludf.DUMMYFUNCTION("""COMPUTED_VALUE"""),"Selesai")</f>
        <v>Selesai</v>
      </c>
      <c r="L2359" s="17">
        <f>IFERROR(__xludf.DUMMYFUNCTION("""COMPUTED_VALUE"""),45810.60235800926)</f>
        <v>45810.60236</v>
      </c>
      <c r="M2359" s="13"/>
      <c r="N2359" s="13" t="str">
        <f>IFERROR(__xludf.DUMMYFUNCTION("""COMPUTED_VALUE"""),"")</f>
        <v/>
      </c>
      <c r="O2359" s="13" t="str">
        <f t="shared" si="1"/>
        <v/>
      </c>
    </row>
    <row r="2360" ht="22.5" customHeight="1">
      <c r="B2360" s="13">
        <f>IFERROR(__xludf.DUMMYFUNCTION("""COMPUTED_VALUE"""),2355.0)</f>
        <v>2355</v>
      </c>
      <c r="C2360" s="13" t="str">
        <f>IFERROR(__xludf.DUMMYFUNCTION("""COMPUTED_VALUE"""),"M.909/PESAWAHAN")</f>
        <v>M.909/PESAWAHAN</v>
      </c>
      <c r="D2360" s="13" t="str">
        <f>IFERROR(__xludf.DUMMYFUNCTION("""COMPUTED_VALUE"""),"K/35/190525/1")</f>
        <v>K/35/190525/1</v>
      </c>
      <c r="E2360" s="14" t="str">
        <f>IFERROR(__xludf.DUMMYFUNCTION("""COMPUTED_VALUE"""),"Afriza (BT)")</f>
        <v>Afriza (BT)</v>
      </c>
      <c r="F2360" s="14" t="str">
        <f>IFERROR(__xludf.DUMMYFUNCTION("""COMPUTED_VALUE"""),"SELESAI (VIA PERMOHONAN)")</f>
        <v>SELESAI (VIA PERMOHONAN)</v>
      </c>
      <c r="G2360" s="17">
        <f>IFERROR(__xludf.DUMMYFUNCTION("""COMPUTED_VALUE"""),45810.45586913194)</f>
        <v>45810.45587</v>
      </c>
      <c r="H2360" s="14" t="str">
        <f>IFERROR(__xludf.DUMMYFUNCTION("""COMPUTED_VALUE"""),"Eci (SU)")</f>
        <v>Eci (SU)</v>
      </c>
      <c r="I2360" s="13" t="str">
        <f>IFERROR(__xludf.DUMMYFUNCTION("""COMPUTED_VALUE"""),"SELESAI (VIA PERMOHONAN)")</f>
        <v>SELESAI (VIA PERMOHONAN)</v>
      </c>
      <c r="J2360" s="17">
        <f>IFERROR(__xludf.DUMMYFUNCTION("""COMPUTED_VALUE"""),45810.60235800926)</f>
        <v>45810.60236</v>
      </c>
      <c r="K2360" s="13" t="str">
        <f>IFERROR(__xludf.DUMMYFUNCTION("""COMPUTED_VALUE"""),"Selesai")</f>
        <v>Selesai</v>
      </c>
      <c r="L2360" s="17">
        <f>IFERROR(__xludf.DUMMYFUNCTION("""COMPUTED_VALUE"""),45810.60235800926)</f>
        <v>45810.60236</v>
      </c>
      <c r="M2360" s="13"/>
      <c r="N2360" s="13" t="str">
        <f>IFERROR(__xludf.DUMMYFUNCTION("""COMPUTED_VALUE"""),"")</f>
        <v/>
      </c>
      <c r="O2360" s="13" t="str">
        <f t="shared" si="1"/>
        <v/>
      </c>
    </row>
    <row r="2361" ht="22.5" customHeight="1">
      <c r="B2361" s="13">
        <f>IFERROR(__xludf.DUMMYFUNCTION("""COMPUTED_VALUE"""),2356.0)</f>
        <v>2356</v>
      </c>
      <c r="C2361" s="13" t="str">
        <f>IFERROR(__xludf.DUMMYFUNCTION("""COMPUTED_VALUE"""),"M. 672/KOPRI JAYA")</f>
        <v>M. 672/KOPRI JAYA</v>
      </c>
      <c r="D2361" s="13" t="str">
        <f>IFERROR(__xludf.DUMMYFUNCTION("""COMPUTED_VALUE"""),"K/39/190525/1")</f>
        <v>K/39/190525/1</v>
      </c>
      <c r="E2361" s="14" t="str">
        <f>IFERROR(__xludf.DUMMYFUNCTION("""COMPUTED_VALUE"""),"Afriza (BT)")</f>
        <v>Afriza (BT)</v>
      </c>
      <c r="F2361" s="14" t="str">
        <f>IFERROR(__xludf.DUMMYFUNCTION("""COMPUTED_VALUE"""),"SELESAI (VIA PERMOHONAN)")</f>
        <v>SELESAI (VIA PERMOHONAN)</v>
      </c>
      <c r="G2361" s="17">
        <f>IFERROR(__xludf.DUMMYFUNCTION("""COMPUTED_VALUE"""),45810.45599605324)</f>
        <v>45810.456</v>
      </c>
      <c r="H2361" s="14" t="str">
        <f>IFERROR(__xludf.DUMMYFUNCTION("""COMPUTED_VALUE"""),"Eci (SU)")</f>
        <v>Eci (SU)</v>
      </c>
      <c r="I2361" s="13" t="str">
        <f>IFERROR(__xludf.DUMMYFUNCTION("""COMPUTED_VALUE"""),"SELESAI (VIA PERMOHONAN)")</f>
        <v>SELESAI (VIA PERMOHONAN)</v>
      </c>
      <c r="J2361" s="17">
        <f>IFERROR(__xludf.DUMMYFUNCTION("""COMPUTED_VALUE"""),45810.60235800926)</f>
        <v>45810.60236</v>
      </c>
      <c r="K2361" s="13" t="str">
        <f>IFERROR(__xludf.DUMMYFUNCTION("""COMPUTED_VALUE"""),"Selesai")</f>
        <v>Selesai</v>
      </c>
      <c r="L2361" s="17">
        <f>IFERROR(__xludf.DUMMYFUNCTION("""COMPUTED_VALUE"""),45810.60235800926)</f>
        <v>45810.60236</v>
      </c>
      <c r="M2361" s="13"/>
      <c r="N2361" s="13" t="str">
        <f>IFERROR(__xludf.DUMMYFUNCTION("""COMPUTED_VALUE"""),"")</f>
        <v/>
      </c>
      <c r="O2361" s="13" t="str">
        <f t="shared" si="1"/>
        <v/>
      </c>
    </row>
    <row r="2362" ht="22.5" customHeight="1">
      <c r="B2362" s="13">
        <f>IFERROR(__xludf.DUMMYFUNCTION("""COMPUTED_VALUE"""),2357.0)</f>
        <v>2357</v>
      </c>
      <c r="C2362" s="13" t="str">
        <f>IFERROR(__xludf.DUMMYFUNCTION("""COMPUTED_VALUE"""),"M. 6487/ Way Kandis")</f>
        <v>M. 6487/ Way Kandis</v>
      </c>
      <c r="D2362" s="13" t="str">
        <f>IFERROR(__xludf.DUMMYFUNCTION("""COMPUTED_VALUE"""),"K/11/251124/1")</f>
        <v>K/11/251124/1</v>
      </c>
      <c r="E2362" s="14" t="str">
        <f>IFERROR(__xludf.DUMMYFUNCTION("""COMPUTED_VALUE"""),"Afriza (BT)")</f>
        <v>Afriza (BT)</v>
      </c>
      <c r="F2362" s="14" t="str">
        <f>IFERROR(__xludf.DUMMYFUNCTION("""COMPUTED_VALUE"""),"SELESAI (VIA PERMOHONAN)")</f>
        <v>SELESAI (VIA PERMOHONAN)</v>
      </c>
      <c r="G2362" s="17">
        <f>IFERROR(__xludf.DUMMYFUNCTION("""COMPUTED_VALUE"""),45810.456154733794)</f>
        <v>45810.45615</v>
      </c>
      <c r="H2362" s="14" t="str">
        <f>IFERROR(__xludf.DUMMYFUNCTION("""COMPUTED_VALUE"""),"Eci (SU)")</f>
        <v>Eci (SU)</v>
      </c>
      <c r="I2362" s="13" t="str">
        <f>IFERROR(__xludf.DUMMYFUNCTION("""COMPUTED_VALUE"""),"SELESAI (VIA PERMOHONAN)")</f>
        <v>SELESAI (VIA PERMOHONAN)</v>
      </c>
      <c r="J2362" s="17">
        <f>IFERROR(__xludf.DUMMYFUNCTION("""COMPUTED_VALUE"""),45810.60235800926)</f>
        <v>45810.60236</v>
      </c>
      <c r="K2362" s="13" t="str">
        <f>IFERROR(__xludf.DUMMYFUNCTION("""COMPUTED_VALUE"""),"Selesai")</f>
        <v>Selesai</v>
      </c>
      <c r="L2362" s="17">
        <f>IFERROR(__xludf.DUMMYFUNCTION("""COMPUTED_VALUE"""),45810.60235800926)</f>
        <v>45810.60236</v>
      </c>
      <c r="M2362" s="13"/>
      <c r="N2362" s="13" t="str">
        <f>IFERROR(__xludf.DUMMYFUNCTION("""COMPUTED_VALUE"""),"")</f>
        <v/>
      </c>
      <c r="O2362" s="13" t="str">
        <f t="shared" si="1"/>
        <v/>
      </c>
    </row>
    <row r="2363" ht="22.5" customHeight="1">
      <c r="B2363" s="13">
        <f>IFERROR(__xludf.DUMMYFUNCTION("""COMPUTED_VALUE"""),2358.0)</f>
        <v>2358</v>
      </c>
      <c r="C2363" s="13" t="str">
        <f>IFERROR(__xludf.DUMMYFUNCTION("""COMPUTED_VALUE"""),"M. 1146/ Rajabasa Pemuka")</f>
        <v>M. 1146/ Rajabasa Pemuka</v>
      </c>
      <c r="D2363" s="13" t="str">
        <f>IFERROR(__xludf.DUMMYFUNCTION("""COMPUTED_VALUE"""),"K/2/220525/1")</f>
        <v>K/2/220525/1</v>
      </c>
      <c r="E2363" s="14" t="str">
        <f>IFERROR(__xludf.DUMMYFUNCTION("""COMPUTED_VALUE"""),"Afriza (BT)")</f>
        <v>Afriza (BT)</v>
      </c>
      <c r="F2363" s="14" t="str">
        <f>IFERROR(__xludf.DUMMYFUNCTION("""COMPUTED_VALUE"""),"SELESAI (VIA PERMOHONAN)")</f>
        <v>SELESAI (VIA PERMOHONAN)</v>
      </c>
      <c r="G2363" s="17">
        <f>IFERROR(__xludf.DUMMYFUNCTION("""COMPUTED_VALUE"""),45810.456331134264)</f>
        <v>45810.45633</v>
      </c>
      <c r="H2363" s="14" t="str">
        <f>IFERROR(__xludf.DUMMYFUNCTION("""COMPUTED_VALUE"""),"Eci (SU)")</f>
        <v>Eci (SU)</v>
      </c>
      <c r="I2363" s="13" t="str">
        <f>IFERROR(__xludf.DUMMYFUNCTION("""COMPUTED_VALUE"""),"SELESAI (VIA PERMOHONAN)")</f>
        <v>SELESAI (VIA PERMOHONAN)</v>
      </c>
      <c r="J2363" s="17">
        <f>IFERROR(__xludf.DUMMYFUNCTION("""COMPUTED_VALUE"""),45810.60235800926)</f>
        <v>45810.60236</v>
      </c>
      <c r="K2363" s="13" t="str">
        <f>IFERROR(__xludf.DUMMYFUNCTION("""COMPUTED_VALUE"""),"Selesai")</f>
        <v>Selesai</v>
      </c>
      <c r="L2363" s="17">
        <f>IFERROR(__xludf.DUMMYFUNCTION("""COMPUTED_VALUE"""),45810.60235800926)</f>
        <v>45810.60236</v>
      </c>
      <c r="M2363" s="13"/>
      <c r="N2363" s="13" t="str">
        <f>IFERROR(__xludf.DUMMYFUNCTION("""COMPUTED_VALUE"""),"")</f>
        <v/>
      </c>
      <c r="O2363" s="13" t="str">
        <f t="shared" si="1"/>
        <v/>
      </c>
    </row>
    <row r="2364" ht="22.5" customHeight="1">
      <c r="B2364" s="13">
        <f>IFERROR(__xludf.DUMMYFUNCTION("""COMPUTED_VALUE"""),2359.0)</f>
        <v>2359</v>
      </c>
      <c r="C2364" s="13" t="str">
        <f>IFERROR(__xludf.DUMMYFUNCTION("""COMPUTED_VALUE"""),"M. 3741/ Rajabasa Jaya")</f>
        <v>M. 3741/ Rajabasa Jaya</v>
      </c>
      <c r="D2364" s="13" t="str">
        <f>IFERROR(__xludf.DUMMYFUNCTION("""COMPUTED_VALUE"""),"K/37/210525/1")</f>
        <v>K/37/210525/1</v>
      </c>
      <c r="E2364" s="14" t="str">
        <f>IFERROR(__xludf.DUMMYFUNCTION("""COMPUTED_VALUE"""),"Afriza (BT)")</f>
        <v>Afriza (BT)</v>
      </c>
      <c r="F2364" s="14" t="str">
        <f>IFERROR(__xludf.DUMMYFUNCTION("""COMPUTED_VALUE"""),"SELESAI (VIA PERMOHONAN)")</f>
        <v>SELESAI (VIA PERMOHONAN)</v>
      </c>
      <c r="G2364" s="17">
        <f>IFERROR(__xludf.DUMMYFUNCTION("""COMPUTED_VALUE"""),45810.456423379626)</f>
        <v>45810.45642</v>
      </c>
      <c r="H2364" s="14" t="str">
        <f>IFERROR(__xludf.DUMMYFUNCTION("""COMPUTED_VALUE"""),"Eci (SU)")</f>
        <v>Eci (SU)</v>
      </c>
      <c r="I2364" s="13" t="str">
        <f>IFERROR(__xludf.DUMMYFUNCTION("""COMPUTED_VALUE"""),"SELESAI (VIA PERMOHONAN)")</f>
        <v>SELESAI (VIA PERMOHONAN)</v>
      </c>
      <c r="J2364" s="17">
        <f>IFERROR(__xludf.DUMMYFUNCTION("""COMPUTED_VALUE"""),45810.60235800926)</f>
        <v>45810.60236</v>
      </c>
      <c r="K2364" s="13" t="str">
        <f>IFERROR(__xludf.DUMMYFUNCTION("""COMPUTED_VALUE"""),"Selesai")</f>
        <v>Selesai</v>
      </c>
      <c r="L2364" s="17">
        <f>IFERROR(__xludf.DUMMYFUNCTION("""COMPUTED_VALUE"""),45810.60235800926)</f>
        <v>45810.60236</v>
      </c>
      <c r="M2364" s="13"/>
      <c r="N2364" s="13" t="str">
        <f>IFERROR(__xludf.DUMMYFUNCTION("""COMPUTED_VALUE"""),"")</f>
        <v/>
      </c>
      <c r="O2364" s="13" t="str">
        <f t="shared" si="1"/>
        <v/>
      </c>
    </row>
    <row r="2365" ht="22.5" customHeight="1">
      <c r="B2365" s="13">
        <f>IFERROR(__xludf.DUMMYFUNCTION("""COMPUTED_VALUE"""),2360.0)</f>
        <v>2360</v>
      </c>
      <c r="C2365" s="13" t="str">
        <f>IFERROR(__xludf.DUMMYFUNCTION("""COMPUTED_VALUE"""),"M. 1010/ N O G")</f>
        <v>M. 1010/ N O G</v>
      </c>
      <c r="D2365" s="13" t="str">
        <f>IFERROR(__xludf.DUMMYFUNCTION("""COMPUTED_VALUE"""),"K/5/190525/1")</f>
        <v>K/5/190525/1</v>
      </c>
      <c r="E2365" s="14" t="str">
        <f>IFERROR(__xludf.DUMMYFUNCTION("""COMPUTED_VALUE"""),"Afriza (BT)")</f>
        <v>Afriza (BT)</v>
      </c>
      <c r="F2365" s="14" t="str">
        <f>IFERROR(__xludf.DUMMYFUNCTION("""COMPUTED_VALUE"""),"SELESAI (VIA PERMOHONAN)")</f>
        <v>SELESAI (VIA PERMOHONAN)</v>
      </c>
      <c r="G2365" s="17">
        <f>IFERROR(__xludf.DUMMYFUNCTION("""COMPUTED_VALUE"""),45810.45652622685)</f>
        <v>45810.45653</v>
      </c>
      <c r="H2365" s="14" t="str">
        <f>IFERROR(__xludf.DUMMYFUNCTION("""COMPUTED_VALUE"""),"Eci (SU)")</f>
        <v>Eci (SU)</v>
      </c>
      <c r="I2365" s="13" t="str">
        <f>IFERROR(__xludf.DUMMYFUNCTION("""COMPUTED_VALUE"""),"SELESAI (VIA PERMOHONAN)")</f>
        <v>SELESAI (VIA PERMOHONAN)</v>
      </c>
      <c r="J2365" s="17">
        <f>IFERROR(__xludf.DUMMYFUNCTION("""COMPUTED_VALUE"""),45810.60235800926)</f>
        <v>45810.60236</v>
      </c>
      <c r="K2365" s="13" t="str">
        <f>IFERROR(__xludf.DUMMYFUNCTION("""COMPUTED_VALUE"""),"Selesai")</f>
        <v>Selesai</v>
      </c>
      <c r="L2365" s="17">
        <f>IFERROR(__xludf.DUMMYFUNCTION("""COMPUTED_VALUE"""),45810.60235800926)</f>
        <v>45810.60236</v>
      </c>
      <c r="M2365" s="13"/>
      <c r="N2365" s="13" t="str">
        <f>IFERROR(__xludf.DUMMYFUNCTION("""COMPUTED_VALUE"""),"")</f>
        <v/>
      </c>
      <c r="O2365" s="13" t="str">
        <f t="shared" si="1"/>
        <v/>
      </c>
    </row>
    <row r="2366" ht="22.5" customHeight="1">
      <c r="B2366" s="13">
        <f>IFERROR(__xludf.DUMMYFUNCTION("""COMPUTED_VALUE"""),2361.0)</f>
        <v>2361</v>
      </c>
      <c r="C2366" s="13" t="str">
        <f>IFERROR(__xludf.DUMMYFUNCTION("""COMPUTED_VALUE"""),"M. 67/ Way Dadi Baru")</f>
        <v>M. 67/ Way Dadi Baru</v>
      </c>
      <c r="D2366" s="13" t="str">
        <f>IFERROR(__xludf.DUMMYFUNCTION("""COMPUTED_VALUE"""),"K/33/190525/1")</f>
        <v>K/33/190525/1</v>
      </c>
      <c r="E2366" s="14" t="str">
        <f>IFERROR(__xludf.DUMMYFUNCTION("""COMPUTED_VALUE"""),"Afriza (BT)")</f>
        <v>Afriza (BT)</v>
      </c>
      <c r="F2366" s="14" t="str">
        <f>IFERROR(__xludf.DUMMYFUNCTION("""COMPUTED_VALUE"""),"SELESAI (VIA PERMOHONAN)")</f>
        <v>SELESAI (VIA PERMOHONAN)</v>
      </c>
      <c r="G2366" s="17">
        <f>IFERROR(__xludf.DUMMYFUNCTION("""COMPUTED_VALUE"""),45810.45666520833)</f>
        <v>45810.45667</v>
      </c>
      <c r="H2366" s="14" t="str">
        <f>IFERROR(__xludf.DUMMYFUNCTION("""COMPUTED_VALUE"""),"Eci (SU)")</f>
        <v>Eci (SU)</v>
      </c>
      <c r="I2366" s="13" t="str">
        <f>IFERROR(__xludf.DUMMYFUNCTION("""COMPUTED_VALUE"""),"SELESAI (VIA PERMOHONAN)")</f>
        <v>SELESAI (VIA PERMOHONAN)</v>
      </c>
      <c r="J2366" s="17">
        <f>IFERROR(__xludf.DUMMYFUNCTION("""COMPUTED_VALUE"""),45810.60235800926)</f>
        <v>45810.60236</v>
      </c>
      <c r="K2366" s="13" t="str">
        <f>IFERROR(__xludf.DUMMYFUNCTION("""COMPUTED_VALUE"""),"Selesai")</f>
        <v>Selesai</v>
      </c>
      <c r="L2366" s="17">
        <f>IFERROR(__xludf.DUMMYFUNCTION("""COMPUTED_VALUE"""),45810.60235800926)</f>
        <v>45810.60236</v>
      </c>
      <c r="M2366" s="13"/>
      <c r="N2366" s="13" t="str">
        <f>IFERROR(__xludf.DUMMYFUNCTION("""COMPUTED_VALUE"""),"")</f>
        <v/>
      </c>
      <c r="O2366" s="13" t="str">
        <f t="shared" si="1"/>
        <v/>
      </c>
    </row>
    <row r="2367" ht="22.5" customHeight="1">
      <c r="B2367" s="13">
        <f>IFERROR(__xludf.DUMMYFUNCTION("""COMPUTED_VALUE"""),2362.0)</f>
        <v>2362</v>
      </c>
      <c r="C2367" s="13" t="str">
        <f>IFERROR(__xludf.DUMMYFUNCTION("""COMPUTED_VALUE"""),"M. 1601/ way Laga")</f>
        <v>M. 1601/ way Laga</v>
      </c>
      <c r="D2367" s="13" t="str">
        <f>IFERROR(__xludf.DUMMYFUNCTION("""COMPUTED_VALUE"""),"K/41/220525/2")</f>
        <v>K/41/220525/2</v>
      </c>
      <c r="E2367" s="14" t="str">
        <f>IFERROR(__xludf.DUMMYFUNCTION("""COMPUTED_VALUE"""),"Heri (BT)")</f>
        <v>Heri (BT)</v>
      </c>
      <c r="F2367" s="14" t="str">
        <f>IFERROR(__xludf.DUMMYFUNCTION("""COMPUTED_VALUE"""),"SELESAI (VIA PERMOHONAN)")</f>
        <v>SELESAI (VIA PERMOHONAN)</v>
      </c>
      <c r="G2367" s="17">
        <f>IFERROR(__xludf.DUMMYFUNCTION("""COMPUTED_VALUE"""),45810.60920371528)</f>
        <v>45810.6092</v>
      </c>
      <c r="H2367" s="14" t="str">
        <f>IFERROR(__xludf.DUMMYFUNCTION("""COMPUTED_VALUE"""),"Eci (SU)")</f>
        <v>Eci (SU)</v>
      </c>
      <c r="I2367" s="13" t="str">
        <f>IFERROR(__xludf.DUMMYFUNCTION("""COMPUTED_VALUE"""),"SELESAI (VIA PERMOHONAN)")</f>
        <v>SELESAI (VIA PERMOHONAN)</v>
      </c>
      <c r="J2367" s="17">
        <f>IFERROR(__xludf.DUMMYFUNCTION("""COMPUTED_VALUE"""),45810.668659375)</f>
        <v>45810.66866</v>
      </c>
      <c r="K2367" s="13" t="str">
        <f>IFERROR(__xludf.DUMMYFUNCTION("""COMPUTED_VALUE"""),"Selesai")</f>
        <v>Selesai</v>
      </c>
      <c r="L2367" s="17">
        <f>IFERROR(__xludf.DUMMYFUNCTION("""COMPUTED_VALUE"""),45810.668659375)</f>
        <v>45810.66866</v>
      </c>
      <c r="M2367" s="13"/>
      <c r="N2367" s="13" t="str">
        <f>IFERROR(__xludf.DUMMYFUNCTION("""COMPUTED_VALUE"""),"")</f>
        <v/>
      </c>
      <c r="O2367" s="13" t="str">
        <f t="shared" si="1"/>
        <v/>
      </c>
    </row>
    <row r="2368" ht="22.5" customHeight="1">
      <c r="B2368" s="13">
        <f>IFERROR(__xludf.DUMMYFUNCTION("""COMPUTED_VALUE"""),2363.0)</f>
        <v>2363</v>
      </c>
      <c r="C2368" s="13" t="str">
        <f>IFERROR(__xludf.DUMMYFUNCTION("""COMPUTED_VALUE"""),"M. 2377/ Kedaung")</f>
        <v>M. 2377/ Kedaung</v>
      </c>
      <c r="D2368" s="13" t="str">
        <f>IFERROR(__xludf.DUMMYFUNCTION("""COMPUTED_VALUE"""),"K/25/220525/1")</f>
        <v>K/25/220525/1</v>
      </c>
      <c r="E2368" s="14" t="str">
        <f>IFERROR(__xludf.DUMMYFUNCTION("""COMPUTED_VALUE"""),"Heri (BT)")</f>
        <v>Heri (BT)</v>
      </c>
      <c r="F2368" s="14" t="str">
        <f>IFERROR(__xludf.DUMMYFUNCTION("""COMPUTED_VALUE"""),"SELESAI (VIA PERMOHONAN)")</f>
        <v>SELESAI (VIA PERMOHONAN)</v>
      </c>
      <c r="G2368" s="17">
        <f>IFERROR(__xludf.DUMMYFUNCTION("""COMPUTED_VALUE"""),45810.609320902775)</f>
        <v>45810.60932</v>
      </c>
      <c r="H2368" s="14" t="str">
        <f>IFERROR(__xludf.DUMMYFUNCTION("""COMPUTED_VALUE"""),"Eci (SU)")</f>
        <v>Eci (SU)</v>
      </c>
      <c r="I2368" s="13" t="str">
        <f>IFERROR(__xludf.DUMMYFUNCTION("""COMPUTED_VALUE"""),"SELESAI (VIA PERMOHONAN)")</f>
        <v>SELESAI (VIA PERMOHONAN)</v>
      </c>
      <c r="J2368" s="17">
        <f>IFERROR(__xludf.DUMMYFUNCTION("""COMPUTED_VALUE"""),45810.66854293981)</f>
        <v>45810.66854</v>
      </c>
      <c r="K2368" s="13" t="str">
        <f>IFERROR(__xludf.DUMMYFUNCTION("""COMPUTED_VALUE"""),"Selesai")</f>
        <v>Selesai</v>
      </c>
      <c r="L2368" s="17">
        <f>IFERROR(__xludf.DUMMYFUNCTION("""COMPUTED_VALUE"""),45810.66854293981)</f>
        <v>45810.66854</v>
      </c>
      <c r="M2368" s="13"/>
      <c r="N2368" s="13" t="str">
        <f>IFERROR(__xludf.DUMMYFUNCTION("""COMPUTED_VALUE"""),"")</f>
        <v/>
      </c>
      <c r="O2368" s="13" t="str">
        <f t="shared" si="1"/>
        <v/>
      </c>
    </row>
    <row r="2369" ht="22.5" customHeight="1">
      <c r="B2369" s="13">
        <f>IFERROR(__xludf.DUMMYFUNCTION("""COMPUTED_VALUE"""),2364.0)</f>
        <v>2364</v>
      </c>
      <c r="C2369" s="13" t="str">
        <f>IFERROR(__xludf.DUMMYFUNCTION("""COMPUTED_VALUE"""),"M. 10037/ Sukamenanti")</f>
        <v>M. 10037/ Sukamenanti</v>
      </c>
      <c r="D2369" s="13" t="str">
        <f>IFERROR(__xludf.DUMMYFUNCTION("""COMPUTED_VALUE"""),"K/9/190525/1")</f>
        <v>K/9/190525/1</v>
      </c>
      <c r="E2369" s="14" t="str">
        <f>IFERROR(__xludf.DUMMYFUNCTION("""COMPUTED_VALUE"""),"Heri (BT)")</f>
        <v>Heri (BT)</v>
      </c>
      <c r="F2369" s="14" t="str">
        <f>IFERROR(__xludf.DUMMYFUNCTION("""COMPUTED_VALUE"""),"SELESAI (VIA PERMOHONAN)")</f>
        <v>SELESAI (VIA PERMOHONAN)</v>
      </c>
      <c r="G2369" s="17">
        <f>IFERROR(__xludf.DUMMYFUNCTION("""COMPUTED_VALUE"""),45810.609480416664)</f>
        <v>45810.60948</v>
      </c>
      <c r="H2369" s="14" t="str">
        <f>IFERROR(__xludf.DUMMYFUNCTION("""COMPUTED_VALUE"""),"Eci (SU)")</f>
        <v>Eci (SU)</v>
      </c>
      <c r="I2369" s="13" t="str">
        <f>IFERROR(__xludf.DUMMYFUNCTION("""COMPUTED_VALUE"""),"SELESAI (VIA PERMOHONAN)")</f>
        <v>SELESAI (VIA PERMOHONAN)</v>
      </c>
      <c r="J2369" s="17">
        <f>IFERROR(__xludf.DUMMYFUNCTION("""COMPUTED_VALUE"""),45810.66805425926)</f>
        <v>45810.66805</v>
      </c>
      <c r="K2369" s="13" t="str">
        <f>IFERROR(__xludf.DUMMYFUNCTION("""COMPUTED_VALUE"""),"Selesai")</f>
        <v>Selesai</v>
      </c>
      <c r="L2369" s="17">
        <f>IFERROR(__xludf.DUMMYFUNCTION("""COMPUTED_VALUE"""),45810.66805425926)</f>
        <v>45810.66805</v>
      </c>
      <c r="M2369" s="13"/>
      <c r="N2369" s="13" t="str">
        <f>IFERROR(__xludf.DUMMYFUNCTION("""COMPUTED_VALUE"""),"")</f>
        <v/>
      </c>
      <c r="O2369" s="13" t="str">
        <f t="shared" si="1"/>
        <v/>
      </c>
    </row>
    <row r="2370" ht="22.5" customHeight="1">
      <c r="B2370" s="13">
        <f>IFERROR(__xludf.DUMMYFUNCTION("""COMPUTED_VALUE"""),2365.0)</f>
        <v>2365</v>
      </c>
      <c r="C2370" s="13" t="str">
        <f>IFERROR(__xludf.DUMMYFUNCTION("""COMPUTED_VALUE"""),"M. 3341/ Kemiling Permai")</f>
        <v>M. 3341/ Kemiling Permai</v>
      </c>
      <c r="D2370" s="13" t="str">
        <f>IFERROR(__xludf.DUMMYFUNCTION("""COMPUTED_VALUE"""),"K/11/210525/1")</f>
        <v>K/11/210525/1</v>
      </c>
      <c r="E2370" s="14" t="str">
        <f>IFERROR(__xludf.DUMMYFUNCTION("""COMPUTED_VALUE"""),"Heri (BT)")</f>
        <v>Heri (BT)</v>
      </c>
      <c r="F2370" s="14" t="str">
        <f>IFERROR(__xludf.DUMMYFUNCTION("""COMPUTED_VALUE"""),"SELESAI (VIA PERMOHONAN)")</f>
        <v>SELESAI (VIA PERMOHONAN)</v>
      </c>
      <c r="G2370" s="17">
        <f>IFERROR(__xludf.DUMMYFUNCTION("""COMPUTED_VALUE"""),45810.60966475694)</f>
        <v>45810.60966</v>
      </c>
      <c r="H2370" s="14" t="str">
        <f>IFERROR(__xludf.DUMMYFUNCTION("""COMPUTED_VALUE"""),"Eci (SU)")</f>
        <v>Eci (SU)</v>
      </c>
      <c r="I2370" s="13" t="str">
        <f>IFERROR(__xludf.DUMMYFUNCTION("""COMPUTED_VALUE"""),"SELESAI (VIA PERMOHONAN)")</f>
        <v>SELESAI (VIA PERMOHONAN)</v>
      </c>
      <c r="J2370" s="17">
        <f>IFERROR(__xludf.DUMMYFUNCTION("""COMPUTED_VALUE"""),45810.66776578704)</f>
        <v>45810.66777</v>
      </c>
      <c r="K2370" s="13" t="str">
        <f>IFERROR(__xludf.DUMMYFUNCTION("""COMPUTED_VALUE"""),"Selesai")</f>
        <v>Selesai</v>
      </c>
      <c r="L2370" s="17">
        <f>IFERROR(__xludf.DUMMYFUNCTION("""COMPUTED_VALUE"""),45810.66776578704)</f>
        <v>45810.66777</v>
      </c>
      <c r="M2370" s="13"/>
      <c r="N2370" s="13" t="str">
        <f>IFERROR(__xludf.DUMMYFUNCTION("""COMPUTED_VALUE"""),"")</f>
        <v/>
      </c>
      <c r="O2370" s="13" t="str">
        <f t="shared" si="1"/>
        <v/>
      </c>
    </row>
    <row r="2371" ht="22.5" customHeight="1">
      <c r="B2371" s="13">
        <f>IFERROR(__xludf.DUMMYFUNCTION("""COMPUTED_VALUE"""),2366.0)</f>
        <v>2366</v>
      </c>
      <c r="C2371" s="13" t="str">
        <f>IFERROR(__xludf.DUMMYFUNCTION("""COMPUTED_VALUE"""),"M. 284/ Sukaraja")</f>
        <v>M. 284/ Sukaraja</v>
      </c>
      <c r="D2371" s="13" t="str">
        <f>IFERROR(__xludf.DUMMYFUNCTION("""COMPUTED_VALUE"""),"K/20/220525/1")</f>
        <v>K/20/220525/1</v>
      </c>
      <c r="E2371" s="14" t="str">
        <f>IFERROR(__xludf.DUMMYFUNCTION("""COMPUTED_VALUE"""),"Heri (BT)")</f>
        <v>Heri (BT)</v>
      </c>
      <c r="F2371" s="14" t="str">
        <f>IFERROR(__xludf.DUMMYFUNCTION("""COMPUTED_VALUE"""),"SELESAI (VIA PERMOHONAN)")</f>
        <v>SELESAI (VIA PERMOHONAN)</v>
      </c>
      <c r="G2371" s="17">
        <f>IFERROR(__xludf.DUMMYFUNCTION("""COMPUTED_VALUE"""),45810.609876863426)</f>
        <v>45810.60988</v>
      </c>
      <c r="H2371" s="14" t="str">
        <f>IFERROR(__xludf.DUMMYFUNCTION("""COMPUTED_VALUE"""),"Eci (SU)")</f>
        <v>Eci (SU)</v>
      </c>
      <c r="I2371" s="13" t="str">
        <f>IFERROR(__xludf.DUMMYFUNCTION("""COMPUTED_VALUE"""),"SELESAI (VIA PERMOHONAN)")</f>
        <v>SELESAI (VIA PERMOHONAN)</v>
      </c>
      <c r="J2371" s="17">
        <f>IFERROR(__xludf.DUMMYFUNCTION("""COMPUTED_VALUE"""),45811.378560682875)</f>
        <v>45811.37856</v>
      </c>
      <c r="K2371" s="13" t="str">
        <f>IFERROR(__xludf.DUMMYFUNCTION("""COMPUTED_VALUE"""),"Selesai")</f>
        <v>Selesai</v>
      </c>
      <c r="L2371" s="17">
        <f>IFERROR(__xludf.DUMMYFUNCTION("""COMPUTED_VALUE"""),45811.378560682875)</f>
        <v>45811.37856</v>
      </c>
      <c r="M2371" s="13"/>
      <c r="N2371" s="13" t="str">
        <f>IFERROR(__xludf.DUMMYFUNCTION("""COMPUTED_VALUE"""),"")</f>
        <v/>
      </c>
      <c r="O2371" s="13" t="str">
        <f t="shared" si="1"/>
        <v/>
      </c>
    </row>
    <row r="2372" ht="22.5" customHeight="1">
      <c r="B2372" s="13">
        <f>IFERROR(__xludf.DUMMYFUNCTION("""COMPUTED_VALUE"""),2367.0)</f>
        <v>2367</v>
      </c>
      <c r="C2372" s="13" t="str">
        <f>IFERROR(__xludf.DUMMYFUNCTION("""COMPUTED_VALUE"""),"M. 289/ Sukaraja")</f>
        <v>M. 289/ Sukaraja</v>
      </c>
      <c r="D2372" s="13" t="str">
        <f>IFERROR(__xludf.DUMMYFUNCTION("""COMPUTED_VALUE"""),"K/2/110225/1")</f>
        <v>K/2/110225/1</v>
      </c>
      <c r="E2372" s="14" t="str">
        <f>IFERROR(__xludf.DUMMYFUNCTION("""COMPUTED_VALUE"""),"Heri (BT)")</f>
        <v>Heri (BT)</v>
      </c>
      <c r="F2372" s="14" t="str">
        <f>IFERROR(__xludf.DUMMYFUNCTION("""COMPUTED_VALUE"""),"SELESAI (VIA PERMOHONAN)")</f>
        <v>SELESAI (VIA PERMOHONAN)</v>
      </c>
      <c r="G2372" s="17">
        <f>IFERROR(__xludf.DUMMYFUNCTION("""COMPUTED_VALUE"""),45810.61003040509)</f>
        <v>45810.61003</v>
      </c>
      <c r="H2372" s="14" t="str">
        <f>IFERROR(__xludf.DUMMYFUNCTION("""COMPUTED_VALUE"""),"Eci (SU)")</f>
        <v>Eci (SU)</v>
      </c>
      <c r="I2372" s="13" t="str">
        <f>IFERROR(__xludf.DUMMYFUNCTION("""COMPUTED_VALUE"""),"SELESAI (VIA PERMOHONAN)")</f>
        <v>SELESAI (VIA PERMOHONAN)</v>
      </c>
      <c r="J2372" s="17">
        <f>IFERROR(__xludf.DUMMYFUNCTION("""COMPUTED_VALUE"""),45811.378560682875)</f>
        <v>45811.37856</v>
      </c>
      <c r="K2372" s="13" t="str">
        <f>IFERROR(__xludf.DUMMYFUNCTION("""COMPUTED_VALUE"""),"Selesai")</f>
        <v>Selesai</v>
      </c>
      <c r="L2372" s="17">
        <f>IFERROR(__xludf.DUMMYFUNCTION("""COMPUTED_VALUE"""),45811.378560682875)</f>
        <v>45811.37856</v>
      </c>
      <c r="M2372" s="13"/>
      <c r="N2372" s="13" t="str">
        <f>IFERROR(__xludf.DUMMYFUNCTION("""COMPUTED_VALUE"""),"")</f>
        <v/>
      </c>
      <c r="O2372" s="13" t="str">
        <f t="shared" si="1"/>
        <v/>
      </c>
    </row>
    <row r="2373" ht="22.5" customHeight="1">
      <c r="B2373" s="13">
        <f>IFERROR(__xludf.DUMMYFUNCTION("""COMPUTED_VALUE"""),2368.0)</f>
        <v>2368</v>
      </c>
      <c r="C2373" s="13" t="str">
        <f>IFERROR(__xludf.DUMMYFUNCTION("""COMPUTED_VALUE"""),"M. 1133/ Jagabaya III")</f>
        <v>M. 1133/ Jagabaya III</v>
      </c>
      <c r="D2373" s="13" t="str">
        <f>IFERROR(__xludf.DUMMYFUNCTION("""COMPUTED_VALUE"""),"K/1/190525/1")</f>
        <v>K/1/190525/1</v>
      </c>
      <c r="E2373" s="14" t="str">
        <f>IFERROR(__xludf.DUMMYFUNCTION("""COMPUTED_VALUE"""),"Heri (BT)")</f>
        <v>Heri (BT)</v>
      </c>
      <c r="F2373" s="14" t="str">
        <f>IFERROR(__xludf.DUMMYFUNCTION("""COMPUTED_VALUE"""),"SELESAI (VIA PERMOHONAN)")</f>
        <v>SELESAI (VIA PERMOHONAN)</v>
      </c>
      <c r="G2373" s="17">
        <f>IFERROR(__xludf.DUMMYFUNCTION("""COMPUTED_VALUE"""),45810.61032939814)</f>
        <v>45810.61033</v>
      </c>
      <c r="H2373" s="14" t="str">
        <f>IFERROR(__xludf.DUMMYFUNCTION("""COMPUTED_VALUE"""),"Eci (SU)")</f>
        <v>Eci (SU)</v>
      </c>
      <c r="I2373" s="13" t="str">
        <f>IFERROR(__xludf.DUMMYFUNCTION("""COMPUTED_VALUE"""),"SELESAI (VIA PERMOHONAN)")</f>
        <v>SELESAI (VIA PERMOHONAN)</v>
      </c>
      <c r="J2373" s="17">
        <f>IFERROR(__xludf.DUMMYFUNCTION("""COMPUTED_VALUE"""),45811.37869459491)</f>
        <v>45811.37869</v>
      </c>
      <c r="K2373" s="13" t="str">
        <f>IFERROR(__xludf.DUMMYFUNCTION("""COMPUTED_VALUE"""),"Selesai")</f>
        <v>Selesai</v>
      </c>
      <c r="L2373" s="17">
        <f>IFERROR(__xludf.DUMMYFUNCTION("""COMPUTED_VALUE"""),45811.37869459491)</f>
        <v>45811.37869</v>
      </c>
      <c r="M2373" s="13"/>
      <c r="N2373" s="13" t="str">
        <f>IFERROR(__xludf.DUMMYFUNCTION("""COMPUTED_VALUE"""),"")</f>
        <v/>
      </c>
      <c r="O2373" s="13" t="str">
        <f t="shared" si="1"/>
        <v/>
      </c>
    </row>
    <row r="2374" ht="22.5" customHeight="1">
      <c r="B2374" s="13">
        <f>IFERROR(__xludf.DUMMYFUNCTION("""COMPUTED_VALUE"""),2369.0)</f>
        <v>2369</v>
      </c>
      <c r="C2374" s="13" t="str">
        <f>IFERROR(__xludf.DUMMYFUNCTION("""COMPUTED_VALUE"""),"M. 12343/ Jagabaya II")</f>
        <v>M. 12343/ Jagabaya II</v>
      </c>
      <c r="D2374" s="13" t="str">
        <f>IFERROR(__xludf.DUMMYFUNCTION("""COMPUTED_VALUE"""),"K/25/200525/1")</f>
        <v>K/25/200525/1</v>
      </c>
      <c r="E2374" s="14" t="str">
        <f>IFERROR(__xludf.DUMMYFUNCTION("""COMPUTED_VALUE"""),"Heri (BT)")</f>
        <v>Heri (BT)</v>
      </c>
      <c r="F2374" s="14" t="str">
        <f>IFERROR(__xludf.DUMMYFUNCTION("""COMPUTED_VALUE"""),"SELESAI (VIA PERMOHONAN)")</f>
        <v>SELESAI (VIA PERMOHONAN)</v>
      </c>
      <c r="G2374" s="17">
        <f>IFERROR(__xludf.DUMMYFUNCTION("""COMPUTED_VALUE"""),45810.61116163194)</f>
        <v>45810.61116</v>
      </c>
      <c r="H2374" s="14" t="str">
        <f>IFERROR(__xludf.DUMMYFUNCTION("""COMPUTED_VALUE"""),"Eci (SU)")</f>
        <v>Eci (SU)</v>
      </c>
      <c r="I2374" s="13" t="str">
        <f>IFERROR(__xludf.DUMMYFUNCTION("""COMPUTED_VALUE"""),"SELESAI (VIA PERMOHONAN)")</f>
        <v>SELESAI (VIA PERMOHONAN)</v>
      </c>
      <c r="J2374" s="17">
        <f>IFERROR(__xludf.DUMMYFUNCTION("""COMPUTED_VALUE"""),45810.67307630787)</f>
        <v>45810.67308</v>
      </c>
      <c r="K2374" s="13" t="str">
        <f>IFERROR(__xludf.DUMMYFUNCTION("""COMPUTED_VALUE"""),"Selesai")</f>
        <v>Selesai</v>
      </c>
      <c r="L2374" s="17">
        <f>IFERROR(__xludf.DUMMYFUNCTION("""COMPUTED_VALUE"""),45810.67307630787)</f>
        <v>45810.67308</v>
      </c>
      <c r="M2374" s="13"/>
      <c r="N2374" s="13" t="str">
        <f>IFERROR(__xludf.DUMMYFUNCTION("""COMPUTED_VALUE"""),"")</f>
        <v/>
      </c>
      <c r="O2374" s="13" t="str">
        <f t="shared" si="1"/>
        <v/>
      </c>
    </row>
    <row r="2375" ht="22.5" customHeight="1">
      <c r="B2375" s="13">
        <f>IFERROR(__xludf.DUMMYFUNCTION("""COMPUTED_VALUE"""),2370.0)</f>
        <v>2370</v>
      </c>
      <c r="C2375" s="13" t="str">
        <f>IFERROR(__xludf.DUMMYFUNCTION("""COMPUTED_VALUE"""),"M. 1214/ Negeri Olok Gading")</f>
        <v>M. 1214/ Negeri Olok Gading</v>
      </c>
      <c r="D2375" s="13" t="str">
        <f>IFERROR(__xludf.DUMMYFUNCTION("""COMPUTED_VALUE"""),"K/23/150525/1")</f>
        <v>K/23/150525/1</v>
      </c>
      <c r="E2375" s="14" t="str">
        <f>IFERROR(__xludf.DUMMYFUNCTION("""COMPUTED_VALUE"""),"Heri (BT)")</f>
        <v>Heri (BT)</v>
      </c>
      <c r="F2375" s="14" t="str">
        <f>IFERROR(__xludf.DUMMYFUNCTION("""COMPUTED_VALUE"""),"SELESAI (VIA PERMOHONAN)")</f>
        <v>SELESAI (VIA PERMOHONAN)</v>
      </c>
      <c r="G2375" s="17">
        <f>IFERROR(__xludf.DUMMYFUNCTION("""COMPUTED_VALUE"""),45810.61151125)</f>
        <v>45810.61151</v>
      </c>
      <c r="H2375" s="14" t="str">
        <f>IFERROR(__xludf.DUMMYFUNCTION("""COMPUTED_VALUE"""),"Eci (SU)")</f>
        <v>Eci (SU)</v>
      </c>
      <c r="I2375" s="13" t="str">
        <f>IFERROR(__xludf.DUMMYFUNCTION("""COMPUTED_VALUE"""),"SELESAI (VIA PERMOHONAN)")</f>
        <v>SELESAI (VIA PERMOHONAN)</v>
      </c>
      <c r="J2375" s="17">
        <f>IFERROR(__xludf.DUMMYFUNCTION("""COMPUTED_VALUE"""),45811.37869459491)</f>
        <v>45811.37869</v>
      </c>
      <c r="K2375" s="13" t="str">
        <f>IFERROR(__xludf.DUMMYFUNCTION("""COMPUTED_VALUE"""),"Selesai")</f>
        <v>Selesai</v>
      </c>
      <c r="L2375" s="17">
        <f>IFERROR(__xludf.DUMMYFUNCTION("""COMPUTED_VALUE"""),45811.37869459491)</f>
        <v>45811.37869</v>
      </c>
      <c r="M2375" s="13"/>
      <c r="N2375" s="13" t="str">
        <f>IFERROR(__xludf.DUMMYFUNCTION("""COMPUTED_VALUE"""),"")</f>
        <v/>
      </c>
      <c r="O2375" s="13" t="str">
        <f t="shared" si="1"/>
        <v/>
      </c>
    </row>
    <row r="2376" ht="22.5" customHeight="1">
      <c r="B2376" s="13">
        <f>IFERROR(__xludf.DUMMYFUNCTION("""COMPUTED_VALUE"""),2371.0)</f>
        <v>2371</v>
      </c>
      <c r="C2376" s="13" t="str">
        <f>IFERROR(__xludf.DUMMYFUNCTION("""COMPUTED_VALUE"""),"M. 1014/ Pinang Jaya")</f>
        <v>M. 1014/ Pinang Jaya</v>
      </c>
      <c r="D2376" s="13" t="str">
        <f>IFERROR(__xludf.DUMMYFUNCTION("""COMPUTED_VALUE"""),"K/37/160525/1")</f>
        <v>K/37/160525/1</v>
      </c>
      <c r="E2376" s="14" t="str">
        <f>IFERROR(__xludf.DUMMYFUNCTION("""COMPUTED_VALUE"""),"Heri (BT)")</f>
        <v>Heri (BT)</v>
      </c>
      <c r="F2376" s="14" t="str">
        <f>IFERROR(__xludf.DUMMYFUNCTION("""COMPUTED_VALUE"""),"SELESAI (VIA PERMOHONAN)")</f>
        <v>SELESAI (VIA PERMOHONAN)</v>
      </c>
      <c r="G2376" s="17">
        <f>IFERROR(__xludf.DUMMYFUNCTION("""COMPUTED_VALUE"""),45810.61167653935)</f>
        <v>45810.61168</v>
      </c>
      <c r="H2376" s="14" t="str">
        <f>IFERROR(__xludf.DUMMYFUNCTION("""COMPUTED_VALUE"""),"Eci (SU)")</f>
        <v>Eci (SU)</v>
      </c>
      <c r="I2376" s="13" t="str">
        <f>IFERROR(__xludf.DUMMYFUNCTION("""COMPUTED_VALUE"""),"SELESAI (VIA PERMOHONAN)")</f>
        <v>SELESAI (VIA PERMOHONAN)</v>
      </c>
      <c r="J2376" s="17">
        <f>IFERROR(__xludf.DUMMYFUNCTION("""COMPUTED_VALUE"""),45810.66761157407)</f>
        <v>45810.66761</v>
      </c>
      <c r="K2376" s="13" t="str">
        <f>IFERROR(__xludf.DUMMYFUNCTION("""COMPUTED_VALUE"""),"Selesai")</f>
        <v>Selesai</v>
      </c>
      <c r="L2376" s="17">
        <f>IFERROR(__xludf.DUMMYFUNCTION("""COMPUTED_VALUE"""),45810.66761157407)</f>
        <v>45810.66761</v>
      </c>
      <c r="M2376" s="13"/>
      <c r="N2376" s="13" t="str">
        <f>IFERROR(__xludf.DUMMYFUNCTION("""COMPUTED_VALUE"""),"")</f>
        <v/>
      </c>
      <c r="O2376" s="13" t="str">
        <f t="shared" si="1"/>
        <v/>
      </c>
    </row>
    <row r="2377" ht="22.5" customHeight="1">
      <c r="B2377" s="13">
        <f>IFERROR(__xludf.DUMMYFUNCTION("""COMPUTED_VALUE"""),2372.0)</f>
        <v>2372</v>
      </c>
      <c r="C2377" s="13" t="str">
        <f>IFERROR(__xludf.DUMMYFUNCTION("""COMPUTED_VALUE"""),"M. 13428/ kedamaian")</f>
        <v>M. 13428/ kedamaian</v>
      </c>
      <c r="D2377" s="13" t="str">
        <f>IFERROR(__xludf.DUMMYFUNCTION("""COMPUTED_VALUE"""),"K/8/160525/3")</f>
        <v>K/8/160525/3</v>
      </c>
      <c r="E2377" s="14" t="str">
        <f>IFERROR(__xludf.DUMMYFUNCTION("""COMPUTED_VALUE"""),"Heri (BT)")</f>
        <v>Heri (BT)</v>
      </c>
      <c r="F2377" s="14" t="str">
        <f>IFERROR(__xludf.DUMMYFUNCTION("""COMPUTED_VALUE"""),"SELESAI (VIA PERMOHONAN)")</f>
        <v>SELESAI (VIA PERMOHONAN)</v>
      </c>
      <c r="G2377" s="17">
        <f>IFERROR(__xludf.DUMMYFUNCTION("""COMPUTED_VALUE"""),45810.61183858797)</f>
        <v>45810.61184</v>
      </c>
      <c r="H2377" s="14" t="str">
        <f>IFERROR(__xludf.DUMMYFUNCTION("""COMPUTED_VALUE"""),"Eci (SU)")</f>
        <v>Eci (SU)</v>
      </c>
      <c r="I2377" s="13" t="str">
        <f>IFERROR(__xludf.DUMMYFUNCTION("""COMPUTED_VALUE"""),"SELESAI (VIA PERMOHONAN)")</f>
        <v>SELESAI (VIA PERMOHONAN)</v>
      </c>
      <c r="J2377" s="17">
        <f>IFERROR(__xludf.DUMMYFUNCTION("""COMPUTED_VALUE"""),45810.66747783565)</f>
        <v>45810.66748</v>
      </c>
      <c r="K2377" s="13" t="str">
        <f>IFERROR(__xludf.DUMMYFUNCTION("""COMPUTED_VALUE"""),"Selesai")</f>
        <v>Selesai</v>
      </c>
      <c r="L2377" s="17">
        <f>IFERROR(__xludf.DUMMYFUNCTION("""COMPUTED_VALUE"""),45810.66747783565)</f>
        <v>45810.66748</v>
      </c>
      <c r="M2377" s="13"/>
      <c r="N2377" s="13" t="str">
        <f>IFERROR(__xludf.DUMMYFUNCTION("""COMPUTED_VALUE"""),"")</f>
        <v/>
      </c>
      <c r="O2377" s="13" t="str">
        <f t="shared" si="1"/>
        <v/>
      </c>
    </row>
    <row r="2378" ht="22.5" customHeight="1">
      <c r="B2378" s="13">
        <f>IFERROR(__xludf.DUMMYFUNCTION("""COMPUTED_VALUE"""),2373.0)</f>
        <v>2373</v>
      </c>
      <c r="C2378" s="13" t="str">
        <f>IFERROR(__xludf.DUMMYFUNCTION("""COMPUTED_VALUE"""),"M. 723/ Rajabsa Jaya")</f>
        <v>M. 723/ Rajabsa Jaya</v>
      </c>
      <c r="D2378" s="13" t="str">
        <f>IFERROR(__xludf.DUMMYFUNCTION("""COMPUTED_VALUE"""),"K/34/160525/1")</f>
        <v>K/34/160525/1</v>
      </c>
      <c r="E2378" s="14" t="str">
        <f>IFERROR(__xludf.DUMMYFUNCTION("""COMPUTED_VALUE"""),"Heri (BT)")</f>
        <v>Heri (BT)</v>
      </c>
      <c r="F2378" s="14" t="str">
        <f>IFERROR(__xludf.DUMMYFUNCTION("""COMPUTED_VALUE"""),"SELESAI (VIA PERMOHONAN)")</f>
        <v>SELESAI (VIA PERMOHONAN)</v>
      </c>
      <c r="G2378" s="17">
        <f>IFERROR(__xludf.DUMMYFUNCTION("""COMPUTED_VALUE"""),45810.61198591435)</f>
        <v>45810.61199</v>
      </c>
      <c r="H2378" s="14" t="str">
        <f>IFERROR(__xludf.DUMMYFUNCTION("""COMPUTED_VALUE"""),"Eci (SU)")</f>
        <v>Eci (SU)</v>
      </c>
      <c r="I2378" s="13" t="str">
        <f>IFERROR(__xludf.DUMMYFUNCTION("""COMPUTED_VALUE"""),"SELESAI (VIA PERMOHONAN)")</f>
        <v>SELESAI (VIA PERMOHONAN)</v>
      </c>
      <c r="J2378" s="17">
        <f>IFERROR(__xludf.DUMMYFUNCTION("""COMPUTED_VALUE"""),45811.378781770836)</f>
        <v>45811.37878</v>
      </c>
      <c r="K2378" s="13" t="str">
        <f>IFERROR(__xludf.DUMMYFUNCTION("""COMPUTED_VALUE"""),"Selesai")</f>
        <v>Selesai</v>
      </c>
      <c r="L2378" s="17">
        <f>IFERROR(__xludf.DUMMYFUNCTION("""COMPUTED_VALUE"""),45811.378781770836)</f>
        <v>45811.37878</v>
      </c>
      <c r="M2378" s="13"/>
      <c r="N2378" s="13" t="str">
        <f>IFERROR(__xludf.DUMMYFUNCTION("""COMPUTED_VALUE"""),"")</f>
        <v/>
      </c>
      <c r="O2378" s="13" t="str">
        <f t="shared" si="1"/>
        <v/>
      </c>
    </row>
    <row r="2379" ht="22.5" customHeight="1">
      <c r="B2379" s="13">
        <f>IFERROR(__xludf.DUMMYFUNCTION("""COMPUTED_VALUE"""),2374.0)</f>
        <v>2374</v>
      </c>
      <c r="C2379" s="13" t="str">
        <f>IFERROR(__xludf.DUMMYFUNCTION("""COMPUTED_VALUE"""),"M. 2538/ Sukarame Baru")</f>
        <v>M. 2538/ Sukarame Baru</v>
      </c>
      <c r="D2379" s="13" t="str">
        <f>IFERROR(__xludf.DUMMYFUNCTION("""COMPUTED_VALUE"""),"K/16/200525/1")</f>
        <v>K/16/200525/1</v>
      </c>
      <c r="E2379" s="14" t="str">
        <f>IFERROR(__xludf.DUMMYFUNCTION("""COMPUTED_VALUE"""),"Heri (BT)")</f>
        <v>Heri (BT)</v>
      </c>
      <c r="F2379" s="14" t="str">
        <f>IFERROR(__xludf.DUMMYFUNCTION("""COMPUTED_VALUE"""),"SELESAI (VIA PERMOHONAN)")</f>
        <v>SELESAI (VIA PERMOHONAN)</v>
      </c>
      <c r="G2379" s="17">
        <f>IFERROR(__xludf.DUMMYFUNCTION("""COMPUTED_VALUE"""),45810.61216377315)</f>
        <v>45810.61216</v>
      </c>
      <c r="H2379" s="14" t="str">
        <f>IFERROR(__xludf.DUMMYFUNCTION("""COMPUTED_VALUE"""),"Eci (SU)")</f>
        <v>Eci (SU)</v>
      </c>
      <c r="I2379" s="13" t="str">
        <f>IFERROR(__xludf.DUMMYFUNCTION("""COMPUTED_VALUE"""),"SELESAI (VIA PERMOHONAN)")</f>
        <v>SELESAI (VIA PERMOHONAN)</v>
      </c>
      <c r="J2379" s="17">
        <f>IFERROR(__xludf.DUMMYFUNCTION("""COMPUTED_VALUE"""),45810.66731481481)</f>
        <v>45810.66731</v>
      </c>
      <c r="K2379" s="13" t="str">
        <f>IFERROR(__xludf.DUMMYFUNCTION("""COMPUTED_VALUE"""),"Selesai")</f>
        <v>Selesai</v>
      </c>
      <c r="L2379" s="17">
        <f>IFERROR(__xludf.DUMMYFUNCTION("""COMPUTED_VALUE"""),45810.66731481481)</f>
        <v>45810.66731</v>
      </c>
      <c r="M2379" s="13"/>
      <c r="N2379" s="13" t="str">
        <f>IFERROR(__xludf.DUMMYFUNCTION("""COMPUTED_VALUE"""),"")</f>
        <v/>
      </c>
      <c r="O2379" s="13" t="str">
        <f t="shared" si="1"/>
        <v/>
      </c>
    </row>
    <row r="2380" ht="22.5" customHeight="1">
      <c r="B2380" s="13">
        <f>IFERROR(__xludf.DUMMYFUNCTION("""COMPUTED_VALUE"""),2375.0)</f>
        <v>2375</v>
      </c>
      <c r="C2380" s="13" t="str">
        <f>IFERROR(__xludf.DUMMYFUNCTION("""COMPUTED_VALUE"""),"B. 1240/ Way Halim Permai")</f>
        <v>B. 1240/ Way Halim Permai</v>
      </c>
      <c r="D2380" s="13" t="str">
        <f>IFERROR(__xludf.DUMMYFUNCTION("""COMPUTED_VALUE"""),"K/7/160425/1")</f>
        <v>K/7/160425/1</v>
      </c>
      <c r="E2380" s="14" t="str">
        <f>IFERROR(__xludf.DUMMYFUNCTION("""COMPUTED_VALUE"""),"Heri (BT)")</f>
        <v>Heri (BT)</v>
      </c>
      <c r="F2380" s="14" t="str">
        <f>IFERROR(__xludf.DUMMYFUNCTION("""COMPUTED_VALUE"""),"SELESAI (VIA PERMOHONAN)")</f>
        <v>SELESAI (VIA PERMOHONAN)</v>
      </c>
      <c r="G2380" s="17">
        <f>IFERROR(__xludf.DUMMYFUNCTION("""COMPUTED_VALUE"""),45810.61235645833)</f>
        <v>45810.61236</v>
      </c>
      <c r="H2380" s="14" t="str">
        <f>IFERROR(__xludf.DUMMYFUNCTION("""COMPUTED_VALUE"""),"Eci (SU)")</f>
        <v>Eci (SU)</v>
      </c>
      <c r="I2380" s="13" t="str">
        <f>IFERROR(__xludf.DUMMYFUNCTION("""COMPUTED_VALUE"""),"SELESAI (VIA PERMOHONAN)")</f>
        <v>SELESAI (VIA PERMOHONAN)</v>
      </c>
      <c r="J2380" s="17">
        <f>IFERROR(__xludf.DUMMYFUNCTION("""COMPUTED_VALUE"""),45810.66717405093)</f>
        <v>45810.66717</v>
      </c>
      <c r="K2380" s="13" t="str">
        <f>IFERROR(__xludf.DUMMYFUNCTION("""COMPUTED_VALUE"""),"Selesai")</f>
        <v>Selesai</v>
      </c>
      <c r="L2380" s="17">
        <f>IFERROR(__xludf.DUMMYFUNCTION("""COMPUTED_VALUE"""),45810.66717405093)</f>
        <v>45810.66717</v>
      </c>
      <c r="M2380" s="13"/>
      <c r="N2380" s="13" t="str">
        <f>IFERROR(__xludf.DUMMYFUNCTION("""COMPUTED_VALUE"""),"")</f>
        <v/>
      </c>
      <c r="O2380" s="13" t="str">
        <f t="shared" si="1"/>
        <v/>
      </c>
    </row>
    <row r="2381" ht="22.5" customHeight="1">
      <c r="B2381" s="13">
        <f>IFERROR(__xludf.DUMMYFUNCTION("""COMPUTED_VALUE"""),2376.0)</f>
        <v>2376</v>
      </c>
      <c r="C2381" s="13" t="str">
        <f>IFERROR(__xludf.DUMMYFUNCTION("""COMPUTED_VALUE"""),"M.2143/BAKUNG")</f>
        <v>M.2143/BAKUNG</v>
      </c>
      <c r="D2381" s="13" t="str">
        <f>IFERROR(__xludf.DUMMYFUNCTION("""COMPUTED_VALUE"""),"K/40/311224/1")</f>
        <v>K/40/311224/1</v>
      </c>
      <c r="E2381" s="14"/>
      <c r="F2381" s="14"/>
      <c r="G2381" s="17" t="str">
        <f>IFERROR(__xludf.DUMMYFUNCTION("""COMPUTED_VALUE"""),"")</f>
        <v/>
      </c>
      <c r="H2381" s="14" t="str">
        <f>IFERROR(__xludf.DUMMYFUNCTION("""COMPUTED_VALUE"""),"Eci (SU)")</f>
        <v>Eci (SU)</v>
      </c>
      <c r="I2381" s="13" t="str">
        <f>IFERROR(__xludf.DUMMYFUNCTION("""COMPUTED_VALUE"""),"SELESAI (VIA PERMOHONAN)")</f>
        <v>SELESAI (VIA PERMOHONAN)</v>
      </c>
      <c r="J2381" s="17">
        <f>IFERROR(__xludf.DUMMYFUNCTION("""COMPUTED_VALUE"""),45811.37926204861)</f>
        <v>45811.37926</v>
      </c>
      <c r="K2381" s="13" t="str">
        <f>IFERROR(__xludf.DUMMYFUNCTION("""COMPUTED_VALUE"""),"BT atau SU Belum Valid")</f>
        <v>BT atau SU Belum Valid</v>
      </c>
      <c r="L2381" s="13" t="str">
        <f>IFERROR(__xludf.DUMMYFUNCTION("""COMPUTED_VALUE"""),"")</f>
        <v/>
      </c>
      <c r="M2381" s="13"/>
      <c r="N2381" s="13" t="str">
        <f>IFERROR(__xludf.DUMMYFUNCTION("""COMPUTED_VALUE"""),"")</f>
        <v/>
      </c>
      <c r="O2381" s="13" t="str">
        <f t="shared" si="1"/>
        <v/>
      </c>
    </row>
    <row r="2382" ht="22.5" customHeight="1">
      <c r="B2382" s="13">
        <f>IFERROR(__xludf.DUMMYFUNCTION("""COMPUTED_VALUE"""),2377.0)</f>
        <v>2377</v>
      </c>
      <c r="C2382" s="13" t="str">
        <f>IFERROR(__xludf.DUMMYFUNCTION("""COMPUTED_VALUE"""),"M.15450/SUKABUMI")</f>
        <v>M.15450/SUKABUMI</v>
      </c>
      <c r="D2382" s="13" t="str">
        <f>IFERROR(__xludf.DUMMYFUNCTION("""COMPUTED_VALUE"""),"K/2/160525/1")</f>
        <v>K/2/160525/1</v>
      </c>
      <c r="E2382" s="14"/>
      <c r="F2382" s="14"/>
      <c r="G2382" s="17" t="str">
        <f>IFERROR(__xludf.DUMMYFUNCTION("""COMPUTED_VALUE"""),"")</f>
        <v/>
      </c>
      <c r="H2382" s="14" t="str">
        <f>IFERROR(__xludf.DUMMYFUNCTION("""COMPUTED_VALUE"""),"Eci (SU)")</f>
        <v>Eci (SU)</v>
      </c>
      <c r="I2382" s="13" t="str">
        <f>IFERROR(__xludf.DUMMYFUNCTION("""COMPUTED_VALUE"""),"SELESAI (VIA PERMOHONAN)")</f>
        <v>SELESAI (VIA PERMOHONAN)</v>
      </c>
      <c r="J2382" s="17">
        <f>IFERROR(__xludf.DUMMYFUNCTION("""COMPUTED_VALUE"""),45811.384183981485)</f>
        <v>45811.38418</v>
      </c>
      <c r="K2382" s="13" t="str">
        <f>IFERROR(__xludf.DUMMYFUNCTION("""COMPUTED_VALUE"""),"BT atau SU Belum Valid")</f>
        <v>BT atau SU Belum Valid</v>
      </c>
      <c r="L2382" s="13" t="str">
        <f>IFERROR(__xludf.DUMMYFUNCTION("""COMPUTED_VALUE"""),"")</f>
        <v/>
      </c>
      <c r="M2382" s="13"/>
      <c r="N2382" s="13" t="str">
        <f>IFERROR(__xludf.DUMMYFUNCTION("""COMPUTED_VALUE"""),"")</f>
        <v/>
      </c>
      <c r="O2382" s="13" t="str">
        <f t="shared" si="1"/>
        <v/>
      </c>
    </row>
    <row r="2383" ht="22.5" customHeight="1">
      <c r="B2383" s="13">
        <f>IFERROR(__xludf.DUMMYFUNCTION("""COMPUTED_VALUE"""),2378.0)</f>
        <v>2378</v>
      </c>
      <c r="C2383" s="13" t="str">
        <f>IFERROR(__xludf.DUMMYFUNCTION("""COMPUTED_VALUE"""),"B. 1240/ Way Halim Permai")</f>
        <v>B. 1240/ Way Halim Permai</v>
      </c>
      <c r="D2383" s="13" t="str">
        <f>IFERROR(__xludf.DUMMYFUNCTION("""COMPUTED_VALUE"""),"K/7/160425/1")</f>
        <v>K/7/160425/1</v>
      </c>
      <c r="E2383" s="14"/>
      <c r="F2383" s="14"/>
      <c r="G2383" s="17" t="str">
        <f>IFERROR(__xludf.DUMMYFUNCTION("""COMPUTED_VALUE"""),"")</f>
        <v/>
      </c>
      <c r="H2383" s="14" t="str">
        <f>IFERROR(__xludf.DUMMYFUNCTION("""COMPUTED_VALUE"""),"Eci (SU)")</f>
        <v>Eci (SU)</v>
      </c>
      <c r="I2383" s="13" t="str">
        <f>IFERROR(__xludf.DUMMYFUNCTION("""COMPUTED_VALUE"""),"SELESAI (VIA PERMOHONAN)")</f>
        <v>SELESAI (VIA PERMOHONAN)</v>
      </c>
      <c r="J2383" s="17">
        <f>IFERROR(__xludf.DUMMYFUNCTION("""COMPUTED_VALUE"""),45811.384183981485)</f>
        <v>45811.38418</v>
      </c>
      <c r="K2383" s="13" t="str">
        <f>IFERROR(__xludf.DUMMYFUNCTION("""COMPUTED_VALUE"""),"BT atau SU Belum Valid")</f>
        <v>BT atau SU Belum Valid</v>
      </c>
      <c r="L2383" s="13" t="str">
        <f>IFERROR(__xludf.DUMMYFUNCTION("""COMPUTED_VALUE"""),"")</f>
        <v/>
      </c>
      <c r="M2383" s="13"/>
      <c r="N2383" s="13" t="str">
        <f>IFERROR(__xludf.DUMMYFUNCTION("""COMPUTED_VALUE"""),"")</f>
        <v/>
      </c>
      <c r="O2383" s="13" t="str">
        <f t="shared" si="1"/>
        <v/>
      </c>
    </row>
    <row r="2384" ht="22.5" customHeight="1">
      <c r="B2384" s="13">
        <f>IFERROR(__xludf.DUMMYFUNCTION("""COMPUTED_VALUE"""),2379.0)</f>
        <v>2379</v>
      </c>
      <c r="C2384" s="13" t="str">
        <f>IFERROR(__xludf.DUMMYFUNCTION("""COMPUTED_VALUE"""),"M. 2538/ Sukarame Baru")</f>
        <v>M. 2538/ Sukarame Baru</v>
      </c>
      <c r="D2384" s="13" t="str">
        <f>IFERROR(__xludf.DUMMYFUNCTION("""COMPUTED_VALUE"""),"K/16/200525/1")</f>
        <v>K/16/200525/1</v>
      </c>
      <c r="E2384" s="14"/>
      <c r="F2384" s="14"/>
      <c r="G2384" s="17" t="str">
        <f>IFERROR(__xludf.DUMMYFUNCTION("""COMPUTED_VALUE"""),"")</f>
        <v/>
      </c>
      <c r="H2384" s="14" t="str">
        <f>IFERROR(__xludf.DUMMYFUNCTION("""COMPUTED_VALUE"""),"Eci (SU)")</f>
        <v>Eci (SU)</v>
      </c>
      <c r="I2384" s="13" t="str">
        <f>IFERROR(__xludf.DUMMYFUNCTION("""COMPUTED_VALUE"""),"SELESAI (VIA PERMOHONAN)")</f>
        <v>SELESAI (VIA PERMOHONAN)</v>
      </c>
      <c r="J2384" s="17">
        <f>IFERROR(__xludf.DUMMYFUNCTION("""COMPUTED_VALUE"""),45811.384183981485)</f>
        <v>45811.38418</v>
      </c>
      <c r="K2384" s="13" t="str">
        <f>IFERROR(__xludf.DUMMYFUNCTION("""COMPUTED_VALUE"""),"BT atau SU Belum Valid")</f>
        <v>BT atau SU Belum Valid</v>
      </c>
      <c r="L2384" s="13" t="str">
        <f>IFERROR(__xludf.DUMMYFUNCTION("""COMPUTED_VALUE"""),"")</f>
        <v/>
      </c>
      <c r="M2384" s="13"/>
      <c r="N2384" s="13" t="str">
        <f>IFERROR(__xludf.DUMMYFUNCTION("""COMPUTED_VALUE"""),"")</f>
        <v/>
      </c>
      <c r="O2384" s="13" t="str">
        <f t="shared" si="1"/>
        <v/>
      </c>
    </row>
    <row r="2385" ht="22.5" customHeight="1">
      <c r="B2385" s="13">
        <f>IFERROR(__xludf.DUMMYFUNCTION("""COMPUTED_VALUE"""),2380.0)</f>
        <v>2380</v>
      </c>
      <c r="C2385" s="13" t="str">
        <f>IFERROR(__xludf.DUMMYFUNCTION("""COMPUTED_VALUE"""),"M. 13428/ kedamaian")</f>
        <v>M. 13428/ kedamaian</v>
      </c>
      <c r="D2385" s="13" t="str">
        <f>IFERROR(__xludf.DUMMYFUNCTION("""COMPUTED_VALUE"""),"K/8/160525/3")</f>
        <v>K/8/160525/3</v>
      </c>
      <c r="E2385" s="14"/>
      <c r="F2385" s="14"/>
      <c r="G2385" s="17" t="str">
        <f>IFERROR(__xludf.DUMMYFUNCTION("""COMPUTED_VALUE"""),"")</f>
        <v/>
      </c>
      <c r="H2385" s="14" t="str">
        <f>IFERROR(__xludf.DUMMYFUNCTION("""COMPUTED_VALUE"""),"Eci (SU)")</f>
        <v>Eci (SU)</v>
      </c>
      <c r="I2385" s="13" t="str">
        <f>IFERROR(__xludf.DUMMYFUNCTION("""COMPUTED_VALUE"""),"SELESAI (VIA PERMOHONAN)")</f>
        <v>SELESAI (VIA PERMOHONAN)</v>
      </c>
      <c r="J2385" s="17">
        <f>IFERROR(__xludf.DUMMYFUNCTION("""COMPUTED_VALUE"""),45811.384183981485)</f>
        <v>45811.38418</v>
      </c>
      <c r="K2385" s="13" t="str">
        <f>IFERROR(__xludf.DUMMYFUNCTION("""COMPUTED_VALUE"""),"BT atau SU Belum Valid")</f>
        <v>BT atau SU Belum Valid</v>
      </c>
      <c r="L2385" s="13" t="str">
        <f>IFERROR(__xludf.DUMMYFUNCTION("""COMPUTED_VALUE"""),"")</f>
        <v/>
      </c>
      <c r="M2385" s="13"/>
      <c r="N2385" s="13" t="str">
        <f>IFERROR(__xludf.DUMMYFUNCTION("""COMPUTED_VALUE"""),"")</f>
        <v/>
      </c>
      <c r="O2385" s="13" t="str">
        <f t="shared" si="1"/>
        <v/>
      </c>
    </row>
    <row r="2386" ht="22.5" customHeight="1">
      <c r="B2386" s="13">
        <f>IFERROR(__xludf.DUMMYFUNCTION("""COMPUTED_VALUE"""),2381.0)</f>
        <v>2381</v>
      </c>
      <c r="C2386" s="13" t="str">
        <f>IFERROR(__xludf.DUMMYFUNCTION("""COMPUTED_VALUE"""),"M. 1014/ Pinang Jaya")</f>
        <v>M. 1014/ Pinang Jaya</v>
      </c>
      <c r="D2386" s="13" t="str">
        <f>IFERROR(__xludf.DUMMYFUNCTION("""COMPUTED_VALUE"""),"K/37/160525/1")</f>
        <v>K/37/160525/1</v>
      </c>
      <c r="E2386" s="14"/>
      <c r="F2386" s="14"/>
      <c r="G2386" s="17" t="str">
        <f>IFERROR(__xludf.DUMMYFUNCTION("""COMPUTED_VALUE"""),"")</f>
        <v/>
      </c>
      <c r="H2386" s="14" t="str">
        <f>IFERROR(__xludf.DUMMYFUNCTION("""COMPUTED_VALUE"""),"Eci (SU)")</f>
        <v>Eci (SU)</v>
      </c>
      <c r="I2386" s="13" t="str">
        <f>IFERROR(__xludf.DUMMYFUNCTION("""COMPUTED_VALUE"""),"SELESAI (VIA PERMOHONAN)")</f>
        <v>SELESAI (VIA PERMOHONAN)</v>
      </c>
      <c r="J2386" s="17">
        <f>IFERROR(__xludf.DUMMYFUNCTION("""COMPUTED_VALUE"""),45811.384183981485)</f>
        <v>45811.38418</v>
      </c>
      <c r="K2386" s="13" t="str">
        <f>IFERROR(__xludf.DUMMYFUNCTION("""COMPUTED_VALUE"""),"BT atau SU Belum Valid")</f>
        <v>BT atau SU Belum Valid</v>
      </c>
      <c r="L2386" s="13" t="str">
        <f>IFERROR(__xludf.DUMMYFUNCTION("""COMPUTED_VALUE"""),"")</f>
        <v/>
      </c>
      <c r="M2386" s="13"/>
      <c r="N2386" s="13" t="str">
        <f>IFERROR(__xludf.DUMMYFUNCTION("""COMPUTED_VALUE"""),"")</f>
        <v/>
      </c>
      <c r="O2386" s="13" t="str">
        <f t="shared" si="1"/>
        <v/>
      </c>
    </row>
    <row r="2387" ht="22.5" customHeight="1">
      <c r="B2387" s="13">
        <f>IFERROR(__xludf.DUMMYFUNCTION("""COMPUTED_VALUE"""),2382.0)</f>
        <v>2382</v>
      </c>
      <c r="C2387" s="13" t="str">
        <f>IFERROR(__xludf.DUMMYFUNCTION("""COMPUTED_VALUE"""),"M. 3341/ Kemiling Permai")</f>
        <v>M. 3341/ Kemiling Permai</v>
      </c>
      <c r="D2387" s="13" t="str">
        <f>IFERROR(__xludf.DUMMYFUNCTION("""COMPUTED_VALUE"""),"K/11/210525/1")</f>
        <v>K/11/210525/1</v>
      </c>
      <c r="E2387" s="14"/>
      <c r="F2387" s="14"/>
      <c r="G2387" s="17" t="str">
        <f>IFERROR(__xludf.DUMMYFUNCTION("""COMPUTED_VALUE"""),"")</f>
        <v/>
      </c>
      <c r="H2387" s="14" t="str">
        <f>IFERROR(__xludf.DUMMYFUNCTION("""COMPUTED_VALUE"""),"Eci (SU)")</f>
        <v>Eci (SU)</v>
      </c>
      <c r="I2387" s="13" t="str">
        <f>IFERROR(__xludf.DUMMYFUNCTION("""COMPUTED_VALUE"""),"SELESAI (VIA PERMOHONAN)")</f>
        <v>SELESAI (VIA PERMOHONAN)</v>
      </c>
      <c r="J2387" s="17">
        <f>IFERROR(__xludf.DUMMYFUNCTION("""COMPUTED_VALUE"""),45811.384183981485)</f>
        <v>45811.38418</v>
      </c>
      <c r="K2387" s="13" t="str">
        <f>IFERROR(__xludf.DUMMYFUNCTION("""COMPUTED_VALUE"""),"BT atau SU Belum Valid")</f>
        <v>BT atau SU Belum Valid</v>
      </c>
      <c r="L2387" s="13" t="str">
        <f>IFERROR(__xludf.DUMMYFUNCTION("""COMPUTED_VALUE"""),"")</f>
        <v/>
      </c>
      <c r="M2387" s="13"/>
      <c r="N2387" s="13" t="str">
        <f>IFERROR(__xludf.DUMMYFUNCTION("""COMPUTED_VALUE"""),"")</f>
        <v/>
      </c>
      <c r="O2387" s="13" t="str">
        <f t="shared" si="1"/>
        <v/>
      </c>
    </row>
    <row r="2388" ht="22.5" customHeight="1">
      <c r="B2388" s="13">
        <f>IFERROR(__xludf.DUMMYFUNCTION("""COMPUTED_VALUE"""),2383.0)</f>
        <v>2383</v>
      </c>
      <c r="C2388" s="13" t="str">
        <f>IFERROR(__xludf.DUMMYFUNCTION("""COMPUTED_VALUE"""),"M. 10037/ Sukamenanti")</f>
        <v>M. 10037/ Sukamenanti</v>
      </c>
      <c r="D2388" s="13" t="str">
        <f>IFERROR(__xludf.DUMMYFUNCTION("""COMPUTED_VALUE"""),"K/9/190525/1")</f>
        <v>K/9/190525/1</v>
      </c>
      <c r="E2388" s="14"/>
      <c r="F2388" s="14"/>
      <c r="G2388" s="17" t="str">
        <f>IFERROR(__xludf.DUMMYFUNCTION("""COMPUTED_VALUE"""),"")</f>
        <v/>
      </c>
      <c r="H2388" s="14" t="str">
        <f>IFERROR(__xludf.DUMMYFUNCTION("""COMPUTED_VALUE"""),"Eci (SU)")</f>
        <v>Eci (SU)</v>
      </c>
      <c r="I2388" s="13" t="str">
        <f>IFERROR(__xludf.DUMMYFUNCTION("""COMPUTED_VALUE"""),"SELESAI (VIA PERMOHONAN)")</f>
        <v>SELESAI (VIA PERMOHONAN)</v>
      </c>
      <c r="J2388" s="17">
        <f>IFERROR(__xludf.DUMMYFUNCTION("""COMPUTED_VALUE"""),45811.384183981485)</f>
        <v>45811.38418</v>
      </c>
      <c r="K2388" s="13" t="str">
        <f>IFERROR(__xludf.DUMMYFUNCTION("""COMPUTED_VALUE"""),"BT atau SU Belum Valid")</f>
        <v>BT atau SU Belum Valid</v>
      </c>
      <c r="L2388" s="13" t="str">
        <f>IFERROR(__xludf.DUMMYFUNCTION("""COMPUTED_VALUE"""),"")</f>
        <v/>
      </c>
      <c r="M2388" s="13"/>
      <c r="N2388" s="13" t="str">
        <f>IFERROR(__xludf.DUMMYFUNCTION("""COMPUTED_VALUE"""),"")</f>
        <v/>
      </c>
      <c r="O2388" s="13" t="str">
        <f t="shared" si="1"/>
        <v/>
      </c>
    </row>
    <row r="2389" ht="22.5" customHeight="1">
      <c r="B2389" s="13">
        <f>IFERROR(__xludf.DUMMYFUNCTION("""COMPUTED_VALUE"""),2384.0)</f>
        <v>2384</v>
      </c>
      <c r="C2389" s="13" t="str">
        <f>IFERROR(__xludf.DUMMYFUNCTION("""COMPUTED_VALUE"""),"M. 2377/ Kedaung")</f>
        <v>M. 2377/ Kedaung</v>
      </c>
      <c r="D2389" s="13" t="str">
        <f>IFERROR(__xludf.DUMMYFUNCTION("""COMPUTED_VALUE"""),"K/25/220525/1")</f>
        <v>K/25/220525/1</v>
      </c>
      <c r="E2389" s="14"/>
      <c r="F2389" s="14"/>
      <c r="G2389" s="17" t="str">
        <f>IFERROR(__xludf.DUMMYFUNCTION("""COMPUTED_VALUE"""),"")</f>
        <v/>
      </c>
      <c r="H2389" s="14" t="str">
        <f>IFERROR(__xludf.DUMMYFUNCTION("""COMPUTED_VALUE"""),"Eci (SU)")</f>
        <v>Eci (SU)</v>
      </c>
      <c r="I2389" s="13" t="str">
        <f>IFERROR(__xludf.DUMMYFUNCTION("""COMPUTED_VALUE"""),"SELESAI (VIA PERMOHONAN)")</f>
        <v>SELESAI (VIA PERMOHONAN)</v>
      </c>
      <c r="J2389" s="17">
        <f>IFERROR(__xludf.DUMMYFUNCTION("""COMPUTED_VALUE"""),45811.384183981485)</f>
        <v>45811.38418</v>
      </c>
      <c r="K2389" s="13" t="str">
        <f>IFERROR(__xludf.DUMMYFUNCTION("""COMPUTED_VALUE"""),"BT atau SU Belum Valid")</f>
        <v>BT atau SU Belum Valid</v>
      </c>
      <c r="L2389" s="13" t="str">
        <f>IFERROR(__xludf.DUMMYFUNCTION("""COMPUTED_VALUE"""),"")</f>
        <v/>
      </c>
      <c r="M2389" s="13"/>
      <c r="N2389" s="13" t="str">
        <f>IFERROR(__xludf.DUMMYFUNCTION("""COMPUTED_VALUE"""),"")</f>
        <v/>
      </c>
      <c r="O2389" s="13" t="str">
        <f t="shared" si="1"/>
        <v/>
      </c>
    </row>
    <row r="2390" ht="22.5" customHeight="1">
      <c r="B2390" s="13">
        <f>IFERROR(__xludf.DUMMYFUNCTION("""COMPUTED_VALUE"""),2385.0)</f>
        <v>2385</v>
      </c>
      <c r="C2390" s="13" t="str">
        <f>IFERROR(__xludf.DUMMYFUNCTION("""COMPUTED_VALUE"""),"M. 1601/ way Laga")</f>
        <v>M. 1601/ way Laga</v>
      </c>
      <c r="D2390" s="13" t="str">
        <f>IFERROR(__xludf.DUMMYFUNCTION("""COMPUTED_VALUE"""),"K/41/220525/2")</f>
        <v>K/41/220525/2</v>
      </c>
      <c r="E2390" s="14"/>
      <c r="F2390" s="14"/>
      <c r="G2390" s="17" t="str">
        <f>IFERROR(__xludf.DUMMYFUNCTION("""COMPUTED_VALUE"""),"")</f>
        <v/>
      </c>
      <c r="H2390" s="14" t="str">
        <f>IFERROR(__xludf.DUMMYFUNCTION("""COMPUTED_VALUE"""),"Eci (SU)")</f>
        <v>Eci (SU)</v>
      </c>
      <c r="I2390" s="13" t="str">
        <f>IFERROR(__xludf.DUMMYFUNCTION("""COMPUTED_VALUE"""),"SELESAI (VIA PERMOHONAN)")</f>
        <v>SELESAI (VIA PERMOHONAN)</v>
      </c>
      <c r="J2390" s="17">
        <f>IFERROR(__xludf.DUMMYFUNCTION("""COMPUTED_VALUE"""),45811.384183981485)</f>
        <v>45811.38418</v>
      </c>
      <c r="K2390" s="13" t="str">
        <f>IFERROR(__xludf.DUMMYFUNCTION("""COMPUTED_VALUE"""),"BT atau SU Belum Valid")</f>
        <v>BT atau SU Belum Valid</v>
      </c>
      <c r="L2390" s="13" t="str">
        <f>IFERROR(__xludf.DUMMYFUNCTION("""COMPUTED_VALUE"""),"")</f>
        <v/>
      </c>
      <c r="M2390" s="13"/>
      <c r="N2390" s="13" t="str">
        <f>IFERROR(__xludf.DUMMYFUNCTION("""COMPUTED_VALUE"""),"")</f>
        <v/>
      </c>
      <c r="O2390" s="13" t="str">
        <f t="shared" si="1"/>
        <v/>
      </c>
    </row>
    <row r="2391" ht="22.5" customHeight="1">
      <c r="B2391" s="13">
        <f>IFERROR(__xludf.DUMMYFUNCTION("""COMPUTED_VALUE"""),2386.0)</f>
        <v>2386</v>
      </c>
      <c r="C2391" s="13" t="str">
        <f>IFERROR(__xludf.DUMMYFUNCTION("""COMPUTED_VALUE"""),"M. 12343/ Jagabaya II")</f>
        <v>M. 12343/ Jagabaya II</v>
      </c>
      <c r="D2391" s="13" t="str">
        <f>IFERROR(__xludf.DUMMYFUNCTION("""COMPUTED_VALUE"""),"K/25/200525/1")</f>
        <v>K/25/200525/1</v>
      </c>
      <c r="E2391" s="14"/>
      <c r="F2391" s="14"/>
      <c r="G2391" s="17" t="str">
        <f>IFERROR(__xludf.DUMMYFUNCTION("""COMPUTED_VALUE"""),"")</f>
        <v/>
      </c>
      <c r="H2391" s="14" t="str">
        <f>IFERROR(__xludf.DUMMYFUNCTION("""COMPUTED_VALUE"""),"Eci (SU)")</f>
        <v>Eci (SU)</v>
      </c>
      <c r="I2391" s="13" t="str">
        <f>IFERROR(__xludf.DUMMYFUNCTION("""COMPUTED_VALUE"""),"SELESAI (VIA PERMOHONAN)")</f>
        <v>SELESAI (VIA PERMOHONAN)</v>
      </c>
      <c r="J2391" s="17">
        <f>IFERROR(__xludf.DUMMYFUNCTION("""COMPUTED_VALUE"""),45811.384183981485)</f>
        <v>45811.38418</v>
      </c>
      <c r="K2391" s="13" t="str">
        <f>IFERROR(__xludf.DUMMYFUNCTION("""COMPUTED_VALUE"""),"BT atau SU Belum Valid")</f>
        <v>BT atau SU Belum Valid</v>
      </c>
      <c r="L2391" s="13" t="str">
        <f>IFERROR(__xludf.DUMMYFUNCTION("""COMPUTED_VALUE"""),"")</f>
        <v/>
      </c>
      <c r="M2391" s="13"/>
      <c r="N2391" s="13" t="str">
        <f>IFERROR(__xludf.DUMMYFUNCTION("""COMPUTED_VALUE"""),"")</f>
        <v/>
      </c>
      <c r="O2391" s="13" t="str">
        <f t="shared" si="1"/>
        <v/>
      </c>
    </row>
    <row r="2392" ht="22.5" customHeight="1">
      <c r="B2392" s="13">
        <f>IFERROR(__xludf.DUMMYFUNCTION("""COMPUTED_VALUE"""),2387.0)</f>
        <v>2387</v>
      </c>
      <c r="C2392" s="13" t="str">
        <f>IFERROR(__xludf.DUMMYFUNCTION("""COMPUTED_VALUE"""),"M. 10278/SIDODADI")</f>
        <v>M. 10278/SIDODADI</v>
      </c>
      <c r="D2392" s="13" t="str">
        <f>IFERROR(__xludf.DUMMYFUNCTION("""COMPUTED_VALUE"""),"K/22/020525/1")</f>
        <v>K/22/020525/1</v>
      </c>
      <c r="E2392" s="14"/>
      <c r="F2392" s="14"/>
      <c r="G2392" s="17" t="str">
        <f>IFERROR(__xludf.DUMMYFUNCTION("""COMPUTED_VALUE"""),"")</f>
        <v/>
      </c>
      <c r="H2392" s="14" t="str">
        <f>IFERROR(__xludf.DUMMYFUNCTION("""COMPUTED_VALUE"""),"Eci (SU)")</f>
        <v>Eci (SU)</v>
      </c>
      <c r="I2392" s="13" t="str">
        <f>IFERROR(__xludf.DUMMYFUNCTION("""COMPUTED_VALUE"""),"SELESAI (VIA PERMOHONAN)")</f>
        <v>SELESAI (VIA PERMOHONAN)</v>
      </c>
      <c r="J2392" s="17">
        <f>IFERROR(__xludf.DUMMYFUNCTION("""COMPUTED_VALUE"""),45811.384183981485)</f>
        <v>45811.38418</v>
      </c>
      <c r="K2392" s="13" t="str">
        <f>IFERROR(__xludf.DUMMYFUNCTION("""COMPUTED_VALUE"""),"BT atau SU Belum Valid")</f>
        <v>BT atau SU Belum Valid</v>
      </c>
      <c r="L2392" s="13" t="str">
        <f>IFERROR(__xludf.DUMMYFUNCTION("""COMPUTED_VALUE"""),"")</f>
        <v/>
      </c>
      <c r="M2392" s="13"/>
      <c r="N2392" s="13" t="str">
        <f>IFERROR(__xludf.DUMMYFUNCTION("""COMPUTED_VALUE"""),"")</f>
        <v/>
      </c>
      <c r="O2392" s="13" t="str">
        <f t="shared" si="1"/>
        <v/>
      </c>
    </row>
    <row r="2393" ht="22.5" customHeight="1">
      <c r="B2393" s="13">
        <f>IFERROR(__xludf.DUMMYFUNCTION("""COMPUTED_VALUE"""),2388.0)</f>
        <v>2388</v>
      </c>
      <c r="C2393" s="13" t="str">
        <f>IFERROR(__xludf.DUMMYFUNCTION("""COMPUTED_VALUE"""),"M.1975/KOTA BARU")</f>
        <v>M.1975/KOTA BARU</v>
      </c>
      <c r="D2393" s="13" t="str">
        <f>IFERROR(__xludf.DUMMYFUNCTION("""COMPUTED_VALUE"""),"K/16/080525/1")</f>
        <v>K/16/080525/1</v>
      </c>
      <c r="E2393" s="14"/>
      <c r="F2393" s="14"/>
      <c r="G2393" s="17" t="str">
        <f>IFERROR(__xludf.DUMMYFUNCTION("""COMPUTED_VALUE"""),"")</f>
        <v/>
      </c>
      <c r="H2393" s="14" t="str">
        <f>IFERROR(__xludf.DUMMYFUNCTION("""COMPUTED_VALUE"""),"Eci (SU)")</f>
        <v>Eci (SU)</v>
      </c>
      <c r="I2393" s="13" t="str">
        <f>IFERROR(__xludf.DUMMYFUNCTION("""COMPUTED_VALUE"""),"SELESAI (VIA PERMOHONAN)")</f>
        <v>SELESAI (VIA PERMOHONAN)</v>
      </c>
      <c r="J2393" s="17">
        <f>IFERROR(__xludf.DUMMYFUNCTION("""COMPUTED_VALUE"""),45811.384183981485)</f>
        <v>45811.38418</v>
      </c>
      <c r="K2393" s="13" t="str">
        <f>IFERROR(__xludf.DUMMYFUNCTION("""COMPUTED_VALUE"""),"BT atau SU Belum Valid")</f>
        <v>BT atau SU Belum Valid</v>
      </c>
      <c r="L2393" s="13" t="str">
        <f>IFERROR(__xludf.DUMMYFUNCTION("""COMPUTED_VALUE"""),"")</f>
        <v/>
      </c>
      <c r="M2393" s="13"/>
      <c r="N2393" s="13" t="str">
        <f>IFERROR(__xludf.DUMMYFUNCTION("""COMPUTED_VALUE"""),"")</f>
        <v/>
      </c>
      <c r="O2393" s="13" t="str">
        <f t="shared" si="1"/>
        <v/>
      </c>
    </row>
    <row r="2394" ht="22.5" customHeight="1">
      <c r="B2394" s="13">
        <f>IFERROR(__xludf.DUMMYFUNCTION("""COMPUTED_VALUE"""),2389.0)</f>
        <v>2389</v>
      </c>
      <c r="C2394" s="13" t="str">
        <f>IFERROR(__xludf.DUMMYFUNCTION("""COMPUTED_VALUE"""),"M. 2685/SUMBEREJO KEMILING, M. 2590/SUMBEREJO/KEMILING, M. 2591/SUMBEREJO/KEMILING")</f>
        <v>M. 2685/SUMBEREJO KEMILING, M. 2590/SUMBEREJO/KEMILING, M. 2591/SUMBEREJO/KEMILING</v>
      </c>
      <c r="D2394" s="13" t="str">
        <f>IFERROR(__xludf.DUMMYFUNCTION("""COMPUTED_VALUE"""),"L/33/280525/1")</f>
        <v>L/33/280525/1</v>
      </c>
      <c r="E2394" s="14" t="str">
        <f>IFERROR(__xludf.DUMMYFUNCTION("""COMPUTED_VALUE"""),"Heri (BT)")</f>
        <v>Heri (BT)</v>
      </c>
      <c r="F2394" s="14" t="str">
        <f>IFERROR(__xludf.DUMMYFUNCTION("""COMPUTED_VALUE"""),"SELESAI (VIA PERMOHONAN)")</f>
        <v>SELESAI (VIA PERMOHONAN)</v>
      </c>
      <c r="G2394" s="17">
        <f>IFERROR(__xludf.DUMMYFUNCTION("""COMPUTED_VALUE"""),45812.37882138889)</f>
        <v>45812.37882</v>
      </c>
      <c r="H2394" s="14" t="str">
        <f>IFERROR(__xludf.DUMMYFUNCTION("""COMPUTED_VALUE"""),"Eci (SU)")</f>
        <v>Eci (SU)</v>
      </c>
      <c r="I2394" s="13" t="str">
        <f>IFERROR(__xludf.DUMMYFUNCTION("""COMPUTED_VALUE"""),"SELESAI (VIA PERMOHONAN)")</f>
        <v>SELESAI (VIA PERMOHONAN)</v>
      </c>
      <c r="J2394" s="17">
        <f>IFERROR(__xludf.DUMMYFUNCTION("""COMPUTED_VALUE"""),45812.62029601852)</f>
        <v>45812.6203</v>
      </c>
      <c r="K2394" s="13" t="str">
        <f>IFERROR(__xludf.DUMMYFUNCTION("""COMPUTED_VALUE"""),"Selesai")</f>
        <v>Selesai</v>
      </c>
      <c r="L2394" s="17">
        <f>IFERROR(__xludf.DUMMYFUNCTION("""COMPUTED_VALUE"""),45812.62029601852)</f>
        <v>45812.6203</v>
      </c>
      <c r="M2394" s="13"/>
      <c r="N2394" s="13" t="str">
        <f>IFERROR(__xludf.DUMMYFUNCTION("""COMPUTED_VALUE"""),"")</f>
        <v/>
      </c>
      <c r="O2394" s="13" t="str">
        <f t="shared" si="1"/>
        <v/>
      </c>
    </row>
    <row r="2395" ht="22.5" customHeight="1">
      <c r="B2395" s="13">
        <f>IFERROR(__xludf.DUMMYFUNCTION("""COMPUTED_VALUE"""),2390.0)</f>
        <v>2390</v>
      </c>
      <c r="C2395" s="13" t="str">
        <f>IFERROR(__xludf.DUMMYFUNCTION("""COMPUTED_VALUE"""),"HGB 283/KAMPUNG BARU")</f>
        <v>HGB 283/KAMPUNG BARU</v>
      </c>
      <c r="D2395" s="13" t="str">
        <f>IFERROR(__xludf.DUMMYFUNCTION("""COMPUTED_VALUE"""),"L/19/260525/1")</f>
        <v>L/19/260525/1</v>
      </c>
      <c r="E2395" s="14" t="str">
        <f>IFERROR(__xludf.DUMMYFUNCTION("""COMPUTED_VALUE"""),"Heri (BT)")</f>
        <v>Heri (BT)</v>
      </c>
      <c r="F2395" s="14" t="str">
        <f>IFERROR(__xludf.DUMMYFUNCTION("""COMPUTED_VALUE"""),"SELESAI (VIA PERMOHONAN)")</f>
        <v>SELESAI (VIA PERMOHONAN)</v>
      </c>
      <c r="G2395" s="17">
        <f>IFERROR(__xludf.DUMMYFUNCTION("""COMPUTED_VALUE"""),45812.378994212966)</f>
        <v>45812.37899</v>
      </c>
      <c r="H2395" s="14" t="str">
        <f>IFERROR(__xludf.DUMMYFUNCTION("""COMPUTED_VALUE"""),"Eci (SU)")</f>
        <v>Eci (SU)</v>
      </c>
      <c r="I2395" s="13" t="str">
        <f>IFERROR(__xludf.DUMMYFUNCTION("""COMPUTED_VALUE"""),"SELESAI (VIA PERMOHONAN)")</f>
        <v>SELESAI (VIA PERMOHONAN)</v>
      </c>
      <c r="J2395" s="17">
        <f>IFERROR(__xludf.DUMMYFUNCTION("""COMPUTED_VALUE"""),45812.62044525463)</f>
        <v>45812.62045</v>
      </c>
      <c r="K2395" s="13" t="str">
        <f>IFERROR(__xludf.DUMMYFUNCTION("""COMPUTED_VALUE"""),"Selesai")</f>
        <v>Selesai</v>
      </c>
      <c r="L2395" s="17">
        <f>IFERROR(__xludf.DUMMYFUNCTION("""COMPUTED_VALUE"""),45812.62044525463)</f>
        <v>45812.62045</v>
      </c>
      <c r="M2395" s="13"/>
      <c r="N2395" s="13" t="str">
        <f>IFERROR(__xludf.DUMMYFUNCTION("""COMPUTED_VALUE"""),"")</f>
        <v/>
      </c>
      <c r="O2395" s="13" t="str">
        <f t="shared" si="1"/>
        <v/>
      </c>
    </row>
    <row r="2396" ht="22.5" customHeight="1">
      <c r="B2396" s="13">
        <f>IFERROR(__xludf.DUMMYFUNCTION("""COMPUTED_VALUE"""),2391.0)</f>
        <v>2391</v>
      </c>
      <c r="C2396" s="13" t="str">
        <f>IFERROR(__xludf.DUMMYFUNCTION("""COMPUTED_VALUE"""),"M. 1169/TANJUNG GADING")</f>
        <v>M. 1169/TANJUNG GADING</v>
      </c>
      <c r="D2396" s="13" t="str">
        <f>IFERROR(__xludf.DUMMYFUNCTION("""COMPUTED_VALUE"""),"L/37/280525/1")</f>
        <v>L/37/280525/1</v>
      </c>
      <c r="E2396" s="14" t="str">
        <f>IFERROR(__xludf.DUMMYFUNCTION("""COMPUTED_VALUE"""),"Heri (BT)")</f>
        <v>Heri (BT)</v>
      </c>
      <c r="F2396" s="14" t="str">
        <f>IFERROR(__xludf.DUMMYFUNCTION("""COMPUTED_VALUE"""),"SELESAI (VIA PERMOHONAN)")</f>
        <v>SELESAI (VIA PERMOHONAN)</v>
      </c>
      <c r="G2396" s="17">
        <f>IFERROR(__xludf.DUMMYFUNCTION("""COMPUTED_VALUE"""),45812.37911930555)</f>
        <v>45812.37912</v>
      </c>
      <c r="H2396" s="14" t="str">
        <f>IFERROR(__xludf.DUMMYFUNCTION("""COMPUTED_VALUE"""),"Eci (SU)")</f>
        <v>Eci (SU)</v>
      </c>
      <c r="I2396" s="13" t="str">
        <f>IFERROR(__xludf.DUMMYFUNCTION("""COMPUTED_VALUE"""),"SELESAI (VIA PERMOHONAN)")</f>
        <v>SELESAI (VIA PERMOHONAN)</v>
      </c>
      <c r="J2396" s="17">
        <f>IFERROR(__xludf.DUMMYFUNCTION("""COMPUTED_VALUE"""),45812.620608576384)</f>
        <v>45812.62061</v>
      </c>
      <c r="K2396" s="13" t="str">
        <f>IFERROR(__xludf.DUMMYFUNCTION("""COMPUTED_VALUE"""),"Selesai")</f>
        <v>Selesai</v>
      </c>
      <c r="L2396" s="17">
        <f>IFERROR(__xludf.DUMMYFUNCTION("""COMPUTED_VALUE"""),45812.620608576384)</f>
        <v>45812.62061</v>
      </c>
      <c r="M2396" s="13"/>
      <c r="N2396" s="13" t="str">
        <f>IFERROR(__xludf.DUMMYFUNCTION("""COMPUTED_VALUE"""),"")</f>
        <v/>
      </c>
      <c r="O2396" s="13" t="str">
        <f t="shared" si="1"/>
        <v/>
      </c>
    </row>
    <row r="2397" ht="22.5" customHeight="1">
      <c r="B2397" s="13">
        <f>IFERROR(__xludf.DUMMYFUNCTION("""COMPUTED_VALUE"""),2392.0)</f>
        <v>2392</v>
      </c>
      <c r="C2397" s="13" t="str">
        <f>IFERROR(__xludf.DUMMYFUNCTION("""COMPUTED_VALUE"""),"M. 12345/SEGALA MIDER")</f>
        <v>M. 12345/SEGALA MIDER</v>
      </c>
      <c r="D2397" s="13" t="str">
        <f>IFERROR(__xludf.DUMMYFUNCTION("""COMPUTED_VALUE"""),"L/6/280525/1")</f>
        <v>L/6/280525/1</v>
      </c>
      <c r="E2397" s="14" t="str">
        <f>IFERROR(__xludf.DUMMYFUNCTION("""COMPUTED_VALUE"""),"Heri (BT)")</f>
        <v>Heri (BT)</v>
      </c>
      <c r="F2397" s="14" t="str">
        <f>IFERROR(__xludf.DUMMYFUNCTION("""COMPUTED_VALUE"""),"SELESAI (VIA PERMOHONAN)")</f>
        <v>SELESAI (VIA PERMOHONAN)</v>
      </c>
      <c r="G2397" s="17">
        <f>IFERROR(__xludf.DUMMYFUNCTION("""COMPUTED_VALUE"""),45812.37924061343)</f>
        <v>45812.37924</v>
      </c>
      <c r="H2397" s="14" t="str">
        <f>IFERROR(__xludf.DUMMYFUNCTION("""COMPUTED_VALUE"""),"Eci (SU)")</f>
        <v>Eci (SU)</v>
      </c>
      <c r="I2397" s="13" t="str">
        <f>IFERROR(__xludf.DUMMYFUNCTION("""COMPUTED_VALUE"""),"SELESAI (VIA PERMOHONAN)")</f>
        <v>SELESAI (VIA PERMOHONAN)</v>
      </c>
      <c r="J2397" s="17">
        <f>IFERROR(__xludf.DUMMYFUNCTION("""COMPUTED_VALUE"""),45812.620791180554)</f>
        <v>45812.62079</v>
      </c>
      <c r="K2397" s="13" t="str">
        <f>IFERROR(__xludf.DUMMYFUNCTION("""COMPUTED_VALUE"""),"Selesai")</f>
        <v>Selesai</v>
      </c>
      <c r="L2397" s="17">
        <f>IFERROR(__xludf.DUMMYFUNCTION("""COMPUTED_VALUE"""),45812.620791180554)</f>
        <v>45812.62079</v>
      </c>
      <c r="M2397" s="13"/>
      <c r="N2397" s="13" t="str">
        <f>IFERROR(__xludf.DUMMYFUNCTION("""COMPUTED_VALUE"""),"")</f>
        <v/>
      </c>
      <c r="O2397" s="13" t="str">
        <f t="shared" si="1"/>
        <v/>
      </c>
    </row>
    <row r="2398" ht="22.5" customHeight="1">
      <c r="B2398" s="13">
        <f>IFERROR(__xludf.DUMMYFUNCTION("""COMPUTED_VALUE"""),2393.0)</f>
        <v>2393</v>
      </c>
      <c r="C2398" s="13" t="str">
        <f>IFERROR(__xludf.DUMMYFUNCTION("""COMPUTED_VALUE"""),"HM 55/KAMPUNG BARU R")</f>
        <v>HM 55/KAMPUNG BARU R</v>
      </c>
      <c r="D2398" s="13" t="str">
        <f>IFERROR(__xludf.DUMMYFUNCTION("""COMPUTED_VALUE"""),"L/8/220525/1")</f>
        <v>L/8/220525/1</v>
      </c>
      <c r="E2398" s="14" t="str">
        <f>IFERROR(__xludf.DUMMYFUNCTION("""COMPUTED_VALUE"""),"Heri (BT)")</f>
        <v>Heri (BT)</v>
      </c>
      <c r="F2398" s="14" t="str">
        <f>IFERROR(__xludf.DUMMYFUNCTION("""COMPUTED_VALUE"""),"SELESAI (VIA PERMOHONAN)")</f>
        <v>SELESAI (VIA PERMOHONAN)</v>
      </c>
      <c r="G2398" s="17">
        <f>IFERROR(__xludf.DUMMYFUNCTION("""COMPUTED_VALUE"""),45812.37958165509)</f>
        <v>45812.37958</v>
      </c>
      <c r="H2398" s="14" t="str">
        <f>IFERROR(__xludf.DUMMYFUNCTION("""COMPUTED_VALUE"""),"Eci (SU)")</f>
        <v>Eci (SU)</v>
      </c>
      <c r="I2398" s="13" t="str">
        <f>IFERROR(__xludf.DUMMYFUNCTION("""COMPUTED_VALUE"""),"SELESAI (VIA PERMOHONAN)")</f>
        <v>SELESAI (VIA PERMOHONAN)</v>
      </c>
      <c r="J2398" s="17">
        <f>IFERROR(__xludf.DUMMYFUNCTION("""COMPUTED_VALUE"""),45812.620874768516)</f>
        <v>45812.62087</v>
      </c>
      <c r="K2398" s="13" t="str">
        <f>IFERROR(__xludf.DUMMYFUNCTION("""COMPUTED_VALUE"""),"Selesai")</f>
        <v>Selesai</v>
      </c>
      <c r="L2398" s="17">
        <f>IFERROR(__xludf.DUMMYFUNCTION("""COMPUTED_VALUE"""),45812.620874768516)</f>
        <v>45812.62087</v>
      </c>
      <c r="M2398" s="13"/>
      <c r="N2398" s="13" t="str">
        <f>IFERROR(__xludf.DUMMYFUNCTION("""COMPUTED_VALUE"""),"")</f>
        <v/>
      </c>
      <c r="O2398" s="13" t="str">
        <f t="shared" si="1"/>
        <v/>
      </c>
    </row>
    <row r="2399" ht="22.5" customHeight="1">
      <c r="B2399" s="13">
        <f>IFERROR(__xludf.DUMMYFUNCTION("""COMPUTED_VALUE"""),2394.0)</f>
        <v>2394</v>
      </c>
      <c r="C2399" s="13" t="str">
        <f>IFERROR(__xludf.DUMMYFUNCTION("""COMPUTED_VALUE"""),"HGB 2627/SUKARAME")</f>
        <v>HGB 2627/SUKARAME</v>
      </c>
      <c r="D2399" s="13" t="str">
        <f>IFERROR(__xludf.DUMMYFUNCTION("""COMPUTED_VALUE"""),"L/17/190525/1")</f>
        <v>L/17/190525/1</v>
      </c>
      <c r="E2399" s="14" t="str">
        <f>IFERROR(__xludf.DUMMYFUNCTION("""COMPUTED_VALUE"""),"Heri (BT)")</f>
        <v>Heri (BT)</v>
      </c>
      <c r="F2399" s="14" t="str">
        <f>IFERROR(__xludf.DUMMYFUNCTION("""COMPUTED_VALUE"""),"SELESAI (VIA PERMOHONAN)")</f>
        <v>SELESAI (VIA PERMOHONAN)</v>
      </c>
      <c r="G2399" s="17">
        <f>IFERROR(__xludf.DUMMYFUNCTION("""COMPUTED_VALUE"""),45812.37972773148)</f>
        <v>45812.37973</v>
      </c>
      <c r="H2399" s="14" t="str">
        <f>IFERROR(__xludf.DUMMYFUNCTION("""COMPUTED_VALUE"""),"Eci (SU)")</f>
        <v>Eci (SU)</v>
      </c>
      <c r="I2399" s="13" t="str">
        <f>IFERROR(__xludf.DUMMYFUNCTION("""COMPUTED_VALUE"""),"SELESAI (VIA PERMOHONAN)")</f>
        <v>SELESAI (VIA PERMOHONAN)</v>
      </c>
      <c r="J2399" s="17">
        <f>IFERROR(__xludf.DUMMYFUNCTION("""COMPUTED_VALUE"""),45812.6210509838)</f>
        <v>45812.62105</v>
      </c>
      <c r="K2399" s="13" t="str">
        <f>IFERROR(__xludf.DUMMYFUNCTION("""COMPUTED_VALUE"""),"Selesai")</f>
        <v>Selesai</v>
      </c>
      <c r="L2399" s="17">
        <f>IFERROR(__xludf.DUMMYFUNCTION("""COMPUTED_VALUE"""),45812.6210509838)</f>
        <v>45812.62105</v>
      </c>
      <c r="M2399" s="13"/>
      <c r="N2399" s="13" t="str">
        <f>IFERROR(__xludf.DUMMYFUNCTION("""COMPUTED_VALUE"""),"")</f>
        <v/>
      </c>
      <c r="O2399" s="13" t="str">
        <f t="shared" si="1"/>
        <v/>
      </c>
    </row>
    <row r="2400" ht="22.5" customHeight="1">
      <c r="B2400" s="13">
        <f>IFERROR(__xludf.DUMMYFUNCTION("""COMPUTED_VALUE"""),2395.0)</f>
        <v>2395</v>
      </c>
      <c r="C2400" s="13" t="str">
        <f>IFERROR(__xludf.DUMMYFUNCTION("""COMPUTED_VALUE"""),"B. 2086/ Perumnas Way Halim")</f>
        <v>B. 2086/ Perumnas Way Halim</v>
      </c>
      <c r="D2400" s="13" t="str">
        <f>IFERROR(__xludf.DUMMYFUNCTION("""COMPUTED_VALUE"""),"K/3/020525/1")</f>
        <v>K/3/020525/1</v>
      </c>
      <c r="E2400" s="14" t="str">
        <f>IFERROR(__xludf.DUMMYFUNCTION("""COMPUTED_VALUE"""),"Heri (BT)")</f>
        <v>Heri (BT)</v>
      </c>
      <c r="F2400" s="14" t="str">
        <f>IFERROR(__xludf.DUMMYFUNCTION("""COMPUTED_VALUE"""),"SELESAI (VIA PERMOHONAN)")</f>
        <v>SELESAI (VIA PERMOHONAN)</v>
      </c>
      <c r="G2400" s="17">
        <f>IFERROR(__xludf.DUMMYFUNCTION("""COMPUTED_VALUE"""),45812.37996664352)</f>
        <v>45812.37997</v>
      </c>
      <c r="H2400" s="14" t="str">
        <f>IFERROR(__xludf.DUMMYFUNCTION("""COMPUTED_VALUE"""),"Eci (SU)")</f>
        <v>Eci (SU)</v>
      </c>
      <c r="I2400" s="13" t="str">
        <f>IFERROR(__xludf.DUMMYFUNCTION("""COMPUTED_VALUE"""),"SELESAI (VIA PERMOHONAN)")</f>
        <v>SELESAI (VIA PERMOHONAN)</v>
      </c>
      <c r="J2400" s="17">
        <f>IFERROR(__xludf.DUMMYFUNCTION("""COMPUTED_VALUE"""),45812.62116005787)</f>
        <v>45812.62116</v>
      </c>
      <c r="K2400" s="13" t="str">
        <f>IFERROR(__xludf.DUMMYFUNCTION("""COMPUTED_VALUE"""),"Selesai")</f>
        <v>Selesai</v>
      </c>
      <c r="L2400" s="17">
        <f>IFERROR(__xludf.DUMMYFUNCTION("""COMPUTED_VALUE"""),45812.62116005787)</f>
        <v>45812.62116</v>
      </c>
      <c r="M2400" s="13"/>
      <c r="N2400" s="13" t="str">
        <f>IFERROR(__xludf.DUMMYFUNCTION("""COMPUTED_VALUE"""),"")</f>
        <v/>
      </c>
      <c r="O2400" s="13" t="str">
        <f t="shared" si="1"/>
        <v/>
      </c>
    </row>
    <row r="2401" ht="22.5" customHeight="1">
      <c r="B2401" s="13">
        <f>IFERROR(__xludf.DUMMYFUNCTION("""COMPUTED_VALUE"""),2396.0)</f>
        <v>2396</v>
      </c>
      <c r="C2401" s="13" t="str">
        <f>IFERROR(__xludf.DUMMYFUNCTION("""COMPUTED_VALUE"""),"HM 10352/LABUHAN RATU")</f>
        <v>HM 10352/LABUHAN RATU</v>
      </c>
      <c r="D2401" s="13" t="str">
        <f>IFERROR(__xludf.DUMMYFUNCTION("""COMPUTED_VALUE"""),"L/29/220525/1")</f>
        <v>L/29/220525/1</v>
      </c>
      <c r="E2401" s="14" t="str">
        <f>IFERROR(__xludf.DUMMYFUNCTION("""COMPUTED_VALUE"""),"Heri (BT)")</f>
        <v>Heri (BT)</v>
      </c>
      <c r="F2401" s="14" t="str">
        <f>IFERROR(__xludf.DUMMYFUNCTION("""COMPUTED_VALUE"""),"SELESAI (VIA PERMOHONAN)")</f>
        <v>SELESAI (VIA PERMOHONAN)</v>
      </c>
      <c r="G2401" s="17">
        <f>IFERROR(__xludf.DUMMYFUNCTION("""COMPUTED_VALUE"""),45812.3802459838)</f>
        <v>45812.38025</v>
      </c>
      <c r="H2401" s="14" t="str">
        <f>IFERROR(__xludf.DUMMYFUNCTION("""COMPUTED_VALUE"""),"Eci (SU)")</f>
        <v>Eci (SU)</v>
      </c>
      <c r="I2401" s="13" t="str">
        <f>IFERROR(__xludf.DUMMYFUNCTION("""COMPUTED_VALUE"""),"SELESAI (VIA PERMOHONAN)")</f>
        <v>SELESAI (VIA PERMOHONAN)</v>
      </c>
      <c r="J2401" s="17">
        <f>IFERROR(__xludf.DUMMYFUNCTION("""COMPUTED_VALUE"""),45812.621362094906)</f>
        <v>45812.62136</v>
      </c>
      <c r="K2401" s="13" t="str">
        <f>IFERROR(__xludf.DUMMYFUNCTION("""COMPUTED_VALUE"""),"Selesai")</f>
        <v>Selesai</v>
      </c>
      <c r="L2401" s="17">
        <f>IFERROR(__xludf.DUMMYFUNCTION("""COMPUTED_VALUE"""),45812.621362094906)</f>
        <v>45812.62136</v>
      </c>
      <c r="M2401" s="13"/>
      <c r="N2401" s="13" t="str">
        <f>IFERROR(__xludf.DUMMYFUNCTION("""COMPUTED_VALUE"""),"")</f>
        <v/>
      </c>
      <c r="O2401" s="13" t="str">
        <f t="shared" si="1"/>
        <v/>
      </c>
    </row>
    <row r="2402" ht="22.5" customHeight="1">
      <c r="B2402" s="13">
        <f>IFERROR(__xludf.DUMMYFUNCTION("""COMPUTED_VALUE"""),2397.0)</f>
        <v>2397</v>
      </c>
      <c r="C2402" s="13" t="str">
        <f>IFERROR(__xludf.DUMMYFUNCTION("""COMPUTED_VALUE"""),"HM 11690/8SEGALA MIDER")</f>
        <v>HM 11690/8SEGALA MIDER</v>
      </c>
      <c r="D2402" s="13" t="str">
        <f>IFERROR(__xludf.DUMMYFUNCTION("""COMPUTED_VALUE"""),"L/7/070525/1")</f>
        <v>L/7/070525/1</v>
      </c>
      <c r="E2402" s="14" t="str">
        <f>IFERROR(__xludf.DUMMYFUNCTION("""COMPUTED_VALUE"""),"Heri (BT)")</f>
        <v>Heri (BT)</v>
      </c>
      <c r="F2402" s="14" t="str">
        <f>IFERROR(__xludf.DUMMYFUNCTION("""COMPUTED_VALUE"""),"SELESAI (VIA PERMOHONAN)")</f>
        <v>SELESAI (VIA PERMOHONAN)</v>
      </c>
      <c r="G2402" s="17">
        <f>IFERROR(__xludf.DUMMYFUNCTION("""COMPUTED_VALUE"""),45812.380442650465)</f>
        <v>45812.38044</v>
      </c>
      <c r="H2402" s="14" t="str">
        <f>IFERROR(__xludf.DUMMYFUNCTION("""COMPUTED_VALUE"""),"Eci (SU)")</f>
        <v>Eci (SU)</v>
      </c>
      <c r="I2402" s="13" t="str">
        <f>IFERROR(__xludf.DUMMYFUNCTION("""COMPUTED_VALUE"""),"SELESAI (VIA PERMOHONAN)")</f>
        <v>SELESAI (VIA PERMOHONAN)</v>
      </c>
      <c r="J2402" s="17">
        <f>IFERROR(__xludf.DUMMYFUNCTION("""COMPUTED_VALUE"""),45812.62144209491)</f>
        <v>45812.62144</v>
      </c>
      <c r="K2402" s="13" t="str">
        <f>IFERROR(__xludf.DUMMYFUNCTION("""COMPUTED_VALUE"""),"Selesai")</f>
        <v>Selesai</v>
      </c>
      <c r="L2402" s="17">
        <f>IFERROR(__xludf.DUMMYFUNCTION("""COMPUTED_VALUE"""),45812.62144209491)</f>
        <v>45812.62144</v>
      </c>
      <c r="M2402" s="13"/>
      <c r="N2402" s="13" t="str">
        <f>IFERROR(__xludf.DUMMYFUNCTION("""COMPUTED_VALUE"""),"")</f>
        <v/>
      </c>
      <c r="O2402" s="13" t="str">
        <f t="shared" si="1"/>
        <v/>
      </c>
    </row>
    <row r="2403" ht="22.5" customHeight="1">
      <c r="B2403" s="13">
        <f>IFERROR(__xludf.DUMMYFUNCTION("""COMPUTED_VALUE"""),2398.0)</f>
        <v>2398</v>
      </c>
      <c r="C2403" s="13" t="str">
        <f>IFERROR(__xludf.DUMMYFUNCTION("""COMPUTED_VALUE"""),"HM 662/JAGABAYA III")</f>
        <v>HM 662/JAGABAYA III</v>
      </c>
      <c r="D2403" s="13" t="str">
        <f>IFERROR(__xludf.DUMMYFUNCTION("""COMPUTED_VALUE"""),"L/7/270525/1")</f>
        <v>L/7/270525/1</v>
      </c>
      <c r="E2403" s="14" t="str">
        <f>IFERROR(__xludf.DUMMYFUNCTION("""COMPUTED_VALUE"""),"Heri (BT)")</f>
        <v>Heri (BT)</v>
      </c>
      <c r="F2403" s="14" t="str">
        <f>IFERROR(__xludf.DUMMYFUNCTION("""COMPUTED_VALUE"""),"SELESAI (VIA PERMOHONAN)")</f>
        <v>SELESAI (VIA PERMOHONAN)</v>
      </c>
      <c r="G2403" s="17">
        <f>IFERROR(__xludf.DUMMYFUNCTION("""COMPUTED_VALUE"""),45812.38059434028)</f>
        <v>45812.38059</v>
      </c>
      <c r="H2403" s="14" t="str">
        <f>IFERROR(__xludf.DUMMYFUNCTION("""COMPUTED_VALUE"""),"Eci (SU)")</f>
        <v>Eci (SU)</v>
      </c>
      <c r="I2403" s="13" t="str">
        <f>IFERROR(__xludf.DUMMYFUNCTION("""COMPUTED_VALUE"""),"SELESAI (VIA PERMOHONAN)")</f>
        <v>SELESAI (VIA PERMOHONAN)</v>
      </c>
      <c r="J2403" s="17">
        <f>IFERROR(__xludf.DUMMYFUNCTION("""COMPUTED_VALUE"""),45812.62155704861)</f>
        <v>45812.62156</v>
      </c>
      <c r="K2403" s="13" t="str">
        <f>IFERROR(__xludf.DUMMYFUNCTION("""COMPUTED_VALUE"""),"Selesai")</f>
        <v>Selesai</v>
      </c>
      <c r="L2403" s="17">
        <f>IFERROR(__xludf.DUMMYFUNCTION("""COMPUTED_VALUE"""),45812.62155704861)</f>
        <v>45812.62156</v>
      </c>
      <c r="M2403" s="13"/>
      <c r="N2403" s="13" t="str">
        <f>IFERROR(__xludf.DUMMYFUNCTION("""COMPUTED_VALUE"""),"")</f>
        <v/>
      </c>
      <c r="O2403" s="13" t="str">
        <f t="shared" si="1"/>
        <v/>
      </c>
    </row>
    <row r="2404" ht="22.5" customHeight="1">
      <c r="B2404" s="13">
        <f>IFERROR(__xludf.DUMMYFUNCTION("""COMPUTED_VALUE"""),2399.0)</f>
        <v>2399</v>
      </c>
      <c r="C2404" s="13" t="str">
        <f>IFERROR(__xludf.DUMMYFUNCTION("""COMPUTED_VALUE"""),"-")</f>
        <v>-</v>
      </c>
      <c r="D2404" s="13" t="str">
        <f>IFERROR(__xludf.DUMMYFUNCTION("""COMPUTED_VALUE"""),"K/41/251124/1")</f>
        <v>K/41/251124/1</v>
      </c>
      <c r="E2404" s="14"/>
      <c r="F2404" s="14"/>
      <c r="G2404" s="17" t="str">
        <f>IFERROR(__xludf.DUMMYFUNCTION("""COMPUTED_VALUE"""),"")</f>
        <v/>
      </c>
      <c r="H2404" s="14"/>
      <c r="I2404" s="13" t="str">
        <f>IFERROR(__xludf.DUMMYFUNCTION("""COMPUTED_VALUE"""),"SELESAI (VIA PERMOHONAN)")</f>
        <v>SELESAI (VIA PERMOHONAN)</v>
      </c>
      <c r="J2404" s="17">
        <f>IFERROR(__xludf.DUMMYFUNCTION("""COMPUTED_VALUE"""),45874.68043001158)</f>
        <v>45874.68043</v>
      </c>
      <c r="K2404" s="13" t="str">
        <f>IFERROR(__xludf.DUMMYFUNCTION("""COMPUTED_VALUE"""),"BT atau SU Belum Valid")</f>
        <v>BT atau SU Belum Valid</v>
      </c>
      <c r="L2404" s="13" t="str">
        <f>IFERROR(__xludf.DUMMYFUNCTION("""COMPUTED_VALUE"""),"")</f>
        <v/>
      </c>
      <c r="M2404" s="13"/>
      <c r="N2404" s="13" t="str">
        <f>IFERROR(__xludf.DUMMYFUNCTION("""COMPUTED_VALUE"""),"")</f>
        <v/>
      </c>
      <c r="O2404" s="13" t="str">
        <f t="shared" si="1"/>
        <v/>
      </c>
    </row>
    <row r="2405" ht="22.5" customHeight="1">
      <c r="B2405" s="13">
        <f>IFERROR(__xludf.DUMMYFUNCTION("""COMPUTED_VALUE"""),2400.0)</f>
        <v>2400</v>
      </c>
      <c r="C2405" s="13" t="str">
        <f>IFERROR(__xludf.DUMMYFUNCTION("""COMPUTED_VALUE"""),"HM 337/GULAK GALIK")</f>
        <v>HM 337/GULAK GALIK</v>
      </c>
      <c r="D2405" s="13" t="str">
        <f>IFERROR(__xludf.DUMMYFUNCTION("""COMPUTED_VALUE"""),"L/12/150525/1")</f>
        <v>L/12/150525/1</v>
      </c>
      <c r="E2405" s="14" t="str">
        <f>IFERROR(__xludf.DUMMYFUNCTION("""COMPUTED_VALUE"""),"Afriza (BT)")</f>
        <v>Afriza (BT)</v>
      </c>
      <c r="F2405" s="14" t="str">
        <f>IFERROR(__xludf.DUMMYFUNCTION("""COMPUTED_VALUE"""),"SELESAI (VIA PERMOHONAN)")</f>
        <v>SELESAI (VIA PERMOHONAN)</v>
      </c>
      <c r="G2405" s="17">
        <f>IFERROR(__xludf.DUMMYFUNCTION("""COMPUTED_VALUE"""),45812.40323488426)</f>
        <v>45812.40323</v>
      </c>
      <c r="H2405" s="14" t="str">
        <f>IFERROR(__xludf.DUMMYFUNCTION("""COMPUTED_VALUE"""),"Admin (Migrasi)")</f>
        <v>Admin (Migrasi)</v>
      </c>
      <c r="I2405" s="13" t="str">
        <f>IFERROR(__xludf.DUMMYFUNCTION("""COMPUTED_VALUE"""),"SELESAI (VIA PERMOHONAN)")</f>
        <v>SELESAI (VIA PERMOHONAN)</v>
      </c>
      <c r="J2405" s="17">
        <f>IFERROR(__xludf.DUMMYFUNCTION("""COMPUTED_VALUE"""),45812.40323488426)</f>
        <v>45812.40323</v>
      </c>
      <c r="K2405" s="13" t="str">
        <f>IFERROR(__xludf.DUMMYFUNCTION("""COMPUTED_VALUE"""),"Selesai")</f>
        <v>Selesai</v>
      </c>
      <c r="L2405" s="17">
        <f>IFERROR(__xludf.DUMMYFUNCTION("""COMPUTED_VALUE"""),45812.40323488426)</f>
        <v>45812.40323</v>
      </c>
      <c r="M2405" s="13"/>
      <c r="N2405" s="13" t="str">
        <f>IFERROR(__xludf.DUMMYFUNCTION("""COMPUTED_VALUE"""),"")</f>
        <v/>
      </c>
      <c r="O2405" s="13" t="str">
        <f t="shared" si="1"/>
        <v/>
      </c>
    </row>
    <row r="2406" ht="22.5" customHeight="1">
      <c r="B2406" s="13">
        <f>IFERROR(__xludf.DUMMYFUNCTION("""COMPUTED_VALUE"""),2401.0)</f>
        <v>2401</v>
      </c>
      <c r="C2406" s="13" t="str">
        <f>IFERROR(__xludf.DUMMYFUNCTION("""COMPUTED_VALUE"""),"HM 228/SUKAJAWA")</f>
        <v>HM 228/SUKAJAWA</v>
      </c>
      <c r="D2406" s="13" t="str">
        <f>IFERROR(__xludf.DUMMYFUNCTION("""COMPUTED_VALUE"""),"L/3/250225/1")</f>
        <v>L/3/250225/1</v>
      </c>
      <c r="E2406" s="14" t="str">
        <f>IFERROR(__xludf.DUMMYFUNCTION("""COMPUTED_VALUE"""),"Afriza (BT)")</f>
        <v>Afriza (BT)</v>
      </c>
      <c r="F2406" s="14" t="str">
        <f>IFERROR(__xludf.DUMMYFUNCTION("""COMPUTED_VALUE"""),"SELESAI (VIA PERMOHONAN)")</f>
        <v>SELESAI (VIA PERMOHONAN)</v>
      </c>
      <c r="G2406" s="17">
        <f>IFERROR(__xludf.DUMMYFUNCTION("""COMPUTED_VALUE"""),45812.56377807871)</f>
        <v>45812.56378</v>
      </c>
      <c r="H2406" s="14" t="str">
        <f>IFERROR(__xludf.DUMMYFUNCTION("""COMPUTED_VALUE"""),"Admin (Migrasi)")</f>
        <v>Admin (Migrasi)</v>
      </c>
      <c r="I2406" s="13" t="str">
        <f>IFERROR(__xludf.DUMMYFUNCTION("""COMPUTED_VALUE"""),"SELESAI (VIA PERMOHONAN)")</f>
        <v>SELESAI (VIA PERMOHONAN)</v>
      </c>
      <c r="J2406" s="17">
        <f>IFERROR(__xludf.DUMMYFUNCTION("""COMPUTED_VALUE"""),45812.563946145834)</f>
        <v>45812.56395</v>
      </c>
      <c r="K2406" s="13" t="str">
        <f>IFERROR(__xludf.DUMMYFUNCTION("""COMPUTED_VALUE"""),"Selesai")</f>
        <v>Selesai</v>
      </c>
      <c r="L2406" s="17">
        <f>IFERROR(__xludf.DUMMYFUNCTION("""COMPUTED_VALUE"""),45812.563946145834)</f>
        <v>45812.56395</v>
      </c>
      <c r="M2406" s="13"/>
      <c r="N2406" s="13" t="str">
        <f>IFERROR(__xludf.DUMMYFUNCTION("""COMPUTED_VALUE"""),"")</f>
        <v/>
      </c>
      <c r="O2406" s="13" t="str">
        <f t="shared" si="1"/>
        <v/>
      </c>
    </row>
    <row r="2407" ht="22.5" customHeight="1">
      <c r="B2407" s="13">
        <f>IFERROR(__xludf.DUMMYFUNCTION("""COMPUTED_VALUE"""),2402.0)</f>
        <v>2402</v>
      </c>
      <c r="C2407" s="13" t="str">
        <f>IFERROR(__xludf.DUMMYFUNCTION("""COMPUTED_VALUE"""),"HGB 30/KOTABARU")</f>
        <v>HGB 30/KOTABARU</v>
      </c>
      <c r="D2407" s="13" t="str">
        <f>IFERROR(__xludf.DUMMYFUNCTION("""COMPUTED_VALUE"""),"L/14/170425/1")</f>
        <v>L/14/170425/1</v>
      </c>
      <c r="E2407" s="14" t="str">
        <f>IFERROR(__xludf.DUMMYFUNCTION("""COMPUTED_VALUE"""),"Afriza (BT)")</f>
        <v>Afriza (BT)</v>
      </c>
      <c r="F2407" s="14" t="str">
        <f>IFERROR(__xludf.DUMMYFUNCTION("""COMPUTED_VALUE"""),"SELESAI (VIA PERMOHONAN)")</f>
        <v>SELESAI (VIA PERMOHONAN)</v>
      </c>
      <c r="G2407" s="17">
        <f>IFERROR(__xludf.DUMMYFUNCTION("""COMPUTED_VALUE"""),45812.563792534726)</f>
        <v>45812.56379</v>
      </c>
      <c r="H2407" s="14" t="str">
        <f>IFERROR(__xludf.DUMMYFUNCTION("""COMPUTED_VALUE"""),"Admin (Migrasi)")</f>
        <v>Admin (Migrasi)</v>
      </c>
      <c r="I2407" s="13" t="str">
        <f>IFERROR(__xludf.DUMMYFUNCTION("""COMPUTED_VALUE"""),"SELESAI (VIA PERMOHONAN)")</f>
        <v>SELESAI (VIA PERMOHONAN)</v>
      </c>
      <c r="J2407" s="17">
        <f>IFERROR(__xludf.DUMMYFUNCTION("""COMPUTED_VALUE"""),45812.563952013894)</f>
        <v>45812.56395</v>
      </c>
      <c r="K2407" s="13" t="str">
        <f>IFERROR(__xludf.DUMMYFUNCTION("""COMPUTED_VALUE"""),"Selesai")</f>
        <v>Selesai</v>
      </c>
      <c r="L2407" s="17">
        <f>IFERROR(__xludf.DUMMYFUNCTION("""COMPUTED_VALUE"""),45812.563952013894)</f>
        <v>45812.56395</v>
      </c>
      <c r="M2407" s="13"/>
      <c r="N2407" s="13" t="str">
        <f>IFERROR(__xludf.DUMMYFUNCTION("""COMPUTED_VALUE"""),"")</f>
        <v/>
      </c>
      <c r="O2407" s="13" t="str">
        <f t="shared" si="1"/>
        <v/>
      </c>
    </row>
    <row r="2408" ht="22.5" customHeight="1">
      <c r="B2408" s="13">
        <f>IFERROR(__xludf.DUMMYFUNCTION("""COMPUTED_VALUE"""),2403.0)</f>
        <v>2403</v>
      </c>
      <c r="C2408" s="13" t="str">
        <f>IFERROR(__xludf.DUMMYFUNCTION("""COMPUTED_VALUE"""),"M. 13637/ kedamaian")</f>
        <v>M. 13637/ kedamaian</v>
      </c>
      <c r="D2408" s="13" t="str">
        <f>IFERROR(__xludf.DUMMYFUNCTION("""COMPUTED_VALUE"""),"K/7/160525/2")</f>
        <v>K/7/160525/2</v>
      </c>
      <c r="E2408" s="14" t="str">
        <f>IFERROR(__xludf.DUMMYFUNCTION("""COMPUTED_VALUE"""),"Afriza (BT)")</f>
        <v>Afriza (BT)</v>
      </c>
      <c r="F2408" s="14" t="str">
        <f>IFERROR(__xludf.DUMMYFUNCTION("""COMPUTED_VALUE"""),"SELESAI (VIA PERMOHONAN)")</f>
        <v>SELESAI (VIA PERMOHONAN)</v>
      </c>
      <c r="G2408" s="17">
        <f>IFERROR(__xludf.DUMMYFUNCTION("""COMPUTED_VALUE"""),45812.563946145834)</f>
        <v>45812.56395</v>
      </c>
      <c r="H2408" s="14" t="str">
        <f>IFERROR(__xludf.DUMMYFUNCTION("""COMPUTED_VALUE"""),"Admin (Migrasi)")</f>
        <v>Admin (Migrasi)</v>
      </c>
      <c r="I2408" s="13" t="str">
        <f>IFERROR(__xludf.DUMMYFUNCTION("""COMPUTED_VALUE"""),"SELESAI (VIA PERMOHONAN)")</f>
        <v>SELESAI (VIA PERMOHONAN)</v>
      </c>
      <c r="J2408" s="17">
        <f>IFERROR(__xludf.DUMMYFUNCTION("""COMPUTED_VALUE"""),45812.5640909375)</f>
        <v>45812.56409</v>
      </c>
      <c r="K2408" s="13" t="str">
        <f>IFERROR(__xludf.DUMMYFUNCTION("""COMPUTED_VALUE"""),"Selesai")</f>
        <v>Selesai</v>
      </c>
      <c r="L2408" s="17">
        <f>IFERROR(__xludf.DUMMYFUNCTION("""COMPUTED_VALUE"""),45812.5640909375)</f>
        <v>45812.56409</v>
      </c>
      <c r="M2408" s="13"/>
      <c r="N2408" s="13" t="str">
        <f>IFERROR(__xludf.DUMMYFUNCTION("""COMPUTED_VALUE"""),"")</f>
        <v/>
      </c>
      <c r="O2408" s="13" t="str">
        <f t="shared" si="1"/>
        <v/>
      </c>
    </row>
    <row r="2409" ht="22.5" customHeight="1">
      <c r="B2409" s="13">
        <f>IFERROR(__xludf.DUMMYFUNCTION("""COMPUTED_VALUE"""),2404.0)</f>
        <v>2404</v>
      </c>
      <c r="C2409" s="13" t="str">
        <f>IFERROR(__xludf.DUMMYFUNCTION("""COMPUTED_VALUE"""),"M.1850/RAJABASA NUNYAI")</f>
        <v>M.1850/RAJABASA NUNYAI</v>
      </c>
      <c r="D2409" s="13" t="str">
        <f>IFERROR(__xludf.DUMMYFUNCTION("""COMPUTED_VALUE"""),"K/36/250225/2")</f>
        <v>K/36/250225/2</v>
      </c>
      <c r="E2409" s="14" t="str">
        <f>IFERROR(__xludf.DUMMYFUNCTION("""COMPUTED_VALUE"""),"Afriza (BT)")</f>
        <v>Afriza (BT)</v>
      </c>
      <c r="F2409" s="14" t="str">
        <f>IFERROR(__xludf.DUMMYFUNCTION("""COMPUTED_VALUE"""),"SELESAI (VIA PERMOHONAN)")</f>
        <v>SELESAI (VIA PERMOHONAN)</v>
      </c>
      <c r="G2409" s="17">
        <f>IFERROR(__xludf.DUMMYFUNCTION("""COMPUTED_VALUE"""),45812.664179872685)</f>
        <v>45812.66418</v>
      </c>
      <c r="H2409" s="14" t="str">
        <f>IFERROR(__xludf.DUMMYFUNCTION("""COMPUTED_VALUE"""),"Eci (SU)")</f>
        <v>Eci (SU)</v>
      </c>
      <c r="I2409" s="13" t="str">
        <f>IFERROR(__xludf.DUMMYFUNCTION("""COMPUTED_VALUE"""),"SELESAI (VIA PERMOHONAN)")</f>
        <v>SELESAI (VIA PERMOHONAN)</v>
      </c>
      <c r="J2409" s="17">
        <f>IFERROR(__xludf.DUMMYFUNCTION("""COMPUTED_VALUE"""),45813.44282841435)</f>
        <v>45813.44283</v>
      </c>
      <c r="K2409" s="13" t="str">
        <f>IFERROR(__xludf.DUMMYFUNCTION("""COMPUTED_VALUE"""),"Selesai")</f>
        <v>Selesai</v>
      </c>
      <c r="L2409" s="17">
        <f>IFERROR(__xludf.DUMMYFUNCTION("""COMPUTED_VALUE"""),45813.44282841435)</f>
        <v>45813.44283</v>
      </c>
      <c r="M2409" s="13"/>
      <c r="N2409" s="13" t="str">
        <f>IFERROR(__xludf.DUMMYFUNCTION("""COMPUTED_VALUE"""),"")</f>
        <v/>
      </c>
      <c r="O2409" s="13" t="str">
        <f t="shared" si="1"/>
        <v/>
      </c>
    </row>
    <row r="2410" ht="22.5" customHeight="1">
      <c r="B2410" s="13">
        <f>IFERROR(__xludf.DUMMYFUNCTION("""COMPUTED_VALUE"""),2405.0)</f>
        <v>2405</v>
      </c>
      <c r="C2410" s="13" t="str">
        <f>IFERROR(__xludf.DUMMYFUNCTION("""COMPUTED_VALUE"""),"B. 738/ Sukarame Baru")</f>
        <v>B. 738/ Sukarame Baru</v>
      </c>
      <c r="D2410" s="13" t="str">
        <f>IFERROR(__xludf.DUMMYFUNCTION("""COMPUTED_VALUE"""),"K/29/270525/1")</f>
        <v>K/29/270525/1</v>
      </c>
      <c r="E2410" s="14" t="str">
        <f>IFERROR(__xludf.DUMMYFUNCTION("""COMPUTED_VALUE"""),"Afriza (BT)")</f>
        <v>Afriza (BT)</v>
      </c>
      <c r="F2410" s="14" t="str">
        <f>IFERROR(__xludf.DUMMYFUNCTION("""COMPUTED_VALUE"""),"SELESAI (VIA PERMOHONAN)")</f>
        <v>SELESAI (VIA PERMOHONAN)</v>
      </c>
      <c r="G2410" s="17">
        <f>IFERROR(__xludf.DUMMYFUNCTION("""COMPUTED_VALUE"""),45812.664284108796)</f>
        <v>45812.66428</v>
      </c>
      <c r="H2410" s="14" t="str">
        <f>IFERROR(__xludf.DUMMYFUNCTION("""COMPUTED_VALUE"""),"Eci (SU)")</f>
        <v>Eci (SU)</v>
      </c>
      <c r="I2410" s="13" t="str">
        <f>IFERROR(__xludf.DUMMYFUNCTION("""COMPUTED_VALUE"""),"SELESAI (VIA PERMOHONAN)")</f>
        <v>SELESAI (VIA PERMOHONAN)</v>
      </c>
      <c r="J2410" s="17">
        <f>IFERROR(__xludf.DUMMYFUNCTION("""COMPUTED_VALUE"""),45813.44295946759)</f>
        <v>45813.44296</v>
      </c>
      <c r="K2410" s="13" t="str">
        <f>IFERROR(__xludf.DUMMYFUNCTION("""COMPUTED_VALUE"""),"Selesai")</f>
        <v>Selesai</v>
      </c>
      <c r="L2410" s="17">
        <f>IFERROR(__xludf.DUMMYFUNCTION("""COMPUTED_VALUE"""),45813.44295946759)</f>
        <v>45813.44296</v>
      </c>
      <c r="M2410" s="13"/>
      <c r="N2410" s="13" t="str">
        <f>IFERROR(__xludf.DUMMYFUNCTION("""COMPUTED_VALUE"""),"")</f>
        <v/>
      </c>
      <c r="O2410" s="13" t="str">
        <f t="shared" si="1"/>
        <v/>
      </c>
    </row>
    <row r="2411" ht="22.5" customHeight="1">
      <c r="B2411" s="13">
        <f>IFERROR(__xludf.DUMMYFUNCTION("""COMPUTED_VALUE"""),2406.0)</f>
        <v>2406</v>
      </c>
      <c r="C2411" s="13" t="str">
        <f>IFERROR(__xludf.DUMMYFUNCTION("""COMPUTED_VALUE"""),"M.4995/TANJUNG SENENG")</f>
        <v>M.4995/TANJUNG SENENG</v>
      </c>
      <c r="D2411" s="13" t="str">
        <f>IFERROR(__xludf.DUMMYFUNCTION("""COMPUTED_VALUE"""),"K/14/160525/1")</f>
        <v>K/14/160525/1</v>
      </c>
      <c r="E2411" s="14" t="str">
        <f>IFERROR(__xludf.DUMMYFUNCTION("""COMPUTED_VALUE"""),"Afriza (BT)")</f>
        <v>Afriza (BT)</v>
      </c>
      <c r="F2411" s="14" t="str">
        <f>IFERROR(__xludf.DUMMYFUNCTION("""COMPUTED_VALUE"""),"SELESAI (VIA PERMOHONAN)")</f>
        <v>SELESAI (VIA PERMOHONAN)</v>
      </c>
      <c r="G2411" s="17">
        <f>IFERROR(__xludf.DUMMYFUNCTION("""COMPUTED_VALUE"""),45812.664424884264)</f>
        <v>45812.66442</v>
      </c>
      <c r="H2411" s="14" t="str">
        <f>IFERROR(__xludf.DUMMYFUNCTION("""COMPUTED_VALUE"""),"Eci (SU)")</f>
        <v>Eci (SU)</v>
      </c>
      <c r="I2411" s="13" t="str">
        <f>IFERROR(__xludf.DUMMYFUNCTION("""COMPUTED_VALUE"""),"SELESAI (VIA PERMOHONAN)")</f>
        <v>SELESAI (VIA PERMOHONAN)</v>
      </c>
      <c r="J2411" s="17">
        <f>IFERROR(__xludf.DUMMYFUNCTION("""COMPUTED_VALUE"""),45813.443122847224)</f>
        <v>45813.44312</v>
      </c>
      <c r="K2411" s="13" t="str">
        <f>IFERROR(__xludf.DUMMYFUNCTION("""COMPUTED_VALUE"""),"Selesai")</f>
        <v>Selesai</v>
      </c>
      <c r="L2411" s="17">
        <f>IFERROR(__xludf.DUMMYFUNCTION("""COMPUTED_VALUE"""),45813.443122847224)</f>
        <v>45813.44312</v>
      </c>
      <c r="M2411" s="13"/>
      <c r="N2411" s="13" t="str">
        <f>IFERROR(__xludf.DUMMYFUNCTION("""COMPUTED_VALUE"""),"")</f>
        <v/>
      </c>
      <c r="O2411" s="13" t="str">
        <f t="shared" si="1"/>
        <v/>
      </c>
    </row>
    <row r="2412" ht="22.5" customHeight="1">
      <c r="B2412" s="13">
        <f>IFERROR(__xludf.DUMMYFUNCTION("""COMPUTED_VALUE"""),2407.0)</f>
        <v>2407</v>
      </c>
      <c r="C2412" s="13" t="str">
        <f>IFERROR(__xludf.DUMMYFUNCTION("""COMPUTED_VALUE"""),"M. 354/NUSANTARA PERMAI")</f>
        <v>M. 354/NUSANTARA PERMAI</v>
      </c>
      <c r="D2412" s="13" t="str">
        <f>IFERROR(__xludf.DUMMYFUNCTION("""COMPUTED_VALUE"""),"K/15/150525/1")</f>
        <v>K/15/150525/1</v>
      </c>
      <c r="E2412" s="14" t="str">
        <f>IFERROR(__xludf.DUMMYFUNCTION("""COMPUTED_VALUE"""),"Afriza (BT)")</f>
        <v>Afriza (BT)</v>
      </c>
      <c r="F2412" s="14" t="str">
        <f>IFERROR(__xludf.DUMMYFUNCTION("""COMPUTED_VALUE"""),"SELESAI (VIA PERMOHONAN)")</f>
        <v>SELESAI (VIA PERMOHONAN)</v>
      </c>
      <c r="G2412" s="17">
        <f>IFERROR(__xludf.DUMMYFUNCTION("""COMPUTED_VALUE"""),45812.66457591435)</f>
        <v>45812.66458</v>
      </c>
      <c r="H2412" s="14" t="str">
        <f>IFERROR(__xludf.DUMMYFUNCTION("""COMPUTED_VALUE"""),"Eci (SU)")</f>
        <v>Eci (SU)</v>
      </c>
      <c r="I2412" s="13" t="str">
        <f>IFERROR(__xludf.DUMMYFUNCTION("""COMPUTED_VALUE"""),"SELESAI (VIA PERMOHONAN)")</f>
        <v>SELESAI (VIA PERMOHONAN)</v>
      </c>
      <c r="J2412" s="17">
        <f>IFERROR(__xludf.DUMMYFUNCTION("""COMPUTED_VALUE"""),45813.44263771991)</f>
        <v>45813.44264</v>
      </c>
      <c r="K2412" s="13" t="str">
        <f>IFERROR(__xludf.DUMMYFUNCTION("""COMPUTED_VALUE"""),"Selesai")</f>
        <v>Selesai</v>
      </c>
      <c r="L2412" s="17">
        <f>IFERROR(__xludf.DUMMYFUNCTION("""COMPUTED_VALUE"""),45813.44263771991)</f>
        <v>45813.44264</v>
      </c>
      <c r="M2412" s="13"/>
      <c r="N2412" s="13" t="str">
        <f>IFERROR(__xludf.DUMMYFUNCTION("""COMPUTED_VALUE"""),"")</f>
        <v/>
      </c>
      <c r="O2412" s="13" t="str">
        <f t="shared" si="1"/>
        <v/>
      </c>
    </row>
    <row r="2413" ht="22.5" customHeight="1">
      <c r="B2413" s="13">
        <f>IFERROR(__xludf.DUMMYFUNCTION("""COMPUTED_VALUE"""),2408.0)</f>
        <v>2408</v>
      </c>
      <c r="C2413" s="13" t="str">
        <f>IFERROR(__xludf.DUMMYFUNCTION("""COMPUTED_VALUE"""),"B. 1495/ Kemiling Permai")</f>
        <v>B. 1495/ Kemiling Permai</v>
      </c>
      <c r="D2413" s="13" t="str">
        <f>IFERROR(__xludf.DUMMYFUNCTION("""COMPUTED_VALUE"""),"K/28/210525/1")</f>
        <v>K/28/210525/1</v>
      </c>
      <c r="E2413" s="14" t="str">
        <f>IFERROR(__xludf.DUMMYFUNCTION("""COMPUTED_VALUE"""),"Afriza (BT)")</f>
        <v>Afriza (BT)</v>
      </c>
      <c r="F2413" s="14" t="str">
        <f>IFERROR(__xludf.DUMMYFUNCTION("""COMPUTED_VALUE"""),"SELESAI (VIA PERMOHONAN)")</f>
        <v>SELESAI (VIA PERMOHONAN)</v>
      </c>
      <c r="G2413" s="17">
        <f>IFERROR(__xludf.DUMMYFUNCTION("""COMPUTED_VALUE"""),45812.66484898148)</f>
        <v>45812.66485</v>
      </c>
      <c r="H2413" s="14" t="str">
        <f>IFERROR(__xludf.DUMMYFUNCTION("""COMPUTED_VALUE"""),"Eci (SU)")</f>
        <v>Eci (SU)</v>
      </c>
      <c r="I2413" s="13" t="str">
        <f>IFERROR(__xludf.DUMMYFUNCTION("""COMPUTED_VALUE"""),"SELESAI (VIA PERMOHONAN)")</f>
        <v>SELESAI (VIA PERMOHONAN)</v>
      </c>
      <c r="J2413" s="17">
        <f>IFERROR(__xludf.DUMMYFUNCTION("""COMPUTED_VALUE"""),45813.442518125)</f>
        <v>45813.44252</v>
      </c>
      <c r="K2413" s="13" t="str">
        <f>IFERROR(__xludf.DUMMYFUNCTION("""COMPUTED_VALUE"""),"Selesai")</f>
        <v>Selesai</v>
      </c>
      <c r="L2413" s="17">
        <f>IFERROR(__xludf.DUMMYFUNCTION("""COMPUTED_VALUE"""),45813.442518125)</f>
        <v>45813.44252</v>
      </c>
      <c r="M2413" s="13"/>
      <c r="N2413" s="13" t="str">
        <f>IFERROR(__xludf.DUMMYFUNCTION("""COMPUTED_VALUE"""),"")</f>
        <v/>
      </c>
      <c r="O2413" s="13" t="str">
        <f t="shared" si="1"/>
        <v/>
      </c>
    </row>
    <row r="2414" ht="22.5" customHeight="1">
      <c r="B2414" s="13">
        <f>IFERROR(__xludf.DUMMYFUNCTION("""COMPUTED_VALUE"""),2409.0)</f>
        <v>2409</v>
      </c>
      <c r="C2414" s="13" t="str">
        <f>IFERROR(__xludf.DUMMYFUNCTION("""COMPUTED_VALUE"""),"M. 14998/ Rajabasa")</f>
        <v>M. 14998/ Rajabasa</v>
      </c>
      <c r="D2414" s="13" t="str">
        <f>IFERROR(__xludf.DUMMYFUNCTION("""COMPUTED_VALUE"""),"K/34/210525/1")</f>
        <v>K/34/210525/1</v>
      </c>
      <c r="E2414" s="14" t="str">
        <f>IFERROR(__xludf.DUMMYFUNCTION("""COMPUTED_VALUE"""),"Afriza (BT)")</f>
        <v>Afriza (BT)</v>
      </c>
      <c r="F2414" s="14" t="str">
        <f>IFERROR(__xludf.DUMMYFUNCTION("""COMPUTED_VALUE"""),"SELESAI (VIA PERMOHONAN)")</f>
        <v>SELESAI (VIA PERMOHONAN)</v>
      </c>
      <c r="G2414" s="17">
        <f>IFERROR(__xludf.DUMMYFUNCTION("""COMPUTED_VALUE"""),45812.66493907408)</f>
        <v>45812.66494</v>
      </c>
      <c r="H2414" s="14" t="str">
        <f>IFERROR(__xludf.DUMMYFUNCTION("""COMPUTED_VALUE"""),"Eci (SU)")</f>
        <v>Eci (SU)</v>
      </c>
      <c r="I2414" s="13" t="str">
        <f>IFERROR(__xludf.DUMMYFUNCTION("""COMPUTED_VALUE"""),"SELESAI (VIA PERMOHONAN)")</f>
        <v>SELESAI (VIA PERMOHONAN)</v>
      </c>
      <c r="J2414" s="17">
        <f>IFERROR(__xludf.DUMMYFUNCTION("""COMPUTED_VALUE"""),45813.44222373843)</f>
        <v>45813.44222</v>
      </c>
      <c r="K2414" s="13" t="str">
        <f>IFERROR(__xludf.DUMMYFUNCTION("""COMPUTED_VALUE"""),"Selesai")</f>
        <v>Selesai</v>
      </c>
      <c r="L2414" s="17">
        <f>IFERROR(__xludf.DUMMYFUNCTION("""COMPUTED_VALUE"""),45813.44222373843)</f>
        <v>45813.44222</v>
      </c>
      <c r="M2414" s="13"/>
      <c r="N2414" s="13" t="str">
        <f>IFERROR(__xludf.DUMMYFUNCTION("""COMPUTED_VALUE"""),"")</f>
        <v/>
      </c>
      <c r="O2414" s="13" t="str">
        <f t="shared" si="1"/>
        <v/>
      </c>
    </row>
    <row r="2415" ht="22.5" customHeight="1">
      <c r="B2415" s="13">
        <f>IFERROR(__xludf.DUMMYFUNCTION("""COMPUTED_VALUE"""),2410.0)</f>
        <v>2410</v>
      </c>
      <c r="C2415" s="13" t="str">
        <f>IFERROR(__xludf.DUMMYFUNCTION("""COMPUTED_VALUE"""),"M. 1359/ Pinag Jaya")</f>
        <v>M. 1359/ Pinag Jaya</v>
      </c>
      <c r="D2415" s="13" t="str">
        <f>IFERROR(__xludf.DUMMYFUNCTION("""COMPUTED_VALUE"""),"K/8/260525/1")</f>
        <v>K/8/260525/1</v>
      </c>
      <c r="E2415" s="14" t="str">
        <f>IFERROR(__xludf.DUMMYFUNCTION("""COMPUTED_VALUE"""),"Afriza (BT)")</f>
        <v>Afriza (BT)</v>
      </c>
      <c r="F2415" s="14" t="str">
        <f>IFERROR(__xludf.DUMMYFUNCTION("""COMPUTED_VALUE"""),"SELESAI (VIA PERMOHONAN)")</f>
        <v>SELESAI (VIA PERMOHONAN)</v>
      </c>
      <c r="G2415" s="17">
        <f>IFERROR(__xludf.DUMMYFUNCTION("""COMPUTED_VALUE"""),45812.665049143514)</f>
        <v>45812.66505</v>
      </c>
      <c r="H2415" s="14" t="str">
        <f>IFERROR(__xludf.DUMMYFUNCTION("""COMPUTED_VALUE"""),"Eci (SU)")</f>
        <v>Eci (SU)</v>
      </c>
      <c r="I2415" s="13" t="str">
        <f>IFERROR(__xludf.DUMMYFUNCTION("""COMPUTED_VALUE"""),"SELESAI (VIA PERMOHONAN)")</f>
        <v>SELESAI (VIA PERMOHONAN)</v>
      </c>
      <c r="J2415" s="17">
        <f>IFERROR(__xludf.DUMMYFUNCTION("""COMPUTED_VALUE"""),45813.4432516088)</f>
        <v>45813.44325</v>
      </c>
      <c r="K2415" s="13" t="str">
        <f>IFERROR(__xludf.DUMMYFUNCTION("""COMPUTED_VALUE"""),"Selesai")</f>
        <v>Selesai</v>
      </c>
      <c r="L2415" s="17">
        <f>IFERROR(__xludf.DUMMYFUNCTION("""COMPUTED_VALUE"""),45813.4432516088)</f>
        <v>45813.44325</v>
      </c>
      <c r="M2415" s="13"/>
      <c r="N2415" s="13" t="str">
        <f>IFERROR(__xludf.DUMMYFUNCTION("""COMPUTED_VALUE"""),"")</f>
        <v/>
      </c>
      <c r="O2415" s="13" t="str">
        <f t="shared" si="1"/>
        <v/>
      </c>
    </row>
    <row r="2416" ht="22.5" customHeight="1">
      <c r="B2416" s="13">
        <f>IFERROR(__xludf.DUMMYFUNCTION("""COMPUTED_VALUE"""),2411.0)</f>
        <v>2411</v>
      </c>
      <c r="C2416" s="13" t="str">
        <f>IFERROR(__xludf.DUMMYFUNCTION("""COMPUTED_VALUE"""),"M. 4934/ Sukadana Ham")</f>
        <v>M. 4934/ Sukadana Ham</v>
      </c>
      <c r="D2416" s="13" t="str">
        <f>IFERROR(__xludf.DUMMYFUNCTION("""COMPUTED_VALUE"""),"K/42/080525/3")</f>
        <v>K/42/080525/3</v>
      </c>
      <c r="E2416" s="14" t="str">
        <f>IFERROR(__xludf.DUMMYFUNCTION("""COMPUTED_VALUE"""),"Afriza (BT)")</f>
        <v>Afriza (BT)</v>
      </c>
      <c r="F2416" s="14" t="str">
        <f>IFERROR(__xludf.DUMMYFUNCTION("""COMPUTED_VALUE"""),"SELESAI (VIA PERMOHONAN)")</f>
        <v>SELESAI (VIA PERMOHONAN)</v>
      </c>
      <c r="G2416" s="17">
        <f>IFERROR(__xludf.DUMMYFUNCTION("""COMPUTED_VALUE"""),45812.666125821765)</f>
        <v>45812.66613</v>
      </c>
      <c r="H2416" s="14" t="str">
        <f>IFERROR(__xludf.DUMMYFUNCTION("""COMPUTED_VALUE"""),"Eci (SU)")</f>
        <v>Eci (SU)</v>
      </c>
      <c r="I2416" s="13" t="str">
        <f>IFERROR(__xludf.DUMMYFUNCTION("""COMPUTED_VALUE"""),"SELESAI (VIA PERMOHONAN)")</f>
        <v>SELESAI (VIA PERMOHONAN)</v>
      </c>
      <c r="J2416" s="17">
        <f>IFERROR(__xludf.DUMMYFUNCTION("""COMPUTED_VALUE"""),45813.44333945602)</f>
        <v>45813.44334</v>
      </c>
      <c r="K2416" s="13" t="str">
        <f>IFERROR(__xludf.DUMMYFUNCTION("""COMPUTED_VALUE"""),"Selesai")</f>
        <v>Selesai</v>
      </c>
      <c r="L2416" s="17">
        <f>IFERROR(__xludf.DUMMYFUNCTION("""COMPUTED_VALUE"""),45813.44333945602)</f>
        <v>45813.44334</v>
      </c>
      <c r="M2416" s="13"/>
      <c r="N2416" s="13" t="str">
        <f>IFERROR(__xludf.DUMMYFUNCTION("""COMPUTED_VALUE"""),"")</f>
        <v/>
      </c>
      <c r="O2416" s="13" t="str">
        <f t="shared" si="1"/>
        <v/>
      </c>
    </row>
    <row r="2417" ht="22.5" customHeight="1">
      <c r="B2417" s="13">
        <f>IFERROR(__xludf.DUMMYFUNCTION("""COMPUTED_VALUE"""),2412.0)</f>
        <v>2412</v>
      </c>
      <c r="C2417" s="13" t="str">
        <f>IFERROR(__xludf.DUMMYFUNCTION("""COMPUTED_VALUE"""),"M. 11914/ Kedamaian")</f>
        <v>M. 11914/ Kedamaian</v>
      </c>
      <c r="D2417" s="13" t="str">
        <f>IFERROR(__xludf.DUMMYFUNCTION("""COMPUTED_VALUE"""),"K/9/270525/1")</f>
        <v>K/9/270525/1</v>
      </c>
      <c r="E2417" s="14" t="str">
        <f>IFERROR(__xludf.DUMMYFUNCTION("""COMPUTED_VALUE"""),"Afriza (BT)")</f>
        <v>Afriza (BT)</v>
      </c>
      <c r="F2417" s="14" t="str">
        <f>IFERROR(__xludf.DUMMYFUNCTION("""COMPUTED_VALUE"""),"SELESAI (VIA PERMOHONAN)")</f>
        <v>SELESAI (VIA PERMOHONAN)</v>
      </c>
      <c r="G2417" s="17">
        <f>IFERROR(__xludf.DUMMYFUNCTION("""COMPUTED_VALUE"""),45812.666338043986)</f>
        <v>45812.66634</v>
      </c>
      <c r="H2417" s="14" t="str">
        <f>IFERROR(__xludf.DUMMYFUNCTION("""COMPUTED_VALUE"""),"Eci (SU)")</f>
        <v>Eci (SU)</v>
      </c>
      <c r="I2417" s="13" t="str">
        <f>IFERROR(__xludf.DUMMYFUNCTION("""COMPUTED_VALUE"""),"SELESAI (VIA PERMOHONAN)")</f>
        <v>SELESAI (VIA PERMOHONAN)</v>
      </c>
      <c r="J2417" s="17">
        <f>IFERROR(__xludf.DUMMYFUNCTION("""COMPUTED_VALUE"""),45813.44343747685)</f>
        <v>45813.44344</v>
      </c>
      <c r="K2417" s="13" t="str">
        <f>IFERROR(__xludf.DUMMYFUNCTION("""COMPUTED_VALUE"""),"Selesai")</f>
        <v>Selesai</v>
      </c>
      <c r="L2417" s="17">
        <f>IFERROR(__xludf.DUMMYFUNCTION("""COMPUTED_VALUE"""),45813.44343747685)</f>
        <v>45813.44344</v>
      </c>
      <c r="M2417" s="13"/>
      <c r="N2417" s="13" t="str">
        <f>IFERROR(__xludf.DUMMYFUNCTION("""COMPUTED_VALUE"""),"")</f>
        <v/>
      </c>
      <c r="O2417" s="13" t="str">
        <f t="shared" si="1"/>
        <v/>
      </c>
    </row>
    <row r="2418" ht="22.5" customHeight="1">
      <c r="B2418" s="13">
        <f>IFERROR(__xludf.DUMMYFUNCTION("""COMPUTED_VALUE"""),2413.0)</f>
        <v>2413</v>
      </c>
      <c r="C2418" s="13" t="str">
        <f>IFERROR(__xludf.DUMMYFUNCTION("""COMPUTED_VALUE"""),"HM 13835/SEGALA MIDER")</f>
        <v>HM 13835/SEGALA MIDER</v>
      </c>
      <c r="D2418" s="13" t="str">
        <f>IFERROR(__xludf.DUMMYFUNCTION("""COMPUTED_VALUE"""),"L/26/230525/1")</f>
        <v>L/26/230525/1</v>
      </c>
      <c r="E2418" s="14" t="str">
        <f>IFERROR(__xludf.DUMMYFUNCTION("""COMPUTED_VALUE"""),"Afriza (BT)")</f>
        <v>Afriza (BT)</v>
      </c>
      <c r="F2418" s="14" t="str">
        <f>IFERROR(__xludf.DUMMYFUNCTION("""COMPUTED_VALUE"""),"SELESAI (VIA PERMOHONAN)")</f>
        <v>SELESAI (VIA PERMOHONAN)</v>
      </c>
      <c r="G2418" s="17">
        <f>IFERROR(__xludf.DUMMYFUNCTION("""COMPUTED_VALUE"""),45813.41842898148)</f>
        <v>45813.41843</v>
      </c>
      <c r="H2418" s="14" t="str">
        <f>IFERROR(__xludf.DUMMYFUNCTION("""COMPUTED_VALUE"""),"Admin (Migrasi)")</f>
        <v>Admin (Migrasi)</v>
      </c>
      <c r="I2418" s="13" t="str">
        <f>IFERROR(__xludf.DUMMYFUNCTION("""COMPUTED_VALUE"""),"SELESAI (VIA PERMOHONAN)")</f>
        <v>SELESAI (VIA PERMOHONAN)</v>
      </c>
      <c r="J2418" s="17">
        <f>IFERROR(__xludf.DUMMYFUNCTION("""COMPUTED_VALUE"""),45813.41861425926)</f>
        <v>45813.41861</v>
      </c>
      <c r="K2418" s="13" t="str">
        <f>IFERROR(__xludf.DUMMYFUNCTION("""COMPUTED_VALUE"""),"Selesai")</f>
        <v>Selesai</v>
      </c>
      <c r="L2418" s="17">
        <f>IFERROR(__xludf.DUMMYFUNCTION("""COMPUTED_VALUE"""),45813.41861425926)</f>
        <v>45813.41861</v>
      </c>
      <c r="M2418" s="13"/>
      <c r="N2418" s="13" t="str">
        <f>IFERROR(__xludf.DUMMYFUNCTION("""COMPUTED_VALUE"""),"")</f>
        <v/>
      </c>
      <c r="O2418" s="13" t="str">
        <f t="shared" si="1"/>
        <v/>
      </c>
    </row>
    <row r="2419" ht="22.5" customHeight="1">
      <c r="B2419" s="13">
        <f>IFERROR(__xludf.DUMMYFUNCTION("""COMPUTED_VALUE"""),2414.0)</f>
        <v>2414</v>
      </c>
      <c r="C2419" s="13" t="str">
        <f>IFERROR(__xludf.DUMMYFUNCTION("""COMPUTED_VALUE"""),"M.3617/RAJABASA JAYA")</f>
        <v>M.3617/RAJABASA JAYA</v>
      </c>
      <c r="D2419" s="13" t="str">
        <f>IFERROR(__xludf.DUMMYFUNCTION("""COMPUTED_VALUE"""),"L/35/280525/1")</f>
        <v>L/35/280525/1</v>
      </c>
      <c r="E2419" s="14" t="str">
        <f>IFERROR(__xludf.DUMMYFUNCTION("""COMPUTED_VALUE"""),"Afriza (BT)")</f>
        <v>Afriza (BT)</v>
      </c>
      <c r="F2419" s="14" t="str">
        <f>IFERROR(__xludf.DUMMYFUNCTION("""COMPUTED_VALUE"""),"SELESAI (VIA PERMOHONAN)")</f>
        <v>SELESAI (VIA PERMOHONAN)</v>
      </c>
      <c r="G2419" s="17">
        <f>IFERROR(__xludf.DUMMYFUNCTION("""COMPUTED_VALUE"""),45813.41854039352)</f>
        <v>45813.41854</v>
      </c>
      <c r="H2419" s="14" t="str">
        <f>IFERROR(__xludf.DUMMYFUNCTION("""COMPUTED_VALUE"""),"Admin (Migrasi)")</f>
        <v>Admin (Migrasi)</v>
      </c>
      <c r="I2419" s="13" t="str">
        <f>IFERROR(__xludf.DUMMYFUNCTION("""COMPUTED_VALUE"""),"SELESAI (VIA PERMOHONAN)")</f>
        <v>SELESAI (VIA PERMOHONAN)</v>
      </c>
      <c r="J2419" s="17">
        <f>IFERROR(__xludf.DUMMYFUNCTION("""COMPUTED_VALUE"""),45813.41863047454)</f>
        <v>45813.41863</v>
      </c>
      <c r="K2419" s="13" t="str">
        <f>IFERROR(__xludf.DUMMYFUNCTION("""COMPUTED_VALUE"""),"Selesai")</f>
        <v>Selesai</v>
      </c>
      <c r="L2419" s="17">
        <f>IFERROR(__xludf.DUMMYFUNCTION("""COMPUTED_VALUE"""),45813.41863047454)</f>
        <v>45813.41863</v>
      </c>
      <c r="M2419" s="13"/>
      <c r="N2419" s="13" t="str">
        <f>IFERROR(__xludf.DUMMYFUNCTION("""COMPUTED_VALUE"""),"")</f>
        <v/>
      </c>
      <c r="O2419" s="13" t="str">
        <f t="shared" si="1"/>
        <v/>
      </c>
    </row>
    <row r="2420" ht="22.5" customHeight="1">
      <c r="B2420" s="13">
        <f>IFERROR(__xludf.DUMMYFUNCTION("""COMPUTED_VALUE"""),2415.0)</f>
        <v>2415</v>
      </c>
      <c r="C2420" s="13" t="str">
        <f>IFERROR(__xludf.DUMMYFUNCTION("""COMPUTED_VALUE"""),"M.400/SUKABUMI INDAH")</f>
        <v>M.400/SUKABUMI INDAH</v>
      </c>
      <c r="D2420" s="13" t="str">
        <f>IFERROR(__xludf.DUMMYFUNCTION("""COMPUTED_VALUE"""),"K/18/150525/1")</f>
        <v>K/18/150525/1</v>
      </c>
      <c r="E2420" s="14" t="str">
        <f>IFERROR(__xludf.DUMMYFUNCTION("""COMPUTED_VALUE"""),"Afriza (BT)")</f>
        <v>Afriza (BT)</v>
      </c>
      <c r="F2420" s="14" t="str">
        <f>IFERROR(__xludf.DUMMYFUNCTION("""COMPUTED_VALUE"""),"SELESAI (VIA PERMOHONAN)")</f>
        <v>SELESAI (VIA PERMOHONAN)</v>
      </c>
      <c r="G2420" s="17">
        <f>IFERROR(__xludf.DUMMYFUNCTION("""COMPUTED_VALUE"""),45813.560831712966)</f>
        <v>45813.56083</v>
      </c>
      <c r="H2420" s="14" t="str">
        <f>IFERROR(__xludf.DUMMYFUNCTION("""COMPUTED_VALUE"""),"Eci (SU)")</f>
        <v>Eci (SU)</v>
      </c>
      <c r="I2420" s="13" t="str">
        <f>IFERROR(__xludf.DUMMYFUNCTION("""COMPUTED_VALUE"""),"SELESAI (VIA PERMOHONAN)")</f>
        <v>SELESAI (VIA PERMOHONAN)</v>
      </c>
      <c r="J2420" s="17">
        <f>IFERROR(__xludf.DUMMYFUNCTION("""COMPUTED_VALUE"""),45813.62936946759)</f>
        <v>45813.62937</v>
      </c>
      <c r="K2420" s="13" t="str">
        <f>IFERROR(__xludf.DUMMYFUNCTION("""COMPUTED_VALUE"""),"Selesai")</f>
        <v>Selesai</v>
      </c>
      <c r="L2420" s="17">
        <f>IFERROR(__xludf.DUMMYFUNCTION("""COMPUTED_VALUE"""),45813.62936946759)</f>
        <v>45813.62937</v>
      </c>
      <c r="M2420" s="13"/>
      <c r="N2420" s="13" t="str">
        <f>IFERROR(__xludf.DUMMYFUNCTION("""COMPUTED_VALUE"""),"")</f>
        <v/>
      </c>
      <c r="O2420" s="13" t="str">
        <f t="shared" si="1"/>
        <v/>
      </c>
    </row>
    <row r="2421" ht="22.5" customHeight="1">
      <c r="B2421" s="13">
        <f>IFERROR(__xludf.DUMMYFUNCTION("""COMPUTED_VALUE"""),2416.0)</f>
        <v>2416</v>
      </c>
      <c r="C2421" s="13" t="str">
        <f>IFERROR(__xludf.DUMMYFUNCTION("""COMPUTED_VALUE"""),"M.2322/KEMILING PERMAI")</f>
        <v>M.2322/KEMILING PERMAI</v>
      </c>
      <c r="D2421" s="13" t="str">
        <f>IFERROR(__xludf.DUMMYFUNCTION("""COMPUTED_VALUE"""),"K/33/230425/1")</f>
        <v>K/33/230425/1</v>
      </c>
      <c r="E2421" s="14" t="str">
        <f>IFERROR(__xludf.DUMMYFUNCTION("""COMPUTED_VALUE"""),"Afriza (BT)")</f>
        <v>Afriza (BT)</v>
      </c>
      <c r="F2421" s="14" t="str">
        <f>IFERROR(__xludf.DUMMYFUNCTION("""COMPUTED_VALUE"""),"SELESAI (VIA PERMOHONAN)")</f>
        <v>SELESAI (VIA PERMOHONAN)</v>
      </c>
      <c r="G2421" s="17">
        <f>IFERROR(__xludf.DUMMYFUNCTION("""COMPUTED_VALUE"""),45813.56091377315)</f>
        <v>45813.56091</v>
      </c>
      <c r="H2421" s="14" t="str">
        <f>IFERROR(__xludf.DUMMYFUNCTION("""COMPUTED_VALUE"""),"Eci (SU)")</f>
        <v>Eci (SU)</v>
      </c>
      <c r="I2421" s="13" t="str">
        <f>IFERROR(__xludf.DUMMYFUNCTION("""COMPUTED_VALUE"""),"SELESAI (VIA PERMOHONAN)")</f>
        <v>SELESAI (VIA PERMOHONAN)</v>
      </c>
      <c r="J2421" s="17">
        <f>IFERROR(__xludf.DUMMYFUNCTION("""COMPUTED_VALUE"""),45813.62919368056)</f>
        <v>45813.62919</v>
      </c>
      <c r="K2421" s="13" t="str">
        <f>IFERROR(__xludf.DUMMYFUNCTION("""COMPUTED_VALUE"""),"Selesai")</f>
        <v>Selesai</v>
      </c>
      <c r="L2421" s="17">
        <f>IFERROR(__xludf.DUMMYFUNCTION("""COMPUTED_VALUE"""),45813.62919368056)</f>
        <v>45813.62919</v>
      </c>
      <c r="M2421" s="13"/>
      <c r="N2421" s="13" t="str">
        <f>IFERROR(__xludf.DUMMYFUNCTION("""COMPUTED_VALUE"""),"")</f>
        <v/>
      </c>
      <c r="O2421" s="13" t="str">
        <f t="shared" si="1"/>
        <v/>
      </c>
    </row>
    <row r="2422" ht="22.5" customHeight="1">
      <c r="B2422" s="13">
        <f>IFERROR(__xludf.DUMMYFUNCTION("""COMPUTED_VALUE"""),2417.0)</f>
        <v>2417</v>
      </c>
      <c r="C2422" s="13" t="str">
        <f>IFERROR(__xludf.DUMMYFUNCTION("""COMPUTED_VALUE"""),"M.1047/TANJUNG SENENG")</f>
        <v>M.1047/TANJUNG SENENG</v>
      </c>
      <c r="D2422" s="13" t="str">
        <f>IFERROR(__xludf.DUMMYFUNCTION("""COMPUTED_VALUE"""),"K/23/140525/2")</f>
        <v>K/23/140525/2</v>
      </c>
      <c r="E2422" s="14" t="str">
        <f>IFERROR(__xludf.DUMMYFUNCTION("""COMPUTED_VALUE"""),"Afriza (BT)")</f>
        <v>Afriza (BT)</v>
      </c>
      <c r="F2422" s="14" t="str">
        <f>IFERROR(__xludf.DUMMYFUNCTION("""COMPUTED_VALUE"""),"SELESAI (VIA PERMOHONAN)")</f>
        <v>SELESAI (VIA PERMOHONAN)</v>
      </c>
      <c r="G2422" s="17">
        <f>IFERROR(__xludf.DUMMYFUNCTION("""COMPUTED_VALUE"""),45813.56115886574)</f>
        <v>45813.56116</v>
      </c>
      <c r="H2422" s="14" t="str">
        <f>IFERROR(__xludf.DUMMYFUNCTION("""COMPUTED_VALUE"""),"Eci (SU)")</f>
        <v>Eci (SU)</v>
      </c>
      <c r="I2422" s="13" t="str">
        <f>IFERROR(__xludf.DUMMYFUNCTION("""COMPUTED_VALUE"""),"SELESAI (VIA PERMOHONAN)")</f>
        <v>SELESAI (VIA PERMOHONAN)</v>
      </c>
      <c r="J2422" s="17">
        <f>IFERROR(__xludf.DUMMYFUNCTION("""COMPUTED_VALUE"""),45818.475397372684)</f>
        <v>45818.4754</v>
      </c>
      <c r="K2422" s="13" t="str">
        <f>IFERROR(__xludf.DUMMYFUNCTION("""COMPUTED_VALUE"""),"Selesai")</f>
        <v>Selesai</v>
      </c>
      <c r="L2422" s="17">
        <f>IFERROR(__xludf.DUMMYFUNCTION("""COMPUTED_VALUE"""),45818.475397372684)</f>
        <v>45818.4754</v>
      </c>
      <c r="M2422" s="13"/>
      <c r="N2422" s="13" t="str">
        <f>IFERROR(__xludf.DUMMYFUNCTION("""COMPUTED_VALUE"""),"")</f>
        <v/>
      </c>
      <c r="O2422" s="13" t="str">
        <f t="shared" si="1"/>
        <v/>
      </c>
    </row>
    <row r="2423" ht="22.5" customHeight="1">
      <c r="B2423" s="13">
        <f>IFERROR(__xludf.DUMMYFUNCTION("""COMPUTED_VALUE"""),2418.0)</f>
        <v>2418</v>
      </c>
      <c r="C2423" s="13" t="str">
        <f>IFERROR(__xludf.DUMMYFUNCTION("""COMPUTED_VALUE"""),"M. 1144/SUMBERREJO SEJAHTERA")</f>
        <v>M. 1144/SUMBERREJO SEJAHTERA</v>
      </c>
      <c r="D2423" s="13" t="str">
        <f>IFERROR(__xludf.DUMMYFUNCTION("""COMPUTED_VALUE"""),"K/10/270525/1")</f>
        <v>K/10/270525/1</v>
      </c>
      <c r="E2423" s="14" t="str">
        <f>IFERROR(__xludf.DUMMYFUNCTION("""COMPUTED_VALUE"""),"Afriza (BT)")</f>
        <v>Afriza (BT)</v>
      </c>
      <c r="F2423" s="14" t="str">
        <f>IFERROR(__xludf.DUMMYFUNCTION("""COMPUTED_VALUE"""),"SELESAI (VIA PERMOHONAN)")</f>
        <v>SELESAI (VIA PERMOHONAN)</v>
      </c>
      <c r="G2423" s="17">
        <f>IFERROR(__xludf.DUMMYFUNCTION("""COMPUTED_VALUE"""),45813.56127818287)</f>
        <v>45813.56128</v>
      </c>
      <c r="H2423" s="14" t="str">
        <f>IFERROR(__xludf.DUMMYFUNCTION("""COMPUTED_VALUE"""),"Eci (SU)")</f>
        <v>Eci (SU)</v>
      </c>
      <c r="I2423" s="13" t="str">
        <f>IFERROR(__xludf.DUMMYFUNCTION("""COMPUTED_VALUE"""),"SELESAI (VIA PERMOHONAN)")</f>
        <v>SELESAI (VIA PERMOHONAN)</v>
      </c>
      <c r="J2423" s="17">
        <f>IFERROR(__xludf.DUMMYFUNCTION("""COMPUTED_VALUE"""),45813.629041782406)</f>
        <v>45813.62904</v>
      </c>
      <c r="K2423" s="13" t="str">
        <f>IFERROR(__xludf.DUMMYFUNCTION("""COMPUTED_VALUE"""),"Selesai")</f>
        <v>Selesai</v>
      </c>
      <c r="L2423" s="17">
        <f>IFERROR(__xludf.DUMMYFUNCTION("""COMPUTED_VALUE"""),45813.629041782406)</f>
        <v>45813.62904</v>
      </c>
      <c r="M2423" s="13"/>
      <c r="N2423" s="13" t="str">
        <f>IFERROR(__xludf.DUMMYFUNCTION("""COMPUTED_VALUE"""),"")</f>
        <v/>
      </c>
      <c r="O2423" s="13" t="str">
        <f t="shared" si="1"/>
        <v/>
      </c>
    </row>
    <row r="2424" ht="22.5" customHeight="1">
      <c r="B2424" s="13">
        <f>IFERROR(__xludf.DUMMYFUNCTION("""COMPUTED_VALUE"""),2419.0)</f>
        <v>2419</v>
      </c>
      <c r="C2424" s="13" t="str">
        <f>IFERROR(__xludf.DUMMYFUNCTION("""COMPUTED_VALUE"""),"M.753/GEDONG AIR ")</f>
        <v>M.753/GEDONG AIR </v>
      </c>
      <c r="D2424" s="13" t="str">
        <f>IFERROR(__xludf.DUMMYFUNCTION("""COMPUTED_VALUE"""),"K/4/050525/3")</f>
        <v>K/4/050525/3</v>
      </c>
      <c r="E2424" s="14" t="str">
        <f>IFERROR(__xludf.DUMMYFUNCTION("""COMPUTED_VALUE"""),"Afriza (BT)")</f>
        <v>Afriza (BT)</v>
      </c>
      <c r="F2424" s="14" t="str">
        <f>IFERROR(__xludf.DUMMYFUNCTION("""COMPUTED_VALUE"""),"SELESAI (VIA PERMOHONAN)")</f>
        <v>SELESAI (VIA PERMOHONAN)</v>
      </c>
      <c r="G2424" s="17">
        <f>IFERROR(__xludf.DUMMYFUNCTION("""COMPUTED_VALUE"""),45813.561400763894)</f>
        <v>45813.5614</v>
      </c>
      <c r="H2424" s="14" t="str">
        <f>IFERROR(__xludf.DUMMYFUNCTION("""COMPUTED_VALUE"""),"Eci (SU)")</f>
        <v>Eci (SU)</v>
      </c>
      <c r="I2424" s="13" t="str">
        <f>IFERROR(__xludf.DUMMYFUNCTION("""COMPUTED_VALUE"""),"SELESAI (VIA PERMOHONAN)")</f>
        <v>SELESAI (VIA PERMOHONAN)</v>
      </c>
      <c r="J2424" s="17">
        <f>IFERROR(__xludf.DUMMYFUNCTION("""COMPUTED_VALUE"""),45818.475671782406)</f>
        <v>45818.47567</v>
      </c>
      <c r="K2424" s="13" t="str">
        <f>IFERROR(__xludf.DUMMYFUNCTION("""COMPUTED_VALUE"""),"Selesai")</f>
        <v>Selesai</v>
      </c>
      <c r="L2424" s="17">
        <f>IFERROR(__xludf.DUMMYFUNCTION("""COMPUTED_VALUE"""),45818.475671782406)</f>
        <v>45818.47567</v>
      </c>
      <c r="M2424" s="13"/>
      <c r="N2424" s="13" t="str">
        <f>IFERROR(__xludf.DUMMYFUNCTION("""COMPUTED_VALUE"""),"")</f>
        <v/>
      </c>
      <c r="O2424" s="13" t="str">
        <f t="shared" si="1"/>
        <v/>
      </c>
    </row>
    <row r="2425" ht="22.5" customHeight="1">
      <c r="B2425" s="13">
        <f>IFERROR(__xludf.DUMMYFUNCTION("""COMPUTED_VALUE"""),2420.0)</f>
        <v>2420</v>
      </c>
      <c r="C2425" s="13" t="str">
        <f>IFERROR(__xludf.DUMMYFUNCTION("""COMPUTED_VALUE"""),"M.1238/PERUMNAS WAY KANDIS")</f>
        <v>M.1238/PERUMNAS WAY KANDIS</v>
      </c>
      <c r="D2425" s="13" t="str">
        <f>IFERROR(__xludf.DUMMYFUNCTION("""COMPUTED_VALUE"""),"K/29/140525/1")</f>
        <v>K/29/140525/1</v>
      </c>
      <c r="E2425" s="14" t="str">
        <f>IFERROR(__xludf.DUMMYFUNCTION("""COMPUTED_VALUE"""),"Afriza (BT)")</f>
        <v>Afriza (BT)</v>
      </c>
      <c r="F2425" s="14" t="str">
        <f>IFERROR(__xludf.DUMMYFUNCTION("""COMPUTED_VALUE"""),"SELESAI (VIA PERMOHONAN)")</f>
        <v>SELESAI (VIA PERMOHONAN)</v>
      </c>
      <c r="G2425" s="17">
        <f>IFERROR(__xludf.DUMMYFUNCTION("""COMPUTED_VALUE"""),45813.56149328704)</f>
        <v>45813.56149</v>
      </c>
      <c r="H2425" s="14" t="str">
        <f>IFERROR(__xludf.DUMMYFUNCTION("""COMPUTED_VALUE"""),"Eci (SU)")</f>
        <v>Eci (SU)</v>
      </c>
      <c r="I2425" s="13" t="str">
        <f>IFERROR(__xludf.DUMMYFUNCTION("""COMPUTED_VALUE"""),"SELESAI (VIA PERMOHONAN)")</f>
        <v>SELESAI (VIA PERMOHONAN)</v>
      </c>
      <c r="J2425" s="17">
        <f>IFERROR(__xludf.DUMMYFUNCTION("""COMPUTED_VALUE"""),45813.62890628472)</f>
        <v>45813.62891</v>
      </c>
      <c r="K2425" s="13" t="str">
        <f>IFERROR(__xludf.DUMMYFUNCTION("""COMPUTED_VALUE"""),"Selesai")</f>
        <v>Selesai</v>
      </c>
      <c r="L2425" s="17">
        <f>IFERROR(__xludf.DUMMYFUNCTION("""COMPUTED_VALUE"""),45813.62890628472)</f>
        <v>45813.62891</v>
      </c>
      <c r="M2425" s="13"/>
      <c r="N2425" s="13" t="str">
        <f>IFERROR(__xludf.DUMMYFUNCTION("""COMPUTED_VALUE"""),"")</f>
        <v/>
      </c>
      <c r="O2425" s="13" t="str">
        <f t="shared" si="1"/>
        <v/>
      </c>
    </row>
    <row r="2426" ht="22.5" customHeight="1">
      <c r="B2426" s="13">
        <f>IFERROR(__xludf.DUMMYFUNCTION("""COMPUTED_VALUE"""),2421.0)</f>
        <v>2421</v>
      </c>
      <c r="C2426" s="13" t="str">
        <f>IFERROR(__xludf.DUMMYFUNCTION("""COMPUTED_VALUE"""),"M. 9780/ Sukamenanti Baru")</f>
        <v>M. 9780/ Sukamenanti Baru</v>
      </c>
      <c r="D2426" s="13" t="str">
        <f>IFERROR(__xludf.DUMMYFUNCTION("""COMPUTED_VALUE"""),"K/31/070525/1")</f>
        <v>K/31/070525/1</v>
      </c>
      <c r="E2426" s="14" t="str">
        <f>IFERROR(__xludf.DUMMYFUNCTION("""COMPUTED_VALUE"""),"Afriza (BT)")</f>
        <v>Afriza (BT)</v>
      </c>
      <c r="F2426" s="14" t="str">
        <f>IFERROR(__xludf.DUMMYFUNCTION("""COMPUTED_VALUE"""),"SELESAI (VIA PERMOHONAN)")</f>
        <v>SELESAI (VIA PERMOHONAN)</v>
      </c>
      <c r="G2426" s="17">
        <f>IFERROR(__xludf.DUMMYFUNCTION("""COMPUTED_VALUE"""),45813.56277041667)</f>
        <v>45813.56277</v>
      </c>
      <c r="H2426" s="14" t="str">
        <f>IFERROR(__xludf.DUMMYFUNCTION("""COMPUTED_VALUE"""),"Eci (SU)")</f>
        <v>Eci (SU)</v>
      </c>
      <c r="I2426" s="13" t="str">
        <f>IFERROR(__xludf.DUMMYFUNCTION("""COMPUTED_VALUE"""),"SELESAI (VIA PERMOHONAN)")</f>
        <v>SELESAI (VIA PERMOHONAN)</v>
      </c>
      <c r="J2426" s="17">
        <f>IFERROR(__xludf.DUMMYFUNCTION("""COMPUTED_VALUE"""),45818.4758106713)</f>
        <v>45818.47581</v>
      </c>
      <c r="K2426" s="13" t="str">
        <f>IFERROR(__xludf.DUMMYFUNCTION("""COMPUTED_VALUE"""),"Selesai")</f>
        <v>Selesai</v>
      </c>
      <c r="L2426" s="17">
        <f>IFERROR(__xludf.DUMMYFUNCTION("""COMPUTED_VALUE"""),45818.4758106713)</f>
        <v>45818.47581</v>
      </c>
      <c r="M2426" s="13"/>
      <c r="N2426" s="13" t="str">
        <f>IFERROR(__xludf.DUMMYFUNCTION("""COMPUTED_VALUE"""),"")</f>
        <v/>
      </c>
      <c r="O2426" s="13" t="str">
        <f t="shared" si="1"/>
        <v/>
      </c>
    </row>
    <row r="2427" ht="22.5" customHeight="1">
      <c r="B2427" s="13">
        <f>IFERROR(__xludf.DUMMYFUNCTION("""COMPUTED_VALUE"""),2422.0)</f>
        <v>2422</v>
      </c>
      <c r="C2427" s="13" t="str">
        <f>IFERROR(__xludf.DUMMYFUNCTION("""COMPUTED_VALUE"""),"B. 16/ Bumi Kedamaian")</f>
        <v>B. 16/ Bumi Kedamaian</v>
      </c>
      <c r="D2427" s="13" t="str">
        <f>IFERROR(__xludf.DUMMYFUNCTION("""COMPUTED_VALUE"""),"K/32/260525/3")</f>
        <v>K/32/260525/3</v>
      </c>
      <c r="E2427" s="14" t="str">
        <f>IFERROR(__xludf.DUMMYFUNCTION("""COMPUTED_VALUE"""),"Afriza (BT)")</f>
        <v>Afriza (BT)</v>
      </c>
      <c r="F2427" s="14" t="str">
        <f>IFERROR(__xludf.DUMMYFUNCTION("""COMPUTED_VALUE"""),"SELESAI (VIA PERMOHONAN)")</f>
        <v>SELESAI (VIA PERMOHONAN)</v>
      </c>
      <c r="G2427" s="17">
        <f>IFERROR(__xludf.DUMMYFUNCTION("""COMPUTED_VALUE"""),45813.56303119213)</f>
        <v>45813.56303</v>
      </c>
      <c r="H2427" s="14" t="str">
        <f>IFERROR(__xludf.DUMMYFUNCTION("""COMPUTED_VALUE"""),"Eci (SU)")</f>
        <v>Eci (SU)</v>
      </c>
      <c r="I2427" s="13" t="str">
        <f>IFERROR(__xludf.DUMMYFUNCTION("""COMPUTED_VALUE"""),"SELESAI (VIA PERMOHONAN)")</f>
        <v>SELESAI (VIA PERMOHONAN)</v>
      </c>
      <c r="J2427" s="17">
        <f>IFERROR(__xludf.DUMMYFUNCTION("""COMPUTED_VALUE"""),45813.62869627315)</f>
        <v>45813.6287</v>
      </c>
      <c r="K2427" s="13" t="str">
        <f>IFERROR(__xludf.DUMMYFUNCTION("""COMPUTED_VALUE"""),"Selesai")</f>
        <v>Selesai</v>
      </c>
      <c r="L2427" s="17">
        <f>IFERROR(__xludf.DUMMYFUNCTION("""COMPUTED_VALUE"""),45813.62869627315)</f>
        <v>45813.6287</v>
      </c>
      <c r="M2427" s="13"/>
      <c r="N2427" s="13" t="str">
        <f>IFERROR(__xludf.DUMMYFUNCTION("""COMPUTED_VALUE"""),"")</f>
        <v/>
      </c>
      <c r="O2427" s="13" t="str">
        <f t="shared" si="1"/>
        <v/>
      </c>
    </row>
    <row r="2428" ht="22.5" customHeight="1">
      <c r="B2428" s="13">
        <f>IFERROR(__xludf.DUMMYFUNCTION("""COMPUTED_VALUE"""),2423.0)</f>
        <v>2423</v>
      </c>
      <c r="C2428" s="13" t="str">
        <f>IFERROR(__xludf.DUMMYFUNCTION("""COMPUTED_VALUE"""),"B. 640/ Sumber Agung")</f>
        <v>B. 640/ Sumber Agung</v>
      </c>
      <c r="D2428" s="13" t="str">
        <f>IFERROR(__xludf.DUMMYFUNCTION("""COMPUTED_VALUE"""),"K/7/220525/1")</f>
        <v>K/7/220525/1</v>
      </c>
      <c r="E2428" s="14" t="str">
        <f>IFERROR(__xludf.DUMMYFUNCTION("""COMPUTED_VALUE"""),"Afriza (BT)")</f>
        <v>Afriza (BT)</v>
      </c>
      <c r="F2428" s="14" t="str">
        <f>IFERROR(__xludf.DUMMYFUNCTION("""COMPUTED_VALUE"""),"SELESAI (VIA PERMOHONAN)")</f>
        <v>SELESAI (VIA PERMOHONAN)</v>
      </c>
      <c r="G2428" s="17">
        <f>IFERROR(__xludf.DUMMYFUNCTION("""COMPUTED_VALUE"""),45813.56326041667)</f>
        <v>45813.56326</v>
      </c>
      <c r="H2428" s="14" t="str">
        <f>IFERROR(__xludf.DUMMYFUNCTION("""COMPUTED_VALUE"""),"Eci (SU)")</f>
        <v>Eci (SU)</v>
      </c>
      <c r="I2428" s="13" t="str">
        <f>IFERROR(__xludf.DUMMYFUNCTION("""COMPUTED_VALUE"""),"SELESAI (VIA PERMOHONAN)")</f>
        <v>SELESAI (VIA PERMOHONAN)</v>
      </c>
      <c r="J2428" s="17">
        <f>IFERROR(__xludf.DUMMYFUNCTION("""COMPUTED_VALUE"""),45813.62850259259)</f>
        <v>45813.6285</v>
      </c>
      <c r="K2428" s="13" t="str">
        <f>IFERROR(__xludf.DUMMYFUNCTION("""COMPUTED_VALUE"""),"Selesai")</f>
        <v>Selesai</v>
      </c>
      <c r="L2428" s="17">
        <f>IFERROR(__xludf.DUMMYFUNCTION("""COMPUTED_VALUE"""),45813.62850259259)</f>
        <v>45813.6285</v>
      </c>
      <c r="M2428" s="13"/>
      <c r="N2428" s="13" t="str">
        <f>IFERROR(__xludf.DUMMYFUNCTION("""COMPUTED_VALUE"""),"")</f>
        <v/>
      </c>
      <c r="O2428" s="13" t="str">
        <f t="shared" si="1"/>
        <v/>
      </c>
    </row>
    <row r="2429" ht="22.5" customHeight="1">
      <c r="B2429" s="13">
        <f>IFERROR(__xludf.DUMMYFUNCTION("""COMPUTED_VALUE"""),2424.0)</f>
        <v>2424</v>
      </c>
      <c r="C2429" s="13" t="str">
        <f>IFERROR(__xludf.DUMMYFUNCTION("""COMPUTED_VALUE"""),"M. 3249/ Gedong Air")</f>
        <v>M. 3249/ Gedong Air</v>
      </c>
      <c r="D2429" s="13" t="str">
        <f>IFERROR(__xludf.DUMMYFUNCTION("""COMPUTED_VALUE"""),"K/15/230525/1")</f>
        <v>K/15/230525/1</v>
      </c>
      <c r="E2429" s="14" t="str">
        <f>IFERROR(__xludf.DUMMYFUNCTION("""COMPUTED_VALUE"""),"Afriza (BT)")</f>
        <v>Afriza (BT)</v>
      </c>
      <c r="F2429" s="14" t="str">
        <f>IFERROR(__xludf.DUMMYFUNCTION("""COMPUTED_VALUE"""),"SELESAI (VIA PERMOHONAN)")</f>
        <v>SELESAI (VIA PERMOHONAN)</v>
      </c>
      <c r="G2429" s="17">
        <f>IFERROR(__xludf.DUMMYFUNCTION("""COMPUTED_VALUE"""),45813.56344295139)</f>
        <v>45813.56344</v>
      </c>
      <c r="H2429" s="14" t="str">
        <f>IFERROR(__xludf.DUMMYFUNCTION("""COMPUTED_VALUE"""),"Eci (SU)")</f>
        <v>Eci (SU)</v>
      </c>
      <c r="I2429" s="13" t="str">
        <f>IFERROR(__xludf.DUMMYFUNCTION("""COMPUTED_VALUE"""),"SELESAI (VIA PERMOHONAN)")</f>
        <v>SELESAI (VIA PERMOHONAN)</v>
      </c>
      <c r="J2429" s="17">
        <f>IFERROR(__xludf.DUMMYFUNCTION("""COMPUTED_VALUE"""),45813.628341944444)</f>
        <v>45813.62834</v>
      </c>
      <c r="K2429" s="13" t="str">
        <f>IFERROR(__xludf.DUMMYFUNCTION("""COMPUTED_VALUE"""),"Selesai")</f>
        <v>Selesai</v>
      </c>
      <c r="L2429" s="17">
        <f>IFERROR(__xludf.DUMMYFUNCTION("""COMPUTED_VALUE"""),45813.628341944444)</f>
        <v>45813.62834</v>
      </c>
      <c r="M2429" s="13"/>
      <c r="N2429" s="13" t="str">
        <f>IFERROR(__xludf.DUMMYFUNCTION("""COMPUTED_VALUE"""),"")</f>
        <v/>
      </c>
      <c r="O2429" s="13" t="str">
        <f t="shared" si="1"/>
        <v/>
      </c>
    </row>
    <row r="2430" ht="22.5" customHeight="1">
      <c r="B2430" s="13">
        <f>IFERROR(__xludf.DUMMYFUNCTION("""COMPUTED_VALUE"""),2425.0)</f>
        <v>2425</v>
      </c>
      <c r="C2430" s="13" t="str">
        <f>IFERROR(__xludf.DUMMYFUNCTION("""COMPUTED_VALUE"""),"M. 934/ Labuhan Ratu Raya")</f>
        <v>M. 934/ Labuhan Ratu Raya</v>
      </c>
      <c r="D2430" s="13" t="str">
        <f>IFERROR(__xludf.DUMMYFUNCTION("""COMPUTED_VALUE"""),"K/16/150525/2")</f>
        <v>K/16/150525/2</v>
      </c>
      <c r="E2430" s="14" t="str">
        <f>IFERROR(__xludf.DUMMYFUNCTION("""COMPUTED_VALUE"""),"Afriza (BT)")</f>
        <v>Afriza (BT)</v>
      </c>
      <c r="F2430" s="14" t="str">
        <f>IFERROR(__xludf.DUMMYFUNCTION("""COMPUTED_VALUE"""),"SELESAI (VIA PERMOHONAN)")</f>
        <v>SELESAI (VIA PERMOHONAN)</v>
      </c>
      <c r="G2430" s="17">
        <f>IFERROR(__xludf.DUMMYFUNCTION("""COMPUTED_VALUE"""),45813.56356631944)</f>
        <v>45813.56357</v>
      </c>
      <c r="H2430" s="14" t="str">
        <f>IFERROR(__xludf.DUMMYFUNCTION("""COMPUTED_VALUE"""),"Eci (SU)")</f>
        <v>Eci (SU)</v>
      </c>
      <c r="I2430" s="13" t="str">
        <f>IFERROR(__xludf.DUMMYFUNCTION("""COMPUTED_VALUE"""),"SELESAI (VIA PERMOHONAN)")</f>
        <v>SELESAI (VIA PERMOHONAN)</v>
      </c>
      <c r="J2430" s="17">
        <f>IFERROR(__xludf.DUMMYFUNCTION("""COMPUTED_VALUE"""),45818.47593212963)</f>
        <v>45818.47593</v>
      </c>
      <c r="K2430" s="13" t="str">
        <f>IFERROR(__xludf.DUMMYFUNCTION("""COMPUTED_VALUE"""),"Selesai")</f>
        <v>Selesai</v>
      </c>
      <c r="L2430" s="17">
        <f>IFERROR(__xludf.DUMMYFUNCTION("""COMPUTED_VALUE"""),45818.47593212963)</f>
        <v>45818.47593</v>
      </c>
      <c r="M2430" s="13"/>
      <c r="N2430" s="13" t="str">
        <f>IFERROR(__xludf.DUMMYFUNCTION("""COMPUTED_VALUE"""),"")</f>
        <v/>
      </c>
      <c r="O2430" s="13" t="str">
        <f t="shared" si="1"/>
        <v/>
      </c>
    </row>
    <row r="2431" ht="22.5" customHeight="1">
      <c r="B2431" s="13">
        <f>IFERROR(__xludf.DUMMYFUNCTION("""COMPUTED_VALUE"""),2426.0)</f>
        <v>2426</v>
      </c>
      <c r="C2431" s="13" t="str">
        <f>IFERROR(__xludf.DUMMYFUNCTION("""COMPUTED_VALUE"""),"M. 1181/ Pematang Wangi")</f>
        <v>M. 1181/ Pematang Wangi</v>
      </c>
      <c r="D2431" s="13" t="str">
        <f>IFERROR(__xludf.DUMMYFUNCTION("""COMPUTED_VALUE"""),"K/6/230525/1")</f>
        <v>K/6/230525/1</v>
      </c>
      <c r="E2431" s="14" t="str">
        <f>IFERROR(__xludf.DUMMYFUNCTION("""COMPUTED_VALUE"""),"Afriza (BT)")</f>
        <v>Afriza (BT)</v>
      </c>
      <c r="F2431" s="14" t="str">
        <f>IFERROR(__xludf.DUMMYFUNCTION("""COMPUTED_VALUE"""),"SELESAI (VIA PERMOHONAN)")</f>
        <v>SELESAI (VIA PERMOHONAN)</v>
      </c>
      <c r="G2431" s="17">
        <f>IFERROR(__xludf.DUMMYFUNCTION("""COMPUTED_VALUE"""),45813.563659548614)</f>
        <v>45813.56366</v>
      </c>
      <c r="H2431" s="14" t="str">
        <f>IFERROR(__xludf.DUMMYFUNCTION("""COMPUTED_VALUE"""),"Eci (SU)")</f>
        <v>Eci (SU)</v>
      </c>
      <c r="I2431" s="13" t="str">
        <f>IFERROR(__xludf.DUMMYFUNCTION("""COMPUTED_VALUE"""),"SELESAI (VIA PERMOHONAN)")</f>
        <v>SELESAI (VIA PERMOHONAN)</v>
      </c>
      <c r="J2431" s="17">
        <f>IFERROR(__xludf.DUMMYFUNCTION("""COMPUTED_VALUE"""),45813.62811398148)</f>
        <v>45813.62811</v>
      </c>
      <c r="K2431" s="13" t="str">
        <f>IFERROR(__xludf.DUMMYFUNCTION("""COMPUTED_VALUE"""),"Selesai")</f>
        <v>Selesai</v>
      </c>
      <c r="L2431" s="17">
        <f>IFERROR(__xludf.DUMMYFUNCTION("""COMPUTED_VALUE"""),45813.62811398148)</f>
        <v>45813.62811</v>
      </c>
      <c r="M2431" s="13"/>
      <c r="N2431" s="13" t="str">
        <f>IFERROR(__xludf.DUMMYFUNCTION("""COMPUTED_VALUE"""),"")</f>
        <v/>
      </c>
      <c r="O2431" s="13" t="str">
        <f t="shared" si="1"/>
        <v/>
      </c>
    </row>
    <row r="2432" ht="22.5" customHeight="1">
      <c r="B2432" s="13">
        <f>IFERROR(__xludf.DUMMYFUNCTION("""COMPUTED_VALUE"""),2427.0)</f>
        <v>2427</v>
      </c>
      <c r="C2432" s="13" t="str">
        <f>IFERROR(__xludf.DUMMYFUNCTION("""COMPUTED_VALUE"""),"M. 12987/BERINGIN RAYA")</f>
        <v>M. 12987/BERINGIN RAYA</v>
      </c>
      <c r="D2432" s="13" t="str">
        <f>IFERROR(__xludf.DUMMYFUNCTION("""COMPUTED_VALUE"""),"K/13/230525/2")</f>
        <v>K/13/230525/2</v>
      </c>
      <c r="E2432" s="14" t="str">
        <f>IFERROR(__xludf.DUMMYFUNCTION("""COMPUTED_VALUE"""),"Afriza (BT)")</f>
        <v>Afriza (BT)</v>
      </c>
      <c r="F2432" s="14" t="str">
        <f>IFERROR(__xludf.DUMMYFUNCTION("""COMPUTED_VALUE"""),"SELESAI (VIA PERMOHONAN)")</f>
        <v>SELESAI (VIA PERMOHONAN)</v>
      </c>
      <c r="G2432" s="17">
        <f>IFERROR(__xludf.DUMMYFUNCTION("""COMPUTED_VALUE"""),45813.56375181713)</f>
        <v>45813.56375</v>
      </c>
      <c r="H2432" s="14" t="str">
        <f>IFERROR(__xludf.DUMMYFUNCTION("""COMPUTED_VALUE"""),"Eci (SU)")</f>
        <v>Eci (SU)</v>
      </c>
      <c r="I2432" s="13" t="str">
        <f>IFERROR(__xludf.DUMMYFUNCTION("""COMPUTED_VALUE"""),"SELESAI (VIA PERMOHONAN)")</f>
        <v>SELESAI (VIA PERMOHONAN)</v>
      </c>
      <c r="J2432" s="17">
        <f>IFERROR(__xludf.DUMMYFUNCTION("""COMPUTED_VALUE"""),45813.62793722222)</f>
        <v>45813.62794</v>
      </c>
      <c r="K2432" s="13" t="str">
        <f>IFERROR(__xludf.DUMMYFUNCTION("""COMPUTED_VALUE"""),"Selesai")</f>
        <v>Selesai</v>
      </c>
      <c r="L2432" s="17">
        <f>IFERROR(__xludf.DUMMYFUNCTION("""COMPUTED_VALUE"""),45813.62793722222)</f>
        <v>45813.62794</v>
      </c>
      <c r="M2432" s="13"/>
      <c r="N2432" s="13" t="str">
        <f>IFERROR(__xludf.DUMMYFUNCTION("""COMPUTED_VALUE"""),"")</f>
        <v/>
      </c>
      <c r="O2432" s="13" t="str">
        <f t="shared" si="1"/>
        <v/>
      </c>
    </row>
    <row r="2433" ht="22.5" customHeight="1">
      <c r="B2433" s="13">
        <f>IFERROR(__xludf.DUMMYFUNCTION("""COMPUTED_VALUE"""),2428.0)</f>
        <v>2428</v>
      </c>
      <c r="C2433" s="13" t="str">
        <f>IFERROR(__xludf.DUMMYFUNCTION("""COMPUTED_VALUE"""),"M.807/PERWATA")</f>
        <v>M.807/PERWATA</v>
      </c>
      <c r="D2433" s="13" t="str">
        <f>IFERROR(__xludf.DUMMYFUNCTION("""COMPUTED_VALUE"""),"K/45/230525/1")</f>
        <v>K/45/230525/1</v>
      </c>
      <c r="E2433" s="14" t="str">
        <f>IFERROR(__xludf.DUMMYFUNCTION("""COMPUTED_VALUE"""),"Afriza (BT)")</f>
        <v>Afriza (BT)</v>
      </c>
      <c r="F2433" s="14" t="str">
        <f>IFERROR(__xludf.DUMMYFUNCTION("""COMPUTED_VALUE"""),"SELESAI (VIA PERMOHONAN)")</f>
        <v>SELESAI (VIA PERMOHONAN)</v>
      </c>
      <c r="G2433" s="17">
        <f>IFERROR(__xludf.DUMMYFUNCTION("""COMPUTED_VALUE"""),45813.56417445602)</f>
        <v>45813.56417</v>
      </c>
      <c r="H2433" s="14" t="str">
        <f>IFERROR(__xludf.DUMMYFUNCTION("""COMPUTED_VALUE"""),"Eci (SU)")</f>
        <v>Eci (SU)</v>
      </c>
      <c r="I2433" s="13" t="str">
        <f>IFERROR(__xludf.DUMMYFUNCTION("""COMPUTED_VALUE"""),"SELESAI (VIA PERMOHONAN)")</f>
        <v>SELESAI (VIA PERMOHONAN)</v>
      </c>
      <c r="J2433" s="17">
        <f>IFERROR(__xludf.DUMMYFUNCTION("""COMPUTED_VALUE"""),45818.47604587963)</f>
        <v>45818.47605</v>
      </c>
      <c r="K2433" s="13" t="str">
        <f>IFERROR(__xludf.DUMMYFUNCTION("""COMPUTED_VALUE"""),"Selesai")</f>
        <v>Selesai</v>
      </c>
      <c r="L2433" s="17">
        <f>IFERROR(__xludf.DUMMYFUNCTION("""COMPUTED_VALUE"""),45818.47604587963)</f>
        <v>45818.47605</v>
      </c>
      <c r="M2433" s="13"/>
      <c r="N2433" s="13" t="str">
        <f>IFERROR(__xludf.DUMMYFUNCTION("""COMPUTED_VALUE"""),"")</f>
        <v/>
      </c>
      <c r="O2433" s="13" t="str">
        <f t="shared" si="1"/>
        <v/>
      </c>
    </row>
    <row r="2434" ht="22.5" customHeight="1">
      <c r="B2434" s="13">
        <f>IFERROR(__xludf.DUMMYFUNCTION("""COMPUTED_VALUE"""),2429.0)</f>
        <v>2429</v>
      </c>
      <c r="C2434" s="13" t="str">
        <f>IFERROR(__xludf.DUMMYFUNCTION("""COMPUTED_VALUE"""),"M. 313/ Kota Sepang")</f>
        <v>M. 313/ Kota Sepang</v>
      </c>
      <c r="D2434" s="13" t="str">
        <f>IFERROR(__xludf.DUMMYFUNCTION("""COMPUTED_VALUE"""),"K/44/230425/1")</f>
        <v>K/44/230425/1</v>
      </c>
      <c r="E2434" s="14" t="str">
        <f>IFERROR(__xludf.DUMMYFUNCTION("""COMPUTED_VALUE"""),"Afriza (BT)")</f>
        <v>Afriza (BT)</v>
      </c>
      <c r="F2434" s="14" t="str">
        <f>IFERROR(__xludf.DUMMYFUNCTION("""COMPUTED_VALUE"""),"SELESAI (VIA PERMOHONAN)")</f>
        <v>SELESAI (VIA PERMOHONAN)</v>
      </c>
      <c r="G2434" s="17">
        <f>IFERROR(__xludf.DUMMYFUNCTION("""COMPUTED_VALUE"""),45813.5643196412)</f>
        <v>45813.56432</v>
      </c>
      <c r="H2434" s="14" t="str">
        <f>IFERROR(__xludf.DUMMYFUNCTION("""COMPUTED_VALUE"""),"Eci (SU)")</f>
        <v>Eci (SU)</v>
      </c>
      <c r="I2434" s="13" t="str">
        <f>IFERROR(__xludf.DUMMYFUNCTION("""COMPUTED_VALUE"""),"SELESAI (VIA PERMOHONAN)")</f>
        <v>SELESAI (VIA PERMOHONAN)</v>
      </c>
      <c r="J2434" s="17">
        <f>IFERROR(__xludf.DUMMYFUNCTION("""COMPUTED_VALUE"""),45813.62759138889)</f>
        <v>45813.62759</v>
      </c>
      <c r="K2434" s="13" t="str">
        <f>IFERROR(__xludf.DUMMYFUNCTION("""COMPUTED_VALUE"""),"Selesai")</f>
        <v>Selesai</v>
      </c>
      <c r="L2434" s="17">
        <f>IFERROR(__xludf.DUMMYFUNCTION("""COMPUTED_VALUE"""),45813.62759138889)</f>
        <v>45813.62759</v>
      </c>
      <c r="M2434" s="13"/>
      <c r="N2434" s="13" t="str">
        <f>IFERROR(__xludf.DUMMYFUNCTION("""COMPUTED_VALUE"""),"")</f>
        <v/>
      </c>
      <c r="O2434" s="13" t="str">
        <f t="shared" si="1"/>
        <v/>
      </c>
    </row>
    <row r="2435" ht="22.5" customHeight="1">
      <c r="B2435" s="13">
        <f>IFERROR(__xludf.DUMMYFUNCTION("""COMPUTED_VALUE"""),2430.0)</f>
        <v>2430</v>
      </c>
      <c r="C2435" s="13" t="str">
        <f>IFERROR(__xludf.DUMMYFUNCTION("""COMPUTED_VALUE"""),"M. 6452/ Way Kandis")</f>
        <v>M. 6452/ Way Kandis</v>
      </c>
      <c r="D2435" s="13" t="str">
        <f>IFERROR(__xludf.DUMMYFUNCTION("""COMPUTED_VALUE"""),"K/43/080525/4")</f>
        <v>K/43/080525/4</v>
      </c>
      <c r="E2435" s="14" t="str">
        <f>IFERROR(__xludf.DUMMYFUNCTION("""COMPUTED_VALUE"""),"Afriza (BT)")</f>
        <v>Afriza (BT)</v>
      </c>
      <c r="F2435" s="14" t="str">
        <f>IFERROR(__xludf.DUMMYFUNCTION("""COMPUTED_VALUE"""),"SELESAI (VIA PERMOHONAN)")</f>
        <v>SELESAI (VIA PERMOHONAN)</v>
      </c>
      <c r="G2435" s="17">
        <f>IFERROR(__xludf.DUMMYFUNCTION("""COMPUTED_VALUE"""),45813.56440696759)</f>
        <v>45813.56441</v>
      </c>
      <c r="H2435" s="14" t="str">
        <f>IFERROR(__xludf.DUMMYFUNCTION("""COMPUTED_VALUE"""),"Eci (SU)")</f>
        <v>Eci (SU)</v>
      </c>
      <c r="I2435" s="13" t="str">
        <f>IFERROR(__xludf.DUMMYFUNCTION("""COMPUTED_VALUE"""),"SELESAI (VIA PERMOHONAN)")</f>
        <v>SELESAI (VIA PERMOHONAN)</v>
      </c>
      <c r="J2435" s="17">
        <f>IFERROR(__xludf.DUMMYFUNCTION("""COMPUTED_VALUE"""),45813.62722767361)</f>
        <v>45813.62723</v>
      </c>
      <c r="K2435" s="13" t="str">
        <f>IFERROR(__xludf.DUMMYFUNCTION("""COMPUTED_VALUE"""),"Selesai")</f>
        <v>Selesai</v>
      </c>
      <c r="L2435" s="17">
        <f>IFERROR(__xludf.DUMMYFUNCTION("""COMPUTED_VALUE"""),45813.62722767361)</f>
        <v>45813.62723</v>
      </c>
      <c r="M2435" s="13"/>
      <c r="N2435" s="13" t="str">
        <f>IFERROR(__xludf.DUMMYFUNCTION("""COMPUTED_VALUE"""),"")</f>
        <v/>
      </c>
      <c r="O2435" s="13" t="str">
        <f t="shared" si="1"/>
        <v/>
      </c>
    </row>
    <row r="2436" ht="22.5" customHeight="1">
      <c r="B2436" s="13">
        <f>IFERROR(__xludf.DUMMYFUNCTION("""COMPUTED_VALUE"""),2431.0)</f>
        <v>2431</v>
      </c>
      <c r="C2436" s="13" t="str">
        <f>IFERROR(__xludf.DUMMYFUNCTION("""COMPUTED_VALUE"""),"M. 11038/ Sukabumi")</f>
        <v>M. 11038/ Sukabumi</v>
      </c>
      <c r="D2436" s="13" t="str">
        <f>IFERROR(__xludf.DUMMYFUNCTION("""COMPUTED_VALUE"""),"K/27/220525/1")</f>
        <v>K/27/220525/1</v>
      </c>
      <c r="E2436" s="14" t="str">
        <f>IFERROR(__xludf.DUMMYFUNCTION("""COMPUTED_VALUE"""),"Afriza (BT)")</f>
        <v>Afriza (BT)</v>
      </c>
      <c r="F2436" s="14" t="str">
        <f>IFERROR(__xludf.DUMMYFUNCTION("""COMPUTED_VALUE"""),"SELESAI (VIA PERMOHONAN)")</f>
        <v>SELESAI (VIA PERMOHONAN)</v>
      </c>
      <c r="G2436" s="17">
        <f>IFERROR(__xludf.DUMMYFUNCTION("""COMPUTED_VALUE"""),45813.56454112269)</f>
        <v>45813.56454</v>
      </c>
      <c r="H2436" s="14" t="str">
        <f>IFERROR(__xludf.DUMMYFUNCTION("""COMPUTED_VALUE"""),"Eci (SU)")</f>
        <v>Eci (SU)</v>
      </c>
      <c r="I2436" s="13" t="str">
        <f>IFERROR(__xludf.DUMMYFUNCTION("""COMPUTED_VALUE"""),"SELESAI (VIA PERMOHONAN)")</f>
        <v>SELESAI (VIA PERMOHONAN)</v>
      </c>
      <c r="J2436" s="17">
        <f>IFERROR(__xludf.DUMMYFUNCTION("""COMPUTED_VALUE"""),45818.47619641204)</f>
        <v>45818.4762</v>
      </c>
      <c r="K2436" s="13" t="str">
        <f>IFERROR(__xludf.DUMMYFUNCTION("""COMPUTED_VALUE"""),"Selesai")</f>
        <v>Selesai</v>
      </c>
      <c r="L2436" s="17">
        <f>IFERROR(__xludf.DUMMYFUNCTION("""COMPUTED_VALUE"""),45818.47619641204)</f>
        <v>45818.4762</v>
      </c>
      <c r="M2436" s="13"/>
      <c r="N2436" s="13" t="str">
        <f>IFERROR(__xludf.DUMMYFUNCTION("""COMPUTED_VALUE"""),"")</f>
        <v/>
      </c>
      <c r="O2436" s="13" t="str">
        <f t="shared" si="1"/>
        <v/>
      </c>
    </row>
    <row r="2437" ht="22.5" customHeight="1">
      <c r="B2437" s="13">
        <f>IFERROR(__xludf.DUMMYFUNCTION("""COMPUTED_VALUE"""),2432.0)</f>
        <v>2432</v>
      </c>
      <c r="C2437" s="13" t="str">
        <f>IFERROR(__xludf.DUMMYFUNCTION("""COMPUTED_VALUE"""),"M. 232/ Kali Balau Kencana")</f>
        <v>M. 232/ Kali Balau Kencana</v>
      </c>
      <c r="D2437" s="13" t="str">
        <f>IFERROR(__xludf.DUMMYFUNCTION("""COMPUTED_VALUE"""),"K/25/140425/1")</f>
        <v>K/25/140425/1</v>
      </c>
      <c r="E2437" s="14" t="str">
        <f>IFERROR(__xludf.DUMMYFUNCTION("""COMPUTED_VALUE"""),"Afriza (BT)")</f>
        <v>Afriza (BT)</v>
      </c>
      <c r="F2437" s="14" t="str">
        <f>IFERROR(__xludf.DUMMYFUNCTION("""COMPUTED_VALUE"""),"SELESAI (VIA PERMOHONAN)")</f>
        <v>SELESAI (VIA PERMOHONAN)</v>
      </c>
      <c r="G2437" s="17">
        <f>IFERROR(__xludf.DUMMYFUNCTION("""COMPUTED_VALUE"""),45813.56460376157)</f>
        <v>45813.5646</v>
      </c>
      <c r="H2437" s="14" t="str">
        <f>IFERROR(__xludf.DUMMYFUNCTION("""COMPUTED_VALUE"""),"Eci (SU)")</f>
        <v>Eci (SU)</v>
      </c>
      <c r="I2437" s="13" t="str">
        <f>IFERROR(__xludf.DUMMYFUNCTION("""COMPUTED_VALUE"""),"SELESAI (VIA PERMOHONAN)")</f>
        <v>SELESAI (VIA PERMOHONAN)</v>
      </c>
      <c r="J2437" s="17">
        <f>IFERROR(__xludf.DUMMYFUNCTION("""COMPUTED_VALUE"""),45813.62972726852)</f>
        <v>45813.62973</v>
      </c>
      <c r="K2437" s="13" t="str">
        <f>IFERROR(__xludf.DUMMYFUNCTION("""COMPUTED_VALUE"""),"Selesai")</f>
        <v>Selesai</v>
      </c>
      <c r="L2437" s="17">
        <f>IFERROR(__xludf.DUMMYFUNCTION("""COMPUTED_VALUE"""),45813.62972726852)</f>
        <v>45813.62973</v>
      </c>
      <c r="M2437" s="13"/>
      <c r="N2437" s="13" t="str">
        <f>IFERROR(__xludf.DUMMYFUNCTION("""COMPUTED_VALUE"""),"")</f>
        <v/>
      </c>
      <c r="O2437" s="13" t="str">
        <f t="shared" si="1"/>
        <v/>
      </c>
    </row>
    <row r="2438" ht="22.5" customHeight="1">
      <c r="B2438" s="13">
        <f>IFERROR(__xludf.DUMMYFUNCTION("""COMPUTED_VALUE"""),2433.0)</f>
        <v>2433</v>
      </c>
      <c r="C2438" s="13" t="str">
        <f>IFERROR(__xludf.DUMMYFUNCTION("""COMPUTED_VALUE"""),"M. 11742/ Sukarame")</f>
        <v>M. 11742/ Sukarame</v>
      </c>
      <c r="D2438" s="13" t="str">
        <f>IFERROR(__xludf.DUMMYFUNCTION("""COMPUTED_VALUE"""),"K/27/140525/1")</f>
        <v>K/27/140525/1</v>
      </c>
      <c r="E2438" s="14" t="str">
        <f>IFERROR(__xludf.DUMMYFUNCTION("""COMPUTED_VALUE"""),"Afriza (BT)")</f>
        <v>Afriza (BT)</v>
      </c>
      <c r="F2438" s="14" t="str">
        <f>IFERROR(__xludf.DUMMYFUNCTION("""COMPUTED_VALUE"""),"SELESAI (VIA PERMOHONAN)")</f>
        <v>SELESAI (VIA PERMOHONAN)</v>
      </c>
      <c r="G2438" s="17">
        <f>IFERROR(__xludf.DUMMYFUNCTION("""COMPUTED_VALUE"""),45813.56476725695)</f>
        <v>45813.56477</v>
      </c>
      <c r="H2438" s="14" t="str">
        <f>IFERROR(__xludf.DUMMYFUNCTION("""COMPUTED_VALUE"""),"Eci (SU)")</f>
        <v>Eci (SU)</v>
      </c>
      <c r="I2438" s="13" t="str">
        <f>IFERROR(__xludf.DUMMYFUNCTION("""COMPUTED_VALUE"""),"SELESAI (VIA PERMOHONAN)")</f>
        <v>SELESAI (VIA PERMOHONAN)</v>
      </c>
      <c r="J2438" s="17">
        <f>IFERROR(__xludf.DUMMYFUNCTION("""COMPUTED_VALUE"""),45818.476333321756)</f>
        <v>45818.47633</v>
      </c>
      <c r="K2438" s="13" t="str">
        <f>IFERROR(__xludf.DUMMYFUNCTION("""COMPUTED_VALUE"""),"Selesai")</f>
        <v>Selesai</v>
      </c>
      <c r="L2438" s="17">
        <f>IFERROR(__xludf.DUMMYFUNCTION("""COMPUTED_VALUE"""),45818.476333321756)</f>
        <v>45818.47633</v>
      </c>
      <c r="M2438" s="13"/>
      <c r="N2438" s="13" t="str">
        <f>IFERROR(__xludf.DUMMYFUNCTION("""COMPUTED_VALUE"""),"")</f>
        <v/>
      </c>
      <c r="O2438" s="13" t="str">
        <f t="shared" si="1"/>
        <v/>
      </c>
    </row>
    <row r="2439" ht="22.5" customHeight="1">
      <c r="B2439" s="13">
        <f>IFERROR(__xludf.DUMMYFUNCTION("""COMPUTED_VALUE"""),2434.0)</f>
        <v>2434</v>
      </c>
      <c r="C2439" s="13" t="str">
        <f>IFERROR(__xludf.DUMMYFUNCTION("""COMPUTED_VALUE"""),"M.1540/TANJUNG SENENG &amp; M.1549/TANJUNG SENENG")</f>
        <v>M.1540/TANJUNG SENENG &amp; M.1549/TANJUNG SENENG</v>
      </c>
      <c r="D2439" s="13"/>
      <c r="E2439" s="14" t="str">
        <f>IFERROR(__xludf.DUMMYFUNCTION("""COMPUTED_VALUE"""),"Heri (BT)")</f>
        <v>Heri (BT)</v>
      </c>
      <c r="F2439" s="14" t="str">
        <f>IFERROR(__xludf.DUMMYFUNCTION("""COMPUTED_VALUE"""),"SELESAI (VIA PERMOHONAN)")</f>
        <v>SELESAI (VIA PERMOHONAN)</v>
      </c>
      <c r="G2439" s="17">
        <f>IFERROR(__xludf.DUMMYFUNCTION("""COMPUTED_VALUE"""),45813.56652770833)</f>
        <v>45813.56653</v>
      </c>
      <c r="H2439" s="14" t="str">
        <f>IFERROR(__xludf.DUMMYFUNCTION("""COMPUTED_VALUE"""),"Eci (SU)")</f>
        <v>Eci (SU)</v>
      </c>
      <c r="I2439" s="13" t="str">
        <f>IFERROR(__xludf.DUMMYFUNCTION("""COMPUTED_VALUE"""),"SELESAI (VIA PERMOHONAN)")</f>
        <v>SELESAI (VIA PERMOHONAN)</v>
      </c>
      <c r="J2439" s="17">
        <f>IFERROR(__xludf.DUMMYFUNCTION("""COMPUTED_VALUE"""),45818.476434861106)</f>
        <v>45818.47643</v>
      </c>
      <c r="K2439" s="13" t="str">
        <f>IFERROR(__xludf.DUMMYFUNCTION("""COMPUTED_VALUE"""),"")</f>
        <v/>
      </c>
      <c r="L2439" s="13" t="str">
        <f>IFERROR(__xludf.DUMMYFUNCTION("""COMPUTED_VALUE"""),"")</f>
        <v/>
      </c>
      <c r="M2439" s="13"/>
      <c r="N2439" s="13" t="str">
        <f>IFERROR(__xludf.DUMMYFUNCTION("""COMPUTED_VALUE"""),"")</f>
        <v/>
      </c>
      <c r="O2439" s="13" t="str">
        <f t="shared" si="1"/>
        <v/>
      </c>
    </row>
    <row r="2440" ht="22.5" customHeight="1">
      <c r="B2440" s="13">
        <f>IFERROR(__xludf.DUMMYFUNCTION("""COMPUTED_VALUE"""),2435.0)</f>
        <v>2435</v>
      </c>
      <c r="C2440" s="13" t="str">
        <f>IFERROR(__xludf.DUMMYFUNCTION("""COMPUTED_VALUE"""),"HM 13524/RAJABASA")</f>
        <v>HM 13524/RAJABASA</v>
      </c>
      <c r="D2440" s="13" t="str">
        <f>IFERROR(__xludf.DUMMYFUNCTION("""COMPUTED_VALUE"""),"L/18/210525/1")</f>
        <v>L/18/210525/1</v>
      </c>
      <c r="E2440" s="14" t="str">
        <f>IFERROR(__xludf.DUMMYFUNCTION("""COMPUTED_VALUE"""),"Heri (BT)")</f>
        <v>Heri (BT)</v>
      </c>
      <c r="F2440" s="14" t="str">
        <f>IFERROR(__xludf.DUMMYFUNCTION("""COMPUTED_VALUE"""),"SELESAI (VIA PERMOHONAN)")</f>
        <v>SELESAI (VIA PERMOHONAN)</v>
      </c>
      <c r="G2440" s="17">
        <f>IFERROR(__xludf.DUMMYFUNCTION("""COMPUTED_VALUE"""),45813.56669620371)</f>
        <v>45813.5667</v>
      </c>
      <c r="H2440" s="14" t="str">
        <f>IFERROR(__xludf.DUMMYFUNCTION("""COMPUTED_VALUE"""),"Eci (SU)")</f>
        <v>Eci (SU)</v>
      </c>
      <c r="I2440" s="13" t="str">
        <f>IFERROR(__xludf.DUMMYFUNCTION("""COMPUTED_VALUE"""),"SELESAI (VIA PERMOHONAN)")</f>
        <v>SELESAI (VIA PERMOHONAN)</v>
      </c>
      <c r="J2440" s="17">
        <f>IFERROR(__xludf.DUMMYFUNCTION("""COMPUTED_VALUE"""),45813.6270405324)</f>
        <v>45813.62704</v>
      </c>
      <c r="K2440" s="13" t="str">
        <f>IFERROR(__xludf.DUMMYFUNCTION("""COMPUTED_VALUE"""),"Selesai")</f>
        <v>Selesai</v>
      </c>
      <c r="L2440" s="17">
        <f>IFERROR(__xludf.DUMMYFUNCTION("""COMPUTED_VALUE"""),45813.6270405324)</f>
        <v>45813.62704</v>
      </c>
      <c r="M2440" s="13"/>
      <c r="N2440" s="13" t="str">
        <f>IFERROR(__xludf.DUMMYFUNCTION("""COMPUTED_VALUE"""),"")</f>
        <v/>
      </c>
      <c r="O2440" s="13" t="str">
        <f t="shared" si="1"/>
        <v/>
      </c>
    </row>
    <row r="2441" ht="22.5" customHeight="1">
      <c r="B2441" s="13">
        <f>IFERROR(__xludf.DUMMYFUNCTION("""COMPUTED_VALUE"""),2436.0)</f>
        <v>2436</v>
      </c>
      <c r="C2441" s="13" t="str">
        <f>IFERROR(__xludf.DUMMYFUNCTION("""COMPUTED_VALUE"""),"M.5403/RAJABASA JAYA")</f>
        <v>M.5403/RAJABASA JAYA</v>
      </c>
      <c r="D2441" s="13" t="str">
        <f>IFERROR(__xludf.DUMMYFUNCTION("""COMPUTED_VALUE"""),"K/42/190525/2")</f>
        <v>K/42/190525/2</v>
      </c>
      <c r="E2441" s="14" t="str">
        <f>IFERROR(__xludf.DUMMYFUNCTION("""COMPUTED_VALUE"""),"Heri (BT)")</f>
        <v>Heri (BT)</v>
      </c>
      <c r="F2441" s="14" t="str">
        <f>IFERROR(__xludf.DUMMYFUNCTION("""COMPUTED_VALUE"""),"SELESAI (VIA PERMOHONAN)")</f>
        <v>SELESAI (VIA PERMOHONAN)</v>
      </c>
      <c r="G2441" s="17">
        <f>IFERROR(__xludf.DUMMYFUNCTION("""COMPUTED_VALUE"""),45813.56687737269)</f>
        <v>45813.56688</v>
      </c>
      <c r="H2441" s="14" t="str">
        <f>IFERROR(__xludf.DUMMYFUNCTION("""COMPUTED_VALUE"""),"Eci (SU)")</f>
        <v>Eci (SU)</v>
      </c>
      <c r="I2441" s="13" t="str">
        <f>IFERROR(__xludf.DUMMYFUNCTION("""COMPUTED_VALUE"""),"SELESAI (VIA PERMOHONAN)")</f>
        <v>SELESAI (VIA PERMOHONAN)</v>
      </c>
      <c r="J2441" s="17">
        <f>IFERROR(__xludf.DUMMYFUNCTION("""COMPUTED_VALUE"""),45818.47661322917)</f>
        <v>45818.47661</v>
      </c>
      <c r="K2441" s="13" t="str">
        <f>IFERROR(__xludf.DUMMYFUNCTION("""COMPUTED_VALUE"""),"Selesai")</f>
        <v>Selesai</v>
      </c>
      <c r="L2441" s="17">
        <f>IFERROR(__xludf.DUMMYFUNCTION("""COMPUTED_VALUE"""),45818.47661322917)</f>
        <v>45818.47661</v>
      </c>
      <c r="M2441" s="13"/>
      <c r="N2441" s="13" t="str">
        <f>IFERROR(__xludf.DUMMYFUNCTION("""COMPUTED_VALUE"""),"")</f>
        <v/>
      </c>
      <c r="O2441" s="13" t="str">
        <f t="shared" si="1"/>
        <v/>
      </c>
    </row>
    <row r="2442" ht="22.5" customHeight="1">
      <c r="B2442" s="13">
        <f>IFERROR(__xludf.DUMMYFUNCTION("""COMPUTED_VALUE"""),2437.0)</f>
        <v>2437</v>
      </c>
      <c r="C2442" s="13" t="str">
        <f>IFERROR(__xludf.DUMMYFUNCTION("""COMPUTED_VALUE"""),"B. 312/ Pematang Wangi")</f>
        <v>B. 312/ Pematang Wangi</v>
      </c>
      <c r="D2442" s="13" t="str">
        <f>IFERROR(__xludf.DUMMYFUNCTION("""COMPUTED_VALUE"""),"K/20/150525/1")</f>
        <v>K/20/150525/1</v>
      </c>
      <c r="E2442" s="14" t="str">
        <f>IFERROR(__xludf.DUMMYFUNCTION("""COMPUTED_VALUE"""),"Heri (BT)")</f>
        <v>Heri (BT)</v>
      </c>
      <c r="F2442" s="14" t="str">
        <f>IFERROR(__xludf.DUMMYFUNCTION("""COMPUTED_VALUE"""),"SELESAI (VIA PERMOHONAN)")</f>
        <v>SELESAI (VIA PERMOHONAN)</v>
      </c>
      <c r="G2442" s="17">
        <f>IFERROR(__xludf.DUMMYFUNCTION("""COMPUTED_VALUE"""),45813.56714542824)</f>
        <v>45813.56715</v>
      </c>
      <c r="H2442" s="14" t="str">
        <f>IFERROR(__xludf.DUMMYFUNCTION("""COMPUTED_VALUE"""),"Eci (SU)")</f>
        <v>Eci (SU)</v>
      </c>
      <c r="I2442" s="13" t="str">
        <f>IFERROR(__xludf.DUMMYFUNCTION("""COMPUTED_VALUE"""),"SELESAI (VIA PERMOHONAN)")</f>
        <v>SELESAI (VIA PERMOHONAN)</v>
      </c>
      <c r="J2442" s="17">
        <f>IFERROR(__xludf.DUMMYFUNCTION("""COMPUTED_VALUE"""),45818.47664548611)</f>
        <v>45818.47665</v>
      </c>
      <c r="K2442" s="13" t="str">
        <f>IFERROR(__xludf.DUMMYFUNCTION("""COMPUTED_VALUE"""),"Selesai")</f>
        <v>Selesai</v>
      </c>
      <c r="L2442" s="17">
        <f>IFERROR(__xludf.DUMMYFUNCTION("""COMPUTED_VALUE"""),45818.47664548611)</f>
        <v>45818.47665</v>
      </c>
      <c r="M2442" s="13"/>
      <c r="N2442" s="13" t="str">
        <f>IFERROR(__xludf.DUMMYFUNCTION("""COMPUTED_VALUE"""),"")</f>
        <v/>
      </c>
      <c r="O2442" s="13" t="str">
        <f t="shared" si="1"/>
        <v/>
      </c>
    </row>
    <row r="2443" ht="22.5" customHeight="1">
      <c r="B2443" s="13">
        <f>IFERROR(__xludf.DUMMYFUNCTION("""COMPUTED_VALUE"""),2438.0)</f>
        <v>2438</v>
      </c>
      <c r="C2443" s="13" t="str">
        <f>IFERROR(__xludf.DUMMYFUNCTION("""COMPUTED_VALUE"""),"M. 163/ Perumnas Way Kandis")</f>
        <v>M. 163/ Perumnas Way Kandis</v>
      </c>
      <c r="D2443" s="13" t="str">
        <f>IFERROR(__xludf.DUMMYFUNCTION("""COMPUTED_VALUE"""),"K/20/200525/1")</f>
        <v>K/20/200525/1</v>
      </c>
      <c r="E2443" s="14" t="str">
        <f>IFERROR(__xludf.DUMMYFUNCTION("""COMPUTED_VALUE"""),"Heri (BT)")</f>
        <v>Heri (BT)</v>
      </c>
      <c r="F2443" s="14" t="str">
        <f>IFERROR(__xludf.DUMMYFUNCTION("""COMPUTED_VALUE"""),"SELESAI (VIA PERMOHONAN)")</f>
        <v>SELESAI (VIA PERMOHONAN)</v>
      </c>
      <c r="G2443" s="17">
        <f>IFERROR(__xludf.DUMMYFUNCTION("""COMPUTED_VALUE"""),45813.56740626157)</f>
        <v>45813.56741</v>
      </c>
      <c r="H2443" s="14" t="str">
        <f>IFERROR(__xludf.DUMMYFUNCTION("""COMPUTED_VALUE"""),"Eci (SU)")</f>
        <v>Eci (SU)</v>
      </c>
      <c r="I2443" s="13" t="str">
        <f>IFERROR(__xludf.DUMMYFUNCTION("""COMPUTED_VALUE"""),"SELESAI (VIA PERMOHONAN)")</f>
        <v>SELESAI (VIA PERMOHONAN)</v>
      </c>
      <c r="J2443" s="17">
        <f>IFERROR(__xludf.DUMMYFUNCTION("""COMPUTED_VALUE"""),45813.62690145834)</f>
        <v>45813.6269</v>
      </c>
      <c r="K2443" s="13" t="str">
        <f>IFERROR(__xludf.DUMMYFUNCTION("""COMPUTED_VALUE"""),"Selesai")</f>
        <v>Selesai</v>
      </c>
      <c r="L2443" s="17">
        <f>IFERROR(__xludf.DUMMYFUNCTION("""COMPUTED_VALUE"""),45813.62690145834)</f>
        <v>45813.6269</v>
      </c>
      <c r="M2443" s="13"/>
      <c r="N2443" s="13" t="str">
        <f>IFERROR(__xludf.DUMMYFUNCTION("""COMPUTED_VALUE"""),"")</f>
        <v/>
      </c>
      <c r="O2443" s="13" t="str">
        <f t="shared" si="1"/>
        <v/>
      </c>
    </row>
    <row r="2444" ht="22.5" customHeight="1">
      <c r="B2444" s="13">
        <f>IFERROR(__xludf.DUMMYFUNCTION("""COMPUTED_VALUE"""),2439.0)</f>
        <v>2439</v>
      </c>
      <c r="C2444" s="13" t="str">
        <f>IFERROR(__xludf.DUMMYFUNCTION("""COMPUTED_VALUE"""),"M. 552/ Rajabasa")</f>
        <v>M. 552/ Rajabasa</v>
      </c>
      <c r="D2444" s="13" t="str">
        <f>IFERROR(__xludf.DUMMYFUNCTION("""COMPUTED_VALUE"""),"K/19/190525/1")</f>
        <v>K/19/190525/1</v>
      </c>
      <c r="E2444" s="14" t="str">
        <f>IFERROR(__xludf.DUMMYFUNCTION("""COMPUTED_VALUE"""),"Heri (BT)")</f>
        <v>Heri (BT)</v>
      </c>
      <c r="F2444" s="14" t="str">
        <f>IFERROR(__xludf.DUMMYFUNCTION("""COMPUTED_VALUE"""),"SELESAI (VIA PERMOHONAN)")</f>
        <v>SELESAI (VIA PERMOHONAN)</v>
      </c>
      <c r="G2444" s="17">
        <f>IFERROR(__xludf.DUMMYFUNCTION("""COMPUTED_VALUE"""),45813.56767290509)</f>
        <v>45813.56767</v>
      </c>
      <c r="H2444" s="14" t="str">
        <f>IFERROR(__xludf.DUMMYFUNCTION("""COMPUTED_VALUE"""),"Eci (SU)")</f>
        <v>Eci (SU)</v>
      </c>
      <c r="I2444" s="13" t="str">
        <f>IFERROR(__xludf.DUMMYFUNCTION("""COMPUTED_VALUE"""),"SELESAI (VIA PERMOHONAN)")</f>
        <v>SELESAI (VIA PERMOHONAN)</v>
      </c>
      <c r="J2444" s="17">
        <f>IFERROR(__xludf.DUMMYFUNCTION("""COMPUTED_VALUE"""),45813.62671840278)</f>
        <v>45813.62672</v>
      </c>
      <c r="K2444" s="13" t="str">
        <f>IFERROR(__xludf.DUMMYFUNCTION("""COMPUTED_VALUE"""),"Selesai")</f>
        <v>Selesai</v>
      </c>
      <c r="L2444" s="17">
        <f>IFERROR(__xludf.DUMMYFUNCTION("""COMPUTED_VALUE"""),45813.62671840278)</f>
        <v>45813.62672</v>
      </c>
      <c r="M2444" s="13"/>
      <c r="N2444" s="13" t="str">
        <f>IFERROR(__xludf.DUMMYFUNCTION("""COMPUTED_VALUE"""),"")</f>
        <v/>
      </c>
      <c r="O2444" s="13" t="str">
        <f t="shared" si="1"/>
        <v/>
      </c>
    </row>
    <row r="2445" ht="22.5" customHeight="1">
      <c r="B2445" s="13">
        <f>IFERROR(__xludf.DUMMYFUNCTION("""COMPUTED_VALUE"""),2440.0)</f>
        <v>2440</v>
      </c>
      <c r="C2445" s="13" t="str">
        <f>IFERROR(__xludf.DUMMYFUNCTION("""COMPUTED_VALUE"""),"HM 4924/BERINGIN RAYA")</f>
        <v>HM 4924/BERINGIN RAYA</v>
      </c>
      <c r="D2445" s="13" t="str">
        <f>IFERROR(__xludf.DUMMYFUNCTION("""COMPUTED_VALUE"""),"L/10/210525/1")</f>
        <v>L/10/210525/1</v>
      </c>
      <c r="E2445" s="14" t="str">
        <f>IFERROR(__xludf.DUMMYFUNCTION("""COMPUTED_VALUE"""),"Heri (BT)")</f>
        <v>Heri (BT)</v>
      </c>
      <c r="F2445" s="14" t="str">
        <f>IFERROR(__xludf.DUMMYFUNCTION("""COMPUTED_VALUE"""),"SELESAI (VIA PERMOHONAN)")</f>
        <v>SELESAI (VIA PERMOHONAN)</v>
      </c>
      <c r="G2445" s="17">
        <f>IFERROR(__xludf.DUMMYFUNCTION("""COMPUTED_VALUE"""),45813.56783135417)</f>
        <v>45813.56783</v>
      </c>
      <c r="H2445" s="14" t="str">
        <f>IFERROR(__xludf.DUMMYFUNCTION("""COMPUTED_VALUE"""),"Eci (SU)")</f>
        <v>Eci (SU)</v>
      </c>
      <c r="I2445" s="13" t="str">
        <f>IFERROR(__xludf.DUMMYFUNCTION("""COMPUTED_VALUE"""),"SELESAI (VIA PERMOHONAN)")</f>
        <v>SELESAI (VIA PERMOHONAN)</v>
      </c>
      <c r="J2445" s="17">
        <f>IFERROR(__xludf.DUMMYFUNCTION("""COMPUTED_VALUE"""),45818.47696)</f>
        <v>45818.47696</v>
      </c>
      <c r="K2445" s="13" t="str">
        <f>IFERROR(__xludf.DUMMYFUNCTION("""COMPUTED_VALUE"""),"Selesai")</f>
        <v>Selesai</v>
      </c>
      <c r="L2445" s="17">
        <f>IFERROR(__xludf.DUMMYFUNCTION("""COMPUTED_VALUE"""),45818.47696)</f>
        <v>45818.47696</v>
      </c>
      <c r="M2445" s="13"/>
      <c r="N2445" s="13" t="str">
        <f>IFERROR(__xludf.DUMMYFUNCTION("""COMPUTED_VALUE"""),"")</f>
        <v/>
      </c>
      <c r="O2445" s="13" t="str">
        <f t="shared" si="1"/>
        <v/>
      </c>
    </row>
    <row r="2446" ht="22.5" customHeight="1">
      <c r="B2446" s="13">
        <f>IFERROR(__xludf.DUMMYFUNCTION("""COMPUTED_VALUE"""),2441.0)</f>
        <v>2441</v>
      </c>
      <c r="C2446" s="13" t="str">
        <f>IFERROR(__xludf.DUMMYFUNCTION("""COMPUTED_VALUE"""),"M. 3757/ Rajabasa Jaya")</f>
        <v>M. 3757/ Rajabasa Jaya</v>
      </c>
      <c r="D2446" s="13" t="str">
        <f>IFERROR(__xludf.DUMMYFUNCTION("""COMPUTED_VALUE"""),"K/43/160525/2")</f>
        <v>K/43/160525/2</v>
      </c>
      <c r="E2446" s="14" t="str">
        <f>IFERROR(__xludf.DUMMYFUNCTION("""COMPUTED_VALUE"""),"Heri (BT)")</f>
        <v>Heri (BT)</v>
      </c>
      <c r="F2446" s="14" t="str">
        <f>IFERROR(__xludf.DUMMYFUNCTION("""COMPUTED_VALUE"""),"SELESAI (VIA PERMOHONAN)")</f>
        <v>SELESAI (VIA PERMOHONAN)</v>
      </c>
      <c r="G2446" s="17">
        <f>IFERROR(__xludf.DUMMYFUNCTION("""COMPUTED_VALUE"""),45813.56806413195)</f>
        <v>45813.56806</v>
      </c>
      <c r="H2446" s="14" t="str">
        <f>IFERROR(__xludf.DUMMYFUNCTION("""COMPUTED_VALUE"""),"Eci (SU)")</f>
        <v>Eci (SU)</v>
      </c>
      <c r="I2446" s="13" t="str">
        <f>IFERROR(__xludf.DUMMYFUNCTION("""COMPUTED_VALUE"""),"SELESAI (VIA PERMOHONAN)")</f>
        <v>SELESAI (VIA PERMOHONAN)</v>
      </c>
      <c r="J2446" s="17">
        <f>IFERROR(__xludf.DUMMYFUNCTION("""COMPUTED_VALUE"""),45813.62647377315)</f>
        <v>45813.62647</v>
      </c>
      <c r="K2446" s="13" t="str">
        <f>IFERROR(__xludf.DUMMYFUNCTION("""COMPUTED_VALUE"""),"Selesai")</f>
        <v>Selesai</v>
      </c>
      <c r="L2446" s="17">
        <f>IFERROR(__xludf.DUMMYFUNCTION("""COMPUTED_VALUE"""),45813.62647377315)</f>
        <v>45813.62647</v>
      </c>
      <c r="M2446" s="13"/>
      <c r="N2446" s="13" t="str">
        <f>IFERROR(__xludf.DUMMYFUNCTION("""COMPUTED_VALUE"""),"")</f>
        <v/>
      </c>
      <c r="O2446" s="13" t="str">
        <f t="shared" si="1"/>
        <v/>
      </c>
    </row>
    <row r="2447" ht="22.5" customHeight="1">
      <c r="B2447" s="13">
        <f>IFERROR(__xludf.DUMMYFUNCTION("""COMPUTED_VALUE"""),2442.0)</f>
        <v>2442</v>
      </c>
      <c r="C2447" s="13" t="str">
        <f>IFERROR(__xludf.DUMMYFUNCTION("""COMPUTED_VALUE"""),"M.629/KUPANG KOTA")</f>
        <v>M.629/KUPANG KOTA</v>
      </c>
      <c r="D2447" s="13" t="str">
        <f>IFERROR(__xludf.DUMMYFUNCTION("""COMPUTED_VALUE"""),"K/9/080525/3")</f>
        <v>K/9/080525/3</v>
      </c>
      <c r="E2447" s="14" t="str">
        <f>IFERROR(__xludf.DUMMYFUNCTION("""COMPUTED_VALUE"""),"Admin (Migrasi)")</f>
        <v>Admin (Migrasi)</v>
      </c>
      <c r="F2447" s="14" t="str">
        <f>IFERROR(__xludf.DUMMYFUNCTION("""COMPUTED_VALUE"""),"SELESAI")</f>
        <v>SELESAI</v>
      </c>
      <c r="G2447" s="17">
        <f>IFERROR(__xludf.DUMMYFUNCTION("""COMPUTED_VALUE"""),45818.39909141204)</f>
        <v>45818.39909</v>
      </c>
      <c r="H2447" s="14" t="str">
        <f>IFERROR(__xludf.DUMMYFUNCTION("""COMPUTED_VALUE"""),"Admin (Migrasi)")</f>
        <v>Admin (Migrasi)</v>
      </c>
      <c r="I2447" s="13" t="str">
        <f>IFERROR(__xludf.DUMMYFUNCTION("""COMPUTED_VALUE"""),"SELESAI (VIA PERMOHONAN)")</f>
        <v>SELESAI (VIA PERMOHONAN)</v>
      </c>
      <c r="J2447" s="17">
        <f>IFERROR(__xludf.DUMMYFUNCTION("""COMPUTED_VALUE"""),45818.399144016206)</f>
        <v>45818.39914</v>
      </c>
      <c r="K2447" s="13" t="str">
        <f>IFERROR(__xludf.DUMMYFUNCTION("""COMPUTED_VALUE"""),"Selesai")</f>
        <v>Selesai</v>
      </c>
      <c r="L2447" s="17">
        <f>IFERROR(__xludf.DUMMYFUNCTION("""COMPUTED_VALUE"""),45818.399144016206)</f>
        <v>45818.39914</v>
      </c>
      <c r="M2447" s="13"/>
      <c r="N2447" s="13" t="str">
        <f>IFERROR(__xludf.DUMMYFUNCTION("""COMPUTED_VALUE"""),"")</f>
        <v/>
      </c>
      <c r="O2447" s="13" t="str">
        <f t="shared" si="1"/>
        <v/>
      </c>
    </row>
    <row r="2448" ht="22.5" customHeight="1">
      <c r="B2448" s="13">
        <f>IFERROR(__xludf.DUMMYFUNCTION("""COMPUTED_VALUE"""),2443.0)</f>
        <v>2443</v>
      </c>
      <c r="C2448" s="13" t="str">
        <f>IFERROR(__xludf.DUMMYFUNCTION("""COMPUTED_VALUE"""),"HM 15851,15850/SUKARAME I")</f>
        <v>HM 15851,15850/SUKARAME I</v>
      </c>
      <c r="D2448" s="13" t="str">
        <f>IFERROR(__xludf.DUMMYFUNCTION("""COMPUTED_VALUE"""),"L/23/270525/1")</f>
        <v>L/23/270525/1</v>
      </c>
      <c r="E2448" s="14" t="str">
        <f>IFERROR(__xludf.DUMMYFUNCTION("""COMPUTED_VALUE"""),"Heri (BT)")</f>
        <v>Heri (BT)</v>
      </c>
      <c r="F2448" s="14" t="str">
        <f>IFERROR(__xludf.DUMMYFUNCTION("""COMPUTED_VALUE"""),"SELESAI (VIA PERMOHONAN)")</f>
        <v>SELESAI (VIA PERMOHONAN)</v>
      </c>
      <c r="G2448" s="17">
        <f>IFERROR(__xludf.DUMMYFUNCTION("""COMPUTED_VALUE"""),45818.62721424768)</f>
        <v>45818.62721</v>
      </c>
      <c r="H2448" s="14" t="str">
        <f>IFERROR(__xludf.DUMMYFUNCTION("""COMPUTED_VALUE"""),"Eci (SU)")</f>
        <v>Eci (SU)</v>
      </c>
      <c r="I2448" s="13" t="str">
        <f>IFERROR(__xludf.DUMMYFUNCTION("""COMPUTED_VALUE"""),"SELESAI (VIA PERMOHONAN)")</f>
        <v>SELESAI (VIA PERMOHONAN)</v>
      </c>
      <c r="J2448" s="17">
        <f>IFERROR(__xludf.DUMMYFUNCTION("""COMPUTED_VALUE"""),45818.69016128472)</f>
        <v>45818.69016</v>
      </c>
      <c r="K2448" s="13" t="str">
        <f>IFERROR(__xludf.DUMMYFUNCTION("""COMPUTED_VALUE"""),"Selesai")</f>
        <v>Selesai</v>
      </c>
      <c r="L2448" s="17">
        <f>IFERROR(__xludf.DUMMYFUNCTION("""COMPUTED_VALUE"""),45818.69016128472)</f>
        <v>45818.69016</v>
      </c>
      <c r="M2448" s="13"/>
      <c r="N2448" s="13" t="str">
        <f>IFERROR(__xludf.DUMMYFUNCTION("""COMPUTED_VALUE"""),"")</f>
        <v/>
      </c>
      <c r="O2448" s="13" t="str">
        <f t="shared" si="1"/>
        <v/>
      </c>
    </row>
    <row r="2449" ht="22.5" customHeight="1">
      <c r="B2449" s="13">
        <f>IFERROR(__xludf.DUMMYFUNCTION("""COMPUTED_VALUE"""),2444.0)</f>
        <v>2444</v>
      </c>
      <c r="C2449" s="13" t="str">
        <f>IFERROR(__xludf.DUMMYFUNCTION("""COMPUTED_VALUE"""),"M. 1145/ Rajabasa Pemuka")</f>
        <v>M. 1145/ Rajabasa Pemuka</v>
      </c>
      <c r="D2449" s="13" t="str">
        <f>IFERROR(__xludf.DUMMYFUNCTION("""COMPUTED_VALUE"""),"K/13/200525/1")</f>
        <v>K/13/200525/1</v>
      </c>
      <c r="E2449" s="14" t="str">
        <f>IFERROR(__xludf.DUMMYFUNCTION("""COMPUTED_VALUE"""),"Heri (BT)")</f>
        <v>Heri (BT)</v>
      </c>
      <c r="F2449" s="14" t="str">
        <f>IFERROR(__xludf.DUMMYFUNCTION("""COMPUTED_VALUE"""),"SELESAI (VIA PERMOHONAN)")</f>
        <v>SELESAI (VIA PERMOHONAN)</v>
      </c>
      <c r="G2449" s="17">
        <f>IFERROR(__xludf.DUMMYFUNCTION("""COMPUTED_VALUE"""),45818.62721424768)</f>
        <v>45818.62721</v>
      </c>
      <c r="H2449" s="14" t="str">
        <f>IFERROR(__xludf.DUMMYFUNCTION("""COMPUTED_VALUE"""),"Eci (SU)")</f>
        <v>Eci (SU)</v>
      </c>
      <c r="I2449" s="13" t="str">
        <f>IFERROR(__xludf.DUMMYFUNCTION("""COMPUTED_VALUE"""),"SELESAI (VIA PERMOHONAN)")</f>
        <v>SELESAI (VIA PERMOHONAN)</v>
      </c>
      <c r="J2449" s="17">
        <f>IFERROR(__xludf.DUMMYFUNCTION("""COMPUTED_VALUE"""),45818.642193912034)</f>
        <v>45818.64219</v>
      </c>
      <c r="K2449" s="13" t="str">
        <f>IFERROR(__xludf.DUMMYFUNCTION("""COMPUTED_VALUE"""),"Selesai")</f>
        <v>Selesai</v>
      </c>
      <c r="L2449" s="17">
        <f>IFERROR(__xludf.DUMMYFUNCTION("""COMPUTED_VALUE"""),45818.642193912034)</f>
        <v>45818.64219</v>
      </c>
      <c r="M2449" s="13"/>
      <c r="N2449" s="13" t="str">
        <f>IFERROR(__xludf.DUMMYFUNCTION("""COMPUTED_VALUE"""),"")</f>
        <v/>
      </c>
      <c r="O2449" s="13" t="str">
        <f t="shared" si="1"/>
        <v/>
      </c>
    </row>
    <row r="2450" ht="22.5" customHeight="1">
      <c r="B2450" s="13">
        <f>IFERROR(__xludf.DUMMYFUNCTION("""COMPUTED_VALUE"""),2445.0)</f>
        <v>2445</v>
      </c>
      <c r="C2450" s="13" t="str">
        <f>IFERROR(__xludf.DUMMYFUNCTION("""COMPUTED_VALUE"""),"M. 10716/ Sidodadi")</f>
        <v>M. 10716/ Sidodadi</v>
      </c>
      <c r="D2450" s="13" t="str">
        <f>IFERROR(__xludf.DUMMYFUNCTION("""COMPUTED_VALUE"""),"K/13/190525/1")</f>
        <v>K/13/190525/1</v>
      </c>
      <c r="E2450" s="14" t="str">
        <f>IFERROR(__xludf.DUMMYFUNCTION("""COMPUTED_VALUE"""),"Heri (BT)")</f>
        <v>Heri (BT)</v>
      </c>
      <c r="F2450" s="14" t="str">
        <f>IFERROR(__xludf.DUMMYFUNCTION("""COMPUTED_VALUE"""),"SELESAI (VIA PERMOHONAN)")</f>
        <v>SELESAI (VIA PERMOHONAN)</v>
      </c>
      <c r="G2450" s="17">
        <f>IFERROR(__xludf.DUMMYFUNCTION("""COMPUTED_VALUE"""),45818.62721424768)</f>
        <v>45818.62721</v>
      </c>
      <c r="H2450" s="14" t="str">
        <f>IFERROR(__xludf.DUMMYFUNCTION("""COMPUTED_VALUE"""),"Eci (SU)")</f>
        <v>Eci (SU)</v>
      </c>
      <c r="I2450" s="13" t="str">
        <f>IFERROR(__xludf.DUMMYFUNCTION("""COMPUTED_VALUE"""),"SELESAI (VIA PERMOHONAN)")</f>
        <v>SELESAI (VIA PERMOHONAN)</v>
      </c>
      <c r="J2450" s="17">
        <f>IFERROR(__xludf.DUMMYFUNCTION("""COMPUTED_VALUE"""),45818.64241730324)</f>
        <v>45818.64242</v>
      </c>
      <c r="K2450" s="13" t="str">
        <f>IFERROR(__xludf.DUMMYFUNCTION("""COMPUTED_VALUE"""),"Selesai")</f>
        <v>Selesai</v>
      </c>
      <c r="L2450" s="17">
        <f>IFERROR(__xludf.DUMMYFUNCTION("""COMPUTED_VALUE"""),45818.64241730324)</f>
        <v>45818.64242</v>
      </c>
      <c r="M2450" s="13"/>
      <c r="N2450" s="13" t="str">
        <f>IFERROR(__xludf.DUMMYFUNCTION("""COMPUTED_VALUE"""),"")</f>
        <v/>
      </c>
      <c r="O2450" s="13" t="str">
        <f t="shared" si="1"/>
        <v/>
      </c>
    </row>
    <row r="2451" ht="22.5" customHeight="1">
      <c r="B2451" s="13">
        <f>IFERROR(__xludf.DUMMYFUNCTION("""COMPUTED_VALUE"""),2446.0)</f>
        <v>2446</v>
      </c>
      <c r="C2451" s="13" t="str">
        <f>IFERROR(__xludf.DUMMYFUNCTION("""COMPUTED_VALUE"""),"M. 1978/ Sumberrejo sejahtera")</f>
        <v>M. 1978/ Sumberrejo sejahtera</v>
      </c>
      <c r="D2451" s="13" t="str">
        <f>IFERROR(__xludf.DUMMYFUNCTION("""COMPUTED_VALUE"""),"K/11/200525/2")</f>
        <v>K/11/200525/2</v>
      </c>
      <c r="E2451" s="14" t="str">
        <f>IFERROR(__xludf.DUMMYFUNCTION("""COMPUTED_VALUE"""),"Heri (BT)")</f>
        <v>Heri (BT)</v>
      </c>
      <c r="F2451" s="14" t="str">
        <f>IFERROR(__xludf.DUMMYFUNCTION("""COMPUTED_VALUE"""),"SELESAI (VIA PERMOHONAN)")</f>
        <v>SELESAI (VIA PERMOHONAN)</v>
      </c>
      <c r="G2451" s="17">
        <f>IFERROR(__xludf.DUMMYFUNCTION("""COMPUTED_VALUE"""),45818.62721424768)</f>
        <v>45818.62721</v>
      </c>
      <c r="H2451" s="14" t="str">
        <f>IFERROR(__xludf.DUMMYFUNCTION("""COMPUTED_VALUE"""),"Eci (SU)")</f>
        <v>Eci (SU)</v>
      </c>
      <c r="I2451" s="13" t="str">
        <f>IFERROR(__xludf.DUMMYFUNCTION("""COMPUTED_VALUE"""),"SELESAI (VIA PERMOHONAN)")</f>
        <v>SELESAI (VIA PERMOHONAN)</v>
      </c>
      <c r="J2451" s="17">
        <f>IFERROR(__xludf.DUMMYFUNCTION("""COMPUTED_VALUE"""),45818.64289800926)</f>
        <v>45818.6429</v>
      </c>
      <c r="K2451" s="13" t="str">
        <f>IFERROR(__xludf.DUMMYFUNCTION("""COMPUTED_VALUE"""),"Selesai")</f>
        <v>Selesai</v>
      </c>
      <c r="L2451" s="17">
        <f>IFERROR(__xludf.DUMMYFUNCTION("""COMPUTED_VALUE"""),45818.64289800926)</f>
        <v>45818.6429</v>
      </c>
      <c r="M2451" s="13"/>
      <c r="N2451" s="13" t="str">
        <f>IFERROR(__xludf.DUMMYFUNCTION("""COMPUTED_VALUE"""),"")</f>
        <v/>
      </c>
      <c r="O2451" s="13" t="str">
        <f t="shared" si="1"/>
        <v/>
      </c>
    </row>
    <row r="2452" ht="22.5" customHeight="1">
      <c r="B2452" s="13">
        <f>IFERROR(__xludf.DUMMYFUNCTION("""COMPUTED_VALUE"""),2447.0)</f>
        <v>2447</v>
      </c>
      <c r="C2452" s="13" t="str">
        <f>IFERROR(__xludf.DUMMYFUNCTION("""COMPUTED_VALUE"""),"M. 2410/ Langkapura")</f>
        <v>M. 2410/ Langkapura</v>
      </c>
      <c r="D2452" s="13" t="str">
        <f>IFERROR(__xludf.DUMMYFUNCTION("""COMPUTED_VALUE"""),"K/23/030625/1")</f>
        <v>K/23/030625/1</v>
      </c>
      <c r="E2452" s="14" t="str">
        <f>IFERROR(__xludf.DUMMYFUNCTION("""COMPUTED_VALUE"""),"Heri (BT)")</f>
        <v>Heri (BT)</v>
      </c>
      <c r="F2452" s="14" t="str">
        <f>IFERROR(__xludf.DUMMYFUNCTION("""COMPUTED_VALUE"""),"SELESAI (VIA PERMOHONAN)")</f>
        <v>SELESAI (VIA PERMOHONAN)</v>
      </c>
      <c r="G2452" s="17">
        <f>IFERROR(__xludf.DUMMYFUNCTION("""COMPUTED_VALUE"""),45818.62721424768)</f>
        <v>45818.62721</v>
      </c>
      <c r="H2452" s="14" t="str">
        <f>IFERROR(__xludf.DUMMYFUNCTION("""COMPUTED_VALUE"""),"Eci (SU)")</f>
        <v>Eci (SU)</v>
      </c>
      <c r="I2452" s="13" t="str">
        <f>IFERROR(__xludf.DUMMYFUNCTION("""COMPUTED_VALUE"""),"SELESAI (VIA PERMOHONAN)")</f>
        <v>SELESAI (VIA PERMOHONAN)</v>
      </c>
      <c r="J2452" s="17">
        <f>IFERROR(__xludf.DUMMYFUNCTION("""COMPUTED_VALUE"""),45819.61964023148)</f>
        <v>45819.61964</v>
      </c>
      <c r="K2452" s="13" t="str">
        <f>IFERROR(__xludf.DUMMYFUNCTION("""COMPUTED_VALUE"""),"Selesai")</f>
        <v>Selesai</v>
      </c>
      <c r="L2452" s="17">
        <f>IFERROR(__xludf.DUMMYFUNCTION("""COMPUTED_VALUE"""),45819.61964023148)</f>
        <v>45819.61964</v>
      </c>
      <c r="M2452" s="13"/>
      <c r="N2452" s="13" t="str">
        <f>IFERROR(__xludf.DUMMYFUNCTION("""COMPUTED_VALUE"""),"")</f>
        <v/>
      </c>
      <c r="O2452" s="13" t="str">
        <f t="shared" si="1"/>
        <v/>
      </c>
    </row>
    <row r="2453" ht="22.5" customHeight="1">
      <c r="B2453" s="13">
        <f>IFERROR(__xludf.DUMMYFUNCTION("""COMPUTED_VALUE"""),2448.0)</f>
        <v>2448</v>
      </c>
      <c r="C2453" s="13" t="str">
        <f>IFERROR(__xludf.DUMMYFUNCTION("""COMPUTED_VALUE"""),"M. 5485/ Tanjung Seneng")</f>
        <v>M. 5485/ Tanjung Seneng</v>
      </c>
      <c r="D2453" s="13" t="str">
        <f>IFERROR(__xludf.DUMMYFUNCTION("""COMPUTED_VALUE"""),"K/19/090525/1")</f>
        <v>K/19/090525/1</v>
      </c>
      <c r="E2453" s="14" t="str">
        <f>IFERROR(__xludf.DUMMYFUNCTION("""COMPUTED_VALUE"""),"Heri (BT)")</f>
        <v>Heri (BT)</v>
      </c>
      <c r="F2453" s="14" t="str">
        <f>IFERROR(__xludf.DUMMYFUNCTION("""COMPUTED_VALUE"""),"SELESAI (VIA PERMOHONAN)")</f>
        <v>SELESAI (VIA PERMOHONAN)</v>
      </c>
      <c r="G2453" s="17">
        <f>IFERROR(__xludf.DUMMYFUNCTION("""COMPUTED_VALUE"""),45818.62721424768)</f>
        <v>45818.62721</v>
      </c>
      <c r="H2453" s="14" t="str">
        <f>IFERROR(__xludf.DUMMYFUNCTION("""COMPUTED_VALUE"""),"Eci (SU)")</f>
        <v>Eci (SU)</v>
      </c>
      <c r="I2453" s="13" t="str">
        <f>IFERROR(__xludf.DUMMYFUNCTION("""COMPUTED_VALUE"""),"SELESAI (VIA PERMOHONAN)")</f>
        <v>SELESAI (VIA PERMOHONAN)</v>
      </c>
      <c r="J2453" s="17">
        <f>IFERROR(__xludf.DUMMYFUNCTION("""COMPUTED_VALUE"""),45819.61911673611)</f>
        <v>45819.61912</v>
      </c>
      <c r="K2453" s="13" t="str">
        <f>IFERROR(__xludf.DUMMYFUNCTION("""COMPUTED_VALUE"""),"Selesai")</f>
        <v>Selesai</v>
      </c>
      <c r="L2453" s="17">
        <f>IFERROR(__xludf.DUMMYFUNCTION("""COMPUTED_VALUE"""),45819.61911673611)</f>
        <v>45819.61912</v>
      </c>
      <c r="M2453" s="13"/>
      <c r="N2453" s="13" t="str">
        <f>IFERROR(__xludf.DUMMYFUNCTION("""COMPUTED_VALUE"""),"")</f>
        <v/>
      </c>
      <c r="O2453" s="13" t="str">
        <f t="shared" si="1"/>
        <v/>
      </c>
    </row>
    <row r="2454" ht="22.5" customHeight="1">
      <c r="B2454" s="13">
        <f>IFERROR(__xludf.DUMMYFUNCTION("""COMPUTED_VALUE"""),2449.0)</f>
        <v>2449</v>
      </c>
      <c r="C2454" s="13" t="str">
        <f>IFERROR(__xludf.DUMMYFUNCTION("""COMPUTED_VALUE"""),"HM 897/GEDONG AIR")</f>
        <v>HM 897/GEDONG AIR</v>
      </c>
      <c r="D2454" s="13" t="str">
        <f>IFERROR(__xludf.DUMMYFUNCTION("""COMPUTED_VALUE"""),"L/16/270525/1")</f>
        <v>L/16/270525/1</v>
      </c>
      <c r="E2454" s="14" t="str">
        <f>IFERROR(__xludf.DUMMYFUNCTION("""COMPUTED_VALUE"""),"Heri (BT)")</f>
        <v>Heri (BT)</v>
      </c>
      <c r="F2454" s="14" t="str">
        <f>IFERROR(__xludf.DUMMYFUNCTION("""COMPUTED_VALUE"""),"SELESAI (VIA PERMOHONAN)")</f>
        <v>SELESAI (VIA PERMOHONAN)</v>
      </c>
      <c r="G2454" s="17">
        <f>IFERROR(__xludf.DUMMYFUNCTION("""COMPUTED_VALUE"""),45818.62721424768)</f>
        <v>45818.62721</v>
      </c>
      <c r="H2454" s="14" t="str">
        <f>IFERROR(__xludf.DUMMYFUNCTION("""COMPUTED_VALUE"""),"Eci (SU)")</f>
        <v>Eci (SU)</v>
      </c>
      <c r="I2454" s="13" t="str">
        <f>IFERROR(__xludf.DUMMYFUNCTION("""COMPUTED_VALUE"""),"SELESAI (VIA PERMOHONAN)")</f>
        <v>SELESAI (VIA PERMOHONAN)</v>
      </c>
      <c r="J2454" s="17">
        <f>IFERROR(__xludf.DUMMYFUNCTION("""COMPUTED_VALUE"""),45818.643145486116)</f>
        <v>45818.64315</v>
      </c>
      <c r="K2454" s="13" t="str">
        <f>IFERROR(__xludf.DUMMYFUNCTION("""COMPUTED_VALUE"""),"Selesai")</f>
        <v>Selesai</v>
      </c>
      <c r="L2454" s="17">
        <f>IFERROR(__xludf.DUMMYFUNCTION("""COMPUTED_VALUE"""),45818.643145486116)</f>
        <v>45818.64315</v>
      </c>
      <c r="M2454" s="13"/>
      <c r="N2454" s="13" t="str">
        <f>IFERROR(__xludf.DUMMYFUNCTION("""COMPUTED_VALUE"""),"")</f>
        <v/>
      </c>
      <c r="O2454" s="13" t="str">
        <f t="shared" si="1"/>
        <v/>
      </c>
    </row>
    <row r="2455" ht="22.5" customHeight="1">
      <c r="B2455" s="13">
        <f>IFERROR(__xludf.DUMMYFUNCTION("""COMPUTED_VALUE"""),2450.0)</f>
        <v>2450</v>
      </c>
      <c r="C2455" s="13" t="str">
        <f>IFERROR(__xludf.DUMMYFUNCTION("""COMPUTED_VALUE"""),"M. 852/KEMILING RAYA")</f>
        <v>M. 852/KEMILING RAYA</v>
      </c>
      <c r="D2455" s="13" t="str">
        <f>IFERROR(__xludf.DUMMYFUNCTION("""COMPUTED_VALUE"""),"K/14/070525/1")</f>
        <v>K/14/070525/1</v>
      </c>
      <c r="E2455" s="14" t="str">
        <f>IFERROR(__xludf.DUMMYFUNCTION("""COMPUTED_VALUE"""),"Heri (BT)")</f>
        <v>Heri (BT)</v>
      </c>
      <c r="F2455" s="14" t="str">
        <f>IFERROR(__xludf.DUMMYFUNCTION("""COMPUTED_VALUE"""),"SELESAI (VIA PERMOHONAN)")</f>
        <v>SELESAI (VIA PERMOHONAN)</v>
      </c>
      <c r="G2455" s="17">
        <f>IFERROR(__xludf.DUMMYFUNCTION("""COMPUTED_VALUE"""),45818.62721424768)</f>
        <v>45818.62721</v>
      </c>
      <c r="H2455" s="14" t="str">
        <f>IFERROR(__xludf.DUMMYFUNCTION("""COMPUTED_VALUE"""),"Eci (SU)")</f>
        <v>Eci (SU)</v>
      </c>
      <c r="I2455" s="13" t="str">
        <f>IFERROR(__xludf.DUMMYFUNCTION("""COMPUTED_VALUE"""),"SELESAI (VIA PERMOHONAN)")</f>
        <v>SELESAI (VIA PERMOHONAN)</v>
      </c>
      <c r="J2455" s="17">
        <f>IFERROR(__xludf.DUMMYFUNCTION("""COMPUTED_VALUE"""),45819.61868605324)</f>
        <v>45819.61869</v>
      </c>
      <c r="K2455" s="13" t="str">
        <f>IFERROR(__xludf.DUMMYFUNCTION("""COMPUTED_VALUE"""),"Selesai")</f>
        <v>Selesai</v>
      </c>
      <c r="L2455" s="17">
        <f>IFERROR(__xludf.DUMMYFUNCTION("""COMPUTED_VALUE"""),45819.61868605324)</f>
        <v>45819.61869</v>
      </c>
      <c r="M2455" s="13"/>
      <c r="N2455" s="13" t="str">
        <f>IFERROR(__xludf.DUMMYFUNCTION("""COMPUTED_VALUE"""),"")</f>
        <v/>
      </c>
      <c r="O2455" s="13" t="str">
        <f t="shared" si="1"/>
        <v/>
      </c>
    </row>
    <row r="2456" ht="22.5" customHeight="1">
      <c r="B2456" s="13">
        <f>IFERROR(__xludf.DUMMYFUNCTION("""COMPUTED_VALUE"""),2451.0)</f>
        <v>2451</v>
      </c>
      <c r="C2456" s="13" t="str">
        <f>IFERROR(__xludf.DUMMYFUNCTION("""COMPUTED_VALUE"""),"M.1543/KEMILING RAYA")</f>
        <v>M.1543/KEMILING RAYA</v>
      </c>
      <c r="D2456" s="13" t="str">
        <f>IFERROR(__xludf.DUMMYFUNCTION("""COMPUTED_VALUE"""),"K/19/150425/2")</f>
        <v>K/19/150425/2</v>
      </c>
      <c r="E2456" s="14" t="str">
        <f>IFERROR(__xludf.DUMMYFUNCTION("""COMPUTED_VALUE"""),"Heri (BT)")</f>
        <v>Heri (BT)</v>
      </c>
      <c r="F2456" s="14" t="str">
        <f>IFERROR(__xludf.DUMMYFUNCTION("""COMPUTED_VALUE"""),"SELESAI (VIA PERMOHONAN)")</f>
        <v>SELESAI (VIA PERMOHONAN)</v>
      </c>
      <c r="G2456" s="17">
        <f>IFERROR(__xludf.DUMMYFUNCTION("""COMPUTED_VALUE"""),45818.62721424768)</f>
        <v>45818.62721</v>
      </c>
      <c r="H2456" s="14" t="str">
        <f>IFERROR(__xludf.DUMMYFUNCTION("""COMPUTED_VALUE"""),"Eci (SU)")</f>
        <v>Eci (SU)</v>
      </c>
      <c r="I2456" s="13" t="str">
        <f>IFERROR(__xludf.DUMMYFUNCTION("""COMPUTED_VALUE"""),"SELESAI (VIA PERMOHONAN)")</f>
        <v>SELESAI (VIA PERMOHONAN)</v>
      </c>
      <c r="J2456" s="17">
        <f>IFERROR(__xludf.DUMMYFUNCTION("""COMPUTED_VALUE"""),45819.61736739583)</f>
        <v>45819.61737</v>
      </c>
      <c r="K2456" s="13" t="str">
        <f>IFERROR(__xludf.DUMMYFUNCTION("""COMPUTED_VALUE"""),"Selesai")</f>
        <v>Selesai</v>
      </c>
      <c r="L2456" s="17">
        <f>IFERROR(__xludf.DUMMYFUNCTION("""COMPUTED_VALUE"""),45819.61736739583)</f>
        <v>45819.61737</v>
      </c>
      <c r="M2456" s="13"/>
      <c r="N2456" s="13" t="str">
        <f>IFERROR(__xludf.DUMMYFUNCTION("""COMPUTED_VALUE"""),"")</f>
        <v/>
      </c>
      <c r="O2456" s="13" t="str">
        <f t="shared" si="1"/>
        <v/>
      </c>
    </row>
    <row r="2457" ht="22.5" customHeight="1">
      <c r="B2457" s="13">
        <f>IFERROR(__xludf.DUMMYFUNCTION("""COMPUTED_VALUE"""),2452.0)</f>
        <v>2452</v>
      </c>
      <c r="C2457" s="13" t="str">
        <f>IFERROR(__xludf.DUMMYFUNCTION("""COMPUTED_VALUE"""),"M. 10308/LABUHAN RATU")</f>
        <v>M. 10308/LABUHAN RATU</v>
      </c>
      <c r="D2457" s="13" t="str">
        <f>IFERROR(__xludf.DUMMYFUNCTION("""COMPUTED_VALUE"""),"K/23/260525/3")</f>
        <v>K/23/260525/3</v>
      </c>
      <c r="E2457" s="14" t="str">
        <f>IFERROR(__xludf.DUMMYFUNCTION("""COMPUTED_VALUE"""),"Heri (BT)")</f>
        <v>Heri (BT)</v>
      </c>
      <c r="F2457" s="14" t="str">
        <f>IFERROR(__xludf.DUMMYFUNCTION("""COMPUTED_VALUE"""),"SELESAI (VIA PERMOHONAN)")</f>
        <v>SELESAI (VIA PERMOHONAN)</v>
      </c>
      <c r="G2457" s="17">
        <f>IFERROR(__xludf.DUMMYFUNCTION("""COMPUTED_VALUE"""),45818.62721424768)</f>
        <v>45818.62721</v>
      </c>
      <c r="H2457" s="14" t="str">
        <f>IFERROR(__xludf.DUMMYFUNCTION("""COMPUTED_VALUE"""),"Eci (SU)")</f>
        <v>Eci (SU)</v>
      </c>
      <c r="I2457" s="13" t="str">
        <f>IFERROR(__xludf.DUMMYFUNCTION("""COMPUTED_VALUE"""),"SELESAI (VIA PERMOHONAN)")</f>
        <v>SELESAI (VIA PERMOHONAN)</v>
      </c>
      <c r="J2457" s="17">
        <f>IFERROR(__xludf.DUMMYFUNCTION("""COMPUTED_VALUE"""),45818.6434130787)</f>
        <v>45818.64341</v>
      </c>
      <c r="K2457" s="13" t="str">
        <f>IFERROR(__xludf.DUMMYFUNCTION("""COMPUTED_VALUE"""),"Selesai")</f>
        <v>Selesai</v>
      </c>
      <c r="L2457" s="17">
        <f>IFERROR(__xludf.DUMMYFUNCTION("""COMPUTED_VALUE"""),45818.6434130787)</f>
        <v>45818.64341</v>
      </c>
      <c r="M2457" s="13"/>
      <c r="N2457" s="13" t="str">
        <f>IFERROR(__xludf.DUMMYFUNCTION("""COMPUTED_VALUE"""),"")</f>
        <v/>
      </c>
      <c r="O2457" s="13" t="str">
        <f t="shared" si="1"/>
        <v/>
      </c>
    </row>
    <row r="2458" ht="22.5" customHeight="1">
      <c r="B2458" s="13">
        <f>IFERROR(__xludf.DUMMYFUNCTION("""COMPUTED_VALUE"""),2453.0)</f>
        <v>2453</v>
      </c>
      <c r="C2458" s="13" t="str">
        <f>IFERROR(__xludf.DUMMYFUNCTION("""COMPUTED_VALUE"""),"M.940/GUNUNG SULAH")</f>
        <v>M.940/GUNUNG SULAH</v>
      </c>
      <c r="D2458" s="13" t="str">
        <f>IFERROR(__xludf.DUMMYFUNCTION("""COMPUTED_VALUE"""),"K/3/210525/1")</f>
        <v>K/3/210525/1</v>
      </c>
      <c r="E2458" s="14" t="str">
        <f>IFERROR(__xludf.DUMMYFUNCTION("""COMPUTED_VALUE"""),"Heri (BT)")</f>
        <v>Heri (BT)</v>
      </c>
      <c r="F2458" s="14" t="str">
        <f>IFERROR(__xludf.DUMMYFUNCTION("""COMPUTED_VALUE"""),"SELESAI (VIA PERMOHONAN)")</f>
        <v>SELESAI (VIA PERMOHONAN)</v>
      </c>
      <c r="G2458" s="17">
        <f>IFERROR(__xludf.DUMMYFUNCTION("""COMPUTED_VALUE"""),45818.62721424768)</f>
        <v>45818.62721</v>
      </c>
      <c r="H2458" s="14" t="str">
        <f>IFERROR(__xludf.DUMMYFUNCTION("""COMPUTED_VALUE"""),"Eci (SU)")</f>
        <v>Eci (SU)</v>
      </c>
      <c r="I2458" s="13" t="str">
        <f>IFERROR(__xludf.DUMMYFUNCTION("""COMPUTED_VALUE"""),"SELESAI (VIA PERMOHONAN)")</f>
        <v>SELESAI (VIA PERMOHONAN)</v>
      </c>
      <c r="J2458" s="17">
        <f>IFERROR(__xludf.DUMMYFUNCTION("""COMPUTED_VALUE"""),45819.6219983912)</f>
        <v>45819.622</v>
      </c>
      <c r="K2458" s="13" t="str">
        <f>IFERROR(__xludf.DUMMYFUNCTION("""COMPUTED_VALUE"""),"Selesai")</f>
        <v>Selesai</v>
      </c>
      <c r="L2458" s="17">
        <f>IFERROR(__xludf.DUMMYFUNCTION("""COMPUTED_VALUE"""),45819.6219983912)</f>
        <v>45819.622</v>
      </c>
      <c r="M2458" s="13"/>
      <c r="N2458" s="13" t="str">
        <f>IFERROR(__xludf.DUMMYFUNCTION("""COMPUTED_VALUE"""),"")</f>
        <v/>
      </c>
      <c r="O2458" s="13" t="str">
        <f t="shared" si="1"/>
        <v/>
      </c>
    </row>
    <row r="2459" ht="22.5" customHeight="1">
      <c r="B2459" s="13">
        <f>IFERROR(__xludf.DUMMYFUNCTION("""COMPUTED_VALUE"""),2454.0)</f>
        <v>2454</v>
      </c>
      <c r="C2459" s="13" t="str">
        <f>IFERROR(__xludf.DUMMYFUNCTION("""COMPUTED_VALUE"""),"M. 1758, 1488/ Kupang Teba")</f>
        <v>M. 1758, 1488/ Kupang Teba</v>
      </c>
      <c r="D2459" s="13" t="str">
        <f>IFERROR(__xludf.DUMMYFUNCTION("""COMPUTED_VALUE"""),"K/10/200525/1")</f>
        <v>K/10/200525/1</v>
      </c>
      <c r="E2459" s="14" t="str">
        <f>IFERROR(__xludf.DUMMYFUNCTION("""COMPUTED_VALUE"""),"Afriza (BT)")</f>
        <v>Afriza (BT)</v>
      </c>
      <c r="F2459" s="14" t="str">
        <f>IFERROR(__xludf.DUMMYFUNCTION("""COMPUTED_VALUE"""),"SELESAI (VIA PERMOHONAN)")</f>
        <v>SELESAI (VIA PERMOHONAN)</v>
      </c>
      <c r="G2459" s="17">
        <f>IFERROR(__xludf.DUMMYFUNCTION("""COMPUTED_VALUE"""),45818.62721424768)</f>
        <v>45818.62721</v>
      </c>
      <c r="H2459" s="14" t="str">
        <f>IFERROR(__xludf.DUMMYFUNCTION("""COMPUTED_VALUE"""),"Eci (SU)")</f>
        <v>Eci (SU)</v>
      </c>
      <c r="I2459" s="13" t="str">
        <f>IFERROR(__xludf.DUMMYFUNCTION("""COMPUTED_VALUE"""),"SELESAI (VIA PERMOHONAN)")</f>
        <v>SELESAI (VIA PERMOHONAN)</v>
      </c>
      <c r="J2459" s="17">
        <f>IFERROR(__xludf.DUMMYFUNCTION("""COMPUTED_VALUE"""),45818.64031793982)</f>
        <v>45818.64032</v>
      </c>
      <c r="K2459" s="13" t="str">
        <f>IFERROR(__xludf.DUMMYFUNCTION("""COMPUTED_VALUE"""),"Selesai")</f>
        <v>Selesai</v>
      </c>
      <c r="L2459" s="17">
        <f>IFERROR(__xludf.DUMMYFUNCTION("""COMPUTED_VALUE"""),45818.64031793982)</f>
        <v>45818.64032</v>
      </c>
      <c r="M2459" s="13"/>
      <c r="N2459" s="13" t="str">
        <f>IFERROR(__xludf.DUMMYFUNCTION("""COMPUTED_VALUE"""),"")</f>
        <v/>
      </c>
      <c r="O2459" s="13" t="str">
        <f t="shared" si="1"/>
        <v/>
      </c>
    </row>
    <row r="2460" ht="22.5" customHeight="1">
      <c r="B2460" s="13">
        <f>IFERROR(__xludf.DUMMYFUNCTION("""COMPUTED_VALUE"""),2455.0)</f>
        <v>2455</v>
      </c>
      <c r="C2460" s="13" t="str">
        <f>IFERROR(__xludf.DUMMYFUNCTION("""COMPUTED_VALUE"""),"M.270/PESAWAHAN")</f>
        <v>M.270/PESAWAHAN</v>
      </c>
      <c r="D2460" s="13" t="str">
        <f>IFERROR(__xludf.DUMMYFUNCTION("""COMPUTED_VALUE"""),"K/11/080525/5")</f>
        <v>K/11/080525/5</v>
      </c>
      <c r="E2460" s="14" t="str">
        <f>IFERROR(__xludf.DUMMYFUNCTION("""COMPUTED_VALUE"""),"Afriza (BT)")</f>
        <v>Afriza (BT)</v>
      </c>
      <c r="F2460" s="14" t="str">
        <f>IFERROR(__xludf.DUMMYFUNCTION("""COMPUTED_VALUE"""),"SELESAI (VIA PERMOHONAN)")</f>
        <v>SELESAI (VIA PERMOHONAN)</v>
      </c>
      <c r="G2460" s="17">
        <f>IFERROR(__xludf.DUMMYFUNCTION("""COMPUTED_VALUE"""),45818.62721424768)</f>
        <v>45818.62721</v>
      </c>
      <c r="H2460" s="14" t="str">
        <f>IFERROR(__xludf.DUMMYFUNCTION("""COMPUTED_VALUE"""),"Eci (SU)")</f>
        <v>Eci (SU)</v>
      </c>
      <c r="I2460" s="13" t="str">
        <f>IFERROR(__xludf.DUMMYFUNCTION("""COMPUTED_VALUE"""),"SELESAI (VIA PERMOHONAN)")</f>
        <v>SELESAI (VIA PERMOHONAN)</v>
      </c>
      <c r="J2460" s="17">
        <f>IFERROR(__xludf.DUMMYFUNCTION("""COMPUTED_VALUE"""),45818.64194328703)</f>
        <v>45818.64194</v>
      </c>
      <c r="K2460" s="13" t="str">
        <f>IFERROR(__xludf.DUMMYFUNCTION("""COMPUTED_VALUE"""),"Selesai")</f>
        <v>Selesai</v>
      </c>
      <c r="L2460" s="17">
        <f>IFERROR(__xludf.DUMMYFUNCTION("""COMPUTED_VALUE"""),45818.64194328703)</f>
        <v>45818.64194</v>
      </c>
      <c r="M2460" s="13"/>
      <c r="N2460" s="13" t="str">
        <f>IFERROR(__xludf.DUMMYFUNCTION("""COMPUTED_VALUE"""),"")</f>
        <v/>
      </c>
      <c r="O2460" s="13" t="str">
        <f t="shared" si="1"/>
        <v/>
      </c>
    </row>
    <row r="2461" ht="22.5" customHeight="1">
      <c r="B2461" s="13">
        <f>IFERROR(__xludf.DUMMYFUNCTION("""COMPUTED_VALUE"""),2456.0)</f>
        <v>2456</v>
      </c>
      <c r="C2461" s="13" t="str">
        <f>IFERROR(__xludf.DUMMYFUNCTION("""COMPUTED_VALUE"""),"M.13234, M 13230, M 13229/TANJUNG BARU")</f>
        <v>M.13234, M 13230, M 13229/TANJUNG BARU</v>
      </c>
      <c r="D2461" s="13" t="str">
        <f>IFERROR(__xludf.DUMMYFUNCTION("""COMPUTED_VALUE"""),"K/22/160525/1")</f>
        <v>K/22/160525/1</v>
      </c>
      <c r="E2461" s="14" t="str">
        <f>IFERROR(__xludf.DUMMYFUNCTION("""COMPUTED_VALUE"""),"Afriza (BT)")</f>
        <v>Afriza (BT)</v>
      </c>
      <c r="F2461" s="14" t="str">
        <f>IFERROR(__xludf.DUMMYFUNCTION("""COMPUTED_VALUE"""),"SELESAI (VIA PERMOHONAN)")</f>
        <v>SELESAI (VIA PERMOHONAN)</v>
      </c>
      <c r="G2461" s="17">
        <f>IFERROR(__xludf.DUMMYFUNCTION("""COMPUTED_VALUE"""),45818.62721424768)</f>
        <v>45818.62721</v>
      </c>
      <c r="H2461" s="14" t="str">
        <f>IFERROR(__xludf.DUMMYFUNCTION("""COMPUTED_VALUE"""),"Eci (SU)")</f>
        <v>Eci (SU)</v>
      </c>
      <c r="I2461" s="13" t="str">
        <f>IFERROR(__xludf.DUMMYFUNCTION("""COMPUTED_VALUE"""),"SELESAI (VIA PERMOHONAN)")</f>
        <v>SELESAI (VIA PERMOHONAN)</v>
      </c>
      <c r="J2461" s="17">
        <f>IFERROR(__xludf.DUMMYFUNCTION("""COMPUTED_VALUE"""),45818.68964082176)</f>
        <v>45818.68964</v>
      </c>
      <c r="K2461" s="13" t="str">
        <f>IFERROR(__xludf.DUMMYFUNCTION("""COMPUTED_VALUE"""),"Selesai")</f>
        <v>Selesai</v>
      </c>
      <c r="L2461" s="17">
        <f>IFERROR(__xludf.DUMMYFUNCTION("""COMPUTED_VALUE"""),45818.68964082176)</f>
        <v>45818.68964</v>
      </c>
      <c r="M2461" s="13"/>
      <c r="N2461" s="13" t="str">
        <f>IFERROR(__xludf.DUMMYFUNCTION("""COMPUTED_VALUE"""),"")</f>
        <v/>
      </c>
      <c r="O2461" s="13" t="str">
        <f t="shared" si="1"/>
        <v/>
      </c>
    </row>
    <row r="2462" ht="22.5" customHeight="1">
      <c r="B2462" s="13">
        <f>IFERROR(__xludf.DUMMYFUNCTION("""COMPUTED_VALUE"""),2457.0)</f>
        <v>2457</v>
      </c>
      <c r="C2462" s="13" t="str">
        <f>IFERROR(__xludf.DUMMYFUNCTION("""COMPUTED_VALUE"""),"M. 1675/KEMILING RAYA")</f>
        <v>M. 1675/KEMILING RAYA</v>
      </c>
      <c r="D2462" s="13" t="str">
        <f>IFERROR(__xludf.DUMMYFUNCTION("""COMPUTED_VALUE"""),"K/25/050525/1")</f>
        <v>K/25/050525/1</v>
      </c>
      <c r="E2462" s="14" t="str">
        <f>IFERROR(__xludf.DUMMYFUNCTION("""COMPUTED_VALUE"""),"Afriza (BT)")</f>
        <v>Afriza (BT)</v>
      </c>
      <c r="F2462" s="14" t="str">
        <f>IFERROR(__xludf.DUMMYFUNCTION("""COMPUTED_VALUE"""),"SELESAI (VIA PERMOHONAN)")</f>
        <v>SELESAI (VIA PERMOHONAN)</v>
      </c>
      <c r="G2462" s="17">
        <f>IFERROR(__xludf.DUMMYFUNCTION("""COMPUTED_VALUE"""),45818.62721424768)</f>
        <v>45818.62721</v>
      </c>
      <c r="H2462" s="14" t="str">
        <f>IFERROR(__xludf.DUMMYFUNCTION("""COMPUTED_VALUE"""),"Eci (SU)")</f>
        <v>Eci (SU)</v>
      </c>
      <c r="I2462" s="13" t="str">
        <f>IFERROR(__xludf.DUMMYFUNCTION("""COMPUTED_VALUE"""),"SELESAI (VIA PERMOHONAN)")</f>
        <v>SELESAI (VIA PERMOHONAN)</v>
      </c>
      <c r="J2462" s="17">
        <f>IFERROR(__xludf.DUMMYFUNCTION("""COMPUTED_VALUE"""),45818.68983984954)</f>
        <v>45818.68984</v>
      </c>
      <c r="K2462" s="13" t="str">
        <f>IFERROR(__xludf.DUMMYFUNCTION("""COMPUTED_VALUE"""),"Selesai")</f>
        <v>Selesai</v>
      </c>
      <c r="L2462" s="17">
        <f>IFERROR(__xludf.DUMMYFUNCTION("""COMPUTED_VALUE"""),45818.68983984954)</f>
        <v>45818.68984</v>
      </c>
      <c r="M2462" s="13"/>
      <c r="N2462" s="13" t="str">
        <f>IFERROR(__xludf.DUMMYFUNCTION("""COMPUTED_VALUE"""),"")</f>
        <v/>
      </c>
      <c r="O2462" s="13" t="str">
        <f t="shared" si="1"/>
        <v/>
      </c>
    </row>
    <row r="2463" ht="22.5" customHeight="1">
      <c r="B2463" s="13">
        <f>IFERROR(__xludf.DUMMYFUNCTION("""COMPUTED_VALUE"""),2458.0)</f>
        <v>2458</v>
      </c>
      <c r="C2463" s="13" t="str">
        <f>IFERROR(__xludf.DUMMYFUNCTION("""COMPUTED_VALUE"""),"B. 835/ Perumnas Way Kandis; B. 309/ Way Kandis")</f>
        <v>B. 835/ Perumnas Way Kandis; B. 309/ Way Kandis</v>
      </c>
      <c r="D2463" s="13" t="str">
        <f>IFERROR(__xludf.DUMMYFUNCTION("""COMPUTED_VALUE"""),"K/27/281024/1")</f>
        <v>K/27/281024/1</v>
      </c>
      <c r="E2463" s="14" t="str">
        <f>IFERROR(__xludf.DUMMYFUNCTION("""COMPUTED_VALUE"""),"Afriza (BT)")</f>
        <v>Afriza (BT)</v>
      </c>
      <c r="F2463" s="14" t="str">
        <f>IFERROR(__xludf.DUMMYFUNCTION("""COMPUTED_VALUE"""),"SELESAI (VIA PERMOHONAN)")</f>
        <v>SELESAI (VIA PERMOHONAN)</v>
      </c>
      <c r="G2463" s="17">
        <f>IFERROR(__xludf.DUMMYFUNCTION("""COMPUTED_VALUE"""),45818.62721424768)</f>
        <v>45818.62721</v>
      </c>
      <c r="H2463" s="14" t="str">
        <f>IFERROR(__xludf.DUMMYFUNCTION("""COMPUTED_VALUE"""),"Eci (SU)")</f>
        <v>Eci (SU)</v>
      </c>
      <c r="I2463" s="13" t="str">
        <f>IFERROR(__xludf.DUMMYFUNCTION("""COMPUTED_VALUE"""),"SELESAI (VIA PERMOHONAN)")</f>
        <v>SELESAI (VIA PERMOHONAN)</v>
      </c>
      <c r="J2463" s="17">
        <f>IFERROR(__xludf.DUMMYFUNCTION("""COMPUTED_VALUE"""),45818.64081170139)</f>
        <v>45818.64081</v>
      </c>
      <c r="K2463" s="13" t="str">
        <f>IFERROR(__xludf.DUMMYFUNCTION("""COMPUTED_VALUE"""),"Selesai")</f>
        <v>Selesai</v>
      </c>
      <c r="L2463" s="17">
        <f>IFERROR(__xludf.DUMMYFUNCTION("""COMPUTED_VALUE"""),45818.64081170139)</f>
        <v>45818.64081</v>
      </c>
      <c r="M2463" s="13"/>
      <c r="N2463" s="13" t="str">
        <f>IFERROR(__xludf.DUMMYFUNCTION("""COMPUTED_VALUE"""),"")</f>
        <v/>
      </c>
      <c r="O2463" s="13" t="str">
        <f t="shared" si="1"/>
        <v/>
      </c>
    </row>
    <row r="2464" ht="22.5" customHeight="1">
      <c r="B2464" s="13">
        <f>IFERROR(__xludf.DUMMYFUNCTION("""COMPUTED_VALUE"""),2459.0)</f>
        <v>2459</v>
      </c>
      <c r="C2464" s="13" t="str">
        <f>IFERROR(__xludf.DUMMYFUNCTION("""COMPUTED_VALUE"""),"M. 11446/ Sukabumi")</f>
        <v>M. 11446/ Sukabumi</v>
      </c>
      <c r="D2464" s="13" t="str">
        <f>IFERROR(__xludf.DUMMYFUNCTION("""COMPUTED_VALUE"""),"K/15/220525/1")</f>
        <v>K/15/220525/1</v>
      </c>
      <c r="E2464" s="14" t="str">
        <f>IFERROR(__xludf.DUMMYFUNCTION("""COMPUTED_VALUE"""),"Afriza (BT)")</f>
        <v>Afriza (BT)</v>
      </c>
      <c r="F2464" s="14" t="str">
        <f>IFERROR(__xludf.DUMMYFUNCTION("""COMPUTED_VALUE"""),"SELESAI (VIA PERMOHONAN)")</f>
        <v>SELESAI (VIA PERMOHONAN)</v>
      </c>
      <c r="G2464" s="17">
        <f>IFERROR(__xludf.DUMMYFUNCTION("""COMPUTED_VALUE"""),45818.62721424768)</f>
        <v>45818.62721</v>
      </c>
      <c r="H2464" s="14" t="str">
        <f>IFERROR(__xludf.DUMMYFUNCTION("""COMPUTED_VALUE"""),"Eci (SU)")</f>
        <v>Eci (SU)</v>
      </c>
      <c r="I2464" s="13" t="str">
        <f>IFERROR(__xludf.DUMMYFUNCTION("""COMPUTED_VALUE"""),"SELESAI (VIA PERMOHONAN)")</f>
        <v>SELESAI (VIA PERMOHONAN)</v>
      </c>
      <c r="J2464" s="17">
        <f>IFERROR(__xludf.DUMMYFUNCTION("""COMPUTED_VALUE"""),45818.640685266204)</f>
        <v>45818.64069</v>
      </c>
      <c r="K2464" s="13" t="str">
        <f>IFERROR(__xludf.DUMMYFUNCTION("""COMPUTED_VALUE"""),"Selesai")</f>
        <v>Selesai</v>
      </c>
      <c r="L2464" s="17">
        <f>IFERROR(__xludf.DUMMYFUNCTION("""COMPUTED_VALUE"""),45818.640685266204)</f>
        <v>45818.64069</v>
      </c>
      <c r="M2464" s="13"/>
      <c r="N2464" s="13" t="str">
        <f>IFERROR(__xludf.DUMMYFUNCTION("""COMPUTED_VALUE"""),"")</f>
        <v/>
      </c>
      <c r="O2464" s="13" t="str">
        <f t="shared" si="1"/>
        <v/>
      </c>
    </row>
    <row r="2465" ht="22.5" customHeight="1">
      <c r="B2465" s="13">
        <f>IFERROR(__xludf.DUMMYFUNCTION("""COMPUTED_VALUE"""),2460.0)</f>
        <v>2460</v>
      </c>
      <c r="C2465" s="13" t="str">
        <f>IFERROR(__xludf.DUMMYFUNCTION("""COMPUTED_VALUE"""),"M. 1391/ Pengajaran")</f>
        <v>M. 1391/ Pengajaran</v>
      </c>
      <c r="D2465" s="13" t="str">
        <f>IFERROR(__xludf.DUMMYFUNCTION("""COMPUTED_VALUE"""),"K/40/210525/1")</f>
        <v>K/40/210525/1</v>
      </c>
      <c r="E2465" s="14" t="str">
        <f>IFERROR(__xludf.DUMMYFUNCTION("""COMPUTED_VALUE"""),"Afriza (BT)")</f>
        <v>Afriza (BT)</v>
      </c>
      <c r="F2465" s="14" t="str">
        <f>IFERROR(__xludf.DUMMYFUNCTION("""COMPUTED_VALUE"""),"SELESAI (VIA PERMOHONAN)")</f>
        <v>SELESAI (VIA PERMOHONAN)</v>
      </c>
      <c r="G2465" s="17">
        <f>IFERROR(__xludf.DUMMYFUNCTION("""COMPUTED_VALUE"""),45818.62721424768)</f>
        <v>45818.62721</v>
      </c>
      <c r="H2465" s="14" t="str">
        <f>IFERROR(__xludf.DUMMYFUNCTION("""COMPUTED_VALUE"""),"Eci (SU)")</f>
        <v>Eci (SU)</v>
      </c>
      <c r="I2465" s="13" t="str">
        <f>IFERROR(__xludf.DUMMYFUNCTION("""COMPUTED_VALUE"""),"SELESAI (VIA PERMOHONAN)")</f>
        <v>SELESAI (VIA PERMOHONAN)</v>
      </c>
      <c r="J2465" s="17">
        <f>IFERROR(__xludf.DUMMYFUNCTION("""COMPUTED_VALUE"""),45818.64009199074)</f>
        <v>45818.64009</v>
      </c>
      <c r="K2465" s="13" t="str">
        <f>IFERROR(__xludf.DUMMYFUNCTION("""COMPUTED_VALUE"""),"Selesai")</f>
        <v>Selesai</v>
      </c>
      <c r="L2465" s="17">
        <f>IFERROR(__xludf.DUMMYFUNCTION("""COMPUTED_VALUE"""),45818.64009199074)</f>
        <v>45818.64009</v>
      </c>
      <c r="M2465" s="13"/>
      <c r="N2465" s="13" t="str">
        <f>IFERROR(__xludf.DUMMYFUNCTION("""COMPUTED_VALUE"""),"")</f>
        <v/>
      </c>
      <c r="O2465" s="13" t="str">
        <f t="shared" si="1"/>
        <v/>
      </c>
    </row>
    <row r="2466" ht="22.5" customHeight="1">
      <c r="B2466" s="13">
        <f>IFERROR(__xludf.DUMMYFUNCTION("""COMPUTED_VALUE"""),2461.0)</f>
        <v>2461</v>
      </c>
      <c r="C2466" s="13" t="str">
        <f>IFERROR(__xludf.DUMMYFUNCTION("""COMPUTED_VALUE"""),"M. 1091/ Srengsem")</f>
        <v>M. 1091/ Srengsem</v>
      </c>
      <c r="D2466" s="13" t="str">
        <f>IFERROR(__xludf.DUMMYFUNCTION("""COMPUTED_VALUE"""),"K/8/200525/1")</f>
        <v>K/8/200525/1</v>
      </c>
      <c r="E2466" s="14" t="str">
        <f>IFERROR(__xludf.DUMMYFUNCTION("""COMPUTED_VALUE"""),"Afriza (BT)")</f>
        <v>Afriza (BT)</v>
      </c>
      <c r="F2466" s="14" t="str">
        <f>IFERROR(__xludf.DUMMYFUNCTION("""COMPUTED_VALUE"""),"SELESAI (VIA PERMOHONAN)")</f>
        <v>SELESAI (VIA PERMOHONAN)</v>
      </c>
      <c r="G2466" s="17">
        <f>IFERROR(__xludf.DUMMYFUNCTION("""COMPUTED_VALUE"""),45818.62721424768)</f>
        <v>45818.62721</v>
      </c>
      <c r="H2466" s="14" t="str">
        <f>IFERROR(__xludf.DUMMYFUNCTION("""COMPUTED_VALUE"""),"Eci (SU)")</f>
        <v>Eci (SU)</v>
      </c>
      <c r="I2466" s="13" t="str">
        <f>IFERROR(__xludf.DUMMYFUNCTION("""COMPUTED_VALUE"""),"SELESAI (VIA PERMOHONAN)")</f>
        <v>SELESAI (VIA PERMOHONAN)</v>
      </c>
      <c r="J2466" s="17">
        <f>IFERROR(__xludf.DUMMYFUNCTION("""COMPUTED_VALUE"""),45818.63980643518)</f>
        <v>45818.63981</v>
      </c>
      <c r="K2466" s="13" t="str">
        <f>IFERROR(__xludf.DUMMYFUNCTION("""COMPUTED_VALUE"""),"Selesai")</f>
        <v>Selesai</v>
      </c>
      <c r="L2466" s="17">
        <f>IFERROR(__xludf.DUMMYFUNCTION("""COMPUTED_VALUE"""),45818.63980643518)</f>
        <v>45818.63981</v>
      </c>
      <c r="M2466" s="13"/>
      <c r="N2466" s="13" t="str">
        <f>IFERROR(__xludf.DUMMYFUNCTION("""COMPUTED_VALUE"""),"")</f>
        <v/>
      </c>
      <c r="O2466" s="13" t="str">
        <f t="shared" si="1"/>
        <v/>
      </c>
    </row>
    <row r="2467" ht="22.5" customHeight="1">
      <c r="B2467" s="13">
        <f>IFERROR(__xludf.DUMMYFUNCTION("""COMPUTED_VALUE"""),2462.0)</f>
        <v>2462</v>
      </c>
      <c r="C2467" s="13" t="str">
        <f>IFERROR(__xludf.DUMMYFUNCTION("""COMPUTED_VALUE"""),"M. 14983/ Rajabasa")</f>
        <v>M. 14983/ Rajabasa</v>
      </c>
      <c r="D2467" s="13" t="str">
        <f>IFERROR(__xludf.DUMMYFUNCTION("""COMPUTED_VALUE"""),"K/35/210525/2")</f>
        <v>K/35/210525/2</v>
      </c>
      <c r="E2467" s="14" t="str">
        <f>IFERROR(__xludf.DUMMYFUNCTION("""COMPUTED_VALUE"""),"Afriza (BT)")</f>
        <v>Afriza (BT)</v>
      </c>
      <c r="F2467" s="14" t="str">
        <f>IFERROR(__xludf.DUMMYFUNCTION("""COMPUTED_VALUE"""),"SELESAI (VIA PERMOHONAN)")</f>
        <v>SELESAI (VIA PERMOHONAN)</v>
      </c>
      <c r="G2467" s="17">
        <f>IFERROR(__xludf.DUMMYFUNCTION("""COMPUTED_VALUE"""),45818.62721424768)</f>
        <v>45818.62721</v>
      </c>
      <c r="H2467" s="14" t="str">
        <f>IFERROR(__xludf.DUMMYFUNCTION("""COMPUTED_VALUE"""),"Eci (SU)")</f>
        <v>Eci (SU)</v>
      </c>
      <c r="I2467" s="13" t="str">
        <f>IFERROR(__xludf.DUMMYFUNCTION("""COMPUTED_VALUE"""),"SELESAI (VIA PERMOHONAN)")</f>
        <v>SELESAI (VIA PERMOHONAN)</v>
      </c>
      <c r="J2467" s="17">
        <f>IFERROR(__xludf.DUMMYFUNCTION("""COMPUTED_VALUE"""),45818.64136440972)</f>
        <v>45818.64136</v>
      </c>
      <c r="K2467" s="13" t="str">
        <f>IFERROR(__xludf.DUMMYFUNCTION("""COMPUTED_VALUE"""),"Selesai")</f>
        <v>Selesai</v>
      </c>
      <c r="L2467" s="17">
        <f>IFERROR(__xludf.DUMMYFUNCTION("""COMPUTED_VALUE"""),45818.64136440972)</f>
        <v>45818.64136</v>
      </c>
      <c r="M2467" s="13"/>
      <c r="N2467" s="13" t="str">
        <f>IFERROR(__xludf.DUMMYFUNCTION("""COMPUTED_VALUE"""),"")</f>
        <v/>
      </c>
      <c r="O2467" s="13" t="str">
        <f t="shared" si="1"/>
        <v/>
      </c>
    </row>
    <row r="2468" ht="22.5" customHeight="1">
      <c r="B2468" s="13">
        <f>IFERROR(__xludf.DUMMYFUNCTION("""COMPUTED_VALUE"""),2463.0)</f>
        <v>2463</v>
      </c>
      <c r="C2468" s="13" t="str">
        <f>IFERROR(__xludf.DUMMYFUNCTION("""COMPUTED_VALUE"""),"M. 1188/ Talang")</f>
        <v>M. 1188/ Talang</v>
      </c>
      <c r="D2468" s="13" t="str">
        <f>IFERROR(__xludf.DUMMYFUNCTION("""COMPUTED_VALUE"""),"K/30/220525/1")</f>
        <v>K/30/220525/1</v>
      </c>
      <c r="E2468" s="14" t="str">
        <f>IFERROR(__xludf.DUMMYFUNCTION("""COMPUTED_VALUE"""),"Afriza (BT)")</f>
        <v>Afriza (BT)</v>
      </c>
      <c r="F2468" s="14" t="str">
        <f>IFERROR(__xludf.DUMMYFUNCTION("""COMPUTED_VALUE"""),"SELESAI (VIA PERMOHONAN)")</f>
        <v>SELESAI (VIA PERMOHONAN)</v>
      </c>
      <c r="G2468" s="17">
        <f>IFERROR(__xludf.DUMMYFUNCTION("""COMPUTED_VALUE"""),45819.56237777778)</f>
        <v>45819.56238</v>
      </c>
      <c r="H2468" s="14" t="str">
        <f>IFERROR(__xludf.DUMMYFUNCTION("""COMPUTED_VALUE"""),"Eci (SU)")</f>
        <v>Eci (SU)</v>
      </c>
      <c r="I2468" s="13" t="str">
        <f>IFERROR(__xludf.DUMMYFUNCTION("""COMPUTED_VALUE"""),"SELESAI (VIA PERMOHONAN)")</f>
        <v>SELESAI (VIA PERMOHONAN)</v>
      </c>
      <c r="J2468" s="17">
        <f>IFERROR(__xludf.DUMMYFUNCTION("""COMPUTED_VALUE"""),45820.47276577546)</f>
        <v>45820.47277</v>
      </c>
      <c r="K2468" s="13" t="str">
        <f>IFERROR(__xludf.DUMMYFUNCTION("""COMPUTED_VALUE"""),"Selesai")</f>
        <v>Selesai</v>
      </c>
      <c r="L2468" s="17">
        <f>IFERROR(__xludf.DUMMYFUNCTION("""COMPUTED_VALUE"""),45820.47276577546)</f>
        <v>45820.47277</v>
      </c>
      <c r="M2468" s="13"/>
      <c r="N2468" s="13" t="str">
        <f>IFERROR(__xludf.DUMMYFUNCTION("""COMPUTED_VALUE"""),"")</f>
        <v/>
      </c>
      <c r="O2468" s="13" t="str">
        <f t="shared" si="1"/>
        <v/>
      </c>
    </row>
    <row r="2469" ht="22.5" customHeight="1">
      <c r="B2469" s="13">
        <f>IFERROR(__xludf.DUMMYFUNCTION("""COMPUTED_VALUE"""),2464.0)</f>
        <v>2464</v>
      </c>
      <c r="C2469" s="13" t="str">
        <f>IFERROR(__xludf.DUMMYFUNCTION("""COMPUTED_VALUE"""),"M.9455/SUKABUMI")</f>
        <v>M.9455/SUKABUMI</v>
      </c>
      <c r="D2469" s="13" t="str">
        <f>IFERROR(__xludf.DUMMYFUNCTION("""COMPUTED_VALUE"""),"K/42/030625/2")</f>
        <v>K/42/030625/2</v>
      </c>
      <c r="E2469" s="14" t="str">
        <f>IFERROR(__xludf.DUMMYFUNCTION("""COMPUTED_VALUE"""),"Afriza (BT)")</f>
        <v>Afriza (BT)</v>
      </c>
      <c r="F2469" s="14" t="str">
        <f>IFERROR(__xludf.DUMMYFUNCTION("""COMPUTED_VALUE"""),"SELESAI (VIA PERMOHONAN)")</f>
        <v>SELESAI (VIA PERMOHONAN)</v>
      </c>
      <c r="G2469" s="17">
        <f>IFERROR(__xludf.DUMMYFUNCTION("""COMPUTED_VALUE"""),45819.56249493056)</f>
        <v>45819.56249</v>
      </c>
      <c r="H2469" s="14" t="str">
        <f>IFERROR(__xludf.DUMMYFUNCTION("""COMPUTED_VALUE"""),"Eci (SU)")</f>
        <v>Eci (SU)</v>
      </c>
      <c r="I2469" s="13" t="str">
        <f>IFERROR(__xludf.DUMMYFUNCTION("""COMPUTED_VALUE"""),"SELESAI (VIA PERMOHONAN)")</f>
        <v>SELESAI (VIA PERMOHONAN)</v>
      </c>
      <c r="J2469" s="17">
        <f>IFERROR(__xludf.DUMMYFUNCTION("""COMPUTED_VALUE"""),45820.47306703703)</f>
        <v>45820.47307</v>
      </c>
      <c r="K2469" s="13" t="str">
        <f>IFERROR(__xludf.DUMMYFUNCTION("""COMPUTED_VALUE"""),"Selesai")</f>
        <v>Selesai</v>
      </c>
      <c r="L2469" s="17">
        <f>IFERROR(__xludf.DUMMYFUNCTION("""COMPUTED_VALUE"""),45820.47306703703)</f>
        <v>45820.47307</v>
      </c>
      <c r="M2469" s="13"/>
      <c r="N2469" s="13" t="str">
        <f>IFERROR(__xludf.DUMMYFUNCTION("""COMPUTED_VALUE"""),"")</f>
        <v/>
      </c>
      <c r="O2469" s="13" t="str">
        <f t="shared" si="1"/>
        <v/>
      </c>
    </row>
    <row r="2470" ht="22.5" customHeight="1">
      <c r="B2470" s="13">
        <f>IFERROR(__xludf.DUMMYFUNCTION("""COMPUTED_VALUE"""),2465.0)</f>
        <v>2465</v>
      </c>
      <c r="C2470" s="13" t="str">
        <f>IFERROR(__xludf.DUMMYFUNCTION("""COMPUTED_VALUE"""),"M.2608/TANJUNG SENENG")</f>
        <v>M.2608/TANJUNG SENENG</v>
      </c>
      <c r="D2470" s="13" t="str">
        <f>IFERROR(__xludf.DUMMYFUNCTION("""COMPUTED_VALUE"""),"K/34/020625/1")</f>
        <v>K/34/020625/1</v>
      </c>
      <c r="E2470" s="14" t="str">
        <f>IFERROR(__xludf.DUMMYFUNCTION("""COMPUTED_VALUE"""),"Afriza (BT)")</f>
        <v>Afriza (BT)</v>
      </c>
      <c r="F2470" s="14" t="str">
        <f>IFERROR(__xludf.DUMMYFUNCTION("""COMPUTED_VALUE"""),"SELESAI (VIA PERMOHONAN)")</f>
        <v>SELESAI (VIA PERMOHONAN)</v>
      </c>
      <c r="G2470" s="17">
        <f>IFERROR(__xludf.DUMMYFUNCTION("""COMPUTED_VALUE"""),45819.56257681713)</f>
        <v>45819.56258</v>
      </c>
      <c r="H2470" s="14" t="str">
        <f>IFERROR(__xludf.DUMMYFUNCTION("""COMPUTED_VALUE"""),"Eci (SU)")</f>
        <v>Eci (SU)</v>
      </c>
      <c r="I2470" s="13" t="str">
        <f>IFERROR(__xludf.DUMMYFUNCTION("""COMPUTED_VALUE"""),"SELESAI (VIA PERMOHONAN)")</f>
        <v>SELESAI (VIA PERMOHONAN)</v>
      </c>
      <c r="J2470" s="17">
        <f>IFERROR(__xludf.DUMMYFUNCTION("""COMPUTED_VALUE"""),45820.47312525463)</f>
        <v>45820.47313</v>
      </c>
      <c r="K2470" s="13" t="str">
        <f>IFERROR(__xludf.DUMMYFUNCTION("""COMPUTED_VALUE"""),"Selesai")</f>
        <v>Selesai</v>
      </c>
      <c r="L2470" s="17">
        <f>IFERROR(__xludf.DUMMYFUNCTION("""COMPUTED_VALUE"""),45820.47312525463)</f>
        <v>45820.47313</v>
      </c>
      <c r="M2470" s="13"/>
      <c r="N2470" s="13" t="str">
        <f>IFERROR(__xludf.DUMMYFUNCTION("""COMPUTED_VALUE"""),"")</f>
        <v/>
      </c>
      <c r="O2470" s="13" t="str">
        <f t="shared" si="1"/>
        <v/>
      </c>
    </row>
    <row r="2471" ht="22.5" customHeight="1">
      <c r="B2471" s="13">
        <f>IFERROR(__xludf.DUMMYFUNCTION("""COMPUTED_VALUE"""),2466.0)</f>
        <v>2466</v>
      </c>
      <c r="C2471" s="13" t="str">
        <f>IFERROR(__xludf.DUMMYFUNCTION("""COMPUTED_VALUE"""),"M.911/KORPRI JAYA")</f>
        <v>M.911/KORPRI JAYA</v>
      </c>
      <c r="D2471" s="13" t="str">
        <f>IFERROR(__xludf.DUMMYFUNCTION("""COMPUTED_VALUE"""),"K/40/190525/2")</f>
        <v>K/40/190525/2</v>
      </c>
      <c r="E2471" s="14" t="str">
        <f>IFERROR(__xludf.DUMMYFUNCTION("""COMPUTED_VALUE"""),"Afriza (BT)")</f>
        <v>Afriza (BT)</v>
      </c>
      <c r="F2471" s="14" t="str">
        <f>IFERROR(__xludf.DUMMYFUNCTION("""COMPUTED_VALUE"""),"SELESAI (VIA PERMOHONAN)")</f>
        <v>SELESAI (VIA PERMOHONAN)</v>
      </c>
      <c r="G2471" s="17">
        <f>IFERROR(__xludf.DUMMYFUNCTION("""COMPUTED_VALUE"""),45819.56272008102)</f>
        <v>45819.56272</v>
      </c>
      <c r="H2471" s="14" t="str">
        <f>IFERROR(__xludf.DUMMYFUNCTION("""COMPUTED_VALUE"""),"Eci (SU)")</f>
        <v>Eci (SU)</v>
      </c>
      <c r="I2471" s="13" t="str">
        <f>IFERROR(__xludf.DUMMYFUNCTION("""COMPUTED_VALUE"""),"SELESAI (VIA PERMOHONAN)")</f>
        <v>SELESAI (VIA PERMOHONAN)</v>
      </c>
      <c r="J2471" s="17">
        <f>IFERROR(__xludf.DUMMYFUNCTION("""COMPUTED_VALUE"""),45820.47334711805)</f>
        <v>45820.47335</v>
      </c>
      <c r="K2471" s="13" t="str">
        <f>IFERROR(__xludf.DUMMYFUNCTION("""COMPUTED_VALUE"""),"Selesai")</f>
        <v>Selesai</v>
      </c>
      <c r="L2471" s="17">
        <f>IFERROR(__xludf.DUMMYFUNCTION("""COMPUTED_VALUE"""),45820.47334711805)</f>
        <v>45820.47335</v>
      </c>
      <c r="M2471" s="13"/>
      <c r="N2471" s="13" t="str">
        <f>IFERROR(__xludf.DUMMYFUNCTION("""COMPUTED_VALUE"""),"")</f>
        <v/>
      </c>
      <c r="O2471" s="13" t="str">
        <f t="shared" si="1"/>
        <v/>
      </c>
    </row>
    <row r="2472" ht="22.5" customHeight="1">
      <c r="B2472" s="13">
        <f>IFERROR(__xludf.DUMMYFUNCTION("""COMPUTED_VALUE"""),2467.0)</f>
        <v>2467</v>
      </c>
      <c r="C2472" s="13" t="str">
        <f>IFERROR(__xludf.DUMMYFUNCTION("""COMPUTED_VALUE"""),"M.1606/RAJABASA PEMUKA")</f>
        <v>M.1606/RAJABASA PEMUKA</v>
      </c>
      <c r="D2472" s="13" t="str">
        <f>IFERROR(__xludf.DUMMYFUNCTION("""COMPUTED_VALUE"""),"K/52/040625/1")</f>
        <v>K/52/040625/1</v>
      </c>
      <c r="E2472" s="14" t="str">
        <f>IFERROR(__xludf.DUMMYFUNCTION("""COMPUTED_VALUE"""),"Afriza (BT)")</f>
        <v>Afriza (BT)</v>
      </c>
      <c r="F2472" s="14" t="str">
        <f>IFERROR(__xludf.DUMMYFUNCTION("""COMPUTED_VALUE"""),"SELESAI (VIA PERMOHONAN)")</f>
        <v>SELESAI (VIA PERMOHONAN)</v>
      </c>
      <c r="G2472" s="17">
        <f>IFERROR(__xludf.DUMMYFUNCTION("""COMPUTED_VALUE"""),45819.56285178241)</f>
        <v>45819.56285</v>
      </c>
      <c r="H2472" s="14" t="str">
        <f>IFERROR(__xludf.DUMMYFUNCTION("""COMPUTED_VALUE"""),"Eci (SU)")</f>
        <v>Eci (SU)</v>
      </c>
      <c r="I2472" s="13" t="str">
        <f>IFERROR(__xludf.DUMMYFUNCTION("""COMPUTED_VALUE"""),"SELESAI (VIA PERMOHONAN)")</f>
        <v>SELESAI (VIA PERMOHONAN)</v>
      </c>
      <c r="J2472" s="17">
        <f>IFERROR(__xludf.DUMMYFUNCTION("""COMPUTED_VALUE"""),45820.473488958334)</f>
        <v>45820.47349</v>
      </c>
      <c r="K2472" s="13" t="str">
        <f>IFERROR(__xludf.DUMMYFUNCTION("""COMPUTED_VALUE"""),"Selesai")</f>
        <v>Selesai</v>
      </c>
      <c r="L2472" s="17">
        <f>IFERROR(__xludf.DUMMYFUNCTION("""COMPUTED_VALUE"""),45820.473488958334)</f>
        <v>45820.47349</v>
      </c>
      <c r="M2472" s="13"/>
      <c r="N2472" s="13" t="str">
        <f>IFERROR(__xludf.DUMMYFUNCTION("""COMPUTED_VALUE"""),"")</f>
        <v/>
      </c>
      <c r="O2472" s="13" t="str">
        <f t="shared" si="1"/>
        <v/>
      </c>
    </row>
    <row r="2473" ht="22.5" customHeight="1">
      <c r="B2473" s="13">
        <f>IFERROR(__xludf.DUMMYFUNCTION("""COMPUTED_VALUE"""),2468.0)</f>
        <v>2468</v>
      </c>
      <c r="C2473" s="13" t="str">
        <f>IFERROR(__xludf.DUMMYFUNCTION("""COMPUTED_VALUE"""),"M. 1373/ Way Kandis")</f>
        <v>M. 1373/ Way Kandis</v>
      </c>
      <c r="D2473" s="13" t="str">
        <f>IFERROR(__xludf.DUMMYFUNCTION("""COMPUTED_VALUE"""),"K/9/240325/3")</f>
        <v>K/9/240325/3</v>
      </c>
      <c r="E2473" s="14" t="str">
        <f>IFERROR(__xludf.DUMMYFUNCTION("""COMPUTED_VALUE"""),"Afriza (BT)")</f>
        <v>Afriza (BT)</v>
      </c>
      <c r="F2473" s="14" t="str">
        <f>IFERROR(__xludf.DUMMYFUNCTION("""COMPUTED_VALUE"""),"SELESAI (VIA PERMOHONAN)")</f>
        <v>SELESAI (VIA PERMOHONAN)</v>
      </c>
      <c r="G2473" s="17">
        <f>IFERROR(__xludf.DUMMYFUNCTION("""COMPUTED_VALUE"""),45819.563044282404)</f>
        <v>45819.56304</v>
      </c>
      <c r="H2473" s="14" t="str">
        <f>IFERROR(__xludf.DUMMYFUNCTION("""COMPUTED_VALUE"""),"Eci (SU)")</f>
        <v>Eci (SU)</v>
      </c>
      <c r="I2473" s="13" t="str">
        <f>IFERROR(__xludf.DUMMYFUNCTION("""COMPUTED_VALUE"""),"SELESAI (VIA PERMOHONAN)")</f>
        <v>SELESAI (VIA PERMOHONAN)</v>
      </c>
      <c r="J2473" s="17">
        <f>IFERROR(__xludf.DUMMYFUNCTION("""COMPUTED_VALUE"""),45820.47233024305)</f>
        <v>45820.47233</v>
      </c>
      <c r="K2473" s="13" t="str">
        <f>IFERROR(__xludf.DUMMYFUNCTION("""COMPUTED_VALUE"""),"Selesai")</f>
        <v>Selesai</v>
      </c>
      <c r="L2473" s="17">
        <f>IFERROR(__xludf.DUMMYFUNCTION("""COMPUTED_VALUE"""),45820.47233024305)</f>
        <v>45820.47233</v>
      </c>
      <c r="M2473" s="13"/>
      <c r="N2473" s="13" t="str">
        <f>IFERROR(__xludf.DUMMYFUNCTION("""COMPUTED_VALUE"""),"")</f>
        <v/>
      </c>
      <c r="O2473" s="13" t="str">
        <f t="shared" si="1"/>
        <v/>
      </c>
    </row>
    <row r="2474" ht="22.5" customHeight="1">
      <c r="B2474" s="13">
        <f>IFERROR(__xludf.DUMMYFUNCTION("""COMPUTED_VALUE"""),2469.0)</f>
        <v>2469</v>
      </c>
      <c r="C2474" s="13" t="str">
        <f>IFERROR(__xludf.DUMMYFUNCTION("""COMPUTED_VALUE"""),"M.14534/SUKABUMI")</f>
        <v>M.14534/SUKABUMI</v>
      </c>
      <c r="D2474" s="13" t="str">
        <f>IFERROR(__xludf.DUMMYFUNCTION("""COMPUTED_VALUE"""),"K/24/190525/1")</f>
        <v>K/24/190525/1</v>
      </c>
      <c r="E2474" s="14" t="str">
        <f>IFERROR(__xludf.DUMMYFUNCTION("""COMPUTED_VALUE"""),"Afriza (BT)")</f>
        <v>Afriza (BT)</v>
      </c>
      <c r="F2474" s="14" t="str">
        <f>IFERROR(__xludf.DUMMYFUNCTION("""COMPUTED_VALUE"""),"SELESAI (VIA PERMOHONAN)")</f>
        <v>SELESAI (VIA PERMOHONAN)</v>
      </c>
      <c r="G2474" s="17">
        <f>IFERROR(__xludf.DUMMYFUNCTION("""COMPUTED_VALUE"""),45819.563214560185)</f>
        <v>45819.56321</v>
      </c>
      <c r="H2474" s="14" t="str">
        <f>IFERROR(__xludf.DUMMYFUNCTION("""COMPUTED_VALUE"""),"Eci (SU)")</f>
        <v>Eci (SU)</v>
      </c>
      <c r="I2474" s="13" t="str">
        <f>IFERROR(__xludf.DUMMYFUNCTION("""COMPUTED_VALUE"""),"SELESAI (VIA PERMOHONAN)")</f>
        <v>SELESAI (VIA PERMOHONAN)</v>
      </c>
      <c r="J2474" s="17">
        <f>IFERROR(__xludf.DUMMYFUNCTION("""COMPUTED_VALUE"""),45820.47359282407)</f>
        <v>45820.47359</v>
      </c>
      <c r="K2474" s="13" t="str">
        <f>IFERROR(__xludf.DUMMYFUNCTION("""COMPUTED_VALUE"""),"Selesai")</f>
        <v>Selesai</v>
      </c>
      <c r="L2474" s="17">
        <f>IFERROR(__xludf.DUMMYFUNCTION("""COMPUTED_VALUE"""),45820.47359282407)</f>
        <v>45820.47359</v>
      </c>
      <c r="M2474" s="13"/>
      <c r="N2474" s="13" t="str">
        <f>IFERROR(__xludf.DUMMYFUNCTION("""COMPUTED_VALUE"""),"")</f>
        <v/>
      </c>
      <c r="O2474" s="13" t="str">
        <f t="shared" si="1"/>
        <v/>
      </c>
    </row>
    <row r="2475" ht="22.5" customHeight="1">
      <c r="B2475" s="13">
        <f>IFERROR(__xludf.DUMMYFUNCTION("""COMPUTED_VALUE"""),2470.0)</f>
        <v>2470</v>
      </c>
      <c r="C2475" s="13" t="str">
        <f>IFERROR(__xludf.DUMMYFUNCTION("""COMPUTED_VALUE"""),"M.3632/RAJABASA JAYA")</f>
        <v>M.3632/RAJABASA JAYA</v>
      </c>
      <c r="D2475" s="13" t="str">
        <f>IFERROR(__xludf.DUMMYFUNCTION("""COMPUTED_VALUE"""),"K/28/200525/1")</f>
        <v>K/28/200525/1</v>
      </c>
      <c r="E2475" s="14" t="str">
        <f>IFERROR(__xludf.DUMMYFUNCTION("""COMPUTED_VALUE"""),"Afriza (BT)")</f>
        <v>Afriza (BT)</v>
      </c>
      <c r="F2475" s="14" t="str">
        <f>IFERROR(__xludf.DUMMYFUNCTION("""COMPUTED_VALUE"""),"SELESAI (VIA PERMOHONAN)")</f>
        <v>SELESAI (VIA PERMOHONAN)</v>
      </c>
      <c r="G2475" s="17">
        <f>IFERROR(__xludf.DUMMYFUNCTION("""COMPUTED_VALUE"""),45819.563545324076)</f>
        <v>45819.56355</v>
      </c>
      <c r="H2475" s="14" t="str">
        <f>IFERROR(__xludf.DUMMYFUNCTION("""COMPUTED_VALUE"""),"Eci (SU)")</f>
        <v>Eci (SU)</v>
      </c>
      <c r="I2475" s="13" t="str">
        <f>IFERROR(__xludf.DUMMYFUNCTION("""COMPUTED_VALUE"""),"SELESAI (VIA PERMOHONAN)")</f>
        <v>SELESAI (VIA PERMOHONAN)</v>
      </c>
      <c r="J2475" s="17">
        <f>IFERROR(__xludf.DUMMYFUNCTION("""COMPUTED_VALUE"""),45820.473606134256)</f>
        <v>45820.47361</v>
      </c>
      <c r="K2475" s="13" t="str">
        <f>IFERROR(__xludf.DUMMYFUNCTION("""COMPUTED_VALUE"""),"Selesai")</f>
        <v>Selesai</v>
      </c>
      <c r="L2475" s="17">
        <f>IFERROR(__xludf.DUMMYFUNCTION("""COMPUTED_VALUE"""),45820.473606134256)</f>
        <v>45820.47361</v>
      </c>
      <c r="M2475" s="13"/>
      <c r="N2475" s="13" t="str">
        <f>IFERROR(__xludf.DUMMYFUNCTION("""COMPUTED_VALUE"""),"")</f>
        <v/>
      </c>
      <c r="O2475" s="13" t="str">
        <f t="shared" si="1"/>
        <v/>
      </c>
    </row>
    <row r="2476" ht="22.5" customHeight="1">
      <c r="B2476" s="13">
        <f>IFERROR(__xludf.DUMMYFUNCTION("""COMPUTED_VALUE"""),2471.0)</f>
        <v>2471</v>
      </c>
      <c r="C2476" s="13" t="str">
        <f>IFERROR(__xludf.DUMMYFUNCTION("""COMPUTED_VALUE"""),"M. 1087/ Korpri Jaya")</f>
        <v>M. 1087/ Korpri Jaya</v>
      </c>
      <c r="D2476" s="13" t="str">
        <f>IFERROR(__xludf.DUMMYFUNCTION("""COMPUTED_VALUE"""),"K/3/140525/1")</f>
        <v>K/3/140525/1</v>
      </c>
      <c r="E2476" s="14" t="str">
        <f>IFERROR(__xludf.DUMMYFUNCTION("""COMPUTED_VALUE"""),"Afriza (BT)")</f>
        <v>Afriza (BT)</v>
      </c>
      <c r="F2476" s="14" t="str">
        <f>IFERROR(__xludf.DUMMYFUNCTION("""COMPUTED_VALUE"""),"SELESAI (VIA PERMOHONAN)")</f>
        <v>SELESAI (VIA PERMOHONAN)</v>
      </c>
      <c r="G2476" s="17">
        <f>IFERROR(__xludf.DUMMYFUNCTION("""COMPUTED_VALUE"""),45819.563700011575)</f>
        <v>45819.5637</v>
      </c>
      <c r="H2476" s="14" t="str">
        <f>IFERROR(__xludf.DUMMYFUNCTION("""COMPUTED_VALUE"""),"Eci (SU)")</f>
        <v>Eci (SU)</v>
      </c>
      <c r="I2476" s="13" t="str">
        <f>IFERROR(__xludf.DUMMYFUNCTION("""COMPUTED_VALUE"""),"SELESAI (VIA PERMOHONAN)")</f>
        <v>SELESAI (VIA PERMOHONAN)</v>
      </c>
      <c r="J2476" s="17">
        <f>IFERROR(__xludf.DUMMYFUNCTION("""COMPUTED_VALUE"""),45820.47368297454)</f>
        <v>45820.47368</v>
      </c>
      <c r="K2476" s="13" t="str">
        <f>IFERROR(__xludf.DUMMYFUNCTION("""COMPUTED_VALUE"""),"Selesai")</f>
        <v>Selesai</v>
      </c>
      <c r="L2476" s="17">
        <f>IFERROR(__xludf.DUMMYFUNCTION("""COMPUTED_VALUE"""),45820.47368297454)</f>
        <v>45820.47368</v>
      </c>
      <c r="M2476" s="13"/>
      <c r="N2476" s="13" t="str">
        <f>IFERROR(__xludf.DUMMYFUNCTION("""COMPUTED_VALUE"""),"")</f>
        <v/>
      </c>
      <c r="O2476" s="13" t="str">
        <f t="shared" si="1"/>
        <v/>
      </c>
    </row>
    <row r="2477" ht="22.5" customHeight="1">
      <c r="B2477" s="13">
        <f>IFERROR(__xludf.DUMMYFUNCTION("""COMPUTED_VALUE"""),2472.0)</f>
        <v>2472</v>
      </c>
      <c r="C2477" s="13" t="str">
        <f>IFERROR(__xludf.DUMMYFUNCTION("""COMPUTED_VALUE"""),"M. 16682/ Sukabumi")</f>
        <v>M. 16682/ Sukabumi</v>
      </c>
      <c r="D2477" s="13" t="str">
        <f>IFERROR(__xludf.DUMMYFUNCTION("""COMPUTED_VALUE"""),"K/28/150525/1")</f>
        <v>K/28/150525/1</v>
      </c>
      <c r="E2477" s="14" t="str">
        <f>IFERROR(__xludf.DUMMYFUNCTION("""COMPUTED_VALUE"""),"Afriza (BT)")</f>
        <v>Afriza (BT)</v>
      </c>
      <c r="F2477" s="14" t="str">
        <f>IFERROR(__xludf.DUMMYFUNCTION("""COMPUTED_VALUE"""),"SELESAI (VIA PERMOHONAN)")</f>
        <v>SELESAI (VIA PERMOHONAN)</v>
      </c>
      <c r="G2477" s="17">
        <f>IFERROR(__xludf.DUMMYFUNCTION("""COMPUTED_VALUE"""),45819.56380826389)</f>
        <v>45819.56381</v>
      </c>
      <c r="H2477" s="14" t="str">
        <f>IFERROR(__xludf.DUMMYFUNCTION("""COMPUTED_VALUE"""),"Eci (SU)")</f>
        <v>Eci (SU)</v>
      </c>
      <c r="I2477" s="13" t="str">
        <f>IFERROR(__xludf.DUMMYFUNCTION("""COMPUTED_VALUE"""),"SELESAI (VIA PERMOHONAN)")</f>
        <v>SELESAI (VIA PERMOHONAN)</v>
      </c>
      <c r="J2477" s="17">
        <f>IFERROR(__xludf.DUMMYFUNCTION("""COMPUTED_VALUE"""),45820.47376010417)</f>
        <v>45820.47376</v>
      </c>
      <c r="K2477" s="13" t="str">
        <f>IFERROR(__xludf.DUMMYFUNCTION("""COMPUTED_VALUE"""),"Selesai")</f>
        <v>Selesai</v>
      </c>
      <c r="L2477" s="17">
        <f>IFERROR(__xludf.DUMMYFUNCTION("""COMPUTED_VALUE"""),45820.47376010417)</f>
        <v>45820.47376</v>
      </c>
      <c r="M2477" s="13"/>
      <c r="N2477" s="13" t="str">
        <f>IFERROR(__xludf.DUMMYFUNCTION("""COMPUTED_VALUE"""),"")</f>
        <v/>
      </c>
      <c r="O2477" s="13" t="str">
        <f t="shared" si="1"/>
        <v/>
      </c>
    </row>
    <row r="2478" ht="22.5" customHeight="1">
      <c r="B2478" s="13">
        <f>IFERROR(__xludf.DUMMYFUNCTION("""COMPUTED_VALUE"""),2473.0)</f>
        <v>2473</v>
      </c>
      <c r="C2478" s="13" t="str">
        <f>IFERROR(__xludf.DUMMYFUNCTION("""COMPUTED_VALUE"""),"M. 1453/ Bumi Kedamaian")</f>
        <v>M. 1453/ Bumi Kedamaian</v>
      </c>
      <c r="D2478" s="13" t="str">
        <f>IFERROR(__xludf.DUMMYFUNCTION("""COMPUTED_VALUE"""),"K/34/140425/1")</f>
        <v>K/34/140425/1</v>
      </c>
      <c r="E2478" s="14" t="str">
        <f>IFERROR(__xludf.DUMMYFUNCTION("""COMPUTED_VALUE"""),"Afriza (BT)")</f>
        <v>Afriza (BT)</v>
      </c>
      <c r="F2478" s="14" t="str">
        <f>IFERROR(__xludf.DUMMYFUNCTION("""COMPUTED_VALUE"""),"SELESAI (VIA PERMOHONAN)")</f>
        <v>SELESAI (VIA PERMOHONAN)</v>
      </c>
      <c r="G2478" s="17">
        <f>IFERROR(__xludf.DUMMYFUNCTION("""COMPUTED_VALUE"""),45819.563944884256)</f>
        <v>45819.56394</v>
      </c>
      <c r="H2478" s="14" t="str">
        <f>IFERROR(__xludf.DUMMYFUNCTION("""COMPUTED_VALUE"""),"Eci (SU)")</f>
        <v>Eci (SU)</v>
      </c>
      <c r="I2478" s="13" t="str">
        <f>IFERROR(__xludf.DUMMYFUNCTION("""COMPUTED_VALUE"""),"SELESAI (VIA PERMOHONAN)")</f>
        <v>SELESAI (VIA PERMOHONAN)</v>
      </c>
      <c r="J2478" s="17">
        <f>IFERROR(__xludf.DUMMYFUNCTION("""COMPUTED_VALUE"""),45820.473826331014)</f>
        <v>45820.47383</v>
      </c>
      <c r="K2478" s="13" t="str">
        <f>IFERROR(__xludf.DUMMYFUNCTION("""COMPUTED_VALUE"""),"Selesai")</f>
        <v>Selesai</v>
      </c>
      <c r="L2478" s="17">
        <f>IFERROR(__xludf.DUMMYFUNCTION("""COMPUTED_VALUE"""),45820.473826331014)</f>
        <v>45820.47383</v>
      </c>
      <c r="M2478" s="13"/>
      <c r="N2478" s="13" t="str">
        <f>IFERROR(__xludf.DUMMYFUNCTION("""COMPUTED_VALUE"""),"")</f>
        <v/>
      </c>
      <c r="O2478" s="13" t="str">
        <f t="shared" si="1"/>
        <v/>
      </c>
    </row>
    <row r="2479" ht="22.5" customHeight="1">
      <c r="B2479" s="13">
        <f>IFERROR(__xludf.DUMMYFUNCTION("""COMPUTED_VALUE"""),2474.0)</f>
        <v>2474</v>
      </c>
      <c r="C2479" s="13" t="str">
        <f>IFERROR(__xludf.DUMMYFUNCTION("""COMPUTED_VALUE"""),"HGB 4953/SUKARAME")</f>
        <v>HGB 4953/SUKARAME</v>
      </c>
      <c r="D2479" s="13" t="str">
        <f>IFERROR(__xludf.DUMMYFUNCTION("""COMPUTED_VALUE"""),"L/27/260525/1")</f>
        <v>L/27/260525/1</v>
      </c>
      <c r="E2479" s="14" t="str">
        <f>IFERROR(__xludf.DUMMYFUNCTION("""COMPUTED_VALUE"""),"Heri (BT)")</f>
        <v>Heri (BT)</v>
      </c>
      <c r="F2479" s="14" t="str">
        <f>IFERROR(__xludf.DUMMYFUNCTION("""COMPUTED_VALUE"""),"SELESAI (VIA PERMOHONAN)")</f>
        <v>SELESAI (VIA PERMOHONAN)</v>
      </c>
      <c r="G2479" s="17">
        <f>IFERROR(__xludf.DUMMYFUNCTION("""COMPUTED_VALUE"""),45819.61535940973)</f>
        <v>45819.61536</v>
      </c>
      <c r="H2479" s="14" t="str">
        <f>IFERROR(__xludf.DUMMYFUNCTION("""COMPUTED_VALUE"""),"Eci (SU)")</f>
        <v>Eci (SU)</v>
      </c>
      <c r="I2479" s="13" t="str">
        <f>IFERROR(__xludf.DUMMYFUNCTION("""COMPUTED_VALUE"""),"SELESAI (VIA PERMOHONAN)")</f>
        <v>SELESAI (VIA PERMOHONAN)</v>
      </c>
      <c r="J2479" s="17">
        <f>IFERROR(__xludf.DUMMYFUNCTION("""COMPUTED_VALUE"""),45820.470928043986)</f>
        <v>45820.47093</v>
      </c>
      <c r="K2479" s="13" t="str">
        <f>IFERROR(__xludf.DUMMYFUNCTION("""COMPUTED_VALUE"""),"Selesai")</f>
        <v>Selesai</v>
      </c>
      <c r="L2479" s="17">
        <f>IFERROR(__xludf.DUMMYFUNCTION("""COMPUTED_VALUE"""),45820.470928043986)</f>
        <v>45820.47093</v>
      </c>
      <c r="M2479" s="13"/>
      <c r="N2479" s="13" t="str">
        <f>IFERROR(__xludf.DUMMYFUNCTION("""COMPUTED_VALUE"""),"")</f>
        <v/>
      </c>
      <c r="O2479" s="13" t="str">
        <f t="shared" si="1"/>
        <v/>
      </c>
    </row>
    <row r="2480" ht="22.5" customHeight="1">
      <c r="B2480" s="13">
        <f>IFERROR(__xludf.DUMMYFUNCTION("""COMPUTED_VALUE"""),2475.0)</f>
        <v>2475</v>
      </c>
      <c r="C2480" s="13" t="str">
        <f>IFERROR(__xludf.DUMMYFUNCTION("""COMPUTED_VALUE"""),"M.10270/LABUHAN RATU")</f>
        <v>M.10270/LABUHAN RATU</v>
      </c>
      <c r="D2480" s="13" t="str">
        <f>IFERROR(__xludf.DUMMYFUNCTION("""COMPUTED_VALUE"""),"K/21/260525/1")</f>
        <v>K/21/260525/1</v>
      </c>
      <c r="E2480" s="14" t="str">
        <f>IFERROR(__xludf.DUMMYFUNCTION("""COMPUTED_VALUE"""),"Heri (BT)")</f>
        <v>Heri (BT)</v>
      </c>
      <c r="F2480" s="14" t="str">
        <f>IFERROR(__xludf.DUMMYFUNCTION("""COMPUTED_VALUE"""),"SELESAI (VIA PERMOHONAN)")</f>
        <v>SELESAI (VIA PERMOHONAN)</v>
      </c>
      <c r="G2480" s="17">
        <f>IFERROR(__xludf.DUMMYFUNCTION("""COMPUTED_VALUE"""),45819.61552482639)</f>
        <v>45819.61552</v>
      </c>
      <c r="H2480" s="14" t="str">
        <f>IFERROR(__xludf.DUMMYFUNCTION("""COMPUTED_VALUE"""),"Eci (SU)")</f>
        <v>Eci (SU)</v>
      </c>
      <c r="I2480" s="13" t="str">
        <f>IFERROR(__xludf.DUMMYFUNCTION("""COMPUTED_VALUE"""),"SELESAI (VIA PERMOHONAN)")</f>
        <v>SELESAI (VIA PERMOHONAN)</v>
      </c>
      <c r="J2480" s="17">
        <f>IFERROR(__xludf.DUMMYFUNCTION("""COMPUTED_VALUE"""),45820.47218873842)</f>
        <v>45820.47219</v>
      </c>
      <c r="K2480" s="13" t="str">
        <f>IFERROR(__xludf.DUMMYFUNCTION("""COMPUTED_VALUE"""),"Selesai")</f>
        <v>Selesai</v>
      </c>
      <c r="L2480" s="17">
        <f>IFERROR(__xludf.DUMMYFUNCTION("""COMPUTED_VALUE"""),45820.47218873842)</f>
        <v>45820.47219</v>
      </c>
      <c r="M2480" s="13"/>
      <c r="N2480" s="13" t="str">
        <f>IFERROR(__xludf.DUMMYFUNCTION("""COMPUTED_VALUE"""),"")</f>
        <v/>
      </c>
      <c r="O2480" s="13" t="str">
        <f t="shared" si="1"/>
        <v/>
      </c>
    </row>
    <row r="2481" ht="22.5" customHeight="1">
      <c r="B2481" s="13">
        <f>IFERROR(__xludf.DUMMYFUNCTION("""COMPUTED_VALUE"""),2476.0)</f>
        <v>2476</v>
      </c>
      <c r="C2481" s="13" t="str">
        <f>IFERROR(__xludf.DUMMYFUNCTION("""COMPUTED_VALUE"""),"M. 13996/ Tanjung Baru")</f>
        <v>M. 13996/ Tanjung Baru</v>
      </c>
      <c r="D2481" s="13" t="str">
        <f>IFERROR(__xludf.DUMMYFUNCTION("""COMPUTED_VALUE"""),"K/15/210525/1")</f>
        <v>K/15/210525/1</v>
      </c>
      <c r="E2481" s="14" t="str">
        <f>IFERROR(__xludf.DUMMYFUNCTION("""COMPUTED_VALUE"""),"Heri (BT)")</f>
        <v>Heri (BT)</v>
      </c>
      <c r="F2481" s="14" t="str">
        <f>IFERROR(__xludf.DUMMYFUNCTION("""COMPUTED_VALUE"""),"SELESAI (VIA PERMOHONAN)")</f>
        <v>SELESAI (VIA PERMOHONAN)</v>
      </c>
      <c r="G2481" s="17">
        <f>IFERROR(__xludf.DUMMYFUNCTION("""COMPUTED_VALUE"""),45819.6157131713)</f>
        <v>45819.61571</v>
      </c>
      <c r="H2481" s="14" t="str">
        <f>IFERROR(__xludf.DUMMYFUNCTION("""COMPUTED_VALUE"""),"Eci (SU)")</f>
        <v>Eci (SU)</v>
      </c>
      <c r="I2481" s="13" t="str">
        <f>IFERROR(__xludf.DUMMYFUNCTION("""COMPUTED_VALUE"""),"SELESAI (VIA PERMOHONAN)")</f>
        <v>SELESAI (VIA PERMOHONAN)</v>
      </c>
      <c r="J2481" s="17">
        <f>IFERROR(__xludf.DUMMYFUNCTION("""COMPUTED_VALUE"""),45820.47402231481)</f>
        <v>45820.47402</v>
      </c>
      <c r="K2481" s="13" t="str">
        <f>IFERROR(__xludf.DUMMYFUNCTION("""COMPUTED_VALUE"""),"Selesai")</f>
        <v>Selesai</v>
      </c>
      <c r="L2481" s="17">
        <f>IFERROR(__xludf.DUMMYFUNCTION("""COMPUTED_VALUE"""),45820.47402231481)</f>
        <v>45820.47402</v>
      </c>
      <c r="M2481" s="13"/>
      <c r="N2481" s="13" t="str">
        <f>IFERROR(__xludf.DUMMYFUNCTION("""COMPUTED_VALUE"""),"")</f>
        <v/>
      </c>
      <c r="O2481" s="13" t="str">
        <f t="shared" si="1"/>
        <v/>
      </c>
    </row>
    <row r="2482" ht="22.5" customHeight="1">
      <c r="B2482" s="13">
        <f>IFERROR(__xludf.DUMMYFUNCTION("""COMPUTED_VALUE"""),2477.0)</f>
        <v>2477</v>
      </c>
      <c r="C2482" s="13" t="str">
        <f>IFERROR(__xludf.DUMMYFUNCTION("""COMPUTED_VALUE"""),"M. 1037/ Sukarame")</f>
        <v>M. 1037/ Sukarame</v>
      </c>
      <c r="D2482" s="13" t="str">
        <f>IFERROR(__xludf.DUMMYFUNCTION("""COMPUTED_VALUE"""),"K/22/200525/2")</f>
        <v>K/22/200525/2</v>
      </c>
      <c r="E2482" s="14" t="str">
        <f>IFERROR(__xludf.DUMMYFUNCTION("""COMPUTED_VALUE"""),"Heri (BT)")</f>
        <v>Heri (BT)</v>
      </c>
      <c r="F2482" s="14" t="str">
        <f>IFERROR(__xludf.DUMMYFUNCTION("""COMPUTED_VALUE"""),"SELESAI (VIA PERMOHONAN)")</f>
        <v>SELESAI (VIA PERMOHONAN)</v>
      </c>
      <c r="G2482" s="17">
        <f>IFERROR(__xludf.DUMMYFUNCTION("""COMPUTED_VALUE"""),45819.61639726852)</f>
        <v>45819.6164</v>
      </c>
      <c r="H2482" s="14" t="str">
        <f>IFERROR(__xludf.DUMMYFUNCTION("""COMPUTED_VALUE"""),"Eci (SU)")</f>
        <v>Eci (SU)</v>
      </c>
      <c r="I2482" s="13" t="str">
        <f>IFERROR(__xludf.DUMMYFUNCTION("""COMPUTED_VALUE"""),"SELESAI (VIA PERMOHONAN)")</f>
        <v>SELESAI (VIA PERMOHONAN)</v>
      </c>
      <c r="J2482" s="17">
        <f>IFERROR(__xludf.DUMMYFUNCTION("""COMPUTED_VALUE"""),45820.4741078588)</f>
        <v>45820.47411</v>
      </c>
      <c r="K2482" s="13" t="str">
        <f>IFERROR(__xludf.DUMMYFUNCTION("""COMPUTED_VALUE"""),"Selesai")</f>
        <v>Selesai</v>
      </c>
      <c r="L2482" s="17">
        <f>IFERROR(__xludf.DUMMYFUNCTION("""COMPUTED_VALUE"""),45820.4741078588)</f>
        <v>45820.47411</v>
      </c>
      <c r="M2482" s="13"/>
      <c r="N2482" s="13" t="str">
        <f>IFERROR(__xludf.DUMMYFUNCTION("""COMPUTED_VALUE"""),"")</f>
        <v/>
      </c>
      <c r="O2482" s="13" t="str">
        <f t="shared" si="1"/>
        <v/>
      </c>
    </row>
    <row r="2483" ht="22.5" customHeight="1">
      <c r="B2483" s="13">
        <f>IFERROR(__xludf.DUMMYFUNCTION("""COMPUTED_VALUE"""),2478.0)</f>
        <v>2478</v>
      </c>
      <c r="C2483" s="13" t="str">
        <f>IFERROR(__xludf.DUMMYFUNCTION("""COMPUTED_VALUE"""),"M. 106/ Penengahan")</f>
        <v>M. 106/ Penengahan</v>
      </c>
      <c r="D2483" s="13" t="str">
        <f>IFERROR(__xludf.DUMMYFUNCTION("""COMPUTED_VALUE"""),"K/28/050625/1")</f>
        <v>K/28/050625/1</v>
      </c>
      <c r="E2483" s="14" t="str">
        <f>IFERROR(__xludf.DUMMYFUNCTION("""COMPUTED_VALUE"""),"Heri (BT)")</f>
        <v>Heri (BT)</v>
      </c>
      <c r="F2483" s="14" t="str">
        <f>IFERROR(__xludf.DUMMYFUNCTION("""COMPUTED_VALUE"""),"SELESAI (VIA PERMOHONAN)")</f>
        <v>SELESAI (VIA PERMOHONAN)</v>
      </c>
      <c r="G2483" s="17">
        <f>IFERROR(__xludf.DUMMYFUNCTION("""COMPUTED_VALUE"""),45819.61695335648)</f>
        <v>45819.61695</v>
      </c>
      <c r="H2483" s="14" t="str">
        <f>IFERROR(__xludf.DUMMYFUNCTION("""COMPUTED_VALUE"""),"Eci (SU)")</f>
        <v>Eci (SU)</v>
      </c>
      <c r="I2483" s="13" t="str">
        <f>IFERROR(__xludf.DUMMYFUNCTION("""COMPUTED_VALUE"""),"SELESAI (VIA PERMOHONAN)")</f>
        <v>SELESAI (VIA PERMOHONAN)</v>
      </c>
      <c r="J2483" s="17">
        <f>IFERROR(__xludf.DUMMYFUNCTION("""COMPUTED_VALUE"""),45820.47194775463)</f>
        <v>45820.47195</v>
      </c>
      <c r="K2483" s="13" t="str">
        <f>IFERROR(__xludf.DUMMYFUNCTION("""COMPUTED_VALUE"""),"Selesai")</f>
        <v>Selesai</v>
      </c>
      <c r="L2483" s="17">
        <f>IFERROR(__xludf.DUMMYFUNCTION("""COMPUTED_VALUE"""),45820.47194775463)</f>
        <v>45820.47195</v>
      </c>
      <c r="M2483" s="13"/>
      <c r="N2483" s="13" t="str">
        <f>IFERROR(__xludf.DUMMYFUNCTION("""COMPUTED_VALUE"""),"")</f>
        <v/>
      </c>
      <c r="O2483" s="13" t="str">
        <f t="shared" si="1"/>
        <v/>
      </c>
    </row>
    <row r="2484" ht="22.5" customHeight="1">
      <c r="B2484" s="13">
        <f>IFERROR(__xludf.DUMMYFUNCTION("""COMPUTED_VALUE"""),2479.0)</f>
        <v>2479</v>
      </c>
      <c r="C2484" s="13" t="str">
        <f>IFERROR(__xludf.DUMMYFUNCTION("""COMPUTED_VALUE"""),"M. 918/ Korpri Jaya")</f>
        <v>M. 918/ Korpri Jaya</v>
      </c>
      <c r="D2484" s="13" t="str">
        <f>IFERROR(__xludf.DUMMYFUNCTION("""COMPUTED_VALUE"""),"K/18/210425/1")</f>
        <v>K/18/210425/1</v>
      </c>
      <c r="E2484" s="14" t="str">
        <f>IFERROR(__xludf.DUMMYFUNCTION("""COMPUTED_VALUE"""),"Heri (BT)")</f>
        <v>Heri (BT)</v>
      </c>
      <c r="F2484" s="14" t="str">
        <f>IFERROR(__xludf.DUMMYFUNCTION("""COMPUTED_VALUE"""),"SELESAI (VIA PERMOHONAN)")</f>
        <v>SELESAI (VIA PERMOHONAN)</v>
      </c>
      <c r="G2484" s="17">
        <f>IFERROR(__xludf.DUMMYFUNCTION("""COMPUTED_VALUE"""),45819.61708019676)</f>
        <v>45819.61708</v>
      </c>
      <c r="H2484" s="14" t="str">
        <f>IFERROR(__xludf.DUMMYFUNCTION("""COMPUTED_VALUE"""),"Eci (SU)")</f>
        <v>Eci (SU)</v>
      </c>
      <c r="I2484" s="13" t="str">
        <f>IFERROR(__xludf.DUMMYFUNCTION("""COMPUTED_VALUE"""),"SELESAI (VIA PERMOHONAN)")</f>
        <v>SELESAI (VIA PERMOHONAN)</v>
      </c>
      <c r="J2484" s="17">
        <f>IFERROR(__xludf.DUMMYFUNCTION("""COMPUTED_VALUE"""),45820.474197083335)</f>
        <v>45820.4742</v>
      </c>
      <c r="K2484" s="13" t="str">
        <f>IFERROR(__xludf.DUMMYFUNCTION("""COMPUTED_VALUE"""),"Selesai")</f>
        <v>Selesai</v>
      </c>
      <c r="L2484" s="17">
        <f>IFERROR(__xludf.DUMMYFUNCTION("""COMPUTED_VALUE"""),45820.474197083335)</f>
        <v>45820.4742</v>
      </c>
      <c r="M2484" s="13"/>
      <c r="N2484" s="13" t="str">
        <f>IFERROR(__xludf.DUMMYFUNCTION("""COMPUTED_VALUE"""),"")</f>
        <v/>
      </c>
      <c r="O2484" s="13" t="str">
        <f t="shared" si="1"/>
        <v/>
      </c>
    </row>
    <row r="2485" ht="22.5" customHeight="1">
      <c r="B2485" s="13">
        <f>IFERROR(__xludf.DUMMYFUNCTION("""COMPUTED_VALUE"""),2480.0)</f>
        <v>2480</v>
      </c>
      <c r="C2485" s="13" t="str">
        <f>IFERROR(__xludf.DUMMYFUNCTION("""COMPUTED_VALUE"""),"B. 321/ Pematang Wangi")</f>
        <v>B. 321/ Pematang Wangi</v>
      </c>
      <c r="D2485" s="13" t="str">
        <f>IFERROR(__xludf.DUMMYFUNCTION("""COMPUTED_VALUE"""),"K/42/220525/1")</f>
        <v>K/42/220525/1</v>
      </c>
      <c r="E2485" s="14" t="str">
        <f>IFERROR(__xludf.DUMMYFUNCTION("""COMPUTED_VALUE"""),"Heri (BT)")</f>
        <v>Heri (BT)</v>
      </c>
      <c r="F2485" s="14" t="str">
        <f>IFERROR(__xludf.DUMMYFUNCTION("""COMPUTED_VALUE"""),"SELESAI (VIA PERMOHONAN)")</f>
        <v>SELESAI (VIA PERMOHONAN)</v>
      </c>
      <c r="G2485" s="17">
        <f>IFERROR(__xludf.DUMMYFUNCTION("""COMPUTED_VALUE"""),45819.61736739583)</f>
        <v>45819.61737</v>
      </c>
      <c r="H2485" s="14" t="str">
        <f>IFERROR(__xludf.DUMMYFUNCTION("""COMPUTED_VALUE"""),"Eci (SU)")</f>
        <v>Eci (SU)</v>
      </c>
      <c r="I2485" s="13" t="str">
        <f>IFERROR(__xludf.DUMMYFUNCTION("""COMPUTED_VALUE"""),"SELESAI (VIA PERMOHONAN)")</f>
        <v>SELESAI (VIA PERMOHONAN)</v>
      </c>
      <c r="J2485" s="17">
        <f>IFERROR(__xludf.DUMMYFUNCTION("""COMPUTED_VALUE"""),45820.59946922454)</f>
        <v>45820.59947</v>
      </c>
      <c r="K2485" s="13" t="str">
        <f>IFERROR(__xludf.DUMMYFUNCTION("""COMPUTED_VALUE"""),"Selesai")</f>
        <v>Selesai</v>
      </c>
      <c r="L2485" s="17">
        <f>IFERROR(__xludf.DUMMYFUNCTION("""COMPUTED_VALUE"""),45820.59946922454)</f>
        <v>45820.59947</v>
      </c>
      <c r="M2485" s="13"/>
      <c r="N2485" s="13" t="str">
        <f>IFERROR(__xludf.DUMMYFUNCTION("""COMPUTED_VALUE"""),"")</f>
        <v/>
      </c>
      <c r="O2485" s="13" t="str">
        <f t="shared" si="1"/>
        <v/>
      </c>
    </row>
    <row r="2486" ht="22.5" customHeight="1">
      <c r="B2486" s="13">
        <f>IFERROR(__xludf.DUMMYFUNCTION("""COMPUTED_VALUE"""),2481.0)</f>
        <v>2481</v>
      </c>
      <c r="C2486" s="13" t="str">
        <f>IFERROR(__xludf.DUMMYFUNCTION("""COMPUTED_VALUE"""),"M. 105/ Bakung")</f>
        <v>M. 105/ Bakung</v>
      </c>
      <c r="D2486" s="13" t="str">
        <f>IFERROR(__xludf.DUMMYFUNCTION("""COMPUTED_VALUE"""),"K/22/020625/2")</f>
        <v>K/22/020625/2</v>
      </c>
      <c r="E2486" s="14" t="str">
        <f>IFERROR(__xludf.DUMMYFUNCTION("""COMPUTED_VALUE"""),"Heri (BT)")</f>
        <v>Heri (BT)</v>
      </c>
      <c r="F2486" s="14" t="str">
        <f>IFERROR(__xludf.DUMMYFUNCTION("""COMPUTED_VALUE"""),"SELESAI (VIA PERMOHONAN)")</f>
        <v>SELESAI (VIA PERMOHONAN)</v>
      </c>
      <c r="G2486" s="17">
        <f>IFERROR(__xludf.DUMMYFUNCTION("""COMPUTED_VALUE"""),45819.61745902778)</f>
        <v>45819.61746</v>
      </c>
      <c r="H2486" s="14" t="str">
        <f>IFERROR(__xludf.DUMMYFUNCTION("""COMPUTED_VALUE"""),"Eci (SU)")</f>
        <v>Eci (SU)</v>
      </c>
      <c r="I2486" s="13" t="str">
        <f>IFERROR(__xludf.DUMMYFUNCTION("""COMPUTED_VALUE"""),"SELESAI (VIA PERMOHONAN)")</f>
        <v>SELESAI (VIA PERMOHONAN)</v>
      </c>
      <c r="J2486" s="17">
        <f>IFERROR(__xludf.DUMMYFUNCTION("""COMPUTED_VALUE"""),45820.474279155096)</f>
        <v>45820.47428</v>
      </c>
      <c r="K2486" s="13" t="str">
        <f>IFERROR(__xludf.DUMMYFUNCTION("""COMPUTED_VALUE"""),"Selesai")</f>
        <v>Selesai</v>
      </c>
      <c r="L2486" s="17">
        <f>IFERROR(__xludf.DUMMYFUNCTION("""COMPUTED_VALUE"""),45820.474279155096)</f>
        <v>45820.47428</v>
      </c>
      <c r="M2486" s="13"/>
      <c r="N2486" s="13" t="str">
        <f>IFERROR(__xludf.DUMMYFUNCTION("""COMPUTED_VALUE"""),"")</f>
        <v/>
      </c>
      <c r="O2486" s="13" t="str">
        <f t="shared" si="1"/>
        <v/>
      </c>
    </row>
    <row r="2487" ht="22.5" customHeight="1">
      <c r="B2487" s="13">
        <f>IFERROR(__xludf.DUMMYFUNCTION("""COMPUTED_VALUE"""),2482.0)</f>
        <v>2482</v>
      </c>
      <c r="C2487" s="13" t="str">
        <f>IFERROR(__xludf.DUMMYFUNCTION("""COMPUTED_VALUE"""),"B. 5224/ Beringin Raya")</f>
        <v>B. 5224/ Beringin Raya</v>
      </c>
      <c r="D2487" s="13" t="str">
        <f>IFERROR(__xludf.DUMMYFUNCTION("""COMPUTED_VALUE"""),"K/22/040625/1")</f>
        <v>K/22/040625/1</v>
      </c>
      <c r="E2487" s="14" t="str">
        <f>IFERROR(__xludf.DUMMYFUNCTION("""COMPUTED_VALUE"""),"Heri (BT)")</f>
        <v>Heri (BT)</v>
      </c>
      <c r="F2487" s="14" t="str">
        <f>IFERROR(__xludf.DUMMYFUNCTION("""COMPUTED_VALUE"""),"SELESAI (VIA PERMOHONAN)")</f>
        <v>SELESAI (VIA PERMOHONAN)</v>
      </c>
      <c r="G2487" s="17">
        <f>IFERROR(__xludf.DUMMYFUNCTION("""COMPUTED_VALUE"""),45819.61771626158)</f>
        <v>45819.61772</v>
      </c>
      <c r="H2487" s="14" t="str">
        <f>IFERROR(__xludf.DUMMYFUNCTION("""COMPUTED_VALUE"""),"Eci (SU)")</f>
        <v>Eci (SU)</v>
      </c>
      <c r="I2487" s="13" t="str">
        <f>IFERROR(__xludf.DUMMYFUNCTION("""COMPUTED_VALUE"""),"SELESAI (VIA PERMOHONAN)")</f>
        <v>SELESAI (VIA PERMOHONAN)</v>
      </c>
      <c r="J2487" s="17">
        <f>IFERROR(__xludf.DUMMYFUNCTION("""COMPUTED_VALUE"""),45819.6659525)</f>
        <v>45819.66595</v>
      </c>
      <c r="K2487" s="13" t="str">
        <f>IFERROR(__xludf.DUMMYFUNCTION("""COMPUTED_VALUE"""),"Selesai")</f>
        <v>Selesai</v>
      </c>
      <c r="L2487" s="17">
        <f>IFERROR(__xludf.DUMMYFUNCTION("""COMPUTED_VALUE"""),45819.6659525)</f>
        <v>45819.66595</v>
      </c>
      <c r="M2487" s="13"/>
      <c r="N2487" s="13" t="str">
        <f>IFERROR(__xludf.DUMMYFUNCTION("""COMPUTED_VALUE"""),"")</f>
        <v/>
      </c>
      <c r="O2487" s="13" t="str">
        <f t="shared" si="1"/>
        <v/>
      </c>
    </row>
    <row r="2488" ht="22.5" customHeight="1">
      <c r="B2488" s="13">
        <f>IFERROR(__xludf.DUMMYFUNCTION("""COMPUTED_VALUE"""),2483.0)</f>
        <v>2483</v>
      </c>
      <c r="C2488" s="13" t="str">
        <f>IFERROR(__xludf.DUMMYFUNCTION("""COMPUTED_VALUE"""),"M. 16598/ Sukabumi")</f>
        <v>M. 16598/ Sukabumi</v>
      </c>
      <c r="D2488" s="13" t="str">
        <f>IFERROR(__xludf.DUMMYFUNCTION("""COMPUTED_VALUE"""),"K/28/260525/1")</f>
        <v>K/28/260525/1</v>
      </c>
      <c r="E2488" s="14" t="str">
        <f>IFERROR(__xludf.DUMMYFUNCTION("""COMPUTED_VALUE"""),"Heri (BT)")</f>
        <v>Heri (BT)</v>
      </c>
      <c r="F2488" s="14" t="str">
        <f>IFERROR(__xludf.DUMMYFUNCTION("""COMPUTED_VALUE"""),"SELESAI (VIA PERMOHONAN)")</f>
        <v>SELESAI (VIA PERMOHONAN)</v>
      </c>
      <c r="G2488" s="17">
        <f>IFERROR(__xludf.DUMMYFUNCTION("""COMPUTED_VALUE"""),45819.61776692129)</f>
        <v>45819.61777</v>
      </c>
      <c r="H2488" s="14" t="str">
        <f>IFERROR(__xludf.DUMMYFUNCTION("""COMPUTED_VALUE"""),"Eci (SU)")</f>
        <v>Eci (SU)</v>
      </c>
      <c r="I2488" s="13" t="str">
        <f>IFERROR(__xludf.DUMMYFUNCTION("""COMPUTED_VALUE"""),"SELESAI (VIA PERMOHONAN)")</f>
        <v>SELESAI (VIA PERMOHONAN)</v>
      </c>
      <c r="J2488" s="17">
        <f>IFERROR(__xludf.DUMMYFUNCTION("""COMPUTED_VALUE"""),45819.66554710648)</f>
        <v>45819.66555</v>
      </c>
      <c r="K2488" s="13" t="str">
        <f>IFERROR(__xludf.DUMMYFUNCTION("""COMPUTED_VALUE"""),"Selesai")</f>
        <v>Selesai</v>
      </c>
      <c r="L2488" s="17">
        <f>IFERROR(__xludf.DUMMYFUNCTION("""COMPUTED_VALUE"""),45819.66554710648)</f>
        <v>45819.66555</v>
      </c>
      <c r="M2488" s="13"/>
      <c r="N2488" s="13" t="str">
        <f>IFERROR(__xludf.DUMMYFUNCTION("""COMPUTED_VALUE"""),"")</f>
        <v/>
      </c>
      <c r="O2488" s="13" t="str">
        <f t="shared" si="1"/>
        <v/>
      </c>
    </row>
    <row r="2489" ht="22.5" customHeight="1">
      <c r="B2489" s="13">
        <f>IFERROR(__xludf.DUMMYFUNCTION("""COMPUTED_VALUE"""),2484.0)</f>
        <v>2484</v>
      </c>
      <c r="C2489" s="13" t="str">
        <f>IFERROR(__xludf.DUMMYFUNCTION("""COMPUTED_VALUE"""),"M. 3189/ Gedong Air")</f>
        <v>M. 3189/ Gedong Air</v>
      </c>
      <c r="D2489" s="13" t="str">
        <f>IFERROR(__xludf.DUMMYFUNCTION("""COMPUTED_VALUE"""),"K/10/040625/2")</f>
        <v>K/10/040625/2</v>
      </c>
      <c r="E2489" s="14" t="str">
        <f>IFERROR(__xludf.DUMMYFUNCTION("""COMPUTED_VALUE"""),"Heri (BT)")</f>
        <v>Heri (BT)</v>
      </c>
      <c r="F2489" s="14" t="str">
        <f>IFERROR(__xludf.DUMMYFUNCTION("""COMPUTED_VALUE"""),"SELESAI (VIA PERMOHONAN)")</f>
        <v>SELESAI (VIA PERMOHONAN)</v>
      </c>
      <c r="G2489" s="17">
        <f>IFERROR(__xludf.DUMMYFUNCTION("""COMPUTED_VALUE"""),45819.61798313657)</f>
        <v>45819.61798</v>
      </c>
      <c r="H2489" s="14" t="str">
        <f>IFERROR(__xludf.DUMMYFUNCTION("""COMPUTED_VALUE"""),"Eci (SU)")</f>
        <v>Eci (SU)</v>
      </c>
      <c r="I2489" s="13" t="str">
        <f>IFERROR(__xludf.DUMMYFUNCTION("""COMPUTED_VALUE"""),"SELESAI (VIA PERMOHONAN)")</f>
        <v>SELESAI (VIA PERMOHONAN)</v>
      </c>
      <c r="J2489" s="17">
        <f>IFERROR(__xludf.DUMMYFUNCTION("""COMPUTED_VALUE"""),45819.66535776621)</f>
        <v>45819.66536</v>
      </c>
      <c r="K2489" s="13" t="str">
        <f>IFERROR(__xludf.DUMMYFUNCTION("""COMPUTED_VALUE"""),"Selesai")</f>
        <v>Selesai</v>
      </c>
      <c r="L2489" s="17">
        <f>IFERROR(__xludf.DUMMYFUNCTION("""COMPUTED_VALUE"""),45819.66535776621)</f>
        <v>45819.66536</v>
      </c>
      <c r="M2489" s="13"/>
      <c r="N2489" s="13" t="str">
        <f>IFERROR(__xludf.DUMMYFUNCTION("""COMPUTED_VALUE"""),"")</f>
        <v/>
      </c>
      <c r="O2489" s="13" t="str">
        <f t="shared" si="1"/>
        <v/>
      </c>
    </row>
    <row r="2490" ht="22.5" customHeight="1">
      <c r="B2490" s="13">
        <f>IFERROR(__xludf.DUMMYFUNCTION("""COMPUTED_VALUE"""),2485.0)</f>
        <v>2485</v>
      </c>
      <c r="C2490" s="13" t="str">
        <f>IFERROR(__xludf.DUMMYFUNCTION("""COMPUTED_VALUE"""),"M. 2634/ Sukadana Ham")</f>
        <v>M. 2634/ Sukadana Ham</v>
      </c>
      <c r="D2490" s="13" t="str">
        <f>IFERROR(__xludf.DUMMYFUNCTION("""COMPUTED_VALUE"""),"K/39/280525/1")</f>
        <v>K/39/280525/1</v>
      </c>
      <c r="E2490" s="14" t="str">
        <f>IFERROR(__xludf.DUMMYFUNCTION("""COMPUTED_VALUE"""),"Heri (BT)")</f>
        <v>Heri (BT)</v>
      </c>
      <c r="F2490" s="14" t="str">
        <f>IFERROR(__xludf.DUMMYFUNCTION("""COMPUTED_VALUE"""),"SELESAI (VIA PERMOHONAN)")</f>
        <v>SELESAI (VIA PERMOHONAN)</v>
      </c>
      <c r="G2490" s="17">
        <f>IFERROR(__xludf.DUMMYFUNCTION("""COMPUTED_VALUE"""),45819.61808526621)</f>
        <v>45819.61809</v>
      </c>
      <c r="H2490" s="14" t="str">
        <f>IFERROR(__xludf.DUMMYFUNCTION("""COMPUTED_VALUE"""),"Eci (SU)")</f>
        <v>Eci (SU)</v>
      </c>
      <c r="I2490" s="13" t="str">
        <f>IFERROR(__xludf.DUMMYFUNCTION("""COMPUTED_VALUE"""),"SELESAI (VIA PERMOHONAN)")</f>
        <v>SELESAI (VIA PERMOHONAN)</v>
      </c>
      <c r="J2490" s="17">
        <f>IFERROR(__xludf.DUMMYFUNCTION("""COMPUTED_VALUE"""),45820.47162107639)</f>
        <v>45820.47162</v>
      </c>
      <c r="K2490" s="13" t="str">
        <f>IFERROR(__xludf.DUMMYFUNCTION("""COMPUTED_VALUE"""),"Selesai")</f>
        <v>Selesai</v>
      </c>
      <c r="L2490" s="17">
        <f>IFERROR(__xludf.DUMMYFUNCTION("""COMPUTED_VALUE"""),45820.47162107639)</f>
        <v>45820.47162</v>
      </c>
      <c r="M2490" s="13"/>
      <c r="N2490" s="13" t="str">
        <f>IFERROR(__xludf.DUMMYFUNCTION("""COMPUTED_VALUE"""),"")</f>
        <v/>
      </c>
      <c r="O2490" s="13" t="str">
        <f t="shared" si="1"/>
        <v/>
      </c>
    </row>
    <row r="2491" ht="22.5" customHeight="1">
      <c r="B2491" s="13">
        <f>IFERROR(__xludf.DUMMYFUNCTION("""COMPUTED_VALUE"""),2486.0)</f>
        <v>2486</v>
      </c>
      <c r="C2491" s="13" t="str">
        <f>IFERROR(__xludf.DUMMYFUNCTION("""COMPUTED_VALUE"""),"B. 33/ Campang Raya")</f>
        <v>B. 33/ Campang Raya</v>
      </c>
      <c r="D2491" s="13" t="str">
        <f>IFERROR(__xludf.DUMMYFUNCTION("""COMPUTED_VALUE"""),"K/13/050625/2")</f>
        <v>K/13/050625/2</v>
      </c>
      <c r="E2491" s="14" t="str">
        <f>IFERROR(__xludf.DUMMYFUNCTION("""COMPUTED_VALUE"""),"Heri (BT)")</f>
        <v>Heri (BT)</v>
      </c>
      <c r="F2491" s="14" t="str">
        <f>IFERROR(__xludf.DUMMYFUNCTION("""COMPUTED_VALUE"""),"SELESAI (VIA PERMOHONAN)")</f>
        <v>SELESAI (VIA PERMOHONAN)</v>
      </c>
      <c r="G2491" s="17">
        <f>IFERROR(__xludf.DUMMYFUNCTION("""COMPUTED_VALUE"""),45819.61868605324)</f>
        <v>45819.61869</v>
      </c>
      <c r="H2491" s="14" t="str">
        <f>IFERROR(__xludf.DUMMYFUNCTION("""COMPUTED_VALUE"""),"Eci (SU)")</f>
        <v>Eci (SU)</v>
      </c>
      <c r="I2491" s="13" t="str">
        <f>IFERROR(__xludf.DUMMYFUNCTION("""COMPUTED_VALUE"""),"SELESAI (VIA PERMOHONAN)")</f>
        <v>SELESAI (VIA PERMOHONAN)</v>
      </c>
      <c r="J2491" s="17">
        <f>IFERROR(__xludf.DUMMYFUNCTION("""COMPUTED_VALUE"""),45820.47151603009)</f>
        <v>45820.47152</v>
      </c>
      <c r="K2491" s="13" t="str">
        <f>IFERROR(__xludf.DUMMYFUNCTION("""COMPUTED_VALUE"""),"Selesai")</f>
        <v>Selesai</v>
      </c>
      <c r="L2491" s="17">
        <f>IFERROR(__xludf.DUMMYFUNCTION("""COMPUTED_VALUE"""),45820.47151603009)</f>
        <v>45820.47152</v>
      </c>
      <c r="M2491" s="13"/>
      <c r="N2491" s="13" t="str">
        <f>IFERROR(__xludf.DUMMYFUNCTION("""COMPUTED_VALUE"""),"")</f>
        <v/>
      </c>
      <c r="O2491" s="13" t="str">
        <f t="shared" si="1"/>
        <v/>
      </c>
    </row>
    <row r="2492" ht="22.5" customHeight="1">
      <c r="B2492" s="13">
        <f>IFERROR(__xludf.DUMMYFUNCTION("""COMPUTED_VALUE"""),2487.0)</f>
        <v>2487</v>
      </c>
      <c r="C2492" s="13" t="str">
        <f>IFERROR(__xludf.DUMMYFUNCTION("""COMPUTED_VALUE"""),"B. 317/ Pematang Wangi")</f>
        <v>B. 317/ Pematang Wangi</v>
      </c>
      <c r="D2492" s="13" t="str">
        <f>IFERROR(__xludf.DUMMYFUNCTION("""COMPUTED_VALUE"""),"K/6/260525/1")</f>
        <v>K/6/260525/1</v>
      </c>
      <c r="E2492" s="14" t="str">
        <f>IFERROR(__xludf.DUMMYFUNCTION("""COMPUTED_VALUE"""),"Heri (BT)")</f>
        <v>Heri (BT)</v>
      </c>
      <c r="F2492" s="14" t="str">
        <f>IFERROR(__xludf.DUMMYFUNCTION("""COMPUTED_VALUE"""),"SELESAI (VIA PERMOHONAN)")</f>
        <v>SELESAI (VIA PERMOHONAN)</v>
      </c>
      <c r="G2492" s="17">
        <f>IFERROR(__xludf.DUMMYFUNCTION("""COMPUTED_VALUE"""),45819.6187397801)</f>
        <v>45819.61874</v>
      </c>
      <c r="H2492" s="14" t="str">
        <f>IFERROR(__xludf.DUMMYFUNCTION("""COMPUTED_VALUE"""),"Eci (SU)")</f>
        <v>Eci (SU)</v>
      </c>
      <c r="I2492" s="13" t="str">
        <f>IFERROR(__xludf.DUMMYFUNCTION("""COMPUTED_VALUE"""),"SELESAI (VIA PERMOHONAN)")</f>
        <v>SELESAI (VIA PERMOHONAN)</v>
      </c>
      <c r="J2492" s="17">
        <f>IFERROR(__xludf.DUMMYFUNCTION("""COMPUTED_VALUE"""),45819.665003946764)</f>
        <v>45819.665</v>
      </c>
      <c r="K2492" s="13" t="str">
        <f>IFERROR(__xludf.DUMMYFUNCTION("""COMPUTED_VALUE"""),"Selesai")</f>
        <v>Selesai</v>
      </c>
      <c r="L2492" s="17">
        <f>IFERROR(__xludf.DUMMYFUNCTION("""COMPUTED_VALUE"""),45819.665003946764)</f>
        <v>45819.665</v>
      </c>
      <c r="M2492" s="13"/>
      <c r="N2492" s="13" t="str">
        <f>IFERROR(__xludf.DUMMYFUNCTION("""COMPUTED_VALUE"""),"")</f>
        <v/>
      </c>
      <c r="O2492" s="13" t="str">
        <f t="shared" si="1"/>
        <v/>
      </c>
    </row>
    <row r="2493" ht="22.5" customHeight="1">
      <c r="B2493" s="13">
        <f>IFERROR(__xludf.DUMMYFUNCTION("""COMPUTED_VALUE"""),2488.0)</f>
        <v>2488</v>
      </c>
      <c r="C2493" s="13" t="str">
        <f>IFERROR(__xludf.DUMMYFUNCTION("""COMPUTED_VALUE"""),"B. 49/ Gunung Sari")</f>
        <v>B. 49/ Gunung Sari</v>
      </c>
      <c r="D2493" s="13" t="str">
        <f>IFERROR(__xludf.DUMMYFUNCTION("""COMPUTED_VALUE"""),"K/18/230525/1")</f>
        <v>K/18/230525/1</v>
      </c>
      <c r="E2493" s="14" t="str">
        <f>IFERROR(__xludf.DUMMYFUNCTION("""COMPUTED_VALUE"""),"Heri (BT)")</f>
        <v>Heri (BT)</v>
      </c>
      <c r="F2493" s="14" t="str">
        <f>IFERROR(__xludf.DUMMYFUNCTION("""COMPUTED_VALUE"""),"SELESAI (VIA PERMOHONAN)")</f>
        <v>SELESAI (VIA PERMOHONAN)</v>
      </c>
      <c r="G2493" s="17">
        <f>IFERROR(__xludf.DUMMYFUNCTION("""COMPUTED_VALUE"""),45819.61888648148)</f>
        <v>45819.61889</v>
      </c>
      <c r="H2493" s="14" t="str">
        <f>IFERROR(__xludf.DUMMYFUNCTION("""COMPUTED_VALUE"""),"Eci (SU)")</f>
        <v>Eci (SU)</v>
      </c>
      <c r="I2493" s="13" t="str">
        <f>IFERROR(__xludf.DUMMYFUNCTION("""COMPUTED_VALUE"""),"SELESAI (VIA PERMOHONAN)")</f>
        <v>SELESAI (VIA PERMOHONAN)</v>
      </c>
      <c r="J2493" s="17">
        <f>IFERROR(__xludf.DUMMYFUNCTION("""COMPUTED_VALUE"""),45819.66487028935)</f>
        <v>45819.66487</v>
      </c>
      <c r="K2493" s="13" t="str">
        <f>IFERROR(__xludf.DUMMYFUNCTION("""COMPUTED_VALUE"""),"Selesai")</f>
        <v>Selesai</v>
      </c>
      <c r="L2493" s="17">
        <f>IFERROR(__xludf.DUMMYFUNCTION("""COMPUTED_VALUE"""),45819.66487028935)</f>
        <v>45819.66487</v>
      </c>
      <c r="M2493" s="13"/>
      <c r="N2493" s="13" t="str">
        <f>IFERROR(__xludf.DUMMYFUNCTION("""COMPUTED_VALUE"""),"")</f>
        <v/>
      </c>
      <c r="O2493" s="13" t="str">
        <f t="shared" si="1"/>
        <v/>
      </c>
    </row>
    <row r="2494" ht="22.5" customHeight="1">
      <c r="B2494" s="13">
        <f>IFERROR(__xludf.DUMMYFUNCTION("""COMPUTED_VALUE"""),2489.0)</f>
        <v>2489</v>
      </c>
      <c r="C2494" s="13" t="str">
        <f>IFERROR(__xludf.DUMMYFUNCTION("""COMPUTED_VALUE"""),"M. 1287/ Kelapa Tiga")</f>
        <v>M. 1287/ Kelapa Tiga</v>
      </c>
      <c r="D2494" s="13" t="str">
        <f>IFERROR(__xludf.DUMMYFUNCTION("""COMPUTED_VALUE"""),"K/36/210525/1")</f>
        <v>K/36/210525/1</v>
      </c>
      <c r="E2494" s="14" t="str">
        <f>IFERROR(__xludf.DUMMYFUNCTION("""COMPUTED_VALUE"""),"Heri (BT)")</f>
        <v>Heri (BT)</v>
      </c>
      <c r="F2494" s="14" t="str">
        <f>IFERROR(__xludf.DUMMYFUNCTION("""COMPUTED_VALUE"""),"SELESAI (VIA PERMOHONAN)")</f>
        <v>SELESAI (VIA PERMOHONAN)</v>
      </c>
      <c r="G2494" s="17">
        <f>IFERROR(__xludf.DUMMYFUNCTION("""COMPUTED_VALUE"""),45819.619037048615)</f>
        <v>45819.61904</v>
      </c>
      <c r="H2494" s="14" t="str">
        <f>IFERROR(__xludf.DUMMYFUNCTION("""COMPUTED_VALUE"""),"Eci (SU)")</f>
        <v>Eci (SU)</v>
      </c>
      <c r="I2494" s="13" t="str">
        <f>IFERROR(__xludf.DUMMYFUNCTION("""COMPUTED_VALUE"""),"SELESAI (VIA PERMOHONAN)")</f>
        <v>SELESAI (VIA PERMOHONAN)</v>
      </c>
      <c r="J2494" s="17">
        <f>IFERROR(__xludf.DUMMYFUNCTION("""COMPUTED_VALUE"""),45819.66465078703)</f>
        <v>45819.66465</v>
      </c>
      <c r="K2494" s="13" t="str">
        <f>IFERROR(__xludf.DUMMYFUNCTION("""COMPUTED_VALUE"""),"Selesai")</f>
        <v>Selesai</v>
      </c>
      <c r="L2494" s="17">
        <f>IFERROR(__xludf.DUMMYFUNCTION("""COMPUTED_VALUE"""),45819.66465078703)</f>
        <v>45819.66465</v>
      </c>
      <c r="M2494" s="13"/>
      <c r="N2494" s="13" t="str">
        <f>IFERROR(__xludf.DUMMYFUNCTION("""COMPUTED_VALUE"""),"")</f>
        <v/>
      </c>
      <c r="O2494" s="13" t="str">
        <f t="shared" si="1"/>
        <v/>
      </c>
    </row>
    <row r="2495" ht="22.5" customHeight="1">
      <c r="B2495" s="13">
        <f>IFERROR(__xludf.DUMMYFUNCTION("""COMPUTED_VALUE"""),2490.0)</f>
        <v>2490</v>
      </c>
      <c r="C2495" s="13" t="str">
        <f>IFERROR(__xludf.DUMMYFUNCTION("""COMPUTED_VALUE"""),"B. 3225/ Sukabumi")</f>
        <v>B. 3225/ Sukabumi</v>
      </c>
      <c r="D2495" s="13" t="str">
        <f>IFERROR(__xludf.DUMMYFUNCTION("""COMPUTED_VALUE"""),"K/2/150525/1")</f>
        <v>K/2/150525/1</v>
      </c>
      <c r="E2495" s="14" t="str">
        <f>IFERROR(__xludf.DUMMYFUNCTION("""COMPUTED_VALUE"""),"Heri (BT)")</f>
        <v>Heri (BT)</v>
      </c>
      <c r="F2495" s="14" t="str">
        <f>IFERROR(__xludf.DUMMYFUNCTION("""COMPUTED_VALUE"""),"SELESAI (VIA PERMOHONAN)")</f>
        <v>SELESAI (VIA PERMOHONAN)</v>
      </c>
      <c r="G2495" s="17">
        <f>IFERROR(__xludf.DUMMYFUNCTION("""COMPUTED_VALUE"""),45819.61918594908)</f>
        <v>45819.61919</v>
      </c>
      <c r="H2495" s="14" t="str">
        <f>IFERROR(__xludf.DUMMYFUNCTION("""COMPUTED_VALUE"""),"Eci (SU)")</f>
        <v>Eci (SU)</v>
      </c>
      <c r="I2495" s="13" t="str">
        <f>IFERROR(__xludf.DUMMYFUNCTION("""COMPUTED_VALUE"""),"SELESAI (VIA PERMOHONAN)")</f>
        <v>SELESAI (VIA PERMOHONAN)</v>
      </c>
      <c r="J2495" s="17">
        <f>IFERROR(__xludf.DUMMYFUNCTION("""COMPUTED_VALUE"""),45820.47129061342)</f>
        <v>45820.47129</v>
      </c>
      <c r="K2495" s="13" t="str">
        <f>IFERROR(__xludf.DUMMYFUNCTION("""COMPUTED_VALUE"""),"Selesai")</f>
        <v>Selesai</v>
      </c>
      <c r="L2495" s="17">
        <f>IFERROR(__xludf.DUMMYFUNCTION("""COMPUTED_VALUE"""),45820.47129061342)</f>
        <v>45820.47129</v>
      </c>
      <c r="M2495" s="13"/>
      <c r="N2495" s="13" t="str">
        <f>IFERROR(__xludf.DUMMYFUNCTION("""COMPUTED_VALUE"""),"")</f>
        <v/>
      </c>
      <c r="O2495" s="13" t="str">
        <f t="shared" si="1"/>
        <v/>
      </c>
    </row>
    <row r="2496" ht="22.5" customHeight="1">
      <c r="B2496" s="13">
        <f>IFERROR(__xludf.DUMMYFUNCTION("""COMPUTED_VALUE"""),2491.0)</f>
        <v>2491</v>
      </c>
      <c r="C2496" s="13" t="str">
        <f>IFERROR(__xludf.DUMMYFUNCTION("""COMPUTED_VALUE"""),"M. 13357/KEDAMAIAN")</f>
        <v>M. 13357/KEDAMAIAN</v>
      </c>
      <c r="D2496" s="13" t="str">
        <f>IFERROR(__xludf.DUMMYFUNCTION("""COMPUTED_VALUE"""),"K/36/260525/1")</f>
        <v>K/36/260525/1</v>
      </c>
      <c r="E2496" s="14" t="str">
        <f>IFERROR(__xludf.DUMMYFUNCTION("""COMPUTED_VALUE"""),"Heri (BT)")</f>
        <v>Heri (BT)</v>
      </c>
      <c r="F2496" s="14" t="str">
        <f>IFERROR(__xludf.DUMMYFUNCTION("""COMPUTED_VALUE"""),"SELESAI (VIA PERMOHONAN)")</f>
        <v>SELESAI (VIA PERMOHONAN)</v>
      </c>
      <c r="G2496" s="17">
        <f>IFERROR(__xludf.DUMMYFUNCTION("""COMPUTED_VALUE"""),45819.619328877314)</f>
        <v>45819.61933</v>
      </c>
      <c r="H2496" s="14" t="str">
        <f>IFERROR(__xludf.DUMMYFUNCTION("""COMPUTED_VALUE"""),"Eci (SU)")</f>
        <v>Eci (SU)</v>
      </c>
      <c r="I2496" s="13" t="str">
        <f>IFERROR(__xludf.DUMMYFUNCTION("""COMPUTED_VALUE"""),"SELESAI (VIA PERMOHONAN)")</f>
        <v>SELESAI (VIA PERMOHONAN)</v>
      </c>
      <c r="J2496" s="17">
        <f>IFERROR(__xludf.DUMMYFUNCTION("""COMPUTED_VALUE"""),45819.66456160879)</f>
        <v>45819.66456</v>
      </c>
      <c r="K2496" s="13" t="str">
        <f>IFERROR(__xludf.DUMMYFUNCTION("""COMPUTED_VALUE"""),"Selesai")</f>
        <v>Selesai</v>
      </c>
      <c r="L2496" s="17">
        <f>IFERROR(__xludf.DUMMYFUNCTION("""COMPUTED_VALUE"""),45819.66456160879)</f>
        <v>45819.66456</v>
      </c>
      <c r="M2496" s="13"/>
      <c r="N2496" s="13" t="str">
        <f>IFERROR(__xludf.DUMMYFUNCTION("""COMPUTED_VALUE"""),"")</f>
        <v/>
      </c>
      <c r="O2496" s="13" t="str">
        <f t="shared" si="1"/>
        <v/>
      </c>
    </row>
    <row r="2497" ht="22.5" customHeight="1">
      <c r="B2497" s="13">
        <f>IFERROR(__xludf.DUMMYFUNCTION("""COMPUTED_VALUE"""),2492.0)</f>
        <v>2492</v>
      </c>
      <c r="C2497" s="13" t="str">
        <f>IFERROR(__xludf.DUMMYFUNCTION("""COMPUTED_VALUE"""),"M. 334/KORPRI RAYA")</f>
        <v>M. 334/KORPRI RAYA</v>
      </c>
      <c r="D2497" s="13" t="str">
        <f>IFERROR(__xludf.DUMMYFUNCTION("""COMPUTED_VALUE"""),"K/24/270525/1")</f>
        <v>K/24/270525/1</v>
      </c>
      <c r="E2497" s="14" t="str">
        <f>IFERROR(__xludf.DUMMYFUNCTION("""COMPUTED_VALUE"""),"Heri (BT)")</f>
        <v>Heri (BT)</v>
      </c>
      <c r="F2497" s="14" t="str">
        <f>IFERROR(__xludf.DUMMYFUNCTION("""COMPUTED_VALUE"""),"SELESAI (VIA PERMOHONAN)")</f>
        <v>SELESAI (VIA PERMOHONAN)</v>
      </c>
      <c r="G2497" s="17">
        <f>IFERROR(__xludf.DUMMYFUNCTION("""COMPUTED_VALUE"""),45819.619508171294)</f>
        <v>45819.61951</v>
      </c>
      <c r="H2497" s="14" t="str">
        <f>IFERROR(__xludf.DUMMYFUNCTION("""COMPUTED_VALUE"""),"Eci (SU)")</f>
        <v>Eci (SU)</v>
      </c>
      <c r="I2497" s="13" t="str">
        <f>IFERROR(__xludf.DUMMYFUNCTION("""COMPUTED_VALUE"""),"SELESAI (VIA PERMOHONAN)")</f>
        <v>SELESAI (VIA PERMOHONAN)</v>
      </c>
      <c r="J2497" s="17">
        <f>IFERROR(__xludf.DUMMYFUNCTION("""COMPUTED_VALUE"""),45820.471255324075)</f>
        <v>45820.47126</v>
      </c>
      <c r="K2497" s="13" t="str">
        <f>IFERROR(__xludf.DUMMYFUNCTION("""COMPUTED_VALUE"""),"Selesai")</f>
        <v>Selesai</v>
      </c>
      <c r="L2497" s="17">
        <f>IFERROR(__xludf.DUMMYFUNCTION("""COMPUTED_VALUE"""),45820.471255324075)</f>
        <v>45820.47126</v>
      </c>
      <c r="M2497" s="13"/>
      <c r="N2497" s="13" t="str">
        <f>IFERROR(__xludf.DUMMYFUNCTION("""COMPUTED_VALUE"""),"")</f>
        <v/>
      </c>
      <c r="O2497" s="13" t="str">
        <f t="shared" si="1"/>
        <v/>
      </c>
    </row>
    <row r="2498" ht="22.5" customHeight="1">
      <c r="B2498" s="13">
        <f>IFERROR(__xludf.DUMMYFUNCTION("""COMPUTED_VALUE"""),2493.0)</f>
        <v>2493</v>
      </c>
      <c r="C2498" s="13" t="str">
        <f>IFERROR(__xludf.DUMMYFUNCTION("""COMPUTED_VALUE"""),"M. 1147/PELITA")</f>
        <v>M. 1147/PELITA</v>
      </c>
      <c r="D2498" s="13" t="str">
        <f>IFERROR(__xludf.DUMMYFUNCTION("""COMPUTED_VALUE"""),"K/52/050625/2")</f>
        <v>K/52/050625/2</v>
      </c>
      <c r="E2498" s="14" t="str">
        <f>IFERROR(__xludf.DUMMYFUNCTION("""COMPUTED_VALUE"""),"Heri (BT)")</f>
        <v>Heri (BT)</v>
      </c>
      <c r="F2498" s="14" t="str">
        <f>IFERROR(__xludf.DUMMYFUNCTION("""COMPUTED_VALUE"""),"SELESAI (VIA PERMOHONAN)")</f>
        <v>SELESAI (VIA PERMOHONAN)</v>
      </c>
      <c r="G2498" s="17">
        <f>IFERROR(__xludf.DUMMYFUNCTION("""COMPUTED_VALUE"""),45819.61976645833)</f>
        <v>45819.61977</v>
      </c>
      <c r="H2498" s="14" t="str">
        <f>IFERROR(__xludf.DUMMYFUNCTION("""COMPUTED_VALUE"""),"Eci (SU)")</f>
        <v>Eci (SU)</v>
      </c>
      <c r="I2498" s="13" t="str">
        <f>IFERROR(__xludf.DUMMYFUNCTION("""COMPUTED_VALUE"""),"SELESAI (VIA PERMOHONAN)")</f>
        <v>SELESAI (VIA PERMOHONAN)</v>
      </c>
      <c r="J2498" s="17">
        <f>IFERROR(__xludf.DUMMYFUNCTION("""COMPUTED_VALUE"""),45820.474464432875)</f>
        <v>45820.47446</v>
      </c>
      <c r="K2498" s="13" t="str">
        <f>IFERROR(__xludf.DUMMYFUNCTION("""COMPUTED_VALUE"""),"Selesai")</f>
        <v>Selesai</v>
      </c>
      <c r="L2498" s="17">
        <f>IFERROR(__xludf.DUMMYFUNCTION("""COMPUTED_VALUE"""),45820.474464432875)</f>
        <v>45820.47446</v>
      </c>
      <c r="M2498" s="13"/>
      <c r="N2498" s="13" t="str">
        <f>IFERROR(__xludf.DUMMYFUNCTION("""COMPUTED_VALUE"""),"")</f>
        <v/>
      </c>
      <c r="O2498" s="13" t="str">
        <f t="shared" si="1"/>
        <v/>
      </c>
    </row>
    <row r="2499" ht="22.5" customHeight="1">
      <c r="B2499" s="13">
        <f>IFERROR(__xludf.DUMMYFUNCTION("""COMPUTED_VALUE"""),2494.0)</f>
        <v>2494</v>
      </c>
      <c r="C2499" s="13" t="str">
        <f>IFERROR(__xludf.DUMMYFUNCTION("""COMPUTED_VALUE"""),"M. 4523/ Sukadana Ham")</f>
        <v>M. 4523/ Sukadana Ham</v>
      </c>
      <c r="D2499" s="13" t="str">
        <f>IFERROR(__xludf.DUMMYFUNCTION("""COMPUTED_VALUE"""),"K/35/040625/1")</f>
        <v>K/35/040625/1</v>
      </c>
      <c r="E2499" s="14" t="str">
        <f>IFERROR(__xludf.DUMMYFUNCTION("""COMPUTED_VALUE"""),"Heri (BT)")</f>
        <v>Heri (BT)</v>
      </c>
      <c r="F2499" s="14" t="str">
        <f>IFERROR(__xludf.DUMMYFUNCTION("""COMPUTED_VALUE"""),"SELESAI (VIA PERMOHONAN)")</f>
        <v>SELESAI (VIA PERMOHONAN)</v>
      </c>
      <c r="G2499" s="17">
        <f>IFERROR(__xludf.DUMMYFUNCTION("""COMPUTED_VALUE"""),45819.619918854165)</f>
        <v>45819.61992</v>
      </c>
      <c r="H2499" s="14" t="str">
        <f>IFERROR(__xludf.DUMMYFUNCTION("""COMPUTED_VALUE"""),"Eci (SU)")</f>
        <v>Eci (SU)</v>
      </c>
      <c r="I2499" s="13" t="str">
        <f>IFERROR(__xludf.DUMMYFUNCTION("""COMPUTED_VALUE"""),"SELESAI (VIA PERMOHONAN)")</f>
        <v>SELESAI (VIA PERMOHONAN)</v>
      </c>
      <c r="J2499" s="17">
        <f>IFERROR(__xludf.DUMMYFUNCTION("""COMPUTED_VALUE"""),45819.66430815972)</f>
        <v>45819.66431</v>
      </c>
      <c r="K2499" s="13" t="str">
        <f>IFERROR(__xludf.DUMMYFUNCTION("""COMPUTED_VALUE"""),"Selesai")</f>
        <v>Selesai</v>
      </c>
      <c r="L2499" s="17">
        <f>IFERROR(__xludf.DUMMYFUNCTION("""COMPUTED_VALUE"""),45819.66430815972)</f>
        <v>45819.66431</v>
      </c>
      <c r="M2499" s="13"/>
      <c r="N2499" s="13" t="str">
        <f>IFERROR(__xludf.DUMMYFUNCTION("""COMPUTED_VALUE"""),"")</f>
        <v/>
      </c>
      <c r="O2499" s="13" t="str">
        <f t="shared" si="1"/>
        <v/>
      </c>
    </row>
    <row r="2500" ht="22.5" customHeight="1">
      <c r="B2500" s="13">
        <f>IFERROR(__xludf.DUMMYFUNCTION("""COMPUTED_VALUE"""),2495.0)</f>
        <v>2495</v>
      </c>
      <c r="C2500" s="13" t="str">
        <f>IFERROR(__xludf.DUMMYFUNCTION("""COMPUTED_VALUE"""),"M. 1541/SUKABUMI INDAH")</f>
        <v>M. 1541/SUKABUMI INDAH</v>
      </c>
      <c r="D2500" s="13" t="str">
        <f>IFERROR(__xludf.DUMMYFUNCTION("""COMPUTED_VALUE"""),"K/7/040625/1")</f>
        <v>K/7/040625/1</v>
      </c>
      <c r="E2500" s="14" t="str">
        <f>IFERROR(__xludf.DUMMYFUNCTION("""COMPUTED_VALUE"""),"Heri (BT)")</f>
        <v>Heri (BT)</v>
      </c>
      <c r="F2500" s="14" t="str">
        <f>IFERROR(__xludf.DUMMYFUNCTION("""COMPUTED_VALUE"""),"SELESAI (VIA PERMOHONAN)")</f>
        <v>SELESAI (VIA PERMOHONAN)</v>
      </c>
      <c r="G2500" s="17">
        <f>IFERROR(__xludf.DUMMYFUNCTION("""COMPUTED_VALUE"""),45819.62023972222)</f>
        <v>45819.62024</v>
      </c>
      <c r="H2500" s="14" t="str">
        <f>IFERROR(__xludf.DUMMYFUNCTION("""COMPUTED_VALUE"""),"Eci (SU)")</f>
        <v>Eci (SU)</v>
      </c>
      <c r="I2500" s="13" t="str">
        <f>IFERROR(__xludf.DUMMYFUNCTION("""COMPUTED_VALUE"""),"SELESAI (VIA PERMOHONAN)")</f>
        <v>SELESAI (VIA PERMOHONAN)</v>
      </c>
      <c r="J2500" s="17">
        <f>IFERROR(__xludf.DUMMYFUNCTION("""COMPUTED_VALUE"""),45820.47115033565)</f>
        <v>45820.47115</v>
      </c>
      <c r="K2500" s="13" t="str">
        <f>IFERROR(__xludf.DUMMYFUNCTION("""COMPUTED_VALUE"""),"Selesai")</f>
        <v>Selesai</v>
      </c>
      <c r="L2500" s="17">
        <f>IFERROR(__xludf.DUMMYFUNCTION("""COMPUTED_VALUE"""),45820.47115033565)</f>
        <v>45820.47115</v>
      </c>
      <c r="M2500" s="13"/>
      <c r="N2500" s="13" t="str">
        <f>IFERROR(__xludf.DUMMYFUNCTION("""COMPUTED_VALUE"""),"")</f>
        <v/>
      </c>
      <c r="O2500" s="13" t="str">
        <f t="shared" si="1"/>
        <v/>
      </c>
    </row>
    <row r="2501" ht="22.5" customHeight="1">
      <c r="B2501" s="13">
        <f>IFERROR(__xludf.DUMMYFUNCTION("""COMPUTED_VALUE"""),2496.0)</f>
        <v>2496</v>
      </c>
      <c r="C2501" s="13" t="str">
        <f>IFERROR(__xludf.DUMMYFUNCTION("""COMPUTED_VALUE"""),"M. 1119/KORPRI JAYA")</f>
        <v>M. 1119/KORPRI JAYA</v>
      </c>
      <c r="D2501" s="13" t="str">
        <f>IFERROR(__xludf.DUMMYFUNCTION("""COMPUTED_VALUE"""),"K/19/280425/1")</f>
        <v>K/19/280425/1</v>
      </c>
      <c r="E2501" s="14" t="str">
        <f>IFERROR(__xludf.DUMMYFUNCTION("""COMPUTED_VALUE"""),"Heri (BT)")</f>
        <v>Heri (BT)</v>
      </c>
      <c r="F2501" s="14" t="str">
        <f>IFERROR(__xludf.DUMMYFUNCTION("""COMPUTED_VALUE"""),"SELESAI (VIA PERMOHONAN)")</f>
        <v>SELESAI (VIA PERMOHONAN)</v>
      </c>
      <c r="G2501" s="17">
        <f>IFERROR(__xludf.DUMMYFUNCTION("""COMPUTED_VALUE"""),45819.620294479166)</f>
        <v>45819.62029</v>
      </c>
      <c r="H2501" s="14" t="str">
        <f>IFERROR(__xludf.DUMMYFUNCTION("""COMPUTED_VALUE"""),"Eci (SU)")</f>
        <v>Eci (SU)</v>
      </c>
      <c r="I2501" s="13" t="str">
        <f>IFERROR(__xludf.DUMMYFUNCTION("""COMPUTED_VALUE"""),"SELESAI (VIA PERMOHONAN)")</f>
        <v>SELESAI (VIA PERMOHONAN)</v>
      </c>
      <c r="J2501" s="17">
        <f>IFERROR(__xludf.DUMMYFUNCTION("""COMPUTED_VALUE"""),45820.599243310186)</f>
        <v>45820.59924</v>
      </c>
      <c r="K2501" s="13" t="str">
        <f>IFERROR(__xludf.DUMMYFUNCTION("""COMPUTED_VALUE"""),"Selesai")</f>
        <v>Selesai</v>
      </c>
      <c r="L2501" s="17">
        <f>IFERROR(__xludf.DUMMYFUNCTION("""COMPUTED_VALUE"""),45820.599243310186)</f>
        <v>45820.59924</v>
      </c>
      <c r="M2501" s="13"/>
      <c r="N2501" s="13" t="str">
        <f>IFERROR(__xludf.DUMMYFUNCTION("""COMPUTED_VALUE"""),"")</f>
        <v/>
      </c>
      <c r="O2501" s="13" t="str">
        <f t="shared" si="1"/>
        <v/>
      </c>
    </row>
    <row r="2502" ht="22.5" customHeight="1">
      <c r="B2502" s="13">
        <f>IFERROR(__xludf.DUMMYFUNCTION("""COMPUTED_VALUE"""),2497.0)</f>
        <v>2497</v>
      </c>
      <c r="C2502" s="13" t="str">
        <f>IFERROR(__xludf.DUMMYFUNCTION("""COMPUTED_VALUE"""),"M. 15419/SUKABUMI")</f>
        <v>M. 15419/SUKABUMI</v>
      </c>
      <c r="D2502" s="13" t="str">
        <f>IFERROR(__xludf.DUMMYFUNCTION("""COMPUTED_VALUE"""),"K/18/150425/1")</f>
        <v>K/18/150425/1</v>
      </c>
      <c r="E2502" s="14" t="str">
        <f>IFERROR(__xludf.DUMMYFUNCTION("""COMPUTED_VALUE"""),"Heri (BT)")</f>
        <v>Heri (BT)</v>
      </c>
      <c r="F2502" s="14" t="str">
        <f>IFERROR(__xludf.DUMMYFUNCTION("""COMPUTED_VALUE"""),"SELESAI (VIA PERMOHONAN)")</f>
        <v>SELESAI (VIA PERMOHONAN)</v>
      </c>
      <c r="G2502" s="17">
        <f>IFERROR(__xludf.DUMMYFUNCTION("""COMPUTED_VALUE"""),45819.62048201389)</f>
        <v>45819.62048</v>
      </c>
      <c r="H2502" s="14" t="str">
        <f>IFERROR(__xludf.DUMMYFUNCTION("""COMPUTED_VALUE"""),"Eci (SU)")</f>
        <v>Eci (SU)</v>
      </c>
      <c r="I2502" s="13" t="str">
        <f>IFERROR(__xludf.DUMMYFUNCTION("""COMPUTED_VALUE"""),"SELESAI (VIA PERMOHONAN)")</f>
        <v>SELESAI (VIA PERMOHONAN)</v>
      </c>
      <c r="J2502" s="17">
        <f>IFERROR(__xludf.DUMMYFUNCTION("""COMPUTED_VALUE"""),45819.65927101852)</f>
        <v>45819.65927</v>
      </c>
      <c r="K2502" s="13" t="str">
        <f>IFERROR(__xludf.DUMMYFUNCTION("""COMPUTED_VALUE"""),"Selesai")</f>
        <v>Selesai</v>
      </c>
      <c r="L2502" s="17">
        <f>IFERROR(__xludf.DUMMYFUNCTION("""COMPUTED_VALUE"""),45819.65927101852)</f>
        <v>45819.65927</v>
      </c>
      <c r="M2502" s="13"/>
      <c r="N2502" s="13" t="str">
        <f>IFERROR(__xludf.DUMMYFUNCTION("""COMPUTED_VALUE"""),"")</f>
        <v/>
      </c>
      <c r="O2502" s="13" t="str">
        <f t="shared" si="1"/>
        <v/>
      </c>
    </row>
    <row r="2503" ht="22.5" customHeight="1">
      <c r="B2503" s="13">
        <f>IFERROR(__xludf.DUMMYFUNCTION("""COMPUTED_VALUE"""),2498.0)</f>
        <v>2498</v>
      </c>
      <c r="C2503" s="13" t="str">
        <f>IFERROR(__xludf.DUMMYFUNCTION("""COMPUTED_VALUE"""),"M.1145/SUMBERREJO SEJAHTERA")</f>
        <v>M.1145/SUMBERREJO SEJAHTERA</v>
      </c>
      <c r="D2503" s="13" t="str">
        <f>IFERROR(__xludf.DUMMYFUNCTION("""COMPUTED_VALUE"""),"K/11/270525/2")</f>
        <v>K/11/270525/2</v>
      </c>
      <c r="E2503" s="14" t="str">
        <f>IFERROR(__xludf.DUMMYFUNCTION("""COMPUTED_VALUE"""),"Heri (BT)")</f>
        <v>Heri (BT)</v>
      </c>
      <c r="F2503" s="14" t="str">
        <f>IFERROR(__xludf.DUMMYFUNCTION("""COMPUTED_VALUE"""),"SELESAI (VIA PERMOHONAN)")</f>
        <v>SELESAI (VIA PERMOHONAN)</v>
      </c>
      <c r="G2503" s="17">
        <f>IFERROR(__xludf.DUMMYFUNCTION("""COMPUTED_VALUE"""),45820.57062746528)</f>
        <v>45820.57063</v>
      </c>
      <c r="H2503" s="14" t="str">
        <f>IFERROR(__xludf.DUMMYFUNCTION("""COMPUTED_VALUE"""),"Eci (SU)")</f>
        <v>Eci (SU)</v>
      </c>
      <c r="I2503" s="13" t="str">
        <f>IFERROR(__xludf.DUMMYFUNCTION("""COMPUTED_VALUE"""),"SELESAI (VIA PERMOHONAN)")</f>
        <v>SELESAI (VIA PERMOHONAN)</v>
      </c>
      <c r="J2503" s="17">
        <f>IFERROR(__xludf.DUMMYFUNCTION("""COMPUTED_VALUE"""),45820.667030462966)</f>
        <v>45820.66703</v>
      </c>
      <c r="K2503" s="13" t="str">
        <f>IFERROR(__xludf.DUMMYFUNCTION("""COMPUTED_VALUE"""),"Selesai")</f>
        <v>Selesai</v>
      </c>
      <c r="L2503" s="17">
        <f>IFERROR(__xludf.DUMMYFUNCTION("""COMPUTED_VALUE"""),45820.667030462966)</f>
        <v>45820.66703</v>
      </c>
      <c r="M2503" s="13"/>
      <c r="N2503" s="13" t="str">
        <f>IFERROR(__xludf.DUMMYFUNCTION("""COMPUTED_VALUE"""),"")</f>
        <v/>
      </c>
      <c r="O2503" s="13" t="str">
        <f t="shared" si="1"/>
        <v/>
      </c>
    </row>
    <row r="2504" ht="22.5" customHeight="1">
      <c r="B2504" s="13">
        <f>IFERROR(__xludf.DUMMYFUNCTION("""COMPUTED_VALUE"""),2499.0)</f>
        <v>2499</v>
      </c>
      <c r="C2504" s="13" t="str">
        <f>IFERROR(__xludf.DUMMYFUNCTION("""COMPUTED_VALUE"""),"M. 3657/LANGKAPURA")</f>
        <v>M. 3657/LANGKAPURA</v>
      </c>
      <c r="D2504" s="13" t="str">
        <f>IFERROR(__xludf.DUMMYFUNCTION("""COMPUTED_VALUE"""),"K/35/220525/1")</f>
        <v>K/35/220525/1</v>
      </c>
      <c r="E2504" s="14" t="str">
        <f>IFERROR(__xludf.DUMMYFUNCTION("""COMPUTED_VALUE"""),"Heri (BT)")</f>
        <v>Heri (BT)</v>
      </c>
      <c r="F2504" s="14" t="str">
        <f>IFERROR(__xludf.DUMMYFUNCTION("""COMPUTED_VALUE"""),"SELESAI (VIA PERMOHONAN)")</f>
        <v>SELESAI (VIA PERMOHONAN)</v>
      </c>
      <c r="G2504" s="17">
        <f>IFERROR(__xludf.DUMMYFUNCTION("""COMPUTED_VALUE"""),45820.57161190972)</f>
        <v>45820.57161</v>
      </c>
      <c r="H2504" s="14" t="str">
        <f>IFERROR(__xludf.DUMMYFUNCTION("""COMPUTED_VALUE"""),"Eci (SU)")</f>
        <v>Eci (SU)</v>
      </c>
      <c r="I2504" s="13" t="str">
        <f>IFERROR(__xludf.DUMMYFUNCTION("""COMPUTED_VALUE"""),"SELESAI (VIA PERMOHONAN)")</f>
        <v>SELESAI (VIA PERMOHONAN)</v>
      </c>
      <c r="J2504" s="17">
        <f>IFERROR(__xludf.DUMMYFUNCTION("""COMPUTED_VALUE"""),45820.66736228009)</f>
        <v>45820.66736</v>
      </c>
      <c r="K2504" s="13" t="str">
        <f>IFERROR(__xludf.DUMMYFUNCTION("""COMPUTED_VALUE"""),"Selesai")</f>
        <v>Selesai</v>
      </c>
      <c r="L2504" s="17">
        <f>IFERROR(__xludf.DUMMYFUNCTION("""COMPUTED_VALUE"""),45820.66736228009)</f>
        <v>45820.66736</v>
      </c>
      <c r="M2504" s="13"/>
      <c r="N2504" s="13" t="str">
        <f>IFERROR(__xludf.DUMMYFUNCTION("""COMPUTED_VALUE"""),"")</f>
        <v/>
      </c>
      <c r="O2504" s="13" t="str">
        <f t="shared" si="1"/>
        <v/>
      </c>
    </row>
    <row r="2505" ht="22.5" customHeight="1">
      <c r="B2505" s="13">
        <f>IFERROR(__xludf.DUMMYFUNCTION("""COMPUTED_VALUE"""),2500.0)</f>
        <v>2500</v>
      </c>
      <c r="C2505" s="13" t="str">
        <f>IFERROR(__xludf.DUMMYFUNCTION("""COMPUTED_VALUE"""),"B.34/LANGKAPURA BARU")</f>
        <v>B.34/LANGKAPURA BARU</v>
      </c>
      <c r="D2505" s="13" t="str">
        <f>IFERROR(__xludf.DUMMYFUNCTION("""COMPUTED_VALUE"""),"K/31/220525/1")</f>
        <v>K/31/220525/1</v>
      </c>
      <c r="E2505" s="14" t="str">
        <f>IFERROR(__xludf.DUMMYFUNCTION("""COMPUTED_VALUE"""),"Heri (BT)")</f>
        <v>Heri (BT)</v>
      </c>
      <c r="F2505" s="14" t="str">
        <f>IFERROR(__xludf.DUMMYFUNCTION("""COMPUTED_VALUE"""),"SELESAI (VIA PERMOHONAN)")</f>
        <v>SELESAI (VIA PERMOHONAN)</v>
      </c>
      <c r="G2505" s="17">
        <f>IFERROR(__xludf.DUMMYFUNCTION("""COMPUTED_VALUE"""),45820.57247755787)</f>
        <v>45820.57248</v>
      </c>
      <c r="H2505" s="14" t="str">
        <f>IFERROR(__xludf.DUMMYFUNCTION("""COMPUTED_VALUE"""),"Eci (SU)")</f>
        <v>Eci (SU)</v>
      </c>
      <c r="I2505" s="13" t="str">
        <f>IFERROR(__xludf.DUMMYFUNCTION("""COMPUTED_VALUE"""),"SELESAI (VIA PERMOHONAN)")</f>
        <v>SELESAI (VIA PERMOHONAN)</v>
      </c>
      <c r="J2505" s="17">
        <f>IFERROR(__xludf.DUMMYFUNCTION("""COMPUTED_VALUE"""),45820.6696338426)</f>
        <v>45820.66963</v>
      </c>
      <c r="K2505" s="13" t="str">
        <f>IFERROR(__xludf.DUMMYFUNCTION("""COMPUTED_VALUE"""),"Selesai")</f>
        <v>Selesai</v>
      </c>
      <c r="L2505" s="17">
        <f>IFERROR(__xludf.DUMMYFUNCTION("""COMPUTED_VALUE"""),45820.6696338426)</f>
        <v>45820.66963</v>
      </c>
      <c r="M2505" s="13"/>
      <c r="N2505" s="13" t="str">
        <f>IFERROR(__xludf.DUMMYFUNCTION("""COMPUTED_VALUE"""),"")</f>
        <v/>
      </c>
      <c r="O2505" s="13" t="str">
        <f t="shared" si="1"/>
        <v/>
      </c>
    </row>
    <row r="2506" ht="22.5" customHeight="1">
      <c r="B2506" s="13">
        <f>IFERROR(__xludf.DUMMYFUNCTION("""COMPUTED_VALUE"""),2501.0)</f>
        <v>2501</v>
      </c>
      <c r="C2506" s="13" t="str">
        <f>IFERROR(__xludf.DUMMYFUNCTION("""COMPUTED_VALUE"""),"M. 14968/ Sukarame")</f>
        <v>M. 14968/ Sukarame</v>
      </c>
      <c r="D2506" s="13" t="str">
        <f>IFERROR(__xludf.DUMMYFUNCTION("""COMPUTED_VALUE"""),"K/9/160525/4")</f>
        <v>K/9/160525/4</v>
      </c>
      <c r="E2506" s="14" t="str">
        <f>IFERROR(__xludf.DUMMYFUNCTION("""COMPUTED_VALUE"""),"Afriza (BT)")</f>
        <v>Afriza (BT)</v>
      </c>
      <c r="F2506" s="14" t="str">
        <f>IFERROR(__xludf.DUMMYFUNCTION("""COMPUTED_VALUE"""),"SELESAI (VIA PERMOHONAN)")</f>
        <v>SELESAI (VIA PERMOHONAN)</v>
      </c>
      <c r="G2506" s="17">
        <f>IFERROR(__xludf.DUMMYFUNCTION("""COMPUTED_VALUE"""),45820.57274491898)</f>
        <v>45820.57274</v>
      </c>
      <c r="H2506" s="14" t="str">
        <f>IFERROR(__xludf.DUMMYFUNCTION("""COMPUTED_VALUE"""),"Eci (SU)")</f>
        <v>Eci (SU)</v>
      </c>
      <c r="I2506" s="13" t="str">
        <f>IFERROR(__xludf.DUMMYFUNCTION("""COMPUTED_VALUE"""),"SELESAI (VIA PERMOHONAN)")</f>
        <v>SELESAI (VIA PERMOHONAN)</v>
      </c>
      <c r="J2506" s="17">
        <f>IFERROR(__xludf.DUMMYFUNCTION("""COMPUTED_VALUE"""),45820.66668917824)</f>
        <v>45820.66669</v>
      </c>
      <c r="K2506" s="13" t="str">
        <f>IFERROR(__xludf.DUMMYFUNCTION("""COMPUTED_VALUE"""),"Selesai")</f>
        <v>Selesai</v>
      </c>
      <c r="L2506" s="17">
        <f>IFERROR(__xludf.DUMMYFUNCTION("""COMPUTED_VALUE"""),45820.66668917824)</f>
        <v>45820.66669</v>
      </c>
      <c r="M2506" s="13"/>
      <c r="N2506" s="13" t="str">
        <f>IFERROR(__xludf.DUMMYFUNCTION("""COMPUTED_VALUE"""),"")</f>
        <v/>
      </c>
      <c r="O2506" s="13" t="str">
        <f t="shared" si="1"/>
        <v/>
      </c>
    </row>
    <row r="2507" ht="22.5" customHeight="1">
      <c r="B2507" s="13">
        <f>IFERROR(__xludf.DUMMYFUNCTION("""COMPUTED_VALUE"""),2502.0)</f>
        <v>2502</v>
      </c>
      <c r="C2507" s="13" t="str">
        <f>IFERROR(__xludf.DUMMYFUNCTION("""COMPUTED_VALUE"""),"B.2179/SUKARAME I")</f>
        <v>B.2179/SUKARAME I</v>
      </c>
      <c r="D2507" s="13" t="str">
        <f>IFERROR(__xludf.DUMMYFUNCTION("""COMPUTED_VALUE"""),"K/11/040625/1")</f>
        <v>K/11/040625/1</v>
      </c>
      <c r="E2507" s="14" t="str">
        <f>IFERROR(__xludf.DUMMYFUNCTION("""COMPUTED_VALUE"""),"Afriza (BT)")</f>
        <v>Afriza (BT)</v>
      </c>
      <c r="F2507" s="14" t="str">
        <f>IFERROR(__xludf.DUMMYFUNCTION("""COMPUTED_VALUE"""),"SELESAI (VIA PERMOHONAN)")</f>
        <v>SELESAI (VIA PERMOHONAN)</v>
      </c>
      <c r="G2507" s="17">
        <f>IFERROR(__xludf.DUMMYFUNCTION("""COMPUTED_VALUE"""),45820.572830590274)</f>
        <v>45820.57283</v>
      </c>
      <c r="H2507" s="14" t="str">
        <f>IFERROR(__xludf.DUMMYFUNCTION("""COMPUTED_VALUE"""),"Eci (SU)")</f>
        <v>Eci (SU)</v>
      </c>
      <c r="I2507" s="13" t="str">
        <f>IFERROR(__xludf.DUMMYFUNCTION("""COMPUTED_VALUE"""),"SELESAI (VIA PERMOHONAN)")</f>
        <v>SELESAI (VIA PERMOHONAN)</v>
      </c>
      <c r="J2507" s="17">
        <f>IFERROR(__xludf.DUMMYFUNCTION("""COMPUTED_VALUE"""),45820.667459641205)</f>
        <v>45820.66746</v>
      </c>
      <c r="K2507" s="13" t="str">
        <f>IFERROR(__xludf.DUMMYFUNCTION("""COMPUTED_VALUE"""),"Selesai")</f>
        <v>Selesai</v>
      </c>
      <c r="L2507" s="17">
        <f>IFERROR(__xludf.DUMMYFUNCTION("""COMPUTED_VALUE"""),45820.667459641205)</f>
        <v>45820.66746</v>
      </c>
      <c r="M2507" s="13"/>
      <c r="N2507" s="13" t="str">
        <f>IFERROR(__xludf.DUMMYFUNCTION("""COMPUTED_VALUE"""),"")</f>
        <v/>
      </c>
      <c r="O2507" s="13" t="str">
        <f t="shared" si="1"/>
        <v/>
      </c>
    </row>
    <row r="2508" ht="22.5" customHeight="1">
      <c r="B2508" s="13">
        <f>IFERROR(__xludf.DUMMYFUNCTION("""COMPUTED_VALUE"""),2503.0)</f>
        <v>2503</v>
      </c>
      <c r="C2508" s="13" t="str">
        <f>IFERROR(__xludf.DUMMYFUNCTION("""COMPUTED_VALUE"""),"B. 2984/ Sukanumi")</f>
        <v>B. 2984/ Sukanumi</v>
      </c>
      <c r="D2508" s="13" t="str">
        <f>IFERROR(__xludf.DUMMYFUNCTION("""COMPUTED_VALUE"""),"K/40/220525/1")</f>
        <v>K/40/220525/1</v>
      </c>
      <c r="E2508" s="14" t="str">
        <f>IFERROR(__xludf.DUMMYFUNCTION("""COMPUTED_VALUE"""),"Afriza (BT)")</f>
        <v>Afriza (BT)</v>
      </c>
      <c r="F2508" s="14" t="str">
        <f>IFERROR(__xludf.DUMMYFUNCTION("""COMPUTED_VALUE"""),"SELESAI (VIA PERMOHONAN)")</f>
        <v>SELESAI (VIA PERMOHONAN)</v>
      </c>
      <c r="G2508" s="17">
        <f>IFERROR(__xludf.DUMMYFUNCTION("""COMPUTED_VALUE"""),45820.57290759259)</f>
        <v>45820.57291</v>
      </c>
      <c r="H2508" s="14" t="str">
        <f>IFERROR(__xludf.DUMMYFUNCTION("""COMPUTED_VALUE"""),"Eci (SU)")</f>
        <v>Eci (SU)</v>
      </c>
      <c r="I2508" s="13" t="str">
        <f>IFERROR(__xludf.DUMMYFUNCTION("""COMPUTED_VALUE"""),"SELESAI (VIA PERMOHONAN)")</f>
        <v>SELESAI (VIA PERMOHONAN)</v>
      </c>
      <c r="J2508" s="17">
        <f>IFERROR(__xludf.DUMMYFUNCTION("""COMPUTED_VALUE"""),45820.667534733795)</f>
        <v>45820.66753</v>
      </c>
      <c r="K2508" s="13" t="str">
        <f>IFERROR(__xludf.DUMMYFUNCTION("""COMPUTED_VALUE"""),"Selesai")</f>
        <v>Selesai</v>
      </c>
      <c r="L2508" s="17">
        <f>IFERROR(__xludf.DUMMYFUNCTION("""COMPUTED_VALUE"""),45820.667534733795)</f>
        <v>45820.66753</v>
      </c>
      <c r="M2508" s="13"/>
      <c r="N2508" s="13" t="str">
        <f>IFERROR(__xludf.DUMMYFUNCTION("""COMPUTED_VALUE"""),"")</f>
        <v/>
      </c>
      <c r="O2508" s="13" t="str">
        <f t="shared" si="1"/>
        <v/>
      </c>
    </row>
    <row r="2509" ht="22.5" customHeight="1">
      <c r="B2509" s="13">
        <f>IFERROR(__xludf.DUMMYFUNCTION("""COMPUTED_VALUE"""),2504.0)</f>
        <v>2504</v>
      </c>
      <c r="C2509" s="13" t="str">
        <f>IFERROR(__xludf.DUMMYFUNCTION("""COMPUTED_VALUE"""),"M. 617/ Pahoman")</f>
        <v>M. 617/ Pahoman</v>
      </c>
      <c r="D2509" s="13" t="str">
        <f>IFERROR(__xludf.DUMMYFUNCTION("""COMPUTED_VALUE"""),"K/2/200525/1")</f>
        <v>K/2/200525/1</v>
      </c>
      <c r="E2509" s="14" t="str">
        <f>IFERROR(__xludf.DUMMYFUNCTION("""COMPUTED_VALUE"""),"Afriza (BT)")</f>
        <v>Afriza (BT)</v>
      </c>
      <c r="F2509" s="14" t="str">
        <f>IFERROR(__xludf.DUMMYFUNCTION("""COMPUTED_VALUE"""),"SELESAI (VIA PERMOHONAN)")</f>
        <v>SELESAI (VIA PERMOHONAN)</v>
      </c>
      <c r="G2509" s="17">
        <f>IFERROR(__xludf.DUMMYFUNCTION("""COMPUTED_VALUE"""),45820.572993090274)</f>
        <v>45820.57299</v>
      </c>
      <c r="H2509" s="14" t="str">
        <f>IFERROR(__xludf.DUMMYFUNCTION("""COMPUTED_VALUE"""),"Eci (SU)")</f>
        <v>Eci (SU)</v>
      </c>
      <c r="I2509" s="13" t="str">
        <f>IFERROR(__xludf.DUMMYFUNCTION("""COMPUTED_VALUE"""),"SELESAI (VIA PERMOHONAN)")</f>
        <v>SELESAI (VIA PERMOHONAN)</v>
      </c>
      <c r="J2509" s="17">
        <f>IFERROR(__xludf.DUMMYFUNCTION("""COMPUTED_VALUE"""),45820.66659635417)</f>
        <v>45820.6666</v>
      </c>
      <c r="K2509" s="13" t="str">
        <f>IFERROR(__xludf.DUMMYFUNCTION("""COMPUTED_VALUE"""),"Selesai")</f>
        <v>Selesai</v>
      </c>
      <c r="L2509" s="17">
        <f>IFERROR(__xludf.DUMMYFUNCTION("""COMPUTED_VALUE"""),45820.66659635417)</f>
        <v>45820.6666</v>
      </c>
      <c r="M2509" s="13"/>
      <c r="N2509" s="13" t="str">
        <f>IFERROR(__xludf.DUMMYFUNCTION("""COMPUTED_VALUE"""),"")</f>
        <v/>
      </c>
      <c r="O2509" s="13" t="str">
        <f t="shared" si="1"/>
        <v/>
      </c>
    </row>
    <row r="2510" ht="22.5" customHeight="1">
      <c r="B2510" s="13">
        <f>IFERROR(__xludf.DUMMYFUNCTION("""COMPUTED_VALUE"""),2505.0)</f>
        <v>2505</v>
      </c>
      <c r="C2510" s="13" t="str">
        <f>IFERROR(__xludf.DUMMYFUNCTION("""COMPUTED_VALUE"""),"B. 2087/ Perumnas Way Halim")</f>
        <v>B. 2087/ Perumnas Way Halim</v>
      </c>
      <c r="D2510" s="13" t="str">
        <f>IFERROR(__xludf.DUMMYFUNCTION("""COMPUTED_VALUE"""),"K/4/020525/2")</f>
        <v>K/4/020525/2</v>
      </c>
      <c r="E2510" s="14" t="str">
        <f>IFERROR(__xludf.DUMMYFUNCTION("""COMPUTED_VALUE"""),"Afriza (BT)")</f>
        <v>Afriza (BT)</v>
      </c>
      <c r="F2510" s="14" t="str">
        <f>IFERROR(__xludf.DUMMYFUNCTION("""COMPUTED_VALUE"""),"SELESAI (VIA PERMOHONAN)")</f>
        <v>SELESAI (VIA PERMOHONAN)</v>
      </c>
      <c r="G2510" s="17">
        <f>IFERROR(__xludf.DUMMYFUNCTION("""COMPUTED_VALUE"""),45820.57310385417)</f>
        <v>45820.5731</v>
      </c>
      <c r="H2510" s="14" t="str">
        <f>IFERROR(__xludf.DUMMYFUNCTION("""COMPUTED_VALUE"""),"Eci (SU)")</f>
        <v>Eci (SU)</v>
      </c>
      <c r="I2510" s="13" t="str">
        <f>IFERROR(__xludf.DUMMYFUNCTION("""COMPUTED_VALUE"""),"SELESAI (VIA PERMOHONAN)")</f>
        <v>SELESAI (VIA PERMOHONAN)</v>
      </c>
      <c r="J2510" s="17">
        <f>IFERROR(__xludf.DUMMYFUNCTION("""COMPUTED_VALUE"""),45820.67064574074)</f>
        <v>45820.67065</v>
      </c>
      <c r="K2510" s="13" t="str">
        <f>IFERROR(__xludf.DUMMYFUNCTION("""COMPUTED_VALUE"""),"Selesai")</f>
        <v>Selesai</v>
      </c>
      <c r="L2510" s="17">
        <f>IFERROR(__xludf.DUMMYFUNCTION("""COMPUTED_VALUE"""),45820.67064574074)</f>
        <v>45820.67065</v>
      </c>
      <c r="M2510" s="13"/>
      <c r="N2510" s="13" t="str">
        <f>IFERROR(__xludf.DUMMYFUNCTION("""COMPUTED_VALUE"""),"")</f>
        <v/>
      </c>
      <c r="O2510" s="13" t="str">
        <f t="shared" si="1"/>
        <v/>
      </c>
    </row>
    <row r="2511" ht="22.5" customHeight="1">
      <c r="B2511" s="13">
        <f>IFERROR(__xludf.DUMMYFUNCTION("""COMPUTED_VALUE"""),2506.0)</f>
        <v>2506</v>
      </c>
      <c r="C2511" s="13" t="str">
        <f>IFERROR(__xludf.DUMMYFUNCTION("""COMPUTED_VALUE"""),"M. 193/ Pesawahan")</f>
        <v>M. 193/ Pesawahan</v>
      </c>
      <c r="D2511" s="13" t="str">
        <f>IFERROR(__xludf.DUMMYFUNCTION("""COMPUTED_VALUE"""),"K/1/020525/1")</f>
        <v>K/1/020525/1</v>
      </c>
      <c r="E2511" s="14" t="str">
        <f>IFERROR(__xludf.DUMMYFUNCTION("""COMPUTED_VALUE"""),"Afriza (BT)")</f>
        <v>Afriza (BT)</v>
      </c>
      <c r="F2511" s="14" t="str">
        <f>IFERROR(__xludf.DUMMYFUNCTION("""COMPUTED_VALUE"""),"SELESAI (VIA PERMOHONAN)")</f>
        <v>SELESAI (VIA PERMOHONAN)</v>
      </c>
      <c r="G2511" s="17">
        <f>IFERROR(__xludf.DUMMYFUNCTION("""COMPUTED_VALUE"""),45820.573395555555)</f>
        <v>45820.5734</v>
      </c>
      <c r="H2511" s="14" t="str">
        <f>IFERROR(__xludf.DUMMYFUNCTION("""COMPUTED_VALUE"""),"Eci (SU)")</f>
        <v>Eci (SU)</v>
      </c>
      <c r="I2511" s="13" t="str">
        <f>IFERROR(__xludf.DUMMYFUNCTION("""COMPUTED_VALUE"""),"SELESAI (VIA PERMOHONAN)")</f>
        <v>SELESAI (VIA PERMOHONAN)</v>
      </c>
      <c r="J2511" s="17">
        <f>IFERROR(__xludf.DUMMYFUNCTION("""COMPUTED_VALUE"""),45820.67047239583)</f>
        <v>45820.67047</v>
      </c>
      <c r="K2511" s="13" t="str">
        <f>IFERROR(__xludf.DUMMYFUNCTION("""COMPUTED_VALUE"""),"Selesai")</f>
        <v>Selesai</v>
      </c>
      <c r="L2511" s="17">
        <f>IFERROR(__xludf.DUMMYFUNCTION("""COMPUTED_VALUE"""),45820.67047239583)</f>
        <v>45820.67047</v>
      </c>
      <c r="M2511" s="13"/>
      <c r="N2511" s="13" t="str">
        <f>IFERROR(__xludf.DUMMYFUNCTION("""COMPUTED_VALUE"""),"")</f>
        <v/>
      </c>
      <c r="O2511" s="13" t="str">
        <f t="shared" si="1"/>
        <v/>
      </c>
    </row>
    <row r="2512" ht="22.5" customHeight="1">
      <c r="B2512" s="13">
        <f>IFERROR(__xludf.DUMMYFUNCTION("""COMPUTED_VALUE"""),2507.0)</f>
        <v>2507</v>
      </c>
      <c r="C2512" s="13" t="str">
        <f>IFERROR(__xludf.DUMMYFUNCTION("""COMPUTED_VALUE"""),"B. 321/ Pematang Wangi")</f>
        <v>B. 321/ Pematang Wangi</v>
      </c>
      <c r="D2512" s="13" t="str">
        <f>IFERROR(__xludf.DUMMYFUNCTION("""COMPUTED_VALUE"""),"K/42/220525/1")</f>
        <v>K/42/220525/1</v>
      </c>
      <c r="E2512" s="14" t="str">
        <f>IFERROR(__xludf.DUMMYFUNCTION("""COMPUTED_VALUE"""),"Afriza (BT)")</f>
        <v>Afriza (BT)</v>
      </c>
      <c r="F2512" s="14" t="str">
        <f>IFERROR(__xludf.DUMMYFUNCTION("""COMPUTED_VALUE"""),"SELESAI (VIA PERMOHONAN)")</f>
        <v>SELESAI (VIA PERMOHONAN)</v>
      </c>
      <c r="G2512" s="17">
        <f>IFERROR(__xludf.DUMMYFUNCTION("""COMPUTED_VALUE"""),45821.47788747685)</f>
        <v>45821.47789</v>
      </c>
      <c r="H2512" s="14" t="str">
        <f>IFERROR(__xludf.DUMMYFUNCTION("""COMPUTED_VALUE"""),"Eci (SU)")</f>
        <v>Eci (SU)</v>
      </c>
      <c r="I2512" s="13" t="str">
        <f>IFERROR(__xludf.DUMMYFUNCTION("""COMPUTED_VALUE"""),"SELESAI (VIA PERMOHONAN)")</f>
        <v>SELESAI (VIA PERMOHONAN)</v>
      </c>
      <c r="J2512" s="17">
        <f>IFERROR(__xludf.DUMMYFUNCTION("""COMPUTED_VALUE"""),45820.66893021991)</f>
        <v>45820.66893</v>
      </c>
      <c r="K2512" s="13" t="str">
        <f>IFERROR(__xludf.DUMMYFUNCTION("""COMPUTED_VALUE"""),"Selesai")</f>
        <v>Selesai</v>
      </c>
      <c r="L2512" s="17">
        <f>IFERROR(__xludf.DUMMYFUNCTION("""COMPUTED_VALUE"""),45820.66893021991)</f>
        <v>45820.66893</v>
      </c>
      <c r="M2512" s="13"/>
      <c r="N2512" s="13" t="str">
        <f>IFERROR(__xludf.DUMMYFUNCTION("""COMPUTED_VALUE"""),"")</f>
        <v/>
      </c>
      <c r="O2512" s="13" t="str">
        <f t="shared" si="1"/>
        <v/>
      </c>
    </row>
    <row r="2513" ht="22.5" customHeight="1">
      <c r="B2513" s="13">
        <f>IFERROR(__xludf.DUMMYFUNCTION("""COMPUTED_VALUE"""),2508.0)</f>
        <v>2508</v>
      </c>
      <c r="C2513" s="13" t="str">
        <f>IFERROR(__xludf.DUMMYFUNCTION("""COMPUTED_VALUE"""),"M. 1499/PESAWAHAN")</f>
        <v>M. 1499/PESAWAHAN</v>
      </c>
      <c r="D2513" s="13" t="str">
        <f>IFERROR(__xludf.DUMMYFUNCTION("""COMPUTED_VALUE"""),"K/44/210525/1")</f>
        <v>K/44/210525/1</v>
      </c>
      <c r="E2513" s="14" t="str">
        <f>IFERROR(__xludf.DUMMYFUNCTION("""COMPUTED_VALUE"""),"Afriza (BT)")</f>
        <v>Afriza (BT)</v>
      </c>
      <c r="F2513" s="14" t="str">
        <f>IFERROR(__xludf.DUMMYFUNCTION("""COMPUTED_VALUE"""),"SELESAI (VIA PERMOHONAN)")</f>
        <v>SELESAI (VIA PERMOHONAN)</v>
      </c>
      <c r="G2513" s="17">
        <f>IFERROR(__xludf.DUMMYFUNCTION("""COMPUTED_VALUE"""),45821.477992361106)</f>
        <v>45821.47799</v>
      </c>
      <c r="H2513" s="14" t="str">
        <f>IFERROR(__xludf.DUMMYFUNCTION("""COMPUTED_VALUE"""),"Eci (SU)")</f>
        <v>Eci (SU)</v>
      </c>
      <c r="I2513" s="13" t="str">
        <f>IFERROR(__xludf.DUMMYFUNCTION("""COMPUTED_VALUE"""),"SELESAI (VIA PERMOHONAN)")</f>
        <v>SELESAI (VIA PERMOHONAN)</v>
      </c>
      <c r="J2513" s="17">
        <f>IFERROR(__xludf.DUMMYFUNCTION("""COMPUTED_VALUE"""),45821.624319270835)</f>
        <v>45821.62432</v>
      </c>
      <c r="K2513" s="13" t="str">
        <f>IFERROR(__xludf.DUMMYFUNCTION("""COMPUTED_VALUE"""),"Selesai")</f>
        <v>Selesai</v>
      </c>
      <c r="L2513" s="17">
        <f>IFERROR(__xludf.DUMMYFUNCTION("""COMPUTED_VALUE"""),45821.624319270835)</f>
        <v>45821.62432</v>
      </c>
      <c r="M2513" s="13"/>
      <c r="N2513" s="13" t="str">
        <f>IFERROR(__xludf.DUMMYFUNCTION("""COMPUTED_VALUE"""),"")</f>
        <v/>
      </c>
      <c r="O2513" s="13" t="str">
        <f t="shared" si="1"/>
        <v/>
      </c>
    </row>
    <row r="2514" ht="22.5" customHeight="1">
      <c r="B2514" s="13">
        <f>IFERROR(__xludf.DUMMYFUNCTION("""COMPUTED_VALUE"""),2509.0)</f>
        <v>2509</v>
      </c>
      <c r="C2514" s="13" t="str">
        <f>IFERROR(__xludf.DUMMYFUNCTION("""COMPUTED_VALUE"""),"M. 988/ Labuhan Dalam")</f>
        <v>M. 988/ Labuhan Dalam</v>
      </c>
      <c r="D2514" s="13" t="str">
        <f>IFERROR(__xludf.DUMMYFUNCTION("""COMPUTED_VALUE"""),"K/17/210525/1")</f>
        <v>K/17/210525/1</v>
      </c>
      <c r="E2514" s="14" t="str">
        <f>IFERROR(__xludf.DUMMYFUNCTION("""COMPUTED_VALUE"""),"Afriza (BT)")</f>
        <v>Afriza (BT)</v>
      </c>
      <c r="F2514" s="14" t="str">
        <f>IFERROR(__xludf.DUMMYFUNCTION("""COMPUTED_VALUE"""),"SELESAI (VIA PERMOHONAN)")</f>
        <v>SELESAI (VIA PERMOHONAN)</v>
      </c>
      <c r="G2514" s="17">
        <f>IFERROR(__xludf.DUMMYFUNCTION("""COMPUTED_VALUE"""),45821.478153125005)</f>
        <v>45821.47815</v>
      </c>
      <c r="H2514" s="14" t="str">
        <f>IFERROR(__xludf.DUMMYFUNCTION("""COMPUTED_VALUE"""),"Eci (SU)")</f>
        <v>Eci (SU)</v>
      </c>
      <c r="I2514" s="13" t="str">
        <f>IFERROR(__xludf.DUMMYFUNCTION("""COMPUTED_VALUE"""),"SELESAI (VIA PERMOHONAN)")</f>
        <v>SELESAI (VIA PERMOHONAN)</v>
      </c>
      <c r="J2514" s="17">
        <f>IFERROR(__xludf.DUMMYFUNCTION("""COMPUTED_VALUE"""),45821.624169710645)</f>
        <v>45821.62417</v>
      </c>
      <c r="K2514" s="13" t="str">
        <f>IFERROR(__xludf.DUMMYFUNCTION("""COMPUTED_VALUE"""),"Selesai")</f>
        <v>Selesai</v>
      </c>
      <c r="L2514" s="17">
        <f>IFERROR(__xludf.DUMMYFUNCTION("""COMPUTED_VALUE"""),45821.624169710645)</f>
        <v>45821.62417</v>
      </c>
      <c r="M2514" s="13"/>
      <c r="N2514" s="13" t="str">
        <f>IFERROR(__xludf.DUMMYFUNCTION("""COMPUTED_VALUE"""),"")</f>
        <v/>
      </c>
      <c r="O2514" s="13" t="str">
        <f t="shared" si="1"/>
        <v/>
      </c>
    </row>
    <row r="2515" ht="22.5" customHeight="1">
      <c r="B2515" s="13">
        <f>IFERROR(__xludf.DUMMYFUNCTION("""COMPUTED_VALUE"""),2510.0)</f>
        <v>2510</v>
      </c>
      <c r="C2515" s="13" t="str">
        <f>IFERROR(__xludf.DUMMYFUNCTION("""COMPUTED_VALUE"""),"M. 1937/ Kupang Kota")</f>
        <v>M. 1937/ Kupang Kota</v>
      </c>
      <c r="D2515" s="13" t="str">
        <f>IFERROR(__xludf.DUMMYFUNCTION("""COMPUTED_VALUE"""),"K/23/040625/2")</f>
        <v>K/23/040625/2</v>
      </c>
      <c r="E2515" s="14" t="str">
        <f>IFERROR(__xludf.DUMMYFUNCTION("""COMPUTED_VALUE"""),"Afriza (BT)")</f>
        <v>Afriza (BT)</v>
      </c>
      <c r="F2515" s="14" t="str">
        <f>IFERROR(__xludf.DUMMYFUNCTION("""COMPUTED_VALUE"""),"SELESAI (VIA PERMOHONAN)")</f>
        <v>SELESAI (VIA PERMOHONAN)</v>
      </c>
      <c r="G2515" s="17">
        <f>IFERROR(__xludf.DUMMYFUNCTION("""COMPUTED_VALUE"""),45821.482166030095)</f>
        <v>45821.48217</v>
      </c>
      <c r="H2515" s="14" t="str">
        <f>IFERROR(__xludf.DUMMYFUNCTION("""COMPUTED_VALUE"""),"Eci (SU)")</f>
        <v>Eci (SU)</v>
      </c>
      <c r="I2515" s="13" t="str">
        <f>IFERROR(__xludf.DUMMYFUNCTION("""COMPUTED_VALUE"""),"SELESAI (VIA PERMOHONAN)")</f>
        <v>SELESAI (VIA PERMOHONAN)</v>
      </c>
      <c r="J2515" s="17">
        <f>IFERROR(__xludf.DUMMYFUNCTION("""COMPUTED_VALUE"""),45821.624071238424)</f>
        <v>45821.62407</v>
      </c>
      <c r="K2515" s="13" t="str">
        <f>IFERROR(__xludf.DUMMYFUNCTION("""COMPUTED_VALUE"""),"Selesai")</f>
        <v>Selesai</v>
      </c>
      <c r="L2515" s="17">
        <f>IFERROR(__xludf.DUMMYFUNCTION("""COMPUTED_VALUE"""),45821.624071238424)</f>
        <v>45821.62407</v>
      </c>
      <c r="M2515" s="13"/>
      <c r="N2515" s="13" t="str">
        <f>IFERROR(__xludf.DUMMYFUNCTION("""COMPUTED_VALUE"""),"")</f>
        <v/>
      </c>
      <c r="O2515" s="13" t="str">
        <f t="shared" si="1"/>
        <v/>
      </c>
    </row>
    <row r="2516" ht="22.5" customHeight="1">
      <c r="B2516" s="13">
        <f>IFERROR(__xludf.DUMMYFUNCTION("""COMPUTED_VALUE"""),2511.0)</f>
        <v>2511</v>
      </c>
      <c r="C2516" s="13" t="str">
        <f>IFERROR(__xludf.DUMMYFUNCTION("""COMPUTED_VALUE"""),"M. 14855/ Rajabasa")</f>
        <v>M. 14855/ Rajabasa</v>
      </c>
      <c r="D2516" s="13" t="str">
        <f>IFERROR(__xludf.DUMMYFUNCTION("""COMPUTED_VALUE"""),"K/37/220525/2")</f>
        <v>K/37/220525/2</v>
      </c>
      <c r="E2516" s="14" t="str">
        <f>IFERROR(__xludf.DUMMYFUNCTION("""COMPUTED_VALUE"""),"Afriza (BT)")</f>
        <v>Afriza (BT)</v>
      </c>
      <c r="F2516" s="14" t="str">
        <f>IFERROR(__xludf.DUMMYFUNCTION("""COMPUTED_VALUE"""),"SELESAI (VIA PERMOHONAN)")</f>
        <v>SELESAI (VIA PERMOHONAN)</v>
      </c>
      <c r="G2516" s="17">
        <f>IFERROR(__xludf.DUMMYFUNCTION("""COMPUTED_VALUE"""),45821.48225018519)</f>
        <v>45821.48225</v>
      </c>
      <c r="H2516" s="14" t="str">
        <f>IFERROR(__xludf.DUMMYFUNCTION("""COMPUTED_VALUE"""),"Eci (SU)")</f>
        <v>Eci (SU)</v>
      </c>
      <c r="I2516" s="13" t="str">
        <f>IFERROR(__xludf.DUMMYFUNCTION("""COMPUTED_VALUE"""),"SELESAI (VIA PERMOHONAN)")</f>
        <v>SELESAI (VIA PERMOHONAN)</v>
      </c>
      <c r="J2516" s="17">
        <f>IFERROR(__xludf.DUMMYFUNCTION("""COMPUTED_VALUE"""),45821.62396104167)</f>
        <v>45821.62396</v>
      </c>
      <c r="K2516" s="13" t="str">
        <f>IFERROR(__xludf.DUMMYFUNCTION("""COMPUTED_VALUE"""),"Selesai")</f>
        <v>Selesai</v>
      </c>
      <c r="L2516" s="17">
        <f>IFERROR(__xludf.DUMMYFUNCTION("""COMPUTED_VALUE"""),45821.62396104167)</f>
        <v>45821.62396</v>
      </c>
      <c r="M2516" s="13"/>
      <c r="N2516" s="13" t="str">
        <f>IFERROR(__xludf.DUMMYFUNCTION("""COMPUTED_VALUE"""),"")</f>
        <v/>
      </c>
      <c r="O2516" s="13" t="str">
        <f t="shared" si="1"/>
        <v/>
      </c>
    </row>
    <row r="2517" ht="22.5" customHeight="1">
      <c r="B2517" s="13">
        <f>IFERROR(__xludf.DUMMYFUNCTION("""COMPUTED_VALUE"""),2512.0)</f>
        <v>2512</v>
      </c>
      <c r="C2517" s="13" t="str">
        <f>IFERROR(__xludf.DUMMYFUNCTION("""COMPUTED_VALUE"""),"HM 831/LANGKAPURA")</f>
        <v>HM 831/LANGKAPURA</v>
      </c>
      <c r="D2517" s="13" t="str">
        <f>IFERROR(__xludf.DUMMYFUNCTION("""COMPUTED_VALUE"""),"")</f>
        <v/>
      </c>
      <c r="E2517" s="14" t="str">
        <f>IFERROR(__xludf.DUMMYFUNCTION("""COMPUTED_VALUE"""),"Afriza (BT)")</f>
        <v>Afriza (BT)</v>
      </c>
      <c r="F2517" s="14" t="str">
        <f>IFERROR(__xludf.DUMMYFUNCTION("""COMPUTED_VALUE"""),"SELESAI (VIA PERMOHONAN)")</f>
        <v>SELESAI (VIA PERMOHONAN)</v>
      </c>
      <c r="G2517" s="17">
        <f>IFERROR(__xludf.DUMMYFUNCTION("""COMPUTED_VALUE"""),45821.48277232639)</f>
        <v>45821.48277</v>
      </c>
      <c r="H2517" s="14" t="str">
        <f>IFERROR(__xludf.DUMMYFUNCTION("""COMPUTED_VALUE"""),"Eci (SU)")</f>
        <v>Eci (SU)</v>
      </c>
      <c r="I2517" s="13" t="str">
        <f>IFERROR(__xludf.DUMMYFUNCTION("""COMPUTED_VALUE"""),"SELESAI (VIA PERMOHONAN)")</f>
        <v>SELESAI (VIA PERMOHONAN)</v>
      </c>
      <c r="J2517" s="17">
        <f>IFERROR(__xludf.DUMMYFUNCTION("""COMPUTED_VALUE"""),45821.624645625)</f>
        <v>45821.62465</v>
      </c>
      <c r="K2517" s="13" t="str">
        <f>IFERROR(__xludf.DUMMYFUNCTION("""COMPUTED_VALUE"""),"")</f>
        <v/>
      </c>
      <c r="L2517" s="13" t="str">
        <f>IFERROR(__xludf.DUMMYFUNCTION("""COMPUTED_VALUE"""),"")</f>
        <v/>
      </c>
      <c r="M2517" s="13"/>
      <c r="N2517" s="13" t="str">
        <f>IFERROR(__xludf.DUMMYFUNCTION("""COMPUTED_VALUE"""),"")</f>
        <v/>
      </c>
      <c r="O2517" s="13" t="str">
        <f t="shared" si="1"/>
        <v/>
      </c>
    </row>
    <row r="2518" ht="22.5" customHeight="1">
      <c r="B2518" s="13">
        <f>IFERROR(__xludf.DUMMYFUNCTION("""COMPUTED_VALUE"""),2513.0)</f>
        <v>2513</v>
      </c>
      <c r="C2518" s="13" t="str">
        <f>IFERROR(__xludf.DUMMYFUNCTION("""COMPUTED_VALUE"""),"M. 2855/SUKARAME BARU")</f>
        <v>M. 2855/SUKARAME BARU</v>
      </c>
      <c r="D2518" s="13" t="str">
        <f>IFERROR(__xludf.DUMMYFUNCTION("""COMPUTED_VALUE"""),"K/4/020625/1")</f>
        <v>K/4/020625/1</v>
      </c>
      <c r="E2518" s="14" t="str">
        <f>IFERROR(__xludf.DUMMYFUNCTION("""COMPUTED_VALUE"""),"Afriza (BT)")</f>
        <v>Afriza (BT)</v>
      </c>
      <c r="F2518" s="14" t="str">
        <f>IFERROR(__xludf.DUMMYFUNCTION("""COMPUTED_VALUE"""),"SELESAI (VIA PERMOHONAN)")</f>
        <v>SELESAI (VIA PERMOHONAN)</v>
      </c>
      <c r="G2518" s="17">
        <f>IFERROR(__xludf.DUMMYFUNCTION("""COMPUTED_VALUE"""),45821.48289077546)</f>
        <v>45821.48289</v>
      </c>
      <c r="H2518" s="14" t="str">
        <f>IFERROR(__xludf.DUMMYFUNCTION("""COMPUTED_VALUE"""),"Eci (SU)")</f>
        <v>Eci (SU)</v>
      </c>
      <c r="I2518" s="13" t="str">
        <f>IFERROR(__xludf.DUMMYFUNCTION("""COMPUTED_VALUE"""),"SELESAI (VIA PERMOHONAN)")</f>
        <v>SELESAI (VIA PERMOHONAN)</v>
      </c>
      <c r="J2518" s="17">
        <f>IFERROR(__xludf.DUMMYFUNCTION("""COMPUTED_VALUE"""),45821.623290902775)</f>
        <v>45821.62329</v>
      </c>
      <c r="K2518" s="13" t="str">
        <f>IFERROR(__xludf.DUMMYFUNCTION("""COMPUTED_VALUE"""),"Selesai")</f>
        <v>Selesai</v>
      </c>
      <c r="L2518" s="17">
        <f>IFERROR(__xludf.DUMMYFUNCTION("""COMPUTED_VALUE"""),45821.623290902775)</f>
        <v>45821.62329</v>
      </c>
      <c r="M2518" s="13"/>
      <c r="N2518" s="13" t="str">
        <f>IFERROR(__xludf.DUMMYFUNCTION("""COMPUTED_VALUE"""),"")</f>
        <v/>
      </c>
      <c r="O2518" s="13" t="str">
        <f t="shared" si="1"/>
        <v/>
      </c>
    </row>
    <row r="2519" ht="22.5" customHeight="1">
      <c r="B2519" s="13">
        <f>IFERROR(__xludf.DUMMYFUNCTION("""COMPUTED_VALUE"""),2514.0)</f>
        <v>2514</v>
      </c>
      <c r="C2519" s="13" t="str">
        <f>IFERROR(__xludf.DUMMYFUNCTION("""COMPUTED_VALUE"""),"HM 3426/BERINGIN RAYA")</f>
        <v>HM 3426/BERINGIN RAYA</v>
      </c>
      <c r="D2519" s="13" t="str">
        <f>IFERROR(__xludf.DUMMYFUNCTION("""COMPUTED_VALUE"""),"L/16/090525/1")</f>
        <v>L/16/090525/1</v>
      </c>
      <c r="E2519" s="14" t="str">
        <f>IFERROR(__xludf.DUMMYFUNCTION("""COMPUTED_VALUE"""),"Heri (BT)")</f>
        <v>Heri (BT)</v>
      </c>
      <c r="F2519" s="14" t="str">
        <f>IFERROR(__xludf.DUMMYFUNCTION("""COMPUTED_VALUE"""),"SELESAI (VIA PERMOHONAN)")</f>
        <v>SELESAI (VIA PERMOHONAN)</v>
      </c>
      <c r="G2519" s="17">
        <f>IFERROR(__xludf.DUMMYFUNCTION("""COMPUTED_VALUE"""),45821.56921204861)</f>
        <v>45821.56921</v>
      </c>
      <c r="H2519" s="14" t="str">
        <f>IFERROR(__xludf.DUMMYFUNCTION("""COMPUTED_VALUE"""),"Eci (SU)")</f>
        <v>Eci (SU)</v>
      </c>
      <c r="I2519" s="13" t="str">
        <f>IFERROR(__xludf.DUMMYFUNCTION("""COMPUTED_VALUE"""),"SELESAI (VIA PERMOHONAN)")</f>
        <v>SELESAI (VIA PERMOHONAN)</v>
      </c>
      <c r="J2519" s="17">
        <f>IFERROR(__xludf.DUMMYFUNCTION("""COMPUTED_VALUE"""),45821.62256512731)</f>
        <v>45821.62257</v>
      </c>
      <c r="K2519" s="13" t="str">
        <f>IFERROR(__xludf.DUMMYFUNCTION("""COMPUTED_VALUE"""),"Selesai")</f>
        <v>Selesai</v>
      </c>
      <c r="L2519" s="17">
        <f>IFERROR(__xludf.DUMMYFUNCTION("""COMPUTED_VALUE"""),45821.62256512731)</f>
        <v>45821.62257</v>
      </c>
      <c r="M2519" s="13"/>
      <c r="N2519" s="13" t="str">
        <f>IFERROR(__xludf.DUMMYFUNCTION("""COMPUTED_VALUE"""),"")</f>
        <v/>
      </c>
      <c r="O2519" s="13" t="str">
        <f t="shared" si="1"/>
        <v/>
      </c>
    </row>
    <row r="2520" ht="22.5" customHeight="1">
      <c r="B2520" s="13">
        <f>IFERROR(__xludf.DUMMYFUNCTION("""COMPUTED_VALUE"""),2515.0)</f>
        <v>2515</v>
      </c>
      <c r="C2520" s="13" t="str">
        <f>IFERROR(__xludf.DUMMYFUNCTION("""COMPUTED_VALUE"""),"HM 2039/PWH")</f>
        <v>HM 2039/PWH</v>
      </c>
      <c r="D2520" s="13" t="str">
        <f>IFERROR(__xludf.DUMMYFUNCTION("""COMPUTED_VALUE"""),"L/29/040625/1")</f>
        <v>L/29/040625/1</v>
      </c>
      <c r="E2520" s="14" t="str">
        <f>IFERROR(__xludf.DUMMYFUNCTION("""COMPUTED_VALUE"""),"Heri (BT)")</f>
        <v>Heri (BT)</v>
      </c>
      <c r="F2520" s="14" t="str">
        <f>IFERROR(__xludf.DUMMYFUNCTION("""COMPUTED_VALUE"""),"SELESAI (VIA PERMOHONAN)")</f>
        <v>SELESAI (VIA PERMOHONAN)</v>
      </c>
      <c r="G2520" s="17">
        <f>IFERROR(__xludf.DUMMYFUNCTION("""COMPUTED_VALUE"""),45821.56941078704)</f>
        <v>45821.56941</v>
      </c>
      <c r="H2520" s="14" t="str">
        <f>IFERROR(__xludf.DUMMYFUNCTION("""COMPUTED_VALUE"""),"Eci (SU)")</f>
        <v>Eci (SU)</v>
      </c>
      <c r="I2520" s="13" t="str">
        <f>IFERROR(__xludf.DUMMYFUNCTION("""COMPUTED_VALUE"""),"SELESAI (VIA PERMOHONAN)")</f>
        <v>SELESAI (VIA PERMOHONAN)</v>
      </c>
      <c r="J2520" s="17">
        <f>IFERROR(__xludf.DUMMYFUNCTION("""COMPUTED_VALUE"""),45821.62214755787)</f>
        <v>45821.62215</v>
      </c>
      <c r="K2520" s="13" t="str">
        <f>IFERROR(__xludf.DUMMYFUNCTION("""COMPUTED_VALUE"""),"Selesai")</f>
        <v>Selesai</v>
      </c>
      <c r="L2520" s="17">
        <f>IFERROR(__xludf.DUMMYFUNCTION("""COMPUTED_VALUE"""),45821.62214755787)</f>
        <v>45821.62215</v>
      </c>
      <c r="M2520" s="13"/>
      <c r="N2520" s="13" t="str">
        <f>IFERROR(__xludf.DUMMYFUNCTION("""COMPUTED_VALUE"""),"")</f>
        <v/>
      </c>
      <c r="O2520" s="13" t="str">
        <f t="shared" si="1"/>
        <v/>
      </c>
    </row>
    <row r="2521" ht="22.5" customHeight="1">
      <c r="B2521" s="13">
        <f>IFERROR(__xludf.DUMMYFUNCTION("""COMPUTED_VALUE"""),2516.0)</f>
        <v>2516</v>
      </c>
      <c r="C2521" s="13" t="str">
        <f>IFERROR(__xludf.DUMMYFUNCTION("""COMPUTED_VALUE"""),"M. 587/ Pematang Wangi")</f>
        <v>M. 587/ Pematang Wangi</v>
      </c>
      <c r="D2521" s="13" t="str">
        <f>IFERROR(__xludf.DUMMYFUNCTION("""COMPUTED_VALUE"""),"K/2/160425/1")</f>
        <v>K/2/160425/1</v>
      </c>
      <c r="E2521" s="14" t="str">
        <f>IFERROR(__xludf.DUMMYFUNCTION("""COMPUTED_VALUE"""),"Heri (BT)")</f>
        <v>Heri (BT)</v>
      </c>
      <c r="F2521" s="14" t="str">
        <f>IFERROR(__xludf.DUMMYFUNCTION("""COMPUTED_VALUE"""),"SELESAI (VIA PERMOHONAN)")</f>
        <v>SELESAI (VIA PERMOHONAN)</v>
      </c>
      <c r="G2521" s="17">
        <f>IFERROR(__xludf.DUMMYFUNCTION("""COMPUTED_VALUE"""),45821.569643738425)</f>
        <v>45821.56964</v>
      </c>
      <c r="H2521" s="14" t="str">
        <f>IFERROR(__xludf.DUMMYFUNCTION("""COMPUTED_VALUE"""),"Eci (SU)")</f>
        <v>Eci (SU)</v>
      </c>
      <c r="I2521" s="13" t="str">
        <f>IFERROR(__xludf.DUMMYFUNCTION("""COMPUTED_VALUE"""),"SELESAI (VIA PERMOHONAN)")</f>
        <v>SELESAI (VIA PERMOHONAN)</v>
      </c>
      <c r="J2521" s="17">
        <f>IFERROR(__xludf.DUMMYFUNCTION("""COMPUTED_VALUE"""),45821.62235335648)</f>
        <v>45821.62235</v>
      </c>
      <c r="K2521" s="13" t="str">
        <f>IFERROR(__xludf.DUMMYFUNCTION("""COMPUTED_VALUE"""),"Selesai")</f>
        <v>Selesai</v>
      </c>
      <c r="L2521" s="17">
        <f>IFERROR(__xludf.DUMMYFUNCTION("""COMPUTED_VALUE"""),45821.62235335648)</f>
        <v>45821.62235</v>
      </c>
      <c r="M2521" s="13"/>
      <c r="N2521" s="13" t="str">
        <f>IFERROR(__xludf.DUMMYFUNCTION("""COMPUTED_VALUE"""),"")</f>
        <v/>
      </c>
      <c r="O2521" s="13" t="str">
        <f t="shared" si="1"/>
        <v/>
      </c>
    </row>
    <row r="2522" ht="22.5" customHeight="1">
      <c r="B2522" s="13">
        <f>IFERROR(__xludf.DUMMYFUNCTION("""COMPUTED_VALUE"""),2517.0)</f>
        <v>2517</v>
      </c>
      <c r="C2522" s="13" t="str">
        <f>IFERROR(__xludf.DUMMYFUNCTION("""COMPUTED_VALUE"""),"HM 3593/WAY KANDIS")</f>
        <v>HM 3593/WAY KANDIS</v>
      </c>
      <c r="D2522" s="13" t="str">
        <f>IFERROR(__xludf.DUMMYFUNCTION("""COMPUTED_VALUE"""),"L/23/020625/1")</f>
        <v>L/23/020625/1</v>
      </c>
      <c r="E2522" s="14" t="str">
        <f>IFERROR(__xludf.DUMMYFUNCTION("""COMPUTED_VALUE"""),"Heri (BT)")</f>
        <v>Heri (BT)</v>
      </c>
      <c r="F2522" s="14" t="str">
        <f>IFERROR(__xludf.DUMMYFUNCTION("""COMPUTED_VALUE"""),"SELESAI (VIA PERMOHONAN)")</f>
        <v>SELESAI (VIA PERMOHONAN)</v>
      </c>
      <c r="G2522" s="17">
        <f>IFERROR(__xludf.DUMMYFUNCTION("""COMPUTED_VALUE"""),45821.56979763889)</f>
        <v>45821.5698</v>
      </c>
      <c r="H2522" s="14" t="str">
        <f>IFERROR(__xludf.DUMMYFUNCTION("""COMPUTED_VALUE"""),"Eci (SU)")</f>
        <v>Eci (SU)</v>
      </c>
      <c r="I2522" s="13" t="str">
        <f>IFERROR(__xludf.DUMMYFUNCTION("""COMPUTED_VALUE"""),"SELESAI (VIA PERMOHONAN)")</f>
        <v>SELESAI (VIA PERMOHONAN)</v>
      </c>
      <c r="J2522" s="17">
        <f>IFERROR(__xludf.DUMMYFUNCTION("""COMPUTED_VALUE"""),45821.623056550925)</f>
        <v>45821.62306</v>
      </c>
      <c r="K2522" s="13" t="str">
        <f>IFERROR(__xludf.DUMMYFUNCTION("""COMPUTED_VALUE"""),"Selesai")</f>
        <v>Selesai</v>
      </c>
      <c r="L2522" s="17">
        <f>IFERROR(__xludf.DUMMYFUNCTION("""COMPUTED_VALUE"""),45821.623056550925)</f>
        <v>45821.62306</v>
      </c>
      <c r="M2522" s="13"/>
      <c r="N2522" s="13" t="str">
        <f>IFERROR(__xludf.DUMMYFUNCTION("""COMPUTED_VALUE"""),"")</f>
        <v/>
      </c>
      <c r="O2522" s="13" t="str">
        <f t="shared" si="1"/>
        <v/>
      </c>
    </row>
    <row r="2523" ht="22.5" customHeight="1">
      <c r="B2523" s="13">
        <f>IFERROR(__xludf.DUMMYFUNCTION("""COMPUTED_VALUE"""),2518.0)</f>
        <v>2518</v>
      </c>
      <c r="C2523" s="13" t="str">
        <f>IFERROR(__xludf.DUMMYFUNCTION("""COMPUTED_VALUE"""),"HM 12860/SUKABUMI")</f>
        <v>HM 12860/SUKABUMI</v>
      </c>
      <c r="D2523" s="13" t="str">
        <f>IFERROR(__xludf.DUMMYFUNCTION("""COMPUTED_VALUE"""),"L/22/050625/1")</f>
        <v>L/22/050625/1</v>
      </c>
      <c r="E2523" s="14" t="str">
        <f>IFERROR(__xludf.DUMMYFUNCTION("""COMPUTED_VALUE"""),"Heri (BT)")</f>
        <v>Heri (BT)</v>
      </c>
      <c r="F2523" s="14" t="str">
        <f>IFERROR(__xludf.DUMMYFUNCTION("""COMPUTED_VALUE"""),"SELESAI (VIA PERMOHONAN)")</f>
        <v>SELESAI (VIA PERMOHONAN)</v>
      </c>
      <c r="G2523" s="17">
        <f>IFERROR(__xludf.DUMMYFUNCTION("""COMPUTED_VALUE"""),45821.570077743054)</f>
        <v>45821.57008</v>
      </c>
      <c r="H2523" s="14" t="str">
        <f>IFERROR(__xludf.DUMMYFUNCTION("""COMPUTED_VALUE"""),"Eci (SU)")</f>
        <v>Eci (SU)</v>
      </c>
      <c r="I2523" s="13" t="str">
        <f>IFERROR(__xludf.DUMMYFUNCTION("""COMPUTED_VALUE"""),"SELESAI (VIA PERMOHONAN)")</f>
        <v>SELESAI (VIA PERMOHONAN)</v>
      </c>
      <c r="J2523" s="17">
        <f>IFERROR(__xludf.DUMMYFUNCTION("""COMPUTED_VALUE"""),45821.623016516205)</f>
        <v>45821.62302</v>
      </c>
      <c r="K2523" s="13" t="str">
        <f>IFERROR(__xludf.DUMMYFUNCTION("""COMPUTED_VALUE"""),"Selesai")</f>
        <v>Selesai</v>
      </c>
      <c r="L2523" s="17">
        <f>IFERROR(__xludf.DUMMYFUNCTION("""COMPUTED_VALUE"""),45821.623016516205)</f>
        <v>45821.62302</v>
      </c>
      <c r="M2523" s="13"/>
      <c r="N2523" s="13" t="str">
        <f>IFERROR(__xludf.DUMMYFUNCTION("""COMPUTED_VALUE"""),"")</f>
        <v/>
      </c>
      <c r="O2523" s="13" t="str">
        <f t="shared" si="1"/>
        <v/>
      </c>
    </row>
    <row r="2524" ht="22.5" customHeight="1">
      <c r="B2524" s="13">
        <f>IFERROR(__xludf.DUMMYFUNCTION("""COMPUTED_VALUE"""),2519.0)</f>
        <v>2519</v>
      </c>
      <c r="C2524" s="13" t="str">
        <f>IFERROR(__xludf.DUMMYFUNCTION("""COMPUTED_VALUE"""),"HM 13880/LABUHAN RATU")</f>
        <v>HM 13880/LABUHAN RATU</v>
      </c>
      <c r="D2524" s="13" t="str">
        <f>IFERROR(__xludf.DUMMYFUNCTION("""COMPUTED_VALUE"""),"L/3/030625/1")</f>
        <v>L/3/030625/1</v>
      </c>
      <c r="E2524" s="14" t="str">
        <f>IFERROR(__xludf.DUMMYFUNCTION("""COMPUTED_VALUE"""),"Heri (BT)")</f>
        <v>Heri (BT)</v>
      </c>
      <c r="F2524" s="14" t="str">
        <f>IFERROR(__xludf.DUMMYFUNCTION("""COMPUTED_VALUE"""),"SELESAI (VIA PERMOHONAN)")</f>
        <v>SELESAI (VIA PERMOHONAN)</v>
      </c>
      <c r="G2524" s="17">
        <f>IFERROR(__xludf.DUMMYFUNCTION("""COMPUTED_VALUE"""),45821.57021797454)</f>
        <v>45821.57022</v>
      </c>
      <c r="H2524" s="14" t="str">
        <f>IFERROR(__xludf.DUMMYFUNCTION("""COMPUTED_VALUE"""),"Eci (SU)")</f>
        <v>Eci (SU)</v>
      </c>
      <c r="I2524" s="13" t="str">
        <f>IFERROR(__xludf.DUMMYFUNCTION("""COMPUTED_VALUE"""),"SELESAI (VIA PERMOHONAN)")</f>
        <v>SELESAI (VIA PERMOHONAN)</v>
      </c>
      <c r="J2524" s="17">
        <f>IFERROR(__xludf.DUMMYFUNCTION("""COMPUTED_VALUE"""),45821.62317248843)</f>
        <v>45821.62317</v>
      </c>
      <c r="K2524" s="13" t="str">
        <f>IFERROR(__xludf.DUMMYFUNCTION("""COMPUTED_VALUE"""),"Selesai")</f>
        <v>Selesai</v>
      </c>
      <c r="L2524" s="17">
        <f>IFERROR(__xludf.DUMMYFUNCTION("""COMPUTED_VALUE"""),45821.62317248843)</f>
        <v>45821.62317</v>
      </c>
      <c r="M2524" s="13"/>
      <c r="N2524" s="13" t="str">
        <f>IFERROR(__xludf.DUMMYFUNCTION("""COMPUTED_VALUE"""),"")</f>
        <v/>
      </c>
      <c r="O2524" s="13" t="str">
        <f t="shared" si="1"/>
        <v/>
      </c>
    </row>
    <row r="2525" ht="22.5" customHeight="1">
      <c r="B2525" s="13">
        <f>IFERROR(__xludf.DUMMYFUNCTION("""COMPUTED_VALUE"""),2520.0)</f>
        <v>2520</v>
      </c>
      <c r="C2525" s="13" t="str">
        <f>IFERROR(__xludf.DUMMYFUNCTION("""COMPUTED_VALUE"""),"M. 1843/ Rajabasa Nunyai")</f>
        <v>M. 1843/ Rajabasa Nunyai</v>
      </c>
      <c r="D2525" s="13" t="str">
        <f>IFERROR(__xludf.DUMMYFUNCTION("""COMPUTED_VALUE"""),"K/15/190525/1")</f>
        <v>K/15/190525/1</v>
      </c>
      <c r="E2525" s="14" t="str">
        <f>IFERROR(__xludf.DUMMYFUNCTION("""COMPUTED_VALUE"""),"Afriza (BT)")</f>
        <v>Afriza (BT)</v>
      </c>
      <c r="F2525" s="14" t="str">
        <f>IFERROR(__xludf.DUMMYFUNCTION("""COMPUTED_VALUE"""),"SELESAI (VIA PERMOHONAN)")</f>
        <v>SELESAI (VIA PERMOHONAN)</v>
      </c>
      <c r="G2525" s="17">
        <f>IFERROR(__xludf.DUMMYFUNCTION("""COMPUTED_VALUE"""),45824.38928376157)</f>
        <v>45824.38928</v>
      </c>
      <c r="H2525" s="14" t="str">
        <f>IFERROR(__xludf.DUMMYFUNCTION("""COMPUTED_VALUE"""),"Admin (Migrasi)")</f>
        <v>Admin (Migrasi)</v>
      </c>
      <c r="I2525" s="13" t="str">
        <f>IFERROR(__xludf.DUMMYFUNCTION("""COMPUTED_VALUE"""),"SELESAI (VIA PERMOHONAN)")</f>
        <v>SELESAI (VIA PERMOHONAN)</v>
      </c>
      <c r="J2525" s="17">
        <f>IFERROR(__xludf.DUMMYFUNCTION("""COMPUTED_VALUE"""),45824.38930962963)</f>
        <v>45824.38931</v>
      </c>
      <c r="K2525" s="13" t="str">
        <f>IFERROR(__xludf.DUMMYFUNCTION("""COMPUTED_VALUE"""),"Selesai")</f>
        <v>Selesai</v>
      </c>
      <c r="L2525" s="17">
        <f>IFERROR(__xludf.DUMMYFUNCTION("""COMPUTED_VALUE"""),45824.38930962963)</f>
        <v>45824.38931</v>
      </c>
      <c r="M2525" s="13"/>
      <c r="N2525" s="13" t="str">
        <f>IFERROR(__xludf.DUMMYFUNCTION("""COMPUTED_VALUE"""),"")</f>
        <v/>
      </c>
      <c r="O2525" s="13" t="str">
        <f t="shared" si="1"/>
        <v/>
      </c>
    </row>
    <row r="2526" ht="22.5" customHeight="1">
      <c r="B2526" s="13">
        <f>IFERROR(__xludf.DUMMYFUNCTION("""COMPUTED_VALUE"""),2521.0)</f>
        <v>2521</v>
      </c>
      <c r="C2526" s="13" t="str">
        <f>IFERROR(__xludf.DUMMYFUNCTION("""COMPUTED_VALUE"""),"M. 2309/ Negeri Olok Gading")</f>
        <v>M. 2309/ Negeri Olok Gading</v>
      </c>
      <c r="D2526" s="13" t="str">
        <f>IFERROR(__xludf.DUMMYFUNCTION("""COMPUTED_VALUE"""),"K/17/220525/1")</f>
        <v>K/17/220525/1</v>
      </c>
      <c r="E2526" s="14" t="str">
        <f>IFERROR(__xludf.DUMMYFUNCTION("""COMPUTED_VALUE"""),"Afriza (BT)")</f>
        <v>Afriza (BT)</v>
      </c>
      <c r="F2526" s="14" t="str">
        <f>IFERROR(__xludf.DUMMYFUNCTION("""COMPUTED_VALUE"""),"SELESAI (VIA PERMOHONAN)")</f>
        <v>SELESAI (VIA PERMOHONAN)</v>
      </c>
      <c r="G2526" s="17">
        <f>IFERROR(__xludf.DUMMYFUNCTION("""COMPUTED_VALUE"""),45824.38982024306)</f>
        <v>45824.38982</v>
      </c>
      <c r="H2526" s="14" t="str">
        <f>IFERROR(__xludf.DUMMYFUNCTION("""COMPUTED_VALUE"""),"Admin (Migrasi)")</f>
        <v>Admin (Migrasi)</v>
      </c>
      <c r="I2526" s="13" t="str">
        <f>IFERROR(__xludf.DUMMYFUNCTION("""COMPUTED_VALUE"""),"SELESAI (VIA PERMOHONAN)")</f>
        <v>SELESAI (VIA PERMOHONAN)</v>
      </c>
      <c r="J2526" s="17">
        <f>IFERROR(__xludf.DUMMYFUNCTION("""COMPUTED_VALUE"""),45824.38985890047)</f>
        <v>45824.38986</v>
      </c>
      <c r="K2526" s="13" t="str">
        <f>IFERROR(__xludf.DUMMYFUNCTION("""COMPUTED_VALUE"""),"Selesai")</f>
        <v>Selesai</v>
      </c>
      <c r="L2526" s="17">
        <f>IFERROR(__xludf.DUMMYFUNCTION("""COMPUTED_VALUE"""),45824.38985890047)</f>
        <v>45824.38986</v>
      </c>
      <c r="M2526" s="13"/>
      <c r="N2526" s="13" t="str">
        <f>IFERROR(__xludf.DUMMYFUNCTION("""COMPUTED_VALUE"""),"")</f>
        <v/>
      </c>
      <c r="O2526" s="13" t="str">
        <f t="shared" si="1"/>
        <v/>
      </c>
    </row>
    <row r="2527" ht="22.5" customHeight="1">
      <c r="B2527" s="13">
        <f>IFERROR(__xludf.DUMMYFUNCTION("""COMPUTED_VALUE"""),2522.0)</f>
        <v>2522</v>
      </c>
      <c r="C2527" s="13" t="str">
        <f>IFERROR(__xludf.DUMMYFUNCTION("""COMPUTED_VALUE"""),"M. 16463/ Sukabumi")</f>
        <v>M. 16463/ Sukabumi</v>
      </c>
      <c r="D2527" s="13" t="str">
        <f>IFERROR(__xludf.DUMMYFUNCTION("""COMPUTED_VALUE"""),"K/49/050625/1")</f>
        <v>K/49/050625/1</v>
      </c>
      <c r="E2527" s="14" t="str">
        <f>IFERROR(__xludf.DUMMYFUNCTION("""COMPUTED_VALUE"""),"Afriza (BT)")</f>
        <v>Afriza (BT)</v>
      </c>
      <c r="F2527" s="14" t="str">
        <f>IFERROR(__xludf.DUMMYFUNCTION("""COMPUTED_VALUE"""),"SELESAI (VIA PERMOHONAN)")</f>
        <v>SELESAI (VIA PERMOHONAN)</v>
      </c>
      <c r="G2527" s="17">
        <f>IFERROR(__xludf.DUMMYFUNCTION("""COMPUTED_VALUE"""),45824.39010974537)</f>
        <v>45824.39011</v>
      </c>
      <c r="H2527" s="14" t="str">
        <f>IFERROR(__xludf.DUMMYFUNCTION("""COMPUTED_VALUE"""),"Admin (Migrasi)")</f>
        <v>Admin (Migrasi)</v>
      </c>
      <c r="I2527" s="13" t="str">
        <f>IFERROR(__xludf.DUMMYFUNCTION("""COMPUTED_VALUE"""),"SELESAI (VIA PERMOHONAN)")</f>
        <v>SELESAI (VIA PERMOHONAN)</v>
      </c>
      <c r="J2527" s="17">
        <f>IFERROR(__xludf.DUMMYFUNCTION("""COMPUTED_VALUE"""),45824.39014778935)</f>
        <v>45824.39015</v>
      </c>
      <c r="K2527" s="13" t="str">
        <f>IFERROR(__xludf.DUMMYFUNCTION("""COMPUTED_VALUE"""),"Selesai")</f>
        <v>Selesai</v>
      </c>
      <c r="L2527" s="17">
        <f>IFERROR(__xludf.DUMMYFUNCTION("""COMPUTED_VALUE"""),45824.39014778935)</f>
        <v>45824.39015</v>
      </c>
      <c r="M2527" s="13"/>
      <c r="N2527" s="13" t="str">
        <f>IFERROR(__xludf.DUMMYFUNCTION("""COMPUTED_VALUE"""),"")</f>
        <v/>
      </c>
      <c r="O2527" s="13" t="str">
        <f t="shared" si="1"/>
        <v/>
      </c>
    </row>
    <row r="2528" ht="22.5" customHeight="1">
      <c r="B2528" s="13">
        <f>IFERROR(__xludf.DUMMYFUNCTION("""COMPUTED_VALUE"""),2523.0)</f>
        <v>2523</v>
      </c>
      <c r="C2528" s="13" t="str">
        <f>IFERROR(__xludf.DUMMYFUNCTION("""COMPUTED_VALUE"""),"M. 865/ Sumber Agung")</f>
        <v>M. 865/ Sumber Agung</v>
      </c>
      <c r="D2528" s="13" t="str">
        <f>IFERROR(__xludf.DUMMYFUNCTION("""COMPUTED_VALUE"""),"K/40/080525/1")</f>
        <v>K/40/080525/1</v>
      </c>
      <c r="E2528" s="14" t="str">
        <f>IFERROR(__xludf.DUMMYFUNCTION("""COMPUTED_VALUE"""),"Afriza (BT)")</f>
        <v>Afriza (BT)</v>
      </c>
      <c r="F2528" s="14" t="str">
        <f>IFERROR(__xludf.DUMMYFUNCTION("""COMPUTED_VALUE"""),"SELESAI (VIA PERMOHONAN)")</f>
        <v>SELESAI (VIA PERMOHONAN)</v>
      </c>
      <c r="G2528" s="17">
        <f>IFERROR(__xludf.DUMMYFUNCTION("""COMPUTED_VALUE"""),45824.390354641204)</f>
        <v>45824.39035</v>
      </c>
      <c r="H2528" s="14" t="str">
        <f>IFERROR(__xludf.DUMMYFUNCTION("""COMPUTED_VALUE"""),"Admin (Migrasi)")</f>
        <v>Admin (Migrasi)</v>
      </c>
      <c r="I2528" s="13" t="str">
        <f>IFERROR(__xludf.DUMMYFUNCTION("""COMPUTED_VALUE"""),"SELESAI (VIA PERMOHONAN)")</f>
        <v>SELESAI (VIA PERMOHONAN)</v>
      </c>
      <c r="J2528" s="17">
        <f>IFERROR(__xludf.DUMMYFUNCTION("""COMPUTED_VALUE"""),45824.39043747685)</f>
        <v>45824.39044</v>
      </c>
      <c r="K2528" s="13" t="str">
        <f>IFERROR(__xludf.DUMMYFUNCTION("""COMPUTED_VALUE"""),"Selesai")</f>
        <v>Selesai</v>
      </c>
      <c r="L2528" s="17">
        <f>IFERROR(__xludf.DUMMYFUNCTION("""COMPUTED_VALUE"""),45824.39043747685)</f>
        <v>45824.39044</v>
      </c>
      <c r="M2528" s="13"/>
      <c r="N2528" s="13" t="str">
        <f>IFERROR(__xludf.DUMMYFUNCTION("""COMPUTED_VALUE"""),"")</f>
        <v/>
      </c>
      <c r="O2528" s="13" t="str">
        <f t="shared" si="1"/>
        <v/>
      </c>
    </row>
    <row r="2529" ht="22.5" customHeight="1">
      <c r="B2529" s="13">
        <f>IFERROR(__xludf.DUMMYFUNCTION("""COMPUTED_VALUE"""),2524.0)</f>
        <v>2524</v>
      </c>
      <c r="C2529" s="13" t="str">
        <f>IFERROR(__xludf.DUMMYFUNCTION("""COMPUTED_VALUE"""),"B. 176/ Sumberejo Sejahtera")</f>
        <v>B. 176/ Sumberejo Sejahtera</v>
      </c>
      <c r="D2529" s="13" t="str">
        <f>IFERROR(__xludf.DUMMYFUNCTION("""COMPUTED_VALUE"""),"K/8/230525/1")</f>
        <v>K/8/230525/1</v>
      </c>
      <c r="E2529" s="14" t="str">
        <f>IFERROR(__xludf.DUMMYFUNCTION("""COMPUTED_VALUE"""),"Afriza (BT)")</f>
        <v>Afriza (BT)</v>
      </c>
      <c r="F2529" s="14" t="str">
        <f>IFERROR(__xludf.DUMMYFUNCTION("""COMPUTED_VALUE"""),"SELESAI (VIA PERMOHONAN)")</f>
        <v>SELESAI (VIA PERMOHONAN)</v>
      </c>
      <c r="G2529" s="17">
        <f>IFERROR(__xludf.DUMMYFUNCTION("""COMPUTED_VALUE"""),45824.39080969908)</f>
        <v>45824.39081</v>
      </c>
      <c r="H2529" s="14" t="str">
        <f>IFERROR(__xludf.DUMMYFUNCTION("""COMPUTED_VALUE"""),"Admin (Migrasi)")</f>
        <v>Admin (Migrasi)</v>
      </c>
      <c r="I2529" s="13" t="str">
        <f>IFERROR(__xludf.DUMMYFUNCTION("""COMPUTED_VALUE"""),"SELESAI (VIA PERMOHONAN)")</f>
        <v>SELESAI (VIA PERMOHONAN)</v>
      </c>
      <c r="J2529" s="17">
        <f>IFERROR(__xludf.DUMMYFUNCTION("""COMPUTED_VALUE"""),45824.390902812505)</f>
        <v>45824.3909</v>
      </c>
      <c r="K2529" s="13" t="str">
        <f>IFERROR(__xludf.DUMMYFUNCTION("""COMPUTED_VALUE"""),"Selesai")</f>
        <v>Selesai</v>
      </c>
      <c r="L2529" s="17">
        <f>IFERROR(__xludf.DUMMYFUNCTION("""COMPUTED_VALUE"""),45824.390902812505)</f>
        <v>45824.3909</v>
      </c>
      <c r="M2529" s="13"/>
      <c r="N2529" s="13" t="str">
        <f>IFERROR(__xludf.DUMMYFUNCTION("""COMPUTED_VALUE"""),"")</f>
        <v/>
      </c>
      <c r="O2529" s="13" t="str">
        <f t="shared" si="1"/>
        <v/>
      </c>
    </row>
    <row r="2530" ht="22.5" customHeight="1">
      <c r="B2530" s="13">
        <f>IFERROR(__xludf.DUMMYFUNCTION("""COMPUTED_VALUE"""),2525.0)</f>
        <v>2525</v>
      </c>
      <c r="C2530" s="13" t="str">
        <f>IFERROR(__xludf.DUMMYFUNCTION("""COMPUTED_VALUE"""),"M. 4663/ Gunung Terang")</f>
        <v>M. 4663/ Gunung Terang</v>
      </c>
      <c r="D2530" s="13" t="str">
        <f>IFERROR(__xludf.DUMMYFUNCTION("""COMPUTED_VALUE"""),"K/9/230525/2")</f>
        <v>K/9/230525/2</v>
      </c>
      <c r="E2530" s="14" t="str">
        <f>IFERROR(__xludf.DUMMYFUNCTION("""COMPUTED_VALUE"""),"Afriza (BT)")</f>
        <v>Afriza (BT)</v>
      </c>
      <c r="F2530" s="14" t="str">
        <f>IFERROR(__xludf.DUMMYFUNCTION("""COMPUTED_VALUE"""),"SELESAI (VIA PERMOHONAN)")</f>
        <v>SELESAI (VIA PERMOHONAN)</v>
      </c>
      <c r="G2530" s="17">
        <f>IFERROR(__xludf.DUMMYFUNCTION("""COMPUTED_VALUE"""),45824.39677269676)</f>
        <v>45824.39677</v>
      </c>
      <c r="H2530" s="14" t="str">
        <f>IFERROR(__xludf.DUMMYFUNCTION("""COMPUTED_VALUE"""),"Admin (Migrasi)")</f>
        <v>Admin (Migrasi)</v>
      </c>
      <c r="I2530" s="13" t="str">
        <f>IFERROR(__xludf.DUMMYFUNCTION("""COMPUTED_VALUE"""),"SELESAI (VIA PERMOHONAN)")</f>
        <v>SELESAI (VIA PERMOHONAN)</v>
      </c>
      <c r="J2530" s="17">
        <f>IFERROR(__xludf.DUMMYFUNCTION("""COMPUTED_VALUE"""),45824.39680164352)</f>
        <v>45824.3968</v>
      </c>
      <c r="K2530" s="13" t="str">
        <f>IFERROR(__xludf.DUMMYFUNCTION("""COMPUTED_VALUE"""),"Selesai")</f>
        <v>Selesai</v>
      </c>
      <c r="L2530" s="17">
        <f>IFERROR(__xludf.DUMMYFUNCTION("""COMPUTED_VALUE"""),45824.39680164352)</f>
        <v>45824.3968</v>
      </c>
      <c r="M2530" s="13"/>
      <c r="N2530" s="13" t="str">
        <f>IFERROR(__xludf.DUMMYFUNCTION("""COMPUTED_VALUE"""),"")</f>
        <v/>
      </c>
      <c r="O2530" s="13" t="str">
        <f t="shared" si="1"/>
        <v/>
      </c>
    </row>
    <row r="2531" ht="22.5" customHeight="1">
      <c r="B2531" s="13">
        <f>IFERROR(__xludf.DUMMYFUNCTION("""COMPUTED_VALUE"""),2526.0)</f>
        <v>2526</v>
      </c>
      <c r="C2531" s="13" t="str">
        <f>IFERROR(__xludf.DUMMYFUNCTION("""COMPUTED_VALUE"""),"M. 470/WAY HALIM PERMAI")</f>
        <v>M. 470/WAY HALIM PERMAI</v>
      </c>
      <c r="D2531" s="13" t="str">
        <f>IFERROR(__xludf.DUMMYFUNCTION("""COMPUTED_VALUE"""),"K/27/210525/1")</f>
        <v>K/27/210525/1</v>
      </c>
      <c r="E2531" s="14" t="str">
        <f>IFERROR(__xludf.DUMMYFUNCTION("""COMPUTED_VALUE"""),"Heri (BT)")</f>
        <v>Heri (BT)</v>
      </c>
      <c r="F2531" s="14" t="str">
        <f>IFERROR(__xludf.DUMMYFUNCTION("""COMPUTED_VALUE"""),"SELESAI (VIA PERMOHONAN)")</f>
        <v>SELESAI (VIA PERMOHONAN)</v>
      </c>
      <c r="G2531" s="17">
        <f>IFERROR(__xludf.DUMMYFUNCTION("""COMPUTED_VALUE"""),45824.46428153935)</f>
        <v>45824.46428</v>
      </c>
      <c r="H2531" s="14" t="str">
        <f>IFERROR(__xludf.DUMMYFUNCTION("""COMPUTED_VALUE"""),"Eci (SU)")</f>
        <v>Eci (SU)</v>
      </c>
      <c r="I2531" s="13" t="str">
        <f>IFERROR(__xludf.DUMMYFUNCTION("""COMPUTED_VALUE"""),"SELESAI (VIA PERMOHONAN)")</f>
        <v>SELESAI (VIA PERMOHONAN)</v>
      </c>
      <c r="J2531" s="17">
        <f>IFERROR(__xludf.DUMMYFUNCTION("""COMPUTED_VALUE"""),45824.57371034722)</f>
        <v>45824.57371</v>
      </c>
      <c r="K2531" s="13" t="str">
        <f>IFERROR(__xludf.DUMMYFUNCTION("""COMPUTED_VALUE"""),"Selesai")</f>
        <v>Selesai</v>
      </c>
      <c r="L2531" s="17">
        <f>IFERROR(__xludf.DUMMYFUNCTION("""COMPUTED_VALUE"""),45824.57371034722)</f>
        <v>45824.57371</v>
      </c>
      <c r="M2531" s="13"/>
      <c r="N2531" s="13" t="str">
        <f>IFERROR(__xludf.DUMMYFUNCTION("""COMPUTED_VALUE"""),"")</f>
        <v/>
      </c>
      <c r="O2531" s="13" t="str">
        <f t="shared" si="1"/>
        <v/>
      </c>
    </row>
    <row r="2532" ht="22.5" customHeight="1">
      <c r="B2532" s="13">
        <f>IFERROR(__xludf.DUMMYFUNCTION("""COMPUTED_VALUE"""),2527.0)</f>
        <v>2527</v>
      </c>
      <c r="C2532" s="13" t="str">
        <f>IFERROR(__xludf.DUMMYFUNCTION("""COMPUTED_VALUE"""),"M. 2645/RAJABASA JAYA")</f>
        <v>M. 2645/RAJABASA JAYA</v>
      </c>
      <c r="D2532" s="13" t="str">
        <f>IFERROR(__xludf.DUMMYFUNCTION("""COMPUTED_VALUE"""),"K/5/130625/1")</f>
        <v>K/5/130625/1</v>
      </c>
      <c r="E2532" s="14" t="str">
        <f>IFERROR(__xludf.DUMMYFUNCTION("""COMPUTED_VALUE"""),"Heri (BT)")</f>
        <v>Heri (BT)</v>
      </c>
      <c r="F2532" s="14" t="str">
        <f>IFERROR(__xludf.DUMMYFUNCTION("""COMPUTED_VALUE"""),"SELESAI (VIA PERMOHONAN)")</f>
        <v>SELESAI (VIA PERMOHONAN)</v>
      </c>
      <c r="G2532" s="17">
        <f>IFERROR(__xludf.DUMMYFUNCTION("""COMPUTED_VALUE"""),45824.46445826389)</f>
        <v>45824.46446</v>
      </c>
      <c r="H2532" s="14" t="str">
        <f>IFERROR(__xludf.DUMMYFUNCTION("""COMPUTED_VALUE"""),"Eci (SU)")</f>
        <v>Eci (SU)</v>
      </c>
      <c r="I2532" s="13" t="str">
        <f>IFERROR(__xludf.DUMMYFUNCTION("""COMPUTED_VALUE"""),"SELESAI (VIA PERMOHONAN)")</f>
        <v>SELESAI (VIA PERMOHONAN)</v>
      </c>
      <c r="J2532" s="17">
        <f>IFERROR(__xludf.DUMMYFUNCTION("""COMPUTED_VALUE"""),45824.57387487269)</f>
        <v>45824.57387</v>
      </c>
      <c r="K2532" s="13" t="str">
        <f>IFERROR(__xludf.DUMMYFUNCTION("""COMPUTED_VALUE"""),"Selesai")</f>
        <v>Selesai</v>
      </c>
      <c r="L2532" s="17">
        <f>IFERROR(__xludf.DUMMYFUNCTION("""COMPUTED_VALUE"""),45824.57387487269)</f>
        <v>45824.57387</v>
      </c>
      <c r="M2532" s="13"/>
      <c r="N2532" s="13" t="str">
        <f>IFERROR(__xludf.DUMMYFUNCTION("""COMPUTED_VALUE"""),"")</f>
        <v/>
      </c>
      <c r="O2532" s="13" t="str">
        <f t="shared" si="1"/>
        <v/>
      </c>
    </row>
    <row r="2533" ht="22.5" customHeight="1">
      <c r="B2533" s="13">
        <f>IFERROR(__xludf.DUMMYFUNCTION("""COMPUTED_VALUE"""),2528.0)</f>
        <v>2528</v>
      </c>
      <c r="C2533" s="13" t="str">
        <f>IFERROR(__xludf.DUMMYFUNCTION("""COMPUTED_VALUE"""),"M.1634/JAGABAYA III")</f>
        <v>M.1634/JAGABAYA III</v>
      </c>
      <c r="D2533" s="13" t="str">
        <f>IFERROR(__xludf.DUMMYFUNCTION("""COMPUTED_VALUE"""),"K/14/200125/1")</f>
        <v>K/14/200125/1</v>
      </c>
      <c r="E2533" s="14" t="str">
        <f>IFERROR(__xludf.DUMMYFUNCTION("""COMPUTED_VALUE"""),"Heri (BT)")</f>
        <v>Heri (BT)</v>
      </c>
      <c r="F2533" s="14" t="str">
        <f>IFERROR(__xludf.DUMMYFUNCTION("""COMPUTED_VALUE"""),"SELESAI (VIA PERMOHONAN)")</f>
        <v>SELESAI (VIA PERMOHONAN)</v>
      </c>
      <c r="G2533" s="17">
        <f>IFERROR(__xludf.DUMMYFUNCTION("""COMPUTED_VALUE"""),45824.46467666667)</f>
        <v>45824.46468</v>
      </c>
      <c r="H2533" s="14" t="str">
        <f>IFERROR(__xludf.DUMMYFUNCTION("""COMPUTED_VALUE"""),"Eci (SU)")</f>
        <v>Eci (SU)</v>
      </c>
      <c r="I2533" s="13" t="str">
        <f>IFERROR(__xludf.DUMMYFUNCTION("""COMPUTED_VALUE"""),"SELESAI (VIA PERMOHONAN)")</f>
        <v>SELESAI (VIA PERMOHONAN)</v>
      </c>
      <c r="J2533" s="17">
        <f>IFERROR(__xludf.DUMMYFUNCTION("""COMPUTED_VALUE"""),45824.57387487269)</f>
        <v>45824.57387</v>
      </c>
      <c r="K2533" s="13" t="str">
        <f>IFERROR(__xludf.DUMMYFUNCTION("""COMPUTED_VALUE"""),"Selesai")</f>
        <v>Selesai</v>
      </c>
      <c r="L2533" s="17">
        <f>IFERROR(__xludf.DUMMYFUNCTION("""COMPUTED_VALUE"""),45824.57387487269)</f>
        <v>45824.57387</v>
      </c>
      <c r="M2533" s="13"/>
      <c r="N2533" s="13" t="str">
        <f>IFERROR(__xludf.DUMMYFUNCTION("""COMPUTED_VALUE"""),"")</f>
        <v/>
      </c>
      <c r="O2533" s="13" t="str">
        <f t="shared" si="1"/>
        <v/>
      </c>
    </row>
    <row r="2534" ht="22.5" customHeight="1">
      <c r="B2534" s="13">
        <f>IFERROR(__xludf.DUMMYFUNCTION("""COMPUTED_VALUE"""),2529.0)</f>
        <v>2529</v>
      </c>
      <c r="C2534" s="13" t="str">
        <f>IFERROR(__xludf.DUMMYFUNCTION("""COMPUTED_VALUE"""),"M. 1430/ Kaliawi")</f>
        <v>M. 1430/ Kaliawi</v>
      </c>
      <c r="D2534" s="13" t="str">
        <f>IFERROR(__xludf.DUMMYFUNCTION("""COMPUTED_VALUE"""),"K/44/030625/2")</f>
        <v>K/44/030625/2</v>
      </c>
      <c r="E2534" s="14" t="str">
        <f>IFERROR(__xludf.DUMMYFUNCTION("""COMPUTED_VALUE"""),"Afriza (BT)")</f>
        <v>Afriza (BT)</v>
      </c>
      <c r="F2534" s="14" t="str">
        <f>IFERROR(__xludf.DUMMYFUNCTION("""COMPUTED_VALUE"""),"SELESAI (VIA PERMOHONAN)")</f>
        <v>SELESAI (VIA PERMOHONAN)</v>
      </c>
      <c r="G2534" s="17">
        <f>IFERROR(__xludf.DUMMYFUNCTION("""COMPUTED_VALUE"""),45824.57390133102)</f>
        <v>45824.5739</v>
      </c>
      <c r="H2534" s="14" t="str">
        <f>IFERROR(__xludf.DUMMYFUNCTION("""COMPUTED_VALUE"""),"Eci (SU)")</f>
        <v>Eci (SU)</v>
      </c>
      <c r="I2534" s="13" t="str">
        <f>IFERROR(__xludf.DUMMYFUNCTION("""COMPUTED_VALUE"""),"SELESAI (VIA PERMOHONAN)")</f>
        <v>SELESAI (VIA PERMOHONAN)</v>
      </c>
      <c r="J2534" s="17">
        <f>IFERROR(__xludf.DUMMYFUNCTION("""COMPUTED_VALUE"""),45824.619570717594)</f>
        <v>45824.61957</v>
      </c>
      <c r="K2534" s="13" t="str">
        <f>IFERROR(__xludf.DUMMYFUNCTION("""COMPUTED_VALUE"""),"Selesai")</f>
        <v>Selesai</v>
      </c>
      <c r="L2534" s="17">
        <f>IFERROR(__xludf.DUMMYFUNCTION("""COMPUTED_VALUE"""),45824.619570717594)</f>
        <v>45824.61957</v>
      </c>
      <c r="M2534" s="13"/>
      <c r="N2534" s="13" t="str">
        <f>IFERROR(__xludf.DUMMYFUNCTION("""COMPUTED_VALUE"""),"")</f>
        <v/>
      </c>
      <c r="O2534" s="13" t="str">
        <f t="shared" si="1"/>
        <v/>
      </c>
    </row>
    <row r="2535" ht="22.5" customHeight="1">
      <c r="B2535" s="13">
        <f>IFERROR(__xludf.DUMMYFUNCTION("""COMPUTED_VALUE"""),2530.0)</f>
        <v>2530</v>
      </c>
      <c r="C2535" s="13" t="str">
        <f>IFERROR(__xludf.DUMMYFUNCTION("""COMPUTED_VALUE"""),"M. 1030/ Durian Payung")</f>
        <v>M. 1030/ Durian Payung</v>
      </c>
      <c r="D2535" s="13" t="str">
        <f>IFERROR(__xludf.DUMMYFUNCTION("""COMPUTED_VALUE"""),"K/36/030625/1")</f>
        <v>K/36/030625/1</v>
      </c>
      <c r="E2535" s="14" t="str">
        <f>IFERROR(__xludf.DUMMYFUNCTION("""COMPUTED_VALUE"""),"Afriza (BT)")</f>
        <v>Afriza (BT)</v>
      </c>
      <c r="F2535" s="14" t="str">
        <f>IFERROR(__xludf.DUMMYFUNCTION("""COMPUTED_VALUE"""),"SELESAI (VIA PERMOHONAN)")</f>
        <v>SELESAI (VIA PERMOHONAN)</v>
      </c>
      <c r="G2535" s="17">
        <f>IFERROR(__xludf.DUMMYFUNCTION("""COMPUTED_VALUE"""),45824.57401096065)</f>
        <v>45824.57401</v>
      </c>
      <c r="H2535" s="14" t="str">
        <f>IFERROR(__xludf.DUMMYFUNCTION("""COMPUTED_VALUE"""),"Eci (SU)")</f>
        <v>Eci (SU)</v>
      </c>
      <c r="I2535" s="13" t="str">
        <f>IFERROR(__xludf.DUMMYFUNCTION("""COMPUTED_VALUE"""),"SELESAI (VIA PERMOHONAN)")</f>
        <v>SELESAI (VIA PERMOHONAN)</v>
      </c>
      <c r="J2535" s="17">
        <f>IFERROR(__xludf.DUMMYFUNCTION("""COMPUTED_VALUE"""),45824.629496678244)</f>
        <v>45824.6295</v>
      </c>
      <c r="K2535" s="13" t="str">
        <f>IFERROR(__xludf.DUMMYFUNCTION("""COMPUTED_VALUE"""),"Selesai")</f>
        <v>Selesai</v>
      </c>
      <c r="L2535" s="17">
        <f>IFERROR(__xludf.DUMMYFUNCTION("""COMPUTED_VALUE"""),45824.629496678244)</f>
        <v>45824.6295</v>
      </c>
      <c r="M2535" s="13"/>
      <c r="N2535" s="13" t="str">
        <f>IFERROR(__xludf.DUMMYFUNCTION("""COMPUTED_VALUE"""),"")</f>
        <v/>
      </c>
      <c r="O2535" s="13" t="str">
        <f t="shared" si="1"/>
        <v/>
      </c>
    </row>
    <row r="2536" ht="22.5" customHeight="1">
      <c r="B2536" s="13">
        <f>IFERROR(__xludf.DUMMYFUNCTION("""COMPUTED_VALUE"""),2531.0)</f>
        <v>2531</v>
      </c>
      <c r="C2536" s="13" t="str">
        <f>IFERROR(__xludf.DUMMYFUNCTION("""COMPUTED_VALUE"""),"B. 5398/ Beringin Raya")</f>
        <v>B. 5398/ Beringin Raya</v>
      </c>
      <c r="D2536" s="13" t="str">
        <f>IFERROR(__xludf.DUMMYFUNCTION("""COMPUTED_VALUE"""),"K/24/160525/1")</f>
        <v>K/24/160525/1</v>
      </c>
      <c r="E2536" s="14" t="str">
        <f>IFERROR(__xludf.DUMMYFUNCTION("""COMPUTED_VALUE"""),"Afriza (BT)")</f>
        <v>Afriza (BT)</v>
      </c>
      <c r="F2536" s="14" t="str">
        <f>IFERROR(__xludf.DUMMYFUNCTION("""COMPUTED_VALUE"""),"SELESAI (VIA PERMOHONAN)")</f>
        <v>SELESAI (VIA PERMOHONAN)</v>
      </c>
      <c r="G2536" s="17">
        <f>IFERROR(__xludf.DUMMYFUNCTION("""COMPUTED_VALUE"""),45824.57411244213)</f>
        <v>45824.57411</v>
      </c>
      <c r="H2536" s="14" t="str">
        <f>IFERROR(__xludf.DUMMYFUNCTION("""COMPUTED_VALUE"""),"Eci (SU)")</f>
        <v>Eci (SU)</v>
      </c>
      <c r="I2536" s="13" t="str">
        <f>IFERROR(__xludf.DUMMYFUNCTION("""COMPUTED_VALUE"""),"SELESAI (VIA PERMOHONAN)")</f>
        <v>SELESAI (VIA PERMOHONAN)</v>
      </c>
      <c r="J2536" s="17">
        <f>IFERROR(__xludf.DUMMYFUNCTION("""COMPUTED_VALUE"""),45824.619570717594)</f>
        <v>45824.61957</v>
      </c>
      <c r="K2536" s="13" t="str">
        <f>IFERROR(__xludf.DUMMYFUNCTION("""COMPUTED_VALUE"""),"Selesai")</f>
        <v>Selesai</v>
      </c>
      <c r="L2536" s="17">
        <f>IFERROR(__xludf.DUMMYFUNCTION("""COMPUTED_VALUE"""),45824.619570717594)</f>
        <v>45824.61957</v>
      </c>
      <c r="M2536" s="13"/>
      <c r="N2536" s="13" t="str">
        <f>IFERROR(__xludf.DUMMYFUNCTION("""COMPUTED_VALUE"""),"")</f>
        <v/>
      </c>
      <c r="O2536" s="13" t="str">
        <f t="shared" si="1"/>
        <v/>
      </c>
    </row>
    <row r="2537" ht="22.5" customHeight="1">
      <c r="B2537" s="13">
        <f>IFERROR(__xludf.DUMMYFUNCTION("""COMPUTED_VALUE"""),2532.0)</f>
        <v>2532</v>
      </c>
      <c r="C2537" s="13" t="str">
        <f>IFERROR(__xludf.DUMMYFUNCTION("""COMPUTED_VALUE"""),"M. 3730/ Beringin Raya")</f>
        <v>M. 3730/ Beringin Raya</v>
      </c>
      <c r="D2537" s="13" t="str">
        <f>IFERROR(__xludf.DUMMYFUNCTION("""COMPUTED_VALUE"""),"K/34/050625/1")</f>
        <v>K/34/050625/1</v>
      </c>
      <c r="E2537" s="14" t="str">
        <f>IFERROR(__xludf.DUMMYFUNCTION("""COMPUTED_VALUE"""),"Afriza (BT)")</f>
        <v>Afriza (BT)</v>
      </c>
      <c r="F2537" s="14" t="str">
        <f>IFERROR(__xludf.DUMMYFUNCTION("""COMPUTED_VALUE"""),"SELESAI (VIA PERMOHONAN)")</f>
        <v>SELESAI (VIA PERMOHONAN)</v>
      </c>
      <c r="G2537" s="17">
        <f>IFERROR(__xludf.DUMMYFUNCTION("""COMPUTED_VALUE"""),45824.574779780094)</f>
        <v>45824.57478</v>
      </c>
      <c r="H2537" s="14" t="str">
        <f>IFERROR(__xludf.DUMMYFUNCTION("""COMPUTED_VALUE"""),"Eci (SU)")</f>
        <v>Eci (SU)</v>
      </c>
      <c r="I2537" s="13" t="str">
        <f>IFERROR(__xludf.DUMMYFUNCTION("""COMPUTED_VALUE"""),"SELESAI (VIA PERMOHONAN)")</f>
        <v>SELESAI (VIA PERMOHONAN)</v>
      </c>
      <c r="J2537" s="17">
        <f>IFERROR(__xludf.DUMMYFUNCTION("""COMPUTED_VALUE"""),45824.61964071759)</f>
        <v>45824.61964</v>
      </c>
      <c r="K2537" s="13" t="str">
        <f>IFERROR(__xludf.DUMMYFUNCTION("""COMPUTED_VALUE"""),"Selesai")</f>
        <v>Selesai</v>
      </c>
      <c r="L2537" s="17">
        <f>IFERROR(__xludf.DUMMYFUNCTION("""COMPUTED_VALUE"""),45824.61964071759)</f>
        <v>45824.61964</v>
      </c>
      <c r="M2537" s="13"/>
      <c r="N2537" s="13" t="str">
        <f>IFERROR(__xludf.DUMMYFUNCTION("""COMPUTED_VALUE"""),"")</f>
        <v/>
      </c>
      <c r="O2537" s="13" t="str">
        <f t="shared" si="1"/>
        <v/>
      </c>
    </row>
    <row r="2538" ht="22.5" customHeight="1">
      <c r="B2538" s="13">
        <f>IFERROR(__xludf.DUMMYFUNCTION("""COMPUTED_VALUE"""),2533.0)</f>
        <v>2533</v>
      </c>
      <c r="C2538" s="13" t="str">
        <f>IFERROR(__xludf.DUMMYFUNCTION("""COMPUTED_VALUE"""),"M. 3074/ Keteguhan")</f>
        <v>M. 3074/ Keteguhan</v>
      </c>
      <c r="D2538" s="13" t="str">
        <f>IFERROR(__xludf.DUMMYFUNCTION("""COMPUTED_VALUE"""),"K/38/050625/1")</f>
        <v>K/38/050625/1</v>
      </c>
      <c r="E2538" s="14" t="str">
        <f>IFERROR(__xludf.DUMMYFUNCTION("""COMPUTED_VALUE"""),"Afriza (BT)")</f>
        <v>Afriza (BT)</v>
      </c>
      <c r="F2538" s="14" t="str">
        <f>IFERROR(__xludf.DUMMYFUNCTION("""COMPUTED_VALUE"""),"SELESAI (VIA PERMOHONAN)")</f>
        <v>SELESAI (VIA PERMOHONAN)</v>
      </c>
      <c r="G2538" s="17">
        <f>IFERROR(__xludf.DUMMYFUNCTION("""COMPUTED_VALUE"""),45824.57488324074)</f>
        <v>45824.57488</v>
      </c>
      <c r="H2538" s="14" t="str">
        <f>IFERROR(__xludf.DUMMYFUNCTION("""COMPUTED_VALUE"""),"Eci (SU)")</f>
        <v>Eci (SU)</v>
      </c>
      <c r="I2538" s="13" t="str">
        <f>IFERROR(__xludf.DUMMYFUNCTION("""COMPUTED_VALUE"""),"SELESAI (VIA PERMOHONAN)")</f>
        <v>SELESAI (VIA PERMOHONAN)</v>
      </c>
      <c r="J2538" s="17">
        <f>IFERROR(__xludf.DUMMYFUNCTION("""COMPUTED_VALUE"""),45824.619680821765)</f>
        <v>45824.61968</v>
      </c>
      <c r="K2538" s="13" t="str">
        <f>IFERROR(__xludf.DUMMYFUNCTION("""COMPUTED_VALUE"""),"Selesai")</f>
        <v>Selesai</v>
      </c>
      <c r="L2538" s="17">
        <f>IFERROR(__xludf.DUMMYFUNCTION("""COMPUTED_VALUE"""),45824.619680821765)</f>
        <v>45824.61968</v>
      </c>
      <c r="M2538" s="13"/>
      <c r="N2538" s="13" t="str">
        <f>IFERROR(__xludf.DUMMYFUNCTION("""COMPUTED_VALUE"""),"")</f>
        <v/>
      </c>
      <c r="O2538" s="13" t="str">
        <f t="shared" si="1"/>
        <v/>
      </c>
    </row>
    <row r="2539" ht="22.5" customHeight="1">
      <c r="B2539" s="13">
        <f>IFERROR(__xludf.DUMMYFUNCTION("""COMPUTED_VALUE"""),2534.0)</f>
        <v>2534</v>
      </c>
      <c r="C2539" s="13" t="str">
        <f>IFERROR(__xludf.DUMMYFUNCTION("""COMPUTED_VALUE"""),"M. 1087/ Korpri Jaya")</f>
        <v>M. 1087/ Korpri Jaya</v>
      </c>
      <c r="D2539" s="13" t="str">
        <f>IFERROR(__xludf.DUMMYFUNCTION("""COMPUTED_VALUE"""),"K/3/140525/1")</f>
        <v>K/3/140525/1</v>
      </c>
      <c r="E2539" s="14" t="str">
        <f>IFERROR(__xludf.DUMMYFUNCTION("""COMPUTED_VALUE"""),"Afriza (BT)")</f>
        <v>Afriza (BT)</v>
      </c>
      <c r="F2539" s="14" t="str">
        <f>IFERROR(__xludf.DUMMYFUNCTION("""COMPUTED_VALUE"""),"SELESAI (VIA PERMOHONAN)")</f>
        <v>SELESAI (VIA PERMOHONAN)</v>
      </c>
      <c r="G2539" s="17">
        <f>IFERROR(__xludf.DUMMYFUNCTION("""COMPUTED_VALUE"""),45824.57501163194)</f>
        <v>45824.57501</v>
      </c>
      <c r="H2539" s="14" t="str">
        <f>IFERROR(__xludf.DUMMYFUNCTION("""COMPUTED_VALUE"""),"Eci (SU)")</f>
        <v>Eci (SU)</v>
      </c>
      <c r="I2539" s="13" t="str">
        <f>IFERROR(__xludf.DUMMYFUNCTION("""COMPUTED_VALUE"""),"SELESAI (VIA PERMOHONAN)")</f>
        <v>SELESAI (VIA PERMOHONAN)</v>
      </c>
      <c r="J2539" s="17">
        <f>IFERROR(__xludf.DUMMYFUNCTION("""COMPUTED_VALUE"""),45824.61975248843)</f>
        <v>45824.61975</v>
      </c>
      <c r="K2539" s="13" t="str">
        <f>IFERROR(__xludf.DUMMYFUNCTION("""COMPUTED_VALUE"""),"Selesai")</f>
        <v>Selesai</v>
      </c>
      <c r="L2539" s="17">
        <f>IFERROR(__xludf.DUMMYFUNCTION("""COMPUTED_VALUE"""),45824.61975248843)</f>
        <v>45824.61975</v>
      </c>
      <c r="M2539" s="13"/>
      <c r="N2539" s="13" t="str">
        <f>IFERROR(__xludf.DUMMYFUNCTION("""COMPUTED_VALUE"""),"")</f>
        <v/>
      </c>
      <c r="O2539" s="13" t="str">
        <f t="shared" si="1"/>
        <v/>
      </c>
    </row>
    <row r="2540" ht="22.5" customHeight="1">
      <c r="B2540" s="13">
        <f>IFERROR(__xludf.DUMMYFUNCTION("""COMPUTED_VALUE"""),2535.0)</f>
        <v>2535</v>
      </c>
      <c r="C2540" s="13" t="str">
        <f>IFERROR(__xludf.DUMMYFUNCTION("""COMPUTED_VALUE"""),"M. 13996/ Tanjung Baru")</f>
        <v>M. 13996/ Tanjung Baru</v>
      </c>
      <c r="D2540" s="13" t="str">
        <f>IFERROR(__xludf.DUMMYFUNCTION("""COMPUTED_VALUE"""),"K/15/210525/1")</f>
        <v>K/15/210525/1</v>
      </c>
      <c r="E2540" s="14" t="str">
        <f>IFERROR(__xludf.DUMMYFUNCTION("""COMPUTED_VALUE"""),"Afriza (BT)")</f>
        <v>Afriza (BT)</v>
      </c>
      <c r="F2540" s="14" t="str">
        <f>IFERROR(__xludf.DUMMYFUNCTION("""COMPUTED_VALUE"""),"SELESAI (VIA PERMOHONAN)")</f>
        <v>SELESAI (VIA PERMOHONAN)</v>
      </c>
      <c r="G2540" s="17">
        <f>IFERROR(__xludf.DUMMYFUNCTION("""COMPUTED_VALUE"""),45824.57533766204)</f>
        <v>45824.57534</v>
      </c>
      <c r="H2540" s="14" t="str">
        <f>IFERROR(__xludf.DUMMYFUNCTION("""COMPUTED_VALUE"""),"Eci (SU)")</f>
        <v>Eci (SU)</v>
      </c>
      <c r="I2540" s="13" t="str">
        <f>IFERROR(__xludf.DUMMYFUNCTION("""COMPUTED_VALUE"""),"SELESAI (VIA PERMOHONAN)")</f>
        <v>SELESAI (VIA PERMOHONAN)</v>
      </c>
      <c r="J2540" s="17">
        <f>IFERROR(__xludf.DUMMYFUNCTION("""COMPUTED_VALUE"""),45824.61987193287)</f>
        <v>45824.61987</v>
      </c>
      <c r="K2540" s="13" t="str">
        <f>IFERROR(__xludf.DUMMYFUNCTION("""COMPUTED_VALUE"""),"Selesai")</f>
        <v>Selesai</v>
      </c>
      <c r="L2540" s="17">
        <f>IFERROR(__xludf.DUMMYFUNCTION("""COMPUTED_VALUE"""),45824.61987193287)</f>
        <v>45824.61987</v>
      </c>
      <c r="M2540" s="13"/>
      <c r="N2540" s="13" t="str">
        <f>IFERROR(__xludf.DUMMYFUNCTION("""COMPUTED_VALUE"""),"")</f>
        <v/>
      </c>
      <c r="O2540" s="13" t="str">
        <f t="shared" si="1"/>
        <v/>
      </c>
    </row>
    <row r="2541" ht="22.5" customHeight="1">
      <c r="B2541" s="13">
        <f>IFERROR(__xludf.DUMMYFUNCTION("""COMPUTED_VALUE"""),2536.0)</f>
        <v>2536</v>
      </c>
      <c r="C2541" s="13" t="str">
        <f>IFERROR(__xludf.DUMMYFUNCTION("""COMPUTED_VALUE"""),"M. 918/ Korpri Jaya")</f>
        <v>M. 918/ Korpri Jaya</v>
      </c>
      <c r="D2541" s="13" t="str">
        <f>IFERROR(__xludf.DUMMYFUNCTION("""COMPUTED_VALUE"""),"K/18/210425/1")</f>
        <v>K/18/210425/1</v>
      </c>
      <c r="E2541" s="14" t="str">
        <f>IFERROR(__xludf.DUMMYFUNCTION("""COMPUTED_VALUE"""),"Afriza (BT)")</f>
        <v>Afriza (BT)</v>
      </c>
      <c r="F2541" s="14" t="str">
        <f>IFERROR(__xludf.DUMMYFUNCTION("""COMPUTED_VALUE"""),"SELESAI (VIA PERMOHONAN)")</f>
        <v>SELESAI (VIA PERMOHONAN)</v>
      </c>
      <c r="G2541" s="17">
        <f>IFERROR(__xludf.DUMMYFUNCTION("""COMPUTED_VALUE"""),45824.57544238426)</f>
        <v>45824.57544</v>
      </c>
      <c r="H2541" s="14" t="str">
        <f>IFERROR(__xludf.DUMMYFUNCTION("""COMPUTED_VALUE"""),"Eci (SU)")</f>
        <v>Eci (SU)</v>
      </c>
      <c r="I2541" s="13" t="str">
        <f>IFERROR(__xludf.DUMMYFUNCTION("""COMPUTED_VALUE"""),"SELESAI (VIA PERMOHONAN)")</f>
        <v>SELESAI (VIA PERMOHONAN)</v>
      </c>
      <c r="J2541" s="17">
        <f>IFERROR(__xludf.DUMMYFUNCTION("""COMPUTED_VALUE"""),45824.61995060185)</f>
        <v>45824.61995</v>
      </c>
      <c r="K2541" s="13" t="str">
        <f>IFERROR(__xludf.DUMMYFUNCTION("""COMPUTED_VALUE"""),"Selesai")</f>
        <v>Selesai</v>
      </c>
      <c r="L2541" s="17">
        <f>IFERROR(__xludf.DUMMYFUNCTION("""COMPUTED_VALUE"""),45824.61995060185)</f>
        <v>45824.61995</v>
      </c>
      <c r="M2541" s="13"/>
      <c r="N2541" s="13" t="str">
        <f>IFERROR(__xludf.DUMMYFUNCTION("""COMPUTED_VALUE"""),"")</f>
        <v/>
      </c>
      <c r="O2541" s="13" t="str">
        <f t="shared" si="1"/>
        <v/>
      </c>
    </row>
    <row r="2542" ht="22.5" customHeight="1">
      <c r="B2542" s="13">
        <f>IFERROR(__xludf.DUMMYFUNCTION("""COMPUTED_VALUE"""),2537.0)</f>
        <v>2537</v>
      </c>
      <c r="C2542" s="13" t="str">
        <f>IFERROR(__xludf.DUMMYFUNCTION("""COMPUTED_VALUE"""),"M. 105/ Bakung")</f>
        <v>M. 105/ Bakung</v>
      </c>
      <c r="D2542" s="13" t="str">
        <f>IFERROR(__xludf.DUMMYFUNCTION("""COMPUTED_VALUE"""),"K/22/020625/2")</f>
        <v>K/22/020625/2</v>
      </c>
      <c r="E2542" s="14" t="str">
        <f>IFERROR(__xludf.DUMMYFUNCTION("""COMPUTED_VALUE"""),"Afriza (BT)")</f>
        <v>Afriza (BT)</v>
      </c>
      <c r="F2542" s="14" t="str">
        <f>IFERROR(__xludf.DUMMYFUNCTION("""COMPUTED_VALUE"""),"SELESAI (VIA PERMOHONAN)")</f>
        <v>SELESAI (VIA PERMOHONAN)</v>
      </c>
      <c r="G2542" s="17">
        <f>IFERROR(__xludf.DUMMYFUNCTION("""COMPUTED_VALUE"""),45824.5756353125)</f>
        <v>45824.57564</v>
      </c>
      <c r="H2542" s="14" t="str">
        <f>IFERROR(__xludf.DUMMYFUNCTION("""COMPUTED_VALUE"""),"Eci (SU)")</f>
        <v>Eci (SU)</v>
      </c>
      <c r="I2542" s="13" t="str">
        <f>IFERROR(__xludf.DUMMYFUNCTION("""COMPUTED_VALUE"""),"SELESAI (VIA PERMOHONAN)")</f>
        <v>SELESAI (VIA PERMOHONAN)</v>
      </c>
      <c r="J2542" s="17">
        <f>IFERROR(__xludf.DUMMYFUNCTION("""COMPUTED_VALUE"""),45824.62055461806)</f>
        <v>45824.62055</v>
      </c>
      <c r="K2542" s="13" t="str">
        <f>IFERROR(__xludf.DUMMYFUNCTION("""COMPUTED_VALUE"""),"Selesai")</f>
        <v>Selesai</v>
      </c>
      <c r="L2542" s="17">
        <f>IFERROR(__xludf.DUMMYFUNCTION("""COMPUTED_VALUE"""),45824.62055461806)</f>
        <v>45824.62055</v>
      </c>
      <c r="M2542" s="13"/>
      <c r="N2542" s="13" t="str">
        <f>IFERROR(__xludf.DUMMYFUNCTION("""COMPUTED_VALUE"""),"")</f>
        <v/>
      </c>
      <c r="O2542" s="13" t="str">
        <f t="shared" si="1"/>
        <v/>
      </c>
    </row>
    <row r="2543" ht="22.5" customHeight="1">
      <c r="B2543" s="13">
        <f>IFERROR(__xludf.DUMMYFUNCTION("""COMPUTED_VALUE"""),2538.0)</f>
        <v>2538</v>
      </c>
      <c r="C2543" s="13" t="str">
        <f>IFERROR(__xludf.DUMMYFUNCTION("""COMPUTED_VALUE"""),"M.649/WAY HALIM PERMAI")</f>
        <v>M.649/WAY HALIM PERMAI</v>
      </c>
      <c r="D2543" s="13" t="str">
        <f>IFERROR(__xludf.DUMMYFUNCTION("""COMPUTED_VALUE"""),"K/13/200525/2")</f>
        <v>K/13/200525/2</v>
      </c>
      <c r="E2543" s="14" t="str">
        <f>IFERROR(__xludf.DUMMYFUNCTION("""COMPUTED_VALUE"""),"Afriza (BT)")</f>
        <v>Afriza (BT)</v>
      </c>
      <c r="F2543" s="14" t="str">
        <f>IFERROR(__xludf.DUMMYFUNCTION("""COMPUTED_VALUE"""),"SELESAI (VIA PERMOHONAN)")</f>
        <v>SELESAI (VIA PERMOHONAN)</v>
      </c>
      <c r="G2543" s="17">
        <f>IFERROR(__xludf.DUMMYFUNCTION("""COMPUTED_VALUE"""),45824.57579594907)</f>
        <v>45824.5758</v>
      </c>
      <c r="H2543" s="14" t="str">
        <f>IFERROR(__xludf.DUMMYFUNCTION("""COMPUTED_VALUE"""),"Eci (SU)")</f>
        <v>Eci (SU)</v>
      </c>
      <c r="I2543" s="13" t="str">
        <f>IFERROR(__xludf.DUMMYFUNCTION("""COMPUTED_VALUE"""),"SELESAI (VIA PERMOHONAN)")</f>
        <v>SELESAI (VIA PERMOHONAN)</v>
      </c>
      <c r="J2543" s="17">
        <f>IFERROR(__xludf.DUMMYFUNCTION("""COMPUTED_VALUE"""),45824.62064634259)</f>
        <v>45824.62065</v>
      </c>
      <c r="K2543" s="13" t="str">
        <f>IFERROR(__xludf.DUMMYFUNCTION("""COMPUTED_VALUE"""),"Selesai")</f>
        <v>Selesai</v>
      </c>
      <c r="L2543" s="17">
        <f>IFERROR(__xludf.DUMMYFUNCTION("""COMPUTED_VALUE"""),45824.62064634259)</f>
        <v>45824.62065</v>
      </c>
      <c r="M2543" s="13"/>
      <c r="N2543" s="13" t="str">
        <f>IFERROR(__xludf.DUMMYFUNCTION("""COMPUTED_VALUE"""),"")</f>
        <v/>
      </c>
      <c r="O2543" s="13" t="str">
        <f t="shared" si="1"/>
        <v/>
      </c>
    </row>
    <row r="2544" ht="22.5" customHeight="1">
      <c r="B2544" s="13">
        <f>IFERROR(__xludf.DUMMYFUNCTION("""COMPUTED_VALUE"""),2539.0)</f>
        <v>2539</v>
      </c>
      <c r="C2544" s="13" t="str">
        <f>IFERROR(__xludf.DUMMYFUNCTION("""COMPUTED_VALUE"""),"M.1894/SUKABUMI INDAH")</f>
        <v>M.1894/SUKABUMI INDAH</v>
      </c>
      <c r="D2544" s="13" t="str">
        <f>IFERROR(__xludf.DUMMYFUNCTION("""COMPUTED_VALUE"""),"K/14/030625/3")</f>
        <v>K/14/030625/3</v>
      </c>
      <c r="E2544" s="14" t="str">
        <f>IFERROR(__xludf.DUMMYFUNCTION("""COMPUTED_VALUE"""),"Afriza (BT)")</f>
        <v>Afriza (BT)</v>
      </c>
      <c r="F2544" s="14" t="str">
        <f>IFERROR(__xludf.DUMMYFUNCTION("""COMPUTED_VALUE"""),"SELESAI (VIA PERMOHONAN)")</f>
        <v>SELESAI (VIA PERMOHONAN)</v>
      </c>
      <c r="G2544" s="17">
        <f>IFERROR(__xludf.DUMMYFUNCTION("""COMPUTED_VALUE"""),45824.57589212963)</f>
        <v>45824.57589</v>
      </c>
      <c r="H2544" s="14" t="str">
        <f>IFERROR(__xludf.DUMMYFUNCTION("""COMPUTED_VALUE"""),"Eci (SU)")</f>
        <v>Eci (SU)</v>
      </c>
      <c r="I2544" s="13" t="str">
        <f>IFERROR(__xludf.DUMMYFUNCTION("""COMPUTED_VALUE"""),"SELESAI (VIA PERMOHONAN)")</f>
        <v>SELESAI (VIA PERMOHONAN)</v>
      </c>
      <c r="J2544" s="17">
        <f>IFERROR(__xludf.DUMMYFUNCTION("""COMPUTED_VALUE"""),45824.620942615744)</f>
        <v>45824.62094</v>
      </c>
      <c r="K2544" s="13" t="str">
        <f>IFERROR(__xludf.DUMMYFUNCTION("""COMPUTED_VALUE"""),"Selesai")</f>
        <v>Selesai</v>
      </c>
      <c r="L2544" s="17">
        <f>IFERROR(__xludf.DUMMYFUNCTION("""COMPUTED_VALUE"""),45824.620942615744)</f>
        <v>45824.62094</v>
      </c>
      <c r="M2544" s="13"/>
      <c r="N2544" s="13" t="str">
        <f>IFERROR(__xludf.DUMMYFUNCTION("""COMPUTED_VALUE"""),"")</f>
        <v/>
      </c>
      <c r="O2544" s="13" t="str">
        <f t="shared" si="1"/>
        <v/>
      </c>
    </row>
    <row r="2545" ht="22.5" customHeight="1">
      <c r="B2545" s="13">
        <f>IFERROR(__xludf.DUMMYFUNCTION("""COMPUTED_VALUE"""),2540.0)</f>
        <v>2540</v>
      </c>
      <c r="C2545" s="13" t="str">
        <f>IFERROR(__xludf.DUMMYFUNCTION("""COMPUTED_VALUE"""),"M.773/KEBON JERUK")</f>
        <v>M.773/KEBON JERUK</v>
      </c>
      <c r="D2545" s="13" t="str">
        <f>IFERROR(__xludf.DUMMYFUNCTION("""COMPUTED_VALUE"""),"K/18/030625/1")</f>
        <v>K/18/030625/1</v>
      </c>
      <c r="E2545" s="14" t="str">
        <f>IFERROR(__xludf.DUMMYFUNCTION("""COMPUTED_VALUE"""),"Afriza (BT)")</f>
        <v>Afriza (BT)</v>
      </c>
      <c r="F2545" s="14" t="str">
        <f>IFERROR(__xludf.DUMMYFUNCTION("""COMPUTED_VALUE"""),"SELESAI (VIA PERMOHONAN)")</f>
        <v>SELESAI (VIA PERMOHONAN)</v>
      </c>
      <c r="G2545" s="17">
        <f>IFERROR(__xludf.DUMMYFUNCTION("""COMPUTED_VALUE"""),45824.57597420139)</f>
        <v>45824.57597</v>
      </c>
      <c r="H2545" s="14" t="str">
        <f>IFERROR(__xludf.DUMMYFUNCTION("""COMPUTED_VALUE"""),"Eci (SU)")</f>
        <v>Eci (SU)</v>
      </c>
      <c r="I2545" s="13" t="str">
        <f>IFERROR(__xludf.DUMMYFUNCTION("""COMPUTED_VALUE"""),"SELESAI (VIA PERMOHONAN)")</f>
        <v>SELESAI (VIA PERMOHONAN)</v>
      </c>
      <c r="J2545" s="17">
        <f>IFERROR(__xludf.DUMMYFUNCTION("""COMPUTED_VALUE"""),45824.621137071765)</f>
        <v>45824.62114</v>
      </c>
      <c r="K2545" s="13" t="str">
        <f>IFERROR(__xludf.DUMMYFUNCTION("""COMPUTED_VALUE"""),"Selesai")</f>
        <v>Selesai</v>
      </c>
      <c r="L2545" s="17">
        <f>IFERROR(__xludf.DUMMYFUNCTION("""COMPUTED_VALUE"""),45824.621137071765)</f>
        <v>45824.62114</v>
      </c>
      <c r="M2545" s="13"/>
      <c r="N2545" s="13" t="str">
        <f>IFERROR(__xludf.DUMMYFUNCTION("""COMPUTED_VALUE"""),"")</f>
        <v/>
      </c>
      <c r="O2545" s="13" t="str">
        <f t="shared" si="1"/>
        <v/>
      </c>
    </row>
    <row r="2546" ht="22.5" customHeight="1">
      <c r="B2546" s="13">
        <f>IFERROR(__xludf.DUMMYFUNCTION("""COMPUTED_VALUE"""),2541.0)</f>
        <v>2541</v>
      </c>
      <c r="C2546" s="13" t="str">
        <f>IFERROR(__xludf.DUMMYFUNCTION("""COMPUTED_VALUE"""),"M.9456/KAMPUNG BARU")</f>
        <v>M.9456/KAMPUNG BARU</v>
      </c>
      <c r="D2546" s="13" t="str">
        <f>IFERROR(__xludf.DUMMYFUNCTION("""COMPUTED_VALUE"""),"K/31/280525/1")</f>
        <v>K/31/280525/1</v>
      </c>
      <c r="E2546" s="14" t="str">
        <f>IFERROR(__xludf.DUMMYFUNCTION("""COMPUTED_VALUE"""),"Afriza (BT)")</f>
        <v>Afriza (BT)</v>
      </c>
      <c r="F2546" s="14" t="str">
        <f>IFERROR(__xludf.DUMMYFUNCTION("""COMPUTED_VALUE"""),"SELESAI (VIA PERMOHONAN)")</f>
        <v>SELESAI (VIA PERMOHONAN)</v>
      </c>
      <c r="G2546" s="17">
        <f>IFERROR(__xludf.DUMMYFUNCTION("""COMPUTED_VALUE"""),45824.576237326386)</f>
        <v>45824.57624</v>
      </c>
      <c r="H2546" s="14" t="str">
        <f>IFERROR(__xludf.DUMMYFUNCTION("""COMPUTED_VALUE"""),"Eci (SU)")</f>
        <v>Eci (SU)</v>
      </c>
      <c r="I2546" s="13" t="str">
        <f>IFERROR(__xludf.DUMMYFUNCTION("""COMPUTED_VALUE"""),"SELESAI (VIA PERMOHONAN)")</f>
        <v>SELESAI (VIA PERMOHONAN)</v>
      </c>
      <c r="J2546" s="17">
        <f>IFERROR(__xludf.DUMMYFUNCTION("""COMPUTED_VALUE"""),45824.62114246528)</f>
        <v>45824.62114</v>
      </c>
      <c r="K2546" s="13" t="str">
        <f>IFERROR(__xludf.DUMMYFUNCTION("""COMPUTED_VALUE"""),"Selesai")</f>
        <v>Selesai</v>
      </c>
      <c r="L2546" s="17">
        <f>IFERROR(__xludf.DUMMYFUNCTION("""COMPUTED_VALUE"""),45824.62114246528)</f>
        <v>45824.62114</v>
      </c>
      <c r="M2546" s="13"/>
      <c r="N2546" s="13" t="str">
        <f>IFERROR(__xludf.DUMMYFUNCTION("""COMPUTED_VALUE"""),"")</f>
        <v/>
      </c>
      <c r="O2546" s="13" t="str">
        <f t="shared" si="1"/>
        <v/>
      </c>
    </row>
    <row r="2547" ht="22.5" customHeight="1">
      <c r="B2547" s="13">
        <f>IFERROR(__xludf.DUMMYFUNCTION("""COMPUTED_VALUE"""),2542.0)</f>
        <v>2542</v>
      </c>
      <c r="C2547" s="13" t="str">
        <f>IFERROR(__xludf.DUMMYFUNCTION("""COMPUTED_VALUE"""),"M.318/TANJUNG SENENG")</f>
        <v>M.318/TANJUNG SENENG</v>
      </c>
      <c r="D2547" s="13" t="str">
        <f>IFERROR(__xludf.DUMMYFUNCTION("""COMPUTED_VALUE"""),"K/37/190525/1")</f>
        <v>K/37/190525/1</v>
      </c>
      <c r="E2547" s="14" t="str">
        <f>IFERROR(__xludf.DUMMYFUNCTION("""COMPUTED_VALUE"""),"Afriza (BT)")</f>
        <v>Afriza (BT)</v>
      </c>
      <c r="F2547" s="14" t="str">
        <f>IFERROR(__xludf.DUMMYFUNCTION("""COMPUTED_VALUE"""),"SELESAI (VIA PERMOHONAN)")</f>
        <v>SELESAI (VIA PERMOHONAN)</v>
      </c>
      <c r="G2547" s="17">
        <f>IFERROR(__xludf.DUMMYFUNCTION("""COMPUTED_VALUE"""),45824.57634136574)</f>
        <v>45824.57634</v>
      </c>
      <c r="H2547" s="14" t="str">
        <f>IFERROR(__xludf.DUMMYFUNCTION("""COMPUTED_VALUE"""),"Eci (SU)")</f>
        <v>Eci (SU)</v>
      </c>
      <c r="I2547" s="13" t="str">
        <f>IFERROR(__xludf.DUMMYFUNCTION("""COMPUTED_VALUE"""),"SELESAI (VIA PERMOHONAN)")</f>
        <v>SELESAI (VIA PERMOHONAN)</v>
      </c>
      <c r="J2547" s="17">
        <f>IFERROR(__xludf.DUMMYFUNCTION("""COMPUTED_VALUE"""),45824.621298275466)</f>
        <v>45824.6213</v>
      </c>
      <c r="K2547" s="13" t="str">
        <f>IFERROR(__xludf.DUMMYFUNCTION("""COMPUTED_VALUE"""),"Selesai")</f>
        <v>Selesai</v>
      </c>
      <c r="L2547" s="17">
        <f>IFERROR(__xludf.DUMMYFUNCTION("""COMPUTED_VALUE"""),45824.621298275466)</f>
        <v>45824.6213</v>
      </c>
      <c r="M2547" s="13"/>
      <c r="N2547" s="13" t="str">
        <f>IFERROR(__xludf.DUMMYFUNCTION("""COMPUTED_VALUE"""),"")</f>
        <v/>
      </c>
      <c r="O2547" s="13" t="str">
        <f t="shared" si="1"/>
        <v/>
      </c>
    </row>
    <row r="2548" ht="22.5" customHeight="1">
      <c r="B2548" s="13">
        <f>IFERROR(__xludf.DUMMYFUNCTION("""COMPUTED_VALUE"""),2543.0)</f>
        <v>2543</v>
      </c>
      <c r="C2548" s="13" t="str">
        <f>IFERROR(__xludf.DUMMYFUNCTION("""COMPUTED_VALUE"""),"315/ Nusantara Permai")</f>
        <v>315/ Nusantara Permai</v>
      </c>
      <c r="D2548" s="13" t="str">
        <f>IFERROR(__xludf.DUMMYFUNCTION("""COMPUTED_VALUE"""),"")</f>
        <v/>
      </c>
      <c r="E2548" s="14"/>
      <c r="F2548" s="14"/>
      <c r="G2548" s="17" t="str">
        <f>IFERROR(__xludf.DUMMYFUNCTION("""COMPUTED_VALUE"""),"")</f>
        <v/>
      </c>
      <c r="H2548" s="14" t="str">
        <f>IFERROR(__xludf.DUMMYFUNCTION("""COMPUTED_VALUE"""),"Eci (SU)")</f>
        <v>Eci (SU)</v>
      </c>
      <c r="I2548" s="13" t="str">
        <f>IFERROR(__xludf.DUMMYFUNCTION("""COMPUTED_VALUE"""),"SELESAI (VIA PERMOHONAN)")</f>
        <v>SELESAI (VIA PERMOHONAN)</v>
      </c>
      <c r="J2548" s="17">
        <f>IFERROR(__xludf.DUMMYFUNCTION("""COMPUTED_VALUE"""),45824.629880266206)</f>
        <v>45824.62988</v>
      </c>
      <c r="K2548" s="13" t="str">
        <f>IFERROR(__xludf.DUMMYFUNCTION("""COMPUTED_VALUE"""),"")</f>
        <v/>
      </c>
      <c r="L2548" s="13" t="str">
        <f>IFERROR(__xludf.DUMMYFUNCTION("""COMPUTED_VALUE"""),"")</f>
        <v/>
      </c>
      <c r="M2548" s="13"/>
      <c r="N2548" s="13" t="str">
        <f>IFERROR(__xludf.DUMMYFUNCTION("""COMPUTED_VALUE"""),"")</f>
        <v/>
      </c>
      <c r="O2548" s="13" t="str">
        <f t="shared" si="1"/>
        <v/>
      </c>
    </row>
    <row r="2549" ht="22.5" customHeight="1">
      <c r="B2549" s="13">
        <f>IFERROR(__xludf.DUMMYFUNCTION("""COMPUTED_VALUE"""),2544.0)</f>
        <v>2544</v>
      </c>
      <c r="C2549" s="13" t="str">
        <f>IFERROR(__xludf.DUMMYFUNCTION("""COMPUTED_VALUE"""),"M. 2601, 2602/SUMBEREJO KEMILING ")</f>
        <v>M. 2601, 2602/SUMBEREJO KEMILING </v>
      </c>
      <c r="D2549" s="13" t="str">
        <f>IFERROR(__xludf.DUMMYFUNCTION("""COMPUTED_VALUE"""),"K/24/020625/1")</f>
        <v>K/24/020625/1</v>
      </c>
      <c r="E2549" s="14" t="str">
        <f>IFERROR(__xludf.DUMMYFUNCTION("""COMPUTED_VALUE"""),"Heri (BT)")</f>
        <v>Heri (BT)</v>
      </c>
      <c r="F2549" s="14" t="str">
        <f>IFERROR(__xludf.DUMMYFUNCTION("""COMPUTED_VALUE"""),"SELESAI (VIA PERMOHONAN)")</f>
        <v>SELESAI (VIA PERMOHONAN)</v>
      </c>
      <c r="G2549" s="17">
        <f>IFERROR(__xludf.DUMMYFUNCTION("""COMPUTED_VALUE"""),45825.38082898148)</f>
        <v>45825.38083</v>
      </c>
      <c r="H2549" s="14" t="str">
        <f>IFERROR(__xludf.DUMMYFUNCTION("""COMPUTED_VALUE"""),"Eci (SU)")</f>
        <v>Eci (SU)</v>
      </c>
      <c r="I2549" s="13" t="str">
        <f>IFERROR(__xludf.DUMMYFUNCTION("""COMPUTED_VALUE"""),"SELESAI (VIA PERMOHONAN)")</f>
        <v>SELESAI (VIA PERMOHONAN)</v>
      </c>
      <c r="J2549" s="17">
        <f>IFERROR(__xludf.DUMMYFUNCTION("""COMPUTED_VALUE"""),45825.45796315972)</f>
        <v>45825.45796</v>
      </c>
      <c r="K2549" s="13" t="str">
        <f>IFERROR(__xludf.DUMMYFUNCTION("""COMPUTED_VALUE"""),"Selesai")</f>
        <v>Selesai</v>
      </c>
      <c r="L2549" s="17">
        <f>IFERROR(__xludf.DUMMYFUNCTION("""COMPUTED_VALUE"""),45825.45796315972)</f>
        <v>45825.45796</v>
      </c>
      <c r="M2549" s="13"/>
      <c r="N2549" s="13" t="str">
        <f>IFERROR(__xludf.DUMMYFUNCTION("""COMPUTED_VALUE"""),"")</f>
        <v/>
      </c>
      <c r="O2549" s="13" t="str">
        <f t="shared" si="1"/>
        <v/>
      </c>
    </row>
    <row r="2550" ht="22.5" customHeight="1">
      <c r="B2550" s="13">
        <f>IFERROR(__xludf.DUMMYFUNCTION("""COMPUTED_VALUE"""),2545.0)</f>
        <v>2545</v>
      </c>
      <c r="C2550" s="13" t="str">
        <f>IFERROR(__xludf.DUMMYFUNCTION("""COMPUTED_VALUE"""),"M. 4602/RAJABASA JAYA")</f>
        <v>M. 4602/RAJABASA JAYA</v>
      </c>
      <c r="D2550" s="13" t="str">
        <f>IFERROR(__xludf.DUMMYFUNCTION("""COMPUTED_VALUE"""),"K/26/030625/1")</f>
        <v>K/26/030625/1</v>
      </c>
      <c r="E2550" s="14" t="str">
        <f>IFERROR(__xludf.DUMMYFUNCTION("""COMPUTED_VALUE"""),"Heri (BT)")</f>
        <v>Heri (BT)</v>
      </c>
      <c r="F2550" s="14" t="str">
        <f>IFERROR(__xludf.DUMMYFUNCTION("""COMPUTED_VALUE"""),"SELESAI (VIA PERMOHONAN)")</f>
        <v>SELESAI (VIA PERMOHONAN)</v>
      </c>
      <c r="G2550" s="17">
        <f>IFERROR(__xludf.DUMMYFUNCTION("""COMPUTED_VALUE"""),45825.38098394676)</f>
        <v>45825.38098</v>
      </c>
      <c r="H2550" s="14" t="str">
        <f>IFERROR(__xludf.DUMMYFUNCTION("""COMPUTED_VALUE"""),"Eci (SU)")</f>
        <v>Eci (SU)</v>
      </c>
      <c r="I2550" s="13" t="str">
        <f>IFERROR(__xludf.DUMMYFUNCTION("""COMPUTED_VALUE"""),"SELESAI (VIA PERMOHONAN)")</f>
        <v>SELESAI (VIA PERMOHONAN)</v>
      </c>
      <c r="J2550" s="17">
        <f>IFERROR(__xludf.DUMMYFUNCTION("""COMPUTED_VALUE"""),45825.45829855324)</f>
        <v>45825.4583</v>
      </c>
      <c r="K2550" s="13" t="str">
        <f>IFERROR(__xludf.DUMMYFUNCTION("""COMPUTED_VALUE"""),"Selesai")</f>
        <v>Selesai</v>
      </c>
      <c r="L2550" s="17">
        <f>IFERROR(__xludf.DUMMYFUNCTION("""COMPUTED_VALUE"""),45825.45829855324)</f>
        <v>45825.4583</v>
      </c>
      <c r="M2550" s="13"/>
      <c r="N2550" s="13" t="str">
        <f>IFERROR(__xludf.DUMMYFUNCTION("""COMPUTED_VALUE"""),"")</f>
        <v/>
      </c>
      <c r="O2550" s="13" t="str">
        <f t="shared" si="1"/>
        <v/>
      </c>
    </row>
    <row r="2551" ht="22.5" customHeight="1">
      <c r="B2551" s="13">
        <f>IFERROR(__xludf.DUMMYFUNCTION("""COMPUTED_VALUE"""),2546.0)</f>
        <v>2546</v>
      </c>
      <c r="C2551" s="13" t="str">
        <f>IFERROR(__xludf.DUMMYFUNCTION("""COMPUTED_VALUE"""),"M. 6896/TANJUNG SENANG")</f>
        <v>M. 6896/TANJUNG SENANG</v>
      </c>
      <c r="D2551" s="13" t="str">
        <f>IFERROR(__xludf.DUMMYFUNCTION("""COMPUTED_VALUE"""),"K/48/050625/2")</f>
        <v>K/48/050625/2</v>
      </c>
      <c r="E2551" s="14" t="str">
        <f>IFERROR(__xludf.DUMMYFUNCTION("""COMPUTED_VALUE"""),"Heri (BT)")</f>
        <v>Heri (BT)</v>
      </c>
      <c r="F2551" s="14" t="str">
        <f>IFERROR(__xludf.DUMMYFUNCTION("""COMPUTED_VALUE"""),"SELESAI (VIA PERMOHONAN)")</f>
        <v>SELESAI (VIA PERMOHONAN)</v>
      </c>
      <c r="G2551" s="17">
        <f>IFERROR(__xludf.DUMMYFUNCTION("""COMPUTED_VALUE"""),45825.38113309028)</f>
        <v>45825.38113</v>
      </c>
      <c r="H2551" s="14" t="str">
        <f>IFERROR(__xludf.DUMMYFUNCTION("""COMPUTED_VALUE"""),"Eci (SU)")</f>
        <v>Eci (SU)</v>
      </c>
      <c r="I2551" s="13" t="str">
        <f>IFERROR(__xludf.DUMMYFUNCTION("""COMPUTED_VALUE"""),"SELESAI (VIA PERMOHONAN)")</f>
        <v>SELESAI (VIA PERMOHONAN)</v>
      </c>
      <c r="J2551" s="17">
        <f>IFERROR(__xludf.DUMMYFUNCTION("""COMPUTED_VALUE"""),45825.4583914699)</f>
        <v>45825.45839</v>
      </c>
      <c r="K2551" s="13" t="str">
        <f>IFERROR(__xludf.DUMMYFUNCTION("""COMPUTED_VALUE"""),"Selesai")</f>
        <v>Selesai</v>
      </c>
      <c r="L2551" s="17">
        <f>IFERROR(__xludf.DUMMYFUNCTION("""COMPUTED_VALUE"""),45825.4583914699)</f>
        <v>45825.45839</v>
      </c>
      <c r="M2551" s="13"/>
      <c r="N2551" s="13" t="str">
        <f>IFERROR(__xludf.DUMMYFUNCTION("""COMPUTED_VALUE"""),"")</f>
        <v/>
      </c>
      <c r="O2551" s="13" t="str">
        <f t="shared" si="1"/>
        <v/>
      </c>
    </row>
    <row r="2552" ht="22.5" customHeight="1">
      <c r="B2552" s="13">
        <f>IFERROR(__xludf.DUMMYFUNCTION("""COMPUTED_VALUE"""),2547.0)</f>
        <v>2547</v>
      </c>
      <c r="C2552" s="13" t="str">
        <f>IFERROR(__xludf.DUMMYFUNCTION("""COMPUTED_VALUE"""),"M.2/SUSUNAN BARU")</f>
        <v>M.2/SUSUNAN BARU</v>
      </c>
      <c r="D2552" s="13" t="str">
        <f>IFERROR(__xludf.DUMMYFUNCTION("""COMPUTED_VALUE"""),"K/43/120625/1")</f>
        <v>K/43/120625/1</v>
      </c>
      <c r="E2552" s="14" t="str">
        <f>IFERROR(__xludf.DUMMYFUNCTION("""COMPUTED_VALUE"""),"Heri (BT)")</f>
        <v>Heri (BT)</v>
      </c>
      <c r="F2552" s="14" t="str">
        <f>IFERROR(__xludf.DUMMYFUNCTION("""COMPUTED_VALUE"""),"SELESAI (VIA PERMOHONAN)")</f>
        <v>SELESAI (VIA PERMOHONAN)</v>
      </c>
      <c r="G2552" s="17">
        <f>IFERROR(__xludf.DUMMYFUNCTION("""COMPUTED_VALUE"""),45825.38167412037)</f>
        <v>45825.38167</v>
      </c>
      <c r="H2552" s="14" t="str">
        <f>IFERROR(__xludf.DUMMYFUNCTION("""COMPUTED_VALUE"""),"Eci (SU)")</f>
        <v>Eci (SU)</v>
      </c>
      <c r="I2552" s="13" t="str">
        <f>IFERROR(__xludf.DUMMYFUNCTION("""COMPUTED_VALUE"""),"SELESAI (VIA PERMOHONAN)")</f>
        <v>SELESAI (VIA PERMOHONAN)</v>
      </c>
      <c r="J2552" s="17">
        <f>IFERROR(__xludf.DUMMYFUNCTION("""COMPUTED_VALUE"""),45825.45815445602)</f>
        <v>45825.45815</v>
      </c>
      <c r="K2552" s="13" t="str">
        <f>IFERROR(__xludf.DUMMYFUNCTION("""COMPUTED_VALUE"""),"Selesai")</f>
        <v>Selesai</v>
      </c>
      <c r="L2552" s="17">
        <f>IFERROR(__xludf.DUMMYFUNCTION("""COMPUTED_VALUE"""),45825.45815445602)</f>
        <v>45825.45815</v>
      </c>
      <c r="M2552" s="13"/>
      <c r="N2552" s="13" t="str">
        <f>IFERROR(__xludf.DUMMYFUNCTION("""COMPUTED_VALUE"""),"")</f>
        <v/>
      </c>
      <c r="O2552" s="13" t="str">
        <f t="shared" si="1"/>
        <v/>
      </c>
    </row>
    <row r="2553" ht="22.5" customHeight="1">
      <c r="B2553" s="13">
        <f>IFERROR(__xludf.DUMMYFUNCTION("""COMPUTED_VALUE"""),2548.0)</f>
        <v>2548</v>
      </c>
      <c r="C2553" s="13" t="str">
        <f>IFERROR(__xludf.DUMMYFUNCTION("""COMPUTED_VALUE"""),"M. 1568/SEPANG JAYA")</f>
        <v>M. 1568/SEPANG JAYA</v>
      </c>
      <c r="D2553" s="13" t="str">
        <f>IFERROR(__xludf.DUMMYFUNCTION("""COMPUTED_VALUE"""),"K/38/080525/4")</f>
        <v>K/38/080525/4</v>
      </c>
      <c r="E2553" s="14" t="str">
        <f>IFERROR(__xludf.DUMMYFUNCTION("""COMPUTED_VALUE"""),"Afriza (BT)")</f>
        <v>Afriza (BT)</v>
      </c>
      <c r="F2553" s="14" t="str">
        <f>IFERROR(__xludf.DUMMYFUNCTION("""COMPUTED_VALUE"""),"SELESAI (VIA PERMOHONAN)")</f>
        <v>SELESAI (VIA PERMOHONAN)</v>
      </c>
      <c r="G2553" s="17">
        <f>IFERROR(__xludf.DUMMYFUNCTION("""COMPUTED_VALUE"""),45825.3950027199)</f>
        <v>45825.395</v>
      </c>
      <c r="H2553" s="14" t="str">
        <f>IFERROR(__xludf.DUMMYFUNCTION("""COMPUTED_VALUE"""),"Admin (Migrasi)")</f>
        <v>Admin (Migrasi)</v>
      </c>
      <c r="I2553" s="13" t="str">
        <f>IFERROR(__xludf.DUMMYFUNCTION("""COMPUTED_VALUE"""),"SELESAI (VIA PERMOHONAN)")</f>
        <v>SELESAI (VIA PERMOHONAN)</v>
      </c>
      <c r="J2553" s="17">
        <f>IFERROR(__xludf.DUMMYFUNCTION("""COMPUTED_VALUE"""),45825.39503298611)</f>
        <v>45825.39503</v>
      </c>
      <c r="K2553" s="13" t="str">
        <f>IFERROR(__xludf.DUMMYFUNCTION("""COMPUTED_VALUE"""),"Selesai")</f>
        <v>Selesai</v>
      </c>
      <c r="L2553" s="17">
        <f>IFERROR(__xludf.DUMMYFUNCTION("""COMPUTED_VALUE"""),45825.39503298611)</f>
        <v>45825.39503</v>
      </c>
      <c r="M2553" s="13"/>
      <c r="N2553" s="13" t="str">
        <f>IFERROR(__xludf.DUMMYFUNCTION("""COMPUTED_VALUE"""),"")</f>
        <v/>
      </c>
      <c r="O2553" s="13" t="str">
        <f t="shared" si="1"/>
        <v/>
      </c>
    </row>
    <row r="2554" ht="22.5" customHeight="1">
      <c r="B2554" s="13">
        <f>IFERROR(__xludf.DUMMYFUNCTION("""COMPUTED_VALUE"""),2549.0)</f>
        <v>2549</v>
      </c>
      <c r="C2554" s="13" t="str">
        <f>IFERROR(__xludf.DUMMYFUNCTION("""COMPUTED_VALUE"""),"M.9058/SURABAYA")</f>
        <v>M.9058/SURABAYA</v>
      </c>
      <c r="D2554" s="13" t="str">
        <f>IFERROR(__xludf.DUMMYFUNCTION("""COMPUTED_VALUE"""),"K/36/280525/1")</f>
        <v>K/36/280525/1</v>
      </c>
      <c r="E2554" s="14" t="str">
        <f>IFERROR(__xludf.DUMMYFUNCTION("""COMPUTED_VALUE"""),"Afriza (BT)")</f>
        <v>Afriza (BT)</v>
      </c>
      <c r="F2554" s="14" t="str">
        <f>IFERROR(__xludf.DUMMYFUNCTION("""COMPUTED_VALUE"""),"SELESAI (VIA PERMOHONAN)")</f>
        <v>SELESAI (VIA PERMOHONAN)</v>
      </c>
      <c r="G2554" s="17">
        <f>IFERROR(__xludf.DUMMYFUNCTION("""COMPUTED_VALUE"""),45825.39518767361)</f>
        <v>45825.39519</v>
      </c>
      <c r="H2554" s="14" t="str">
        <f>IFERROR(__xludf.DUMMYFUNCTION("""COMPUTED_VALUE"""),"Admin (Migrasi)")</f>
        <v>Admin (Migrasi)</v>
      </c>
      <c r="I2554" s="13" t="str">
        <f>IFERROR(__xludf.DUMMYFUNCTION("""COMPUTED_VALUE"""),"SELESAI (VIA PERMOHONAN)")</f>
        <v>SELESAI (VIA PERMOHONAN)</v>
      </c>
      <c r="J2554" s="17">
        <f>IFERROR(__xludf.DUMMYFUNCTION("""COMPUTED_VALUE"""),45825.39522155093)</f>
        <v>45825.39522</v>
      </c>
      <c r="K2554" s="13" t="str">
        <f>IFERROR(__xludf.DUMMYFUNCTION("""COMPUTED_VALUE"""),"Selesai")</f>
        <v>Selesai</v>
      </c>
      <c r="L2554" s="17">
        <f>IFERROR(__xludf.DUMMYFUNCTION("""COMPUTED_VALUE"""),45825.39522155093)</f>
        <v>45825.39522</v>
      </c>
      <c r="M2554" s="13"/>
      <c r="N2554" s="13" t="str">
        <f>IFERROR(__xludf.DUMMYFUNCTION("""COMPUTED_VALUE"""),"")</f>
        <v/>
      </c>
      <c r="O2554" s="13" t="str">
        <f t="shared" si="1"/>
        <v/>
      </c>
    </row>
    <row r="2555" ht="22.5" customHeight="1">
      <c r="B2555" s="13">
        <f>IFERROR(__xludf.DUMMYFUNCTION("""COMPUTED_VALUE"""),2550.0)</f>
        <v>2550</v>
      </c>
      <c r="C2555" s="13" t="str">
        <f>IFERROR(__xludf.DUMMYFUNCTION("""COMPUTED_VALUE"""),"HM 4831/LANGKAPURA")</f>
        <v>HM 4831/LANGKAPURA</v>
      </c>
      <c r="D2555" s="13" t="str">
        <f>IFERROR(__xludf.DUMMYFUNCTION("""COMPUTED_VALUE"""),"K/20/020625/1")</f>
        <v>K/20/020625/1</v>
      </c>
      <c r="E2555" s="14" t="str">
        <f>IFERROR(__xludf.DUMMYFUNCTION("""COMPUTED_VALUE"""),"Afriza (BT)")</f>
        <v>Afriza (BT)</v>
      </c>
      <c r="F2555" s="14" t="str">
        <f>IFERROR(__xludf.DUMMYFUNCTION("""COMPUTED_VALUE"""),"SELESAI (VIA PERMOHONAN)")</f>
        <v>SELESAI (VIA PERMOHONAN)</v>
      </c>
      <c r="G2555" s="17">
        <f>IFERROR(__xludf.DUMMYFUNCTION("""COMPUTED_VALUE"""),45826.77950679398)</f>
        <v>45826.77951</v>
      </c>
      <c r="H2555" s="14" t="str">
        <f>IFERROR(__xludf.DUMMYFUNCTION("""COMPUTED_VALUE"""),"Eci (SU)")</f>
        <v>Eci (SU)</v>
      </c>
      <c r="I2555" s="13" t="str">
        <f>IFERROR(__xludf.DUMMYFUNCTION("""COMPUTED_VALUE"""),"SELESAI (VIA PERMOHONAN)")</f>
        <v>SELESAI (VIA PERMOHONAN)</v>
      </c>
      <c r="J2555" s="17">
        <f>IFERROR(__xludf.DUMMYFUNCTION("""COMPUTED_VALUE"""),45827.661018252315)</f>
        <v>45827.66102</v>
      </c>
      <c r="K2555" s="13" t="str">
        <f>IFERROR(__xludf.DUMMYFUNCTION("""COMPUTED_VALUE"""),"Selesai")</f>
        <v>Selesai</v>
      </c>
      <c r="L2555" s="17">
        <f>IFERROR(__xludf.DUMMYFUNCTION("""COMPUTED_VALUE"""),45827.661018252315)</f>
        <v>45827.66102</v>
      </c>
      <c r="M2555" s="13"/>
      <c r="N2555" s="13" t="str">
        <f>IFERROR(__xludf.DUMMYFUNCTION("""COMPUTED_VALUE"""),"")</f>
        <v/>
      </c>
      <c r="O2555" s="13" t="str">
        <f t="shared" si="1"/>
        <v/>
      </c>
    </row>
    <row r="2556" ht="22.5" customHeight="1">
      <c r="B2556" s="13">
        <f>IFERROR(__xludf.DUMMYFUNCTION("""COMPUTED_VALUE"""),2551.0)</f>
        <v>2551</v>
      </c>
      <c r="C2556" s="13" t="str">
        <f>IFERROR(__xludf.DUMMYFUNCTION("""COMPUTED_VALUE"""),"M. 1808/ Campang Raya")</f>
        <v>M. 1808/ Campang Raya</v>
      </c>
      <c r="D2556" s="13" t="str">
        <f>IFERROR(__xludf.DUMMYFUNCTION("""COMPUTED_VALUE"""),"K/7/050625/1")</f>
        <v>K/7/050625/1</v>
      </c>
      <c r="E2556" s="14" t="str">
        <f>IFERROR(__xludf.DUMMYFUNCTION("""COMPUTED_VALUE"""),"Afriza (BT)")</f>
        <v>Afriza (BT)</v>
      </c>
      <c r="F2556" s="14" t="str">
        <f>IFERROR(__xludf.DUMMYFUNCTION("""COMPUTED_VALUE"""),"SELESAI (VIA PERMOHONAN)")</f>
        <v>SELESAI (VIA PERMOHONAN)</v>
      </c>
      <c r="G2556" s="17">
        <f>IFERROR(__xludf.DUMMYFUNCTION("""COMPUTED_VALUE"""),45826.77950679398)</f>
        <v>45826.77951</v>
      </c>
      <c r="H2556" s="14" t="str">
        <f>IFERROR(__xludf.DUMMYFUNCTION("""COMPUTED_VALUE"""),"Eci (SU)")</f>
        <v>Eci (SU)</v>
      </c>
      <c r="I2556" s="13" t="str">
        <f>IFERROR(__xludf.DUMMYFUNCTION("""COMPUTED_VALUE"""),"SELESAI (VIA PERMOHONAN)")</f>
        <v>SELESAI (VIA PERMOHONAN)</v>
      </c>
      <c r="J2556" s="17">
        <f>IFERROR(__xludf.DUMMYFUNCTION("""COMPUTED_VALUE"""),45827.66103915509)</f>
        <v>45827.66104</v>
      </c>
      <c r="K2556" s="13" t="str">
        <f>IFERROR(__xludf.DUMMYFUNCTION("""COMPUTED_VALUE"""),"Selesai")</f>
        <v>Selesai</v>
      </c>
      <c r="L2556" s="17">
        <f>IFERROR(__xludf.DUMMYFUNCTION("""COMPUTED_VALUE"""),45827.66103915509)</f>
        <v>45827.66104</v>
      </c>
      <c r="M2556" s="13"/>
      <c r="N2556" s="13" t="str">
        <f>IFERROR(__xludf.DUMMYFUNCTION("""COMPUTED_VALUE"""),"")</f>
        <v/>
      </c>
      <c r="O2556" s="13" t="str">
        <f t="shared" si="1"/>
        <v/>
      </c>
    </row>
    <row r="2557" ht="22.5" customHeight="1">
      <c r="B2557" s="13">
        <f>IFERROR(__xludf.DUMMYFUNCTION("""COMPUTED_VALUE"""),2552.0)</f>
        <v>2552</v>
      </c>
      <c r="C2557" s="13" t="str">
        <f>IFERROR(__xludf.DUMMYFUNCTION("""COMPUTED_VALUE"""),"M. 658/ Kali Balau Kencana")</f>
        <v>M. 658/ Kali Balau Kencana</v>
      </c>
      <c r="D2557" s="13" t="str">
        <f>IFERROR(__xludf.DUMMYFUNCTION("""COMPUTED_VALUE"""),"K/36/040625/1")</f>
        <v>K/36/040625/1</v>
      </c>
      <c r="E2557" s="14" t="str">
        <f>IFERROR(__xludf.DUMMYFUNCTION("""COMPUTED_VALUE"""),"Afriza (BT)")</f>
        <v>Afriza (BT)</v>
      </c>
      <c r="F2557" s="14" t="str">
        <f>IFERROR(__xludf.DUMMYFUNCTION("""COMPUTED_VALUE"""),"SELESAI (VIA PERMOHONAN)")</f>
        <v>SELESAI (VIA PERMOHONAN)</v>
      </c>
      <c r="G2557" s="17">
        <f>IFERROR(__xludf.DUMMYFUNCTION("""COMPUTED_VALUE"""),45826.77950679398)</f>
        <v>45826.77951</v>
      </c>
      <c r="H2557" s="14" t="str">
        <f>IFERROR(__xludf.DUMMYFUNCTION("""COMPUTED_VALUE"""),"Eci (SU)")</f>
        <v>Eci (SU)</v>
      </c>
      <c r="I2557" s="13" t="str">
        <f>IFERROR(__xludf.DUMMYFUNCTION("""COMPUTED_VALUE"""),"SELESAI (VIA PERMOHONAN)")</f>
        <v>SELESAI (VIA PERMOHONAN)</v>
      </c>
      <c r="J2557" s="17">
        <f>IFERROR(__xludf.DUMMYFUNCTION("""COMPUTED_VALUE"""),45827.66112862268)</f>
        <v>45827.66113</v>
      </c>
      <c r="K2557" s="13" t="str">
        <f>IFERROR(__xludf.DUMMYFUNCTION("""COMPUTED_VALUE"""),"Selesai")</f>
        <v>Selesai</v>
      </c>
      <c r="L2557" s="17">
        <f>IFERROR(__xludf.DUMMYFUNCTION("""COMPUTED_VALUE"""),45827.66112862268)</f>
        <v>45827.66113</v>
      </c>
      <c r="M2557" s="13"/>
      <c r="N2557" s="13" t="str">
        <f>IFERROR(__xludf.DUMMYFUNCTION("""COMPUTED_VALUE"""),"")</f>
        <v/>
      </c>
      <c r="O2557" s="13" t="str">
        <f t="shared" si="1"/>
        <v/>
      </c>
    </row>
    <row r="2558" ht="22.5" customHeight="1">
      <c r="B2558" s="13">
        <f>IFERROR(__xludf.DUMMYFUNCTION("""COMPUTED_VALUE"""),2553.0)</f>
        <v>2553</v>
      </c>
      <c r="C2558" s="13" t="str">
        <f>IFERROR(__xludf.DUMMYFUNCTION("""COMPUTED_VALUE"""),"M. 12880/ Jagabaya II")</f>
        <v>M. 12880/ Jagabaya II</v>
      </c>
      <c r="D2558" s="13" t="str">
        <f>IFERROR(__xludf.DUMMYFUNCTION("""COMPUTED_VALUE"""),"K/10/120625/1")</f>
        <v>K/10/120625/1</v>
      </c>
      <c r="E2558" s="14" t="str">
        <f>IFERROR(__xludf.DUMMYFUNCTION("""COMPUTED_VALUE"""),"Afriza (BT)")</f>
        <v>Afriza (BT)</v>
      </c>
      <c r="F2558" s="14" t="str">
        <f>IFERROR(__xludf.DUMMYFUNCTION("""COMPUTED_VALUE"""),"SELESAI (VIA PERMOHONAN)")</f>
        <v>SELESAI (VIA PERMOHONAN)</v>
      </c>
      <c r="G2558" s="17">
        <f>IFERROR(__xludf.DUMMYFUNCTION("""COMPUTED_VALUE"""),45826.77950679398)</f>
        <v>45826.77951</v>
      </c>
      <c r="H2558" s="14" t="str">
        <f>IFERROR(__xludf.DUMMYFUNCTION("""COMPUTED_VALUE"""),"Eci (SU)")</f>
        <v>Eci (SU)</v>
      </c>
      <c r="I2558" s="13" t="str">
        <f>IFERROR(__xludf.DUMMYFUNCTION("""COMPUTED_VALUE"""),"SELESAI (VIA PERMOHONAN)")</f>
        <v>SELESAI (VIA PERMOHONAN)</v>
      </c>
      <c r="J2558" s="17" t="str">
        <f>IFERROR(__xludf.DUMMYFUNCTION("""COMPUTED_VALUE"""),"#REF!")</f>
        <v>#REF!</v>
      </c>
      <c r="K2558" s="13" t="str">
        <f>IFERROR(__xludf.DUMMYFUNCTION("""COMPUTED_VALUE"""),"#REF!")</f>
        <v>#REF!</v>
      </c>
      <c r="L2558" s="13" t="str">
        <f>IFERROR(__xludf.DUMMYFUNCTION("""COMPUTED_VALUE"""),"#REF!")</f>
        <v>#REF!</v>
      </c>
      <c r="M2558" s="13"/>
      <c r="N2558" s="13" t="str">
        <f>IFERROR(__xludf.DUMMYFUNCTION("""COMPUTED_VALUE"""),"")</f>
        <v/>
      </c>
      <c r="O2558" s="13" t="str">
        <f t="shared" si="1"/>
        <v/>
      </c>
    </row>
    <row r="2559" ht="22.5" customHeight="1">
      <c r="B2559" s="13">
        <f>IFERROR(__xludf.DUMMYFUNCTION("""COMPUTED_VALUE"""),2554.0)</f>
        <v>2554</v>
      </c>
      <c r="C2559" s="13" t="str">
        <f>IFERROR(__xludf.DUMMYFUNCTION("""COMPUTED_VALUE"""),"B. 202/ Sukarame Baru")</f>
        <v>B. 202/ Sukarame Baru</v>
      </c>
      <c r="D2559" s="13" t="str">
        <f>IFERROR(__xludf.DUMMYFUNCTION("""COMPUTED_VALUE"""),"K/30/030625/1")</f>
        <v>K/30/030625/1</v>
      </c>
      <c r="E2559" s="14" t="str">
        <f>IFERROR(__xludf.DUMMYFUNCTION("""COMPUTED_VALUE"""),"Afriza (BT)")</f>
        <v>Afriza (BT)</v>
      </c>
      <c r="F2559" s="14" t="str">
        <f>IFERROR(__xludf.DUMMYFUNCTION("""COMPUTED_VALUE"""),"SELESAI (VIA PERMOHONAN)")</f>
        <v>SELESAI (VIA PERMOHONAN)</v>
      </c>
      <c r="G2559" s="17">
        <f>IFERROR(__xludf.DUMMYFUNCTION("""COMPUTED_VALUE"""),45826.77986217593)</f>
        <v>45826.77986</v>
      </c>
      <c r="H2559" s="14" t="str">
        <f>IFERROR(__xludf.DUMMYFUNCTION("""COMPUTED_VALUE"""),"Eci (SU)")</f>
        <v>Eci (SU)</v>
      </c>
      <c r="I2559" s="13" t="str">
        <f>IFERROR(__xludf.DUMMYFUNCTION("""COMPUTED_VALUE"""),"SELESAI (VIA PERMOHONAN)")</f>
        <v>SELESAI (VIA PERMOHONAN)</v>
      </c>
      <c r="J2559" s="17" t="str">
        <f>IFERROR(__xludf.DUMMYFUNCTION("""COMPUTED_VALUE"""),"#REF!")</f>
        <v>#REF!</v>
      </c>
      <c r="K2559" s="13" t="str">
        <f>IFERROR(__xludf.DUMMYFUNCTION("""COMPUTED_VALUE"""),"#REF!")</f>
        <v>#REF!</v>
      </c>
      <c r="L2559" s="13" t="str">
        <f>IFERROR(__xludf.DUMMYFUNCTION("""COMPUTED_VALUE"""),"#REF!")</f>
        <v>#REF!</v>
      </c>
      <c r="M2559" s="13"/>
      <c r="N2559" s="13" t="str">
        <f>IFERROR(__xludf.DUMMYFUNCTION("""COMPUTED_VALUE"""),"")</f>
        <v/>
      </c>
      <c r="O2559" s="13" t="str">
        <f t="shared" si="1"/>
        <v/>
      </c>
    </row>
    <row r="2560" ht="22.5" customHeight="1">
      <c r="B2560" s="13">
        <f>IFERROR(__xludf.DUMMYFUNCTION("""COMPUTED_VALUE"""),2555.0)</f>
        <v>2555</v>
      </c>
      <c r="C2560" s="13" t="str">
        <f>IFERROR(__xludf.DUMMYFUNCTION("""COMPUTED_VALUE"""),"M. 960/ Panjang Selatan")</f>
        <v>M. 960/ Panjang Selatan</v>
      </c>
      <c r="D2560" s="13" t="str">
        <f>IFERROR(__xludf.DUMMYFUNCTION("""COMPUTED_VALUE"""),"K/10/030625/1")</f>
        <v>K/10/030625/1</v>
      </c>
      <c r="E2560" s="14" t="str">
        <f>IFERROR(__xludf.DUMMYFUNCTION("""COMPUTED_VALUE"""),"Afriza (BT)")</f>
        <v>Afriza (BT)</v>
      </c>
      <c r="F2560" s="14" t="str">
        <f>IFERROR(__xludf.DUMMYFUNCTION("""COMPUTED_VALUE"""),"SELESAI (VIA PERMOHONAN)")</f>
        <v>SELESAI (VIA PERMOHONAN)</v>
      </c>
      <c r="G2560" s="17">
        <f>IFERROR(__xludf.DUMMYFUNCTION("""COMPUTED_VALUE"""),45826.780219583336)</f>
        <v>45826.78022</v>
      </c>
      <c r="H2560" s="14" t="str">
        <f>IFERROR(__xludf.DUMMYFUNCTION("""COMPUTED_VALUE"""),"Eci (SU)")</f>
        <v>Eci (SU)</v>
      </c>
      <c r="I2560" s="13" t="str">
        <f>IFERROR(__xludf.DUMMYFUNCTION("""COMPUTED_VALUE"""),"SELESAI (VIA PERMOHONAN)")</f>
        <v>SELESAI (VIA PERMOHONAN)</v>
      </c>
      <c r="J2560" s="17">
        <f>IFERROR(__xludf.DUMMYFUNCTION("""COMPUTED_VALUE"""),45827.66117506944)</f>
        <v>45827.66118</v>
      </c>
      <c r="K2560" s="13" t="str">
        <f>IFERROR(__xludf.DUMMYFUNCTION("""COMPUTED_VALUE"""),"Selesai")</f>
        <v>Selesai</v>
      </c>
      <c r="L2560" s="17">
        <f>IFERROR(__xludf.DUMMYFUNCTION("""COMPUTED_VALUE"""),45827.66117506944)</f>
        <v>45827.66118</v>
      </c>
      <c r="M2560" s="13"/>
      <c r="N2560" s="13" t="str">
        <f>IFERROR(__xludf.DUMMYFUNCTION("""COMPUTED_VALUE"""),"")</f>
        <v/>
      </c>
      <c r="O2560" s="13" t="str">
        <f t="shared" si="1"/>
        <v/>
      </c>
    </row>
    <row r="2561" ht="22.5" customHeight="1">
      <c r="B2561" s="13">
        <f>IFERROR(__xludf.DUMMYFUNCTION("""COMPUTED_VALUE"""),2556.0)</f>
        <v>2556</v>
      </c>
      <c r="C2561" s="13" t="str">
        <f>IFERROR(__xludf.DUMMYFUNCTION("""COMPUTED_VALUE"""),"B.583/SUMBER AGUNG")</f>
        <v>B.583/SUMBER AGUNG</v>
      </c>
      <c r="D2561" s="13" t="str">
        <f>IFERROR(__xludf.DUMMYFUNCTION("""COMPUTED_VALUE"""),"K/20/280525/1")</f>
        <v>K/20/280525/1</v>
      </c>
      <c r="E2561" s="14" t="str">
        <f>IFERROR(__xludf.DUMMYFUNCTION("""COMPUTED_VALUE"""),"Afriza (BT)")</f>
        <v>Afriza (BT)</v>
      </c>
      <c r="F2561" s="14" t="str">
        <f>IFERROR(__xludf.DUMMYFUNCTION("""COMPUTED_VALUE"""),"SELESAI (VIA PERMOHONAN)")</f>
        <v>SELESAI (VIA PERMOHONAN)</v>
      </c>
      <c r="G2561" s="17">
        <f>IFERROR(__xludf.DUMMYFUNCTION("""COMPUTED_VALUE"""),45826.780219583336)</f>
        <v>45826.78022</v>
      </c>
      <c r="H2561" s="14" t="str">
        <f>IFERROR(__xludf.DUMMYFUNCTION("""COMPUTED_VALUE"""),"Eci (SU)")</f>
        <v>Eci (SU)</v>
      </c>
      <c r="I2561" s="13" t="str">
        <f>IFERROR(__xludf.DUMMYFUNCTION("""COMPUTED_VALUE"""),"SELESAI (VIA PERMOHONAN)")</f>
        <v>SELESAI (VIA PERMOHONAN)</v>
      </c>
      <c r="J2561" s="17">
        <f>IFERROR(__xludf.DUMMYFUNCTION("""COMPUTED_VALUE"""),45827.66117506944)</f>
        <v>45827.66118</v>
      </c>
      <c r="K2561" s="13" t="str">
        <f>IFERROR(__xludf.DUMMYFUNCTION("""COMPUTED_VALUE"""),"Selesai")</f>
        <v>Selesai</v>
      </c>
      <c r="L2561" s="17">
        <f>IFERROR(__xludf.DUMMYFUNCTION("""COMPUTED_VALUE"""),45827.66117506944)</f>
        <v>45827.66118</v>
      </c>
      <c r="M2561" s="13"/>
      <c r="N2561" s="13" t="str">
        <f>IFERROR(__xludf.DUMMYFUNCTION("""COMPUTED_VALUE"""),"")</f>
        <v/>
      </c>
      <c r="O2561" s="13" t="str">
        <f t="shared" si="1"/>
        <v/>
      </c>
    </row>
    <row r="2562" ht="22.5" customHeight="1">
      <c r="B2562" s="13">
        <f>IFERROR(__xludf.DUMMYFUNCTION("""COMPUTED_VALUE"""),2557.0)</f>
        <v>2557</v>
      </c>
      <c r="C2562" s="13" t="str">
        <f>IFERROR(__xludf.DUMMYFUNCTION("""COMPUTED_VALUE"""),"B.524/NUSANTARA PERMAI")</f>
        <v>B.524/NUSANTARA PERMAI</v>
      </c>
      <c r="D2562" s="13" t="str">
        <f>IFERROR(__xludf.DUMMYFUNCTION("""COMPUTED_VALUE"""),"K/38/260525/1")</f>
        <v>K/38/260525/1</v>
      </c>
      <c r="E2562" s="14" t="str">
        <f>IFERROR(__xludf.DUMMYFUNCTION("""COMPUTED_VALUE"""),"Afriza (BT)")</f>
        <v>Afriza (BT)</v>
      </c>
      <c r="F2562" s="14" t="str">
        <f>IFERROR(__xludf.DUMMYFUNCTION("""COMPUTED_VALUE"""),"SELESAI (VIA PERMOHONAN)")</f>
        <v>SELESAI (VIA PERMOHONAN)</v>
      </c>
      <c r="G2562" s="17">
        <f>IFERROR(__xludf.DUMMYFUNCTION("""COMPUTED_VALUE"""),45826.780219583336)</f>
        <v>45826.78022</v>
      </c>
      <c r="H2562" s="14" t="str">
        <f>IFERROR(__xludf.DUMMYFUNCTION("""COMPUTED_VALUE"""),"Eci (SU)")</f>
        <v>Eci (SU)</v>
      </c>
      <c r="I2562" s="13" t="str">
        <f>IFERROR(__xludf.DUMMYFUNCTION("""COMPUTED_VALUE"""),"SELESAI (VIA PERMOHONAN)")</f>
        <v>SELESAI (VIA PERMOHONAN)</v>
      </c>
      <c r="J2562" s="17">
        <f>IFERROR(__xludf.DUMMYFUNCTION("""COMPUTED_VALUE"""),45827.66117506944)</f>
        <v>45827.66118</v>
      </c>
      <c r="K2562" s="13" t="str">
        <f>IFERROR(__xludf.DUMMYFUNCTION("""COMPUTED_VALUE"""),"Selesai")</f>
        <v>Selesai</v>
      </c>
      <c r="L2562" s="17">
        <f>IFERROR(__xludf.DUMMYFUNCTION("""COMPUTED_VALUE"""),45827.66117506944)</f>
        <v>45827.66118</v>
      </c>
      <c r="M2562" s="13"/>
      <c r="N2562" s="13" t="str">
        <f>IFERROR(__xludf.DUMMYFUNCTION("""COMPUTED_VALUE"""),"")</f>
        <v/>
      </c>
      <c r="O2562" s="13" t="str">
        <f t="shared" si="1"/>
        <v/>
      </c>
    </row>
    <row r="2563" ht="22.5" customHeight="1">
      <c r="B2563" s="13">
        <f>IFERROR(__xludf.DUMMYFUNCTION("""COMPUTED_VALUE"""),2558.0)</f>
        <v>2558</v>
      </c>
      <c r="C2563" s="13" t="str">
        <f>IFERROR(__xludf.DUMMYFUNCTION("""COMPUTED_VALUE"""),"M.846/SUMUR BATU")</f>
        <v>M.846/SUMUR BATU</v>
      </c>
      <c r="D2563" s="13" t="str">
        <f>IFERROR(__xludf.DUMMYFUNCTION("""COMPUTED_VALUE"""),"L/1/150625/PELATARAN")</f>
        <v>L/1/150625/PELATARAN</v>
      </c>
      <c r="E2563" s="14" t="str">
        <f>IFERROR(__xludf.DUMMYFUNCTION("""COMPUTED_VALUE"""),"Afriza (BT)")</f>
        <v>Afriza (BT)</v>
      </c>
      <c r="F2563" s="14" t="str">
        <f>IFERROR(__xludf.DUMMYFUNCTION("""COMPUTED_VALUE"""),"SELESAI (VIA PERMOHONAN)")</f>
        <v>SELESAI (VIA PERMOHONAN)</v>
      </c>
      <c r="G2563" s="17">
        <f>IFERROR(__xludf.DUMMYFUNCTION("""COMPUTED_VALUE"""),45826.780219583336)</f>
        <v>45826.78022</v>
      </c>
      <c r="H2563" s="14" t="str">
        <f>IFERROR(__xludf.DUMMYFUNCTION("""COMPUTED_VALUE"""),"Eci (SU)")</f>
        <v>Eci (SU)</v>
      </c>
      <c r="I2563" s="13" t="str">
        <f>IFERROR(__xludf.DUMMYFUNCTION("""COMPUTED_VALUE"""),"SELESAI (VIA PERMOHONAN)")</f>
        <v>SELESAI (VIA PERMOHONAN)</v>
      </c>
      <c r="J2563" s="17">
        <f>IFERROR(__xludf.DUMMYFUNCTION("""COMPUTED_VALUE"""),45827.66117506944)</f>
        <v>45827.66118</v>
      </c>
      <c r="K2563" s="13" t="str">
        <f>IFERROR(__xludf.DUMMYFUNCTION("""COMPUTED_VALUE"""),"Selesai")</f>
        <v>Selesai</v>
      </c>
      <c r="L2563" s="17">
        <f>IFERROR(__xludf.DUMMYFUNCTION("""COMPUTED_VALUE"""),45827.66117506944)</f>
        <v>45827.66118</v>
      </c>
      <c r="M2563" s="13"/>
      <c r="N2563" s="13" t="str">
        <f>IFERROR(__xludf.DUMMYFUNCTION("""COMPUTED_VALUE"""),"")</f>
        <v/>
      </c>
      <c r="O2563" s="13" t="str">
        <f t="shared" si="1"/>
        <v/>
      </c>
    </row>
    <row r="2564" ht="22.5" customHeight="1">
      <c r="B2564" s="13">
        <f>IFERROR(__xludf.DUMMYFUNCTION("""COMPUTED_VALUE"""),2559.0)</f>
        <v>2559</v>
      </c>
      <c r="C2564" s="13" t="str">
        <f>IFERROR(__xludf.DUMMYFUNCTION("""COMPUTED_VALUE"""),"M.1851/RAJABASA NUNYAI")</f>
        <v>M.1851/RAJABASA NUNYAI</v>
      </c>
      <c r="D2564" s="13" t="str">
        <f>IFERROR(__xludf.DUMMYFUNCTION("""COMPUTED_VALUE"""),"L/2/150625/PELATARAN")</f>
        <v>L/2/150625/PELATARAN</v>
      </c>
      <c r="E2564" s="14" t="str">
        <f>IFERROR(__xludf.DUMMYFUNCTION("""COMPUTED_VALUE"""),"Afriza (BT)")</f>
        <v>Afriza (BT)</v>
      </c>
      <c r="F2564" s="14" t="str">
        <f>IFERROR(__xludf.DUMMYFUNCTION("""COMPUTED_VALUE"""),"SELESAI (VIA PERMOHONAN)")</f>
        <v>SELESAI (VIA PERMOHONAN)</v>
      </c>
      <c r="G2564" s="17">
        <f>IFERROR(__xludf.DUMMYFUNCTION("""COMPUTED_VALUE"""),45826.78057585648)</f>
        <v>45826.78058</v>
      </c>
      <c r="H2564" s="14" t="str">
        <f>IFERROR(__xludf.DUMMYFUNCTION("""COMPUTED_VALUE"""),"Eci (SU)")</f>
        <v>Eci (SU)</v>
      </c>
      <c r="I2564" s="13" t="str">
        <f>IFERROR(__xludf.DUMMYFUNCTION("""COMPUTED_VALUE"""),"SELESAI (VIA PERMOHONAN)")</f>
        <v>SELESAI (VIA PERMOHONAN)</v>
      </c>
      <c r="J2564" s="17">
        <f>IFERROR(__xludf.DUMMYFUNCTION("""COMPUTED_VALUE"""),45827.66117506944)</f>
        <v>45827.66118</v>
      </c>
      <c r="K2564" s="13" t="str">
        <f>IFERROR(__xludf.DUMMYFUNCTION("""COMPUTED_VALUE"""),"Selesai")</f>
        <v>Selesai</v>
      </c>
      <c r="L2564" s="17">
        <f>IFERROR(__xludf.DUMMYFUNCTION("""COMPUTED_VALUE"""),45827.66117506944)</f>
        <v>45827.66118</v>
      </c>
      <c r="M2564" s="13"/>
      <c r="N2564" s="13" t="str">
        <f>IFERROR(__xludf.DUMMYFUNCTION("""COMPUTED_VALUE"""),"")</f>
        <v/>
      </c>
      <c r="O2564" s="13" t="str">
        <f t="shared" si="1"/>
        <v/>
      </c>
    </row>
    <row r="2565" ht="22.5" customHeight="1">
      <c r="B2565" s="13">
        <f>IFERROR(__xludf.DUMMYFUNCTION("""COMPUTED_VALUE"""),2560.0)</f>
        <v>2560</v>
      </c>
      <c r="C2565" s="13" t="str">
        <f>IFERROR(__xludf.DUMMYFUNCTION("""COMPUTED_VALUE"""),"M.1000/SUMBEREJO SEJAHTERA")</f>
        <v>M.1000/SUMBEREJO SEJAHTERA</v>
      </c>
      <c r="D2565" s="13" t="str">
        <f>IFERROR(__xludf.DUMMYFUNCTION("""COMPUTED_VALUE"""),"K/5/280525/2")</f>
        <v>K/5/280525/2</v>
      </c>
      <c r="E2565" s="14" t="str">
        <f>IFERROR(__xludf.DUMMYFUNCTION("""COMPUTED_VALUE"""),"Afriza (BT)")</f>
        <v>Afriza (BT)</v>
      </c>
      <c r="F2565" s="14" t="str">
        <f>IFERROR(__xludf.DUMMYFUNCTION("""COMPUTED_VALUE"""),"SELESAI (VIA PERMOHONAN)")</f>
        <v>SELESAI (VIA PERMOHONAN)</v>
      </c>
      <c r="G2565" s="17">
        <f>IFERROR(__xludf.DUMMYFUNCTION("""COMPUTED_VALUE"""),45826.78057585648)</f>
        <v>45826.78058</v>
      </c>
      <c r="H2565" s="14" t="str">
        <f>IFERROR(__xludf.DUMMYFUNCTION("""COMPUTED_VALUE"""),"Eci (SU)")</f>
        <v>Eci (SU)</v>
      </c>
      <c r="I2565" s="13" t="str">
        <f>IFERROR(__xludf.DUMMYFUNCTION("""COMPUTED_VALUE"""),"SELESAI (VIA PERMOHONAN)")</f>
        <v>SELESAI (VIA PERMOHONAN)</v>
      </c>
      <c r="J2565" s="17">
        <f>IFERROR(__xludf.DUMMYFUNCTION("""COMPUTED_VALUE"""),45827.66117506944)</f>
        <v>45827.66118</v>
      </c>
      <c r="K2565" s="13" t="str">
        <f>IFERROR(__xludf.DUMMYFUNCTION("""COMPUTED_VALUE"""),"Selesai")</f>
        <v>Selesai</v>
      </c>
      <c r="L2565" s="17">
        <f>IFERROR(__xludf.DUMMYFUNCTION("""COMPUTED_VALUE"""),45827.66117506944)</f>
        <v>45827.66118</v>
      </c>
      <c r="M2565" s="13"/>
      <c r="N2565" s="13" t="str">
        <f>IFERROR(__xludf.DUMMYFUNCTION("""COMPUTED_VALUE"""),"")</f>
        <v/>
      </c>
      <c r="O2565" s="13" t="str">
        <f t="shared" si="1"/>
        <v/>
      </c>
    </row>
    <row r="2566" ht="22.5" customHeight="1">
      <c r="B2566" s="13">
        <f>IFERROR(__xludf.DUMMYFUNCTION("""COMPUTED_VALUE"""),2561.0)</f>
        <v>2561</v>
      </c>
      <c r="C2566" s="13" t="str">
        <f>IFERROR(__xludf.DUMMYFUNCTION("""COMPUTED_VALUE"""),"M.732/PESAWAHAN")</f>
        <v>M.732/PESAWAHAN</v>
      </c>
      <c r="D2566" s="13" t="str">
        <f>IFERROR(__xludf.DUMMYFUNCTION("""COMPUTED_VALUE"""),"K/32/120625/2")</f>
        <v>K/32/120625/2</v>
      </c>
      <c r="E2566" s="14" t="str">
        <f>IFERROR(__xludf.DUMMYFUNCTION("""COMPUTED_VALUE"""),"Afriza (BT)")</f>
        <v>Afriza (BT)</v>
      </c>
      <c r="F2566" s="14" t="str">
        <f>IFERROR(__xludf.DUMMYFUNCTION("""COMPUTED_VALUE"""),"SELESAI (VIA PERMOHONAN)")</f>
        <v>SELESAI (VIA PERMOHONAN)</v>
      </c>
      <c r="G2566" s="17">
        <f>IFERROR(__xludf.DUMMYFUNCTION("""COMPUTED_VALUE"""),45826.78057585648)</f>
        <v>45826.78058</v>
      </c>
      <c r="H2566" s="14" t="str">
        <f>IFERROR(__xludf.DUMMYFUNCTION("""COMPUTED_VALUE"""),"Eci (SU)")</f>
        <v>Eci (SU)</v>
      </c>
      <c r="I2566" s="13" t="str">
        <f>IFERROR(__xludf.DUMMYFUNCTION("""COMPUTED_VALUE"""),"SELESAI (VIA PERMOHONAN)")</f>
        <v>SELESAI (VIA PERMOHONAN)</v>
      </c>
      <c r="J2566" s="17">
        <f>IFERROR(__xludf.DUMMYFUNCTION("""COMPUTED_VALUE"""),45827.66129094907)</f>
        <v>45827.66129</v>
      </c>
      <c r="K2566" s="13" t="str">
        <f>IFERROR(__xludf.DUMMYFUNCTION("""COMPUTED_VALUE"""),"Selesai")</f>
        <v>Selesai</v>
      </c>
      <c r="L2566" s="17">
        <f>IFERROR(__xludf.DUMMYFUNCTION("""COMPUTED_VALUE"""),45827.66129094907)</f>
        <v>45827.66129</v>
      </c>
      <c r="M2566" s="13"/>
      <c r="N2566" s="13" t="str">
        <f>IFERROR(__xludf.DUMMYFUNCTION("""COMPUTED_VALUE"""),"")</f>
        <v/>
      </c>
      <c r="O2566" s="13" t="str">
        <f t="shared" si="1"/>
        <v/>
      </c>
    </row>
    <row r="2567" ht="22.5" customHeight="1">
      <c r="B2567" s="13">
        <f>IFERROR(__xludf.DUMMYFUNCTION("""COMPUTED_VALUE"""),2562.0)</f>
        <v>2562</v>
      </c>
      <c r="C2567" s="13" t="str">
        <f>IFERROR(__xludf.DUMMYFUNCTION("""COMPUTED_VALUE"""),"M.3249/SUKADANAHAM")</f>
        <v>M.3249/SUKADANAHAM</v>
      </c>
      <c r="D2567" s="13" t="str">
        <f>IFERROR(__xludf.DUMMYFUNCTION("""COMPUTED_VALUE"""),"K/52/030625/1")</f>
        <v>K/52/030625/1</v>
      </c>
      <c r="E2567" s="14" t="str">
        <f>IFERROR(__xludf.DUMMYFUNCTION("""COMPUTED_VALUE"""),"Afriza (BT)")</f>
        <v>Afriza (BT)</v>
      </c>
      <c r="F2567" s="14" t="str">
        <f>IFERROR(__xludf.DUMMYFUNCTION("""COMPUTED_VALUE"""),"SELESAI (VIA PERMOHONAN)")</f>
        <v>SELESAI (VIA PERMOHONAN)</v>
      </c>
      <c r="G2567" s="17">
        <f>IFERROR(__xludf.DUMMYFUNCTION("""COMPUTED_VALUE"""),45826.780934525465)</f>
        <v>45826.78093</v>
      </c>
      <c r="H2567" s="14" t="str">
        <f>IFERROR(__xludf.DUMMYFUNCTION("""COMPUTED_VALUE"""),"Eci (SU)")</f>
        <v>Eci (SU)</v>
      </c>
      <c r="I2567" s="13" t="str">
        <f>IFERROR(__xludf.DUMMYFUNCTION("""COMPUTED_VALUE"""),"SELESAI (VIA PERMOHONAN)")</f>
        <v>SELESAI (VIA PERMOHONAN)</v>
      </c>
      <c r="J2567" s="17">
        <f>IFERROR(__xludf.DUMMYFUNCTION("""COMPUTED_VALUE"""),45827.66129094907)</f>
        <v>45827.66129</v>
      </c>
      <c r="K2567" s="13" t="str">
        <f>IFERROR(__xludf.DUMMYFUNCTION("""COMPUTED_VALUE"""),"Selesai")</f>
        <v>Selesai</v>
      </c>
      <c r="L2567" s="17">
        <f>IFERROR(__xludf.DUMMYFUNCTION("""COMPUTED_VALUE"""),45827.66129094907)</f>
        <v>45827.66129</v>
      </c>
      <c r="M2567" s="13"/>
      <c r="N2567" s="13" t="str">
        <f>IFERROR(__xludf.DUMMYFUNCTION("""COMPUTED_VALUE"""),"")</f>
        <v/>
      </c>
      <c r="O2567" s="13" t="str">
        <f t="shared" si="1"/>
        <v/>
      </c>
    </row>
    <row r="2568" ht="22.5" customHeight="1">
      <c r="B2568" s="13">
        <f>IFERROR(__xludf.DUMMYFUNCTION("""COMPUTED_VALUE"""),2563.0)</f>
        <v>2563</v>
      </c>
      <c r="C2568" s="13" t="str">
        <f>IFERROR(__xludf.DUMMYFUNCTION("""COMPUTED_VALUE"""),"HM 2122/GEDONG AIR")</f>
        <v>HM 2122/GEDONG AIR</v>
      </c>
      <c r="D2568" s="13" t="str">
        <f>IFERROR(__xludf.DUMMYFUNCTION("""COMPUTED_VALUE"""),"L/9/050625/1")</f>
        <v>L/9/050625/1</v>
      </c>
      <c r="E2568" s="14" t="str">
        <f>IFERROR(__xludf.DUMMYFUNCTION("""COMPUTED_VALUE"""),"Afriza (BT)")</f>
        <v>Afriza (BT)</v>
      </c>
      <c r="F2568" s="14" t="str">
        <f>IFERROR(__xludf.DUMMYFUNCTION("""COMPUTED_VALUE"""),"SELESAI (VIA PERMOHONAN)")</f>
        <v>SELESAI (VIA PERMOHONAN)</v>
      </c>
      <c r="G2568" s="17">
        <f>IFERROR(__xludf.DUMMYFUNCTION("""COMPUTED_VALUE"""),45826.780934525465)</f>
        <v>45826.78093</v>
      </c>
      <c r="H2568" s="14" t="str">
        <f>IFERROR(__xludf.DUMMYFUNCTION("""COMPUTED_VALUE"""),"Eci (SU)")</f>
        <v>Eci (SU)</v>
      </c>
      <c r="I2568" s="13" t="str">
        <f>IFERROR(__xludf.DUMMYFUNCTION("""COMPUTED_VALUE"""),"SELESAI (VIA PERMOHONAN)")</f>
        <v>SELESAI (VIA PERMOHONAN)</v>
      </c>
      <c r="J2568" s="17">
        <f>IFERROR(__xludf.DUMMYFUNCTION("""COMPUTED_VALUE"""),45827.66129094907)</f>
        <v>45827.66129</v>
      </c>
      <c r="K2568" s="13" t="str">
        <f>IFERROR(__xludf.DUMMYFUNCTION("""COMPUTED_VALUE"""),"Selesai")</f>
        <v>Selesai</v>
      </c>
      <c r="L2568" s="17">
        <f>IFERROR(__xludf.DUMMYFUNCTION("""COMPUTED_VALUE"""),45827.66129094907)</f>
        <v>45827.66129</v>
      </c>
      <c r="M2568" s="13"/>
      <c r="N2568" s="13" t="str">
        <f>IFERROR(__xludf.DUMMYFUNCTION("""COMPUTED_VALUE"""),"")</f>
        <v/>
      </c>
      <c r="O2568" s="13" t="str">
        <f t="shared" si="1"/>
        <v/>
      </c>
    </row>
    <row r="2569" ht="22.5" customHeight="1">
      <c r="B2569" s="13">
        <f>IFERROR(__xludf.DUMMYFUNCTION("""COMPUTED_VALUE"""),2564.0)</f>
        <v>2564</v>
      </c>
      <c r="C2569" s="13" t="str">
        <f>IFERROR(__xludf.DUMMYFUNCTION("""COMPUTED_VALUE"""),"M. 1150/ Sumberrejo sejahtera")</f>
        <v>M. 1150/ Sumberrejo sejahtera</v>
      </c>
      <c r="D2569" s="13" t="str">
        <f>IFERROR(__xludf.DUMMYFUNCTION("""COMPUTED_VALUE"""),"K/4/100625/1")</f>
        <v>K/4/100625/1</v>
      </c>
      <c r="E2569" s="14" t="str">
        <f>IFERROR(__xludf.DUMMYFUNCTION("""COMPUTED_VALUE"""),"Afriza (BT)")</f>
        <v>Afriza (BT)</v>
      </c>
      <c r="F2569" s="14" t="str">
        <f>IFERROR(__xludf.DUMMYFUNCTION("""COMPUTED_VALUE"""),"SELESAI (VIA PERMOHONAN)")</f>
        <v>SELESAI (VIA PERMOHONAN)</v>
      </c>
      <c r="G2569" s="17">
        <f>IFERROR(__xludf.DUMMYFUNCTION("""COMPUTED_VALUE"""),45826.780934525465)</f>
        <v>45826.78093</v>
      </c>
      <c r="H2569" s="14" t="str">
        <f>IFERROR(__xludf.DUMMYFUNCTION("""COMPUTED_VALUE"""),"Eci (SU)")</f>
        <v>Eci (SU)</v>
      </c>
      <c r="I2569" s="13" t="str">
        <f>IFERROR(__xludf.DUMMYFUNCTION("""COMPUTED_VALUE"""),"SELESAI (VIA PERMOHONAN)")</f>
        <v>SELESAI (VIA PERMOHONAN)</v>
      </c>
      <c r="J2569" s="17">
        <f>IFERROR(__xludf.DUMMYFUNCTION("""COMPUTED_VALUE"""),45827.66129094907)</f>
        <v>45827.66129</v>
      </c>
      <c r="K2569" s="13" t="str">
        <f>IFERROR(__xludf.DUMMYFUNCTION("""COMPUTED_VALUE"""),"Selesai")</f>
        <v>Selesai</v>
      </c>
      <c r="L2569" s="17">
        <f>IFERROR(__xludf.DUMMYFUNCTION("""COMPUTED_VALUE"""),45827.66129094907)</f>
        <v>45827.66129</v>
      </c>
      <c r="M2569" s="13"/>
      <c r="N2569" s="13" t="str">
        <f>IFERROR(__xludf.DUMMYFUNCTION("""COMPUTED_VALUE"""),"")</f>
        <v/>
      </c>
      <c r="O2569" s="13" t="str">
        <f t="shared" si="1"/>
        <v/>
      </c>
    </row>
    <row r="2570" ht="22.5" customHeight="1">
      <c r="B2570" s="13">
        <f>IFERROR(__xludf.DUMMYFUNCTION("""COMPUTED_VALUE"""),2565.0)</f>
        <v>2565</v>
      </c>
      <c r="C2570" s="13" t="str">
        <f>IFERROR(__xludf.DUMMYFUNCTION("""COMPUTED_VALUE"""),"M. 2638/ Pinang Jaya")</f>
        <v>M. 2638/ Pinang Jaya</v>
      </c>
      <c r="D2570" s="13" t="str">
        <f>IFERROR(__xludf.DUMMYFUNCTION("""COMPUTED_VALUE"""),"K/42/050625/1")</f>
        <v>K/42/050625/1</v>
      </c>
      <c r="E2570" s="14" t="str">
        <f>IFERROR(__xludf.DUMMYFUNCTION("""COMPUTED_VALUE"""),"Afriza (BT)")</f>
        <v>Afriza (BT)</v>
      </c>
      <c r="F2570" s="14" t="str">
        <f>IFERROR(__xludf.DUMMYFUNCTION("""COMPUTED_VALUE"""),"SELESAI (VIA PERMOHONAN)")</f>
        <v>SELESAI (VIA PERMOHONAN)</v>
      </c>
      <c r="G2570" s="17">
        <f>IFERROR(__xludf.DUMMYFUNCTION("""COMPUTED_VALUE"""),45826.780934525465)</f>
        <v>45826.78093</v>
      </c>
      <c r="H2570" s="14" t="str">
        <f>IFERROR(__xludf.DUMMYFUNCTION("""COMPUTED_VALUE"""),"Eci (SU)")</f>
        <v>Eci (SU)</v>
      </c>
      <c r="I2570" s="13" t="str">
        <f>IFERROR(__xludf.DUMMYFUNCTION("""COMPUTED_VALUE"""),"SELESAI (VIA PERMOHONAN)")</f>
        <v>SELESAI (VIA PERMOHONAN)</v>
      </c>
      <c r="J2570" s="17">
        <f>IFERROR(__xludf.DUMMYFUNCTION("""COMPUTED_VALUE"""),45827.66129094907)</f>
        <v>45827.66129</v>
      </c>
      <c r="K2570" s="13" t="str">
        <f>IFERROR(__xludf.DUMMYFUNCTION("""COMPUTED_VALUE"""),"Selesai")</f>
        <v>Selesai</v>
      </c>
      <c r="L2570" s="17">
        <f>IFERROR(__xludf.DUMMYFUNCTION("""COMPUTED_VALUE"""),45827.66129094907)</f>
        <v>45827.66129</v>
      </c>
      <c r="M2570" s="13"/>
      <c r="N2570" s="13" t="str">
        <f>IFERROR(__xludf.DUMMYFUNCTION("""COMPUTED_VALUE"""),"")</f>
        <v/>
      </c>
      <c r="O2570" s="13" t="str">
        <f t="shared" si="1"/>
        <v/>
      </c>
    </row>
    <row r="2571" ht="22.5" customHeight="1">
      <c r="B2571" s="13">
        <f>IFERROR(__xludf.DUMMYFUNCTION("""COMPUTED_VALUE"""),2566.0)</f>
        <v>2566</v>
      </c>
      <c r="C2571" s="13" t="str">
        <f>IFERROR(__xludf.DUMMYFUNCTION("""COMPUTED_VALUE"""),"M. 1605/ Kemiling Raya")</f>
        <v>M. 1605/ Kemiling Raya</v>
      </c>
      <c r="D2571" s="13" t="str">
        <f>IFERROR(__xludf.DUMMYFUNCTION("""COMPUTED_VALUE"""),"K/19/230525/1")</f>
        <v>K/19/230525/1</v>
      </c>
      <c r="E2571" s="14" t="str">
        <f>IFERROR(__xludf.DUMMYFUNCTION("""COMPUTED_VALUE"""),"Afriza (BT)")</f>
        <v>Afriza (BT)</v>
      </c>
      <c r="F2571" s="14" t="str">
        <f>IFERROR(__xludf.DUMMYFUNCTION("""COMPUTED_VALUE"""),"SELESAI (VIA PERMOHONAN)")</f>
        <v>SELESAI (VIA PERMOHONAN)</v>
      </c>
      <c r="G2571" s="17">
        <f>IFERROR(__xludf.DUMMYFUNCTION("""COMPUTED_VALUE"""),45826.781300648145)</f>
        <v>45826.7813</v>
      </c>
      <c r="H2571" s="14" t="str">
        <f>IFERROR(__xludf.DUMMYFUNCTION("""COMPUTED_VALUE"""),"Eci (SU)")</f>
        <v>Eci (SU)</v>
      </c>
      <c r="I2571" s="13" t="str">
        <f>IFERROR(__xludf.DUMMYFUNCTION("""COMPUTED_VALUE"""),"SELESAI (VIA PERMOHONAN)")</f>
        <v>SELESAI (VIA PERMOHONAN)</v>
      </c>
      <c r="J2571" s="17">
        <f>IFERROR(__xludf.DUMMYFUNCTION("""COMPUTED_VALUE"""),45827.66129094907)</f>
        <v>45827.66129</v>
      </c>
      <c r="K2571" s="13" t="str">
        <f>IFERROR(__xludf.DUMMYFUNCTION("""COMPUTED_VALUE"""),"Selesai")</f>
        <v>Selesai</v>
      </c>
      <c r="L2571" s="17">
        <f>IFERROR(__xludf.DUMMYFUNCTION("""COMPUTED_VALUE"""),45827.66129094907)</f>
        <v>45827.66129</v>
      </c>
      <c r="M2571" s="13"/>
      <c r="N2571" s="13" t="str">
        <f>IFERROR(__xludf.DUMMYFUNCTION("""COMPUTED_VALUE"""),"")</f>
        <v/>
      </c>
      <c r="O2571" s="13" t="str">
        <f t="shared" si="1"/>
        <v/>
      </c>
    </row>
    <row r="2572" ht="22.5" customHeight="1">
      <c r="B2572" s="13">
        <f>IFERROR(__xludf.DUMMYFUNCTION("""COMPUTED_VALUE"""),2567.0)</f>
        <v>2567</v>
      </c>
      <c r="C2572" s="13" t="str">
        <f>IFERROR(__xludf.DUMMYFUNCTION("""COMPUTED_VALUE"""),"M.10563/SUKABUMI")</f>
        <v>M.10563/SUKABUMI</v>
      </c>
      <c r="D2572" s="13" t="str">
        <f>IFERROR(__xludf.DUMMYFUNCTION("""COMPUTED_VALUE"""),"K/19/280525/1")</f>
        <v>K/19/280525/1</v>
      </c>
      <c r="E2572" s="14" t="str">
        <f>IFERROR(__xludf.DUMMYFUNCTION("""COMPUTED_VALUE"""),"Heri (BT)")</f>
        <v>Heri (BT)</v>
      </c>
      <c r="F2572" s="14" t="str">
        <f>IFERROR(__xludf.DUMMYFUNCTION("""COMPUTED_VALUE"""),"SELESAI (VIA PERMOHONAN)")</f>
        <v>SELESAI (VIA PERMOHONAN)</v>
      </c>
      <c r="G2572" s="17">
        <f>IFERROR(__xludf.DUMMYFUNCTION("""COMPUTED_VALUE"""),45827.3678725)</f>
        <v>45827.36787</v>
      </c>
      <c r="H2572" s="14" t="str">
        <f>IFERROR(__xludf.DUMMYFUNCTION("""COMPUTED_VALUE"""),"Eci (SU)")</f>
        <v>Eci (SU)</v>
      </c>
      <c r="I2572" s="13" t="str">
        <f>IFERROR(__xludf.DUMMYFUNCTION("""COMPUTED_VALUE"""),"SELESAI (VIA PERMOHONAN)")</f>
        <v>SELESAI (VIA PERMOHONAN)</v>
      </c>
      <c r="J2572" s="17">
        <f>IFERROR(__xludf.DUMMYFUNCTION("""COMPUTED_VALUE"""),45827.66129094907)</f>
        <v>45827.66129</v>
      </c>
      <c r="K2572" s="13" t="str">
        <f>IFERROR(__xludf.DUMMYFUNCTION("""COMPUTED_VALUE"""),"Selesai")</f>
        <v>Selesai</v>
      </c>
      <c r="L2572" s="17">
        <f>IFERROR(__xludf.DUMMYFUNCTION("""COMPUTED_VALUE"""),45827.66129094907)</f>
        <v>45827.66129</v>
      </c>
      <c r="M2572" s="13"/>
      <c r="N2572" s="13" t="str">
        <f>IFERROR(__xludf.DUMMYFUNCTION("""COMPUTED_VALUE"""),"")</f>
        <v/>
      </c>
      <c r="O2572" s="13" t="str">
        <f t="shared" si="1"/>
        <v/>
      </c>
    </row>
    <row r="2573" ht="22.5" customHeight="1">
      <c r="B2573" s="13">
        <f>IFERROR(__xludf.DUMMYFUNCTION("""COMPUTED_VALUE"""),2568.0)</f>
        <v>2568</v>
      </c>
      <c r="C2573" s="13" t="str">
        <f>IFERROR(__xludf.DUMMYFUNCTION("""COMPUTED_VALUE"""),"M. 1142/SUMBEREJO SEJAHTERA")</f>
        <v>M. 1142/SUMBEREJO SEJAHTERA</v>
      </c>
      <c r="D2573" s="13" t="str">
        <f>IFERROR(__xludf.DUMMYFUNCTION("""COMPUTED_VALUE"""),"K/8/040625/1")</f>
        <v>K/8/040625/1</v>
      </c>
      <c r="E2573" s="14" t="str">
        <f>IFERROR(__xludf.DUMMYFUNCTION("""COMPUTED_VALUE"""),"Heri (BT)")</f>
        <v>Heri (BT)</v>
      </c>
      <c r="F2573" s="14" t="str">
        <f>IFERROR(__xludf.DUMMYFUNCTION("""COMPUTED_VALUE"""),"SELESAI (VIA PERMOHONAN)")</f>
        <v>SELESAI (VIA PERMOHONAN)</v>
      </c>
      <c r="G2573" s="17">
        <f>IFERROR(__xludf.DUMMYFUNCTION("""COMPUTED_VALUE"""),45827.368038368055)</f>
        <v>45827.36804</v>
      </c>
      <c r="H2573" s="14" t="str">
        <f>IFERROR(__xludf.DUMMYFUNCTION("""COMPUTED_VALUE"""),"Eci (SU)")</f>
        <v>Eci (SU)</v>
      </c>
      <c r="I2573" s="13" t="str">
        <f>IFERROR(__xludf.DUMMYFUNCTION("""COMPUTED_VALUE"""),"SELESAI (VIA PERMOHONAN)")</f>
        <v>SELESAI (VIA PERMOHONAN)</v>
      </c>
      <c r="J2573" s="17">
        <f>IFERROR(__xludf.DUMMYFUNCTION("""COMPUTED_VALUE"""),45827.66129094907)</f>
        <v>45827.66129</v>
      </c>
      <c r="K2573" s="13" t="str">
        <f>IFERROR(__xludf.DUMMYFUNCTION("""COMPUTED_VALUE"""),"Selesai")</f>
        <v>Selesai</v>
      </c>
      <c r="L2573" s="17">
        <f>IFERROR(__xludf.DUMMYFUNCTION("""COMPUTED_VALUE"""),45827.66129094907)</f>
        <v>45827.66129</v>
      </c>
      <c r="M2573" s="13"/>
      <c r="N2573" s="13" t="str">
        <f>IFERROR(__xludf.DUMMYFUNCTION("""COMPUTED_VALUE"""),"")</f>
        <v/>
      </c>
      <c r="O2573" s="13" t="str">
        <f t="shared" si="1"/>
        <v/>
      </c>
    </row>
    <row r="2574" ht="22.5" customHeight="1">
      <c r="B2574" s="13">
        <f>IFERROR(__xludf.DUMMYFUNCTION("""COMPUTED_VALUE"""),2569.0)</f>
        <v>2569</v>
      </c>
      <c r="C2574" s="13" t="str">
        <f>IFERROR(__xludf.DUMMYFUNCTION("""COMPUTED_VALUE"""),"M.2333/SEPANG JAYA")</f>
        <v>M.2333/SEPANG JAYA</v>
      </c>
      <c r="D2574" s="13" t="str">
        <f>IFERROR(__xludf.DUMMYFUNCTION("""COMPUTED_VALUE"""),"K/31/020625/2")</f>
        <v>K/31/020625/2</v>
      </c>
      <c r="E2574" s="14" t="str">
        <f>IFERROR(__xludf.DUMMYFUNCTION("""COMPUTED_VALUE"""),"Heri (BT)")</f>
        <v>Heri (BT)</v>
      </c>
      <c r="F2574" s="14" t="str">
        <f>IFERROR(__xludf.DUMMYFUNCTION("""COMPUTED_VALUE"""),"SELESAI (VIA PERMOHONAN)")</f>
        <v>SELESAI (VIA PERMOHONAN)</v>
      </c>
      <c r="G2574" s="17">
        <f>IFERROR(__xludf.DUMMYFUNCTION("""COMPUTED_VALUE"""),45827.3681425463)</f>
        <v>45827.36814</v>
      </c>
      <c r="H2574" s="14" t="str">
        <f>IFERROR(__xludf.DUMMYFUNCTION("""COMPUTED_VALUE"""),"Eci (SU)")</f>
        <v>Eci (SU)</v>
      </c>
      <c r="I2574" s="13" t="str">
        <f>IFERROR(__xludf.DUMMYFUNCTION("""COMPUTED_VALUE"""),"SELESAI (VIA PERMOHONAN)")</f>
        <v>SELESAI (VIA PERMOHONAN)</v>
      </c>
      <c r="J2574" s="17">
        <f>IFERROR(__xludf.DUMMYFUNCTION("""COMPUTED_VALUE"""),45827.66129094907)</f>
        <v>45827.66129</v>
      </c>
      <c r="K2574" s="13" t="str">
        <f>IFERROR(__xludf.DUMMYFUNCTION("""COMPUTED_VALUE"""),"Selesai")</f>
        <v>Selesai</v>
      </c>
      <c r="L2574" s="17">
        <f>IFERROR(__xludf.DUMMYFUNCTION("""COMPUTED_VALUE"""),45827.66129094907)</f>
        <v>45827.66129</v>
      </c>
      <c r="M2574" s="13"/>
      <c r="N2574" s="13" t="str">
        <f>IFERROR(__xludf.DUMMYFUNCTION("""COMPUTED_VALUE"""),"")</f>
        <v/>
      </c>
      <c r="O2574" s="13" t="str">
        <f t="shared" si="1"/>
        <v/>
      </c>
    </row>
    <row r="2575" ht="22.5" customHeight="1">
      <c r="B2575" s="13">
        <f>IFERROR(__xludf.DUMMYFUNCTION("""COMPUTED_VALUE"""),2570.0)</f>
        <v>2570</v>
      </c>
      <c r="C2575" s="13" t="str">
        <f>IFERROR(__xludf.DUMMYFUNCTION("""COMPUTED_VALUE"""),"M.800/GUNUNG TERANG")</f>
        <v>M.800/GUNUNG TERANG</v>
      </c>
      <c r="D2575" s="13" t="str">
        <f>IFERROR(__xludf.DUMMYFUNCTION("""COMPUTED_VALUE"""),"K/35/020625/1")</f>
        <v>K/35/020625/1</v>
      </c>
      <c r="E2575" s="14" t="str">
        <f>IFERROR(__xludf.DUMMYFUNCTION("""COMPUTED_VALUE"""),"Heri (BT)")</f>
        <v>Heri (BT)</v>
      </c>
      <c r="F2575" s="14" t="str">
        <f>IFERROR(__xludf.DUMMYFUNCTION("""COMPUTED_VALUE"""),"SELESAI (VIA PERMOHONAN)")</f>
        <v>SELESAI (VIA PERMOHONAN)</v>
      </c>
      <c r="G2575" s="17">
        <f>IFERROR(__xludf.DUMMYFUNCTION("""COMPUTED_VALUE"""),45827.36827219908)</f>
        <v>45827.36827</v>
      </c>
      <c r="H2575" s="14" t="str">
        <f>IFERROR(__xludf.DUMMYFUNCTION("""COMPUTED_VALUE"""),"Eci (SU)")</f>
        <v>Eci (SU)</v>
      </c>
      <c r="I2575" s="13" t="str">
        <f>IFERROR(__xludf.DUMMYFUNCTION("""COMPUTED_VALUE"""),"SELESAI (VIA PERMOHONAN)")</f>
        <v>SELESAI (VIA PERMOHONAN)</v>
      </c>
      <c r="J2575" s="17">
        <f>IFERROR(__xludf.DUMMYFUNCTION("""COMPUTED_VALUE"""),45827.66129094907)</f>
        <v>45827.66129</v>
      </c>
      <c r="K2575" s="13" t="str">
        <f>IFERROR(__xludf.DUMMYFUNCTION("""COMPUTED_VALUE"""),"Selesai")</f>
        <v>Selesai</v>
      </c>
      <c r="L2575" s="17">
        <f>IFERROR(__xludf.DUMMYFUNCTION("""COMPUTED_VALUE"""),45827.66129094907)</f>
        <v>45827.66129</v>
      </c>
      <c r="M2575" s="13"/>
      <c r="N2575" s="13" t="str">
        <f>IFERROR(__xludf.DUMMYFUNCTION("""COMPUTED_VALUE"""),"")</f>
        <v/>
      </c>
      <c r="O2575" s="13" t="str">
        <f t="shared" si="1"/>
        <v/>
      </c>
    </row>
    <row r="2576" ht="22.5" customHeight="1">
      <c r="B2576" s="13">
        <f>IFERROR(__xludf.DUMMYFUNCTION("""COMPUTED_VALUE"""),2571.0)</f>
        <v>2571</v>
      </c>
      <c r="C2576" s="13" t="str">
        <f>IFERROR(__xludf.DUMMYFUNCTION("""COMPUTED_VALUE"""),"B. 940/ Jagabaya III")</f>
        <v>B. 940/ Jagabaya III</v>
      </c>
      <c r="D2576" s="13" t="str">
        <f>IFERROR(__xludf.DUMMYFUNCTION("""COMPUTED_VALUE"""),"K/44/050625/3")</f>
        <v>K/44/050625/3</v>
      </c>
      <c r="E2576" s="14" t="str">
        <f>IFERROR(__xludf.DUMMYFUNCTION("""COMPUTED_VALUE"""),"Heri (BT)")</f>
        <v>Heri (BT)</v>
      </c>
      <c r="F2576" s="14" t="str">
        <f>IFERROR(__xludf.DUMMYFUNCTION("""COMPUTED_VALUE"""),"SELESAI (VIA PERMOHONAN)")</f>
        <v>SELESAI (VIA PERMOHONAN)</v>
      </c>
      <c r="G2576" s="17">
        <f>IFERROR(__xludf.DUMMYFUNCTION("""COMPUTED_VALUE"""),45827.36843744213)</f>
        <v>45827.36844</v>
      </c>
      <c r="H2576" s="14" t="str">
        <f>IFERROR(__xludf.DUMMYFUNCTION("""COMPUTED_VALUE"""),"Eci (SU)")</f>
        <v>Eci (SU)</v>
      </c>
      <c r="I2576" s="13" t="str">
        <f>IFERROR(__xludf.DUMMYFUNCTION("""COMPUTED_VALUE"""),"SELESAI (VIA PERMOHONAN)")</f>
        <v>SELESAI (VIA PERMOHONAN)</v>
      </c>
      <c r="J2576" s="17">
        <f>IFERROR(__xludf.DUMMYFUNCTION("""COMPUTED_VALUE"""),45828.585909375004)</f>
        <v>45828.58591</v>
      </c>
      <c r="K2576" s="13" t="str">
        <f>IFERROR(__xludf.DUMMYFUNCTION("""COMPUTED_VALUE"""),"Selesai")</f>
        <v>Selesai</v>
      </c>
      <c r="L2576" s="17">
        <f>IFERROR(__xludf.DUMMYFUNCTION("""COMPUTED_VALUE"""),45828.585909375004)</f>
        <v>45828.58591</v>
      </c>
      <c r="M2576" s="13"/>
      <c r="N2576" s="13" t="str">
        <f>IFERROR(__xludf.DUMMYFUNCTION("""COMPUTED_VALUE"""),"")</f>
        <v/>
      </c>
      <c r="O2576" s="13" t="str">
        <f t="shared" si="1"/>
        <v/>
      </c>
    </row>
    <row r="2577" ht="22.5" customHeight="1">
      <c r="B2577" s="13">
        <f>IFERROR(__xludf.DUMMYFUNCTION("""COMPUTED_VALUE"""),2572.0)</f>
        <v>2572</v>
      </c>
      <c r="C2577" s="13" t="str">
        <f>IFERROR(__xludf.DUMMYFUNCTION("""COMPUTED_VALUE"""),"HM 2055/BERINGIN RAYA")</f>
        <v>HM 2055/BERINGIN RAYA</v>
      </c>
      <c r="D2577" s="13" t="str">
        <f>IFERROR(__xludf.DUMMYFUNCTION("""COMPUTED_VALUE"""),"L/6/040625/1")</f>
        <v>L/6/040625/1</v>
      </c>
      <c r="E2577" s="14" t="str">
        <f>IFERROR(__xludf.DUMMYFUNCTION("""COMPUTED_VALUE"""),"Heri (BT)")</f>
        <v>Heri (BT)</v>
      </c>
      <c r="F2577" s="14" t="str">
        <f>IFERROR(__xludf.DUMMYFUNCTION("""COMPUTED_VALUE"""),"SELESAI (VIA PERMOHONAN)")</f>
        <v>SELESAI (VIA PERMOHONAN)</v>
      </c>
      <c r="G2577" s="17">
        <f>IFERROR(__xludf.DUMMYFUNCTION("""COMPUTED_VALUE"""),45827.368578113426)</f>
        <v>45827.36858</v>
      </c>
      <c r="H2577" s="14" t="str">
        <f>IFERROR(__xludf.DUMMYFUNCTION("""COMPUTED_VALUE"""),"Eci (SU)")</f>
        <v>Eci (SU)</v>
      </c>
      <c r="I2577" s="13" t="str">
        <f>IFERROR(__xludf.DUMMYFUNCTION("""COMPUTED_VALUE"""),"SELESAI (VIA PERMOHONAN)")</f>
        <v>SELESAI (VIA PERMOHONAN)</v>
      </c>
      <c r="J2577" s="17">
        <f>IFERROR(__xludf.DUMMYFUNCTION("""COMPUTED_VALUE"""),45827.66149950231)</f>
        <v>45827.6615</v>
      </c>
      <c r="K2577" s="13" t="str">
        <f>IFERROR(__xludf.DUMMYFUNCTION("""COMPUTED_VALUE"""),"Selesai")</f>
        <v>Selesai</v>
      </c>
      <c r="L2577" s="17">
        <f>IFERROR(__xludf.DUMMYFUNCTION("""COMPUTED_VALUE"""),45827.66149950231)</f>
        <v>45827.6615</v>
      </c>
      <c r="M2577" s="13"/>
      <c r="N2577" s="13" t="str">
        <f>IFERROR(__xludf.DUMMYFUNCTION("""COMPUTED_VALUE"""),"")</f>
        <v/>
      </c>
      <c r="O2577" s="13" t="str">
        <f t="shared" si="1"/>
        <v/>
      </c>
    </row>
    <row r="2578" ht="22.5" customHeight="1">
      <c r="B2578" s="13">
        <f>IFERROR(__xludf.DUMMYFUNCTION("""COMPUTED_VALUE"""),2573.0)</f>
        <v>2573</v>
      </c>
      <c r="C2578" s="13" t="str">
        <f>IFERROR(__xludf.DUMMYFUNCTION("""COMPUTED_VALUE"""),"M. 1002/KORPRI JAYA")</f>
        <v>M. 1002/KORPRI JAYA</v>
      </c>
      <c r="D2578" s="13" t="str">
        <f>IFERROR(__xludf.DUMMYFUNCTION("""COMPUTED_VALUE"""),"K/19/040625/4")</f>
        <v>K/19/040625/4</v>
      </c>
      <c r="E2578" s="14" t="str">
        <f>IFERROR(__xludf.DUMMYFUNCTION("""COMPUTED_VALUE"""),"Heri (BT)")</f>
        <v>Heri (BT)</v>
      </c>
      <c r="F2578" s="14" t="str">
        <f>IFERROR(__xludf.DUMMYFUNCTION("""COMPUTED_VALUE"""),"SELESAI (VIA PERMOHONAN)")</f>
        <v>SELESAI (VIA PERMOHONAN)</v>
      </c>
      <c r="G2578" s="17">
        <f>IFERROR(__xludf.DUMMYFUNCTION("""COMPUTED_VALUE"""),45827.36872113426)</f>
        <v>45827.36872</v>
      </c>
      <c r="H2578" s="14" t="str">
        <f>IFERROR(__xludf.DUMMYFUNCTION("""COMPUTED_VALUE"""),"Eci (SU)")</f>
        <v>Eci (SU)</v>
      </c>
      <c r="I2578" s="13" t="str">
        <f>IFERROR(__xludf.DUMMYFUNCTION("""COMPUTED_VALUE"""),"SELESAI (VIA PERMOHONAN)")</f>
        <v>SELESAI (VIA PERMOHONAN)</v>
      </c>
      <c r="J2578" s="17">
        <f>IFERROR(__xludf.DUMMYFUNCTION("""COMPUTED_VALUE"""),45827.66156986111)</f>
        <v>45827.66157</v>
      </c>
      <c r="K2578" s="13" t="str">
        <f>IFERROR(__xludf.DUMMYFUNCTION("""COMPUTED_VALUE"""),"Selesai")</f>
        <v>Selesai</v>
      </c>
      <c r="L2578" s="17">
        <f>IFERROR(__xludf.DUMMYFUNCTION("""COMPUTED_VALUE"""),45827.66156986111)</f>
        <v>45827.66157</v>
      </c>
      <c r="M2578" s="13"/>
      <c r="N2578" s="13" t="str">
        <f>IFERROR(__xludf.DUMMYFUNCTION("""COMPUTED_VALUE"""),"")</f>
        <v/>
      </c>
      <c r="O2578" s="13" t="str">
        <f t="shared" si="1"/>
        <v/>
      </c>
    </row>
    <row r="2579" ht="22.5" customHeight="1">
      <c r="B2579" s="13">
        <f>IFERROR(__xludf.DUMMYFUNCTION("""COMPUTED_VALUE"""),2574.0)</f>
        <v>2574</v>
      </c>
      <c r="C2579" s="13" t="str">
        <f>IFERROR(__xludf.DUMMYFUNCTION("""COMPUTED_VALUE"""),"M.2628/PINANG JAYA")</f>
        <v>M.2628/PINANG JAYA</v>
      </c>
      <c r="D2579" s="13" t="str">
        <f>IFERROR(__xludf.DUMMYFUNCTION("""COMPUTED_VALUE"""),"K/20/270525/2")</f>
        <v>K/20/270525/2</v>
      </c>
      <c r="E2579" s="14" t="str">
        <f>IFERROR(__xludf.DUMMYFUNCTION("""COMPUTED_VALUE"""),"Heri (BT)")</f>
        <v>Heri (BT)</v>
      </c>
      <c r="F2579" s="14" t="str">
        <f>IFERROR(__xludf.DUMMYFUNCTION("""COMPUTED_VALUE"""),"SELESAI (VIA PERMOHONAN)")</f>
        <v>SELESAI (VIA PERMOHONAN)</v>
      </c>
      <c r="G2579" s="17">
        <f>IFERROR(__xludf.DUMMYFUNCTION("""COMPUTED_VALUE"""),45827.368836932874)</f>
        <v>45827.36884</v>
      </c>
      <c r="H2579" s="14" t="str">
        <f>IFERROR(__xludf.DUMMYFUNCTION("""COMPUTED_VALUE"""),"Eci (SU)")</f>
        <v>Eci (SU)</v>
      </c>
      <c r="I2579" s="13" t="str">
        <f>IFERROR(__xludf.DUMMYFUNCTION("""COMPUTED_VALUE"""),"SELESAI (VIA PERMOHONAN)")</f>
        <v>SELESAI (VIA PERMOHONAN)</v>
      </c>
      <c r="J2579" s="17">
        <f>IFERROR(__xludf.DUMMYFUNCTION("""COMPUTED_VALUE"""),45827.66156986111)</f>
        <v>45827.66157</v>
      </c>
      <c r="K2579" s="13" t="str">
        <f>IFERROR(__xludf.DUMMYFUNCTION("""COMPUTED_VALUE"""),"Selesai")</f>
        <v>Selesai</v>
      </c>
      <c r="L2579" s="17">
        <f>IFERROR(__xludf.DUMMYFUNCTION("""COMPUTED_VALUE"""),45827.66156986111)</f>
        <v>45827.66157</v>
      </c>
      <c r="M2579" s="13"/>
      <c r="N2579" s="13" t="str">
        <f>IFERROR(__xludf.DUMMYFUNCTION("""COMPUTED_VALUE"""),"")</f>
        <v/>
      </c>
      <c r="O2579" s="13" t="str">
        <f t="shared" si="1"/>
        <v/>
      </c>
    </row>
    <row r="2580" ht="22.5" customHeight="1">
      <c r="B2580" s="13">
        <f>IFERROR(__xludf.DUMMYFUNCTION("""COMPUTED_VALUE"""),2575.0)</f>
        <v>2575</v>
      </c>
      <c r="C2580" s="13" t="str">
        <f>IFERROR(__xludf.DUMMYFUNCTION("""COMPUTED_VALUE"""),"M.10613/KEDAMAIAN")</f>
        <v>M.10613/KEDAMAIAN</v>
      </c>
      <c r="D2580" s="13" t="str">
        <f>IFERROR(__xludf.DUMMYFUNCTION("""COMPUTED_VALUE"""),"K/16/151124/1")</f>
        <v>K/16/151124/1</v>
      </c>
      <c r="E2580" s="14" t="str">
        <f>IFERROR(__xludf.DUMMYFUNCTION("""COMPUTED_VALUE"""),"Heri (BT)")</f>
        <v>Heri (BT)</v>
      </c>
      <c r="F2580" s="14" t="str">
        <f>IFERROR(__xludf.DUMMYFUNCTION("""COMPUTED_VALUE"""),"SELESAI (VIA PERMOHONAN)")</f>
        <v>SELESAI (VIA PERMOHONAN)</v>
      </c>
      <c r="G2580" s="17">
        <f>IFERROR(__xludf.DUMMYFUNCTION("""COMPUTED_VALUE"""),45827.36901178241)</f>
        <v>45827.36901</v>
      </c>
      <c r="H2580" s="14" t="str">
        <f>IFERROR(__xludf.DUMMYFUNCTION("""COMPUTED_VALUE"""),"Eci (SU)")</f>
        <v>Eci (SU)</v>
      </c>
      <c r="I2580" s="13" t="str">
        <f>IFERROR(__xludf.DUMMYFUNCTION("""COMPUTED_VALUE"""),"SELESAI (VIA PERMOHONAN)")</f>
        <v>SELESAI (VIA PERMOHONAN)</v>
      </c>
      <c r="J2580" s="17">
        <f>IFERROR(__xludf.DUMMYFUNCTION("""COMPUTED_VALUE"""),45827.66156986111)</f>
        <v>45827.66157</v>
      </c>
      <c r="K2580" s="13" t="str">
        <f>IFERROR(__xludf.DUMMYFUNCTION("""COMPUTED_VALUE"""),"Selesai")</f>
        <v>Selesai</v>
      </c>
      <c r="L2580" s="17">
        <f>IFERROR(__xludf.DUMMYFUNCTION("""COMPUTED_VALUE"""),45827.66156986111)</f>
        <v>45827.66157</v>
      </c>
      <c r="M2580" s="13"/>
      <c r="N2580" s="13" t="str">
        <f>IFERROR(__xludf.DUMMYFUNCTION("""COMPUTED_VALUE"""),"")</f>
        <v/>
      </c>
      <c r="O2580" s="13" t="str">
        <f t="shared" si="1"/>
        <v/>
      </c>
    </row>
    <row r="2581" ht="22.5" customHeight="1">
      <c r="B2581" s="13">
        <f>IFERROR(__xludf.DUMMYFUNCTION("""COMPUTED_VALUE"""),2576.0)</f>
        <v>2576</v>
      </c>
      <c r="C2581" s="13" t="str">
        <f>IFERROR(__xludf.DUMMYFUNCTION("""COMPUTED_VALUE"""),"M. 13800/SUKABUMI")</f>
        <v>M. 13800/SUKABUMI</v>
      </c>
      <c r="D2581" s="13" t="str">
        <f>IFERROR(__xludf.DUMMYFUNCTION("""COMPUTED_VALUE"""),"K/2/030625/1")</f>
        <v>K/2/030625/1</v>
      </c>
      <c r="E2581" s="14" t="str">
        <f>IFERROR(__xludf.DUMMYFUNCTION("""COMPUTED_VALUE"""),"Heri (BT)")</f>
        <v>Heri (BT)</v>
      </c>
      <c r="F2581" s="14" t="str">
        <f>IFERROR(__xludf.DUMMYFUNCTION("""COMPUTED_VALUE"""),"SELESAI (VIA PERMOHONAN)")</f>
        <v>SELESAI (VIA PERMOHONAN)</v>
      </c>
      <c r="G2581" s="17">
        <f>IFERROR(__xludf.DUMMYFUNCTION("""COMPUTED_VALUE"""),45827.36919045138)</f>
        <v>45827.36919</v>
      </c>
      <c r="H2581" s="14" t="str">
        <f>IFERROR(__xludf.DUMMYFUNCTION("""COMPUTED_VALUE"""),"Eci (SU)")</f>
        <v>Eci (SU)</v>
      </c>
      <c r="I2581" s="13" t="str">
        <f>IFERROR(__xludf.DUMMYFUNCTION("""COMPUTED_VALUE"""),"SELESAI (VIA PERMOHONAN)")</f>
        <v>SELESAI (VIA PERMOHONAN)</v>
      </c>
      <c r="J2581" s="17">
        <f>IFERROR(__xludf.DUMMYFUNCTION("""COMPUTED_VALUE"""),45827.656383229165)</f>
        <v>45827.65638</v>
      </c>
      <c r="K2581" s="13" t="str">
        <f>IFERROR(__xludf.DUMMYFUNCTION("""COMPUTED_VALUE"""),"Selesai")</f>
        <v>Selesai</v>
      </c>
      <c r="L2581" s="17">
        <f>IFERROR(__xludf.DUMMYFUNCTION("""COMPUTED_VALUE"""),45827.656383229165)</f>
        <v>45827.65638</v>
      </c>
      <c r="M2581" s="13"/>
      <c r="N2581" s="13" t="str">
        <f>IFERROR(__xludf.DUMMYFUNCTION("""COMPUTED_VALUE"""),"")</f>
        <v/>
      </c>
      <c r="O2581" s="13" t="str">
        <f t="shared" si="1"/>
        <v/>
      </c>
    </row>
    <row r="2582" ht="22.5" customHeight="1">
      <c r="B2582" s="13">
        <f>IFERROR(__xludf.DUMMYFUNCTION("""COMPUTED_VALUE"""),2577.0)</f>
        <v>2577</v>
      </c>
      <c r="C2582" s="13" t="str">
        <f>IFERROR(__xludf.DUMMYFUNCTION("""COMPUTED_VALUE"""),"M. 1683/KUPANG TEBA")</f>
        <v>M. 1683/KUPANG TEBA</v>
      </c>
      <c r="D2582" s="13" t="str">
        <f>IFERROR(__xludf.DUMMYFUNCTION("""COMPUTED_VALUE"""),"K/25/040625/2")</f>
        <v>K/25/040625/2</v>
      </c>
      <c r="E2582" s="14" t="str">
        <f>IFERROR(__xludf.DUMMYFUNCTION("""COMPUTED_VALUE"""),"Heri (BT)")</f>
        <v>Heri (BT)</v>
      </c>
      <c r="F2582" s="14" t="str">
        <f>IFERROR(__xludf.DUMMYFUNCTION("""COMPUTED_VALUE"""),"SELESAI (VIA PERMOHONAN)")</f>
        <v>SELESAI (VIA PERMOHONAN)</v>
      </c>
      <c r="G2582" s="17">
        <f>IFERROR(__xludf.DUMMYFUNCTION("""COMPUTED_VALUE"""),45827.36935350695)</f>
        <v>45827.36935</v>
      </c>
      <c r="H2582" s="14" t="str">
        <f>IFERROR(__xludf.DUMMYFUNCTION("""COMPUTED_VALUE"""),"Eci (SU)")</f>
        <v>Eci (SU)</v>
      </c>
      <c r="I2582" s="13" t="str">
        <f>IFERROR(__xludf.DUMMYFUNCTION("""COMPUTED_VALUE"""),"SELESAI (VIA PERMOHONAN)")</f>
        <v>SELESAI (VIA PERMOHONAN)</v>
      </c>
      <c r="J2582" s="17">
        <f>IFERROR(__xludf.DUMMYFUNCTION("""COMPUTED_VALUE"""),45827.65663252315)</f>
        <v>45827.65663</v>
      </c>
      <c r="K2582" s="13" t="str">
        <f>IFERROR(__xludf.DUMMYFUNCTION("""COMPUTED_VALUE"""),"Selesai")</f>
        <v>Selesai</v>
      </c>
      <c r="L2582" s="17">
        <f>IFERROR(__xludf.DUMMYFUNCTION("""COMPUTED_VALUE"""),45827.65663252315)</f>
        <v>45827.65663</v>
      </c>
      <c r="M2582" s="13"/>
      <c r="N2582" s="13" t="str">
        <f>IFERROR(__xludf.DUMMYFUNCTION("""COMPUTED_VALUE"""),"")</f>
        <v/>
      </c>
      <c r="O2582" s="13" t="str">
        <f t="shared" si="1"/>
        <v/>
      </c>
    </row>
    <row r="2583" ht="22.5" customHeight="1">
      <c r="B2583" s="13">
        <f>IFERROR(__xludf.DUMMYFUNCTION("""COMPUTED_VALUE"""),2578.0)</f>
        <v>2578</v>
      </c>
      <c r="C2583" s="13" t="str">
        <f>IFERROR(__xludf.DUMMYFUNCTION("""COMPUTED_VALUE"""),"M. 684/ Sepang Jaya")</f>
        <v>M. 684/ Sepang Jaya</v>
      </c>
      <c r="D2583" s="13" t="str">
        <f>IFERROR(__xludf.DUMMYFUNCTION("""COMPUTED_VALUE"""),"K/3/110625/1")</f>
        <v>K/3/110625/1</v>
      </c>
      <c r="E2583" s="14" t="str">
        <f>IFERROR(__xludf.DUMMYFUNCTION("""COMPUTED_VALUE"""),"Heri (BT)")</f>
        <v>Heri (BT)</v>
      </c>
      <c r="F2583" s="14" t="str">
        <f>IFERROR(__xludf.DUMMYFUNCTION("""COMPUTED_VALUE"""),"SELESAI (VIA PERMOHONAN)")</f>
        <v>SELESAI (VIA PERMOHONAN)</v>
      </c>
      <c r="G2583" s="17">
        <f>IFERROR(__xludf.DUMMYFUNCTION("""COMPUTED_VALUE"""),45827.36948710648)</f>
        <v>45827.36949</v>
      </c>
      <c r="H2583" s="14" t="str">
        <f>IFERROR(__xludf.DUMMYFUNCTION("""COMPUTED_VALUE"""),"Eci (SU)")</f>
        <v>Eci (SU)</v>
      </c>
      <c r="I2583" s="13" t="str">
        <f>IFERROR(__xludf.DUMMYFUNCTION("""COMPUTED_VALUE"""),"SELESAI (VIA PERMOHONAN)")</f>
        <v>SELESAI (VIA PERMOHONAN)</v>
      </c>
      <c r="J2583" s="17">
        <f>IFERROR(__xludf.DUMMYFUNCTION("""COMPUTED_VALUE"""),45827.6616386574)</f>
        <v>45827.66164</v>
      </c>
      <c r="K2583" s="13" t="str">
        <f>IFERROR(__xludf.DUMMYFUNCTION("""COMPUTED_VALUE"""),"Selesai")</f>
        <v>Selesai</v>
      </c>
      <c r="L2583" s="17">
        <f>IFERROR(__xludf.DUMMYFUNCTION("""COMPUTED_VALUE"""),45827.6616386574)</f>
        <v>45827.66164</v>
      </c>
      <c r="M2583" s="13"/>
      <c r="N2583" s="13" t="str">
        <f>IFERROR(__xludf.DUMMYFUNCTION("""COMPUTED_VALUE"""),"")</f>
        <v/>
      </c>
      <c r="O2583" s="13" t="str">
        <f t="shared" si="1"/>
        <v/>
      </c>
    </row>
    <row r="2584" ht="22.5" customHeight="1">
      <c r="B2584" s="13">
        <f>IFERROR(__xludf.DUMMYFUNCTION("""COMPUTED_VALUE"""),2579.0)</f>
        <v>2579</v>
      </c>
      <c r="C2584" s="13" t="str">
        <f>IFERROR(__xludf.DUMMYFUNCTION("""COMPUTED_VALUE"""),"M. 12152/ Sukabumi")</f>
        <v>M. 12152/ Sukabumi</v>
      </c>
      <c r="D2584" s="13" t="str">
        <f>IFERROR(__xludf.DUMMYFUNCTION("""COMPUTED_VALUE"""),"K/16/270325/1")</f>
        <v>K/16/270325/1</v>
      </c>
      <c r="E2584" s="14" t="str">
        <f>IFERROR(__xludf.DUMMYFUNCTION("""COMPUTED_VALUE"""),"Heri (BT)")</f>
        <v>Heri (BT)</v>
      </c>
      <c r="F2584" s="14" t="str">
        <f>IFERROR(__xludf.DUMMYFUNCTION("""COMPUTED_VALUE"""),"SELESAI (VIA PERMOHONAN)")</f>
        <v>SELESAI (VIA PERMOHONAN)</v>
      </c>
      <c r="G2584" s="17">
        <f>IFERROR(__xludf.DUMMYFUNCTION("""COMPUTED_VALUE"""),45827.36971668982)</f>
        <v>45827.36972</v>
      </c>
      <c r="H2584" s="14" t="str">
        <f>IFERROR(__xludf.DUMMYFUNCTION("""COMPUTED_VALUE"""),"Eci (SU)")</f>
        <v>Eci (SU)</v>
      </c>
      <c r="I2584" s="13" t="str">
        <f>IFERROR(__xludf.DUMMYFUNCTION("""COMPUTED_VALUE"""),"SELESAI (VIA PERMOHONAN)")</f>
        <v>SELESAI (VIA PERMOHONAN)</v>
      </c>
      <c r="J2584" s="17">
        <f>IFERROR(__xludf.DUMMYFUNCTION("""COMPUTED_VALUE"""),45827.66176195602)</f>
        <v>45827.66176</v>
      </c>
      <c r="K2584" s="13" t="str">
        <f>IFERROR(__xludf.DUMMYFUNCTION("""COMPUTED_VALUE"""),"Selesai")</f>
        <v>Selesai</v>
      </c>
      <c r="L2584" s="17">
        <f>IFERROR(__xludf.DUMMYFUNCTION("""COMPUTED_VALUE"""),45827.66176195602)</f>
        <v>45827.66176</v>
      </c>
      <c r="M2584" s="13"/>
      <c r="N2584" s="13" t="str">
        <f>IFERROR(__xludf.DUMMYFUNCTION("""COMPUTED_VALUE"""),"")</f>
        <v/>
      </c>
      <c r="O2584" s="13" t="str">
        <f t="shared" si="1"/>
        <v/>
      </c>
    </row>
    <row r="2585" ht="22.5" customHeight="1">
      <c r="B2585" s="13">
        <f>IFERROR(__xludf.DUMMYFUNCTION("""COMPUTED_VALUE"""),2580.0)</f>
        <v>2580</v>
      </c>
      <c r="C2585" s="13" t="str">
        <f>IFERROR(__xludf.DUMMYFUNCTION("""COMPUTED_VALUE"""),"M. 116/ Perumnas Way Kandis")</f>
        <v>M. 116/ Perumnas Way Kandis</v>
      </c>
      <c r="D2585" s="13" t="str">
        <f>IFERROR(__xludf.DUMMYFUNCTION("""COMPUTED_VALUE"""),"K/25/020625/1")</f>
        <v>K/25/020625/1</v>
      </c>
      <c r="E2585" s="14" t="str">
        <f>IFERROR(__xludf.DUMMYFUNCTION("""COMPUTED_VALUE"""),"Heri (BT)")</f>
        <v>Heri (BT)</v>
      </c>
      <c r="F2585" s="14" t="str">
        <f>IFERROR(__xludf.DUMMYFUNCTION("""COMPUTED_VALUE"""),"SELESAI (VIA PERMOHONAN)")</f>
        <v>SELESAI (VIA PERMOHONAN)</v>
      </c>
      <c r="G2585" s="17">
        <f>IFERROR(__xludf.DUMMYFUNCTION("""COMPUTED_VALUE"""),45827.37005615741)</f>
        <v>45827.37006</v>
      </c>
      <c r="H2585" s="14" t="str">
        <f>IFERROR(__xludf.DUMMYFUNCTION("""COMPUTED_VALUE"""),"Eci (SU)")</f>
        <v>Eci (SU)</v>
      </c>
      <c r="I2585" s="13" t="str">
        <f>IFERROR(__xludf.DUMMYFUNCTION("""COMPUTED_VALUE"""),"SELESAI (VIA PERMOHONAN)")</f>
        <v>SELESAI (VIA PERMOHONAN)</v>
      </c>
      <c r="J2585" s="17">
        <f>IFERROR(__xludf.DUMMYFUNCTION("""COMPUTED_VALUE"""),45827.66176195602)</f>
        <v>45827.66176</v>
      </c>
      <c r="K2585" s="13" t="str">
        <f>IFERROR(__xludf.DUMMYFUNCTION("""COMPUTED_VALUE"""),"Selesai")</f>
        <v>Selesai</v>
      </c>
      <c r="L2585" s="17">
        <f>IFERROR(__xludf.DUMMYFUNCTION("""COMPUTED_VALUE"""),45827.66176195602)</f>
        <v>45827.66176</v>
      </c>
      <c r="M2585" s="13"/>
      <c r="N2585" s="13" t="str">
        <f>IFERROR(__xludf.DUMMYFUNCTION("""COMPUTED_VALUE"""),"")</f>
        <v/>
      </c>
      <c r="O2585" s="13" t="str">
        <f t="shared" si="1"/>
        <v/>
      </c>
    </row>
    <row r="2586" ht="22.5" customHeight="1">
      <c r="B2586" s="13">
        <f>IFERROR(__xludf.DUMMYFUNCTION("""COMPUTED_VALUE"""),2581.0)</f>
        <v>2581</v>
      </c>
      <c r="C2586" s="13" t="str">
        <f>IFERROR(__xludf.DUMMYFUNCTION("""COMPUTED_VALUE"""),"HM 1331/TANJUNG SENANG")</f>
        <v>HM 1331/TANJUNG SENANG</v>
      </c>
      <c r="D2586" s="13" t="str">
        <f>IFERROR(__xludf.DUMMYFUNCTION("""COMPUTED_VALUE"""),"L/15/100625/1")</f>
        <v>L/15/100625/1</v>
      </c>
      <c r="E2586" s="14" t="str">
        <f>IFERROR(__xludf.DUMMYFUNCTION("""COMPUTED_VALUE"""),"Heri (BT)")</f>
        <v>Heri (BT)</v>
      </c>
      <c r="F2586" s="14" t="str">
        <f>IFERROR(__xludf.DUMMYFUNCTION("""COMPUTED_VALUE"""),"SELESAI (VIA PERMOHONAN)")</f>
        <v>SELESAI (VIA PERMOHONAN)</v>
      </c>
      <c r="G2586" s="17">
        <f>IFERROR(__xludf.DUMMYFUNCTION("""COMPUTED_VALUE"""),45827.37030976852)</f>
        <v>45827.37031</v>
      </c>
      <c r="H2586" s="14" t="str">
        <f>IFERROR(__xludf.DUMMYFUNCTION("""COMPUTED_VALUE"""),"Eci (SU)")</f>
        <v>Eci (SU)</v>
      </c>
      <c r="I2586" s="13" t="str">
        <f>IFERROR(__xludf.DUMMYFUNCTION("""COMPUTED_VALUE"""),"SELESAI (VIA PERMOHONAN)")</f>
        <v>SELESAI (VIA PERMOHONAN)</v>
      </c>
      <c r="J2586" s="17">
        <f>IFERROR(__xludf.DUMMYFUNCTION("""COMPUTED_VALUE"""),45827.66176195602)</f>
        <v>45827.66176</v>
      </c>
      <c r="K2586" s="13" t="str">
        <f>IFERROR(__xludf.DUMMYFUNCTION("""COMPUTED_VALUE"""),"Selesai")</f>
        <v>Selesai</v>
      </c>
      <c r="L2586" s="17">
        <f>IFERROR(__xludf.DUMMYFUNCTION("""COMPUTED_VALUE"""),45827.66176195602)</f>
        <v>45827.66176</v>
      </c>
      <c r="M2586" s="13"/>
      <c r="N2586" s="13" t="str">
        <f>IFERROR(__xludf.DUMMYFUNCTION("""COMPUTED_VALUE"""),"")</f>
        <v/>
      </c>
      <c r="O2586" s="13" t="str">
        <f t="shared" si="1"/>
        <v/>
      </c>
    </row>
    <row r="2587" ht="22.5" customHeight="1">
      <c r="B2587" s="13">
        <f>IFERROR(__xludf.DUMMYFUNCTION("""COMPUTED_VALUE"""),2582.0)</f>
        <v>2582</v>
      </c>
      <c r="C2587" s="13" t="str">
        <f>IFERROR(__xludf.DUMMYFUNCTION("""COMPUTED_VALUE"""),"M. 1036/ Sukaraja")</f>
        <v>M. 1036/ Sukaraja</v>
      </c>
      <c r="D2587" s="13" t="str">
        <f>IFERROR(__xludf.DUMMYFUNCTION("""COMPUTED_VALUE"""),"K/23/200525/3")</f>
        <v>K/23/200525/3</v>
      </c>
      <c r="E2587" s="14" t="str">
        <f>IFERROR(__xludf.DUMMYFUNCTION("""COMPUTED_VALUE"""),"Heri (BT)")</f>
        <v>Heri (BT)</v>
      </c>
      <c r="F2587" s="14" t="str">
        <f>IFERROR(__xludf.DUMMYFUNCTION("""COMPUTED_VALUE"""),"SELESAI (VIA PERMOHONAN)")</f>
        <v>SELESAI (VIA PERMOHONAN)</v>
      </c>
      <c r="G2587" s="17">
        <f>IFERROR(__xludf.DUMMYFUNCTION("""COMPUTED_VALUE"""),45827.57940162037)</f>
        <v>45827.5794</v>
      </c>
      <c r="H2587" s="14" t="str">
        <f>IFERROR(__xludf.DUMMYFUNCTION("""COMPUTED_VALUE"""),"Eci (SU)")</f>
        <v>Eci (SU)</v>
      </c>
      <c r="I2587" s="13" t="str">
        <f>IFERROR(__xludf.DUMMYFUNCTION("""COMPUTED_VALUE"""),"SELESAI (VIA PERMOHONAN)")</f>
        <v>SELESAI (VIA PERMOHONAN)</v>
      </c>
      <c r="J2587" s="17">
        <f>IFERROR(__xludf.DUMMYFUNCTION("""COMPUTED_VALUE"""),45828.58790012731)</f>
        <v>45828.5879</v>
      </c>
      <c r="K2587" s="13" t="str">
        <f>IFERROR(__xludf.DUMMYFUNCTION("""COMPUTED_VALUE"""),"Selesai")</f>
        <v>Selesai</v>
      </c>
      <c r="L2587" s="17">
        <f>IFERROR(__xludf.DUMMYFUNCTION("""COMPUTED_VALUE"""),45828.58790012731)</f>
        <v>45828.5879</v>
      </c>
      <c r="M2587" s="13"/>
      <c r="N2587" s="13" t="str">
        <f>IFERROR(__xludf.DUMMYFUNCTION("""COMPUTED_VALUE"""),"")</f>
        <v/>
      </c>
      <c r="O2587" s="13" t="str">
        <f t="shared" si="1"/>
        <v/>
      </c>
    </row>
    <row r="2588" ht="22.5" customHeight="1">
      <c r="B2588" s="13">
        <f>IFERROR(__xludf.DUMMYFUNCTION("""COMPUTED_VALUE"""),2583.0)</f>
        <v>2583</v>
      </c>
      <c r="C2588" s="13" t="str">
        <f>IFERROR(__xludf.DUMMYFUNCTION("""COMPUTED_VALUE"""),"B. 17/ Bumi Kedamaian")</f>
        <v>B. 17/ Bumi Kedamaian</v>
      </c>
      <c r="D2588" s="13" t="str">
        <f>IFERROR(__xludf.DUMMYFUNCTION("""COMPUTED_VALUE"""),"K/31/260525/2")</f>
        <v>K/31/260525/2</v>
      </c>
      <c r="E2588" s="14" t="str">
        <f>IFERROR(__xludf.DUMMYFUNCTION("""COMPUTED_VALUE"""),"Heri (BT)")</f>
        <v>Heri (BT)</v>
      </c>
      <c r="F2588" s="14" t="str">
        <f>IFERROR(__xludf.DUMMYFUNCTION("""COMPUTED_VALUE"""),"SELESAI (VIA PERMOHONAN)")</f>
        <v>SELESAI (VIA PERMOHONAN)</v>
      </c>
      <c r="G2588" s="17">
        <f>IFERROR(__xludf.DUMMYFUNCTION("""COMPUTED_VALUE"""),45827.57941258102)</f>
        <v>45827.57941</v>
      </c>
      <c r="H2588" s="14" t="str">
        <f>IFERROR(__xludf.DUMMYFUNCTION("""COMPUTED_VALUE"""),"Eci (SU)")</f>
        <v>Eci (SU)</v>
      </c>
      <c r="I2588" s="13" t="str">
        <f>IFERROR(__xludf.DUMMYFUNCTION("""COMPUTED_VALUE"""),"SELESAI (VIA PERMOHONAN)")</f>
        <v>SELESAI (VIA PERMOHONAN)</v>
      </c>
      <c r="J2588" s="17">
        <f>IFERROR(__xludf.DUMMYFUNCTION("""COMPUTED_VALUE"""),45828.58927939815)</f>
        <v>45828.58928</v>
      </c>
      <c r="K2588" s="13" t="str">
        <f>IFERROR(__xludf.DUMMYFUNCTION("""COMPUTED_VALUE"""),"Selesai")</f>
        <v>Selesai</v>
      </c>
      <c r="L2588" s="17">
        <f>IFERROR(__xludf.DUMMYFUNCTION("""COMPUTED_VALUE"""),45828.58927939815)</f>
        <v>45828.58928</v>
      </c>
      <c r="M2588" s="13"/>
      <c r="N2588" s="13" t="str">
        <f>IFERROR(__xludf.DUMMYFUNCTION("""COMPUTED_VALUE"""),"")</f>
        <v/>
      </c>
      <c r="O2588" s="13" t="str">
        <f t="shared" si="1"/>
        <v/>
      </c>
    </row>
    <row r="2589" ht="22.5" customHeight="1">
      <c r="B2589" s="13">
        <f>IFERROR(__xludf.DUMMYFUNCTION("""COMPUTED_VALUE"""),2584.0)</f>
        <v>2584</v>
      </c>
      <c r="C2589" s="13" t="str">
        <f>IFERROR(__xludf.DUMMYFUNCTION("""COMPUTED_VALUE"""),"M. 236/ Sukajawa Baru")</f>
        <v>M. 236/ Sukajawa Baru</v>
      </c>
      <c r="D2589" s="13" t="str">
        <f>IFERROR(__xludf.DUMMYFUNCTION("""COMPUTED_VALUE"""),"K/21/020625/1")</f>
        <v>K/21/020625/1</v>
      </c>
      <c r="E2589" s="14" t="str">
        <f>IFERROR(__xludf.DUMMYFUNCTION("""COMPUTED_VALUE"""),"Heri (BT)")</f>
        <v>Heri (BT)</v>
      </c>
      <c r="F2589" s="14" t="str">
        <f>IFERROR(__xludf.DUMMYFUNCTION("""COMPUTED_VALUE"""),"SELESAI (VIA PERMOHONAN)")</f>
        <v>SELESAI (VIA PERMOHONAN)</v>
      </c>
      <c r="G2589" s="17">
        <f>IFERROR(__xludf.DUMMYFUNCTION("""COMPUTED_VALUE"""),45827.57955664352)</f>
        <v>45827.57956</v>
      </c>
      <c r="H2589" s="14" t="str">
        <f>IFERROR(__xludf.DUMMYFUNCTION("""COMPUTED_VALUE"""),"Eci (SU)")</f>
        <v>Eci (SU)</v>
      </c>
      <c r="I2589" s="13" t="str">
        <f>IFERROR(__xludf.DUMMYFUNCTION("""COMPUTED_VALUE"""),"SELESAI (VIA PERMOHONAN)")</f>
        <v>SELESAI (VIA PERMOHONAN)</v>
      </c>
      <c r="J2589" s="17">
        <f>IFERROR(__xludf.DUMMYFUNCTION("""COMPUTED_VALUE"""),45828.5892177662)</f>
        <v>45828.58922</v>
      </c>
      <c r="K2589" s="13" t="str">
        <f>IFERROR(__xludf.DUMMYFUNCTION("""COMPUTED_VALUE"""),"Selesai")</f>
        <v>Selesai</v>
      </c>
      <c r="L2589" s="17">
        <f>IFERROR(__xludf.DUMMYFUNCTION("""COMPUTED_VALUE"""),45828.5892177662)</f>
        <v>45828.58922</v>
      </c>
      <c r="M2589" s="13"/>
      <c r="N2589" s="13" t="str">
        <f>IFERROR(__xludf.DUMMYFUNCTION("""COMPUTED_VALUE"""),"")</f>
        <v/>
      </c>
      <c r="O2589" s="13" t="str">
        <f t="shared" si="1"/>
        <v/>
      </c>
    </row>
    <row r="2590" ht="22.5" customHeight="1">
      <c r="B2590" s="13">
        <f>IFERROR(__xludf.DUMMYFUNCTION("""COMPUTED_VALUE"""),2585.0)</f>
        <v>2585</v>
      </c>
      <c r="C2590" s="13" t="str">
        <f>IFERROR(__xludf.DUMMYFUNCTION("""COMPUTED_VALUE"""),"M. 6285/ Way Kandis")</f>
        <v>M. 6285/ Way Kandis</v>
      </c>
      <c r="D2590" s="13" t="str">
        <f>IFERROR(__xludf.DUMMYFUNCTION("""COMPUTED_VALUE"""),"K/24/110625/1")</f>
        <v>K/24/110625/1</v>
      </c>
      <c r="E2590" s="14" t="str">
        <f>IFERROR(__xludf.DUMMYFUNCTION("""COMPUTED_VALUE"""),"Heri (BT)")</f>
        <v>Heri (BT)</v>
      </c>
      <c r="F2590" s="14" t="str">
        <f>IFERROR(__xludf.DUMMYFUNCTION("""COMPUTED_VALUE"""),"SELESAI (VIA PERMOHONAN)")</f>
        <v>SELESAI (VIA PERMOHONAN)</v>
      </c>
      <c r="G2590" s="17">
        <f>IFERROR(__xludf.DUMMYFUNCTION("""COMPUTED_VALUE"""),45827.57978194444)</f>
        <v>45827.57978</v>
      </c>
      <c r="H2590" s="14" t="str">
        <f>IFERROR(__xludf.DUMMYFUNCTION("""COMPUTED_VALUE"""),"Eci (SU)")</f>
        <v>Eci (SU)</v>
      </c>
      <c r="I2590" s="13" t="str">
        <f>IFERROR(__xludf.DUMMYFUNCTION("""COMPUTED_VALUE"""),"SELESAI (VIA PERMOHONAN)")</f>
        <v>SELESAI (VIA PERMOHONAN)</v>
      </c>
      <c r="J2590" s="17">
        <f>IFERROR(__xludf.DUMMYFUNCTION("""COMPUTED_VALUE"""),45828.5892177662)</f>
        <v>45828.58922</v>
      </c>
      <c r="K2590" s="13" t="str">
        <f>IFERROR(__xludf.DUMMYFUNCTION("""COMPUTED_VALUE"""),"Selesai")</f>
        <v>Selesai</v>
      </c>
      <c r="L2590" s="17">
        <f>IFERROR(__xludf.DUMMYFUNCTION("""COMPUTED_VALUE"""),45828.5892177662)</f>
        <v>45828.58922</v>
      </c>
      <c r="M2590" s="13"/>
      <c r="N2590" s="13" t="str">
        <f>IFERROR(__xludf.DUMMYFUNCTION("""COMPUTED_VALUE"""),"")</f>
        <v/>
      </c>
      <c r="O2590" s="13" t="str">
        <f t="shared" si="1"/>
        <v/>
      </c>
    </row>
    <row r="2591" ht="22.5" customHeight="1">
      <c r="B2591" s="13">
        <f>IFERROR(__xludf.DUMMYFUNCTION("""COMPUTED_VALUE"""),2586.0)</f>
        <v>2586</v>
      </c>
      <c r="C2591" s="13" t="str">
        <f>IFERROR(__xludf.DUMMYFUNCTION("""COMPUTED_VALUE"""),"M. 80/ Sukarame baru")</f>
        <v>M. 80/ Sukarame baru</v>
      </c>
      <c r="D2591" s="13" t="str">
        <f>IFERROR(__xludf.DUMMYFUNCTION("""COMPUTED_VALUE"""),"K/16/110625/1")</f>
        <v>K/16/110625/1</v>
      </c>
      <c r="E2591" s="14" t="str">
        <f>IFERROR(__xludf.DUMMYFUNCTION("""COMPUTED_VALUE"""),"Heri (BT)")</f>
        <v>Heri (BT)</v>
      </c>
      <c r="F2591" s="14" t="str">
        <f>IFERROR(__xludf.DUMMYFUNCTION("""COMPUTED_VALUE"""),"SELESAI (VIA PERMOHONAN)")</f>
        <v>SELESAI (VIA PERMOHONAN)</v>
      </c>
      <c r="G2591" s="17">
        <f>IFERROR(__xludf.DUMMYFUNCTION("""COMPUTED_VALUE"""),45827.57985879629)</f>
        <v>45827.57986</v>
      </c>
      <c r="H2591" s="14" t="str">
        <f>IFERROR(__xludf.DUMMYFUNCTION("""COMPUTED_VALUE"""),"Eci (SU)")</f>
        <v>Eci (SU)</v>
      </c>
      <c r="I2591" s="13" t="str">
        <f>IFERROR(__xludf.DUMMYFUNCTION("""COMPUTED_VALUE"""),"SELESAI (VIA PERMOHONAN)")</f>
        <v>SELESAI (VIA PERMOHONAN)</v>
      </c>
      <c r="J2591" s="17">
        <f>IFERROR(__xludf.DUMMYFUNCTION("""COMPUTED_VALUE"""),45828.58632953704)</f>
        <v>45828.58633</v>
      </c>
      <c r="K2591" s="13" t="str">
        <f>IFERROR(__xludf.DUMMYFUNCTION("""COMPUTED_VALUE"""),"Selesai")</f>
        <v>Selesai</v>
      </c>
      <c r="L2591" s="17">
        <f>IFERROR(__xludf.DUMMYFUNCTION("""COMPUTED_VALUE"""),45828.58632953704)</f>
        <v>45828.58633</v>
      </c>
      <c r="M2591" s="13"/>
      <c r="N2591" s="13" t="str">
        <f>IFERROR(__xludf.DUMMYFUNCTION("""COMPUTED_VALUE"""),"")</f>
        <v/>
      </c>
      <c r="O2591" s="13" t="str">
        <f t="shared" si="1"/>
        <v/>
      </c>
    </row>
    <row r="2592" ht="22.5" customHeight="1">
      <c r="B2592" s="13">
        <f>IFERROR(__xludf.DUMMYFUNCTION("""COMPUTED_VALUE"""),2587.0)</f>
        <v>2587</v>
      </c>
      <c r="C2592" s="13" t="str">
        <f>IFERROR(__xludf.DUMMYFUNCTION("""COMPUTED_VALUE"""),"M. 1719/ Gunung Terang")</f>
        <v>M. 1719/ Gunung Terang</v>
      </c>
      <c r="D2592" s="13" t="str">
        <f>IFERROR(__xludf.DUMMYFUNCTION("""COMPUTED_VALUE"""),"K/12/040625/1")</f>
        <v>K/12/040625/1</v>
      </c>
      <c r="E2592" s="14" t="str">
        <f>IFERROR(__xludf.DUMMYFUNCTION("""COMPUTED_VALUE"""),"Heri (BT)")</f>
        <v>Heri (BT)</v>
      </c>
      <c r="F2592" s="14" t="str">
        <f>IFERROR(__xludf.DUMMYFUNCTION("""COMPUTED_VALUE"""),"SELESAI (VIA PERMOHONAN)")</f>
        <v>SELESAI (VIA PERMOHONAN)</v>
      </c>
      <c r="G2592" s="17">
        <f>IFERROR(__xludf.DUMMYFUNCTION("""COMPUTED_VALUE"""),45827.57999967593)</f>
        <v>45827.58</v>
      </c>
      <c r="H2592" s="14" t="str">
        <f>IFERROR(__xludf.DUMMYFUNCTION("""COMPUTED_VALUE"""),"Eci (SU)")</f>
        <v>Eci (SU)</v>
      </c>
      <c r="I2592" s="13" t="str">
        <f>IFERROR(__xludf.DUMMYFUNCTION("""COMPUTED_VALUE"""),"SELESAI (VIA PERMOHONAN)")</f>
        <v>SELESAI (VIA PERMOHONAN)</v>
      </c>
      <c r="J2592" s="17">
        <f>IFERROR(__xludf.DUMMYFUNCTION("""COMPUTED_VALUE"""),45828.58641053241)</f>
        <v>45828.58641</v>
      </c>
      <c r="K2592" s="13" t="str">
        <f>IFERROR(__xludf.DUMMYFUNCTION("""COMPUTED_VALUE"""),"Selesai")</f>
        <v>Selesai</v>
      </c>
      <c r="L2592" s="17">
        <f>IFERROR(__xludf.DUMMYFUNCTION("""COMPUTED_VALUE"""),45828.58641053241)</f>
        <v>45828.58641</v>
      </c>
      <c r="M2592" s="13"/>
      <c r="N2592" s="13" t="str">
        <f>IFERROR(__xludf.DUMMYFUNCTION("""COMPUTED_VALUE"""),"")</f>
        <v/>
      </c>
      <c r="O2592" s="13" t="str">
        <f t="shared" si="1"/>
        <v/>
      </c>
    </row>
    <row r="2593" ht="22.5" customHeight="1">
      <c r="B2593" s="13">
        <f>IFERROR(__xludf.DUMMYFUNCTION("""COMPUTED_VALUE"""),2588.0)</f>
        <v>2588</v>
      </c>
      <c r="C2593" s="13" t="str">
        <f>IFERROR(__xludf.DUMMYFUNCTION("""COMPUTED_VALUE"""),"M. 12697/ Kedaton")</f>
        <v>M. 12697/ Kedaton</v>
      </c>
      <c r="D2593" s="13" t="str">
        <f>IFERROR(__xludf.DUMMYFUNCTION("""COMPUTED_VALUE"""),"K/21/110625/1")</f>
        <v>K/21/110625/1</v>
      </c>
      <c r="E2593" s="14" t="str">
        <f>IFERROR(__xludf.DUMMYFUNCTION("""COMPUTED_VALUE"""),"Heri (BT)")</f>
        <v>Heri (BT)</v>
      </c>
      <c r="F2593" s="14" t="str">
        <f>IFERROR(__xludf.DUMMYFUNCTION("""COMPUTED_VALUE"""),"SELESAI (VIA PERMOHONAN)")</f>
        <v>SELESAI (VIA PERMOHONAN)</v>
      </c>
      <c r="G2593" s="17">
        <f>IFERROR(__xludf.DUMMYFUNCTION("""COMPUTED_VALUE"""),45827.58014502315)</f>
        <v>45827.58015</v>
      </c>
      <c r="H2593" s="14" t="str">
        <f>IFERROR(__xludf.DUMMYFUNCTION("""COMPUTED_VALUE"""),"Eci (SU)")</f>
        <v>Eci (SU)</v>
      </c>
      <c r="I2593" s="13" t="str">
        <f>IFERROR(__xludf.DUMMYFUNCTION("""COMPUTED_VALUE"""),"SELESAI (VIA PERMOHONAN)")</f>
        <v>SELESAI (VIA PERMOHONAN)</v>
      </c>
      <c r="J2593" s="17">
        <f>IFERROR(__xludf.DUMMYFUNCTION("""COMPUTED_VALUE"""),45828.58903621528)</f>
        <v>45828.58904</v>
      </c>
      <c r="K2593" s="13" t="str">
        <f>IFERROR(__xludf.DUMMYFUNCTION("""COMPUTED_VALUE"""),"Selesai")</f>
        <v>Selesai</v>
      </c>
      <c r="L2593" s="17">
        <f>IFERROR(__xludf.DUMMYFUNCTION("""COMPUTED_VALUE"""),45828.58903621528)</f>
        <v>45828.58904</v>
      </c>
      <c r="M2593" s="13"/>
      <c r="N2593" s="13" t="str">
        <f>IFERROR(__xludf.DUMMYFUNCTION("""COMPUTED_VALUE"""),"")</f>
        <v/>
      </c>
      <c r="O2593" s="13" t="str">
        <f t="shared" si="1"/>
        <v/>
      </c>
    </row>
    <row r="2594" ht="22.5" customHeight="1">
      <c r="B2594" s="13">
        <f>IFERROR(__xludf.DUMMYFUNCTION("""COMPUTED_VALUE"""),2589.0)</f>
        <v>2589</v>
      </c>
      <c r="C2594" s="13" t="str">
        <f>IFERROR(__xludf.DUMMYFUNCTION("""COMPUTED_VALUE"""),"M. 2337/ Sukamaju")</f>
        <v>M. 2337/ Sukamaju</v>
      </c>
      <c r="D2594" s="13" t="str">
        <f>IFERROR(__xludf.DUMMYFUNCTION("""COMPUTED_VALUE"""),"K/14/110625/1")</f>
        <v>K/14/110625/1</v>
      </c>
      <c r="E2594" s="14" t="str">
        <f>IFERROR(__xludf.DUMMYFUNCTION("""COMPUTED_VALUE"""),"Heri (BT)")</f>
        <v>Heri (BT)</v>
      </c>
      <c r="F2594" s="14" t="str">
        <f>IFERROR(__xludf.DUMMYFUNCTION("""COMPUTED_VALUE"""),"SELESAI (VIA PERMOHONAN)")</f>
        <v>SELESAI (VIA PERMOHONAN)</v>
      </c>
      <c r="G2594" s="17">
        <f>IFERROR(__xludf.DUMMYFUNCTION("""COMPUTED_VALUE"""),45827.580272928244)</f>
        <v>45827.58027</v>
      </c>
      <c r="H2594" s="14" t="str">
        <f>IFERROR(__xludf.DUMMYFUNCTION("""COMPUTED_VALUE"""),"Eci (SU)")</f>
        <v>Eci (SU)</v>
      </c>
      <c r="I2594" s="13" t="str">
        <f>IFERROR(__xludf.DUMMYFUNCTION("""COMPUTED_VALUE"""),"SELESAI (VIA PERMOHONAN)")</f>
        <v>SELESAI (VIA PERMOHONAN)</v>
      </c>
      <c r="J2594" s="17">
        <f>IFERROR(__xludf.DUMMYFUNCTION("""COMPUTED_VALUE"""),45828.586558090276)</f>
        <v>45828.58656</v>
      </c>
      <c r="K2594" s="13" t="str">
        <f>IFERROR(__xludf.DUMMYFUNCTION("""COMPUTED_VALUE"""),"Selesai")</f>
        <v>Selesai</v>
      </c>
      <c r="L2594" s="17">
        <f>IFERROR(__xludf.DUMMYFUNCTION("""COMPUTED_VALUE"""),45828.586558090276)</f>
        <v>45828.58656</v>
      </c>
      <c r="M2594" s="13"/>
      <c r="N2594" s="13" t="str">
        <f>IFERROR(__xludf.DUMMYFUNCTION("""COMPUTED_VALUE"""),"")</f>
        <v/>
      </c>
      <c r="O2594" s="13" t="str">
        <f t="shared" si="1"/>
        <v/>
      </c>
    </row>
    <row r="2595" ht="22.5" customHeight="1">
      <c r="B2595" s="13">
        <f>IFERROR(__xludf.DUMMYFUNCTION("""COMPUTED_VALUE"""),2590.0)</f>
        <v>2590</v>
      </c>
      <c r="C2595" s="13" t="str">
        <f>IFERROR(__xludf.DUMMYFUNCTION("""COMPUTED_VALUE"""),"M. 18360/ Sukarame I")</f>
        <v>M. 18360/ Sukarame I</v>
      </c>
      <c r="D2595" s="13" t="str">
        <f>IFERROR(__xludf.DUMMYFUNCTION("""COMPUTED_VALUE"""),"K/19/210525/1")</f>
        <v>K/19/210525/1</v>
      </c>
      <c r="E2595" s="14" t="str">
        <f>IFERROR(__xludf.DUMMYFUNCTION("""COMPUTED_VALUE"""),"Heri (BT)")</f>
        <v>Heri (BT)</v>
      </c>
      <c r="F2595" s="14" t="str">
        <f>IFERROR(__xludf.DUMMYFUNCTION("""COMPUTED_VALUE"""),"SELESAI (VIA PERMOHONAN)")</f>
        <v>SELESAI (VIA PERMOHONAN)</v>
      </c>
      <c r="G2595" s="17">
        <f>IFERROR(__xludf.DUMMYFUNCTION("""COMPUTED_VALUE"""),45827.58040842593)</f>
        <v>45827.58041</v>
      </c>
      <c r="H2595" s="14" t="str">
        <f>IFERROR(__xludf.DUMMYFUNCTION("""COMPUTED_VALUE"""),"Eci (SU)")</f>
        <v>Eci (SU)</v>
      </c>
      <c r="I2595" s="13" t="str">
        <f>IFERROR(__xludf.DUMMYFUNCTION("""COMPUTED_VALUE"""),"SELESAI (VIA PERMOHONAN)")</f>
        <v>SELESAI (VIA PERMOHONAN)</v>
      </c>
      <c r="J2595" s="17">
        <f>IFERROR(__xludf.DUMMYFUNCTION("""COMPUTED_VALUE"""),45828.586654872684)</f>
        <v>45828.58665</v>
      </c>
      <c r="K2595" s="13" t="str">
        <f>IFERROR(__xludf.DUMMYFUNCTION("""COMPUTED_VALUE"""),"Selesai")</f>
        <v>Selesai</v>
      </c>
      <c r="L2595" s="17">
        <f>IFERROR(__xludf.DUMMYFUNCTION("""COMPUTED_VALUE"""),45828.586654872684)</f>
        <v>45828.58665</v>
      </c>
      <c r="M2595" s="13"/>
      <c r="N2595" s="13" t="str">
        <f>IFERROR(__xludf.DUMMYFUNCTION("""COMPUTED_VALUE"""),"")</f>
        <v/>
      </c>
      <c r="O2595" s="13" t="str">
        <f t="shared" si="1"/>
        <v/>
      </c>
    </row>
    <row r="2596" ht="22.5" customHeight="1">
      <c r="B2596" s="13">
        <f>IFERROR(__xludf.DUMMYFUNCTION("""COMPUTED_VALUE"""),2591.0)</f>
        <v>2591</v>
      </c>
      <c r="C2596" s="13" t="str">
        <f>IFERROR(__xludf.DUMMYFUNCTION("""COMPUTED_VALUE"""),"M. 9638/ KAMPUNG BARU")</f>
        <v>M. 9638/ KAMPUNG BARU</v>
      </c>
      <c r="D2596" s="13" t="str">
        <f>IFERROR(__xludf.DUMMYFUNCTION("""COMPUTED_VALUE"""),"K/25/110625/1")</f>
        <v>K/25/110625/1</v>
      </c>
      <c r="E2596" s="14" t="str">
        <f>IFERROR(__xludf.DUMMYFUNCTION("""COMPUTED_VALUE"""),"Heri (BT)")</f>
        <v>Heri (BT)</v>
      </c>
      <c r="F2596" s="14" t="str">
        <f>IFERROR(__xludf.DUMMYFUNCTION("""COMPUTED_VALUE"""),"SELESAI (VIA PERMOHONAN)")</f>
        <v>SELESAI (VIA PERMOHONAN)</v>
      </c>
      <c r="G2596" s="17">
        <f>IFERROR(__xludf.DUMMYFUNCTION("""COMPUTED_VALUE"""),45827.580551273146)</f>
        <v>45827.58055</v>
      </c>
      <c r="H2596" s="14" t="str">
        <f>IFERROR(__xludf.DUMMYFUNCTION("""COMPUTED_VALUE"""),"Eci (SU)")</f>
        <v>Eci (SU)</v>
      </c>
      <c r="I2596" s="13" t="str">
        <f>IFERROR(__xludf.DUMMYFUNCTION("""COMPUTED_VALUE"""),"SELESAI (VIA PERMOHONAN)")</f>
        <v>SELESAI (VIA PERMOHONAN)</v>
      </c>
      <c r="J2596" s="17">
        <f>IFERROR(__xludf.DUMMYFUNCTION("""COMPUTED_VALUE"""),45828.58677800926)</f>
        <v>45828.58678</v>
      </c>
      <c r="K2596" s="13" t="str">
        <f>IFERROR(__xludf.DUMMYFUNCTION("""COMPUTED_VALUE"""),"Selesai")</f>
        <v>Selesai</v>
      </c>
      <c r="L2596" s="17">
        <f>IFERROR(__xludf.DUMMYFUNCTION("""COMPUTED_VALUE"""),45828.58677800926)</f>
        <v>45828.58678</v>
      </c>
      <c r="M2596" s="13"/>
      <c r="N2596" s="13" t="str">
        <f>IFERROR(__xludf.DUMMYFUNCTION("""COMPUTED_VALUE"""),"")</f>
        <v/>
      </c>
      <c r="O2596" s="13" t="str">
        <f t="shared" si="1"/>
        <v/>
      </c>
    </row>
    <row r="2597" ht="22.5" customHeight="1">
      <c r="B2597" s="13">
        <f>IFERROR(__xludf.DUMMYFUNCTION("""COMPUTED_VALUE"""),2592.0)</f>
        <v>2592</v>
      </c>
      <c r="C2597" s="13" t="str">
        <f>IFERROR(__xludf.DUMMYFUNCTION("""COMPUTED_VALUE"""),"M. 2951/ Bumi Waras")</f>
        <v>M. 2951/ Bumi Waras</v>
      </c>
      <c r="D2597" s="13" t="str">
        <f>IFERROR(__xludf.DUMMYFUNCTION("""COMPUTED_VALUE"""),"K/7/060525/1")</f>
        <v>K/7/060525/1</v>
      </c>
      <c r="E2597" s="14" t="str">
        <f>IFERROR(__xludf.DUMMYFUNCTION("""COMPUTED_VALUE"""),"Heri (BT)")</f>
        <v>Heri (BT)</v>
      </c>
      <c r="F2597" s="14" t="str">
        <f>IFERROR(__xludf.DUMMYFUNCTION("""COMPUTED_VALUE"""),"SELESAI (VIA PERMOHONAN)")</f>
        <v>SELESAI (VIA PERMOHONAN)</v>
      </c>
      <c r="G2597" s="17">
        <f>IFERROR(__xludf.DUMMYFUNCTION("""COMPUTED_VALUE"""),45827.5806828125)</f>
        <v>45827.58068</v>
      </c>
      <c r="H2597" s="14" t="str">
        <f>IFERROR(__xludf.DUMMYFUNCTION("""COMPUTED_VALUE"""),"Eci (SU)")</f>
        <v>Eci (SU)</v>
      </c>
      <c r="I2597" s="13" t="str">
        <f>IFERROR(__xludf.DUMMYFUNCTION("""COMPUTED_VALUE"""),"SELESAI (VIA PERMOHONAN)")</f>
        <v>SELESAI (VIA PERMOHONAN)</v>
      </c>
      <c r="J2597" s="17">
        <f>IFERROR(__xludf.DUMMYFUNCTION("""COMPUTED_VALUE"""),45828.58689880787)</f>
        <v>45828.5869</v>
      </c>
      <c r="K2597" s="13" t="str">
        <f>IFERROR(__xludf.DUMMYFUNCTION("""COMPUTED_VALUE"""),"Selesai")</f>
        <v>Selesai</v>
      </c>
      <c r="L2597" s="17">
        <f>IFERROR(__xludf.DUMMYFUNCTION("""COMPUTED_VALUE"""),45828.58689880787)</f>
        <v>45828.5869</v>
      </c>
      <c r="M2597" s="13"/>
      <c r="N2597" s="13" t="str">
        <f>IFERROR(__xludf.DUMMYFUNCTION("""COMPUTED_VALUE"""),"")</f>
        <v/>
      </c>
      <c r="O2597" s="13" t="str">
        <f t="shared" si="1"/>
        <v/>
      </c>
    </row>
    <row r="2598" ht="22.5" customHeight="1">
      <c r="B2598" s="13">
        <f>IFERROR(__xludf.DUMMYFUNCTION("""COMPUTED_VALUE"""),2593.0)</f>
        <v>2593</v>
      </c>
      <c r="C2598" s="13" t="str">
        <f>IFERROR(__xludf.DUMMYFUNCTION("""COMPUTED_VALUE"""),"HM 1359/WAY KANDIS")</f>
        <v>HM 1359/WAY KANDIS</v>
      </c>
      <c r="D2598" s="13" t="str">
        <f>IFERROR(__xludf.DUMMYFUNCTION("""COMPUTED_VALUE"""),"L/3/020625/1")</f>
        <v>L/3/020625/1</v>
      </c>
      <c r="E2598" s="14" t="str">
        <f>IFERROR(__xludf.DUMMYFUNCTION("""COMPUTED_VALUE"""),"Heri (BT)")</f>
        <v>Heri (BT)</v>
      </c>
      <c r="F2598" s="14" t="str">
        <f>IFERROR(__xludf.DUMMYFUNCTION("""COMPUTED_VALUE"""),"SELESAI (VIA PERMOHONAN)")</f>
        <v>SELESAI (VIA PERMOHONAN)</v>
      </c>
      <c r="G2598" s="17">
        <f>IFERROR(__xludf.DUMMYFUNCTION("""COMPUTED_VALUE"""),45827.580856863424)</f>
        <v>45827.58086</v>
      </c>
      <c r="H2598" s="14" t="str">
        <f>IFERROR(__xludf.DUMMYFUNCTION("""COMPUTED_VALUE"""),"Eci (SU)")</f>
        <v>Eci (SU)</v>
      </c>
      <c r="I2598" s="13" t="str">
        <f>IFERROR(__xludf.DUMMYFUNCTION("""COMPUTED_VALUE"""),"SELESAI (VIA PERMOHONAN)")</f>
        <v>SELESAI (VIA PERMOHONAN)</v>
      </c>
      <c r="J2598" s="17">
        <f>IFERROR(__xludf.DUMMYFUNCTION("""COMPUTED_VALUE"""),45828.58701711806)</f>
        <v>45828.58702</v>
      </c>
      <c r="K2598" s="13" t="str">
        <f>IFERROR(__xludf.DUMMYFUNCTION("""COMPUTED_VALUE"""),"Selesai")</f>
        <v>Selesai</v>
      </c>
      <c r="L2598" s="17">
        <f>IFERROR(__xludf.DUMMYFUNCTION("""COMPUTED_VALUE"""),45828.58701711806)</f>
        <v>45828.58702</v>
      </c>
      <c r="M2598" s="13"/>
      <c r="N2598" s="13" t="str">
        <f>IFERROR(__xludf.DUMMYFUNCTION("""COMPUTED_VALUE"""),"")</f>
        <v/>
      </c>
      <c r="O2598" s="13" t="str">
        <f t="shared" si="1"/>
        <v/>
      </c>
    </row>
    <row r="2599" ht="22.5" customHeight="1">
      <c r="B2599" s="13">
        <f>IFERROR(__xludf.DUMMYFUNCTION("""COMPUTED_VALUE"""),2594.0)</f>
        <v>2594</v>
      </c>
      <c r="C2599" s="13" t="str">
        <f>IFERROR(__xludf.DUMMYFUNCTION("""COMPUTED_VALUE"""),"HM 189/RAJABASA PEMUKA")</f>
        <v>HM 189/RAJABASA PEMUKA</v>
      </c>
      <c r="D2599" s="13" t="str">
        <f>IFERROR(__xludf.DUMMYFUNCTION("""COMPUTED_VALUE"""),"L/9/100625/1")</f>
        <v>L/9/100625/1</v>
      </c>
      <c r="E2599" s="14" t="str">
        <f>IFERROR(__xludf.DUMMYFUNCTION("""COMPUTED_VALUE"""),"Heri (BT)")</f>
        <v>Heri (BT)</v>
      </c>
      <c r="F2599" s="14" t="str">
        <f>IFERROR(__xludf.DUMMYFUNCTION("""COMPUTED_VALUE"""),"SELESAI (VIA PERMOHONAN)")</f>
        <v>SELESAI (VIA PERMOHONAN)</v>
      </c>
      <c r="G2599" s="17">
        <f>IFERROR(__xludf.DUMMYFUNCTION("""COMPUTED_VALUE"""),45827.58102188657)</f>
        <v>45827.58102</v>
      </c>
      <c r="H2599" s="14" t="str">
        <f>IFERROR(__xludf.DUMMYFUNCTION("""COMPUTED_VALUE"""),"Eci (SU)")</f>
        <v>Eci (SU)</v>
      </c>
      <c r="I2599" s="13" t="str">
        <f>IFERROR(__xludf.DUMMYFUNCTION("""COMPUTED_VALUE"""),"SELESAI (VIA PERMOHONAN)")</f>
        <v>SELESAI (VIA PERMOHONAN)</v>
      </c>
      <c r="J2599" s="17">
        <f>IFERROR(__xludf.DUMMYFUNCTION("""COMPUTED_VALUE"""),45828.58710497685)</f>
        <v>45828.5871</v>
      </c>
      <c r="K2599" s="13" t="str">
        <f>IFERROR(__xludf.DUMMYFUNCTION("""COMPUTED_VALUE"""),"Selesai")</f>
        <v>Selesai</v>
      </c>
      <c r="L2599" s="17">
        <f>IFERROR(__xludf.DUMMYFUNCTION("""COMPUTED_VALUE"""),45828.58710497685)</f>
        <v>45828.5871</v>
      </c>
      <c r="M2599" s="13"/>
      <c r="N2599" s="13" t="str">
        <f>IFERROR(__xludf.DUMMYFUNCTION("""COMPUTED_VALUE"""),"")</f>
        <v/>
      </c>
      <c r="O2599" s="13" t="str">
        <f t="shared" si="1"/>
        <v/>
      </c>
    </row>
    <row r="2600" ht="22.5" customHeight="1">
      <c r="B2600" s="13">
        <f>IFERROR(__xludf.DUMMYFUNCTION("""COMPUTED_VALUE"""),2595.0)</f>
        <v>2595</v>
      </c>
      <c r="C2600" s="13" t="str">
        <f>IFERROR(__xludf.DUMMYFUNCTION("""COMPUTED_VALUE"""),"HM 1373/SUKABUMI INDAH")</f>
        <v>HM 1373/SUKABUMI INDAH</v>
      </c>
      <c r="D2600" s="13" t="str">
        <f>IFERROR(__xludf.DUMMYFUNCTION("""COMPUTED_VALUE"""),"L/3/100625/1")</f>
        <v>L/3/100625/1</v>
      </c>
      <c r="E2600" s="14" t="str">
        <f>IFERROR(__xludf.DUMMYFUNCTION("""COMPUTED_VALUE"""),"Heri (BT)")</f>
        <v>Heri (BT)</v>
      </c>
      <c r="F2600" s="14" t="str">
        <f>IFERROR(__xludf.DUMMYFUNCTION("""COMPUTED_VALUE"""),"SELESAI (VIA PERMOHONAN)")</f>
        <v>SELESAI (VIA PERMOHONAN)</v>
      </c>
      <c r="G2600" s="17">
        <f>IFERROR(__xludf.DUMMYFUNCTION("""COMPUTED_VALUE"""),45827.58118971065)</f>
        <v>45827.58119</v>
      </c>
      <c r="H2600" s="14" t="str">
        <f>IFERROR(__xludf.DUMMYFUNCTION("""COMPUTED_VALUE"""),"Eci (SU)")</f>
        <v>Eci (SU)</v>
      </c>
      <c r="I2600" s="13" t="str">
        <f>IFERROR(__xludf.DUMMYFUNCTION("""COMPUTED_VALUE"""),"SELESAI (VIA PERMOHONAN)")</f>
        <v>SELESAI (VIA PERMOHONAN)</v>
      </c>
      <c r="J2600" s="17">
        <f>IFERROR(__xludf.DUMMYFUNCTION("""COMPUTED_VALUE"""),45828.58718043982)</f>
        <v>45828.58718</v>
      </c>
      <c r="K2600" s="13" t="str">
        <f>IFERROR(__xludf.DUMMYFUNCTION("""COMPUTED_VALUE"""),"Selesai")</f>
        <v>Selesai</v>
      </c>
      <c r="L2600" s="17">
        <f>IFERROR(__xludf.DUMMYFUNCTION("""COMPUTED_VALUE"""),45828.58718043982)</f>
        <v>45828.58718</v>
      </c>
      <c r="M2600" s="13"/>
      <c r="N2600" s="13" t="str">
        <f>IFERROR(__xludf.DUMMYFUNCTION("""COMPUTED_VALUE"""),"")</f>
        <v/>
      </c>
      <c r="O2600" s="13" t="str">
        <f t="shared" si="1"/>
        <v/>
      </c>
    </row>
    <row r="2601" ht="22.5" customHeight="1">
      <c r="B2601" s="13">
        <f>IFERROR(__xludf.DUMMYFUNCTION("""COMPUTED_VALUE"""),2596.0)</f>
        <v>2596</v>
      </c>
      <c r="C2601" s="13" t="str">
        <f>IFERROR(__xludf.DUMMYFUNCTION("""COMPUTED_VALUE"""),"HGB 1382/TANJUNG SENANG")</f>
        <v>HGB 1382/TANJUNG SENANG</v>
      </c>
      <c r="D2601" s="13" t="str">
        <f>IFERROR(__xludf.DUMMYFUNCTION("""COMPUTED_VALUE"""),"L/8/100625/1")</f>
        <v>L/8/100625/1</v>
      </c>
      <c r="E2601" s="14" t="str">
        <f>IFERROR(__xludf.DUMMYFUNCTION("""COMPUTED_VALUE"""),"Heri (BT)")</f>
        <v>Heri (BT)</v>
      </c>
      <c r="F2601" s="14" t="str">
        <f>IFERROR(__xludf.DUMMYFUNCTION("""COMPUTED_VALUE"""),"SELESAI (VIA PERMOHONAN)")</f>
        <v>SELESAI (VIA PERMOHONAN)</v>
      </c>
      <c r="G2601" s="17">
        <f>IFERROR(__xludf.DUMMYFUNCTION("""COMPUTED_VALUE"""),45827.58169037037)</f>
        <v>45827.58169</v>
      </c>
      <c r="H2601" s="14" t="str">
        <f>IFERROR(__xludf.DUMMYFUNCTION("""COMPUTED_VALUE"""),"Eci (SU)")</f>
        <v>Eci (SU)</v>
      </c>
      <c r="I2601" s="13" t="str">
        <f>IFERROR(__xludf.DUMMYFUNCTION("""COMPUTED_VALUE"""),"SELESAI (VIA PERMOHONAN)")</f>
        <v>SELESAI (VIA PERMOHONAN)</v>
      </c>
      <c r="J2601" s="17">
        <f>IFERROR(__xludf.DUMMYFUNCTION("""COMPUTED_VALUE"""),45828.58727130787)</f>
        <v>45828.58727</v>
      </c>
      <c r="K2601" s="13" t="str">
        <f>IFERROR(__xludf.DUMMYFUNCTION("""COMPUTED_VALUE"""),"Selesai")</f>
        <v>Selesai</v>
      </c>
      <c r="L2601" s="17">
        <f>IFERROR(__xludf.DUMMYFUNCTION("""COMPUTED_VALUE"""),45828.58727130787)</f>
        <v>45828.58727</v>
      </c>
      <c r="M2601" s="13"/>
      <c r="N2601" s="13" t="str">
        <f>IFERROR(__xludf.DUMMYFUNCTION("""COMPUTED_VALUE"""),"")</f>
        <v/>
      </c>
      <c r="O2601" s="13" t="str">
        <f t="shared" si="1"/>
        <v/>
      </c>
    </row>
    <row r="2602" ht="22.5" customHeight="1">
      <c r="B2602" s="13">
        <f>IFERROR(__xludf.DUMMYFUNCTION("""COMPUTED_VALUE"""),2597.0)</f>
        <v>2597</v>
      </c>
      <c r="C2602" s="13" t="str">
        <f>IFERROR(__xludf.DUMMYFUNCTION("""COMPUTED_VALUE"""),"HM 440/KUPANG KOTA")</f>
        <v>HM 440/KUPANG KOTA</v>
      </c>
      <c r="D2602" s="13" t="str">
        <f>IFERROR(__xludf.DUMMYFUNCTION("""COMPUTED_VALUE"""),"L/27/100625/1")</f>
        <v>L/27/100625/1</v>
      </c>
      <c r="E2602" s="14" t="str">
        <f>IFERROR(__xludf.DUMMYFUNCTION("""COMPUTED_VALUE"""),"Heri (BT)")</f>
        <v>Heri (BT)</v>
      </c>
      <c r="F2602" s="14" t="str">
        <f>IFERROR(__xludf.DUMMYFUNCTION("""COMPUTED_VALUE"""),"SELESAI (VIA PERMOHONAN)")</f>
        <v>SELESAI (VIA PERMOHONAN)</v>
      </c>
      <c r="G2602" s="17">
        <f>IFERROR(__xludf.DUMMYFUNCTION("""COMPUTED_VALUE"""),45827.58185471065)</f>
        <v>45827.58185</v>
      </c>
      <c r="H2602" s="14" t="str">
        <f>IFERROR(__xludf.DUMMYFUNCTION("""COMPUTED_VALUE"""),"Eci (SU)")</f>
        <v>Eci (SU)</v>
      </c>
      <c r="I2602" s="13" t="str">
        <f>IFERROR(__xludf.DUMMYFUNCTION("""COMPUTED_VALUE"""),"SELESAI (VIA PERMOHONAN)")</f>
        <v>SELESAI (VIA PERMOHONAN)</v>
      </c>
      <c r="J2602" s="17">
        <f>IFERROR(__xludf.DUMMYFUNCTION("""COMPUTED_VALUE"""),45828.58886395833)</f>
        <v>45828.58886</v>
      </c>
      <c r="K2602" s="13" t="str">
        <f>IFERROR(__xludf.DUMMYFUNCTION("""COMPUTED_VALUE"""),"Selesai")</f>
        <v>Selesai</v>
      </c>
      <c r="L2602" s="17">
        <f>IFERROR(__xludf.DUMMYFUNCTION("""COMPUTED_VALUE"""),45828.58886395833)</f>
        <v>45828.58886</v>
      </c>
      <c r="M2602" s="13"/>
      <c r="N2602" s="13" t="str">
        <f>IFERROR(__xludf.DUMMYFUNCTION("""COMPUTED_VALUE"""),"")</f>
        <v/>
      </c>
      <c r="O2602" s="13" t="str">
        <f t="shared" si="1"/>
        <v/>
      </c>
    </row>
    <row r="2603" ht="22.5" customHeight="1">
      <c r="B2603" s="13">
        <f>IFERROR(__xludf.DUMMYFUNCTION("""COMPUTED_VALUE"""),2598.0)</f>
        <v>2598</v>
      </c>
      <c r="C2603" s="13" t="str">
        <f>IFERROR(__xludf.DUMMYFUNCTION("""COMPUTED_VALUE"""),"M. 11904/ Kedamaian")</f>
        <v>M. 11904/ Kedamaian</v>
      </c>
      <c r="D2603" s="13" t="str">
        <f>IFERROR(__xludf.DUMMYFUNCTION("""COMPUTED_VALUE"""),"K/36/130625/1")</f>
        <v>K/36/130625/1</v>
      </c>
      <c r="E2603" s="14" t="str">
        <f>IFERROR(__xludf.DUMMYFUNCTION("""COMPUTED_VALUE"""),"Heri (BT)")</f>
        <v>Heri (BT)</v>
      </c>
      <c r="F2603" s="14" t="str">
        <f>IFERROR(__xludf.DUMMYFUNCTION("""COMPUTED_VALUE"""),"SELESAI (VIA PERMOHONAN)")</f>
        <v>SELESAI (VIA PERMOHONAN)</v>
      </c>
      <c r="G2603" s="17">
        <f>IFERROR(__xludf.DUMMYFUNCTION("""COMPUTED_VALUE"""),45827.582009108795)</f>
        <v>45827.58201</v>
      </c>
      <c r="H2603" s="14" t="str">
        <f>IFERROR(__xludf.DUMMYFUNCTION("""COMPUTED_VALUE"""),"Eci (SU)")</f>
        <v>Eci (SU)</v>
      </c>
      <c r="I2603" s="13" t="str">
        <f>IFERROR(__xludf.DUMMYFUNCTION("""COMPUTED_VALUE"""),"SELESAI (VIA PERMOHONAN)")</f>
        <v>SELESAI (VIA PERMOHONAN)</v>
      </c>
      <c r="J2603" s="17">
        <f>IFERROR(__xludf.DUMMYFUNCTION("""COMPUTED_VALUE"""),45828.58868675926)</f>
        <v>45828.58869</v>
      </c>
      <c r="K2603" s="13" t="str">
        <f>IFERROR(__xludf.DUMMYFUNCTION("""COMPUTED_VALUE"""),"Selesai")</f>
        <v>Selesai</v>
      </c>
      <c r="L2603" s="17">
        <f>IFERROR(__xludf.DUMMYFUNCTION("""COMPUTED_VALUE"""),45828.58868675926)</f>
        <v>45828.58869</v>
      </c>
      <c r="M2603" s="13"/>
      <c r="N2603" s="13" t="str">
        <f>IFERROR(__xludf.DUMMYFUNCTION("""COMPUTED_VALUE"""),"")</f>
        <v/>
      </c>
      <c r="O2603" s="13" t="str">
        <f t="shared" si="1"/>
        <v/>
      </c>
    </row>
    <row r="2604" ht="22.5" customHeight="1">
      <c r="B2604" s="13">
        <f>IFERROR(__xludf.DUMMYFUNCTION("""COMPUTED_VALUE"""),2599.0)</f>
        <v>2599</v>
      </c>
      <c r="C2604" s="13" t="str">
        <f>IFERROR(__xludf.DUMMYFUNCTION("""COMPUTED_VALUE"""),"M. 4618/GUNUNG TERANG")</f>
        <v>M. 4618/GUNUNG TERANG</v>
      </c>
      <c r="D2604" s="13" t="str">
        <f>IFERROR(__xludf.DUMMYFUNCTION("""COMPUTED_VALUE"""),"K/45/050625/1")</f>
        <v>K/45/050625/1</v>
      </c>
      <c r="E2604" s="14" t="str">
        <f>IFERROR(__xludf.DUMMYFUNCTION("""COMPUTED_VALUE"""),"Heri (BT)")</f>
        <v>Heri (BT)</v>
      </c>
      <c r="F2604" s="14" t="str">
        <f>IFERROR(__xludf.DUMMYFUNCTION("""COMPUTED_VALUE"""),"SELESAI (VIA PERMOHONAN)")</f>
        <v>SELESAI (VIA PERMOHONAN)</v>
      </c>
      <c r="G2604" s="17">
        <f>IFERROR(__xludf.DUMMYFUNCTION("""COMPUTED_VALUE"""),45828.53996583333)</f>
        <v>45828.53997</v>
      </c>
      <c r="H2604" s="14" t="str">
        <f>IFERROR(__xludf.DUMMYFUNCTION("""COMPUTED_VALUE"""),"Eci (SU)")</f>
        <v>Eci (SU)</v>
      </c>
      <c r="I2604" s="13" t="str">
        <f>IFERROR(__xludf.DUMMYFUNCTION("""COMPUTED_VALUE"""),"SELESAI (VIA PERMOHONAN)")</f>
        <v>SELESAI (VIA PERMOHONAN)</v>
      </c>
      <c r="J2604" s="17">
        <f>IFERROR(__xludf.DUMMYFUNCTION("""COMPUTED_VALUE"""),45828.63111657408)</f>
        <v>45828.63112</v>
      </c>
      <c r="K2604" s="13" t="str">
        <f>IFERROR(__xludf.DUMMYFUNCTION("""COMPUTED_VALUE"""),"Selesai")</f>
        <v>Selesai</v>
      </c>
      <c r="L2604" s="17">
        <f>IFERROR(__xludf.DUMMYFUNCTION("""COMPUTED_VALUE"""),45828.63111657408)</f>
        <v>45828.63112</v>
      </c>
      <c r="M2604" s="13"/>
      <c r="N2604" s="13" t="str">
        <f>IFERROR(__xludf.DUMMYFUNCTION("""COMPUTED_VALUE"""),"")</f>
        <v/>
      </c>
      <c r="O2604" s="13" t="str">
        <f t="shared" si="1"/>
        <v/>
      </c>
    </row>
    <row r="2605" ht="22.5" customHeight="1">
      <c r="B2605" s="13">
        <f>IFERROR(__xludf.DUMMYFUNCTION("""COMPUTED_VALUE"""),2600.0)</f>
        <v>2600</v>
      </c>
      <c r="C2605" s="13" t="str">
        <f>IFERROR(__xludf.DUMMYFUNCTION("""COMPUTED_VALUE"""),"M.1702/SUMUR PUTRI")</f>
        <v>M.1702/SUMUR PUTRI</v>
      </c>
      <c r="D2605" s="13" t="str">
        <f>IFERROR(__xludf.DUMMYFUNCTION("""COMPUTED_VALUE"""),"K/15/270525/2")</f>
        <v>K/15/270525/2</v>
      </c>
      <c r="E2605" s="14" t="str">
        <f>IFERROR(__xludf.DUMMYFUNCTION("""COMPUTED_VALUE"""),"Heri (BT)")</f>
        <v>Heri (BT)</v>
      </c>
      <c r="F2605" s="14" t="str">
        <f>IFERROR(__xludf.DUMMYFUNCTION("""COMPUTED_VALUE"""),"SELESAI (VIA PERMOHONAN)")</f>
        <v>SELESAI (VIA PERMOHONAN)</v>
      </c>
      <c r="G2605" s="17">
        <f>IFERROR(__xludf.DUMMYFUNCTION("""COMPUTED_VALUE"""),45828.54020048611)</f>
        <v>45828.5402</v>
      </c>
      <c r="H2605" s="14" t="str">
        <f>IFERROR(__xludf.DUMMYFUNCTION("""COMPUTED_VALUE"""),"Eci (SU)")</f>
        <v>Eci (SU)</v>
      </c>
      <c r="I2605" s="13" t="str">
        <f>IFERROR(__xludf.DUMMYFUNCTION("""COMPUTED_VALUE"""),"SELESAI (VIA PERMOHONAN)")</f>
        <v>SELESAI (VIA PERMOHONAN)</v>
      </c>
      <c r="J2605" s="17">
        <f>IFERROR(__xludf.DUMMYFUNCTION("""COMPUTED_VALUE"""),45828.63089834491)</f>
        <v>45828.6309</v>
      </c>
      <c r="K2605" s="13" t="str">
        <f>IFERROR(__xludf.DUMMYFUNCTION("""COMPUTED_VALUE"""),"Selesai")</f>
        <v>Selesai</v>
      </c>
      <c r="L2605" s="17">
        <f>IFERROR(__xludf.DUMMYFUNCTION("""COMPUTED_VALUE"""),45828.63089834491)</f>
        <v>45828.6309</v>
      </c>
      <c r="M2605" s="13"/>
      <c r="N2605" s="13" t="str">
        <f>IFERROR(__xludf.DUMMYFUNCTION("""COMPUTED_VALUE"""),"")</f>
        <v/>
      </c>
      <c r="O2605" s="13" t="str">
        <f t="shared" si="1"/>
        <v/>
      </c>
    </row>
    <row r="2606" ht="22.5" customHeight="1">
      <c r="B2606" s="13">
        <f>IFERROR(__xludf.DUMMYFUNCTION("""COMPUTED_VALUE"""),2601.0)</f>
        <v>2601</v>
      </c>
      <c r="C2606" s="13" t="str">
        <f>IFERROR(__xludf.DUMMYFUNCTION("""COMPUTED_VALUE"""),"M. 1757/LABUHAN RATU RAYA")</f>
        <v>M. 1757/LABUHAN RATU RAYA</v>
      </c>
      <c r="D2606" s="13" t="str">
        <f>IFERROR(__xludf.DUMMYFUNCTION("""COMPUTED_VALUE"""),"K/7/130625/1")</f>
        <v>K/7/130625/1</v>
      </c>
      <c r="E2606" s="14" t="str">
        <f>IFERROR(__xludf.DUMMYFUNCTION("""COMPUTED_VALUE"""),"Heri (BT)")</f>
        <v>Heri (BT)</v>
      </c>
      <c r="F2606" s="14" t="str">
        <f>IFERROR(__xludf.DUMMYFUNCTION("""COMPUTED_VALUE"""),"SELESAI (VIA PERMOHONAN)")</f>
        <v>SELESAI (VIA PERMOHONAN)</v>
      </c>
      <c r="G2606" s="17">
        <f>IFERROR(__xludf.DUMMYFUNCTION("""COMPUTED_VALUE"""),45828.54034893519)</f>
        <v>45828.54035</v>
      </c>
      <c r="H2606" s="14" t="str">
        <f>IFERROR(__xludf.DUMMYFUNCTION("""COMPUTED_VALUE"""),"Eci (SU)")</f>
        <v>Eci (SU)</v>
      </c>
      <c r="I2606" s="13" t="str">
        <f>IFERROR(__xludf.DUMMYFUNCTION("""COMPUTED_VALUE"""),"SELESAI (VIA PERMOHONAN)")</f>
        <v>SELESAI (VIA PERMOHONAN)</v>
      </c>
      <c r="J2606" s="17">
        <f>IFERROR(__xludf.DUMMYFUNCTION("""COMPUTED_VALUE"""),45828.63080576389)</f>
        <v>45828.63081</v>
      </c>
      <c r="K2606" s="13" t="str">
        <f>IFERROR(__xludf.DUMMYFUNCTION("""COMPUTED_VALUE"""),"Selesai")</f>
        <v>Selesai</v>
      </c>
      <c r="L2606" s="17">
        <f>IFERROR(__xludf.DUMMYFUNCTION("""COMPUTED_VALUE"""),45828.63080576389)</f>
        <v>45828.63081</v>
      </c>
      <c r="M2606" s="13"/>
      <c r="N2606" s="13" t="str">
        <f>IFERROR(__xludf.DUMMYFUNCTION("""COMPUTED_VALUE"""),"")</f>
        <v/>
      </c>
      <c r="O2606" s="13" t="str">
        <f t="shared" si="1"/>
        <v/>
      </c>
    </row>
    <row r="2607" ht="22.5" customHeight="1">
      <c r="B2607" s="13">
        <f>IFERROR(__xludf.DUMMYFUNCTION("""COMPUTED_VALUE"""),2602.0)</f>
        <v>2602</v>
      </c>
      <c r="C2607" s="13" t="str">
        <f>IFERROR(__xludf.DUMMYFUNCTION("""COMPUTED_VALUE"""),"M. 1388/SEPANG JAYA")</f>
        <v>M. 1388/SEPANG JAYA</v>
      </c>
      <c r="D2607" s="13" t="str">
        <f>IFERROR(__xludf.DUMMYFUNCTION("""COMPUTED_VALUE"""),"K/38/230525/1")</f>
        <v>K/38/230525/1</v>
      </c>
      <c r="E2607" s="14" t="str">
        <f>IFERROR(__xludf.DUMMYFUNCTION("""COMPUTED_VALUE"""),"Heri (BT)")</f>
        <v>Heri (BT)</v>
      </c>
      <c r="F2607" s="14" t="str">
        <f>IFERROR(__xludf.DUMMYFUNCTION("""COMPUTED_VALUE"""),"SELESAI (VIA PERMOHONAN)")</f>
        <v>SELESAI (VIA PERMOHONAN)</v>
      </c>
      <c r="G2607" s="17">
        <f>IFERROR(__xludf.DUMMYFUNCTION("""COMPUTED_VALUE"""),45828.540483379635)</f>
        <v>45828.54048</v>
      </c>
      <c r="H2607" s="14" t="str">
        <f>IFERROR(__xludf.DUMMYFUNCTION("""COMPUTED_VALUE"""),"Eci (SU)")</f>
        <v>Eci (SU)</v>
      </c>
      <c r="I2607" s="13" t="str">
        <f>IFERROR(__xludf.DUMMYFUNCTION("""COMPUTED_VALUE"""),"SELESAI (VIA PERMOHONAN)")</f>
        <v>SELESAI (VIA PERMOHONAN)</v>
      </c>
      <c r="J2607" s="17">
        <f>IFERROR(__xludf.DUMMYFUNCTION("""COMPUTED_VALUE"""),45828.63072700231)</f>
        <v>45828.63073</v>
      </c>
      <c r="K2607" s="13" t="str">
        <f>IFERROR(__xludf.DUMMYFUNCTION("""COMPUTED_VALUE"""),"Selesai")</f>
        <v>Selesai</v>
      </c>
      <c r="L2607" s="17">
        <f>IFERROR(__xludf.DUMMYFUNCTION("""COMPUTED_VALUE"""),45828.63072700231)</f>
        <v>45828.63073</v>
      </c>
      <c r="M2607" s="13"/>
      <c r="N2607" s="13" t="str">
        <f>IFERROR(__xludf.DUMMYFUNCTION("""COMPUTED_VALUE"""),"")</f>
        <v/>
      </c>
      <c r="O2607" s="13" t="str">
        <f t="shared" si="1"/>
        <v/>
      </c>
    </row>
    <row r="2608" ht="22.5" customHeight="1">
      <c r="B2608" s="13">
        <f>IFERROR(__xludf.DUMMYFUNCTION("""COMPUTED_VALUE"""),2603.0)</f>
        <v>2603</v>
      </c>
      <c r="C2608" s="13" t="str">
        <f>IFERROR(__xludf.DUMMYFUNCTION("""COMPUTED_VALUE"""),"HM 2070/KEMILING PERMAI")</f>
        <v>HM 2070/KEMILING PERMAI</v>
      </c>
      <c r="D2608" s="13" t="str">
        <f>IFERROR(__xludf.DUMMYFUNCTION("""COMPUTED_VALUE"""),"L/28/120625/1")</f>
        <v>L/28/120625/1</v>
      </c>
      <c r="E2608" s="14" t="str">
        <f>IFERROR(__xludf.DUMMYFUNCTION("""COMPUTED_VALUE"""),"Heri (BT)")</f>
        <v>Heri (BT)</v>
      </c>
      <c r="F2608" s="14" t="str">
        <f>IFERROR(__xludf.DUMMYFUNCTION("""COMPUTED_VALUE"""),"SELESAI (VIA PERMOHONAN)")</f>
        <v>SELESAI (VIA PERMOHONAN)</v>
      </c>
      <c r="G2608" s="17">
        <f>IFERROR(__xludf.DUMMYFUNCTION("""COMPUTED_VALUE"""),45828.54064608796)</f>
        <v>45828.54065</v>
      </c>
      <c r="H2608" s="14" t="str">
        <f>IFERROR(__xludf.DUMMYFUNCTION("""COMPUTED_VALUE"""),"Eci (SU)")</f>
        <v>Eci (SU)</v>
      </c>
      <c r="I2608" s="13" t="str">
        <f>IFERROR(__xludf.DUMMYFUNCTION("""COMPUTED_VALUE"""),"SELESAI (VIA PERMOHONAN)")</f>
        <v>SELESAI (VIA PERMOHONAN)</v>
      </c>
      <c r="J2608" s="17">
        <f>IFERROR(__xludf.DUMMYFUNCTION("""COMPUTED_VALUE"""),45828.63063119213)</f>
        <v>45828.63063</v>
      </c>
      <c r="K2608" s="13" t="str">
        <f>IFERROR(__xludf.DUMMYFUNCTION("""COMPUTED_VALUE"""),"Selesai")</f>
        <v>Selesai</v>
      </c>
      <c r="L2608" s="17">
        <f>IFERROR(__xludf.DUMMYFUNCTION("""COMPUTED_VALUE"""),45828.63063119213)</f>
        <v>45828.63063</v>
      </c>
      <c r="M2608" s="13"/>
      <c r="N2608" s="13" t="str">
        <f>IFERROR(__xludf.DUMMYFUNCTION("""COMPUTED_VALUE"""),"")</f>
        <v/>
      </c>
      <c r="O2608" s="13" t="str">
        <f t="shared" si="1"/>
        <v/>
      </c>
    </row>
    <row r="2609" ht="22.5" customHeight="1">
      <c r="B2609" s="13">
        <f>IFERROR(__xludf.DUMMYFUNCTION("""COMPUTED_VALUE"""),2604.0)</f>
        <v>2604</v>
      </c>
      <c r="C2609" s="13" t="str">
        <f>IFERROR(__xludf.DUMMYFUNCTION("""COMPUTED_VALUE"""),"B.134/RAJABASA RAYA")</f>
        <v>B.134/RAJABASA RAYA</v>
      </c>
      <c r="D2609" s="13" t="str">
        <f>IFERROR(__xludf.DUMMYFUNCTION("""COMPUTED_VALUE"""),"L/26/130625/1")</f>
        <v>L/26/130625/1</v>
      </c>
      <c r="E2609" s="14" t="str">
        <f>IFERROR(__xludf.DUMMYFUNCTION("""COMPUTED_VALUE"""),"Heri (BT)")</f>
        <v>Heri (BT)</v>
      </c>
      <c r="F2609" s="14" t="str">
        <f>IFERROR(__xludf.DUMMYFUNCTION("""COMPUTED_VALUE"""),"SELESAI (VIA PERMOHONAN)")</f>
        <v>SELESAI (VIA PERMOHONAN)</v>
      </c>
      <c r="G2609" s="17">
        <f>IFERROR(__xludf.DUMMYFUNCTION("""COMPUTED_VALUE"""),45828.540831666665)</f>
        <v>45828.54083</v>
      </c>
      <c r="H2609" s="14" t="str">
        <f>IFERROR(__xludf.DUMMYFUNCTION("""COMPUTED_VALUE"""),"Eci (SU)")</f>
        <v>Eci (SU)</v>
      </c>
      <c r="I2609" s="13" t="str">
        <f>IFERROR(__xludf.DUMMYFUNCTION("""COMPUTED_VALUE"""),"SELESAI (VIA PERMOHONAN)")</f>
        <v>SELESAI (VIA PERMOHONAN)</v>
      </c>
      <c r="J2609" s="17">
        <f>IFERROR(__xludf.DUMMYFUNCTION("""COMPUTED_VALUE"""),45828.66795741898)</f>
        <v>45828.66796</v>
      </c>
      <c r="K2609" s="13" t="str">
        <f>IFERROR(__xludf.DUMMYFUNCTION("""COMPUTED_VALUE"""),"Selesai")</f>
        <v>Selesai</v>
      </c>
      <c r="L2609" s="17">
        <f>IFERROR(__xludf.DUMMYFUNCTION("""COMPUTED_VALUE"""),45828.66795741898)</f>
        <v>45828.66796</v>
      </c>
      <c r="M2609" s="13"/>
      <c r="N2609" s="13" t="str">
        <f>IFERROR(__xludf.DUMMYFUNCTION("""COMPUTED_VALUE"""),"")</f>
        <v/>
      </c>
      <c r="O2609" s="13" t="str">
        <f t="shared" si="1"/>
        <v/>
      </c>
    </row>
    <row r="2610" ht="22.5" customHeight="1">
      <c r="B2610" s="13">
        <f>IFERROR(__xludf.DUMMYFUNCTION("""COMPUTED_VALUE"""),2605.0)</f>
        <v>2605</v>
      </c>
      <c r="C2610" s="13" t="str">
        <f>IFERROR(__xludf.DUMMYFUNCTION("""COMPUTED_VALUE"""),"M. 4685/ Gunung Terang")</f>
        <v>M. 4685/ Gunung Terang</v>
      </c>
      <c r="D2610" s="13" t="str">
        <f>IFERROR(__xludf.DUMMYFUNCTION("""COMPUTED_VALUE"""),"K/43/220525/1")</f>
        <v>K/43/220525/1</v>
      </c>
      <c r="E2610" s="14" t="str">
        <f>IFERROR(__xludf.DUMMYFUNCTION("""COMPUTED_VALUE"""),"Heri (BT)")</f>
        <v>Heri (BT)</v>
      </c>
      <c r="F2610" s="14" t="str">
        <f>IFERROR(__xludf.DUMMYFUNCTION("""COMPUTED_VALUE"""),"SELESAI (VIA PERMOHONAN)")</f>
        <v>SELESAI (VIA PERMOHONAN)</v>
      </c>
      <c r="G2610" s="17">
        <f>IFERROR(__xludf.DUMMYFUNCTION("""COMPUTED_VALUE"""),45828.54106162037)</f>
        <v>45828.54106</v>
      </c>
      <c r="H2610" s="14" t="str">
        <f>IFERROR(__xludf.DUMMYFUNCTION("""COMPUTED_VALUE"""),"Eci (SU)")</f>
        <v>Eci (SU)</v>
      </c>
      <c r="I2610" s="13" t="str">
        <f>IFERROR(__xludf.DUMMYFUNCTION("""COMPUTED_VALUE"""),"SELESAI (VIA PERMOHONAN)")</f>
        <v>SELESAI (VIA PERMOHONAN)</v>
      </c>
      <c r="J2610" s="17">
        <f>IFERROR(__xludf.DUMMYFUNCTION("""COMPUTED_VALUE"""),45828.66809528935)</f>
        <v>45828.6681</v>
      </c>
      <c r="K2610" s="13" t="str">
        <f>IFERROR(__xludf.DUMMYFUNCTION("""COMPUTED_VALUE"""),"Selesai")</f>
        <v>Selesai</v>
      </c>
      <c r="L2610" s="17">
        <f>IFERROR(__xludf.DUMMYFUNCTION("""COMPUTED_VALUE"""),45828.66809528935)</f>
        <v>45828.6681</v>
      </c>
      <c r="M2610" s="13"/>
      <c r="N2610" s="13" t="str">
        <f>IFERROR(__xludf.DUMMYFUNCTION("""COMPUTED_VALUE"""),"")</f>
        <v/>
      </c>
      <c r="O2610" s="13" t="str">
        <f t="shared" si="1"/>
        <v/>
      </c>
    </row>
    <row r="2611" ht="22.5" customHeight="1">
      <c r="B2611" s="13">
        <f>IFERROR(__xludf.DUMMYFUNCTION("""COMPUTED_VALUE"""),2606.0)</f>
        <v>2606</v>
      </c>
      <c r="C2611" s="13" t="str">
        <f>IFERROR(__xludf.DUMMYFUNCTION("""COMPUTED_VALUE"""),"M.224/SUMBER AGUNG")</f>
        <v>M.224/SUMBER AGUNG</v>
      </c>
      <c r="D2611" s="13" t="str">
        <f>IFERROR(__xludf.DUMMYFUNCTION("""COMPUTED_VALUE"""),"K/3/270525/1")</f>
        <v>K/3/270525/1</v>
      </c>
      <c r="E2611" s="14" t="str">
        <f>IFERROR(__xludf.DUMMYFUNCTION("""COMPUTED_VALUE"""),"Heri (BT)")</f>
        <v>Heri (BT)</v>
      </c>
      <c r="F2611" s="14" t="str">
        <f>IFERROR(__xludf.DUMMYFUNCTION("""COMPUTED_VALUE"""),"SELESAI (VIA PERMOHONAN)")</f>
        <v>SELESAI (VIA PERMOHONAN)</v>
      </c>
      <c r="G2611" s="17">
        <f>IFERROR(__xludf.DUMMYFUNCTION("""COMPUTED_VALUE"""),45828.54123540509)</f>
        <v>45828.54124</v>
      </c>
      <c r="H2611" s="14" t="str">
        <f>IFERROR(__xludf.DUMMYFUNCTION("""COMPUTED_VALUE"""),"Eci (SU)")</f>
        <v>Eci (SU)</v>
      </c>
      <c r="I2611" s="13" t="str">
        <f>IFERROR(__xludf.DUMMYFUNCTION("""COMPUTED_VALUE"""),"SELESAI (VIA PERMOHONAN)")</f>
        <v>SELESAI (VIA PERMOHONAN)</v>
      </c>
      <c r="J2611" s="17">
        <f>IFERROR(__xludf.DUMMYFUNCTION("""COMPUTED_VALUE"""),45828.63051920139)</f>
        <v>45828.63052</v>
      </c>
      <c r="K2611" s="13" t="str">
        <f>IFERROR(__xludf.DUMMYFUNCTION("""COMPUTED_VALUE"""),"Selesai")</f>
        <v>Selesai</v>
      </c>
      <c r="L2611" s="17">
        <f>IFERROR(__xludf.DUMMYFUNCTION("""COMPUTED_VALUE"""),45828.63051920139)</f>
        <v>45828.63052</v>
      </c>
      <c r="M2611" s="13"/>
      <c r="N2611" s="13" t="str">
        <f>IFERROR(__xludf.DUMMYFUNCTION("""COMPUTED_VALUE"""),"")</f>
        <v/>
      </c>
      <c r="O2611" s="13" t="str">
        <f t="shared" si="1"/>
        <v/>
      </c>
    </row>
    <row r="2612" ht="22.5" customHeight="1">
      <c r="B2612" s="13">
        <f>IFERROR(__xludf.DUMMYFUNCTION("""COMPUTED_VALUE"""),2607.0)</f>
        <v>2607</v>
      </c>
      <c r="C2612" s="13" t="str">
        <f>IFERROR(__xludf.DUMMYFUNCTION("""COMPUTED_VALUE"""),"M.1983/RAJABASA JAYA")</f>
        <v>M.1983/RAJABASA JAYA</v>
      </c>
      <c r="D2612" s="13" t="str">
        <f>IFERROR(__xludf.DUMMYFUNCTION("""COMPUTED_VALUE"""),"K/40/100225/2")</f>
        <v>K/40/100225/2</v>
      </c>
      <c r="E2612" s="14" t="str">
        <f>IFERROR(__xludf.DUMMYFUNCTION("""COMPUTED_VALUE"""),"Heri (BT)")</f>
        <v>Heri (BT)</v>
      </c>
      <c r="F2612" s="14" t="str">
        <f>IFERROR(__xludf.DUMMYFUNCTION("""COMPUTED_VALUE"""),"SELESAI (VIA PERMOHONAN)")</f>
        <v>SELESAI (VIA PERMOHONAN)</v>
      </c>
      <c r="G2612" s="17">
        <f>IFERROR(__xludf.DUMMYFUNCTION("""COMPUTED_VALUE"""),45828.542307094904)</f>
        <v>45828.54231</v>
      </c>
      <c r="H2612" s="14" t="str">
        <f>IFERROR(__xludf.DUMMYFUNCTION("""COMPUTED_VALUE"""),"Eci (SU)")</f>
        <v>Eci (SU)</v>
      </c>
      <c r="I2612" s="13" t="str">
        <f>IFERROR(__xludf.DUMMYFUNCTION("""COMPUTED_VALUE"""),"SELESAI (VIA PERMOHONAN)")</f>
        <v>SELESAI (VIA PERMOHONAN)</v>
      </c>
      <c r="J2612" s="17">
        <f>IFERROR(__xludf.DUMMYFUNCTION("""COMPUTED_VALUE"""),45828.63043329861)</f>
        <v>45828.63043</v>
      </c>
      <c r="K2612" s="13" t="str">
        <f>IFERROR(__xludf.DUMMYFUNCTION("""COMPUTED_VALUE"""),"Selesai")</f>
        <v>Selesai</v>
      </c>
      <c r="L2612" s="17">
        <f>IFERROR(__xludf.DUMMYFUNCTION("""COMPUTED_VALUE"""),45828.63043329861)</f>
        <v>45828.63043</v>
      </c>
      <c r="M2612" s="13"/>
      <c r="N2612" s="13" t="str">
        <f>IFERROR(__xludf.DUMMYFUNCTION("""COMPUTED_VALUE"""),"")</f>
        <v/>
      </c>
      <c r="O2612" s="13" t="str">
        <f t="shared" si="1"/>
        <v/>
      </c>
    </row>
    <row r="2613" ht="22.5" customHeight="1">
      <c r="B2613" s="13">
        <f>IFERROR(__xludf.DUMMYFUNCTION("""COMPUTED_VALUE"""),2608.0)</f>
        <v>2608</v>
      </c>
      <c r="C2613" s="13" t="str">
        <f>IFERROR(__xludf.DUMMYFUNCTION("""COMPUTED_VALUE"""),"B.167/GUNUNG TERANG")</f>
        <v>B.167/GUNUNG TERANG</v>
      </c>
      <c r="D2613" s="13" t="str">
        <f>IFERROR(__xludf.DUMMYFUNCTION("""COMPUTED_VALUE"""),"K/8/190525/1")</f>
        <v>K/8/190525/1</v>
      </c>
      <c r="E2613" s="14" t="str">
        <f>IFERROR(__xludf.DUMMYFUNCTION("""COMPUTED_VALUE"""),"Heri (BT)")</f>
        <v>Heri (BT)</v>
      </c>
      <c r="F2613" s="14" t="str">
        <f>IFERROR(__xludf.DUMMYFUNCTION("""COMPUTED_VALUE"""),"SELESAI (VIA PERMOHONAN)")</f>
        <v>SELESAI (VIA PERMOHONAN)</v>
      </c>
      <c r="G2613" s="17">
        <f>IFERROR(__xludf.DUMMYFUNCTION("""COMPUTED_VALUE"""),45828.54254042824)</f>
        <v>45828.54254</v>
      </c>
      <c r="H2613" s="14" t="str">
        <f>IFERROR(__xludf.DUMMYFUNCTION("""COMPUTED_VALUE"""),"Eci (SU)")</f>
        <v>Eci (SU)</v>
      </c>
      <c r="I2613" s="13" t="str">
        <f>IFERROR(__xludf.DUMMYFUNCTION("""COMPUTED_VALUE"""),"SELESAI (VIA PERMOHONAN)")</f>
        <v>SELESAI (VIA PERMOHONAN)</v>
      </c>
      <c r="J2613" s="17">
        <f>IFERROR(__xludf.DUMMYFUNCTION("""COMPUTED_VALUE"""),45828.63014918982)</f>
        <v>45828.63015</v>
      </c>
      <c r="K2613" s="13" t="str">
        <f>IFERROR(__xludf.DUMMYFUNCTION("""COMPUTED_VALUE"""),"Selesai")</f>
        <v>Selesai</v>
      </c>
      <c r="L2613" s="17">
        <f>IFERROR(__xludf.DUMMYFUNCTION("""COMPUTED_VALUE"""),45828.63014918982)</f>
        <v>45828.63015</v>
      </c>
      <c r="M2613" s="13"/>
      <c r="N2613" s="13" t="str">
        <f>IFERROR(__xludf.DUMMYFUNCTION("""COMPUTED_VALUE"""),"")</f>
        <v/>
      </c>
      <c r="O2613" s="13" t="str">
        <f t="shared" si="1"/>
        <v/>
      </c>
    </row>
    <row r="2614" ht="22.5" customHeight="1">
      <c r="B2614" s="13">
        <f>IFERROR(__xludf.DUMMYFUNCTION("""COMPUTED_VALUE"""),2609.0)</f>
        <v>2609</v>
      </c>
      <c r="C2614" s="13" t="str">
        <f>IFERROR(__xludf.DUMMYFUNCTION("""COMPUTED_VALUE"""),"M.1974/SUMBER AGUNG")</f>
        <v>M.1974/SUMBER AGUNG</v>
      </c>
      <c r="D2614" s="13" t="str">
        <f>IFERROR(__xludf.DUMMYFUNCTION("""COMPUTED_VALUE"""),"K/25/270525/1")</f>
        <v>K/25/270525/1</v>
      </c>
      <c r="E2614" s="14" t="str">
        <f>IFERROR(__xludf.DUMMYFUNCTION("""COMPUTED_VALUE"""),"Heri (BT)")</f>
        <v>Heri (BT)</v>
      </c>
      <c r="F2614" s="14" t="str">
        <f>IFERROR(__xludf.DUMMYFUNCTION("""COMPUTED_VALUE"""),"SELESAI (VIA PERMOHONAN)")</f>
        <v>SELESAI (VIA PERMOHONAN)</v>
      </c>
      <c r="G2614" s="17">
        <f>IFERROR(__xludf.DUMMYFUNCTION("""COMPUTED_VALUE"""),45828.5426943287)</f>
        <v>45828.54269</v>
      </c>
      <c r="H2614" s="14" t="str">
        <f>IFERROR(__xludf.DUMMYFUNCTION("""COMPUTED_VALUE"""),"Eci (SU)")</f>
        <v>Eci (SU)</v>
      </c>
      <c r="I2614" s="13" t="str">
        <f>IFERROR(__xludf.DUMMYFUNCTION("""COMPUTED_VALUE"""),"SELESAI (VIA PERMOHONAN)")</f>
        <v>SELESAI (VIA PERMOHONAN)</v>
      </c>
      <c r="J2614" s="17">
        <f>IFERROR(__xludf.DUMMYFUNCTION("""COMPUTED_VALUE"""),45828.63033881944)</f>
        <v>45828.63034</v>
      </c>
      <c r="K2614" s="13" t="str">
        <f>IFERROR(__xludf.DUMMYFUNCTION("""COMPUTED_VALUE"""),"Selesai")</f>
        <v>Selesai</v>
      </c>
      <c r="L2614" s="17">
        <f>IFERROR(__xludf.DUMMYFUNCTION("""COMPUTED_VALUE"""),45828.63033881944)</f>
        <v>45828.63034</v>
      </c>
      <c r="M2614" s="13"/>
      <c r="N2614" s="13" t="str">
        <f>IFERROR(__xludf.DUMMYFUNCTION("""COMPUTED_VALUE"""),"")</f>
        <v/>
      </c>
      <c r="O2614" s="13" t="str">
        <f t="shared" si="1"/>
        <v/>
      </c>
    </row>
    <row r="2615" ht="22.5" customHeight="1">
      <c r="B2615" s="13">
        <f>IFERROR(__xludf.DUMMYFUNCTION("""COMPUTED_VALUE"""),2610.0)</f>
        <v>2610</v>
      </c>
      <c r="C2615" s="13" t="str">
        <f>IFERROR(__xludf.DUMMYFUNCTION("""COMPUTED_VALUE"""),"M. 1926/ Campang Raya")</f>
        <v>M. 1926/ Campang Raya</v>
      </c>
      <c r="D2615" s="13" t="str">
        <f>IFERROR(__xludf.DUMMYFUNCTION("""COMPUTED_VALUE"""),"K/1/100625/1")</f>
        <v>K/1/100625/1</v>
      </c>
      <c r="E2615" s="14" t="str">
        <f>IFERROR(__xludf.DUMMYFUNCTION("""COMPUTED_VALUE"""),"Heri (BT)")</f>
        <v>Heri (BT)</v>
      </c>
      <c r="F2615" s="14" t="str">
        <f>IFERROR(__xludf.DUMMYFUNCTION("""COMPUTED_VALUE"""),"SELESAI (VIA PERMOHONAN)")</f>
        <v>SELESAI (VIA PERMOHONAN)</v>
      </c>
      <c r="G2615" s="17">
        <f>IFERROR(__xludf.DUMMYFUNCTION("""COMPUTED_VALUE"""),45828.54413159723)</f>
        <v>45828.54413</v>
      </c>
      <c r="H2615" s="14" t="str">
        <f>IFERROR(__xludf.DUMMYFUNCTION("""COMPUTED_VALUE"""),"Eci (SU)")</f>
        <v>Eci (SU)</v>
      </c>
      <c r="I2615" s="13" t="str">
        <f>IFERROR(__xludf.DUMMYFUNCTION("""COMPUTED_VALUE"""),"SELESAI (VIA PERMOHONAN)")</f>
        <v>SELESAI (VIA PERMOHONAN)</v>
      </c>
      <c r="J2615" s="17">
        <f>IFERROR(__xludf.DUMMYFUNCTION("""COMPUTED_VALUE"""),45828.630229120376)</f>
        <v>45828.63023</v>
      </c>
      <c r="K2615" s="13" t="str">
        <f>IFERROR(__xludf.DUMMYFUNCTION("""COMPUTED_VALUE"""),"Selesai")</f>
        <v>Selesai</v>
      </c>
      <c r="L2615" s="17">
        <f>IFERROR(__xludf.DUMMYFUNCTION("""COMPUTED_VALUE"""),45828.630229120376)</f>
        <v>45828.63023</v>
      </c>
      <c r="M2615" s="13"/>
      <c r="N2615" s="13" t="str">
        <f>IFERROR(__xludf.DUMMYFUNCTION("""COMPUTED_VALUE"""),"")</f>
        <v/>
      </c>
      <c r="O2615" s="13" t="str">
        <f t="shared" si="1"/>
        <v/>
      </c>
    </row>
    <row r="2616" ht="22.5" customHeight="1">
      <c r="B2616" s="13">
        <f>IFERROR(__xludf.DUMMYFUNCTION("""COMPUTED_VALUE"""),2611.0)</f>
        <v>2611</v>
      </c>
      <c r="C2616" s="13" t="str">
        <f>IFERROR(__xludf.DUMMYFUNCTION("""COMPUTED_VALUE"""),"M.1983/RAJABASA JAYA")</f>
        <v>M.1983/RAJABASA JAYA</v>
      </c>
      <c r="D2616" s="13" t="str">
        <f>IFERROR(__xludf.DUMMYFUNCTION("""COMPUTED_VALUE"""),"K/22/120625/1")</f>
        <v>K/22/120625/1</v>
      </c>
      <c r="E2616" s="14" t="str">
        <f>IFERROR(__xludf.DUMMYFUNCTION("""COMPUTED_VALUE"""),"Afriza (BT)")</f>
        <v>Afriza (BT)</v>
      </c>
      <c r="F2616" s="14" t="str">
        <f>IFERROR(__xludf.DUMMYFUNCTION("""COMPUTED_VALUE"""),"SELESAI (VIA PERMOHONAN)")</f>
        <v>SELESAI (VIA PERMOHONAN)</v>
      </c>
      <c r="G2616" s="17">
        <f>IFERROR(__xludf.DUMMYFUNCTION("""COMPUTED_VALUE"""),45831.395959814814)</f>
        <v>45831.39596</v>
      </c>
      <c r="H2616" s="14" t="str">
        <f>IFERROR(__xludf.DUMMYFUNCTION("""COMPUTED_VALUE"""),"Admin (Migrasi)")</f>
        <v>Admin (Migrasi)</v>
      </c>
      <c r="I2616" s="13" t="str">
        <f>IFERROR(__xludf.DUMMYFUNCTION("""COMPUTED_VALUE"""),"SELESAI (VIA PERMOHONAN)")</f>
        <v>SELESAI (VIA PERMOHONAN)</v>
      </c>
      <c r="J2616" s="17">
        <f>IFERROR(__xludf.DUMMYFUNCTION("""COMPUTED_VALUE"""),45831.39602962963)</f>
        <v>45831.39603</v>
      </c>
      <c r="K2616" s="13" t="str">
        <f>IFERROR(__xludf.DUMMYFUNCTION("""COMPUTED_VALUE"""),"Selesai")</f>
        <v>Selesai</v>
      </c>
      <c r="L2616" s="17">
        <f>IFERROR(__xludf.DUMMYFUNCTION("""COMPUTED_VALUE"""),45831.39602962963)</f>
        <v>45831.39603</v>
      </c>
      <c r="M2616" s="13"/>
      <c r="N2616" s="13" t="str">
        <f>IFERROR(__xludf.DUMMYFUNCTION("""COMPUTED_VALUE"""),"")</f>
        <v/>
      </c>
      <c r="O2616" s="13" t="str">
        <f t="shared" si="1"/>
        <v/>
      </c>
    </row>
    <row r="2617" ht="22.5" customHeight="1">
      <c r="B2617" s="13">
        <f>IFERROR(__xludf.DUMMYFUNCTION("""COMPUTED_VALUE"""),2612.0)</f>
        <v>2612</v>
      </c>
      <c r="C2617" s="13" t="str">
        <f>IFERROR(__xludf.DUMMYFUNCTION("""COMPUTED_VALUE"""),"M, 432/TANJUNG GADING")</f>
        <v>M, 432/TANJUNG GADING</v>
      </c>
      <c r="D2617" s="13" t="str">
        <f>IFERROR(__xludf.DUMMYFUNCTION("""COMPUTED_VALUE"""),"K/15/050625/1")</f>
        <v>K/15/050625/1</v>
      </c>
      <c r="E2617" s="14" t="str">
        <f>IFERROR(__xludf.DUMMYFUNCTION("""COMPUTED_VALUE"""),"Heri (BT)")</f>
        <v>Heri (BT)</v>
      </c>
      <c r="F2617" s="14" t="str">
        <f>IFERROR(__xludf.DUMMYFUNCTION("""COMPUTED_VALUE"""),"SELESAI (VIA PERMOHONAN)")</f>
        <v>SELESAI (VIA PERMOHONAN)</v>
      </c>
      <c r="G2617" s="17">
        <f>IFERROR(__xludf.DUMMYFUNCTION("""COMPUTED_VALUE"""),45831.43006101852)</f>
        <v>45831.43006</v>
      </c>
      <c r="H2617" s="14" t="str">
        <f>IFERROR(__xludf.DUMMYFUNCTION("""COMPUTED_VALUE"""),"Eci (SU)")</f>
        <v>Eci (SU)</v>
      </c>
      <c r="I2617" s="13" t="str">
        <f>IFERROR(__xludf.DUMMYFUNCTION("""COMPUTED_VALUE"""),"SELESAI (VIA PERMOHONAN)")</f>
        <v>SELESAI (VIA PERMOHONAN)</v>
      </c>
      <c r="J2617" s="17">
        <f>IFERROR(__xludf.DUMMYFUNCTION("""COMPUTED_VALUE"""),45831.59045607639)</f>
        <v>45831.59046</v>
      </c>
      <c r="K2617" s="13" t="str">
        <f>IFERROR(__xludf.DUMMYFUNCTION("""COMPUTED_VALUE"""),"Selesai")</f>
        <v>Selesai</v>
      </c>
      <c r="L2617" s="17">
        <f>IFERROR(__xludf.DUMMYFUNCTION("""COMPUTED_VALUE"""),45831.59045607639)</f>
        <v>45831.59046</v>
      </c>
      <c r="M2617" s="13"/>
      <c r="N2617" s="13" t="str">
        <f>IFERROR(__xludf.DUMMYFUNCTION("""COMPUTED_VALUE"""),"")</f>
        <v/>
      </c>
      <c r="O2617" s="13" t="str">
        <f t="shared" si="1"/>
        <v/>
      </c>
    </row>
    <row r="2618" ht="22.5" customHeight="1">
      <c r="B2618" s="13">
        <f>IFERROR(__xludf.DUMMYFUNCTION("""COMPUTED_VALUE"""),2613.0)</f>
        <v>2613</v>
      </c>
      <c r="C2618" s="13" t="str">
        <f>IFERROR(__xludf.DUMMYFUNCTION("""COMPUTED_VALUE"""),"B. 849/ Perumnas Way Kandis")</f>
        <v>B. 849/ Perumnas Way Kandis</v>
      </c>
      <c r="D2618" s="13" t="str">
        <f>IFERROR(__xludf.DUMMYFUNCTION("""COMPUTED_VALUE"""),"K/23/190525/1")</f>
        <v>K/23/190525/1</v>
      </c>
      <c r="E2618" s="14" t="str">
        <f>IFERROR(__xludf.DUMMYFUNCTION("""COMPUTED_VALUE"""),"Heri (BT)")</f>
        <v>Heri (BT)</v>
      </c>
      <c r="F2618" s="14" t="str">
        <f>IFERROR(__xludf.DUMMYFUNCTION("""COMPUTED_VALUE"""),"SELESAI (VIA PERMOHONAN)")</f>
        <v>SELESAI (VIA PERMOHONAN)</v>
      </c>
      <c r="G2618" s="17">
        <f>IFERROR(__xludf.DUMMYFUNCTION("""COMPUTED_VALUE"""),45831.43020190972)</f>
        <v>45831.4302</v>
      </c>
      <c r="H2618" s="14" t="str">
        <f>IFERROR(__xludf.DUMMYFUNCTION("""COMPUTED_VALUE"""),"Eci (SU)")</f>
        <v>Eci (SU)</v>
      </c>
      <c r="I2618" s="13" t="str">
        <f>IFERROR(__xludf.DUMMYFUNCTION("""COMPUTED_VALUE"""),"SELESAI (VIA PERMOHONAN)")</f>
        <v>SELESAI (VIA PERMOHONAN)</v>
      </c>
      <c r="J2618" s="17">
        <f>IFERROR(__xludf.DUMMYFUNCTION("""COMPUTED_VALUE"""),45831.59900112268)</f>
        <v>45831.599</v>
      </c>
      <c r="K2618" s="13" t="str">
        <f>IFERROR(__xludf.DUMMYFUNCTION("""COMPUTED_VALUE"""),"Selesai")</f>
        <v>Selesai</v>
      </c>
      <c r="L2618" s="17">
        <f>IFERROR(__xludf.DUMMYFUNCTION("""COMPUTED_VALUE"""),45831.59900112268)</f>
        <v>45831.599</v>
      </c>
      <c r="M2618" s="13"/>
      <c r="N2618" s="13" t="str">
        <f>IFERROR(__xludf.DUMMYFUNCTION("""COMPUTED_VALUE"""),"")</f>
        <v/>
      </c>
      <c r="O2618" s="13" t="str">
        <f t="shared" si="1"/>
        <v/>
      </c>
    </row>
    <row r="2619" ht="22.5" customHeight="1">
      <c r="B2619" s="13">
        <f>IFERROR(__xludf.DUMMYFUNCTION("""COMPUTED_VALUE"""),2614.0)</f>
        <v>2614</v>
      </c>
      <c r="C2619" s="13" t="str">
        <f>IFERROR(__xludf.DUMMYFUNCTION("""COMPUTED_VALUE"""),"M. 13574/ Kedamaian")</f>
        <v>M. 13574/ Kedamaian</v>
      </c>
      <c r="D2619" s="13" t="str">
        <f>IFERROR(__xludf.DUMMYFUNCTION("""COMPUTED_VALUE"""),"K/37/130625/2")</f>
        <v>K/37/130625/2</v>
      </c>
      <c r="E2619" s="14" t="str">
        <f>IFERROR(__xludf.DUMMYFUNCTION("""COMPUTED_VALUE"""),"Heri (BT)")</f>
        <v>Heri (BT)</v>
      </c>
      <c r="F2619" s="14" t="str">
        <f>IFERROR(__xludf.DUMMYFUNCTION("""COMPUTED_VALUE"""),"SELESAI (VIA PERMOHONAN)")</f>
        <v>SELESAI (VIA PERMOHONAN)</v>
      </c>
      <c r="G2619" s="17">
        <f>IFERROR(__xludf.DUMMYFUNCTION("""COMPUTED_VALUE"""),45831.43039349537)</f>
        <v>45831.43039</v>
      </c>
      <c r="H2619" s="14" t="str">
        <f>IFERROR(__xludf.DUMMYFUNCTION("""COMPUTED_VALUE"""),"Eci (SU)")</f>
        <v>Eci (SU)</v>
      </c>
      <c r="I2619" s="13" t="str">
        <f>IFERROR(__xludf.DUMMYFUNCTION("""COMPUTED_VALUE"""),"SELESAI (VIA PERMOHONAN)")</f>
        <v>SELESAI (VIA PERMOHONAN)</v>
      </c>
      <c r="J2619" s="17">
        <f>IFERROR(__xludf.DUMMYFUNCTION("""COMPUTED_VALUE"""),45831.59118802083)</f>
        <v>45831.59119</v>
      </c>
      <c r="K2619" s="13" t="str">
        <f>IFERROR(__xludf.DUMMYFUNCTION("""COMPUTED_VALUE"""),"Selesai")</f>
        <v>Selesai</v>
      </c>
      <c r="L2619" s="17">
        <f>IFERROR(__xludf.DUMMYFUNCTION("""COMPUTED_VALUE"""),45831.59118802083)</f>
        <v>45831.59119</v>
      </c>
      <c r="M2619" s="13"/>
      <c r="N2619" s="13" t="str">
        <f>IFERROR(__xludf.DUMMYFUNCTION("""COMPUTED_VALUE"""),"")</f>
        <v/>
      </c>
      <c r="O2619" s="13" t="str">
        <f t="shared" si="1"/>
        <v/>
      </c>
    </row>
    <row r="2620" ht="22.5" customHeight="1">
      <c r="B2620" s="13">
        <f>IFERROR(__xludf.DUMMYFUNCTION("""COMPUTED_VALUE"""),2615.0)</f>
        <v>2615</v>
      </c>
      <c r="C2620" s="13" t="str">
        <f>IFERROR(__xludf.DUMMYFUNCTION("""COMPUTED_VALUE"""),"M. 11900/ Rajabasa")</f>
        <v>M. 11900/ Rajabasa</v>
      </c>
      <c r="D2620" s="13" t="str">
        <f>IFERROR(__xludf.DUMMYFUNCTION("""COMPUTED_VALUE"""),"K/7/110625/1")</f>
        <v>K/7/110625/1</v>
      </c>
      <c r="E2620" s="14" t="str">
        <f>IFERROR(__xludf.DUMMYFUNCTION("""COMPUTED_VALUE"""),"Heri (BT)")</f>
        <v>Heri (BT)</v>
      </c>
      <c r="F2620" s="14" t="str">
        <f>IFERROR(__xludf.DUMMYFUNCTION("""COMPUTED_VALUE"""),"SELESAI (VIA PERMOHONAN)")</f>
        <v>SELESAI (VIA PERMOHONAN)</v>
      </c>
      <c r="G2620" s="17">
        <f>IFERROR(__xludf.DUMMYFUNCTION("""COMPUTED_VALUE"""),45831.43051398148)</f>
        <v>45831.43051</v>
      </c>
      <c r="H2620" s="14" t="str">
        <f>IFERROR(__xludf.DUMMYFUNCTION("""COMPUTED_VALUE"""),"Eci (SU)")</f>
        <v>Eci (SU)</v>
      </c>
      <c r="I2620" s="13" t="str">
        <f>IFERROR(__xludf.DUMMYFUNCTION("""COMPUTED_VALUE"""),"SELESAI (VIA PERMOHONAN)")</f>
        <v>SELESAI (VIA PERMOHONAN)</v>
      </c>
      <c r="J2620" s="17">
        <f>IFERROR(__xludf.DUMMYFUNCTION("""COMPUTED_VALUE"""),45831.59062984954)</f>
        <v>45831.59063</v>
      </c>
      <c r="K2620" s="13" t="str">
        <f>IFERROR(__xludf.DUMMYFUNCTION("""COMPUTED_VALUE"""),"Selesai")</f>
        <v>Selesai</v>
      </c>
      <c r="L2620" s="17">
        <f>IFERROR(__xludf.DUMMYFUNCTION("""COMPUTED_VALUE"""),45831.59062984954)</f>
        <v>45831.59063</v>
      </c>
      <c r="M2620" s="13"/>
      <c r="N2620" s="13" t="str">
        <f>IFERROR(__xludf.DUMMYFUNCTION("""COMPUTED_VALUE"""),"")</f>
        <v/>
      </c>
      <c r="O2620" s="13" t="str">
        <f t="shared" si="1"/>
        <v/>
      </c>
    </row>
    <row r="2621" ht="22.5" customHeight="1">
      <c r="B2621" s="13">
        <f>IFERROR(__xludf.DUMMYFUNCTION("""COMPUTED_VALUE"""),2616.0)</f>
        <v>2616</v>
      </c>
      <c r="C2621" s="13" t="str">
        <f>IFERROR(__xludf.DUMMYFUNCTION("""COMPUTED_VALUE"""),"M. 2444/ Kedaung")</f>
        <v>M. 2444/ Kedaung</v>
      </c>
      <c r="D2621" s="13" t="str">
        <f>IFERROR(__xludf.DUMMYFUNCTION("""COMPUTED_VALUE"""),"K/39/030625/1")</f>
        <v>K/39/030625/1</v>
      </c>
      <c r="E2621" s="14" t="str">
        <f>IFERROR(__xludf.DUMMYFUNCTION("""COMPUTED_VALUE"""),"Heri (BT)")</f>
        <v>Heri (BT)</v>
      </c>
      <c r="F2621" s="14" t="str">
        <f>IFERROR(__xludf.DUMMYFUNCTION("""COMPUTED_VALUE"""),"SELESAI (VIA PERMOHONAN)")</f>
        <v>SELESAI (VIA PERMOHONAN)</v>
      </c>
      <c r="G2621" s="17">
        <f>IFERROR(__xludf.DUMMYFUNCTION("""COMPUTED_VALUE"""),45831.43067207176)</f>
        <v>45831.43067</v>
      </c>
      <c r="H2621" s="14" t="str">
        <f>IFERROR(__xludf.DUMMYFUNCTION("""COMPUTED_VALUE"""),"Eci (SU)")</f>
        <v>Eci (SU)</v>
      </c>
      <c r="I2621" s="13" t="str">
        <f>IFERROR(__xludf.DUMMYFUNCTION("""COMPUTED_VALUE"""),"SELESAI (VIA PERMOHONAN)")</f>
        <v>SELESAI (VIA PERMOHONAN)</v>
      </c>
      <c r="J2621" s="17">
        <f>IFERROR(__xludf.DUMMYFUNCTION("""COMPUTED_VALUE"""),45831.591109444445)</f>
        <v>45831.59111</v>
      </c>
      <c r="K2621" s="13" t="str">
        <f>IFERROR(__xludf.DUMMYFUNCTION("""COMPUTED_VALUE"""),"Selesai")</f>
        <v>Selesai</v>
      </c>
      <c r="L2621" s="17">
        <f>IFERROR(__xludf.DUMMYFUNCTION("""COMPUTED_VALUE"""),45831.591109444445)</f>
        <v>45831.59111</v>
      </c>
      <c r="M2621" s="13"/>
      <c r="N2621" s="13" t="str">
        <f>IFERROR(__xludf.DUMMYFUNCTION("""COMPUTED_VALUE"""),"")</f>
        <v/>
      </c>
      <c r="O2621" s="13" t="str">
        <f t="shared" si="1"/>
        <v/>
      </c>
    </row>
    <row r="2622" ht="22.5" customHeight="1">
      <c r="B2622" s="13">
        <f>IFERROR(__xludf.DUMMYFUNCTION("""COMPUTED_VALUE"""),2617.0)</f>
        <v>2617</v>
      </c>
      <c r="C2622" s="13" t="str">
        <f>IFERROR(__xludf.DUMMYFUNCTION("""COMPUTED_VALUE"""),"M. 3243/ Gedong Air")</f>
        <v>M. 3243/ Gedong Air</v>
      </c>
      <c r="D2622" s="13" t="str">
        <f>IFERROR(__xludf.DUMMYFUNCTION("""COMPUTED_VALUE"""),"K/34/280525/1")</f>
        <v>K/34/280525/1</v>
      </c>
      <c r="E2622" s="14" t="str">
        <f>IFERROR(__xludf.DUMMYFUNCTION("""COMPUTED_VALUE"""),"Heri (BT)")</f>
        <v>Heri (BT)</v>
      </c>
      <c r="F2622" s="14" t="str">
        <f>IFERROR(__xludf.DUMMYFUNCTION("""COMPUTED_VALUE"""),"SELESAI (VIA PERMOHONAN)")</f>
        <v>SELESAI (VIA PERMOHONAN)</v>
      </c>
      <c r="G2622" s="17">
        <f>IFERROR(__xludf.DUMMYFUNCTION("""COMPUTED_VALUE"""),45831.43082541667)</f>
        <v>45831.43083</v>
      </c>
      <c r="H2622" s="14" t="str">
        <f>IFERROR(__xludf.DUMMYFUNCTION("""COMPUTED_VALUE"""),"Eci (SU)")</f>
        <v>Eci (SU)</v>
      </c>
      <c r="I2622" s="13" t="str">
        <f>IFERROR(__xludf.DUMMYFUNCTION("""COMPUTED_VALUE"""),"SELESAI (VIA PERMOHONAN)")</f>
        <v>SELESAI (VIA PERMOHONAN)</v>
      </c>
      <c r="J2622" s="17">
        <f>IFERROR(__xludf.DUMMYFUNCTION("""COMPUTED_VALUE"""),45831.591017280094)</f>
        <v>45831.59102</v>
      </c>
      <c r="K2622" s="13" t="str">
        <f>IFERROR(__xludf.DUMMYFUNCTION("""COMPUTED_VALUE"""),"Selesai")</f>
        <v>Selesai</v>
      </c>
      <c r="L2622" s="17">
        <f>IFERROR(__xludf.DUMMYFUNCTION("""COMPUTED_VALUE"""),45831.591017280094)</f>
        <v>45831.59102</v>
      </c>
      <c r="M2622" s="13"/>
      <c r="N2622" s="13" t="str">
        <f>IFERROR(__xludf.DUMMYFUNCTION("""COMPUTED_VALUE"""),"")</f>
        <v/>
      </c>
      <c r="O2622" s="13" t="str">
        <f t="shared" si="1"/>
        <v/>
      </c>
    </row>
    <row r="2623" ht="22.5" customHeight="1">
      <c r="B2623" s="13">
        <f>IFERROR(__xludf.DUMMYFUNCTION("""COMPUTED_VALUE"""),2618.0)</f>
        <v>2618</v>
      </c>
      <c r="C2623" s="13" t="str">
        <f>IFERROR(__xludf.DUMMYFUNCTION("""COMPUTED_VALUE"""),"M. 16443/ Sukarame")</f>
        <v>M. 16443/ Sukarame</v>
      </c>
      <c r="D2623" s="13" t="str">
        <f>IFERROR(__xludf.DUMMYFUNCTION("""COMPUTED_VALUE"""),"K/19/050625/1")</f>
        <v>K/19/050625/1</v>
      </c>
      <c r="E2623" s="14" t="str">
        <f>IFERROR(__xludf.DUMMYFUNCTION("""COMPUTED_VALUE"""),"Heri (BT)")</f>
        <v>Heri (BT)</v>
      </c>
      <c r="F2623" s="14" t="str">
        <f>IFERROR(__xludf.DUMMYFUNCTION("""COMPUTED_VALUE"""),"SELESAI (VIA PERMOHONAN)")</f>
        <v>SELESAI (VIA PERMOHONAN)</v>
      </c>
      <c r="G2623" s="17">
        <f>IFERROR(__xludf.DUMMYFUNCTION("""COMPUTED_VALUE"""),45831.4311031713)</f>
        <v>45831.4311</v>
      </c>
      <c r="H2623" s="14" t="str">
        <f>IFERROR(__xludf.DUMMYFUNCTION("""COMPUTED_VALUE"""),"Eci (SU)")</f>
        <v>Eci (SU)</v>
      </c>
      <c r="I2623" s="13" t="str">
        <f>IFERROR(__xludf.DUMMYFUNCTION("""COMPUTED_VALUE"""),"SELESAI (VIA PERMOHONAN)")</f>
        <v>SELESAI (VIA PERMOHONAN)</v>
      </c>
      <c r="J2623" s="17">
        <f>IFERROR(__xludf.DUMMYFUNCTION("""COMPUTED_VALUE"""),45831.59092474537)</f>
        <v>45831.59092</v>
      </c>
      <c r="K2623" s="13" t="str">
        <f>IFERROR(__xludf.DUMMYFUNCTION("""COMPUTED_VALUE"""),"Selesai")</f>
        <v>Selesai</v>
      </c>
      <c r="L2623" s="17">
        <f>IFERROR(__xludf.DUMMYFUNCTION("""COMPUTED_VALUE"""),45831.59092474537)</f>
        <v>45831.59092</v>
      </c>
      <c r="M2623" s="13"/>
      <c r="N2623" s="13" t="str">
        <f>IFERROR(__xludf.DUMMYFUNCTION("""COMPUTED_VALUE"""),"")</f>
        <v/>
      </c>
      <c r="O2623" s="13" t="str">
        <f t="shared" si="1"/>
        <v/>
      </c>
    </row>
    <row r="2624" ht="22.5" customHeight="1">
      <c r="B2624" s="13">
        <f>IFERROR(__xludf.DUMMYFUNCTION("""COMPUTED_VALUE"""),2619.0)</f>
        <v>2619</v>
      </c>
      <c r="C2624" s="13" t="str">
        <f>IFERROR(__xludf.DUMMYFUNCTION("""COMPUTED_VALUE"""),"M. 3172/ Way Kandis")</f>
        <v>M. 3172/ Way Kandis</v>
      </c>
      <c r="D2624" s="13" t="str">
        <f>IFERROR(__xludf.DUMMYFUNCTION("""COMPUTED_VALUE"""),"K/37/030625/1")</f>
        <v>K/37/030625/1</v>
      </c>
      <c r="E2624" s="14" t="str">
        <f>IFERROR(__xludf.DUMMYFUNCTION("""COMPUTED_VALUE"""),"Heri (BT)")</f>
        <v>Heri (BT)</v>
      </c>
      <c r="F2624" s="14" t="str">
        <f>IFERROR(__xludf.DUMMYFUNCTION("""COMPUTED_VALUE"""),"SELESAI (VIA PERMOHONAN)")</f>
        <v>SELESAI (VIA PERMOHONAN)</v>
      </c>
      <c r="G2624" s="17">
        <f>IFERROR(__xludf.DUMMYFUNCTION("""COMPUTED_VALUE"""),45831.431257199074)</f>
        <v>45831.43126</v>
      </c>
      <c r="H2624" s="14" t="str">
        <f>IFERROR(__xludf.DUMMYFUNCTION("""COMPUTED_VALUE"""),"Eci (SU)")</f>
        <v>Eci (SU)</v>
      </c>
      <c r="I2624" s="13" t="str">
        <f>IFERROR(__xludf.DUMMYFUNCTION("""COMPUTED_VALUE"""),"SELESAI (VIA PERMOHONAN)")</f>
        <v>SELESAI (VIA PERMOHONAN)</v>
      </c>
      <c r="J2624" s="17">
        <f>IFERROR(__xludf.DUMMYFUNCTION("""COMPUTED_VALUE"""),45831.59081954861)</f>
        <v>45831.59082</v>
      </c>
      <c r="K2624" s="13" t="str">
        <f>IFERROR(__xludf.DUMMYFUNCTION("""COMPUTED_VALUE"""),"Selesai")</f>
        <v>Selesai</v>
      </c>
      <c r="L2624" s="17">
        <f>IFERROR(__xludf.DUMMYFUNCTION("""COMPUTED_VALUE"""),45831.59081954861)</f>
        <v>45831.59082</v>
      </c>
      <c r="M2624" s="13"/>
      <c r="N2624" s="13" t="str">
        <f>IFERROR(__xludf.DUMMYFUNCTION("""COMPUTED_VALUE"""),"")</f>
        <v/>
      </c>
      <c r="O2624" s="13" t="str">
        <f t="shared" si="1"/>
        <v/>
      </c>
    </row>
    <row r="2625" ht="22.5" customHeight="1">
      <c r="B2625" s="13">
        <f>IFERROR(__xludf.DUMMYFUNCTION("""COMPUTED_VALUE"""),2620.0)</f>
        <v>2620</v>
      </c>
      <c r="C2625" s="13" t="str">
        <f>IFERROR(__xludf.DUMMYFUNCTION("""COMPUTED_VALUE"""),"M. 1979/ Sumberejo Sejahtera")</f>
        <v>M. 1979/ Sumberejo Sejahtera</v>
      </c>
      <c r="D2625" s="13" t="str">
        <f>IFERROR(__xludf.DUMMYFUNCTION("""COMPUTED_VALUE"""),"K/1/110625/1")</f>
        <v>K/1/110625/1</v>
      </c>
      <c r="E2625" s="14" t="str">
        <f>IFERROR(__xludf.DUMMYFUNCTION("""COMPUTED_VALUE"""),"Heri (BT)")</f>
        <v>Heri (BT)</v>
      </c>
      <c r="F2625" s="14" t="str">
        <f>IFERROR(__xludf.DUMMYFUNCTION("""COMPUTED_VALUE"""),"SELESAI (VIA PERMOHONAN)")</f>
        <v>SELESAI (VIA PERMOHONAN)</v>
      </c>
      <c r="G2625" s="17">
        <f>IFERROR(__xludf.DUMMYFUNCTION("""COMPUTED_VALUE"""),45831.431407627315)</f>
        <v>45831.43141</v>
      </c>
      <c r="H2625" s="14" t="str">
        <f>IFERROR(__xludf.DUMMYFUNCTION("""COMPUTED_VALUE"""),"Eci (SU)")</f>
        <v>Eci (SU)</v>
      </c>
      <c r="I2625" s="13" t="str">
        <f>IFERROR(__xludf.DUMMYFUNCTION("""COMPUTED_VALUE"""),"SELESAI (VIA PERMOHONAN)")</f>
        <v>SELESAI (VIA PERMOHONAN)</v>
      </c>
      <c r="J2625" s="17">
        <f>IFERROR(__xludf.DUMMYFUNCTION("""COMPUTED_VALUE"""),45831.59073165509)</f>
        <v>45831.59073</v>
      </c>
      <c r="K2625" s="13" t="str">
        <f>IFERROR(__xludf.DUMMYFUNCTION("""COMPUTED_VALUE"""),"Selesai")</f>
        <v>Selesai</v>
      </c>
      <c r="L2625" s="17">
        <f>IFERROR(__xludf.DUMMYFUNCTION("""COMPUTED_VALUE"""),45831.59073165509)</f>
        <v>45831.59073</v>
      </c>
      <c r="M2625" s="13"/>
      <c r="N2625" s="13" t="str">
        <f>IFERROR(__xludf.DUMMYFUNCTION("""COMPUTED_VALUE"""),"")</f>
        <v/>
      </c>
      <c r="O2625" s="13" t="str">
        <f t="shared" si="1"/>
        <v/>
      </c>
    </row>
    <row r="2626" ht="22.5" customHeight="1">
      <c r="B2626" s="13">
        <f>IFERROR(__xludf.DUMMYFUNCTION("""COMPUTED_VALUE"""),2621.0)</f>
        <v>2621</v>
      </c>
      <c r="C2626" s="13" t="str">
        <f>IFERROR(__xludf.DUMMYFUNCTION("""COMPUTED_VALUE"""),"HM 2639/KOTA BARU")</f>
        <v>HM 2639/KOTA BARU</v>
      </c>
      <c r="D2626" s="13" t="str">
        <f>IFERROR(__xludf.DUMMYFUNCTION("""COMPUTED_VALUE"""),"L/24/050625/1")</f>
        <v>L/24/050625/1</v>
      </c>
      <c r="E2626" s="14" t="str">
        <f>IFERROR(__xludf.DUMMYFUNCTION("""COMPUTED_VALUE"""),"Heri (BT)")</f>
        <v>Heri (BT)</v>
      </c>
      <c r="F2626" s="14" t="str">
        <f>IFERROR(__xludf.DUMMYFUNCTION("""COMPUTED_VALUE"""),"SELESAI (VIA PERMOHONAN)")</f>
        <v>SELESAI (VIA PERMOHONAN)</v>
      </c>
      <c r="G2626" s="17">
        <f>IFERROR(__xludf.DUMMYFUNCTION("""COMPUTED_VALUE"""),45831.43154723379)</f>
        <v>45831.43155</v>
      </c>
      <c r="H2626" s="14" t="str">
        <f>IFERROR(__xludf.DUMMYFUNCTION("""COMPUTED_VALUE"""),"Eci (SU)")</f>
        <v>Eci (SU)</v>
      </c>
      <c r="I2626" s="13" t="str">
        <f>IFERROR(__xludf.DUMMYFUNCTION("""COMPUTED_VALUE"""),"SELESAI (VIA PERMOHONAN)")</f>
        <v>SELESAI (VIA PERMOHONAN)</v>
      </c>
      <c r="J2626" s="17">
        <f>IFERROR(__xludf.DUMMYFUNCTION("""COMPUTED_VALUE"""),45831.590328680555)</f>
        <v>45831.59033</v>
      </c>
      <c r="K2626" s="13" t="str">
        <f>IFERROR(__xludf.DUMMYFUNCTION("""COMPUTED_VALUE"""),"Selesai")</f>
        <v>Selesai</v>
      </c>
      <c r="L2626" s="17">
        <f>IFERROR(__xludf.DUMMYFUNCTION("""COMPUTED_VALUE"""),45831.590328680555)</f>
        <v>45831.59033</v>
      </c>
      <c r="M2626" s="13"/>
      <c r="N2626" s="13" t="str">
        <f>IFERROR(__xludf.DUMMYFUNCTION("""COMPUTED_VALUE"""),"")</f>
        <v/>
      </c>
      <c r="O2626" s="13" t="str">
        <f t="shared" si="1"/>
        <v/>
      </c>
    </row>
    <row r="2627" ht="22.5" customHeight="1">
      <c r="B2627" s="13">
        <f>IFERROR(__xludf.DUMMYFUNCTION("""COMPUTED_VALUE"""),2622.0)</f>
        <v>2622</v>
      </c>
      <c r="C2627" s="13" t="str">
        <f>IFERROR(__xludf.DUMMYFUNCTION("""COMPUTED_VALUE"""),"B.134/RAJABASA RAYA")</f>
        <v>B.134/RAJABASA RAYA</v>
      </c>
      <c r="D2627" s="13" t="str">
        <f>IFERROR(__xludf.DUMMYFUNCTION("""COMPUTED_VALUE"""),"L/26/130625/1")</f>
        <v>L/26/130625/1</v>
      </c>
      <c r="E2627" s="14"/>
      <c r="F2627" s="14"/>
      <c r="G2627" s="17" t="str">
        <f>IFERROR(__xludf.DUMMYFUNCTION("""COMPUTED_VALUE"""),"")</f>
        <v/>
      </c>
      <c r="H2627" s="14" t="str">
        <f>IFERROR(__xludf.DUMMYFUNCTION("""COMPUTED_VALUE"""),"Eci (SU)")</f>
        <v>Eci (SU)</v>
      </c>
      <c r="I2627" s="13" t="str">
        <f>IFERROR(__xludf.DUMMYFUNCTION("""COMPUTED_VALUE"""),"SELESAI (VIA PERMOHONAN)")</f>
        <v>SELESAI (VIA PERMOHONAN)</v>
      </c>
      <c r="J2627" s="17">
        <f>IFERROR(__xludf.DUMMYFUNCTION("""COMPUTED_VALUE"""),45831.59216050926)</f>
        <v>45831.59216</v>
      </c>
      <c r="K2627" s="13" t="str">
        <f>IFERROR(__xludf.DUMMYFUNCTION("""COMPUTED_VALUE"""),"BT atau SU Belum Valid")</f>
        <v>BT atau SU Belum Valid</v>
      </c>
      <c r="L2627" s="13" t="str">
        <f>IFERROR(__xludf.DUMMYFUNCTION("""COMPUTED_VALUE"""),"")</f>
        <v/>
      </c>
      <c r="M2627" s="13"/>
      <c r="N2627" s="13" t="str">
        <f>IFERROR(__xludf.DUMMYFUNCTION("""COMPUTED_VALUE"""),"")</f>
        <v/>
      </c>
      <c r="O2627" s="13" t="str">
        <f t="shared" si="1"/>
        <v/>
      </c>
    </row>
    <row r="2628" ht="22.5" customHeight="1">
      <c r="B2628" s="13">
        <f>IFERROR(__xludf.DUMMYFUNCTION("""COMPUTED_VALUE"""),2623.0)</f>
        <v>2623</v>
      </c>
      <c r="C2628" s="13" t="str">
        <f>IFERROR(__xludf.DUMMYFUNCTION("""COMPUTED_VALUE"""),"M.1143/SUMBERREJO SEJAHTERA")</f>
        <v>M.1143/SUMBERREJO SEJAHTERA</v>
      </c>
      <c r="D2628" s="13" t="str">
        <f>IFERROR(__xludf.DUMMYFUNCTION("""COMPUTED_VALUE"""),"K/3/280525/1")</f>
        <v>K/3/280525/1</v>
      </c>
      <c r="E2628" s="14" t="str">
        <f>IFERROR(__xludf.DUMMYFUNCTION("""COMPUTED_VALUE"""),"Afriza (BT)")</f>
        <v>Afriza (BT)</v>
      </c>
      <c r="F2628" s="14" t="str">
        <f>IFERROR(__xludf.DUMMYFUNCTION("""COMPUTED_VALUE"""),"SELESAI (VIA PERMOHONAN)")</f>
        <v>SELESAI (VIA PERMOHONAN)</v>
      </c>
      <c r="G2628" s="17">
        <f>IFERROR(__xludf.DUMMYFUNCTION("""COMPUTED_VALUE"""),45832.46961936343)</f>
        <v>45832.46962</v>
      </c>
      <c r="H2628" s="14" t="str">
        <f>IFERROR(__xludf.DUMMYFUNCTION("""COMPUTED_VALUE"""),"Admin (Migrasi)")</f>
        <v>Admin (Migrasi)</v>
      </c>
      <c r="I2628" s="13" t="str">
        <f>IFERROR(__xludf.DUMMYFUNCTION("""COMPUTED_VALUE"""),"SELESAI (VIA PERMOHONAN)")</f>
        <v>SELESAI (VIA PERMOHONAN)</v>
      </c>
      <c r="J2628" s="17">
        <f>IFERROR(__xludf.DUMMYFUNCTION("""COMPUTED_VALUE"""),45832.46966097222)</f>
        <v>45832.46966</v>
      </c>
      <c r="K2628" s="13" t="str">
        <f>IFERROR(__xludf.DUMMYFUNCTION("""COMPUTED_VALUE"""),"Selesai")</f>
        <v>Selesai</v>
      </c>
      <c r="L2628" s="17">
        <f>IFERROR(__xludf.DUMMYFUNCTION("""COMPUTED_VALUE"""),45832.46966097222)</f>
        <v>45832.46966</v>
      </c>
      <c r="M2628" s="13"/>
      <c r="N2628" s="13" t="str">
        <f>IFERROR(__xludf.DUMMYFUNCTION("""COMPUTED_VALUE"""),"")</f>
        <v/>
      </c>
      <c r="O2628" s="13" t="str">
        <f t="shared" si="1"/>
        <v/>
      </c>
    </row>
    <row r="2629" ht="22.5" customHeight="1">
      <c r="B2629" s="13">
        <f>IFERROR(__xludf.DUMMYFUNCTION("""COMPUTED_VALUE"""),2624.0)</f>
        <v>2624</v>
      </c>
      <c r="C2629" s="13" t="str">
        <f>IFERROR(__xludf.DUMMYFUNCTION("""COMPUTED_VALUE"""),"M.3267/BERINGIN RAYA")</f>
        <v>M.3267/BERINGIN RAYA</v>
      </c>
      <c r="D2629" s="13" t="str">
        <f>IFERROR(__xludf.DUMMYFUNCTION("""COMPUTED_VALUE"""),"K/45/120625/1")</f>
        <v>K/45/120625/1</v>
      </c>
      <c r="E2629" s="14" t="str">
        <f>IFERROR(__xludf.DUMMYFUNCTION("""COMPUTED_VALUE"""),"Afriza (BT)")</f>
        <v>Afriza (BT)</v>
      </c>
      <c r="F2629" s="14" t="str">
        <f>IFERROR(__xludf.DUMMYFUNCTION("""COMPUTED_VALUE"""),"SELESAI (VIA PERMOHONAN)")</f>
        <v>SELESAI (VIA PERMOHONAN)</v>
      </c>
      <c r="G2629" s="17">
        <f>IFERROR(__xludf.DUMMYFUNCTION("""COMPUTED_VALUE"""),45832.478692199074)</f>
        <v>45832.47869</v>
      </c>
      <c r="H2629" s="14" t="str">
        <f>IFERROR(__xludf.DUMMYFUNCTION("""COMPUTED_VALUE"""),"Eci (SU)")</f>
        <v>Eci (SU)</v>
      </c>
      <c r="I2629" s="13" t="str">
        <f>IFERROR(__xludf.DUMMYFUNCTION("""COMPUTED_VALUE"""),"SELESAI (VIA PERMOHONAN)")</f>
        <v>SELESAI (VIA PERMOHONAN)</v>
      </c>
      <c r="J2629" s="17">
        <f>IFERROR(__xludf.DUMMYFUNCTION("""COMPUTED_VALUE"""),45832.63981212963)</f>
        <v>45832.63981</v>
      </c>
      <c r="K2629" s="13" t="str">
        <f>IFERROR(__xludf.DUMMYFUNCTION("""COMPUTED_VALUE"""),"Selesai")</f>
        <v>Selesai</v>
      </c>
      <c r="L2629" s="17">
        <f>IFERROR(__xludf.DUMMYFUNCTION("""COMPUTED_VALUE"""),45832.63981212963)</f>
        <v>45832.63981</v>
      </c>
      <c r="M2629" s="13"/>
      <c r="N2629" s="13" t="str">
        <f>IFERROR(__xludf.DUMMYFUNCTION("""COMPUTED_VALUE"""),"")</f>
        <v/>
      </c>
      <c r="O2629" s="13" t="str">
        <f t="shared" si="1"/>
        <v/>
      </c>
    </row>
    <row r="2630" ht="22.5" customHeight="1">
      <c r="B2630" s="13">
        <f>IFERROR(__xludf.DUMMYFUNCTION("""COMPUTED_VALUE"""),2625.0)</f>
        <v>2625</v>
      </c>
      <c r="C2630" s="13" t="str">
        <f>IFERROR(__xludf.DUMMYFUNCTION("""COMPUTED_VALUE"""),"M. 1266/ Langkapura Baru")</f>
        <v>M. 1266/ Langkapura Baru</v>
      </c>
      <c r="D2630" s="13" t="str">
        <f>IFERROR(__xludf.DUMMYFUNCTION("""COMPUTED_VALUE"""),"K/31/170625/1")</f>
        <v>K/31/170625/1</v>
      </c>
      <c r="E2630" s="14" t="str">
        <f>IFERROR(__xludf.DUMMYFUNCTION("""COMPUTED_VALUE"""),"Afriza (BT)")</f>
        <v>Afriza (BT)</v>
      </c>
      <c r="F2630" s="14" t="str">
        <f>IFERROR(__xludf.DUMMYFUNCTION("""COMPUTED_VALUE"""),"SELESAI (VIA PERMOHONAN)")</f>
        <v>SELESAI (VIA PERMOHONAN)</v>
      </c>
      <c r="G2630" s="17">
        <f>IFERROR(__xludf.DUMMYFUNCTION("""COMPUTED_VALUE"""),45832.47877100694)</f>
        <v>45832.47877</v>
      </c>
      <c r="H2630" s="14" t="str">
        <f>IFERROR(__xludf.DUMMYFUNCTION("""COMPUTED_VALUE"""),"Eci (SU)")</f>
        <v>Eci (SU)</v>
      </c>
      <c r="I2630" s="13" t="str">
        <f>IFERROR(__xludf.DUMMYFUNCTION("""COMPUTED_VALUE"""),"SELESAI (VIA PERMOHONAN)")</f>
        <v>SELESAI (VIA PERMOHONAN)</v>
      </c>
      <c r="J2630" s="17">
        <f>IFERROR(__xludf.DUMMYFUNCTION("""COMPUTED_VALUE"""),45833.49940945602)</f>
        <v>45833.49941</v>
      </c>
      <c r="K2630" s="13" t="str">
        <f>IFERROR(__xludf.DUMMYFUNCTION("""COMPUTED_VALUE"""),"Selesai")</f>
        <v>Selesai</v>
      </c>
      <c r="L2630" s="17">
        <f>IFERROR(__xludf.DUMMYFUNCTION("""COMPUTED_VALUE"""),45833.49940945602)</f>
        <v>45833.49941</v>
      </c>
      <c r="M2630" s="13"/>
      <c r="N2630" s="13" t="str">
        <f>IFERROR(__xludf.DUMMYFUNCTION("""COMPUTED_VALUE"""),"")</f>
        <v/>
      </c>
      <c r="O2630" s="13" t="str">
        <f t="shared" si="1"/>
        <v/>
      </c>
    </row>
    <row r="2631" ht="22.5" customHeight="1">
      <c r="B2631" s="13">
        <f>IFERROR(__xludf.DUMMYFUNCTION("""COMPUTED_VALUE"""),2626.0)</f>
        <v>2626</v>
      </c>
      <c r="C2631" s="13" t="str">
        <f>IFERROR(__xludf.DUMMYFUNCTION("""COMPUTED_VALUE"""),"M. 4710/ Beringin Raya")</f>
        <v>M. 4710/ Beringin Raya</v>
      </c>
      <c r="D2631" s="13" t="str">
        <f>IFERROR(__xludf.DUMMYFUNCTION("""COMPUTED_VALUE"""),"K/6/130625/1")</f>
        <v>K/6/130625/1</v>
      </c>
      <c r="E2631" s="14" t="str">
        <f>IFERROR(__xludf.DUMMYFUNCTION("""COMPUTED_VALUE"""),"Afriza (BT)")</f>
        <v>Afriza (BT)</v>
      </c>
      <c r="F2631" s="14" t="str">
        <f>IFERROR(__xludf.DUMMYFUNCTION("""COMPUTED_VALUE"""),"SELESAI (VIA PERMOHONAN)")</f>
        <v>SELESAI (VIA PERMOHONAN)</v>
      </c>
      <c r="G2631" s="17">
        <f>IFERROR(__xludf.DUMMYFUNCTION("""COMPUTED_VALUE"""),45832.47892403935)</f>
        <v>45832.47892</v>
      </c>
      <c r="H2631" s="14" t="str">
        <f>IFERROR(__xludf.DUMMYFUNCTION("""COMPUTED_VALUE"""),"Eci (SU)")</f>
        <v>Eci (SU)</v>
      </c>
      <c r="I2631" s="13" t="str">
        <f>IFERROR(__xludf.DUMMYFUNCTION("""COMPUTED_VALUE"""),"SELESAI (VIA PERMOHONAN)")</f>
        <v>SELESAI (VIA PERMOHONAN)</v>
      </c>
      <c r="J2631" s="17">
        <f>IFERROR(__xludf.DUMMYFUNCTION("""COMPUTED_VALUE"""),45832.64035238426)</f>
        <v>45832.64035</v>
      </c>
      <c r="K2631" s="13" t="str">
        <f>IFERROR(__xludf.DUMMYFUNCTION("""COMPUTED_VALUE"""),"Selesai")</f>
        <v>Selesai</v>
      </c>
      <c r="L2631" s="17">
        <f>IFERROR(__xludf.DUMMYFUNCTION("""COMPUTED_VALUE"""),45832.64035238426)</f>
        <v>45832.64035</v>
      </c>
      <c r="M2631" s="13"/>
      <c r="N2631" s="13" t="str">
        <f>IFERROR(__xludf.DUMMYFUNCTION("""COMPUTED_VALUE"""),"")</f>
        <v/>
      </c>
      <c r="O2631" s="13" t="str">
        <f t="shared" si="1"/>
        <v/>
      </c>
    </row>
    <row r="2632" ht="22.5" customHeight="1">
      <c r="B2632" s="13">
        <f>IFERROR(__xludf.DUMMYFUNCTION("""COMPUTED_VALUE"""),2627.0)</f>
        <v>2627</v>
      </c>
      <c r="C2632" s="13" t="str">
        <f>IFERROR(__xludf.DUMMYFUNCTION("""COMPUTED_VALUE"""),"M. 2283/ Sukajawa")</f>
        <v>M. 2283/ Sukajawa</v>
      </c>
      <c r="D2632" s="13" t="str">
        <f>IFERROR(__xludf.DUMMYFUNCTION("""COMPUTED_VALUE"""),"K/6/060525/1")</f>
        <v>K/6/060525/1</v>
      </c>
      <c r="E2632" s="14" t="str">
        <f>IFERROR(__xludf.DUMMYFUNCTION("""COMPUTED_VALUE"""),"Afriza (BT)")</f>
        <v>Afriza (BT)</v>
      </c>
      <c r="F2632" s="14" t="str">
        <f>IFERROR(__xludf.DUMMYFUNCTION("""COMPUTED_VALUE"""),"SELESAI (VIA PERMOHONAN)")</f>
        <v>SELESAI (VIA PERMOHONAN)</v>
      </c>
      <c r="G2632" s="17">
        <f>IFERROR(__xludf.DUMMYFUNCTION("""COMPUTED_VALUE"""),45832.47895662037)</f>
        <v>45832.47896</v>
      </c>
      <c r="H2632" s="14" t="str">
        <f>IFERROR(__xludf.DUMMYFUNCTION("""COMPUTED_VALUE"""),"Eci (SU)")</f>
        <v>Eci (SU)</v>
      </c>
      <c r="I2632" s="13" t="str">
        <f>IFERROR(__xludf.DUMMYFUNCTION("""COMPUTED_VALUE"""),"SELESAI (VIA PERMOHONAN)")</f>
        <v>SELESAI (VIA PERMOHONAN)</v>
      </c>
      <c r="J2632" s="17">
        <f>IFERROR(__xludf.DUMMYFUNCTION("""COMPUTED_VALUE"""),45832.64026320602)</f>
        <v>45832.64026</v>
      </c>
      <c r="K2632" s="13" t="str">
        <f>IFERROR(__xludf.DUMMYFUNCTION("""COMPUTED_VALUE"""),"Selesai")</f>
        <v>Selesai</v>
      </c>
      <c r="L2632" s="17">
        <f>IFERROR(__xludf.DUMMYFUNCTION("""COMPUTED_VALUE"""),45832.64026320602)</f>
        <v>45832.64026</v>
      </c>
      <c r="M2632" s="13"/>
      <c r="N2632" s="13" t="str">
        <f>IFERROR(__xludf.DUMMYFUNCTION("""COMPUTED_VALUE"""),"")</f>
        <v/>
      </c>
      <c r="O2632" s="13" t="str">
        <f t="shared" si="1"/>
        <v/>
      </c>
    </row>
    <row r="2633" ht="22.5" customHeight="1">
      <c r="B2633" s="13">
        <f>IFERROR(__xludf.DUMMYFUNCTION("""COMPUTED_VALUE"""),2628.0)</f>
        <v>2628</v>
      </c>
      <c r="C2633" s="13" t="str">
        <f>IFERROR(__xludf.DUMMYFUNCTION("""COMPUTED_VALUE"""),"M. 1766/ Bumiwaras")</f>
        <v>M. 1766/ Bumiwaras</v>
      </c>
      <c r="D2633" s="13" t="str">
        <f>IFERROR(__xludf.DUMMYFUNCTION("""COMPUTED_VALUE"""),"K/25/280525/2")</f>
        <v>K/25/280525/2</v>
      </c>
      <c r="E2633" s="14" t="str">
        <f>IFERROR(__xludf.DUMMYFUNCTION("""COMPUTED_VALUE"""),"Afriza (BT)")</f>
        <v>Afriza (BT)</v>
      </c>
      <c r="F2633" s="14" t="str">
        <f>IFERROR(__xludf.DUMMYFUNCTION("""COMPUTED_VALUE"""),"SELESAI (VIA PERMOHONAN)")</f>
        <v>SELESAI (VIA PERMOHONAN)</v>
      </c>
      <c r="G2633" s="17">
        <f>IFERROR(__xludf.DUMMYFUNCTION("""COMPUTED_VALUE"""),45832.47906131945)</f>
        <v>45832.47906</v>
      </c>
      <c r="H2633" s="14" t="str">
        <f>IFERROR(__xludf.DUMMYFUNCTION("""COMPUTED_VALUE"""),"Eci (SU)")</f>
        <v>Eci (SU)</v>
      </c>
      <c r="I2633" s="13" t="str">
        <f>IFERROR(__xludf.DUMMYFUNCTION("""COMPUTED_VALUE"""),"SELESAI (VIA PERMOHONAN)")</f>
        <v>SELESAI (VIA PERMOHONAN)</v>
      </c>
      <c r="J2633" s="17">
        <f>IFERROR(__xludf.DUMMYFUNCTION("""COMPUTED_VALUE"""),45832.63939810185)</f>
        <v>45832.6394</v>
      </c>
      <c r="K2633" s="13" t="str">
        <f>IFERROR(__xludf.DUMMYFUNCTION("""COMPUTED_VALUE"""),"Selesai")</f>
        <v>Selesai</v>
      </c>
      <c r="L2633" s="17">
        <f>IFERROR(__xludf.DUMMYFUNCTION("""COMPUTED_VALUE"""),45832.63939810185)</f>
        <v>45832.6394</v>
      </c>
      <c r="M2633" s="13"/>
      <c r="N2633" s="13" t="str">
        <f>IFERROR(__xludf.DUMMYFUNCTION("""COMPUTED_VALUE"""),"")</f>
        <v/>
      </c>
      <c r="O2633" s="13" t="str">
        <f t="shared" si="1"/>
        <v/>
      </c>
    </row>
    <row r="2634" ht="22.5" customHeight="1">
      <c r="B2634" s="13">
        <f>IFERROR(__xludf.DUMMYFUNCTION("""COMPUTED_VALUE"""),2629.0)</f>
        <v>2629</v>
      </c>
      <c r="C2634" s="13" t="str">
        <f>IFERROR(__xludf.DUMMYFUNCTION("""COMPUTED_VALUE"""),"M. 3559/ Beringin Raya")</f>
        <v>M. 3559/ Beringin Raya</v>
      </c>
      <c r="D2634" s="13" t="str">
        <f>IFERROR(__xludf.DUMMYFUNCTION("""COMPUTED_VALUE"""),"K/14/130625/1")</f>
        <v>K/14/130625/1</v>
      </c>
      <c r="E2634" s="14" t="str">
        <f>IFERROR(__xludf.DUMMYFUNCTION("""COMPUTED_VALUE"""),"Afriza (BT)")</f>
        <v>Afriza (BT)</v>
      </c>
      <c r="F2634" s="14" t="str">
        <f>IFERROR(__xludf.DUMMYFUNCTION("""COMPUTED_VALUE"""),"SELESAI (VIA PERMOHONAN)")</f>
        <v>SELESAI (VIA PERMOHONAN)</v>
      </c>
      <c r="G2634" s="17">
        <f>IFERROR(__xludf.DUMMYFUNCTION("""COMPUTED_VALUE"""),45832.47920001157)</f>
        <v>45832.4792</v>
      </c>
      <c r="H2634" s="14" t="str">
        <f>IFERROR(__xludf.DUMMYFUNCTION("""COMPUTED_VALUE"""),"Eci (SU)")</f>
        <v>Eci (SU)</v>
      </c>
      <c r="I2634" s="13" t="str">
        <f>IFERROR(__xludf.DUMMYFUNCTION("""COMPUTED_VALUE"""),"SELESAI (VIA PERMOHONAN)")</f>
        <v>SELESAI (VIA PERMOHONAN)</v>
      </c>
      <c r="J2634" s="17">
        <f>IFERROR(__xludf.DUMMYFUNCTION("""COMPUTED_VALUE"""),45832.64015337963)</f>
        <v>45832.64015</v>
      </c>
      <c r="K2634" s="13" t="str">
        <f>IFERROR(__xludf.DUMMYFUNCTION("""COMPUTED_VALUE"""),"Selesai")</f>
        <v>Selesai</v>
      </c>
      <c r="L2634" s="17">
        <f>IFERROR(__xludf.DUMMYFUNCTION("""COMPUTED_VALUE"""),45832.64015337963)</f>
        <v>45832.64015</v>
      </c>
      <c r="M2634" s="13"/>
      <c r="N2634" s="13" t="str">
        <f>IFERROR(__xludf.DUMMYFUNCTION("""COMPUTED_VALUE"""),"")</f>
        <v/>
      </c>
      <c r="O2634" s="13" t="str">
        <f t="shared" si="1"/>
        <v/>
      </c>
    </row>
    <row r="2635" ht="22.5" customHeight="1">
      <c r="B2635" s="13">
        <f>IFERROR(__xludf.DUMMYFUNCTION("""COMPUTED_VALUE"""),2630.0)</f>
        <v>2630</v>
      </c>
      <c r="C2635" s="13" t="str">
        <f>IFERROR(__xludf.DUMMYFUNCTION("""COMPUTED_VALUE"""),"M.1474/JAGABAYA III")</f>
        <v>M.1474/JAGABAYA III</v>
      </c>
      <c r="D2635" s="13" t="str">
        <f>IFERROR(__xludf.DUMMYFUNCTION("""COMPUTED_VALUE"""),"K/40/230525/1")</f>
        <v>K/40/230525/1</v>
      </c>
      <c r="E2635" s="14" t="str">
        <f>IFERROR(__xludf.DUMMYFUNCTION("""COMPUTED_VALUE"""),"Afriza (BT)")</f>
        <v>Afriza (BT)</v>
      </c>
      <c r="F2635" s="14" t="str">
        <f>IFERROR(__xludf.DUMMYFUNCTION("""COMPUTED_VALUE"""),"SELESAI (VIA PERMOHONAN)")</f>
        <v>SELESAI (VIA PERMOHONAN)</v>
      </c>
      <c r="G2635" s="17">
        <f>IFERROR(__xludf.DUMMYFUNCTION("""COMPUTED_VALUE"""),45832.47933445602)</f>
        <v>45832.47933</v>
      </c>
      <c r="H2635" s="14" t="str">
        <f>IFERROR(__xludf.DUMMYFUNCTION("""COMPUTED_VALUE"""),"Eci (SU)")</f>
        <v>Eci (SU)</v>
      </c>
      <c r="I2635" s="13" t="str">
        <f>IFERROR(__xludf.DUMMYFUNCTION("""COMPUTED_VALUE"""),"SELESAI (VIA PERMOHONAN)")</f>
        <v>SELESAI (VIA PERMOHONAN)</v>
      </c>
      <c r="J2635" s="17">
        <f>IFERROR(__xludf.DUMMYFUNCTION("""COMPUTED_VALUE"""),45832.64095207176)</f>
        <v>45832.64095</v>
      </c>
      <c r="K2635" s="13" t="str">
        <f>IFERROR(__xludf.DUMMYFUNCTION("""COMPUTED_VALUE"""),"Selesai")</f>
        <v>Selesai</v>
      </c>
      <c r="L2635" s="17">
        <f>IFERROR(__xludf.DUMMYFUNCTION("""COMPUTED_VALUE"""),45832.64095207176)</f>
        <v>45832.64095</v>
      </c>
      <c r="M2635" s="13"/>
      <c r="N2635" s="13" t="str">
        <f>IFERROR(__xludf.DUMMYFUNCTION("""COMPUTED_VALUE"""),"")</f>
        <v/>
      </c>
      <c r="O2635" s="13" t="str">
        <f t="shared" si="1"/>
        <v/>
      </c>
    </row>
    <row r="2636" ht="22.5" customHeight="1">
      <c r="B2636" s="13">
        <f>IFERROR(__xludf.DUMMYFUNCTION("""COMPUTED_VALUE"""),2631.0)</f>
        <v>2631</v>
      </c>
      <c r="C2636" s="13" t="str">
        <f>IFERROR(__xludf.DUMMYFUNCTION("""COMPUTED_VALUE"""),"M. 1415/TANJUNG RAYA")</f>
        <v>M. 1415/TANJUNG RAYA</v>
      </c>
      <c r="D2636" s="13" t="str">
        <f>IFERROR(__xludf.DUMMYFUNCTION("""COMPUTED_VALUE"""),"K/26/280425/1")</f>
        <v>K/26/280425/1</v>
      </c>
      <c r="E2636" s="14" t="str">
        <f>IFERROR(__xludf.DUMMYFUNCTION("""COMPUTED_VALUE"""),"Afriza (BT)")</f>
        <v>Afriza (BT)</v>
      </c>
      <c r="F2636" s="14" t="str">
        <f>IFERROR(__xludf.DUMMYFUNCTION("""COMPUTED_VALUE"""),"SELESAI (VIA PERMOHONAN)")</f>
        <v>SELESAI (VIA PERMOHONAN)</v>
      </c>
      <c r="G2636" s="17">
        <f>IFERROR(__xludf.DUMMYFUNCTION("""COMPUTED_VALUE"""),45832.479446446756)</f>
        <v>45832.47945</v>
      </c>
      <c r="H2636" s="14" t="str">
        <f>IFERROR(__xludf.DUMMYFUNCTION("""COMPUTED_VALUE"""),"Eci (SU)")</f>
        <v>Eci (SU)</v>
      </c>
      <c r="I2636" s="13" t="str">
        <f>IFERROR(__xludf.DUMMYFUNCTION("""COMPUTED_VALUE"""),"SELESAI (VIA PERMOHONAN)")</f>
        <v>SELESAI (VIA PERMOHONAN)</v>
      </c>
      <c r="J2636" s="17">
        <f>IFERROR(__xludf.DUMMYFUNCTION("""COMPUTED_VALUE"""),45833.499909583334)</f>
        <v>45833.49991</v>
      </c>
      <c r="K2636" s="13" t="str">
        <f>IFERROR(__xludf.DUMMYFUNCTION("""COMPUTED_VALUE"""),"Selesai")</f>
        <v>Selesai</v>
      </c>
      <c r="L2636" s="17">
        <f>IFERROR(__xludf.DUMMYFUNCTION("""COMPUTED_VALUE"""),45833.499909583334)</f>
        <v>45833.49991</v>
      </c>
      <c r="M2636" s="13"/>
      <c r="N2636" s="13" t="str">
        <f>IFERROR(__xludf.DUMMYFUNCTION("""COMPUTED_VALUE"""),"")</f>
        <v/>
      </c>
      <c r="O2636" s="13" t="str">
        <f t="shared" si="1"/>
        <v/>
      </c>
    </row>
    <row r="2637" ht="22.5" customHeight="1">
      <c r="B2637" s="13">
        <f>IFERROR(__xludf.DUMMYFUNCTION("""COMPUTED_VALUE"""),2632.0)</f>
        <v>2632</v>
      </c>
      <c r="C2637" s="13" t="str">
        <f>IFERROR(__xludf.DUMMYFUNCTION("""COMPUTED_VALUE"""),"M. 71/ Kupang Raya")</f>
        <v>M. 71/ Kupang Raya</v>
      </c>
      <c r="D2637" s="13" t="str">
        <f>IFERROR(__xludf.DUMMYFUNCTION("""COMPUTED_VALUE"""),"K/3/200525/1")</f>
        <v>K/3/200525/1</v>
      </c>
      <c r="E2637" s="14" t="str">
        <f>IFERROR(__xludf.DUMMYFUNCTION("""COMPUTED_VALUE"""),"Afriza (BT)")</f>
        <v>Afriza (BT)</v>
      </c>
      <c r="F2637" s="14" t="str">
        <f>IFERROR(__xludf.DUMMYFUNCTION("""COMPUTED_VALUE"""),"SELESAI (VIA PERMOHONAN)")</f>
        <v>SELESAI (VIA PERMOHONAN)</v>
      </c>
      <c r="G2637" s="17">
        <f>IFERROR(__xludf.DUMMYFUNCTION("""COMPUTED_VALUE"""),45832.479530763885)</f>
        <v>45832.47953</v>
      </c>
      <c r="H2637" s="14" t="str">
        <f>IFERROR(__xludf.DUMMYFUNCTION("""COMPUTED_VALUE"""),"Eci (SU)")</f>
        <v>Eci (SU)</v>
      </c>
      <c r="I2637" s="13" t="str">
        <f>IFERROR(__xludf.DUMMYFUNCTION("""COMPUTED_VALUE"""),"SELESAI (VIA PERMOHONAN)")</f>
        <v>SELESAI (VIA PERMOHONAN)</v>
      </c>
      <c r="J2637" s="17">
        <f>IFERROR(__xludf.DUMMYFUNCTION("""COMPUTED_VALUE"""),45832.63995197917)</f>
        <v>45832.63995</v>
      </c>
      <c r="K2637" s="13" t="str">
        <f>IFERROR(__xludf.DUMMYFUNCTION("""COMPUTED_VALUE"""),"Selesai")</f>
        <v>Selesai</v>
      </c>
      <c r="L2637" s="17">
        <f>IFERROR(__xludf.DUMMYFUNCTION("""COMPUTED_VALUE"""),45832.63995197917)</f>
        <v>45832.63995</v>
      </c>
      <c r="M2637" s="13"/>
      <c r="N2637" s="13" t="str">
        <f>IFERROR(__xludf.DUMMYFUNCTION("""COMPUTED_VALUE"""),"")</f>
        <v/>
      </c>
      <c r="O2637" s="13" t="str">
        <f t="shared" si="1"/>
        <v/>
      </c>
    </row>
    <row r="2638" ht="22.5" customHeight="1">
      <c r="B2638" s="13">
        <f>IFERROR(__xludf.DUMMYFUNCTION("""COMPUTED_VALUE"""),2633.0)</f>
        <v>2633</v>
      </c>
      <c r="C2638" s="13" t="str">
        <f>IFERROR(__xludf.DUMMYFUNCTION("""COMPUTED_VALUE"""),"M. 12337/ Sukarame")</f>
        <v>M. 12337/ Sukarame</v>
      </c>
      <c r="D2638" s="13" t="str">
        <f>IFERROR(__xludf.DUMMYFUNCTION("""COMPUTED_VALUE"""),"K/30/270525/1")</f>
        <v>K/30/270525/1</v>
      </c>
      <c r="E2638" s="14" t="str">
        <f>IFERROR(__xludf.DUMMYFUNCTION("""COMPUTED_VALUE"""),"Afriza (BT)")</f>
        <v>Afriza (BT)</v>
      </c>
      <c r="F2638" s="14" t="str">
        <f>IFERROR(__xludf.DUMMYFUNCTION("""COMPUTED_VALUE"""),"SELESAI (VIA PERMOHONAN)")</f>
        <v>SELESAI (VIA PERMOHONAN)</v>
      </c>
      <c r="G2638" s="17">
        <f>IFERROR(__xludf.DUMMYFUNCTION("""COMPUTED_VALUE"""),45832.47961902778)</f>
        <v>45832.47962</v>
      </c>
      <c r="H2638" s="14" t="str">
        <f>IFERROR(__xludf.DUMMYFUNCTION("""COMPUTED_VALUE"""),"Eci (SU)")</f>
        <v>Eci (SU)</v>
      </c>
      <c r="I2638" s="13" t="str">
        <f>IFERROR(__xludf.DUMMYFUNCTION("""COMPUTED_VALUE"""),"SELESAI (VIA PERMOHONAN)")</f>
        <v>SELESAI (VIA PERMOHONAN)</v>
      </c>
      <c r="J2638" s="17">
        <f>IFERROR(__xludf.DUMMYFUNCTION("""COMPUTED_VALUE"""),45832.64008420139)</f>
        <v>45832.64008</v>
      </c>
      <c r="K2638" s="13" t="str">
        <f>IFERROR(__xludf.DUMMYFUNCTION("""COMPUTED_VALUE"""),"Selesai")</f>
        <v>Selesai</v>
      </c>
      <c r="L2638" s="17">
        <f>IFERROR(__xludf.DUMMYFUNCTION("""COMPUTED_VALUE"""),45832.64008420139)</f>
        <v>45832.64008</v>
      </c>
      <c r="M2638" s="13"/>
      <c r="N2638" s="13" t="str">
        <f>IFERROR(__xludf.DUMMYFUNCTION("""COMPUTED_VALUE"""),"")</f>
        <v/>
      </c>
      <c r="O2638" s="13" t="str">
        <f t="shared" si="1"/>
        <v/>
      </c>
    </row>
    <row r="2639" ht="22.5" customHeight="1">
      <c r="B2639" s="13">
        <f>IFERROR(__xludf.DUMMYFUNCTION("""COMPUTED_VALUE"""),2634.0)</f>
        <v>2634</v>
      </c>
      <c r="C2639" s="13" t="str">
        <f>IFERROR(__xludf.DUMMYFUNCTION("""COMPUTED_VALUE"""),"B. 4429/ Sukabumi")</f>
        <v>B. 4429/ Sukabumi</v>
      </c>
      <c r="D2639" s="13" t="str">
        <f>IFERROR(__xludf.DUMMYFUNCTION("""COMPUTED_VALUE"""),"K/41/210525/1")</f>
        <v>K/41/210525/1</v>
      </c>
      <c r="E2639" s="14" t="str">
        <f>IFERROR(__xludf.DUMMYFUNCTION("""COMPUTED_VALUE"""),"Afriza (BT)")</f>
        <v>Afriza (BT)</v>
      </c>
      <c r="F2639" s="14" t="str">
        <f>IFERROR(__xludf.DUMMYFUNCTION("""COMPUTED_VALUE"""),"SELESAI (VIA PERMOHONAN)")</f>
        <v>SELESAI (VIA PERMOHONAN)</v>
      </c>
      <c r="G2639" s="17">
        <f>IFERROR(__xludf.DUMMYFUNCTION("""COMPUTED_VALUE"""),45832.479698738425)</f>
        <v>45832.4797</v>
      </c>
      <c r="H2639" s="14" t="str">
        <f>IFERROR(__xludf.DUMMYFUNCTION("""COMPUTED_VALUE"""),"Eci (SU)")</f>
        <v>Eci (SU)</v>
      </c>
      <c r="I2639" s="13" t="str">
        <f>IFERROR(__xludf.DUMMYFUNCTION("""COMPUTED_VALUE"""),"SELESAI (VIA PERMOHONAN)")</f>
        <v>SELESAI (VIA PERMOHONAN)</v>
      </c>
      <c r="J2639" s="17">
        <f>IFERROR(__xludf.DUMMYFUNCTION("""COMPUTED_VALUE"""),45832.639631365746)</f>
        <v>45832.63963</v>
      </c>
      <c r="K2639" s="13" t="str">
        <f>IFERROR(__xludf.DUMMYFUNCTION("""COMPUTED_VALUE"""),"Selesai")</f>
        <v>Selesai</v>
      </c>
      <c r="L2639" s="17">
        <f>IFERROR(__xludf.DUMMYFUNCTION("""COMPUTED_VALUE"""),45832.639631365746)</f>
        <v>45832.63963</v>
      </c>
      <c r="M2639" s="13"/>
      <c r="N2639" s="13" t="str">
        <f>IFERROR(__xludf.DUMMYFUNCTION("""COMPUTED_VALUE"""),"")</f>
        <v/>
      </c>
      <c r="O2639" s="13" t="str">
        <f t="shared" si="1"/>
        <v/>
      </c>
    </row>
    <row r="2640" ht="22.5" customHeight="1">
      <c r="B2640" s="13">
        <f>IFERROR(__xludf.DUMMYFUNCTION("""COMPUTED_VALUE"""),2635.0)</f>
        <v>2635</v>
      </c>
      <c r="C2640" s="13" t="str">
        <f>IFERROR(__xludf.DUMMYFUNCTION("""COMPUTED_VALUE"""),"M.2681/SUKARAME BARU")</f>
        <v>M.2681/SUKARAME BARU</v>
      </c>
      <c r="D2640" s="13" t="str">
        <f>IFERROR(__xludf.DUMMYFUNCTION("""COMPUTED_VALUE"""),"K/15/130625/1")</f>
        <v>K/15/130625/1</v>
      </c>
      <c r="E2640" s="14" t="str">
        <f>IFERROR(__xludf.DUMMYFUNCTION("""COMPUTED_VALUE"""),"Afriza (BT)")</f>
        <v>Afriza (BT)</v>
      </c>
      <c r="F2640" s="14" t="str">
        <f>IFERROR(__xludf.DUMMYFUNCTION("""COMPUTED_VALUE"""),"SELESAI (VIA PERMOHONAN)")</f>
        <v>SELESAI (VIA PERMOHONAN)</v>
      </c>
      <c r="G2640" s="17">
        <f>IFERROR(__xludf.DUMMYFUNCTION("""COMPUTED_VALUE"""),45832.47988800926)</f>
        <v>45832.47989</v>
      </c>
      <c r="H2640" s="14" t="str">
        <f>IFERROR(__xludf.DUMMYFUNCTION("""COMPUTED_VALUE"""),"Eci (SU)")</f>
        <v>Eci (SU)</v>
      </c>
      <c r="I2640" s="13" t="str">
        <f>IFERROR(__xludf.DUMMYFUNCTION("""COMPUTED_VALUE"""),"SELESAI (VIA PERMOHONAN)")</f>
        <v>SELESAI (VIA PERMOHONAN)</v>
      </c>
      <c r="J2640" s="17">
        <f>IFERROR(__xludf.DUMMYFUNCTION("""COMPUTED_VALUE"""),45832.63987063657)</f>
        <v>45832.63987</v>
      </c>
      <c r="K2640" s="13" t="str">
        <f>IFERROR(__xludf.DUMMYFUNCTION("""COMPUTED_VALUE"""),"Selesai")</f>
        <v>Selesai</v>
      </c>
      <c r="L2640" s="17">
        <f>IFERROR(__xludf.DUMMYFUNCTION("""COMPUTED_VALUE"""),45832.63987063657)</f>
        <v>45832.63987</v>
      </c>
      <c r="M2640" s="13"/>
      <c r="N2640" s="13" t="str">
        <f>IFERROR(__xludf.DUMMYFUNCTION("""COMPUTED_VALUE"""),"")</f>
        <v/>
      </c>
      <c r="O2640" s="13" t="str">
        <f t="shared" si="1"/>
        <v/>
      </c>
    </row>
    <row r="2641" ht="22.5" customHeight="1">
      <c r="B2641" s="13">
        <f>IFERROR(__xludf.DUMMYFUNCTION("""COMPUTED_VALUE"""),2636.0)</f>
        <v>2636</v>
      </c>
      <c r="C2641" s="13" t="str">
        <f>IFERROR(__xludf.DUMMYFUNCTION("""COMPUTED_VALUE"""),"M. 9451/TANJUNG BARU")</f>
        <v>M. 9451/TANJUNG BARU</v>
      </c>
      <c r="D2641" s="13" t="str">
        <f>IFERROR(__xludf.DUMMYFUNCTION("""COMPUTED_VALUE"""),"K/32/170625/1")</f>
        <v>K/32/170625/1</v>
      </c>
      <c r="E2641" s="14" t="str">
        <f>IFERROR(__xludf.DUMMYFUNCTION("""COMPUTED_VALUE"""),"Heri (BT)")</f>
        <v>Heri (BT)</v>
      </c>
      <c r="F2641" s="14" t="str">
        <f>IFERROR(__xludf.DUMMYFUNCTION("""COMPUTED_VALUE"""),"SELESAI (VIA PERMOHONAN)")</f>
        <v>SELESAI (VIA PERMOHONAN)</v>
      </c>
      <c r="G2641" s="17">
        <f>IFERROR(__xludf.DUMMYFUNCTION("""COMPUTED_VALUE"""),45832.59849715278)</f>
        <v>45832.5985</v>
      </c>
      <c r="H2641" s="14" t="str">
        <f>IFERROR(__xludf.DUMMYFUNCTION("""COMPUTED_VALUE"""),"Eci (SU)")</f>
        <v>Eci (SU)</v>
      </c>
      <c r="I2641" s="13" t="str">
        <f>IFERROR(__xludf.DUMMYFUNCTION("""COMPUTED_VALUE"""),"SELESAI (VIA PERMOHONAN)")</f>
        <v>SELESAI (VIA PERMOHONAN)</v>
      </c>
      <c r="J2641" s="17">
        <f>IFERROR(__xludf.DUMMYFUNCTION("""COMPUTED_VALUE"""),45833.49666175926)</f>
        <v>45833.49666</v>
      </c>
      <c r="K2641" s="13" t="str">
        <f>IFERROR(__xludf.DUMMYFUNCTION("""COMPUTED_VALUE"""),"Selesai")</f>
        <v>Selesai</v>
      </c>
      <c r="L2641" s="17">
        <f>IFERROR(__xludf.DUMMYFUNCTION("""COMPUTED_VALUE"""),45833.49666175926)</f>
        <v>45833.49666</v>
      </c>
      <c r="M2641" s="13"/>
      <c r="N2641" s="13" t="str">
        <f>IFERROR(__xludf.DUMMYFUNCTION("""COMPUTED_VALUE"""),"")</f>
        <v/>
      </c>
      <c r="O2641" s="13" t="str">
        <f t="shared" si="1"/>
        <v/>
      </c>
    </row>
    <row r="2642" ht="22.5" customHeight="1">
      <c r="B2642" s="13">
        <f>IFERROR(__xludf.DUMMYFUNCTION("""COMPUTED_VALUE"""),2637.0)</f>
        <v>2637</v>
      </c>
      <c r="C2642" s="13" t="str">
        <f>IFERROR(__xludf.DUMMYFUNCTION("""COMPUTED_VALUE"""),"M. 9011/TANJUNGBARU")</f>
        <v>M. 9011/TANJUNGBARU</v>
      </c>
      <c r="D2642" s="13" t="str">
        <f>IFERROR(__xludf.DUMMYFUNCTION("""COMPUTED_VALUE"""),"K/20/170625/1")</f>
        <v>K/20/170625/1</v>
      </c>
      <c r="E2642" s="14" t="str">
        <f>IFERROR(__xludf.DUMMYFUNCTION("""COMPUTED_VALUE"""),"Heri (BT)")</f>
        <v>Heri (BT)</v>
      </c>
      <c r="F2642" s="14" t="str">
        <f>IFERROR(__xludf.DUMMYFUNCTION("""COMPUTED_VALUE"""),"SELESAI (VIA PERMOHONAN)")</f>
        <v>SELESAI (VIA PERMOHONAN)</v>
      </c>
      <c r="G2642" s="17">
        <f>IFERROR(__xludf.DUMMYFUNCTION("""COMPUTED_VALUE"""),45832.59865756944)</f>
        <v>45832.59866</v>
      </c>
      <c r="H2642" s="14" t="str">
        <f>IFERROR(__xludf.DUMMYFUNCTION("""COMPUTED_VALUE"""),"Eci (SU)")</f>
        <v>Eci (SU)</v>
      </c>
      <c r="I2642" s="13" t="str">
        <f>IFERROR(__xludf.DUMMYFUNCTION("""COMPUTED_VALUE"""),"SELESAI (VIA PERMOHONAN)")</f>
        <v>SELESAI (VIA PERMOHONAN)</v>
      </c>
      <c r="J2642" s="17">
        <f>IFERROR(__xludf.DUMMYFUNCTION("""COMPUTED_VALUE"""),45833.5001150926)</f>
        <v>45833.50012</v>
      </c>
      <c r="K2642" s="13" t="str">
        <f>IFERROR(__xludf.DUMMYFUNCTION("""COMPUTED_VALUE"""),"Selesai")</f>
        <v>Selesai</v>
      </c>
      <c r="L2642" s="17">
        <f>IFERROR(__xludf.DUMMYFUNCTION("""COMPUTED_VALUE"""),45833.5001150926)</f>
        <v>45833.50012</v>
      </c>
      <c r="M2642" s="13"/>
      <c r="N2642" s="13" t="str">
        <f>IFERROR(__xludf.DUMMYFUNCTION("""COMPUTED_VALUE"""),"")</f>
        <v/>
      </c>
      <c r="O2642" s="13" t="str">
        <f t="shared" si="1"/>
        <v/>
      </c>
    </row>
    <row r="2643" ht="22.5" customHeight="1">
      <c r="B2643" s="13">
        <f>IFERROR(__xludf.DUMMYFUNCTION("""COMPUTED_VALUE"""),2638.0)</f>
        <v>2638</v>
      </c>
      <c r="C2643" s="13" t="str">
        <f>IFERROR(__xludf.DUMMYFUNCTION("""COMPUTED_VALUE"""),"M. 511/TALANG")</f>
        <v>M. 511/TALANG</v>
      </c>
      <c r="D2643" s="13" t="str">
        <f>IFERROR(__xludf.DUMMYFUNCTION("""COMPUTED_VALUE"""),"K/19/110625/1")</f>
        <v>K/19/110625/1</v>
      </c>
      <c r="E2643" s="14" t="str">
        <f>IFERROR(__xludf.DUMMYFUNCTION("""COMPUTED_VALUE"""),"Heri (BT)")</f>
        <v>Heri (BT)</v>
      </c>
      <c r="F2643" s="14" t="str">
        <f>IFERROR(__xludf.DUMMYFUNCTION("""COMPUTED_VALUE"""),"SELESAI (VIA PERMOHONAN)")</f>
        <v>SELESAI (VIA PERMOHONAN)</v>
      </c>
      <c r="G2643" s="17">
        <f>IFERROR(__xludf.DUMMYFUNCTION("""COMPUTED_VALUE"""),45832.598782835645)</f>
        <v>45832.59878</v>
      </c>
      <c r="H2643" s="14" t="str">
        <f>IFERROR(__xludf.DUMMYFUNCTION("""COMPUTED_VALUE"""),"Eci (SU)")</f>
        <v>Eci (SU)</v>
      </c>
      <c r="I2643" s="13" t="str">
        <f>IFERROR(__xludf.DUMMYFUNCTION("""COMPUTED_VALUE"""),"SELESAI (VIA PERMOHONAN)")</f>
        <v>SELESAI (VIA PERMOHONAN)</v>
      </c>
      <c r="J2643" s="17">
        <f>IFERROR(__xludf.DUMMYFUNCTION("""COMPUTED_VALUE"""),45833.493415081015)</f>
        <v>45833.49342</v>
      </c>
      <c r="K2643" s="13" t="str">
        <f>IFERROR(__xludf.DUMMYFUNCTION("""COMPUTED_VALUE"""),"Selesai")</f>
        <v>Selesai</v>
      </c>
      <c r="L2643" s="17">
        <f>IFERROR(__xludf.DUMMYFUNCTION("""COMPUTED_VALUE"""),45833.493415081015)</f>
        <v>45833.49342</v>
      </c>
      <c r="M2643" s="13"/>
      <c r="N2643" s="13" t="str">
        <f>IFERROR(__xludf.DUMMYFUNCTION("""COMPUTED_VALUE"""),"")</f>
        <v/>
      </c>
      <c r="O2643" s="13" t="str">
        <f t="shared" si="1"/>
        <v/>
      </c>
    </row>
    <row r="2644" ht="22.5" customHeight="1">
      <c r="B2644" s="13">
        <f>IFERROR(__xludf.DUMMYFUNCTION("""COMPUTED_VALUE"""),2639.0)</f>
        <v>2639</v>
      </c>
      <c r="C2644" s="13" t="str">
        <f>IFERROR(__xludf.DUMMYFUNCTION("""COMPUTED_VALUE"""),"M. 1255/PANJANG SELATAN")</f>
        <v>M. 1255/PANJANG SELATAN</v>
      </c>
      <c r="D2644" s="13" t="str">
        <f>IFERROR(__xludf.DUMMYFUNCTION("""COMPUTED_VALUE"""),"K/45/210525/1")</f>
        <v>K/45/210525/1</v>
      </c>
      <c r="E2644" s="14" t="str">
        <f>IFERROR(__xludf.DUMMYFUNCTION("""COMPUTED_VALUE"""),"Heri (BT)")</f>
        <v>Heri (BT)</v>
      </c>
      <c r="F2644" s="14" t="str">
        <f>IFERROR(__xludf.DUMMYFUNCTION("""COMPUTED_VALUE"""),"SELESAI (VIA PERMOHONAN)")</f>
        <v>SELESAI (VIA PERMOHONAN)</v>
      </c>
      <c r="G2644" s="17">
        <f>IFERROR(__xludf.DUMMYFUNCTION("""COMPUTED_VALUE"""),45832.59892412037)</f>
        <v>45832.59892</v>
      </c>
      <c r="H2644" s="14" t="str">
        <f>IFERROR(__xludf.DUMMYFUNCTION("""COMPUTED_VALUE"""),"Eci (SU)")</f>
        <v>Eci (SU)</v>
      </c>
      <c r="I2644" s="13" t="str">
        <f>IFERROR(__xludf.DUMMYFUNCTION("""COMPUTED_VALUE"""),"SELESAI (VIA PERMOHONAN)")</f>
        <v>SELESAI (VIA PERMOHONAN)</v>
      </c>
      <c r="J2644" s="17">
        <f>IFERROR(__xludf.DUMMYFUNCTION("""COMPUTED_VALUE"""),45833.49363266204)</f>
        <v>45833.49363</v>
      </c>
      <c r="K2644" s="13" t="str">
        <f>IFERROR(__xludf.DUMMYFUNCTION("""COMPUTED_VALUE"""),"Selesai")</f>
        <v>Selesai</v>
      </c>
      <c r="L2644" s="17">
        <f>IFERROR(__xludf.DUMMYFUNCTION("""COMPUTED_VALUE"""),45833.49363266204)</f>
        <v>45833.49363</v>
      </c>
      <c r="M2644" s="13"/>
      <c r="N2644" s="13" t="str">
        <f>IFERROR(__xludf.DUMMYFUNCTION("""COMPUTED_VALUE"""),"")</f>
        <v/>
      </c>
      <c r="O2644" s="13" t="str">
        <f t="shared" si="1"/>
        <v/>
      </c>
    </row>
    <row r="2645" ht="22.5" customHeight="1">
      <c r="B2645" s="13">
        <f>IFERROR(__xludf.DUMMYFUNCTION("""COMPUTED_VALUE"""),2640.0)</f>
        <v>2640</v>
      </c>
      <c r="C2645" s="13" t="str">
        <f>IFERROR(__xludf.DUMMYFUNCTION("""COMPUTED_VALUE"""),"M.6508/WAY KANDIS")</f>
        <v>M.6508/WAY KANDIS</v>
      </c>
      <c r="D2645" s="13" t="str">
        <f>IFERROR(__xludf.DUMMYFUNCTION("""COMPUTED_VALUE"""),"K/44/200625/1")</f>
        <v>K/44/200625/1</v>
      </c>
      <c r="E2645" s="14" t="str">
        <f>IFERROR(__xludf.DUMMYFUNCTION("""COMPUTED_VALUE"""),"Heri (BT)")</f>
        <v>Heri (BT)</v>
      </c>
      <c r="F2645" s="14" t="str">
        <f>IFERROR(__xludf.DUMMYFUNCTION("""COMPUTED_VALUE"""),"SELESAI (VIA PERMOHONAN)")</f>
        <v>SELESAI (VIA PERMOHONAN)</v>
      </c>
      <c r="G2645" s="17">
        <f>IFERROR(__xludf.DUMMYFUNCTION("""COMPUTED_VALUE"""),45832.599100775464)</f>
        <v>45832.5991</v>
      </c>
      <c r="H2645" s="14" t="str">
        <f>IFERROR(__xludf.DUMMYFUNCTION("""COMPUTED_VALUE"""),"Eci (SU)")</f>
        <v>Eci (SU)</v>
      </c>
      <c r="I2645" s="13" t="str">
        <f>IFERROR(__xludf.DUMMYFUNCTION("""COMPUTED_VALUE"""),"SELESAI (VIA PERMOHONAN)")</f>
        <v>SELESAI (VIA PERMOHONAN)</v>
      </c>
      <c r="J2645" s="17">
        <f>IFERROR(__xludf.DUMMYFUNCTION("""COMPUTED_VALUE"""),45833.499085902775)</f>
        <v>45833.49909</v>
      </c>
      <c r="K2645" s="13" t="str">
        <f>IFERROR(__xludf.DUMMYFUNCTION("""COMPUTED_VALUE"""),"Selesai")</f>
        <v>Selesai</v>
      </c>
      <c r="L2645" s="17">
        <f>IFERROR(__xludf.DUMMYFUNCTION("""COMPUTED_VALUE"""),45833.499085902775)</f>
        <v>45833.49909</v>
      </c>
      <c r="M2645" s="13"/>
      <c r="N2645" s="13" t="str">
        <f>IFERROR(__xludf.DUMMYFUNCTION("""COMPUTED_VALUE"""),"")</f>
        <v/>
      </c>
      <c r="O2645" s="13" t="str">
        <f t="shared" si="1"/>
        <v/>
      </c>
    </row>
    <row r="2646" ht="22.5" customHeight="1">
      <c r="B2646" s="13">
        <f>IFERROR(__xludf.DUMMYFUNCTION("""COMPUTED_VALUE"""),2641.0)</f>
        <v>2641</v>
      </c>
      <c r="C2646" s="13" t="str">
        <f>IFERROR(__xludf.DUMMYFUNCTION("""COMPUTED_VALUE"""),"HM 10608/KEDATON")</f>
        <v>HM 10608/KEDATON</v>
      </c>
      <c r="D2646" s="13" t="str">
        <f>IFERROR(__xludf.DUMMYFUNCTION("""COMPUTED_VALUE"""),"L/12/120625/1")</f>
        <v>L/12/120625/1</v>
      </c>
      <c r="E2646" s="14" t="str">
        <f>IFERROR(__xludf.DUMMYFUNCTION("""COMPUTED_VALUE"""),"Heri (BT)")</f>
        <v>Heri (BT)</v>
      </c>
      <c r="F2646" s="14" t="str">
        <f>IFERROR(__xludf.DUMMYFUNCTION("""COMPUTED_VALUE"""),"SELESAI (VIA PERMOHONAN)")</f>
        <v>SELESAI (VIA PERMOHONAN)</v>
      </c>
      <c r="G2646" s="17">
        <f>IFERROR(__xludf.DUMMYFUNCTION("""COMPUTED_VALUE"""),45832.59923748842)</f>
        <v>45832.59924</v>
      </c>
      <c r="H2646" s="14" t="str">
        <f>IFERROR(__xludf.DUMMYFUNCTION("""COMPUTED_VALUE"""),"Eci (SU)")</f>
        <v>Eci (SU)</v>
      </c>
      <c r="I2646" s="13" t="str">
        <f>IFERROR(__xludf.DUMMYFUNCTION("""COMPUTED_VALUE"""),"SELESAI (VIA PERMOHONAN)")</f>
        <v>SELESAI (VIA PERMOHONAN)</v>
      </c>
      <c r="J2646" s="17">
        <f>IFERROR(__xludf.DUMMYFUNCTION("""COMPUTED_VALUE"""),45833.4937481713)</f>
        <v>45833.49375</v>
      </c>
      <c r="K2646" s="13" t="str">
        <f>IFERROR(__xludf.DUMMYFUNCTION("""COMPUTED_VALUE"""),"Selesai")</f>
        <v>Selesai</v>
      </c>
      <c r="L2646" s="17">
        <f>IFERROR(__xludf.DUMMYFUNCTION("""COMPUTED_VALUE"""),45833.4937481713)</f>
        <v>45833.49375</v>
      </c>
      <c r="M2646" s="13"/>
      <c r="N2646" s="13" t="str">
        <f>IFERROR(__xludf.DUMMYFUNCTION("""COMPUTED_VALUE"""),"")</f>
        <v/>
      </c>
      <c r="O2646" s="13" t="str">
        <f t="shared" si="1"/>
        <v/>
      </c>
    </row>
    <row r="2647" ht="22.5" customHeight="1">
      <c r="B2647" s="13">
        <f>IFERROR(__xludf.DUMMYFUNCTION("""COMPUTED_VALUE"""),2642.0)</f>
        <v>2642</v>
      </c>
      <c r="C2647" s="13" t="str">
        <f>IFERROR(__xludf.DUMMYFUNCTION("""COMPUTED_VALUE"""),"HGB 1593/BUMI KEDAMAIAN")</f>
        <v>HGB 1593/BUMI KEDAMAIAN</v>
      </c>
      <c r="D2647" s="13" t="str">
        <f>IFERROR(__xludf.DUMMYFUNCTION("""COMPUTED_VALUE"""),"L/17/030625/1")</f>
        <v>L/17/030625/1</v>
      </c>
      <c r="E2647" s="14" t="str">
        <f>IFERROR(__xludf.DUMMYFUNCTION("""COMPUTED_VALUE"""),"Heri (BT)")</f>
        <v>Heri (BT)</v>
      </c>
      <c r="F2647" s="14" t="str">
        <f>IFERROR(__xludf.DUMMYFUNCTION("""COMPUTED_VALUE"""),"SELESAI (VIA PERMOHONAN)")</f>
        <v>SELESAI (VIA PERMOHONAN)</v>
      </c>
      <c r="G2647" s="17">
        <f>IFERROR(__xludf.DUMMYFUNCTION("""COMPUTED_VALUE"""),45832.599527384256)</f>
        <v>45832.59953</v>
      </c>
      <c r="H2647" s="14" t="str">
        <f>IFERROR(__xludf.DUMMYFUNCTION("""COMPUTED_VALUE"""),"Eci (SU)")</f>
        <v>Eci (SU)</v>
      </c>
      <c r="I2647" s="13" t="str">
        <f>IFERROR(__xludf.DUMMYFUNCTION("""COMPUTED_VALUE"""),"SELESAI (VIA PERMOHONAN)")</f>
        <v>SELESAI (VIA PERMOHONAN)</v>
      </c>
      <c r="J2647" s="17">
        <f>IFERROR(__xludf.DUMMYFUNCTION("""COMPUTED_VALUE"""),45833.49635508102)</f>
        <v>45833.49636</v>
      </c>
      <c r="K2647" s="13" t="str">
        <f>IFERROR(__xludf.DUMMYFUNCTION("""COMPUTED_VALUE"""),"Selesai")</f>
        <v>Selesai</v>
      </c>
      <c r="L2647" s="17">
        <f>IFERROR(__xludf.DUMMYFUNCTION("""COMPUTED_VALUE"""),45833.49635508102)</f>
        <v>45833.49636</v>
      </c>
      <c r="M2647" s="13"/>
      <c r="N2647" s="13" t="str">
        <f>IFERROR(__xludf.DUMMYFUNCTION("""COMPUTED_VALUE"""),"")</f>
        <v/>
      </c>
      <c r="O2647" s="13" t="str">
        <f t="shared" si="1"/>
        <v/>
      </c>
    </row>
    <row r="2648" ht="22.5" customHeight="1">
      <c r="B2648" s="13">
        <f>IFERROR(__xludf.DUMMYFUNCTION("""COMPUTED_VALUE"""),2643.0)</f>
        <v>2643</v>
      </c>
      <c r="C2648" s="13" t="str">
        <f>IFERROR(__xludf.DUMMYFUNCTION("""COMPUTED_VALUE"""),"M.12040/LABUHAN RATU")</f>
        <v>M.12040/LABUHAN RATU</v>
      </c>
      <c r="D2648" s="13" t="str">
        <f>IFERROR(__xludf.DUMMYFUNCTION("""COMPUTED_VALUE"""),"K/20/050625/1")</f>
        <v>K/20/050625/1</v>
      </c>
      <c r="E2648" s="14" t="str">
        <f>IFERROR(__xludf.DUMMYFUNCTION("""COMPUTED_VALUE"""),"Heri (BT)")</f>
        <v>Heri (BT)</v>
      </c>
      <c r="F2648" s="14" t="str">
        <f>IFERROR(__xludf.DUMMYFUNCTION("""COMPUTED_VALUE"""),"SELESAI (VIA PERMOHONAN)")</f>
        <v>SELESAI (VIA PERMOHONAN)</v>
      </c>
      <c r="G2648" s="17">
        <f>IFERROR(__xludf.DUMMYFUNCTION("""COMPUTED_VALUE"""),45832.59966923611)</f>
        <v>45832.59967</v>
      </c>
      <c r="H2648" s="14" t="str">
        <f>IFERROR(__xludf.DUMMYFUNCTION("""COMPUTED_VALUE"""),"Eci (SU)")</f>
        <v>Eci (SU)</v>
      </c>
      <c r="I2648" s="13" t="str">
        <f>IFERROR(__xludf.DUMMYFUNCTION("""COMPUTED_VALUE"""),"SELESAI (VIA PERMOHONAN)")</f>
        <v>SELESAI (VIA PERMOHONAN)</v>
      </c>
      <c r="J2648" s="17">
        <f>IFERROR(__xludf.DUMMYFUNCTION("""COMPUTED_VALUE"""),45833.49390887731)</f>
        <v>45833.49391</v>
      </c>
      <c r="K2648" s="13" t="str">
        <f>IFERROR(__xludf.DUMMYFUNCTION("""COMPUTED_VALUE"""),"Selesai")</f>
        <v>Selesai</v>
      </c>
      <c r="L2648" s="17">
        <f>IFERROR(__xludf.DUMMYFUNCTION("""COMPUTED_VALUE"""),45833.49390887731)</f>
        <v>45833.49391</v>
      </c>
      <c r="M2648" s="13"/>
      <c r="N2648" s="13" t="str">
        <f>IFERROR(__xludf.DUMMYFUNCTION("""COMPUTED_VALUE"""),"")</f>
        <v/>
      </c>
      <c r="O2648" s="13" t="str">
        <f t="shared" si="1"/>
        <v/>
      </c>
    </row>
    <row r="2649" ht="22.5" customHeight="1">
      <c r="B2649" s="13">
        <f>IFERROR(__xludf.DUMMYFUNCTION("""COMPUTED_VALUE"""),2644.0)</f>
        <v>2644</v>
      </c>
      <c r="C2649" s="13" t="str">
        <f>IFERROR(__xludf.DUMMYFUNCTION("""COMPUTED_VALUE"""),"B.399/KEMILING PERMAI")</f>
        <v>B.399/KEMILING PERMAI</v>
      </c>
      <c r="D2649" s="13" t="str">
        <f>IFERROR(__xludf.DUMMYFUNCTION("""COMPUTED_VALUE"""),"K/6/110625/1")</f>
        <v>K/6/110625/1</v>
      </c>
      <c r="E2649" s="14" t="str">
        <f>IFERROR(__xludf.DUMMYFUNCTION("""COMPUTED_VALUE"""),"Heri (BT)")</f>
        <v>Heri (BT)</v>
      </c>
      <c r="F2649" s="14" t="str">
        <f>IFERROR(__xludf.DUMMYFUNCTION("""COMPUTED_VALUE"""),"SELESAI (VIA PERMOHONAN)")</f>
        <v>SELESAI (VIA PERMOHONAN)</v>
      </c>
      <c r="G2649" s="17">
        <f>IFERROR(__xludf.DUMMYFUNCTION("""COMPUTED_VALUE"""),45832.59981871527)</f>
        <v>45832.59982</v>
      </c>
      <c r="H2649" s="14" t="str">
        <f>IFERROR(__xludf.DUMMYFUNCTION("""COMPUTED_VALUE"""),"Eci (SU)")</f>
        <v>Eci (SU)</v>
      </c>
      <c r="I2649" s="13" t="str">
        <f>IFERROR(__xludf.DUMMYFUNCTION("""COMPUTED_VALUE"""),"SELESAI (VIA PERMOHONAN)")</f>
        <v>SELESAI (VIA PERMOHONAN)</v>
      </c>
      <c r="J2649" s="17">
        <f>IFERROR(__xludf.DUMMYFUNCTION("""COMPUTED_VALUE"""),45833.498925625)</f>
        <v>45833.49893</v>
      </c>
      <c r="K2649" s="13" t="str">
        <f>IFERROR(__xludf.DUMMYFUNCTION("""COMPUTED_VALUE"""),"Selesai")</f>
        <v>Selesai</v>
      </c>
      <c r="L2649" s="17">
        <f>IFERROR(__xludf.DUMMYFUNCTION("""COMPUTED_VALUE"""),45833.498925625)</f>
        <v>45833.49893</v>
      </c>
      <c r="M2649" s="13"/>
      <c r="N2649" s="13" t="str">
        <f>IFERROR(__xludf.DUMMYFUNCTION("""COMPUTED_VALUE"""),"")</f>
        <v/>
      </c>
      <c r="O2649" s="13" t="str">
        <f t="shared" si="1"/>
        <v/>
      </c>
    </row>
    <row r="2650" ht="22.5" customHeight="1">
      <c r="B2650" s="13">
        <f>IFERROR(__xludf.DUMMYFUNCTION("""COMPUTED_VALUE"""),2645.0)</f>
        <v>2645</v>
      </c>
      <c r="C2650" s="13" t="str">
        <f>IFERROR(__xludf.DUMMYFUNCTION("""COMPUTED_VALUE"""),"M.2228/TANJUNG SENENG")</f>
        <v>M.2228/TANJUNG SENENG</v>
      </c>
      <c r="D2650" s="13" t="str">
        <f>IFERROR(__xludf.DUMMYFUNCTION("""COMPUTED_VALUE"""),"K/36/050625/1")</f>
        <v>K/36/050625/1</v>
      </c>
      <c r="E2650" s="14" t="str">
        <f>IFERROR(__xludf.DUMMYFUNCTION("""COMPUTED_VALUE"""),"Heri (BT)")</f>
        <v>Heri (BT)</v>
      </c>
      <c r="F2650" s="14" t="str">
        <f>IFERROR(__xludf.DUMMYFUNCTION("""COMPUTED_VALUE"""),"SELESAI (VIA PERMOHONAN)")</f>
        <v>SELESAI (VIA PERMOHONAN)</v>
      </c>
      <c r="G2650" s="17">
        <f>IFERROR(__xludf.DUMMYFUNCTION("""COMPUTED_VALUE"""),45832.60001783565)</f>
        <v>45832.60002</v>
      </c>
      <c r="H2650" s="14" t="str">
        <f>IFERROR(__xludf.DUMMYFUNCTION("""COMPUTED_VALUE"""),"Eci (SU)")</f>
        <v>Eci (SU)</v>
      </c>
      <c r="I2650" s="13" t="str">
        <f>IFERROR(__xludf.DUMMYFUNCTION("""COMPUTED_VALUE"""),"SELESAI (VIA PERMOHONAN)")</f>
        <v>SELESAI (VIA PERMOHONAN)</v>
      </c>
      <c r="J2650" s="17">
        <f>IFERROR(__xludf.DUMMYFUNCTION("""COMPUTED_VALUE"""),45833.49313369213)</f>
        <v>45833.49313</v>
      </c>
      <c r="K2650" s="13" t="str">
        <f>IFERROR(__xludf.DUMMYFUNCTION("""COMPUTED_VALUE"""),"Selesai")</f>
        <v>Selesai</v>
      </c>
      <c r="L2650" s="17">
        <f>IFERROR(__xludf.DUMMYFUNCTION("""COMPUTED_VALUE"""),45833.49313369213)</f>
        <v>45833.49313</v>
      </c>
      <c r="M2650" s="13"/>
      <c r="N2650" s="13" t="str">
        <f>IFERROR(__xludf.DUMMYFUNCTION("""COMPUTED_VALUE"""),"")</f>
        <v/>
      </c>
      <c r="O2650" s="13" t="str">
        <f t="shared" si="1"/>
        <v/>
      </c>
    </row>
    <row r="2651" ht="22.5" customHeight="1">
      <c r="B2651" s="13">
        <f>IFERROR(__xludf.DUMMYFUNCTION("""COMPUTED_VALUE"""),2646.0)</f>
        <v>2646</v>
      </c>
      <c r="C2651" s="13" t="str">
        <f>IFERROR(__xludf.DUMMYFUNCTION("""COMPUTED_VALUE"""),"M.1460/SEPANG JAYA")</f>
        <v>M.1460/SEPANG JAYA</v>
      </c>
      <c r="D2651" s="13" t="str">
        <f>IFERROR(__xludf.DUMMYFUNCTION("""COMPUTED_VALUE"""),"K/34/100625/2")</f>
        <v>K/34/100625/2</v>
      </c>
      <c r="E2651" s="14" t="str">
        <f>IFERROR(__xludf.DUMMYFUNCTION("""COMPUTED_VALUE"""),"Heri (BT)")</f>
        <v>Heri (BT)</v>
      </c>
      <c r="F2651" s="14" t="str">
        <f>IFERROR(__xludf.DUMMYFUNCTION("""COMPUTED_VALUE"""),"SELESAI (VIA PERMOHONAN)")</f>
        <v>SELESAI (VIA PERMOHONAN)</v>
      </c>
      <c r="G2651" s="17">
        <f>IFERROR(__xludf.DUMMYFUNCTION("""COMPUTED_VALUE"""),45832.60016310185)</f>
        <v>45832.60016</v>
      </c>
      <c r="H2651" s="14" t="str">
        <f>IFERROR(__xludf.DUMMYFUNCTION("""COMPUTED_VALUE"""),"Eci (SU)")</f>
        <v>Eci (SU)</v>
      </c>
      <c r="I2651" s="13" t="str">
        <f>IFERROR(__xludf.DUMMYFUNCTION("""COMPUTED_VALUE"""),"SELESAI (VIA PERMOHONAN)")</f>
        <v>SELESAI (VIA PERMOHONAN)</v>
      </c>
      <c r="J2651" s="17">
        <f>IFERROR(__xludf.DUMMYFUNCTION("""COMPUTED_VALUE"""),45833.49299193287)</f>
        <v>45833.49299</v>
      </c>
      <c r="K2651" s="13" t="str">
        <f>IFERROR(__xludf.DUMMYFUNCTION("""COMPUTED_VALUE"""),"Selesai")</f>
        <v>Selesai</v>
      </c>
      <c r="L2651" s="17">
        <f>IFERROR(__xludf.DUMMYFUNCTION("""COMPUTED_VALUE"""),45833.49299193287)</f>
        <v>45833.49299</v>
      </c>
      <c r="M2651" s="13"/>
      <c r="N2651" s="13" t="str">
        <f>IFERROR(__xludf.DUMMYFUNCTION("""COMPUTED_VALUE"""),"")</f>
        <v/>
      </c>
      <c r="O2651" s="13" t="str">
        <f t="shared" si="1"/>
        <v/>
      </c>
    </row>
    <row r="2652" ht="22.5" customHeight="1">
      <c r="B2652" s="13">
        <f>IFERROR(__xludf.DUMMYFUNCTION("""COMPUTED_VALUE"""),2647.0)</f>
        <v>2647</v>
      </c>
      <c r="C2652" s="13" t="str">
        <f>IFERROR(__xludf.DUMMYFUNCTION("""COMPUTED_VALUE"""),"M.2115/SEPANG JAYA")</f>
        <v>M.2115/SEPANG JAYA</v>
      </c>
      <c r="D2652" s="13" t="str">
        <f>IFERROR(__xludf.DUMMYFUNCTION("""COMPUTED_VALUE"""),"K/33/100625/1")</f>
        <v>K/33/100625/1</v>
      </c>
      <c r="E2652" s="14" t="str">
        <f>IFERROR(__xludf.DUMMYFUNCTION("""COMPUTED_VALUE"""),"Heri (BT)")</f>
        <v>Heri (BT)</v>
      </c>
      <c r="F2652" s="14" t="str">
        <f>IFERROR(__xludf.DUMMYFUNCTION("""COMPUTED_VALUE"""),"SELESAI (VIA PERMOHONAN)")</f>
        <v>SELESAI (VIA PERMOHONAN)</v>
      </c>
      <c r="G2652" s="17">
        <f>IFERROR(__xludf.DUMMYFUNCTION("""COMPUTED_VALUE"""),45832.600347175925)</f>
        <v>45832.60035</v>
      </c>
      <c r="H2652" s="14" t="str">
        <f>IFERROR(__xludf.DUMMYFUNCTION("""COMPUTED_VALUE"""),"Eci (SU)")</f>
        <v>Eci (SU)</v>
      </c>
      <c r="I2652" s="13" t="str">
        <f>IFERROR(__xludf.DUMMYFUNCTION("""COMPUTED_VALUE"""),"SELESAI (VIA PERMOHONAN)")</f>
        <v>SELESAI (VIA PERMOHONAN)</v>
      </c>
      <c r="J2652" s="17">
        <f>IFERROR(__xludf.DUMMYFUNCTION("""COMPUTED_VALUE"""),45833.4986178588)</f>
        <v>45833.49862</v>
      </c>
      <c r="K2652" s="13" t="str">
        <f>IFERROR(__xludf.DUMMYFUNCTION("""COMPUTED_VALUE"""),"Selesai")</f>
        <v>Selesai</v>
      </c>
      <c r="L2652" s="17">
        <f>IFERROR(__xludf.DUMMYFUNCTION("""COMPUTED_VALUE"""),45833.4986178588)</f>
        <v>45833.49862</v>
      </c>
      <c r="M2652" s="13"/>
      <c r="N2652" s="13" t="str">
        <f>IFERROR(__xludf.DUMMYFUNCTION("""COMPUTED_VALUE"""),"")</f>
        <v/>
      </c>
      <c r="O2652" s="13" t="str">
        <f t="shared" si="1"/>
        <v/>
      </c>
    </row>
    <row r="2653" ht="22.5" customHeight="1">
      <c r="B2653" s="13">
        <f>IFERROR(__xludf.DUMMYFUNCTION("""COMPUTED_VALUE"""),2648.0)</f>
        <v>2648</v>
      </c>
      <c r="C2653" s="13" t="str">
        <f>IFERROR(__xludf.DUMMYFUNCTION("""COMPUTED_VALUE"""),"M.2702/KOTA BARU")</f>
        <v>M.2702/KOTA BARU</v>
      </c>
      <c r="D2653" s="13" t="str">
        <f>IFERROR(__xludf.DUMMYFUNCTION("""COMPUTED_VALUE"""),"K/6/190625/3")</f>
        <v>K/6/190625/3</v>
      </c>
      <c r="E2653" s="14" t="str">
        <f>IFERROR(__xludf.DUMMYFUNCTION("""COMPUTED_VALUE"""),"Heri (BT)")</f>
        <v>Heri (BT)</v>
      </c>
      <c r="F2653" s="14" t="str">
        <f>IFERROR(__xludf.DUMMYFUNCTION("""COMPUTED_VALUE"""),"SELESAI (VIA PERMOHONAN)")</f>
        <v>SELESAI (VIA PERMOHONAN)</v>
      </c>
      <c r="G2653" s="17">
        <f>IFERROR(__xludf.DUMMYFUNCTION("""COMPUTED_VALUE"""),45832.600569884264)</f>
        <v>45832.60057</v>
      </c>
      <c r="H2653" s="14" t="str">
        <f>IFERROR(__xludf.DUMMYFUNCTION("""COMPUTED_VALUE"""),"Eci (SU)")</f>
        <v>Eci (SU)</v>
      </c>
      <c r="I2653" s="13" t="str">
        <f>IFERROR(__xludf.DUMMYFUNCTION("""COMPUTED_VALUE"""),"SELESAI (VIA PERMOHONAN)")</f>
        <v>SELESAI (VIA PERMOHONAN)</v>
      </c>
      <c r="J2653" s="17">
        <f>IFERROR(__xludf.DUMMYFUNCTION("""COMPUTED_VALUE"""),45833.49851738426)</f>
        <v>45833.49852</v>
      </c>
      <c r="K2653" s="13" t="str">
        <f>IFERROR(__xludf.DUMMYFUNCTION("""COMPUTED_VALUE"""),"Selesai")</f>
        <v>Selesai</v>
      </c>
      <c r="L2653" s="17">
        <f>IFERROR(__xludf.DUMMYFUNCTION("""COMPUTED_VALUE"""),45833.49851738426)</f>
        <v>45833.49852</v>
      </c>
      <c r="M2653" s="13"/>
      <c r="N2653" s="13" t="str">
        <f>IFERROR(__xludf.DUMMYFUNCTION("""COMPUTED_VALUE"""),"")</f>
        <v/>
      </c>
      <c r="O2653" s="13" t="str">
        <f t="shared" si="1"/>
        <v/>
      </c>
    </row>
    <row r="2654" ht="22.5" customHeight="1">
      <c r="B2654" s="13">
        <f>IFERROR(__xludf.DUMMYFUNCTION("""COMPUTED_VALUE"""),2649.0)</f>
        <v>2649</v>
      </c>
      <c r="C2654" s="13" t="str">
        <f>IFERROR(__xludf.DUMMYFUNCTION("""COMPUTED_VALUE"""),"M.3014/TANJUNG SENENG")</f>
        <v>M.3014/TANJUNG SENENG</v>
      </c>
      <c r="D2654" s="13" t="str">
        <f>IFERROR(__xludf.DUMMYFUNCTION("""COMPUTED_VALUE"""),"K/37/050625/2")</f>
        <v>K/37/050625/2</v>
      </c>
      <c r="E2654" s="14" t="str">
        <f>IFERROR(__xludf.DUMMYFUNCTION("""COMPUTED_VALUE"""),"Heri (BT)")</f>
        <v>Heri (BT)</v>
      </c>
      <c r="F2654" s="14" t="str">
        <f>IFERROR(__xludf.DUMMYFUNCTION("""COMPUTED_VALUE"""),"SELESAI (VIA PERMOHONAN)")</f>
        <v>SELESAI (VIA PERMOHONAN)</v>
      </c>
      <c r="G2654" s="17">
        <f>IFERROR(__xludf.DUMMYFUNCTION("""COMPUTED_VALUE"""),45832.600756493055)</f>
        <v>45832.60076</v>
      </c>
      <c r="H2654" s="14" t="str">
        <f>IFERROR(__xludf.DUMMYFUNCTION("""COMPUTED_VALUE"""),"Eci (SU)")</f>
        <v>Eci (SU)</v>
      </c>
      <c r="I2654" s="13" t="str">
        <f>IFERROR(__xludf.DUMMYFUNCTION("""COMPUTED_VALUE"""),"SELESAI (VIA PERMOHONAN)")</f>
        <v>SELESAI (VIA PERMOHONAN)</v>
      </c>
      <c r="J2654" s="17">
        <f>IFERROR(__xludf.DUMMYFUNCTION("""COMPUTED_VALUE"""),45833.49838746528)</f>
        <v>45833.49839</v>
      </c>
      <c r="K2654" s="13" t="str">
        <f>IFERROR(__xludf.DUMMYFUNCTION("""COMPUTED_VALUE"""),"Selesai")</f>
        <v>Selesai</v>
      </c>
      <c r="L2654" s="17">
        <f>IFERROR(__xludf.DUMMYFUNCTION("""COMPUTED_VALUE"""),45833.49838746528)</f>
        <v>45833.49839</v>
      </c>
      <c r="M2654" s="13"/>
      <c r="N2654" s="13" t="str">
        <f>IFERROR(__xludf.DUMMYFUNCTION("""COMPUTED_VALUE"""),"")</f>
        <v/>
      </c>
      <c r="O2654" s="13" t="str">
        <f t="shared" si="1"/>
        <v/>
      </c>
    </row>
    <row r="2655" ht="22.5" customHeight="1">
      <c r="B2655" s="13">
        <f>IFERROR(__xludf.DUMMYFUNCTION("""COMPUTED_VALUE"""),2650.0)</f>
        <v>2650</v>
      </c>
      <c r="C2655" s="13" t="str">
        <f>IFERROR(__xludf.DUMMYFUNCTION("""COMPUTED_VALUE"""),"M.1672/BAKUNG")</f>
        <v>M.1672/BAKUNG</v>
      </c>
      <c r="D2655" s="13" t="str">
        <f>IFERROR(__xludf.DUMMYFUNCTION("""COMPUTED_VALUE"""),"K/26/040625/1")</f>
        <v>K/26/040625/1</v>
      </c>
      <c r="E2655" s="14" t="str">
        <f>IFERROR(__xludf.DUMMYFUNCTION("""COMPUTED_VALUE"""),"Heri (BT)")</f>
        <v>Heri (BT)</v>
      </c>
      <c r="F2655" s="14" t="str">
        <f>IFERROR(__xludf.DUMMYFUNCTION("""COMPUTED_VALUE"""),"SELESAI (VIA PERMOHONAN)")</f>
        <v>SELESAI (VIA PERMOHONAN)</v>
      </c>
      <c r="G2655" s="17">
        <f>IFERROR(__xludf.DUMMYFUNCTION("""COMPUTED_VALUE"""),45832.600970659725)</f>
        <v>45832.60097</v>
      </c>
      <c r="H2655" s="14" t="str">
        <f>IFERROR(__xludf.DUMMYFUNCTION("""COMPUTED_VALUE"""),"Eci (SU)")</f>
        <v>Eci (SU)</v>
      </c>
      <c r="I2655" s="13" t="str">
        <f>IFERROR(__xludf.DUMMYFUNCTION("""COMPUTED_VALUE"""),"SELESAI (VIA PERMOHONAN)")</f>
        <v>SELESAI (VIA PERMOHONAN)</v>
      </c>
      <c r="J2655" s="17">
        <f>IFERROR(__xludf.DUMMYFUNCTION("""COMPUTED_VALUE"""),45833.49829349537)</f>
        <v>45833.49829</v>
      </c>
      <c r="K2655" s="13" t="str">
        <f>IFERROR(__xludf.DUMMYFUNCTION("""COMPUTED_VALUE"""),"Selesai")</f>
        <v>Selesai</v>
      </c>
      <c r="L2655" s="17">
        <f>IFERROR(__xludf.DUMMYFUNCTION("""COMPUTED_VALUE"""),45833.49829349537)</f>
        <v>45833.49829</v>
      </c>
      <c r="M2655" s="13"/>
      <c r="N2655" s="13" t="str">
        <f>IFERROR(__xludf.DUMMYFUNCTION("""COMPUTED_VALUE"""),"")</f>
        <v/>
      </c>
      <c r="O2655" s="13" t="str">
        <f t="shared" si="1"/>
        <v/>
      </c>
    </row>
    <row r="2656" ht="22.5" customHeight="1">
      <c r="B2656" s="13">
        <f>IFERROR(__xludf.DUMMYFUNCTION("""COMPUTED_VALUE"""),2651.0)</f>
        <v>2651</v>
      </c>
      <c r="C2656" s="13" t="str">
        <f>IFERROR(__xludf.DUMMYFUNCTION("""COMPUTED_VALUE"""),"M. 1867/ Susunan Baru")</f>
        <v>M. 1867/ Susunan Baru</v>
      </c>
      <c r="D2656" s="13" t="str">
        <f>IFERROR(__xludf.DUMMYFUNCTION("""COMPUTED_VALUE"""),"K/2/190525/1")</f>
        <v>K/2/190525/1</v>
      </c>
      <c r="E2656" s="14" t="str">
        <f>IFERROR(__xludf.DUMMYFUNCTION("""COMPUTED_VALUE"""),"Heri (BT)")</f>
        <v>Heri (BT)</v>
      </c>
      <c r="F2656" s="14" t="str">
        <f>IFERROR(__xludf.DUMMYFUNCTION("""COMPUTED_VALUE"""),"SELESAI (VIA PERMOHONAN)")</f>
        <v>SELESAI (VIA PERMOHONAN)</v>
      </c>
      <c r="G2656" s="17">
        <f>IFERROR(__xludf.DUMMYFUNCTION("""COMPUTED_VALUE"""),45832.60112481481)</f>
        <v>45832.60112</v>
      </c>
      <c r="H2656" s="14" t="str">
        <f>IFERROR(__xludf.DUMMYFUNCTION("""COMPUTED_VALUE"""),"Eci (SU)")</f>
        <v>Eci (SU)</v>
      </c>
      <c r="I2656" s="13" t="str">
        <f>IFERROR(__xludf.DUMMYFUNCTION("""COMPUTED_VALUE"""),"SELESAI (VIA PERMOHONAN)")</f>
        <v>SELESAI (VIA PERMOHONAN)</v>
      </c>
      <c r="J2656" s="17">
        <f>IFERROR(__xludf.DUMMYFUNCTION("""COMPUTED_VALUE"""),45833.49819585648)</f>
        <v>45833.4982</v>
      </c>
      <c r="K2656" s="13" t="str">
        <f>IFERROR(__xludf.DUMMYFUNCTION("""COMPUTED_VALUE"""),"Selesai")</f>
        <v>Selesai</v>
      </c>
      <c r="L2656" s="17">
        <f>IFERROR(__xludf.DUMMYFUNCTION("""COMPUTED_VALUE"""),45833.49819585648)</f>
        <v>45833.4982</v>
      </c>
      <c r="M2656" s="13"/>
      <c r="N2656" s="13" t="str">
        <f>IFERROR(__xludf.DUMMYFUNCTION("""COMPUTED_VALUE"""),"")</f>
        <v/>
      </c>
      <c r="O2656" s="13" t="str">
        <f t="shared" si="1"/>
        <v/>
      </c>
    </row>
    <row r="2657" ht="22.5" customHeight="1">
      <c r="B2657" s="13">
        <f>IFERROR(__xludf.DUMMYFUNCTION("""COMPUTED_VALUE"""),2652.0)</f>
        <v>2652</v>
      </c>
      <c r="C2657" s="13" t="str">
        <f>IFERROR(__xludf.DUMMYFUNCTION("""COMPUTED_VALUE"""),"M. 11642/ Sukabumi")</f>
        <v>M. 11642/ Sukabumi</v>
      </c>
      <c r="D2657" s="13" t="str">
        <f>IFERROR(__xludf.DUMMYFUNCTION("""COMPUTED_VALUE"""),"K/5/190625/2")</f>
        <v>K/5/190625/2</v>
      </c>
      <c r="E2657" s="14" t="str">
        <f>IFERROR(__xludf.DUMMYFUNCTION("""COMPUTED_VALUE"""),"Heri (BT)")</f>
        <v>Heri (BT)</v>
      </c>
      <c r="F2657" s="14" t="str">
        <f>IFERROR(__xludf.DUMMYFUNCTION("""COMPUTED_VALUE"""),"SELESAI (VIA PERMOHONAN)")</f>
        <v>SELESAI (VIA PERMOHONAN)</v>
      </c>
      <c r="G2657" s="17">
        <f>IFERROR(__xludf.DUMMYFUNCTION("""COMPUTED_VALUE"""),45832.6012527662)</f>
        <v>45832.60125</v>
      </c>
      <c r="H2657" s="14" t="str">
        <f>IFERROR(__xludf.DUMMYFUNCTION("""COMPUTED_VALUE"""),"Eci (SU)")</f>
        <v>Eci (SU)</v>
      </c>
      <c r="I2657" s="13" t="str">
        <f>IFERROR(__xludf.DUMMYFUNCTION("""COMPUTED_VALUE"""),"SELESAI (VIA PERMOHONAN)")</f>
        <v>SELESAI (VIA PERMOHONAN)</v>
      </c>
      <c r="J2657" s="17">
        <f>IFERROR(__xludf.DUMMYFUNCTION("""COMPUTED_VALUE"""),45833.494547106486)</f>
        <v>45833.49455</v>
      </c>
      <c r="K2657" s="13" t="str">
        <f>IFERROR(__xludf.DUMMYFUNCTION("""COMPUTED_VALUE"""),"Selesai")</f>
        <v>Selesai</v>
      </c>
      <c r="L2657" s="17">
        <f>IFERROR(__xludf.DUMMYFUNCTION("""COMPUTED_VALUE"""),45833.494547106486)</f>
        <v>45833.49455</v>
      </c>
      <c r="M2657" s="13"/>
      <c r="N2657" s="13" t="str">
        <f>IFERROR(__xludf.DUMMYFUNCTION("""COMPUTED_VALUE"""),"")</f>
        <v/>
      </c>
      <c r="O2657" s="13" t="str">
        <f t="shared" si="1"/>
        <v/>
      </c>
    </row>
    <row r="2658" ht="22.5" customHeight="1">
      <c r="B2658" s="13">
        <f>IFERROR(__xludf.DUMMYFUNCTION("""COMPUTED_VALUE"""),2653.0)</f>
        <v>2653</v>
      </c>
      <c r="C2658" s="13" t="str">
        <f>IFERROR(__xludf.DUMMYFUNCTION("""COMPUTED_VALUE"""),"M. 13, 14/ Way Dadi")</f>
        <v>M. 13, 14/ Way Dadi</v>
      </c>
      <c r="D2658" s="13" t="str">
        <f>IFERROR(__xludf.DUMMYFUNCTION("""COMPUTED_VALUE"""),"K/43/130625/1")</f>
        <v>K/43/130625/1</v>
      </c>
      <c r="E2658" s="14" t="str">
        <f>IFERROR(__xludf.DUMMYFUNCTION("""COMPUTED_VALUE"""),"Heri (BT)")</f>
        <v>Heri (BT)</v>
      </c>
      <c r="F2658" s="14" t="str">
        <f>IFERROR(__xludf.DUMMYFUNCTION("""COMPUTED_VALUE"""),"SELESAI (VIA PERMOHONAN)")</f>
        <v>SELESAI (VIA PERMOHONAN)</v>
      </c>
      <c r="G2658" s="17">
        <f>IFERROR(__xludf.DUMMYFUNCTION("""COMPUTED_VALUE"""),45832.601645937495)</f>
        <v>45832.60165</v>
      </c>
      <c r="H2658" s="14" t="str">
        <f>IFERROR(__xludf.DUMMYFUNCTION("""COMPUTED_VALUE"""),"Eci (SU)")</f>
        <v>Eci (SU)</v>
      </c>
      <c r="I2658" s="13" t="str">
        <f>IFERROR(__xludf.DUMMYFUNCTION("""COMPUTED_VALUE"""),"SELESAI (VIA PERMOHONAN)")</f>
        <v>SELESAI (VIA PERMOHONAN)</v>
      </c>
      <c r="J2658" s="17">
        <f>IFERROR(__xludf.DUMMYFUNCTION("""COMPUTED_VALUE"""),45833.49479243056)</f>
        <v>45833.49479</v>
      </c>
      <c r="K2658" s="13" t="str">
        <f>IFERROR(__xludf.DUMMYFUNCTION("""COMPUTED_VALUE"""),"Selesai")</f>
        <v>Selesai</v>
      </c>
      <c r="L2658" s="17">
        <f>IFERROR(__xludf.DUMMYFUNCTION("""COMPUTED_VALUE"""),45833.49479243056)</f>
        <v>45833.49479</v>
      </c>
      <c r="M2658" s="13"/>
      <c r="N2658" s="13" t="str">
        <f>IFERROR(__xludf.DUMMYFUNCTION("""COMPUTED_VALUE"""),"")</f>
        <v/>
      </c>
      <c r="O2658" s="13" t="str">
        <f t="shared" si="1"/>
        <v/>
      </c>
    </row>
    <row r="2659" ht="22.5" customHeight="1">
      <c r="B2659" s="13">
        <f>IFERROR(__xludf.DUMMYFUNCTION("""COMPUTED_VALUE"""),2654.0)</f>
        <v>2654</v>
      </c>
      <c r="C2659" s="13" t="str">
        <f>IFERROR(__xludf.DUMMYFUNCTION("""COMPUTED_VALUE"""),"M. 125/ Gedong Meneng BAru")</f>
        <v>M. 125/ Gedong Meneng BAru</v>
      </c>
      <c r="D2659" s="13" t="str">
        <f>IFERROR(__xludf.DUMMYFUNCTION("""COMPUTED_VALUE"""),"K/23/050625/1")</f>
        <v>K/23/050625/1</v>
      </c>
      <c r="E2659" s="14" t="str">
        <f>IFERROR(__xludf.DUMMYFUNCTION("""COMPUTED_VALUE"""),"Heri (BT)")</f>
        <v>Heri (BT)</v>
      </c>
      <c r="F2659" s="14" t="str">
        <f>IFERROR(__xludf.DUMMYFUNCTION("""COMPUTED_VALUE"""),"SELESAI (VIA PERMOHONAN)")</f>
        <v>SELESAI (VIA PERMOHONAN)</v>
      </c>
      <c r="G2659" s="17">
        <f>IFERROR(__xludf.DUMMYFUNCTION("""COMPUTED_VALUE"""),45832.601886585646)</f>
        <v>45832.60189</v>
      </c>
      <c r="H2659" s="14" t="str">
        <f>IFERROR(__xludf.DUMMYFUNCTION("""COMPUTED_VALUE"""),"Eci (SU)")</f>
        <v>Eci (SU)</v>
      </c>
      <c r="I2659" s="13" t="str">
        <f>IFERROR(__xludf.DUMMYFUNCTION("""COMPUTED_VALUE"""),"SELESAI (VIA PERMOHONAN)")</f>
        <v>SELESAI (VIA PERMOHONAN)</v>
      </c>
      <c r="J2659" s="17">
        <f>IFERROR(__xludf.DUMMYFUNCTION("""COMPUTED_VALUE"""),45833.49499355324)</f>
        <v>45833.49499</v>
      </c>
      <c r="K2659" s="13" t="str">
        <f>IFERROR(__xludf.DUMMYFUNCTION("""COMPUTED_VALUE"""),"Selesai")</f>
        <v>Selesai</v>
      </c>
      <c r="L2659" s="17">
        <f>IFERROR(__xludf.DUMMYFUNCTION("""COMPUTED_VALUE"""),45833.49499355324)</f>
        <v>45833.49499</v>
      </c>
      <c r="M2659" s="13"/>
      <c r="N2659" s="13" t="str">
        <f>IFERROR(__xludf.DUMMYFUNCTION("""COMPUTED_VALUE"""),"")</f>
        <v/>
      </c>
      <c r="O2659" s="13" t="str">
        <f t="shared" si="1"/>
        <v/>
      </c>
    </row>
    <row r="2660" ht="22.5" customHeight="1">
      <c r="B2660" s="13">
        <f>IFERROR(__xludf.DUMMYFUNCTION("""COMPUTED_VALUE"""),2655.0)</f>
        <v>2655</v>
      </c>
      <c r="C2660" s="13" t="str">
        <f>IFERROR(__xludf.DUMMYFUNCTION("""COMPUTED_VALUE"""),"B.3183/BERINGIN RAYA")</f>
        <v>B.3183/BERINGIN RAYA</v>
      </c>
      <c r="D2660" s="13" t="str">
        <f>IFERROR(__xludf.DUMMYFUNCTION("""COMPUTED_VALUE"""),"K/2/190625/2")</f>
        <v>K/2/190625/2</v>
      </c>
      <c r="E2660" s="14" t="str">
        <f>IFERROR(__xludf.DUMMYFUNCTION("""COMPUTED_VALUE"""),"Heri (BT)")</f>
        <v>Heri (BT)</v>
      </c>
      <c r="F2660" s="14" t="str">
        <f>IFERROR(__xludf.DUMMYFUNCTION("""COMPUTED_VALUE"""),"SELESAI (VIA PERMOHONAN)")</f>
        <v>SELESAI (VIA PERMOHONAN)</v>
      </c>
      <c r="G2660" s="17">
        <f>IFERROR(__xludf.DUMMYFUNCTION("""COMPUTED_VALUE"""),45832.60203197917)</f>
        <v>45832.60203</v>
      </c>
      <c r="H2660" s="14" t="str">
        <f>IFERROR(__xludf.DUMMYFUNCTION("""COMPUTED_VALUE"""),"Eci (SU)")</f>
        <v>Eci (SU)</v>
      </c>
      <c r="I2660" s="13" t="str">
        <f>IFERROR(__xludf.DUMMYFUNCTION("""COMPUTED_VALUE"""),"SELESAI (VIA PERMOHONAN)")</f>
        <v>SELESAI (VIA PERMOHONAN)</v>
      </c>
      <c r="J2660" s="17">
        <f>IFERROR(__xludf.DUMMYFUNCTION("""COMPUTED_VALUE"""),45833.49800215277)</f>
        <v>45833.498</v>
      </c>
      <c r="K2660" s="13" t="str">
        <f>IFERROR(__xludf.DUMMYFUNCTION("""COMPUTED_VALUE"""),"Selesai")</f>
        <v>Selesai</v>
      </c>
      <c r="L2660" s="17">
        <f>IFERROR(__xludf.DUMMYFUNCTION("""COMPUTED_VALUE"""),45833.49800215277)</f>
        <v>45833.498</v>
      </c>
      <c r="M2660" s="13"/>
      <c r="N2660" s="13" t="str">
        <f>IFERROR(__xludf.DUMMYFUNCTION("""COMPUTED_VALUE"""),"")</f>
        <v/>
      </c>
      <c r="O2660" s="13" t="str">
        <f t="shared" si="1"/>
        <v/>
      </c>
    </row>
    <row r="2661" ht="22.5" customHeight="1">
      <c r="B2661" s="13">
        <f>IFERROR(__xludf.DUMMYFUNCTION("""COMPUTED_VALUE"""),2656.0)</f>
        <v>2656</v>
      </c>
      <c r="C2661" s="13" t="str">
        <f>IFERROR(__xludf.DUMMYFUNCTION("""COMPUTED_VALUE"""),"M.14795/SUKABUMI")</f>
        <v>M.14795/SUKABUMI</v>
      </c>
      <c r="D2661" s="13" t="str">
        <f>IFERROR(__xludf.DUMMYFUNCTION("""COMPUTED_VALUE"""),"K/22/030625/1")</f>
        <v>K/22/030625/1</v>
      </c>
      <c r="E2661" s="14" t="str">
        <f>IFERROR(__xludf.DUMMYFUNCTION("""COMPUTED_VALUE"""),"Heri (BT)")</f>
        <v>Heri (BT)</v>
      </c>
      <c r="F2661" s="14" t="str">
        <f>IFERROR(__xludf.DUMMYFUNCTION("""COMPUTED_VALUE"""),"SELESAI (VIA PERMOHONAN)")</f>
        <v>SELESAI (VIA PERMOHONAN)</v>
      </c>
      <c r="G2661" s="17">
        <f>IFERROR(__xludf.DUMMYFUNCTION("""COMPUTED_VALUE"""),45832.60216623843)</f>
        <v>45832.60217</v>
      </c>
      <c r="H2661" s="14" t="str">
        <f>IFERROR(__xludf.DUMMYFUNCTION("""COMPUTED_VALUE"""),"Eci (SU)")</f>
        <v>Eci (SU)</v>
      </c>
      <c r="I2661" s="13" t="str">
        <f>IFERROR(__xludf.DUMMYFUNCTION("""COMPUTED_VALUE"""),"SELESAI (VIA PERMOHONAN)")</f>
        <v>SELESAI (VIA PERMOHONAN)</v>
      </c>
      <c r="J2661" s="17">
        <f>IFERROR(__xludf.DUMMYFUNCTION("""COMPUTED_VALUE"""),45833.49788019676)</f>
        <v>45833.49788</v>
      </c>
      <c r="K2661" s="13" t="str">
        <f>IFERROR(__xludf.DUMMYFUNCTION("""COMPUTED_VALUE"""),"Selesai")</f>
        <v>Selesai</v>
      </c>
      <c r="L2661" s="17">
        <f>IFERROR(__xludf.DUMMYFUNCTION("""COMPUTED_VALUE"""),45833.49788019676)</f>
        <v>45833.49788</v>
      </c>
      <c r="M2661" s="13"/>
      <c r="N2661" s="13" t="str">
        <f>IFERROR(__xludf.DUMMYFUNCTION("""COMPUTED_VALUE"""),"")</f>
        <v/>
      </c>
      <c r="O2661" s="13" t="str">
        <f t="shared" si="1"/>
        <v/>
      </c>
    </row>
    <row r="2662" ht="22.5" customHeight="1">
      <c r="B2662" s="13">
        <f>IFERROR(__xludf.DUMMYFUNCTION("""COMPUTED_VALUE"""),2657.0)</f>
        <v>2657</v>
      </c>
      <c r="C2662" s="13" t="str">
        <f>IFERROR(__xludf.DUMMYFUNCTION("""COMPUTED_VALUE"""),"M.1170/BUMI WARAS")</f>
        <v>M.1170/BUMI WARAS</v>
      </c>
      <c r="D2662" s="13" t="str">
        <f>IFERROR(__xludf.DUMMYFUNCTION("""COMPUTED_VALUE"""),"K/28/170625/1")</f>
        <v>K/28/170625/1</v>
      </c>
      <c r="E2662" s="14" t="str">
        <f>IFERROR(__xludf.DUMMYFUNCTION("""COMPUTED_VALUE"""),"Heri (BT)")</f>
        <v>Heri (BT)</v>
      </c>
      <c r="F2662" s="14" t="str">
        <f>IFERROR(__xludf.DUMMYFUNCTION("""COMPUTED_VALUE"""),"SELESAI (VIA PERMOHONAN)")</f>
        <v>SELESAI (VIA PERMOHONAN)</v>
      </c>
      <c r="G2662" s="17">
        <f>IFERROR(__xludf.DUMMYFUNCTION("""COMPUTED_VALUE"""),45832.60234391203)</f>
        <v>45832.60234</v>
      </c>
      <c r="H2662" s="14" t="str">
        <f>IFERROR(__xludf.DUMMYFUNCTION("""COMPUTED_VALUE"""),"Eci (SU)")</f>
        <v>Eci (SU)</v>
      </c>
      <c r="I2662" s="13" t="str">
        <f>IFERROR(__xludf.DUMMYFUNCTION("""COMPUTED_VALUE"""),"SELESAI (VIA PERMOHONAN)")</f>
        <v>SELESAI (VIA PERMOHONAN)</v>
      </c>
      <c r="J2662" s="17">
        <f>IFERROR(__xludf.DUMMYFUNCTION("""COMPUTED_VALUE"""),45833.49573096065)</f>
        <v>45833.49573</v>
      </c>
      <c r="K2662" s="13" t="str">
        <f>IFERROR(__xludf.DUMMYFUNCTION("""COMPUTED_VALUE"""),"Selesai")</f>
        <v>Selesai</v>
      </c>
      <c r="L2662" s="17">
        <f>IFERROR(__xludf.DUMMYFUNCTION("""COMPUTED_VALUE"""),45833.49573096065)</f>
        <v>45833.49573</v>
      </c>
      <c r="M2662" s="13"/>
      <c r="N2662" s="13" t="str">
        <f>IFERROR(__xludf.DUMMYFUNCTION("""COMPUTED_VALUE"""),"")</f>
        <v/>
      </c>
      <c r="O2662" s="13" t="str">
        <f t="shared" si="1"/>
        <v/>
      </c>
    </row>
    <row r="2663" ht="22.5" customHeight="1">
      <c r="B2663" s="13">
        <f>IFERROR(__xludf.DUMMYFUNCTION("""COMPUTED_VALUE"""),2658.0)</f>
        <v>2658</v>
      </c>
      <c r="C2663" s="13" t="str">
        <f>IFERROR(__xludf.DUMMYFUNCTION("""COMPUTED_VALUE"""),"M. 9846/KEDAMAIAN")</f>
        <v>M. 9846/KEDAMAIAN</v>
      </c>
      <c r="D2663" s="13" t="str">
        <f>IFERROR(__xludf.DUMMYFUNCTION("""COMPUTED_VALUE"""),"K/11/220525/1")</f>
        <v>K/11/220525/1</v>
      </c>
      <c r="E2663" s="14" t="str">
        <f>IFERROR(__xludf.DUMMYFUNCTION("""COMPUTED_VALUE"""),"Heri (BT)")</f>
        <v>Heri (BT)</v>
      </c>
      <c r="F2663" s="14" t="str">
        <f>IFERROR(__xludf.DUMMYFUNCTION("""COMPUTED_VALUE"""),"SELESAI (VIA PERMOHONAN)")</f>
        <v>SELESAI (VIA PERMOHONAN)</v>
      </c>
      <c r="G2663" s="17">
        <f>IFERROR(__xludf.DUMMYFUNCTION("""COMPUTED_VALUE"""),45832.60273599537)</f>
        <v>45832.60274</v>
      </c>
      <c r="H2663" s="14" t="str">
        <f>IFERROR(__xludf.DUMMYFUNCTION("""COMPUTED_VALUE"""),"Eci (SU)")</f>
        <v>Eci (SU)</v>
      </c>
      <c r="I2663" s="13" t="str">
        <f>IFERROR(__xludf.DUMMYFUNCTION("""COMPUTED_VALUE"""),"SELESAI (VIA PERMOHONAN)")</f>
        <v>SELESAI (VIA PERMOHONAN)</v>
      </c>
      <c r="J2663" s="17">
        <f>IFERROR(__xludf.DUMMYFUNCTION("""COMPUTED_VALUE"""),45833.49775545139)</f>
        <v>45833.49776</v>
      </c>
      <c r="K2663" s="13" t="str">
        <f>IFERROR(__xludf.DUMMYFUNCTION("""COMPUTED_VALUE"""),"Selesai")</f>
        <v>Selesai</v>
      </c>
      <c r="L2663" s="17">
        <f>IFERROR(__xludf.DUMMYFUNCTION("""COMPUTED_VALUE"""),45833.49775545139)</f>
        <v>45833.49776</v>
      </c>
      <c r="M2663" s="13"/>
      <c r="N2663" s="13" t="str">
        <f>IFERROR(__xludf.DUMMYFUNCTION("""COMPUTED_VALUE"""),"")</f>
        <v/>
      </c>
      <c r="O2663" s="13" t="str">
        <f t="shared" si="1"/>
        <v/>
      </c>
    </row>
    <row r="2664" ht="22.5" customHeight="1">
      <c r="B2664" s="13">
        <f>IFERROR(__xludf.DUMMYFUNCTION("""COMPUTED_VALUE"""),2659.0)</f>
        <v>2659</v>
      </c>
      <c r="C2664" s="13" t="str">
        <f>IFERROR(__xludf.DUMMYFUNCTION("""COMPUTED_VALUE"""),"B.626/SUMBER AGUNG")</f>
        <v>B.626/SUMBER AGUNG</v>
      </c>
      <c r="D2664" s="13" t="str">
        <f>IFERROR(__xludf.DUMMYFUNCTION("""COMPUTED_VALUE"""),"K/53/050625/3")</f>
        <v>K/53/050625/3</v>
      </c>
      <c r="E2664" s="14" t="str">
        <f>IFERROR(__xludf.DUMMYFUNCTION("""COMPUTED_VALUE"""),"Heri (BT)")</f>
        <v>Heri (BT)</v>
      </c>
      <c r="F2664" s="14" t="str">
        <f>IFERROR(__xludf.DUMMYFUNCTION("""COMPUTED_VALUE"""),"SELESAI (VIA PERMOHONAN)")</f>
        <v>SELESAI (VIA PERMOHONAN)</v>
      </c>
      <c r="G2664" s="17">
        <f>IFERROR(__xludf.DUMMYFUNCTION("""COMPUTED_VALUE"""),45832.60293282407)</f>
        <v>45832.60293</v>
      </c>
      <c r="H2664" s="14" t="str">
        <f>IFERROR(__xludf.DUMMYFUNCTION("""COMPUTED_VALUE"""),"Eci (SU)")</f>
        <v>Eci (SU)</v>
      </c>
      <c r="I2664" s="13" t="str">
        <f>IFERROR(__xludf.DUMMYFUNCTION("""COMPUTED_VALUE"""),"SELESAI (VIA PERMOHONAN)")</f>
        <v>SELESAI (VIA PERMOHONAN)</v>
      </c>
      <c r="J2664" s="17">
        <f>IFERROR(__xludf.DUMMYFUNCTION("""COMPUTED_VALUE"""),45833.49765609954)</f>
        <v>45833.49766</v>
      </c>
      <c r="K2664" s="13" t="str">
        <f>IFERROR(__xludf.DUMMYFUNCTION("""COMPUTED_VALUE"""),"Selesai")</f>
        <v>Selesai</v>
      </c>
      <c r="L2664" s="17">
        <f>IFERROR(__xludf.DUMMYFUNCTION("""COMPUTED_VALUE"""),45833.49765609954)</f>
        <v>45833.49766</v>
      </c>
      <c r="M2664" s="13"/>
      <c r="N2664" s="13" t="str">
        <f>IFERROR(__xludf.DUMMYFUNCTION("""COMPUTED_VALUE"""),"")</f>
        <v/>
      </c>
      <c r="O2664" s="13" t="str">
        <f t="shared" si="1"/>
        <v/>
      </c>
    </row>
    <row r="2665" ht="22.5" customHeight="1">
      <c r="B2665" s="13">
        <f>IFERROR(__xludf.DUMMYFUNCTION("""COMPUTED_VALUE"""),2660.0)</f>
        <v>2660</v>
      </c>
      <c r="C2665" s="13" t="str">
        <f>IFERROR(__xludf.DUMMYFUNCTION("""COMPUTED_VALUE"""),"B. 610/SUMBER AGUNG")</f>
        <v>B. 610/SUMBER AGUNG</v>
      </c>
      <c r="D2665" s="13" t="str">
        <f>IFERROR(__xludf.DUMMYFUNCTION("""COMPUTED_VALUE"""),"K/51/050625/1")</f>
        <v>K/51/050625/1</v>
      </c>
      <c r="E2665" s="14" t="str">
        <f>IFERROR(__xludf.DUMMYFUNCTION("""COMPUTED_VALUE"""),"Heri (BT)")</f>
        <v>Heri (BT)</v>
      </c>
      <c r="F2665" s="14" t="str">
        <f>IFERROR(__xludf.DUMMYFUNCTION("""COMPUTED_VALUE"""),"SELESAI (VIA PERMOHONAN)")</f>
        <v>SELESAI (VIA PERMOHONAN)</v>
      </c>
      <c r="G2665" s="17">
        <f>IFERROR(__xludf.DUMMYFUNCTION("""COMPUTED_VALUE"""),45832.60306491898)</f>
        <v>45832.60306</v>
      </c>
      <c r="H2665" s="14" t="str">
        <f>IFERROR(__xludf.DUMMYFUNCTION("""COMPUTED_VALUE"""),"Eci (SU)")</f>
        <v>Eci (SU)</v>
      </c>
      <c r="I2665" s="13" t="str">
        <f>IFERROR(__xludf.DUMMYFUNCTION("""COMPUTED_VALUE"""),"SELESAI (VIA PERMOHONAN)")</f>
        <v>SELESAI (VIA PERMOHONAN)</v>
      </c>
      <c r="J2665" s="17">
        <f>IFERROR(__xludf.DUMMYFUNCTION("""COMPUTED_VALUE"""),45833.497539386575)</f>
        <v>45833.49754</v>
      </c>
      <c r="K2665" s="13" t="str">
        <f>IFERROR(__xludf.DUMMYFUNCTION("""COMPUTED_VALUE"""),"Selesai")</f>
        <v>Selesai</v>
      </c>
      <c r="L2665" s="17">
        <f>IFERROR(__xludf.DUMMYFUNCTION("""COMPUTED_VALUE"""),45833.497539386575)</f>
        <v>45833.49754</v>
      </c>
      <c r="M2665" s="13"/>
      <c r="N2665" s="13" t="str">
        <f>IFERROR(__xludf.DUMMYFUNCTION("""COMPUTED_VALUE"""),"")</f>
        <v/>
      </c>
      <c r="O2665" s="13" t="str">
        <f t="shared" si="1"/>
        <v/>
      </c>
    </row>
    <row r="2666" ht="22.5" customHeight="1">
      <c r="B2666" s="13">
        <f>IFERROR(__xludf.DUMMYFUNCTION("""COMPUTED_VALUE"""),2661.0)</f>
        <v>2661</v>
      </c>
      <c r="C2666" s="13" t="str">
        <f>IFERROR(__xludf.DUMMYFUNCTION("""COMPUTED_VALUE"""),"M. 48/TANJUNG RAYA")</f>
        <v>M. 48/TANJUNG RAYA</v>
      </c>
      <c r="D2666" s="13" t="str">
        <f>IFERROR(__xludf.DUMMYFUNCTION("""COMPUTED_VALUE"""),"K/6/170625/1")</f>
        <v>K/6/170625/1</v>
      </c>
      <c r="E2666" s="14" t="str">
        <f>IFERROR(__xludf.DUMMYFUNCTION("""COMPUTED_VALUE"""),"Heri (BT)")</f>
        <v>Heri (BT)</v>
      </c>
      <c r="F2666" s="14" t="str">
        <f>IFERROR(__xludf.DUMMYFUNCTION("""COMPUTED_VALUE"""),"SELESAI (VIA PERMOHONAN)")</f>
        <v>SELESAI (VIA PERMOHONAN)</v>
      </c>
      <c r="G2666" s="17">
        <f>IFERROR(__xludf.DUMMYFUNCTION("""COMPUTED_VALUE"""),45832.603216585645)</f>
        <v>45832.60322</v>
      </c>
      <c r="H2666" s="14" t="str">
        <f>IFERROR(__xludf.DUMMYFUNCTION("""COMPUTED_VALUE"""),"Eci (SU)")</f>
        <v>Eci (SU)</v>
      </c>
      <c r="I2666" s="13" t="str">
        <f>IFERROR(__xludf.DUMMYFUNCTION("""COMPUTED_VALUE"""),"SELESAI (VIA PERMOHONAN)")</f>
        <v>SELESAI (VIA PERMOHONAN)</v>
      </c>
      <c r="J2666" s="17">
        <f>IFERROR(__xludf.DUMMYFUNCTION("""COMPUTED_VALUE"""),45833.497422175926)</f>
        <v>45833.49742</v>
      </c>
      <c r="K2666" s="13" t="str">
        <f>IFERROR(__xludf.DUMMYFUNCTION("""COMPUTED_VALUE"""),"Selesai")</f>
        <v>Selesai</v>
      </c>
      <c r="L2666" s="17">
        <f>IFERROR(__xludf.DUMMYFUNCTION("""COMPUTED_VALUE"""),45833.497422175926)</f>
        <v>45833.49742</v>
      </c>
      <c r="M2666" s="13"/>
      <c r="N2666" s="13" t="str">
        <f>IFERROR(__xludf.DUMMYFUNCTION("""COMPUTED_VALUE"""),"")</f>
        <v/>
      </c>
      <c r="O2666" s="13" t="str">
        <f t="shared" si="1"/>
        <v/>
      </c>
    </row>
    <row r="2667" ht="22.5" customHeight="1">
      <c r="B2667" s="13">
        <f>IFERROR(__xludf.DUMMYFUNCTION("""COMPUTED_VALUE"""),2662.0)</f>
        <v>2662</v>
      </c>
      <c r="C2667" s="13" t="str">
        <f>IFERROR(__xludf.DUMMYFUNCTION("""COMPUTED_VALUE"""),"M. 2392/ Campang Jaya")</f>
        <v>M. 2392/ Campang Jaya</v>
      </c>
      <c r="D2667" s="13" t="str">
        <f>IFERROR(__xludf.DUMMYFUNCTION("""COMPUTED_VALUE"""),"K/32/180625/2")</f>
        <v>K/32/180625/2</v>
      </c>
      <c r="E2667" s="14" t="str">
        <f>IFERROR(__xludf.DUMMYFUNCTION("""COMPUTED_VALUE"""),"Heri (BT)")</f>
        <v>Heri (BT)</v>
      </c>
      <c r="F2667" s="14" t="str">
        <f>IFERROR(__xludf.DUMMYFUNCTION("""COMPUTED_VALUE"""),"SELESAI (VIA PERMOHONAN)")</f>
        <v>SELESAI (VIA PERMOHONAN)</v>
      </c>
      <c r="G2667" s="17">
        <f>IFERROR(__xludf.DUMMYFUNCTION("""COMPUTED_VALUE"""),45832.6036999537)</f>
        <v>45832.6037</v>
      </c>
      <c r="H2667" s="14" t="str">
        <f>IFERROR(__xludf.DUMMYFUNCTION("""COMPUTED_VALUE"""),"Eci (SU)")</f>
        <v>Eci (SU)</v>
      </c>
      <c r="I2667" s="13" t="str">
        <f>IFERROR(__xludf.DUMMYFUNCTION("""COMPUTED_VALUE"""),"SELESAI (VIA PERMOHONAN)")</f>
        <v>SELESAI (VIA PERMOHONAN)</v>
      </c>
      <c r="J2667" s="17">
        <f>IFERROR(__xludf.DUMMYFUNCTION("""COMPUTED_VALUE"""),45833.497315243054)</f>
        <v>45833.49732</v>
      </c>
      <c r="K2667" s="13" t="str">
        <f>IFERROR(__xludf.DUMMYFUNCTION("""COMPUTED_VALUE"""),"Selesai")</f>
        <v>Selesai</v>
      </c>
      <c r="L2667" s="17">
        <f>IFERROR(__xludf.DUMMYFUNCTION("""COMPUTED_VALUE"""),45833.497315243054)</f>
        <v>45833.49732</v>
      </c>
      <c r="M2667" s="13"/>
      <c r="N2667" s="13" t="str">
        <f>IFERROR(__xludf.DUMMYFUNCTION("""COMPUTED_VALUE"""),"")</f>
        <v/>
      </c>
      <c r="O2667" s="13" t="str">
        <f t="shared" si="1"/>
        <v/>
      </c>
    </row>
    <row r="2668" ht="22.5" customHeight="1">
      <c r="B2668" s="13">
        <f>IFERROR(__xludf.DUMMYFUNCTION("""COMPUTED_VALUE"""),2663.0)</f>
        <v>2663</v>
      </c>
      <c r="C2668" s="13" t="str">
        <f>IFERROR(__xludf.DUMMYFUNCTION("""COMPUTED_VALUE"""),"HM 2683/KEMILING PERMAI")</f>
        <v>HM 2683/KEMILING PERMAI</v>
      </c>
      <c r="D2668" s="13" t="str">
        <f>IFERROR(__xludf.DUMMYFUNCTION("""COMPUTED_VALUE"""),"L/37/160635/1")</f>
        <v>L/37/160635/1</v>
      </c>
      <c r="E2668" s="14" t="str">
        <f>IFERROR(__xludf.DUMMYFUNCTION("""COMPUTED_VALUE"""),"Heri (BT)")</f>
        <v>Heri (BT)</v>
      </c>
      <c r="F2668" s="14" t="str">
        <f>IFERROR(__xludf.DUMMYFUNCTION("""COMPUTED_VALUE"""),"SELESAI (VIA PERMOHONAN)")</f>
        <v>SELESAI (VIA PERMOHONAN)</v>
      </c>
      <c r="G2668" s="17">
        <f>IFERROR(__xludf.DUMMYFUNCTION("""COMPUTED_VALUE"""),45832.60564650463)</f>
        <v>45832.60565</v>
      </c>
      <c r="H2668" s="14" t="str">
        <f>IFERROR(__xludf.DUMMYFUNCTION("""COMPUTED_VALUE"""),"Eci (SU)")</f>
        <v>Eci (SU)</v>
      </c>
      <c r="I2668" s="13" t="str">
        <f>IFERROR(__xludf.DUMMYFUNCTION("""COMPUTED_VALUE"""),"SELESAI (VIA PERMOHONAN)")</f>
        <v>SELESAI (VIA PERMOHONAN)</v>
      </c>
      <c r="J2668" s="17">
        <f>IFERROR(__xludf.DUMMYFUNCTION("""COMPUTED_VALUE"""),45833.49719512732)</f>
        <v>45833.4972</v>
      </c>
      <c r="K2668" s="13" t="str">
        <f>IFERROR(__xludf.DUMMYFUNCTION("""COMPUTED_VALUE"""),"Selesai")</f>
        <v>Selesai</v>
      </c>
      <c r="L2668" s="17">
        <f>IFERROR(__xludf.DUMMYFUNCTION("""COMPUTED_VALUE"""),45833.49719512732)</f>
        <v>45833.4972</v>
      </c>
      <c r="M2668" s="13"/>
      <c r="N2668" s="13" t="str">
        <f>IFERROR(__xludf.DUMMYFUNCTION("""COMPUTED_VALUE"""),"")</f>
        <v/>
      </c>
      <c r="O2668" s="13" t="str">
        <f t="shared" si="1"/>
        <v/>
      </c>
    </row>
    <row r="2669" ht="22.5" customHeight="1">
      <c r="B2669" s="13">
        <f>IFERROR(__xludf.DUMMYFUNCTION("""COMPUTED_VALUE"""),2664.0)</f>
        <v>2664</v>
      </c>
      <c r="C2669" s="13" t="str">
        <f>IFERROR(__xludf.DUMMYFUNCTION("""COMPUTED_VALUE"""),"M. 1320/BAKUNG")</f>
        <v>M. 1320/BAKUNG</v>
      </c>
      <c r="D2669" s="13" t="str">
        <f>IFERROR(__xludf.DUMMYFUNCTION("""COMPUTED_VALUE"""),"L/1/210625/PELATARAN")</f>
        <v>L/1/210625/PELATARAN</v>
      </c>
      <c r="E2669" s="14" t="str">
        <f>IFERROR(__xludf.DUMMYFUNCTION("""COMPUTED_VALUE"""),"Heri (BT)")</f>
        <v>Heri (BT)</v>
      </c>
      <c r="F2669" s="14" t="str">
        <f>IFERROR(__xludf.DUMMYFUNCTION("""COMPUTED_VALUE"""),"SELESAI (VIA PERMOHONAN)")</f>
        <v>SELESAI (VIA PERMOHONAN)</v>
      </c>
      <c r="G2669" s="17">
        <f>IFERROR(__xludf.DUMMYFUNCTION("""COMPUTED_VALUE"""),45832.60571481481)</f>
        <v>45832.60571</v>
      </c>
      <c r="H2669" s="14" t="str">
        <f>IFERROR(__xludf.DUMMYFUNCTION("""COMPUTED_VALUE"""),"Eci (SU)")</f>
        <v>Eci (SU)</v>
      </c>
      <c r="I2669" s="13" t="str">
        <f>IFERROR(__xludf.DUMMYFUNCTION("""COMPUTED_VALUE"""),"SELESAI (VIA PERMOHONAN)")</f>
        <v>SELESAI (VIA PERMOHONAN)</v>
      </c>
      <c r="J2669" s="17">
        <f>IFERROR(__xludf.DUMMYFUNCTION("""COMPUTED_VALUE"""),45833.4970953125)</f>
        <v>45833.4971</v>
      </c>
      <c r="K2669" s="13" t="str">
        <f>IFERROR(__xludf.DUMMYFUNCTION("""COMPUTED_VALUE"""),"Selesai")</f>
        <v>Selesai</v>
      </c>
      <c r="L2669" s="17">
        <f>IFERROR(__xludf.DUMMYFUNCTION("""COMPUTED_VALUE"""),45833.4970953125)</f>
        <v>45833.4971</v>
      </c>
      <c r="M2669" s="13"/>
      <c r="N2669" s="13" t="str">
        <f>IFERROR(__xludf.DUMMYFUNCTION("""COMPUTED_VALUE"""),"")</f>
        <v/>
      </c>
      <c r="O2669" s="13" t="str">
        <f t="shared" si="1"/>
        <v/>
      </c>
    </row>
    <row r="2670" ht="22.5" customHeight="1">
      <c r="B2670" s="13">
        <f>IFERROR(__xludf.DUMMYFUNCTION("""COMPUTED_VALUE"""),2665.0)</f>
        <v>2665</v>
      </c>
      <c r="C2670" s="13" t="str">
        <f>IFERROR(__xludf.DUMMYFUNCTION("""COMPUTED_VALUE"""),"M. 67/SUKARAME BARU")</f>
        <v>M. 67/SUKARAME BARU</v>
      </c>
      <c r="D2670" s="13" t="str">
        <f>IFERROR(__xludf.DUMMYFUNCTION("""COMPUTED_VALUE"""),"L/2/210625/PELATARAN")</f>
        <v>L/2/210625/PELATARAN</v>
      </c>
      <c r="E2670" s="14" t="str">
        <f>IFERROR(__xludf.DUMMYFUNCTION("""COMPUTED_VALUE"""),"Heri (BT)")</f>
        <v>Heri (BT)</v>
      </c>
      <c r="F2670" s="14" t="str">
        <f>IFERROR(__xludf.DUMMYFUNCTION("""COMPUTED_VALUE"""),"SELESAI (VIA PERMOHONAN)")</f>
        <v>SELESAI (VIA PERMOHONAN)</v>
      </c>
      <c r="G2670" s="17">
        <f>IFERROR(__xludf.DUMMYFUNCTION("""COMPUTED_VALUE"""),45832.60586483796)</f>
        <v>45832.60586</v>
      </c>
      <c r="H2670" s="14" t="str">
        <f>IFERROR(__xludf.DUMMYFUNCTION("""COMPUTED_VALUE"""),"Eci (SU)")</f>
        <v>Eci (SU)</v>
      </c>
      <c r="I2670" s="13" t="str">
        <f>IFERROR(__xludf.DUMMYFUNCTION("""COMPUTED_VALUE"""),"SELESAI (VIA PERMOHONAN)")</f>
        <v>SELESAI (VIA PERMOHONAN)</v>
      </c>
      <c r="J2670" s="17">
        <f>IFERROR(__xludf.DUMMYFUNCTION("""COMPUTED_VALUE"""),45833.49704052083)</f>
        <v>45833.49704</v>
      </c>
      <c r="K2670" s="13" t="str">
        <f>IFERROR(__xludf.DUMMYFUNCTION("""COMPUTED_VALUE"""),"Selesai")</f>
        <v>Selesai</v>
      </c>
      <c r="L2670" s="17">
        <f>IFERROR(__xludf.DUMMYFUNCTION("""COMPUTED_VALUE"""),45833.49704052083)</f>
        <v>45833.49704</v>
      </c>
      <c r="M2670" s="13"/>
      <c r="N2670" s="13" t="str">
        <f>IFERROR(__xludf.DUMMYFUNCTION("""COMPUTED_VALUE"""),"")</f>
        <v/>
      </c>
      <c r="O2670" s="13" t="str">
        <f t="shared" si="1"/>
        <v/>
      </c>
    </row>
    <row r="2671" ht="22.5" customHeight="1">
      <c r="B2671" s="13">
        <f>IFERROR(__xludf.DUMMYFUNCTION("""COMPUTED_VALUE"""),2666.0)</f>
        <v>2666</v>
      </c>
      <c r="C2671" s="13" t="str">
        <f>IFERROR(__xludf.DUMMYFUNCTION("""COMPUTED_VALUE"""),"M. 830/ Kaliawi")</f>
        <v>M. 830/ Kaliawi</v>
      </c>
      <c r="D2671" s="13" t="str">
        <f>IFERROR(__xludf.DUMMYFUNCTION("""COMPUTED_VALUE"""),"K/45/030625/3")</f>
        <v>K/45/030625/3</v>
      </c>
      <c r="E2671" s="14" t="str">
        <f>IFERROR(__xludf.DUMMYFUNCTION("""COMPUTED_VALUE"""),"Heri (BT)")</f>
        <v>Heri (BT)</v>
      </c>
      <c r="F2671" s="14" t="str">
        <f>IFERROR(__xludf.DUMMYFUNCTION("""COMPUTED_VALUE"""),"SELESAI (VIA PERMOHONAN)")</f>
        <v>SELESAI (VIA PERMOHONAN)</v>
      </c>
      <c r="G2671" s="17">
        <f>IFERROR(__xludf.DUMMYFUNCTION("""COMPUTED_VALUE"""),45833.444493877316)</f>
        <v>45833.44449</v>
      </c>
      <c r="H2671" s="14" t="str">
        <f>IFERROR(__xludf.DUMMYFUNCTION("""COMPUTED_VALUE"""),"Eci (SU)")</f>
        <v>Eci (SU)</v>
      </c>
      <c r="I2671" s="13" t="str">
        <f>IFERROR(__xludf.DUMMYFUNCTION("""COMPUTED_VALUE"""),"SELESAI (VIA PERMOHONAN)")</f>
        <v>SELESAI (VIA PERMOHONAN)</v>
      </c>
      <c r="J2671" s="17">
        <f>IFERROR(__xludf.DUMMYFUNCTION("""COMPUTED_VALUE"""),45833.62284974537)</f>
        <v>45833.62285</v>
      </c>
      <c r="K2671" s="13" t="str">
        <f>IFERROR(__xludf.DUMMYFUNCTION("""COMPUTED_VALUE"""),"Selesai")</f>
        <v>Selesai</v>
      </c>
      <c r="L2671" s="17">
        <f>IFERROR(__xludf.DUMMYFUNCTION("""COMPUTED_VALUE"""),45833.62284974537)</f>
        <v>45833.62285</v>
      </c>
      <c r="M2671" s="13"/>
      <c r="N2671" s="13" t="str">
        <f>IFERROR(__xludf.DUMMYFUNCTION("""COMPUTED_VALUE"""),"")</f>
        <v/>
      </c>
      <c r="O2671" s="13" t="str">
        <f t="shared" si="1"/>
        <v/>
      </c>
    </row>
    <row r="2672" ht="22.5" customHeight="1">
      <c r="B2672" s="13">
        <f>IFERROR(__xludf.DUMMYFUNCTION("""COMPUTED_VALUE"""),2667.0)</f>
        <v>2667</v>
      </c>
      <c r="C2672" s="13" t="str">
        <f>IFERROR(__xludf.DUMMYFUNCTION("""COMPUTED_VALUE"""),"M. 9310/ jagabaya II")</f>
        <v>M. 9310/ jagabaya II</v>
      </c>
      <c r="D2672" s="13" t="str">
        <f>IFERROR(__xludf.DUMMYFUNCTION("""COMPUTED_VALUE"""),"K/3/040625/1")</f>
        <v>K/3/040625/1</v>
      </c>
      <c r="E2672" s="14" t="str">
        <f>IFERROR(__xludf.DUMMYFUNCTION("""COMPUTED_VALUE"""),"Heri (BT)")</f>
        <v>Heri (BT)</v>
      </c>
      <c r="F2672" s="14" t="str">
        <f>IFERROR(__xludf.DUMMYFUNCTION("""COMPUTED_VALUE"""),"SELESAI (VIA PERMOHONAN)")</f>
        <v>SELESAI (VIA PERMOHONAN)</v>
      </c>
      <c r="G2672" s="17">
        <f>IFERROR(__xludf.DUMMYFUNCTION("""COMPUTED_VALUE"""),45833.44461027777)</f>
        <v>45833.44461</v>
      </c>
      <c r="H2672" s="14" t="str">
        <f>IFERROR(__xludf.DUMMYFUNCTION("""COMPUTED_VALUE"""),"Eci (SU)")</f>
        <v>Eci (SU)</v>
      </c>
      <c r="I2672" s="13" t="str">
        <f>IFERROR(__xludf.DUMMYFUNCTION("""COMPUTED_VALUE"""),"SELESAI (VIA PERMOHONAN)")</f>
        <v>SELESAI (VIA PERMOHONAN)</v>
      </c>
      <c r="J2672" s="17">
        <f>IFERROR(__xludf.DUMMYFUNCTION("""COMPUTED_VALUE"""),45833.62267755787)</f>
        <v>45833.62268</v>
      </c>
      <c r="K2672" s="13" t="str">
        <f>IFERROR(__xludf.DUMMYFUNCTION("""COMPUTED_VALUE"""),"Selesai")</f>
        <v>Selesai</v>
      </c>
      <c r="L2672" s="17">
        <f>IFERROR(__xludf.DUMMYFUNCTION("""COMPUTED_VALUE"""),45833.62267755787)</f>
        <v>45833.62268</v>
      </c>
      <c r="M2672" s="13"/>
      <c r="N2672" s="13" t="str">
        <f>IFERROR(__xludf.DUMMYFUNCTION("""COMPUTED_VALUE"""),"")</f>
        <v/>
      </c>
      <c r="O2672" s="13" t="str">
        <f t="shared" si="1"/>
        <v/>
      </c>
    </row>
    <row r="2673" ht="22.5" customHeight="1">
      <c r="B2673" s="13">
        <f>IFERROR(__xludf.DUMMYFUNCTION("""COMPUTED_VALUE"""),2668.0)</f>
        <v>2668</v>
      </c>
      <c r="C2673" s="13" t="str">
        <f>IFERROR(__xludf.DUMMYFUNCTION("""COMPUTED_VALUE"""),"M. 4984/ Tanjung Senang")</f>
        <v>M. 4984/ Tanjung Senang</v>
      </c>
      <c r="D2673" s="13" t="str">
        <f>IFERROR(__xludf.DUMMYFUNCTION("""COMPUTED_VALUE"""),"K/48/040625/1")</f>
        <v>K/48/040625/1</v>
      </c>
      <c r="E2673" s="14" t="str">
        <f>IFERROR(__xludf.DUMMYFUNCTION("""COMPUTED_VALUE"""),"Heri (BT)")</f>
        <v>Heri (BT)</v>
      </c>
      <c r="F2673" s="14" t="str">
        <f>IFERROR(__xludf.DUMMYFUNCTION("""COMPUTED_VALUE"""),"SELESAI (VIA PERMOHONAN)")</f>
        <v>SELESAI (VIA PERMOHONAN)</v>
      </c>
      <c r="G2673" s="17">
        <f>IFERROR(__xludf.DUMMYFUNCTION("""COMPUTED_VALUE"""),45833.444746469904)</f>
        <v>45833.44475</v>
      </c>
      <c r="H2673" s="14" t="str">
        <f>IFERROR(__xludf.DUMMYFUNCTION("""COMPUTED_VALUE"""),"Eci (SU)")</f>
        <v>Eci (SU)</v>
      </c>
      <c r="I2673" s="13" t="str">
        <f>IFERROR(__xludf.DUMMYFUNCTION("""COMPUTED_VALUE"""),"SELESAI (VIA PERMOHONAN)")</f>
        <v>SELESAI (VIA PERMOHONAN)</v>
      </c>
      <c r="J2673" s="17">
        <f>IFERROR(__xludf.DUMMYFUNCTION("""COMPUTED_VALUE"""),45833.62257824074)</f>
        <v>45833.62258</v>
      </c>
      <c r="K2673" s="13" t="str">
        <f>IFERROR(__xludf.DUMMYFUNCTION("""COMPUTED_VALUE"""),"Selesai")</f>
        <v>Selesai</v>
      </c>
      <c r="L2673" s="17">
        <f>IFERROR(__xludf.DUMMYFUNCTION("""COMPUTED_VALUE"""),45833.62257824074)</f>
        <v>45833.62258</v>
      </c>
      <c r="M2673" s="13"/>
      <c r="N2673" s="13" t="str">
        <f>IFERROR(__xludf.DUMMYFUNCTION("""COMPUTED_VALUE"""),"")</f>
        <v/>
      </c>
      <c r="O2673" s="13" t="str">
        <f t="shared" si="1"/>
        <v/>
      </c>
    </row>
    <row r="2674" ht="22.5" customHeight="1">
      <c r="B2674" s="13">
        <f>IFERROR(__xludf.DUMMYFUNCTION("""COMPUTED_VALUE"""),2669.0)</f>
        <v>2669</v>
      </c>
      <c r="C2674" s="13" t="str">
        <f>IFERROR(__xludf.DUMMYFUNCTION("""COMPUTED_VALUE"""),"B. 369/ Nusantara Permai")</f>
        <v>B. 369/ Nusantara Permai</v>
      </c>
      <c r="D2674" s="13" t="str">
        <f>IFERROR(__xludf.DUMMYFUNCTION("""COMPUTED_VALUE"""),"K/17/170625/1")</f>
        <v>K/17/170625/1</v>
      </c>
      <c r="E2674" s="14" t="str">
        <f>IFERROR(__xludf.DUMMYFUNCTION("""COMPUTED_VALUE"""),"Heri (BT)")</f>
        <v>Heri (BT)</v>
      </c>
      <c r="F2674" s="14" t="str">
        <f>IFERROR(__xludf.DUMMYFUNCTION("""COMPUTED_VALUE"""),"SELESAI (VIA PERMOHONAN)")</f>
        <v>SELESAI (VIA PERMOHONAN)</v>
      </c>
      <c r="G2674" s="17">
        <f>IFERROR(__xludf.DUMMYFUNCTION("""COMPUTED_VALUE"""),45833.445020150466)</f>
        <v>45833.44502</v>
      </c>
      <c r="H2674" s="14" t="str">
        <f>IFERROR(__xludf.DUMMYFUNCTION("""COMPUTED_VALUE"""),"Eci (SU)")</f>
        <v>Eci (SU)</v>
      </c>
      <c r="I2674" s="13" t="str">
        <f>IFERROR(__xludf.DUMMYFUNCTION("""COMPUTED_VALUE"""),"SELESAI (VIA PERMOHONAN)")</f>
        <v>SELESAI (VIA PERMOHONAN)</v>
      </c>
      <c r="J2674" s="17">
        <f>IFERROR(__xludf.DUMMYFUNCTION("""COMPUTED_VALUE"""),45833.62248689815)</f>
        <v>45833.62249</v>
      </c>
      <c r="K2674" s="13" t="str">
        <f>IFERROR(__xludf.DUMMYFUNCTION("""COMPUTED_VALUE"""),"Selesai")</f>
        <v>Selesai</v>
      </c>
      <c r="L2674" s="17">
        <f>IFERROR(__xludf.DUMMYFUNCTION("""COMPUTED_VALUE"""),45833.62248689815)</f>
        <v>45833.62249</v>
      </c>
      <c r="M2674" s="13"/>
      <c r="N2674" s="13" t="str">
        <f>IFERROR(__xludf.DUMMYFUNCTION("""COMPUTED_VALUE"""),"")</f>
        <v/>
      </c>
      <c r="O2674" s="13" t="str">
        <f t="shared" si="1"/>
        <v/>
      </c>
    </row>
    <row r="2675" ht="22.5" customHeight="1">
      <c r="B2675" s="13">
        <f>IFERROR(__xludf.DUMMYFUNCTION("""COMPUTED_VALUE"""),2670.0)</f>
        <v>2670</v>
      </c>
      <c r="C2675" s="13" t="str">
        <f>IFERROR(__xludf.DUMMYFUNCTION("""COMPUTED_VALUE"""),"M. 2627/ Pinang Jaya")</f>
        <v>M. 2627/ Pinang Jaya</v>
      </c>
      <c r="D2675" s="13" t="str">
        <f>IFERROR(__xludf.DUMMYFUNCTION("""COMPUTED_VALUE"""),"K/23/190625/4")</f>
        <v>K/23/190625/4</v>
      </c>
      <c r="E2675" s="14" t="str">
        <f>IFERROR(__xludf.DUMMYFUNCTION("""COMPUTED_VALUE"""),"Heri (BT)")</f>
        <v>Heri (BT)</v>
      </c>
      <c r="F2675" s="14" t="str">
        <f>IFERROR(__xludf.DUMMYFUNCTION("""COMPUTED_VALUE"""),"SELESAI (VIA PERMOHONAN)")</f>
        <v>SELESAI (VIA PERMOHONAN)</v>
      </c>
      <c r="G2675" s="17">
        <f>IFERROR(__xludf.DUMMYFUNCTION("""COMPUTED_VALUE"""),45833.44514858796)</f>
        <v>45833.44515</v>
      </c>
      <c r="H2675" s="14" t="str">
        <f>IFERROR(__xludf.DUMMYFUNCTION("""COMPUTED_VALUE"""),"Eci (SU)")</f>
        <v>Eci (SU)</v>
      </c>
      <c r="I2675" s="13" t="str">
        <f>IFERROR(__xludf.DUMMYFUNCTION("""COMPUTED_VALUE"""),"SELESAI (VIA PERMOHONAN)")</f>
        <v>SELESAI (VIA PERMOHONAN)</v>
      </c>
      <c r="J2675" s="17">
        <f>IFERROR(__xludf.DUMMYFUNCTION("""COMPUTED_VALUE"""),45833.62238778935)</f>
        <v>45833.62239</v>
      </c>
      <c r="K2675" s="13" t="str">
        <f>IFERROR(__xludf.DUMMYFUNCTION("""COMPUTED_VALUE"""),"Selesai")</f>
        <v>Selesai</v>
      </c>
      <c r="L2675" s="17">
        <f>IFERROR(__xludf.DUMMYFUNCTION("""COMPUTED_VALUE"""),45833.62238778935)</f>
        <v>45833.62239</v>
      </c>
      <c r="M2675" s="13"/>
      <c r="N2675" s="13" t="str">
        <f>IFERROR(__xludf.DUMMYFUNCTION("""COMPUTED_VALUE"""),"")</f>
        <v/>
      </c>
      <c r="O2675" s="13" t="str">
        <f t="shared" si="1"/>
        <v/>
      </c>
    </row>
    <row r="2676" ht="22.5" customHeight="1">
      <c r="B2676" s="13">
        <f>IFERROR(__xludf.DUMMYFUNCTION("""COMPUTED_VALUE"""),2671.0)</f>
        <v>2671</v>
      </c>
      <c r="C2676" s="13" t="str">
        <f>IFERROR(__xludf.DUMMYFUNCTION("""COMPUTED_VALUE"""),"M. 249/ Penengahan Raya")</f>
        <v>M. 249/ Penengahan Raya</v>
      </c>
      <c r="D2676" s="13" t="str">
        <f>IFERROR(__xludf.DUMMYFUNCTION("""COMPUTED_VALUE"""),"K/39/180625/2")</f>
        <v>K/39/180625/2</v>
      </c>
      <c r="E2676" s="14" t="str">
        <f>IFERROR(__xludf.DUMMYFUNCTION("""COMPUTED_VALUE"""),"Heri (BT)")</f>
        <v>Heri (BT)</v>
      </c>
      <c r="F2676" s="14" t="str">
        <f>IFERROR(__xludf.DUMMYFUNCTION("""COMPUTED_VALUE"""),"SELESAI (VIA PERMOHONAN)")</f>
        <v>SELESAI (VIA PERMOHONAN)</v>
      </c>
      <c r="G2676" s="17">
        <f>IFERROR(__xludf.DUMMYFUNCTION("""COMPUTED_VALUE"""),45833.4453188426)</f>
        <v>45833.44532</v>
      </c>
      <c r="H2676" s="14" t="str">
        <f>IFERROR(__xludf.DUMMYFUNCTION("""COMPUTED_VALUE"""),"Eci (SU)")</f>
        <v>Eci (SU)</v>
      </c>
      <c r="I2676" s="13" t="str">
        <f>IFERROR(__xludf.DUMMYFUNCTION("""COMPUTED_VALUE"""),"SELESAI (VIA PERMOHONAN)")</f>
        <v>SELESAI (VIA PERMOHONAN)</v>
      </c>
      <c r="J2676" s="17">
        <f>IFERROR(__xludf.DUMMYFUNCTION("""COMPUTED_VALUE"""),45833.62226004629)</f>
        <v>45833.62226</v>
      </c>
      <c r="K2676" s="13" t="str">
        <f>IFERROR(__xludf.DUMMYFUNCTION("""COMPUTED_VALUE"""),"Selesai")</f>
        <v>Selesai</v>
      </c>
      <c r="L2676" s="17">
        <f>IFERROR(__xludf.DUMMYFUNCTION("""COMPUTED_VALUE"""),45833.62226004629)</f>
        <v>45833.62226</v>
      </c>
      <c r="M2676" s="13"/>
      <c r="N2676" s="13" t="str">
        <f>IFERROR(__xludf.DUMMYFUNCTION("""COMPUTED_VALUE"""),"")</f>
        <v/>
      </c>
      <c r="O2676" s="13" t="str">
        <f t="shared" si="1"/>
        <v/>
      </c>
    </row>
    <row r="2677" ht="22.5" customHeight="1">
      <c r="B2677" s="13">
        <f>IFERROR(__xludf.DUMMYFUNCTION("""COMPUTED_VALUE"""),2672.0)</f>
        <v>2672</v>
      </c>
      <c r="C2677" s="13" t="str">
        <f>IFERROR(__xludf.DUMMYFUNCTION("""COMPUTED_VALUE"""),"M. 2212/ Sukarame Baru")</f>
        <v>M. 2212/ Sukarame Baru</v>
      </c>
      <c r="D2677" s="13" t="str">
        <f>IFERROR(__xludf.DUMMYFUNCTION("""COMPUTED_VALUE"""),"K/12/160633/2")</f>
        <v>K/12/160633/2</v>
      </c>
      <c r="E2677" s="14" t="str">
        <f>IFERROR(__xludf.DUMMYFUNCTION("""COMPUTED_VALUE"""),"Heri (BT)")</f>
        <v>Heri (BT)</v>
      </c>
      <c r="F2677" s="14" t="str">
        <f>IFERROR(__xludf.DUMMYFUNCTION("""COMPUTED_VALUE"""),"SELESAI (VIA PERMOHONAN)")</f>
        <v>SELESAI (VIA PERMOHONAN)</v>
      </c>
      <c r="G2677" s="17">
        <f>IFERROR(__xludf.DUMMYFUNCTION("""COMPUTED_VALUE"""),45833.44544023148)</f>
        <v>45833.44544</v>
      </c>
      <c r="H2677" s="14" t="str">
        <f>IFERROR(__xludf.DUMMYFUNCTION("""COMPUTED_VALUE"""),"Eci (SU)")</f>
        <v>Eci (SU)</v>
      </c>
      <c r="I2677" s="13" t="str">
        <f>IFERROR(__xludf.DUMMYFUNCTION("""COMPUTED_VALUE"""),"SELESAI (VIA PERMOHONAN)")</f>
        <v>SELESAI (VIA PERMOHONAN)</v>
      </c>
      <c r="J2677" s="17">
        <f>IFERROR(__xludf.DUMMYFUNCTION("""COMPUTED_VALUE"""),45833.622118252315)</f>
        <v>45833.62212</v>
      </c>
      <c r="K2677" s="13" t="str">
        <f>IFERROR(__xludf.DUMMYFUNCTION("""COMPUTED_VALUE"""),"Selesai")</f>
        <v>Selesai</v>
      </c>
      <c r="L2677" s="17">
        <f>IFERROR(__xludf.DUMMYFUNCTION("""COMPUTED_VALUE"""),45833.622118252315)</f>
        <v>45833.62212</v>
      </c>
      <c r="M2677" s="13"/>
      <c r="N2677" s="13" t="str">
        <f>IFERROR(__xludf.DUMMYFUNCTION("""COMPUTED_VALUE"""),"")</f>
        <v/>
      </c>
      <c r="O2677" s="13" t="str">
        <f t="shared" si="1"/>
        <v/>
      </c>
    </row>
    <row r="2678" ht="22.5" customHeight="1">
      <c r="B2678" s="13">
        <f>IFERROR(__xludf.DUMMYFUNCTION("""COMPUTED_VALUE"""),2673.0)</f>
        <v>2673</v>
      </c>
      <c r="C2678" s="13" t="str">
        <f>IFERROR(__xludf.DUMMYFUNCTION("""COMPUTED_VALUE"""),"HM 72/KEMILING PERMAI")</f>
        <v>HM 72/KEMILING PERMAI</v>
      </c>
      <c r="D2678" s="13" t="str">
        <f>IFERROR(__xludf.DUMMYFUNCTION("""COMPUTED_VALUE"""),"L/13/170625/1")</f>
        <v>L/13/170625/1</v>
      </c>
      <c r="E2678" s="14" t="str">
        <f>IFERROR(__xludf.DUMMYFUNCTION("""COMPUTED_VALUE"""),"Heri (BT)")</f>
        <v>Heri (BT)</v>
      </c>
      <c r="F2678" s="14" t="str">
        <f>IFERROR(__xludf.DUMMYFUNCTION("""COMPUTED_VALUE"""),"SELESAI (VIA PERMOHONAN)")</f>
        <v>SELESAI (VIA PERMOHONAN)</v>
      </c>
      <c r="G2678" s="17">
        <f>IFERROR(__xludf.DUMMYFUNCTION("""COMPUTED_VALUE"""),45833.44557326389)</f>
        <v>45833.44557</v>
      </c>
      <c r="H2678" s="14" t="str">
        <f>IFERROR(__xludf.DUMMYFUNCTION("""COMPUTED_VALUE"""),"Eci (SU)")</f>
        <v>Eci (SU)</v>
      </c>
      <c r="I2678" s="13" t="str">
        <f>IFERROR(__xludf.DUMMYFUNCTION("""COMPUTED_VALUE"""),"SELESAI (VIA PERMOHONAN)")</f>
        <v>SELESAI (VIA PERMOHONAN)</v>
      </c>
      <c r="J2678" s="17">
        <f>IFERROR(__xludf.DUMMYFUNCTION("""COMPUTED_VALUE"""),45833.62198841435)</f>
        <v>45833.62199</v>
      </c>
      <c r="K2678" s="13" t="str">
        <f>IFERROR(__xludf.DUMMYFUNCTION("""COMPUTED_VALUE"""),"Selesai")</f>
        <v>Selesai</v>
      </c>
      <c r="L2678" s="17">
        <f>IFERROR(__xludf.DUMMYFUNCTION("""COMPUTED_VALUE"""),45833.62198841435)</f>
        <v>45833.62199</v>
      </c>
      <c r="M2678" s="13"/>
      <c r="N2678" s="13" t="str">
        <f>IFERROR(__xludf.DUMMYFUNCTION("""COMPUTED_VALUE"""),"")</f>
        <v/>
      </c>
      <c r="O2678" s="13" t="str">
        <f t="shared" si="1"/>
        <v/>
      </c>
    </row>
    <row r="2679" ht="22.5" customHeight="1">
      <c r="B2679" s="13">
        <f>IFERROR(__xludf.DUMMYFUNCTION("""COMPUTED_VALUE"""),2674.0)</f>
        <v>2674</v>
      </c>
      <c r="C2679" s="13" t="str">
        <f>IFERROR(__xludf.DUMMYFUNCTION("""COMPUTED_VALUE"""),"HM 11244/LABNUHAN RATU")</f>
        <v>HM 11244/LABNUHAN RATU</v>
      </c>
      <c r="D2679" s="13" t="str">
        <f>IFERROR(__xludf.DUMMYFUNCTION("""COMPUTED_VALUE"""),"L/22/170625/1")</f>
        <v>L/22/170625/1</v>
      </c>
      <c r="E2679" s="14" t="str">
        <f>IFERROR(__xludf.DUMMYFUNCTION("""COMPUTED_VALUE"""),"Heri (BT)")</f>
        <v>Heri (BT)</v>
      </c>
      <c r="F2679" s="14" t="str">
        <f>IFERROR(__xludf.DUMMYFUNCTION("""COMPUTED_VALUE"""),"SELESAI (VIA PERMOHONAN)")</f>
        <v>SELESAI (VIA PERMOHONAN)</v>
      </c>
      <c r="G2679" s="17">
        <f>IFERROR(__xludf.DUMMYFUNCTION("""COMPUTED_VALUE"""),45833.44570118056)</f>
        <v>45833.4457</v>
      </c>
      <c r="H2679" s="14" t="str">
        <f>IFERROR(__xludf.DUMMYFUNCTION("""COMPUTED_VALUE"""),"Eci (SU)")</f>
        <v>Eci (SU)</v>
      </c>
      <c r="I2679" s="13" t="str">
        <f>IFERROR(__xludf.DUMMYFUNCTION("""COMPUTED_VALUE"""),"SELESAI (VIA PERMOHONAN)")</f>
        <v>SELESAI (VIA PERMOHONAN)</v>
      </c>
      <c r="J2679" s="17">
        <f>IFERROR(__xludf.DUMMYFUNCTION("""COMPUTED_VALUE"""),45834.40550209491)</f>
        <v>45834.4055</v>
      </c>
      <c r="K2679" s="13" t="str">
        <f>IFERROR(__xludf.DUMMYFUNCTION("""COMPUTED_VALUE"""),"Selesai")</f>
        <v>Selesai</v>
      </c>
      <c r="L2679" s="17">
        <f>IFERROR(__xludf.DUMMYFUNCTION("""COMPUTED_VALUE"""),45834.40550209491)</f>
        <v>45834.4055</v>
      </c>
      <c r="M2679" s="13"/>
      <c r="N2679" s="13" t="str">
        <f>IFERROR(__xludf.DUMMYFUNCTION("""COMPUTED_VALUE"""),"")</f>
        <v/>
      </c>
      <c r="O2679" s="13" t="str">
        <f t="shared" si="1"/>
        <v/>
      </c>
    </row>
    <row r="2680" ht="22.5" customHeight="1">
      <c r="B2680" s="13">
        <f>IFERROR(__xludf.DUMMYFUNCTION("""COMPUTED_VALUE"""),2675.0)</f>
        <v>2675</v>
      </c>
      <c r="C2680" s="13" t="str">
        <f>IFERROR(__xludf.DUMMYFUNCTION("""COMPUTED_VALUE"""),"M.13/BATU PUTUK")</f>
        <v>M.13/BATU PUTUK</v>
      </c>
      <c r="D2680" s="13" t="str">
        <f>IFERROR(__xludf.DUMMYFUNCTION("""COMPUTED_VALUE"""),"L/13/130625/1")</f>
        <v>L/13/130625/1</v>
      </c>
      <c r="E2680" s="14" t="str">
        <f>IFERROR(__xludf.DUMMYFUNCTION("""COMPUTED_VALUE"""),"Heri (BT)")</f>
        <v>Heri (BT)</v>
      </c>
      <c r="F2680" s="14" t="str">
        <f>IFERROR(__xludf.DUMMYFUNCTION("""COMPUTED_VALUE"""),"SELESAI (VIA PERMOHONAN)")</f>
        <v>SELESAI (VIA PERMOHONAN)</v>
      </c>
      <c r="G2680" s="17">
        <f>IFERROR(__xludf.DUMMYFUNCTION("""COMPUTED_VALUE"""),45833.445854363425)</f>
        <v>45833.44585</v>
      </c>
      <c r="H2680" s="14" t="str">
        <f>IFERROR(__xludf.DUMMYFUNCTION("""COMPUTED_VALUE"""),"Eci (SU)")</f>
        <v>Eci (SU)</v>
      </c>
      <c r="I2680" s="13" t="str">
        <f>IFERROR(__xludf.DUMMYFUNCTION("""COMPUTED_VALUE"""),"SELESAI (VIA PERMOHONAN)")</f>
        <v>SELESAI (VIA PERMOHONAN)</v>
      </c>
      <c r="J2680" s="17">
        <f>IFERROR(__xludf.DUMMYFUNCTION("""COMPUTED_VALUE"""),45834.40761375)</f>
        <v>45834.40761</v>
      </c>
      <c r="K2680" s="13" t="str">
        <f>IFERROR(__xludf.DUMMYFUNCTION("""COMPUTED_VALUE"""),"Selesai")</f>
        <v>Selesai</v>
      </c>
      <c r="L2680" s="17">
        <f>IFERROR(__xludf.DUMMYFUNCTION("""COMPUTED_VALUE"""),45834.40761375)</f>
        <v>45834.40761</v>
      </c>
      <c r="M2680" s="13"/>
      <c r="N2680" s="13" t="str">
        <f>IFERROR(__xludf.DUMMYFUNCTION("""COMPUTED_VALUE"""),"")</f>
        <v/>
      </c>
      <c r="O2680" s="13" t="str">
        <f t="shared" si="1"/>
        <v/>
      </c>
    </row>
    <row r="2681" ht="22.5" customHeight="1">
      <c r="B2681" s="13">
        <f>IFERROR(__xludf.DUMMYFUNCTION("""COMPUTED_VALUE"""),2676.0)</f>
        <v>2676</v>
      </c>
      <c r="C2681" s="13" t="str">
        <f>IFERROR(__xludf.DUMMYFUNCTION("""COMPUTED_VALUE"""),"M.1722/LABUHAN DALAM ")</f>
        <v>M.1722/LABUHAN DALAM </v>
      </c>
      <c r="D2681" s="13" t="str">
        <f>IFERROR(__xludf.DUMMYFUNCTION("""COMPUTED_VALUE"""),"L/11/130625/1")</f>
        <v>L/11/130625/1</v>
      </c>
      <c r="E2681" s="14" t="str">
        <f>IFERROR(__xludf.DUMMYFUNCTION("""COMPUTED_VALUE"""),"Heri (BT)")</f>
        <v>Heri (BT)</v>
      </c>
      <c r="F2681" s="14" t="str">
        <f>IFERROR(__xludf.DUMMYFUNCTION("""COMPUTED_VALUE"""),"SELESAI (VIA PERMOHONAN)")</f>
        <v>SELESAI (VIA PERMOHONAN)</v>
      </c>
      <c r="G2681" s="17">
        <f>IFERROR(__xludf.DUMMYFUNCTION("""COMPUTED_VALUE"""),45833.44605265046)</f>
        <v>45833.44605</v>
      </c>
      <c r="H2681" s="14" t="str">
        <f>IFERROR(__xludf.DUMMYFUNCTION("""COMPUTED_VALUE"""),"Eci (SU)")</f>
        <v>Eci (SU)</v>
      </c>
      <c r="I2681" s="13" t="str">
        <f>IFERROR(__xludf.DUMMYFUNCTION("""COMPUTED_VALUE"""),"SELESAI (VIA PERMOHONAN)")</f>
        <v>SELESAI (VIA PERMOHONAN)</v>
      </c>
      <c r="J2681" s="17">
        <f>IFERROR(__xludf.DUMMYFUNCTION("""COMPUTED_VALUE"""),45834.40562417824)</f>
        <v>45834.40562</v>
      </c>
      <c r="K2681" s="13" t="str">
        <f>IFERROR(__xludf.DUMMYFUNCTION("""COMPUTED_VALUE"""),"Selesai")</f>
        <v>Selesai</v>
      </c>
      <c r="L2681" s="17">
        <f>IFERROR(__xludf.DUMMYFUNCTION("""COMPUTED_VALUE"""),45834.40562417824)</f>
        <v>45834.40562</v>
      </c>
      <c r="M2681" s="13"/>
      <c r="N2681" s="13" t="str">
        <f>IFERROR(__xludf.DUMMYFUNCTION("""COMPUTED_VALUE"""),"")</f>
        <v/>
      </c>
      <c r="O2681" s="13" t="str">
        <f t="shared" si="1"/>
        <v/>
      </c>
    </row>
    <row r="2682" ht="22.5" customHeight="1">
      <c r="B2682" s="13">
        <f>IFERROR(__xludf.DUMMYFUNCTION("""COMPUTED_VALUE"""),2677.0)</f>
        <v>2677</v>
      </c>
      <c r="C2682" s="13" t="str">
        <f>IFERROR(__xludf.DUMMYFUNCTION("""COMPUTED_VALUE"""),"HM 16448/SUKARAME ")</f>
        <v>HM 16448/SUKARAME </v>
      </c>
      <c r="D2682" s="13" t="str">
        <f>IFERROR(__xludf.DUMMYFUNCTION("""COMPUTED_VALUE"""),"L/19/160635/1")</f>
        <v>L/19/160635/1</v>
      </c>
      <c r="E2682" s="14" t="str">
        <f>IFERROR(__xludf.DUMMYFUNCTION("""COMPUTED_VALUE"""),"Heri (BT)")</f>
        <v>Heri (BT)</v>
      </c>
      <c r="F2682" s="14" t="str">
        <f>IFERROR(__xludf.DUMMYFUNCTION("""COMPUTED_VALUE"""),"SELESAI (VIA PERMOHONAN)")</f>
        <v>SELESAI (VIA PERMOHONAN)</v>
      </c>
      <c r="G2682" s="17">
        <f>IFERROR(__xludf.DUMMYFUNCTION("""COMPUTED_VALUE"""),45833.44619739584)</f>
        <v>45833.4462</v>
      </c>
      <c r="H2682" s="14" t="str">
        <f>IFERROR(__xludf.DUMMYFUNCTION("""COMPUTED_VALUE"""),"Eci (SU)")</f>
        <v>Eci (SU)</v>
      </c>
      <c r="I2682" s="13" t="str">
        <f>IFERROR(__xludf.DUMMYFUNCTION("""COMPUTED_VALUE"""),"SELESAI (VIA PERMOHONAN)")</f>
        <v>SELESAI (VIA PERMOHONAN)</v>
      </c>
      <c r="J2682" s="17">
        <f>IFERROR(__xludf.DUMMYFUNCTION("""COMPUTED_VALUE"""),45834.407525347226)</f>
        <v>45834.40753</v>
      </c>
      <c r="K2682" s="13" t="str">
        <f>IFERROR(__xludf.DUMMYFUNCTION("""COMPUTED_VALUE"""),"Selesai")</f>
        <v>Selesai</v>
      </c>
      <c r="L2682" s="17">
        <f>IFERROR(__xludf.DUMMYFUNCTION("""COMPUTED_VALUE"""),45834.407525347226)</f>
        <v>45834.40753</v>
      </c>
      <c r="M2682" s="13"/>
      <c r="N2682" s="13" t="str">
        <f>IFERROR(__xludf.DUMMYFUNCTION("""COMPUTED_VALUE"""),"")</f>
        <v/>
      </c>
      <c r="O2682" s="13" t="str">
        <f t="shared" si="1"/>
        <v/>
      </c>
    </row>
    <row r="2683" ht="22.5" customHeight="1">
      <c r="B2683" s="13">
        <f>IFERROR(__xludf.DUMMYFUNCTION("""COMPUTED_VALUE"""),2678.0)</f>
        <v>2678</v>
      </c>
      <c r="C2683" s="13" t="str">
        <f>IFERROR(__xludf.DUMMYFUNCTION("""COMPUTED_VALUE"""),"M. 4927/ Sukadana Ham")</f>
        <v>M. 4927/ Sukadana Ham</v>
      </c>
      <c r="D2683" s="13" t="str">
        <f>IFERROR(__xludf.DUMMYFUNCTION("""COMPUTED_VALUE"""),"K/35/190625/1")</f>
        <v>K/35/190625/1</v>
      </c>
      <c r="E2683" s="14" t="str">
        <f>IFERROR(__xludf.DUMMYFUNCTION("""COMPUTED_VALUE"""),"Heri (BT)")</f>
        <v>Heri (BT)</v>
      </c>
      <c r="F2683" s="14" t="str">
        <f>IFERROR(__xludf.DUMMYFUNCTION("""COMPUTED_VALUE"""),"SELESAI (VIA PERMOHONAN)")</f>
        <v>SELESAI (VIA PERMOHONAN)</v>
      </c>
      <c r="G2683" s="17">
        <f>IFERROR(__xludf.DUMMYFUNCTION("""COMPUTED_VALUE"""),45833.44638435185)</f>
        <v>45833.44638</v>
      </c>
      <c r="H2683" s="14" t="str">
        <f>IFERROR(__xludf.DUMMYFUNCTION("""COMPUTED_VALUE"""),"Eci (SU)")</f>
        <v>Eci (SU)</v>
      </c>
      <c r="I2683" s="13" t="str">
        <f>IFERROR(__xludf.DUMMYFUNCTION("""COMPUTED_VALUE"""),"SELESAI (VIA PERMOHONAN)")</f>
        <v>SELESAI (VIA PERMOHONAN)</v>
      </c>
      <c r="J2683" s="17">
        <f>IFERROR(__xludf.DUMMYFUNCTION("""COMPUTED_VALUE"""),45834.40740765046)</f>
        <v>45834.40741</v>
      </c>
      <c r="K2683" s="13" t="str">
        <f>IFERROR(__xludf.DUMMYFUNCTION("""COMPUTED_VALUE"""),"Selesai")</f>
        <v>Selesai</v>
      </c>
      <c r="L2683" s="17">
        <f>IFERROR(__xludf.DUMMYFUNCTION("""COMPUTED_VALUE"""),45834.40740765046)</f>
        <v>45834.40741</v>
      </c>
      <c r="M2683" s="13"/>
      <c r="N2683" s="13" t="str">
        <f>IFERROR(__xludf.DUMMYFUNCTION("""COMPUTED_VALUE"""),"")</f>
        <v/>
      </c>
      <c r="O2683" s="13" t="str">
        <f t="shared" si="1"/>
        <v/>
      </c>
    </row>
    <row r="2684" ht="22.5" customHeight="1">
      <c r="B2684" s="13">
        <f>IFERROR(__xludf.DUMMYFUNCTION("""COMPUTED_VALUE"""),2679.0)</f>
        <v>2679</v>
      </c>
      <c r="C2684" s="13" t="str">
        <f>IFERROR(__xludf.DUMMYFUNCTION("""COMPUTED_VALUE"""),"HGB 766/BAKUNG")</f>
        <v>HGB 766/BAKUNG</v>
      </c>
      <c r="D2684" s="13" t="str">
        <f>IFERROR(__xludf.DUMMYFUNCTION("""COMPUTED_VALUE"""),"L/14/180625/1")</f>
        <v>L/14/180625/1</v>
      </c>
      <c r="E2684" s="14" t="str">
        <f>IFERROR(__xludf.DUMMYFUNCTION("""COMPUTED_VALUE"""),"Heri (BT)")</f>
        <v>Heri (BT)</v>
      </c>
      <c r="F2684" s="14" t="str">
        <f>IFERROR(__xludf.DUMMYFUNCTION("""COMPUTED_VALUE"""),"SELESAI (VIA PERMOHONAN)")</f>
        <v>SELESAI (VIA PERMOHONAN)</v>
      </c>
      <c r="G2684" s="17">
        <f>IFERROR(__xludf.DUMMYFUNCTION("""COMPUTED_VALUE"""),45833.44659634259)</f>
        <v>45833.4466</v>
      </c>
      <c r="H2684" s="14" t="str">
        <f>IFERROR(__xludf.DUMMYFUNCTION("""COMPUTED_VALUE"""),"Eci (SU)")</f>
        <v>Eci (SU)</v>
      </c>
      <c r="I2684" s="13" t="str">
        <f>IFERROR(__xludf.DUMMYFUNCTION("""COMPUTED_VALUE"""),"SELESAI (VIA PERMOHONAN)")</f>
        <v>SELESAI (VIA PERMOHONAN)</v>
      </c>
      <c r="J2684" s="17">
        <f>IFERROR(__xludf.DUMMYFUNCTION("""COMPUTED_VALUE"""),45834.40730491898)</f>
        <v>45834.4073</v>
      </c>
      <c r="K2684" s="13" t="str">
        <f>IFERROR(__xludf.DUMMYFUNCTION("""COMPUTED_VALUE"""),"Selesai")</f>
        <v>Selesai</v>
      </c>
      <c r="L2684" s="17">
        <f>IFERROR(__xludf.DUMMYFUNCTION("""COMPUTED_VALUE"""),45834.40730491898)</f>
        <v>45834.4073</v>
      </c>
      <c r="M2684" s="13"/>
      <c r="N2684" s="13" t="str">
        <f>IFERROR(__xludf.DUMMYFUNCTION("""COMPUTED_VALUE"""),"")</f>
        <v/>
      </c>
      <c r="O2684" s="13" t="str">
        <f t="shared" si="1"/>
        <v/>
      </c>
    </row>
    <row r="2685" ht="22.5" customHeight="1">
      <c r="B2685" s="13">
        <f>IFERROR(__xludf.DUMMYFUNCTION("""COMPUTED_VALUE"""),2680.0)</f>
        <v>2680</v>
      </c>
      <c r="C2685" s="13" t="str">
        <f>IFERROR(__xludf.DUMMYFUNCTION("""COMPUTED_VALUE"""),"M. 2720/ Kemiling Permai")</f>
        <v>M. 2720/ Kemiling Permai</v>
      </c>
      <c r="D2685" s="13" t="str">
        <f>IFERROR(__xludf.DUMMYFUNCTION("""COMPUTED_VALUE"""),"K/6/210525/2")</f>
        <v>K/6/210525/2</v>
      </c>
      <c r="E2685" s="14" t="str">
        <f>IFERROR(__xludf.DUMMYFUNCTION("""COMPUTED_VALUE"""),"Heri (BT)")</f>
        <v>Heri (BT)</v>
      </c>
      <c r="F2685" s="14" t="str">
        <f>IFERROR(__xludf.DUMMYFUNCTION("""COMPUTED_VALUE"""),"SELESAI (VIA PERMOHONAN)")</f>
        <v>SELESAI (VIA PERMOHONAN)</v>
      </c>
      <c r="G2685" s="17">
        <f>IFERROR(__xludf.DUMMYFUNCTION("""COMPUTED_VALUE"""),45833.44677702546)</f>
        <v>45833.44678</v>
      </c>
      <c r="H2685" s="14" t="str">
        <f>IFERROR(__xludf.DUMMYFUNCTION("""COMPUTED_VALUE"""),"Eci (SU)")</f>
        <v>Eci (SU)</v>
      </c>
      <c r="I2685" s="13" t="str">
        <f>IFERROR(__xludf.DUMMYFUNCTION("""COMPUTED_VALUE"""),"SELESAI (VIA PERMOHONAN)")</f>
        <v>SELESAI (VIA PERMOHONAN)</v>
      </c>
      <c r="J2685" s="17">
        <f>IFERROR(__xludf.DUMMYFUNCTION("""COMPUTED_VALUE"""),45834.405721331015)</f>
        <v>45834.40572</v>
      </c>
      <c r="K2685" s="13" t="str">
        <f>IFERROR(__xludf.DUMMYFUNCTION("""COMPUTED_VALUE"""),"Selesai")</f>
        <v>Selesai</v>
      </c>
      <c r="L2685" s="17">
        <f>IFERROR(__xludf.DUMMYFUNCTION("""COMPUTED_VALUE"""),45834.405721331015)</f>
        <v>45834.40572</v>
      </c>
      <c r="M2685" s="13"/>
      <c r="N2685" s="13" t="str">
        <f>IFERROR(__xludf.DUMMYFUNCTION("""COMPUTED_VALUE"""),"")</f>
        <v/>
      </c>
      <c r="O2685" s="13" t="str">
        <f t="shared" si="1"/>
        <v/>
      </c>
    </row>
    <row r="2686" ht="22.5" customHeight="1">
      <c r="B2686" s="13">
        <f>IFERROR(__xludf.DUMMYFUNCTION("""COMPUTED_VALUE"""),2681.0)</f>
        <v>2681</v>
      </c>
      <c r="C2686" s="13" t="str">
        <f>IFERROR(__xludf.DUMMYFUNCTION("""COMPUTED_VALUE"""),"M. 707/ Pengajaran")</f>
        <v>M. 707/ Pengajaran</v>
      </c>
      <c r="D2686" s="13" t="str">
        <f>IFERROR(__xludf.DUMMYFUNCTION("""COMPUTED_VALUE"""),"K/35/160635/1")</f>
        <v>K/35/160635/1</v>
      </c>
      <c r="E2686" s="14" t="str">
        <f>IFERROR(__xludf.DUMMYFUNCTION("""COMPUTED_VALUE"""),"Heri (BT)")</f>
        <v>Heri (BT)</v>
      </c>
      <c r="F2686" s="14" t="str">
        <f>IFERROR(__xludf.DUMMYFUNCTION("""COMPUTED_VALUE"""),"SELESAI (VIA PERMOHONAN)")</f>
        <v>SELESAI (VIA PERMOHONAN)</v>
      </c>
      <c r="G2686" s="17">
        <f>IFERROR(__xludf.DUMMYFUNCTION("""COMPUTED_VALUE"""),45833.44694597222)</f>
        <v>45833.44695</v>
      </c>
      <c r="H2686" s="14" t="str">
        <f>IFERROR(__xludf.DUMMYFUNCTION("""COMPUTED_VALUE"""),"Eci (SU)")</f>
        <v>Eci (SU)</v>
      </c>
      <c r="I2686" s="13" t="str">
        <f>IFERROR(__xludf.DUMMYFUNCTION("""COMPUTED_VALUE"""),"SELESAI (VIA PERMOHONAN)")</f>
        <v>SELESAI (VIA PERMOHONAN)</v>
      </c>
      <c r="J2686" s="17">
        <f>IFERROR(__xludf.DUMMYFUNCTION("""COMPUTED_VALUE"""),45834.40503061343)</f>
        <v>45834.40503</v>
      </c>
      <c r="K2686" s="13" t="str">
        <f>IFERROR(__xludf.DUMMYFUNCTION("""COMPUTED_VALUE"""),"Selesai")</f>
        <v>Selesai</v>
      </c>
      <c r="L2686" s="17">
        <f>IFERROR(__xludf.DUMMYFUNCTION("""COMPUTED_VALUE"""),45834.40503061343)</f>
        <v>45834.40503</v>
      </c>
      <c r="M2686" s="13"/>
      <c r="N2686" s="13" t="str">
        <f>IFERROR(__xludf.DUMMYFUNCTION("""COMPUTED_VALUE"""),"")</f>
        <v/>
      </c>
      <c r="O2686" s="13" t="str">
        <f t="shared" si="1"/>
        <v/>
      </c>
    </row>
    <row r="2687" ht="22.5" customHeight="1">
      <c r="B2687" s="13">
        <f>IFERROR(__xludf.DUMMYFUNCTION("""COMPUTED_VALUE"""),2682.0)</f>
        <v>2682</v>
      </c>
      <c r="C2687" s="13" t="str">
        <f>IFERROR(__xludf.DUMMYFUNCTION("""COMPUTED_VALUE"""),"M. 7157/ Sidodadi")</f>
        <v>M. 7157/ Sidodadi</v>
      </c>
      <c r="D2687" s="13" t="str">
        <f>IFERROR(__xludf.DUMMYFUNCTION("""COMPUTED_VALUE"""),"K/21/040625/1")</f>
        <v>K/21/040625/1</v>
      </c>
      <c r="E2687" s="14" t="str">
        <f>IFERROR(__xludf.DUMMYFUNCTION("""COMPUTED_VALUE"""),"Heri (BT)")</f>
        <v>Heri (BT)</v>
      </c>
      <c r="F2687" s="14" t="str">
        <f>IFERROR(__xludf.DUMMYFUNCTION("""COMPUTED_VALUE"""),"SELESAI (VIA PERMOHONAN)")</f>
        <v>SELESAI (VIA PERMOHONAN)</v>
      </c>
      <c r="G2687" s="17">
        <f>IFERROR(__xludf.DUMMYFUNCTION("""COMPUTED_VALUE"""),45833.44715190972)</f>
        <v>45833.44715</v>
      </c>
      <c r="H2687" s="14" t="str">
        <f>IFERROR(__xludf.DUMMYFUNCTION("""COMPUTED_VALUE"""),"Eci (SU)")</f>
        <v>Eci (SU)</v>
      </c>
      <c r="I2687" s="13" t="str">
        <f>IFERROR(__xludf.DUMMYFUNCTION("""COMPUTED_VALUE"""),"SELESAI (VIA PERMOHONAN)")</f>
        <v>SELESAI (VIA PERMOHONAN)</v>
      </c>
      <c r="J2687" s="17">
        <f>IFERROR(__xludf.DUMMYFUNCTION("""COMPUTED_VALUE"""),45834.40526194444)</f>
        <v>45834.40526</v>
      </c>
      <c r="K2687" s="13" t="str">
        <f>IFERROR(__xludf.DUMMYFUNCTION("""COMPUTED_VALUE"""),"Selesai")</f>
        <v>Selesai</v>
      </c>
      <c r="L2687" s="17">
        <f>IFERROR(__xludf.DUMMYFUNCTION("""COMPUTED_VALUE"""),45834.40526194444)</f>
        <v>45834.40526</v>
      </c>
      <c r="M2687" s="13"/>
      <c r="N2687" s="13" t="str">
        <f>IFERROR(__xludf.DUMMYFUNCTION("""COMPUTED_VALUE"""),"")</f>
        <v/>
      </c>
      <c r="O2687" s="13" t="str">
        <f t="shared" si="1"/>
        <v/>
      </c>
    </row>
    <row r="2688" ht="22.5" customHeight="1">
      <c r="B2688" s="13">
        <f>IFERROR(__xludf.DUMMYFUNCTION("""COMPUTED_VALUE"""),2683.0)</f>
        <v>2683</v>
      </c>
      <c r="C2688" s="13" t="str">
        <f>IFERROR(__xludf.DUMMYFUNCTION("""COMPUTED_VALUE"""),"HM 10010/TANJUNG BARU")</f>
        <v>HM 10010/TANJUNG BARU</v>
      </c>
      <c r="D2688" s="13" t="str">
        <f>IFERROR(__xludf.DUMMYFUNCTION("""COMPUTED_VALUE"""),"L/1/230625/1")</f>
        <v>L/1/230625/1</v>
      </c>
      <c r="E2688" s="14" t="str">
        <f>IFERROR(__xludf.DUMMYFUNCTION("""COMPUTED_VALUE"""),"Heri (BT)")</f>
        <v>Heri (BT)</v>
      </c>
      <c r="F2688" s="14" t="str">
        <f>IFERROR(__xludf.DUMMYFUNCTION("""COMPUTED_VALUE"""),"SELESAI (VIA PERMOHONAN)")</f>
        <v>SELESAI (VIA PERMOHONAN)</v>
      </c>
      <c r="G2688" s="17">
        <f>IFERROR(__xludf.DUMMYFUNCTION("""COMPUTED_VALUE"""),45834.48847273148)</f>
        <v>45834.48847</v>
      </c>
      <c r="H2688" s="14" t="str">
        <f>IFERROR(__xludf.DUMMYFUNCTION("""COMPUTED_VALUE"""),"Eci (SU)")</f>
        <v>Eci (SU)</v>
      </c>
      <c r="I2688" s="13" t="str">
        <f>IFERROR(__xludf.DUMMYFUNCTION("""COMPUTED_VALUE"""),"SELESAI (VIA PERMOHONAN)")</f>
        <v>SELESAI (VIA PERMOHONAN)</v>
      </c>
      <c r="J2688" s="17">
        <f>IFERROR(__xludf.DUMMYFUNCTION("""COMPUTED_VALUE"""),45834.64329755787)</f>
        <v>45834.6433</v>
      </c>
      <c r="K2688" s="13" t="str">
        <f>IFERROR(__xludf.DUMMYFUNCTION("""COMPUTED_VALUE"""),"Selesai")</f>
        <v>Selesai</v>
      </c>
      <c r="L2688" s="17">
        <f>IFERROR(__xludf.DUMMYFUNCTION("""COMPUTED_VALUE"""),45834.64329755787)</f>
        <v>45834.6433</v>
      </c>
      <c r="M2688" s="13"/>
      <c r="N2688" s="13" t="str">
        <f>IFERROR(__xludf.DUMMYFUNCTION("""COMPUTED_VALUE"""),"")</f>
        <v/>
      </c>
      <c r="O2688" s="13" t="str">
        <f t="shared" si="1"/>
        <v/>
      </c>
    </row>
    <row r="2689" ht="22.5" customHeight="1">
      <c r="B2689" s="13">
        <f>IFERROR(__xludf.DUMMYFUNCTION("""COMPUTED_VALUE"""),2684.0)</f>
        <v>2684</v>
      </c>
      <c r="C2689" s="13" t="str">
        <f>IFERROR(__xludf.DUMMYFUNCTION("""COMPUTED_VALUE"""),"M. 1137/SUMBER AGUNG")</f>
        <v>M. 1137/SUMBER AGUNG</v>
      </c>
      <c r="D2689" s="13" t="str">
        <f>IFERROR(__xludf.DUMMYFUNCTION("""COMPUTED_VALUE"""),"K/39/220525/1")</f>
        <v>K/39/220525/1</v>
      </c>
      <c r="E2689" s="14" t="str">
        <f>IFERROR(__xludf.DUMMYFUNCTION("""COMPUTED_VALUE"""),"Heri (BT)")</f>
        <v>Heri (BT)</v>
      </c>
      <c r="F2689" s="14" t="str">
        <f>IFERROR(__xludf.DUMMYFUNCTION("""COMPUTED_VALUE"""),"SELESAI (VIA PERMOHONAN)")</f>
        <v>SELESAI (VIA PERMOHONAN)</v>
      </c>
      <c r="G2689" s="17">
        <f>IFERROR(__xludf.DUMMYFUNCTION("""COMPUTED_VALUE"""),45834.48872627315)</f>
        <v>45834.48873</v>
      </c>
      <c r="H2689" s="14" t="str">
        <f>IFERROR(__xludf.DUMMYFUNCTION("""COMPUTED_VALUE"""),"Eci (SU)")</f>
        <v>Eci (SU)</v>
      </c>
      <c r="I2689" s="13" t="str">
        <f>IFERROR(__xludf.DUMMYFUNCTION("""COMPUTED_VALUE"""),"SELESAI (VIA PERMOHONAN)")</f>
        <v>SELESAI (VIA PERMOHONAN)</v>
      </c>
      <c r="J2689" s="17">
        <f>IFERROR(__xludf.DUMMYFUNCTION("""COMPUTED_VALUE"""),45834.64312886574)</f>
        <v>45834.64313</v>
      </c>
      <c r="K2689" s="13" t="str">
        <f>IFERROR(__xludf.DUMMYFUNCTION("""COMPUTED_VALUE"""),"Selesai")</f>
        <v>Selesai</v>
      </c>
      <c r="L2689" s="17">
        <f>IFERROR(__xludf.DUMMYFUNCTION("""COMPUTED_VALUE"""),45834.64312886574)</f>
        <v>45834.64313</v>
      </c>
      <c r="M2689" s="13"/>
      <c r="N2689" s="13" t="str">
        <f>IFERROR(__xludf.DUMMYFUNCTION("""COMPUTED_VALUE"""),"")</f>
        <v/>
      </c>
      <c r="O2689" s="13" t="str">
        <f t="shared" si="1"/>
        <v/>
      </c>
    </row>
    <row r="2690" ht="22.5" customHeight="1">
      <c r="B2690" s="13">
        <f>IFERROR(__xludf.DUMMYFUNCTION("""COMPUTED_VALUE"""),2685.0)</f>
        <v>2685</v>
      </c>
      <c r="C2690" s="13" t="str">
        <f>IFERROR(__xludf.DUMMYFUNCTION("""COMPUTED_VALUE"""),"B. 98 / LABUHAN RATU")</f>
        <v>B. 98 / LABUHAN RATU</v>
      </c>
      <c r="D2690" s="13" t="str">
        <f>IFERROR(__xludf.DUMMYFUNCTION("""COMPUTED_VALUE"""),"K/39/230625/1")</f>
        <v>K/39/230625/1</v>
      </c>
      <c r="E2690" s="14" t="str">
        <f>IFERROR(__xludf.DUMMYFUNCTION("""COMPUTED_VALUE"""),"Heri (BT)")</f>
        <v>Heri (BT)</v>
      </c>
      <c r="F2690" s="14" t="str">
        <f>IFERROR(__xludf.DUMMYFUNCTION("""COMPUTED_VALUE"""),"SELESAI (VIA PERMOHONAN)")</f>
        <v>SELESAI (VIA PERMOHONAN)</v>
      </c>
      <c r="G2690" s="17">
        <f>IFERROR(__xludf.DUMMYFUNCTION("""COMPUTED_VALUE"""),45834.48916113426)</f>
        <v>45834.48916</v>
      </c>
      <c r="H2690" s="14" t="str">
        <f>IFERROR(__xludf.DUMMYFUNCTION("""COMPUTED_VALUE"""),"Eci (SU)")</f>
        <v>Eci (SU)</v>
      </c>
      <c r="I2690" s="13" t="str">
        <f>IFERROR(__xludf.DUMMYFUNCTION("""COMPUTED_VALUE"""),"SELESAI (VIA PERMOHONAN)")</f>
        <v>SELESAI (VIA PERMOHONAN)</v>
      </c>
      <c r="J2690" s="17">
        <f>IFERROR(__xludf.DUMMYFUNCTION("""COMPUTED_VALUE"""),45838.434487499995)</f>
        <v>45838.43449</v>
      </c>
      <c r="K2690" s="13" t="str">
        <f>IFERROR(__xludf.DUMMYFUNCTION("""COMPUTED_VALUE"""),"Selesai")</f>
        <v>Selesai</v>
      </c>
      <c r="L2690" s="17">
        <f>IFERROR(__xludf.DUMMYFUNCTION("""COMPUTED_VALUE"""),45838.434487499995)</f>
        <v>45838.43449</v>
      </c>
      <c r="M2690" s="13"/>
      <c r="N2690" s="13" t="str">
        <f>IFERROR(__xludf.DUMMYFUNCTION("""COMPUTED_VALUE"""),"")</f>
        <v/>
      </c>
      <c r="O2690" s="13" t="str">
        <f t="shared" si="1"/>
        <v/>
      </c>
    </row>
    <row r="2691" ht="22.5" customHeight="1">
      <c r="B2691" s="13">
        <f>IFERROR(__xludf.DUMMYFUNCTION("""COMPUTED_VALUE"""),2686.0)</f>
        <v>2686</v>
      </c>
      <c r="C2691" s="13" t="str">
        <f>IFERROR(__xludf.DUMMYFUNCTION("""COMPUTED_VALUE"""),"HM 1913/TANJUNG SENANG")</f>
        <v>HM 1913/TANJUNG SENANG</v>
      </c>
      <c r="D2691" s="13" t="str">
        <f>IFERROR(__xludf.DUMMYFUNCTION("""COMPUTED_VALUE"""),"L/6/200625/1")</f>
        <v>L/6/200625/1</v>
      </c>
      <c r="E2691" s="14" t="str">
        <f>IFERROR(__xludf.DUMMYFUNCTION("""COMPUTED_VALUE"""),"Heri (BT)")</f>
        <v>Heri (BT)</v>
      </c>
      <c r="F2691" s="14" t="str">
        <f>IFERROR(__xludf.DUMMYFUNCTION("""COMPUTED_VALUE"""),"SELESAI (VIA PERMOHONAN)")</f>
        <v>SELESAI (VIA PERMOHONAN)</v>
      </c>
      <c r="G2691" s="17">
        <f>IFERROR(__xludf.DUMMYFUNCTION("""COMPUTED_VALUE"""),45834.48957962963)</f>
        <v>45834.48958</v>
      </c>
      <c r="H2691" s="14" t="str">
        <f>IFERROR(__xludf.DUMMYFUNCTION("""COMPUTED_VALUE"""),"Eci (SU)")</f>
        <v>Eci (SU)</v>
      </c>
      <c r="I2691" s="13" t="str">
        <f>IFERROR(__xludf.DUMMYFUNCTION("""COMPUTED_VALUE"""),"SELESAI (VIA PERMOHONAN)")</f>
        <v>SELESAI (VIA PERMOHONAN)</v>
      </c>
      <c r="J2691" s="17">
        <f>IFERROR(__xludf.DUMMYFUNCTION("""COMPUTED_VALUE"""),45834.6430219676)</f>
        <v>45834.64302</v>
      </c>
      <c r="K2691" s="13" t="str">
        <f>IFERROR(__xludf.DUMMYFUNCTION("""COMPUTED_VALUE"""),"Selesai")</f>
        <v>Selesai</v>
      </c>
      <c r="L2691" s="17">
        <f>IFERROR(__xludf.DUMMYFUNCTION("""COMPUTED_VALUE"""),45834.6430219676)</f>
        <v>45834.64302</v>
      </c>
      <c r="M2691" s="13"/>
      <c r="N2691" s="13" t="str">
        <f>IFERROR(__xludf.DUMMYFUNCTION("""COMPUTED_VALUE"""),"")</f>
        <v/>
      </c>
      <c r="O2691" s="13" t="str">
        <f t="shared" si="1"/>
        <v/>
      </c>
    </row>
    <row r="2692" ht="22.5" customHeight="1">
      <c r="B2692" s="13">
        <f>IFERROR(__xludf.DUMMYFUNCTION("""COMPUTED_VALUE"""),2687.0)</f>
        <v>2687</v>
      </c>
      <c r="C2692" s="13" t="str">
        <f>IFERROR(__xludf.DUMMYFUNCTION("""COMPUTED_VALUE"""),"HM 167/NUSANTARA PERMAI")</f>
        <v>HM 167/NUSANTARA PERMAI</v>
      </c>
      <c r="D2692" s="13" t="str">
        <f>IFERROR(__xludf.DUMMYFUNCTION("""COMPUTED_VALUE"""),"L/15/200625/1")</f>
        <v>L/15/200625/1</v>
      </c>
      <c r="E2692" s="14" t="str">
        <f>IFERROR(__xludf.DUMMYFUNCTION("""COMPUTED_VALUE"""),"Heri (BT)")</f>
        <v>Heri (BT)</v>
      </c>
      <c r="F2692" s="14" t="str">
        <f>IFERROR(__xludf.DUMMYFUNCTION("""COMPUTED_VALUE"""),"SELESAI (VIA PERMOHONAN)")</f>
        <v>SELESAI (VIA PERMOHONAN)</v>
      </c>
      <c r="G2692" s="17">
        <f>IFERROR(__xludf.DUMMYFUNCTION("""COMPUTED_VALUE"""),45834.48977166667)</f>
        <v>45834.48977</v>
      </c>
      <c r="H2692" s="14" t="str">
        <f>IFERROR(__xludf.DUMMYFUNCTION("""COMPUTED_VALUE"""),"Eci (SU)")</f>
        <v>Eci (SU)</v>
      </c>
      <c r="I2692" s="13" t="str">
        <f>IFERROR(__xludf.DUMMYFUNCTION("""COMPUTED_VALUE"""),"SELESAI (VIA PERMOHONAN)")</f>
        <v>SELESAI (VIA PERMOHONAN)</v>
      </c>
      <c r="J2692" s="17">
        <f>IFERROR(__xludf.DUMMYFUNCTION("""COMPUTED_VALUE"""),45834.64278100694)</f>
        <v>45834.64278</v>
      </c>
      <c r="K2692" s="13" t="str">
        <f>IFERROR(__xludf.DUMMYFUNCTION("""COMPUTED_VALUE"""),"Selesai")</f>
        <v>Selesai</v>
      </c>
      <c r="L2692" s="17">
        <f>IFERROR(__xludf.DUMMYFUNCTION("""COMPUTED_VALUE"""),45834.64278100694)</f>
        <v>45834.64278</v>
      </c>
      <c r="M2692" s="13"/>
      <c r="N2692" s="13" t="str">
        <f>IFERROR(__xludf.DUMMYFUNCTION("""COMPUTED_VALUE"""),"")</f>
        <v/>
      </c>
      <c r="O2692" s="13" t="str">
        <f t="shared" si="1"/>
        <v/>
      </c>
    </row>
    <row r="2693" ht="22.5" customHeight="1">
      <c r="B2693" s="13">
        <f>IFERROR(__xludf.DUMMYFUNCTION("""COMPUTED_VALUE"""),2688.0)</f>
        <v>2688</v>
      </c>
      <c r="C2693" s="13" t="str">
        <f>IFERROR(__xludf.DUMMYFUNCTION("""COMPUTED_VALUE"""),"HM 1432/BAKUNG")</f>
        <v>HM 1432/BAKUNG</v>
      </c>
      <c r="D2693" s="13" t="str">
        <f>IFERROR(__xludf.DUMMYFUNCTION("""COMPUTED_VALUE"""),"L/30/170625/1")</f>
        <v>L/30/170625/1</v>
      </c>
      <c r="E2693" s="14" t="str">
        <f>IFERROR(__xludf.DUMMYFUNCTION("""COMPUTED_VALUE"""),"Heri (BT)")</f>
        <v>Heri (BT)</v>
      </c>
      <c r="F2693" s="14" t="str">
        <f>IFERROR(__xludf.DUMMYFUNCTION("""COMPUTED_VALUE"""),"SELESAI (VIA PERMOHONAN)")</f>
        <v>SELESAI (VIA PERMOHONAN)</v>
      </c>
      <c r="G2693" s="17">
        <f>IFERROR(__xludf.DUMMYFUNCTION("""COMPUTED_VALUE"""),45834.489966574074)</f>
        <v>45834.48997</v>
      </c>
      <c r="H2693" s="14" t="str">
        <f>IFERROR(__xludf.DUMMYFUNCTION("""COMPUTED_VALUE"""),"Eci (SU)")</f>
        <v>Eci (SU)</v>
      </c>
      <c r="I2693" s="13" t="str">
        <f>IFERROR(__xludf.DUMMYFUNCTION("""COMPUTED_VALUE"""),"SELESAI (VIA PERMOHONAN)")</f>
        <v>SELESAI (VIA PERMOHONAN)</v>
      </c>
      <c r="J2693" s="17">
        <f>IFERROR(__xludf.DUMMYFUNCTION("""COMPUTED_VALUE"""),45834.64261142361)</f>
        <v>45834.64261</v>
      </c>
      <c r="K2693" s="13" t="str">
        <f>IFERROR(__xludf.DUMMYFUNCTION("""COMPUTED_VALUE"""),"Selesai")</f>
        <v>Selesai</v>
      </c>
      <c r="L2693" s="17">
        <f>IFERROR(__xludf.DUMMYFUNCTION("""COMPUTED_VALUE"""),45834.64261142361)</f>
        <v>45834.64261</v>
      </c>
      <c r="M2693" s="13"/>
      <c r="N2693" s="13" t="str">
        <f>IFERROR(__xludf.DUMMYFUNCTION("""COMPUTED_VALUE"""),"")</f>
        <v/>
      </c>
      <c r="O2693" s="13" t="str">
        <f t="shared" si="1"/>
        <v/>
      </c>
    </row>
    <row r="2694" ht="22.5" customHeight="1">
      <c r="B2694" s="13">
        <f>IFERROR(__xludf.DUMMYFUNCTION("""COMPUTED_VALUE"""),2689.0)</f>
        <v>2689</v>
      </c>
      <c r="C2694" s="13" t="str">
        <f>IFERROR(__xludf.DUMMYFUNCTION("""COMPUTED_VALUE"""),"HM 13389/SEGALA MIDER")</f>
        <v>HM 13389/SEGALA MIDER</v>
      </c>
      <c r="D2694" s="13" t="str">
        <f>IFERROR(__xludf.DUMMYFUNCTION("""COMPUTED_VALUE"""),"L/19/170625/1")</f>
        <v>L/19/170625/1</v>
      </c>
      <c r="E2694" s="14" t="str">
        <f>IFERROR(__xludf.DUMMYFUNCTION("""COMPUTED_VALUE"""),"Heri (BT)")</f>
        <v>Heri (BT)</v>
      </c>
      <c r="F2694" s="14" t="str">
        <f>IFERROR(__xludf.DUMMYFUNCTION("""COMPUTED_VALUE"""),"SELESAI (VIA PERMOHONAN)")</f>
        <v>SELESAI (VIA PERMOHONAN)</v>
      </c>
      <c r="G2694" s="17">
        <f>IFERROR(__xludf.DUMMYFUNCTION("""COMPUTED_VALUE"""),45834.49013420139)</f>
        <v>45834.49013</v>
      </c>
      <c r="H2694" s="14" t="str">
        <f>IFERROR(__xludf.DUMMYFUNCTION("""COMPUTED_VALUE"""),"Eci (SU)")</f>
        <v>Eci (SU)</v>
      </c>
      <c r="I2694" s="13" t="str">
        <f>IFERROR(__xludf.DUMMYFUNCTION("""COMPUTED_VALUE"""),"SELESAI (VIA PERMOHONAN)")</f>
        <v>SELESAI (VIA PERMOHONAN)</v>
      </c>
      <c r="J2694" s="17">
        <f>IFERROR(__xludf.DUMMYFUNCTION("""COMPUTED_VALUE"""),45838.43460199074)</f>
        <v>45838.4346</v>
      </c>
      <c r="K2694" s="13" t="str">
        <f>IFERROR(__xludf.DUMMYFUNCTION("""COMPUTED_VALUE"""),"Selesai")</f>
        <v>Selesai</v>
      </c>
      <c r="L2694" s="17">
        <f>IFERROR(__xludf.DUMMYFUNCTION("""COMPUTED_VALUE"""),45838.43460199074)</f>
        <v>45838.4346</v>
      </c>
      <c r="M2694" s="13"/>
      <c r="N2694" s="13" t="str">
        <f>IFERROR(__xludf.DUMMYFUNCTION("""COMPUTED_VALUE"""),"")</f>
        <v/>
      </c>
      <c r="O2694" s="13" t="str">
        <f t="shared" si="1"/>
        <v/>
      </c>
    </row>
    <row r="2695" ht="22.5" customHeight="1">
      <c r="B2695" s="13">
        <f>IFERROR(__xludf.DUMMYFUNCTION("""COMPUTED_VALUE"""),2690.0)</f>
        <v>2690</v>
      </c>
      <c r="C2695" s="13" t="str">
        <f>IFERROR(__xludf.DUMMYFUNCTION("""COMPUTED_VALUE"""),"HM 2302/KALIAWI")</f>
        <v>HM 2302/KALIAWI</v>
      </c>
      <c r="D2695" s="13" t="str">
        <f>IFERROR(__xludf.DUMMYFUNCTION("""COMPUTED_VALUE"""),"L/3/180625/1")</f>
        <v>L/3/180625/1</v>
      </c>
      <c r="E2695" s="14" t="str">
        <f>IFERROR(__xludf.DUMMYFUNCTION("""COMPUTED_VALUE"""),"Heri (BT)")</f>
        <v>Heri (BT)</v>
      </c>
      <c r="F2695" s="14" t="str">
        <f>IFERROR(__xludf.DUMMYFUNCTION("""COMPUTED_VALUE"""),"SELESAI (VIA PERMOHONAN)")</f>
        <v>SELESAI (VIA PERMOHONAN)</v>
      </c>
      <c r="G2695" s="17">
        <f>IFERROR(__xludf.DUMMYFUNCTION("""COMPUTED_VALUE"""),45834.49029155093)</f>
        <v>45834.49029</v>
      </c>
      <c r="H2695" s="14" t="str">
        <f>IFERROR(__xludf.DUMMYFUNCTION("""COMPUTED_VALUE"""),"Eci (SU)")</f>
        <v>Eci (SU)</v>
      </c>
      <c r="I2695" s="13" t="str">
        <f>IFERROR(__xludf.DUMMYFUNCTION("""COMPUTED_VALUE"""),"SELESAI (VIA PERMOHONAN)")</f>
        <v>SELESAI (VIA PERMOHONAN)</v>
      </c>
      <c r="J2695" s="17">
        <f>IFERROR(__xludf.DUMMYFUNCTION("""COMPUTED_VALUE"""),45838.43471141203)</f>
        <v>45838.43471</v>
      </c>
      <c r="K2695" s="13" t="str">
        <f>IFERROR(__xludf.DUMMYFUNCTION("""COMPUTED_VALUE"""),"Selesai")</f>
        <v>Selesai</v>
      </c>
      <c r="L2695" s="17">
        <f>IFERROR(__xludf.DUMMYFUNCTION("""COMPUTED_VALUE"""),45838.43471141203)</f>
        <v>45838.43471</v>
      </c>
      <c r="M2695" s="13"/>
      <c r="N2695" s="13" t="str">
        <f>IFERROR(__xludf.DUMMYFUNCTION("""COMPUTED_VALUE"""),"")</f>
        <v/>
      </c>
      <c r="O2695" s="13" t="str">
        <f t="shared" si="1"/>
        <v/>
      </c>
    </row>
    <row r="2696" ht="22.5" customHeight="1">
      <c r="B2696" s="13">
        <f>IFERROR(__xludf.DUMMYFUNCTION("""COMPUTED_VALUE"""),2691.0)</f>
        <v>2691</v>
      </c>
      <c r="C2696" s="13" t="str">
        <f>IFERROR(__xludf.DUMMYFUNCTION("""COMPUTED_VALUE"""),"M. 689/PEMATANG WANGI")</f>
        <v>M. 689/PEMATANG WANGI</v>
      </c>
      <c r="D2696" s="13" t="str">
        <f>IFERROR(__xludf.DUMMYFUNCTION("""COMPUTED_VALUE"""),"K/10/100625/1")</f>
        <v>K/10/100625/1</v>
      </c>
      <c r="E2696" s="14" t="str">
        <f>IFERROR(__xludf.DUMMYFUNCTION("""COMPUTED_VALUE"""),"Heri (BT)")</f>
        <v>Heri (BT)</v>
      </c>
      <c r="F2696" s="14" t="str">
        <f>IFERROR(__xludf.DUMMYFUNCTION("""COMPUTED_VALUE"""),"SELESAI (VIA PERMOHONAN)")</f>
        <v>SELESAI (VIA PERMOHONAN)</v>
      </c>
      <c r="G2696" s="17">
        <f>IFERROR(__xludf.DUMMYFUNCTION("""COMPUTED_VALUE"""),45834.49052212963)</f>
        <v>45834.49052</v>
      </c>
      <c r="H2696" s="14" t="str">
        <f>IFERROR(__xludf.DUMMYFUNCTION("""COMPUTED_VALUE"""),"Eci (SU)")</f>
        <v>Eci (SU)</v>
      </c>
      <c r="I2696" s="13" t="str">
        <f>IFERROR(__xludf.DUMMYFUNCTION("""COMPUTED_VALUE"""),"SELESAI (VIA PERMOHONAN)")</f>
        <v>SELESAI (VIA PERMOHONAN)</v>
      </c>
      <c r="J2696" s="17">
        <f>IFERROR(__xludf.DUMMYFUNCTION("""COMPUTED_VALUE"""),45838.43479144676)</f>
        <v>45838.43479</v>
      </c>
      <c r="K2696" s="13" t="str">
        <f>IFERROR(__xludf.DUMMYFUNCTION("""COMPUTED_VALUE"""),"Selesai")</f>
        <v>Selesai</v>
      </c>
      <c r="L2696" s="17">
        <f>IFERROR(__xludf.DUMMYFUNCTION("""COMPUTED_VALUE"""),45838.43479144676)</f>
        <v>45838.43479</v>
      </c>
      <c r="M2696" s="13"/>
      <c r="N2696" s="13" t="str">
        <f>IFERROR(__xludf.DUMMYFUNCTION("""COMPUTED_VALUE"""),"")</f>
        <v/>
      </c>
      <c r="O2696" s="13" t="str">
        <f t="shared" si="1"/>
        <v/>
      </c>
    </row>
    <row r="2697" ht="22.5" customHeight="1">
      <c r="B2697" s="13">
        <f>IFERROR(__xludf.DUMMYFUNCTION("""COMPUTED_VALUE"""),2692.0)</f>
        <v>2692</v>
      </c>
      <c r="C2697" s="13" t="str">
        <f>IFERROR(__xludf.DUMMYFUNCTION("""COMPUTED_VALUE"""),"M.9460/TANJUNG BARU")</f>
        <v>M.9460/TANJUNG BARU</v>
      </c>
      <c r="D2697" s="13" t="str">
        <f>IFERROR(__xludf.DUMMYFUNCTION("""COMPUTED_VALUE"""),"K/7/100625/1")</f>
        <v>K/7/100625/1</v>
      </c>
      <c r="E2697" s="14" t="str">
        <f>IFERROR(__xludf.DUMMYFUNCTION("""COMPUTED_VALUE"""),"Heri (BT)")</f>
        <v>Heri (BT)</v>
      </c>
      <c r="F2697" s="14" t="str">
        <f>IFERROR(__xludf.DUMMYFUNCTION("""COMPUTED_VALUE"""),"SELESAI (VIA PERMOHONAN)")</f>
        <v>SELESAI (VIA PERMOHONAN)</v>
      </c>
      <c r="G2697" s="17">
        <f>IFERROR(__xludf.DUMMYFUNCTION("""COMPUTED_VALUE"""),45834.49063388889)</f>
        <v>45834.49063</v>
      </c>
      <c r="H2697" s="14" t="str">
        <f>IFERROR(__xludf.DUMMYFUNCTION("""COMPUTED_VALUE"""),"Eci (SU)")</f>
        <v>Eci (SU)</v>
      </c>
      <c r="I2697" s="13" t="str">
        <f>IFERROR(__xludf.DUMMYFUNCTION("""COMPUTED_VALUE"""),"SELESAI (VIA PERMOHONAN)")</f>
        <v>SELESAI (VIA PERMOHONAN)</v>
      </c>
      <c r="J2697" s="17">
        <f>IFERROR(__xludf.DUMMYFUNCTION("""COMPUTED_VALUE"""),45838.43490396991)</f>
        <v>45838.4349</v>
      </c>
      <c r="K2697" s="13" t="str">
        <f>IFERROR(__xludf.DUMMYFUNCTION("""COMPUTED_VALUE"""),"Selesai")</f>
        <v>Selesai</v>
      </c>
      <c r="L2697" s="17">
        <f>IFERROR(__xludf.DUMMYFUNCTION("""COMPUTED_VALUE"""),45838.43490396991)</f>
        <v>45838.4349</v>
      </c>
      <c r="M2697" s="13"/>
      <c r="N2697" s="13" t="str">
        <f>IFERROR(__xludf.DUMMYFUNCTION("""COMPUTED_VALUE"""),"")</f>
        <v/>
      </c>
      <c r="O2697" s="13" t="str">
        <f t="shared" si="1"/>
        <v/>
      </c>
    </row>
    <row r="2698" ht="22.5" customHeight="1">
      <c r="B2698" s="13">
        <f>IFERROR(__xludf.DUMMYFUNCTION("""COMPUTED_VALUE"""),2693.0)</f>
        <v>2693</v>
      </c>
      <c r="C2698" s="13" t="str">
        <f>IFERROR(__xludf.DUMMYFUNCTION("""COMPUTED_VALUE"""),"HGB 218/LANGKAPURA")</f>
        <v>HGB 218/LANGKAPURA</v>
      </c>
      <c r="D2698" s="13" t="str">
        <f>IFERROR(__xludf.DUMMYFUNCTION("""COMPUTED_VALUE"""),"L/15/180625/1")</f>
        <v>L/15/180625/1</v>
      </c>
      <c r="E2698" s="14" t="str">
        <f>IFERROR(__xludf.DUMMYFUNCTION("""COMPUTED_VALUE"""),"Heri (BT)")</f>
        <v>Heri (BT)</v>
      </c>
      <c r="F2698" s="14" t="str">
        <f>IFERROR(__xludf.DUMMYFUNCTION("""COMPUTED_VALUE"""),"SELESAI (VIA PERMOHONAN)")</f>
        <v>SELESAI (VIA PERMOHONAN)</v>
      </c>
      <c r="G2698" s="17">
        <f>IFERROR(__xludf.DUMMYFUNCTION("""COMPUTED_VALUE"""),45834.620128912036)</f>
        <v>45834.62013</v>
      </c>
      <c r="H2698" s="14" t="str">
        <f>IFERROR(__xludf.DUMMYFUNCTION("""COMPUTED_VALUE"""),"Eci (SU)")</f>
        <v>Eci (SU)</v>
      </c>
      <c r="I2698" s="13" t="str">
        <f>IFERROR(__xludf.DUMMYFUNCTION("""COMPUTED_VALUE"""),"SELESAI (VIA PERMOHONAN)")</f>
        <v>SELESAI (VIA PERMOHONAN)</v>
      </c>
      <c r="J2698" s="17">
        <f>IFERROR(__xludf.DUMMYFUNCTION("""COMPUTED_VALUE"""),45838.43501163194)</f>
        <v>45838.43501</v>
      </c>
      <c r="K2698" s="13" t="str">
        <f>IFERROR(__xludf.DUMMYFUNCTION("""COMPUTED_VALUE"""),"Selesai")</f>
        <v>Selesai</v>
      </c>
      <c r="L2698" s="17">
        <f>IFERROR(__xludf.DUMMYFUNCTION("""COMPUTED_VALUE"""),45838.43501163194)</f>
        <v>45838.43501</v>
      </c>
      <c r="M2698" s="13"/>
      <c r="N2698" s="13" t="str">
        <f>IFERROR(__xludf.DUMMYFUNCTION("""COMPUTED_VALUE"""),"")</f>
        <v/>
      </c>
      <c r="O2698" s="13" t="str">
        <f t="shared" si="1"/>
        <v/>
      </c>
    </row>
    <row r="2699" ht="22.5" customHeight="1">
      <c r="B2699" s="13">
        <f>IFERROR(__xludf.DUMMYFUNCTION("""COMPUTED_VALUE"""),2694.0)</f>
        <v>2694</v>
      </c>
      <c r="C2699" s="13" t="str">
        <f>IFERROR(__xludf.DUMMYFUNCTION("""COMPUTED_VALUE"""),"M. 867/ Sumber Agung")</f>
        <v>M. 867/ Sumber Agung</v>
      </c>
      <c r="D2699" s="13" t="str">
        <f>IFERROR(__xludf.DUMMYFUNCTION("""COMPUTED_VALUE"""),"K/42/040625/1")</f>
        <v>K/42/040625/1</v>
      </c>
      <c r="E2699" s="14" t="str">
        <f>IFERROR(__xludf.DUMMYFUNCTION("""COMPUTED_VALUE"""),"Afriza (BT)")</f>
        <v>Afriza (BT)</v>
      </c>
      <c r="F2699" s="14" t="str">
        <f>IFERROR(__xludf.DUMMYFUNCTION("""COMPUTED_VALUE"""),"SELESAI (VIA PERMOHONAN)")</f>
        <v>SELESAI (VIA PERMOHONAN)</v>
      </c>
      <c r="G2699" s="17">
        <f>IFERROR(__xludf.DUMMYFUNCTION("""COMPUTED_VALUE"""),45834.732144594906)</f>
        <v>45834.73214</v>
      </c>
      <c r="H2699" s="14" t="str">
        <f>IFERROR(__xludf.DUMMYFUNCTION("""COMPUTED_VALUE"""),"Admin (Migrasi)")</f>
        <v>Admin (Migrasi)</v>
      </c>
      <c r="I2699" s="13" t="str">
        <f>IFERROR(__xludf.DUMMYFUNCTION("""COMPUTED_VALUE"""),"SELESAI (VIA PERMOHONAN)")</f>
        <v>SELESAI (VIA PERMOHONAN)</v>
      </c>
      <c r="J2699" s="17">
        <f>IFERROR(__xludf.DUMMYFUNCTION("""COMPUTED_VALUE"""),45834.73219170139)</f>
        <v>45834.73219</v>
      </c>
      <c r="K2699" s="13" t="str">
        <f>IFERROR(__xludf.DUMMYFUNCTION("""COMPUTED_VALUE"""),"Selesai")</f>
        <v>Selesai</v>
      </c>
      <c r="L2699" s="17">
        <f>IFERROR(__xludf.DUMMYFUNCTION("""COMPUTED_VALUE"""),45834.73219170139)</f>
        <v>45834.73219</v>
      </c>
      <c r="M2699" s="13"/>
      <c r="N2699" s="13" t="str">
        <f>IFERROR(__xludf.DUMMYFUNCTION("""COMPUTED_VALUE"""),"")</f>
        <v/>
      </c>
      <c r="O2699" s="13" t="str">
        <f t="shared" si="1"/>
        <v/>
      </c>
    </row>
    <row r="2700" ht="22.5" customHeight="1">
      <c r="B2700" s="13">
        <f>IFERROR(__xludf.DUMMYFUNCTION("""COMPUTED_VALUE"""),2695.0)</f>
        <v>2695</v>
      </c>
      <c r="C2700" s="13" t="str">
        <f>IFERROR(__xludf.DUMMYFUNCTION("""COMPUTED_VALUE"""),"M. 1593/ Pengajaran")</f>
        <v>M. 1593/ Pengajaran</v>
      </c>
      <c r="D2700" s="13" t="str">
        <f>IFERROR(__xludf.DUMMYFUNCTION("""COMPUTED_VALUE"""),"K/11/160632/1")</f>
        <v>K/11/160632/1</v>
      </c>
      <c r="E2700" s="14" t="str">
        <f>IFERROR(__xludf.DUMMYFUNCTION("""COMPUTED_VALUE"""),"Afriza (BT)")</f>
        <v>Afriza (BT)</v>
      </c>
      <c r="F2700" s="14" t="str">
        <f>IFERROR(__xludf.DUMMYFUNCTION("""COMPUTED_VALUE"""),"SELESAI (VIA PERMOHONAN)")</f>
        <v>SELESAI (VIA PERMOHONAN)</v>
      </c>
      <c r="G2700" s="17">
        <f>IFERROR(__xludf.DUMMYFUNCTION("""COMPUTED_VALUE"""),45834.732368136574)</f>
        <v>45834.73237</v>
      </c>
      <c r="H2700" s="14" t="str">
        <f>IFERROR(__xludf.DUMMYFUNCTION("""COMPUTED_VALUE"""),"Admin (Migrasi)")</f>
        <v>Admin (Migrasi)</v>
      </c>
      <c r="I2700" s="13" t="str">
        <f>IFERROR(__xludf.DUMMYFUNCTION("""COMPUTED_VALUE"""),"SELESAI (VIA PERMOHONAN)")</f>
        <v>SELESAI (VIA PERMOHONAN)</v>
      </c>
      <c r="J2700" s="17">
        <f>IFERROR(__xludf.DUMMYFUNCTION("""COMPUTED_VALUE"""),45834.73240130787)</f>
        <v>45834.7324</v>
      </c>
      <c r="K2700" s="13" t="str">
        <f>IFERROR(__xludf.DUMMYFUNCTION("""COMPUTED_VALUE"""),"Selesai")</f>
        <v>Selesai</v>
      </c>
      <c r="L2700" s="17">
        <f>IFERROR(__xludf.DUMMYFUNCTION("""COMPUTED_VALUE"""),45834.73240130787)</f>
        <v>45834.7324</v>
      </c>
      <c r="M2700" s="13"/>
      <c r="N2700" s="13" t="str">
        <f>IFERROR(__xludf.DUMMYFUNCTION("""COMPUTED_VALUE"""),"")</f>
        <v/>
      </c>
      <c r="O2700" s="13" t="str">
        <f t="shared" si="1"/>
        <v/>
      </c>
    </row>
    <row r="2701" ht="22.5" customHeight="1">
      <c r="B2701" s="13">
        <f>IFERROR(__xludf.DUMMYFUNCTION("""COMPUTED_VALUE"""),2696.0)</f>
        <v>2696</v>
      </c>
      <c r="C2701" s="13" t="str">
        <f>IFERROR(__xludf.DUMMYFUNCTION("""COMPUTED_VALUE"""),"HM 6394/WAY KANDIS")</f>
        <v>HM 6394/WAY KANDIS</v>
      </c>
      <c r="D2701" s="13" t="str">
        <f>IFERROR(__xludf.DUMMYFUNCTION("""COMPUTED_VALUE"""),"L/2/180625/1")</f>
        <v>L/2/180625/1</v>
      </c>
      <c r="E2701" s="14" t="str">
        <f>IFERROR(__xludf.DUMMYFUNCTION("""COMPUTED_VALUE"""),"Afriza (BT)")</f>
        <v>Afriza (BT)</v>
      </c>
      <c r="F2701" s="14" t="str">
        <f>IFERROR(__xludf.DUMMYFUNCTION("""COMPUTED_VALUE"""),"SELESAI (VIA PERMOHONAN)")</f>
        <v>SELESAI (VIA PERMOHONAN)</v>
      </c>
      <c r="G2701" s="17">
        <f>IFERROR(__xludf.DUMMYFUNCTION("""COMPUTED_VALUE"""),45834.732557407406)</f>
        <v>45834.73256</v>
      </c>
      <c r="H2701" s="14" t="str">
        <f>IFERROR(__xludf.DUMMYFUNCTION("""COMPUTED_VALUE"""),"Admin (Migrasi)")</f>
        <v>Admin (Migrasi)</v>
      </c>
      <c r="I2701" s="13" t="str">
        <f>IFERROR(__xludf.DUMMYFUNCTION("""COMPUTED_VALUE"""),"SELESAI (VIA PERMOHONAN)")</f>
        <v>SELESAI (VIA PERMOHONAN)</v>
      </c>
      <c r="J2701" s="17">
        <f>IFERROR(__xludf.DUMMYFUNCTION("""COMPUTED_VALUE"""),45834.73259392361)</f>
        <v>45834.73259</v>
      </c>
      <c r="K2701" s="13" t="str">
        <f>IFERROR(__xludf.DUMMYFUNCTION("""COMPUTED_VALUE"""),"Selesai")</f>
        <v>Selesai</v>
      </c>
      <c r="L2701" s="17">
        <f>IFERROR(__xludf.DUMMYFUNCTION("""COMPUTED_VALUE"""),45834.73259392361)</f>
        <v>45834.73259</v>
      </c>
      <c r="M2701" s="13"/>
      <c r="N2701" s="13" t="str">
        <f>IFERROR(__xludf.DUMMYFUNCTION("""COMPUTED_VALUE"""),"")</f>
        <v/>
      </c>
      <c r="O2701" s="13" t="str">
        <f t="shared" si="1"/>
        <v/>
      </c>
    </row>
    <row r="2702" ht="22.5" customHeight="1">
      <c r="B2702" s="13">
        <f>IFERROR(__xludf.DUMMYFUNCTION("""COMPUTED_VALUE"""),2697.0)</f>
        <v>2697</v>
      </c>
      <c r="C2702" s="13" t="str">
        <f>IFERROR(__xludf.DUMMYFUNCTION("""COMPUTED_VALUE"""),"M.980/PERUMNAS WAY KANDIS ")</f>
        <v>M.980/PERUMNAS WAY KANDIS </v>
      </c>
      <c r="D2702" s="13" t="str">
        <f>IFERROR(__xludf.DUMMYFUNCTION("""COMPUTED_VALUE"""),"K/13/030625/2")</f>
        <v>K/13/030625/2</v>
      </c>
      <c r="E2702" s="14" t="str">
        <f>IFERROR(__xludf.DUMMYFUNCTION("""COMPUTED_VALUE"""),"Heri (BT)")</f>
        <v>Heri (BT)</v>
      </c>
      <c r="F2702" s="14" t="str">
        <f>IFERROR(__xludf.DUMMYFUNCTION("""COMPUTED_VALUE"""),"SELESAI (VIA PERMOHONAN)")</f>
        <v>SELESAI (VIA PERMOHONAN)</v>
      </c>
      <c r="G2702" s="17">
        <f>IFERROR(__xludf.DUMMYFUNCTION("""COMPUTED_VALUE"""),45838.56223243056)</f>
        <v>45838.56223</v>
      </c>
      <c r="H2702" s="14" t="str">
        <f>IFERROR(__xludf.DUMMYFUNCTION("""COMPUTED_VALUE"""),"Eci (SU)")</f>
        <v>Eci (SU)</v>
      </c>
      <c r="I2702" s="13" t="str">
        <f>IFERROR(__xludf.DUMMYFUNCTION("""COMPUTED_VALUE"""),"SELESAI (VIA PERMOHONAN)")</f>
        <v>SELESAI (VIA PERMOHONAN)</v>
      </c>
      <c r="J2702" s="17">
        <f>IFERROR(__xludf.DUMMYFUNCTION("""COMPUTED_VALUE"""),45838.64717776621)</f>
        <v>45838.64718</v>
      </c>
      <c r="K2702" s="13" t="str">
        <f>IFERROR(__xludf.DUMMYFUNCTION("""COMPUTED_VALUE"""),"Selesai")</f>
        <v>Selesai</v>
      </c>
      <c r="L2702" s="17">
        <f>IFERROR(__xludf.DUMMYFUNCTION("""COMPUTED_VALUE"""),45838.64717776621)</f>
        <v>45838.64718</v>
      </c>
      <c r="M2702" s="13"/>
      <c r="N2702" s="13" t="str">
        <f>IFERROR(__xludf.DUMMYFUNCTION("""COMPUTED_VALUE"""),"")</f>
        <v/>
      </c>
      <c r="O2702" s="13" t="str">
        <f t="shared" si="1"/>
        <v/>
      </c>
    </row>
    <row r="2703" ht="22.5" customHeight="1">
      <c r="B2703" s="13">
        <f>IFERROR(__xludf.DUMMYFUNCTION("""COMPUTED_VALUE"""),2698.0)</f>
        <v>2698</v>
      </c>
      <c r="C2703" s="13" t="str">
        <f>IFERROR(__xludf.DUMMYFUNCTION("""COMPUTED_VALUE"""),"B.71/KOTA KARANG")</f>
        <v>B.71/KOTA KARANG</v>
      </c>
      <c r="D2703" s="13" t="str">
        <f>IFERROR(__xludf.DUMMYFUNCTION("""COMPUTED_VALUE"""),"K/36/190625/1")</f>
        <v>K/36/190625/1</v>
      </c>
      <c r="E2703" s="14" t="str">
        <f>IFERROR(__xludf.DUMMYFUNCTION("""COMPUTED_VALUE"""),"Heri (BT)")</f>
        <v>Heri (BT)</v>
      </c>
      <c r="F2703" s="14" t="str">
        <f>IFERROR(__xludf.DUMMYFUNCTION("""COMPUTED_VALUE"""),"SELESAI (VIA PERMOHONAN)")</f>
        <v>SELESAI (VIA PERMOHONAN)</v>
      </c>
      <c r="G2703" s="17">
        <f>IFERROR(__xludf.DUMMYFUNCTION("""COMPUTED_VALUE"""),45838.56226835648)</f>
        <v>45838.56227</v>
      </c>
      <c r="H2703" s="14" t="str">
        <f>IFERROR(__xludf.DUMMYFUNCTION("""COMPUTED_VALUE"""),"Eci (SU)")</f>
        <v>Eci (SU)</v>
      </c>
      <c r="I2703" s="13" t="str">
        <f>IFERROR(__xludf.DUMMYFUNCTION("""COMPUTED_VALUE"""),"SELESAI (VIA PERMOHONAN)")</f>
        <v>SELESAI (VIA PERMOHONAN)</v>
      </c>
      <c r="J2703" s="17">
        <f>IFERROR(__xludf.DUMMYFUNCTION("""COMPUTED_VALUE"""),45838.64717776621)</f>
        <v>45838.64718</v>
      </c>
      <c r="K2703" s="13" t="str">
        <f>IFERROR(__xludf.DUMMYFUNCTION("""COMPUTED_VALUE"""),"Selesai")</f>
        <v>Selesai</v>
      </c>
      <c r="L2703" s="17">
        <f>IFERROR(__xludf.DUMMYFUNCTION("""COMPUTED_VALUE"""),45838.64717776621)</f>
        <v>45838.64718</v>
      </c>
      <c r="M2703" s="13"/>
      <c r="N2703" s="13" t="str">
        <f>IFERROR(__xludf.DUMMYFUNCTION("""COMPUTED_VALUE"""),"")</f>
        <v/>
      </c>
      <c r="O2703" s="13" t="str">
        <f t="shared" si="1"/>
        <v/>
      </c>
    </row>
    <row r="2704" ht="22.5" customHeight="1">
      <c r="B2704" s="13">
        <f>IFERROR(__xludf.DUMMYFUNCTION("""COMPUTED_VALUE"""),2699.0)</f>
        <v>2699</v>
      </c>
      <c r="C2704" s="13" t="str">
        <f>IFERROR(__xludf.DUMMYFUNCTION("""COMPUTED_VALUE"""),"M.575/TANJUNG SENENG")</f>
        <v>M.575/TANJUNG SENENG</v>
      </c>
      <c r="D2704" s="13" t="str">
        <f>IFERROR(__xludf.DUMMYFUNCTION("""COMPUTED_VALUE"""),"K/13/250625/1")</f>
        <v>K/13/250625/1</v>
      </c>
      <c r="E2704" s="14" t="str">
        <f>IFERROR(__xludf.DUMMYFUNCTION("""COMPUTED_VALUE"""),"Heri (BT)")</f>
        <v>Heri (BT)</v>
      </c>
      <c r="F2704" s="14" t="str">
        <f>IFERROR(__xludf.DUMMYFUNCTION("""COMPUTED_VALUE"""),"SELESAI (VIA PERMOHONAN)")</f>
        <v>SELESAI (VIA PERMOHONAN)</v>
      </c>
      <c r="G2704" s="17">
        <f>IFERROR(__xludf.DUMMYFUNCTION("""COMPUTED_VALUE"""),45838.56240646991)</f>
        <v>45838.56241</v>
      </c>
      <c r="H2704" s="14" t="str">
        <f>IFERROR(__xludf.DUMMYFUNCTION("""COMPUTED_VALUE"""),"Eci (SU)")</f>
        <v>Eci (SU)</v>
      </c>
      <c r="I2704" s="13" t="str">
        <f>IFERROR(__xludf.DUMMYFUNCTION("""COMPUTED_VALUE"""),"SELESAI (VIA PERMOHONAN)")</f>
        <v>SELESAI (VIA PERMOHONAN)</v>
      </c>
      <c r="J2704" s="17">
        <f>IFERROR(__xludf.DUMMYFUNCTION("""COMPUTED_VALUE"""),45838.64717776621)</f>
        <v>45838.64718</v>
      </c>
      <c r="K2704" s="13" t="str">
        <f>IFERROR(__xludf.DUMMYFUNCTION("""COMPUTED_VALUE"""),"Selesai")</f>
        <v>Selesai</v>
      </c>
      <c r="L2704" s="17">
        <f>IFERROR(__xludf.DUMMYFUNCTION("""COMPUTED_VALUE"""),45838.64717776621)</f>
        <v>45838.64718</v>
      </c>
      <c r="M2704" s="13"/>
      <c r="N2704" s="13" t="str">
        <f>IFERROR(__xludf.DUMMYFUNCTION("""COMPUTED_VALUE"""),"")</f>
        <v/>
      </c>
      <c r="O2704" s="13" t="str">
        <f t="shared" si="1"/>
        <v/>
      </c>
    </row>
    <row r="2705" ht="22.5" customHeight="1">
      <c r="B2705" s="13">
        <f>IFERROR(__xludf.DUMMYFUNCTION("""COMPUTED_VALUE"""),2700.0)</f>
        <v>2700</v>
      </c>
      <c r="C2705" s="13" t="str">
        <f>IFERROR(__xludf.DUMMYFUNCTION("""COMPUTED_VALUE"""),"M.2447/GEDONG AIR")</f>
        <v>M.2447/GEDONG AIR</v>
      </c>
      <c r="D2705" s="13" t="str">
        <f>IFERROR(__xludf.DUMMYFUNCTION("""COMPUTED_VALUE"""),"K/31/190625/1")</f>
        <v>K/31/190625/1</v>
      </c>
      <c r="E2705" s="14" t="str">
        <f>IFERROR(__xludf.DUMMYFUNCTION("""COMPUTED_VALUE"""),"Heri (BT)")</f>
        <v>Heri (BT)</v>
      </c>
      <c r="F2705" s="14" t="str">
        <f>IFERROR(__xludf.DUMMYFUNCTION("""COMPUTED_VALUE"""),"SELESAI (VIA PERMOHONAN)")</f>
        <v>SELESAI (VIA PERMOHONAN)</v>
      </c>
      <c r="G2705" s="17">
        <f>IFERROR(__xludf.DUMMYFUNCTION("""COMPUTED_VALUE"""),45838.562545)</f>
        <v>45838.56255</v>
      </c>
      <c r="H2705" s="14" t="str">
        <f>IFERROR(__xludf.DUMMYFUNCTION("""COMPUTED_VALUE"""),"Eci (SU)")</f>
        <v>Eci (SU)</v>
      </c>
      <c r="I2705" s="13" t="str">
        <f>IFERROR(__xludf.DUMMYFUNCTION("""COMPUTED_VALUE"""),"SELESAI (VIA PERMOHONAN)")</f>
        <v>SELESAI (VIA PERMOHONAN)</v>
      </c>
      <c r="J2705" s="17">
        <f>IFERROR(__xludf.DUMMYFUNCTION("""COMPUTED_VALUE"""),45838.64717776621)</f>
        <v>45838.64718</v>
      </c>
      <c r="K2705" s="13" t="str">
        <f>IFERROR(__xludf.DUMMYFUNCTION("""COMPUTED_VALUE"""),"Selesai")</f>
        <v>Selesai</v>
      </c>
      <c r="L2705" s="17">
        <f>IFERROR(__xludf.DUMMYFUNCTION("""COMPUTED_VALUE"""),45838.64717776621)</f>
        <v>45838.64718</v>
      </c>
      <c r="M2705" s="13"/>
      <c r="N2705" s="13" t="str">
        <f>IFERROR(__xludf.DUMMYFUNCTION("""COMPUTED_VALUE"""),"")</f>
        <v/>
      </c>
      <c r="O2705" s="13" t="str">
        <f t="shared" si="1"/>
        <v/>
      </c>
    </row>
    <row r="2706" ht="22.5" customHeight="1">
      <c r="B2706" s="13">
        <f>IFERROR(__xludf.DUMMYFUNCTION("""COMPUTED_VALUE"""),2701.0)</f>
        <v>2701</v>
      </c>
      <c r="C2706" s="13" t="str">
        <f>IFERROR(__xludf.DUMMYFUNCTION("""COMPUTED_VALUE"""),"M.9238/KEDAMAIAN")</f>
        <v>M.9238/KEDAMAIAN</v>
      </c>
      <c r="D2706" s="13" t="str">
        <f>IFERROR(__xludf.DUMMYFUNCTION("""COMPUTED_VALUE"""),"K/18/120625/2")</f>
        <v>K/18/120625/2</v>
      </c>
      <c r="E2706" s="14" t="str">
        <f>IFERROR(__xludf.DUMMYFUNCTION("""COMPUTED_VALUE"""),"Heri (BT)")</f>
        <v>Heri (BT)</v>
      </c>
      <c r="F2706" s="14" t="str">
        <f>IFERROR(__xludf.DUMMYFUNCTION("""COMPUTED_VALUE"""),"SELESAI (VIA PERMOHONAN)")</f>
        <v>SELESAI (VIA PERMOHONAN)</v>
      </c>
      <c r="G2706" s="17">
        <f>IFERROR(__xludf.DUMMYFUNCTION("""COMPUTED_VALUE"""),45838.56269047454)</f>
        <v>45838.56269</v>
      </c>
      <c r="H2706" s="14" t="str">
        <f>IFERROR(__xludf.DUMMYFUNCTION("""COMPUTED_VALUE"""),"Eci (SU)")</f>
        <v>Eci (SU)</v>
      </c>
      <c r="I2706" s="13" t="str">
        <f>IFERROR(__xludf.DUMMYFUNCTION("""COMPUTED_VALUE"""),"SELESAI (VIA PERMOHONAN)")</f>
        <v>SELESAI (VIA PERMOHONAN)</v>
      </c>
      <c r="J2706" s="17">
        <f>IFERROR(__xludf.DUMMYFUNCTION("""COMPUTED_VALUE"""),45838.64717776621)</f>
        <v>45838.64718</v>
      </c>
      <c r="K2706" s="13" t="str">
        <f>IFERROR(__xludf.DUMMYFUNCTION("""COMPUTED_VALUE"""),"Selesai")</f>
        <v>Selesai</v>
      </c>
      <c r="L2706" s="17">
        <f>IFERROR(__xludf.DUMMYFUNCTION("""COMPUTED_VALUE"""),45838.64717776621)</f>
        <v>45838.64718</v>
      </c>
      <c r="M2706" s="13"/>
      <c r="N2706" s="13" t="str">
        <f>IFERROR(__xludf.DUMMYFUNCTION("""COMPUTED_VALUE"""),"")</f>
        <v/>
      </c>
      <c r="O2706" s="13" t="str">
        <f t="shared" si="1"/>
        <v/>
      </c>
    </row>
    <row r="2707" ht="22.5" customHeight="1">
      <c r="B2707" s="13">
        <f>IFERROR(__xludf.DUMMYFUNCTION("""COMPUTED_VALUE"""),2702.0)</f>
        <v>2702</v>
      </c>
      <c r="C2707" s="13" t="str">
        <f>IFERROR(__xludf.DUMMYFUNCTION("""COMPUTED_VALUE"""),"M.577/PESAWAHAN")</f>
        <v>M.577/PESAWAHAN</v>
      </c>
      <c r="D2707" s="13" t="str">
        <f>IFERROR(__xludf.DUMMYFUNCTION("""COMPUTED_VALUE"""),"K/31/120625/1")</f>
        <v>K/31/120625/1</v>
      </c>
      <c r="E2707" s="14" t="str">
        <f>IFERROR(__xludf.DUMMYFUNCTION("""COMPUTED_VALUE"""),"Heri (BT)")</f>
        <v>Heri (BT)</v>
      </c>
      <c r="F2707" s="14" t="str">
        <f>IFERROR(__xludf.DUMMYFUNCTION("""COMPUTED_VALUE"""),"SELESAI (VIA PERMOHONAN)")</f>
        <v>SELESAI (VIA PERMOHONAN)</v>
      </c>
      <c r="G2707" s="17">
        <f>IFERROR(__xludf.DUMMYFUNCTION("""COMPUTED_VALUE"""),45838.562826504625)</f>
        <v>45838.56283</v>
      </c>
      <c r="H2707" s="14" t="str">
        <f>IFERROR(__xludf.DUMMYFUNCTION("""COMPUTED_VALUE"""),"Eci (SU)")</f>
        <v>Eci (SU)</v>
      </c>
      <c r="I2707" s="13" t="str">
        <f>IFERROR(__xludf.DUMMYFUNCTION("""COMPUTED_VALUE"""),"SELESAI (VIA PERMOHONAN)")</f>
        <v>SELESAI (VIA PERMOHONAN)</v>
      </c>
      <c r="J2707" s="17">
        <f>IFERROR(__xludf.DUMMYFUNCTION("""COMPUTED_VALUE"""),45838.64717776621)</f>
        <v>45838.64718</v>
      </c>
      <c r="K2707" s="13" t="str">
        <f>IFERROR(__xludf.DUMMYFUNCTION("""COMPUTED_VALUE"""),"Selesai")</f>
        <v>Selesai</v>
      </c>
      <c r="L2707" s="17">
        <f>IFERROR(__xludf.DUMMYFUNCTION("""COMPUTED_VALUE"""),45838.64717776621)</f>
        <v>45838.64718</v>
      </c>
      <c r="M2707" s="13"/>
      <c r="N2707" s="13" t="str">
        <f>IFERROR(__xludf.DUMMYFUNCTION("""COMPUTED_VALUE"""),"")</f>
        <v/>
      </c>
      <c r="O2707" s="13" t="str">
        <f t="shared" si="1"/>
        <v/>
      </c>
    </row>
    <row r="2708" ht="22.5" customHeight="1">
      <c r="B2708" s="13">
        <f>IFERROR(__xludf.DUMMYFUNCTION("""COMPUTED_VALUE"""),2703.0)</f>
        <v>2703</v>
      </c>
      <c r="C2708" s="13" t="str">
        <f>IFERROR(__xludf.DUMMYFUNCTION("""COMPUTED_VALUE"""),"M.12080/JAGABAYA II")</f>
        <v>M.12080/JAGABAYA II</v>
      </c>
      <c r="D2708" s="13" t="str">
        <f>IFERROR(__xludf.DUMMYFUNCTION("""COMPUTED_VALUE"""),"K/19/190625/1")</f>
        <v>K/19/190625/1</v>
      </c>
      <c r="E2708" s="14" t="str">
        <f>IFERROR(__xludf.DUMMYFUNCTION("""COMPUTED_VALUE"""),"Heri (BT)")</f>
        <v>Heri (BT)</v>
      </c>
      <c r="F2708" s="14" t="str">
        <f>IFERROR(__xludf.DUMMYFUNCTION("""COMPUTED_VALUE"""),"SELESAI (VIA PERMOHONAN)")</f>
        <v>SELESAI (VIA PERMOHONAN)</v>
      </c>
      <c r="G2708" s="17">
        <f>IFERROR(__xludf.DUMMYFUNCTION("""COMPUTED_VALUE"""),45838.56296540509)</f>
        <v>45838.56297</v>
      </c>
      <c r="H2708" s="14" t="str">
        <f>IFERROR(__xludf.DUMMYFUNCTION("""COMPUTED_VALUE"""),"Eci (SU)")</f>
        <v>Eci (SU)</v>
      </c>
      <c r="I2708" s="13" t="str">
        <f>IFERROR(__xludf.DUMMYFUNCTION("""COMPUTED_VALUE"""),"SELESAI (VIA PERMOHONAN)")</f>
        <v>SELESAI (VIA PERMOHONAN)</v>
      </c>
      <c r="J2708" s="17">
        <f>IFERROR(__xludf.DUMMYFUNCTION("""COMPUTED_VALUE"""),45839.41742409722)</f>
        <v>45839.41742</v>
      </c>
      <c r="K2708" s="13" t="str">
        <f>IFERROR(__xludf.DUMMYFUNCTION("""COMPUTED_VALUE"""),"Selesai")</f>
        <v>Selesai</v>
      </c>
      <c r="L2708" s="17">
        <f>IFERROR(__xludf.DUMMYFUNCTION("""COMPUTED_VALUE"""),45839.41742409722)</f>
        <v>45839.41742</v>
      </c>
      <c r="M2708" s="13"/>
      <c r="N2708" s="13" t="str">
        <f>IFERROR(__xludf.DUMMYFUNCTION("""COMPUTED_VALUE"""),"")</f>
        <v/>
      </c>
      <c r="O2708" s="13" t="str">
        <f t="shared" si="1"/>
        <v/>
      </c>
    </row>
    <row r="2709" ht="22.5" customHeight="1">
      <c r="B2709" s="13">
        <f>IFERROR(__xludf.DUMMYFUNCTION("""COMPUTED_VALUE"""),2704.0)</f>
        <v>2704</v>
      </c>
      <c r="C2709" s="13" t="str">
        <f>IFERROR(__xludf.DUMMYFUNCTION("""COMPUTED_VALUE"""),"M. 4628/ Campang Raya")</f>
        <v>M. 4628/ Campang Raya</v>
      </c>
      <c r="D2709" s="13" t="str">
        <f>IFERROR(__xludf.DUMMYFUNCTION("""COMPUTED_VALUE"""),"K/18/130625/1")</f>
        <v>K/18/130625/1</v>
      </c>
      <c r="E2709" s="14" t="str">
        <f>IFERROR(__xludf.DUMMYFUNCTION("""COMPUTED_VALUE"""),"Heri (BT)")</f>
        <v>Heri (BT)</v>
      </c>
      <c r="F2709" s="14" t="str">
        <f>IFERROR(__xludf.DUMMYFUNCTION("""COMPUTED_VALUE"""),"SELESAI (VIA PERMOHONAN)")</f>
        <v>SELESAI (VIA PERMOHONAN)</v>
      </c>
      <c r="G2709" s="17">
        <f>IFERROR(__xludf.DUMMYFUNCTION("""COMPUTED_VALUE"""),45838.56309081019)</f>
        <v>45838.56309</v>
      </c>
      <c r="H2709" s="14" t="str">
        <f>IFERROR(__xludf.DUMMYFUNCTION("""COMPUTED_VALUE"""),"Eci (SU)")</f>
        <v>Eci (SU)</v>
      </c>
      <c r="I2709" s="13" t="str">
        <f>IFERROR(__xludf.DUMMYFUNCTION("""COMPUTED_VALUE"""),"SELESAI (VIA PERMOHONAN)")</f>
        <v>SELESAI (VIA PERMOHONAN)</v>
      </c>
      <c r="J2709" s="17">
        <f>IFERROR(__xludf.DUMMYFUNCTION("""COMPUTED_VALUE"""),45838.647293622686)</f>
        <v>45838.64729</v>
      </c>
      <c r="K2709" s="13" t="str">
        <f>IFERROR(__xludf.DUMMYFUNCTION("""COMPUTED_VALUE"""),"Selesai")</f>
        <v>Selesai</v>
      </c>
      <c r="L2709" s="17">
        <f>IFERROR(__xludf.DUMMYFUNCTION("""COMPUTED_VALUE"""),45838.647293622686)</f>
        <v>45838.64729</v>
      </c>
      <c r="M2709" s="13"/>
      <c r="N2709" s="13" t="str">
        <f>IFERROR(__xludf.DUMMYFUNCTION("""COMPUTED_VALUE"""),"")</f>
        <v/>
      </c>
      <c r="O2709" s="13" t="str">
        <f t="shared" si="1"/>
        <v/>
      </c>
    </row>
    <row r="2710" ht="22.5" customHeight="1">
      <c r="B2710" s="13">
        <f>IFERROR(__xludf.DUMMYFUNCTION("""COMPUTED_VALUE"""),2705.0)</f>
        <v>2705</v>
      </c>
      <c r="C2710" s="13" t="str">
        <f>IFERROR(__xludf.DUMMYFUNCTION("""COMPUTED_VALUE"""),"M. 9206/ gd meneng")</f>
        <v>M. 9206/ gd meneng</v>
      </c>
      <c r="D2710" s="13" t="str">
        <f>IFERROR(__xludf.DUMMYFUNCTION("""COMPUTED_VALUE"""),"K/2/120625/1")</f>
        <v>K/2/120625/1</v>
      </c>
      <c r="E2710" s="14" t="str">
        <f>IFERROR(__xludf.DUMMYFUNCTION("""COMPUTED_VALUE"""),"Heri (BT)")</f>
        <v>Heri (BT)</v>
      </c>
      <c r="F2710" s="14" t="str">
        <f>IFERROR(__xludf.DUMMYFUNCTION("""COMPUTED_VALUE"""),"SELESAI (VIA PERMOHONAN)")</f>
        <v>SELESAI (VIA PERMOHONAN)</v>
      </c>
      <c r="G2710" s="17">
        <f>IFERROR(__xludf.DUMMYFUNCTION("""COMPUTED_VALUE"""),45838.56324471065)</f>
        <v>45838.56324</v>
      </c>
      <c r="H2710" s="14" t="str">
        <f>IFERROR(__xludf.DUMMYFUNCTION("""COMPUTED_VALUE"""),"Eci (SU)")</f>
        <v>Eci (SU)</v>
      </c>
      <c r="I2710" s="13" t="str">
        <f>IFERROR(__xludf.DUMMYFUNCTION("""COMPUTED_VALUE"""),"SELESAI (VIA PERMOHONAN)")</f>
        <v>SELESAI (VIA PERMOHONAN)</v>
      </c>
      <c r="J2710" s="17">
        <f>IFERROR(__xludf.DUMMYFUNCTION("""COMPUTED_VALUE"""),45838.64732230324)</f>
        <v>45838.64732</v>
      </c>
      <c r="K2710" s="13" t="str">
        <f>IFERROR(__xludf.DUMMYFUNCTION("""COMPUTED_VALUE"""),"Selesai")</f>
        <v>Selesai</v>
      </c>
      <c r="L2710" s="17">
        <f>IFERROR(__xludf.DUMMYFUNCTION("""COMPUTED_VALUE"""),45838.64732230324)</f>
        <v>45838.64732</v>
      </c>
      <c r="M2710" s="13"/>
      <c r="N2710" s="13" t="str">
        <f>IFERROR(__xludf.DUMMYFUNCTION("""COMPUTED_VALUE"""),"")</f>
        <v/>
      </c>
      <c r="O2710" s="13" t="str">
        <f t="shared" si="1"/>
        <v/>
      </c>
    </row>
    <row r="2711" ht="22.5" customHeight="1">
      <c r="B2711" s="13">
        <f>IFERROR(__xludf.DUMMYFUNCTION("""COMPUTED_VALUE"""),2706.0)</f>
        <v>2706</v>
      </c>
      <c r="C2711" s="13" t="str">
        <f>IFERROR(__xludf.DUMMYFUNCTION("""COMPUTED_VALUE"""),"M. 2640/ Pinang Jaya")</f>
        <v>M. 2640/ Pinang Jaya</v>
      </c>
      <c r="D2711" s="13" t="str">
        <f>IFERROR(__xludf.DUMMYFUNCTION("""COMPUTED_VALUE"""),"K/43/050625/2")</f>
        <v>K/43/050625/2</v>
      </c>
      <c r="E2711" s="14" t="str">
        <f>IFERROR(__xludf.DUMMYFUNCTION("""COMPUTED_VALUE"""),"Heri (BT)")</f>
        <v>Heri (BT)</v>
      </c>
      <c r="F2711" s="14" t="str">
        <f>IFERROR(__xludf.DUMMYFUNCTION("""COMPUTED_VALUE"""),"SELESAI (VIA PERMOHONAN)")</f>
        <v>SELESAI (VIA PERMOHONAN)</v>
      </c>
      <c r="G2711" s="17">
        <f>IFERROR(__xludf.DUMMYFUNCTION("""COMPUTED_VALUE"""),45838.563380277774)</f>
        <v>45838.56338</v>
      </c>
      <c r="H2711" s="14" t="str">
        <f>IFERROR(__xludf.DUMMYFUNCTION("""COMPUTED_VALUE"""),"Eci (SU)")</f>
        <v>Eci (SU)</v>
      </c>
      <c r="I2711" s="13" t="str">
        <f>IFERROR(__xludf.DUMMYFUNCTION("""COMPUTED_VALUE"""),"SELESAI (VIA PERMOHONAN)")</f>
        <v>SELESAI (VIA PERMOHONAN)</v>
      </c>
      <c r="J2711" s="17">
        <f>IFERROR(__xludf.DUMMYFUNCTION("""COMPUTED_VALUE"""),45838.64732230324)</f>
        <v>45838.64732</v>
      </c>
      <c r="K2711" s="13" t="str">
        <f>IFERROR(__xludf.DUMMYFUNCTION("""COMPUTED_VALUE"""),"Selesai")</f>
        <v>Selesai</v>
      </c>
      <c r="L2711" s="17">
        <f>IFERROR(__xludf.DUMMYFUNCTION("""COMPUTED_VALUE"""),45838.64732230324)</f>
        <v>45838.64732</v>
      </c>
      <c r="M2711" s="13"/>
      <c r="N2711" s="13" t="str">
        <f>IFERROR(__xludf.DUMMYFUNCTION("""COMPUTED_VALUE"""),"")</f>
        <v/>
      </c>
      <c r="O2711" s="13" t="str">
        <f t="shared" si="1"/>
        <v/>
      </c>
    </row>
    <row r="2712" ht="22.5" customHeight="1">
      <c r="B2712" s="13">
        <f>IFERROR(__xludf.DUMMYFUNCTION("""COMPUTED_VALUE"""),2707.0)</f>
        <v>2707</v>
      </c>
      <c r="C2712" s="13" t="str">
        <f>IFERROR(__xludf.DUMMYFUNCTION("""COMPUTED_VALUE"""),"M. 6427/ Way Kandis")</f>
        <v>M. 6427/ Way Kandis</v>
      </c>
      <c r="D2712" s="13" t="str">
        <f>IFERROR(__xludf.DUMMYFUNCTION("""COMPUTED_VALUE"""),"K/36/020625/1")</f>
        <v>K/36/020625/1</v>
      </c>
      <c r="E2712" s="14" t="str">
        <f>IFERROR(__xludf.DUMMYFUNCTION("""COMPUTED_VALUE"""),"Heri (BT)")</f>
        <v>Heri (BT)</v>
      </c>
      <c r="F2712" s="14" t="str">
        <f>IFERROR(__xludf.DUMMYFUNCTION("""COMPUTED_VALUE"""),"SELESAI (VIA PERMOHONAN)")</f>
        <v>SELESAI (VIA PERMOHONAN)</v>
      </c>
      <c r="G2712" s="17">
        <f>IFERROR(__xludf.DUMMYFUNCTION("""COMPUTED_VALUE"""),45838.56352561343)</f>
        <v>45838.56353</v>
      </c>
      <c r="H2712" s="14" t="str">
        <f>IFERROR(__xludf.DUMMYFUNCTION("""COMPUTED_VALUE"""),"Eci (SU)")</f>
        <v>Eci (SU)</v>
      </c>
      <c r="I2712" s="13" t="str">
        <f>IFERROR(__xludf.DUMMYFUNCTION("""COMPUTED_VALUE"""),"SELESAI (VIA PERMOHONAN)")</f>
        <v>SELESAI (VIA PERMOHONAN)</v>
      </c>
      <c r="J2712" s="17">
        <f>IFERROR(__xludf.DUMMYFUNCTION("""COMPUTED_VALUE"""),45838.64732230324)</f>
        <v>45838.64732</v>
      </c>
      <c r="K2712" s="13" t="str">
        <f>IFERROR(__xludf.DUMMYFUNCTION("""COMPUTED_VALUE"""),"Selesai")</f>
        <v>Selesai</v>
      </c>
      <c r="L2712" s="17">
        <f>IFERROR(__xludf.DUMMYFUNCTION("""COMPUTED_VALUE"""),45838.64732230324)</f>
        <v>45838.64732</v>
      </c>
      <c r="M2712" s="13"/>
      <c r="N2712" s="13" t="str">
        <f>IFERROR(__xludf.DUMMYFUNCTION("""COMPUTED_VALUE"""),"")</f>
        <v/>
      </c>
      <c r="O2712" s="13" t="str">
        <f t="shared" si="1"/>
        <v/>
      </c>
    </row>
    <row r="2713" ht="22.5" customHeight="1">
      <c r="B2713" s="13">
        <f>IFERROR(__xludf.DUMMYFUNCTION("""COMPUTED_VALUE"""),2708.0)</f>
        <v>2708</v>
      </c>
      <c r="C2713" s="13" t="str">
        <f>IFERROR(__xludf.DUMMYFUNCTION("""COMPUTED_VALUE"""),"M. 11376/ Kedaton")</f>
        <v>M. 11376/ Kedaton</v>
      </c>
      <c r="D2713" s="13" t="str">
        <f>IFERROR(__xludf.DUMMYFUNCTION("""COMPUTED_VALUE"""),"K/20/100625/1")</f>
        <v>K/20/100625/1</v>
      </c>
      <c r="E2713" s="14" t="str">
        <f>IFERROR(__xludf.DUMMYFUNCTION("""COMPUTED_VALUE"""),"Heri (BT)")</f>
        <v>Heri (BT)</v>
      </c>
      <c r="F2713" s="14" t="str">
        <f>IFERROR(__xludf.DUMMYFUNCTION("""COMPUTED_VALUE"""),"SELESAI (VIA PERMOHONAN)")</f>
        <v>SELESAI (VIA PERMOHONAN)</v>
      </c>
      <c r="G2713" s="17">
        <f>IFERROR(__xludf.DUMMYFUNCTION("""COMPUTED_VALUE"""),45838.56370107639)</f>
        <v>45838.5637</v>
      </c>
      <c r="H2713" s="14" t="str">
        <f>IFERROR(__xludf.DUMMYFUNCTION("""COMPUTED_VALUE"""),"Eci (SU)")</f>
        <v>Eci (SU)</v>
      </c>
      <c r="I2713" s="13" t="str">
        <f>IFERROR(__xludf.DUMMYFUNCTION("""COMPUTED_VALUE"""),"SELESAI (VIA PERMOHONAN)")</f>
        <v>SELESAI (VIA PERMOHONAN)</v>
      </c>
      <c r="J2713" s="17">
        <f>IFERROR(__xludf.DUMMYFUNCTION("""COMPUTED_VALUE"""),45838.64732230324)</f>
        <v>45838.64732</v>
      </c>
      <c r="K2713" s="13" t="str">
        <f>IFERROR(__xludf.DUMMYFUNCTION("""COMPUTED_VALUE"""),"Selesai")</f>
        <v>Selesai</v>
      </c>
      <c r="L2713" s="17">
        <f>IFERROR(__xludf.DUMMYFUNCTION("""COMPUTED_VALUE"""),45838.64732230324)</f>
        <v>45838.64732</v>
      </c>
      <c r="M2713" s="13"/>
      <c r="N2713" s="13" t="str">
        <f>IFERROR(__xludf.DUMMYFUNCTION("""COMPUTED_VALUE"""),"")</f>
        <v/>
      </c>
      <c r="O2713" s="13" t="str">
        <f t="shared" si="1"/>
        <v/>
      </c>
    </row>
    <row r="2714" ht="22.5" customHeight="1">
      <c r="B2714" s="13">
        <f>IFERROR(__xludf.DUMMYFUNCTION("""COMPUTED_VALUE"""),2709.0)</f>
        <v>2709</v>
      </c>
      <c r="C2714" s="13" t="str">
        <f>IFERROR(__xludf.DUMMYFUNCTION("""COMPUTED_VALUE"""),"M. 1169/ Pematang Wangi")</f>
        <v>M. 1169/ Pematang Wangi</v>
      </c>
      <c r="D2714" s="13" t="str">
        <f>IFERROR(__xludf.DUMMYFUNCTION("""COMPUTED_VALUE"""),"K/8/160629/1")</f>
        <v>K/8/160629/1</v>
      </c>
      <c r="E2714" s="14" t="str">
        <f>IFERROR(__xludf.DUMMYFUNCTION("""COMPUTED_VALUE"""),"Heri (BT)")</f>
        <v>Heri (BT)</v>
      </c>
      <c r="F2714" s="14" t="str">
        <f>IFERROR(__xludf.DUMMYFUNCTION("""COMPUTED_VALUE"""),"SELESAI (VIA PERMOHONAN)")</f>
        <v>SELESAI (VIA PERMOHONAN)</v>
      </c>
      <c r="G2714" s="17">
        <f>IFERROR(__xludf.DUMMYFUNCTION("""COMPUTED_VALUE"""),45838.56388221065)</f>
        <v>45838.56388</v>
      </c>
      <c r="H2714" s="14" t="str">
        <f>IFERROR(__xludf.DUMMYFUNCTION("""COMPUTED_VALUE"""),"Eci (SU)")</f>
        <v>Eci (SU)</v>
      </c>
      <c r="I2714" s="13" t="str">
        <f>IFERROR(__xludf.DUMMYFUNCTION("""COMPUTED_VALUE"""),"SELESAI (VIA PERMOHONAN)")</f>
        <v>SELESAI (VIA PERMOHONAN)</v>
      </c>
      <c r="J2714" s="17">
        <f>IFERROR(__xludf.DUMMYFUNCTION("""COMPUTED_VALUE"""),45839.56628829861)</f>
        <v>45839.56629</v>
      </c>
      <c r="K2714" s="13" t="str">
        <f>IFERROR(__xludf.DUMMYFUNCTION("""COMPUTED_VALUE"""),"Selesai")</f>
        <v>Selesai</v>
      </c>
      <c r="L2714" s="17">
        <f>IFERROR(__xludf.DUMMYFUNCTION("""COMPUTED_VALUE"""),45839.56628829861)</f>
        <v>45839.56629</v>
      </c>
      <c r="M2714" s="13"/>
      <c r="N2714" s="13" t="str">
        <f>IFERROR(__xludf.DUMMYFUNCTION("""COMPUTED_VALUE"""),"")</f>
        <v/>
      </c>
      <c r="O2714" s="13" t="str">
        <f t="shared" si="1"/>
        <v/>
      </c>
    </row>
    <row r="2715" ht="22.5" customHeight="1">
      <c r="B2715" s="13">
        <f>IFERROR(__xludf.DUMMYFUNCTION("""COMPUTED_VALUE"""),2710.0)</f>
        <v>2710</v>
      </c>
      <c r="C2715" s="13" t="str">
        <f>IFERROR(__xludf.DUMMYFUNCTION("""COMPUTED_VALUE"""),"B. 1212/ Sukabumi Indah")</f>
        <v>B. 1212/ Sukabumi Indah</v>
      </c>
      <c r="D2715" s="13" t="str">
        <f>IFERROR(__xludf.DUMMYFUNCTION("""COMPUTED_VALUE"""),"K/29/170625/1")</f>
        <v>K/29/170625/1</v>
      </c>
      <c r="E2715" s="14" t="str">
        <f>IFERROR(__xludf.DUMMYFUNCTION("""COMPUTED_VALUE"""),"Heri (BT)")</f>
        <v>Heri (BT)</v>
      </c>
      <c r="F2715" s="14" t="str">
        <f>IFERROR(__xludf.DUMMYFUNCTION("""COMPUTED_VALUE"""),"SELESAI (VIA PERMOHONAN)")</f>
        <v>SELESAI (VIA PERMOHONAN)</v>
      </c>
      <c r="G2715" s="17">
        <f>IFERROR(__xludf.DUMMYFUNCTION("""COMPUTED_VALUE"""),45838.56402131944)</f>
        <v>45838.56402</v>
      </c>
      <c r="H2715" s="14" t="str">
        <f>IFERROR(__xludf.DUMMYFUNCTION("""COMPUTED_VALUE"""),"Eci (SU)")</f>
        <v>Eci (SU)</v>
      </c>
      <c r="I2715" s="13" t="str">
        <f>IFERROR(__xludf.DUMMYFUNCTION("""COMPUTED_VALUE"""),"SELESAI (VIA PERMOHONAN)")</f>
        <v>SELESAI (VIA PERMOHONAN)</v>
      </c>
      <c r="J2715" s="17">
        <f>IFERROR(__xludf.DUMMYFUNCTION("""COMPUTED_VALUE"""),45839.56617987269)</f>
        <v>45839.56618</v>
      </c>
      <c r="K2715" s="13" t="str">
        <f>IFERROR(__xludf.DUMMYFUNCTION("""COMPUTED_VALUE"""),"Selesai")</f>
        <v>Selesai</v>
      </c>
      <c r="L2715" s="17">
        <f>IFERROR(__xludf.DUMMYFUNCTION("""COMPUTED_VALUE"""),45839.56617987269)</f>
        <v>45839.56618</v>
      </c>
      <c r="M2715" s="13"/>
      <c r="N2715" s="13" t="str">
        <f>IFERROR(__xludf.DUMMYFUNCTION("""COMPUTED_VALUE"""),"")</f>
        <v/>
      </c>
      <c r="O2715" s="13" t="str">
        <f t="shared" si="1"/>
        <v/>
      </c>
    </row>
    <row r="2716" ht="22.5" customHeight="1">
      <c r="B2716" s="13">
        <f>IFERROR(__xludf.DUMMYFUNCTION("""COMPUTED_VALUE"""),2711.0)</f>
        <v>2711</v>
      </c>
      <c r="C2716" s="13" t="str">
        <f>IFERROR(__xludf.DUMMYFUNCTION("""COMPUTED_VALUE"""),"M. 5612/ Langkapura")</f>
        <v>M. 5612/ Langkapura</v>
      </c>
      <c r="D2716" s="13" t="str">
        <f>IFERROR(__xludf.DUMMYFUNCTION("""COMPUTED_VALUE"""),"K/15/120625/1")</f>
        <v>K/15/120625/1</v>
      </c>
      <c r="E2716" s="14" t="str">
        <f>IFERROR(__xludf.DUMMYFUNCTION("""COMPUTED_VALUE"""),"Heri (BT)")</f>
        <v>Heri (BT)</v>
      </c>
      <c r="F2716" s="14" t="str">
        <f>IFERROR(__xludf.DUMMYFUNCTION("""COMPUTED_VALUE"""),"SELESAI (VIA PERMOHONAN)")</f>
        <v>SELESAI (VIA PERMOHONAN)</v>
      </c>
      <c r="G2716" s="17">
        <f>IFERROR(__xludf.DUMMYFUNCTION("""COMPUTED_VALUE"""),45838.56415585648)</f>
        <v>45838.56416</v>
      </c>
      <c r="H2716" s="14" t="str">
        <f>IFERROR(__xludf.DUMMYFUNCTION("""COMPUTED_VALUE"""),"Eci (SU)")</f>
        <v>Eci (SU)</v>
      </c>
      <c r="I2716" s="13" t="str">
        <f>IFERROR(__xludf.DUMMYFUNCTION("""COMPUTED_VALUE"""),"SELESAI (VIA PERMOHONAN)")</f>
        <v>SELESAI (VIA PERMOHONAN)</v>
      </c>
      <c r="J2716" s="17">
        <f>IFERROR(__xludf.DUMMYFUNCTION("""COMPUTED_VALUE"""),45838.64737922454)</f>
        <v>45838.64738</v>
      </c>
      <c r="K2716" s="13" t="str">
        <f>IFERROR(__xludf.DUMMYFUNCTION("""COMPUTED_VALUE"""),"Selesai")</f>
        <v>Selesai</v>
      </c>
      <c r="L2716" s="17">
        <f>IFERROR(__xludf.DUMMYFUNCTION("""COMPUTED_VALUE"""),45838.64737922454)</f>
        <v>45838.64738</v>
      </c>
      <c r="M2716" s="13"/>
      <c r="N2716" s="13" t="str">
        <f>IFERROR(__xludf.DUMMYFUNCTION("""COMPUTED_VALUE"""),"")</f>
        <v/>
      </c>
      <c r="O2716" s="13" t="str">
        <f t="shared" si="1"/>
        <v/>
      </c>
    </row>
    <row r="2717" ht="22.5" customHeight="1">
      <c r="B2717" s="13">
        <f>IFERROR(__xludf.DUMMYFUNCTION("""COMPUTED_VALUE"""),2712.0)</f>
        <v>2712</v>
      </c>
      <c r="C2717" s="13" t="str">
        <f>IFERROR(__xludf.DUMMYFUNCTION("""COMPUTED_VALUE"""),"M. 949/ Pelita")</f>
        <v>M. 949/ Pelita</v>
      </c>
      <c r="D2717" s="13"/>
      <c r="E2717" s="14" t="str">
        <f>IFERROR(__xludf.DUMMYFUNCTION("""COMPUTED_VALUE"""),"Heri (BT)")</f>
        <v>Heri (BT)</v>
      </c>
      <c r="F2717" s="14" t="str">
        <f>IFERROR(__xludf.DUMMYFUNCTION("""COMPUTED_VALUE"""),"SELESAI (VIA PERMOHONAN)")</f>
        <v>SELESAI (VIA PERMOHONAN)</v>
      </c>
      <c r="G2717" s="17">
        <f>IFERROR(__xludf.DUMMYFUNCTION("""COMPUTED_VALUE"""),45838.56450489583)</f>
        <v>45838.5645</v>
      </c>
      <c r="H2717" s="14" t="str">
        <f>IFERROR(__xludf.DUMMYFUNCTION("""COMPUTED_VALUE"""),"Eci (SU)")</f>
        <v>Eci (SU)</v>
      </c>
      <c r="I2717" s="13" t="str">
        <f>IFERROR(__xludf.DUMMYFUNCTION("""COMPUTED_VALUE"""),"SELESAI (VIA PERMOHONAN)")</f>
        <v>SELESAI (VIA PERMOHONAN)</v>
      </c>
      <c r="J2717" s="17">
        <f>IFERROR(__xludf.DUMMYFUNCTION("""COMPUTED_VALUE"""),45838.647398009256)</f>
        <v>45838.6474</v>
      </c>
      <c r="K2717" s="13" t="str">
        <f>IFERROR(__xludf.DUMMYFUNCTION("""COMPUTED_VALUE"""),"")</f>
        <v/>
      </c>
      <c r="L2717" s="13" t="str">
        <f>IFERROR(__xludf.DUMMYFUNCTION("""COMPUTED_VALUE"""),"")</f>
        <v/>
      </c>
      <c r="M2717" s="13"/>
      <c r="N2717" s="13" t="str">
        <f>IFERROR(__xludf.DUMMYFUNCTION("""COMPUTED_VALUE"""),"")</f>
        <v/>
      </c>
      <c r="O2717" s="13" t="str">
        <f t="shared" si="1"/>
        <v/>
      </c>
    </row>
    <row r="2718" ht="22.5" customHeight="1">
      <c r="B2718" s="13">
        <f>IFERROR(__xludf.DUMMYFUNCTION("""COMPUTED_VALUE"""),2713.0)</f>
        <v>2713</v>
      </c>
      <c r="C2718" s="13" t="str">
        <f>IFERROR(__xludf.DUMMYFUNCTION("""COMPUTED_VALUE"""),"HM 408/TANJUNG AGUNG")</f>
        <v>HM 408/TANJUNG AGUNG</v>
      </c>
      <c r="D2718" s="13" t="str">
        <f>IFERROR(__xludf.DUMMYFUNCTION("""COMPUTED_VALUE"""),"L/18/110625/1")</f>
        <v>L/18/110625/1</v>
      </c>
      <c r="E2718" s="14" t="str">
        <f>IFERROR(__xludf.DUMMYFUNCTION("""COMPUTED_VALUE"""),"Heri (BT)")</f>
        <v>Heri (BT)</v>
      </c>
      <c r="F2718" s="14" t="str">
        <f>IFERROR(__xludf.DUMMYFUNCTION("""COMPUTED_VALUE"""),"SELESAI (VIA PERMOHONAN)")</f>
        <v>SELESAI (VIA PERMOHONAN)</v>
      </c>
      <c r="G2718" s="17">
        <f>IFERROR(__xludf.DUMMYFUNCTION("""COMPUTED_VALUE"""),45838.56497490741)</f>
        <v>45838.56497</v>
      </c>
      <c r="H2718" s="14" t="str">
        <f>IFERROR(__xludf.DUMMYFUNCTION("""COMPUTED_VALUE"""),"Eci (SU)")</f>
        <v>Eci (SU)</v>
      </c>
      <c r="I2718" s="13" t="str">
        <f>IFERROR(__xludf.DUMMYFUNCTION("""COMPUTED_VALUE"""),"SELESAI (VIA PERMOHONAN)")</f>
        <v>SELESAI (VIA PERMOHONAN)</v>
      </c>
      <c r="J2718" s="17">
        <f>IFERROR(__xludf.DUMMYFUNCTION("""COMPUTED_VALUE"""),45838.647398009256)</f>
        <v>45838.6474</v>
      </c>
      <c r="K2718" s="13" t="str">
        <f>IFERROR(__xludf.DUMMYFUNCTION("""COMPUTED_VALUE"""),"Selesai")</f>
        <v>Selesai</v>
      </c>
      <c r="L2718" s="17">
        <f>IFERROR(__xludf.DUMMYFUNCTION("""COMPUTED_VALUE"""),45838.647398009256)</f>
        <v>45838.6474</v>
      </c>
      <c r="M2718" s="13"/>
      <c r="N2718" s="13" t="str">
        <f>IFERROR(__xludf.DUMMYFUNCTION("""COMPUTED_VALUE"""),"")</f>
        <v/>
      </c>
      <c r="O2718" s="13" t="str">
        <f t="shared" si="1"/>
        <v/>
      </c>
    </row>
    <row r="2719" ht="22.5" customHeight="1">
      <c r="B2719" s="13">
        <f>IFERROR(__xludf.DUMMYFUNCTION("""COMPUTED_VALUE"""),2714.0)</f>
        <v>2714</v>
      </c>
      <c r="C2719" s="13" t="str">
        <f>IFERROR(__xludf.DUMMYFUNCTION("""COMPUTED_VALUE"""),"HM 11980/SUKARAME")</f>
        <v>HM 11980/SUKARAME</v>
      </c>
      <c r="D2719" s="13" t="str">
        <f>IFERROR(__xludf.DUMMYFUNCTION("""COMPUTED_VALUE"""),"L/27/180625/1")</f>
        <v>L/27/180625/1</v>
      </c>
      <c r="E2719" s="14" t="str">
        <f>IFERROR(__xludf.DUMMYFUNCTION("""COMPUTED_VALUE"""),"Heri (BT)")</f>
        <v>Heri (BT)</v>
      </c>
      <c r="F2719" s="14" t="str">
        <f>IFERROR(__xludf.DUMMYFUNCTION("""COMPUTED_VALUE"""),"SELESAI (VIA PERMOHONAN)")</f>
        <v>SELESAI (VIA PERMOHONAN)</v>
      </c>
      <c r="G2719" s="17">
        <f>IFERROR(__xludf.DUMMYFUNCTION("""COMPUTED_VALUE"""),45838.565182280094)</f>
        <v>45838.56518</v>
      </c>
      <c r="H2719" s="14" t="str">
        <f>IFERROR(__xludf.DUMMYFUNCTION("""COMPUTED_VALUE"""),"Eci (SU)")</f>
        <v>Eci (SU)</v>
      </c>
      <c r="I2719" s="13" t="str">
        <f>IFERROR(__xludf.DUMMYFUNCTION("""COMPUTED_VALUE"""),"SELESAI (VIA PERMOHONAN)")</f>
        <v>SELESAI (VIA PERMOHONAN)</v>
      </c>
      <c r="J2719" s="17">
        <f>IFERROR(__xludf.DUMMYFUNCTION("""COMPUTED_VALUE"""),45839.56638537037)</f>
        <v>45839.56639</v>
      </c>
      <c r="K2719" s="13" t="str">
        <f>IFERROR(__xludf.DUMMYFUNCTION("""COMPUTED_VALUE"""),"Selesai")</f>
        <v>Selesai</v>
      </c>
      <c r="L2719" s="17">
        <f>IFERROR(__xludf.DUMMYFUNCTION("""COMPUTED_VALUE"""),45839.56638537037)</f>
        <v>45839.56639</v>
      </c>
      <c r="M2719" s="13"/>
      <c r="N2719" s="13" t="str">
        <f>IFERROR(__xludf.DUMMYFUNCTION("""COMPUTED_VALUE"""),"")</f>
        <v/>
      </c>
      <c r="O2719" s="13" t="str">
        <f t="shared" si="1"/>
        <v/>
      </c>
    </row>
    <row r="2720" ht="22.5" customHeight="1">
      <c r="B2720" s="13">
        <f>IFERROR(__xludf.DUMMYFUNCTION("""COMPUTED_VALUE"""),2715.0)</f>
        <v>2715</v>
      </c>
      <c r="C2720" s="13" t="str">
        <f>IFERROR(__xludf.DUMMYFUNCTION("""COMPUTED_VALUE"""),"M.12307/LABUHAN RATU")</f>
        <v>M.12307/LABUHAN RATU</v>
      </c>
      <c r="D2720" s="13" t="str">
        <f>IFERROR(__xludf.DUMMYFUNCTION("""COMPUTED_VALUE"""),"L/22/130625/1")</f>
        <v>L/22/130625/1</v>
      </c>
      <c r="E2720" s="14" t="str">
        <f>IFERROR(__xludf.DUMMYFUNCTION("""COMPUTED_VALUE"""),"Heri (BT)")</f>
        <v>Heri (BT)</v>
      </c>
      <c r="F2720" s="14" t="str">
        <f>IFERROR(__xludf.DUMMYFUNCTION("""COMPUTED_VALUE"""),"SELESAI (VIA PERMOHONAN)")</f>
        <v>SELESAI (VIA PERMOHONAN)</v>
      </c>
      <c r="G2720" s="17">
        <f>IFERROR(__xludf.DUMMYFUNCTION("""COMPUTED_VALUE"""),45838.56530642361)</f>
        <v>45838.56531</v>
      </c>
      <c r="H2720" s="14" t="str">
        <f>IFERROR(__xludf.DUMMYFUNCTION("""COMPUTED_VALUE"""),"Eci (SU)")</f>
        <v>Eci (SU)</v>
      </c>
      <c r="I2720" s="13" t="str">
        <f>IFERROR(__xludf.DUMMYFUNCTION("""COMPUTED_VALUE"""),"SELESAI (VIA PERMOHONAN)")</f>
        <v>SELESAI (VIA PERMOHONAN)</v>
      </c>
      <c r="J2720" s="17">
        <f>IFERROR(__xludf.DUMMYFUNCTION("""COMPUTED_VALUE"""),45839.566467662036)</f>
        <v>45839.56647</v>
      </c>
      <c r="K2720" s="13" t="str">
        <f>IFERROR(__xludf.DUMMYFUNCTION("""COMPUTED_VALUE"""),"Selesai")</f>
        <v>Selesai</v>
      </c>
      <c r="L2720" s="17">
        <f>IFERROR(__xludf.DUMMYFUNCTION("""COMPUTED_VALUE"""),45839.566467662036)</f>
        <v>45839.56647</v>
      </c>
      <c r="M2720" s="13"/>
      <c r="N2720" s="13" t="str">
        <f>IFERROR(__xludf.DUMMYFUNCTION("""COMPUTED_VALUE"""),"")</f>
        <v/>
      </c>
      <c r="O2720" s="13" t="str">
        <f t="shared" si="1"/>
        <v/>
      </c>
    </row>
    <row r="2721" ht="22.5" customHeight="1">
      <c r="B2721" s="13">
        <f>IFERROR(__xludf.DUMMYFUNCTION("""COMPUTED_VALUE"""),2716.0)</f>
        <v>2716</v>
      </c>
      <c r="C2721" s="13" t="str">
        <f>IFERROR(__xludf.DUMMYFUNCTION("""COMPUTED_VALUE"""),"M. 11030/ Gedong Meneng")</f>
        <v>M. 11030/ Gedong Meneng</v>
      </c>
      <c r="D2721" s="13" t="str">
        <f>IFERROR(__xludf.DUMMYFUNCTION("""COMPUTED_VALUE"""),"K/5/180625/1")</f>
        <v>K/5/180625/1</v>
      </c>
      <c r="E2721" s="14" t="str">
        <f>IFERROR(__xludf.DUMMYFUNCTION("""COMPUTED_VALUE"""),"Heri (BT)")</f>
        <v>Heri (BT)</v>
      </c>
      <c r="F2721" s="14" t="str">
        <f>IFERROR(__xludf.DUMMYFUNCTION("""COMPUTED_VALUE"""),"SELESAI (VIA PERMOHONAN)")</f>
        <v>SELESAI (VIA PERMOHONAN)</v>
      </c>
      <c r="G2721" s="17">
        <f>IFERROR(__xludf.DUMMYFUNCTION("""COMPUTED_VALUE"""),45838.565456550925)</f>
        <v>45838.56546</v>
      </c>
      <c r="H2721" s="14" t="str">
        <f>IFERROR(__xludf.DUMMYFUNCTION("""COMPUTED_VALUE"""),"Eci (SU)")</f>
        <v>Eci (SU)</v>
      </c>
      <c r="I2721" s="13" t="str">
        <f>IFERROR(__xludf.DUMMYFUNCTION("""COMPUTED_VALUE"""),"SELESAI (VIA PERMOHONAN)")</f>
        <v>SELESAI (VIA PERMOHONAN)</v>
      </c>
      <c r="J2721" s="17">
        <f>IFERROR(__xludf.DUMMYFUNCTION("""COMPUTED_VALUE"""),45839.566576990735)</f>
        <v>45839.56658</v>
      </c>
      <c r="K2721" s="13" t="str">
        <f>IFERROR(__xludf.DUMMYFUNCTION("""COMPUTED_VALUE"""),"Selesai")</f>
        <v>Selesai</v>
      </c>
      <c r="L2721" s="17">
        <f>IFERROR(__xludf.DUMMYFUNCTION("""COMPUTED_VALUE"""),45839.566576990735)</f>
        <v>45839.56658</v>
      </c>
      <c r="M2721" s="13"/>
      <c r="N2721" s="13" t="str">
        <f>IFERROR(__xludf.DUMMYFUNCTION("""COMPUTED_VALUE"""),"")</f>
        <v/>
      </c>
      <c r="O2721" s="13" t="str">
        <f t="shared" si="1"/>
        <v/>
      </c>
    </row>
    <row r="2722" ht="22.5" customHeight="1">
      <c r="B2722" s="13">
        <f>IFERROR(__xludf.DUMMYFUNCTION("""COMPUTED_VALUE"""),2717.0)</f>
        <v>2717</v>
      </c>
      <c r="C2722" s="13" t="str">
        <f>IFERROR(__xludf.DUMMYFUNCTION("""COMPUTED_VALUE"""),"B. 691/ Sumber Agung")</f>
        <v>B. 691/ Sumber Agung</v>
      </c>
      <c r="D2722" s="13" t="str">
        <f>IFERROR(__xludf.DUMMYFUNCTION("""COMPUTED_VALUE"""),"K/29/100625/1")</f>
        <v>K/29/100625/1</v>
      </c>
      <c r="E2722" s="14" t="str">
        <f>IFERROR(__xludf.DUMMYFUNCTION("""COMPUTED_VALUE"""),"Heri (BT)")</f>
        <v>Heri (BT)</v>
      </c>
      <c r="F2722" s="14" t="str">
        <f>IFERROR(__xludf.DUMMYFUNCTION("""COMPUTED_VALUE"""),"SELESAI (VIA PERMOHONAN)")</f>
        <v>SELESAI (VIA PERMOHONAN)</v>
      </c>
      <c r="G2722" s="17">
        <f>IFERROR(__xludf.DUMMYFUNCTION("""COMPUTED_VALUE"""),45838.56561951389)</f>
        <v>45838.56562</v>
      </c>
      <c r="H2722" s="14" t="str">
        <f>IFERROR(__xludf.DUMMYFUNCTION("""COMPUTED_VALUE"""),"Eci (SU)")</f>
        <v>Eci (SU)</v>
      </c>
      <c r="I2722" s="13" t="str">
        <f>IFERROR(__xludf.DUMMYFUNCTION("""COMPUTED_VALUE"""),"SELESAI (VIA PERMOHONAN)")</f>
        <v>SELESAI (VIA PERMOHONAN)</v>
      </c>
      <c r="J2722" s="17">
        <f>IFERROR(__xludf.DUMMYFUNCTION("""COMPUTED_VALUE"""),45838.64755793981)</f>
        <v>45838.64756</v>
      </c>
      <c r="K2722" s="13" t="str">
        <f>IFERROR(__xludf.DUMMYFUNCTION("""COMPUTED_VALUE"""),"Selesai")</f>
        <v>Selesai</v>
      </c>
      <c r="L2722" s="17">
        <f>IFERROR(__xludf.DUMMYFUNCTION("""COMPUTED_VALUE"""),45838.64755793981)</f>
        <v>45838.64756</v>
      </c>
      <c r="M2722" s="13"/>
      <c r="N2722" s="13" t="str">
        <f>IFERROR(__xludf.DUMMYFUNCTION("""COMPUTED_VALUE"""),"")</f>
        <v/>
      </c>
      <c r="O2722" s="13" t="str">
        <f t="shared" si="1"/>
        <v/>
      </c>
    </row>
    <row r="2723" ht="22.5" customHeight="1">
      <c r="B2723" s="13">
        <f>IFERROR(__xludf.DUMMYFUNCTION("""COMPUTED_VALUE"""),2718.0)</f>
        <v>2718</v>
      </c>
      <c r="C2723" s="13" t="str">
        <f>IFERROR(__xludf.DUMMYFUNCTION("""COMPUTED_VALUE"""),"M. 7023/ Tanjung Senang")</f>
        <v>M. 7023/ Tanjung Senang</v>
      </c>
      <c r="D2723" s="13" t="str">
        <f>IFERROR(__xludf.DUMMYFUNCTION("""COMPUTED_VALUE"""),"K/1/120625/1")</f>
        <v>K/1/120625/1</v>
      </c>
      <c r="E2723" s="14" t="str">
        <f>IFERROR(__xludf.DUMMYFUNCTION("""COMPUTED_VALUE"""),"Heri (BT)")</f>
        <v>Heri (BT)</v>
      </c>
      <c r="F2723" s="14" t="str">
        <f>IFERROR(__xludf.DUMMYFUNCTION("""COMPUTED_VALUE"""),"SELESAI (VIA PERMOHONAN)")</f>
        <v>SELESAI (VIA PERMOHONAN)</v>
      </c>
      <c r="G2723" s="17">
        <f>IFERROR(__xludf.DUMMYFUNCTION("""COMPUTED_VALUE"""),45838.565814525464)</f>
        <v>45838.56581</v>
      </c>
      <c r="H2723" s="14" t="str">
        <f>IFERROR(__xludf.DUMMYFUNCTION("""COMPUTED_VALUE"""),"Eci (SU)")</f>
        <v>Eci (SU)</v>
      </c>
      <c r="I2723" s="13" t="str">
        <f>IFERROR(__xludf.DUMMYFUNCTION("""COMPUTED_VALUE"""),"SELESAI (VIA PERMOHONAN)")</f>
        <v>SELESAI (VIA PERMOHONAN)</v>
      </c>
      <c r="J2723" s="17">
        <f>IFERROR(__xludf.DUMMYFUNCTION("""COMPUTED_VALUE"""),45838.64758104167)</f>
        <v>45838.64758</v>
      </c>
      <c r="K2723" s="13" t="str">
        <f>IFERROR(__xludf.DUMMYFUNCTION("""COMPUTED_VALUE"""),"Selesai")</f>
        <v>Selesai</v>
      </c>
      <c r="L2723" s="17">
        <f>IFERROR(__xludf.DUMMYFUNCTION("""COMPUTED_VALUE"""),45838.64758104167)</f>
        <v>45838.64758</v>
      </c>
      <c r="M2723" s="13"/>
      <c r="N2723" s="13" t="str">
        <f>IFERROR(__xludf.DUMMYFUNCTION("""COMPUTED_VALUE"""),"")</f>
        <v/>
      </c>
      <c r="O2723" s="13" t="str">
        <f t="shared" si="1"/>
        <v/>
      </c>
    </row>
    <row r="2724" ht="22.5" customHeight="1">
      <c r="B2724" s="13">
        <f>IFERROR(__xludf.DUMMYFUNCTION("""COMPUTED_VALUE"""),2719.0)</f>
        <v>2719</v>
      </c>
      <c r="C2724" s="13" t="str">
        <f>IFERROR(__xludf.DUMMYFUNCTION("""COMPUTED_VALUE"""),"M. 3172/ Way Kandis")</f>
        <v>M. 3172/ Way Kandis</v>
      </c>
      <c r="D2724" s="13" t="str">
        <f>IFERROR(__xludf.DUMMYFUNCTION("""COMPUTED_VALUE"""),"K/37/030625/1")</f>
        <v>K/37/030625/1</v>
      </c>
      <c r="E2724" s="14" t="str">
        <f>IFERROR(__xludf.DUMMYFUNCTION("""COMPUTED_VALUE"""),"Heri (BT)")</f>
        <v>Heri (BT)</v>
      </c>
      <c r="F2724" s="14" t="str">
        <f>IFERROR(__xludf.DUMMYFUNCTION("""COMPUTED_VALUE"""),"SELESAI (VIA PERMOHONAN)")</f>
        <v>SELESAI (VIA PERMOHONAN)</v>
      </c>
      <c r="G2724" s="17">
        <f>IFERROR(__xludf.DUMMYFUNCTION("""COMPUTED_VALUE"""),45838.56599899306)</f>
        <v>45838.566</v>
      </c>
      <c r="H2724" s="14" t="str">
        <f>IFERROR(__xludf.DUMMYFUNCTION("""COMPUTED_VALUE"""),"Eci (SU)")</f>
        <v>Eci (SU)</v>
      </c>
      <c r="I2724" s="13" t="str">
        <f>IFERROR(__xludf.DUMMYFUNCTION("""COMPUTED_VALUE"""),"SELESAI (VIA PERMOHONAN)")</f>
        <v>SELESAI (VIA PERMOHONAN)</v>
      </c>
      <c r="J2724" s="17">
        <f>IFERROR(__xludf.DUMMYFUNCTION("""COMPUTED_VALUE"""),45838.645191296295)</f>
        <v>45838.64519</v>
      </c>
      <c r="K2724" s="13" t="str">
        <f>IFERROR(__xludf.DUMMYFUNCTION("""COMPUTED_VALUE"""),"Selesai")</f>
        <v>Selesai</v>
      </c>
      <c r="L2724" s="17">
        <f>IFERROR(__xludf.DUMMYFUNCTION("""COMPUTED_VALUE"""),45838.645191296295)</f>
        <v>45838.64519</v>
      </c>
      <c r="M2724" s="13"/>
      <c r="N2724" s="13" t="str">
        <f>IFERROR(__xludf.DUMMYFUNCTION("""COMPUTED_VALUE"""),"")</f>
        <v/>
      </c>
      <c r="O2724" s="13" t="str">
        <f t="shared" si="1"/>
        <v/>
      </c>
    </row>
    <row r="2725" ht="22.5" customHeight="1">
      <c r="B2725" s="13">
        <f>IFERROR(__xludf.DUMMYFUNCTION("""COMPUTED_VALUE"""),2720.0)</f>
        <v>2720</v>
      </c>
      <c r="C2725" s="13" t="str">
        <f>IFERROR(__xludf.DUMMYFUNCTION("""COMPUTED_VALUE"""),"HM 1361/BERINGIN JAYA")</f>
        <v>HM 1361/BERINGIN JAYA</v>
      </c>
      <c r="D2725" s="13" t="str">
        <f>IFERROR(__xludf.DUMMYFUNCTION("""COMPUTED_VALUE"""),"L/7/190625/1")</f>
        <v>L/7/190625/1</v>
      </c>
      <c r="E2725" s="14" t="str">
        <f>IFERROR(__xludf.DUMMYFUNCTION("""COMPUTED_VALUE"""),"Heri (BT)")</f>
        <v>Heri (BT)</v>
      </c>
      <c r="F2725" s="14" t="str">
        <f>IFERROR(__xludf.DUMMYFUNCTION("""COMPUTED_VALUE"""),"SELESAI (VIA PERMOHONAN)")</f>
        <v>SELESAI (VIA PERMOHONAN)</v>
      </c>
      <c r="G2725" s="17">
        <f>IFERROR(__xludf.DUMMYFUNCTION("""COMPUTED_VALUE"""),45839.46887862268)</f>
        <v>45839.46888</v>
      </c>
      <c r="H2725" s="14" t="str">
        <f>IFERROR(__xludf.DUMMYFUNCTION("""COMPUTED_VALUE"""),"Eci (SU)")</f>
        <v>Eci (SU)</v>
      </c>
      <c r="I2725" s="13" t="str">
        <f>IFERROR(__xludf.DUMMYFUNCTION("""COMPUTED_VALUE"""),"SELESAI (VIA PERMOHONAN)")</f>
        <v>SELESAI (VIA PERMOHONAN)</v>
      </c>
      <c r="J2725" s="17">
        <f>IFERROR(__xludf.DUMMYFUNCTION("""COMPUTED_VALUE"""),45839.68440931713)</f>
        <v>45839.68441</v>
      </c>
      <c r="K2725" s="13" t="str">
        <f>IFERROR(__xludf.DUMMYFUNCTION("""COMPUTED_VALUE"""),"Selesai")</f>
        <v>Selesai</v>
      </c>
      <c r="L2725" s="17">
        <f>IFERROR(__xludf.DUMMYFUNCTION("""COMPUTED_VALUE"""),45839.68440931713)</f>
        <v>45839.68441</v>
      </c>
      <c r="M2725" s="13"/>
      <c r="N2725" s="13" t="str">
        <f>IFERROR(__xludf.DUMMYFUNCTION("""COMPUTED_VALUE"""),"")</f>
        <v/>
      </c>
      <c r="O2725" s="13" t="str">
        <f t="shared" si="1"/>
        <v/>
      </c>
    </row>
    <row r="2726" ht="22.5" customHeight="1">
      <c r="B2726" s="13">
        <f>IFERROR(__xludf.DUMMYFUNCTION("""COMPUTED_VALUE"""),2721.0)</f>
        <v>2721</v>
      </c>
      <c r="C2726" s="13" t="str">
        <f>IFERROR(__xludf.DUMMYFUNCTION("""COMPUTED_VALUE"""),"M. 80/ Sukarame baru")</f>
        <v>M. 80/ Sukarame baru</v>
      </c>
      <c r="D2726" s="13" t="str">
        <f>IFERROR(__xludf.DUMMYFUNCTION("""COMPUTED_VALUE"""),"K/16/110625/1")</f>
        <v>K/16/110625/1</v>
      </c>
      <c r="E2726" s="14" t="str">
        <f>IFERROR(__xludf.DUMMYFUNCTION("""COMPUTED_VALUE"""),"Heri (BT)")</f>
        <v>Heri (BT)</v>
      </c>
      <c r="F2726" s="14" t="str">
        <f>IFERROR(__xludf.DUMMYFUNCTION("""COMPUTED_VALUE"""),"SELESAI (VIA PERMOHONAN)")</f>
        <v>SELESAI (VIA PERMOHONAN)</v>
      </c>
      <c r="G2726" s="17">
        <f>IFERROR(__xludf.DUMMYFUNCTION("""COMPUTED_VALUE"""),45839.46889682871)</f>
        <v>45839.4689</v>
      </c>
      <c r="H2726" s="14" t="str">
        <f>IFERROR(__xludf.DUMMYFUNCTION("""COMPUTED_VALUE"""),"Eci (SU)")</f>
        <v>Eci (SU)</v>
      </c>
      <c r="I2726" s="13" t="str">
        <f>IFERROR(__xludf.DUMMYFUNCTION("""COMPUTED_VALUE"""),"SELESAI (VIA PERMOHONAN)")</f>
        <v>SELESAI (VIA PERMOHONAN)</v>
      </c>
      <c r="J2726" s="17">
        <f>IFERROR(__xludf.DUMMYFUNCTION("""COMPUTED_VALUE"""),45839.68436212963)</f>
        <v>45839.68436</v>
      </c>
      <c r="K2726" s="13" t="str">
        <f>IFERROR(__xludf.DUMMYFUNCTION("""COMPUTED_VALUE"""),"Selesai")</f>
        <v>Selesai</v>
      </c>
      <c r="L2726" s="17">
        <f>IFERROR(__xludf.DUMMYFUNCTION("""COMPUTED_VALUE"""),45839.68436212963)</f>
        <v>45839.68436</v>
      </c>
      <c r="M2726" s="13"/>
      <c r="N2726" s="13" t="str">
        <f>IFERROR(__xludf.DUMMYFUNCTION("""COMPUTED_VALUE"""),"")</f>
        <v/>
      </c>
      <c r="O2726" s="13" t="str">
        <f t="shared" si="1"/>
        <v/>
      </c>
    </row>
    <row r="2727" ht="22.5" customHeight="1">
      <c r="B2727" s="13">
        <f>IFERROR(__xludf.DUMMYFUNCTION("""COMPUTED_VALUE"""),2722.0)</f>
        <v>2722</v>
      </c>
      <c r="C2727" s="13" t="str">
        <f>IFERROR(__xludf.DUMMYFUNCTION("""COMPUTED_VALUE"""),"M. 1926/ Campang Raya")</f>
        <v>M. 1926/ Campang Raya</v>
      </c>
      <c r="D2727" s="13" t="str">
        <f>IFERROR(__xludf.DUMMYFUNCTION("""COMPUTED_VALUE"""),"K/1/100625/1")</f>
        <v>K/1/100625/1</v>
      </c>
      <c r="E2727" s="14" t="str">
        <f>IFERROR(__xludf.DUMMYFUNCTION("""COMPUTED_VALUE"""),"Heri (BT)")</f>
        <v>Heri (BT)</v>
      </c>
      <c r="F2727" s="14" t="str">
        <f>IFERROR(__xludf.DUMMYFUNCTION("""COMPUTED_VALUE"""),"SELESAI (VIA PERMOHONAN)")</f>
        <v>SELESAI (VIA PERMOHONAN)</v>
      </c>
      <c r="G2727" s="17">
        <f>IFERROR(__xludf.DUMMYFUNCTION("""COMPUTED_VALUE"""),45839.468948912036)</f>
        <v>45839.46895</v>
      </c>
      <c r="H2727" s="14" t="str">
        <f>IFERROR(__xludf.DUMMYFUNCTION("""COMPUTED_VALUE"""),"Eci (SU)")</f>
        <v>Eci (SU)</v>
      </c>
      <c r="I2727" s="13" t="str">
        <f>IFERROR(__xludf.DUMMYFUNCTION("""COMPUTED_VALUE"""),"SELESAI (VIA PERMOHONAN)")</f>
        <v>SELESAI (VIA PERMOHONAN)</v>
      </c>
      <c r="J2727" s="17">
        <f>IFERROR(__xludf.DUMMYFUNCTION("""COMPUTED_VALUE"""),45839.68420797454)</f>
        <v>45839.68421</v>
      </c>
      <c r="K2727" s="13" t="str">
        <f>IFERROR(__xludf.DUMMYFUNCTION("""COMPUTED_VALUE"""),"Selesai")</f>
        <v>Selesai</v>
      </c>
      <c r="L2727" s="17">
        <f>IFERROR(__xludf.DUMMYFUNCTION("""COMPUTED_VALUE"""),45839.68420797454)</f>
        <v>45839.68421</v>
      </c>
      <c r="M2727" s="13"/>
      <c r="N2727" s="13" t="str">
        <f>IFERROR(__xludf.DUMMYFUNCTION("""COMPUTED_VALUE"""),"")</f>
        <v/>
      </c>
      <c r="O2727" s="13" t="str">
        <f t="shared" si="1"/>
        <v/>
      </c>
    </row>
    <row r="2728" ht="22.5" customHeight="1">
      <c r="B2728" s="13">
        <f>IFERROR(__xludf.DUMMYFUNCTION("""COMPUTED_VALUE"""),2723.0)</f>
        <v>2723</v>
      </c>
      <c r="C2728" s="13" t="str">
        <f>IFERROR(__xludf.DUMMYFUNCTION("""COMPUTED_VALUE"""),"M. 2046/ Labuhan Dalam")</f>
        <v>M. 2046/ Labuhan Dalam</v>
      </c>
      <c r="D2728" s="13" t="str">
        <f>IFERROR(__xludf.DUMMYFUNCTION("""COMPUTED_VALUE"""),"K/34/120625/1")</f>
        <v>K/34/120625/1</v>
      </c>
      <c r="E2728" s="14" t="str">
        <f>IFERROR(__xludf.DUMMYFUNCTION("""COMPUTED_VALUE"""),"Heri (BT)")</f>
        <v>Heri (BT)</v>
      </c>
      <c r="F2728" s="14" t="str">
        <f>IFERROR(__xludf.DUMMYFUNCTION("""COMPUTED_VALUE"""),"SELESAI (VIA PERMOHONAN)")</f>
        <v>SELESAI (VIA PERMOHONAN)</v>
      </c>
      <c r="G2728" s="17">
        <f>IFERROR(__xludf.DUMMYFUNCTION("""COMPUTED_VALUE"""),45839.468948912036)</f>
        <v>45839.46895</v>
      </c>
      <c r="H2728" s="14" t="str">
        <f>IFERROR(__xludf.DUMMYFUNCTION("""COMPUTED_VALUE"""),"Eci (SU)")</f>
        <v>Eci (SU)</v>
      </c>
      <c r="I2728" s="13" t="str">
        <f>IFERROR(__xludf.DUMMYFUNCTION("""COMPUTED_VALUE"""),"SELESAI (VIA PERMOHONAN)")</f>
        <v>SELESAI (VIA PERMOHONAN)</v>
      </c>
      <c r="J2728" s="17">
        <f>IFERROR(__xludf.DUMMYFUNCTION("""COMPUTED_VALUE"""),45839.68412075231)</f>
        <v>45839.68412</v>
      </c>
      <c r="K2728" s="13" t="str">
        <f>IFERROR(__xludf.DUMMYFUNCTION("""COMPUTED_VALUE"""),"Selesai")</f>
        <v>Selesai</v>
      </c>
      <c r="L2728" s="17">
        <f>IFERROR(__xludf.DUMMYFUNCTION("""COMPUTED_VALUE"""),45839.68412075231)</f>
        <v>45839.68412</v>
      </c>
      <c r="M2728" s="13"/>
      <c r="N2728" s="13" t="str">
        <f>IFERROR(__xludf.DUMMYFUNCTION("""COMPUTED_VALUE"""),"")</f>
        <v/>
      </c>
      <c r="O2728" s="13" t="str">
        <f t="shared" si="1"/>
        <v/>
      </c>
    </row>
    <row r="2729" ht="22.5" customHeight="1">
      <c r="B2729" s="13">
        <f>IFERROR(__xludf.DUMMYFUNCTION("""COMPUTED_VALUE"""),2724.0)</f>
        <v>2724</v>
      </c>
      <c r="C2729" s="13" t="str">
        <f>IFERROR(__xludf.DUMMYFUNCTION("""COMPUTED_VALUE"""),"M. 1519/ Sukarame Baru")</f>
        <v>M. 1519/ Sukarame Baru</v>
      </c>
      <c r="D2729" s="13" t="str">
        <f>IFERROR(__xludf.DUMMYFUNCTION("""COMPUTED_VALUE"""),"K/20/060525/1")</f>
        <v>K/20/060525/1</v>
      </c>
      <c r="E2729" s="14" t="str">
        <f>IFERROR(__xludf.DUMMYFUNCTION("""COMPUTED_VALUE"""),"Heri (BT)")</f>
        <v>Heri (BT)</v>
      </c>
      <c r="F2729" s="14" t="str">
        <f>IFERROR(__xludf.DUMMYFUNCTION("""COMPUTED_VALUE"""),"SELESAI (VIA PERMOHONAN)")</f>
        <v>SELESAI (VIA PERMOHONAN)</v>
      </c>
      <c r="G2729" s="17">
        <f>IFERROR(__xludf.DUMMYFUNCTION("""COMPUTED_VALUE"""),45839.468954247684)</f>
        <v>45839.46895</v>
      </c>
      <c r="H2729" s="14" t="str">
        <f>IFERROR(__xludf.DUMMYFUNCTION("""COMPUTED_VALUE"""),"Eci (SU)")</f>
        <v>Eci (SU)</v>
      </c>
      <c r="I2729" s="13" t="str">
        <f>IFERROR(__xludf.DUMMYFUNCTION("""COMPUTED_VALUE"""),"SELESAI (VIA PERMOHONAN)")</f>
        <v>SELESAI (VIA PERMOHONAN)</v>
      </c>
      <c r="J2729" s="17">
        <f>IFERROR(__xludf.DUMMYFUNCTION("""COMPUTED_VALUE"""),45839.68403282407)</f>
        <v>45839.68403</v>
      </c>
      <c r="K2729" s="13" t="str">
        <f>IFERROR(__xludf.DUMMYFUNCTION("""COMPUTED_VALUE"""),"Selesai")</f>
        <v>Selesai</v>
      </c>
      <c r="L2729" s="17">
        <f>IFERROR(__xludf.DUMMYFUNCTION("""COMPUTED_VALUE"""),45839.68403282407)</f>
        <v>45839.68403</v>
      </c>
      <c r="M2729" s="13"/>
      <c r="N2729" s="13" t="str">
        <f>IFERROR(__xludf.DUMMYFUNCTION("""COMPUTED_VALUE"""),"")</f>
        <v/>
      </c>
      <c r="O2729" s="13" t="str">
        <f t="shared" si="1"/>
        <v/>
      </c>
    </row>
    <row r="2730" ht="22.5" customHeight="1">
      <c r="B2730" s="13">
        <f>IFERROR(__xludf.DUMMYFUNCTION("""COMPUTED_VALUE"""),2725.0)</f>
        <v>2725</v>
      </c>
      <c r="C2730" s="13" t="str">
        <f>IFERROR(__xludf.DUMMYFUNCTION("""COMPUTED_VALUE"""),"M. 1184/ Kangkung")</f>
        <v>M. 1184/ Kangkung</v>
      </c>
      <c r="D2730" s="13" t="str">
        <f>IFERROR(__xludf.DUMMYFUNCTION("""COMPUTED_VALUE"""),"K/3/190625/1")</f>
        <v>K/3/190625/1</v>
      </c>
      <c r="E2730" s="14" t="str">
        <f>IFERROR(__xludf.DUMMYFUNCTION("""COMPUTED_VALUE"""),"Heri (BT)")</f>
        <v>Heri (BT)</v>
      </c>
      <c r="F2730" s="14" t="str">
        <f>IFERROR(__xludf.DUMMYFUNCTION("""COMPUTED_VALUE"""),"SELESAI (VIA PERMOHONAN)")</f>
        <v>SELESAI (VIA PERMOHONAN)</v>
      </c>
      <c r="G2730" s="17">
        <f>IFERROR(__xludf.DUMMYFUNCTION("""COMPUTED_VALUE"""),45839.46897002315)</f>
        <v>45839.46897</v>
      </c>
      <c r="H2730" s="14" t="str">
        <f>IFERROR(__xludf.DUMMYFUNCTION("""COMPUTED_VALUE"""),"Eci (SU)")</f>
        <v>Eci (SU)</v>
      </c>
      <c r="I2730" s="13" t="str">
        <f>IFERROR(__xludf.DUMMYFUNCTION("""COMPUTED_VALUE"""),"SELESAI (VIA PERMOHONAN)")</f>
        <v>SELESAI (VIA PERMOHONAN)</v>
      </c>
      <c r="J2730" s="17">
        <f>IFERROR(__xludf.DUMMYFUNCTION("""COMPUTED_VALUE"""),45839.68397971065)</f>
        <v>45839.68398</v>
      </c>
      <c r="K2730" s="13" t="str">
        <f>IFERROR(__xludf.DUMMYFUNCTION("""COMPUTED_VALUE"""),"Selesai")</f>
        <v>Selesai</v>
      </c>
      <c r="L2730" s="17">
        <f>IFERROR(__xludf.DUMMYFUNCTION("""COMPUTED_VALUE"""),45839.68397971065)</f>
        <v>45839.68398</v>
      </c>
      <c r="M2730" s="13"/>
      <c r="N2730" s="13" t="str">
        <f>IFERROR(__xludf.DUMMYFUNCTION("""COMPUTED_VALUE"""),"")</f>
        <v/>
      </c>
      <c r="O2730" s="13" t="str">
        <f t="shared" si="1"/>
        <v/>
      </c>
    </row>
    <row r="2731" ht="22.5" customHeight="1">
      <c r="B2731" s="13">
        <f>IFERROR(__xludf.DUMMYFUNCTION("""COMPUTED_VALUE"""),2726.0)</f>
        <v>2726</v>
      </c>
      <c r="C2731" s="13" t="str">
        <f>IFERROR(__xludf.DUMMYFUNCTION("""COMPUTED_VALUE"""),"M.826/TANJUNG RAYA")</f>
        <v>M.826/TANJUNG RAYA</v>
      </c>
      <c r="D2731" s="13" t="str">
        <f>IFERROR(__xludf.DUMMYFUNCTION("""COMPUTED_VALUE"""),"K/7/170625/2")</f>
        <v>K/7/170625/2</v>
      </c>
      <c r="E2731" s="14" t="str">
        <f>IFERROR(__xludf.DUMMYFUNCTION("""COMPUTED_VALUE"""),"Heri (BT)")</f>
        <v>Heri (BT)</v>
      </c>
      <c r="F2731" s="14" t="str">
        <f>IFERROR(__xludf.DUMMYFUNCTION("""COMPUTED_VALUE"""),"SELESAI (VIA PERMOHONAN)")</f>
        <v>SELESAI (VIA PERMOHONAN)</v>
      </c>
      <c r="G2731" s="17">
        <f>IFERROR(__xludf.DUMMYFUNCTION("""COMPUTED_VALUE"""),45839.46898233796)</f>
        <v>45839.46898</v>
      </c>
      <c r="H2731" s="14" t="str">
        <f>IFERROR(__xludf.DUMMYFUNCTION("""COMPUTED_VALUE"""),"Eci (SU)")</f>
        <v>Eci (SU)</v>
      </c>
      <c r="I2731" s="13" t="str">
        <f>IFERROR(__xludf.DUMMYFUNCTION("""COMPUTED_VALUE"""),"SELESAI (VIA PERMOHONAN)")</f>
        <v>SELESAI (VIA PERMOHONAN)</v>
      </c>
      <c r="J2731" s="17">
        <f>IFERROR(__xludf.DUMMYFUNCTION("""COMPUTED_VALUE"""),45839.68380864583)</f>
        <v>45839.68381</v>
      </c>
      <c r="K2731" s="13" t="str">
        <f>IFERROR(__xludf.DUMMYFUNCTION("""COMPUTED_VALUE"""),"Selesai")</f>
        <v>Selesai</v>
      </c>
      <c r="L2731" s="17">
        <f>IFERROR(__xludf.DUMMYFUNCTION("""COMPUTED_VALUE"""),45839.68380864583)</f>
        <v>45839.68381</v>
      </c>
      <c r="M2731" s="13"/>
      <c r="N2731" s="13" t="str">
        <f>IFERROR(__xludf.DUMMYFUNCTION("""COMPUTED_VALUE"""),"")</f>
        <v/>
      </c>
      <c r="O2731" s="13" t="str">
        <f t="shared" si="1"/>
        <v/>
      </c>
    </row>
    <row r="2732" ht="22.5" customHeight="1">
      <c r="B2732" s="13">
        <f>IFERROR(__xludf.DUMMYFUNCTION("""COMPUTED_VALUE"""),2727.0)</f>
        <v>2727</v>
      </c>
      <c r="C2732" s="13" t="str">
        <f>IFERROR(__xludf.DUMMYFUNCTION("""COMPUTED_VALUE"""),"M. 56/KALI BALAU KENCANA")</f>
        <v>M. 56/KALI BALAU KENCANA</v>
      </c>
      <c r="D2732" s="13" t="str">
        <f>IFERROR(__xludf.DUMMYFUNCTION("""COMPUTED_VALUE"""),"K/21/230425/3")</f>
        <v>K/21/230425/3</v>
      </c>
      <c r="E2732" s="14" t="str">
        <f>IFERROR(__xludf.DUMMYFUNCTION("""COMPUTED_VALUE"""),"Heri (BT)")</f>
        <v>Heri (BT)</v>
      </c>
      <c r="F2732" s="14" t="str">
        <f>IFERROR(__xludf.DUMMYFUNCTION("""COMPUTED_VALUE"""),"SELESAI (VIA PERMOHONAN)")</f>
        <v>SELESAI (VIA PERMOHONAN)</v>
      </c>
      <c r="G2732" s="17">
        <f>IFERROR(__xludf.DUMMYFUNCTION("""COMPUTED_VALUE"""),45839.468997916665)</f>
        <v>45839.469</v>
      </c>
      <c r="H2732" s="14" t="str">
        <f>IFERROR(__xludf.DUMMYFUNCTION("""COMPUTED_VALUE"""),"Eci (SU)")</f>
        <v>Eci (SU)</v>
      </c>
      <c r="I2732" s="13" t="str">
        <f>IFERROR(__xludf.DUMMYFUNCTION("""COMPUTED_VALUE"""),"SELESAI (VIA PERMOHONAN)")</f>
        <v>SELESAI (VIA PERMOHONAN)</v>
      </c>
      <c r="J2732" s="17">
        <f>IFERROR(__xludf.DUMMYFUNCTION("""COMPUTED_VALUE"""),45839.683702002316)</f>
        <v>45839.6837</v>
      </c>
      <c r="K2732" s="13" t="str">
        <f>IFERROR(__xludf.DUMMYFUNCTION("""COMPUTED_VALUE"""),"Selesai")</f>
        <v>Selesai</v>
      </c>
      <c r="L2732" s="17">
        <f>IFERROR(__xludf.DUMMYFUNCTION("""COMPUTED_VALUE"""),45839.683702002316)</f>
        <v>45839.6837</v>
      </c>
      <c r="M2732" s="13"/>
      <c r="N2732" s="13" t="str">
        <f>IFERROR(__xludf.DUMMYFUNCTION("""COMPUTED_VALUE"""),"")</f>
        <v/>
      </c>
      <c r="O2732" s="13" t="str">
        <f t="shared" si="1"/>
        <v/>
      </c>
    </row>
    <row r="2733" ht="22.5" customHeight="1">
      <c r="B2733" s="13">
        <f>IFERROR(__xludf.DUMMYFUNCTION("""COMPUTED_VALUE"""),2728.0)</f>
        <v>2728</v>
      </c>
      <c r="C2733" s="13" t="str">
        <f>IFERROR(__xludf.DUMMYFUNCTION("""COMPUTED_VALUE"""),"M. 2071/CAMPANG JAYA")</f>
        <v>M. 2071/CAMPANG JAYA</v>
      </c>
      <c r="D2733" s="13" t="str">
        <f>IFERROR(__xludf.DUMMYFUNCTION("""COMPUTED_VALUE"""),"K/33/200625/2")</f>
        <v>K/33/200625/2</v>
      </c>
      <c r="E2733" s="14" t="str">
        <f>IFERROR(__xludf.DUMMYFUNCTION("""COMPUTED_VALUE"""),"Heri (BT)")</f>
        <v>Heri (BT)</v>
      </c>
      <c r="F2733" s="14" t="str">
        <f>IFERROR(__xludf.DUMMYFUNCTION("""COMPUTED_VALUE"""),"SELESAI (VIA PERMOHONAN)")</f>
        <v>SELESAI (VIA PERMOHONAN)</v>
      </c>
      <c r="G2733" s="17">
        <f>IFERROR(__xludf.DUMMYFUNCTION("""COMPUTED_VALUE"""),45839.46901774306)</f>
        <v>45839.46902</v>
      </c>
      <c r="H2733" s="14" t="str">
        <f>IFERROR(__xludf.DUMMYFUNCTION("""COMPUTED_VALUE"""),"Eci (SU)")</f>
        <v>Eci (SU)</v>
      </c>
      <c r="I2733" s="13" t="str">
        <f>IFERROR(__xludf.DUMMYFUNCTION("""COMPUTED_VALUE"""),"SELESAI (VIA PERMOHONAN)")</f>
        <v>SELESAI (VIA PERMOHONAN)</v>
      </c>
      <c r="J2733" s="17">
        <f>IFERROR(__xludf.DUMMYFUNCTION("""COMPUTED_VALUE"""),45839.68358474537)</f>
        <v>45839.68358</v>
      </c>
      <c r="K2733" s="13" t="str">
        <f>IFERROR(__xludf.DUMMYFUNCTION("""COMPUTED_VALUE"""),"Selesai")</f>
        <v>Selesai</v>
      </c>
      <c r="L2733" s="17">
        <f>IFERROR(__xludf.DUMMYFUNCTION("""COMPUTED_VALUE"""),45839.68358474537)</f>
        <v>45839.68358</v>
      </c>
      <c r="M2733" s="13"/>
      <c r="N2733" s="13" t="str">
        <f>IFERROR(__xludf.DUMMYFUNCTION("""COMPUTED_VALUE"""),"")</f>
        <v/>
      </c>
      <c r="O2733" s="13" t="str">
        <f t="shared" si="1"/>
        <v/>
      </c>
    </row>
    <row r="2734" ht="22.5" customHeight="1">
      <c r="B2734" s="13">
        <f>IFERROR(__xludf.DUMMYFUNCTION("""COMPUTED_VALUE"""),2729.0)</f>
        <v>2729</v>
      </c>
      <c r="C2734" s="13" t="str">
        <f>IFERROR(__xludf.DUMMYFUNCTION("""COMPUTED_VALUE"""),"M. 2070/CAMPANG JAYA")</f>
        <v>M. 2070/CAMPANG JAYA</v>
      </c>
      <c r="D2734" s="13" t="str">
        <f>IFERROR(__xludf.DUMMYFUNCTION("""COMPUTED_VALUE"""),"K/32/200625/1")</f>
        <v>K/32/200625/1</v>
      </c>
      <c r="E2734" s="14" t="str">
        <f>IFERROR(__xludf.DUMMYFUNCTION("""COMPUTED_VALUE"""),"Heri (BT)")</f>
        <v>Heri (BT)</v>
      </c>
      <c r="F2734" s="14" t="str">
        <f>IFERROR(__xludf.DUMMYFUNCTION("""COMPUTED_VALUE"""),"SELESAI (VIA PERMOHONAN)")</f>
        <v>SELESAI (VIA PERMOHONAN)</v>
      </c>
      <c r="G2734" s="17">
        <f>IFERROR(__xludf.DUMMYFUNCTION("""COMPUTED_VALUE"""),45839.46903104166)</f>
        <v>45839.46903</v>
      </c>
      <c r="H2734" s="14" t="str">
        <f>IFERROR(__xludf.DUMMYFUNCTION("""COMPUTED_VALUE"""),"Eci (SU)")</f>
        <v>Eci (SU)</v>
      </c>
      <c r="I2734" s="13" t="str">
        <f>IFERROR(__xludf.DUMMYFUNCTION("""COMPUTED_VALUE"""),"SELESAI (VIA PERMOHONAN)")</f>
        <v>SELESAI (VIA PERMOHONAN)</v>
      </c>
      <c r="J2734" s="17">
        <f>IFERROR(__xludf.DUMMYFUNCTION("""COMPUTED_VALUE"""),45839.683542326384)</f>
        <v>45839.68354</v>
      </c>
      <c r="K2734" s="13" t="str">
        <f>IFERROR(__xludf.DUMMYFUNCTION("""COMPUTED_VALUE"""),"Selesai")</f>
        <v>Selesai</v>
      </c>
      <c r="L2734" s="17">
        <f>IFERROR(__xludf.DUMMYFUNCTION("""COMPUTED_VALUE"""),45839.683542326384)</f>
        <v>45839.68354</v>
      </c>
      <c r="M2734" s="13"/>
      <c r="N2734" s="13" t="str">
        <f>IFERROR(__xludf.DUMMYFUNCTION("""COMPUTED_VALUE"""),"")</f>
        <v/>
      </c>
      <c r="O2734" s="13" t="str">
        <f t="shared" si="1"/>
        <v/>
      </c>
    </row>
    <row r="2735" ht="22.5" customHeight="1">
      <c r="B2735" s="13">
        <f>IFERROR(__xludf.DUMMYFUNCTION("""COMPUTED_VALUE"""),2730.0)</f>
        <v>2730</v>
      </c>
      <c r="C2735" s="13" t="str">
        <f>IFERROR(__xludf.DUMMYFUNCTION("""COMPUTED_VALUE"""),"M. 2490/SUSUNAN BARU")</f>
        <v>M. 2490/SUSUNAN BARU</v>
      </c>
      <c r="D2735" s="13" t="str">
        <f>IFERROR(__xludf.DUMMYFUNCTION("""COMPUTED_VALUE"""),"K/8/130625/2")</f>
        <v>K/8/130625/2</v>
      </c>
      <c r="E2735" s="14" t="str">
        <f>IFERROR(__xludf.DUMMYFUNCTION("""COMPUTED_VALUE"""),"Heri (BT)")</f>
        <v>Heri (BT)</v>
      </c>
      <c r="F2735" s="14" t="str">
        <f>IFERROR(__xludf.DUMMYFUNCTION("""COMPUTED_VALUE"""),"SELESAI (VIA PERMOHONAN)")</f>
        <v>SELESAI (VIA PERMOHONAN)</v>
      </c>
      <c r="G2735" s="17">
        <f>IFERROR(__xludf.DUMMYFUNCTION("""COMPUTED_VALUE"""),45839.46904226852)</f>
        <v>45839.46904</v>
      </c>
      <c r="H2735" s="14" t="str">
        <f>IFERROR(__xludf.DUMMYFUNCTION("""COMPUTED_VALUE"""),"Eci (SU)")</f>
        <v>Eci (SU)</v>
      </c>
      <c r="I2735" s="13" t="str">
        <f>IFERROR(__xludf.DUMMYFUNCTION("""COMPUTED_VALUE"""),"SELESAI (VIA PERMOHONAN)")</f>
        <v>SELESAI (VIA PERMOHONAN)</v>
      </c>
      <c r="J2735" s="17">
        <f>IFERROR(__xludf.DUMMYFUNCTION("""COMPUTED_VALUE"""),45839.683390266204)</f>
        <v>45839.68339</v>
      </c>
      <c r="K2735" s="13" t="str">
        <f>IFERROR(__xludf.DUMMYFUNCTION("""COMPUTED_VALUE"""),"Selesai")</f>
        <v>Selesai</v>
      </c>
      <c r="L2735" s="17">
        <f>IFERROR(__xludf.DUMMYFUNCTION("""COMPUTED_VALUE"""),45839.683390266204)</f>
        <v>45839.68339</v>
      </c>
      <c r="M2735" s="13"/>
      <c r="N2735" s="13" t="str">
        <f>IFERROR(__xludf.DUMMYFUNCTION("""COMPUTED_VALUE"""),"")</f>
        <v/>
      </c>
      <c r="O2735" s="13" t="str">
        <f t="shared" si="1"/>
        <v/>
      </c>
    </row>
    <row r="2736" ht="22.5" customHeight="1">
      <c r="B2736" s="13">
        <f>IFERROR(__xludf.DUMMYFUNCTION("""COMPUTED_VALUE"""),2731.0)</f>
        <v>2731</v>
      </c>
      <c r="C2736" s="13" t="str">
        <f>IFERROR(__xludf.DUMMYFUNCTION("""COMPUTED_VALUE"""),"M. 548/KEDAUNG")</f>
        <v>M. 548/KEDAUNG</v>
      </c>
      <c r="D2736" s="13" t="str">
        <f>IFERROR(__xludf.DUMMYFUNCTION("""COMPUTED_VALUE"""),"K/31/280425/1")</f>
        <v>K/31/280425/1</v>
      </c>
      <c r="E2736" s="14" t="str">
        <f>IFERROR(__xludf.DUMMYFUNCTION("""COMPUTED_VALUE"""),"Heri (BT)")</f>
        <v>Heri (BT)</v>
      </c>
      <c r="F2736" s="14" t="str">
        <f>IFERROR(__xludf.DUMMYFUNCTION("""COMPUTED_VALUE"""),"SELESAI (VIA PERMOHONAN)")</f>
        <v>SELESAI (VIA PERMOHONAN)</v>
      </c>
      <c r="G2736" s="17">
        <f>IFERROR(__xludf.DUMMYFUNCTION("""COMPUTED_VALUE"""),45839.4690525926)</f>
        <v>45839.46905</v>
      </c>
      <c r="H2736" s="14" t="str">
        <f>IFERROR(__xludf.DUMMYFUNCTION("""COMPUTED_VALUE"""),"Eci (SU)")</f>
        <v>Eci (SU)</v>
      </c>
      <c r="I2736" s="13" t="str">
        <f>IFERROR(__xludf.DUMMYFUNCTION("""COMPUTED_VALUE"""),"SELESAI (VIA PERMOHONAN)")</f>
        <v>SELESAI (VIA PERMOHONAN)</v>
      </c>
      <c r="J2736" s="17">
        <f>IFERROR(__xludf.DUMMYFUNCTION("""COMPUTED_VALUE"""),45839.68283873843)</f>
        <v>45839.68284</v>
      </c>
      <c r="K2736" s="13" t="str">
        <f>IFERROR(__xludf.DUMMYFUNCTION("""COMPUTED_VALUE"""),"Selesai")</f>
        <v>Selesai</v>
      </c>
      <c r="L2736" s="17">
        <f>IFERROR(__xludf.DUMMYFUNCTION("""COMPUTED_VALUE"""),45839.68283873843)</f>
        <v>45839.68284</v>
      </c>
      <c r="M2736" s="13"/>
      <c r="N2736" s="13" t="str">
        <f>IFERROR(__xludf.DUMMYFUNCTION("""COMPUTED_VALUE"""),"")</f>
        <v/>
      </c>
      <c r="O2736" s="13" t="str">
        <f t="shared" si="1"/>
        <v/>
      </c>
    </row>
    <row r="2737" ht="22.5" customHeight="1">
      <c r="B2737" s="13">
        <f>IFERROR(__xludf.DUMMYFUNCTION("""COMPUTED_VALUE"""),2732.0)</f>
        <v>2732</v>
      </c>
      <c r="C2737" s="13" t="str">
        <f>IFERROR(__xludf.DUMMYFUNCTION("""COMPUTED_VALUE"""),"M. 10532/SIDODADI")</f>
        <v>M. 10532/SIDODADI</v>
      </c>
      <c r="D2737" s="13" t="str">
        <f>IFERROR(__xludf.DUMMYFUNCTION("""COMPUTED_VALUE"""),"K/19/180625/2")</f>
        <v>K/19/180625/2</v>
      </c>
      <c r="E2737" s="14" t="str">
        <f>IFERROR(__xludf.DUMMYFUNCTION("""COMPUTED_VALUE"""),"Heri (BT)")</f>
        <v>Heri (BT)</v>
      </c>
      <c r="F2737" s="14" t="str">
        <f>IFERROR(__xludf.DUMMYFUNCTION("""COMPUTED_VALUE"""),"SELESAI (VIA PERMOHONAN)")</f>
        <v>SELESAI (VIA PERMOHONAN)</v>
      </c>
      <c r="G2737" s="17">
        <f>IFERROR(__xludf.DUMMYFUNCTION("""COMPUTED_VALUE"""),45839.46906606482)</f>
        <v>45839.46907</v>
      </c>
      <c r="H2737" s="14" t="str">
        <f>IFERROR(__xludf.DUMMYFUNCTION("""COMPUTED_VALUE"""),"Eci (SU)")</f>
        <v>Eci (SU)</v>
      </c>
      <c r="I2737" s="13" t="str">
        <f>IFERROR(__xludf.DUMMYFUNCTION("""COMPUTED_VALUE"""),"SELESAI (VIA PERMOHONAN)")</f>
        <v>SELESAI (VIA PERMOHONAN)</v>
      </c>
      <c r="J2737" s="17">
        <f>IFERROR(__xludf.DUMMYFUNCTION("""COMPUTED_VALUE"""),45841.38719550926)</f>
        <v>45841.3872</v>
      </c>
      <c r="K2737" s="13" t="str">
        <f>IFERROR(__xludf.DUMMYFUNCTION("""COMPUTED_VALUE"""),"Selesai")</f>
        <v>Selesai</v>
      </c>
      <c r="L2737" s="17">
        <f>IFERROR(__xludf.DUMMYFUNCTION("""COMPUTED_VALUE"""),45841.38719550926)</f>
        <v>45841.3872</v>
      </c>
      <c r="M2737" s="13"/>
      <c r="N2737" s="13" t="str">
        <f>IFERROR(__xludf.DUMMYFUNCTION("""COMPUTED_VALUE"""),"")</f>
        <v/>
      </c>
      <c r="O2737" s="13" t="str">
        <f t="shared" si="1"/>
        <v/>
      </c>
    </row>
    <row r="2738" ht="22.5" customHeight="1">
      <c r="B2738" s="13">
        <f>IFERROR(__xludf.DUMMYFUNCTION("""COMPUTED_VALUE"""),2733.0)</f>
        <v>2733</v>
      </c>
      <c r="C2738" s="13" t="str">
        <f>IFERROR(__xludf.DUMMYFUNCTION("""COMPUTED_VALUE"""),"M. 680/ Gedong Air")</f>
        <v>M. 680/ Gedong Air</v>
      </c>
      <c r="D2738" s="13" t="str">
        <f>IFERROR(__xludf.DUMMYFUNCTION("""COMPUTED_VALUE"""),"K/32/130625/3")</f>
        <v>K/32/130625/3</v>
      </c>
      <c r="E2738" s="14" t="str">
        <f>IFERROR(__xludf.DUMMYFUNCTION("""COMPUTED_VALUE"""),"Heri (BT)")</f>
        <v>Heri (BT)</v>
      </c>
      <c r="F2738" s="14" t="str">
        <f>IFERROR(__xludf.DUMMYFUNCTION("""COMPUTED_VALUE"""),"SELESAI (VIA PERMOHONAN)")</f>
        <v>SELESAI (VIA PERMOHONAN)</v>
      </c>
      <c r="G2738" s="17">
        <f>IFERROR(__xludf.DUMMYFUNCTION("""COMPUTED_VALUE"""),45839.469129606485)</f>
        <v>45839.46913</v>
      </c>
      <c r="H2738" s="14" t="str">
        <f>IFERROR(__xludf.DUMMYFUNCTION("""COMPUTED_VALUE"""),"Eci (SU)")</f>
        <v>Eci (SU)</v>
      </c>
      <c r="I2738" s="13" t="str">
        <f>IFERROR(__xludf.DUMMYFUNCTION("""COMPUTED_VALUE"""),"SELESAI (VIA PERMOHONAN)")</f>
        <v>SELESAI (VIA PERMOHONAN)</v>
      </c>
      <c r="J2738" s="17">
        <f>IFERROR(__xludf.DUMMYFUNCTION("""COMPUTED_VALUE"""),45839.68269459491)</f>
        <v>45839.68269</v>
      </c>
      <c r="K2738" s="13" t="str">
        <f>IFERROR(__xludf.DUMMYFUNCTION("""COMPUTED_VALUE"""),"Selesai")</f>
        <v>Selesai</v>
      </c>
      <c r="L2738" s="17">
        <f>IFERROR(__xludf.DUMMYFUNCTION("""COMPUTED_VALUE"""),45839.68269459491)</f>
        <v>45839.68269</v>
      </c>
      <c r="M2738" s="13"/>
      <c r="N2738" s="13" t="str">
        <f>IFERROR(__xludf.DUMMYFUNCTION("""COMPUTED_VALUE"""),"")</f>
        <v/>
      </c>
      <c r="O2738" s="13" t="str">
        <f t="shared" si="1"/>
        <v/>
      </c>
    </row>
    <row r="2739" ht="22.5" customHeight="1">
      <c r="B2739" s="13">
        <f>IFERROR(__xludf.DUMMYFUNCTION("""COMPUTED_VALUE"""),2734.0)</f>
        <v>2734</v>
      </c>
      <c r="C2739" s="13" t="str">
        <f>IFERROR(__xludf.DUMMYFUNCTION("""COMPUTED_VALUE"""),"B. 855/ keteguhan")</f>
        <v>B. 855/ keteguhan</v>
      </c>
      <c r="D2739" s="13" t="str">
        <f>IFERROR(__xludf.DUMMYFUNCTION("""COMPUTED_VALUE"""),"K/5/080525/1")</f>
        <v>K/5/080525/1</v>
      </c>
      <c r="E2739" s="14" t="str">
        <f>IFERROR(__xludf.DUMMYFUNCTION("""COMPUTED_VALUE"""),"Heri (BT)")</f>
        <v>Heri (BT)</v>
      </c>
      <c r="F2739" s="14" t="str">
        <f>IFERROR(__xludf.DUMMYFUNCTION("""COMPUTED_VALUE"""),"SELESAI (VIA PERMOHONAN)")</f>
        <v>SELESAI (VIA PERMOHONAN)</v>
      </c>
      <c r="G2739" s="17">
        <f>IFERROR(__xludf.DUMMYFUNCTION("""COMPUTED_VALUE"""),45839.469129606485)</f>
        <v>45839.46913</v>
      </c>
      <c r="H2739" s="14" t="str">
        <f>IFERROR(__xludf.DUMMYFUNCTION("""COMPUTED_VALUE"""),"Eci (SU)")</f>
        <v>Eci (SU)</v>
      </c>
      <c r="I2739" s="13" t="str">
        <f>IFERROR(__xludf.DUMMYFUNCTION("""COMPUTED_VALUE"""),"SELESAI (VIA PERMOHONAN)")</f>
        <v>SELESAI (VIA PERMOHONAN)</v>
      </c>
      <c r="J2739" s="17">
        <f>IFERROR(__xludf.DUMMYFUNCTION("""COMPUTED_VALUE"""),45839.68256109954)</f>
        <v>45839.68256</v>
      </c>
      <c r="K2739" s="13" t="str">
        <f>IFERROR(__xludf.DUMMYFUNCTION("""COMPUTED_VALUE"""),"Selesai")</f>
        <v>Selesai</v>
      </c>
      <c r="L2739" s="17">
        <f>IFERROR(__xludf.DUMMYFUNCTION("""COMPUTED_VALUE"""),45839.68256109954)</f>
        <v>45839.68256</v>
      </c>
      <c r="M2739" s="13"/>
      <c r="N2739" s="13" t="str">
        <f>IFERROR(__xludf.DUMMYFUNCTION("""COMPUTED_VALUE"""),"")</f>
        <v/>
      </c>
      <c r="O2739" s="13" t="str">
        <f t="shared" si="1"/>
        <v/>
      </c>
    </row>
    <row r="2740" ht="22.5" customHeight="1">
      <c r="B2740" s="13">
        <f>IFERROR(__xludf.DUMMYFUNCTION("""COMPUTED_VALUE"""),2735.0)</f>
        <v>2735</v>
      </c>
      <c r="C2740" s="13" t="str">
        <f>IFERROR(__xludf.DUMMYFUNCTION("""COMPUTED_VALUE"""),"M. 2041/ Susunan Baru")</f>
        <v>M. 2041/ Susunan Baru</v>
      </c>
      <c r="D2740" s="13" t="str">
        <f>IFERROR(__xludf.DUMMYFUNCTION("""COMPUTED_VALUE"""),"K/1/200625/1")</f>
        <v>K/1/200625/1</v>
      </c>
      <c r="E2740" s="14" t="str">
        <f>IFERROR(__xludf.DUMMYFUNCTION("""COMPUTED_VALUE"""),"Heri (BT)")</f>
        <v>Heri (BT)</v>
      </c>
      <c r="F2740" s="14" t="str">
        <f>IFERROR(__xludf.DUMMYFUNCTION("""COMPUTED_VALUE"""),"SELESAI (VIA PERMOHONAN)")</f>
        <v>SELESAI (VIA PERMOHONAN)</v>
      </c>
      <c r="G2740" s="17">
        <f>IFERROR(__xludf.DUMMYFUNCTION("""COMPUTED_VALUE"""),45839.469129606485)</f>
        <v>45839.46913</v>
      </c>
      <c r="H2740" s="14" t="str">
        <f>IFERROR(__xludf.DUMMYFUNCTION("""COMPUTED_VALUE"""),"Eci (SU)")</f>
        <v>Eci (SU)</v>
      </c>
      <c r="I2740" s="13" t="str">
        <f>IFERROR(__xludf.DUMMYFUNCTION("""COMPUTED_VALUE"""),"SELESAI (VIA PERMOHONAN)")</f>
        <v>SELESAI (VIA PERMOHONAN)</v>
      </c>
      <c r="J2740" s="17">
        <f>IFERROR(__xludf.DUMMYFUNCTION("""COMPUTED_VALUE"""),45839.68242195602)</f>
        <v>45839.68242</v>
      </c>
      <c r="K2740" s="13" t="str">
        <f>IFERROR(__xludf.DUMMYFUNCTION("""COMPUTED_VALUE"""),"Selesai")</f>
        <v>Selesai</v>
      </c>
      <c r="L2740" s="17">
        <f>IFERROR(__xludf.DUMMYFUNCTION("""COMPUTED_VALUE"""),45839.68242195602)</f>
        <v>45839.68242</v>
      </c>
      <c r="M2740" s="13"/>
      <c r="N2740" s="13" t="str">
        <f>IFERROR(__xludf.DUMMYFUNCTION("""COMPUTED_VALUE"""),"")</f>
        <v/>
      </c>
      <c r="O2740" s="13" t="str">
        <f t="shared" si="1"/>
        <v/>
      </c>
    </row>
    <row r="2741" ht="22.5" customHeight="1">
      <c r="B2741" s="13">
        <f>IFERROR(__xludf.DUMMYFUNCTION("""COMPUTED_VALUE"""),2736.0)</f>
        <v>2736</v>
      </c>
      <c r="C2741" s="13" t="str">
        <f>IFERROR(__xludf.DUMMYFUNCTION("""COMPUTED_VALUE"""),"M. 1484/Way Halim Permai")</f>
        <v>M. 1484/Way Halim Permai</v>
      </c>
      <c r="D2741" s="13" t="str">
        <f>IFERROR(__xludf.DUMMYFUNCTION("""COMPUTED_VALUE"""),"K/31/230625/2")</f>
        <v>K/31/230625/2</v>
      </c>
      <c r="E2741" s="14" t="str">
        <f>IFERROR(__xludf.DUMMYFUNCTION("""COMPUTED_VALUE"""),"Heri (BT)")</f>
        <v>Heri (BT)</v>
      </c>
      <c r="F2741" s="14" t="str">
        <f>IFERROR(__xludf.DUMMYFUNCTION("""COMPUTED_VALUE"""),"SELESAI (VIA PERMOHONAN)")</f>
        <v>SELESAI (VIA PERMOHONAN)</v>
      </c>
      <c r="G2741" s="17">
        <f>IFERROR(__xludf.DUMMYFUNCTION("""COMPUTED_VALUE"""),45839.469129606485)</f>
        <v>45839.46913</v>
      </c>
      <c r="H2741" s="14" t="str">
        <f>IFERROR(__xludf.DUMMYFUNCTION("""COMPUTED_VALUE"""),"Eci (SU)")</f>
        <v>Eci (SU)</v>
      </c>
      <c r="I2741" s="13" t="str">
        <f>IFERROR(__xludf.DUMMYFUNCTION("""COMPUTED_VALUE"""),"SELESAI (VIA PERMOHONAN)")</f>
        <v>SELESAI (VIA PERMOHONAN)</v>
      </c>
      <c r="J2741" s="17">
        <f>IFERROR(__xludf.DUMMYFUNCTION("""COMPUTED_VALUE"""),45842.60374020833)</f>
        <v>45842.60374</v>
      </c>
      <c r="K2741" s="13" t="str">
        <f>IFERROR(__xludf.DUMMYFUNCTION("""COMPUTED_VALUE"""),"Selesai")</f>
        <v>Selesai</v>
      </c>
      <c r="L2741" s="17">
        <f>IFERROR(__xludf.DUMMYFUNCTION("""COMPUTED_VALUE"""),45842.60374020833)</f>
        <v>45842.60374</v>
      </c>
      <c r="M2741" s="13"/>
      <c r="N2741" s="13" t="str">
        <f>IFERROR(__xludf.DUMMYFUNCTION("""COMPUTED_VALUE"""),"")</f>
        <v/>
      </c>
      <c r="O2741" s="13" t="str">
        <f t="shared" si="1"/>
        <v/>
      </c>
    </row>
    <row r="2742" ht="22.5" customHeight="1">
      <c r="B2742" s="13">
        <f>IFERROR(__xludf.DUMMYFUNCTION("""COMPUTED_VALUE"""),2737.0)</f>
        <v>2737</v>
      </c>
      <c r="C2742" s="13" t="str">
        <f>IFERROR(__xludf.DUMMYFUNCTION("""COMPUTED_VALUE"""),"B.771/SUMUR PUTRI")</f>
        <v>B.771/SUMUR PUTRI</v>
      </c>
      <c r="D2742" s="13" t="str">
        <f>IFERROR(__xludf.DUMMYFUNCTION("""COMPUTED_VALUE"""),"K/18/160635/1")</f>
        <v>K/18/160635/1</v>
      </c>
      <c r="E2742" s="14" t="str">
        <f>IFERROR(__xludf.DUMMYFUNCTION("""COMPUTED_VALUE"""),"Heri (BT)")</f>
        <v>Heri (BT)</v>
      </c>
      <c r="F2742" s="14" t="str">
        <f>IFERROR(__xludf.DUMMYFUNCTION("""COMPUTED_VALUE"""),"SELESAI (VIA PERMOHONAN)")</f>
        <v>SELESAI (VIA PERMOHONAN)</v>
      </c>
      <c r="G2742" s="17">
        <f>IFERROR(__xludf.DUMMYFUNCTION("""COMPUTED_VALUE"""),45839.46913456019)</f>
        <v>45839.46913</v>
      </c>
      <c r="H2742" s="14" t="str">
        <f>IFERROR(__xludf.DUMMYFUNCTION("""COMPUTED_VALUE"""),"Eci (SU)")</f>
        <v>Eci (SU)</v>
      </c>
      <c r="I2742" s="13" t="str">
        <f>IFERROR(__xludf.DUMMYFUNCTION("""COMPUTED_VALUE"""),"SELESAI (VIA PERMOHONAN)")</f>
        <v>SELESAI (VIA PERMOHONAN)</v>
      </c>
      <c r="J2742" s="17">
        <f>IFERROR(__xludf.DUMMYFUNCTION("""COMPUTED_VALUE"""),45839.682313391204)</f>
        <v>45839.68231</v>
      </c>
      <c r="K2742" s="13" t="str">
        <f>IFERROR(__xludf.DUMMYFUNCTION("""COMPUTED_VALUE"""),"Selesai")</f>
        <v>Selesai</v>
      </c>
      <c r="L2742" s="17">
        <f>IFERROR(__xludf.DUMMYFUNCTION("""COMPUTED_VALUE"""),45839.682313391204)</f>
        <v>45839.68231</v>
      </c>
      <c r="M2742" s="13"/>
      <c r="N2742" s="13" t="str">
        <f>IFERROR(__xludf.DUMMYFUNCTION("""COMPUTED_VALUE"""),"")</f>
        <v/>
      </c>
      <c r="O2742" s="13" t="str">
        <f t="shared" si="1"/>
        <v/>
      </c>
    </row>
    <row r="2743" ht="22.5" customHeight="1">
      <c r="B2743" s="13">
        <f>IFERROR(__xludf.DUMMYFUNCTION("""COMPUTED_VALUE"""),2738.0)</f>
        <v>2738</v>
      </c>
      <c r="C2743" s="13" t="str">
        <f>IFERROR(__xludf.DUMMYFUNCTION("""COMPUTED_VALUE"""),"M.2877/SUKARAME BARU")</f>
        <v>M.2877/SUKARAME BARU</v>
      </c>
      <c r="D2743" s="13" t="str">
        <f>IFERROR(__xludf.DUMMYFUNCTION("""COMPUTED_VALUE"""),"K/29/160635/2")</f>
        <v>K/29/160635/2</v>
      </c>
      <c r="E2743" s="14" t="str">
        <f>IFERROR(__xludf.DUMMYFUNCTION("""COMPUTED_VALUE"""),"Heri (BT)")</f>
        <v>Heri (BT)</v>
      </c>
      <c r="F2743" s="14" t="str">
        <f>IFERROR(__xludf.DUMMYFUNCTION("""COMPUTED_VALUE"""),"SELESAI (VIA PERMOHONAN)")</f>
        <v>SELESAI (VIA PERMOHONAN)</v>
      </c>
      <c r="G2743" s="17">
        <f>IFERROR(__xludf.DUMMYFUNCTION("""COMPUTED_VALUE"""),45839.46919658565)</f>
        <v>45839.4692</v>
      </c>
      <c r="H2743" s="14" t="str">
        <f>IFERROR(__xludf.DUMMYFUNCTION("""COMPUTED_VALUE"""),"Eci (SU)")</f>
        <v>Eci (SU)</v>
      </c>
      <c r="I2743" s="13" t="str">
        <f>IFERROR(__xludf.DUMMYFUNCTION("""COMPUTED_VALUE"""),"SELESAI (VIA PERMOHONAN)")</f>
        <v>SELESAI (VIA PERMOHONAN)</v>
      </c>
      <c r="J2743" s="17">
        <f>IFERROR(__xludf.DUMMYFUNCTION("""COMPUTED_VALUE"""),45839.68218230324)</f>
        <v>45839.68218</v>
      </c>
      <c r="K2743" s="13" t="str">
        <f>IFERROR(__xludf.DUMMYFUNCTION("""COMPUTED_VALUE"""),"Selesai")</f>
        <v>Selesai</v>
      </c>
      <c r="L2743" s="17">
        <f>IFERROR(__xludf.DUMMYFUNCTION("""COMPUTED_VALUE"""),45839.68218230324)</f>
        <v>45839.68218</v>
      </c>
      <c r="M2743" s="13"/>
      <c r="N2743" s="13" t="str">
        <f>IFERROR(__xludf.DUMMYFUNCTION("""COMPUTED_VALUE"""),"")</f>
        <v/>
      </c>
      <c r="O2743" s="13" t="str">
        <f t="shared" si="1"/>
        <v/>
      </c>
    </row>
    <row r="2744" ht="22.5" customHeight="1">
      <c r="B2744" s="13">
        <f>IFERROR(__xludf.DUMMYFUNCTION("""COMPUTED_VALUE"""),2739.0)</f>
        <v>2739</v>
      </c>
      <c r="C2744" s="13" t="str">
        <f>IFERROR(__xludf.DUMMYFUNCTION("""COMPUTED_VALUE"""),"M.7004/TANJUNG SENENG")</f>
        <v>M.7004/TANJUNG SENENG</v>
      </c>
      <c r="D2744" s="13" t="str">
        <f>IFERROR(__xludf.DUMMYFUNCTION("""COMPUTED_VALUE"""),"K/20/250625/2")</f>
        <v>K/20/250625/2</v>
      </c>
      <c r="E2744" s="14" t="str">
        <f>IFERROR(__xludf.DUMMYFUNCTION("""COMPUTED_VALUE"""),"Heri (BT)")</f>
        <v>Heri (BT)</v>
      </c>
      <c r="F2744" s="14" t="str">
        <f>IFERROR(__xludf.DUMMYFUNCTION("""COMPUTED_VALUE"""),"SELESAI (VIA PERMOHONAN)")</f>
        <v>SELESAI (VIA PERMOHONAN)</v>
      </c>
      <c r="G2744" s="17">
        <f>IFERROR(__xludf.DUMMYFUNCTION("""COMPUTED_VALUE"""),45839.46919658565)</f>
        <v>45839.4692</v>
      </c>
      <c r="H2744" s="14" t="str">
        <f>IFERROR(__xludf.DUMMYFUNCTION("""COMPUTED_VALUE"""),"Eci (SU)")</f>
        <v>Eci (SU)</v>
      </c>
      <c r="I2744" s="13" t="str">
        <f>IFERROR(__xludf.DUMMYFUNCTION("""COMPUTED_VALUE"""),"SELESAI (VIA PERMOHONAN)")</f>
        <v>SELESAI (VIA PERMOHONAN)</v>
      </c>
      <c r="J2744" s="17">
        <f>IFERROR(__xludf.DUMMYFUNCTION("""COMPUTED_VALUE"""),45839.6820405787)</f>
        <v>45839.68204</v>
      </c>
      <c r="K2744" s="13" t="str">
        <f>IFERROR(__xludf.DUMMYFUNCTION("""COMPUTED_VALUE"""),"Selesai")</f>
        <v>Selesai</v>
      </c>
      <c r="L2744" s="17">
        <f>IFERROR(__xludf.DUMMYFUNCTION("""COMPUTED_VALUE"""),45839.6820405787)</f>
        <v>45839.68204</v>
      </c>
      <c r="M2744" s="13"/>
      <c r="N2744" s="13" t="str">
        <f>IFERROR(__xludf.DUMMYFUNCTION("""COMPUTED_VALUE"""),"")</f>
        <v/>
      </c>
      <c r="O2744" s="13" t="str">
        <f t="shared" si="1"/>
        <v/>
      </c>
    </row>
    <row r="2745" ht="22.5" customHeight="1">
      <c r="B2745" s="13">
        <f>IFERROR(__xludf.DUMMYFUNCTION("""COMPUTED_VALUE"""),2740.0)</f>
        <v>2740</v>
      </c>
      <c r="C2745" s="13" t="str">
        <f>IFERROR(__xludf.DUMMYFUNCTION("""COMPUTED_VALUE"""),"M.1239/PERUMNAS WAY KANDIS ")</f>
        <v>M.1239/PERUMNAS WAY KANDIS </v>
      </c>
      <c r="D2745" s="13" t="str">
        <f>IFERROR(__xludf.DUMMYFUNCTION("""COMPUTED_VALUE"""),"K/22/240625/1")</f>
        <v>K/22/240625/1</v>
      </c>
      <c r="E2745" s="14" t="str">
        <f>IFERROR(__xludf.DUMMYFUNCTION("""COMPUTED_VALUE"""),"Heri (BT)")</f>
        <v>Heri (BT)</v>
      </c>
      <c r="F2745" s="14" t="str">
        <f>IFERROR(__xludf.DUMMYFUNCTION("""COMPUTED_VALUE"""),"SELESAI (VIA PERMOHONAN)")</f>
        <v>SELESAI (VIA PERMOHONAN)</v>
      </c>
      <c r="G2745" s="17">
        <f>IFERROR(__xludf.DUMMYFUNCTION("""COMPUTED_VALUE"""),45839.46919658565)</f>
        <v>45839.4692</v>
      </c>
      <c r="H2745" s="14" t="str">
        <f>IFERROR(__xludf.DUMMYFUNCTION("""COMPUTED_VALUE"""),"Eci (SU)")</f>
        <v>Eci (SU)</v>
      </c>
      <c r="I2745" s="13" t="str">
        <f>IFERROR(__xludf.DUMMYFUNCTION("""COMPUTED_VALUE"""),"SELESAI (VIA PERMOHONAN)")</f>
        <v>SELESAI (VIA PERMOHONAN)</v>
      </c>
      <c r="J2745" s="17">
        <f>IFERROR(__xludf.DUMMYFUNCTION("""COMPUTED_VALUE"""),45841.38719550926)</f>
        <v>45841.3872</v>
      </c>
      <c r="K2745" s="13" t="str">
        <f>IFERROR(__xludf.DUMMYFUNCTION("""COMPUTED_VALUE"""),"Selesai")</f>
        <v>Selesai</v>
      </c>
      <c r="L2745" s="17">
        <f>IFERROR(__xludf.DUMMYFUNCTION("""COMPUTED_VALUE"""),45841.38719550926)</f>
        <v>45841.3872</v>
      </c>
      <c r="M2745" s="13"/>
      <c r="N2745" s="13" t="str">
        <f>IFERROR(__xludf.DUMMYFUNCTION("""COMPUTED_VALUE"""),"")</f>
        <v/>
      </c>
      <c r="O2745" s="13" t="str">
        <f t="shared" si="1"/>
        <v/>
      </c>
    </row>
    <row r="2746" ht="22.5" customHeight="1">
      <c r="B2746" s="13">
        <f>IFERROR(__xludf.DUMMYFUNCTION("""COMPUTED_VALUE"""),2741.0)</f>
        <v>2741</v>
      </c>
      <c r="C2746" s="13" t="str">
        <f>IFERROR(__xludf.DUMMYFUNCTION("""COMPUTED_VALUE"""),"M.1489/GEDONG AIR")</f>
        <v>M.1489/GEDONG AIR</v>
      </c>
      <c r="D2746" s="13" t="str">
        <f>IFERROR(__xludf.DUMMYFUNCTION("""COMPUTED_VALUE"""),"K/6/020625/1")</f>
        <v>K/6/020625/1</v>
      </c>
      <c r="E2746" s="14" t="str">
        <f>IFERROR(__xludf.DUMMYFUNCTION("""COMPUTED_VALUE"""),"Heri (BT)")</f>
        <v>Heri (BT)</v>
      </c>
      <c r="F2746" s="14" t="str">
        <f>IFERROR(__xludf.DUMMYFUNCTION("""COMPUTED_VALUE"""),"SELESAI (VIA PERMOHONAN)")</f>
        <v>SELESAI (VIA PERMOHONAN)</v>
      </c>
      <c r="G2746" s="17">
        <f>IFERROR(__xludf.DUMMYFUNCTION("""COMPUTED_VALUE"""),45839.46919658565)</f>
        <v>45839.4692</v>
      </c>
      <c r="H2746" s="14" t="str">
        <f>IFERROR(__xludf.DUMMYFUNCTION("""COMPUTED_VALUE"""),"Eci (SU)")</f>
        <v>Eci (SU)</v>
      </c>
      <c r="I2746" s="13" t="str">
        <f>IFERROR(__xludf.DUMMYFUNCTION("""COMPUTED_VALUE"""),"SELESAI (VIA PERMOHONAN)")</f>
        <v>SELESAI (VIA PERMOHONAN)</v>
      </c>
      <c r="J2746" s="17">
        <f>IFERROR(__xludf.DUMMYFUNCTION("""COMPUTED_VALUE"""),45839.681857222226)</f>
        <v>45839.68186</v>
      </c>
      <c r="K2746" s="13" t="str">
        <f>IFERROR(__xludf.DUMMYFUNCTION("""COMPUTED_VALUE"""),"Selesai")</f>
        <v>Selesai</v>
      </c>
      <c r="L2746" s="17">
        <f>IFERROR(__xludf.DUMMYFUNCTION("""COMPUTED_VALUE"""),45839.681857222226)</f>
        <v>45839.68186</v>
      </c>
      <c r="M2746" s="13"/>
      <c r="N2746" s="13" t="str">
        <f>IFERROR(__xludf.DUMMYFUNCTION("""COMPUTED_VALUE"""),"")</f>
        <v/>
      </c>
      <c r="O2746" s="13" t="str">
        <f t="shared" si="1"/>
        <v/>
      </c>
    </row>
    <row r="2747" ht="22.5" customHeight="1">
      <c r="B2747" s="13">
        <f>IFERROR(__xludf.DUMMYFUNCTION("""COMPUTED_VALUE"""),2742.0)</f>
        <v>2742</v>
      </c>
      <c r="C2747" s="13" t="str">
        <f>IFERROR(__xludf.DUMMYFUNCTION("""COMPUTED_VALUE"""),"M.3342/KEMILING PERMAI")</f>
        <v>M.3342/KEMILING PERMAI</v>
      </c>
      <c r="D2747" s="13" t="str">
        <f>IFERROR(__xludf.DUMMYFUNCTION("""COMPUTED_VALUE"""),"K/39/160635/1")</f>
        <v>K/39/160635/1</v>
      </c>
      <c r="E2747" s="14" t="str">
        <f>IFERROR(__xludf.DUMMYFUNCTION("""COMPUTED_VALUE"""),"Heri (BT)")</f>
        <v>Heri (BT)</v>
      </c>
      <c r="F2747" s="14" t="str">
        <f>IFERROR(__xludf.DUMMYFUNCTION("""COMPUTED_VALUE"""),"SELESAI (VIA PERMOHONAN)")</f>
        <v>SELESAI (VIA PERMOHONAN)</v>
      </c>
      <c r="G2747" s="17">
        <f>IFERROR(__xludf.DUMMYFUNCTION("""COMPUTED_VALUE"""),45839.46920577546)</f>
        <v>45839.46921</v>
      </c>
      <c r="H2747" s="14" t="str">
        <f>IFERROR(__xludf.DUMMYFUNCTION("""COMPUTED_VALUE"""),"Eci (SU)")</f>
        <v>Eci (SU)</v>
      </c>
      <c r="I2747" s="13" t="str">
        <f>IFERROR(__xludf.DUMMYFUNCTION("""COMPUTED_VALUE"""),"SELESAI (VIA PERMOHONAN)")</f>
        <v>SELESAI (VIA PERMOHONAN)</v>
      </c>
      <c r="J2747" s="17">
        <f>IFERROR(__xludf.DUMMYFUNCTION("""COMPUTED_VALUE"""),45839.6815946875)</f>
        <v>45839.68159</v>
      </c>
      <c r="K2747" s="13" t="str">
        <f>IFERROR(__xludf.DUMMYFUNCTION("""COMPUTED_VALUE"""),"Selesai")</f>
        <v>Selesai</v>
      </c>
      <c r="L2747" s="17">
        <f>IFERROR(__xludf.DUMMYFUNCTION("""COMPUTED_VALUE"""),45839.6815946875)</f>
        <v>45839.68159</v>
      </c>
      <c r="M2747" s="13"/>
      <c r="N2747" s="13" t="str">
        <f>IFERROR(__xludf.DUMMYFUNCTION("""COMPUTED_VALUE"""),"")</f>
        <v/>
      </c>
      <c r="O2747" s="13" t="str">
        <f t="shared" si="1"/>
        <v/>
      </c>
    </row>
    <row r="2748" ht="22.5" customHeight="1">
      <c r="B2748" s="13">
        <f>IFERROR(__xludf.DUMMYFUNCTION("""COMPUTED_VALUE"""),2743.0)</f>
        <v>2743</v>
      </c>
      <c r="C2748" s="13" t="str">
        <f>IFERROR(__xludf.DUMMYFUNCTION("""COMPUTED_VALUE"""),"M.4745/WAY KANDIS")</f>
        <v>M.4745/WAY KANDIS</v>
      </c>
      <c r="D2748" s="13" t="str">
        <f>IFERROR(__xludf.DUMMYFUNCTION("""COMPUTED_VALUE"""),"K/10/160631/1")</f>
        <v>K/10/160631/1</v>
      </c>
      <c r="E2748" s="14" t="str">
        <f>IFERROR(__xludf.DUMMYFUNCTION("""COMPUTED_VALUE"""),"Heri (BT)")</f>
        <v>Heri (BT)</v>
      </c>
      <c r="F2748" s="14" t="str">
        <f>IFERROR(__xludf.DUMMYFUNCTION("""COMPUTED_VALUE"""),"SELESAI (VIA PERMOHONAN)")</f>
        <v>SELESAI (VIA PERMOHONAN)</v>
      </c>
      <c r="G2748" s="17">
        <f>IFERROR(__xludf.DUMMYFUNCTION("""COMPUTED_VALUE"""),45839.46922371528)</f>
        <v>45839.46922</v>
      </c>
      <c r="H2748" s="14" t="str">
        <f>IFERROR(__xludf.DUMMYFUNCTION("""COMPUTED_VALUE"""),"Eci (SU)")</f>
        <v>Eci (SU)</v>
      </c>
      <c r="I2748" s="13" t="str">
        <f>IFERROR(__xludf.DUMMYFUNCTION("""COMPUTED_VALUE"""),"SELESAI (VIA PERMOHONAN)")</f>
        <v>SELESAI (VIA PERMOHONAN)</v>
      </c>
      <c r="J2748" s="17">
        <f>IFERROR(__xludf.DUMMYFUNCTION("""COMPUTED_VALUE"""),45839.6814640625)</f>
        <v>45839.68146</v>
      </c>
      <c r="K2748" s="13" t="str">
        <f>IFERROR(__xludf.DUMMYFUNCTION("""COMPUTED_VALUE"""),"Selesai")</f>
        <v>Selesai</v>
      </c>
      <c r="L2748" s="17">
        <f>IFERROR(__xludf.DUMMYFUNCTION("""COMPUTED_VALUE"""),45839.6814640625)</f>
        <v>45839.68146</v>
      </c>
      <c r="M2748" s="13"/>
      <c r="N2748" s="13" t="str">
        <f>IFERROR(__xludf.DUMMYFUNCTION("""COMPUTED_VALUE"""),"")</f>
        <v/>
      </c>
      <c r="O2748" s="13" t="str">
        <f t="shared" si="1"/>
        <v/>
      </c>
    </row>
    <row r="2749" ht="22.5" customHeight="1">
      <c r="B2749" s="13">
        <f>IFERROR(__xludf.DUMMYFUNCTION("""COMPUTED_VALUE"""),2744.0)</f>
        <v>2744</v>
      </c>
      <c r="C2749" s="13" t="str">
        <f>IFERROR(__xludf.DUMMYFUNCTION("""COMPUTED_VALUE"""),"B.541/KEMILING PERMAI")</f>
        <v>B.541/KEMILING PERMAI</v>
      </c>
      <c r="D2749" s="13" t="str">
        <f>IFERROR(__xludf.DUMMYFUNCTION("""COMPUTED_VALUE"""),"K/18/170625/1")</f>
        <v>K/18/170625/1</v>
      </c>
      <c r="E2749" s="14" t="str">
        <f>IFERROR(__xludf.DUMMYFUNCTION("""COMPUTED_VALUE"""),"Heri (BT)")</f>
        <v>Heri (BT)</v>
      </c>
      <c r="F2749" s="14" t="str">
        <f>IFERROR(__xludf.DUMMYFUNCTION("""COMPUTED_VALUE"""),"SELESAI (VIA PERMOHONAN)")</f>
        <v>SELESAI (VIA PERMOHONAN)</v>
      </c>
      <c r="G2749" s="17">
        <f>IFERROR(__xludf.DUMMYFUNCTION("""COMPUTED_VALUE"""),45839.486873229165)</f>
        <v>45839.48687</v>
      </c>
      <c r="H2749" s="14" t="str">
        <f>IFERROR(__xludf.DUMMYFUNCTION("""COMPUTED_VALUE"""),"Eci (SU)")</f>
        <v>Eci (SU)</v>
      </c>
      <c r="I2749" s="13" t="str">
        <f>IFERROR(__xludf.DUMMYFUNCTION("""COMPUTED_VALUE"""),"SELESAI (VIA PERMOHONAN)")</f>
        <v>SELESAI (VIA PERMOHONAN)</v>
      </c>
      <c r="J2749" s="17">
        <f>IFERROR(__xludf.DUMMYFUNCTION("""COMPUTED_VALUE"""),45839.68133443287)</f>
        <v>45839.68133</v>
      </c>
      <c r="K2749" s="13" t="str">
        <f>IFERROR(__xludf.DUMMYFUNCTION("""COMPUTED_VALUE"""),"Selesai")</f>
        <v>Selesai</v>
      </c>
      <c r="L2749" s="17">
        <f>IFERROR(__xludf.DUMMYFUNCTION("""COMPUTED_VALUE"""),45839.68133443287)</f>
        <v>45839.68133</v>
      </c>
      <c r="M2749" s="13"/>
      <c r="N2749" s="13" t="str">
        <f>IFERROR(__xludf.DUMMYFUNCTION("""COMPUTED_VALUE"""),"")</f>
        <v/>
      </c>
      <c r="O2749" s="13" t="str">
        <f t="shared" si="1"/>
        <v/>
      </c>
    </row>
    <row r="2750" ht="22.5" customHeight="1">
      <c r="B2750" s="13">
        <f>IFERROR(__xludf.DUMMYFUNCTION("""COMPUTED_VALUE"""),2745.0)</f>
        <v>2745</v>
      </c>
      <c r="C2750" s="13" t="str">
        <f>IFERROR(__xludf.DUMMYFUNCTION("""COMPUTED_VALUE"""),"2124/kemiling permai")</f>
        <v>2124/kemiling permai</v>
      </c>
      <c r="D2750" s="13" t="str">
        <f>IFERROR(__xludf.DUMMYFUNCTION("""COMPUTED_VALUE"""),"")</f>
        <v/>
      </c>
      <c r="E2750" s="14" t="str">
        <f>IFERROR(__xludf.DUMMYFUNCTION("""COMPUTED_VALUE"""),"Heri (BT)")</f>
        <v>Heri (BT)</v>
      </c>
      <c r="F2750" s="14" t="str">
        <f>IFERROR(__xludf.DUMMYFUNCTION("""COMPUTED_VALUE"""),"SELESAI (VIA PERMOHONAN)")</f>
        <v>SELESAI (VIA PERMOHONAN)</v>
      </c>
      <c r="G2750" s="17">
        <f>IFERROR(__xludf.DUMMYFUNCTION("""COMPUTED_VALUE"""),45840.58785177083)</f>
        <v>45840.58785</v>
      </c>
      <c r="H2750" s="14" t="str">
        <f>IFERROR(__xludf.DUMMYFUNCTION("""COMPUTED_VALUE"""),"Eci (SU)")</f>
        <v>Eci (SU)</v>
      </c>
      <c r="I2750" s="13" t="str">
        <f>IFERROR(__xludf.DUMMYFUNCTION("""COMPUTED_VALUE"""),"SELESAI (VIA PERMOHONAN)")</f>
        <v>SELESAI (VIA PERMOHONAN)</v>
      </c>
      <c r="J2750" s="17">
        <f>IFERROR(__xludf.DUMMYFUNCTION("""COMPUTED_VALUE"""),45839.6795503125)</f>
        <v>45839.67955</v>
      </c>
      <c r="K2750" s="13" t="str">
        <f>IFERROR(__xludf.DUMMYFUNCTION("""COMPUTED_VALUE"""),"")</f>
        <v/>
      </c>
      <c r="L2750" s="13" t="str">
        <f>IFERROR(__xludf.DUMMYFUNCTION("""COMPUTED_VALUE"""),"")</f>
        <v/>
      </c>
      <c r="M2750" s="13"/>
      <c r="N2750" s="13" t="str">
        <f>IFERROR(__xludf.DUMMYFUNCTION("""COMPUTED_VALUE"""),"")</f>
        <v/>
      </c>
      <c r="O2750" s="13" t="str">
        <f t="shared" si="1"/>
        <v/>
      </c>
    </row>
    <row r="2751" ht="22.5" customHeight="1">
      <c r="B2751" s="13">
        <f>IFERROR(__xludf.DUMMYFUNCTION("""COMPUTED_VALUE"""),2746.0)</f>
        <v>2746</v>
      </c>
      <c r="C2751" s="13" t="str">
        <f>IFERROR(__xludf.DUMMYFUNCTION("""COMPUTED_VALUE"""),"389/Perumnas Way Kandis")</f>
        <v>389/Perumnas Way Kandis</v>
      </c>
      <c r="D2751" s="13" t="str">
        <f>IFERROR(__xludf.DUMMYFUNCTION("""COMPUTED_VALUE"""),"")</f>
        <v/>
      </c>
      <c r="E2751" s="14" t="str">
        <f>IFERROR(__xludf.DUMMYFUNCTION("""COMPUTED_VALUE"""),"Heri (BT)")</f>
        <v>Heri (BT)</v>
      </c>
      <c r="F2751" s="14" t="str">
        <f>IFERROR(__xludf.DUMMYFUNCTION("""COMPUTED_VALUE"""),"SELESAI (VIA PERMOHONAN)")</f>
        <v>SELESAI (VIA PERMOHONAN)</v>
      </c>
      <c r="G2751" s="17">
        <f>IFERROR(__xludf.DUMMYFUNCTION("""COMPUTED_VALUE"""),45840.58785177083)</f>
        <v>45840.58785</v>
      </c>
      <c r="H2751" s="14" t="str">
        <f>IFERROR(__xludf.DUMMYFUNCTION("""COMPUTED_VALUE"""),"Eci (SU)")</f>
        <v>Eci (SU)</v>
      </c>
      <c r="I2751" s="13" t="str">
        <f>IFERROR(__xludf.DUMMYFUNCTION("""COMPUTED_VALUE"""),"SELESAI (VIA PERMOHONAN)")</f>
        <v>SELESAI (VIA PERMOHONAN)</v>
      </c>
      <c r="J2751" s="17">
        <f>IFERROR(__xludf.DUMMYFUNCTION("""COMPUTED_VALUE"""),45839.68120222222)</f>
        <v>45839.6812</v>
      </c>
      <c r="K2751" s="13" t="str">
        <f>IFERROR(__xludf.DUMMYFUNCTION("""COMPUTED_VALUE"""),"")</f>
        <v/>
      </c>
      <c r="L2751" s="13" t="str">
        <f>IFERROR(__xludf.DUMMYFUNCTION("""COMPUTED_VALUE"""),"")</f>
        <v/>
      </c>
      <c r="M2751" s="13"/>
      <c r="N2751" s="13" t="str">
        <f>IFERROR(__xludf.DUMMYFUNCTION("""COMPUTED_VALUE"""),"")</f>
        <v/>
      </c>
      <c r="O2751" s="13" t="str">
        <f t="shared" si="1"/>
        <v/>
      </c>
    </row>
    <row r="2752" ht="22.5" customHeight="1">
      <c r="B2752" s="13">
        <f>IFERROR(__xludf.DUMMYFUNCTION("""COMPUTED_VALUE"""),2747.0)</f>
        <v>2747</v>
      </c>
      <c r="C2752" s="13" t="str">
        <f>IFERROR(__xludf.DUMMYFUNCTION("""COMPUTED_VALUE"""),"M. 3405/ Beringin Jaya")</f>
        <v>M. 3405/ Beringin Jaya</v>
      </c>
      <c r="D2752" s="13" t="str">
        <f>IFERROR(__xludf.DUMMYFUNCTION("""COMPUTED_VALUE"""),"K/28/180625/1")</f>
        <v>K/28/180625/1</v>
      </c>
      <c r="E2752" s="14" t="str">
        <f>IFERROR(__xludf.DUMMYFUNCTION("""COMPUTED_VALUE"""),"Heri (BT)")</f>
        <v>Heri (BT)</v>
      </c>
      <c r="F2752" s="14" t="str">
        <f>IFERROR(__xludf.DUMMYFUNCTION("""COMPUTED_VALUE"""),"SELESAI (VIA PERMOHONAN)")</f>
        <v>SELESAI (VIA PERMOHONAN)</v>
      </c>
      <c r="G2752" s="17">
        <f>IFERROR(__xludf.DUMMYFUNCTION("""COMPUTED_VALUE"""),45840.58806770833)</f>
        <v>45840.58807</v>
      </c>
      <c r="H2752" s="14" t="str">
        <f>IFERROR(__xludf.DUMMYFUNCTION("""COMPUTED_VALUE"""),"Eci (SU)")</f>
        <v>Eci (SU)</v>
      </c>
      <c r="I2752" s="13" t="str">
        <f>IFERROR(__xludf.DUMMYFUNCTION("""COMPUTED_VALUE"""),"SELESAI (VIA PERMOHONAN)")</f>
        <v>SELESAI (VIA PERMOHONAN)</v>
      </c>
      <c r="J2752" s="17">
        <f>IFERROR(__xludf.DUMMYFUNCTION("""COMPUTED_VALUE"""),45842.612459814816)</f>
        <v>45842.61246</v>
      </c>
      <c r="K2752" s="13" t="str">
        <f>IFERROR(__xludf.DUMMYFUNCTION("""COMPUTED_VALUE"""),"Selesai")</f>
        <v>Selesai</v>
      </c>
      <c r="L2752" s="17">
        <f>IFERROR(__xludf.DUMMYFUNCTION("""COMPUTED_VALUE"""),45842.612459814816)</f>
        <v>45842.61246</v>
      </c>
      <c r="M2752" s="13"/>
      <c r="N2752" s="13" t="str">
        <f>IFERROR(__xludf.DUMMYFUNCTION("""COMPUTED_VALUE"""),"")</f>
        <v/>
      </c>
      <c r="O2752" s="13" t="str">
        <f t="shared" si="1"/>
        <v/>
      </c>
    </row>
    <row r="2753" ht="22.5" customHeight="1">
      <c r="B2753" s="13">
        <f>IFERROR(__xludf.DUMMYFUNCTION("""COMPUTED_VALUE"""),2748.0)</f>
        <v>2748</v>
      </c>
      <c r="C2753" s="13" t="str">
        <f>IFERROR(__xludf.DUMMYFUNCTION("""COMPUTED_VALUE"""),"M. 303/NUSANTARA PERMAI")</f>
        <v>M. 303/NUSANTARA PERMAI</v>
      </c>
      <c r="D2753" s="13" t="str">
        <f>IFERROR(__xludf.DUMMYFUNCTION("""COMPUTED_VALUE"""),"K/40/200625/1")</f>
        <v>K/40/200625/1</v>
      </c>
      <c r="E2753" s="14" t="str">
        <f>IFERROR(__xludf.DUMMYFUNCTION("""COMPUTED_VALUE"""),"Heri (BT)")</f>
        <v>Heri (BT)</v>
      </c>
      <c r="F2753" s="14" t="str">
        <f>IFERROR(__xludf.DUMMYFUNCTION("""COMPUTED_VALUE"""),"SELESAI (VIA PERMOHONAN)")</f>
        <v>SELESAI (VIA PERMOHONAN)</v>
      </c>
      <c r="G2753" s="17">
        <f>IFERROR(__xludf.DUMMYFUNCTION("""COMPUTED_VALUE"""),45840.58821371528)</f>
        <v>45840.58821</v>
      </c>
      <c r="H2753" s="14" t="str">
        <f>IFERROR(__xludf.DUMMYFUNCTION("""COMPUTED_VALUE"""),"Eci (SU)")</f>
        <v>Eci (SU)</v>
      </c>
      <c r="I2753" s="13" t="str">
        <f>IFERROR(__xludf.DUMMYFUNCTION("""COMPUTED_VALUE"""),"SELESAI (VIA PERMOHONAN)")</f>
        <v>SELESAI (VIA PERMOHONAN)</v>
      </c>
      <c r="J2753" s="17">
        <f>IFERROR(__xludf.DUMMYFUNCTION("""COMPUTED_VALUE"""),45842.602403564815)</f>
        <v>45842.6024</v>
      </c>
      <c r="K2753" s="13" t="str">
        <f>IFERROR(__xludf.DUMMYFUNCTION("""COMPUTED_VALUE"""),"Selesai")</f>
        <v>Selesai</v>
      </c>
      <c r="L2753" s="17">
        <f>IFERROR(__xludf.DUMMYFUNCTION("""COMPUTED_VALUE"""),45842.602403564815)</f>
        <v>45842.6024</v>
      </c>
      <c r="M2753" s="13"/>
      <c r="N2753" s="13" t="str">
        <f>IFERROR(__xludf.DUMMYFUNCTION("""COMPUTED_VALUE"""),"")</f>
        <v/>
      </c>
      <c r="O2753" s="13" t="str">
        <f t="shared" si="1"/>
        <v/>
      </c>
    </row>
    <row r="2754" ht="22.5" customHeight="1">
      <c r="B2754" s="13">
        <f>IFERROR(__xludf.DUMMYFUNCTION("""COMPUTED_VALUE"""),2749.0)</f>
        <v>2749</v>
      </c>
      <c r="C2754" s="13" t="str">
        <f>IFERROR(__xludf.DUMMYFUNCTION("""COMPUTED_VALUE"""),"M. 13851/ Rajabasa")</f>
        <v>M. 13851/ Rajabasa</v>
      </c>
      <c r="D2754" s="13" t="str">
        <f>IFERROR(__xludf.DUMMYFUNCTION("""COMPUTED_VALUE"""),"K/2/240625/2")</f>
        <v>K/2/240625/2</v>
      </c>
      <c r="E2754" s="14" t="str">
        <f>IFERROR(__xludf.DUMMYFUNCTION("""COMPUTED_VALUE"""),"Heri (BT)")</f>
        <v>Heri (BT)</v>
      </c>
      <c r="F2754" s="14" t="str">
        <f>IFERROR(__xludf.DUMMYFUNCTION("""COMPUTED_VALUE"""),"SELESAI (VIA PERMOHONAN)")</f>
        <v>SELESAI (VIA PERMOHONAN)</v>
      </c>
      <c r="G2754" s="17">
        <f>IFERROR(__xludf.DUMMYFUNCTION("""COMPUTED_VALUE"""),45840.588731724536)</f>
        <v>45840.58873</v>
      </c>
      <c r="H2754" s="14" t="str">
        <f>IFERROR(__xludf.DUMMYFUNCTION("""COMPUTED_VALUE"""),"Eci (SU)")</f>
        <v>Eci (SU)</v>
      </c>
      <c r="I2754" s="13" t="str">
        <f>IFERROR(__xludf.DUMMYFUNCTION("""COMPUTED_VALUE"""),"SELESAI (VIA PERMOHONAN)")</f>
        <v>SELESAI (VIA PERMOHONAN)</v>
      </c>
      <c r="J2754" s="17">
        <f>IFERROR(__xludf.DUMMYFUNCTION("""COMPUTED_VALUE"""),45842.592857048614)</f>
        <v>45842.59286</v>
      </c>
      <c r="K2754" s="13" t="str">
        <f>IFERROR(__xludf.DUMMYFUNCTION("""COMPUTED_VALUE"""),"Selesai")</f>
        <v>Selesai</v>
      </c>
      <c r="L2754" s="17">
        <f>IFERROR(__xludf.DUMMYFUNCTION("""COMPUTED_VALUE"""),45842.592857048614)</f>
        <v>45842.59286</v>
      </c>
      <c r="M2754" s="13"/>
      <c r="N2754" s="13" t="str">
        <f>IFERROR(__xludf.DUMMYFUNCTION("""COMPUTED_VALUE"""),"")</f>
        <v/>
      </c>
      <c r="O2754" s="13" t="str">
        <f t="shared" si="1"/>
        <v/>
      </c>
    </row>
    <row r="2755" ht="22.5" customHeight="1">
      <c r="B2755" s="13">
        <f>IFERROR(__xludf.DUMMYFUNCTION("""COMPUTED_VALUE"""),2750.0)</f>
        <v>2750</v>
      </c>
      <c r="C2755" s="13" t="str">
        <f>IFERROR(__xludf.DUMMYFUNCTION("""COMPUTED_VALUE"""),"M. 524/ Kebon Jeruk")</f>
        <v>M. 524/ Kebon Jeruk</v>
      </c>
      <c r="D2755" s="13" t="str">
        <f>IFERROR(__xludf.DUMMYFUNCTION("""COMPUTED_VALUE"""),"K/8/190625/1")</f>
        <v>K/8/190625/1</v>
      </c>
      <c r="E2755" s="14" t="str">
        <f>IFERROR(__xludf.DUMMYFUNCTION("""COMPUTED_VALUE"""),"Heri (BT)")</f>
        <v>Heri (BT)</v>
      </c>
      <c r="F2755" s="14" t="str">
        <f>IFERROR(__xludf.DUMMYFUNCTION("""COMPUTED_VALUE"""),"SELESAI (VIA PERMOHONAN)")</f>
        <v>SELESAI (VIA PERMOHONAN)</v>
      </c>
      <c r="G2755" s="17">
        <f>IFERROR(__xludf.DUMMYFUNCTION("""COMPUTED_VALUE"""),45840.58983773148)</f>
        <v>45840.58984</v>
      </c>
      <c r="H2755" s="14" t="str">
        <f>IFERROR(__xludf.DUMMYFUNCTION("""COMPUTED_VALUE"""),"Eci (SU)")</f>
        <v>Eci (SU)</v>
      </c>
      <c r="I2755" s="13" t="str">
        <f>IFERROR(__xludf.DUMMYFUNCTION("""COMPUTED_VALUE"""),"SELESAI (VIA PERMOHONAN)")</f>
        <v>SELESAI (VIA PERMOHONAN)</v>
      </c>
      <c r="J2755" s="17">
        <f>IFERROR(__xludf.DUMMYFUNCTION("""COMPUTED_VALUE"""),45842.60232986111)</f>
        <v>45842.60233</v>
      </c>
      <c r="K2755" s="13" t="str">
        <f>IFERROR(__xludf.DUMMYFUNCTION("""COMPUTED_VALUE"""),"Selesai")</f>
        <v>Selesai</v>
      </c>
      <c r="L2755" s="17">
        <f>IFERROR(__xludf.DUMMYFUNCTION("""COMPUTED_VALUE"""),45842.60232986111)</f>
        <v>45842.60233</v>
      </c>
      <c r="M2755" s="13"/>
      <c r="N2755" s="13" t="str">
        <f>IFERROR(__xludf.DUMMYFUNCTION("""COMPUTED_VALUE"""),"")</f>
        <v/>
      </c>
      <c r="O2755" s="13" t="str">
        <f t="shared" si="1"/>
        <v/>
      </c>
    </row>
    <row r="2756" ht="22.5" customHeight="1">
      <c r="B2756" s="13">
        <f>IFERROR(__xludf.DUMMYFUNCTION("""COMPUTED_VALUE"""),2751.0)</f>
        <v>2751</v>
      </c>
      <c r="C2756" s="13" t="str">
        <f>IFERROR(__xludf.DUMMYFUNCTION("""COMPUTED_VALUE"""),"B. 1478/ Way Halim Permai")</f>
        <v>B. 1478/ Way Halim Permai</v>
      </c>
      <c r="D2756" s="13" t="str">
        <f>IFERROR(__xludf.DUMMYFUNCTION("""COMPUTED_VALUE"""),"K/19/250625/1")</f>
        <v>K/19/250625/1</v>
      </c>
      <c r="E2756" s="14" t="str">
        <f>IFERROR(__xludf.DUMMYFUNCTION("""COMPUTED_VALUE"""),"Heri (BT)")</f>
        <v>Heri (BT)</v>
      </c>
      <c r="F2756" s="14" t="str">
        <f>IFERROR(__xludf.DUMMYFUNCTION("""COMPUTED_VALUE"""),"SELESAI (VIA PERMOHONAN)")</f>
        <v>SELESAI (VIA PERMOHONAN)</v>
      </c>
      <c r="G2756" s="17">
        <f>IFERROR(__xludf.DUMMYFUNCTION("""COMPUTED_VALUE"""),45840.59001526621)</f>
        <v>45840.59002</v>
      </c>
      <c r="H2756" s="14" t="str">
        <f>IFERROR(__xludf.DUMMYFUNCTION("""COMPUTED_VALUE"""),"Eci (SU)")</f>
        <v>Eci (SU)</v>
      </c>
      <c r="I2756" s="13" t="str">
        <f>IFERROR(__xludf.DUMMYFUNCTION("""COMPUTED_VALUE"""),"SELESAI (VIA PERMOHONAN)")</f>
        <v>SELESAI (VIA PERMOHONAN)</v>
      </c>
      <c r="J2756" s="17">
        <f>IFERROR(__xludf.DUMMYFUNCTION("""COMPUTED_VALUE"""),45842.592857048614)</f>
        <v>45842.59286</v>
      </c>
      <c r="K2756" s="13" t="str">
        <f>IFERROR(__xludf.DUMMYFUNCTION("""COMPUTED_VALUE"""),"Selesai")</f>
        <v>Selesai</v>
      </c>
      <c r="L2756" s="17">
        <f>IFERROR(__xludf.DUMMYFUNCTION("""COMPUTED_VALUE"""),45842.592857048614)</f>
        <v>45842.59286</v>
      </c>
      <c r="M2756" s="13"/>
      <c r="N2756" s="13" t="str">
        <f>IFERROR(__xludf.DUMMYFUNCTION("""COMPUTED_VALUE"""),"")</f>
        <v/>
      </c>
      <c r="O2756" s="13" t="str">
        <f t="shared" si="1"/>
        <v/>
      </c>
    </row>
    <row r="2757" ht="22.5" customHeight="1">
      <c r="B2757" s="13">
        <f>IFERROR(__xludf.DUMMYFUNCTION("""COMPUTED_VALUE"""),2752.0)</f>
        <v>2752</v>
      </c>
      <c r="C2757" s="13" t="str">
        <f>IFERROR(__xludf.DUMMYFUNCTION("""COMPUTED_VALUE"""),"M. 1262/SUKARAME BARU")</f>
        <v>M. 1262/SUKARAME BARU</v>
      </c>
      <c r="D2757" s="13" t="str">
        <f>IFERROR(__xludf.DUMMYFUNCTION("""COMPUTED_VALUE"""),"K/8/180625/1")</f>
        <v>K/8/180625/1</v>
      </c>
      <c r="E2757" s="14" t="str">
        <f>IFERROR(__xludf.DUMMYFUNCTION("""COMPUTED_VALUE"""),"Heri (BT)")</f>
        <v>Heri (BT)</v>
      </c>
      <c r="F2757" s="14" t="str">
        <f>IFERROR(__xludf.DUMMYFUNCTION("""COMPUTED_VALUE"""),"SELESAI (VIA PERMOHONAN)")</f>
        <v>SELESAI (VIA PERMOHONAN)</v>
      </c>
      <c r="G2757" s="17">
        <f>IFERROR(__xludf.DUMMYFUNCTION("""COMPUTED_VALUE"""),45840.590176412035)</f>
        <v>45840.59018</v>
      </c>
      <c r="H2757" s="14" t="str">
        <f>IFERROR(__xludf.DUMMYFUNCTION("""COMPUTED_VALUE"""),"Eci (SU)")</f>
        <v>Eci (SU)</v>
      </c>
      <c r="I2757" s="13" t="str">
        <f>IFERROR(__xludf.DUMMYFUNCTION("""COMPUTED_VALUE"""),"SELESAI (VIA PERMOHONAN)")</f>
        <v>SELESAI (VIA PERMOHONAN)</v>
      </c>
      <c r="J2757" s="17">
        <f>IFERROR(__xludf.DUMMYFUNCTION("""COMPUTED_VALUE"""),45842.60224306713)</f>
        <v>45842.60224</v>
      </c>
      <c r="K2757" s="13" t="str">
        <f>IFERROR(__xludf.DUMMYFUNCTION("""COMPUTED_VALUE"""),"Selesai")</f>
        <v>Selesai</v>
      </c>
      <c r="L2757" s="17">
        <f>IFERROR(__xludf.DUMMYFUNCTION("""COMPUTED_VALUE"""),45842.60224306713)</f>
        <v>45842.60224</v>
      </c>
      <c r="M2757" s="13"/>
      <c r="N2757" s="13" t="str">
        <f>IFERROR(__xludf.DUMMYFUNCTION("""COMPUTED_VALUE"""),"")</f>
        <v/>
      </c>
      <c r="O2757" s="13" t="str">
        <f t="shared" si="1"/>
        <v/>
      </c>
    </row>
    <row r="2758" ht="22.5" customHeight="1">
      <c r="B2758" s="13">
        <f>IFERROR(__xludf.DUMMYFUNCTION("""COMPUTED_VALUE"""),2753.0)</f>
        <v>2753</v>
      </c>
      <c r="C2758" s="13" t="str">
        <f>IFERROR(__xludf.DUMMYFUNCTION("""COMPUTED_VALUE"""),"M. 13069/BERINGIN RAYA")</f>
        <v>M. 13069/BERINGIN RAYA</v>
      </c>
      <c r="D2758" s="13" t="str">
        <f>IFERROR(__xludf.DUMMYFUNCTION("""COMPUTED_VALUE"""),"K/24/130625/1")</f>
        <v>K/24/130625/1</v>
      </c>
      <c r="E2758" s="14" t="str">
        <f>IFERROR(__xludf.DUMMYFUNCTION("""COMPUTED_VALUE"""),"Heri (BT)")</f>
        <v>Heri (BT)</v>
      </c>
      <c r="F2758" s="14" t="str">
        <f>IFERROR(__xludf.DUMMYFUNCTION("""COMPUTED_VALUE"""),"SELESAI (VIA PERMOHONAN)")</f>
        <v>SELESAI (VIA PERMOHONAN)</v>
      </c>
      <c r="G2758" s="17">
        <f>IFERROR(__xludf.DUMMYFUNCTION("""COMPUTED_VALUE"""),45840.5904190625)</f>
        <v>45840.59042</v>
      </c>
      <c r="H2758" s="14" t="str">
        <f>IFERROR(__xludf.DUMMYFUNCTION("""COMPUTED_VALUE"""),"Eci (SU)")</f>
        <v>Eci (SU)</v>
      </c>
      <c r="I2758" s="13" t="str">
        <f>IFERROR(__xludf.DUMMYFUNCTION("""COMPUTED_VALUE"""),"SELESAI (VIA PERMOHONAN)")</f>
        <v>SELESAI (VIA PERMOHONAN)</v>
      </c>
      <c r="J2758" s="17">
        <f>IFERROR(__xludf.DUMMYFUNCTION("""COMPUTED_VALUE"""),45842.602128750004)</f>
        <v>45842.60213</v>
      </c>
      <c r="K2758" s="13" t="str">
        <f>IFERROR(__xludf.DUMMYFUNCTION("""COMPUTED_VALUE"""),"Selesai")</f>
        <v>Selesai</v>
      </c>
      <c r="L2758" s="17">
        <f>IFERROR(__xludf.DUMMYFUNCTION("""COMPUTED_VALUE"""),45842.602128750004)</f>
        <v>45842.60213</v>
      </c>
      <c r="M2758" s="13"/>
      <c r="N2758" s="13" t="str">
        <f>IFERROR(__xludf.DUMMYFUNCTION("""COMPUTED_VALUE"""),"")</f>
        <v/>
      </c>
      <c r="O2758" s="13" t="str">
        <f t="shared" si="1"/>
        <v/>
      </c>
    </row>
    <row r="2759" ht="22.5" customHeight="1">
      <c r="B2759" s="13">
        <f>IFERROR(__xludf.DUMMYFUNCTION("""COMPUTED_VALUE"""),2754.0)</f>
        <v>2754</v>
      </c>
      <c r="C2759" s="13" t="str">
        <f>IFERROR(__xludf.DUMMYFUNCTION("""COMPUTED_VALUE"""),"M.933/PEMATANG WANGI")</f>
        <v>M.933/PEMATANG WANGI</v>
      </c>
      <c r="D2759" s="13" t="str">
        <f>IFERROR(__xludf.DUMMYFUNCTION("""COMPUTED_VALUE"""),"K/15/170625/1")</f>
        <v>K/15/170625/1</v>
      </c>
      <c r="E2759" s="14" t="str">
        <f>IFERROR(__xludf.DUMMYFUNCTION("""COMPUTED_VALUE"""),"Heri (BT)")</f>
        <v>Heri (BT)</v>
      </c>
      <c r="F2759" s="14" t="str">
        <f>IFERROR(__xludf.DUMMYFUNCTION("""COMPUTED_VALUE"""),"SELESAI (VIA PERMOHONAN)")</f>
        <v>SELESAI (VIA PERMOHONAN)</v>
      </c>
      <c r="G2759" s="17">
        <f>IFERROR(__xludf.DUMMYFUNCTION("""COMPUTED_VALUE"""),45840.590593981484)</f>
        <v>45840.59059</v>
      </c>
      <c r="H2759" s="14" t="str">
        <f>IFERROR(__xludf.DUMMYFUNCTION("""COMPUTED_VALUE"""),"Eci (SU)")</f>
        <v>Eci (SU)</v>
      </c>
      <c r="I2759" s="13" t="str">
        <f>IFERROR(__xludf.DUMMYFUNCTION("""COMPUTED_VALUE"""),"SELESAI (VIA PERMOHONAN)")</f>
        <v>SELESAI (VIA PERMOHONAN)</v>
      </c>
      <c r="J2759" s="17">
        <f>IFERROR(__xludf.DUMMYFUNCTION("""COMPUTED_VALUE"""),45842.60204203703)</f>
        <v>45842.60204</v>
      </c>
      <c r="K2759" s="13" t="str">
        <f>IFERROR(__xludf.DUMMYFUNCTION("""COMPUTED_VALUE"""),"Selesai")</f>
        <v>Selesai</v>
      </c>
      <c r="L2759" s="17">
        <f>IFERROR(__xludf.DUMMYFUNCTION("""COMPUTED_VALUE"""),45842.60204203703)</f>
        <v>45842.60204</v>
      </c>
      <c r="M2759" s="13"/>
      <c r="N2759" s="13" t="str">
        <f>IFERROR(__xludf.DUMMYFUNCTION("""COMPUTED_VALUE"""),"")</f>
        <v/>
      </c>
      <c r="O2759" s="13" t="str">
        <f t="shared" si="1"/>
        <v/>
      </c>
    </row>
    <row r="2760" ht="22.5" customHeight="1">
      <c r="B2760" s="13">
        <f>IFERROR(__xludf.DUMMYFUNCTION("""COMPUTED_VALUE"""),2755.0)</f>
        <v>2755</v>
      </c>
      <c r="C2760" s="13" t="str">
        <f>IFERROR(__xludf.DUMMYFUNCTION("""COMPUTED_VALUE"""),"M.1890/PENGAJARAN")</f>
        <v>M.1890/PENGAJARAN</v>
      </c>
      <c r="D2760" s="13" t="str">
        <f>IFERROR(__xludf.DUMMYFUNCTION("""COMPUTED_VALUE"""),"K/6/300425/1")</f>
        <v>K/6/300425/1</v>
      </c>
      <c r="E2760" s="14" t="str">
        <f>IFERROR(__xludf.DUMMYFUNCTION("""COMPUTED_VALUE"""),"Heri (BT)")</f>
        <v>Heri (BT)</v>
      </c>
      <c r="F2760" s="14" t="str">
        <f>IFERROR(__xludf.DUMMYFUNCTION("""COMPUTED_VALUE"""),"SELESAI (VIA PERMOHONAN)")</f>
        <v>SELESAI (VIA PERMOHONAN)</v>
      </c>
      <c r="G2760" s="17">
        <f>IFERROR(__xludf.DUMMYFUNCTION("""COMPUTED_VALUE"""),45840.59068641203)</f>
        <v>45840.59069</v>
      </c>
      <c r="H2760" s="14" t="str">
        <f>IFERROR(__xludf.DUMMYFUNCTION("""COMPUTED_VALUE"""),"Eci (SU)")</f>
        <v>Eci (SU)</v>
      </c>
      <c r="I2760" s="13" t="str">
        <f>IFERROR(__xludf.DUMMYFUNCTION("""COMPUTED_VALUE"""),"SELESAI (VIA PERMOHONAN)")</f>
        <v>SELESAI (VIA PERMOHONAN)</v>
      </c>
      <c r="J2760" s="17">
        <f>IFERROR(__xludf.DUMMYFUNCTION("""COMPUTED_VALUE"""),45842.60193829861)</f>
        <v>45842.60194</v>
      </c>
      <c r="K2760" s="13" t="str">
        <f>IFERROR(__xludf.DUMMYFUNCTION("""COMPUTED_VALUE"""),"Selesai")</f>
        <v>Selesai</v>
      </c>
      <c r="L2760" s="17">
        <f>IFERROR(__xludf.DUMMYFUNCTION("""COMPUTED_VALUE"""),45842.60193829861)</f>
        <v>45842.60194</v>
      </c>
      <c r="M2760" s="13"/>
      <c r="N2760" s="13" t="str">
        <f>IFERROR(__xludf.DUMMYFUNCTION("""COMPUTED_VALUE"""),"")</f>
        <v/>
      </c>
      <c r="O2760" s="13" t="str">
        <f t="shared" si="1"/>
        <v/>
      </c>
    </row>
    <row r="2761" ht="22.5" customHeight="1">
      <c r="B2761" s="13">
        <f>IFERROR(__xludf.DUMMYFUNCTION("""COMPUTED_VALUE"""),2756.0)</f>
        <v>2756</v>
      </c>
      <c r="C2761" s="13" t="str">
        <f>IFERROR(__xludf.DUMMYFUNCTION("""COMPUTED_VALUE"""),"M.2639/PINANG JAYA")</f>
        <v>M.2639/PINANG JAYA</v>
      </c>
      <c r="D2761" s="13" t="str">
        <f>IFERROR(__xludf.DUMMYFUNCTION("""COMPUTED_VALUE"""),"K/8/240625/1")</f>
        <v>K/8/240625/1</v>
      </c>
      <c r="E2761" s="14" t="str">
        <f>IFERROR(__xludf.DUMMYFUNCTION("""COMPUTED_VALUE"""),"Heri (BT)")</f>
        <v>Heri (BT)</v>
      </c>
      <c r="F2761" s="14" t="str">
        <f>IFERROR(__xludf.DUMMYFUNCTION("""COMPUTED_VALUE"""),"SELESAI (VIA PERMOHONAN)")</f>
        <v>SELESAI (VIA PERMOHONAN)</v>
      </c>
      <c r="G2761" s="17">
        <f>IFERROR(__xludf.DUMMYFUNCTION("""COMPUTED_VALUE"""),45840.59093255787)</f>
        <v>45840.59093</v>
      </c>
      <c r="H2761" s="14" t="str">
        <f>IFERROR(__xludf.DUMMYFUNCTION("""COMPUTED_VALUE"""),"Eci (SU)")</f>
        <v>Eci (SU)</v>
      </c>
      <c r="I2761" s="13" t="str">
        <f>IFERROR(__xludf.DUMMYFUNCTION("""COMPUTED_VALUE"""),"SELESAI (VIA PERMOHONAN)")</f>
        <v>SELESAI (VIA PERMOHONAN)</v>
      </c>
      <c r="J2761" s="17">
        <f>IFERROR(__xludf.DUMMYFUNCTION("""COMPUTED_VALUE"""),45842.60100929398)</f>
        <v>45842.60101</v>
      </c>
      <c r="K2761" s="13" t="str">
        <f>IFERROR(__xludf.DUMMYFUNCTION("""COMPUTED_VALUE"""),"Selesai")</f>
        <v>Selesai</v>
      </c>
      <c r="L2761" s="17">
        <f>IFERROR(__xludf.DUMMYFUNCTION("""COMPUTED_VALUE"""),45842.60100929398)</f>
        <v>45842.60101</v>
      </c>
      <c r="M2761" s="13"/>
      <c r="N2761" s="13" t="str">
        <f>IFERROR(__xludf.DUMMYFUNCTION("""COMPUTED_VALUE"""),"")</f>
        <v/>
      </c>
      <c r="O2761" s="13" t="str">
        <f t="shared" si="1"/>
        <v/>
      </c>
    </row>
    <row r="2762" ht="22.5" customHeight="1">
      <c r="B2762" s="13">
        <f>IFERROR(__xludf.DUMMYFUNCTION("""COMPUTED_VALUE"""),2757.0)</f>
        <v>2757</v>
      </c>
      <c r="C2762" s="13" t="str">
        <f>IFERROR(__xludf.DUMMYFUNCTION("""COMPUTED_VALUE"""),"M.293/SEPANG JAYA")</f>
        <v>M.293/SEPANG JAYA</v>
      </c>
      <c r="D2762" s="13" t="str">
        <f>IFERROR(__xludf.DUMMYFUNCTION("""COMPUTED_VALUE"""),"K/12/170625/2")</f>
        <v>K/12/170625/2</v>
      </c>
      <c r="E2762" s="14" t="str">
        <f>IFERROR(__xludf.DUMMYFUNCTION("""COMPUTED_VALUE"""),"Heri (BT)")</f>
        <v>Heri (BT)</v>
      </c>
      <c r="F2762" s="14" t="str">
        <f>IFERROR(__xludf.DUMMYFUNCTION("""COMPUTED_VALUE"""),"SELESAI (VIA PERMOHONAN)")</f>
        <v>SELESAI (VIA PERMOHONAN)</v>
      </c>
      <c r="G2762" s="17">
        <f>IFERROR(__xludf.DUMMYFUNCTION("""COMPUTED_VALUE"""),45840.59100869213)</f>
        <v>45840.59101</v>
      </c>
      <c r="H2762" s="14" t="str">
        <f>IFERROR(__xludf.DUMMYFUNCTION("""COMPUTED_VALUE"""),"Eci (SU)")</f>
        <v>Eci (SU)</v>
      </c>
      <c r="I2762" s="13" t="str">
        <f>IFERROR(__xludf.DUMMYFUNCTION("""COMPUTED_VALUE"""),"SELESAI (VIA PERMOHONAN)")</f>
        <v>SELESAI (VIA PERMOHONAN)</v>
      </c>
      <c r="J2762" s="17">
        <f>IFERROR(__xludf.DUMMYFUNCTION("""COMPUTED_VALUE"""),45842.60086929398)</f>
        <v>45842.60087</v>
      </c>
      <c r="K2762" s="13" t="str">
        <f>IFERROR(__xludf.DUMMYFUNCTION("""COMPUTED_VALUE"""),"Selesai")</f>
        <v>Selesai</v>
      </c>
      <c r="L2762" s="17">
        <f>IFERROR(__xludf.DUMMYFUNCTION("""COMPUTED_VALUE"""),45842.60086929398)</f>
        <v>45842.60087</v>
      </c>
      <c r="M2762" s="13"/>
      <c r="N2762" s="13" t="str">
        <f>IFERROR(__xludf.DUMMYFUNCTION("""COMPUTED_VALUE"""),"")</f>
        <v/>
      </c>
      <c r="O2762" s="13" t="str">
        <f t="shared" si="1"/>
        <v/>
      </c>
    </row>
    <row r="2763" ht="22.5" customHeight="1">
      <c r="B2763" s="13">
        <f>IFERROR(__xludf.DUMMYFUNCTION("""COMPUTED_VALUE"""),2758.0)</f>
        <v>2758</v>
      </c>
      <c r="C2763" s="13" t="str">
        <f>IFERROR(__xludf.DUMMYFUNCTION("""COMPUTED_VALUE"""),"M.3390/KOTA BARU")</f>
        <v>M.3390/KOTA BARU</v>
      </c>
      <c r="D2763" s="13" t="str">
        <f>IFERROR(__xludf.DUMMYFUNCTION("""COMPUTED_VALUE"""),"K/37/190625/2")</f>
        <v>K/37/190625/2</v>
      </c>
      <c r="E2763" s="14" t="str">
        <f>IFERROR(__xludf.DUMMYFUNCTION("""COMPUTED_VALUE"""),"Heri (BT)")</f>
        <v>Heri (BT)</v>
      </c>
      <c r="F2763" s="14" t="str">
        <f>IFERROR(__xludf.DUMMYFUNCTION("""COMPUTED_VALUE"""),"SELESAI (VIA PERMOHONAN)")</f>
        <v>SELESAI (VIA PERMOHONAN)</v>
      </c>
      <c r="G2763" s="17">
        <f>IFERROR(__xludf.DUMMYFUNCTION("""COMPUTED_VALUE"""),45840.59115050926)</f>
        <v>45840.59115</v>
      </c>
      <c r="H2763" s="14" t="str">
        <f>IFERROR(__xludf.DUMMYFUNCTION("""COMPUTED_VALUE"""),"Eci (SU)")</f>
        <v>Eci (SU)</v>
      </c>
      <c r="I2763" s="13" t="str">
        <f>IFERROR(__xludf.DUMMYFUNCTION("""COMPUTED_VALUE"""),"SELESAI (VIA PERMOHONAN)")</f>
        <v>SELESAI (VIA PERMOHONAN)</v>
      </c>
      <c r="J2763" s="17">
        <f>IFERROR(__xludf.DUMMYFUNCTION("""COMPUTED_VALUE"""),45842.600753645835)</f>
        <v>45842.60075</v>
      </c>
      <c r="K2763" s="13" t="str">
        <f>IFERROR(__xludf.DUMMYFUNCTION("""COMPUTED_VALUE"""),"Selesai")</f>
        <v>Selesai</v>
      </c>
      <c r="L2763" s="17">
        <f>IFERROR(__xludf.DUMMYFUNCTION("""COMPUTED_VALUE"""),45842.600753645835)</f>
        <v>45842.60075</v>
      </c>
      <c r="M2763" s="13"/>
      <c r="N2763" s="13" t="str">
        <f>IFERROR(__xludf.DUMMYFUNCTION("""COMPUTED_VALUE"""),"")</f>
        <v/>
      </c>
      <c r="O2763" s="13" t="str">
        <f t="shared" si="1"/>
        <v/>
      </c>
    </row>
    <row r="2764" ht="22.5" customHeight="1">
      <c r="B2764" s="13">
        <f>IFERROR(__xludf.DUMMYFUNCTION("""COMPUTED_VALUE"""),2759.0)</f>
        <v>2759</v>
      </c>
      <c r="C2764" s="13" t="str">
        <f>IFERROR(__xludf.DUMMYFUNCTION("""COMPUTED_VALUE"""),"M.2684/WAY KANDIS ")</f>
        <v>M.2684/WAY KANDIS </v>
      </c>
      <c r="D2764" s="13" t="str">
        <f>IFERROR(__xludf.DUMMYFUNCTION("""COMPUTED_VALUE"""),"K/34/190625/1")</f>
        <v>K/34/190625/1</v>
      </c>
      <c r="E2764" s="14" t="str">
        <f>IFERROR(__xludf.DUMMYFUNCTION("""COMPUTED_VALUE"""),"Heri (BT)")</f>
        <v>Heri (BT)</v>
      </c>
      <c r="F2764" s="14" t="str">
        <f>IFERROR(__xludf.DUMMYFUNCTION("""COMPUTED_VALUE"""),"SELESAI (VIA PERMOHONAN)")</f>
        <v>SELESAI (VIA PERMOHONAN)</v>
      </c>
      <c r="G2764" s="17">
        <f>IFERROR(__xludf.DUMMYFUNCTION("""COMPUTED_VALUE"""),45840.59130315972)</f>
        <v>45840.5913</v>
      </c>
      <c r="H2764" s="14" t="str">
        <f>IFERROR(__xludf.DUMMYFUNCTION("""COMPUTED_VALUE"""),"Eci (SU)")</f>
        <v>Eci (SU)</v>
      </c>
      <c r="I2764" s="13" t="str">
        <f>IFERROR(__xludf.DUMMYFUNCTION("""COMPUTED_VALUE"""),"SELESAI (VIA PERMOHONAN)")</f>
        <v>SELESAI (VIA PERMOHONAN)</v>
      </c>
      <c r="J2764" s="17">
        <f>IFERROR(__xludf.DUMMYFUNCTION("""COMPUTED_VALUE"""),45842.60065091435)</f>
        <v>45842.60065</v>
      </c>
      <c r="K2764" s="13" t="str">
        <f>IFERROR(__xludf.DUMMYFUNCTION("""COMPUTED_VALUE"""),"Selesai")</f>
        <v>Selesai</v>
      </c>
      <c r="L2764" s="17">
        <f>IFERROR(__xludf.DUMMYFUNCTION("""COMPUTED_VALUE"""),45842.60065091435)</f>
        <v>45842.60065</v>
      </c>
      <c r="M2764" s="13"/>
      <c r="N2764" s="13" t="str">
        <f>IFERROR(__xludf.DUMMYFUNCTION("""COMPUTED_VALUE"""),"")</f>
        <v/>
      </c>
      <c r="O2764" s="13" t="str">
        <f t="shared" si="1"/>
        <v/>
      </c>
    </row>
    <row r="2765" ht="22.5" customHeight="1">
      <c r="B2765" s="13">
        <f>IFERROR(__xludf.DUMMYFUNCTION("""COMPUTED_VALUE"""),2760.0)</f>
        <v>2760</v>
      </c>
      <c r="C2765" s="13" t="str">
        <f>IFERROR(__xludf.DUMMYFUNCTION("""COMPUTED_VALUE"""),"M.1173/PEMATANGW ANGI")</f>
        <v>M.1173/PEMATANGW ANGI</v>
      </c>
      <c r="D2765" s="13" t="str">
        <f>IFERROR(__xludf.DUMMYFUNCTION("""COMPUTED_VALUE"""),"K/44/160635/2")</f>
        <v>K/44/160635/2</v>
      </c>
      <c r="E2765" s="14" t="str">
        <f>IFERROR(__xludf.DUMMYFUNCTION("""COMPUTED_VALUE"""),"Heri (BT)")</f>
        <v>Heri (BT)</v>
      </c>
      <c r="F2765" s="14" t="str">
        <f>IFERROR(__xludf.DUMMYFUNCTION("""COMPUTED_VALUE"""),"SELESAI (VIA PERMOHONAN)")</f>
        <v>SELESAI (VIA PERMOHONAN)</v>
      </c>
      <c r="G2765" s="17">
        <f>IFERROR(__xludf.DUMMYFUNCTION("""COMPUTED_VALUE"""),45840.59161944444)</f>
        <v>45840.59162</v>
      </c>
      <c r="H2765" s="14" t="str">
        <f>IFERROR(__xludf.DUMMYFUNCTION("""COMPUTED_VALUE"""),"Eci (SU)")</f>
        <v>Eci (SU)</v>
      </c>
      <c r="I2765" s="13" t="str">
        <f>IFERROR(__xludf.DUMMYFUNCTION("""COMPUTED_VALUE"""),"SELESAI (VIA PERMOHONAN)")</f>
        <v>SELESAI (VIA PERMOHONAN)</v>
      </c>
      <c r="J2765" s="17">
        <f>IFERROR(__xludf.DUMMYFUNCTION("""COMPUTED_VALUE"""),45842.59748606481)</f>
        <v>45842.59749</v>
      </c>
      <c r="K2765" s="13" t="str">
        <f>IFERROR(__xludf.DUMMYFUNCTION("""COMPUTED_VALUE"""),"Selesai")</f>
        <v>Selesai</v>
      </c>
      <c r="L2765" s="17">
        <f>IFERROR(__xludf.DUMMYFUNCTION("""COMPUTED_VALUE"""),45842.59748606481)</f>
        <v>45842.59749</v>
      </c>
      <c r="M2765" s="13"/>
      <c r="N2765" s="13" t="str">
        <f>IFERROR(__xludf.DUMMYFUNCTION("""COMPUTED_VALUE"""),"")</f>
        <v/>
      </c>
      <c r="O2765" s="13" t="str">
        <f t="shared" si="1"/>
        <v/>
      </c>
    </row>
    <row r="2766" ht="22.5" customHeight="1">
      <c r="B2766" s="13">
        <f>IFERROR(__xludf.DUMMYFUNCTION("""COMPUTED_VALUE"""),2761.0)</f>
        <v>2761</v>
      </c>
      <c r="C2766" s="13" t="str">
        <f>IFERROR(__xludf.DUMMYFUNCTION("""COMPUTED_VALUE"""),"M. 2881/ Sukarame Baru")</f>
        <v>M. 2881/ Sukarame Baru</v>
      </c>
      <c r="D2766" s="13" t="str">
        <f>IFERROR(__xludf.DUMMYFUNCTION("""COMPUTED_VALUE"""),"K/1/130625/1")</f>
        <v>K/1/130625/1</v>
      </c>
      <c r="E2766" s="14" t="str">
        <f>IFERROR(__xludf.DUMMYFUNCTION("""COMPUTED_VALUE"""),"Heri (BT)")</f>
        <v>Heri (BT)</v>
      </c>
      <c r="F2766" s="14" t="str">
        <f>IFERROR(__xludf.DUMMYFUNCTION("""COMPUTED_VALUE"""),"SELESAI (VIA PERMOHONAN)")</f>
        <v>SELESAI (VIA PERMOHONAN)</v>
      </c>
      <c r="G2766" s="17">
        <f>IFERROR(__xludf.DUMMYFUNCTION("""COMPUTED_VALUE"""),45840.591719131946)</f>
        <v>45840.59172</v>
      </c>
      <c r="H2766" s="14" t="str">
        <f>IFERROR(__xludf.DUMMYFUNCTION("""COMPUTED_VALUE"""),"Eci (SU)")</f>
        <v>Eci (SU)</v>
      </c>
      <c r="I2766" s="13" t="str">
        <f>IFERROR(__xludf.DUMMYFUNCTION("""COMPUTED_VALUE"""),"SELESAI (VIA PERMOHONAN)")</f>
        <v>SELESAI (VIA PERMOHONAN)</v>
      </c>
      <c r="J2766" s="17">
        <f>IFERROR(__xludf.DUMMYFUNCTION("""COMPUTED_VALUE"""),45842.60050748843)</f>
        <v>45842.60051</v>
      </c>
      <c r="K2766" s="13" t="str">
        <f>IFERROR(__xludf.DUMMYFUNCTION("""COMPUTED_VALUE"""),"Selesai")</f>
        <v>Selesai</v>
      </c>
      <c r="L2766" s="17">
        <f>IFERROR(__xludf.DUMMYFUNCTION("""COMPUTED_VALUE"""),45842.60050748843)</f>
        <v>45842.60051</v>
      </c>
      <c r="M2766" s="13"/>
      <c r="N2766" s="13" t="str">
        <f>IFERROR(__xludf.DUMMYFUNCTION("""COMPUTED_VALUE"""),"")</f>
        <v/>
      </c>
      <c r="O2766" s="13" t="str">
        <f t="shared" si="1"/>
        <v/>
      </c>
    </row>
    <row r="2767" ht="22.5" customHeight="1">
      <c r="B2767" s="13">
        <f>IFERROR(__xludf.DUMMYFUNCTION("""COMPUTED_VALUE"""),2762.0)</f>
        <v>2762</v>
      </c>
      <c r="C2767" s="13" t="str">
        <f>IFERROR(__xludf.DUMMYFUNCTION("""COMPUTED_VALUE"""),"M. 7558/ Segala Mider")</f>
        <v>M. 7558/ Segala Mider</v>
      </c>
      <c r="D2767" s="13" t="str">
        <f>IFERROR(__xludf.DUMMYFUNCTION("""COMPUTED_VALUE"""),"K/10/160525/5")</f>
        <v>K/10/160525/5</v>
      </c>
      <c r="E2767" s="14" t="str">
        <f>IFERROR(__xludf.DUMMYFUNCTION("""COMPUTED_VALUE"""),"Heri (BT)")</f>
        <v>Heri (BT)</v>
      </c>
      <c r="F2767" s="14" t="str">
        <f>IFERROR(__xludf.DUMMYFUNCTION("""COMPUTED_VALUE"""),"SELESAI (VIA PERMOHONAN)")</f>
        <v>SELESAI (VIA PERMOHONAN)</v>
      </c>
      <c r="G2767" s="17">
        <f>IFERROR(__xludf.DUMMYFUNCTION("""COMPUTED_VALUE"""),45840.59192452546)</f>
        <v>45840.59192</v>
      </c>
      <c r="H2767" s="14" t="str">
        <f>IFERROR(__xludf.DUMMYFUNCTION("""COMPUTED_VALUE"""),"Eci (SU)")</f>
        <v>Eci (SU)</v>
      </c>
      <c r="I2767" s="13" t="str">
        <f>IFERROR(__xludf.DUMMYFUNCTION("""COMPUTED_VALUE"""),"SELESAI (VIA PERMOHONAN)")</f>
        <v>SELESAI (VIA PERMOHONAN)</v>
      </c>
      <c r="J2767" s="17">
        <f>IFERROR(__xludf.DUMMYFUNCTION("""COMPUTED_VALUE"""),45842.60043535879)</f>
        <v>45842.60044</v>
      </c>
      <c r="K2767" s="13" t="str">
        <f>IFERROR(__xludf.DUMMYFUNCTION("""COMPUTED_VALUE"""),"Selesai")</f>
        <v>Selesai</v>
      </c>
      <c r="L2767" s="17">
        <f>IFERROR(__xludf.DUMMYFUNCTION("""COMPUTED_VALUE"""),45842.60043535879)</f>
        <v>45842.60044</v>
      </c>
      <c r="M2767" s="13"/>
      <c r="N2767" s="13" t="str">
        <f>IFERROR(__xludf.DUMMYFUNCTION("""COMPUTED_VALUE"""),"")</f>
        <v/>
      </c>
      <c r="O2767" s="13" t="str">
        <f t="shared" si="1"/>
        <v/>
      </c>
    </row>
    <row r="2768" ht="22.5" customHeight="1">
      <c r="B2768" s="13">
        <f>IFERROR(__xludf.DUMMYFUNCTION("""COMPUTED_VALUE"""),2763.0)</f>
        <v>2763</v>
      </c>
      <c r="C2768" s="13" t="str">
        <f>IFERROR(__xludf.DUMMYFUNCTION("""COMPUTED_VALUE"""),"B. 817/ Kemiling Permai")</f>
        <v>B. 817/ Kemiling Permai</v>
      </c>
      <c r="D2768" s="13" t="str">
        <f>IFERROR(__xludf.DUMMYFUNCTION("""COMPUTED_VALUE"""),"K/32/240625/1")</f>
        <v>K/32/240625/1</v>
      </c>
      <c r="E2768" s="14" t="str">
        <f>IFERROR(__xludf.DUMMYFUNCTION("""COMPUTED_VALUE"""),"Heri (BT)")</f>
        <v>Heri (BT)</v>
      </c>
      <c r="F2768" s="14" t="str">
        <f>IFERROR(__xludf.DUMMYFUNCTION("""COMPUTED_VALUE"""),"SELESAI (VIA PERMOHONAN)")</f>
        <v>SELESAI (VIA PERMOHONAN)</v>
      </c>
      <c r="G2768" s="17">
        <f>IFERROR(__xludf.DUMMYFUNCTION("""COMPUTED_VALUE"""),45840.592245057866)</f>
        <v>45840.59225</v>
      </c>
      <c r="H2768" s="14" t="str">
        <f>IFERROR(__xludf.DUMMYFUNCTION("""COMPUTED_VALUE"""),"Eci (SU)")</f>
        <v>Eci (SU)</v>
      </c>
      <c r="I2768" s="13" t="str">
        <f>IFERROR(__xludf.DUMMYFUNCTION("""COMPUTED_VALUE"""),"SELESAI (VIA PERMOHONAN)")</f>
        <v>SELESAI (VIA PERMOHONAN)</v>
      </c>
      <c r="J2768" s="17">
        <f>IFERROR(__xludf.DUMMYFUNCTION("""COMPUTED_VALUE"""),45842.60025309028)</f>
        <v>45842.60025</v>
      </c>
      <c r="K2768" s="13" t="str">
        <f>IFERROR(__xludf.DUMMYFUNCTION("""COMPUTED_VALUE"""),"Selesai")</f>
        <v>Selesai</v>
      </c>
      <c r="L2768" s="17">
        <f>IFERROR(__xludf.DUMMYFUNCTION("""COMPUTED_VALUE"""),45842.60025309028)</f>
        <v>45842.60025</v>
      </c>
      <c r="M2768" s="13"/>
      <c r="N2768" s="13" t="str">
        <f>IFERROR(__xludf.DUMMYFUNCTION("""COMPUTED_VALUE"""),"")</f>
        <v/>
      </c>
      <c r="O2768" s="13" t="str">
        <f t="shared" si="1"/>
        <v/>
      </c>
    </row>
    <row r="2769" ht="22.5" customHeight="1">
      <c r="B2769" s="13">
        <f>IFERROR(__xludf.DUMMYFUNCTION("""COMPUTED_VALUE"""),2764.0)</f>
        <v>2764</v>
      </c>
      <c r="C2769" s="13" t="str">
        <f>IFERROR(__xludf.DUMMYFUNCTION("""COMPUTED_VALUE"""),"M. 1845/ Rajabasa Pemuka")</f>
        <v>M. 1845/ Rajabasa Pemuka</v>
      </c>
      <c r="D2769" s="13" t="str">
        <f>IFERROR(__xludf.DUMMYFUNCTION("""COMPUTED_VALUE"""),"K/3/240625/1")</f>
        <v>K/3/240625/1</v>
      </c>
      <c r="E2769" s="14" t="str">
        <f>IFERROR(__xludf.DUMMYFUNCTION("""COMPUTED_VALUE"""),"Heri (BT)")</f>
        <v>Heri (BT)</v>
      </c>
      <c r="F2769" s="14" t="str">
        <f>IFERROR(__xludf.DUMMYFUNCTION("""COMPUTED_VALUE"""),"SELESAI (VIA PERMOHONAN)")</f>
        <v>SELESAI (VIA PERMOHONAN)</v>
      </c>
      <c r="G2769" s="17">
        <f>IFERROR(__xludf.DUMMYFUNCTION("""COMPUTED_VALUE"""),45840.592495046294)</f>
        <v>45840.5925</v>
      </c>
      <c r="H2769" s="14" t="str">
        <f>IFERROR(__xludf.DUMMYFUNCTION("""COMPUTED_VALUE"""),"Eci (SU)")</f>
        <v>Eci (SU)</v>
      </c>
      <c r="I2769" s="13" t="str">
        <f>IFERROR(__xludf.DUMMYFUNCTION("""COMPUTED_VALUE"""),"SELESAI (VIA PERMOHONAN)")</f>
        <v>SELESAI (VIA PERMOHONAN)</v>
      </c>
      <c r="J2769" s="17">
        <f>IFERROR(__xludf.DUMMYFUNCTION("""COMPUTED_VALUE"""),45842.59773386574)</f>
        <v>45842.59773</v>
      </c>
      <c r="K2769" s="13" t="str">
        <f>IFERROR(__xludf.DUMMYFUNCTION("""COMPUTED_VALUE"""),"Selesai")</f>
        <v>Selesai</v>
      </c>
      <c r="L2769" s="17">
        <f>IFERROR(__xludf.DUMMYFUNCTION("""COMPUTED_VALUE"""),45842.59773386574)</f>
        <v>45842.59773</v>
      </c>
      <c r="M2769" s="13"/>
      <c r="N2769" s="13" t="str">
        <f>IFERROR(__xludf.DUMMYFUNCTION("""COMPUTED_VALUE"""),"")</f>
        <v/>
      </c>
      <c r="O2769" s="13" t="str">
        <f t="shared" si="1"/>
        <v/>
      </c>
    </row>
    <row r="2770" ht="22.5" customHeight="1">
      <c r="B2770" s="13">
        <f>IFERROR(__xludf.DUMMYFUNCTION("""COMPUTED_VALUE"""),2765.0)</f>
        <v>2765</v>
      </c>
      <c r="C2770" s="13" t="str">
        <f>IFERROR(__xludf.DUMMYFUNCTION("""COMPUTED_VALUE"""),"M. 834/ Gedong Air")</f>
        <v>M. 834/ Gedong Air</v>
      </c>
      <c r="D2770" s="13" t="str">
        <f>IFERROR(__xludf.DUMMYFUNCTION("""COMPUTED_VALUE"""),"K/42/160635/1")</f>
        <v>K/42/160635/1</v>
      </c>
      <c r="E2770" s="14" t="str">
        <f>IFERROR(__xludf.DUMMYFUNCTION("""COMPUTED_VALUE"""),"Heri (BT)")</f>
        <v>Heri (BT)</v>
      </c>
      <c r="F2770" s="14" t="str">
        <f>IFERROR(__xludf.DUMMYFUNCTION("""COMPUTED_VALUE"""),"SELESAI (VIA PERMOHONAN)")</f>
        <v>SELESAI (VIA PERMOHONAN)</v>
      </c>
      <c r="G2770" s="17">
        <f>IFERROR(__xludf.DUMMYFUNCTION("""COMPUTED_VALUE"""),45840.59267824074)</f>
        <v>45840.59268</v>
      </c>
      <c r="H2770" s="14" t="str">
        <f>IFERROR(__xludf.DUMMYFUNCTION("""COMPUTED_VALUE"""),"Eci (SU)")</f>
        <v>Eci (SU)</v>
      </c>
      <c r="I2770" s="13" t="str">
        <f>IFERROR(__xludf.DUMMYFUNCTION("""COMPUTED_VALUE"""),"SELESAI (VIA PERMOHONAN)")</f>
        <v>SELESAI (VIA PERMOHONAN)</v>
      </c>
      <c r="J2770" s="17">
        <f>IFERROR(__xludf.DUMMYFUNCTION("""COMPUTED_VALUE"""),45842.59942115741)</f>
        <v>45842.59942</v>
      </c>
      <c r="K2770" s="13" t="str">
        <f>IFERROR(__xludf.DUMMYFUNCTION("""COMPUTED_VALUE"""),"Selesai")</f>
        <v>Selesai</v>
      </c>
      <c r="L2770" s="17">
        <f>IFERROR(__xludf.DUMMYFUNCTION("""COMPUTED_VALUE"""),45842.59942115741)</f>
        <v>45842.59942</v>
      </c>
      <c r="M2770" s="13"/>
      <c r="N2770" s="13" t="str">
        <f>IFERROR(__xludf.DUMMYFUNCTION("""COMPUTED_VALUE"""),"")</f>
        <v/>
      </c>
      <c r="O2770" s="13" t="str">
        <f t="shared" si="1"/>
        <v/>
      </c>
    </row>
    <row r="2771" ht="22.5" customHeight="1">
      <c r="B2771" s="13">
        <f>IFERROR(__xludf.DUMMYFUNCTION("""COMPUTED_VALUE"""),2766.0)</f>
        <v>2766</v>
      </c>
      <c r="C2771" s="13" t="str">
        <f>IFERROR(__xludf.DUMMYFUNCTION("""COMPUTED_VALUE"""),"M. 1615/ Labuhan Dalam")</f>
        <v>M. 1615/ Labuhan Dalam</v>
      </c>
      <c r="D2771" s="13" t="str">
        <f>IFERROR(__xludf.DUMMYFUNCTION("""COMPUTED_VALUE"""),"K/21/100625/2")</f>
        <v>K/21/100625/2</v>
      </c>
      <c r="E2771" s="14" t="str">
        <f>IFERROR(__xludf.DUMMYFUNCTION("""COMPUTED_VALUE"""),"Heri (BT)")</f>
        <v>Heri (BT)</v>
      </c>
      <c r="F2771" s="14" t="str">
        <f>IFERROR(__xludf.DUMMYFUNCTION("""COMPUTED_VALUE"""),"SELESAI (VIA PERMOHONAN)")</f>
        <v>SELESAI (VIA PERMOHONAN)</v>
      </c>
      <c r="G2771" s="17">
        <f>IFERROR(__xludf.DUMMYFUNCTION("""COMPUTED_VALUE"""),45840.59284591435)</f>
        <v>45840.59285</v>
      </c>
      <c r="H2771" s="14" t="str">
        <f>IFERROR(__xludf.DUMMYFUNCTION("""COMPUTED_VALUE"""),"Eci (SU)")</f>
        <v>Eci (SU)</v>
      </c>
      <c r="I2771" s="13" t="str">
        <f>IFERROR(__xludf.DUMMYFUNCTION("""COMPUTED_VALUE"""),"SELESAI (VIA PERMOHONAN)")</f>
        <v>SELESAI (VIA PERMOHONAN)</v>
      </c>
      <c r="J2771" s="17">
        <f>IFERROR(__xludf.DUMMYFUNCTION("""COMPUTED_VALUE"""),45842.59935237269)</f>
        <v>45842.59935</v>
      </c>
      <c r="K2771" s="13" t="str">
        <f>IFERROR(__xludf.DUMMYFUNCTION("""COMPUTED_VALUE"""),"Selesai")</f>
        <v>Selesai</v>
      </c>
      <c r="L2771" s="17">
        <f>IFERROR(__xludf.DUMMYFUNCTION("""COMPUTED_VALUE"""),45842.59935237269)</f>
        <v>45842.59935</v>
      </c>
      <c r="M2771" s="13"/>
      <c r="N2771" s="13" t="str">
        <f>IFERROR(__xludf.DUMMYFUNCTION("""COMPUTED_VALUE"""),"")</f>
        <v/>
      </c>
      <c r="O2771" s="13" t="str">
        <f t="shared" si="1"/>
        <v/>
      </c>
    </row>
    <row r="2772" ht="22.5" customHeight="1">
      <c r="B2772" s="13">
        <f>IFERROR(__xludf.DUMMYFUNCTION("""COMPUTED_VALUE"""),2767.0)</f>
        <v>2767</v>
      </c>
      <c r="C2772" s="13" t="str">
        <f>IFERROR(__xludf.DUMMYFUNCTION("""COMPUTED_VALUE"""),"M. 4582/ Langkapura")</f>
        <v>M. 4582/ Langkapura</v>
      </c>
      <c r="D2772" s="13" t="str">
        <f>IFERROR(__xludf.DUMMYFUNCTION("""COMPUTED_VALUE"""),"K/39/190625/1")</f>
        <v>K/39/190625/1</v>
      </c>
      <c r="E2772" s="14" t="str">
        <f>IFERROR(__xludf.DUMMYFUNCTION("""COMPUTED_VALUE"""),"Heri (BT)")</f>
        <v>Heri (BT)</v>
      </c>
      <c r="F2772" s="14" t="str">
        <f>IFERROR(__xludf.DUMMYFUNCTION("""COMPUTED_VALUE"""),"SELESAI (VIA PERMOHONAN)")</f>
        <v>SELESAI (VIA PERMOHONAN)</v>
      </c>
      <c r="G2772" s="17">
        <f>IFERROR(__xludf.DUMMYFUNCTION("""COMPUTED_VALUE"""),45840.59298248842)</f>
        <v>45840.59298</v>
      </c>
      <c r="H2772" s="14" t="str">
        <f>IFERROR(__xludf.DUMMYFUNCTION("""COMPUTED_VALUE"""),"Eci (SU)")</f>
        <v>Eci (SU)</v>
      </c>
      <c r="I2772" s="13" t="str">
        <f>IFERROR(__xludf.DUMMYFUNCTION("""COMPUTED_VALUE"""),"SELESAI (VIA PERMOHONAN)")</f>
        <v>SELESAI (VIA PERMOHONAN)</v>
      </c>
      <c r="J2772" s="17">
        <f>IFERROR(__xludf.DUMMYFUNCTION("""COMPUTED_VALUE"""),45842.59915085648)</f>
        <v>45842.59915</v>
      </c>
      <c r="K2772" s="13" t="str">
        <f>IFERROR(__xludf.DUMMYFUNCTION("""COMPUTED_VALUE"""),"Selesai")</f>
        <v>Selesai</v>
      </c>
      <c r="L2772" s="17">
        <f>IFERROR(__xludf.DUMMYFUNCTION("""COMPUTED_VALUE"""),45842.59915085648)</f>
        <v>45842.59915</v>
      </c>
      <c r="M2772" s="13"/>
      <c r="N2772" s="13" t="str">
        <f>IFERROR(__xludf.DUMMYFUNCTION("""COMPUTED_VALUE"""),"")</f>
        <v/>
      </c>
      <c r="O2772" s="13" t="str">
        <f t="shared" si="1"/>
        <v/>
      </c>
    </row>
    <row r="2773" ht="22.5" customHeight="1">
      <c r="B2773" s="13">
        <f>IFERROR(__xludf.DUMMYFUNCTION("""COMPUTED_VALUE"""),2768.0)</f>
        <v>2768</v>
      </c>
      <c r="C2773" s="13" t="str">
        <f>IFERROR(__xludf.DUMMYFUNCTION("""COMPUTED_VALUE"""),"B. 580/ Nusantara Permai")</f>
        <v>B. 580/ Nusantara Permai</v>
      </c>
      <c r="D2773" s="13" t="str">
        <f>IFERROR(__xludf.DUMMYFUNCTION("""COMPUTED_VALUE"""),"K/48/180625/1")</f>
        <v>K/48/180625/1</v>
      </c>
      <c r="E2773" s="14" t="str">
        <f>IFERROR(__xludf.DUMMYFUNCTION("""COMPUTED_VALUE"""),"Heri (BT)")</f>
        <v>Heri (BT)</v>
      </c>
      <c r="F2773" s="14" t="str">
        <f>IFERROR(__xludf.DUMMYFUNCTION("""COMPUTED_VALUE"""),"SELESAI (VIA PERMOHONAN)")</f>
        <v>SELESAI (VIA PERMOHONAN)</v>
      </c>
      <c r="G2773" s="17">
        <f>IFERROR(__xludf.DUMMYFUNCTION("""COMPUTED_VALUE"""),45840.593169837965)</f>
        <v>45840.59317</v>
      </c>
      <c r="H2773" s="14" t="str">
        <f>IFERROR(__xludf.DUMMYFUNCTION("""COMPUTED_VALUE"""),"Eci (SU)")</f>
        <v>Eci (SU)</v>
      </c>
      <c r="I2773" s="13" t="str">
        <f>IFERROR(__xludf.DUMMYFUNCTION("""COMPUTED_VALUE"""),"SELESAI (VIA PERMOHONAN)")</f>
        <v>SELESAI (VIA PERMOHONAN)</v>
      </c>
      <c r="J2773" s="17">
        <f>IFERROR(__xludf.DUMMYFUNCTION("""COMPUTED_VALUE"""),45842.591918680555)</f>
        <v>45842.59192</v>
      </c>
      <c r="K2773" s="13" t="str">
        <f>IFERROR(__xludf.DUMMYFUNCTION("""COMPUTED_VALUE"""),"Selesai")</f>
        <v>Selesai</v>
      </c>
      <c r="L2773" s="17">
        <f>IFERROR(__xludf.DUMMYFUNCTION("""COMPUTED_VALUE"""),45842.591918680555)</f>
        <v>45842.59192</v>
      </c>
      <c r="M2773" s="13"/>
      <c r="N2773" s="13" t="str">
        <f>IFERROR(__xludf.DUMMYFUNCTION("""COMPUTED_VALUE"""),"")</f>
        <v/>
      </c>
      <c r="O2773" s="13" t="str">
        <f t="shared" si="1"/>
        <v/>
      </c>
    </row>
    <row r="2774" ht="22.5" customHeight="1">
      <c r="B2774" s="13">
        <f>IFERROR(__xludf.DUMMYFUNCTION("""COMPUTED_VALUE"""),2769.0)</f>
        <v>2769</v>
      </c>
      <c r="C2774" s="13" t="str">
        <f>IFERROR(__xludf.DUMMYFUNCTION("""COMPUTED_VALUE"""),"HM 09/KOTA KARANG RAYA")</f>
        <v>HM 09/KOTA KARANG RAYA</v>
      </c>
      <c r="D2774" s="13" t="str">
        <f>IFERROR(__xludf.DUMMYFUNCTION("""COMPUTED_VALUE"""),"L/25/240625/1")</f>
        <v>L/25/240625/1</v>
      </c>
      <c r="E2774" s="14" t="str">
        <f>IFERROR(__xludf.DUMMYFUNCTION("""COMPUTED_VALUE"""),"Heri (BT)")</f>
        <v>Heri (BT)</v>
      </c>
      <c r="F2774" s="14" t="str">
        <f>IFERROR(__xludf.DUMMYFUNCTION("""COMPUTED_VALUE"""),"SELESAI (VIA PERMOHONAN)")</f>
        <v>SELESAI (VIA PERMOHONAN)</v>
      </c>
      <c r="G2774" s="17">
        <f>IFERROR(__xludf.DUMMYFUNCTION("""COMPUTED_VALUE"""),45840.5933296875)</f>
        <v>45840.59333</v>
      </c>
      <c r="H2774" s="14" t="str">
        <f>IFERROR(__xludf.DUMMYFUNCTION("""COMPUTED_VALUE"""),"Eci (SU)")</f>
        <v>Eci (SU)</v>
      </c>
      <c r="I2774" s="13" t="str">
        <f>IFERROR(__xludf.DUMMYFUNCTION("""COMPUTED_VALUE"""),"SELESAI (VIA PERMOHONAN)")</f>
        <v>SELESAI (VIA PERMOHONAN)</v>
      </c>
      <c r="J2774" s="17">
        <f>IFERROR(__xludf.DUMMYFUNCTION("""COMPUTED_VALUE"""),45842.59906418981)</f>
        <v>45842.59906</v>
      </c>
      <c r="K2774" s="13" t="str">
        <f>IFERROR(__xludf.DUMMYFUNCTION("""COMPUTED_VALUE"""),"Selesai")</f>
        <v>Selesai</v>
      </c>
      <c r="L2774" s="17">
        <f>IFERROR(__xludf.DUMMYFUNCTION("""COMPUTED_VALUE"""),45842.59906418981)</f>
        <v>45842.59906</v>
      </c>
      <c r="M2774" s="13"/>
      <c r="N2774" s="13" t="str">
        <f>IFERROR(__xludf.DUMMYFUNCTION("""COMPUTED_VALUE"""),"")</f>
        <v/>
      </c>
      <c r="O2774" s="13" t="str">
        <f t="shared" si="1"/>
        <v/>
      </c>
    </row>
    <row r="2775" ht="22.5" customHeight="1">
      <c r="B2775" s="13">
        <f>IFERROR(__xludf.DUMMYFUNCTION("""COMPUTED_VALUE"""),2770.0)</f>
        <v>2770</v>
      </c>
      <c r="C2775" s="13" t="str">
        <f>IFERROR(__xludf.DUMMYFUNCTION("""COMPUTED_VALUE"""),"HM1393/LABUHAN DALAM")</f>
        <v>HM1393/LABUHAN DALAM</v>
      </c>
      <c r="D2775" s="13" t="str">
        <f>IFERROR(__xludf.DUMMYFUNCTION("""COMPUTED_VALUE"""),"L/28/250625/1")</f>
        <v>L/28/250625/1</v>
      </c>
      <c r="E2775" s="14" t="str">
        <f>IFERROR(__xludf.DUMMYFUNCTION("""COMPUTED_VALUE"""),"Heri (BT)")</f>
        <v>Heri (BT)</v>
      </c>
      <c r="F2775" s="14" t="str">
        <f>IFERROR(__xludf.DUMMYFUNCTION("""COMPUTED_VALUE"""),"SELESAI (VIA PERMOHONAN)")</f>
        <v>SELESAI (VIA PERMOHONAN)</v>
      </c>
      <c r="G2775" s="17">
        <f>IFERROR(__xludf.DUMMYFUNCTION("""COMPUTED_VALUE"""),45840.59438512732)</f>
        <v>45840.59439</v>
      </c>
      <c r="H2775" s="14" t="str">
        <f>IFERROR(__xludf.DUMMYFUNCTION("""COMPUTED_VALUE"""),"Eci (SU)")</f>
        <v>Eci (SU)</v>
      </c>
      <c r="I2775" s="13" t="str">
        <f>IFERROR(__xludf.DUMMYFUNCTION("""COMPUTED_VALUE"""),"SELESAI (VIA PERMOHONAN)")</f>
        <v>SELESAI (VIA PERMOHONAN)</v>
      </c>
      <c r="J2775" s="17">
        <f>IFERROR(__xludf.DUMMYFUNCTION("""COMPUTED_VALUE"""),45842.598990081024)</f>
        <v>45842.59899</v>
      </c>
      <c r="K2775" s="13" t="str">
        <f>IFERROR(__xludf.DUMMYFUNCTION("""COMPUTED_VALUE"""),"Selesai")</f>
        <v>Selesai</v>
      </c>
      <c r="L2775" s="17">
        <f>IFERROR(__xludf.DUMMYFUNCTION("""COMPUTED_VALUE"""),45842.598990081024)</f>
        <v>45842.59899</v>
      </c>
      <c r="M2775" s="13"/>
      <c r="N2775" s="13" t="str">
        <f>IFERROR(__xludf.DUMMYFUNCTION("""COMPUTED_VALUE"""),"")</f>
        <v/>
      </c>
      <c r="O2775" s="13" t="str">
        <f t="shared" si="1"/>
        <v/>
      </c>
    </row>
    <row r="2776" ht="22.5" customHeight="1">
      <c r="B2776" s="13">
        <f>IFERROR(__xludf.DUMMYFUNCTION("""COMPUTED_VALUE"""),2771.0)</f>
        <v>2771</v>
      </c>
      <c r="C2776" s="13" t="str">
        <f>IFERROR(__xludf.DUMMYFUNCTION("""COMPUTED_VALUE"""),"HM 1995/TANJUNG SENANG")</f>
        <v>HM 1995/TANJUNG SENANG</v>
      </c>
      <c r="D2776" s="13" t="str">
        <f>IFERROR(__xludf.DUMMYFUNCTION("""COMPUTED_VALUE"""),"L/14/240625/1")</f>
        <v>L/14/240625/1</v>
      </c>
      <c r="E2776" s="14" t="str">
        <f>IFERROR(__xludf.DUMMYFUNCTION("""COMPUTED_VALUE"""),"Heri (BT)")</f>
        <v>Heri (BT)</v>
      </c>
      <c r="F2776" s="14" t="str">
        <f>IFERROR(__xludf.DUMMYFUNCTION("""COMPUTED_VALUE"""),"SELESAI (VIA PERMOHONAN)")</f>
        <v>SELESAI (VIA PERMOHONAN)</v>
      </c>
      <c r="G2776" s="17">
        <f>IFERROR(__xludf.DUMMYFUNCTION("""COMPUTED_VALUE"""),45840.59456300926)</f>
        <v>45840.59456</v>
      </c>
      <c r="H2776" s="14" t="str">
        <f>IFERROR(__xludf.DUMMYFUNCTION("""COMPUTED_VALUE"""),"Eci (SU)")</f>
        <v>Eci (SU)</v>
      </c>
      <c r="I2776" s="13" t="str">
        <f>IFERROR(__xludf.DUMMYFUNCTION("""COMPUTED_VALUE"""),"SELESAI (VIA PERMOHONAN)")</f>
        <v>SELESAI (VIA PERMOHONAN)</v>
      </c>
      <c r="J2776" s="17">
        <f>IFERROR(__xludf.DUMMYFUNCTION("""COMPUTED_VALUE"""),45842.59891376157)</f>
        <v>45842.59891</v>
      </c>
      <c r="K2776" s="13" t="str">
        <f>IFERROR(__xludf.DUMMYFUNCTION("""COMPUTED_VALUE"""),"Selesai")</f>
        <v>Selesai</v>
      </c>
      <c r="L2776" s="17">
        <f>IFERROR(__xludf.DUMMYFUNCTION("""COMPUTED_VALUE"""),45842.59891376157)</f>
        <v>45842.59891</v>
      </c>
      <c r="M2776" s="13"/>
      <c r="N2776" s="13" t="str">
        <f>IFERROR(__xludf.DUMMYFUNCTION("""COMPUTED_VALUE"""),"")</f>
        <v/>
      </c>
      <c r="O2776" s="13" t="str">
        <f t="shared" si="1"/>
        <v/>
      </c>
    </row>
    <row r="2777" ht="22.5" customHeight="1">
      <c r="B2777" s="13">
        <f>IFERROR(__xludf.DUMMYFUNCTION("""COMPUTED_VALUE"""),2772.0)</f>
        <v>2772</v>
      </c>
      <c r="C2777" s="13" t="str">
        <f>IFERROR(__xludf.DUMMYFUNCTION("""COMPUTED_VALUE"""),"HM 3675/BERINGIN RAYA")</f>
        <v>HM 3675/BERINGIN RAYA</v>
      </c>
      <c r="D2777" s="13" t="str">
        <f>IFERROR(__xludf.DUMMYFUNCTION("""COMPUTED_VALUE"""),"L/30/250625/1")</f>
        <v>L/30/250625/1</v>
      </c>
      <c r="E2777" s="14" t="str">
        <f>IFERROR(__xludf.DUMMYFUNCTION("""COMPUTED_VALUE"""),"Heri (BT)")</f>
        <v>Heri (BT)</v>
      </c>
      <c r="F2777" s="14" t="str">
        <f>IFERROR(__xludf.DUMMYFUNCTION("""COMPUTED_VALUE"""),"SELESAI (VIA PERMOHONAN)")</f>
        <v>SELESAI (VIA PERMOHONAN)</v>
      </c>
      <c r="G2777" s="17">
        <f>IFERROR(__xludf.DUMMYFUNCTION("""COMPUTED_VALUE"""),45840.594775289355)</f>
        <v>45840.59478</v>
      </c>
      <c r="H2777" s="14" t="str">
        <f>IFERROR(__xludf.DUMMYFUNCTION("""COMPUTED_VALUE"""),"Eci (SU)")</f>
        <v>Eci (SU)</v>
      </c>
      <c r="I2777" s="13" t="str">
        <f>IFERROR(__xludf.DUMMYFUNCTION("""COMPUTED_VALUE"""),"SELESAI (VIA PERMOHONAN)")</f>
        <v>SELESAI (VIA PERMOHONAN)</v>
      </c>
      <c r="J2777" s="17">
        <f>IFERROR(__xludf.DUMMYFUNCTION("""COMPUTED_VALUE"""),45842.59314780093)</f>
        <v>45842.59315</v>
      </c>
      <c r="K2777" s="13" t="str">
        <f>IFERROR(__xludf.DUMMYFUNCTION("""COMPUTED_VALUE"""),"Selesai")</f>
        <v>Selesai</v>
      </c>
      <c r="L2777" s="17">
        <f>IFERROR(__xludf.DUMMYFUNCTION("""COMPUTED_VALUE"""),45842.59314780093)</f>
        <v>45842.59315</v>
      </c>
      <c r="M2777" s="13"/>
      <c r="N2777" s="13" t="str">
        <f>IFERROR(__xludf.DUMMYFUNCTION("""COMPUTED_VALUE"""),"")</f>
        <v/>
      </c>
      <c r="O2777" s="13" t="str">
        <f t="shared" si="1"/>
        <v/>
      </c>
    </row>
    <row r="2778" ht="22.5" customHeight="1">
      <c r="B2778" s="13">
        <f>IFERROR(__xludf.DUMMYFUNCTION("""COMPUTED_VALUE"""),2773.0)</f>
        <v>2773</v>
      </c>
      <c r="C2778" s="13" t="str">
        <f>IFERROR(__xludf.DUMMYFUNCTION("""COMPUTED_VALUE"""),"M. 1637/RAJABASA PEMUKA")</f>
        <v>M. 1637/RAJABASA PEMUKA</v>
      </c>
      <c r="D2778" s="13" t="str">
        <f>IFERROR(__xludf.DUMMYFUNCTION("""COMPUTED_VALUE"""),"K/18/180625/1")</f>
        <v>K/18/180625/1</v>
      </c>
      <c r="E2778" s="14" t="str">
        <f>IFERROR(__xludf.DUMMYFUNCTION("""COMPUTED_VALUE"""),"Heri (BT)")</f>
        <v>Heri (BT)</v>
      </c>
      <c r="F2778" s="14" t="str">
        <f>IFERROR(__xludf.DUMMYFUNCTION("""COMPUTED_VALUE"""),"SELESAI (VIA PERMOHONAN)")</f>
        <v>SELESAI (VIA PERMOHONAN)</v>
      </c>
      <c r="G2778" s="17">
        <f>IFERROR(__xludf.DUMMYFUNCTION("""COMPUTED_VALUE"""),45840.59494649306)</f>
        <v>45840.59495</v>
      </c>
      <c r="H2778" s="14" t="str">
        <f>IFERROR(__xludf.DUMMYFUNCTION("""COMPUTED_VALUE"""),"Eci (SU)")</f>
        <v>Eci (SU)</v>
      </c>
      <c r="I2778" s="13" t="str">
        <f>IFERROR(__xludf.DUMMYFUNCTION("""COMPUTED_VALUE"""),"SELESAI (VIA PERMOHONAN)")</f>
        <v>SELESAI (VIA PERMOHONAN)</v>
      </c>
      <c r="J2778" s="17">
        <f>IFERROR(__xludf.DUMMYFUNCTION("""COMPUTED_VALUE"""),45842.598838923615)</f>
        <v>45842.59884</v>
      </c>
      <c r="K2778" s="13" t="str">
        <f>IFERROR(__xludf.DUMMYFUNCTION("""COMPUTED_VALUE"""),"Selesai")</f>
        <v>Selesai</v>
      </c>
      <c r="L2778" s="17">
        <f>IFERROR(__xludf.DUMMYFUNCTION("""COMPUTED_VALUE"""),45842.598838923615)</f>
        <v>45842.59884</v>
      </c>
      <c r="M2778" s="13"/>
      <c r="N2778" s="13" t="str">
        <f>IFERROR(__xludf.DUMMYFUNCTION("""COMPUTED_VALUE"""),"")</f>
        <v/>
      </c>
      <c r="O2778" s="13" t="str">
        <f t="shared" si="1"/>
        <v/>
      </c>
    </row>
    <row r="2779" ht="22.5" customHeight="1">
      <c r="B2779" s="13">
        <f>IFERROR(__xludf.DUMMYFUNCTION("""COMPUTED_VALUE"""),2774.0)</f>
        <v>2774</v>
      </c>
      <c r="C2779" s="13" t="str">
        <f>IFERROR(__xludf.DUMMYFUNCTION("""COMPUTED_VALUE"""),"M. 4725/ Sukadana Ham")</f>
        <v>M. 4725/ Sukadana Ham</v>
      </c>
      <c r="D2779" s="13" t="str">
        <f>IFERROR(__xludf.DUMMYFUNCTION("""COMPUTED_VALUE"""),"K/17/250425/1")</f>
        <v>K/17/250425/1</v>
      </c>
      <c r="E2779" s="14" t="str">
        <f>IFERROR(__xludf.DUMMYFUNCTION("""COMPUTED_VALUE"""),"Heri (BT)")</f>
        <v>Heri (BT)</v>
      </c>
      <c r="F2779" s="14" t="str">
        <f>IFERROR(__xludf.DUMMYFUNCTION("""COMPUTED_VALUE"""),"SELESAI (VIA PERMOHONAN)")</f>
        <v>SELESAI (VIA PERMOHONAN)</v>
      </c>
      <c r="G2779" s="17">
        <f>IFERROR(__xludf.DUMMYFUNCTION("""COMPUTED_VALUE"""),45840.59512832176)</f>
        <v>45840.59513</v>
      </c>
      <c r="H2779" s="14" t="str">
        <f>IFERROR(__xludf.DUMMYFUNCTION("""COMPUTED_VALUE"""),"Eci (SU)")</f>
        <v>Eci (SU)</v>
      </c>
      <c r="I2779" s="13" t="str">
        <f>IFERROR(__xludf.DUMMYFUNCTION("""COMPUTED_VALUE"""),"SELESAI (VIA PERMOHONAN)")</f>
        <v>SELESAI (VIA PERMOHONAN)</v>
      </c>
      <c r="J2779" s="17">
        <f>IFERROR(__xludf.DUMMYFUNCTION("""COMPUTED_VALUE"""),45842.59865640046)</f>
        <v>45842.59866</v>
      </c>
      <c r="K2779" s="13" t="str">
        <f>IFERROR(__xludf.DUMMYFUNCTION("""COMPUTED_VALUE"""),"Selesai")</f>
        <v>Selesai</v>
      </c>
      <c r="L2779" s="17">
        <f>IFERROR(__xludf.DUMMYFUNCTION("""COMPUTED_VALUE"""),45842.59865640046)</f>
        <v>45842.59866</v>
      </c>
      <c r="M2779" s="13"/>
      <c r="N2779" s="13" t="str">
        <f>IFERROR(__xludf.DUMMYFUNCTION("""COMPUTED_VALUE"""),"")</f>
        <v/>
      </c>
      <c r="O2779" s="13" t="str">
        <f t="shared" si="1"/>
        <v/>
      </c>
    </row>
    <row r="2780" ht="22.5" customHeight="1">
      <c r="B2780" s="13">
        <f>IFERROR(__xludf.DUMMYFUNCTION("""COMPUTED_VALUE"""),2775.0)</f>
        <v>2775</v>
      </c>
      <c r="C2780" s="13" t="str">
        <f>IFERROR(__xludf.DUMMYFUNCTION("""COMPUTED_VALUE"""),"M.1137/TANJUNG KARANG")</f>
        <v>M.1137/TANJUNG KARANG</v>
      </c>
      <c r="D2780" s="13" t="str">
        <f>IFERROR(__xludf.DUMMYFUNCTION("""COMPUTED_VALUE"""),"K/43/200625/1")</f>
        <v>K/43/200625/1</v>
      </c>
      <c r="E2780" s="14" t="str">
        <f>IFERROR(__xludf.DUMMYFUNCTION("""COMPUTED_VALUE"""),"Heri (BT)")</f>
        <v>Heri (BT)</v>
      </c>
      <c r="F2780" s="14" t="str">
        <f>IFERROR(__xludf.DUMMYFUNCTION("""COMPUTED_VALUE"""),"SELESAI (VIA PERMOHONAN)")</f>
        <v>SELESAI (VIA PERMOHONAN)</v>
      </c>
      <c r="G2780" s="17">
        <f>IFERROR(__xludf.DUMMYFUNCTION("""COMPUTED_VALUE"""),45840.595431712965)</f>
        <v>45840.59543</v>
      </c>
      <c r="H2780" s="14" t="str">
        <f>IFERROR(__xludf.DUMMYFUNCTION("""COMPUTED_VALUE"""),"Eci (SU)")</f>
        <v>Eci (SU)</v>
      </c>
      <c r="I2780" s="13" t="str">
        <f>IFERROR(__xludf.DUMMYFUNCTION("""COMPUTED_VALUE"""),"SELESAI (VIA PERMOHONAN)")</f>
        <v>SELESAI (VIA PERMOHONAN)</v>
      </c>
      <c r="J2780" s="17">
        <f>IFERROR(__xludf.DUMMYFUNCTION("""COMPUTED_VALUE"""),45842.598626377316)</f>
        <v>45842.59863</v>
      </c>
      <c r="K2780" s="13" t="str">
        <f>IFERROR(__xludf.DUMMYFUNCTION("""COMPUTED_VALUE"""),"Selesai")</f>
        <v>Selesai</v>
      </c>
      <c r="L2780" s="17">
        <f>IFERROR(__xludf.DUMMYFUNCTION("""COMPUTED_VALUE"""),45842.598626377316)</f>
        <v>45842.59863</v>
      </c>
      <c r="M2780" s="13"/>
      <c r="N2780" s="13" t="str">
        <f>IFERROR(__xludf.DUMMYFUNCTION("""COMPUTED_VALUE"""),"")</f>
        <v/>
      </c>
      <c r="O2780" s="13" t="str">
        <f t="shared" si="1"/>
        <v/>
      </c>
    </row>
    <row r="2781" ht="22.5" customHeight="1">
      <c r="B2781" s="13">
        <f>IFERROR(__xludf.DUMMYFUNCTION("""COMPUTED_VALUE"""),2776.0)</f>
        <v>2776</v>
      </c>
      <c r="C2781" s="13" t="str">
        <f>IFERROR(__xludf.DUMMYFUNCTION("""COMPUTED_VALUE"""),"M. 42/ Jagabaya III")</f>
        <v>M. 42/ Jagabaya III</v>
      </c>
      <c r="D2781" s="13" t="str">
        <f>IFERROR(__xludf.DUMMYFUNCTION("""COMPUTED_VALUE"""),"K/23/160635/1")</f>
        <v>K/23/160635/1</v>
      </c>
      <c r="E2781" s="14" t="str">
        <f>IFERROR(__xludf.DUMMYFUNCTION("""COMPUTED_VALUE"""),"Heri (BT)")</f>
        <v>Heri (BT)</v>
      </c>
      <c r="F2781" s="14" t="str">
        <f>IFERROR(__xludf.DUMMYFUNCTION("""COMPUTED_VALUE"""),"SELESAI (VIA PERMOHONAN)")</f>
        <v>SELESAI (VIA PERMOHONAN)</v>
      </c>
      <c r="G2781" s="17">
        <f>IFERROR(__xludf.DUMMYFUNCTION("""COMPUTED_VALUE"""),45840.59566390046)</f>
        <v>45840.59566</v>
      </c>
      <c r="H2781" s="14" t="str">
        <f>IFERROR(__xludf.DUMMYFUNCTION("""COMPUTED_VALUE"""),"Eci (SU)")</f>
        <v>Eci (SU)</v>
      </c>
      <c r="I2781" s="13" t="str">
        <f>IFERROR(__xludf.DUMMYFUNCTION("""COMPUTED_VALUE"""),"SELESAI (VIA PERMOHONAN)")</f>
        <v>SELESAI (VIA PERMOHONAN)</v>
      </c>
      <c r="J2781" s="17">
        <f>IFERROR(__xludf.DUMMYFUNCTION("""COMPUTED_VALUE"""),45842.60459688657)</f>
        <v>45842.6046</v>
      </c>
      <c r="K2781" s="13" t="str">
        <f>IFERROR(__xludf.DUMMYFUNCTION("""COMPUTED_VALUE"""),"Selesai")</f>
        <v>Selesai</v>
      </c>
      <c r="L2781" s="17">
        <f>IFERROR(__xludf.DUMMYFUNCTION("""COMPUTED_VALUE"""),45842.60459688657)</f>
        <v>45842.6046</v>
      </c>
      <c r="M2781" s="13"/>
      <c r="N2781" s="13" t="str">
        <f>IFERROR(__xludf.DUMMYFUNCTION("""COMPUTED_VALUE"""),"")</f>
        <v/>
      </c>
      <c r="O2781" s="13" t="str">
        <f t="shared" si="1"/>
        <v/>
      </c>
    </row>
    <row r="2782" ht="22.5" customHeight="1">
      <c r="B2782" s="13">
        <f>IFERROR(__xludf.DUMMYFUNCTION("""COMPUTED_VALUE"""),2777.0)</f>
        <v>2777</v>
      </c>
      <c r="C2782" s="13" t="str">
        <f>IFERROR(__xludf.DUMMYFUNCTION("""COMPUTED_VALUE"""),"HM 817/WHP")</f>
        <v>HM 817/WHP</v>
      </c>
      <c r="D2782" s="13" t="str">
        <f>IFERROR(__xludf.DUMMYFUNCTION("""COMPUTED_VALUE"""),"L/8/250625/1")</f>
        <v>L/8/250625/1</v>
      </c>
      <c r="E2782" s="14" t="str">
        <f>IFERROR(__xludf.DUMMYFUNCTION("""COMPUTED_VALUE"""),"Heri (BT)")</f>
        <v>Heri (BT)</v>
      </c>
      <c r="F2782" s="14" t="str">
        <f>IFERROR(__xludf.DUMMYFUNCTION("""COMPUTED_VALUE"""),"SELESAI (VIA PERMOHONAN)")</f>
        <v>SELESAI (VIA PERMOHONAN)</v>
      </c>
      <c r="G2782" s="17">
        <f>IFERROR(__xludf.DUMMYFUNCTION("""COMPUTED_VALUE"""),45840.62936726851)</f>
        <v>45840.62937</v>
      </c>
      <c r="H2782" s="14" t="str">
        <f>IFERROR(__xludf.DUMMYFUNCTION("""COMPUTED_VALUE"""),"Eci (SU)")</f>
        <v>Eci (SU)</v>
      </c>
      <c r="I2782" s="13" t="str">
        <f>IFERROR(__xludf.DUMMYFUNCTION("""COMPUTED_VALUE"""),"SELESAI (VIA PERMOHONAN)")</f>
        <v>SELESAI (VIA PERMOHONAN)</v>
      </c>
      <c r="J2782" s="17">
        <f>IFERROR(__xludf.DUMMYFUNCTION("""COMPUTED_VALUE"""),45842.59423716435)</f>
        <v>45842.59424</v>
      </c>
      <c r="K2782" s="13" t="str">
        <f>IFERROR(__xludf.DUMMYFUNCTION("""COMPUTED_VALUE"""),"Selesai")</f>
        <v>Selesai</v>
      </c>
      <c r="L2782" s="17">
        <f>IFERROR(__xludf.DUMMYFUNCTION("""COMPUTED_VALUE"""),45842.59423716435)</f>
        <v>45842.59424</v>
      </c>
      <c r="M2782" s="13"/>
      <c r="N2782" s="13" t="str">
        <f>IFERROR(__xludf.DUMMYFUNCTION("""COMPUTED_VALUE"""),"")</f>
        <v/>
      </c>
      <c r="O2782" s="13" t="str">
        <f t="shared" si="1"/>
        <v/>
      </c>
    </row>
    <row r="2783" ht="22.5" customHeight="1">
      <c r="B2783" s="13">
        <f>IFERROR(__xludf.DUMMYFUNCTION("""COMPUTED_VALUE"""),2778.0)</f>
        <v>2778</v>
      </c>
      <c r="C2783" s="13" t="str">
        <f>IFERROR(__xludf.DUMMYFUNCTION("""COMPUTED_VALUE"""),"M.2045/WAY HALIM PERMAI")</f>
        <v>M.2045/WAY HALIM PERMAI</v>
      </c>
      <c r="D2783" s="13" t="str">
        <f>IFERROR(__xludf.DUMMYFUNCTION("""COMPUTED_VALUE"""),"L/40/130625/1")</f>
        <v>L/40/130625/1</v>
      </c>
      <c r="E2783" s="14" t="str">
        <f>IFERROR(__xludf.DUMMYFUNCTION("""COMPUTED_VALUE"""),"Afriza (BT)")</f>
        <v>Afriza (BT)</v>
      </c>
      <c r="F2783" s="14" t="str">
        <f>IFERROR(__xludf.DUMMYFUNCTION("""COMPUTED_VALUE"""),"SELESAI (VIA PERMOHONAN)")</f>
        <v>SELESAI (VIA PERMOHONAN)</v>
      </c>
      <c r="G2783" s="17">
        <f>IFERROR(__xludf.DUMMYFUNCTION("""COMPUTED_VALUE"""),45840.65265613426)</f>
        <v>45840.65266</v>
      </c>
      <c r="H2783" s="14" t="str">
        <f>IFERROR(__xludf.DUMMYFUNCTION("""COMPUTED_VALUE"""),"Admin (Migrasi)")</f>
        <v>Admin (Migrasi)</v>
      </c>
      <c r="I2783" s="13" t="str">
        <f>IFERROR(__xludf.DUMMYFUNCTION("""COMPUTED_VALUE"""),"SELESAI (VIA PERMOHONAN)")</f>
        <v>SELESAI (VIA PERMOHONAN)</v>
      </c>
      <c r="J2783" s="17">
        <f>IFERROR(__xludf.DUMMYFUNCTION("""COMPUTED_VALUE"""),45840.65270934028)</f>
        <v>45840.65271</v>
      </c>
      <c r="K2783" s="13" t="str">
        <f>IFERROR(__xludf.DUMMYFUNCTION("""COMPUTED_VALUE"""),"Selesai")</f>
        <v>Selesai</v>
      </c>
      <c r="L2783" s="17">
        <f>IFERROR(__xludf.DUMMYFUNCTION("""COMPUTED_VALUE"""),45840.65270934028)</f>
        <v>45840.65271</v>
      </c>
      <c r="M2783" s="13"/>
      <c r="N2783" s="13" t="str">
        <f>IFERROR(__xludf.DUMMYFUNCTION("""COMPUTED_VALUE"""),"")</f>
        <v/>
      </c>
      <c r="O2783" s="13" t="str">
        <f t="shared" si="1"/>
        <v/>
      </c>
    </row>
    <row r="2784" ht="22.5" customHeight="1">
      <c r="B2784" s="13">
        <f>IFERROR(__xludf.DUMMYFUNCTION("""COMPUTED_VALUE"""),2779.0)</f>
        <v>2779</v>
      </c>
      <c r="C2784" s="13" t="str">
        <f>IFERROR(__xludf.DUMMYFUNCTION("""COMPUTED_VALUE"""),"M.2046/ WAY HALIM PERMAI")</f>
        <v>M.2046/ WAY HALIM PERMAI</v>
      </c>
      <c r="D2784" s="13" t="str">
        <f>IFERROR(__xludf.DUMMYFUNCTION("""COMPUTED_VALUE"""),"L/28/130625/1")</f>
        <v>L/28/130625/1</v>
      </c>
      <c r="E2784" s="14" t="str">
        <f>IFERROR(__xludf.DUMMYFUNCTION("""COMPUTED_VALUE"""),"Afriza (BT)")</f>
        <v>Afriza (BT)</v>
      </c>
      <c r="F2784" s="14" t="str">
        <f>IFERROR(__xludf.DUMMYFUNCTION("""COMPUTED_VALUE"""),"SELESAI (VIA PERMOHONAN)")</f>
        <v>SELESAI (VIA PERMOHONAN)</v>
      </c>
      <c r="G2784" s="17">
        <f>IFERROR(__xludf.DUMMYFUNCTION("""COMPUTED_VALUE"""),45840.65295711806)</f>
        <v>45840.65296</v>
      </c>
      <c r="H2784" s="14" t="str">
        <f>IFERROR(__xludf.DUMMYFUNCTION("""COMPUTED_VALUE"""),"Admin (Migrasi)")</f>
        <v>Admin (Migrasi)</v>
      </c>
      <c r="I2784" s="13" t="str">
        <f>IFERROR(__xludf.DUMMYFUNCTION("""COMPUTED_VALUE"""),"SELESAI (VIA PERMOHONAN)")</f>
        <v>SELESAI (VIA PERMOHONAN)</v>
      </c>
      <c r="J2784" s="17">
        <f>IFERROR(__xludf.DUMMYFUNCTION("""COMPUTED_VALUE"""),45840.653081041666)</f>
        <v>45840.65308</v>
      </c>
      <c r="K2784" s="13" t="str">
        <f>IFERROR(__xludf.DUMMYFUNCTION("""COMPUTED_VALUE"""),"Selesai")</f>
        <v>Selesai</v>
      </c>
      <c r="L2784" s="17">
        <f>IFERROR(__xludf.DUMMYFUNCTION("""COMPUTED_VALUE"""),45840.653081041666)</f>
        <v>45840.65308</v>
      </c>
      <c r="M2784" s="13"/>
      <c r="N2784" s="13" t="str">
        <f>IFERROR(__xludf.DUMMYFUNCTION("""COMPUTED_VALUE"""),"")</f>
        <v/>
      </c>
      <c r="O2784" s="13" t="str">
        <f t="shared" si="1"/>
        <v/>
      </c>
    </row>
    <row r="2785" ht="22.5" customHeight="1">
      <c r="B2785" s="13">
        <f>IFERROR(__xludf.DUMMYFUNCTION("""COMPUTED_VALUE"""),2780.0)</f>
        <v>2780</v>
      </c>
      <c r="C2785" s="13" t="str">
        <f>IFERROR(__xludf.DUMMYFUNCTION("""COMPUTED_VALUE"""),"HGB 901/SUKARAME BARU")</f>
        <v>HGB 901/SUKARAME BARU</v>
      </c>
      <c r="D2785" s="13" t="str">
        <f>IFERROR(__xludf.DUMMYFUNCTION("""COMPUTED_VALUE"""),"L/2/270525/1")</f>
        <v>L/2/270525/1</v>
      </c>
      <c r="E2785" s="14" t="str">
        <f>IFERROR(__xludf.DUMMYFUNCTION("""COMPUTED_VALUE"""),"Afriza (BT)")</f>
        <v>Afriza (BT)</v>
      </c>
      <c r="F2785" s="14" t="str">
        <f>IFERROR(__xludf.DUMMYFUNCTION("""COMPUTED_VALUE"""),"SELESAI (VIA PERMOHONAN)")</f>
        <v>SELESAI (VIA PERMOHONAN)</v>
      </c>
      <c r="G2785" s="17">
        <f>IFERROR(__xludf.DUMMYFUNCTION("""COMPUTED_VALUE"""),45840.653561203704)</f>
        <v>45840.65356</v>
      </c>
      <c r="H2785" s="14" t="str">
        <f>IFERROR(__xludf.DUMMYFUNCTION("""COMPUTED_VALUE"""),"Admin (Migrasi)")</f>
        <v>Admin (Migrasi)</v>
      </c>
      <c r="I2785" s="13" t="str">
        <f>IFERROR(__xludf.DUMMYFUNCTION("""COMPUTED_VALUE"""),"SELESAI (VIA PERMOHONAN)")</f>
        <v>SELESAI (VIA PERMOHONAN)</v>
      </c>
      <c r="J2785" s="17">
        <f>IFERROR(__xludf.DUMMYFUNCTION("""COMPUTED_VALUE"""),45840.653561203704)</f>
        <v>45840.65356</v>
      </c>
      <c r="K2785" s="13" t="str">
        <f>IFERROR(__xludf.DUMMYFUNCTION("""COMPUTED_VALUE"""),"Selesai")</f>
        <v>Selesai</v>
      </c>
      <c r="L2785" s="17">
        <f>IFERROR(__xludf.DUMMYFUNCTION("""COMPUTED_VALUE"""),45840.653561203704)</f>
        <v>45840.65356</v>
      </c>
      <c r="M2785" s="13"/>
      <c r="N2785" s="13" t="str">
        <f>IFERROR(__xludf.DUMMYFUNCTION("""COMPUTED_VALUE"""),"")</f>
        <v/>
      </c>
      <c r="O2785" s="13" t="str">
        <f t="shared" si="1"/>
        <v/>
      </c>
    </row>
    <row r="2786" ht="22.5" customHeight="1">
      <c r="B2786" s="13">
        <f>IFERROR(__xludf.DUMMYFUNCTION("""COMPUTED_VALUE"""),2781.0)</f>
        <v>2781</v>
      </c>
      <c r="C2786" s="13" t="str">
        <f>IFERROR(__xludf.DUMMYFUNCTION("""COMPUTED_VALUE"""),"M.278/WAY KANDIS")</f>
        <v>M.278/WAY KANDIS</v>
      </c>
      <c r="D2786" s="13" t="str">
        <f>IFERROR(__xludf.DUMMYFUNCTION("""COMPUTED_VALUE"""),"K/43/160635/1")</f>
        <v>K/43/160635/1</v>
      </c>
      <c r="E2786" s="14" t="str">
        <f>IFERROR(__xludf.DUMMYFUNCTION("""COMPUTED_VALUE"""),"Afriza (BT)")</f>
        <v>Afriza (BT)</v>
      </c>
      <c r="F2786" s="14" t="str">
        <f>IFERROR(__xludf.DUMMYFUNCTION("""COMPUTED_VALUE"""),"SELESAI (VIA PERMOHONAN)")</f>
        <v>SELESAI (VIA PERMOHONAN)</v>
      </c>
      <c r="G2786" s="17">
        <f>IFERROR(__xludf.DUMMYFUNCTION("""COMPUTED_VALUE"""),45840.65367314815)</f>
        <v>45840.65367</v>
      </c>
      <c r="H2786" s="14" t="str">
        <f>IFERROR(__xludf.DUMMYFUNCTION("""COMPUTED_VALUE"""),"Admin (Migrasi)")</f>
        <v>Admin (Migrasi)</v>
      </c>
      <c r="I2786" s="13" t="str">
        <f>IFERROR(__xludf.DUMMYFUNCTION("""COMPUTED_VALUE"""),"SELESAI (VIA PERMOHONAN)")</f>
        <v>SELESAI (VIA PERMOHONAN)</v>
      </c>
      <c r="J2786" s="17">
        <f>IFERROR(__xludf.DUMMYFUNCTION("""COMPUTED_VALUE"""),45840.65367314815)</f>
        <v>45840.65367</v>
      </c>
      <c r="K2786" s="13" t="str">
        <f>IFERROR(__xludf.DUMMYFUNCTION("""COMPUTED_VALUE"""),"Selesai")</f>
        <v>Selesai</v>
      </c>
      <c r="L2786" s="17">
        <f>IFERROR(__xludf.DUMMYFUNCTION("""COMPUTED_VALUE"""),45840.65367314815)</f>
        <v>45840.65367</v>
      </c>
      <c r="M2786" s="13"/>
      <c r="N2786" s="13" t="str">
        <f>IFERROR(__xludf.DUMMYFUNCTION("""COMPUTED_VALUE"""),"")</f>
        <v/>
      </c>
      <c r="O2786" s="13" t="str">
        <f t="shared" si="1"/>
        <v/>
      </c>
    </row>
    <row r="2787" ht="22.5" customHeight="1">
      <c r="B2787" s="13">
        <f>IFERROR(__xludf.DUMMYFUNCTION("""COMPUTED_VALUE"""),2782.0)</f>
        <v>2782</v>
      </c>
      <c r="C2787" s="13" t="str">
        <f>IFERROR(__xludf.DUMMYFUNCTION("""COMPUTED_VALUE"""),"HGB 315/RAJABASA PEMUKA")</f>
        <v>HGB 315/RAJABASA PEMUKA</v>
      </c>
      <c r="D2787" s="13" t="str">
        <f>IFERROR(__xludf.DUMMYFUNCTION("""COMPUTED_VALUE"""),"L/12/100625/1")</f>
        <v>L/12/100625/1</v>
      </c>
      <c r="E2787" s="14" t="str">
        <f>IFERROR(__xludf.DUMMYFUNCTION("""COMPUTED_VALUE"""),"Afriza (BT)")</f>
        <v>Afriza (BT)</v>
      </c>
      <c r="F2787" s="14" t="str">
        <f>IFERROR(__xludf.DUMMYFUNCTION("""COMPUTED_VALUE"""),"SELESAI (VIA PERMOHONAN)")</f>
        <v>SELESAI (VIA PERMOHONAN)</v>
      </c>
      <c r="G2787" s="17">
        <f>IFERROR(__xludf.DUMMYFUNCTION("""COMPUTED_VALUE"""),45840.65374905092)</f>
        <v>45840.65375</v>
      </c>
      <c r="H2787" s="14" t="str">
        <f>IFERROR(__xludf.DUMMYFUNCTION("""COMPUTED_VALUE"""),"Admin (Migrasi)")</f>
        <v>Admin (Migrasi)</v>
      </c>
      <c r="I2787" s="13" t="str">
        <f>IFERROR(__xludf.DUMMYFUNCTION("""COMPUTED_VALUE"""),"SELESAI (VIA PERMOHONAN)")</f>
        <v>SELESAI (VIA PERMOHONAN)</v>
      </c>
      <c r="J2787" s="17">
        <f>IFERROR(__xludf.DUMMYFUNCTION("""COMPUTED_VALUE"""),45840.65378760417)</f>
        <v>45840.65379</v>
      </c>
      <c r="K2787" s="13" t="str">
        <f>IFERROR(__xludf.DUMMYFUNCTION("""COMPUTED_VALUE"""),"Selesai")</f>
        <v>Selesai</v>
      </c>
      <c r="L2787" s="17">
        <f>IFERROR(__xludf.DUMMYFUNCTION("""COMPUTED_VALUE"""),45840.65378760417)</f>
        <v>45840.65379</v>
      </c>
      <c r="M2787" s="13"/>
      <c r="N2787" s="13" t="str">
        <f>IFERROR(__xludf.DUMMYFUNCTION("""COMPUTED_VALUE"""),"")</f>
        <v/>
      </c>
      <c r="O2787" s="13" t="str">
        <f t="shared" si="1"/>
        <v/>
      </c>
    </row>
    <row r="2788" ht="22.5" customHeight="1">
      <c r="B2788" s="13">
        <f>IFERROR(__xludf.DUMMYFUNCTION("""COMPUTED_VALUE"""),2783.0)</f>
        <v>2783</v>
      </c>
      <c r="C2788" s="13" t="str">
        <f>IFERROR(__xludf.DUMMYFUNCTION("""COMPUTED_VALUE"""),"HM 336/GULAK GALIK")</f>
        <v>HM 336/GULAK GALIK</v>
      </c>
      <c r="D2788" s="13" t="str">
        <f>IFERROR(__xludf.DUMMYFUNCTION("""COMPUTED_VALUE"""),"L/9/200625/1")</f>
        <v>L/9/200625/1</v>
      </c>
      <c r="E2788" s="14" t="str">
        <f>IFERROR(__xludf.DUMMYFUNCTION("""COMPUTED_VALUE"""),"Afriza (BT)")</f>
        <v>Afriza (BT)</v>
      </c>
      <c r="F2788" s="14" t="str">
        <f>IFERROR(__xludf.DUMMYFUNCTION("""COMPUTED_VALUE"""),"SELESAI (VIA PERMOHONAN)")</f>
        <v>SELESAI (VIA PERMOHONAN)</v>
      </c>
      <c r="G2788" s="17">
        <f>IFERROR(__xludf.DUMMYFUNCTION("""COMPUTED_VALUE"""),45840.65401454861)</f>
        <v>45840.65401</v>
      </c>
      <c r="H2788" s="14" t="str">
        <f>IFERROR(__xludf.DUMMYFUNCTION("""COMPUTED_VALUE"""),"Admin (Migrasi)")</f>
        <v>Admin (Migrasi)</v>
      </c>
      <c r="I2788" s="13" t="str">
        <f>IFERROR(__xludf.DUMMYFUNCTION("""COMPUTED_VALUE"""),"SELESAI (VIA PERMOHONAN)")</f>
        <v>SELESAI (VIA PERMOHONAN)</v>
      </c>
      <c r="J2788" s="17">
        <f>IFERROR(__xludf.DUMMYFUNCTION("""COMPUTED_VALUE"""),45840.6540725)</f>
        <v>45840.65407</v>
      </c>
      <c r="K2788" s="13" t="str">
        <f>IFERROR(__xludf.DUMMYFUNCTION("""COMPUTED_VALUE"""),"Selesai")</f>
        <v>Selesai</v>
      </c>
      <c r="L2788" s="17">
        <f>IFERROR(__xludf.DUMMYFUNCTION("""COMPUTED_VALUE"""),45840.6540725)</f>
        <v>45840.65407</v>
      </c>
      <c r="M2788" s="13"/>
      <c r="N2788" s="13" t="str">
        <f>IFERROR(__xludf.DUMMYFUNCTION("""COMPUTED_VALUE"""),"")</f>
        <v/>
      </c>
      <c r="O2788" s="13" t="str">
        <f t="shared" si="1"/>
        <v/>
      </c>
    </row>
    <row r="2789" ht="22.5" customHeight="1">
      <c r="B2789" s="13">
        <f>IFERROR(__xludf.DUMMYFUNCTION("""COMPUTED_VALUE"""),2784.0)</f>
        <v>2784</v>
      </c>
      <c r="C2789" s="13" t="str">
        <f>IFERROR(__xludf.DUMMYFUNCTION("""COMPUTED_VALUE"""),"HM 660/SEPANG JAYA")</f>
        <v>HM 660/SEPANG JAYA</v>
      </c>
      <c r="D2789" s="13" t="str">
        <f>IFERROR(__xludf.DUMMYFUNCTION("""COMPUTED_VALUE"""),"L/1/220625/PELATARAN")</f>
        <v>L/1/220625/PELATARAN</v>
      </c>
      <c r="E2789" s="14" t="str">
        <f>IFERROR(__xludf.DUMMYFUNCTION("""COMPUTED_VALUE"""),"Heri (BT)")</f>
        <v>Heri (BT)</v>
      </c>
      <c r="F2789" s="14" t="str">
        <f>IFERROR(__xludf.DUMMYFUNCTION("""COMPUTED_VALUE"""),"SELESAI (VIA PERMOHONAN)")</f>
        <v>SELESAI (VIA PERMOHONAN)</v>
      </c>
      <c r="G2789" s="17">
        <f>IFERROR(__xludf.DUMMYFUNCTION("""COMPUTED_VALUE"""),45840.672570243056)</f>
        <v>45840.67257</v>
      </c>
      <c r="H2789" s="14" t="str">
        <f>IFERROR(__xludf.DUMMYFUNCTION("""COMPUTED_VALUE"""),"Eci (SU)")</f>
        <v>Eci (SU)</v>
      </c>
      <c r="I2789" s="13" t="str">
        <f>IFERROR(__xludf.DUMMYFUNCTION("""COMPUTED_VALUE"""),"SELESAI (VIA PERMOHONAN)")</f>
        <v>SELESAI (VIA PERMOHONAN)</v>
      </c>
      <c r="J2789" s="17">
        <f>IFERROR(__xludf.DUMMYFUNCTION("""COMPUTED_VALUE"""),45842.59473115741)</f>
        <v>45842.59473</v>
      </c>
      <c r="K2789" s="13" t="str">
        <f>IFERROR(__xludf.DUMMYFUNCTION("""COMPUTED_VALUE"""),"Selesai")</f>
        <v>Selesai</v>
      </c>
      <c r="L2789" s="17">
        <f>IFERROR(__xludf.DUMMYFUNCTION("""COMPUTED_VALUE"""),45842.59473115741)</f>
        <v>45842.59473</v>
      </c>
      <c r="M2789" s="13"/>
      <c r="N2789" s="13" t="str">
        <f>IFERROR(__xludf.DUMMYFUNCTION("""COMPUTED_VALUE"""),"")</f>
        <v/>
      </c>
      <c r="O2789" s="13" t="str">
        <f t="shared" si="1"/>
        <v/>
      </c>
    </row>
    <row r="2790" ht="22.5" customHeight="1">
      <c r="B2790" s="13">
        <f>IFERROR(__xludf.DUMMYFUNCTION("""COMPUTED_VALUE"""),2785.0)</f>
        <v>2785</v>
      </c>
      <c r="C2790" s="13" t="str">
        <f>IFERROR(__xludf.DUMMYFUNCTION("""COMPUTED_VALUE"""),"M. 1253/BERINGIN JAYA")</f>
        <v>M. 1253/BERINGIN JAYA</v>
      </c>
      <c r="D2790" s="13" t="str">
        <f>IFERROR(__xludf.DUMMYFUNCTION("""COMPUTED_VALUE"""),"K/38/190625/1")</f>
        <v>K/38/190625/1</v>
      </c>
      <c r="E2790" s="14" t="str">
        <f>IFERROR(__xludf.DUMMYFUNCTION("""COMPUTED_VALUE"""),"Heri (BT)")</f>
        <v>Heri (BT)</v>
      </c>
      <c r="F2790" s="14" t="str">
        <f>IFERROR(__xludf.DUMMYFUNCTION("""COMPUTED_VALUE"""),"SELESAI (VIA PERMOHONAN)")</f>
        <v>SELESAI (VIA PERMOHONAN)</v>
      </c>
      <c r="G2790" s="17">
        <f>IFERROR(__xludf.DUMMYFUNCTION("""COMPUTED_VALUE"""),45840.672844560184)</f>
        <v>45840.67284</v>
      </c>
      <c r="H2790" s="14" t="str">
        <f>IFERROR(__xludf.DUMMYFUNCTION("""COMPUTED_VALUE"""),"Eci (SU)")</f>
        <v>Eci (SU)</v>
      </c>
      <c r="I2790" s="13" t="str">
        <f>IFERROR(__xludf.DUMMYFUNCTION("""COMPUTED_VALUE"""),"SELESAI (VIA PERMOHONAN)")</f>
        <v>SELESAI (VIA PERMOHONAN)</v>
      </c>
      <c r="J2790" s="17">
        <f>IFERROR(__xludf.DUMMYFUNCTION("""COMPUTED_VALUE"""),45842.59842638889)</f>
        <v>45842.59843</v>
      </c>
      <c r="K2790" s="13" t="str">
        <f>IFERROR(__xludf.DUMMYFUNCTION("""COMPUTED_VALUE"""),"Selesai")</f>
        <v>Selesai</v>
      </c>
      <c r="L2790" s="17">
        <f>IFERROR(__xludf.DUMMYFUNCTION("""COMPUTED_VALUE"""),45842.59842638889)</f>
        <v>45842.59843</v>
      </c>
      <c r="M2790" s="13"/>
      <c r="N2790" s="13" t="str">
        <f>IFERROR(__xludf.DUMMYFUNCTION("""COMPUTED_VALUE"""),"")</f>
        <v/>
      </c>
      <c r="O2790" s="13" t="str">
        <f t="shared" si="1"/>
        <v/>
      </c>
    </row>
    <row r="2791" ht="22.5" customHeight="1">
      <c r="B2791" s="13">
        <f>IFERROR(__xludf.DUMMYFUNCTION("""COMPUTED_VALUE"""),2786.0)</f>
        <v>2786</v>
      </c>
      <c r="C2791" s="13" t="str">
        <f>IFERROR(__xludf.DUMMYFUNCTION("""COMPUTED_VALUE"""),"B. 4986/CAMPANG RAYA")</f>
        <v>B. 4986/CAMPANG RAYA</v>
      </c>
      <c r="D2791" s="13" t="str">
        <f>IFERROR(__xludf.DUMMYFUNCTION("""COMPUTED_VALUE"""),"K/5/250625/1")</f>
        <v>K/5/250625/1</v>
      </c>
      <c r="E2791" s="14" t="str">
        <f>IFERROR(__xludf.DUMMYFUNCTION("""COMPUTED_VALUE"""),"Heri (BT)")</f>
        <v>Heri (BT)</v>
      </c>
      <c r="F2791" s="14" t="str">
        <f>IFERROR(__xludf.DUMMYFUNCTION("""COMPUTED_VALUE"""),"SELESAI (VIA PERMOHONAN)")</f>
        <v>SELESAI (VIA PERMOHONAN)</v>
      </c>
      <c r="G2791" s="17">
        <f>IFERROR(__xludf.DUMMYFUNCTION("""COMPUTED_VALUE"""),45840.67315261574)</f>
        <v>45840.67315</v>
      </c>
      <c r="H2791" s="14" t="str">
        <f>IFERROR(__xludf.DUMMYFUNCTION("""COMPUTED_VALUE"""),"Eci (SU)")</f>
        <v>Eci (SU)</v>
      </c>
      <c r="I2791" s="13" t="str">
        <f>IFERROR(__xludf.DUMMYFUNCTION("""COMPUTED_VALUE"""),"SELESAI (VIA PERMOHONAN)")</f>
        <v>SELESAI (VIA PERMOHONAN)</v>
      </c>
      <c r="J2791" s="17">
        <f>IFERROR(__xludf.DUMMYFUNCTION("""COMPUTED_VALUE"""),45842.59488001157)</f>
        <v>45842.59488</v>
      </c>
      <c r="K2791" s="13" t="str">
        <f>IFERROR(__xludf.DUMMYFUNCTION("""COMPUTED_VALUE"""),"Selesai")</f>
        <v>Selesai</v>
      </c>
      <c r="L2791" s="17">
        <f>IFERROR(__xludf.DUMMYFUNCTION("""COMPUTED_VALUE"""),45842.59488001157)</f>
        <v>45842.59488</v>
      </c>
      <c r="M2791" s="13"/>
      <c r="N2791" s="13" t="str">
        <f>IFERROR(__xludf.DUMMYFUNCTION("""COMPUTED_VALUE"""),"")</f>
        <v/>
      </c>
      <c r="O2791" s="13" t="str">
        <f t="shared" si="1"/>
        <v/>
      </c>
    </row>
    <row r="2792" ht="22.5" customHeight="1">
      <c r="B2792" s="13">
        <f>IFERROR(__xludf.DUMMYFUNCTION("""COMPUTED_VALUE"""),2787.0)</f>
        <v>2787</v>
      </c>
      <c r="C2792" s="13" t="str">
        <f>IFERROR(__xludf.DUMMYFUNCTION("""COMPUTED_VALUE"""),"M. 237/RAJABASA JAYA")</f>
        <v>M. 237/RAJABASA JAYA</v>
      </c>
      <c r="D2792" s="13" t="str">
        <f>IFERROR(__xludf.DUMMYFUNCTION("""COMPUTED_VALUE"""),"K/24/040625/1")</f>
        <v>K/24/040625/1</v>
      </c>
      <c r="E2792" s="14" t="str">
        <f>IFERROR(__xludf.DUMMYFUNCTION("""COMPUTED_VALUE"""),"Heri (BT)")</f>
        <v>Heri (BT)</v>
      </c>
      <c r="F2792" s="14" t="str">
        <f>IFERROR(__xludf.DUMMYFUNCTION("""COMPUTED_VALUE"""),"SELESAI (VIA PERMOHONAN)")</f>
        <v>SELESAI (VIA PERMOHONAN)</v>
      </c>
      <c r="G2792" s="17">
        <f>IFERROR(__xludf.DUMMYFUNCTION("""COMPUTED_VALUE"""),45840.673307523146)</f>
        <v>45840.67331</v>
      </c>
      <c r="H2792" s="14" t="str">
        <f>IFERROR(__xludf.DUMMYFUNCTION("""COMPUTED_VALUE"""),"Eci (SU)")</f>
        <v>Eci (SU)</v>
      </c>
      <c r="I2792" s="13" t="str">
        <f>IFERROR(__xludf.DUMMYFUNCTION("""COMPUTED_VALUE"""),"SELESAI (VIA PERMOHONAN)")</f>
        <v>SELESAI (VIA PERMOHONAN)</v>
      </c>
      <c r="J2792" s="17">
        <f>IFERROR(__xludf.DUMMYFUNCTION("""COMPUTED_VALUE"""),45842.59509915509)</f>
        <v>45842.5951</v>
      </c>
      <c r="K2792" s="13" t="str">
        <f>IFERROR(__xludf.DUMMYFUNCTION("""COMPUTED_VALUE"""),"Selesai")</f>
        <v>Selesai</v>
      </c>
      <c r="L2792" s="17">
        <f>IFERROR(__xludf.DUMMYFUNCTION("""COMPUTED_VALUE"""),45842.59509915509)</f>
        <v>45842.5951</v>
      </c>
      <c r="M2792" s="13"/>
      <c r="N2792" s="13" t="str">
        <f>IFERROR(__xludf.DUMMYFUNCTION("""COMPUTED_VALUE"""),"")</f>
        <v/>
      </c>
      <c r="O2792" s="13" t="str">
        <f t="shared" si="1"/>
        <v/>
      </c>
    </row>
    <row r="2793" ht="22.5" customHeight="1">
      <c r="B2793" s="13">
        <f>IFERROR(__xludf.DUMMYFUNCTION("""COMPUTED_VALUE"""),2788.0)</f>
        <v>2788</v>
      </c>
      <c r="C2793" s="13" t="str">
        <f>IFERROR(__xludf.DUMMYFUNCTION("""COMPUTED_VALUE"""),"B. 30/ Sidodadi")</f>
        <v>B. 30/ Sidodadi</v>
      </c>
      <c r="D2793" s="13" t="str">
        <f>IFERROR(__xludf.DUMMYFUNCTION("""COMPUTED_VALUE"""),"K/26/180625/1")</f>
        <v>K/26/180625/1</v>
      </c>
      <c r="E2793" s="14" t="str">
        <f>IFERROR(__xludf.DUMMYFUNCTION("""COMPUTED_VALUE"""),"Heri (BT)")</f>
        <v>Heri (BT)</v>
      </c>
      <c r="F2793" s="14" t="str">
        <f>IFERROR(__xludf.DUMMYFUNCTION("""COMPUTED_VALUE"""),"SELESAI (VIA PERMOHONAN)")</f>
        <v>SELESAI (VIA PERMOHONAN)</v>
      </c>
      <c r="G2793" s="17">
        <f>IFERROR(__xludf.DUMMYFUNCTION("""COMPUTED_VALUE"""),45840.721964282406)</f>
        <v>45840.72196</v>
      </c>
      <c r="H2793" s="14" t="str">
        <f>IFERROR(__xludf.DUMMYFUNCTION("""COMPUTED_VALUE"""),"Eci (SU)")</f>
        <v>Eci (SU)</v>
      </c>
      <c r="I2793" s="13" t="str">
        <f>IFERROR(__xludf.DUMMYFUNCTION("""COMPUTED_VALUE"""),"SELESAI (VIA PERMOHONAN)")</f>
        <v>SELESAI (VIA PERMOHONAN)</v>
      </c>
      <c r="J2793" s="17">
        <f>IFERROR(__xludf.DUMMYFUNCTION("""COMPUTED_VALUE"""),45842.60500231481)</f>
        <v>45842.605</v>
      </c>
      <c r="K2793" s="13" t="str">
        <f>IFERROR(__xludf.DUMMYFUNCTION("""COMPUTED_VALUE"""),"Selesai")</f>
        <v>Selesai</v>
      </c>
      <c r="L2793" s="17">
        <f>IFERROR(__xludf.DUMMYFUNCTION("""COMPUTED_VALUE"""),45842.60500231481)</f>
        <v>45842.605</v>
      </c>
      <c r="M2793" s="13"/>
      <c r="N2793" s="13" t="str">
        <f>IFERROR(__xludf.DUMMYFUNCTION("""COMPUTED_VALUE"""),"")</f>
        <v/>
      </c>
      <c r="O2793" s="13" t="str">
        <f t="shared" si="1"/>
        <v/>
      </c>
    </row>
    <row r="2794" ht="22.5" customHeight="1">
      <c r="B2794" s="13">
        <f>IFERROR(__xludf.DUMMYFUNCTION("""COMPUTED_VALUE"""),2789.0)</f>
        <v>2789</v>
      </c>
      <c r="C2794" s="13" t="str">
        <f>IFERROR(__xludf.DUMMYFUNCTION("""COMPUTED_VALUE"""),"B. 991/BERINGIN JAYA")</f>
        <v>B. 991/BERINGIN JAYA</v>
      </c>
      <c r="D2794" s="13" t="str">
        <f>IFERROR(__xludf.DUMMYFUNCTION("""COMPUTED_VALUE"""),"K/12/200625/1")</f>
        <v>K/12/200625/1</v>
      </c>
      <c r="E2794" s="14" t="str">
        <f>IFERROR(__xludf.DUMMYFUNCTION("""COMPUTED_VALUE"""),"Afriza (BT)")</f>
        <v>Afriza (BT)</v>
      </c>
      <c r="F2794" s="14" t="str">
        <f>IFERROR(__xludf.DUMMYFUNCTION("""COMPUTED_VALUE"""),"SELESAI (VIA PERMOHONAN)")</f>
        <v>SELESAI (VIA PERMOHONAN)</v>
      </c>
      <c r="G2794" s="17">
        <f>IFERROR(__xludf.DUMMYFUNCTION("""COMPUTED_VALUE"""),45841.38719550926)</f>
        <v>45841.3872</v>
      </c>
      <c r="H2794" s="14" t="str">
        <f>IFERROR(__xludf.DUMMYFUNCTION("""COMPUTED_VALUE"""),"Eci (SU)")</f>
        <v>Eci (SU)</v>
      </c>
      <c r="I2794" s="13" t="str">
        <f>IFERROR(__xludf.DUMMYFUNCTION("""COMPUTED_VALUE"""),"SELESAI (VIA PERMOHONAN)")</f>
        <v>SELESAI (VIA PERMOHONAN)</v>
      </c>
      <c r="J2794" s="17">
        <f>IFERROR(__xludf.DUMMYFUNCTION("""COMPUTED_VALUE"""),45842.59162516204)</f>
        <v>45842.59163</v>
      </c>
      <c r="K2794" s="13" t="str">
        <f>IFERROR(__xludf.DUMMYFUNCTION("""COMPUTED_VALUE"""),"Selesai")</f>
        <v>Selesai</v>
      </c>
      <c r="L2794" s="17">
        <f>IFERROR(__xludf.DUMMYFUNCTION("""COMPUTED_VALUE"""),45842.59162516204)</f>
        <v>45842.59163</v>
      </c>
      <c r="M2794" s="13"/>
      <c r="N2794" s="13" t="str">
        <f>IFERROR(__xludf.DUMMYFUNCTION("""COMPUTED_VALUE"""),"")</f>
        <v/>
      </c>
      <c r="O2794" s="13" t="str">
        <f t="shared" si="1"/>
        <v/>
      </c>
    </row>
    <row r="2795" ht="22.5" customHeight="1">
      <c r="B2795" s="13">
        <f>IFERROR(__xludf.DUMMYFUNCTION("""COMPUTED_VALUE"""),2790.0)</f>
        <v>2790</v>
      </c>
      <c r="C2795" s="13" t="str">
        <f>IFERROR(__xludf.DUMMYFUNCTION("""COMPUTED_VALUE"""),"B.820/SUMUR PUTRI")</f>
        <v>B.820/SUMUR PUTRI</v>
      </c>
      <c r="D2795" s="13" t="str">
        <f>IFERROR(__xludf.DUMMYFUNCTION("""COMPUTED_VALUE"""),"K/13/040625/1")</f>
        <v>K/13/040625/1</v>
      </c>
      <c r="E2795" s="14" t="str">
        <f>IFERROR(__xludf.DUMMYFUNCTION("""COMPUTED_VALUE"""),"Afriza (BT)")</f>
        <v>Afriza (BT)</v>
      </c>
      <c r="F2795" s="14" t="str">
        <f>IFERROR(__xludf.DUMMYFUNCTION("""COMPUTED_VALUE"""),"SELESAI (VIA PERMOHONAN)")</f>
        <v>SELESAI (VIA PERMOHONAN)</v>
      </c>
      <c r="G2795" s="17">
        <f>IFERROR(__xludf.DUMMYFUNCTION("""COMPUTED_VALUE"""),45841.38719550926)</f>
        <v>45841.3872</v>
      </c>
      <c r="H2795" s="14" t="str">
        <f>IFERROR(__xludf.DUMMYFUNCTION("""COMPUTED_VALUE"""),"Eci (SU)")</f>
        <v>Eci (SU)</v>
      </c>
      <c r="I2795" s="13" t="str">
        <f>IFERROR(__xludf.DUMMYFUNCTION("""COMPUTED_VALUE"""),"SELESAI (VIA PERMOHONAN)")</f>
        <v>SELESAI (VIA PERMOHONAN)</v>
      </c>
      <c r="J2795" s="17">
        <f>IFERROR(__xludf.DUMMYFUNCTION("""COMPUTED_VALUE"""),45842.59702375)</f>
        <v>45842.59702</v>
      </c>
      <c r="K2795" s="13" t="str">
        <f>IFERROR(__xludf.DUMMYFUNCTION("""COMPUTED_VALUE"""),"Selesai")</f>
        <v>Selesai</v>
      </c>
      <c r="L2795" s="17">
        <f>IFERROR(__xludf.DUMMYFUNCTION("""COMPUTED_VALUE"""),45842.59702375)</f>
        <v>45842.59702</v>
      </c>
      <c r="M2795" s="13"/>
      <c r="N2795" s="13" t="str">
        <f>IFERROR(__xludf.DUMMYFUNCTION("""COMPUTED_VALUE"""),"")</f>
        <v/>
      </c>
      <c r="O2795" s="13" t="str">
        <f t="shared" si="1"/>
        <v/>
      </c>
    </row>
    <row r="2796" ht="22.5" customHeight="1">
      <c r="B2796" s="13">
        <f>IFERROR(__xludf.DUMMYFUNCTION("""COMPUTED_VALUE"""),2791.0)</f>
        <v>2791</v>
      </c>
      <c r="C2796" s="13" t="str">
        <f>IFERROR(__xludf.DUMMYFUNCTION("""COMPUTED_VALUE"""),"M.138/RAJABASA JAYA")</f>
        <v>M.138/RAJABASA JAYA</v>
      </c>
      <c r="D2796" s="13" t="str">
        <f>IFERROR(__xludf.DUMMYFUNCTION("""COMPUTED_VALUE"""),"K/42/200625/1")</f>
        <v>K/42/200625/1</v>
      </c>
      <c r="E2796" s="14" t="str">
        <f>IFERROR(__xludf.DUMMYFUNCTION("""COMPUTED_VALUE"""),"Afriza (BT)")</f>
        <v>Afriza (BT)</v>
      </c>
      <c r="F2796" s="14" t="str">
        <f>IFERROR(__xludf.DUMMYFUNCTION("""COMPUTED_VALUE"""),"SELESAI (VIA PERMOHONAN)")</f>
        <v>SELESAI (VIA PERMOHONAN)</v>
      </c>
      <c r="G2796" s="17">
        <f>IFERROR(__xludf.DUMMYFUNCTION("""COMPUTED_VALUE"""),45841.38719550926)</f>
        <v>45841.3872</v>
      </c>
      <c r="H2796" s="14" t="str">
        <f>IFERROR(__xludf.DUMMYFUNCTION("""COMPUTED_VALUE"""),"Eci (SU)")</f>
        <v>Eci (SU)</v>
      </c>
      <c r="I2796" s="13" t="str">
        <f>IFERROR(__xludf.DUMMYFUNCTION("""COMPUTED_VALUE"""),"SELESAI (VIA PERMOHONAN)")</f>
        <v>SELESAI (VIA PERMOHONAN)</v>
      </c>
      <c r="J2796" s="17">
        <f>IFERROR(__xludf.DUMMYFUNCTION("""COMPUTED_VALUE"""),45842.595192442124)</f>
        <v>45842.59519</v>
      </c>
      <c r="K2796" s="13" t="str">
        <f>IFERROR(__xludf.DUMMYFUNCTION("""COMPUTED_VALUE"""),"Selesai")</f>
        <v>Selesai</v>
      </c>
      <c r="L2796" s="17">
        <f>IFERROR(__xludf.DUMMYFUNCTION("""COMPUTED_VALUE"""),45842.595192442124)</f>
        <v>45842.59519</v>
      </c>
      <c r="M2796" s="13"/>
      <c r="N2796" s="13" t="str">
        <f>IFERROR(__xludf.DUMMYFUNCTION("""COMPUTED_VALUE"""),"")</f>
        <v/>
      </c>
      <c r="O2796" s="13" t="str">
        <f t="shared" si="1"/>
        <v/>
      </c>
    </row>
    <row r="2797" ht="22.5" customHeight="1">
      <c r="B2797" s="13">
        <f>IFERROR(__xludf.DUMMYFUNCTION("""COMPUTED_VALUE"""),2792.0)</f>
        <v>2792</v>
      </c>
      <c r="C2797" s="13" t="str">
        <f>IFERROR(__xludf.DUMMYFUNCTION("""COMPUTED_VALUE"""),"B.149/SUMBEREJO SEJAHTERA")</f>
        <v>B.149/SUMBEREJO SEJAHTERA</v>
      </c>
      <c r="D2797" s="13" t="str">
        <f>IFERROR(__xludf.DUMMYFUNCTION("""COMPUTED_VALUE"""),"K/27/200625/1")</f>
        <v>K/27/200625/1</v>
      </c>
      <c r="E2797" s="14" t="str">
        <f>IFERROR(__xludf.DUMMYFUNCTION("""COMPUTED_VALUE"""),"Afriza (BT)")</f>
        <v>Afriza (BT)</v>
      </c>
      <c r="F2797" s="14" t="str">
        <f>IFERROR(__xludf.DUMMYFUNCTION("""COMPUTED_VALUE"""),"SELESAI (VIA PERMOHONAN)")</f>
        <v>SELESAI (VIA PERMOHONAN)</v>
      </c>
      <c r="G2797" s="17">
        <f>IFERROR(__xludf.DUMMYFUNCTION("""COMPUTED_VALUE"""),45841.38719550926)</f>
        <v>45841.3872</v>
      </c>
      <c r="H2797" s="14" t="str">
        <f>IFERROR(__xludf.DUMMYFUNCTION("""COMPUTED_VALUE"""),"Eci (SU)")</f>
        <v>Eci (SU)</v>
      </c>
      <c r="I2797" s="13" t="str">
        <f>IFERROR(__xludf.DUMMYFUNCTION("""COMPUTED_VALUE"""),"SELESAI (VIA PERMOHONAN)")</f>
        <v>SELESAI (VIA PERMOHONAN)</v>
      </c>
      <c r="J2797" s="17">
        <f>IFERROR(__xludf.DUMMYFUNCTION("""COMPUTED_VALUE"""),45842.61952900463)</f>
        <v>45842.61953</v>
      </c>
      <c r="K2797" s="13" t="str">
        <f>IFERROR(__xludf.DUMMYFUNCTION("""COMPUTED_VALUE"""),"Selesai")</f>
        <v>Selesai</v>
      </c>
      <c r="L2797" s="17">
        <f>IFERROR(__xludf.DUMMYFUNCTION("""COMPUTED_VALUE"""),45842.61952900463)</f>
        <v>45842.61953</v>
      </c>
      <c r="M2797" s="13"/>
      <c r="N2797" s="13" t="str">
        <f>IFERROR(__xludf.DUMMYFUNCTION("""COMPUTED_VALUE"""),"")</f>
        <v/>
      </c>
      <c r="O2797" s="13" t="str">
        <f t="shared" si="1"/>
        <v/>
      </c>
    </row>
    <row r="2798" ht="22.5" customHeight="1">
      <c r="B2798" s="13">
        <f>IFERROR(__xludf.DUMMYFUNCTION("""COMPUTED_VALUE"""),2793.0)</f>
        <v>2793</v>
      </c>
      <c r="C2798" s="13" t="str">
        <f>IFERROR(__xludf.DUMMYFUNCTION("""COMPUTED_VALUE"""),"M.6471/WAY KANDIS")</f>
        <v>M.6471/WAY KANDIS</v>
      </c>
      <c r="D2798" s="13" t="str">
        <f>IFERROR(__xludf.DUMMYFUNCTION("""COMPUTED_VALUE"""),"K/34/180625/2")</f>
        <v>K/34/180625/2</v>
      </c>
      <c r="E2798" s="14" t="str">
        <f>IFERROR(__xludf.DUMMYFUNCTION("""COMPUTED_VALUE"""),"Afriza (BT)")</f>
        <v>Afriza (BT)</v>
      </c>
      <c r="F2798" s="14" t="str">
        <f>IFERROR(__xludf.DUMMYFUNCTION("""COMPUTED_VALUE"""),"SELESAI (VIA PERMOHONAN)")</f>
        <v>SELESAI (VIA PERMOHONAN)</v>
      </c>
      <c r="G2798" s="17">
        <f>IFERROR(__xludf.DUMMYFUNCTION("""COMPUTED_VALUE"""),45841.38719550926)</f>
        <v>45841.3872</v>
      </c>
      <c r="H2798" s="14" t="str">
        <f>IFERROR(__xludf.DUMMYFUNCTION("""COMPUTED_VALUE"""),"Eci (SU)")</f>
        <v>Eci (SU)</v>
      </c>
      <c r="I2798" s="13" t="str">
        <f>IFERROR(__xludf.DUMMYFUNCTION("""COMPUTED_VALUE"""),"SELESAI (VIA PERMOHONAN)")</f>
        <v>SELESAI (VIA PERMOHONAN)</v>
      </c>
      <c r="J2798" s="17">
        <f>IFERROR(__xludf.DUMMYFUNCTION("""COMPUTED_VALUE"""),45842.59657649306)</f>
        <v>45842.59658</v>
      </c>
      <c r="K2798" s="13" t="str">
        <f>IFERROR(__xludf.DUMMYFUNCTION("""COMPUTED_VALUE"""),"Selesai")</f>
        <v>Selesai</v>
      </c>
      <c r="L2798" s="17">
        <f>IFERROR(__xludf.DUMMYFUNCTION("""COMPUTED_VALUE"""),45842.59657649306)</f>
        <v>45842.59658</v>
      </c>
      <c r="M2798" s="13"/>
      <c r="N2798" s="13" t="str">
        <f>IFERROR(__xludf.DUMMYFUNCTION("""COMPUTED_VALUE"""),"")</f>
        <v/>
      </c>
      <c r="O2798" s="13" t="str">
        <f t="shared" si="1"/>
        <v/>
      </c>
    </row>
    <row r="2799" ht="22.5" customHeight="1">
      <c r="B2799" s="13">
        <f>IFERROR(__xludf.DUMMYFUNCTION("""COMPUTED_VALUE"""),2794.0)</f>
        <v>2794</v>
      </c>
      <c r="C2799" s="13" t="str">
        <f>IFERROR(__xludf.DUMMYFUNCTION("""COMPUTED_VALUE"""),"B.769/ Sumur Putri")</f>
        <v>B.769/ Sumur Putri</v>
      </c>
      <c r="D2799" s="13" t="str">
        <f>IFERROR(__xludf.DUMMYFUNCTION("""COMPUTED_VALUE"""),"K/5/270525/2")</f>
        <v>K/5/270525/2</v>
      </c>
      <c r="E2799" s="14" t="str">
        <f>IFERROR(__xludf.DUMMYFUNCTION("""COMPUTED_VALUE"""),"Afriza (BT)")</f>
        <v>Afriza (BT)</v>
      </c>
      <c r="F2799" s="14" t="str">
        <f>IFERROR(__xludf.DUMMYFUNCTION("""COMPUTED_VALUE"""),"SELESAI (VIA PERMOHONAN)")</f>
        <v>SELESAI (VIA PERMOHONAN)</v>
      </c>
      <c r="G2799" s="17">
        <f>IFERROR(__xludf.DUMMYFUNCTION("""COMPUTED_VALUE"""),45841.38719550926)</f>
        <v>45841.3872</v>
      </c>
      <c r="H2799" s="14" t="str">
        <f>IFERROR(__xludf.DUMMYFUNCTION("""COMPUTED_VALUE"""),"Eci (SU)")</f>
        <v>Eci (SU)</v>
      </c>
      <c r="I2799" s="13" t="str">
        <f>IFERROR(__xludf.DUMMYFUNCTION("""COMPUTED_VALUE"""),"SELESAI (VIA PERMOHONAN)")</f>
        <v>SELESAI (VIA PERMOHONAN)</v>
      </c>
      <c r="J2799" s="17">
        <f>IFERROR(__xludf.DUMMYFUNCTION("""COMPUTED_VALUE"""),45842.59648638889)</f>
        <v>45842.59649</v>
      </c>
      <c r="K2799" s="13" t="str">
        <f>IFERROR(__xludf.DUMMYFUNCTION("""COMPUTED_VALUE"""),"Selesai")</f>
        <v>Selesai</v>
      </c>
      <c r="L2799" s="17">
        <f>IFERROR(__xludf.DUMMYFUNCTION("""COMPUTED_VALUE"""),45842.59648638889)</f>
        <v>45842.59649</v>
      </c>
      <c r="M2799" s="13"/>
      <c r="N2799" s="13" t="str">
        <f>IFERROR(__xludf.DUMMYFUNCTION("""COMPUTED_VALUE"""),"")</f>
        <v/>
      </c>
      <c r="O2799" s="13" t="str">
        <f t="shared" si="1"/>
        <v/>
      </c>
    </row>
    <row r="2800" ht="22.5" customHeight="1">
      <c r="B2800" s="13">
        <f>IFERROR(__xludf.DUMMYFUNCTION("""COMPUTED_VALUE"""),2795.0)</f>
        <v>2795</v>
      </c>
      <c r="C2800" s="13" t="str">
        <f>IFERROR(__xludf.DUMMYFUNCTION("""COMPUTED_VALUE"""),"M. 14163/ Rajabasa")</f>
        <v>M. 14163/ Rajabasa</v>
      </c>
      <c r="D2800" s="13" t="str">
        <f>IFERROR(__xludf.DUMMYFUNCTION("""COMPUTED_VALUE"""),"K/3/160625/1")</f>
        <v>K/3/160625/1</v>
      </c>
      <c r="E2800" s="14" t="str">
        <f>IFERROR(__xludf.DUMMYFUNCTION("""COMPUTED_VALUE"""),"Afriza (BT)")</f>
        <v>Afriza (BT)</v>
      </c>
      <c r="F2800" s="14" t="str">
        <f>IFERROR(__xludf.DUMMYFUNCTION("""COMPUTED_VALUE"""),"SELESAI (VIA PERMOHONAN)")</f>
        <v>SELESAI (VIA PERMOHONAN)</v>
      </c>
      <c r="G2800" s="17">
        <f>IFERROR(__xludf.DUMMYFUNCTION("""COMPUTED_VALUE"""),45841.390233576385)</f>
        <v>45841.39023</v>
      </c>
      <c r="H2800" s="14" t="str">
        <f>IFERROR(__xludf.DUMMYFUNCTION("""COMPUTED_VALUE"""),"Eci (SU)")</f>
        <v>Eci (SU)</v>
      </c>
      <c r="I2800" s="13" t="str">
        <f>IFERROR(__xludf.DUMMYFUNCTION("""COMPUTED_VALUE"""),"SELESAI (VIA PERMOHONAN)")</f>
        <v>SELESAI (VIA PERMOHONAN)</v>
      </c>
      <c r="J2800" s="17">
        <f>IFERROR(__xludf.DUMMYFUNCTION("""COMPUTED_VALUE"""),45842.596397534726)</f>
        <v>45842.5964</v>
      </c>
      <c r="K2800" s="13" t="str">
        <f>IFERROR(__xludf.DUMMYFUNCTION("""COMPUTED_VALUE"""),"Selesai")</f>
        <v>Selesai</v>
      </c>
      <c r="L2800" s="17">
        <f>IFERROR(__xludf.DUMMYFUNCTION("""COMPUTED_VALUE"""),45842.596397534726)</f>
        <v>45842.5964</v>
      </c>
      <c r="M2800" s="13"/>
      <c r="N2800" s="13" t="str">
        <f>IFERROR(__xludf.DUMMYFUNCTION("""COMPUTED_VALUE"""),"")</f>
        <v/>
      </c>
      <c r="O2800" s="13" t="str">
        <f t="shared" si="1"/>
        <v/>
      </c>
    </row>
    <row r="2801" ht="22.5" customHeight="1">
      <c r="B2801" s="13">
        <f>IFERROR(__xludf.DUMMYFUNCTION("""COMPUTED_VALUE"""),2796.0)</f>
        <v>2796</v>
      </c>
      <c r="C2801" s="13" t="str">
        <f>IFERROR(__xludf.DUMMYFUNCTION("""COMPUTED_VALUE"""),"M. 1756/LABUHAN RATU RAYA")</f>
        <v>M. 1756/LABUHAN RATU RAYA</v>
      </c>
      <c r="D2801" s="13" t="str">
        <f>IFERROR(__xludf.DUMMYFUNCTION("""COMPUTED_VALUE"""),"K/9/170625/1")</f>
        <v>K/9/170625/1</v>
      </c>
      <c r="E2801" s="14" t="str">
        <f>IFERROR(__xludf.DUMMYFUNCTION("""COMPUTED_VALUE"""),"Afriza (BT)")</f>
        <v>Afriza (BT)</v>
      </c>
      <c r="F2801" s="14" t="str">
        <f>IFERROR(__xludf.DUMMYFUNCTION("""COMPUTED_VALUE"""),"SELESAI (VIA PERMOHONAN)")</f>
        <v>SELESAI (VIA PERMOHONAN)</v>
      </c>
      <c r="G2801" s="17">
        <f>IFERROR(__xludf.DUMMYFUNCTION("""COMPUTED_VALUE"""),45841.39034078704)</f>
        <v>45841.39034</v>
      </c>
      <c r="H2801" s="14" t="str">
        <f>IFERROR(__xludf.DUMMYFUNCTION("""COMPUTED_VALUE"""),"Eci (SU)")</f>
        <v>Eci (SU)</v>
      </c>
      <c r="I2801" s="13" t="str">
        <f>IFERROR(__xludf.DUMMYFUNCTION("""COMPUTED_VALUE"""),"SELESAI (VIA PERMOHONAN)")</f>
        <v>SELESAI (VIA PERMOHONAN)</v>
      </c>
      <c r="J2801" s="17">
        <f>IFERROR(__xludf.DUMMYFUNCTION("""COMPUTED_VALUE"""),45842.59631365741)</f>
        <v>45842.59631</v>
      </c>
      <c r="K2801" s="13" t="str">
        <f>IFERROR(__xludf.DUMMYFUNCTION("""COMPUTED_VALUE"""),"Selesai")</f>
        <v>Selesai</v>
      </c>
      <c r="L2801" s="17">
        <f>IFERROR(__xludf.DUMMYFUNCTION("""COMPUTED_VALUE"""),45842.59631365741)</f>
        <v>45842.59631</v>
      </c>
      <c r="M2801" s="13"/>
      <c r="N2801" s="13" t="str">
        <f>IFERROR(__xludf.DUMMYFUNCTION("""COMPUTED_VALUE"""),"")</f>
        <v/>
      </c>
      <c r="O2801" s="13" t="str">
        <f t="shared" si="1"/>
        <v/>
      </c>
    </row>
    <row r="2802" ht="22.5" customHeight="1">
      <c r="B2802" s="13">
        <f>IFERROR(__xludf.DUMMYFUNCTION("""COMPUTED_VALUE"""),2797.0)</f>
        <v>2797</v>
      </c>
      <c r="C2802" s="13" t="str">
        <f>IFERROR(__xludf.DUMMYFUNCTION("""COMPUTED_VALUE"""),"M. 3408/TANJUNG SENANG")</f>
        <v>M. 3408/TANJUNG SENANG</v>
      </c>
      <c r="D2802" s="13" t="str">
        <f>IFERROR(__xludf.DUMMYFUNCTION("""COMPUTED_VALUE"""),"K/57/050625/1")</f>
        <v>K/57/050625/1</v>
      </c>
      <c r="E2802" s="14" t="str">
        <f>IFERROR(__xludf.DUMMYFUNCTION("""COMPUTED_VALUE"""),"Afriza (BT)")</f>
        <v>Afriza (BT)</v>
      </c>
      <c r="F2802" s="14" t="str">
        <f>IFERROR(__xludf.DUMMYFUNCTION("""COMPUTED_VALUE"""),"SELESAI (VIA PERMOHONAN)")</f>
        <v>SELESAI (VIA PERMOHONAN)</v>
      </c>
      <c r="G2802" s="17">
        <f>IFERROR(__xludf.DUMMYFUNCTION("""COMPUTED_VALUE"""),45841.39048100694)</f>
        <v>45841.39048</v>
      </c>
      <c r="H2802" s="14" t="str">
        <f>IFERROR(__xludf.DUMMYFUNCTION("""COMPUTED_VALUE"""),"Eci (SU)")</f>
        <v>Eci (SU)</v>
      </c>
      <c r="I2802" s="13" t="str">
        <f>IFERROR(__xludf.DUMMYFUNCTION("""COMPUTED_VALUE"""),"SELESAI (VIA PERMOHONAN)")</f>
        <v>SELESAI (VIA PERMOHONAN)</v>
      </c>
      <c r="J2802" s="17">
        <f>IFERROR(__xludf.DUMMYFUNCTION("""COMPUTED_VALUE"""),45842.596197384264)</f>
        <v>45842.5962</v>
      </c>
      <c r="K2802" s="13" t="str">
        <f>IFERROR(__xludf.DUMMYFUNCTION("""COMPUTED_VALUE"""),"Selesai")</f>
        <v>Selesai</v>
      </c>
      <c r="L2802" s="17">
        <f>IFERROR(__xludf.DUMMYFUNCTION("""COMPUTED_VALUE"""),45842.596197384264)</f>
        <v>45842.5962</v>
      </c>
      <c r="M2802" s="13"/>
      <c r="N2802" s="13" t="str">
        <f>IFERROR(__xludf.DUMMYFUNCTION("""COMPUTED_VALUE"""),"")</f>
        <v/>
      </c>
      <c r="O2802" s="13" t="str">
        <f t="shared" si="1"/>
        <v/>
      </c>
    </row>
    <row r="2803" ht="22.5" customHeight="1">
      <c r="B2803" s="13">
        <f>IFERROR(__xludf.DUMMYFUNCTION("""COMPUTED_VALUE"""),2798.0)</f>
        <v>2798</v>
      </c>
      <c r="C2803" s="13" t="str">
        <f>IFERROR(__xludf.DUMMYFUNCTION("""COMPUTED_VALUE"""),"B. 1782/SUKABUMI")</f>
        <v>B. 1782/SUKABUMI</v>
      </c>
      <c r="D2803" s="13" t="str">
        <f>IFERROR(__xludf.DUMMYFUNCTION("""COMPUTED_VALUE"""),"K/37/040625/1")</f>
        <v>K/37/040625/1</v>
      </c>
      <c r="E2803" s="14" t="str">
        <f>IFERROR(__xludf.DUMMYFUNCTION("""COMPUTED_VALUE"""),"Afriza (BT)")</f>
        <v>Afriza (BT)</v>
      </c>
      <c r="F2803" s="14" t="str">
        <f>IFERROR(__xludf.DUMMYFUNCTION("""COMPUTED_VALUE"""),"SELESAI (VIA PERMOHONAN)")</f>
        <v>SELESAI (VIA PERMOHONAN)</v>
      </c>
      <c r="G2803" s="17">
        <f>IFERROR(__xludf.DUMMYFUNCTION("""COMPUTED_VALUE"""),45841.39064701389)</f>
        <v>45841.39065</v>
      </c>
      <c r="H2803" s="14" t="str">
        <f>IFERROR(__xludf.DUMMYFUNCTION("""COMPUTED_VALUE"""),"Eci (SU)")</f>
        <v>Eci (SU)</v>
      </c>
      <c r="I2803" s="13" t="str">
        <f>IFERROR(__xludf.DUMMYFUNCTION("""COMPUTED_VALUE"""),"SELESAI (VIA PERMOHONAN)")</f>
        <v>SELESAI (VIA PERMOHONAN)</v>
      </c>
      <c r="J2803" s="17">
        <f>IFERROR(__xludf.DUMMYFUNCTION("""COMPUTED_VALUE"""),45842.59397962963)</f>
        <v>45842.59398</v>
      </c>
      <c r="K2803" s="13" t="str">
        <f>IFERROR(__xludf.DUMMYFUNCTION("""COMPUTED_VALUE"""),"Selesai")</f>
        <v>Selesai</v>
      </c>
      <c r="L2803" s="17">
        <f>IFERROR(__xludf.DUMMYFUNCTION("""COMPUTED_VALUE"""),45842.59397962963)</f>
        <v>45842.59398</v>
      </c>
      <c r="M2803" s="13"/>
      <c r="N2803" s="13" t="str">
        <f>IFERROR(__xludf.DUMMYFUNCTION("""COMPUTED_VALUE"""),"")</f>
        <v/>
      </c>
      <c r="O2803" s="13" t="str">
        <f t="shared" si="1"/>
        <v/>
      </c>
    </row>
    <row r="2804" ht="22.5" customHeight="1">
      <c r="B2804" s="13">
        <f>IFERROR(__xludf.DUMMYFUNCTION("""COMPUTED_VALUE"""),2799.0)</f>
        <v>2799</v>
      </c>
      <c r="C2804" s="13" t="str">
        <f>IFERROR(__xludf.DUMMYFUNCTION("""COMPUTED_VALUE"""),"M.396/WAY GUBAK")</f>
        <v>M.396/WAY GUBAK</v>
      </c>
      <c r="D2804" s="13" t="str">
        <f>IFERROR(__xludf.DUMMYFUNCTION("""COMPUTED_VALUE"""),"K/3/170125/1")</f>
        <v>K/3/170125/1</v>
      </c>
      <c r="E2804" s="14" t="str">
        <f>IFERROR(__xludf.DUMMYFUNCTION("""COMPUTED_VALUE"""),"Afriza (BT)")</f>
        <v>Afriza (BT)</v>
      </c>
      <c r="F2804" s="14" t="str">
        <f>IFERROR(__xludf.DUMMYFUNCTION("""COMPUTED_VALUE"""),"SELESAI (VIA PERMOHONAN)")</f>
        <v>SELESAI (VIA PERMOHONAN)</v>
      </c>
      <c r="G2804" s="17">
        <f>IFERROR(__xludf.DUMMYFUNCTION("""COMPUTED_VALUE"""),45841.39078052083)</f>
        <v>45841.39078</v>
      </c>
      <c r="H2804" s="14" t="str">
        <f>IFERROR(__xludf.DUMMYFUNCTION("""COMPUTED_VALUE"""),"Eci (SU)")</f>
        <v>Eci (SU)</v>
      </c>
      <c r="I2804" s="13" t="str">
        <f>IFERROR(__xludf.DUMMYFUNCTION("""COMPUTED_VALUE"""),"SELESAI (VIA PERMOHONAN)")</f>
        <v>SELESAI (VIA PERMOHONAN)</v>
      </c>
      <c r="J2804" s="17">
        <f>IFERROR(__xludf.DUMMYFUNCTION("""COMPUTED_VALUE"""),45842.59579478009)</f>
        <v>45842.59579</v>
      </c>
      <c r="K2804" s="13" t="str">
        <f>IFERROR(__xludf.DUMMYFUNCTION("""COMPUTED_VALUE"""),"Selesai")</f>
        <v>Selesai</v>
      </c>
      <c r="L2804" s="17">
        <f>IFERROR(__xludf.DUMMYFUNCTION("""COMPUTED_VALUE"""),45842.59579478009)</f>
        <v>45842.59579</v>
      </c>
      <c r="M2804" s="13"/>
      <c r="N2804" s="13" t="str">
        <f>IFERROR(__xludf.DUMMYFUNCTION("""COMPUTED_VALUE"""),"")</f>
        <v/>
      </c>
      <c r="O2804" s="13" t="str">
        <f t="shared" si="1"/>
        <v/>
      </c>
    </row>
    <row r="2805" ht="22.5" customHeight="1">
      <c r="B2805" s="13">
        <f>IFERROR(__xludf.DUMMYFUNCTION("""COMPUTED_VALUE"""),2800.0)</f>
        <v>2800</v>
      </c>
      <c r="C2805" s="13" t="str">
        <f>IFERROR(__xludf.DUMMYFUNCTION("""COMPUTED_VALUE"""),"M. 1038/ Sukarame")</f>
        <v>M. 1038/ Sukarame</v>
      </c>
      <c r="D2805" s="13" t="str">
        <f>IFERROR(__xludf.DUMMYFUNCTION("""COMPUTED_VALUE"""),"")</f>
        <v/>
      </c>
      <c r="E2805" s="14" t="str">
        <f>IFERROR(__xludf.DUMMYFUNCTION("""COMPUTED_VALUE"""),"Afriza (BT)")</f>
        <v>Afriza (BT)</v>
      </c>
      <c r="F2805" s="14" t="str">
        <f>IFERROR(__xludf.DUMMYFUNCTION("""COMPUTED_VALUE"""),"SELESAI (VIA PERMOHONAN)")</f>
        <v>SELESAI (VIA PERMOHONAN)</v>
      </c>
      <c r="G2805" s="17">
        <f>IFERROR(__xludf.DUMMYFUNCTION("""COMPUTED_VALUE"""),45841.390985405094)</f>
        <v>45841.39099</v>
      </c>
      <c r="H2805" s="14" t="str">
        <f>IFERROR(__xludf.DUMMYFUNCTION("""COMPUTED_VALUE"""),"Eci (SU)")</f>
        <v>Eci (SU)</v>
      </c>
      <c r="I2805" s="13" t="str">
        <f>IFERROR(__xludf.DUMMYFUNCTION("""COMPUTED_VALUE"""),"SELESAI (VIA PERMOHONAN)")</f>
        <v>SELESAI (VIA PERMOHONAN)</v>
      </c>
      <c r="J2805" s="17">
        <f>IFERROR(__xludf.DUMMYFUNCTION("""COMPUTED_VALUE"""),45842.59561704861)</f>
        <v>45842.59562</v>
      </c>
      <c r="K2805" s="13" t="str">
        <f>IFERROR(__xludf.DUMMYFUNCTION("""COMPUTED_VALUE"""),"")</f>
        <v/>
      </c>
      <c r="L2805" s="13" t="str">
        <f>IFERROR(__xludf.DUMMYFUNCTION("""COMPUTED_VALUE"""),"")</f>
        <v/>
      </c>
      <c r="M2805" s="13"/>
      <c r="N2805" s="13" t="str">
        <f>IFERROR(__xludf.DUMMYFUNCTION("""COMPUTED_VALUE"""),"")</f>
        <v/>
      </c>
      <c r="O2805" s="13" t="str">
        <f t="shared" si="1"/>
        <v/>
      </c>
    </row>
    <row r="2806" ht="22.5" customHeight="1">
      <c r="B2806" s="13">
        <f>IFERROR(__xludf.DUMMYFUNCTION("""COMPUTED_VALUE"""),2801.0)</f>
        <v>2801</v>
      </c>
      <c r="C2806" s="13" t="str">
        <f>IFERROR(__xludf.DUMMYFUNCTION("""COMPUTED_VALUE"""),"M. 1351/NEGERI OLOK GADING")</f>
        <v>M. 1351/NEGERI OLOK GADING</v>
      </c>
      <c r="D2806" s="13" t="str">
        <f>IFERROR(__xludf.DUMMYFUNCTION("""COMPUTED_VALUE"""),"K/41/120625/1")</f>
        <v>K/41/120625/1</v>
      </c>
      <c r="E2806" s="14" t="str">
        <f>IFERROR(__xludf.DUMMYFUNCTION("""COMPUTED_VALUE"""),"Afriza (BT)")</f>
        <v>Afriza (BT)</v>
      </c>
      <c r="F2806" s="14" t="str">
        <f>IFERROR(__xludf.DUMMYFUNCTION("""COMPUTED_VALUE"""),"SELESAI (VIA PERMOHONAN)")</f>
        <v>SELESAI (VIA PERMOHONAN)</v>
      </c>
      <c r="G2806" s="17">
        <f>IFERROR(__xludf.DUMMYFUNCTION("""COMPUTED_VALUE"""),45841.39109984954)</f>
        <v>45841.3911</v>
      </c>
      <c r="H2806" s="14" t="str">
        <f>IFERROR(__xludf.DUMMYFUNCTION("""COMPUTED_VALUE"""),"Eci (SU)")</f>
        <v>Eci (SU)</v>
      </c>
      <c r="I2806" s="13" t="str">
        <f>IFERROR(__xludf.DUMMYFUNCTION("""COMPUTED_VALUE"""),"SELESAI (VIA PERMOHONAN)")</f>
        <v>SELESAI (VIA PERMOHONAN)</v>
      </c>
      <c r="J2806" s="17">
        <f>IFERROR(__xludf.DUMMYFUNCTION("""COMPUTED_VALUE"""),45842.595691967595)</f>
        <v>45842.59569</v>
      </c>
      <c r="K2806" s="13" t="str">
        <f>IFERROR(__xludf.DUMMYFUNCTION("""COMPUTED_VALUE"""),"Selesai")</f>
        <v>Selesai</v>
      </c>
      <c r="L2806" s="17">
        <f>IFERROR(__xludf.DUMMYFUNCTION("""COMPUTED_VALUE"""),45842.595691967595)</f>
        <v>45842.59569</v>
      </c>
      <c r="M2806" s="13"/>
      <c r="N2806" s="13" t="str">
        <f>IFERROR(__xludf.DUMMYFUNCTION("""COMPUTED_VALUE"""),"")</f>
        <v/>
      </c>
      <c r="O2806" s="13" t="str">
        <f t="shared" si="1"/>
        <v/>
      </c>
    </row>
    <row r="2807" ht="22.5" customHeight="1">
      <c r="B2807" s="13">
        <f>IFERROR(__xludf.DUMMYFUNCTION("""COMPUTED_VALUE"""),2802.0)</f>
        <v>2802</v>
      </c>
      <c r="C2807" s="13" t="str">
        <f>IFERROR(__xludf.DUMMYFUNCTION("""COMPUTED_VALUE"""),"M. 15585/ Sukabumi")</f>
        <v>M. 15585/ Sukabumi</v>
      </c>
      <c r="D2807" s="13" t="str">
        <f>IFERROR(__xludf.DUMMYFUNCTION("""COMPUTED_VALUE"""),"K/1/180625/1")</f>
        <v>K/1/180625/1</v>
      </c>
      <c r="E2807" s="14" t="str">
        <f>IFERROR(__xludf.DUMMYFUNCTION("""COMPUTED_VALUE"""),"Afriza (BT)")</f>
        <v>Afriza (BT)</v>
      </c>
      <c r="F2807" s="14" t="str">
        <f>IFERROR(__xludf.DUMMYFUNCTION("""COMPUTED_VALUE"""),"SELESAI (VIA PERMOHONAN)")</f>
        <v>SELESAI (VIA PERMOHONAN)</v>
      </c>
      <c r="G2807" s="17">
        <f>IFERROR(__xludf.DUMMYFUNCTION("""COMPUTED_VALUE"""),45841.39120157408)</f>
        <v>45841.3912</v>
      </c>
      <c r="H2807" s="14" t="str">
        <f>IFERROR(__xludf.DUMMYFUNCTION("""COMPUTED_VALUE"""),"Eci (SU)")</f>
        <v>Eci (SU)</v>
      </c>
      <c r="I2807" s="13" t="str">
        <f>IFERROR(__xludf.DUMMYFUNCTION("""COMPUTED_VALUE"""),"SELESAI (VIA PERMOHONAN)")</f>
        <v>SELESAI (VIA PERMOHONAN)</v>
      </c>
      <c r="J2807" s="17">
        <f>IFERROR(__xludf.DUMMYFUNCTION("""COMPUTED_VALUE"""),45842.59549229167)</f>
        <v>45842.59549</v>
      </c>
      <c r="K2807" s="13" t="str">
        <f>IFERROR(__xludf.DUMMYFUNCTION("""COMPUTED_VALUE"""),"Selesai")</f>
        <v>Selesai</v>
      </c>
      <c r="L2807" s="17">
        <f>IFERROR(__xludf.DUMMYFUNCTION("""COMPUTED_VALUE"""),45842.59549229167)</f>
        <v>45842.59549</v>
      </c>
      <c r="M2807" s="13"/>
      <c r="N2807" s="13" t="str">
        <f>IFERROR(__xludf.DUMMYFUNCTION("""COMPUTED_VALUE"""),"")</f>
        <v/>
      </c>
      <c r="O2807" s="13" t="str">
        <f t="shared" si="1"/>
        <v/>
      </c>
    </row>
    <row r="2808" ht="22.5" customHeight="1">
      <c r="B2808" s="13">
        <f>IFERROR(__xludf.DUMMYFUNCTION("""COMPUTED_VALUE"""),2803.0)</f>
        <v>2803</v>
      </c>
      <c r="C2808" s="13" t="str">
        <f>IFERROR(__xludf.DUMMYFUNCTION("""COMPUTED_VALUE"""),"HM 970/SUMBER REJO")</f>
        <v>HM 970/SUMBER REJO</v>
      </c>
      <c r="D2808" s="13" t="str">
        <f>IFERROR(__xludf.DUMMYFUNCTION("""COMPUTED_VALUE"""),"L/31/270525/1")</f>
        <v>L/31/270525/1</v>
      </c>
      <c r="E2808" s="14" t="str">
        <f>IFERROR(__xludf.DUMMYFUNCTION("""COMPUTED_VALUE"""),"Afriza (BT)")</f>
        <v>Afriza (BT)</v>
      </c>
      <c r="F2808" s="14" t="str">
        <f>IFERROR(__xludf.DUMMYFUNCTION("""COMPUTED_VALUE"""),"SELESAI (VIA PERMOHONAN)")</f>
        <v>SELESAI (VIA PERMOHONAN)</v>
      </c>
      <c r="G2808" s="17">
        <f>IFERROR(__xludf.DUMMYFUNCTION("""COMPUTED_VALUE"""),45841.391308252314)</f>
        <v>45841.39131</v>
      </c>
      <c r="H2808" s="14" t="str">
        <f>IFERROR(__xludf.DUMMYFUNCTION("""COMPUTED_VALUE"""),"Eci (SU)")</f>
        <v>Eci (SU)</v>
      </c>
      <c r="I2808" s="13" t="str">
        <f>IFERROR(__xludf.DUMMYFUNCTION("""COMPUTED_VALUE"""),"SELESAI (VIA PERMOHONAN)")</f>
        <v>SELESAI (VIA PERMOHONAN)</v>
      </c>
      <c r="J2808" s="17">
        <f>IFERROR(__xludf.DUMMYFUNCTION("""COMPUTED_VALUE"""),45842.5954124537)</f>
        <v>45842.59541</v>
      </c>
      <c r="K2808" s="13" t="str">
        <f>IFERROR(__xludf.DUMMYFUNCTION("""COMPUTED_VALUE"""),"Selesai")</f>
        <v>Selesai</v>
      </c>
      <c r="L2808" s="17">
        <f>IFERROR(__xludf.DUMMYFUNCTION("""COMPUTED_VALUE"""),45842.5954124537)</f>
        <v>45842.59541</v>
      </c>
      <c r="M2808" s="13"/>
      <c r="N2808" s="13" t="str">
        <f>IFERROR(__xludf.DUMMYFUNCTION("""COMPUTED_VALUE"""),"")</f>
        <v/>
      </c>
      <c r="O2808" s="13" t="str">
        <f t="shared" si="1"/>
        <v/>
      </c>
    </row>
    <row r="2809" ht="22.5" customHeight="1">
      <c r="B2809" s="13">
        <f>IFERROR(__xludf.DUMMYFUNCTION("""COMPUTED_VALUE"""),2804.0)</f>
        <v>2804</v>
      </c>
      <c r="C2809" s="13" t="str">
        <f>IFERROR(__xludf.DUMMYFUNCTION("""COMPUTED_VALUE"""),"M. 11031/ Gedong Meneng")</f>
        <v>M. 11031/ Gedong Meneng</v>
      </c>
      <c r="D2809" s="13" t="str">
        <f>IFERROR(__xludf.DUMMYFUNCTION("""COMPUTED_VALUE"""),"K/6/180625/2")</f>
        <v>K/6/180625/2</v>
      </c>
      <c r="E2809" s="14" t="str">
        <f>IFERROR(__xludf.DUMMYFUNCTION("""COMPUTED_VALUE"""),"Heri (BT)")</f>
        <v>Heri (BT)</v>
      </c>
      <c r="F2809" s="14" t="str">
        <f>IFERROR(__xludf.DUMMYFUNCTION("""COMPUTED_VALUE"""),"SELESAI (VIA PERMOHONAN)")</f>
        <v>SELESAI (VIA PERMOHONAN)</v>
      </c>
      <c r="G2809" s="17">
        <f>IFERROR(__xludf.DUMMYFUNCTION("""COMPUTED_VALUE"""),45841.735291516205)</f>
        <v>45841.73529</v>
      </c>
      <c r="H2809" s="14" t="str">
        <f>IFERROR(__xludf.DUMMYFUNCTION("""COMPUTED_VALUE"""),"Eci (SU)")</f>
        <v>Eci (SU)</v>
      </c>
      <c r="I2809" s="13" t="str">
        <f>IFERROR(__xludf.DUMMYFUNCTION("""COMPUTED_VALUE"""),"SELESAI (VIA PERMOHONAN)")</f>
        <v>SELESAI (VIA PERMOHONAN)</v>
      </c>
      <c r="J2809" s="17">
        <f>IFERROR(__xludf.DUMMYFUNCTION("""COMPUTED_VALUE"""),45842.592260578705)</f>
        <v>45842.59226</v>
      </c>
      <c r="K2809" s="13" t="str">
        <f>IFERROR(__xludf.DUMMYFUNCTION("""COMPUTED_VALUE"""),"Selesai")</f>
        <v>Selesai</v>
      </c>
      <c r="L2809" s="17">
        <f>IFERROR(__xludf.DUMMYFUNCTION("""COMPUTED_VALUE"""),45842.592260578705)</f>
        <v>45842.59226</v>
      </c>
      <c r="M2809" s="13"/>
      <c r="N2809" s="13" t="str">
        <f>IFERROR(__xludf.DUMMYFUNCTION("""COMPUTED_VALUE"""),"")</f>
        <v/>
      </c>
      <c r="O2809" s="13" t="str">
        <f t="shared" si="1"/>
        <v/>
      </c>
    </row>
    <row r="2810" ht="22.5" customHeight="1">
      <c r="B2810" s="13">
        <f>IFERROR(__xludf.DUMMYFUNCTION("""COMPUTED_VALUE"""),2805.0)</f>
        <v>2805</v>
      </c>
      <c r="C2810" s="13" t="str">
        <f>IFERROR(__xludf.DUMMYFUNCTION("""COMPUTED_VALUE"""),"M. 1766/ Keteguhan")</f>
        <v>M. 1766/ Keteguhan</v>
      </c>
      <c r="D2810" s="13" t="str">
        <f>IFERROR(__xludf.DUMMYFUNCTION("""COMPUTED_VALUE"""),"K/5/170625/1")</f>
        <v>K/5/170625/1</v>
      </c>
      <c r="E2810" s="14" t="str">
        <f>IFERROR(__xludf.DUMMYFUNCTION("""COMPUTED_VALUE"""),"Heri (BT)")</f>
        <v>Heri (BT)</v>
      </c>
      <c r="F2810" s="14" t="str">
        <f>IFERROR(__xludf.DUMMYFUNCTION("""COMPUTED_VALUE"""),"SELESAI (VIA PERMOHONAN)")</f>
        <v>SELESAI (VIA PERMOHONAN)</v>
      </c>
      <c r="G2810" s="17">
        <f>IFERROR(__xludf.DUMMYFUNCTION("""COMPUTED_VALUE"""),45841.735616805556)</f>
        <v>45841.73562</v>
      </c>
      <c r="H2810" s="14" t="str">
        <f>IFERROR(__xludf.DUMMYFUNCTION("""COMPUTED_VALUE"""),"Eci (SU)")</f>
        <v>Eci (SU)</v>
      </c>
      <c r="I2810" s="13" t="str">
        <f>IFERROR(__xludf.DUMMYFUNCTION("""COMPUTED_VALUE"""),"SELESAI (VIA PERMOHONAN)")</f>
        <v>SELESAI (VIA PERMOHONAN)</v>
      </c>
      <c r="J2810" s="17">
        <f>IFERROR(__xludf.DUMMYFUNCTION("""COMPUTED_VALUE"""),45842.59249512732)</f>
        <v>45842.5925</v>
      </c>
      <c r="K2810" s="13" t="str">
        <f>IFERROR(__xludf.DUMMYFUNCTION("""COMPUTED_VALUE"""),"Selesai")</f>
        <v>Selesai</v>
      </c>
      <c r="L2810" s="17">
        <f>IFERROR(__xludf.DUMMYFUNCTION("""COMPUTED_VALUE"""),45842.59249512732)</f>
        <v>45842.5925</v>
      </c>
      <c r="M2810" s="13"/>
      <c r="N2810" s="13" t="str">
        <f>IFERROR(__xludf.DUMMYFUNCTION("""COMPUTED_VALUE"""),"")</f>
        <v/>
      </c>
      <c r="O2810" s="13" t="str">
        <f t="shared" si="1"/>
        <v/>
      </c>
    </row>
    <row r="2811" ht="22.5" customHeight="1">
      <c r="B2811" s="13">
        <f>IFERROR(__xludf.DUMMYFUNCTION("""COMPUTED_VALUE"""),2806.0)</f>
        <v>2806</v>
      </c>
      <c r="C2811" s="13" t="str">
        <f>IFERROR(__xludf.DUMMYFUNCTION("""COMPUTED_VALUE"""),"M. 10383/ Segala Mider")</f>
        <v>M. 10383/ Segala Mider</v>
      </c>
      <c r="D2811" s="13" t="str">
        <f>IFERROR(__xludf.DUMMYFUNCTION("""COMPUTED_VALUE"""),"K/37/160635/2")</f>
        <v>K/37/160635/2</v>
      </c>
      <c r="E2811" s="14" t="str">
        <f>IFERROR(__xludf.DUMMYFUNCTION("""COMPUTED_VALUE"""),"Heri (BT)")</f>
        <v>Heri (BT)</v>
      </c>
      <c r="F2811" s="14" t="str">
        <f>IFERROR(__xludf.DUMMYFUNCTION("""COMPUTED_VALUE"""),"SELESAI (VIA PERMOHONAN)")</f>
        <v>SELESAI (VIA PERMOHONAN)</v>
      </c>
      <c r="G2811" s="17">
        <f>IFERROR(__xludf.DUMMYFUNCTION("""COMPUTED_VALUE"""),45841.735739930555)</f>
        <v>45841.73574</v>
      </c>
      <c r="H2811" s="14" t="str">
        <f>IFERROR(__xludf.DUMMYFUNCTION("""COMPUTED_VALUE"""),"Eci (SU)")</f>
        <v>Eci (SU)</v>
      </c>
      <c r="I2811" s="13" t="str">
        <f>IFERROR(__xludf.DUMMYFUNCTION("""COMPUTED_VALUE"""),"SELESAI (VIA PERMOHONAN)")</f>
        <v>SELESAI (VIA PERMOHONAN)</v>
      </c>
      <c r="J2811" s="17">
        <f>IFERROR(__xludf.DUMMYFUNCTION("""COMPUTED_VALUE"""),45842.6191677662)</f>
        <v>45842.61917</v>
      </c>
      <c r="K2811" s="13" t="str">
        <f>IFERROR(__xludf.DUMMYFUNCTION("""COMPUTED_VALUE"""),"Selesai")</f>
        <v>Selesai</v>
      </c>
      <c r="L2811" s="17">
        <f>IFERROR(__xludf.DUMMYFUNCTION("""COMPUTED_VALUE"""),45842.6191677662)</f>
        <v>45842.61917</v>
      </c>
      <c r="M2811" s="13"/>
      <c r="N2811" s="13" t="str">
        <f>IFERROR(__xludf.DUMMYFUNCTION("""COMPUTED_VALUE"""),"")</f>
        <v/>
      </c>
      <c r="O2811" s="13" t="str">
        <f t="shared" si="1"/>
        <v/>
      </c>
    </row>
    <row r="2812" ht="22.5" customHeight="1">
      <c r="B2812" s="13">
        <f>IFERROR(__xludf.DUMMYFUNCTION("""COMPUTED_VALUE"""),2807.0)</f>
        <v>2807</v>
      </c>
      <c r="C2812" s="13" t="str">
        <f>IFERROR(__xludf.DUMMYFUNCTION("""COMPUTED_VALUE"""),"M. 1281/ Kelapa Tiga ")</f>
        <v>M. 1281/ Kelapa Tiga </v>
      </c>
      <c r="D2812" s="13" t="str">
        <f>IFERROR(__xludf.DUMMYFUNCTION("""COMPUTED_VALUE"""),"K/19/200625/1")</f>
        <v>K/19/200625/1</v>
      </c>
      <c r="E2812" s="14" t="str">
        <f>IFERROR(__xludf.DUMMYFUNCTION("""COMPUTED_VALUE"""),"Heri (BT)")</f>
        <v>Heri (BT)</v>
      </c>
      <c r="F2812" s="14" t="str">
        <f>IFERROR(__xludf.DUMMYFUNCTION("""COMPUTED_VALUE"""),"SELESAI (VIA PERMOHONAN)")</f>
        <v>SELESAI (VIA PERMOHONAN)</v>
      </c>
      <c r="G2812" s="17">
        <f>IFERROR(__xludf.DUMMYFUNCTION("""COMPUTED_VALUE"""),45841.73584165509)</f>
        <v>45841.73584</v>
      </c>
      <c r="H2812" s="14" t="str">
        <f>IFERROR(__xludf.DUMMYFUNCTION("""COMPUTED_VALUE"""),"Eci (SU)")</f>
        <v>Eci (SU)</v>
      </c>
      <c r="I2812" s="13" t="str">
        <f>IFERROR(__xludf.DUMMYFUNCTION("""COMPUTED_VALUE"""),"SELESAI (VIA PERMOHONAN)")</f>
        <v>SELESAI (VIA PERMOHONAN)</v>
      </c>
      <c r="J2812" s="17">
        <f>IFERROR(__xludf.DUMMYFUNCTION("""COMPUTED_VALUE"""),45842.61906473379)</f>
        <v>45842.61906</v>
      </c>
      <c r="K2812" s="13" t="str">
        <f>IFERROR(__xludf.DUMMYFUNCTION("""COMPUTED_VALUE"""),"Selesai")</f>
        <v>Selesai</v>
      </c>
      <c r="L2812" s="17">
        <f>IFERROR(__xludf.DUMMYFUNCTION("""COMPUTED_VALUE"""),45842.61906473379)</f>
        <v>45842.61906</v>
      </c>
      <c r="M2812" s="13"/>
      <c r="N2812" s="13" t="str">
        <f>IFERROR(__xludf.DUMMYFUNCTION("""COMPUTED_VALUE"""),"")</f>
        <v/>
      </c>
      <c r="O2812" s="13" t="str">
        <f t="shared" si="1"/>
        <v/>
      </c>
    </row>
    <row r="2813" ht="22.5" customHeight="1">
      <c r="B2813" s="13">
        <f>IFERROR(__xludf.DUMMYFUNCTION("""COMPUTED_VALUE"""),2808.0)</f>
        <v>2808</v>
      </c>
      <c r="C2813" s="13" t="str">
        <f>IFERROR(__xludf.DUMMYFUNCTION("""COMPUTED_VALUE"""),"M. 3370/ Kemiling Permai")</f>
        <v>M. 3370/ Kemiling Permai</v>
      </c>
      <c r="D2813" s="13" t="str">
        <f>IFERROR(__xludf.DUMMYFUNCTION("""COMPUTED_VALUE"""),"K/10/200625/1")</f>
        <v>K/10/200625/1</v>
      </c>
      <c r="E2813" s="14" t="str">
        <f>IFERROR(__xludf.DUMMYFUNCTION("""COMPUTED_VALUE"""),"Heri (BT)")</f>
        <v>Heri (BT)</v>
      </c>
      <c r="F2813" s="14" t="str">
        <f>IFERROR(__xludf.DUMMYFUNCTION("""COMPUTED_VALUE"""),"SELESAI (VIA PERMOHONAN)")</f>
        <v>SELESAI (VIA PERMOHONAN)</v>
      </c>
      <c r="G2813" s="17">
        <f>IFERROR(__xludf.DUMMYFUNCTION("""COMPUTED_VALUE"""),45841.736005694445)</f>
        <v>45841.73601</v>
      </c>
      <c r="H2813" s="14" t="str">
        <f>IFERROR(__xludf.DUMMYFUNCTION("""COMPUTED_VALUE"""),"Eci (SU)")</f>
        <v>Eci (SU)</v>
      </c>
      <c r="I2813" s="13" t="str">
        <f>IFERROR(__xludf.DUMMYFUNCTION("""COMPUTED_VALUE"""),"SELESAI (VIA PERMOHONAN)")</f>
        <v>SELESAI (VIA PERMOHONAN)</v>
      </c>
      <c r="J2813" s="17">
        <f>IFERROR(__xludf.DUMMYFUNCTION("""COMPUTED_VALUE"""),45842.61897280093)</f>
        <v>45842.61897</v>
      </c>
      <c r="K2813" s="13" t="str">
        <f>IFERROR(__xludf.DUMMYFUNCTION("""COMPUTED_VALUE"""),"Selesai")</f>
        <v>Selesai</v>
      </c>
      <c r="L2813" s="17">
        <f>IFERROR(__xludf.DUMMYFUNCTION("""COMPUTED_VALUE"""),45842.61897280093)</f>
        <v>45842.61897</v>
      </c>
      <c r="M2813" s="13"/>
      <c r="N2813" s="13" t="str">
        <f>IFERROR(__xludf.DUMMYFUNCTION("""COMPUTED_VALUE"""),"")</f>
        <v/>
      </c>
      <c r="O2813" s="13" t="str">
        <f t="shared" si="1"/>
        <v/>
      </c>
    </row>
    <row r="2814" ht="22.5" customHeight="1">
      <c r="B2814" s="13">
        <f>IFERROR(__xludf.DUMMYFUNCTION("""COMPUTED_VALUE"""),2809.0)</f>
        <v>2809</v>
      </c>
      <c r="C2814" s="13" t="str">
        <f>IFERROR(__xludf.DUMMYFUNCTION("""COMPUTED_VALUE"""),"HM 16958/SUKARAME")</f>
        <v>HM 16958/SUKARAME</v>
      </c>
      <c r="D2814" s="13" t="str">
        <f>IFERROR(__xludf.DUMMYFUNCTION("""COMPUTED_VALUE"""),"L/12/240625/1")</f>
        <v>L/12/240625/1</v>
      </c>
      <c r="E2814" s="14" t="str">
        <f>IFERROR(__xludf.DUMMYFUNCTION("""COMPUTED_VALUE"""),"Heri (BT)")</f>
        <v>Heri (BT)</v>
      </c>
      <c r="F2814" s="14" t="str">
        <f>IFERROR(__xludf.DUMMYFUNCTION("""COMPUTED_VALUE"""),"SELESAI (VIA PERMOHONAN)")</f>
        <v>SELESAI (VIA PERMOHONAN)</v>
      </c>
      <c r="G2814" s="17">
        <f>IFERROR(__xludf.DUMMYFUNCTION("""COMPUTED_VALUE"""),45841.73617952546)</f>
        <v>45841.73618</v>
      </c>
      <c r="H2814" s="14" t="str">
        <f>IFERROR(__xludf.DUMMYFUNCTION("""COMPUTED_VALUE"""),"Eci (SU)")</f>
        <v>Eci (SU)</v>
      </c>
      <c r="I2814" s="13" t="str">
        <f>IFERROR(__xludf.DUMMYFUNCTION("""COMPUTED_VALUE"""),"SELESAI (VIA PERMOHONAN)")</f>
        <v>SELESAI (VIA PERMOHONAN)</v>
      </c>
      <c r="J2814" s="17">
        <f>IFERROR(__xludf.DUMMYFUNCTION("""COMPUTED_VALUE"""),45842.61889363426)</f>
        <v>45842.61889</v>
      </c>
      <c r="K2814" s="13" t="str">
        <f>IFERROR(__xludf.DUMMYFUNCTION("""COMPUTED_VALUE"""),"Selesai")</f>
        <v>Selesai</v>
      </c>
      <c r="L2814" s="17">
        <f>IFERROR(__xludf.DUMMYFUNCTION("""COMPUTED_VALUE"""),45842.61889363426)</f>
        <v>45842.61889</v>
      </c>
      <c r="M2814" s="13"/>
      <c r="N2814" s="13" t="str">
        <f>IFERROR(__xludf.DUMMYFUNCTION("""COMPUTED_VALUE"""),"")</f>
        <v/>
      </c>
      <c r="O2814" s="13" t="str">
        <f t="shared" si="1"/>
        <v/>
      </c>
    </row>
    <row r="2815" ht="22.5" customHeight="1">
      <c r="B2815" s="13">
        <f>IFERROR(__xludf.DUMMYFUNCTION("""COMPUTED_VALUE"""),2810.0)</f>
        <v>2810</v>
      </c>
      <c r="C2815" s="13" t="str">
        <f>IFERROR(__xludf.DUMMYFUNCTION("""COMPUTED_VALUE"""),"B. 2407/SUKARAME")</f>
        <v>B. 2407/SUKARAME</v>
      </c>
      <c r="D2815" s="13" t="str">
        <f>IFERROR(__xludf.DUMMYFUNCTION("""COMPUTED_VALUE"""),"K/27/010725/1")</f>
        <v>K/27/010725/1</v>
      </c>
      <c r="E2815" s="14" t="str">
        <f>IFERROR(__xludf.DUMMYFUNCTION("""COMPUTED_VALUE"""),"Heri (BT)")</f>
        <v>Heri (BT)</v>
      </c>
      <c r="F2815" s="14" t="str">
        <f>IFERROR(__xludf.DUMMYFUNCTION("""COMPUTED_VALUE"""),"SELESAI (VIA PERMOHONAN)")</f>
        <v>SELESAI (VIA PERMOHONAN)</v>
      </c>
      <c r="G2815" s="17">
        <f>IFERROR(__xludf.DUMMYFUNCTION("""COMPUTED_VALUE"""),45841.73631984954)</f>
        <v>45841.73632</v>
      </c>
      <c r="H2815" s="14" t="str">
        <f>IFERROR(__xludf.DUMMYFUNCTION("""COMPUTED_VALUE"""),"Eci (SU)")</f>
        <v>Eci (SU)</v>
      </c>
      <c r="I2815" s="13" t="str">
        <f>IFERROR(__xludf.DUMMYFUNCTION("""COMPUTED_VALUE"""),"SELESAI (VIA PERMOHONAN)")</f>
        <v>SELESAI (VIA PERMOHONAN)</v>
      </c>
      <c r="J2815" s="17">
        <f>IFERROR(__xludf.DUMMYFUNCTION("""COMPUTED_VALUE"""),45842.6188371412)</f>
        <v>45842.61884</v>
      </c>
      <c r="K2815" s="13" t="str">
        <f>IFERROR(__xludf.DUMMYFUNCTION("""COMPUTED_VALUE"""),"Selesai")</f>
        <v>Selesai</v>
      </c>
      <c r="L2815" s="17">
        <f>IFERROR(__xludf.DUMMYFUNCTION("""COMPUTED_VALUE"""),45842.6188371412)</f>
        <v>45842.61884</v>
      </c>
      <c r="M2815" s="13"/>
      <c r="N2815" s="13" t="str">
        <f>IFERROR(__xludf.DUMMYFUNCTION("""COMPUTED_VALUE"""),"")</f>
        <v/>
      </c>
      <c r="O2815" s="13" t="str">
        <f t="shared" si="1"/>
        <v/>
      </c>
    </row>
    <row r="2816" ht="22.5" customHeight="1">
      <c r="B2816" s="13">
        <f>IFERROR(__xludf.DUMMYFUNCTION("""COMPUTED_VALUE"""),2811.0)</f>
        <v>2811</v>
      </c>
      <c r="C2816" s="13" t="str">
        <f>IFERROR(__xludf.DUMMYFUNCTION("""COMPUTED_VALUE"""),"M. 4985/RAJABASA JAYA")</f>
        <v>M. 4985/RAJABASA JAYA</v>
      </c>
      <c r="D2816" s="13" t="str">
        <f>IFERROR(__xludf.DUMMYFUNCTION("""COMPUTED_VALUE"""),"K/35/100625/1")</f>
        <v>K/35/100625/1</v>
      </c>
      <c r="E2816" s="14" t="str">
        <f>IFERROR(__xludf.DUMMYFUNCTION("""COMPUTED_VALUE"""),"Heri (BT)")</f>
        <v>Heri (BT)</v>
      </c>
      <c r="F2816" s="14" t="str">
        <f>IFERROR(__xludf.DUMMYFUNCTION("""COMPUTED_VALUE"""),"SELESAI (VIA PERMOHONAN)")</f>
        <v>SELESAI (VIA PERMOHONAN)</v>
      </c>
      <c r="G2816" s="17">
        <f>IFERROR(__xludf.DUMMYFUNCTION("""COMPUTED_VALUE"""),45841.73648298611)</f>
        <v>45841.73648</v>
      </c>
      <c r="H2816" s="14" t="str">
        <f>IFERROR(__xludf.DUMMYFUNCTION("""COMPUTED_VALUE"""),"Eci (SU)")</f>
        <v>Eci (SU)</v>
      </c>
      <c r="I2816" s="13" t="str">
        <f>IFERROR(__xludf.DUMMYFUNCTION("""COMPUTED_VALUE"""),"SELESAI (VIA PERMOHONAN)")</f>
        <v>SELESAI (VIA PERMOHONAN)</v>
      </c>
      <c r="J2816" s="17">
        <f>IFERROR(__xludf.DUMMYFUNCTION("""COMPUTED_VALUE"""),45842.591391180555)</f>
        <v>45842.59139</v>
      </c>
      <c r="K2816" s="13" t="str">
        <f>IFERROR(__xludf.DUMMYFUNCTION("""COMPUTED_VALUE"""),"Selesai")</f>
        <v>Selesai</v>
      </c>
      <c r="L2816" s="17">
        <f>IFERROR(__xludf.DUMMYFUNCTION("""COMPUTED_VALUE"""),45842.591391180555)</f>
        <v>45842.59139</v>
      </c>
      <c r="M2816" s="13"/>
      <c r="N2816" s="13" t="str">
        <f>IFERROR(__xludf.DUMMYFUNCTION("""COMPUTED_VALUE"""),"")</f>
        <v/>
      </c>
      <c r="O2816" s="13" t="str">
        <f t="shared" si="1"/>
        <v/>
      </c>
    </row>
    <row r="2817" ht="22.5" customHeight="1">
      <c r="B2817" s="13">
        <f>IFERROR(__xludf.DUMMYFUNCTION("""COMPUTED_VALUE"""),2812.0)</f>
        <v>2812</v>
      </c>
      <c r="C2817" s="13" t="str">
        <f>IFERROR(__xludf.DUMMYFUNCTION("""COMPUTED_VALUE"""),"HGB 992/CAMPANG RAYA")</f>
        <v>HGB 992/CAMPANG RAYA</v>
      </c>
      <c r="D2817" s="13" t="str">
        <f>IFERROR(__xludf.DUMMYFUNCTION("""COMPUTED_VALUE"""),"L/20/240625/1")</f>
        <v>L/20/240625/1</v>
      </c>
      <c r="E2817" s="14" t="str">
        <f>IFERROR(__xludf.DUMMYFUNCTION("""COMPUTED_VALUE"""),"Heri (BT)")</f>
        <v>Heri (BT)</v>
      </c>
      <c r="F2817" s="14" t="str">
        <f>IFERROR(__xludf.DUMMYFUNCTION("""COMPUTED_VALUE"""),"SELESAI (VIA PERMOHONAN)")</f>
        <v>SELESAI (VIA PERMOHONAN)</v>
      </c>
      <c r="G2817" s="17">
        <f>IFERROR(__xludf.DUMMYFUNCTION("""COMPUTED_VALUE"""),45841.7366378125)</f>
        <v>45841.73664</v>
      </c>
      <c r="H2817" s="14" t="str">
        <f>IFERROR(__xludf.DUMMYFUNCTION("""COMPUTED_VALUE"""),"Eci (SU)")</f>
        <v>Eci (SU)</v>
      </c>
      <c r="I2817" s="13" t="str">
        <f>IFERROR(__xludf.DUMMYFUNCTION("""COMPUTED_VALUE"""),"SELESAI (VIA PERMOHONAN)")</f>
        <v>SELESAI (VIA PERMOHONAN)</v>
      </c>
      <c r="J2817" s="17">
        <f>IFERROR(__xludf.DUMMYFUNCTION("""COMPUTED_VALUE"""),45842.61817893518)</f>
        <v>45842.61818</v>
      </c>
      <c r="K2817" s="13" t="str">
        <f>IFERROR(__xludf.DUMMYFUNCTION("""COMPUTED_VALUE"""),"Selesai")</f>
        <v>Selesai</v>
      </c>
      <c r="L2817" s="17">
        <f>IFERROR(__xludf.DUMMYFUNCTION("""COMPUTED_VALUE"""),45842.61817893518)</f>
        <v>45842.61818</v>
      </c>
      <c r="M2817" s="13"/>
      <c r="N2817" s="13" t="str">
        <f>IFERROR(__xludf.DUMMYFUNCTION("""COMPUTED_VALUE"""),"")</f>
        <v/>
      </c>
      <c r="O2817" s="13" t="str">
        <f t="shared" si="1"/>
        <v/>
      </c>
    </row>
    <row r="2818" ht="22.5" customHeight="1">
      <c r="B2818" s="13">
        <f>IFERROR(__xludf.DUMMYFUNCTION("""COMPUTED_VALUE"""),2813.0)</f>
        <v>2813</v>
      </c>
      <c r="C2818" s="13" t="str">
        <f>IFERROR(__xludf.DUMMYFUNCTION("""COMPUTED_VALUE"""),"HM 159/SUKABUMI INDAH")</f>
        <v>HM 159/SUKABUMI INDAH</v>
      </c>
      <c r="D2818" s="13" t="str">
        <f>IFERROR(__xludf.DUMMYFUNCTION("""COMPUTED_VALUE"""),"L/26/010725/1")</f>
        <v>L/26/010725/1</v>
      </c>
      <c r="E2818" s="14" t="str">
        <f>IFERROR(__xludf.DUMMYFUNCTION("""COMPUTED_VALUE"""),"Heri (BT)")</f>
        <v>Heri (BT)</v>
      </c>
      <c r="F2818" s="14" t="str">
        <f>IFERROR(__xludf.DUMMYFUNCTION("""COMPUTED_VALUE"""),"SELESAI (VIA PERMOHONAN)")</f>
        <v>SELESAI (VIA PERMOHONAN)</v>
      </c>
      <c r="G2818" s="17">
        <f>IFERROR(__xludf.DUMMYFUNCTION("""COMPUTED_VALUE"""),45841.73680594907)</f>
        <v>45841.73681</v>
      </c>
      <c r="H2818" s="14" t="str">
        <f>IFERROR(__xludf.DUMMYFUNCTION("""COMPUTED_VALUE"""),"Eci (SU)")</f>
        <v>Eci (SU)</v>
      </c>
      <c r="I2818" s="13" t="str">
        <f>IFERROR(__xludf.DUMMYFUNCTION("""COMPUTED_VALUE"""),"SELESAI (VIA PERMOHONAN)")</f>
        <v>SELESAI (VIA PERMOHONAN)</v>
      </c>
      <c r="J2818" s="17">
        <f>IFERROR(__xludf.DUMMYFUNCTION("""COMPUTED_VALUE"""),45842.61823841435)</f>
        <v>45842.61824</v>
      </c>
      <c r="K2818" s="13" t="str">
        <f>IFERROR(__xludf.DUMMYFUNCTION("""COMPUTED_VALUE"""),"Selesai")</f>
        <v>Selesai</v>
      </c>
      <c r="L2818" s="17">
        <f>IFERROR(__xludf.DUMMYFUNCTION("""COMPUTED_VALUE"""),45842.61823841435)</f>
        <v>45842.61824</v>
      </c>
      <c r="M2818" s="13"/>
      <c r="N2818" s="13" t="str">
        <f>IFERROR(__xludf.DUMMYFUNCTION("""COMPUTED_VALUE"""),"")</f>
        <v/>
      </c>
      <c r="O2818" s="13" t="str">
        <f t="shared" si="1"/>
        <v/>
      </c>
    </row>
    <row r="2819" ht="22.5" customHeight="1">
      <c r="B2819" s="13">
        <f>IFERROR(__xludf.DUMMYFUNCTION("""COMPUTED_VALUE"""),2814.0)</f>
        <v>2814</v>
      </c>
      <c r="C2819" s="13" t="str">
        <f>IFERROR(__xludf.DUMMYFUNCTION("""COMPUTED_VALUE"""),"M. 3365/ Beringin Raya")</f>
        <v>M. 3365/ Beringin Raya</v>
      </c>
      <c r="D2819" s="13" t="str">
        <f>IFERROR(__xludf.DUMMYFUNCTION("""COMPUTED_VALUE"""),"K/41/030725/3")</f>
        <v>K/41/030725/3</v>
      </c>
      <c r="E2819" s="14" t="str">
        <f>IFERROR(__xludf.DUMMYFUNCTION("""COMPUTED_VALUE"""),"Heri (BT)")</f>
        <v>Heri (BT)</v>
      </c>
      <c r="F2819" s="14" t="str">
        <f>IFERROR(__xludf.DUMMYFUNCTION("""COMPUTED_VALUE"""),"SELESAI (VIA PERMOHONAN)")</f>
        <v>SELESAI (VIA PERMOHONAN)</v>
      </c>
      <c r="G2819" s="17">
        <f>IFERROR(__xludf.DUMMYFUNCTION("""COMPUTED_VALUE"""),45845.46099943287)</f>
        <v>45845.461</v>
      </c>
      <c r="H2819" s="14" t="str">
        <f>IFERROR(__xludf.DUMMYFUNCTION("""COMPUTED_VALUE"""),"Eci (SU)")</f>
        <v>Eci (SU)</v>
      </c>
      <c r="I2819" s="13" t="str">
        <f>IFERROR(__xludf.DUMMYFUNCTION("""COMPUTED_VALUE"""),"SELESAI (VIA PERMOHONAN)")</f>
        <v>SELESAI (VIA PERMOHONAN)</v>
      </c>
      <c r="J2819" s="17">
        <f>IFERROR(__xludf.DUMMYFUNCTION("""COMPUTED_VALUE"""),45845.660835243056)</f>
        <v>45845.66084</v>
      </c>
      <c r="K2819" s="13" t="str">
        <f>IFERROR(__xludf.DUMMYFUNCTION("""COMPUTED_VALUE"""),"Selesai")</f>
        <v>Selesai</v>
      </c>
      <c r="L2819" s="17">
        <f>IFERROR(__xludf.DUMMYFUNCTION("""COMPUTED_VALUE"""),45845.660835243056)</f>
        <v>45845.66084</v>
      </c>
      <c r="M2819" s="13"/>
      <c r="N2819" s="13" t="str">
        <f>IFERROR(__xludf.DUMMYFUNCTION("""COMPUTED_VALUE"""),"")</f>
        <v/>
      </c>
      <c r="O2819" s="13" t="str">
        <f t="shared" si="1"/>
        <v/>
      </c>
    </row>
    <row r="2820" ht="22.5" customHeight="1">
      <c r="B2820" s="13">
        <f>IFERROR(__xludf.DUMMYFUNCTION("""COMPUTED_VALUE"""),2815.0)</f>
        <v>2815</v>
      </c>
      <c r="C2820" s="13" t="str">
        <f>IFERROR(__xludf.DUMMYFUNCTION("""COMPUTED_VALUE"""),"M. 2630/ Pinang Jaya")</f>
        <v>M. 2630/ Pinang Jaya</v>
      </c>
      <c r="D2820" s="13" t="str">
        <f>IFERROR(__xludf.DUMMYFUNCTION("""COMPUTED_VALUE"""),"K/20/190625/1")</f>
        <v>K/20/190625/1</v>
      </c>
      <c r="E2820" s="14" t="str">
        <f>IFERROR(__xludf.DUMMYFUNCTION("""COMPUTED_VALUE"""),"Heri (BT)")</f>
        <v>Heri (BT)</v>
      </c>
      <c r="F2820" s="14" t="str">
        <f>IFERROR(__xludf.DUMMYFUNCTION("""COMPUTED_VALUE"""),"SELESAI (VIA PERMOHONAN)")</f>
        <v>SELESAI (VIA PERMOHONAN)</v>
      </c>
      <c r="G2820" s="17">
        <f>IFERROR(__xludf.DUMMYFUNCTION("""COMPUTED_VALUE"""),45845.46202664352)</f>
        <v>45845.46203</v>
      </c>
      <c r="H2820" s="14" t="str">
        <f>IFERROR(__xludf.DUMMYFUNCTION("""COMPUTED_VALUE"""),"Eci (SU)")</f>
        <v>Eci (SU)</v>
      </c>
      <c r="I2820" s="13" t="str">
        <f>IFERROR(__xludf.DUMMYFUNCTION("""COMPUTED_VALUE"""),"SELESAI (VIA PERMOHONAN)")</f>
        <v>SELESAI (VIA PERMOHONAN)</v>
      </c>
      <c r="J2820" s="17">
        <f>IFERROR(__xludf.DUMMYFUNCTION("""COMPUTED_VALUE"""),45845.66076408565)</f>
        <v>45845.66076</v>
      </c>
      <c r="K2820" s="13" t="str">
        <f>IFERROR(__xludf.DUMMYFUNCTION("""COMPUTED_VALUE"""),"Selesai")</f>
        <v>Selesai</v>
      </c>
      <c r="L2820" s="17">
        <f>IFERROR(__xludf.DUMMYFUNCTION("""COMPUTED_VALUE"""),45845.66076408565)</f>
        <v>45845.66076</v>
      </c>
      <c r="M2820" s="13"/>
      <c r="N2820" s="13" t="str">
        <f>IFERROR(__xludf.DUMMYFUNCTION("""COMPUTED_VALUE"""),"")</f>
        <v/>
      </c>
      <c r="O2820" s="13" t="str">
        <f t="shared" si="1"/>
        <v/>
      </c>
    </row>
    <row r="2821" ht="22.5" customHeight="1">
      <c r="B2821" s="13">
        <f>IFERROR(__xludf.DUMMYFUNCTION("""COMPUTED_VALUE"""),2816.0)</f>
        <v>2816</v>
      </c>
      <c r="C2821" s="13" t="str">
        <f>IFERROR(__xludf.DUMMYFUNCTION("""COMPUTED_VALUE"""),"M. 10077/ Sidodadi")</f>
        <v>M. 10077/ Sidodadi</v>
      </c>
      <c r="D2821" s="13" t="str">
        <f>IFERROR(__xludf.DUMMYFUNCTION("""COMPUTED_VALUE"""),"K/3/190525/1")</f>
        <v>K/3/190525/1</v>
      </c>
      <c r="E2821" s="14" t="str">
        <f>IFERROR(__xludf.DUMMYFUNCTION("""COMPUTED_VALUE"""),"Heri (BT)")</f>
        <v>Heri (BT)</v>
      </c>
      <c r="F2821" s="14" t="str">
        <f>IFERROR(__xludf.DUMMYFUNCTION("""COMPUTED_VALUE"""),"SELESAI (VIA PERMOHONAN)")</f>
        <v>SELESAI (VIA PERMOHONAN)</v>
      </c>
      <c r="G2821" s="17">
        <f>IFERROR(__xludf.DUMMYFUNCTION("""COMPUTED_VALUE"""),45845.46214444445)</f>
        <v>45845.46214</v>
      </c>
      <c r="H2821" s="14" t="str">
        <f>IFERROR(__xludf.DUMMYFUNCTION("""COMPUTED_VALUE"""),"Eci (SU)")</f>
        <v>Eci (SU)</v>
      </c>
      <c r="I2821" s="13" t="str">
        <f>IFERROR(__xludf.DUMMYFUNCTION("""COMPUTED_VALUE"""),"SELESAI (VIA PERMOHONAN)")</f>
        <v>SELESAI (VIA PERMOHONAN)</v>
      </c>
      <c r="J2821" s="17">
        <f>IFERROR(__xludf.DUMMYFUNCTION("""COMPUTED_VALUE"""),45845.660676354164)</f>
        <v>45845.66068</v>
      </c>
      <c r="K2821" s="13" t="str">
        <f>IFERROR(__xludf.DUMMYFUNCTION("""COMPUTED_VALUE"""),"Selesai")</f>
        <v>Selesai</v>
      </c>
      <c r="L2821" s="17">
        <f>IFERROR(__xludf.DUMMYFUNCTION("""COMPUTED_VALUE"""),45845.660676354164)</f>
        <v>45845.66068</v>
      </c>
      <c r="M2821" s="13"/>
      <c r="N2821" s="13" t="str">
        <f>IFERROR(__xludf.DUMMYFUNCTION("""COMPUTED_VALUE"""),"")</f>
        <v/>
      </c>
      <c r="O2821" s="13" t="str">
        <f t="shared" si="1"/>
        <v/>
      </c>
    </row>
    <row r="2822" ht="22.5" customHeight="1">
      <c r="B2822" s="13">
        <f>IFERROR(__xludf.DUMMYFUNCTION("""COMPUTED_VALUE"""),2817.0)</f>
        <v>2817</v>
      </c>
      <c r="C2822" s="13" t="str">
        <f>IFERROR(__xludf.DUMMYFUNCTION("""COMPUTED_VALUE"""),"M. 8441/KEDATON")</f>
        <v>M. 8441/KEDATON</v>
      </c>
      <c r="D2822" s="13" t="str">
        <f>IFERROR(__xludf.DUMMYFUNCTION("""COMPUTED_VALUE"""),"K/24/020725/1")</f>
        <v>K/24/020725/1</v>
      </c>
      <c r="E2822" s="14" t="str">
        <f>IFERROR(__xludf.DUMMYFUNCTION("""COMPUTED_VALUE"""),"Heri (BT)")</f>
        <v>Heri (BT)</v>
      </c>
      <c r="F2822" s="14" t="str">
        <f>IFERROR(__xludf.DUMMYFUNCTION("""COMPUTED_VALUE"""),"SELESAI (VIA PERMOHONAN)")</f>
        <v>SELESAI (VIA PERMOHONAN)</v>
      </c>
      <c r="G2822" s="17">
        <f>IFERROR(__xludf.DUMMYFUNCTION("""COMPUTED_VALUE"""),45845.46227747685)</f>
        <v>45845.46228</v>
      </c>
      <c r="H2822" s="14" t="str">
        <f>IFERROR(__xludf.DUMMYFUNCTION("""COMPUTED_VALUE"""),"Eci (SU)")</f>
        <v>Eci (SU)</v>
      </c>
      <c r="I2822" s="13" t="str">
        <f>IFERROR(__xludf.DUMMYFUNCTION("""COMPUTED_VALUE"""),"SELESAI (VIA PERMOHONAN)")</f>
        <v>SELESAI (VIA PERMOHONAN)</v>
      </c>
      <c r="J2822" s="17">
        <f>IFERROR(__xludf.DUMMYFUNCTION("""COMPUTED_VALUE"""),45845.660586956015)</f>
        <v>45845.66059</v>
      </c>
      <c r="K2822" s="13" t="str">
        <f>IFERROR(__xludf.DUMMYFUNCTION("""COMPUTED_VALUE"""),"Selesai")</f>
        <v>Selesai</v>
      </c>
      <c r="L2822" s="17">
        <f>IFERROR(__xludf.DUMMYFUNCTION("""COMPUTED_VALUE"""),45845.660586956015)</f>
        <v>45845.66059</v>
      </c>
      <c r="M2822" s="13"/>
      <c r="N2822" s="13" t="str">
        <f>IFERROR(__xludf.DUMMYFUNCTION("""COMPUTED_VALUE"""),"")</f>
        <v/>
      </c>
      <c r="O2822" s="13" t="str">
        <f t="shared" si="1"/>
        <v/>
      </c>
    </row>
    <row r="2823" ht="22.5" customHeight="1">
      <c r="B2823" s="13">
        <f>IFERROR(__xludf.DUMMYFUNCTION("""COMPUTED_VALUE"""),2818.0)</f>
        <v>2818</v>
      </c>
      <c r="C2823" s="13" t="str">
        <f>IFERROR(__xludf.DUMMYFUNCTION("""COMPUTED_VALUE"""),"HM 355/KEBON JERUK")</f>
        <v>HM 355/KEBON JERUK</v>
      </c>
      <c r="D2823" s="13" t="str">
        <f>IFERROR(__xludf.DUMMYFUNCTION("""COMPUTED_VALUE"""),"L/38/260625/1")</f>
        <v>L/38/260625/1</v>
      </c>
      <c r="E2823" s="14" t="str">
        <f>IFERROR(__xludf.DUMMYFUNCTION("""COMPUTED_VALUE"""),"Heri (BT)")</f>
        <v>Heri (BT)</v>
      </c>
      <c r="F2823" s="14" t="str">
        <f>IFERROR(__xludf.DUMMYFUNCTION("""COMPUTED_VALUE"""),"SELESAI (VIA PERMOHONAN)")</f>
        <v>SELESAI (VIA PERMOHONAN)</v>
      </c>
      <c r="G2823" s="17">
        <f>IFERROR(__xludf.DUMMYFUNCTION("""COMPUTED_VALUE"""),45845.46239836805)</f>
        <v>45845.4624</v>
      </c>
      <c r="H2823" s="14" t="str">
        <f>IFERROR(__xludf.DUMMYFUNCTION("""COMPUTED_VALUE"""),"Eci (SU)")</f>
        <v>Eci (SU)</v>
      </c>
      <c r="I2823" s="13" t="str">
        <f>IFERROR(__xludf.DUMMYFUNCTION("""COMPUTED_VALUE"""),"SELESAI (VIA PERMOHONAN)")</f>
        <v>SELESAI (VIA PERMOHONAN)</v>
      </c>
      <c r="J2823" s="17">
        <f>IFERROR(__xludf.DUMMYFUNCTION("""COMPUTED_VALUE"""),45845.65800679398)</f>
        <v>45845.65801</v>
      </c>
      <c r="K2823" s="13" t="str">
        <f>IFERROR(__xludf.DUMMYFUNCTION("""COMPUTED_VALUE"""),"Selesai")</f>
        <v>Selesai</v>
      </c>
      <c r="L2823" s="17">
        <f>IFERROR(__xludf.DUMMYFUNCTION("""COMPUTED_VALUE"""),45845.65800679398)</f>
        <v>45845.65801</v>
      </c>
      <c r="M2823" s="13"/>
      <c r="N2823" s="13" t="str">
        <f>IFERROR(__xludf.DUMMYFUNCTION("""COMPUTED_VALUE"""),"")</f>
        <v/>
      </c>
      <c r="O2823" s="13" t="str">
        <f t="shared" si="1"/>
        <v/>
      </c>
    </row>
    <row r="2824" ht="22.5" customHeight="1">
      <c r="B2824" s="13">
        <f>IFERROR(__xludf.DUMMYFUNCTION("""COMPUTED_VALUE"""),2819.0)</f>
        <v>2819</v>
      </c>
      <c r="C2824" s="13" t="str">
        <f>IFERROR(__xludf.DUMMYFUNCTION("""COMPUTED_VALUE"""),"HM 2277,2171.2215/SUKAJAWA")</f>
        <v>HM 2277,2171.2215/SUKAJAWA</v>
      </c>
      <c r="D2824" s="13" t="str">
        <f>IFERROR(__xludf.DUMMYFUNCTION("""COMPUTED_VALUE"""),"L/19/260625/1")</f>
        <v>L/19/260625/1</v>
      </c>
      <c r="E2824" s="14" t="str">
        <f>IFERROR(__xludf.DUMMYFUNCTION("""COMPUTED_VALUE"""),"Heri (BT)")</f>
        <v>Heri (BT)</v>
      </c>
      <c r="F2824" s="14" t="str">
        <f>IFERROR(__xludf.DUMMYFUNCTION("""COMPUTED_VALUE"""),"SELESAI (VIA PERMOHONAN)")</f>
        <v>SELESAI (VIA PERMOHONAN)</v>
      </c>
      <c r="G2824" s="17">
        <f>IFERROR(__xludf.DUMMYFUNCTION("""COMPUTED_VALUE"""),45845.46259225694)</f>
        <v>45845.46259</v>
      </c>
      <c r="H2824" s="14" t="str">
        <f>IFERROR(__xludf.DUMMYFUNCTION("""COMPUTED_VALUE"""),"Eci (SU)")</f>
        <v>Eci (SU)</v>
      </c>
      <c r="I2824" s="13" t="str">
        <f>IFERROR(__xludf.DUMMYFUNCTION("""COMPUTED_VALUE"""),"SELESAI (VIA PERMOHONAN)")</f>
        <v>SELESAI (VIA PERMOHONAN)</v>
      </c>
      <c r="J2824" s="17">
        <f>IFERROR(__xludf.DUMMYFUNCTION("""COMPUTED_VALUE"""),45845.65814543981)</f>
        <v>45845.65815</v>
      </c>
      <c r="K2824" s="13" t="str">
        <f>IFERROR(__xludf.DUMMYFUNCTION("""COMPUTED_VALUE"""),"Selesai")</f>
        <v>Selesai</v>
      </c>
      <c r="L2824" s="17">
        <f>IFERROR(__xludf.DUMMYFUNCTION("""COMPUTED_VALUE"""),45845.65814543981)</f>
        <v>45845.65815</v>
      </c>
      <c r="M2824" s="13"/>
      <c r="N2824" s="13" t="str">
        <f>IFERROR(__xludf.DUMMYFUNCTION("""COMPUTED_VALUE"""),"")</f>
        <v/>
      </c>
      <c r="O2824" s="13" t="str">
        <f t="shared" si="1"/>
        <v/>
      </c>
    </row>
    <row r="2825" ht="22.5" customHeight="1">
      <c r="B2825" s="13">
        <f>IFERROR(__xludf.DUMMYFUNCTION("""COMPUTED_VALUE"""),2820.0)</f>
        <v>2820</v>
      </c>
      <c r="C2825" s="13" t="str">
        <f>IFERROR(__xludf.DUMMYFUNCTION("""COMPUTED_VALUE"""),"HM 12044/SUKABUMI")</f>
        <v>HM 12044/SUKABUMI</v>
      </c>
      <c r="D2825" s="13" t="str">
        <f>IFERROR(__xludf.DUMMYFUNCTION("""COMPUTED_VALUE"""),"L/6/300625/1")</f>
        <v>L/6/300625/1</v>
      </c>
      <c r="E2825" s="14" t="str">
        <f>IFERROR(__xludf.DUMMYFUNCTION("""COMPUTED_VALUE"""),"Heri (BT)")</f>
        <v>Heri (BT)</v>
      </c>
      <c r="F2825" s="14" t="str">
        <f>IFERROR(__xludf.DUMMYFUNCTION("""COMPUTED_VALUE"""),"SELESAI (VIA PERMOHONAN)")</f>
        <v>SELESAI (VIA PERMOHONAN)</v>
      </c>
      <c r="G2825" s="17">
        <f>IFERROR(__xludf.DUMMYFUNCTION("""COMPUTED_VALUE"""),45845.462750266204)</f>
        <v>45845.46275</v>
      </c>
      <c r="H2825" s="14" t="str">
        <f>IFERROR(__xludf.DUMMYFUNCTION("""COMPUTED_VALUE"""),"Eci (SU)")</f>
        <v>Eci (SU)</v>
      </c>
      <c r="I2825" s="13" t="str">
        <f>IFERROR(__xludf.DUMMYFUNCTION("""COMPUTED_VALUE"""),"SELESAI (VIA PERMOHONAN)")</f>
        <v>SELESAI (VIA PERMOHONAN)</v>
      </c>
      <c r="J2825" s="17">
        <f>IFERROR(__xludf.DUMMYFUNCTION("""COMPUTED_VALUE"""),45845.658320856484)</f>
        <v>45845.65832</v>
      </c>
      <c r="K2825" s="13" t="str">
        <f>IFERROR(__xludf.DUMMYFUNCTION("""COMPUTED_VALUE"""),"Selesai")</f>
        <v>Selesai</v>
      </c>
      <c r="L2825" s="17">
        <f>IFERROR(__xludf.DUMMYFUNCTION("""COMPUTED_VALUE"""),45845.658320856484)</f>
        <v>45845.65832</v>
      </c>
      <c r="M2825" s="13"/>
      <c r="N2825" s="13" t="str">
        <f>IFERROR(__xludf.DUMMYFUNCTION("""COMPUTED_VALUE"""),"")</f>
        <v/>
      </c>
      <c r="O2825" s="13" t="str">
        <f t="shared" si="1"/>
        <v/>
      </c>
    </row>
    <row r="2826" ht="22.5" customHeight="1">
      <c r="B2826" s="13">
        <f>IFERROR(__xludf.DUMMYFUNCTION("""COMPUTED_VALUE"""),2821.0)</f>
        <v>2821</v>
      </c>
      <c r="C2826" s="13" t="str">
        <f>IFERROR(__xludf.DUMMYFUNCTION("""COMPUTED_VALUE"""),"HM 1026/RAJABASA RAYA")</f>
        <v>HM 1026/RAJABASA RAYA</v>
      </c>
      <c r="D2826" s="13" t="str">
        <f>IFERROR(__xludf.DUMMYFUNCTION("""COMPUTED_VALUE"""),"L/12/300625/1")</f>
        <v>L/12/300625/1</v>
      </c>
      <c r="E2826" s="14" t="str">
        <f>IFERROR(__xludf.DUMMYFUNCTION("""COMPUTED_VALUE"""),"Heri (BT)")</f>
        <v>Heri (BT)</v>
      </c>
      <c r="F2826" s="14" t="str">
        <f>IFERROR(__xludf.DUMMYFUNCTION("""COMPUTED_VALUE"""),"SELESAI (VIA PERMOHONAN)")</f>
        <v>SELESAI (VIA PERMOHONAN)</v>
      </c>
      <c r="G2826" s="17">
        <f>IFERROR(__xludf.DUMMYFUNCTION("""COMPUTED_VALUE"""),45845.463138252315)</f>
        <v>45845.46314</v>
      </c>
      <c r="H2826" s="14" t="str">
        <f>IFERROR(__xludf.DUMMYFUNCTION("""COMPUTED_VALUE"""),"Eci (SU)")</f>
        <v>Eci (SU)</v>
      </c>
      <c r="I2826" s="13" t="str">
        <f>IFERROR(__xludf.DUMMYFUNCTION("""COMPUTED_VALUE"""),"SELESAI (VIA PERMOHONAN)")</f>
        <v>SELESAI (VIA PERMOHONAN)</v>
      </c>
      <c r="J2826" s="17">
        <f>IFERROR(__xludf.DUMMYFUNCTION("""COMPUTED_VALUE"""),45845.66026657408)</f>
        <v>45845.66027</v>
      </c>
      <c r="K2826" s="13" t="str">
        <f>IFERROR(__xludf.DUMMYFUNCTION("""COMPUTED_VALUE"""),"Selesai")</f>
        <v>Selesai</v>
      </c>
      <c r="L2826" s="17">
        <f>IFERROR(__xludf.DUMMYFUNCTION("""COMPUTED_VALUE"""),45845.66026657408)</f>
        <v>45845.66027</v>
      </c>
      <c r="M2826" s="13"/>
      <c r="N2826" s="13" t="str">
        <f>IFERROR(__xludf.DUMMYFUNCTION("""COMPUTED_VALUE"""),"")</f>
        <v/>
      </c>
      <c r="O2826" s="13" t="str">
        <f t="shared" si="1"/>
        <v/>
      </c>
    </row>
    <row r="2827" ht="22.5" customHeight="1">
      <c r="B2827" s="13">
        <f>IFERROR(__xludf.DUMMYFUNCTION("""COMPUTED_VALUE"""),2822.0)</f>
        <v>2822</v>
      </c>
      <c r="C2827" s="13" t="str">
        <f>IFERROR(__xludf.DUMMYFUNCTION("""COMPUTED_VALUE"""),"M. 2631/ Pinang Jaya")</f>
        <v>M. 2631/ Pinang Jaya</v>
      </c>
      <c r="D2827" s="13" t="str">
        <f>IFERROR(__xludf.DUMMYFUNCTION("""COMPUTED_VALUE"""),"K/47/010725/1")</f>
        <v>K/47/010725/1</v>
      </c>
      <c r="E2827" s="14" t="str">
        <f>IFERROR(__xludf.DUMMYFUNCTION("""COMPUTED_VALUE"""),"Heri (BT)")</f>
        <v>Heri (BT)</v>
      </c>
      <c r="F2827" s="14" t="str">
        <f>IFERROR(__xludf.DUMMYFUNCTION("""COMPUTED_VALUE"""),"SELESAI (VIA PERMOHONAN)")</f>
        <v>SELESAI (VIA PERMOHONAN)</v>
      </c>
      <c r="G2827" s="17">
        <f>IFERROR(__xludf.DUMMYFUNCTION("""COMPUTED_VALUE"""),45845.46358173611)</f>
        <v>45845.46358</v>
      </c>
      <c r="H2827" s="14" t="str">
        <f>IFERROR(__xludf.DUMMYFUNCTION("""COMPUTED_VALUE"""),"Eci (SU)")</f>
        <v>Eci (SU)</v>
      </c>
      <c r="I2827" s="13" t="str">
        <f>IFERROR(__xludf.DUMMYFUNCTION("""COMPUTED_VALUE"""),"SELESAI (VIA PERMOHONAN)")</f>
        <v>SELESAI (VIA PERMOHONAN)</v>
      </c>
      <c r="J2827" s="17">
        <f>IFERROR(__xludf.DUMMYFUNCTION("""COMPUTED_VALUE"""),45845.66038349537)</f>
        <v>45845.66038</v>
      </c>
      <c r="K2827" s="13" t="str">
        <f>IFERROR(__xludf.DUMMYFUNCTION("""COMPUTED_VALUE"""),"Selesai")</f>
        <v>Selesai</v>
      </c>
      <c r="L2827" s="17">
        <f>IFERROR(__xludf.DUMMYFUNCTION("""COMPUTED_VALUE"""),45845.66038349537)</f>
        <v>45845.66038</v>
      </c>
      <c r="M2827" s="13"/>
      <c r="N2827" s="13" t="str">
        <f>IFERROR(__xludf.DUMMYFUNCTION("""COMPUTED_VALUE"""),"")</f>
        <v/>
      </c>
      <c r="O2827" s="13" t="str">
        <f t="shared" si="1"/>
        <v/>
      </c>
    </row>
    <row r="2828" ht="22.5" customHeight="1">
      <c r="B2828" s="13">
        <f>IFERROR(__xludf.DUMMYFUNCTION("""COMPUTED_VALUE"""),2823.0)</f>
        <v>2823</v>
      </c>
      <c r="C2828" s="13" t="str">
        <f>IFERROR(__xludf.DUMMYFUNCTION("""COMPUTED_VALUE"""),"M. 1801/ Kali Balau Kencana")</f>
        <v>M. 1801/ Kali Balau Kencana</v>
      </c>
      <c r="D2828" s="13" t="str">
        <f>IFERROR(__xludf.DUMMYFUNCTION("""COMPUTED_VALUE"""),"K/29/250625/1")</f>
        <v>K/29/250625/1</v>
      </c>
      <c r="E2828" s="14" t="str">
        <f>IFERROR(__xludf.DUMMYFUNCTION("""COMPUTED_VALUE"""),"Heri (BT)")</f>
        <v>Heri (BT)</v>
      </c>
      <c r="F2828" s="14" t="str">
        <f>IFERROR(__xludf.DUMMYFUNCTION("""COMPUTED_VALUE"""),"SELESAI (VIA PERMOHONAN)")</f>
        <v>SELESAI (VIA PERMOHONAN)</v>
      </c>
      <c r="G2828" s="17">
        <f>IFERROR(__xludf.DUMMYFUNCTION("""COMPUTED_VALUE"""),45845.46372526621)</f>
        <v>45845.46373</v>
      </c>
      <c r="H2828" s="14" t="str">
        <f>IFERROR(__xludf.DUMMYFUNCTION("""COMPUTED_VALUE"""),"Eci (SU)")</f>
        <v>Eci (SU)</v>
      </c>
      <c r="I2828" s="13" t="str">
        <f>IFERROR(__xludf.DUMMYFUNCTION("""COMPUTED_VALUE"""),"SELESAI (VIA PERMOHONAN)")</f>
        <v>SELESAI (VIA PERMOHONAN)</v>
      </c>
      <c r="J2828" s="17">
        <f>IFERROR(__xludf.DUMMYFUNCTION("""COMPUTED_VALUE"""),45845.65844009259)</f>
        <v>45845.65844</v>
      </c>
      <c r="K2828" s="13" t="str">
        <f>IFERROR(__xludf.DUMMYFUNCTION("""COMPUTED_VALUE"""),"Selesai")</f>
        <v>Selesai</v>
      </c>
      <c r="L2828" s="17">
        <f>IFERROR(__xludf.DUMMYFUNCTION("""COMPUTED_VALUE"""),45845.65844009259)</f>
        <v>45845.65844</v>
      </c>
      <c r="M2828" s="13"/>
      <c r="N2828" s="13" t="str">
        <f>IFERROR(__xludf.DUMMYFUNCTION("""COMPUTED_VALUE"""),"")</f>
        <v/>
      </c>
      <c r="O2828" s="13" t="str">
        <f t="shared" si="1"/>
        <v/>
      </c>
    </row>
    <row r="2829" ht="22.5" customHeight="1">
      <c r="B2829" s="13">
        <f>IFERROR(__xludf.DUMMYFUNCTION("""COMPUTED_VALUE"""),2824.0)</f>
        <v>2824</v>
      </c>
      <c r="C2829" s="13" t="str">
        <f>IFERROR(__xludf.DUMMYFUNCTION("""COMPUTED_VALUE"""),"M. 10254/ Sukabumi")</f>
        <v>M. 10254/ Sukabumi</v>
      </c>
      <c r="D2829" s="13" t="str">
        <f>IFERROR(__xludf.DUMMYFUNCTION("""COMPUTED_VALUE"""),"K/34/230625/1")</f>
        <v>K/34/230625/1</v>
      </c>
      <c r="E2829" s="14" t="str">
        <f>IFERROR(__xludf.DUMMYFUNCTION("""COMPUTED_VALUE"""),"Heri (BT)")</f>
        <v>Heri (BT)</v>
      </c>
      <c r="F2829" s="14" t="str">
        <f>IFERROR(__xludf.DUMMYFUNCTION("""COMPUTED_VALUE"""),"SELESAI (VIA PERMOHONAN)")</f>
        <v>SELESAI (VIA PERMOHONAN)</v>
      </c>
      <c r="G2829" s="17">
        <f>IFERROR(__xludf.DUMMYFUNCTION("""COMPUTED_VALUE"""),45845.46389782407)</f>
        <v>45845.4639</v>
      </c>
      <c r="H2829" s="14" t="str">
        <f>IFERROR(__xludf.DUMMYFUNCTION("""COMPUTED_VALUE"""),"Eci (SU)")</f>
        <v>Eci (SU)</v>
      </c>
      <c r="I2829" s="13" t="str">
        <f>IFERROR(__xludf.DUMMYFUNCTION("""COMPUTED_VALUE"""),"SELESAI (VIA PERMOHONAN)")</f>
        <v>SELESAI (VIA PERMOHONAN)</v>
      </c>
      <c r="J2829" s="17">
        <f>IFERROR(__xludf.DUMMYFUNCTION("""COMPUTED_VALUE"""),45845.65859668981)</f>
        <v>45845.6586</v>
      </c>
      <c r="K2829" s="13" t="str">
        <f>IFERROR(__xludf.DUMMYFUNCTION("""COMPUTED_VALUE"""),"Selesai")</f>
        <v>Selesai</v>
      </c>
      <c r="L2829" s="17">
        <f>IFERROR(__xludf.DUMMYFUNCTION("""COMPUTED_VALUE"""),45845.65859668981)</f>
        <v>45845.6586</v>
      </c>
      <c r="M2829" s="13"/>
      <c r="N2829" s="13" t="str">
        <f>IFERROR(__xludf.DUMMYFUNCTION("""COMPUTED_VALUE"""),"")</f>
        <v/>
      </c>
      <c r="O2829" s="13" t="str">
        <f t="shared" si="1"/>
        <v/>
      </c>
    </row>
    <row r="2830" ht="22.5" customHeight="1">
      <c r="B2830" s="13">
        <f>IFERROR(__xludf.DUMMYFUNCTION("""COMPUTED_VALUE"""),2825.0)</f>
        <v>2825</v>
      </c>
      <c r="C2830" s="13" t="str">
        <f>IFERROR(__xludf.DUMMYFUNCTION("""COMPUTED_VALUE"""),"M. 707/ Sumur Putri")</f>
        <v>M. 707/ Sumur Putri</v>
      </c>
      <c r="D2830" s="13" t="str">
        <f>IFERROR(__xludf.DUMMYFUNCTION("""COMPUTED_VALUE"""),"K/9/160630/2")</f>
        <v>K/9/160630/2</v>
      </c>
      <c r="E2830" s="14" t="str">
        <f>IFERROR(__xludf.DUMMYFUNCTION("""COMPUTED_VALUE"""),"Heri (BT)")</f>
        <v>Heri (BT)</v>
      </c>
      <c r="F2830" s="14" t="str">
        <f>IFERROR(__xludf.DUMMYFUNCTION("""COMPUTED_VALUE"""),"SELESAI (VIA PERMOHONAN)")</f>
        <v>SELESAI (VIA PERMOHONAN)</v>
      </c>
      <c r="G2830" s="17">
        <f>IFERROR(__xludf.DUMMYFUNCTION("""COMPUTED_VALUE"""),45845.463955960644)</f>
        <v>45845.46396</v>
      </c>
      <c r="H2830" s="14" t="str">
        <f>IFERROR(__xludf.DUMMYFUNCTION("""COMPUTED_VALUE"""),"Eci (SU)")</f>
        <v>Eci (SU)</v>
      </c>
      <c r="I2830" s="13" t="str">
        <f>IFERROR(__xludf.DUMMYFUNCTION("""COMPUTED_VALUE"""),"SELESAI (VIA PERMOHONAN)")</f>
        <v>SELESAI (VIA PERMOHONAN)</v>
      </c>
      <c r="J2830" s="17">
        <f>IFERROR(__xludf.DUMMYFUNCTION("""COMPUTED_VALUE"""),45845.66011939815)</f>
        <v>45845.66012</v>
      </c>
      <c r="K2830" s="13" t="str">
        <f>IFERROR(__xludf.DUMMYFUNCTION("""COMPUTED_VALUE"""),"Selesai")</f>
        <v>Selesai</v>
      </c>
      <c r="L2830" s="17">
        <f>IFERROR(__xludf.DUMMYFUNCTION("""COMPUTED_VALUE"""),45845.66011939815)</f>
        <v>45845.66012</v>
      </c>
      <c r="M2830" s="13"/>
      <c r="N2830" s="13" t="str">
        <f>IFERROR(__xludf.DUMMYFUNCTION("""COMPUTED_VALUE"""),"")</f>
        <v/>
      </c>
      <c r="O2830" s="13" t="str">
        <f t="shared" si="1"/>
        <v/>
      </c>
    </row>
    <row r="2831" ht="22.5" customHeight="1">
      <c r="B2831" s="13">
        <f>IFERROR(__xludf.DUMMYFUNCTION("""COMPUTED_VALUE"""),2826.0)</f>
        <v>2826</v>
      </c>
      <c r="C2831" s="13" t="str">
        <f>IFERROR(__xludf.DUMMYFUNCTION("""COMPUTED_VALUE"""),"M. 894/ Tanjungkarang")</f>
        <v>M. 894/ Tanjungkarang</v>
      </c>
      <c r="D2831" s="13" t="str">
        <f>IFERROR(__xludf.DUMMYFUNCTION("""COMPUTED_VALUE"""),"K/27/300625/1")</f>
        <v>K/27/300625/1</v>
      </c>
      <c r="E2831" s="14" t="str">
        <f>IFERROR(__xludf.DUMMYFUNCTION("""COMPUTED_VALUE"""),"Heri (BT)")</f>
        <v>Heri (BT)</v>
      </c>
      <c r="F2831" s="14" t="str">
        <f>IFERROR(__xludf.DUMMYFUNCTION("""COMPUTED_VALUE"""),"SELESAI (VIA PERMOHONAN)")</f>
        <v>SELESAI (VIA PERMOHONAN)</v>
      </c>
      <c r="G2831" s="17">
        <f>IFERROR(__xludf.DUMMYFUNCTION("""COMPUTED_VALUE"""),45845.46419773148)</f>
        <v>45845.4642</v>
      </c>
      <c r="H2831" s="14" t="str">
        <f>IFERROR(__xludf.DUMMYFUNCTION("""COMPUTED_VALUE"""),"Eci (SU)")</f>
        <v>Eci (SU)</v>
      </c>
      <c r="I2831" s="13" t="str">
        <f>IFERROR(__xludf.DUMMYFUNCTION("""COMPUTED_VALUE"""),"SELESAI (VIA PERMOHONAN)")</f>
        <v>SELESAI (VIA PERMOHONAN)</v>
      </c>
      <c r="J2831" s="17">
        <f>IFERROR(__xludf.DUMMYFUNCTION("""COMPUTED_VALUE"""),45845.658822233796)</f>
        <v>45845.65882</v>
      </c>
      <c r="K2831" s="13" t="str">
        <f>IFERROR(__xludf.DUMMYFUNCTION("""COMPUTED_VALUE"""),"Selesai")</f>
        <v>Selesai</v>
      </c>
      <c r="L2831" s="17">
        <f>IFERROR(__xludf.DUMMYFUNCTION("""COMPUTED_VALUE"""),45845.658822233796)</f>
        <v>45845.65882</v>
      </c>
      <c r="M2831" s="13"/>
      <c r="N2831" s="13" t="str">
        <f>IFERROR(__xludf.DUMMYFUNCTION("""COMPUTED_VALUE"""),"")</f>
        <v/>
      </c>
      <c r="O2831" s="13" t="str">
        <f t="shared" si="1"/>
        <v/>
      </c>
    </row>
    <row r="2832" ht="22.5" customHeight="1">
      <c r="B2832" s="13">
        <f>IFERROR(__xludf.DUMMYFUNCTION("""COMPUTED_VALUE"""),2827.0)</f>
        <v>2827</v>
      </c>
      <c r="C2832" s="13" t="str">
        <f>IFERROR(__xludf.DUMMYFUNCTION("""COMPUTED_VALUE"""),"M. 5046/RAJABASA JAYA")</f>
        <v>M. 5046/RAJABASA JAYA</v>
      </c>
      <c r="D2832" s="13" t="str">
        <f>IFERROR(__xludf.DUMMYFUNCTION("""COMPUTED_VALUE"""),"K/30/260625/1")</f>
        <v>K/30/260625/1</v>
      </c>
      <c r="E2832" s="14" t="str">
        <f>IFERROR(__xludf.DUMMYFUNCTION("""COMPUTED_VALUE"""),"Heri (BT)")</f>
        <v>Heri (BT)</v>
      </c>
      <c r="F2832" s="14" t="str">
        <f>IFERROR(__xludf.DUMMYFUNCTION("""COMPUTED_VALUE"""),"SELESAI (VIA PERMOHONAN)")</f>
        <v>SELESAI (VIA PERMOHONAN)</v>
      </c>
      <c r="G2832" s="17">
        <f>IFERROR(__xludf.DUMMYFUNCTION("""COMPUTED_VALUE"""),45845.46428851852)</f>
        <v>45845.46429</v>
      </c>
      <c r="H2832" s="14" t="str">
        <f>IFERROR(__xludf.DUMMYFUNCTION("""COMPUTED_VALUE"""),"Eci (SU)")</f>
        <v>Eci (SU)</v>
      </c>
      <c r="I2832" s="13" t="str">
        <f>IFERROR(__xludf.DUMMYFUNCTION("""COMPUTED_VALUE"""),"SELESAI (VIA PERMOHONAN)")</f>
        <v>SELESAI (VIA PERMOHONAN)</v>
      </c>
      <c r="J2832" s="17">
        <f>IFERROR(__xludf.DUMMYFUNCTION("""COMPUTED_VALUE"""),45845.66001744213)</f>
        <v>45845.66002</v>
      </c>
      <c r="K2832" s="13" t="str">
        <f>IFERROR(__xludf.DUMMYFUNCTION("""COMPUTED_VALUE"""),"Selesai")</f>
        <v>Selesai</v>
      </c>
      <c r="L2832" s="17">
        <f>IFERROR(__xludf.DUMMYFUNCTION("""COMPUTED_VALUE"""),45845.66001744213)</f>
        <v>45845.66002</v>
      </c>
      <c r="M2832" s="13"/>
      <c r="N2832" s="13" t="str">
        <f>IFERROR(__xludf.DUMMYFUNCTION("""COMPUTED_VALUE"""),"")</f>
        <v/>
      </c>
      <c r="O2832" s="13" t="str">
        <f t="shared" si="1"/>
        <v/>
      </c>
    </row>
    <row r="2833" ht="22.5" customHeight="1">
      <c r="B2833" s="13">
        <f>IFERROR(__xludf.DUMMYFUNCTION("""COMPUTED_VALUE"""),2828.0)</f>
        <v>2828</v>
      </c>
      <c r="C2833" s="13" t="str">
        <f>IFERROR(__xludf.DUMMYFUNCTION("""COMPUTED_VALUE"""),"B.2409/CAMPANG JAYA")</f>
        <v>B.2409/CAMPANG JAYA</v>
      </c>
      <c r="D2833" s="13" t="str">
        <f>IFERROR(__xludf.DUMMYFUNCTION("""COMPUTED_VALUE"""),"K/18/010725/1")</f>
        <v>K/18/010725/1</v>
      </c>
      <c r="E2833" s="14" t="str">
        <f>IFERROR(__xludf.DUMMYFUNCTION("""COMPUTED_VALUE"""),"Heri (BT)")</f>
        <v>Heri (BT)</v>
      </c>
      <c r="F2833" s="14" t="str">
        <f>IFERROR(__xludf.DUMMYFUNCTION("""COMPUTED_VALUE"""),"SELESAI (VIA PERMOHONAN)")</f>
        <v>SELESAI (VIA PERMOHONAN)</v>
      </c>
      <c r="G2833" s="17">
        <f>IFERROR(__xludf.DUMMYFUNCTION("""COMPUTED_VALUE"""),45845.46455331019)</f>
        <v>45845.46455</v>
      </c>
      <c r="H2833" s="14" t="str">
        <f>IFERROR(__xludf.DUMMYFUNCTION("""COMPUTED_VALUE"""),"Eci (SU)")</f>
        <v>Eci (SU)</v>
      </c>
      <c r="I2833" s="13" t="str">
        <f>IFERROR(__xludf.DUMMYFUNCTION("""COMPUTED_VALUE"""),"SELESAI (VIA PERMOHONAN)")</f>
        <v>SELESAI (VIA PERMOHONAN)</v>
      </c>
      <c r="J2833" s="17">
        <f>IFERROR(__xludf.DUMMYFUNCTION("""COMPUTED_VALUE"""),45845.65896028935)</f>
        <v>45845.65896</v>
      </c>
      <c r="K2833" s="13" t="str">
        <f>IFERROR(__xludf.DUMMYFUNCTION("""COMPUTED_VALUE"""),"Selesai")</f>
        <v>Selesai</v>
      </c>
      <c r="L2833" s="17">
        <f>IFERROR(__xludf.DUMMYFUNCTION("""COMPUTED_VALUE"""),45845.65896028935)</f>
        <v>45845.65896</v>
      </c>
      <c r="M2833" s="13"/>
      <c r="N2833" s="13" t="str">
        <f>IFERROR(__xludf.DUMMYFUNCTION("""COMPUTED_VALUE"""),"")</f>
        <v/>
      </c>
      <c r="O2833" s="13" t="str">
        <f t="shared" si="1"/>
        <v/>
      </c>
    </row>
    <row r="2834" ht="22.5" customHeight="1">
      <c r="B2834" s="13">
        <f>IFERROR(__xludf.DUMMYFUNCTION("""COMPUTED_VALUE"""),2829.0)</f>
        <v>2829</v>
      </c>
      <c r="C2834" s="13" t="str">
        <f>IFERROR(__xludf.DUMMYFUNCTION("""COMPUTED_VALUE"""),"M.498/PINANG JAYA")</f>
        <v>M.498/PINANG JAYA</v>
      </c>
      <c r="D2834" s="13" t="str">
        <f>IFERROR(__xludf.DUMMYFUNCTION("""COMPUTED_VALUE"""),"K/4/010725/1")</f>
        <v>K/4/010725/1</v>
      </c>
      <c r="E2834" s="14" t="str">
        <f>IFERROR(__xludf.DUMMYFUNCTION("""COMPUTED_VALUE"""),"Heri (BT)")</f>
        <v>Heri (BT)</v>
      </c>
      <c r="F2834" s="14" t="str">
        <f>IFERROR(__xludf.DUMMYFUNCTION("""COMPUTED_VALUE"""),"SELESAI (VIA PERMOHONAN)")</f>
        <v>SELESAI (VIA PERMOHONAN)</v>
      </c>
      <c r="G2834" s="17">
        <f>IFERROR(__xludf.DUMMYFUNCTION("""COMPUTED_VALUE"""),45845.46476971065)</f>
        <v>45845.46477</v>
      </c>
      <c r="H2834" s="14" t="str">
        <f>IFERROR(__xludf.DUMMYFUNCTION("""COMPUTED_VALUE"""),"Eci (SU)")</f>
        <v>Eci (SU)</v>
      </c>
      <c r="I2834" s="13" t="str">
        <f>IFERROR(__xludf.DUMMYFUNCTION("""COMPUTED_VALUE"""),"SELESAI (VIA PERMOHONAN)")</f>
        <v>SELESAI (VIA PERMOHONAN)</v>
      </c>
      <c r="J2834" s="17">
        <f>IFERROR(__xludf.DUMMYFUNCTION("""COMPUTED_VALUE"""),45845.65782494213)</f>
        <v>45845.65782</v>
      </c>
      <c r="K2834" s="13" t="str">
        <f>IFERROR(__xludf.DUMMYFUNCTION("""COMPUTED_VALUE"""),"Selesai")</f>
        <v>Selesai</v>
      </c>
      <c r="L2834" s="17">
        <f>IFERROR(__xludf.DUMMYFUNCTION("""COMPUTED_VALUE"""),45845.65782494213)</f>
        <v>45845.65782</v>
      </c>
      <c r="M2834" s="13"/>
      <c r="N2834" s="13" t="str">
        <f>IFERROR(__xludf.DUMMYFUNCTION("""COMPUTED_VALUE"""),"")</f>
        <v/>
      </c>
      <c r="O2834" s="13" t="str">
        <f t="shared" si="1"/>
        <v/>
      </c>
    </row>
    <row r="2835" ht="22.5" customHeight="1">
      <c r="B2835" s="13">
        <f>IFERROR(__xludf.DUMMYFUNCTION("""COMPUTED_VALUE"""),2830.0)</f>
        <v>2830</v>
      </c>
      <c r="C2835" s="13" t="str">
        <f>IFERROR(__xludf.DUMMYFUNCTION("""COMPUTED_VALUE"""),"3819/Sumberejo Kemiling")</f>
        <v>3819/Sumberejo Kemiling</v>
      </c>
      <c r="D2835" s="13" t="str">
        <f>IFERROR(__xludf.DUMMYFUNCTION("""COMPUTED_VALUE"""),"")</f>
        <v/>
      </c>
      <c r="E2835" s="14"/>
      <c r="F2835" s="14"/>
      <c r="G2835" s="17" t="str">
        <f>IFERROR(__xludf.DUMMYFUNCTION("""COMPUTED_VALUE"""),"")</f>
        <v/>
      </c>
      <c r="H2835" s="14" t="str">
        <f>IFERROR(__xludf.DUMMYFUNCTION("""COMPUTED_VALUE"""),"Eci (SU)")</f>
        <v>Eci (SU)</v>
      </c>
      <c r="I2835" s="13" t="str">
        <f>IFERROR(__xludf.DUMMYFUNCTION("""COMPUTED_VALUE"""),"SELESAI (VIA PERMOHONAN)")</f>
        <v>SELESAI (VIA PERMOHONAN)</v>
      </c>
      <c r="J2835" s="17">
        <f>IFERROR(__xludf.DUMMYFUNCTION("""COMPUTED_VALUE"""),45845.659639351856)</f>
        <v>45845.65964</v>
      </c>
      <c r="K2835" s="13" t="str">
        <f>IFERROR(__xludf.DUMMYFUNCTION("""COMPUTED_VALUE"""),"")</f>
        <v/>
      </c>
      <c r="L2835" s="13" t="str">
        <f>IFERROR(__xludf.DUMMYFUNCTION("""COMPUTED_VALUE"""),"")</f>
        <v/>
      </c>
      <c r="M2835" s="13"/>
      <c r="N2835" s="13" t="str">
        <f>IFERROR(__xludf.DUMMYFUNCTION("""COMPUTED_VALUE"""),"")</f>
        <v/>
      </c>
      <c r="O2835" s="13" t="str">
        <f t="shared" si="1"/>
        <v/>
      </c>
    </row>
    <row r="2836" ht="22.5" customHeight="1">
      <c r="B2836" s="13">
        <f>IFERROR(__xludf.DUMMYFUNCTION("""COMPUTED_VALUE"""),2831.0)</f>
        <v>2831</v>
      </c>
      <c r="C2836" s="13" t="str">
        <f>IFERROR(__xludf.DUMMYFUNCTION("""COMPUTED_VALUE"""),"M. 78/ Ketapang Kuala")</f>
        <v>M. 78/ Ketapang Kuala</v>
      </c>
      <c r="D2836" s="13" t="str">
        <f>IFERROR(__xludf.DUMMYFUNCTION("""COMPUTED_VALUE"""),"K/23/180625/1")</f>
        <v>K/23/180625/1</v>
      </c>
      <c r="E2836" s="14" t="str">
        <f>IFERROR(__xludf.DUMMYFUNCTION("""COMPUTED_VALUE"""),"Afriza (BT)")</f>
        <v>Afriza (BT)</v>
      </c>
      <c r="F2836" s="14" t="str">
        <f>IFERROR(__xludf.DUMMYFUNCTION("""COMPUTED_VALUE"""),"SELESAI (VIA PERMOHONAN)")</f>
        <v>SELESAI (VIA PERMOHONAN)</v>
      </c>
      <c r="G2836" s="17">
        <f>IFERROR(__xludf.DUMMYFUNCTION("""COMPUTED_VALUE"""),45846.39982934028)</f>
        <v>45846.39983</v>
      </c>
      <c r="H2836" s="14" t="str">
        <f>IFERROR(__xludf.DUMMYFUNCTION("""COMPUTED_VALUE"""),"Eci (SU)")</f>
        <v>Eci (SU)</v>
      </c>
      <c r="I2836" s="13" t="str">
        <f>IFERROR(__xludf.DUMMYFUNCTION("""COMPUTED_VALUE"""),"SELESAI (VIA PERMOHONAN)")</f>
        <v>SELESAI (VIA PERMOHONAN)</v>
      </c>
      <c r="J2836" s="17">
        <f>IFERROR(__xludf.DUMMYFUNCTION("""COMPUTED_VALUE"""),45846.53315267361)</f>
        <v>45846.53315</v>
      </c>
      <c r="K2836" s="13" t="str">
        <f>IFERROR(__xludf.DUMMYFUNCTION("""COMPUTED_VALUE"""),"Selesai")</f>
        <v>Selesai</v>
      </c>
      <c r="L2836" s="17">
        <f>IFERROR(__xludf.DUMMYFUNCTION("""COMPUTED_VALUE"""),45846.53315267361)</f>
        <v>45846.53315</v>
      </c>
      <c r="M2836" s="13"/>
      <c r="N2836" s="13" t="str">
        <f>IFERROR(__xludf.DUMMYFUNCTION("""COMPUTED_VALUE"""),"")</f>
        <v/>
      </c>
      <c r="O2836" s="13" t="str">
        <f t="shared" si="1"/>
        <v/>
      </c>
    </row>
    <row r="2837" ht="22.5" customHeight="1">
      <c r="B2837" s="13">
        <f>IFERROR(__xludf.DUMMYFUNCTION("""COMPUTED_VALUE"""),2832.0)</f>
        <v>2832</v>
      </c>
      <c r="C2837" s="13" t="str">
        <f>IFERROR(__xludf.DUMMYFUNCTION("""COMPUTED_VALUE"""),"M. 14000/ Tanjung Baru")</f>
        <v>M. 14000/ Tanjung Baru</v>
      </c>
      <c r="D2837" s="13" t="str">
        <f>IFERROR(__xludf.DUMMYFUNCTION("""COMPUTED_VALUE"""),"K/15/260525/1")</f>
        <v>K/15/260525/1</v>
      </c>
      <c r="E2837" s="14" t="str">
        <f>IFERROR(__xludf.DUMMYFUNCTION("""COMPUTED_VALUE"""),"Afriza (BT)")</f>
        <v>Afriza (BT)</v>
      </c>
      <c r="F2837" s="14" t="str">
        <f>IFERROR(__xludf.DUMMYFUNCTION("""COMPUTED_VALUE"""),"SELESAI (VIA PERMOHONAN)")</f>
        <v>SELESAI (VIA PERMOHONAN)</v>
      </c>
      <c r="G2837" s="17">
        <f>IFERROR(__xludf.DUMMYFUNCTION("""COMPUTED_VALUE"""),45846.400098425926)</f>
        <v>45846.4001</v>
      </c>
      <c r="H2837" s="14" t="str">
        <f>IFERROR(__xludf.DUMMYFUNCTION("""COMPUTED_VALUE"""),"Eci (SU)")</f>
        <v>Eci (SU)</v>
      </c>
      <c r="I2837" s="13" t="str">
        <f>IFERROR(__xludf.DUMMYFUNCTION("""COMPUTED_VALUE"""),"SELESAI (VIA PERMOHONAN)")</f>
        <v>SELESAI (VIA PERMOHONAN)</v>
      </c>
      <c r="J2837" s="17">
        <f>IFERROR(__xludf.DUMMYFUNCTION("""COMPUTED_VALUE"""),45846.53324818287)</f>
        <v>45846.53325</v>
      </c>
      <c r="K2837" s="13" t="str">
        <f>IFERROR(__xludf.DUMMYFUNCTION("""COMPUTED_VALUE"""),"Selesai")</f>
        <v>Selesai</v>
      </c>
      <c r="L2837" s="17">
        <f>IFERROR(__xludf.DUMMYFUNCTION("""COMPUTED_VALUE"""),45846.53324818287)</f>
        <v>45846.53325</v>
      </c>
      <c r="M2837" s="13"/>
      <c r="N2837" s="13" t="str">
        <f>IFERROR(__xludf.DUMMYFUNCTION("""COMPUTED_VALUE"""),"")</f>
        <v/>
      </c>
      <c r="O2837" s="13" t="str">
        <f t="shared" si="1"/>
        <v/>
      </c>
    </row>
    <row r="2838" ht="22.5" customHeight="1">
      <c r="B2838" s="13">
        <f>IFERROR(__xludf.DUMMYFUNCTION("""COMPUTED_VALUE"""),2833.0)</f>
        <v>2833</v>
      </c>
      <c r="C2838" s="13" t="str">
        <f>IFERROR(__xludf.DUMMYFUNCTION("""COMPUTED_VALUE"""),"M. 1919/ Batu Putuk")</f>
        <v>M. 1919/ Batu Putuk</v>
      </c>
      <c r="D2838" s="13" t="str">
        <f>IFERROR(__xludf.DUMMYFUNCTION("""COMPUTED_VALUE"""),"K/9/180625/1")</f>
        <v>K/9/180625/1</v>
      </c>
      <c r="E2838" s="14" t="str">
        <f>IFERROR(__xludf.DUMMYFUNCTION("""COMPUTED_VALUE"""),"Afriza (BT)")</f>
        <v>Afriza (BT)</v>
      </c>
      <c r="F2838" s="14" t="str">
        <f>IFERROR(__xludf.DUMMYFUNCTION("""COMPUTED_VALUE"""),"SELESAI (VIA PERMOHONAN)")</f>
        <v>SELESAI (VIA PERMOHONAN)</v>
      </c>
      <c r="G2838" s="17">
        <f>IFERROR(__xludf.DUMMYFUNCTION("""COMPUTED_VALUE"""),45846.40025061343)</f>
        <v>45846.40025</v>
      </c>
      <c r="H2838" s="14" t="str">
        <f>IFERROR(__xludf.DUMMYFUNCTION("""COMPUTED_VALUE"""),"Eci (SU)")</f>
        <v>Eci (SU)</v>
      </c>
      <c r="I2838" s="13" t="str">
        <f>IFERROR(__xludf.DUMMYFUNCTION("""COMPUTED_VALUE"""),"SELESAI (VIA PERMOHONAN)")</f>
        <v>SELESAI (VIA PERMOHONAN)</v>
      </c>
      <c r="J2838" s="17">
        <f>IFERROR(__xludf.DUMMYFUNCTION("""COMPUTED_VALUE"""),45846.53332870371)</f>
        <v>45846.53333</v>
      </c>
      <c r="K2838" s="13" t="str">
        <f>IFERROR(__xludf.DUMMYFUNCTION("""COMPUTED_VALUE"""),"Selesai")</f>
        <v>Selesai</v>
      </c>
      <c r="L2838" s="17">
        <f>IFERROR(__xludf.DUMMYFUNCTION("""COMPUTED_VALUE"""),45846.53332870371)</f>
        <v>45846.53333</v>
      </c>
      <c r="M2838" s="13"/>
      <c r="N2838" s="13" t="str">
        <f>IFERROR(__xludf.DUMMYFUNCTION("""COMPUTED_VALUE"""),"")</f>
        <v/>
      </c>
      <c r="O2838" s="13" t="str">
        <f t="shared" si="1"/>
        <v/>
      </c>
    </row>
    <row r="2839" ht="22.5" customHeight="1">
      <c r="B2839" s="13">
        <f>IFERROR(__xludf.DUMMYFUNCTION("""COMPUTED_VALUE"""),2834.0)</f>
        <v>2834</v>
      </c>
      <c r="C2839" s="13" t="str">
        <f>IFERROR(__xludf.DUMMYFUNCTION("""COMPUTED_VALUE"""),"M. 1203/ Labuhan Dalam")</f>
        <v>M. 1203/ Labuhan Dalam</v>
      </c>
      <c r="D2839" s="13" t="str">
        <f>IFERROR(__xludf.DUMMYFUNCTION("""COMPUTED_VALUE"""),"K/9/130625/1")</f>
        <v>K/9/130625/1</v>
      </c>
      <c r="E2839" s="14" t="str">
        <f>IFERROR(__xludf.DUMMYFUNCTION("""COMPUTED_VALUE"""),"Afriza (BT)")</f>
        <v>Afriza (BT)</v>
      </c>
      <c r="F2839" s="14" t="str">
        <f>IFERROR(__xludf.DUMMYFUNCTION("""COMPUTED_VALUE"""),"SELESAI (VIA PERMOHONAN)")</f>
        <v>SELESAI (VIA PERMOHONAN)</v>
      </c>
      <c r="G2839" s="17">
        <f>IFERROR(__xludf.DUMMYFUNCTION("""COMPUTED_VALUE"""),45846.400401273146)</f>
        <v>45846.4004</v>
      </c>
      <c r="H2839" s="14" t="str">
        <f>IFERROR(__xludf.DUMMYFUNCTION("""COMPUTED_VALUE"""),"Eci (SU)")</f>
        <v>Eci (SU)</v>
      </c>
      <c r="I2839" s="13" t="str">
        <f>IFERROR(__xludf.DUMMYFUNCTION("""COMPUTED_VALUE"""),"SELESAI (VIA PERMOHONAN)")</f>
        <v>SELESAI (VIA PERMOHONAN)</v>
      </c>
      <c r="J2839" s="17">
        <f>IFERROR(__xludf.DUMMYFUNCTION("""COMPUTED_VALUE"""),45846.53300321759)</f>
        <v>45846.533</v>
      </c>
      <c r="K2839" s="13" t="str">
        <f>IFERROR(__xludf.DUMMYFUNCTION("""COMPUTED_VALUE"""),"Selesai")</f>
        <v>Selesai</v>
      </c>
      <c r="L2839" s="17">
        <f>IFERROR(__xludf.DUMMYFUNCTION("""COMPUTED_VALUE"""),45846.53300321759)</f>
        <v>45846.533</v>
      </c>
      <c r="M2839" s="13"/>
      <c r="N2839" s="13" t="str">
        <f>IFERROR(__xludf.DUMMYFUNCTION("""COMPUTED_VALUE"""),"")</f>
        <v/>
      </c>
      <c r="O2839" s="13" t="str">
        <f t="shared" si="1"/>
        <v/>
      </c>
    </row>
    <row r="2840" ht="22.5" customHeight="1">
      <c r="B2840" s="13">
        <f>IFERROR(__xludf.DUMMYFUNCTION("""COMPUTED_VALUE"""),2835.0)</f>
        <v>2835</v>
      </c>
      <c r="C2840" s="13" t="str">
        <f>IFERROR(__xludf.DUMMYFUNCTION("""COMPUTED_VALUE"""),"M.2872/SUKARAME BARU")</f>
        <v>M.2872/SUKARAME BARU</v>
      </c>
      <c r="D2840" s="13" t="str">
        <f>IFERROR(__xludf.DUMMYFUNCTION("""COMPUTED_VALUE"""),"K/25/160635/2")</f>
        <v>K/25/160635/2</v>
      </c>
      <c r="E2840" s="14" t="str">
        <f>IFERROR(__xludf.DUMMYFUNCTION("""COMPUTED_VALUE"""),"Afriza (BT)")</f>
        <v>Afriza (BT)</v>
      </c>
      <c r="F2840" s="14" t="str">
        <f>IFERROR(__xludf.DUMMYFUNCTION("""COMPUTED_VALUE"""),"SELESAI (VIA PERMOHONAN)")</f>
        <v>SELESAI (VIA PERMOHONAN)</v>
      </c>
      <c r="G2840" s="17">
        <f>IFERROR(__xludf.DUMMYFUNCTION("""COMPUTED_VALUE"""),45846.40048863426)</f>
        <v>45846.40049</v>
      </c>
      <c r="H2840" s="14" t="str">
        <f>IFERROR(__xludf.DUMMYFUNCTION("""COMPUTED_VALUE"""),"Eci (SU)")</f>
        <v>Eci (SU)</v>
      </c>
      <c r="I2840" s="13" t="str">
        <f>IFERROR(__xludf.DUMMYFUNCTION("""COMPUTED_VALUE"""),"SELESAI (VIA PERMOHONAN)")</f>
        <v>SELESAI (VIA PERMOHONAN)</v>
      </c>
      <c r="J2840" s="17">
        <f>IFERROR(__xludf.DUMMYFUNCTION("""COMPUTED_VALUE"""),45846.533469270835)</f>
        <v>45846.53347</v>
      </c>
      <c r="K2840" s="13" t="str">
        <f>IFERROR(__xludf.DUMMYFUNCTION("""COMPUTED_VALUE"""),"Selesai")</f>
        <v>Selesai</v>
      </c>
      <c r="L2840" s="17">
        <f>IFERROR(__xludf.DUMMYFUNCTION("""COMPUTED_VALUE"""),45846.533469270835)</f>
        <v>45846.53347</v>
      </c>
      <c r="M2840" s="13"/>
      <c r="N2840" s="13" t="str">
        <f>IFERROR(__xludf.DUMMYFUNCTION("""COMPUTED_VALUE"""),"")</f>
        <v/>
      </c>
      <c r="O2840" s="13" t="str">
        <f t="shared" si="1"/>
        <v/>
      </c>
    </row>
    <row r="2841" ht="22.5" customHeight="1">
      <c r="B2841" s="13">
        <f>IFERROR(__xludf.DUMMYFUNCTION("""COMPUTED_VALUE"""),2836.0)</f>
        <v>2836</v>
      </c>
      <c r="C2841" s="13" t="str">
        <f>IFERROR(__xludf.DUMMYFUNCTION("""COMPUTED_VALUE"""),"M.1609/KUPANG KOTA")</f>
        <v>M.1609/KUPANG KOTA</v>
      </c>
      <c r="D2841" s="13" t="str">
        <f>IFERROR(__xludf.DUMMYFUNCTION("""COMPUTED_VALUE"""),"K/22/180625/1")</f>
        <v>K/22/180625/1</v>
      </c>
      <c r="E2841" s="14" t="str">
        <f>IFERROR(__xludf.DUMMYFUNCTION("""COMPUTED_VALUE"""),"Afriza (BT)")</f>
        <v>Afriza (BT)</v>
      </c>
      <c r="F2841" s="14" t="str">
        <f>IFERROR(__xludf.DUMMYFUNCTION("""COMPUTED_VALUE"""),"SELESAI (VIA PERMOHONAN)")</f>
        <v>SELESAI (VIA PERMOHONAN)</v>
      </c>
      <c r="G2841" s="17">
        <f>IFERROR(__xludf.DUMMYFUNCTION("""COMPUTED_VALUE"""),45846.40064172454)</f>
        <v>45846.40064</v>
      </c>
      <c r="H2841" s="14" t="str">
        <f>IFERROR(__xludf.DUMMYFUNCTION("""COMPUTED_VALUE"""),"Eci (SU)")</f>
        <v>Eci (SU)</v>
      </c>
      <c r="I2841" s="13" t="str">
        <f>IFERROR(__xludf.DUMMYFUNCTION("""COMPUTED_VALUE"""),"SELESAI (VIA PERMOHONAN)")</f>
        <v>SELESAI (VIA PERMOHONAN)</v>
      </c>
      <c r="J2841" s="17">
        <f>IFERROR(__xludf.DUMMYFUNCTION("""COMPUTED_VALUE"""),45846.53354402778)</f>
        <v>45846.53354</v>
      </c>
      <c r="K2841" s="13" t="str">
        <f>IFERROR(__xludf.DUMMYFUNCTION("""COMPUTED_VALUE"""),"Selesai")</f>
        <v>Selesai</v>
      </c>
      <c r="L2841" s="17">
        <f>IFERROR(__xludf.DUMMYFUNCTION("""COMPUTED_VALUE"""),45846.53354402778)</f>
        <v>45846.53354</v>
      </c>
      <c r="M2841" s="13"/>
      <c r="N2841" s="13" t="str">
        <f>IFERROR(__xludf.DUMMYFUNCTION("""COMPUTED_VALUE"""),"")</f>
        <v/>
      </c>
      <c r="O2841" s="13" t="str">
        <f t="shared" si="1"/>
        <v/>
      </c>
    </row>
    <row r="2842" ht="22.5" customHeight="1">
      <c r="B2842" s="13">
        <f>IFERROR(__xludf.DUMMYFUNCTION("""COMPUTED_VALUE"""),2837.0)</f>
        <v>2837</v>
      </c>
      <c r="C2842" s="13" t="str">
        <f>IFERROR(__xludf.DUMMYFUNCTION("""COMPUTED_VALUE"""),"M.2294/PERUMNAS WAY HALIM")</f>
        <v>M.2294/PERUMNAS WAY HALIM</v>
      </c>
      <c r="D2842" s="13" t="str">
        <f>IFERROR(__xludf.DUMMYFUNCTION("""COMPUTED_VALUE"""),"K/26/170625/3")</f>
        <v>K/26/170625/3</v>
      </c>
      <c r="E2842" s="14" t="str">
        <f>IFERROR(__xludf.DUMMYFUNCTION("""COMPUTED_VALUE"""),"Afriza (BT)")</f>
        <v>Afriza (BT)</v>
      </c>
      <c r="F2842" s="14" t="str">
        <f>IFERROR(__xludf.DUMMYFUNCTION("""COMPUTED_VALUE"""),"SELESAI (VIA PERMOHONAN)")</f>
        <v>SELESAI (VIA PERMOHONAN)</v>
      </c>
      <c r="G2842" s="17">
        <f>IFERROR(__xludf.DUMMYFUNCTION("""COMPUTED_VALUE"""),45846.40076104167)</f>
        <v>45846.40076</v>
      </c>
      <c r="H2842" s="14" t="str">
        <f>IFERROR(__xludf.DUMMYFUNCTION("""COMPUTED_VALUE"""),"Eci (SU)")</f>
        <v>Eci (SU)</v>
      </c>
      <c r="I2842" s="13" t="str">
        <f>IFERROR(__xludf.DUMMYFUNCTION("""COMPUTED_VALUE"""),"SELESAI (VIA PERMOHONAN)")</f>
        <v>SELESAI (VIA PERMOHONAN)</v>
      </c>
      <c r="J2842" s="17">
        <f>IFERROR(__xludf.DUMMYFUNCTION("""COMPUTED_VALUE"""),45846.53367471065)</f>
        <v>45846.53367</v>
      </c>
      <c r="K2842" s="13" t="str">
        <f>IFERROR(__xludf.DUMMYFUNCTION("""COMPUTED_VALUE"""),"Selesai")</f>
        <v>Selesai</v>
      </c>
      <c r="L2842" s="17">
        <f>IFERROR(__xludf.DUMMYFUNCTION("""COMPUTED_VALUE"""),45846.53367471065)</f>
        <v>45846.53367</v>
      </c>
      <c r="M2842" s="13"/>
      <c r="N2842" s="13" t="str">
        <f>IFERROR(__xludf.DUMMYFUNCTION("""COMPUTED_VALUE"""),"")</f>
        <v/>
      </c>
      <c r="O2842" s="13" t="str">
        <f t="shared" si="1"/>
        <v/>
      </c>
    </row>
    <row r="2843" ht="22.5" customHeight="1">
      <c r="B2843" s="13">
        <f>IFERROR(__xludf.DUMMYFUNCTION("""COMPUTED_VALUE"""),2838.0)</f>
        <v>2838</v>
      </c>
      <c r="C2843" s="13" t="str">
        <f>IFERROR(__xludf.DUMMYFUNCTION("""COMPUTED_VALUE"""),"M.1168/PEMATANG WANGI")</f>
        <v>M.1168/PEMATANG WANGI</v>
      </c>
      <c r="D2843" s="13" t="str">
        <f>IFERROR(__xludf.DUMMYFUNCTION("""COMPUTED_VALUE"""),"K/38/240625/2")</f>
        <v>K/38/240625/2</v>
      </c>
      <c r="E2843" s="14" t="str">
        <f>IFERROR(__xludf.DUMMYFUNCTION("""COMPUTED_VALUE"""),"Afriza (BT)")</f>
        <v>Afriza (BT)</v>
      </c>
      <c r="F2843" s="14" t="str">
        <f>IFERROR(__xludf.DUMMYFUNCTION("""COMPUTED_VALUE"""),"SELESAI (VIA PERMOHONAN)")</f>
        <v>SELESAI (VIA PERMOHONAN)</v>
      </c>
      <c r="G2843" s="17">
        <f>IFERROR(__xludf.DUMMYFUNCTION("""COMPUTED_VALUE"""),45846.40086684028)</f>
        <v>45846.40087</v>
      </c>
      <c r="H2843" s="14" t="str">
        <f>IFERROR(__xludf.DUMMYFUNCTION("""COMPUTED_VALUE"""),"Eci (SU)")</f>
        <v>Eci (SU)</v>
      </c>
      <c r="I2843" s="13" t="str">
        <f>IFERROR(__xludf.DUMMYFUNCTION("""COMPUTED_VALUE"""),"SELESAI (VIA PERMOHONAN)")</f>
        <v>SELESAI (VIA PERMOHONAN)</v>
      </c>
      <c r="J2843" s="17">
        <f>IFERROR(__xludf.DUMMYFUNCTION("""COMPUTED_VALUE"""),45846.53281858796)</f>
        <v>45846.53282</v>
      </c>
      <c r="K2843" s="13" t="str">
        <f>IFERROR(__xludf.DUMMYFUNCTION("""COMPUTED_VALUE"""),"Selesai")</f>
        <v>Selesai</v>
      </c>
      <c r="L2843" s="17">
        <f>IFERROR(__xludf.DUMMYFUNCTION("""COMPUTED_VALUE"""),45846.53281858796)</f>
        <v>45846.53282</v>
      </c>
      <c r="M2843" s="13"/>
      <c r="N2843" s="13" t="str">
        <f>IFERROR(__xludf.DUMMYFUNCTION("""COMPUTED_VALUE"""),"")</f>
        <v/>
      </c>
      <c r="O2843" s="13" t="str">
        <f t="shared" si="1"/>
        <v/>
      </c>
    </row>
    <row r="2844" ht="22.5" customHeight="1">
      <c r="B2844" s="13">
        <f>IFERROR(__xludf.DUMMYFUNCTION("""COMPUTED_VALUE"""),2839.0)</f>
        <v>2839</v>
      </c>
      <c r="C2844" s="13" t="str">
        <f>IFERROR(__xludf.DUMMYFUNCTION("""COMPUTED_VALUE"""),"M. 311/ Way Laga")</f>
        <v>M. 311/ Way Laga</v>
      </c>
      <c r="D2844" s="13" t="str">
        <f>IFERROR(__xludf.DUMMYFUNCTION("""COMPUTED_VALUE"""),"K/45/190625/3")</f>
        <v>K/45/190625/3</v>
      </c>
      <c r="E2844" s="14" t="str">
        <f>IFERROR(__xludf.DUMMYFUNCTION("""COMPUTED_VALUE"""),"Afriza (BT)")</f>
        <v>Afriza (BT)</v>
      </c>
      <c r="F2844" s="14" t="str">
        <f>IFERROR(__xludf.DUMMYFUNCTION("""COMPUTED_VALUE"""),"SELESAI (VIA PERMOHONAN)")</f>
        <v>SELESAI (VIA PERMOHONAN)</v>
      </c>
      <c r="G2844" s="17">
        <f>IFERROR(__xludf.DUMMYFUNCTION("""COMPUTED_VALUE"""),45846.40098880787)</f>
        <v>45846.40099</v>
      </c>
      <c r="H2844" s="14" t="str">
        <f>IFERROR(__xludf.DUMMYFUNCTION("""COMPUTED_VALUE"""),"Eci (SU)")</f>
        <v>Eci (SU)</v>
      </c>
      <c r="I2844" s="13" t="str">
        <f>IFERROR(__xludf.DUMMYFUNCTION("""COMPUTED_VALUE"""),"SELESAI (VIA PERMOHONAN)")</f>
        <v>SELESAI (VIA PERMOHONAN)</v>
      </c>
      <c r="J2844" s="17">
        <f>IFERROR(__xludf.DUMMYFUNCTION("""COMPUTED_VALUE"""),45846.532638136574)</f>
        <v>45846.53264</v>
      </c>
      <c r="K2844" s="13" t="str">
        <f>IFERROR(__xludf.DUMMYFUNCTION("""COMPUTED_VALUE"""),"Selesai")</f>
        <v>Selesai</v>
      </c>
      <c r="L2844" s="17">
        <f>IFERROR(__xludf.DUMMYFUNCTION("""COMPUTED_VALUE"""),45846.532638136574)</f>
        <v>45846.53264</v>
      </c>
      <c r="M2844" s="13"/>
      <c r="N2844" s="13" t="str">
        <f>IFERROR(__xludf.DUMMYFUNCTION("""COMPUTED_VALUE"""),"")</f>
        <v/>
      </c>
      <c r="O2844" s="13" t="str">
        <f t="shared" si="1"/>
        <v/>
      </c>
    </row>
    <row r="2845" ht="22.5" customHeight="1">
      <c r="B2845" s="13">
        <f>IFERROR(__xludf.DUMMYFUNCTION("""COMPUTED_VALUE"""),2840.0)</f>
        <v>2840</v>
      </c>
      <c r="C2845" s="13" t="str">
        <f>IFERROR(__xludf.DUMMYFUNCTION("""COMPUTED_VALUE"""),"M. 2608/ Durian Payung")</f>
        <v>M. 2608/ Durian Payung</v>
      </c>
      <c r="D2845" s="13" t="str">
        <f>IFERROR(__xludf.DUMMYFUNCTION("""COMPUTED_VALUE"""),"K/41/190625/3")</f>
        <v>K/41/190625/3</v>
      </c>
      <c r="E2845" s="14" t="str">
        <f>IFERROR(__xludf.DUMMYFUNCTION("""COMPUTED_VALUE"""),"Afriza (BT)")</f>
        <v>Afriza (BT)</v>
      </c>
      <c r="F2845" s="14" t="str">
        <f>IFERROR(__xludf.DUMMYFUNCTION("""COMPUTED_VALUE"""),"SELESAI (VIA PERMOHONAN)")</f>
        <v>SELESAI (VIA PERMOHONAN)</v>
      </c>
      <c r="G2845" s="17">
        <f>IFERROR(__xludf.DUMMYFUNCTION("""COMPUTED_VALUE"""),45846.40131163194)</f>
        <v>45846.40131</v>
      </c>
      <c r="H2845" s="14" t="str">
        <f>IFERROR(__xludf.DUMMYFUNCTION("""COMPUTED_VALUE"""),"Eci (SU)")</f>
        <v>Eci (SU)</v>
      </c>
      <c r="I2845" s="13" t="str">
        <f>IFERROR(__xludf.DUMMYFUNCTION("""COMPUTED_VALUE"""),"SELESAI (VIA PERMOHONAN)")</f>
        <v>SELESAI (VIA PERMOHONAN)</v>
      </c>
      <c r="J2845" s="17">
        <f>IFERROR(__xludf.DUMMYFUNCTION("""COMPUTED_VALUE"""),45846.53385530092)</f>
        <v>45846.53386</v>
      </c>
      <c r="K2845" s="13" t="str">
        <f>IFERROR(__xludf.DUMMYFUNCTION("""COMPUTED_VALUE"""),"Selesai")</f>
        <v>Selesai</v>
      </c>
      <c r="L2845" s="17">
        <f>IFERROR(__xludf.DUMMYFUNCTION("""COMPUTED_VALUE"""),45846.53385530092)</f>
        <v>45846.53386</v>
      </c>
      <c r="M2845" s="13"/>
      <c r="N2845" s="13" t="str">
        <f>IFERROR(__xludf.DUMMYFUNCTION("""COMPUTED_VALUE"""),"")</f>
        <v/>
      </c>
      <c r="O2845" s="13" t="str">
        <f t="shared" si="1"/>
        <v/>
      </c>
    </row>
    <row r="2846" ht="22.5" customHeight="1">
      <c r="B2846" s="13">
        <f>IFERROR(__xludf.DUMMYFUNCTION("""COMPUTED_VALUE"""),2841.0)</f>
        <v>2841</v>
      </c>
      <c r="C2846" s="13" t="str">
        <f>IFERROR(__xludf.DUMMYFUNCTION("""COMPUTED_VALUE"""),"B. 739/ Sumur Putri")</f>
        <v>B. 739/ Sumur Putri</v>
      </c>
      <c r="D2846" s="13" t="str">
        <f>IFERROR(__xludf.DUMMYFUNCTION("""COMPUTED_VALUE"""),"K/2/130625/2")</f>
        <v>K/2/130625/2</v>
      </c>
      <c r="E2846" s="14" t="str">
        <f>IFERROR(__xludf.DUMMYFUNCTION("""COMPUTED_VALUE"""),"Afriza (BT)")</f>
        <v>Afriza (BT)</v>
      </c>
      <c r="F2846" s="14" t="str">
        <f>IFERROR(__xludf.DUMMYFUNCTION("""COMPUTED_VALUE"""),"SELESAI (VIA PERMOHONAN)")</f>
        <v>SELESAI (VIA PERMOHONAN)</v>
      </c>
      <c r="G2846" s="17">
        <f>IFERROR(__xludf.DUMMYFUNCTION("""COMPUTED_VALUE"""),45846.40285704861)</f>
        <v>45846.40286</v>
      </c>
      <c r="H2846" s="14" t="str">
        <f>IFERROR(__xludf.DUMMYFUNCTION("""COMPUTED_VALUE"""),"Eci (SU)")</f>
        <v>Eci (SU)</v>
      </c>
      <c r="I2846" s="13" t="str">
        <f>IFERROR(__xludf.DUMMYFUNCTION("""COMPUTED_VALUE"""),"SELESAI (VIA PERMOHONAN)")</f>
        <v>SELESAI (VIA PERMOHONAN)</v>
      </c>
      <c r="J2846" s="17">
        <f>IFERROR(__xludf.DUMMYFUNCTION("""COMPUTED_VALUE"""),45846.533891238425)</f>
        <v>45846.53389</v>
      </c>
      <c r="K2846" s="13" t="str">
        <f>IFERROR(__xludf.DUMMYFUNCTION("""COMPUTED_VALUE"""),"Selesai")</f>
        <v>Selesai</v>
      </c>
      <c r="L2846" s="17">
        <f>IFERROR(__xludf.DUMMYFUNCTION("""COMPUTED_VALUE"""),45846.533891238425)</f>
        <v>45846.53389</v>
      </c>
      <c r="M2846" s="13"/>
      <c r="N2846" s="13" t="str">
        <f>IFERROR(__xludf.DUMMYFUNCTION("""COMPUTED_VALUE"""),"")</f>
        <v/>
      </c>
      <c r="O2846" s="13" t="str">
        <f t="shared" si="1"/>
        <v/>
      </c>
    </row>
    <row r="2847" ht="22.5" customHeight="1">
      <c r="B2847" s="13">
        <f>IFERROR(__xludf.DUMMYFUNCTION("""COMPUTED_VALUE"""),2842.0)</f>
        <v>2842</v>
      </c>
      <c r="C2847" s="13" t="str">
        <f>IFERROR(__xludf.DUMMYFUNCTION("""COMPUTED_VALUE"""),"M. 10822/ Segala Mider")</f>
        <v>M. 10822/ Segala Mider</v>
      </c>
      <c r="D2847" s="13" t="str">
        <f>IFERROR(__xludf.DUMMYFUNCTION("""COMPUTED_VALUE"""),"K/4/110625/2")</f>
        <v>K/4/110625/2</v>
      </c>
      <c r="E2847" s="14" t="str">
        <f>IFERROR(__xludf.DUMMYFUNCTION("""COMPUTED_VALUE"""),"Afriza (BT)")</f>
        <v>Afriza (BT)</v>
      </c>
      <c r="F2847" s="14" t="str">
        <f>IFERROR(__xludf.DUMMYFUNCTION("""COMPUTED_VALUE"""),"SELESAI (VIA PERMOHONAN)")</f>
        <v>SELESAI (VIA PERMOHONAN)</v>
      </c>
      <c r="G2847" s="17">
        <f>IFERROR(__xludf.DUMMYFUNCTION("""COMPUTED_VALUE"""),45846.40345759259)</f>
        <v>45846.40346</v>
      </c>
      <c r="H2847" s="14" t="str">
        <f>IFERROR(__xludf.DUMMYFUNCTION("""COMPUTED_VALUE"""),"Eci (SU)")</f>
        <v>Eci (SU)</v>
      </c>
      <c r="I2847" s="13" t="str">
        <f>IFERROR(__xludf.DUMMYFUNCTION("""COMPUTED_VALUE"""),"SELESAI (VIA PERMOHONAN)")</f>
        <v>SELESAI (VIA PERMOHONAN)</v>
      </c>
      <c r="J2847" s="17">
        <f>IFERROR(__xludf.DUMMYFUNCTION("""COMPUTED_VALUE"""),45846.53253458333)</f>
        <v>45846.53253</v>
      </c>
      <c r="K2847" s="13" t="str">
        <f>IFERROR(__xludf.DUMMYFUNCTION("""COMPUTED_VALUE"""),"Selesai")</f>
        <v>Selesai</v>
      </c>
      <c r="L2847" s="17">
        <f>IFERROR(__xludf.DUMMYFUNCTION("""COMPUTED_VALUE"""),45846.53253458333)</f>
        <v>45846.53253</v>
      </c>
      <c r="M2847" s="13"/>
      <c r="N2847" s="13" t="str">
        <f>IFERROR(__xludf.DUMMYFUNCTION("""COMPUTED_VALUE"""),"")</f>
        <v/>
      </c>
      <c r="O2847" s="13" t="str">
        <f t="shared" si="1"/>
        <v/>
      </c>
    </row>
    <row r="2848" ht="22.5" customHeight="1">
      <c r="B2848" s="13">
        <f>IFERROR(__xludf.DUMMYFUNCTION("""COMPUTED_VALUE"""),2843.0)</f>
        <v>2843</v>
      </c>
      <c r="C2848" s="13" t="str">
        <f>IFERROR(__xludf.DUMMYFUNCTION("""COMPUTED_VALUE"""),"M. 1616/ Sumur Putri")</f>
        <v>M. 1616/ Sumur Putri</v>
      </c>
      <c r="D2848" s="13" t="str">
        <f>IFERROR(__xludf.DUMMYFUNCTION("""COMPUTED_VALUE"""),"K/15/030625/1")</f>
        <v>K/15/030625/1</v>
      </c>
      <c r="E2848" s="14" t="str">
        <f>IFERROR(__xludf.DUMMYFUNCTION("""COMPUTED_VALUE"""),"Afriza (BT)")</f>
        <v>Afriza (BT)</v>
      </c>
      <c r="F2848" s="14" t="str">
        <f>IFERROR(__xludf.DUMMYFUNCTION("""COMPUTED_VALUE"""),"SELESAI (VIA PERMOHONAN)")</f>
        <v>SELESAI (VIA PERMOHONAN)</v>
      </c>
      <c r="G2848" s="17">
        <f>IFERROR(__xludf.DUMMYFUNCTION("""COMPUTED_VALUE"""),45846.40379144676)</f>
        <v>45846.40379</v>
      </c>
      <c r="H2848" s="14" t="str">
        <f>IFERROR(__xludf.DUMMYFUNCTION("""COMPUTED_VALUE"""),"Eci (SU)")</f>
        <v>Eci (SU)</v>
      </c>
      <c r="I2848" s="13" t="str">
        <f>IFERROR(__xludf.DUMMYFUNCTION("""COMPUTED_VALUE"""),"SELESAI (VIA PERMOHONAN)")</f>
        <v>SELESAI (VIA PERMOHONAN)</v>
      </c>
      <c r="J2848" s="17">
        <f>IFERROR(__xludf.DUMMYFUNCTION("""COMPUTED_VALUE"""),45846.532430798616)</f>
        <v>45846.53243</v>
      </c>
      <c r="K2848" s="13" t="str">
        <f>IFERROR(__xludf.DUMMYFUNCTION("""COMPUTED_VALUE"""),"Selesai")</f>
        <v>Selesai</v>
      </c>
      <c r="L2848" s="17">
        <f>IFERROR(__xludf.DUMMYFUNCTION("""COMPUTED_VALUE"""),45846.532430798616)</f>
        <v>45846.53243</v>
      </c>
      <c r="M2848" s="13"/>
      <c r="N2848" s="13" t="str">
        <f>IFERROR(__xludf.DUMMYFUNCTION("""COMPUTED_VALUE"""),"")</f>
        <v/>
      </c>
      <c r="O2848" s="13" t="str">
        <f t="shared" si="1"/>
        <v/>
      </c>
    </row>
    <row r="2849" ht="22.5" customHeight="1">
      <c r="B2849" s="13">
        <f>IFERROR(__xludf.DUMMYFUNCTION("""COMPUTED_VALUE"""),2844.0)</f>
        <v>2844</v>
      </c>
      <c r="C2849" s="13" t="str">
        <f>IFERROR(__xludf.DUMMYFUNCTION("""COMPUTED_VALUE"""),"B.748/SUMUR PUTRI")</f>
        <v>B.748/SUMUR PUTRI</v>
      </c>
      <c r="D2849" s="13" t="str">
        <f>IFERROR(__xludf.DUMMYFUNCTION("""COMPUTED_VALUE"""),"K/10/010725/1")</f>
        <v>K/10/010725/1</v>
      </c>
      <c r="E2849" s="14" t="str">
        <f>IFERROR(__xludf.DUMMYFUNCTION("""COMPUTED_VALUE"""),"Afriza (BT)")</f>
        <v>Afriza (BT)</v>
      </c>
      <c r="F2849" s="14" t="str">
        <f>IFERROR(__xludf.DUMMYFUNCTION("""COMPUTED_VALUE"""),"SELESAI (VIA PERMOHONAN)")</f>
        <v>SELESAI (VIA PERMOHONAN)</v>
      </c>
      <c r="G2849" s="17">
        <f>IFERROR(__xludf.DUMMYFUNCTION("""COMPUTED_VALUE"""),45846.40407399306)</f>
        <v>45846.40407</v>
      </c>
      <c r="H2849" s="14" t="str">
        <f>IFERROR(__xludf.DUMMYFUNCTION("""COMPUTED_VALUE"""),"Eci (SU)")</f>
        <v>Eci (SU)</v>
      </c>
      <c r="I2849" s="13" t="str">
        <f>IFERROR(__xludf.DUMMYFUNCTION("""COMPUTED_VALUE"""),"SELESAI (VIA PERMOHONAN)")</f>
        <v>SELESAI (VIA PERMOHONAN)</v>
      </c>
      <c r="J2849" s="17">
        <f>IFERROR(__xludf.DUMMYFUNCTION("""COMPUTED_VALUE"""),45846.5340353125)</f>
        <v>45846.53404</v>
      </c>
      <c r="K2849" s="13" t="str">
        <f>IFERROR(__xludf.DUMMYFUNCTION("""COMPUTED_VALUE"""),"Selesai")</f>
        <v>Selesai</v>
      </c>
      <c r="L2849" s="17">
        <f>IFERROR(__xludf.DUMMYFUNCTION("""COMPUTED_VALUE"""),45846.5340353125)</f>
        <v>45846.53404</v>
      </c>
      <c r="M2849" s="13"/>
      <c r="N2849" s="13" t="str">
        <f>IFERROR(__xludf.DUMMYFUNCTION("""COMPUTED_VALUE"""),"")</f>
        <v/>
      </c>
      <c r="O2849" s="13" t="str">
        <f t="shared" si="1"/>
        <v/>
      </c>
    </row>
    <row r="2850" ht="22.5" customHeight="1">
      <c r="B2850" s="13">
        <f>IFERROR(__xludf.DUMMYFUNCTION("""COMPUTED_VALUE"""),2845.0)</f>
        <v>2845</v>
      </c>
      <c r="C2850" s="13" t="str">
        <f>IFERROR(__xludf.DUMMYFUNCTION("""COMPUTED_VALUE"""),"M.6392/WAY KANDIS")</f>
        <v>M.6392/WAY KANDIS</v>
      </c>
      <c r="D2850" s="13" t="str">
        <f>IFERROR(__xludf.DUMMYFUNCTION("""COMPUTED_VALUE"""),"K/33/180625/1")</f>
        <v>K/33/180625/1</v>
      </c>
      <c r="E2850" s="14" t="str">
        <f>IFERROR(__xludf.DUMMYFUNCTION("""COMPUTED_VALUE"""),"Afriza (BT)")</f>
        <v>Afriza (BT)</v>
      </c>
      <c r="F2850" s="14" t="str">
        <f>IFERROR(__xludf.DUMMYFUNCTION("""COMPUTED_VALUE"""),"SELESAI (VIA PERMOHONAN)")</f>
        <v>SELESAI (VIA PERMOHONAN)</v>
      </c>
      <c r="G2850" s="17">
        <f>IFERROR(__xludf.DUMMYFUNCTION("""COMPUTED_VALUE"""),45846.40435938658)</f>
        <v>45846.40436</v>
      </c>
      <c r="H2850" s="14" t="str">
        <f>IFERROR(__xludf.DUMMYFUNCTION("""COMPUTED_VALUE"""),"Eci (SU)")</f>
        <v>Eci (SU)</v>
      </c>
      <c r="I2850" s="13" t="str">
        <f>IFERROR(__xludf.DUMMYFUNCTION("""COMPUTED_VALUE"""),"SELESAI (VIA PERMOHONAN)")</f>
        <v>SELESAI (VIA PERMOHONAN)</v>
      </c>
      <c r="J2850" s="17">
        <f>IFERROR(__xludf.DUMMYFUNCTION("""COMPUTED_VALUE"""),45846.53410708334)</f>
        <v>45846.53411</v>
      </c>
      <c r="K2850" s="13" t="str">
        <f>IFERROR(__xludf.DUMMYFUNCTION("""COMPUTED_VALUE"""),"Selesai")</f>
        <v>Selesai</v>
      </c>
      <c r="L2850" s="17">
        <f>IFERROR(__xludf.DUMMYFUNCTION("""COMPUTED_VALUE"""),45846.53410708334)</f>
        <v>45846.53411</v>
      </c>
      <c r="M2850" s="13"/>
      <c r="N2850" s="13" t="str">
        <f>IFERROR(__xludf.DUMMYFUNCTION("""COMPUTED_VALUE"""),"")</f>
        <v/>
      </c>
      <c r="O2850" s="13" t="str">
        <f t="shared" si="1"/>
        <v/>
      </c>
    </row>
    <row r="2851" ht="22.5" customHeight="1">
      <c r="B2851" s="13">
        <f>IFERROR(__xludf.DUMMYFUNCTION("""COMPUTED_VALUE"""),2846.0)</f>
        <v>2846</v>
      </c>
      <c r="C2851" s="13" t="str">
        <f>IFERROR(__xludf.DUMMYFUNCTION("""COMPUTED_VALUE"""),"M.6470/WAY KANDIS ")</f>
        <v>M.6470/WAY KANDIS </v>
      </c>
      <c r="D2851" s="13" t="str">
        <f>IFERROR(__xludf.DUMMYFUNCTION("""COMPUTED_VALUE"""),"K/35/180625/3")</f>
        <v>K/35/180625/3</v>
      </c>
      <c r="E2851" s="14" t="str">
        <f>IFERROR(__xludf.DUMMYFUNCTION("""COMPUTED_VALUE"""),"Afriza (BT)")</f>
        <v>Afriza (BT)</v>
      </c>
      <c r="F2851" s="14" t="str">
        <f>IFERROR(__xludf.DUMMYFUNCTION("""COMPUTED_VALUE"""),"SELESAI (VIA PERMOHONAN)")</f>
        <v>SELESAI (VIA PERMOHONAN)</v>
      </c>
      <c r="G2851" s="17">
        <f>IFERROR(__xludf.DUMMYFUNCTION("""COMPUTED_VALUE"""),45846.40461863426)</f>
        <v>45846.40462</v>
      </c>
      <c r="H2851" s="14" t="str">
        <f>IFERROR(__xludf.DUMMYFUNCTION("""COMPUTED_VALUE"""),"Eci (SU)")</f>
        <v>Eci (SU)</v>
      </c>
      <c r="I2851" s="13" t="str">
        <f>IFERROR(__xludf.DUMMYFUNCTION("""COMPUTED_VALUE"""),"SELESAI (VIA PERMOHONAN)")</f>
        <v>SELESAI (VIA PERMOHONAN)</v>
      </c>
      <c r="J2851" s="17">
        <f>IFERROR(__xludf.DUMMYFUNCTION("""COMPUTED_VALUE"""),45846.53417020834)</f>
        <v>45846.53417</v>
      </c>
      <c r="K2851" s="13" t="str">
        <f>IFERROR(__xludf.DUMMYFUNCTION("""COMPUTED_VALUE"""),"Selesai")</f>
        <v>Selesai</v>
      </c>
      <c r="L2851" s="17">
        <f>IFERROR(__xludf.DUMMYFUNCTION("""COMPUTED_VALUE"""),45846.53417020834)</f>
        <v>45846.53417</v>
      </c>
      <c r="M2851" s="13"/>
      <c r="N2851" s="13" t="str">
        <f>IFERROR(__xludf.DUMMYFUNCTION("""COMPUTED_VALUE"""),"")</f>
        <v/>
      </c>
      <c r="O2851" s="13" t="str">
        <f t="shared" si="1"/>
        <v/>
      </c>
    </row>
    <row r="2852" ht="22.5" customHeight="1">
      <c r="B2852" s="13">
        <f>IFERROR(__xludf.DUMMYFUNCTION("""COMPUTED_VALUE"""),2847.0)</f>
        <v>2847</v>
      </c>
      <c r="C2852" s="13" t="str">
        <f>IFERROR(__xludf.DUMMYFUNCTION("""COMPUTED_VALUE"""),"M.1591/BERINGIN JAYA")</f>
        <v>M.1591/BERINGIN JAYA</v>
      </c>
      <c r="D2852" s="13" t="str">
        <f>IFERROR(__xludf.DUMMYFUNCTION("""COMPUTED_VALUE"""),"K/5/250325/1")</f>
        <v>K/5/250325/1</v>
      </c>
      <c r="E2852" s="14" t="str">
        <f>IFERROR(__xludf.DUMMYFUNCTION("""COMPUTED_VALUE"""),"Afriza (BT)")</f>
        <v>Afriza (BT)</v>
      </c>
      <c r="F2852" s="14" t="str">
        <f>IFERROR(__xludf.DUMMYFUNCTION("""COMPUTED_VALUE"""),"SELESAI (VIA PERMOHONAN)")</f>
        <v>SELESAI (VIA PERMOHONAN)</v>
      </c>
      <c r="G2852" s="17">
        <f>IFERROR(__xludf.DUMMYFUNCTION("""COMPUTED_VALUE"""),45846.405004479166)</f>
        <v>45846.405</v>
      </c>
      <c r="H2852" s="14" t="str">
        <f>IFERROR(__xludf.DUMMYFUNCTION("""COMPUTED_VALUE"""),"Eci (SU)")</f>
        <v>Eci (SU)</v>
      </c>
      <c r="I2852" s="13" t="str">
        <f>IFERROR(__xludf.DUMMYFUNCTION("""COMPUTED_VALUE"""),"SELESAI (VIA PERMOHONAN)")</f>
        <v>SELESAI (VIA PERMOHONAN)</v>
      </c>
      <c r="J2852" s="17">
        <f>IFERROR(__xludf.DUMMYFUNCTION("""COMPUTED_VALUE"""),45846.534278506944)</f>
        <v>45846.53428</v>
      </c>
      <c r="K2852" s="13" t="str">
        <f>IFERROR(__xludf.DUMMYFUNCTION("""COMPUTED_VALUE"""),"Selesai")</f>
        <v>Selesai</v>
      </c>
      <c r="L2852" s="17">
        <f>IFERROR(__xludf.DUMMYFUNCTION("""COMPUTED_VALUE"""),45846.534278506944)</f>
        <v>45846.53428</v>
      </c>
      <c r="M2852" s="13"/>
      <c r="N2852" s="13" t="str">
        <f>IFERROR(__xludf.DUMMYFUNCTION("""COMPUTED_VALUE"""),"")</f>
        <v/>
      </c>
      <c r="O2852" s="13" t="str">
        <f t="shared" si="1"/>
        <v/>
      </c>
    </row>
    <row r="2853" ht="22.5" customHeight="1">
      <c r="B2853" s="13">
        <f>IFERROR(__xludf.DUMMYFUNCTION("""COMPUTED_VALUE"""),2848.0)</f>
        <v>2848</v>
      </c>
      <c r="C2853" s="13" t="str">
        <f>IFERROR(__xludf.DUMMYFUNCTION("""COMPUTED_VALUE"""),"HM 1011/KORPRI JAYA")</f>
        <v>HM 1011/KORPRI JAYA</v>
      </c>
      <c r="D2853" s="13" t="str">
        <f>IFERROR(__xludf.DUMMYFUNCTION("""COMPUTED_VALUE"""),"L/5/070525/1")</f>
        <v>L/5/070525/1</v>
      </c>
      <c r="E2853" s="14" t="str">
        <f>IFERROR(__xludf.DUMMYFUNCTION("""COMPUTED_VALUE"""),"Afriza (BT)")</f>
        <v>Afriza (BT)</v>
      </c>
      <c r="F2853" s="14" t="str">
        <f>IFERROR(__xludf.DUMMYFUNCTION("""COMPUTED_VALUE"""),"SELESAI (VIA PERMOHONAN)")</f>
        <v>SELESAI (VIA PERMOHONAN)</v>
      </c>
      <c r="G2853" s="17">
        <f>IFERROR(__xludf.DUMMYFUNCTION("""COMPUTED_VALUE"""),45846.41237762732)</f>
        <v>45846.41238</v>
      </c>
      <c r="H2853" s="14" t="str">
        <f>IFERROR(__xludf.DUMMYFUNCTION("""COMPUTED_VALUE"""),"Admin (Migrasi)")</f>
        <v>Admin (Migrasi)</v>
      </c>
      <c r="I2853" s="13" t="str">
        <f>IFERROR(__xludf.DUMMYFUNCTION("""COMPUTED_VALUE"""),"SELESAI (VIA PERMOHONAN)")</f>
        <v>SELESAI (VIA PERMOHONAN)</v>
      </c>
      <c r="J2853" s="17">
        <f>IFERROR(__xludf.DUMMYFUNCTION("""COMPUTED_VALUE"""),45846.412413819446)</f>
        <v>45846.41241</v>
      </c>
      <c r="K2853" s="13" t="str">
        <f>IFERROR(__xludf.DUMMYFUNCTION("""COMPUTED_VALUE"""),"Selesai")</f>
        <v>Selesai</v>
      </c>
      <c r="L2853" s="17">
        <f>IFERROR(__xludf.DUMMYFUNCTION("""COMPUTED_VALUE"""),45846.412413819446)</f>
        <v>45846.41241</v>
      </c>
      <c r="M2853" s="13"/>
      <c r="N2853" s="13" t="str">
        <f>IFERROR(__xludf.DUMMYFUNCTION("""COMPUTED_VALUE"""),"")</f>
        <v/>
      </c>
      <c r="O2853" s="13" t="str">
        <f t="shared" si="1"/>
        <v/>
      </c>
    </row>
    <row r="2854" ht="22.5" customHeight="1">
      <c r="B2854" s="13">
        <f>IFERROR(__xludf.DUMMYFUNCTION("""COMPUTED_VALUE"""),2849.0)</f>
        <v>2849</v>
      </c>
      <c r="C2854" s="13" t="str">
        <f>IFERROR(__xludf.DUMMYFUNCTION("""COMPUTED_VALUE"""),"M.146/WAY HALIM PERMAI")</f>
        <v>M.146/WAY HALIM PERMAI</v>
      </c>
      <c r="D2854" s="13" t="str">
        <f>IFERROR(__xludf.DUMMYFUNCTION("""COMPUTED_VALUE"""),"K/19/130625/1")</f>
        <v>K/19/130625/1</v>
      </c>
      <c r="E2854" s="14" t="str">
        <f>IFERROR(__xludf.DUMMYFUNCTION("""COMPUTED_VALUE"""),"Heri (BT)")</f>
        <v>Heri (BT)</v>
      </c>
      <c r="F2854" s="14" t="str">
        <f>IFERROR(__xludf.DUMMYFUNCTION("""COMPUTED_VALUE"""),"SELESAI (VIA PERMOHONAN)")</f>
        <v>SELESAI (VIA PERMOHONAN)</v>
      </c>
      <c r="G2854" s="17">
        <f>IFERROR(__xludf.DUMMYFUNCTION("""COMPUTED_VALUE"""),45846.60535982639)</f>
        <v>45846.60536</v>
      </c>
      <c r="H2854" s="14" t="str">
        <f>IFERROR(__xludf.DUMMYFUNCTION("""COMPUTED_VALUE"""),"Eci (SU)")</f>
        <v>Eci (SU)</v>
      </c>
      <c r="I2854" s="13" t="str">
        <f>IFERROR(__xludf.DUMMYFUNCTION("""COMPUTED_VALUE"""),"SELESAI (VIA PERMOHONAN)")</f>
        <v>SELESAI (VIA PERMOHONAN)</v>
      </c>
      <c r="J2854" s="17">
        <f>IFERROR(__xludf.DUMMYFUNCTION("""COMPUTED_VALUE"""),45846.650812708336)</f>
        <v>45846.65081</v>
      </c>
      <c r="K2854" s="13" t="str">
        <f>IFERROR(__xludf.DUMMYFUNCTION("""COMPUTED_VALUE"""),"Selesai")</f>
        <v>Selesai</v>
      </c>
      <c r="L2854" s="17">
        <f>IFERROR(__xludf.DUMMYFUNCTION("""COMPUTED_VALUE"""),45846.650812708336)</f>
        <v>45846.65081</v>
      </c>
      <c r="M2854" s="13"/>
      <c r="N2854" s="13" t="str">
        <f>IFERROR(__xludf.DUMMYFUNCTION("""COMPUTED_VALUE"""),"")</f>
        <v/>
      </c>
      <c r="O2854" s="13" t="str">
        <f t="shared" si="1"/>
        <v/>
      </c>
    </row>
    <row r="2855" ht="22.5" customHeight="1">
      <c r="B2855" s="13">
        <f>IFERROR(__xludf.DUMMYFUNCTION("""COMPUTED_VALUE"""),2850.0)</f>
        <v>2850</v>
      </c>
      <c r="C2855" s="13" t="str">
        <f>IFERROR(__xludf.DUMMYFUNCTION("""COMPUTED_VALUE"""),"M.6962/TANJUNG SENENG")</f>
        <v>M.6962/TANJUNG SENENG</v>
      </c>
      <c r="D2855" s="13" t="str">
        <f>IFERROR(__xludf.DUMMYFUNCTION("""COMPUTED_VALUE"""),"K/20/010725/2")</f>
        <v>K/20/010725/2</v>
      </c>
      <c r="E2855" s="14" t="str">
        <f>IFERROR(__xludf.DUMMYFUNCTION("""COMPUTED_VALUE"""),"Heri (BT)")</f>
        <v>Heri (BT)</v>
      </c>
      <c r="F2855" s="14" t="str">
        <f>IFERROR(__xludf.DUMMYFUNCTION("""COMPUTED_VALUE"""),"SELESAI (VIA PERMOHONAN)")</f>
        <v>SELESAI (VIA PERMOHONAN)</v>
      </c>
      <c r="G2855" s="17">
        <f>IFERROR(__xludf.DUMMYFUNCTION("""COMPUTED_VALUE"""),45846.6055274074)</f>
        <v>45846.60553</v>
      </c>
      <c r="H2855" s="14" t="str">
        <f>IFERROR(__xludf.DUMMYFUNCTION("""COMPUTED_VALUE"""),"Eci (SU)")</f>
        <v>Eci (SU)</v>
      </c>
      <c r="I2855" s="13" t="str">
        <f>IFERROR(__xludf.DUMMYFUNCTION("""COMPUTED_VALUE"""),"SELESAI (VIA PERMOHONAN)")</f>
        <v>SELESAI (VIA PERMOHONAN)</v>
      </c>
      <c r="J2855" s="17">
        <f>IFERROR(__xludf.DUMMYFUNCTION("""COMPUTED_VALUE"""),45846.650673067124)</f>
        <v>45846.65067</v>
      </c>
      <c r="K2855" s="13" t="str">
        <f>IFERROR(__xludf.DUMMYFUNCTION("""COMPUTED_VALUE"""),"Selesai")</f>
        <v>Selesai</v>
      </c>
      <c r="L2855" s="17">
        <f>IFERROR(__xludf.DUMMYFUNCTION("""COMPUTED_VALUE"""),45846.650673067124)</f>
        <v>45846.65067</v>
      </c>
      <c r="M2855" s="13"/>
      <c r="N2855" s="13" t="str">
        <f>IFERROR(__xludf.DUMMYFUNCTION("""COMPUTED_VALUE"""),"")</f>
        <v/>
      </c>
      <c r="O2855" s="13" t="str">
        <f t="shared" si="1"/>
        <v/>
      </c>
    </row>
    <row r="2856" ht="22.5" customHeight="1">
      <c r="B2856" s="13">
        <f>IFERROR(__xludf.DUMMYFUNCTION("""COMPUTED_VALUE"""),2851.0)</f>
        <v>2851</v>
      </c>
      <c r="C2856" s="13" t="str">
        <f>IFERROR(__xludf.DUMMYFUNCTION("""COMPUTED_VALUE"""),"M.1236/PERUMNAS WAY KANDIS")</f>
        <v>M.1236/PERUMNAS WAY KANDIS</v>
      </c>
      <c r="D2856" s="13" t="str">
        <f>IFERROR(__xludf.DUMMYFUNCTION("""COMPUTED_VALUE"""),"K/5/240625/1")</f>
        <v>K/5/240625/1</v>
      </c>
      <c r="E2856" s="14" t="str">
        <f>IFERROR(__xludf.DUMMYFUNCTION("""COMPUTED_VALUE"""),"Heri (BT)")</f>
        <v>Heri (BT)</v>
      </c>
      <c r="F2856" s="14" t="str">
        <f>IFERROR(__xludf.DUMMYFUNCTION("""COMPUTED_VALUE"""),"SELESAI (VIA PERMOHONAN)")</f>
        <v>SELESAI (VIA PERMOHONAN)</v>
      </c>
      <c r="G2856" s="17">
        <f>IFERROR(__xludf.DUMMYFUNCTION("""COMPUTED_VALUE"""),45846.60564854166)</f>
        <v>45846.60565</v>
      </c>
      <c r="H2856" s="14" t="str">
        <f>IFERROR(__xludf.DUMMYFUNCTION("""COMPUTED_VALUE"""),"Eci (SU)")</f>
        <v>Eci (SU)</v>
      </c>
      <c r="I2856" s="13" t="str">
        <f>IFERROR(__xludf.DUMMYFUNCTION("""COMPUTED_VALUE"""),"SELESAI (VIA PERMOHONAN)")</f>
        <v>SELESAI (VIA PERMOHONAN)</v>
      </c>
      <c r="J2856" s="17">
        <f>IFERROR(__xludf.DUMMYFUNCTION("""COMPUTED_VALUE"""),45846.6502559838)</f>
        <v>45846.65026</v>
      </c>
      <c r="K2856" s="13" t="str">
        <f>IFERROR(__xludf.DUMMYFUNCTION("""COMPUTED_VALUE"""),"Selesai")</f>
        <v>Selesai</v>
      </c>
      <c r="L2856" s="17">
        <f>IFERROR(__xludf.DUMMYFUNCTION("""COMPUTED_VALUE"""),45846.6502559838)</f>
        <v>45846.65026</v>
      </c>
      <c r="M2856" s="13"/>
      <c r="N2856" s="13" t="str">
        <f>IFERROR(__xludf.DUMMYFUNCTION("""COMPUTED_VALUE"""),"")</f>
        <v/>
      </c>
      <c r="O2856" s="13" t="str">
        <f t="shared" si="1"/>
        <v/>
      </c>
    </row>
    <row r="2857" ht="22.5" customHeight="1">
      <c r="B2857" s="13">
        <f>IFERROR(__xludf.DUMMYFUNCTION("""COMPUTED_VALUE"""),2852.0)</f>
        <v>2852</v>
      </c>
      <c r="C2857" s="13" t="str">
        <f>IFERROR(__xludf.DUMMYFUNCTION("""COMPUTED_VALUE"""),"M.1320/RAJABASA JAYA")</f>
        <v>M.1320/RAJABASA JAYA</v>
      </c>
      <c r="D2857" s="13" t="str">
        <f>IFERROR(__xludf.DUMMYFUNCTION("""COMPUTED_VALUE"""),"K/11/190625/1")</f>
        <v>K/11/190625/1</v>
      </c>
      <c r="E2857" s="14" t="str">
        <f>IFERROR(__xludf.DUMMYFUNCTION("""COMPUTED_VALUE"""),"Heri (BT)")</f>
        <v>Heri (BT)</v>
      </c>
      <c r="F2857" s="14" t="str">
        <f>IFERROR(__xludf.DUMMYFUNCTION("""COMPUTED_VALUE"""),"SELESAI (VIA PERMOHONAN)")</f>
        <v>SELESAI (VIA PERMOHONAN)</v>
      </c>
      <c r="G2857" s="17">
        <f>IFERROR(__xludf.DUMMYFUNCTION("""COMPUTED_VALUE"""),45846.60589939815)</f>
        <v>45846.6059</v>
      </c>
      <c r="H2857" s="14" t="str">
        <f>IFERROR(__xludf.DUMMYFUNCTION("""COMPUTED_VALUE"""),"Eci (SU)")</f>
        <v>Eci (SU)</v>
      </c>
      <c r="I2857" s="13" t="str">
        <f>IFERROR(__xludf.DUMMYFUNCTION("""COMPUTED_VALUE"""),"SELESAI (VIA PERMOHONAN)")</f>
        <v>SELESAI (VIA PERMOHONAN)</v>
      </c>
      <c r="J2857" s="17">
        <f>IFERROR(__xludf.DUMMYFUNCTION("""COMPUTED_VALUE"""),45846.65057346065)</f>
        <v>45846.65057</v>
      </c>
      <c r="K2857" s="13" t="str">
        <f>IFERROR(__xludf.DUMMYFUNCTION("""COMPUTED_VALUE"""),"Selesai")</f>
        <v>Selesai</v>
      </c>
      <c r="L2857" s="17">
        <f>IFERROR(__xludf.DUMMYFUNCTION("""COMPUTED_VALUE"""),45846.65057346065)</f>
        <v>45846.65057</v>
      </c>
      <c r="M2857" s="13"/>
      <c r="N2857" s="13" t="str">
        <f>IFERROR(__xludf.DUMMYFUNCTION("""COMPUTED_VALUE"""),"")</f>
        <v/>
      </c>
      <c r="O2857" s="13" t="str">
        <f t="shared" si="1"/>
        <v/>
      </c>
    </row>
    <row r="2858" ht="22.5" customHeight="1">
      <c r="B2858" s="13">
        <f>IFERROR(__xludf.DUMMYFUNCTION("""COMPUTED_VALUE"""),2853.0)</f>
        <v>2853</v>
      </c>
      <c r="C2858" s="13" t="str">
        <f>IFERROR(__xludf.DUMMYFUNCTION("""COMPUTED_VALUE"""),"M.6393/WAY KANDIS")</f>
        <v>M.6393/WAY KANDIS</v>
      </c>
      <c r="D2858" s="13" t="str">
        <f>IFERROR(__xludf.DUMMYFUNCTION("""COMPUTED_VALUE"""),"K/3/200625/1")</f>
        <v>K/3/200625/1</v>
      </c>
      <c r="E2858" s="14" t="str">
        <f>IFERROR(__xludf.DUMMYFUNCTION("""COMPUTED_VALUE"""),"Heri (BT)")</f>
        <v>Heri (BT)</v>
      </c>
      <c r="F2858" s="14" t="str">
        <f>IFERROR(__xludf.DUMMYFUNCTION("""COMPUTED_VALUE"""),"SELESAI (VIA PERMOHONAN)")</f>
        <v>SELESAI (VIA PERMOHONAN)</v>
      </c>
      <c r="G2858" s="17">
        <f>IFERROR(__xludf.DUMMYFUNCTION("""COMPUTED_VALUE"""),45846.605985856484)</f>
        <v>45846.60599</v>
      </c>
      <c r="H2858" s="14" t="str">
        <f>IFERROR(__xludf.DUMMYFUNCTION("""COMPUTED_VALUE"""),"Eci (SU)")</f>
        <v>Eci (SU)</v>
      </c>
      <c r="I2858" s="13" t="str">
        <f>IFERROR(__xludf.DUMMYFUNCTION("""COMPUTED_VALUE"""),"SELESAI (VIA PERMOHONAN)")</f>
        <v>SELESAI (VIA PERMOHONAN)</v>
      </c>
      <c r="J2858" s="17">
        <f>IFERROR(__xludf.DUMMYFUNCTION("""COMPUTED_VALUE"""),45846.65049209491)</f>
        <v>45846.65049</v>
      </c>
      <c r="K2858" s="13" t="str">
        <f>IFERROR(__xludf.DUMMYFUNCTION("""COMPUTED_VALUE"""),"Selesai")</f>
        <v>Selesai</v>
      </c>
      <c r="L2858" s="17">
        <f>IFERROR(__xludf.DUMMYFUNCTION("""COMPUTED_VALUE"""),45846.65049209491)</f>
        <v>45846.65049</v>
      </c>
      <c r="M2858" s="13"/>
      <c r="N2858" s="13" t="str">
        <f>IFERROR(__xludf.DUMMYFUNCTION("""COMPUTED_VALUE"""),"")</f>
        <v/>
      </c>
      <c r="O2858" s="13" t="str">
        <f t="shared" si="1"/>
        <v/>
      </c>
    </row>
    <row r="2859" ht="22.5" customHeight="1">
      <c r="B2859" s="13">
        <f>IFERROR(__xludf.DUMMYFUNCTION("""COMPUTED_VALUE"""),2854.0)</f>
        <v>2854</v>
      </c>
      <c r="C2859" s="13" t="str">
        <f>IFERROR(__xludf.DUMMYFUNCTION("""COMPUTED_VALUE"""),"M.1983/SUSUNAN BARU")</f>
        <v>M.1983/SUSUNAN BARU</v>
      </c>
      <c r="D2859" s="13" t="str">
        <f>IFERROR(__xludf.DUMMYFUNCTION("""COMPUTED_VALUE"""),"K/24/170625/1")</f>
        <v>K/24/170625/1</v>
      </c>
      <c r="E2859" s="14" t="str">
        <f>IFERROR(__xludf.DUMMYFUNCTION("""COMPUTED_VALUE"""),"Heri (BT)")</f>
        <v>Heri (BT)</v>
      </c>
      <c r="F2859" s="14" t="str">
        <f>IFERROR(__xludf.DUMMYFUNCTION("""COMPUTED_VALUE"""),"SELESAI (VIA PERMOHONAN)")</f>
        <v>SELESAI (VIA PERMOHONAN)</v>
      </c>
      <c r="G2859" s="17">
        <f>IFERROR(__xludf.DUMMYFUNCTION("""COMPUTED_VALUE"""),45846.60613493055)</f>
        <v>45846.60613</v>
      </c>
      <c r="H2859" s="14" t="str">
        <f>IFERROR(__xludf.DUMMYFUNCTION("""COMPUTED_VALUE"""),"Eci (SU)")</f>
        <v>Eci (SU)</v>
      </c>
      <c r="I2859" s="13" t="str">
        <f>IFERROR(__xludf.DUMMYFUNCTION("""COMPUTED_VALUE"""),"SELESAI (VIA PERMOHONAN)")</f>
        <v>SELESAI (VIA PERMOHONAN)</v>
      </c>
      <c r="J2859" s="17">
        <f>IFERROR(__xludf.DUMMYFUNCTION("""COMPUTED_VALUE"""),45846.65040012731)</f>
        <v>45846.6504</v>
      </c>
      <c r="K2859" s="13" t="str">
        <f>IFERROR(__xludf.DUMMYFUNCTION("""COMPUTED_VALUE"""),"Selesai")</f>
        <v>Selesai</v>
      </c>
      <c r="L2859" s="17">
        <f>IFERROR(__xludf.DUMMYFUNCTION("""COMPUTED_VALUE"""),45846.65040012731)</f>
        <v>45846.6504</v>
      </c>
      <c r="M2859" s="13"/>
      <c r="N2859" s="13" t="str">
        <f>IFERROR(__xludf.DUMMYFUNCTION("""COMPUTED_VALUE"""),"")</f>
        <v/>
      </c>
      <c r="O2859" s="13" t="str">
        <f t="shared" si="1"/>
        <v/>
      </c>
    </row>
    <row r="2860" ht="22.5" customHeight="1">
      <c r="B2860" s="13">
        <f>IFERROR(__xludf.DUMMYFUNCTION("""COMPUTED_VALUE"""),2855.0)</f>
        <v>2855</v>
      </c>
      <c r="C2860" s="13" t="str">
        <f>IFERROR(__xludf.DUMMYFUNCTION("""COMPUTED_VALUE"""),"M. 12688/KALI BALAU KENCANA")</f>
        <v>M. 12688/KALI BALAU KENCANA</v>
      </c>
      <c r="D2860" s="13" t="str">
        <f>IFERROR(__xludf.DUMMYFUNCTION("""COMPUTED_VALUE"""),"K/38/120625/1")</f>
        <v>K/38/120625/1</v>
      </c>
      <c r="E2860" s="14" t="str">
        <f>IFERROR(__xludf.DUMMYFUNCTION("""COMPUTED_VALUE"""),"Heri (BT)")</f>
        <v>Heri (BT)</v>
      </c>
      <c r="F2860" s="14" t="str">
        <f>IFERROR(__xludf.DUMMYFUNCTION("""COMPUTED_VALUE"""),"SELESAI (VIA PERMOHONAN)")</f>
        <v>SELESAI (VIA PERMOHONAN)</v>
      </c>
      <c r="G2860" s="17">
        <f>IFERROR(__xludf.DUMMYFUNCTION("""COMPUTED_VALUE"""),45846.60627740741)</f>
        <v>45846.60628</v>
      </c>
      <c r="H2860" s="14" t="str">
        <f>IFERROR(__xludf.DUMMYFUNCTION("""COMPUTED_VALUE"""),"Eci (SU)")</f>
        <v>Eci (SU)</v>
      </c>
      <c r="I2860" s="13" t="str">
        <f>IFERROR(__xludf.DUMMYFUNCTION("""COMPUTED_VALUE"""),"SELESAI (VIA PERMOHONAN)")</f>
        <v>SELESAI (VIA PERMOHONAN)</v>
      </c>
      <c r="J2860" s="17">
        <f>IFERROR(__xludf.DUMMYFUNCTION("""COMPUTED_VALUE"""),45847.62009067129)</f>
        <v>45847.62009</v>
      </c>
      <c r="K2860" s="13" t="str">
        <f>IFERROR(__xludf.DUMMYFUNCTION("""COMPUTED_VALUE"""),"Selesai")</f>
        <v>Selesai</v>
      </c>
      <c r="L2860" s="17">
        <f>IFERROR(__xludf.DUMMYFUNCTION("""COMPUTED_VALUE"""),45847.62009067129)</f>
        <v>45847.62009</v>
      </c>
      <c r="M2860" s="13"/>
      <c r="N2860" s="13" t="str">
        <f>IFERROR(__xludf.DUMMYFUNCTION("""COMPUTED_VALUE"""),"")</f>
        <v/>
      </c>
      <c r="O2860" s="13" t="str">
        <f t="shared" si="1"/>
        <v/>
      </c>
    </row>
    <row r="2861" ht="22.5" customHeight="1">
      <c r="B2861" s="13">
        <f>IFERROR(__xludf.DUMMYFUNCTION("""COMPUTED_VALUE"""),2856.0)</f>
        <v>2856</v>
      </c>
      <c r="C2861" s="13" t="str">
        <f>IFERROR(__xludf.DUMMYFUNCTION("""COMPUTED_VALUE"""),"M. 5831/ Way Kandis")</f>
        <v>M. 5831/ Way Kandis</v>
      </c>
      <c r="D2861" s="13" t="str">
        <f>IFERROR(__xludf.DUMMYFUNCTION("""COMPUTED_VALUE"""),"K/34/260625/2")</f>
        <v>K/34/260625/2</v>
      </c>
      <c r="E2861" s="14" t="str">
        <f>IFERROR(__xludf.DUMMYFUNCTION("""COMPUTED_VALUE"""),"Heri (BT)")</f>
        <v>Heri (BT)</v>
      </c>
      <c r="F2861" s="14" t="str">
        <f>IFERROR(__xludf.DUMMYFUNCTION("""COMPUTED_VALUE"""),"SELESAI (VIA PERMOHONAN)")</f>
        <v>SELESAI (VIA PERMOHONAN)</v>
      </c>
      <c r="G2861" s="17">
        <f>IFERROR(__xludf.DUMMYFUNCTION("""COMPUTED_VALUE"""),45846.6064396875)</f>
        <v>45846.60644</v>
      </c>
      <c r="H2861" s="14" t="str">
        <f>IFERROR(__xludf.DUMMYFUNCTION("""COMPUTED_VALUE"""),"Eci (SU)")</f>
        <v>Eci (SU)</v>
      </c>
      <c r="I2861" s="13" t="str">
        <f>IFERROR(__xludf.DUMMYFUNCTION("""COMPUTED_VALUE"""),"SELESAI (VIA PERMOHONAN)")</f>
        <v>SELESAI (VIA PERMOHONAN)</v>
      </c>
      <c r="J2861" s="17">
        <f>IFERROR(__xludf.DUMMYFUNCTION("""COMPUTED_VALUE"""),45846.66295835648)</f>
        <v>45846.66296</v>
      </c>
      <c r="K2861" s="13" t="str">
        <f>IFERROR(__xludf.DUMMYFUNCTION("""COMPUTED_VALUE"""),"Selesai")</f>
        <v>Selesai</v>
      </c>
      <c r="L2861" s="17">
        <f>IFERROR(__xludf.DUMMYFUNCTION("""COMPUTED_VALUE"""),45846.66295835648)</f>
        <v>45846.66296</v>
      </c>
      <c r="M2861" s="13"/>
      <c r="N2861" s="13" t="str">
        <f>IFERROR(__xludf.DUMMYFUNCTION("""COMPUTED_VALUE"""),"")</f>
        <v/>
      </c>
      <c r="O2861" s="13" t="str">
        <f t="shared" si="1"/>
        <v/>
      </c>
    </row>
    <row r="2862" ht="22.5" customHeight="1">
      <c r="B2862" s="13">
        <f>IFERROR(__xludf.DUMMYFUNCTION("""COMPUTED_VALUE"""),2857.0)</f>
        <v>2857</v>
      </c>
      <c r="C2862" s="13" t="str">
        <f>IFERROR(__xludf.DUMMYFUNCTION("""COMPUTED_VALUE"""),"M. 803/ Pecoh Roya")</f>
        <v>M. 803/ Pecoh Roya</v>
      </c>
      <c r="D2862" s="13" t="str">
        <f>IFERROR(__xludf.DUMMYFUNCTION("""COMPUTED_VALUE"""),"K/16/030625/2")</f>
        <v>K/16/030625/2</v>
      </c>
      <c r="E2862" s="14" t="str">
        <f>IFERROR(__xludf.DUMMYFUNCTION("""COMPUTED_VALUE"""),"Heri (BT)")</f>
        <v>Heri (BT)</v>
      </c>
      <c r="F2862" s="14" t="str">
        <f>IFERROR(__xludf.DUMMYFUNCTION("""COMPUTED_VALUE"""),"SELESAI (VIA PERMOHONAN)")</f>
        <v>SELESAI (VIA PERMOHONAN)</v>
      </c>
      <c r="G2862" s="17">
        <f>IFERROR(__xludf.DUMMYFUNCTION("""COMPUTED_VALUE"""),45846.6066008912)</f>
        <v>45846.6066</v>
      </c>
      <c r="H2862" s="14" t="str">
        <f>IFERROR(__xludf.DUMMYFUNCTION("""COMPUTED_VALUE"""),"Eci (SU)")</f>
        <v>Eci (SU)</v>
      </c>
      <c r="I2862" s="13" t="str">
        <f>IFERROR(__xludf.DUMMYFUNCTION("""COMPUTED_VALUE"""),"SELESAI (VIA PERMOHONAN)")</f>
        <v>SELESAI (VIA PERMOHONAN)</v>
      </c>
      <c r="J2862" s="17">
        <f>IFERROR(__xludf.DUMMYFUNCTION("""COMPUTED_VALUE"""),45847.62081905092)</f>
        <v>45847.62082</v>
      </c>
      <c r="K2862" s="13" t="str">
        <f>IFERROR(__xludf.DUMMYFUNCTION("""COMPUTED_VALUE"""),"Selesai")</f>
        <v>Selesai</v>
      </c>
      <c r="L2862" s="17">
        <f>IFERROR(__xludf.DUMMYFUNCTION("""COMPUTED_VALUE"""),45847.62081905092)</f>
        <v>45847.62082</v>
      </c>
      <c r="M2862" s="13"/>
      <c r="N2862" s="13" t="str">
        <f>IFERROR(__xludf.DUMMYFUNCTION("""COMPUTED_VALUE"""),"")</f>
        <v/>
      </c>
      <c r="O2862" s="13" t="str">
        <f t="shared" si="1"/>
        <v/>
      </c>
    </row>
    <row r="2863" ht="22.5" customHeight="1">
      <c r="B2863" s="13">
        <f>IFERROR(__xludf.DUMMYFUNCTION("""COMPUTED_VALUE"""),2858.0)</f>
        <v>2858</v>
      </c>
      <c r="C2863" s="13" t="str">
        <f>IFERROR(__xludf.DUMMYFUNCTION("""COMPUTED_VALUE"""),"M. 742/ Tanjung Gading")</f>
        <v>M. 742/ Tanjung Gading</v>
      </c>
      <c r="D2863" s="13" t="str">
        <f>IFERROR(__xludf.DUMMYFUNCTION("""COMPUTED_VALUE"""),"K/40/150525/1")</f>
        <v>K/40/150525/1</v>
      </c>
      <c r="E2863" s="14" t="str">
        <f>IFERROR(__xludf.DUMMYFUNCTION("""COMPUTED_VALUE"""),"Heri (BT)")</f>
        <v>Heri (BT)</v>
      </c>
      <c r="F2863" s="14" t="str">
        <f>IFERROR(__xludf.DUMMYFUNCTION("""COMPUTED_VALUE"""),"SELESAI (VIA PERMOHONAN)")</f>
        <v>SELESAI (VIA PERMOHONAN)</v>
      </c>
      <c r="G2863" s="17">
        <f>IFERROR(__xludf.DUMMYFUNCTION("""COMPUTED_VALUE"""),45846.60674959491)</f>
        <v>45846.60675</v>
      </c>
      <c r="H2863" s="14" t="str">
        <f>IFERROR(__xludf.DUMMYFUNCTION("""COMPUTED_VALUE"""),"Eci (SU)")</f>
        <v>Eci (SU)</v>
      </c>
      <c r="I2863" s="13" t="str">
        <f>IFERROR(__xludf.DUMMYFUNCTION("""COMPUTED_VALUE"""),"SELESAI (VIA PERMOHONAN)")</f>
        <v>SELESAI (VIA PERMOHONAN)</v>
      </c>
      <c r="J2863" s="17">
        <f>IFERROR(__xludf.DUMMYFUNCTION("""COMPUTED_VALUE"""),45847.620703125)</f>
        <v>45847.6207</v>
      </c>
      <c r="K2863" s="13" t="str">
        <f>IFERROR(__xludf.DUMMYFUNCTION("""COMPUTED_VALUE"""),"Selesai")</f>
        <v>Selesai</v>
      </c>
      <c r="L2863" s="17">
        <f>IFERROR(__xludf.DUMMYFUNCTION("""COMPUTED_VALUE"""),45847.620703125)</f>
        <v>45847.6207</v>
      </c>
      <c r="M2863" s="13"/>
      <c r="N2863" s="13" t="str">
        <f>IFERROR(__xludf.DUMMYFUNCTION("""COMPUTED_VALUE"""),"")</f>
        <v/>
      </c>
      <c r="O2863" s="13" t="str">
        <f t="shared" si="1"/>
        <v/>
      </c>
    </row>
    <row r="2864" ht="22.5" customHeight="1">
      <c r="B2864" s="13">
        <f>IFERROR(__xludf.DUMMYFUNCTION("""COMPUTED_VALUE"""),2859.0)</f>
        <v>2859</v>
      </c>
      <c r="C2864" s="13" t="str">
        <f>IFERROR(__xludf.DUMMYFUNCTION("""COMPUTED_VALUE"""),"M. 4908/WAY KANDIS")</f>
        <v>M. 4908/WAY KANDIS</v>
      </c>
      <c r="D2864" s="13" t="str">
        <f>IFERROR(__xludf.DUMMYFUNCTION("""COMPUTED_VALUE"""),"K/40/180625/1")</f>
        <v>K/40/180625/1</v>
      </c>
      <c r="E2864" s="14" t="str">
        <f>IFERROR(__xludf.DUMMYFUNCTION("""COMPUTED_VALUE"""),"Heri (BT)")</f>
        <v>Heri (BT)</v>
      </c>
      <c r="F2864" s="14" t="str">
        <f>IFERROR(__xludf.DUMMYFUNCTION("""COMPUTED_VALUE"""),"SELESAI (VIA PERMOHONAN)")</f>
        <v>SELESAI (VIA PERMOHONAN)</v>
      </c>
      <c r="G2864" s="17">
        <f>IFERROR(__xludf.DUMMYFUNCTION("""COMPUTED_VALUE"""),45846.60689520833)</f>
        <v>45846.6069</v>
      </c>
      <c r="H2864" s="14" t="str">
        <f>IFERROR(__xludf.DUMMYFUNCTION("""COMPUTED_VALUE"""),"Eci (SU)")</f>
        <v>Eci (SU)</v>
      </c>
      <c r="I2864" s="13" t="str">
        <f>IFERROR(__xludf.DUMMYFUNCTION("""COMPUTED_VALUE"""),"SELESAI (VIA PERMOHONAN)")</f>
        <v>SELESAI (VIA PERMOHONAN)</v>
      </c>
      <c r="J2864" s="17">
        <f>IFERROR(__xludf.DUMMYFUNCTION("""COMPUTED_VALUE"""),45846.662854305556)</f>
        <v>45846.66285</v>
      </c>
      <c r="K2864" s="13" t="str">
        <f>IFERROR(__xludf.DUMMYFUNCTION("""COMPUTED_VALUE"""),"Selesai")</f>
        <v>Selesai</v>
      </c>
      <c r="L2864" s="17">
        <f>IFERROR(__xludf.DUMMYFUNCTION("""COMPUTED_VALUE"""),45846.662854305556)</f>
        <v>45846.66285</v>
      </c>
      <c r="M2864" s="13"/>
      <c r="N2864" s="13" t="str">
        <f>IFERROR(__xludf.DUMMYFUNCTION("""COMPUTED_VALUE"""),"")</f>
        <v/>
      </c>
      <c r="O2864" s="13" t="str">
        <f t="shared" si="1"/>
        <v/>
      </c>
    </row>
    <row r="2865" ht="22.5" customHeight="1">
      <c r="B2865" s="13">
        <f>IFERROR(__xludf.DUMMYFUNCTION("""COMPUTED_VALUE"""),2860.0)</f>
        <v>2860</v>
      </c>
      <c r="C2865" s="13" t="str">
        <f>IFERROR(__xludf.DUMMYFUNCTION("""COMPUTED_VALUE"""),"B. 902/SUKARAME BARU")</f>
        <v>B. 902/SUKARAME BARU</v>
      </c>
      <c r="D2865" s="13" t="str">
        <f>IFERROR(__xludf.DUMMYFUNCTION("""COMPUTED_VALUE"""),"K/6/240625/1")</f>
        <v>K/6/240625/1</v>
      </c>
      <c r="E2865" s="14" t="str">
        <f>IFERROR(__xludf.DUMMYFUNCTION("""COMPUTED_VALUE"""),"Heri (BT)")</f>
        <v>Heri (BT)</v>
      </c>
      <c r="F2865" s="14" t="str">
        <f>IFERROR(__xludf.DUMMYFUNCTION("""COMPUTED_VALUE"""),"SELESAI (VIA PERMOHONAN)")</f>
        <v>SELESAI (VIA PERMOHONAN)</v>
      </c>
      <c r="G2865" s="17">
        <f>IFERROR(__xludf.DUMMYFUNCTION("""COMPUTED_VALUE"""),45846.60705582176)</f>
        <v>45846.60706</v>
      </c>
      <c r="H2865" s="14" t="str">
        <f>IFERROR(__xludf.DUMMYFUNCTION("""COMPUTED_VALUE"""),"Eci (SU)")</f>
        <v>Eci (SU)</v>
      </c>
      <c r="I2865" s="13" t="str">
        <f>IFERROR(__xludf.DUMMYFUNCTION("""COMPUTED_VALUE"""),"SELESAI (VIA PERMOHONAN)")</f>
        <v>SELESAI (VIA PERMOHONAN)</v>
      </c>
      <c r="J2865" s="17">
        <f>IFERROR(__xludf.DUMMYFUNCTION("""COMPUTED_VALUE"""),45847.62061005787)</f>
        <v>45847.62061</v>
      </c>
      <c r="K2865" s="13" t="str">
        <f>IFERROR(__xludf.DUMMYFUNCTION("""COMPUTED_VALUE"""),"Selesai")</f>
        <v>Selesai</v>
      </c>
      <c r="L2865" s="17">
        <f>IFERROR(__xludf.DUMMYFUNCTION("""COMPUTED_VALUE"""),45847.62061005787)</f>
        <v>45847.62061</v>
      </c>
      <c r="M2865" s="13"/>
      <c r="N2865" s="13" t="str">
        <f>IFERROR(__xludf.DUMMYFUNCTION("""COMPUTED_VALUE"""),"")</f>
        <v/>
      </c>
      <c r="O2865" s="13" t="str">
        <f t="shared" si="1"/>
        <v/>
      </c>
    </row>
    <row r="2866" ht="22.5" customHeight="1">
      <c r="B2866" s="13">
        <f>IFERROR(__xludf.DUMMYFUNCTION("""COMPUTED_VALUE"""),2861.0)</f>
        <v>2861</v>
      </c>
      <c r="C2866" s="13" t="str">
        <f>IFERROR(__xludf.DUMMYFUNCTION("""COMPUTED_VALUE"""),"M. 9107/TANJUNG BARU")</f>
        <v>M. 9107/TANJUNG BARU</v>
      </c>
      <c r="D2866" s="13" t="str">
        <f>IFERROR(__xludf.DUMMYFUNCTION("""COMPUTED_VALUE"""),"K/7/230625/2")</f>
        <v>K/7/230625/2</v>
      </c>
      <c r="E2866" s="14" t="str">
        <f>IFERROR(__xludf.DUMMYFUNCTION("""COMPUTED_VALUE"""),"Heri (BT)")</f>
        <v>Heri (BT)</v>
      </c>
      <c r="F2866" s="14" t="str">
        <f>IFERROR(__xludf.DUMMYFUNCTION("""COMPUTED_VALUE"""),"SELESAI (VIA PERMOHONAN)")</f>
        <v>SELESAI (VIA PERMOHONAN)</v>
      </c>
      <c r="G2866" s="17">
        <f>IFERROR(__xludf.DUMMYFUNCTION("""COMPUTED_VALUE"""),45846.60722967592)</f>
        <v>45846.60723</v>
      </c>
      <c r="H2866" s="14" t="str">
        <f>IFERROR(__xludf.DUMMYFUNCTION("""COMPUTED_VALUE"""),"Eci (SU)")</f>
        <v>Eci (SU)</v>
      </c>
      <c r="I2866" s="13" t="str">
        <f>IFERROR(__xludf.DUMMYFUNCTION("""COMPUTED_VALUE"""),"SELESAI (VIA PERMOHONAN)")</f>
        <v>SELESAI (VIA PERMOHONAN)</v>
      </c>
      <c r="J2866" s="17">
        <f>IFERROR(__xludf.DUMMYFUNCTION("""COMPUTED_VALUE"""),45846.66272769676)</f>
        <v>45846.66273</v>
      </c>
      <c r="K2866" s="13" t="str">
        <f>IFERROR(__xludf.DUMMYFUNCTION("""COMPUTED_VALUE"""),"Selesai")</f>
        <v>Selesai</v>
      </c>
      <c r="L2866" s="17">
        <f>IFERROR(__xludf.DUMMYFUNCTION("""COMPUTED_VALUE"""),45846.66272769676)</f>
        <v>45846.66273</v>
      </c>
      <c r="M2866" s="13"/>
      <c r="N2866" s="13" t="str">
        <f>IFERROR(__xludf.DUMMYFUNCTION("""COMPUTED_VALUE"""),"")</f>
        <v/>
      </c>
      <c r="O2866" s="13" t="str">
        <f t="shared" si="1"/>
        <v/>
      </c>
    </row>
    <row r="2867" ht="22.5" customHeight="1">
      <c r="B2867" s="13">
        <f>IFERROR(__xludf.DUMMYFUNCTION("""COMPUTED_VALUE"""),2862.0)</f>
        <v>2862</v>
      </c>
      <c r="C2867" s="13" t="str">
        <f>IFERROR(__xludf.DUMMYFUNCTION("""COMPUTED_VALUE"""),"M. 1268/LANGKAPURA BARU")</f>
        <v>M. 1268/LANGKAPURA BARU</v>
      </c>
      <c r="D2867" s="13" t="str">
        <f>IFERROR(__xludf.DUMMYFUNCTION("""COMPUTED_VALUE"""),"K/14/270525/1")</f>
        <v>K/14/270525/1</v>
      </c>
      <c r="E2867" s="14" t="str">
        <f>IFERROR(__xludf.DUMMYFUNCTION("""COMPUTED_VALUE"""),"Heri (BT)")</f>
        <v>Heri (BT)</v>
      </c>
      <c r="F2867" s="14" t="str">
        <f>IFERROR(__xludf.DUMMYFUNCTION("""COMPUTED_VALUE"""),"SELESAI (VIA PERMOHONAN)")</f>
        <v>SELESAI (VIA PERMOHONAN)</v>
      </c>
      <c r="G2867" s="17">
        <f>IFERROR(__xludf.DUMMYFUNCTION("""COMPUTED_VALUE"""),45846.6073965625)</f>
        <v>45846.6074</v>
      </c>
      <c r="H2867" s="14" t="str">
        <f>IFERROR(__xludf.DUMMYFUNCTION("""COMPUTED_VALUE"""),"Eci (SU)")</f>
        <v>Eci (SU)</v>
      </c>
      <c r="I2867" s="13" t="str">
        <f>IFERROR(__xludf.DUMMYFUNCTION("""COMPUTED_VALUE"""),"SELESAI (VIA PERMOHONAN)")</f>
        <v>SELESAI (VIA PERMOHONAN)</v>
      </c>
      <c r="J2867" s="17">
        <f>IFERROR(__xludf.DUMMYFUNCTION("""COMPUTED_VALUE"""),45847.46619127315)</f>
        <v>45847.46619</v>
      </c>
      <c r="K2867" s="13" t="str">
        <f>IFERROR(__xludf.DUMMYFUNCTION("""COMPUTED_VALUE"""),"Selesai")</f>
        <v>Selesai</v>
      </c>
      <c r="L2867" s="17">
        <f>IFERROR(__xludf.DUMMYFUNCTION("""COMPUTED_VALUE"""),45847.46619127315)</f>
        <v>45847.46619</v>
      </c>
      <c r="M2867" s="13"/>
      <c r="N2867" s="13" t="str">
        <f>IFERROR(__xludf.DUMMYFUNCTION("""COMPUTED_VALUE"""),"")</f>
        <v/>
      </c>
      <c r="O2867" s="13" t="str">
        <f t="shared" si="1"/>
        <v/>
      </c>
    </row>
    <row r="2868" ht="22.5" customHeight="1">
      <c r="B2868" s="13">
        <f>IFERROR(__xludf.DUMMYFUNCTION("""COMPUTED_VALUE"""),2863.0)</f>
        <v>2863</v>
      </c>
      <c r="C2868" s="13" t="str">
        <f>IFERROR(__xludf.DUMMYFUNCTION("""COMPUTED_VALUE"""),"M.2339/SUKAMAJU")</f>
        <v>M.2339/SUKAMAJU</v>
      </c>
      <c r="D2868" s="13" t="str">
        <f>IFERROR(__xludf.DUMMYFUNCTION("""COMPUTED_VALUE"""),"K/11/170625/1")</f>
        <v>K/11/170625/1</v>
      </c>
      <c r="E2868" s="14" t="str">
        <f>IFERROR(__xludf.DUMMYFUNCTION("""COMPUTED_VALUE"""),"Heri (BT)")</f>
        <v>Heri (BT)</v>
      </c>
      <c r="F2868" s="14" t="str">
        <f>IFERROR(__xludf.DUMMYFUNCTION("""COMPUTED_VALUE"""),"SELESAI (VIA PERMOHONAN)")</f>
        <v>SELESAI (VIA PERMOHONAN)</v>
      </c>
      <c r="G2868" s="17">
        <f>IFERROR(__xludf.DUMMYFUNCTION("""COMPUTED_VALUE"""),45846.60759039352)</f>
        <v>45846.60759</v>
      </c>
      <c r="H2868" s="14" t="str">
        <f>IFERROR(__xludf.DUMMYFUNCTION("""COMPUTED_VALUE"""),"Eci (SU)")</f>
        <v>Eci (SU)</v>
      </c>
      <c r="I2868" s="13" t="str">
        <f>IFERROR(__xludf.DUMMYFUNCTION("""COMPUTED_VALUE"""),"SELESAI (VIA PERMOHONAN)")</f>
        <v>SELESAI (VIA PERMOHONAN)</v>
      </c>
      <c r="J2868" s="17">
        <f>IFERROR(__xludf.DUMMYFUNCTION("""COMPUTED_VALUE"""),45846.66257893518)</f>
        <v>45846.66258</v>
      </c>
      <c r="K2868" s="13" t="str">
        <f>IFERROR(__xludf.DUMMYFUNCTION("""COMPUTED_VALUE"""),"Selesai")</f>
        <v>Selesai</v>
      </c>
      <c r="L2868" s="17">
        <f>IFERROR(__xludf.DUMMYFUNCTION("""COMPUTED_VALUE"""),45846.66257893518)</f>
        <v>45846.66258</v>
      </c>
      <c r="M2868" s="13"/>
      <c r="N2868" s="13" t="str">
        <f>IFERROR(__xludf.DUMMYFUNCTION("""COMPUTED_VALUE"""),"")</f>
        <v/>
      </c>
      <c r="O2868" s="13" t="str">
        <f t="shared" si="1"/>
        <v/>
      </c>
    </row>
    <row r="2869" ht="22.5" customHeight="1">
      <c r="B2869" s="13">
        <f>IFERROR(__xludf.DUMMYFUNCTION("""COMPUTED_VALUE"""),2864.0)</f>
        <v>2864</v>
      </c>
      <c r="C2869" s="13" t="str">
        <f>IFERROR(__xludf.DUMMYFUNCTION("""COMPUTED_VALUE"""),"M. 901/RAJABASA RAYA")</f>
        <v>M. 901/RAJABASA RAYA</v>
      </c>
      <c r="D2869" s="13" t="str">
        <f>IFERROR(__xludf.DUMMYFUNCTION("""COMPUTED_VALUE"""),"K/26/190625/1")</f>
        <v>K/26/190625/1</v>
      </c>
      <c r="E2869" s="14" t="str">
        <f>IFERROR(__xludf.DUMMYFUNCTION("""COMPUTED_VALUE"""),"Heri (BT)")</f>
        <v>Heri (BT)</v>
      </c>
      <c r="F2869" s="14" t="str">
        <f>IFERROR(__xludf.DUMMYFUNCTION("""COMPUTED_VALUE"""),"SELESAI (VIA PERMOHONAN)")</f>
        <v>SELESAI (VIA PERMOHONAN)</v>
      </c>
      <c r="G2869" s="17">
        <f>IFERROR(__xludf.DUMMYFUNCTION("""COMPUTED_VALUE"""),45846.60775596065)</f>
        <v>45846.60776</v>
      </c>
      <c r="H2869" s="14" t="str">
        <f>IFERROR(__xludf.DUMMYFUNCTION("""COMPUTED_VALUE"""),"Eci (SU)")</f>
        <v>Eci (SU)</v>
      </c>
      <c r="I2869" s="13" t="str">
        <f>IFERROR(__xludf.DUMMYFUNCTION("""COMPUTED_VALUE"""),"SELESAI (VIA PERMOHONAN)")</f>
        <v>SELESAI (VIA PERMOHONAN)</v>
      </c>
      <c r="J2869" s="17">
        <f>IFERROR(__xludf.DUMMYFUNCTION("""COMPUTED_VALUE"""),45846.66246730324)</f>
        <v>45846.66247</v>
      </c>
      <c r="K2869" s="13" t="str">
        <f>IFERROR(__xludf.DUMMYFUNCTION("""COMPUTED_VALUE"""),"Selesai")</f>
        <v>Selesai</v>
      </c>
      <c r="L2869" s="17">
        <f>IFERROR(__xludf.DUMMYFUNCTION("""COMPUTED_VALUE"""),45846.66246730324)</f>
        <v>45846.66247</v>
      </c>
      <c r="M2869" s="13"/>
      <c r="N2869" s="13" t="str">
        <f>IFERROR(__xludf.DUMMYFUNCTION("""COMPUTED_VALUE"""),"")</f>
        <v/>
      </c>
      <c r="O2869" s="13" t="str">
        <f t="shared" si="1"/>
        <v/>
      </c>
    </row>
    <row r="2870" ht="22.5" customHeight="1">
      <c r="B2870" s="13">
        <f>IFERROR(__xludf.DUMMYFUNCTION("""COMPUTED_VALUE"""),2865.0)</f>
        <v>2865</v>
      </c>
      <c r="C2870" s="13" t="str">
        <f>IFERROR(__xludf.DUMMYFUNCTION("""COMPUTED_VALUE"""),"M. 2300/ Panjang Utara")</f>
        <v>M. 2300/ Panjang Utara</v>
      </c>
      <c r="D2870" s="13" t="str">
        <f>IFERROR(__xludf.DUMMYFUNCTION("""COMPUTED_VALUE"""),"K/36/200625/1")</f>
        <v>K/36/200625/1</v>
      </c>
      <c r="E2870" s="14" t="str">
        <f>IFERROR(__xludf.DUMMYFUNCTION("""COMPUTED_VALUE"""),"Heri (BT)")</f>
        <v>Heri (BT)</v>
      </c>
      <c r="F2870" s="14" t="str">
        <f>IFERROR(__xludf.DUMMYFUNCTION("""COMPUTED_VALUE"""),"SELESAI (VIA PERMOHONAN)")</f>
        <v>SELESAI (VIA PERMOHONAN)</v>
      </c>
      <c r="G2870" s="17">
        <f>IFERROR(__xludf.DUMMYFUNCTION("""COMPUTED_VALUE"""),45846.60784030093)</f>
        <v>45846.60784</v>
      </c>
      <c r="H2870" s="14" t="str">
        <f>IFERROR(__xludf.DUMMYFUNCTION("""COMPUTED_VALUE"""),"Eci (SU)")</f>
        <v>Eci (SU)</v>
      </c>
      <c r="I2870" s="13" t="str">
        <f>IFERROR(__xludf.DUMMYFUNCTION("""COMPUTED_VALUE"""),"SELESAI (VIA PERMOHONAN)")</f>
        <v>SELESAI (VIA PERMOHONAN)</v>
      </c>
      <c r="J2870" s="17">
        <f>IFERROR(__xludf.DUMMYFUNCTION("""COMPUTED_VALUE"""),45847.466311550925)</f>
        <v>45847.46631</v>
      </c>
      <c r="K2870" s="13" t="str">
        <f>IFERROR(__xludf.DUMMYFUNCTION("""COMPUTED_VALUE"""),"Selesai")</f>
        <v>Selesai</v>
      </c>
      <c r="L2870" s="17">
        <f>IFERROR(__xludf.DUMMYFUNCTION("""COMPUTED_VALUE"""),45847.466311550925)</f>
        <v>45847.46631</v>
      </c>
      <c r="M2870" s="13"/>
      <c r="N2870" s="13" t="str">
        <f>IFERROR(__xludf.DUMMYFUNCTION("""COMPUTED_VALUE"""),"")</f>
        <v/>
      </c>
      <c r="O2870" s="13" t="str">
        <f t="shared" si="1"/>
        <v/>
      </c>
    </row>
    <row r="2871" ht="22.5" customHeight="1">
      <c r="B2871" s="13">
        <f>IFERROR(__xludf.DUMMYFUNCTION("""COMPUTED_VALUE"""),2866.0)</f>
        <v>2866</v>
      </c>
      <c r="C2871" s="13" t="str">
        <f>IFERROR(__xludf.DUMMYFUNCTION("""COMPUTED_VALUE"""),"M. 1314/ Susunan Baru")</f>
        <v>M. 1314/ Susunan Baru</v>
      </c>
      <c r="D2871" s="13" t="str">
        <f>IFERROR(__xludf.DUMMYFUNCTION("""COMPUTED_VALUE"""),"K/6/030725/1")</f>
        <v>K/6/030725/1</v>
      </c>
      <c r="E2871" s="14" t="str">
        <f>IFERROR(__xludf.DUMMYFUNCTION("""COMPUTED_VALUE"""),"Heri (BT)")</f>
        <v>Heri (BT)</v>
      </c>
      <c r="F2871" s="14" t="str">
        <f>IFERROR(__xludf.DUMMYFUNCTION("""COMPUTED_VALUE"""),"SELESAI (VIA PERMOHONAN)")</f>
        <v>SELESAI (VIA PERMOHONAN)</v>
      </c>
      <c r="G2871" s="17">
        <f>IFERROR(__xludf.DUMMYFUNCTION("""COMPUTED_VALUE"""),45846.60804078703)</f>
        <v>45846.60804</v>
      </c>
      <c r="H2871" s="14" t="str">
        <f>IFERROR(__xludf.DUMMYFUNCTION("""COMPUTED_VALUE"""),"Eci (SU)")</f>
        <v>Eci (SU)</v>
      </c>
      <c r="I2871" s="13" t="str">
        <f>IFERROR(__xludf.DUMMYFUNCTION("""COMPUTED_VALUE"""),"SELESAI (VIA PERMOHONAN)")</f>
        <v>SELESAI (VIA PERMOHONAN)</v>
      </c>
      <c r="J2871" s="17">
        <f>IFERROR(__xludf.DUMMYFUNCTION("""COMPUTED_VALUE"""),45846.66232109954)</f>
        <v>45846.66232</v>
      </c>
      <c r="K2871" s="13" t="str">
        <f>IFERROR(__xludf.DUMMYFUNCTION("""COMPUTED_VALUE"""),"Selesai")</f>
        <v>Selesai</v>
      </c>
      <c r="L2871" s="17">
        <f>IFERROR(__xludf.DUMMYFUNCTION("""COMPUTED_VALUE"""),45846.66232109954)</f>
        <v>45846.66232</v>
      </c>
      <c r="M2871" s="13"/>
      <c r="N2871" s="13" t="str">
        <f>IFERROR(__xludf.DUMMYFUNCTION("""COMPUTED_VALUE"""),"")</f>
        <v/>
      </c>
      <c r="O2871" s="13" t="str">
        <f t="shared" si="1"/>
        <v/>
      </c>
    </row>
    <row r="2872" ht="22.5" customHeight="1">
      <c r="B2872" s="13">
        <f>IFERROR(__xludf.DUMMYFUNCTION("""COMPUTED_VALUE"""),2867.0)</f>
        <v>2867</v>
      </c>
      <c r="C2872" s="13" t="str">
        <f>IFERROR(__xludf.DUMMYFUNCTION("""COMPUTED_VALUE"""),"M. 1281/ Kangkung")</f>
        <v>M. 1281/ Kangkung</v>
      </c>
      <c r="D2872" s="13" t="str">
        <f>IFERROR(__xludf.DUMMYFUNCTION("""COMPUTED_VALUE"""),"K/18/250625/2")</f>
        <v>K/18/250625/2</v>
      </c>
      <c r="E2872" s="14" t="str">
        <f>IFERROR(__xludf.DUMMYFUNCTION("""COMPUTED_VALUE"""),"Heri (BT)")</f>
        <v>Heri (BT)</v>
      </c>
      <c r="F2872" s="14" t="str">
        <f>IFERROR(__xludf.DUMMYFUNCTION("""COMPUTED_VALUE"""),"SELESAI (VIA PERMOHONAN)")</f>
        <v>SELESAI (VIA PERMOHONAN)</v>
      </c>
      <c r="G2872" s="17">
        <f>IFERROR(__xludf.DUMMYFUNCTION("""COMPUTED_VALUE"""),45846.60821125)</f>
        <v>45846.60821</v>
      </c>
      <c r="H2872" s="14" t="str">
        <f>IFERROR(__xludf.DUMMYFUNCTION("""COMPUTED_VALUE"""),"Eci (SU)")</f>
        <v>Eci (SU)</v>
      </c>
      <c r="I2872" s="13" t="str">
        <f>IFERROR(__xludf.DUMMYFUNCTION("""COMPUTED_VALUE"""),"SELESAI (VIA PERMOHONAN)")</f>
        <v>SELESAI (VIA PERMOHONAN)</v>
      </c>
      <c r="J2872" s="17">
        <f>IFERROR(__xludf.DUMMYFUNCTION("""COMPUTED_VALUE"""),45847.620362685186)</f>
        <v>45847.62036</v>
      </c>
      <c r="K2872" s="13" t="str">
        <f>IFERROR(__xludf.DUMMYFUNCTION("""COMPUTED_VALUE"""),"Selesai")</f>
        <v>Selesai</v>
      </c>
      <c r="L2872" s="17">
        <f>IFERROR(__xludf.DUMMYFUNCTION("""COMPUTED_VALUE"""),45847.620362685186)</f>
        <v>45847.62036</v>
      </c>
      <c r="M2872" s="13"/>
      <c r="N2872" s="13" t="str">
        <f>IFERROR(__xludf.DUMMYFUNCTION("""COMPUTED_VALUE"""),"")</f>
        <v/>
      </c>
      <c r="O2872" s="13" t="str">
        <f t="shared" si="1"/>
        <v/>
      </c>
    </row>
    <row r="2873" ht="22.5" customHeight="1">
      <c r="B2873" s="13">
        <f>IFERROR(__xludf.DUMMYFUNCTION("""COMPUTED_VALUE"""),2868.0)</f>
        <v>2868</v>
      </c>
      <c r="C2873" s="13" t="str">
        <f>IFERROR(__xludf.DUMMYFUNCTION("""COMPUTED_VALUE"""),"M. 1288/ Kedamaian")</f>
        <v>M. 1288/ Kedamaian</v>
      </c>
      <c r="D2873" s="13" t="str">
        <f>IFERROR(__xludf.DUMMYFUNCTION("""COMPUTED_VALUE"""),"K/1/240625/1")</f>
        <v>K/1/240625/1</v>
      </c>
      <c r="E2873" s="14" t="str">
        <f>IFERROR(__xludf.DUMMYFUNCTION("""COMPUTED_VALUE"""),"Heri (BT)")</f>
        <v>Heri (BT)</v>
      </c>
      <c r="F2873" s="14" t="str">
        <f>IFERROR(__xludf.DUMMYFUNCTION("""COMPUTED_VALUE"""),"SELESAI (VIA PERMOHONAN)")</f>
        <v>SELESAI (VIA PERMOHONAN)</v>
      </c>
      <c r="G2873" s="17">
        <f>IFERROR(__xludf.DUMMYFUNCTION("""COMPUTED_VALUE"""),45846.60902966435)</f>
        <v>45846.60903</v>
      </c>
      <c r="H2873" s="14" t="str">
        <f>IFERROR(__xludf.DUMMYFUNCTION("""COMPUTED_VALUE"""),"Eci (SU)")</f>
        <v>Eci (SU)</v>
      </c>
      <c r="I2873" s="13" t="str">
        <f>IFERROR(__xludf.DUMMYFUNCTION("""COMPUTED_VALUE"""),"SELESAI (VIA PERMOHONAN)")</f>
        <v>SELESAI (VIA PERMOHONAN)</v>
      </c>
      <c r="J2873" s="17">
        <f>IFERROR(__xludf.DUMMYFUNCTION("""COMPUTED_VALUE"""),45847.633246446756)</f>
        <v>45847.63325</v>
      </c>
      <c r="K2873" s="13" t="str">
        <f>IFERROR(__xludf.DUMMYFUNCTION("""COMPUTED_VALUE"""),"Selesai")</f>
        <v>Selesai</v>
      </c>
      <c r="L2873" s="17">
        <f>IFERROR(__xludf.DUMMYFUNCTION("""COMPUTED_VALUE"""),45847.633246446756)</f>
        <v>45847.63325</v>
      </c>
      <c r="M2873" s="13"/>
      <c r="N2873" s="13" t="str">
        <f>IFERROR(__xludf.DUMMYFUNCTION("""COMPUTED_VALUE"""),"")</f>
        <v/>
      </c>
      <c r="O2873" s="13" t="str">
        <f t="shared" si="1"/>
        <v/>
      </c>
    </row>
    <row r="2874" ht="22.5" customHeight="1">
      <c r="B2874" s="13">
        <f>IFERROR(__xludf.DUMMYFUNCTION("""COMPUTED_VALUE"""),2869.0)</f>
        <v>2869</v>
      </c>
      <c r="C2874" s="13" t="str">
        <f>IFERROR(__xludf.DUMMYFUNCTION("""COMPUTED_VALUE"""),"M. 1995/ Jagabaya III")</f>
        <v>M. 1995/ Jagabaya III</v>
      </c>
      <c r="D2874" s="13" t="str">
        <f>IFERROR(__xludf.DUMMYFUNCTION("""COMPUTED_VALUE"""),"K/24/180625/1")</f>
        <v>K/24/180625/1</v>
      </c>
      <c r="E2874" s="14" t="str">
        <f>IFERROR(__xludf.DUMMYFUNCTION("""COMPUTED_VALUE"""),"Heri (BT)")</f>
        <v>Heri (BT)</v>
      </c>
      <c r="F2874" s="14" t="str">
        <f>IFERROR(__xludf.DUMMYFUNCTION("""COMPUTED_VALUE"""),"SELESAI (VIA PERMOHONAN)")</f>
        <v>SELESAI (VIA PERMOHONAN)</v>
      </c>
      <c r="G2874" s="17">
        <f>IFERROR(__xludf.DUMMYFUNCTION("""COMPUTED_VALUE"""),45846.60919234954)</f>
        <v>45846.60919</v>
      </c>
      <c r="H2874" s="14" t="str">
        <f>IFERROR(__xludf.DUMMYFUNCTION("""COMPUTED_VALUE"""),"Eci (SU)")</f>
        <v>Eci (SU)</v>
      </c>
      <c r="I2874" s="13" t="str">
        <f>IFERROR(__xludf.DUMMYFUNCTION("""COMPUTED_VALUE"""),"SELESAI (VIA PERMOHONAN)")</f>
        <v>SELESAI (VIA PERMOHONAN)</v>
      </c>
      <c r="J2874" s="17">
        <f>IFERROR(__xludf.DUMMYFUNCTION("""COMPUTED_VALUE"""),45847.63437950231)</f>
        <v>45847.63438</v>
      </c>
      <c r="K2874" s="13" t="str">
        <f>IFERROR(__xludf.DUMMYFUNCTION("""COMPUTED_VALUE"""),"Selesai")</f>
        <v>Selesai</v>
      </c>
      <c r="L2874" s="17">
        <f>IFERROR(__xludf.DUMMYFUNCTION("""COMPUTED_VALUE"""),45847.63437950231)</f>
        <v>45847.63438</v>
      </c>
      <c r="M2874" s="13"/>
      <c r="N2874" s="13" t="str">
        <f>IFERROR(__xludf.DUMMYFUNCTION("""COMPUTED_VALUE"""),"")</f>
        <v/>
      </c>
      <c r="O2874" s="13" t="str">
        <f t="shared" si="1"/>
        <v/>
      </c>
    </row>
    <row r="2875" ht="22.5" customHeight="1">
      <c r="B2875" s="13">
        <f>IFERROR(__xludf.DUMMYFUNCTION("""COMPUTED_VALUE"""),2870.0)</f>
        <v>2870</v>
      </c>
      <c r="C2875" s="13" t="str">
        <f>IFERROR(__xludf.DUMMYFUNCTION("""COMPUTED_VALUE"""),"HM 605/PALAPA")</f>
        <v>HM 605/PALAPA</v>
      </c>
      <c r="D2875" s="13" t="str">
        <f>IFERROR(__xludf.DUMMYFUNCTION("""COMPUTED_VALUE"""),"L/6/020725/1")</f>
        <v>L/6/020725/1</v>
      </c>
      <c r="E2875" s="14" t="str">
        <f>IFERROR(__xludf.DUMMYFUNCTION("""COMPUTED_VALUE"""),"Heri (BT)")</f>
        <v>Heri (BT)</v>
      </c>
      <c r="F2875" s="14" t="str">
        <f>IFERROR(__xludf.DUMMYFUNCTION("""COMPUTED_VALUE"""),"SELESAI (VIA PERMOHONAN)")</f>
        <v>SELESAI (VIA PERMOHONAN)</v>
      </c>
      <c r="G2875" s="17">
        <f>IFERROR(__xludf.DUMMYFUNCTION("""COMPUTED_VALUE"""),45846.60932664352)</f>
        <v>45846.60933</v>
      </c>
      <c r="H2875" s="14" t="str">
        <f>IFERROR(__xludf.DUMMYFUNCTION("""COMPUTED_VALUE"""),"Eci (SU)")</f>
        <v>Eci (SU)</v>
      </c>
      <c r="I2875" s="13" t="str">
        <f>IFERROR(__xludf.DUMMYFUNCTION("""COMPUTED_VALUE"""),"SELESAI (VIA PERMOHONAN)")</f>
        <v>SELESAI (VIA PERMOHONAN)</v>
      </c>
      <c r="J2875" s="17">
        <f>IFERROR(__xludf.DUMMYFUNCTION("""COMPUTED_VALUE"""),45847.466428796295)</f>
        <v>45847.46643</v>
      </c>
      <c r="K2875" s="13" t="str">
        <f>IFERROR(__xludf.DUMMYFUNCTION("""COMPUTED_VALUE"""),"Selesai")</f>
        <v>Selesai</v>
      </c>
      <c r="L2875" s="17">
        <f>IFERROR(__xludf.DUMMYFUNCTION("""COMPUTED_VALUE"""),45847.466428796295)</f>
        <v>45847.46643</v>
      </c>
      <c r="M2875" s="13"/>
      <c r="N2875" s="13" t="str">
        <f>IFERROR(__xludf.DUMMYFUNCTION("""COMPUTED_VALUE"""),"")</f>
        <v/>
      </c>
      <c r="O2875" s="13" t="str">
        <f t="shared" si="1"/>
        <v/>
      </c>
    </row>
    <row r="2876" ht="22.5" customHeight="1">
      <c r="B2876" s="13">
        <f>IFERROR(__xludf.DUMMYFUNCTION("""COMPUTED_VALUE"""),2871.0)</f>
        <v>2871</v>
      </c>
      <c r="C2876" s="13" t="str">
        <f>IFERROR(__xludf.DUMMYFUNCTION("""COMPUTED_VALUE"""),"HM 2013/KALIAWI")</f>
        <v>HM 2013/KALIAWI</v>
      </c>
      <c r="D2876" s="13" t="str">
        <f>IFERROR(__xludf.DUMMYFUNCTION("""COMPUTED_VALUE"""),"L/4/030725/1")</f>
        <v>L/4/030725/1</v>
      </c>
      <c r="E2876" s="14" t="str">
        <f>IFERROR(__xludf.DUMMYFUNCTION("""COMPUTED_VALUE"""),"Heri (BT)")</f>
        <v>Heri (BT)</v>
      </c>
      <c r="F2876" s="14" t="str">
        <f>IFERROR(__xludf.DUMMYFUNCTION("""COMPUTED_VALUE"""),"SELESAI (VIA PERMOHONAN)")</f>
        <v>SELESAI (VIA PERMOHONAN)</v>
      </c>
      <c r="G2876" s="17">
        <f>IFERROR(__xludf.DUMMYFUNCTION("""COMPUTED_VALUE"""),45846.609461134256)</f>
        <v>45846.60946</v>
      </c>
      <c r="H2876" s="14" t="str">
        <f>IFERROR(__xludf.DUMMYFUNCTION("""COMPUTED_VALUE"""),"Eci (SU)")</f>
        <v>Eci (SU)</v>
      </c>
      <c r="I2876" s="13" t="str">
        <f>IFERROR(__xludf.DUMMYFUNCTION("""COMPUTED_VALUE"""),"SELESAI (VIA PERMOHONAN)")</f>
        <v>SELESAI (VIA PERMOHONAN)</v>
      </c>
      <c r="J2876" s="17">
        <f>IFERROR(__xludf.DUMMYFUNCTION("""COMPUTED_VALUE"""),45847.46651697917)</f>
        <v>45847.46652</v>
      </c>
      <c r="K2876" s="13" t="str">
        <f>IFERROR(__xludf.DUMMYFUNCTION("""COMPUTED_VALUE"""),"Selesai")</f>
        <v>Selesai</v>
      </c>
      <c r="L2876" s="17">
        <f>IFERROR(__xludf.DUMMYFUNCTION("""COMPUTED_VALUE"""),45847.46651697917)</f>
        <v>45847.46652</v>
      </c>
      <c r="M2876" s="13"/>
      <c r="N2876" s="13" t="str">
        <f>IFERROR(__xludf.DUMMYFUNCTION("""COMPUTED_VALUE"""),"")</f>
        <v/>
      </c>
      <c r="O2876" s="13" t="str">
        <f t="shared" si="1"/>
        <v/>
      </c>
    </row>
    <row r="2877" ht="22.5" customHeight="1">
      <c r="B2877" s="13">
        <f>IFERROR(__xludf.DUMMYFUNCTION("""COMPUTED_VALUE"""),2872.0)</f>
        <v>2872</v>
      </c>
      <c r="C2877" s="13" t="str">
        <f>IFERROR(__xludf.DUMMYFUNCTION("""COMPUTED_VALUE"""),"HM 10525/KEDAMAIAN")</f>
        <v>HM 10525/KEDAMAIAN</v>
      </c>
      <c r="D2877" s="13" t="str">
        <f>IFERROR(__xludf.DUMMYFUNCTION("""COMPUTED_VALUE"""),"L/46/010725/1")</f>
        <v>L/46/010725/1</v>
      </c>
      <c r="E2877" s="14" t="str">
        <f>IFERROR(__xludf.DUMMYFUNCTION("""COMPUTED_VALUE"""),"Heri (BT)")</f>
        <v>Heri (BT)</v>
      </c>
      <c r="F2877" s="14" t="str">
        <f>IFERROR(__xludf.DUMMYFUNCTION("""COMPUTED_VALUE"""),"SELESAI (VIA PERMOHONAN)")</f>
        <v>SELESAI (VIA PERMOHONAN)</v>
      </c>
      <c r="G2877" s="17">
        <f>IFERROR(__xludf.DUMMYFUNCTION("""COMPUTED_VALUE"""),45846.60961288195)</f>
        <v>45846.60961</v>
      </c>
      <c r="H2877" s="14" t="str">
        <f>IFERROR(__xludf.DUMMYFUNCTION("""COMPUTED_VALUE"""),"Eci (SU)")</f>
        <v>Eci (SU)</v>
      </c>
      <c r="I2877" s="13" t="str">
        <f>IFERROR(__xludf.DUMMYFUNCTION("""COMPUTED_VALUE"""),"SELESAI (VIA PERMOHONAN)")</f>
        <v>SELESAI (VIA PERMOHONAN)</v>
      </c>
      <c r="J2877" s="17">
        <f>IFERROR(__xludf.DUMMYFUNCTION("""COMPUTED_VALUE"""),45847.46702822916)</f>
        <v>45847.46703</v>
      </c>
      <c r="K2877" s="13" t="str">
        <f>IFERROR(__xludf.DUMMYFUNCTION("""COMPUTED_VALUE"""),"Selesai")</f>
        <v>Selesai</v>
      </c>
      <c r="L2877" s="17">
        <f>IFERROR(__xludf.DUMMYFUNCTION("""COMPUTED_VALUE"""),45847.46702822916)</f>
        <v>45847.46703</v>
      </c>
      <c r="M2877" s="13"/>
      <c r="N2877" s="13" t="str">
        <f>IFERROR(__xludf.DUMMYFUNCTION("""COMPUTED_VALUE"""),"")</f>
        <v/>
      </c>
      <c r="O2877" s="13" t="str">
        <f t="shared" si="1"/>
        <v/>
      </c>
    </row>
    <row r="2878" ht="22.5" customHeight="1">
      <c r="B2878" s="13">
        <f>IFERROR(__xludf.DUMMYFUNCTION("""COMPUTED_VALUE"""),2873.0)</f>
        <v>2873</v>
      </c>
      <c r="C2878" s="13" t="str">
        <f>IFERROR(__xludf.DUMMYFUNCTION("""COMPUTED_VALUE"""),"HM 1863/TANJUNG SENANG")</f>
        <v>HM 1863/TANJUNG SENANG</v>
      </c>
      <c r="D2878" s="13" t="str">
        <f>IFERROR(__xludf.DUMMYFUNCTION("""COMPUTED_VALUE"""),"L/1/030725/1")</f>
        <v>L/1/030725/1</v>
      </c>
      <c r="E2878" s="14" t="str">
        <f>IFERROR(__xludf.DUMMYFUNCTION("""COMPUTED_VALUE"""),"Heri (BT)")</f>
        <v>Heri (BT)</v>
      </c>
      <c r="F2878" s="14" t="str">
        <f>IFERROR(__xludf.DUMMYFUNCTION("""COMPUTED_VALUE"""),"SELESAI (VIA PERMOHONAN)")</f>
        <v>SELESAI (VIA PERMOHONAN)</v>
      </c>
      <c r="G2878" s="17">
        <f>IFERROR(__xludf.DUMMYFUNCTION("""COMPUTED_VALUE"""),45846.60974846064)</f>
        <v>45846.60975</v>
      </c>
      <c r="H2878" s="14" t="str">
        <f>IFERROR(__xludf.DUMMYFUNCTION("""COMPUTED_VALUE"""),"Eci (SU)")</f>
        <v>Eci (SU)</v>
      </c>
      <c r="I2878" s="13" t="str">
        <f>IFERROR(__xludf.DUMMYFUNCTION("""COMPUTED_VALUE"""),"SELESAI (VIA PERMOHONAN)")</f>
        <v>SELESAI (VIA PERMOHONAN)</v>
      </c>
      <c r="J2878" s="17">
        <f>IFERROR(__xludf.DUMMYFUNCTION("""COMPUTED_VALUE"""),45847.46540680555)</f>
        <v>45847.46541</v>
      </c>
      <c r="K2878" s="13" t="str">
        <f>IFERROR(__xludf.DUMMYFUNCTION("""COMPUTED_VALUE"""),"Selesai")</f>
        <v>Selesai</v>
      </c>
      <c r="L2878" s="17">
        <f>IFERROR(__xludf.DUMMYFUNCTION("""COMPUTED_VALUE"""),45847.46540680555)</f>
        <v>45847.46541</v>
      </c>
      <c r="M2878" s="13"/>
      <c r="N2878" s="13" t="str">
        <f>IFERROR(__xludf.DUMMYFUNCTION("""COMPUTED_VALUE"""),"")</f>
        <v/>
      </c>
      <c r="O2878" s="13" t="str">
        <f t="shared" si="1"/>
        <v/>
      </c>
    </row>
    <row r="2879" ht="22.5" customHeight="1">
      <c r="B2879" s="13">
        <f>IFERROR(__xludf.DUMMYFUNCTION("""COMPUTED_VALUE"""),2874.0)</f>
        <v>2874</v>
      </c>
      <c r="C2879" s="13" t="str">
        <f>IFERROR(__xludf.DUMMYFUNCTION("""COMPUTED_VALUE"""),"HM 556/SAWAH LAMA")</f>
        <v>HM 556/SAWAH LAMA</v>
      </c>
      <c r="D2879" s="13" t="str">
        <f>IFERROR(__xludf.DUMMYFUNCTION("""COMPUTED_VALUE"""),"L/12/260625/1")</f>
        <v>L/12/260625/1</v>
      </c>
      <c r="E2879" s="14" t="str">
        <f>IFERROR(__xludf.DUMMYFUNCTION("""COMPUTED_VALUE"""),"Heri (BT)")</f>
        <v>Heri (BT)</v>
      </c>
      <c r="F2879" s="14" t="str">
        <f>IFERROR(__xludf.DUMMYFUNCTION("""COMPUTED_VALUE"""),"SELESAI (VIA PERMOHONAN)")</f>
        <v>SELESAI (VIA PERMOHONAN)</v>
      </c>
      <c r="G2879" s="17">
        <f>IFERROR(__xludf.DUMMYFUNCTION("""COMPUTED_VALUE"""),45846.609878738425)</f>
        <v>45846.60988</v>
      </c>
      <c r="H2879" s="14" t="str">
        <f>IFERROR(__xludf.DUMMYFUNCTION("""COMPUTED_VALUE"""),"Eci (SU)")</f>
        <v>Eci (SU)</v>
      </c>
      <c r="I2879" s="13" t="str">
        <f>IFERROR(__xludf.DUMMYFUNCTION("""COMPUTED_VALUE"""),"SELESAI (VIA PERMOHONAN)")</f>
        <v>SELESAI (VIA PERMOHONAN)</v>
      </c>
      <c r="J2879" s="17">
        <f>IFERROR(__xludf.DUMMYFUNCTION("""COMPUTED_VALUE"""),45847.46556751158)</f>
        <v>45847.46557</v>
      </c>
      <c r="K2879" s="13" t="str">
        <f>IFERROR(__xludf.DUMMYFUNCTION("""COMPUTED_VALUE"""),"Selesai")</f>
        <v>Selesai</v>
      </c>
      <c r="L2879" s="17">
        <f>IFERROR(__xludf.DUMMYFUNCTION("""COMPUTED_VALUE"""),45847.46556751158)</f>
        <v>45847.46557</v>
      </c>
      <c r="M2879" s="13"/>
      <c r="N2879" s="13" t="str">
        <f>IFERROR(__xludf.DUMMYFUNCTION("""COMPUTED_VALUE"""),"")</f>
        <v/>
      </c>
      <c r="O2879" s="13" t="str">
        <f t="shared" si="1"/>
        <v/>
      </c>
    </row>
    <row r="2880" ht="22.5" customHeight="1">
      <c r="B2880" s="13">
        <f>IFERROR(__xludf.DUMMYFUNCTION("""COMPUTED_VALUE"""),2875.0)</f>
        <v>2875</v>
      </c>
      <c r="C2880" s="13" t="str">
        <f>IFERROR(__xludf.DUMMYFUNCTION("""COMPUTED_VALUE"""),"HM 1337/GUNUNG TERANG")</f>
        <v>HM 1337/GUNUNG TERANG</v>
      </c>
      <c r="D2880" s="13" t="str">
        <f>IFERROR(__xludf.DUMMYFUNCTION("""COMPUTED_VALUE"""),"L/19/030725/1")</f>
        <v>L/19/030725/1</v>
      </c>
      <c r="E2880" s="14" t="str">
        <f>IFERROR(__xludf.DUMMYFUNCTION("""COMPUTED_VALUE"""),"Heri (BT)")</f>
        <v>Heri (BT)</v>
      </c>
      <c r="F2880" s="14" t="str">
        <f>IFERROR(__xludf.DUMMYFUNCTION("""COMPUTED_VALUE"""),"SELESAI (VIA PERMOHONAN)")</f>
        <v>SELESAI (VIA PERMOHONAN)</v>
      </c>
      <c r="G2880" s="17">
        <f>IFERROR(__xludf.DUMMYFUNCTION("""COMPUTED_VALUE"""),45846.610049097224)</f>
        <v>45846.61005</v>
      </c>
      <c r="H2880" s="14" t="str">
        <f>IFERROR(__xludf.DUMMYFUNCTION("""COMPUTED_VALUE"""),"Eci (SU)")</f>
        <v>Eci (SU)</v>
      </c>
      <c r="I2880" s="13" t="str">
        <f>IFERROR(__xludf.DUMMYFUNCTION("""COMPUTED_VALUE"""),"SELESAI (VIA PERMOHONAN)")</f>
        <v>SELESAI (VIA PERMOHONAN)</v>
      </c>
      <c r="J2880" s="17">
        <f>IFERROR(__xludf.DUMMYFUNCTION("""COMPUTED_VALUE"""),45847.465634374996)</f>
        <v>45847.46563</v>
      </c>
      <c r="K2880" s="13" t="str">
        <f>IFERROR(__xludf.DUMMYFUNCTION("""COMPUTED_VALUE"""),"Selesai")</f>
        <v>Selesai</v>
      </c>
      <c r="L2880" s="17">
        <f>IFERROR(__xludf.DUMMYFUNCTION("""COMPUTED_VALUE"""),45847.465634374996)</f>
        <v>45847.46563</v>
      </c>
      <c r="M2880" s="13"/>
      <c r="N2880" s="13" t="str">
        <f>IFERROR(__xludf.DUMMYFUNCTION("""COMPUTED_VALUE"""),"")</f>
        <v/>
      </c>
      <c r="O2880" s="13" t="str">
        <f t="shared" si="1"/>
        <v/>
      </c>
    </row>
    <row r="2881" ht="22.5" customHeight="1">
      <c r="B2881" s="13">
        <f>IFERROR(__xludf.DUMMYFUNCTION("""COMPUTED_VALUE"""),2876.0)</f>
        <v>2876</v>
      </c>
      <c r="C2881" s="13" t="str">
        <f>IFERROR(__xludf.DUMMYFUNCTION("""COMPUTED_VALUE"""),"HM 12007/LABUHGAN RATU")</f>
        <v>HM 12007/LABUHGAN RATU</v>
      </c>
      <c r="D2881" s="13" t="str">
        <f>IFERROR(__xludf.DUMMYFUNCTION("""COMPUTED_VALUE"""),"L/5/030725/1")</f>
        <v>L/5/030725/1</v>
      </c>
      <c r="E2881" s="14" t="str">
        <f>IFERROR(__xludf.DUMMYFUNCTION("""COMPUTED_VALUE"""),"Heri (BT)")</f>
        <v>Heri (BT)</v>
      </c>
      <c r="F2881" s="14" t="str">
        <f>IFERROR(__xludf.DUMMYFUNCTION("""COMPUTED_VALUE"""),"SELESAI (VIA PERMOHONAN)")</f>
        <v>SELESAI (VIA PERMOHONAN)</v>
      </c>
      <c r="G2881" s="17">
        <f>IFERROR(__xludf.DUMMYFUNCTION("""COMPUTED_VALUE"""),45846.610264097224)</f>
        <v>45846.61026</v>
      </c>
      <c r="H2881" s="14" t="str">
        <f>IFERROR(__xludf.DUMMYFUNCTION("""COMPUTED_VALUE"""),"Eci (SU)")</f>
        <v>Eci (SU)</v>
      </c>
      <c r="I2881" s="13" t="str">
        <f>IFERROR(__xludf.DUMMYFUNCTION("""COMPUTED_VALUE"""),"SELESAI (VIA PERMOHONAN)")</f>
        <v>SELESAI (VIA PERMOHONAN)</v>
      </c>
      <c r="J2881" s="17">
        <f>IFERROR(__xludf.DUMMYFUNCTION("""COMPUTED_VALUE"""),45847.465827569446)</f>
        <v>45847.46583</v>
      </c>
      <c r="K2881" s="13" t="str">
        <f>IFERROR(__xludf.DUMMYFUNCTION("""COMPUTED_VALUE"""),"Selesai")</f>
        <v>Selesai</v>
      </c>
      <c r="L2881" s="17">
        <f>IFERROR(__xludf.DUMMYFUNCTION("""COMPUTED_VALUE"""),45847.465827569446)</f>
        <v>45847.46583</v>
      </c>
      <c r="M2881" s="13"/>
      <c r="N2881" s="13" t="str">
        <f>IFERROR(__xludf.DUMMYFUNCTION("""COMPUTED_VALUE"""),"")</f>
        <v/>
      </c>
      <c r="O2881" s="13" t="str">
        <f t="shared" si="1"/>
        <v/>
      </c>
    </row>
    <row r="2882" ht="22.5" customHeight="1">
      <c r="B2882" s="13">
        <f>IFERROR(__xludf.DUMMYFUNCTION("""COMPUTED_VALUE"""),2877.0)</f>
        <v>2877</v>
      </c>
      <c r="C2882" s="13" t="str">
        <f>IFERROR(__xludf.DUMMYFUNCTION("""COMPUTED_VALUE"""),"HM 1019/WHP")</f>
        <v>HM 1019/WHP</v>
      </c>
      <c r="D2882" s="13" t="str">
        <f>IFERROR(__xludf.DUMMYFUNCTION("""COMPUTED_VALUE"""),"L/19/020725/1")</f>
        <v>L/19/020725/1</v>
      </c>
      <c r="E2882" s="14" t="str">
        <f>IFERROR(__xludf.DUMMYFUNCTION("""COMPUTED_VALUE"""),"Heri (BT)")</f>
        <v>Heri (BT)</v>
      </c>
      <c r="F2882" s="14" t="str">
        <f>IFERROR(__xludf.DUMMYFUNCTION("""COMPUTED_VALUE"""),"SELESAI (VIA PERMOHONAN)")</f>
        <v>SELESAI (VIA PERMOHONAN)</v>
      </c>
      <c r="G2882" s="17">
        <f>IFERROR(__xludf.DUMMYFUNCTION("""COMPUTED_VALUE"""),45846.6104615625)</f>
        <v>45846.61046</v>
      </c>
      <c r="H2882" s="14" t="str">
        <f>IFERROR(__xludf.DUMMYFUNCTION("""COMPUTED_VALUE"""),"Eci (SU)")</f>
        <v>Eci (SU)</v>
      </c>
      <c r="I2882" s="13" t="str">
        <f>IFERROR(__xludf.DUMMYFUNCTION("""COMPUTED_VALUE"""),"SELESAI (VIA PERMOHONAN)")</f>
        <v>SELESAI (VIA PERMOHONAN)</v>
      </c>
      <c r="J2882" s="17">
        <f>IFERROR(__xludf.DUMMYFUNCTION("""COMPUTED_VALUE"""),45847.46590445602)</f>
        <v>45847.4659</v>
      </c>
      <c r="K2882" s="13" t="str">
        <f>IFERROR(__xludf.DUMMYFUNCTION("""COMPUTED_VALUE"""),"Selesai")</f>
        <v>Selesai</v>
      </c>
      <c r="L2882" s="17">
        <f>IFERROR(__xludf.DUMMYFUNCTION("""COMPUTED_VALUE"""),45847.46590445602)</f>
        <v>45847.4659</v>
      </c>
      <c r="M2882" s="13"/>
      <c r="N2882" s="13" t="str">
        <f>IFERROR(__xludf.DUMMYFUNCTION("""COMPUTED_VALUE"""),"")</f>
        <v/>
      </c>
      <c r="O2882" s="13" t="str">
        <f t="shared" si="1"/>
        <v/>
      </c>
    </row>
    <row r="2883" ht="22.5" customHeight="1">
      <c r="B2883" s="13">
        <f>IFERROR(__xludf.DUMMYFUNCTION("""COMPUTED_VALUE"""),2878.0)</f>
        <v>2878</v>
      </c>
      <c r="C2883" s="13" t="str">
        <f>IFERROR(__xludf.DUMMYFUNCTION("""COMPUTED_VALUE"""),"HM 301/TANJUNG AGUNG")</f>
        <v>HM 301/TANJUNG AGUNG</v>
      </c>
      <c r="D2883" s="13" t="str">
        <f>IFERROR(__xludf.DUMMYFUNCTION("""COMPUTED_VALUE"""),"L/8/300625/1")</f>
        <v>L/8/300625/1</v>
      </c>
      <c r="E2883" s="14" t="str">
        <f>IFERROR(__xludf.DUMMYFUNCTION("""COMPUTED_VALUE"""),"Heri (BT)")</f>
        <v>Heri (BT)</v>
      </c>
      <c r="F2883" s="14" t="str">
        <f>IFERROR(__xludf.DUMMYFUNCTION("""COMPUTED_VALUE"""),"SELESAI (VIA PERMOHONAN)")</f>
        <v>SELESAI (VIA PERMOHONAN)</v>
      </c>
      <c r="G2883" s="17">
        <f>IFERROR(__xludf.DUMMYFUNCTION("""COMPUTED_VALUE"""),45846.61060155093)</f>
        <v>45846.6106</v>
      </c>
      <c r="H2883" s="14" t="str">
        <f>IFERROR(__xludf.DUMMYFUNCTION("""COMPUTED_VALUE"""),"Eci (SU)")</f>
        <v>Eci (SU)</v>
      </c>
      <c r="I2883" s="13" t="str">
        <f>IFERROR(__xludf.DUMMYFUNCTION("""COMPUTED_VALUE"""),"SELESAI (VIA PERMOHONAN)")</f>
        <v>SELESAI (VIA PERMOHONAN)</v>
      </c>
      <c r="J2883" s="17">
        <f>IFERROR(__xludf.DUMMYFUNCTION("""COMPUTED_VALUE"""),45847.46679815972)</f>
        <v>45847.4668</v>
      </c>
      <c r="K2883" s="13" t="str">
        <f>IFERROR(__xludf.DUMMYFUNCTION("""COMPUTED_VALUE"""),"Selesai")</f>
        <v>Selesai</v>
      </c>
      <c r="L2883" s="17">
        <f>IFERROR(__xludf.DUMMYFUNCTION("""COMPUTED_VALUE"""),45847.46679815972)</f>
        <v>45847.4668</v>
      </c>
      <c r="M2883" s="13"/>
      <c r="N2883" s="13" t="str">
        <f>IFERROR(__xludf.DUMMYFUNCTION("""COMPUTED_VALUE"""),"")</f>
        <v/>
      </c>
      <c r="O2883" s="13" t="str">
        <f t="shared" si="1"/>
        <v/>
      </c>
    </row>
    <row r="2884" ht="22.5" customHeight="1">
      <c r="B2884" s="13">
        <f>IFERROR(__xludf.DUMMYFUNCTION("""COMPUTED_VALUE"""),2879.0)</f>
        <v>2879</v>
      </c>
      <c r="C2884" s="13" t="str">
        <f>IFERROR(__xludf.DUMMYFUNCTION("""COMPUTED_VALUE"""),"HM 989/PENGAJARAN")</f>
        <v>HM 989/PENGAJARAN</v>
      </c>
      <c r="D2884" s="13" t="str">
        <f>IFERROR(__xludf.DUMMYFUNCTION("""COMPUTED_VALUE"""),"L/12/020725/1")</f>
        <v>L/12/020725/1</v>
      </c>
      <c r="E2884" s="14" t="str">
        <f>IFERROR(__xludf.DUMMYFUNCTION("""COMPUTED_VALUE"""),"Heri (BT)")</f>
        <v>Heri (BT)</v>
      </c>
      <c r="F2884" s="14" t="str">
        <f>IFERROR(__xludf.DUMMYFUNCTION("""COMPUTED_VALUE"""),"SELESAI (VIA PERMOHONAN)")</f>
        <v>SELESAI (VIA PERMOHONAN)</v>
      </c>
      <c r="G2884" s="17">
        <f>IFERROR(__xludf.DUMMYFUNCTION("""COMPUTED_VALUE"""),45846.61085592593)</f>
        <v>45846.61086</v>
      </c>
      <c r="H2884" s="14" t="str">
        <f>IFERROR(__xludf.DUMMYFUNCTION("""COMPUTED_VALUE"""),"Eci (SU)")</f>
        <v>Eci (SU)</v>
      </c>
      <c r="I2884" s="13" t="str">
        <f>IFERROR(__xludf.DUMMYFUNCTION("""COMPUTED_VALUE"""),"SELESAI (VIA PERMOHONAN)")</f>
        <v>SELESAI (VIA PERMOHONAN)</v>
      </c>
      <c r="J2884" s="17">
        <f>IFERROR(__xludf.DUMMYFUNCTION("""COMPUTED_VALUE"""),45847.46669501158)</f>
        <v>45847.4667</v>
      </c>
      <c r="K2884" s="13" t="str">
        <f>IFERROR(__xludf.DUMMYFUNCTION("""COMPUTED_VALUE"""),"Selesai")</f>
        <v>Selesai</v>
      </c>
      <c r="L2884" s="17">
        <f>IFERROR(__xludf.DUMMYFUNCTION("""COMPUTED_VALUE"""),45847.46669501158)</f>
        <v>45847.4667</v>
      </c>
      <c r="M2884" s="13"/>
      <c r="N2884" s="13" t="str">
        <f>IFERROR(__xludf.DUMMYFUNCTION("""COMPUTED_VALUE"""),"")</f>
        <v/>
      </c>
      <c r="O2884" s="13" t="str">
        <f t="shared" si="1"/>
        <v/>
      </c>
    </row>
    <row r="2885" ht="22.5" customHeight="1">
      <c r="B2885" s="13">
        <f>IFERROR(__xludf.DUMMYFUNCTION("""COMPUTED_VALUE"""),2880.0)</f>
        <v>2880</v>
      </c>
      <c r="C2885" s="13" t="str">
        <f>IFERROR(__xludf.DUMMYFUNCTION("""COMPUTED_VALUE"""),"HM 2163/WHP")</f>
        <v>HM 2163/WHP</v>
      </c>
      <c r="D2885" s="13" t="str">
        <f>IFERROR(__xludf.DUMMYFUNCTION("""COMPUTED_VALUE"""),"L/1/040725/1")</f>
        <v>L/1/040725/1</v>
      </c>
      <c r="E2885" s="14" t="str">
        <f>IFERROR(__xludf.DUMMYFUNCTION("""COMPUTED_VALUE"""),"Afriza (BT)")</f>
        <v>Afriza (BT)</v>
      </c>
      <c r="F2885" s="14" t="str">
        <f>IFERROR(__xludf.DUMMYFUNCTION("""COMPUTED_VALUE"""),"SELESAI (VIA PERMOHONAN)")</f>
        <v>SELESAI (VIA PERMOHONAN)</v>
      </c>
      <c r="G2885" s="17">
        <f>IFERROR(__xludf.DUMMYFUNCTION("""COMPUTED_VALUE"""),45847.49667482639)</f>
        <v>45847.49667</v>
      </c>
      <c r="H2885" s="14" t="str">
        <f>IFERROR(__xludf.DUMMYFUNCTION("""COMPUTED_VALUE"""),"Admin (Migrasi)")</f>
        <v>Admin (Migrasi)</v>
      </c>
      <c r="I2885" s="13" t="str">
        <f>IFERROR(__xludf.DUMMYFUNCTION("""COMPUTED_VALUE"""),"SELESAI (VIA PERMOHONAN)")</f>
        <v>SELESAI (VIA PERMOHONAN)</v>
      </c>
      <c r="J2885" s="17">
        <f>IFERROR(__xludf.DUMMYFUNCTION("""COMPUTED_VALUE"""),45847.49673623843)</f>
        <v>45847.49674</v>
      </c>
      <c r="K2885" s="13" t="str">
        <f>IFERROR(__xludf.DUMMYFUNCTION("""COMPUTED_VALUE"""),"Selesai")</f>
        <v>Selesai</v>
      </c>
      <c r="L2885" s="17">
        <f>IFERROR(__xludf.DUMMYFUNCTION("""COMPUTED_VALUE"""),45847.49673623843)</f>
        <v>45847.49674</v>
      </c>
      <c r="M2885" s="13"/>
      <c r="N2885" s="13" t="str">
        <f>IFERROR(__xludf.DUMMYFUNCTION("""COMPUTED_VALUE"""),"")</f>
        <v/>
      </c>
      <c r="O2885" s="13" t="str">
        <f t="shared" si="1"/>
        <v/>
      </c>
    </row>
    <row r="2886" ht="22.5" customHeight="1">
      <c r="B2886" s="13">
        <f>IFERROR(__xludf.DUMMYFUNCTION("""COMPUTED_VALUE"""),2881.0)</f>
        <v>2881</v>
      </c>
      <c r="C2886" s="13" t="str">
        <f>IFERROR(__xludf.DUMMYFUNCTION("""COMPUTED_VALUE"""),"HM 424/BERINGIN RAYA")</f>
        <v>HM 424/BERINGIN RAYA</v>
      </c>
      <c r="D2886" s="13" t="str">
        <f>IFERROR(__xludf.DUMMYFUNCTION("""COMPUTED_VALUE"""),"L/8/020725/1")</f>
        <v>L/8/020725/1</v>
      </c>
      <c r="E2886" s="14" t="str">
        <f>IFERROR(__xludf.DUMMYFUNCTION("""COMPUTED_VALUE"""),"Heri (BT)")</f>
        <v>Heri (BT)</v>
      </c>
      <c r="F2886" s="14" t="str">
        <f>IFERROR(__xludf.DUMMYFUNCTION("""COMPUTED_VALUE"""),"SELESAI (VIA PERMOHONAN)")</f>
        <v>SELESAI (VIA PERMOHONAN)</v>
      </c>
      <c r="G2886" s="17">
        <f>IFERROR(__xludf.DUMMYFUNCTION("""COMPUTED_VALUE"""),45847.56766748843)</f>
        <v>45847.56767</v>
      </c>
      <c r="H2886" s="14" t="str">
        <f>IFERROR(__xludf.DUMMYFUNCTION("""COMPUTED_VALUE"""),"Eci (SU)")</f>
        <v>Eci (SU)</v>
      </c>
      <c r="I2886" s="13" t="str">
        <f>IFERROR(__xludf.DUMMYFUNCTION("""COMPUTED_VALUE"""),"SELESAI (VIA PERMOHONAN)")</f>
        <v>SELESAI (VIA PERMOHONAN)</v>
      </c>
      <c r="J2886" s="17">
        <f>IFERROR(__xludf.DUMMYFUNCTION("""COMPUTED_VALUE"""),45848.695277997685)</f>
        <v>45848.69528</v>
      </c>
      <c r="K2886" s="13" t="str">
        <f>IFERROR(__xludf.DUMMYFUNCTION("""COMPUTED_VALUE"""),"Selesai")</f>
        <v>Selesai</v>
      </c>
      <c r="L2886" s="17">
        <f>IFERROR(__xludf.DUMMYFUNCTION("""COMPUTED_VALUE"""),45848.695277997685)</f>
        <v>45848.69528</v>
      </c>
      <c r="M2886" s="13"/>
      <c r="N2886" s="13" t="str">
        <f>IFERROR(__xludf.DUMMYFUNCTION("""COMPUTED_VALUE"""),"")</f>
        <v/>
      </c>
      <c r="O2886" s="13" t="str">
        <f t="shared" si="1"/>
        <v/>
      </c>
    </row>
    <row r="2887" ht="22.5" customHeight="1">
      <c r="B2887" s="13">
        <f>IFERROR(__xludf.DUMMYFUNCTION("""COMPUTED_VALUE"""),2882.0)</f>
        <v>2882</v>
      </c>
      <c r="C2887" s="13" t="str">
        <f>IFERROR(__xludf.DUMMYFUNCTION("""COMPUTED_VALUE"""),"M. 664/ Tanjung Raya")</f>
        <v>M. 664/ Tanjung Raya</v>
      </c>
      <c r="D2887" s="13" t="str">
        <f>IFERROR(__xludf.DUMMYFUNCTION("""COMPUTED_VALUE"""),"K/11/300625/1")</f>
        <v>K/11/300625/1</v>
      </c>
      <c r="E2887" s="14" t="str">
        <f>IFERROR(__xludf.DUMMYFUNCTION("""COMPUTED_VALUE"""),"Heri (BT)")</f>
        <v>Heri (BT)</v>
      </c>
      <c r="F2887" s="14" t="str">
        <f>IFERROR(__xludf.DUMMYFUNCTION("""COMPUTED_VALUE"""),"SELESAI (VIA PERMOHONAN)")</f>
        <v>SELESAI (VIA PERMOHONAN)</v>
      </c>
      <c r="G2887" s="17">
        <f>IFERROR(__xludf.DUMMYFUNCTION("""COMPUTED_VALUE"""),45847.56766748843)</f>
        <v>45847.56767</v>
      </c>
      <c r="H2887" s="14" t="str">
        <f>IFERROR(__xludf.DUMMYFUNCTION("""COMPUTED_VALUE"""),"Eci (SU)")</f>
        <v>Eci (SU)</v>
      </c>
      <c r="I2887" s="13" t="str">
        <f>IFERROR(__xludf.DUMMYFUNCTION("""COMPUTED_VALUE"""),"SELESAI (VIA PERMOHONAN)")</f>
        <v>SELESAI (VIA PERMOHONAN)</v>
      </c>
      <c r="J2887" s="17">
        <f>IFERROR(__xludf.DUMMYFUNCTION("""COMPUTED_VALUE"""),45848.59015270833)</f>
        <v>45848.59015</v>
      </c>
      <c r="K2887" s="13" t="str">
        <f>IFERROR(__xludf.DUMMYFUNCTION("""COMPUTED_VALUE"""),"Selesai")</f>
        <v>Selesai</v>
      </c>
      <c r="L2887" s="17">
        <f>IFERROR(__xludf.DUMMYFUNCTION("""COMPUTED_VALUE"""),45848.59015270833)</f>
        <v>45848.59015</v>
      </c>
      <c r="M2887" s="13"/>
      <c r="N2887" s="13" t="str">
        <f>IFERROR(__xludf.DUMMYFUNCTION("""COMPUTED_VALUE"""),"")</f>
        <v/>
      </c>
      <c r="O2887" s="13" t="str">
        <f t="shared" si="1"/>
        <v/>
      </c>
    </row>
    <row r="2888" ht="22.5" customHeight="1">
      <c r="B2888" s="13">
        <f>IFERROR(__xludf.DUMMYFUNCTION("""COMPUTED_VALUE"""),2883.0)</f>
        <v>2883</v>
      </c>
      <c r="C2888" s="13" t="str">
        <f>IFERROR(__xludf.DUMMYFUNCTION("""COMPUTED_VALUE"""),"M. 12725/ Kedamaian")</f>
        <v>M. 12725/ Kedamaian</v>
      </c>
      <c r="D2888" s="13" t="str">
        <f>IFERROR(__xludf.DUMMYFUNCTION("""COMPUTED_VALUE"""),"K/24/010725/3")</f>
        <v>K/24/010725/3</v>
      </c>
      <c r="E2888" s="14" t="str">
        <f>IFERROR(__xludf.DUMMYFUNCTION("""COMPUTED_VALUE"""),"Heri (BT)")</f>
        <v>Heri (BT)</v>
      </c>
      <c r="F2888" s="14" t="str">
        <f>IFERROR(__xludf.DUMMYFUNCTION("""COMPUTED_VALUE"""),"SELESAI (VIA PERMOHONAN)")</f>
        <v>SELESAI (VIA PERMOHONAN)</v>
      </c>
      <c r="G2888" s="17">
        <f>IFERROR(__xludf.DUMMYFUNCTION("""COMPUTED_VALUE"""),45847.56815320602)</f>
        <v>45847.56815</v>
      </c>
      <c r="H2888" s="14" t="str">
        <f>IFERROR(__xludf.DUMMYFUNCTION("""COMPUTED_VALUE"""),"Eci (SU)")</f>
        <v>Eci (SU)</v>
      </c>
      <c r="I2888" s="13" t="str">
        <f>IFERROR(__xludf.DUMMYFUNCTION("""COMPUTED_VALUE"""),"SELESAI (VIA PERMOHONAN)")</f>
        <v>SELESAI (VIA PERMOHONAN)</v>
      </c>
      <c r="J2888" s="17">
        <f>IFERROR(__xludf.DUMMYFUNCTION("""COMPUTED_VALUE"""),45847.66572827546)</f>
        <v>45847.66573</v>
      </c>
      <c r="K2888" s="13" t="str">
        <f>IFERROR(__xludf.DUMMYFUNCTION("""COMPUTED_VALUE"""),"Selesai")</f>
        <v>Selesai</v>
      </c>
      <c r="L2888" s="17">
        <f>IFERROR(__xludf.DUMMYFUNCTION("""COMPUTED_VALUE"""),45847.66572827546)</f>
        <v>45847.66573</v>
      </c>
      <c r="M2888" s="13"/>
      <c r="N2888" s="13" t="str">
        <f>IFERROR(__xludf.DUMMYFUNCTION("""COMPUTED_VALUE"""),"")</f>
        <v/>
      </c>
      <c r="O2888" s="13" t="str">
        <f t="shared" si="1"/>
        <v/>
      </c>
    </row>
    <row r="2889" ht="22.5" customHeight="1">
      <c r="B2889" s="13">
        <f>IFERROR(__xludf.DUMMYFUNCTION("""COMPUTED_VALUE"""),2884.0)</f>
        <v>2884</v>
      </c>
      <c r="C2889" s="13" t="str">
        <f>IFERROR(__xludf.DUMMYFUNCTION("""COMPUTED_VALUE"""),"M. 3807/ Way Kandis")</f>
        <v>M. 3807/ Way Kandis</v>
      </c>
      <c r="D2889" s="13" t="str">
        <f>IFERROR(__xludf.DUMMYFUNCTION("""COMPUTED_VALUE"""),"K/25/190625/1")</f>
        <v>K/25/190625/1</v>
      </c>
      <c r="E2889" s="14" t="str">
        <f>IFERROR(__xludf.DUMMYFUNCTION("""COMPUTED_VALUE"""),"Heri (BT)")</f>
        <v>Heri (BT)</v>
      </c>
      <c r="F2889" s="14" t="str">
        <f>IFERROR(__xludf.DUMMYFUNCTION("""COMPUTED_VALUE"""),"SELESAI (VIA PERMOHONAN)")</f>
        <v>SELESAI (VIA PERMOHONAN)</v>
      </c>
      <c r="G2889" s="17">
        <f>IFERROR(__xludf.DUMMYFUNCTION("""COMPUTED_VALUE"""),45847.56826943287)</f>
        <v>45847.56827</v>
      </c>
      <c r="H2889" s="14" t="str">
        <f>IFERROR(__xludf.DUMMYFUNCTION("""COMPUTED_VALUE"""),"Eci (SU)")</f>
        <v>Eci (SU)</v>
      </c>
      <c r="I2889" s="13" t="str">
        <f>IFERROR(__xludf.DUMMYFUNCTION("""COMPUTED_VALUE"""),"SELESAI (VIA PERMOHONAN)")</f>
        <v>SELESAI (VIA PERMOHONAN)</v>
      </c>
      <c r="J2889" s="17">
        <f>IFERROR(__xludf.DUMMYFUNCTION("""COMPUTED_VALUE"""),45847.665638125)</f>
        <v>45847.66564</v>
      </c>
      <c r="K2889" s="13" t="str">
        <f>IFERROR(__xludf.DUMMYFUNCTION("""COMPUTED_VALUE"""),"Selesai")</f>
        <v>Selesai</v>
      </c>
      <c r="L2889" s="17">
        <f>IFERROR(__xludf.DUMMYFUNCTION("""COMPUTED_VALUE"""),45847.665638125)</f>
        <v>45847.66564</v>
      </c>
      <c r="M2889" s="13"/>
      <c r="N2889" s="13" t="str">
        <f>IFERROR(__xludf.DUMMYFUNCTION("""COMPUTED_VALUE"""),"")</f>
        <v/>
      </c>
      <c r="O2889" s="13" t="str">
        <f t="shared" si="1"/>
        <v/>
      </c>
    </row>
    <row r="2890" ht="22.5" customHeight="1">
      <c r="B2890" s="13">
        <f>IFERROR(__xludf.DUMMYFUNCTION("""COMPUTED_VALUE"""),2885.0)</f>
        <v>2885</v>
      </c>
      <c r="C2890" s="13" t="str">
        <f>IFERROR(__xludf.DUMMYFUNCTION("""COMPUTED_VALUE"""),"B. 930/ Sukabumi Indah")</f>
        <v>B. 930/ Sukabumi Indah</v>
      </c>
      <c r="D2890" s="13" t="str">
        <f>IFERROR(__xludf.DUMMYFUNCTION("""COMPUTED_VALUE"""),"K/24/200625/2")</f>
        <v>K/24/200625/2</v>
      </c>
      <c r="E2890" s="14" t="str">
        <f>IFERROR(__xludf.DUMMYFUNCTION("""COMPUTED_VALUE"""),"Heri (BT)")</f>
        <v>Heri (BT)</v>
      </c>
      <c r="F2890" s="14" t="str">
        <f>IFERROR(__xludf.DUMMYFUNCTION("""COMPUTED_VALUE"""),"SELESAI (VIA PERMOHONAN)")</f>
        <v>SELESAI (VIA PERMOHONAN)</v>
      </c>
      <c r="G2890" s="17">
        <f>IFERROR(__xludf.DUMMYFUNCTION("""COMPUTED_VALUE"""),45847.56956447917)</f>
        <v>45847.56956</v>
      </c>
      <c r="H2890" s="14" t="str">
        <f>IFERROR(__xludf.DUMMYFUNCTION("""COMPUTED_VALUE"""),"Eci (SU)")</f>
        <v>Eci (SU)</v>
      </c>
      <c r="I2890" s="13" t="str">
        <f>IFERROR(__xludf.DUMMYFUNCTION("""COMPUTED_VALUE"""),"SELESAI (VIA PERMOHONAN)")</f>
        <v>SELESAI (VIA PERMOHONAN)</v>
      </c>
      <c r="J2890" s="17">
        <f>IFERROR(__xludf.DUMMYFUNCTION("""COMPUTED_VALUE"""),45847.665518090274)</f>
        <v>45847.66552</v>
      </c>
      <c r="K2890" s="13" t="str">
        <f>IFERROR(__xludf.DUMMYFUNCTION("""COMPUTED_VALUE"""),"Selesai")</f>
        <v>Selesai</v>
      </c>
      <c r="L2890" s="17">
        <f>IFERROR(__xludf.DUMMYFUNCTION("""COMPUTED_VALUE"""),45847.665518090274)</f>
        <v>45847.66552</v>
      </c>
      <c r="M2890" s="13"/>
      <c r="N2890" s="13" t="str">
        <f>IFERROR(__xludf.DUMMYFUNCTION("""COMPUTED_VALUE"""),"")</f>
        <v/>
      </c>
      <c r="O2890" s="13" t="str">
        <f t="shared" si="1"/>
        <v/>
      </c>
    </row>
    <row r="2891" ht="22.5" customHeight="1">
      <c r="B2891" s="13">
        <f>IFERROR(__xludf.DUMMYFUNCTION("""COMPUTED_VALUE"""),2886.0)</f>
        <v>2886</v>
      </c>
      <c r="C2891" s="13" t="str">
        <f>IFERROR(__xludf.DUMMYFUNCTION("""COMPUTED_VALUE"""),"M. 1119/ Bakung")</f>
        <v>M. 1119/ Bakung</v>
      </c>
      <c r="D2891" s="13" t="str">
        <f>IFERROR(__xludf.DUMMYFUNCTION("""COMPUTED_VALUE"""),"K/13/010725/1")</f>
        <v>K/13/010725/1</v>
      </c>
      <c r="E2891" s="14" t="str">
        <f>IFERROR(__xludf.DUMMYFUNCTION("""COMPUTED_VALUE"""),"Heri (BT)")</f>
        <v>Heri (BT)</v>
      </c>
      <c r="F2891" s="14" t="str">
        <f>IFERROR(__xludf.DUMMYFUNCTION("""COMPUTED_VALUE"""),"SELESAI (VIA PERMOHONAN)")</f>
        <v>SELESAI (VIA PERMOHONAN)</v>
      </c>
      <c r="G2891" s="17">
        <f>IFERROR(__xludf.DUMMYFUNCTION("""COMPUTED_VALUE"""),45847.56972306713)</f>
        <v>45847.56972</v>
      </c>
      <c r="H2891" s="14" t="str">
        <f>IFERROR(__xludf.DUMMYFUNCTION("""COMPUTED_VALUE"""),"Eci (SU)")</f>
        <v>Eci (SU)</v>
      </c>
      <c r="I2891" s="13" t="str">
        <f>IFERROR(__xludf.DUMMYFUNCTION("""COMPUTED_VALUE"""),"SELESAI (VIA PERMOHONAN)")</f>
        <v>SELESAI (VIA PERMOHONAN)</v>
      </c>
      <c r="J2891" s="17">
        <f>IFERROR(__xludf.DUMMYFUNCTION("""COMPUTED_VALUE"""),45848.69589777778)</f>
        <v>45848.6959</v>
      </c>
      <c r="K2891" s="13" t="str">
        <f>IFERROR(__xludf.DUMMYFUNCTION("""COMPUTED_VALUE"""),"Selesai")</f>
        <v>Selesai</v>
      </c>
      <c r="L2891" s="17">
        <f>IFERROR(__xludf.DUMMYFUNCTION("""COMPUTED_VALUE"""),45848.69589777778)</f>
        <v>45848.6959</v>
      </c>
      <c r="M2891" s="13"/>
      <c r="N2891" s="13" t="str">
        <f>IFERROR(__xludf.DUMMYFUNCTION("""COMPUTED_VALUE"""),"")</f>
        <v/>
      </c>
      <c r="O2891" s="13" t="str">
        <f t="shared" si="1"/>
        <v/>
      </c>
    </row>
    <row r="2892" ht="22.5" customHeight="1">
      <c r="B2892" s="13">
        <f>IFERROR(__xludf.DUMMYFUNCTION("""COMPUTED_VALUE"""),2887.0)</f>
        <v>2887</v>
      </c>
      <c r="C2892" s="13" t="str">
        <f>IFERROR(__xludf.DUMMYFUNCTION("""COMPUTED_VALUE"""),"M. 4988/ Campang raya")</f>
        <v>M. 4988/ Campang raya</v>
      </c>
      <c r="D2892" s="13" t="str">
        <f>IFERROR(__xludf.DUMMYFUNCTION("""COMPUTED_VALUE"""),"K/40/040725/1")</f>
        <v>K/40/040725/1</v>
      </c>
      <c r="E2892" s="14" t="str">
        <f>IFERROR(__xludf.DUMMYFUNCTION("""COMPUTED_VALUE"""),"Heri (BT)")</f>
        <v>Heri (BT)</v>
      </c>
      <c r="F2892" s="14" t="str">
        <f>IFERROR(__xludf.DUMMYFUNCTION("""COMPUTED_VALUE"""),"SELESAI (VIA PERMOHONAN)")</f>
        <v>SELESAI (VIA PERMOHONAN)</v>
      </c>
      <c r="G2892" s="17">
        <f>IFERROR(__xludf.DUMMYFUNCTION("""COMPUTED_VALUE"""),45847.56999311343)</f>
        <v>45847.56999</v>
      </c>
      <c r="H2892" s="14" t="str">
        <f>IFERROR(__xludf.DUMMYFUNCTION("""COMPUTED_VALUE"""),"Eci (SU)")</f>
        <v>Eci (SU)</v>
      </c>
      <c r="I2892" s="13" t="str">
        <f>IFERROR(__xludf.DUMMYFUNCTION("""COMPUTED_VALUE"""),"SELESAI (VIA PERMOHONAN)")</f>
        <v>SELESAI (VIA PERMOHONAN)</v>
      </c>
      <c r="J2892" s="17">
        <f>IFERROR(__xludf.DUMMYFUNCTION("""COMPUTED_VALUE"""),45848.69548847222)</f>
        <v>45848.69549</v>
      </c>
      <c r="K2892" s="13" t="str">
        <f>IFERROR(__xludf.DUMMYFUNCTION("""COMPUTED_VALUE"""),"Selesai")</f>
        <v>Selesai</v>
      </c>
      <c r="L2892" s="17">
        <f>IFERROR(__xludf.DUMMYFUNCTION("""COMPUTED_VALUE"""),45848.69548847222)</f>
        <v>45848.69549</v>
      </c>
      <c r="M2892" s="13"/>
      <c r="N2892" s="13" t="str">
        <f>IFERROR(__xludf.DUMMYFUNCTION("""COMPUTED_VALUE"""),"")</f>
        <v/>
      </c>
      <c r="O2892" s="13" t="str">
        <f t="shared" si="1"/>
        <v/>
      </c>
    </row>
    <row r="2893" ht="22.5" customHeight="1">
      <c r="B2893" s="13">
        <f>IFERROR(__xludf.DUMMYFUNCTION("""COMPUTED_VALUE"""),2888.0)</f>
        <v>2888</v>
      </c>
      <c r="C2893" s="13" t="str">
        <f>IFERROR(__xludf.DUMMYFUNCTION("""COMPUTED_VALUE"""),"M. 4989/ Campang raya")</f>
        <v>M. 4989/ Campang raya</v>
      </c>
      <c r="D2893" s="13" t="str">
        <f>IFERROR(__xludf.DUMMYFUNCTION("""COMPUTED_VALUE"""),"K/41/040725/2")</f>
        <v>K/41/040725/2</v>
      </c>
      <c r="E2893" s="14" t="str">
        <f>IFERROR(__xludf.DUMMYFUNCTION("""COMPUTED_VALUE"""),"Heri (BT)")</f>
        <v>Heri (BT)</v>
      </c>
      <c r="F2893" s="14" t="str">
        <f>IFERROR(__xludf.DUMMYFUNCTION("""COMPUTED_VALUE"""),"SELESAI (VIA PERMOHONAN)")</f>
        <v>SELESAI (VIA PERMOHONAN)</v>
      </c>
      <c r="G2893" s="17">
        <f>IFERROR(__xludf.DUMMYFUNCTION("""COMPUTED_VALUE"""),45847.57688425926)</f>
        <v>45847.57688</v>
      </c>
      <c r="H2893" s="14" t="str">
        <f>IFERROR(__xludf.DUMMYFUNCTION("""COMPUTED_VALUE"""),"Eci (SU)")</f>
        <v>Eci (SU)</v>
      </c>
      <c r="I2893" s="13" t="str">
        <f>IFERROR(__xludf.DUMMYFUNCTION("""COMPUTED_VALUE"""),"SELESAI (VIA PERMOHONAN)")</f>
        <v>SELESAI (VIA PERMOHONAN)</v>
      </c>
      <c r="J2893" s="17">
        <f>IFERROR(__xludf.DUMMYFUNCTION("""COMPUTED_VALUE"""),45848.69582237268)</f>
        <v>45848.69582</v>
      </c>
      <c r="K2893" s="13" t="str">
        <f>IFERROR(__xludf.DUMMYFUNCTION("""COMPUTED_VALUE"""),"Selesai")</f>
        <v>Selesai</v>
      </c>
      <c r="L2893" s="17">
        <f>IFERROR(__xludf.DUMMYFUNCTION("""COMPUTED_VALUE"""),45848.69582237268)</f>
        <v>45848.69582</v>
      </c>
      <c r="M2893" s="13"/>
      <c r="N2893" s="13" t="str">
        <f>IFERROR(__xludf.DUMMYFUNCTION("""COMPUTED_VALUE"""),"")</f>
        <v/>
      </c>
      <c r="O2893" s="13" t="str">
        <f t="shared" si="1"/>
        <v/>
      </c>
    </row>
    <row r="2894" ht="22.5" customHeight="1">
      <c r="B2894" s="13">
        <f>IFERROR(__xludf.DUMMYFUNCTION("""COMPUTED_VALUE"""),2889.0)</f>
        <v>2889</v>
      </c>
      <c r="C2894" s="13" t="str">
        <f>IFERROR(__xludf.DUMMYFUNCTION("""COMPUTED_VALUE"""),"HM 11762/KEDATON")</f>
        <v>HM 11762/KEDATON</v>
      </c>
      <c r="D2894" s="13" t="str">
        <f>IFERROR(__xludf.DUMMYFUNCTION("""COMPUTED_VALUE"""),"L/22/260625/1")</f>
        <v>L/22/260625/1</v>
      </c>
      <c r="E2894" s="14" t="str">
        <f>IFERROR(__xludf.DUMMYFUNCTION("""COMPUTED_VALUE"""),"Heri (BT)")</f>
        <v>Heri (BT)</v>
      </c>
      <c r="F2894" s="14" t="str">
        <f>IFERROR(__xludf.DUMMYFUNCTION("""COMPUTED_VALUE"""),"SELESAI (VIA PERMOHONAN)")</f>
        <v>SELESAI (VIA PERMOHONAN)</v>
      </c>
      <c r="G2894" s="17">
        <f>IFERROR(__xludf.DUMMYFUNCTION("""COMPUTED_VALUE"""),45847.577065300924)</f>
        <v>45847.57707</v>
      </c>
      <c r="H2894" s="14" t="str">
        <f>IFERROR(__xludf.DUMMYFUNCTION("""COMPUTED_VALUE"""),"Eci (SU)")</f>
        <v>Eci (SU)</v>
      </c>
      <c r="I2894" s="13" t="str">
        <f>IFERROR(__xludf.DUMMYFUNCTION("""COMPUTED_VALUE"""),"SELESAI (VIA PERMOHONAN)")</f>
        <v>SELESAI (VIA PERMOHONAN)</v>
      </c>
      <c r="J2894" s="17">
        <f>IFERROR(__xludf.DUMMYFUNCTION("""COMPUTED_VALUE"""),45852.45625618055)</f>
        <v>45852.45626</v>
      </c>
      <c r="K2894" s="13" t="str">
        <f>IFERROR(__xludf.DUMMYFUNCTION("""COMPUTED_VALUE"""),"Selesai")</f>
        <v>Selesai</v>
      </c>
      <c r="L2894" s="17">
        <f>IFERROR(__xludf.DUMMYFUNCTION("""COMPUTED_VALUE"""),45852.45625618055)</f>
        <v>45852.45626</v>
      </c>
      <c r="M2894" s="13"/>
      <c r="N2894" s="13" t="str">
        <f>IFERROR(__xludf.DUMMYFUNCTION("""COMPUTED_VALUE"""),"")</f>
        <v/>
      </c>
      <c r="O2894" s="13" t="str">
        <f t="shared" si="1"/>
        <v/>
      </c>
    </row>
    <row r="2895" ht="22.5" customHeight="1">
      <c r="B2895" s="13">
        <f>IFERROR(__xludf.DUMMYFUNCTION("""COMPUTED_VALUE"""),2890.0)</f>
        <v>2890</v>
      </c>
      <c r="C2895" s="13" t="str">
        <f>IFERROR(__xludf.DUMMYFUNCTION("""COMPUTED_VALUE"""),"M. 10146/ Gedong Meneng")</f>
        <v>M. 10146/ Gedong Meneng</v>
      </c>
      <c r="D2895" s="13" t="str">
        <f>IFERROR(__xludf.DUMMYFUNCTION("""COMPUTED_VALUE"""),"K/18/260625/2")</f>
        <v>K/18/260625/2</v>
      </c>
      <c r="E2895" s="14" t="str">
        <f>IFERROR(__xludf.DUMMYFUNCTION("""COMPUTED_VALUE"""),"Heri (BT)")</f>
        <v>Heri (BT)</v>
      </c>
      <c r="F2895" s="14" t="str">
        <f>IFERROR(__xludf.DUMMYFUNCTION("""COMPUTED_VALUE"""),"SELESAI (VIA PERMOHONAN)")</f>
        <v>SELESAI (VIA PERMOHONAN)</v>
      </c>
      <c r="G2895" s="17">
        <f>IFERROR(__xludf.DUMMYFUNCTION("""COMPUTED_VALUE"""),45847.57722078703)</f>
        <v>45847.57722</v>
      </c>
      <c r="H2895" s="14" t="str">
        <f>IFERROR(__xludf.DUMMYFUNCTION("""COMPUTED_VALUE"""),"Eci (SU)")</f>
        <v>Eci (SU)</v>
      </c>
      <c r="I2895" s="13" t="str">
        <f>IFERROR(__xludf.DUMMYFUNCTION("""COMPUTED_VALUE"""),"SELESAI (VIA PERMOHONAN)")</f>
        <v>SELESAI (VIA PERMOHONAN)</v>
      </c>
      <c r="J2895" s="17">
        <f>IFERROR(__xludf.DUMMYFUNCTION("""COMPUTED_VALUE"""),45848.69601480324)</f>
        <v>45848.69601</v>
      </c>
      <c r="K2895" s="13" t="str">
        <f>IFERROR(__xludf.DUMMYFUNCTION("""COMPUTED_VALUE"""),"Selesai")</f>
        <v>Selesai</v>
      </c>
      <c r="L2895" s="17">
        <f>IFERROR(__xludf.DUMMYFUNCTION("""COMPUTED_VALUE"""),45848.69601480324)</f>
        <v>45848.69601</v>
      </c>
      <c r="M2895" s="13"/>
      <c r="N2895" s="13" t="str">
        <f>IFERROR(__xludf.DUMMYFUNCTION("""COMPUTED_VALUE"""),"")</f>
        <v/>
      </c>
      <c r="O2895" s="13" t="str">
        <f t="shared" si="1"/>
        <v/>
      </c>
    </row>
    <row r="2896" ht="22.5" customHeight="1">
      <c r="B2896" s="13">
        <f>IFERROR(__xludf.DUMMYFUNCTION("""COMPUTED_VALUE"""),2891.0)</f>
        <v>2891</v>
      </c>
      <c r="C2896" s="13" t="str">
        <f>IFERROR(__xludf.DUMMYFUNCTION("""COMPUTED_VALUE"""),"M. 9438/ Labuhan Ratu")</f>
        <v>M. 9438/ Labuhan Ratu</v>
      </c>
      <c r="D2896" s="13" t="str">
        <f>IFERROR(__xludf.DUMMYFUNCTION("""COMPUTED_VALUE"""),"K/38/200625/2")</f>
        <v>K/38/200625/2</v>
      </c>
      <c r="E2896" s="14" t="str">
        <f>IFERROR(__xludf.DUMMYFUNCTION("""COMPUTED_VALUE"""),"Heri (BT)")</f>
        <v>Heri (BT)</v>
      </c>
      <c r="F2896" s="14" t="str">
        <f>IFERROR(__xludf.DUMMYFUNCTION("""COMPUTED_VALUE"""),"SELESAI (VIA PERMOHONAN)")</f>
        <v>SELESAI (VIA PERMOHONAN)</v>
      </c>
      <c r="G2896" s="17">
        <f>IFERROR(__xludf.DUMMYFUNCTION("""COMPUTED_VALUE"""),45847.57741733796)</f>
        <v>45847.57742</v>
      </c>
      <c r="H2896" s="14" t="str">
        <f>IFERROR(__xludf.DUMMYFUNCTION("""COMPUTED_VALUE"""),"Eci (SU)")</f>
        <v>Eci (SU)</v>
      </c>
      <c r="I2896" s="13" t="str">
        <f>IFERROR(__xludf.DUMMYFUNCTION("""COMPUTED_VALUE"""),"SELESAI (VIA PERMOHONAN)")</f>
        <v>SELESAI (VIA PERMOHONAN)</v>
      </c>
      <c r="J2896" s="17">
        <f>IFERROR(__xludf.DUMMYFUNCTION("""COMPUTED_VALUE"""),45847.66537607639)</f>
        <v>45847.66538</v>
      </c>
      <c r="K2896" s="13" t="str">
        <f>IFERROR(__xludf.DUMMYFUNCTION("""COMPUTED_VALUE"""),"Selesai")</f>
        <v>Selesai</v>
      </c>
      <c r="L2896" s="17">
        <f>IFERROR(__xludf.DUMMYFUNCTION("""COMPUTED_VALUE"""),45847.66537607639)</f>
        <v>45847.66538</v>
      </c>
      <c r="M2896" s="13"/>
      <c r="N2896" s="13" t="str">
        <f>IFERROR(__xludf.DUMMYFUNCTION("""COMPUTED_VALUE"""),"")</f>
        <v/>
      </c>
      <c r="O2896" s="13" t="str">
        <f t="shared" si="1"/>
        <v/>
      </c>
    </row>
    <row r="2897" ht="22.5" customHeight="1">
      <c r="B2897" s="13">
        <f>IFERROR(__xludf.DUMMYFUNCTION("""COMPUTED_VALUE"""),2892.0)</f>
        <v>2892</v>
      </c>
      <c r="C2897" s="13" t="str">
        <f>IFERROR(__xludf.DUMMYFUNCTION("""COMPUTED_VALUE"""),"M. 2010/ Kota Karang")</f>
        <v>M. 2010/ Kota Karang</v>
      </c>
      <c r="D2897" s="13" t="str">
        <f>IFERROR(__xludf.DUMMYFUNCTION("""COMPUTED_VALUE"""),"K/38/160635/1")</f>
        <v>K/38/160635/1</v>
      </c>
      <c r="E2897" s="14" t="str">
        <f>IFERROR(__xludf.DUMMYFUNCTION("""COMPUTED_VALUE"""),"Heri (BT)")</f>
        <v>Heri (BT)</v>
      </c>
      <c r="F2897" s="14" t="str">
        <f>IFERROR(__xludf.DUMMYFUNCTION("""COMPUTED_VALUE"""),"SELESAI (VIA PERMOHONAN)")</f>
        <v>SELESAI (VIA PERMOHONAN)</v>
      </c>
      <c r="G2897" s="17">
        <f>IFERROR(__xludf.DUMMYFUNCTION("""COMPUTED_VALUE"""),45847.577550497685)</f>
        <v>45847.57755</v>
      </c>
      <c r="H2897" s="14" t="str">
        <f>IFERROR(__xludf.DUMMYFUNCTION("""COMPUTED_VALUE"""),"Eci (SU)")</f>
        <v>Eci (SU)</v>
      </c>
      <c r="I2897" s="13" t="str">
        <f>IFERROR(__xludf.DUMMYFUNCTION("""COMPUTED_VALUE"""),"SELESAI (VIA PERMOHONAN)")</f>
        <v>SELESAI (VIA PERMOHONAN)</v>
      </c>
      <c r="J2897" s="17">
        <f>IFERROR(__xludf.DUMMYFUNCTION("""COMPUTED_VALUE"""),45847.665252129635)</f>
        <v>45847.66525</v>
      </c>
      <c r="K2897" s="13" t="str">
        <f>IFERROR(__xludf.DUMMYFUNCTION("""COMPUTED_VALUE"""),"Selesai")</f>
        <v>Selesai</v>
      </c>
      <c r="L2897" s="17">
        <f>IFERROR(__xludf.DUMMYFUNCTION("""COMPUTED_VALUE"""),45847.665252129635)</f>
        <v>45847.66525</v>
      </c>
      <c r="M2897" s="13"/>
      <c r="N2897" s="13" t="str">
        <f>IFERROR(__xludf.DUMMYFUNCTION("""COMPUTED_VALUE"""),"")</f>
        <v/>
      </c>
      <c r="O2897" s="13" t="str">
        <f t="shared" si="1"/>
        <v/>
      </c>
    </row>
    <row r="2898" ht="22.5" customHeight="1">
      <c r="B2898" s="13">
        <f>IFERROR(__xludf.DUMMYFUNCTION("""COMPUTED_VALUE"""),2893.0)</f>
        <v>2893</v>
      </c>
      <c r="C2898" s="13" t="str">
        <f>IFERROR(__xludf.DUMMYFUNCTION("""COMPUTED_VALUE"""),"M. 1668/ Bumi Kedamaian")</f>
        <v>M. 1668/ Bumi Kedamaian</v>
      </c>
      <c r="D2898" s="13" t="str">
        <f>IFERROR(__xludf.DUMMYFUNCTION("""COMPUTED_VALUE"""),"K/33/260525/4")</f>
        <v>K/33/260525/4</v>
      </c>
      <c r="E2898" s="14" t="str">
        <f>IFERROR(__xludf.DUMMYFUNCTION("""COMPUTED_VALUE"""),"Heri (BT)")</f>
        <v>Heri (BT)</v>
      </c>
      <c r="F2898" s="14" t="str">
        <f>IFERROR(__xludf.DUMMYFUNCTION("""COMPUTED_VALUE"""),"SELESAI (VIA PERMOHONAN)")</f>
        <v>SELESAI (VIA PERMOHONAN)</v>
      </c>
      <c r="G2898" s="17">
        <f>IFERROR(__xludf.DUMMYFUNCTION("""COMPUTED_VALUE"""),45847.57780480324)</f>
        <v>45847.5778</v>
      </c>
      <c r="H2898" s="14" t="str">
        <f>IFERROR(__xludf.DUMMYFUNCTION("""COMPUTED_VALUE"""),"Eci (SU)")</f>
        <v>Eci (SU)</v>
      </c>
      <c r="I2898" s="13" t="str">
        <f>IFERROR(__xludf.DUMMYFUNCTION("""COMPUTED_VALUE"""),"SELESAI (VIA PERMOHONAN)")</f>
        <v>SELESAI (VIA PERMOHONAN)</v>
      </c>
      <c r="J2898" s="17">
        <f>IFERROR(__xludf.DUMMYFUNCTION("""COMPUTED_VALUE"""),45848.69499127315)</f>
        <v>45848.69499</v>
      </c>
      <c r="K2898" s="13" t="str">
        <f>IFERROR(__xludf.DUMMYFUNCTION("""COMPUTED_VALUE"""),"Selesai")</f>
        <v>Selesai</v>
      </c>
      <c r="L2898" s="17">
        <f>IFERROR(__xludf.DUMMYFUNCTION("""COMPUTED_VALUE"""),45848.69499127315)</f>
        <v>45848.69499</v>
      </c>
      <c r="M2898" s="13"/>
      <c r="N2898" s="13" t="str">
        <f>IFERROR(__xludf.DUMMYFUNCTION("""COMPUTED_VALUE"""),"")</f>
        <v/>
      </c>
      <c r="O2898" s="13" t="str">
        <f t="shared" si="1"/>
        <v/>
      </c>
    </row>
    <row r="2899" ht="22.5" customHeight="1">
      <c r="B2899" s="13">
        <f>IFERROR(__xludf.DUMMYFUNCTION("""COMPUTED_VALUE"""),2894.0)</f>
        <v>2894</v>
      </c>
      <c r="C2899" s="13" t="str">
        <f>IFERROR(__xludf.DUMMYFUNCTION("""COMPUTED_VALUE"""),"M. 1824/ Way Kandis")</f>
        <v>M. 1824/ Way Kandis</v>
      </c>
      <c r="D2899" s="13" t="str">
        <f>IFERROR(__xludf.DUMMYFUNCTION("""COMPUTED_VALUE"""),"K/14/200625/1")</f>
        <v>K/14/200625/1</v>
      </c>
      <c r="E2899" s="14" t="str">
        <f>IFERROR(__xludf.DUMMYFUNCTION("""COMPUTED_VALUE"""),"Heri (BT)")</f>
        <v>Heri (BT)</v>
      </c>
      <c r="F2899" s="14" t="str">
        <f>IFERROR(__xludf.DUMMYFUNCTION("""COMPUTED_VALUE"""),"SELESAI (VIA PERMOHONAN)")</f>
        <v>SELESAI (VIA PERMOHONAN)</v>
      </c>
      <c r="G2899" s="17">
        <f>IFERROR(__xludf.DUMMYFUNCTION("""COMPUTED_VALUE"""),45847.57799498843)</f>
        <v>45847.57799</v>
      </c>
      <c r="H2899" s="14" t="str">
        <f>IFERROR(__xludf.DUMMYFUNCTION("""COMPUTED_VALUE"""),"Eci (SU)")</f>
        <v>Eci (SU)</v>
      </c>
      <c r="I2899" s="13" t="str">
        <f>IFERROR(__xludf.DUMMYFUNCTION("""COMPUTED_VALUE"""),"SELESAI (VIA PERMOHONAN)")</f>
        <v>SELESAI (VIA PERMOHONAN)</v>
      </c>
      <c r="J2899" s="17">
        <f>IFERROR(__xludf.DUMMYFUNCTION("""COMPUTED_VALUE"""),45848.59045765046)</f>
        <v>45848.59046</v>
      </c>
      <c r="K2899" s="13" t="str">
        <f>IFERROR(__xludf.DUMMYFUNCTION("""COMPUTED_VALUE"""),"Selesai")</f>
        <v>Selesai</v>
      </c>
      <c r="L2899" s="17">
        <f>IFERROR(__xludf.DUMMYFUNCTION("""COMPUTED_VALUE"""),45848.59045765046)</f>
        <v>45848.59046</v>
      </c>
      <c r="M2899" s="13"/>
      <c r="N2899" s="13" t="str">
        <f>IFERROR(__xludf.DUMMYFUNCTION("""COMPUTED_VALUE"""),"")</f>
        <v/>
      </c>
      <c r="O2899" s="13" t="str">
        <f t="shared" si="1"/>
        <v/>
      </c>
    </row>
    <row r="2900" ht="22.5" customHeight="1">
      <c r="B2900" s="13">
        <f>IFERROR(__xludf.DUMMYFUNCTION("""COMPUTED_VALUE"""),2895.0)</f>
        <v>2895</v>
      </c>
      <c r="C2900" s="13" t="str">
        <f>IFERROR(__xludf.DUMMYFUNCTION("""COMPUTED_VALUE"""),"M. 18171/ Sukarame")</f>
        <v>M. 18171/ Sukarame</v>
      </c>
      <c r="D2900" s="13" t="str">
        <f>IFERROR(__xludf.DUMMYFUNCTION("""COMPUTED_VALUE"""),"K/17/250625/1")</f>
        <v>K/17/250625/1</v>
      </c>
      <c r="E2900" s="14" t="str">
        <f>IFERROR(__xludf.DUMMYFUNCTION("""COMPUTED_VALUE"""),"Heri (BT)")</f>
        <v>Heri (BT)</v>
      </c>
      <c r="F2900" s="14" t="str">
        <f>IFERROR(__xludf.DUMMYFUNCTION("""COMPUTED_VALUE"""),"SELESAI (VIA PERMOHONAN)")</f>
        <v>SELESAI (VIA PERMOHONAN)</v>
      </c>
      <c r="G2900" s="17">
        <f>IFERROR(__xludf.DUMMYFUNCTION("""COMPUTED_VALUE"""),45847.57812943287)</f>
        <v>45847.57813</v>
      </c>
      <c r="H2900" s="14" t="str">
        <f>IFERROR(__xludf.DUMMYFUNCTION("""COMPUTED_VALUE"""),"Eci (SU)")</f>
        <v>Eci (SU)</v>
      </c>
      <c r="I2900" s="13" t="str">
        <f>IFERROR(__xludf.DUMMYFUNCTION("""COMPUTED_VALUE"""),"SELESAI (VIA PERMOHONAN)")</f>
        <v>SELESAI (VIA PERMOHONAN)</v>
      </c>
      <c r="J2900" s="17">
        <f>IFERROR(__xludf.DUMMYFUNCTION("""COMPUTED_VALUE"""),45847.665137916665)</f>
        <v>45847.66514</v>
      </c>
      <c r="K2900" s="13" t="str">
        <f>IFERROR(__xludf.DUMMYFUNCTION("""COMPUTED_VALUE"""),"Selesai")</f>
        <v>Selesai</v>
      </c>
      <c r="L2900" s="17">
        <f>IFERROR(__xludf.DUMMYFUNCTION("""COMPUTED_VALUE"""),45847.665137916665)</f>
        <v>45847.66514</v>
      </c>
      <c r="M2900" s="13"/>
      <c r="N2900" s="13" t="str">
        <f>IFERROR(__xludf.DUMMYFUNCTION("""COMPUTED_VALUE"""),"")</f>
        <v/>
      </c>
      <c r="O2900" s="13" t="str">
        <f t="shared" si="1"/>
        <v/>
      </c>
    </row>
    <row r="2901" ht="22.5" customHeight="1">
      <c r="B2901" s="13">
        <f>IFERROR(__xludf.DUMMYFUNCTION("""COMPUTED_VALUE"""),2896.0)</f>
        <v>2896</v>
      </c>
      <c r="C2901" s="13" t="str">
        <f>IFERROR(__xludf.DUMMYFUNCTION("""COMPUTED_VALUE"""),"M. 1423/ Sukarame Baru")</f>
        <v>M. 1423/ Sukarame Baru</v>
      </c>
      <c r="D2901" s="13" t="str">
        <f>IFERROR(__xludf.DUMMYFUNCTION("""COMPUTED_VALUE"""),"K/44/240625/2")</f>
        <v>K/44/240625/2</v>
      </c>
      <c r="E2901" s="14" t="str">
        <f>IFERROR(__xludf.DUMMYFUNCTION("""COMPUTED_VALUE"""),"Heri (BT)")</f>
        <v>Heri (BT)</v>
      </c>
      <c r="F2901" s="14" t="str">
        <f>IFERROR(__xludf.DUMMYFUNCTION("""COMPUTED_VALUE"""),"SELESAI (VIA PERMOHONAN)")</f>
        <v>SELESAI (VIA PERMOHONAN)</v>
      </c>
      <c r="G2901" s="17">
        <f>IFERROR(__xludf.DUMMYFUNCTION("""COMPUTED_VALUE"""),45847.578261296294)</f>
        <v>45847.57826</v>
      </c>
      <c r="H2901" s="14" t="str">
        <f>IFERROR(__xludf.DUMMYFUNCTION("""COMPUTED_VALUE"""),"Eci (SU)")</f>
        <v>Eci (SU)</v>
      </c>
      <c r="I2901" s="13" t="str">
        <f>IFERROR(__xludf.DUMMYFUNCTION("""COMPUTED_VALUE"""),"SELESAI (VIA PERMOHONAN)")</f>
        <v>SELESAI (VIA PERMOHONAN)</v>
      </c>
      <c r="J2901" s="17">
        <f>IFERROR(__xludf.DUMMYFUNCTION("""COMPUTED_VALUE"""),45848.590536585645)</f>
        <v>45848.59054</v>
      </c>
      <c r="K2901" s="13" t="str">
        <f>IFERROR(__xludf.DUMMYFUNCTION("""COMPUTED_VALUE"""),"Selesai")</f>
        <v>Selesai</v>
      </c>
      <c r="L2901" s="17">
        <f>IFERROR(__xludf.DUMMYFUNCTION("""COMPUTED_VALUE"""),45848.590536585645)</f>
        <v>45848.59054</v>
      </c>
      <c r="M2901" s="13"/>
      <c r="N2901" s="13" t="str">
        <f>IFERROR(__xludf.DUMMYFUNCTION("""COMPUTED_VALUE"""),"")</f>
        <v/>
      </c>
      <c r="O2901" s="13" t="str">
        <f t="shared" si="1"/>
        <v/>
      </c>
    </row>
    <row r="2902" ht="22.5" customHeight="1">
      <c r="B2902" s="13">
        <f>IFERROR(__xludf.DUMMYFUNCTION("""COMPUTED_VALUE"""),2897.0)</f>
        <v>2897</v>
      </c>
      <c r="C2902" s="13" t="str">
        <f>IFERROR(__xludf.DUMMYFUNCTION("""COMPUTED_VALUE"""),"M. 12731/ Kedaton")</f>
        <v>M. 12731/ Kedaton</v>
      </c>
      <c r="D2902" s="13" t="str">
        <f>IFERROR(__xludf.DUMMYFUNCTION("""COMPUTED_VALUE"""),"K/22/190625/3")</f>
        <v>K/22/190625/3</v>
      </c>
      <c r="E2902" s="14" t="str">
        <f>IFERROR(__xludf.DUMMYFUNCTION("""COMPUTED_VALUE"""),"Heri (BT)")</f>
        <v>Heri (BT)</v>
      </c>
      <c r="F2902" s="14" t="str">
        <f>IFERROR(__xludf.DUMMYFUNCTION("""COMPUTED_VALUE"""),"SELESAI (VIA PERMOHONAN)")</f>
        <v>SELESAI (VIA PERMOHONAN)</v>
      </c>
      <c r="G2902" s="17">
        <f>IFERROR(__xludf.DUMMYFUNCTION("""COMPUTED_VALUE"""),45847.57845703704)</f>
        <v>45847.57846</v>
      </c>
      <c r="H2902" s="14" t="str">
        <f>IFERROR(__xludf.DUMMYFUNCTION("""COMPUTED_VALUE"""),"Eci (SU)")</f>
        <v>Eci (SU)</v>
      </c>
      <c r="I2902" s="13" t="str">
        <f>IFERROR(__xludf.DUMMYFUNCTION("""COMPUTED_VALUE"""),"SELESAI (VIA PERMOHONAN)")</f>
        <v>SELESAI (VIA PERMOHONAN)</v>
      </c>
      <c r="J2902" s="17">
        <f>IFERROR(__xludf.DUMMYFUNCTION("""COMPUTED_VALUE"""),45848.59143748843)</f>
        <v>45848.59144</v>
      </c>
      <c r="K2902" s="13" t="str">
        <f>IFERROR(__xludf.DUMMYFUNCTION("""COMPUTED_VALUE"""),"Selesai")</f>
        <v>Selesai</v>
      </c>
      <c r="L2902" s="17">
        <f>IFERROR(__xludf.DUMMYFUNCTION("""COMPUTED_VALUE"""),45848.59143748843)</f>
        <v>45848.59144</v>
      </c>
      <c r="M2902" s="13"/>
      <c r="N2902" s="13" t="str">
        <f>IFERROR(__xludf.DUMMYFUNCTION("""COMPUTED_VALUE"""),"")</f>
        <v/>
      </c>
      <c r="O2902" s="13" t="str">
        <f t="shared" si="1"/>
        <v/>
      </c>
    </row>
    <row r="2903" ht="22.5" customHeight="1">
      <c r="B2903" s="13">
        <f>IFERROR(__xludf.DUMMYFUNCTION("""COMPUTED_VALUE"""),2898.0)</f>
        <v>2898</v>
      </c>
      <c r="C2903" s="13" t="str">
        <f>IFERROR(__xludf.DUMMYFUNCTION("""COMPUTED_VALUE"""),"M. 1975/ Kota Karang")</f>
        <v>M. 1975/ Kota Karang</v>
      </c>
      <c r="D2903" s="13" t="str">
        <f>IFERROR(__xludf.DUMMYFUNCTION("""COMPUTED_VALUE"""),"K/27/040725/1")</f>
        <v>K/27/040725/1</v>
      </c>
      <c r="E2903" s="14" t="str">
        <f>IFERROR(__xludf.DUMMYFUNCTION("""COMPUTED_VALUE"""),"Heri (BT)")</f>
        <v>Heri (BT)</v>
      </c>
      <c r="F2903" s="14" t="str">
        <f>IFERROR(__xludf.DUMMYFUNCTION("""COMPUTED_VALUE"""),"SELESAI (VIA PERMOHONAN)")</f>
        <v>SELESAI (VIA PERMOHONAN)</v>
      </c>
      <c r="G2903" s="17">
        <f>IFERROR(__xludf.DUMMYFUNCTION("""COMPUTED_VALUE"""),45847.57862303241)</f>
        <v>45847.57862</v>
      </c>
      <c r="H2903" s="14" t="str">
        <f>IFERROR(__xludf.DUMMYFUNCTION("""COMPUTED_VALUE"""),"Eci (SU)")</f>
        <v>Eci (SU)</v>
      </c>
      <c r="I2903" s="13" t="str">
        <f>IFERROR(__xludf.DUMMYFUNCTION("""COMPUTED_VALUE"""),"SELESAI (VIA PERMOHONAN)")</f>
        <v>SELESAI (VIA PERMOHONAN)</v>
      </c>
      <c r="J2903" s="17">
        <f>IFERROR(__xludf.DUMMYFUNCTION("""COMPUTED_VALUE"""),45848.54023251157)</f>
        <v>45848.54023</v>
      </c>
      <c r="K2903" s="13" t="str">
        <f>IFERROR(__xludf.DUMMYFUNCTION("""COMPUTED_VALUE"""),"Selesai")</f>
        <v>Selesai</v>
      </c>
      <c r="L2903" s="17">
        <f>IFERROR(__xludf.DUMMYFUNCTION("""COMPUTED_VALUE"""),45848.54023251157)</f>
        <v>45848.54023</v>
      </c>
      <c r="M2903" s="13"/>
      <c r="N2903" s="13" t="str">
        <f>IFERROR(__xludf.DUMMYFUNCTION("""COMPUTED_VALUE"""),"")</f>
        <v/>
      </c>
      <c r="O2903" s="13" t="str">
        <f t="shared" si="1"/>
        <v/>
      </c>
    </row>
    <row r="2904" ht="22.5" customHeight="1">
      <c r="B2904" s="13">
        <f>IFERROR(__xludf.DUMMYFUNCTION("""COMPUTED_VALUE"""),2899.0)</f>
        <v>2899</v>
      </c>
      <c r="C2904" s="13" t="str">
        <f>IFERROR(__xludf.DUMMYFUNCTION("""COMPUTED_VALUE"""),"HM 12054/SUKABUMI")</f>
        <v>HM 12054/SUKABUMI</v>
      </c>
      <c r="D2904" s="13" t="str">
        <f>IFERROR(__xludf.DUMMYFUNCTION("""COMPUTED_VALUE"""),"L/11/200625/1")</f>
        <v>L/11/200625/1</v>
      </c>
      <c r="E2904" s="14" t="str">
        <f>IFERROR(__xludf.DUMMYFUNCTION("""COMPUTED_VALUE"""),"Heri (BT)")</f>
        <v>Heri (BT)</v>
      </c>
      <c r="F2904" s="14" t="str">
        <f>IFERROR(__xludf.DUMMYFUNCTION("""COMPUTED_VALUE"""),"SELESAI (VIA PERMOHONAN)")</f>
        <v>SELESAI (VIA PERMOHONAN)</v>
      </c>
      <c r="G2904" s="17">
        <f>IFERROR(__xludf.DUMMYFUNCTION("""COMPUTED_VALUE"""),45847.57969475695)</f>
        <v>45847.57969</v>
      </c>
      <c r="H2904" s="14" t="str">
        <f>IFERROR(__xludf.DUMMYFUNCTION("""COMPUTED_VALUE"""),"Eci (SU)")</f>
        <v>Eci (SU)</v>
      </c>
      <c r="I2904" s="13" t="str">
        <f>IFERROR(__xludf.DUMMYFUNCTION("""COMPUTED_VALUE"""),"SELESAI (VIA PERMOHONAN)")</f>
        <v>SELESAI (VIA PERMOHONAN)</v>
      </c>
      <c r="J2904" s="17">
        <f>IFERROR(__xludf.DUMMYFUNCTION("""COMPUTED_VALUE"""),45848.54036246528)</f>
        <v>45848.54036</v>
      </c>
      <c r="K2904" s="13" t="str">
        <f>IFERROR(__xludf.DUMMYFUNCTION("""COMPUTED_VALUE"""),"Selesai")</f>
        <v>Selesai</v>
      </c>
      <c r="L2904" s="17">
        <f>IFERROR(__xludf.DUMMYFUNCTION("""COMPUTED_VALUE"""),45848.54036246528)</f>
        <v>45848.54036</v>
      </c>
      <c r="M2904" s="13"/>
      <c r="N2904" s="13" t="str">
        <f>IFERROR(__xludf.DUMMYFUNCTION("""COMPUTED_VALUE"""),"")</f>
        <v/>
      </c>
      <c r="O2904" s="13" t="str">
        <f t="shared" si="1"/>
        <v/>
      </c>
    </row>
    <row r="2905" ht="22.5" customHeight="1">
      <c r="B2905" s="13">
        <f>IFERROR(__xludf.DUMMYFUNCTION("""COMPUTED_VALUE"""),2900.0)</f>
        <v>2900</v>
      </c>
      <c r="C2905" s="13" t="str">
        <f>IFERROR(__xludf.DUMMYFUNCTION("""COMPUTED_VALUE"""),"M. 2629/KOTA KARANG")</f>
        <v>M. 2629/KOTA KARANG</v>
      </c>
      <c r="D2905" s="13" t="str">
        <f>IFERROR(__xludf.DUMMYFUNCTION("""COMPUTED_VALUE"""),"K/23/110625/1")</f>
        <v>K/23/110625/1</v>
      </c>
      <c r="E2905" s="14" t="str">
        <f>IFERROR(__xludf.DUMMYFUNCTION("""COMPUTED_VALUE"""),"Heri (BT)")</f>
        <v>Heri (BT)</v>
      </c>
      <c r="F2905" s="14" t="str">
        <f>IFERROR(__xludf.DUMMYFUNCTION("""COMPUTED_VALUE"""),"SELESAI (VIA PERMOHONAN)")</f>
        <v>SELESAI (VIA PERMOHONAN)</v>
      </c>
      <c r="G2905" s="17">
        <f>IFERROR(__xludf.DUMMYFUNCTION("""COMPUTED_VALUE"""),45847.57987238426)</f>
        <v>45847.57987</v>
      </c>
      <c r="H2905" s="14" t="str">
        <f>IFERROR(__xludf.DUMMYFUNCTION("""COMPUTED_VALUE"""),"Eci (SU)")</f>
        <v>Eci (SU)</v>
      </c>
      <c r="I2905" s="13" t="str">
        <f>IFERROR(__xludf.DUMMYFUNCTION("""COMPUTED_VALUE"""),"SELESAI (VIA PERMOHONAN)")</f>
        <v>SELESAI (VIA PERMOHONAN)</v>
      </c>
      <c r="J2905" s="17">
        <f>IFERROR(__xludf.DUMMYFUNCTION("""COMPUTED_VALUE"""),45848.54060717592)</f>
        <v>45848.54061</v>
      </c>
      <c r="K2905" s="13" t="str">
        <f>IFERROR(__xludf.DUMMYFUNCTION("""COMPUTED_VALUE"""),"Selesai")</f>
        <v>Selesai</v>
      </c>
      <c r="L2905" s="17">
        <f>IFERROR(__xludf.DUMMYFUNCTION("""COMPUTED_VALUE"""),45848.54060717592)</f>
        <v>45848.54061</v>
      </c>
      <c r="M2905" s="13"/>
      <c r="N2905" s="13" t="str">
        <f>IFERROR(__xludf.DUMMYFUNCTION("""COMPUTED_VALUE"""),"")</f>
        <v/>
      </c>
      <c r="O2905" s="13" t="str">
        <f t="shared" si="1"/>
        <v/>
      </c>
    </row>
    <row r="2906" ht="22.5" customHeight="1">
      <c r="B2906" s="13">
        <f>IFERROR(__xludf.DUMMYFUNCTION("""COMPUTED_VALUE"""),2901.0)</f>
        <v>2901</v>
      </c>
      <c r="C2906" s="13" t="str">
        <f>IFERROR(__xludf.DUMMYFUNCTION("""COMPUTED_VALUE"""),"HM 250/PENENGAHAN")</f>
        <v>HM 250/PENENGAHAN</v>
      </c>
      <c r="D2906" s="13" t="str">
        <f>IFERROR(__xludf.DUMMYFUNCTION("""COMPUTED_VALUE"""),"L/31/040725/1")</f>
        <v>L/31/040725/1</v>
      </c>
      <c r="E2906" s="14" t="str">
        <f>IFERROR(__xludf.DUMMYFUNCTION("""COMPUTED_VALUE"""),"Heri (BT)")</f>
        <v>Heri (BT)</v>
      </c>
      <c r="F2906" s="14" t="str">
        <f>IFERROR(__xludf.DUMMYFUNCTION("""COMPUTED_VALUE"""),"SELESAI (VIA PERMOHONAN)")</f>
        <v>SELESAI (VIA PERMOHONAN)</v>
      </c>
      <c r="G2906" s="17">
        <f>IFERROR(__xludf.DUMMYFUNCTION("""COMPUTED_VALUE"""),45847.58003780093)</f>
        <v>45847.58004</v>
      </c>
      <c r="H2906" s="14" t="str">
        <f>IFERROR(__xludf.DUMMYFUNCTION("""COMPUTED_VALUE"""),"Eci (SU)")</f>
        <v>Eci (SU)</v>
      </c>
      <c r="I2906" s="13" t="str">
        <f>IFERROR(__xludf.DUMMYFUNCTION("""COMPUTED_VALUE"""),"SELESAI (VIA PERMOHONAN)")</f>
        <v>SELESAI (VIA PERMOHONAN)</v>
      </c>
      <c r="J2906" s="17">
        <f>IFERROR(__xludf.DUMMYFUNCTION("""COMPUTED_VALUE"""),45848.59132613426)</f>
        <v>45848.59133</v>
      </c>
      <c r="K2906" s="13" t="str">
        <f>IFERROR(__xludf.DUMMYFUNCTION("""COMPUTED_VALUE"""),"Selesai")</f>
        <v>Selesai</v>
      </c>
      <c r="L2906" s="17">
        <f>IFERROR(__xludf.DUMMYFUNCTION("""COMPUTED_VALUE"""),45848.59132613426)</f>
        <v>45848.59133</v>
      </c>
      <c r="M2906" s="13"/>
      <c r="N2906" s="13" t="str">
        <f>IFERROR(__xludf.DUMMYFUNCTION("""COMPUTED_VALUE"""),"")</f>
        <v/>
      </c>
      <c r="O2906" s="13" t="str">
        <f t="shared" si="1"/>
        <v/>
      </c>
    </row>
    <row r="2907" ht="22.5" customHeight="1">
      <c r="B2907" s="13">
        <f>IFERROR(__xludf.DUMMYFUNCTION("""COMPUTED_VALUE"""),2902.0)</f>
        <v>2902</v>
      </c>
      <c r="C2907" s="13" t="str">
        <f>IFERROR(__xludf.DUMMYFUNCTION("""COMPUTED_VALUE"""),"HM 9560/SURABAYA")</f>
        <v>HM 9560/SURABAYA</v>
      </c>
      <c r="D2907" s="13" t="str">
        <f>IFERROR(__xludf.DUMMYFUNCTION("""COMPUTED_VALUE"""),"L/7/030725/1")</f>
        <v>L/7/030725/1</v>
      </c>
      <c r="E2907" s="14" t="str">
        <f>IFERROR(__xludf.DUMMYFUNCTION("""COMPUTED_VALUE"""),"Heri (BT)")</f>
        <v>Heri (BT)</v>
      </c>
      <c r="F2907" s="14" t="str">
        <f>IFERROR(__xludf.DUMMYFUNCTION("""COMPUTED_VALUE"""),"SELESAI (VIA PERMOHONAN)")</f>
        <v>SELESAI (VIA PERMOHONAN)</v>
      </c>
      <c r="G2907" s="17">
        <f>IFERROR(__xludf.DUMMYFUNCTION("""COMPUTED_VALUE"""),45847.580184652776)</f>
        <v>45847.58018</v>
      </c>
      <c r="H2907" s="14" t="str">
        <f>IFERROR(__xludf.DUMMYFUNCTION("""COMPUTED_VALUE"""),"Eci (SU)")</f>
        <v>Eci (SU)</v>
      </c>
      <c r="I2907" s="13" t="str">
        <f>IFERROR(__xludf.DUMMYFUNCTION("""COMPUTED_VALUE"""),"SELESAI (VIA PERMOHONAN)")</f>
        <v>SELESAI (VIA PERMOHONAN)</v>
      </c>
      <c r="J2907" s="17">
        <f>IFERROR(__xludf.DUMMYFUNCTION("""COMPUTED_VALUE"""),45848.58962366898)</f>
        <v>45848.58962</v>
      </c>
      <c r="K2907" s="13" t="str">
        <f>IFERROR(__xludf.DUMMYFUNCTION("""COMPUTED_VALUE"""),"Selesai")</f>
        <v>Selesai</v>
      </c>
      <c r="L2907" s="17">
        <f>IFERROR(__xludf.DUMMYFUNCTION("""COMPUTED_VALUE"""),45848.58962366898)</f>
        <v>45848.58962</v>
      </c>
      <c r="M2907" s="13"/>
      <c r="N2907" s="13" t="str">
        <f>IFERROR(__xludf.DUMMYFUNCTION("""COMPUTED_VALUE"""),"")</f>
        <v/>
      </c>
      <c r="O2907" s="13" t="str">
        <f t="shared" si="1"/>
        <v/>
      </c>
    </row>
    <row r="2908" ht="22.5" customHeight="1">
      <c r="B2908" s="13">
        <f>IFERROR(__xludf.DUMMYFUNCTION("""COMPUTED_VALUE"""),2903.0)</f>
        <v>2903</v>
      </c>
      <c r="C2908" s="13" t="str">
        <f>IFERROR(__xludf.DUMMYFUNCTION("""COMPUTED_VALUE"""),"HM 15790/SUKARAME")</f>
        <v>HM 15790/SUKARAME</v>
      </c>
      <c r="D2908" s="13" t="str">
        <f>IFERROR(__xludf.DUMMYFUNCTION("""COMPUTED_VALUE"""),"L/16/250625/1")</f>
        <v>L/16/250625/1</v>
      </c>
      <c r="E2908" s="14" t="str">
        <f>IFERROR(__xludf.DUMMYFUNCTION("""COMPUTED_VALUE"""),"Heri (BT)")</f>
        <v>Heri (BT)</v>
      </c>
      <c r="F2908" s="14" t="str">
        <f>IFERROR(__xludf.DUMMYFUNCTION("""COMPUTED_VALUE"""),"SELESAI (VIA PERMOHONAN)")</f>
        <v>SELESAI (VIA PERMOHONAN)</v>
      </c>
      <c r="G2908" s="17">
        <f>IFERROR(__xludf.DUMMYFUNCTION("""COMPUTED_VALUE"""),45847.580345925926)</f>
        <v>45847.58035</v>
      </c>
      <c r="H2908" s="14" t="str">
        <f>IFERROR(__xludf.DUMMYFUNCTION("""COMPUTED_VALUE"""),"Eci (SU)")</f>
        <v>Eci (SU)</v>
      </c>
      <c r="I2908" s="13" t="str">
        <f>IFERROR(__xludf.DUMMYFUNCTION("""COMPUTED_VALUE"""),"SELESAI (VIA PERMOHONAN)")</f>
        <v>SELESAI (VIA PERMOHONAN)</v>
      </c>
      <c r="J2908" s="17">
        <f>IFERROR(__xludf.DUMMYFUNCTION("""COMPUTED_VALUE"""),45848.58969704861)</f>
        <v>45848.5897</v>
      </c>
      <c r="K2908" s="13" t="str">
        <f>IFERROR(__xludf.DUMMYFUNCTION("""COMPUTED_VALUE"""),"Selesai")</f>
        <v>Selesai</v>
      </c>
      <c r="L2908" s="17">
        <f>IFERROR(__xludf.DUMMYFUNCTION("""COMPUTED_VALUE"""),45848.58969704861)</f>
        <v>45848.5897</v>
      </c>
      <c r="M2908" s="13"/>
      <c r="N2908" s="13" t="str">
        <f>IFERROR(__xludf.DUMMYFUNCTION("""COMPUTED_VALUE"""),"")</f>
        <v/>
      </c>
      <c r="O2908" s="13" t="str">
        <f t="shared" si="1"/>
        <v/>
      </c>
    </row>
    <row r="2909" ht="22.5" customHeight="1">
      <c r="B2909" s="13">
        <f>IFERROR(__xludf.DUMMYFUNCTION("""COMPUTED_VALUE"""),2904.0)</f>
        <v>2904</v>
      </c>
      <c r="C2909" s="13" t="str">
        <f>IFERROR(__xludf.DUMMYFUNCTION("""COMPUTED_VALUE"""),"HM 16871/SUKARAME")</f>
        <v>HM 16871/SUKARAME</v>
      </c>
      <c r="D2909" s="13" t="str">
        <f>IFERROR(__xludf.DUMMYFUNCTION("""COMPUTED_VALUE"""),"L/12/250625/1")</f>
        <v>L/12/250625/1</v>
      </c>
      <c r="E2909" s="14" t="str">
        <f>IFERROR(__xludf.DUMMYFUNCTION("""COMPUTED_VALUE"""),"Heri (BT)")</f>
        <v>Heri (BT)</v>
      </c>
      <c r="F2909" s="14" t="str">
        <f>IFERROR(__xludf.DUMMYFUNCTION("""COMPUTED_VALUE"""),"SELESAI (VIA PERMOHONAN)")</f>
        <v>SELESAI (VIA PERMOHONAN)</v>
      </c>
      <c r="G2909" s="17">
        <f>IFERROR(__xludf.DUMMYFUNCTION("""COMPUTED_VALUE"""),45847.580494525464)</f>
        <v>45847.58049</v>
      </c>
      <c r="H2909" s="14" t="str">
        <f>IFERROR(__xludf.DUMMYFUNCTION("""COMPUTED_VALUE"""),"Eci (SU)")</f>
        <v>Eci (SU)</v>
      </c>
      <c r="I2909" s="13" t="str">
        <f>IFERROR(__xludf.DUMMYFUNCTION("""COMPUTED_VALUE"""),"SELESAI (VIA PERMOHONAN)")</f>
        <v>SELESAI (VIA PERMOHONAN)</v>
      </c>
      <c r="J2909" s="17">
        <f>IFERROR(__xludf.DUMMYFUNCTION("""COMPUTED_VALUE"""),45848.589823437505)</f>
        <v>45848.58982</v>
      </c>
      <c r="K2909" s="13" t="str">
        <f>IFERROR(__xludf.DUMMYFUNCTION("""COMPUTED_VALUE"""),"Selesai")</f>
        <v>Selesai</v>
      </c>
      <c r="L2909" s="17">
        <f>IFERROR(__xludf.DUMMYFUNCTION("""COMPUTED_VALUE"""),45848.589823437505)</f>
        <v>45848.58982</v>
      </c>
      <c r="M2909" s="13"/>
      <c r="N2909" s="13" t="str">
        <f>IFERROR(__xludf.DUMMYFUNCTION("""COMPUTED_VALUE"""),"")</f>
        <v/>
      </c>
      <c r="O2909" s="13" t="str">
        <f t="shared" si="1"/>
        <v/>
      </c>
    </row>
    <row r="2910" ht="22.5" customHeight="1">
      <c r="B2910" s="13">
        <f>IFERROR(__xludf.DUMMYFUNCTION("""COMPUTED_VALUE"""),2905.0)</f>
        <v>2905</v>
      </c>
      <c r="C2910" s="13" t="str">
        <f>IFERROR(__xludf.DUMMYFUNCTION("""COMPUTED_VALUE"""),"HM 29/NUSANTARA PERMAI")</f>
        <v>HM 29/NUSANTARA PERMAI</v>
      </c>
      <c r="D2910" s="13" t="str">
        <f>IFERROR(__xludf.DUMMYFUNCTION("""COMPUTED_VALUE"""),"L/42/260625/1")</f>
        <v>L/42/260625/1</v>
      </c>
      <c r="E2910" s="14" t="str">
        <f>IFERROR(__xludf.DUMMYFUNCTION("""COMPUTED_VALUE"""),"Heri (BT)")</f>
        <v>Heri (BT)</v>
      </c>
      <c r="F2910" s="14" t="str">
        <f>IFERROR(__xludf.DUMMYFUNCTION("""COMPUTED_VALUE"""),"SELESAI (VIA PERMOHONAN)")</f>
        <v>SELESAI (VIA PERMOHONAN)</v>
      </c>
      <c r="G2910" s="17">
        <f>IFERROR(__xludf.DUMMYFUNCTION("""COMPUTED_VALUE"""),45847.580677777776)</f>
        <v>45847.58068</v>
      </c>
      <c r="H2910" s="14" t="str">
        <f>IFERROR(__xludf.DUMMYFUNCTION("""COMPUTED_VALUE"""),"Eci (SU)")</f>
        <v>Eci (SU)</v>
      </c>
      <c r="I2910" s="13" t="str">
        <f>IFERROR(__xludf.DUMMYFUNCTION("""COMPUTED_VALUE"""),"SELESAI (VIA PERMOHONAN)")</f>
        <v>SELESAI (VIA PERMOHONAN)</v>
      </c>
      <c r="J2910" s="17">
        <f>IFERROR(__xludf.DUMMYFUNCTION("""COMPUTED_VALUE"""),45848.59072972222)</f>
        <v>45848.59073</v>
      </c>
      <c r="K2910" s="13" t="str">
        <f>IFERROR(__xludf.DUMMYFUNCTION("""COMPUTED_VALUE"""),"Selesai")</f>
        <v>Selesai</v>
      </c>
      <c r="L2910" s="17">
        <f>IFERROR(__xludf.DUMMYFUNCTION("""COMPUTED_VALUE"""),45848.59072972222)</f>
        <v>45848.59073</v>
      </c>
      <c r="M2910" s="13"/>
      <c r="N2910" s="13" t="str">
        <f>IFERROR(__xludf.DUMMYFUNCTION("""COMPUTED_VALUE"""),"")</f>
        <v/>
      </c>
      <c r="O2910" s="13" t="str">
        <f t="shared" si="1"/>
        <v/>
      </c>
    </row>
    <row r="2911" ht="22.5" customHeight="1">
      <c r="B2911" s="13">
        <f>IFERROR(__xludf.DUMMYFUNCTION("""COMPUTED_VALUE"""),2906.0)</f>
        <v>2906</v>
      </c>
      <c r="C2911" s="13" t="str">
        <f>IFERROR(__xludf.DUMMYFUNCTION("""COMPUTED_VALUE"""),"M. 270/WAY HALIM PERMAI")</f>
        <v>M. 270/WAY HALIM PERMAI</v>
      </c>
      <c r="D2911" s="13" t="str">
        <f>IFERROR(__xludf.DUMMYFUNCTION("""COMPUTED_VALUE"""),"K/47/030625/1")</f>
        <v>K/47/030625/1</v>
      </c>
      <c r="E2911" s="14" t="str">
        <f>IFERROR(__xludf.DUMMYFUNCTION("""COMPUTED_VALUE"""),"Heri (BT)")</f>
        <v>Heri (BT)</v>
      </c>
      <c r="F2911" s="14" t="str">
        <f>IFERROR(__xludf.DUMMYFUNCTION("""COMPUTED_VALUE"""),"SELESAI (VIA PERMOHONAN)")</f>
        <v>SELESAI (VIA PERMOHONAN)</v>
      </c>
      <c r="G2911" s="17">
        <f>IFERROR(__xludf.DUMMYFUNCTION("""COMPUTED_VALUE"""),45848.38559892361)</f>
        <v>45848.3856</v>
      </c>
      <c r="H2911" s="14" t="str">
        <f>IFERROR(__xludf.DUMMYFUNCTION("""COMPUTED_VALUE"""),"Eci (SU)")</f>
        <v>Eci (SU)</v>
      </c>
      <c r="I2911" s="13" t="str">
        <f>IFERROR(__xludf.DUMMYFUNCTION("""COMPUTED_VALUE"""),"SELESAI (VIA PERMOHONAN)")</f>
        <v>SELESAI (VIA PERMOHONAN)</v>
      </c>
      <c r="J2911" s="17">
        <f>IFERROR(__xludf.DUMMYFUNCTION("""COMPUTED_VALUE"""),45849.49869020833)</f>
        <v>45849.49869</v>
      </c>
      <c r="K2911" s="13" t="str">
        <f>IFERROR(__xludf.DUMMYFUNCTION("""COMPUTED_VALUE"""),"Selesai")</f>
        <v>Selesai</v>
      </c>
      <c r="L2911" s="17">
        <f>IFERROR(__xludf.DUMMYFUNCTION("""COMPUTED_VALUE"""),45849.49869020833)</f>
        <v>45849.49869</v>
      </c>
      <c r="M2911" s="13"/>
      <c r="N2911" s="13" t="str">
        <f>IFERROR(__xludf.DUMMYFUNCTION("""COMPUTED_VALUE"""),"")</f>
        <v/>
      </c>
      <c r="O2911" s="13" t="str">
        <f t="shared" si="1"/>
        <v/>
      </c>
    </row>
    <row r="2912" ht="22.5" customHeight="1">
      <c r="B2912" s="13">
        <f>IFERROR(__xludf.DUMMYFUNCTION("""COMPUTED_VALUE"""),2907.0)</f>
        <v>2907</v>
      </c>
      <c r="C2912" s="13" t="str">
        <f>IFERROR(__xludf.DUMMYFUNCTION("""COMPUTED_VALUE"""),"M. 1891/JAGABAYA III")</f>
        <v>M. 1891/JAGABAYA III</v>
      </c>
      <c r="D2912" s="13" t="str">
        <f>IFERROR(__xludf.DUMMYFUNCTION("""COMPUTED_VALUE"""),"K/41/010725/1")</f>
        <v>K/41/010725/1</v>
      </c>
      <c r="E2912" s="14" t="str">
        <f>IFERROR(__xludf.DUMMYFUNCTION("""COMPUTED_VALUE"""),"Heri (BT)")</f>
        <v>Heri (BT)</v>
      </c>
      <c r="F2912" s="14" t="str">
        <f>IFERROR(__xludf.DUMMYFUNCTION("""COMPUTED_VALUE"""),"SELESAI (VIA PERMOHONAN)")</f>
        <v>SELESAI (VIA PERMOHONAN)</v>
      </c>
      <c r="G2912" s="17">
        <f>IFERROR(__xludf.DUMMYFUNCTION("""COMPUTED_VALUE"""),45848.38579097222)</f>
        <v>45848.38579</v>
      </c>
      <c r="H2912" s="14" t="str">
        <f>IFERROR(__xludf.DUMMYFUNCTION("""COMPUTED_VALUE"""),"Eci (SU)")</f>
        <v>Eci (SU)</v>
      </c>
      <c r="I2912" s="13" t="str">
        <f>IFERROR(__xludf.DUMMYFUNCTION("""COMPUTED_VALUE"""),"SELESAI (VIA PERMOHONAN)")</f>
        <v>SELESAI (VIA PERMOHONAN)</v>
      </c>
      <c r="J2912" s="17">
        <f>IFERROR(__xludf.DUMMYFUNCTION("""COMPUTED_VALUE"""),45848.70992414352)</f>
        <v>45848.70992</v>
      </c>
      <c r="K2912" s="13" t="str">
        <f>IFERROR(__xludf.DUMMYFUNCTION("""COMPUTED_VALUE"""),"Selesai")</f>
        <v>Selesai</v>
      </c>
      <c r="L2912" s="17">
        <f>IFERROR(__xludf.DUMMYFUNCTION("""COMPUTED_VALUE"""),45848.70992414352)</f>
        <v>45848.70992</v>
      </c>
      <c r="M2912" s="13"/>
      <c r="N2912" s="13" t="str">
        <f>IFERROR(__xludf.DUMMYFUNCTION("""COMPUTED_VALUE"""),"")</f>
        <v/>
      </c>
      <c r="O2912" s="13" t="str">
        <f t="shared" si="1"/>
        <v/>
      </c>
    </row>
    <row r="2913" ht="22.5" customHeight="1">
      <c r="B2913" s="13">
        <f>IFERROR(__xludf.DUMMYFUNCTION("""COMPUTED_VALUE"""),2908.0)</f>
        <v>2908</v>
      </c>
      <c r="C2913" s="13" t="str">
        <f>IFERROR(__xludf.DUMMYFUNCTION("""COMPUTED_VALUE"""),"M. 547/KEDAUNG")</f>
        <v>M. 547/KEDAUNG</v>
      </c>
      <c r="D2913" s="13" t="str">
        <f>IFERROR(__xludf.DUMMYFUNCTION("""COMPUTED_VALUE"""),"K/32/280425/2")</f>
        <v>K/32/280425/2</v>
      </c>
      <c r="E2913" s="14" t="str">
        <f>IFERROR(__xludf.DUMMYFUNCTION("""COMPUTED_VALUE"""),"Heri (BT)")</f>
        <v>Heri (BT)</v>
      </c>
      <c r="F2913" s="14" t="str">
        <f>IFERROR(__xludf.DUMMYFUNCTION("""COMPUTED_VALUE"""),"SELESAI (VIA PERMOHONAN)")</f>
        <v>SELESAI (VIA PERMOHONAN)</v>
      </c>
      <c r="G2913" s="17">
        <f>IFERROR(__xludf.DUMMYFUNCTION("""COMPUTED_VALUE"""),45848.38590515046)</f>
        <v>45848.38591</v>
      </c>
      <c r="H2913" s="14" t="str">
        <f>IFERROR(__xludf.DUMMYFUNCTION("""COMPUTED_VALUE"""),"Eci (SU)")</f>
        <v>Eci (SU)</v>
      </c>
      <c r="I2913" s="13" t="str">
        <f>IFERROR(__xludf.DUMMYFUNCTION("""COMPUTED_VALUE"""),"SELESAI (VIA PERMOHONAN)")</f>
        <v>SELESAI (VIA PERMOHONAN)</v>
      </c>
      <c r="J2913" s="17">
        <f>IFERROR(__xludf.DUMMYFUNCTION("""COMPUTED_VALUE"""),45848.69690391204)</f>
        <v>45848.6969</v>
      </c>
      <c r="K2913" s="13" t="str">
        <f>IFERROR(__xludf.DUMMYFUNCTION("""COMPUTED_VALUE"""),"Selesai")</f>
        <v>Selesai</v>
      </c>
      <c r="L2913" s="17">
        <f>IFERROR(__xludf.DUMMYFUNCTION("""COMPUTED_VALUE"""),45848.69690391204)</f>
        <v>45848.6969</v>
      </c>
      <c r="M2913" s="13"/>
      <c r="N2913" s="13" t="str">
        <f>IFERROR(__xludf.DUMMYFUNCTION("""COMPUTED_VALUE"""),"")</f>
        <v/>
      </c>
      <c r="O2913" s="13" t="str">
        <f t="shared" si="1"/>
        <v/>
      </c>
    </row>
    <row r="2914" ht="22.5" customHeight="1">
      <c r="B2914" s="13">
        <f>IFERROR(__xludf.DUMMYFUNCTION("""COMPUTED_VALUE"""),2909.0)</f>
        <v>2909</v>
      </c>
      <c r="C2914" s="13" t="str">
        <f>IFERROR(__xludf.DUMMYFUNCTION("""COMPUTED_VALUE"""),"M. 939/PERUMNAS WAY KANDIS")</f>
        <v>M. 939/PERUMNAS WAY KANDIS</v>
      </c>
      <c r="D2914" s="13" t="str">
        <f>IFERROR(__xludf.DUMMYFUNCTION("""COMPUTED_VALUE"""),"K/34/250625/2")</f>
        <v>K/34/250625/2</v>
      </c>
      <c r="E2914" s="14" t="str">
        <f>IFERROR(__xludf.DUMMYFUNCTION("""COMPUTED_VALUE"""),"Heri (BT)")</f>
        <v>Heri (BT)</v>
      </c>
      <c r="F2914" s="14" t="str">
        <f>IFERROR(__xludf.DUMMYFUNCTION("""COMPUTED_VALUE"""),"SELESAI (VIA PERMOHONAN)")</f>
        <v>SELESAI (VIA PERMOHONAN)</v>
      </c>
      <c r="G2914" s="17">
        <f>IFERROR(__xludf.DUMMYFUNCTION("""COMPUTED_VALUE"""),45848.386075347225)</f>
        <v>45848.38608</v>
      </c>
      <c r="H2914" s="14" t="str">
        <f>IFERROR(__xludf.DUMMYFUNCTION("""COMPUTED_VALUE"""),"Eci (SU)")</f>
        <v>Eci (SU)</v>
      </c>
      <c r="I2914" s="13" t="str">
        <f>IFERROR(__xludf.DUMMYFUNCTION("""COMPUTED_VALUE"""),"SELESAI (VIA PERMOHONAN)")</f>
        <v>SELESAI (VIA PERMOHONAN)</v>
      </c>
      <c r="J2914" s="17">
        <f>IFERROR(__xludf.DUMMYFUNCTION("""COMPUTED_VALUE"""),45848.696799826386)</f>
        <v>45848.6968</v>
      </c>
      <c r="K2914" s="13" t="str">
        <f>IFERROR(__xludf.DUMMYFUNCTION("""COMPUTED_VALUE"""),"Selesai")</f>
        <v>Selesai</v>
      </c>
      <c r="L2914" s="17">
        <f>IFERROR(__xludf.DUMMYFUNCTION("""COMPUTED_VALUE"""),45848.696799826386)</f>
        <v>45848.6968</v>
      </c>
      <c r="M2914" s="13"/>
      <c r="N2914" s="13" t="str">
        <f>IFERROR(__xludf.DUMMYFUNCTION("""COMPUTED_VALUE"""),"")</f>
        <v/>
      </c>
      <c r="O2914" s="13" t="str">
        <f t="shared" si="1"/>
        <v/>
      </c>
    </row>
    <row r="2915" ht="22.5" customHeight="1">
      <c r="B2915" s="13">
        <f>IFERROR(__xludf.DUMMYFUNCTION("""COMPUTED_VALUE"""),2910.0)</f>
        <v>2910</v>
      </c>
      <c r="C2915" s="13" t="str">
        <f>IFERROR(__xludf.DUMMYFUNCTION("""COMPUTED_VALUE"""),"B.851/PERUMNAS WAY KANDIS")</f>
        <v>B.851/PERUMNAS WAY KANDIS</v>
      </c>
      <c r="D2915" s="13" t="str">
        <f>IFERROR(__xludf.DUMMYFUNCTION("""COMPUTED_VALUE"""),"K/31/030725/1")</f>
        <v>K/31/030725/1</v>
      </c>
      <c r="E2915" s="14" t="str">
        <f>IFERROR(__xludf.DUMMYFUNCTION("""COMPUTED_VALUE"""),"Heri (BT)")</f>
        <v>Heri (BT)</v>
      </c>
      <c r="F2915" s="14" t="str">
        <f>IFERROR(__xludf.DUMMYFUNCTION("""COMPUTED_VALUE"""),"SELESAI (VIA PERMOHONAN)")</f>
        <v>SELESAI (VIA PERMOHONAN)</v>
      </c>
      <c r="G2915" s="17">
        <f>IFERROR(__xludf.DUMMYFUNCTION("""COMPUTED_VALUE"""),45848.38623380787)</f>
        <v>45848.38623</v>
      </c>
      <c r="H2915" s="14" t="str">
        <f>IFERROR(__xludf.DUMMYFUNCTION("""COMPUTED_VALUE"""),"Eci (SU)")</f>
        <v>Eci (SU)</v>
      </c>
      <c r="I2915" s="13" t="str">
        <f>IFERROR(__xludf.DUMMYFUNCTION("""COMPUTED_VALUE"""),"SELESAI (VIA PERMOHONAN)")</f>
        <v>SELESAI (VIA PERMOHONAN)</v>
      </c>
      <c r="J2915" s="17">
        <f>IFERROR(__xludf.DUMMYFUNCTION("""COMPUTED_VALUE"""),45848.69637288194)</f>
        <v>45848.69637</v>
      </c>
      <c r="K2915" s="13" t="str">
        <f>IFERROR(__xludf.DUMMYFUNCTION("""COMPUTED_VALUE"""),"Selesai")</f>
        <v>Selesai</v>
      </c>
      <c r="L2915" s="17">
        <f>IFERROR(__xludf.DUMMYFUNCTION("""COMPUTED_VALUE"""),45848.69637288194)</f>
        <v>45848.69637</v>
      </c>
      <c r="M2915" s="13"/>
      <c r="N2915" s="13" t="str">
        <f>IFERROR(__xludf.DUMMYFUNCTION("""COMPUTED_VALUE"""),"")</f>
        <v/>
      </c>
      <c r="O2915" s="13" t="str">
        <f t="shared" si="1"/>
        <v/>
      </c>
    </row>
    <row r="2916" ht="22.5" customHeight="1">
      <c r="B2916" s="13">
        <f>IFERROR(__xludf.DUMMYFUNCTION("""COMPUTED_VALUE"""),2911.0)</f>
        <v>2911</v>
      </c>
      <c r="C2916" s="13" t="str">
        <f>IFERROR(__xludf.DUMMYFUNCTION("""COMPUTED_VALUE"""),"M. 2204/GUNUNG TERANG")</f>
        <v>M. 2204/GUNUNG TERANG</v>
      </c>
      <c r="D2916" s="13" t="str">
        <f>IFERROR(__xludf.DUMMYFUNCTION("""COMPUTED_VALUE"""),"K/15/040725/3")</f>
        <v>K/15/040725/3</v>
      </c>
      <c r="E2916" s="14" t="str">
        <f>IFERROR(__xludf.DUMMYFUNCTION("""COMPUTED_VALUE"""),"Heri (BT)")</f>
        <v>Heri (BT)</v>
      </c>
      <c r="F2916" s="14" t="str">
        <f>IFERROR(__xludf.DUMMYFUNCTION("""COMPUTED_VALUE"""),"SELESAI (VIA PERMOHONAN)")</f>
        <v>SELESAI (VIA PERMOHONAN)</v>
      </c>
      <c r="G2916" s="17">
        <f>IFERROR(__xludf.DUMMYFUNCTION("""COMPUTED_VALUE"""),45848.38635326389)</f>
        <v>45848.38635</v>
      </c>
      <c r="H2916" s="14" t="str">
        <f>IFERROR(__xludf.DUMMYFUNCTION("""COMPUTED_VALUE"""),"Eci (SU)")</f>
        <v>Eci (SU)</v>
      </c>
      <c r="I2916" s="13" t="str">
        <f>IFERROR(__xludf.DUMMYFUNCTION("""COMPUTED_VALUE"""),"SELESAI (VIA PERMOHONAN)")</f>
        <v>SELESAI (VIA PERMOHONAN)</v>
      </c>
      <c r="J2916" s="17">
        <f>IFERROR(__xludf.DUMMYFUNCTION("""COMPUTED_VALUE"""),45848.69627998843)</f>
        <v>45848.69628</v>
      </c>
      <c r="K2916" s="13" t="str">
        <f>IFERROR(__xludf.DUMMYFUNCTION("""COMPUTED_VALUE"""),"Selesai")</f>
        <v>Selesai</v>
      </c>
      <c r="L2916" s="17">
        <f>IFERROR(__xludf.DUMMYFUNCTION("""COMPUTED_VALUE"""),45848.69627998843)</f>
        <v>45848.69628</v>
      </c>
      <c r="M2916" s="13"/>
      <c r="N2916" s="13" t="str">
        <f>IFERROR(__xludf.DUMMYFUNCTION("""COMPUTED_VALUE"""),"")</f>
        <v/>
      </c>
      <c r="O2916" s="13" t="str">
        <f t="shared" si="1"/>
        <v/>
      </c>
    </row>
    <row r="2917" ht="22.5" customHeight="1">
      <c r="B2917" s="13">
        <f>IFERROR(__xludf.DUMMYFUNCTION("""COMPUTED_VALUE"""),2912.0)</f>
        <v>2912</v>
      </c>
      <c r="C2917" s="13" t="str">
        <f>IFERROR(__xludf.DUMMYFUNCTION("""COMPUTED_VALUE"""),"M.1383/KUPANG TEBA")</f>
        <v>M.1383/KUPANG TEBA</v>
      </c>
      <c r="D2917" s="13" t="str">
        <f>IFERROR(__xludf.DUMMYFUNCTION("""COMPUTED_VALUE"""),"K/10/300625/1")</f>
        <v>K/10/300625/1</v>
      </c>
      <c r="E2917" s="14" t="str">
        <f>IFERROR(__xludf.DUMMYFUNCTION("""COMPUTED_VALUE"""),"Heri (BT)")</f>
        <v>Heri (BT)</v>
      </c>
      <c r="F2917" s="14" t="str">
        <f>IFERROR(__xludf.DUMMYFUNCTION("""COMPUTED_VALUE"""),"SELESAI (VIA PERMOHONAN)")</f>
        <v>SELESAI (VIA PERMOHONAN)</v>
      </c>
      <c r="G2917" s="17">
        <f>IFERROR(__xludf.DUMMYFUNCTION("""COMPUTED_VALUE"""),45848.386495659724)</f>
        <v>45848.3865</v>
      </c>
      <c r="H2917" s="14" t="str">
        <f>IFERROR(__xludf.DUMMYFUNCTION("""COMPUTED_VALUE"""),"Eci (SU)")</f>
        <v>Eci (SU)</v>
      </c>
      <c r="I2917" s="13" t="str">
        <f>IFERROR(__xludf.DUMMYFUNCTION("""COMPUTED_VALUE"""),"SELESAI (VIA PERMOHONAN)")</f>
        <v>SELESAI (VIA PERMOHONAN)</v>
      </c>
      <c r="J2917" s="17">
        <f>IFERROR(__xludf.DUMMYFUNCTION("""COMPUTED_VALUE"""),45848.69621296297)</f>
        <v>45848.69621</v>
      </c>
      <c r="K2917" s="13" t="str">
        <f>IFERROR(__xludf.DUMMYFUNCTION("""COMPUTED_VALUE"""),"Selesai")</f>
        <v>Selesai</v>
      </c>
      <c r="L2917" s="17">
        <f>IFERROR(__xludf.DUMMYFUNCTION("""COMPUTED_VALUE"""),45848.69621296297)</f>
        <v>45848.69621</v>
      </c>
      <c r="M2917" s="13"/>
      <c r="N2917" s="13" t="str">
        <f>IFERROR(__xludf.DUMMYFUNCTION("""COMPUTED_VALUE"""),"")</f>
        <v/>
      </c>
      <c r="O2917" s="13" t="str">
        <f t="shared" si="1"/>
        <v/>
      </c>
    </row>
    <row r="2918" ht="22.5" customHeight="1">
      <c r="B2918" s="13">
        <f>IFERROR(__xludf.DUMMYFUNCTION("""COMPUTED_VALUE"""),2913.0)</f>
        <v>2913</v>
      </c>
      <c r="C2918" s="13" t="str">
        <f>IFERROR(__xludf.DUMMYFUNCTION("""COMPUTED_VALUE"""),"M.11085/GEDONG MENENG")</f>
        <v>M.11085/GEDONG MENENG</v>
      </c>
      <c r="D2918" s="13" t="str">
        <f>IFERROR(__xludf.DUMMYFUNCTION("""COMPUTED_VALUE"""),"K/7/040725/1")</f>
        <v>K/7/040725/1</v>
      </c>
      <c r="E2918" s="14" t="str">
        <f>IFERROR(__xludf.DUMMYFUNCTION("""COMPUTED_VALUE"""),"Heri (BT)")</f>
        <v>Heri (BT)</v>
      </c>
      <c r="F2918" s="14" t="str">
        <f>IFERROR(__xludf.DUMMYFUNCTION("""COMPUTED_VALUE"""),"SELESAI (VIA PERMOHONAN)")</f>
        <v>SELESAI (VIA PERMOHONAN)</v>
      </c>
      <c r="G2918" s="17">
        <f>IFERROR(__xludf.DUMMYFUNCTION("""COMPUTED_VALUE"""),45848.38663502315)</f>
        <v>45848.38664</v>
      </c>
      <c r="H2918" s="14" t="str">
        <f>IFERROR(__xludf.DUMMYFUNCTION("""COMPUTED_VALUE"""),"Eci (SU)")</f>
        <v>Eci (SU)</v>
      </c>
      <c r="I2918" s="13" t="str">
        <f>IFERROR(__xludf.DUMMYFUNCTION("""COMPUTED_VALUE"""),"SELESAI (VIA PERMOHONAN)")</f>
        <v>SELESAI (VIA PERMOHONAN)</v>
      </c>
      <c r="J2918" s="17">
        <f>IFERROR(__xludf.DUMMYFUNCTION("""COMPUTED_VALUE"""),45848.69474640046)</f>
        <v>45848.69475</v>
      </c>
      <c r="K2918" s="13" t="str">
        <f>IFERROR(__xludf.DUMMYFUNCTION("""COMPUTED_VALUE"""),"Selesai")</f>
        <v>Selesai</v>
      </c>
      <c r="L2918" s="17">
        <f>IFERROR(__xludf.DUMMYFUNCTION("""COMPUTED_VALUE"""),45848.69474640046)</f>
        <v>45848.69475</v>
      </c>
      <c r="M2918" s="13"/>
      <c r="N2918" s="13" t="str">
        <f>IFERROR(__xludf.DUMMYFUNCTION("""COMPUTED_VALUE"""),"")</f>
        <v/>
      </c>
      <c r="O2918" s="13" t="str">
        <f t="shared" si="1"/>
        <v/>
      </c>
    </row>
    <row r="2919" ht="22.5" customHeight="1">
      <c r="B2919" s="13">
        <f>IFERROR(__xludf.DUMMYFUNCTION("""COMPUTED_VALUE"""),2914.0)</f>
        <v>2914</v>
      </c>
      <c r="C2919" s="13" t="str">
        <f>IFERROR(__xludf.DUMMYFUNCTION("""COMPUTED_VALUE"""),"M. 12950/ Sukabumi")</f>
        <v>M. 12950/ Sukabumi</v>
      </c>
      <c r="D2919" s="13" t="str">
        <f>IFERROR(__xludf.DUMMYFUNCTION("""COMPUTED_VALUE"""),"K/7/240625/1")</f>
        <v>K/7/240625/1</v>
      </c>
      <c r="E2919" s="14" t="str">
        <f>IFERROR(__xludf.DUMMYFUNCTION("""COMPUTED_VALUE"""),"Heri (BT)")</f>
        <v>Heri (BT)</v>
      </c>
      <c r="F2919" s="14" t="str">
        <f>IFERROR(__xludf.DUMMYFUNCTION("""COMPUTED_VALUE"""),"SELESAI (VIA PERMOHONAN)")</f>
        <v>SELESAI (VIA PERMOHONAN)</v>
      </c>
      <c r="G2919" s="17">
        <f>IFERROR(__xludf.DUMMYFUNCTION("""COMPUTED_VALUE"""),45848.38677354167)</f>
        <v>45848.38677</v>
      </c>
      <c r="H2919" s="14" t="str">
        <f>IFERROR(__xludf.DUMMYFUNCTION("""COMPUTED_VALUE"""),"Eci (SU)")</f>
        <v>Eci (SU)</v>
      </c>
      <c r="I2919" s="13" t="str">
        <f>IFERROR(__xludf.DUMMYFUNCTION("""COMPUTED_VALUE"""),"SELESAI (VIA PERMOHONAN)")</f>
        <v>SELESAI (VIA PERMOHONAN)</v>
      </c>
      <c r="J2919" s="17">
        <f>IFERROR(__xludf.DUMMYFUNCTION("""COMPUTED_VALUE"""),45848.69464783565)</f>
        <v>45848.69465</v>
      </c>
      <c r="K2919" s="13" t="str">
        <f>IFERROR(__xludf.DUMMYFUNCTION("""COMPUTED_VALUE"""),"Selesai")</f>
        <v>Selesai</v>
      </c>
      <c r="L2919" s="17">
        <f>IFERROR(__xludf.DUMMYFUNCTION("""COMPUTED_VALUE"""),45848.69464783565)</f>
        <v>45848.69465</v>
      </c>
      <c r="M2919" s="13"/>
      <c r="N2919" s="13" t="str">
        <f>IFERROR(__xludf.DUMMYFUNCTION("""COMPUTED_VALUE"""),"")</f>
        <v/>
      </c>
      <c r="O2919" s="13" t="str">
        <f t="shared" si="1"/>
        <v/>
      </c>
    </row>
    <row r="2920" ht="22.5" customHeight="1">
      <c r="B2920" s="13">
        <f>IFERROR(__xludf.DUMMYFUNCTION("""COMPUTED_VALUE"""),2915.0)</f>
        <v>2915</v>
      </c>
      <c r="C2920" s="13" t="str">
        <f>IFERROR(__xludf.DUMMYFUNCTION("""COMPUTED_VALUE"""),"M. 123/ Nusantara Permai")</f>
        <v>M. 123/ Nusantara Permai</v>
      </c>
      <c r="D2920" s="13" t="str">
        <f>IFERROR(__xludf.DUMMYFUNCTION("""COMPUTED_VALUE"""),"K/36/230625/1")</f>
        <v>K/36/230625/1</v>
      </c>
      <c r="E2920" s="14" t="str">
        <f>IFERROR(__xludf.DUMMYFUNCTION("""COMPUTED_VALUE"""),"Heri (BT)")</f>
        <v>Heri (BT)</v>
      </c>
      <c r="F2920" s="14" t="str">
        <f>IFERROR(__xludf.DUMMYFUNCTION("""COMPUTED_VALUE"""),"SELESAI (VIA PERMOHONAN)")</f>
        <v>SELESAI (VIA PERMOHONAN)</v>
      </c>
      <c r="G2920" s="17">
        <f>IFERROR(__xludf.DUMMYFUNCTION("""COMPUTED_VALUE"""),45848.38697649306)</f>
        <v>45848.38698</v>
      </c>
      <c r="H2920" s="14" t="str">
        <f>IFERROR(__xludf.DUMMYFUNCTION("""COMPUTED_VALUE"""),"Eci (SU)")</f>
        <v>Eci (SU)</v>
      </c>
      <c r="I2920" s="13" t="str">
        <f>IFERROR(__xludf.DUMMYFUNCTION("""COMPUTED_VALUE"""),"SELESAI (VIA PERMOHONAN)")</f>
        <v>SELESAI (VIA PERMOHONAN)</v>
      </c>
      <c r="J2920" s="17">
        <f>IFERROR(__xludf.DUMMYFUNCTION("""COMPUTED_VALUE"""),45849.498890393515)</f>
        <v>45849.49889</v>
      </c>
      <c r="K2920" s="13" t="str">
        <f>IFERROR(__xludf.DUMMYFUNCTION("""COMPUTED_VALUE"""),"Selesai")</f>
        <v>Selesai</v>
      </c>
      <c r="L2920" s="17">
        <f>IFERROR(__xludf.DUMMYFUNCTION("""COMPUTED_VALUE"""),45849.498890393515)</f>
        <v>45849.49889</v>
      </c>
      <c r="M2920" s="13"/>
      <c r="N2920" s="13" t="str">
        <f>IFERROR(__xludf.DUMMYFUNCTION("""COMPUTED_VALUE"""),"")</f>
        <v/>
      </c>
      <c r="O2920" s="13" t="str">
        <f t="shared" si="1"/>
        <v/>
      </c>
    </row>
    <row r="2921" ht="22.5" customHeight="1">
      <c r="B2921" s="13">
        <f>IFERROR(__xludf.DUMMYFUNCTION("""COMPUTED_VALUE"""),2916.0)</f>
        <v>2916</v>
      </c>
      <c r="C2921" s="13" t="str">
        <f>IFERROR(__xludf.DUMMYFUNCTION("""COMPUTED_VALUE"""),"M. 9049/ Gedong Meneng")</f>
        <v>M. 9049/ Gedong Meneng</v>
      </c>
      <c r="D2921" s="13" t="str">
        <f>IFERROR(__xludf.DUMMYFUNCTION("""COMPUTED_VALUE"""),"K/32/050625/1")</f>
        <v>K/32/050625/1</v>
      </c>
      <c r="E2921" s="14" t="str">
        <f>IFERROR(__xludf.DUMMYFUNCTION("""COMPUTED_VALUE"""),"Heri (BT)")</f>
        <v>Heri (BT)</v>
      </c>
      <c r="F2921" s="14" t="str">
        <f>IFERROR(__xludf.DUMMYFUNCTION("""COMPUTED_VALUE"""),"SELESAI (VIA PERMOHONAN)")</f>
        <v>SELESAI (VIA PERMOHONAN)</v>
      </c>
      <c r="G2921" s="17">
        <f>IFERROR(__xludf.DUMMYFUNCTION("""COMPUTED_VALUE"""),45848.38719796296)</f>
        <v>45848.3872</v>
      </c>
      <c r="H2921" s="14" t="str">
        <f>IFERROR(__xludf.DUMMYFUNCTION("""COMPUTED_VALUE"""),"Eci (SU)")</f>
        <v>Eci (SU)</v>
      </c>
      <c r="I2921" s="13" t="str">
        <f>IFERROR(__xludf.DUMMYFUNCTION("""COMPUTED_VALUE"""),"SELESAI (VIA PERMOHONAN)")</f>
        <v>SELESAI (VIA PERMOHONAN)</v>
      </c>
      <c r="J2921" s="17">
        <f>IFERROR(__xludf.DUMMYFUNCTION("""COMPUTED_VALUE"""),45848.69454563658)</f>
        <v>45848.69455</v>
      </c>
      <c r="K2921" s="13" t="str">
        <f>IFERROR(__xludf.DUMMYFUNCTION("""COMPUTED_VALUE"""),"Selesai")</f>
        <v>Selesai</v>
      </c>
      <c r="L2921" s="17">
        <f>IFERROR(__xludf.DUMMYFUNCTION("""COMPUTED_VALUE"""),45848.69454563658)</f>
        <v>45848.69455</v>
      </c>
      <c r="M2921" s="13"/>
      <c r="N2921" s="13" t="str">
        <f>IFERROR(__xludf.DUMMYFUNCTION("""COMPUTED_VALUE"""),"")</f>
        <v/>
      </c>
      <c r="O2921" s="13" t="str">
        <f t="shared" si="1"/>
        <v/>
      </c>
    </row>
    <row r="2922" ht="22.5" customHeight="1">
      <c r="B2922" s="13">
        <f>IFERROR(__xludf.DUMMYFUNCTION("""COMPUTED_VALUE"""),2917.0)</f>
        <v>2917</v>
      </c>
      <c r="C2922" s="13" t="str">
        <f>IFERROR(__xludf.DUMMYFUNCTION("""COMPUTED_VALUE"""),"B.384/KEMILING PERMAI")</f>
        <v>B.384/KEMILING PERMAI</v>
      </c>
      <c r="D2922" s="13" t="str">
        <f>IFERROR(__xludf.DUMMYFUNCTION("""COMPUTED_VALUE"""),"K/55/040725/2")</f>
        <v>K/55/040725/2</v>
      </c>
      <c r="E2922" s="14" t="str">
        <f>IFERROR(__xludf.DUMMYFUNCTION("""COMPUTED_VALUE"""),"Heri (BT)")</f>
        <v>Heri (BT)</v>
      </c>
      <c r="F2922" s="14" t="str">
        <f>IFERROR(__xludf.DUMMYFUNCTION("""COMPUTED_VALUE"""),"SELESAI (VIA PERMOHONAN)")</f>
        <v>SELESAI (VIA PERMOHONAN)</v>
      </c>
      <c r="G2922" s="17">
        <f>IFERROR(__xludf.DUMMYFUNCTION("""COMPUTED_VALUE"""),45848.38735521991)</f>
        <v>45848.38736</v>
      </c>
      <c r="H2922" s="14" t="str">
        <f>IFERROR(__xludf.DUMMYFUNCTION("""COMPUTED_VALUE"""),"Eci (SU)")</f>
        <v>Eci (SU)</v>
      </c>
      <c r="I2922" s="13" t="str">
        <f>IFERROR(__xludf.DUMMYFUNCTION("""COMPUTED_VALUE"""),"SELESAI (VIA PERMOHONAN)")</f>
        <v>SELESAI (VIA PERMOHONAN)</v>
      </c>
      <c r="J2922" s="17">
        <f>IFERROR(__xludf.DUMMYFUNCTION("""COMPUTED_VALUE"""),45848.6944130787)</f>
        <v>45848.69441</v>
      </c>
      <c r="K2922" s="13" t="str">
        <f>IFERROR(__xludf.DUMMYFUNCTION("""COMPUTED_VALUE"""),"Selesai")</f>
        <v>Selesai</v>
      </c>
      <c r="L2922" s="17">
        <f>IFERROR(__xludf.DUMMYFUNCTION("""COMPUTED_VALUE"""),45848.6944130787)</f>
        <v>45848.69441</v>
      </c>
      <c r="M2922" s="13"/>
      <c r="N2922" s="13" t="str">
        <f>IFERROR(__xludf.DUMMYFUNCTION("""COMPUTED_VALUE"""),"")</f>
        <v/>
      </c>
      <c r="O2922" s="13" t="str">
        <f t="shared" si="1"/>
        <v/>
      </c>
    </row>
    <row r="2923" ht="22.5" customHeight="1">
      <c r="B2923" s="13">
        <f>IFERROR(__xludf.DUMMYFUNCTION("""COMPUTED_VALUE"""),2918.0)</f>
        <v>2918</v>
      </c>
      <c r="C2923" s="13" t="str">
        <f>IFERROR(__xludf.DUMMYFUNCTION("""COMPUTED_VALUE"""),"B.569/RAJABASA NUNYAI")</f>
        <v>B.569/RAJABASA NUNYAI</v>
      </c>
      <c r="D2923" s="13" t="str">
        <f>IFERROR(__xludf.DUMMYFUNCTION("""COMPUTED_VALUE"""),"K/45/200625/1")</f>
        <v>K/45/200625/1</v>
      </c>
      <c r="E2923" s="14" t="str">
        <f>IFERROR(__xludf.DUMMYFUNCTION("""COMPUTED_VALUE"""),"Heri (BT)")</f>
        <v>Heri (BT)</v>
      </c>
      <c r="F2923" s="14" t="str">
        <f>IFERROR(__xludf.DUMMYFUNCTION("""COMPUTED_VALUE"""),"SELESAI (VIA PERMOHONAN)")</f>
        <v>SELESAI (VIA PERMOHONAN)</v>
      </c>
      <c r="G2923" s="17">
        <f>IFERROR(__xludf.DUMMYFUNCTION("""COMPUTED_VALUE"""),45848.38748502315)</f>
        <v>45848.38749</v>
      </c>
      <c r="H2923" s="14" t="str">
        <f>IFERROR(__xludf.DUMMYFUNCTION("""COMPUTED_VALUE"""),"Eci (SU)")</f>
        <v>Eci (SU)</v>
      </c>
      <c r="I2923" s="13" t="str">
        <f>IFERROR(__xludf.DUMMYFUNCTION("""COMPUTED_VALUE"""),"SELESAI (VIA PERMOHONAN)")</f>
        <v>SELESAI (VIA PERMOHONAN)</v>
      </c>
      <c r="J2923" s="17">
        <f>IFERROR(__xludf.DUMMYFUNCTION("""COMPUTED_VALUE"""),45849.499032719905)</f>
        <v>45849.49903</v>
      </c>
      <c r="K2923" s="13" t="str">
        <f>IFERROR(__xludf.DUMMYFUNCTION("""COMPUTED_VALUE"""),"Selesai")</f>
        <v>Selesai</v>
      </c>
      <c r="L2923" s="17">
        <f>IFERROR(__xludf.DUMMYFUNCTION("""COMPUTED_VALUE"""),45849.499032719905)</f>
        <v>45849.49903</v>
      </c>
      <c r="M2923" s="13"/>
      <c r="N2923" s="13" t="str">
        <f>IFERROR(__xludf.DUMMYFUNCTION("""COMPUTED_VALUE"""),"")</f>
        <v/>
      </c>
      <c r="O2923" s="13" t="str">
        <f t="shared" si="1"/>
        <v/>
      </c>
    </row>
    <row r="2924" ht="22.5" customHeight="1">
      <c r="B2924" s="13">
        <f>IFERROR(__xludf.DUMMYFUNCTION("""COMPUTED_VALUE"""),2919.0)</f>
        <v>2919</v>
      </c>
      <c r="C2924" s="13" t="str">
        <f>IFERROR(__xludf.DUMMYFUNCTION("""COMPUTED_VALUE"""),"M.9663/TANJUNG BARU")</f>
        <v>M.9663/TANJUNG BARU</v>
      </c>
      <c r="D2924" s="13" t="str">
        <f>IFERROR(__xludf.DUMMYFUNCTION("""COMPUTED_VALUE"""),"K/29/230625/1")</f>
        <v>K/29/230625/1</v>
      </c>
      <c r="E2924" s="14" t="str">
        <f>IFERROR(__xludf.DUMMYFUNCTION("""COMPUTED_VALUE"""),"Heri (BT)")</f>
        <v>Heri (BT)</v>
      </c>
      <c r="F2924" s="14" t="str">
        <f>IFERROR(__xludf.DUMMYFUNCTION("""COMPUTED_VALUE"""),"SELESAI (VIA PERMOHONAN)")</f>
        <v>SELESAI (VIA PERMOHONAN)</v>
      </c>
      <c r="G2924" s="17">
        <f>IFERROR(__xludf.DUMMYFUNCTION("""COMPUTED_VALUE"""),45848.387603379626)</f>
        <v>45848.3876</v>
      </c>
      <c r="H2924" s="14" t="str">
        <f>IFERROR(__xludf.DUMMYFUNCTION("""COMPUTED_VALUE"""),"Eci (SU)")</f>
        <v>Eci (SU)</v>
      </c>
      <c r="I2924" s="13" t="str">
        <f>IFERROR(__xludf.DUMMYFUNCTION("""COMPUTED_VALUE"""),"SELESAI (VIA PERMOHONAN)")</f>
        <v>SELESAI (VIA PERMOHONAN)</v>
      </c>
      <c r="J2924" s="17">
        <f>IFERROR(__xludf.DUMMYFUNCTION("""COMPUTED_VALUE"""),45849.494559375)</f>
        <v>45849.49456</v>
      </c>
      <c r="K2924" s="13" t="str">
        <f>IFERROR(__xludf.DUMMYFUNCTION("""COMPUTED_VALUE"""),"Selesai")</f>
        <v>Selesai</v>
      </c>
      <c r="L2924" s="17">
        <f>IFERROR(__xludf.DUMMYFUNCTION("""COMPUTED_VALUE"""),45849.494559375)</f>
        <v>45849.49456</v>
      </c>
      <c r="M2924" s="13"/>
      <c r="N2924" s="13" t="str">
        <f>IFERROR(__xludf.DUMMYFUNCTION("""COMPUTED_VALUE"""),"")</f>
        <v/>
      </c>
      <c r="O2924" s="13" t="str">
        <f t="shared" si="1"/>
        <v/>
      </c>
    </row>
    <row r="2925" ht="22.5" customHeight="1">
      <c r="B2925" s="13">
        <f>IFERROR(__xludf.DUMMYFUNCTION("""COMPUTED_VALUE"""),2920.0)</f>
        <v>2920</v>
      </c>
      <c r="C2925" s="13" t="str">
        <f>IFERROR(__xludf.DUMMYFUNCTION("""COMPUTED_VALUE"""),"M.799/RAJABASA RAYA")</f>
        <v>M.799/RAJABASA RAYA</v>
      </c>
      <c r="D2925" s="13" t="str">
        <f>IFERROR(__xludf.DUMMYFUNCTION("""COMPUTED_VALUE"""),"K/48/040725/1")</f>
        <v>K/48/040725/1</v>
      </c>
      <c r="E2925" s="14" t="str">
        <f>IFERROR(__xludf.DUMMYFUNCTION("""COMPUTED_VALUE"""),"Heri (BT)")</f>
        <v>Heri (BT)</v>
      </c>
      <c r="F2925" s="14" t="str">
        <f>IFERROR(__xludf.DUMMYFUNCTION("""COMPUTED_VALUE"""),"SELESAI (VIA PERMOHONAN)")</f>
        <v>SELESAI (VIA PERMOHONAN)</v>
      </c>
      <c r="G2925" s="17">
        <f>IFERROR(__xludf.DUMMYFUNCTION("""COMPUTED_VALUE"""),45848.38771740741)</f>
        <v>45848.38772</v>
      </c>
      <c r="H2925" s="14" t="str">
        <f>IFERROR(__xludf.DUMMYFUNCTION("""COMPUTED_VALUE"""),"Eci (SU)")</f>
        <v>Eci (SU)</v>
      </c>
      <c r="I2925" s="13" t="str">
        <f>IFERROR(__xludf.DUMMYFUNCTION("""COMPUTED_VALUE"""),"SELESAI (VIA PERMOHONAN)")</f>
        <v>SELESAI (VIA PERMOHONAN)</v>
      </c>
      <c r="J2925" s="17">
        <f>IFERROR(__xludf.DUMMYFUNCTION("""COMPUTED_VALUE"""),45849.49445932871)</f>
        <v>45849.49446</v>
      </c>
      <c r="K2925" s="13" t="str">
        <f>IFERROR(__xludf.DUMMYFUNCTION("""COMPUTED_VALUE"""),"Selesai")</f>
        <v>Selesai</v>
      </c>
      <c r="L2925" s="17">
        <f>IFERROR(__xludf.DUMMYFUNCTION("""COMPUTED_VALUE"""),45849.49445932871)</f>
        <v>45849.49446</v>
      </c>
      <c r="M2925" s="13"/>
      <c r="N2925" s="13" t="str">
        <f>IFERROR(__xludf.DUMMYFUNCTION("""COMPUTED_VALUE"""),"")</f>
        <v/>
      </c>
      <c r="O2925" s="13" t="str">
        <f t="shared" si="1"/>
        <v/>
      </c>
    </row>
    <row r="2926" ht="22.5" customHeight="1">
      <c r="B2926" s="13">
        <f>IFERROR(__xludf.DUMMYFUNCTION("""COMPUTED_VALUE"""),2921.0)</f>
        <v>2921</v>
      </c>
      <c r="C2926" s="13" t="str">
        <f>IFERROR(__xludf.DUMMYFUNCTION("""COMPUTED_VALUE"""),"M.2448/KEDAUNG")</f>
        <v>M.2448/KEDAUNG</v>
      </c>
      <c r="D2926" s="13" t="str">
        <f>IFERROR(__xludf.DUMMYFUNCTION("""COMPUTED_VALUE"""),"K/21/010725/1")</f>
        <v>K/21/010725/1</v>
      </c>
      <c r="E2926" s="14" t="str">
        <f>IFERROR(__xludf.DUMMYFUNCTION("""COMPUTED_VALUE"""),"Heri (BT)")</f>
        <v>Heri (BT)</v>
      </c>
      <c r="F2926" s="14" t="str">
        <f>IFERROR(__xludf.DUMMYFUNCTION("""COMPUTED_VALUE"""),"SELESAI (VIA PERMOHONAN)")</f>
        <v>SELESAI (VIA PERMOHONAN)</v>
      </c>
      <c r="G2926" s="17">
        <f>IFERROR(__xludf.DUMMYFUNCTION("""COMPUTED_VALUE"""),45848.38783396991)</f>
        <v>45848.38783</v>
      </c>
      <c r="H2926" s="14" t="str">
        <f>IFERROR(__xludf.DUMMYFUNCTION("""COMPUTED_VALUE"""),"Eci (SU)")</f>
        <v>Eci (SU)</v>
      </c>
      <c r="I2926" s="13" t="str">
        <f>IFERROR(__xludf.DUMMYFUNCTION("""COMPUTED_VALUE"""),"SELESAI (VIA PERMOHONAN)")</f>
        <v>SELESAI (VIA PERMOHONAN)</v>
      </c>
      <c r="J2926" s="17">
        <f>IFERROR(__xludf.DUMMYFUNCTION("""COMPUTED_VALUE"""),45848.694321319446)</f>
        <v>45848.69432</v>
      </c>
      <c r="K2926" s="13" t="str">
        <f>IFERROR(__xludf.DUMMYFUNCTION("""COMPUTED_VALUE"""),"Selesai")</f>
        <v>Selesai</v>
      </c>
      <c r="L2926" s="17">
        <f>IFERROR(__xludf.DUMMYFUNCTION("""COMPUTED_VALUE"""),45848.694321319446)</f>
        <v>45848.69432</v>
      </c>
      <c r="M2926" s="13"/>
      <c r="N2926" s="13" t="str">
        <f>IFERROR(__xludf.DUMMYFUNCTION("""COMPUTED_VALUE"""),"")</f>
        <v/>
      </c>
      <c r="O2926" s="13" t="str">
        <f t="shared" si="1"/>
        <v/>
      </c>
    </row>
    <row r="2927" ht="22.5" customHeight="1">
      <c r="B2927" s="13">
        <f>IFERROR(__xludf.DUMMYFUNCTION("""COMPUTED_VALUE"""),2922.0)</f>
        <v>2922</v>
      </c>
      <c r="C2927" s="13" t="str">
        <f>IFERROR(__xludf.DUMMYFUNCTION("""COMPUTED_VALUE"""),"HM 2064/SUKAMAJU")</f>
        <v>HM 2064/SUKAMAJU</v>
      </c>
      <c r="D2927" s="13" t="str">
        <f>IFERROR(__xludf.DUMMYFUNCTION("""COMPUTED_VALUE"""),"L/18/270525/1")</f>
        <v>L/18/270525/1</v>
      </c>
      <c r="E2927" s="14" t="str">
        <f>IFERROR(__xludf.DUMMYFUNCTION("""COMPUTED_VALUE"""),"Heri (BT)")</f>
        <v>Heri (BT)</v>
      </c>
      <c r="F2927" s="14" t="str">
        <f>IFERROR(__xludf.DUMMYFUNCTION("""COMPUTED_VALUE"""),"SELESAI (VIA PERMOHONAN)")</f>
        <v>SELESAI (VIA PERMOHONAN)</v>
      </c>
      <c r="G2927" s="17">
        <f>IFERROR(__xludf.DUMMYFUNCTION("""COMPUTED_VALUE"""),45848.38797888889)</f>
        <v>45848.38798</v>
      </c>
      <c r="H2927" s="14" t="str">
        <f>IFERROR(__xludf.DUMMYFUNCTION("""COMPUTED_VALUE"""),"Eci (SU)")</f>
        <v>Eci (SU)</v>
      </c>
      <c r="I2927" s="13" t="str">
        <f>IFERROR(__xludf.DUMMYFUNCTION("""COMPUTED_VALUE"""),"SELESAI (VIA PERMOHONAN)")</f>
        <v>SELESAI (VIA PERMOHONAN)</v>
      </c>
      <c r="J2927" s="17">
        <f>IFERROR(__xludf.DUMMYFUNCTION("""COMPUTED_VALUE"""),45849.49916761574)</f>
        <v>45849.49917</v>
      </c>
      <c r="K2927" s="13" t="str">
        <f>IFERROR(__xludf.DUMMYFUNCTION("""COMPUTED_VALUE"""),"Selesai")</f>
        <v>Selesai</v>
      </c>
      <c r="L2927" s="17">
        <f>IFERROR(__xludf.DUMMYFUNCTION("""COMPUTED_VALUE"""),45849.49916761574)</f>
        <v>45849.49917</v>
      </c>
      <c r="M2927" s="13"/>
      <c r="N2927" s="13" t="str">
        <f>IFERROR(__xludf.DUMMYFUNCTION("""COMPUTED_VALUE"""),"")</f>
        <v/>
      </c>
      <c r="O2927" s="13" t="str">
        <f t="shared" si="1"/>
        <v/>
      </c>
    </row>
    <row r="2928" ht="22.5" customHeight="1">
      <c r="B2928" s="13">
        <f>IFERROR(__xludf.DUMMYFUNCTION("""COMPUTED_VALUE"""),2923.0)</f>
        <v>2923</v>
      </c>
      <c r="C2928" s="13" t="str">
        <f>IFERROR(__xludf.DUMMYFUNCTION("""COMPUTED_VALUE"""),"HM 988/PENGAJARAN")</f>
        <v>HM 988/PENGAJARAN</v>
      </c>
      <c r="D2928" s="13" t="str">
        <f>IFERROR(__xludf.DUMMYFUNCTION("""COMPUTED_VALUE"""),"L/20/020725/1")</f>
        <v>L/20/020725/1</v>
      </c>
      <c r="E2928" s="14" t="str">
        <f>IFERROR(__xludf.DUMMYFUNCTION("""COMPUTED_VALUE"""),"Heri (BT)")</f>
        <v>Heri (BT)</v>
      </c>
      <c r="F2928" s="14" t="str">
        <f>IFERROR(__xludf.DUMMYFUNCTION("""COMPUTED_VALUE"""),"SELESAI (VIA PERMOHONAN)")</f>
        <v>SELESAI (VIA PERMOHONAN)</v>
      </c>
      <c r="G2928" s="17">
        <f>IFERROR(__xludf.DUMMYFUNCTION("""COMPUTED_VALUE"""),45848.38811013889)</f>
        <v>45848.38811</v>
      </c>
      <c r="H2928" s="14" t="str">
        <f>IFERROR(__xludf.DUMMYFUNCTION("""COMPUTED_VALUE"""),"Eci (SU)")</f>
        <v>Eci (SU)</v>
      </c>
      <c r="I2928" s="13" t="str">
        <f>IFERROR(__xludf.DUMMYFUNCTION("""COMPUTED_VALUE"""),"SELESAI (VIA PERMOHONAN)")</f>
        <v>SELESAI (VIA PERMOHONAN)</v>
      </c>
      <c r="J2928" s="17">
        <f>IFERROR(__xludf.DUMMYFUNCTION("""COMPUTED_VALUE"""),45849.49924414352)</f>
        <v>45849.49924</v>
      </c>
      <c r="K2928" s="13" t="str">
        <f>IFERROR(__xludf.DUMMYFUNCTION("""COMPUTED_VALUE"""),"Selesai")</f>
        <v>Selesai</v>
      </c>
      <c r="L2928" s="17">
        <f>IFERROR(__xludf.DUMMYFUNCTION("""COMPUTED_VALUE"""),45849.49924414352)</f>
        <v>45849.49924</v>
      </c>
      <c r="M2928" s="13"/>
      <c r="N2928" s="13" t="str">
        <f>IFERROR(__xludf.DUMMYFUNCTION("""COMPUTED_VALUE"""),"")</f>
        <v/>
      </c>
      <c r="O2928" s="13" t="str">
        <f t="shared" si="1"/>
        <v/>
      </c>
    </row>
    <row r="2929" ht="22.5" customHeight="1">
      <c r="B2929" s="13">
        <f>IFERROR(__xludf.DUMMYFUNCTION("""COMPUTED_VALUE"""),2924.0)</f>
        <v>2924</v>
      </c>
      <c r="C2929" s="13" t="str">
        <f>IFERROR(__xludf.DUMMYFUNCTION("""COMPUTED_VALUE"""),"M. 5128/ Rajabasa Jaya")</f>
        <v>M. 5128/ Rajabasa Jaya</v>
      </c>
      <c r="D2929" s="13" t="str">
        <f>IFERROR(__xludf.DUMMYFUNCTION("""COMPUTED_VALUE"""),"K/35/010725/1")</f>
        <v>K/35/010725/1</v>
      </c>
      <c r="E2929" s="14" t="str">
        <f>IFERROR(__xludf.DUMMYFUNCTION("""COMPUTED_VALUE"""),"Heri (BT)")</f>
        <v>Heri (BT)</v>
      </c>
      <c r="F2929" s="14" t="str">
        <f>IFERROR(__xludf.DUMMYFUNCTION("""COMPUTED_VALUE"""),"SELESAI (VIA PERMOHONAN)")</f>
        <v>SELESAI (VIA PERMOHONAN)</v>
      </c>
      <c r="G2929" s="17">
        <f>IFERROR(__xludf.DUMMYFUNCTION("""COMPUTED_VALUE"""),45848.3882390162)</f>
        <v>45848.38824</v>
      </c>
      <c r="H2929" s="14" t="str">
        <f>IFERROR(__xludf.DUMMYFUNCTION("""COMPUTED_VALUE"""),"Eci (SU)")</f>
        <v>Eci (SU)</v>
      </c>
      <c r="I2929" s="13" t="str">
        <f>IFERROR(__xludf.DUMMYFUNCTION("""COMPUTED_VALUE"""),"SELESAI (VIA PERMOHONAN)")</f>
        <v>SELESAI (VIA PERMOHONAN)</v>
      </c>
      <c r="J2929" s="17">
        <f>IFERROR(__xludf.DUMMYFUNCTION("""COMPUTED_VALUE"""),45848.69423252315)</f>
        <v>45848.69423</v>
      </c>
      <c r="K2929" s="13" t="str">
        <f>IFERROR(__xludf.DUMMYFUNCTION("""COMPUTED_VALUE"""),"Selesai")</f>
        <v>Selesai</v>
      </c>
      <c r="L2929" s="17">
        <f>IFERROR(__xludf.DUMMYFUNCTION("""COMPUTED_VALUE"""),45848.69423252315)</f>
        <v>45848.69423</v>
      </c>
      <c r="M2929" s="13"/>
      <c r="N2929" s="13" t="str">
        <f>IFERROR(__xludf.DUMMYFUNCTION("""COMPUTED_VALUE"""),"")</f>
        <v/>
      </c>
      <c r="O2929" s="13" t="str">
        <f t="shared" si="1"/>
        <v/>
      </c>
    </row>
    <row r="2930" ht="22.5" customHeight="1">
      <c r="B2930" s="13">
        <f>IFERROR(__xludf.DUMMYFUNCTION("""COMPUTED_VALUE"""),2925.0)</f>
        <v>2925</v>
      </c>
      <c r="C2930" s="13" t="str">
        <f>IFERROR(__xludf.DUMMYFUNCTION("""COMPUTED_VALUE"""),"M. 586/ Korpri Raya")</f>
        <v>M. 586/ Korpri Raya</v>
      </c>
      <c r="D2930" s="13" t="str">
        <f>IFERROR(__xludf.DUMMYFUNCTION("""COMPUTED_VALUE"""),"K/60/050625/1")</f>
        <v>K/60/050625/1</v>
      </c>
      <c r="E2930" s="14" t="str">
        <f>IFERROR(__xludf.DUMMYFUNCTION("""COMPUTED_VALUE"""),"Heri (BT)")</f>
        <v>Heri (BT)</v>
      </c>
      <c r="F2930" s="14" t="str">
        <f>IFERROR(__xludf.DUMMYFUNCTION("""COMPUTED_VALUE"""),"SELESAI (VIA PERMOHONAN)")</f>
        <v>SELESAI (VIA PERMOHONAN)</v>
      </c>
      <c r="G2930" s="17">
        <f>IFERROR(__xludf.DUMMYFUNCTION("""COMPUTED_VALUE"""),45848.38837274305)</f>
        <v>45848.38837</v>
      </c>
      <c r="H2930" s="14" t="str">
        <f>IFERROR(__xludf.DUMMYFUNCTION("""COMPUTED_VALUE"""),"Eci (SU)")</f>
        <v>Eci (SU)</v>
      </c>
      <c r="I2930" s="13" t="str">
        <f>IFERROR(__xludf.DUMMYFUNCTION("""COMPUTED_VALUE"""),"SELESAI (VIA PERMOHONAN)")</f>
        <v>SELESAI (VIA PERMOHONAN)</v>
      </c>
      <c r="J2930" s="17">
        <f>IFERROR(__xludf.DUMMYFUNCTION("""COMPUTED_VALUE"""),45849.496521030094)</f>
        <v>45849.49652</v>
      </c>
      <c r="K2930" s="13" t="str">
        <f>IFERROR(__xludf.DUMMYFUNCTION("""COMPUTED_VALUE"""),"Selesai")</f>
        <v>Selesai</v>
      </c>
      <c r="L2930" s="17">
        <f>IFERROR(__xludf.DUMMYFUNCTION("""COMPUTED_VALUE"""),45849.496521030094)</f>
        <v>45849.49652</v>
      </c>
      <c r="M2930" s="13"/>
      <c r="N2930" s="13" t="str">
        <f>IFERROR(__xludf.DUMMYFUNCTION("""COMPUTED_VALUE"""),"")</f>
        <v/>
      </c>
      <c r="O2930" s="13" t="str">
        <f t="shared" si="1"/>
        <v/>
      </c>
    </row>
    <row r="2931" ht="22.5" customHeight="1">
      <c r="B2931" s="13">
        <f>IFERROR(__xludf.DUMMYFUNCTION("""COMPUTED_VALUE"""),2926.0)</f>
        <v>2926</v>
      </c>
      <c r="C2931" s="13" t="str">
        <f>IFERROR(__xludf.DUMMYFUNCTION("""COMPUTED_VALUE"""),"HM 355/SUKABUMI INDAH")</f>
        <v>HM 355/SUKABUMI INDAH</v>
      </c>
      <c r="D2931" s="13" t="str">
        <f>IFERROR(__xludf.DUMMYFUNCTION("""COMPUTED_VALUE"""),"L/3/300625/1")</f>
        <v>L/3/300625/1</v>
      </c>
      <c r="E2931" s="14" t="str">
        <f>IFERROR(__xludf.DUMMYFUNCTION("""COMPUTED_VALUE"""),"Heri (BT)")</f>
        <v>Heri (BT)</v>
      </c>
      <c r="F2931" s="14" t="str">
        <f>IFERROR(__xludf.DUMMYFUNCTION("""COMPUTED_VALUE"""),"SELESAI (VIA PERMOHONAN)")</f>
        <v>SELESAI (VIA PERMOHONAN)</v>
      </c>
      <c r="G2931" s="17">
        <f>IFERROR(__xludf.DUMMYFUNCTION("""COMPUTED_VALUE"""),45848.38858506945)</f>
        <v>45848.38859</v>
      </c>
      <c r="H2931" s="14" t="str">
        <f>IFERROR(__xludf.DUMMYFUNCTION("""COMPUTED_VALUE"""),"Eci (SU)")</f>
        <v>Eci (SU)</v>
      </c>
      <c r="I2931" s="13" t="str">
        <f>IFERROR(__xludf.DUMMYFUNCTION("""COMPUTED_VALUE"""),"SELESAI (VIA PERMOHONAN)")</f>
        <v>SELESAI (VIA PERMOHONAN)</v>
      </c>
      <c r="J2931" s="17">
        <f>IFERROR(__xludf.DUMMYFUNCTION("""COMPUTED_VALUE"""),45849.499394363425)</f>
        <v>45849.49939</v>
      </c>
      <c r="K2931" s="13" t="str">
        <f>IFERROR(__xludf.DUMMYFUNCTION("""COMPUTED_VALUE"""),"Selesai")</f>
        <v>Selesai</v>
      </c>
      <c r="L2931" s="17">
        <f>IFERROR(__xludf.DUMMYFUNCTION("""COMPUTED_VALUE"""),45849.499394363425)</f>
        <v>45849.49939</v>
      </c>
      <c r="M2931" s="13"/>
      <c r="N2931" s="13" t="str">
        <f>IFERROR(__xludf.DUMMYFUNCTION("""COMPUTED_VALUE"""),"")</f>
        <v/>
      </c>
      <c r="O2931" s="13" t="str">
        <f t="shared" si="1"/>
        <v/>
      </c>
    </row>
    <row r="2932" ht="22.5" customHeight="1">
      <c r="B2932" s="13">
        <f>IFERROR(__xludf.DUMMYFUNCTION("""COMPUTED_VALUE"""),2927.0)</f>
        <v>2927</v>
      </c>
      <c r="C2932" s="13" t="str">
        <f>IFERROR(__xludf.DUMMYFUNCTION("""COMPUTED_VALUE"""),"M. 4325/ Tanjung Senang")</f>
        <v>M. 4325/ Tanjung Senang</v>
      </c>
      <c r="D2932" s="13" t="str">
        <f>IFERROR(__xludf.DUMMYFUNCTION("""COMPUTED_VALUE"""),"K/42/210525/2")</f>
        <v>K/42/210525/2</v>
      </c>
      <c r="E2932" s="14" t="str">
        <f>IFERROR(__xludf.DUMMYFUNCTION("""COMPUTED_VALUE"""),"Afriza (BT)")</f>
        <v>Afriza (BT)</v>
      </c>
      <c r="F2932" s="14" t="str">
        <f>IFERROR(__xludf.DUMMYFUNCTION("""COMPUTED_VALUE"""),"SELESAI (VIA PERMOHONAN)")</f>
        <v>SELESAI (VIA PERMOHONAN)</v>
      </c>
      <c r="G2932" s="17">
        <f>IFERROR(__xludf.DUMMYFUNCTION("""COMPUTED_VALUE"""),45848.67072086806)</f>
        <v>45848.67072</v>
      </c>
      <c r="H2932" s="14" t="str">
        <f>IFERROR(__xludf.DUMMYFUNCTION("""COMPUTED_VALUE"""),"Eci (SU)")</f>
        <v>Eci (SU)</v>
      </c>
      <c r="I2932" s="13" t="str">
        <f>IFERROR(__xludf.DUMMYFUNCTION("""COMPUTED_VALUE"""),"SELESAI (VIA PERMOHONAN)")</f>
        <v>SELESAI (VIA PERMOHONAN)</v>
      </c>
      <c r="J2932" s="17">
        <f>IFERROR(__xludf.DUMMYFUNCTION("""COMPUTED_VALUE"""),45849.49499482639)</f>
        <v>45849.49499</v>
      </c>
      <c r="K2932" s="13" t="str">
        <f>IFERROR(__xludf.DUMMYFUNCTION("""COMPUTED_VALUE"""),"Selesai")</f>
        <v>Selesai</v>
      </c>
      <c r="L2932" s="17">
        <f>IFERROR(__xludf.DUMMYFUNCTION("""COMPUTED_VALUE"""),45849.49499482639)</f>
        <v>45849.49499</v>
      </c>
      <c r="M2932" s="13"/>
      <c r="N2932" s="13" t="str">
        <f>IFERROR(__xludf.DUMMYFUNCTION("""COMPUTED_VALUE"""),"")</f>
        <v/>
      </c>
      <c r="O2932" s="13" t="str">
        <f t="shared" si="1"/>
        <v/>
      </c>
    </row>
    <row r="2933" ht="22.5" customHeight="1">
      <c r="B2933" s="13">
        <f>IFERROR(__xludf.DUMMYFUNCTION("""COMPUTED_VALUE"""),2928.0)</f>
        <v>2928</v>
      </c>
      <c r="C2933" s="13" t="str">
        <f>IFERROR(__xludf.DUMMYFUNCTION("""COMPUTED_VALUE"""),"B.3792/BERINGIN RAYA")</f>
        <v>B.3792/BERINGIN RAYA</v>
      </c>
      <c r="D2933" s="13" t="str">
        <f>IFERROR(__xludf.DUMMYFUNCTION("""COMPUTED_VALUE"""),"K/1/190625/1")</f>
        <v>K/1/190625/1</v>
      </c>
      <c r="E2933" s="14" t="str">
        <f>IFERROR(__xludf.DUMMYFUNCTION("""COMPUTED_VALUE"""),"Afriza (BT)")</f>
        <v>Afriza (BT)</v>
      </c>
      <c r="F2933" s="14" t="str">
        <f>IFERROR(__xludf.DUMMYFUNCTION("""COMPUTED_VALUE"""),"SELESAI (VIA PERMOHONAN)")</f>
        <v>SELESAI (VIA PERMOHONAN)</v>
      </c>
      <c r="G2933" s="17">
        <f>IFERROR(__xludf.DUMMYFUNCTION("""COMPUTED_VALUE"""),45848.67162015046)</f>
        <v>45848.67162</v>
      </c>
      <c r="H2933" s="14" t="str">
        <f>IFERROR(__xludf.DUMMYFUNCTION("""COMPUTED_VALUE"""),"Eci (SU)")</f>
        <v>Eci (SU)</v>
      </c>
      <c r="I2933" s="13" t="str">
        <f>IFERROR(__xludf.DUMMYFUNCTION("""COMPUTED_VALUE"""),"SELESAI (VIA PERMOHONAN)")</f>
        <v>SELESAI (VIA PERMOHONAN)</v>
      </c>
      <c r="J2933" s="17">
        <f>IFERROR(__xludf.DUMMYFUNCTION("""COMPUTED_VALUE"""),45849.49487461806)</f>
        <v>45849.49487</v>
      </c>
      <c r="K2933" s="13" t="str">
        <f>IFERROR(__xludf.DUMMYFUNCTION("""COMPUTED_VALUE"""),"Selesai")</f>
        <v>Selesai</v>
      </c>
      <c r="L2933" s="17">
        <f>IFERROR(__xludf.DUMMYFUNCTION("""COMPUTED_VALUE"""),45849.49487461806)</f>
        <v>45849.49487</v>
      </c>
      <c r="M2933" s="13"/>
      <c r="N2933" s="13" t="str">
        <f>IFERROR(__xludf.DUMMYFUNCTION("""COMPUTED_VALUE"""),"")</f>
        <v/>
      </c>
      <c r="O2933" s="13" t="str">
        <f t="shared" si="1"/>
        <v/>
      </c>
    </row>
    <row r="2934" ht="22.5" customHeight="1">
      <c r="B2934" s="13">
        <f>IFERROR(__xludf.DUMMYFUNCTION("""COMPUTED_VALUE"""),2929.0)</f>
        <v>2929</v>
      </c>
      <c r="C2934" s="13" t="str">
        <f>IFERROR(__xludf.DUMMYFUNCTION("""COMPUTED_VALUE"""),"M. 11691/ Sukabumi")</f>
        <v>M. 11691/ Sukabumi</v>
      </c>
      <c r="D2934" s="13" t="str">
        <f>IFERROR(__xludf.DUMMYFUNCTION("""COMPUTED_VALUE"""),"K/29/010725/1")</f>
        <v>K/29/010725/1</v>
      </c>
      <c r="E2934" s="14" t="str">
        <f>IFERROR(__xludf.DUMMYFUNCTION("""COMPUTED_VALUE"""),"Afriza (BT)")</f>
        <v>Afriza (BT)</v>
      </c>
      <c r="F2934" s="14" t="str">
        <f>IFERROR(__xludf.DUMMYFUNCTION("""COMPUTED_VALUE"""),"SELESAI (VIA PERMOHONAN)")</f>
        <v>SELESAI (VIA PERMOHONAN)</v>
      </c>
      <c r="G2934" s="17">
        <f>IFERROR(__xludf.DUMMYFUNCTION("""COMPUTED_VALUE"""),45848.672056400464)</f>
        <v>45848.67206</v>
      </c>
      <c r="H2934" s="14" t="str">
        <f>IFERROR(__xludf.DUMMYFUNCTION("""COMPUTED_VALUE"""),"Eci (SU)")</f>
        <v>Eci (SU)</v>
      </c>
      <c r="I2934" s="13" t="str">
        <f>IFERROR(__xludf.DUMMYFUNCTION("""COMPUTED_VALUE"""),"SELESAI (VIA PERMOHONAN)")</f>
        <v>SELESAI (VIA PERMOHONAN)</v>
      </c>
      <c r="J2934" s="17">
        <f>IFERROR(__xludf.DUMMYFUNCTION("""COMPUTED_VALUE"""),45849.494971238426)</f>
        <v>45849.49497</v>
      </c>
      <c r="K2934" s="13" t="str">
        <f>IFERROR(__xludf.DUMMYFUNCTION("""COMPUTED_VALUE"""),"Selesai")</f>
        <v>Selesai</v>
      </c>
      <c r="L2934" s="17">
        <f>IFERROR(__xludf.DUMMYFUNCTION("""COMPUTED_VALUE"""),45849.494971238426)</f>
        <v>45849.49497</v>
      </c>
      <c r="M2934" s="13"/>
      <c r="N2934" s="13" t="str">
        <f>IFERROR(__xludf.DUMMYFUNCTION("""COMPUTED_VALUE"""),"")</f>
        <v/>
      </c>
      <c r="O2934" s="13" t="str">
        <f t="shared" si="1"/>
        <v/>
      </c>
    </row>
    <row r="2935" ht="22.5" customHeight="1">
      <c r="B2935" s="13">
        <f>IFERROR(__xludf.DUMMYFUNCTION("""COMPUTED_VALUE"""),2930.0)</f>
        <v>2930</v>
      </c>
      <c r="C2935" s="13" t="str">
        <f>IFERROR(__xludf.DUMMYFUNCTION("""COMPUTED_VALUE"""),"M. 1610/ Beringin Jaya")</f>
        <v>M. 1610/ Beringin Jaya</v>
      </c>
      <c r="D2935" s="13" t="str">
        <f>IFERROR(__xludf.DUMMYFUNCTION("""COMPUTED_VALUE"""),"K/9/030725/1")</f>
        <v>K/9/030725/1</v>
      </c>
      <c r="E2935" s="14" t="str">
        <f>IFERROR(__xludf.DUMMYFUNCTION("""COMPUTED_VALUE"""),"Afriza (BT)")</f>
        <v>Afriza (BT)</v>
      </c>
      <c r="F2935" s="14" t="str">
        <f>IFERROR(__xludf.DUMMYFUNCTION("""COMPUTED_VALUE"""),"SELESAI (VIA PERMOHONAN)")</f>
        <v>SELESAI (VIA PERMOHONAN)</v>
      </c>
      <c r="G2935" s="17">
        <f>IFERROR(__xludf.DUMMYFUNCTION("""COMPUTED_VALUE"""),45848.67634075231)</f>
        <v>45848.67634</v>
      </c>
      <c r="H2935" s="14" t="str">
        <f>IFERROR(__xludf.DUMMYFUNCTION("""COMPUTED_VALUE"""),"Eci (SU)")</f>
        <v>Eci (SU)</v>
      </c>
      <c r="I2935" s="13" t="str">
        <f>IFERROR(__xludf.DUMMYFUNCTION("""COMPUTED_VALUE"""),"SELESAI (VIA PERMOHONAN)")</f>
        <v>SELESAI (VIA PERMOHONAN)</v>
      </c>
      <c r="J2935" s="17">
        <f>IFERROR(__xludf.DUMMYFUNCTION("""COMPUTED_VALUE"""),45849.495071944446)</f>
        <v>45849.49507</v>
      </c>
      <c r="K2935" s="13" t="str">
        <f>IFERROR(__xludf.DUMMYFUNCTION("""COMPUTED_VALUE"""),"Selesai")</f>
        <v>Selesai</v>
      </c>
      <c r="L2935" s="17">
        <f>IFERROR(__xludf.DUMMYFUNCTION("""COMPUTED_VALUE"""),45849.495071944446)</f>
        <v>45849.49507</v>
      </c>
      <c r="M2935" s="13"/>
      <c r="N2935" s="13" t="str">
        <f>IFERROR(__xludf.DUMMYFUNCTION("""COMPUTED_VALUE"""),"")</f>
        <v/>
      </c>
      <c r="O2935" s="13" t="str">
        <f t="shared" si="1"/>
        <v/>
      </c>
    </row>
    <row r="2936" ht="22.5" customHeight="1">
      <c r="B2936" s="13">
        <f>IFERROR(__xludf.DUMMYFUNCTION("""COMPUTED_VALUE"""),2931.0)</f>
        <v>2931</v>
      </c>
      <c r="C2936" s="13" t="str">
        <f>IFERROR(__xludf.DUMMYFUNCTION("""COMPUTED_VALUE"""),"M. 2507/ Pinang Jaya")</f>
        <v>M. 2507/ Pinang Jaya</v>
      </c>
      <c r="D2936" s="13" t="str">
        <f>IFERROR(__xludf.DUMMYFUNCTION("""COMPUTED_VALUE"""),"K/7/180625/1")</f>
        <v>K/7/180625/1</v>
      </c>
      <c r="E2936" s="14" t="str">
        <f>IFERROR(__xludf.DUMMYFUNCTION("""COMPUTED_VALUE"""),"Afriza (BT)")</f>
        <v>Afriza (BT)</v>
      </c>
      <c r="F2936" s="14" t="str">
        <f>IFERROR(__xludf.DUMMYFUNCTION("""COMPUTED_VALUE"""),"SELESAI (VIA PERMOHONAN)")</f>
        <v>SELESAI (VIA PERMOHONAN)</v>
      </c>
      <c r="G2936" s="17">
        <f>IFERROR(__xludf.DUMMYFUNCTION("""COMPUTED_VALUE"""),45848.67788309028)</f>
        <v>45848.67788</v>
      </c>
      <c r="H2936" s="14" t="str">
        <f>IFERROR(__xludf.DUMMYFUNCTION("""COMPUTED_VALUE"""),"Eci (SU)")</f>
        <v>Eci (SU)</v>
      </c>
      <c r="I2936" s="13" t="str">
        <f>IFERROR(__xludf.DUMMYFUNCTION("""COMPUTED_VALUE"""),"SELESAI (VIA PERMOHONAN)")</f>
        <v>SELESAI (VIA PERMOHONAN)</v>
      </c>
      <c r="J2936" s="17">
        <f>IFERROR(__xludf.DUMMYFUNCTION("""COMPUTED_VALUE"""),45849.49753922454)</f>
        <v>45849.49754</v>
      </c>
      <c r="K2936" s="13" t="str">
        <f>IFERROR(__xludf.DUMMYFUNCTION("""COMPUTED_VALUE"""),"Selesai")</f>
        <v>Selesai</v>
      </c>
      <c r="L2936" s="17">
        <f>IFERROR(__xludf.DUMMYFUNCTION("""COMPUTED_VALUE"""),45849.49753922454)</f>
        <v>45849.49754</v>
      </c>
      <c r="M2936" s="13"/>
      <c r="N2936" s="13" t="str">
        <f>IFERROR(__xludf.DUMMYFUNCTION("""COMPUTED_VALUE"""),"")</f>
        <v/>
      </c>
      <c r="O2936" s="13" t="str">
        <f t="shared" si="1"/>
        <v/>
      </c>
    </row>
    <row r="2937" ht="22.5" customHeight="1">
      <c r="B2937" s="13">
        <f>IFERROR(__xludf.DUMMYFUNCTION("""COMPUTED_VALUE"""),2932.0)</f>
        <v>2932</v>
      </c>
      <c r="C2937" s="13" t="str">
        <f>IFERROR(__xludf.DUMMYFUNCTION("""COMPUTED_VALUE"""),"M. 1128/ Korpri Jaya")</f>
        <v>M. 1128/ Korpri Jaya</v>
      </c>
      <c r="D2937" s="13" t="str">
        <f>IFERROR(__xludf.DUMMYFUNCTION("""COMPUTED_VALUE"""),"K/40/190625/2")</f>
        <v>K/40/190625/2</v>
      </c>
      <c r="E2937" s="14" t="str">
        <f>IFERROR(__xludf.DUMMYFUNCTION("""COMPUTED_VALUE"""),"Afriza (BT)")</f>
        <v>Afriza (BT)</v>
      </c>
      <c r="F2937" s="14" t="str">
        <f>IFERROR(__xludf.DUMMYFUNCTION("""COMPUTED_VALUE"""),"SELESAI (VIA PERMOHONAN)")</f>
        <v>SELESAI (VIA PERMOHONAN)</v>
      </c>
      <c r="G2937" s="17">
        <f>IFERROR(__xludf.DUMMYFUNCTION("""COMPUTED_VALUE"""),45848.67841523148)</f>
        <v>45848.67842</v>
      </c>
      <c r="H2937" s="14" t="str">
        <f>IFERROR(__xludf.DUMMYFUNCTION("""COMPUTED_VALUE"""),"Eci (SU)")</f>
        <v>Eci (SU)</v>
      </c>
      <c r="I2937" s="13" t="str">
        <f>IFERROR(__xludf.DUMMYFUNCTION("""COMPUTED_VALUE"""),"SELESAI (VIA PERMOHONAN)")</f>
        <v>SELESAI (VIA PERMOHONAN)</v>
      </c>
      <c r="J2937" s="17">
        <f>IFERROR(__xludf.DUMMYFUNCTION("""COMPUTED_VALUE"""),45849.497283634264)</f>
        <v>45849.49728</v>
      </c>
      <c r="K2937" s="13" t="str">
        <f>IFERROR(__xludf.DUMMYFUNCTION("""COMPUTED_VALUE"""),"Selesai")</f>
        <v>Selesai</v>
      </c>
      <c r="L2937" s="17">
        <f>IFERROR(__xludf.DUMMYFUNCTION("""COMPUTED_VALUE"""),45849.497283634264)</f>
        <v>45849.49728</v>
      </c>
      <c r="M2937" s="13"/>
      <c r="N2937" s="13" t="str">
        <f>IFERROR(__xludf.DUMMYFUNCTION("""COMPUTED_VALUE"""),"")</f>
        <v/>
      </c>
      <c r="O2937" s="13" t="str">
        <f t="shared" si="1"/>
        <v/>
      </c>
    </row>
    <row r="2938" ht="22.5" customHeight="1">
      <c r="B2938" s="13">
        <f>IFERROR(__xludf.DUMMYFUNCTION("""COMPUTED_VALUE"""),2933.0)</f>
        <v>2933</v>
      </c>
      <c r="C2938" s="13" t="str">
        <f>IFERROR(__xludf.DUMMYFUNCTION("""COMPUTED_VALUE"""),"M. 9401/ kedamaian")</f>
        <v>M. 9401/ kedamaian</v>
      </c>
      <c r="D2938" s="13" t="str">
        <f>IFERROR(__xludf.DUMMYFUNCTION("""COMPUTED_VALUE"""),"K/9/090525/1")</f>
        <v>K/9/090525/1</v>
      </c>
      <c r="E2938" s="14" t="str">
        <f>IFERROR(__xludf.DUMMYFUNCTION("""COMPUTED_VALUE"""),"Afriza (BT)")</f>
        <v>Afriza (BT)</v>
      </c>
      <c r="F2938" s="14" t="str">
        <f>IFERROR(__xludf.DUMMYFUNCTION("""COMPUTED_VALUE"""),"SELESAI (VIA PERMOHONAN)")</f>
        <v>SELESAI (VIA PERMOHONAN)</v>
      </c>
      <c r="G2938" s="17">
        <f>IFERROR(__xludf.DUMMYFUNCTION("""COMPUTED_VALUE"""),45848.678988263884)</f>
        <v>45848.67899</v>
      </c>
      <c r="H2938" s="14" t="str">
        <f>IFERROR(__xludf.DUMMYFUNCTION("""COMPUTED_VALUE"""),"Eci (SU)")</f>
        <v>Eci (SU)</v>
      </c>
      <c r="I2938" s="13" t="str">
        <f>IFERROR(__xludf.DUMMYFUNCTION("""COMPUTED_VALUE"""),"SELESAI (VIA PERMOHONAN)")</f>
        <v>SELESAI (VIA PERMOHONAN)</v>
      </c>
      <c r="J2938" s="17">
        <f>IFERROR(__xludf.DUMMYFUNCTION("""COMPUTED_VALUE"""),45849.49757166667)</f>
        <v>45849.49757</v>
      </c>
      <c r="K2938" s="13" t="str">
        <f>IFERROR(__xludf.DUMMYFUNCTION("""COMPUTED_VALUE"""),"Selesai")</f>
        <v>Selesai</v>
      </c>
      <c r="L2938" s="17">
        <f>IFERROR(__xludf.DUMMYFUNCTION("""COMPUTED_VALUE"""),45849.49757166667)</f>
        <v>45849.49757</v>
      </c>
      <c r="M2938" s="13"/>
      <c r="N2938" s="13" t="str">
        <f>IFERROR(__xludf.DUMMYFUNCTION("""COMPUTED_VALUE"""),"")</f>
        <v/>
      </c>
      <c r="O2938" s="13" t="str">
        <f t="shared" si="1"/>
        <v/>
      </c>
    </row>
    <row r="2939" ht="22.5" customHeight="1">
      <c r="B2939" s="13">
        <f>IFERROR(__xludf.DUMMYFUNCTION("""COMPUTED_VALUE"""),2934.0)</f>
        <v>2934</v>
      </c>
      <c r="C2939" s="13" t="str">
        <f>IFERROR(__xludf.DUMMYFUNCTION("""COMPUTED_VALUE"""),"M. 9247/ Kedaton")</f>
        <v>M. 9247/ Kedaton</v>
      </c>
      <c r="D2939" s="13" t="str">
        <f>IFERROR(__xludf.DUMMYFUNCTION("""COMPUTED_VALUE"""),"K/9/230625/1")</f>
        <v>K/9/230625/1</v>
      </c>
      <c r="E2939" s="14" t="str">
        <f>IFERROR(__xludf.DUMMYFUNCTION("""COMPUTED_VALUE"""),"Afriza (BT)")</f>
        <v>Afriza (BT)</v>
      </c>
      <c r="F2939" s="14" t="str">
        <f>IFERROR(__xludf.DUMMYFUNCTION("""COMPUTED_VALUE"""),"SELESAI (VIA PERMOHONAN)")</f>
        <v>SELESAI (VIA PERMOHONAN)</v>
      </c>
      <c r="G2939" s="17">
        <f>IFERROR(__xludf.DUMMYFUNCTION("""COMPUTED_VALUE"""),45848.67949571759)</f>
        <v>45848.6795</v>
      </c>
      <c r="H2939" s="14" t="str">
        <f>IFERROR(__xludf.DUMMYFUNCTION("""COMPUTED_VALUE"""),"Eci (SU)")</f>
        <v>Eci (SU)</v>
      </c>
      <c r="I2939" s="13" t="str">
        <f>IFERROR(__xludf.DUMMYFUNCTION("""COMPUTED_VALUE"""),"SELESAI (VIA PERMOHONAN)")</f>
        <v>SELESAI (VIA PERMOHONAN)</v>
      </c>
      <c r="J2939" s="17">
        <f>IFERROR(__xludf.DUMMYFUNCTION("""COMPUTED_VALUE"""),45849.49707556713)</f>
        <v>45849.49708</v>
      </c>
      <c r="K2939" s="13" t="str">
        <f>IFERROR(__xludf.DUMMYFUNCTION("""COMPUTED_VALUE"""),"Selesai")</f>
        <v>Selesai</v>
      </c>
      <c r="L2939" s="17">
        <f>IFERROR(__xludf.DUMMYFUNCTION("""COMPUTED_VALUE"""),45849.49707556713)</f>
        <v>45849.49708</v>
      </c>
      <c r="M2939" s="13"/>
      <c r="N2939" s="13" t="str">
        <f>IFERROR(__xludf.DUMMYFUNCTION("""COMPUTED_VALUE"""),"")</f>
        <v/>
      </c>
      <c r="O2939" s="13" t="str">
        <f t="shared" si="1"/>
        <v/>
      </c>
    </row>
    <row r="2940" ht="22.5" customHeight="1">
      <c r="B2940" s="13">
        <f>IFERROR(__xludf.DUMMYFUNCTION("""COMPUTED_VALUE"""),2935.0)</f>
        <v>2935</v>
      </c>
      <c r="C2940" s="13" t="str">
        <f>IFERROR(__xludf.DUMMYFUNCTION("""COMPUTED_VALUE"""),"M. 3661/ Way kandis")</f>
        <v>M. 3661/ Way kandis</v>
      </c>
      <c r="D2940" s="13" t="str">
        <f>IFERROR(__xludf.DUMMYFUNCTION("""COMPUTED_VALUE"""),"K/47/040725/1")</f>
        <v>K/47/040725/1</v>
      </c>
      <c r="E2940" s="14" t="str">
        <f>IFERROR(__xludf.DUMMYFUNCTION("""COMPUTED_VALUE"""),"Afriza (BT)")</f>
        <v>Afriza (BT)</v>
      </c>
      <c r="F2940" s="14" t="str">
        <f>IFERROR(__xludf.DUMMYFUNCTION("""COMPUTED_VALUE"""),"SELESAI (VIA PERMOHONAN)")</f>
        <v>SELESAI (VIA PERMOHONAN)</v>
      </c>
      <c r="G2940" s="17">
        <f>IFERROR(__xludf.DUMMYFUNCTION("""COMPUTED_VALUE"""),45848.680051539355)</f>
        <v>45848.68005</v>
      </c>
      <c r="H2940" s="14" t="str">
        <f>IFERROR(__xludf.DUMMYFUNCTION("""COMPUTED_VALUE"""),"Eci (SU)")</f>
        <v>Eci (SU)</v>
      </c>
      <c r="I2940" s="13" t="str">
        <f>IFERROR(__xludf.DUMMYFUNCTION("""COMPUTED_VALUE"""),"SELESAI (VIA PERMOHONAN)")</f>
        <v>SELESAI (VIA PERMOHONAN)</v>
      </c>
      <c r="J2940" s="17">
        <f>IFERROR(__xludf.DUMMYFUNCTION("""COMPUTED_VALUE"""),45849.49681328704)</f>
        <v>45849.49681</v>
      </c>
      <c r="K2940" s="13" t="str">
        <f>IFERROR(__xludf.DUMMYFUNCTION("""COMPUTED_VALUE"""),"Selesai")</f>
        <v>Selesai</v>
      </c>
      <c r="L2940" s="17">
        <f>IFERROR(__xludf.DUMMYFUNCTION("""COMPUTED_VALUE"""),45849.49681328704)</f>
        <v>45849.49681</v>
      </c>
      <c r="M2940" s="13"/>
      <c r="N2940" s="13" t="str">
        <f>IFERROR(__xludf.DUMMYFUNCTION("""COMPUTED_VALUE"""),"")</f>
        <v/>
      </c>
      <c r="O2940" s="13" t="str">
        <f t="shared" si="1"/>
        <v/>
      </c>
    </row>
    <row r="2941" ht="22.5" customHeight="1">
      <c r="B2941" s="13">
        <f>IFERROR(__xludf.DUMMYFUNCTION("""COMPUTED_VALUE"""),2936.0)</f>
        <v>2936</v>
      </c>
      <c r="C2941" s="13" t="str">
        <f>IFERROR(__xludf.DUMMYFUNCTION("""COMPUTED_VALUE"""),"M. 4498/ Keteguhan")</f>
        <v>M. 4498/ Keteguhan</v>
      </c>
      <c r="D2941" s="13" t="str">
        <f>IFERROR(__xludf.DUMMYFUNCTION("""COMPUTED_VALUE"""),"K/37/180625/2")</f>
        <v>K/37/180625/2</v>
      </c>
      <c r="E2941" s="14" t="str">
        <f>IFERROR(__xludf.DUMMYFUNCTION("""COMPUTED_VALUE"""),"Afriza (BT)")</f>
        <v>Afriza (BT)</v>
      </c>
      <c r="F2941" s="14" t="str">
        <f>IFERROR(__xludf.DUMMYFUNCTION("""COMPUTED_VALUE"""),"SELESAI (VIA PERMOHONAN)")</f>
        <v>SELESAI (VIA PERMOHONAN)</v>
      </c>
      <c r="G2941" s="17">
        <f>IFERROR(__xludf.DUMMYFUNCTION("""COMPUTED_VALUE"""),45848.68050740741)</f>
        <v>45848.68051</v>
      </c>
      <c r="H2941" s="14" t="str">
        <f>IFERROR(__xludf.DUMMYFUNCTION("""COMPUTED_VALUE"""),"Eci (SU)")</f>
        <v>Eci (SU)</v>
      </c>
      <c r="I2941" s="13" t="str">
        <f>IFERROR(__xludf.DUMMYFUNCTION("""COMPUTED_VALUE"""),"SELESAI (VIA PERMOHONAN)")</f>
        <v>SELESAI (VIA PERMOHONAN)</v>
      </c>
      <c r="J2941" s="17">
        <f>IFERROR(__xludf.DUMMYFUNCTION("""COMPUTED_VALUE"""),45849.49714649306)</f>
        <v>45849.49715</v>
      </c>
      <c r="K2941" s="13" t="str">
        <f>IFERROR(__xludf.DUMMYFUNCTION("""COMPUTED_VALUE"""),"Selesai")</f>
        <v>Selesai</v>
      </c>
      <c r="L2941" s="17">
        <f>IFERROR(__xludf.DUMMYFUNCTION("""COMPUTED_VALUE"""),45849.49714649306)</f>
        <v>45849.49715</v>
      </c>
      <c r="M2941" s="13"/>
      <c r="N2941" s="13" t="str">
        <f>IFERROR(__xludf.DUMMYFUNCTION("""COMPUTED_VALUE"""),"")</f>
        <v/>
      </c>
      <c r="O2941" s="13" t="str">
        <f t="shared" si="1"/>
        <v/>
      </c>
    </row>
    <row r="2942" ht="22.5" customHeight="1">
      <c r="B2942" s="13">
        <f>IFERROR(__xludf.DUMMYFUNCTION("""COMPUTED_VALUE"""),2937.0)</f>
        <v>2937</v>
      </c>
      <c r="C2942" s="13" t="str">
        <f>IFERROR(__xludf.DUMMYFUNCTION("""COMPUTED_VALUE"""),"M. 3197/ Labuhan Dalam")</f>
        <v>M. 3197/ Labuhan Dalam</v>
      </c>
      <c r="D2942" s="13" t="str">
        <f>IFERROR(__xludf.DUMMYFUNCTION("""COMPUTED_VALUE"""),"K/7/250625/1")</f>
        <v>K/7/250625/1</v>
      </c>
      <c r="E2942" s="14" t="str">
        <f>IFERROR(__xludf.DUMMYFUNCTION("""COMPUTED_VALUE"""),"Afriza (BT)")</f>
        <v>Afriza (BT)</v>
      </c>
      <c r="F2942" s="14" t="str">
        <f>IFERROR(__xludf.DUMMYFUNCTION("""COMPUTED_VALUE"""),"SELESAI (VIA PERMOHONAN)")</f>
        <v>SELESAI (VIA PERMOHONAN)</v>
      </c>
      <c r="G2942" s="17">
        <f>IFERROR(__xludf.DUMMYFUNCTION("""COMPUTED_VALUE"""),45848.68082688657)</f>
        <v>45848.68083</v>
      </c>
      <c r="H2942" s="14" t="str">
        <f>IFERROR(__xludf.DUMMYFUNCTION("""COMPUTED_VALUE"""),"Eci (SU)")</f>
        <v>Eci (SU)</v>
      </c>
      <c r="I2942" s="13" t="str">
        <f>IFERROR(__xludf.DUMMYFUNCTION("""COMPUTED_VALUE"""),"SELESAI (VIA PERMOHONAN)")</f>
        <v>SELESAI (VIA PERMOHONAN)</v>
      </c>
      <c r="J2942" s="17">
        <f>IFERROR(__xludf.DUMMYFUNCTION("""COMPUTED_VALUE"""),45849.49633336806)</f>
        <v>45849.49633</v>
      </c>
      <c r="K2942" s="13" t="str">
        <f>IFERROR(__xludf.DUMMYFUNCTION("""COMPUTED_VALUE"""),"Selesai")</f>
        <v>Selesai</v>
      </c>
      <c r="L2942" s="17">
        <f>IFERROR(__xludf.DUMMYFUNCTION("""COMPUTED_VALUE"""),45849.49633336806)</f>
        <v>45849.49633</v>
      </c>
      <c r="M2942" s="13"/>
      <c r="N2942" s="13" t="str">
        <f>IFERROR(__xludf.DUMMYFUNCTION("""COMPUTED_VALUE"""),"")</f>
        <v/>
      </c>
      <c r="O2942" s="13" t="str">
        <f t="shared" si="1"/>
        <v/>
      </c>
    </row>
    <row r="2943" ht="22.5" customHeight="1">
      <c r="B2943" s="13">
        <f>IFERROR(__xludf.DUMMYFUNCTION("""COMPUTED_VALUE"""),2938.0)</f>
        <v>2938</v>
      </c>
      <c r="C2943" s="13" t="str">
        <f>IFERROR(__xludf.DUMMYFUNCTION("""COMPUTED_VALUE"""),"M. 12622/ Tanjung Baru")</f>
        <v>M. 12622/ Tanjung Baru</v>
      </c>
      <c r="D2943" s="13" t="str">
        <f>IFERROR(__xludf.DUMMYFUNCTION("""COMPUTED_VALUE"""),"K/34/260525/5")</f>
        <v>K/34/260525/5</v>
      </c>
      <c r="E2943" s="14" t="str">
        <f>IFERROR(__xludf.DUMMYFUNCTION("""COMPUTED_VALUE"""),"Afriza (BT)")</f>
        <v>Afriza (BT)</v>
      </c>
      <c r="F2943" s="14" t="str">
        <f>IFERROR(__xludf.DUMMYFUNCTION("""COMPUTED_VALUE"""),"SELESAI (VIA PERMOHONAN)")</f>
        <v>SELESAI (VIA PERMOHONAN)</v>
      </c>
      <c r="G2943" s="17">
        <f>IFERROR(__xludf.DUMMYFUNCTION("""COMPUTED_VALUE"""),45848.68105434028)</f>
        <v>45848.68105</v>
      </c>
      <c r="H2943" s="14" t="str">
        <f>IFERROR(__xludf.DUMMYFUNCTION("""COMPUTED_VALUE"""),"Eci (SU)")</f>
        <v>Eci (SU)</v>
      </c>
      <c r="I2943" s="13" t="str">
        <f>IFERROR(__xludf.DUMMYFUNCTION("""COMPUTED_VALUE"""),"SELESAI (VIA PERMOHONAN)")</f>
        <v>SELESAI (VIA PERMOHONAN)</v>
      </c>
      <c r="J2943" s="17">
        <f>IFERROR(__xludf.DUMMYFUNCTION("""COMPUTED_VALUE"""),45849.49396875)</f>
        <v>45849.49397</v>
      </c>
      <c r="K2943" s="13" t="str">
        <f>IFERROR(__xludf.DUMMYFUNCTION("""COMPUTED_VALUE"""),"Selesai")</f>
        <v>Selesai</v>
      </c>
      <c r="L2943" s="17">
        <f>IFERROR(__xludf.DUMMYFUNCTION("""COMPUTED_VALUE"""),45849.49396875)</f>
        <v>45849.49397</v>
      </c>
      <c r="M2943" s="13"/>
      <c r="N2943" s="13" t="str">
        <f>IFERROR(__xludf.DUMMYFUNCTION("""COMPUTED_VALUE"""),"")</f>
        <v/>
      </c>
      <c r="O2943" s="13" t="str">
        <f t="shared" si="1"/>
        <v/>
      </c>
    </row>
    <row r="2944" ht="22.5" customHeight="1">
      <c r="B2944" s="13">
        <f>IFERROR(__xludf.DUMMYFUNCTION("""COMPUTED_VALUE"""),2939.0)</f>
        <v>2939</v>
      </c>
      <c r="C2944" s="13" t="str">
        <f>IFERROR(__xludf.DUMMYFUNCTION("""COMPUTED_VALUE"""),"M. 14428/ Sukabumi")</f>
        <v>M. 14428/ Sukabumi</v>
      </c>
      <c r="D2944" s="13" t="str">
        <f>IFERROR(__xludf.DUMMYFUNCTION("""COMPUTED_VALUE"""),"K/2/110625/2")</f>
        <v>K/2/110625/2</v>
      </c>
      <c r="E2944" s="14" t="str">
        <f>IFERROR(__xludf.DUMMYFUNCTION("""COMPUTED_VALUE"""),"Afriza (BT)")</f>
        <v>Afriza (BT)</v>
      </c>
      <c r="F2944" s="14" t="str">
        <f>IFERROR(__xludf.DUMMYFUNCTION("""COMPUTED_VALUE"""),"SELESAI (VIA PERMOHONAN)")</f>
        <v>SELESAI (VIA PERMOHONAN)</v>
      </c>
      <c r="G2944" s="17">
        <f>IFERROR(__xludf.DUMMYFUNCTION("""COMPUTED_VALUE"""),45848.68226354167)</f>
        <v>45848.68226</v>
      </c>
      <c r="H2944" s="14" t="str">
        <f>IFERROR(__xludf.DUMMYFUNCTION("""COMPUTED_VALUE"""),"Eci (SU)")</f>
        <v>Eci (SU)</v>
      </c>
      <c r="I2944" s="13" t="str">
        <f>IFERROR(__xludf.DUMMYFUNCTION("""COMPUTED_VALUE"""),"SELESAI (VIA PERMOHONAN)")</f>
        <v>SELESAI (VIA PERMOHONAN)</v>
      </c>
      <c r="J2944" s="17">
        <f>IFERROR(__xludf.DUMMYFUNCTION("""COMPUTED_VALUE"""),45849.49527453704)</f>
        <v>45849.49527</v>
      </c>
      <c r="K2944" s="13" t="str">
        <f>IFERROR(__xludf.DUMMYFUNCTION("""COMPUTED_VALUE"""),"Selesai")</f>
        <v>Selesai</v>
      </c>
      <c r="L2944" s="17">
        <f>IFERROR(__xludf.DUMMYFUNCTION("""COMPUTED_VALUE"""),45849.49527453704)</f>
        <v>45849.49527</v>
      </c>
      <c r="M2944" s="13"/>
      <c r="N2944" s="13" t="str">
        <f>IFERROR(__xludf.DUMMYFUNCTION("""COMPUTED_VALUE"""),"")</f>
        <v/>
      </c>
      <c r="O2944" s="13" t="str">
        <f t="shared" si="1"/>
        <v/>
      </c>
    </row>
    <row r="2945" ht="22.5" customHeight="1">
      <c r="B2945" s="13">
        <f>IFERROR(__xludf.DUMMYFUNCTION("""COMPUTED_VALUE"""),2940.0)</f>
        <v>2940</v>
      </c>
      <c r="C2945" s="13" t="str">
        <f>IFERROR(__xludf.DUMMYFUNCTION("""COMPUTED_VALUE"""),"M. 1369/ Bumi Raya")</f>
        <v>M. 1369/ Bumi Raya</v>
      </c>
      <c r="D2945" s="13" t="str">
        <f>IFERROR(__xludf.DUMMYFUNCTION("""COMPUTED_VALUE"""),"K/48/240625/2")</f>
        <v>K/48/240625/2</v>
      </c>
      <c r="E2945" s="14" t="str">
        <f>IFERROR(__xludf.DUMMYFUNCTION("""COMPUTED_VALUE"""),"Afriza (BT)")</f>
        <v>Afriza (BT)</v>
      </c>
      <c r="F2945" s="14" t="str">
        <f>IFERROR(__xludf.DUMMYFUNCTION("""COMPUTED_VALUE"""),"SELESAI (VIA PERMOHONAN)")</f>
        <v>SELESAI (VIA PERMOHONAN)</v>
      </c>
      <c r="G2945" s="17">
        <f>IFERROR(__xludf.DUMMYFUNCTION("""COMPUTED_VALUE"""),45848.68322854167)</f>
        <v>45848.68323</v>
      </c>
      <c r="H2945" s="14" t="str">
        <f>IFERROR(__xludf.DUMMYFUNCTION("""COMPUTED_VALUE"""),"Eci (SU)")</f>
        <v>Eci (SU)</v>
      </c>
      <c r="I2945" s="13" t="str">
        <f>IFERROR(__xludf.DUMMYFUNCTION("""COMPUTED_VALUE"""),"SELESAI (VIA PERMOHONAN)")</f>
        <v>SELESAI (VIA PERMOHONAN)</v>
      </c>
      <c r="J2945" s="17">
        <f>IFERROR(__xludf.DUMMYFUNCTION("""COMPUTED_VALUE"""),45849.49417222222)</f>
        <v>45849.49417</v>
      </c>
      <c r="K2945" s="13" t="str">
        <f>IFERROR(__xludf.DUMMYFUNCTION("""COMPUTED_VALUE"""),"Selesai")</f>
        <v>Selesai</v>
      </c>
      <c r="L2945" s="17">
        <f>IFERROR(__xludf.DUMMYFUNCTION("""COMPUTED_VALUE"""),45849.49417222222)</f>
        <v>45849.49417</v>
      </c>
      <c r="M2945" s="13"/>
      <c r="N2945" s="13" t="str">
        <f>IFERROR(__xludf.DUMMYFUNCTION("""COMPUTED_VALUE"""),"")</f>
        <v/>
      </c>
      <c r="O2945" s="13" t="str">
        <f t="shared" si="1"/>
        <v/>
      </c>
    </row>
    <row r="2946" ht="22.5" customHeight="1">
      <c r="B2946" s="13">
        <f>IFERROR(__xludf.DUMMYFUNCTION("""COMPUTED_VALUE"""),2941.0)</f>
        <v>2941</v>
      </c>
      <c r="C2946" s="13" t="str">
        <f>IFERROR(__xludf.DUMMYFUNCTION("""COMPUTED_VALUE"""),"M.2274/RAJABASA RAYA")</f>
        <v>M.2274/RAJABASA RAYA</v>
      </c>
      <c r="D2946" s="13" t="str">
        <f>IFERROR(__xludf.DUMMYFUNCTION("""COMPUTED_VALUE"""),"K/17/280525/2")</f>
        <v>K/17/280525/2</v>
      </c>
      <c r="E2946" s="14" t="str">
        <f>IFERROR(__xludf.DUMMYFUNCTION("""COMPUTED_VALUE"""),"Afriza (BT)")</f>
        <v>Afriza (BT)</v>
      </c>
      <c r="F2946" s="14" t="str">
        <f>IFERROR(__xludf.DUMMYFUNCTION("""COMPUTED_VALUE"""),"SELESAI (VIA PERMOHONAN)")</f>
        <v>SELESAI (VIA PERMOHONAN)</v>
      </c>
      <c r="G2946" s="17">
        <f>IFERROR(__xludf.DUMMYFUNCTION("""COMPUTED_VALUE"""),45848.68620810185)</f>
        <v>45848.68621</v>
      </c>
      <c r="H2946" s="14" t="str">
        <f>IFERROR(__xludf.DUMMYFUNCTION("""COMPUTED_VALUE"""),"Eci (SU)")</f>
        <v>Eci (SU)</v>
      </c>
      <c r="I2946" s="13" t="str">
        <f>IFERROR(__xludf.DUMMYFUNCTION("""COMPUTED_VALUE"""),"SELESAI (VIA PERMOHONAN)")</f>
        <v>SELESAI (VIA PERMOHONAN)</v>
      </c>
      <c r="J2946" s="17">
        <f>IFERROR(__xludf.DUMMYFUNCTION("""COMPUTED_VALUE"""),45849.496214583334)</f>
        <v>45849.49621</v>
      </c>
      <c r="K2946" s="13" t="str">
        <f>IFERROR(__xludf.DUMMYFUNCTION("""COMPUTED_VALUE"""),"Selesai")</f>
        <v>Selesai</v>
      </c>
      <c r="L2946" s="17">
        <f>IFERROR(__xludf.DUMMYFUNCTION("""COMPUTED_VALUE"""),45849.496214583334)</f>
        <v>45849.49621</v>
      </c>
      <c r="M2946" s="13"/>
      <c r="N2946" s="13" t="str">
        <f>IFERROR(__xludf.DUMMYFUNCTION("""COMPUTED_VALUE"""),"")</f>
        <v/>
      </c>
      <c r="O2946" s="13" t="str">
        <f t="shared" si="1"/>
        <v/>
      </c>
    </row>
    <row r="2947" ht="22.5" customHeight="1">
      <c r="B2947" s="13">
        <f>IFERROR(__xludf.DUMMYFUNCTION("""COMPUTED_VALUE"""),2942.0)</f>
        <v>2942</v>
      </c>
      <c r="C2947" s="13" t="str">
        <f>IFERROR(__xludf.DUMMYFUNCTION("""COMPUTED_VALUE"""),"M.3528/BERINGIN RAYA")</f>
        <v>M.3528/BERINGIN RAYA</v>
      </c>
      <c r="D2947" s="13" t="str">
        <f>IFERROR(__xludf.DUMMYFUNCTION("""COMPUTED_VALUE"""),"K/14/190625/1")</f>
        <v>K/14/190625/1</v>
      </c>
      <c r="E2947" s="14" t="str">
        <f>IFERROR(__xludf.DUMMYFUNCTION("""COMPUTED_VALUE"""),"Afriza (BT)")</f>
        <v>Afriza (BT)</v>
      </c>
      <c r="F2947" s="14" t="str">
        <f>IFERROR(__xludf.DUMMYFUNCTION("""COMPUTED_VALUE"""),"SELESAI (VIA PERMOHONAN)")</f>
        <v>SELESAI (VIA PERMOHONAN)</v>
      </c>
      <c r="G2947" s="17">
        <f>IFERROR(__xludf.DUMMYFUNCTION("""COMPUTED_VALUE"""),45848.68635564815)</f>
        <v>45848.68636</v>
      </c>
      <c r="H2947" s="14" t="str">
        <f>IFERROR(__xludf.DUMMYFUNCTION("""COMPUTED_VALUE"""),"Eci (SU)")</f>
        <v>Eci (SU)</v>
      </c>
      <c r="I2947" s="13" t="str">
        <f>IFERROR(__xludf.DUMMYFUNCTION("""COMPUTED_VALUE"""),"SELESAI (VIA PERMOHONAN)")</f>
        <v>SELESAI (VIA PERMOHONAN)</v>
      </c>
      <c r="J2947" s="17">
        <f>IFERROR(__xludf.DUMMYFUNCTION("""COMPUTED_VALUE"""),45849.496118854164)</f>
        <v>45849.49612</v>
      </c>
      <c r="K2947" s="13" t="str">
        <f>IFERROR(__xludf.DUMMYFUNCTION("""COMPUTED_VALUE"""),"Selesai")</f>
        <v>Selesai</v>
      </c>
      <c r="L2947" s="17">
        <f>IFERROR(__xludf.DUMMYFUNCTION("""COMPUTED_VALUE"""),45849.496118854164)</f>
        <v>45849.49612</v>
      </c>
      <c r="M2947" s="13"/>
      <c r="N2947" s="13" t="str">
        <f>IFERROR(__xludf.DUMMYFUNCTION("""COMPUTED_VALUE"""),"")</f>
        <v/>
      </c>
      <c r="O2947" s="13" t="str">
        <f t="shared" si="1"/>
        <v/>
      </c>
    </row>
    <row r="2948" ht="22.5" customHeight="1">
      <c r="B2948" s="13">
        <f>IFERROR(__xludf.DUMMYFUNCTION("""COMPUTED_VALUE"""),2943.0)</f>
        <v>2943</v>
      </c>
      <c r="C2948" s="13" t="str">
        <f>IFERROR(__xludf.DUMMYFUNCTION("""COMPUTED_VALUE"""),"B.906/SUKARAME BARU")</f>
        <v>B.906/SUKARAME BARU</v>
      </c>
      <c r="D2948" s="13" t="str">
        <f>IFERROR(__xludf.DUMMYFUNCTION("""COMPUTED_VALUE"""),"K/29/260625/1")</f>
        <v>K/29/260625/1</v>
      </c>
      <c r="E2948" s="14" t="str">
        <f>IFERROR(__xludf.DUMMYFUNCTION("""COMPUTED_VALUE"""),"Afriza (BT)")</f>
        <v>Afriza (BT)</v>
      </c>
      <c r="F2948" s="14" t="str">
        <f>IFERROR(__xludf.DUMMYFUNCTION("""COMPUTED_VALUE"""),"SELESAI (VIA PERMOHONAN)")</f>
        <v>SELESAI (VIA PERMOHONAN)</v>
      </c>
      <c r="G2948" s="17">
        <f>IFERROR(__xludf.DUMMYFUNCTION("""COMPUTED_VALUE"""),45848.68662738426)</f>
        <v>45848.68663</v>
      </c>
      <c r="H2948" s="14" t="str">
        <f>IFERROR(__xludf.DUMMYFUNCTION("""COMPUTED_VALUE"""),"Eci (SU)")</f>
        <v>Eci (SU)</v>
      </c>
      <c r="I2948" s="13" t="str">
        <f>IFERROR(__xludf.DUMMYFUNCTION("""COMPUTED_VALUE"""),"SELESAI (VIA PERMOHONAN)")</f>
        <v>SELESAI (VIA PERMOHONAN)</v>
      </c>
      <c r="J2948" s="17">
        <f>IFERROR(__xludf.DUMMYFUNCTION("""COMPUTED_VALUE"""),45849.592761886575)</f>
        <v>45849.59276</v>
      </c>
      <c r="K2948" s="13" t="str">
        <f>IFERROR(__xludf.DUMMYFUNCTION("""COMPUTED_VALUE"""),"Selesai")</f>
        <v>Selesai</v>
      </c>
      <c r="L2948" s="17">
        <f>IFERROR(__xludf.DUMMYFUNCTION("""COMPUTED_VALUE"""),45849.592761886575)</f>
        <v>45849.59276</v>
      </c>
      <c r="M2948" s="13"/>
      <c r="N2948" s="13" t="str">
        <f>IFERROR(__xludf.DUMMYFUNCTION("""COMPUTED_VALUE"""),"")</f>
        <v/>
      </c>
      <c r="O2948" s="13" t="str">
        <f t="shared" si="1"/>
        <v/>
      </c>
    </row>
    <row r="2949" ht="22.5" customHeight="1">
      <c r="B2949" s="13">
        <f>IFERROR(__xludf.DUMMYFUNCTION("""COMPUTED_VALUE"""),2944.0)</f>
        <v>2944</v>
      </c>
      <c r="C2949" s="13" t="str">
        <f>IFERROR(__xludf.DUMMYFUNCTION("""COMPUTED_VALUE"""),"M. 459/ Sukabumi Indah")</f>
        <v>M. 459/ Sukabumi Indah</v>
      </c>
      <c r="D2949" s="13" t="str">
        <f>IFERROR(__xludf.DUMMYFUNCTION("""COMPUTED_VALUE"""),"K/18/240625/1")</f>
        <v>K/18/240625/1</v>
      </c>
      <c r="E2949" s="14" t="str">
        <f>IFERROR(__xludf.DUMMYFUNCTION("""COMPUTED_VALUE"""),"Afriza (BT)")</f>
        <v>Afriza (BT)</v>
      </c>
      <c r="F2949" s="14" t="str">
        <f>IFERROR(__xludf.DUMMYFUNCTION("""COMPUTED_VALUE"""),"SELESAI (VIA PERMOHONAN)")</f>
        <v>SELESAI (VIA PERMOHONAN)</v>
      </c>
      <c r="G2949" s="17">
        <f>IFERROR(__xludf.DUMMYFUNCTION("""COMPUTED_VALUE"""),45848.68800368055)</f>
        <v>45848.688</v>
      </c>
      <c r="H2949" s="14" t="str">
        <f>IFERROR(__xludf.DUMMYFUNCTION("""COMPUTED_VALUE"""),"Eci (SU)")</f>
        <v>Eci (SU)</v>
      </c>
      <c r="I2949" s="13" t="str">
        <f>IFERROR(__xludf.DUMMYFUNCTION("""COMPUTED_VALUE"""),"SELESAI (VIA PERMOHONAN)")</f>
        <v>SELESAI (VIA PERMOHONAN)</v>
      </c>
      <c r="J2949" s="17">
        <f>IFERROR(__xludf.DUMMYFUNCTION("""COMPUTED_VALUE"""),45849.49595575231)</f>
        <v>45849.49596</v>
      </c>
      <c r="K2949" s="13" t="str">
        <f>IFERROR(__xludf.DUMMYFUNCTION("""COMPUTED_VALUE"""),"Selesai")</f>
        <v>Selesai</v>
      </c>
      <c r="L2949" s="17">
        <f>IFERROR(__xludf.DUMMYFUNCTION("""COMPUTED_VALUE"""),45849.49595575231)</f>
        <v>45849.49596</v>
      </c>
      <c r="M2949" s="13"/>
      <c r="N2949" s="13" t="str">
        <f>IFERROR(__xludf.DUMMYFUNCTION("""COMPUTED_VALUE"""),"")</f>
        <v/>
      </c>
      <c r="O2949" s="13" t="str">
        <f t="shared" si="1"/>
        <v/>
      </c>
    </row>
    <row r="2950" ht="22.5" customHeight="1">
      <c r="B2950" s="13">
        <f>IFERROR(__xludf.DUMMYFUNCTION("""COMPUTED_VALUE"""),2945.0)</f>
        <v>2945</v>
      </c>
      <c r="C2950" s="13" t="str">
        <f>IFERROR(__xludf.DUMMYFUNCTION("""COMPUTED_VALUE"""),"M.1090/RAJABASA NUNYAI")</f>
        <v>M.1090/RAJABASA NUNYAI</v>
      </c>
      <c r="D2950" s="13" t="str">
        <f>IFERROR(__xludf.DUMMYFUNCTION("""COMPUTED_VALUE"""),"K/39/150525/1")</f>
        <v>K/39/150525/1</v>
      </c>
      <c r="E2950" s="14" t="str">
        <f>IFERROR(__xludf.DUMMYFUNCTION("""COMPUTED_VALUE"""),"Afriza (BT)")</f>
        <v>Afriza (BT)</v>
      </c>
      <c r="F2950" s="14" t="str">
        <f>IFERROR(__xludf.DUMMYFUNCTION("""COMPUTED_VALUE"""),"SELESAI (VIA PERMOHONAN)")</f>
        <v>SELESAI (VIA PERMOHONAN)</v>
      </c>
      <c r="G2950" s="17">
        <f>IFERROR(__xludf.DUMMYFUNCTION("""COMPUTED_VALUE"""),45848.68820967592)</f>
        <v>45848.68821</v>
      </c>
      <c r="H2950" s="14" t="str">
        <f>IFERROR(__xludf.DUMMYFUNCTION("""COMPUTED_VALUE"""),"Eci (SU)")</f>
        <v>Eci (SU)</v>
      </c>
      <c r="I2950" s="13" t="str">
        <f>IFERROR(__xludf.DUMMYFUNCTION("""COMPUTED_VALUE"""),"SELESAI (VIA PERMOHONAN)")</f>
        <v>SELESAI (VIA PERMOHONAN)</v>
      </c>
      <c r="J2950" s="17">
        <f>IFERROR(__xludf.DUMMYFUNCTION("""COMPUTED_VALUE"""),45849.49794946759)</f>
        <v>45849.49795</v>
      </c>
      <c r="K2950" s="13" t="str">
        <f>IFERROR(__xludf.DUMMYFUNCTION("""COMPUTED_VALUE"""),"Selesai")</f>
        <v>Selesai</v>
      </c>
      <c r="L2950" s="17">
        <f>IFERROR(__xludf.DUMMYFUNCTION("""COMPUTED_VALUE"""),45849.49794946759)</f>
        <v>45849.49795</v>
      </c>
      <c r="M2950" s="13"/>
      <c r="N2950" s="13" t="str">
        <f>IFERROR(__xludf.DUMMYFUNCTION("""COMPUTED_VALUE"""),"")</f>
        <v/>
      </c>
      <c r="O2950" s="13" t="str">
        <f t="shared" si="1"/>
        <v/>
      </c>
    </row>
    <row r="2951" ht="22.5" customHeight="1">
      <c r="B2951" s="13">
        <f>IFERROR(__xludf.DUMMYFUNCTION("""COMPUTED_VALUE"""),2946.0)</f>
        <v>2946</v>
      </c>
      <c r="C2951" s="13" t="str">
        <f>IFERROR(__xludf.DUMMYFUNCTION("""COMPUTED_VALUE"""),"M.1068/TANJUNGKARANG")</f>
        <v>M.1068/TANJUNGKARANG</v>
      </c>
      <c r="D2951" s="13" t="str">
        <f>IFERROR(__xludf.DUMMYFUNCTION("""COMPUTED_VALUE"""),"K/10/080725/1")</f>
        <v>K/10/080725/1</v>
      </c>
      <c r="E2951" s="14" t="str">
        <f>IFERROR(__xludf.DUMMYFUNCTION("""COMPUTED_VALUE"""),"Heri (BT)")</f>
        <v>Heri (BT)</v>
      </c>
      <c r="F2951" s="14" t="str">
        <f>IFERROR(__xludf.DUMMYFUNCTION("""COMPUTED_VALUE"""),"SELESAI (VIA PERMOHONAN)")</f>
        <v>SELESAI (VIA PERMOHONAN)</v>
      </c>
      <c r="G2951" s="17">
        <f>IFERROR(__xludf.DUMMYFUNCTION("""COMPUTED_VALUE"""),45849.38797098379)</f>
        <v>45849.38797</v>
      </c>
      <c r="H2951" s="14" t="str">
        <f>IFERROR(__xludf.DUMMYFUNCTION("""COMPUTED_VALUE"""),"Eci (SU)")</f>
        <v>Eci (SU)</v>
      </c>
      <c r="I2951" s="13" t="str">
        <f>IFERROR(__xludf.DUMMYFUNCTION("""COMPUTED_VALUE"""),"SELESAI (VIA PERMOHONAN)")</f>
        <v>SELESAI (VIA PERMOHONAN)</v>
      </c>
      <c r="J2951" s="17">
        <f>IFERROR(__xludf.DUMMYFUNCTION("""COMPUTED_VALUE"""),45849.64139133102)</f>
        <v>45849.64139</v>
      </c>
      <c r="K2951" s="13" t="str">
        <f>IFERROR(__xludf.DUMMYFUNCTION("""COMPUTED_VALUE"""),"Selesai")</f>
        <v>Selesai</v>
      </c>
      <c r="L2951" s="17">
        <f>IFERROR(__xludf.DUMMYFUNCTION("""COMPUTED_VALUE"""),45849.64139133102)</f>
        <v>45849.64139</v>
      </c>
      <c r="M2951" s="13"/>
      <c r="N2951" s="13" t="str">
        <f>IFERROR(__xludf.DUMMYFUNCTION("""COMPUTED_VALUE"""),"")</f>
        <v/>
      </c>
      <c r="O2951" s="13" t="str">
        <f t="shared" si="1"/>
        <v/>
      </c>
    </row>
    <row r="2952" ht="22.5" customHeight="1">
      <c r="B2952" s="13">
        <f>IFERROR(__xludf.DUMMYFUNCTION("""COMPUTED_VALUE"""),2947.0)</f>
        <v>2947</v>
      </c>
      <c r="C2952" s="13" t="str">
        <f>IFERROR(__xludf.DUMMYFUNCTION("""COMPUTED_VALUE"""),"HM 11570/SEGALA MIDER")</f>
        <v>HM 11570/SEGALA MIDER</v>
      </c>
      <c r="D2952" s="13" t="str">
        <f>IFERROR(__xludf.DUMMYFUNCTION("""COMPUTED_VALUE"""),"L/23/240625/1")</f>
        <v>L/23/240625/1</v>
      </c>
      <c r="E2952" s="14" t="str">
        <f>IFERROR(__xludf.DUMMYFUNCTION("""COMPUTED_VALUE"""),"Heri (BT)")</f>
        <v>Heri (BT)</v>
      </c>
      <c r="F2952" s="14" t="str">
        <f>IFERROR(__xludf.DUMMYFUNCTION("""COMPUTED_VALUE"""),"SELESAI (VIA PERMOHONAN)")</f>
        <v>SELESAI (VIA PERMOHONAN)</v>
      </c>
      <c r="G2952" s="17">
        <f>IFERROR(__xludf.DUMMYFUNCTION("""COMPUTED_VALUE"""),45849.3889700463)</f>
        <v>45849.38897</v>
      </c>
      <c r="H2952" s="14" t="str">
        <f>IFERROR(__xludf.DUMMYFUNCTION("""COMPUTED_VALUE"""),"Eci (SU)")</f>
        <v>Eci (SU)</v>
      </c>
      <c r="I2952" s="13" t="str">
        <f>IFERROR(__xludf.DUMMYFUNCTION("""COMPUTED_VALUE"""),"SELESAI (VIA PERMOHONAN)")</f>
        <v>SELESAI (VIA PERMOHONAN)</v>
      </c>
      <c r="J2952" s="17">
        <f>IFERROR(__xludf.DUMMYFUNCTION("""COMPUTED_VALUE"""),45849.64121253473)</f>
        <v>45849.64121</v>
      </c>
      <c r="K2952" s="13" t="str">
        <f>IFERROR(__xludf.DUMMYFUNCTION("""COMPUTED_VALUE"""),"Selesai")</f>
        <v>Selesai</v>
      </c>
      <c r="L2952" s="17">
        <f>IFERROR(__xludf.DUMMYFUNCTION("""COMPUTED_VALUE"""),45849.64121253473)</f>
        <v>45849.64121</v>
      </c>
      <c r="M2952" s="13"/>
      <c r="N2952" s="13" t="str">
        <f>IFERROR(__xludf.DUMMYFUNCTION("""COMPUTED_VALUE"""),"")</f>
        <v/>
      </c>
      <c r="O2952" s="13" t="str">
        <f t="shared" si="1"/>
        <v/>
      </c>
    </row>
    <row r="2953" ht="22.5" customHeight="1">
      <c r="B2953" s="13">
        <f>IFERROR(__xludf.DUMMYFUNCTION("""COMPUTED_VALUE"""),2948.0)</f>
        <v>2948</v>
      </c>
      <c r="C2953" s="13" t="str">
        <f>IFERROR(__xludf.DUMMYFUNCTION("""COMPUTED_VALUE"""),"M. 197/ Negeri Olok Gading")</f>
        <v>M. 197/ Negeri Olok Gading</v>
      </c>
      <c r="D2953" s="13" t="str">
        <f>IFERROR(__xludf.DUMMYFUNCTION("""COMPUTED_VALUE"""),"K/8/170625/1")</f>
        <v>K/8/170625/1</v>
      </c>
      <c r="E2953" s="14" t="str">
        <f>IFERROR(__xludf.DUMMYFUNCTION("""COMPUTED_VALUE"""),"Heri (BT)")</f>
        <v>Heri (BT)</v>
      </c>
      <c r="F2953" s="14" t="str">
        <f>IFERROR(__xludf.DUMMYFUNCTION("""COMPUTED_VALUE"""),"SELESAI (VIA PERMOHONAN)")</f>
        <v>SELESAI (VIA PERMOHONAN)</v>
      </c>
      <c r="G2953" s="17">
        <f>IFERROR(__xludf.DUMMYFUNCTION("""COMPUTED_VALUE"""),45849.38913476852)</f>
        <v>45849.38913</v>
      </c>
      <c r="H2953" s="14" t="str">
        <f>IFERROR(__xludf.DUMMYFUNCTION("""COMPUTED_VALUE"""),"Eci (SU)")</f>
        <v>Eci (SU)</v>
      </c>
      <c r="I2953" s="13" t="str">
        <f>IFERROR(__xludf.DUMMYFUNCTION("""COMPUTED_VALUE"""),"SELESAI (VIA PERMOHONAN)")</f>
        <v>SELESAI (VIA PERMOHONAN)</v>
      </c>
      <c r="J2953" s="17">
        <f>IFERROR(__xludf.DUMMYFUNCTION("""COMPUTED_VALUE"""),45849.641041979165)</f>
        <v>45849.64104</v>
      </c>
      <c r="K2953" s="13" t="str">
        <f>IFERROR(__xludf.DUMMYFUNCTION("""COMPUTED_VALUE"""),"Selesai")</f>
        <v>Selesai</v>
      </c>
      <c r="L2953" s="17">
        <f>IFERROR(__xludf.DUMMYFUNCTION("""COMPUTED_VALUE"""),45849.641041979165)</f>
        <v>45849.64104</v>
      </c>
      <c r="M2953" s="13"/>
      <c r="N2953" s="13" t="str">
        <f>IFERROR(__xludf.DUMMYFUNCTION("""COMPUTED_VALUE"""),"")</f>
        <v/>
      </c>
      <c r="O2953" s="13" t="str">
        <f t="shared" si="1"/>
        <v/>
      </c>
    </row>
    <row r="2954" ht="22.5" customHeight="1">
      <c r="B2954" s="13">
        <f>IFERROR(__xludf.DUMMYFUNCTION("""COMPUTED_VALUE"""),2949.0)</f>
        <v>2949</v>
      </c>
      <c r="C2954" s="13" t="str">
        <f>IFERROR(__xludf.DUMMYFUNCTION("""COMPUTED_VALUE"""),"M. 1128/ Keteguhan")</f>
        <v>M. 1128/ Keteguhan</v>
      </c>
      <c r="D2954" s="13" t="str">
        <f>IFERROR(__xludf.DUMMYFUNCTION("""COMPUTED_VALUE"""),"K/36/180625/1")</f>
        <v>K/36/180625/1</v>
      </c>
      <c r="E2954" s="14" t="str">
        <f>IFERROR(__xludf.DUMMYFUNCTION("""COMPUTED_VALUE"""),"Heri (BT)")</f>
        <v>Heri (BT)</v>
      </c>
      <c r="F2954" s="14" t="str">
        <f>IFERROR(__xludf.DUMMYFUNCTION("""COMPUTED_VALUE"""),"SELESAI (VIA PERMOHONAN)")</f>
        <v>SELESAI (VIA PERMOHONAN)</v>
      </c>
      <c r="G2954" s="17">
        <f>IFERROR(__xludf.DUMMYFUNCTION("""COMPUTED_VALUE"""),45849.389328206016)</f>
        <v>45849.38933</v>
      </c>
      <c r="H2954" s="14" t="str">
        <f>IFERROR(__xludf.DUMMYFUNCTION("""COMPUTED_VALUE"""),"Eci (SU)")</f>
        <v>Eci (SU)</v>
      </c>
      <c r="I2954" s="13" t="str">
        <f>IFERROR(__xludf.DUMMYFUNCTION("""COMPUTED_VALUE"""),"SELESAI (VIA PERMOHONAN)")</f>
        <v>SELESAI (VIA PERMOHONAN)</v>
      </c>
      <c r="J2954" s="17">
        <f>IFERROR(__xludf.DUMMYFUNCTION("""COMPUTED_VALUE"""),45849.640853414356)</f>
        <v>45849.64085</v>
      </c>
      <c r="K2954" s="13" t="str">
        <f>IFERROR(__xludf.DUMMYFUNCTION("""COMPUTED_VALUE"""),"Selesai")</f>
        <v>Selesai</v>
      </c>
      <c r="L2954" s="17">
        <f>IFERROR(__xludf.DUMMYFUNCTION("""COMPUTED_VALUE"""),45849.640853414356)</f>
        <v>45849.64085</v>
      </c>
      <c r="M2954" s="13"/>
      <c r="N2954" s="13" t="str">
        <f>IFERROR(__xludf.DUMMYFUNCTION("""COMPUTED_VALUE"""),"")</f>
        <v/>
      </c>
      <c r="O2954" s="13" t="str">
        <f t="shared" si="1"/>
        <v/>
      </c>
    </row>
    <row r="2955" ht="22.5" customHeight="1">
      <c r="B2955" s="13">
        <f>IFERROR(__xludf.DUMMYFUNCTION("""COMPUTED_VALUE"""),2950.0)</f>
        <v>2950</v>
      </c>
      <c r="C2955" s="13" t="str">
        <f>IFERROR(__xludf.DUMMYFUNCTION("""COMPUTED_VALUE"""),"M. 9937/ Jagabaya II")</f>
        <v>M. 9937/ Jagabaya II</v>
      </c>
      <c r="D2955" s="13" t="str">
        <f>IFERROR(__xludf.DUMMYFUNCTION("""COMPUTED_VALUE"""),"K/9/240625/1")</f>
        <v>K/9/240625/1</v>
      </c>
      <c r="E2955" s="14" t="str">
        <f>IFERROR(__xludf.DUMMYFUNCTION("""COMPUTED_VALUE"""),"Heri (BT)")</f>
        <v>Heri (BT)</v>
      </c>
      <c r="F2955" s="14" t="str">
        <f>IFERROR(__xludf.DUMMYFUNCTION("""COMPUTED_VALUE"""),"SELESAI (VIA PERMOHONAN)")</f>
        <v>SELESAI (VIA PERMOHONAN)</v>
      </c>
      <c r="G2955" s="17">
        <f>IFERROR(__xludf.DUMMYFUNCTION("""COMPUTED_VALUE"""),45849.38942765046)</f>
        <v>45849.38943</v>
      </c>
      <c r="H2955" s="14" t="str">
        <f>IFERROR(__xludf.DUMMYFUNCTION("""COMPUTED_VALUE"""),"Eci (SU)")</f>
        <v>Eci (SU)</v>
      </c>
      <c r="I2955" s="13" t="str">
        <f>IFERROR(__xludf.DUMMYFUNCTION("""COMPUTED_VALUE"""),"SELESAI (VIA PERMOHONAN)")</f>
        <v>SELESAI (VIA PERMOHONAN)</v>
      </c>
      <c r="J2955" s="17">
        <f>IFERROR(__xludf.DUMMYFUNCTION("""COMPUTED_VALUE"""),45849.64070082176)</f>
        <v>45849.6407</v>
      </c>
      <c r="K2955" s="13" t="str">
        <f>IFERROR(__xludf.DUMMYFUNCTION("""COMPUTED_VALUE"""),"Selesai")</f>
        <v>Selesai</v>
      </c>
      <c r="L2955" s="17">
        <f>IFERROR(__xludf.DUMMYFUNCTION("""COMPUTED_VALUE"""),45849.64070082176)</f>
        <v>45849.6407</v>
      </c>
      <c r="M2955" s="13"/>
      <c r="N2955" s="13" t="str">
        <f>IFERROR(__xludf.DUMMYFUNCTION("""COMPUTED_VALUE"""),"")</f>
        <v/>
      </c>
      <c r="O2955" s="13" t="str">
        <f t="shared" si="1"/>
        <v/>
      </c>
    </row>
    <row r="2956" ht="22.5" customHeight="1">
      <c r="B2956" s="13">
        <f>IFERROR(__xludf.DUMMYFUNCTION("""COMPUTED_VALUE"""),2951.0)</f>
        <v>2951</v>
      </c>
      <c r="C2956" s="13" t="str">
        <f>IFERROR(__xludf.DUMMYFUNCTION("""COMPUTED_VALUE"""),"M. 1390/ Gunung Sulah")</f>
        <v>M. 1390/ Gunung Sulah</v>
      </c>
      <c r="D2956" s="13" t="str">
        <f>IFERROR(__xludf.DUMMYFUNCTION("""COMPUTED_VALUE"""),"K/7/080725/1")</f>
        <v>K/7/080725/1</v>
      </c>
      <c r="E2956" s="14" t="str">
        <f>IFERROR(__xludf.DUMMYFUNCTION("""COMPUTED_VALUE"""),"Heri (BT)")</f>
        <v>Heri (BT)</v>
      </c>
      <c r="F2956" s="14" t="str">
        <f>IFERROR(__xludf.DUMMYFUNCTION("""COMPUTED_VALUE"""),"SELESAI (VIA PERMOHONAN)")</f>
        <v>SELESAI (VIA PERMOHONAN)</v>
      </c>
      <c r="G2956" s="17">
        <f>IFERROR(__xludf.DUMMYFUNCTION("""COMPUTED_VALUE"""),45849.389586296296)</f>
        <v>45849.38959</v>
      </c>
      <c r="H2956" s="14" t="str">
        <f>IFERROR(__xludf.DUMMYFUNCTION("""COMPUTED_VALUE"""),"Eci (SU)")</f>
        <v>Eci (SU)</v>
      </c>
      <c r="I2956" s="13" t="str">
        <f>IFERROR(__xludf.DUMMYFUNCTION("""COMPUTED_VALUE"""),"SELESAI (VIA PERMOHONAN)")</f>
        <v>SELESAI (VIA PERMOHONAN)</v>
      </c>
      <c r="J2956" s="17">
        <f>IFERROR(__xludf.DUMMYFUNCTION("""COMPUTED_VALUE"""),45849.640603391206)</f>
        <v>45849.6406</v>
      </c>
      <c r="K2956" s="13" t="str">
        <f>IFERROR(__xludf.DUMMYFUNCTION("""COMPUTED_VALUE"""),"Selesai")</f>
        <v>Selesai</v>
      </c>
      <c r="L2956" s="17">
        <f>IFERROR(__xludf.DUMMYFUNCTION("""COMPUTED_VALUE"""),45849.640603391206)</f>
        <v>45849.6406</v>
      </c>
      <c r="M2956" s="13"/>
      <c r="N2956" s="13" t="str">
        <f>IFERROR(__xludf.DUMMYFUNCTION("""COMPUTED_VALUE"""),"")</f>
        <v/>
      </c>
      <c r="O2956" s="13" t="str">
        <f t="shared" si="1"/>
        <v/>
      </c>
    </row>
    <row r="2957" ht="22.5" customHeight="1">
      <c r="B2957" s="13">
        <f>IFERROR(__xludf.DUMMYFUNCTION("""COMPUTED_VALUE"""),2952.0)</f>
        <v>2952</v>
      </c>
      <c r="C2957" s="13" t="str">
        <f>IFERROR(__xludf.DUMMYFUNCTION("""COMPUTED_VALUE"""),"M. 2851/ Sukarame Baru")</f>
        <v>M. 2851/ Sukarame Baru</v>
      </c>
      <c r="D2957" s="13" t="str">
        <f>IFERROR(__xludf.DUMMYFUNCTION("""COMPUTED_VALUE"""),"K/23/260625/1")</f>
        <v>K/23/260625/1</v>
      </c>
      <c r="E2957" s="14" t="str">
        <f>IFERROR(__xludf.DUMMYFUNCTION("""COMPUTED_VALUE"""),"Heri (BT)")</f>
        <v>Heri (BT)</v>
      </c>
      <c r="F2957" s="14" t="str">
        <f>IFERROR(__xludf.DUMMYFUNCTION("""COMPUTED_VALUE"""),"SELESAI (VIA PERMOHONAN)")</f>
        <v>SELESAI (VIA PERMOHONAN)</v>
      </c>
      <c r="G2957" s="17">
        <f>IFERROR(__xludf.DUMMYFUNCTION("""COMPUTED_VALUE"""),45849.389769016205)</f>
        <v>45849.38977</v>
      </c>
      <c r="H2957" s="14" t="str">
        <f>IFERROR(__xludf.DUMMYFUNCTION("""COMPUTED_VALUE"""),"Eci (SU)")</f>
        <v>Eci (SU)</v>
      </c>
      <c r="I2957" s="13" t="str">
        <f>IFERROR(__xludf.DUMMYFUNCTION("""COMPUTED_VALUE"""),"SELESAI (VIA PERMOHONAN)")</f>
        <v>SELESAI (VIA PERMOHONAN)</v>
      </c>
      <c r="J2957" s="17">
        <f>IFERROR(__xludf.DUMMYFUNCTION("""COMPUTED_VALUE"""),45849.64048934028)</f>
        <v>45849.64049</v>
      </c>
      <c r="K2957" s="13" t="str">
        <f>IFERROR(__xludf.DUMMYFUNCTION("""COMPUTED_VALUE"""),"Selesai")</f>
        <v>Selesai</v>
      </c>
      <c r="L2957" s="17">
        <f>IFERROR(__xludf.DUMMYFUNCTION("""COMPUTED_VALUE"""),45849.64048934028)</f>
        <v>45849.64049</v>
      </c>
      <c r="M2957" s="13"/>
      <c r="N2957" s="13" t="str">
        <f>IFERROR(__xludf.DUMMYFUNCTION("""COMPUTED_VALUE"""),"")</f>
        <v/>
      </c>
      <c r="O2957" s="13" t="str">
        <f t="shared" si="1"/>
        <v/>
      </c>
    </row>
    <row r="2958" ht="22.5" customHeight="1">
      <c r="B2958" s="13">
        <f>IFERROR(__xludf.DUMMYFUNCTION("""COMPUTED_VALUE"""),2953.0)</f>
        <v>2953</v>
      </c>
      <c r="C2958" s="13" t="str">
        <f>IFERROR(__xludf.DUMMYFUNCTION("""COMPUTED_VALUE"""),"HM 2200/KETEGUHAN")</f>
        <v>HM 2200/KETEGUHAN</v>
      </c>
      <c r="D2958" s="13" t="str">
        <f>IFERROR(__xludf.DUMMYFUNCTION("""COMPUTED_VALUE"""),"L/27/230625/3")</f>
        <v>L/27/230625/3</v>
      </c>
      <c r="E2958" s="14" t="str">
        <f>IFERROR(__xludf.DUMMYFUNCTION("""COMPUTED_VALUE"""),"Heri (BT)")</f>
        <v>Heri (BT)</v>
      </c>
      <c r="F2958" s="14" t="str">
        <f>IFERROR(__xludf.DUMMYFUNCTION("""COMPUTED_VALUE"""),"SELESAI (VIA PERMOHONAN)")</f>
        <v>SELESAI (VIA PERMOHONAN)</v>
      </c>
      <c r="G2958" s="17">
        <f>IFERROR(__xludf.DUMMYFUNCTION("""COMPUTED_VALUE"""),45849.389945393516)</f>
        <v>45849.38995</v>
      </c>
      <c r="H2958" s="14" t="str">
        <f>IFERROR(__xludf.DUMMYFUNCTION("""COMPUTED_VALUE"""),"Eci (SU)")</f>
        <v>Eci (SU)</v>
      </c>
      <c r="I2958" s="13" t="str">
        <f>IFERROR(__xludf.DUMMYFUNCTION("""COMPUTED_VALUE"""),"SELESAI (VIA PERMOHONAN)")</f>
        <v>SELESAI (VIA PERMOHONAN)</v>
      </c>
      <c r="J2958" s="17">
        <f>IFERROR(__xludf.DUMMYFUNCTION("""COMPUTED_VALUE"""),45849.64004244213)</f>
        <v>45849.64004</v>
      </c>
      <c r="K2958" s="13" t="str">
        <f>IFERROR(__xludf.DUMMYFUNCTION("""COMPUTED_VALUE"""),"Selesai")</f>
        <v>Selesai</v>
      </c>
      <c r="L2958" s="17">
        <f>IFERROR(__xludf.DUMMYFUNCTION("""COMPUTED_VALUE"""),45849.64004244213)</f>
        <v>45849.64004</v>
      </c>
      <c r="M2958" s="13"/>
      <c r="N2958" s="13" t="str">
        <f>IFERROR(__xludf.DUMMYFUNCTION("""COMPUTED_VALUE"""),"")</f>
        <v/>
      </c>
      <c r="O2958" s="13" t="str">
        <f t="shared" si="1"/>
        <v/>
      </c>
    </row>
    <row r="2959" ht="22.5" customHeight="1">
      <c r="B2959" s="13">
        <f>IFERROR(__xludf.DUMMYFUNCTION("""COMPUTED_VALUE"""),2954.0)</f>
        <v>2954</v>
      </c>
      <c r="C2959" s="13" t="str">
        <f>IFERROR(__xludf.DUMMYFUNCTION("""COMPUTED_VALUE"""),"HM 2197/KETEGUHAN")</f>
        <v>HM 2197/KETEGUHAN</v>
      </c>
      <c r="D2959" s="13" t="str">
        <f>IFERROR(__xludf.DUMMYFUNCTION("""COMPUTED_VALUE"""),"L/26/230625/2")</f>
        <v>L/26/230625/2</v>
      </c>
      <c r="E2959" s="14" t="str">
        <f>IFERROR(__xludf.DUMMYFUNCTION("""COMPUTED_VALUE"""),"Heri (BT)")</f>
        <v>Heri (BT)</v>
      </c>
      <c r="F2959" s="14" t="str">
        <f>IFERROR(__xludf.DUMMYFUNCTION("""COMPUTED_VALUE"""),"SELESAI (VIA PERMOHONAN)")</f>
        <v>SELESAI (VIA PERMOHONAN)</v>
      </c>
      <c r="G2959" s="17">
        <f>IFERROR(__xludf.DUMMYFUNCTION("""COMPUTED_VALUE"""),45849.39013033565)</f>
        <v>45849.39013</v>
      </c>
      <c r="H2959" s="14" t="str">
        <f>IFERROR(__xludf.DUMMYFUNCTION("""COMPUTED_VALUE"""),"Eci (SU)")</f>
        <v>Eci (SU)</v>
      </c>
      <c r="I2959" s="13" t="str">
        <f>IFERROR(__xludf.DUMMYFUNCTION("""COMPUTED_VALUE"""),"SELESAI (VIA PERMOHONAN)")</f>
        <v>SELESAI (VIA PERMOHONAN)</v>
      </c>
      <c r="J2959" s="17">
        <f>IFERROR(__xludf.DUMMYFUNCTION("""COMPUTED_VALUE"""),45849.63994767361)</f>
        <v>45849.63995</v>
      </c>
      <c r="K2959" s="13" t="str">
        <f>IFERROR(__xludf.DUMMYFUNCTION("""COMPUTED_VALUE"""),"Selesai")</f>
        <v>Selesai</v>
      </c>
      <c r="L2959" s="17">
        <f>IFERROR(__xludf.DUMMYFUNCTION("""COMPUTED_VALUE"""),45849.63994767361)</f>
        <v>45849.63995</v>
      </c>
      <c r="M2959" s="13"/>
      <c r="N2959" s="13" t="str">
        <f>IFERROR(__xludf.DUMMYFUNCTION("""COMPUTED_VALUE"""),"")</f>
        <v/>
      </c>
      <c r="O2959" s="13" t="str">
        <f t="shared" si="1"/>
        <v/>
      </c>
    </row>
    <row r="2960" ht="22.5" customHeight="1">
      <c r="B2960" s="13">
        <f>IFERROR(__xludf.DUMMYFUNCTION("""COMPUTED_VALUE"""),2955.0)</f>
        <v>2955</v>
      </c>
      <c r="C2960" s="13" t="str">
        <f>IFERROR(__xludf.DUMMYFUNCTION("""COMPUTED_VALUE"""),"M. 773/ Rajabasa Pemuka")</f>
        <v>M. 773/ Rajabasa Pemuka</v>
      </c>
      <c r="D2960" s="13" t="str">
        <f>IFERROR(__xludf.DUMMYFUNCTION("""COMPUTED_VALUE"""),"K/17/230625/1")</f>
        <v>K/17/230625/1</v>
      </c>
      <c r="E2960" s="14" t="str">
        <f>IFERROR(__xludf.DUMMYFUNCTION("""COMPUTED_VALUE"""),"Heri (BT)")</f>
        <v>Heri (BT)</v>
      </c>
      <c r="F2960" s="14" t="str">
        <f>IFERROR(__xludf.DUMMYFUNCTION("""COMPUTED_VALUE"""),"SELESAI (VIA PERMOHONAN)")</f>
        <v>SELESAI (VIA PERMOHONAN)</v>
      </c>
      <c r="G2960" s="17">
        <f>IFERROR(__xludf.DUMMYFUNCTION("""COMPUTED_VALUE"""),45849.39034569444)</f>
        <v>45849.39035</v>
      </c>
      <c r="H2960" s="14" t="str">
        <f>IFERROR(__xludf.DUMMYFUNCTION("""COMPUTED_VALUE"""),"Eci (SU)")</f>
        <v>Eci (SU)</v>
      </c>
      <c r="I2960" s="13" t="str">
        <f>IFERROR(__xludf.DUMMYFUNCTION("""COMPUTED_VALUE"""),"SELESAI (VIA PERMOHONAN)")</f>
        <v>SELESAI (VIA PERMOHONAN)</v>
      </c>
      <c r="J2960" s="17">
        <f>IFERROR(__xludf.DUMMYFUNCTION("""COMPUTED_VALUE"""),45849.6397109838)</f>
        <v>45849.63971</v>
      </c>
      <c r="K2960" s="13" t="str">
        <f>IFERROR(__xludf.DUMMYFUNCTION("""COMPUTED_VALUE"""),"Selesai")</f>
        <v>Selesai</v>
      </c>
      <c r="L2960" s="17">
        <f>IFERROR(__xludf.DUMMYFUNCTION("""COMPUTED_VALUE"""),45849.6397109838)</f>
        <v>45849.63971</v>
      </c>
      <c r="M2960" s="13"/>
      <c r="N2960" s="13" t="str">
        <f>IFERROR(__xludf.DUMMYFUNCTION("""COMPUTED_VALUE"""),"")</f>
        <v/>
      </c>
      <c r="O2960" s="13" t="str">
        <f t="shared" si="1"/>
        <v/>
      </c>
    </row>
    <row r="2961" ht="22.5" customHeight="1">
      <c r="B2961" s="13">
        <f>IFERROR(__xludf.DUMMYFUNCTION("""COMPUTED_VALUE"""),2956.0)</f>
        <v>2956</v>
      </c>
      <c r="C2961" s="13" t="str">
        <f>IFERROR(__xludf.DUMMYFUNCTION("""COMPUTED_VALUE"""),"M.14197/KEDAMAIAN")</f>
        <v>M.14197/KEDAMAIAN</v>
      </c>
      <c r="D2961" s="13" t="str">
        <f>IFERROR(__xludf.DUMMYFUNCTION("""COMPUTED_VALUE"""),"K/18/070725/1")</f>
        <v>K/18/070725/1</v>
      </c>
      <c r="E2961" s="14" t="str">
        <f>IFERROR(__xludf.DUMMYFUNCTION("""COMPUTED_VALUE"""),"Heri (BT)")</f>
        <v>Heri (BT)</v>
      </c>
      <c r="F2961" s="14" t="str">
        <f>IFERROR(__xludf.DUMMYFUNCTION("""COMPUTED_VALUE"""),"SELESAI (VIA PERMOHONAN)")</f>
        <v>SELESAI (VIA PERMOHONAN)</v>
      </c>
      <c r="G2961" s="17">
        <f>IFERROR(__xludf.DUMMYFUNCTION("""COMPUTED_VALUE"""),45849.39098413194)</f>
        <v>45849.39098</v>
      </c>
      <c r="H2961" s="14" t="str">
        <f>IFERROR(__xludf.DUMMYFUNCTION("""COMPUTED_VALUE"""),"Eci (SU)")</f>
        <v>Eci (SU)</v>
      </c>
      <c r="I2961" s="13" t="str">
        <f>IFERROR(__xludf.DUMMYFUNCTION("""COMPUTED_VALUE"""),"SELESAI (VIA PERMOHONAN)")</f>
        <v>SELESAI (VIA PERMOHONAN)</v>
      </c>
      <c r="J2961" s="17">
        <f>IFERROR(__xludf.DUMMYFUNCTION("""COMPUTED_VALUE"""),45849.639536006944)</f>
        <v>45849.63954</v>
      </c>
      <c r="K2961" s="13" t="str">
        <f>IFERROR(__xludf.DUMMYFUNCTION("""COMPUTED_VALUE"""),"Selesai")</f>
        <v>Selesai</v>
      </c>
      <c r="L2961" s="17">
        <f>IFERROR(__xludf.DUMMYFUNCTION("""COMPUTED_VALUE"""),45849.639536006944)</f>
        <v>45849.63954</v>
      </c>
      <c r="M2961" s="13"/>
      <c r="N2961" s="13" t="str">
        <f>IFERROR(__xludf.DUMMYFUNCTION("""COMPUTED_VALUE"""),"")</f>
        <v/>
      </c>
      <c r="O2961" s="13" t="str">
        <f t="shared" si="1"/>
        <v/>
      </c>
    </row>
    <row r="2962" ht="22.5" customHeight="1">
      <c r="B2962" s="13">
        <f>IFERROR(__xludf.DUMMYFUNCTION("""COMPUTED_VALUE"""),2957.0)</f>
        <v>2957</v>
      </c>
      <c r="C2962" s="13" t="str">
        <f>IFERROR(__xludf.DUMMYFUNCTION("""COMPUTED_VALUE"""),"HM 11062/8KEDATON")</f>
        <v>HM 11062/8KEDATON</v>
      </c>
      <c r="D2962" s="13" t="str">
        <f>IFERROR(__xludf.DUMMYFUNCTION("""COMPUTED_VALUE"""),"L/16/190525/1")</f>
        <v>L/16/190525/1</v>
      </c>
      <c r="E2962" s="14" t="str">
        <f>IFERROR(__xludf.DUMMYFUNCTION("""COMPUTED_VALUE"""),"Heri (BT)")</f>
        <v>Heri (BT)</v>
      </c>
      <c r="F2962" s="14" t="str">
        <f>IFERROR(__xludf.DUMMYFUNCTION("""COMPUTED_VALUE"""),"SELESAI (VIA PERMOHONAN)")</f>
        <v>SELESAI (VIA PERMOHONAN)</v>
      </c>
      <c r="G2962" s="17">
        <f>IFERROR(__xludf.DUMMYFUNCTION("""COMPUTED_VALUE"""),45849.399291828704)</f>
        <v>45849.39929</v>
      </c>
      <c r="H2962" s="14" t="str">
        <f>IFERROR(__xludf.DUMMYFUNCTION("""COMPUTED_VALUE"""),"Eci (SU)")</f>
        <v>Eci (SU)</v>
      </c>
      <c r="I2962" s="13" t="str">
        <f>IFERROR(__xludf.DUMMYFUNCTION("""COMPUTED_VALUE"""),"SELESAI (VIA PERMOHONAN)")</f>
        <v>SELESAI (VIA PERMOHONAN)</v>
      </c>
      <c r="J2962" s="17">
        <f>IFERROR(__xludf.DUMMYFUNCTION("""COMPUTED_VALUE"""),45849.639335370375)</f>
        <v>45849.63934</v>
      </c>
      <c r="K2962" s="13" t="str">
        <f>IFERROR(__xludf.DUMMYFUNCTION("""COMPUTED_VALUE"""),"Selesai")</f>
        <v>Selesai</v>
      </c>
      <c r="L2962" s="17">
        <f>IFERROR(__xludf.DUMMYFUNCTION("""COMPUTED_VALUE"""),45849.639335370375)</f>
        <v>45849.63934</v>
      </c>
      <c r="M2962" s="13"/>
      <c r="N2962" s="13" t="str">
        <f>IFERROR(__xludf.DUMMYFUNCTION("""COMPUTED_VALUE"""),"")</f>
        <v/>
      </c>
      <c r="O2962" s="13" t="str">
        <f t="shared" si="1"/>
        <v/>
      </c>
    </row>
    <row r="2963" ht="22.5" customHeight="1">
      <c r="B2963" s="13">
        <f>IFERROR(__xludf.DUMMYFUNCTION("""COMPUTED_VALUE"""),2958.0)</f>
        <v>2958</v>
      </c>
      <c r="C2963" s="13" t="str">
        <f>IFERROR(__xludf.DUMMYFUNCTION("""COMPUTED_VALUE"""),"M.12661/KALI BALAU KENCANA")</f>
        <v>M.12661/KALI BALAU KENCANA</v>
      </c>
      <c r="D2963" s="13" t="str">
        <f>IFERROR(__xludf.DUMMYFUNCTION("""COMPUTED_VALUE"""),"K/16/280525/1")</f>
        <v>K/16/280525/1</v>
      </c>
      <c r="E2963" s="14" t="str">
        <f>IFERROR(__xludf.DUMMYFUNCTION("""COMPUTED_VALUE"""),"Afriza (BT)")</f>
        <v>Afriza (BT)</v>
      </c>
      <c r="F2963" s="14" t="str">
        <f>IFERROR(__xludf.DUMMYFUNCTION("""COMPUTED_VALUE"""),"SELESAI (VIA PERMOHONAN)")</f>
        <v>SELESAI (VIA PERMOHONAN)</v>
      </c>
      <c r="G2963" s="17">
        <f>IFERROR(__xludf.DUMMYFUNCTION("""COMPUTED_VALUE"""),45849.592761886575)</f>
        <v>45849.59276</v>
      </c>
      <c r="H2963" s="14" t="str">
        <f>IFERROR(__xludf.DUMMYFUNCTION("""COMPUTED_VALUE"""),"Eci (SU)")</f>
        <v>Eci (SU)</v>
      </c>
      <c r="I2963" s="13" t="str">
        <f>IFERROR(__xludf.DUMMYFUNCTION("""COMPUTED_VALUE"""),"SELESAI (VIA PERMOHONAN)")</f>
        <v>SELESAI (VIA PERMOHONAN)</v>
      </c>
      <c r="J2963" s="17">
        <f>IFERROR(__xludf.DUMMYFUNCTION("""COMPUTED_VALUE"""),45849.63892167824)</f>
        <v>45849.63892</v>
      </c>
      <c r="K2963" s="13" t="str">
        <f>IFERROR(__xludf.DUMMYFUNCTION("""COMPUTED_VALUE"""),"Selesai")</f>
        <v>Selesai</v>
      </c>
      <c r="L2963" s="17">
        <f>IFERROR(__xludf.DUMMYFUNCTION("""COMPUTED_VALUE"""),45849.63892167824)</f>
        <v>45849.63892</v>
      </c>
      <c r="M2963" s="13"/>
      <c r="N2963" s="13" t="str">
        <f>IFERROR(__xludf.DUMMYFUNCTION("""COMPUTED_VALUE"""),"")</f>
        <v/>
      </c>
      <c r="O2963" s="13" t="str">
        <f t="shared" si="1"/>
        <v/>
      </c>
    </row>
    <row r="2964" ht="22.5" customHeight="1">
      <c r="B2964" s="13">
        <f>IFERROR(__xludf.DUMMYFUNCTION("""COMPUTED_VALUE"""),2959.0)</f>
        <v>2959</v>
      </c>
      <c r="C2964" s="13" t="str">
        <f>IFERROR(__xludf.DUMMYFUNCTION("""COMPUTED_VALUE"""),"M. 1209/ Labuhan Ratu Raya")</f>
        <v>M. 1209/ Labuhan Ratu Raya</v>
      </c>
      <c r="D2964" s="13" t="str">
        <f>IFERROR(__xludf.DUMMYFUNCTION("""COMPUTED_VALUE"""),"K/33/170625/1")</f>
        <v>K/33/170625/1</v>
      </c>
      <c r="E2964" s="14" t="str">
        <f>IFERROR(__xludf.DUMMYFUNCTION("""COMPUTED_VALUE"""),"Afriza (BT)")</f>
        <v>Afriza (BT)</v>
      </c>
      <c r="F2964" s="14" t="str">
        <f>IFERROR(__xludf.DUMMYFUNCTION("""COMPUTED_VALUE"""),"SELESAI (VIA PERMOHONAN)")</f>
        <v>SELESAI (VIA PERMOHONAN)</v>
      </c>
      <c r="G2964" s="17">
        <f>IFERROR(__xludf.DUMMYFUNCTION("""COMPUTED_VALUE"""),45849.592761886575)</f>
        <v>45849.59276</v>
      </c>
      <c r="H2964" s="14" t="str">
        <f>IFERROR(__xludf.DUMMYFUNCTION("""COMPUTED_VALUE"""),"Eci (SU)")</f>
        <v>Eci (SU)</v>
      </c>
      <c r="I2964" s="13" t="str">
        <f>IFERROR(__xludf.DUMMYFUNCTION("""COMPUTED_VALUE"""),"SELESAI (VIA PERMOHONAN)")</f>
        <v>SELESAI (VIA PERMOHONAN)</v>
      </c>
      <c r="J2964" s="17">
        <f>IFERROR(__xludf.DUMMYFUNCTION("""COMPUTED_VALUE"""),45849.6387940625)</f>
        <v>45849.63879</v>
      </c>
      <c r="K2964" s="13" t="str">
        <f>IFERROR(__xludf.DUMMYFUNCTION("""COMPUTED_VALUE"""),"Selesai")</f>
        <v>Selesai</v>
      </c>
      <c r="L2964" s="17">
        <f>IFERROR(__xludf.DUMMYFUNCTION("""COMPUTED_VALUE"""),45849.6387940625)</f>
        <v>45849.63879</v>
      </c>
      <c r="M2964" s="13"/>
      <c r="N2964" s="13" t="str">
        <f>IFERROR(__xludf.DUMMYFUNCTION("""COMPUTED_VALUE"""),"")</f>
        <v/>
      </c>
      <c r="O2964" s="13" t="str">
        <f t="shared" si="1"/>
        <v/>
      </c>
    </row>
    <row r="2965" ht="22.5" customHeight="1">
      <c r="B2965" s="13">
        <f>IFERROR(__xludf.DUMMYFUNCTION("""COMPUTED_VALUE"""),2960.0)</f>
        <v>2960</v>
      </c>
      <c r="C2965" s="13" t="str">
        <f>IFERROR(__xludf.DUMMYFUNCTION("""COMPUTED_VALUE"""),"M. 1058/ Rajabasa Pemuka")</f>
        <v>M. 1058/ Rajabasa Pemuka</v>
      </c>
      <c r="D2965" s="13" t="str">
        <f>IFERROR(__xludf.DUMMYFUNCTION("""COMPUTED_VALUE"""),"K/19/080725/2")</f>
        <v>K/19/080725/2</v>
      </c>
      <c r="E2965" s="14" t="str">
        <f>IFERROR(__xludf.DUMMYFUNCTION("""COMPUTED_VALUE"""),"Afriza (BT)")</f>
        <v>Afriza (BT)</v>
      </c>
      <c r="F2965" s="14" t="str">
        <f>IFERROR(__xludf.DUMMYFUNCTION("""COMPUTED_VALUE"""),"SELESAI (VIA PERMOHONAN)")</f>
        <v>SELESAI (VIA PERMOHONAN)</v>
      </c>
      <c r="G2965" s="17">
        <f>IFERROR(__xludf.DUMMYFUNCTION("""COMPUTED_VALUE"""),45849.592761886575)</f>
        <v>45849.59276</v>
      </c>
      <c r="H2965" s="14" t="str">
        <f>IFERROR(__xludf.DUMMYFUNCTION("""COMPUTED_VALUE"""),"Eci (SU)")</f>
        <v>Eci (SU)</v>
      </c>
      <c r="I2965" s="13" t="str">
        <f>IFERROR(__xludf.DUMMYFUNCTION("""COMPUTED_VALUE"""),"SELESAI (VIA PERMOHONAN)")</f>
        <v>SELESAI (VIA PERMOHONAN)</v>
      </c>
      <c r="J2965" s="17">
        <f>IFERROR(__xludf.DUMMYFUNCTION("""COMPUTED_VALUE"""),45849.638677662035)</f>
        <v>45849.63868</v>
      </c>
      <c r="K2965" s="13" t="str">
        <f>IFERROR(__xludf.DUMMYFUNCTION("""COMPUTED_VALUE"""),"Selesai")</f>
        <v>Selesai</v>
      </c>
      <c r="L2965" s="17">
        <f>IFERROR(__xludf.DUMMYFUNCTION("""COMPUTED_VALUE"""),45849.638677662035)</f>
        <v>45849.63868</v>
      </c>
      <c r="M2965" s="13"/>
      <c r="N2965" s="13" t="str">
        <f>IFERROR(__xludf.DUMMYFUNCTION("""COMPUTED_VALUE"""),"")</f>
        <v/>
      </c>
      <c r="O2965" s="13" t="str">
        <f t="shared" si="1"/>
        <v/>
      </c>
    </row>
    <row r="2966" ht="22.5" customHeight="1">
      <c r="B2966" s="13">
        <f>IFERROR(__xludf.DUMMYFUNCTION("""COMPUTED_VALUE"""),2961.0)</f>
        <v>2961</v>
      </c>
      <c r="C2966" s="13" t="str">
        <f>IFERROR(__xludf.DUMMYFUNCTION("""COMPUTED_VALUE"""),"M. 2254/ Rajabasa Raya")</f>
        <v>M. 2254/ Rajabasa Raya</v>
      </c>
      <c r="D2966" s="13" t="str">
        <f>IFERROR(__xludf.DUMMYFUNCTION("""COMPUTED_VALUE"""),"K/4/240625/1")</f>
        <v>K/4/240625/1</v>
      </c>
      <c r="E2966" s="14" t="str">
        <f>IFERROR(__xludf.DUMMYFUNCTION("""COMPUTED_VALUE"""),"Afriza (BT)")</f>
        <v>Afriza (BT)</v>
      </c>
      <c r="F2966" s="14" t="str">
        <f>IFERROR(__xludf.DUMMYFUNCTION("""COMPUTED_VALUE"""),"SELESAI (VIA PERMOHONAN)")</f>
        <v>SELESAI (VIA PERMOHONAN)</v>
      </c>
      <c r="G2966" s="17">
        <f>IFERROR(__xludf.DUMMYFUNCTION("""COMPUTED_VALUE"""),45849.592761886575)</f>
        <v>45849.59276</v>
      </c>
      <c r="H2966" s="14" t="str">
        <f>IFERROR(__xludf.DUMMYFUNCTION("""COMPUTED_VALUE"""),"Eci (SU)")</f>
        <v>Eci (SU)</v>
      </c>
      <c r="I2966" s="13" t="str">
        <f>IFERROR(__xludf.DUMMYFUNCTION("""COMPUTED_VALUE"""),"SELESAI (VIA PERMOHONAN)")</f>
        <v>SELESAI (VIA PERMOHONAN)</v>
      </c>
      <c r="J2966" s="17">
        <f>IFERROR(__xludf.DUMMYFUNCTION("""COMPUTED_VALUE"""),45849.63842645833)</f>
        <v>45849.63843</v>
      </c>
      <c r="K2966" s="13" t="str">
        <f>IFERROR(__xludf.DUMMYFUNCTION("""COMPUTED_VALUE"""),"Selesai")</f>
        <v>Selesai</v>
      </c>
      <c r="L2966" s="17">
        <f>IFERROR(__xludf.DUMMYFUNCTION("""COMPUTED_VALUE"""),45849.63842645833)</f>
        <v>45849.63843</v>
      </c>
      <c r="M2966" s="13"/>
      <c r="N2966" s="13" t="str">
        <f>IFERROR(__xludf.DUMMYFUNCTION("""COMPUTED_VALUE"""),"")</f>
        <v/>
      </c>
      <c r="O2966" s="13" t="str">
        <f t="shared" si="1"/>
        <v/>
      </c>
    </row>
    <row r="2967" ht="22.5" customHeight="1">
      <c r="B2967" s="13">
        <f>IFERROR(__xludf.DUMMYFUNCTION("""COMPUTED_VALUE"""),2962.0)</f>
        <v>2962</v>
      </c>
      <c r="C2967" s="13" t="str">
        <f>IFERROR(__xludf.DUMMYFUNCTION("""COMPUTED_VALUE"""),"M. 4717/ Rajabasa Jaya")</f>
        <v>M. 4717/ Rajabasa Jaya</v>
      </c>
      <c r="D2967" s="13" t="str">
        <f>IFERROR(__xludf.DUMMYFUNCTION("""COMPUTED_VALUE"""),"K/29/040725/1")</f>
        <v>K/29/040725/1</v>
      </c>
      <c r="E2967" s="14" t="str">
        <f>IFERROR(__xludf.DUMMYFUNCTION("""COMPUTED_VALUE"""),"Afriza (BT)")</f>
        <v>Afriza (BT)</v>
      </c>
      <c r="F2967" s="14" t="str">
        <f>IFERROR(__xludf.DUMMYFUNCTION("""COMPUTED_VALUE"""),"SELESAI (VIA PERMOHONAN)")</f>
        <v>SELESAI (VIA PERMOHONAN)</v>
      </c>
      <c r="G2967" s="17">
        <f>IFERROR(__xludf.DUMMYFUNCTION("""COMPUTED_VALUE"""),45849.592761886575)</f>
        <v>45849.59276</v>
      </c>
      <c r="H2967" s="14" t="str">
        <f>IFERROR(__xludf.DUMMYFUNCTION("""COMPUTED_VALUE"""),"Eci (SU)")</f>
        <v>Eci (SU)</v>
      </c>
      <c r="I2967" s="13" t="str">
        <f>IFERROR(__xludf.DUMMYFUNCTION("""COMPUTED_VALUE"""),"SELESAI (VIA PERMOHONAN)")</f>
        <v>SELESAI (VIA PERMOHONAN)</v>
      </c>
      <c r="J2967" s="17">
        <f>IFERROR(__xludf.DUMMYFUNCTION("""COMPUTED_VALUE"""),45849.63830910879)</f>
        <v>45849.63831</v>
      </c>
      <c r="K2967" s="13" t="str">
        <f>IFERROR(__xludf.DUMMYFUNCTION("""COMPUTED_VALUE"""),"Selesai")</f>
        <v>Selesai</v>
      </c>
      <c r="L2967" s="17">
        <f>IFERROR(__xludf.DUMMYFUNCTION("""COMPUTED_VALUE"""),45849.63830910879)</f>
        <v>45849.63831</v>
      </c>
      <c r="M2967" s="13"/>
      <c r="N2967" s="13" t="str">
        <f>IFERROR(__xludf.DUMMYFUNCTION("""COMPUTED_VALUE"""),"")</f>
        <v/>
      </c>
      <c r="O2967" s="13" t="str">
        <f t="shared" si="1"/>
        <v/>
      </c>
    </row>
    <row r="2968" ht="22.5" customHeight="1">
      <c r="B2968" s="13">
        <f>IFERROR(__xludf.DUMMYFUNCTION("""COMPUTED_VALUE"""),2963.0)</f>
        <v>2963</v>
      </c>
      <c r="C2968" s="13" t="str">
        <f>IFERROR(__xludf.DUMMYFUNCTION("""COMPUTED_VALUE"""),"M. 3215/ Gedong Air")</f>
        <v>M. 3215/ Gedong Air</v>
      </c>
      <c r="D2968" s="13" t="str">
        <f>IFERROR(__xludf.DUMMYFUNCTION("""COMPUTED_VALUE"""),"K/16/170625/1")</f>
        <v>K/16/170625/1</v>
      </c>
      <c r="E2968" s="14" t="str">
        <f>IFERROR(__xludf.DUMMYFUNCTION("""COMPUTED_VALUE"""),"Afriza (BT)")</f>
        <v>Afriza (BT)</v>
      </c>
      <c r="F2968" s="14" t="str">
        <f>IFERROR(__xludf.DUMMYFUNCTION("""COMPUTED_VALUE"""),"SELESAI (VIA PERMOHONAN)")</f>
        <v>SELESAI (VIA PERMOHONAN)</v>
      </c>
      <c r="G2968" s="17">
        <f>IFERROR(__xludf.DUMMYFUNCTION("""COMPUTED_VALUE"""),45849.592761886575)</f>
        <v>45849.59276</v>
      </c>
      <c r="H2968" s="14" t="str">
        <f>IFERROR(__xludf.DUMMYFUNCTION("""COMPUTED_VALUE"""),"Eci (SU)")</f>
        <v>Eci (SU)</v>
      </c>
      <c r="I2968" s="13" t="str">
        <f>IFERROR(__xludf.DUMMYFUNCTION("""COMPUTED_VALUE"""),"SELESAI (VIA PERMOHONAN)")</f>
        <v>SELESAI (VIA PERMOHONAN)</v>
      </c>
      <c r="J2968" s="17">
        <f>IFERROR(__xludf.DUMMYFUNCTION("""COMPUTED_VALUE"""),45849.63818167824)</f>
        <v>45849.63818</v>
      </c>
      <c r="K2968" s="13" t="str">
        <f>IFERROR(__xludf.DUMMYFUNCTION("""COMPUTED_VALUE"""),"Selesai")</f>
        <v>Selesai</v>
      </c>
      <c r="L2968" s="17">
        <f>IFERROR(__xludf.DUMMYFUNCTION("""COMPUTED_VALUE"""),45849.63818167824)</f>
        <v>45849.63818</v>
      </c>
      <c r="M2968" s="13"/>
      <c r="N2968" s="13" t="str">
        <f>IFERROR(__xludf.DUMMYFUNCTION("""COMPUTED_VALUE"""),"")</f>
        <v/>
      </c>
      <c r="O2968" s="13" t="str">
        <f t="shared" si="1"/>
        <v/>
      </c>
    </row>
    <row r="2969" ht="22.5" customHeight="1">
      <c r="B2969" s="13">
        <f>IFERROR(__xludf.DUMMYFUNCTION("""COMPUTED_VALUE"""),2964.0)</f>
        <v>2964</v>
      </c>
      <c r="C2969" s="13" t="str">
        <f>IFERROR(__xludf.DUMMYFUNCTION("""COMPUTED_VALUE"""),"M. 17731/ Sukarame I")</f>
        <v>M. 17731/ Sukarame I</v>
      </c>
      <c r="D2969" s="13" t="str">
        <f>IFERROR(__xludf.DUMMYFUNCTION("""COMPUTED_VALUE"""),"K/13/090725/1")</f>
        <v>K/13/090725/1</v>
      </c>
      <c r="E2969" s="14" t="str">
        <f>IFERROR(__xludf.DUMMYFUNCTION("""COMPUTED_VALUE"""),"Heri (BT)")</f>
        <v>Heri (BT)</v>
      </c>
      <c r="F2969" s="14" t="str">
        <f>IFERROR(__xludf.DUMMYFUNCTION("""COMPUTED_VALUE"""),"SELESAI (VIA PERMOHONAN)")</f>
        <v>SELESAI (VIA PERMOHONAN)</v>
      </c>
      <c r="G2969" s="17">
        <f>IFERROR(__xludf.DUMMYFUNCTION("""COMPUTED_VALUE"""),45853.55696287037)</f>
        <v>45853.55696</v>
      </c>
      <c r="H2969" s="14" t="str">
        <f>IFERROR(__xludf.DUMMYFUNCTION("""COMPUTED_VALUE"""),"Eci (SU)")</f>
        <v>Eci (SU)</v>
      </c>
      <c r="I2969" s="13" t="str">
        <f>IFERROR(__xludf.DUMMYFUNCTION("""COMPUTED_VALUE"""),"SELESAI (VIA PERMOHONAN)")</f>
        <v>SELESAI (VIA PERMOHONAN)</v>
      </c>
      <c r="J2969" s="17">
        <f>IFERROR(__xludf.DUMMYFUNCTION("""COMPUTED_VALUE"""),45854.59552773148)</f>
        <v>45854.59553</v>
      </c>
      <c r="K2969" s="13" t="str">
        <f>IFERROR(__xludf.DUMMYFUNCTION("""COMPUTED_VALUE"""),"Selesai")</f>
        <v>Selesai</v>
      </c>
      <c r="L2969" s="17">
        <f>IFERROR(__xludf.DUMMYFUNCTION("""COMPUTED_VALUE"""),45854.59552773148)</f>
        <v>45854.59553</v>
      </c>
      <c r="M2969" s="13"/>
      <c r="N2969" s="13" t="str">
        <f>IFERROR(__xludf.DUMMYFUNCTION("""COMPUTED_VALUE"""),"")</f>
        <v/>
      </c>
      <c r="O2969" s="13" t="str">
        <f t="shared" si="1"/>
        <v/>
      </c>
    </row>
    <row r="2970" ht="22.5" customHeight="1">
      <c r="B2970" s="13">
        <f>IFERROR(__xludf.DUMMYFUNCTION("""COMPUTED_VALUE"""),2965.0)</f>
        <v>2965</v>
      </c>
      <c r="C2970" s="13" t="str">
        <f>IFERROR(__xludf.DUMMYFUNCTION("""COMPUTED_VALUE"""),"M.3374/KEMILING PERMAI")</f>
        <v>M.3374/KEMILING PERMAI</v>
      </c>
      <c r="D2970" s="13" t="str">
        <f>IFERROR(__xludf.DUMMYFUNCTION("""COMPUTED_VALUE"""),"K/11/020725/1")</f>
        <v>K/11/020725/1</v>
      </c>
      <c r="E2970" s="14" t="str">
        <f>IFERROR(__xludf.DUMMYFUNCTION("""COMPUTED_VALUE"""),"Heri (BT)")</f>
        <v>Heri (BT)</v>
      </c>
      <c r="F2970" s="14" t="str">
        <f>IFERROR(__xludf.DUMMYFUNCTION("""COMPUTED_VALUE"""),"SELESAI (VIA PERMOHONAN)")</f>
        <v>SELESAI (VIA PERMOHONAN)</v>
      </c>
      <c r="G2970" s="17">
        <f>IFERROR(__xludf.DUMMYFUNCTION("""COMPUTED_VALUE"""),45853.55706201389)</f>
        <v>45853.55706</v>
      </c>
      <c r="H2970" s="14" t="str">
        <f>IFERROR(__xludf.DUMMYFUNCTION("""COMPUTED_VALUE"""),"Eci (SU)")</f>
        <v>Eci (SU)</v>
      </c>
      <c r="I2970" s="13" t="str">
        <f>IFERROR(__xludf.DUMMYFUNCTION("""COMPUTED_VALUE"""),"SELESAI (VIA PERMOHONAN)")</f>
        <v>SELESAI (VIA PERMOHONAN)</v>
      </c>
      <c r="J2970" s="17">
        <f>IFERROR(__xludf.DUMMYFUNCTION("""COMPUTED_VALUE"""),45854.59552773148)</f>
        <v>45854.59553</v>
      </c>
      <c r="K2970" s="13" t="str">
        <f>IFERROR(__xludf.DUMMYFUNCTION("""COMPUTED_VALUE"""),"Selesai")</f>
        <v>Selesai</v>
      </c>
      <c r="L2970" s="17">
        <f>IFERROR(__xludf.DUMMYFUNCTION("""COMPUTED_VALUE"""),45854.59552773148)</f>
        <v>45854.59553</v>
      </c>
      <c r="M2970" s="13"/>
      <c r="N2970" s="13" t="str">
        <f>IFERROR(__xludf.DUMMYFUNCTION("""COMPUTED_VALUE"""),"")</f>
        <v/>
      </c>
      <c r="O2970" s="13" t="str">
        <f t="shared" si="1"/>
        <v/>
      </c>
    </row>
    <row r="2971" ht="22.5" customHeight="1">
      <c r="B2971" s="13">
        <f>IFERROR(__xludf.DUMMYFUNCTION("""COMPUTED_VALUE"""),2966.0)</f>
        <v>2966</v>
      </c>
      <c r="C2971" s="13" t="str">
        <f>IFERROR(__xludf.DUMMYFUNCTION("""COMPUTED_VALUE"""),"M.20/TALANG")</f>
        <v>M.20/TALANG</v>
      </c>
      <c r="D2971" s="13" t="str">
        <f>IFERROR(__xludf.DUMMYFUNCTION("""COMPUTED_VALUE"""),"K/14/090725/1")</f>
        <v>K/14/090725/1</v>
      </c>
      <c r="E2971" s="14" t="str">
        <f>IFERROR(__xludf.DUMMYFUNCTION("""COMPUTED_VALUE"""),"Heri (BT)")</f>
        <v>Heri (BT)</v>
      </c>
      <c r="F2971" s="14" t="str">
        <f>IFERROR(__xludf.DUMMYFUNCTION("""COMPUTED_VALUE"""),"SELESAI (VIA PERMOHONAN)")</f>
        <v>SELESAI (VIA PERMOHONAN)</v>
      </c>
      <c r="G2971" s="17">
        <f>IFERROR(__xludf.DUMMYFUNCTION("""COMPUTED_VALUE"""),45853.55722318287)</f>
        <v>45853.55722</v>
      </c>
      <c r="H2971" s="14" t="str">
        <f>IFERROR(__xludf.DUMMYFUNCTION("""COMPUTED_VALUE"""),"Eci (SU)")</f>
        <v>Eci (SU)</v>
      </c>
      <c r="I2971" s="13" t="str">
        <f>IFERROR(__xludf.DUMMYFUNCTION("""COMPUTED_VALUE"""),"SELESAI (VIA PERMOHONAN)")</f>
        <v>SELESAI (VIA PERMOHONAN)</v>
      </c>
      <c r="J2971" s="17">
        <f>IFERROR(__xludf.DUMMYFUNCTION("""COMPUTED_VALUE"""),45854.59552773148)</f>
        <v>45854.59553</v>
      </c>
      <c r="K2971" s="13" t="str">
        <f>IFERROR(__xludf.DUMMYFUNCTION("""COMPUTED_VALUE"""),"Selesai")</f>
        <v>Selesai</v>
      </c>
      <c r="L2971" s="17">
        <f>IFERROR(__xludf.DUMMYFUNCTION("""COMPUTED_VALUE"""),45854.59552773148)</f>
        <v>45854.59553</v>
      </c>
      <c r="M2971" s="13"/>
      <c r="N2971" s="13" t="str">
        <f>IFERROR(__xludf.DUMMYFUNCTION("""COMPUTED_VALUE"""),"")</f>
        <v/>
      </c>
      <c r="O2971" s="13" t="str">
        <f t="shared" si="1"/>
        <v/>
      </c>
    </row>
    <row r="2972" ht="22.5" customHeight="1">
      <c r="B2972" s="13">
        <f>IFERROR(__xludf.DUMMYFUNCTION("""COMPUTED_VALUE"""),2967.0)</f>
        <v>2967</v>
      </c>
      <c r="C2972" s="13" t="str">
        <f>IFERROR(__xludf.DUMMYFUNCTION("""COMPUTED_VALUE"""),"M. 632/ Pahoman")</f>
        <v>M. 632/ Pahoman</v>
      </c>
      <c r="D2972" s="13" t="str">
        <f>IFERROR(__xludf.DUMMYFUNCTION("""COMPUTED_VALUE"""),"K/4/190625/1")</f>
        <v>K/4/190625/1</v>
      </c>
      <c r="E2972" s="14" t="str">
        <f>IFERROR(__xludf.DUMMYFUNCTION("""COMPUTED_VALUE"""),"Heri (BT)")</f>
        <v>Heri (BT)</v>
      </c>
      <c r="F2972" s="14" t="str">
        <f>IFERROR(__xludf.DUMMYFUNCTION("""COMPUTED_VALUE"""),"SELESAI (VIA PERMOHONAN)")</f>
        <v>SELESAI (VIA PERMOHONAN)</v>
      </c>
      <c r="G2972" s="17">
        <f>IFERROR(__xludf.DUMMYFUNCTION("""COMPUTED_VALUE"""),45853.55735275463)</f>
        <v>45853.55735</v>
      </c>
      <c r="H2972" s="14" t="str">
        <f>IFERROR(__xludf.DUMMYFUNCTION("""COMPUTED_VALUE"""),"Eci (SU)")</f>
        <v>Eci (SU)</v>
      </c>
      <c r="I2972" s="13" t="str">
        <f>IFERROR(__xludf.DUMMYFUNCTION("""COMPUTED_VALUE"""),"SELESAI (VIA PERMOHONAN)")</f>
        <v>SELESAI (VIA PERMOHONAN)</v>
      </c>
      <c r="J2972" s="17">
        <f>IFERROR(__xludf.DUMMYFUNCTION("""COMPUTED_VALUE"""),45854.559263020834)</f>
        <v>45854.55926</v>
      </c>
      <c r="K2972" s="13" t="str">
        <f>IFERROR(__xludf.DUMMYFUNCTION("""COMPUTED_VALUE"""),"Selesai")</f>
        <v>Selesai</v>
      </c>
      <c r="L2972" s="17">
        <f>IFERROR(__xludf.DUMMYFUNCTION("""COMPUTED_VALUE"""),45854.559263020834)</f>
        <v>45854.55926</v>
      </c>
      <c r="M2972" s="13"/>
      <c r="N2972" s="13" t="str">
        <f>IFERROR(__xludf.DUMMYFUNCTION("""COMPUTED_VALUE"""),"")</f>
        <v/>
      </c>
      <c r="O2972" s="13" t="str">
        <f t="shared" si="1"/>
        <v/>
      </c>
    </row>
    <row r="2973" ht="22.5" customHeight="1">
      <c r="B2973" s="13">
        <f>IFERROR(__xludf.DUMMYFUNCTION("""COMPUTED_VALUE"""),2968.0)</f>
        <v>2968</v>
      </c>
      <c r="C2973" s="13" t="str">
        <f>IFERROR(__xludf.DUMMYFUNCTION("""COMPUTED_VALUE"""),"B. 145/ Gunung Sari")</f>
        <v>B. 145/ Gunung Sari</v>
      </c>
      <c r="D2973" s="13" t="str">
        <f>IFERROR(__xludf.DUMMYFUNCTION("""COMPUTED_VALUE"""),"K/9/100725/1")</f>
        <v>K/9/100725/1</v>
      </c>
      <c r="E2973" s="14" t="str">
        <f>IFERROR(__xludf.DUMMYFUNCTION("""COMPUTED_VALUE"""),"Heri (BT)")</f>
        <v>Heri (BT)</v>
      </c>
      <c r="F2973" s="14" t="str">
        <f>IFERROR(__xludf.DUMMYFUNCTION("""COMPUTED_VALUE"""),"SELESAI (VIA PERMOHONAN)")</f>
        <v>SELESAI (VIA PERMOHONAN)</v>
      </c>
      <c r="G2973" s="17">
        <f>IFERROR(__xludf.DUMMYFUNCTION("""COMPUTED_VALUE"""),45853.557505613426)</f>
        <v>45853.55751</v>
      </c>
      <c r="H2973" s="14" t="str">
        <f>IFERROR(__xludf.DUMMYFUNCTION("""COMPUTED_VALUE"""),"Eci (SU)")</f>
        <v>Eci (SU)</v>
      </c>
      <c r="I2973" s="13" t="str">
        <f>IFERROR(__xludf.DUMMYFUNCTION("""COMPUTED_VALUE"""),"SELESAI (VIA PERMOHONAN)")</f>
        <v>SELESAI (VIA PERMOHONAN)</v>
      </c>
      <c r="J2973" s="17">
        <f>IFERROR(__xludf.DUMMYFUNCTION("""COMPUTED_VALUE"""),45854.56050140046)</f>
        <v>45854.5605</v>
      </c>
      <c r="K2973" s="13" t="str">
        <f>IFERROR(__xludf.DUMMYFUNCTION("""COMPUTED_VALUE"""),"Selesai")</f>
        <v>Selesai</v>
      </c>
      <c r="L2973" s="17">
        <f>IFERROR(__xludf.DUMMYFUNCTION("""COMPUTED_VALUE"""),45854.56050140046)</f>
        <v>45854.5605</v>
      </c>
      <c r="M2973" s="13"/>
      <c r="N2973" s="13" t="str">
        <f>IFERROR(__xludf.DUMMYFUNCTION("""COMPUTED_VALUE"""),"")</f>
        <v/>
      </c>
      <c r="O2973" s="13" t="str">
        <f t="shared" si="1"/>
        <v/>
      </c>
    </row>
    <row r="2974" ht="22.5" customHeight="1">
      <c r="B2974" s="13">
        <f>IFERROR(__xludf.DUMMYFUNCTION("""COMPUTED_VALUE"""),2969.0)</f>
        <v>2969</v>
      </c>
      <c r="C2974" s="13" t="str">
        <f>IFERROR(__xludf.DUMMYFUNCTION("""COMPUTED_VALUE"""),"M. 918/ Jagabaya III")</f>
        <v>M. 918/ Jagabaya III</v>
      </c>
      <c r="D2974" s="13" t="str">
        <f>IFERROR(__xludf.DUMMYFUNCTION("""COMPUTED_VALUE"""),"K/15/010725/3")</f>
        <v>K/15/010725/3</v>
      </c>
      <c r="E2974" s="14" t="str">
        <f>IFERROR(__xludf.DUMMYFUNCTION("""COMPUTED_VALUE"""),"Heri (BT)")</f>
        <v>Heri (BT)</v>
      </c>
      <c r="F2974" s="14" t="str">
        <f>IFERROR(__xludf.DUMMYFUNCTION("""COMPUTED_VALUE"""),"SELESAI (VIA PERMOHONAN)")</f>
        <v>SELESAI (VIA PERMOHONAN)</v>
      </c>
      <c r="G2974" s="17">
        <f>IFERROR(__xludf.DUMMYFUNCTION("""COMPUTED_VALUE"""),45853.55767836806)</f>
        <v>45853.55768</v>
      </c>
      <c r="H2974" s="14" t="str">
        <f>IFERROR(__xludf.DUMMYFUNCTION("""COMPUTED_VALUE"""),"Eci (SU)")</f>
        <v>Eci (SU)</v>
      </c>
      <c r="I2974" s="13" t="str">
        <f>IFERROR(__xludf.DUMMYFUNCTION("""COMPUTED_VALUE"""),"SELESAI (VIA PERMOHONAN)")</f>
        <v>SELESAI (VIA PERMOHONAN)</v>
      </c>
      <c r="J2974" s="17">
        <f>IFERROR(__xludf.DUMMYFUNCTION("""COMPUTED_VALUE"""),45854.5585558912)</f>
        <v>45854.55856</v>
      </c>
      <c r="K2974" s="13" t="str">
        <f>IFERROR(__xludf.DUMMYFUNCTION("""COMPUTED_VALUE"""),"Selesai")</f>
        <v>Selesai</v>
      </c>
      <c r="L2974" s="17">
        <f>IFERROR(__xludf.DUMMYFUNCTION("""COMPUTED_VALUE"""),45854.5585558912)</f>
        <v>45854.55856</v>
      </c>
      <c r="M2974" s="13"/>
      <c r="N2974" s="13" t="str">
        <f>IFERROR(__xludf.DUMMYFUNCTION("""COMPUTED_VALUE"""),"")</f>
        <v/>
      </c>
      <c r="O2974" s="13" t="str">
        <f t="shared" si="1"/>
        <v/>
      </c>
    </row>
    <row r="2975" ht="22.5" customHeight="1">
      <c r="B2975" s="13">
        <f>IFERROR(__xludf.DUMMYFUNCTION("""COMPUTED_VALUE"""),2970.0)</f>
        <v>2970</v>
      </c>
      <c r="C2975" s="13" t="str">
        <f>IFERROR(__xludf.DUMMYFUNCTION("""COMPUTED_VALUE"""),"M. 3218/ Way Kandis")</f>
        <v>M. 3218/ Way Kandis</v>
      </c>
      <c r="D2975" s="13" t="str">
        <f>IFERROR(__xludf.DUMMYFUNCTION("""COMPUTED_VALUE"""),"K/37/030725/2")</f>
        <v>K/37/030725/2</v>
      </c>
      <c r="E2975" s="14" t="str">
        <f>IFERROR(__xludf.DUMMYFUNCTION("""COMPUTED_VALUE"""),"Heri (BT)")</f>
        <v>Heri (BT)</v>
      </c>
      <c r="F2975" s="14" t="str">
        <f>IFERROR(__xludf.DUMMYFUNCTION("""COMPUTED_VALUE"""),"SELESAI (VIA PERMOHONAN)")</f>
        <v>SELESAI (VIA PERMOHONAN)</v>
      </c>
      <c r="G2975" s="17">
        <f>IFERROR(__xludf.DUMMYFUNCTION("""COMPUTED_VALUE"""),45853.5578025463)</f>
        <v>45853.5578</v>
      </c>
      <c r="H2975" s="14" t="str">
        <f>IFERROR(__xludf.DUMMYFUNCTION("""COMPUTED_VALUE"""),"Eci (SU)")</f>
        <v>Eci (SU)</v>
      </c>
      <c r="I2975" s="13" t="str">
        <f>IFERROR(__xludf.DUMMYFUNCTION("""COMPUTED_VALUE"""),"SELESAI (VIA PERMOHONAN)")</f>
        <v>SELESAI (VIA PERMOHONAN)</v>
      </c>
      <c r="J2975" s="17">
        <f>IFERROR(__xludf.DUMMYFUNCTION("""COMPUTED_VALUE"""),45854.55871355324)</f>
        <v>45854.55871</v>
      </c>
      <c r="K2975" s="13" t="str">
        <f>IFERROR(__xludf.DUMMYFUNCTION("""COMPUTED_VALUE"""),"Selesai")</f>
        <v>Selesai</v>
      </c>
      <c r="L2975" s="17">
        <f>IFERROR(__xludf.DUMMYFUNCTION("""COMPUTED_VALUE"""),45854.55871355324)</f>
        <v>45854.55871</v>
      </c>
      <c r="M2975" s="13"/>
      <c r="N2975" s="13" t="str">
        <f>IFERROR(__xludf.DUMMYFUNCTION("""COMPUTED_VALUE"""),"")</f>
        <v/>
      </c>
      <c r="O2975" s="13" t="str">
        <f t="shared" si="1"/>
        <v/>
      </c>
    </row>
    <row r="2976" ht="22.5" customHeight="1">
      <c r="B2976" s="13">
        <f>IFERROR(__xludf.DUMMYFUNCTION("""COMPUTED_VALUE"""),2971.0)</f>
        <v>2971</v>
      </c>
      <c r="C2976" s="13" t="str">
        <f>IFERROR(__xludf.DUMMYFUNCTION("""COMPUTED_VALUE"""),"M. 255/ Pesawahan")</f>
        <v>M. 255/ Pesawahan</v>
      </c>
      <c r="D2976" s="13" t="str">
        <f>IFERROR(__xludf.DUMMYFUNCTION("""COMPUTED_VALUE"""),"K/41/100725/3")</f>
        <v>K/41/100725/3</v>
      </c>
      <c r="E2976" s="14" t="str">
        <f>IFERROR(__xludf.DUMMYFUNCTION("""COMPUTED_VALUE"""),"Heri (BT)")</f>
        <v>Heri (BT)</v>
      </c>
      <c r="F2976" s="14" t="str">
        <f>IFERROR(__xludf.DUMMYFUNCTION("""COMPUTED_VALUE"""),"SELESAI (VIA PERMOHONAN)")</f>
        <v>SELESAI (VIA PERMOHONAN)</v>
      </c>
      <c r="G2976" s="17">
        <f>IFERROR(__xludf.DUMMYFUNCTION("""COMPUTED_VALUE"""),45853.558010266206)</f>
        <v>45853.55801</v>
      </c>
      <c r="H2976" s="14" t="str">
        <f>IFERROR(__xludf.DUMMYFUNCTION("""COMPUTED_VALUE"""),"Eci (SU)")</f>
        <v>Eci (SU)</v>
      </c>
      <c r="I2976" s="13" t="str">
        <f>IFERROR(__xludf.DUMMYFUNCTION("""COMPUTED_VALUE"""),"SELESAI (VIA PERMOHONAN)")</f>
        <v>SELESAI (VIA PERMOHONAN)</v>
      </c>
      <c r="J2976" s="17">
        <f>IFERROR(__xludf.DUMMYFUNCTION("""COMPUTED_VALUE"""),45854.55904399305)</f>
        <v>45854.55904</v>
      </c>
      <c r="K2976" s="13" t="str">
        <f>IFERROR(__xludf.DUMMYFUNCTION("""COMPUTED_VALUE"""),"Selesai")</f>
        <v>Selesai</v>
      </c>
      <c r="L2976" s="17">
        <f>IFERROR(__xludf.DUMMYFUNCTION("""COMPUTED_VALUE"""),45854.55904399305)</f>
        <v>45854.55904</v>
      </c>
      <c r="M2976" s="13"/>
      <c r="N2976" s="13" t="str">
        <f>IFERROR(__xludf.DUMMYFUNCTION("""COMPUTED_VALUE"""),"")</f>
        <v/>
      </c>
      <c r="O2976" s="13" t="str">
        <f t="shared" si="1"/>
        <v/>
      </c>
    </row>
    <row r="2977" ht="22.5" customHeight="1">
      <c r="B2977" s="13">
        <f>IFERROR(__xludf.DUMMYFUNCTION("""COMPUTED_VALUE"""),2972.0)</f>
        <v>2972</v>
      </c>
      <c r="C2977" s="13" t="str">
        <f>IFERROR(__xludf.DUMMYFUNCTION("""COMPUTED_VALUE"""),"M. 374/ Sukamenanti Baru")</f>
        <v>M. 374/ Sukamenanti Baru</v>
      </c>
      <c r="D2977" s="13" t="str">
        <f>IFERROR(__xludf.DUMMYFUNCTION("""COMPUTED_VALUE"""),"K/32/040725/1")</f>
        <v>K/32/040725/1</v>
      </c>
      <c r="E2977" s="14" t="str">
        <f>IFERROR(__xludf.DUMMYFUNCTION("""COMPUTED_VALUE"""),"Heri (BT)")</f>
        <v>Heri (BT)</v>
      </c>
      <c r="F2977" s="14" t="str">
        <f>IFERROR(__xludf.DUMMYFUNCTION("""COMPUTED_VALUE"""),"SELESAI (VIA PERMOHONAN)")</f>
        <v>SELESAI (VIA PERMOHONAN)</v>
      </c>
      <c r="G2977" s="17">
        <f>IFERROR(__xludf.DUMMYFUNCTION("""COMPUTED_VALUE"""),45853.55814042824)</f>
        <v>45853.55814</v>
      </c>
      <c r="H2977" s="14" t="str">
        <f>IFERROR(__xludf.DUMMYFUNCTION("""COMPUTED_VALUE"""),"Eci (SU)")</f>
        <v>Eci (SU)</v>
      </c>
      <c r="I2977" s="13" t="str">
        <f>IFERROR(__xludf.DUMMYFUNCTION("""COMPUTED_VALUE"""),"SELESAI (VIA PERMOHONAN)")</f>
        <v>SELESAI (VIA PERMOHONAN)</v>
      </c>
      <c r="J2977" s="17">
        <f>IFERROR(__xludf.DUMMYFUNCTION("""COMPUTED_VALUE"""),45854.55913271991)</f>
        <v>45854.55913</v>
      </c>
      <c r="K2977" s="13" t="str">
        <f>IFERROR(__xludf.DUMMYFUNCTION("""COMPUTED_VALUE"""),"Selesai")</f>
        <v>Selesai</v>
      </c>
      <c r="L2977" s="17">
        <f>IFERROR(__xludf.DUMMYFUNCTION("""COMPUTED_VALUE"""),45854.55913271991)</f>
        <v>45854.55913</v>
      </c>
      <c r="M2977" s="13"/>
      <c r="N2977" s="13" t="str">
        <f>IFERROR(__xludf.DUMMYFUNCTION("""COMPUTED_VALUE"""),"")</f>
        <v/>
      </c>
      <c r="O2977" s="13" t="str">
        <f t="shared" si="1"/>
        <v/>
      </c>
    </row>
    <row r="2978" ht="22.5" customHeight="1">
      <c r="B2978" s="13">
        <f>IFERROR(__xludf.DUMMYFUNCTION("""COMPUTED_VALUE"""),2973.0)</f>
        <v>2973</v>
      </c>
      <c r="C2978" s="13" t="str">
        <f>IFERROR(__xludf.DUMMYFUNCTION("""COMPUTED_VALUE"""),"B. 151/ Nusantara Permai")</f>
        <v>B. 151/ Nusantara Permai</v>
      </c>
      <c r="D2978" s="13" t="str">
        <f>IFERROR(__xludf.DUMMYFUNCTION("""COMPUTED_VALUE"""),"K/22/020725/1")</f>
        <v>K/22/020725/1</v>
      </c>
      <c r="E2978" s="14" t="str">
        <f>IFERROR(__xludf.DUMMYFUNCTION("""COMPUTED_VALUE"""),"Heri (BT)")</f>
        <v>Heri (BT)</v>
      </c>
      <c r="F2978" s="14" t="str">
        <f>IFERROR(__xludf.DUMMYFUNCTION("""COMPUTED_VALUE"""),"SELESAI (VIA PERMOHONAN)")</f>
        <v>SELESAI (VIA PERMOHONAN)</v>
      </c>
      <c r="G2978" s="17">
        <f>IFERROR(__xludf.DUMMYFUNCTION("""COMPUTED_VALUE"""),45853.55827991898)</f>
        <v>45853.55828</v>
      </c>
      <c r="H2978" s="14" t="str">
        <f>IFERROR(__xludf.DUMMYFUNCTION("""COMPUTED_VALUE"""),"Eci (SU)")</f>
        <v>Eci (SU)</v>
      </c>
      <c r="I2978" s="13" t="str">
        <f>IFERROR(__xludf.DUMMYFUNCTION("""COMPUTED_VALUE"""),"SELESAI (VIA PERMOHONAN)")</f>
        <v>SELESAI (VIA PERMOHONAN)</v>
      </c>
      <c r="J2978" s="17">
        <f>IFERROR(__xludf.DUMMYFUNCTION("""COMPUTED_VALUE"""),45854.59552773148)</f>
        <v>45854.59553</v>
      </c>
      <c r="K2978" s="13" t="str">
        <f>IFERROR(__xludf.DUMMYFUNCTION("""COMPUTED_VALUE"""),"Selesai")</f>
        <v>Selesai</v>
      </c>
      <c r="L2978" s="17">
        <f>IFERROR(__xludf.DUMMYFUNCTION("""COMPUTED_VALUE"""),45854.59552773148)</f>
        <v>45854.59553</v>
      </c>
      <c r="M2978" s="13"/>
      <c r="N2978" s="13" t="str">
        <f>IFERROR(__xludf.DUMMYFUNCTION("""COMPUTED_VALUE"""),"")</f>
        <v/>
      </c>
      <c r="O2978" s="13" t="str">
        <f t="shared" si="1"/>
        <v/>
      </c>
    </row>
    <row r="2979" ht="22.5" customHeight="1">
      <c r="B2979" s="13">
        <f>IFERROR(__xludf.DUMMYFUNCTION("""COMPUTED_VALUE"""),2974.0)</f>
        <v>2974</v>
      </c>
      <c r="C2979" s="13" t="str">
        <f>IFERROR(__xludf.DUMMYFUNCTION("""COMPUTED_VALUE"""),"B. 161/ Gunung Sari")</f>
        <v>B. 161/ Gunung Sari</v>
      </c>
      <c r="D2979" s="13" t="str">
        <f>IFERROR(__xludf.DUMMYFUNCTION("""COMPUTED_VALUE"""),"K/11/100725/3")</f>
        <v>K/11/100725/3</v>
      </c>
      <c r="E2979" s="14" t="str">
        <f>IFERROR(__xludf.DUMMYFUNCTION("""COMPUTED_VALUE"""),"Heri (BT)")</f>
        <v>Heri (BT)</v>
      </c>
      <c r="F2979" s="14" t="str">
        <f>IFERROR(__xludf.DUMMYFUNCTION("""COMPUTED_VALUE"""),"SELESAI (VIA PERMOHONAN)")</f>
        <v>SELESAI (VIA PERMOHONAN)</v>
      </c>
      <c r="G2979" s="17">
        <f>IFERROR(__xludf.DUMMYFUNCTION("""COMPUTED_VALUE"""),45853.55850501158)</f>
        <v>45853.55851</v>
      </c>
      <c r="H2979" s="14" t="str">
        <f>IFERROR(__xludf.DUMMYFUNCTION("""COMPUTED_VALUE"""),"Eci (SU)")</f>
        <v>Eci (SU)</v>
      </c>
      <c r="I2979" s="13" t="str">
        <f>IFERROR(__xludf.DUMMYFUNCTION("""COMPUTED_VALUE"""),"SELESAI (VIA PERMOHONAN)")</f>
        <v>SELESAI (VIA PERMOHONAN)</v>
      </c>
      <c r="J2979" s="17">
        <f>IFERROR(__xludf.DUMMYFUNCTION("""COMPUTED_VALUE"""),45854.560255856486)</f>
        <v>45854.56026</v>
      </c>
      <c r="K2979" s="13" t="str">
        <f>IFERROR(__xludf.DUMMYFUNCTION("""COMPUTED_VALUE"""),"Selesai")</f>
        <v>Selesai</v>
      </c>
      <c r="L2979" s="17">
        <f>IFERROR(__xludf.DUMMYFUNCTION("""COMPUTED_VALUE"""),45854.560255856486)</f>
        <v>45854.56026</v>
      </c>
      <c r="M2979" s="13"/>
      <c r="N2979" s="13" t="str">
        <f>IFERROR(__xludf.DUMMYFUNCTION("""COMPUTED_VALUE"""),"")</f>
        <v/>
      </c>
      <c r="O2979" s="13" t="str">
        <f t="shared" si="1"/>
        <v/>
      </c>
    </row>
    <row r="2980" ht="22.5" customHeight="1">
      <c r="B2980" s="13">
        <f>IFERROR(__xludf.DUMMYFUNCTION("""COMPUTED_VALUE"""),2975.0)</f>
        <v>2975</v>
      </c>
      <c r="C2980" s="13" t="str">
        <f>IFERROR(__xludf.DUMMYFUNCTION("""COMPUTED_VALUE"""),"M.206/GUNUNG MAS ")</f>
        <v>M.206/GUNUNG MAS </v>
      </c>
      <c r="D2980" s="13" t="str">
        <f>IFERROR(__xludf.DUMMYFUNCTION("""COMPUTED_VALUE"""),"K/38/010725/1")</f>
        <v>K/38/010725/1</v>
      </c>
      <c r="E2980" s="14" t="str">
        <f>IFERROR(__xludf.DUMMYFUNCTION("""COMPUTED_VALUE"""),"Heri (BT)")</f>
        <v>Heri (BT)</v>
      </c>
      <c r="F2980" s="14" t="str">
        <f>IFERROR(__xludf.DUMMYFUNCTION("""COMPUTED_VALUE"""),"SELESAI (VIA PERMOHONAN)")</f>
        <v>SELESAI (VIA PERMOHONAN)</v>
      </c>
      <c r="G2980" s="17">
        <f>IFERROR(__xludf.DUMMYFUNCTION("""COMPUTED_VALUE"""),45853.55864650463)</f>
        <v>45853.55865</v>
      </c>
      <c r="H2980" s="14" t="str">
        <f>IFERROR(__xludf.DUMMYFUNCTION("""COMPUTED_VALUE"""),"Eci (SU)")</f>
        <v>Eci (SU)</v>
      </c>
      <c r="I2980" s="13" t="str">
        <f>IFERROR(__xludf.DUMMYFUNCTION("""COMPUTED_VALUE"""),"SELESAI (VIA PERMOHONAN)")</f>
        <v>SELESAI (VIA PERMOHONAN)</v>
      </c>
      <c r="J2980" s="17">
        <f>IFERROR(__xludf.DUMMYFUNCTION("""COMPUTED_VALUE"""),45854.55946733797)</f>
        <v>45854.55947</v>
      </c>
      <c r="K2980" s="13" t="str">
        <f>IFERROR(__xludf.DUMMYFUNCTION("""COMPUTED_VALUE"""),"Selesai")</f>
        <v>Selesai</v>
      </c>
      <c r="L2980" s="17">
        <f>IFERROR(__xludf.DUMMYFUNCTION("""COMPUTED_VALUE"""),45854.55946733797)</f>
        <v>45854.55947</v>
      </c>
      <c r="M2980" s="13"/>
      <c r="N2980" s="13" t="str">
        <f>IFERROR(__xludf.DUMMYFUNCTION("""COMPUTED_VALUE"""),"")</f>
        <v/>
      </c>
      <c r="O2980" s="13" t="str">
        <f t="shared" si="1"/>
        <v/>
      </c>
    </row>
    <row r="2981" ht="22.5" customHeight="1">
      <c r="B2981" s="13">
        <f>IFERROR(__xludf.DUMMYFUNCTION("""COMPUTED_VALUE"""),2976.0)</f>
        <v>2976</v>
      </c>
      <c r="C2981" s="13" t="str">
        <f>IFERROR(__xludf.DUMMYFUNCTION("""COMPUTED_VALUE"""),"M.713/TANJUNG SENENG")</f>
        <v>M.713/TANJUNG SENENG</v>
      </c>
      <c r="D2981" s="13" t="str">
        <f>IFERROR(__xludf.DUMMYFUNCTION("""COMPUTED_VALUE"""),"K/10/240625/1")</f>
        <v>K/10/240625/1</v>
      </c>
      <c r="E2981" s="14" t="str">
        <f>IFERROR(__xludf.DUMMYFUNCTION("""COMPUTED_VALUE"""),"Heri (BT)")</f>
        <v>Heri (BT)</v>
      </c>
      <c r="F2981" s="14" t="str">
        <f>IFERROR(__xludf.DUMMYFUNCTION("""COMPUTED_VALUE"""),"SELESAI (VIA PERMOHONAN)")</f>
        <v>SELESAI (VIA PERMOHONAN)</v>
      </c>
      <c r="G2981" s="17">
        <f>IFERROR(__xludf.DUMMYFUNCTION("""COMPUTED_VALUE"""),45853.55881797454)</f>
        <v>45853.55882</v>
      </c>
      <c r="H2981" s="14" t="str">
        <f>IFERROR(__xludf.DUMMYFUNCTION("""COMPUTED_VALUE"""),"Eci (SU)")</f>
        <v>Eci (SU)</v>
      </c>
      <c r="I2981" s="13" t="str">
        <f>IFERROR(__xludf.DUMMYFUNCTION("""COMPUTED_VALUE"""),"SELESAI (VIA PERMOHONAN)")</f>
        <v>SELESAI (VIA PERMOHONAN)</v>
      </c>
      <c r="J2981" s="17">
        <f>IFERROR(__xludf.DUMMYFUNCTION("""COMPUTED_VALUE"""),45854.59552773148)</f>
        <v>45854.59553</v>
      </c>
      <c r="K2981" s="13" t="str">
        <f>IFERROR(__xludf.DUMMYFUNCTION("""COMPUTED_VALUE"""),"Selesai")</f>
        <v>Selesai</v>
      </c>
      <c r="L2981" s="17">
        <f>IFERROR(__xludf.DUMMYFUNCTION("""COMPUTED_VALUE"""),45854.59552773148)</f>
        <v>45854.59553</v>
      </c>
      <c r="M2981" s="13"/>
      <c r="N2981" s="13" t="str">
        <f>IFERROR(__xludf.DUMMYFUNCTION("""COMPUTED_VALUE"""),"")</f>
        <v/>
      </c>
      <c r="O2981" s="13" t="str">
        <f t="shared" si="1"/>
        <v/>
      </c>
    </row>
    <row r="2982" ht="22.5" customHeight="1">
      <c r="B2982" s="13">
        <f>IFERROR(__xludf.DUMMYFUNCTION("""COMPUTED_VALUE"""),2977.0)</f>
        <v>2977</v>
      </c>
      <c r="C2982" s="13" t="str">
        <f>IFERROR(__xludf.DUMMYFUNCTION("""COMPUTED_VALUE"""),"M.84/GUNUNG MAS")</f>
        <v>M.84/GUNUNG MAS</v>
      </c>
      <c r="D2982" s="13" t="str">
        <f>IFERROR(__xludf.DUMMYFUNCTION("""COMPUTED_VALUE"""),"K/39/010725/2")</f>
        <v>K/39/010725/2</v>
      </c>
      <c r="E2982" s="14" t="str">
        <f>IFERROR(__xludf.DUMMYFUNCTION("""COMPUTED_VALUE"""),"Heri (BT)")</f>
        <v>Heri (BT)</v>
      </c>
      <c r="F2982" s="14" t="str">
        <f>IFERROR(__xludf.DUMMYFUNCTION("""COMPUTED_VALUE"""),"SELESAI (VIA PERMOHONAN)")</f>
        <v>SELESAI (VIA PERMOHONAN)</v>
      </c>
      <c r="G2982" s="17">
        <f>IFERROR(__xludf.DUMMYFUNCTION("""COMPUTED_VALUE"""),45853.55893092592)</f>
        <v>45853.55893</v>
      </c>
      <c r="H2982" s="14" t="str">
        <f>IFERROR(__xludf.DUMMYFUNCTION("""COMPUTED_VALUE"""),"Eci (SU)")</f>
        <v>Eci (SU)</v>
      </c>
      <c r="I2982" s="13" t="str">
        <f>IFERROR(__xludf.DUMMYFUNCTION("""COMPUTED_VALUE"""),"SELESAI (VIA PERMOHONAN)")</f>
        <v>SELESAI (VIA PERMOHONAN)</v>
      </c>
      <c r="J2982" s="17">
        <f>IFERROR(__xludf.DUMMYFUNCTION("""COMPUTED_VALUE"""),45854.59552773148)</f>
        <v>45854.59553</v>
      </c>
      <c r="K2982" s="13" t="str">
        <f>IFERROR(__xludf.DUMMYFUNCTION("""COMPUTED_VALUE"""),"Selesai")</f>
        <v>Selesai</v>
      </c>
      <c r="L2982" s="17">
        <f>IFERROR(__xludf.DUMMYFUNCTION("""COMPUTED_VALUE"""),45854.59552773148)</f>
        <v>45854.59553</v>
      </c>
      <c r="M2982" s="13"/>
      <c r="N2982" s="13" t="str">
        <f>IFERROR(__xludf.DUMMYFUNCTION("""COMPUTED_VALUE"""),"")</f>
        <v/>
      </c>
      <c r="O2982" s="13" t="str">
        <f t="shared" si="1"/>
        <v/>
      </c>
    </row>
    <row r="2983" ht="22.5" customHeight="1">
      <c r="B2983" s="13">
        <f>IFERROR(__xludf.DUMMYFUNCTION("""COMPUTED_VALUE"""),2978.0)</f>
        <v>2978</v>
      </c>
      <c r="C2983" s="13" t="str">
        <f>IFERROR(__xludf.DUMMYFUNCTION("""COMPUTED_VALUE"""),"M.664/CAMPANG JAYA")</f>
        <v>M.664/CAMPANG JAYA</v>
      </c>
      <c r="D2983" s="13" t="str">
        <f>IFERROR(__xludf.DUMMYFUNCTION("""COMPUTED_VALUE"""),"K/37/250625/1")</f>
        <v>K/37/250625/1</v>
      </c>
      <c r="E2983" s="14" t="str">
        <f>IFERROR(__xludf.DUMMYFUNCTION("""COMPUTED_VALUE"""),"Heri (BT)")</f>
        <v>Heri (BT)</v>
      </c>
      <c r="F2983" s="14" t="str">
        <f>IFERROR(__xludf.DUMMYFUNCTION("""COMPUTED_VALUE"""),"SELESAI (VIA PERMOHONAN)")</f>
        <v>SELESAI (VIA PERMOHONAN)</v>
      </c>
      <c r="G2983" s="17">
        <f>IFERROR(__xludf.DUMMYFUNCTION("""COMPUTED_VALUE"""),45853.55908407408)</f>
        <v>45853.55908</v>
      </c>
      <c r="H2983" s="14" t="str">
        <f>IFERROR(__xludf.DUMMYFUNCTION("""COMPUTED_VALUE"""),"Eci (SU)")</f>
        <v>Eci (SU)</v>
      </c>
      <c r="I2983" s="13" t="str">
        <f>IFERROR(__xludf.DUMMYFUNCTION("""COMPUTED_VALUE"""),"SELESAI (VIA PERMOHONAN)")</f>
        <v>SELESAI (VIA PERMOHONAN)</v>
      </c>
      <c r="J2983" s="17">
        <f>IFERROR(__xludf.DUMMYFUNCTION("""COMPUTED_VALUE"""),45854.59552773148)</f>
        <v>45854.59553</v>
      </c>
      <c r="K2983" s="13" t="str">
        <f>IFERROR(__xludf.DUMMYFUNCTION("""COMPUTED_VALUE"""),"Selesai")</f>
        <v>Selesai</v>
      </c>
      <c r="L2983" s="17">
        <f>IFERROR(__xludf.DUMMYFUNCTION("""COMPUTED_VALUE"""),45854.59552773148)</f>
        <v>45854.59553</v>
      </c>
      <c r="M2983" s="13"/>
      <c r="N2983" s="13" t="str">
        <f>IFERROR(__xludf.DUMMYFUNCTION("""COMPUTED_VALUE"""),"")</f>
        <v/>
      </c>
      <c r="O2983" s="13" t="str">
        <f t="shared" si="1"/>
        <v/>
      </c>
    </row>
    <row r="2984" ht="22.5" customHeight="1">
      <c r="B2984" s="13">
        <f>IFERROR(__xludf.DUMMYFUNCTION("""COMPUTED_VALUE"""),2979.0)</f>
        <v>2979</v>
      </c>
      <c r="C2984" s="13" t="str">
        <f>IFERROR(__xludf.DUMMYFUNCTION("""COMPUTED_VALUE"""),"M.5746/TANJUNG SENENG")</f>
        <v>M.5746/TANJUNG SENENG</v>
      </c>
      <c r="D2984" s="13" t="str">
        <f>IFERROR(__xludf.DUMMYFUNCTION("""COMPUTED_VALUE"""),"K/26/260625/2")</f>
        <v>K/26/260625/2</v>
      </c>
      <c r="E2984" s="14" t="str">
        <f>IFERROR(__xludf.DUMMYFUNCTION("""COMPUTED_VALUE"""),"Heri (BT)")</f>
        <v>Heri (BT)</v>
      </c>
      <c r="F2984" s="14" t="str">
        <f>IFERROR(__xludf.DUMMYFUNCTION("""COMPUTED_VALUE"""),"SELESAI (VIA PERMOHONAN)")</f>
        <v>SELESAI (VIA PERMOHONAN)</v>
      </c>
      <c r="G2984" s="17">
        <f>IFERROR(__xludf.DUMMYFUNCTION("""COMPUTED_VALUE"""),45853.55925179398)</f>
        <v>45853.55925</v>
      </c>
      <c r="H2984" s="14" t="str">
        <f>IFERROR(__xludf.DUMMYFUNCTION("""COMPUTED_VALUE"""),"Eci (SU)")</f>
        <v>Eci (SU)</v>
      </c>
      <c r="I2984" s="13" t="str">
        <f>IFERROR(__xludf.DUMMYFUNCTION("""COMPUTED_VALUE"""),"SELESAI (VIA PERMOHONAN)")</f>
        <v>SELESAI (VIA PERMOHONAN)</v>
      </c>
      <c r="J2984" s="17">
        <f>IFERROR(__xludf.DUMMYFUNCTION("""COMPUTED_VALUE"""),45854.560811620366)</f>
        <v>45854.56081</v>
      </c>
      <c r="K2984" s="13" t="str">
        <f>IFERROR(__xludf.DUMMYFUNCTION("""COMPUTED_VALUE"""),"Selesai")</f>
        <v>Selesai</v>
      </c>
      <c r="L2984" s="17">
        <f>IFERROR(__xludf.DUMMYFUNCTION("""COMPUTED_VALUE"""),45854.560811620366)</f>
        <v>45854.56081</v>
      </c>
      <c r="M2984" s="13"/>
      <c r="N2984" s="13" t="str">
        <f>IFERROR(__xludf.DUMMYFUNCTION("""COMPUTED_VALUE"""),"")</f>
        <v/>
      </c>
      <c r="O2984" s="13" t="str">
        <f t="shared" si="1"/>
        <v/>
      </c>
    </row>
    <row r="2985" ht="22.5" customHeight="1">
      <c r="B2985" s="13">
        <f>IFERROR(__xludf.DUMMYFUNCTION("""COMPUTED_VALUE"""),2980.0)</f>
        <v>2980</v>
      </c>
      <c r="C2985" s="13" t="str">
        <f>IFERROR(__xludf.DUMMYFUNCTION("""COMPUTED_VALUE"""),"M.19648/SUKARAME ")</f>
        <v>M.19648/SUKARAME </v>
      </c>
      <c r="D2985" s="13" t="str">
        <f>IFERROR(__xludf.DUMMYFUNCTION("""COMPUTED_VALUE"""),"K/39/260625/1")</f>
        <v>K/39/260625/1</v>
      </c>
      <c r="E2985" s="14" t="str">
        <f>IFERROR(__xludf.DUMMYFUNCTION("""COMPUTED_VALUE"""),"Heri (BT)")</f>
        <v>Heri (BT)</v>
      </c>
      <c r="F2985" s="14" t="str">
        <f>IFERROR(__xludf.DUMMYFUNCTION("""COMPUTED_VALUE"""),"SELESAI (VIA PERMOHONAN)")</f>
        <v>SELESAI (VIA PERMOHONAN)</v>
      </c>
      <c r="G2985" s="17">
        <f>IFERROR(__xludf.DUMMYFUNCTION("""COMPUTED_VALUE"""),45853.559396805555)</f>
        <v>45853.5594</v>
      </c>
      <c r="H2985" s="14" t="str">
        <f>IFERROR(__xludf.DUMMYFUNCTION("""COMPUTED_VALUE"""),"Eci (SU)")</f>
        <v>Eci (SU)</v>
      </c>
      <c r="I2985" s="13" t="str">
        <f>IFERROR(__xludf.DUMMYFUNCTION("""COMPUTED_VALUE"""),"SELESAI (VIA PERMOHONAN)")</f>
        <v>SELESAI (VIA PERMOHONAN)</v>
      </c>
      <c r="J2985" s="17">
        <f>IFERROR(__xludf.DUMMYFUNCTION("""COMPUTED_VALUE"""),45854.59552773148)</f>
        <v>45854.59553</v>
      </c>
      <c r="K2985" s="13" t="str">
        <f>IFERROR(__xludf.DUMMYFUNCTION("""COMPUTED_VALUE"""),"Selesai")</f>
        <v>Selesai</v>
      </c>
      <c r="L2985" s="17">
        <f>IFERROR(__xludf.DUMMYFUNCTION("""COMPUTED_VALUE"""),45854.59552773148)</f>
        <v>45854.59553</v>
      </c>
      <c r="M2985" s="13"/>
      <c r="N2985" s="13" t="str">
        <f>IFERROR(__xludf.DUMMYFUNCTION("""COMPUTED_VALUE"""),"")</f>
        <v/>
      </c>
      <c r="O2985" s="13" t="str">
        <f t="shared" si="1"/>
        <v/>
      </c>
    </row>
    <row r="2986" ht="22.5" customHeight="1">
      <c r="B2986" s="13">
        <f>IFERROR(__xludf.DUMMYFUNCTION("""COMPUTED_VALUE"""),2981.0)</f>
        <v>2981</v>
      </c>
      <c r="C2986" s="13" t="str">
        <f>IFERROR(__xludf.DUMMYFUNCTION("""COMPUTED_VALUE"""),"HGB 1368/PINNAG JAYA")</f>
        <v>HGB 1368/PINNAG JAYA</v>
      </c>
      <c r="D2986" s="13" t="str">
        <f>IFERROR(__xludf.DUMMYFUNCTION("""COMPUTED_VALUE"""),"L/11/030725/1")</f>
        <v>L/11/030725/1</v>
      </c>
      <c r="E2986" s="14" t="str">
        <f>IFERROR(__xludf.DUMMYFUNCTION("""COMPUTED_VALUE"""),"Heri (BT)")</f>
        <v>Heri (BT)</v>
      </c>
      <c r="F2986" s="14" t="str">
        <f>IFERROR(__xludf.DUMMYFUNCTION("""COMPUTED_VALUE"""),"SELESAI (VIA PERMOHONAN)")</f>
        <v>SELESAI (VIA PERMOHONAN)</v>
      </c>
      <c r="G2986" s="17">
        <f>IFERROR(__xludf.DUMMYFUNCTION("""COMPUTED_VALUE"""),45853.559656921294)</f>
        <v>45853.55966</v>
      </c>
      <c r="H2986" s="14" t="str">
        <f>IFERROR(__xludf.DUMMYFUNCTION("""COMPUTED_VALUE"""),"Eci (SU)")</f>
        <v>Eci (SU)</v>
      </c>
      <c r="I2986" s="13" t="str">
        <f>IFERROR(__xludf.DUMMYFUNCTION("""COMPUTED_VALUE"""),"SELESAI (VIA PERMOHONAN)")</f>
        <v>SELESAI (VIA PERMOHONAN)</v>
      </c>
      <c r="J2986" s="17">
        <f>IFERROR(__xludf.DUMMYFUNCTION("""COMPUTED_VALUE"""),45854.59552773148)</f>
        <v>45854.59553</v>
      </c>
      <c r="K2986" s="13" t="str">
        <f>IFERROR(__xludf.DUMMYFUNCTION("""COMPUTED_VALUE"""),"Selesai")</f>
        <v>Selesai</v>
      </c>
      <c r="L2986" s="17">
        <f>IFERROR(__xludf.DUMMYFUNCTION("""COMPUTED_VALUE"""),45854.59552773148)</f>
        <v>45854.59553</v>
      </c>
      <c r="M2986" s="13"/>
      <c r="N2986" s="13" t="str">
        <f>IFERROR(__xludf.DUMMYFUNCTION("""COMPUTED_VALUE"""),"")</f>
        <v/>
      </c>
      <c r="O2986" s="13" t="str">
        <f t="shared" si="1"/>
        <v/>
      </c>
    </row>
    <row r="2987" ht="22.5" customHeight="1">
      <c r="B2987" s="13">
        <f>IFERROR(__xludf.DUMMYFUNCTION("""COMPUTED_VALUE"""),2982.0)</f>
        <v>2982</v>
      </c>
      <c r="C2987" s="13" t="str">
        <f>IFERROR(__xludf.DUMMYFUNCTION("""COMPUTED_VALUE"""),"HM 564/RAJABASA RAYA")</f>
        <v>HM 564/RAJABASA RAYA</v>
      </c>
      <c r="D2987" s="13" t="str">
        <f>IFERROR(__xludf.DUMMYFUNCTION("""COMPUTED_VALUE"""),"L/10/070725/1")</f>
        <v>L/10/070725/1</v>
      </c>
      <c r="E2987" s="14" t="str">
        <f>IFERROR(__xludf.DUMMYFUNCTION("""COMPUTED_VALUE"""),"Heri (BT)")</f>
        <v>Heri (BT)</v>
      </c>
      <c r="F2987" s="14" t="str">
        <f>IFERROR(__xludf.DUMMYFUNCTION("""COMPUTED_VALUE"""),"SELESAI (VIA PERMOHONAN)")</f>
        <v>SELESAI (VIA PERMOHONAN)</v>
      </c>
      <c r="G2987" s="17">
        <f>IFERROR(__xludf.DUMMYFUNCTION("""COMPUTED_VALUE"""),45853.559809004626)</f>
        <v>45853.55981</v>
      </c>
      <c r="H2987" s="14" t="str">
        <f>IFERROR(__xludf.DUMMYFUNCTION("""COMPUTED_VALUE"""),"Eci (SU)")</f>
        <v>Eci (SU)</v>
      </c>
      <c r="I2987" s="13" t="str">
        <f>IFERROR(__xludf.DUMMYFUNCTION("""COMPUTED_VALUE"""),"SELESAI (VIA PERMOHONAN)")</f>
        <v>SELESAI (VIA PERMOHONAN)</v>
      </c>
      <c r="J2987" s="17">
        <f>IFERROR(__xludf.DUMMYFUNCTION("""COMPUTED_VALUE"""),45854.561899328706)</f>
        <v>45854.5619</v>
      </c>
      <c r="K2987" s="13" t="str">
        <f>IFERROR(__xludf.DUMMYFUNCTION("""COMPUTED_VALUE"""),"Selesai")</f>
        <v>Selesai</v>
      </c>
      <c r="L2987" s="17">
        <f>IFERROR(__xludf.DUMMYFUNCTION("""COMPUTED_VALUE"""),45854.561899328706)</f>
        <v>45854.5619</v>
      </c>
      <c r="M2987" s="13"/>
      <c r="N2987" s="13" t="str">
        <f>IFERROR(__xludf.DUMMYFUNCTION("""COMPUTED_VALUE"""),"")</f>
        <v/>
      </c>
      <c r="O2987" s="13" t="str">
        <f t="shared" si="1"/>
        <v/>
      </c>
    </row>
    <row r="2988" ht="22.5" customHeight="1">
      <c r="B2988" s="13">
        <f>IFERROR(__xludf.DUMMYFUNCTION("""COMPUTED_VALUE"""),2983.0)</f>
        <v>2983</v>
      </c>
      <c r="C2988" s="13" t="str">
        <f>IFERROR(__xludf.DUMMYFUNCTION("""COMPUTED_VALUE"""),"HM 11446/SEGALA MIDER")</f>
        <v>HM 11446/SEGALA MIDER</v>
      </c>
      <c r="D2988" s="13" t="str">
        <f>IFERROR(__xludf.DUMMYFUNCTION("""COMPUTED_VALUE"""),"L/7/070725/2")</f>
        <v>L/7/070725/2</v>
      </c>
      <c r="E2988" s="14" t="str">
        <f>IFERROR(__xludf.DUMMYFUNCTION("""COMPUTED_VALUE"""),"Heri (BT)")</f>
        <v>Heri (BT)</v>
      </c>
      <c r="F2988" s="14" t="str">
        <f>IFERROR(__xludf.DUMMYFUNCTION("""COMPUTED_VALUE"""),"SELESAI (VIA PERMOHONAN)")</f>
        <v>SELESAI (VIA PERMOHONAN)</v>
      </c>
      <c r="G2988" s="17">
        <f>IFERROR(__xludf.DUMMYFUNCTION("""COMPUTED_VALUE"""),45853.559962141204)</f>
        <v>45853.55996</v>
      </c>
      <c r="H2988" s="14" t="str">
        <f>IFERROR(__xludf.DUMMYFUNCTION("""COMPUTED_VALUE"""),"Eci (SU)")</f>
        <v>Eci (SU)</v>
      </c>
      <c r="I2988" s="13" t="str">
        <f>IFERROR(__xludf.DUMMYFUNCTION("""COMPUTED_VALUE"""),"SELESAI (VIA PERMOHONAN)")</f>
        <v>SELESAI (VIA PERMOHONAN)</v>
      </c>
      <c r="J2988" s="17">
        <f>IFERROR(__xludf.DUMMYFUNCTION("""COMPUTED_VALUE"""),45854.56201628472)</f>
        <v>45854.56202</v>
      </c>
      <c r="K2988" s="13" t="str">
        <f>IFERROR(__xludf.DUMMYFUNCTION("""COMPUTED_VALUE"""),"Selesai")</f>
        <v>Selesai</v>
      </c>
      <c r="L2988" s="17">
        <f>IFERROR(__xludf.DUMMYFUNCTION("""COMPUTED_VALUE"""),45854.56201628472)</f>
        <v>45854.56202</v>
      </c>
      <c r="M2988" s="13"/>
      <c r="N2988" s="13" t="str">
        <f>IFERROR(__xludf.DUMMYFUNCTION("""COMPUTED_VALUE"""),"")</f>
        <v/>
      </c>
      <c r="O2988" s="13" t="str">
        <f t="shared" si="1"/>
        <v/>
      </c>
    </row>
    <row r="2989" ht="22.5" customHeight="1">
      <c r="B2989" s="13">
        <f>IFERROR(__xludf.DUMMYFUNCTION("""COMPUTED_VALUE"""),2984.0)</f>
        <v>2984</v>
      </c>
      <c r="C2989" s="13" t="str">
        <f>IFERROR(__xludf.DUMMYFUNCTION("""COMPUTED_VALUE"""),"HM 11926/SUKABUMI")</f>
        <v>HM 11926/SUKABUMI</v>
      </c>
      <c r="D2989" s="13" t="str">
        <f>IFERROR(__xludf.DUMMYFUNCTION("""COMPUTED_VALUE"""),"L/2/300625/1")</f>
        <v>L/2/300625/1</v>
      </c>
      <c r="E2989" s="14" t="str">
        <f>IFERROR(__xludf.DUMMYFUNCTION("""COMPUTED_VALUE"""),"Heri (BT)")</f>
        <v>Heri (BT)</v>
      </c>
      <c r="F2989" s="14" t="str">
        <f>IFERROR(__xludf.DUMMYFUNCTION("""COMPUTED_VALUE"""),"SELESAI (VIA PERMOHONAN)")</f>
        <v>SELESAI (VIA PERMOHONAN)</v>
      </c>
      <c r="G2989" s="17">
        <f>IFERROR(__xludf.DUMMYFUNCTION("""COMPUTED_VALUE"""),45853.56019844908)</f>
        <v>45853.5602</v>
      </c>
      <c r="H2989" s="14" t="str">
        <f>IFERROR(__xludf.DUMMYFUNCTION("""COMPUTED_VALUE"""),"Eci (SU)")</f>
        <v>Eci (SU)</v>
      </c>
      <c r="I2989" s="13" t="str">
        <f>IFERROR(__xludf.DUMMYFUNCTION("""COMPUTED_VALUE"""),"SELESAI (VIA PERMOHONAN)")</f>
        <v>SELESAI (VIA PERMOHONAN)</v>
      </c>
      <c r="J2989" s="17">
        <f>IFERROR(__xludf.DUMMYFUNCTION("""COMPUTED_VALUE"""),45854.59552773148)</f>
        <v>45854.59553</v>
      </c>
      <c r="K2989" s="13" t="str">
        <f>IFERROR(__xludf.DUMMYFUNCTION("""COMPUTED_VALUE"""),"Selesai")</f>
        <v>Selesai</v>
      </c>
      <c r="L2989" s="17">
        <f>IFERROR(__xludf.DUMMYFUNCTION("""COMPUTED_VALUE"""),45854.59552773148)</f>
        <v>45854.59553</v>
      </c>
      <c r="M2989" s="13"/>
      <c r="N2989" s="13" t="str">
        <f>IFERROR(__xludf.DUMMYFUNCTION("""COMPUTED_VALUE"""),"")</f>
        <v/>
      </c>
      <c r="O2989" s="13" t="str">
        <f t="shared" si="1"/>
        <v/>
      </c>
    </row>
    <row r="2990" ht="22.5" customHeight="1">
      <c r="B2990" s="13">
        <f>IFERROR(__xludf.DUMMYFUNCTION("""COMPUTED_VALUE"""),2985.0)</f>
        <v>2985</v>
      </c>
      <c r="C2990" s="13" t="str">
        <f>IFERROR(__xludf.DUMMYFUNCTION("""COMPUTED_VALUE"""),"HM 63/TANJUNG AGUNG")</f>
        <v>HM 63/TANJUNG AGUNG</v>
      </c>
      <c r="D2990" s="13" t="str">
        <f>IFERROR(__xludf.DUMMYFUNCTION("""COMPUTED_VALUE"""),"L/25/300625/3")</f>
        <v>L/25/300625/3</v>
      </c>
      <c r="E2990" s="14" t="str">
        <f>IFERROR(__xludf.DUMMYFUNCTION("""COMPUTED_VALUE"""),"Heri (BT)")</f>
        <v>Heri (BT)</v>
      </c>
      <c r="F2990" s="14" t="str">
        <f>IFERROR(__xludf.DUMMYFUNCTION("""COMPUTED_VALUE"""),"SELESAI (VIA PERMOHONAN)")</f>
        <v>SELESAI (VIA PERMOHONAN)</v>
      </c>
      <c r="G2990" s="17">
        <f>IFERROR(__xludf.DUMMYFUNCTION("""COMPUTED_VALUE"""),45853.5605394213)</f>
        <v>45853.56054</v>
      </c>
      <c r="H2990" s="14" t="str">
        <f>IFERROR(__xludf.DUMMYFUNCTION("""COMPUTED_VALUE"""),"Eci (SU)")</f>
        <v>Eci (SU)</v>
      </c>
      <c r="I2990" s="13" t="str">
        <f>IFERROR(__xludf.DUMMYFUNCTION("""COMPUTED_VALUE"""),"SELESAI (VIA PERMOHONAN)")</f>
        <v>SELESAI (VIA PERMOHONAN)</v>
      </c>
      <c r="J2990" s="17">
        <f>IFERROR(__xludf.DUMMYFUNCTION("""COMPUTED_VALUE"""),45854.562223761575)</f>
        <v>45854.56222</v>
      </c>
      <c r="K2990" s="13" t="str">
        <f>IFERROR(__xludf.DUMMYFUNCTION("""COMPUTED_VALUE"""),"Selesai")</f>
        <v>Selesai</v>
      </c>
      <c r="L2990" s="17">
        <f>IFERROR(__xludf.DUMMYFUNCTION("""COMPUTED_VALUE"""),45854.562223761575)</f>
        <v>45854.56222</v>
      </c>
      <c r="M2990" s="13"/>
      <c r="N2990" s="13" t="str">
        <f>IFERROR(__xludf.DUMMYFUNCTION("""COMPUTED_VALUE"""),"")</f>
        <v/>
      </c>
      <c r="O2990" s="13" t="str">
        <f t="shared" si="1"/>
        <v/>
      </c>
    </row>
    <row r="2991" ht="22.5" customHeight="1">
      <c r="B2991" s="13">
        <f>IFERROR(__xludf.DUMMYFUNCTION("""COMPUTED_VALUE"""),2986.0)</f>
        <v>2986</v>
      </c>
      <c r="C2991" s="13" t="str">
        <f>IFERROR(__xludf.DUMMYFUNCTION("""COMPUTED_VALUE"""),"HM 12255/SEGALA MIDER")</f>
        <v>HM 12255/SEGALA MIDER</v>
      </c>
      <c r="D2991" s="13" t="str">
        <f>IFERROR(__xludf.DUMMYFUNCTION("""COMPUTED_VALUE"""),"L/6/070725/1")</f>
        <v>L/6/070725/1</v>
      </c>
      <c r="E2991" s="14" t="str">
        <f>IFERROR(__xludf.DUMMYFUNCTION("""COMPUTED_VALUE"""),"Heri (BT)")</f>
        <v>Heri (BT)</v>
      </c>
      <c r="F2991" s="14" t="str">
        <f>IFERROR(__xludf.DUMMYFUNCTION("""COMPUTED_VALUE"""),"SELESAI (VIA PERMOHONAN)")</f>
        <v>SELESAI (VIA PERMOHONAN)</v>
      </c>
      <c r="G2991" s="17">
        <f>IFERROR(__xludf.DUMMYFUNCTION("""COMPUTED_VALUE"""),45853.56071854167)</f>
        <v>45853.56072</v>
      </c>
      <c r="H2991" s="14" t="str">
        <f>IFERROR(__xludf.DUMMYFUNCTION("""COMPUTED_VALUE"""),"Eci (SU)")</f>
        <v>Eci (SU)</v>
      </c>
      <c r="I2991" s="13" t="str">
        <f>IFERROR(__xludf.DUMMYFUNCTION("""COMPUTED_VALUE"""),"SELESAI (VIA PERMOHONAN)")</f>
        <v>SELESAI (VIA PERMOHONAN)</v>
      </c>
      <c r="J2991" s="17">
        <f>IFERROR(__xludf.DUMMYFUNCTION("""COMPUTED_VALUE"""),45854.562415775465)</f>
        <v>45854.56242</v>
      </c>
      <c r="K2991" s="13" t="str">
        <f>IFERROR(__xludf.DUMMYFUNCTION("""COMPUTED_VALUE"""),"Selesai")</f>
        <v>Selesai</v>
      </c>
      <c r="L2991" s="17">
        <f>IFERROR(__xludf.DUMMYFUNCTION("""COMPUTED_VALUE"""),45854.562415775465)</f>
        <v>45854.56242</v>
      </c>
      <c r="M2991" s="13"/>
      <c r="N2991" s="13" t="str">
        <f>IFERROR(__xludf.DUMMYFUNCTION("""COMPUTED_VALUE"""),"")</f>
        <v/>
      </c>
      <c r="O2991" s="13" t="str">
        <f t="shared" si="1"/>
        <v/>
      </c>
    </row>
    <row r="2992" ht="22.5" customHeight="1">
      <c r="B2992" s="13">
        <f>IFERROR(__xludf.DUMMYFUNCTION("""COMPUTED_VALUE"""),2987.0)</f>
        <v>2987</v>
      </c>
      <c r="C2992" s="13" t="str">
        <f>IFERROR(__xludf.DUMMYFUNCTION("""COMPUTED_VALUE"""),"HM 2676/SUKADANA HAM")</f>
        <v>HM 2676/SUKADANA HAM</v>
      </c>
      <c r="D2992" s="13" t="str">
        <f>IFERROR(__xludf.DUMMYFUNCTION("""COMPUTED_VALUE"""),"L/12/080725/1")</f>
        <v>L/12/080725/1</v>
      </c>
      <c r="E2992" s="14" t="str">
        <f>IFERROR(__xludf.DUMMYFUNCTION("""COMPUTED_VALUE"""),"Heri (BT)")</f>
        <v>Heri (BT)</v>
      </c>
      <c r="F2992" s="14" t="str">
        <f>IFERROR(__xludf.DUMMYFUNCTION("""COMPUTED_VALUE"""),"SELESAI (VIA PERMOHONAN)")</f>
        <v>SELESAI (VIA PERMOHONAN)</v>
      </c>
      <c r="G2992" s="17">
        <f>IFERROR(__xludf.DUMMYFUNCTION("""COMPUTED_VALUE"""),45853.56086114583)</f>
        <v>45853.56086</v>
      </c>
      <c r="H2992" s="14" t="str">
        <f>IFERROR(__xludf.DUMMYFUNCTION("""COMPUTED_VALUE"""),"Eci (SU)")</f>
        <v>Eci (SU)</v>
      </c>
      <c r="I2992" s="13" t="str">
        <f>IFERROR(__xludf.DUMMYFUNCTION("""COMPUTED_VALUE"""),"SELESAI (VIA PERMOHONAN)")</f>
        <v>SELESAI (VIA PERMOHONAN)</v>
      </c>
      <c r="J2992" s="17">
        <f>IFERROR(__xludf.DUMMYFUNCTION("""COMPUTED_VALUE"""),45854.56465641204)</f>
        <v>45854.56466</v>
      </c>
      <c r="K2992" s="13" t="str">
        <f>IFERROR(__xludf.DUMMYFUNCTION("""COMPUTED_VALUE"""),"Selesai")</f>
        <v>Selesai</v>
      </c>
      <c r="L2992" s="17">
        <f>IFERROR(__xludf.DUMMYFUNCTION("""COMPUTED_VALUE"""),45854.56465641204)</f>
        <v>45854.56466</v>
      </c>
      <c r="M2992" s="13"/>
      <c r="N2992" s="13" t="str">
        <f>IFERROR(__xludf.DUMMYFUNCTION("""COMPUTED_VALUE"""),"")</f>
        <v/>
      </c>
      <c r="O2992" s="13" t="str">
        <f t="shared" si="1"/>
        <v/>
      </c>
    </row>
    <row r="2993" ht="22.5" customHeight="1">
      <c r="B2993" s="13">
        <f>IFERROR(__xludf.DUMMYFUNCTION("""COMPUTED_VALUE"""),2988.0)</f>
        <v>2988</v>
      </c>
      <c r="C2993" s="13" t="str">
        <f>IFERROR(__xludf.DUMMYFUNCTION("""COMPUTED_VALUE"""),"M. 9659/KEDAMAIAN")</f>
        <v>M. 9659/KEDAMAIAN</v>
      </c>
      <c r="D2993" s="13" t="str">
        <f>IFERROR(__xludf.DUMMYFUNCTION("""COMPUTED_VALUE"""),"K/30/080725/1")</f>
        <v>K/30/080725/1</v>
      </c>
      <c r="E2993" s="14" t="str">
        <f>IFERROR(__xludf.DUMMYFUNCTION("""COMPUTED_VALUE"""),"Heri (BT)")</f>
        <v>Heri (BT)</v>
      </c>
      <c r="F2993" s="14" t="str">
        <f>IFERROR(__xludf.DUMMYFUNCTION("""COMPUTED_VALUE"""),"SELESAI (VIA PERMOHONAN)")</f>
        <v>SELESAI (VIA PERMOHONAN)</v>
      </c>
      <c r="G2993" s="17">
        <f>IFERROR(__xludf.DUMMYFUNCTION("""COMPUTED_VALUE"""),45854.42070505787)</f>
        <v>45854.42071</v>
      </c>
      <c r="H2993" s="14" t="str">
        <f>IFERROR(__xludf.DUMMYFUNCTION("""COMPUTED_VALUE"""),"Eci (SU)")</f>
        <v>Eci (SU)</v>
      </c>
      <c r="I2993" s="13" t="str">
        <f>IFERROR(__xludf.DUMMYFUNCTION("""COMPUTED_VALUE"""),"SELESAI (VIA PERMOHONAN)")</f>
        <v>SELESAI (VIA PERMOHONAN)</v>
      </c>
      <c r="J2993" s="17">
        <f>IFERROR(__xludf.DUMMYFUNCTION("""COMPUTED_VALUE"""),45854.56453633102)</f>
        <v>45854.56454</v>
      </c>
      <c r="K2993" s="13" t="str">
        <f>IFERROR(__xludf.DUMMYFUNCTION("""COMPUTED_VALUE"""),"Selesai")</f>
        <v>Selesai</v>
      </c>
      <c r="L2993" s="17">
        <f>IFERROR(__xludf.DUMMYFUNCTION("""COMPUTED_VALUE"""),45854.56453633102)</f>
        <v>45854.56454</v>
      </c>
      <c r="M2993" s="13"/>
      <c r="N2993" s="13" t="str">
        <f>IFERROR(__xludf.DUMMYFUNCTION("""COMPUTED_VALUE"""),"")</f>
        <v/>
      </c>
      <c r="O2993" s="13" t="str">
        <f t="shared" si="1"/>
        <v/>
      </c>
    </row>
    <row r="2994" ht="22.5" customHeight="1">
      <c r="B2994" s="13">
        <f>IFERROR(__xludf.DUMMYFUNCTION("""COMPUTED_VALUE"""),2989.0)</f>
        <v>2989</v>
      </c>
      <c r="C2994" s="13" t="str">
        <f>IFERROR(__xludf.DUMMYFUNCTION("""COMPUTED_VALUE"""),"B. 2303/BERINGIN RAYA")</f>
        <v>B. 2303/BERINGIN RAYA</v>
      </c>
      <c r="D2994" s="13" t="str">
        <f>IFERROR(__xludf.DUMMYFUNCTION("""COMPUTED_VALUE"""),"K/33/040725/1")</f>
        <v>K/33/040725/1</v>
      </c>
      <c r="E2994" s="14" t="str">
        <f>IFERROR(__xludf.DUMMYFUNCTION("""COMPUTED_VALUE"""),"Heri (BT)")</f>
        <v>Heri (BT)</v>
      </c>
      <c r="F2994" s="14" t="str">
        <f>IFERROR(__xludf.DUMMYFUNCTION("""COMPUTED_VALUE"""),"SELESAI (VIA PERMOHONAN)")</f>
        <v>SELESAI (VIA PERMOHONAN)</v>
      </c>
      <c r="G2994" s="17">
        <f>IFERROR(__xludf.DUMMYFUNCTION("""COMPUTED_VALUE"""),45854.420930625)</f>
        <v>45854.42093</v>
      </c>
      <c r="H2994" s="14" t="str">
        <f>IFERROR(__xludf.DUMMYFUNCTION("""COMPUTED_VALUE"""),"Eci (SU)")</f>
        <v>Eci (SU)</v>
      </c>
      <c r="I2994" s="13" t="str">
        <f>IFERROR(__xludf.DUMMYFUNCTION("""COMPUTED_VALUE"""),"SELESAI (VIA PERMOHONAN)")</f>
        <v>SELESAI (VIA PERMOHONAN)</v>
      </c>
      <c r="J2994" s="17">
        <f>IFERROR(__xludf.DUMMYFUNCTION("""COMPUTED_VALUE"""),45854.56287019676)</f>
        <v>45854.56287</v>
      </c>
      <c r="K2994" s="13" t="str">
        <f>IFERROR(__xludf.DUMMYFUNCTION("""COMPUTED_VALUE"""),"Selesai")</f>
        <v>Selesai</v>
      </c>
      <c r="L2994" s="17">
        <f>IFERROR(__xludf.DUMMYFUNCTION("""COMPUTED_VALUE"""),45854.56287019676)</f>
        <v>45854.56287</v>
      </c>
      <c r="M2994" s="13"/>
      <c r="N2994" s="13" t="str">
        <f>IFERROR(__xludf.DUMMYFUNCTION("""COMPUTED_VALUE"""),"")</f>
        <v/>
      </c>
      <c r="O2994" s="13" t="str">
        <f t="shared" si="1"/>
        <v/>
      </c>
    </row>
    <row r="2995" ht="22.5" customHeight="1">
      <c r="B2995" s="13">
        <f>IFERROR(__xludf.DUMMYFUNCTION("""COMPUTED_VALUE"""),2990.0)</f>
        <v>2990</v>
      </c>
      <c r="C2995" s="13" t="str">
        <f>IFERROR(__xludf.DUMMYFUNCTION("""COMPUTED_VALUE"""),"M. 1032/SUKARAME BARU")</f>
        <v>M. 1032/SUKARAME BARU</v>
      </c>
      <c r="D2995" s="13" t="str">
        <f>IFERROR(__xludf.DUMMYFUNCTION("""COMPUTED_VALUE"""),"K/13/040725/1")</f>
        <v>K/13/040725/1</v>
      </c>
      <c r="E2995" s="14" t="str">
        <f>IFERROR(__xludf.DUMMYFUNCTION("""COMPUTED_VALUE"""),"Heri (BT)")</f>
        <v>Heri (BT)</v>
      </c>
      <c r="F2995" s="14" t="str">
        <f>IFERROR(__xludf.DUMMYFUNCTION("""COMPUTED_VALUE"""),"SELESAI (VIA PERMOHONAN)")</f>
        <v>SELESAI (VIA PERMOHONAN)</v>
      </c>
      <c r="G2995" s="17">
        <f>IFERROR(__xludf.DUMMYFUNCTION("""COMPUTED_VALUE"""),45854.42109841435)</f>
        <v>45854.4211</v>
      </c>
      <c r="H2995" s="14" t="str">
        <f>IFERROR(__xludf.DUMMYFUNCTION("""COMPUTED_VALUE"""),"Eci (SU)")</f>
        <v>Eci (SU)</v>
      </c>
      <c r="I2995" s="13" t="str">
        <f>IFERROR(__xludf.DUMMYFUNCTION("""COMPUTED_VALUE"""),"SELESAI (VIA PERMOHONAN)")</f>
        <v>SELESAI (VIA PERMOHONAN)</v>
      </c>
      <c r="J2995" s="17">
        <f>IFERROR(__xludf.DUMMYFUNCTION("""COMPUTED_VALUE"""),45854.564401944444)</f>
        <v>45854.5644</v>
      </c>
      <c r="K2995" s="13" t="str">
        <f>IFERROR(__xludf.DUMMYFUNCTION("""COMPUTED_VALUE"""),"Selesai")</f>
        <v>Selesai</v>
      </c>
      <c r="L2995" s="17">
        <f>IFERROR(__xludf.DUMMYFUNCTION("""COMPUTED_VALUE"""),45854.564401944444)</f>
        <v>45854.5644</v>
      </c>
      <c r="M2995" s="13"/>
      <c r="N2995" s="13" t="str">
        <f>IFERROR(__xludf.DUMMYFUNCTION("""COMPUTED_VALUE"""),"")</f>
        <v/>
      </c>
      <c r="O2995" s="13" t="str">
        <f t="shared" si="1"/>
        <v/>
      </c>
    </row>
    <row r="2996" ht="22.5" customHeight="1">
      <c r="B2996" s="13">
        <f>IFERROR(__xludf.DUMMYFUNCTION("""COMPUTED_VALUE"""),2991.0)</f>
        <v>2991</v>
      </c>
      <c r="C2996" s="13" t="str">
        <f>IFERROR(__xludf.DUMMYFUNCTION("""COMPUTED_VALUE"""),"M.9997/KAMPUNG BARU")</f>
        <v>M.9997/KAMPUNG BARU</v>
      </c>
      <c r="D2996" s="13" t="str">
        <f>IFERROR(__xludf.DUMMYFUNCTION("""COMPUTED_VALUE"""),"K/52/040725/1")</f>
        <v>K/52/040725/1</v>
      </c>
      <c r="E2996" s="14" t="str">
        <f>IFERROR(__xludf.DUMMYFUNCTION("""COMPUTED_VALUE"""),"Heri (BT)")</f>
        <v>Heri (BT)</v>
      </c>
      <c r="F2996" s="14" t="str">
        <f>IFERROR(__xludf.DUMMYFUNCTION("""COMPUTED_VALUE"""),"SELESAI (VIA PERMOHONAN)")</f>
        <v>SELESAI (VIA PERMOHONAN)</v>
      </c>
      <c r="G2996" s="17">
        <f>IFERROR(__xludf.DUMMYFUNCTION("""COMPUTED_VALUE"""),45854.42123653935)</f>
        <v>45854.42124</v>
      </c>
      <c r="H2996" s="14" t="str">
        <f>IFERROR(__xludf.DUMMYFUNCTION("""COMPUTED_VALUE"""),"Eci (SU)")</f>
        <v>Eci (SU)</v>
      </c>
      <c r="I2996" s="13" t="str">
        <f>IFERROR(__xludf.DUMMYFUNCTION("""COMPUTED_VALUE"""),"SELESAI (VIA PERMOHONAN)")</f>
        <v>SELESAI (VIA PERMOHONAN)</v>
      </c>
      <c r="J2996" s="17">
        <f>IFERROR(__xludf.DUMMYFUNCTION("""COMPUTED_VALUE"""),45854.563089641204)</f>
        <v>45854.56309</v>
      </c>
      <c r="K2996" s="13" t="str">
        <f>IFERROR(__xludf.DUMMYFUNCTION("""COMPUTED_VALUE"""),"Selesai")</f>
        <v>Selesai</v>
      </c>
      <c r="L2996" s="17">
        <f>IFERROR(__xludf.DUMMYFUNCTION("""COMPUTED_VALUE"""),45854.563089641204)</f>
        <v>45854.56309</v>
      </c>
      <c r="M2996" s="13"/>
      <c r="N2996" s="13" t="str">
        <f>IFERROR(__xludf.DUMMYFUNCTION("""COMPUTED_VALUE"""),"")</f>
        <v/>
      </c>
      <c r="O2996" s="13" t="str">
        <f t="shared" si="1"/>
        <v/>
      </c>
    </row>
    <row r="2997" ht="22.5" customHeight="1">
      <c r="B2997" s="13">
        <f>IFERROR(__xludf.DUMMYFUNCTION("""COMPUTED_VALUE"""),2992.0)</f>
        <v>2992</v>
      </c>
      <c r="C2997" s="13" t="str">
        <f>IFERROR(__xludf.DUMMYFUNCTION("""COMPUTED_VALUE"""),"M. 556/SUKARAME BARU")</f>
        <v>M. 556/SUKARAME BARU</v>
      </c>
      <c r="D2997" s="13" t="str">
        <f>IFERROR(__xludf.DUMMYFUNCTION("""COMPUTED_VALUE"""),"K/5/090725/2")</f>
        <v>K/5/090725/2</v>
      </c>
      <c r="E2997" s="14" t="str">
        <f>IFERROR(__xludf.DUMMYFUNCTION("""COMPUTED_VALUE"""),"Heri (BT)")</f>
        <v>Heri (BT)</v>
      </c>
      <c r="F2997" s="14" t="str">
        <f>IFERROR(__xludf.DUMMYFUNCTION("""COMPUTED_VALUE"""),"SELESAI (VIA PERMOHONAN)")</f>
        <v>SELESAI (VIA PERMOHONAN)</v>
      </c>
      <c r="G2997" s="17">
        <f>IFERROR(__xludf.DUMMYFUNCTION("""COMPUTED_VALUE"""),45854.42137131945)</f>
        <v>45854.42137</v>
      </c>
      <c r="H2997" s="14" t="str">
        <f>IFERROR(__xludf.DUMMYFUNCTION("""COMPUTED_VALUE"""),"Eci (SU)")</f>
        <v>Eci (SU)</v>
      </c>
      <c r="I2997" s="13" t="str">
        <f>IFERROR(__xludf.DUMMYFUNCTION("""COMPUTED_VALUE"""),"SELESAI (VIA PERMOHONAN)")</f>
        <v>SELESAI (VIA PERMOHONAN)</v>
      </c>
      <c r="J2997" s="17">
        <f>IFERROR(__xludf.DUMMYFUNCTION("""COMPUTED_VALUE"""),45854.563188761575)</f>
        <v>45854.56319</v>
      </c>
      <c r="K2997" s="13" t="str">
        <f>IFERROR(__xludf.DUMMYFUNCTION("""COMPUTED_VALUE"""),"Selesai")</f>
        <v>Selesai</v>
      </c>
      <c r="L2997" s="17">
        <f>IFERROR(__xludf.DUMMYFUNCTION("""COMPUTED_VALUE"""),45854.563188761575)</f>
        <v>45854.56319</v>
      </c>
      <c r="M2997" s="13"/>
      <c r="N2997" s="13" t="str">
        <f>IFERROR(__xludf.DUMMYFUNCTION("""COMPUTED_VALUE"""),"")</f>
        <v/>
      </c>
      <c r="O2997" s="13" t="str">
        <f t="shared" si="1"/>
        <v/>
      </c>
    </row>
    <row r="2998" ht="22.5" customHeight="1">
      <c r="B2998" s="13">
        <f>IFERROR(__xludf.DUMMYFUNCTION("""COMPUTED_VALUE"""),2993.0)</f>
        <v>2993</v>
      </c>
      <c r="C2998" s="13" t="str">
        <f>IFERROR(__xludf.DUMMYFUNCTION("""COMPUTED_VALUE"""),"B. 816/SUMUR PUTRI")</f>
        <v>B. 816/SUMUR PUTRI</v>
      </c>
      <c r="D2998" s="13" t="str">
        <f>IFERROR(__xludf.DUMMYFUNCTION("""COMPUTED_VALUE"""),"K/29/050325/1")</f>
        <v>K/29/050325/1</v>
      </c>
      <c r="E2998" s="14" t="str">
        <f>IFERROR(__xludf.DUMMYFUNCTION("""COMPUTED_VALUE"""),"Heri (BT)")</f>
        <v>Heri (BT)</v>
      </c>
      <c r="F2998" s="14" t="str">
        <f>IFERROR(__xludf.DUMMYFUNCTION("""COMPUTED_VALUE"""),"SELESAI (VIA PERMOHONAN)")</f>
        <v>SELESAI (VIA PERMOHONAN)</v>
      </c>
      <c r="G2998" s="17">
        <f>IFERROR(__xludf.DUMMYFUNCTION("""COMPUTED_VALUE"""),45854.42152758102)</f>
        <v>45854.42153</v>
      </c>
      <c r="H2998" s="14" t="str">
        <f>IFERROR(__xludf.DUMMYFUNCTION("""COMPUTED_VALUE"""),"Eci (SU)")</f>
        <v>Eci (SU)</v>
      </c>
      <c r="I2998" s="13" t="str">
        <f>IFERROR(__xludf.DUMMYFUNCTION("""COMPUTED_VALUE"""),"SELESAI (VIA PERMOHONAN)")</f>
        <v>SELESAI (VIA PERMOHONAN)</v>
      </c>
      <c r="J2998" s="17">
        <f>IFERROR(__xludf.DUMMYFUNCTION("""COMPUTED_VALUE"""),45854.56392152778)</f>
        <v>45854.56392</v>
      </c>
      <c r="K2998" s="13" t="str">
        <f>IFERROR(__xludf.DUMMYFUNCTION("""COMPUTED_VALUE"""),"Selesai")</f>
        <v>Selesai</v>
      </c>
      <c r="L2998" s="17">
        <f>IFERROR(__xludf.DUMMYFUNCTION("""COMPUTED_VALUE"""),45854.56392152778)</f>
        <v>45854.56392</v>
      </c>
      <c r="M2998" s="13"/>
      <c r="N2998" s="13" t="str">
        <f>IFERROR(__xludf.DUMMYFUNCTION("""COMPUTED_VALUE"""),"")</f>
        <v/>
      </c>
      <c r="O2998" s="13" t="str">
        <f t="shared" si="1"/>
        <v/>
      </c>
    </row>
    <row r="2999" ht="22.5" customHeight="1">
      <c r="B2999" s="13">
        <f>IFERROR(__xludf.DUMMYFUNCTION("""COMPUTED_VALUE"""),2994.0)</f>
        <v>2994</v>
      </c>
      <c r="C2999" s="13" t="str">
        <f>IFERROR(__xludf.DUMMYFUNCTION("""COMPUTED_VALUE"""),"B. 1214/RAJABASA")</f>
        <v>B. 1214/RAJABASA</v>
      </c>
      <c r="D2999" s="13" t="str">
        <f>IFERROR(__xludf.DUMMYFUNCTION("""COMPUTED_VALUE"""),"K/22/070725/1")</f>
        <v>K/22/070725/1</v>
      </c>
      <c r="E2999" s="14" t="str">
        <f>IFERROR(__xludf.DUMMYFUNCTION("""COMPUTED_VALUE"""),"Heri (BT)")</f>
        <v>Heri (BT)</v>
      </c>
      <c r="F2999" s="14" t="str">
        <f>IFERROR(__xludf.DUMMYFUNCTION("""COMPUTED_VALUE"""),"SELESAI (VIA PERMOHONAN)")</f>
        <v>SELESAI (VIA PERMOHONAN)</v>
      </c>
      <c r="G2999" s="17">
        <f>IFERROR(__xludf.DUMMYFUNCTION("""COMPUTED_VALUE"""),45854.42174399305)</f>
        <v>45854.42174</v>
      </c>
      <c r="H2999" s="14" t="str">
        <f>IFERROR(__xludf.DUMMYFUNCTION("""COMPUTED_VALUE"""),"Eci (SU)")</f>
        <v>Eci (SU)</v>
      </c>
      <c r="I2999" s="13" t="str">
        <f>IFERROR(__xludf.DUMMYFUNCTION("""COMPUTED_VALUE"""),"SELESAI (VIA PERMOHONAN)")</f>
        <v>SELESAI (VIA PERMOHONAN)</v>
      </c>
      <c r="J2999" s="17">
        <f>IFERROR(__xludf.DUMMYFUNCTION("""COMPUTED_VALUE"""),45854.56345516204)</f>
        <v>45854.56346</v>
      </c>
      <c r="K2999" s="13" t="str">
        <f>IFERROR(__xludf.DUMMYFUNCTION("""COMPUTED_VALUE"""),"Selesai")</f>
        <v>Selesai</v>
      </c>
      <c r="L2999" s="17">
        <f>IFERROR(__xludf.DUMMYFUNCTION("""COMPUTED_VALUE"""),45854.56345516204)</f>
        <v>45854.56346</v>
      </c>
      <c r="M2999" s="13"/>
      <c r="N2999" s="13" t="str">
        <f>IFERROR(__xludf.DUMMYFUNCTION("""COMPUTED_VALUE"""),"")</f>
        <v/>
      </c>
      <c r="O2999" s="13" t="str">
        <f t="shared" si="1"/>
        <v/>
      </c>
    </row>
    <row r="3000" ht="22.5" customHeight="1">
      <c r="B3000" s="13">
        <f>IFERROR(__xludf.DUMMYFUNCTION("""COMPUTED_VALUE"""),2995.0)</f>
        <v>2995</v>
      </c>
      <c r="C3000" s="13" t="str">
        <f>IFERROR(__xludf.DUMMYFUNCTION("""COMPUTED_VALUE"""),"M. 2275/PINANG JAYA")</f>
        <v>M. 2275/PINANG JAYA</v>
      </c>
      <c r="D3000" s="13" t="str">
        <f>IFERROR(__xludf.DUMMYFUNCTION("""COMPUTED_VALUE"""),"K/8/100725/1")</f>
        <v>K/8/100725/1</v>
      </c>
      <c r="E3000" s="14" t="str">
        <f>IFERROR(__xludf.DUMMYFUNCTION("""COMPUTED_VALUE"""),"Heri (BT)")</f>
        <v>Heri (BT)</v>
      </c>
      <c r="F3000" s="14" t="str">
        <f>IFERROR(__xludf.DUMMYFUNCTION("""COMPUTED_VALUE"""),"SELESAI (VIA PERMOHONAN)")</f>
        <v>SELESAI (VIA PERMOHONAN)</v>
      </c>
      <c r="G3000" s="17">
        <f>IFERROR(__xludf.DUMMYFUNCTION("""COMPUTED_VALUE"""),45854.4219091088)</f>
        <v>45854.42191</v>
      </c>
      <c r="H3000" s="14" t="str">
        <f>IFERROR(__xludf.DUMMYFUNCTION("""COMPUTED_VALUE"""),"Eci (SU)")</f>
        <v>Eci (SU)</v>
      </c>
      <c r="I3000" s="13" t="str">
        <f>IFERROR(__xludf.DUMMYFUNCTION("""COMPUTED_VALUE"""),"SELESAI (VIA PERMOHONAN)")</f>
        <v>SELESAI (VIA PERMOHONAN)</v>
      </c>
      <c r="J3000" s="17">
        <f>IFERROR(__xludf.DUMMYFUNCTION("""COMPUTED_VALUE"""),45854.56355744213)</f>
        <v>45854.56356</v>
      </c>
      <c r="K3000" s="13" t="str">
        <f>IFERROR(__xludf.DUMMYFUNCTION("""COMPUTED_VALUE"""),"Selesai")</f>
        <v>Selesai</v>
      </c>
      <c r="L3000" s="17">
        <f>IFERROR(__xludf.DUMMYFUNCTION("""COMPUTED_VALUE"""),45854.56355744213)</f>
        <v>45854.56356</v>
      </c>
      <c r="M3000" s="13"/>
      <c r="N3000" s="13" t="str">
        <f>IFERROR(__xludf.DUMMYFUNCTION("""COMPUTED_VALUE"""),"")</f>
        <v/>
      </c>
      <c r="O3000" s="13" t="str">
        <f t="shared" si="1"/>
        <v/>
      </c>
    </row>
    <row r="3001" ht="22.5" customHeight="1">
      <c r="B3001" s="13">
        <f>IFERROR(__xludf.DUMMYFUNCTION("""COMPUTED_VALUE"""),2996.0)</f>
        <v>2996</v>
      </c>
      <c r="C3001" s="13" t="str">
        <f>IFERROR(__xludf.DUMMYFUNCTION("""COMPUTED_VALUE"""),"M.15467, M.18138/SUKARAME")</f>
        <v>M.15467, M.18138/SUKARAME</v>
      </c>
      <c r="D3001" s="13" t="str">
        <f>IFERROR(__xludf.DUMMYFUNCTION("""COMPUTED_VALUE"""),"K/30/100725/1")</f>
        <v>K/30/100725/1</v>
      </c>
      <c r="E3001" s="14" t="str">
        <f>IFERROR(__xludf.DUMMYFUNCTION("""COMPUTED_VALUE"""),"Heri (BT)")</f>
        <v>Heri (BT)</v>
      </c>
      <c r="F3001" s="14" t="str">
        <f>IFERROR(__xludf.DUMMYFUNCTION("""COMPUTED_VALUE"""),"SELESAI (VIA PERMOHONAN)")</f>
        <v>SELESAI (VIA PERMOHONAN)</v>
      </c>
      <c r="G3001" s="17">
        <f>IFERROR(__xludf.DUMMYFUNCTION("""COMPUTED_VALUE"""),45854.42212225695)</f>
        <v>45854.42212</v>
      </c>
      <c r="H3001" s="14" t="str">
        <f>IFERROR(__xludf.DUMMYFUNCTION("""COMPUTED_VALUE"""),"Eci (SU)")</f>
        <v>Eci (SU)</v>
      </c>
      <c r="I3001" s="13" t="str">
        <f>IFERROR(__xludf.DUMMYFUNCTION("""COMPUTED_VALUE"""),"SELESAI (VIA PERMOHONAN)")</f>
        <v>SELESAI (VIA PERMOHONAN)</v>
      </c>
      <c r="J3001" s="17">
        <f>IFERROR(__xludf.DUMMYFUNCTION("""COMPUTED_VALUE"""),45854.563761736106)</f>
        <v>45854.56376</v>
      </c>
      <c r="K3001" s="13" t="str">
        <f>IFERROR(__xludf.DUMMYFUNCTION("""COMPUTED_VALUE"""),"Selesai")</f>
        <v>Selesai</v>
      </c>
      <c r="L3001" s="17">
        <f>IFERROR(__xludf.DUMMYFUNCTION("""COMPUTED_VALUE"""),45854.563761736106)</f>
        <v>45854.56376</v>
      </c>
      <c r="M3001" s="13"/>
      <c r="N3001" s="13" t="str">
        <f>IFERROR(__xludf.DUMMYFUNCTION("""COMPUTED_VALUE"""),"")</f>
        <v/>
      </c>
      <c r="O3001" s="13" t="str">
        <f t="shared" si="1"/>
        <v/>
      </c>
    </row>
    <row r="3002" ht="22.5" customHeight="1">
      <c r="B3002" s="13">
        <f>IFERROR(__xludf.DUMMYFUNCTION("""COMPUTED_VALUE"""),2997.0)</f>
        <v>2997</v>
      </c>
      <c r="C3002" s="13" t="str">
        <f>IFERROR(__xludf.DUMMYFUNCTION("""COMPUTED_VALUE"""),"M. 3691 ; 3690/ Nusantara Permai")</f>
        <v>M. 3691 ; 3690/ Nusantara Permai</v>
      </c>
      <c r="D3002" s="13" t="str">
        <f>IFERROR(__xludf.DUMMYFUNCTION("""COMPUTED_VALUE"""),"K/18/300625/1")</f>
        <v>K/18/300625/1</v>
      </c>
      <c r="E3002" s="14" t="str">
        <f>IFERROR(__xludf.DUMMYFUNCTION("""COMPUTED_VALUE"""),"Afriza (BT)")</f>
        <v>Afriza (BT)</v>
      </c>
      <c r="F3002" s="14" t="str">
        <f>IFERROR(__xludf.DUMMYFUNCTION("""COMPUTED_VALUE"""),"SELESAI (VIA PERMOHONAN)")</f>
        <v>SELESAI (VIA PERMOHONAN)</v>
      </c>
      <c r="G3002" s="17">
        <f>IFERROR(__xludf.DUMMYFUNCTION("""COMPUTED_VALUE"""),45854.80524994213)</f>
        <v>45854.80525</v>
      </c>
      <c r="H3002" s="14" t="str">
        <f>IFERROR(__xludf.DUMMYFUNCTION("""COMPUTED_VALUE"""),"Eci (SU)")</f>
        <v>Eci (SU)</v>
      </c>
      <c r="I3002" s="13" t="str">
        <f>IFERROR(__xludf.DUMMYFUNCTION("""COMPUTED_VALUE"""),"SELESAI (VIA PERMOHONAN)")</f>
        <v>SELESAI (VIA PERMOHONAN)</v>
      </c>
      <c r="J3002" s="17">
        <f>IFERROR(__xludf.DUMMYFUNCTION("""COMPUTED_VALUE"""),45855.67089346064)</f>
        <v>45855.67089</v>
      </c>
      <c r="K3002" s="13" t="str">
        <f>IFERROR(__xludf.DUMMYFUNCTION("""COMPUTED_VALUE"""),"Selesai")</f>
        <v>Selesai</v>
      </c>
      <c r="L3002" s="17">
        <f>IFERROR(__xludf.DUMMYFUNCTION("""COMPUTED_VALUE"""),45855.67089346064)</f>
        <v>45855.67089</v>
      </c>
      <c r="M3002" s="13"/>
      <c r="N3002" s="13" t="str">
        <f>IFERROR(__xludf.DUMMYFUNCTION("""COMPUTED_VALUE"""),"")</f>
        <v/>
      </c>
      <c r="O3002" s="13" t="str">
        <f t="shared" si="1"/>
        <v/>
      </c>
    </row>
    <row r="3003" ht="22.5" customHeight="1">
      <c r="B3003" s="13">
        <f>IFERROR(__xludf.DUMMYFUNCTION("""COMPUTED_VALUE"""),2998.0)</f>
        <v>2998</v>
      </c>
      <c r="C3003" s="13" t="str">
        <f>IFERROR(__xludf.DUMMYFUNCTION("""COMPUTED_VALUE"""),"M. 1573/ Sukarame Baru")</f>
        <v>M. 1573/ Sukarame Baru</v>
      </c>
      <c r="D3003" s="13" t="str">
        <f>IFERROR(__xludf.DUMMYFUNCTION("""COMPUTED_VALUE"""),"K/23/090725/1")</f>
        <v>K/23/090725/1</v>
      </c>
      <c r="E3003" s="14" t="str">
        <f>IFERROR(__xludf.DUMMYFUNCTION("""COMPUTED_VALUE"""),"Afriza (BT)")</f>
        <v>Afriza (BT)</v>
      </c>
      <c r="F3003" s="14" t="str">
        <f>IFERROR(__xludf.DUMMYFUNCTION("""COMPUTED_VALUE"""),"SELESAI (VIA PERMOHONAN)")</f>
        <v>SELESAI (VIA PERMOHONAN)</v>
      </c>
      <c r="G3003" s="17">
        <f>IFERROR(__xludf.DUMMYFUNCTION("""COMPUTED_VALUE"""),45854.80533501157)</f>
        <v>45854.80534</v>
      </c>
      <c r="H3003" s="14" t="str">
        <f>IFERROR(__xludf.DUMMYFUNCTION("""COMPUTED_VALUE"""),"Eci (SU)")</f>
        <v>Eci (SU)</v>
      </c>
      <c r="I3003" s="13" t="str">
        <f>IFERROR(__xludf.DUMMYFUNCTION("""COMPUTED_VALUE"""),"SELESAI (VIA PERMOHONAN)")</f>
        <v>SELESAI (VIA PERMOHONAN)</v>
      </c>
      <c r="J3003" s="17">
        <f>IFERROR(__xludf.DUMMYFUNCTION("""COMPUTED_VALUE"""),45855.68102398148)</f>
        <v>45855.68102</v>
      </c>
      <c r="K3003" s="13" t="str">
        <f>IFERROR(__xludf.DUMMYFUNCTION("""COMPUTED_VALUE"""),"Selesai")</f>
        <v>Selesai</v>
      </c>
      <c r="L3003" s="17">
        <f>IFERROR(__xludf.DUMMYFUNCTION("""COMPUTED_VALUE"""),45855.68102398148)</f>
        <v>45855.68102</v>
      </c>
      <c r="M3003" s="13"/>
      <c r="N3003" s="13" t="str">
        <f>IFERROR(__xludf.DUMMYFUNCTION("""COMPUTED_VALUE"""),"")</f>
        <v/>
      </c>
      <c r="O3003" s="13" t="str">
        <f t="shared" si="1"/>
        <v/>
      </c>
    </row>
    <row r="3004" ht="22.5" customHeight="1">
      <c r="B3004" s="13">
        <f>IFERROR(__xludf.DUMMYFUNCTION("""COMPUTED_VALUE"""),2999.0)</f>
        <v>2999</v>
      </c>
      <c r="C3004" s="13" t="str">
        <f>IFERROR(__xludf.DUMMYFUNCTION("""COMPUTED_VALUE"""),"M. 1220/ Kangkung")</f>
        <v>M. 1220/ Kangkung</v>
      </c>
      <c r="D3004" s="13" t="str">
        <f>IFERROR(__xludf.DUMMYFUNCTION("""COMPUTED_VALUE"""),"K/49/240625/3")</f>
        <v>K/49/240625/3</v>
      </c>
      <c r="E3004" s="14" t="str">
        <f>IFERROR(__xludf.DUMMYFUNCTION("""COMPUTED_VALUE"""),"Afriza (BT)")</f>
        <v>Afriza (BT)</v>
      </c>
      <c r="F3004" s="14" t="str">
        <f>IFERROR(__xludf.DUMMYFUNCTION("""COMPUTED_VALUE"""),"SELESAI (VIA PERMOHONAN)")</f>
        <v>SELESAI (VIA PERMOHONAN)</v>
      </c>
      <c r="G3004" s="17">
        <f>IFERROR(__xludf.DUMMYFUNCTION("""COMPUTED_VALUE"""),45854.80544445602)</f>
        <v>45854.80544</v>
      </c>
      <c r="H3004" s="14" t="str">
        <f>IFERROR(__xludf.DUMMYFUNCTION("""COMPUTED_VALUE"""),"Eci (SU)")</f>
        <v>Eci (SU)</v>
      </c>
      <c r="I3004" s="13" t="str">
        <f>IFERROR(__xludf.DUMMYFUNCTION("""COMPUTED_VALUE"""),"SELESAI (VIA PERMOHONAN)")</f>
        <v>SELESAI (VIA PERMOHONAN)</v>
      </c>
      <c r="J3004" s="17">
        <f>IFERROR(__xludf.DUMMYFUNCTION("""COMPUTED_VALUE"""),45855.68092039352)</f>
        <v>45855.68092</v>
      </c>
      <c r="K3004" s="13" t="str">
        <f>IFERROR(__xludf.DUMMYFUNCTION("""COMPUTED_VALUE"""),"Selesai")</f>
        <v>Selesai</v>
      </c>
      <c r="L3004" s="17">
        <f>IFERROR(__xludf.DUMMYFUNCTION("""COMPUTED_VALUE"""),45855.68092039352)</f>
        <v>45855.68092</v>
      </c>
      <c r="M3004" s="13"/>
      <c r="N3004" s="13" t="str">
        <f>IFERROR(__xludf.DUMMYFUNCTION("""COMPUTED_VALUE"""),"")</f>
        <v/>
      </c>
      <c r="O3004" s="13" t="str">
        <f t="shared" si="1"/>
        <v/>
      </c>
    </row>
    <row r="3005" ht="22.5" customHeight="1">
      <c r="B3005" s="13">
        <f>IFERROR(__xludf.DUMMYFUNCTION("""COMPUTED_VALUE"""),3000.0)</f>
        <v>3000</v>
      </c>
      <c r="C3005" s="13" t="str">
        <f>IFERROR(__xludf.DUMMYFUNCTION("""COMPUTED_VALUE"""),"M. 2680/KEMILING PERMAI")</f>
        <v>M. 2680/KEMILING PERMAI</v>
      </c>
      <c r="D3005" s="13" t="str">
        <f>IFERROR(__xludf.DUMMYFUNCTION("""COMPUTED_VALUE"""),"K/27/250625/4")</f>
        <v>K/27/250625/4</v>
      </c>
      <c r="E3005" s="14" t="str">
        <f>IFERROR(__xludf.DUMMYFUNCTION("""COMPUTED_VALUE"""),"Afriza (BT)")</f>
        <v>Afriza (BT)</v>
      </c>
      <c r="F3005" s="14" t="str">
        <f>IFERROR(__xludf.DUMMYFUNCTION("""COMPUTED_VALUE"""),"SELESAI (VIA PERMOHONAN)")</f>
        <v>SELESAI (VIA PERMOHONAN)</v>
      </c>
      <c r="G3005" s="17">
        <f>IFERROR(__xludf.DUMMYFUNCTION("""COMPUTED_VALUE"""),45854.805555810184)</f>
        <v>45854.80556</v>
      </c>
      <c r="H3005" s="14" t="str">
        <f>IFERROR(__xludf.DUMMYFUNCTION("""COMPUTED_VALUE"""),"Eci (SU)")</f>
        <v>Eci (SU)</v>
      </c>
      <c r="I3005" s="13" t="str">
        <f>IFERROR(__xludf.DUMMYFUNCTION("""COMPUTED_VALUE"""),"SELESAI (VIA PERMOHONAN)")</f>
        <v>SELESAI (VIA PERMOHONAN)</v>
      </c>
      <c r="J3005" s="17">
        <f>IFERROR(__xludf.DUMMYFUNCTION("""COMPUTED_VALUE"""),45855.68085609954)</f>
        <v>45855.68086</v>
      </c>
      <c r="K3005" s="13" t="str">
        <f>IFERROR(__xludf.DUMMYFUNCTION("""COMPUTED_VALUE"""),"Selesai")</f>
        <v>Selesai</v>
      </c>
      <c r="L3005" s="17">
        <f>IFERROR(__xludf.DUMMYFUNCTION("""COMPUTED_VALUE"""),45855.68085609954)</f>
        <v>45855.68086</v>
      </c>
      <c r="M3005" s="13"/>
      <c r="N3005" s="13" t="str">
        <f>IFERROR(__xludf.DUMMYFUNCTION("""COMPUTED_VALUE"""),"")</f>
        <v/>
      </c>
      <c r="O3005" s="13" t="str">
        <f t="shared" si="1"/>
        <v/>
      </c>
    </row>
    <row r="3006" ht="22.5" customHeight="1">
      <c r="B3006" s="13">
        <f>IFERROR(__xludf.DUMMYFUNCTION("""COMPUTED_VALUE"""),3001.0)</f>
        <v>3001</v>
      </c>
      <c r="C3006" s="13" t="str">
        <f>IFERROR(__xludf.DUMMYFUNCTION("""COMPUTED_VALUE"""),"M. 6265/ Way Kandis")</f>
        <v>M. 6265/ Way Kandis</v>
      </c>
      <c r="D3006" s="13" t="str">
        <f>IFERROR(__xludf.DUMMYFUNCTION("""COMPUTED_VALUE"""),"K/16/020725/1")</f>
        <v>K/16/020725/1</v>
      </c>
      <c r="E3006" s="14" t="str">
        <f>IFERROR(__xludf.DUMMYFUNCTION("""COMPUTED_VALUE"""),"Afriza (BT)")</f>
        <v>Afriza (BT)</v>
      </c>
      <c r="F3006" s="14" t="str">
        <f>IFERROR(__xludf.DUMMYFUNCTION("""COMPUTED_VALUE"""),"SELESAI (VIA PERMOHONAN)")</f>
        <v>SELESAI (VIA PERMOHONAN)</v>
      </c>
      <c r="G3006" s="17">
        <f>IFERROR(__xludf.DUMMYFUNCTION("""COMPUTED_VALUE"""),45854.8056437037)</f>
        <v>45854.80564</v>
      </c>
      <c r="H3006" s="14" t="str">
        <f>IFERROR(__xludf.DUMMYFUNCTION("""COMPUTED_VALUE"""),"Eci (SU)")</f>
        <v>Eci (SU)</v>
      </c>
      <c r="I3006" s="13" t="str">
        <f>IFERROR(__xludf.DUMMYFUNCTION("""COMPUTED_VALUE"""),"SELESAI (VIA PERMOHONAN)")</f>
        <v>SELESAI (VIA PERMOHONAN)</v>
      </c>
      <c r="J3006" s="17">
        <f>IFERROR(__xludf.DUMMYFUNCTION("""COMPUTED_VALUE"""),45855.680727847226)</f>
        <v>45855.68073</v>
      </c>
      <c r="K3006" s="13" t="str">
        <f>IFERROR(__xludf.DUMMYFUNCTION("""COMPUTED_VALUE"""),"Selesai")</f>
        <v>Selesai</v>
      </c>
      <c r="L3006" s="17">
        <f>IFERROR(__xludf.DUMMYFUNCTION("""COMPUTED_VALUE"""),45855.680727847226)</f>
        <v>45855.68073</v>
      </c>
      <c r="M3006" s="13"/>
      <c r="N3006" s="13" t="str">
        <f>IFERROR(__xludf.DUMMYFUNCTION("""COMPUTED_VALUE"""),"")</f>
        <v/>
      </c>
      <c r="O3006" s="13" t="str">
        <f t="shared" si="1"/>
        <v/>
      </c>
    </row>
    <row r="3007" ht="22.5" customHeight="1">
      <c r="B3007" s="13">
        <f>IFERROR(__xludf.DUMMYFUNCTION("""COMPUTED_VALUE"""),3002.0)</f>
        <v>3002</v>
      </c>
      <c r="C3007" s="13" t="str">
        <f>IFERROR(__xludf.DUMMYFUNCTION("""COMPUTED_VALUE"""),"HM 16108/SUKARAME ")</f>
        <v>HM 16108/SUKARAME </v>
      </c>
      <c r="D3007" s="13" t="str">
        <f>IFERROR(__xludf.DUMMYFUNCTION("""COMPUTED_VALUE"""),"L/24/090725/1")</f>
        <v>L/24/090725/1</v>
      </c>
      <c r="E3007" s="14" t="str">
        <f>IFERROR(__xludf.DUMMYFUNCTION("""COMPUTED_VALUE"""),"Afriza (BT)")</f>
        <v>Afriza (BT)</v>
      </c>
      <c r="F3007" s="14" t="str">
        <f>IFERROR(__xludf.DUMMYFUNCTION("""COMPUTED_VALUE"""),"SELESAI (VIA PERMOHONAN)")</f>
        <v>SELESAI (VIA PERMOHONAN)</v>
      </c>
      <c r="G3007" s="17">
        <f>IFERROR(__xludf.DUMMYFUNCTION("""COMPUTED_VALUE"""),45854.80573983796)</f>
        <v>45854.80574</v>
      </c>
      <c r="H3007" s="14" t="str">
        <f>IFERROR(__xludf.DUMMYFUNCTION("""COMPUTED_VALUE"""),"Eci (SU)")</f>
        <v>Eci (SU)</v>
      </c>
      <c r="I3007" s="13" t="str">
        <f>IFERROR(__xludf.DUMMYFUNCTION("""COMPUTED_VALUE"""),"SELESAI (VIA PERMOHONAN)")</f>
        <v>SELESAI (VIA PERMOHONAN)</v>
      </c>
      <c r="J3007" s="17">
        <f>IFERROR(__xludf.DUMMYFUNCTION("""COMPUTED_VALUE"""),45855.68057002315)</f>
        <v>45855.68057</v>
      </c>
      <c r="K3007" s="13" t="str">
        <f>IFERROR(__xludf.DUMMYFUNCTION("""COMPUTED_VALUE"""),"Selesai")</f>
        <v>Selesai</v>
      </c>
      <c r="L3007" s="17">
        <f>IFERROR(__xludf.DUMMYFUNCTION("""COMPUTED_VALUE"""),45855.68057002315)</f>
        <v>45855.68057</v>
      </c>
      <c r="M3007" s="13"/>
      <c r="N3007" s="13" t="str">
        <f>IFERROR(__xludf.DUMMYFUNCTION("""COMPUTED_VALUE"""),"")</f>
        <v/>
      </c>
      <c r="O3007" s="13" t="str">
        <f t="shared" si="1"/>
        <v/>
      </c>
    </row>
    <row r="3008" ht="22.5" customHeight="1">
      <c r="B3008" s="13">
        <f>IFERROR(__xludf.DUMMYFUNCTION("""COMPUTED_VALUE"""),3003.0)</f>
        <v>3003</v>
      </c>
      <c r="C3008" s="13" t="str">
        <f>IFERROR(__xludf.DUMMYFUNCTION("""COMPUTED_VALUE"""),"HM 12006/SUKABUMI")</f>
        <v>HM 12006/SUKABUMI</v>
      </c>
      <c r="D3008" s="13" t="str">
        <f>IFERROR(__xludf.DUMMYFUNCTION("""COMPUTED_VALUE"""),"L/24/100725/1")</f>
        <v>L/24/100725/1</v>
      </c>
      <c r="E3008" s="14" t="str">
        <f>IFERROR(__xludf.DUMMYFUNCTION("""COMPUTED_VALUE"""),"Afriza (BT)")</f>
        <v>Afriza (BT)</v>
      </c>
      <c r="F3008" s="14" t="str">
        <f>IFERROR(__xludf.DUMMYFUNCTION("""COMPUTED_VALUE"""),"SELESAI (VIA PERMOHONAN)")</f>
        <v>SELESAI (VIA PERMOHONAN)</v>
      </c>
      <c r="G3008" s="17">
        <f>IFERROR(__xludf.DUMMYFUNCTION("""COMPUTED_VALUE"""),45854.80585024305)</f>
        <v>45854.80585</v>
      </c>
      <c r="H3008" s="14" t="str">
        <f>IFERROR(__xludf.DUMMYFUNCTION("""COMPUTED_VALUE"""),"Eci (SU)")</f>
        <v>Eci (SU)</v>
      </c>
      <c r="I3008" s="13" t="str">
        <f>IFERROR(__xludf.DUMMYFUNCTION("""COMPUTED_VALUE"""),"SELESAI (VIA PERMOHONAN)")</f>
        <v>SELESAI (VIA PERMOHONAN)</v>
      </c>
      <c r="J3008" s="17">
        <f>IFERROR(__xludf.DUMMYFUNCTION("""COMPUTED_VALUE"""),45855.68003467593)</f>
        <v>45855.68003</v>
      </c>
      <c r="K3008" s="13" t="str">
        <f>IFERROR(__xludf.DUMMYFUNCTION("""COMPUTED_VALUE"""),"Selesai")</f>
        <v>Selesai</v>
      </c>
      <c r="L3008" s="17">
        <f>IFERROR(__xludf.DUMMYFUNCTION("""COMPUTED_VALUE"""),45855.68003467593)</f>
        <v>45855.68003</v>
      </c>
      <c r="M3008" s="13"/>
      <c r="N3008" s="13" t="str">
        <f>IFERROR(__xludf.DUMMYFUNCTION("""COMPUTED_VALUE"""),"")</f>
        <v/>
      </c>
      <c r="O3008" s="13" t="str">
        <f t="shared" si="1"/>
        <v/>
      </c>
    </row>
    <row r="3009" ht="22.5" customHeight="1">
      <c r="B3009" s="13">
        <f>IFERROR(__xludf.DUMMYFUNCTION("""COMPUTED_VALUE"""),3004.0)</f>
        <v>3004</v>
      </c>
      <c r="C3009" s="13" t="str">
        <f>IFERROR(__xludf.DUMMYFUNCTION("""COMPUTED_VALUE"""),"B. 22/ Labuhan Ratu")</f>
        <v>B. 22/ Labuhan Ratu</v>
      </c>
      <c r="D3009" s="13" t="str">
        <f>IFERROR(__xludf.DUMMYFUNCTION("""COMPUTED_VALUE"""),"K/13/240625/1")</f>
        <v>K/13/240625/1</v>
      </c>
      <c r="E3009" s="14" t="str">
        <f>IFERROR(__xludf.DUMMYFUNCTION("""COMPUTED_VALUE"""),"Afriza (BT)")</f>
        <v>Afriza (BT)</v>
      </c>
      <c r="F3009" s="14" t="str">
        <f>IFERROR(__xludf.DUMMYFUNCTION("""COMPUTED_VALUE"""),"SELESAI (VIA PERMOHONAN)")</f>
        <v>SELESAI (VIA PERMOHONAN)</v>
      </c>
      <c r="G3009" s="17">
        <f>IFERROR(__xludf.DUMMYFUNCTION("""COMPUTED_VALUE"""),45854.80644722222)</f>
        <v>45854.80645</v>
      </c>
      <c r="H3009" s="14" t="str">
        <f>IFERROR(__xludf.DUMMYFUNCTION("""COMPUTED_VALUE"""),"Eci (SU)")</f>
        <v>Eci (SU)</v>
      </c>
      <c r="I3009" s="13" t="str">
        <f>IFERROR(__xludf.DUMMYFUNCTION("""COMPUTED_VALUE"""),"SELESAI (VIA PERMOHONAN)")</f>
        <v>SELESAI (VIA PERMOHONAN)</v>
      </c>
      <c r="J3009" s="17">
        <f>IFERROR(__xludf.DUMMYFUNCTION("""COMPUTED_VALUE"""),45855.680118206015)</f>
        <v>45855.68012</v>
      </c>
      <c r="K3009" s="13" t="str">
        <f>IFERROR(__xludf.DUMMYFUNCTION("""COMPUTED_VALUE"""),"Selesai")</f>
        <v>Selesai</v>
      </c>
      <c r="L3009" s="17">
        <f>IFERROR(__xludf.DUMMYFUNCTION("""COMPUTED_VALUE"""),45855.680118206015)</f>
        <v>45855.68012</v>
      </c>
      <c r="M3009" s="13"/>
      <c r="N3009" s="13" t="str">
        <f>IFERROR(__xludf.DUMMYFUNCTION("""COMPUTED_VALUE"""),"")</f>
        <v/>
      </c>
      <c r="O3009" s="13" t="str">
        <f t="shared" si="1"/>
        <v/>
      </c>
    </row>
    <row r="3010" ht="22.5" customHeight="1">
      <c r="B3010" s="13">
        <f>IFERROR(__xludf.DUMMYFUNCTION("""COMPUTED_VALUE"""),3005.0)</f>
        <v>3005</v>
      </c>
      <c r="C3010" s="13" t="str">
        <f>IFERROR(__xludf.DUMMYFUNCTION("""COMPUTED_VALUE"""),"M. 439/ Kota Karang Raya")</f>
        <v>M. 439/ Kota Karang Raya</v>
      </c>
      <c r="D3010" s="13" t="str">
        <f>IFERROR(__xludf.DUMMYFUNCTION("""COMPUTED_VALUE"""),"K/3/260625/1")</f>
        <v>K/3/260625/1</v>
      </c>
      <c r="E3010" s="14" t="str">
        <f>IFERROR(__xludf.DUMMYFUNCTION("""COMPUTED_VALUE"""),"Afriza (BT)")</f>
        <v>Afriza (BT)</v>
      </c>
      <c r="F3010" s="14" t="str">
        <f>IFERROR(__xludf.DUMMYFUNCTION("""COMPUTED_VALUE"""),"SELESAI (VIA PERMOHONAN)")</f>
        <v>SELESAI (VIA PERMOHONAN)</v>
      </c>
      <c r="G3010" s="17">
        <f>IFERROR(__xludf.DUMMYFUNCTION("""COMPUTED_VALUE"""),45854.80685167824)</f>
        <v>45854.80685</v>
      </c>
      <c r="H3010" s="14" t="str">
        <f>IFERROR(__xludf.DUMMYFUNCTION("""COMPUTED_VALUE"""),"Eci (SU)")</f>
        <v>Eci (SU)</v>
      </c>
      <c r="I3010" s="13" t="str">
        <f>IFERROR(__xludf.DUMMYFUNCTION("""COMPUTED_VALUE"""),"SELESAI (VIA PERMOHONAN)")</f>
        <v>SELESAI (VIA PERMOHONAN)</v>
      </c>
      <c r="J3010" s="17">
        <f>IFERROR(__xludf.DUMMYFUNCTION("""COMPUTED_VALUE"""),45855.68140927084)</f>
        <v>45855.68141</v>
      </c>
      <c r="K3010" s="13" t="str">
        <f>IFERROR(__xludf.DUMMYFUNCTION("""COMPUTED_VALUE"""),"Selesai")</f>
        <v>Selesai</v>
      </c>
      <c r="L3010" s="17">
        <f>IFERROR(__xludf.DUMMYFUNCTION("""COMPUTED_VALUE"""),45855.68140927084)</f>
        <v>45855.68141</v>
      </c>
      <c r="M3010" s="13"/>
      <c r="N3010" s="13" t="str">
        <f>IFERROR(__xludf.DUMMYFUNCTION("""COMPUTED_VALUE"""),"")</f>
        <v/>
      </c>
      <c r="O3010" s="13" t="str">
        <f t="shared" si="1"/>
        <v/>
      </c>
    </row>
    <row r="3011" ht="22.5" customHeight="1">
      <c r="B3011" s="13">
        <f>IFERROR(__xludf.DUMMYFUNCTION("""COMPUTED_VALUE"""),3006.0)</f>
        <v>3006</v>
      </c>
      <c r="C3011" s="13" t="str">
        <f>IFERROR(__xludf.DUMMYFUNCTION("""COMPUTED_VALUE"""),"M. 1043/ Negeri olok gading")</f>
        <v>M. 1043/ Negeri olok gading</v>
      </c>
      <c r="D3011" s="13" t="str">
        <f>IFERROR(__xludf.DUMMYFUNCTION("""COMPUTED_VALUE"""),"K/4/020725/4")</f>
        <v>K/4/020725/4</v>
      </c>
      <c r="E3011" s="14" t="str">
        <f>IFERROR(__xludf.DUMMYFUNCTION("""COMPUTED_VALUE"""),"Afriza (BT)")</f>
        <v>Afriza (BT)</v>
      </c>
      <c r="F3011" s="14" t="str">
        <f>IFERROR(__xludf.DUMMYFUNCTION("""COMPUTED_VALUE"""),"SELESAI (VIA PERMOHONAN)")</f>
        <v>SELESAI (VIA PERMOHONAN)</v>
      </c>
      <c r="G3011" s="17">
        <f>IFERROR(__xludf.DUMMYFUNCTION("""COMPUTED_VALUE"""),45854.80697931713)</f>
        <v>45854.80698</v>
      </c>
      <c r="H3011" s="14" t="str">
        <f>IFERROR(__xludf.DUMMYFUNCTION("""COMPUTED_VALUE"""),"Eci (SU)")</f>
        <v>Eci (SU)</v>
      </c>
      <c r="I3011" s="13" t="str">
        <f>IFERROR(__xludf.DUMMYFUNCTION("""COMPUTED_VALUE"""),"SELESAI (VIA PERMOHONAN)")</f>
        <v>SELESAI (VIA PERMOHONAN)</v>
      </c>
      <c r="J3011" s="17">
        <f>IFERROR(__xludf.DUMMYFUNCTION("""COMPUTED_VALUE"""),45855.680216099536)</f>
        <v>45855.68022</v>
      </c>
      <c r="K3011" s="13" t="str">
        <f>IFERROR(__xludf.DUMMYFUNCTION("""COMPUTED_VALUE"""),"Selesai")</f>
        <v>Selesai</v>
      </c>
      <c r="L3011" s="17">
        <f>IFERROR(__xludf.DUMMYFUNCTION("""COMPUTED_VALUE"""),45855.680216099536)</f>
        <v>45855.68022</v>
      </c>
      <c r="M3011" s="13"/>
      <c r="N3011" s="13" t="str">
        <f>IFERROR(__xludf.DUMMYFUNCTION("""COMPUTED_VALUE"""),"")</f>
        <v/>
      </c>
      <c r="O3011" s="13" t="str">
        <f t="shared" si="1"/>
        <v/>
      </c>
    </row>
    <row r="3012" ht="22.5" customHeight="1">
      <c r="B3012" s="13">
        <f>IFERROR(__xludf.DUMMYFUNCTION("""COMPUTED_VALUE"""),3007.0)</f>
        <v>3007</v>
      </c>
      <c r="C3012" s="13" t="str">
        <f>IFERROR(__xludf.DUMMYFUNCTION("""COMPUTED_VALUE"""),"M. 919/ Jagabaya III")</f>
        <v>M. 919/ Jagabaya III</v>
      </c>
      <c r="D3012" s="13" t="str">
        <f>IFERROR(__xludf.DUMMYFUNCTION("""COMPUTED_VALUE"""),"K/16/010725/4")</f>
        <v>K/16/010725/4</v>
      </c>
      <c r="E3012" s="14" t="str">
        <f>IFERROR(__xludf.DUMMYFUNCTION("""COMPUTED_VALUE"""),"Afriza (BT)")</f>
        <v>Afriza (BT)</v>
      </c>
      <c r="F3012" s="14" t="str">
        <f>IFERROR(__xludf.DUMMYFUNCTION("""COMPUTED_VALUE"""),"SELESAI (VIA PERMOHONAN)")</f>
        <v>SELESAI (VIA PERMOHONAN)</v>
      </c>
      <c r="G3012" s="17">
        <f>IFERROR(__xludf.DUMMYFUNCTION("""COMPUTED_VALUE"""),45854.807035729165)</f>
        <v>45854.80704</v>
      </c>
      <c r="H3012" s="14" t="str">
        <f>IFERROR(__xludf.DUMMYFUNCTION("""COMPUTED_VALUE"""),"Eci (SU)")</f>
        <v>Eci (SU)</v>
      </c>
      <c r="I3012" s="13" t="str">
        <f>IFERROR(__xludf.DUMMYFUNCTION("""COMPUTED_VALUE"""),"SELESAI (VIA PERMOHONAN)")</f>
        <v>SELESAI (VIA PERMOHONAN)</v>
      </c>
      <c r="J3012" s="17">
        <f>IFERROR(__xludf.DUMMYFUNCTION("""COMPUTED_VALUE"""),45855.680291875)</f>
        <v>45855.68029</v>
      </c>
      <c r="K3012" s="13" t="str">
        <f>IFERROR(__xludf.DUMMYFUNCTION("""COMPUTED_VALUE"""),"Selesai")</f>
        <v>Selesai</v>
      </c>
      <c r="L3012" s="17">
        <f>IFERROR(__xludf.DUMMYFUNCTION("""COMPUTED_VALUE"""),45855.680291875)</f>
        <v>45855.68029</v>
      </c>
      <c r="M3012" s="13"/>
      <c r="N3012" s="13" t="str">
        <f>IFERROR(__xludf.DUMMYFUNCTION("""COMPUTED_VALUE"""),"")</f>
        <v/>
      </c>
      <c r="O3012" s="13" t="str">
        <f t="shared" si="1"/>
        <v/>
      </c>
    </row>
    <row r="3013" ht="22.5" customHeight="1">
      <c r="B3013" s="13">
        <f>IFERROR(__xludf.DUMMYFUNCTION("""COMPUTED_VALUE"""),3008.0)</f>
        <v>3008</v>
      </c>
      <c r="C3013" s="13" t="str">
        <f>IFERROR(__xludf.DUMMYFUNCTION("""COMPUTED_VALUE"""),"M. 4538/ Gunung Terang")</f>
        <v>M. 4538/ Gunung Terang</v>
      </c>
      <c r="D3013" s="13" t="str">
        <f>IFERROR(__xludf.DUMMYFUNCTION("""COMPUTED_VALUE"""),"K/5/230625/1")</f>
        <v>K/5/230625/1</v>
      </c>
      <c r="E3013" s="14" t="str">
        <f>IFERROR(__xludf.DUMMYFUNCTION("""COMPUTED_VALUE"""),"Afriza (BT)")</f>
        <v>Afriza (BT)</v>
      </c>
      <c r="F3013" s="14" t="str">
        <f>IFERROR(__xludf.DUMMYFUNCTION("""COMPUTED_VALUE"""),"SELESAI (VIA PERMOHONAN)")</f>
        <v>SELESAI (VIA PERMOHONAN)</v>
      </c>
      <c r="G3013" s="17">
        <f>IFERROR(__xludf.DUMMYFUNCTION("""COMPUTED_VALUE"""),45854.80719839121)</f>
        <v>45854.8072</v>
      </c>
      <c r="H3013" s="14" t="str">
        <f>IFERROR(__xludf.DUMMYFUNCTION("""COMPUTED_VALUE"""),"Eci (SU)")</f>
        <v>Eci (SU)</v>
      </c>
      <c r="I3013" s="13" t="str">
        <f>IFERROR(__xludf.DUMMYFUNCTION("""COMPUTED_VALUE"""),"SELESAI (VIA PERMOHONAN)")</f>
        <v>SELESAI (VIA PERMOHONAN)</v>
      </c>
      <c r="J3013" s="17">
        <f>IFERROR(__xludf.DUMMYFUNCTION("""COMPUTED_VALUE"""),45855.68134582176)</f>
        <v>45855.68135</v>
      </c>
      <c r="K3013" s="13" t="str">
        <f>IFERROR(__xludf.DUMMYFUNCTION("""COMPUTED_VALUE"""),"Selesai")</f>
        <v>Selesai</v>
      </c>
      <c r="L3013" s="17">
        <f>IFERROR(__xludf.DUMMYFUNCTION("""COMPUTED_VALUE"""),45855.68134582176)</f>
        <v>45855.68135</v>
      </c>
      <c r="M3013" s="13"/>
      <c r="N3013" s="13" t="str">
        <f>IFERROR(__xludf.DUMMYFUNCTION("""COMPUTED_VALUE"""),"")</f>
        <v/>
      </c>
      <c r="O3013" s="13" t="str">
        <f t="shared" si="1"/>
        <v/>
      </c>
    </row>
    <row r="3014" ht="22.5" customHeight="1">
      <c r="B3014" s="13">
        <f>IFERROR(__xludf.DUMMYFUNCTION("""COMPUTED_VALUE"""),3009.0)</f>
        <v>3009</v>
      </c>
      <c r="C3014" s="13" t="str">
        <f>IFERROR(__xludf.DUMMYFUNCTION("""COMPUTED_VALUE"""),"M. 801/ Negeri Olok Gading")</f>
        <v>M. 801/ Negeri Olok Gading</v>
      </c>
      <c r="D3014" s="13" t="str">
        <f>IFERROR(__xludf.DUMMYFUNCTION("""COMPUTED_VALUE"""),"K/15/070725/1")</f>
        <v>K/15/070725/1</v>
      </c>
      <c r="E3014" s="14" t="str">
        <f>IFERROR(__xludf.DUMMYFUNCTION("""COMPUTED_VALUE"""),"Afriza (BT)")</f>
        <v>Afriza (BT)</v>
      </c>
      <c r="F3014" s="14" t="str">
        <f>IFERROR(__xludf.DUMMYFUNCTION("""COMPUTED_VALUE"""),"SELESAI (VIA PERMOHONAN)")</f>
        <v>SELESAI (VIA PERMOHONAN)</v>
      </c>
      <c r="G3014" s="17">
        <f>IFERROR(__xludf.DUMMYFUNCTION("""COMPUTED_VALUE"""),45854.80732818287)</f>
        <v>45854.80733</v>
      </c>
      <c r="H3014" s="14" t="str">
        <f>IFERROR(__xludf.DUMMYFUNCTION("""COMPUTED_VALUE"""),"Eci (SU)")</f>
        <v>Eci (SU)</v>
      </c>
      <c r="I3014" s="13" t="str">
        <f>IFERROR(__xludf.DUMMYFUNCTION("""COMPUTED_VALUE"""),"SELESAI (VIA PERMOHONAN)")</f>
        <v>SELESAI (VIA PERMOHONAN)</v>
      </c>
      <c r="J3014" s="17">
        <f>IFERROR(__xludf.DUMMYFUNCTION("""COMPUTED_VALUE"""),45855.68040832176)</f>
        <v>45855.68041</v>
      </c>
      <c r="K3014" s="13" t="str">
        <f>IFERROR(__xludf.DUMMYFUNCTION("""COMPUTED_VALUE"""),"Selesai")</f>
        <v>Selesai</v>
      </c>
      <c r="L3014" s="17">
        <f>IFERROR(__xludf.DUMMYFUNCTION("""COMPUTED_VALUE"""),45855.68040832176)</f>
        <v>45855.68041</v>
      </c>
      <c r="M3014" s="13"/>
      <c r="N3014" s="13" t="str">
        <f>IFERROR(__xludf.DUMMYFUNCTION("""COMPUTED_VALUE"""),"")</f>
        <v/>
      </c>
      <c r="O3014" s="13" t="str">
        <f t="shared" si="1"/>
        <v/>
      </c>
    </row>
    <row r="3015" ht="22.5" customHeight="1">
      <c r="B3015" s="13">
        <f>IFERROR(__xludf.DUMMYFUNCTION("""COMPUTED_VALUE"""),3010.0)</f>
        <v>3010</v>
      </c>
      <c r="C3015" s="13" t="str">
        <f>IFERROR(__xludf.DUMMYFUNCTION("""COMPUTED_VALUE"""),"M. 1845/ Rajabasa Pemuka")</f>
        <v>M. 1845/ Rajabasa Pemuka</v>
      </c>
      <c r="D3015" s="13" t="str">
        <f>IFERROR(__xludf.DUMMYFUNCTION("""COMPUTED_VALUE"""),"K/3/240625/1")</f>
        <v>K/3/240625/1</v>
      </c>
      <c r="E3015" s="14" t="str">
        <f>IFERROR(__xludf.DUMMYFUNCTION("""COMPUTED_VALUE"""),"Afriza (BT)")</f>
        <v>Afriza (BT)</v>
      </c>
      <c r="F3015" s="14" t="str">
        <f>IFERROR(__xludf.DUMMYFUNCTION("""COMPUTED_VALUE"""),"SELESAI (VIA PERMOHONAN)")</f>
        <v>SELESAI (VIA PERMOHONAN)</v>
      </c>
      <c r="G3015" s="17">
        <f>IFERROR(__xludf.DUMMYFUNCTION("""COMPUTED_VALUE"""),45854.807422453705)</f>
        <v>45854.80742</v>
      </c>
      <c r="H3015" s="14" t="str">
        <f>IFERROR(__xludf.DUMMYFUNCTION("""COMPUTED_VALUE"""),"Eci (SU)")</f>
        <v>Eci (SU)</v>
      </c>
      <c r="I3015" s="13" t="str">
        <f>IFERROR(__xludf.DUMMYFUNCTION("""COMPUTED_VALUE"""),"SELESAI (VIA PERMOHONAN)")</f>
        <v>SELESAI (VIA PERMOHONAN)</v>
      </c>
      <c r="J3015" s="17">
        <f>IFERROR(__xludf.DUMMYFUNCTION("""COMPUTED_VALUE"""),45855.68127199074)</f>
        <v>45855.68127</v>
      </c>
      <c r="K3015" s="13" t="str">
        <f>IFERROR(__xludf.DUMMYFUNCTION("""COMPUTED_VALUE"""),"Selesai")</f>
        <v>Selesai</v>
      </c>
      <c r="L3015" s="17">
        <f>IFERROR(__xludf.DUMMYFUNCTION("""COMPUTED_VALUE"""),45855.68127199074)</f>
        <v>45855.68127</v>
      </c>
      <c r="M3015" s="13"/>
      <c r="N3015" s="13" t="str">
        <f>IFERROR(__xludf.DUMMYFUNCTION("""COMPUTED_VALUE"""),"")</f>
        <v/>
      </c>
      <c r="O3015" s="13" t="str">
        <f t="shared" si="1"/>
        <v/>
      </c>
    </row>
    <row r="3016" ht="22.5" customHeight="1">
      <c r="B3016" s="13">
        <f>IFERROR(__xludf.DUMMYFUNCTION("""COMPUTED_VALUE"""),3011.0)</f>
        <v>3011</v>
      </c>
      <c r="C3016" s="13" t="str">
        <f>IFERROR(__xludf.DUMMYFUNCTION("""COMPUTED_VALUE"""),"M. 14993/ Rajabasa")</f>
        <v>M. 14993/ Rajabasa</v>
      </c>
      <c r="D3016" s="13" t="str">
        <f>IFERROR(__xludf.DUMMYFUNCTION("""COMPUTED_VALUE"""),"K/23/020725/1")</f>
        <v>K/23/020725/1</v>
      </c>
      <c r="E3016" s="14" t="str">
        <f>IFERROR(__xludf.DUMMYFUNCTION("""COMPUTED_VALUE"""),"Afriza (BT)")</f>
        <v>Afriza (BT)</v>
      </c>
      <c r="F3016" s="14" t="str">
        <f>IFERROR(__xludf.DUMMYFUNCTION("""COMPUTED_VALUE"""),"SELESAI (VIA PERMOHONAN)")</f>
        <v>SELESAI (VIA PERMOHONAN)</v>
      </c>
      <c r="G3016" s="17">
        <f>IFERROR(__xludf.DUMMYFUNCTION("""COMPUTED_VALUE"""),45854.807514189815)</f>
        <v>45854.80751</v>
      </c>
      <c r="H3016" s="14" t="str">
        <f>IFERROR(__xludf.DUMMYFUNCTION("""COMPUTED_VALUE"""),"Eci (SU)")</f>
        <v>Eci (SU)</v>
      </c>
      <c r="I3016" s="13" t="str">
        <f>IFERROR(__xludf.DUMMYFUNCTION("""COMPUTED_VALUE"""),"SELESAI (VIA PERMOHONAN)")</f>
        <v>SELESAI (VIA PERMOHONAN)</v>
      </c>
      <c r="J3016" s="17">
        <f>IFERROR(__xludf.DUMMYFUNCTION("""COMPUTED_VALUE"""),45855.68119537037)</f>
        <v>45855.6812</v>
      </c>
      <c r="K3016" s="13" t="str">
        <f>IFERROR(__xludf.DUMMYFUNCTION("""COMPUTED_VALUE"""),"Selesai")</f>
        <v>Selesai</v>
      </c>
      <c r="L3016" s="17">
        <f>IFERROR(__xludf.DUMMYFUNCTION("""COMPUTED_VALUE"""),45855.68119537037)</f>
        <v>45855.6812</v>
      </c>
      <c r="M3016" s="13"/>
      <c r="N3016" s="13" t="str">
        <f>IFERROR(__xludf.DUMMYFUNCTION("""COMPUTED_VALUE"""),"")</f>
        <v/>
      </c>
      <c r="O3016" s="13" t="str">
        <f t="shared" si="1"/>
        <v/>
      </c>
    </row>
    <row r="3017" ht="22.5" customHeight="1">
      <c r="B3017" s="13">
        <f>IFERROR(__xludf.DUMMYFUNCTION("""COMPUTED_VALUE"""),3012.0)</f>
        <v>3012</v>
      </c>
      <c r="C3017" s="13" t="str">
        <f>IFERROR(__xludf.DUMMYFUNCTION("""COMPUTED_VALUE"""),"HM 2035/KUPANG TEBA")</f>
        <v>HM 2035/KUPANG TEBA</v>
      </c>
      <c r="D3017" s="13" t="str">
        <f>IFERROR(__xludf.DUMMYFUNCTION("""COMPUTED_VALUE"""),"L/9/300625/1")</f>
        <v>L/9/300625/1</v>
      </c>
      <c r="E3017" s="14" t="str">
        <f>IFERROR(__xludf.DUMMYFUNCTION("""COMPUTED_VALUE"""),"Heri (BT)")</f>
        <v>Heri (BT)</v>
      </c>
      <c r="F3017" s="14" t="str">
        <f>IFERROR(__xludf.DUMMYFUNCTION("""COMPUTED_VALUE"""),"SELESAI (VIA PERMOHONAN)")</f>
        <v>SELESAI (VIA PERMOHONAN)</v>
      </c>
      <c r="G3017" s="17">
        <f>IFERROR(__xludf.DUMMYFUNCTION("""COMPUTED_VALUE"""),45855.36082873843)</f>
        <v>45855.36083</v>
      </c>
      <c r="H3017" s="14" t="str">
        <f>IFERROR(__xludf.DUMMYFUNCTION("""COMPUTED_VALUE"""),"Eci (SU)")</f>
        <v>Eci (SU)</v>
      </c>
      <c r="I3017" s="13" t="str">
        <f>IFERROR(__xludf.DUMMYFUNCTION("""COMPUTED_VALUE"""),"SELESAI (VIA PERMOHONAN)")</f>
        <v>SELESAI (VIA PERMOHONAN)</v>
      </c>
      <c r="J3017" s="17">
        <f>IFERROR(__xludf.DUMMYFUNCTION("""COMPUTED_VALUE"""),45855.67817612269)</f>
        <v>45855.67818</v>
      </c>
      <c r="K3017" s="13" t="str">
        <f>IFERROR(__xludf.DUMMYFUNCTION("""COMPUTED_VALUE"""),"Selesai")</f>
        <v>Selesai</v>
      </c>
      <c r="L3017" s="17">
        <f>IFERROR(__xludf.DUMMYFUNCTION("""COMPUTED_VALUE"""),45855.67817612269)</f>
        <v>45855.67818</v>
      </c>
      <c r="M3017" s="13"/>
      <c r="N3017" s="13" t="str">
        <f>IFERROR(__xludf.DUMMYFUNCTION("""COMPUTED_VALUE"""),"")</f>
        <v/>
      </c>
      <c r="O3017" s="13" t="str">
        <f t="shared" si="1"/>
        <v/>
      </c>
    </row>
    <row r="3018" ht="22.5" customHeight="1">
      <c r="B3018" s="13">
        <f>IFERROR(__xludf.DUMMYFUNCTION("""COMPUTED_VALUE"""),3013.0)</f>
        <v>3013</v>
      </c>
      <c r="C3018" s="13" t="str">
        <f>IFERROR(__xludf.DUMMYFUNCTION("""COMPUTED_VALUE"""),"HM 13589/LABUHAN RATU")</f>
        <v>HM 13589/LABUHAN RATU</v>
      </c>
      <c r="D3018" s="13" t="str">
        <f>IFERROR(__xludf.DUMMYFUNCTION("""COMPUTED_VALUE"""),"L/20/110725/1")</f>
        <v>L/20/110725/1</v>
      </c>
      <c r="E3018" s="14" t="str">
        <f>IFERROR(__xludf.DUMMYFUNCTION("""COMPUTED_VALUE"""),"Heri (BT)")</f>
        <v>Heri (BT)</v>
      </c>
      <c r="F3018" s="14" t="str">
        <f>IFERROR(__xludf.DUMMYFUNCTION("""COMPUTED_VALUE"""),"SELESAI (VIA PERMOHONAN)")</f>
        <v>SELESAI (VIA PERMOHONAN)</v>
      </c>
      <c r="G3018" s="17">
        <f>IFERROR(__xludf.DUMMYFUNCTION("""COMPUTED_VALUE"""),45855.3611396412)</f>
        <v>45855.36114</v>
      </c>
      <c r="H3018" s="14" t="str">
        <f>IFERROR(__xludf.DUMMYFUNCTION("""COMPUTED_VALUE"""),"Eci (SU)")</f>
        <v>Eci (SU)</v>
      </c>
      <c r="I3018" s="13" t="str">
        <f>IFERROR(__xludf.DUMMYFUNCTION("""COMPUTED_VALUE"""),"SELESAI (VIA PERMOHONAN)")</f>
        <v>SELESAI (VIA PERMOHONAN)</v>
      </c>
      <c r="J3018" s="17">
        <f>IFERROR(__xludf.DUMMYFUNCTION("""COMPUTED_VALUE"""),45855.66886626158)</f>
        <v>45855.66887</v>
      </c>
      <c r="K3018" s="13" t="str">
        <f>IFERROR(__xludf.DUMMYFUNCTION("""COMPUTED_VALUE"""),"Selesai")</f>
        <v>Selesai</v>
      </c>
      <c r="L3018" s="17">
        <f>IFERROR(__xludf.DUMMYFUNCTION("""COMPUTED_VALUE"""),45855.66886626158)</f>
        <v>45855.66887</v>
      </c>
      <c r="M3018" s="13"/>
      <c r="N3018" s="13" t="str">
        <f>IFERROR(__xludf.DUMMYFUNCTION("""COMPUTED_VALUE"""),"")</f>
        <v/>
      </c>
      <c r="O3018" s="13" t="str">
        <f t="shared" si="1"/>
        <v/>
      </c>
    </row>
    <row r="3019" ht="22.5" customHeight="1">
      <c r="B3019" s="13">
        <f>IFERROR(__xludf.DUMMYFUNCTION("""COMPUTED_VALUE"""),3014.0)</f>
        <v>3014</v>
      </c>
      <c r="C3019" s="13" t="str">
        <f>IFERROR(__xludf.DUMMYFUNCTION("""COMPUTED_VALUE"""),"HM 13538/LABUHAN RATU")</f>
        <v>HM 13538/LABUHAN RATU</v>
      </c>
      <c r="D3019" s="13" t="str">
        <f>IFERROR(__xludf.DUMMYFUNCTION("""COMPUTED_VALUE"""),"L/21/110725/2")</f>
        <v>L/21/110725/2</v>
      </c>
      <c r="E3019" s="14" t="str">
        <f>IFERROR(__xludf.DUMMYFUNCTION("""COMPUTED_VALUE"""),"Heri (BT)")</f>
        <v>Heri (BT)</v>
      </c>
      <c r="F3019" s="14" t="str">
        <f>IFERROR(__xludf.DUMMYFUNCTION("""COMPUTED_VALUE"""),"SELESAI (VIA PERMOHONAN)")</f>
        <v>SELESAI (VIA PERMOHONAN)</v>
      </c>
      <c r="G3019" s="17">
        <f>IFERROR(__xludf.DUMMYFUNCTION("""COMPUTED_VALUE"""),45855.36173379629)</f>
        <v>45855.36173</v>
      </c>
      <c r="H3019" s="14" t="str">
        <f>IFERROR(__xludf.DUMMYFUNCTION("""COMPUTED_VALUE"""),"Eci (SU)")</f>
        <v>Eci (SU)</v>
      </c>
      <c r="I3019" s="13" t="str">
        <f>IFERROR(__xludf.DUMMYFUNCTION("""COMPUTED_VALUE"""),"SELESAI (VIA PERMOHONAN)")</f>
        <v>SELESAI (VIA PERMOHONAN)</v>
      </c>
      <c r="J3019" s="17">
        <f>IFERROR(__xludf.DUMMYFUNCTION("""COMPUTED_VALUE"""),45855.669453553244)</f>
        <v>45855.66945</v>
      </c>
      <c r="K3019" s="13" t="str">
        <f>IFERROR(__xludf.DUMMYFUNCTION("""COMPUTED_VALUE"""),"Selesai")</f>
        <v>Selesai</v>
      </c>
      <c r="L3019" s="17">
        <f>IFERROR(__xludf.DUMMYFUNCTION("""COMPUTED_VALUE"""),45855.669453553244)</f>
        <v>45855.66945</v>
      </c>
      <c r="M3019" s="13"/>
      <c r="N3019" s="13" t="str">
        <f>IFERROR(__xludf.DUMMYFUNCTION("""COMPUTED_VALUE"""),"")</f>
        <v/>
      </c>
      <c r="O3019" s="13" t="str">
        <f t="shared" si="1"/>
        <v/>
      </c>
    </row>
    <row r="3020" ht="22.5" customHeight="1">
      <c r="B3020" s="13">
        <f>IFERROR(__xludf.DUMMYFUNCTION("""COMPUTED_VALUE"""),3015.0)</f>
        <v>3015</v>
      </c>
      <c r="C3020" s="13" t="str">
        <f>IFERROR(__xludf.DUMMYFUNCTION("""COMPUTED_VALUE"""),"M.12361/SUKABUMI")</f>
        <v>M.12361/SUKABUMI</v>
      </c>
      <c r="D3020" s="13" t="str">
        <f>IFERROR(__xludf.DUMMYFUNCTION("""COMPUTED_VALUE"""),"K/43/100725/1")</f>
        <v>K/43/100725/1</v>
      </c>
      <c r="E3020" s="14" t="str">
        <f>IFERROR(__xludf.DUMMYFUNCTION("""COMPUTED_VALUE"""),"Heri (BT)")</f>
        <v>Heri (BT)</v>
      </c>
      <c r="F3020" s="14" t="str">
        <f>IFERROR(__xludf.DUMMYFUNCTION("""COMPUTED_VALUE"""),"SELESAI (VIA PERMOHONAN)")</f>
        <v>SELESAI (VIA PERMOHONAN)</v>
      </c>
      <c r="G3020" s="17">
        <f>IFERROR(__xludf.DUMMYFUNCTION("""COMPUTED_VALUE"""),45855.36190204861)</f>
        <v>45855.3619</v>
      </c>
      <c r="H3020" s="14" t="str">
        <f>IFERROR(__xludf.DUMMYFUNCTION("""COMPUTED_VALUE"""),"Eci (SU)")</f>
        <v>Eci (SU)</v>
      </c>
      <c r="I3020" s="13" t="str">
        <f>IFERROR(__xludf.DUMMYFUNCTION("""COMPUTED_VALUE"""),"SELESAI (VIA PERMOHONAN)")</f>
        <v>SELESAI (VIA PERMOHONAN)</v>
      </c>
      <c r="J3020" s="17">
        <f>IFERROR(__xludf.DUMMYFUNCTION("""COMPUTED_VALUE"""),45855.66958986111)</f>
        <v>45855.66959</v>
      </c>
      <c r="K3020" s="13" t="str">
        <f>IFERROR(__xludf.DUMMYFUNCTION("""COMPUTED_VALUE"""),"Selesai")</f>
        <v>Selesai</v>
      </c>
      <c r="L3020" s="17">
        <f>IFERROR(__xludf.DUMMYFUNCTION("""COMPUTED_VALUE"""),45855.66958986111)</f>
        <v>45855.66959</v>
      </c>
      <c r="M3020" s="13"/>
      <c r="N3020" s="13" t="str">
        <f>IFERROR(__xludf.DUMMYFUNCTION("""COMPUTED_VALUE"""),"")</f>
        <v/>
      </c>
      <c r="O3020" s="13" t="str">
        <f t="shared" si="1"/>
        <v/>
      </c>
    </row>
    <row r="3021" ht="22.5" customHeight="1">
      <c r="B3021" s="13">
        <f>IFERROR(__xludf.DUMMYFUNCTION("""COMPUTED_VALUE"""),3016.0)</f>
        <v>3016</v>
      </c>
      <c r="C3021" s="13" t="str">
        <f>IFERROR(__xludf.DUMMYFUNCTION("""COMPUTED_VALUE""")," M.1117/PERUMNAS WAY KANDIS")</f>
        <v> M.1117/PERUMNAS WAY KANDIS</v>
      </c>
      <c r="D3021" s="13" t="str">
        <f>IFERROR(__xludf.DUMMYFUNCTION("""COMPUTED_VALUE"""),"K/18/030725/1")</f>
        <v>K/18/030725/1</v>
      </c>
      <c r="E3021" s="14" t="str">
        <f>IFERROR(__xludf.DUMMYFUNCTION("""COMPUTED_VALUE"""),"Heri (BT)")</f>
        <v>Heri (BT)</v>
      </c>
      <c r="F3021" s="14" t="str">
        <f>IFERROR(__xludf.DUMMYFUNCTION("""COMPUTED_VALUE"""),"SELESAI (VIA PERMOHONAN)")</f>
        <v>SELESAI (VIA PERMOHONAN)</v>
      </c>
      <c r="G3021" s="17">
        <f>IFERROR(__xludf.DUMMYFUNCTION("""COMPUTED_VALUE"""),45855.36206252315)</f>
        <v>45855.36206</v>
      </c>
      <c r="H3021" s="14" t="str">
        <f>IFERROR(__xludf.DUMMYFUNCTION("""COMPUTED_VALUE"""),"Eci (SU)")</f>
        <v>Eci (SU)</v>
      </c>
      <c r="I3021" s="13" t="str">
        <f>IFERROR(__xludf.DUMMYFUNCTION("""COMPUTED_VALUE"""),"SELESAI (VIA PERMOHONAN)")</f>
        <v>SELESAI (VIA PERMOHONAN)</v>
      </c>
      <c r="J3021" s="17">
        <f>IFERROR(__xludf.DUMMYFUNCTION("""COMPUTED_VALUE"""),45855.669749699075)</f>
        <v>45855.66975</v>
      </c>
      <c r="K3021" s="13" t="str">
        <f>IFERROR(__xludf.DUMMYFUNCTION("""COMPUTED_VALUE"""),"Selesai")</f>
        <v>Selesai</v>
      </c>
      <c r="L3021" s="17">
        <f>IFERROR(__xludf.DUMMYFUNCTION("""COMPUTED_VALUE"""),45855.669749699075)</f>
        <v>45855.66975</v>
      </c>
      <c r="M3021" s="13"/>
      <c r="N3021" s="13" t="str">
        <f>IFERROR(__xludf.DUMMYFUNCTION("""COMPUTED_VALUE"""),"")</f>
        <v/>
      </c>
      <c r="O3021" s="13" t="str">
        <f t="shared" si="1"/>
        <v/>
      </c>
    </row>
    <row r="3022" ht="22.5" customHeight="1">
      <c r="B3022" s="13">
        <f>IFERROR(__xludf.DUMMYFUNCTION("""COMPUTED_VALUE"""),3017.0)</f>
        <v>3017</v>
      </c>
      <c r="C3022" s="13" t="str">
        <f>IFERROR(__xludf.DUMMYFUNCTION("""COMPUTED_VALUE"""),"M. 3689/NUSANTARA PERMAI")</f>
        <v>M. 3689/NUSANTARA PERMAI</v>
      </c>
      <c r="D3022" s="13" t="str">
        <f>IFERROR(__xludf.DUMMYFUNCTION("""COMPUTED_VALUE"""),"K/27/080725/1")</f>
        <v>K/27/080725/1</v>
      </c>
      <c r="E3022" s="14" t="str">
        <f>IFERROR(__xludf.DUMMYFUNCTION("""COMPUTED_VALUE"""),"Heri (BT)")</f>
        <v>Heri (BT)</v>
      </c>
      <c r="F3022" s="14" t="str">
        <f>IFERROR(__xludf.DUMMYFUNCTION("""COMPUTED_VALUE"""),"SELESAI (VIA PERMOHONAN)")</f>
        <v>SELESAI (VIA PERMOHONAN)</v>
      </c>
      <c r="G3022" s="17">
        <f>IFERROR(__xludf.DUMMYFUNCTION("""COMPUTED_VALUE"""),45855.36225773148)</f>
        <v>45855.36226</v>
      </c>
      <c r="H3022" s="14" t="str">
        <f>IFERROR(__xludf.DUMMYFUNCTION("""COMPUTED_VALUE"""),"Eci (SU)")</f>
        <v>Eci (SU)</v>
      </c>
      <c r="I3022" s="13" t="str">
        <f>IFERROR(__xludf.DUMMYFUNCTION("""COMPUTED_VALUE"""),"SELESAI (VIA PERMOHONAN)")</f>
        <v>SELESAI (VIA PERMOHONAN)</v>
      </c>
      <c r="J3022" s="17">
        <f>IFERROR(__xludf.DUMMYFUNCTION("""COMPUTED_VALUE"""),45855.67036672454)</f>
        <v>45855.67037</v>
      </c>
      <c r="K3022" s="13" t="str">
        <f>IFERROR(__xludf.DUMMYFUNCTION("""COMPUTED_VALUE"""),"Selesai")</f>
        <v>Selesai</v>
      </c>
      <c r="L3022" s="17">
        <f>IFERROR(__xludf.DUMMYFUNCTION("""COMPUTED_VALUE"""),45855.67036672454)</f>
        <v>45855.67037</v>
      </c>
      <c r="M3022" s="13"/>
      <c r="N3022" s="13" t="str">
        <f>IFERROR(__xludf.DUMMYFUNCTION("""COMPUTED_VALUE"""),"")</f>
        <v/>
      </c>
      <c r="O3022" s="13" t="str">
        <f t="shared" si="1"/>
        <v/>
      </c>
    </row>
    <row r="3023" ht="22.5" customHeight="1">
      <c r="B3023" s="13">
        <f>IFERROR(__xludf.DUMMYFUNCTION("""COMPUTED_VALUE"""),3018.0)</f>
        <v>3018</v>
      </c>
      <c r="C3023" s="13" t="str">
        <f>IFERROR(__xludf.DUMMYFUNCTION("""COMPUTED_VALUE"""),"HM 12859/BERINGIN RAYA")</f>
        <v>HM 12859/BERINGIN RAYA</v>
      </c>
      <c r="D3023" s="13" t="str">
        <f>IFERROR(__xludf.DUMMYFUNCTION("""COMPUTED_VALUE"""),"L/31/100725/1")</f>
        <v>L/31/100725/1</v>
      </c>
      <c r="E3023" s="14" t="str">
        <f>IFERROR(__xludf.DUMMYFUNCTION("""COMPUTED_VALUE"""),"Heri (BT)")</f>
        <v>Heri (BT)</v>
      </c>
      <c r="F3023" s="14" t="str">
        <f>IFERROR(__xludf.DUMMYFUNCTION("""COMPUTED_VALUE"""),"SELESAI (VIA PERMOHONAN)")</f>
        <v>SELESAI (VIA PERMOHONAN)</v>
      </c>
      <c r="G3023" s="17">
        <f>IFERROR(__xludf.DUMMYFUNCTION("""COMPUTED_VALUE"""),45855.362416041666)</f>
        <v>45855.36242</v>
      </c>
      <c r="H3023" s="14" t="str">
        <f>IFERROR(__xludf.DUMMYFUNCTION("""COMPUTED_VALUE"""),"Eci (SU)")</f>
        <v>Eci (SU)</v>
      </c>
      <c r="I3023" s="13" t="str">
        <f>IFERROR(__xludf.DUMMYFUNCTION("""COMPUTED_VALUE"""),"SELESAI (VIA PERMOHONAN)")</f>
        <v>SELESAI (VIA PERMOHONAN)</v>
      </c>
      <c r="J3023" s="17">
        <f>IFERROR(__xludf.DUMMYFUNCTION("""COMPUTED_VALUE"""),45855.679138541665)</f>
        <v>45855.67914</v>
      </c>
      <c r="K3023" s="13" t="str">
        <f>IFERROR(__xludf.DUMMYFUNCTION("""COMPUTED_VALUE"""),"Selesai")</f>
        <v>Selesai</v>
      </c>
      <c r="L3023" s="17">
        <f>IFERROR(__xludf.DUMMYFUNCTION("""COMPUTED_VALUE"""),45855.679138541665)</f>
        <v>45855.67914</v>
      </c>
      <c r="M3023" s="13"/>
      <c r="N3023" s="13" t="str">
        <f>IFERROR(__xludf.DUMMYFUNCTION("""COMPUTED_VALUE"""),"")</f>
        <v/>
      </c>
      <c r="O3023" s="13" t="str">
        <f t="shared" si="1"/>
        <v/>
      </c>
    </row>
    <row r="3024" ht="22.5" customHeight="1">
      <c r="B3024" s="13">
        <f>IFERROR(__xludf.DUMMYFUNCTION("""COMPUTED_VALUE"""),3019.0)</f>
        <v>3019</v>
      </c>
      <c r="C3024" s="13" t="str">
        <f>IFERROR(__xludf.DUMMYFUNCTION("""COMPUTED_VALUE"""),"HM 1156/PENENGAHAN")</f>
        <v>HM 1156/PENENGAHAN</v>
      </c>
      <c r="D3024" s="13" t="str">
        <f>IFERROR(__xludf.DUMMYFUNCTION("""COMPUTED_VALUE"""),"L/35/040725/1")</f>
        <v>L/35/040725/1</v>
      </c>
      <c r="E3024" s="14" t="str">
        <f>IFERROR(__xludf.DUMMYFUNCTION("""COMPUTED_VALUE"""),"Heri (BT)")</f>
        <v>Heri (BT)</v>
      </c>
      <c r="F3024" s="14" t="str">
        <f>IFERROR(__xludf.DUMMYFUNCTION("""COMPUTED_VALUE"""),"SELESAI (VIA PERMOHONAN)")</f>
        <v>SELESAI (VIA PERMOHONAN)</v>
      </c>
      <c r="G3024" s="17">
        <f>IFERROR(__xludf.DUMMYFUNCTION("""COMPUTED_VALUE"""),45855.36252137732)</f>
        <v>45855.36252</v>
      </c>
      <c r="H3024" s="14" t="str">
        <f>IFERROR(__xludf.DUMMYFUNCTION("""COMPUTED_VALUE"""),"Eci (SU)")</f>
        <v>Eci (SU)</v>
      </c>
      <c r="I3024" s="13" t="str">
        <f>IFERROR(__xludf.DUMMYFUNCTION("""COMPUTED_VALUE"""),"SELESAI (VIA PERMOHONAN)")</f>
        <v>SELESAI (VIA PERMOHONAN)</v>
      </c>
      <c r="J3024" s="17">
        <f>IFERROR(__xludf.DUMMYFUNCTION("""COMPUTED_VALUE"""),45855.679043738426)</f>
        <v>45855.67904</v>
      </c>
      <c r="K3024" s="13" t="str">
        <f>IFERROR(__xludf.DUMMYFUNCTION("""COMPUTED_VALUE"""),"Selesai")</f>
        <v>Selesai</v>
      </c>
      <c r="L3024" s="17">
        <f>IFERROR(__xludf.DUMMYFUNCTION("""COMPUTED_VALUE"""),45855.679043738426)</f>
        <v>45855.67904</v>
      </c>
      <c r="M3024" s="13"/>
      <c r="N3024" s="13" t="str">
        <f>IFERROR(__xludf.DUMMYFUNCTION("""COMPUTED_VALUE"""),"")</f>
        <v/>
      </c>
      <c r="O3024" s="13" t="str">
        <f t="shared" si="1"/>
        <v/>
      </c>
    </row>
    <row r="3025" ht="22.5" customHeight="1">
      <c r="B3025" s="13">
        <f>IFERROR(__xludf.DUMMYFUNCTION("""COMPUTED_VALUE"""),3020.0)</f>
        <v>3020</v>
      </c>
      <c r="C3025" s="13" t="str">
        <f>IFERROR(__xludf.DUMMYFUNCTION("""COMPUTED_VALUE"""),"M.4718/RAJABASA JAYA")</f>
        <v>M.4718/RAJABASA JAYA</v>
      </c>
      <c r="D3025" s="13" t="str">
        <f>IFERROR(__xludf.DUMMYFUNCTION("""COMPUTED_VALUE"""),"K/37/040725/1")</f>
        <v>K/37/040725/1</v>
      </c>
      <c r="E3025" s="14" t="str">
        <f>IFERROR(__xludf.DUMMYFUNCTION("""COMPUTED_VALUE"""),"Heri (BT)")</f>
        <v>Heri (BT)</v>
      </c>
      <c r="F3025" s="14" t="str">
        <f>IFERROR(__xludf.DUMMYFUNCTION("""COMPUTED_VALUE"""),"SELESAI (VIA PERMOHONAN)")</f>
        <v>SELESAI (VIA PERMOHONAN)</v>
      </c>
      <c r="G3025" s="17">
        <f>IFERROR(__xludf.DUMMYFUNCTION("""COMPUTED_VALUE"""),45855.36270701389)</f>
        <v>45855.36271</v>
      </c>
      <c r="H3025" s="14" t="str">
        <f>IFERROR(__xludf.DUMMYFUNCTION("""COMPUTED_VALUE"""),"Eci (SU)")</f>
        <v>Eci (SU)</v>
      </c>
      <c r="I3025" s="13" t="str">
        <f>IFERROR(__xludf.DUMMYFUNCTION("""COMPUTED_VALUE"""),"SELESAI (VIA PERMOHONAN)")</f>
        <v>SELESAI (VIA PERMOHONAN)</v>
      </c>
      <c r="J3025" s="17">
        <f>IFERROR(__xludf.DUMMYFUNCTION("""COMPUTED_VALUE"""),45855.679043738426)</f>
        <v>45855.67904</v>
      </c>
      <c r="K3025" s="13" t="str">
        <f>IFERROR(__xludf.DUMMYFUNCTION("""COMPUTED_VALUE"""),"Selesai")</f>
        <v>Selesai</v>
      </c>
      <c r="L3025" s="17">
        <f>IFERROR(__xludf.DUMMYFUNCTION("""COMPUTED_VALUE"""),45855.679043738426)</f>
        <v>45855.67904</v>
      </c>
      <c r="M3025" s="13"/>
      <c r="N3025" s="13" t="str">
        <f>IFERROR(__xludf.DUMMYFUNCTION("""COMPUTED_VALUE"""),"")</f>
        <v/>
      </c>
      <c r="O3025" s="13" t="str">
        <f t="shared" si="1"/>
        <v/>
      </c>
    </row>
    <row r="3026" ht="22.5" customHeight="1">
      <c r="B3026" s="13">
        <f>IFERROR(__xludf.DUMMYFUNCTION("""COMPUTED_VALUE"""),3021.0)</f>
        <v>3021</v>
      </c>
      <c r="C3026" s="13" t="str">
        <f>IFERROR(__xludf.DUMMYFUNCTION("""COMPUTED_VALUE"""),"HM 9897")</f>
        <v>HM 9897</v>
      </c>
      <c r="D3026" s="13" t="str">
        <f>IFERROR(__xludf.DUMMYFUNCTION("""COMPUTED_VALUE"""),"L/15/090725/1")</f>
        <v>L/15/090725/1</v>
      </c>
      <c r="E3026" s="14" t="str">
        <f>IFERROR(__xludf.DUMMYFUNCTION("""COMPUTED_VALUE"""),"Heri (BT)")</f>
        <v>Heri (BT)</v>
      </c>
      <c r="F3026" s="14" t="str">
        <f>IFERROR(__xludf.DUMMYFUNCTION("""COMPUTED_VALUE"""),"SELESAI (VIA PERMOHONAN)")</f>
        <v>SELESAI (VIA PERMOHONAN)</v>
      </c>
      <c r="G3026" s="17">
        <f>IFERROR(__xludf.DUMMYFUNCTION("""COMPUTED_VALUE"""),45855.36340495371)</f>
        <v>45855.3634</v>
      </c>
      <c r="H3026" s="14" t="str">
        <f>IFERROR(__xludf.DUMMYFUNCTION("""COMPUTED_VALUE"""),"Eci (SU)")</f>
        <v>Eci (SU)</v>
      </c>
      <c r="I3026" s="13" t="str">
        <f>IFERROR(__xludf.DUMMYFUNCTION("""COMPUTED_VALUE"""),"SELESAI (VIA PERMOHONAN)")</f>
        <v>SELESAI (VIA PERMOHONAN)</v>
      </c>
      <c r="J3026" s="17">
        <f>IFERROR(__xludf.DUMMYFUNCTION("""COMPUTED_VALUE"""),45855.679043738426)</f>
        <v>45855.67904</v>
      </c>
      <c r="K3026" s="13" t="str">
        <f>IFERROR(__xludf.DUMMYFUNCTION("""COMPUTED_VALUE"""),"Selesai")</f>
        <v>Selesai</v>
      </c>
      <c r="L3026" s="17">
        <f>IFERROR(__xludf.DUMMYFUNCTION("""COMPUTED_VALUE"""),45855.679043738426)</f>
        <v>45855.67904</v>
      </c>
      <c r="M3026" s="13"/>
      <c r="N3026" s="13" t="str">
        <f>IFERROR(__xludf.DUMMYFUNCTION("""COMPUTED_VALUE"""),"")</f>
        <v/>
      </c>
      <c r="O3026" s="13" t="str">
        <f t="shared" si="1"/>
        <v/>
      </c>
    </row>
    <row r="3027" ht="22.5" customHeight="1">
      <c r="B3027" s="13">
        <f>IFERROR(__xludf.DUMMYFUNCTION("""COMPUTED_VALUE"""),3022.0)</f>
        <v>3022</v>
      </c>
      <c r="C3027" s="13" t="str">
        <f>IFERROR(__xludf.DUMMYFUNCTION("""COMPUTED_VALUE"""),"HM 66/SEPANG JAYA")</f>
        <v>HM 66/SEPANG JAYA</v>
      </c>
      <c r="D3027" s="13" t="str">
        <f>IFERROR(__xludf.DUMMYFUNCTION("""COMPUTED_VALUE"""),"L/14/260625/1")</f>
        <v>L/14/260625/1</v>
      </c>
      <c r="E3027" s="14" t="str">
        <f>IFERROR(__xludf.DUMMYFUNCTION("""COMPUTED_VALUE"""),"Heri (BT)")</f>
        <v>Heri (BT)</v>
      </c>
      <c r="F3027" s="14" t="str">
        <f>IFERROR(__xludf.DUMMYFUNCTION("""COMPUTED_VALUE"""),"SELESAI (VIA PERMOHONAN)")</f>
        <v>SELESAI (VIA PERMOHONAN)</v>
      </c>
      <c r="G3027" s="17">
        <f>IFERROR(__xludf.DUMMYFUNCTION("""COMPUTED_VALUE"""),45855.36362844908)</f>
        <v>45855.36363</v>
      </c>
      <c r="H3027" s="14" t="str">
        <f>IFERROR(__xludf.DUMMYFUNCTION("""COMPUTED_VALUE"""),"Eci (SU)")</f>
        <v>Eci (SU)</v>
      </c>
      <c r="I3027" s="13" t="str">
        <f>IFERROR(__xludf.DUMMYFUNCTION("""COMPUTED_VALUE"""),"SELESAI (VIA PERMOHONAN)")</f>
        <v>SELESAI (VIA PERMOHONAN)</v>
      </c>
      <c r="J3027" s="17">
        <f>IFERROR(__xludf.DUMMYFUNCTION("""COMPUTED_VALUE"""),45855.67851817129)</f>
        <v>45855.67852</v>
      </c>
      <c r="K3027" s="13" t="str">
        <f>IFERROR(__xludf.DUMMYFUNCTION("""COMPUTED_VALUE"""),"Selesai")</f>
        <v>Selesai</v>
      </c>
      <c r="L3027" s="17">
        <f>IFERROR(__xludf.DUMMYFUNCTION("""COMPUTED_VALUE"""),45855.67851817129)</f>
        <v>45855.67852</v>
      </c>
      <c r="M3027" s="13"/>
      <c r="N3027" s="13" t="str">
        <f>IFERROR(__xludf.DUMMYFUNCTION("""COMPUTED_VALUE"""),"")</f>
        <v/>
      </c>
      <c r="O3027" s="13" t="str">
        <f t="shared" si="1"/>
        <v/>
      </c>
    </row>
    <row r="3028" ht="22.5" customHeight="1">
      <c r="B3028" s="13">
        <f>IFERROR(__xludf.DUMMYFUNCTION("""COMPUTED_VALUE"""),3023.0)</f>
        <v>3023</v>
      </c>
      <c r="C3028" s="13" t="str">
        <f>IFERROR(__xludf.DUMMYFUNCTION("""COMPUTED_VALUE"""),"HM 981/SEPANG JAYA")</f>
        <v>HM 981/SEPANG JAYA</v>
      </c>
      <c r="D3028" s="13" t="str">
        <f>IFERROR(__xludf.DUMMYFUNCTION("""COMPUTED_VALUE"""),"L/33/100725/1")</f>
        <v>L/33/100725/1</v>
      </c>
      <c r="E3028" s="14" t="str">
        <f>IFERROR(__xludf.DUMMYFUNCTION("""COMPUTED_VALUE"""),"Heri (BT)")</f>
        <v>Heri (BT)</v>
      </c>
      <c r="F3028" s="14" t="str">
        <f>IFERROR(__xludf.DUMMYFUNCTION("""COMPUTED_VALUE"""),"SELESAI (VIA PERMOHONAN)")</f>
        <v>SELESAI (VIA PERMOHONAN)</v>
      </c>
      <c r="G3028" s="17">
        <f>IFERROR(__xludf.DUMMYFUNCTION("""COMPUTED_VALUE"""),45855.363794247685)</f>
        <v>45855.36379</v>
      </c>
      <c r="H3028" s="14" t="str">
        <f>IFERROR(__xludf.DUMMYFUNCTION("""COMPUTED_VALUE"""),"Eci (SU)")</f>
        <v>Eci (SU)</v>
      </c>
      <c r="I3028" s="13" t="str">
        <f>IFERROR(__xludf.DUMMYFUNCTION("""COMPUTED_VALUE"""),"SELESAI (VIA PERMOHONAN)")</f>
        <v>SELESAI (VIA PERMOHONAN)</v>
      </c>
      <c r="J3028" s="17">
        <f>IFERROR(__xludf.DUMMYFUNCTION("""COMPUTED_VALUE"""),45855.67015185185)</f>
        <v>45855.67015</v>
      </c>
      <c r="K3028" s="13" t="str">
        <f>IFERROR(__xludf.DUMMYFUNCTION("""COMPUTED_VALUE"""),"Selesai")</f>
        <v>Selesai</v>
      </c>
      <c r="L3028" s="17">
        <f>IFERROR(__xludf.DUMMYFUNCTION("""COMPUTED_VALUE"""),45855.67015185185)</f>
        <v>45855.67015</v>
      </c>
      <c r="M3028" s="13"/>
      <c r="N3028" s="13" t="str">
        <f>IFERROR(__xludf.DUMMYFUNCTION("""COMPUTED_VALUE"""),"")</f>
        <v/>
      </c>
      <c r="O3028" s="13" t="str">
        <f t="shared" si="1"/>
        <v/>
      </c>
    </row>
    <row r="3029" ht="22.5" customHeight="1">
      <c r="B3029" s="13">
        <f>IFERROR(__xludf.DUMMYFUNCTION("""COMPUTED_VALUE"""),3024.0)</f>
        <v>3024</v>
      </c>
      <c r="C3029" s="13" t="str">
        <f>IFERROR(__xludf.DUMMYFUNCTION("""COMPUTED_VALUE"""),"M. 565/SUKARAME BARU")</f>
        <v>M. 565/SUKARAME BARU</v>
      </c>
      <c r="D3029" s="13" t="str">
        <f>IFERROR(__xludf.DUMMYFUNCTION("""COMPUTED_VALUE"""),"K/4/090725/1")</f>
        <v>K/4/090725/1</v>
      </c>
      <c r="E3029" s="14" t="str">
        <f>IFERROR(__xludf.DUMMYFUNCTION("""COMPUTED_VALUE"""),"Heri (BT)")</f>
        <v>Heri (BT)</v>
      </c>
      <c r="F3029" s="14" t="str">
        <f>IFERROR(__xludf.DUMMYFUNCTION("""COMPUTED_VALUE"""),"SELESAI (VIA PERMOHONAN)")</f>
        <v>SELESAI (VIA PERMOHONAN)</v>
      </c>
      <c r="G3029" s="17">
        <f>IFERROR(__xludf.DUMMYFUNCTION("""COMPUTED_VALUE"""),45855.46234780093)</f>
        <v>45855.46235</v>
      </c>
      <c r="H3029" s="14" t="str">
        <f>IFERROR(__xludf.DUMMYFUNCTION("""COMPUTED_VALUE"""),"Eci (SU)")</f>
        <v>Eci (SU)</v>
      </c>
      <c r="I3029" s="13" t="str">
        <f>IFERROR(__xludf.DUMMYFUNCTION("""COMPUTED_VALUE"""),"SELESAI (VIA PERMOHONAN)")</f>
        <v>SELESAI (VIA PERMOHONAN)</v>
      </c>
      <c r="J3029" s="17">
        <f>IFERROR(__xludf.DUMMYFUNCTION("""COMPUTED_VALUE"""),45855.670522939814)</f>
        <v>45855.67052</v>
      </c>
      <c r="K3029" s="13" t="str">
        <f>IFERROR(__xludf.DUMMYFUNCTION("""COMPUTED_VALUE"""),"Selesai")</f>
        <v>Selesai</v>
      </c>
      <c r="L3029" s="17">
        <f>IFERROR(__xludf.DUMMYFUNCTION("""COMPUTED_VALUE"""),45855.670522939814)</f>
        <v>45855.67052</v>
      </c>
      <c r="M3029" s="13"/>
      <c r="N3029" s="13" t="str">
        <f>IFERROR(__xludf.DUMMYFUNCTION("""COMPUTED_VALUE"""),"")</f>
        <v/>
      </c>
      <c r="O3029" s="13" t="str">
        <f t="shared" si="1"/>
        <v/>
      </c>
    </row>
    <row r="3030" ht="22.5" customHeight="1">
      <c r="B3030" s="13">
        <f>IFERROR(__xludf.DUMMYFUNCTION("""COMPUTED_VALUE"""),3025.0)</f>
        <v>3025</v>
      </c>
      <c r="C3030" s="13" t="str">
        <f>IFERROR(__xludf.DUMMYFUNCTION("""COMPUTED_VALUE"""),"M. 2240/CAMPANG RAYA")</f>
        <v>M. 2240/CAMPANG RAYA</v>
      </c>
      <c r="D3030" s="13" t="str">
        <f>IFERROR(__xludf.DUMMYFUNCTION("""COMPUTED_VALUE"""),"K/37/020625/1")</f>
        <v>K/37/020625/1</v>
      </c>
      <c r="E3030" s="14" t="str">
        <f>IFERROR(__xludf.DUMMYFUNCTION("""COMPUTED_VALUE"""),"Heri (BT)")</f>
        <v>Heri (BT)</v>
      </c>
      <c r="F3030" s="14" t="str">
        <f>IFERROR(__xludf.DUMMYFUNCTION("""COMPUTED_VALUE"""),"SELESAI (VIA PERMOHONAN)")</f>
        <v>SELESAI (VIA PERMOHONAN)</v>
      </c>
      <c r="G3030" s="17">
        <f>IFERROR(__xludf.DUMMYFUNCTION("""COMPUTED_VALUE"""),45855.4625137963)</f>
        <v>45855.46251</v>
      </c>
      <c r="H3030" s="14" t="str">
        <f>IFERROR(__xludf.DUMMYFUNCTION("""COMPUTED_VALUE"""),"Eci (SU)")</f>
        <v>Eci (SU)</v>
      </c>
      <c r="I3030" s="13" t="str">
        <f>IFERROR(__xludf.DUMMYFUNCTION("""COMPUTED_VALUE"""),"SELESAI (VIA PERMOHONAN)")</f>
        <v>SELESAI (VIA PERMOHONAN)</v>
      </c>
      <c r="J3030" s="17">
        <f>IFERROR(__xludf.DUMMYFUNCTION("""COMPUTED_VALUE"""),45855.67118599537)</f>
        <v>45855.67119</v>
      </c>
      <c r="K3030" s="13" t="str">
        <f>IFERROR(__xludf.DUMMYFUNCTION("""COMPUTED_VALUE"""),"Selesai")</f>
        <v>Selesai</v>
      </c>
      <c r="L3030" s="17">
        <f>IFERROR(__xludf.DUMMYFUNCTION("""COMPUTED_VALUE"""),45855.67118599537)</f>
        <v>45855.67119</v>
      </c>
      <c r="M3030" s="13"/>
      <c r="N3030" s="13" t="str">
        <f>IFERROR(__xludf.DUMMYFUNCTION("""COMPUTED_VALUE"""),"")</f>
        <v/>
      </c>
      <c r="O3030" s="13" t="str">
        <f t="shared" si="1"/>
        <v/>
      </c>
    </row>
    <row r="3031" ht="22.5" customHeight="1">
      <c r="B3031" s="13">
        <f>IFERROR(__xludf.DUMMYFUNCTION("""COMPUTED_VALUE"""),3026.0)</f>
        <v>3026</v>
      </c>
      <c r="C3031" s="13" t="str">
        <f>IFERROR(__xludf.DUMMYFUNCTION("""COMPUTED_VALUE"""),"M. 11620/ Tanjung Baru")</f>
        <v>M. 11620/ Tanjung Baru</v>
      </c>
      <c r="D3031" s="13" t="str">
        <f>IFERROR(__xludf.DUMMYFUNCTION("""COMPUTED_VALUE"""),"K/16/080725/1")</f>
        <v>K/16/080725/1</v>
      </c>
      <c r="E3031" s="14" t="str">
        <f>IFERROR(__xludf.DUMMYFUNCTION("""COMPUTED_VALUE"""),"Heri (BT)")</f>
        <v>Heri (BT)</v>
      </c>
      <c r="F3031" s="14" t="str">
        <f>IFERROR(__xludf.DUMMYFUNCTION("""COMPUTED_VALUE"""),"SELESAI (VIA PERMOHONAN)")</f>
        <v>SELESAI (VIA PERMOHONAN)</v>
      </c>
      <c r="G3031" s="17">
        <f>IFERROR(__xludf.DUMMYFUNCTION("""COMPUTED_VALUE"""),45855.46273289352)</f>
        <v>45855.46273</v>
      </c>
      <c r="H3031" s="14" t="str">
        <f>IFERROR(__xludf.DUMMYFUNCTION("""COMPUTED_VALUE"""),"Eci (SU)")</f>
        <v>Eci (SU)</v>
      </c>
      <c r="I3031" s="13" t="str">
        <f>IFERROR(__xludf.DUMMYFUNCTION("""COMPUTED_VALUE"""),"SELESAI (VIA PERMOHONAN)")</f>
        <v>SELESAI (VIA PERMOHONAN)</v>
      </c>
      <c r="J3031" s="17">
        <f>IFERROR(__xludf.DUMMYFUNCTION("""COMPUTED_VALUE"""),45855.67176440972)</f>
        <v>45855.67176</v>
      </c>
      <c r="K3031" s="13" t="str">
        <f>IFERROR(__xludf.DUMMYFUNCTION("""COMPUTED_VALUE"""),"Selesai")</f>
        <v>Selesai</v>
      </c>
      <c r="L3031" s="17">
        <f>IFERROR(__xludf.DUMMYFUNCTION("""COMPUTED_VALUE"""),45855.67176440972)</f>
        <v>45855.67176</v>
      </c>
      <c r="M3031" s="13"/>
      <c r="N3031" s="13" t="str">
        <f>IFERROR(__xludf.DUMMYFUNCTION("""COMPUTED_VALUE"""),"")</f>
        <v/>
      </c>
      <c r="O3031" s="13" t="str">
        <f t="shared" si="1"/>
        <v/>
      </c>
    </row>
    <row r="3032" ht="22.5" customHeight="1">
      <c r="B3032" s="13">
        <f>IFERROR(__xludf.DUMMYFUNCTION("""COMPUTED_VALUE"""),3027.0)</f>
        <v>3027</v>
      </c>
      <c r="C3032" s="13" t="str">
        <f>IFERROR(__xludf.DUMMYFUNCTION("""COMPUTED_VALUE"""),"M. 998 / BATU PUTUK")</f>
        <v>M. 998 / BATU PUTUK</v>
      </c>
      <c r="D3032" s="13" t="str">
        <f>IFERROR(__xludf.DUMMYFUNCTION("""COMPUTED_VALUE"""),"K/28/190625/2")</f>
        <v>K/28/190625/2</v>
      </c>
      <c r="E3032" s="14" t="str">
        <f>IFERROR(__xludf.DUMMYFUNCTION("""COMPUTED_VALUE"""),"Heri (BT)")</f>
        <v>Heri (BT)</v>
      </c>
      <c r="F3032" s="14" t="str">
        <f>IFERROR(__xludf.DUMMYFUNCTION("""COMPUTED_VALUE"""),"SELESAI (VIA PERMOHONAN)")</f>
        <v>SELESAI (VIA PERMOHONAN)</v>
      </c>
      <c r="G3032" s="17">
        <f>IFERROR(__xludf.DUMMYFUNCTION("""COMPUTED_VALUE"""),45855.4628612963)</f>
        <v>45855.46286</v>
      </c>
      <c r="H3032" s="14" t="str">
        <f>IFERROR(__xludf.DUMMYFUNCTION("""COMPUTED_VALUE"""),"Eci (SU)")</f>
        <v>Eci (SU)</v>
      </c>
      <c r="I3032" s="13" t="str">
        <f>IFERROR(__xludf.DUMMYFUNCTION("""COMPUTED_VALUE"""),"SELESAI (VIA PERMOHONAN)")</f>
        <v>SELESAI (VIA PERMOHONAN)</v>
      </c>
      <c r="J3032" s="17">
        <f>IFERROR(__xludf.DUMMYFUNCTION("""COMPUTED_VALUE"""),45855.671657557876)</f>
        <v>45855.67166</v>
      </c>
      <c r="K3032" s="13" t="str">
        <f>IFERROR(__xludf.DUMMYFUNCTION("""COMPUTED_VALUE"""),"Selesai")</f>
        <v>Selesai</v>
      </c>
      <c r="L3032" s="17">
        <f>IFERROR(__xludf.DUMMYFUNCTION("""COMPUTED_VALUE"""),45855.671657557876)</f>
        <v>45855.67166</v>
      </c>
      <c r="M3032" s="13"/>
      <c r="N3032" s="13" t="str">
        <f>IFERROR(__xludf.DUMMYFUNCTION("""COMPUTED_VALUE"""),"")</f>
        <v/>
      </c>
      <c r="O3032" s="13" t="str">
        <f t="shared" si="1"/>
        <v/>
      </c>
    </row>
    <row r="3033" ht="22.5" customHeight="1">
      <c r="B3033" s="13">
        <f>IFERROR(__xludf.DUMMYFUNCTION("""COMPUTED_VALUE"""),3028.0)</f>
        <v>3028</v>
      </c>
      <c r="C3033" s="13" t="str">
        <f>IFERROR(__xludf.DUMMYFUNCTION("""COMPUTED_VALUE"""),"M. 9865/ Kampung Baru")</f>
        <v>M. 9865/ Kampung Baru</v>
      </c>
      <c r="D3033" s="13" t="str">
        <f>IFERROR(__xludf.DUMMYFUNCTION("""COMPUTED_VALUE"""),"K/39/100725/1")</f>
        <v>K/39/100725/1</v>
      </c>
      <c r="E3033" s="14" t="str">
        <f>IFERROR(__xludf.DUMMYFUNCTION("""COMPUTED_VALUE"""),"Heri (BT)")</f>
        <v>Heri (BT)</v>
      </c>
      <c r="F3033" s="14" t="str">
        <f>IFERROR(__xludf.DUMMYFUNCTION("""COMPUTED_VALUE"""),"SELESAI (VIA PERMOHONAN)")</f>
        <v>SELESAI (VIA PERMOHONAN)</v>
      </c>
      <c r="G3033" s="17">
        <f>IFERROR(__xludf.DUMMYFUNCTION("""COMPUTED_VALUE"""),45855.46303733796)</f>
        <v>45855.46304</v>
      </c>
      <c r="H3033" s="14" t="str">
        <f>IFERROR(__xludf.DUMMYFUNCTION("""COMPUTED_VALUE"""),"Eci (SU)")</f>
        <v>Eci (SU)</v>
      </c>
      <c r="I3033" s="13" t="str">
        <f>IFERROR(__xludf.DUMMYFUNCTION("""COMPUTED_VALUE"""),"SELESAI (VIA PERMOHONAN)")</f>
        <v>SELESAI (VIA PERMOHONAN)</v>
      </c>
      <c r="J3033" s="17">
        <f>IFERROR(__xludf.DUMMYFUNCTION("""COMPUTED_VALUE"""),45855.67124701389)</f>
        <v>45855.67125</v>
      </c>
      <c r="K3033" s="13" t="str">
        <f>IFERROR(__xludf.DUMMYFUNCTION("""COMPUTED_VALUE"""),"Selesai")</f>
        <v>Selesai</v>
      </c>
      <c r="L3033" s="17">
        <f>IFERROR(__xludf.DUMMYFUNCTION("""COMPUTED_VALUE"""),45855.67124701389)</f>
        <v>45855.67125</v>
      </c>
      <c r="M3033" s="13"/>
      <c r="N3033" s="13" t="str">
        <f>IFERROR(__xludf.DUMMYFUNCTION("""COMPUTED_VALUE"""),"")</f>
        <v/>
      </c>
      <c r="O3033" s="13" t="str">
        <f t="shared" si="1"/>
        <v/>
      </c>
    </row>
    <row r="3034" ht="22.5" customHeight="1">
      <c r="B3034" s="13">
        <f>IFERROR(__xludf.DUMMYFUNCTION("""COMPUTED_VALUE"""),3029.0)</f>
        <v>3029</v>
      </c>
      <c r="C3034" s="13" t="str">
        <f>IFERROR(__xludf.DUMMYFUNCTION("""COMPUTED_VALUE"""),"M. 2463/ Sukarame Baru")</f>
        <v>M. 2463/ Sukarame Baru</v>
      </c>
      <c r="D3034" s="13" t="str">
        <f>IFERROR(__xludf.DUMMYFUNCTION("""COMPUTED_VALUE"""),"K/14/010725/2")</f>
        <v>K/14/010725/2</v>
      </c>
      <c r="E3034" s="14" t="str">
        <f>IFERROR(__xludf.DUMMYFUNCTION("""COMPUTED_VALUE"""),"Heri (BT)")</f>
        <v>Heri (BT)</v>
      </c>
      <c r="F3034" s="14" t="str">
        <f>IFERROR(__xludf.DUMMYFUNCTION("""COMPUTED_VALUE"""),"SELESAI (VIA PERMOHONAN)")</f>
        <v>SELESAI (VIA PERMOHONAN)</v>
      </c>
      <c r="G3034" s="17">
        <f>IFERROR(__xludf.DUMMYFUNCTION("""COMPUTED_VALUE"""),45855.46320266204)</f>
        <v>45855.4632</v>
      </c>
      <c r="H3034" s="14" t="str">
        <f>IFERROR(__xludf.DUMMYFUNCTION("""COMPUTED_VALUE"""),"Eci (SU)")</f>
        <v>Eci (SU)</v>
      </c>
      <c r="I3034" s="13" t="str">
        <f>IFERROR(__xludf.DUMMYFUNCTION("""COMPUTED_VALUE"""),"SELESAI (VIA PERMOHONAN)")</f>
        <v>SELESAI (VIA PERMOHONAN)</v>
      </c>
      <c r="J3034" s="17">
        <f>IFERROR(__xludf.DUMMYFUNCTION("""COMPUTED_VALUE"""),45855.67138565972)</f>
        <v>45855.67139</v>
      </c>
      <c r="K3034" s="13" t="str">
        <f>IFERROR(__xludf.DUMMYFUNCTION("""COMPUTED_VALUE"""),"Selesai")</f>
        <v>Selesai</v>
      </c>
      <c r="L3034" s="17">
        <f>IFERROR(__xludf.DUMMYFUNCTION("""COMPUTED_VALUE"""),45855.67138565972)</f>
        <v>45855.67139</v>
      </c>
      <c r="M3034" s="13"/>
      <c r="N3034" s="13" t="str">
        <f>IFERROR(__xludf.DUMMYFUNCTION("""COMPUTED_VALUE"""),"")</f>
        <v/>
      </c>
      <c r="O3034" s="13" t="str">
        <f t="shared" si="1"/>
        <v/>
      </c>
    </row>
    <row r="3035" ht="22.5" customHeight="1">
      <c r="B3035" s="13">
        <f>IFERROR(__xludf.DUMMYFUNCTION("""COMPUTED_VALUE"""),3030.0)</f>
        <v>3030</v>
      </c>
      <c r="C3035" s="13" t="str">
        <f>IFERROR(__xludf.DUMMYFUNCTION("""COMPUTED_VALUE"""),"M. 3220/ Way Kandis")</f>
        <v>M. 3220/ Way Kandis</v>
      </c>
      <c r="D3035" s="13" t="str">
        <f>IFERROR(__xludf.DUMMYFUNCTION("""COMPUTED_VALUE"""),"K/36/030725/1")</f>
        <v>K/36/030725/1</v>
      </c>
      <c r="E3035" s="14" t="str">
        <f>IFERROR(__xludf.DUMMYFUNCTION("""COMPUTED_VALUE"""),"Heri (BT)")</f>
        <v>Heri (BT)</v>
      </c>
      <c r="F3035" s="14" t="str">
        <f>IFERROR(__xludf.DUMMYFUNCTION("""COMPUTED_VALUE"""),"SELESAI (VIA PERMOHONAN)")</f>
        <v>SELESAI (VIA PERMOHONAN)</v>
      </c>
      <c r="G3035" s="17">
        <f>IFERROR(__xludf.DUMMYFUNCTION("""COMPUTED_VALUE"""),45855.46337179399)</f>
        <v>45855.46337</v>
      </c>
      <c r="H3035" s="14" t="str">
        <f>IFERROR(__xludf.DUMMYFUNCTION("""COMPUTED_VALUE"""),"Eci (SU)")</f>
        <v>Eci (SU)</v>
      </c>
      <c r="I3035" s="13" t="str">
        <f>IFERROR(__xludf.DUMMYFUNCTION("""COMPUTED_VALUE"""),"SELESAI (VIA PERMOHONAN)")</f>
        <v>SELESAI (VIA PERMOHONAN)</v>
      </c>
      <c r="J3035" s="17">
        <f>IFERROR(__xludf.DUMMYFUNCTION("""COMPUTED_VALUE"""),45855.67145108797)</f>
        <v>45855.67145</v>
      </c>
      <c r="K3035" s="13" t="str">
        <f>IFERROR(__xludf.DUMMYFUNCTION("""COMPUTED_VALUE"""),"Selesai")</f>
        <v>Selesai</v>
      </c>
      <c r="L3035" s="17">
        <f>IFERROR(__xludf.DUMMYFUNCTION("""COMPUTED_VALUE"""),45855.67145108797)</f>
        <v>45855.67145</v>
      </c>
      <c r="M3035" s="13"/>
      <c r="N3035" s="13" t="str">
        <f>IFERROR(__xludf.DUMMYFUNCTION("""COMPUTED_VALUE"""),"")</f>
        <v/>
      </c>
      <c r="O3035" s="13" t="str">
        <f t="shared" si="1"/>
        <v/>
      </c>
    </row>
    <row r="3036" ht="22.5" customHeight="1">
      <c r="B3036" s="13">
        <f>IFERROR(__xludf.DUMMYFUNCTION("""COMPUTED_VALUE"""),3031.0)</f>
        <v>3031</v>
      </c>
      <c r="C3036" s="13" t="str">
        <f>IFERROR(__xludf.DUMMYFUNCTION("""COMPUTED_VALUE"""),"M. 3150/ Beringin Raya")</f>
        <v>M. 3150/ Beringin Raya</v>
      </c>
      <c r="D3036" s="13" t="str">
        <f>IFERROR(__xludf.DUMMYFUNCTION("""COMPUTED_VALUE"""),"K/33/090725/1")</f>
        <v>K/33/090725/1</v>
      </c>
      <c r="E3036" s="14" t="str">
        <f>IFERROR(__xludf.DUMMYFUNCTION("""COMPUTED_VALUE"""),"Heri (BT)")</f>
        <v>Heri (BT)</v>
      </c>
      <c r="F3036" s="14" t="str">
        <f>IFERROR(__xludf.DUMMYFUNCTION("""COMPUTED_VALUE"""),"SELESAI (VIA PERMOHONAN)")</f>
        <v>SELESAI (VIA PERMOHONAN)</v>
      </c>
      <c r="G3036" s="17">
        <f>IFERROR(__xludf.DUMMYFUNCTION("""COMPUTED_VALUE"""),45855.46356603009)</f>
        <v>45855.46357</v>
      </c>
      <c r="H3036" s="14" t="str">
        <f>IFERROR(__xludf.DUMMYFUNCTION("""COMPUTED_VALUE"""),"Eci (SU)")</f>
        <v>Eci (SU)</v>
      </c>
      <c r="I3036" s="13" t="str">
        <f>IFERROR(__xludf.DUMMYFUNCTION("""COMPUTED_VALUE"""),"SELESAI (VIA PERMOHONAN)")</f>
        <v>SELESAI (VIA PERMOHONAN)</v>
      </c>
      <c r="J3036" s="17">
        <f>IFERROR(__xludf.DUMMYFUNCTION("""COMPUTED_VALUE"""),45855.67156028935)</f>
        <v>45855.67156</v>
      </c>
      <c r="K3036" s="13" t="str">
        <f>IFERROR(__xludf.DUMMYFUNCTION("""COMPUTED_VALUE"""),"Selesai")</f>
        <v>Selesai</v>
      </c>
      <c r="L3036" s="17">
        <f>IFERROR(__xludf.DUMMYFUNCTION("""COMPUTED_VALUE"""),45855.67156028935)</f>
        <v>45855.67156</v>
      </c>
      <c r="M3036" s="13"/>
      <c r="N3036" s="13" t="str">
        <f>IFERROR(__xludf.DUMMYFUNCTION("""COMPUTED_VALUE"""),"")</f>
        <v/>
      </c>
      <c r="O3036" s="13" t="str">
        <f t="shared" si="1"/>
        <v/>
      </c>
    </row>
    <row r="3037" ht="22.5" customHeight="1">
      <c r="B3037" s="13">
        <f>IFERROR(__xludf.DUMMYFUNCTION("""COMPUTED_VALUE"""),3032.0)</f>
        <v>3032</v>
      </c>
      <c r="C3037" s="13" t="str">
        <f>IFERROR(__xludf.DUMMYFUNCTION("""COMPUTED_VALUE"""),"M. 419/SUKARAME II")</f>
        <v>M. 419/SUKARAME II</v>
      </c>
      <c r="D3037" s="13" t="str">
        <f>IFERROR(__xludf.DUMMYFUNCTION("""COMPUTED_VALUE"""),"L/2/110725/PELATARAN")</f>
        <v>L/2/110725/PELATARAN</v>
      </c>
      <c r="E3037" s="14"/>
      <c r="F3037" s="14"/>
      <c r="G3037" s="17" t="str">
        <f>IFERROR(__xludf.DUMMYFUNCTION("""COMPUTED_VALUE"""),"")</f>
        <v/>
      </c>
      <c r="H3037" s="14" t="str">
        <f>IFERROR(__xludf.DUMMYFUNCTION("""COMPUTED_VALUE"""),"Eci (SU)")</f>
        <v>Eci (SU)</v>
      </c>
      <c r="I3037" s="13" t="str">
        <f>IFERROR(__xludf.DUMMYFUNCTION("""COMPUTED_VALUE"""),"SELESAI (VIA PERMOHONAN)")</f>
        <v>SELESAI (VIA PERMOHONAN)</v>
      </c>
      <c r="J3037" s="17">
        <f>IFERROR(__xludf.DUMMYFUNCTION("""COMPUTED_VALUE"""),45855.67997297454)</f>
        <v>45855.67997</v>
      </c>
      <c r="K3037" s="13" t="str">
        <f>IFERROR(__xludf.DUMMYFUNCTION("""COMPUTED_VALUE"""),"BT atau SU Belum Valid")</f>
        <v>BT atau SU Belum Valid</v>
      </c>
      <c r="L3037" s="13" t="str">
        <f>IFERROR(__xludf.DUMMYFUNCTION("""COMPUTED_VALUE"""),"")</f>
        <v/>
      </c>
      <c r="M3037" s="13"/>
      <c r="N3037" s="13" t="str">
        <f>IFERROR(__xludf.DUMMYFUNCTION("""COMPUTED_VALUE"""),"")</f>
        <v/>
      </c>
      <c r="O3037" s="13" t="str">
        <f t="shared" si="1"/>
        <v/>
      </c>
    </row>
    <row r="3038" ht="22.5" customHeight="1">
      <c r="B3038" s="13">
        <f>IFERROR(__xludf.DUMMYFUNCTION("""COMPUTED_VALUE"""),3033.0)</f>
        <v>3033</v>
      </c>
      <c r="C3038" s="13" t="str">
        <f>IFERROR(__xludf.DUMMYFUNCTION("""COMPUTED_VALUE"""),"M. 12938/JAGABAYA II")</f>
        <v>M. 12938/JAGABAYA II</v>
      </c>
      <c r="D3038" s="13" t="str">
        <f>IFERROR(__xludf.DUMMYFUNCTION("""COMPUTED_VALUE"""),"K/8/260625/1")</f>
        <v>K/8/260625/1</v>
      </c>
      <c r="E3038" s="14" t="str">
        <f>IFERROR(__xludf.DUMMYFUNCTION("""COMPUTED_VALUE"""),"Heri (BT)")</f>
        <v>Heri (BT)</v>
      </c>
      <c r="F3038" s="14" t="str">
        <f>IFERROR(__xludf.DUMMYFUNCTION("""COMPUTED_VALUE"""),"SELESAI (VIA PERMOHONAN)")</f>
        <v>SELESAI (VIA PERMOHONAN)</v>
      </c>
      <c r="G3038" s="17">
        <f>IFERROR(__xludf.DUMMYFUNCTION("""COMPUTED_VALUE"""),45856.45580467593)</f>
        <v>45856.4558</v>
      </c>
      <c r="H3038" s="14" t="str">
        <f>IFERROR(__xludf.DUMMYFUNCTION("""COMPUTED_VALUE"""),"Eci (SU)")</f>
        <v>Eci (SU)</v>
      </c>
      <c r="I3038" s="13" t="str">
        <f>IFERROR(__xludf.DUMMYFUNCTION("""COMPUTED_VALUE"""),"SELESAI (VIA PERMOHONAN)")</f>
        <v>SELESAI (VIA PERMOHONAN)</v>
      </c>
      <c r="J3038" s="17">
        <f>IFERROR(__xludf.DUMMYFUNCTION("""COMPUTED_VALUE"""),45856.641331527775)</f>
        <v>45856.64133</v>
      </c>
      <c r="K3038" s="13" t="str">
        <f>IFERROR(__xludf.DUMMYFUNCTION("""COMPUTED_VALUE"""),"Selesai")</f>
        <v>Selesai</v>
      </c>
      <c r="L3038" s="17">
        <f>IFERROR(__xludf.DUMMYFUNCTION("""COMPUTED_VALUE"""),45856.641331527775)</f>
        <v>45856.64133</v>
      </c>
      <c r="M3038" s="13"/>
      <c r="N3038" s="13" t="str">
        <f>IFERROR(__xludf.DUMMYFUNCTION("""COMPUTED_VALUE"""),"")</f>
        <v/>
      </c>
      <c r="O3038" s="13" t="str">
        <f t="shared" si="1"/>
        <v/>
      </c>
    </row>
    <row r="3039" ht="22.5" customHeight="1">
      <c r="B3039" s="13">
        <f>IFERROR(__xludf.DUMMYFUNCTION("""COMPUTED_VALUE"""),3034.0)</f>
        <v>3034</v>
      </c>
      <c r="C3039" s="13" t="str">
        <f>IFERROR(__xludf.DUMMYFUNCTION("""COMPUTED_VALUE"""),"B. 4412/SUKABUMI")</f>
        <v>B. 4412/SUKABUMI</v>
      </c>
      <c r="D3039" s="13" t="str">
        <f>IFERROR(__xludf.DUMMYFUNCTION("""COMPUTED_VALUE"""),"K/28/110725/1")</f>
        <v>K/28/110725/1</v>
      </c>
      <c r="E3039" s="14" t="str">
        <f>IFERROR(__xludf.DUMMYFUNCTION("""COMPUTED_VALUE"""),"Heri (BT)")</f>
        <v>Heri (BT)</v>
      </c>
      <c r="F3039" s="14" t="str">
        <f>IFERROR(__xludf.DUMMYFUNCTION("""COMPUTED_VALUE"""),"SELESAI (VIA PERMOHONAN)")</f>
        <v>SELESAI (VIA PERMOHONAN)</v>
      </c>
      <c r="G3039" s="17">
        <f>IFERROR(__xludf.DUMMYFUNCTION("""COMPUTED_VALUE"""),45856.45592493056)</f>
        <v>45856.45592</v>
      </c>
      <c r="H3039" s="14" t="str">
        <f>IFERROR(__xludf.DUMMYFUNCTION("""COMPUTED_VALUE"""),"Eci (SU)")</f>
        <v>Eci (SU)</v>
      </c>
      <c r="I3039" s="13" t="str">
        <f>IFERROR(__xludf.DUMMYFUNCTION("""COMPUTED_VALUE"""),"SELESAI (VIA PERMOHONAN)")</f>
        <v>SELESAI (VIA PERMOHONAN)</v>
      </c>
      <c r="J3039" s="17">
        <f>IFERROR(__xludf.DUMMYFUNCTION("""COMPUTED_VALUE"""),45856.641331527775)</f>
        <v>45856.64133</v>
      </c>
      <c r="K3039" s="13" t="str">
        <f>IFERROR(__xludf.DUMMYFUNCTION("""COMPUTED_VALUE"""),"Selesai")</f>
        <v>Selesai</v>
      </c>
      <c r="L3039" s="17">
        <f>IFERROR(__xludf.DUMMYFUNCTION("""COMPUTED_VALUE"""),45856.641331527775)</f>
        <v>45856.64133</v>
      </c>
      <c r="M3039" s="13"/>
      <c r="N3039" s="13" t="str">
        <f>IFERROR(__xludf.DUMMYFUNCTION("""COMPUTED_VALUE"""),"")</f>
        <v/>
      </c>
      <c r="O3039" s="13" t="str">
        <f t="shared" si="1"/>
        <v/>
      </c>
    </row>
    <row r="3040" ht="22.5" customHeight="1">
      <c r="B3040" s="13">
        <f>IFERROR(__xludf.DUMMYFUNCTION("""COMPUTED_VALUE"""),3035.0)</f>
        <v>3035</v>
      </c>
      <c r="C3040" s="13" t="str">
        <f>IFERROR(__xludf.DUMMYFUNCTION("""COMPUTED_VALUE"""),"M. 10290/ SUkabumi")</f>
        <v>M. 10290/ SUkabumi</v>
      </c>
      <c r="D3040" s="13" t="str">
        <f>IFERROR(__xludf.DUMMYFUNCTION("""COMPUTED_VALUE"""),"K/15/110725/3")</f>
        <v>K/15/110725/3</v>
      </c>
      <c r="E3040" s="14" t="str">
        <f>IFERROR(__xludf.DUMMYFUNCTION("""COMPUTED_VALUE"""),"Heri (BT)")</f>
        <v>Heri (BT)</v>
      </c>
      <c r="F3040" s="14" t="str">
        <f>IFERROR(__xludf.DUMMYFUNCTION("""COMPUTED_VALUE"""),"SELESAI (VIA PERMOHONAN)")</f>
        <v>SELESAI (VIA PERMOHONAN)</v>
      </c>
      <c r="G3040" s="17">
        <f>IFERROR(__xludf.DUMMYFUNCTION("""COMPUTED_VALUE"""),45856.456041701385)</f>
        <v>45856.45604</v>
      </c>
      <c r="H3040" s="14" t="str">
        <f>IFERROR(__xludf.DUMMYFUNCTION("""COMPUTED_VALUE"""),"Eci (SU)")</f>
        <v>Eci (SU)</v>
      </c>
      <c r="I3040" s="13" t="str">
        <f>IFERROR(__xludf.DUMMYFUNCTION("""COMPUTED_VALUE"""),"SELESAI (VIA PERMOHONAN)")</f>
        <v>SELESAI (VIA PERMOHONAN)</v>
      </c>
      <c r="J3040" s="17">
        <f>IFERROR(__xludf.DUMMYFUNCTION("""COMPUTED_VALUE"""),45856.641331527775)</f>
        <v>45856.64133</v>
      </c>
      <c r="K3040" s="13" t="str">
        <f>IFERROR(__xludf.DUMMYFUNCTION("""COMPUTED_VALUE"""),"Selesai")</f>
        <v>Selesai</v>
      </c>
      <c r="L3040" s="17">
        <f>IFERROR(__xludf.DUMMYFUNCTION("""COMPUTED_VALUE"""),45856.641331527775)</f>
        <v>45856.64133</v>
      </c>
      <c r="M3040" s="13"/>
      <c r="N3040" s="13" t="str">
        <f>IFERROR(__xludf.DUMMYFUNCTION("""COMPUTED_VALUE"""),"")</f>
        <v/>
      </c>
      <c r="O3040" s="13" t="str">
        <f t="shared" si="1"/>
        <v/>
      </c>
    </row>
    <row r="3041" ht="22.5" customHeight="1">
      <c r="B3041" s="13">
        <f>IFERROR(__xludf.DUMMYFUNCTION("""COMPUTED_VALUE"""),3036.0)</f>
        <v>3036</v>
      </c>
      <c r="C3041" s="13" t="str">
        <f>IFERROR(__xludf.DUMMYFUNCTION("""COMPUTED_VALUE"""),"M.405/PALAPA ")</f>
        <v>M.405/PALAPA </v>
      </c>
      <c r="D3041" s="13" t="str">
        <f>IFERROR(__xludf.DUMMYFUNCTION("""COMPUTED_VALUE"""),"K/20/230625/1")</f>
        <v>K/20/230625/1</v>
      </c>
      <c r="E3041" s="14" t="str">
        <f>IFERROR(__xludf.DUMMYFUNCTION("""COMPUTED_VALUE"""),"Heri (BT)")</f>
        <v>Heri (BT)</v>
      </c>
      <c r="F3041" s="14" t="str">
        <f>IFERROR(__xludf.DUMMYFUNCTION("""COMPUTED_VALUE"""),"SELESAI (VIA PERMOHONAN)")</f>
        <v>SELESAI (VIA PERMOHONAN)</v>
      </c>
      <c r="G3041" s="17">
        <f>IFERROR(__xludf.DUMMYFUNCTION("""COMPUTED_VALUE"""),45856.45709565972)</f>
        <v>45856.4571</v>
      </c>
      <c r="H3041" s="14" t="str">
        <f>IFERROR(__xludf.DUMMYFUNCTION("""COMPUTED_VALUE"""),"Eci (SU)")</f>
        <v>Eci (SU)</v>
      </c>
      <c r="I3041" s="13" t="str">
        <f>IFERROR(__xludf.DUMMYFUNCTION("""COMPUTED_VALUE"""),"SELESAI (VIA PERMOHONAN)")</f>
        <v>SELESAI (VIA PERMOHONAN)</v>
      </c>
      <c r="J3041" s="17">
        <f>IFERROR(__xludf.DUMMYFUNCTION("""COMPUTED_VALUE"""),45856.641331527775)</f>
        <v>45856.64133</v>
      </c>
      <c r="K3041" s="13" t="str">
        <f>IFERROR(__xludf.DUMMYFUNCTION("""COMPUTED_VALUE"""),"Selesai")</f>
        <v>Selesai</v>
      </c>
      <c r="L3041" s="17">
        <f>IFERROR(__xludf.DUMMYFUNCTION("""COMPUTED_VALUE"""),45856.641331527775)</f>
        <v>45856.64133</v>
      </c>
      <c r="M3041" s="13"/>
      <c r="N3041" s="13" t="str">
        <f>IFERROR(__xludf.DUMMYFUNCTION("""COMPUTED_VALUE"""),"")</f>
        <v/>
      </c>
      <c r="O3041" s="13" t="str">
        <f t="shared" si="1"/>
        <v/>
      </c>
    </row>
    <row r="3042" ht="22.5" customHeight="1">
      <c r="B3042" s="13">
        <f>IFERROR(__xludf.DUMMYFUNCTION("""COMPUTED_VALUE"""),3037.0)</f>
        <v>3037</v>
      </c>
      <c r="C3042" s="13" t="str">
        <f>IFERROR(__xludf.DUMMYFUNCTION("""COMPUTED_VALUE"""),"M.542/SEPANG JAYA")</f>
        <v>M.542/SEPANG JAYA</v>
      </c>
      <c r="D3042" s="13" t="str">
        <f>IFERROR(__xludf.DUMMYFUNCTION("""COMPUTED_VALUE"""),"K/30/140725/2")</f>
        <v>K/30/140725/2</v>
      </c>
      <c r="E3042" s="14" t="str">
        <f>IFERROR(__xludf.DUMMYFUNCTION("""COMPUTED_VALUE"""),"Heri (BT)")</f>
        <v>Heri (BT)</v>
      </c>
      <c r="F3042" s="14" t="str">
        <f>IFERROR(__xludf.DUMMYFUNCTION("""COMPUTED_VALUE"""),"SELESAI (VIA PERMOHONAN)")</f>
        <v>SELESAI (VIA PERMOHONAN)</v>
      </c>
      <c r="G3042" s="17">
        <f>IFERROR(__xludf.DUMMYFUNCTION("""COMPUTED_VALUE"""),45856.45724679398)</f>
        <v>45856.45725</v>
      </c>
      <c r="H3042" s="14" t="str">
        <f>IFERROR(__xludf.DUMMYFUNCTION("""COMPUTED_VALUE"""),"Eci (SU)")</f>
        <v>Eci (SU)</v>
      </c>
      <c r="I3042" s="13" t="str">
        <f>IFERROR(__xludf.DUMMYFUNCTION("""COMPUTED_VALUE"""),"SELESAI (VIA PERMOHONAN)")</f>
        <v>SELESAI (VIA PERMOHONAN)</v>
      </c>
      <c r="J3042" s="17">
        <f>IFERROR(__xludf.DUMMYFUNCTION("""COMPUTED_VALUE"""),45856.641331527775)</f>
        <v>45856.64133</v>
      </c>
      <c r="K3042" s="13" t="str">
        <f>IFERROR(__xludf.DUMMYFUNCTION("""COMPUTED_VALUE"""),"Selesai")</f>
        <v>Selesai</v>
      </c>
      <c r="L3042" s="17">
        <f>IFERROR(__xludf.DUMMYFUNCTION("""COMPUTED_VALUE"""),45856.641331527775)</f>
        <v>45856.64133</v>
      </c>
      <c r="M3042" s="13"/>
      <c r="N3042" s="13" t="str">
        <f>IFERROR(__xludf.DUMMYFUNCTION("""COMPUTED_VALUE"""),"")</f>
        <v/>
      </c>
      <c r="O3042" s="13" t="str">
        <f t="shared" si="1"/>
        <v/>
      </c>
    </row>
    <row r="3043" ht="22.5" customHeight="1">
      <c r="B3043" s="13">
        <f>IFERROR(__xludf.DUMMYFUNCTION("""COMPUTED_VALUE"""),3038.0)</f>
        <v>3038</v>
      </c>
      <c r="C3043" s="13" t="str">
        <f>IFERROR(__xludf.DUMMYFUNCTION("""COMPUTED_VALUE"""),"M.2698/SUKARAME BARU")</f>
        <v>M.2698/SUKARAME BARU</v>
      </c>
      <c r="D3043" s="13" t="str">
        <f>IFERROR(__xludf.DUMMYFUNCTION("""COMPUTED_VALUE"""),"K/37/010725/1")</f>
        <v>K/37/010725/1</v>
      </c>
      <c r="E3043" s="14" t="str">
        <f>IFERROR(__xludf.DUMMYFUNCTION("""COMPUTED_VALUE"""),"Heri (BT)")</f>
        <v>Heri (BT)</v>
      </c>
      <c r="F3043" s="14" t="str">
        <f>IFERROR(__xludf.DUMMYFUNCTION("""COMPUTED_VALUE"""),"SELESAI (VIA PERMOHONAN)")</f>
        <v>SELESAI (VIA PERMOHONAN)</v>
      </c>
      <c r="G3043" s="17">
        <f>IFERROR(__xludf.DUMMYFUNCTION("""COMPUTED_VALUE"""),45856.45737076389)</f>
        <v>45856.45737</v>
      </c>
      <c r="H3043" s="14" t="str">
        <f>IFERROR(__xludf.DUMMYFUNCTION("""COMPUTED_VALUE"""),"Eci (SU)")</f>
        <v>Eci (SU)</v>
      </c>
      <c r="I3043" s="13" t="str">
        <f>IFERROR(__xludf.DUMMYFUNCTION("""COMPUTED_VALUE"""),"SELESAI (VIA PERMOHONAN)")</f>
        <v>SELESAI (VIA PERMOHONAN)</v>
      </c>
      <c r="J3043" s="17">
        <f>IFERROR(__xludf.DUMMYFUNCTION("""COMPUTED_VALUE"""),45856.641331527775)</f>
        <v>45856.64133</v>
      </c>
      <c r="K3043" s="13" t="str">
        <f>IFERROR(__xludf.DUMMYFUNCTION("""COMPUTED_VALUE"""),"Selesai")</f>
        <v>Selesai</v>
      </c>
      <c r="L3043" s="17">
        <f>IFERROR(__xludf.DUMMYFUNCTION("""COMPUTED_VALUE"""),45856.641331527775)</f>
        <v>45856.64133</v>
      </c>
      <c r="M3043" s="13"/>
      <c r="N3043" s="13" t="str">
        <f>IFERROR(__xludf.DUMMYFUNCTION("""COMPUTED_VALUE"""),"")</f>
        <v/>
      </c>
      <c r="O3043" s="13" t="str">
        <f t="shared" si="1"/>
        <v/>
      </c>
    </row>
    <row r="3044" ht="22.5" customHeight="1">
      <c r="B3044" s="13">
        <f>IFERROR(__xludf.DUMMYFUNCTION("""COMPUTED_VALUE"""),3039.0)</f>
        <v>3039</v>
      </c>
      <c r="C3044" s="13" t="str">
        <f>IFERROR(__xludf.DUMMYFUNCTION("""COMPUTED_VALUE"""),"M. 2897/ Beringin Jaya")</f>
        <v>M. 2897/ Beringin Jaya</v>
      </c>
      <c r="D3044" s="13" t="str">
        <f>IFERROR(__xludf.DUMMYFUNCTION("""COMPUTED_VALUE"""),"K/34/040725/2")</f>
        <v>K/34/040725/2</v>
      </c>
      <c r="E3044" s="14" t="str">
        <f>IFERROR(__xludf.DUMMYFUNCTION("""COMPUTED_VALUE"""),"Heri (BT)")</f>
        <v>Heri (BT)</v>
      </c>
      <c r="F3044" s="14" t="str">
        <f>IFERROR(__xludf.DUMMYFUNCTION("""COMPUTED_VALUE"""),"SELESAI (VIA PERMOHONAN)")</f>
        <v>SELESAI (VIA PERMOHONAN)</v>
      </c>
      <c r="G3044" s="17">
        <f>IFERROR(__xludf.DUMMYFUNCTION("""COMPUTED_VALUE"""),45856.45751260417)</f>
        <v>45856.45751</v>
      </c>
      <c r="H3044" s="14" t="str">
        <f>IFERROR(__xludf.DUMMYFUNCTION("""COMPUTED_VALUE"""),"Eci (SU)")</f>
        <v>Eci (SU)</v>
      </c>
      <c r="I3044" s="13" t="str">
        <f>IFERROR(__xludf.DUMMYFUNCTION("""COMPUTED_VALUE"""),"SELESAI (VIA PERMOHONAN)")</f>
        <v>SELESAI (VIA PERMOHONAN)</v>
      </c>
      <c r="J3044" s="17">
        <f>IFERROR(__xludf.DUMMYFUNCTION("""COMPUTED_VALUE"""),45856.641331527775)</f>
        <v>45856.64133</v>
      </c>
      <c r="K3044" s="13" t="str">
        <f>IFERROR(__xludf.DUMMYFUNCTION("""COMPUTED_VALUE"""),"Selesai")</f>
        <v>Selesai</v>
      </c>
      <c r="L3044" s="17">
        <f>IFERROR(__xludf.DUMMYFUNCTION("""COMPUTED_VALUE"""),45856.641331527775)</f>
        <v>45856.64133</v>
      </c>
      <c r="M3044" s="13"/>
      <c r="N3044" s="13" t="str">
        <f>IFERROR(__xludf.DUMMYFUNCTION("""COMPUTED_VALUE"""),"")</f>
        <v/>
      </c>
      <c r="O3044" s="13" t="str">
        <f t="shared" si="1"/>
        <v/>
      </c>
    </row>
    <row r="3045" ht="22.5" customHeight="1">
      <c r="B3045" s="13">
        <f>IFERROR(__xludf.DUMMYFUNCTION("""COMPUTED_VALUE"""),3040.0)</f>
        <v>3040</v>
      </c>
      <c r="C3045" s="13" t="str">
        <f>IFERROR(__xludf.DUMMYFUNCTION("""COMPUTED_VALUE"""),"HGB 1370/PINANG JAYA")</f>
        <v>HGB 1370/PINANG JAYA</v>
      </c>
      <c r="D3045" s="13" t="str">
        <f>IFERROR(__xludf.DUMMYFUNCTION("""COMPUTED_VALUE"""),"L/2/080725/1")</f>
        <v>L/2/080725/1</v>
      </c>
      <c r="E3045" s="14" t="str">
        <f>IFERROR(__xludf.DUMMYFUNCTION("""COMPUTED_VALUE"""),"Heri (BT)")</f>
        <v>Heri (BT)</v>
      </c>
      <c r="F3045" s="14" t="str">
        <f>IFERROR(__xludf.DUMMYFUNCTION("""COMPUTED_VALUE"""),"SELESAI (VIA PERMOHONAN)")</f>
        <v>SELESAI (VIA PERMOHONAN)</v>
      </c>
      <c r="G3045" s="17">
        <f>IFERROR(__xludf.DUMMYFUNCTION("""COMPUTED_VALUE"""),45856.45764548611)</f>
        <v>45856.45765</v>
      </c>
      <c r="H3045" s="14" t="str">
        <f>IFERROR(__xludf.DUMMYFUNCTION("""COMPUTED_VALUE"""),"Eci (SU)")</f>
        <v>Eci (SU)</v>
      </c>
      <c r="I3045" s="13" t="str">
        <f>IFERROR(__xludf.DUMMYFUNCTION("""COMPUTED_VALUE"""),"SELESAI (VIA PERMOHONAN)")</f>
        <v>SELESAI (VIA PERMOHONAN)</v>
      </c>
      <c r="J3045" s="17">
        <f>IFERROR(__xludf.DUMMYFUNCTION("""COMPUTED_VALUE"""),45856.641331527775)</f>
        <v>45856.64133</v>
      </c>
      <c r="K3045" s="13" t="str">
        <f>IFERROR(__xludf.DUMMYFUNCTION("""COMPUTED_VALUE"""),"Selesai")</f>
        <v>Selesai</v>
      </c>
      <c r="L3045" s="17">
        <f>IFERROR(__xludf.DUMMYFUNCTION("""COMPUTED_VALUE"""),45856.641331527775)</f>
        <v>45856.64133</v>
      </c>
      <c r="M3045" s="13"/>
      <c r="N3045" s="13" t="str">
        <f>IFERROR(__xludf.DUMMYFUNCTION("""COMPUTED_VALUE"""),"")</f>
        <v/>
      </c>
      <c r="O3045" s="13" t="str">
        <f t="shared" si="1"/>
        <v/>
      </c>
    </row>
    <row r="3046" ht="22.5" customHeight="1">
      <c r="B3046" s="13">
        <f>IFERROR(__xludf.DUMMYFUNCTION("""COMPUTED_VALUE"""),3041.0)</f>
        <v>3041</v>
      </c>
      <c r="C3046" s="13" t="str">
        <f>IFERROR(__xludf.DUMMYFUNCTION("""COMPUTED_VALUE"""),"M. 493/ Kota Sepang")</f>
        <v>M. 493/ Kota Sepang</v>
      </c>
      <c r="D3046" s="13" t="str">
        <f>IFERROR(__xludf.DUMMYFUNCTION("""COMPUTED_VALUE"""),"K/34/010725/2")</f>
        <v>K/34/010725/2</v>
      </c>
      <c r="E3046" s="14" t="str">
        <f>IFERROR(__xludf.DUMMYFUNCTION("""COMPUTED_VALUE"""),"Heri (BT)")</f>
        <v>Heri (BT)</v>
      </c>
      <c r="F3046" s="14" t="str">
        <f>IFERROR(__xludf.DUMMYFUNCTION("""COMPUTED_VALUE"""),"SELESAI (VIA PERMOHONAN)")</f>
        <v>SELESAI (VIA PERMOHONAN)</v>
      </c>
      <c r="G3046" s="17">
        <f>IFERROR(__xludf.DUMMYFUNCTION("""COMPUTED_VALUE"""),45856.45780452546)</f>
        <v>45856.4578</v>
      </c>
      <c r="H3046" s="14" t="str">
        <f>IFERROR(__xludf.DUMMYFUNCTION("""COMPUTED_VALUE"""),"Eci (SU)")</f>
        <v>Eci (SU)</v>
      </c>
      <c r="I3046" s="13" t="str">
        <f>IFERROR(__xludf.DUMMYFUNCTION("""COMPUTED_VALUE"""),"SELESAI (VIA PERMOHONAN)")</f>
        <v>SELESAI (VIA PERMOHONAN)</v>
      </c>
      <c r="J3046" s="17">
        <f>IFERROR(__xludf.DUMMYFUNCTION("""COMPUTED_VALUE"""),45856.641331527775)</f>
        <v>45856.64133</v>
      </c>
      <c r="K3046" s="13" t="str">
        <f>IFERROR(__xludf.DUMMYFUNCTION("""COMPUTED_VALUE"""),"Selesai")</f>
        <v>Selesai</v>
      </c>
      <c r="L3046" s="17">
        <f>IFERROR(__xludf.DUMMYFUNCTION("""COMPUTED_VALUE"""),45856.641331527775)</f>
        <v>45856.64133</v>
      </c>
      <c r="M3046" s="13"/>
      <c r="N3046" s="13" t="str">
        <f>IFERROR(__xludf.DUMMYFUNCTION("""COMPUTED_VALUE"""),"")</f>
        <v/>
      </c>
      <c r="O3046" s="13" t="str">
        <f t="shared" si="1"/>
        <v/>
      </c>
    </row>
    <row r="3047" ht="22.5" customHeight="1">
      <c r="B3047" s="13">
        <f>IFERROR(__xludf.DUMMYFUNCTION("""COMPUTED_VALUE"""),3042.0)</f>
        <v>3042</v>
      </c>
      <c r="C3047" s="13" t="str">
        <f>IFERROR(__xludf.DUMMYFUNCTION("""COMPUTED_VALUE"""),"M. 1398/ Rajabasa Pemuka")</f>
        <v>M. 1398/ Rajabasa Pemuka</v>
      </c>
      <c r="D3047" s="13" t="str">
        <f>IFERROR(__xludf.DUMMYFUNCTION("""COMPUTED_VALUE"""),"K/18/080725/1")</f>
        <v>K/18/080725/1</v>
      </c>
      <c r="E3047" s="14" t="str">
        <f>IFERROR(__xludf.DUMMYFUNCTION("""COMPUTED_VALUE"""),"Heri (BT)")</f>
        <v>Heri (BT)</v>
      </c>
      <c r="F3047" s="14" t="str">
        <f>IFERROR(__xludf.DUMMYFUNCTION("""COMPUTED_VALUE"""),"SELESAI (VIA PERMOHONAN)")</f>
        <v>SELESAI (VIA PERMOHONAN)</v>
      </c>
      <c r="G3047" s="17">
        <f>IFERROR(__xludf.DUMMYFUNCTION("""COMPUTED_VALUE"""),45856.457948888885)</f>
        <v>45856.45795</v>
      </c>
      <c r="H3047" s="14" t="str">
        <f>IFERROR(__xludf.DUMMYFUNCTION("""COMPUTED_VALUE"""),"Eci (SU)")</f>
        <v>Eci (SU)</v>
      </c>
      <c r="I3047" s="13" t="str">
        <f>IFERROR(__xludf.DUMMYFUNCTION("""COMPUTED_VALUE"""),"SELESAI (VIA PERMOHONAN)")</f>
        <v>SELESAI (VIA PERMOHONAN)</v>
      </c>
      <c r="J3047" s="17">
        <f>IFERROR(__xludf.DUMMYFUNCTION("""COMPUTED_VALUE"""),45856.641331527775)</f>
        <v>45856.64133</v>
      </c>
      <c r="K3047" s="13" t="str">
        <f>IFERROR(__xludf.DUMMYFUNCTION("""COMPUTED_VALUE"""),"Selesai")</f>
        <v>Selesai</v>
      </c>
      <c r="L3047" s="17">
        <f>IFERROR(__xludf.DUMMYFUNCTION("""COMPUTED_VALUE"""),45856.641331527775)</f>
        <v>45856.64133</v>
      </c>
      <c r="M3047" s="13"/>
      <c r="N3047" s="13" t="str">
        <f>IFERROR(__xludf.DUMMYFUNCTION("""COMPUTED_VALUE"""),"")</f>
        <v/>
      </c>
      <c r="O3047" s="13" t="str">
        <f t="shared" si="1"/>
        <v/>
      </c>
    </row>
    <row r="3048" ht="22.5" customHeight="1">
      <c r="B3048" s="13">
        <f>IFERROR(__xludf.DUMMYFUNCTION("""COMPUTED_VALUE"""),3043.0)</f>
        <v>3043</v>
      </c>
      <c r="C3048" s="13" t="str">
        <f>IFERROR(__xludf.DUMMYFUNCTION("""COMPUTED_VALUE"""),"M. 4442/ Gunung Terang")</f>
        <v>M. 4442/ Gunung Terang</v>
      </c>
      <c r="D3048" s="13" t="str">
        <f>IFERROR(__xludf.DUMMYFUNCTION("""COMPUTED_VALUE"""),"K/27/070725/1")</f>
        <v>K/27/070725/1</v>
      </c>
      <c r="E3048" s="14" t="str">
        <f>IFERROR(__xludf.DUMMYFUNCTION("""COMPUTED_VALUE"""),"Heri (BT)")</f>
        <v>Heri (BT)</v>
      </c>
      <c r="F3048" s="14" t="str">
        <f>IFERROR(__xludf.DUMMYFUNCTION("""COMPUTED_VALUE"""),"SELESAI (VIA PERMOHONAN)")</f>
        <v>SELESAI (VIA PERMOHONAN)</v>
      </c>
      <c r="G3048" s="17">
        <f>IFERROR(__xludf.DUMMYFUNCTION("""COMPUTED_VALUE"""),45856.45807756945)</f>
        <v>45856.45808</v>
      </c>
      <c r="H3048" s="14" t="str">
        <f>IFERROR(__xludf.DUMMYFUNCTION("""COMPUTED_VALUE"""),"Eci (SU)")</f>
        <v>Eci (SU)</v>
      </c>
      <c r="I3048" s="13" t="str">
        <f>IFERROR(__xludf.DUMMYFUNCTION("""COMPUTED_VALUE"""),"SELESAI (VIA PERMOHONAN)")</f>
        <v>SELESAI (VIA PERMOHONAN)</v>
      </c>
      <c r="J3048" s="17">
        <f>IFERROR(__xludf.DUMMYFUNCTION("""COMPUTED_VALUE"""),45856.641331527775)</f>
        <v>45856.64133</v>
      </c>
      <c r="K3048" s="13" t="str">
        <f>IFERROR(__xludf.DUMMYFUNCTION("""COMPUTED_VALUE"""),"Selesai")</f>
        <v>Selesai</v>
      </c>
      <c r="L3048" s="17">
        <f>IFERROR(__xludf.DUMMYFUNCTION("""COMPUTED_VALUE"""),45856.641331527775)</f>
        <v>45856.64133</v>
      </c>
      <c r="M3048" s="13"/>
      <c r="N3048" s="13" t="str">
        <f>IFERROR(__xludf.DUMMYFUNCTION("""COMPUTED_VALUE"""),"")</f>
        <v/>
      </c>
      <c r="O3048" s="13" t="str">
        <f t="shared" si="1"/>
        <v/>
      </c>
    </row>
    <row r="3049" ht="22.5" customHeight="1">
      <c r="B3049" s="13">
        <f>IFERROR(__xludf.DUMMYFUNCTION("""COMPUTED_VALUE"""),3044.0)</f>
        <v>3044</v>
      </c>
      <c r="C3049" s="13" t="str">
        <f>IFERROR(__xludf.DUMMYFUNCTION("""COMPUTED_VALUE"""),"M. 12749/ Sukabumi")</f>
        <v>M. 12749/ Sukabumi</v>
      </c>
      <c r="D3049" s="13" t="str">
        <f>IFERROR(__xludf.DUMMYFUNCTION("""COMPUTED_VALUE"""),"K/42/010725/1")</f>
        <v>K/42/010725/1</v>
      </c>
      <c r="E3049" s="14" t="str">
        <f>IFERROR(__xludf.DUMMYFUNCTION("""COMPUTED_VALUE"""),"Heri (BT)")</f>
        <v>Heri (BT)</v>
      </c>
      <c r="F3049" s="14" t="str">
        <f>IFERROR(__xludf.DUMMYFUNCTION("""COMPUTED_VALUE"""),"SELESAI (VIA PERMOHONAN)")</f>
        <v>SELESAI (VIA PERMOHONAN)</v>
      </c>
      <c r="G3049" s="17">
        <f>IFERROR(__xludf.DUMMYFUNCTION("""COMPUTED_VALUE"""),45856.45820826389)</f>
        <v>45856.45821</v>
      </c>
      <c r="H3049" s="14" t="str">
        <f>IFERROR(__xludf.DUMMYFUNCTION("""COMPUTED_VALUE"""),"Eci (SU)")</f>
        <v>Eci (SU)</v>
      </c>
      <c r="I3049" s="13" t="str">
        <f>IFERROR(__xludf.DUMMYFUNCTION("""COMPUTED_VALUE"""),"SELESAI (VIA PERMOHONAN)")</f>
        <v>SELESAI (VIA PERMOHONAN)</v>
      </c>
      <c r="J3049" s="17">
        <f>IFERROR(__xludf.DUMMYFUNCTION("""COMPUTED_VALUE"""),45856.641331527775)</f>
        <v>45856.64133</v>
      </c>
      <c r="K3049" s="13" t="str">
        <f>IFERROR(__xludf.DUMMYFUNCTION("""COMPUTED_VALUE"""),"Selesai")</f>
        <v>Selesai</v>
      </c>
      <c r="L3049" s="17">
        <f>IFERROR(__xludf.DUMMYFUNCTION("""COMPUTED_VALUE"""),45856.641331527775)</f>
        <v>45856.64133</v>
      </c>
      <c r="M3049" s="13"/>
      <c r="N3049" s="13" t="str">
        <f>IFERROR(__xludf.DUMMYFUNCTION("""COMPUTED_VALUE"""),"")</f>
        <v/>
      </c>
      <c r="O3049" s="13" t="str">
        <f t="shared" si="1"/>
        <v/>
      </c>
    </row>
    <row r="3050" ht="22.5" customHeight="1">
      <c r="B3050" s="13">
        <f>IFERROR(__xludf.DUMMYFUNCTION("""COMPUTED_VALUE"""),3045.0)</f>
        <v>3045</v>
      </c>
      <c r="C3050" s="13" t="str">
        <f>IFERROR(__xludf.DUMMYFUNCTION("""COMPUTED_VALUE"""),"M. 2535/ Pinang Jaya")</f>
        <v>M. 2535/ Pinang Jaya</v>
      </c>
      <c r="D3050" s="13" t="str">
        <f>IFERROR(__xludf.DUMMYFUNCTION("""COMPUTED_VALUE"""),"K/13/080725/1")</f>
        <v>K/13/080725/1</v>
      </c>
      <c r="E3050" s="14" t="str">
        <f>IFERROR(__xludf.DUMMYFUNCTION("""COMPUTED_VALUE"""),"Heri (BT)")</f>
        <v>Heri (BT)</v>
      </c>
      <c r="F3050" s="14" t="str">
        <f>IFERROR(__xludf.DUMMYFUNCTION("""COMPUTED_VALUE"""),"SELESAI (VIA PERMOHONAN)")</f>
        <v>SELESAI (VIA PERMOHONAN)</v>
      </c>
      <c r="G3050" s="17">
        <f>IFERROR(__xludf.DUMMYFUNCTION("""COMPUTED_VALUE"""),45856.45834063657)</f>
        <v>45856.45834</v>
      </c>
      <c r="H3050" s="14" t="str">
        <f>IFERROR(__xludf.DUMMYFUNCTION("""COMPUTED_VALUE"""),"Eci (SU)")</f>
        <v>Eci (SU)</v>
      </c>
      <c r="I3050" s="13" t="str">
        <f>IFERROR(__xludf.DUMMYFUNCTION("""COMPUTED_VALUE"""),"SELESAI (VIA PERMOHONAN)")</f>
        <v>SELESAI (VIA PERMOHONAN)</v>
      </c>
      <c r="J3050" s="17">
        <f>IFERROR(__xludf.DUMMYFUNCTION("""COMPUTED_VALUE"""),45856.641331527775)</f>
        <v>45856.64133</v>
      </c>
      <c r="K3050" s="13" t="str">
        <f>IFERROR(__xludf.DUMMYFUNCTION("""COMPUTED_VALUE"""),"Selesai")</f>
        <v>Selesai</v>
      </c>
      <c r="L3050" s="17">
        <f>IFERROR(__xludf.DUMMYFUNCTION("""COMPUTED_VALUE"""),45856.641331527775)</f>
        <v>45856.64133</v>
      </c>
      <c r="M3050" s="13"/>
      <c r="N3050" s="13" t="str">
        <f>IFERROR(__xludf.DUMMYFUNCTION("""COMPUTED_VALUE"""),"")</f>
        <v/>
      </c>
      <c r="O3050" s="13" t="str">
        <f t="shared" si="1"/>
        <v/>
      </c>
    </row>
    <row r="3051" ht="22.5" customHeight="1">
      <c r="B3051" s="13">
        <f>IFERROR(__xludf.DUMMYFUNCTION("""COMPUTED_VALUE"""),3046.0)</f>
        <v>3046</v>
      </c>
      <c r="C3051" s="13" t="str">
        <f>IFERROR(__xludf.DUMMYFUNCTION("""COMPUTED_VALUE"""),"M. 962/ Korpri Jaya")</f>
        <v>M. 962/ Korpri Jaya</v>
      </c>
      <c r="D3051" s="13" t="str">
        <f>IFERROR(__xludf.DUMMYFUNCTION("""COMPUTED_VALUE"""),"K/32/250625/1")</f>
        <v>K/32/250625/1</v>
      </c>
      <c r="E3051" s="14" t="str">
        <f>IFERROR(__xludf.DUMMYFUNCTION("""COMPUTED_VALUE"""),"Heri (BT)")</f>
        <v>Heri (BT)</v>
      </c>
      <c r="F3051" s="14" t="str">
        <f>IFERROR(__xludf.DUMMYFUNCTION("""COMPUTED_VALUE"""),"SELESAI (VIA PERMOHONAN)")</f>
        <v>SELESAI (VIA PERMOHONAN)</v>
      </c>
      <c r="G3051" s="17">
        <f>IFERROR(__xludf.DUMMYFUNCTION("""COMPUTED_VALUE"""),45856.45850162037)</f>
        <v>45856.4585</v>
      </c>
      <c r="H3051" s="14" t="str">
        <f>IFERROR(__xludf.DUMMYFUNCTION("""COMPUTED_VALUE"""),"Eci (SU)")</f>
        <v>Eci (SU)</v>
      </c>
      <c r="I3051" s="13" t="str">
        <f>IFERROR(__xludf.DUMMYFUNCTION("""COMPUTED_VALUE"""),"SELESAI (VIA PERMOHONAN)")</f>
        <v>SELESAI (VIA PERMOHONAN)</v>
      </c>
      <c r="J3051" s="17">
        <f>IFERROR(__xludf.DUMMYFUNCTION("""COMPUTED_VALUE"""),45856.641331527775)</f>
        <v>45856.64133</v>
      </c>
      <c r="K3051" s="13" t="str">
        <f>IFERROR(__xludf.DUMMYFUNCTION("""COMPUTED_VALUE"""),"Selesai")</f>
        <v>Selesai</v>
      </c>
      <c r="L3051" s="17">
        <f>IFERROR(__xludf.DUMMYFUNCTION("""COMPUTED_VALUE"""),45856.641331527775)</f>
        <v>45856.64133</v>
      </c>
      <c r="M3051" s="13"/>
      <c r="N3051" s="13" t="str">
        <f>IFERROR(__xludf.DUMMYFUNCTION("""COMPUTED_VALUE"""),"")</f>
        <v/>
      </c>
      <c r="O3051" s="13" t="str">
        <f t="shared" si="1"/>
        <v/>
      </c>
    </row>
    <row r="3052" ht="22.5" customHeight="1">
      <c r="B3052" s="13">
        <f>IFERROR(__xludf.DUMMYFUNCTION("""COMPUTED_VALUE"""),3047.0)</f>
        <v>3047</v>
      </c>
      <c r="C3052" s="13" t="str">
        <f>IFERROR(__xludf.DUMMYFUNCTION("""COMPUTED_VALUE"""),"B. 2163/ Sukarame")</f>
        <v>B. 2163/ Sukarame</v>
      </c>
      <c r="D3052" s="13" t="str">
        <f>IFERROR(__xludf.DUMMYFUNCTION("""COMPUTED_VALUE"""),"K/14/300625/1")</f>
        <v>K/14/300625/1</v>
      </c>
      <c r="E3052" s="14" t="str">
        <f>IFERROR(__xludf.DUMMYFUNCTION("""COMPUTED_VALUE"""),"Heri (BT)")</f>
        <v>Heri (BT)</v>
      </c>
      <c r="F3052" s="14" t="str">
        <f>IFERROR(__xludf.DUMMYFUNCTION("""COMPUTED_VALUE"""),"SELESAI (VIA PERMOHONAN)")</f>
        <v>SELESAI (VIA PERMOHONAN)</v>
      </c>
      <c r="G3052" s="17">
        <f>IFERROR(__xludf.DUMMYFUNCTION("""COMPUTED_VALUE"""),45856.45866631945)</f>
        <v>45856.45867</v>
      </c>
      <c r="H3052" s="14" t="str">
        <f>IFERROR(__xludf.DUMMYFUNCTION("""COMPUTED_VALUE"""),"Eci (SU)")</f>
        <v>Eci (SU)</v>
      </c>
      <c r="I3052" s="13" t="str">
        <f>IFERROR(__xludf.DUMMYFUNCTION("""COMPUTED_VALUE"""),"SELESAI (VIA PERMOHONAN)")</f>
        <v>SELESAI (VIA PERMOHONAN)</v>
      </c>
      <c r="J3052" s="17">
        <f>IFERROR(__xludf.DUMMYFUNCTION("""COMPUTED_VALUE"""),45856.641331527775)</f>
        <v>45856.64133</v>
      </c>
      <c r="K3052" s="13" t="str">
        <f>IFERROR(__xludf.DUMMYFUNCTION("""COMPUTED_VALUE"""),"Selesai")</f>
        <v>Selesai</v>
      </c>
      <c r="L3052" s="17">
        <f>IFERROR(__xludf.DUMMYFUNCTION("""COMPUTED_VALUE"""),45856.641331527775)</f>
        <v>45856.64133</v>
      </c>
      <c r="M3052" s="13"/>
      <c r="N3052" s="13" t="str">
        <f>IFERROR(__xludf.DUMMYFUNCTION("""COMPUTED_VALUE"""),"")</f>
        <v/>
      </c>
      <c r="O3052" s="13" t="str">
        <f t="shared" si="1"/>
        <v/>
      </c>
    </row>
    <row r="3053" ht="22.5" customHeight="1">
      <c r="B3053" s="13">
        <f>IFERROR(__xludf.DUMMYFUNCTION("""COMPUTED_VALUE"""),3048.0)</f>
        <v>3048</v>
      </c>
      <c r="C3053" s="13" t="str">
        <f>IFERROR(__xludf.DUMMYFUNCTION("""COMPUTED_VALUE"""),"M. 78/ Langkapura Baru")</f>
        <v>M. 78/ Langkapura Baru</v>
      </c>
      <c r="D3053" s="13" t="str">
        <f>IFERROR(__xludf.DUMMYFUNCTION("""COMPUTED_VALUE"""),"K/21/090725/1")</f>
        <v>K/21/090725/1</v>
      </c>
      <c r="E3053" s="14" t="str">
        <f>IFERROR(__xludf.DUMMYFUNCTION("""COMPUTED_VALUE"""),"Heri (BT)")</f>
        <v>Heri (BT)</v>
      </c>
      <c r="F3053" s="14" t="str">
        <f>IFERROR(__xludf.DUMMYFUNCTION("""COMPUTED_VALUE"""),"SELESAI (VIA PERMOHONAN)")</f>
        <v>SELESAI (VIA PERMOHONAN)</v>
      </c>
      <c r="G3053" s="17">
        <f>IFERROR(__xludf.DUMMYFUNCTION("""COMPUTED_VALUE"""),45856.45879642361)</f>
        <v>45856.4588</v>
      </c>
      <c r="H3053" s="14" t="str">
        <f>IFERROR(__xludf.DUMMYFUNCTION("""COMPUTED_VALUE"""),"Eci (SU)")</f>
        <v>Eci (SU)</v>
      </c>
      <c r="I3053" s="13" t="str">
        <f>IFERROR(__xludf.DUMMYFUNCTION("""COMPUTED_VALUE"""),"SELESAI (VIA PERMOHONAN)")</f>
        <v>SELESAI (VIA PERMOHONAN)</v>
      </c>
      <c r="J3053" s="17">
        <f>IFERROR(__xludf.DUMMYFUNCTION("""COMPUTED_VALUE"""),45856.641331527775)</f>
        <v>45856.64133</v>
      </c>
      <c r="K3053" s="13" t="str">
        <f>IFERROR(__xludf.DUMMYFUNCTION("""COMPUTED_VALUE"""),"Selesai")</f>
        <v>Selesai</v>
      </c>
      <c r="L3053" s="17">
        <f>IFERROR(__xludf.DUMMYFUNCTION("""COMPUTED_VALUE"""),45856.641331527775)</f>
        <v>45856.64133</v>
      </c>
      <c r="M3053" s="13"/>
      <c r="N3053" s="13" t="str">
        <f>IFERROR(__xludf.DUMMYFUNCTION("""COMPUTED_VALUE"""),"")</f>
        <v/>
      </c>
      <c r="O3053" s="13" t="str">
        <f t="shared" si="1"/>
        <v/>
      </c>
    </row>
    <row r="3054" ht="22.5" customHeight="1">
      <c r="B3054" s="13">
        <f>IFERROR(__xludf.DUMMYFUNCTION("""COMPUTED_VALUE"""),3049.0)</f>
        <v>3049</v>
      </c>
      <c r="C3054" s="13" t="str">
        <f>IFERROR(__xludf.DUMMYFUNCTION("""COMPUTED_VALUE"""),"M. 4928/ Sukadana Ham")</f>
        <v>M. 4928/ Sukadana Ham</v>
      </c>
      <c r="D3054" s="13" t="str">
        <f>IFERROR(__xludf.DUMMYFUNCTION("""COMPUTED_VALUE"""),"K/41/260625/2")</f>
        <v>K/41/260625/2</v>
      </c>
      <c r="E3054" s="14" t="str">
        <f>IFERROR(__xludf.DUMMYFUNCTION("""COMPUTED_VALUE"""),"Heri (BT)")</f>
        <v>Heri (BT)</v>
      </c>
      <c r="F3054" s="14" t="str">
        <f>IFERROR(__xludf.DUMMYFUNCTION("""COMPUTED_VALUE"""),"SELESAI (VIA PERMOHONAN)")</f>
        <v>SELESAI (VIA PERMOHONAN)</v>
      </c>
      <c r="G3054" s="17">
        <f>IFERROR(__xludf.DUMMYFUNCTION("""COMPUTED_VALUE"""),45856.45894321759)</f>
        <v>45856.45894</v>
      </c>
      <c r="H3054" s="14" t="str">
        <f>IFERROR(__xludf.DUMMYFUNCTION("""COMPUTED_VALUE"""),"Eci (SU)")</f>
        <v>Eci (SU)</v>
      </c>
      <c r="I3054" s="13" t="str">
        <f>IFERROR(__xludf.DUMMYFUNCTION("""COMPUTED_VALUE"""),"SELESAI (VIA PERMOHONAN)")</f>
        <v>SELESAI (VIA PERMOHONAN)</v>
      </c>
      <c r="J3054" s="17">
        <f>IFERROR(__xludf.DUMMYFUNCTION("""COMPUTED_VALUE"""),45856.641331527775)</f>
        <v>45856.64133</v>
      </c>
      <c r="K3054" s="13" t="str">
        <f>IFERROR(__xludf.DUMMYFUNCTION("""COMPUTED_VALUE"""),"Selesai")</f>
        <v>Selesai</v>
      </c>
      <c r="L3054" s="17">
        <f>IFERROR(__xludf.DUMMYFUNCTION("""COMPUTED_VALUE"""),45856.641331527775)</f>
        <v>45856.64133</v>
      </c>
      <c r="M3054" s="13"/>
      <c r="N3054" s="13" t="str">
        <f>IFERROR(__xludf.DUMMYFUNCTION("""COMPUTED_VALUE"""),"")</f>
        <v/>
      </c>
      <c r="O3054" s="13" t="str">
        <f t="shared" si="1"/>
        <v/>
      </c>
    </row>
    <row r="3055" ht="22.5" customHeight="1">
      <c r="B3055" s="13">
        <f>IFERROR(__xludf.DUMMYFUNCTION("""COMPUTED_VALUE"""),3050.0)</f>
        <v>3050</v>
      </c>
      <c r="C3055" s="13" t="str">
        <f>IFERROR(__xludf.DUMMYFUNCTION("""COMPUTED_VALUE"""),"M. 2583/ Sukarame II")</f>
        <v>M. 2583/ Sukarame II</v>
      </c>
      <c r="D3055" s="13" t="str">
        <f>IFERROR(__xludf.DUMMYFUNCTION("""COMPUTED_VALUE"""),"K/24/040725/1")</f>
        <v>K/24/040725/1</v>
      </c>
      <c r="E3055" s="14" t="str">
        <f>IFERROR(__xludf.DUMMYFUNCTION("""COMPUTED_VALUE"""),"Heri (BT)")</f>
        <v>Heri (BT)</v>
      </c>
      <c r="F3055" s="14" t="str">
        <f>IFERROR(__xludf.DUMMYFUNCTION("""COMPUTED_VALUE"""),"SELESAI (VIA PERMOHONAN)")</f>
        <v>SELESAI (VIA PERMOHONAN)</v>
      </c>
      <c r="G3055" s="17">
        <f>IFERROR(__xludf.DUMMYFUNCTION("""COMPUTED_VALUE"""),45859.411363935185)</f>
        <v>45859.41136</v>
      </c>
      <c r="H3055" s="14" t="str">
        <f>IFERROR(__xludf.DUMMYFUNCTION("""COMPUTED_VALUE"""),"Eci (SU)")</f>
        <v>Eci (SU)</v>
      </c>
      <c r="I3055" s="13" t="str">
        <f>IFERROR(__xludf.DUMMYFUNCTION("""COMPUTED_VALUE"""),"SELESAI (VIA PERMOHONAN)")</f>
        <v>SELESAI (VIA PERMOHONAN)</v>
      </c>
      <c r="J3055" s="17">
        <f>IFERROR(__xludf.DUMMYFUNCTION("""COMPUTED_VALUE"""),45859.41138993055)</f>
        <v>45859.41139</v>
      </c>
      <c r="K3055" s="13" t="str">
        <f>IFERROR(__xludf.DUMMYFUNCTION("""COMPUTED_VALUE"""),"Selesai")</f>
        <v>Selesai</v>
      </c>
      <c r="L3055" s="17">
        <f>IFERROR(__xludf.DUMMYFUNCTION("""COMPUTED_VALUE"""),45859.41138993055)</f>
        <v>45859.41139</v>
      </c>
      <c r="M3055" s="13"/>
      <c r="N3055" s="13" t="str">
        <f>IFERROR(__xludf.DUMMYFUNCTION("""COMPUTED_VALUE"""),"")</f>
        <v/>
      </c>
      <c r="O3055" s="13" t="str">
        <f t="shared" si="1"/>
        <v/>
      </c>
    </row>
    <row r="3056" ht="22.5" customHeight="1">
      <c r="B3056" s="13">
        <f>IFERROR(__xludf.DUMMYFUNCTION("""COMPUTED_VALUE"""),3051.0)</f>
        <v>3051</v>
      </c>
      <c r="C3056" s="13" t="str">
        <f>IFERROR(__xludf.DUMMYFUNCTION("""COMPUTED_VALUE"""),"M. 1496/ Rawa Laut")</f>
        <v>M. 1496/ Rawa Laut</v>
      </c>
      <c r="D3056" s="13" t="str">
        <f>IFERROR(__xludf.DUMMYFUNCTION("""COMPUTED_VALUE"""),"K/21/020725/1")</f>
        <v>K/21/020725/1</v>
      </c>
      <c r="E3056" s="14" t="str">
        <f>IFERROR(__xludf.DUMMYFUNCTION("""COMPUTED_VALUE"""),"Heri (BT)")</f>
        <v>Heri (BT)</v>
      </c>
      <c r="F3056" s="14" t="str">
        <f>IFERROR(__xludf.DUMMYFUNCTION("""COMPUTED_VALUE"""),"SELESAI (VIA PERMOHONAN)")</f>
        <v>SELESAI (VIA PERMOHONAN)</v>
      </c>
      <c r="G3056" s="17">
        <f>IFERROR(__xludf.DUMMYFUNCTION("""COMPUTED_VALUE"""),45859.41187888889)</f>
        <v>45859.41188</v>
      </c>
      <c r="H3056" s="14" t="str">
        <f>IFERROR(__xludf.DUMMYFUNCTION("""COMPUTED_VALUE"""),"Eci (SU)")</f>
        <v>Eci (SU)</v>
      </c>
      <c r="I3056" s="13" t="str">
        <f>IFERROR(__xludf.DUMMYFUNCTION("""COMPUTED_VALUE"""),"SELESAI (VIA PERMOHONAN)")</f>
        <v>SELESAI (VIA PERMOHONAN)</v>
      </c>
      <c r="J3056" s="17">
        <f>IFERROR(__xludf.DUMMYFUNCTION("""COMPUTED_VALUE"""),45859.411907118054)</f>
        <v>45859.41191</v>
      </c>
      <c r="K3056" s="13" t="str">
        <f>IFERROR(__xludf.DUMMYFUNCTION("""COMPUTED_VALUE"""),"Selesai")</f>
        <v>Selesai</v>
      </c>
      <c r="L3056" s="17">
        <f>IFERROR(__xludf.DUMMYFUNCTION("""COMPUTED_VALUE"""),45859.411907118054)</f>
        <v>45859.41191</v>
      </c>
      <c r="M3056" s="13"/>
      <c r="N3056" s="13" t="str">
        <f>IFERROR(__xludf.DUMMYFUNCTION("""COMPUTED_VALUE"""),"")</f>
        <v/>
      </c>
      <c r="O3056" s="13" t="str">
        <f t="shared" si="1"/>
        <v/>
      </c>
    </row>
    <row r="3057" ht="22.5" customHeight="1">
      <c r="B3057" s="13">
        <f>IFERROR(__xludf.DUMMYFUNCTION("""COMPUTED_VALUE"""),3052.0)</f>
        <v>3052</v>
      </c>
      <c r="C3057" s="13" t="str">
        <f>IFERROR(__xludf.DUMMYFUNCTION("""COMPUTED_VALUE"""),"M.3651/SURABAYA")</f>
        <v>M.3651/SURABAYA</v>
      </c>
      <c r="D3057" s="13" t="str">
        <f>IFERROR(__xludf.DUMMYFUNCTION("""COMPUTED_VALUE"""),"K/27/220125/1")</f>
        <v>K/27/220125/1</v>
      </c>
      <c r="E3057" s="14" t="str">
        <f>IFERROR(__xludf.DUMMYFUNCTION("""COMPUTED_VALUE"""),"Heri (BT)")</f>
        <v>Heri (BT)</v>
      </c>
      <c r="F3057" s="14" t="str">
        <f>IFERROR(__xludf.DUMMYFUNCTION("""COMPUTED_VALUE"""),"SELESAI (VIA PERMOHONAN)")</f>
        <v>SELESAI (VIA PERMOHONAN)</v>
      </c>
      <c r="G3057" s="17">
        <f>IFERROR(__xludf.DUMMYFUNCTION("""COMPUTED_VALUE"""),45859.46528902778)</f>
        <v>45859.46529</v>
      </c>
      <c r="H3057" s="14" t="str">
        <f>IFERROR(__xludf.DUMMYFUNCTION("""COMPUTED_VALUE"""),"Eci (SU)")</f>
        <v>Eci (SU)</v>
      </c>
      <c r="I3057" s="13" t="str">
        <f>IFERROR(__xludf.DUMMYFUNCTION("""COMPUTED_VALUE"""),"SELESAI (VIA PERMOHONAN)")</f>
        <v>SELESAI (VIA PERMOHONAN)</v>
      </c>
      <c r="J3057" s="17">
        <f>IFERROR(__xludf.DUMMYFUNCTION("""COMPUTED_VALUE"""),45859.66061277778)</f>
        <v>45859.66061</v>
      </c>
      <c r="K3057" s="13" t="str">
        <f>IFERROR(__xludf.DUMMYFUNCTION("""COMPUTED_VALUE"""),"Selesai")</f>
        <v>Selesai</v>
      </c>
      <c r="L3057" s="17">
        <f>IFERROR(__xludf.DUMMYFUNCTION("""COMPUTED_VALUE"""),45859.66061277778)</f>
        <v>45859.66061</v>
      </c>
      <c r="M3057" s="13"/>
      <c r="N3057" s="13" t="str">
        <f>IFERROR(__xludf.DUMMYFUNCTION("""COMPUTED_VALUE"""),"")</f>
        <v/>
      </c>
      <c r="O3057" s="13" t="str">
        <f t="shared" si="1"/>
        <v/>
      </c>
    </row>
    <row r="3058" ht="22.5" customHeight="1">
      <c r="B3058" s="13">
        <f>IFERROR(__xludf.DUMMYFUNCTION("""COMPUTED_VALUE"""),3053.0)</f>
        <v>3053</v>
      </c>
      <c r="C3058" s="13" t="str">
        <f>IFERROR(__xludf.DUMMYFUNCTION("""COMPUTED_VALUE"""),"M.1576/SUMBER AGUNG")</f>
        <v>M.1576/SUMBER AGUNG</v>
      </c>
      <c r="D3058" s="13" t="str">
        <f>IFERROR(__xludf.DUMMYFUNCTION("""COMPUTED_VALUE"""),"K/15/170725/1")</f>
        <v>K/15/170725/1</v>
      </c>
      <c r="E3058" s="14" t="str">
        <f>IFERROR(__xludf.DUMMYFUNCTION("""COMPUTED_VALUE"""),"Heri (BT)")</f>
        <v>Heri (BT)</v>
      </c>
      <c r="F3058" s="14" t="str">
        <f>IFERROR(__xludf.DUMMYFUNCTION("""COMPUTED_VALUE"""),"SELESAI (VIA PERMOHONAN)")</f>
        <v>SELESAI (VIA PERMOHONAN)</v>
      </c>
      <c r="G3058" s="17">
        <f>IFERROR(__xludf.DUMMYFUNCTION("""COMPUTED_VALUE"""),45859.4654255787)</f>
        <v>45859.46543</v>
      </c>
      <c r="H3058" s="14" t="str">
        <f>IFERROR(__xludf.DUMMYFUNCTION("""COMPUTED_VALUE"""),"Eci (SU)")</f>
        <v>Eci (SU)</v>
      </c>
      <c r="I3058" s="13" t="str">
        <f>IFERROR(__xludf.DUMMYFUNCTION("""COMPUTED_VALUE"""),"SELESAI (VIA PERMOHONAN)")</f>
        <v>SELESAI (VIA PERMOHONAN)</v>
      </c>
      <c r="J3058" s="17">
        <f>IFERROR(__xludf.DUMMYFUNCTION("""COMPUTED_VALUE"""),45859.659991423614)</f>
        <v>45859.65999</v>
      </c>
      <c r="K3058" s="13" t="str">
        <f>IFERROR(__xludf.DUMMYFUNCTION("""COMPUTED_VALUE"""),"Selesai")</f>
        <v>Selesai</v>
      </c>
      <c r="L3058" s="17">
        <f>IFERROR(__xludf.DUMMYFUNCTION("""COMPUTED_VALUE"""),45859.659991423614)</f>
        <v>45859.65999</v>
      </c>
      <c r="M3058" s="13"/>
      <c r="N3058" s="13" t="str">
        <f>IFERROR(__xludf.DUMMYFUNCTION("""COMPUTED_VALUE"""),"")</f>
        <v/>
      </c>
      <c r="O3058" s="13" t="str">
        <f t="shared" si="1"/>
        <v/>
      </c>
    </row>
    <row r="3059" ht="22.5" customHeight="1">
      <c r="B3059" s="13">
        <f>IFERROR(__xludf.DUMMYFUNCTION("""COMPUTED_VALUE"""),3054.0)</f>
        <v>3054</v>
      </c>
      <c r="C3059" s="13" t="str">
        <f>IFERROR(__xludf.DUMMYFUNCTION("""COMPUTED_VALUE"""),"M.641/SUSUNAN BARU")</f>
        <v>M.641/SUSUNAN BARU</v>
      </c>
      <c r="D3059" s="13" t="str">
        <f>IFERROR(__xludf.DUMMYFUNCTION("""COMPUTED_VALUE"""),"K/44/040725/1")</f>
        <v>K/44/040725/1</v>
      </c>
      <c r="E3059" s="14" t="str">
        <f>IFERROR(__xludf.DUMMYFUNCTION("""COMPUTED_VALUE"""),"Heri (BT)")</f>
        <v>Heri (BT)</v>
      </c>
      <c r="F3059" s="14" t="str">
        <f>IFERROR(__xludf.DUMMYFUNCTION("""COMPUTED_VALUE"""),"SELESAI (VIA PERMOHONAN)")</f>
        <v>SELESAI (VIA PERMOHONAN)</v>
      </c>
      <c r="G3059" s="17">
        <f>IFERROR(__xludf.DUMMYFUNCTION("""COMPUTED_VALUE"""),45859.46564534723)</f>
        <v>45859.46565</v>
      </c>
      <c r="H3059" s="14" t="str">
        <f>IFERROR(__xludf.DUMMYFUNCTION("""COMPUTED_VALUE"""),"Eci (SU)")</f>
        <v>Eci (SU)</v>
      </c>
      <c r="I3059" s="13" t="str">
        <f>IFERROR(__xludf.DUMMYFUNCTION("""COMPUTED_VALUE"""),"SELESAI (VIA PERMOHONAN)")</f>
        <v>SELESAI (VIA PERMOHONAN)</v>
      </c>
      <c r="J3059" s="17">
        <f>IFERROR(__xludf.DUMMYFUNCTION("""COMPUTED_VALUE"""),45860.643515324075)</f>
        <v>45860.64352</v>
      </c>
      <c r="K3059" s="13" t="str">
        <f>IFERROR(__xludf.DUMMYFUNCTION("""COMPUTED_VALUE"""),"Selesai")</f>
        <v>Selesai</v>
      </c>
      <c r="L3059" s="17">
        <f>IFERROR(__xludf.DUMMYFUNCTION("""COMPUTED_VALUE"""),45860.643515324075)</f>
        <v>45860.64352</v>
      </c>
      <c r="M3059" s="13"/>
      <c r="N3059" s="13" t="str">
        <f>IFERROR(__xludf.DUMMYFUNCTION("""COMPUTED_VALUE"""),"")</f>
        <v/>
      </c>
      <c r="O3059" s="13" t="str">
        <f t="shared" si="1"/>
        <v/>
      </c>
    </row>
    <row r="3060" ht="22.5" customHeight="1">
      <c r="B3060" s="13">
        <f>IFERROR(__xludf.DUMMYFUNCTION("""COMPUTED_VALUE"""),3055.0)</f>
        <v>3055</v>
      </c>
      <c r="C3060" s="13" t="str">
        <f>IFERROR(__xludf.DUMMYFUNCTION("""COMPUTED_VALUE"""),"M.816/WAY DADI")</f>
        <v>M.816/WAY DADI</v>
      </c>
      <c r="D3060" s="13" t="str">
        <f>IFERROR(__xludf.DUMMYFUNCTION("""COMPUTED_VALUE"""),"K/30/010725/1")</f>
        <v>K/30/010725/1</v>
      </c>
      <c r="E3060" s="14" t="str">
        <f>IFERROR(__xludf.DUMMYFUNCTION("""COMPUTED_VALUE"""),"Heri (BT)")</f>
        <v>Heri (BT)</v>
      </c>
      <c r="F3060" s="14" t="str">
        <f>IFERROR(__xludf.DUMMYFUNCTION("""COMPUTED_VALUE"""),"SELESAI (VIA PERMOHONAN)")</f>
        <v>SELESAI (VIA PERMOHONAN)</v>
      </c>
      <c r="G3060" s="17">
        <f>IFERROR(__xludf.DUMMYFUNCTION("""COMPUTED_VALUE"""),45859.46579105324)</f>
        <v>45859.46579</v>
      </c>
      <c r="H3060" s="14" t="str">
        <f>IFERROR(__xludf.DUMMYFUNCTION("""COMPUTED_VALUE"""),"Eci (SU)")</f>
        <v>Eci (SU)</v>
      </c>
      <c r="I3060" s="13" t="str">
        <f>IFERROR(__xludf.DUMMYFUNCTION("""COMPUTED_VALUE"""),"SELESAI (VIA PERMOHONAN)")</f>
        <v>SELESAI (VIA PERMOHONAN)</v>
      </c>
      <c r="J3060" s="17">
        <f>IFERROR(__xludf.DUMMYFUNCTION("""COMPUTED_VALUE"""),45860.646694421295)</f>
        <v>45860.64669</v>
      </c>
      <c r="K3060" s="13" t="str">
        <f>IFERROR(__xludf.DUMMYFUNCTION("""COMPUTED_VALUE"""),"Selesai")</f>
        <v>Selesai</v>
      </c>
      <c r="L3060" s="17">
        <f>IFERROR(__xludf.DUMMYFUNCTION("""COMPUTED_VALUE"""),45860.646694421295)</f>
        <v>45860.64669</v>
      </c>
      <c r="M3060" s="13"/>
      <c r="N3060" s="13" t="str">
        <f>IFERROR(__xludf.DUMMYFUNCTION("""COMPUTED_VALUE"""),"")</f>
        <v/>
      </c>
      <c r="O3060" s="13" t="str">
        <f t="shared" si="1"/>
        <v/>
      </c>
    </row>
    <row r="3061" ht="22.5" customHeight="1">
      <c r="B3061" s="13">
        <f>IFERROR(__xludf.DUMMYFUNCTION("""COMPUTED_VALUE"""),3056.0)</f>
        <v>3056</v>
      </c>
      <c r="C3061" s="13" t="str">
        <f>IFERROR(__xludf.DUMMYFUNCTION("""COMPUTED_VALUE"""),"B.4618/SUKABUMI")</f>
        <v>B.4618/SUKABUMI</v>
      </c>
      <c r="D3061" s="13" t="str">
        <f>IFERROR(__xludf.DUMMYFUNCTION("""COMPUTED_VALUE"""),"K/5/160626/1")</f>
        <v>K/5/160626/1</v>
      </c>
      <c r="E3061" s="14" t="str">
        <f>IFERROR(__xludf.DUMMYFUNCTION("""COMPUTED_VALUE"""),"Heri (BT)")</f>
        <v>Heri (BT)</v>
      </c>
      <c r="F3061" s="14" t="str">
        <f>IFERROR(__xludf.DUMMYFUNCTION("""COMPUTED_VALUE"""),"SELESAI (VIA PERMOHONAN)")</f>
        <v>SELESAI (VIA PERMOHONAN)</v>
      </c>
      <c r="G3061" s="17">
        <f>IFERROR(__xludf.DUMMYFUNCTION("""COMPUTED_VALUE"""),45859.4659646875)</f>
        <v>45859.46596</v>
      </c>
      <c r="H3061" s="14" t="str">
        <f>IFERROR(__xludf.DUMMYFUNCTION("""COMPUTED_VALUE"""),"Eci (SU)")</f>
        <v>Eci (SU)</v>
      </c>
      <c r="I3061" s="13" t="str">
        <f>IFERROR(__xludf.DUMMYFUNCTION("""COMPUTED_VALUE"""),"SELESAI (VIA PERMOHONAN)")</f>
        <v>SELESAI (VIA PERMOHONAN)</v>
      </c>
      <c r="J3061" s="17">
        <f>IFERROR(__xludf.DUMMYFUNCTION("""COMPUTED_VALUE"""),45859.66009314815)</f>
        <v>45859.66009</v>
      </c>
      <c r="K3061" s="13" t="str">
        <f>IFERROR(__xludf.DUMMYFUNCTION("""COMPUTED_VALUE"""),"Selesai")</f>
        <v>Selesai</v>
      </c>
      <c r="L3061" s="17">
        <f>IFERROR(__xludf.DUMMYFUNCTION("""COMPUTED_VALUE"""),45859.66009314815)</f>
        <v>45859.66009</v>
      </c>
      <c r="M3061" s="13"/>
      <c r="N3061" s="13" t="str">
        <f>IFERROR(__xludf.DUMMYFUNCTION("""COMPUTED_VALUE"""),"")</f>
        <v/>
      </c>
      <c r="O3061" s="13" t="str">
        <f t="shared" si="1"/>
        <v/>
      </c>
    </row>
    <row r="3062" ht="22.5" customHeight="1">
      <c r="B3062" s="13">
        <f>IFERROR(__xludf.DUMMYFUNCTION("""COMPUTED_VALUE"""),3057.0)</f>
        <v>3057</v>
      </c>
      <c r="C3062" s="13" t="str">
        <f>IFERROR(__xludf.DUMMYFUNCTION("""COMPUTED_VALUE"""),"HM 1554/WHP")</f>
        <v>HM 1554/WHP</v>
      </c>
      <c r="D3062" s="13" t="str">
        <f>IFERROR(__xludf.DUMMYFUNCTION("""COMPUTED_VALUE"""),"L/40/140725/1")</f>
        <v>L/40/140725/1</v>
      </c>
      <c r="E3062" s="14" t="str">
        <f>IFERROR(__xludf.DUMMYFUNCTION("""COMPUTED_VALUE"""),"Heri (BT)")</f>
        <v>Heri (BT)</v>
      </c>
      <c r="F3062" s="14" t="str">
        <f>IFERROR(__xludf.DUMMYFUNCTION("""COMPUTED_VALUE"""),"SELESAI (VIA PERMOHONAN)")</f>
        <v>SELESAI (VIA PERMOHONAN)</v>
      </c>
      <c r="G3062" s="17">
        <f>IFERROR(__xludf.DUMMYFUNCTION("""COMPUTED_VALUE"""),45859.46613960648)</f>
        <v>45859.46614</v>
      </c>
      <c r="H3062" s="14" t="str">
        <f>IFERROR(__xludf.DUMMYFUNCTION("""COMPUTED_VALUE"""),"Eci (SU)")</f>
        <v>Eci (SU)</v>
      </c>
      <c r="I3062" s="13" t="str">
        <f>IFERROR(__xludf.DUMMYFUNCTION("""COMPUTED_VALUE"""),"SELESAI (VIA PERMOHONAN)")</f>
        <v>SELESAI (VIA PERMOHONAN)</v>
      </c>
      <c r="J3062" s="17">
        <f>IFERROR(__xludf.DUMMYFUNCTION("""COMPUTED_VALUE"""),45859.66024648148)</f>
        <v>45859.66025</v>
      </c>
      <c r="K3062" s="13" t="str">
        <f>IFERROR(__xludf.DUMMYFUNCTION("""COMPUTED_VALUE"""),"Selesai")</f>
        <v>Selesai</v>
      </c>
      <c r="L3062" s="17">
        <f>IFERROR(__xludf.DUMMYFUNCTION("""COMPUTED_VALUE"""),45859.66024648148)</f>
        <v>45859.66025</v>
      </c>
      <c r="M3062" s="13"/>
      <c r="N3062" s="13" t="str">
        <f>IFERROR(__xludf.DUMMYFUNCTION("""COMPUTED_VALUE"""),"")</f>
        <v/>
      </c>
      <c r="O3062" s="13" t="str">
        <f t="shared" si="1"/>
        <v/>
      </c>
    </row>
    <row r="3063" ht="22.5" customHeight="1">
      <c r="B3063" s="13">
        <f>IFERROR(__xludf.DUMMYFUNCTION("""COMPUTED_VALUE"""),3058.0)</f>
        <v>3058</v>
      </c>
      <c r="C3063" s="13" t="str">
        <f>IFERROR(__xludf.DUMMYFUNCTION("""COMPUTED_VALUE"""),"HM 2560/GUNUNG TERANG")</f>
        <v>HM 2560/GUNUNG TERANG</v>
      </c>
      <c r="D3063" s="13" t="str">
        <f>IFERROR(__xludf.DUMMYFUNCTION("""COMPUTED_VALUE"""),"L/27/140725/1")</f>
        <v>L/27/140725/1</v>
      </c>
      <c r="E3063" s="14" t="str">
        <f>IFERROR(__xludf.DUMMYFUNCTION("""COMPUTED_VALUE"""),"Heri (BT)")</f>
        <v>Heri (BT)</v>
      </c>
      <c r="F3063" s="14" t="str">
        <f>IFERROR(__xludf.DUMMYFUNCTION("""COMPUTED_VALUE"""),"SELESAI (VIA PERMOHONAN)")</f>
        <v>SELESAI (VIA PERMOHONAN)</v>
      </c>
      <c r="G3063" s="17">
        <f>IFERROR(__xludf.DUMMYFUNCTION("""COMPUTED_VALUE"""),45859.46625452546)</f>
        <v>45859.46625</v>
      </c>
      <c r="H3063" s="14" t="str">
        <f>IFERROR(__xludf.DUMMYFUNCTION("""COMPUTED_VALUE"""),"Eci (SU)")</f>
        <v>Eci (SU)</v>
      </c>
      <c r="I3063" s="13" t="str">
        <f>IFERROR(__xludf.DUMMYFUNCTION("""COMPUTED_VALUE"""),"SELESAI (VIA PERMOHONAN)")</f>
        <v>SELESAI (VIA PERMOHONAN)</v>
      </c>
      <c r="J3063" s="17">
        <f>IFERROR(__xludf.DUMMYFUNCTION("""COMPUTED_VALUE"""),45859.66146092593)</f>
        <v>45859.66146</v>
      </c>
      <c r="K3063" s="13" t="str">
        <f>IFERROR(__xludf.DUMMYFUNCTION("""COMPUTED_VALUE"""),"Selesai")</f>
        <v>Selesai</v>
      </c>
      <c r="L3063" s="17">
        <f>IFERROR(__xludf.DUMMYFUNCTION("""COMPUTED_VALUE"""),45859.66146092593)</f>
        <v>45859.66146</v>
      </c>
      <c r="M3063" s="13"/>
      <c r="N3063" s="13" t="str">
        <f>IFERROR(__xludf.DUMMYFUNCTION("""COMPUTED_VALUE"""),"")</f>
        <v/>
      </c>
      <c r="O3063" s="13" t="str">
        <f t="shared" si="1"/>
        <v/>
      </c>
    </row>
    <row r="3064" ht="22.5" customHeight="1">
      <c r="B3064" s="13">
        <f>IFERROR(__xludf.DUMMYFUNCTION("""COMPUTED_VALUE"""),3059.0)</f>
        <v>3059</v>
      </c>
      <c r="C3064" s="13" t="str">
        <f>IFERROR(__xludf.DUMMYFUNCTION("""COMPUTED_VALUE"""),"M.1017/LABUHAN RATU RAYA")</f>
        <v>M.1017/LABUHAN RATU RAYA</v>
      </c>
      <c r="D3064" s="13" t="str">
        <f>IFERROR(__xludf.DUMMYFUNCTION("""COMPUTED_VALUE"""),"L/16/150725/1")</f>
        <v>L/16/150725/1</v>
      </c>
      <c r="E3064" s="14" t="str">
        <f>IFERROR(__xludf.DUMMYFUNCTION("""COMPUTED_VALUE"""),"Heri (BT)")</f>
        <v>Heri (BT)</v>
      </c>
      <c r="F3064" s="14" t="str">
        <f>IFERROR(__xludf.DUMMYFUNCTION("""COMPUTED_VALUE"""),"SELESAI (VIA PERMOHONAN)")</f>
        <v>SELESAI (VIA PERMOHONAN)</v>
      </c>
      <c r="G3064" s="17">
        <f>IFERROR(__xludf.DUMMYFUNCTION("""COMPUTED_VALUE"""),45859.4663993287)</f>
        <v>45859.4664</v>
      </c>
      <c r="H3064" s="14" t="str">
        <f>IFERROR(__xludf.DUMMYFUNCTION("""COMPUTED_VALUE"""),"Eci (SU)")</f>
        <v>Eci (SU)</v>
      </c>
      <c r="I3064" s="13" t="str">
        <f>IFERROR(__xludf.DUMMYFUNCTION("""COMPUTED_VALUE"""),"SELESAI (VIA PERMOHONAN)")</f>
        <v>SELESAI (VIA PERMOHONAN)</v>
      </c>
      <c r="J3064" s="17">
        <f>IFERROR(__xludf.DUMMYFUNCTION("""COMPUTED_VALUE"""),45859.66138479167)</f>
        <v>45859.66138</v>
      </c>
      <c r="K3064" s="13" t="str">
        <f>IFERROR(__xludf.DUMMYFUNCTION("""COMPUTED_VALUE"""),"Selesai")</f>
        <v>Selesai</v>
      </c>
      <c r="L3064" s="17">
        <f>IFERROR(__xludf.DUMMYFUNCTION("""COMPUTED_VALUE"""),45859.66138479167)</f>
        <v>45859.66138</v>
      </c>
      <c r="M3064" s="13"/>
      <c r="N3064" s="13" t="str">
        <f>IFERROR(__xludf.DUMMYFUNCTION("""COMPUTED_VALUE"""),"")</f>
        <v/>
      </c>
      <c r="O3064" s="13" t="str">
        <f t="shared" si="1"/>
        <v/>
      </c>
    </row>
    <row r="3065" ht="22.5" customHeight="1">
      <c r="B3065" s="13">
        <f>IFERROR(__xludf.DUMMYFUNCTION("""COMPUTED_VALUE"""),3060.0)</f>
        <v>3060</v>
      </c>
      <c r="C3065" s="13" t="str">
        <f>IFERROR(__xludf.DUMMYFUNCTION("""COMPUTED_VALUE"""),"M. 806/ Rawa Laut")</f>
        <v>M. 806/ Rawa Laut</v>
      </c>
      <c r="D3065" s="13" t="str">
        <f>IFERROR(__xludf.DUMMYFUNCTION("""COMPUTED_VALUE"""),"K/16/030725/1")</f>
        <v>K/16/030725/1</v>
      </c>
      <c r="E3065" s="14" t="str">
        <f>IFERROR(__xludf.DUMMYFUNCTION("""COMPUTED_VALUE"""),"Heri (BT)")</f>
        <v>Heri (BT)</v>
      </c>
      <c r="F3065" s="14" t="str">
        <f>IFERROR(__xludf.DUMMYFUNCTION("""COMPUTED_VALUE"""),"SELESAI (VIA PERMOHONAN)")</f>
        <v>SELESAI (VIA PERMOHONAN)</v>
      </c>
      <c r="G3065" s="17">
        <f>IFERROR(__xludf.DUMMYFUNCTION("""COMPUTED_VALUE"""),45859.466583726855)</f>
        <v>45859.46658</v>
      </c>
      <c r="H3065" s="14" t="str">
        <f>IFERROR(__xludf.DUMMYFUNCTION("""COMPUTED_VALUE"""),"Eci (SU)")</f>
        <v>Eci (SU)</v>
      </c>
      <c r="I3065" s="13" t="str">
        <f>IFERROR(__xludf.DUMMYFUNCTION("""COMPUTED_VALUE"""),"SELESAI (VIA PERMOHONAN)")</f>
        <v>SELESAI (VIA PERMOHONAN)</v>
      </c>
      <c r="J3065" s="17">
        <f>IFERROR(__xludf.DUMMYFUNCTION("""COMPUTED_VALUE"""),45859.66111219907)</f>
        <v>45859.66111</v>
      </c>
      <c r="K3065" s="13" t="str">
        <f>IFERROR(__xludf.DUMMYFUNCTION("""COMPUTED_VALUE"""),"Selesai")</f>
        <v>Selesai</v>
      </c>
      <c r="L3065" s="17">
        <f>IFERROR(__xludf.DUMMYFUNCTION("""COMPUTED_VALUE"""),45859.66111219907)</f>
        <v>45859.66111</v>
      </c>
      <c r="M3065" s="13"/>
      <c r="N3065" s="13" t="str">
        <f>IFERROR(__xludf.DUMMYFUNCTION("""COMPUTED_VALUE"""),"")</f>
        <v/>
      </c>
      <c r="O3065" s="13" t="str">
        <f t="shared" si="1"/>
        <v/>
      </c>
    </row>
    <row r="3066" ht="22.5" customHeight="1">
      <c r="B3066" s="13">
        <f>IFERROR(__xludf.DUMMYFUNCTION("""COMPUTED_VALUE"""),3061.0)</f>
        <v>3061</v>
      </c>
      <c r="C3066" s="13" t="str">
        <f>IFERROR(__xludf.DUMMYFUNCTION("""COMPUTED_VALUE"""),"M. 10146/ Gedong Meneng")</f>
        <v>M. 10146/ Gedong Meneng</v>
      </c>
      <c r="D3066" s="13" t="str">
        <f>IFERROR(__xludf.DUMMYFUNCTION("""COMPUTED_VALUE"""),"K/18/260625/2")</f>
        <v>K/18/260625/2</v>
      </c>
      <c r="E3066" s="14" t="str">
        <f>IFERROR(__xludf.DUMMYFUNCTION("""COMPUTED_VALUE"""),"Heri (BT)")</f>
        <v>Heri (BT)</v>
      </c>
      <c r="F3066" s="14" t="str">
        <f>IFERROR(__xludf.DUMMYFUNCTION("""COMPUTED_VALUE"""),"SELESAI (VIA PERMOHONAN)")</f>
        <v>SELESAI (VIA PERMOHONAN)</v>
      </c>
      <c r="G3066" s="17">
        <f>IFERROR(__xludf.DUMMYFUNCTION("""COMPUTED_VALUE"""),45859.46674927083)</f>
        <v>45859.46675</v>
      </c>
      <c r="H3066" s="14" t="str">
        <f>IFERROR(__xludf.DUMMYFUNCTION("""COMPUTED_VALUE"""),"Eci (SU)")</f>
        <v>Eci (SU)</v>
      </c>
      <c r="I3066" s="13" t="str">
        <f>IFERROR(__xludf.DUMMYFUNCTION("""COMPUTED_VALUE"""),"SELESAI (VIA PERMOHONAN)")</f>
        <v>SELESAI (VIA PERMOHONAN)</v>
      </c>
      <c r="J3066" s="17">
        <f>IFERROR(__xludf.DUMMYFUNCTION("""COMPUTED_VALUE"""),45859.660887453705)</f>
        <v>45859.66089</v>
      </c>
      <c r="K3066" s="13" t="str">
        <f>IFERROR(__xludf.DUMMYFUNCTION("""COMPUTED_VALUE"""),"Selesai")</f>
        <v>Selesai</v>
      </c>
      <c r="L3066" s="17">
        <f>IFERROR(__xludf.DUMMYFUNCTION("""COMPUTED_VALUE"""),45859.660887453705)</f>
        <v>45859.66089</v>
      </c>
      <c r="M3066" s="13"/>
      <c r="N3066" s="13" t="str">
        <f>IFERROR(__xludf.DUMMYFUNCTION("""COMPUTED_VALUE"""),"")</f>
        <v/>
      </c>
      <c r="O3066" s="13" t="str">
        <f t="shared" si="1"/>
        <v/>
      </c>
    </row>
    <row r="3067" ht="22.5" customHeight="1">
      <c r="B3067" s="13">
        <f>IFERROR(__xludf.DUMMYFUNCTION("""COMPUTED_VALUE"""),3062.0)</f>
        <v>3062</v>
      </c>
      <c r="C3067" s="13" t="str">
        <f>IFERROR(__xludf.DUMMYFUNCTION("""COMPUTED_VALUE"""),"M. 1638/ Rajabasa Pemuka")</f>
        <v>M. 1638/ Rajabasa Pemuka</v>
      </c>
      <c r="D3067" s="13" t="str">
        <f>IFERROR(__xludf.DUMMYFUNCTION("""COMPUTED_VALUE"""),"K/38/180625/1")</f>
        <v>K/38/180625/1</v>
      </c>
      <c r="E3067" s="14" t="str">
        <f>IFERROR(__xludf.DUMMYFUNCTION("""COMPUTED_VALUE"""),"Heri (BT)")</f>
        <v>Heri (BT)</v>
      </c>
      <c r="F3067" s="14" t="str">
        <f>IFERROR(__xludf.DUMMYFUNCTION("""COMPUTED_VALUE"""),"SELESAI (VIA PERMOHONAN)")</f>
        <v>SELESAI (VIA PERMOHONAN)</v>
      </c>
      <c r="G3067" s="17">
        <f>IFERROR(__xludf.DUMMYFUNCTION("""COMPUTED_VALUE"""),45859.46690414352)</f>
        <v>45859.4669</v>
      </c>
      <c r="H3067" s="14" t="str">
        <f>IFERROR(__xludf.DUMMYFUNCTION("""COMPUTED_VALUE"""),"Eci (SU)")</f>
        <v>Eci (SU)</v>
      </c>
      <c r="I3067" s="13" t="str">
        <f>IFERROR(__xludf.DUMMYFUNCTION("""COMPUTED_VALUE"""),"SELESAI (VIA PERMOHONAN)")</f>
        <v>SELESAI (VIA PERMOHONAN)</v>
      </c>
      <c r="J3067" s="17">
        <f>IFERROR(__xludf.DUMMYFUNCTION("""COMPUTED_VALUE"""),45859.660459120365)</f>
        <v>45859.66046</v>
      </c>
      <c r="K3067" s="13" t="str">
        <f>IFERROR(__xludf.DUMMYFUNCTION("""COMPUTED_VALUE"""),"Selesai")</f>
        <v>Selesai</v>
      </c>
      <c r="L3067" s="17">
        <f>IFERROR(__xludf.DUMMYFUNCTION("""COMPUTED_VALUE"""),45859.660459120365)</f>
        <v>45859.66046</v>
      </c>
      <c r="M3067" s="13"/>
      <c r="N3067" s="13" t="str">
        <f>IFERROR(__xludf.DUMMYFUNCTION("""COMPUTED_VALUE"""),"")</f>
        <v/>
      </c>
      <c r="O3067" s="13" t="str">
        <f t="shared" si="1"/>
        <v/>
      </c>
    </row>
    <row r="3068" ht="22.5" customHeight="1">
      <c r="B3068" s="13">
        <f>IFERROR(__xludf.DUMMYFUNCTION("""COMPUTED_VALUE"""),3063.0)</f>
        <v>3063</v>
      </c>
      <c r="C3068" s="13" t="str">
        <f>IFERROR(__xludf.DUMMYFUNCTION("""COMPUTED_VALUE"""),"M. 9437/ Labuhan Ratu")</f>
        <v>M. 9437/ Labuhan Ratu</v>
      </c>
      <c r="D3068" s="13" t="str">
        <f>IFERROR(__xludf.DUMMYFUNCTION("""COMPUTED_VALUE"""),"K/37/200625/1")</f>
        <v>K/37/200625/1</v>
      </c>
      <c r="E3068" s="14" t="str">
        <f>IFERROR(__xludf.DUMMYFUNCTION("""COMPUTED_VALUE"""),"Afriza (BT)")</f>
        <v>Afriza (BT)</v>
      </c>
      <c r="F3068" s="14" t="str">
        <f>IFERROR(__xludf.DUMMYFUNCTION("""COMPUTED_VALUE"""),"SELESAI (VIA PERMOHONAN)")</f>
        <v>SELESAI (VIA PERMOHONAN)</v>
      </c>
      <c r="G3068" s="17">
        <f>IFERROR(__xludf.DUMMYFUNCTION("""COMPUTED_VALUE"""),45859.67021765046)</f>
        <v>45859.67022</v>
      </c>
      <c r="H3068" s="14" t="str">
        <f>IFERROR(__xludf.DUMMYFUNCTION("""COMPUTED_VALUE"""),"Eci (SU)")</f>
        <v>Eci (SU)</v>
      </c>
      <c r="I3068" s="13" t="str">
        <f>IFERROR(__xludf.DUMMYFUNCTION("""COMPUTED_VALUE"""),"SELESAI (VIA PERMOHONAN)")</f>
        <v>SELESAI (VIA PERMOHONAN)</v>
      </c>
      <c r="J3068" s="17">
        <f>IFERROR(__xludf.DUMMYFUNCTION("""COMPUTED_VALUE"""),45860.64558285879)</f>
        <v>45860.64558</v>
      </c>
      <c r="K3068" s="13" t="str">
        <f>IFERROR(__xludf.DUMMYFUNCTION("""COMPUTED_VALUE"""),"Selesai")</f>
        <v>Selesai</v>
      </c>
      <c r="L3068" s="17">
        <f>IFERROR(__xludf.DUMMYFUNCTION("""COMPUTED_VALUE"""),45860.64558285879)</f>
        <v>45860.64558</v>
      </c>
      <c r="M3068" s="13"/>
      <c r="N3068" s="13" t="str">
        <f>IFERROR(__xludf.DUMMYFUNCTION("""COMPUTED_VALUE"""),"")</f>
        <v/>
      </c>
      <c r="O3068" s="13" t="str">
        <f t="shared" si="1"/>
        <v/>
      </c>
    </row>
    <row r="3069" ht="22.5" customHeight="1">
      <c r="B3069" s="13">
        <f>IFERROR(__xludf.DUMMYFUNCTION("""COMPUTED_VALUE"""),3064.0)</f>
        <v>3064</v>
      </c>
      <c r="C3069" s="13" t="str">
        <f>IFERROR(__xludf.DUMMYFUNCTION("""COMPUTED_VALUE"""),"M. 11085/ Sukabumi")</f>
        <v>M. 11085/ Sukabumi</v>
      </c>
      <c r="D3069" s="13" t="str">
        <f>IFERROR(__xludf.DUMMYFUNCTION("""COMPUTED_VALUE"""),"K/4/160625/1")</f>
        <v>K/4/160625/1</v>
      </c>
      <c r="E3069" s="14" t="str">
        <f>IFERROR(__xludf.DUMMYFUNCTION("""COMPUTED_VALUE"""),"Afriza (BT)")</f>
        <v>Afriza (BT)</v>
      </c>
      <c r="F3069" s="14" t="str">
        <f>IFERROR(__xludf.DUMMYFUNCTION("""COMPUTED_VALUE"""),"SELESAI (VIA PERMOHONAN)")</f>
        <v>SELESAI (VIA PERMOHONAN)</v>
      </c>
      <c r="G3069" s="17">
        <f>IFERROR(__xludf.DUMMYFUNCTION("""COMPUTED_VALUE"""),45859.67030484954)</f>
        <v>45859.6703</v>
      </c>
      <c r="H3069" s="14" t="str">
        <f>IFERROR(__xludf.DUMMYFUNCTION("""COMPUTED_VALUE"""),"Eci (SU)")</f>
        <v>Eci (SU)</v>
      </c>
      <c r="I3069" s="13" t="str">
        <f>IFERROR(__xludf.DUMMYFUNCTION("""COMPUTED_VALUE"""),"SELESAI (VIA PERMOHONAN)")</f>
        <v>SELESAI (VIA PERMOHONAN)</v>
      </c>
      <c r="J3069" s="17">
        <f>IFERROR(__xludf.DUMMYFUNCTION("""COMPUTED_VALUE"""),45860.64525306713)</f>
        <v>45860.64525</v>
      </c>
      <c r="K3069" s="13" t="str">
        <f>IFERROR(__xludf.DUMMYFUNCTION("""COMPUTED_VALUE"""),"Selesai")</f>
        <v>Selesai</v>
      </c>
      <c r="L3069" s="17">
        <f>IFERROR(__xludf.DUMMYFUNCTION("""COMPUTED_VALUE"""),45860.64525306713)</f>
        <v>45860.64525</v>
      </c>
      <c r="M3069" s="13"/>
      <c r="N3069" s="13" t="str">
        <f>IFERROR(__xludf.DUMMYFUNCTION("""COMPUTED_VALUE"""),"")</f>
        <v/>
      </c>
      <c r="O3069" s="13" t="str">
        <f t="shared" si="1"/>
        <v/>
      </c>
    </row>
    <row r="3070" ht="22.5" customHeight="1">
      <c r="B3070" s="13">
        <f>IFERROR(__xludf.DUMMYFUNCTION("""COMPUTED_VALUE"""),3065.0)</f>
        <v>3065</v>
      </c>
      <c r="C3070" s="13" t="str">
        <f>IFERROR(__xludf.DUMMYFUNCTION("""COMPUTED_VALUE"""),"M. 583/ Bumi Raya")</f>
        <v>M. 583/ Bumi Raya</v>
      </c>
      <c r="D3070" s="13" t="str">
        <f>IFERROR(__xludf.DUMMYFUNCTION("""COMPUTED_VALUE"""),"K/47/240625/1")</f>
        <v>K/47/240625/1</v>
      </c>
      <c r="E3070" s="14" t="str">
        <f>IFERROR(__xludf.DUMMYFUNCTION("""COMPUTED_VALUE"""),"Afriza (BT)")</f>
        <v>Afriza (BT)</v>
      </c>
      <c r="F3070" s="14" t="str">
        <f>IFERROR(__xludf.DUMMYFUNCTION("""COMPUTED_VALUE"""),"SELESAI (VIA PERMOHONAN)")</f>
        <v>SELESAI (VIA PERMOHONAN)</v>
      </c>
      <c r="G3070" s="17">
        <f>IFERROR(__xludf.DUMMYFUNCTION("""COMPUTED_VALUE"""),45859.670549120376)</f>
        <v>45859.67055</v>
      </c>
      <c r="H3070" s="14" t="str">
        <f>IFERROR(__xludf.DUMMYFUNCTION("""COMPUTED_VALUE"""),"Eci (SU)")</f>
        <v>Eci (SU)</v>
      </c>
      <c r="I3070" s="13" t="str">
        <f>IFERROR(__xludf.DUMMYFUNCTION("""COMPUTED_VALUE"""),"SELESAI (VIA PERMOHONAN)")</f>
        <v>SELESAI (VIA PERMOHONAN)</v>
      </c>
      <c r="J3070" s="17">
        <f>IFERROR(__xludf.DUMMYFUNCTION("""COMPUTED_VALUE"""),45860.64499465278)</f>
        <v>45860.64499</v>
      </c>
      <c r="K3070" s="13" t="str">
        <f>IFERROR(__xludf.DUMMYFUNCTION("""COMPUTED_VALUE"""),"Selesai")</f>
        <v>Selesai</v>
      </c>
      <c r="L3070" s="17">
        <f>IFERROR(__xludf.DUMMYFUNCTION("""COMPUTED_VALUE"""),45860.64499465278)</f>
        <v>45860.64499</v>
      </c>
      <c r="M3070" s="13"/>
      <c r="N3070" s="13" t="str">
        <f>IFERROR(__xludf.DUMMYFUNCTION("""COMPUTED_VALUE"""),"")</f>
        <v/>
      </c>
      <c r="O3070" s="13" t="str">
        <f t="shared" si="1"/>
        <v/>
      </c>
    </row>
    <row r="3071" ht="22.5" customHeight="1">
      <c r="B3071" s="13">
        <f>IFERROR(__xludf.DUMMYFUNCTION("""COMPUTED_VALUE"""),3066.0)</f>
        <v>3066</v>
      </c>
      <c r="C3071" s="13" t="str">
        <f>IFERROR(__xludf.DUMMYFUNCTION("""COMPUTED_VALUE"""),"M.551/PERUMNAS WAY HALIM")</f>
        <v>M.551/PERUMNAS WAY HALIM</v>
      </c>
      <c r="D3071" s="13" t="str">
        <f>IFERROR(__xludf.DUMMYFUNCTION("""COMPUTED_VALUE"""),"L/4/110725/PELATARAN")</f>
        <v>L/4/110725/PELATARAN</v>
      </c>
      <c r="E3071" s="14" t="str">
        <f>IFERROR(__xludf.DUMMYFUNCTION("""COMPUTED_VALUE"""),"Afriza (BT)")</f>
        <v>Afriza (BT)</v>
      </c>
      <c r="F3071" s="14" t="str">
        <f>IFERROR(__xludf.DUMMYFUNCTION("""COMPUTED_VALUE"""),"SELESAI (VIA PERMOHONAN)")</f>
        <v>SELESAI (VIA PERMOHONAN)</v>
      </c>
      <c r="G3071" s="17">
        <f>IFERROR(__xludf.DUMMYFUNCTION("""COMPUTED_VALUE"""),45859.67065885417)</f>
        <v>45859.67066</v>
      </c>
      <c r="H3071" s="14" t="str">
        <f>IFERROR(__xludf.DUMMYFUNCTION("""COMPUTED_VALUE"""),"Eci (SU)")</f>
        <v>Eci (SU)</v>
      </c>
      <c r="I3071" s="13" t="str">
        <f>IFERROR(__xludf.DUMMYFUNCTION("""COMPUTED_VALUE"""),"SELESAI (VIA PERMOHONAN)")</f>
        <v>SELESAI (VIA PERMOHONAN)</v>
      </c>
      <c r="J3071" s="17">
        <f>IFERROR(__xludf.DUMMYFUNCTION("""COMPUTED_VALUE"""),45860.64513104167)</f>
        <v>45860.64513</v>
      </c>
      <c r="K3071" s="13" t="str">
        <f>IFERROR(__xludf.DUMMYFUNCTION("""COMPUTED_VALUE"""),"Selesai")</f>
        <v>Selesai</v>
      </c>
      <c r="L3071" s="17">
        <f>IFERROR(__xludf.DUMMYFUNCTION("""COMPUTED_VALUE"""),45860.64513104167)</f>
        <v>45860.64513</v>
      </c>
      <c r="M3071" s="13"/>
      <c r="N3071" s="13" t="str">
        <f>IFERROR(__xludf.DUMMYFUNCTION("""COMPUTED_VALUE"""),"")</f>
        <v/>
      </c>
      <c r="O3071" s="13" t="str">
        <f t="shared" si="1"/>
        <v/>
      </c>
    </row>
    <row r="3072" ht="22.5" customHeight="1">
      <c r="B3072" s="13">
        <f>IFERROR(__xludf.DUMMYFUNCTION("""COMPUTED_VALUE"""),3067.0)</f>
        <v>3067</v>
      </c>
      <c r="C3072" s="13" t="str">
        <f>IFERROR(__xludf.DUMMYFUNCTION("""COMPUTED_VALUE"""),"B. 177/ Labuhan Ratu Raya")</f>
        <v>B. 177/ Labuhan Ratu Raya</v>
      </c>
      <c r="D3072" s="13" t="str">
        <f>IFERROR(__xludf.DUMMYFUNCTION("""COMPUTED_VALUE"""),"K/28/230625/1")</f>
        <v>K/28/230625/1</v>
      </c>
      <c r="E3072" s="14" t="str">
        <f>IFERROR(__xludf.DUMMYFUNCTION("""COMPUTED_VALUE"""),"Afriza (BT)")</f>
        <v>Afriza (BT)</v>
      </c>
      <c r="F3072" s="14" t="str">
        <f>IFERROR(__xludf.DUMMYFUNCTION("""COMPUTED_VALUE"""),"SELESAI (VIA PERMOHONAN)")</f>
        <v>SELESAI (VIA PERMOHONAN)</v>
      </c>
      <c r="G3072" s="17">
        <f>IFERROR(__xludf.DUMMYFUNCTION("""COMPUTED_VALUE"""),45859.67083886574)</f>
        <v>45859.67084</v>
      </c>
      <c r="H3072" s="14" t="str">
        <f>IFERROR(__xludf.DUMMYFUNCTION("""COMPUTED_VALUE"""),"Eci (SU)")</f>
        <v>Eci (SU)</v>
      </c>
      <c r="I3072" s="13" t="str">
        <f>IFERROR(__xludf.DUMMYFUNCTION("""COMPUTED_VALUE"""),"SELESAI (VIA PERMOHONAN)")</f>
        <v>SELESAI (VIA PERMOHONAN)</v>
      </c>
      <c r="J3072" s="17">
        <f>IFERROR(__xludf.DUMMYFUNCTION("""COMPUTED_VALUE"""),45860.64738649306)</f>
        <v>45860.64739</v>
      </c>
      <c r="K3072" s="13" t="str">
        <f>IFERROR(__xludf.DUMMYFUNCTION("""COMPUTED_VALUE"""),"Selesai")</f>
        <v>Selesai</v>
      </c>
      <c r="L3072" s="17">
        <f>IFERROR(__xludf.DUMMYFUNCTION("""COMPUTED_VALUE"""),45860.64738649306)</f>
        <v>45860.64739</v>
      </c>
      <c r="M3072" s="13"/>
      <c r="N3072" s="13" t="str">
        <f>IFERROR(__xludf.DUMMYFUNCTION("""COMPUTED_VALUE"""),"")</f>
        <v/>
      </c>
      <c r="O3072" s="13" t="str">
        <f t="shared" si="1"/>
        <v/>
      </c>
    </row>
    <row r="3073" ht="22.5" customHeight="1">
      <c r="B3073" s="13">
        <f>IFERROR(__xludf.DUMMYFUNCTION("""COMPUTED_VALUE"""),3068.0)</f>
        <v>3068</v>
      </c>
      <c r="C3073" s="13" t="str">
        <f>IFERROR(__xludf.DUMMYFUNCTION("""COMPUTED_VALUE"""),"M. 525/ Sukabumi Indah")</f>
        <v>M. 525/ Sukabumi Indah</v>
      </c>
      <c r="D3073" s="13" t="str">
        <f>IFERROR(__xludf.DUMMYFUNCTION("""COMPUTED_VALUE"""),"K/8/070725/1")</f>
        <v>K/8/070725/1</v>
      </c>
      <c r="E3073" s="14" t="str">
        <f>IFERROR(__xludf.DUMMYFUNCTION("""COMPUTED_VALUE"""),"Afriza (BT)")</f>
        <v>Afriza (BT)</v>
      </c>
      <c r="F3073" s="14" t="str">
        <f>IFERROR(__xludf.DUMMYFUNCTION("""COMPUTED_VALUE"""),"SELESAI (VIA PERMOHONAN)")</f>
        <v>SELESAI (VIA PERMOHONAN)</v>
      </c>
      <c r="G3073" s="17">
        <f>IFERROR(__xludf.DUMMYFUNCTION("""COMPUTED_VALUE"""),45859.67094216435)</f>
        <v>45859.67094</v>
      </c>
      <c r="H3073" s="14" t="str">
        <f>IFERROR(__xludf.DUMMYFUNCTION("""COMPUTED_VALUE"""),"Eci (SU)")</f>
        <v>Eci (SU)</v>
      </c>
      <c r="I3073" s="13" t="str">
        <f>IFERROR(__xludf.DUMMYFUNCTION("""COMPUTED_VALUE"""),"SELESAI (VIA PERMOHONAN)")</f>
        <v>SELESAI (VIA PERMOHONAN)</v>
      </c>
      <c r="J3073" s="17">
        <f>IFERROR(__xludf.DUMMYFUNCTION("""COMPUTED_VALUE"""),45860.64568540509)</f>
        <v>45860.64569</v>
      </c>
      <c r="K3073" s="13" t="str">
        <f>IFERROR(__xludf.DUMMYFUNCTION("""COMPUTED_VALUE"""),"Selesai")</f>
        <v>Selesai</v>
      </c>
      <c r="L3073" s="17">
        <f>IFERROR(__xludf.DUMMYFUNCTION("""COMPUTED_VALUE"""),45860.64568540509)</f>
        <v>45860.64569</v>
      </c>
      <c r="M3073" s="13"/>
      <c r="N3073" s="13" t="str">
        <f>IFERROR(__xludf.DUMMYFUNCTION("""COMPUTED_VALUE"""),"")</f>
        <v/>
      </c>
      <c r="O3073" s="13" t="str">
        <f t="shared" si="1"/>
        <v/>
      </c>
    </row>
    <row r="3074" ht="22.5" customHeight="1">
      <c r="B3074" s="13">
        <f>IFERROR(__xludf.DUMMYFUNCTION("""COMPUTED_VALUE"""),3069.0)</f>
        <v>3069</v>
      </c>
      <c r="C3074" s="13" t="str">
        <f>IFERROR(__xludf.DUMMYFUNCTION("""COMPUTED_VALUE"""),"B. 166/ Way Laga")</f>
        <v>B. 166/ Way Laga</v>
      </c>
      <c r="D3074" s="13" t="str">
        <f>IFERROR(__xludf.DUMMYFUNCTION("""COMPUTED_VALUE"""),"K/27/020725/1")</f>
        <v>K/27/020725/1</v>
      </c>
      <c r="E3074" s="14" t="str">
        <f>IFERROR(__xludf.DUMMYFUNCTION("""COMPUTED_VALUE"""),"Afriza (BT)")</f>
        <v>Afriza (BT)</v>
      </c>
      <c r="F3074" s="14" t="str">
        <f>IFERROR(__xludf.DUMMYFUNCTION("""COMPUTED_VALUE"""),"SELESAI (VIA PERMOHONAN)")</f>
        <v>SELESAI (VIA PERMOHONAN)</v>
      </c>
      <c r="G3074" s="17">
        <f>IFERROR(__xludf.DUMMYFUNCTION("""COMPUTED_VALUE"""),45859.671198738426)</f>
        <v>45859.6712</v>
      </c>
      <c r="H3074" s="14" t="str">
        <f>IFERROR(__xludf.DUMMYFUNCTION("""COMPUTED_VALUE"""),"Eci (SU)")</f>
        <v>Eci (SU)</v>
      </c>
      <c r="I3074" s="13" t="str">
        <f>IFERROR(__xludf.DUMMYFUNCTION("""COMPUTED_VALUE"""),"SELESAI (VIA PERMOHONAN)")</f>
        <v>SELESAI (VIA PERMOHONAN)</v>
      </c>
      <c r="J3074" s="17">
        <f>IFERROR(__xludf.DUMMYFUNCTION("""COMPUTED_VALUE"""),45860.6472121875)</f>
        <v>45860.64721</v>
      </c>
      <c r="K3074" s="13" t="str">
        <f>IFERROR(__xludf.DUMMYFUNCTION("""COMPUTED_VALUE"""),"Selesai")</f>
        <v>Selesai</v>
      </c>
      <c r="L3074" s="17">
        <f>IFERROR(__xludf.DUMMYFUNCTION("""COMPUTED_VALUE"""),45860.6472121875)</f>
        <v>45860.64721</v>
      </c>
      <c r="M3074" s="13"/>
      <c r="N3074" s="13" t="str">
        <f>IFERROR(__xludf.DUMMYFUNCTION("""COMPUTED_VALUE"""),"")</f>
        <v/>
      </c>
      <c r="O3074" s="13" t="str">
        <f t="shared" si="1"/>
        <v/>
      </c>
    </row>
    <row r="3075" ht="22.5" customHeight="1">
      <c r="B3075" s="13">
        <f>IFERROR(__xludf.DUMMYFUNCTION("""COMPUTED_VALUE"""),3070.0)</f>
        <v>3070</v>
      </c>
      <c r="C3075" s="13" t="str">
        <f>IFERROR(__xludf.DUMMYFUNCTION("""COMPUTED_VALUE"""),"M. 1820/ Tanjung Seneng")</f>
        <v>M. 1820/ Tanjung Seneng</v>
      </c>
      <c r="D3075" s="13" t="str">
        <f>IFERROR(__xludf.DUMMYFUNCTION("""COMPUTED_VALUE"""),"K/20/100725/2")</f>
        <v>K/20/100725/2</v>
      </c>
      <c r="E3075" s="14" t="str">
        <f>IFERROR(__xludf.DUMMYFUNCTION("""COMPUTED_VALUE"""),"Afriza (BT)")</f>
        <v>Afriza (BT)</v>
      </c>
      <c r="F3075" s="14" t="str">
        <f>IFERROR(__xludf.DUMMYFUNCTION("""COMPUTED_VALUE"""),"SELESAI (VIA PERMOHONAN)")</f>
        <v>SELESAI (VIA PERMOHONAN)</v>
      </c>
      <c r="G3075" s="17">
        <f>IFERROR(__xludf.DUMMYFUNCTION("""COMPUTED_VALUE"""),45859.67134606482)</f>
        <v>45859.67135</v>
      </c>
      <c r="H3075" s="14" t="str">
        <f>IFERROR(__xludf.DUMMYFUNCTION("""COMPUTED_VALUE"""),"Eci (SU)")</f>
        <v>Eci (SU)</v>
      </c>
      <c r="I3075" s="13" t="str">
        <f>IFERROR(__xludf.DUMMYFUNCTION("""COMPUTED_VALUE"""),"SELESAI (VIA PERMOHONAN)")</f>
        <v>SELESAI (VIA PERMOHONAN)</v>
      </c>
      <c r="J3075" s="17">
        <f>IFERROR(__xludf.DUMMYFUNCTION("""COMPUTED_VALUE"""),45860.64582289352)</f>
        <v>45860.64582</v>
      </c>
      <c r="K3075" s="13" t="str">
        <f>IFERROR(__xludf.DUMMYFUNCTION("""COMPUTED_VALUE"""),"Selesai")</f>
        <v>Selesai</v>
      </c>
      <c r="L3075" s="17">
        <f>IFERROR(__xludf.DUMMYFUNCTION("""COMPUTED_VALUE"""),45860.64582289352)</f>
        <v>45860.64582</v>
      </c>
      <c r="M3075" s="13"/>
      <c r="N3075" s="13" t="str">
        <f>IFERROR(__xludf.DUMMYFUNCTION("""COMPUTED_VALUE"""),"")</f>
        <v/>
      </c>
      <c r="O3075" s="13" t="str">
        <f t="shared" si="1"/>
        <v/>
      </c>
    </row>
    <row r="3076" ht="22.5" customHeight="1">
      <c r="B3076" s="13">
        <f>IFERROR(__xludf.DUMMYFUNCTION("""COMPUTED_VALUE"""),3071.0)</f>
        <v>3071</v>
      </c>
      <c r="C3076" s="13" t="str">
        <f>IFERROR(__xludf.DUMMYFUNCTION("""COMPUTED_VALUE"""),"M. 941/ Batu Putuk")</f>
        <v>M. 941/ Batu Putuk</v>
      </c>
      <c r="D3076" s="13" t="str">
        <f>IFERROR(__xludf.DUMMYFUNCTION("""COMPUTED_VALUE"""),"K/25/070725/2")</f>
        <v>K/25/070725/2</v>
      </c>
      <c r="E3076" s="14" t="str">
        <f>IFERROR(__xludf.DUMMYFUNCTION("""COMPUTED_VALUE"""),"Afriza (BT)")</f>
        <v>Afriza (BT)</v>
      </c>
      <c r="F3076" s="14" t="str">
        <f>IFERROR(__xludf.DUMMYFUNCTION("""COMPUTED_VALUE"""),"SELESAI (VIA PERMOHONAN)")</f>
        <v>SELESAI (VIA PERMOHONAN)</v>
      </c>
      <c r="G3076" s="17">
        <f>IFERROR(__xludf.DUMMYFUNCTION("""COMPUTED_VALUE"""),45859.67141512732)</f>
        <v>45859.67142</v>
      </c>
      <c r="H3076" s="14" t="str">
        <f>IFERROR(__xludf.DUMMYFUNCTION("""COMPUTED_VALUE"""),"Eci (SU)")</f>
        <v>Eci (SU)</v>
      </c>
      <c r="I3076" s="13" t="str">
        <f>IFERROR(__xludf.DUMMYFUNCTION("""COMPUTED_VALUE"""),"SELESAI (VIA PERMOHONAN)")</f>
        <v>SELESAI (VIA PERMOHONAN)</v>
      </c>
      <c r="J3076" s="17">
        <f>IFERROR(__xludf.DUMMYFUNCTION("""COMPUTED_VALUE"""),45860.64602800926)</f>
        <v>45860.64603</v>
      </c>
      <c r="K3076" s="13" t="str">
        <f>IFERROR(__xludf.DUMMYFUNCTION("""COMPUTED_VALUE"""),"Selesai")</f>
        <v>Selesai</v>
      </c>
      <c r="L3076" s="17">
        <f>IFERROR(__xludf.DUMMYFUNCTION("""COMPUTED_VALUE"""),45860.64602800926)</f>
        <v>45860.64603</v>
      </c>
      <c r="M3076" s="13"/>
      <c r="N3076" s="13" t="str">
        <f>IFERROR(__xludf.DUMMYFUNCTION("""COMPUTED_VALUE"""),"")</f>
        <v/>
      </c>
      <c r="O3076" s="13" t="str">
        <f t="shared" si="1"/>
        <v/>
      </c>
    </row>
    <row r="3077" ht="22.5" customHeight="1">
      <c r="B3077" s="13">
        <f>IFERROR(__xludf.DUMMYFUNCTION("""COMPUTED_VALUE"""),3072.0)</f>
        <v>3072</v>
      </c>
      <c r="C3077" s="13" t="str">
        <f>IFERROR(__xludf.DUMMYFUNCTION("""COMPUTED_VALUE"""),"M. 1616/ Rajabasa Nunyai")</f>
        <v>M. 1616/ Rajabasa Nunyai</v>
      </c>
      <c r="D3077" s="13" t="str">
        <f>IFERROR(__xludf.DUMMYFUNCTION("""COMPUTED_VALUE"""),"K/18/110725/1")</f>
        <v>K/18/110725/1</v>
      </c>
      <c r="E3077" s="14" t="str">
        <f>IFERROR(__xludf.DUMMYFUNCTION("""COMPUTED_VALUE"""),"Afriza (BT)")</f>
        <v>Afriza (BT)</v>
      </c>
      <c r="F3077" s="14" t="str">
        <f>IFERROR(__xludf.DUMMYFUNCTION("""COMPUTED_VALUE"""),"SELESAI (VIA PERMOHONAN)")</f>
        <v>SELESAI (VIA PERMOHONAN)</v>
      </c>
      <c r="G3077" s="17">
        <f>IFERROR(__xludf.DUMMYFUNCTION("""COMPUTED_VALUE"""),45859.67155950231)</f>
        <v>45859.67156</v>
      </c>
      <c r="H3077" s="14" t="str">
        <f>IFERROR(__xludf.DUMMYFUNCTION("""COMPUTED_VALUE"""),"Eci (SU)")</f>
        <v>Eci (SU)</v>
      </c>
      <c r="I3077" s="13" t="str">
        <f>IFERROR(__xludf.DUMMYFUNCTION("""COMPUTED_VALUE"""),"SELESAI (VIA PERMOHONAN)")</f>
        <v>SELESAI (VIA PERMOHONAN)</v>
      </c>
      <c r="J3077" s="17">
        <f>IFERROR(__xludf.DUMMYFUNCTION("""COMPUTED_VALUE"""),45860.64619155093)</f>
        <v>45860.64619</v>
      </c>
      <c r="K3077" s="13" t="str">
        <f>IFERROR(__xludf.DUMMYFUNCTION("""COMPUTED_VALUE"""),"Selesai")</f>
        <v>Selesai</v>
      </c>
      <c r="L3077" s="17">
        <f>IFERROR(__xludf.DUMMYFUNCTION("""COMPUTED_VALUE"""),45860.64619155093)</f>
        <v>45860.64619</v>
      </c>
      <c r="M3077" s="13"/>
      <c r="N3077" s="13" t="str">
        <f>IFERROR(__xludf.DUMMYFUNCTION("""COMPUTED_VALUE"""),"")</f>
        <v/>
      </c>
      <c r="O3077" s="13" t="str">
        <f t="shared" si="1"/>
        <v/>
      </c>
    </row>
    <row r="3078" ht="22.5" customHeight="1">
      <c r="B3078" s="13">
        <f>IFERROR(__xludf.DUMMYFUNCTION("""COMPUTED_VALUE"""),3073.0)</f>
        <v>3073</v>
      </c>
      <c r="C3078" s="13" t="str">
        <f>IFERROR(__xludf.DUMMYFUNCTION("""COMPUTED_VALUE"""),"M. 290/ Sukaraja")</f>
        <v>M. 290/ Sukaraja</v>
      </c>
      <c r="D3078" s="13" t="str">
        <f>IFERROR(__xludf.DUMMYFUNCTION("""COMPUTED_VALUE"""),"K/39/080525/1")</f>
        <v>K/39/080525/1</v>
      </c>
      <c r="E3078" s="14" t="str">
        <f>IFERROR(__xludf.DUMMYFUNCTION("""COMPUTED_VALUE"""),"Heri (BT)")</f>
        <v>Heri (BT)</v>
      </c>
      <c r="F3078" s="14" t="str">
        <f>IFERROR(__xludf.DUMMYFUNCTION("""COMPUTED_VALUE"""),"SELESAI (VIA PERMOHONAN)")</f>
        <v>SELESAI (VIA PERMOHONAN)</v>
      </c>
      <c r="G3078" s="17">
        <f>IFERROR(__xludf.DUMMYFUNCTION("""COMPUTED_VALUE"""),45860.4802590162)</f>
        <v>45860.48026</v>
      </c>
      <c r="H3078" s="14" t="str">
        <f>IFERROR(__xludf.DUMMYFUNCTION("""COMPUTED_VALUE"""),"Eci (SU)")</f>
        <v>Eci (SU)</v>
      </c>
      <c r="I3078" s="13" t="str">
        <f>IFERROR(__xludf.DUMMYFUNCTION("""COMPUTED_VALUE"""),"SELESAI (VIA PERMOHONAN)")</f>
        <v>SELESAI (VIA PERMOHONAN)</v>
      </c>
      <c r="J3078" s="17">
        <f>IFERROR(__xludf.DUMMYFUNCTION("""COMPUTED_VALUE"""),45860.644468495375)</f>
        <v>45860.64447</v>
      </c>
      <c r="K3078" s="13" t="str">
        <f>IFERROR(__xludf.DUMMYFUNCTION("""COMPUTED_VALUE"""),"Selesai")</f>
        <v>Selesai</v>
      </c>
      <c r="L3078" s="17">
        <f>IFERROR(__xludf.DUMMYFUNCTION("""COMPUTED_VALUE"""),45860.644468495375)</f>
        <v>45860.64447</v>
      </c>
      <c r="M3078" s="13"/>
      <c r="N3078" s="13" t="str">
        <f>IFERROR(__xludf.DUMMYFUNCTION("""COMPUTED_VALUE"""),"")</f>
        <v/>
      </c>
      <c r="O3078" s="13" t="str">
        <f t="shared" si="1"/>
        <v/>
      </c>
    </row>
    <row r="3079" ht="22.5" customHeight="1">
      <c r="B3079" s="13">
        <f>IFERROR(__xludf.DUMMYFUNCTION("""COMPUTED_VALUE"""),3074.0)</f>
        <v>3074</v>
      </c>
      <c r="C3079" s="13" t="str">
        <f>IFERROR(__xludf.DUMMYFUNCTION("""COMPUTED_VALUE"""),"M. 178/ Kaliawi Persada")</f>
        <v>M. 178/ Kaliawi Persada</v>
      </c>
      <c r="D3079" s="13" t="str">
        <f>IFERROR(__xludf.DUMMYFUNCTION("""COMPUTED_VALUE"""),"K/25/190525/1")</f>
        <v>K/25/190525/1</v>
      </c>
      <c r="E3079" s="14" t="str">
        <f>IFERROR(__xludf.DUMMYFUNCTION("""COMPUTED_VALUE"""),"Heri (BT)")</f>
        <v>Heri (BT)</v>
      </c>
      <c r="F3079" s="14" t="str">
        <f>IFERROR(__xludf.DUMMYFUNCTION("""COMPUTED_VALUE"""),"SELESAI (VIA PERMOHONAN)")</f>
        <v>SELESAI (VIA PERMOHONAN)</v>
      </c>
      <c r="G3079" s="17">
        <f>IFERROR(__xludf.DUMMYFUNCTION("""COMPUTED_VALUE"""),45860.48061113426)</f>
        <v>45860.48061</v>
      </c>
      <c r="H3079" s="14" t="str">
        <f>IFERROR(__xludf.DUMMYFUNCTION("""COMPUTED_VALUE"""),"Eci (SU)")</f>
        <v>Eci (SU)</v>
      </c>
      <c r="I3079" s="13" t="str">
        <f>IFERROR(__xludf.DUMMYFUNCTION("""COMPUTED_VALUE"""),"SELESAI (VIA PERMOHONAN)")</f>
        <v>SELESAI (VIA PERMOHONAN)</v>
      </c>
      <c r="J3079" s="17">
        <f>IFERROR(__xludf.DUMMYFUNCTION("""COMPUTED_VALUE"""),45861.42848796296)</f>
        <v>45861.42849</v>
      </c>
      <c r="K3079" s="13" t="str">
        <f>IFERROR(__xludf.DUMMYFUNCTION("""COMPUTED_VALUE"""),"Selesai")</f>
        <v>Selesai</v>
      </c>
      <c r="L3079" s="17">
        <f>IFERROR(__xludf.DUMMYFUNCTION("""COMPUTED_VALUE"""),45861.42848796296)</f>
        <v>45861.42849</v>
      </c>
      <c r="M3079" s="13"/>
      <c r="N3079" s="13" t="str">
        <f>IFERROR(__xludf.DUMMYFUNCTION("""COMPUTED_VALUE"""),"")</f>
        <v/>
      </c>
      <c r="O3079" s="13" t="str">
        <f t="shared" si="1"/>
        <v/>
      </c>
    </row>
    <row r="3080" ht="22.5" customHeight="1">
      <c r="B3080" s="13">
        <f>IFERROR(__xludf.DUMMYFUNCTION("""COMPUTED_VALUE"""),3075.0)</f>
        <v>3075</v>
      </c>
      <c r="C3080" s="13" t="str">
        <f>IFERROR(__xludf.DUMMYFUNCTION("""COMPUTED_VALUE"""),"M. 5576/ way kandis")</f>
        <v>M. 5576/ way kandis</v>
      </c>
      <c r="D3080" s="13" t="str">
        <f>IFERROR(__xludf.DUMMYFUNCTION("""COMPUTED_VALUE"""),"K/11/110725/2")</f>
        <v>K/11/110725/2</v>
      </c>
      <c r="E3080" s="14" t="str">
        <f>IFERROR(__xludf.DUMMYFUNCTION("""COMPUTED_VALUE"""),"Heri (BT)")</f>
        <v>Heri (BT)</v>
      </c>
      <c r="F3080" s="14" t="str">
        <f>IFERROR(__xludf.DUMMYFUNCTION("""COMPUTED_VALUE"""),"SELESAI (VIA PERMOHONAN)")</f>
        <v>SELESAI (VIA PERMOHONAN)</v>
      </c>
      <c r="G3080" s="17">
        <f>IFERROR(__xludf.DUMMYFUNCTION("""COMPUTED_VALUE"""),45860.48166240741)</f>
        <v>45860.48166</v>
      </c>
      <c r="H3080" s="14" t="str">
        <f>IFERROR(__xludf.DUMMYFUNCTION("""COMPUTED_VALUE"""),"Eci (SU)")</f>
        <v>Eci (SU)</v>
      </c>
      <c r="I3080" s="13" t="str">
        <f>IFERROR(__xludf.DUMMYFUNCTION("""COMPUTED_VALUE"""),"SELESAI (VIA PERMOHONAN)")</f>
        <v>SELESAI (VIA PERMOHONAN)</v>
      </c>
      <c r="J3080" s="17">
        <f>IFERROR(__xludf.DUMMYFUNCTION("""COMPUTED_VALUE"""),45860.64435258102)</f>
        <v>45860.64435</v>
      </c>
      <c r="K3080" s="13" t="str">
        <f>IFERROR(__xludf.DUMMYFUNCTION("""COMPUTED_VALUE"""),"Selesai")</f>
        <v>Selesai</v>
      </c>
      <c r="L3080" s="17">
        <f>IFERROR(__xludf.DUMMYFUNCTION("""COMPUTED_VALUE"""),45860.64435258102)</f>
        <v>45860.64435</v>
      </c>
      <c r="M3080" s="13"/>
      <c r="N3080" s="13" t="str">
        <f>IFERROR(__xludf.DUMMYFUNCTION("""COMPUTED_VALUE"""),"")</f>
        <v/>
      </c>
      <c r="O3080" s="13" t="str">
        <f t="shared" si="1"/>
        <v/>
      </c>
    </row>
    <row r="3081" ht="22.5" customHeight="1">
      <c r="B3081" s="13">
        <f>IFERROR(__xludf.DUMMYFUNCTION("""COMPUTED_VALUE"""),3076.0)</f>
        <v>3076</v>
      </c>
      <c r="C3081" s="13" t="str">
        <f>IFERROR(__xludf.DUMMYFUNCTION("""COMPUTED_VALUE"""),"M. 596/ Korpri Raya")</f>
        <v>M. 596/ Korpri Raya</v>
      </c>
      <c r="D3081" s="13" t="str">
        <f>IFERROR(__xludf.DUMMYFUNCTION("""COMPUTED_VALUE"""),"K/3/040725/1")</f>
        <v>K/3/040725/1</v>
      </c>
      <c r="E3081" s="14" t="str">
        <f>IFERROR(__xludf.DUMMYFUNCTION("""COMPUTED_VALUE"""),"Heri (BT)")</f>
        <v>Heri (BT)</v>
      </c>
      <c r="F3081" s="14" t="str">
        <f>IFERROR(__xludf.DUMMYFUNCTION("""COMPUTED_VALUE"""),"SELESAI (VIA PERMOHONAN)")</f>
        <v>SELESAI (VIA PERMOHONAN)</v>
      </c>
      <c r="G3081" s="17">
        <f>IFERROR(__xludf.DUMMYFUNCTION("""COMPUTED_VALUE"""),45860.48166240741)</f>
        <v>45860.48166</v>
      </c>
      <c r="H3081" s="14" t="str">
        <f>IFERROR(__xludf.DUMMYFUNCTION("""COMPUTED_VALUE"""),"Eci (SU)")</f>
        <v>Eci (SU)</v>
      </c>
      <c r="I3081" s="13" t="str">
        <f>IFERROR(__xludf.DUMMYFUNCTION("""COMPUTED_VALUE"""),"SELESAI (VIA PERMOHONAN)")</f>
        <v>SELESAI (VIA PERMOHONAN)</v>
      </c>
      <c r="J3081" s="17">
        <f>IFERROR(__xludf.DUMMYFUNCTION("""COMPUTED_VALUE"""),45861.428561759254)</f>
        <v>45861.42856</v>
      </c>
      <c r="K3081" s="13" t="str">
        <f>IFERROR(__xludf.DUMMYFUNCTION("""COMPUTED_VALUE"""),"Selesai")</f>
        <v>Selesai</v>
      </c>
      <c r="L3081" s="17">
        <f>IFERROR(__xludf.DUMMYFUNCTION("""COMPUTED_VALUE"""),45861.428561759254)</f>
        <v>45861.42856</v>
      </c>
      <c r="M3081" s="13"/>
      <c r="N3081" s="13" t="str">
        <f>IFERROR(__xludf.DUMMYFUNCTION("""COMPUTED_VALUE"""),"")</f>
        <v/>
      </c>
      <c r="O3081" s="13" t="str">
        <f t="shared" si="1"/>
        <v/>
      </c>
    </row>
    <row r="3082" ht="22.5" customHeight="1">
      <c r="B3082" s="13">
        <f>IFERROR(__xludf.DUMMYFUNCTION("""COMPUTED_VALUE"""),3077.0)</f>
        <v>3077</v>
      </c>
      <c r="C3082" s="13" t="str">
        <f>IFERROR(__xludf.DUMMYFUNCTION("""COMPUTED_VALUE"""),"B. 146/ Gunung Sari")</f>
        <v>B. 146/ Gunung Sari</v>
      </c>
      <c r="D3082" s="13" t="str">
        <f>IFERROR(__xludf.DUMMYFUNCTION("""COMPUTED_VALUE"""),"K/10/100725/2")</f>
        <v>K/10/100725/2</v>
      </c>
      <c r="E3082" s="14" t="str">
        <f>IFERROR(__xludf.DUMMYFUNCTION("""COMPUTED_VALUE"""),"Heri (BT)")</f>
        <v>Heri (BT)</v>
      </c>
      <c r="F3082" s="14" t="str">
        <f>IFERROR(__xludf.DUMMYFUNCTION("""COMPUTED_VALUE"""),"SELESAI (VIA PERMOHONAN)")</f>
        <v>SELESAI (VIA PERMOHONAN)</v>
      </c>
      <c r="G3082" s="17">
        <f>IFERROR(__xludf.DUMMYFUNCTION("""COMPUTED_VALUE"""),45860.482284004625)</f>
        <v>45860.48228</v>
      </c>
      <c r="H3082" s="14" t="str">
        <f>IFERROR(__xludf.DUMMYFUNCTION("""COMPUTED_VALUE"""),"Eci (SU)")</f>
        <v>Eci (SU)</v>
      </c>
      <c r="I3082" s="13" t="str">
        <f>IFERROR(__xludf.DUMMYFUNCTION("""COMPUTED_VALUE"""),"SELESAI (VIA PERMOHONAN)")</f>
        <v>SELESAI (VIA PERMOHONAN)</v>
      </c>
      <c r="J3082" s="17">
        <f>IFERROR(__xludf.DUMMYFUNCTION("""COMPUTED_VALUE"""),45861.42867113426)</f>
        <v>45861.42867</v>
      </c>
      <c r="K3082" s="13" t="str">
        <f>IFERROR(__xludf.DUMMYFUNCTION("""COMPUTED_VALUE"""),"Selesai")</f>
        <v>Selesai</v>
      </c>
      <c r="L3082" s="17">
        <f>IFERROR(__xludf.DUMMYFUNCTION("""COMPUTED_VALUE"""),45861.42867113426)</f>
        <v>45861.42867</v>
      </c>
      <c r="M3082" s="13"/>
      <c r="N3082" s="13" t="str">
        <f>IFERROR(__xludf.DUMMYFUNCTION("""COMPUTED_VALUE"""),"")</f>
        <v/>
      </c>
      <c r="O3082" s="13" t="str">
        <f t="shared" si="1"/>
        <v/>
      </c>
    </row>
    <row r="3083" ht="22.5" customHeight="1">
      <c r="B3083" s="13">
        <f>IFERROR(__xludf.DUMMYFUNCTION("""COMPUTED_VALUE"""),3078.0)</f>
        <v>3078</v>
      </c>
      <c r="C3083" s="13" t="str">
        <f>IFERROR(__xludf.DUMMYFUNCTION("""COMPUTED_VALUE"""),"M. 12339/ Jagabaya II")</f>
        <v>M. 12339/ Jagabaya II</v>
      </c>
      <c r="D3083" s="13" t="str">
        <f>IFERROR(__xludf.DUMMYFUNCTION("""COMPUTED_VALUE"""),"K/12/100725/4")</f>
        <v>K/12/100725/4</v>
      </c>
      <c r="E3083" s="14" t="str">
        <f>IFERROR(__xludf.DUMMYFUNCTION("""COMPUTED_VALUE"""),"Heri (BT)")</f>
        <v>Heri (BT)</v>
      </c>
      <c r="F3083" s="14" t="str">
        <f>IFERROR(__xludf.DUMMYFUNCTION("""COMPUTED_VALUE"""),"SELESAI (VIA PERMOHONAN)")</f>
        <v>SELESAI (VIA PERMOHONAN)</v>
      </c>
      <c r="G3083" s="17">
        <f>IFERROR(__xludf.DUMMYFUNCTION("""COMPUTED_VALUE"""),45860.4824269213)</f>
        <v>45860.48243</v>
      </c>
      <c r="H3083" s="14" t="str">
        <f>IFERROR(__xludf.DUMMYFUNCTION("""COMPUTED_VALUE"""),"Eci (SU)")</f>
        <v>Eci (SU)</v>
      </c>
      <c r="I3083" s="13" t="str">
        <f>IFERROR(__xludf.DUMMYFUNCTION("""COMPUTED_VALUE"""),"SELESAI (VIA PERMOHONAN)")</f>
        <v>SELESAI (VIA PERMOHONAN)</v>
      </c>
      <c r="J3083" s="17">
        <f>IFERROR(__xludf.DUMMYFUNCTION("""COMPUTED_VALUE"""),45861.428406527775)</f>
        <v>45861.42841</v>
      </c>
      <c r="K3083" s="13" t="str">
        <f>IFERROR(__xludf.DUMMYFUNCTION("""COMPUTED_VALUE"""),"Selesai")</f>
        <v>Selesai</v>
      </c>
      <c r="L3083" s="17">
        <f>IFERROR(__xludf.DUMMYFUNCTION("""COMPUTED_VALUE"""),45861.428406527775)</f>
        <v>45861.42841</v>
      </c>
      <c r="M3083" s="13"/>
      <c r="N3083" s="13" t="str">
        <f>IFERROR(__xludf.DUMMYFUNCTION("""COMPUTED_VALUE"""),"")</f>
        <v/>
      </c>
      <c r="O3083" s="13" t="str">
        <f t="shared" si="1"/>
        <v/>
      </c>
    </row>
    <row r="3084" ht="22.5" customHeight="1">
      <c r="B3084" s="13">
        <f>IFERROR(__xludf.DUMMYFUNCTION("""COMPUTED_VALUE"""),3079.0)</f>
        <v>3079</v>
      </c>
      <c r="C3084" s="13" t="str">
        <f>IFERROR(__xludf.DUMMYFUNCTION("""COMPUTED_VALUE"""),"M.2696/SUKARAME BARU")</f>
        <v>M.2696/SUKARAME BARU</v>
      </c>
      <c r="D3084" s="13" t="str">
        <f>IFERROR(__xludf.DUMMYFUNCTION("""COMPUTED_VALUE"""),"K/6/090725/1")</f>
        <v>K/6/090725/1</v>
      </c>
      <c r="E3084" s="14" t="str">
        <f>IFERROR(__xludf.DUMMYFUNCTION("""COMPUTED_VALUE"""),"Heri (BT)")</f>
        <v>Heri (BT)</v>
      </c>
      <c r="F3084" s="14" t="str">
        <f>IFERROR(__xludf.DUMMYFUNCTION("""COMPUTED_VALUE"""),"SELESAI (VIA PERMOHONAN)")</f>
        <v>SELESAI (VIA PERMOHONAN)</v>
      </c>
      <c r="G3084" s="17">
        <f>IFERROR(__xludf.DUMMYFUNCTION("""COMPUTED_VALUE"""),45860.48269466435)</f>
        <v>45860.48269</v>
      </c>
      <c r="H3084" s="14" t="str">
        <f>IFERROR(__xludf.DUMMYFUNCTION("""COMPUTED_VALUE"""),"Eci (SU)")</f>
        <v>Eci (SU)</v>
      </c>
      <c r="I3084" s="13" t="str">
        <f>IFERROR(__xludf.DUMMYFUNCTION("""COMPUTED_VALUE"""),"SELESAI (VIA PERMOHONAN)")</f>
        <v>SELESAI (VIA PERMOHONAN)</v>
      </c>
      <c r="J3084" s="17">
        <f>IFERROR(__xludf.DUMMYFUNCTION("""COMPUTED_VALUE"""),45860.64418775463)</f>
        <v>45860.64419</v>
      </c>
      <c r="K3084" s="13" t="str">
        <f>IFERROR(__xludf.DUMMYFUNCTION("""COMPUTED_VALUE"""),"Selesai")</f>
        <v>Selesai</v>
      </c>
      <c r="L3084" s="17">
        <f>IFERROR(__xludf.DUMMYFUNCTION("""COMPUTED_VALUE"""),45860.64418775463)</f>
        <v>45860.64419</v>
      </c>
      <c r="M3084" s="13"/>
      <c r="N3084" s="13" t="str">
        <f>IFERROR(__xludf.DUMMYFUNCTION("""COMPUTED_VALUE"""),"")</f>
        <v/>
      </c>
      <c r="O3084" s="13" t="str">
        <f t="shared" si="1"/>
        <v/>
      </c>
    </row>
    <row r="3085" ht="22.5" customHeight="1">
      <c r="B3085" s="13">
        <f>IFERROR(__xludf.DUMMYFUNCTION("""COMPUTED_VALUE"""),3080.0)</f>
        <v>3080</v>
      </c>
      <c r="C3085" s="13" t="str">
        <f>IFERROR(__xludf.DUMMYFUNCTION("""COMPUTED_VALUE"""),"B. 1497/ Kemiling Permai")</f>
        <v>B. 1497/ Kemiling Permai</v>
      </c>
      <c r="D3085" s="13" t="str">
        <f>IFERROR(__xludf.DUMMYFUNCTION("""COMPUTED_VALUE"""),"K/18/100725/1")</f>
        <v>K/18/100725/1</v>
      </c>
      <c r="E3085" s="14" t="str">
        <f>IFERROR(__xludf.DUMMYFUNCTION("""COMPUTED_VALUE"""),"Heri (BT)")</f>
        <v>Heri (BT)</v>
      </c>
      <c r="F3085" s="14" t="str">
        <f>IFERROR(__xludf.DUMMYFUNCTION("""COMPUTED_VALUE"""),"SELESAI (VIA PERMOHONAN)")</f>
        <v>SELESAI (VIA PERMOHONAN)</v>
      </c>
      <c r="G3085" s="17">
        <f>IFERROR(__xludf.DUMMYFUNCTION("""COMPUTED_VALUE"""),45860.48306815972)</f>
        <v>45860.48307</v>
      </c>
      <c r="H3085" s="14" t="str">
        <f>IFERROR(__xludf.DUMMYFUNCTION("""COMPUTED_VALUE"""),"Eci (SU)")</f>
        <v>Eci (SU)</v>
      </c>
      <c r="I3085" s="13" t="str">
        <f>IFERROR(__xludf.DUMMYFUNCTION("""COMPUTED_VALUE"""),"SELESAI (VIA PERMOHONAN)")</f>
        <v>SELESAI (VIA PERMOHONAN)</v>
      </c>
      <c r="J3085" s="17">
        <f>IFERROR(__xludf.DUMMYFUNCTION("""COMPUTED_VALUE"""),45861.42785826389)</f>
        <v>45861.42786</v>
      </c>
      <c r="K3085" s="13" t="str">
        <f>IFERROR(__xludf.DUMMYFUNCTION("""COMPUTED_VALUE"""),"Selesai")</f>
        <v>Selesai</v>
      </c>
      <c r="L3085" s="17">
        <f>IFERROR(__xludf.DUMMYFUNCTION("""COMPUTED_VALUE"""),45861.42785826389)</f>
        <v>45861.42786</v>
      </c>
      <c r="M3085" s="13"/>
      <c r="N3085" s="13" t="str">
        <f>IFERROR(__xludf.DUMMYFUNCTION("""COMPUTED_VALUE"""),"")</f>
        <v/>
      </c>
      <c r="O3085" s="13" t="str">
        <f t="shared" si="1"/>
        <v/>
      </c>
    </row>
    <row r="3086" ht="22.5" customHeight="1">
      <c r="B3086" s="13">
        <f>IFERROR(__xludf.DUMMYFUNCTION("""COMPUTED_VALUE"""),3081.0)</f>
        <v>3081</v>
      </c>
      <c r="C3086" s="13" t="str">
        <f>IFERROR(__xludf.DUMMYFUNCTION("""COMPUTED_VALUE"""),"M. 256/ Gunung Mas")</f>
        <v>M. 256/ Gunung Mas</v>
      </c>
      <c r="D3086" s="13" t="str">
        <f>IFERROR(__xludf.DUMMYFUNCTION("""COMPUTED_VALUE"""),"K/13/110725/1")</f>
        <v>K/13/110725/1</v>
      </c>
      <c r="E3086" s="14" t="str">
        <f>IFERROR(__xludf.DUMMYFUNCTION("""COMPUTED_VALUE"""),"Heri (BT)")</f>
        <v>Heri (BT)</v>
      </c>
      <c r="F3086" s="14" t="str">
        <f>IFERROR(__xludf.DUMMYFUNCTION("""COMPUTED_VALUE"""),"SELESAI (VIA PERMOHONAN)")</f>
        <v>SELESAI (VIA PERMOHONAN)</v>
      </c>
      <c r="G3086" s="17">
        <f>IFERROR(__xludf.DUMMYFUNCTION("""COMPUTED_VALUE"""),45860.48329443287)</f>
        <v>45860.48329</v>
      </c>
      <c r="H3086" s="14" t="str">
        <f>IFERROR(__xludf.DUMMYFUNCTION("""COMPUTED_VALUE"""),"Eci (SU)")</f>
        <v>Eci (SU)</v>
      </c>
      <c r="I3086" s="13" t="str">
        <f>IFERROR(__xludf.DUMMYFUNCTION("""COMPUTED_VALUE"""),"SELESAI (VIA PERMOHONAN)")</f>
        <v>SELESAI (VIA PERMOHONAN)</v>
      </c>
      <c r="J3086" s="17">
        <f>IFERROR(__xludf.DUMMYFUNCTION("""COMPUTED_VALUE"""),45861.42868618056)</f>
        <v>45861.42869</v>
      </c>
      <c r="K3086" s="13" t="str">
        <f>IFERROR(__xludf.DUMMYFUNCTION("""COMPUTED_VALUE"""),"Selesai")</f>
        <v>Selesai</v>
      </c>
      <c r="L3086" s="17">
        <f>IFERROR(__xludf.DUMMYFUNCTION("""COMPUTED_VALUE"""),45861.42868618056)</f>
        <v>45861.42869</v>
      </c>
      <c r="M3086" s="13"/>
      <c r="N3086" s="13" t="str">
        <f>IFERROR(__xludf.DUMMYFUNCTION("""COMPUTED_VALUE"""),"")</f>
        <v/>
      </c>
      <c r="O3086" s="13" t="str">
        <f t="shared" si="1"/>
        <v/>
      </c>
    </row>
    <row r="3087" ht="22.5" customHeight="1">
      <c r="B3087" s="13">
        <f>IFERROR(__xludf.DUMMYFUNCTION("""COMPUTED_VALUE"""),3082.0)</f>
        <v>3082</v>
      </c>
      <c r="C3087" s="13" t="str">
        <f>IFERROR(__xludf.DUMMYFUNCTION("""COMPUTED_VALUE"""),"M. 424/ Bumi Kedamaian")</f>
        <v>M. 424/ Bumi Kedamaian</v>
      </c>
      <c r="D3087" s="13" t="str">
        <f>IFERROR(__xludf.DUMMYFUNCTION("""COMPUTED_VALUE"""),"K/14/110725/2")</f>
        <v>K/14/110725/2</v>
      </c>
      <c r="E3087" s="14" t="str">
        <f>IFERROR(__xludf.DUMMYFUNCTION("""COMPUTED_VALUE"""),"Heri (BT)")</f>
        <v>Heri (BT)</v>
      </c>
      <c r="F3087" s="14" t="str">
        <f>IFERROR(__xludf.DUMMYFUNCTION("""COMPUTED_VALUE"""),"SELESAI (VIA PERMOHONAN)")</f>
        <v>SELESAI (VIA PERMOHONAN)</v>
      </c>
      <c r="G3087" s="17">
        <f>IFERROR(__xludf.DUMMYFUNCTION("""COMPUTED_VALUE"""),45860.483579120366)</f>
        <v>45860.48358</v>
      </c>
      <c r="H3087" s="14" t="str">
        <f>IFERROR(__xludf.DUMMYFUNCTION("""COMPUTED_VALUE"""),"Eci (SU)")</f>
        <v>Eci (SU)</v>
      </c>
      <c r="I3087" s="13" t="str">
        <f>IFERROR(__xludf.DUMMYFUNCTION("""COMPUTED_VALUE"""),"SELESAI (VIA PERMOHONAN)")</f>
        <v>SELESAI (VIA PERMOHONAN)</v>
      </c>
      <c r="J3087" s="17">
        <f>IFERROR(__xludf.DUMMYFUNCTION("""COMPUTED_VALUE"""),45860.64402224537)</f>
        <v>45860.64402</v>
      </c>
      <c r="K3087" s="13" t="str">
        <f>IFERROR(__xludf.DUMMYFUNCTION("""COMPUTED_VALUE"""),"Selesai")</f>
        <v>Selesai</v>
      </c>
      <c r="L3087" s="17">
        <f>IFERROR(__xludf.DUMMYFUNCTION("""COMPUTED_VALUE"""),45860.64402224537)</f>
        <v>45860.64402</v>
      </c>
      <c r="M3087" s="13"/>
      <c r="N3087" s="13" t="str">
        <f>IFERROR(__xludf.DUMMYFUNCTION("""COMPUTED_VALUE"""),"")</f>
        <v/>
      </c>
      <c r="O3087" s="13" t="str">
        <f t="shared" si="1"/>
        <v/>
      </c>
    </row>
    <row r="3088" ht="22.5" customHeight="1">
      <c r="B3088" s="13">
        <f>IFERROR(__xludf.DUMMYFUNCTION("""COMPUTED_VALUE"""),3083.0)</f>
        <v>3083</v>
      </c>
      <c r="C3088" s="13" t="str">
        <f>IFERROR(__xludf.DUMMYFUNCTION("""COMPUTED_VALUE"""),"B.666/ Kemiling Permai")</f>
        <v>B.666/ Kemiling Permai</v>
      </c>
      <c r="D3088" s="13" t="str">
        <f>IFERROR(__xludf.DUMMYFUNCTION("""COMPUTED_VALUE"""),"K/30/040725/1")</f>
        <v>K/30/040725/1</v>
      </c>
      <c r="E3088" s="14" t="str">
        <f>IFERROR(__xludf.DUMMYFUNCTION("""COMPUTED_VALUE"""),"Heri (BT)")</f>
        <v>Heri (BT)</v>
      </c>
      <c r="F3088" s="14" t="str">
        <f>IFERROR(__xludf.DUMMYFUNCTION("""COMPUTED_VALUE"""),"SELESAI (VIA PERMOHONAN)")</f>
        <v>SELESAI (VIA PERMOHONAN)</v>
      </c>
      <c r="G3088" s="17">
        <f>IFERROR(__xludf.DUMMYFUNCTION("""COMPUTED_VALUE"""),45860.483792430554)</f>
        <v>45860.48379</v>
      </c>
      <c r="H3088" s="14" t="str">
        <f>IFERROR(__xludf.DUMMYFUNCTION("""COMPUTED_VALUE"""),"Eci (SU)")</f>
        <v>Eci (SU)</v>
      </c>
      <c r="I3088" s="13" t="str">
        <f>IFERROR(__xludf.DUMMYFUNCTION("""COMPUTED_VALUE"""),"SELESAI (VIA PERMOHONAN)")</f>
        <v>SELESAI (VIA PERMOHONAN)</v>
      </c>
      <c r="J3088" s="17">
        <f>IFERROR(__xludf.DUMMYFUNCTION("""COMPUTED_VALUE"""),45860.64389990741)</f>
        <v>45860.6439</v>
      </c>
      <c r="K3088" s="13" t="str">
        <f>IFERROR(__xludf.DUMMYFUNCTION("""COMPUTED_VALUE"""),"Selesai")</f>
        <v>Selesai</v>
      </c>
      <c r="L3088" s="17">
        <f>IFERROR(__xludf.DUMMYFUNCTION("""COMPUTED_VALUE"""),45860.64389990741)</f>
        <v>45860.6439</v>
      </c>
      <c r="M3088" s="13"/>
      <c r="N3088" s="13" t="str">
        <f>IFERROR(__xludf.DUMMYFUNCTION("""COMPUTED_VALUE"""),"")</f>
        <v/>
      </c>
      <c r="O3088" s="13" t="str">
        <f t="shared" si="1"/>
        <v/>
      </c>
    </row>
    <row r="3089" ht="22.5" customHeight="1">
      <c r="B3089" s="13">
        <f>IFERROR(__xludf.DUMMYFUNCTION("""COMPUTED_VALUE"""),3084.0)</f>
        <v>3084</v>
      </c>
      <c r="C3089" s="13" t="str">
        <f>IFERROR(__xludf.DUMMYFUNCTION("""COMPUTED_VALUE"""),"HM 2532/GUNUNG TERANG")</f>
        <v>HM 2532/GUNUNG TERANG</v>
      </c>
      <c r="D3089" s="13" t="str">
        <f>IFERROR(__xludf.DUMMYFUNCTION("""COMPUTED_VALUE"""),"L/13/140725/1")</f>
        <v>L/13/140725/1</v>
      </c>
      <c r="E3089" s="14" t="str">
        <f>IFERROR(__xludf.DUMMYFUNCTION("""COMPUTED_VALUE"""),"Heri (BT)")</f>
        <v>Heri (BT)</v>
      </c>
      <c r="F3089" s="14" t="str">
        <f>IFERROR(__xludf.DUMMYFUNCTION("""COMPUTED_VALUE"""),"SELESAI (VIA PERMOHONAN)")</f>
        <v>SELESAI (VIA PERMOHONAN)</v>
      </c>
      <c r="G3089" s="17">
        <f>IFERROR(__xludf.DUMMYFUNCTION("""COMPUTED_VALUE"""),45860.48406269676)</f>
        <v>45860.48406</v>
      </c>
      <c r="H3089" s="14" t="str">
        <f>IFERROR(__xludf.DUMMYFUNCTION("""COMPUTED_VALUE"""),"Eci (SU)")</f>
        <v>Eci (SU)</v>
      </c>
      <c r="I3089" s="13" t="str">
        <f>IFERROR(__xludf.DUMMYFUNCTION("""COMPUTED_VALUE"""),"SELESAI (VIA PERMOHONAN)")</f>
        <v>SELESAI (VIA PERMOHONAN)</v>
      </c>
      <c r="J3089" s="17">
        <f>IFERROR(__xludf.DUMMYFUNCTION("""COMPUTED_VALUE"""),45860.64378104167)</f>
        <v>45860.64378</v>
      </c>
      <c r="K3089" s="13" t="str">
        <f>IFERROR(__xludf.DUMMYFUNCTION("""COMPUTED_VALUE"""),"Selesai")</f>
        <v>Selesai</v>
      </c>
      <c r="L3089" s="17">
        <f>IFERROR(__xludf.DUMMYFUNCTION("""COMPUTED_VALUE"""),45860.64378104167)</f>
        <v>45860.64378</v>
      </c>
      <c r="M3089" s="13"/>
      <c r="N3089" s="13" t="str">
        <f>IFERROR(__xludf.DUMMYFUNCTION("""COMPUTED_VALUE"""),"")</f>
        <v/>
      </c>
      <c r="O3089" s="13" t="str">
        <f t="shared" si="1"/>
        <v/>
      </c>
    </row>
    <row r="3090" ht="22.5" customHeight="1">
      <c r="B3090" s="13">
        <f>IFERROR(__xludf.DUMMYFUNCTION("""COMPUTED_VALUE"""),3085.0)</f>
        <v>3085</v>
      </c>
      <c r="C3090" s="13" t="str">
        <f>IFERROR(__xludf.DUMMYFUNCTION("""COMPUTED_VALUE"""),"HM 12359/LABUHAN RATU")</f>
        <v>HM 12359/LABUHAN RATU</v>
      </c>
      <c r="D3090" s="13" t="str">
        <f>IFERROR(__xludf.DUMMYFUNCTION("""COMPUTED_VALUE"""),"L/33/110725/1")</f>
        <v>L/33/110725/1</v>
      </c>
      <c r="E3090" s="14" t="str">
        <f>IFERROR(__xludf.DUMMYFUNCTION("""COMPUTED_VALUE"""),"Heri (BT)")</f>
        <v>Heri (BT)</v>
      </c>
      <c r="F3090" s="14" t="str">
        <f>IFERROR(__xludf.DUMMYFUNCTION("""COMPUTED_VALUE"""),"SELESAI (VIA PERMOHONAN)")</f>
        <v>SELESAI (VIA PERMOHONAN)</v>
      </c>
      <c r="G3090" s="17">
        <f>IFERROR(__xludf.DUMMYFUNCTION("""COMPUTED_VALUE"""),45860.484215833334)</f>
        <v>45860.48422</v>
      </c>
      <c r="H3090" s="14" t="str">
        <f>IFERROR(__xludf.DUMMYFUNCTION("""COMPUTED_VALUE"""),"Eci (SU)")</f>
        <v>Eci (SU)</v>
      </c>
      <c r="I3090" s="13" t="str">
        <f>IFERROR(__xludf.DUMMYFUNCTION("""COMPUTED_VALUE"""),"SELESAI (VIA PERMOHONAN)")</f>
        <v>SELESAI (VIA PERMOHONAN)</v>
      </c>
      <c r="J3090" s="17">
        <f>IFERROR(__xludf.DUMMYFUNCTION("""COMPUTED_VALUE"""),45861.42875482639)</f>
        <v>45861.42875</v>
      </c>
      <c r="K3090" s="13" t="str">
        <f>IFERROR(__xludf.DUMMYFUNCTION("""COMPUTED_VALUE"""),"Selesai")</f>
        <v>Selesai</v>
      </c>
      <c r="L3090" s="17">
        <f>IFERROR(__xludf.DUMMYFUNCTION("""COMPUTED_VALUE"""),45861.42875482639)</f>
        <v>45861.42875</v>
      </c>
      <c r="M3090" s="13"/>
      <c r="N3090" s="13" t="str">
        <f>IFERROR(__xludf.DUMMYFUNCTION("""COMPUTED_VALUE"""),"")</f>
        <v/>
      </c>
      <c r="O3090" s="13" t="str">
        <f t="shared" si="1"/>
        <v/>
      </c>
    </row>
    <row r="3091" ht="22.5" customHeight="1">
      <c r="B3091" s="13">
        <f>IFERROR(__xludf.DUMMYFUNCTION("""COMPUTED_VALUE"""),3086.0)</f>
        <v>3086</v>
      </c>
      <c r="C3091" s="13" t="str">
        <f>IFERROR(__xludf.DUMMYFUNCTION("""COMPUTED_VALUE"""),"HM 338/KELAPA TIGA PERMAI")</f>
        <v>HM 338/KELAPA TIGA PERMAI</v>
      </c>
      <c r="D3091" s="13" t="str">
        <f>IFERROR(__xludf.DUMMYFUNCTION("""COMPUTED_VALUE"""),"L/47/140725/1")</f>
        <v>L/47/140725/1</v>
      </c>
      <c r="E3091" s="14" t="str">
        <f>IFERROR(__xludf.DUMMYFUNCTION("""COMPUTED_VALUE"""),"Heri (BT)")</f>
        <v>Heri (BT)</v>
      </c>
      <c r="F3091" s="14" t="str">
        <f>IFERROR(__xludf.DUMMYFUNCTION("""COMPUTED_VALUE"""),"SELESAI (VIA PERMOHONAN)")</f>
        <v>SELESAI (VIA PERMOHONAN)</v>
      </c>
      <c r="G3091" s="17">
        <f>IFERROR(__xludf.DUMMYFUNCTION("""COMPUTED_VALUE"""),45860.484401354166)</f>
        <v>45860.4844</v>
      </c>
      <c r="H3091" s="14" t="str">
        <f>IFERROR(__xludf.DUMMYFUNCTION("""COMPUTED_VALUE"""),"Eci (SU)")</f>
        <v>Eci (SU)</v>
      </c>
      <c r="I3091" s="13" t="str">
        <f>IFERROR(__xludf.DUMMYFUNCTION("""COMPUTED_VALUE"""),"SELESAI (VIA PERMOHONAN)")</f>
        <v>SELESAI (VIA PERMOHONAN)</v>
      </c>
      <c r="J3091" s="17">
        <f>IFERROR(__xludf.DUMMYFUNCTION("""COMPUTED_VALUE"""),45860.64302913194)</f>
        <v>45860.64303</v>
      </c>
      <c r="K3091" s="13" t="str">
        <f>IFERROR(__xludf.DUMMYFUNCTION("""COMPUTED_VALUE"""),"Selesai")</f>
        <v>Selesai</v>
      </c>
      <c r="L3091" s="17">
        <f>IFERROR(__xludf.DUMMYFUNCTION("""COMPUTED_VALUE"""),45860.64302913194)</f>
        <v>45860.64303</v>
      </c>
      <c r="M3091" s="13"/>
      <c r="N3091" s="13" t="str">
        <f>IFERROR(__xludf.DUMMYFUNCTION("""COMPUTED_VALUE"""),"")</f>
        <v/>
      </c>
      <c r="O3091" s="13" t="str">
        <f t="shared" si="1"/>
        <v/>
      </c>
    </row>
    <row r="3092" ht="22.5" customHeight="1">
      <c r="B3092" s="13">
        <f>IFERROR(__xludf.DUMMYFUNCTION("""COMPUTED_VALUE"""),3087.0)</f>
        <v>3087</v>
      </c>
      <c r="C3092" s="13" t="str">
        <f>IFERROR(__xludf.DUMMYFUNCTION("""COMPUTED_VALUE"""),"HGB 491/KETEGUHAN")</f>
        <v>HGB 491/KETEGUHAN</v>
      </c>
      <c r="D3092" s="13" t="str">
        <f>IFERROR(__xludf.DUMMYFUNCTION("""COMPUTED_VALUE"""),"L/2/030725/1")</f>
        <v>L/2/030725/1</v>
      </c>
      <c r="E3092" s="14" t="str">
        <f>IFERROR(__xludf.DUMMYFUNCTION("""COMPUTED_VALUE"""),"Admin (Migrasi)")</f>
        <v>Admin (Migrasi)</v>
      </c>
      <c r="F3092" s="14" t="str">
        <f>IFERROR(__xludf.DUMMYFUNCTION("""COMPUTED_VALUE"""),"SELESAI (VIA PERMOHONAN)")</f>
        <v>SELESAI (VIA PERMOHONAN)</v>
      </c>
      <c r="G3092" s="17">
        <f>IFERROR(__xludf.DUMMYFUNCTION("""COMPUTED_VALUE"""),45860.4855196875)</f>
        <v>45860.48552</v>
      </c>
      <c r="H3092" s="14" t="str">
        <f>IFERROR(__xludf.DUMMYFUNCTION("""COMPUTED_VALUE"""),"Admin (Migrasi)")</f>
        <v>Admin (Migrasi)</v>
      </c>
      <c r="I3092" s="13" t="str">
        <f>IFERROR(__xludf.DUMMYFUNCTION("""COMPUTED_VALUE"""),"SELESAI (VIA PERMOHONAN)")</f>
        <v>SELESAI (VIA PERMOHONAN)</v>
      </c>
      <c r="J3092" s="17">
        <f>IFERROR(__xludf.DUMMYFUNCTION("""COMPUTED_VALUE"""),45860.485578946755)</f>
        <v>45860.48558</v>
      </c>
      <c r="K3092" s="13" t="str">
        <f>IFERROR(__xludf.DUMMYFUNCTION("""COMPUTED_VALUE"""),"Selesai")</f>
        <v>Selesai</v>
      </c>
      <c r="L3092" s="17">
        <f>IFERROR(__xludf.DUMMYFUNCTION("""COMPUTED_VALUE"""),45860.485578946755)</f>
        <v>45860.48558</v>
      </c>
      <c r="M3092" s="13"/>
      <c r="N3092" s="13" t="str">
        <f>IFERROR(__xludf.DUMMYFUNCTION("""COMPUTED_VALUE"""),"")</f>
        <v/>
      </c>
      <c r="O3092" s="13" t="str">
        <f t="shared" si="1"/>
        <v/>
      </c>
    </row>
    <row r="3093" ht="22.5" customHeight="1">
      <c r="B3093" s="13">
        <f>IFERROR(__xludf.DUMMYFUNCTION("""COMPUTED_VALUE"""),3088.0)</f>
        <v>3088</v>
      </c>
      <c r="C3093" s="13" t="str">
        <f>IFERROR(__xludf.DUMMYFUNCTION("""COMPUTED_VALUE"""),"M.3651/SURABAYA")</f>
        <v>M.3651/SURABAYA</v>
      </c>
      <c r="D3093" s="13" t="str">
        <f>IFERROR(__xludf.DUMMYFUNCTION("""COMPUTED_VALUE"""),"K/27/220125/1")</f>
        <v>K/27/220125/1</v>
      </c>
      <c r="E3093" s="14" t="str">
        <f>IFERROR(__xludf.DUMMYFUNCTION("""COMPUTED_VALUE"""),"Admin (Migrasi)")</f>
        <v>Admin (Migrasi)</v>
      </c>
      <c r="F3093" s="14" t="str">
        <f>IFERROR(__xludf.DUMMYFUNCTION("""COMPUTED_VALUE"""),"SELESAI (VIA PERMOHONAN)")</f>
        <v>SELESAI (VIA PERMOHONAN)</v>
      </c>
      <c r="G3093" s="17">
        <f>IFERROR(__xludf.DUMMYFUNCTION("""COMPUTED_VALUE"""),45860.48576473379)</f>
        <v>45860.48576</v>
      </c>
      <c r="H3093" s="14" t="str">
        <f>IFERROR(__xludf.DUMMYFUNCTION("""COMPUTED_VALUE"""),"Admin (Migrasi)")</f>
        <v>Admin (Migrasi)</v>
      </c>
      <c r="I3093" s="13" t="str">
        <f>IFERROR(__xludf.DUMMYFUNCTION("""COMPUTED_VALUE"""),"SELESAI (VIA PERMOHONAN)")</f>
        <v>SELESAI (VIA PERMOHONAN)</v>
      </c>
      <c r="J3093" s="17">
        <f>IFERROR(__xludf.DUMMYFUNCTION("""COMPUTED_VALUE"""),45860.48576473379)</f>
        <v>45860.48576</v>
      </c>
      <c r="K3093" s="13" t="str">
        <f>IFERROR(__xludf.DUMMYFUNCTION("""COMPUTED_VALUE"""),"Selesai")</f>
        <v>Selesai</v>
      </c>
      <c r="L3093" s="17">
        <f>IFERROR(__xludf.DUMMYFUNCTION("""COMPUTED_VALUE"""),45860.48576473379)</f>
        <v>45860.48576</v>
      </c>
      <c r="M3093" s="13"/>
      <c r="N3093" s="13" t="str">
        <f>IFERROR(__xludf.DUMMYFUNCTION("""COMPUTED_VALUE"""),"")</f>
        <v/>
      </c>
      <c r="O3093" s="13" t="str">
        <f t="shared" si="1"/>
        <v/>
      </c>
    </row>
    <row r="3094" ht="22.5" customHeight="1">
      <c r="B3094" s="13">
        <f>IFERROR(__xludf.DUMMYFUNCTION("""COMPUTED_VALUE"""),3089.0)</f>
        <v>3089</v>
      </c>
      <c r="C3094" s="13" t="str">
        <f>IFERROR(__xludf.DUMMYFUNCTION("""COMPUTED_VALUE"""),"M. 1845/ Rajabasa Pemuka")</f>
        <v>M. 1845/ Rajabasa Pemuka</v>
      </c>
      <c r="D3094" s="13" t="str">
        <f>IFERROR(__xludf.DUMMYFUNCTION("""COMPUTED_VALUE"""),"K/3/240625/1")</f>
        <v>K/3/240625/1</v>
      </c>
      <c r="E3094" s="14" t="str">
        <f>IFERROR(__xludf.DUMMYFUNCTION("""COMPUTED_VALUE"""),"Admin (Migrasi)")</f>
        <v>Admin (Migrasi)</v>
      </c>
      <c r="F3094" s="14" t="str">
        <f>IFERROR(__xludf.DUMMYFUNCTION("""COMPUTED_VALUE"""),"SELESAI (VIA PERMOHONAN)")</f>
        <v>SELESAI (VIA PERMOHONAN)</v>
      </c>
      <c r="G3094" s="17">
        <f>IFERROR(__xludf.DUMMYFUNCTION("""COMPUTED_VALUE"""),45860.48596355324)</f>
        <v>45860.48596</v>
      </c>
      <c r="H3094" s="14" t="str">
        <f>IFERROR(__xludf.DUMMYFUNCTION("""COMPUTED_VALUE"""),"Admin (Migrasi)")</f>
        <v>Admin (Migrasi)</v>
      </c>
      <c r="I3094" s="13" t="str">
        <f>IFERROR(__xludf.DUMMYFUNCTION("""COMPUTED_VALUE"""),"SELESAI (VIA PERMOHONAN)")</f>
        <v>SELESAI (VIA PERMOHONAN)</v>
      </c>
      <c r="J3094" s="17">
        <f>IFERROR(__xludf.DUMMYFUNCTION("""COMPUTED_VALUE"""),45860.48596355324)</f>
        <v>45860.48596</v>
      </c>
      <c r="K3094" s="13" t="str">
        <f>IFERROR(__xludf.DUMMYFUNCTION("""COMPUTED_VALUE"""),"Selesai")</f>
        <v>Selesai</v>
      </c>
      <c r="L3094" s="17">
        <f>IFERROR(__xludf.DUMMYFUNCTION("""COMPUTED_VALUE"""),45860.48596355324)</f>
        <v>45860.48596</v>
      </c>
      <c r="M3094" s="13"/>
      <c r="N3094" s="13" t="str">
        <f>IFERROR(__xludf.DUMMYFUNCTION("""COMPUTED_VALUE"""),"")</f>
        <v/>
      </c>
      <c r="O3094" s="13" t="str">
        <f t="shared" si="1"/>
        <v/>
      </c>
    </row>
    <row r="3095" ht="22.5" customHeight="1">
      <c r="B3095" s="13">
        <f>IFERROR(__xludf.DUMMYFUNCTION("""COMPUTED_VALUE"""),3090.0)</f>
        <v>3090</v>
      </c>
      <c r="C3095" s="13" t="str">
        <f>IFERROR(__xludf.DUMMYFUNCTION("""COMPUTED_VALUE"""),"HM 2248/GEDONG AIR")</f>
        <v>HM 2248/GEDONG AIR</v>
      </c>
      <c r="D3095" s="13" t="str">
        <f>IFERROR(__xludf.DUMMYFUNCTION("""COMPUTED_VALUE"""),"L/21/140725/1")</f>
        <v>L/21/140725/1</v>
      </c>
      <c r="E3095" s="14" t="str">
        <f>IFERROR(__xludf.DUMMYFUNCTION("""COMPUTED_VALUE"""),"Heri (BT)")</f>
        <v>Heri (BT)</v>
      </c>
      <c r="F3095" s="14" t="str">
        <f>IFERROR(__xludf.DUMMYFUNCTION("""COMPUTED_VALUE"""),"SELESAI (VIA PERMOHONAN)")</f>
        <v>SELESAI (VIA PERMOHONAN)</v>
      </c>
      <c r="G3095" s="17">
        <f>IFERROR(__xludf.DUMMYFUNCTION("""COMPUTED_VALUE"""),45862.36599020833)</f>
        <v>45862.36599</v>
      </c>
      <c r="H3095" s="14" t="str">
        <f>IFERROR(__xludf.DUMMYFUNCTION("""COMPUTED_VALUE"""),"Eci (SU)")</f>
        <v>Eci (SU)</v>
      </c>
      <c r="I3095" s="13" t="str">
        <f>IFERROR(__xludf.DUMMYFUNCTION("""COMPUTED_VALUE"""),"SELESAI (VIA PERMOHONAN)")</f>
        <v>SELESAI (VIA PERMOHONAN)</v>
      </c>
      <c r="J3095" s="17">
        <f>IFERROR(__xludf.DUMMYFUNCTION("""COMPUTED_VALUE"""),45862.64992545139)</f>
        <v>45862.64993</v>
      </c>
      <c r="K3095" s="13" t="str">
        <f>IFERROR(__xludf.DUMMYFUNCTION("""COMPUTED_VALUE"""),"Selesai")</f>
        <v>Selesai</v>
      </c>
      <c r="L3095" s="17">
        <f>IFERROR(__xludf.DUMMYFUNCTION("""COMPUTED_VALUE"""),45862.64992545139)</f>
        <v>45862.64993</v>
      </c>
      <c r="M3095" s="13"/>
      <c r="N3095" s="13" t="str">
        <f>IFERROR(__xludf.DUMMYFUNCTION("""COMPUTED_VALUE"""),"")</f>
        <v/>
      </c>
      <c r="O3095" s="13" t="str">
        <f t="shared" si="1"/>
        <v/>
      </c>
    </row>
    <row r="3096" ht="22.5" customHeight="1">
      <c r="B3096" s="13">
        <f>IFERROR(__xludf.DUMMYFUNCTION("""COMPUTED_VALUE"""),3091.0)</f>
        <v>3091</v>
      </c>
      <c r="C3096" s="13" t="str">
        <f>IFERROR(__xludf.DUMMYFUNCTION("""COMPUTED_VALUE"""),"HM 480/GARUNTANG")</f>
        <v>HM 480/GARUNTANG</v>
      </c>
      <c r="D3096" s="13" t="str">
        <f>IFERROR(__xludf.DUMMYFUNCTION("""COMPUTED_VALUE"""),"L/4/170725/1")</f>
        <v>L/4/170725/1</v>
      </c>
      <c r="E3096" s="14" t="str">
        <f>IFERROR(__xludf.DUMMYFUNCTION("""COMPUTED_VALUE"""),"Heri (BT)")</f>
        <v>Heri (BT)</v>
      </c>
      <c r="F3096" s="14" t="str">
        <f>IFERROR(__xludf.DUMMYFUNCTION("""COMPUTED_VALUE"""),"SELESAI (VIA PERMOHONAN)")</f>
        <v>SELESAI (VIA PERMOHONAN)</v>
      </c>
      <c r="G3096" s="17">
        <f>IFERROR(__xludf.DUMMYFUNCTION("""COMPUTED_VALUE"""),45862.36610371528)</f>
        <v>45862.3661</v>
      </c>
      <c r="H3096" s="14" t="str">
        <f>IFERROR(__xludf.DUMMYFUNCTION("""COMPUTED_VALUE"""),"Eci (SU)")</f>
        <v>Eci (SU)</v>
      </c>
      <c r="I3096" s="13" t="str">
        <f>IFERROR(__xludf.DUMMYFUNCTION("""COMPUTED_VALUE"""),"SELESAI (VIA PERMOHONAN)")</f>
        <v>SELESAI (VIA PERMOHONAN)</v>
      </c>
      <c r="J3096" s="17">
        <f>IFERROR(__xludf.DUMMYFUNCTION("""COMPUTED_VALUE"""),45862.650203310186)</f>
        <v>45862.6502</v>
      </c>
      <c r="K3096" s="13" t="str">
        <f>IFERROR(__xludf.DUMMYFUNCTION("""COMPUTED_VALUE"""),"Selesai")</f>
        <v>Selesai</v>
      </c>
      <c r="L3096" s="17">
        <f>IFERROR(__xludf.DUMMYFUNCTION("""COMPUTED_VALUE"""),45862.650203310186)</f>
        <v>45862.6502</v>
      </c>
      <c r="M3096" s="13"/>
      <c r="N3096" s="13" t="str">
        <f>IFERROR(__xludf.DUMMYFUNCTION("""COMPUTED_VALUE"""),"")</f>
        <v/>
      </c>
      <c r="O3096" s="13" t="str">
        <f t="shared" si="1"/>
        <v/>
      </c>
    </row>
    <row r="3097" ht="22.5" customHeight="1">
      <c r="B3097" s="13">
        <f>IFERROR(__xludf.DUMMYFUNCTION("""COMPUTED_VALUE"""),3092.0)</f>
        <v>3092</v>
      </c>
      <c r="C3097" s="13" t="str">
        <f>IFERROR(__xludf.DUMMYFUNCTION("""COMPUTED_VALUE"""),"HM 12957/SUKABUMI")</f>
        <v>HM 12957/SUKABUMI</v>
      </c>
      <c r="D3097" s="13" t="str">
        <f>IFERROR(__xludf.DUMMYFUNCTION("""COMPUTED_VALUE"""),"L/22/160725/1")</f>
        <v>L/22/160725/1</v>
      </c>
      <c r="E3097" s="14" t="str">
        <f>IFERROR(__xludf.DUMMYFUNCTION("""COMPUTED_VALUE"""),"Heri (BT)")</f>
        <v>Heri (BT)</v>
      </c>
      <c r="F3097" s="14" t="str">
        <f>IFERROR(__xludf.DUMMYFUNCTION("""COMPUTED_VALUE"""),"SELESAI (VIA PERMOHONAN)")</f>
        <v>SELESAI (VIA PERMOHONAN)</v>
      </c>
      <c r="G3097" s="17">
        <f>IFERROR(__xludf.DUMMYFUNCTION("""COMPUTED_VALUE"""),45862.366263749995)</f>
        <v>45862.36626</v>
      </c>
      <c r="H3097" s="14" t="str">
        <f>IFERROR(__xludf.DUMMYFUNCTION("""COMPUTED_VALUE"""),"Eci (SU)")</f>
        <v>Eci (SU)</v>
      </c>
      <c r="I3097" s="13" t="str">
        <f>IFERROR(__xludf.DUMMYFUNCTION("""COMPUTED_VALUE"""),"SELESAI (VIA PERMOHONAN)")</f>
        <v>SELESAI (VIA PERMOHONAN)</v>
      </c>
      <c r="J3097" s="17">
        <f>IFERROR(__xludf.DUMMYFUNCTION("""COMPUTED_VALUE"""),45862.649646666665)</f>
        <v>45862.64965</v>
      </c>
      <c r="K3097" s="13" t="str">
        <f>IFERROR(__xludf.DUMMYFUNCTION("""COMPUTED_VALUE"""),"Selesai")</f>
        <v>Selesai</v>
      </c>
      <c r="L3097" s="17">
        <f>IFERROR(__xludf.DUMMYFUNCTION("""COMPUTED_VALUE"""),45862.649646666665)</f>
        <v>45862.64965</v>
      </c>
      <c r="M3097" s="13"/>
      <c r="N3097" s="13" t="str">
        <f>IFERROR(__xludf.DUMMYFUNCTION("""COMPUTED_VALUE"""),"")</f>
        <v/>
      </c>
      <c r="O3097" s="13" t="str">
        <f t="shared" si="1"/>
        <v/>
      </c>
    </row>
    <row r="3098" ht="22.5" customHeight="1">
      <c r="B3098" s="13">
        <f>IFERROR(__xludf.DUMMYFUNCTION("""COMPUTED_VALUE"""),3093.0)</f>
        <v>3093</v>
      </c>
      <c r="C3098" s="13" t="str">
        <f>IFERROR(__xludf.DUMMYFUNCTION("""COMPUTED_VALUE"""),"M. 647/PERWATA")</f>
        <v>M. 647/PERWATA</v>
      </c>
      <c r="D3098" s="13" t="str">
        <f>IFERROR(__xludf.DUMMYFUNCTION("""COMPUTED_VALUE"""),"K/4/150725/1")</f>
        <v>K/4/150725/1</v>
      </c>
      <c r="E3098" s="14" t="str">
        <f>IFERROR(__xludf.DUMMYFUNCTION("""COMPUTED_VALUE"""),"Heri (BT)")</f>
        <v>Heri (BT)</v>
      </c>
      <c r="F3098" s="14" t="str">
        <f>IFERROR(__xludf.DUMMYFUNCTION("""COMPUTED_VALUE"""),"SELESAI (VIA PERMOHONAN)")</f>
        <v>SELESAI (VIA PERMOHONAN)</v>
      </c>
      <c r="G3098" s="17">
        <f>IFERROR(__xludf.DUMMYFUNCTION("""COMPUTED_VALUE"""),45862.42107111111)</f>
        <v>45862.42107</v>
      </c>
      <c r="H3098" s="14" t="str">
        <f>IFERROR(__xludf.DUMMYFUNCTION("""COMPUTED_VALUE"""),"Eci (SU)")</f>
        <v>Eci (SU)</v>
      </c>
      <c r="I3098" s="13" t="str">
        <f>IFERROR(__xludf.DUMMYFUNCTION("""COMPUTED_VALUE"""),"SELESAI (VIA PERMOHONAN)")</f>
        <v>SELESAI (VIA PERMOHONAN)</v>
      </c>
      <c r="J3098" s="17">
        <f>IFERROR(__xludf.DUMMYFUNCTION("""COMPUTED_VALUE"""),45862.648714826384)</f>
        <v>45862.64871</v>
      </c>
      <c r="K3098" s="13" t="str">
        <f>IFERROR(__xludf.DUMMYFUNCTION("""COMPUTED_VALUE"""),"Selesai")</f>
        <v>Selesai</v>
      </c>
      <c r="L3098" s="17">
        <f>IFERROR(__xludf.DUMMYFUNCTION("""COMPUTED_VALUE"""),45862.648714826384)</f>
        <v>45862.64871</v>
      </c>
      <c r="M3098" s="13"/>
      <c r="N3098" s="13" t="str">
        <f>IFERROR(__xludf.DUMMYFUNCTION("""COMPUTED_VALUE"""),"")</f>
        <v/>
      </c>
      <c r="O3098" s="13" t="str">
        <f t="shared" si="1"/>
        <v/>
      </c>
    </row>
    <row r="3099" ht="22.5" customHeight="1">
      <c r="B3099" s="13">
        <f>IFERROR(__xludf.DUMMYFUNCTION("""COMPUTED_VALUE"""),3094.0)</f>
        <v>3094</v>
      </c>
      <c r="C3099" s="13" t="str">
        <f>IFERROR(__xludf.DUMMYFUNCTION("""COMPUTED_VALUE"""),"M. 900/ KORPRI JAYA")</f>
        <v>M. 900/ KORPRI JAYA</v>
      </c>
      <c r="D3099" s="13" t="str">
        <f>IFERROR(__xludf.DUMMYFUNCTION("""COMPUTED_VALUE"""),"K/7/300625/1")</f>
        <v>K/7/300625/1</v>
      </c>
      <c r="E3099" s="14" t="str">
        <f>IFERROR(__xludf.DUMMYFUNCTION("""COMPUTED_VALUE"""),"Heri (BT)")</f>
        <v>Heri (BT)</v>
      </c>
      <c r="F3099" s="14" t="str">
        <f>IFERROR(__xludf.DUMMYFUNCTION("""COMPUTED_VALUE"""),"SELESAI (VIA PERMOHONAN)")</f>
        <v>SELESAI (VIA PERMOHONAN)</v>
      </c>
      <c r="G3099" s="17">
        <f>IFERROR(__xludf.DUMMYFUNCTION("""COMPUTED_VALUE"""),45862.42117929398)</f>
        <v>45862.42118</v>
      </c>
      <c r="H3099" s="14" t="str">
        <f>IFERROR(__xludf.DUMMYFUNCTION("""COMPUTED_VALUE"""),"Eci (SU)")</f>
        <v>Eci (SU)</v>
      </c>
      <c r="I3099" s="13" t="str">
        <f>IFERROR(__xludf.DUMMYFUNCTION("""COMPUTED_VALUE"""),"SELESAI (VIA PERMOHONAN)")</f>
        <v>SELESAI (VIA PERMOHONAN)</v>
      </c>
      <c r="J3099" s="17">
        <f>IFERROR(__xludf.DUMMYFUNCTION("""COMPUTED_VALUE"""),45862.649482685185)</f>
        <v>45862.64948</v>
      </c>
      <c r="K3099" s="13" t="str">
        <f>IFERROR(__xludf.DUMMYFUNCTION("""COMPUTED_VALUE"""),"Selesai")</f>
        <v>Selesai</v>
      </c>
      <c r="L3099" s="17">
        <f>IFERROR(__xludf.DUMMYFUNCTION("""COMPUTED_VALUE"""),45862.649482685185)</f>
        <v>45862.64948</v>
      </c>
      <c r="M3099" s="13"/>
      <c r="N3099" s="13" t="str">
        <f>IFERROR(__xludf.DUMMYFUNCTION("""COMPUTED_VALUE"""),"")</f>
        <v/>
      </c>
      <c r="O3099" s="13" t="str">
        <f t="shared" si="1"/>
        <v/>
      </c>
    </row>
    <row r="3100" ht="22.5" customHeight="1">
      <c r="B3100" s="13">
        <f>IFERROR(__xludf.DUMMYFUNCTION("""COMPUTED_VALUE"""),3095.0)</f>
        <v>3095</v>
      </c>
      <c r="C3100" s="13" t="str">
        <f>IFERROR(__xludf.DUMMYFUNCTION("""COMPUTED_VALUE"""),"M. 2138/ Labuhan Ratu Raya")</f>
        <v>M. 2138/ Labuhan Ratu Raya</v>
      </c>
      <c r="D3100" s="13" t="str">
        <f>IFERROR(__xludf.DUMMYFUNCTION("""COMPUTED_VALUE"""),"K/41/140725/1")</f>
        <v>K/41/140725/1</v>
      </c>
      <c r="E3100" s="14" t="str">
        <f>IFERROR(__xludf.DUMMYFUNCTION("""COMPUTED_VALUE"""),"Heri (BT)")</f>
        <v>Heri (BT)</v>
      </c>
      <c r="F3100" s="14" t="str">
        <f>IFERROR(__xludf.DUMMYFUNCTION("""COMPUTED_VALUE"""),"SELESAI (VIA PERMOHONAN)")</f>
        <v>SELESAI (VIA PERMOHONAN)</v>
      </c>
      <c r="G3100" s="17">
        <f>IFERROR(__xludf.DUMMYFUNCTION("""COMPUTED_VALUE"""),45862.421304641204)</f>
        <v>45862.4213</v>
      </c>
      <c r="H3100" s="14" t="str">
        <f>IFERROR(__xludf.DUMMYFUNCTION("""COMPUTED_VALUE"""),"Eci (SU)")</f>
        <v>Eci (SU)</v>
      </c>
      <c r="I3100" s="13" t="str">
        <f>IFERROR(__xludf.DUMMYFUNCTION("""COMPUTED_VALUE"""),"SELESAI (VIA PERMOHONAN)")</f>
        <v>SELESAI (VIA PERMOHONAN)</v>
      </c>
      <c r="J3100" s="17">
        <f>IFERROR(__xludf.DUMMYFUNCTION("""COMPUTED_VALUE"""),45862.64906079861)</f>
        <v>45862.64906</v>
      </c>
      <c r="K3100" s="13" t="str">
        <f>IFERROR(__xludf.DUMMYFUNCTION("""COMPUTED_VALUE"""),"Selesai")</f>
        <v>Selesai</v>
      </c>
      <c r="L3100" s="17">
        <f>IFERROR(__xludf.DUMMYFUNCTION("""COMPUTED_VALUE"""),45862.64906079861)</f>
        <v>45862.64906</v>
      </c>
      <c r="M3100" s="13"/>
      <c r="N3100" s="13" t="str">
        <f>IFERROR(__xludf.DUMMYFUNCTION("""COMPUTED_VALUE"""),"")</f>
        <v/>
      </c>
      <c r="O3100" s="13" t="str">
        <f t="shared" si="1"/>
        <v/>
      </c>
    </row>
    <row r="3101" ht="22.5" customHeight="1">
      <c r="B3101" s="13">
        <f>IFERROR(__xludf.DUMMYFUNCTION("""COMPUTED_VALUE"""),3096.0)</f>
        <v>3096</v>
      </c>
      <c r="C3101" s="13" t="str">
        <f>IFERROR(__xludf.DUMMYFUNCTION("""COMPUTED_VALUE"""),"B. 570/ rajabsa nunyai")</f>
        <v>B. 570/ rajabsa nunyai</v>
      </c>
      <c r="D3101" s="13" t="str">
        <f>IFERROR(__xludf.DUMMYFUNCTION("""COMPUTED_VALUE"""),"K/33/070725/1")</f>
        <v>K/33/070725/1</v>
      </c>
      <c r="E3101" s="14" t="str">
        <f>IFERROR(__xludf.DUMMYFUNCTION("""COMPUTED_VALUE"""),"Heri (BT)")</f>
        <v>Heri (BT)</v>
      </c>
      <c r="F3101" s="14" t="str">
        <f>IFERROR(__xludf.DUMMYFUNCTION("""COMPUTED_VALUE"""),"SELESAI (VIA PERMOHONAN)")</f>
        <v>SELESAI (VIA PERMOHONAN)</v>
      </c>
      <c r="G3101" s="17">
        <f>IFERROR(__xludf.DUMMYFUNCTION("""COMPUTED_VALUE"""),45862.421456805554)</f>
        <v>45862.42146</v>
      </c>
      <c r="H3101" s="14" t="str">
        <f>IFERROR(__xludf.DUMMYFUNCTION("""COMPUTED_VALUE"""),"Eci (SU)")</f>
        <v>Eci (SU)</v>
      </c>
      <c r="I3101" s="13" t="str">
        <f>IFERROR(__xludf.DUMMYFUNCTION("""COMPUTED_VALUE"""),"SELESAI (VIA PERMOHONAN)")</f>
        <v>SELESAI (VIA PERMOHONAN)</v>
      </c>
      <c r="J3101" s="17">
        <f>IFERROR(__xludf.DUMMYFUNCTION("""COMPUTED_VALUE"""),45862.649391875)</f>
        <v>45862.64939</v>
      </c>
      <c r="K3101" s="13" t="str">
        <f>IFERROR(__xludf.DUMMYFUNCTION("""COMPUTED_VALUE"""),"Selesai")</f>
        <v>Selesai</v>
      </c>
      <c r="L3101" s="17">
        <f>IFERROR(__xludf.DUMMYFUNCTION("""COMPUTED_VALUE"""),45862.649391875)</f>
        <v>45862.64939</v>
      </c>
      <c r="M3101" s="13"/>
      <c r="N3101" s="13" t="str">
        <f>IFERROR(__xludf.DUMMYFUNCTION("""COMPUTED_VALUE"""),"")</f>
        <v/>
      </c>
      <c r="O3101" s="13" t="str">
        <f t="shared" si="1"/>
        <v/>
      </c>
    </row>
    <row r="3102" ht="22.5" customHeight="1">
      <c r="B3102" s="13">
        <f>IFERROR(__xludf.DUMMYFUNCTION("""COMPUTED_VALUE"""),3097.0)</f>
        <v>3097</v>
      </c>
      <c r="C3102" s="13" t="str">
        <f>IFERROR(__xludf.DUMMYFUNCTION("""COMPUTED_VALUE"""),"B. 1199/ Way Halim Permai")</f>
        <v>B. 1199/ Way Halim Permai</v>
      </c>
      <c r="D3102" s="13" t="str">
        <f>IFERROR(__xludf.DUMMYFUNCTION("""COMPUTED_VALUE"""),"K/6/100725/1")</f>
        <v>K/6/100725/1</v>
      </c>
      <c r="E3102" s="14" t="str">
        <f>IFERROR(__xludf.DUMMYFUNCTION("""COMPUTED_VALUE"""),"Heri (BT)")</f>
        <v>Heri (BT)</v>
      </c>
      <c r="F3102" s="14" t="str">
        <f>IFERROR(__xludf.DUMMYFUNCTION("""COMPUTED_VALUE"""),"SELESAI (VIA PERMOHONAN)")</f>
        <v>SELESAI (VIA PERMOHONAN)</v>
      </c>
      <c r="G3102" s="17">
        <f>IFERROR(__xludf.DUMMYFUNCTION("""COMPUTED_VALUE"""),45862.42159185185)</f>
        <v>45862.42159</v>
      </c>
      <c r="H3102" s="14" t="str">
        <f>IFERROR(__xludf.DUMMYFUNCTION("""COMPUTED_VALUE"""),"Eci (SU)")</f>
        <v>Eci (SU)</v>
      </c>
      <c r="I3102" s="13" t="str">
        <f>IFERROR(__xludf.DUMMYFUNCTION("""COMPUTED_VALUE"""),"SELESAI (VIA PERMOHONAN)")</f>
        <v>SELESAI (VIA PERMOHONAN)</v>
      </c>
      <c r="J3102" s="17">
        <f>IFERROR(__xludf.DUMMYFUNCTION("""COMPUTED_VALUE"""),45862.64916798611)</f>
        <v>45862.64917</v>
      </c>
      <c r="K3102" s="13" t="str">
        <f>IFERROR(__xludf.DUMMYFUNCTION("""COMPUTED_VALUE"""),"Selesai")</f>
        <v>Selesai</v>
      </c>
      <c r="L3102" s="17">
        <f>IFERROR(__xludf.DUMMYFUNCTION("""COMPUTED_VALUE"""),45862.64916798611)</f>
        <v>45862.64917</v>
      </c>
      <c r="M3102" s="13"/>
      <c r="N3102" s="13" t="str">
        <f>IFERROR(__xludf.DUMMYFUNCTION("""COMPUTED_VALUE"""),"")</f>
        <v/>
      </c>
      <c r="O3102" s="13" t="str">
        <f t="shared" si="1"/>
        <v/>
      </c>
    </row>
    <row r="3103" ht="22.5" customHeight="1">
      <c r="B3103" s="13">
        <f>IFERROR(__xludf.DUMMYFUNCTION("""COMPUTED_VALUE"""),3098.0)</f>
        <v>3098</v>
      </c>
      <c r="C3103" s="13" t="str">
        <f>IFERROR(__xludf.DUMMYFUNCTION("""COMPUTED_VALUE"""),"M. 13039/ Beringin Raya")</f>
        <v>M. 13039/ Beringin Raya</v>
      </c>
      <c r="D3103" s="13" t="str">
        <f>IFERROR(__xludf.DUMMYFUNCTION("""COMPUTED_VALUE"""),"K/7/150725/1")</f>
        <v>K/7/150725/1</v>
      </c>
      <c r="E3103" s="14" t="str">
        <f>IFERROR(__xludf.DUMMYFUNCTION("""COMPUTED_VALUE"""),"Heri (BT)")</f>
        <v>Heri (BT)</v>
      </c>
      <c r="F3103" s="14" t="str">
        <f>IFERROR(__xludf.DUMMYFUNCTION("""COMPUTED_VALUE"""),"SELESAI (VIA PERMOHONAN)")</f>
        <v>SELESAI (VIA PERMOHONAN)</v>
      </c>
      <c r="G3103" s="17">
        <f>IFERROR(__xludf.DUMMYFUNCTION("""COMPUTED_VALUE"""),45862.42171065972)</f>
        <v>45862.42171</v>
      </c>
      <c r="H3103" s="14" t="str">
        <f>IFERROR(__xludf.DUMMYFUNCTION("""COMPUTED_VALUE"""),"Eci (SU)")</f>
        <v>Eci (SU)</v>
      </c>
      <c r="I3103" s="13" t="str">
        <f>IFERROR(__xludf.DUMMYFUNCTION("""COMPUTED_VALUE"""),"SELESAI (VIA PERMOHONAN)")</f>
        <v>SELESAI (VIA PERMOHONAN)</v>
      </c>
      <c r="J3103" s="17">
        <f>IFERROR(__xludf.DUMMYFUNCTION("""COMPUTED_VALUE"""),45862.648940810184)</f>
        <v>45862.64894</v>
      </c>
      <c r="K3103" s="13" t="str">
        <f>IFERROR(__xludf.DUMMYFUNCTION("""COMPUTED_VALUE"""),"Selesai")</f>
        <v>Selesai</v>
      </c>
      <c r="L3103" s="17">
        <f>IFERROR(__xludf.DUMMYFUNCTION("""COMPUTED_VALUE"""),45862.648940810184)</f>
        <v>45862.64894</v>
      </c>
      <c r="M3103" s="13"/>
      <c r="N3103" s="13" t="str">
        <f>IFERROR(__xludf.DUMMYFUNCTION("""COMPUTED_VALUE"""),"")</f>
        <v/>
      </c>
      <c r="O3103" s="13" t="str">
        <f t="shared" si="1"/>
        <v/>
      </c>
    </row>
    <row r="3104" ht="22.5" customHeight="1">
      <c r="B3104" s="13">
        <f>IFERROR(__xludf.DUMMYFUNCTION("""COMPUTED_VALUE"""),3099.0)</f>
        <v>3099</v>
      </c>
      <c r="C3104" s="13" t="str">
        <f>IFERROR(__xludf.DUMMYFUNCTION("""COMPUTED_VALUE"""),"M. 447/ Palapa")</f>
        <v>M. 447/ Palapa</v>
      </c>
      <c r="D3104" s="13" t="str">
        <f>IFERROR(__xludf.DUMMYFUNCTION("""COMPUTED_VALUE"""),"K/7/210525/1")</f>
        <v>K/7/210525/1</v>
      </c>
      <c r="E3104" s="14" t="str">
        <f>IFERROR(__xludf.DUMMYFUNCTION("""COMPUTED_VALUE"""),"Heri (BT)")</f>
        <v>Heri (BT)</v>
      </c>
      <c r="F3104" s="14" t="str">
        <f>IFERROR(__xludf.DUMMYFUNCTION("""COMPUTED_VALUE"""),"SELESAI (VIA PERMOHONAN)")</f>
        <v>SELESAI (VIA PERMOHONAN)</v>
      </c>
      <c r="G3104" s="17">
        <f>IFERROR(__xludf.DUMMYFUNCTION("""COMPUTED_VALUE"""),45862.421825474536)</f>
        <v>45862.42183</v>
      </c>
      <c r="H3104" s="14" t="str">
        <f>IFERROR(__xludf.DUMMYFUNCTION("""COMPUTED_VALUE"""),"Eci (SU)")</f>
        <v>Eci (SU)</v>
      </c>
      <c r="I3104" s="13" t="str">
        <f>IFERROR(__xludf.DUMMYFUNCTION("""COMPUTED_VALUE"""),"SELESAI (VIA PERMOHONAN)")</f>
        <v>SELESAI (VIA PERMOHONAN)</v>
      </c>
      <c r="J3104" s="17">
        <f>IFERROR(__xludf.DUMMYFUNCTION("""COMPUTED_VALUE"""),45862.64926)</f>
        <v>45862.64926</v>
      </c>
      <c r="K3104" s="13" t="str">
        <f>IFERROR(__xludf.DUMMYFUNCTION("""COMPUTED_VALUE"""),"Selesai")</f>
        <v>Selesai</v>
      </c>
      <c r="L3104" s="17">
        <f>IFERROR(__xludf.DUMMYFUNCTION("""COMPUTED_VALUE"""),45862.64926)</f>
        <v>45862.64926</v>
      </c>
      <c r="M3104" s="13"/>
      <c r="N3104" s="13" t="str">
        <f>IFERROR(__xludf.DUMMYFUNCTION("""COMPUTED_VALUE"""),"")</f>
        <v/>
      </c>
      <c r="O3104" s="13" t="str">
        <f t="shared" si="1"/>
        <v/>
      </c>
    </row>
    <row r="3105" ht="22.5" customHeight="1">
      <c r="B3105" s="13">
        <f>IFERROR(__xludf.DUMMYFUNCTION("""COMPUTED_VALUE"""),3100.0)</f>
        <v>3100</v>
      </c>
      <c r="C3105" s="13" t="str">
        <f>IFERROR(__xludf.DUMMYFUNCTION("""COMPUTED_VALUE"""),"M. 1233/ Kota Baru")</f>
        <v>M. 1233/ Kota Baru</v>
      </c>
      <c r="D3105" s="13" t="str">
        <f>IFERROR(__xludf.DUMMYFUNCTION("""COMPUTED_VALUE"""),"K/2/110725/1")</f>
        <v>K/2/110725/1</v>
      </c>
      <c r="E3105" s="14" t="str">
        <f>IFERROR(__xludf.DUMMYFUNCTION("""COMPUTED_VALUE"""),"Heri (BT)")</f>
        <v>Heri (BT)</v>
      </c>
      <c r="F3105" s="14" t="str">
        <f>IFERROR(__xludf.DUMMYFUNCTION("""COMPUTED_VALUE"""),"SELESAI (VIA PERMOHONAN)")</f>
        <v>SELESAI (VIA PERMOHONAN)</v>
      </c>
      <c r="G3105" s="17">
        <f>IFERROR(__xludf.DUMMYFUNCTION("""COMPUTED_VALUE"""),45862.42196310185)</f>
        <v>45862.42196</v>
      </c>
      <c r="H3105" s="14" t="str">
        <f>IFERROR(__xludf.DUMMYFUNCTION("""COMPUTED_VALUE"""),"Eci (SU)")</f>
        <v>Eci (SU)</v>
      </c>
      <c r="I3105" s="13" t="str">
        <f>IFERROR(__xludf.DUMMYFUNCTION("""COMPUTED_VALUE"""),"SELESAI (VIA PERMOHONAN)")</f>
        <v>SELESAI (VIA PERMOHONAN)</v>
      </c>
      <c r="J3105" s="17">
        <f>IFERROR(__xludf.DUMMYFUNCTION("""COMPUTED_VALUE"""),45862.64882028935)</f>
        <v>45862.64882</v>
      </c>
      <c r="K3105" s="13" t="str">
        <f>IFERROR(__xludf.DUMMYFUNCTION("""COMPUTED_VALUE"""),"Selesai")</f>
        <v>Selesai</v>
      </c>
      <c r="L3105" s="17">
        <f>IFERROR(__xludf.DUMMYFUNCTION("""COMPUTED_VALUE"""),45862.64882028935)</f>
        <v>45862.64882</v>
      </c>
      <c r="M3105" s="13"/>
      <c r="N3105" s="13" t="str">
        <f>IFERROR(__xludf.DUMMYFUNCTION("""COMPUTED_VALUE"""),"")</f>
        <v/>
      </c>
      <c r="O3105" s="13" t="str">
        <f t="shared" si="1"/>
        <v/>
      </c>
    </row>
    <row r="3106" ht="22.5" customHeight="1">
      <c r="B3106" s="13">
        <f>IFERROR(__xludf.DUMMYFUNCTION("""COMPUTED_VALUE"""),3101.0)</f>
        <v>3101</v>
      </c>
      <c r="C3106" s="13" t="str">
        <f>IFERROR(__xludf.DUMMYFUNCTION("""COMPUTED_VALUE"""),"M. 1501/ Rajabasa Nunyai")</f>
        <v>M. 1501/ Rajabasa Nunyai</v>
      </c>
      <c r="D3106" s="13" t="str">
        <f>IFERROR(__xludf.DUMMYFUNCTION("""COMPUTED_VALUE"""),"K/33/260625/1")</f>
        <v>K/33/260625/1</v>
      </c>
      <c r="E3106" s="14" t="str">
        <f>IFERROR(__xludf.DUMMYFUNCTION("""COMPUTED_VALUE"""),"Heri (BT)")</f>
        <v>Heri (BT)</v>
      </c>
      <c r="F3106" s="14" t="str">
        <f>IFERROR(__xludf.DUMMYFUNCTION("""COMPUTED_VALUE"""),"SELESAI (VIA PERMOHONAN)")</f>
        <v>SELESAI (VIA PERMOHONAN)</v>
      </c>
      <c r="G3106" s="17">
        <f>IFERROR(__xludf.DUMMYFUNCTION("""COMPUTED_VALUE"""),45862.42208480324)</f>
        <v>45862.42208</v>
      </c>
      <c r="H3106" s="14" t="str">
        <f>IFERROR(__xludf.DUMMYFUNCTION("""COMPUTED_VALUE"""),"Eci (SU)")</f>
        <v>Eci (SU)</v>
      </c>
      <c r="I3106" s="13" t="str">
        <f>IFERROR(__xludf.DUMMYFUNCTION("""COMPUTED_VALUE"""),"SELESAI (VIA PERMOHONAN)")</f>
        <v>SELESAI (VIA PERMOHONAN)</v>
      </c>
      <c r="J3106" s="17">
        <f>IFERROR(__xludf.DUMMYFUNCTION("""COMPUTED_VALUE"""),45862.648616666665)</f>
        <v>45862.64862</v>
      </c>
      <c r="K3106" s="13" t="str">
        <f>IFERROR(__xludf.DUMMYFUNCTION("""COMPUTED_VALUE"""),"Selesai")</f>
        <v>Selesai</v>
      </c>
      <c r="L3106" s="17">
        <f>IFERROR(__xludf.DUMMYFUNCTION("""COMPUTED_VALUE"""),45862.648616666665)</f>
        <v>45862.64862</v>
      </c>
      <c r="M3106" s="13"/>
      <c r="N3106" s="13" t="str">
        <f>IFERROR(__xludf.DUMMYFUNCTION("""COMPUTED_VALUE"""),"")</f>
        <v/>
      </c>
      <c r="O3106" s="13" t="str">
        <f t="shared" si="1"/>
        <v/>
      </c>
    </row>
    <row r="3107" ht="22.5" customHeight="1">
      <c r="B3107" s="13">
        <f>IFERROR(__xludf.DUMMYFUNCTION("""COMPUTED_VALUE"""),3102.0)</f>
        <v>3102</v>
      </c>
      <c r="C3107" s="13" t="str">
        <f>IFERROR(__xludf.DUMMYFUNCTION("""COMPUTED_VALUE"""),"M. 2086/ Sumber Agung")</f>
        <v>M. 2086/ Sumber Agung</v>
      </c>
      <c r="D3107" s="13" t="str">
        <f>IFERROR(__xludf.DUMMYFUNCTION("""COMPUTED_VALUE"""),"K/23/110725/1")</f>
        <v>K/23/110725/1</v>
      </c>
      <c r="E3107" s="14" t="str">
        <f>IFERROR(__xludf.DUMMYFUNCTION("""COMPUTED_VALUE"""),"Afriza (BT)")</f>
        <v>Afriza (BT)</v>
      </c>
      <c r="F3107" s="14" t="str">
        <f>IFERROR(__xludf.DUMMYFUNCTION("""COMPUTED_VALUE"""),"SELESAI (VIA PERMOHONAN)")</f>
        <v>SELESAI (VIA PERMOHONAN)</v>
      </c>
      <c r="G3107" s="17">
        <f>IFERROR(__xludf.DUMMYFUNCTION("""COMPUTED_VALUE"""),45863.41060657408)</f>
        <v>45863.41061</v>
      </c>
      <c r="H3107" s="14" t="str">
        <f>IFERROR(__xludf.DUMMYFUNCTION("""COMPUTED_VALUE"""),"Eci (SU)")</f>
        <v>Eci (SU)</v>
      </c>
      <c r="I3107" s="13" t="str">
        <f>IFERROR(__xludf.DUMMYFUNCTION("""COMPUTED_VALUE"""),"SELESAI (VIA PERMOHONAN)")</f>
        <v>SELESAI (VIA PERMOHONAN)</v>
      </c>
      <c r="J3107" s="17">
        <f>IFERROR(__xludf.DUMMYFUNCTION("""COMPUTED_VALUE"""),45863.72501542824)</f>
        <v>45863.72502</v>
      </c>
      <c r="K3107" s="13" t="str">
        <f>IFERROR(__xludf.DUMMYFUNCTION("""COMPUTED_VALUE"""),"Selesai")</f>
        <v>Selesai</v>
      </c>
      <c r="L3107" s="17">
        <f>IFERROR(__xludf.DUMMYFUNCTION("""COMPUTED_VALUE"""),45863.72501542824)</f>
        <v>45863.72502</v>
      </c>
      <c r="M3107" s="13"/>
      <c r="N3107" s="13" t="str">
        <f>IFERROR(__xludf.DUMMYFUNCTION("""COMPUTED_VALUE"""),"")</f>
        <v/>
      </c>
      <c r="O3107" s="13" t="str">
        <f t="shared" si="1"/>
        <v/>
      </c>
    </row>
    <row r="3108" ht="22.5" customHeight="1">
      <c r="B3108" s="13">
        <f>IFERROR(__xludf.DUMMYFUNCTION("""COMPUTED_VALUE"""),3103.0)</f>
        <v>3103</v>
      </c>
      <c r="C3108" s="13" t="str">
        <f>IFERROR(__xludf.DUMMYFUNCTION("""COMPUTED_VALUE"""),"M. 1489/ Keteguhan")</f>
        <v>M. 1489/ Keteguhan</v>
      </c>
      <c r="D3108" s="13" t="str">
        <f>IFERROR(__xludf.DUMMYFUNCTION("""COMPUTED_VALUE"""),"K/49/040725/3")</f>
        <v>K/49/040725/3</v>
      </c>
      <c r="E3108" s="14" t="str">
        <f>IFERROR(__xludf.DUMMYFUNCTION("""COMPUTED_VALUE"""),"Afriza (BT)")</f>
        <v>Afriza (BT)</v>
      </c>
      <c r="F3108" s="14" t="str">
        <f>IFERROR(__xludf.DUMMYFUNCTION("""COMPUTED_VALUE"""),"SELESAI (VIA PERMOHONAN)")</f>
        <v>SELESAI (VIA PERMOHONAN)</v>
      </c>
      <c r="G3108" s="17">
        <f>IFERROR(__xludf.DUMMYFUNCTION("""COMPUTED_VALUE"""),45863.410720960645)</f>
        <v>45863.41072</v>
      </c>
      <c r="H3108" s="14" t="str">
        <f>IFERROR(__xludf.DUMMYFUNCTION("""COMPUTED_VALUE"""),"Eci (SU)")</f>
        <v>Eci (SU)</v>
      </c>
      <c r="I3108" s="13" t="str">
        <f>IFERROR(__xludf.DUMMYFUNCTION("""COMPUTED_VALUE"""),"SELESAI (VIA PERMOHONAN)")</f>
        <v>SELESAI (VIA PERMOHONAN)</v>
      </c>
      <c r="J3108" s="17">
        <f>IFERROR(__xludf.DUMMYFUNCTION("""COMPUTED_VALUE"""),45863.72501542824)</f>
        <v>45863.72502</v>
      </c>
      <c r="K3108" s="13" t="str">
        <f>IFERROR(__xludf.DUMMYFUNCTION("""COMPUTED_VALUE"""),"Selesai")</f>
        <v>Selesai</v>
      </c>
      <c r="L3108" s="17">
        <f>IFERROR(__xludf.DUMMYFUNCTION("""COMPUTED_VALUE"""),45863.72501542824)</f>
        <v>45863.72502</v>
      </c>
      <c r="M3108" s="13"/>
      <c r="N3108" s="13" t="str">
        <f>IFERROR(__xludf.DUMMYFUNCTION("""COMPUTED_VALUE"""),"")</f>
        <v/>
      </c>
      <c r="O3108" s="13" t="str">
        <f t="shared" si="1"/>
        <v/>
      </c>
    </row>
    <row r="3109" ht="22.5" customHeight="1">
      <c r="B3109" s="13">
        <f>IFERROR(__xludf.DUMMYFUNCTION("""COMPUTED_VALUE"""),3104.0)</f>
        <v>3104</v>
      </c>
      <c r="C3109" s="13" t="str">
        <f>IFERROR(__xludf.DUMMYFUNCTION("""COMPUTED_VALUE"""),"M. 1607/ Kemiling Raya")</f>
        <v>M. 1607/ Kemiling Raya</v>
      </c>
      <c r="D3109" s="13" t="str">
        <f>IFERROR(__xludf.DUMMYFUNCTION("""COMPUTED_VALUE"""),"K/27/100725/3")</f>
        <v>K/27/100725/3</v>
      </c>
      <c r="E3109" s="14" t="str">
        <f>IFERROR(__xludf.DUMMYFUNCTION("""COMPUTED_VALUE"""),"Afriza (BT)")</f>
        <v>Afriza (BT)</v>
      </c>
      <c r="F3109" s="14" t="str">
        <f>IFERROR(__xludf.DUMMYFUNCTION("""COMPUTED_VALUE"""),"SELESAI (VIA PERMOHONAN)")</f>
        <v>SELESAI (VIA PERMOHONAN)</v>
      </c>
      <c r="G3109" s="17">
        <f>IFERROR(__xludf.DUMMYFUNCTION("""COMPUTED_VALUE"""),45863.41084458333)</f>
        <v>45863.41084</v>
      </c>
      <c r="H3109" s="14" t="str">
        <f>IFERROR(__xludf.DUMMYFUNCTION("""COMPUTED_VALUE"""),"Eci (SU)")</f>
        <v>Eci (SU)</v>
      </c>
      <c r="I3109" s="13" t="str">
        <f>IFERROR(__xludf.DUMMYFUNCTION("""COMPUTED_VALUE"""),"SELESAI (VIA PERMOHONAN)")</f>
        <v>SELESAI (VIA PERMOHONAN)</v>
      </c>
      <c r="J3109" s="17">
        <f>IFERROR(__xludf.DUMMYFUNCTION("""COMPUTED_VALUE"""),45863.72501542824)</f>
        <v>45863.72502</v>
      </c>
      <c r="K3109" s="13" t="str">
        <f>IFERROR(__xludf.DUMMYFUNCTION("""COMPUTED_VALUE"""),"Selesai")</f>
        <v>Selesai</v>
      </c>
      <c r="L3109" s="17">
        <f>IFERROR(__xludf.DUMMYFUNCTION("""COMPUTED_VALUE"""),45863.72501542824)</f>
        <v>45863.72502</v>
      </c>
      <c r="M3109" s="13"/>
      <c r="N3109" s="13" t="str">
        <f>IFERROR(__xludf.DUMMYFUNCTION("""COMPUTED_VALUE"""),"")</f>
        <v/>
      </c>
      <c r="O3109" s="13" t="str">
        <f t="shared" si="1"/>
        <v/>
      </c>
    </row>
    <row r="3110" ht="22.5" customHeight="1">
      <c r="B3110" s="13">
        <f>IFERROR(__xludf.DUMMYFUNCTION("""COMPUTED_VALUE"""),3105.0)</f>
        <v>3105</v>
      </c>
      <c r="C3110" s="13" t="str">
        <f>IFERROR(__xludf.DUMMYFUNCTION("""COMPUTED_VALUE"""),"M. 2331/ Rajabasa Jaya")</f>
        <v>M. 2331/ Rajabasa Jaya</v>
      </c>
      <c r="D3110" s="13" t="str">
        <f>IFERROR(__xludf.DUMMYFUNCTION("""COMPUTED_VALUE"""),"K/49/140725/1")</f>
        <v>K/49/140725/1</v>
      </c>
      <c r="E3110" s="14" t="str">
        <f>IFERROR(__xludf.DUMMYFUNCTION("""COMPUTED_VALUE"""),"Afriza (BT)")</f>
        <v>Afriza (BT)</v>
      </c>
      <c r="F3110" s="14" t="str">
        <f>IFERROR(__xludf.DUMMYFUNCTION("""COMPUTED_VALUE"""),"SELESAI (VIA PERMOHONAN)")</f>
        <v>SELESAI (VIA PERMOHONAN)</v>
      </c>
      <c r="G3110" s="17">
        <f>IFERROR(__xludf.DUMMYFUNCTION("""COMPUTED_VALUE"""),45863.41093290509)</f>
        <v>45863.41093</v>
      </c>
      <c r="H3110" s="14" t="str">
        <f>IFERROR(__xludf.DUMMYFUNCTION("""COMPUTED_VALUE"""),"Eci (SU)")</f>
        <v>Eci (SU)</v>
      </c>
      <c r="I3110" s="13" t="str">
        <f>IFERROR(__xludf.DUMMYFUNCTION("""COMPUTED_VALUE"""),"SELESAI (VIA PERMOHONAN)")</f>
        <v>SELESAI (VIA PERMOHONAN)</v>
      </c>
      <c r="J3110" s="17">
        <f>IFERROR(__xludf.DUMMYFUNCTION("""COMPUTED_VALUE"""),45863.72501542824)</f>
        <v>45863.72502</v>
      </c>
      <c r="K3110" s="13" t="str">
        <f>IFERROR(__xludf.DUMMYFUNCTION("""COMPUTED_VALUE"""),"Selesai")</f>
        <v>Selesai</v>
      </c>
      <c r="L3110" s="17">
        <f>IFERROR(__xludf.DUMMYFUNCTION("""COMPUTED_VALUE"""),45863.72501542824)</f>
        <v>45863.72502</v>
      </c>
      <c r="M3110" s="13"/>
      <c r="N3110" s="13" t="str">
        <f>IFERROR(__xludf.DUMMYFUNCTION("""COMPUTED_VALUE"""),"")</f>
        <v/>
      </c>
      <c r="O3110" s="13" t="str">
        <f t="shared" si="1"/>
        <v/>
      </c>
    </row>
    <row r="3111" ht="22.5" customHeight="1">
      <c r="B3111" s="13">
        <f>IFERROR(__xludf.DUMMYFUNCTION("""COMPUTED_VALUE"""),3106.0)</f>
        <v>3106</v>
      </c>
      <c r="C3111" s="13" t="str">
        <f>IFERROR(__xludf.DUMMYFUNCTION("""COMPUTED_VALUE"""),"MARS 284/SUMUR PUTRI")</f>
        <v>MARS 284/SUMUR PUTRI</v>
      </c>
      <c r="D3111" s="13" t="str">
        <f>IFERROR(__xludf.DUMMYFUNCTION("""COMPUTED_VALUE"""),"K/54/040725/1")</f>
        <v>K/54/040725/1</v>
      </c>
      <c r="E3111" s="14" t="str">
        <f>IFERROR(__xludf.DUMMYFUNCTION("""COMPUTED_VALUE"""),"Afriza (BT)")</f>
        <v>Afriza (BT)</v>
      </c>
      <c r="F3111" s="14" t="str">
        <f>IFERROR(__xludf.DUMMYFUNCTION("""COMPUTED_VALUE"""),"SELESAI (VIA PERMOHONAN)")</f>
        <v>SELESAI (VIA PERMOHONAN)</v>
      </c>
      <c r="G3111" s="17">
        <f>IFERROR(__xludf.DUMMYFUNCTION("""COMPUTED_VALUE"""),45863.41112208333)</f>
        <v>45863.41112</v>
      </c>
      <c r="H3111" s="14" t="str">
        <f>IFERROR(__xludf.DUMMYFUNCTION("""COMPUTED_VALUE"""),"Eci (SU)")</f>
        <v>Eci (SU)</v>
      </c>
      <c r="I3111" s="13" t="str">
        <f>IFERROR(__xludf.DUMMYFUNCTION("""COMPUTED_VALUE"""),"SELESAI (VIA PERMOHONAN)")</f>
        <v>SELESAI (VIA PERMOHONAN)</v>
      </c>
      <c r="J3111" s="17">
        <f>IFERROR(__xludf.DUMMYFUNCTION("""COMPUTED_VALUE"""),45863.72501542824)</f>
        <v>45863.72502</v>
      </c>
      <c r="K3111" s="13" t="str">
        <f>IFERROR(__xludf.DUMMYFUNCTION("""COMPUTED_VALUE"""),"Selesai")</f>
        <v>Selesai</v>
      </c>
      <c r="L3111" s="17">
        <f>IFERROR(__xludf.DUMMYFUNCTION("""COMPUTED_VALUE"""),45863.72501542824)</f>
        <v>45863.72502</v>
      </c>
      <c r="M3111" s="13"/>
      <c r="N3111" s="13" t="str">
        <f>IFERROR(__xludf.DUMMYFUNCTION("""COMPUTED_VALUE"""),"")</f>
        <v/>
      </c>
      <c r="O3111" s="13" t="str">
        <f t="shared" si="1"/>
        <v/>
      </c>
    </row>
    <row r="3112" ht="22.5" customHeight="1">
      <c r="B3112" s="13">
        <f>IFERROR(__xludf.DUMMYFUNCTION("""COMPUTED_VALUE"""),3107.0)</f>
        <v>3107</v>
      </c>
      <c r="C3112" s="13" t="str">
        <f>IFERROR(__xludf.DUMMYFUNCTION("""COMPUTED_VALUE"""),"M. 5203/ Way Kandis")</f>
        <v>M. 5203/ Way Kandis</v>
      </c>
      <c r="D3112" s="13" t="str">
        <f>IFERROR(__xludf.DUMMYFUNCTION("""COMPUTED_VALUE"""),"K/2/150725/1")</f>
        <v>K/2/150725/1</v>
      </c>
      <c r="E3112" s="14" t="str">
        <f>IFERROR(__xludf.DUMMYFUNCTION("""COMPUTED_VALUE"""),"Afriza (BT)")</f>
        <v>Afriza (BT)</v>
      </c>
      <c r="F3112" s="14" t="str">
        <f>IFERROR(__xludf.DUMMYFUNCTION("""COMPUTED_VALUE"""),"SELESAI (VIA PERMOHONAN)")</f>
        <v>SELESAI (VIA PERMOHONAN)</v>
      </c>
      <c r="G3112" s="17">
        <f>IFERROR(__xludf.DUMMYFUNCTION("""COMPUTED_VALUE"""),45863.41124570602)</f>
        <v>45863.41125</v>
      </c>
      <c r="H3112" s="14" t="str">
        <f>IFERROR(__xludf.DUMMYFUNCTION("""COMPUTED_VALUE"""),"Eci (SU)")</f>
        <v>Eci (SU)</v>
      </c>
      <c r="I3112" s="13" t="str">
        <f>IFERROR(__xludf.DUMMYFUNCTION("""COMPUTED_VALUE"""),"SELESAI (VIA PERMOHONAN)")</f>
        <v>SELESAI (VIA PERMOHONAN)</v>
      </c>
      <c r="J3112" s="17">
        <f>IFERROR(__xludf.DUMMYFUNCTION("""COMPUTED_VALUE"""),45863.72501542824)</f>
        <v>45863.72502</v>
      </c>
      <c r="K3112" s="13" t="str">
        <f>IFERROR(__xludf.DUMMYFUNCTION("""COMPUTED_VALUE"""),"Selesai")</f>
        <v>Selesai</v>
      </c>
      <c r="L3112" s="17">
        <f>IFERROR(__xludf.DUMMYFUNCTION("""COMPUTED_VALUE"""),45863.72501542824)</f>
        <v>45863.72502</v>
      </c>
      <c r="M3112" s="13"/>
      <c r="N3112" s="13" t="str">
        <f>IFERROR(__xludf.DUMMYFUNCTION("""COMPUTED_VALUE"""),"")</f>
        <v/>
      </c>
      <c r="O3112" s="13" t="str">
        <f t="shared" si="1"/>
        <v/>
      </c>
    </row>
    <row r="3113" ht="22.5" customHeight="1">
      <c r="B3113" s="13">
        <f>IFERROR(__xludf.DUMMYFUNCTION("""COMPUTED_VALUE"""),3108.0)</f>
        <v>3108</v>
      </c>
      <c r="C3113" s="13" t="str">
        <f>IFERROR(__xludf.DUMMYFUNCTION("""COMPUTED_VALUE"""),"HGB 1215/SUKABUMI INDAH")</f>
        <v>HGB 1215/SUKABUMI INDAH</v>
      </c>
      <c r="D3113" s="13" t="str">
        <f>IFERROR(__xludf.DUMMYFUNCTION("""COMPUTED_VALUE"""),"L/1/080725/1")</f>
        <v>L/1/080725/1</v>
      </c>
      <c r="E3113" s="14" t="str">
        <f>IFERROR(__xludf.DUMMYFUNCTION("""COMPUTED_VALUE"""),"Admin (Migrasi)")</f>
        <v>Admin (Migrasi)</v>
      </c>
      <c r="F3113" s="14" t="str">
        <f>IFERROR(__xludf.DUMMYFUNCTION("""COMPUTED_VALUE"""),"SELESAI (VIA PERMOHONAN)")</f>
        <v>SELESAI (VIA PERMOHONAN)</v>
      </c>
      <c r="G3113" s="17">
        <f>IFERROR(__xludf.DUMMYFUNCTION("""COMPUTED_VALUE"""),45863.43761166667)</f>
        <v>45863.43761</v>
      </c>
      <c r="H3113" s="14" t="str">
        <f>IFERROR(__xludf.DUMMYFUNCTION("""COMPUTED_VALUE"""),"Admin (Migrasi)")</f>
        <v>Admin (Migrasi)</v>
      </c>
      <c r="I3113" s="13" t="str">
        <f>IFERROR(__xludf.DUMMYFUNCTION("""COMPUTED_VALUE"""),"SELESAI (VIA PERMOHONAN)")</f>
        <v>SELESAI (VIA PERMOHONAN)</v>
      </c>
      <c r="J3113" s="17">
        <f>IFERROR(__xludf.DUMMYFUNCTION("""COMPUTED_VALUE"""),45863.437642164354)</f>
        <v>45863.43764</v>
      </c>
      <c r="K3113" s="13" t="str">
        <f>IFERROR(__xludf.DUMMYFUNCTION("""COMPUTED_VALUE"""),"Selesai")</f>
        <v>Selesai</v>
      </c>
      <c r="L3113" s="17">
        <f>IFERROR(__xludf.DUMMYFUNCTION("""COMPUTED_VALUE"""),45863.437642164354)</f>
        <v>45863.43764</v>
      </c>
      <c r="M3113" s="13"/>
      <c r="N3113" s="13" t="str">
        <f>IFERROR(__xludf.DUMMYFUNCTION("""COMPUTED_VALUE"""),"")</f>
        <v/>
      </c>
      <c r="O3113" s="13" t="str">
        <f t="shared" si="1"/>
        <v/>
      </c>
    </row>
    <row r="3114" ht="22.5" customHeight="1">
      <c r="B3114" s="13">
        <f>IFERROR(__xludf.DUMMYFUNCTION("""COMPUTED_VALUE"""),3109.0)</f>
        <v>3109</v>
      </c>
      <c r="C3114" s="13" t="str">
        <f>IFERROR(__xludf.DUMMYFUNCTION("""COMPUTED_VALUE"""),"HM 4952/TANJUNG SENANG")</f>
        <v>HM 4952/TANJUNG SENANG</v>
      </c>
      <c r="D3114" s="13" t="str">
        <f>IFERROR(__xludf.DUMMYFUNCTION("""COMPUTED_VALUE"""),"L/16/190625/1")</f>
        <v>L/16/190625/1</v>
      </c>
      <c r="E3114" s="14" t="str">
        <f>IFERROR(__xludf.DUMMYFUNCTION("""COMPUTED_VALUE"""),"Admin (Migrasi)")</f>
        <v>Admin (Migrasi)</v>
      </c>
      <c r="F3114" s="14" t="str">
        <f>IFERROR(__xludf.DUMMYFUNCTION("""COMPUTED_VALUE"""),"SELESAI (VIA PERMOHONAN)")</f>
        <v>SELESAI (VIA PERMOHONAN)</v>
      </c>
      <c r="G3114" s="17">
        <f>IFERROR(__xludf.DUMMYFUNCTION("""COMPUTED_VALUE"""),45863.437784548616)</f>
        <v>45863.43778</v>
      </c>
      <c r="H3114" s="14" t="str">
        <f>IFERROR(__xludf.DUMMYFUNCTION("""COMPUTED_VALUE"""),"Admin (Migrasi)")</f>
        <v>Admin (Migrasi)</v>
      </c>
      <c r="I3114" s="13" t="str">
        <f>IFERROR(__xludf.DUMMYFUNCTION("""COMPUTED_VALUE"""),"SELESAI (VIA PERMOHONAN)")</f>
        <v>SELESAI (VIA PERMOHONAN)</v>
      </c>
      <c r="J3114" s="17">
        <f>IFERROR(__xludf.DUMMYFUNCTION("""COMPUTED_VALUE"""),45863.43780971065)</f>
        <v>45863.43781</v>
      </c>
      <c r="K3114" s="13" t="str">
        <f>IFERROR(__xludf.DUMMYFUNCTION("""COMPUTED_VALUE"""),"Selesai")</f>
        <v>Selesai</v>
      </c>
      <c r="L3114" s="17">
        <f>IFERROR(__xludf.DUMMYFUNCTION("""COMPUTED_VALUE"""),45863.43780971065)</f>
        <v>45863.43781</v>
      </c>
      <c r="M3114" s="13"/>
      <c r="N3114" s="13" t="str">
        <f>IFERROR(__xludf.DUMMYFUNCTION("""COMPUTED_VALUE"""),"")</f>
        <v/>
      </c>
      <c r="O3114" s="13" t="str">
        <f t="shared" si="1"/>
        <v/>
      </c>
    </row>
    <row r="3115" ht="22.5" customHeight="1">
      <c r="B3115" s="13">
        <f>IFERROR(__xludf.DUMMYFUNCTION("""COMPUTED_VALUE"""),3110.0)</f>
        <v>3110</v>
      </c>
      <c r="C3115" s="13" t="str">
        <f>IFERROR(__xludf.DUMMYFUNCTION("""COMPUTED_VALUE"""),"HM 1303/WAY LUNIK")</f>
        <v>HM 1303/WAY LUNIK</v>
      </c>
      <c r="D3115" s="13" t="str">
        <f>IFERROR(__xludf.DUMMYFUNCTION("""COMPUTED_VALUE"""),"L/9/040725/1")</f>
        <v>L/9/040725/1</v>
      </c>
      <c r="E3115" s="14" t="str">
        <f>IFERROR(__xludf.DUMMYFUNCTION("""COMPUTED_VALUE"""),"Admin (Migrasi)")</f>
        <v>Admin (Migrasi)</v>
      </c>
      <c r="F3115" s="14" t="str">
        <f>IFERROR(__xludf.DUMMYFUNCTION("""COMPUTED_VALUE"""),"SELESAI (VIA PERMOHONAN)")</f>
        <v>SELESAI (VIA PERMOHONAN)</v>
      </c>
      <c r="G3115" s="17">
        <f>IFERROR(__xludf.DUMMYFUNCTION("""COMPUTED_VALUE"""),45863.438003310184)</f>
        <v>45863.438</v>
      </c>
      <c r="H3115" s="14" t="str">
        <f>IFERROR(__xludf.DUMMYFUNCTION("""COMPUTED_VALUE"""),"Admin (Migrasi)")</f>
        <v>Admin (Migrasi)</v>
      </c>
      <c r="I3115" s="13" t="str">
        <f>IFERROR(__xludf.DUMMYFUNCTION("""COMPUTED_VALUE"""),"SELESAI (VIA PERMOHONAN)")</f>
        <v>SELESAI (VIA PERMOHONAN)</v>
      </c>
      <c r="J3115" s="17">
        <f>IFERROR(__xludf.DUMMYFUNCTION("""COMPUTED_VALUE"""),45863.43803315972)</f>
        <v>45863.43803</v>
      </c>
      <c r="K3115" s="13" t="str">
        <f>IFERROR(__xludf.DUMMYFUNCTION("""COMPUTED_VALUE"""),"Selesai")</f>
        <v>Selesai</v>
      </c>
      <c r="L3115" s="17">
        <f>IFERROR(__xludf.DUMMYFUNCTION("""COMPUTED_VALUE"""),45863.43803315972)</f>
        <v>45863.43803</v>
      </c>
      <c r="M3115" s="13"/>
      <c r="N3115" s="13" t="str">
        <f>IFERROR(__xludf.DUMMYFUNCTION("""COMPUTED_VALUE"""),"")</f>
        <v/>
      </c>
      <c r="O3115" s="13" t="str">
        <f t="shared" si="1"/>
        <v/>
      </c>
    </row>
    <row r="3116" ht="22.5" customHeight="1">
      <c r="B3116" s="13">
        <f>IFERROR(__xludf.DUMMYFUNCTION("""COMPUTED_VALUE"""),3111.0)</f>
        <v>3111</v>
      </c>
      <c r="C3116" s="13" t="str">
        <f>IFERROR(__xludf.DUMMYFUNCTION("""COMPUTED_VALUE"""),"M. 178/ Kaliawi Persada")</f>
        <v>M. 178/ Kaliawi Persada</v>
      </c>
      <c r="D3116" s="13" t="str">
        <f>IFERROR(__xludf.DUMMYFUNCTION("""COMPUTED_VALUE"""),"K/25/170725/1")</f>
        <v>K/25/170725/1</v>
      </c>
      <c r="E3116" s="14" t="str">
        <f>IFERROR(__xludf.DUMMYFUNCTION("""COMPUTED_VALUE"""),"Admin (Migrasi)")</f>
        <v>Admin (Migrasi)</v>
      </c>
      <c r="F3116" s="14" t="str">
        <f>IFERROR(__xludf.DUMMYFUNCTION("""COMPUTED_VALUE"""),"SELESAI (VIA PERMOHONAN)")</f>
        <v>SELESAI (VIA PERMOHONAN)</v>
      </c>
      <c r="G3116" s="17">
        <f>IFERROR(__xludf.DUMMYFUNCTION("""COMPUTED_VALUE"""),45863.43871321759)</f>
        <v>45863.43871</v>
      </c>
      <c r="H3116" s="14" t="str">
        <f>IFERROR(__xludf.DUMMYFUNCTION("""COMPUTED_VALUE"""),"Admin (Migrasi)")</f>
        <v>Admin (Migrasi)</v>
      </c>
      <c r="I3116" s="13" t="str">
        <f>IFERROR(__xludf.DUMMYFUNCTION("""COMPUTED_VALUE"""),"SELESAI (VIA PERMOHONAN)")</f>
        <v>SELESAI (VIA PERMOHONAN)</v>
      </c>
      <c r="J3116" s="17">
        <f>IFERROR(__xludf.DUMMYFUNCTION("""COMPUTED_VALUE"""),45863.43871321759)</f>
        <v>45863.43871</v>
      </c>
      <c r="K3116" s="13" t="str">
        <f>IFERROR(__xludf.DUMMYFUNCTION("""COMPUTED_VALUE"""),"Selesai")</f>
        <v>Selesai</v>
      </c>
      <c r="L3116" s="17">
        <f>IFERROR(__xludf.DUMMYFUNCTION("""COMPUTED_VALUE"""),45863.43871321759)</f>
        <v>45863.43871</v>
      </c>
      <c r="M3116" s="13"/>
      <c r="N3116" s="13" t="str">
        <f>IFERROR(__xludf.DUMMYFUNCTION("""COMPUTED_VALUE"""),"")</f>
        <v/>
      </c>
      <c r="O3116" s="13" t="str">
        <f t="shared" si="1"/>
        <v/>
      </c>
    </row>
    <row r="3117" ht="22.5" customHeight="1">
      <c r="B3117" s="13">
        <f>IFERROR(__xludf.DUMMYFUNCTION("""COMPUTED_VALUE"""),3112.0)</f>
        <v>3112</v>
      </c>
      <c r="C3117" s="13" t="str">
        <f>IFERROR(__xludf.DUMMYFUNCTION("""COMPUTED_VALUE"""),"HGB 3237/SUKABUMI")</f>
        <v>HGB 3237/SUKABUMI</v>
      </c>
      <c r="D3117" s="13" t="str">
        <f>IFERROR(__xludf.DUMMYFUNCTION("""COMPUTED_VALUE"""),"L/2/160725/1")</f>
        <v>L/2/160725/1</v>
      </c>
      <c r="E3117" s="14" t="str">
        <f>IFERROR(__xludf.DUMMYFUNCTION("""COMPUTED_VALUE"""),"Heri (BT)")</f>
        <v>Heri (BT)</v>
      </c>
      <c r="F3117" s="14" t="str">
        <f>IFERROR(__xludf.DUMMYFUNCTION("""COMPUTED_VALUE"""),"SELESAI (VIA PERMOHONAN)")</f>
        <v>SELESAI (VIA PERMOHONAN)</v>
      </c>
      <c r="G3117" s="17">
        <f>IFERROR(__xludf.DUMMYFUNCTION("""COMPUTED_VALUE"""),45863.53500815972)</f>
        <v>45863.53501</v>
      </c>
      <c r="H3117" s="14" t="str">
        <f>IFERROR(__xludf.DUMMYFUNCTION("""COMPUTED_VALUE"""),"Eci (SU)")</f>
        <v>Eci (SU)</v>
      </c>
      <c r="I3117" s="13" t="str">
        <f>IFERROR(__xludf.DUMMYFUNCTION("""COMPUTED_VALUE"""),"SELESAI (VIA PERMOHONAN)")</f>
        <v>SELESAI (VIA PERMOHONAN)</v>
      </c>
      <c r="J3117" s="17">
        <f>IFERROR(__xludf.DUMMYFUNCTION("""COMPUTED_VALUE"""),45866.50176378472)</f>
        <v>45866.50176</v>
      </c>
      <c r="K3117" s="13" t="str">
        <f>IFERROR(__xludf.DUMMYFUNCTION("""COMPUTED_VALUE"""),"Selesai")</f>
        <v>Selesai</v>
      </c>
      <c r="L3117" s="17">
        <f>IFERROR(__xludf.DUMMYFUNCTION("""COMPUTED_VALUE"""),45866.50176378472)</f>
        <v>45866.50176</v>
      </c>
      <c r="M3117" s="13"/>
      <c r="N3117" s="13" t="str">
        <f>IFERROR(__xludf.DUMMYFUNCTION("""COMPUTED_VALUE"""),"")</f>
        <v/>
      </c>
      <c r="O3117" s="13" t="str">
        <f t="shared" si="1"/>
        <v/>
      </c>
    </row>
    <row r="3118" ht="22.5" customHeight="1">
      <c r="B3118" s="13">
        <f>IFERROR(__xludf.DUMMYFUNCTION("""COMPUTED_VALUE"""),3113.0)</f>
        <v>3113</v>
      </c>
      <c r="C3118" s="13" t="str">
        <f>IFERROR(__xludf.DUMMYFUNCTION("""COMPUTED_VALUE"""),"M. 310/ Nusantara Permai")</f>
        <v>M. 310/ Nusantara Permai</v>
      </c>
      <c r="D3118" s="13" t="str">
        <f>IFERROR(__xludf.DUMMYFUNCTION("""COMPUTED_VALUE"""),"K/4/070725/1")</f>
        <v>K/4/070725/1</v>
      </c>
      <c r="E3118" s="14" t="str">
        <f>IFERROR(__xludf.DUMMYFUNCTION("""COMPUTED_VALUE"""),"Heri (BT)")</f>
        <v>Heri (BT)</v>
      </c>
      <c r="F3118" s="14" t="str">
        <f>IFERROR(__xludf.DUMMYFUNCTION("""COMPUTED_VALUE"""),"SELESAI (VIA PERMOHONAN)")</f>
        <v>SELESAI (VIA PERMOHONAN)</v>
      </c>
      <c r="G3118" s="17">
        <f>IFERROR(__xludf.DUMMYFUNCTION("""COMPUTED_VALUE"""),45863.53515116898)</f>
        <v>45863.53515</v>
      </c>
      <c r="H3118" s="14" t="str">
        <f>IFERROR(__xludf.DUMMYFUNCTION("""COMPUTED_VALUE"""),"Eci (SU)")</f>
        <v>Eci (SU)</v>
      </c>
      <c r="I3118" s="13" t="str">
        <f>IFERROR(__xludf.DUMMYFUNCTION("""COMPUTED_VALUE"""),"SELESAI (VIA PERMOHONAN)")</f>
        <v>SELESAI (VIA PERMOHONAN)</v>
      </c>
      <c r="J3118" s="17">
        <f>IFERROR(__xludf.DUMMYFUNCTION("""COMPUTED_VALUE"""),45866.509147881945)</f>
        <v>45866.50915</v>
      </c>
      <c r="K3118" s="13" t="str">
        <f>IFERROR(__xludf.DUMMYFUNCTION("""COMPUTED_VALUE"""),"Selesai")</f>
        <v>Selesai</v>
      </c>
      <c r="L3118" s="17">
        <f>IFERROR(__xludf.DUMMYFUNCTION("""COMPUTED_VALUE"""),45866.509147881945)</f>
        <v>45866.50915</v>
      </c>
      <c r="M3118" s="13"/>
      <c r="N3118" s="13" t="str">
        <f>IFERROR(__xludf.DUMMYFUNCTION("""COMPUTED_VALUE"""),"")</f>
        <v/>
      </c>
      <c r="O3118" s="13" t="str">
        <f t="shared" si="1"/>
        <v/>
      </c>
    </row>
    <row r="3119" ht="22.5" customHeight="1">
      <c r="B3119" s="13">
        <f>IFERROR(__xludf.DUMMYFUNCTION("""COMPUTED_VALUE"""),3114.0)</f>
        <v>3114</v>
      </c>
      <c r="C3119" s="13" t="str">
        <f>IFERROR(__xludf.DUMMYFUNCTION("""COMPUTED_VALUE"""),"M. 2665/ Kota Karang")</f>
        <v>M. 2665/ Kota Karang</v>
      </c>
      <c r="D3119" s="13" t="str">
        <f>IFERROR(__xludf.DUMMYFUNCTION("""COMPUTED_VALUE"""),"K/1/140725/1")</f>
        <v>K/1/140725/1</v>
      </c>
      <c r="E3119" s="14" t="str">
        <f>IFERROR(__xludf.DUMMYFUNCTION("""COMPUTED_VALUE"""),"Heri (BT)")</f>
        <v>Heri (BT)</v>
      </c>
      <c r="F3119" s="14" t="str">
        <f>IFERROR(__xludf.DUMMYFUNCTION("""COMPUTED_VALUE"""),"SELESAI (VIA PERMOHONAN)")</f>
        <v>SELESAI (VIA PERMOHONAN)</v>
      </c>
      <c r="G3119" s="17">
        <f>IFERROR(__xludf.DUMMYFUNCTION("""COMPUTED_VALUE"""),45863.53527354167)</f>
        <v>45863.53527</v>
      </c>
      <c r="H3119" s="14" t="str">
        <f>IFERROR(__xludf.DUMMYFUNCTION("""COMPUTED_VALUE"""),"Eci (SU)")</f>
        <v>Eci (SU)</v>
      </c>
      <c r="I3119" s="13" t="str">
        <f>IFERROR(__xludf.DUMMYFUNCTION("""COMPUTED_VALUE"""),"SELESAI (VIA PERMOHONAN)")</f>
        <v>SELESAI (VIA PERMOHONAN)</v>
      </c>
      <c r="J3119" s="17">
        <f>IFERROR(__xludf.DUMMYFUNCTION("""COMPUTED_VALUE"""),45866.509147881945)</f>
        <v>45866.50915</v>
      </c>
      <c r="K3119" s="13" t="str">
        <f>IFERROR(__xludf.DUMMYFUNCTION("""COMPUTED_VALUE"""),"Selesai")</f>
        <v>Selesai</v>
      </c>
      <c r="L3119" s="17">
        <f>IFERROR(__xludf.DUMMYFUNCTION("""COMPUTED_VALUE"""),45866.509147881945)</f>
        <v>45866.50915</v>
      </c>
      <c r="M3119" s="13"/>
      <c r="N3119" s="13" t="str">
        <f>IFERROR(__xludf.DUMMYFUNCTION("""COMPUTED_VALUE"""),"")</f>
        <v/>
      </c>
      <c r="O3119" s="13" t="str">
        <f t="shared" si="1"/>
        <v/>
      </c>
    </row>
    <row r="3120" ht="22.5" customHeight="1">
      <c r="B3120" s="13">
        <f>IFERROR(__xludf.DUMMYFUNCTION("""COMPUTED_VALUE"""),3115.0)</f>
        <v>3115</v>
      </c>
      <c r="C3120" s="13" t="str">
        <f>IFERROR(__xludf.DUMMYFUNCTION("""COMPUTED_VALUE"""),"M.1447/TELUKBETUNG")</f>
        <v>M.1447/TELUKBETUNG</v>
      </c>
      <c r="D3120" s="13" t="str">
        <f>IFERROR(__xludf.DUMMYFUNCTION("""COMPUTED_VALUE"""),"K/30/170725/1")</f>
        <v>K/30/170725/1</v>
      </c>
      <c r="E3120" s="14" t="str">
        <f>IFERROR(__xludf.DUMMYFUNCTION("""COMPUTED_VALUE"""),"Heri (BT)")</f>
        <v>Heri (BT)</v>
      </c>
      <c r="F3120" s="14" t="str">
        <f>IFERROR(__xludf.DUMMYFUNCTION("""COMPUTED_VALUE"""),"SELESAI (VIA PERMOHONAN)")</f>
        <v>SELESAI (VIA PERMOHONAN)</v>
      </c>
      <c r="G3120" s="17">
        <f>IFERROR(__xludf.DUMMYFUNCTION("""COMPUTED_VALUE"""),45863.53540179398)</f>
        <v>45863.5354</v>
      </c>
      <c r="H3120" s="14" t="str">
        <f>IFERROR(__xludf.DUMMYFUNCTION("""COMPUTED_VALUE"""),"Eci (SU)")</f>
        <v>Eci (SU)</v>
      </c>
      <c r="I3120" s="13" t="str">
        <f>IFERROR(__xludf.DUMMYFUNCTION("""COMPUTED_VALUE"""),"SELESAI (VIA PERMOHONAN)")</f>
        <v>SELESAI (VIA PERMOHONAN)</v>
      </c>
      <c r="J3120" s="17">
        <f>IFERROR(__xludf.DUMMYFUNCTION("""COMPUTED_VALUE"""),45866.509147881945)</f>
        <v>45866.50915</v>
      </c>
      <c r="K3120" s="13" t="str">
        <f>IFERROR(__xludf.DUMMYFUNCTION("""COMPUTED_VALUE"""),"Selesai")</f>
        <v>Selesai</v>
      </c>
      <c r="L3120" s="17">
        <f>IFERROR(__xludf.DUMMYFUNCTION("""COMPUTED_VALUE"""),45866.509147881945)</f>
        <v>45866.50915</v>
      </c>
      <c r="M3120" s="13"/>
      <c r="N3120" s="13" t="str">
        <f>IFERROR(__xludf.DUMMYFUNCTION("""COMPUTED_VALUE"""),"")</f>
        <v/>
      </c>
      <c r="O3120" s="13" t="str">
        <f t="shared" si="1"/>
        <v/>
      </c>
    </row>
    <row r="3121" ht="22.5" customHeight="1">
      <c r="B3121" s="13">
        <f>IFERROR(__xludf.DUMMYFUNCTION("""COMPUTED_VALUE"""),3116.0)</f>
        <v>3116</v>
      </c>
      <c r="C3121" s="13" t="str">
        <f>IFERROR(__xludf.DUMMYFUNCTION("""COMPUTED_VALUE"""),"M.10717/SEGALA MIDER")</f>
        <v>M.10717/SEGALA MIDER</v>
      </c>
      <c r="D3121" s="13" t="str">
        <f>IFERROR(__xludf.DUMMYFUNCTION("""COMPUTED_VALUE"""),"K/31/140725/3")</f>
        <v>K/31/140725/3</v>
      </c>
      <c r="E3121" s="14" t="str">
        <f>IFERROR(__xludf.DUMMYFUNCTION("""COMPUTED_VALUE"""),"Heri (BT)")</f>
        <v>Heri (BT)</v>
      </c>
      <c r="F3121" s="14" t="str">
        <f>IFERROR(__xludf.DUMMYFUNCTION("""COMPUTED_VALUE"""),"SELESAI (VIA PERMOHONAN)")</f>
        <v>SELESAI (VIA PERMOHONAN)</v>
      </c>
      <c r="G3121" s="17">
        <f>IFERROR(__xludf.DUMMYFUNCTION("""COMPUTED_VALUE"""),45863.535522488426)</f>
        <v>45863.53552</v>
      </c>
      <c r="H3121" s="14" t="str">
        <f>IFERROR(__xludf.DUMMYFUNCTION("""COMPUTED_VALUE"""),"Eci (SU)")</f>
        <v>Eci (SU)</v>
      </c>
      <c r="I3121" s="13" t="str">
        <f>IFERROR(__xludf.DUMMYFUNCTION("""COMPUTED_VALUE"""),"SELESAI (VIA PERMOHONAN)")</f>
        <v>SELESAI (VIA PERMOHONAN)</v>
      </c>
      <c r="J3121" s="17">
        <f>IFERROR(__xludf.DUMMYFUNCTION("""COMPUTED_VALUE"""),45866.509147881945)</f>
        <v>45866.50915</v>
      </c>
      <c r="K3121" s="13" t="str">
        <f>IFERROR(__xludf.DUMMYFUNCTION("""COMPUTED_VALUE"""),"Selesai")</f>
        <v>Selesai</v>
      </c>
      <c r="L3121" s="17">
        <f>IFERROR(__xludf.DUMMYFUNCTION("""COMPUTED_VALUE"""),45866.509147881945)</f>
        <v>45866.50915</v>
      </c>
      <c r="M3121" s="13"/>
      <c r="N3121" s="13" t="str">
        <f>IFERROR(__xludf.DUMMYFUNCTION("""COMPUTED_VALUE"""),"")</f>
        <v/>
      </c>
      <c r="O3121" s="13" t="str">
        <f t="shared" si="1"/>
        <v/>
      </c>
    </row>
    <row r="3122" ht="22.5" customHeight="1">
      <c r="B3122" s="13">
        <f>IFERROR(__xludf.DUMMYFUNCTION("""COMPUTED_VALUE"""),3117.0)</f>
        <v>3117</v>
      </c>
      <c r="C3122" s="13" t="str">
        <f>IFERROR(__xludf.DUMMYFUNCTION("""COMPUTED_VALUE"""),"M.577/KORPRI RAYA")</f>
        <v>M.577/KORPRI RAYA</v>
      </c>
      <c r="D3122" s="13" t="str">
        <f>IFERROR(__xludf.DUMMYFUNCTION("""COMPUTED_VALUE"""),"K/3/090725/1")</f>
        <v>K/3/090725/1</v>
      </c>
      <c r="E3122" s="14" t="str">
        <f>IFERROR(__xludf.DUMMYFUNCTION("""COMPUTED_VALUE"""),"Heri (BT)")</f>
        <v>Heri (BT)</v>
      </c>
      <c r="F3122" s="14" t="str">
        <f>IFERROR(__xludf.DUMMYFUNCTION("""COMPUTED_VALUE"""),"SELESAI (VIA PERMOHONAN)")</f>
        <v>SELESAI (VIA PERMOHONAN)</v>
      </c>
      <c r="G3122" s="17">
        <f>IFERROR(__xludf.DUMMYFUNCTION("""COMPUTED_VALUE"""),45863.535648854166)</f>
        <v>45863.53565</v>
      </c>
      <c r="H3122" s="14" t="str">
        <f>IFERROR(__xludf.DUMMYFUNCTION("""COMPUTED_VALUE"""),"Eci (SU)")</f>
        <v>Eci (SU)</v>
      </c>
      <c r="I3122" s="13" t="str">
        <f>IFERROR(__xludf.DUMMYFUNCTION("""COMPUTED_VALUE"""),"SELESAI (VIA PERMOHONAN)")</f>
        <v>SELESAI (VIA PERMOHONAN)</v>
      </c>
      <c r="J3122" s="17">
        <f>IFERROR(__xludf.DUMMYFUNCTION("""COMPUTED_VALUE"""),45866.50462034722)</f>
        <v>45866.50462</v>
      </c>
      <c r="K3122" s="13" t="str">
        <f>IFERROR(__xludf.DUMMYFUNCTION("""COMPUTED_VALUE"""),"Selesai")</f>
        <v>Selesai</v>
      </c>
      <c r="L3122" s="17">
        <f>IFERROR(__xludf.DUMMYFUNCTION("""COMPUTED_VALUE"""),45866.50462034722)</f>
        <v>45866.50462</v>
      </c>
      <c r="M3122" s="13"/>
      <c r="N3122" s="13" t="str">
        <f>IFERROR(__xludf.DUMMYFUNCTION("""COMPUTED_VALUE"""),"")</f>
        <v/>
      </c>
      <c r="O3122" s="13" t="str">
        <f t="shared" si="1"/>
        <v/>
      </c>
    </row>
    <row r="3123" ht="22.5" customHeight="1">
      <c r="B3123" s="13">
        <f>IFERROR(__xludf.DUMMYFUNCTION("""COMPUTED_VALUE"""),3118.0)</f>
        <v>3118</v>
      </c>
      <c r="C3123" s="13" t="str">
        <f>IFERROR(__xludf.DUMMYFUNCTION("""COMPUTED_VALUE"""),"M.116/KALIAWI PERSADA")</f>
        <v>M.116/KALIAWI PERSADA</v>
      </c>
      <c r="D3123" s="13" t="str">
        <f>IFERROR(__xludf.DUMMYFUNCTION("""COMPUTED_VALUE"""),"K/16/040725/1")</f>
        <v>K/16/040725/1</v>
      </c>
      <c r="E3123" s="14" t="str">
        <f>IFERROR(__xludf.DUMMYFUNCTION("""COMPUTED_VALUE"""),"Heri (BT)")</f>
        <v>Heri (BT)</v>
      </c>
      <c r="F3123" s="14" t="str">
        <f>IFERROR(__xludf.DUMMYFUNCTION("""COMPUTED_VALUE"""),"SELESAI (VIA PERMOHONAN)")</f>
        <v>SELESAI (VIA PERMOHONAN)</v>
      </c>
      <c r="G3123" s="17">
        <f>IFERROR(__xludf.DUMMYFUNCTION("""COMPUTED_VALUE"""),45863.53596357639)</f>
        <v>45863.53596</v>
      </c>
      <c r="H3123" s="14" t="str">
        <f>IFERROR(__xludf.DUMMYFUNCTION("""COMPUTED_VALUE"""),"Eci (SU)")</f>
        <v>Eci (SU)</v>
      </c>
      <c r="I3123" s="13" t="str">
        <f>IFERROR(__xludf.DUMMYFUNCTION("""COMPUTED_VALUE"""),"SELESAI (VIA PERMOHONAN)")</f>
        <v>SELESAI (VIA PERMOHONAN)</v>
      </c>
      <c r="J3123" s="17">
        <f>IFERROR(__xludf.DUMMYFUNCTION("""COMPUTED_VALUE"""),45866.50899144676)</f>
        <v>45866.50899</v>
      </c>
      <c r="K3123" s="13" t="str">
        <f>IFERROR(__xludf.DUMMYFUNCTION("""COMPUTED_VALUE"""),"Selesai")</f>
        <v>Selesai</v>
      </c>
      <c r="L3123" s="17">
        <f>IFERROR(__xludf.DUMMYFUNCTION("""COMPUTED_VALUE"""),45866.50899144676)</f>
        <v>45866.50899</v>
      </c>
      <c r="M3123" s="13"/>
      <c r="N3123" s="13" t="str">
        <f>IFERROR(__xludf.DUMMYFUNCTION("""COMPUTED_VALUE"""),"")</f>
        <v/>
      </c>
      <c r="O3123" s="13" t="str">
        <f t="shared" si="1"/>
        <v/>
      </c>
    </row>
    <row r="3124" ht="22.5" customHeight="1">
      <c r="B3124" s="13">
        <f>IFERROR(__xludf.DUMMYFUNCTION("""COMPUTED_VALUE"""),3119.0)</f>
        <v>3119</v>
      </c>
      <c r="C3124" s="13" t="str">
        <f>IFERROR(__xludf.DUMMYFUNCTION("""COMPUTED_VALUE"""),"M.502/SEPANG JAYA")</f>
        <v>M.502/SEPANG JAYA</v>
      </c>
      <c r="D3124" s="13" t="str">
        <f>IFERROR(__xludf.DUMMYFUNCTION("""COMPUTED_VALUE"""),"K/29/140725/1")</f>
        <v>K/29/140725/1</v>
      </c>
      <c r="E3124" s="14" t="str">
        <f>IFERROR(__xludf.DUMMYFUNCTION("""COMPUTED_VALUE"""),"Heri (BT)")</f>
        <v>Heri (BT)</v>
      </c>
      <c r="F3124" s="14" t="str">
        <f>IFERROR(__xludf.DUMMYFUNCTION("""COMPUTED_VALUE"""),"SELESAI (VIA PERMOHONAN)")</f>
        <v>SELESAI (VIA PERMOHONAN)</v>
      </c>
      <c r="G3124" s="17">
        <f>IFERROR(__xludf.DUMMYFUNCTION("""COMPUTED_VALUE"""),45863.5360928125)</f>
        <v>45863.53609</v>
      </c>
      <c r="H3124" s="14" t="str">
        <f>IFERROR(__xludf.DUMMYFUNCTION("""COMPUTED_VALUE"""),"Eci (SU)")</f>
        <v>Eci (SU)</v>
      </c>
      <c r="I3124" s="13" t="str">
        <f>IFERROR(__xludf.DUMMYFUNCTION("""COMPUTED_VALUE"""),"SELESAI (VIA PERMOHONAN)")</f>
        <v>SELESAI (VIA PERMOHONAN)</v>
      </c>
      <c r="J3124" s="17">
        <f>IFERROR(__xludf.DUMMYFUNCTION("""COMPUTED_VALUE"""),45866.50899144676)</f>
        <v>45866.50899</v>
      </c>
      <c r="K3124" s="13" t="str">
        <f>IFERROR(__xludf.DUMMYFUNCTION("""COMPUTED_VALUE"""),"Selesai")</f>
        <v>Selesai</v>
      </c>
      <c r="L3124" s="17">
        <f>IFERROR(__xludf.DUMMYFUNCTION("""COMPUTED_VALUE"""),45866.50899144676)</f>
        <v>45866.50899</v>
      </c>
      <c r="M3124" s="13"/>
      <c r="N3124" s="13" t="str">
        <f>IFERROR(__xludf.DUMMYFUNCTION("""COMPUTED_VALUE"""),"")</f>
        <v/>
      </c>
      <c r="O3124" s="13" t="str">
        <f t="shared" si="1"/>
        <v/>
      </c>
    </row>
    <row r="3125" ht="22.5" customHeight="1">
      <c r="B3125" s="13">
        <f>IFERROR(__xludf.DUMMYFUNCTION("""COMPUTED_VALUE"""),3120.0)</f>
        <v>3120</v>
      </c>
      <c r="C3125" s="13" t="str">
        <f>IFERROR(__xludf.DUMMYFUNCTION("""COMPUTED_VALUE"""),"M.1040/SUKARAME II")</f>
        <v>M.1040/SUKARAME II</v>
      </c>
      <c r="D3125" s="13" t="str">
        <f>IFERROR(__xludf.DUMMYFUNCTION("""COMPUTED_VALUE"""),"K/36/140725/1")</f>
        <v>K/36/140725/1</v>
      </c>
      <c r="E3125" s="14" t="str">
        <f>IFERROR(__xludf.DUMMYFUNCTION("""COMPUTED_VALUE"""),"Heri (BT)")</f>
        <v>Heri (BT)</v>
      </c>
      <c r="F3125" s="14" t="str">
        <f>IFERROR(__xludf.DUMMYFUNCTION("""COMPUTED_VALUE"""),"SELESAI (VIA PERMOHONAN)")</f>
        <v>SELESAI (VIA PERMOHONAN)</v>
      </c>
      <c r="G3125" s="17">
        <f>IFERROR(__xludf.DUMMYFUNCTION("""COMPUTED_VALUE"""),45863.536228240744)</f>
        <v>45863.53623</v>
      </c>
      <c r="H3125" s="14" t="str">
        <f>IFERROR(__xludf.DUMMYFUNCTION("""COMPUTED_VALUE"""),"Eci (SU)")</f>
        <v>Eci (SU)</v>
      </c>
      <c r="I3125" s="13" t="str">
        <f>IFERROR(__xludf.DUMMYFUNCTION("""COMPUTED_VALUE"""),"SELESAI (VIA PERMOHONAN)")</f>
        <v>SELESAI (VIA PERMOHONAN)</v>
      </c>
      <c r="J3125" s="17">
        <f>IFERROR(__xludf.DUMMYFUNCTION("""COMPUTED_VALUE"""),45866.50899144676)</f>
        <v>45866.50899</v>
      </c>
      <c r="K3125" s="13" t="str">
        <f>IFERROR(__xludf.DUMMYFUNCTION("""COMPUTED_VALUE"""),"Selesai")</f>
        <v>Selesai</v>
      </c>
      <c r="L3125" s="17">
        <f>IFERROR(__xludf.DUMMYFUNCTION("""COMPUTED_VALUE"""),45866.50899144676)</f>
        <v>45866.50899</v>
      </c>
      <c r="M3125" s="13"/>
      <c r="N3125" s="13" t="str">
        <f>IFERROR(__xludf.DUMMYFUNCTION("""COMPUTED_VALUE"""),"")</f>
        <v/>
      </c>
      <c r="O3125" s="13" t="str">
        <f t="shared" si="1"/>
        <v/>
      </c>
    </row>
    <row r="3126" ht="22.5" customHeight="1">
      <c r="B3126" s="13">
        <f>IFERROR(__xludf.DUMMYFUNCTION("""COMPUTED_VALUE"""),3121.0)</f>
        <v>3121</v>
      </c>
      <c r="C3126" s="13" t="str">
        <f>IFERROR(__xludf.DUMMYFUNCTION("""COMPUTED_VALUE"""),"M.2056/RAJABASA RAYA")</f>
        <v>M.2056/RAJABASA RAYA</v>
      </c>
      <c r="D3126" s="13" t="str">
        <f>IFERROR(__xludf.DUMMYFUNCTION("""COMPUTED_VALUE"""),"K/16/090725/1")</f>
        <v>K/16/090725/1</v>
      </c>
      <c r="E3126" s="14" t="str">
        <f>IFERROR(__xludf.DUMMYFUNCTION("""COMPUTED_VALUE"""),"Heri (BT)")</f>
        <v>Heri (BT)</v>
      </c>
      <c r="F3126" s="14" t="str">
        <f>IFERROR(__xludf.DUMMYFUNCTION("""COMPUTED_VALUE"""),"SELESAI (VIA PERMOHONAN)")</f>
        <v>SELESAI (VIA PERMOHONAN)</v>
      </c>
      <c r="G3126" s="17">
        <f>IFERROR(__xludf.DUMMYFUNCTION("""COMPUTED_VALUE"""),45863.536380474536)</f>
        <v>45863.53638</v>
      </c>
      <c r="H3126" s="14" t="str">
        <f>IFERROR(__xludf.DUMMYFUNCTION("""COMPUTED_VALUE"""),"Eci (SU)")</f>
        <v>Eci (SU)</v>
      </c>
      <c r="I3126" s="13" t="str">
        <f>IFERROR(__xludf.DUMMYFUNCTION("""COMPUTED_VALUE"""),"SELESAI (VIA PERMOHONAN)")</f>
        <v>SELESAI (VIA PERMOHONAN)</v>
      </c>
      <c r="J3126" s="17">
        <f>IFERROR(__xludf.DUMMYFUNCTION("""COMPUTED_VALUE"""),45866.50899144676)</f>
        <v>45866.50899</v>
      </c>
      <c r="K3126" s="13" t="str">
        <f>IFERROR(__xludf.DUMMYFUNCTION("""COMPUTED_VALUE"""),"Selesai")</f>
        <v>Selesai</v>
      </c>
      <c r="L3126" s="17">
        <f>IFERROR(__xludf.DUMMYFUNCTION("""COMPUTED_VALUE"""),45866.50899144676)</f>
        <v>45866.50899</v>
      </c>
      <c r="M3126" s="13"/>
      <c r="N3126" s="13" t="str">
        <f>IFERROR(__xludf.DUMMYFUNCTION("""COMPUTED_VALUE"""),"")</f>
        <v/>
      </c>
      <c r="O3126" s="13" t="str">
        <f t="shared" si="1"/>
        <v/>
      </c>
    </row>
    <row r="3127" ht="22.5" customHeight="1">
      <c r="B3127" s="13">
        <f>IFERROR(__xludf.DUMMYFUNCTION("""COMPUTED_VALUE"""),3122.0)</f>
        <v>3122</v>
      </c>
      <c r="C3127" s="13" t="str">
        <f>IFERROR(__xludf.DUMMYFUNCTION("""COMPUTED_VALUE"""),"M.224/PERWATA")</f>
        <v>M.224/PERWATA</v>
      </c>
      <c r="D3127" s="13" t="str">
        <f>IFERROR(__xludf.DUMMYFUNCTION("""COMPUTED_VALUE"""),"K/31/110725/1")</f>
        <v>K/31/110725/1</v>
      </c>
      <c r="E3127" s="14" t="str">
        <f>IFERROR(__xludf.DUMMYFUNCTION("""COMPUTED_VALUE"""),"Heri (BT)")</f>
        <v>Heri (BT)</v>
      </c>
      <c r="F3127" s="14" t="str">
        <f>IFERROR(__xludf.DUMMYFUNCTION("""COMPUTED_VALUE"""),"SELESAI (VIA PERMOHONAN)")</f>
        <v>SELESAI (VIA PERMOHONAN)</v>
      </c>
      <c r="G3127" s="17">
        <f>IFERROR(__xludf.DUMMYFUNCTION("""COMPUTED_VALUE"""),45863.53653993056)</f>
        <v>45863.53654</v>
      </c>
      <c r="H3127" s="14" t="str">
        <f>IFERROR(__xludf.DUMMYFUNCTION("""COMPUTED_VALUE"""),"Eci (SU)")</f>
        <v>Eci (SU)</v>
      </c>
      <c r="I3127" s="13" t="str">
        <f>IFERROR(__xludf.DUMMYFUNCTION("""COMPUTED_VALUE"""),"SELESAI (VIA PERMOHONAN)")</f>
        <v>SELESAI (VIA PERMOHONAN)</v>
      </c>
      <c r="J3127" s="17">
        <f>IFERROR(__xludf.DUMMYFUNCTION("""COMPUTED_VALUE"""),45866.50899144676)</f>
        <v>45866.50899</v>
      </c>
      <c r="K3127" s="13" t="str">
        <f>IFERROR(__xludf.DUMMYFUNCTION("""COMPUTED_VALUE"""),"Selesai")</f>
        <v>Selesai</v>
      </c>
      <c r="L3127" s="17">
        <f>IFERROR(__xludf.DUMMYFUNCTION("""COMPUTED_VALUE"""),45866.50899144676)</f>
        <v>45866.50899</v>
      </c>
      <c r="M3127" s="13"/>
      <c r="N3127" s="13" t="str">
        <f>IFERROR(__xludf.DUMMYFUNCTION("""COMPUTED_VALUE"""),"")</f>
        <v/>
      </c>
      <c r="O3127" s="13" t="str">
        <f t="shared" si="1"/>
        <v/>
      </c>
    </row>
    <row r="3128" ht="22.5" customHeight="1">
      <c r="B3128" s="13">
        <f>IFERROR(__xludf.DUMMYFUNCTION("""COMPUTED_VALUE"""),3123.0)</f>
        <v>3123</v>
      </c>
      <c r="C3128" s="13" t="str">
        <f>IFERROR(__xludf.DUMMYFUNCTION("""COMPUTED_VALUE"""),"M.15538/SUKABUMI")</f>
        <v>M.15538/SUKABUMI</v>
      </c>
      <c r="D3128" s="13" t="str">
        <f>IFERROR(__xludf.DUMMYFUNCTION("""COMPUTED_VALUE"""),"K/36/100725/1")</f>
        <v>K/36/100725/1</v>
      </c>
      <c r="E3128" s="14" t="str">
        <f>IFERROR(__xludf.DUMMYFUNCTION("""COMPUTED_VALUE"""),"Heri (BT)")</f>
        <v>Heri (BT)</v>
      </c>
      <c r="F3128" s="14" t="str">
        <f>IFERROR(__xludf.DUMMYFUNCTION("""COMPUTED_VALUE"""),"SELESAI (VIA PERMOHONAN)")</f>
        <v>SELESAI (VIA PERMOHONAN)</v>
      </c>
      <c r="G3128" s="17">
        <f>IFERROR(__xludf.DUMMYFUNCTION("""COMPUTED_VALUE"""),45863.536691851856)</f>
        <v>45863.53669</v>
      </c>
      <c r="H3128" s="14" t="str">
        <f>IFERROR(__xludf.DUMMYFUNCTION("""COMPUTED_VALUE"""),"Eci (SU)")</f>
        <v>Eci (SU)</v>
      </c>
      <c r="I3128" s="13" t="str">
        <f>IFERROR(__xludf.DUMMYFUNCTION("""COMPUTED_VALUE"""),"SELESAI (VIA PERMOHONAN)")</f>
        <v>SELESAI (VIA PERMOHONAN)</v>
      </c>
      <c r="J3128" s="17">
        <f>IFERROR(__xludf.DUMMYFUNCTION("""COMPUTED_VALUE"""),45866.50899144676)</f>
        <v>45866.50899</v>
      </c>
      <c r="K3128" s="13" t="str">
        <f>IFERROR(__xludf.DUMMYFUNCTION("""COMPUTED_VALUE"""),"Selesai")</f>
        <v>Selesai</v>
      </c>
      <c r="L3128" s="17">
        <f>IFERROR(__xludf.DUMMYFUNCTION("""COMPUTED_VALUE"""),45866.50899144676)</f>
        <v>45866.50899</v>
      </c>
      <c r="M3128" s="13"/>
      <c r="N3128" s="13" t="str">
        <f>IFERROR(__xludf.DUMMYFUNCTION("""COMPUTED_VALUE"""),"")</f>
        <v/>
      </c>
      <c r="O3128" s="13" t="str">
        <f t="shared" si="1"/>
        <v/>
      </c>
    </row>
    <row r="3129" ht="22.5" customHeight="1">
      <c r="B3129" s="13">
        <f>IFERROR(__xludf.DUMMYFUNCTION("""COMPUTED_VALUE"""),3124.0)</f>
        <v>3124</v>
      </c>
      <c r="C3129" s="13" t="str">
        <f>IFERROR(__xludf.DUMMYFUNCTION("""COMPUTED_VALUE"""),"M.596/RAJABASA PEMUKA")</f>
        <v>M.596/RAJABASA PEMUKA</v>
      </c>
      <c r="D3129" s="13" t="str">
        <f>IFERROR(__xludf.DUMMYFUNCTION("""COMPUTED_VALUE"""),"K/7/110725/1")</f>
        <v>K/7/110725/1</v>
      </c>
      <c r="E3129" s="14" t="str">
        <f>IFERROR(__xludf.DUMMYFUNCTION("""COMPUTED_VALUE"""),"Heri (BT)")</f>
        <v>Heri (BT)</v>
      </c>
      <c r="F3129" s="14" t="str">
        <f>IFERROR(__xludf.DUMMYFUNCTION("""COMPUTED_VALUE"""),"SELESAI (VIA PERMOHONAN)")</f>
        <v>SELESAI (VIA PERMOHONAN)</v>
      </c>
      <c r="G3129" s="17">
        <f>IFERROR(__xludf.DUMMYFUNCTION("""COMPUTED_VALUE"""),45863.536821076385)</f>
        <v>45863.53682</v>
      </c>
      <c r="H3129" s="14" t="str">
        <f>IFERROR(__xludf.DUMMYFUNCTION("""COMPUTED_VALUE"""),"Eci (SU)")</f>
        <v>Eci (SU)</v>
      </c>
      <c r="I3129" s="13" t="str">
        <f>IFERROR(__xludf.DUMMYFUNCTION("""COMPUTED_VALUE"""),"SELESAI (VIA PERMOHONAN)")</f>
        <v>SELESAI (VIA PERMOHONAN)</v>
      </c>
      <c r="J3129" s="17">
        <f>IFERROR(__xludf.DUMMYFUNCTION("""COMPUTED_VALUE"""),45866.50899144676)</f>
        <v>45866.50899</v>
      </c>
      <c r="K3129" s="13" t="str">
        <f>IFERROR(__xludf.DUMMYFUNCTION("""COMPUTED_VALUE"""),"Selesai")</f>
        <v>Selesai</v>
      </c>
      <c r="L3129" s="17">
        <f>IFERROR(__xludf.DUMMYFUNCTION("""COMPUTED_VALUE"""),45866.50899144676)</f>
        <v>45866.50899</v>
      </c>
      <c r="M3129" s="13"/>
      <c r="N3129" s="13" t="str">
        <f>IFERROR(__xludf.DUMMYFUNCTION("""COMPUTED_VALUE"""),"")</f>
        <v/>
      </c>
      <c r="O3129" s="13" t="str">
        <f t="shared" si="1"/>
        <v/>
      </c>
    </row>
    <row r="3130" ht="22.5" customHeight="1">
      <c r="B3130" s="13">
        <f>IFERROR(__xludf.DUMMYFUNCTION("""COMPUTED_VALUE"""),3125.0)</f>
        <v>3125</v>
      </c>
      <c r="C3130" s="13" t="str">
        <f>IFERROR(__xludf.DUMMYFUNCTION("""COMPUTED_VALUE"""),"M. 2576/ Sumber Agung")</f>
        <v>M. 2576/ Sumber Agung</v>
      </c>
      <c r="D3130" s="13" t="str">
        <f>IFERROR(__xludf.DUMMYFUNCTION("""COMPUTED_VALUE"""),"K/15/100725/1")</f>
        <v>K/15/100725/1</v>
      </c>
      <c r="E3130" s="14" t="str">
        <f>IFERROR(__xludf.DUMMYFUNCTION("""COMPUTED_VALUE"""),"Heri (BT)")</f>
        <v>Heri (BT)</v>
      </c>
      <c r="F3130" s="14" t="str">
        <f>IFERROR(__xludf.DUMMYFUNCTION("""COMPUTED_VALUE"""),"SELESAI (VIA PERMOHONAN)")</f>
        <v>SELESAI (VIA PERMOHONAN)</v>
      </c>
      <c r="G3130" s="17">
        <f>IFERROR(__xludf.DUMMYFUNCTION("""COMPUTED_VALUE"""),45863.53694247685)</f>
        <v>45863.53694</v>
      </c>
      <c r="H3130" s="14" t="str">
        <f>IFERROR(__xludf.DUMMYFUNCTION("""COMPUTED_VALUE"""),"Eci (SU)")</f>
        <v>Eci (SU)</v>
      </c>
      <c r="I3130" s="13" t="str">
        <f>IFERROR(__xludf.DUMMYFUNCTION("""COMPUTED_VALUE"""),"SELESAI (VIA PERMOHONAN)")</f>
        <v>SELESAI (VIA PERMOHONAN)</v>
      </c>
      <c r="J3130" s="17">
        <f>IFERROR(__xludf.DUMMYFUNCTION("""COMPUTED_VALUE"""),45866.50899144676)</f>
        <v>45866.50899</v>
      </c>
      <c r="K3130" s="13" t="str">
        <f>IFERROR(__xludf.DUMMYFUNCTION("""COMPUTED_VALUE"""),"Selesai")</f>
        <v>Selesai</v>
      </c>
      <c r="L3130" s="17">
        <f>IFERROR(__xludf.DUMMYFUNCTION("""COMPUTED_VALUE"""),45866.50899144676)</f>
        <v>45866.50899</v>
      </c>
      <c r="M3130" s="13"/>
      <c r="N3130" s="13" t="str">
        <f>IFERROR(__xludf.DUMMYFUNCTION("""COMPUTED_VALUE"""),"")</f>
        <v/>
      </c>
      <c r="O3130" s="13" t="str">
        <f t="shared" si="1"/>
        <v/>
      </c>
    </row>
    <row r="3131" ht="22.5" customHeight="1">
      <c r="B3131" s="13">
        <f>IFERROR(__xludf.DUMMYFUNCTION("""COMPUTED_VALUE"""),3126.0)</f>
        <v>3126</v>
      </c>
      <c r="C3131" s="13" t="str">
        <f>IFERROR(__xludf.DUMMYFUNCTION("""COMPUTED_VALUE"""),"B. 638/ Sukamaju")</f>
        <v>B. 638/ Sukamaju</v>
      </c>
      <c r="D3131" s="13" t="str">
        <f>IFERROR(__xludf.DUMMYFUNCTION("""COMPUTED_VALUE"""),"K/37/230625/2")</f>
        <v>K/37/230625/2</v>
      </c>
      <c r="E3131" s="14" t="str">
        <f>IFERROR(__xludf.DUMMYFUNCTION("""COMPUTED_VALUE"""),"Heri (BT)")</f>
        <v>Heri (BT)</v>
      </c>
      <c r="F3131" s="14" t="str">
        <f>IFERROR(__xludf.DUMMYFUNCTION("""COMPUTED_VALUE"""),"SELESAI (VIA PERMOHONAN)")</f>
        <v>SELESAI (VIA PERMOHONAN)</v>
      </c>
      <c r="G3131" s="17">
        <f>IFERROR(__xludf.DUMMYFUNCTION("""COMPUTED_VALUE"""),45863.537113321756)</f>
        <v>45863.53711</v>
      </c>
      <c r="H3131" s="14" t="str">
        <f>IFERROR(__xludf.DUMMYFUNCTION("""COMPUTED_VALUE"""),"Eci (SU)")</f>
        <v>Eci (SU)</v>
      </c>
      <c r="I3131" s="13" t="str">
        <f>IFERROR(__xludf.DUMMYFUNCTION("""COMPUTED_VALUE"""),"SELESAI (VIA PERMOHONAN)")</f>
        <v>SELESAI (VIA PERMOHONAN)</v>
      </c>
      <c r="J3131" s="17">
        <f>IFERROR(__xludf.DUMMYFUNCTION("""COMPUTED_VALUE"""),45866.50899144676)</f>
        <v>45866.50899</v>
      </c>
      <c r="K3131" s="13" t="str">
        <f>IFERROR(__xludf.DUMMYFUNCTION("""COMPUTED_VALUE"""),"Selesai")</f>
        <v>Selesai</v>
      </c>
      <c r="L3131" s="17">
        <f>IFERROR(__xludf.DUMMYFUNCTION("""COMPUTED_VALUE"""),45866.50899144676)</f>
        <v>45866.50899</v>
      </c>
      <c r="M3131" s="13"/>
      <c r="N3131" s="13" t="str">
        <f>IFERROR(__xludf.DUMMYFUNCTION("""COMPUTED_VALUE"""),"")</f>
        <v/>
      </c>
      <c r="O3131" s="13" t="str">
        <f t="shared" si="1"/>
        <v/>
      </c>
    </row>
    <row r="3132" ht="22.5" customHeight="1">
      <c r="B3132" s="13">
        <f>IFERROR(__xludf.DUMMYFUNCTION("""COMPUTED_VALUE"""),3127.0)</f>
        <v>3127</v>
      </c>
      <c r="C3132" s="13" t="str">
        <f>IFERROR(__xludf.DUMMYFUNCTION("""COMPUTED_VALUE"""),"M. 4080/ Langkapura")</f>
        <v>M. 4080/ Langkapura</v>
      </c>
      <c r="D3132" s="13" t="str">
        <f>IFERROR(__xludf.DUMMYFUNCTION("""COMPUTED_VALUE"""),"K/15/140725/1")</f>
        <v>K/15/140725/1</v>
      </c>
      <c r="E3132" s="14" t="str">
        <f>IFERROR(__xludf.DUMMYFUNCTION("""COMPUTED_VALUE"""),"Heri (BT)")</f>
        <v>Heri (BT)</v>
      </c>
      <c r="F3132" s="14" t="str">
        <f>IFERROR(__xludf.DUMMYFUNCTION("""COMPUTED_VALUE"""),"SELESAI (VIA PERMOHONAN)")</f>
        <v>SELESAI (VIA PERMOHONAN)</v>
      </c>
      <c r="G3132" s="17">
        <f>IFERROR(__xludf.DUMMYFUNCTION("""COMPUTED_VALUE"""),45863.53724071759)</f>
        <v>45863.53724</v>
      </c>
      <c r="H3132" s="14" t="str">
        <f>IFERROR(__xludf.DUMMYFUNCTION("""COMPUTED_VALUE"""),"Eci (SU)")</f>
        <v>Eci (SU)</v>
      </c>
      <c r="I3132" s="13" t="str">
        <f>IFERROR(__xludf.DUMMYFUNCTION("""COMPUTED_VALUE"""),"SELESAI (VIA PERMOHONAN)")</f>
        <v>SELESAI (VIA PERMOHONAN)</v>
      </c>
      <c r="J3132" s="17">
        <f>IFERROR(__xludf.DUMMYFUNCTION("""COMPUTED_VALUE"""),45866.50899144676)</f>
        <v>45866.50899</v>
      </c>
      <c r="K3132" s="13" t="str">
        <f>IFERROR(__xludf.DUMMYFUNCTION("""COMPUTED_VALUE"""),"Selesai")</f>
        <v>Selesai</v>
      </c>
      <c r="L3132" s="17">
        <f>IFERROR(__xludf.DUMMYFUNCTION("""COMPUTED_VALUE"""),45866.50899144676)</f>
        <v>45866.50899</v>
      </c>
      <c r="M3132" s="13"/>
      <c r="N3132" s="13" t="str">
        <f>IFERROR(__xludf.DUMMYFUNCTION("""COMPUTED_VALUE"""),"")</f>
        <v/>
      </c>
      <c r="O3132" s="13" t="str">
        <f t="shared" si="1"/>
        <v/>
      </c>
    </row>
    <row r="3133" ht="22.5" customHeight="1">
      <c r="B3133" s="13">
        <f>IFERROR(__xludf.DUMMYFUNCTION("""COMPUTED_VALUE"""),3128.0)</f>
        <v>3128</v>
      </c>
      <c r="C3133" s="13" t="str">
        <f>IFERROR(__xludf.DUMMYFUNCTION("""COMPUTED_VALUE"""),"M. 14992/ Rajabasa")</f>
        <v>M. 14992/ Rajabasa</v>
      </c>
      <c r="D3133" s="13" t="str">
        <f>IFERROR(__xludf.DUMMYFUNCTION("""COMPUTED_VALUE"""),"K/16/110725/4")</f>
        <v>K/16/110725/4</v>
      </c>
      <c r="E3133" s="14" t="str">
        <f>IFERROR(__xludf.DUMMYFUNCTION("""COMPUTED_VALUE"""),"Heri (BT)")</f>
        <v>Heri (BT)</v>
      </c>
      <c r="F3133" s="14" t="str">
        <f>IFERROR(__xludf.DUMMYFUNCTION("""COMPUTED_VALUE"""),"SELESAI (VIA PERMOHONAN)")</f>
        <v>SELESAI (VIA PERMOHONAN)</v>
      </c>
      <c r="G3133" s="17">
        <f>IFERROR(__xludf.DUMMYFUNCTION("""COMPUTED_VALUE"""),45863.537370659724)</f>
        <v>45863.53737</v>
      </c>
      <c r="H3133" s="14" t="str">
        <f>IFERROR(__xludf.DUMMYFUNCTION("""COMPUTED_VALUE"""),"Eci (SU)")</f>
        <v>Eci (SU)</v>
      </c>
      <c r="I3133" s="13" t="str">
        <f>IFERROR(__xludf.DUMMYFUNCTION("""COMPUTED_VALUE"""),"SELESAI (VIA PERMOHONAN)")</f>
        <v>SELESAI (VIA PERMOHONAN)</v>
      </c>
      <c r="J3133" s="17">
        <f>IFERROR(__xludf.DUMMYFUNCTION("""COMPUTED_VALUE"""),45866.50899144676)</f>
        <v>45866.50899</v>
      </c>
      <c r="K3133" s="13" t="str">
        <f>IFERROR(__xludf.DUMMYFUNCTION("""COMPUTED_VALUE"""),"Selesai")</f>
        <v>Selesai</v>
      </c>
      <c r="L3133" s="17">
        <f>IFERROR(__xludf.DUMMYFUNCTION("""COMPUTED_VALUE"""),45866.50899144676)</f>
        <v>45866.50899</v>
      </c>
      <c r="M3133" s="13"/>
      <c r="N3133" s="13" t="str">
        <f>IFERROR(__xludf.DUMMYFUNCTION("""COMPUTED_VALUE"""),"")</f>
        <v/>
      </c>
      <c r="O3133" s="13" t="str">
        <f t="shared" si="1"/>
        <v/>
      </c>
    </row>
    <row r="3134" ht="22.5" customHeight="1">
      <c r="B3134" s="13">
        <f>IFERROR(__xludf.DUMMYFUNCTION("""COMPUTED_VALUE"""),3129.0)</f>
        <v>3129</v>
      </c>
      <c r="C3134" s="13" t="str">
        <f>IFERROR(__xludf.DUMMYFUNCTION("""COMPUTED_VALUE"""),"M. 5481/ Tanjung Senang")</f>
        <v>M. 5481/ Tanjung Senang</v>
      </c>
      <c r="D3134" s="13" t="str">
        <f>IFERROR(__xludf.DUMMYFUNCTION("""COMPUTED_VALUE"""),"K/36/010725/2")</f>
        <v>K/36/010725/2</v>
      </c>
      <c r="E3134" s="14" t="str">
        <f>IFERROR(__xludf.DUMMYFUNCTION("""COMPUTED_VALUE"""),"Heri (BT)")</f>
        <v>Heri (BT)</v>
      </c>
      <c r="F3134" s="14" t="str">
        <f>IFERROR(__xludf.DUMMYFUNCTION("""COMPUTED_VALUE"""),"SELESAI (VIA PERMOHONAN)")</f>
        <v>SELESAI (VIA PERMOHONAN)</v>
      </c>
      <c r="G3134" s="17">
        <f>IFERROR(__xludf.DUMMYFUNCTION("""COMPUTED_VALUE"""),45863.53749444445)</f>
        <v>45863.53749</v>
      </c>
      <c r="H3134" s="14" t="str">
        <f>IFERROR(__xludf.DUMMYFUNCTION("""COMPUTED_VALUE"""),"Eci (SU)")</f>
        <v>Eci (SU)</v>
      </c>
      <c r="I3134" s="13" t="str">
        <f>IFERROR(__xludf.DUMMYFUNCTION("""COMPUTED_VALUE"""),"SELESAI (VIA PERMOHONAN)")</f>
        <v>SELESAI (VIA PERMOHONAN)</v>
      </c>
      <c r="J3134" s="17">
        <f>IFERROR(__xludf.DUMMYFUNCTION("""COMPUTED_VALUE"""),45866.50903509259)</f>
        <v>45866.50904</v>
      </c>
      <c r="K3134" s="13" t="str">
        <f>IFERROR(__xludf.DUMMYFUNCTION("""COMPUTED_VALUE"""),"Selesai")</f>
        <v>Selesai</v>
      </c>
      <c r="L3134" s="17">
        <f>IFERROR(__xludf.DUMMYFUNCTION("""COMPUTED_VALUE"""),45866.50903509259)</f>
        <v>45866.50904</v>
      </c>
      <c r="M3134" s="13"/>
      <c r="N3134" s="13" t="str">
        <f>IFERROR(__xludf.DUMMYFUNCTION("""COMPUTED_VALUE"""),"")</f>
        <v/>
      </c>
      <c r="O3134" s="13" t="str">
        <f t="shared" si="1"/>
        <v/>
      </c>
    </row>
    <row r="3135" ht="22.5" customHeight="1">
      <c r="B3135" s="13">
        <f>IFERROR(__xludf.DUMMYFUNCTION("""COMPUTED_VALUE"""),3130.0)</f>
        <v>3130</v>
      </c>
      <c r="C3135" s="13" t="str">
        <f>IFERROR(__xludf.DUMMYFUNCTION("""COMPUTED_VALUE"""),"M. 2723/ Sumberrejo")</f>
        <v>M. 2723/ Sumberrejo</v>
      </c>
      <c r="D3135" s="13" t="str">
        <f>IFERROR(__xludf.DUMMYFUNCTION("""COMPUTED_VALUE"""),"K/8/230625/1")</f>
        <v>K/8/230625/1</v>
      </c>
      <c r="E3135" s="14" t="str">
        <f>IFERROR(__xludf.DUMMYFUNCTION("""COMPUTED_VALUE"""),"Heri (BT)")</f>
        <v>Heri (BT)</v>
      </c>
      <c r="F3135" s="14" t="str">
        <f>IFERROR(__xludf.DUMMYFUNCTION("""COMPUTED_VALUE"""),"SELESAI (VIA PERMOHONAN)")</f>
        <v>SELESAI (VIA PERMOHONAN)</v>
      </c>
      <c r="G3135" s="17">
        <f>IFERROR(__xludf.DUMMYFUNCTION("""COMPUTED_VALUE"""),45863.53762340278)</f>
        <v>45863.53762</v>
      </c>
      <c r="H3135" s="14" t="str">
        <f>IFERROR(__xludf.DUMMYFUNCTION("""COMPUTED_VALUE"""),"Eci (SU)")</f>
        <v>Eci (SU)</v>
      </c>
      <c r="I3135" s="13" t="str">
        <f>IFERROR(__xludf.DUMMYFUNCTION("""COMPUTED_VALUE"""),"SELESAI (VIA PERMOHONAN)")</f>
        <v>SELESAI (VIA PERMOHONAN)</v>
      </c>
      <c r="J3135" s="17">
        <f>IFERROR(__xludf.DUMMYFUNCTION("""COMPUTED_VALUE"""),45866.50903509259)</f>
        <v>45866.50904</v>
      </c>
      <c r="K3135" s="13" t="str">
        <f>IFERROR(__xludf.DUMMYFUNCTION("""COMPUTED_VALUE"""),"Selesai")</f>
        <v>Selesai</v>
      </c>
      <c r="L3135" s="17">
        <f>IFERROR(__xludf.DUMMYFUNCTION("""COMPUTED_VALUE"""),45866.50903509259)</f>
        <v>45866.50904</v>
      </c>
      <c r="M3135" s="13"/>
      <c r="N3135" s="13" t="str">
        <f>IFERROR(__xludf.DUMMYFUNCTION("""COMPUTED_VALUE"""),"")</f>
        <v/>
      </c>
      <c r="O3135" s="13" t="str">
        <f t="shared" si="1"/>
        <v/>
      </c>
    </row>
    <row r="3136" ht="22.5" customHeight="1">
      <c r="B3136" s="13">
        <f>IFERROR(__xludf.DUMMYFUNCTION("""COMPUTED_VALUE"""),3131.0)</f>
        <v>3131</v>
      </c>
      <c r="C3136" s="13" t="str">
        <f>IFERROR(__xludf.DUMMYFUNCTION("""COMPUTED_VALUE"""),"M. 2712/ Sukarame II")</f>
        <v>M. 2712/ Sukarame II</v>
      </c>
      <c r="D3136" s="13" t="str">
        <f>IFERROR(__xludf.DUMMYFUNCTION("""COMPUTED_VALUE"""),"K/25/040725/2")</f>
        <v>K/25/040725/2</v>
      </c>
      <c r="E3136" s="14" t="str">
        <f>IFERROR(__xludf.DUMMYFUNCTION("""COMPUTED_VALUE"""),"Heri (BT)")</f>
        <v>Heri (BT)</v>
      </c>
      <c r="F3136" s="14" t="str">
        <f>IFERROR(__xludf.DUMMYFUNCTION("""COMPUTED_VALUE"""),"SELESAI (VIA PERMOHONAN)")</f>
        <v>SELESAI (VIA PERMOHONAN)</v>
      </c>
      <c r="G3136" s="17">
        <f>IFERROR(__xludf.DUMMYFUNCTION("""COMPUTED_VALUE"""),45863.53775329861)</f>
        <v>45863.53775</v>
      </c>
      <c r="H3136" s="14" t="str">
        <f>IFERROR(__xludf.DUMMYFUNCTION("""COMPUTED_VALUE"""),"Eci (SU)")</f>
        <v>Eci (SU)</v>
      </c>
      <c r="I3136" s="13" t="str">
        <f>IFERROR(__xludf.DUMMYFUNCTION("""COMPUTED_VALUE"""),"SELESAI (VIA PERMOHONAN)")</f>
        <v>SELESAI (VIA PERMOHONAN)</v>
      </c>
      <c r="J3136" s="17">
        <f>IFERROR(__xludf.DUMMYFUNCTION("""COMPUTED_VALUE"""),45866.50903509259)</f>
        <v>45866.50904</v>
      </c>
      <c r="K3136" s="13" t="str">
        <f>IFERROR(__xludf.DUMMYFUNCTION("""COMPUTED_VALUE"""),"Selesai")</f>
        <v>Selesai</v>
      </c>
      <c r="L3136" s="17">
        <f>IFERROR(__xludf.DUMMYFUNCTION("""COMPUTED_VALUE"""),45866.50903509259)</f>
        <v>45866.50904</v>
      </c>
      <c r="M3136" s="13"/>
      <c r="N3136" s="13" t="str">
        <f>IFERROR(__xludf.DUMMYFUNCTION("""COMPUTED_VALUE"""),"")</f>
        <v/>
      </c>
      <c r="O3136" s="13" t="str">
        <f t="shared" si="1"/>
        <v/>
      </c>
    </row>
    <row r="3137" ht="22.5" customHeight="1">
      <c r="B3137" s="13">
        <f>IFERROR(__xludf.DUMMYFUNCTION("""COMPUTED_VALUE"""),3132.0)</f>
        <v>3132</v>
      </c>
      <c r="C3137" s="13" t="str">
        <f>IFERROR(__xludf.DUMMYFUNCTION("""COMPUTED_VALUE"""),"M. 66/ Sukarame")</f>
        <v>M. 66/ Sukarame</v>
      </c>
      <c r="D3137" s="13" t="str">
        <f>IFERROR(__xludf.DUMMYFUNCTION("""COMPUTED_VALUE"""),"K/3/080725/1")</f>
        <v>K/3/080725/1</v>
      </c>
      <c r="E3137" s="14" t="str">
        <f>IFERROR(__xludf.DUMMYFUNCTION("""COMPUTED_VALUE"""),"Heri (BT)")</f>
        <v>Heri (BT)</v>
      </c>
      <c r="F3137" s="14" t="str">
        <f>IFERROR(__xludf.DUMMYFUNCTION("""COMPUTED_VALUE"""),"SELESAI (VIA PERMOHONAN)")</f>
        <v>SELESAI (VIA PERMOHONAN)</v>
      </c>
      <c r="G3137" s="17">
        <f>IFERROR(__xludf.DUMMYFUNCTION("""COMPUTED_VALUE"""),45863.53833541667)</f>
        <v>45863.53834</v>
      </c>
      <c r="H3137" s="14" t="str">
        <f>IFERROR(__xludf.DUMMYFUNCTION("""COMPUTED_VALUE"""),"Eci (SU)")</f>
        <v>Eci (SU)</v>
      </c>
      <c r="I3137" s="13" t="str">
        <f>IFERROR(__xludf.DUMMYFUNCTION("""COMPUTED_VALUE"""),"SELESAI (VIA PERMOHONAN)")</f>
        <v>SELESAI (VIA PERMOHONAN)</v>
      </c>
      <c r="J3137" s="17">
        <f>IFERROR(__xludf.DUMMYFUNCTION("""COMPUTED_VALUE"""),45866.50903509259)</f>
        <v>45866.50904</v>
      </c>
      <c r="K3137" s="13" t="str">
        <f>IFERROR(__xludf.DUMMYFUNCTION("""COMPUTED_VALUE"""),"Selesai")</f>
        <v>Selesai</v>
      </c>
      <c r="L3137" s="17">
        <f>IFERROR(__xludf.DUMMYFUNCTION("""COMPUTED_VALUE"""),45866.50903509259)</f>
        <v>45866.50904</v>
      </c>
      <c r="M3137" s="13"/>
      <c r="N3137" s="13" t="str">
        <f>IFERROR(__xludf.DUMMYFUNCTION("""COMPUTED_VALUE"""),"")</f>
        <v/>
      </c>
      <c r="O3137" s="13" t="str">
        <f t="shared" si="1"/>
        <v/>
      </c>
    </row>
    <row r="3138" ht="22.5" customHeight="1">
      <c r="B3138" s="13">
        <f>IFERROR(__xludf.DUMMYFUNCTION("""COMPUTED_VALUE"""),3133.0)</f>
        <v>3133</v>
      </c>
      <c r="C3138" s="13" t="str">
        <f>IFERROR(__xludf.DUMMYFUNCTION("""COMPUTED_VALUE"""),"M. 1516/ Batu Putuk")</f>
        <v>M. 1516/ Batu Putuk</v>
      </c>
      <c r="D3138" s="13" t="str">
        <f>IFERROR(__xludf.DUMMYFUNCTION("""COMPUTED_VALUE"""),"K/10/180625/1")</f>
        <v>K/10/180625/1</v>
      </c>
      <c r="E3138" s="14" t="str">
        <f>IFERROR(__xludf.DUMMYFUNCTION("""COMPUTED_VALUE"""),"Heri (BT)")</f>
        <v>Heri (BT)</v>
      </c>
      <c r="F3138" s="14" t="str">
        <f>IFERROR(__xludf.DUMMYFUNCTION("""COMPUTED_VALUE"""),"SELESAI (VIA PERMOHONAN)")</f>
        <v>SELESAI (VIA PERMOHONAN)</v>
      </c>
      <c r="G3138" s="17">
        <f>IFERROR(__xludf.DUMMYFUNCTION("""COMPUTED_VALUE"""),45863.53846458333)</f>
        <v>45863.53846</v>
      </c>
      <c r="H3138" s="14" t="str">
        <f>IFERROR(__xludf.DUMMYFUNCTION("""COMPUTED_VALUE"""),"Eci (SU)")</f>
        <v>Eci (SU)</v>
      </c>
      <c r="I3138" s="13" t="str">
        <f>IFERROR(__xludf.DUMMYFUNCTION("""COMPUTED_VALUE"""),"SELESAI (VIA PERMOHONAN)")</f>
        <v>SELESAI (VIA PERMOHONAN)</v>
      </c>
      <c r="J3138" s="17">
        <f>IFERROR(__xludf.DUMMYFUNCTION("""COMPUTED_VALUE"""),45866.50903509259)</f>
        <v>45866.50904</v>
      </c>
      <c r="K3138" s="13" t="str">
        <f>IFERROR(__xludf.DUMMYFUNCTION("""COMPUTED_VALUE"""),"Selesai")</f>
        <v>Selesai</v>
      </c>
      <c r="L3138" s="17">
        <f>IFERROR(__xludf.DUMMYFUNCTION("""COMPUTED_VALUE"""),45866.50903509259)</f>
        <v>45866.50904</v>
      </c>
      <c r="M3138" s="13"/>
      <c r="N3138" s="13" t="str">
        <f>IFERROR(__xludf.DUMMYFUNCTION("""COMPUTED_VALUE"""),"")</f>
        <v/>
      </c>
      <c r="O3138" s="13" t="str">
        <f t="shared" si="1"/>
        <v/>
      </c>
    </row>
    <row r="3139" ht="22.5" customHeight="1">
      <c r="B3139" s="13">
        <f>IFERROR(__xludf.DUMMYFUNCTION("""COMPUTED_VALUE"""),3134.0)</f>
        <v>3134</v>
      </c>
      <c r="C3139" s="13" t="str">
        <f>IFERROR(__xludf.DUMMYFUNCTION("""COMPUTED_VALUE"""),"M. 888/SUMBER REJO")</f>
        <v>M. 888/SUMBER REJO</v>
      </c>
      <c r="D3139" s="13" t="str">
        <f>IFERROR(__xludf.DUMMYFUNCTION("""COMPUTED_VALUE"""),"K/15/230625/1")</f>
        <v>K/15/230625/1</v>
      </c>
      <c r="E3139" s="14" t="str">
        <f>IFERROR(__xludf.DUMMYFUNCTION("""COMPUTED_VALUE"""),"Heri (BT)")</f>
        <v>Heri (BT)</v>
      </c>
      <c r="F3139" s="14" t="str">
        <f>IFERROR(__xludf.DUMMYFUNCTION("""COMPUTED_VALUE"""),"SELESAI (VIA PERMOHONAN)")</f>
        <v>SELESAI (VIA PERMOHONAN)</v>
      </c>
      <c r="G3139" s="17">
        <f>IFERROR(__xludf.DUMMYFUNCTION("""COMPUTED_VALUE"""),45863.53858241898)</f>
        <v>45863.53858</v>
      </c>
      <c r="H3139" s="14" t="str">
        <f>IFERROR(__xludf.DUMMYFUNCTION("""COMPUTED_VALUE"""),"Eci (SU)")</f>
        <v>Eci (SU)</v>
      </c>
      <c r="I3139" s="13" t="str">
        <f>IFERROR(__xludf.DUMMYFUNCTION("""COMPUTED_VALUE"""),"SELESAI (VIA PERMOHONAN)")</f>
        <v>SELESAI (VIA PERMOHONAN)</v>
      </c>
      <c r="J3139" s="17">
        <f>IFERROR(__xludf.DUMMYFUNCTION("""COMPUTED_VALUE"""),45866.50903509259)</f>
        <v>45866.50904</v>
      </c>
      <c r="K3139" s="13" t="str">
        <f>IFERROR(__xludf.DUMMYFUNCTION("""COMPUTED_VALUE"""),"Selesai")</f>
        <v>Selesai</v>
      </c>
      <c r="L3139" s="17">
        <f>IFERROR(__xludf.DUMMYFUNCTION("""COMPUTED_VALUE"""),45866.50903509259)</f>
        <v>45866.50904</v>
      </c>
      <c r="M3139" s="13"/>
      <c r="N3139" s="13" t="str">
        <f>IFERROR(__xludf.DUMMYFUNCTION("""COMPUTED_VALUE"""),"")</f>
        <v/>
      </c>
      <c r="O3139" s="13" t="str">
        <f t="shared" si="1"/>
        <v/>
      </c>
    </row>
    <row r="3140" ht="22.5" customHeight="1">
      <c r="B3140" s="13">
        <f>IFERROR(__xludf.DUMMYFUNCTION("""COMPUTED_VALUE"""),3135.0)</f>
        <v>3135</v>
      </c>
      <c r="C3140" s="13" t="str">
        <f>IFERROR(__xludf.DUMMYFUNCTION("""COMPUTED_VALUE"""),"M. 1146/KORPRI JAYA")</f>
        <v>M. 1146/KORPRI JAYA</v>
      </c>
      <c r="D3140" s="13" t="str">
        <f>IFERROR(__xludf.DUMMYFUNCTION("""COMPUTED_VALUE"""),"K/5/160725/1")</f>
        <v>K/5/160725/1</v>
      </c>
      <c r="E3140" s="14" t="str">
        <f>IFERROR(__xludf.DUMMYFUNCTION("""COMPUTED_VALUE"""),"Heri (BT)")</f>
        <v>Heri (BT)</v>
      </c>
      <c r="F3140" s="14" t="str">
        <f>IFERROR(__xludf.DUMMYFUNCTION("""COMPUTED_VALUE"""),"SELESAI (VIA PERMOHONAN)")</f>
        <v>SELESAI (VIA PERMOHONAN)</v>
      </c>
      <c r="G3140" s="17">
        <f>IFERROR(__xludf.DUMMYFUNCTION("""COMPUTED_VALUE"""),45863.53881745371)</f>
        <v>45863.53882</v>
      </c>
      <c r="H3140" s="14" t="str">
        <f>IFERROR(__xludf.DUMMYFUNCTION("""COMPUTED_VALUE"""),"Eci (SU)")</f>
        <v>Eci (SU)</v>
      </c>
      <c r="I3140" s="13" t="str">
        <f>IFERROR(__xludf.DUMMYFUNCTION("""COMPUTED_VALUE"""),"SELESAI (VIA PERMOHONAN)")</f>
        <v>SELESAI (VIA PERMOHONAN)</v>
      </c>
      <c r="J3140" s="17">
        <f>IFERROR(__xludf.DUMMYFUNCTION("""COMPUTED_VALUE"""),45866.50903509259)</f>
        <v>45866.50904</v>
      </c>
      <c r="K3140" s="13" t="str">
        <f>IFERROR(__xludf.DUMMYFUNCTION("""COMPUTED_VALUE"""),"Selesai")</f>
        <v>Selesai</v>
      </c>
      <c r="L3140" s="17">
        <f>IFERROR(__xludf.DUMMYFUNCTION("""COMPUTED_VALUE"""),45866.50903509259)</f>
        <v>45866.50904</v>
      </c>
      <c r="M3140" s="13"/>
      <c r="N3140" s="13" t="str">
        <f>IFERROR(__xludf.DUMMYFUNCTION("""COMPUTED_VALUE"""),"")</f>
        <v/>
      </c>
      <c r="O3140" s="13" t="str">
        <f t="shared" si="1"/>
        <v/>
      </c>
    </row>
    <row r="3141" ht="22.5" customHeight="1">
      <c r="B3141" s="13">
        <f>IFERROR(__xludf.DUMMYFUNCTION("""COMPUTED_VALUE"""),3136.0)</f>
        <v>3136</v>
      </c>
      <c r="C3141" s="13" t="str">
        <f>IFERROR(__xludf.DUMMYFUNCTION("""COMPUTED_VALUE"""),"M. 3377/KEMILING PERMAI")</f>
        <v>M. 3377/KEMILING PERMAI</v>
      </c>
      <c r="D3141" s="13" t="str">
        <f>IFERROR(__xludf.DUMMYFUNCTION("""COMPUTED_VALUE"""),"K/37/150725/4")</f>
        <v>K/37/150725/4</v>
      </c>
      <c r="E3141" s="14" t="str">
        <f>IFERROR(__xludf.DUMMYFUNCTION("""COMPUTED_VALUE"""),"Heri (BT)")</f>
        <v>Heri (BT)</v>
      </c>
      <c r="F3141" s="14" t="str">
        <f>IFERROR(__xludf.DUMMYFUNCTION("""COMPUTED_VALUE"""),"SELESAI (VIA PERMOHONAN)")</f>
        <v>SELESAI (VIA PERMOHONAN)</v>
      </c>
      <c r="G3141" s="17">
        <f>IFERROR(__xludf.DUMMYFUNCTION("""COMPUTED_VALUE"""),45863.53893815972)</f>
        <v>45863.53894</v>
      </c>
      <c r="H3141" s="14" t="str">
        <f>IFERROR(__xludf.DUMMYFUNCTION("""COMPUTED_VALUE"""),"Eci (SU)")</f>
        <v>Eci (SU)</v>
      </c>
      <c r="I3141" s="13" t="str">
        <f>IFERROR(__xludf.DUMMYFUNCTION("""COMPUTED_VALUE"""),"SELESAI (VIA PERMOHONAN)")</f>
        <v>SELESAI (VIA PERMOHONAN)</v>
      </c>
      <c r="J3141" s="17">
        <f>IFERROR(__xludf.DUMMYFUNCTION("""COMPUTED_VALUE"""),45866.50903509259)</f>
        <v>45866.50904</v>
      </c>
      <c r="K3141" s="13" t="str">
        <f>IFERROR(__xludf.DUMMYFUNCTION("""COMPUTED_VALUE"""),"Selesai")</f>
        <v>Selesai</v>
      </c>
      <c r="L3141" s="17">
        <f>IFERROR(__xludf.DUMMYFUNCTION("""COMPUTED_VALUE"""),45866.50903509259)</f>
        <v>45866.50904</v>
      </c>
      <c r="M3141" s="13"/>
      <c r="N3141" s="13" t="str">
        <f>IFERROR(__xludf.DUMMYFUNCTION("""COMPUTED_VALUE"""),"")</f>
        <v/>
      </c>
      <c r="O3141" s="13" t="str">
        <f t="shared" si="1"/>
        <v/>
      </c>
    </row>
    <row r="3142" ht="22.5" customHeight="1">
      <c r="B3142" s="13">
        <f>IFERROR(__xludf.DUMMYFUNCTION("""COMPUTED_VALUE"""),3137.0)</f>
        <v>3137</v>
      </c>
      <c r="C3142" s="13" t="str">
        <f>IFERROR(__xludf.DUMMYFUNCTION("""COMPUTED_VALUE"""),"M. 3013/SUKARAME BARU")</f>
        <v>M. 3013/SUKARAME BARU</v>
      </c>
      <c r="D3142" s="13" t="str">
        <f>IFERROR(__xludf.DUMMYFUNCTION("""COMPUTED_VALUE"""),"K/9/140725/1")</f>
        <v>K/9/140725/1</v>
      </c>
      <c r="E3142" s="14" t="str">
        <f>IFERROR(__xludf.DUMMYFUNCTION("""COMPUTED_VALUE"""),"Heri (BT)")</f>
        <v>Heri (BT)</v>
      </c>
      <c r="F3142" s="14" t="str">
        <f>IFERROR(__xludf.DUMMYFUNCTION("""COMPUTED_VALUE"""),"SELESAI (VIA PERMOHONAN)")</f>
        <v>SELESAI (VIA PERMOHONAN)</v>
      </c>
      <c r="G3142" s="17">
        <f>IFERROR(__xludf.DUMMYFUNCTION("""COMPUTED_VALUE"""),45863.53911216435)</f>
        <v>45863.53911</v>
      </c>
      <c r="H3142" s="14" t="str">
        <f>IFERROR(__xludf.DUMMYFUNCTION("""COMPUTED_VALUE"""),"Eci (SU)")</f>
        <v>Eci (SU)</v>
      </c>
      <c r="I3142" s="13" t="str">
        <f>IFERROR(__xludf.DUMMYFUNCTION("""COMPUTED_VALUE"""),"SELESAI (VIA PERMOHONAN)")</f>
        <v>SELESAI (VIA PERMOHONAN)</v>
      </c>
      <c r="J3142" s="17">
        <f>IFERROR(__xludf.DUMMYFUNCTION("""COMPUTED_VALUE"""),45866.50903509259)</f>
        <v>45866.50904</v>
      </c>
      <c r="K3142" s="13" t="str">
        <f>IFERROR(__xludf.DUMMYFUNCTION("""COMPUTED_VALUE"""),"Selesai")</f>
        <v>Selesai</v>
      </c>
      <c r="L3142" s="17">
        <f>IFERROR(__xludf.DUMMYFUNCTION("""COMPUTED_VALUE"""),45866.50903509259)</f>
        <v>45866.50904</v>
      </c>
      <c r="M3142" s="13"/>
      <c r="N3142" s="13" t="str">
        <f>IFERROR(__xludf.DUMMYFUNCTION("""COMPUTED_VALUE"""),"")</f>
        <v/>
      </c>
      <c r="O3142" s="13" t="str">
        <f t="shared" si="1"/>
        <v/>
      </c>
    </row>
    <row r="3143" ht="22.5" customHeight="1">
      <c r="B3143" s="13">
        <f>IFERROR(__xludf.DUMMYFUNCTION("""COMPUTED_VALUE"""),3138.0)</f>
        <v>3138</v>
      </c>
      <c r="C3143" s="13" t="str">
        <f>IFERROR(__xludf.DUMMYFUNCTION("""COMPUTED_VALUE"""),"M.3498/RAJABASA JAYA")</f>
        <v>M.3498/RAJABASA JAYA</v>
      </c>
      <c r="D3143" s="13" t="str">
        <f>IFERROR(__xludf.DUMMYFUNCTION("""COMPUTED_VALUE"""),"K/6/220725/1")</f>
        <v>K/6/220725/1</v>
      </c>
      <c r="E3143" s="14" t="str">
        <f>IFERROR(__xludf.DUMMYFUNCTION("""COMPUTED_VALUE"""),"Heri (BT)")</f>
        <v>Heri (BT)</v>
      </c>
      <c r="F3143" s="14" t="str">
        <f>IFERROR(__xludf.DUMMYFUNCTION("""COMPUTED_VALUE"""),"SELESAI (VIA PERMOHONAN)")</f>
        <v>SELESAI (VIA PERMOHONAN)</v>
      </c>
      <c r="G3143" s="17">
        <f>IFERROR(__xludf.DUMMYFUNCTION("""COMPUTED_VALUE"""),45863.539288935186)</f>
        <v>45863.53929</v>
      </c>
      <c r="H3143" s="14" t="str">
        <f>IFERROR(__xludf.DUMMYFUNCTION("""COMPUTED_VALUE"""),"Eci (SU)")</f>
        <v>Eci (SU)</v>
      </c>
      <c r="I3143" s="13" t="str">
        <f>IFERROR(__xludf.DUMMYFUNCTION("""COMPUTED_VALUE"""),"SELESAI (VIA PERMOHONAN)")</f>
        <v>SELESAI (VIA PERMOHONAN)</v>
      </c>
      <c r="J3143" s="17">
        <f>IFERROR(__xludf.DUMMYFUNCTION("""COMPUTED_VALUE"""),45866.50903509259)</f>
        <v>45866.50904</v>
      </c>
      <c r="K3143" s="13" t="str">
        <f>IFERROR(__xludf.DUMMYFUNCTION("""COMPUTED_VALUE"""),"Selesai")</f>
        <v>Selesai</v>
      </c>
      <c r="L3143" s="17">
        <f>IFERROR(__xludf.DUMMYFUNCTION("""COMPUTED_VALUE"""),45866.50903509259)</f>
        <v>45866.50904</v>
      </c>
      <c r="M3143" s="13"/>
      <c r="N3143" s="13" t="str">
        <f>IFERROR(__xludf.DUMMYFUNCTION("""COMPUTED_VALUE"""),"")</f>
        <v/>
      </c>
      <c r="O3143" s="13" t="str">
        <f t="shared" si="1"/>
        <v/>
      </c>
    </row>
    <row r="3144" ht="22.5" customHeight="1">
      <c r="B3144" s="13">
        <f>IFERROR(__xludf.DUMMYFUNCTION("""COMPUTED_VALUE"""),3139.0)</f>
        <v>3139</v>
      </c>
      <c r="C3144" s="13" t="str">
        <f>IFERROR(__xludf.DUMMYFUNCTION("""COMPUTED_VALUE"""),"HM 1070/BAKUNG")</f>
        <v>HM 1070/BAKUNG</v>
      </c>
      <c r="D3144" s="13" t="str">
        <f>IFERROR(__xludf.DUMMYFUNCTION("""COMPUTED_VALUE"""),"K/21/230725/3")</f>
        <v>K/21/230725/3</v>
      </c>
      <c r="E3144" s="14" t="str">
        <f>IFERROR(__xludf.DUMMYFUNCTION("""COMPUTED_VALUE"""),"Admin (Migrasi)")</f>
        <v>Admin (Migrasi)</v>
      </c>
      <c r="F3144" s="14" t="str">
        <f>IFERROR(__xludf.DUMMYFUNCTION("""COMPUTED_VALUE"""),"SELESAI (VIA PERMOHONAN)")</f>
        <v>SELESAI (VIA PERMOHONAN)</v>
      </c>
      <c r="G3144" s="17">
        <f>IFERROR(__xludf.DUMMYFUNCTION("""COMPUTED_VALUE"""),45863.55137728009)</f>
        <v>45863.55138</v>
      </c>
      <c r="H3144" s="14" t="str">
        <f>IFERROR(__xludf.DUMMYFUNCTION("""COMPUTED_VALUE"""),"Admin (Migrasi)")</f>
        <v>Admin (Migrasi)</v>
      </c>
      <c r="I3144" s="13" t="str">
        <f>IFERROR(__xludf.DUMMYFUNCTION("""COMPUTED_VALUE"""),"SELESAI (VIA PERMOHONAN)")</f>
        <v>SELESAI (VIA PERMOHONAN)</v>
      </c>
      <c r="J3144" s="17">
        <f>IFERROR(__xludf.DUMMYFUNCTION("""COMPUTED_VALUE"""),45863.551438379625)</f>
        <v>45863.55144</v>
      </c>
      <c r="K3144" s="13" t="str">
        <f>IFERROR(__xludf.DUMMYFUNCTION("""COMPUTED_VALUE"""),"Selesai")</f>
        <v>Selesai</v>
      </c>
      <c r="L3144" s="17">
        <f>IFERROR(__xludf.DUMMYFUNCTION("""COMPUTED_VALUE"""),45863.551438379625)</f>
        <v>45863.55144</v>
      </c>
      <c r="M3144" s="13"/>
      <c r="N3144" s="13" t="str">
        <f>IFERROR(__xludf.DUMMYFUNCTION("""COMPUTED_VALUE"""),"")</f>
        <v/>
      </c>
      <c r="O3144" s="13" t="str">
        <f t="shared" si="1"/>
        <v/>
      </c>
    </row>
    <row r="3145" ht="22.5" customHeight="1">
      <c r="B3145" s="13">
        <f>IFERROR(__xludf.DUMMYFUNCTION("""COMPUTED_VALUE"""),3140.0)</f>
        <v>3140</v>
      </c>
      <c r="C3145" s="13" t="str">
        <f>IFERROR(__xludf.DUMMYFUNCTION("""COMPUTED_VALUE"""),"M. 5491/ Rajabasa Jaya")</f>
        <v>M. 5491/ Rajabasa Jaya</v>
      </c>
      <c r="D3145" s="13" t="str">
        <f>IFERROR(__xludf.DUMMYFUNCTION("""COMPUTED_VALUE"""),"K/62/050625/1")</f>
        <v>K/62/050625/1</v>
      </c>
      <c r="E3145" s="14" t="str">
        <f>IFERROR(__xludf.DUMMYFUNCTION("""COMPUTED_VALUE"""),"Admin (Migrasi)")</f>
        <v>Admin (Migrasi)</v>
      </c>
      <c r="F3145" s="14" t="str">
        <f>IFERROR(__xludf.DUMMYFUNCTION("""COMPUTED_VALUE"""),"SELESAI (VIA PERMOHONAN)")</f>
        <v>SELESAI (VIA PERMOHONAN)</v>
      </c>
      <c r="G3145" s="17">
        <f>IFERROR(__xludf.DUMMYFUNCTION("""COMPUTED_VALUE"""),45863.55322104167)</f>
        <v>45863.55322</v>
      </c>
      <c r="H3145" s="14" t="str">
        <f>IFERROR(__xludf.DUMMYFUNCTION("""COMPUTED_VALUE"""),"Admin (Migrasi)")</f>
        <v>Admin (Migrasi)</v>
      </c>
      <c r="I3145" s="13" t="str">
        <f>IFERROR(__xludf.DUMMYFUNCTION("""COMPUTED_VALUE"""),"SELESAI (VIA PERMOHONAN)")</f>
        <v>SELESAI (VIA PERMOHONAN)</v>
      </c>
      <c r="J3145" s="17">
        <f>IFERROR(__xludf.DUMMYFUNCTION("""COMPUTED_VALUE"""),45863.553250717596)</f>
        <v>45863.55325</v>
      </c>
      <c r="K3145" s="13" t="str">
        <f>IFERROR(__xludf.DUMMYFUNCTION("""COMPUTED_VALUE"""),"Selesai")</f>
        <v>Selesai</v>
      </c>
      <c r="L3145" s="17">
        <f>IFERROR(__xludf.DUMMYFUNCTION("""COMPUTED_VALUE"""),45863.553250717596)</f>
        <v>45863.55325</v>
      </c>
      <c r="M3145" s="13"/>
      <c r="N3145" s="13" t="str">
        <f>IFERROR(__xludf.DUMMYFUNCTION("""COMPUTED_VALUE"""),"")</f>
        <v/>
      </c>
      <c r="O3145" s="13" t="str">
        <f t="shared" si="1"/>
        <v/>
      </c>
    </row>
    <row r="3146" ht="22.5" customHeight="1">
      <c r="B3146" s="13">
        <f>IFERROR(__xludf.DUMMYFUNCTION("""COMPUTED_VALUE"""),3141.0)</f>
        <v>3141</v>
      </c>
      <c r="C3146" s="13" t="str">
        <f>IFERROR(__xludf.DUMMYFUNCTION("""COMPUTED_VALUE"""),"HM 1155/LANGKAPURA")</f>
        <v>HM 1155/LANGKAPURA</v>
      </c>
      <c r="D3146" s="13" t="str">
        <f>IFERROR(__xludf.DUMMYFUNCTION("""COMPUTED_VALUE"""),"L/17/160725/1")</f>
        <v>L/17/160725/1</v>
      </c>
      <c r="E3146" s="14" t="str">
        <f>IFERROR(__xludf.DUMMYFUNCTION("""COMPUTED_VALUE"""),"Heri (BT)")</f>
        <v>Heri (BT)</v>
      </c>
      <c r="F3146" s="14" t="str">
        <f>IFERROR(__xludf.DUMMYFUNCTION("""COMPUTED_VALUE"""),"SELESAI (VIA PERMOHONAN)")</f>
        <v>SELESAI (VIA PERMOHONAN)</v>
      </c>
      <c r="G3146" s="17">
        <f>IFERROR(__xludf.DUMMYFUNCTION("""COMPUTED_VALUE"""),45866.62634899306)</f>
        <v>45866.62635</v>
      </c>
      <c r="H3146" s="14" t="str">
        <f>IFERROR(__xludf.DUMMYFUNCTION("""COMPUTED_VALUE"""),"Eci (SU)")</f>
        <v>Eci (SU)</v>
      </c>
      <c r="I3146" s="13" t="str">
        <f>IFERROR(__xludf.DUMMYFUNCTION("""COMPUTED_VALUE"""),"SELESAI (VIA PERMOHONAN)")</f>
        <v>SELESAI (VIA PERMOHONAN)</v>
      </c>
      <c r="J3146" s="17">
        <f>IFERROR(__xludf.DUMMYFUNCTION("""COMPUTED_VALUE"""),45867.64949847222)</f>
        <v>45867.6495</v>
      </c>
      <c r="K3146" s="13" t="str">
        <f>IFERROR(__xludf.DUMMYFUNCTION("""COMPUTED_VALUE"""),"Selesai")</f>
        <v>Selesai</v>
      </c>
      <c r="L3146" s="17">
        <f>IFERROR(__xludf.DUMMYFUNCTION("""COMPUTED_VALUE"""),45867.64949847222)</f>
        <v>45867.6495</v>
      </c>
      <c r="M3146" s="13"/>
      <c r="N3146" s="13" t="str">
        <f>IFERROR(__xludf.DUMMYFUNCTION("""COMPUTED_VALUE"""),"")</f>
        <v/>
      </c>
      <c r="O3146" s="13" t="str">
        <f t="shared" si="1"/>
        <v/>
      </c>
    </row>
    <row r="3147" ht="22.5" customHeight="1">
      <c r="B3147" s="13">
        <f>IFERROR(__xludf.DUMMYFUNCTION("""COMPUTED_VALUE"""),3142.0)</f>
        <v>3142</v>
      </c>
      <c r="C3147" s="13" t="str">
        <f>IFERROR(__xludf.DUMMYFUNCTION("""COMPUTED_VALUE"""),"HM 12146JAGABAYA II")</f>
        <v>HM 12146JAGABAYA II</v>
      </c>
      <c r="D3147" s="13" t="str">
        <f>IFERROR(__xludf.DUMMYFUNCTION("""COMPUTED_VALUE"""),"L/23/180725/1")</f>
        <v>L/23/180725/1</v>
      </c>
      <c r="E3147" s="14" t="str">
        <f>IFERROR(__xludf.DUMMYFUNCTION("""COMPUTED_VALUE"""),"Heri (BT)")</f>
        <v>Heri (BT)</v>
      </c>
      <c r="F3147" s="14" t="str">
        <f>IFERROR(__xludf.DUMMYFUNCTION("""COMPUTED_VALUE"""),"SELESAI (VIA PERMOHONAN)")</f>
        <v>SELESAI (VIA PERMOHONAN)</v>
      </c>
      <c r="G3147" s="17">
        <f>IFERROR(__xludf.DUMMYFUNCTION("""COMPUTED_VALUE"""),45866.62646241898)</f>
        <v>45866.62646</v>
      </c>
      <c r="H3147" s="14" t="str">
        <f>IFERROR(__xludf.DUMMYFUNCTION("""COMPUTED_VALUE"""),"Eci (SU)")</f>
        <v>Eci (SU)</v>
      </c>
      <c r="I3147" s="13" t="str">
        <f>IFERROR(__xludf.DUMMYFUNCTION("""COMPUTED_VALUE"""),"SELESAI (VIA PERMOHONAN)")</f>
        <v>SELESAI (VIA PERMOHONAN)</v>
      </c>
      <c r="J3147" s="17">
        <f>IFERROR(__xludf.DUMMYFUNCTION("""COMPUTED_VALUE"""),45867.64952486111)</f>
        <v>45867.64952</v>
      </c>
      <c r="K3147" s="13" t="str">
        <f>IFERROR(__xludf.DUMMYFUNCTION("""COMPUTED_VALUE"""),"Selesai")</f>
        <v>Selesai</v>
      </c>
      <c r="L3147" s="17">
        <f>IFERROR(__xludf.DUMMYFUNCTION("""COMPUTED_VALUE"""),45867.64952486111)</f>
        <v>45867.64952</v>
      </c>
      <c r="M3147" s="13"/>
      <c r="N3147" s="13" t="str">
        <f>IFERROR(__xludf.DUMMYFUNCTION("""COMPUTED_VALUE"""),"")</f>
        <v/>
      </c>
      <c r="O3147" s="13" t="str">
        <f t="shared" si="1"/>
        <v/>
      </c>
    </row>
    <row r="3148" ht="22.5" customHeight="1">
      <c r="B3148" s="13">
        <f>IFERROR(__xludf.DUMMYFUNCTION("""COMPUTED_VALUE"""),3143.0)</f>
        <v>3143</v>
      </c>
      <c r="C3148" s="13" t="str">
        <f>IFERROR(__xludf.DUMMYFUNCTION("""COMPUTED_VALUE"""),"M. 2439/ Kedaung")</f>
        <v>M. 2439/ Kedaung</v>
      </c>
      <c r="D3148" s="13" t="str">
        <f>IFERROR(__xludf.DUMMYFUNCTION("""COMPUTED_VALUE"""),"K/21/070725/2")</f>
        <v>K/21/070725/2</v>
      </c>
      <c r="E3148" s="14" t="str">
        <f>IFERROR(__xludf.DUMMYFUNCTION("""COMPUTED_VALUE"""),"Heri (BT)")</f>
        <v>Heri (BT)</v>
      </c>
      <c r="F3148" s="14" t="str">
        <f>IFERROR(__xludf.DUMMYFUNCTION("""COMPUTED_VALUE"""),"SELESAI (VIA PERMOHONAN)")</f>
        <v>SELESAI (VIA PERMOHONAN)</v>
      </c>
      <c r="G3148" s="17">
        <f>IFERROR(__xludf.DUMMYFUNCTION("""COMPUTED_VALUE"""),45866.62656449074)</f>
        <v>45866.62656</v>
      </c>
      <c r="H3148" s="14" t="str">
        <f>IFERROR(__xludf.DUMMYFUNCTION("""COMPUTED_VALUE"""),"Eci (SU)")</f>
        <v>Eci (SU)</v>
      </c>
      <c r="I3148" s="13" t="str">
        <f>IFERROR(__xludf.DUMMYFUNCTION("""COMPUTED_VALUE"""),"SELESAI (VIA PERMOHONAN)")</f>
        <v>SELESAI (VIA PERMOHONAN)</v>
      </c>
      <c r="J3148" s="17">
        <f>IFERROR(__xludf.DUMMYFUNCTION("""COMPUTED_VALUE"""),45867.64952486111)</f>
        <v>45867.64952</v>
      </c>
      <c r="K3148" s="13" t="str">
        <f>IFERROR(__xludf.DUMMYFUNCTION("""COMPUTED_VALUE"""),"Selesai")</f>
        <v>Selesai</v>
      </c>
      <c r="L3148" s="17">
        <f>IFERROR(__xludf.DUMMYFUNCTION("""COMPUTED_VALUE"""),45867.64952486111)</f>
        <v>45867.64952</v>
      </c>
      <c r="M3148" s="13"/>
      <c r="N3148" s="13" t="str">
        <f>IFERROR(__xludf.DUMMYFUNCTION("""COMPUTED_VALUE"""),"")</f>
        <v/>
      </c>
      <c r="O3148" s="13" t="str">
        <f t="shared" si="1"/>
        <v/>
      </c>
    </row>
    <row r="3149" ht="22.5" customHeight="1">
      <c r="B3149" s="13">
        <f>IFERROR(__xludf.DUMMYFUNCTION("""COMPUTED_VALUE"""),3144.0)</f>
        <v>3144</v>
      </c>
      <c r="C3149" s="13" t="str">
        <f>IFERROR(__xludf.DUMMYFUNCTION("""COMPUTED_VALUE"""),"B. 584/ Nusantara Permai")</f>
        <v>B. 584/ Nusantara Permai</v>
      </c>
      <c r="D3149" s="13" t="str">
        <f>IFERROR(__xludf.DUMMYFUNCTION("""COMPUTED_VALUE"""),"K/26/020725/2")</f>
        <v>K/26/020725/2</v>
      </c>
      <c r="E3149" s="14" t="str">
        <f>IFERROR(__xludf.DUMMYFUNCTION("""COMPUTED_VALUE"""),"Heri (BT)")</f>
        <v>Heri (BT)</v>
      </c>
      <c r="F3149" s="14" t="str">
        <f>IFERROR(__xludf.DUMMYFUNCTION("""COMPUTED_VALUE"""),"SELESAI (VIA PERMOHONAN)")</f>
        <v>SELESAI (VIA PERMOHONAN)</v>
      </c>
      <c r="G3149" s="17">
        <f>IFERROR(__xludf.DUMMYFUNCTION("""COMPUTED_VALUE"""),45866.62675739583)</f>
        <v>45866.62676</v>
      </c>
      <c r="H3149" s="14" t="str">
        <f>IFERROR(__xludf.DUMMYFUNCTION("""COMPUTED_VALUE"""),"Eci (SU)")</f>
        <v>Eci (SU)</v>
      </c>
      <c r="I3149" s="13" t="str">
        <f>IFERROR(__xludf.DUMMYFUNCTION("""COMPUTED_VALUE"""),"SELESAI (VIA PERMOHONAN)")</f>
        <v>SELESAI (VIA PERMOHONAN)</v>
      </c>
      <c r="J3149" s="17">
        <f>IFERROR(__xludf.DUMMYFUNCTION("""COMPUTED_VALUE"""),45867.64952486111)</f>
        <v>45867.64952</v>
      </c>
      <c r="K3149" s="13" t="str">
        <f>IFERROR(__xludf.DUMMYFUNCTION("""COMPUTED_VALUE"""),"Selesai")</f>
        <v>Selesai</v>
      </c>
      <c r="L3149" s="17">
        <f>IFERROR(__xludf.DUMMYFUNCTION("""COMPUTED_VALUE"""),45867.64952486111)</f>
        <v>45867.64952</v>
      </c>
      <c r="M3149" s="13"/>
      <c r="N3149" s="13" t="str">
        <f>IFERROR(__xludf.DUMMYFUNCTION("""COMPUTED_VALUE"""),"")</f>
        <v/>
      </c>
      <c r="O3149" s="13" t="str">
        <f t="shared" si="1"/>
        <v/>
      </c>
    </row>
    <row r="3150" ht="22.5" customHeight="1">
      <c r="B3150" s="13">
        <f>IFERROR(__xludf.DUMMYFUNCTION("""COMPUTED_VALUE"""),3145.0)</f>
        <v>3145</v>
      </c>
      <c r="C3150" s="13" t="str">
        <f>IFERROR(__xludf.DUMMYFUNCTION("""COMPUTED_VALUE"""),"B. 583/ Nusantara Permai")</f>
        <v>B. 583/ Nusantara Permai</v>
      </c>
      <c r="D3150" s="13" t="str">
        <f>IFERROR(__xludf.DUMMYFUNCTION("""COMPUTED_VALUE"""),"K/25/020725/1")</f>
        <v>K/25/020725/1</v>
      </c>
      <c r="E3150" s="14" t="str">
        <f>IFERROR(__xludf.DUMMYFUNCTION("""COMPUTED_VALUE"""),"Heri (BT)")</f>
        <v>Heri (BT)</v>
      </c>
      <c r="F3150" s="14" t="str">
        <f>IFERROR(__xludf.DUMMYFUNCTION("""COMPUTED_VALUE"""),"SELESAI (VIA PERMOHONAN)")</f>
        <v>SELESAI (VIA PERMOHONAN)</v>
      </c>
      <c r="G3150" s="17">
        <f>IFERROR(__xludf.DUMMYFUNCTION("""COMPUTED_VALUE"""),45866.62688827547)</f>
        <v>45866.62689</v>
      </c>
      <c r="H3150" s="14" t="str">
        <f>IFERROR(__xludf.DUMMYFUNCTION("""COMPUTED_VALUE"""),"Eci (SU)")</f>
        <v>Eci (SU)</v>
      </c>
      <c r="I3150" s="13" t="str">
        <f>IFERROR(__xludf.DUMMYFUNCTION("""COMPUTED_VALUE"""),"SELESAI (VIA PERMOHONAN)")</f>
        <v>SELESAI (VIA PERMOHONAN)</v>
      </c>
      <c r="J3150" s="17">
        <f>IFERROR(__xludf.DUMMYFUNCTION("""COMPUTED_VALUE"""),45867.64952486111)</f>
        <v>45867.64952</v>
      </c>
      <c r="K3150" s="13" t="str">
        <f>IFERROR(__xludf.DUMMYFUNCTION("""COMPUTED_VALUE"""),"Selesai")</f>
        <v>Selesai</v>
      </c>
      <c r="L3150" s="17">
        <f>IFERROR(__xludf.DUMMYFUNCTION("""COMPUTED_VALUE"""),45867.64952486111)</f>
        <v>45867.64952</v>
      </c>
      <c r="M3150" s="13"/>
      <c r="N3150" s="13" t="str">
        <f>IFERROR(__xludf.DUMMYFUNCTION("""COMPUTED_VALUE"""),"")</f>
        <v/>
      </c>
      <c r="O3150" s="13" t="str">
        <f t="shared" si="1"/>
        <v/>
      </c>
    </row>
    <row r="3151" ht="22.5" customHeight="1">
      <c r="B3151" s="13">
        <f>IFERROR(__xludf.DUMMYFUNCTION("""COMPUTED_VALUE"""),3146.0)</f>
        <v>3146</v>
      </c>
      <c r="C3151" s="13" t="str">
        <f>IFERROR(__xludf.DUMMYFUNCTION("""COMPUTED_VALUE"""),"M. 2441/ Kedaung")</f>
        <v>M. 2441/ Kedaung</v>
      </c>
      <c r="D3151" s="13" t="str">
        <f>IFERROR(__xludf.DUMMYFUNCTION("""COMPUTED_VALUE"""),"K/40/260625/1")</f>
        <v>K/40/260625/1</v>
      </c>
      <c r="E3151" s="14" t="str">
        <f>IFERROR(__xludf.DUMMYFUNCTION("""COMPUTED_VALUE"""),"Heri (BT)")</f>
        <v>Heri (BT)</v>
      </c>
      <c r="F3151" s="14" t="str">
        <f>IFERROR(__xludf.DUMMYFUNCTION("""COMPUTED_VALUE"""),"SELESAI (VIA PERMOHONAN)")</f>
        <v>SELESAI (VIA PERMOHONAN)</v>
      </c>
      <c r="G3151" s="17">
        <f>IFERROR(__xludf.DUMMYFUNCTION("""COMPUTED_VALUE"""),45866.62697837963)</f>
        <v>45866.62698</v>
      </c>
      <c r="H3151" s="14" t="str">
        <f>IFERROR(__xludf.DUMMYFUNCTION("""COMPUTED_VALUE"""),"Eci (SU)")</f>
        <v>Eci (SU)</v>
      </c>
      <c r="I3151" s="13" t="str">
        <f>IFERROR(__xludf.DUMMYFUNCTION("""COMPUTED_VALUE"""),"SELESAI (VIA PERMOHONAN)")</f>
        <v>SELESAI (VIA PERMOHONAN)</v>
      </c>
      <c r="J3151" s="17">
        <f>IFERROR(__xludf.DUMMYFUNCTION("""COMPUTED_VALUE"""),45867.64952486111)</f>
        <v>45867.64952</v>
      </c>
      <c r="K3151" s="13" t="str">
        <f>IFERROR(__xludf.DUMMYFUNCTION("""COMPUTED_VALUE"""),"Selesai")</f>
        <v>Selesai</v>
      </c>
      <c r="L3151" s="17">
        <f>IFERROR(__xludf.DUMMYFUNCTION("""COMPUTED_VALUE"""),45867.64952486111)</f>
        <v>45867.64952</v>
      </c>
      <c r="M3151" s="13"/>
      <c r="N3151" s="13" t="str">
        <f>IFERROR(__xludf.DUMMYFUNCTION("""COMPUTED_VALUE"""),"")</f>
        <v/>
      </c>
      <c r="O3151" s="13" t="str">
        <f t="shared" si="1"/>
        <v/>
      </c>
    </row>
    <row r="3152" ht="22.5" customHeight="1">
      <c r="B3152" s="13">
        <f>IFERROR(__xludf.DUMMYFUNCTION("""COMPUTED_VALUE"""),3147.0)</f>
        <v>3147</v>
      </c>
      <c r="C3152" s="13" t="str">
        <f>IFERROR(__xludf.DUMMYFUNCTION("""COMPUTED_VALUE"""),"M. 14102/ Sukabumi")</f>
        <v>M. 14102/ Sukabumi</v>
      </c>
      <c r="D3152" s="13" t="str">
        <f>IFERROR(__xludf.DUMMYFUNCTION("""COMPUTED_VALUE"""),"K/13/170725/1")</f>
        <v>K/13/170725/1</v>
      </c>
      <c r="E3152" s="14" t="str">
        <f>IFERROR(__xludf.DUMMYFUNCTION("""COMPUTED_VALUE"""),"Heri (BT)")</f>
        <v>Heri (BT)</v>
      </c>
      <c r="F3152" s="14" t="str">
        <f>IFERROR(__xludf.DUMMYFUNCTION("""COMPUTED_VALUE"""),"SELESAI (VIA PERMOHONAN)")</f>
        <v>SELESAI (VIA PERMOHONAN)</v>
      </c>
      <c r="G3152" s="17">
        <f>IFERROR(__xludf.DUMMYFUNCTION("""COMPUTED_VALUE"""),45866.627157800925)</f>
        <v>45866.62716</v>
      </c>
      <c r="H3152" s="14" t="str">
        <f>IFERROR(__xludf.DUMMYFUNCTION("""COMPUTED_VALUE"""),"Eci (SU)")</f>
        <v>Eci (SU)</v>
      </c>
      <c r="I3152" s="13" t="str">
        <f>IFERROR(__xludf.DUMMYFUNCTION("""COMPUTED_VALUE"""),"SELESAI (VIA PERMOHONAN)")</f>
        <v>SELESAI (VIA PERMOHONAN)</v>
      </c>
      <c r="J3152" s="17">
        <f>IFERROR(__xludf.DUMMYFUNCTION("""COMPUTED_VALUE"""),45867.6496444213)</f>
        <v>45867.64964</v>
      </c>
      <c r="K3152" s="13" t="str">
        <f>IFERROR(__xludf.DUMMYFUNCTION("""COMPUTED_VALUE"""),"Selesai")</f>
        <v>Selesai</v>
      </c>
      <c r="L3152" s="17">
        <f>IFERROR(__xludf.DUMMYFUNCTION("""COMPUTED_VALUE"""),45867.6496444213)</f>
        <v>45867.64964</v>
      </c>
      <c r="M3152" s="13"/>
      <c r="N3152" s="13" t="str">
        <f>IFERROR(__xludf.DUMMYFUNCTION("""COMPUTED_VALUE"""),"")</f>
        <v/>
      </c>
      <c r="O3152" s="13" t="str">
        <f t="shared" si="1"/>
        <v/>
      </c>
    </row>
    <row r="3153" ht="22.5" customHeight="1">
      <c r="B3153" s="13">
        <f>IFERROR(__xludf.DUMMYFUNCTION("""COMPUTED_VALUE"""),3148.0)</f>
        <v>3148</v>
      </c>
      <c r="C3153" s="13" t="str">
        <f>IFERROR(__xludf.DUMMYFUNCTION("""COMPUTED_VALUE"""),"M. 1599/ Kemiling Raya")</f>
        <v>M. 1599/ Kemiling Raya</v>
      </c>
      <c r="D3153" s="13" t="str">
        <f>IFERROR(__xludf.DUMMYFUNCTION("""COMPUTED_VALUE"""),"K/26/100725/2")</f>
        <v>K/26/100725/2</v>
      </c>
      <c r="E3153" s="14" t="str">
        <f>IFERROR(__xludf.DUMMYFUNCTION("""COMPUTED_VALUE"""),"Heri (BT)")</f>
        <v>Heri (BT)</v>
      </c>
      <c r="F3153" s="14" t="str">
        <f>IFERROR(__xludf.DUMMYFUNCTION("""COMPUTED_VALUE"""),"SELESAI (VIA PERMOHONAN)")</f>
        <v>SELESAI (VIA PERMOHONAN)</v>
      </c>
      <c r="G3153" s="17">
        <f>IFERROR(__xludf.DUMMYFUNCTION("""COMPUTED_VALUE"""),45866.62726502315)</f>
        <v>45866.62727</v>
      </c>
      <c r="H3153" s="14" t="str">
        <f>IFERROR(__xludf.DUMMYFUNCTION("""COMPUTED_VALUE"""),"Eci (SU)")</f>
        <v>Eci (SU)</v>
      </c>
      <c r="I3153" s="13" t="str">
        <f>IFERROR(__xludf.DUMMYFUNCTION("""COMPUTED_VALUE"""),"SELESAI (VIA PERMOHONAN)")</f>
        <v>SELESAI (VIA PERMOHONAN)</v>
      </c>
      <c r="J3153" s="17">
        <f>IFERROR(__xludf.DUMMYFUNCTION("""COMPUTED_VALUE"""),45867.6496444213)</f>
        <v>45867.64964</v>
      </c>
      <c r="K3153" s="13" t="str">
        <f>IFERROR(__xludf.DUMMYFUNCTION("""COMPUTED_VALUE"""),"Selesai")</f>
        <v>Selesai</v>
      </c>
      <c r="L3153" s="17">
        <f>IFERROR(__xludf.DUMMYFUNCTION("""COMPUTED_VALUE"""),45867.6496444213)</f>
        <v>45867.64964</v>
      </c>
      <c r="M3153" s="13"/>
      <c r="N3153" s="13" t="str">
        <f>IFERROR(__xludf.DUMMYFUNCTION("""COMPUTED_VALUE"""),"")</f>
        <v/>
      </c>
      <c r="O3153" s="13" t="str">
        <f t="shared" si="1"/>
        <v/>
      </c>
    </row>
    <row r="3154" ht="22.5" customHeight="1">
      <c r="B3154" s="13">
        <f>IFERROR(__xludf.DUMMYFUNCTION("""COMPUTED_VALUE"""),3149.0)</f>
        <v>3149</v>
      </c>
      <c r="C3154" s="13" t="str">
        <f>IFERROR(__xludf.DUMMYFUNCTION("""COMPUTED_VALUE"""),"M. 1894/ Batu Putuk")</f>
        <v>M. 1894/ Batu Putuk</v>
      </c>
      <c r="D3154" s="13" t="str">
        <f>IFERROR(__xludf.DUMMYFUNCTION("""COMPUTED_VALUE"""),"K/4/180625/1")</f>
        <v>K/4/180625/1</v>
      </c>
      <c r="E3154" s="14" t="str">
        <f>IFERROR(__xludf.DUMMYFUNCTION("""COMPUTED_VALUE"""),"Heri (BT)")</f>
        <v>Heri (BT)</v>
      </c>
      <c r="F3154" s="14" t="str">
        <f>IFERROR(__xludf.DUMMYFUNCTION("""COMPUTED_VALUE"""),"SELESAI (VIA PERMOHONAN)")</f>
        <v>SELESAI (VIA PERMOHONAN)</v>
      </c>
      <c r="G3154" s="17">
        <f>IFERROR(__xludf.DUMMYFUNCTION("""COMPUTED_VALUE"""),45866.6274531713)</f>
        <v>45866.62745</v>
      </c>
      <c r="H3154" s="14" t="str">
        <f>IFERROR(__xludf.DUMMYFUNCTION("""COMPUTED_VALUE"""),"Eci (SU)")</f>
        <v>Eci (SU)</v>
      </c>
      <c r="I3154" s="13" t="str">
        <f>IFERROR(__xludf.DUMMYFUNCTION("""COMPUTED_VALUE"""),"SELESAI (VIA PERMOHONAN)")</f>
        <v>SELESAI (VIA PERMOHONAN)</v>
      </c>
      <c r="J3154" s="17">
        <f>IFERROR(__xludf.DUMMYFUNCTION("""COMPUTED_VALUE"""),45867.6496444213)</f>
        <v>45867.64964</v>
      </c>
      <c r="K3154" s="13" t="str">
        <f>IFERROR(__xludf.DUMMYFUNCTION("""COMPUTED_VALUE"""),"Selesai")</f>
        <v>Selesai</v>
      </c>
      <c r="L3154" s="17">
        <f>IFERROR(__xludf.DUMMYFUNCTION("""COMPUTED_VALUE"""),45867.6496444213)</f>
        <v>45867.64964</v>
      </c>
      <c r="M3154" s="13"/>
      <c r="N3154" s="13" t="str">
        <f>IFERROR(__xludf.DUMMYFUNCTION("""COMPUTED_VALUE"""),"")</f>
        <v/>
      </c>
      <c r="O3154" s="13" t="str">
        <f t="shared" si="1"/>
        <v/>
      </c>
    </row>
    <row r="3155" ht="22.5" customHeight="1">
      <c r="B3155" s="13">
        <f>IFERROR(__xludf.DUMMYFUNCTION("""COMPUTED_VALUE"""),3150.0)</f>
        <v>3150</v>
      </c>
      <c r="C3155" s="13" t="str">
        <f>IFERROR(__xludf.DUMMYFUNCTION("""COMPUTED_VALUE"""),"M. 15520/ Sukarame")</f>
        <v>M. 15520/ Sukarame</v>
      </c>
      <c r="D3155" s="13" t="str">
        <f>IFERROR(__xludf.DUMMYFUNCTION("""COMPUTED_VALUE"""),"K/28/040725/2")</f>
        <v>K/28/040725/2</v>
      </c>
      <c r="E3155" s="14" t="str">
        <f>IFERROR(__xludf.DUMMYFUNCTION("""COMPUTED_VALUE"""),"Heri (BT)")</f>
        <v>Heri (BT)</v>
      </c>
      <c r="F3155" s="14" t="str">
        <f>IFERROR(__xludf.DUMMYFUNCTION("""COMPUTED_VALUE"""),"SELESAI (VIA PERMOHONAN)")</f>
        <v>SELESAI (VIA PERMOHONAN)</v>
      </c>
      <c r="G3155" s="17">
        <f>IFERROR(__xludf.DUMMYFUNCTION("""COMPUTED_VALUE"""),45866.62755273149)</f>
        <v>45866.62755</v>
      </c>
      <c r="H3155" s="14" t="str">
        <f>IFERROR(__xludf.DUMMYFUNCTION("""COMPUTED_VALUE"""),"Eci (SU)")</f>
        <v>Eci (SU)</v>
      </c>
      <c r="I3155" s="13" t="str">
        <f>IFERROR(__xludf.DUMMYFUNCTION("""COMPUTED_VALUE"""),"SELESAI (VIA PERMOHONAN)")</f>
        <v>SELESAI (VIA PERMOHONAN)</v>
      </c>
      <c r="J3155" s="17">
        <f>IFERROR(__xludf.DUMMYFUNCTION("""COMPUTED_VALUE"""),45867.6496444213)</f>
        <v>45867.64964</v>
      </c>
      <c r="K3155" s="13" t="str">
        <f>IFERROR(__xludf.DUMMYFUNCTION("""COMPUTED_VALUE"""),"Selesai")</f>
        <v>Selesai</v>
      </c>
      <c r="L3155" s="17">
        <f>IFERROR(__xludf.DUMMYFUNCTION("""COMPUTED_VALUE"""),45867.6496444213)</f>
        <v>45867.64964</v>
      </c>
      <c r="M3155" s="13"/>
      <c r="N3155" s="13" t="str">
        <f>IFERROR(__xludf.DUMMYFUNCTION("""COMPUTED_VALUE"""),"")</f>
        <v/>
      </c>
      <c r="O3155" s="13" t="str">
        <f t="shared" si="1"/>
        <v/>
      </c>
    </row>
    <row r="3156" ht="22.5" customHeight="1">
      <c r="B3156" s="13">
        <f>IFERROR(__xludf.DUMMYFUNCTION("""COMPUTED_VALUE"""),3151.0)</f>
        <v>3151</v>
      </c>
      <c r="C3156" s="13" t="str">
        <f>IFERROR(__xludf.DUMMYFUNCTION("""COMPUTED_VALUE"""),"M. 806/ Rawa Laut")</f>
        <v>M. 806/ Rawa Laut</v>
      </c>
      <c r="D3156" s="13" t="str">
        <f>IFERROR(__xludf.DUMMYFUNCTION("""COMPUTED_VALUE"""),"K/16/030725/1")</f>
        <v>K/16/030725/1</v>
      </c>
      <c r="E3156" s="14" t="str">
        <f>IFERROR(__xludf.DUMMYFUNCTION("""COMPUTED_VALUE"""),"Heri (BT)")</f>
        <v>Heri (BT)</v>
      </c>
      <c r="F3156" s="14" t="str">
        <f>IFERROR(__xludf.DUMMYFUNCTION("""COMPUTED_VALUE"""),"SELESAI (VIA PERMOHONAN)")</f>
        <v>SELESAI (VIA PERMOHONAN)</v>
      </c>
      <c r="G3156" s="17">
        <f>IFERROR(__xludf.DUMMYFUNCTION("""COMPUTED_VALUE"""),45866.62768738426)</f>
        <v>45866.62769</v>
      </c>
      <c r="H3156" s="14" t="str">
        <f>IFERROR(__xludf.DUMMYFUNCTION("""COMPUTED_VALUE"""),"Eci (SU)")</f>
        <v>Eci (SU)</v>
      </c>
      <c r="I3156" s="13" t="str">
        <f>IFERROR(__xludf.DUMMYFUNCTION("""COMPUTED_VALUE"""),"SELESAI (VIA PERMOHONAN)")</f>
        <v>SELESAI (VIA PERMOHONAN)</v>
      </c>
      <c r="J3156" s="17">
        <f>IFERROR(__xludf.DUMMYFUNCTION("""COMPUTED_VALUE"""),45867.6496444213)</f>
        <v>45867.64964</v>
      </c>
      <c r="K3156" s="13" t="str">
        <f>IFERROR(__xludf.DUMMYFUNCTION("""COMPUTED_VALUE"""),"Selesai")</f>
        <v>Selesai</v>
      </c>
      <c r="L3156" s="17">
        <f>IFERROR(__xludf.DUMMYFUNCTION("""COMPUTED_VALUE"""),45867.6496444213)</f>
        <v>45867.64964</v>
      </c>
      <c r="M3156" s="13"/>
      <c r="N3156" s="13" t="str">
        <f>IFERROR(__xludf.DUMMYFUNCTION("""COMPUTED_VALUE"""),"")</f>
        <v/>
      </c>
      <c r="O3156" s="13" t="str">
        <f t="shared" si="1"/>
        <v/>
      </c>
    </row>
    <row r="3157" ht="22.5" customHeight="1">
      <c r="B3157" s="13">
        <f>IFERROR(__xludf.DUMMYFUNCTION("""COMPUTED_VALUE"""),3152.0)</f>
        <v>3152</v>
      </c>
      <c r="C3157" s="13" t="str">
        <f>IFERROR(__xludf.DUMMYFUNCTION("""COMPUTED_VALUE"""),"M. 178/ Sumur Putri")</f>
        <v>M. 178/ Sumur Putri</v>
      </c>
      <c r="D3157" s="13" t="str">
        <f>IFERROR(__xludf.DUMMYFUNCTION("""COMPUTED_VALUE"""),"K/35/170725/2")</f>
        <v>K/35/170725/2</v>
      </c>
      <c r="E3157" s="14" t="str">
        <f>IFERROR(__xludf.DUMMYFUNCTION("""COMPUTED_VALUE"""),"Heri (BT)")</f>
        <v>Heri (BT)</v>
      </c>
      <c r="F3157" s="14" t="str">
        <f>IFERROR(__xludf.DUMMYFUNCTION("""COMPUTED_VALUE"""),"SELESAI (VIA PERMOHONAN)")</f>
        <v>SELESAI (VIA PERMOHONAN)</v>
      </c>
      <c r="G3157" s="17">
        <f>IFERROR(__xludf.DUMMYFUNCTION("""COMPUTED_VALUE"""),45866.62785902778)</f>
        <v>45866.62786</v>
      </c>
      <c r="H3157" s="14" t="str">
        <f>IFERROR(__xludf.DUMMYFUNCTION("""COMPUTED_VALUE"""),"Eci (SU)")</f>
        <v>Eci (SU)</v>
      </c>
      <c r="I3157" s="13" t="str">
        <f>IFERROR(__xludf.DUMMYFUNCTION("""COMPUTED_VALUE"""),"SELESAI (VIA PERMOHONAN)")</f>
        <v>SELESAI (VIA PERMOHONAN)</v>
      </c>
      <c r="J3157" s="17">
        <f>IFERROR(__xludf.DUMMYFUNCTION("""COMPUTED_VALUE"""),45868.62315733796)</f>
        <v>45868.62316</v>
      </c>
      <c r="K3157" s="13" t="str">
        <f>IFERROR(__xludf.DUMMYFUNCTION("""COMPUTED_VALUE"""),"Selesai")</f>
        <v>Selesai</v>
      </c>
      <c r="L3157" s="17">
        <f>IFERROR(__xludf.DUMMYFUNCTION("""COMPUTED_VALUE"""),45868.62315733796)</f>
        <v>45868.62316</v>
      </c>
      <c r="M3157" s="13"/>
      <c r="N3157" s="13" t="str">
        <f>IFERROR(__xludf.DUMMYFUNCTION("""COMPUTED_VALUE"""),"")</f>
        <v/>
      </c>
      <c r="O3157" s="13" t="str">
        <f t="shared" si="1"/>
        <v/>
      </c>
    </row>
    <row r="3158" ht="22.5" customHeight="1">
      <c r="B3158" s="13">
        <f>IFERROR(__xludf.DUMMYFUNCTION("""COMPUTED_VALUE"""),3153.0)</f>
        <v>3153</v>
      </c>
      <c r="C3158" s="13" t="str">
        <f>IFERROR(__xludf.DUMMYFUNCTION("""COMPUTED_VALUE"""),"M. 2849/ Beringin Raya")</f>
        <v>M. 2849/ Beringin Raya</v>
      </c>
      <c r="D3158" s="13" t="str">
        <f>IFERROR(__xludf.DUMMYFUNCTION("""COMPUTED_VALUE"""),"K/24/150725/1")</f>
        <v>K/24/150725/1</v>
      </c>
      <c r="E3158" s="14" t="str">
        <f>IFERROR(__xludf.DUMMYFUNCTION("""COMPUTED_VALUE"""),"Heri (BT)")</f>
        <v>Heri (BT)</v>
      </c>
      <c r="F3158" s="14" t="str">
        <f>IFERROR(__xludf.DUMMYFUNCTION("""COMPUTED_VALUE"""),"SELESAI (VIA PERMOHONAN)")</f>
        <v>SELESAI (VIA PERMOHONAN)</v>
      </c>
      <c r="G3158" s="17">
        <f>IFERROR(__xludf.DUMMYFUNCTION("""COMPUTED_VALUE"""),45866.627949999995)</f>
        <v>45866.62795</v>
      </c>
      <c r="H3158" s="14" t="str">
        <f>IFERROR(__xludf.DUMMYFUNCTION("""COMPUTED_VALUE"""),"Eci (SU)")</f>
        <v>Eci (SU)</v>
      </c>
      <c r="I3158" s="13" t="str">
        <f>IFERROR(__xludf.DUMMYFUNCTION("""COMPUTED_VALUE"""),"SELESAI (VIA PERMOHONAN)")</f>
        <v>SELESAI (VIA PERMOHONAN)</v>
      </c>
      <c r="J3158" s="17">
        <f>IFERROR(__xludf.DUMMYFUNCTION("""COMPUTED_VALUE"""),45867.64967892361)</f>
        <v>45867.64968</v>
      </c>
      <c r="K3158" s="13" t="str">
        <f>IFERROR(__xludf.DUMMYFUNCTION("""COMPUTED_VALUE"""),"Selesai")</f>
        <v>Selesai</v>
      </c>
      <c r="L3158" s="17">
        <f>IFERROR(__xludf.DUMMYFUNCTION("""COMPUTED_VALUE"""),45867.64967892361)</f>
        <v>45867.64968</v>
      </c>
      <c r="M3158" s="13"/>
      <c r="N3158" s="13" t="str">
        <f>IFERROR(__xludf.DUMMYFUNCTION("""COMPUTED_VALUE"""),"")</f>
        <v/>
      </c>
      <c r="O3158" s="13" t="str">
        <f t="shared" si="1"/>
        <v/>
      </c>
    </row>
    <row r="3159" ht="22.5" customHeight="1">
      <c r="B3159" s="13">
        <f>IFERROR(__xludf.DUMMYFUNCTION("""COMPUTED_VALUE"""),3154.0)</f>
        <v>3154</v>
      </c>
      <c r="C3159" s="13" t="str">
        <f>IFERROR(__xludf.DUMMYFUNCTION("""COMPUTED_VALUE"""),"M. 683/PALAPA")</f>
        <v>M. 683/PALAPA</v>
      </c>
      <c r="D3159" s="13" t="str">
        <f>IFERROR(__xludf.DUMMYFUNCTION("""COMPUTED_VALUE"""),"K/34/210725/2")</f>
        <v>K/34/210725/2</v>
      </c>
      <c r="E3159" s="14" t="str">
        <f>IFERROR(__xludf.DUMMYFUNCTION("""COMPUTED_VALUE"""),"Heri (BT)")</f>
        <v>Heri (BT)</v>
      </c>
      <c r="F3159" s="14" t="str">
        <f>IFERROR(__xludf.DUMMYFUNCTION("""COMPUTED_VALUE"""),"SELESAI (VIA PERMOHONAN)")</f>
        <v>SELESAI (VIA PERMOHONAN)</v>
      </c>
      <c r="G3159" s="17">
        <f>IFERROR(__xludf.DUMMYFUNCTION("""COMPUTED_VALUE"""),45866.628081076386)</f>
        <v>45866.62808</v>
      </c>
      <c r="H3159" s="14" t="str">
        <f>IFERROR(__xludf.DUMMYFUNCTION("""COMPUTED_VALUE"""),"Eci (SU)")</f>
        <v>Eci (SU)</v>
      </c>
      <c r="I3159" s="13" t="str">
        <f>IFERROR(__xludf.DUMMYFUNCTION("""COMPUTED_VALUE"""),"SELESAI (VIA PERMOHONAN)")</f>
        <v>SELESAI (VIA PERMOHONAN)</v>
      </c>
      <c r="J3159" s="17">
        <f>IFERROR(__xludf.DUMMYFUNCTION("""COMPUTED_VALUE"""),45867.64977505787)</f>
        <v>45867.64978</v>
      </c>
      <c r="K3159" s="13" t="str">
        <f>IFERROR(__xludf.DUMMYFUNCTION("""COMPUTED_VALUE"""),"Selesai")</f>
        <v>Selesai</v>
      </c>
      <c r="L3159" s="17">
        <f>IFERROR(__xludf.DUMMYFUNCTION("""COMPUTED_VALUE"""),45867.64977505787)</f>
        <v>45867.64978</v>
      </c>
      <c r="M3159" s="13"/>
      <c r="N3159" s="13" t="str">
        <f>IFERROR(__xludf.DUMMYFUNCTION("""COMPUTED_VALUE"""),"")</f>
        <v/>
      </c>
      <c r="O3159" s="13" t="str">
        <f t="shared" si="1"/>
        <v/>
      </c>
    </row>
    <row r="3160" ht="22.5" customHeight="1">
      <c r="B3160" s="13">
        <f>IFERROR(__xludf.DUMMYFUNCTION("""COMPUTED_VALUE"""),3155.0)</f>
        <v>3155</v>
      </c>
      <c r="C3160" s="13" t="str">
        <f>IFERROR(__xludf.DUMMYFUNCTION("""COMPUTED_VALUE"""),"M. 1464/KEMILING PERMAI")</f>
        <v>M. 1464/KEMILING PERMAI</v>
      </c>
      <c r="D3160" s="13" t="str">
        <f>IFERROR(__xludf.DUMMYFUNCTION("""COMPUTED_VALUE"""),"K/27/110725/1")</f>
        <v>K/27/110725/1</v>
      </c>
      <c r="E3160" s="14" t="str">
        <f>IFERROR(__xludf.DUMMYFUNCTION("""COMPUTED_VALUE"""),"Heri (BT)")</f>
        <v>Heri (BT)</v>
      </c>
      <c r="F3160" s="14" t="str">
        <f>IFERROR(__xludf.DUMMYFUNCTION("""COMPUTED_VALUE"""),"SELESAI (VIA PERMOHONAN)")</f>
        <v>SELESAI (VIA PERMOHONAN)</v>
      </c>
      <c r="G3160" s="17">
        <f>IFERROR(__xludf.DUMMYFUNCTION("""COMPUTED_VALUE"""),45866.628213055556)</f>
        <v>45866.62821</v>
      </c>
      <c r="H3160" s="14" t="str">
        <f>IFERROR(__xludf.DUMMYFUNCTION("""COMPUTED_VALUE"""),"Eci (SU)")</f>
        <v>Eci (SU)</v>
      </c>
      <c r="I3160" s="13" t="str">
        <f>IFERROR(__xludf.DUMMYFUNCTION("""COMPUTED_VALUE"""),"SELESAI (VIA PERMOHONAN)")</f>
        <v>SELESAI (VIA PERMOHONAN)</v>
      </c>
      <c r="J3160" s="17">
        <f>IFERROR(__xludf.DUMMYFUNCTION("""COMPUTED_VALUE"""),45867.64977505787)</f>
        <v>45867.64978</v>
      </c>
      <c r="K3160" s="13" t="str">
        <f>IFERROR(__xludf.DUMMYFUNCTION("""COMPUTED_VALUE"""),"Selesai")</f>
        <v>Selesai</v>
      </c>
      <c r="L3160" s="17">
        <f>IFERROR(__xludf.DUMMYFUNCTION("""COMPUTED_VALUE"""),45867.64977505787)</f>
        <v>45867.64978</v>
      </c>
      <c r="M3160" s="13"/>
      <c r="N3160" s="13" t="str">
        <f>IFERROR(__xludf.DUMMYFUNCTION("""COMPUTED_VALUE"""),"")</f>
        <v/>
      </c>
      <c r="O3160" s="13" t="str">
        <f t="shared" si="1"/>
        <v/>
      </c>
    </row>
    <row r="3161" ht="22.5" customHeight="1">
      <c r="B3161" s="13">
        <f>IFERROR(__xludf.DUMMYFUNCTION("""COMPUTED_VALUE"""),3156.0)</f>
        <v>3156</v>
      </c>
      <c r="C3161" s="13" t="str">
        <f>IFERROR(__xludf.DUMMYFUNCTION("""COMPUTED_VALUE"""),"M. 13520/SUKARAME")</f>
        <v>M. 13520/SUKARAME</v>
      </c>
      <c r="D3161" s="13" t="str">
        <f>IFERROR(__xludf.DUMMYFUNCTION("""COMPUTED_VALUE"""),"K/32/110725/1")</f>
        <v>K/32/110725/1</v>
      </c>
      <c r="E3161" s="14" t="str">
        <f>IFERROR(__xludf.DUMMYFUNCTION("""COMPUTED_VALUE"""),"Heri (BT)")</f>
        <v>Heri (BT)</v>
      </c>
      <c r="F3161" s="14" t="str">
        <f>IFERROR(__xludf.DUMMYFUNCTION("""COMPUTED_VALUE"""),"SELESAI (VIA PERMOHONAN)")</f>
        <v>SELESAI (VIA PERMOHONAN)</v>
      </c>
      <c r="G3161" s="17">
        <f>IFERROR(__xludf.DUMMYFUNCTION("""COMPUTED_VALUE"""),45866.62834997685)</f>
        <v>45866.62835</v>
      </c>
      <c r="H3161" s="14" t="str">
        <f>IFERROR(__xludf.DUMMYFUNCTION("""COMPUTED_VALUE"""),"Eci (SU)")</f>
        <v>Eci (SU)</v>
      </c>
      <c r="I3161" s="13" t="str">
        <f>IFERROR(__xludf.DUMMYFUNCTION("""COMPUTED_VALUE"""),"SELESAI (VIA PERMOHONAN)")</f>
        <v>SELESAI (VIA PERMOHONAN)</v>
      </c>
      <c r="J3161" s="17">
        <f>IFERROR(__xludf.DUMMYFUNCTION("""COMPUTED_VALUE"""),45867.64977505787)</f>
        <v>45867.64978</v>
      </c>
      <c r="K3161" s="13" t="str">
        <f>IFERROR(__xludf.DUMMYFUNCTION("""COMPUTED_VALUE"""),"Selesai")</f>
        <v>Selesai</v>
      </c>
      <c r="L3161" s="17">
        <f>IFERROR(__xludf.DUMMYFUNCTION("""COMPUTED_VALUE"""),45867.64977505787)</f>
        <v>45867.64978</v>
      </c>
      <c r="M3161" s="13"/>
      <c r="N3161" s="13" t="str">
        <f>IFERROR(__xludf.DUMMYFUNCTION("""COMPUTED_VALUE"""),"")</f>
        <v/>
      </c>
      <c r="O3161" s="13" t="str">
        <f t="shared" si="1"/>
        <v/>
      </c>
    </row>
    <row r="3162" ht="22.5" customHeight="1">
      <c r="B3162" s="13">
        <f>IFERROR(__xludf.DUMMYFUNCTION("""COMPUTED_VALUE"""),3157.0)</f>
        <v>3157</v>
      </c>
      <c r="C3162" s="13" t="str">
        <f>IFERROR(__xludf.DUMMYFUNCTION("""COMPUTED_VALUE"""),"M. 726/RAJABASA NUNYAI")</f>
        <v>M. 726/RAJABASA NUNYAI</v>
      </c>
      <c r="D3162" s="13" t="str">
        <f>IFERROR(__xludf.DUMMYFUNCTION("""COMPUTED_VALUE"""),"K/27/160725/1")</f>
        <v>K/27/160725/1</v>
      </c>
      <c r="E3162" s="14" t="str">
        <f>IFERROR(__xludf.DUMMYFUNCTION("""COMPUTED_VALUE"""),"Heri (BT)")</f>
        <v>Heri (BT)</v>
      </c>
      <c r="F3162" s="14" t="str">
        <f>IFERROR(__xludf.DUMMYFUNCTION("""COMPUTED_VALUE"""),"SELESAI (VIA PERMOHONAN)")</f>
        <v>SELESAI (VIA PERMOHONAN)</v>
      </c>
      <c r="G3162" s="17">
        <f>IFERROR(__xludf.DUMMYFUNCTION("""COMPUTED_VALUE"""),45866.62858567129)</f>
        <v>45866.62859</v>
      </c>
      <c r="H3162" s="14" t="str">
        <f>IFERROR(__xludf.DUMMYFUNCTION("""COMPUTED_VALUE"""),"Eci (SU)")</f>
        <v>Eci (SU)</v>
      </c>
      <c r="I3162" s="13" t="str">
        <f>IFERROR(__xludf.DUMMYFUNCTION("""COMPUTED_VALUE"""),"SELESAI (VIA PERMOHONAN)")</f>
        <v>SELESAI (VIA PERMOHONAN)</v>
      </c>
      <c r="J3162" s="17">
        <f>IFERROR(__xludf.DUMMYFUNCTION("""COMPUTED_VALUE"""),45867.64977505787)</f>
        <v>45867.64978</v>
      </c>
      <c r="K3162" s="13" t="str">
        <f>IFERROR(__xludf.DUMMYFUNCTION("""COMPUTED_VALUE"""),"Selesai")</f>
        <v>Selesai</v>
      </c>
      <c r="L3162" s="17">
        <f>IFERROR(__xludf.DUMMYFUNCTION("""COMPUTED_VALUE"""),45867.64977505787)</f>
        <v>45867.64978</v>
      </c>
      <c r="M3162" s="13"/>
      <c r="N3162" s="13" t="str">
        <f>IFERROR(__xludf.DUMMYFUNCTION("""COMPUTED_VALUE"""),"")</f>
        <v/>
      </c>
      <c r="O3162" s="13" t="str">
        <f t="shared" si="1"/>
        <v/>
      </c>
    </row>
    <row r="3163" ht="22.5" customHeight="1">
      <c r="B3163" s="13">
        <f>IFERROR(__xludf.DUMMYFUNCTION("""COMPUTED_VALUE"""),3158.0)</f>
        <v>3158</v>
      </c>
      <c r="C3163" s="13" t="str">
        <f>IFERROR(__xludf.DUMMYFUNCTION("""COMPUTED_VALUE"""),"M. 1767/RAJABASA NUNYAI")</f>
        <v>M. 1767/RAJABASA NUNYAI</v>
      </c>
      <c r="D3163" s="13" t="str">
        <f>IFERROR(__xludf.DUMMYFUNCTION("""COMPUTED_VALUE"""),"K/36/150725/3")</f>
        <v>K/36/150725/3</v>
      </c>
      <c r="E3163" s="14" t="str">
        <f>IFERROR(__xludf.DUMMYFUNCTION("""COMPUTED_VALUE"""),"Heri (BT)")</f>
        <v>Heri (BT)</v>
      </c>
      <c r="F3163" s="14" t="str">
        <f>IFERROR(__xludf.DUMMYFUNCTION("""COMPUTED_VALUE"""),"SELESAI (VIA PERMOHONAN)")</f>
        <v>SELESAI (VIA PERMOHONAN)</v>
      </c>
      <c r="G3163" s="17">
        <f>IFERROR(__xludf.DUMMYFUNCTION("""COMPUTED_VALUE"""),45866.62874138889)</f>
        <v>45866.62874</v>
      </c>
      <c r="H3163" s="14" t="str">
        <f>IFERROR(__xludf.DUMMYFUNCTION("""COMPUTED_VALUE"""),"Eci (SU)")</f>
        <v>Eci (SU)</v>
      </c>
      <c r="I3163" s="13" t="str">
        <f>IFERROR(__xludf.DUMMYFUNCTION("""COMPUTED_VALUE"""),"SELESAI (VIA PERMOHONAN)")</f>
        <v>SELESAI (VIA PERMOHONAN)</v>
      </c>
      <c r="J3163" s="17">
        <f>IFERROR(__xludf.DUMMYFUNCTION("""COMPUTED_VALUE"""),45867.64977505787)</f>
        <v>45867.64978</v>
      </c>
      <c r="K3163" s="13" t="str">
        <f>IFERROR(__xludf.DUMMYFUNCTION("""COMPUTED_VALUE"""),"Selesai")</f>
        <v>Selesai</v>
      </c>
      <c r="L3163" s="17">
        <f>IFERROR(__xludf.DUMMYFUNCTION("""COMPUTED_VALUE"""),45867.64977505787)</f>
        <v>45867.64978</v>
      </c>
      <c r="M3163" s="13"/>
      <c r="N3163" s="13" t="str">
        <f>IFERROR(__xludf.DUMMYFUNCTION("""COMPUTED_VALUE"""),"")</f>
        <v/>
      </c>
      <c r="O3163" s="13" t="str">
        <f t="shared" si="1"/>
        <v/>
      </c>
    </row>
    <row r="3164" ht="22.5" customHeight="1">
      <c r="B3164" s="13">
        <f>IFERROR(__xludf.DUMMYFUNCTION("""COMPUTED_VALUE"""),3159.0)</f>
        <v>3159</v>
      </c>
      <c r="C3164" s="13" t="str">
        <f>IFERROR(__xludf.DUMMYFUNCTION("""COMPUTED_VALUE"""),"B. 204/KOTA BARU")</f>
        <v>B. 204/KOTA BARU</v>
      </c>
      <c r="D3164" s="13" t="str">
        <f>IFERROR(__xludf.DUMMYFUNCTION("""COMPUTED_VALUE"""),"K/38/290425/2")</f>
        <v>K/38/290425/2</v>
      </c>
      <c r="E3164" s="14" t="str">
        <f>IFERROR(__xludf.DUMMYFUNCTION("""COMPUTED_VALUE"""),"Heri (BT)")</f>
        <v>Heri (BT)</v>
      </c>
      <c r="F3164" s="14" t="str">
        <f>IFERROR(__xludf.DUMMYFUNCTION("""COMPUTED_VALUE"""),"SELESAI (VIA PERMOHONAN)")</f>
        <v>SELESAI (VIA PERMOHONAN)</v>
      </c>
      <c r="G3164" s="17">
        <f>IFERROR(__xludf.DUMMYFUNCTION("""COMPUTED_VALUE"""),45866.62892321759)</f>
        <v>45866.62892</v>
      </c>
      <c r="H3164" s="14" t="str">
        <f>IFERROR(__xludf.DUMMYFUNCTION("""COMPUTED_VALUE"""),"Eci (SU)")</f>
        <v>Eci (SU)</v>
      </c>
      <c r="I3164" s="13" t="str">
        <f>IFERROR(__xludf.DUMMYFUNCTION("""COMPUTED_VALUE"""),"SELESAI (VIA PERMOHONAN)")</f>
        <v>SELESAI (VIA PERMOHONAN)</v>
      </c>
      <c r="J3164" s="17">
        <f>IFERROR(__xludf.DUMMYFUNCTION("""COMPUTED_VALUE"""),45867.64977505787)</f>
        <v>45867.64978</v>
      </c>
      <c r="K3164" s="13" t="str">
        <f>IFERROR(__xludf.DUMMYFUNCTION("""COMPUTED_VALUE"""),"Selesai")</f>
        <v>Selesai</v>
      </c>
      <c r="L3164" s="17">
        <f>IFERROR(__xludf.DUMMYFUNCTION("""COMPUTED_VALUE"""),45867.64977505787)</f>
        <v>45867.64978</v>
      </c>
      <c r="M3164" s="13"/>
      <c r="N3164" s="13" t="str">
        <f>IFERROR(__xludf.DUMMYFUNCTION("""COMPUTED_VALUE"""),"")</f>
        <v/>
      </c>
      <c r="O3164" s="13" t="str">
        <f t="shared" si="1"/>
        <v/>
      </c>
    </row>
    <row r="3165" ht="22.5" customHeight="1">
      <c r="B3165" s="13">
        <f>IFERROR(__xludf.DUMMYFUNCTION("""COMPUTED_VALUE"""),3160.0)</f>
        <v>3160</v>
      </c>
      <c r="C3165" s="13" t="str">
        <f>IFERROR(__xludf.DUMMYFUNCTION("""COMPUTED_VALUE"""),"M. 9259/ Kedamaian")</f>
        <v>M. 9259/ Kedamaian</v>
      </c>
      <c r="D3165" s="13" t="str">
        <f>IFERROR(__xludf.DUMMYFUNCTION("""COMPUTED_VALUE"""),"K/25/010725/4")</f>
        <v>K/25/010725/4</v>
      </c>
      <c r="E3165" s="14" t="str">
        <f>IFERROR(__xludf.DUMMYFUNCTION("""COMPUTED_VALUE"""),"Heri (BT)")</f>
        <v>Heri (BT)</v>
      </c>
      <c r="F3165" s="14" t="str">
        <f>IFERROR(__xludf.DUMMYFUNCTION("""COMPUTED_VALUE"""),"SELESAI (VIA PERMOHONAN)")</f>
        <v>SELESAI (VIA PERMOHONAN)</v>
      </c>
      <c r="G3165" s="17">
        <f>IFERROR(__xludf.DUMMYFUNCTION("""COMPUTED_VALUE"""),45866.6291899537)</f>
        <v>45866.62919</v>
      </c>
      <c r="H3165" s="14" t="str">
        <f>IFERROR(__xludf.DUMMYFUNCTION("""COMPUTED_VALUE"""),"Eci (SU)")</f>
        <v>Eci (SU)</v>
      </c>
      <c r="I3165" s="13" t="str">
        <f>IFERROR(__xludf.DUMMYFUNCTION("""COMPUTED_VALUE"""),"SELESAI (VIA PERMOHONAN)")</f>
        <v>SELESAI (VIA PERMOHONAN)</v>
      </c>
      <c r="J3165" s="17">
        <f>IFERROR(__xludf.DUMMYFUNCTION("""COMPUTED_VALUE"""),45867.64977505787)</f>
        <v>45867.64978</v>
      </c>
      <c r="K3165" s="13" t="str">
        <f>IFERROR(__xludf.DUMMYFUNCTION("""COMPUTED_VALUE"""),"Selesai")</f>
        <v>Selesai</v>
      </c>
      <c r="L3165" s="17">
        <f>IFERROR(__xludf.DUMMYFUNCTION("""COMPUTED_VALUE"""),45867.64977505787)</f>
        <v>45867.64978</v>
      </c>
      <c r="M3165" s="13"/>
      <c r="N3165" s="13" t="str">
        <f>IFERROR(__xludf.DUMMYFUNCTION("""COMPUTED_VALUE"""),"")</f>
        <v/>
      </c>
      <c r="O3165" s="13" t="str">
        <f t="shared" si="1"/>
        <v/>
      </c>
    </row>
    <row r="3166" ht="22.5" customHeight="1">
      <c r="B3166" s="13">
        <f>IFERROR(__xludf.DUMMYFUNCTION("""COMPUTED_VALUE"""),3161.0)</f>
        <v>3161</v>
      </c>
      <c r="C3166" s="13" t="str">
        <f>IFERROR(__xludf.DUMMYFUNCTION("""COMPUTED_VALUE"""),"M. 5353/ Tanjung Senang")</f>
        <v>M. 5353/ Tanjung Senang</v>
      </c>
      <c r="D3166" s="13" t="str">
        <f>IFERROR(__xludf.DUMMYFUNCTION("""COMPUTED_VALUE"""),"K/14/210725/1")</f>
        <v>K/14/210725/1</v>
      </c>
      <c r="E3166" s="14" t="str">
        <f>IFERROR(__xludf.DUMMYFUNCTION("""COMPUTED_VALUE"""),"Heri (BT)")</f>
        <v>Heri (BT)</v>
      </c>
      <c r="F3166" s="14" t="str">
        <f>IFERROR(__xludf.DUMMYFUNCTION("""COMPUTED_VALUE"""),"SELESAI (VIA PERMOHONAN)")</f>
        <v>SELESAI (VIA PERMOHONAN)</v>
      </c>
      <c r="G3166" s="17">
        <f>IFERROR(__xludf.DUMMYFUNCTION("""COMPUTED_VALUE"""),45866.62931335648)</f>
        <v>45866.62931</v>
      </c>
      <c r="H3166" s="14" t="str">
        <f>IFERROR(__xludf.DUMMYFUNCTION("""COMPUTED_VALUE"""),"Eci (SU)")</f>
        <v>Eci (SU)</v>
      </c>
      <c r="I3166" s="13" t="str">
        <f>IFERROR(__xludf.DUMMYFUNCTION("""COMPUTED_VALUE"""),"SELESAI (VIA PERMOHONAN)")</f>
        <v>SELESAI (VIA PERMOHONAN)</v>
      </c>
      <c r="J3166" s="17">
        <f>IFERROR(__xludf.DUMMYFUNCTION("""COMPUTED_VALUE"""),45867.64977505787)</f>
        <v>45867.64978</v>
      </c>
      <c r="K3166" s="13" t="str">
        <f>IFERROR(__xludf.DUMMYFUNCTION("""COMPUTED_VALUE"""),"Selesai")</f>
        <v>Selesai</v>
      </c>
      <c r="L3166" s="17">
        <f>IFERROR(__xludf.DUMMYFUNCTION("""COMPUTED_VALUE"""),45867.64977505787)</f>
        <v>45867.64978</v>
      </c>
      <c r="M3166" s="13"/>
      <c r="N3166" s="13" t="str">
        <f>IFERROR(__xludf.DUMMYFUNCTION("""COMPUTED_VALUE"""),"")</f>
        <v/>
      </c>
      <c r="O3166" s="13" t="str">
        <f t="shared" si="1"/>
        <v/>
      </c>
    </row>
    <row r="3167" ht="22.5" customHeight="1">
      <c r="B3167" s="13">
        <f>IFERROR(__xludf.DUMMYFUNCTION("""COMPUTED_VALUE"""),3162.0)</f>
        <v>3162</v>
      </c>
      <c r="C3167" s="13" t="str">
        <f>IFERROR(__xludf.DUMMYFUNCTION("""COMPUTED_VALUE"""),"B. 680/ Kemiling Permai")</f>
        <v>B. 680/ Kemiling Permai</v>
      </c>
      <c r="D3167" s="13" t="str">
        <f>IFERROR(__xludf.DUMMYFUNCTION("""COMPUTED_VALUE"""),"K/30/190625/1")</f>
        <v>K/30/190625/1</v>
      </c>
      <c r="E3167" s="14" t="str">
        <f>IFERROR(__xludf.DUMMYFUNCTION("""COMPUTED_VALUE"""),"Heri (BT)")</f>
        <v>Heri (BT)</v>
      </c>
      <c r="F3167" s="14" t="str">
        <f>IFERROR(__xludf.DUMMYFUNCTION("""COMPUTED_VALUE"""),"SELESAI (VIA PERMOHONAN)")</f>
        <v>SELESAI (VIA PERMOHONAN)</v>
      </c>
      <c r="G3167" s="17">
        <f>IFERROR(__xludf.DUMMYFUNCTION("""COMPUTED_VALUE"""),45866.62949944445)</f>
        <v>45866.6295</v>
      </c>
      <c r="H3167" s="14" t="str">
        <f>IFERROR(__xludf.DUMMYFUNCTION("""COMPUTED_VALUE"""),"Eci (SU)")</f>
        <v>Eci (SU)</v>
      </c>
      <c r="I3167" s="13" t="str">
        <f>IFERROR(__xludf.DUMMYFUNCTION("""COMPUTED_VALUE"""),"SELESAI (VIA PERMOHONAN)")</f>
        <v>SELESAI (VIA PERMOHONAN)</v>
      </c>
      <c r="J3167" s="17">
        <f>IFERROR(__xludf.DUMMYFUNCTION("""COMPUTED_VALUE"""),45867.64977505787)</f>
        <v>45867.64978</v>
      </c>
      <c r="K3167" s="13" t="str">
        <f>IFERROR(__xludf.DUMMYFUNCTION("""COMPUTED_VALUE"""),"Selesai")</f>
        <v>Selesai</v>
      </c>
      <c r="L3167" s="17">
        <f>IFERROR(__xludf.DUMMYFUNCTION("""COMPUTED_VALUE"""),45867.64977505787)</f>
        <v>45867.64978</v>
      </c>
      <c r="M3167" s="13"/>
      <c r="N3167" s="13" t="str">
        <f>IFERROR(__xludf.DUMMYFUNCTION("""COMPUTED_VALUE"""),"")</f>
        <v/>
      </c>
      <c r="O3167" s="13" t="str">
        <f t="shared" si="1"/>
        <v/>
      </c>
    </row>
    <row r="3168" ht="22.5" customHeight="1">
      <c r="B3168" s="13">
        <f>IFERROR(__xludf.DUMMYFUNCTION("""COMPUTED_VALUE"""),3163.0)</f>
        <v>3163</v>
      </c>
      <c r="C3168" s="13" t="str">
        <f>IFERROR(__xludf.DUMMYFUNCTION("""COMPUTED_VALUE"""),"M. 2219/ Tanjung Seneng")</f>
        <v>M. 2219/ Tanjung Seneng</v>
      </c>
      <c r="D3168" s="13" t="str">
        <f>IFERROR(__xludf.DUMMYFUNCTION("""COMPUTED_VALUE"""),"K/27/180725/3")</f>
        <v>K/27/180725/3</v>
      </c>
      <c r="E3168" s="14" t="str">
        <f>IFERROR(__xludf.DUMMYFUNCTION("""COMPUTED_VALUE"""),"Heri (BT)")</f>
        <v>Heri (BT)</v>
      </c>
      <c r="F3168" s="14" t="str">
        <f>IFERROR(__xludf.DUMMYFUNCTION("""COMPUTED_VALUE"""),"SELESAI (VIA PERMOHONAN)")</f>
        <v>SELESAI (VIA PERMOHONAN)</v>
      </c>
      <c r="G3168" s="17">
        <f>IFERROR(__xludf.DUMMYFUNCTION("""COMPUTED_VALUE"""),45866.62967164352)</f>
        <v>45866.62967</v>
      </c>
      <c r="H3168" s="14" t="str">
        <f>IFERROR(__xludf.DUMMYFUNCTION("""COMPUTED_VALUE"""),"Eci (SU)")</f>
        <v>Eci (SU)</v>
      </c>
      <c r="I3168" s="13" t="str">
        <f>IFERROR(__xludf.DUMMYFUNCTION("""COMPUTED_VALUE"""),"SELESAI (VIA PERMOHONAN)")</f>
        <v>SELESAI (VIA PERMOHONAN)</v>
      </c>
      <c r="J3168" s="17">
        <f>IFERROR(__xludf.DUMMYFUNCTION("""COMPUTED_VALUE"""),45867.64977505787)</f>
        <v>45867.64978</v>
      </c>
      <c r="K3168" s="13" t="str">
        <f>IFERROR(__xludf.DUMMYFUNCTION("""COMPUTED_VALUE"""),"Selesai")</f>
        <v>Selesai</v>
      </c>
      <c r="L3168" s="17">
        <f>IFERROR(__xludf.DUMMYFUNCTION("""COMPUTED_VALUE"""),45867.64977505787)</f>
        <v>45867.64978</v>
      </c>
      <c r="M3168" s="13"/>
      <c r="N3168" s="13" t="str">
        <f>IFERROR(__xludf.DUMMYFUNCTION("""COMPUTED_VALUE"""),"")</f>
        <v/>
      </c>
      <c r="O3168" s="13" t="str">
        <f t="shared" si="1"/>
        <v/>
      </c>
    </row>
    <row r="3169" ht="22.5" customHeight="1">
      <c r="B3169" s="13">
        <f>IFERROR(__xludf.DUMMYFUNCTION("""COMPUTED_VALUE"""),3164.0)</f>
        <v>3164</v>
      </c>
      <c r="C3169" s="13" t="str">
        <f>IFERROR(__xludf.DUMMYFUNCTION("""COMPUTED_VALUE"""),"M.937/BUMI KEDAMAIAN")</f>
        <v>M.937/BUMI KEDAMAIAN</v>
      </c>
      <c r="D3169" s="13" t="str">
        <f>IFERROR(__xludf.DUMMYFUNCTION("""COMPUTED_VALUE"""),"K/38/040725/1")</f>
        <v>K/38/040725/1</v>
      </c>
      <c r="E3169" s="14" t="str">
        <f>IFERROR(__xludf.DUMMYFUNCTION("""COMPUTED_VALUE"""),"Heri (BT)")</f>
        <v>Heri (BT)</v>
      </c>
      <c r="F3169" s="14" t="str">
        <f>IFERROR(__xludf.DUMMYFUNCTION("""COMPUTED_VALUE"""),"SELESAI (VIA PERMOHONAN)")</f>
        <v>SELESAI (VIA PERMOHONAN)</v>
      </c>
      <c r="G3169" s="17">
        <f>IFERROR(__xludf.DUMMYFUNCTION("""COMPUTED_VALUE"""),45866.62984684028)</f>
        <v>45866.62985</v>
      </c>
      <c r="H3169" s="14" t="str">
        <f>IFERROR(__xludf.DUMMYFUNCTION("""COMPUTED_VALUE"""),"Eci (SU)")</f>
        <v>Eci (SU)</v>
      </c>
      <c r="I3169" s="13" t="str">
        <f>IFERROR(__xludf.DUMMYFUNCTION("""COMPUTED_VALUE"""),"SELESAI (VIA PERMOHONAN)")</f>
        <v>SELESAI (VIA PERMOHONAN)</v>
      </c>
      <c r="J3169" s="17">
        <f>IFERROR(__xludf.DUMMYFUNCTION("""COMPUTED_VALUE"""),45868.379136793985)</f>
        <v>45868.37914</v>
      </c>
      <c r="K3169" s="13" t="str">
        <f>IFERROR(__xludf.DUMMYFUNCTION("""COMPUTED_VALUE"""),"Selesai")</f>
        <v>Selesai</v>
      </c>
      <c r="L3169" s="17">
        <f>IFERROR(__xludf.DUMMYFUNCTION("""COMPUTED_VALUE"""),45868.379136793985)</f>
        <v>45868.37914</v>
      </c>
      <c r="M3169" s="13"/>
      <c r="N3169" s="13" t="str">
        <f>IFERROR(__xludf.DUMMYFUNCTION("""COMPUTED_VALUE"""),"")</f>
        <v/>
      </c>
      <c r="O3169" s="13" t="str">
        <f t="shared" si="1"/>
        <v/>
      </c>
    </row>
    <row r="3170" ht="22.5" customHeight="1">
      <c r="B3170" s="13">
        <f>IFERROR(__xludf.DUMMYFUNCTION("""COMPUTED_VALUE"""),3165.0)</f>
        <v>3165</v>
      </c>
      <c r="C3170" s="13" t="str">
        <f>IFERROR(__xludf.DUMMYFUNCTION("""COMPUTED_VALUE"""),"M.1667/BUMI KEDAMAIAN")</f>
        <v>M.1667/BUMI KEDAMAIAN</v>
      </c>
      <c r="D3170" s="13" t="str">
        <f>IFERROR(__xludf.DUMMYFUNCTION("""COMPUTED_VALUE"""),"K/39/040725/2")</f>
        <v>K/39/040725/2</v>
      </c>
      <c r="E3170" s="14" t="str">
        <f>IFERROR(__xludf.DUMMYFUNCTION("""COMPUTED_VALUE"""),"Heri (BT)")</f>
        <v>Heri (BT)</v>
      </c>
      <c r="F3170" s="14" t="str">
        <f>IFERROR(__xludf.DUMMYFUNCTION("""COMPUTED_VALUE"""),"SELESAI (VIA PERMOHONAN)")</f>
        <v>SELESAI (VIA PERMOHONAN)</v>
      </c>
      <c r="G3170" s="17">
        <f>IFERROR(__xludf.DUMMYFUNCTION("""COMPUTED_VALUE"""),45866.63015913195)</f>
        <v>45866.63016</v>
      </c>
      <c r="H3170" s="14" t="str">
        <f>IFERROR(__xludf.DUMMYFUNCTION("""COMPUTED_VALUE"""),"Eci (SU)")</f>
        <v>Eci (SU)</v>
      </c>
      <c r="I3170" s="13" t="str">
        <f>IFERROR(__xludf.DUMMYFUNCTION("""COMPUTED_VALUE"""),"SELESAI (VIA PERMOHONAN)")</f>
        <v>SELESAI (VIA PERMOHONAN)</v>
      </c>
      <c r="J3170" s="17">
        <f>IFERROR(__xludf.DUMMYFUNCTION("""COMPUTED_VALUE"""),45868.379158599535)</f>
        <v>45868.37916</v>
      </c>
      <c r="K3170" s="13" t="str">
        <f>IFERROR(__xludf.DUMMYFUNCTION("""COMPUTED_VALUE"""),"Selesai")</f>
        <v>Selesai</v>
      </c>
      <c r="L3170" s="17">
        <f>IFERROR(__xludf.DUMMYFUNCTION("""COMPUTED_VALUE"""),45868.379158599535)</f>
        <v>45868.37916</v>
      </c>
      <c r="M3170" s="13"/>
      <c r="N3170" s="13" t="str">
        <f>IFERROR(__xludf.DUMMYFUNCTION("""COMPUTED_VALUE"""),"")</f>
        <v/>
      </c>
      <c r="O3170" s="13" t="str">
        <f t="shared" si="1"/>
        <v/>
      </c>
    </row>
    <row r="3171" ht="22.5" customHeight="1">
      <c r="B3171" s="13">
        <f>IFERROR(__xludf.DUMMYFUNCTION("""COMPUTED_VALUE"""),3166.0)</f>
        <v>3166</v>
      </c>
      <c r="C3171" s="13" t="str">
        <f>IFERROR(__xludf.DUMMYFUNCTION("""COMPUTED_VALUE"""),"M. 1436/ Kali Balau Kencana")</f>
        <v>M. 1436/ Kali Balau Kencana</v>
      </c>
      <c r="D3171" s="13" t="str">
        <f>IFERROR(__xludf.DUMMYFUNCTION("""COMPUTED_VALUE"""),"K/2/100725/1")</f>
        <v>K/2/100725/1</v>
      </c>
      <c r="E3171" s="14" t="str">
        <f>IFERROR(__xludf.DUMMYFUNCTION("""COMPUTED_VALUE"""),"Heri (BT)")</f>
        <v>Heri (BT)</v>
      </c>
      <c r="F3171" s="14" t="str">
        <f>IFERROR(__xludf.DUMMYFUNCTION("""COMPUTED_VALUE"""),"SELESAI (VIA PERMOHONAN)")</f>
        <v>SELESAI (VIA PERMOHONAN)</v>
      </c>
      <c r="G3171" s="17">
        <f>IFERROR(__xludf.DUMMYFUNCTION("""COMPUTED_VALUE"""),45866.630259363425)</f>
        <v>45866.63026</v>
      </c>
      <c r="H3171" s="14" t="str">
        <f>IFERROR(__xludf.DUMMYFUNCTION("""COMPUTED_VALUE"""),"Eci (SU)")</f>
        <v>Eci (SU)</v>
      </c>
      <c r="I3171" s="13" t="str">
        <f>IFERROR(__xludf.DUMMYFUNCTION("""COMPUTED_VALUE"""),"SELESAI (VIA PERMOHONAN)")</f>
        <v>SELESAI (VIA PERMOHONAN)</v>
      </c>
      <c r="J3171" s="17">
        <f>IFERROR(__xludf.DUMMYFUNCTION("""COMPUTED_VALUE"""),45867.652702928244)</f>
        <v>45867.6527</v>
      </c>
      <c r="K3171" s="13" t="str">
        <f>IFERROR(__xludf.DUMMYFUNCTION("""COMPUTED_VALUE"""),"Selesai")</f>
        <v>Selesai</v>
      </c>
      <c r="L3171" s="17">
        <f>IFERROR(__xludf.DUMMYFUNCTION("""COMPUTED_VALUE"""),45867.652702928244)</f>
        <v>45867.6527</v>
      </c>
      <c r="M3171" s="13"/>
      <c r="N3171" s="13" t="str">
        <f>IFERROR(__xludf.DUMMYFUNCTION("""COMPUTED_VALUE"""),"")</f>
        <v/>
      </c>
      <c r="O3171" s="13" t="str">
        <f t="shared" si="1"/>
        <v/>
      </c>
    </row>
    <row r="3172" ht="22.5" customHeight="1">
      <c r="B3172" s="13">
        <f>IFERROR(__xludf.DUMMYFUNCTION("""COMPUTED_VALUE"""),3167.0)</f>
        <v>3167</v>
      </c>
      <c r="C3172" s="13" t="str">
        <f>IFERROR(__xludf.DUMMYFUNCTION("""COMPUTED_VALUE"""),"M.1124/LANGKAPURA")</f>
        <v>M.1124/LANGKAPURA</v>
      </c>
      <c r="D3172" s="13" t="str">
        <f>IFERROR(__xludf.DUMMYFUNCTION("""COMPUTED_VALUE"""),"K/12/160725/1")</f>
        <v>K/12/160725/1</v>
      </c>
      <c r="E3172" s="14" t="str">
        <f>IFERROR(__xludf.DUMMYFUNCTION("""COMPUTED_VALUE"""),"Heri (BT)")</f>
        <v>Heri (BT)</v>
      </c>
      <c r="F3172" s="14" t="str">
        <f>IFERROR(__xludf.DUMMYFUNCTION("""COMPUTED_VALUE"""),"SELESAI (VIA PERMOHONAN)")</f>
        <v>SELESAI (VIA PERMOHONAN)</v>
      </c>
      <c r="G3172" s="17">
        <f>IFERROR(__xludf.DUMMYFUNCTION("""COMPUTED_VALUE"""),45866.63041799769)</f>
        <v>45866.63042</v>
      </c>
      <c r="H3172" s="14" t="str">
        <f>IFERROR(__xludf.DUMMYFUNCTION("""COMPUTED_VALUE"""),"Eci (SU)")</f>
        <v>Eci (SU)</v>
      </c>
      <c r="I3172" s="13" t="str">
        <f>IFERROR(__xludf.DUMMYFUNCTION("""COMPUTED_VALUE"""),"SELESAI (VIA PERMOHONAN)")</f>
        <v>SELESAI (VIA PERMOHONAN)</v>
      </c>
      <c r="J3172" s="17">
        <f>IFERROR(__xludf.DUMMYFUNCTION("""COMPUTED_VALUE"""),45867.652769444445)</f>
        <v>45867.65277</v>
      </c>
      <c r="K3172" s="13" t="str">
        <f>IFERROR(__xludf.DUMMYFUNCTION("""COMPUTED_VALUE"""),"Selesai")</f>
        <v>Selesai</v>
      </c>
      <c r="L3172" s="17">
        <f>IFERROR(__xludf.DUMMYFUNCTION("""COMPUTED_VALUE"""),45867.652769444445)</f>
        <v>45867.65277</v>
      </c>
      <c r="M3172" s="13"/>
      <c r="N3172" s="13" t="str">
        <f>IFERROR(__xludf.DUMMYFUNCTION("""COMPUTED_VALUE"""),"")</f>
        <v/>
      </c>
      <c r="O3172" s="13" t="str">
        <f t="shared" si="1"/>
        <v/>
      </c>
    </row>
    <row r="3173" ht="22.5" customHeight="1">
      <c r="B3173" s="13">
        <f>IFERROR(__xludf.DUMMYFUNCTION("""COMPUTED_VALUE"""),3168.0)</f>
        <v>3168</v>
      </c>
      <c r="C3173" s="13" t="str">
        <f>IFERROR(__xludf.DUMMYFUNCTION("""COMPUTED_VALUE"""),"B.137/SUKARAME I")</f>
        <v>B.137/SUKARAME I</v>
      </c>
      <c r="D3173" s="13" t="str">
        <f>IFERROR(__xludf.DUMMYFUNCTION("""COMPUTED_VALUE"""),"K/38/080725/1")</f>
        <v>K/38/080725/1</v>
      </c>
      <c r="E3173" s="14" t="str">
        <f>IFERROR(__xludf.DUMMYFUNCTION("""COMPUTED_VALUE"""),"Heri (BT)")</f>
        <v>Heri (BT)</v>
      </c>
      <c r="F3173" s="14" t="str">
        <f>IFERROR(__xludf.DUMMYFUNCTION("""COMPUTED_VALUE"""),"SELESAI (VIA PERMOHONAN)")</f>
        <v>SELESAI (VIA PERMOHONAN)</v>
      </c>
      <c r="G3173" s="17">
        <f>IFERROR(__xludf.DUMMYFUNCTION("""COMPUTED_VALUE"""),45866.63061789352)</f>
        <v>45866.63062</v>
      </c>
      <c r="H3173" s="14" t="str">
        <f>IFERROR(__xludf.DUMMYFUNCTION("""COMPUTED_VALUE"""),"Eci (SU)")</f>
        <v>Eci (SU)</v>
      </c>
      <c r="I3173" s="13" t="str">
        <f>IFERROR(__xludf.DUMMYFUNCTION("""COMPUTED_VALUE"""),"SELESAI (VIA PERMOHONAN)")</f>
        <v>SELESAI (VIA PERMOHONAN)</v>
      </c>
      <c r="J3173" s="17">
        <f>IFERROR(__xludf.DUMMYFUNCTION("""COMPUTED_VALUE"""),45867.652769444445)</f>
        <v>45867.65277</v>
      </c>
      <c r="K3173" s="13" t="str">
        <f>IFERROR(__xludf.DUMMYFUNCTION("""COMPUTED_VALUE"""),"Selesai")</f>
        <v>Selesai</v>
      </c>
      <c r="L3173" s="17">
        <f>IFERROR(__xludf.DUMMYFUNCTION("""COMPUTED_VALUE"""),45867.652769444445)</f>
        <v>45867.65277</v>
      </c>
      <c r="M3173" s="13"/>
      <c r="N3173" s="13" t="str">
        <f>IFERROR(__xludf.DUMMYFUNCTION("""COMPUTED_VALUE"""),"")</f>
        <v/>
      </c>
      <c r="O3173" s="13" t="str">
        <f t="shared" si="1"/>
        <v/>
      </c>
    </row>
    <row r="3174" ht="22.5" customHeight="1">
      <c r="B3174" s="13">
        <f>IFERROR(__xludf.DUMMYFUNCTION("""COMPUTED_VALUE"""),3169.0)</f>
        <v>3169</v>
      </c>
      <c r="C3174" s="13" t="str">
        <f>IFERROR(__xludf.DUMMYFUNCTION("""COMPUTED_VALUE"""),"M.872/SUKABUMI INDAH")</f>
        <v>M.872/SUKABUMI INDAH</v>
      </c>
      <c r="D3174" s="13" t="str">
        <f>IFERROR(__xludf.DUMMYFUNCTION("""COMPUTED_VALUE"""),"K/14/020725/1")</f>
        <v>K/14/020725/1</v>
      </c>
      <c r="E3174" s="14" t="str">
        <f>IFERROR(__xludf.DUMMYFUNCTION("""COMPUTED_VALUE"""),"Heri (BT)")</f>
        <v>Heri (BT)</v>
      </c>
      <c r="F3174" s="14" t="str">
        <f>IFERROR(__xludf.DUMMYFUNCTION("""COMPUTED_VALUE"""),"SELESAI (VIA PERMOHONAN)")</f>
        <v>SELESAI (VIA PERMOHONAN)</v>
      </c>
      <c r="G3174" s="17">
        <f>IFERROR(__xludf.DUMMYFUNCTION("""COMPUTED_VALUE"""),45866.63075030093)</f>
        <v>45866.63075</v>
      </c>
      <c r="H3174" s="14" t="str">
        <f>IFERROR(__xludf.DUMMYFUNCTION("""COMPUTED_VALUE"""),"Eci (SU)")</f>
        <v>Eci (SU)</v>
      </c>
      <c r="I3174" s="13" t="str">
        <f>IFERROR(__xludf.DUMMYFUNCTION("""COMPUTED_VALUE"""),"SELESAI (VIA PERMOHONAN)")</f>
        <v>SELESAI (VIA PERMOHONAN)</v>
      </c>
      <c r="J3174" s="17">
        <f>IFERROR(__xludf.DUMMYFUNCTION("""COMPUTED_VALUE"""),45867.652769444445)</f>
        <v>45867.65277</v>
      </c>
      <c r="K3174" s="13" t="str">
        <f>IFERROR(__xludf.DUMMYFUNCTION("""COMPUTED_VALUE"""),"Selesai")</f>
        <v>Selesai</v>
      </c>
      <c r="L3174" s="17">
        <f>IFERROR(__xludf.DUMMYFUNCTION("""COMPUTED_VALUE"""),45867.652769444445)</f>
        <v>45867.65277</v>
      </c>
      <c r="M3174" s="13"/>
      <c r="N3174" s="13" t="str">
        <f>IFERROR(__xludf.DUMMYFUNCTION("""COMPUTED_VALUE"""),"")</f>
        <v/>
      </c>
      <c r="O3174" s="13" t="str">
        <f t="shared" si="1"/>
        <v/>
      </c>
    </row>
    <row r="3175" ht="22.5" customHeight="1">
      <c r="B3175" s="13">
        <f>IFERROR(__xludf.DUMMYFUNCTION("""COMPUTED_VALUE"""),3170.0)</f>
        <v>3170</v>
      </c>
      <c r="C3175" s="13" t="str">
        <f>IFERROR(__xludf.DUMMYFUNCTION("""COMPUTED_VALUE"""),"HM 14/GUNUNG TERANG")</f>
        <v>HM 14/GUNUNG TERANG</v>
      </c>
      <c r="D3175" s="13" t="str">
        <f>IFERROR(__xludf.DUMMYFUNCTION("""COMPUTED_VALUE"""),"L/6/170725/1")</f>
        <v>L/6/170725/1</v>
      </c>
      <c r="E3175" s="14" t="str">
        <f>IFERROR(__xludf.DUMMYFUNCTION("""COMPUTED_VALUE"""),"Heri (BT)")</f>
        <v>Heri (BT)</v>
      </c>
      <c r="F3175" s="14" t="str">
        <f>IFERROR(__xludf.DUMMYFUNCTION("""COMPUTED_VALUE"""),"SELESAI (VIA PERMOHONAN)")</f>
        <v>SELESAI (VIA PERMOHONAN)</v>
      </c>
      <c r="G3175" s="17">
        <f>IFERROR(__xludf.DUMMYFUNCTION("""COMPUTED_VALUE"""),45866.63093438657)</f>
        <v>45866.63093</v>
      </c>
      <c r="H3175" s="14" t="str">
        <f>IFERROR(__xludf.DUMMYFUNCTION("""COMPUTED_VALUE"""),"Eci (SU)")</f>
        <v>Eci (SU)</v>
      </c>
      <c r="I3175" s="13" t="str">
        <f>IFERROR(__xludf.DUMMYFUNCTION("""COMPUTED_VALUE"""),"SELESAI (VIA PERMOHONAN)")</f>
        <v>SELESAI (VIA PERMOHONAN)</v>
      </c>
      <c r="J3175" s="17">
        <f>IFERROR(__xludf.DUMMYFUNCTION("""COMPUTED_VALUE"""),45867.65302690973)</f>
        <v>45867.65303</v>
      </c>
      <c r="K3175" s="13" t="str">
        <f>IFERROR(__xludf.DUMMYFUNCTION("""COMPUTED_VALUE"""),"Selesai")</f>
        <v>Selesai</v>
      </c>
      <c r="L3175" s="17">
        <f>IFERROR(__xludf.DUMMYFUNCTION("""COMPUTED_VALUE"""),45867.65302690973)</f>
        <v>45867.65303</v>
      </c>
      <c r="M3175" s="13"/>
      <c r="N3175" s="13" t="str">
        <f>IFERROR(__xludf.DUMMYFUNCTION("""COMPUTED_VALUE"""),"")</f>
        <v/>
      </c>
      <c r="O3175" s="13" t="str">
        <f t="shared" si="1"/>
        <v/>
      </c>
    </row>
    <row r="3176" ht="22.5" customHeight="1">
      <c r="B3176" s="13">
        <f>IFERROR(__xludf.DUMMYFUNCTION("""COMPUTED_VALUE"""),3171.0)</f>
        <v>3171</v>
      </c>
      <c r="C3176" s="13" t="str">
        <f>IFERROR(__xludf.DUMMYFUNCTION("""COMPUTED_VALUE"""),"M. 12376/ Jagabaya II")</f>
        <v>M. 12376/ Jagabaya II</v>
      </c>
      <c r="D3176" s="13" t="str">
        <f>IFERROR(__xludf.DUMMYFUNCTION("""COMPUTED_VALUE"""),"K/33/160725/1")</f>
        <v>K/33/160725/1</v>
      </c>
      <c r="E3176" s="14" t="str">
        <f>IFERROR(__xludf.DUMMYFUNCTION("""COMPUTED_VALUE"""),"Heri (BT)")</f>
        <v>Heri (BT)</v>
      </c>
      <c r="F3176" s="14" t="str">
        <f>IFERROR(__xludf.DUMMYFUNCTION("""COMPUTED_VALUE"""),"SELESAI (VIA PERMOHONAN)")</f>
        <v>SELESAI (VIA PERMOHONAN)</v>
      </c>
      <c r="G3176" s="17">
        <f>IFERROR(__xludf.DUMMYFUNCTION("""COMPUTED_VALUE"""),45866.63108215277)</f>
        <v>45866.63108</v>
      </c>
      <c r="H3176" s="14" t="str">
        <f>IFERROR(__xludf.DUMMYFUNCTION("""COMPUTED_VALUE"""),"Eci (SU)")</f>
        <v>Eci (SU)</v>
      </c>
      <c r="I3176" s="13" t="str">
        <f>IFERROR(__xludf.DUMMYFUNCTION("""COMPUTED_VALUE"""),"SELESAI (VIA PERMOHONAN)")</f>
        <v>SELESAI (VIA PERMOHONAN)</v>
      </c>
      <c r="J3176" s="17">
        <f>IFERROR(__xludf.DUMMYFUNCTION("""COMPUTED_VALUE"""),45867.65302690973)</f>
        <v>45867.65303</v>
      </c>
      <c r="K3176" s="13" t="str">
        <f>IFERROR(__xludf.DUMMYFUNCTION("""COMPUTED_VALUE"""),"Selesai")</f>
        <v>Selesai</v>
      </c>
      <c r="L3176" s="17">
        <f>IFERROR(__xludf.DUMMYFUNCTION("""COMPUTED_VALUE"""),45867.65302690973)</f>
        <v>45867.65303</v>
      </c>
      <c r="M3176" s="13"/>
      <c r="N3176" s="13" t="str">
        <f>IFERROR(__xludf.DUMMYFUNCTION("""COMPUTED_VALUE"""),"")</f>
        <v/>
      </c>
      <c r="O3176" s="13" t="str">
        <f t="shared" si="1"/>
        <v/>
      </c>
    </row>
    <row r="3177" ht="22.5" customHeight="1">
      <c r="B3177" s="13">
        <f>IFERROR(__xludf.DUMMYFUNCTION("""COMPUTED_VALUE"""),3172.0)</f>
        <v>3172</v>
      </c>
      <c r="C3177" s="13" t="str">
        <f>IFERROR(__xludf.DUMMYFUNCTION("""COMPUTED_VALUE"""),"M. 2587/ Sukarame Baru")</f>
        <v>M. 2587/ Sukarame Baru</v>
      </c>
      <c r="D3177" s="13" t="str">
        <f>IFERROR(__xludf.DUMMYFUNCTION("""COMPUTED_VALUE"""),"K/4/170625/1")</f>
        <v>K/4/170625/1</v>
      </c>
      <c r="E3177" s="14" t="str">
        <f>IFERROR(__xludf.DUMMYFUNCTION("""COMPUTED_VALUE"""),"Heri (BT)")</f>
        <v>Heri (BT)</v>
      </c>
      <c r="F3177" s="14" t="str">
        <f>IFERROR(__xludf.DUMMYFUNCTION("""COMPUTED_VALUE"""),"SELESAI (VIA PERMOHONAN)")</f>
        <v>SELESAI (VIA PERMOHONAN)</v>
      </c>
      <c r="G3177" s="17">
        <f>IFERROR(__xludf.DUMMYFUNCTION("""COMPUTED_VALUE"""),45866.63130233796)</f>
        <v>45866.6313</v>
      </c>
      <c r="H3177" s="14" t="str">
        <f>IFERROR(__xludf.DUMMYFUNCTION("""COMPUTED_VALUE"""),"Eci (SU)")</f>
        <v>Eci (SU)</v>
      </c>
      <c r="I3177" s="13" t="str">
        <f>IFERROR(__xludf.DUMMYFUNCTION("""COMPUTED_VALUE"""),"SELESAI (VIA PERMOHONAN)")</f>
        <v>SELESAI (VIA PERMOHONAN)</v>
      </c>
      <c r="J3177" s="17">
        <f>IFERROR(__xludf.DUMMYFUNCTION("""COMPUTED_VALUE"""),45867.65302690973)</f>
        <v>45867.65303</v>
      </c>
      <c r="K3177" s="13" t="str">
        <f>IFERROR(__xludf.DUMMYFUNCTION("""COMPUTED_VALUE"""),"Selesai")</f>
        <v>Selesai</v>
      </c>
      <c r="L3177" s="17">
        <f>IFERROR(__xludf.DUMMYFUNCTION("""COMPUTED_VALUE"""),45867.65302690973)</f>
        <v>45867.65303</v>
      </c>
      <c r="M3177" s="13"/>
      <c r="N3177" s="13" t="str">
        <f>IFERROR(__xludf.DUMMYFUNCTION("""COMPUTED_VALUE"""),"")</f>
        <v/>
      </c>
      <c r="O3177" s="13" t="str">
        <f t="shared" si="1"/>
        <v/>
      </c>
    </row>
    <row r="3178" ht="22.5" customHeight="1">
      <c r="B3178" s="13">
        <f>IFERROR(__xludf.DUMMYFUNCTION("""COMPUTED_VALUE"""),3173.0)</f>
        <v>3173</v>
      </c>
      <c r="C3178" s="13" t="str">
        <f>IFERROR(__xludf.DUMMYFUNCTION("""COMPUTED_VALUE"""),"M.9531/KEDATON")</f>
        <v>M.9531/KEDATON</v>
      </c>
      <c r="D3178" s="13" t="str">
        <f>IFERROR(__xludf.DUMMYFUNCTION("""COMPUTED_VALUE"""),"K/32/090725/1")</f>
        <v>K/32/090725/1</v>
      </c>
      <c r="E3178" s="14"/>
      <c r="F3178" s="14"/>
      <c r="G3178" s="17" t="str">
        <f>IFERROR(__xludf.DUMMYFUNCTION("""COMPUTED_VALUE"""),"")</f>
        <v/>
      </c>
      <c r="H3178" s="14"/>
      <c r="I3178" s="13" t="str">
        <f>IFERROR(__xludf.DUMMYFUNCTION("""COMPUTED_VALUE"""),"SELESAI (VIA PERMOHONAN)")</f>
        <v>SELESAI (VIA PERMOHONAN)</v>
      </c>
      <c r="J3178" s="17">
        <f>IFERROR(__xludf.DUMMYFUNCTION("""COMPUTED_VALUE"""),45874.68043001158)</f>
        <v>45874.68043</v>
      </c>
      <c r="K3178" s="13" t="str">
        <f>IFERROR(__xludf.DUMMYFUNCTION("""COMPUTED_VALUE"""),"BT atau SU Belum Valid")</f>
        <v>BT atau SU Belum Valid</v>
      </c>
      <c r="L3178" s="13" t="str">
        <f>IFERROR(__xludf.DUMMYFUNCTION("""COMPUTED_VALUE"""),"")</f>
        <v/>
      </c>
      <c r="M3178" s="13"/>
      <c r="N3178" s="13" t="str">
        <f>IFERROR(__xludf.DUMMYFUNCTION("""COMPUTED_VALUE"""),"")</f>
        <v/>
      </c>
      <c r="O3178" s="13" t="str">
        <f t="shared" si="1"/>
        <v/>
      </c>
    </row>
    <row r="3179" ht="22.5" customHeight="1">
      <c r="B3179" s="13">
        <f>IFERROR(__xludf.DUMMYFUNCTION("""COMPUTED_VALUE"""),3174.0)</f>
        <v>3174</v>
      </c>
      <c r="C3179" s="13" t="str">
        <f>IFERROR(__xludf.DUMMYFUNCTION("""COMPUTED_VALUE"""),"M.4706/BERINGIN RAYA")</f>
        <v>M.4706/BERINGIN RAYA</v>
      </c>
      <c r="D3179" s="13" t="str">
        <f>IFERROR(__xludf.DUMMYFUNCTION("""COMPUTED_VALUE"""),"K/37/100725/1")</f>
        <v>K/37/100725/1</v>
      </c>
      <c r="E3179" s="14"/>
      <c r="F3179" s="14"/>
      <c r="G3179" s="17" t="str">
        <f>IFERROR(__xludf.DUMMYFUNCTION("""COMPUTED_VALUE"""),"")</f>
        <v/>
      </c>
      <c r="H3179" s="14"/>
      <c r="I3179" s="13" t="str">
        <f>IFERROR(__xludf.DUMMYFUNCTION("""COMPUTED_VALUE"""),"SELESAI (VIA PERMOHONAN)")</f>
        <v>SELESAI (VIA PERMOHONAN)</v>
      </c>
      <c r="J3179" s="17">
        <f>IFERROR(__xludf.DUMMYFUNCTION("""COMPUTED_VALUE"""),45874.68043001158)</f>
        <v>45874.68043</v>
      </c>
      <c r="K3179" s="13" t="str">
        <f>IFERROR(__xludf.DUMMYFUNCTION("""COMPUTED_VALUE"""),"BT atau SU Belum Valid")</f>
        <v>BT atau SU Belum Valid</v>
      </c>
      <c r="L3179" s="13" t="str">
        <f>IFERROR(__xludf.DUMMYFUNCTION("""COMPUTED_VALUE"""),"")</f>
        <v/>
      </c>
      <c r="M3179" s="13"/>
      <c r="N3179" s="13" t="str">
        <f>IFERROR(__xludf.DUMMYFUNCTION("""COMPUTED_VALUE"""),"")</f>
        <v/>
      </c>
      <c r="O3179" s="13" t="str">
        <f t="shared" si="1"/>
        <v/>
      </c>
    </row>
    <row r="3180" ht="22.5" customHeight="1">
      <c r="B3180" s="13">
        <f>IFERROR(__xludf.DUMMYFUNCTION("""COMPUTED_VALUE"""),3175.0)</f>
        <v>3175</v>
      </c>
      <c r="C3180" s="13" t="str">
        <f>IFERROR(__xludf.DUMMYFUNCTION("""COMPUTED_VALUE"""),"M.1159/KALIAWI")</f>
        <v>M.1159/KALIAWI</v>
      </c>
      <c r="D3180" s="13" t="str">
        <f>IFERROR(__xludf.DUMMYFUNCTION("""COMPUTED_VALUE"""),"K/39/080725/1")</f>
        <v>K/39/080725/1</v>
      </c>
      <c r="E3180" s="14" t="str">
        <f>IFERROR(__xludf.DUMMYFUNCTION("""COMPUTED_VALUE"""),"Heri (BT)")</f>
        <v>Heri (BT)</v>
      </c>
      <c r="F3180" s="14" t="str">
        <f>IFERROR(__xludf.DUMMYFUNCTION("""COMPUTED_VALUE"""),"SELESAI (VIA PERMOHONAN)")</f>
        <v>SELESAI (VIA PERMOHONAN)</v>
      </c>
      <c r="G3180" s="17">
        <f>IFERROR(__xludf.DUMMYFUNCTION("""COMPUTED_VALUE"""),45867.39755224537)</f>
        <v>45867.39755</v>
      </c>
      <c r="H3180" s="14" t="str">
        <f>IFERROR(__xludf.DUMMYFUNCTION("""COMPUTED_VALUE"""),"Eci (SU)")</f>
        <v>Eci (SU)</v>
      </c>
      <c r="I3180" s="13" t="str">
        <f>IFERROR(__xludf.DUMMYFUNCTION("""COMPUTED_VALUE"""),"SELESAI (VIA PERMOHONAN)")</f>
        <v>SELESAI (VIA PERMOHONAN)</v>
      </c>
      <c r="J3180" s="17">
        <f>IFERROR(__xludf.DUMMYFUNCTION("""COMPUTED_VALUE"""),45867.65312202546)</f>
        <v>45867.65312</v>
      </c>
      <c r="K3180" s="13" t="str">
        <f>IFERROR(__xludf.DUMMYFUNCTION("""COMPUTED_VALUE"""),"Selesai")</f>
        <v>Selesai</v>
      </c>
      <c r="L3180" s="17">
        <f>IFERROR(__xludf.DUMMYFUNCTION("""COMPUTED_VALUE"""),45867.65312202546)</f>
        <v>45867.65312</v>
      </c>
      <c r="M3180" s="13"/>
      <c r="N3180" s="13" t="str">
        <f>IFERROR(__xludf.DUMMYFUNCTION("""COMPUTED_VALUE"""),"")</f>
        <v/>
      </c>
      <c r="O3180" s="13" t="str">
        <f t="shared" si="1"/>
        <v/>
      </c>
    </row>
    <row r="3181" ht="22.5" customHeight="1">
      <c r="B3181" s="13">
        <f>IFERROR(__xludf.DUMMYFUNCTION("""COMPUTED_VALUE"""),3176.0)</f>
        <v>3176</v>
      </c>
      <c r="C3181" s="13" t="str">
        <f>IFERROR(__xludf.DUMMYFUNCTION("""COMPUTED_VALUE"""),"M.415/KORPRI RAYA")</f>
        <v>M.415/KORPRI RAYA</v>
      </c>
      <c r="D3181" s="13" t="str">
        <f>IFERROR(__xludf.DUMMYFUNCTION("""COMPUTED_VALUE"""),"K/36/170725/1")</f>
        <v>K/36/170725/1</v>
      </c>
      <c r="E3181" s="14" t="str">
        <f>IFERROR(__xludf.DUMMYFUNCTION("""COMPUTED_VALUE"""),"Heri (BT)")</f>
        <v>Heri (BT)</v>
      </c>
      <c r="F3181" s="14" t="str">
        <f>IFERROR(__xludf.DUMMYFUNCTION("""COMPUTED_VALUE"""),"SELESAI (VIA PERMOHONAN)")</f>
        <v>SELESAI (VIA PERMOHONAN)</v>
      </c>
      <c r="G3181" s="17">
        <f>IFERROR(__xludf.DUMMYFUNCTION("""COMPUTED_VALUE"""),45867.39771145833)</f>
        <v>45867.39771</v>
      </c>
      <c r="H3181" s="14" t="str">
        <f>IFERROR(__xludf.DUMMYFUNCTION("""COMPUTED_VALUE"""),"Eci (SU)")</f>
        <v>Eci (SU)</v>
      </c>
      <c r="I3181" s="13" t="str">
        <f>IFERROR(__xludf.DUMMYFUNCTION("""COMPUTED_VALUE"""),"SELESAI (VIA PERMOHONAN)")</f>
        <v>SELESAI (VIA PERMOHONAN)</v>
      </c>
      <c r="J3181" s="17">
        <f>IFERROR(__xludf.DUMMYFUNCTION("""COMPUTED_VALUE"""),45867.65314488426)</f>
        <v>45867.65314</v>
      </c>
      <c r="K3181" s="13" t="str">
        <f>IFERROR(__xludf.DUMMYFUNCTION("""COMPUTED_VALUE"""),"Selesai")</f>
        <v>Selesai</v>
      </c>
      <c r="L3181" s="17">
        <f>IFERROR(__xludf.DUMMYFUNCTION("""COMPUTED_VALUE"""),45867.65314488426)</f>
        <v>45867.65314</v>
      </c>
      <c r="M3181" s="13"/>
      <c r="N3181" s="13" t="str">
        <f>IFERROR(__xludf.DUMMYFUNCTION("""COMPUTED_VALUE"""),"")</f>
        <v/>
      </c>
      <c r="O3181" s="13" t="str">
        <f t="shared" si="1"/>
        <v/>
      </c>
    </row>
    <row r="3182" ht="22.5" customHeight="1">
      <c r="B3182" s="13">
        <f>IFERROR(__xludf.DUMMYFUNCTION("""COMPUTED_VALUE"""),3177.0)</f>
        <v>3177</v>
      </c>
      <c r="C3182" s="13" t="str">
        <f>IFERROR(__xludf.DUMMYFUNCTION("""COMPUTED_VALUE"""),"M.1522/GUNUNG TERANG")</f>
        <v>M.1522/GUNUNG TERANG</v>
      </c>
      <c r="D3182" s="13" t="str">
        <f>IFERROR(__xludf.DUMMYFUNCTION("""COMPUTED_VALUE"""),"K/37/180725/1")</f>
        <v>K/37/180725/1</v>
      </c>
      <c r="E3182" s="14" t="str">
        <f>IFERROR(__xludf.DUMMYFUNCTION("""COMPUTED_VALUE"""),"Heri (BT)")</f>
        <v>Heri (BT)</v>
      </c>
      <c r="F3182" s="14" t="str">
        <f>IFERROR(__xludf.DUMMYFUNCTION("""COMPUTED_VALUE"""),"SELESAI (VIA PERMOHONAN)")</f>
        <v>SELESAI (VIA PERMOHONAN)</v>
      </c>
      <c r="G3182" s="17">
        <f>IFERROR(__xludf.DUMMYFUNCTION("""COMPUTED_VALUE"""),45867.39786370371)</f>
        <v>45867.39786</v>
      </c>
      <c r="H3182" s="14" t="str">
        <f>IFERROR(__xludf.DUMMYFUNCTION("""COMPUTED_VALUE"""),"Eci (SU)")</f>
        <v>Eci (SU)</v>
      </c>
      <c r="I3182" s="13" t="str">
        <f>IFERROR(__xludf.DUMMYFUNCTION("""COMPUTED_VALUE"""),"SELESAI (VIA PERMOHONAN)")</f>
        <v>SELESAI (VIA PERMOHONAN)</v>
      </c>
      <c r="J3182" s="17">
        <f>IFERROR(__xludf.DUMMYFUNCTION("""COMPUTED_VALUE"""),45867.65314488426)</f>
        <v>45867.65314</v>
      </c>
      <c r="K3182" s="13" t="str">
        <f>IFERROR(__xludf.DUMMYFUNCTION("""COMPUTED_VALUE"""),"Selesai")</f>
        <v>Selesai</v>
      </c>
      <c r="L3182" s="17">
        <f>IFERROR(__xludf.DUMMYFUNCTION("""COMPUTED_VALUE"""),45867.65314488426)</f>
        <v>45867.65314</v>
      </c>
      <c r="M3182" s="13"/>
      <c r="N3182" s="13" t="str">
        <f>IFERROR(__xludf.DUMMYFUNCTION("""COMPUTED_VALUE"""),"")</f>
        <v/>
      </c>
      <c r="O3182" s="13" t="str">
        <f t="shared" si="1"/>
        <v/>
      </c>
    </row>
    <row r="3183" ht="22.5" customHeight="1">
      <c r="B3183" s="13">
        <f>IFERROR(__xludf.DUMMYFUNCTION("""COMPUTED_VALUE"""),3178.0)</f>
        <v>3178</v>
      </c>
      <c r="C3183" s="13" t="str">
        <f>IFERROR(__xludf.DUMMYFUNCTION("""COMPUTED_VALUE"""),"M. 1860/SUSUNAN BARU")</f>
        <v>M. 1860/SUSUNAN BARU</v>
      </c>
      <c r="D3183" s="13" t="str">
        <f>IFERROR(__xludf.DUMMYFUNCTION("""COMPUTED_VALUE"""),"L/1/270725/PELATARAN ")</f>
        <v>L/1/270725/PELATARAN </v>
      </c>
      <c r="E3183" s="14" t="str">
        <f>IFERROR(__xludf.DUMMYFUNCTION("""COMPUTED_VALUE"""),"Heri (BT)")</f>
        <v>Heri (BT)</v>
      </c>
      <c r="F3183" s="14" t="str">
        <f>IFERROR(__xludf.DUMMYFUNCTION("""COMPUTED_VALUE"""),"SELESAI (VIA PERMOHONAN)")</f>
        <v>SELESAI (VIA PERMOHONAN)</v>
      </c>
      <c r="G3183" s="17">
        <f>IFERROR(__xludf.DUMMYFUNCTION("""COMPUTED_VALUE"""),45867.39823584491)</f>
        <v>45867.39824</v>
      </c>
      <c r="H3183" s="14" t="str">
        <f>IFERROR(__xludf.DUMMYFUNCTION("""COMPUTED_VALUE"""),"Eci (SU)")</f>
        <v>Eci (SU)</v>
      </c>
      <c r="I3183" s="13" t="str">
        <f>IFERROR(__xludf.DUMMYFUNCTION("""COMPUTED_VALUE"""),"SELESAI (VIA PERMOHONAN)")</f>
        <v>SELESAI (VIA PERMOHONAN)</v>
      </c>
      <c r="J3183" s="17">
        <f>IFERROR(__xludf.DUMMYFUNCTION("""COMPUTED_VALUE"""),45867.65314488426)</f>
        <v>45867.65314</v>
      </c>
      <c r="K3183" s="13" t="str">
        <f>IFERROR(__xludf.DUMMYFUNCTION("""COMPUTED_VALUE"""),"Selesai")</f>
        <v>Selesai</v>
      </c>
      <c r="L3183" s="17">
        <f>IFERROR(__xludf.DUMMYFUNCTION("""COMPUTED_VALUE"""),45867.65314488426)</f>
        <v>45867.65314</v>
      </c>
      <c r="M3183" s="13"/>
      <c r="N3183" s="13" t="str">
        <f>IFERROR(__xludf.DUMMYFUNCTION("""COMPUTED_VALUE"""),"")</f>
        <v/>
      </c>
      <c r="O3183" s="13" t="str">
        <f t="shared" si="1"/>
        <v/>
      </c>
    </row>
    <row r="3184" ht="22.5" customHeight="1">
      <c r="B3184" s="13">
        <f>IFERROR(__xludf.DUMMYFUNCTION("""COMPUTED_VALUE"""),3179.0)</f>
        <v>3179</v>
      </c>
      <c r="C3184" s="13" t="str">
        <f>IFERROR(__xludf.DUMMYFUNCTION("""COMPUTED_VALUE"""),"HM 17838/SUKARAME I")</f>
        <v>HM 17838/SUKARAME I</v>
      </c>
      <c r="D3184" s="13" t="str">
        <f>IFERROR(__xludf.DUMMYFUNCTION("""COMPUTED_VALUE"""),"L/1/170725/1")</f>
        <v>L/1/170725/1</v>
      </c>
      <c r="E3184" s="14" t="str">
        <f>IFERROR(__xludf.DUMMYFUNCTION("""COMPUTED_VALUE"""),"Heri (BT)")</f>
        <v>Heri (BT)</v>
      </c>
      <c r="F3184" s="14" t="str">
        <f>IFERROR(__xludf.DUMMYFUNCTION("""COMPUTED_VALUE"""),"SELESAI (VIA PERMOHONAN)")</f>
        <v>SELESAI (VIA PERMOHONAN)</v>
      </c>
      <c r="G3184" s="17">
        <f>IFERROR(__xludf.DUMMYFUNCTION("""COMPUTED_VALUE"""),45867.398436539355)</f>
        <v>45867.39844</v>
      </c>
      <c r="H3184" s="14" t="str">
        <f>IFERROR(__xludf.DUMMYFUNCTION("""COMPUTED_VALUE"""),"Eci (SU)")</f>
        <v>Eci (SU)</v>
      </c>
      <c r="I3184" s="13" t="str">
        <f>IFERROR(__xludf.DUMMYFUNCTION("""COMPUTED_VALUE"""),"SELESAI (VIA PERMOHONAN)")</f>
        <v>SELESAI (VIA PERMOHONAN)</v>
      </c>
      <c r="J3184" s="17">
        <f>IFERROR(__xludf.DUMMYFUNCTION("""COMPUTED_VALUE"""),45867.65314488426)</f>
        <v>45867.65314</v>
      </c>
      <c r="K3184" s="13" t="str">
        <f>IFERROR(__xludf.DUMMYFUNCTION("""COMPUTED_VALUE"""),"Selesai")</f>
        <v>Selesai</v>
      </c>
      <c r="L3184" s="17">
        <f>IFERROR(__xludf.DUMMYFUNCTION("""COMPUTED_VALUE"""),45867.65314488426)</f>
        <v>45867.65314</v>
      </c>
      <c r="M3184" s="13"/>
      <c r="N3184" s="13" t="str">
        <f>IFERROR(__xludf.DUMMYFUNCTION("""COMPUTED_VALUE"""),"")</f>
        <v/>
      </c>
      <c r="O3184" s="13" t="str">
        <f t="shared" si="1"/>
        <v/>
      </c>
    </row>
    <row r="3185" ht="22.5" customHeight="1">
      <c r="B3185" s="13">
        <f>IFERROR(__xludf.DUMMYFUNCTION("""COMPUTED_VALUE"""),3180.0)</f>
        <v>3180</v>
      </c>
      <c r="C3185" s="13" t="str">
        <f>IFERROR(__xludf.DUMMYFUNCTION("""COMPUTED_VALUE"""),"HM 9909/KAMPUNG BARU")</f>
        <v>HM 9909/KAMPUNG BARU</v>
      </c>
      <c r="D3185" s="13" t="str">
        <f>IFERROR(__xludf.DUMMYFUNCTION("""COMPUTED_VALUE"""),"L/13/210725/1")</f>
        <v>L/13/210725/1</v>
      </c>
      <c r="E3185" s="14" t="str">
        <f>IFERROR(__xludf.DUMMYFUNCTION("""COMPUTED_VALUE"""),"Heri (BT)")</f>
        <v>Heri (BT)</v>
      </c>
      <c r="F3185" s="14" t="str">
        <f>IFERROR(__xludf.DUMMYFUNCTION("""COMPUTED_VALUE"""),"SELESAI (VIA PERMOHONAN)")</f>
        <v>SELESAI (VIA PERMOHONAN)</v>
      </c>
      <c r="G3185" s="17">
        <f>IFERROR(__xludf.DUMMYFUNCTION("""COMPUTED_VALUE"""),45867.39862784722)</f>
        <v>45867.39863</v>
      </c>
      <c r="H3185" s="14" t="str">
        <f>IFERROR(__xludf.DUMMYFUNCTION("""COMPUTED_VALUE"""),"Eci (SU)")</f>
        <v>Eci (SU)</v>
      </c>
      <c r="I3185" s="13" t="str">
        <f>IFERROR(__xludf.DUMMYFUNCTION("""COMPUTED_VALUE"""),"SELESAI (VIA PERMOHONAN)")</f>
        <v>SELESAI (VIA PERMOHONAN)</v>
      </c>
      <c r="J3185" s="17">
        <f>IFERROR(__xludf.DUMMYFUNCTION("""COMPUTED_VALUE"""),45867.65314488426)</f>
        <v>45867.65314</v>
      </c>
      <c r="K3185" s="13" t="str">
        <f>IFERROR(__xludf.DUMMYFUNCTION("""COMPUTED_VALUE"""),"Selesai")</f>
        <v>Selesai</v>
      </c>
      <c r="L3185" s="17">
        <f>IFERROR(__xludf.DUMMYFUNCTION("""COMPUTED_VALUE"""),45867.65314488426)</f>
        <v>45867.65314</v>
      </c>
      <c r="M3185" s="13"/>
      <c r="N3185" s="13" t="str">
        <f>IFERROR(__xludf.DUMMYFUNCTION("""COMPUTED_VALUE"""),"")</f>
        <v/>
      </c>
      <c r="O3185" s="13" t="str">
        <f t="shared" si="1"/>
        <v/>
      </c>
    </row>
    <row r="3186" ht="22.5" customHeight="1">
      <c r="B3186" s="13">
        <f>IFERROR(__xludf.DUMMYFUNCTION("""COMPUTED_VALUE"""),3181.0)</f>
        <v>3181</v>
      </c>
      <c r="C3186" s="13" t="str">
        <f>IFERROR(__xludf.DUMMYFUNCTION("""COMPUTED_VALUE"""),"HM 296/SUMBEREJO K ")</f>
        <v>HM 296/SUMBEREJO K </v>
      </c>
      <c r="D3186" s="13" t="str">
        <f>IFERROR(__xludf.DUMMYFUNCTION("""COMPUTED_VALUE"""),"L/24/210725/1")</f>
        <v>L/24/210725/1</v>
      </c>
      <c r="E3186" s="14" t="str">
        <f>IFERROR(__xludf.DUMMYFUNCTION("""COMPUTED_VALUE"""),"Heri (BT)")</f>
        <v>Heri (BT)</v>
      </c>
      <c r="F3186" s="14" t="str">
        <f>IFERROR(__xludf.DUMMYFUNCTION("""COMPUTED_VALUE"""),"SELESAI (VIA PERMOHONAN)")</f>
        <v>SELESAI (VIA PERMOHONAN)</v>
      </c>
      <c r="G3186" s="17">
        <f>IFERROR(__xludf.DUMMYFUNCTION("""COMPUTED_VALUE"""),45867.39894525463)</f>
        <v>45867.39895</v>
      </c>
      <c r="H3186" s="14" t="str">
        <f>IFERROR(__xludf.DUMMYFUNCTION("""COMPUTED_VALUE"""),"Eci (SU)")</f>
        <v>Eci (SU)</v>
      </c>
      <c r="I3186" s="13" t="str">
        <f>IFERROR(__xludf.DUMMYFUNCTION("""COMPUTED_VALUE"""),"SELESAI (VIA PERMOHONAN)")</f>
        <v>SELESAI (VIA PERMOHONAN)</v>
      </c>
      <c r="J3186" s="17">
        <f>IFERROR(__xludf.DUMMYFUNCTION("""COMPUTED_VALUE"""),45867.65314488426)</f>
        <v>45867.65314</v>
      </c>
      <c r="K3186" s="13" t="str">
        <f>IFERROR(__xludf.DUMMYFUNCTION("""COMPUTED_VALUE"""),"Selesai")</f>
        <v>Selesai</v>
      </c>
      <c r="L3186" s="17">
        <f>IFERROR(__xludf.DUMMYFUNCTION("""COMPUTED_VALUE"""),45867.65314488426)</f>
        <v>45867.65314</v>
      </c>
      <c r="M3186" s="13"/>
      <c r="N3186" s="13" t="str">
        <f>IFERROR(__xludf.DUMMYFUNCTION("""COMPUTED_VALUE"""),"")</f>
        <v/>
      </c>
      <c r="O3186" s="13" t="str">
        <f t="shared" si="1"/>
        <v/>
      </c>
    </row>
    <row r="3187" ht="22.5" customHeight="1">
      <c r="B3187" s="13">
        <f>IFERROR(__xludf.DUMMYFUNCTION("""COMPUTED_VALUE"""),3182.0)</f>
        <v>3182</v>
      </c>
      <c r="C3187" s="13" t="str">
        <f>IFERROR(__xludf.DUMMYFUNCTION("""COMPUTED_VALUE"""),"M. 13966/SUKARAME")</f>
        <v>M. 13966/SUKARAME</v>
      </c>
      <c r="D3187" s="13" t="str">
        <f>IFERROR(__xludf.DUMMYFUNCTION("""COMPUTED_VALUE"""),"K/11/070725/1")</f>
        <v>K/11/070725/1</v>
      </c>
      <c r="E3187" s="14" t="str">
        <f>IFERROR(__xludf.DUMMYFUNCTION("""COMPUTED_VALUE"""),"Heri (BT)")</f>
        <v>Heri (BT)</v>
      </c>
      <c r="F3187" s="14" t="str">
        <f>IFERROR(__xludf.DUMMYFUNCTION("""COMPUTED_VALUE"""),"SELESAI (VIA PERMOHONAN)")</f>
        <v>SELESAI (VIA PERMOHONAN)</v>
      </c>
      <c r="G3187" s="17">
        <f>IFERROR(__xludf.DUMMYFUNCTION("""COMPUTED_VALUE"""),45868.378148379634)</f>
        <v>45868.37815</v>
      </c>
      <c r="H3187" s="14" t="str">
        <f>IFERROR(__xludf.DUMMYFUNCTION("""COMPUTED_VALUE"""),"Eci (SU)")</f>
        <v>Eci (SU)</v>
      </c>
      <c r="I3187" s="13" t="str">
        <f>IFERROR(__xludf.DUMMYFUNCTION("""COMPUTED_VALUE"""),"SELESAI (VIA PERMOHONAN)")</f>
        <v>SELESAI (VIA PERMOHONAN)</v>
      </c>
      <c r="J3187" s="17">
        <f>IFERROR(__xludf.DUMMYFUNCTION("""COMPUTED_VALUE"""),45868.62382190972)</f>
        <v>45868.62382</v>
      </c>
      <c r="K3187" s="13" t="str">
        <f>IFERROR(__xludf.DUMMYFUNCTION("""COMPUTED_VALUE"""),"Selesai")</f>
        <v>Selesai</v>
      </c>
      <c r="L3187" s="17">
        <f>IFERROR(__xludf.DUMMYFUNCTION("""COMPUTED_VALUE"""),45868.62382190972)</f>
        <v>45868.62382</v>
      </c>
      <c r="M3187" s="13"/>
      <c r="N3187" s="13" t="str">
        <f>IFERROR(__xludf.DUMMYFUNCTION("""COMPUTED_VALUE"""),"")</f>
        <v/>
      </c>
      <c r="O3187" s="13" t="str">
        <f t="shared" si="1"/>
        <v/>
      </c>
    </row>
    <row r="3188" ht="22.5" customHeight="1">
      <c r="B3188" s="13">
        <f>IFERROR(__xludf.DUMMYFUNCTION("""COMPUTED_VALUE"""),3183.0)</f>
        <v>3183</v>
      </c>
      <c r="C3188" s="13" t="str">
        <f>IFERROR(__xludf.DUMMYFUNCTION("""COMPUTED_VALUE"""),"M. 646/PALAPA")</f>
        <v>M. 646/PALAPA</v>
      </c>
      <c r="D3188" s="13" t="str">
        <f>IFERROR(__xludf.DUMMYFUNCTION("""COMPUTED_VALUE"""),"K/33/210725/1")</f>
        <v>K/33/210725/1</v>
      </c>
      <c r="E3188" s="14" t="str">
        <f>IFERROR(__xludf.DUMMYFUNCTION("""COMPUTED_VALUE"""),"Heri (BT)")</f>
        <v>Heri (BT)</v>
      </c>
      <c r="F3188" s="14" t="str">
        <f>IFERROR(__xludf.DUMMYFUNCTION("""COMPUTED_VALUE"""),"SELESAI (VIA PERMOHONAN)")</f>
        <v>SELESAI (VIA PERMOHONAN)</v>
      </c>
      <c r="G3188" s="17">
        <f>IFERROR(__xludf.DUMMYFUNCTION("""COMPUTED_VALUE"""),45868.378309189815)</f>
        <v>45868.37831</v>
      </c>
      <c r="H3188" s="14" t="str">
        <f>IFERROR(__xludf.DUMMYFUNCTION("""COMPUTED_VALUE"""),"Eci (SU)")</f>
        <v>Eci (SU)</v>
      </c>
      <c r="I3188" s="13" t="str">
        <f>IFERROR(__xludf.DUMMYFUNCTION("""COMPUTED_VALUE"""),"SELESAI (VIA PERMOHONAN)")</f>
        <v>SELESAI (VIA PERMOHONAN)</v>
      </c>
      <c r="J3188" s="17">
        <f>IFERROR(__xludf.DUMMYFUNCTION("""COMPUTED_VALUE"""),45868.62389638889)</f>
        <v>45868.6239</v>
      </c>
      <c r="K3188" s="13" t="str">
        <f>IFERROR(__xludf.DUMMYFUNCTION("""COMPUTED_VALUE"""),"Selesai")</f>
        <v>Selesai</v>
      </c>
      <c r="L3188" s="17">
        <f>IFERROR(__xludf.DUMMYFUNCTION("""COMPUTED_VALUE"""),45868.62389638889)</f>
        <v>45868.6239</v>
      </c>
      <c r="M3188" s="13"/>
      <c r="N3188" s="13" t="str">
        <f>IFERROR(__xludf.DUMMYFUNCTION("""COMPUTED_VALUE"""),"")</f>
        <v/>
      </c>
      <c r="O3188" s="13" t="str">
        <f t="shared" si="1"/>
        <v/>
      </c>
    </row>
    <row r="3189" ht="22.5" customHeight="1">
      <c r="B3189" s="13">
        <f>IFERROR(__xludf.DUMMYFUNCTION("""COMPUTED_VALUE"""),3184.0)</f>
        <v>3184</v>
      </c>
      <c r="C3189" s="13" t="str">
        <f>IFERROR(__xludf.DUMMYFUNCTION("""COMPUTED_VALUE"""),"M. 16109/ Sukabumi")</f>
        <v>M. 16109/ Sukabumi</v>
      </c>
      <c r="D3189" s="13" t="str">
        <f>IFERROR(__xludf.DUMMYFUNCTION("""COMPUTED_VALUE"""),"K/32/080725/1")</f>
        <v>K/32/080725/1</v>
      </c>
      <c r="E3189" s="14" t="str">
        <f>IFERROR(__xludf.DUMMYFUNCTION("""COMPUTED_VALUE"""),"Heri (BT)")</f>
        <v>Heri (BT)</v>
      </c>
      <c r="F3189" s="14" t="str">
        <f>IFERROR(__xludf.DUMMYFUNCTION("""COMPUTED_VALUE"""),"SELESAI (VIA PERMOHONAN)")</f>
        <v>SELESAI (VIA PERMOHONAN)</v>
      </c>
      <c r="G3189" s="17">
        <f>IFERROR(__xludf.DUMMYFUNCTION("""COMPUTED_VALUE"""),45868.378476134254)</f>
        <v>45868.37848</v>
      </c>
      <c r="H3189" s="14" t="str">
        <f>IFERROR(__xludf.DUMMYFUNCTION("""COMPUTED_VALUE"""),"Eci (SU)")</f>
        <v>Eci (SU)</v>
      </c>
      <c r="I3189" s="13" t="str">
        <f>IFERROR(__xludf.DUMMYFUNCTION("""COMPUTED_VALUE"""),"SELESAI (VIA PERMOHONAN)")</f>
        <v>SELESAI (VIA PERMOHONAN)</v>
      </c>
      <c r="J3189" s="17">
        <f>IFERROR(__xludf.DUMMYFUNCTION("""COMPUTED_VALUE"""),45868.62396271991)</f>
        <v>45868.62396</v>
      </c>
      <c r="K3189" s="13" t="str">
        <f>IFERROR(__xludf.DUMMYFUNCTION("""COMPUTED_VALUE"""),"Selesai")</f>
        <v>Selesai</v>
      </c>
      <c r="L3189" s="17">
        <f>IFERROR(__xludf.DUMMYFUNCTION("""COMPUTED_VALUE"""),45868.62396271991)</f>
        <v>45868.62396</v>
      </c>
      <c r="M3189" s="13"/>
      <c r="N3189" s="13" t="str">
        <f>IFERROR(__xludf.DUMMYFUNCTION("""COMPUTED_VALUE"""),"")</f>
        <v/>
      </c>
      <c r="O3189" s="13" t="str">
        <f t="shared" si="1"/>
        <v/>
      </c>
    </row>
    <row r="3190" ht="22.5" customHeight="1">
      <c r="B3190" s="13">
        <f>IFERROR(__xludf.DUMMYFUNCTION("""COMPUTED_VALUE"""),3185.0)</f>
        <v>3185</v>
      </c>
      <c r="C3190" s="13" t="str">
        <f>IFERROR(__xludf.DUMMYFUNCTION("""COMPUTED_VALUE"""),"M. 2614/ Kupang Teba")</f>
        <v>M. 2614/ Kupang Teba</v>
      </c>
      <c r="D3190" s="13" t="str">
        <f>IFERROR(__xludf.DUMMYFUNCTION("""COMPUTED_VALUE"""),"K/28/010725/1")</f>
        <v>K/28/010725/1</v>
      </c>
      <c r="E3190" s="14" t="str">
        <f>IFERROR(__xludf.DUMMYFUNCTION("""COMPUTED_VALUE"""),"Afriza (BT)")</f>
        <v>Afriza (BT)</v>
      </c>
      <c r="F3190" s="14" t="str">
        <f>IFERROR(__xludf.DUMMYFUNCTION("""COMPUTED_VALUE"""),"SELESAI (VIA PERMOHONAN)")</f>
        <v>SELESAI (VIA PERMOHONAN)</v>
      </c>
      <c r="G3190" s="17">
        <f>IFERROR(__xludf.DUMMYFUNCTION("""COMPUTED_VALUE"""),45868.64430363426)</f>
        <v>45868.6443</v>
      </c>
      <c r="H3190" s="14" t="str">
        <f>IFERROR(__xludf.DUMMYFUNCTION("""COMPUTED_VALUE"""),"Eci (SU)")</f>
        <v>Eci (SU)</v>
      </c>
      <c r="I3190" s="13" t="str">
        <f>IFERROR(__xludf.DUMMYFUNCTION("""COMPUTED_VALUE"""),"SELESAI (VIA PERMOHONAN)")</f>
        <v>SELESAI (VIA PERMOHONAN)</v>
      </c>
      <c r="J3190" s="17">
        <f>IFERROR(__xludf.DUMMYFUNCTION("""COMPUTED_VALUE"""),45869.46517739583)</f>
        <v>45869.46518</v>
      </c>
      <c r="K3190" s="13" t="str">
        <f>IFERROR(__xludf.DUMMYFUNCTION("""COMPUTED_VALUE"""),"Selesai")</f>
        <v>Selesai</v>
      </c>
      <c r="L3190" s="17">
        <f>IFERROR(__xludf.DUMMYFUNCTION("""COMPUTED_VALUE"""),45869.46517739583)</f>
        <v>45869.46518</v>
      </c>
      <c r="M3190" s="13"/>
      <c r="N3190" s="13" t="str">
        <f>IFERROR(__xludf.DUMMYFUNCTION("""COMPUTED_VALUE"""),"")</f>
        <v/>
      </c>
      <c r="O3190" s="13" t="str">
        <f t="shared" si="1"/>
        <v/>
      </c>
    </row>
    <row r="3191" ht="22.5" customHeight="1">
      <c r="B3191" s="13">
        <f>IFERROR(__xludf.DUMMYFUNCTION("""COMPUTED_VALUE"""),3186.0)</f>
        <v>3186</v>
      </c>
      <c r="C3191" s="13" t="str">
        <f>IFERROR(__xludf.DUMMYFUNCTION("""COMPUTED_VALUE"""),"M. 436/ Kali Balau Kencana")</f>
        <v>M. 436/ Kali Balau Kencana</v>
      </c>
      <c r="D3191" s="13" t="str">
        <f>IFERROR(__xludf.DUMMYFUNCTION("""COMPUTED_VALUE"""),"K/25/200625/3")</f>
        <v>K/25/200625/3</v>
      </c>
      <c r="E3191" s="14" t="str">
        <f>IFERROR(__xludf.DUMMYFUNCTION("""COMPUTED_VALUE"""),"Afriza (BT)")</f>
        <v>Afriza (BT)</v>
      </c>
      <c r="F3191" s="14" t="str">
        <f>IFERROR(__xludf.DUMMYFUNCTION("""COMPUTED_VALUE"""),"SELESAI (VIA PERMOHONAN)")</f>
        <v>SELESAI (VIA PERMOHONAN)</v>
      </c>
      <c r="G3191" s="17">
        <f>IFERROR(__xludf.DUMMYFUNCTION("""COMPUTED_VALUE"""),45868.644434560185)</f>
        <v>45868.64443</v>
      </c>
      <c r="H3191" s="14" t="str">
        <f>IFERROR(__xludf.DUMMYFUNCTION("""COMPUTED_VALUE"""),"Eci (SU)")</f>
        <v>Eci (SU)</v>
      </c>
      <c r="I3191" s="13" t="str">
        <f>IFERROR(__xludf.DUMMYFUNCTION("""COMPUTED_VALUE"""),"SELESAI (VIA PERMOHONAN)")</f>
        <v>SELESAI (VIA PERMOHONAN)</v>
      </c>
      <c r="J3191" s="17">
        <f>IFERROR(__xludf.DUMMYFUNCTION("""COMPUTED_VALUE"""),45869.4650146875)</f>
        <v>45869.46501</v>
      </c>
      <c r="K3191" s="13" t="str">
        <f>IFERROR(__xludf.DUMMYFUNCTION("""COMPUTED_VALUE"""),"Selesai")</f>
        <v>Selesai</v>
      </c>
      <c r="L3191" s="17">
        <f>IFERROR(__xludf.DUMMYFUNCTION("""COMPUTED_VALUE"""),45869.4650146875)</f>
        <v>45869.46501</v>
      </c>
      <c r="M3191" s="13"/>
      <c r="N3191" s="13" t="str">
        <f>IFERROR(__xludf.DUMMYFUNCTION("""COMPUTED_VALUE"""),"")</f>
        <v/>
      </c>
      <c r="O3191" s="13" t="str">
        <f t="shared" si="1"/>
        <v/>
      </c>
    </row>
    <row r="3192" ht="22.5" customHeight="1">
      <c r="B3192" s="13">
        <f>IFERROR(__xludf.DUMMYFUNCTION("""COMPUTED_VALUE"""),3187.0)</f>
        <v>3187</v>
      </c>
      <c r="C3192" s="13" t="str">
        <f>IFERROR(__xludf.DUMMYFUNCTION("""COMPUTED_VALUE"""),"B. 2141/ Sukarame I")</f>
        <v>B. 2141/ Sukarame I</v>
      </c>
      <c r="D3192" s="13" t="str">
        <f>IFERROR(__xludf.DUMMYFUNCTION("""COMPUTED_VALUE"""),"K/8/040725/1")</f>
        <v>K/8/040725/1</v>
      </c>
      <c r="E3192" s="14" t="str">
        <f>IFERROR(__xludf.DUMMYFUNCTION("""COMPUTED_VALUE"""),"Afriza (BT)")</f>
        <v>Afriza (BT)</v>
      </c>
      <c r="F3192" s="14" t="str">
        <f>IFERROR(__xludf.DUMMYFUNCTION("""COMPUTED_VALUE"""),"SELESAI (VIA PERMOHONAN)")</f>
        <v>SELESAI (VIA PERMOHONAN)</v>
      </c>
      <c r="G3192" s="17">
        <f>IFERROR(__xludf.DUMMYFUNCTION("""COMPUTED_VALUE"""),45868.64452173611)</f>
        <v>45868.64452</v>
      </c>
      <c r="H3192" s="14" t="str">
        <f>IFERROR(__xludf.DUMMYFUNCTION("""COMPUTED_VALUE"""),"Eci (SU)")</f>
        <v>Eci (SU)</v>
      </c>
      <c r="I3192" s="13" t="str">
        <f>IFERROR(__xludf.DUMMYFUNCTION("""COMPUTED_VALUE"""),"SELESAI (VIA PERMOHONAN)")</f>
        <v>SELESAI (VIA PERMOHONAN)</v>
      </c>
      <c r="J3192" s="17">
        <f>IFERROR(__xludf.DUMMYFUNCTION("""COMPUTED_VALUE"""),45869.46483033565)</f>
        <v>45869.46483</v>
      </c>
      <c r="K3192" s="13" t="str">
        <f>IFERROR(__xludf.DUMMYFUNCTION("""COMPUTED_VALUE"""),"Selesai")</f>
        <v>Selesai</v>
      </c>
      <c r="L3192" s="17">
        <f>IFERROR(__xludf.DUMMYFUNCTION("""COMPUTED_VALUE"""),45869.46483033565)</f>
        <v>45869.46483</v>
      </c>
      <c r="M3192" s="13"/>
      <c r="N3192" s="13" t="str">
        <f>IFERROR(__xludf.DUMMYFUNCTION("""COMPUTED_VALUE"""),"")</f>
        <v/>
      </c>
      <c r="O3192" s="13" t="str">
        <f t="shared" si="1"/>
        <v/>
      </c>
    </row>
    <row r="3193" ht="22.5" customHeight="1">
      <c r="B3193" s="13">
        <f>IFERROR(__xludf.DUMMYFUNCTION("""COMPUTED_VALUE"""),3188.0)</f>
        <v>3188</v>
      </c>
      <c r="C3193" s="13" t="str">
        <f>IFERROR(__xludf.DUMMYFUNCTION("""COMPUTED_VALUE"""),"M. 5084/ Rajabasa Jaya")</f>
        <v>M. 5084/ Rajabasa Jaya</v>
      </c>
      <c r="D3193" s="13" t="str">
        <f>IFERROR(__xludf.DUMMYFUNCTION("""COMPUTED_VALUE"""),"K/43/190625/1")</f>
        <v>K/43/190625/1</v>
      </c>
      <c r="E3193" s="14" t="str">
        <f>IFERROR(__xludf.DUMMYFUNCTION("""COMPUTED_VALUE"""),"Afriza (BT)")</f>
        <v>Afriza (BT)</v>
      </c>
      <c r="F3193" s="14" t="str">
        <f>IFERROR(__xludf.DUMMYFUNCTION("""COMPUTED_VALUE"""),"SELESAI (VIA PERMOHONAN)")</f>
        <v>SELESAI (VIA PERMOHONAN)</v>
      </c>
      <c r="G3193" s="17">
        <f>IFERROR(__xludf.DUMMYFUNCTION("""COMPUTED_VALUE"""),45868.64462168982)</f>
        <v>45868.64462</v>
      </c>
      <c r="H3193" s="14" t="str">
        <f>IFERROR(__xludf.DUMMYFUNCTION("""COMPUTED_VALUE"""),"Eci (SU)")</f>
        <v>Eci (SU)</v>
      </c>
      <c r="I3193" s="13" t="str">
        <f>IFERROR(__xludf.DUMMYFUNCTION("""COMPUTED_VALUE"""),"SELESAI (VIA PERMOHONAN)")</f>
        <v>SELESAI (VIA PERMOHONAN)</v>
      </c>
      <c r="J3193" s="17">
        <f>IFERROR(__xludf.DUMMYFUNCTION("""COMPUTED_VALUE"""),45869.474378935185)</f>
        <v>45869.47438</v>
      </c>
      <c r="K3193" s="13" t="str">
        <f>IFERROR(__xludf.DUMMYFUNCTION("""COMPUTED_VALUE"""),"Selesai")</f>
        <v>Selesai</v>
      </c>
      <c r="L3193" s="17">
        <f>IFERROR(__xludf.DUMMYFUNCTION("""COMPUTED_VALUE"""),45869.474378935185)</f>
        <v>45869.47438</v>
      </c>
      <c r="M3193" s="13"/>
      <c r="N3193" s="13" t="str">
        <f>IFERROR(__xludf.DUMMYFUNCTION("""COMPUTED_VALUE"""),"")</f>
        <v/>
      </c>
      <c r="O3193" s="13" t="str">
        <f t="shared" si="1"/>
        <v/>
      </c>
    </row>
    <row r="3194" ht="22.5" customHeight="1">
      <c r="B3194" s="13">
        <f>IFERROR(__xludf.DUMMYFUNCTION("""COMPUTED_VALUE"""),3189.0)</f>
        <v>3189</v>
      </c>
      <c r="C3194" s="13" t="str">
        <f>IFERROR(__xludf.DUMMYFUNCTION("""COMPUTED_VALUE"""),"M. 1311/ Tanjung Karang")</f>
        <v>M. 1311/ Tanjung Karang</v>
      </c>
      <c r="D3194" s="13" t="str">
        <f>IFERROR(__xludf.DUMMYFUNCTION("""COMPUTED_VALUE"""),"K/35/260525/1")</f>
        <v>K/35/260525/1</v>
      </c>
      <c r="E3194" s="14" t="str">
        <f>IFERROR(__xludf.DUMMYFUNCTION("""COMPUTED_VALUE"""),"Afriza (BT)")</f>
        <v>Afriza (BT)</v>
      </c>
      <c r="F3194" s="14" t="str">
        <f>IFERROR(__xludf.DUMMYFUNCTION("""COMPUTED_VALUE"""),"SELESAI (VIA PERMOHONAN)")</f>
        <v>SELESAI (VIA PERMOHONAN)</v>
      </c>
      <c r="G3194" s="17">
        <f>IFERROR(__xludf.DUMMYFUNCTION("""COMPUTED_VALUE"""),45868.64478453704)</f>
        <v>45868.64478</v>
      </c>
      <c r="H3194" s="14" t="str">
        <f>IFERROR(__xludf.DUMMYFUNCTION("""COMPUTED_VALUE"""),"Eci (SU)")</f>
        <v>Eci (SU)</v>
      </c>
      <c r="I3194" s="13" t="str">
        <f>IFERROR(__xludf.DUMMYFUNCTION("""COMPUTED_VALUE"""),"SELESAI (VIA PERMOHONAN)")</f>
        <v>SELESAI (VIA PERMOHONAN)</v>
      </c>
      <c r="J3194" s="17">
        <f>IFERROR(__xludf.DUMMYFUNCTION("""COMPUTED_VALUE"""),45868.68096038194)</f>
        <v>45868.68096</v>
      </c>
      <c r="K3194" s="13" t="str">
        <f>IFERROR(__xludf.DUMMYFUNCTION("""COMPUTED_VALUE"""),"Selesai")</f>
        <v>Selesai</v>
      </c>
      <c r="L3194" s="17">
        <f>IFERROR(__xludf.DUMMYFUNCTION("""COMPUTED_VALUE"""),45868.68096038194)</f>
        <v>45868.68096</v>
      </c>
      <c r="M3194" s="13"/>
      <c r="N3194" s="13" t="str">
        <f>IFERROR(__xludf.DUMMYFUNCTION("""COMPUTED_VALUE"""),"")</f>
        <v/>
      </c>
      <c r="O3194" s="13" t="str">
        <f t="shared" si="1"/>
        <v/>
      </c>
    </row>
    <row r="3195" ht="22.5" customHeight="1">
      <c r="B3195" s="13">
        <f>IFERROR(__xludf.DUMMYFUNCTION("""COMPUTED_VALUE"""),3190.0)</f>
        <v>3190</v>
      </c>
      <c r="C3195" s="13" t="str">
        <f>IFERROR(__xludf.DUMMYFUNCTION("""COMPUTED_VALUE"""),"M. 542/ Labuhan Dalam")</f>
        <v>M. 542/ Labuhan Dalam</v>
      </c>
      <c r="D3195" s="13" t="str">
        <f>IFERROR(__xludf.DUMMYFUNCTION("""COMPUTED_VALUE"""),"K/18/180725/1")</f>
        <v>K/18/180725/1</v>
      </c>
      <c r="E3195" s="14" t="str">
        <f>IFERROR(__xludf.DUMMYFUNCTION("""COMPUTED_VALUE"""),"Afriza (BT)")</f>
        <v>Afriza (BT)</v>
      </c>
      <c r="F3195" s="14" t="str">
        <f>IFERROR(__xludf.DUMMYFUNCTION("""COMPUTED_VALUE"""),"SELESAI (VIA PERMOHONAN)")</f>
        <v>SELESAI (VIA PERMOHONAN)</v>
      </c>
      <c r="G3195" s="17">
        <f>IFERROR(__xludf.DUMMYFUNCTION("""COMPUTED_VALUE"""),45868.64491541666)</f>
        <v>45868.64492</v>
      </c>
      <c r="H3195" s="14" t="str">
        <f>IFERROR(__xludf.DUMMYFUNCTION("""COMPUTED_VALUE"""),"Eci (SU)")</f>
        <v>Eci (SU)</v>
      </c>
      <c r="I3195" s="13" t="str">
        <f>IFERROR(__xludf.DUMMYFUNCTION("""COMPUTED_VALUE"""),"SELESAI (VIA PERMOHONAN)")</f>
        <v>SELESAI (VIA PERMOHONAN)</v>
      </c>
      <c r="J3195" s="17">
        <f>IFERROR(__xludf.DUMMYFUNCTION("""COMPUTED_VALUE"""),45869.46393430556)</f>
        <v>45869.46393</v>
      </c>
      <c r="K3195" s="13" t="str">
        <f>IFERROR(__xludf.DUMMYFUNCTION("""COMPUTED_VALUE"""),"Selesai")</f>
        <v>Selesai</v>
      </c>
      <c r="L3195" s="17">
        <f>IFERROR(__xludf.DUMMYFUNCTION("""COMPUTED_VALUE"""),45869.46393430556)</f>
        <v>45869.46393</v>
      </c>
      <c r="M3195" s="13"/>
      <c r="N3195" s="13" t="str">
        <f>IFERROR(__xludf.DUMMYFUNCTION("""COMPUTED_VALUE"""),"")</f>
        <v/>
      </c>
      <c r="O3195" s="13" t="str">
        <f t="shared" si="1"/>
        <v/>
      </c>
    </row>
    <row r="3196" ht="22.5" customHeight="1">
      <c r="B3196" s="13">
        <f>IFERROR(__xludf.DUMMYFUNCTION("""COMPUTED_VALUE"""),3191.0)</f>
        <v>3191</v>
      </c>
      <c r="C3196" s="13" t="str">
        <f>IFERROR(__xludf.DUMMYFUNCTION("""COMPUTED_VALUE"""),"M. 2400/ Campang Jaya")</f>
        <v>M. 2400/ Campang Jaya</v>
      </c>
      <c r="D3196" s="13" t="str">
        <f>IFERROR(__xludf.DUMMYFUNCTION("""COMPUTED_VALUE"""),"K/30/070725/1")</f>
        <v>K/30/070725/1</v>
      </c>
      <c r="E3196" s="14" t="str">
        <f>IFERROR(__xludf.DUMMYFUNCTION("""COMPUTED_VALUE"""),"Afriza (BT)")</f>
        <v>Afriza (BT)</v>
      </c>
      <c r="F3196" s="14" t="str">
        <f>IFERROR(__xludf.DUMMYFUNCTION("""COMPUTED_VALUE"""),"SELESAI (VIA PERMOHONAN)")</f>
        <v>SELESAI (VIA PERMOHONAN)</v>
      </c>
      <c r="G3196" s="17">
        <f>IFERROR(__xludf.DUMMYFUNCTION("""COMPUTED_VALUE"""),45868.644977199074)</f>
        <v>45868.64498</v>
      </c>
      <c r="H3196" s="14" t="str">
        <f>IFERROR(__xludf.DUMMYFUNCTION("""COMPUTED_VALUE"""),"Eci (SU)")</f>
        <v>Eci (SU)</v>
      </c>
      <c r="I3196" s="13" t="str">
        <f>IFERROR(__xludf.DUMMYFUNCTION("""COMPUTED_VALUE"""),"SELESAI (VIA PERMOHONAN)")</f>
        <v>SELESAI (VIA PERMOHONAN)</v>
      </c>
      <c r="J3196" s="17">
        <f>IFERROR(__xludf.DUMMYFUNCTION("""COMPUTED_VALUE"""),45868.681028935185)</f>
        <v>45868.68103</v>
      </c>
      <c r="K3196" s="13" t="str">
        <f>IFERROR(__xludf.DUMMYFUNCTION("""COMPUTED_VALUE"""),"Selesai")</f>
        <v>Selesai</v>
      </c>
      <c r="L3196" s="17">
        <f>IFERROR(__xludf.DUMMYFUNCTION("""COMPUTED_VALUE"""),45868.681028935185)</f>
        <v>45868.68103</v>
      </c>
      <c r="M3196" s="13"/>
      <c r="N3196" s="13" t="str">
        <f>IFERROR(__xludf.DUMMYFUNCTION("""COMPUTED_VALUE"""),"")</f>
        <v/>
      </c>
      <c r="O3196" s="13" t="str">
        <f t="shared" si="1"/>
        <v/>
      </c>
    </row>
    <row r="3197" ht="22.5" customHeight="1">
      <c r="B3197" s="13">
        <f>IFERROR(__xludf.DUMMYFUNCTION("""COMPUTED_VALUE"""),3192.0)</f>
        <v>3192</v>
      </c>
      <c r="C3197" s="13" t="str">
        <f>IFERROR(__xludf.DUMMYFUNCTION("""COMPUTED_VALUE"""),"B. 1365/ Pinang Jaya")</f>
        <v>B. 1365/ Pinang Jaya</v>
      </c>
      <c r="D3197" s="13" t="str">
        <f>IFERROR(__xludf.DUMMYFUNCTION("""COMPUTED_VALUE"""),"K/17/150725/1")</f>
        <v>K/17/150725/1</v>
      </c>
      <c r="E3197" s="14" t="str">
        <f>IFERROR(__xludf.DUMMYFUNCTION("""COMPUTED_VALUE"""),"Afriza (BT)")</f>
        <v>Afriza (BT)</v>
      </c>
      <c r="F3197" s="14" t="str">
        <f>IFERROR(__xludf.DUMMYFUNCTION("""COMPUTED_VALUE"""),"SELESAI (VIA PERMOHONAN)")</f>
        <v>SELESAI (VIA PERMOHONAN)</v>
      </c>
      <c r="G3197" s="17">
        <f>IFERROR(__xludf.DUMMYFUNCTION("""COMPUTED_VALUE"""),45868.64511251157)</f>
        <v>45868.64511</v>
      </c>
      <c r="H3197" s="14" t="str">
        <f>IFERROR(__xludf.DUMMYFUNCTION("""COMPUTED_VALUE"""),"Eci (SU)")</f>
        <v>Eci (SU)</v>
      </c>
      <c r="I3197" s="13" t="str">
        <f>IFERROR(__xludf.DUMMYFUNCTION("""COMPUTED_VALUE"""),"SELESAI (VIA PERMOHONAN)")</f>
        <v>SELESAI (VIA PERMOHONAN)</v>
      </c>
      <c r="J3197" s="17">
        <f>IFERROR(__xludf.DUMMYFUNCTION("""COMPUTED_VALUE"""),45869.474787534724)</f>
        <v>45869.47479</v>
      </c>
      <c r="K3197" s="13" t="str">
        <f>IFERROR(__xludf.DUMMYFUNCTION("""COMPUTED_VALUE"""),"Selesai")</f>
        <v>Selesai</v>
      </c>
      <c r="L3197" s="17">
        <f>IFERROR(__xludf.DUMMYFUNCTION("""COMPUTED_VALUE"""),45869.474787534724)</f>
        <v>45869.47479</v>
      </c>
      <c r="M3197" s="13"/>
      <c r="N3197" s="13" t="str">
        <f>IFERROR(__xludf.DUMMYFUNCTION("""COMPUTED_VALUE"""),"")</f>
        <v/>
      </c>
      <c r="O3197" s="13" t="str">
        <f t="shared" si="1"/>
        <v/>
      </c>
    </row>
    <row r="3198" ht="22.5" customHeight="1">
      <c r="B3198" s="13">
        <f>IFERROR(__xludf.DUMMYFUNCTION("""COMPUTED_VALUE"""),3193.0)</f>
        <v>3193</v>
      </c>
      <c r="C3198" s="13" t="str">
        <f>IFERROR(__xludf.DUMMYFUNCTION("""COMPUTED_VALUE"""),"M.6130/WAY KANDIS ")</f>
        <v>M.6130/WAY KANDIS </v>
      </c>
      <c r="D3198" s="13" t="str">
        <f>IFERROR(__xludf.DUMMYFUNCTION("""COMPUTED_VALUE"""),"K/1/210725/1")</f>
        <v>K/1/210725/1</v>
      </c>
      <c r="E3198" s="14" t="str">
        <f>IFERROR(__xludf.DUMMYFUNCTION("""COMPUTED_VALUE"""),"Heri (BT)")</f>
        <v>Heri (BT)</v>
      </c>
      <c r="F3198" s="14" t="str">
        <f>IFERROR(__xludf.DUMMYFUNCTION("""COMPUTED_VALUE"""),"SELESAI (VIA PERMOHONAN)")</f>
        <v>SELESAI (VIA PERMOHONAN)</v>
      </c>
      <c r="G3198" s="17">
        <f>IFERROR(__xludf.DUMMYFUNCTION("""COMPUTED_VALUE"""),45869.45308414352)</f>
        <v>45869.45308</v>
      </c>
      <c r="H3198" s="14" t="str">
        <f>IFERROR(__xludf.DUMMYFUNCTION("""COMPUTED_VALUE"""),"Eci (SU)")</f>
        <v>Eci (SU)</v>
      </c>
      <c r="I3198" s="13" t="str">
        <f>IFERROR(__xludf.DUMMYFUNCTION("""COMPUTED_VALUE"""),"SELESAI (VIA PERMOHONAN)")</f>
        <v>SELESAI (VIA PERMOHONAN)</v>
      </c>
      <c r="J3198" s="17">
        <f>IFERROR(__xludf.DUMMYFUNCTION("""COMPUTED_VALUE"""),45869.51788159722)</f>
        <v>45869.51788</v>
      </c>
      <c r="K3198" s="13" t="str">
        <f>IFERROR(__xludf.DUMMYFUNCTION("""COMPUTED_VALUE"""),"Selesai")</f>
        <v>Selesai</v>
      </c>
      <c r="L3198" s="17">
        <f>IFERROR(__xludf.DUMMYFUNCTION("""COMPUTED_VALUE"""),45869.51788159722)</f>
        <v>45869.51788</v>
      </c>
      <c r="M3198" s="13"/>
      <c r="N3198" s="13" t="str">
        <f>IFERROR(__xludf.DUMMYFUNCTION("""COMPUTED_VALUE"""),"")</f>
        <v/>
      </c>
      <c r="O3198" s="13" t="str">
        <f t="shared" si="1"/>
        <v/>
      </c>
    </row>
    <row r="3199" ht="22.5" customHeight="1">
      <c r="B3199" s="13">
        <f>IFERROR(__xludf.DUMMYFUNCTION("""COMPUTED_VALUE"""),3194.0)</f>
        <v>3194</v>
      </c>
      <c r="C3199" s="13" t="str">
        <f>IFERROR(__xludf.DUMMYFUNCTION("""COMPUTED_VALUE"""),"M.606/BUMI KEDAMAIAN")</f>
        <v>M.606/BUMI KEDAMAIAN</v>
      </c>
      <c r="D3199" s="13" t="str">
        <f>IFERROR(__xludf.DUMMYFUNCTION("""COMPUTED_VALUE"""),"K/32/280725/1")</f>
        <v>K/32/280725/1</v>
      </c>
      <c r="E3199" s="14" t="str">
        <f>IFERROR(__xludf.DUMMYFUNCTION("""COMPUTED_VALUE"""),"Heri (BT)")</f>
        <v>Heri (BT)</v>
      </c>
      <c r="F3199" s="14" t="str">
        <f>IFERROR(__xludf.DUMMYFUNCTION("""COMPUTED_VALUE"""),"SELESAI (VIA PERMOHONAN)")</f>
        <v>SELESAI (VIA PERMOHONAN)</v>
      </c>
      <c r="G3199" s="17">
        <f>IFERROR(__xludf.DUMMYFUNCTION("""COMPUTED_VALUE"""),45869.45322141204)</f>
        <v>45869.45322</v>
      </c>
      <c r="H3199" s="14" t="str">
        <f>IFERROR(__xludf.DUMMYFUNCTION("""COMPUTED_VALUE"""),"Eci (SU)")</f>
        <v>Eci (SU)</v>
      </c>
      <c r="I3199" s="13" t="str">
        <f>IFERROR(__xludf.DUMMYFUNCTION("""COMPUTED_VALUE"""),"SELESAI (VIA PERMOHONAN)")</f>
        <v>SELESAI (VIA PERMOHONAN)</v>
      </c>
      <c r="J3199" s="17">
        <f>IFERROR(__xludf.DUMMYFUNCTION("""COMPUTED_VALUE"""),45869.51794340278)</f>
        <v>45869.51794</v>
      </c>
      <c r="K3199" s="13" t="str">
        <f>IFERROR(__xludf.DUMMYFUNCTION("""COMPUTED_VALUE"""),"Selesai")</f>
        <v>Selesai</v>
      </c>
      <c r="L3199" s="17">
        <f>IFERROR(__xludf.DUMMYFUNCTION("""COMPUTED_VALUE"""),45869.51794340278)</f>
        <v>45869.51794</v>
      </c>
      <c r="M3199" s="13"/>
      <c r="N3199" s="13" t="str">
        <f>IFERROR(__xludf.DUMMYFUNCTION("""COMPUTED_VALUE"""),"")</f>
        <v/>
      </c>
      <c r="O3199" s="13" t="str">
        <f t="shared" si="1"/>
        <v/>
      </c>
    </row>
    <row r="3200" ht="22.5" customHeight="1">
      <c r="B3200" s="13">
        <f>IFERROR(__xludf.DUMMYFUNCTION("""COMPUTED_VALUE"""),3195.0)</f>
        <v>3195</v>
      </c>
      <c r="C3200" s="13" t="str">
        <f>IFERROR(__xludf.DUMMYFUNCTION("""COMPUTED_VALUE"""),"M. 1899/ Sumber Agung")</f>
        <v>M. 1899/ Sumber Agung</v>
      </c>
      <c r="D3200" s="13" t="str">
        <f>IFERROR(__xludf.DUMMYFUNCTION("""COMPUTED_VALUE"""),"K/1/220725/1")</f>
        <v>K/1/220725/1</v>
      </c>
      <c r="E3200" s="14" t="str">
        <f>IFERROR(__xludf.DUMMYFUNCTION("""COMPUTED_VALUE"""),"Heri (BT)")</f>
        <v>Heri (BT)</v>
      </c>
      <c r="F3200" s="14" t="str">
        <f>IFERROR(__xludf.DUMMYFUNCTION("""COMPUTED_VALUE"""),"SELESAI (VIA PERMOHONAN)")</f>
        <v>SELESAI (VIA PERMOHONAN)</v>
      </c>
      <c r="G3200" s="17">
        <f>IFERROR(__xludf.DUMMYFUNCTION("""COMPUTED_VALUE"""),45869.45344982639)</f>
        <v>45869.45345</v>
      </c>
      <c r="H3200" s="14" t="str">
        <f>IFERROR(__xludf.DUMMYFUNCTION("""COMPUTED_VALUE"""),"Eci (SU)")</f>
        <v>Eci (SU)</v>
      </c>
      <c r="I3200" s="13" t="str">
        <f>IFERROR(__xludf.DUMMYFUNCTION("""COMPUTED_VALUE"""),"SELESAI (VIA PERMOHONAN)")</f>
        <v>SELESAI (VIA PERMOHONAN)</v>
      </c>
      <c r="J3200" s="17">
        <f>IFERROR(__xludf.DUMMYFUNCTION("""COMPUTED_VALUE"""),45869.51794340278)</f>
        <v>45869.51794</v>
      </c>
      <c r="K3200" s="13" t="str">
        <f>IFERROR(__xludf.DUMMYFUNCTION("""COMPUTED_VALUE"""),"Selesai")</f>
        <v>Selesai</v>
      </c>
      <c r="L3200" s="17">
        <f>IFERROR(__xludf.DUMMYFUNCTION("""COMPUTED_VALUE"""),45869.51794340278)</f>
        <v>45869.51794</v>
      </c>
      <c r="M3200" s="13"/>
      <c r="N3200" s="13" t="str">
        <f>IFERROR(__xludf.DUMMYFUNCTION("""COMPUTED_VALUE"""),"")</f>
        <v/>
      </c>
      <c r="O3200" s="13" t="str">
        <f t="shared" si="1"/>
        <v/>
      </c>
    </row>
    <row r="3201" ht="22.5" customHeight="1">
      <c r="B3201" s="13">
        <f>IFERROR(__xludf.DUMMYFUNCTION("""COMPUTED_VALUE"""),3196.0)</f>
        <v>3196</v>
      </c>
      <c r="C3201" s="13" t="str">
        <f>IFERROR(__xludf.DUMMYFUNCTION("""COMPUTED_VALUE"""),"M. 9753/ Sidodadi")</f>
        <v>M. 9753/ Sidodadi</v>
      </c>
      <c r="D3201" s="13" t="str">
        <f>IFERROR(__xludf.DUMMYFUNCTION("""COMPUTED_VALUE"""),"K/17/030725/1")</f>
        <v>K/17/030725/1</v>
      </c>
      <c r="E3201" s="14" t="str">
        <f>IFERROR(__xludf.DUMMYFUNCTION("""COMPUTED_VALUE"""),"Heri (BT)")</f>
        <v>Heri (BT)</v>
      </c>
      <c r="F3201" s="14" t="str">
        <f>IFERROR(__xludf.DUMMYFUNCTION("""COMPUTED_VALUE"""),"SELESAI (VIA PERMOHONAN)")</f>
        <v>SELESAI (VIA PERMOHONAN)</v>
      </c>
      <c r="G3201" s="17">
        <f>IFERROR(__xludf.DUMMYFUNCTION("""COMPUTED_VALUE"""),45869.45353275463)</f>
        <v>45869.45353</v>
      </c>
      <c r="H3201" s="14" t="str">
        <f>IFERROR(__xludf.DUMMYFUNCTION("""COMPUTED_VALUE"""),"Eci (SU)")</f>
        <v>Eci (SU)</v>
      </c>
      <c r="I3201" s="13" t="str">
        <f>IFERROR(__xludf.DUMMYFUNCTION("""COMPUTED_VALUE"""),"SELESAI (VIA PERMOHONAN)")</f>
        <v>SELESAI (VIA PERMOHONAN)</v>
      </c>
      <c r="J3201" s="17">
        <f>IFERROR(__xludf.DUMMYFUNCTION("""COMPUTED_VALUE"""),45869.51794340278)</f>
        <v>45869.51794</v>
      </c>
      <c r="K3201" s="13" t="str">
        <f>IFERROR(__xludf.DUMMYFUNCTION("""COMPUTED_VALUE"""),"Selesai")</f>
        <v>Selesai</v>
      </c>
      <c r="L3201" s="17">
        <f>IFERROR(__xludf.DUMMYFUNCTION("""COMPUTED_VALUE"""),45869.51794340278)</f>
        <v>45869.51794</v>
      </c>
      <c r="M3201" s="13"/>
      <c r="N3201" s="13" t="str">
        <f>IFERROR(__xludf.DUMMYFUNCTION("""COMPUTED_VALUE"""),"")</f>
        <v/>
      </c>
      <c r="O3201" s="13" t="str">
        <f t="shared" si="1"/>
        <v/>
      </c>
    </row>
    <row r="3202" ht="22.5" customHeight="1">
      <c r="B3202" s="13">
        <f>IFERROR(__xludf.DUMMYFUNCTION("""COMPUTED_VALUE"""),3197.0)</f>
        <v>3197</v>
      </c>
      <c r="C3202" s="13" t="str">
        <f>IFERROR(__xludf.DUMMYFUNCTION("""COMPUTED_VALUE"""),"M. 1867/ Rajabasa Nunyai")</f>
        <v>M. 1867/ Rajabasa Nunyai</v>
      </c>
      <c r="D3202" s="13" t="str">
        <f>IFERROR(__xludf.DUMMYFUNCTION("""COMPUTED_VALUE"""),"K/30/110725/1")</f>
        <v>K/30/110725/1</v>
      </c>
      <c r="E3202" s="14" t="str">
        <f>IFERROR(__xludf.DUMMYFUNCTION("""COMPUTED_VALUE"""),"Heri (BT)")</f>
        <v>Heri (BT)</v>
      </c>
      <c r="F3202" s="14" t="str">
        <f>IFERROR(__xludf.DUMMYFUNCTION("""COMPUTED_VALUE"""),"SELESAI (VIA PERMOHONAN)")</f>
        <v>SELESAI (VIA PERMOHONAN)</v>
      </c>
      <c r="G3202" s="17">
        <f>IFERROR(__xludf.DUMMYFUNCTION("""COMPUTED_VALUE"""),45869.453704513886)</f>
        <v>45869.4537</v>
      </c>
      <c r="H3202" s="14" t="str">
        <f>IFERROR(__xludf.DUMMYFUNCTION("""COMPUTED_VALUE"""),"Eci (SU)")</f>
        <v>Eci (SU)</v>
      </c>
      <c r="I3202" s="13" t="str">
        <f>IFERROR(__xludf.DUMMYFUNCTION("""COMPUTED_VALUE"""),"SELESAI (VIA PERMOHONAN)")</f>
        <v>SELESAI (VIA PERMOHONAN)</v>
      </c>
      <c r="J3202" s="17">
        <f>IFERROR(__xludf.DUMMYFUNCTION("""COMPUTED_VALUE"""),45869.58130974537)</f>
        <v>45869.58131</v>
      </c>
      <c r="K3202" s="13" t="str">
        <f>IFERROR(__xludf.DUMMYFUNCTION("""COMPUTED_VALUE"""),"Selesai")</f>
        <v>Selesai</v>
      </c>
      <c r="L3202" s="17">
        <f>IFERROR(__xludf.DUMMYFUNCTION("""COMPUTED_VALUE"""),45869.58130974537)</f>
        <v>45869.58131</v>
      </c>
      <c r="M3202" s="13"/>
      <c r="N3202" s="13" t="str">
        <f>IFERROR(__xludf.DUMMYFUNCTION("""COMPUTED_VALUE"""),"")</f>
        <v/>
      </c>
      <c r="O3202" s="13" t="str">
        <f t="shared" si="1"/>
        <v/>
      </c>
    </row>
    <row r="3203" ht="22.5" customHeight="1">
      <c r="B3203" s="13">
        <f>IFERROR(__xludf.DUMMYFUNCTION("""COMPUTED_VALUE"""),3198.0)</f>
        <v>3198</v>
      </c>
      <c r="C3203" s="13" t="str">
        <f>IFERROR(__xludf.DUMMYFUNCTION("""COMPUTED_VALUE"""),"M. 3737/ Tj Seneng")</f>
        <v>M. 3737/ Tj Seneng</v>
      </c>
      <c r="D3203" s="13" t="str">
        <f>IFERROR(__xludf.DUMMYFUNCTION("""COMPUTED_VALUE"""),"K/27/280725/1")</f>
        <v>K/27/280725/1</v>
      </c>
      <c r="E3203" s="14" t="str">
        <f>IFERROR(__xludf.DUMMYFUNCTION("""COMPUTED_VALUE"""),"Heri (BT)")</f>
        <v>Heri (BT)</v>
      </c>
      <c r="F3203" s="14" t="str">
        <f>IFERROR(__xludf.DUMMYFUNCTION("""COMPUTED_VALUE"""),"SELESAI (VIA PERMOHONAN)")</f>
        <v>SELESAI (VIA PERMOHONAN)</v>
      </c>
      <c r="G3203" s="17">
        <f>IFERROR(__xludf.DUMMYFUNCTION("""COMPUTED_VALUE"""),45869.453841863426)</f>
        <v>45869.45384</v>
      </c>
      <c r="H3203" s="14" t="str">
        <f>IFERROR(__xludf.DUMMYFUNCTION("""COMPUTED_VALUE"""),"Eci (SU)")</f>
        <v>Eci (SU)</v>
      </c>
      <c r="I3203" s="13" t="str">
        <f>IFERROR(__xludf.DUMMYFUNCTION("""COMPUTED_VALUE"""),"SELESAI (VIA PERMOHONAN)")</f>
        <v>SELESAI (VIA PERMOHONAN)</v>
      </c>
      <c r="J3203" s="17">
        <f>IFERROR(__xludf.DUMMYFUNCTION("""COMPUTED_VALUE"""),45869.51794340278)</f>
        <v>45869.51794</v>
      </c>
      <c r="K3203" s="13" t="str">
        <f>IFERROR(__xludf.DUMMYFUNCTION("""COMPUTED_VALUE"""),"Selesai")</f>
        <v>Selesai</v>
      </c>
      <c r="L3203" s="17">
        <f>IFERROR(__xludf.DUMMYFUNCTION("""COMPUTED_VALUE"""),45869.51794340278)</f>
        <v>45869.51794</v>
      </c>
      <c r="M3203" s="13"/>
      <c r="N3203" s="13" t="str">
        <f>IFERROR(__xludf.DUMMYFUNCTION("""COMPUTED_VALUE"""),"")</f>
        <v/>
      </c>
      <c r="O3203" s="13" t="str">
        <f t="shared" si="1"/>
        <v/>
      </c>
    </row>
    <row r="3204" ht="22.5" customHeight="1">
      <c r="B3204" s="13">
        <f>IFERROR(__xludf.DUMMYFUNCTION("""COMPUTED_VALUE"""),3199.0)</f>
        <v>3199</v>
      </c>
      <c r="C3204" s="13" t="str">
        <f>IFERROR(__xludf.DUMMYFUNCTION("""COMPUTED_VALUE"""),"M. 1634/ Rajabsa Pemuka")</f>
        <v>M. 1634/ Rajabsa Pemuka</v>
      </c>
      <c r="D3204" s="13" t="str">
        <f>IFERROR(__xludf.DUMMYFUNCTION("""COMPUTED_VALUE"""),"K/44/190625/2")</f>
        <v>K/44/190625/2</v>
      </c>
      <c r="E3204" s="14" t="str">
        <f>IFERROR(__xludf.DUMMYFUNCTION("""COMPUTED_VALUE"""),"Heri (BT)")</f>
        <v>Heri (BT)</v>
      </c>
      <c r="F3204" s="14" t="str">
        <f>IFERROR(__xludf.DUMMYFUNCTION("""COMPUTED_VALUE"""),"SELESAI (VIA PERMOHONAN)")</f>
        <v>SELESAI (VIA PERMOHONAN)</v>
      </c>
      <c r="G3204" s="17">
        <f>IFERROR(__xludf.DUMMYFUNCTION("""COMPUTED_VALUE"""),45869.45404081019)</f>
        <v>45869.45404</v>
      </c>
      <c r="H3204" s="14" t="str">
        <f>IFERROR(__xludf.DUMMYFUNCTION("""COMPUTED_VALUE"""),"Eci (SU)")</f>
        <v>Eci (SU)</v>
      </c>
      <c r="I3204" s="13" t="str">
        <f>IFERROR(__xludf.DUMMYFUNCTION("""COMPUTED_VALUE"""),"SELESAI (VIA PERMOHONAN)")</f>
        <v>SELESAI (VIA PERMOHONAN)</v>
      </c>
      <c r="J3204" s="17">
        <f>IFERROR(__xludf.DUMMYFUNCTION("""COMPUTED_VALUE"""),45869.5179621412)</f>
        <v>45869.51796</v>
      </c>
      <c r="K3204" s="13" t="str">
        <f>IFERROR(__xludf.DUMMYFUNCTION("""COMPUTED_VALUE"""),"Selesai")</f>
        <v>Selesai</v>
      </c>
      <c r="L3204" s="17">
        <f>IFERROR(__xludf.DUMMYFUNCTION("""COMPUTED_VALUE"""),45869.5179621412)</f>
        <v>45869.51796</v>
      </c>
      <c r="M3204" s="13"/>
      <c r="N3204" s="13" t="str">
        <f>IFERROR(__xludf.DUMMYFUNCTION("""COMPUTED_VALUE"""),"")</f>
        <v/>
      </c>
      <c r="O3204" s="13" t="str">
        <f t="shared" si="1"/>
        <v/>
      </c>
    </row>
    <row r="3205" ht="22.5" customHeight="1">
      <c r="B3205" s="13">
        <f>IFERROR(__xludf.DUMMYFUNCTION("""COMPUTED_VALUE"""),3200.0)</f>
        <v>3200</v>
      </c>
      <c r="C3205" s="13" t="str">
        <f>IFERROR(__xludf.DUMMYFUNCTION("""COMPUTED_VALUE"""),"M. 2873/SUKARAME BARU")</f>
        <v>M. 2873/SUKARAME BARU</v>
      </c>
      <c r="D3205" s="13" t="str">
        <f>IFERROR(__xludf.DUMMYFUNCTION("""COMPUTED_VALUE"""),"K/36/160725/2")</f>
        <v>K/36/160725/2</v>
      </c>
      <c r="E3205" s="14" t="str">
        <f>IFERROR(__xludf.DUMMYFUNCTION("""COMPUTED_VALUE"""),"Heri (BT)")</f>
        <v>Heri (BT)</v>
      </c>
      <c r="F3205" s="14" t="str">
        <f>IFERROR(__xludf.DUMMYFUNCTION("""COMPUTED_VALUE"""),"SELESAI (VIA PERMOHONAN)")</f>
        <v>SELESAI (VIA PERMOHONAN)</v>
      </c>
      <c r="G3205" s="17">
        <f>IFERROR(__xludf.DUMMYFUNCTION("""COMPUTED_VALUE"""),45869.454196701394)</f>
        <v>45869.4542</v>
      </c>
      <c r="H3205" s="14" t="str">
        <f>IFERROR(__xludf.DUMMYFUNCTION("""COMPUTED_VALUE"""),"Eci (SU)")</f>
        <v>Eci (SU)</v>
      </c>
      <c r="I3205" s="13" t="str">
        <f>IFERROR(__xludf.DUMMYFUNCTION("""COMPUTED_VALUE"""),"SELESAI (VIA PERMOHONAN)")</f>
        <v>SELESAI (VIA PERMOHONAN)</v>
      </c>
      <c r="J3205" s="17">
        <f>IFERROR(__xludf.DUMMYFUNCTION("""COMPUTED_VALUE"""),45869.5179621412)</f>
        <v>45869.51796</v>
      </c>
      <c r="K3205" s="13" t="str">
        <f>IFERROR(__xludf.DUMMYFUNCTION("""COMPUTED_VALUE"""),"Selesai")</f>
        <v>Selesai</v>
      </c>
      <c r="L3205" s="17">
        <f>IFERROR(__xludf.DUMMYFUNCTION("""COMPUTED_VALUE"""),45869.5179621412)</f>
        <v>45869.51796</v>
      </c>
      <c r="M3205" s="13"/>
      <c r="N3205" s="13" t="str">
        <f>IFERROR(__xludf.DUMMYFUNCTION("""COMPUTED_VALUE"""),"")</f>
        <v/>
      </c>
      <c r="O3205" s="13" t="str">
        <f t="shared" si="1"/>
        <v/>
      </c>
    </row>
    <row r="3206" ht="22.5" customHeight="1">
      <c r="B3206" s="13">
        <f>IFERROR(__xludf.DUMMYFUNCTION("""COMPUTED_VALUE"""),3201.0)</f>
        <v>3201</v>
      </c>
      <c r="C3206" s="13" t="str">
        <f>IFERROR(__xludf.DUMMYFUNCTION("""COMPUTED_VALUE"""),"M. 2875/SUKARAME BARU")</f>
        <v>M. 2875/SUKARAME BARU</v>
      </c>
      <c r="D3206" s="13" t="str">
        <f>IFERROR(__xludf.DUMMYFUNCTION("""COMPUTED_VALUE"""),"K/35/160725/1")</f>
        <v>K/35/160725/1</v>
      </c>
      <c r="E3206" s="14" t="str">
        <f>IFERROR(__xludf.DUMMYFUNCTION("""COMPUTED_VALUE"""),"Heri (BT)")</f>
        <v>Heri (BT)</v>
      </c>
      <c r="F3206" s="14" t="str">
        <f>IFERROR(__xludf.DUMMYFUNCTION("""COMPUTED_VALUE"""),"SELESAI (VIA PERMOHONAN)")</f>
        <v>SELESAI (VIA PERMOHONAN)</v>
      </c>
      <c r="G3206" s="17">
        <f>IFERROR(__xludf.DUMMYFUNCTION("""COMPUTED_VALUE"""),45869.45431855324)</f>
        <v>45869.45432</v>
      </c>
      <c r="H3206" s="14" t="str">
        <f>IFERROR(__xludf.DUMMYFUNCTION("""COMPUTED_VALUE"""),"Eci (SU)")</f>
        <v>Eci (SU)</v>
      </c>
      <c r="I3206" s="13" t="str">
        <f>IFERROR(__xludf.DUMMYFUNCTION("""COMPUTED_VALUE"""),"SELESAI (VIA PERMOHONAN)")</f>
        <v>SELESAI (VIA PERMOHONAN)</v>
      </c>
      <c r="J3206" s="17">
        <f>IFERROR(__xludf.DUMMYFUNCTION("""COMPUTED_VALUE"""),45869.5179621412)</f>
        <v>45869.51796</v>
      </c>
      <c r="K3206" s="13" t="str">
        <f>IFERROR(__xludf.DUMMYFUNCTION("""COMPUTED_VALUE"""),"Selesai")</f>
        <v>Selesai</v>
      </c>
      <c r="L3206" s="17">
        <f>IFERROR(__xludf.DUMMYFUNCTION("""COMPUTED_VALUE"""),45869.5179621412)</f>
        <v>45869.51796</v>
      </c>
      <c r="M3206" s="13"/>
      <c r="N3206" s="13" t="str">
        <f>IFERROR(__xludf.DUMMYFUNCTION("""COMPUTED_VALUE"""),"")</f>
        <v/>
      </c>
      <c r="O3206" s="13" t="str">
        <f t="shared" si="1"/>
        <v/>
      </c>
    </row>
    <row r="3207" ht="22.5" customHeight="1">
      <c r="B3207" s="13">
        <f>IFERROR(__xludf.DUMMYFUNCTION("""COMPUTED_VALUE"""),3202.0)</f>
        <v>3202</v>
      </c>
      <c r="C3207" s="13" t="str">
        <f>IFERROR(__xludf.DUMMYFUNCTION("""COMPUTED_VALUE"""),"HM 2059/SUMBEREJO K")</f>
        <v>HM 2059/SUMBEREJO K</v>
      </c>
      <c r="D3207" s="13" t="str">
        <f>IFERROR(__xludf.DUMMYFUNCTION("""COMPUTED_VALUE"""),"L/20/210725/1")</f>
        <v>L/20/210725/1</v>
      </c>
      <c r="E3207" s="14" t="str">
        <f>IFERROR(__xludf.DUMMYFUNCTION("""COMPUTED_VALUE"""),"Heri (BT)")</f>
        <v>Heri (BT)</v>
      </c>
      <c r="F3207" s="14" t="str">
        <f>IFERROR(__xludf.DUMMYFUNCTION("""COMPUTED_VALUE"""),"SELESAI (VIA PERMOHONAN)")</f>
        <v>SELESAI (VIA PERMOHONAN)</v>
      </c>
      <c r="G3207" s="17">
        <f>IFERROR(__xludf.DUMMYFUNCTION("""COMPUTED_VALUE"""),45869.45448559028)</f>
        <v>45869.45449</v>
      </c>
      <c r="H3207" s="14" t="str">
        <f>IFERROR(__xludf.DUMMYFUNCTION("""COMPUTED_VALUE"""),"Eci (SU)")</f>
        <v>Eci (SU)</v>
      </c>
      <c r="I3207" s="13" t="str">
        <f>IFERROR(__xludf.DUMMYFUNCTION("""COMPUTED_VALUE"""),"SELESAI (VIA PERMOHONAN)")</f>
        <v>SELESAI (VIA PERMOHONAN)</v>
      </c>
      <c r="J3207" s="17">
        <f>IFERROR(__xludf.DUMMYFUNCTION("""COMPUTED_VALUE"""),45869.5179621412)</f>
        <v>45869.51796</v>
      </c>
      <c r="K3207" s="13" t="str">
        <f>IFERROR(__xludf.DUMMYFUNCTION("""COMPUTED_VALUE"""),"Selesai")</f>
        <v>Selesai</v>
      </c>
      <c r="L3207" s="17">
        <f>IFERROR(__xludf.DUMMYFUNCTION("""COMPUTED_VALUE"""),45869.5179621412)</f>
        <v>45869.51796</v>
      </c>
      <c r="M3207" s="13"/>
      <c r="N3207" s="13" t="str">
        <f>IFERROR(__xludf.DUMMYFUNCTION("""COMPUTED_VALUE"""),"")</f>
        <v/>
      </c>
      <c r="O3207" s="13" t="str">
        <f t="shared" si="1"/>
        <v/>
      </c>
    </row>
    <row r="3208" ht="22.5" customHeight="1">
      <c r="B3208" s="13">
        <f>IFERROR(__xludf.DUMMYFUNCTION("""COMPUTED_VALUE"""),3203.0)</f>
        <v>3203</v>
      </c>
      <c r="C3208" s="13" t="str">
        <f>IFERROR(__xludf.DUMMYFUNCTION("""COMPUTED_VALUE"""),"HM 656/NOG")</f>
        <v>HM 656/NOG</v>
      </c>
      <c r="D3208" s="13" t="str">
        <f>IFERROR(__xludf.DUMMYFUNCTION("""COMPUTED_VALUE"""),"L/23/170725/1")</f>
        <v>L/23/170725/1</v>
      </c>
      <c r="E3208" s="14" t="str">
        <f>IFERROR(__xludf.DUMMYFUNCTION("""COMPUTED_VALUE"""),"Heri (BT)")</f>
        <v>Heri (BT)</v>
      </c>
      <c r="F3208" s="14" t="str">
        <f>IFERROR(__xludf.DUMMYFUNCTION("""COMPUTED_VALUE"""),"SELESAI (VIA PERMOHONAN)")</f>
        <v>SELESAI (VIA PERMOHONAN)</v>
      </c>
      <c r="G3208" s="17">
        <f>IFERROR(__xludf.DUMMYFUNCTION("""COMPUTED_VALUE"""),45869.454592372684)</f>
        <v>45869.45459</v>
      </c>
      <c r="H3208" s="14" t="str">
        <f>IFERROR(__xludf.DUMMYFUNCTION("""COMPUTED_VALUE"""),"Eci (SU)")</f>
        <v>Eci (SU)</v>
      </c>
      <c r="I3208" s="13" t="str">
        <f>IFERROR(__xludf.DUMMYFUNCTION("""COMPUTED_VALUE"""),"SELESAI (VIA PERMOHONAN)")</f>
        <v>SELESAI (VIA PERMOHONAN)</v>
      </c>
      <c r="J3208" s="17">
        <f>IFERROR(__xludf.DUMMYFUNCTION("""COMPUTED_VALUE"""),45869.5179621412)</f>
        <v>45869.51796</v>
      </c>
      <c r="K3208" s="13" t="str">
        <f>IFERROR(__xludf.DUMMYFUNCTION("""COMPUTED_VALUE"""),"Selesai")</f>
        <v>Selesai</v>
      </c>
      <c r="L3208" s="17">
        <f>IFERROR(__xludf.DUMMYFUNCTION("""COMPUTED_VALUE"""),45869.5179621412)</f>
        <v>45869.51796</v>
      </c>
      <c r="M3208" s="13"/>
      <c r="N3208" s="13" t="str">
        <f>IFERROR(__xludf.DUMMYFUNCTION("""COMPUTED_VALUE"""),"")</f>
        <v/>
      </c>
      <c r="O3208" s="13" t="str">
        <f t="shared" si="1"/>
        <v/>
      </c>
    </row>
    <row r="3209" ht="22.5" customHeight="1">
      <c r="B3209" s="13">
        <f>IFERROR(__xludf.DUMMYFUNCTION("""COMPUTED_VALUE"""),3204.0)</f>
        <v>3204</v>
      </c>
      <c r="C3209" s="13" t="str">
        <f>IFERROR(__xludf.DUMMYFUNCTION("""COMPUTED_VALUE"""),"M. 10785/ Gedong Meneng")</f>
        <v>M. 10785/ Gedong Meneng</v>
      </c>
      <c r="D3209" s="13" t="str">
        <f>IFERROR(__xludf.DUMMYFUNCTION("""COMPUTED_VALUE"""),"K/35/220725/2")</f>
        <v>K/35/220725/2</v>
      </c>
      <c r="E3209" s="14" t="str">
        <f>IFERROR(__xludf.DUMMYFUNCTION("""COMPUTED_VALUE"""),"Afriza (BT)")</f>
        <v>Afriza (BT)</v>
      </c>
      <c r="F3209" s="14" t="str">
        <f>IFERROR(__xludf.DUMMYFUNCTION("""COMPUTED_VALUE"""),"SELESAI (VIA PERMOHONAN)")</f>
        <v>SELESAI (VIA PERMOHONAN)</v>
      </c>
      <c r="G3209" s="17">
        <f>IFERROR(__xludf.DUMMYFUNCTION("""COMPUTED_VALUE"""),45870.5411366551)</f>
        <v>45870.54114</v>
      </c>
      <c r="H3209" s="14" t="str">
        <f>IFERROR(__xludf.DUMMYFUNCTION("""COMPUTED_VALUE"""),"Admin (Migrasi)")</f>
        <v>Admin (Migrasi)</v>
      </c>
      <c r="I3209" s="13" t="str">
        <f>IFERROR(__xludf.DUMMYFUNCTION("""COMPUTED_VALUE"""),"SELESAI (VIA PERMOHONAN)")</f>
        <v>SELESAI (VIA PERMOHONAN)</v>
      </c>
      <c r="J3209" s="17">
        <f>IFERROR(__xludf.DUMMYFUNCTION("""COMPUTED_VALUE"""),45870.54124583333)</f>
        <v>45870.54125</v>
      </c>
      <c r="K3209" s="13" t="str">
        <f>IFERROR(__xludf.DUMMYFUNCTION("""COMPUTED_VALUE"""),"Selesai")</f>
        <v>Selesai</v>
      </c>
      <c r="L3209" s="17">
        <f>IFERROR(__xludf.DUMMYFUNCTION("""COMPUTED_VALUE"""),45870.54124583333)</f>
        <v>45870.54125</v>
      </c>
      <c r="M3209" s="13"/>
      <c r="N3209" s="13" t="str">
        <f>IFERROR(__xludf.DUMMYFUNCTION("""COMPUTED_VALUE"""),"")</f>
        <v/>
      </c>
      <c r="O3209" s="13" t="str">
        <f t="shared" si="1"/>
        <v/>
      </c>
    </row>
    <row r="3210" ht="22.5" customHeight="1">
      <c r="B3210" s="13">
        <f>IFERROR(__xludf.DUMMYFUNCTION("""COMPUTED_VALUE"""),3205.0)</f>
        <v>3205</v>
      </c>
      <c r="C3210" s="13" t="str">
        <f>IFERROR(__xludf.DUMMYFUNCTION("""COMPUTED_VALUE"""),"M.2169/SEPANG JAYA")</f>
        <v>M.2169/SEPANG JAYA</v>
      </c>
      <c r="D3210" s="13" t="str">
        <f>IFERROR(__xludf.DUMMYFUNCTION("""COMPUTED_VALUE"""),"K/32/210725/2")</f>
        <v>K/32/210725/2</v>
      </c>
      <c r="E3210" s="14" t="str">
        <f>IFERROR(__xludf.DUMMYFUNCTION("""COMPUTED_VALUE"""),"Heri (BT)")</f>
        <v>Heri (BT)</v>
      </c>
      <c r="F3210" s="14" t="str">
        <f>IFERROR(__xludf.DUMMYFUNCTION("""COMPUTED_VALUE"""),"SELESAI (VIA PERMOHONAN)")</f>
        <v>SELESAI (VIA PERMOHONAN)</v>
      </c>
      <c r="G3210" s="17">
        <f>IFERROR(__xludf.DUMMYFUNCTION("""COMPUTED_VALUE"""),45874.36561445602)</f>
        <v>45874.36561</v>
      </c>
      <c r="H3210" s="14" t="str">
        <f>IFERROR(__xludf.DUMMYFUNCTION("""COMPUTED_VALUE"""),"Eci (SU)")</f>
        <v>Eci (SU)</v>
      </c>
      <c r="I3210" s="13" t="str">
        <f>IFERROR(__xludf.DUMMYFUNCTION("""COMPUTED_VALUE"""),"SELESAI (VIA PERMOHONAN)")</f>
        <v>SELESAI (VIA PERMOHONAN)</v>
      </c>
      <c r="J3210" s="17">
        <f>IFERROR(__xludf.DUMMYFUNCTION("""COMPUTED_VALUE"""),45874.680135057875)</f>
        <v>45874.68014</v>
      </c>
      <c r="K3210" s="13" t="str">
        <f>IFERROR(__xludf.DUMMYFUNCTION("""COMPUTED_VALUE"""),"Selesai")</f>
        <v>Selesai</v>
      </c>
      <c r="L3210" s="17">
        <f>IFERROR(__xludf.DUMMYFUNCTION("""COMPUTED_VALUE"""),45874.680135057875)</f>
        <v>45874.68014</v>
      </c>
      <c r="M3210" s="13"/>
      <c r="N3210" s="13" t="str">
        <f>IFERROR(__xludf.DUMMYFUNCTION("""COMPUTED_VALUE"""),"")</f>
        <v/>
      </c>
      <c r="O3210" s="13" t="str">
        <f t="shared" si="1"/>
        <v/>
      </c>
    </row>
    <row r="3211" ht="22.5" customHeight="1">
      <c r="B3211" s="13">
        <f>IFERROR(__xludf.DUMMYFUNCTION("""COMPUTED_VALUE"""),3206.0)</f>
        <v>3206</v>
      </c>
      <c r="C3211" s="13" t="str">
        <f>IFERROR(__xludf.DUMMYFUNCTION("""COMPUTED_VALUE"""),"M.13176/RAJABASA")</f>
        <v>M.13176/RAJABASA</v>
      </c>
      <c r="D3211" s="13" t="str">
        <f>IFERROR(__xludf.DUMMYFUNCTION("""COMPUTED_VALUE"""),"K/2/180725/1")</f>
        <v>K/2/180725/1</v>
      </c>
      <c r="E3211" s="14" t="str">
        <f>IFERROR(__xludf.DUMMYFUNCTION("""COMPUTED_VALUE"""),"Heri (BT)")</f>
        <v>Heri (BT)</v>
      </c>
      <c r="F3211" s="14" t="str">
        <f>IFERROR(__xludf.DUMMYFUNCTION("""COMPUTED_VALUE"""),"SELESAI (VIA PERMOHONAN)")</f>
        <v>SELESAI (VIA PERMOHONAN)</v>
      </c>
      <c r="G3211" s="17">
        <f>IFERROR(__xludf.DUMMYFUNCTION("""COMPUTED_VALUE"""),45874.36574542824)</f>
        <v>45874.36575</v>
      </c>
      <c r="H3211" s="14" t="str">
        <f>IFERROR(__xludf.DUMMYFUNCTION("""COMPUTED_VALUE"""),"Eci (SU)")</f>
        <v>Eci (SU)</v>
      </c>
      <c r="I3211" s="13" t="str">
        <f>IFERROR(__xludf.DUMMYFUNCTION("""COMPUTED_VALUE"""),"SELESAI (VIA PERMOHONAN)")</f>
        <v>SELESAI (VIA PERMOHONAN)</v>
      </c>
      <c r="J3211" s="17">
        <f>IFERROR(__xludf.DUMMYFUNCTION("""COMPUTED_VALUE"""),45874.68069065972)</f>
        <v>45874.68069</v>
      </c>
      <c r="K3211" s="13" t="str">
        <f>IFERROR(__xludf.DUMMYFUNCTION("""COMPUTED_VALUE"""),"Selesai")</f>
        <v>Selesai</v>
      </c>
      <c r="L3211" s="17">
        <f>IFERROR(__xludf.DUMMYFUNCTION("""COMPUTED_VALUE"""),45874.68069065972)</f>
        <v>45874.68069</v>
      </c>
      <c r="M3211" s="13"/>
      <c r="N3211" s="13" t="str">
        <f>IFERROR(__xludf.DUMMYFUNCTION("""COMPUTED_VALUE"""),"")</f>
        <v/>
      </c>
      <c r="O3211" s="13" t="str">
        <f t="shared" si="1"/>
        <v/>
      </c>
    </row>
    <row r="3212" ht="22.5" customHeight="1">
      <c r="B3212" s="13">
        <f>IFERROR(__xludf.DUMMYFUNCTION("""COMPUTED_VALUE"""),3207.0)</f>
        <v>3207</v>
      </c>
      <c r="C3212" s="13" t="str">
        <f>IFERROR(__xludf.DUMMYFUNCTION("""COMPUTED_VALUE"""),"M. 1050/ Gunung Agung")</f>
        <v>M. 1050/ Gunung Agung</v>
      </c>
      <c r="D3212" s="13" t="str">
        <f>IFERROR(__xludf.DUMMYFUNCTION("""COMPUTED_VALUE"""),"K/29/220725/1")</f>
        <v>K/29/220725/1</v>
      </c>
      <c r="E3212" s="14" t="str">
        <f>IFERROR(__xludf.DUMMYFUNCTION("""COMPUTED_VALUE"""),"Heri (BT)")</f>
        <v>Heri (BT)</v>
      </c>
      <c r="F3212" s="14" t="str">
        <f>IFERROR(__xludf.DUMMYFUNCTION("""COMPUTED_VALUE"""),"SELESAI (VIA PERMOHONAN)")</f>
        <v>SELESAI (VIA PERMOHONAN)</v>
      </c>
      <c r="G3212" s="17">
        <f>IFERROR(__xludf.DUMMYFUNCTION("""COMPUTED_VALUE"""),45874.365903171296)</f>
        <v>45874.3659</v>
      </c>
      <c r="H3212" s="14" t="str">
        <f>IFERROR(__xludf.DUMMYFUNCTION("""COMPUTED_VALUE"""),"Eci (SU)")</f>
        <v>Eci (SU)</v>
      </c>
      <c r="I3212" s="13" t="str">
        <f>IFERROR(__xludf.DUMMYFUNCTION("""COMPUTED_VALUE"""),"SELESAI (VIA PERMOHONAN)")</f>
        <v>SELESAI (VIA PERMOHONAN)</v>
      </c>
      <c r="J3212" s="17">
        <f>IFERROR(__xludf.DUMMYFUNCTION("""COMPUTED_VALUE"""),45874.68069065972)</f>
        <v>45874.68069</v>
      </c>
      <c r="K3212" s="13" t="str">
        <f>IFERROR(__xludf.DUMMYFUNCTION("""COMPUTED_VALUE"""),"Selesai")</f>
        <v>Selesai</v>
      </c>
      <c r="L3212" s="17">
        <f>IFERROR(__xludf.DUMMYFUNCTION("""COMPUTED_VALUE"""),45874.68069065972)</f>
        <v>45874.68069</v>
      </c>
      <c r="M3212" s="13"/>
      <c r="N3212" s="13" t="str">
        <f>IFERROR(__xludf.DUMMYFUNCTION("""COMPUTED_VALUE"""),"")</f>
        <v/>
      </c>
      <c r="O3212" s="13" t="str">
        <f t="shared" si="1"/>
        <v/>
      </c>
    </row>
    <row r="3213" ht="22.5" customHeight="1">
      <c r="B3213" s="13">
        <f>IFERROR(__xludf.DUMMYFUNCTION("""COMPUTED_VALUE"""),3208.0)</f>
        <v>3208</v>
      </c>
      <c r="C3213" s="13" t="str">
        <f>IFERROR(__xludf.DUMMYFUNCTION("""COMPUTED_VALUE"""),"M. 4721/ Rajabasa Jaya")</f>
        <v>M. 4721/ Rajabasa Jaya</v>
      </c>
      <c r="D3213" s="13" t="str">
        <f>IFERROR(__xludf.DUMMYFUNCTION("""COMPUTED_VALUE"""),"K/31/010725/1")</f>
        <v>K/31/010725/1</v>
      </c>
      <c r="E3213" s="14" t="str">
        <f>IFERROR(__xludf.DUMMYFUNCTION("""COMPUTED_VALUE"""),"Heri (BT)")</f>
        <v>Heri (BT)</v>
      </c>
      <c r="F3213" s="14" t="str">
        <f>IFERROR(__xludf.DUMMYFUNCTION("""COMPUTED_VALUE"""),"SELESAI (VIA PERMOHONAN)")</f>
        <v>SELESAI (VIA PERMOHONAN)</v>
      </c>
      <c r="G3213" s="17">
        <f>IFERROR(__xludf.DUMMYFUNCTION("""COMPUTED_VALUE"""),45874.366041643516)</f>
        <v>45874.36604</v>
      </c>
      <c r="H3213" s="14" t="str">
        <f>IFERROR(__xludf.DUMMYFUNCTION("""COMPUTED_VALUE"""),"Eci (SU)")</f>
        <v>Eci (SU)</v>
      </c>
      <c r="I3213" s="13" t="str">
        <f>IFERROR(__xludf.DUMMYFUNCTION("""COMPUTED_VALUE"""),"SELESAI (VIA PERMOHONAN)")</f>
        <v>SELESAI (VIA PERMOHONAN)</v>
      </c>
      <c r="J3213" s="17">
        <f>IFERROR(__xludf.DUMMYFUNCTION("""COMPUTED_VALUE"""),45874.68069065972)</f>
        <v>45874.68069</v>
      </c>
      <c r="K3213" s="13" t="str">
        <f>IFERROR(__xludf.DUMMYFUNCTION("""COMPUTED_VALUE"""),"Selesai")</f>
        <v>Selesai</v>
      </c>
      <c r="L3213" s="17">
        <f>IFERROR(__xludf.DUMMYFUNCTION("""COMPUTED_VALUE"""),45874.68069065972)</f>
        <v>45874.68069</v>
      </c>
      <c r="M3213" s="13"/>
      <c r="N3213" s="13" t="str">
        <f>IFERROR(__xludf.DUMMYFUNCTION("""COMPUTED_VALUE"""),"")</f>
        <v/>
      </c>
      <c r="O3213" s="13" t="str">
        <f t="shared" si="1"/>
        <v/>
      </c>
    </row>
    <row r="3214" ht="22.5" customHeight="1">
      <c r="B3214" s="13">
        <f>IFERROR(__xludf.DUMMYFUNCTION("""COMPUTED_VALUE"""),3209.0)</f>
        <v>3209</v>
      </c>
      <c r="C3214" s="13" t="str">
        <f>IFERROR(__xludf.DUMMYFUNCTION("""COMPUTED_VALUE"""),"M. 338/ Sukabumi Indah")</f>
        <v>M. 338/ Sukabumi Indah</v>
      </c>
      <c r="D3214" s="13" t="str">
        <f>IFERROR(__xludf.DUMMYFUNCTION("""COMPUTED_VALUE"""),"K/26/140725/1")</f>
        <v>K/26/140725/1</v>
      </c>
      <c r="E3214" s="14" t="str">
        <f>IFERROR(__xludf.DUMMYFUNCTION("""COMPUTED_VALUE"""),"Heri (BT)")</f>
        <v>Heri (BT)</v>
      </c>
      <c r="F3214" s="14" t="str">
        <f>IFERROR(__xludf.DUMMYFUNCTION("""COMPUTED_VALUE"""),"SELESAI (VIA PERMOHONAN)")</f>
        <v>SELESAI (VIA PERMOHONAN)</v>
      </c>
      <c r="G3214" s="17">
        <f>IFERROR(__xludf.DUMMYFUNCTION("""COMPUTED_VALUE"""),45874.366226631944)</f>
        <v>45874.36623</v>
      </c>
      <c r="H3214" s="14" t="str">
        <f>IFERROR(__xludf.DUMMYFUNCTION("""COMPUTED_VALUE"""),"Eci (SU)")</f>
        <v>Eci (SU)</v>
      </c>
      <c r="I3214" s="13" t="str">
        <f>IFERROR(__xludf.DUMMYFUNCTION("""COMPUTED_VALUE"""),"SELESAI (VIA PERMOHONAN)")</f>
        <v>SELESAI (VIA PERMOHONAN)</v>
      </c>
      <c r="J3214" s="17">
        <f>IFERROR(__xludf.DUMMYFUNCTION("""COMPUTED_VALUE"""),45874.68069065972)</f>
        <v>45874.68069</v>
      </c>
      <c r="K3214" s="13" t="str">
        <f>IFERROR(__xludf.DUMMYFUNCTION("""COMPUTED_VALUE"""),"Selesai")</f>
        <v>Selesai</v>
      </c>
      <c r="L3214" s="17">
        <f>IFERROR(__xludf.DUMMYFUNCTION("""COMPUTED_VALUE"""),45874.68069065972)</f>
        <v>45874.68069</v>
      </c>
      <c r="M3214" s="13"/>
      <c r="N3214" s="13" t="str">
        <f>IFERROR(__xludf.DUMMYFUNCTION("""COMPUTED_VALUE"""),"")</f>
        <v/>
      </c>
      <c r="O3214" s="13" t="str">
        <f t="shared" si="1"/>
        <v/>
      </c>
    </row>
    <row r="3215" ht="22.5" customHeight="1">
      <c r="B3215" s="13">
        <f>IFERROR(__xludf.DUMMYFUNCTION("""COMPUTED_VALUE"""),3210.0)</f>
        <v>3210</v>
      </c>
      <c r="C3215" s="13" t="str">
        <f>IFERROR(__xludf.DUMMYFUNCTION("""COMPUTED_VALUE"""),"M,2363/SUMBER AGUNG")</f>
        <v>M,2363/SUMBER AGUNG</v>
      </c>
      <c r="D3215" s="13" t="str">
        <f>IFERROR(__xludf.DUMMYFUNCTION("""COMPUTED_VALUE"""),"K/36/280725/1")</f>
        <v>K/36/280725/1</v>
      </c>
      <c r="E3215" s="14" t="str">
        <f>IFERROR(__xludf.DUMMYFUNCTION("""COMPUTED_VALUE"""),"Heri (BT)")</f>
        <v>Heri (BT)</v>
      </c>
      <c r="F3215" s="14" t="str">
        <f>IFERROR(__xludf.DUMMYFUNCTION("""COMPUTED_VALUE"""),"SELESAI (VIA PERMOHONAN)")</f>
        <v>SELESAI (VIA PERMOHONAN)</v>
      </c>
      <c r="G3215" s="17">
        <f>IFERROR(__xludf.DUMMYFUNCTION("""COMPUTED_VALUE"""),45874.36635153936)</f>
        <v>45874.36635</v>
      </c>
      <c r="H3215" s="14" t="str">
        <f>IFERROR(__xludf.DUMMYFUNCTION("""COMPUTED_VALUE"""),"Eci (SU)")</f>
        <v>Eci (SU)</v>
      </c>
      <c r="I3215" s="13" t="str">
        <f>IFERROR(__xludf.DUMMYFUNCTION("""COMPUTED_VALUE"""),"SELESAI (VIA PERMOHONAN)")</f>
        <v>SELESAI (VIA PERMOHONAN)</v>
      </c>
      <c r="J3215" s="17">
        <f>IFERROR(__xludf.DUMMYFUNCTION("""COMPUTED_VALUE"""),45874.68069065972)</f>
        <v>45874.68069</v>
      </c>
      <c r="K3215" s="13" t="str">
        <f>IFERROR(__xludf.DUMMYFUNCTION("""COMPUTED_VALUE"""),"Selesai")</f>
        <v>Selesai</v>
      </c>
      <c r="L3215" s="17">
        <f>IFERROR(__xludf.DUMMYFUNCTION("""COMPUTED_VALUE"""),45874.68069065972)</f>
        <v>45874.68069</v>
      </c>
      <c r="M3215" s="13"/>
      <c r="N3215" s="13" t="str">
        <f>IFERROR(__xludf.DUMMYFUNCTION("""COMPUTED_VALUE"""),"")</f>
        <v/>
      </c>
      <c r="O3215" s="13" t="str">
        <f t="shared" si="1"/>
        <v/>
      </c>
    </row>
    <row r="3216" ht="22.5" customHeight="1">
      <c r="B3216" s="13">
        <f>IFERROR(__xludf.DUMMYFUNCTION("""COMPUTED_VALUE"""),3211.0)</f>
        <v>3211</v>
      </c>
      <c r="C3216" s="13" t="str">
        <f>IFERROR(__xludf.DUMMYFUNCTION("""COMPUTED_VALUE"""),"B.611/SUKAMAJU")</f>
        <v>B.611/SUKAMAJU</v>
      </c>
      <c r="D3216" s="13" t="str">
        <f>IFERROR(__xludf.DUMMYFUNCTION("""COMPUTED_VALUE"""),"K/18/210725/2")</f>
        <v>K/18/210725/2</v>
      </c>
      <c r="E3216" s="14" t="str">
        <f>IFERROR(__xludf.DUMMYFUNCTION("""COMPUTED_VALUE"""),"Heri (BT)")</f>
        <v>Heri (BT)</v>
      </c>
      <c r="F3216" s="14" t="str">
        <f>IFERROR(__xludf.DUMMYFUNCTION("""COMPUTED_VALUE"""),"SELESAI (VIA PERMOHONAN)")</f>
        <v>SELESAI (VIA PERMOHONAN)</v>
      </c>
      <c r="G3216" s="17">
        <f>IFERROR(__xludf.DUMMYFUNCTION("""COMPUTED_VALUE"""),45874.36649143518)</f>
        <v>45874.36649</v>
      </c>
      <c r="H3216" s="14" t="str">
        <f>IFERROR(__xludf.DUMMYFUNCTION("""COMPUTED_VALUE"""),"Eci (SU)")</f>
        <v>Eci (SU)</v>
      </c>
      <c r="I3216" s="13" t="str">
        <f>IFERROR(__xludf.DUMMYFUNCTION("""COMPUTED_VALUE"""),"SELESAI (VIA PERMOHONAN)")</f>
        <v>SELESAI (VIA PERMOHONAN)</v>
      </c>
      <c r="J3216" s="17">
        <f>IFERROR(__xludf.DUMMYFUNCTION("""COMPUTED_VALUE"""),45874.680730416665)</f>
        <v>45874.68073</v>
      </c>
      <c r="K3216" s="13" t="str">
        <f>IFERROR(__xludf.DUMMYFUNCTION("""COMPUTED_VALUE"""),"Selesai")</f>
        <v>Selesai</v>
      </c>
      <c r="L3216" s="17">
        <f>IFERROR(__xludf.DUMMYFUNCTION("""COMPUTED_VALUE"""),45874.680730416665)</f>
        <v>45874.68073</v>
      </c>
      <c r="M3216" s="13"/>
      <c r="N3216" s="13" t="str">
        <f>IFERROR(__xludf.DUMMYFUNCTION("""COMPUTED_VALUE"""),"")</f>
        <v/>
      </c>
      <c r="O3216" s="13" t="str">
        <f t="shared" si="1"/>
        <v/>
      </c>
    </row>
    <row r="3217" ht="22.5" customHeight="1">
      <c r="B3217" s="13">
        <f>IFERROR(__xludf.DUMMYFUNCTION("""COMPUTED_VALUE"""),3212.0)</f>
        <v>3212</v>
      </c>
      <c r="C3217" s="13" t="str">
        <f>IFERROR(__xludf.DUMMYFUNCTION("""COMPUTED_VALUE"""),"B.493/BAKUNG")</f>
        <v>B.493/BAKUNG</v>
      </c>
      <c r="D3217" s="13" t="str">
        <f>IFERROR(__xludf.DUMMYFUNCTION("""COMPUTED_VALUE"""),"K/34/240726/1")</f>
        <v>K/34/240726/1</v>
      </c>
      <c r="E3217" s="14" t="str">
        <f>IFERROR(__xludf.DUMMYFUNCTION("""COMPUTED_VALUE"""),"Heri (BT)")</f>
        <v>Heri (BT)</v>
      </c>
      <c r="F3217" s="14" t="str">
        <f>IFERROR(__xludf.DUMMYFUNCTION("""COMPUTED_VALUE"""),"SELESAI (VIA PERMOHONAN)")</f>
        <v>SELESAI (VIA PERMOHONAN)</v>
      </c>
      <c r="G3217" s="17">
        <f>IFERROR(__xludf.DUMMYFUNCTION("""COMPUTED_VALUE"""),45874.36663841435)</f>
        <v>45874.36664</v>
      </c>
      <c r="H3217" s="14" t="str">
        <f>IFERROR(__xludf.DUMMYFUNCTION("""COMPUTED_VALUE"""),"Eci (SU)")</f>
        <v>Eci (SU)</v>
      </c>
      <c r="I3217" s="13" t="str">
        <f>IFERROR(__xludf.DUMMYFUNCTION("""COMPUTED_VALUE"""),"SELESAI (VIA PERMOHONAN)")</f>
        <v>SELESAI (VIA PERMOHONAN)</v>
      </c>
      <c r="J3217" s="17">
        <f>IFERROR(__xludf.DUMMYFUNCTION("""COMPUTED_VALUE"""),45874.680730416665)</f>
        <v>45874.68073</v>
      </c>
      <c r="K3217" s="13" t="str">
        <f>IFERROR(__xludf.DUMMYFUNCTION("""COMPUTED_VALUE"""),"Selesai")</f>
        <v>Selesai</v>
      </c>
      <c r="L3217" s="17">
        <f>IFERROR(__xludf.DUMMYFUNCTION("""COMPUTED_VALUE"""),45874.680730416665)</f>
        <v>45874.68073</v>
      </c>
      <c r="M3217" s="13"/>
      <c r="N3217" s="13" t="str">
        <f>IFERROR(__xludf.DUMMYFUNCTION("""COMPUTED_VALUE"""),"")</f>
        <v/>
      </c>
      <c r="O3217" s="13" t="str">
        <f t="shared" si="1"/>
        <v/>
      </c>
    </row>
    <row r="3218" ht="22.5" customHeight="1">
      <c r="B3218" s="13">
        <f>IFERROR(__xludf.DUMMYFUNCTION("""COMPUTED_VALUE"""),3213.0)</f>
        <v>3213</v>
      </c>
      <c r="C3218" s="13" t="str">
        <f>IFERROR(__xludf.DUMMYFUNCTION("""COMPUTED_VALUE"""),"M.1879/LABUHAN DALAM")</f>
        <v>M.1879/LABUHAN DALAM</v>
      </c>
      <c r="D3218" s="13" t="str">
        <f>IFERROR(__xludf.DUMMYFUNCTION("""COMPUTED_VALUE"""),"K/53/040625/2")</f>
        <v>K/53/040625/2</v>
      </c>
      <c r="E3218" s="14" t="str">
        <f>IFERROR(__xludf.DUMMYFUNCTION("""COMPUTED_VALUE"""),"Heri (BT)")</f>
        <v>Heri (BT)</v>
      </c>
      <c r="F3218" s="14" t="str">
        <f>IFERROR(__xludf.DUMMYFUNCTION("""COMPUTED_VALUE"""),"SELESAI (VIA PERMOHONAN)")</f>
        <v>SELESAI (VIA PERMOHONAN)</v>
      </c>
      <c r="G3218" s="17">
        <f>IFERROR(__xludf.DUMMYFUNCTION("""COMPUTED_VALUE"""),45874.36677158564)</f>
        <v>45874.36677</v>
      </c>
      <c r="H3218" s="14" t="str">
        <f>IFERROR(__xludf.DUMMYFUNCTION("""COMPUTED_VALUE"""),"Eci (SU)")</f>
        <v>Eci (SU)</v>
      </c>
      <c r="I3218" s="13" t="str">
        <f>IFERROR(__xludf.DUMMYFUNCTION("""COMPUTED_VALUE"""),"SELESAI (VIA PERMOHONAN)")</f>
        <v>SELESAI (VIA PERMOHONAN)</v>
      </c>
      <c r="J3218" s="17">
        <f>IFERROR(__xludf.DUMMYFUNCTION("""COMPUTED_VALUE"""),45874.680730416665)</f>
        <v>45874.68073</v>
      </c>
      <c r="K3218" s="13" t="str">
        <f>IFERROR(__xludf.DUMMYFUNCTION("""COMPUTED_VALUE"""),"Selesai")</f>
        <v>Selesai</v>
      </c>
      <c r="L3218" s="17">
        <f>IFERROR(__xludf.DUMMYFUNCTION("""COMPUTED_VALUE"""),45874.680730416665)</f>
        <v>45874.68073</v>
      </c>
      <c r="M3218" s="13"/>
      <c r="N3218" s="13" t="str">
        <f>IFERROR(__xludf.DUMMYFUNCTION("""COMPUTED_VALUE"""),"")</f>
        <v/>
      </c>
      <c r="O3218" s="13" t="str">
        <f t="shared" si="1"/>
        <v/>
      </c>
    </row>
    <row r="3219" ht="22.5" customHeight="1">
      <c r="B3219" s="13">
        <f>IFERROR(__xludf.DUMMYFUNCTION("""COMPUTED_VALUE"""),3214.0)</f>
        <v>3214</v>
      </c>
      <c r="C3219" s="13" t="str">
        <f>IFERROR(__xludf.DUMMYFUNCTION("""COMPUTED_VALUE"""),"M. 11744/SEGALA MIDER")</f>
        <v>M. 11744/SEGALA MIDER</v>
      </c>
      <c r="D3219" s="13" t="str">
        <f>IFERROR(__xludf.DUMMYFUNCTION("""COMPUTED_VALUE"""),"K/32/030725/1")</f>
        <v>K/32/030725/1</v>
      </c>
      <c r="E3219" s="14" t="str">
        <f>IFERROR(__xludf.DUMMYFUNCTION("""COMPUTED_VALUE"""),"Heri (BT)")</f>
        <v>Heri (BT)</v>
      </c>
      <c r="F3219" s="14" t="str">
        <f>IFERROR(__xludf.DUMMYFUNCTION("""COMPUTED_VALUE"""),"SELESAI (VIA PERMOHONAN)")</f>
        <v>SELESAI (VIA PERMOHONAN)</v>
      </c>
      <c r="G3219" s="17">
        <f>IFERROR(__xludf.DUMMYFUNCTION("""COMPUTED_VALUE"""),45874.36690663194)</f>
        <v>45874.36691</v>
      </c>
      <c r="H3219" s="14" t="str">
        <f>IFERROR(__xludf.DUMMYFUNCTION("""COMPUTED_VALUE"""),"Eci (SU)")</f>
        <v>Eci (SU)</v>
      </c>
      <c r="I3219" s="13" t="str">
        <f>IFERROR(__xludf.DUMMYFUNCTION("""COMPUTED_VALUE"""),"SELESAI (VIA PERMOHONAN)")</f>
        <v>SELESAI (VIA PERMOHONAN)</v>
      </c>
      <c r="J3219" s="17">
        <f>IFERROR(__xludf.DUMMYFUNCTION("""COMPUTED_VALUE"""),45874.680730416665)</f>
        <v>45874.68073</v>
      </c>
      <c r="K3219" s="13" t="str">
        <f>IFERROR(__xludf.DUMMYFUNCTION("""COMPUTED_VALUE"""),"Selesai")</f>
        <v>Selesai</v>
      </c>
      <c r="L3219" s="17">
        <f>IFERROR(__xludf.DUMMYFUNCTION("""COMPUTED_VALUE"""),45874.680730416665)</f>
        <v>45874.68073</v>
      </c>
      <c r="M3219" s="13"/>
      <c r="N3219" s="13" t="str">
        <f>IFERROR(__xludf.DUMMYFUNCTION("""COMPUTED_VALUE"""),"")</f>
        <v/>
      </c>
      <c r="O3219" s="13" t="str">
        <f t="shared" si="1"/>
        <v/>
      </c>
    </row>
    <row r="3220" ht="22.5" customHeight="1">
      <c r="B3220" s="13">
        <f>IFERROR(__xludf.DUMMYFUNCTION("""COMPUTED_VALUE"""),3215.0)</f>
        <v>3215</v>
      </c>
      <c r="C3220" s="13" t="str">
        <f>IFERROR(__xludf.DUMMYFUNCTION("""COMPUTED_VALUE"""),"M.9531/KEDATON")</f>
        <v>M.9531/KEDATON</v>
      </c>
      <c r="D3220" s="13" t="str">
        <f>IFERROR(__xludf.DUMMYFUNCTION("""COMPUTED_VALUE"""),"K/32/090725/1")</f>
        <v>K/32/090725/1</v>
      </c>
      <c r="E3220" s="14" t="str">
        <f>IFERROR(__xludf.DUMMYFUNCTION("""COMPUTED_VALUE"""),"Heri (BT)")</f>
        <v>Heri (BT)</v>
      </c>
      <c r="F3220" s="14" t="str">
        <f>IFERROR(__xludf.DUMMYFUNCTION("""COMPUTED_VALUE"""),"SELESAI (VIA PERMOHONAN)")</f>
        <v>SELESAI (VIA PERMOHONAN)</v>
      </c>
      <c r="G3220" s="17">
        <f>IFERROR(__xludf.DUMMYFUNCTION("""COMPUTED_VALUE"""),45874.36705274305)</f>
        <v>45874.36705</v>
      </c>
      <c r="H3220" s="14" t="str">
        <f>IFERROR(__xludf.DUMMYFUNCTION("""COMPUTED_VALUE"""),"Eci (SU)")</f>
        <v>Eci (SU)</v>
      </c>
      <c r="I3220" s="13" t="str">
        <f>IFERROR(__xludf.DUMMYFUNCTION("""COMPUTED_VALUE"""),"SELESAI (VIA PERMOHONAN)")</f>
        <v>SELESAI (VIA PERMOHONAN)</v>
      </c>
      <c r="J3220" s="17">
        <f>IFERROR(__xludf.DUMMYFUNCTION("""COMPUTED_VALUE"""),45874.680730416665)</f>
        <v>45874.68073</v>
      </c>
      <c r="K3220" s="13" t="str">
        <f>IFERROR(__xludf.DUMMYFUNCTION("""COMPUTED_VALUE"""),"Selesai")</f>
        <v>Selesai</v>
      </c>
      <c r="L3220" s="17">
        <f>IFERROR(__xludf.DUMMYFUNCTION("""COMPUTED_VALUE"""),45874.680730416665)</f>
        <v>45874.68073</v>
      </c>
      <c r="M3220" s="13"/>
      <c r="N3220" s="13" t="str">
        <f>IFERROR(__xludf.DUMMYFUNCTION("""COMPUTED_VALUE"""),"")</f>
        <v/>
      </c>
      <c r="O3220" s="13" t="str">
        <f t="shared" si="1"/>
        <v/>
      </c>
    </row>
    <row r="3221" ht="22.5" customHeight="1">
      <c r="B3221" s="13">
        <f>IFERROR(__xludf.DUMMYFUNCTION("""COMPUTED_VALUE"""),3216.0)</f>
        <v>3216</v>
      </c>
      <c r="C3221" s="13" t="str">
        <f>IFERROR(__xludf.DUMMYFUNCTION("""COMPUTED_VALUE"""),"M.1880/LABUHAN DALAM")</f>
        <v>M.1880/LABUHAN DALAM</v>
      </c>
      <c r="D3221" s="13" t="str">
        <f>IFERROR(__xludf.DUMMYFUNCTION("""COMPUTED_VALUE"""),"K/54/040625/3")</f>
        <v>K/54/040625/3</v>
      </c>
      <c r="E3221" s="14" t="str">
        <f>IFERROR(__xludf.DUMMYFUNCTION("""COMPUTED_VALUE"""),"Heri (BT)")</f>
        <v>Heri (BT)</v>
      </c>
      <c r="F3221" s="14" t="str">
        <f>IFERROR(__xludf.DUMMYFUNCTION("""COMPUTED_VALUE"""),"SELESAI (VIA PERMOHONAN)")</f>
        <v>SELESAI (VIA PERMOHONAN)</v>
      </c>
      <c r="G3221" s="17">
        <f>IFERROR(__xludf.DUMMYFUNCTION("""COMPUTED_VALUE"""),45874.36715994213)</f>
        <v>45874.36716</v>
      </c>
      <c r="H3221" s="14" t="str">
        <f>IFERROR(__xludf.DUMMYFUNCTION("""COMPUTED_VALUE"""),"Eci (SU)")</f>
        <v>Eci (SU)</v>
      </c>
      <c r="I3221" s="13" t="str">
        <f>IFERROR(__xludf.DUMMYFUNCTION("""COMPUTED_VALUE"""),"SELESAI (VIA PERMOHONAN)")</f>
        <v>SELESAI (VIA PERMOHONAN)</v>
      </c>
      <c r="J3221" s="17">
        <f>IFERROR(__xludf.DUMMYFUNCTION("""COMPUTED_VALUE"""),45874.680730416665)</f>
        <v>45874.68073</v>
      </c>
      <c r="K3221" s="13" t="str">
        <f>IFERROR(__xludf.DUMMYFUNCTION("""COMPUTED_VALUE"""),"Selesai")</f>
        <v>Selesai</v>
      </c>
      <c r="L3221" s="17">
        <f>IFERROR(__xludf.DUMMYFUNCTION("""COMPUTED_VALUE"""),45874.680730416665)</f>
        <v>45874.68073</v>
      </c>
      <c r="M3221" s="13"/>
      <c r="N3221" s="13" t="str">
        <f>IFERROR(__xludf.DUMMYFUNCTION("""COMPUTED_VALUE"""),"")</f>
        <v/>
      </c>
      <c r="O3221" s="13" t="str">
        <f t="shared" si="1"/>
        <v/>
      </c>
    </row>
    <row r="3222" ht="22.5" customHeight="1">
      <c r="B3222" s="13">
        <f>IFERROR(__xludf.DUMMYFUNCTION("""COMPUTED_VALUE"""),3217.0)</f>
        <v>3217</v>
      </c>
      <c r="C3222" s="13" t="str">
        <f>IFERROR(__xludf.DUMMYFUNCTION("""COMPUTED_VALUE"""),"M.1927/SUMUR BATU")</f>
        <v>M.1927/SUMUR BATU</v>
      </c>
      <c r="D3222" s="13" t="str">
        <f>IFERROR(__xludf.DUMMYFUNCTION("""COMPUTED_VALUE"""),"K/11/230725/1")</f>
        <v>K/11/230725/1</v>
      </c>
      <c r="E3222" s="14" t="str">
        <f>IFERROR(__xludf.DUMMYFUNCTION("""COMPUTED_VALUE"""),"Heri (BT)")</f>
        <v>Heri (BT)</v>
      </c>
      <c r="F3222" s="14" t="str">
        <f>IFERROR(__xludf.DUMMYFUNCTION("""COMPUTED_VALUE"""),"SELESAI (VIA PERMOHONAN)")</f>
        <v>SELESAI (VIA PERMOHONAN)</v>
      </c>
      <c r="G3222" s="17">
        <f>IFERROR(__xludf.DUMMYFUNCTION("""COMPUTED_VALUE"""),45874.36730349537)</f>
        <v>45874.3673</v>
      </c>
      <c r="H3222" s="14" t="str">
        <f>IFERROR(__xludf.DUMMYFUNCTION("""COMPUTED_VALUE"""),"Eci (SU)")</f>
        <v>Eci (SU)</v>
      </c>
      <c r="I3222" s="13" t="str">
        <f>IFERROR(__xludf.DUMMYFUNCTION("""COMPUTED_VALUE"""),"SELESAI (VIA PERMOHONAN)")</f>
        <v>SELESAI (VIA PERMOHONAN)</v>
      </c>
      <c r="J3222" s="17">
        <f>IFERROR(__xludf.DUMMYFUNCTION("""COMPUTED_VALUE"""),45874.680730416665)</f>
        <v>45874.68073</v>
      </c>
      <c r="K3222" s="13" t="str">
        <f>IFERROR(__xludf.DUMMYFUNCTION("""COMPUTED_VALUE"""),"Selesai")</f>
        <v>Selesai</v>
      </c>
      <c r="L3222" s="17">
        <f>IFERROR(__xludf.DUMMYFUNCTION("""COMPUTED_VALUE"""),45874.680730416665)</f>
        <v>45874.68073</v>
      </c>
      <c r="M3222" s="13"/>
      <c r="N3222" s="13" t="str">
        <f>IFERROR(__xludf.DUMMYFUNCTION("""COMPUTED_VALUE"""),"")</f>
        <v/>
      </c>
      <c r="O3222" s="13" t="str">
        <f t="shared" si="1"/>
        <v/>
      </c>
    </row>
    <row r="3223" ht="22.5" customHeight="1">
      <c r="B3223" s="13">
        <f>IFERROR(__xludf.DUMMYFUNCTION("""COMPUTED_VALUE"""),3218.0)</f>
        <v>3218</v>
      </c>
      <c r="C3223" s="13" t="str">
        <f>IFERROR(__xludf.DUMMYFUNCTION("""COMPUTED_VALUE"""),"M.12627/SEGALA MIDER ")</f>
        <v>M.12627/SEGALA MIDER </v>
      </c>
      <c r="D3223" s="13" t="str">
        <f>IFERROR(__xludf.DUMMYFUNCTION("""COMPUTED_VALUE"""),"K/6/180725/1")</f>
        <v>K/6/180725/1</v>
      </c>
      <c r="E3223" s="14" t="str">
        <f>IFERROR(__xludf.DUMMYFUNCTION("""COMPUTED_VALUE"""),"Heri (BT)")</f>
        <v>Heri (BT)</v>
      </c>
      <c r="F3223" s="14" t="str">
        <f>IFERROR(__xludf.DUMMYFUNCTION("""COMPUTED_VALUE"""),"SELESAI (VIA PERMOHONAN)")</f>
        <v>SELESAI (VIA PERMOHONAN)</v>
      </c>
      <c r="G3223" s="17">
        <f>IFERROR(__xludf.DUMMYFUNCTION("""COMPUTED_VALUE"""),45874.36745146991)</f>
        <v>45874.36745</v>
      </c>
      <c r="H3223" s="14" t="str">
        <f>IFERROR(__xludf.DUMMYFUNCTION("""COMPUTED_VALUE"""),"Eci (SU)")</f>
        <v>Eci (SU)</v>
      </c>
      <c r="I3223" s="13" t="str">
        <f>IFERROR(__xludf.DUMMYFUNCTION("""COMPUTED_VALUE"""),"SELESAI (VIA PERMOHONAN)")</f>
        <v>SELESAI (VIA PERMOHONAN)</v>
      </c>
      <c r="J3223" s="17">
        <f>IFERROR(__xludf.DUMMYFUNCTION("""COMPUTED_VALUE"""),45874.680730416665)</f>
        <v>45874.68073</v>
      </c>
      <c r="K3223" s="13" t="str">
        <f>IFERROR(__xludf.DUMMYFUNCTION("""COMPUTED_VALUE"""),"Selesai")</f>
        <v>Selesai</v>
      </c>
      <c r="L3223" s="17">
        <f>IFERROR(__xludf.DUMMYFUNCTION("""COMPUTED_VALUE"""),45874.680730416665)</f>
        <v>45874.68073</v>
      </c>
      <c r="M3223" s="13"/>
      <c r="N3223" s="13" t="str">
        <f>IFERROR(__xludf.DUMMYFUNCTION("""COMPUTED_VALUE"""),"")</f>
        <v/>
      </c>
      <c r="O3223" s="13" t="str">
        <f t="shared" si="1"/>
        <v/>
      </c>
    </row>
    <row r="3224" ht="22.5" customHeight="1">
      <c r="B3224" s="13">
        <f>IFERROR(__xludf.DUMMYFUNCTION("""COMPUTED_VALUE"""),3219.0)</f>
        <v>3219</v>
      </c>
      <c r="C3224" s="13" t="str">
        <f>IFERROR(__xludf.DUMMYFUNCTION("""COMPUTED_VALUE"""),"M.16753/SUKABUMI")</f>
        <v>M.16753/SUKABUMI</v>
      </c>
      <c r="D3224" s="13" t="str">
        <f>IFERROR(__xludf.DUMMYFUNCTION("""COMPUTED_VALUE"""),"K/30/220725/1")</f>
        <v>K/30/220725/1</v>
      </c>
      <c r="E3224" s="14" t="str">
        <f>IFERROR(__xludf.DUMMYFUNCTION("""COMPUTED_VALUE"""),"Heri (BT)")</f>
        <v>Heri (BT)</v>
      </c>
      <c r="F3224" s="14" t="str">
        <f>IFERROR(__xludf.DUMMYFUNCTION("""COMPUTED_VALUE"""),"SELESAI (VIA PERMOHONAN)")</f>
        <v>SELESAI (VIA PERMOHONAN)</v>
      </c>
      <c r="G3224" s="17">
        <f>IFERROR(__xludf.DUMMYFUNCTION("""COMPUTED_VALUE"""),45874.36758910879)</f>
        <v>45874.36759</v>
      </c>
      <c r="H3224" s="14" t="str">
        <f>IFERROR(__xludf.DUMMYFUNCTION("""COMPUTED_VALUE"""),"Eci (SU)")</f>
        <v>Eci (SU)</v>
      </c>
      <c r="I3224" s="13" t="str">
        <f>IFERROR(__xludf.DUMMYFUNCTION("""COMPUTED_VALUE"""),"SELESAI (VIA PERMOHONAN)")</f>
        <v>SELESAI (VIA PERMOHONAN)</v>
      </c>
      <c r="J3224" s="17">
        <f>IFERROR(__xludf.DUMMYFUNCTION("""COMPUTED_VALUE"""),45874.680730416665)</f>
        <v>45874.68073</v>
      </c>
      <c r="K3224" s="13" t="str">
        <f>IFERROR(__xludf.DUMMYFUNCTION("""COMPUTED_VALUE"""),"Selesai")</f>
        <v>Selesai</v>
      </c>
      <c r="L3224" s="17">
        <f>IFERROR(__xludf.DUMMYFUNCTION("""COMPUTED_VALUE"""),45874.680730416665)</f>
        <v>45874.68073</v>
      </c>
      <c r="M3224" s="13"/>
      <c r="N3224" s="13" t="str">
        <f>IFERROR(__xludf.DUMMYFUNCTION("""COMPUTED_VALUE"""),"")</f>
        <v/>
      </c>
      <c r="O3224" s="13" t="str">
        <f t="shared" si="1"/>
        <v/>
      </c>
    </row>
    <row r="3225" ht="22.5" customHeight="1">
      <c r="B3225" s="13">
        <f>IFERROR(__xludf.DUMMYFUNCTION("""COMPUTED_VALUE"""),3220.0)</f>
        <v>3220</v>
      </c>
      <c r="C3225" s="13" t="str">
        <f>IFERROR(__xludf.DUMMYFUNCTION("""COMPUTED_VALUE"""),"M. 12589/SUKARAME")</f>
        <v>M. 12589/SUKARAME</v>
      </c>
      <c r="D3225" s="13" t="str">
        <f>IFERROR(__xludf.DUMMYFUNCTION("""COMPUTED_VALUE"""),"K/2/040725/1")</f>
        <v>K/2/040725/1</v>
      </c>
      <c r="E3225" s="14" t="str">
        <f>IFERROR(__xludf.DUMMYFUNCTION("""COMPUTED_VALUE"""),"Heri (BT)")</f>
        <v>Heri (BT)</v>
      </c>
      <c r="F3225" s="14" t="str">
        <f>IFERROR(__xludf.DUMMYFUNCTION("""COMPUTED_VALUE"""),"SELESAI (VIA PERMOHONAN)")</f>
        <v>SELESAI (VIA PERMOHONAN)</v>
      </c>
      <c r="G3225" s="17">
        <f>IFERROR(__xludf.DUMMYFUNCTION("""COMPUTED_VALUE"""),45874.36772946759)</f>
        <v>45874.36773</v>
      </c>
      <c r="H3225" s="14" t="str">
        <f>IFERROR(__xludf.DUMMYFUNCTION("""COMPUTED_VALUE"""),"Eci (SU)")</f>
        <v>Eci (SU)</v>
      </c>
      <c r="I3225" s="13" t="str">
        <f>IFERROR(__xludf.DUMMYFUNCTION("""COMPUTED_VALUE"""),"SELESAI (VIA PERMOHONAN)")</f>
        <v>SELESAI (VIA PERMOHONAN)</v>
      </c>
      <c r="J3225" s="17">
        <f>IFERROR(__xludf.DUMMYFUNCTION("""COMPUTED_VALUE"""),45874.680730416665)</f>
        <v>45874.68073</v>
      </c>
      <c r="K3225" s="13" t="str">
        <f>IFERROR(__xludf.DUMMYFUNCTION("""COMPUTED_VALUE"""),"Selesai")</f>
        <v>Selesai</v>
      </c>
      <c r="L3225" s="17">
        <f>IFERROR(__xludf.DUMMYFUNCTION("""COMPUTED_VALUE"""),45874.680730416665)</f>
        <v>45874.68073</v>
      </c>
      <c r="M3225" s="13"/>
      <c r="N3225" s="13" t="str">
        <f>IFERROR(__xludf.DUMMYFUNCTION("""COMPUTED_VALUE"""),"")</f>
        <v/>
      </c>
      <c r="O3225" s="13" t="str">
        <f t="shared" si="1"/>
        <v/>
      </c>
    </row>
    <row r="3226" ht="22.5" customHeight="1">
      <c r="B3226" s="13">
        <f>IFERROR(__xludf.DUMMYFUNCTION("""COMPUTED_VALUE"""),3221.0)</f>
        <v>3221</v>
      </c>
      <c r="C3226" s="13" t="str">
        <f>IFERROR(__xludf.DUMMYFUNCTION("""COMPUTED_VALUE"""),"M. 1205/BUMI KEDAMAIAN")</f>
        <v>M. 1205/BUMI KEDAMAIAN</v>
      </c>
      <c r="D3226" s="13" t="str">
        <f>IFERROR(__xludf.DUMMYFUNCTION("""COMPUTED_VALUE"""),"K/4/280725/1")</f>
        <v>K/4/280725/1</v>
      </c>
      <c r="E3226" s="14" t="str">
        <f>IFERROR(__xludf.DUMMYFUNCTION("""COMPUTED_VALUE"""),"Heri (BT)")</f>
        <v>Heri (BT)</v>
      </c>
      <c r="F3226" s="14" t="str">
        <f>IFERROR(__xludf.DUMMYFUNCTION("""COMPUTED_VALUE"""),"SELESAI (VIA PERMOHONAN)")</f>
        <v>SELESAI (VIA PERMOHONAN)</v>
      </c>
      <c r="G3226" s="17">
        <f>IFERROR(__xludf.DUMMYFUNCTION("""COMPUTED_VALUE"""),45874.3679165162)</f>
        <v>45874.36792</v>
      </c>
      <c r="H3226" s="14" t="str">
        <f>IFERROR(__xludf.DUMMYFUNCTION("""COMPUTED_VALUE"""),"Eci (SU)")</f>
        <v>Eci (SU)</v>
      </c>
      <c r="I3226" s="13" t="str">
        <f>IFERROR(__xludf.DUMMYFUNCTION("""COMPUTED_VALUE"""),"SELESAI (VIA PERMOHONAN)")</f>
        <v>SELESAI (VIA PERMOHONAN)</v>
      </c>
      <c r="J3226" s="17">
        <f>IFERROR(__xludf.DUMMYFUNCTION("""COMPUTED_VALUE"""),45874.680730416665)</f>
        <v>45874.68073</v>
      </c>
      <c r="K3226" s="13" t="str">
        <f>IFERROR(__xludf.DUMMYFUNCTION("""COMPUTED_VALUE"""),"Selesai")</f>
        <v>Selesai</v>
      </c>
      <c r="L3226" s="17">
        <f>IFERROR(__xludf.DUMMYFUNCTION("""COMPUTED_VALUE"""),45874.680730416665)</f>
        <v>45874.68073</v>
      </c>
      <c r="M3226" s="13"/>
      <c r="N3226" s="13" t="str">
        <f>IFERROR(__xludf.DUMMYFUNCTION("""COMPUTED_VALUE"""),"")</f>
        <v/>
      </c>
      <c r="O3226" s="13" t="str">
        <f t="shared" si="1"/>
        <v/>
      </c>
    </row>
    <row r="3227" ht="22.5" customHeight="1">
      <c r="B3227" s="13">
        <f>IFERROR(__xludf.DUMMYFUNCTION("""COMPUTED_VALUE"""),3222.0)</f>
        <v>3222</v>
      </c>
      <c r="C3227" s="13" t="str">
        <f>IFERROR(__xludf.DUMMYFUNCTION("""COMPUTED_VALUE"""),"M.1330, M. 1331/PESAWAHAN")</f>
        <v>M.1330, M. 1331/PESAWAHAN</v>
      </c>
      <c r="D3227" s="13" t="str">
        <f>IFERROR(__xludf.DUMMYFUNCTION("""COMPUTED_VALUE"""),"K/28/090725/1")</f>
        <v>K/28/090725/1</v>
      </c>
      <c r="E3227" s="14" t="str">
        <f>IFERROR(__xludf.DUMMYFUNCTION("""COMPUTED_VALUE"""),"Heri (BT)")</f>
        <v>Heri (BT)</v>
      </c>
      <c r="F3227" s="14" t="str">
        <f>IFERROR(__xludf.DUMMYFUNCTION("""COMPUTED_VALUE"""),"SELESAI (VIA PERMOHONAN)")</f>
        <v>SELESAI (VIA PERMOHONAN)</v>
      </c>
      <c r="G3227" s="17">
        <f>IFERROR(__xludf.DUMMYFUNCTION("""COMPUTED_VALUE"""),45874.36809363426)</f>
        <v>45874.36809</v>
      </c>
      <c r="H3227" s="14" t="str">
        <f>IFERROR(__xludf.DUMMYFUNCTION("""COMPUTED_VALUE"""),"Eci (SU)")</f>
        <v>Eci (SU)</v>
      </c>
      <c r="I3227" s="13" t="str">
        <f>IFERROR(__xludf.DUMMYFUNCTION("""COMPUTED_VALUE"""),"SELESAI (VIA PERMOHONAN)")</f>
        <v>SELESAI (VIA PERMOHONAN)</v>
      </c>
      <c r="J3227" s="17">
        <f>IFERROR(__xludf.DUMMYFUNCTION("""COMPUTED_VALUE"""),45874.68076659722)</f>
        <v>45874.68077</v>
      </c>
      <c r="K3227" s="13" t="str">
        <f>IFERROR(__xludf.DUMMYFUNCTION("""COMPUTED_VALUE"""),"Selesai")</f>
        <v>Selesai</v>
      </c>
      <c r="L3227" s="17">
        <f>IFERROR(__xludf.DUMMYFUNCTION("""COMPUTED_VALUE"""),45874.68076659722)</f>
        <v>45874.68077</v>
      </c>
      <c r="M3227" s="13"/>
      <c r="N3227" s="13" t="str">
        <f>IFERROR(__xludf.DUMMYFUNCTION("""COMPUTED_VALUE"""),"")</f>
        <v/>
      </c>
      <c r="O3227" s="13" t="str">
        <f t="shared" si="1"/>
        <v/>
      </c>
    </row>
    <row r="3228" ht="22.5" customHeight="1">
      <c r="B3228" s="13">
        <f>IFERROR(__xludf.DUMMYFUNCTION("""COMPUTED_VALUE"""),3223.0)</f>
        <v>3223</v>
      </c>
      <c r="C3228" s="13" t="str">
        <f>IFERROR(__xludf.DUMMYFUNCTION("""COMPUTED_VALUE"""),"M. 400/KALIAWI")</f>
        <v>M. 400/KALIAWI</v>
      </c>
      <c r="D3228" s="13" t="str">
        <f>IFERROR(__xludf.DUMMYFUNCTION("""COMPUTED_VALUE"""),"K/38/040625/1")</f>
        <v>K/38/040625/1</v>
      </c>
      <c r="E3228" s="14" t="str">
        <f>IFERROR(__xludf.DUMMYFUNCTION("""COMPUTED_VALUE"""),"Heri (BT)")</f>
        <v>Heri (BT)</v>
      </c>
      <c r="F3228" s="14" t="str">
        <f>IFERROR(__xludf.DUMMYFUNCTION("""COMPUTED_VALUE"""),"SELESAI (VIA PERMOHONAN)")</f>
        <v>SELESAI (VIA PERMOHONAN)</v>
      </c>
      <c r="G3228" s="17">
        <f>IFERROR(__xludf.DUMMYFUNCTION("""COMPUTED_VALUE"""),45874.368299548616)</f>
        <v>45874.3683</v>
      </c>
      <c r="H3228" s="14" t="str">
        <f>IFERROR(__xludf.DUMMYFUNCTION("""COMPUTED_VALUE"""),"Eci (SU)")</f>
        <v>Eci (SU)</v>
      </c>
      <c r="I3228" s="13" t="str">
        <f>IFERROR(__xludf.DUMMYFUNCTION("""COMPUTED_VALUE"""),"SELESAI (VIA PERMOHONAN)")</f>
        <v>SELESAI (VIA PERMOHONAN)</v>
      </c>
      <c r="J3228" s="17">
        <f>IFERROR(__xludf.DUMMYFUNCTION("""COMPUTED_VALUE"""),45874.68076659722)</f>
        <v>45874.68077</v>
      </c>
      <c r="K3228" s="13" t="str">
        <f>IFERROR(__xludf.DUMMYFUNCTION("""COMPUTED_VALUE"""),"Selesai")</f>
        <v>Selesai</v>
      </c>
      <c r="L3228" s="17">
        <f>IFERROR(__xludf.DUMMYFUNCTION("""COMPUTED_VALUE"""),45874.68076659722)</f>
        <v>45874.68077</v>
      </c>
      <c r="M3228" s="13"/>
      <c r="N3228" s="13" t="str">
        <f>IFERROR(__xludf.DUMMYFUNCTION("""COMPUTED_VALUE"""),"")</f>
        <v/>
      </c>
      <c r="O3228" s="13" t="str">
        <f t="shared" si="1"/>
        <v/>
      </c>
    </row>
    <row r="3229" ht="22.5" customHeight="1">
      <c r="B3229" s="13">
        <f>IFERROR(__xludf.DUMMYFUNCTION("""COMPUTED_VALUE"""),3224.0)</f>
        <v>3224</v>
      </c>
      <c r="C3229" s="13" t="str">
        <f>IFERROR(__xludf.DUMMYFUNCTION("""COMPUTED_VALUE"""),"M. 13770/SUKABUMI")</f>
        <v>M. 13770/SUKABUMI</v>
      </c>
      <c r="D3229" s="13" t="str">
        <f>IFERROR(__xludf.DUMMYFUNCTION("""COMPUTED_VALUE"""),"K/17/080725/1")</f>
        <v>K/17/080725/1</v>
      </c>
      <c r="E3229" s="14" t="str">
        <f>IFERROR(__xludf.DUMMYFUNCTION("""COMPUTED_VALUE"""),"Heri (BT)")</f>
        <v>Heri (BT)</v>
      </c>
      <c r="F3229" s="14" t="str">
        <f>IFERROR(__xludf.DUMMYFUNCTION("""COMPUTED_VALUE"""),"SELESAI (VIA PERMOHONAN)")</f>
        <v>SELESAI (VIA PERMOHONAN)</v>
      </c>
      <c r="G3229" s="17">
        <f>IFERROR(__xludf.DUMMYFUNCTION("""COMPUTED_VALUE"""),45874.36846633102)</f>
        <v>45874.36847</v>
      </c>
      <c r="H3229" s="14" t="str">
        <f>IFERROR(__xludf.DUMMYFUNCTION("""COMPUTED_VALUE"""),"Eci (SU)")</f>
        <v>Eci (SU)</v>
      </c>
      <c r="I3229" s="13" t="str">
        <f>IFERROR(__xludf.DUMMYFUNCTION("""COMPUTED_VALUE"""),"SELESAI (VIA PERMOHONAN)")</f>
        <v>SELESAI (VIA PERMOHONAN)</v>
      </c>
      <c r="J3229" s="17">
        <f>IFERROR(__xludf.DUMMYFUNCTION("""COMPUTED_VALUE"""),45874.68076659722)</f>
        <v>45874.68077</v>
      </c>
      <c r="K3229" s="13" t="str">
        <f>IFERROR(__xludf.DUMMYFUNCTION("""COMPUTED_VALUE"""),"Selesai")</f>
        <v>Selesai</v>
      </c>
      <c r="L3229" s="17">
        <f>IFERROR(__xludf.DUMMYFUNCTION("""COMPUTED_VALUE"""),45874.68076659722)</f>
        <v>45874.68077</v>
      </c>
      <c r="M3229" s="13"/>
      <c r="N3229" s="13" t="str">
        <f>IFERROR(__xludf.DUMMYFUNCTION("""COMPUTED_VALUE"""),"")</f>
        <v/>
      </c>
      <c r="O3229" s="13" t="str">
        <f t="shared" si="1"/>
        <v/>
      </c>
    </row>
    <row r="3230" ht="22.5" customHeight="1">
      <c r="B3230" s="13">
        <f>IFERROR(__xludf.DUMMYFUNCTION("""COMPUTED_VALUE"""),3225.0)</f>
        <v>3225</v>
      </c>
      <c r="C3230" s="13" t="str">
        <f>IFERROR(__xludf.DUMMYFUNCTION("""COMPUTED_VALUE"""),"M. 13475/TANJUNG BARU")</f>
        <v>M. 13475/TANJUNG BARU</v>
      </c>
      <c r="D3230" s="13" t="str">
        <f>IFERROR(__xludf.DUMMYFUNCTION("""COMPUTED_VALUE"""),"K/34/090725/1")</f>
        <v>K/34/090725/1</v>
      </c>
      <c r="E3230" s="14" t="str">
        <f>IFERROR(__xludf.DUMMYFUNCTION("""COMPUTED_VALUE"""),"Heri (BT)")</f>
        <v>Heri (BT)</v>
      </c>
      <c r="F3230" s="14" t="str">
        <f>IFERROR(__xludf.DUMMYFUNCTION("""COMPUTED_VALUE"""),"SELESAI (VIA PERMOHONAN)")</f>
        <v>SELESAI (VIA PERMOHONAN)</v>
      </c>
      <c r="G3230" s="17">
        <f>IFERROR(__xludf.DUMMYFUNCTION("""COMPUTED_VALUE"""),45874.36863837963)</f>
        <v>45874.36864</v>
      </c>
      <c r="H3230" s="14" t="str">
        <f>IFERROR(__xludf.DUMMYFUNCTION("""COMPUTED_VALUE"""),"Eci (SU)")</f>
        <v>Eci (SU)</v>
      </c>
      <c r="I3230" s="13" t="str">
        <f>IFERROR(__xludf.DUMMYFUNCTION("""COMPUTED_VALUE"""),"SELESAI (VIA PERMOHONAN)")</f>
        <v>SELESAI (VIA PERMOHONAN)</v>
      </c>
      <c r="J3230" s="17">
        <f>IFERROR(__xludf.DUMMYFUNCTION("""COMPUTED_VALUE"""),45874.68076659722)</f>
        <v>45874.68077</v>
      </c>
      <c r="K3230" s="13" t="str">
        <f>IFERROR(__xludf.DUMMYFUNCTION("""COMPUTED_VALUE"""),"Selesai")</f>
        <v>Selesai</v>
      </c>
      <c r="L3230" s="17">
        <f>IFERROR(__xludf.DUMMYFUNCTION("""COMPUTED_VALUE"""),45874.68076659722)</f>
        <v>45874.68077</v>
      </c>
      <c r="M3230" s="13"/>
      <c r="N3230" s="13" t="str">
        <f>IFERROR(__xludf.DUMMYFUNCTION("""COMPUTED_VALUE"""),"")</f>
        <v/>
      </c>
      <c r="O3230" s="13" t="str">
        <f t="shared" si="1"/>
        <v/>
      </c>
    </row>
    <row r="3231" ht="22.5" customHeight="1">
      <c r="B3231" s="13">
        <f>IFERROR(__xludf.DUMMYFUNCTION("""COMPUTED_VALUE"""),3226.0)</f>
        <v>3226</v>
      </c>
      <c r="C3231" s="13" t="str">
        <f>IFERROR(__xludf.DUMMYFUNCTION("""COMPUTED_VALUE"""),"M. 1712/NEGERI OLOK GADING")</f>
        <v>M. 1712/NEGERI OLOK GADING</v>
      </c>
      <c r="D3231" s="13" t="str">
        <f>IFERROR(__xludf.DUMMYFUNCTION("""COMPUTED_VALUE"""),"K/3/210725/1")</f>
        <v>K/3/210725/1</v>
      </c>
      <c r="E3231" s="14" t="str">
        <f>IFERROR(__xludf.DUMMYFUNCTION("""COMPUTED_VALUE"""),"Heri (BT)")</f>
        <v>Heri (BT)</v>
      </c>
      <c r="F3231" s="14" t="str">
        <f>IFERROR(__xludf.DUMMYFUNCTION("""COMPUTED_VALUE"""),"SELESAI (VIA PERMOHONAN)")</f>
        <v>SELESAI (VIA PERMOHONAN)</v>
      </c>
      <c r="G3231" s="17">
        <f>IFERROR(__xludf.DUMMYFUNCTION("""COMPUTED_VALUE"""),45874.36876866898)</f>
        <v>45874.36877</v>
      </c>
      <c r="H3231" s="14" t="str">
        <f>IFERROR(__xludf.DUMMYFUNCTION("""COMPUTED_VALUE"""),"Eci (SU)")</f>
        <v>Eci (SU)</v>
      </c>
      <c r="I3231" s="13" t="str">
        <f>IFERROR(__xludf.DUMMYFUNCTION("""COMPUTED_VALUE"""),"SELESAI (VIA PERMOHONAN)")</f>
        <v>SELESAI (VIA PERMOHONAN)</v>
      </c>
      <c r="J3231" s="17">
        <f>IFERROR(__xludf.DUMMYFUNCTION("""COMPUTED_VALUE"""),45874.68076659722)</f>
        <v>45874.68077</v>
      </c>
      <c r="K3231" s="13" t="str">
        <f>IFERROR(__xludf.DUMMYFUNCTION("""COMPUTED_VALUE"""),"Selesai")</f>
        <v>Selesai</v>
      </c>
      <c r="L3231" s="17">
        <f>IFERROR(__xludf.DUMMYFUNCTION("""COMPUTED_VALUE"""),45874.68076659722)</f>
        <v>45874.68077</v>
      </c>
      <c r="M3231" s="13"/>
      <c r="N3231" s="13" t="str">
        <f>IFERROR(__xludf.DUMMYFUNCTION("""COMPUTED_VALUE"""),"")</f>
        <v/>
      </c>
      <c r="O3231" s="13" t="str">
        <f t="shared" si="1"/>
        <v/>
      </c>
    </row>
    <row r="3232" ht="22.5" customHeight="1">
      <c r="B3232" s="13">
        <f>IFERROR(__xludf.DUMMYFUNCTION("""COMPUTED_VALUE"""),3227.0)</f>
        <v>3227</v>
      </c>
      <c r="C3232" s="13" t="str">
        <f>IFERROR(__xludf.DUMMYFUNCTION("""COMPUTED_VALUE"""),"M.2516/PINANG JAYA")</f>
        <v>M.2516/PINANG JAYA</v>
      </c>
      <c r="D3232" s="13" t="str">
        <f>IFERROR(__xludf.DUMMYFUNCTION("""COMPUTED_VALUE"""),"K/18/250725/1")</f>
        <v>K/18/250725/1</v>
      </c>
      <c r="E3232" s="14" t="str">
        <f>IFERROR(__xludf.DUMMYFUNCTION("""COMPUTED_VALUE"""),"Heri (BT)")</f>
        <v>Heri (BT)</v>
      </c>
      <c r="F3232" s="14" t="str">
        <f>IFERROR(__xludf.DUMMYFUNCTION("""COMPUTED_VALUE"""),"SELESAI (VIA PERMOHONAN)")</f>
        <v>SELESAI (VIA PERMOHONAN)</v>
      </c>
      <c r="G3232" s="17">
        <f>IFERROR(__xludf.DUMMYFUNCTION("""COMPUTED_VALUE"""),45874.36893489583)</f>
        <v>45874.36893</v>
      </c>
      <c r="H3232" s="14" t="str">
        <f>IFERROR(__xludf.DUMMYFUNCTION("""COMPUTED_VALUE"""),"Eci (SU)")</f>
        <v>Eci (SU)</v>
      </c>
      <c r="I3232" s="13" t="str">
        <f>IFERROR(__xludf.DUMMYFUNCTION("""COMPUTED_VALUE"""),"SELESAI (VIA PERMOHONAN)")</f>
        <v>SELESAI (VIA PERMOHONAN)</v>
      </c>
      <c r="J3232" s="17">
        <f>IFERROR(__xludf.DUMMYFUNCTION("""COMPUTED_VALUE"""),45874.68076659722)</f>
        <v>45874.68077</v>
      </c>
      <c r="K3232" s="13" t="str">
        <f>IFERROR(__xludf.DUMMYFUNCTION("""COMPUTED_VALUE"""),"Selesai")</f>
        <v>Selesai</v>
      </c>
      <c r="L3232" s="17">
        <f>IFERROR(__xludf.DUMMYFUNCTION("""COMPUTED_VALUE"""),45874.68076659722)</f>
        <v>45874.68077</v>
      </c>
      <c r="M3232" s="13"/>
      <c r="N3232" s="13" t="str">
        <f>IFERROR(__xludf.DUMMYFUNCTION("""COMPUTED_VALUE"""),"")</f>
        <v/>
      </c>
      <c r="O3232" s="13" t="str">
        <f t="shared" si="1"/>
        <v/>
      </c>
    </row>
    <row r="3233" ht="22.5" customHeight="1">
      <c r="B3233" s="13">
        <f>IFERROR(__xludf.DUMMYFUNCTION("""COMPUTED_VALUE"""),3228.0)</f>
        <v>3228</v>
      </c>
      <c r="C3233" s="13" t="str">
        <f>IFERROR(__xludf.DUMMYFUNCTION("""COMPUTED_VALUE"""),"M. 2527/PINANG JAYA")</f>
        <v>M. 2527/PINANG JAYA</v>
      </c>
      <c r="D3233" s="13" t="str">
        <f>IFERROR(__xludf.DUMMYFUNCTION("""COMPUTED_VALUE"""),"K/20/250725/3")</f>
        <v>K/20/250725/3</v>
      </c>
      <c r="E3233" s="14" t="str">
        <f>IFERROR(__xludf.DUMMYFUNCTION("""COMPUTED_VALUE"""),"Heri (BT)")</f>
        <v>Heri (BT)</v>
      </c>
      <c r="F3233" s="14" t="str">
        <f>IFERROR(__xludf.DUMMYFUNCTION("""COMPUTED_VALUE"""),"SELESAI (VIA PERMOHONAN)")</f>
        <v>SELESAI (VIA PERMOHONAN)</v>
      </c>
      <c r="G3233" s="17">
        <f>IFERROR(__xludf.DUMMYFUNCTION("""COMPUTED_VALUE"""),45874.36905584491)</f>
        <v>45874.36906</v>
      </c>
      <c r="H3233" s="14" t="str">
        <f>IFERROR(__xludf.DUMMYFUNCTION("""COMPUTED_VALUE"""),"Eci (SU)")</f>
        <v>Eci (SU)</v>
      </c>
      <c r="I3233" s="13" t="str">
        <f>IFERROR(__xludf.DUMMYFUNCTION("""COMPUTED_VALUE"""),"SELESAI (VIA PERMOHONAN)")</f>
        <v>SELESAI (VIA PERMOHONAN)</v>
      </c>
      <c r="J3233" s="17">
        <f>IFERROR(__xludf.DUMMYFUNCTION("""COMPUTED_VALUE"""),45874.68076659722)</f>
        <v>45874.68077</v>
      </c>
      <c r="K3233" s="13" t="str">
        <f>IFERROR(__xludf.DUMMYFUNCTION("""COMPUTED_VALUE"""),"Selesai")</f>
        <v>Selesai</v>
      </c>
      <c r="L3233" s="17">
        <f>IFERROR(__xludf.DUMMYFUNCTION("""COMPUTED_VALUE"""),45874.68076659722)</f>
        <v>45874.68077</v>
      </c>
      <c r="M3233" s="13"/>
      <c r="N3233" s="13" t="str">
        <f>IFERROR(__xludf.DUMMYFUNCTION("""COMPUTED_VALUE"""),"")</f>
        <v/>
      </c>
      <c r="O3233" s="13" t="str">
        <f t="shared" si="1"/>
        <v/>
      </c>
    </row>
    <row r="3234" ht="22.5" customHeight="1">
      <c r="B3234" s="13">
        <f>IFERROR(__xludf.DUMMYFUNCTION("""COMPUTED_VALUE"""),3229.0)</f>
        <v>3229</v>
      </c>
      <c r="C3234" s="13" t="str">
        <f>IFERROR(__xludf.DUMMYFUNCTION("""COMPUTED_VALUE"""),"M. 3171/SUKARAME BARU")</f>
        <v>M. 3171/SUKARAME BARU</v>
      </c>
      <c r="D3234" s="13" t="str">
        <f>IFERROR(__xludf.DUMMYFUNCTION("""COMPUTED_VALUE"""),"K/5/240725/1")</f>
        <v>K/5/240725/1</v>
      </c>
      <c r="E3234" s="14" t="str">
        <f>IFERROR(__xludf.DUMMYFUNCTION("""COMPUTED_VALUE"""),"Heri (BT)")</f>
        <v>Heri (BT)</v>
      </c>
      <c r="F3234" s="14" t="str">
        <f>IFERROR(__xludf.DUMMYFUNCTION("""COMPUTED_VALUE"""),"SELESAI (VIA PERMOHONAN)")</f>
        <v>SELESAI (VIA PERMOHONAN)</v>
      </c>
      <c r="G3234" s="17">
        <f>IFERROR(__xludf.DUMMYFUNCTION("""COMPUTED_VALUE"""),45874.36919079861)</f>
        <v>45874.36919</v>
      </c>
      <c r="H3234" s="14" t="str">
        <f>IFERROR(__xludf.DUMMYFUNCTION("""COMPUTED_VALUE"""),"Eci (SU)")</f>
        <v>Eci (SU)</v>
      </c>
      <c r="I3234" s="13" t="str">
        <f>IFERROR(__xludf.DUMMYFUNCTION("""COMPUTED_VALUE"""),"SELESAI (VIA PERMOHONAN)")</f>
        <v>SELESAI (VIA PERMOHONAN)</v>
      </c>
      <c r="J3234" s="17">
        <f>IFERROR(__xludf.DUMMYFUNCTION("""COMPUTED_VALUE"""),45874.68076659722)</f>
        <v>45874.68077</v>
      </c>
      <c r="K3234" s="13" t="str">
        <f>IFERROR(__xludf.DUMMYFUNCTION("""COMPUTED_VALUE"""),"Selesai")</f>
        <v>Selesai</v>
      </c>
      <c r="L3234" s="17">
        <f>IFERROR(__xludf.DUMMYFUNCTION("""COMPUTED_VALUE"""),45874.68076659722)</f>
        <v>45874.68077</v>
      </c>
      <c r="M3234" s="13"/>
      <c r="N3234" s="13" t="str">
        <f>IFERROR(__xludf.DUMMYFUNCTION("""COMPUTED_VALUE"""),"")</f>
        <v/>
      </c>
      <c r="O3234" s="13" t="str">
        <f t="shared" si="1"/>
        <v/>
      </c>
    </row>
    <row r="3235" ht="22.5" customHeight="1">
      <c r="B3235" s="13">
        <f>IFERROR(__xludf.DUMMYFUNCTION("""COMPUTED_VALUE"""),3230.0)</f>
        <v>3230</v>
      </c>
      <c r="C3235" s="13" t="str">
        <f>IFERROR(__xludf.DUMMYFUNCTION("""COMPUTED_VALUE"""),"M.2397/Sumberrejo")</f>
        <v>M.2397/Sumberrejo</v>
      </c>
      <c r="D3235" s="13" t="str">
        <f>IFERROR(__xludf.DUMMYFUNCTION("""COMPUTED_VALUE"""),"K/23/230725/1")</f>
        <v>K/23/230725/1</v>
      </c>
      <c r="E3235" s="14" t="str">
        <f>IFERROR(__xludf.DUMMYFUNCTION("""COMPUTED_VALUE"""),"Heri (BT)")</f>
        <v>Heri (BT)</v>
      </c>
      <c r="F3235" s="14" t="str">
        <f>IFERROR(__xludf.DUMMYFUNCTION("""COMPUTED_VALUE"""),"SELESAI (VIA PERMOHONAN)")</f>
        <v>SELESAI (VIA PERMOHONAN)</v>
      </c>
      <c r="G3235" s="17">
        <f>IFERROR(__xludf.DUMMYFUNCTION("""COMPUTED_VALUE"""),45874.369336724536)</f>
        <v>45874.36934</v>
      </c>
      <c r="H3235" s="14" t="str">
        <f>IFERROR(__xludf.DUMMYFUNCTION("""COMPUTED_VALUE"""),"Eci (SU)")</f>
        <v>Eci (SU)</v>
      </c>
      <c r="I3235" s="13" t="str">
        <f>IFERROR(__xludf.DUMMYFUNCTION("""COMPUTED_VALUE"""),"SELESAI (VIA PERMOHONAN)")</f>
        <v>SELESAI (VIA PERMOHONAN)</v>
      </c>
      <c r="J3235" s="17">
        <f>IFERROR(__xludf.DUMMYFUNCTION("""COMPUTED_VALUE"""),45874.68076659722)</f>
        <v>45874.68077</v>
      </c>
      <c r="K3235" s="13" t="str">
        <f>IFERROR(__xludf.DUMMYFUNCTION("""COMPUTED_VALUE"""),"Selesai")</f>
        <v>Selesai</v>
      </c>
      <c r="L3235" s="17">
        <f>IFERROR(__xludf.DUMMYFUNCTION("""COMPUTED_VALUE"""),45874.68076659722)</f>
        <v>45874.68077</v>
      </c>
      <c r="M3235" s="13"/>
      <c r="N3235" s="13" t="str">
        <f>IFERROR(__xludf.DUMMYFUNCTION("""COMPUTED_VALUE"""),"")</f>
        <v/>
      </c>
      <c r="O3235" s="13" t="str">
        <f t="shared" si="1"/>
        <v/>
      </c>
    </row>
    <row r="3236" ht="22.5" customHeight="1">
      <c r="B3236" s="13">
        <f>IFERROR(__xludf.DUMMYFUNCTION("""COMPUTED_VALUE"""),3231.0)</f>
        <v>3231</v>
      </c>
      <c r="C3236" s="13" t="str">
        <f>IFERROR(__xludf.DUMMYFUNCTION("""COMPUTED_VALUE"""),"M. 4797/ LANGKAPURA")</f>
        <v>M. 4797/ LANGKAPURA</v>
      </c>
      <c r="D3236" s="13" t="str">
        <f>IFERROR(__xludf.DUMMYFUNCTION("""COMPUTED_VALUE"""),"K/14/180725/1")</f>
        <v>K/14/180725/1</v>
      </c>
      <c r="E3236" s="14" t="str">
        <f>IFERROR(__xludf.DUMMYFUNCTION("""COMPUTED_VALUE"""),"Heri (BT)")</f>
        <v>Heri (BT)</v>
      </c>
      <c r="F3236" s="14" t="str">
        <f>IFERROR(__xludf.DUMMYFUNCTION("""COMPUTED_VALUE"""),"SELESAI (VIA PERMOHONAN)")</f>
        <v>SELESAI (VIA PERMOHONAN)</v>
      </c>
      <c r="G3236" s="17">
        <f>IFERROR(__xludf.DUMMYFUNCTION("""COMPUTED_VALUE"""),45874.36958349537)</f>
        <v>45874.36958</v>
      </c>
      <c r="H3236" s="14" t="str">
        <f>IFERROR(__xludf.DUMMYFUNCTION("""COMPUTED_VALUE"""),"Eci (SU)")</f>
        <v>Eci (SU)</v>
      </c>
      <c r="I3236" s="13" t="str">
        <f>IFERROR(__xludf.DUMMYFUNCTION("""COMPUTED_VALUE"""),"SELESAI (VIA PERMOHONAN)")</f>
        <v>SELESAI (VIA PERMOHONAN)</v>
      </c>
      <c r="J3236" s="17">
        <f>IFERROR(__xludf.DUMMYFUNCTION("""COMPUTED_VALUE"""),45874.68076659722)</f>
        <v>45874.68077</v>
      </c>
      <c r="K3236" s="13" t="str">
        <f>IFERROR(__xludf.DUMMYFUNCTION("""COMPUTED_VALUE"""),"Selesai")</f>
        <v>Selesai</v>
      </c>
      <c r="L3236" s="17">
        <f>IFERROR(__xludf.DUMMYFUNCTION("""COMPUTED_VALUE"""),45874.68076659722)</f>
        <v>45874.68077</v>
      </c>
      <c r="M3236" s="13"/>
      <c r="N3236" s="13" t="str">
        <f>IFERROR(__xludf.DUMMYFUNCTION("""COMPUTED_VALUE"""),"")</f>
        <v/>
      </c>
      <c r="O3236" s="13" t="str">
        <f t="shared" si="1"/>
        <v/>
      </c>
    </row>
    <row r="3237" ht="22.5" customHeight="1">
      <c r="B3237" s="13">
        <f>IFERROR(__xludf.DUMMYFUNCTION("""COMPUTED_VALUE"""),3232.0)</f>
        <v>3232</v>
      </c>
      <c r="C3237" s="13" t="str">
        <f>IFERROR(__xludf.DUMMYFUNCTION("""COMPUTED_VALUE"""),"M. 2019/ Kali Balai Kencana")</f>
        <v>M. 2019/ Kali Balai Kencana</v>
      </c>
      <c r="D3237" s="13" t="str">
        <f>IFERROR(__xludf.DUMMYFUNCTION("""COMPUTED_VALUE"""),"K/23/150725/3")</f>
        <v>K/23/150725/3</v>
      </c>
      <c r="E3237" s="14" t="str">
        <f>IFERROR(__xludf.DUMMYFUNCTION("""COMPUTED_VALUE"""),"Heri (BT)")</f>
        <v>Heri (BT)</v>
      </c>
      <c r="F3237" s="14" t="str">
        <f>IFERROR(__xludf.DUMMYFUNCTION("""COMPUTED_VALUE"""),"SELESAI (VIA PERMOHONAN)")</f>
        <v>SELESAI (VIA PERMOHONAN)</v>
      </c>
      <c r="G3237" s="17">
        <f>IFERROR(__xludf.DUMMYFUNCTION("""COMPUTED_VALUE"""),45874.369862824075)</f>
        <v>45874.36986</v>
      </c>
      <c r="H3237" s="14" t="str">
        <f>IFERROR(__xludf.DUMMYFUNCTION("""COMPUTED_VALUE"""),"Eci (SU)")</f>
        <v>Eci (SU)</v>
      </c>
      <c r="I3237" s="13" t="str">
        <f>IFERROR(__xludf.DUMMYFUNCTION("""COMPUTED_VALUE"""),"SELESAI (VIA PERMOHONAN)")</f>
        <v>SELESAI (VIA PERMOHONAN)</v>
      </c>
      <c r="J3237" s="17">
        <f>IFERROR(__xludf.DUMMYFUNCTION("""COMPUTED_VALUE"""),45874.68076659722)</f>
        <v>45874.68077</v>
      </c>
      <c r="K3237" s="13" t="str">
        <f>IFERROR(__xludf.DUMMYFUNCTION("""COMPUTED_VALUE"""),"Selesai")</f>
        <v>Selesai</v>
      </c>
      <c r="L3237" s="17">
        <f>IFERROR(__xludf.DUMMYFUNCTION("""COMPUTED_VALUE"""),45874.68076659722)</f>
        <v>45874.68077</v>
      </c>
      <c r="M3237" s="13"/>
      <c r="N3237" s="13" t="str">
        <f>IFERROR(__xludf.DUMMYFUNCTION("""COMPUTED_VALUE"""),"")</f>
        <v/>
      </c>
      <c r="O3237" s="13" t="str">
        <f t="shared" si="1"/>
        <v/>
      </c>
    </row>
    <row r="3238" ht="22.5" customHeight="1">
      <c r="B3238" s="13">
        <f>IFERROR(__xludf.DUMMYFUNCTION("""COMPUTED_VALUE"""),3233.0)</f>
        <v>3233</v>
      </c>
      <c r="C3238" s="13" t="str">
        <f>IFERROR(__xludf.DUMMYFUNCTION("""COMPUTED_VALUE"""),"M. 1911/SUKARAME BARU")</f>
        <v>M. 1911/SUKARAME BARU</v>
      </c>
      <c r="D3238" s="13" t="str">
        <f>IFERROR(__xludf.DUMMYFUNCTION("""COMPUTED_VALUE"""),"K/17/240725/1")</f>
        <v>K/17/240725/1</v>
      </c>
      <c r="E3238" s="14" t="str">
        <f>IFERROR(__xludf.DUMMYFUNCTION("""COMPUTED_VALUE"""),"Heri (BT)")</f>
        <v>Heri (BT)</v>
      </c>
      <c r="F3238" s="14" t="str">
        <f>IFERROR(__xludf.DUMMYFUNCTION("""COMPUTED_VALUE"""),"SELESAI (VIA PERMOHONAN)")</f>
        <v>SELESAI (VIA PERMOHONAN)</v>
      </c>
      <c r="G3238" s="17">
        <f>IFERROR(__xludf.DUMMYFUNCTION("""COMPUTED_VALUE"""),45874.370301331015)</f>
        <v>45874.3703</v>
      </c>
      <c r="H3238" s="14" t="str">
        <f>IFERROR(__xludf.DUMMYFUNCTION("""COMPUTED_VALUE"""),"Eci (SU)")</f>
        <v>Eci (SU)</v>
      </c>
      <c r="I3238" s="13" t="str">
        <f>IFERROR(__xludf.DUMMYFUNCTION("""COMPUTED_VALUE"""),"SELESAI (VIA PERMOHONAN)")</f>
        <v>SELESAI (VIA PERMOHONAN)</v>
      </c>
      <c r="J3238" s="17">
        <f>IFERROR(__xludf.DUMMYFUNCTION("""COMPUTED_VALUE"""),45874.68076659722)</f>
        <v>45874.68077</v>
      </c>
      <c r="K3238" s="13" t="str">
        <f>IFERROR(__xludf.DUMMYFUNCTION("""COMPUTED_VALUE"""),"Selesai")</f>
        <v>Selesai</v>
      </c>
      <c r="L3238" s="17">
        <f>IFERROR(__xludf.DUMMYFUNCTION("""COMPUTED_VALUE"""),45874.68076659722)</f>
        <v>45874.68077</v>
      </c>
      <c r="M3238" s="13"/>
      <c r="N3238" s="13" t="str">
        <f>IFERROR(__xludf.DUMMYFUNCTION("""COMPUTED_VALUE"""),"")</f>
        <v/>
      </c>
      <c r="O3238" s="13" t="str">
        <f t="shared" si="1"/>
        <v/>
      </c>
    </row>
    <row r="3239" ht="22.5" customHeight="1">
      <c r="B3239" s="13">
        <f>IFERROR(__xludf.DUMMYFUNCTION("""COMPUTED_VALUE"""),3234.0)</f>
        <v>3234</v>
      </c>
      <c r="C3239" s="13" t="str">
        <f>IFERROR(__xludf.DUMMYFUNCTION("""COMPUTED_VALUE"""),"HGB 123/Kemiling Permai")</f>
        <v>HGB 123/Kemiling Permai</v>
      </c>
      <c r="D3239" s="13" t="str">
        <f>IFERROR(__xludf.DUMMYFUNCTION("""COMPUTED_VALUE"""),"K/33/230725/2")</f>
        <v>K/33/230725/2</v>
      </c>
      <c r="E3239" s="14" t="str">
        <f>IFERROR(__xludf.DUMMYFUNCTION("""COMPUTED_VALUE"""),"Heri (BT)")</f>
        <v>Heri (BT)</v>
      </c>
      <c r="F3239" s="14" t="str">
        <f>IFERROR(__xludf.DUMMYFUNCTION("""COMPUTED_VALUE"""),"SELESAI (VIA PERMOHONAN)")</f>
        <v>SELESAI (VIA PERMOHONAN)</v>
      </c>
      <c r="G3239" s="17">
        <f>IFERROR(__xludf.DUMMYFUNCTION("""COMPUTED_VALUE"""),45874.370421307874)</f>
        <v>45874.37042</v>
      </c>
      <c r="H3239" s="14" t="str">
        <f>IFERROR(__xludf.DUMMYFUNCTION("""COMPUTED_VALUE"""),"Eci (SU)")</f>
        <v>Eci (SU)</v>
      </c>
      <c r="I3239" s="13" t="str">
        <f>IFERROR(__xludf.DUMMYFUNCTION("""COMPUTED_VALUE"""),"SELESAI (VIA PERMOHONAN)")</f>
        <v>SELESAI (VIA PERMOHONAN)</v>
      </c>
      <c r="J3239" s="17">
        <f>IFERROR(__xludf.DUMMYFUNCTION("""COMPUTED_VALUE"""),45874.68081498843)</f>
        <v>45874.68081</v>
      </c>
      <c r="K3239" s="13" t="str">
        <f>IFERROR(__xludf.DUMMYFUNCTION("""COMPUTED_VALUE"""),"Selesai")</f>
        <v>Selesai</v>
      </c>
      <c r="L3239" s="17">
        <f>IFERROR(__xludf.DUMMYFUNCTION("""COMPUTED_VALUE"""),45874.68081498843)</f>
        <v>45874.68081</v>
      </c>
      <c r="M3239" s="13"/>
      <c r="N3239" s="13" t="str">
        <f>IFERROR(__xludf.DUMMYFUNCTION("""COMPUTED_VALUE"""),"")</f>
        <v/>
      </c>
      <c r="O3239" s="13" t="str">
        <f t="shared" si="1"/>
        <v/>
      </c>
    </row>
    <row r="3240" ht="22.5" customHeight="1">
      <c r="B3240" s="13">
        <f>IFERROR(__xludf.DUMMYFUNCTION("""COMPUTED_VALUE"""),3235.0)</f>
        <v>3235</v>
      </c>
      <c r="C3240" s="13" t="str">
        <f>IFERROR(__xludf.DUMMYFUNCTION("""COMPUTED_VALUE"""),"M. 3692/ Nusantara Permai")</f>
        <v>M. 3692/ Nusantara Permai</v>
      </c>
      <c r="D3240" s="13" t="str">
        <f>IFERROR(__xludf.DUMMYFUNCTION("""COMPUTED_VALUE"""),"K/34/280725/1")</f>
        <v>K/34/280725/1</v>
      </c>
      <c r="E3240" s="14" t="str">
        <f>IFERROR(__xludf.DUMMYFUNCTION("""COMPUTED_VALUE"""),"Heri (BT)")</f>
        <v>Heri (BT)</v>
      </c>
      <c r="F3240" s="14" t="str">
        <f>IFERROR(__xludf.DUMMYFUNCTION("""COMPUTED_VALUE"""),"SELESAI (VIA PERMOHONAN)")</f>
        <v>SELESAI (VIA PERMOHONAN)</v>
      </c>
      <c r="G3240" s="17">
        <f>IFERROR(__xludf.DUMMYFUNCTION("""COMPUTED_VALUE"""),45874.37060096065)</f>
        <v>45874.3706</v>
      </c>
      <c r="H3240" s="14" t="str">
        <f>IFERROR(__xludf.DUMMYFUNCTION("""COMPUTED_VALUE"""),"Eci (SU)")</f>
        <v>Eci (SU)</v>
      </c>
      <c r="I3240" s="13" t="str">
        <f>IFERROR(__xludf.DUMMYFUNCTION("""COMPUTED_VALUE"""),"SELESAI (VIA PERMOHONAN)")</f>
        <v>SELESAI (VIA PERMOHONAN)</v>
      </c>
      <c r="J3240" s="17">
        <f>IFERROR(__xludf.DUMMYFUNCTION("""COMPUTED_VALUE"""),45874.68081498843)</f>
        <v>45874.68081</v>
      </c>
      <c r="K3240" s="13" t="str">
        <f>IFERROR(__xludf.DUMMYFUNCTION("""COMPUTED_VALUE"""),"Selesai")</f>
        <v>Selesai</v>
      </c>
      <c r="L3240" s="17">
        <f>IFERROR(__xludf.DUMMYFUNCTION("""COMPUTED_VALUE"""),45874.68081498843)</f>
        <v>45874.68081</v>
      </c>
      <c r="M3240" s="13"/>
      <c r="N3240" s="13" t="str">
        <f>IFERROR(__xludf.DUMMYFUNCTION("""COMPUTED_VALUE"""),"")</f>
        <v/>
      </c>
      <c r="O3240" s="13" t="str">
        <f t="shared" si="1"/>
        <v/>
      </c>
    </row>
    <row r="3241" ht="22.5" customHeight="1">
      <c r="B3241" s="13">
        <f>IFERROR(__xludf.DUMMYFUNCTION("""COMPUTED_VALUE"""),3236.0)</f>
        <v>3236</v>
      </c>
      <c r="C3241" s="13" t="str">
        <f>IFERROR(__xludf.DUMMYFUNCTION("""COMPUTED_VALUE"""),"M. 2208/ Sukamaju")</f>
        <v>M. 2208/ Sukamaju</v>
      </c>
      <c r="D3241" s="13" t="str">
        <f>IFERROR(__xludf.DUMMYFUNCTION("""COMPUTED_VALUE"""),"K/2/220725/2")</f>
        <v>K/2/220725/2</v>
      </c>
      <c r="E3241" s="14" t="str">
        <f>IFERROR(__xludf.DUMMYFUNCTION("""COMPUTED_VALUE"""),"Heri (BT)")</f>
        <v>Heri (BT)</v>
      </c>
      <c r="F3241" s="14" t="str">
        <f>IFERROR(__xludf.DUMMYFUNCTION("""COMPUTED_VALUE"""),"SELESAI (VIA PERMOHONAN)")</f>
        <v>SELESAI (VIA PERMOHONAN)</v>
      </c>
      <c r="G3241" s="17">
        <f>IFERROR(__xludf.DUMMYFUNCTION("""COMPUTED_VALUE"""),45874.37068199074)</f>
        <v>45874.37068</v>
      </c>
      <c r="H3241" s="14" t="str">
        <f>IFERROR(__xludf.DUMMYFUNCTION("""COMPUTED_VALUE"""),"Eci (SU)")</f>
        <v>Eci (SU)</v>
      </c>
      <c r="I3241" s="13" t="str">
        <f>IFERROR(__xludf.DUMMYFUNCTION("""COMPUTED_VALUE"""),"SELESAI (VIA PERMOHONAN)")</f>
        <v>SELESAI (VIA PERMOHONAN)</v>
      </c>
      <c r="J3241" s="17">
        <f>IFERROR(__xludf.DUMMYFUNCTION("""COMPUTED_VALUE"""),45874.68081498843)</f>
        <v>45874.68081</v>
      </c>
      <c r="K3241" s="13" t="str">
        <f>IFERROR(__xludf.DUMMYFUNCTION("""COMPUTED_VALUE"""),"Selesai")</f>
        <v>Selesai</v>
      </c>
      <c r="L3241" s="17">
        <f>IFERROR(__xludf.DUMMYFUNCTION("""COMPUTED_VALUE"""),45874.68081498843)</f>
        <v>45874.68081</v>
      </c>
      <c r="M3241" s="13"/>
      <c r="N3241" s="13" t="str">
        <f>IFERROR(__xludf.DUMMYFUNCTION("""COMPUTED_VALUE"""),"")</f>
        <v/>
      </c>
      <c r="O3241" s="13" t="str">
        <f t="shared" si="1"/>
        <v/>
      </c>
    </row>
    <row r="3242" ht="22.5" customHeight="1">
      <c r="B3242" s="13">
        <f>IFERROR(__xludf.DUMMYFUNCTION("""COMPUTED_VALUE"""),3237.0)</f>
        <v>3237</v>
      </c>
      <c r="C3242" s="13" t="str">
        <f>IFERROR(__xludf.DUMMYFUNCTION("""COMPUTED_VALUE"""),"M. 2391/ Langkapura")</f>
        <v>M. 2391/ Langkapura</v>
      </c>
      <c r="D3242" s="13" t="str">
        <f>IFERROR(__xludf.DUMMYFUNCTION("""COMPUTED_VALUE"""),"K/10/230725/1")</f>
        <v>K/10/230725/1</v>
      </c>
      <c r="E3242" s="14" t="str">
        <f>IFERROR(__xludf.DUMMYFUNCTION("""COMPUTED_VALUE"""),"Heri (BT)")</f>
        <v>Heri (BT)</v>
      </c>
      <c r="F3242" s="14" t="str">
        <f>IFERROR(__xludf.DUMMYFUNCTION("""COMPUTED_VALUE"""),"SELESAI (VIA PERMOHONAN)")</f>
        <v>SELESAI (VIA PERMOHONAN)</v>
      </c>
      <c r="G3242" s="17">
        <f>IFERROR(__xludf.DUMMYFUNCTION("""COMPUTED_VALUE"""),45874.37083076389)</f>
        <v>45874.37083</v>
      </c>
      <c r="H3242" s="14" t="str">
        <f>IFERROR(__xludf.DUMMYFUNCTION("""COMPUTED_VALUE"""),"Eci (SU)")</f>
        <v>Eci (SU)</v>
      </c>
      <c r="I3242" s="13" t="str">
        <f>IFERROR(__xludf.DUMMYFUNCTION("""COMPUTED_VALUE"""),"SELESAI (VIA PERMOHONAN)")</f>
        <v>SELESAI (VIA PERMOHONAN)</v>
      </c>
      <c r="J3242" s="17">
        <f>IFERROR(__xludf.DUMMYFUNCTION("""COMPUTED_VALUE"""),45874.68081498843)</f>
        <v>45874.68081</v>
      </c>
      <c r="K3242" s="13" t="str">
        <f>IFERROR(__xludf.DUMMYFUNCTION("""COMPUTED_VALUE"""),"Selesai")</f>
        <v>Selesai</v>
      </c>
      <c r="L3242" s="17">
        <f>IFERROR(__xludf.DUMMYFUNCTION("""COMPUTED_VALUE"""),45874.68081498843)</f>
        <v>45874.68081</v>
      </c>
      <c r="M3242" s="13"/>
      <c r="N3242" s="13" t="str">
        <f>IFERROR(__xludf.DUMMYFUNCTION("""COMPUTED_VALUE"""),"")</f>
        <v/>
      </c>
      <c r="O3242" s="13" t="str">
        <f t="shared" si="1"/>
        <v/>
      </c>
    </row>
    <row r="3243" ht="22.5" customHeight="1">
      <c r="B3243" s="13">
        <f>IFERROR(__xludf.DUMMYFUNCTION("""COMPUTED_VALUE"""),3238.0)</f>
        <v>3238</v>
      </c>
      <c r="C3243" s="13" t="str">
        <f>IFERROR(__xludf.DUMMYFUNCTION("""COMPUTED_VALUE"""),"M. 602/ Sumber Agung")</f>
        <v>M. 602/ Sumber Agung</v>
      </c>
      <c r="D3243" s="13" t="str">
        <f>IFERROR(__xludf.DUMMYFUNCTION("""COMPUTED_VALUE"""),"K/17/090725/1")</f>
        <v>K/17/090725/1</v>
      </c>
      <c r="E3243" s="14" t="str">
        <f>IFERROR(__xludf.DUMMYFUNCTION("""COMPUTED_VALUE"""),"Heri (BT)")</f>
        <v>Heri (BT)</v>
      </c>
      <c r="F3243" s="14" t="str">
        <f>IFERROR(__xludf.DUMMYFUNCTION("""COMPUTED_VALUE"""),"SELESAI (VIA PERMOHONAN)")</f>
        <v>SELESAI (VIA PERMOHONAN)</v>
      </c>
      <c r="G3243" s="17">
        <f>IFERROR(__xludf.DUMMYFUNCTION("""COMPUTED_VALUE"""),45874.371028333335)</f>
        <v>45874.37103</v>
      </c>
      <c r="H3243" s="14" t="str">
        <f>IFERROR(__xludf.DUMMYFUNCTION("""COMPUTED_VALUE"""),"Eci (SU)")</f>
        <v>Eci (SU)</v>
      </c>
      <c r="I3243" s="13" t="str">
        <f>IFERROR(__xludf.DUMMYFUNCTION("""COMPUTED_VALUE"""),"SELESAI (VIA PERMOHONAN)")</f>
        <v>SELESAI (VIA PERMOHONAN)</v>
      </c>
      <c r="J3243" s="17">
        <f>IFERROR(__xludf.DUMMYFUNCTION("""COMPUTED_VALUE"""),45874.68081498843)</f>
        <v>45874.68081</v>
      </c>
      <c r="K3243" s="13" t="str">
        <f>IFERROR(__xludf.DUMMYFUNCTION("""COMPUTED_VALUE"""),"Selesai")</f>
        <v>Selesai</v>
      </c>
      <c r="L3243" s="17">
        <f>IFERROR(__xludf.DUMMYFUNCTION("""COMPUTED_VALUE"""),45874.68081498843)</f>
        <v>45874.68081</v>
      </c>
      <c r="M3243" s="13"/>
      <c r="N3243" s="13" t="str">
        <f>IFERROR(__xludf.DUMMYFUNCTION("""COMPUTED_VALUE"""),"")</f>
        <v/>
      </c>
      <c r="O3243" s="13" t="str">
        <f t="shared" si="1"/>
        <v/>
      </c>
    </row>
    <row r="3244" ht="22.5" customHeight="1">
      <c r="B3244" s="13">
        <f>IFERROR(__xludf.DUMMYFUNCTION("""COMPUTED_VALUE"""),3239.0)</f>
        <v>3239</v>
      </c>
      <c r="C3244" s="13" t="str">
        <f>IFERROR(__xludf.DUMMYFUNCTION("""COMPUTED_VALUE"""),"B. 841/ Perumnas Way Kandis")</f>
        <v>B. 841/ Perumnas Way Kandis</v>
      </c>
      <c r="D3244" s="13" t="str">
        <f>IFERROR(__xludf.DUMMYFUNCTION("""COMPUTED_VALUE"""),"K/1/070725/1")</f>
        <v>K/1/070725/1</v>
      </c>
      <c r="E3244" s="14" t="str">
        <f>IFERROR(__xludf.DUMMYFUNCTION("""COMPUTED_VALUE"""),"Heri (BT)")</f>
        <v>Heri (BT)</v>
      </c>
      <c r="F3244" s="14" t="str">
        <f>IFERROR(__xludf.DUMMYFUNCTION("""COMPUTED_VALUE"""),"SELESAI (VIA PERMOHONAN)")</f>
        <v>SELESAI (VIA PERMOHONAN)</v>
      </c>
      <c r="G3244" s="17">
        <f>IFERROR(__xludf.DUMMYFUNCTION("""COMPUTED_VALUE"""),45874.371146550926)</f>
        <v>45874.37115</v>
      </c>
      <c r="H3244" s="14" t="str">
        <f>IFERROR(__xludf.DUMMYFUNCTION("""COMPUTED_VALUE"""),"Eci (SU)")</f>
        <v>Eci (SU)</v>
      </c>
      <c r="I3244" s="13" t="str">
        <f>IFERROR(__xludf.DUMMYFUNCTION("""COMPUTED_VALUE"""),"SELESAI (VIA PERMOHONAN)")</f>
        <v>SELESAI (VIA PERMOHONAN)</v>
      </c>
      <c r="J3244" s="17">
        <f>IFERROR(__xludf.DUMMYFUNCTION("""COMPUTED_VALUE"""),45874.68081498843)</f>
        <v>45874.68081</v>
      </c>
      <c r="K3244" s="13" t="str">
        <f>IFERROR(__xludf.DUMMYFUNCTION("""COMPUTED_VALUE"""),"Selesai")</f>
        <v>Selesai</v>
      </c>
      <c r="L3244" s="17">
        <f>IFERROR(__xludf.DUMMYFUNCTION("""COMPUTED_VALUE"""),45874.68081498843)</f>
        <v>45874.68081</v>
      </c>
      <c r="M3244" s="13"/>
      <c r="N3244" s="13" t="str">
        <f>IFERROR(__xludf.DUMMYFUNCTION("""COMPUTED_VALUE"""),"")</f>
        <v/>
      </c>
      <c r="O3244" s="13" t="str">
        <f t="shared" si="1"/>
        <v/>
      </c>
    </row>
    <row r="3245" ht="22.5" customHeight="1">
      <c r="B3245" s="13">
        <f>IFERROR(__xludf.DUMMYFUNCTION("""COMPUTED_VALUE"""),3240.0)</f>
        <v>3240</v>
      </c>
      <c r="C3245" s="13" t="str">
        <f>IFERROR(__xludf.DUMMYFUNCTION("""COMPUTED_VALUE"""),"M. 12729/ Kedamaian")</f>
        <v>M. 12729/ Kedamaian</v>
      </c>
      <c r="D3245" s="13" t="str">
        <f>IFERROR(__xludf.DUMMYFUNCTION("""COMPUTED_VALUE"""),"K/22/010725/1")</f>
        <v>K/22/010725/1</v>
      </c>
      <c r="E3245" s="14" t="str">
        <f>IFERROR(__xludf.DUMMYFUNCTION("""COMPUTED_VALUE"""),"Heri (BT)")</f>
        <v>Heri (BT)</v>
      </c>
      <c r="F3245" s="14" t="str">
        <f>IFERROR(__xludf.DUMMYFUNCTION("""COMPUTED_VALUE"""),"SELESAI (VIA PERMOHONAN)")</f>
        <v>SELESAI (VIA PERMOHONAN)</v>
      </c>
      <c r="G3245" s="17">
        <f>IFERROR(__xludf.DUMMYFUNCTION("""COMPUTED_VALUE"""),45874.37129416667)</f>
        <v>45874.37129</v>
      </c>
      <c r="H3245" s="14" t="str">
        <f>IFERROR(__xludf.DUMMYFUNCTION("""COMPUTED_VALUE"""),"Eci (SU)")</f>
        <v>Eci (SU)</v>
      </c>
      <c r="I3245" s="13" t="str">
        <f>IFERROR(__xludf.DUMMYFUNCTION("""COMPUTED_VALUE"""),"SELESAI (VIA PERMOHONAN)")</f>
        <v>SELESAI (VIA PERMOHONAN)</v>
      </c>
      <c r="J3245" s="17">
        <f>IFERROR(__xludf.DUMMYFUNCTION("""COMPUTED_VALUE"""),45874.68081498843)</f>
        <v>45874.68081</v>
      </c>
      <c r="K3245" s="13" t="str">
        <f>IFERROR(__xludf.DUMMYFUNCTION("""COMPUTED_VALUE"""),"Selesai")</f>
        <v>Selesai</v>
      </c>
      <c r="L3245" s="17">
        <f>IFERROR(__xludf.DUMMYFUNCTION("""COMPUTED_VALUE"""),45874.68081498843)</f>
        <v>45874.68081</v>
      </c>
      <c r="M3245" s="13"/>
      <c r="N3245" s="13" t="str">
        <f>IFERROR(__xludf.DUMMYFUNCTION("""COMPUTED_VALUE"""),"")</f>
        <v/>
      </c>
      <c r="O3245" s="13" t="str">
        <f t="shared" si="1"/>
        <v/>
      </c>
    </row>
    <row r="3246" ht="22.5" customHeight="1">
      <c r="B3246" s="13">
        <f>IFERROR(__xludf.DUMMYFUNCTION("""COMPUTED_VALUE"""),3241.0)</f>
        <v>3241</v>
      </c>
      <c r="C3246" s="13" t="str">
        <f>IFERROR(__xludf.DUMMYFUNCTION("""COMPUTED_VALUE"""),"M. 12728/ Kedamaian")</f>
        <v>M. 12728/ Kedamaian</v>
      </c>
      <c r="D3246" s="13" t="str">
        <f>IFERROR(__xludf.DUMMYFUNCTION("""COMPUTED_VALUE"""),"K/23/010725/2")</f>
        <v>K/23/010725/2</v>
      </c>
      <c r="E3246" s="14" t="str">
        <f>IFERROR(__xludf.DUMMYFUNCTION("""COMPUTED_VALUE"""),"Heri (BT)")</f>
        <v>Heri (BT)</v>
      </c>
      <c r="F3246" s="14" t="str">
        <f>IFERROR(__xludf.DUMMYFUNCTION("""COMPUTED_VALUE"""),"SELESAI (VIA PERMOHONAN)")</f>
        <v>SELESAI (VIA PERMOHONAN)</v>
      </c>
      <c r="G3246" s="17">
        <f>IFERROR(__xludf.DUMMYFUNCTION("""COMPUTED_VALUE"""),45874.37143796297)</f>
        <v>45874.37144</v>
      </c>
      <c r="H3246" s="14" t="str">
        <f>IFERROR(__xludf.DUMMYFUNCTION("""COMPUTED_VALUE"""),"Eci (SU)")</f>
        <v>Eci (SU)</v>
      </c>
      <c r="I3246" s="13" t="str">
        <f>IFERROR(__xludf.DUMMYFUNCTION("""COMPUTED_VALUE"""),"SELESAI (VIA PERMOHONAN)")</f>
        <v>SELESAI (VIA PERMOHONAN)</v>
      </c>
      <c r="J3246" s="17">
        <f>IFERROR(__xludf.DUMMYFUNCTION("""COMPUTED_VALUE"""),45874.68081498843)</f>
        <v>45874.68081</v>
      </c>
      <c r="K3246" s="13" t="str">
        <f>IFERROR(__xludf.DUMMYFUNCTION("""COMPUTED_VALUE"""),"Selesai")</f>
        <v>Selesai</v>
      </c>
      <c r="L3246" s="17">
        <f>IFERROR(__xludf.DUMMYFUNCTION("""COMPUTED_VALUE"""),45874.68081498843)</f>
        <v>45874.68081</v>
      </c>
      <c r="M3246" s="13"/>
      <c r="N3246" s="13" t="str">
        <f>IFERROR(__xludf.DUMMYFUNCTION("""COMPUTED_VALUE"""),"")</f>
        <v/>
      </c>
      <c r="O3246" s="13" t="str">
        <f t="shared" si="1"/>
        <v/>
      </c>
    </row>
    <row r="3247" ht="22.5" customHeight="1">
      <c r="B3247" s="13">
        <f>IFERROR(__xludf.DUMMYFUNCTION("""COMPUTED_VALUE"""),3242.0)</f>
        <v>3242</v>
      </c>
      <c r="C3247" s="13" t="str">
        <f>IFERROR(__xludf.DUMMYFUNCTION("""COMPUTED_VALUE"""),"M. 1380/ Way Lunik")</f>
        <v>M. 1380/ Way Lunik</v>
      </c>
      <c r="D3247" s="13" t="str">
        <f>IFERROR(__xludf.DUMMYFUNCTION("""COMPUTED_VALUE"""),"K/21/220725/2")</f>
        <v>K/21/220725/2</v>
      </c>
      <c r="E3247" s="14" t="str">
        <f>IFERROR(__xludf.DUMMYFUNCTION("""COMPUTED_VALUE"""),"Heri (BT)")</f>
        <v>Heri (BT)</v>
      </c>
      <c r="F3247" s="14" t="str">
        <f>IFERROR(__xludf.DUMMYFUNCTION("""COMPUTED_VALUE"""),"SELESAI (VIA PERMOHONAN)")</f>
        <v>SELESAI (VIA PERMOHONAN)</v>
      </c>
      <c r="G3247" s="17">
        <f>IFERROR(__xludf.DUMMYFUNCTION("""COMPUTED_VALUE"""),45874.37164167824)</f>
        <v>45874.37164</v>
      </c>
      <c r="H3247" s="14" t="str">
        <f>IFERROR(__xludf.DUMMYFUNCTION("""COMPUTED_VALUE"""),"Eci (SU)")</f>
        <v>Eci (SU)</v>
      </c>
      <c r="I3247" s="13" t="str">
        <f>IFERROR(__xludf.DUMMYFUNCTION("""COMPUTED_VALUE"""),"SELESAI (VIA PERMOHONAN)")</f>
        <v>SELESAI (VIA PERMOHONAN)</v>
      </c>
      <c r="J3247" s="17">
        <f>IFERROR(__xludf.DUMMYFUNCTION("""COMPUTED_VALUE"""),45874.68081498843)</f>
        <v>45874.68081</v>
      </c>
      <c r="K3247" s="13" t="str">
        <f>IFERROR(__xludf.DUMMYFUNCTION("""COMPUTED_VALUE"""),"Selesai")</f>
        <v>Selesai</v>
      </c>
      <c r="L3247" s="17">
        <f>IFERROR(__xludf.DUMMYFUNCTION("""COMPUTED_VALUE"""),45874.68081498843)</f>
        <v>45874.68081</v>
      </c>
      <c r="M3247" s="13"/>
      <c r="N3247" s="13" t="str">
        <f>IFERROR(__xludf.DUMMYFUNCTION("""COMPUTED_VALUE"""),"")</f>
        <v/>
      </c>
      <c r="O3247" s="13" t="str">
        <f t="shared" si="1"/>
        <v/>
      </c>
    </row>
    <row r="3248" ht="22.5" customHeight="1">
      <c r="B3248" s="13">
        <f>IFERROR(__xludf.DUMMYFUNCTION("""COMPUTED_VALUE"""),3243.0)</f>
        <v>3243</v>
      </c>
      <c r="C3248" s="13" t="str">
        <f>IFERROR(__xludf.DUMMYFUNCTION("""COMPUTED_VALUE"""),"M. 14371/ Sukabumi")</f>
        <v>M. 14371/ Sukabumi</v>
      </c>
      <c r="D3248" s="13" t="str">
        <f>IFERROR(__xludf.DUMMYFUNCTION("""COMPUTED_VALUE"""),"K/31/220725/1")</f>
        <v>K/31/220725/1</v>
      </c>
      <c r="E3248" s="14" t="str">
        <f>IFERROR(__xludf.DUMMYFUNCTION("""COMPUTED_VALUE"""),"Heri (BT)")</f>
        <v>Heri (BT)</v>
      </c>
      <c r="F3248" s="14" t="str">
        <f>IFERROR(__xludf.DUMMYFUNCTION("""COMPUTED_VALUE"""),"SELESAI (VIA PERMOHONAN)")</f>
        <v>SELESAI (VIA PERMOHONAN)</v>
      </c>
      <c r="G3248" s="17">
        <f>IFERROR(__xludf.DUMMYFUNCTION("""COMPUTED_VALUE"""),45874.37178721065)</f>
        <v>45874.37179</v>
      </c>
      <c r="H3248" s="14" t="str">
        <f>IFERROR(__xludf.DUMMYFUNCTION("""COMPUTED_VALUE"""),"Eci (SU)")</f>
        <v>Eci (SU)</v>
      </c>
      <c r="I3248" s="13" t="str">
        <f>IFERROR(__xludf.DUMMYFUNCTION("""COMPUTED_VALUE"""),"SELESAI (VIA PERMOHONAN)")</f>
        <v>SELESAI (VIA PERMOHONAN)</v>
      </c>
      <c r="J3248" s="17">
        <f>IFERROR(__xludf.DUMMYFUNCTION("""COMPUTED_VALUE"""),45874.68081498843)</f>
        <v>45874.68081</v>
      </c>
      <c r="K3248" s="13" t="str">
        <f>IFERROR(__xludf.DUMMYFUNCTION("""COMPUTED_VALUE"""),"Selesai")</f>
        <v>Selesai</v>
      </c>
      <c r="L3248" s="17">
        <f>IFERROR(__xludf.DUMMYFUNCTION("""COMPUTED_VALUE"""),45874.68081498843)</f>
        <v>45874.68081</v>
      </c>
      <c r="M3248" s="13"/>
      <c r="N3248" s="13" t="str">
        <f>IFERROR(__xludf.DUMMYFUNCTION("""COMPUTED_VALUE"""),"")</f>
        <v/>
      </c>
      <c r="O3248" s="13" t="str">
        <f t="shared" si="1"/>
        <v/>
      </c>
    </row>
    <row r="3249" ht="22.5" customHeight="1">
      <c r="B3249" s="13">
        <f>IFERROR(__xludf.DUMMYFUNCTION("""COMPUTED_VALUE"""),3244.0)</f>
        <v>3244</v>
      </c>
      <c r="C3249" s="13" t="str">
        <f>IFERROR(__xludf.DUMMYFUNCTION("""COMPUTED_VALUE"""),"M. 2473/ Sukarame Baru")</f>
        <v>M. 2473/ Sukarame Baru</v>
      </c>
      <c r="D3249" s="13" t="str">
        <f>IFERROR(__xludf.DUMMYFUNCTION("""COMPUTED_VALUE"""),"K/20/220725/1")</f>
        <v>K/20/220725/1</v>
      </c>
      <c r="E3249" s="14" t="str">
        <f>IFERROR(__xludf.DUMMYFUNCTION("""COMPUTED_VALUE"""),"Heri (BT)")</f>
        <v>Heri (BT)</v>
      </c>
      <c r="F3249" s="14" t="str">
        <f>IFERROR(__xludf.DUMMYFUNCTION("""COMPUTED_VALUE"""),"SELESAI (VIA PERMOHONAN)")</f>
        <v>SELESAI (VIA PERMOHONAN)</v>
      </c>
      <c r="G3249" s="17">
        <f>IFERROR(__xludf.DUMMYFUNCTION("""COMPUTED_VALUE"""),45874.37202916667)</f>
        <v>45874.37203</v>
      </c>
      <c r="H3249" s="14" t="str">
        <f>IFERROR(__xludf.DUMMYFUNCTION("""COMPUTED_VALUE"""),"Eci (SU)")</f>
        <v>Eci (SU)</v>
      </c>
      <c r="I3249" s="13" t="str">
        <f>IFERROR(__xludf.DUMMYFUNCTION("""COMPUTED_VALUE"""),"SELESAI (VIA PERMOHONAN)")</f>
        <v>SELESAI (VIA PERMOHONAN)</v>
      </c>
      <c r="J3249" s="17">
        <f>IFERROR(__xludf.DUMMYFUNCTION("""COMPUTED_VALUE"""),45874.68081498843)</f>
        <v>45874.68081</v>
      </c>
      <c r="K3249" s="13" t="str">
        <f>IFERROR(__xludf.DUMMYFUNCTION("""COMPUTED_VALUE"""),"Selesai")</f>
        <v>Selesai</v>
      </c>
      <c r="L3249" s="17">
        <f>IFERROR(__xludf.DUMMYFUNCTION("""COMPUTED_VALUE"""),45874.68081498843)</f>
        <v>45874.68081</v>
      </c>
      <c r="M3249" s="13"/>
      <c r="N3249" s="13" t="str">
        <f>IFERROR(__xludf.DUMMYFUNCTION("""COMPUTED_VALUE"""),"")</f>
        <v/>
      </c>
      <c r="O3249" s="13" t="str">
        <f t="shared" si="1"/>
        <v/>
      </c>
    </row>
    <row r="3250" ht="22.5" customHeight="1">
      <c r="B3250" s="13">
        <f>IFERROR(__xludf.DUMMYFUNCTION("""COMPUTED_VALUE"""),3245.0)</f>
        <v>3245</v>
      </c>
      <c r="C3250" s="13" t="str">
        <f>IFERROR(__xludf.DUMMYFUNCTION("""COMPUTED_VALUE"""),"HM 12146JAGABAYA II")</f>
        <v>HM 12146JAGABAYA II</v>
      </c>
      <c r="D3250" s="13" t="str">
        <f>IFERROR(__xludf.DUMMYFUNCTION("""COMPUTED_VALUE"""),"L/23/180725/1")</f>
        <v>L/23/180725/1</v>
      </c>
      <c r="E3250" s="14" t="str">
        <f>IFERROR(__xludf.DUMMYFUNCTION("""COMPUTED_VALUE"""),"Heri (BT)")</f>
        <v>Heri (BT)</v>
      </c>
      <c r="F3250" s="14" t="str">
        <f>IFERROR(__xludf.DUMMYFUNCTION("""COMPUTED_VALUE"""),"SELESAI (VIA PERMOHONAN)")</f>
        <v>SELESAI (VIA PERMOHONAN)</v>
      </c>
      <c r="G3250" s="17">
        <f>IFERROR(__xludf.DUMMYFUNCTION("""COMPUTED_VALUE"""),45874.37211711805)</f>
        <v>45874.37212</v>
      </c>
      <c r="H3250" s="14" t="str">
        <f>IFERROR(__xludf.DUMMYFUNCTION("""COMPUTED_VALUE"""),"Eci (SU)")</f>
        <v>Eci (SU)</v>
      </c>
      <c r="I3250" s="13" t="str">
        <f>IFERROR(__xludf.DUMMYFUNCTION("""COMPUTED_VALUE"""),"SELESAI (VIA PERMOHONAN)")</f>
        <v>SELESAI (VIA PERMOHONAN)</v>
      </c>
      <c r="J3250" s="17">
        <f>IFERROR(__xludf.DUMMYFUNCTION("""COMPUTED_VALUE"""),45874.68081498843)</f>
        <v>45874.68081</v>
      </c>
      <c r="K3250" s="13" t="str">
        <f>IFERROR(__xludf.DUMMYFUNCTION("""COMPUTED_VALUE"""),"Selesai")</f>
        <v>Selesai</v>
      </c>
      <c r="L3250" s="17">
        <f>IFERROR(__xludf.DUMMYFUNCTION("""COMPUTED_VALUE"""),45874.68081498843)</f>
        <v>45874.68081</v>
      </c>
      <c r="M3250" s="13"/>
      <c r="N3250" s="13" t="str">
        <f>IFERROR(__xludf.DUMMYFUNCTION("""COMPUTED_VALUE"""),"")</f>
        <v/>
      </c>
      <c r="O3250" s="13" t="str">
        <f t="shared" si="1"/>
        <v/>
      </c>
    </row>
    <row r="3251" ht="22.5" customHeight="1">
      <c r="B3251" s="13">
        <f>IFERROR(__xludf.DUMMYFUNCTION("""COMPUTED_VALUE"""),3246.0)</f>
        <v>3246</v>
      </c>
      <c r="C3251" s="13" t="str">
        <f>IFERROR(__xludf.DUMMYFUNCTION("""COMPUTED_VALUE"""),"B. 624/ Sumber Agung")</f>
        <v>B. 624/ Sumber Agung</v>
      </c>
      <c r="D3251" s="13" t="str">
        <f>IFERROR(__xludf.DUMMYFUNCTION("""COMPUTED_VALUE"""),"K/16/210725/1")</f>
        <v>K/16/210725/1</v>
      </c>
      <c r="E3251" s="14" t="str">
        <f>IFERROR(__xludf.DUMMYFUNCTION("""COMPUTED_VALUE"""),"Heri (BT)")</f>
        <v>Heri (BT)</v>
      </c>
      <c r="F3251" s="14" t="str">
        <f>IFERROR(__xludf.DUMMYFUNCTION("""COMPUTED_VALUE"""),"SELESAI (VIA PERMOHONAN)")</f>
        <v>SELESAI (VIA PERMOHONAN)</v>
      </c>
      <c r="G3251" s="17">
        <f>IFERROR(__xludf.DUMMYFUNCTION("""COMPUTED_VALUE"""),45874.37227203704)</f>
        <v>45874.37227</v>
      </c>
      <c r="H3251" s="14" t="str">
        <f>IFERROR(__xludf.DUMMYFUNCTION("""COMPUTED_VALUE"""),"Eci (SU)")</f>
        <v>Eci (SU)</v>
      </c>
      <c r="I3251" s="13" t="str">
        <f>IFERROR(__xludf.DUMMYFUNCTION("""COMPUTED_VALUE"""),"SELESAI (VIA PERMOHONAN)")</f>
        <v>SELESAI (VIA PERMOHONAN)</v>
      </c>
      <c r="J3251" s="17">
        <f>IFERROR(__xludf.DUMMYFUNCTION("""COMPUTED_VALUE"""),45874.68085474537)</f>
        <v>45874.68085</v>
      </c>
      <c r="K3251" s="13" t="str">
        <f>IFERROR(__xludf.DUMMYFUNCTION("""COMPUTED_VALUE"""),"Selesai")</f>
        <v>Selesai</v>
      </c>
      <c r="L3251" s="17">
        <f>IFERROR(__xludf.DUMMYFUNCTION("""COMPUTED_VALUE"""),45874.68085474537)</f>
        <v>45874.68085</v>
      </c>
      <c r="M3251" s="13"/>
      <c r="N3251" s="13" t="str">
        <f>IFERROR(__xludf.DUMMYFUNCTION("""COMPUTED_VALUE"""),"")</f>
        <v/>
      </c>
      <c r="O3251" s="13" t="str">
        <f t="shared" si="1"/>
        <v/>
      </c>
    </row>
    <row r="3252" ht="22.5" customHeight="1">
      <c r="B3252" s="13">
        <f>IFERROR(__xludf.DUMMYFUNCTION("""COMPUTED_VALUE"""),3247.0)</f>
        <v>3247</v>
      </c>
      <c r="C3252" s="13" t="str">
        <f>IFERROR(__xludf.DUMMYFUNCTION("""COMPUTED_VALUE"""),"M. 10239/ Sukamenanti")</f>
        <v>M. 10239/ Sukamenanti</v>
      </c>
      <c r="D3252" s="13" t="str">
        <f>IFERROR(__xludf.DUMMYFUNCTION("""COMPUTED_VALUE"""),"K/33/240726/2")</f>
        <v>K/33/240726/2</v>
      </c>
      <c r="E3252" s="14" t="str">
        <f>IFERROR(__xludf.DUMMYFUNCTION("""COMPUTED_VALUE"""),"Heri (BT)")</f>
        <v>Heri (BT)</v>
      </c>
      <c r="F3252" s="14" t="str">
        <f>IFERROR(__xludf.DUMMYFUNCTION("""COMPUTED_VALUE"""),"SELESAI (VIA PERMOHONAN)")</f>
        <v>SELESAI (VIA PERMOHONAN)</v>
      </c>
      <c r="G3252" s="17">
        <f>IFERROR(__xludf.DUMMYFUNCTION("""COMPUTED_VALUE"""),45874.37243275463)</f>
        <v>45874.37243</v>
      </c>
      <c r="H3252" s="14" t="str">
        <f>IFERROR(__xludf.DUMMYFUNCTION("""COMPUTED_VALUE"""),"Eci (SU)")</f>
        <v>Eci (SU)</v>
      </c>
      <c r="I3252" s="13" t="str">
        <f>IFERROR(__xludf.DUMMYFUNCTION("""COMPUTED_VALUE"""),"SELESAI (VIA PERMOHONAN)")</f>
        <v>SELESAI (VIA PERMOHONAN)</v>
      </c>
      <c r="J3252" s="17">
        <f>IFERROR(__xludf.DUMMYFUNCTION("""COMPUTED_VALUE"""),45874.68085474537)</f>
        <v>45874.68085</v>
      </c>
      <c r="K3252" s="13" t="str">
        <f>IFERROR(__xludf.DUMMYFUNCTION("""COMPUTED_VALUE"""),"Selesai")</f>
        <v>Selesai</v>
      </c>
      <c r="L3252" s="17">
        <f>IFERROR(__xludf.DUMMYFUNCTION("""COMPUTED_VALUE"""),45874.68085474537)</f>
        <v>45874.68085</v>
      </c>
      <c r="M3252" s="13"/>
      <c r="N3252" s="13" t="str">
        <f>IFERROR(__xludf.DUMMYFUNCTION("""COMPUTED_VALUE"""),"")</f>
        <v/>
      </c>
      <c r="O3252" s="13" t="str">
        <f t="shared" si="1"/>
        <v/>
      </c>
    </row>
    <row r="3253" ht="22.5" customHeight="1">
      <c r="B3253" s="13">
        <f>IFERROR(__xludf.DUMMYFUNCTION("""COMPUTED_VALUE"""),3248.0)</f>
        <v>3248</v>
      </c>
      <c r="C3253" s="13" t="str">
        <f>IFERROR(__xludf.DUMMYFUNCTION("""COMPUTED_VALUE"""),"M. 2730/ Sukarame II")</f>
        <v>M. 2730/ Sukarame II</v>
      </c>
      <c r="D3253" s="13" t="str">
        <f>IFERROR(__xludf.DUMMYFUNCTION("""COMPUTED_VALUE"""),"K/26/040725/3")</f>
        <v>K/26/040725/3</v>
      </c>
      <c r="E3253" s="14" t="str">
        <f>IFERROR(__xludf.DUMMYFUNCTION("""COMPUTED_VALUE"""),"Heri (BT)")</f>
        <v>Heri (BT)</v>
      </c>
      <c r="F3253" s="14" t="str">
        <f>IFERROR(__xludf.DUMMYFUNCTION("""COMPUTED_VALUE"""),"SELESAI (VIA PERMOHONAN)")</f>
        <v>SELESAI (VIA PERMOHONAN)</v>
      </c>
      <c r="G3253" s="17">
        <f>IFERROR(__xludf.DUMMYFUNCTION("""COMPUTED_VALUE"""),45874.37257184028)</f>
        <v>45874.37257</v>
      </c>
      <c r="H3253" s="14" t="str">
        <f>IFERROR(__xludf.DUMMYFUNCTION("""COMPUTED_VALUE"""),"Eci (SU)")</f>
        <v>Eci (SU)</v>
      </c>
      <c r="I3253" s="13" t="str">
        <f>IFERROR(__xludf.DUMMYFUNCTION("""COMPUTED_VALUE"""),"SELESAI (VIA PERMOHONAN)")</f>
        <v>SELESAI (VIA PERMOHONAN)</v>
      </c>
      <c r="J3253" s="17">
        <f>IFERROR(__xludf.DUMMYFUNCTION("""COMPUTED_VALUE"""),45874.68085474537)</f>
        <v>45874.68085</v>
      </c>
      <c r="K3253" s="13" t="str">
        <f>IFERROR(__xludf.DUMMYFUNCTION("""COMPUTED_VALUE"""),"Selesai")</f>
        <v>Selesai</v>
      </c>
      <c r="L3253" s="17">
        <f>IFERROR(__xludf.DUMMYFUNCTION("""COMPUTED_VALUE"""),45874.68085474537)</f>
        <v>45874.68085</v>
      </c>
      <c r="M3253" s="13"/>
      <c r="N3253" s="13" t="str">
        <f>IFERROR(__xludf.DUMMYFUNCTION("""COMPUTED_VALUE"""),"")</f>
        <v/>
      </c>
      <c r="O3253" s="13" t="str">
        <f t="shared" si="1"/>
        <v/>
      </c>
    </row>
    <row r="3254" ht="22.5" customHeight="1">
      <c r="B3254" s="13">
        <f>IFERROR(__xludf.DUMMYFUNCTION("""COMPUTED_VALUE"""),3249.0)</f>
        <v>3249</v>
      </c>
      <c r="C3254" s="13" t="str">
        <f>IFERROR(__xludf.DUMMYFUNCTION("""COMPUTED_VALUE"""),"M. 2400/ Pinang Jaya")</f>
        <v>M. 2400/ Pinang Jaya</v>
      </c>
      <c r="D3254" s="13" t="str">
        <f>IFERROR(__xludf.DUMMYFUNCTION("""COMPUTED_VALUE"""),"K/35/100725/2")</f>
        <v>K/35/100725/2</v>
      </c>
      <c r="E3254" s="14" t="str">
        <f>IFERROR(__xludf.DUMMYFUNCTION("""COMPUTED_VALUE"""),"Heri (BT)")</f>
        <v>Heri (BT)</v>
      </c>
      <c r="F3254" s="14" t="str">
        <f>IFERROR(__xludf.DUMMYFUNCTION("""COMPUTED_VALUE"""),"SELESAI (VIA PERMOHONAN)")</f>
        <v>SELESAI (VIA PERMOHONAN)</v>
      </c>
      <c r="G3254" s="17">
        <f>IFERROR(__xludf.DUMMYFUNCTION("""COMPUTED_VALUE"""),45874.372710625)</f>
        <v>45874.37271</v>
      </c>
      <c r="H3254" s="14" t="str">
        <f>IFERROR(__xludf.DUMMYFUNCTION("""COMPUTED_VALUE"""),"Eci (SU)")</f>
        <v>Eci (SU)</v>
      </c>
      <c r="I3254" s="13" t="str">
        <f>IFERROR(__xludf.DUMMYFUNCTION("""COMPUTED_VALUE"""),"SELESAI (VIA PERMOHONAN)")</f>
        <v>SELESAI (VIA PERMOHONAN)</v>
      </c>
      <c r="J3254" s="17">
        <f>IFERROR(__xludf.DUMMYFUNCTION("""COMPUTED_VALUE"""),45874.68085474537)</f>
        <v>45874.68085</v>
      </c>
      <c r="K3254" s="13" t="str">
        <f>IFERROR(__xludf.DUMMYFUNCTION("""COMPUTED_VALUE"""),"Selesai")</f>
        <v>Selesai</v>
      </c>
      <c r="L3254" s="17">
        <f>IFERROR(__xludf.DUMMYFUNCTION("""COMPUTED_VALUE"""),45874.68085474537)</f>
        <v>45874.68085</v>
      </c>
      <c r="M3254" s="13"/>
      <c r="N3254" s="13" t="str">
        <f>IFERROR(__xludf.DUMMYFUNCTION("""COMPUTED_VALUE"""),"")</f>
        <v/>
      </c>
      <c r="O3254" s="13" t="str">
        <f t="shared" si="1"/>
        <v/>
      </c>
    </row>
    <row r="3255" ht="22.5" customHeight="1">
      <c r="B3255" s="13">
        <f>IFERROR(__xludf.DUMMYFUNCTION("""COMPUTED_VALUE"""),3250.0)</f>
        <v>3250</v>
      </c>
      <c r="C3255" s="13" t="str">
        <f>IFERROR(__xludf.DUMMYFUNCTION("""COMPUTED_VALUE"""),"M. 2440/ Kedaung")</f>
        <v>M. 2440/ Kedaung</v>
      </c>
      <c r="D3255" s="13" t="str">
        <f>IFERROR(__xludf.DUMMYFUNCTION("""COMPUTED_VALUE"""),"K/30/240726/2")</f>
        <v>K/30/240726/2</v>
      </c>
      <c r="E3255" s="14" t="str">
        <f>IFERROR(__xludf.DUMMYFUNCTION("""COMPUTED_VALUE"""),"Heri (BT)")</f>
        <v>Heri (BT)</v>
      </c>
      <c r="F3255" s="14" t="str">
        <f>IFERROR(__xludf.DUMMYFUNCTION("""COMPUTED_VALUE"""),"SELESAI (VIA PERMOHONAN)")</f>
        <v>SELESAI (VIA PERMOHONAN)</v>
      </c>
      <c r="G3255" s="17">
        <f>IFERROR(__xludf.DUMMYFUNCTION("""COMPUTED_VALUE"""),45874.37284195602)</f>
        <v>45874.37284</v>
      </c>
      <c r="H3255" s="14" t="str">
        <f>IFERROR(__xludf.DUMMYFUNCTION("""COMPUTED_VALUE"""),"Eci (SU)")</f>
        <v>Eci (SU)</v>
      </c>
      <c r="I3255" s="13" t="str">
        <f>IFERROR(__xludf.DUMMYFUNCTION("""COMPUTED_VALUE"""),"SELESAI (VIA PERMOHONAN)")</f>
        <v>SELESAI (VIA PERMOHONAN)</v>
      </c>
      <c r="J3255" s="17">
        <f>IFERROR(__xludf.DUMMYFUNCTION("""COMPUTED_VALUE"""),45874.68085474537)</f>
        <v>45874.68085</v>
      </c>
      <c r="K3255" s="13" t="str">
        <f>IFERROR(__xludf.DUMMYFUNCTION("""COMPUTED_VALUE"""),"Selesai")</f>
        <v>Selesai</v>
      </c>
      <c r="L3255" s="17">
        <f>IFERROR(__xludf.DUMMYFUNCTION("""COMPUTED_VALUE"""),45874.68085474537)</f>
        <v>45874.68085</v>
      </c>
      <c r="M3255" s="13"/>
      <c r="N3255" s="13" t="str">
        <f>IFERROR(__xludf.DUMMYFUNCTION("""COMPUTED_VALUE"""),"")</f>
        <v/>
      </c>
      <c r="O3255" s="13" t="str">
        <f t="shared" si="1"/>
        <v/>
      </c>
    </row>
    <row r="3256" ht="22.5" customHeight="1">
      <c r="B3256" s="13">
        <f>IFERROR(__xludf.DUMMYFUNCTION("""COMPUTED_VALUE"""),3251.0)</f>
        <v>3251</v>
      </c>
      <c r="C3256" s="13" t="str">
        <f>IFERROR(__xludf.DUMMYFUNCTION("""COMPUTED_VALUE"""),"M. 463/ Pinang Jaya")</f>
        <v>M. 463/ Pinang Jaya</v>
      </c>
      <c r="D3256" s="13" t="str">
        <f>IFERROR(__xludf.DUMMYFUNCTION("""COMPUTED_VALUE"""),"K/41/160725/1")</f>
        <v>K/41/160725/1</v>
      </c>
      <c r="E3256" s="14" t="str">
        <f>IFERROR(__xludf.DUMMYFUNCTION("""COMPUTED_VALUE"""),"Heri (BT)")</f>
        <v>Heri (BT)</v>
      </c>
      <c r="F3256" s="14" t="str">
        <f>IFERROR(__xludf.DUMMYFUNCTION("""COMPUTED_VALUE"""),"SELESAI (VIA PERMOHONAN)")</f>
        <v>SELESAI (VIA PERMOHONAN)</v>
      </c>
      <c r="G3256" s="17">
        <f>IFERROR(__xludf.DUMMYFUNCTION("""COMPUTED_VALUE"""),45874.37297581018)</f>
        <v>45874.37298</v>
      </c>
      <c r="H3256" s="14" t="str">
        <f>IFERROR(__xludf.DUMMYFUNCTION("""COMPUTED_VALUE"""),"Eci (SU)")</f>
        <v>Eci (SU)</v>
      </c>
      <c r="I3256" s="13" t="str">
        <f>IFERROR(__xludf.DUMMYFUNCTION("""COMPUTED_VALUE"""),"SELESAI (VIA PERMOHONAN)")</f>
        <v>SELESAI (VIA PERMOHONAN)</v>
      </c>
      <c r="J3256" s="17">
        <f>IFERROR(__xludf.DUMMYFUNCTION("""COMPUTED_VALUE"""),45874.68085474537)</f>
        <v>45874.68085</v>
      </c>
      <c r="K3256" s="13" t="str">
        <f>IFERROR(__xludf.DUMMYFUNCTION("""COMPUTED_VALUE"""),"Selesai")</f>
        <v>Selesai</v>
      </c>
      <c r="L3256" s="17">
        <f>IFERROR(__xludf.DUMMYFUNCTION("""COMPUTED_VALUE"""),45874.68085474537)</f>
        <v>45874.68085</v>
      </c>
      <c r="M3256" s="13"/>
      <c r="N3256" s="13" t="str">
        <f>IFERROR(__xludf.DUMMYFUNCTION("""COMPUTED_VALUE"""),"")</f>
        <v/>
      </c>
      <c r="O3256" s="13" t="str">
        <f t="shared" si="1"/>
        <v/>
      </c>
    </row>
    <row r="3257" ht="22.5" customHeight="1">
      <c r="B3257" s="13">
        <f>IFERROR(__xludf.DUMMYFUNCTION("""COMPUTED_VALUE"""),3252.0)</f>
        <v>3252</v>
      </c>
      <c r="C3257" s="13" t="str">
        <f>IFERROR(__xludf.DUMMYFUNCTION("""COMPUTED_VALUE"""),"M. 2457/ Kedaung")</f>
        <v>M. 2457/ Kedaung</v>
      </c>
      <c r="D3257" s="13" t="str">
        <f>IFERROR(__xludf.DUMMYFUNCTION("""COMPUTED_VALUE"""),"K/29/240726/1")</f>
        <v>K/29/240726/1</v>
      </c>
      <c r="E3257" s="14" t="str">
        <f>IFERROR(__xludf.DUMMYFUNCTION("""COMPUTED_VALUE"""),"Heri (BT)")</f>
        <v>Heri (BT)</v>
      </c>
      <c r="F3257" s="14" t="str">
        <f>IFERROR(__xludf.DUMMYFUNCTION("""COMPUTED_VALUE"""),"SELESAI (VIA PERMOHONAN)")</f>
        <v>SELESAI (VIA PERMOHONAN)</v>
      </c>
      <c r="G3257" s="17">
        <f>IFERROR(__xludf.DUMMYFUNCTION("""COMPUTED_VALUE"""),45874.373120439814)</f>
        <v>45874.37312</v>
      </c>
      <c r="H3257" s="14" t="str">
        <f>IFERROR(__xludf.DUMMYFUNCTION("""COMPUTED_VALUE"""),"Eci (SU)")</f>
        <v>Eci (SU)</v>
      </c>
      <c r="I3257" s="13" t="str">
        <f>IFERROR(__xludf.DUMMYFUNCTION("""COMPUTED_VALUE"""),"SELESAI (VIA PERMOHONAN)")</f>
        <v>SELESAI (VIA PERMOHONAN)</v>
      </c>
      <c r="J3257" s="17">
        <f>IFERROR(__xludf.DUMMYFUNCTION("""COMPUTED_VALUE"""),45874.68085474537)</f>
        <v>45874.68085</v>
      </c>
      <c r="K3257" s="13" t="str">
        <f>IFERROR(__xludf.DUMMYFUNCTION("""COMPUTED_VALUE"""),"Selesai")</f>
        <v>Selesai</v>
      </c>
      <c r="L3257" s="17">
        <f>IFERROR(__xludf.DUMMYFUNCTION("""COMPUTED_VALUE"""),45874.68085474537)</f>
        <v>45874.68085</v>
      </c>
      <c r="M3257" s="13"/>
      <c r="N3257" s="13" t="str">
        <f>IFERROR(__xludf.DUMMYFUNCTION("""COMPUTED_VALUE"""),"")</f>
        <v/>
      </c>
      <c r="O3257" s="13" t="str">
        <f t="shared" si="1"/>
        <v/>
      </c>
    </row>
    <row r="3258" ht="22.5" customHeight="1">
      <c r="B3258" s="13">
        <f>IFERROR(__xludf.DUMMYFUNCTION("""COMPUTED_VALUE"""),3253.0)</f>
        <v>3253</v>
      </c>
      <c r="C3258" s="13" t="str">
        <f>IFERROR(__xludf.DUMMYFUNCTION("""COMPUTED_VALUE"""),"M.303/PERUMNAS WAY HALIM")</f>
        <v>M.303/PERUMNAS WAY HALIM</v>
      </c>
      <c r="D3258" s="13" t="str">
        <f>IFERROR(__xludf.DUMMYFUNCTION("""COMPUTED_VALUE"""),"K/31/210725/1")</f>
        <v>K/31/210725/1</v>
      </c>
      <c r="E3258" s="14" t="str">
        <f>IFERROR(__xludf.DUMMYFUNCTION("""COMPUTED_VALUE"""),"Heri (BT)")</f>
        <v>Heri (BT)</v>
      </c>
      <c r="F3258" s="14" t="str">
        <f>IFERROR(__xludf.DUMMYFUNCTION("""COMPUTED_VALUE"""),"SELESAI (VIA PERMOHONAN)")</f>
        <v>SELESAI (VIA PERMOHONAN)</v>
      </c>
      <c r="G3258" s="17">
        <f>IFERROR(__xludf.DUMMYFUNCTION("""COMPUTED_VALUE"""),45874.37329765046)</f>
        <v>45874.3733</v>
      </c>
      <c r="H3258" s="14" t="str">
        <f>IFERROR(__xludf.DUMMYFUNCTION("""COMPUTED_VALUE"""),"Eci (SU)")</f>
        <v>Eci (SU)</v>
      </c>
      <c r="I3258" s="13" t="str">
        <f>IFERROR(__xludf.DUMMYFUNCTION("""COMPUTED_VALUE"""),"SELESAI (VIA PERMOHONAN)")</f>
        <v>SELESAI (VIA PERMOHONAN)</v>
      </c>
      <c r="J3258" s="17">
        <f>IFERROR(__xludf.DUMMYFUNCTION("""COMPUTED_VALUE"""),45874.68085474537)</f>
        <v>45874.68085</v>
      </c>
      <c r="K3258" s="13" t="str">
        <f>IFERROR(__xludf.DUMMYFUNCTION("""COMPUTED_VALUE"""),"Selesai")</f>
        <v>Selesai</v>
      </c>
      <c r="L3258" s="17">
        <f>IFERROR(__xludf.DUMMYFUNCTION("""COMPUTED_VALUE"""),45874.68085474537)</f>
        <v>45874.68085</v>
      </c>
      <c r="M3258" s="13"/>
      <c r="N3258" s="13" t="str">
        <f>IFERROR(__xludf.DUMMYFUNCTION("""COMPUTED_VALUE"""),"")</f>
        <v/>
      </c>
      <c r="O3258" s="13" t="str">
        <f t="shared" si="1"/>
        <v/>
      </c>
    </row>
    <row r="3259" ht="22.5" customHeight="1">
      <c r="B3259" s="13">
        <f>IFERROR(__xludf.DUMMYFUNCTION("""COMPUTED_VALUE"""),3254.0)</f>
        <v>3254</v>
      </c>
      <c r="C3259" s="13" t="str">
        <f>IFERROR(__xludf.DUMMYFUNCTION("""COMPUTED_VALUE"""),"M.483/SUKARAME BARU")</f>
        <v>M.483/SUKARAME BARU</v>
      </c>
      <c r="D3259" s="13" t="str">
        <f>IFERROR(__xludf.DUMMYFUNCTION("""COMPUTED_VALUE"""),"K/1/090725/1")</f>
        <v>K/1/090725/1</v>
      </c>
      <c r="E3259" s="14" t="str">
        <f>IFERROR(__xludf.DUMMYFUNCTION("""COMPUTED_VALUE"""),"Heri (BT)")</f>
        <v>Heri (BT)</v>
      </c>
      <c r="F3259" s="14" t="str">
        <f>IFERROR(__xludf.DUMMYFUNCTION("""COMPUTED_VALUE"""),"SELESAI (VIA PERMOHONAN)")</f>
        <v>SELESAI (VIA PERMOHONAN)</v>
      </c>
      <c r="G3259" s="17">
        <f>IFERROR(__xludf.DUMMYFUNCTION("""COMPUTED_VALUE"""),45874.37352527778)</f>
        <v>45874.37353</v>
      </c>
      <c r="H3259" s="14" t="str">
        <f>IFERROR(__xludf.DUMMYFUNCTION("""COMPUTED_VALUE"""),"Eci (SU)")</f>
        <v>Eci (SU)</v>
      </c>
      <c r="I3259" s="13" t="str">
        <f>IFERROR(__xludf.DUMMYFUNCTION("""COMPUTED_VALUE"""),"SELESAI (VIA PERMOHONAN)")</f>
        <v>SELESAI (VIA PERMOHONAN)</v>
      </c>
      <c r="J3259" s="17">
        <f>IFERROR(__xludf.DUMMYFUNCTION("""COMPUTED_VALUE"""),45874.68085474537)</f>
        <v>45874.68085</v>
      </c>
      <c r="K3259" s="13" t="str">
        <f>IFERROR(__xludf.DUMMYFUNCTION("""COMPUTED_VALUE"""),"Selesai")</f>
        <v>Selesai</v>
      </c>
      <c r="L3259" s="17">
        <f>IFERROR(__xludf.DUMMYFUNCTION("""COMPUTED_VALUE"""),45874.68085474537)</f>
        <v>45874.68085</v>
      </c>
      <c r="M3259" s="13"/>
      <c r="N3259" s="13" t="str">
        <f>IFERROR(__xludf.DUMMYFUNCTION("""COMPUTED_VALUE"""),"")</f>
        <v/>
      </c>
      <c r="O3259" s="13" t="str">
        <f t="shared" si="1"/>
        <v/>
      </c>
    </row>
    <row r="3260" ht="22.5" customHeight="1">
      <c r="B3260" s="13">
        <f>IFERROR(__xludf.DUMMYFUNCTION("""COMPUTED_VALUE"""),3255.0)</f>
        <v>3255</v>
      </c>
      <c r="C3260" s="13" t="str">
        <f>IFERROR(__xludf.DUMMYFUNCTION("""COMPUTED_VALUE"""),"B.499/SUMBER AGUNG")</f>
        <v>B.499/SUMBER AGUNG</v>
      </c>
      <c r="D3260" s="13" t="str">
        <f>IFERROR(__xludf.DUMMYFUNCTION("""COMPUTED_VALUE"""),"K/16/240725/1")</f>
        <v>K/16/240725/1</v>
      </c>
      <c r="E3260" s="14" t="str">
        <f>IFERROR(__xludf.DUMMYFUNCTION("""COMPUTED_VALUE"""),"Heri (BT)")</f>
        <v>Heri (BT)</v>
      </c>
      <c r="F3260" s="14" t="str">
        <f>IFERROR(__xludf.DUMMYFUNCTION("""COMPUTED_VALUE"""),"SELESAI (VIA PERMOHONAN)")</f>
        <v>SELESAI (VIA PERMOHONAN)</v>
      </c>
      <c r="G3260" s="17">
        <f>IFERROR(__xludf.DUMMYFUNCTION("""COMPUTED_VALUE"""),45874.373626678236)</f>
        <v>45874.37363</v>
      </c>
      <c r="H3260" s="14" t="str">
        <f>IFERROR(__xludf.DUMMYFUNCTION("""COMPUTED_VALUE"""),"Eci (SU)")</f>
        <v>Eci (SU)</v>
      </c>
      <c r="I3260" s="13" t="str">
        <f>IFERROR(__xludf.DUMMYFUNCTION("""COMPUTED_VALUE"""),"SELESAI (VIA PERMOHONAN)")</f>
        <v>SELESAI (VIA PERMOHONAN)</v>
      </c>
      <c r="J3260" s="17">
        <f>IFERROR(__xludf.DUMMYFUNCTION("""COMPUTED_VALUE"""),45874.68085474537)</f>
        <v>45874.68085</v>
      </c>
      <c r="K3260" s="13" t="str">
        <f>IFERROR(__xludf.DUMMYFUNCTION("""COMPUTED_VALUE"""),"Selesai")</f>
        <v>Selesai</v>
      </c>
      <c r="L3260" s="17">
        <f>IFERROR(__xludf.DUMMYFUNCTION("""COMPUTED_VALUE"""),45874.68085474537)</f>
        <v>45874.68085</v>
      </c>
      <c r="M3260" s="13"/>
      <c r="N3260" s="13" t="str">
        <f>IFERROR(__xludf.DUMMYFUNCTION("""COMPUTED_VALUE"""),"")</f>
        <v/>
      </c>
      <c r="O3260" s="13" t="str">
        <f t="shared" si="1"/>
        <v/>
      </c>
    </row>
    <row r="3261" ht="22.5" customHeight="1">
      <c r="B3261" s="13">
        <f>IFERROR(__xludf.DUMMYFUNCTION("""COMPUTED_VALUE"""),3256.0)</f>
        <v>3256</v>
      </c>
      <c r="C3261" s="13" t="str">
        <f>IFERROR(__xludf.DUMMYFUNCTION("""COMPUTED_VALUE"""),"M. 787/ Kuripan")</f>
        <v>M. 787/ Kuripan</v>
      </c>
      <c r="D3261" s="13" t="str">
        <f>IFERROR(__xludf.DUMMYFUNCTION("""COMPUTED_VALUE"""),"K/14/220725/1")</f>
        <v>K/14/220725/1</v>
      </c>
      <c r="E3261" s="14" t="str">
        <f>IFERROR(__xludf.DUMMYFUNCTION("""COMPUTED_VALUE"""),"Heri (BT)")</f>
        <v>Heri (BT)</v>
      </c>
      <c r="F3261" s="14" t="str">
        <f>IFERROR(__xludf.DUMMYFUNCTION("""COMPUTED_VALUE"""),"SELESAI (VIA PERMOHONAN)")</f>
        <v>SELESAI (VIA PERMOHONAN)</v>
      </c>
      <c r="G3261" s="17">
        <f>IFERROR(__xludf.DUMMYFUNCTION("""COMPUTED_VALUE"""),45875.363972418985)</f>
        <v>45875.36397</v>
      </c>
      <c r="H3261" s="14" t="str">
        <f>IFERROR(__xludf.DUMMYFUNCTION("""COMPUTED_VALUE"""),"Eci (SU)")</f>
        <v>Eci (SU)</v>
      </c>
      <c r="I3261" s="13" t="str">
        <f>IFERROR(__xludf.DUMMYFUNCTION("""COMPUTED_VALUE"""),"SELESAI (VIA PERMOHONAN)")</f>
        <v>SELESAI (VIA PERMOHONAN)</v>
      </c>
      <c r="J3261" s="17">
        <f>IFERROR(__xludf.DUMMYFUNCTION("""COMPUTED_VALUE"""),45875.68720914352)</f>
        <v>45875.68721</v>
      </c>
      <c r="K3261" s="13" t="str">
        <f>IFERROR(__xludf.DUMMYFUNCTION("""COMPUTED_VALUE"""),"Selesai")</f>
        <v>Selesai</v>
      </c>
      <c r="L3261" s="17">
        <f>IFERROR(__xludf.DUMMYFUNCTION("""COMPUTED_VALUE"""),45875.68720914352)</f>
        <v>45875.68721</v>
      </c>
      <c r="M3261" s="13"/>
      <c r="N3261" s="13" t="str">
        <f>IFERROR(__xludf.DUMMYFUNCTION("""COMPUTED_VALUE"""),"")</f>
        <v/>
      </c>
      <c r="O3261" s="13" t="str">
        <f t="shared" si="1"/>
        <v/>
      </c>
    </row>
    <row r="3262" ht="22.5" customHeight="1">
      <c r="B3262" s="13">
        <f>IFERROR(__xludf.DUMMYFUNCTION("""COMPUTED_VALUE"""),3257.0)</f>
        <v>3257</v>
      </c>
      <c r="C3262" s="13" t="str">
        <f>IFERROR(__xludf.DUMMYFUNCTION("""COMPUTED_VALUE"""),"M.367/TANJUNG SENANG")</f>
        <v>M.367/TANJUNG SENANG</v>
      </c>
      <c r="D3262" s="13" t="str">
        <f>IFERROR(__xludf.DUMMYFUNCTION("""COMPUTED_VALUE"""),"K/4/110725/1")</f>
        <v>K/4/110725/1</v>
      </c>
      <c r="E3262" s="14" t="str">
        <f>IFERROR(__xludf.DUMMYFUNCTION("""COMPUTED_VALUE"""),"Heri (BT)")</f>
        <v>Heri (BT)</v>
      </c>
      <c r="F3262" s="14" t="str">
        <f>IFERROR(__xludf.DUMMYFUNCTION("""COMPUTED_VALUE"""),"SELESAI (VIA PERMOHONAN)")</f>
        <v>SELESAI (VIA PERMOHONAN)</v>
      </c>
      <c r="G3262" s="17">
        <f>IFERROR(__xludf.DUMMYFUNCTION("""COMPUTED_VALUE"""),45875.364119074075)</f>
        <v>45875.36412</v>
      </c>
      <c r="H3262" s="14" t="str">
        <f>IFERROR(__xludf.DUMMYFUNCTION("""COMPUTED_VALUE"""),"Eci (SU)")</f>
        <v>Eci (SU)</v>
      </c>
      <c r="I3262" s="13" t="str">
        <f>IFERROR(__xludf.DUMMYFUNCTION("""COMPUTED_VALUE"""),"SELESAI (VIA PERMOHONAN)")</f>
        <v>SELESAI (VIA PERMOHONAN)</v>
      </c>
      <c r="J3262" s="17">
        <f>IFERROR(__xludf.DUMMYFUNCTION("""COMPUTED_VALUE"""),45875.687246643516)</f>
        <v>45875.68725</v>
      </c>
      <c r="K3262" s="13" t="str">
        <f>IFERROR(__xludf.DUMMYFUNCTION("""COMPUTED_VALUE"""),"Selesai")</f>
        <v>Selesai</v>
      </c>
      <c r="L3262" s="17">
        <f>IFERROR(__xludf.DUMMYFUNCTION("""COMPUTED_VALUE"""),45875.687246643516)</f>
        <v>45875.68725</v>
      </c>
      <c r="M3262" s="13"/>
      <c r="N3262" s="13" t="str">
        <f>IFERROR(__xludf.DUMMYFUNCTION("""COMPUTED_VALUE"""),"")</f>
        <v/>
      </c>
      <c r="O3262" s="13" t="str">
        <f t="shared" si="1"/>
        <v/>
      </c>
    </row>
    <row r="3263" ht="22.5" customHeight="1">
      <c r="B3263" s="13">
        <f>IFERROR(__xludf.DUMMYFUNCTION("""COMPUTED_VALUE"""),3258.0)</f>
        <v>3258</v>
      </c>
      <c r="C3263" s="13" t="str">
        <f>IFERROR(__xludf.DUMMYFUNCTION("""COMPUTED_VALUE"""),"M.187,M.457/PIDADA")</f>
        <v>M.187,M.457/PIDADA</v>
      </c>
      <c r="D3263" s="13" t="str">
        <f>IFERROR(__xludf.DUMMYFUNCTION("""COMPUTED_VALUE"""),"K/5/020725/1")</f>
        <v>K/5/020725/1</v>
      </c>
      <c r="E3263" s="14" t="str">
        <f>IFERROR(__xludf.DUMMYFUNCTION("""COMPUTED_VALUE"""),"Heri (BT)")</f>
        <v>Heri (BT)</v>
      </c>
      <c r="F3263" s="14" t="str">
        <f>IFERROR(__xludf.DUMMYFUNCTION("""COMPUTED_VALUE"""),"SELESAI (VIA PERMOHONAN)")</f>
        <v>SELESAI (VIA PERMOHONAN)</v>
      </c>
      <c r="G3263" s="17">
        <f>IFERROR(__xludf.DUMMYFUNCTION("""COMPUTED_VALUE"""),45875.36438644676)</f>
        <v>45875.36439</v>
      </c>
      <c r="H3263" s="14" t="str">
        <f>IFERROR(__xludf.DUMMYFUNCTION("""COMPUTED_VALUE"""),"Eci (SU)")</f>
        <v>Eci (SU)</v>
      </c>
      <c r="I3263" s="13" t="str">
        <f>IFERROR(__xludf.DUMMYFUNCTION("""COMPUTED_VALUE"""),"SELESAI (VIA PERMOHONAN)")</f>
        <v>SELESAI (VIA PERMOHONAN)</v>
      </c>
      <c r="J3263" s="17">
        <f>IFERROR(__xludf.DUMMYFUNCTION("""COMPUTED_VALUE"""),45875.687246643516)</f>
        <v>45875.68725</v>
      </c>
      <c r="K3263" s="13" t="str">
        <f>IFERROR(__xludf.DUMMYFUNCTION("""COMPUTED_VALUE"""),"Selesai")</f>
        <v>Selesai</v>
      </c>
      <c r="L3263" s="17">
        <f>IFERROR(__xludf.DUMMYFUNCTION("""COMPUTED_VALUE"""),45875.687246643516)</f>
        <v>45875.68725</v>
      </c>
      <c r="M3263" s="13"/>
      <c r="N3263" s="13" t="str">
        <f>IFERROR(__xludf.DUMMYFUNCTION("""COMPUTED_VALUE"""),"")</f>
        <v/>
      </c>
      <c r="O3263" s="13" t="str">
        <f t="shared" si="1"/>
        <v/>
      </c>
    </row>
    <row r="3264" ht="22.5" customHeight="1">
      <c r="B3264" s="13">
        <f>IFERROR(__xludf.DUMMYFUNCTION("""COMPUTED_VALUE"""),3259.0)</f>
        <v>3259</v>
      </c>
      <c r="C3264" s="13" t="str">
        <f>IFERROR(__xludf.DUMMYFUNCTION("""COMPUTED_VALUE"""),"M.1768/RAJABASA NUNYAI")</f>
        <v>M.1768/RAJABASA NUNYAI</v>
      </c>
      <c r="D3264" s="13" t="str">
        <f>IFERROR(__xludf.DUMMYFUNCTION("""COMPUTED_VALUE"""),"K/35/150725/2")</f>
        <v>K/35/150725/2</v>
      </c>
      <c r="E3264" s="14" t="str">
        <f>IFERROR(__xludf.DUMMYFUNCTION("""COMPUTED_VALUE"""),"Heri (BT)")</f>
        <v>Heri (BT)</v>
      </c>
      <c r="F3264" s="14" t="str">
        <f>IFERROR(__xludf.DUMMYFUNCTION("""COMPUTED_VALUE"""),"SELESAI (VIA PERMOHONAN)")</f>
        <v>SELESAI (VIA PERMOHONAN)</v>
      </c>
      <c r="G3264" s="17">
        <f>IFERROR(__xludf.DUMMYFUNCTION("""COMPUTED_VALUE"""),45875.36448954861)</f>
        <v>45875.36449</v>
      </c>
      <c r="H3264" s="14" t="str">
        <f>IFERROR(__xludf.DUMMYFUNCTION("""COMPUTED_VALUE"""),"Eci (SU)")</f>
        <v>Eci (SU)</v>
      </c>
      <c r="I3264" s="13" t="str">
        <f>IFERROR(__xludf.DUMMYFUNCTION("""COMPUTED_VALUE"""),"SELESAI (VIA PERMOHONAN)")</f>
        <v>SELESAI (VIA PERMOHONAN)</v>
      </c>
      <c r="J3264" s="17">
        <f>IFERROR(__xludf.DUMMYFUNCTION("""COMPUTED_VALUE"""),45875.687246643516)</f>
        <v>45875.68725</v>
      </c>
      <c r="K3264" s="13" t="str">
        <f>IFERROR(__xludf.DUMMYFUNCTION("""COMPUTED_VALUE"""),"Selesai")</f>
        <v>Selesai</v>
      </c>
      <c r="L3264" s="17">
        <f>IFERROR(__xludf.DUMMYFUNCTION("""COMPUTED_VALUE"""),45875.687246643516)</f>
        <v>45875.68725</v>
      </c>
      <c r="M3264" s="13"/>
      <c r="N3264" s="13" t="str">
        <f>IFERROR(__xludf.DUMMYFUNCTION("""COMPUTED_VALUE"""),"")</f>
        <v/>
      </c>
      <c r="O3264" s="13" t="str">
        <f t="shared" si="1"/>
        <v/>
      </c>
    </row>
    <row r="3265" ht="22.5" customHeight="1">
      <c r="B3265" s="13">
        <f>IFERROR(__xludf.DUMMYFUNCTION("""COMPUTED_VALUE"""),3260.0)</f>
        <v>3260</v>
      </c>
      <c r="C3265" s="13" t="str">
        <f>IFERROR(__xludf.DUMMYFUNCTION("""COMPUTED_VALUE"""),"M. 1414/SUKABUMI INDAH")</f>
        <v>M. 1414/SUKABUMI INDAH</v>
      </c>
      <c r="D3265" s="13" t="str">
        <f>IFERROR(__xludf.DUMMYFUNCTION("""COMPUTED_VALUE"""),"K/3/220725/1")</f>
        <v>K/3/220725/1</v>
      </c>
      <c r="E3265" s="14" t="str">
        <f>IFERROR(__xludf.DUMMYFUNCTION("""COMPUTED_VALUE"""),"Heri (BT)")</f>
        <v>Heri (BT)</v>
      </c>
      <c r="F3265" s="14" t="str">
        <f>IFERROR(__xludf.DUMMYFUNCTION("""COMPUTED_VALUE"""),"SELESAI (VIA PERMOHONAN)")</f>
        <v>SELESAI (VIA PERMOHONAN)</v>
      </c>
      <c r="G3265" s="17">
        <f>IFERROR(__xludf.DUMMYFUNCTION("""COMPUTED_VALUE"""),45875.36477980324)</f>
        <v>45875.36478</v>
      </c>
      <c r="H3265" s="14" t="str">
        <f>IFERROR(__xludf.DUMMYFUNCTION("""COMPUTED_VALUE"""),"Eci (SU)")</f>
        <v>Eci (SU)</v>
      </c>
      <c r="I3265" s="13" t="str">
        <f>IFERROR(__xludf.DUMMYFUNCTION("""COMPUTED_VALUE"""),"SELESAI (VIA PERMOHONAN)")</f>
        <v>SELESAI (VIA PERMOHONAN)</v>
      </c>
      <c r="J3265" s="17">
        <f>IFERROR(__xludf.DUMMYFUNCTION("""COMPUTED_VALUE"""),45875.687246643516)</f>
        <v>45875.68725</v>
      </c>
      <c r="K3265" s="13" t="str">
        <f>IFERROR(__xludf.DUMMYFUNCTION("""COMPUTED_VALUE"""),"Selesai")</f>
        <v>Selesai</v>
      </c>
      <c r="L3265" s="17">
        <f>IFERROR(__xludf.DUMMYFUNCTION("""COMPUTED_VALUE"""),45875.687246643516)</f>
        <v>45875.68725</v>
      </c>
      <c r="M3265" s="13"/>
      <c r="N3265" s="13" t="str">
        <f>IFERROR(__xludf.DUMMYFUNCTION("""COMPUTED_VALUE"""),"")</f>
        <v/>
      </c>
      <c r="O3265" s="13" t="str">
        <f t="shared" si="1"/>
        <v/>
      </c>
    </row>
    <row r="3266" ht="22.5" customHeight="1">
      <c r="B3266" s="13">
        <f>IFERROR(__xludf.DUMMYFUNCTION("""COMPUTED_VALUE"""),3261.0)</f>
        <v>3261</v>
      </c>
      <c r="C3266" s="13" t="str">
        <f>IFERROR(__xludf.DUMMYFUNCTION("""COMPUTED_VALUE"""),"M.1073/KEMILING RAYA")</f>
        <v>M.1073/KEMILING RAYA</v>
      </c>
      <c r="D3266" s="13" t="str">
        <f>IFERROR(__xludf.DUMMYFUNCTION("""COMPUTED_VALUE"""),"K/45/010725/1")</f>
        <v>K/45/010725/1</v>
      </c>
      <c r="E3266" s="14" t="str">
        <f>IFERROR(__xludf.DUMMYFUNCTION("""COMPUTED_VALUE"""),"Heri (BT)")</f>
        <v>Heri (BT)</v>
      </c>
      <c r="F3266" s="14" t="str">
        <f>IFERROR(__xludf.DUMMYFUNCTION("""COMPUTED_VALUE"""),"SELESAI (VIA PERMOHONAN)")</f>
        <v>SELESAI (VIA PERMOHONAN)</v>
      </c>
      <c r="G3266" s="17">
        <f>IFERROR(__xludf.DUMMYFUNCTION("""COMPUTED_VALUE"""),45875.3651206713)</f>
        <v>45875.36512</v>
      </c>
      <c r="H3266" s="14" t="str">
        <f>IFERROR(__xludf.DUMMYFUNCTION("""COMPUTED_VALUE"""),"Eci (SU)")</f>
        <v>Eci (SU)</v>
      </c>
      <c r="I3266" s="13" t="str">
        <f>IFERROR(__xludf.DUMMYFUNCTION("""COMPUTED_VALUE"""),"SELESAI (VIA PERMOHONAN)")</f>
        <v>SELESAI (VIA PERMOHONAN)</v>
      </c>
      <c r="J3266" s="17">
        <f>IFERROR(__xludf.DUMMYFUNCTION("""COMPUTED_VALUE"""),45875.687246643516)</f>
        <v>45875.68725</v>
      </c>
      <c r="K3266" s="13" t="str">
        <f>IFERROR(__xludf.DUMMYFUNCTION("""COMPUTED_VALUE"""),"Selesai")</f>
        <v>Selesai</v>
      </c>
      <c r="L3266" s="17">
        <f>IFERROR(__xludf.DUMMYFUNCTION("""COMPUTED_VALUE"""),45875.687246643516)</f>
        <v>45875.68725</v>
      </c>
      <c r="M3266" s="13"/>
      <c r="N3266" s="13" t="str">
        <f>IFERROR(__xludf.DUMMYFUNCTION("""COMPUTED_VALUE"""),"")</f>
        <v/>
      </c>
      <c r="O3266" s="13" t="str">
        <f t="shared" si="1"/>
        <v/>
      </c>
    </row>
    <row r="3267" ht="22.5" customHeight="1">
      <c r="B3267" s="13">
        <f>IFERROR(__xludf.DUMMYFUNCTION("""COMPUTED_VALUE"""),3262.0)</f>
        <v>3262</v>
      </c>
      <c r="C3267" s="13" t="str">
        <f>IFERROR(__xludf.DUMMYFUNCTION("""COMPUTED_VALUE"""),"M. 9821/ Gedung Meneng")</f>
        <v>M. 9821/ Gedung Meneng</v>
      </c>
      <c r="D3267" s="13" t="str">
        <f>IFERROR(__xludf.DUMMYFUNCTION("""COMPUTED_VALUE"""),"K/38/140725/1")</f>
        <v>K/38/140725/1</v>
      </c>
      <c r="E3267" s="14" t="str">
        <f>IFERROR(__xludf.DUMMYFUNCTION("""COMPUTED_VALUE"""),"Heri (BT)")</f>
        <v>Heri (BT)</v>
      </c>
      <c r="F3267" s="14" t="str">
        <f>IFERROR(__xludf.DUMMYFUNCTION("""COMPUTED_VALUE"""),"SELESAI (VIA PERMOHONAN)")</f>
        <v>SELESAI (VIA PERMOHONAN)</v>
      </c>
      <c r="G3267" s="17">
        <f>IFERROR(__xludf.DUMMYFUNCTION("""COMPUTED_VALUE"""),45875.36569571759)</f>
        <v>45875.3657</v>
      </c>
      <c r="H3267" s="14" t="str">
        <f>IFERROR(__xludf.DUMMYFUNCTION("""COMPUTED_VALUE"""),"Eci (SU)")</f>
        <v>Eci (SU)</v>
      </c>
      <c r="I3267" s="13" t="str">
        <f>IFERROR(__xludf.DUMMYFUNCTION("""COMPUTED_VALUE"""),"SELESAI (VIA PERMOHONAN)")</f>
        <v>SELESAI (VIA PERMOHONAN)</v>
      </c>
      <c r="J3267" s="17">
        <f>IFERROR(__xludf.DUMMYFUNCTION("""COMPUTED_VALUE"""),45875.687246643516)</f>
        <v>45875.68725</v>
      </c>
      <c r="K3267" s="13" t="str">
        <f>IFERROR(__xludf.DUMMYFUNCTION("""COMPUTED_VALUE"""),"Selesai")</f>
        <v>Selesai</v>
      </c>
      <c r="L3267" s="17">
        <f>IFERROR(__xludf.DUMMYFUNCTION("""COMPUTED_VALUE"""),45875.687246643516)</f>
        <v>45875.68725</v>
      </c>
      <c r="M3267" s="13"/>
      <c r="N3267" s="13" t="str">
        <f>IFERROR(__xludf.DUMMYFUNCTION("""COMPUTED_VALUE"""),"")</f>
        <v/>
      </c>
      <c r="O3267" s="13" t="str">
        <f t="shared" si="1"/>
        <v/>
      </c>
    </row>
    <row r="3268" ht="22.5" customHeight="1">
      <c r="B3268" s="13">
        <f>IFERROR(__xludf.DUMMYFUNCTION("""COMPUTED_VALUE"""),3263.0)</f>
        <v>3263</v>
      </c>
      <c r="C3268" s="13" t="str">
        <f>IFERROR(__xludf.DUMMYFUNCTION("""COMPUTED_VALUE"""),"B. 19/ Perwata")</f>
        <v>B. 19/ Perwata</v>
      </c>
      <c r="D3268" s="13" t="str">
        <f>IFERROR(__xludf.DUMMYFUNCTION("""COMPUTED_VALUE"""),"K/3/160725/1")</f>
        <v>K/3/160725/1</v>
      </c>
      <c r="E3268" s="14" t="str">
        <f>IFERROR(__xludf.DUMMYFUNCTION("""COMPUTED_VALUE"""),"Heri (BT)")</f>
        <v>Heri (BT)</v>
      </c>
      <c r="F3268" s="14" t="str">
        <f>IFERROR(__xludf.DUMMYFUNCTION("""COMPUTED_VALUE"""),"SELESAI (VIA PERMOHONAN)")</f>
        <v>SELESAI (VIA PERMOHONAN)</v>
      </c>
      <c r="G3268" s="17">
        <f>IFERROR(__xludf.DUMMYFUNCTION("""COMPUTED_VALUE"""),45875.366405277775)</f>
        <v>45875.36641</v>
      </c>
      <c r="H3268" s="14" t="str">
        <f>IFERROR(__xludf.DUMMYFUNCTION("""COMPUTED_VALUE"""),"Eci (SU)")</f>
        <v>Eci (SU)</v>
      </c>
      <c r="I3268" s="13" t="str">
        <f>IFERROR(__xludf.DUMMYFUNCTION("""COMPUTED_VALUE"""),"SELESAI (VIA PERMOHONAN)")</f>
        <v>SELESAI (VIA PERMOHONAN)</v>
      </c>
      <c r="J3268" s="17">
        <f>IFERROR(__xludf.DUMMYFUNCTION("""COMPUTED_VALUE"""),45875.687246643516)</f>
        <v>45875.68725</v>
      </c>
      <c r="K3268" s="13" t="str">
        <f>IFERROR(__xludf.DUMMYFUNCTION("""COMPUTED_VALUE"""),"Selesai")</f>
        <v>Selesai</v>
      </c>
      <c r="L3268" s="17">
        <f>IFERROR(__xludf.DUMMYFUNCTION("""COMPUTED_VALUE"""),45875.687246643516)</f>
        <v>45875.68725</v>
      </c>
      <c r="M3268" s="13"/>
      <c r="N3268" s="13" t="str">
        <f>IFERROR(__xludf.DUMMYFUNCTION("""COMPUTED_VALUE"""),"")</f>
        <v/>
      </c>
      <c r="O3268" s="13" t="str">
        <f t="shared" si="1"/>
        <v/>
      </c>
    </row>
    <row r="3269" ht="22.5" customHeight="1">
      <c r="B3269" s="13">
        <f>IFERROR(__xludf.DUMMYFUNCTION("""COMPUTED_VALUE"""),3264.0)</f>
        <v>3264</v>
      </c>
      <c r="C3269" s="13" t="str">
        <f>IFERROR(__xludf.DUMMYFUNCTION("""COMPUTED_VALUE"""),"M. 1714/ Sukajawa")</f>
        <v>M. 1714/ Sukajawa</v>
      </c>
      <c r="D3269" s="13" t="str">
        <f>IFERROR(__xludf.DUMMYFUNCTION("""COMPUTED_VALUE"""),"K/12/140725/2")</f>
        <v>K/12/140725/2</v>
      </c>
      <c r="E3269" s="14" t="str">
        <f>IFERROR(__xludf.DUMMYFUNCTION("""COMPUTED_VALUE"""),"Heri (BT)")</f>
        <v>Heri (BT)</v>
      </c>
      <c r="F3269" s="14" t="str">
        <f>IFERROR(__xludf.DUMMYFUNCTION("""COMPUTED_VALUE"""),"SELESAI (VIA PERMOHONAN)")</f>
        <v>SELESAI (VIA PERMOHONAN)</v>
      </c>
      <c r="G3269" s="17">
        <f>IFERROR(__xludf.DUMMYFUNCTION("""COMPUTED_VALUE"""),45875.366604930554)</f>
        <v>45875.3666</v>
      </c>
      <c r="H3269" s="14" t="str">
        <f>IFERROR(__xludf.DUMMYFUNCTION("""COMPUTED_VALUE"""),"Eci (SU)")</f>
        <v>Eci (SU)</v>
      </c>
      <c r="I3269" s="13" t="str">
        <f>IFERROR(__xludf.DUMMYFUNCTION("""COMPUTED_VALUE"""),"SELESAI (VIA PERMOHONAN)")</f>
        <v>SELESAI (VIA PERMOHONAN)</v>
      </c>
      <c r="J3269" s="17">
        <f>IFERROR(__xludf.DUMMYFUNCTION("""COMPUTED_VALUE"""),45875.687246643516)</f>
        <v>45875.68725</v>
      </c>
      <c r="K3269" s="13" t="str">
        <f>IFERROR(__xludf.DUMMYFUNCTION("""COMPUTED_VALUE"""),"Selesai")</f>
        <v>Selesai</v>
      </c>
      <c r="L3269" s="17">
        <f>IFERROR(__xludf.DUMMYFUNCTION("""COMPUTED_VALUE"""),45875.687246643516)</f>
        <v>45875.68725</v>
      </c>
      <c r="M3269" s="13"/>
      <c r="N3269" s="13" t="str">
        <f>IFERROR(__xludf.DUMMYFUNCTION("""COMPUTED_VALUE"""),"")</f>
        <v/>
      </c>
      <c r="O3269" s="13" t="str">
        <f t="shared" si="1"/>
        <v/>
      </c>
    </row>
    <row r="3270" ht="22.5" customHeight="1">
      <c r="B3270" s="13">
        <f>IFERROR(__xludf.DUMMYFUNCTION("""COMPUTED_VALUE"""),3265.0)</f>
        <v>3265</v>
      </c>
      <c r="C3270" s="13" t="str">
        <f>IFERROR(__xludf.DUMMYFUNCTION("""COMPUTED_VALUE"""),"M. 1713/ Sukajawa")</f>
        <v>M. 1713/ Sukajawa</v>
      </c>
      <c r="D3270" s="13" t="str">
        <f>IFERROR(__xludf.DUMMYFUNCTION("""COMPUTED_VALUE"""),"K/11/140725/1")</f>
        <v>K/11/140725/1</v>
      </c>
      <c r="E3270" s="14" t="str">
        <f>IFERROR(__xludf.DUMMYFUNCTION("""COMPUTED_VALUE"""),"Heri (BT)")</f>
        <v>Heri (BT)</v>
      </c>
      <c r="F3270" s="14" t="str">
        <f>IFERROR(__xludf.DUMMYFUNCTION("""COMPUTED_VALUE"""),"SELESAI (VIA PERMOHONAN)")</f>
        <v>SELESAI (VIA PERMOHONAN)</v>
      </c>
      <c r="G3270" s="17">
        <f>IFERROR(__xludf.DUMMYFUNCTION("""COMPUTED_VALUE"""),45875.36671179398)</f>
        <v>45875.36671</v>
      </c>
      <c r="H3270" s="14" t="str">
        <f>IFERROR(__xludf.DUMMYFUNCTION("""COMPUTED_VALUE"""),"Eci (SU)")</f>
        <v>Eci (SU)</v>
      </c>
      <c r="I3270" s="13" t="str">
        <f>IFERROR(__xludf.DUMMYFUNCTION("""COMPUTED_VALUE"""),"SELESAI (VIA PERMOHONAN)")</f>
        <v>SELESAI (VIA PERMOHONAN)</v>
      </c>
      <c r="J3270" s="17">
        <f>IFERROR(__xludf.DUMMYFUNCTION("""COMPUTED_VALUE"""),45875.687246643516)</f>
        <v>45875.68725</v>
      </c>
      <c r="K3270" s="13" t="str">
        <f>IFERROR(__xludf.DUMMYFUNCTION("""COMPUTED_VALUE"""),"Selesai")</f>
        <v>Selesai</v>
      </c>
      <c r="L3270" s="17">
        <f>IFERROR(__xludf.DUMMYFUNCTION("""COMPUTED_VALUE"""),45875.687246643516)</f>
        <v>45875.68725</v>
      </c>
      <c r="M3270" s="13"/>
      <c r="N3270" s="13" t="str">
        <f>IFERROR(__xludf.DUMMYFUNCTION("""COMPUTED_VALUE"""),"")</f>
        <v/>
      </c>
      <c r="O3270" s="13" t="str">
        <f t="shared" si="1"/>
        <v/>
      </c>
    </row>
    <row r="3271" ht="22.5" customHeight="1">
      <c r="B3271" s="13">
        <f>IFERROR(__xludf.DUMMYFUNCTION("""COMPUTED_VALUE"""),3266.0)</f>
        <v>3266</v>
      </c>
      <c r="C3271" s="13" t="str">
        <f>IFERROR(__xludf.DUMMYFUNCTION("""COMPUTED_VALUE"""),"M. 18194/ Sukarame")</f>
        <v>M. 18194/ Sukarame</v>
      </c>
      <c r="D3271" s="13" t="str">
        <f>IFERROR(__xludf.DUMMYFUNCTION("""COMPUTED_VALUE"""),"K/5/230725/1")</f>
        <v>K/5/230725/1</v>
      </c>
      <c r="E3271" s="14" t="str">
        <f>IFERROR(__xludf.DUMMYFUNCTION("""COMPUTED_VALUE"""),"Heri (BT)")</f>
        <v>Heri (BT)</v>
      </c>
      <c r="F3271" s="14" t="str">
        <f>IFERROR(__xludf.DUMMYFUNCTION("""COMPUTED_VALUE"""),"SELESAI (VIA PERMOHONAN)")</f>
        <v>SELESAI (VIA PERMOHONAN)</v>
      </c>
      <c r="G3271" s="17">
        <f>IFERROR(__xludf.DUMMYFUNCTION("""COMPUTED_VALUE"""),45875.366874722225)</f>
        <v>45875.36687</v>
      </c>
      <c r="H3271" s="14" t="str">
        <f>IFERROR(__xludf.DUMMYFUNCTION("""COMPUTED_VALUE"""),"Eci (SU)")</f>
        <v>Eci (SU)</v>
      </c>
      <c r="I3271" s="13" t="str">
        <f>IFERROR(__xludf.DUMMYFUNCTION("""COMPUTED_VALUE"""),"SELESAI (VIA PERMOHONAN)")</f>
        <v>SELESAI (VIA PERMOHONAN)</v>
      </c>
      <c r="J3271" s="17">
        <f>IFERROR(__xludf.DUMMYFUNCTION("""COMPUTED_VALUE"""),45875.68728909722)</f>
        <v>45875.68729</v>
      </c>
      <c r="K3271" s="13" t="str">
        <f>IFERROR(__xludf.DUMMYFUNCTION("""COMPUTED_VALUE"""),"Selesai")</f>
        <v>Selesai</v>
      </c>
      <c r="L3271" s="17">
        <f>IFERROR(__xludf.DUMMYFUNCTION("""COMPUTED_VALUE"""),45875.68728909722)</f>
        <v>45875.68729</v>
      </c>
      <c r="M3271" s="13"/>
      <c r="N3271" s="13" t="str">
        <f>IFERROR(__xludf.DUMMYFUNCTION("""COMPUTED_VALUE"""),"")</f>
        <v/>
      </c>
      <c r="O3271" s="13" t="str">
        <f t="shared" si="1"/>
        <v/>
      </c>
    </row>
    <row r="3272" ht="22.5" customHeight="1">
      <c r="B3272" s="13">
        <f>IFERROR(__xludf.DUMMYFUNCTION("""COMPUTED_VALUE"""),3267.0)</f>
        <v>3267</v>
      </c>
      <c r="C3272" s="13" t="str">
        <f>IFERROR(__xludf.DUMMYFUNCTION("""COMPUTED_VALUE"""),"B. 772/ Sumur Putri")</f>
        <v>B. 772/ Sumur Putri</v>
      </c>
      <c r="D3272" s="13" t="str">
        <f>IFERROR(__xludf.DUMMYFUNCTION("""COMPUTED_VALUE"""),"K/2/130325/2")</f>
        <v>K/2/130325/2</v>
      </c>
      <c r="E3272" s="14" t="str">
        <f>IFERROR(__xludf.DUMMYFUNCTION("""COMPUTED_VALUE"""),"Heri (BT)")</f>
        <v>Heri (BT)</v>
      </c>
      <c r="F3272" s="14" t="str">
        <f>IFERROR(__xludf.DUMMYFUNCTION("""COMPUTED_VALUE"""),"SELESAI (VIA PERMOHONAN)")</f>
        <v>SELESAI (VIA PERMOHONAN)</v>
      </c>
      <c r="G3272" s="17">
        <f>IFERROR(__xludf.DUMMYFUNCTION("""COMPUTED_VALUE"""),45875.3670230787)</f>
        <v>45875.36702</v>
      </c>
      <c r="H3272" s="14" t="str">
        <f>IFERROR(__xludf.DUMMYFUNCTION("""COMPUTED_VALUE"""),"Eci (SU)")</f>
        <v>Eci (SU)</v>
      </c>
      <c r="I3272" s="13" t="str">
        <f>IFERROR(__xludf.DUMMYFUNCTION("""COMPUTED_VALUE"""),"SELESAI (VIA PERMOHONAN)")</f>
        <v>SELESAI (VIA PERMOHONAN)</v>
      </c>
      <c r="J3272" s="17">
        <f>IFERROR(__xludf.DUMMYFUNCTION("""COMPUTED_VALUE"""),45875.68728909722)</f>
        <v>45875.68729</v>
      </c>
      <c r="K3272" s="13" t="str">
        <f>IFERROR(__xludf.DUMMYFUNCTION("""COMPUTED_VALUE"""),"Selesai")</f>
        <v>Selesai</v>
      </c>
      <c r="L3272" s="17">
        <f>IFERROR(__xludf.DUMMYFUNCTION("""COMPUTED_VALUE"""),45875.68728909722)</f>
        <v>45875.68729</v>
      </c>
      <c r="M3272" s="13"/>
      <c r="N3272" s="13" t="str">
        <f>IFERROR(__xludf.DUMMYFUNCTION("""COMPUTED_VALUE"""),"")</f>
        <v/>
      </c>
      <c r="O3272" s="13" t="str">
        <f t="shared" si="1"/>
        <v/>
      </c>
    </row>
    <row r="3273" ht="22.5" customHeight="1">
      <c r="B3273" s="13">
        <f>IFERROR(__xludf.DUMMYFUNCTION("""COMPUTED_VALUE"""),3268.0)</f>
        <v>3268</v>
      </c>
      <c r="C3273" s="13" t="str">
        <f>IFERROR(__xludf.DUMMYFUNCTION("""COMPUTED_VALUE"""),"M. 1086/ Susunan Baru")</f>
        <v>M. 1086/ Susunan Baru</v>
      </c>
      <c r="D3273" s="13" t="str">
        <f>IFERROR(__xludf.DUMMYFUNCTION("""COMPUTED_VALUE"""),"K/36/290425/2")</f>
        <v>K/36/290425/2</v>
      </c>
      <c r="E3273" s="14" t="str">
        <f>IFERROR(__xludf.DUMMYFUNCTION("""COMPUTED_VALUE"""),"Heri (BT)")</f>
        <v>Heri (BT)</v>
      </c>
      <c r="F3273" s="14" t="str">
        <f>IFERROR(__xludf.DUMMYFUNCTION("""COMPUTED_VALUE"""),"SELESAI (VIA PERMOHONAN)")</f>
        <v>SELESAI (VIA PERMOHONAN)</v>
      </c>
      <c r="G3273" s="17">
        <f>IFERROR(__xludf.DUMMYFUNCTION("""COMPUTED_VALUE"""),45875.367612222224)</f>
        <v>45875.36761</v>
      </c>
      <c r="H3273" s="14" t="str">
        <f>IFERROR(__xludf.DUMMYFUNCTION("""COMPUTED_VALUE"""),"Eci (SU)")</f>
        <v>Eci (SU)</v>
      </c>
      <c r="I3273" s="13" t="str">
        <f>IFERROR(__xludf.DUMMYFUNCTION("""COMPUTED_VALUE"""),"SELESAI (VIA PERMOHONAN)")</f>
        <v>SELESAI (VIA PERMOHONAN)</v>
      </c>
      <c r="J3273" s="17">
        <f>IFERROR(__xludf.DUMMYFUNCTION("""COMPUTED_VALUE"""),45876.46639534722)</f>
        <v>45876.4664</v>
      </c>
      <c r="K3273" s="13" t="str">
        <f>IFERROR(__xludf.DUMMYFUNCTION("""COMPUTED_VALUE"""),"Selesai")</f>
        <v>Selesai</v>
      </c>
      <c r="L3273" s="17">
        <f>IFERROR(__xludf.DUMMYFUNCTION("""COMPUTED_VALUE"""),45876.46639534722)</f>
        <v>45876.4664</v>
      </c>
      <c r="M3273" s="13"/>
      <c r="N3273" s="13" t="str">
        <f>IFERROR(__xludf.DUMMYFUNCTION("""COMPUTED_VALUE"""),"")</f>
        <v/>
      </c>
      <c r="O3273" s="13" t="str">
        <f t="shared" si="1"/>
        <v/>
      </c>
    </row>
    <row r="3274" ht="22.5" customHeight="1">
      <c r="B3274" s="13">
        <f>IFERROR(__xludf.DUMMYFUNCTION("""COMPUTED_VALUE"""),3269.0)</f>
        <v>3269</v>
      </c>
      <c r="C3274" s="13" t="str">
        <f>IFERROR(__xludf.DUMMYFUNCTION("""COMPUTED_VALUE"""),"M. 594/ Korpri Raya")</f>
        <v>M. 594/ Korpri Raya</v>
      </c>
      <c r="D3274" s="13" t="str">
        <f>IFERROR(__xludf.DUMMYFUNCTION("""COMPUTED_VALUE"""),"K/32/100725/1")</f>
        <v>K/32/100725/1</v>
      </c>
      <c r="E3274" s="14" t="str">
        <f>IFERROR(__xludf.DUMMYFUNCTION("""COMPUTED_VALUE"""),"Heri (BT)")</f>
        <v>Heri (BT)</v>
      </c>
      <c r="F3274" s="14" t="str">
        <f>IFERROR(__xludf.DUMMYFUNCTION("""COMPUTED_VALUE"""),"SELESAI (VIA PERMOHONAN)")</f>
        <v>SELESAI (VIA PERMOHONAN)</v>
      </c>
      <c r="G3274" s="17">
        <f>IFERROR(__xludf.DUMMYFUNCTION("""COMPUTED_VALUE"""),45875.36790706019)</f>
        <v>45875.36791</v>
      </c>
      <c r="H3274" s="14" t="str">
        <f>IFERROR(__xludf.DUMMYFUNCTION("""COMPUTED_VALUE"""),"Eci (SU)")</f>
        <v>Eci (SU)</v>
      </c>
      <c r="I3274" s="13" t="str">
        <f>IFERROR(__xludf.DUMMYFUNCTION("""COMPUTED_VALUE"""),"SELESAI (VIA PERMOHONAN)")</f>
        <v>SELESAI (VIA PERMOHONAN)</v>
      </c>
      <c r="J3274" s="17">
        <f>IFERROR(__xludf.DUMMYFUNCTION("""COMPUTED_VALUE"""),45876.46735550926)</f>
        <v>45876.46736</v>
      </c>
      <c r="K3274" s="13" t="str">
        <f>IFERROR(__xludf.DUMMYFUNCTION("""COMPUTED_VALUE"""),"Selesai")</f>
        <v>Selesai</v>
      </c>
      <c r="L3274" s="17">
        <f>IFERROR(__xludf.DUMMYFUNCTION("""COMPUTED_VALUE"""),45876.46735550926)</f>
        <v>45876.46736</v>
      </c>
      <c r="M3274" s="13"/>
      <c r="N3274" s="13" t="str">
        <f>IFERROR(__xludf.DUMMYFUNCTION("""COMPUTED_VALUE"""),"")</f>
        <v/>
      </c>
      <c r="O3274" s="13" t="str">
        <f t="shared" si="1"/>
        <v/>
      </c>
    </row>
    <row r="3275" ht="22.5" customHeight="1">
      <c r="B3275" s="13">
        <f>IFERROR(__xludf.DUMMYFUNCTION("""COMPUTED_VALUE"""),3270.0)</f>
        <v>3270</v>
      </c>
      <c r="C3275" s="13" t="str">
        <f>IFERROR(__xludf.DUMMYFUNCTION("""COMPUTED_VALUE"""),"M. 10450/ Sukabumi")</f>
        <v>M. 10450/ Sukabumi</v>
      </c>
      <c r="D3275" s="13" t="str">
        <f>IFERROR(__xludf.DUMMYFUNCTION("""COMPUTED_VALUE"""),"K/4/041224/1")</f>
        <v>K/4/041224/1</v>
      </c>
      <c r="E3275" s="14" t="str">
        <f>IFERROR(__xludf.DUMMYFUNCTION("""COMPUTED_VALUE"""),"Heri (BT)")</f>
        <v>Heri (BT)</v>
      </c>
      <c r="F3275" s="14" t="str">
        <f>IFERROR(__xludf.DUMMYFUNCTION("""COMPUTED_VALUE"""),"SELESAI (VIA PERMOHONAN)")</f>
        <v>SELESAI (VIA PERMOHONAN)</v>
      </c>
      <c r="G3275" s="17">
        <f>IFERROR(__xludf.DUMMYFUNCTION("""COMPUTED_VALUE"""),45875.36810633102)</f>
        <v>45875.36811</v>
      </c>
      <c r="H3275" s="14" t="str">
        <f>IFERROR(__xludf.DUMMYFUNCTION("""COMPUTED_VALUE"""),"Eci (SU)")</f>
        <v>Eci (SU)</v>
      </c>
      <c r="I3275" s="13" t="str">
        <f>IFERROR(__xludf.DUMMYFUNCTION("""COMPUTED_VALUE"""),"SELESAI (VIA PERMOHONAN)")</f>
        <v>SELESAI (VIA PERMOHONAN)</v>
      </c>
      <c r="J3275" s="17">
        <f>IFERROR(__xludf.DUMMYFUNCTION("""COMPUTED_VALUE"""),45875.68731709491)</f>
        <v>45875.68732</v>
      </c>
      <c r="K3275" s="13" t="str">
        <f>IFERROR(__xludf.DUMMYFUNCTION("""COMPUTED_VALUE"""),"Selesai")</f>
        <v>Selesai</v>
      </c>
      <c r="L3275" s="17">
        <f>IFERROR(__xludf.DUMMYFUNCTION("""COMPUTED_VALUE"""),45875.68731709491)</f>
        <v>45875.68732</v>
      </c>
      <c r="M3275" s="13"/>
      <c r="N3275" s="13" t="str">
        <f>IFERROR(__xludf.DUMMYFUNCTION("""COMPUTED_VALUE"""),"")</f>
        <v/>
      </c>
      <c r="O3275" s="13" t="str">
        <f t="shared" si="1"/>
        <v/>
      </c>
    </row>
    <row r="3276" ht="22.5" customHeight="1">
      <c r="B3276" s="13">
        <f>IFERROR(__xludf.DUMMYFUNCTION("""COMPUTED_VALUE"""),3271.0)</f>
        <v>3271</v>
      </c>
      <c r="C3276" s="13" t="str">
        <f>IFERROR(__xludf.DUMMYFUNCTION("""COMPUTED_VALUE"""),"M. 2621/ Pinang Jaya")</f>
        <v>M. 2621/ Pinang Jaya</v>
      </c>
      <c r="D3276" s="13" t="str">
        <f>IFERROR(__xludf.DUMMYFUNCTION("""COMPUTED_VALUE"""),"K/26/110725/1")</f>
        <v>K/26/110725/1</v>
      </c>
      <c r="E3276" s="14" t="str">
        <f>IFERROR(__xludf.DUMMYFUNCTION("""COMPUTED_VALUE"""),"Heri (BT)")</f>
        <v>Heri (BT)</v>
      </c>
      <c r="F3276" s="14" t="str">
        <f>IFERROR(__xludf.DUMMYFUNCTION("""COMPUTED_VALUE"""),"SELESAI (VIA PERMOHONAN)")</f>
        <v>SELESAI (VIA PERMOHONAN)</v>
      </c>
      <c r="G3276" s="17">
        <f>IFERROR(__xludf.DUMMYFUNCTION("""COMPUTED_VALUE"""),45875.368397812505)</f>
        <v>45875.3684</v>
      </c>
      <c r="H3276" s="14" t="str">
        <f>IFERROR(__xludf.DUMMYFUNCTION("""COMPUTED_VALUE"""),"Eci (SU)")</f>
        <v>Eci (SU)</v>
      </c>
      <c r="I3276" s="13" t="str">
        <f>IFERROR(__xludf.DUMMYFUNCTION("""COMPUTED_VALUE"""),"SELESAI (VIA PERMOHONAN)")</f>
        <v>SELESAI (VIA PERMOHONAN)</v>
      </c>
      <c r="J3276" s="17">
        <f>IFERROR(__xludf.DUMMYFUNCTION("""COMPUTED_VALUE"""),45875.6873678588)</f>
        <v>45875.68737</v>
      </c>
      <c r="K3276" s="13" t="str">
        <f>IFERROR(__xludf.DUMMYFUNCTION("""COMPUTED_VALUE"""),"Selesai")</f>
        <v>Selesai</v>
      </c>
      <c r="L3276" s="17">
        <f>IFERROR(__xludf.DUMMYFUNCTION("""COMPUTED_VALUE"""),45875.6873678588)</f>
        <v>45875.68737</v>
      </c>
      <c r="M3276" s="13"/>
      <c r="N3276" s="13" t="str">
        <f>IFERROR(__xludf.DUMMYFUNCTION("""COMPUTED_VALUE"""),"")</f>
        <v/>
      </c>
      <c r="O3276" s="13" t="str">
        <f t="shared" si="1"/>
        <v/>
      </c>
    </row>
    <row r="3277" ht="22.5" customHeight="1">
      <c r="B3277" s="13">
        <f>IFERROR(__xludf.DUMMYFUNCTION("""COMPUTED_VALUE"""),3272.0)</f>
        <v>3272</v>
      </c>
      <c r="C3277" s="13" t="str">
        <f>IFERROR(__xludf.DUMMYFUNCTION("""COMPUTED_VALUE"""),"B. 267/TANJUNG SENANG")</f>
        <v>B. 267/TANJUNG SENANG</v>
      </c>
      <c r="D3277" s="13" t="str">
        <f>IFERROR(__xludf.DUMMYFUNCTION("""COMPUTED_VALUE"""),"K/5/230425/1")</f>
        <v>K/5/230425/1</v>
      </c>
      <c r="E3277" s="14" t="str">
        <f>IFERROR(__xludf.DUMMYFUNCTION("""COMPUTED_VALUE"""),"Heri (BT)")</f>
        <v>Heri (BT)</v>
      </c>
      <c r="F3277" s="14" t="str">
        <f>IFERROR(__xludf.DUMMYFUNCTION("""COMPUTED_VALUE"""),"SELESAI (VIA PERMOHONAN)")</f>
        <v>SELESAI (VIA PERMOHONAN)</v>
      </c>
      <c r="G3277" s="17">
        <f>IFERROR(__xludf.DUMMYFUNCTION("""COMPUTED_VALUE"""),45875.36861063658)</f>
        <v>45875.36861</v>
      </c>
      <c r="H3277" s="14" t="str">
        <f>IFERROR(__xludf.DUMMYFUNCTION("""COMPUTED_VALUE"""),"Eci (SU)")</f>
        <v>Eci (SU)</v>
      </c>
      <c r="I3277" s="13" t="str">
        <f>IFERROR(__xludf.DUMMYFUNCTION("""COMPUTED_VALUE"""),"SELESAI (VIA PERMOHONAN)")</f>
        <v>SELESAI (VIA PERMOHONAN)</v>
      </c>
      <c r="J3277" s="17">
        <f>IFERROR(__xludf.DUMMYFUNCTION("""COMPUTED_VALUE"""),45875.6873678588)</f>
        <v>45875.68737</v>
      </c>
      <c r="K3277" s="13" t="str">
        <f>IFERROR(__xludf.DUMMYFUNCTION("""COMPUTED_VALUE"""),"Selesai")</f>
        <v>Selesai</v>
      </c>
      <c r="L3277" s="17">
        <f>IFERROR(__xludf.DUMMYFUNCTION("""COMPUTED_VALUE"""),45875.6873678588)</f>
        <v>45875.68737</v>
      </c>
      <c r="M3277" s="13"/>
      <c r="N3277" s="13" t="str">
        <f>IFERROR(__xludf.DUMMYFUNCTION("""COMPUTED_VALUE"""),"")</f>
        <v/>
      </c>
      <c r="O3277" s="13" t="str">
        <f t="shared" si="1"/>
        <v/>
      </c>
    </row>
    <row r="3278" ht="22.5" customHeight="1">
      <c r="B3278" s="13">
        <f>IFERROR(__xludf.DUMMYFUNCTION("""COMPUTED_VALUE"""),3273.0)</f>
        <v>3273</v>
      </c>
      <c r="C3278" s="13" t="str">
        <f>IFERROR(__xludf.DUMMYFUNCTION("""COMPUTED_VALUE"""),"M. 2560/ Sumber Agung")</f>
        <v>M. 2560/ Sumber Agung</v>
      </c>
      <c r="D3278" s="13" t="str">
        <f>IFERROR(__xludf.DUMMYFUNCTION("""COMPUTED_VALUE"""),"K/19/090725/1")</f>
        <v>K/19/090725/1</v>
      </c>
      <c r="E3278" s="14" t="str">
        <f>IFERROR(__xludf.DUMMYFUNCTION("""COMPUTED_VALUE"""),"Heri (BT)")</f>
        <v>Heri (BT)</v>
      </c>
      <c r="F3278" s="14" t="str">
        <f>IFERROR(__xludf.DUMMYFUNCTION("""COMPUTED_VALUE"""),"SELESAI (VIA PERMOHONAN)")</f>
        <v>SELESAI (VIA PERMOHONAN)</v>
      </c>
      <c r="G3278" s="17">
        <f>IFERROR(__xludf.DUMMYFUNCTION("""COMPUTED_VALUE"""),45875.3687702662)</f>
        <v>45875.36877</v>
      </c>
      <c r="H3278" s="14" t="str">
        <f>IFERROR(__xludf.DUMMYFUNCTION("""COMPUTED_VALUE"""),"Eci (SU)")</f>
        <v>Eci (SU)</v>
      </c>
      <c r="I3278" s="13" t="str">
        <f>IFERROR(__xludf.DUMMYFUNCTION("""COMPUTED_VALUE"""),"SELESAI (VIA PERMOHONAN)")</f>
        <v>SELESAI (VIA PERMOHONAN)</v>
      </c>
      <c r="J3278" s="17">
        <f>IFERROR(__xludf.DUMMYFUNCTION("""COMPUTED_VALUE"""),45875.6873678588)</f>
        <v>45875.68737</v>
      </c>
      <c r="K3278" s="13" t="str">
        <f>IFERROR(__xludf.DUMMYFUNCTION("""COMPUTED_VALUE"""),"Selesai")</f>
        <v>Selesai</v>
      </c>
      <c r="L3278" s="17">
        <f>IFERROR(__xludf.DUMMYFUNCTION("""COMPUTED_VALUE"""),45875.6873678588)</f>
        <v>45875.68737</v>
      </c>
      <c r="M3278" s="13"/>
      <c r="N3278" s="13" t="str">
        <f>IFERROR(__xludf.DUMMYFUNCTION("""COMPUTED_VALUE"""),"")</f>
        <v/>
      </c>
      <c r="O3278" s="13" t="str">
        <f t="shared" si="1"/>
        <v/>
      </c>
    </row>
    <row r="3279" ht="22.5" customHeight="1">
      <c r="B3279" s="13">
        <f>IFERROR(__xludf.DUMMYFUNCTION("""COMPUTED_VALUE"""),3274.0)</f>
        <v>3274</v>
      </c>
      <c r="C3279" s="13" t="str">
        <f>IFERROR(__xludf.DUMMYFUNCTION("""COMPUTED_VALUE"""),"B. 370/ Kemiling Permai")</f>
        <v>B. 370/ Kemiling Permai</v>
      </c>
      <c r="D3279" s="13" t="str">
        <f>IFERROR(__xludf.DUMMYFUNCTION("""COMPUTED_VALUE"""),"K/31/160725/1")</f>
        <v>K/31/160725/1</v>
      </c>
      <c r="E3279" s="14" t="str">
        <f>IFERROR(__xludf.DUMMYFUNCTION("""COMPUTED_VALUE"""),"Heri (BT)")</f>
        <v>Heri (BT)</v>
      </c>
      <c r="F3279" s="14" t="str">
        <f>IFERROR(__xludf.DUMMYFUNCTION("""COMPUTED_VALUE"""),"SELESAI (VIA PERMOHONAN)")</f>
        <v>SELESAI (VIA PERMOHONAN)</v>
      </c>
      <c r="G3279" s="17">
        <f>IFERROR(__xludf.DUMMYFUNCTION("""COMPUTED_VALUE"""),45875.368968842595)</f>
        <v>45875.36897</v>
      </c>
      <c r="H3279" s="14" t="str">
        <f>IFERROR(__xludf.DUMMYFUNCTION("""COMPUTED_VALUE"""),"Eci (SU)")</f>
        <v>Eci (SU)</v>
      </c>
      <c r="I3279" s="13" t="str">
        <f>IFERROR(__xludf.DUMMYFUNCTION("""COMPUTED_VALUE"""),"SELESAI (VIA PERMOHONAN)")</f>
        <v>SELESAI (VIA PERMOHONAN)</v>
      </c>
      <c r="J3279" s="17">
        <f>IFERROR(__xludf.DUMMYFUNCTION("""COMPUTED_VALUE"""),45875.6873678588)</f>
        <v>45875.68737</v>
      </c>
      <c r="K3279" s="13" t="str">
        <f>IFERROR(__xludf.DUMMYFUNCTION("""COMPUTED_VALUE"""),"Selesai")</f>
        <v>Selesai</v>
      </c>
      <c r="L3279" s="17">
        <f>IFERROR(__xludf.DUMMYFUNCTION("""COMPUTED_VALUE"""),45875.6873678588)</f>
        <v>45875.68737</v>
      </c>
      <c r="M3279" s="13"/>
      <c r="N3279" s="13" t="str">
        <f>IFERROR(__xludf.DUMMYFUNCTION("""COMPUTED_VALUE"""),"")</f>
        <v/>
      </c>
      <c r="O3279" s="13" t="str">
        <f t="shared" si="1"/>
        <v/>
      </c>
    </row>
    <row r="3280" ht="22.5" customHeight="1">
      <c r="B3280" s="13">
        <f>IFERROR(__xludf.DUMMYFUNCTION("""COMPUTED_VALUE"""),3275.0)</f>
        <v>3275</v>
      </c>
      <c r="C3280" s="13" t="str">
        <f>IFERROR(__xludf.DUMMYFUNCTION("""COMPUTED_VALUE"""),"M. 239/ Korpri Jaya")</f>
        <v>M. 239/ Korpri Jaya</v>
      </c>
      <c r="D3280" s="13" t="str">
        <f>IFERROR(__xludf.DUMMYFUNCTION("""COMPUTED_VALUE"""),"K/21/120325/1")</f>
        <v>K/21/120325/1</v>
      </c>
      <c r="E3280" s="14" t="str">
        <f>IFERROR(__xludf.DUMMYFUNCTION("""COMPUTED_VALUE"""),"Heri (BT)")</f>
        <v>Heri (BT)</v>
      </c>
      <c r="F3280" s="14" t="str">
        <f>IFERROR(__xludf.DUMMYFUNCTION("""COMPUTED_VALUE"""),"SELESAI (VIA PERMOHONAN)")</f>
        <v>SELESAI (VIA PERMOHONAN)</v>
      </c>
      <c r="G3280" s="17">
        <f>IFERROR(__xludf.DUMMYFUNCTION("""COMPUTED_VALUE"""),45875.36918912037)</f>
        <v>45875.36919</v>
      </c>
      <c r="H3280" s="14" t="str">
        <f>IFERROR(__xludf.DUMMYFUNCTION("""COMPUTED_VALUE"""),"Eci (SU)")</f>
        <v>Eci (SU)</v>
      </c>
      <c r="I3280" s="13" t="str">
        <f>IFERROR(__xludf.DUMMYFUNCTION("""COMPUTED_VALUE"""),"SELESAI (VIA PERMOHONAN)")</f>
        <v>SELESAI (VIA PERMOHONAN)</v>
      </c>
      <c r="J3280" s="17">
        <f>IFERROR(__xludf.DUMMYFUNCTION("""COMPUTED_VALUE"""),45875.6873678588)</f>
        <v>45875.68737</v>
      </c>
      <c r="K3280" s="13" t="str">
        <f>IFERROR(__xludf.DUMMYFUNCTION("""COMPUTED_VALUE"""),"Selesai")</f>
        <v>Selesai</v>
      </c>
      <c r="L3280" s="17">
        <f>IFERROR(__xludf.DUMMYFUNCTION("""COMPUTED_VALUE"""),45875.6873678588)</f>
        <v>45875.68737</v>
      </c>
      <c r="M3280" s="13"/>
      <c r="N3280" s="13" t="str">
        <f>IFERROR(__xludf.DUMMYFUNCTION("""COMPUTED_VALUE"""),"")</f>
        <v/>
      </c>
      <c r="O3280" s="13" t="str">
        <f t="shared" si="1"/>
        <v/>
      </c>
    </row>
    <row r="3281" ht="22.5" customHeight="1">
      <c r="B3281" s="13">
        <f>IFERROR(__xludf.DUMMYFUNCTION("""COMPUTED_VALUE"""),3276.0)</f>
        <v>3276</v>
      </c>
      <c r="C3281" s="13" t="str">
        <f>IFERROR(__xludf.DUMMYFUNCTION("""COMPUTED_VALUE"""),"M. 99/ Bilabong Jaya")</f>
        <v>M. 99/ Bilabong Jaya</v>
      </c>
      <c r="D3281" s="13" t="str">
        <f>IFERROR(__xludf.DUMMYFUNCTION("""COMPUTED_VALUE"""),"K/9/280725/1")</f>
        <v>K/9/280725/1</v>
      </c>
      <c r="E3281" s="14" t="str">
        <f>IFERROR(__xludf.DUMMYFUNCTION("""COMPUTED_VALUE"""),"Heri (BT)")</f>
        <v>Heri (BT)</v>
      </c>
      <c r="F3281" s="14" t="str">
        <f>IFERROR(__xludf.DUMMYFUNCTION("""COMPUTED_VALUE"""),"SELESAI (VIA PERMOHONAN)")</f>
        <v>SELESAI (VIA PERMOHONAN)</v>
      </c>
      <c r="G3281" s="17">
        <f>IFERROR(__xludf.DUMMYFUNCTION("""COMPUTED_VALUE"""),45875.369453935185)</f>
        <v>45875.36945</v>
      </c>
      <c r="H3281" s="14" t="str">
        <f>IFERROR(__xludf.DUMMYFUNCTION("""COMPUTED_VALUE"""),"Eci (SU)")</f>
        <v>Eci (SU)</v>
      </c>
      <c r="I3281" s="13" t="str">
        <f>IFERROR(__xludf.DUMMYFUNCTION("""COMPUTED_VALUE"""),"SELESAI (VIA PERMOHONAN)")</f>
        <v>SELESAI (VIA PERMOHONAN)</v>
      </c>
      <c r="J3281" s="17">
        <f>IFERROR(__xludf.DUMMYFUNCTION("""COMPUTED_VALUE"""),45875.6873678588)</f>
        <v>45875.68737</v>
      </c>
      <c r="K3281" s="13" t="str">
        <f>IFERROR(__xludf.DUMMYFUNCTION("""COMPUTED_VALUE"""),"Selesai")</f>
        <v>Selesai</v>
      </c>
      <c r="L3281" s="17">
        <f>IFERROR(__xludf.DUMMYFUNCTION("""COMPUTED_VALUE"""),45875.6873678588)</f>
        <v>45875.68737</v>
      </c>
      <c r="M3281" s="13"/>
      <c r="N3281" s="13" t="str">
        <f>IFERROR(__xludf.DUMMYFUNCTION("""COMPUTED_VALUE"""),"")</f>
        <v/>
      </c>
      <c r="O3281" s="13" t="str">
        <f t="shared" si="1"/>
        <v/>
      </c>
    </row>
    <row r="3282" ht="22.5" customHeight="1">
      <c r="B3282" s="13">
        <f>IFERROR(__xludf.DUMMYFUNCTION("""COMPUTED_VALUE"""),3277.0)</f>
        <v>3277</v>
      </c>
      <c r="C3282" s="13" t="str">
        <f>IFERROR(__xludf.DUMMYFUNCTION("""COMPUTED_VALUE"""),"M. 53/ Gulak Galik")</f>
        <v>M. 53/ Gulak Galik</v>
      </c>
      <c r="D3282" s="13" t="str">
        <f>IFERROR(__xludf.DUMMYFUNCTION("""COMPUTED_VALUE"""),"K/25/240726/1")</f>
        <v>K/25/240726/1</v>
      </c>
      <c r="E3282" s="14" t="str">
        <f>IFERROR(__xludf.DUMMYFUNCTION("""COMPUTED_VALUE"""),"Heri (BT)")</f>
        <v>Heri (BT)</v>
      </c>
      <c r="F3282" s="14" t="str">
        <f>IFERROR(__xludf.DUMMYFUNCTION("""COMPUTED_VALUE"""),"SELESAI (VIA PERMOHONAN)")</f>
        <v>SELESAI (VIA PERMOHONAN)</v>
      </c>
      <c r="G3282" s="17">
        <f>IFERROR(__xludf.DUMMYFUNCTION("""COMPUTED_VALUE"""),45875.36965878472)</f>
        <v>45875.36966</v>
      </c>
      <c r="H3282" s="14" t="str">
        <f>IFERROR(__xludf.DUMMYFUNCTION("""COMPUTED_VALUE"""),"Eci (SU)")</f>
        <v>Eci (SU)</v>
      </c>
      <c r="I3282" s="13" t="str">
        <f>IFERROR(__xludf.DUMMYFUNCTION("""COMPUTED_VALUE"""),"SELESAI (VIA PERMOHONAN)")</f>
        <v>SELESAI (VIA PERMOHONAN)</v>
      </c>
      <c r="J3282" s="17">
        <f>IFERROR(__xludf.DUMMYFUNCTION("""COMPUTED_VALUE"""),45875.6873678588)</f>
        <v>45875.68737</v>
      </c>
      <c r="K3282" s="13" t="str">
        <f>IFERROR(__xludf.DUMMYFUNCTION("""COMPUTED_VALUE"""),"Selesai")</f>
        <v>Selesai</v>
      </c>
      <c r="L3282" s="17">
        <f>IFERROR(__xludf.DUMMYFUNCTION("""COMPUTED_VALUE"""),45875.6873678588)</f>
        <v>45875.68737</v>
      </c>
      <c r="M3282" s="13"/>
      <c r="N3282" s="13" t="str">
        <f>IFERROR(__xludf.DUMMYFUNCTION("""COMPUTED_VALUE"""),"")</f>
        <v/>
      </c>
      <c r="O3282" s="13" t="str">
        <f t="shared" si="1"/>
        <v/>
      </c>
    </row>
    <row r="3283" ht="22.5" customHeight="1">
      <c r="B3283" s="13">
        <f>IFERROR(__xludf.DUMMYFUNCTION("""COMPUTED_VALUE"""),3278.0)</f>
        <v>3278</v>
      </c>
      <c r="C3283" s="13" t="str">
        <f>IFERROR(__xludf.DUMMYFUNCTION("""COMPUTED_VALUE"""),"B. 696/NEGERI OLOK GADING")</f>
        <v>B. 696/NEGERI OLOK GADING</v>
      </c>
      <c r="D3283" s="13" t="str">
        <f>IFERROR(__xludf.DUMMYFUNCTION("""COMPUTED_VALUE"""),"L/27/230725/1")</f>
        <v>L/27/230725/1</v>
      </c>
      <c r="E3283" s="14" t="str">
        <f>IFERROR(__xludf.DUMMYFUNCTION("""COMPUTED_VALUE"""),"Heri (BT)")</f>
        <v>Heri (BT)</v>
      </c>
      <c r="F3283" s="14" t="str">
        <f>IFERROR(__xludf.DUMMYFUNCTION("""COMPUTED_VALUE"""),"SELESAI (VIA PERMOHONAN)")</f>
        <v>SELESAI (VIA PERMOHONAN)</v>
      </c>
      <c r="G3283" s="17">
        <f>IFERROR(__xludf.DUMMYFUNCTION("""COMPUTED_VALUE"""),45875.36981853009)</f>
        <v>45875.36982</v>
      </c>
      <c r="H3283" s="14" t="str">
        <f>IFERROR(__xludf.DUMMYFUNCTION("""COMPUTED_VALUE"""),"Eci (SU)")</f>
        <v>Eci (SU)</v>
      </c>
      <c r="I3283" s="13" t="str">
        <f>IFERROR(__xludf.DUMMYFUNCTION("""COMPUTED_VALUE"""),"SELESAI (VIA PERMOHONAN)")</f>
        <v>SELESAI (VIA PERMOHONAN)</v>
      </c>
      <c r="J3283" s="17">
        <f>IFERROR(__xludf.DUMMYFUNCTION("""COMPUTED_VALUE"""),45875.68743608796)</f>
        <v>45875.68744</v>
      </c>
      <c r="K3283" s="13" t="str">
        <f>IFERROR(__xludf.DUMMYFUNCTION("""COMPUTED_VALUE"""),"Selesai")</f>
        <v>Selesai</v>
      </c>
      <c r="L3283" s="17">
        <f>IFERROR(__xludf.DUMMYFUNCTION("""COMPUTED_VALUE"""),45875.68743608796)</f>
        <v>45875.68744</v>
      </c>
      <c r="M3283" s="13"/>
      <c r="N3283" s="13" t="str">
        <f>IFERROR(__xludf.DUMMYFUNCTION("""COMPUTED_VALUE"""),"")</f>
        <v/>
      </c>
      <c r="O3283" s="13" t="str">
        <f t="shared" si="1"/>
        <v/>
      </c>
    </row>
    <row r="3284" ht="22.5" customHeight="1">
      <c r="B3284" s="13">
        <f>IFERROR(__xludf.DUMMYFUNCTION("""COMPUTED_VALUE"""),3279.0)</f>
        <v>3279</v>
      </c>
      <c r="C3284" s="13" t="str">
        <f>IFERROR(__xludf.DUMMYFUNCTION("""COMPUTED_VALUE"""),"M. 276/ Rajabasa Pemuka")</f>
        <v>M. 276/ Rajabasa Pemuka</v>
      </c>
      <c r="D3284" s="13" t="str">
        <f>IFERROR(__xludf.DUMMYFUNCTION("""COMPUTED_VALUE"""),"K/1/280725/1")</f>
        <v>K/1/280725/1</v>
      </c>
      <c r="E3284" s="14" t="str">
        <f>IFERROR(__xludf.DUMMYFUNCTION("""COMPUTED_VALUE"""),"Heri (BT)")</f>
        <v>Heri (BT)</v>
      </c>
      <c r="F3284" s="14" t="str">
        <f>IFERROR(__xludf.DUMMYFUNCTION("""COMPUTED_VALUE"""),"SELESAI (VIA PERMOHONAN)")</f>
        <v>SELESAI (VIA PERMOHONAN)</v>
      </c>
      <c r="G3284" s="17">
        <f>IFERROR(__xludf.DUMMYFUNCTION("""COMPUTED_VALUE"""),45875.36998722222)</f>
        <v>45875.36999</v>
      </c>
      <c r="H3284" s="14" t="str">
        <f>IFERROR(__xludf.DUMMYFUNCTION("""COMPUTED_VALUE"""),"Eci (SU)")</f>
        <v>Eci (SU)</v>
      </c>
      <c r="I3284" s="13" t="str">
        <f>IFERROR(__xludf.DUMMYFUNCTION("""COMPUTED_VALUE"""),"SELESAI (VIA PERMOHONAN)")</f>
        <v>SELESAI (VIA PERMOHONAN)</v>
      </c>
      <c r="J3284" s="17">
        <f>IFERROR(__xludf.DUMMYFUNCTION("""COMPUTED_VALUE"""),45875.68743608796)</f>
        <v>45875.68744</v>
      </c>
      <c r="K3284" s="13" t="str">
        <f>IFERROR(__xludf.DUMMYFUNCTION("""COMPUTED_VALUE"""),"Selesai")</f>
        <v>Selesai</v>
      </c>
      <c r="L3284" s="17">
        <f>IFERROR(__xludf.DUMMYFUNCTION("""COMPUTED_VALUE"""),45875.68743608796)</f>
        <v>45875.68744</v>
      </c>
      <c r="M3284" s="13"/>
      <c r="N3284" s="13" t="str">
        <f>IFERROR(__xludf.DUMMYFUNCTION("""COMPUTED_VALUE"""),"")</f>
        <v/>
      </c>
      <c r="O3284" s="13" t="str">
        <f t="shared" si="1"/>
        <v/>
      </c>
    </row>
    <row r="3285" ht="22.5" customHeight="1">
      <c r="B3285" s="13">
        <f>IFERROR(__xludf.DUMMYFUNCTION("""COMPUTED_VALUE"""),3280.0)</f>
        <v>3280</v>
      </c>
      <c r="C3285" s="13" t="str">
        <f>IFERROR(__xludf.DUMMYFUNCTION("""COMPUTED_VALUE"""),"B. 616/ Nusantara Permai")</f>
        <v>B. 616/ Nusantara Permai</v>
      </c>
      <c r="D3285" s="13" t="str">
        <f>IFERROR(__xludf.DUMMYFUNCTION("""COMPUTED_VALUE"""),"K/8/230725/1")</f>
        <v>K/8/230725/1</v>
      </c>
      <c r="E3285" s="14" t="str">
        <f>IFERROR(__xludf.DUMMYFUNCTION("""COMPUTED_VALUE"""),"Heri (BT)")</f>
        <v>Heri (BT)</v>
      </c>
      <c r="F3285" s="14" t="str">
        <f>IFERROR(__xludf.DUMMYFUNCTION("""COMPUTED_VALUE"""),"SELESAI (VIA PERMOHONAN)")</f>
        <v>SELESAI (VIA PERMOHONAN)</v>
      </c>
      <c r="G3285" s="17">
        <f>IFERROR(__xludf.DUMMYFUNCTION("""COMPUTED_VALUE"""),45875.370190891204)</f>
        <v>45875.37019</v>
      </c>
      <c r="H3285" s="14" t="str">
        <f>IFERROR(__xludf.DUMMYFUNCTION("""COMPUTED_VALUE"""),"Eci (SU)")</f>
        <v>Eci (SU)</v>
      </c>
      <c r="I3285" s="13" t="str">
        <f>IFERROR(__xludf.DUMMYFUNCTION("""COMPUTED_VALUE"""),"SELESAI (VIA PERMOHONAN)")</f>
        <v>SELESAI (VIA PERMOHONAN)</v>
      </c>
      <c r="J3285" s="17">
        <f>IFERROR(__xludf.DUMMYFUNCTION("""COMPUTED_VALUE"""),45875.68743608796)</f>
        <v>45875.68744</v>
      </c>
      <c r="K3285" s="13" t="str">
        <f>IFERROR(__xludf.DUMMYFUNCTION("""COMPUTED_VALUE"""),"Selesai")</f>
        <v>Selesai</v>
      </c>
      <c r="L3285" s="17">
        <f>IFERROR(__xludf.DUMMYFUNCTION("""COMPUTED_VALUE"""),45875.68743608796)</f>
        <v>45875.68744</v>
      </c>
      <c r="M3285" s="13"/>
      <c r="N3285" s="13" t="str">
        <f>IFERROR(__xludf.DUMMYFUNCTION("""COMPUTED_VALUE"""),"")</f>
        <v/>
      </c>
      <c r="O3285" s="13" t="str">
        <f t="shared" si="1"/>
        <v/>
      </c>
    </row>
    <row r="3286" ht="22.5" customHeight="1">
      <c r="B3286" s="13">
        <f>IFERROR(__xludf.DUMMYFUNCTION("""COMPUTED_VALUE"""),3281.0)</f>
        <v>3281</v>
      </c>
      <c r="C3286" s="13" t="str">
        <f>IFERROR(__xludf.DUMMYFUNCTION("""COMPUTED_VALUE"""),"HGB 37/RAJABASA PEMUKA")</f>
        <v>HGB 37/RAJABASA PEMUKA</v>
      </c>
      <c r="D3286" s="13" t="str">
        <f>IFERROR(__xludf.DUMMYFUNCTION("""COMPUTED_VALUE"""),"L/1/230725/1")</f>
        <v>L/1/230725/1</v>
      </c>
      <c r="E3286" s="14" t="str">
        <f>IFERROR(__xludf.DUMMYFUNCTION("""COMPUTED_VALUE"""),"Heri (BT)")</f>
        <v>Heri (BT)</v>
      </c>
      <c r="F3286" s="14" t="str">
        <f>IFERROR(__xludf.DUMMYFUNCTION("""COMPUTED_VALUE"""),"SELESAI (VIA PERMOHONAN)")</f>
        <v>SELESAI (VIA PERMOHONAN)</v>
      </c>
      <c r="G3286" s="17">
        <f>IFERROR(__xludf.DUMMYFUNCTION("""COMPUTED_VALUE"""),45875.3705625463)</f>
        <v>45875.37056</v>
      </c>
      <c r="H3286" s="14" t="str">
        <f>IFERROR(__xludf.DUMMYFUNCTION("""COMPUTED_VALUE"""),"Eci (SU)")</f>
        <v>Eci (SU)</v>
      </c>
      <c r="I3286" s="13" t="str">
        <f>IFERROR(__xludf.DUMMYFUNCTION("""COMPUTED_VALUE"""),"SELESAI (VIA PERMOHONAN)")</f>
        <v>SELESAI (VIA PERMOHONAN)</v>
      </c>
      <c r="J3286" s="17">
        <f>IFERROR(__xludf.DUMMYFUNCTION("""COMPUTED_VALUE"""),45875.68743608796)</f>
        <v>45875.68744</v>
      </c>
      <c r="K3286" s="13" t="str">
        <f>IFERROR(__xludf.DUMMYFUNCTION("""COMPUTED_VALUE"""),"Selesai")</f>
        <v>Selesai</v>
      </c>
      <c r="L3286" s="17">
        <f>IFERROR(__xludf.DUMMYFUNCTION("""COMPUTED_VALUE"""),45875.68743608796)</f>
        <v>45875.68744</v>
      </c>
      <c r="M3286" s="13"/>
      <c r="N3286" s="13" t="str">
        <f>IFERROR(__xludf.DUMMYFUNCTION("""COMPUTED_VALUE"""),"")</f>
        <v/>
      </c>
      <c r="O3286" s="13" t="str">
        <f t="shared" si="1"/>
        <v/>
      </c>
    </row>
    <row r="3287" ht="22.5" customHeight="1">
      <c r="B3287" s="13">
        <f>IFERROR(__xludf.DUMMYFUNCTION("""COMPUTED_VALUE"""),3282.0)</f>
        <v>3282</v>
      </c>
      <c r="C3287" s="13" t="str">
        <f>IFERROR(__xludf.DUMMYFUNCTION("""COMPUTED_VALUE"""),"HGB 1112/SUKABUMI INDAH")</f>
        <v>HGB 1112/SUKABUMI INDAH</v>
      </c>
      <c r="D3287" s="13" t="str">
        <f>IFERROR(__xludf.DUMMYFUNCTION("""COMPUTED_VALUE"""),"L/17/230725/1")</f>
        <v>L/17/230725/1</v>
      </c>
      <c r="E3287" s="14" t="str">
        <f>IFERROR(__xludf.DUMMYFUNCTION("""COMPUTED_VALUE"""),"Heri (BT)")</f>
        <v>Heri (BT)</v>
      </c>
      <c r="F3287" s="14" t="str">
        <f>IFERROR(__xludf.DUMMYFUNCTION("""COMPUTED_VALUE"""),"SELESAI (VIA PERMOHONAN)")</f>
        <v>SELESAI (VIA PERMOHONAN)</v>
      </c>
      <c r="G3287" s="17">
        <f>IFERROR(__xludf.DUMMYFUNCTION("""COMPUTED_VALUE"""),45875.370804687496)</f>
        <v>45875.3708</v>
      </c>
      <c r="H3287" s="14" t="str">
        <f>IFERROR(__xludf.DUMMYFUNCTION("""COMPUTED_VALUE"""),"Eci (SU)")</f>
        <v>Eci (SU)</v>
      </c>
      <c r="I3287" s="13" t="str">
        <f>IFERROR(__xludf.DUMMYFUNCTION("""COMPUTED_VALUE"""),"SELESAI (VIA PERMOHONAN)")</f>
        <v>SELESAI (VIA PERMOHONAN)</v>
      </c>
      <c r="J3287" s="17">
        <f>IFERROR(__xludf.DUMMYFUNCTION("""COMPUTED_VALUE"""),45875.68743608796)</f>
        <v>45875.68744</v>
      </c>
      <c r="K3287" s="13" t="str">
        <f>IFERROR(__xludf.DUMMYFUNCTION("""COMPUTED_VALUE"""),"Selesai")</f>
        <v>Selesai</v>
      </c>
      <c r="L3287" s="17">
        <f>IFERROR(__xludf.DUMMYFUNCTION("""COMPUTED_VALUE"""),45875.68743608796)</f>
        <v>45875.68744</v>
      </c>
      <c r="M3287" s="13"/>
      <c r="N3287" s="13" t="str">
        <f>IFERROR(__xludf.DUMMYFUNCTION("""COMPUTED_VALUE"""),"")</f>
        <v/>
      </c>
      <c r="O3287" s="13" t="str">
        <f t="shared" si="1"/>
        <v/>
      </c>
    </row>
    <row r="3288" ht="22.5" customHeight="1">
      <c r="B3288" s="13">
        <f>IFERROR(__xludf.DUMMYFUNCTION("""COMPUTED_VALUE"""),3283.0)</f>
        <v>3283</v>
      </c>
      <c r="C3288" s="13" t="str">
        <f>IFERROR(__xludf.DUMMYFUNCTION("""COMPUTED_VALUE"""),"HM 71/SUMBEREJO")</f>
        <v>HM 71/SUMBEREJO</v>
      </c>
      <c r="D3288" s="13" t="str">
        <f>IFERROR(__xludf.DUMMYFUNCTION("""COMPUTED_VALUE"""),"L/14/280725/1")</f>
        <v>L/14/280725/1</v>
      </c>
      <c r="E3288" s="14" t="str">
        <f>IFERROR(__xludf.DUMMYFUNCTION("""COMPUTED_VALUE"""),"Heri (BT)")</f>
        <v>Heri (BT)</v>
      </c>
      <c r="F3288" s="14" t="str">
        <f>IFERROR(__xludf.DUMMYFUNCTION("""COMPUTED_VALUE"""),"SELESAI (VIA PERMOHONAN)")</f>
        <v>SELESAI (VIA PERMOHONAN)</v>
      </c>
      <c r="G3288" s="17">
        <f>IFERROR(__xludf.DUMMYFUNCTION("""COMPUTED_VALUE"""),45875.37098)</f>
        <v>45875.37098</v>
      </c>
      <c r="H3288" s="14" t="str">
        <f>IFERROR(__xludf.DUMMYFUNCTION("""COMPUTED_VALUE"""),"Eci (SU)")</f>
        <v>Eci (SU)</v>
      </c>
      <c r="I3288" s="13" t="str">
        <f>IFERROR(__xludf.DUMMYFUNCTION("""COMPUTED_VALUE"""),"SELESAI (VIA PERMOHONAN)")</f>
        <v>SELESAI (VIA PERMOHONAN)</v>
      </c>
      <c r="J3288" s="17">
        <f>IFERROR(__xludf.DUMMYFUNCTION("""COMPUTED_VALUE"""),45875.68743608796)</f>
        <v>45875.68744</v>
      </c>
      <c r="K3288" s="13" t="str">
        <f>IFERROR(__xludf.DUMMYFUNCTION("""COMPUTED_VALUE"""),"Selesai")</f>
        <v>Selesai</v>
      </c>
      <c r="L3288" s="17">
        <f>IFERROR(__xludf.DUMMYFUNCTION("""COMPUTED_VALUE"""),45875.68743608796)</f>
        <v>45875.68744</v>
      </c>
      <c r="M3288" s="13"/>
      <c r="N3288" s="13" t="str">
        <f>IFERROR(__xludf.DUMMYFUNCTION("""COMPUTED_VALUE"""),"")</f>
        <v/>
      </c>
      <c r="O3288" s="13" t="str">
        <f t="shared" si="1"/>
        <v/>
      </c>
    </row>
    <row r="3289" ht="22.5" customHeight="1">
      <c r="B3289" s="13">
        <f>IFERROR(__xludf.DUMMYFUNCTION("""COMPUTED_VALUE"""),3284.0)</f>
        <v>3284</v>
      </c>
      <c r="C3289" s="13" t="str">
        <f>IFERROR(__xludf.DUMMYFUNCTION("""COMPUTED_VALUE"""),"HM 648/WHP")</f>
        <v>HM 648/WHP</v>
      </c>
      <c r="D3289" s="13" t="str">
        <f>IFERROR(__xludf.DUMMYFUNCTION("""COMPUTED_VALUE"""),"L/20/240725/1")</f>
        <v>L/20/240725/1</v>
      </c>
      <c r="E3289" s="14" t="str">
        <f>IFERROR(__xludf.DUMMYFUNCTION("""COMPUTED_VALUE"""),"Heri (BT)")</f>
        <v>Heri (BT)</v>
      </c>
      <c r="F3289" s="14" t="str">
        <f>IFERROR(__xludf.DUMMYFUNCTION("""COMPUTED_VALUE"""),"SELESAI (VIA PERMOHONAN)")</f>
        <v>SELESAI (VIA PERMOHONAN)</v>
      </c>
      <c r="G3289" s="17">
        <f>IFERROR(__xludf.DUMMYFUNCTION("""COMPUTED_VALUE"""),45875.371155810186)</f>
        <v>45875.37116</v>
      </c>
      <c r="H3289" s="14" t="str">
        <f>IFERROR(__xludf.DUMMYFUNCTION("""COMPUTED_VALUE"""),"Eci (SU)")</f>
        <v>Eci (SU)</v>
      </c>
      <c r="I3289" s="13" t="str">
        <f>IFERROR(__xludf.DUMMYFUNCTION("""COMPUTED_VALUE"""),"SELESAI (VIA PERMOHONAN)")</f>
        <v>SELESAI (VIA PERMOHONAN)</v>
      </c>
      <c r="J3289" s="17">
        <f>IFERROR(__xludf.DUMMYFUNCTION("""COMPUTED_VALUE"""),45875.68743608796)</f>
        <v>45875.68744</v>
      </c>
      <c r="K3289" s="13" t="str">
        <f>IFERROR(__xludf.DUMMYFUNCTION("""COMPUTED_VALUE"""),"Selesai")</f>
        <v>Selesai</v>
      </c>
      <c r="L3289" s="17">
        <f>IFERROR(__xludf.DUMMYFUNCTION("""COMPUTED_VALUE"""),45875.68743608796)</f>
        <v>45875.68744</v>
      </c>
      <c r="M3289" s="13"/>
      <c r="N3289" s="13" t="str">
        <f>IFERROR(__xludf.DUMMYFUNCTION("""COMPUTED_VALUE"""),"")</f>
        <v/>
      </c>
      <c r="O3289" s="13" t="str">
        <f t="shared" si="1"/>
        <v/>
      </c>
    </row>
    <row r="3290" ht="22.5" customHeight="1">
      <c r="B3290" s="13">
        <f>IFERROR(__xludf.DUMMYFUNCTION("""COMPUTED_VALUE"""),3285.0)</f>
        <v>3285</v>
      </c>
      <c r="C3290" s="13" t="str">
        <f>IFERROR(__xludf.DUMMYFUNCTION("""COMPUTED_VALUE"""),"B.2412/CAMPANG JAYA")</f>
        <v>B.2412/CAMPANG JAYA</v>
      </c>
      <c r="D3290" s="13" t="str">
        <f>IFERROR(__xludf.DUMMYFUNCTION("""COMPUTED_VALUE"""),"K/4/100725/1")</f>
        <v>K/4/100725/1</v>
      </c>
      <c r="E3290" s="14" t="str">
        <f>IFERROR(__xludf.DUMMYFUNCTION("""COMPUTED_VALUE"""),"Heri (BT)")</f>
        <v>Heri (BT)</v>
      </c>
      <c r="F3290" s="14" t="str">
        <f>IFERROR(__xludf.DUMMYFUNCTION("""COMPUTED_VALUE"""),"SELESAI (VIA PERMOHONAN)")</f>
        <v>SELESAI (VIA PERMOHONAN)</v>
      </c>
      <c r="G3290" s="17">
        <f>IFERROR(__xludf.DUMMYFUNCTION("""COMPUTED_VALUE"""),45875.37133098379)</f>
        <v>45875.37133</v>
      </c>
      <c r="H3290" s="14" t="str">
        <f>IFERROR(__xludf.DUMMYFUNCTION("""COMPUTED_VALUE"""),"Eci (SU)")</f>
        <v>Eci (SU)</v>
      </c>
      <c r="I3290" s="13" t="str">
        <f>IFERROR(__xludf.DUMMYFUNCTION("""COMPUTED_VALUE"""),"SELESAI (VIA PERMOHONAN)")</f>
        <v>SELESAI (VIA PERMOHONAN)</v>
      </c>
      <c r="J3290" s="17">
        <f>IFERROR(__xludf.DUMMYFUNCTION("""COMPUTED_VALUE"""),45876.46695174769)</f>
        <v>45876.46695</v>
      </c>
      <c r="K3290" s="13" t="str">
        <f>IFERROR(__xludf.DUMMYFUNCTION("""COMPUTED_VALUE"""),"Selesai")</f>
        <v>Selesai</v>
      </c>
      <c r="L3290" s="17">
        <f>IFERROR(__xludf.DUMMYFUNCTION("""COMPUTED_VALUE"""),45876.46695174769)</f>
        <v>45876.46695</v>
      </c>
      <c r="M3290" s="13"/>
      <c r="N3290" s="13" t="str">
        <f>IFERROR(__xludf.DUMMYFUNCTION("""COMPUTED_VALUE"""),"")</f>
        <v/>
      </c>
      <c r="O3290" s="13" t="str">
        <f t="shared" si="1"/>
        <v/>
      </c>
    </row>
    <row r="3291" ht="22.5" customHeight="1">
      <c r="B3291" s="13">
        <f>IFERROR(__xludf.DUMMYFUNCTION("""COMPUTED_VALUE"""),3286.0)</f>
        <v>3286</v>
      </c>
      <c r="C3291" s="13" t="str">
        <f>IFERROR(__xludf.DUMMYFUNCTION("""COMPUTED_VALUE"""),"M.8742/SUKABUMI")</f>
        <v>M.8742/SUKABUMI</v>
      </c>
      <c r="D3291" s="13" t="str">
        <f>IFERROR(__xludf.DUMMYFUNCTION("""COMPUTED_VALUE"""),"K/13/020725/1")</f>
        <v>K/13/020725/1</v>
      </c>
      <c r="E3291" s="14" t="str">
        <f>IFERROR(__xludf.DUMMYFUNCTION("""COMPUTED_VALUE"""),"Heri (BT)")</f>
        <v>Heri (BT)</v>
      </c>
      <c r="F3291" s="14" t="str">
        <f>IFERROR(__xludf.DUMMYFUNCTION("""COMPUTED_VALUE"""),"SELESAI (VIA PERMOHONAN)")</f>
        <v>SELESAI (VIA PERMOHONAN)</v>
      </c>
      <c r="G3291" s="17">
        <f>IFERROR(__xludf.DUMMYFUNCTION("""COMPUTED_VALUE"""),45875.37153711806)</f>
        <v>45875.37154</v>
      </c>
      <c r="H3291" s="14" t="str">
        <f>IFERROR(__xludf.DUMMYFUNCTION("""COMPUTED_VALUE"""),"Eci (SU)")</f>
        <v>Eci (SU)</v>
      </c>
      <c r="I3291" s="13" t="str">
        <f>IFERROR(__xludf.DUMMYFUNCTION("""COMPUTED_VALUE"""),"SELESAI (VIA PERMOHONAN)")</f>
        <v>SELESAI (VIA PERMOHONAN)</v>
      </c>
      <c r="J3291" s="17">
        <f>IFERROR(__xludf.DUMMYFUNCTION("""COMPUTED_VALUE"""),45875.687464131945)</f>
        <v>45875.68746</v>
      </c>
      <c r="K3291" s="13" t="str">
        <f>IFERROR(__xludf.DUMMYFUNCTION("""COMPUTED_VALUE"""),"Selesai")</f>
        <v>Selesai</v>
      </c>
      <c r="L3291" s="17">
        <f>IFERROR(__xludf.DUMMYFUNCTION("""COMPUTED_VALUE"""),45875.687464131945)</f>
        <v>45875.68746</v>
      </c>
      <c r="M3291" s="13"/>
      <c r="N3291" s="13" t="str">
        <f>IFERROR(__xludf.DUMMYFUNCTION("""COMPUTED_VALUE"""),"")</f>
        <v/>
      </c>
      <c r="O3291" s="13" t="str">
        <f t="shared" si="1"/>
        <v/>
      </c>
    </row>
    <row r="3292" ht="22.5" customHeight="1">
      <c r="B3292" s="13">
        <f>IFERROR(__xludf.DUMMYFUNCTION("""COMPUTED_VALUE"""),3287.0)</f>
        <v>3287</v>
      </c>
      <c r="C3292" s="13" t="str">
        <f>IFERROR(__xludf.DUMMYFUNCTION("""COMPUTED_VALUE"""),"M.4706/BERINGIN RAYA")</f>
        <v>M.4706/BERINGIN RAYA</v>
      </c>
      <c r="D3292" s="13" t="str">
        <f>IFERROR(__xludf.DUMMYFUNCTION("""COMPUTED_VALUE"""),"K/37/100725/1")</f>
        <v>K/37/100725/1</v>
      </c>
      <c r="E3292" s="14" t="str">
        <f>IFERROR(__xludf.DUMMYFUNCTION("""COMPUTED_VALUE"""),"Heri (BT)")</f>
        <v>Heri (BT)</v>
      </c>
      <c r="F3292" s="14" t="str">
        <f>IFERROR(__xludf.DUMMYFUNCTION("""COMPUTED_VALUE"""),"SELESAI (VIA PERMOHONAN)")</f>
        <v>SELESAI (VIA PERMOHONAN)</v>
      </c>
      <c r="G3292" s="17">
        <f>IFERROR(__xludf.DUMMYFUNCTION("""COMPUTED_VALUE"""),45875.37182721065)</f>
        <v>45875.37183</v>
      </c>
      <c r="H3292" s="14" t="str">
        <f>IFERROR(__xludf.DUMMYFUNCTION("""COMPUTED_VALUE"""),"Eci (SU)")</f>
        <v>Eci (SU)</v>
      </c>
      <c r="I3292" s="13" t="str">
        <f>IFERROR(__xludf.DUMMYFUNCTION("""COMPUTED_VALUE"""),"SELESAI (VIA PERMOHONAN)")</f>
        <v>SELESAI (VIA PERMOHONAN)</v>
      </c>
      <c r="J3292" s="17">
        <f>IFERROR(__xludf.DUMMYFUNCTION("""COMPUTED_VALUE"""),45875.68748824074)</f>
        <v>45875.68749</v>
      </c>
      <c r="K3292" s="13" t="str">
        <f>IFERROR(__xludf.DUMMYFUNCTION("""COMPUTED_VALUE"""),"Selesai")</f>
        <v>Selesai</v>
      </c>
      <c r="L3292" s="17">
        <f>IFERROR(__xludf.DUMMYFUNCTION("""COMPUTED_VALUE"""),45875.68748824074)</f>
        <v>45875.68749</v>
      </c>
      <c r="M3292" s="13"/>
      <c r="N3292" s="13" t="str">
        <f>IFERROR(__xludf.DUMMYFUNCTION("""COMPUTED_VALUE"""),"")</f>
        <v/>
      </c>
      <c r="O3292" s="13" t="str">
        <f t="shared" si="1"/>
        <v/>
      </c>
    </row>
    <row r="3293" ht="22.5" customHeight="1">
      <c r="B3293" s="13">
        <f>IFERROR(__xludf.DUMMYFUNCTION("""COMPUTED_VALUE"""),3288.0)</f>
        <v>3288</v>
      </c>
      <c r="C3293" s="13" t="str">
        <f>IFERROR(__xludf.DUMMYFUNCTION("""COMPUTED_VALUE"""),"M.14138/SUKARAME ")</f>
        <v>M.14138/SUKARAME </v>
      </c>
      <c r="D3293" s="13" t="str">
        <f>IFERROR(__xludf.DUMMYFUNCTION("""COMPUTED_VALUE"""),"K/19/240725/1")</f>
        <v>K/19/240725/1</v>
      </c>
      <c r="E3293" s="14" t="str">
        <f>IFERROR(__xludf.DUMMYFUNCTION("""COMPUTED_VALUE"""),"Heri (BT)")</f>
        <v>Heri (BT)</v>
      </c>
      <c r="F3293" s="14" t="str">
        <f>IFERROR(__xludf.DUMMYFUNCTION("""COMPUTED_VALUE"""),"SELESAI (VIA PERMOHONAN)")</f>
        <v>SELESAI (VIA PERMOHONAN)</v>
      </c>
      <c r="G3293" s="17">
        <f>IFERROR(__xludf.DUMMYFUNCTION("""COMPUTED_VALUE"""),45875.37205829861)</f>
        <v>45875.37206</v>
      </c>
      <c r="H3293" s="14" t="str">
        <f>IFERROR(__xludf.DUMMYFUNCTION("""COMPUTED_VALUE"""),"Eci (SU)")</f>
        <v>Eci (SU)</v>
      </c>
      <c r="I3293" s="13" t="str">
        <f>IFERROR(__xludf.DUMMYFUNCTION("""COMPUTED_VALUE"""),"SELESAI (VIA PERMOHONAN)")</f>
        <v>SELESAI (VIA PERMOHONAN)</v>
      </c>
      <c r="J3293" s="17">
        <f>IFERROR(__xludf.DUMMYFUNCTION("""COMPUTED_VALUE"""),45875.68748824074)</f>
        <v>45875.68749</v>
      </c>
      <c r="K3293" s="13" t="str">
        <f>IFERROR(__xludf.DUMMYFUNCTION("""COMPUTED_VALUE"""),"Selesai")</f>
        <v>Selesai</v>
      </c>
      <c r="L3293" s="17">
        <f>IFERROR(__xludf.DUMMYFUNCTION("""COMPUTED_VALUE"""),45875.68748824074)</f>
        <v>45875.68749</v>
      </c>
      <c r="M3293" s="13"/>
      <c r="N3293" s="13" t="str">
        <f>IFERROR(__xludf.DUMMYFUNCTION("""COMPUTED_VALUE"""),"")</f>
        <v/>
      </c>
      <c r="O3293" s="13" t="str">
        <f t="shared" si="1"/>
        <v/>
      </c>
    </row>
    <row r="3294" ht="22.5" customHeight="1">
      <c r="B3294" s="13">
        <f>IFERROR(__xludf.DUMMYFUNCTION("""COMPUTED_VALUE"""),3289.0)</f>
        <v>3289</v>
      </c>
      <c r="C3294" s="13" t="str">
        <f>IFERROR(__xludf.DUMMYFUNCTION("""COMPUTED_VALUE"""),"M.4251/GUNUNG TERANG")</f>
        <v>M.4251/GUNUNG TERANG</v>
      </c>
      <c r="D3294" s="13" t="str">
        <f>IFERROR(__xludf.DUMMYFUNCTION("""COMPUTED_VALUE"""),"K/21/210725/1")</f>
        <v>K/21/210725/1</v>
      </c>
      <c r="E3294" s="14" t="str">
        <f>IFERROR(__xludf.DUMMYFUNCTION("""COMPUTED_VALUE"""),"Heri (BT)")</f>
        <v>Heri (BT)</v>
      </c>
      <c r="F3294" s="14" t="str">
        <f>IFERROR(__xludf.DUMMYFUNCTION("""COMPUTED_VALUE"""),"SELESAI (VIA PERMOHONAN)")</f>
        <v>SELESAI (VIA PERMOHONAN)</v>
      </c>
      <c r="G3294" s="17">
        <f>IFERROR(__xludf.DUMMYFUNCTION("""COMPUTED_VALUE"""),45875.37227137732)</f>
        <v>45875.37227</v>
      </c>
      <c r="H3294" s="14" t="str">
        <f>IFERROR(__xludf.DUMMYFUNCTION("""COMPUTED_VALUE"""),"Eci (SU)")</f>
        <v>Eci (SU)</v>
      </c>
      <c r="I3294" s="13" t="str">
        <f>IFERROR(__xludf.DUMMYFUNCTION("""COMPUTED_VALUE"""),"SELESAI (VIA PERMOHONAN)")</f>
        <v>SELESAI (VIA PERMOHONAN)</v>
      </c>
      <c r="J3294" s="17">
        <f>IFERROR(__xludf.DUMMYFUNCTION("""COMPUTED_VALUE"""),45875.68748824074)</f>
        <v>45875.68749</v>
      </c>
      <c r="K3294" s="13" t="str">
        <f>IFERROR(__xludf.DUMMYFUNCTION("""COMPUTED_VALUE"""),"Selesai")</f>
        <v>Selesai</v>
      </c>
      <c r="L3294" s="17">
        <f>IFERROR(__xludf.DUMMYFUNCTION("""COMPUTED_VALUE"""),45875.68748824074)</f>
        <v>45875.68749</v>
      </c>
      <c r="M3294" s="13"/>
      <c r="N3294" s="13" t="str">
        <f>IFERROR(__xludf.DUMMYFUNCTION("""COMPUTED_VALUE"""),"")</f>
        <v/>
      </c>
      <c r="O3294" s="13" t="str">
        <f t="shared" si="1"/>
        <v/>
      </c>
    </row>
    <row r="3295" ht="22.5" customHeight="1">
      <c r="B3295" s="13">
        <f>IFERROR(__xludf.DUMMYFUNCTION("""COMPUTED_VALUE"""),3290.0)</f>
        <v>3290</v>
      </c>
      <c r="C3295" s="13" t="str">
        <f>IFERROR(__xludf.DUMMYFUNCTION("""COMPUTED_VALUE"""),"M. 1134/ Sukamaju")</f>
        <v>M. 1134/ Sukamaju</v>
      </c>
      <c r="D3295" s="13" t="str">
        <f>IFERROR(__xludf.DUMMYFUNCTION("""COMPUTED_VALUE"""),"K/31/130625/2")</f>
        <v>K/31/130625/2</v>
      </c>
      <c r="E3295" s="14" t="str">
        <f>IFERROR(__xludf.DUMMYFUNCTION("""COMPUTED_VALUE"""),"Heri (BT)")</f>
        <v>Heri (BT)</v>
      </c>
      <c r="F3295" s="14" t="str">
        <f>IFERROR(__xludf.DUMMYFUNCTION("""COMPUTED_VALUE"""),"SELESAI (VIA PERMOHONAN)")</f>
        <v>SELESAI (VIA PERMOHONAN)</v>
      </c>
      <c r="G3295" s="17">
        <f>IFERROR(__xludf.DUMMYFUNCTION("""COMPUTED_VALUE"""),45875.372489120375)</f>
        <v>45875.37249</v>
      </c>
      <c r="H3295" s="14" t="str">
        <f>IFERROR(__xludf.DUMMYFUNCTION("""COMPUTED_VALUE"""),"Eci (SU)")</f>
        <v>Eci (SU)</v>
      </c>
      <c r="I3295" s="13" t="str">
        <f>IFERROR(__xludf.DUMMYFUNCTION("""COMPUTED_VALUE"""),"SELESAI (VIA PERMOHONAN)")</f>
        <v>SELESAI (VIA PERMOHONAN)</v>
      </c>
      <c r="J3295" s="17">
        <f>IFERROR(__xludf.DUMMYFUNCTION("""COMPUTED_VALUE"""),45875.68748824074)</f>
        <v>45875.68749</v>
      </c>
      <c r="K3295" s="13" t="str">
        <f>IFERROR(__xludf.DUMMYFUNCTION("""COMPUTED_VALUE"""),"Selesai")</f>
        <v>Selesai</v>
      </c>
      <c r="L3295" s="17">
        <f>IFERROR(__xludf.DUMMYFUNCTION("""COMPUTED_VALUE"""),45875.68748824074)</f>
        <v>45875.68749</v>
      </c>
      <c r="M3295" s="13"/>
      <c r="N3295" s="13" t="str">
        <f>IFERROR(__xludf.DUMMYFUNCTION("""COMPUTED_VALUE"""),"")</f>
        <v/>
      </c>
      <c r="O3295" s="13" t="str">
        <f t="shared" si="1"/>
        <v/>
      </c>
    </row>
    <row r="3296" ht="22.5" customHeight="1">
      <c r="B3296" s="13">
        <f>IFERROR(__xludf.DUMMYFUNCTION("""COMPUTED_VALUE"""),3291.0)</f>
        <v>3291</v>
      </c>
      <c r="C3296" s="13" t="str">
        <f>IFERROR(__xludf.DUMMYFUNCTION("""COMPUTED_VALUE"""),"M.15008/RAJABASA")</f>
        <v>M.15008/RAJABASA</v>
      </c>
      <c r="D3296" s="13" t="str">
        <f>IFERROR(__xludf.DUMMYFUNCTION("""COMPUTED_VALUE"""),"K/34/180725/1")</f>
        <v>K/34/180725/1</v>
      </c>
      <c r="E3296" s="14" t="str">
        <f>IFERROR(__xludf.DUMMYFUNCTION("""COMPUTED_VALUE"""),"Heri (BT)")</f>
        <v>Heri (BT)</v>
      </c>
      <c r="F3296" s="14" t="str">
        <f>IFERROR(__xludf.DUMMYFUNCTION("""COMPUTED_VALUE"""),"SELESAI (VIA PERMOHONAN)")</f>
        <v>SELESAI (VIA PERMOHONAN)</v>
      </c>
      <c r="G3296" s="17">
        <f>IFERROR(__xludf.DUMMYFUNCTION("""COMPUTED_VALUE"""),45875.37266547454)</f>
        <v>45875.37267</v>
      </c>
      <c r="H3296" s="14" t="str">
        <f>IFERROR(__xludf.DUMMYFUNCTION("""COMPUTED_VALUE"""),"Eci (SU)")</f>
        <v>Eci (SU)</v>
      </c>
      <c r="I3296" s="13" t="str">
        <f>IFERROR(__xludf.DUMMYFUNCTION("""COMPUTED_VALUE"""),"SELESAI (VIA PERMOHONAN)")</f>
        <v>SELESAI (VIA PERMOHONAN)</v>
      </c>
      <c r="J3296" s="17">
        <f>IFERROR(__xludf.DUMMYFUNCTION("""COMPUTED_VALUE"""),45875.68758561343)</f>
        <v>45875.68759</v>
      </c>
      <c r="K3296" s="13" t="str">
        <f>IFERROR(__xludf.DUMMYFUNCTION("""COMPUTED_VALUE"""),"Selesai")</f>
        <v>Selesai</v>
      </c>
      <c r="L3296" s="17">
        <f>IFERROR(__xludf.DUMMYFUNCTION("""COMPUTED_VALUE"""),45875.68758561343)</f>
        <v>45875.68759</v>
      </c>
      <c r="M3296" s="13"/>
      <c r="N3296" s="13" t="str">
        <f>IFERROR(__xludf.DUMMYFUNCTION("""COMPUTED_VALUE"""),"")</f>
        <v/>
      </c>
      <c r="O3296" s="13" t="str">
        <f t="shared" si="1"/>
        <v/>
      </c>
    </row>
    <row r="3297" ht="22.5" customHeight="1">
      <c r="B3297" s="13">
        <f>IFERROR(__xludf.DUMMYFUNCTION("""COMPUTED_VALUE"""),3292.0)</f>
        <v>3292</v>
      </c>
      <c r="C3297" s="13" t="str">
        <f>IFERROR(__xludf.DUMMYFUNCTION("""COMPUTED_VALUE"""),"M.17180/SUKARAME ")</f>
        <v>M.17180/SUKARAME </v>
      </c>
      <c r="D3297" s="13" t="str">
        <f>IFERROR(__xludf.DUMMYFUNCTION("""COMPUTED_VALUE"""),"K/8/210725/1")</f>
        <v>K/8/210725/1</v>
      </c>
      <c r="E3297" s="14" t="str">
        <f>IFERROR(__xludf.DUMMYFUNCTION("""COMPUTED_VALUE"""),"Heri (BT)")</f>
        <v>Heri (BT)</v>
      </c>
      <c r="F3297" s="14" t="str">
        <f>IFERROR(__xludf.DUMMYFUNCTION("""COMPUTED_VALUE"""),"SELESAI (VIA PERMOHONAN)")</f>
        <v>SELESAI (VIA PERMOHONAN)</v>
      </c>
      <c r="G3297" s="17">
        <f>IFERROR(__xludf.DUMMYFUNCTION("""COMPUTED_VALUE"""),45875.37283204861)</f>
        <v>45875.37283</v>
      </c>
      <c r="H3297" s="14" t="str">
        <f>IFERROR(__xludf.DUMMYFUNCTION("""COMPUTED_VALUE"""),"Eci (SU)")</f>
        <v>Eci (SU)</v>
      </c>
      <c r="I3297" s="13" t="str">
        <f>IFERROR(__xludf.DUMMYFUNCTION("""COMPUTED_VALUE"""),"SELESAI (VIA PERMOHONAN)")</f>
        <v>SELESAI (VIA PERMOHONAN)</v>
      </c>
      <c r="J3297" s="17">
        <f>IFERROR(__xludf.DUMMYFUNCTION("""COMPUTED_VALUE"""),45875.68762158565)</f>
        <v>45875.68762</v>
      </c>
      <c r="K3297" s="13" t="str">
        <f>IFERROR(__xludf.DUMMYFUNCTION("""COMPUTED_VALUE"""),"Selesai")</f>
        <v>Selesai</v>
      </c>
      <c r="L3297" s="17">
        <f>IFERROR(__xludf.DUMMYFUNCTION("""COMPUTED_VALUE"""),45875.68762158565)</f>
        <v>45875.68762</v>
      </c>
      <c r="M3297" s="13"/>
      <c r="N3297" s="13" t="str">
        <f>IFERROR(__xludf.DUMMYFUNCTION("""COMPUTED_VALUE"""),"")</f>
        <v/>
      </c>
      <c r="O3297" s="13" t="str">
        <f t="shared" si="1"/>
        <v/>
      </c>
    </row>
    <row r="3298" ht="22.5" customHeight="1">
      <c r="B3298" s="13">
        <f>IFERROR(__xludf.DUMMYFUNCTION("""COMPUTED_VALUE"""),3293.0)</f>
        <v>3293</v>
      </c>
      <c r="C3298" s="13" t="str">
        <f>IFERROR(__xludf.DUMMYFUNCTION("""COMPUTED_VALUE"""),"M. 12984/SEGALA MIDER")</f>
        <v>M. 12984/SEGALA MIDER</v>
      </c>
      <c r="D3298" s="13" t="str">
        <f>IFERROR(__xludf.DUMMYFUNCTION("""COMPUTED_VALUE"""),"K/28/230725/3")</f>
        <v>K/28/230725/3</v>
      </c>
      <c r="E3298" s="14" t="str">
        <f>IFERROR(__xludf.DUMMYFUNCTION("""COMPUTED_VALUE"""),"Heri (BT)")</f>
        <v>Heri (BT)</v>
      </c>
      <c r="F3298" s="14" t="str">
        <f>IFERROR(__xludf.DUMMYFUNCTION("""COMPUTED_VALUE"""),"SELESAI (VIA PERMOHONAN)")</f>
        <v>SELESAI (VIA PERMOHONAN)</v>
      </c>
      <c r="G3298" s="17">
        <f>IFERROR(__xludf.DUMMYFUNCTION("""COMPUTED_VALUE"""),45875.37302662037)</f>
        <v>45875.37303</v>
      </c>
      <c r="H3298" s="14" t="str">
        <f>IFERROR(__xludf.DUMMYFUNCTION("""COMPUTED_VALUE"""),"Eci (SU)")</f>
        <v>Eci (SU)</v>
      </c>
      <c r="I3298" s="13" t="str">
        <f>IFERROR(__xludf.DUMMYFUNCTION("""COMPUTED_VALUE"""),"SELESAI (VIA PERMOHONAN)")</f>
        <v>SELESAI (VIA PERMOHONAN)</v>
      </c>
      <c r="J3298" s="17">
        <f>IFERROR(__xludf.DUMMYFUNCTION("""COMPUTED_VALUE"""),45875.68762158565)</f>
        <v>45875.68762</v>
      </c>
      <c r="K3298" s="13" t="str">
        <f>IFERROR(__xludf.DUMMYFUNCTION("""COMPUTED_VALUE"""),"Selesai")</f>
        <v>Selesai</v>
      </c>
      <c r="L3298" s="17">
        <f>IFERROR(__xludf.DUMMYFUNCTION("""COMPUTED_VALUE"""),45875.68762158565)</f>
        <v>45875.68762</v>
      </c>
      <c r="M3298" s="13"/>
      <c r="N3298" s="13" t="str">
        <f>IFERROR(__xludf.DUMMYFUNCTION("""COMPUTED_VALUE"""),"")</f>
        <v/>
      </c>
      <c r="O3298" s="13" t="str">
        <f t="shared" si="1"/>
        <v/>
      </c>
    </row>
    <row r="3299" ht="22.5" customHeight="1">
      <c r="B3299" s="13">
        <f>IFERROR(__xludf.DUMMYFUNCTION("""COMPUTED_VALUE"""),3294.0)</f>
        <v>3294</v>
      </c>
      <c r="C3299" s="13" t="str">
        <f>IFERROR(__xludf.DUMMYFUNCTION("""COMPUTED_VALUE"""),"M. 3506/BERINGIN RAYA")</f>
        <v>M. 3506/BERINGIN RAYA</v>
      </c>
      <c r="D3299" s="13" t="str">
        <f>IFERROR(__xludf.DUMMYFUNCTION("""COMPUTED_VALUE"""),"K/6/210725/1")</f>
        <v>K/6/210725/1</v>
      </c>
      <c r="E3299" s="14" t="str">
        <f>IFERROR(__xludf.DUMMYFUNCTION("""COMPUTED_VALUE"""),"Heri (BT)")</f>
        <v>Heri (BT)</v>
      </c>
      <c r="F3299" s="14" t="str">
        <f>IFERROR(__xludf.DUMMYFUNCTION("""COMPUTED_VALUE"""),"SELESAI (VIA PERMOHONAN)")</f>
        <v>SELESAI (VIA PERMOHONAN)</v>
      </c>
      <c r="G3299" s="17">
        <f>IFERROR(__xludf.DUMMYFUNCTION("""COMPUTED_VALUE"""),45875.37317378473)</f>
        <v>45875.37317</v>
      </c>
      <c r="H3299" s="14" t="str">
        <f>IFERROR(__xludf.DUMMYFUNCTION("""COMPUTED_VALUE"""),"Eci (SU)")</f>
        <v>Eci (SU)</v>
      </c>
      <c r="I3299" s="13" t="str">
        <f>IFERROR(__xludf.DUMMYFUNCTION("""COMPUTED_VALUE"""),"SELESAI (VIA PERMOHONAN)")</f>
        <v>SELESAI (VIA PERMOHONAN)</v>
      </c>
      <c r="J3299" s="17">
        <f>IFERROR(__xludf.DUMMYFUNCTION("""COMPUTED_VALUE"""),45875.68762158565)</f>
        <v>45875.68762</v>
      </c>
      <c r="K3299" s="13" t="str">
        <f>IFERROR(__xludf.DUMMYFUNCTION("""COMPUTED_VALUE"""),"Selesai")</f>
        <v>Selesai</v>
      </c>
      <c r="L3299" s="17">
        <f>IFERROR(__xludf.DUMMYFUNCTION("""COMPUTED_VALUE"""),45875.68762158565)</f>
        <v>45875.68762</v>
      </c>
      <c r="M3299" s="13"/>
      <c r="N3299" s="13" t="str">
        <f>IFERROR(__xludf.DUMMYFUNCTION("""COMPUTED_VALUE"""),"")</f>
        <v/>
      </c>
      <c r="O3299" s="13" t="str">
        <f t="shared" si="1"/>
        <v/>
      </c>
    </row>
    <row r="3300" ht="22.5" customHeight="1">
      <c r="B3300" s="13">
        <f>IFERROR(__xludf.DUMMYFUNCTION("""COMPUTED_VALUE"""),3295.0)</f>
        <v>3295</v>
      </c>
      <c r="C3300" s="13" t="str">
        <f>IFERROR(__xludf.DUMMYFUNCTION("""COMPUTED_VALUE"""),"M.19754/SUKARAME")</f>
        <v>M.19754/SUKARAME</v>
      </c>
      <c r="D3300" s="13" t="str">
        <f>IFERROR(__xludf.DUMMYFUNCTION("""COMPUTED_VALUE"""),"K/33/140725/1")</f>
        <v>K/33/140725/1</v>
      </c>
      <c r="E3300" s="14" t="str">
        <f>IFERROR(__xludf.DUMMYFUNCTION("""COMPUTED_VALUE"""),"Heri (BT)")</f>
        <v>Heri (BT)</v>
      </c>
      <c r="F3300" s="14" t="str">
        <f>IFERROR(__xludf.DUMMYFUNCTION("""COMPUTED_VALUE"""),"SELESAI (VIA PERMOHONAN)")</f>
        <v>SELESAI (VIA PERMOHONAN)</v>
      </c>
      <c r="G3300" s="17">
        <f>IFERROR(__xludf.DUMMYFUNCTION("""COMPUTED_VALUE"""),45875.373322430554)</f>
        <v>45875.37332</v>
      </c>
      <c r="H3300" s="14" t="str">
        <f>IFERROR(__xludf.DUMMYFUNCTION("""COMPUTED_VALUE"""),"Eci (SU)")</f>
        <v>Eci (SU)</v>
      </c>
      <c r="I3300" s="13" t="str">
        <f>IFERROR(__xludf.DUMMYFUNCTION("""COMPUTED_VALUE"""),"SELESAI (VIA PERMOHONAN)")</f>
        <v>SELESAI (VIA PERMOHONAN)</v>
      </c>
      <c r="J3300" s="17">
        <f>IFERROR(__xludf.DUMMYFUNCTION("""COMPUTED_VALUE"""),45875.687663969904)</f>
        <v>45875.68766</v>
      </c>
      <c r="K3300" s="13" t="str">
        <f>IFERROR(__xludf.DUMMYFUNCTION("""COMPUTED_VALUE"""),"Selesai")</f>
        <v>Selesai</v>
      </c>
      <c r="L3300" s="17">
        <f>IFERROR(__xludf.DUMMYFUNCTION("""COMPUTED_VALUE"""),45875.687663969904)</f>
        <v>45875.68766</v>
      </c>
      <c r="M3300" s="13"/>
      <c r="N3300" s="13" t="str">
        <f>IFERROR(__xludf.DUMMYFUNCTION("""COMPUTED_VALUE"""),"")</f>
        <v/>
      </c>
      <c r="O3300" s="13" t="str">
        <f t="shared" si="1"/>
        <v/>
      </c>
    </row>
    <row r="3301" ht="22.5" customHeight="1">
      <c r="B3301" s="13">
        <f>IFERROR(__xludf.DUMMYFUNCTION("""COMPUTED_VALUE"""),3296.0)</f>
        <v>3296</v>
      </c>
      <c r="C3301" s="13" t="str">
        <f>IFERROR(__xludf.DUMMYFUNCTION("""COMPUTED_VALUE"""),"M. 965/LANGKAPURA BARU")</f>
        <v>M. 965/LANGKAPURA BARU</v>
      </c>
      <c r="D3301" s="13" t="str">
        <f>IFERROR(__xludf.DUMMYFUNCTION("""COMPUTED_VALUE"""),"K/14/250625/1")</f>
        <v>K/14/250625/1</v>
      </c>
      <c r="E3301" s="14" t="str">
        <f>IFERROR(__xludf.DUMMYFUNCTION("""COMPUTED_VALUE"""),"Heri (BT)")</f>
        <v>Heri (BT)</v>
      </c>
      <c r="F3301" s="14" t="str">
        <f>IFERROR(__xludf.DUMMYFUNCTION("""COMPUTED_VALUE"""),"SELESAI (VIA PERMOHONAN)")</f>
        <v>SELESAI (VIA PERMOHONAN)</v>
      </c>
      <c r="G3301" s="17">
        <f>IFERROR(__xludf.DUMMYFUNCTION("""COMPUTED_VALUE"""),45875.37355960648)</f>
        <v>45875.37356</v>
      </c>
      <c r="H3301" s="14" t="str">
        <f>IFERROR(__xludf.DUMMYFUNCTION("""COMPUTED_VALUE"""),"Eci (SU)")</f>
        <v>Eci (SU)</v>
      </c>
      <c r="I3301" s="13" t="str">
        <f>IFERROR(__xludf.DUMMYFUNCTION("""COMPUTED_VALUE"""),"SELESAI (VIA PERMOHONAN)")</f>
        <v>SELESAI (VIA PERMOHONAN)</v>
      </c>
      <c r="J3301" s="17">
        <f>IFERROR(__xludf.DUMMYFUNCTION("""COMPUTED_VALUE"""),45875.687663969904)</f>
        <v>45875.68766</v>
      </c>
      <c r="K3301" s="13" t="str">
        <f>IFERROR(__xludf.DUMMYFUNCTION("""COMPUTED_VALUE"""),"Selesai")</f>
        <v>Selesai</v>
      </c>
      <c r="L3301" s="17">
        <f>IFERROR(__xludf.DUMMYFUNCTION("""COMPUTED_VALUE"""),45875.687663969904)</f>
        <v>45875.68766</v>
      </c>
      <c r="M3301" s="13"/>
      <c r="N3301" s="13" t="str">
        <f>IFERROR(__xludf.DUMMYFUNCTION("""COMPUTED_VALUE"""),"")</f>
        <v/>
      </c>
      <c r="O3301" s="13" t="str">
        <f t="shared" si="1"/>
        <v/>
      </c>
    </row>
    <row r="3302" ht="22.5" customHeight="1">
      <c r="B3302" s="13">
        <f>IFERROR(__xludf.DUMMYFUNCTION("""COMPUTED_VALUE"""),3297.0)</f>
        <v>3297</v>
      </c>
      <c r="C3302" s="13" t="str">
        <f>IFERROR(__xludf.DUMMYFUNCTION("""COMPUTED_VALUE"""),"B. 179/SUMBERREJO SEJAHTERA")</f>
        <v>B. 179/SUMBERREJO SEJAHTERA</v>
      </c>
      <c r="D3302" s="13" t="str">
        <f>IFERROR(__xludf.DUMMYFUNCTION("""COMPUTED_VALUE"""),"K/18/160725/1")</f>
        <v>K/18/160725/1</v>
      </c>
      <c r="E3302" s="14" t="str">
        <f>IFERROR(__xludf.DUMMYFUNCTION("""COMPUTED_VALUE"""),"Heri (BT)")</f>
        <v>Heri (BT)</v>
      </c>
      <c r="F3302" s="14" t="str">
        <f>IFERROR(__xludf.DUMMYFUNCTION("""COMPUTED_VALUE"""),"SELESAI (VIA PERMOHONAN)")</f>
        <v>SELESAI (VIA PERMOHONAN)</v>
      </c>
      <c r="G3302" s="17">
        <f>IFERROR(__xludf.DUMMYFUNCTION("""COMPUTED_VALUE"""),45875.373742592594)</f>
        <v>45875.37374</v>
      </c>
      <c r="H3302" s="14" t="str">
        <f>IFERROR(__xludf.DUMMYFUNCTION("""COMPUTED_VALUE"""),"Eci (SU)")</f>
        <v>Eci (SU)</v>
      </c>
      <c r="I3302" s="13" t="str">
        <f>IFERROR(__xludf.DUMMYFUNCTION("""COMPUTED_VALUE"""),"SELESAI (VIA PERMOHONAN)")</f>
        <v>SELESAI (VIA PERMOHONAN)</v>
      </c>
      <c r="J3302" s="17">
        <f>IFERROR(__xludf.DUMMYFUNCTION("""COMPUTED_VALUE"""),45876.46672456019)</f>
        <v>45876.46672</v>
      </c>
      <c r="K3302" s="13" t="str">
        <f>IFERROR(__xludf.DUMMYFUNCTION("""COMPUTED_VALUE"""),"Selesai")</f>
        <v>Selesai</v>
      </c>
      <c r="L3302" s="17">
        <f>IFERROR(__xludf.DUMMYFUNCTION("""COMPUTED_VALUE"""),45876.46672456019)</f>
        <v>45876.46672</v>
      </c>
      <c r="M3302" s="13"/>
      <c r="N3302" s="13" t="str">
        <f>IFERROR(__xludf.DUMMYFUNCTION("""COMPUTED_VALUE"""),"")</f>
        <v/>
      </c>
      <c r="O3302" s="13" t="str">
        <f t="shared" si="1"/>
        <v/>
      </c>
    </row>
    <row r="3303" ht="22.5" customHeight="1">
      <c r="B3303" s="13">
        <f>IFERROR(__xludf.DUMMYFUNCTION("""COMPUTED_VALUE"""),3298.0)</f>
        <v>3298</v>
      </c>
      <c r="C3303" s="13" t="str">
        <f>IFERROR(__xludf.DUMMYFUNCTION("""COMPUTED_VALUE"""),"M. 3260/ Kota Karang")</f>
        <v>M. 3260/ Kota Karang</v>
      </c>
      <c r="D3303" s="13" t="str">
        <f>IFERROR(__xludf.DUMMYFUNCTION("""COMPUTED_VALUE"""),"K/10/220725/2")</f>
        <v>K/10/220725/2</v>
      </c>
      <c r="E3303" s="14" t="str">
        <f>IFERROR(__xludf.DUMMYFUNCTION("""COMPUTED_VALUE"""),"Heri (BT)")</f>
        <v>Heri (BT)</v>
      </c>
      <c r="F3303" s="14" t="str">
        <f>IFERROR(__xludf.DUMMYFUNCTION("""COMPUTED_VALUE"""),"SELESAI (VIA PERMOHONAN)")</f>
        <v>SELESAI (VIA PERMOHONAN)</v>
      </c>
      <c r="G3303" s="17">
        <f>IFERROR(__xludf.DUMMYFUNCTION("""COMPUTED_VALUE"""),45876.36434901621)</f>
        <v>45876.36435</v>
      </c>
      <c r="H3303" s="14" t="str">
        <f>IFERROR(__xludf.DUMMYFUNCTION("""COMPUTED_VALUE"""),"Eci (SU)")</f>
        <v>Eci (SU)</v>
      </c>
      <c r="I3303" s="13" t="str">
        <f>IFERROR(__xludf.DUMMYFUNCTION("""COMPUTED_VALUE"""),"SELESAI (VIA PERMOHONAN)")</f>
        <v>SELESAI (VIA PERMOHONAN)</v>
      </c>
      <c r="J3303" s="17">
        <f>IFERROR(__xludf.DUMMYFUNCTION("""COMPUTED_VALUE"""),45876.46583042824)</f>
        <v>45876.46583</v>
      </c>
      <c r="K3303" s="13" t="str">
        <f>IFERROR(__xludf.DUMMYFUNCTION("""COMPUTED_VALUE"""),"Selesai")</f>
        <v>Selesai</v>
      </c>
      <c r="L3303" s="17">
        <f>IFERROR(__xludf.DUMMYFUNCTION("""COMPUTED_VALUE"""),45876.46583042824)</f>
        <v>45876.46583</v>
      </c>
      <c r="M3303" s="13"/>
      <c r="N3303" s="13" t="str">
        <f>IFERROR(__xludf.DUMMYFUNCTION("""COMPUTED_VALUE"""),"")</f>
        <v/>
      </c>
      <c r="O3303" s="13" t="str">
        <f t="shared" si="1"/>
        <v/>
      </c>
    </row>
    <row r="3304" ht="22.5" customHeight="1">
      <c r="B3304" s="13">
        <f>IFERROR(__xludf.DUMMYFUNCTION("""COMPUTED_VALUE"""),3299.0)</f>
        <v>3299</v>
      </c>
      <c r="C3304" s="13" t="str">
        <f>IFERROR(__xludf.DUMMYFUNCTION("""COMPUTED_VALUE"""),"M.6552/TANJUNG SENENG")</f>
        <v>M.6552/TANJUNG SENENG</v>
      </c>
      <c r="D3304" s="13" t="str">
        <f>IFERROR(__xludf.DUMMYFUNCTION("""COMPUTED_VALUE"""),"K/17/300725/1")</f>
        <v>K/17/300725/1</v>
      </c>
      <c r="E3304" s="14" t="str">
        <f>IFERROR(__xludf.DUMMYFUNCTION("""COMPUTED_VALUE"""),"Heri (BT)")</f>
        <v>Heri (BT)</v>
      </c>
      <c r="F3304" s="14" t="str">
        <f>IFERROR(__xludf.DUMMYFUNCTION("""COMPUTED_VALUE"""),"SELESAI (VIA PERMOHONAN)")</f>
        <v>SELESAI (VIA PERMOHONAN)</v>
      </c>
      <c r="G3304" s="17">
        <f>IFERROR(__xludf.DUMMYFUNCTION("""COMPUTED_VALUE"""),45876.36448244213)</f>
        <v>45876.36448</v>
      </c>
      <c r="H3304" s="14" t="str">
        <f>IFERROR(__xludf.DUMMYFUNCTION("""COMPUTED_VALUE"""),"Eci (SU)")</f>
        <v>Eci (SU)</v>
      </c>
      <c r="I3304" s="13" t="str">
        <f>IFERROR(__xludf.DUMMYFUNCTION("""COMPUTED_VALUE"""),"SELESAI (VIA PERMOHONAN)")</f>
        <v>SELESAI (VIA PERMOHONAN)</v>
      </c>
      <c r="J3304" s="17">
        <f>IFERROR(__xludf.DUMMYFUNCTION("""COMPUTED_VALUE"""),45876.46502030092)</f>
        <v>45876.46502</v>
      </c>
      <c r="K3304" s="13" t="str">
        <f>IFERROR(__xludf.DUMMYFUNCTION("""COMPUTED_VALUE"""),"Selesai")</f>
        <v>Selesai</v>
      </c>
      <c r="L3304" s="17">
        <f>IFERROR(__xludf.DUMMYFUNCTION("""COMPUTED_VALUE"""),45876.46502030092)</f>
        <v>45876.46502</v>
      </c>
      <c r="M3304" s="13"/>
      <c r="N3304" s="13" t="str">
        <f>IFERROR(__xludf.DUMMYFUNCTION("""COMPUTED_VALUE"""),"")</f>
        <v/>
      </c>
      <c r="O3304" s="13" t="str">
        <f t="shared" si="1"/>
        <v/>
      </c>
    </row>
    <row r="3305" ht="22.5" customHeight="1">
      <c r="B3305" s="13">
        <f>IFERROR(__xludf.DUMMYFUNCTION("""COMPUTED_VALUE"""),3300.0)</f>
        <v>3300</v>
      </c>
      <c r="C3305" s="13" t="str">
        <f>IFERROR(__xludf.DUMMYFUNCTION("""COMPUTED_VALUE"""),"B. 1842/ Beringin Raya")</f>
        <v>B. 1842/ Beringin Raya</v>
      </c>
      <c r="D3305" s="13" t="str">
        <f>IFERROR(__xludf.DUMMYFUNCTION("""COMPUTED_VALUE"""),"K/1/160725/1")</f>
        <v>K/1/160725/1</v>
      </c>
      <c r="E3305" s="14" t="str">
        <f>IFERROR(__xludf.DUMMYFUNCTION("""COMPUTED_VALUE"""),"Heri (BT)")</f>
        <v>Heri (BT)</v>
      </c>
      <c r="F3305" s="14" t="str">
        <f>IFERROR(__xludf.DUMMYFUNCTION("""COMPUTED_VALUE"""),"SELESAI (VIA PERMOHONAN)")</f>
        <v>SELESAI (VIA PERMOHONAN)</v>
      </c>
      <c r="G3305" s="17">
        <f>IFERROR(__xludf.DUMMYFUNCTION("""COMPUTED_VALUE"""),45876.36487934028)</f>
        <v>45876.36488</v>
      </c>
      <c r="H3305" s="14" t="str">
        <f>IFERROR(__xludf.DUMMYFUNCTION("""COMPUTED_VALUE"""),"Eci (SU)")</f>
        <v>Eci (SU)</v>
      </c>
      <c r="I3305" s="13" t="str">
        <f>IFERROR(__xludf.DUMMYFUNCTION("""COMPUTED_VALUE"""),"SELESAI (VIA PERMOHONAN)")</f>
        <v>SELESAI (VIA PERMOHONAN)</v>
      </c>
      <c r="J3305" s="17">
        <f>IFERROR(__xludf.DUMMYFUNCTION("""COMPUTED_VALUE"""),45876.46574972222)</f>
        <v>45876.46575</v>
      </c>
      <c r="K3305" s="13" t="str">
        <f>IFERROR(__xludf.DUMMYFUNCTION("""COMPUTED_VALUE"""),"Selesai")</f>
        <v>Selesai</v>
      </c>
      <c r="L3305" s="17">
        <f>IFERROR(__xludf.DUMMYFUNCTION("""COMPUTED_VALUE"""),45876.46574972222)</f>
        <v>45876.46575</v>
      </c>
      <c r="M3305" s="13"/>
      <c r="N3305" s="13" t="str">
        <f>IFERROR(__xludf.DUMMYFUNCTION("""COMPUTED_VALUE"""),"")</f>
        <v/>
      </c>
      <c r="O3305" s="13" t="str">
        <f t="shared" si="1"/>
        <v/>
      </c>
    </row>
    <row r="3306" ht="22.5" customHeight="1">
      <c r="B3306" s="13">
        <f>IFERROR(__xludf.DUMMYFUNCTION("""COMPUTED_VALUE"""),3301.0)</f>
        <v>3301</v>
      </c>
      <c r="C3306" s="13" t="str">
        <f>IFERROR(__xludf.DUMMYFUNCTION("""COMPUTED_VALUE"""),"M. 1901/ Kota Baru")</f>
        <v>M. 1901/ Kota Baru</v>
      </c>
      <c r="D3306" s="13" t="str">
        <f>IFERROR(__xludf.DUMMYFUNCTION("""COMPUTED_VALUE"""),"K/14/230725/1")</f>
        <v>K/14/230725/1</v>
      </c>
      <c r="E3306" s="14" t="str">
        <f>IFERROR(__xludf.DUMMYFUNCTION("""COMPUTED_VALUE"""),"Heri (BT)")</f>
        <v>Heri (BT)</v>
      </c>
      <c r="F3306" s="14" t="str">
        <f>IFERROR(__xludf.DUMMYFUNCTION("""COMPUTED_VALUE"""),"SELESAI (VIA PERMOHONAN)")</f>
        <v>SELESAI (VIA PERMOHONAN)</v>
      </c>
      <c r="G3306" s="17">
        <f>IFERROR(__xludf.DUMMYFUNCTION("""COMPUTED_VALUE"""),45876.36501355324)</f>
        <v>45876.36501</v>
      </c>
      <c r="H3306" s="14" t="str">
        <f>IFERROR(__xludf.DUMMYFUNCTION("""COMPUTED_VALUE"""),"Eci (SU)")</f>
        <v>Eci (SU)</v>
      </c>
      <c r="I3306" s="13" t="str">
        <f>IFERROR(__xludf.DUMMYFUNCTION("""COMPUTED_VALUE"""),"SELESAI (VIA PERMOHONAN)")</f>
        <v>SELESAI (VIA PERMOHONAN)</v>
      </c>
      <c r="J3306" s="17">
        <f>IFERROR(__xludf.DUMMYFUNCTION("""COMPUTED_VALUE"""),45876.46566104167)</f>
        <v>45876.46566</v>
      </c>
      <c r="K3306" s="13" t="str">
        <f>IFERROR(__xludf.DUMMYFUNCTION("""COMPUTED_VALUE"""),"Selesai")</f>
        <v>Selesai</v>
      </c>
      <c r="L3306" s="17">
        <f>IFERROR(__xludf.DUMMYFUNCTION("""COMPUTED_VALUE"""),45876.46566104167)</f>
        <v>45876.46566</v>
      </c>
      <c r="M3306" s="13"/>
      <c r="N3306" s="13" t="str">
        <f>IFERROR(__xludf.DUMMYFUNCTION("""COMPUTED_VALUE"""),"")</f>
        <v/>
      </c>
      <c r="O3306" s="13" t="str">
        <f t="shared" si="1"/>
        <v/>
      </c>
    </row>
    <row r="3307" ht="22.5" customHeight="1">
      <c r="B3307" s="13">
        <f>IFERROR(__xludf.DUMMYFUNCTION("""COMPUTED_VALUE"""),3302.0)</f>
        <v>3302</v>
      </c>
      <c r="C3307" s="13" t="str">
        <f>IFERROR(__xludf.DUMMYFUNCTION("""COMPUTED_VALUE"""),"M. 124/ Gedung Meneng Baru")</f>
        <v>M. 124/ Gedung Meneng Baru</v>
      </c>
      <c r="D3307" s="13" t="str">
        <f>IFERROR(__xludf.DUMMYFUNCTION("""COMPUTED_VALUE"""),"K/33/010725/1")</f>
        <v>K/33/010725/1</v>
      </c>
      <c r="E3307" s="14" t="str">
        <f>IFERROR(__xludf.DUMMYFUNCTION("""COMPUTED_VALUE"""),"Heri (BT)")</f>
        <v>Heri (BT)</v>
      </c>
      <c r="F3307" s="14" t="str">
        <f>IFERROR(__xludf.DUMMYFUNCTION("""COMPUTED_VALUE"""),"SELESAI (VIA PERMOHONAN)")</f>
        <v>SELESAI (VIA PERMOHONAN)</v>
      </c>
      <c r="G3307" s="17">
        <f>IFERROR(__xludf.DUMMYFUNCTION("""COMPUTED_VALUE"""),45876.36517872685)</f>
        <v>45876.36518</v>
      </c>
      <c r="H3307" s="14" t="str">
        <f>IFERROR(__xludf.DUMMYFUNCTION("""COMPUTED_VALUE"""),"Eci (SU)")</f>
        <v>Eci (SU)</v>
      </c>
      <c r="I3307" s="13" t="str">
        <f>IFERROR(__xludf.DUMMYFUNCTION("""COMPUTED_VALUE"""),"SELESAI (VIA PERMOHONAN)")</f>
        <v>SELESAI (VIA PERMOHONAN)</v>
      </c>
      <c r="J3307" s="17">
        <f>IFERROR(__xludf.DUMMYFUNCTION("""COMPUTED_VALUE"""),45876.591024270834)</f>
        <v>45876.59102</v>
      </c>
      <c r="K3307" s="13" t="str">
        <f>IFERROR(__xludf.DUMMYFUNCTION("""COMPUTED_VALUE"""),"Selesai")</f>
        <v>Selesai</v>
      </c>
      <c r="L3307" s="17">
        <f>IFERROR(__xludf.DUMMYFUNCTION("""COMPUTED_VALUE"""),45876.591024270834)</f>
        <v>45876.59102</v>
      </c>
      <c r="M3307" s="13"/>
      <c r="N3307" s="13" t="str">
        <f>IFERROR(__xludf.DUMMYFUNCTION("""COMPUTED_VALUE"""),"")</f>
        <v/>
      </c>
      <c r="O3307" s="13" t="str">
        <f t="shared" si="1"/>
        <v/>
      </c>
    </row>
    <row r="3308" ht="22.5" customHeight="1">
      <c r="B3308" s="13">
        <f>IFERROR(__xludf.DUMMYFUNCTION("""COMPUTED_VALUE"""),3303.0)</f>
        <v>3303</v>
      </c>
      <c r="C3308" s="13" t="str">
        <f>IFERROR(__xludf.DUMMYFUNCTION("""COMPUTED_VALUE"""),"M. 5521/ Rajabasa Jaya")</f>
        <v>M. 5521/ Rajabasa Jaya</v>
      </c>
      <c r="D3308" s="13" t="str">
        <f>IFERROR(__xludf.DUMMYFUNCTION("""COMPUTED_VALUE"""),"K/12/240725/1")</f>
        <v>K/12/240725/1</v>
      </c>
      <c r="E3308" s="14" t="str">
        <f>IFERROR(__xludf.DUMMYFUNCTION("""COMPUTED_VALUE"""),"Heri (BT)")</f>
        <v>Heri (BT)</v>
      </c>
      <c r="F3308" s="14" t="str">
        <f>IFERROR(__xludf.DUMMYFUNCTION("""COMPUTED_VALUE"""),"SELESAI (VIA PERMOHONAN)")</f>
        <v>SELESAI (VIA PERMOHONAN)</v>
      </c>
      <c r="G3308" s="17">
        <f>IFERROR(__xludf.DUMMYFUNCTION("""COMPUTED_VALUE"""),45876.365314421295)</f>
        <v>45876.36531</v>
      </c>
      <c r="H3308" s="14" t="str">
        <f>IFERROR(__xludf.DUMMYFUNCTION("""COMPUTED_VALUE"""),"Eci (SU)")</f>
        <v>Eci (SU)</v>
      </c>
      <c r="I3308" s="13" t="str">
        <f>IFERROR(__xludf.DUMMYFUNCTION("""COMPUTED_VALUE"""),"SELESAI (VIA PERMOHONAN)")</f>
        <v>SELESAI (VIA PERMOHONAN)</v>
      </c>
      <c r="J3308" s="17">
        <f>IFERROR(__xludf.DUMMYFUNCTION("""COMPUTED_VALUE"""),45876.59104782407)</f>
        <v>45876.59105</v>
      </c>
      <c r="K3308" s="13" t="str">
        <f>IFERROR(__xludf.DUMMYFUNCTION("""COMPUTED_VALUE"""),"Selesai")</f>
        <v>Selesai</v>
      </c>
      <c r="L3308" s="17">
        <f>IFERROR(__xludf.DUMMYFUNCTION("""COMPUTED_VALUE"""),45876.59104782407)</f>
        <v>45876.59105</v>
      </c>
      <c r="M3308" s="13"/>
      <c r="N3308" s="13" t="str">
        <f>IFERROR(__xludf.DUMMYFUNCTION("""COMPUTED_VALUE"""),"")</f>
        <v/>
      </c>
      <c r="O3308" s="13" t="str">
        <f t="shared" si="1"/>
        <v/>
      </c>
    </row>
    <row r="3309" ht="22.5" customHeight="1">
      <c r="B3309" s="13">
        <f>IFERROR(__xludf.DUMMYFUNCTION("""COMPUTED_VALUE"""),3304.0)</f>
        <v>3304</v>
      </c>
      <c r="C3309" s="13" t="str">
        <f>IFERROR(__xludf.DUMMYFUNCTION("""COMPUTED_VALUE"""),"M. 2041/ Gunung Terang")</f>
        <v>M. 2041/ Gunung Terang</v>
      </c>
      <c r="D3309" s="13" t="str">
        <f>IFERROR(__xludf.DUMMYFUNCTION("""COMPUTED_VALUE"""),"K/5/150725/1")</f>
        <v>K/5/150725/1</v>
      </c>
      <c r="E3309" s="14" t="str">
        <f>IFERROR(__xludf.DUMMYFUNCTION("""COMPUTED_VALUE"""),"Heri (BT)")</f>
        <v>Heri (BT)</v>
      </c>
      <c r="F3309" s="14" t="str">
        <f>IFERROR(__xludf.DUMMYFUNCTION("""COMPUTED_VALUE"""),"SELESAI (VIA PERMOHONAN)")</f>
        <v>SELESAI (VIA PERMOHONAN)</v>
      </c>
      <c r="G3309" s="17">
        <f>IFERROR(__xludf.DUMMYFUNCTION("""COMPUTED_VALUE"""),45876.36546375)</f>
        <v>45876.36546</v>
      </c>
      <c r="H3309" s="14" t="str">
        <f>IFERROR(__xludf.DUMMYFUNCTION("""COMPUTED_VALUE"""),"Eci (SU)")</f>
        <v>Eci (SU)</v>
      </c>
      <c r="I3309" s="13" t="str">
        <f>IFERROR(__xludf.DUMMYFUNCTION("""COMPUTED_VALUE"""),"SELESAI (VIA PERMOHONAN)")</f>
        <v>SELESAI (VIA PERMOHONAN)</v>
      </c>
      <c r="J3309" s="17">
        <f>IFERROR(__xludf.DUMMYFUNCTION("""COMPUTED_VALUE"""),45876.465545266205)</f>
        <v>45876.46555</v>
      </c>
      <c r="K3309" s="13" t="str">
        <f>IFERROR(__xludf.DUMMYFUNCTION("""COMPUTED_VALUE"""),"Selesai")</f>
        <v>Selesai</v>
      </c>
      <c r="L3309" s="17">
        <f>IFERROR(__xludf.DUMMYFUNCTION("""COMPUTED_VALUE"""),45876.465545266205)</f>
        <v>45876.46555</v>
      </c>
      <c r="M3309" s="13"/>
      <c r="N3309" s="13" t="str">
        <f>IFERROR(__xludf.DUMMYFUNCTION("""COMPUTED_VALUE"""),"")</f>
        <v/>
      </c>
      <c r="O3309" s="13" t="str">
        <f t="shared" si="1"/>
        <v/>
      </c>
    </row>
    <row r="3310" ht="22.5" customHeight="1">
      <c r="B3310" s="13">
        <f>IFERROR(__xludf.DUMMYFUNCTION("""COMPUTED_VALUE"""),3305.0)</f>
        <v>3305</v>
      </c>
      <c r="C3310" s="13" t="str">
        <f>IFERROR(__xludf.DUMMYFUNCTION("""COMPUTED_VALUE"""),"M. 1718/ Kupang ")</f>
        <v>M. 1718/ Kupang </v>
      </c>
      <c r="D3310" s="13" t="str">
        <f>IFERROR(__xludf.DUMMYFUNCTION("""COMPUTED_VALUE"""),"K/9/220725/1")</f>
        <v>K/9/220725/1</v>
      </c>
      <c r="E3310" s="14" t="str">
        <f>IFERROR(__xludf.DUMMYFUNCTION("""COMPUTED_VALUE"""),"Heri (BT)")</f>
        <v>Heri (BT)</v>
      </c>
      <c r="F3310" s="14" t="str">
        <f>IFERROR(__xludf.DUMMYFUNCTION("""COMPUTED_VALUE"""),"SELESAI (VIA PERMOHONAN)")</f>
        <v>SELESAI (VIA PERMOHONAN)</v>
      </c>
      <c r="G3310" s="17">
        <f>IFERROR(__xludf.DUMMYFUNCTION("""COMPUTED_VALUE"""),45876.36576785879)</f>
        <v>45876.36577</v>
      </c>
      <c r="H3310" s="14" t="str">
        <f>IFERROR(__xludf.DUMMYFUNCTION("""COMPUTED_VALUE"""),"Eci (SU)")</f>
        <v>Eci (SU)</v>
      </c>
      <c r="I3310" s="13" t="str">
        <f>IFERROR(__xludf.DUMMYFUNCTION("""COMPUTED_VALUE"""),"SELESAI (VIA PERMOHONAN)")</f>
        <v>SELESAI (VIA PERMOHONAN)</v>
      </c>
      <c r="J3310" s="17">
        <f>IFERROR(__xludf.DUMMYFUNCTION("""COMPUTED_VALUE"""),45876.46544641204)</f>
        <v>45876.46545</v>
      </c>
      <c r="K3310" s="13" t="str">
        <f>IFERROR(__xludf.DUMMYFUNCTION("""COMPUTED_VALUE"""),"Selesai")</f>
        <v>Selesai</v>
      </c>
      <c r="L3310" s="17">
        <f>IFERROR(__xludf.DUMMYFUNCTION("""COMPUTED_VALUE"""),45876.46544641204)</f>
        <v>45876.46545</v>
      </c>
      <c r="M3310" s="13"/>
      <c r="N3310" s="13" t="str">
        <f>IFERROR(__xludf.DUMMYFUNCTION("""COMPUTED_VALUE"""),"")</f>
        <v/>
      </c>
      <c r="O3310" s="13" t="str">
        <f t="shared" si="1"/>
        <v/>
      </c>
    </row>
    <row r="3311" ht="22.5" customHeight="1">
      <c r="B3311" s="13">
        <f>IFERROR(__xludf.DUMMYFUNCTION("""COMPUTED_VALUE"""),3306.0)</f>
        <v>3306</v>
      </c>
      <c r="C3311" s="13" t="str">
        <f>IFERROR(__xludf.DUMMYFUNCTION("""COMPUTED_VALUE"""),"M. 2555/ Keteguhan")</f>
        <v>M. 2555/ Keteguhan</v>
      </c>
      <c r="D3311" s="13" t="str">
        <f>IFERROR(__xludf.DUMMYFUNCTION("""COMPUTED_VALUE"""),"K/13/240725/1")</f>
        <v>K/13/240725/1</v>
      </c>
      <c r="E3311" s="14" t="str">
        <f>IFERROR(__xludf.DUMMYFUNCTION("""COMPUTED_VALUE"""),"Heri (BT)")</f>
        <v>Heri (BT)</v>
      </c>
      <c r="F3311" s="14" t="str">
        <f>IFERROR(__xludf.DUMMYFUNCTION("""COMPUTED_VALUE"""),"SELESAI (VIA PERMOHONAN)")</f>
        <v>SELESAI (VIA PERMOHONAN)</v>
      </c>
      <c r="G3311" s="17">
        <f>IFERROR(__xludf.DUMMYFUNCTION("""COMPUTED_VALUE"""),45876.36609467593)</f>
        <v>45876.36609</v>
      </c>
      <c r="H3311" s="14" t="str">
        <f>IFERROR(__xludf.DUMMYFUNCTION("""COMPUTED_VALUE"""),"Eci (SU)")</f>
        <v>Eci (SU)</v>
      </c>
      <c r="I3311" s="13" t="str">
        <f>IFERROR(__xludf.DUMMYFUNCTION("""COMPUTED_VALUE"""),"SELESAI (VIA PERMOHONAN)")</f>
        <v>SELESAI (VIA PERMOHONAN)</v>
      </c>
      <c r="J3311" s="17">
        <f>IFERROR(__xludf.DUMMYFUNCTION("""COMPUTED_VALUE"""),45876.46534248843)</f>
        <v>45876.46534</v>
      </c>
      <c r="K3311" s="13" t="str">
        <f>IFERROR(__xludf.DUMMYFUNCTION("""COMPUTED_VALUE"""),"Selesai")</f>
        <v>Selesai</v>
      </c>
      <c r="L3311" s="17">
        <f>IFERROR(__xludf.DUMMYFUNCTION("""COMPUTED_VALUE"""),45876.46534248843)</f>
        <v>45876.46534</v>
      </c>
      <c r="M3311" s="13"/>
      <c r="N3311" s="13" t="str">
        <f>IFERROR(__xludf.DUMMYFUNCTION("""COMPUTED_VALUE"""),"")</f>
        <v/>
      </c>
      <c r="O3311" s="13" t="str">
        <f t="shared" si="1"/>
        <v/>
      </c>
    </row>
    <row r="3312" ht="22.5" customHeight="1">
      <c r="B3312" s="13">
        <f>IFERROR(__xludf.DUMMYFUNCTION("""COMPUTED_VALUE"""),3307.0)</f>
        <v>3307</v>
      </c>
      <c r="C3312" s="13" t="str">
        <f>IFERROR(__xludf.DUMMYFUNCTION("""COMPUTED_VALUE"""),"M.112/RAJABASA NUNYAI")</f>
        <v>M.112/RAJABASA NUNYAI</v>
      </c>
      <c r="D3312" s="13" t="str">
        <f>IFERROR(__xludf.DUMMYFUNCTION("""COMPUTED_VALUE"""),"K/29/250725/2")</f>
        <v>K/29/250725/2</v>
      </c>
      <c r="E3312" s="14" t="str">
        <f>IFERROR(__xludf.DUMMYFUNCTION("""COMPUTED_VALUE"""),"Heri (BT)")</f>
        <v>Heri (BT)</v>
      </c>
      <c r="F3312" s="14" t="str">
        <f>IFERROR(__xludf.DUMMYFUNCTION("""COMPUTED_VALUE"""),"SELESAI (VIA PERMOHONAN)")</f>
        <v>SELESAI (VIA PERMOHONAN)</v>
      </c>
      <c r="G3312" s="17">
        <f>IFERROR(__xludf.DUMMYFUNCTION("""COMPUTED_VALUE"""),45876.36630902778)</f>
        <v>45876.36631</v>
      </c>
      <c r="H3312" s="14" t="str">
        <f>IFERROR(__xludf.DUMMYFUNCTION("""COMPUTED_VALUE"""),"Eci (SU)")</f>
        <v>Eci (SU)</v>
      </c>
      <c r="I3312" s="13" t="str">
        <f>IFERROR(__xludf.DUMMYFUNCTION("""COMPUTED_VALUE"""),"SELESAI (VIA PERMOHONAN)")</f>
        <v>SELESAI (VIA PERMOHONAN)</v>
      </c>
      <c r="J3312" s="17">
        <f>IFERROR(__xludf.DUMMYFUNCTION("""COMPUTED_VALUE"""),45876.46523665509)</f>
        <v>45876.46524</v>
      </c>
      <c r="K3312" s="13" t="str">
        <f>IFERROR(__xludf.DUMMYFUNCTION("""COMPUTED_VALUE"""),"Selesai")</f>
        <v>Selesai</v>
      </c>
      <c r="L3312" s="17">
        <f>IFERROR(__xludf.DUMMYFUNCTION("""COMPUTED_VALUE"""),45876.46523665509)</f>
        <v>45876.46524</v>
      </c>
      <c r="M3312" s="13"/>
      <c r="N3312" s="13" t="str">
        <f>IFERROR(__xludf.DUMMYFUNCTION("""COMPUTED_VALUE"""),"")</f>
        <v/>
      </c>
      <c r="O3312" s="13" t="str">
        <f t="shared" si="1"/>
        <v/>
      </c>
    </row>
    <row r="3313" ht="22.5" customHeight="1">
      <c r="B3313" s="13">
        <f>IFERROR(__xludf.DUMMYFUNCTION("""COMPUTED_VALUE"""),3308.0)</f>
        <v>3308</v>
      </c>
      <c r="C3313" s="13" t="str">
        <f>IFERROR(__xludf.DUMMYFUNCTION("""COMPUTED_VALUE"""),"HM 602/KEMILING RAYA")</f>
        <v>HM 602/KEMILING RAYA</v>
      </c>
      <c r="D3313" s="13" t="str">
        <f>IFERROR(__xludf.DUMMYFUNCTION("""COMPUTED_VALUE"""),"L/21/050325/2")</f>
        <v>L/21/050325/2</v>
      </c>
      <c r="E3313" s="14" t="str">
        <f>IFERROR(__xludf.DUMMYFUNCTION("""COMPUTED_VALUE"""),"Admin (Migrasi)")</f>
        <v>Admin (Migrasi)</v>
      </c>
      <c r="F3313" s="14" t="str">
        <f>IFERROR(__xludf.DUMMYFUNCTION("""COMPUTED_VALUE"""),"SELESAI (VIA PERMOHONAN)")</f>
        <v>SELESAI (VIA PERMOHONAN)</v>
      </c>
      <c r="G3313" s="17">
        <f>IFERROR(__xludf.DUMMYFUNCTION("""COMPUTED_VALUE"""),45876.490651932865)</f>
        <v>45876.49065</v>
      </c>
      <c r="H3313" s="14" t="str">
        <f>IFERROR(__xludf.DUMMYFUNCTION("""COMPUTED_VALUE"""),"Admin (Migrasi)")</f>
        <v>Admin (Migrasi)</v>
      </c>
      <c r="I3313" s="13" t="str">
        <f>IFERROR(__xludf.DUMMYFUNCTION("""COMPUTED_VALUE"""),"SELESAI (VIA PERMOHONAN)")</f>
        <v>SELESAI (VIA PERMOHONAN)</v>
      </c>
      <c r="J3313" s="17">
        <f>IFERROR(__xludf.DUMMYFUNCTION("""COMPUTED_VALUE"""),45876.49073060185)</f>
        <v>45876.49073</v>
      </c>
      <c r="K3313" s="13" t="str">
        <f>IFERROR(__xludf.DUMMYFUNCTION("""COMPUTED_VALUE"""),"Selesai")</f>
        <v>Selesai</v>
      </c>
      <c r="L3313" s="17">
        <f>IFERROR(__xludf.DUMMYFUNCTION("""COMPUTED_VALUE"""),45876.49073060185)</f>
        <v>45876.49073</v>
      </c>
      <c r="M3313" s="13"/>
      <c r="N3313" s="13" t="str">
        <f>IFERROR(__xludf.DUMMYFUNCTION("""COMPUTED_VALUE"""),"")</f>
        <v/>
      </c>
      <c r="O3313" s="13" t="str">
        <f t="shared" si="1"/>
        <v/>
      </c>
    </row>
    <row r="3314" ht="22.5" customHeight="1">
      <c r="B3314" s="13">
        <f>IFERROR(__xludf.DUMMYFUNCTION("""COMPUTED_VALUE"""),3309.0)</f>
        <v>3309</v>
      </c>
      <c r="C3314" s="13" t="str">
        <f>IFERROR(__xludf.DUMMYFUNCTION("""COMPUTED_VALUE"""),"HM 244/GUNUNG SULAH")</f>
        <v>HM 244/GUNUNG SULAH</v>
      </c>
      <c r="D3314" s="13" t="str">
        <f>IFERROR(__xludf.DUMMYFUNCTION("""COMPUTED_VALUE"""),"L/1/290725/1")</f>
        <v>L/1/290725/1</v>
      </c>
      <c r="E3314" s="14" t="str">
        <f>IFERROR(__xludf.DUMMYFUNCTION("""COMPUTED_VALUE"""),"Admin (Migrasi)")</f>
        <v>Admin (Migrasi)</v>
      </c>
      <c r="F3314" s="14" t="str">
        <f>IFERROR(__xludf.DUMMYFUNCTION("""COMPUTED_VALUE"""),"SELESAI (VIA PERMOHONAN)")</f>
        <v>SELESAI (VIA PERMOHONAN)</v>
      </c>
      <c r="G3314" s="17">
        <f>IFERROR(__xludf.DUMMYFUNCTION("""COMPUTED_VALUE"""),45876.49380837963)</f>
        <v>45876.49381</v>
      </c>
      <c r="H3314" s="14" t="str">
        <f>IFERROR(__xludf.DUMMYFUNCTION("""COMPUTED_VALUE"""),"Admin (Migrasi)")</f>
        <v>Admin (Migrasi)</v>
      </c>
      <c r="I3314" s="13" t="str">
        <f>IFERROR(__xludf.DUMMYFUNCTION("""COMPUTED_VALUE"""),"SELESAI (VIA PERMOHONAN)")</f>
        <v>SELESAI (VIA PERMOHONAN)</v>
      </c>
      <c r="J3314" s="17">
        <f>IFERROR(__xludf.DUMMYFUNCTION("""COMPUTED_VALUE"""),45876.49380837963)</f>
        <v>45876.49381</v>
      </c>
      <c r="K3314" s="13" t="str">
        <f>IFERROR(__xludf.DUMMYFUNCTION("""COMPUTED_VALUE"""),"Selesai")</f>
        <v>Selesai</v>
      </c>
      <c r="L3314" s="17">
        <f>IFERROR(__xludf.DUMMYFUNCTION("""COMPUTED_VALUE"""),45876.49380837963)</f>
        <v>45876.49381</v>
      </c>
      <c r="M3314" s="13"/>
      <c r="N3314" s="13" t="str">
        <f>IFERROR(__xludf.DUMMYFUNCTION("""COMPUTED_VALUE"""),"")</f>
        <v/>
      </c>
      <c r="O3314" s="13" t="str">
        <f t="shared" si="1"/>
        <v/>
      </c>
    </row>
    <row r="3315" ht="22.5" customHeight="1">
      <c r="B3315" s="13">
        <f>IFERROR(__xludf.DUMMYFUNCTION("""COMPUTED_VALUE"""),3310.0)</f>
        <v>3310</v>
      </c>
      <c r="C3315" s="13" t="str">
        <f>IFERROR(__xludf.DUMMYFUNCTION("""COMPUTED_VALUE"""),"M. 2151/ Sukadana Ham")</f>
        <v>M. 2151/ Sukadana Ham</v>
      </c>
      <c r="D3315" s="13" t="str">
        <f>IFERROR(__xludf.DUMMYFUNCTION("""COMPUTED_VALUE"""),"K/27/090725/1")</f>
        <v>K/27/090725/1</v>
      </c>
      <c r="E3315" s="14" t="str">
        <f>IFERROR(__xludf.DUMMYFUNCTION("""COMPUTED_VALUE"""),"Afriza (BT)")</f>
        <v>Afriza (BT)</v>
      </c>
      <c r="F3315" s="14" t="str">
        <f>IFERROR(__xludf.DUMMYFUNCTION("""COMPUTED_VALUE"""),"SELESAI (VIA PERMOHONAN)")</f>
        <v>SELESAI (VIA PERMOHONAN)</v>
      </c>
      <c r="G3315" s="17">
        <f>IFERROR(__xludf.DUMMYFUNCTION("""COMPUTED_VALUE"""),45876.49420771991)</f>
        <v>45876.49421</v>
      </c>
      <c r="H3315" s="14" t="str">
        <f>IFERROR(__xludf.DUMMYFUNCTION("""COMPUTED_VALUE"""),"Eci (SU)")</f>
        <v>Eci (SU)</v>
      </c>
      <c r="I3315" s="13" t="str">
        <f>IFERROR(__xludf.DUMMYFUNCTION("""COMPUTED_VALUE"""),"SELESAI (VIA PERMOHONAN)")</f>
        <v>SELESAI (VIA PERMOHONAN)</v>
      </c>
      <c r="J3315" s="17">
        <f>IFERROR(__xludf.DUMMYFUNCTION("""COMPUTED_VALUE"""),45876.64158289351)</f>
        <v>45876.64158</v>
      </c>
      <c r="K3315" s="13" t="str">
        <f>IFERROR(__xludf.DUMMYFUNCTION("""COMPUTED_VALUE"""),"Selesai")</f>
        <v>Selesai</v>
      </c>
      <c r="L3315" s="17">
        <f>IFERROR(__xludf.DUMMYFUNCTION("""COMPUTED_VALUE"""),45876.64158289351)</f>
        <v>45876.64158</v>
      </c>
      <c r="M3315" s="13"/>
      <c r="N3315" s="13" t="str">
        <f>IFERROR(__xludf.DUMMYFUNCTION("""COMPUTED_VALUE"""),"")</f>
        <v/>
      </c>
      <c r="O3315" s="13" t="str">
        <f t="shared" si="1"/>
        <v/>
      </c>
    </row>
    <row r="3316" ht="22.5" customHeight="1">
      <c r="B3316" s="13">
        <f>IFERROR(__xludf.DUMMYFUNCTION("""COMPUTED_VALUE"""),3311.0)</f>
        <v>3311</v>
      </c>
      <c r="C3316" s="13" t="str">
        <f>IFERROR(__xludf.DUMMYFUNCTION("""COMPUTED_VALUE"""),"M. 178/ Way Kandis")</f>
        <v>M. 178/ Way Kandis</v>
      </c>
      <c r="D3316" s="13" t="str">
        <f>IFERROR(__xludf.DUMMYFUNCTION("""COMPUTED_VALUE"""),"K/25/170725/1")</f>
        <v>K/25/170725/1</v>
      </c>
      <c r="E3316" s="14" t="str">
        <f>IFERROR(__xludf.DUMMYFUNCTION("""COMPUTED_VALUE"""),"Afriza (BT)")</f>
        <v>Afriza (BT)</v>
      </c>
      <c r="F3316" s="14" t="str">
        <f>IFERROR(__xludf.DUMMYFUNCTION("""COMPUTED_VALUE"""),"SELESAI (VIA PERMOHONAN)")</f>
        <v>SELESAI (VIA PERMOHONAN)</v>
      </c>
      <c r="G3316" s="17">
        <f>IFERROR(__xludf.DUMMYFUNCTION("""COMPUTED_VALUE"""),45876.49481556713)</f>
        <v>45876.49482</v>
      </c>
      <c r="H3316" s="14" t="str">
        <f>IFERROR(__xludf.DUMMYFUNCTION("""COMPUTED_VALUE"""),"Eci (SU)")</f>
        <v>Eci (SU)</v>
      </c>
      <c r="I3316" s="13" t="str">
        <f>IFERROR(__xludf.DUMMYFUNCTION("""COMPUTED_VALUE"""),"SELESAI (VIA PERMOHONAN)")</f>
        <v>SELESAI (VIA PERMOHONAN)</v>
      </c>
      <c r="J3316" s="17">
        <f>IFERROR(__xludf.DUMMYFUNCTION("""COMPUTED_VALUE"""),45876.64161864584)</f>
        <v>45876.64162</v>
      </c>
      <c r="K3316" s="13" t="str">
        <f>IFERROR(__xludf.DUMMYFUNCTION("""COMPUTED_VALUE"""),"Selesai")</f>
        <v>Selesai</v>
      </c>
      <c r="L3316" s="17">
        <f>IFERROR(__xludf.DUMMYFUNCTION("""COMPUTED_VALUE"""),45876.64161864584)</f>
        <v>45876.64162</v>
      </c>
      <c r="M3316" s="13"/>
      <c r="N3316" s="13" t="str">
        <f>IFERROR(__xludf.DUMMYFUNCTION("""COMPUTED_VALUE"""),"")</f>
        <v/>
      </c>
      <c r="O3316" s="13" t="str">
        <f t="shared" si="1"/>
        <v/>
      </c>
    </row>
    <row r="3317" ht="22.5" customHeight="1">
      <c r="B3317" s="13">
        <f>IFERROR(__xludf.DUMMYFUNCTION("""COMPUTED_VALUE"""),3312.0)</f>
        <v>3312</v>
      </c>
      <c r="C3317" s="13" t="str">
        <f>IFERROR(__xludf.DUMMYFUNCTION("""COMPUTED_VALUE"""),"M. 1567/ Bumi Kedamaian")</f>
        <v>M. 1567/ Bumi Kedamaian</v>
      </c>
      <c r="D3317" s="13" t="str">
        <f>IFERROR(__xludf.DUMMYFUNCTION("""COMPUTED_VALUE"""),"K/12/310725/1")</f>
        <v>K/12/310725/1</v>
      </c>
      <c r="E3317" s="14" t="str">
        <f>IFERROR(__xludf.DUMMYFUNCTION("""COMPUTED_VALUE"""),"Afriza (BT)")</f>
        <v>Afriza (BT)</v>
      </c>
      <c r="F3317" s="14" t="str">
        <f>IFERROR(__xludf.DUMMYFUNCTION("""COMPUTED_VALUE"""),"SELESAI (VIA PERMOHONAN)")</f>
        <v>SELESAI (VIA PERMOHONAN)</v>
      </c>
      <c r="G3317" s="17">
        <f>IFERROR(__xludf.DUMMYFUNCTION("""COMPUTED_VALUE"""),45876.49494600695)</f>
        <v>45876.49495</v>
      </c>
      <c r="H3317" s="14" t="str">
        <f>IFERROR(__xludf.DUMMYFUNCTION("""COMPUTED_VALUE"""),"Eci (SU)")</f>
        <v>Eci (SU)</v>
      </c>
      <c r="I3317" s="13" t="str">
        <f>IFERROR(__xludf.DUMMYFUNCTION("""COMPUTED_VALUE"""),"SELESAI (VIA PERMOHONAN)")</f>
        <v>SELESAI (VIA PERMOHONAN)</v>
      </c>
      <c r="J3317" s="17">
        <f>IFERROR(__xludf.DUMMYFUNCTION("""COMPUTED_VALUE"""),45876.64161864584)</f>
        <v>45876.64162</v>
      </c>
      <c r="K3317" s="13" t="str">
        <f>IFERROR(__xludf.DUMMYFUNCTION("""COMPUTED_VALUE"""),"Selesai")</f>
        <v>Selesai</v>
      </c>
      <c r="L3317" s="17">
        <f>IFERROR(__xludf.DUMMYFUNCTION("""COMPUTED_VALUE"""),45876.64161864584)</f>
        <v>45876.64162</v>
      </c>
      <c r="M3317" s="13"/>
      <c r="N3317" s="13" t="str">
        <f>IFERROR(__xludf.DUMMYFUNCTION("""COMPUTED_VALUE"""),"")</f>
        <v/>
      </c>
      <c r="O3317" s="13" t="str">
        <f t="shared" si="1"/>
        <v/>
      </c>
    </row>
    <row r="3318" ht="22.5" customHeight="1">
      <c r="B3318" s="13">
        <f>IFERROR(__xludf.DUMMYFUNCTION("""COMPUTED_VALUE"""),3313.0)</f>
        <v>3313</v>
      </c>
      <c r="C3318" s="13" t="str">
        <f>IFERROR(__xludf.DUMMYFUNCTION("""COMPUTED_VALUE"""),"M. 13156/ Beringin Raya")</f>
        <v>M. 13156/ Beringin Raya</v>
      </c>
      <c r="D3318" s="13" t="str">
        <f>IFERROR(__xludf.DUMMYFUNCTION("""COMPUTED_VALUE"""),"K/4/240725/1")</f>
        <v>K/4/240725/1</v>
      </c>
      <c r="E3318" s="14" t="str">
        <f>IFERROR(__xludf.DUMMYFUNCTION("""COMPUTED_VALUE"""),"Afriza (BT)")</f>
        <v>Afriza (BT)</v>
      </c>
      <c r="F3318" s="14" t="str">
        <f>IFERROR(__xludf.DUMMYFUNCTION("""COMPUTED_VALUE"""),"SELESAI (VIA PERMOHONAN)")</f>
        <v>SELESAI (VIA PERMOHONAN)</v>
      </c>
      <c r="G3318" s="17">
        <f>IFERROR(__xludf.DUMMYFUNCTION("""COMPUTED_VALUE"""),45876.49507612269)</f>
        <v>45876.49508</v>
      </c>
      <c r="H3318" s="14" t="str">
        <f>IFERROR(__xludf.DUMMYFUNCTION("""COMPUTED_VALUE"""),"Eci (SU)")</f>
        <v>Eci (SU)</v>
      </c>
      <c r="I3318" s="13" t="str">
        <f>IFERROR(__xludf.DUMMYFUNCTION("""COMPUTED_VALUE"""),"SELESAI (VIA PERMOHONAN)")</f>
        <v>SELESAI (VIA PERMOHONAN)</v>
      </c>
      <c r="J3318" s="17">
        <f>IFERROR(__xludf.DUMMYFUNCTION("""COMPUTED_VALUE"""),45876.64161864584)</f>
        <v>45876.64162</v>
      </c>
      <c r="K3318" s="13" t="str">
        <f>IFERROR(__xludf.DUMMYFUNCTION("""COMPUTED_VALUE"""),"Selesai")</f>
        <v>Selesai</v>
      </c>
      <c r="L3318" s="17">
        <f>IFERROR(__xludf.DUMMYFUNCTION("""COMPUTED_VALUE"""),45876.64161864584)</f>
        <v>45876.64162</v>
      </c>
      <c r="M3318" s="13"/>
      <c r="N3318" s="13" t="str">
        <f>IFERROR(__xludf.DUMMYFUNCTION("""COMPUTED_VALUE"""),"")</f>
        <v/>
      </c>
      <c r="O3318" s="13" t="str">
        <f t="shared" si="1"/>
        <v/>
      </c>
    </row>
    <row r="3319" ht="22.5" customHeight="1">
      <c r="B3319" s="13">
        <f>IFERROR(__xludf.DUMMYFUNCTION("""COMPUTED_VALUE"""),3314.0)</f>
        <v>3314</v>
      </c>
      <c r="C3319" s="13" t="str">
        <f>IFERROR(__xludf.DUMMYFUNCTION("""COMPUTED_VALUE"""),"M. 1162/ Tanjung Gading")</f>
        <v>M. 1162/ Tanjung Gading</v>
      </c>
      <c r="D3319" s="13" t="str">
        <f>IFERROR(__xludf.DUMMYFUNCTION("""COMPUTED_VALUE"""),"K/17/110725/1")</f>
        <v>K/17/110725/1</v>
      </c>
      <c r="E3319" s="14" t="str">
        <f>IFERROR(__xludf.DUMMYFUNCTION("""COMPUTED_VALUE"""),"Afriza (BT)")</f>
        <v>Afriza (BT)</v>
      </c>
      <c r="F3319" s="14" t="str">
        <f>IFERROR(__xludf.DUMMYFUNCTION("""COMPUTED_VALUE"""),"SELESAI (VIA PERMOHONAN)")</f>
        <v>SELESAI (VIA PERMOHONAN)</v>
      </c>
      <c r="G3319" s="17">
        <f>IFERROR(__xludf.DUMMYFUNCTION("""COMPUTED_VALUE"""),45876.495233587964)</f>
        <v>45876.49523</v>
      </c>
      <c r="H3319" s="14" t="str">
        <f>IFERROR(__xludf.DUMMYFUNCTION("""COMPUTED_VALUE"""),"Eci (SU)")</f>
        <v>Eci (SU)</v>
      </c>
      <c r="I3319" s="13" t="str">
        <f>IFERROR(__xludf.DUMMYFUNCTION("""COMPUTED_VALUE"""),"SELESAI (VIA PERMOHONAN)")</f>
        <v>SELESAI (VIA PERMOHONAN)</v>
      </c>
      <c r="J3319" s="17">
        <f>IFERROR(__xludf.DUMMYFUNCTION("""COMPUTED_VALUE"""),45876.64161864584)</f>
        <v>45876.64162</v>
      </c>
      <c r="K3319" s="13" t="str">
        <f>IFERROR(__xludf.DUMMYFUNCTION("""COMPUTED_VALUE"""),"Selesai")</f>
        <v>Selesai</v>
      </c>
      <c r="L3319" s="17">
        <f>IFERROR(__xludf.DUMMYFUNCTION("""COMPUTED_VALUE"""),45876.64161864584)</f>
        <v>45876.64162</v>
      </c>
      <c r="M3319" s="13"/>
      <c r="N3319" s="13" t="str">
        <f>IFERROR(__xludf.DUMMYFUNCTION("""COMPUTED_VALUE"""),"")</f>
        <v/>
      </c>
      <c r="O3319" s="13" t="str">
        <f t="shared" si="1"/>
        <v/>
      </c>
    </row>
    <row r="3320" ht="22.5" customHeight="1">
      <c r="B3320" s="13">
        <f>IFERROR(__xludf.DUMMYFUNCTION("""COMPUTED_VALUE"""),3315.0)</f>
        <v>3315</v>
      </c>
      <c r="C3320" s="13" t="str">
        <f>IFERROR(__xludf.DUMMYFUNCTION("""COMPUTED_VALUE"""),"M. 9241/ Way Halim Permai")</f>
        <v>M. 9241/ Way Halim Permai</v>
      </c>
      <c r="D3320" s="13" t="str">
        <f>IFERROR(__xludf.DUMMYFUNCTION("""COMPUTED_VALUE"""),"K/24/010825/1")</f>
        <v>K/24/010825/1</v>
      </c>
      <c r="E3320" s="14" t="str">
        <f>IFERROR(__xludf.DUMMYFUNCTION("""COMPUTED_VALUE"""),"Afriza (BT)")</f>
        <v>Afriza (BT)</v>
      </c>
      <c r="F3320" s="14" t="str">
        <f>IFERROR(__xludf.DUMMYFUNCTION("""COMPUTED_VALUE"""),"SELESAI (VIA PERMOHONAN)")</f>
        <v>SELESAI (VIA PERMOHONAN)</v>
      </c>
      <c r="G3320" s="17">
        <f>IFERROR(__xludf.DUMMYFUNCTION("""COMPUTED_VALUE"""),45876.495334340274)</f>
        <v>45876.49533</v>
      </c>
      <c r="H3320" s="14" t="str">
        <f>IFERROR(__xludf.DUMMYFUNCTION("""COMPUTED_VALUE"""),"Eci (SU)")</f>
        <v>Eci (SU)</v>
      </c>
      <c r="I3320" s="13" t="str">
        <f>IFERROR(__xludf.DUMMYFUNCTION("""COMPUTED_VALUE"""),"SELESAI (VIA PERMOHONAN)")</f>
        <v>SELESAI (VIA PERMOHONAN)</v>
      </c>
      <c r="J3320" s="17">
        <f>IFERROR(__xludf.DUMMYFUNCTION("""COMPUTED_VALUE"""),45876.64161864584)</f>
        <v>45876.64162</v>
      </c>
      <c r="K3320" s="13" t="str">
        <f>IFERROR(__xludf.DUMMYFUNCTION("""COMPUTED_VALUE"""),"Selesai")</f>
        <v>Selesai</v>
      </c>
      <c r="L3320" s="17">
        <f>IFERROR(__xludf.DUMMYFUNCTION("""COMPUTED_VALUE"""),45876.64161864584)</f>
        <v>45876.64162</v>
      </c>
      <c r="M3320" s="13"/>
      <c r="N3320" s="13" t="str">
        <f>IFERROR(__xludf.DUMMYFUNCTION("""COMPUTED_VALUE"""),"")</f>
        <v/>
      </c>
      <c r="O3320" s="13" t="str">
        <f t="shared" si="1"/>
        <v/>
      </c>
    </row>
    <row r="3321" ht="22.5" customHeight="1">
      <c r="B3321" s="13">
        <f>IFERROR(__xludf.DUMMYFUNCTION("""COMPUTED_VALUE"""),3316.0)</f>
        <v>3316</v>
      </c>
      <c r="C3321" s="13" t="str">
        <f>IFERROR(__xludf.DUMMYFUNCTION("""COMPUTED_VALUE"""),"M. 1857/ sumberrejo sejahtera")</f>
        <v>M. 1857/ sumberrejo sejahtera</v>
      </c>
      <c r="D3321" s="13" t="str">
        <f>IFERROR(__xludf.DUMMYFUNCTION("""COMPUTED_VALUE"""),"K/9/070725/2")</f>
        <v>K/9/070725/2</v>
      </c>
      <c r="E3321" s="14" t="str">
        <f>IFERROR(__xludf.DUMMYFUNCTION("""COMPUTED_VALUE"""),"Afriza (BT)")</f>
        <v>Afriza (BT)</v>
      </c>
      <c r="F3321" s="14" t="str">
        <f>IFERROR(__xludf.DUMMYFUNCTION("""COMPUTED_VALUE"""),"SELESAI (VIA PERMOHONAN)")</f>
        <v>SELESAI (VIA PERMOHONAN)</v>
      </c>
      <c r="G3321" s="17">
        <f>IFERROR(__xludf.DUMMYFUNCTION("""COMPUTED_VALUE"""),45876.495550949076)</f>
        <v>45876.49555</v>
      </c>
      <c r="H3321" s="14" t="str">
        <f>IFERROR(__xludf.DUMMYFUNCTION("""COMPUTED_VALUE"""),"Eci (SU)")</f>
        <v>Eci (SU)</v>
      </c>
      <c r="I3321" s="13" t="str">
        <f>IFERROR(__xludf.DUMMYFUNCTION("""COMPUTED_VALUE"""),"SELESAI (VIA PERMOHONAN)")</f>
        <v>SELESAI (VIA PERMOHONAN)</v>
      </c>
      <c r="J3321" s="17">
        <f>IFERROR(__xludf.DUMMYFUNCTION("""COMPUTED_VALUE"""),45876.64161864584)</f>
        <v>45876.64162</v>
      </c>
      <c r="K3321" s="13" t="str">
        <f>IFERROR(__xludf.DUMMYFUNCTION("""COMPUTED_VALUE"""),"Selesai")</f>
        <v>Selesai</v>
      </c>
      <c r="L3321" s="17">
        <f>IFERROR(__xludf.DUMMYFUNCTION("""COMPUTED_VALUE"""),45876.64161864584)</f>
        <v>45876.64162</v>
      </c>
      <c r="M3321" s="13"/>
      <c r="N3321" s="13" t="str">
        <f>IFERROR(__xludf.DUMMYFUNCTION("""COMPUTED_VALUE"""),"")</f>
        <v/>
      </c>
      <c r="O3321" s="13" t="str">
        <f t="shared" si="1"/>
        <v/>
      </c>
    </row>
    <row r="3322" ht="22.5" customHeight="1">
      <c r="B3322" s="13">
        <f>IFERROR(__xludf.DUMMYFUNCTION("""COMPUTED_VALUE"""),3317.0)</f>
        <v>3317</v>
      </c>
      <c r="C3322" s="13" t="str">
        <f>IFERROR(__xludf.DUMMYFUNCTION("""COMPUTED_VALUE"""),"M. 2311/ Pinang Jaya")</f>
        <v>M. 2311/ Pinang Jaya</v>
      </c>
      <c r="D3322" s="13" t="str">
        <f>IFERROR(__xludf.DUMMYFUNCTION("""COMPUTED_VALUE"""),"K/17/310725/2")</f>
        <v>K/17/310725/2</v>
      </c>
      <c r="E3322" s="14" t="str">
        <f>IFERROR(__xludf.DUMMYFUNCTION("""COMPUTED_VALUE"""),"Afriza (BT)")</f>
        <v>Afriza (BT)</v>
      </c>
      <c r="F3322" s="14" t="str">
        <f>IFERROR(__xludf.DUMMYFUNCTION("""COMPUTED_VALUE"""),"SELESAI (VIA PERMOHONAN)")</f>
        <v>SELESAI (VIA PERMOHONAN)</v>
      </c>
      <c r="G3322" s="17">
        <f>IFERROR(__xludf.DUMMYFUNCTION("""COMPUTED_VALUE"""),45876.49555759259)</f>
        <v>45876.49556</v>
      </c>
      <c r="H3322" s="14" t="str">
        <f>IFERROR(__xludf.DUMMYFUNCTION("""COMPUTED_VALUE"""),"Eci (SU)")</f>
        <v>Eci (SU)</v>
      </c>
      <c r="I3322" s="13" t="str">
        <f>IFERROR(__xludf.DUMMYFUNCTION("""COMPUTED_VALUE"""),"SELESAI (VIA PERMOHONAN)")</f>
        <v>SELESAI (VIA PERMOHONAN)</v>
      </c>
      <c r="J3322" s="17">
        <f>IFERROR(__xludf.DUMMYFUNCTION("""COMPUTED_VALUE"""),45876.64161864584)</f>
        <v>45876.64162</v>
      </c>
      <c r="K3322" s="13" t="str">
        <f>IFERROR(__xludf.DUMMYFUNCTION("""COMPUTED_VALUE"""),"Selesai")</f>
        <v>Selesai</v>
      </c>
      <c r="L3322" s="17">
        <f>IFERROR(__xludf.DUMMYFUNCTION("""COMPUTED_VALUE"""),45876.64161864584)</f>
        <v>45876.64162</v>
      </c>
      <c r="M3322" s="13"/>
      <c r="N3322" s="13" t="str">
        <f>IFERROR(__xludf.DUMMYFUNCTION("""COMPUTED_VALUE"""),"")</f>
        <v/>
      </c>
      <c r="O3322" s="13" t="str">
        <f t="shared" si="1"/>
        <v/>
      </c>
    </row>
    <row r="3323" ht="22.5" customHeight="1">
      <c r="B3323" s="13">
        <f>IFERROR(__xludf.DUMMYFUNCTION("""COMPUTED_VALUE"""),3318.0)</f>
        <v>3318</v>
      </c>
      <c r="C3323" s="13" t="str">
        <f>IFERROR(__xludf.DUMMYFUNCTION("""COMPUTED_VALUE"""),"M. 2521/ Pinang Jaya")</f>
        <v>M. 2521/ Pinang Jaya</v>
      </c>
      <c r="D3323" s="13" t="str">
        <f>IFERROR(__xludf.DUMMYFUNCTION("""COMPUTED_VALUE"""),"K/16/310725/1")</f>
        <v>K/16/310725/1</v>
      </c>
      <c r="E3323" s="14" t="str">
        <f>IFERROR(__xludf.DUMMYFUNCTION("""COMPUTED_VALUE"""),"Afriza (BT)")</f>
        <v>Afriza (BT)</v>
      </c>
      <c r="F3323" s="14" t="str">
        <f>IFERROR(__xludf.DUMMYFUNCTION("""COMPUTED_VALUE"""),"SELESAI (VIA PERMOHONAN)")</f>
        <v>SELESAI (VIA PERMOHONAN)</v>
      </c>
      <c r="G3323" s="17">
        <f>IFERROR(__xludf.DUMMYFUNCTION("""COMPUTED_VALUE"""),45876.495803680555)</f>
        <v>45876.4958</v>
      </c>
      <c r="H3323" s="14" t="str">
        <f>IFERROR(__xludf.DUMMYFUNCTION("""COMPUTED_VALUE"""),"Eci (SU)")</f>
        <v>Eci (SU)</v>
      </c>
      <c r="I3323" s="13" t="str">
        <f>IFERROR(__xludf.DUMMYFUNCTION("""COMPUTED_VALUE"""),"SELESAI (VIA PERMOHONAN)")</f>
        <v>SELESAI (VIA PERMOHONAN)</v>
      </c>
      <c r="J3323" s="17">
        <f>IFERROR(__xludf.DUMMYFUNCTION("""COMPUTED_VALUE"""),45876.64161864584)</f>
        <v>45876.64162</v>
      </c>
      <c r="K3323" s="13" t="str">
        <f>IFERROR(__xludf.DUMMYFUNCTION("""COMPUTED_VALUE"""),"Selesai")</f>
        <v>Selesai</v>
      </c>
      <c r="L3323" s="17">
        <f>IFERROR(__xludf.DUMMYFUNCTION("""COMPUTED_VALUE"""),45876.64161864584)</f>
        <v>45876.64162</v>
      </c>
      <c r="M3323" s="13"/>
      <c r="N3323" s="13" t="str">
        <f>IFERROR(__xludf.DUMMYFUNCTION("""COMPUTED_VALUE"""),"")</f>
        <v/>
      </c>
      <c r="O3323" s="13" t="str">
        <f t="shared" si="1"/>
        <v/>
      </c>
    </row>
    <row r="3324" ht="22.5" customHeight="1">
      <c r="B3324" s="13">
        <f>IFERROR(__xludf.DUMMYFUNCTION("""COMPUTED_VALUE"""),3319.0)</f>
        <v>3319</v>
      </c>
      <c r="C3324" s="13" t="str">
        <f>IFERROR(__xludf.DUMMYFUNCTION("""COMPUTED_VALUE"""),"M. 965/ Perumnas way kandis")</f>
        <v>M. 965/ Perumnas way kandis</v>
      </c>
      <c r="D3324" s="13" t="str">
        <f>IFERROR(__xludf.DUMMYFUNCTION("""COMPUTED_VALUE"""),"K/25/010825/2")</f>
        <v>K/25/010825/2</v>
      </c>
      <c r="E3324" s="14" t="str">
        <f>IFERROR(__xludf.DUMMYFUNCTION("""COMPUTED_VALUE"""),"Afriza (BT)")</f>
        <v>Afriza (BT)</v>
      </c>
      <c r="F3324" s="14" t="str">
        <f>IFERROR(__xludf.DUMMYFUNCTION("""COMPUTED_VALUE"""),"SELESAI (VIA PERMOHONAN)")</f>
        <v>SELESAI (VIA PERMOHONAN)</v>
      </c>
      <c r="G3324" s="17">
        <f>IFERROR(__xludf.DUMMYFUNCTION("""COMPUTED_VALUE"""),45876.49596047454)</f>
        <v>45876.49596</v>
      </c>
      <c r="H3324" s="14" t="str">
        <f>IFERROR(__xludf.DUMMYFUNCTION("""COMPUTED_VALUE"""),"Eci (SU)")</f>
        <v>Eci (SU)</v>
      </c>
      <c r="I3324" s="13" t="str">
        <f>IFERROR(__xludf.DUMMYFUNCTION("""COMPUTED_VALUE"""),"SELESAI (VIA PERMOHONAN)")</f>
        <v>SELESAI (VIA PERMOHONAN)</v>
      </c>
      <c r="J3324" s="17">
        <f>IFERROR(__xludf.DUMMYFUNCTION("""COMPUTED_VALUE"""),45876.64161864584)</f>
        <v>45876.64162</v>
      </c>
      <c r="K3324" s="13" t="str">
        <f>IFERROR(__xludf.DUMMYFUNCTION("""COMPUTED_VALUE"""),"Selesai")</f>
        <v>Selesai</v>
      </c>
      <c r="L3324" s="17">
        <f>IFERROR(__xludf.DUMMYFUNCTION("""COMPUTED_VALUE"""),45876.64161864584)</f>
        <v>45876.64162</v>
      </c>
      <c r="M3324" s="13"/>
      <c r="N3324" s="13" t="str">
        <f>IFERROR(__xludf.DUMMYFUNCTION("""COMPUTED_VALUE"""),"")</f>
        <v/>
      </c>
      <c r="O3324" s="13" t="str">
        <f t="shared" si="1"/>
        <v/>
      </c>
    </row>
    <row r="3325" ht="22.5" customHeight="1">
      <c r="B3325" s="13">
        <f>IFERROR(__xludf.DUMMYFUNCTION("""COMPUTED_VALUE"""),3320.0)</f>
        <v>3320</v>
      </c>
      <c r="C3325" s="13" t="str">
        <f>IFERROR(__xludf.DUMMYFUNCTION("""COMPUTED_VALUE"""),"M. 1071/ Gunung terang")</f>
        <v>M. 1071/ Gunung terang</v>
      </c>
      <c r="D3325" s="13" t="str">
        <f>IFERROR(__xludf.DUMMYFUNCTION("""COMPUTED_VALUE"""),"K/23/070725/1")</f>
        <v>K/23/070725/1</v>
      </c>
      <c r="E3325" s="14" t="str">
        <f>IFERROR(__xludf.DUMMYFUNCTION("""COMPUTED_VALUE"""),"Afriza (BT)")</f>
        <v>Afriza (BT)</v>
      </c>
      <c r="F3325" s="14" t="str">
        <f>IFERROR(__xludf.DUMMYFUNCTION("""COMPUTED_VALUE"""),"SELESAI (VIA PERMOHONAN)")</f>
        <v>SELESAI (VIA PERMOHONAN)</v>
      </c>
      <c r="G3325" s="17">
        <f>IFERROR(__xludf.DUMMYFUNCTION("""COMPUTED_VALUE"""),45876.4961106713)</f>
        <v>45876.49611</v>
      </c>
      <c r="H3325" s="14" t="str">
        <f>IFERROR(__xludf.DUMMYFUNCTION("""COMPUTED_VALUE"""),"Eci (SU)")</f>
        <v>Eci (SU)</v>
      </c>
      <c r="I3325" s="13" t="str">
        <f>IFERROR(__xludf.DUMMYFUNCTION("""COMPUTED_VALUE"""),"SELESAI (VIA PERMOHONAN)")</f>
        <v>SELESAI (VIA PERMOHONAN)</v>
      </c>
      <c r="J3325" s="17">
        <f>IFERROR(__xludf.DUMMYFUNCTION("""COMPUTED_VALUE"""),45876.64161864584)</f>
        <v>45876.64162</v>
      </c>
      <c r="K3325" s="13" t="str">
        <f>IFERROR(__xludf.DUMMYFUNCTION("""COMPUTED_VALUE"""),"Selesai")</f>
        <v>Selesai</v>
      </c>
      <c r="L3325" s="17">
        <f>IFERROR(__xludf.DUMMYFUNCTION("""COMPUTED_VALUE"""),45876.64161864584)</f>
        <v>45876.64162</v>
      </c>
      <c r="M3325" s="13"/>
      <c r="N3325" s="13" t="str">
        <f>IFERROR(__xludf.DUMMYFUNCTION("""COMPUTED_VALUE"""),"")</f>
        <v/>
      </c>
      <c r="O3325" s="13" t="str">
        <f t="shared" si="1"/>
        <v/>
      </c>
    </row>
    <row r="3326" ht="22.5" customHeight="1">
      <c r="B3326" s="13">
        <f>IFERROR(__xludf.DUMMYFUNCTION("""COMPUTED_VALUE"""),3321.0)</f>
        <v>3321</v>
      </c>
      <c r="C3326" s="13" t="str">
        <f>IFERROR(__xludf.DUMMYFUNCTION("""COMPUTED_VALUE"""),"M. 12189/ Rajabasa")</f>
        <v>M. 12189/ Rajabasa</v>
      </c>
      <c r="D3326" s="13" t="str">
        <f>IFERROR(__xludf.DUMMYFUNCTION("""COMPUTED_VALUE"""),"K/17/290725/1")</f>
        <v>K/17/290725/1</v>
      </c>
      <c r="E3326" s="14" t="str">
        <f>IFERROR(__xludf.DUMMYFUNCTION("""COMPUTED_VALUE"""),"Afriza (BT)")</f>
        <v>Afriza (BT)</v>
      </c>
      <c r="F3326" s="14" t="str">
        <f>IFERROR(__xludf.DUMMYFUNCTION("""COMPUTED_VALUE"""),"SELESAI (VIA PERMOHONAN)")</f>
        <v>SELESAI (VIA PERMOHONAN)</v>
      </c>
      <c r="G3326" s="17">
        <f>IFERROR(__xludf.DUMMYFUNCTION("""COMPUTED_VALUE"""),45876.49625149305)</f>
        <v>45876.49625</v>
      </c>
      <c r="H3326" s="14" t="str">
        <f>IFERROR(__xludf.DUMMYFUNCTION("""COMPUTED_VALUE"""),"Eci (SU)")</f>
        <v>Eci (SU)</v>
      </c>
      <c r="I3326" s="13" t="str">
        <f>IFERROR(__xludf.DUMMYFUNCTION("""COMPUTED_VALUE"""),"SELESAI (VIA PERMOHONAN)")</f>
        <v>SELESAI (VIA PERMOHONAN)</v>
      </c>
      <c r="J3326" s="17">
        <f>IFERROR(__xludf.DUMMYFUNCTION("""COMPUTED_VALUE"""),45876.641720949076)</f>
        <v>45876.64172</v>
      </c>
      <c r="K3326" s="13" t="str">
        <f>IFERROR(__xludf.DUMMYFUNCTION("""COMPUTED_VALUE"""),"Selesai")</f>
        <v>Selesai</v>
      </c>
      <c r="L3326" s="17">
        <f>IFERROR(__xludf.DUMMYFUNCTION("""COMPUTED_VALUE"""),45876.641720949076)</f>
        <v>45876.64172</v>
      </c>
      <c r="M3326" s="13"/>
      <c r="N3326" s="13" t="str">
        <f>IFERROR(__xludf.DUMMYFUNCTION("""COMPUTED_VALUE"""),"")</f>
        <v/>
      </c>
      <c r="O3326" s="13" t="str">
        <f t="shared" si="1"/>
        <v/>
      </c>
    </row>
    <row r="3327" ht="22.5" customHeight="1">
      <c r="B3327" s="13">
        <f>IFERROR(__xludf.DUMMYFUNCTION("""COMPUTED_VALUE"""),3322.0)</f>
        <v>3322</v>
      </c>
      <c r="C3327" s="13" t="str">
        <f>IFERROR(__xludf.DUMMYFUNCTION("""COMPUTED_VALUE"""),"B.610/SUKAMAJU")</f>
        <v>B.610/SUKAMAJU</v>
      </c>
      <c r="D3327" s="13" t="str">
        <f>IFERROR(__xludf.DUMMYFUNCTION("""COMPUTED_VALUE"""),"K/19/210725/3")</f>
        <v>K/19/210725/3</v>
      </c>
      <c r="E3327" s="14" t="str">
        <f>IFERROR(__xludf.DUMMYFUNCTION("""COMPUTED_VALUE"""),"Heri (BT)")</f>
        <v>Heri (BT)</v>
      </c>
      <c r="F3327" s="14" t="str">
        <f>IFERROR(__xludf.DUMMYFUNCTION("""COMPUTED_VALUE"""),"SELESAI (VIA PERMOHONAN)")</f>
        <v>SELESAI (VIA PERMOHONAN)</v>
      </c>
      <c r="G3327" s="17">
        <f>IFERROR(__xludf.DUMMYFUNCTION("""COMPUTED_VALUE"""),45877.40951622685)</f>
        <v>45877.40952</v>
      </c>
      <c r="H3327" s="14" t="str">
        <f>IFERROR(__xludf.DUMMYFUNCTION("""COMPUTED_VALUE"""),"Eci (SU)")</f>
        <v>Eci (SU)</v>
      </c>
      <c r="I3327" s="13" t="str">
        <f>IFERROR(__xludf.DUMMYFUNCTION("""COMPUTED_VALUE"""),"SELESAI (VIA PERMOHONAN)")</f>
        <v>SELESAI (VIA PERMOHONAN)</v>
      </c>
      <c r="J3327" s="17">
        <f>IFERROR(__xludf.DUMMYFUNCTION("""COMPUTED_VALUE"""),45877.66711458333)</f>
        <v>45877.66711</v>
      </c>
      <c r="K3327" s="13" t="str">
        <f>IFERROR(__xludf.DUMMYFUNCTION("""COMPUTED_VALUE"""),"Selesai")</f>
        <v>Selesai</v>
      </c>
      <c r="L3327" s="17">
        <f>IFERROR(__xludf.DUMMYFUNCTION("""COMPUTED_VALUE"""),45877.66711458333)</f>
        <v>45877.66711</v>
      </c>
      <c r="M3327" s="13"/>
      <c r="N3327" s="13" t="str">
        <f>IFERROR(__xludf.DUMMYFUNCTION("""COMPUTED_VALUE"""),"")</f>
        <v/>
      </c>
      <c r="O3327" s="13" t="str">
        <f t="shared" si="1"/>
        <v/>
      </c>
    </row>
    <row r="3328" ht="22.5" customHeight="1">
      <c r="B3328" s="13">
        <f>IFERROR(__xludf.DUMMYFUNCTION("""COMPUTED_VALUE"""),3323.0)</f>
        <v>3323</v>
      </c>
      <c r="C3328" s="13" t="str">
        <f>IFERROR(__xludf.DUMMYFUNCTION("""COMPUTED_VALUE"""),"M.2371/SUMBER AGUNG")</f>
        <v>M.2371/SUMBER AGUNG</v>
      </c>
      <c r="D3328" s="13" t="str">
        <f>IFERROR(__xludf.DUMMYFUNCTION("""COMPUTED_VALUE"""),"K/35/290725/2")</f>
        <v>K/35/290725/2</v>
      </c>
      <c r="E3328" s="14" t="str">
        <f>IFERROR(__xludf.DUMMYFUNCTION("""COMPUTED_VALUE"""),"Heri (BT)")</f>
        <v>Heri (BT)</v>
      </c>
      <c r="F3328" s="14" t="str">
        <f>IFERROR(__xludf.DUMMYFUNCTION("""COMPUTED_VALUE"""),"SELESAI (VIA PERMOHONAN)")</f>
        <v>SELESAI (VIA PERMOHONAN)</v>
      </c>
      <c r="G3328" s="17">
        <f>IFERROR(__xludf.DUMMYFUNCTION("""COMPUTED_VALUE"""),45877.40968311342)</f>
        <v>45877.40968</v>
      </c>
      <c r="H3328" s="14" t="str">
        <f>IFERROR(__xludf.DUMMYFUNCTION("""COMPUTED_VALUE"""),"Eci (SU)")</f>
        <v>Eci (SU)</v>
      </c>
      <c r="I3328" s="13" t="str">
        <f>IFERROR(__xludf.DUMMYFUNCTION("""COMPUTED_VALUE"""),"SELESAI (VIA PERMOHONAN)")</f>
        <v>SELESAI (VIA PERMOHONAN)</v>
      </c>
      <c r="J3328" s="17">
        <f>IFERROR(__xludf.DUMMYFUNCTION("""COMPUTED_VALUE"""),45877.66755017361)</f>
        <v>45877.66755</v>
      </c>
      <c r="K3328" s="13" t="str">
        <f>IFERROR(__xludf.DUMMYFUNCTION("""COMPUTED_VALUE"""),"Selesai")</f>
        <v>Selesai</v>
      </c>
      <c r="L3328" s="17">
        <f>IFERROR(__xludf.DUMMYFUNCTION("""COMPUTED_VALUE"""),45877.66755017361)</f>
        <v>45877.66755</v>
      </c>
      <c r="M3328" s="13"/>
      <c r="N3328" s="13" t="str">
        <f>IFERROR(__xludf.DUMMYFUNCTION("""COMPUTED_VALUE"""),"")</f>
        <v/>
      </c>
      <c r="O3328" s="13" t="str">
        <f t="shared" si="1"/>
        <v/>
      </c>
    </row>
    <row r="3329" ht="22.5" customHeight="1">
      <c r="B3329" s="13">
        <f>IFERROR(__xludf.DUMMYFUNCTION("""COMPUTED_VALUE"""),3324.0)</f>
        <v>3324</v>
      </c>
      <c r="C3329" s="13" t="str">
        <f>IFERROR(__xludf.DUMMYFUNCTION("""COMPUTED_VALUE"""),"M.1559/NEGERI OLOK GADING")</f>
        <v>M.1559/NEGERI OLOK GADING</v>
      </c>
      <c r="D3329" s="13" t="str">
        <f>IFERROR(__xludf.DUMMYFUNCTION("""COMPUTED_VALUE"""),"K/24/280725/2")</f>
        <v>K/24/280725/2</v>
      </c>
      <c r="E3329" s="14" t="str">
        <f>IFERROR(__xludf.DUMMYFUNCTION("""COMPUTED_VALUE"""),"Heri (BT)")</f>
        <v>Heri (BT)</v>
      </c>
      <c r="F3329" s="14" t="str">
        <f>IFERROR(__xludf.DUMMYFUNCTION("""COMPUTED_VALUE"""),"SELESAI (VIA PERMOHONAN)")</f>
        <v>SELESAI (VIA PERMOHONAN)</v>
      </c>
      <c r="G3329" s="17">
        <f>IFERROR(__xludf.DUMMYFUNCTION("""COMPUTED_VALUE"""),45877.40985521991)</f>
        <v>45877.40986</v>
      </c>
      <c r="H3329" s="14" t="str">
        <f>IFERROR(__xludf.DUMMYFUNCTION("""COMPUTED_VALUE"""),"Eci (SU)")</f>
        <v>Eci (SU)</v>
      </c>
      <c r="I3329" s="13" t="str">
        <f>IFERROR(__xludf.DUMMYFUNCTION("""COMPUTED_VALUE"""),"SELESAI (VIA PERMOHONAN)")</f>
        <v>SELESAI (VIA PERMOHONAN)</v>
      </c>
      <c r="J3329" s="17">
        <f>IFERROR(__xludf.DUMMYFUNCTION("""COMPUTED_VALUE"""),45877.66714438658)</f>
        <v>45877.66714</v>
      </c>
      <c r="K3329" s="13" t="str">
        <f>IFERROR(__xludf.DUMMYFUNCTION("""COMPUTED_VALUE"""),"Selesai")</f>
        <v>Selesai</v>
      </c>
      <c r="L3329" s="17">
        <f>IFERROR(__xludf.DUMMYFUNCTION("""COMPUTED_VALUE"""),45877.66714438658)</f>
        <v>45877.66714</v>
      </c>
      <c r="M3329" s="13"/>
      <c r="N3329" s="13" t="str">
        <f>IFERROR(__xludf.DUMMYFUNCTION("""COMPUTED_VALUE"""),"")</f>
        <v/>
      </c>
      <c r="O3329" s="13" t="str">
        <f t="shared" si="1"/>
        <v/>
      </c>
    </row>
    <row r="3330" ht="22.5" customHeight="1">
      <c r="B3330" s="13">
        <f>IFERROR(__xludf.DUMMYFUNCTION("""COMPUTED_VALUE"""),3325.0)</f>
        <v>3325</v>
      </c>
      <c r="C3330" s="13" t="str">
        <f>IFERROR(__xludf.DUMMYFUNCTION("""COMPUTED_VALUE"""),"M.193/NUSANTARA PERMAI")</f>
        <v>M.193/NUSANTARA PERMAI</v>
      </c>
      <c r="D3330" s="13" t="str">
        <f>IFERROR(__xludf.DUMMYFUNCTION("""COMPUTED_VALUE"""),"K/23/280725/1")</f>
        <v>K/23/280725/1</v>
      </c>
      <c r="E3330" s="14" t="str">
        <f>IFERROR(__xludf.DUMMYFUNCTION("""COMPUTED_VALUE"""),"Heri (BT)")</f>
        <v>Heri (BT)</v>
      </c>
      <c r="F3330" s="14" t="str">
        <f>IFERROR(__xludf.DUMMYFUNCTION("""COMPUTED_VALUE"""),"SELESAI (VIA PERMOHONAN)")</f>
        <v>SELESAI (VIA PERMOHONAN)</v>
      </c>
      <c r="G3330" s="17">
        <f>IFERROR(__xludf.DUMMYFUNCTION("""COMPUTED_VALUE"""),45877.41006540509)</f>
        <v>45877.41007</v>
      </c>
      <c r="H3330" s="14" t="str">
        <f>IFERROR(__xludf.DUMMYFUNCTION("""COMPUTED_VALUE"""),"Eci (SU)")</f>
        <v>Eci (SU)</v>
      </c>
      <c r="I3330" s="13" t="str">
        <f>IFERROR(__xludf.DUMMYFUNCTION("""COMPUTED_VALUE"""),"SELESAI (VIA PERMOHONAN)")</f>
        <v>SELESAI (VIA PERMOHONAN)</v>
      </c>
      <c r="J3330" s="17">
        <f>IFERROR(__xludf.DUMMYFUNCTION("""COMPUTED_VALUE"""),45877.66746236111)</f>
        <v>45877.66746</v>
      </c>
      <c r="K3330" s="13" t="str">
        <f>IFERROR(__xludf.DUMMYFUNCTION("""COMPUTED_VALUE"""),"Selesai")</f>
        <v>Selesai</v>
      </c>
      <c r="L3330" s="17">
        <f>IFERROR(__xludf.DUMMYFUNCTION("""COMPUTED_VALUE"""),45877.66746236111)</f>
        <v>45877.66746</v>
      </c>
      <c r="M3330" s="13"/>
      <c r="N3330" s="13" t="str">
        <f>IFERROR(__xludf.DUMMYFUNCTION("""COMPUTED_VALUE"""),"")</f>
        <v/>
      </c>
      <c r="O3330" s="13" t="str">
        <f t="shared" si="1"/>
        <v/>
      </c>
    </row>
    <row r="3331" ht="22.5" customHeight="1">
      <c r="B3331" s="13">
        <f>IFERROR(__xludf.DUMMYFUNCTION("""COMPUTED_VALUE"""),3326.0)</f>
        <v>3326</v>
      </c>
      <c r="C3331" s="13" t="str">
        <f>IFERROR(__xludf.DUMMYFUNCTION("""COMPUTED_VALUE"""),"M.872/PASIR GINTUNG")</f>
        <v>M.872/PASIR GINTUNG</v>
      </c>
      <c r="D3331" s="13" t="str">
        <f>IFERROR(__xludf.DUMMYFUNCTION("""COMPUTED_VALUE"""),"K/3/170725/1")</f>
        <v>K/3/170725/1</v>
      </c>
      <c r="E3331" s="14" t="str">
        <f>IFERROR(__xludf.DUMMYFUNCTION("""COMPUTED_VALUE"""),"Heri (BT)")</f>
        <v>Heri (BT)</v>
      </c>
      <c r="F3331" s="14" t="str">
        <f>IFERROR(__xludf.DUMMYFUNCTION("""COMPUTED_VALUE"""),"SELESAI (VIA PERMOHONAN)")</f>
        <v>SELESAI (VIA PERMOHONAN)</v>
      </c>
      <c r="G3331" s="17">
        <f>IFERROR(__xludf.DUMMYFUNCTION("""COMPUTED_VALUE"""),45877.410212372684)</f>
        <v>45877.41021</v>
      </c>
      <c r="H3331" s="14" t="str">
        <f>IFERROR(__xludf.DUMMYFUNCTION("""COMPUTED_VALUE"""),"Eci (SU)")</f>
        <v>Eci (SU)</v>
      </c>
      <c r="I3331" s="13" t="str">
        <f>IFERROR(__xludf.DUMMYFUNCTION("""COMPUTED_VALUE"""),"SELESAI (VIA PERMOHONAN)")</f>
        <v>SELESAI (VIA PERMOHONAN)</v>
      </c>
      <c r="J3331" s="17">
        <f>IFERROR(__xludf.DUMMYFUNCTION("""COMPUTED_VALUE"""),45877.667172256944)</f>
        <v>45877.66717</v>
      </c>
      <c r="K3331" s="13" t="str">
        <f>IFERROR(__xludf.DUMMYFUNCTION("""COMPUTED_VALUE"""),"Selesai")</f>
        <v>Selesai</v>
      </c>
      <c r="L3331" s="17">
        <f>IFERROR(__xludf.DUMMYFUNCTION("""COMPUTED_VALUE"""),45877.667172256944)</f>
        <v>45877.66717</v>
      </c>
      <c r="M3331" s="13"/>
      <c r="N3331" s="13" t="str">
        <f>IFERROR(__xludf.DUMMYFUNCTION("""COMPUTED_VALUE"""),"")</f>
        <v/>
      </c>
      <c r="O3331" s="13" t="str">
        <f t="shared" si="1"/>
        <v/>
      </c>
    </row>
    <row r="3332" ht="22.5" customHeight="1">
      <c r="B3332" s="13">
        <f>IFERROR(__xludf.DUMMYFUNCTION("""COMPUTED_VALUE"""),3327.0)</f>
        <v>3327</v>
      </c>
      <c r="C3332" s="13" t="str">
        <f>IFERROR(__xludf.DUMMYFUNCTION("""COMPUTED_VALUE"""),"M.2758/KEMILING PERMAI")</f>
        <v>M.2758/KEMILING PERMAI</v>
      </c>
      <c r="D3332" s="13" t="str">
        <f>IFERROR(__xludf.DUMMYFUNCTION("""COMPUTED_VALUE"""),"K/19/050825/1")</f>
        <v>K/19/050825/1</v>
      </c>
      <c r="E3332" s="14" t="str">
        <f>IFERROR(__xludf.DUMMYFUNCTION("""COMPUTED_VALUE"""),"Heri (BT)")</f>
        <v>Heri (BT)</v>
      </c>
      <c r="F3332" s="14" t="str">
        <f>IFERROR(__xludf.DUMMYFUNCTION("""COMPUTED_VALUE"""),"SELESAI (VIA PERMOHONAN)")</f>
        <v>SELESAI (VIA PERMOHONAN)</v>
      </c>
      <c r="G3332" s="17">
        <f>IFERROR(__xludf.DUMMYFUNCTION("""COMPUTED_VALUE"""),45877.410344178235)</f>
        <v>45877.41034</v>
      </c>
      <c r="H3332" s="14" t="str">
        <f>IFERROR(__xludf.DUMMYFUNCTION("""COMPUTED_VALUE"""),"Eci (SU)")</f>
        <v>Eci (SU)</v>
      </c>
      <c r="I3332" s="13" t="str">
        <f>IFERROR(__xludf.DUMMYFUNCTION("""COMPUTED_VALUE"""),"SELESAI (VIA PERMOHONAN)")</f>
        <v>SELESAI (VIA PERMOHONAN)</v>
      </c>
      <c r="J3332" s="17">
        <f>IFERROR(__xludf.DUMMYFUNCTION("""COMPUTED_VALUE"""),45877.66741685185)</f>
        <v>45877.66742</v>
      </c>
      <c r="K3332" s="13" t="str">
        <f>IFERROR(__xludf.DUMMYFUNCTION("""COMPUTED_VALUE"""),"Selesai")</f>
        <v>Selesai</v>
      </c>
      <c r="L3332" s="17">
        <f>IFERROR(__xludf.DUMMYFUNCTION("""COMPUTED_VALUE"""),45877.66741685185)</f>
        <v>45877.66742</v>
      </c>
      <c r="M3332" s="13"/>
      <c r="N3332" s="13" t="str">
        <f>IFERROR(__xludf.DUMMYFUNCTION("""COMPUTED_VALUE"""),"")</f>
        <v/>
      </c>
      <c r="O3332" s="13" t="str">
        <f t="shared" si="1"/>
        <v/>
      </c>
    </row>
    <row r="3333" ht="22.5" customHeight="1">
      <c r="B3333" s="13">
        <f>IFERROR(__xludf.DUMMYFUNCTION("""COMPUTED_VALUE"""),3328.0)</f>
        <v>3328</v>
      </c>
      <c r="C3333" s="13" t="str">
        <f>IFERROR(__xludf.DUMMYFUNCTION("""COMPUTED_VALUE"""),"M.1852/WAY LAGA")</f>
        <v>M.1852/WAY LAGA</v>
      </c>
      <c r="D3333" s="13" t="str">
        <f>IFERROR(__xludf.DUMMYFUNCTION("""COMPUTED_VALUE"""),"K/15/050825/1")</f>
        <v>K/15/050825/1</v>
      </c>
      <c r="E3333" s="14" t="str">
        <f>IFERROR(__xludf.DUMMYFUNCTION("""COMPUTED_VALUE"""),"Heri (BT)")</f>
        <v>Heri (BT)</v>
      </c>
      <c r="F3333" s="14" t="str">
        <f>IFERROR(__xludf.DUMMYFUNCTION("""COMPUTED_VALUE"""),"SELESAI (VIA PERMOHONAN)")</f>
        <v>SELESAI (VIA PERMOHONAN)</v>
      </c>
      <c r="G3333" s="17">
        <f>IFERROR(__xludf.DUMMYFUNCTION("""COMPUTED_VALUE"""),45877.410497164354)</f>
        <v>45877.4105</v>
      </c>
      <c r="H3333" s="14" t="str">
        <f>IFERROR(__xludf.DUMMYFUNCTION("""COMPUTED_VALUE"""),"Eci (SU)")</f>
        <v>Eci (SU)</v>
      </c>
      <c r="I3333" s="13" t="str">
        <f>IFERROR(__xludf.DUMMYFUNCTION("""COMPUTED_VALUE"""),"SELESAI (VIA PERMOHONAN)")</f>
        <v>SELESAI (VIA PERMOHONAN)</v>
      </c>
      <c r="J3333" s="17">
        <f>IFERROR(__xludf.DUMMYFUNCTION("""COMPUTED_VALUE"""),45880.44441456019)</f>
        <v>45880.44441</v>
      </c>
      <c r="K3333" s="13" t="str">
        <f>IFERROR(__xludf.DUMMYFUNCTION("""COMPUTED_VALUE"""),"Selesai")</f>
        <v>Selesai</v>
      </c>
      <c r="L3333" s="17">
        <f>IFERROR(__xludf.DUMMYFUNCTION("""COMPUTED_VALUE"""),45880.44441456019)</f>
        <v>45880.44441</v>
      </c>
      <c r="M3333" s="13"/>
      <c r="N3333" s="13" t="str">
        <f>IFERROR(__xludf.DUMMYFUNCTION("""COMPUTED_VALUE"""),"")</f>
        <v/>
      </c>
      <c r="O3333" s="13" t="str">
        <f t="shared" si="1"/>
        <v/>
      </c>
    </row>
    <row r="3334" ht="22.5" customHeight="1">
      <c r="B3334" s="13">
        <f>IFERROR(__xludf.DUMMYFUNCTION("""COMPUTED_VALUE"""),3329.0)</f>
        <v>3329</v>
      </c>
      <c r="C3334" s="13" t="str">
        <f>IFERROR(__xludf.DUMMYFUNCTION("""COMPUTED_VALUE"""),"M.1304/KEMILING RAYA")</f>
        <v>M.1304/KEMILING RAYA</v>
      </c>
      <c r="D3334" s="13" t="str">
        <f>IFERROR(__xludf.DUMMYFUNCTION("""COMPUTED_VALUE"""),"K/42/180625/1")</f>
        <v>K/42/180625/1</v>
      </c>
      <c r="E3334" s="14" t="str">
        <f>IFERROR(__xludf.DUMMYFUNCTION("""COMPUTED_VALUE"""),"Heri (BT)")</f>
        <v>Heri (BT)</v>
      </c>
      <c r="F3334" s="14" t="str">
        <f>IFERROR(__xludf.DUMMYFUNCTION("""COMPUTED_VALUE"""),"SELESAI (VIA PERMOHONAN)")</f>
        <v>SELESAI (VIA PERMOHONAN)</v>
      </c>
      <c r="G3334" s="17">
        <f>IFERROR(__xludf.DUMMYFUNCTION("""COMPUTED_VALUE"""),45877.410633391206)</f>
        <v>45877.41063</v>
      </c>
      <c r="H3334" s="14" t="str">
        <f>IFERROR(__xludf.DUMMYFUNCTION("""COMPUTED_VALUE"""),"Eci (SU)")</f>
        <v>Eci (SU)</v>
      </c>
      <c r="I3334" s="13" t="str">
        <f>IFERROR(__xludf.DUMMYFUNCTION("""COMPUTED_VALUE"""),"SELESAI (VIA PERMOHONAN)")</f>
        <v>SELESAI (VIA PERMOHONAN)</v>
      </c>
      <c r="J3334" s="17">
        <f>IFERROR(__xludf.DUMMYFUNCTION("""COMPUTED_VALUE"""),45877.667269259255)</f>
        <v>45877.66727</v>
      </c>
      <c r="K3334" s="13" t="str">
        <f>IFERROR(__xludf.DUMMYFUNCTION("""COMPUTED_VALUE"""),"Selesai")</f>
        <v>Selesai</v>
      </c>
      <c r="L3334" s="17">
        <f>IFERROR(__xludf.DUMMYFUNCTION("""COMPUTED_VALUE"""),45877.667269259255)</f>
        <v>45877.66727</v>
      </c>
      <c r="M3334" s="13"/>
      <c r="N3334" s="13" t="str">
        <f>IFERROR(__xludf.DUMMYFUNCTION("""COMPUTED_VALUE"""),"")</f>
        <v/>
      </c>
      <c r="O3334" s="13" t="str">
        <f t="shared" si="1"/>
        <v/>
      </c>
    </row>
    <row r="3335" ht="22.5" customHeight="1">
      <c r="B3335" s="13">
        <f>IFERROR(__xludf.DUMMYFUNCTION("""COMPUTED_VALUE"""),3330.0)</f>
        <v>3330</v>
      </c>
      <c r="C3335" s="13" t="str">
        <f>IFERROR(__xludf.DUMMYFUNCTION("""COMPUTED_VALUE"""),"M.1105/SUKARAME BARU")</f>
        <v>M.1105/SUKARAME BARU</v>
      </c>
      <c r="D3335" s="13" t="str">
        <f>IFERROR(__xludf.DUMMYFUNCTION("""COMPUTED_VALUE"""),"K/37/250725/1")</f>
        <v>K/37/250725/1</v>
      </c>
      <c r="E3335" s="14" t="str">
        <f>IFERROR(__xludf.DUMMYFUNCTION("""COMPUTED_VALUE"""),"Heri (BT)")</f>
        <v>Heri (BT)</v>
      </c>
      <c r="F3335" s="14" t="str">
        <f>IFERROR(__xludf.DUMMYFUNCTION("""COMPUTED_VALUE"""),"SELESAI (VIA PERMOHONAN)")</f>
        <v>SELESAI (VIA PERMOHONAN)</v>
      </c>
      <c r="G3335" s="17">
        <f>IFERROR(__xludf.DUMMYFUNCTION("""COMPUTED_VALUE"""),45877.41080370371)</f>
        <v>45877.4108</v>
      </c>
      <c r="H3335" s="14" t="str">
        <f>IFERROR(__xludf.DUMMYFUNCTION("""COMPUTED_VALUE"""),"Eci (SU)")</f>
        <v>Eci (SU)</v>
      </c>
      <c r="I3335" s="13" t="str">
        <f>IFERROR(__xludf.DUMMYFUNCTION("""COMPUTED_VALUE"""),"SELESAI (VIA PERMOHONAN)")</f>
        <v>SELESAI (VIA PERMOHONAN)</v>
      </c>
      <c r="J3335" s="17">
        <f>IFERROR(__xludf.DUMMYFUNCTION("""COMPUTED_VALUE"""),45877.666815613426)</f>
        <v>45877.66682</v>
      </c>
      <c r="K3335" s="13" t="str">
        <f>IFERROR(__xludf.DUMMYFUNCTION("""COMPUTED_VALUE"""),"Selesai")</f>
        <v>Selesai</v>
      </c>
      <c r="L3335" s="17">
        <f>IFERROR(__xludf.DUMMYFUNCTION("""COMPUTED_VALUE"""),45877.666815613426)</f>
        <v>45877.66682</v>
      </c>
      <c r="M3335" s="13"/>
      <c r="N3335" s="13" t="str">
        <f>IFERROR(__xludf.DUMMYFUNCTION("""COMPUTED_VALUE"""),"")</f>
        <v/>
      </c>
      <c r="O3335" s="13" t="str">
        <f t="shared" si="1"/>
        <v/>
      </c>
    </row>
    <row r="3336" ht="22.5" customHeight="1">
      <c r="B3336" s="13">
        <f>IFERROR(__xludf.DUMMYFUNCTION("""COMPUTED_VALUE"""),3331.0)</f>
        <v>3331</v>
      </c>
      <c r="C3336" s="13" t="str">
        <f>IFERROR(__xludf.DUMMYFUNCTION("""COMPUTED_VALUE"""),"M.3458/BERINGIN RAYA")</f>
        <v>M.3458/BERINGIN RAYA</v>
      </c>
      <c r="D3336" s="13" t="str">
        <f>IFERROR(__xludf.DUMMYFUNCTION("""COMPUTED_VALUE"""),"K/19/310725/1")</f>
        <v>K/19/310725/1</v>
      </c>
      <c r="E3336" s="14" t="str">
        <f>IFERROR(__xludf.DUMMYFUNCTION("""COMPUTED_VALUE"""),"Heri (BT)")</f>
        <v>Heri (BT)</v>
      </c>
      <c r="F3336" s="14" t="str">
        <f>IFERROR(__xludf.DUMMYFUNCTION("""COMPUTED_VALUE"""),"SELESAI (VIA PERMOHONAN)")</f>
        <v>SELESAI (VIA PERMOHONAN)</v>
      </c>
      <c r="G3336" s="17">
        <f>IFERROR(__xludf.DUMMYFUNCTION("""COMPUTED_VALUE"""),45877.410946620366)</f>
        <v>45877.41095</v>
      </c>
      <c r="H3336" s="14" t="str">
        <f>IFERROR(__xludf.DUMMYFUNCTION("""COMPUTED_VALUE"""),"Eci (SU)")</f>
        <v>Eci (SU)</v>
      </c>
      <c r="I3336" s="13" t="str">
        <f>IFERROR(__xludf.DUMMYFUNCTION("""COMPUTED_VALUE"""),"SELESAI (VIA PERMOHONAN)")</f>
        <v>SELESAI (VIA PERMOHONAN)</v>
      </c>
      <c r="J3336" s="17">
        <f>IFERROR(__xludf.DUMMYFUNCTION("""COMPUTED_VALUE"""),45877.666664247685)</f>
        <v>45877.66666</v>
      </c>
      <c r="K3336" s="13" t="str">
        <f>IFERROR(__xludf.DUMMYFUNCTION("""COMPUTED_VALUE"""),"Selesai")</f>
        <v>Selesai</v>
      </c>
      <c r="L3336" s="17">
        <f>IFERROR(__xludf.DUMMYFUNCTION("""COMPUTED_VALUE"""),45877.666664247685)</f>
        <v>45877.66666</v>
      </c>
      <c r="M3336" s="13"/>
      <c r="N3336" s="13" t="str">
        <f>IFERROR(__xludf.DUMMYFUNCTION("""COMPUTED_VALUE"""),"")</f>
        <v/>
      </c>
      <c r="O3336" s="13" t="str">
        <f t="shared" si="1"/>
        <v/>
      </c>
    </row>
    <row r="3337" ht="22.5" customHeight="1">
      <c r="B3337" s="13">
        <f>IFERROR(__xludf.DUMMYFUNCTION("""COMPUTED_VALUE"""),3332.0)</f>
        <v>3332</v>
      </c>
      <c r="C3337" s="13" t="str">
        <f>IFERROR(__xludf.DUMMYFUNCTION("""COMPUTED_VALUE"""),"M.12662/BERINGIN RAYA")</f>
        <v>M.12662/BERINGIN RAYA</v>
      </c>
      <c r="D3337" s="13" t="str">
        <f>IFERROR(__xludf.DUMMYFUNCTION("""COMPUTED_VALUE"""),"K/23/010825/1")</f>
        <v>K/23/010825/1</v>
      </c>
      <c r="E3337" s="14" t="str">
        <f>IFERROR(__xludf.DUMMYFUNCTION("""COMPUTED_VALUE"""),"Heri (BT)")</f>
        <v>Heri (BT)</v>
      </c>
      <c r="F3337" s="14" t="str">
        <f>IFERROR(__xludf.DUMMYFUNCTION("""COMPUTED_VALUE"""),"SELESAI (VIA PERMOHONAN)")</f>
        <v>SELESAI (VIA PERMOHONAN)</v>
      </c>
      <c r="G3337" s="17">
        <f>IFERROR(__xludf.DUMMYFUNCTION("""COMPUTED_VALUE"""),45877.41110199074)</f>
        <v>45877.4111</v>
      </c>
      <c r="H3337" s="14" t="str">
        <f>IFERROR(__xludf.DUMMYFUNCTION("""COMPUTED_VALUE"""),"Eci (SU)")</f>
        <v>Eci (SU)</v>
      </c>
      <c r="I3337" s="13" t="str">
        <f>IFERROR(__xludf.DUMMYFUNCTION("""COMPUTED_VALUE"""),"SELESAI (VIA PERMOHONAN)")</f>
        <v>SELESAI (VIA PERMOHONAN)</v>
      </c>
      <c r="J3337" s="17">
        <f>IFERROR(__xludf.DUMMYFUNCTION("""COMPUTED_VALUE"""),45877.66909431713)</f>
        <v>45877.66909</v>
      </c>
      <c r="K3337" s="13" t="str">
        <f>IFERROR(__xludf.DUMMYFUNCTION("""COMPUTED_VALUE"""),"Selesai")</f>
        <v>Selesai</v>
      </c>
      <c r="L3337" s="17">
        <f>IFERROR(__xludf.DUMMYFUNCTION("""COMPUTED_VALUE"""),45877.66909431713)</f>
        <v>45877.66909</v>
      </c>
      <c r="M3337" s="13"/>
      <c r="N3337" s="13" t="str">
        <f>IFERROR(__xludf.DUMMYFUNCTION("""COMPUTED_VALUE"""),"")</f>
        <v/>
      </c>
      <c r="O3337" s="13" t="str">
        <f t="shared" si="1"/>
        <v/>
      </c>
    </row>
    <row r="3338" ht="22.5" customHeight="1">
      <c r="B3338" s="13">
        <f>IFERROR(__xludf.DUMMYFUNCTION("""COMPUTED_VALUE"""),3333.0)</f>
        <v>3333</v>
      </c>
      <c r="C3338" s="13" t="str">
        <f>IFERROR(__xludf.DUMMYFUNCTION("""COMPUTED_VALUE"""),"M. 3125/ Beringin Raya")</f>
        <v>M. 3125/ Beringin Raya</v>
      </c>
      <c r="D3338" s="13" t="str">
        <f>IFERROR(__xludf.DUMMYFUNCTION("""COMPUTED_VALUE"""),"K/3/040825/1")</f>
        <v>K/3/040825/1</v>
      </c>
      <c r="E3338" s="14" t="str">
        <f>IFERROR(__xludf.DUMMYFUNCTION("""COMPUTED_VALUE"""),"Heri (BT)")</f>
        <v>Heri (BT)</v>
      </c>
      <c r="F3338" s="14" t="str">
        <f>IFERROR(__xludf.DUMMYFUNCTION("""COMPUTED_VALUE"""),"SELESAI (VIA PERMOHONAN)")</f>
        <v>SELESAI (VIA PERMOHONAN)</v>
      </c>
      <c r="G3338" s="17">
        <f>IFERROR(__xludf.DUMMYFUNCTION("""COMPUTED_VALUE"""),45877.41124782407)</f>
        <v>45877.41125</v>
      </c>
      <c r="H3338" s="14" t="str">
        <f>IFERROR(__xludf.DUMMYFUNCTION("""COMPUTED_VALUE"""),"Eci (SU)")</f>
        <v>Eci (SU)</v>
      </c>
      <c r="I3338" s="13" t="str">
        <f>IFERROR(__xludf.DUMMYFUNCTION("""COMPUTED_VALUE"""),"SELESAI (VIA PERMOHONAN)")</f>
        <v>SELESAI (VIA PERMOHONAN)</v>
      </c>
      <c r="J3338" s="17">
        <f>IFERROR(__xludf.DUMMYFUNCTION("""COMPUTED_VALUE"""),45877.666664247685)</f>
        <v>45877.66666</v>
      </c>
      <c r="K3338" s="13" t="str">
        <f>IFERROR(__xludf.DUMMYFUNCTION("""COMPUTED_VALUE"""),"Selesai")</f>
        <v>Selesai</v>
      </c>
      <c r="L3338" s="17">
        <f>IFERROR(__xludf.DUMMYFUNCTION("""COMPUTED_VALUE"""),45877.666664247685)</f>
        <v>45877.66666</v>
      </c>
      <c r="M3338" s="13"/>
      <c r="N3338" s="13" t="str">
        <f>IFERROR(__xludf.DUMMYFUNCTION("""COMPUTED_VALUE"""),"")</f>
        <v/>
      </c>
      <c r="O3338" s="13" t="str">
        <f t="shared" si="1"/>
        <v/>
      </c>
    </row>
    <row r="3339" ht="22.5" customHeight="1">
      <c r="B3339" s="13">
        <f>IFERROR(__xludf.DUMMYFUNCTION("""COMPUTED_VALUE"""),3334.0)</f>
        <v>3334</v>
      </c>
      <c r="C3339" s="13" t="str">
        <f>IFERROR(__xludf.DUMMYFUNCTION("""COMPUTED_VALUE"""),"M. 27/ Nusantara Permai")</f>
        <v>M. 27/ Nusantara Permai</v>
      </c>
      <c r="D3339" s="13" t="str">
        <f>IFERROR(__xludf.DUMMYFUNCTION("""COMPUTED_VALUE"""),"K/14/010825/1")</f>
        <v>K/14/010825/1</v>
      </c>
      <c r="E3339" s="14" t="str">
        <f>IFERROR(__xludf.DUMMYFUNCTION("""COMPUTED_VALUE"""),"Heri (BT)")</f>
        <v>Heri (BT)</v>
      </c>
      <c r="F3339" s="14" t="str">
        <f>IFERROR(__xludf.DUMMYFUNCTION("""COMPUTED_VALUE"""),"SELESAI (VIA PERMOHONAN)")</f>
        <v>SELESAI (VIA PERMOHONAN)</v>
      </c>
      <c r="G3339" s="17">
        <f>IFERROR(__xludf.DUMMYFUNCTION("""COMPUTED_VALUE"""),45877.4113968287)</f>
        <v>45877.4114</v>
      </c>
      <c r="H3339" s="14" t="str">
        <f>IFERROR(__xludf.DUMMYFUNCTION("""COMPUTED_VALUE"""),"Eci (SU)")</f>
        <v>Eci (SU)</v>
      </c>
      <c r="I3339" s="13" t="str">
        <f>IFERROR(__xludf.DUMMYFUNCTION("""COMPUTED_VALUE"""),"SELESAI (VIA PERMOHONAN)")</f>
        <v>SELESAI (VIA PERMOHONAN)</v>
      </c>
      <c r="J3339" s="17">
        <f>IFERROR(__xludf.DUMMYFUNCTION("""COMPUTED_VALUE"""),45877.666664247685)</f>
        <v>45877.66666</v>
      </c>
      <c r="K3339" s="13" t="str">
        <f>IFERROR(__xludf.DUMMYFUNCTION("""COMPUTED_VALUE"""),"Selesai")</f>
        <v>Selesai</v>
      </c>
      <c r="L3339" s="17">
        <f>IFERROR(__xludf.DUMMYFUNCTION("""COMPUTED_VALUE"""),45877.666664247685)</f>
        <v>45877.66666</v>
      </c>
      <c r="M3339" s="13"/>
      <c r="N3339" s="13" t="str">
        <f>IFERROR(__xludf.DUMMYFUNCTION("""COMPUTED_VALUE"""),"")</f>
        <v/>
      </c>
      <c r="O3339" s="13" t="str">
        <f t="shared" si="1"/>
        <v/>
      </c>
    </row>
    <row r="3340" ht="22.5" customHeight="1">
      <c r="B3340" s="13">
        <f>IFERROR(__xludf.DUMMYFUNCTION("""COMPUTED_VALUE"""),3335.0)</f>
        <v>3335</v>
      </c>
      <c r="C3340" s="13" t="str">
        <f>IFERROR(__xludf.DUMMYFUNCTION("""COMPUTED_VALUE"""),"M. 2158/ Labuhan Ratu Raya")</f>
        <v>M. 2158/ Labuhan Ratu Raya</v>
      </c>
      <c r="D3340" s="13" t="str">
        <f>IFERROR(__xludf.DUMMYFUNCTION("""COMPUTED_VALUE"""),"K/22/150725/2")</f>
        <v>K/22/150725/2</v>
      </c>
      <c r="E3340" s="14" t="str">
        <f>IFERROR(__xludf.DUMMYFUNCTION("""COMPUTED_VALUE"""),"Heri (BT)")</f>
        <v>Heri (BT)</v>
      </c>
      <c r="F3340" s="14" t="str">
        <f>IFERROR(__xludf.DUMMYFUNCTION("""COMPUTED_VALUE"""),"SELESAI (VIA PERMOHONAN)")</f>
        <v>SELESAI (VIA PERMOHONAN)</v>
      </c>
      <c r="G3340" s="17">
        <f>IFERROR(__xludf.DUMMYFUNCTION("""COMPUTED_VALUE"""),45877.411547766205)</f>
        <v>45877.41155</v>
      </c>
      <c r="H3340" s="14" t="str">
        <f>IFERROR(__xludf.DUMMYFUNCTION("""COMPUTED_VALUE"""),"Eci (SU)")</f>
        <v>Eci (SU)</v>
      </c>
      <c r="I3340" s="13" t="str">
        <f>IFERROR(__xludf.DUMMYFUNCTION("""COMPUTED_VALUE"""),"SELESAI (VIA PERMOHONAN)")</f>
        <v>SELESAI (VIA PERMOHONAN)</v>
      </c>
      <c r="J3340" s="17">
        <f>IFERROR(__xludf.DUMMYFUNCTION("""COMPUTED_VALUE"""),45877.66773891204)</f>
        <v>45877.66774</v>
      </c>
      <c r="K3340" s="13" t="str">
        <f>IFERROR(__xludf.DUMMYFUNCTION("""COMPUTED_VALUE"""),"Selesai")</f>
        <v>Selesai</v>
      </c>
      <c r="L3340" s="17">
        <f>IFERROR(__xludf.DUMMYFUNCTION("""COMPUTED_VALUE"""),45877.66773891204)</f>
        <v>45877.66774</v>
      </c>
      <c r="M3340" s="13"/>
      <c r="N3340" s="13" t="str">
        <f>IFERROR(__xludf.DUMMYFUNCTION("""COMPUTED_VALUE"""),"")</f>
        <v/>
      </c>
      <c r="O3340" s="13" t="str">
        <f t="shared" si="1"/>
        <v/>
      </c>
    </row>
    <row r="3341" ht="22.5" customHeight="1">
      <c r="B3341" s="13">
        <f>IFERROR(__xludf.DUMMYFUNCTION("""COMPUTED_VALUE"""),3336.0)</f>
        <v>3336</v>
      </c>
      <c r="C3341" s="13" t="str">
        <f>IFERROR(__xludf.DUMMYFUNCTION("""COMPUTED_VALUE"""),"M. 12054/ Rajabasa")</f>
        <v>M. 12054/ Rajabasa</v>
      </c>
      <c r="D3341" s="13" t="str">
        <f>IFERROR(__xludf.DUMMYFUNCTION("""COMPUTED_VALUE"""),"K/18/290725/2")</f>
        <v>K/18/290725/2</v>
      </c>
      <c r="E3341" s="14" t="str">
        <f>IFERROR(__xludf.DUMMYFUNCTION("""COMPUTED_VALUE"""),"Heri (BT)")</f>
        <v>Heri (BT)</v>
      </c>
      <c r="F3341" s="14" t="str">
        <f>IFERROR(__xludf.DUMMYFUNCTION("""COMPUTED_VALUE"""),"SELESAI (VIA PERMOHONAN)")</f>
        <v>SELESAI (VIA PERMOHONAN)</v>
      </c>
      <c r="G3341" s="17">
        <f>IFERROR(__xludf.DUMMYFUNCTION("""COMPUTED_VALUE"""),45877.411689155095)</f>
        <v>45877.41169</v>
      </c>
      <c r="H3341" s="14" t="str">
        <f>IFERROR(__xludf.DUMMYFUNCTION("""COMPUTED_VALUE"""),"Eci (SU)")</f>
        <v>Eci (SU)</v>
      </c>
      <c r="I3341" s="13" t="str">
        <f>IFERROR(__xludf.DUMMYFUNCTION("""COMPUTED_VALUE"""),"SELESAI (VIA PERMOHONAN)")</f>
        <v>SELESAI (VIA PERMOHONAN)</v>
      </c>
      <c r="J3341" s="17">
        <f>IFERROR(__xludf.DUMMYFUNCTION("""COMPUTED_VALUE"""),45880.44451912037)</f>
        <v>45880.44452</v>
      </c>
      <c r="K3341" s="13" t="str">
        <f>IFERROR(__xludf.DUMMYFUNCTION("""COMPUTED_VALUE"""),"Selesai")</f>
        <v>Selesai</v>
      </c>
      <c r="L3341" s="17">
        <f>IFERROR(__xludf.DUMMYFUNCTION("""COMPUTED_VALUE"""),45880.44451912037)</f>
        <v>45880.44452</v>
      </c>
      <c r="M3341" s="13"/>
      <c r="N3341" s="13" t="str">
        <f>IFERROR(__xludf.DUMMYFUNCTION("""COMPUTED_VALUE"""),"")</f>
        <v/>
      </c>
      <c r="O3341" s="13" t="str">
        <f t="shared" si="1"/>
        <v/>
      </c>
    </row>
    <row r="3342" ht="22.5" customHeight="1">
      <c r="B3342" s="13">
        <f>IFERROR(__xludf.DUMMYFUNCTION("""COMPUTED_VALUE"""),3337.0)</f>
        <v>3337</v>
      </c>
      <c r="C3342" s="13" t="str">
        <f>IFERROR(__xludf.DUMMYFUNCTION("""COMPUTED_VALUE"""),"M.14074/SUKABUMI")</f>
        <v>M.14074/SUKABUMI</v>
      </c>
      <c r="D3342" s="13" t="str">
        <f>IFERROR(__xludf.DUMMYFUNCTION("""COMPUTED_VALUE"""),"K/15/010825/1")</f>
        <v>K/15/010825/1</v>
      </c>
      <c r="E3342" s="14" t="str">
        <f>IFERROR(__xludf.DUMMYFUNCTION("""COMPUTED_VALUE"""),"Heri (BT)")</f>
        <v>Heri (BT)</v>
      </c>
      <c r="F3342" s="14" t="str">
        <f>IFERROR(__xludf.DUMMYFUNCTION("""COMPUTED_VALUE"""),"SELESAI (VIA PERMOHONAN)")</f>
        <v>SELESAI (VIA PERMOHONAN)</v>
      </c>
      <c r="G3342" s="17">
        <f>IFERROR(__xludf.DUMMYFUNCTION("""COMPUTED_VALUE"""),45877.41183540509)</f>
        <v>45877.41184</v>
      </c>
      <c r="H3342" s="14" t="str">
        <f>IFERROR(__xludf.DUMMYFUNCTION("""COMPUTED_VALUE"""),"Eci (SU)")</f>
        <v>Eci (SU)</v>
      </c>
      <c r="I3342" s="13" t="str">
        <f>IFERROR(__xludf.DUMMYFUNCTION("""COMPUTED_VALUE"""),"SELESAI (VIA PERMOHONAN)")</f>
        <v>SELESAI (VIA PERMOHONAN)</v>
      </c>
      <c r="J3342" s="17">
        <f>IFERROR(__xludf.DUMMYFUNCTION("""COMPUTED_VALUE"""),45877.66882157407)</f>
        <v>45877.66882</v>
      </c>
      <c r="K3342" s="13" t="str">
        <f>IFERROR(__xludf.DUMMYFUNCTION("""COMPUTED_VALUE"""),"Selesai")</f>
        <v>Selesai</v>
      </c>
      <c r="L3342" s="17">
        <f>IFERROR(__xludf.DUMMYFUNCTION("""COMPUTED_VALUE"""),45877.66882157407)</f>
        <v>45877.66882</v>
      </c>
      <c r="M3342" s="13"/>
      <c r="N3342" s="13" t="str">
        <f>IFERROR(__xludf.DUMMYFUNCTION("""COMPUTED_VALUE"""),"")</f>
        <v/>
      </c>
      <c r="O3342" s="13" t="str">
        <f t="shared" si="1"/>
        <v/>
      </c>
    </row>
    <row r="3343" ht="22.5" customHeight="1">
      <c r="B3343" s="13">
        <f>IFERROR(__xludf.DUMMYFUNCTION("""COMPUTED_VALUE"""),3338.0)</f>
        <v>3338</v>
      </c>
      <c r="C3343" s="13" t="str">
        <f>IFERROR(__xludf.DUMMYFUNCTION("""COMPUTED_VALUE"""),"M.1981/SUMBEREJO SEJAHTERA")</f>
        <v>M.1981/SUMBEREJO SEJAHTERA</v>
      </c>
      <c r="D3343" s="13" t="str">
        <f>IFERROR(__xludf.DUMMYFUNCTION("""COMPUTED_VALUE"""),"K/45/310725/1")</f>
        <v>K/45/310725/1</v>
      </c>
      <c r="E3343" s="14" t="str">
        <f>IFERROR(__xludf.DUMMYFUNCTION("""COMPUTED_VALUE"""),"Heri (BT)")</f>
        <v>Heri (BT)</v>
      </c>
      <c r="F3343" s="14" t="str">
        <f>IFERROR(__xludf.DUMMYFUNCTION("""COMPUTED_VALUE"""),"SELESAI (VIA PERMOHONAN)")</f>
        <v>SELESAI (VIA PERMOHONAN)</v>
      </c>
      <c r="G3343" s="17">
        <f>IFERROR(__xludf.DUMMYFUNCTION("""COMPUTED_VALUE"""),45877.412010810185)</f>
        <v>45877.41201</v>
      </c>
      <c r="H3343" s="14" t="str">
        <f>IFERROR(__xludf.DUMMYFUNCTION("""COMPUTED_VALUE"""),"Eci (SU)")</f>
        <v>Eci (SU)</v>
      </c>
      <c r="I3343" s="13" t="str">
        <f>IFERROR(__xludf.DUMMYFUNCTION("""COMPUTED_VALUE"""),"SELESAI (VIA PERMOHONAN)")</f>
        <v>SELESAI (VIA PERMOHONAN)</v>
      </c>
      <c r="J3343" s="17">
        <f>IFERROR(__xludf.DUMMYFUNCTION("""COMPUTED_VALUE"""),45877.665959942125)</f>
        <v>45877.66596</v>
      </c>
      <c r="K3343" s="13" t="str">
        <f>IFERROR(__xludf.DUMMYFUNCTION("""COMPUTED_VALUE"""),"Selesai")</f>
        <v>Selesai</v>
      </c>
      <c r="L3343" s="17">
        <f>IFERROR(__xludf.DUMMYFUNCTION("""COMPUTED_VALUE"""),45877.665959942125)</f>
        <v>45877.66596</v>
      </c>
      <c r="M3343" s="13"/>
      <c r="N3343" s="13" t="str">
        <f>IFERROR(__xludf.DUMMYFUNCTION("""COMPUTED_VALUE"""),"")</f>
        <v/>
      </c>
      <c r="O3343" s="13" t="str">
        <f t="shared" si="1"/>
        <v/>
      </c>
    </row>
    <row r="3344" ht="22.5" customHeight="1">
      <c r="B3344" s="13">
        <f>IFERROR(__xludf.DUMMYFUNCTION("""COMPUTED_VALUE"""),3339.0)</f>
        <v>3339</v>
      </c>
      <c r="C3344" s="13" t="str">
        <f>IFERROR(__xludf.DUMMYFUNCTION("""COMPUTED_VALUE"""),"M.1251/KALI BALAU KENCANA")</f>
        <v>M.1251/KALI BALAU KENCANA</v>
      </c>
      <c r="D3344" s="13" t="str">
        <f>IFERROR(__xludf.DUMMYFUNCTION("""COMPUTED_VALUE"""),"K/21/010825/1")</f>
        <v>K/21/010825/1</v>
      </c>
      <c r="E3344" s="14" t="str">
        <f>IFERROR(__xludf.DUMMYFUNCTION("""COMPUTED_VALUE"""),"Heri (BT)")</f>
        <v>Heri (BT)</v>
      </c>
      <c r="F3344" s="14" t="str">
        <f>IFERROR(__xludf.DUMMYFUNCTION("""COMPUTED_VALUE"""),"SELESAI (VIA PERMOHONAN)")</f>
        <v>SELESAI (VIA PERMOHONAN)</v>
      </c>
      <c r="G3344" s="17">
        <f>IFERROR(__xludf.DUMMYFUNCTION("""COMPUTED_VALUE"""),45877.412176666665)</f>
        <v>45877.41218</v>
      </c>
      <c r="H3344" s="14" t="str">
        <f>IFERROR(__xludf.DUMMYFUNCTION("""COMPUTED_VALUE"""),"Eci (SU)")</f>
        <v>Eci (SU)</v>
      </c>
      <c r="I3344" s="13" t="str">
        <f>IFERROR(__xludf.DUMMYFUNCTION("""COMPUTED_VALUE"""),"SELESAI (VIA PERMOHONAN)")</f>
        <v>SELESAI (VIA PERMOHONAN)</v>
      </c>
      <c r="J3344" s="17">
        <f>IFERROR(__xludf.DUMMYFUNCTION("""COMPUTED_VALUE"""),45877.66165648148)</f>
        <v>45877.66166</v>
      </c>
      <c r="K3344" s="13" t="str">
        <f>IFERROR(__xludf.DUMMYFUNCTION("""COMPUTED_VALUE"""),"Selesai")</f>
        <v>Selesai</v>
      </c>
      <c r="L3344" s="17">
        <f>IFERROR(__xludf.DUMMYFUNCTION("""COMPUTED_VALUE"""),45877.66165648148)</f>
        <v>45877.66166</v>
      </c>
      <c r="M3344" s="13"/>
      <c r="N3344" s="13" t="str">
        <f>IFERROR(__xludf.DUMMYFUNCTION("""COMPUTED_VALUE"""),"")</f>
        <v/>
      </c>
      <c r="O3344" s="13" t="str">
        <f t="shared" si="1"/>
        <v/>
      </c>
    </row>
    <row r="3345" ht="22.5" customHeight="1">
      <c r="B3345" s="13">
        <f>IFERROR(__xludf.DUMMYFUNCTION("""COMPUTED_VALUE"""),3340.0)</f>
        <v>3340</v>
      </c>
      <c r="C3345" s="13" t="str">
        <f>IFERROR(__xludf.DUMMYFUNCTION("""COMPUTED_VALUE"""),"M.10502/KAMPUNG BARU")</f>
        <v>M.10502/KAMPUNG BARU</v>
      </c>
      <c r="D3345" s="13" t="str">
        <f>IFERROR(__xludf.DUMMYFUNCTION("""COMPUTED_VALUE"""),"K/7/230725/1")</f>
        <v>K/7/230725/1</v>
      </c>
      <c r="E3345" s="14" t="str">
        <f>IFERROR(__xludf.DUMMYFUNCTION("""COMPUTED_VALUE"""),"Heri (BT)")</f>
        <v>Heri (BT)</v>
      </c>
      <c r="F3345" s="14" t="str">
        <f>IFERROR(__xludf.DUMMYFUNCTION("""COMPUTED_VALUE"""),"SELESAI (VIA PERMOHONAN)")</f>
        <v>SELESAI (VIA PERMOHONAN)</v>
      </c>
      <c r="G3345" s="17">
        <f>IFERROR(__xludf.DUMMYFUNCTION("""COMPUTED_VALUE"""),45877.412330798616)</f>
        <v>45877.41233</v>
      </c>
      <c r="H3345" s="14" t="str">
        <f>IFERROR(__xludf.DUMMYFUNCTION("""COMPUTED_VALUE"""),"Eci (SU)")</f>
        <v>Eci (SU)</v>
      </c>
      <c r="I3345" s="13" t="str">
        <f>IFERROR(__xludf.DUMMYFUNCTION("""COMPUTED_VALUE"""),"SELESAI (VIA PERMOHONAN)")</f>
        <v>SELESAI (VIA PERMOHONAN)</v>
      </c>
      <c r="J3345" s="17">
        <f>IFERROR(__xludf.DUMMYFUNCTION("""COMPUTED_VALUE"""),45877.661816921296)</f>
        <v>45877.66182</v>
      </c>
      <c r="K3345" s="13" t="str">
        <f>IFERROR(__xludf.DUMMYFUNCTION("""COMPUTED_VALUE"""),"Selesai")</f>
        <v>Selesai</v>
      </c>
      <c r="L3345" s="17">
        <f>IFERROR(__xludf.DUMMYFUNCTION("""COMPUTED_VALUE"""),45877.661816921296)</f>
        <v>45877.66182</v>
      </c>
      <c r="M3345" s="13"/>
      <c r="N3345" s="13" t="str">
        <f>IFERROR(__xludf.DUMMYFUNCTION("""COMPUTED_VALUE"""),"")</f>
        <v/>
      </c>
      <c r="O3345" s="13" t="str">
        <f t="shared" si="1"/>
        <v/>
      </c>
    </row>
    <row r="3346" ht="22.5" customHeight="1">
      <c r="B3346" s="13">
        <f>IFERROR(__xludf.DUMMYFUNCTION("""COMPUTED_VALUE"""),3341.0)</f>
        <v>3341</v>
      </c>
      <c r="C3346" s="13" t="str">
        <f>IFERROR(__xludf.DUMMYFUNCTION("""COMPUTED_VALUE"""),"M. 946/SUKARAJA")</f>
        <v>M. 946/SUKARAJA</v>
      </c>
      <c r="D3346" s="13" t="str">
        <f>IFERROR(__xludf.DUMMYFUNCTION("""COMPUTED_VALUE"""),"K/9/010825/3")</f>
        <v>K/9/010825/3</v>
      </c>
      <c r="E3346" s="14" t="str">
        <f>IFERROR(__xludf.DUMMYFUNCTION("""COMPUTED_VALUE"""),"Heri (BT)")</f>
        <v>Heri (BT)</v>
      </c>
      <c r="F3346" s="14" t="str">
        <f>IFERROR(__xludf.DUMMYFUNCTION("""COMPUTED_VALUE"""),"SELESAI (VIA PERMOHONAN)")</f>
        <v>SELESAI (VIA PERMOHONAN)</v>
      </c>
      <c r="G3346" s="17">
        <f>IFERROR(__xludf.DUMMYFUNCTION("""COMPUTED_VALUE"""),45877.412507835645)</f>
        <v>45877.41251</v>
      </c>
      <c r="H3346" s="14" t="str">
        <f>IFERROR(__xludf.DUMMYFUNCTION("""COMPUTED_VALUE"""),"Eci (SU)")</f>
        <v>Eci (SU)</v>
      </c>
      <c r="I3346" s="13" t="str">
        <f>IFERROR(__xludf.DUMMYFUNCTION("""COMPUTED_VALUE"""),"SELESAI (VIA PERMOHONAN)")</f>
        <v>SELESAI (VIA PERMOHONAN)</v>
      </c>
      <c r="J3346" s="17">
        <f>IFERROR(__xludf.DUMMYFUNCTION("""COMPUTED_VALUE"""),45877.665982025464)</f>
        <v>45877.66598</v>
      </c>
      <c r="K3346" s="13" t="str">
        <f>IFERROR(__xludf.DUMMYFUNCTION("""COMPUTED_VALUE"""),"Selesai")</f>
        <v>Selesai</v>
      </c>
      <c r="L3346" s="17">
        <f>IFERROR(__xludf.DUMMYFUNCTION("""COMPUTED_VALUE"""),45877.665982025464)</f>
        <v>45877.66598</v>
      </c>
      <c r="M3346" s="13"/>
      <c r="N3346" s="13" t="str">
        <f>IFERROR(__xludf.DUMMYFUNCTION("""COMPUTED_VALUE"""),"")</f>
        <v/>
      </c>
      <c r="O3346" s="13" t="str">
        <f t="shared" si="1"/>
        <v/>
      </c>
    </row>
    <row r="3347" ht="22.5" customHeight="1">
      <c r="B3347" s="13">
        <f>IFERROR(__xludf.DUMMYFUNCTION("""COMPUTED_VALUE"""),3342.0)</f>
        <v>3342</v>
      </c>
      <c r="C3347" s="13" t="str">
        <f>IFERROR(__xludf.DUMMYFUNCTION("""COMPUTED_VALUE"""),"M. 3384/GUNUNG TERANG")</f>
        <v>M. 3384/GUNUNG TERANG</v>
      </c>
      <c r="D3347" s="13" t="str">
        <f>IFERROR(__xludf.DUMMYFUNCTION("""COMPUTED_VALUE"""),"K/26/250725/1")</f>
        <v>K/26/250725/1</v>
      </c>
      <c r="E3347" s="14" t="str">
        <f>IFERROR(__xludf.DUMMYFUNCTION("""COMPUTED_VALUE"""),"Heri (BT)")</f>
        <v>Heri (BT)</v>
      </c>
      <c r="F3347" s="14" t="str">
        <f>IFERROR(__xludf.DUMMYFUNCTION("""COMPUTED_VALUE"""),"SELESAI (VIA PERMOHONAN)")</f>
        <v>SELESAI (VIA PERMOHONAN)</v>
      </c>
      <c r="G3347" s="17">
        <f>IFERROR(__xludf.DUMMYFUNCTION("""COMPUTED_VALUE"""),45877.41333856482)</f>
        <v>45877.41334</v>
      </c>
      <c r="H3347" s="14" t="str">
        <f>IFERROR(__xludf.DUMMYFUNCTION("""COMPUTED_VALUE"""),"Eci (SU)")</f>
        <v>Eci (SU)</v>
      </c>
      <c r="I3347" s="13" t="str">
        <f>IFERROR(__xludf.DUMMYFUNCTION("""COMPUTED_VALUE"""),"SELESAI (VIA PERMOHONAN)")</f>
        <v>SELESAI (VIA PERMOHONAN)</v>
      </c>
      <c r="J3347" s="17">
        <f>IFERROR(__xludf.DUMMYFUNCTION("""COMPUTED_VALUE"""),45880.44406194444)</f>
        <v>45880.44406</v>
      </c>
      <c r="K3347" s="13" t="str">
        <f>IFERROR(__xludf.DUMMYFUNCTION("""COMPUTED_VALUE"""),"Selesai")</f>
        <v>Selesai</v>
      </c>
      <c r="L3347" s="17">
        <f>IFERROR(__xludf.DUMMYFUNCTION("""COMPUTED_VALUE"""),45880.44406194444)</f>
        <v>45880.44406</v>
      </c>
      <c r="M3347" s="13"/>
      <c r="N3347" s="13" t="str">
        <f>IFERROR(__xludf.DUMMYFUNCTION("""COMPUTED_VALUE"""),"")</f>
        <v/>
      </c>
      <c r="O3347" s="13" t="str">
        <f t="shared" si="1"/>
        <v/>
      </c>
    </row>
    <row r="3348" ht="22.5" customHeight="1">
      <c r="B3348" s="13">
        <f>IFERROR(__xludf.DUMMYFUNCTION("""COMPUTED_VALUE"""),3343.0)</f>
        <v>3343</v>
      </c>
      <c r="C3348" s="13" t="str">
        <f>IFERROR(__xludf.DUMMYFUNCTION("""COMPUTED_VALUE"""),"M. 232/BILABONG JAYA")</f>
        <v>M. 232/BILABONG JAYA</v>
      </c>
      <c r="D3348" s="13" t="str">
        <f>IFERROR(__xludf.DUMMYFUNCTION("""COMPUTED_VALUE"""),"K/11/290725/1")</f>
        <v>K/11/290725/1</v>
      </c>
      <c r="E3348" s="14" t="str">
        <f>IFERROR(__xludf.DUMMYFUNCTION("""COMPUTED_VALUE"""),"Heri (BT)")</f>
        <v>Heri (BT)</v>
      </c>
      <c r="F3348" s="14" t="str">
        <f>IFERROR(__xludf.DUMMYFUNCTION("""COMPUTED_VALUE"""),"SELESAI (VIA PERMOHONAN)")</f>
        <v>SELESAI (VIA PERMOHONAN)</v>
      </c>
      <c r="G3348" s="17">
        <f>IFERROR(__xludf.DUMMYFUNCTION("""COMPUTED_VALUE"""),45877.41351453704)</f>
        <v>45877.41351</v>
      </c>
      <c r="H3348" s="14" t="str">
        <f>IFERROR(__xludf.DUMMYFUNCTION("""COMPUTED_VALUE"""),"Eci (SU)")</f>
        <v>Eci (SU)</v>
      </c>
      <c r="I3348" s="13" t="str">
        <f>IFERROR(__xludf.DUMMYFUNCTION("""COMPUTED_VALUE"""),"SELESAI (VIA PERMOHONAN)")</f>
        <v>SELESAI (VIA PERMOHONAN)</v>
      </c>
      <c r="J3348" s="17">
        <f>IFERROR(__xludf.DUMMYFUNCTION("""COMPUTED_VALUE"""),45877.66839392361)</f>
        <v>45877.66839</v>
      </c>
      <c r="K3348" s="13" t="str">
        <f>IFERROR(__xludf.DUMMYFUNCTION("""COMPUTED_VALUE"""),"Selesai")</f>
        <v>Selesai</v>
      </c>
      <c r="L3348" s="17">
        <f>IFERROR(__xludf.DUMMYFUNCTION("""COMPUTED_VALUE"""),45877.66839392361)</f>
        <v>45877.66839</v>
      </c>
      <c r="M3348" s="13"/>
      <c r="N3348" s="13" t="str">
        <f>IFERROR(__xludf.DUMMYFUNCTION("""COMPUTED_VALUE"""),"")</f>
        <v/>
      </c>
      <c r="O3348" s="13" t="str">
        <f t="shared" si="1"/>
        <v/>
      </c>
    </row>
    <row r="3349" ht="22.5" customHeight="1">
      <c r="B3349" s="13">
        <f>IFERROR(__xludf.DUMMYFUNCTION("""COMPUTED_VALUE"""),3344.0)</f>
        <v>3344</v>
      </c>
      <c r="C3349" s="13" t="str">
        <f>IFERROR(__xludf.DUMMYFUNCTION("""COMPUTED_VALUE"""),"M.4338/WAY KANDIS")</f>
        <v>M.4338/WAY KANDIS</v>
      </c>
      <c r="D3349" s="13" t="str">
        <f>IFERROR(__xludf.DUMMYFUNCTION("""COMPUTED_VALUE"""),"K/26/111224/1")</f>
        <v>K/26/111224/1</v>
      </c>
      <c r="E3349" s="14" t="str">
        <f>IFERROR(__xludf.DUMMYFUNCTION("""COMPUTED_VALUE"""),"Heri (BT)")</f>
        <v>Heri (BT)</v>
      </c>
      <c r="F3349" s="14" t="str">
        <f>IFERROR(__xludf.DUMMYFUNCTION("""COMPUTED_VALUE"""),"SELESAI (VIA PERMOHONAN)")</f>
        <v>SELESAI (VIA PERMOHONAN)</v>
      </c>
      <c r="G3349" s="17">
        <f>IFERROR(__xludf.DUMMYFUNCTION("""COMPUTED_VALUE"""),45877.413661631945)</f>
        <v>45877.41366</v>
      </c>
      <c r="H3349" s="14" t="str">
        <f>IFERROR(__xludf.DUMMYFUNCTION("""COMPUTED_VALUE"""),"Eci (SU)")</f>
        <v>Eci (SU)</v>
      </c>
      <c r="I3349" s="13" t="str">
        <f>IFERROR(__xludf.DUMMYFUNCTION("""COMPUTED_VALUE"""),"SELESAI (VIA PERMOHONAN)")</f>
        <v>SELESAI (VIA PERMOHONAN)</v>
      </c>
      <c r="J3349" s="17">
        <f>IFERROR(__xludf.DUMMYFUNCTION("""COMPUTED_VALUE"""),45877.66793888889)</f>
        <v>45877.66794</v>
      </c>
      <c r="K3349" s="13" t="str">
        <f>IFERROR(__xludf.DUMMYFUNCTION("""COMPUTED_VALUE"""),"Selesai")</f>
        <v>Selesai</v>
      </c>
      <c r="L3349" s="17">
        <f>IFERROR(__xludf.DUMMYFUNCTION("""COMPUTED_VALUE"""),45877.66793888889)</f>
        <v>45877.66794</v>
      </c>
      <c r="M3349" s="13"/>
      <c r="N3349" s="13" t="str">
        <f>IFERROR(__xludf.DUMMYFUNCTION("""COMPUTED_VALUE"""),"")</f>
        <v/>
      </c>
      <c r="O3349" s="13" t="str">
        <f t="shared" si="1"/>
        <v/>
      </c>
    </row>
    <row r="3350" ht="22.5" customHeight="1">
      <c r="B3350" s="13">
        <f>IFERROR(__xludf.DUMMYFUNCTION("""COMPUTED_VALUE"""),3345.0)</f>
        <v>3345</v>
      </c>
      <c r="C3350" s="13" t="str">
        <f>IFERROR(__xludf.DUMMYFUNCTION("""COMPUTED_VALUE"""),"B.3040/SUKABUMI")</f>
        <v>B.3040/SUKABUMI</v>
      </c>
      <c r="D3350" s="13" t="str">
        <f>IFERROR(__xludf.DUMMYFUNCTION("""COMPUTED_VALUE"""),"K/12/300725/1")</f>
        <v>K/12/300725/1</v>
      </c>
      <c r="E3350" s="14" t="str">
        <f>IFERROR(__xludf.DUMMYFUNCTION("""COMPUTED_VALUE"""),"Heri (BT)")</f>
        <v>Heri (BT)</v>
      </c>
      <c r="F3350" s="14" t="str">
        <f>IFERROR(__xludf.DUMMYFUNCTION("""COMPUTED_VALUE"""),"SELESAI (VIA PERMOHONAN)")</f>
        <v>SELESAI (VIA PERMOHONAN)</v>
      </c>
      <c r="G3350" s="17">
        <f>IFERROR(__xludf.DUMMYFUNCTION("""COMPUTED_VALUE"""),45877.41382127315)</f>
        <v>45877.41382</v>
      </c>
      <c r="H3350" s="14" t="str">
        <f>IFERROR(__xludf.DUMMYFUNCTION("""COMPUTED_VALUE"""),"Eci (SU)")</f>
        <v>Eci (SU)</v>
      </c>
      <c r="I3350" s="13" t="str">
        <f>IFERROR(__xludf.DUMMYFUNCTION("""COMPUTED_VALUE"""),"SELESAI (VIA PERMOHONAN)")</f>
        <v>SELESAI (VIA PERMOHONAN)</v>
      </c>
      <c r="J3350" s="17">
        <f>IFERROR(__xludf.DUMMYFUNCTION("""COMPUTED_VALUE"""),45880.4439771412)</f>
        <v>45880.44398</v>
      </c>
      <c r="K3350" s="13" t="str">
        <f>IFERROR(__xludf.DUMMYFUNCTION("""COMPUTED_VALUE"""),"Selesai")</f>
        <v>Selesai</v>
      </c>
      <c r="L3350" s="17">
        <f>IFERROR(__xludf.DUMMYFUNCTION("""COMPUTED_VALUE"""),45880.4439771412)</f>
        <v>45880.44398</v>
      </c>
      <c r="M3350" s="13"/>
      <c r="N3350" s="13" t="str">
        <f>IFERROR(__xludf.DUMMYFUNCTION("""COMPUTED_VALUE"""),"")</f>
        <v/>
      </c>
      <c r="O3350" s="13" t="str">
        <f t="shared" si="1"/>
        <v/>
      </c>
    </row>
    <row r="3351" ht="22.5" customHeight="1">
      <c r="B3351" s="13">
        <f>IFERROR(__xludf.DUMMYFUNCTION("""COMPUTED_VALUE"""),3346.0)</f>
        <v>3346</v>
      </c>
      <c r="C3351" s="13" t="str">
        <f>IFERROR(__xludf.DUMMYFUNCTION("""COMPUTED_VALUE"""),"M. 19606/ Sukarame")</f>
        <v>M. 19606/ Sukarame</v>
      </c>
      <c r="D3351" s="13" t="str">
        <f>IFERROR(__xludf.DUMMYFUNCTION("""COMPUTED_VALUE"""),"K/22/170725/1")</f>
        <v>K/22/170725/1</v>
      </c>
      <c r="E3351" s="14" t="str">
        <f>IFERROR(__xludf.DUMMYFUNCTION("""COMPUTED_VALUE"""),"Heri (BT)")</f>
        <v>Heri (BT)</v>
      </c>
      <c r="F3351" s="14" t="str">
        <f>IFERROR(__xludf.DUMMYFUNCTION("""COMPUTED_VALUE"""),"SELESAI (VIA PERMOHONAN)")</f>
        <v>SELESAI (VIA PERMOHONAN)</v>
      </c>
      <c r="G3351" s="17">
        <f>IFERROR(__xludf.DUMMYFUNCTION("""COMPUTED_VALUE"""),45877.41398032407)</f>
        <v>45877.41398</v>
      </c>
      <c r="H3351" s="14" t="str">
        <f>IFERROR(__xludf.DUMMYFUNCTION("""COMPUTED_VALUE"""),"Eci (SU)")</f>
        <v>Eci (SU)</v>
      </c>
      <c r="I3351" s="13" t="str">
        <f>IFERROR(__xludf.DUMMYFUNCTION("""COMPUTED_VALUE"""),"SELESAI (VIA PERMOHONAN)")</f>
        <v>SELESAI (VIA PERMOHONAN)</v>
      </c>
      <c r="J3351" s="17">
        <f>IFERROR(__xludf.DUMMYFUNCTION("""COMPUTED_VALUE"""),45877.66631858796)</f>
        <v>45877.66632</v>
      </c>
      <c r="K3351" s="13" t="str">
        <f>IFERROR(__xludf.DUMMYFUNCTION("""COMPUTED_VALUE"""),"Selesai")</f>
        <v>Selesai</v>
      </c>
      <c r="L3351" s="17">
        <f>IFERROR(__xludf.DUMMYFUNCTION("""COMPUTED_VALUE"""),45877.66631858796)</f>
        <v>45877.66632</v>
      </c>
      <c r="M3351" s="13"/>
      <c r="N3351" s="13" t="str">
        <f>IFERROR(__xludf.DUMMYFUNCTION("""COMPUTED_VALUE"""),"")</f>
        <v/>
      </c>
      <c r="O3351" s="13" t="str">
        <f t="shared" si="1"/>
        <v/>
      </c>
    </row>
    <row r="3352" ht="22.5" customHeight="1">
      <c r="B3352" s="13">
        <f>IFERROR(__xludf.DUMMYFUNCTION("""COMPUTED_VALUE"""),3347.0)</f>
        <v>3347</v>
      </c>
      <c r="C3352" s="13" t="str">
        <f>IFERROR(__xludf.DUMMYFUNCTION("""COMPUTED_VALUE"""),"B. 1502/KEMILING PERMAI")</f>
        <v>B. 1502/KEMILING PERMAI</v>
      </c>
      <c r="D3352" s="13" t="str">
        <f>IFERROR(__xludf.DUMMYFUNCTION("""COMPUTED_VALUE"""),"K/31/010825/1")</f>
        <v>K/31/010825/1</v>
      </c>
      <c r="E3352" s="14" t="str">
        <f>IFERROR(__xludf.DUMMYFUNCTION("""COMPUTED_VALUE"""),"Heri (BT)")</f>
        <v>Heri (BT)</v>
      </c>
      <c r="F3352" s="14" t="str">
        <f>IFERROR(__xludf.DUMMYFUNCTION("""COMPUTED_VALUE"""),"SELESAI (VIA PERMOHONAN)")</f>
        <v>SELESAI (VIA PERMOHONAN)</v>
      </c>
      <c r="G3352" s="17">
        <f>IFERROR(__xludf.DUMMYFUNCTION("""COMPUTED_VALUE"""),45877.41412252314)</f>
        <v>45877.41412</v>
      </c>
      <c r="H3352" s="14" t="str">
        <f>IFERROR(__xludf.DUMMYFUNCTION("""COMPUTED_VALUE"""),"Eci (SU)")</f>
        <v>Eci (SU)</v>
      </c>
      <c r="I3352" s="13" t="str">
        <f>IFERROR(__xludf.DUMMYFUNCTION("""COMPUTED_VALUE"""),"SELESAI (VIA PERMOHONAN)")</f>
        <v>SELESAI (VIA PERMOHONAN)</v>
      </c>
      <c r="J3352" s="17">
        <f>IFERROR(__xludf.DUMMYFUNCTION("""COMPUTED_VALUE"""),45877.66599883102)</f>
        <v>45877.666</v>
      </c>
      <c r="K3352" s="13" t="str">
        <f>IFERROR(__xludf.DUMMYFUNCTION("""COMPUTED_VALUE"""),"Selesai")</f>
        <v>Selesai</v>
      </c>
      <c r="L3352" s="17">
        <f>IFERROR(__xludf.DUMMYFUNCTION("""COMPUTED_VALUE"""),45877.66599883102)</f>
        <v>45877.666</v>
      </c>
      <c r="M3352" s="13"/>
      <c r="N3352" s="13" t="str">
        <f>IFERROR(__xludf.DUMMYFUNCTION("""COMPUTED_VALUE"""),"")</f>
        <v/>
      </c>
      <c r="O3352" s="13" t="str">
        <f t="shared" si="1"/>
        <v/>
      </c>
    </row>
    <row r="3353" ht="22.5" customHeight="1">
      <c r="B3353" s="13">
        <f>IFERROR(__xludf.DUMMYFUNCTION("""COMPUTED_VALUE"""),3348.0)</f>
        <v>3348</v>
      </c>
      <c r="C3353" s="13" t="str">
        <f>IFERROR(__xludf.DUMMYFUNCTION("""COMPUTED_VALUE"""),"M. 12615 / KEDATON")</f>
        <v>M. 12615 / KEDATON</v>
      </c>
      <c r="D3353" s="13" t="str">
        <f>IFERROR(__xludf.DUMMYFUNCTION("""COMPUTED_VALUE"""),"K/26/280725/1")</f>
        <v>K/26/280725/1</v>
      </c>
      <c r="E3353" s="14" t="str">
        <f>IFERROR(__xludf.DUMMYFUNCTION("""COMPUTED_VALUE"""),"Heri (BT)")</f>
        <v>Heri (BT)</v>
      </c>
      <c r="F3353" s="14" t="str">
        <f>IFERROR(__xludf.DUMMYFUNCTION("""COMPUTED_VALUE"""),"SELESAI (VIA PERMOHONAN)")</f>
        <v>SELESAI (VIA PERMOHONAN)</v>
      </c>
      <c r="G3353" s="17">
        <f>IFERROR(__xludf.DUMMYFUNCTION("""COMPUTED_VALUE"""),45877.414263750004)</f>
        <v>45877.41426</v>
      </c>
      <c r="H3353" s="14" t="str">
        <f>IFERROR(__xludf.DUMMYFUNCTION("""COMPUTED_VALUE"""),"Eci (SU)")</f>
        <v>Eci (SU)</v>
      </c>
      <c r="I3353" s="13" t="str">
        <f>IFERROR(__xludf.DUMMYFUNCTION("""COMPUTED_VALUE"""),"SELESAI (VIA PERMOHONAN)")</f>
        <v>SELESAI (VIA PERMOHONAN)</v>
      </c>
      <c r="J3353" s="17">
        <f>IFERROR(__xludf.DUMMYFUNCTION("""COMPUTED_VALUE"""),45877.66602210648)</f>
        <v>45877.66602</v>
      </c>
      <c r="K3353" s="13" t="str">
        <f>IFERROR(__xludf.DUMMYFUNCTION("""COMPUTED_VALUE"""),"Selesai")</f>
        <v>Selesai</v>
      </c>
      <c r="L3353" s="17">
        <f>IFERROR(__xludf.DUMMYFUNCTION("""COMPUTED_VALUE"""),45877.66602210648)</f>
        <v>45877.66602</v>
      </c>
      <c r="M3353" s="13"/>
      <c r="N3353" s="13" t="str">
        <f>IFERROR(__xludf.DUMMYFUNCTION("""COMPUTED_VALUE"""),"")</f>
        <v/>
      </c>
      <c r="O3353" s="13" t="str">
        <f t="shared" si="1"/>
        <v/>
      </c>
    </row>
    <row r="3354" ht="22.5" customHeight="1">
      <c r="B3354" s="13">
        <f>IFERROR(__xludf.DUMMYFUNCTION("""COMPUTED_VALUE"""),3349.0)</f>
        <v>3349</v>
      </c>
      <c r="C3354" s="13" t="str">
        <f>IFERROR(__xludf.DUMMYFUNCTION("""COMPUTED_VALUE"""),"M. 3960/SUKADANA HAM")</f>
        <v>M. 3960/SUKADANA HAM</v>
      </c>
      <c r="D3354" s="13" t="str">
        <f>IFERROR(__xludf.DUMMYFUNCTION("""COMPUTED_VALUE"""),"K/33/310725/1")</f>
        <v>K/33/310725/1</v>
      </c>
      <c r="E3354" s="14" t="str">
        <f>IFERROR(__xludf.DUMMYFUNCTION("""COMPUTED_VALUE"""),"Heri (BT)")</f>
        <v>Heri (BT)</v>
      </c>
      <c r="F3354" s="14" t="str">
        <f>IFERROR(__xludf.DUMMYFUNCTION("""COMPUTED_VALUE"""),"SELESAI (VIA PERMOHONAN)")</f>
        <v>SELESAI (VIA PERMOHONAN)</v>
      </c>
      <c r="G3354" s="17">
        <f>IFERROR(__xludf.DUMMYFUNCTION("""COMPUTED_VALUE"""),45877.41452209491)</f>
        <v>45877.41452</v>
      </c>
      <c r="H3354" s="14" t="str">
        <f>IFERROR(__xludf.DUMMYFUNCTION("""COMPUTED_VALUE"""),"Eci (SU)")</f>
        <v>Eci (SU)</v>
      </c>
      <c r="I3354" s="13" t="str">
        <f>IFERROR(__xludf.DUMMYFUNCTION("""COMPUTED_VALUE"""),"SELESAI (VIA PERMOHONAN)")</f>
        <v>SELESAI (VIA PERMOHONAN)</v>
      </c>
      <c r="J3354" s="17">
        <f>IFERROR(__xludf.DUMMYFUNCTION("""COMPUTED_VALUE"""),45877.66602210648)</f>
        <v>45877.66602</v>
      </c>
      <c r="K3354" s="13" t="str">
        <f>IFERROR(__xludf.DUMMYFUNCTION("""COMPUTED_VALUE"""),"Selesai")</f>
        <v>Selesai</v>
      </c>
      <c r="L3354" s="17">
        <f>IFERROR(__xludf.DUMMYFUNCTION("""COMPUTED_VALUE"""),45877.66602210648)</f>
        <v>45877.66602</v>
      </c>
      <c r="M3354" s="13"/>
      <c r="N3354" s="13" t="str">
        <f>IFERROR(__xludf.DUMMYFUNCTION("""COMPUTED_VALUE"""),"")</f>
        <v/>
      </c>
      <c r="O3354" s="13" t="str">
        <f t="shared" si="1"/>
        <v/>
      </c>
    </row>
    <row r="3355" ht="22.5" customHeight="1">
      <c r="B3355" s="13">
        <f>IFERROR(__xludf.DUMMYFUNCTION("""COMPUTED_VALUE"""),3350.0)</f>
        <v>3350</v>
      </c>
      <c r="C3355" s="13" t="str">
        <f>IFERROR(__xludf.DUMMYFUNCTION("""COMPUTED_VALUE"""),"HM 2068/PWH")</f>
        <v>HM 2068/PWH</v>
      </c>
      <c r="D3355" s="13" t="str">
        <f>IFERROR(__xludf.DUMMYFUNCTION("""COMPUTED_VALUE"""),"L/5/250725/1")</f>
        <v>L/5/250725/1</v>
      </c>
      <c r="E3355" s="14" t="str">
        <f>IFERROR(__xludf.DUMMYFUNCTION("""COMPUTED_VALUE"""),"Heri (BT)")</f>
        <v>Heri (BT)</v>
      </c>
      <c r="F3355" s="14" t="str">
        <f>IFERROR(__xludf.DUMMYFUNCTION("""COMPUTED_VALUE"""),"SELESAI (VIA PERMOHONAN)")</f>
        <v>SELESAI (VIA PERMOHONAN)</v>
      </c>
      <c r="G3355" s="17">
        <f>IFERROR(__xludf.DUMMYFUNCTION("""COMPUTED_VALUE"""),45877.414762037035)</f>
        <v>45877.41476</v>
      </c>
      <c r="H3355" s="14" t="str">
        <f>IFERROR(__xludf.DUMMYFUNCTION("""COMPUTED_VALUE"""),"Eci (SU)")</f>
        <v>Eci (SU)</v>
      </c>
      <c r="I3355" s="13" t="str">
        <f>IFERROR(__xludf.DUMMYFUNCTION("""COMPUTED_VALUE"""),"SELESAI (VIA PERMOHONAN)")</f>
        <v>SELESAI (VIA PERMOHONAN)</v>
      </c>
      <c r="J3355" s="17">
        <f>IFERROR(__xludf.DUMMYFUNCTION("""COMPUTED_VALUE"""),45880.44393541667)</f>
        <v>45880.44394</v>
      </c>
      <c r="K3355" s="13" t="str">
        <f>IFERROR(__xludf.DUMMYFUNCTION("""COMPUTED_VALUE"""),"Selesai")</f>
        <v>Selesai</v>
      </c>
      <c r="L3355" s="17">
        <f>IFERROR(__xludf.DUMMYFUNCTION("""COMPUTED_VALUE"""),45880.44393541667)</f>
        <v>45880.44394</v>
      </c>
      <c r="M3355" s="13"/>
      <c r="N3355" s="13" t="str">
        <f>IFERROR(__xludf.DUMMYFUNCTION("""COMPUTED_VALUE"""),"")</f>
        <v/>
      </c>
      <c r="O3355" s="13" t="str">
        <f t="shared" si="1"/>
        <v/>
      </c>
    </row>
    <row r="3356" ht="22.5" customHeight="1">
      <c r="B3356" s="13">
        <f>IFERROR(__xludf.DUMMYFUNCTION("""COMPUTED_VALUE"""),3351.0)</f>
        <v>3351</v>
      </c>
      <c r="C3356" s="13" t="str">
        <f>IFERROR(__xludf.DUMMYFUNCTION("""COMPUTED_VALUE"""),"M. 14869/ Sukarame")</f>
        <v>M. 14869/ Sukarame</v>
      </c>
      <c r="D3356" s="13" t="str">
        <f>IFERROR(__xludf.DUMMYFUNCTION("""COMPUTED_VALUE"""),"K/32/250725/1")</f>
        <v>K/32/250725/1</v>
      </c>
      <c r="E3356" s="14" t="str">
        <f>IFERROR(__xludf.DUMMYFUNCTION("""COMPUTED_VALUE"""),"Heri (BT)")</f>
        <v>Heri (BT)</v>
      </c>
      <c r="F3356" s="14" t="str">
        <f>IFERROR(__xludf.DUMMYFUNCTION("""COMPUTED_VALUE"""),"SELESAI (VIA PERMOHONAN)")</f>
        <v>SELESAI (VIA PERMOHONAN)</v>
      </c>
      <c r="G3356" s="17">
        <f>IFERROR(__xludf.DUMMYFUNCTION("""COMPUTED_VALUE"""),45877.41493619213)</f>
        <v>45877.41494</v>
      </c>
      <c r="H3356" s="14" t="str">
        <f>IFERROR(__xludf.DUMMYFUNCTION("""COMPUTED_VALUE"""),"Eci (SU)")</f>
        <v>Eci (SU)</v>
      </c>
      <c r="I3356" s="13" t="str">
        <f>IFERROR(__xludf.DUMMYFUNCTION("""COMPUTED_VALUE"""),"SELESAI (VIA PERMOHONAN)")</f>
        <v>SELESAI (VIA PERMOHONAN)</v>
      </c>
      <c r="J3356" s="17">
        <f>IFERROR(__xludf.DUMMYFUNCTION("""COMPUTED_VALUE"""),45877.666052002314)</f>
        <v>45877.66605</v>
      </c>
      <c r="K3356" s="13" t="str">
        <f>IFERROR(__xludf.DUMMYFUNCTION("""COMPUTED_VALUE"""),"Selesai")</f>
        <v>Selesai</v>
      </c>
      <c r="L3356" s="17">
        <f>IFERROR(__xludf.DUMMYFUNCTION("""COMPUTED_VALUE"""),45877.666052002314)</f>
        <v>45877.66605</v>
      </c>
      <c r="M3356" s="13"/>
      <c r="N3356" s="13" t="str">
        <f>IFERROR(__xludf.DUMMYFUNCTION("""COMPUTED_VALUE"""),"")</f>
        <v/>
      </c>
      <c r="O3356" s="13" t="str">
        <f t="shared" si="1"/>
        <v/>
      </c>
    </row>
    <row r="3357" ht="22.5" customHeight="1">
      <c r="B3357" s="13">
        <f>IFERROR(__xludf.DUMMYFUNCTION("""COMPUTED_VALUE"""),3352.0)</f>
        <v>3352</v>
      </c>
      <c r="C3357" s="13" t="str">
        <f>IFERROR(__xludf.DUMMYFUNCTION("""COMPUTED_VALUE"""),"M. 2726/ Bumi Waras")</f>
        <v>M. 2726/ Bumi Waras</v>
      </c>
      <c r="D3357" s="13" t="str">
        <f>IFERROR(__xludf.DUMMYFUNCTION("""COMPUTED_VALUE"""),"K/11/010825/1")</f>
        <v>K/11/010825/1</v>
      </c>
      <c r="E3357" s="14" t="str">
        <f>IFERROR(__xludf.DUMMYFUNCTION("""COMPUTED_VALUE"""),"Heri (BT)")</f>
        <v>Heri (BT)</v>
      </c>
      <c r="F3357" s="14" t="str">
        <f>IFERROR(__xludf.DUMMYFUNCTION("""COMPUTED_VALUE"""),"SELESAI (VIA PERMOHONAN)")</f>
        <v>SELESAI (VIA PERMOHONAN)</v>
      </c>
      <c r="G3357" s="17">
        <f>IFERROR(__xludf.DUMMYFUNCTION("""COMPUTED_VALUE"""),45877.41509440972)</f>
        <v>45877.41509</v>
      </c>
      <c r="H3357" s="14" t="str">
        <f>IFERROR(__xludf.DUMMYFUNCTION("""COMPUTED_VALUE"""),"Eci (SU)")</f>
        <v>Eci (SU)</v>
      </c>
      <c r="I3357" s="13" t="str">
        <f>IFERROR(__xludf.DUMMYFUNCTION("""COMPUTED_VALUE"""),"SELESAI (VIA PERMOHONAN)")</f>
        <v>SELESAI (VIA PERMOHONAN)</v>
      </c>
      <c r="J3357" s="17">
        <f>IFERROR(__xludf.DUMMYFUNCTION("""COMPUTED_VALUE"""),45877.66606790509)</f>
        <v>45877.66607</v>
      </c>
      <c r="K3357" s="13" t="str">
        <f>IFERROR(__xludf.DUMMYFUNCTION("""COMPUTED_VALUE"""),"Selesai")</f>
        <v>Selesai</v>
      </c>
      <c r="L3357" s="17">
        <f>IFERROR(__xludf.DUMMYFUNCTION("""COMPUTED_VALUE"""),45877.66606790509)</f>
        <v>45877.66607</v>
      </c>
      <c r="M3357" s="13"/>
      <c r="N3357" s="13" t="str">
        <f>IFERROR(__xludf.DUMMYFUNCTION("""COMPUTED_VALUE"""),"")</f>
        <v/>
      </c>
      <c r="O3357" s="13" t="str">
        <f t="shared" si="1"/>
        <v/>
      </c>
    </row>
    <row r="3358" ht="22.5" customHeight="1">
      <c r="B3358" s="13">
        <f>IFERROR(__xludf.DUMMYFUNCTION("""COMPUTED_VALUE"""),3353.0)</f>
        <v>3353</v>
      </c>
      <c r="C3358" s="13" t="str">
        <f>IFERROR(__xludf.DUMMYFUNCTION("""COMPUTED_VALUE"""),"M. 2793/ Keteguhan")</f>
        <v>M. 2793/ Keteguhan</v>
      </c>
      <c r="D3358" s="13" t="str">
        <f>IFERROR(__xludf.DUMMYFUNCTION("""COMPUTED_VALUE"""),"K/9/290725/1")</f>
        <v>K/9/290725/1</v>
      </c>
      <c r="E3358" s="14" t="str">
        <f>IFERROR(__xludf.DUMMYFUNCTION("""COMPUTED_VALUE"""),"Heri (BT)")</f>
        <v>Heri (BT)</v>
      </c>
      <c r="F3358" s="14" t="str">
        <f>IFERROR(__xludf.DUMMYFUNCTION("""COMPUTED_VALUE"""),"SELESAI (VIA PERMOHONAN)")</f>
        <v>SELESAI (VIA PERMOHONAN)</v>
      </c>
      <c r="G3358" s="17">
        <f>IFERROR(__xludf.DUMMYFUNCTION("""COMPUTED_VALUE"""),45877.41523628472)</f>
        <v>45877.41524</v>
      </c>
      <c r="H3358" s="14" t="str">
        <f>IFERROR(__xludf.DUMMYFUNCTION("""COMPUTED_VALUE"""),"Eci (SU)")</f>
        <v>Eci (SU)</v>
      </c>
      <c r="I3358" s="13" t="str">
        <f>IFERROR(__xludf.DUMMYFUNCTION("""COMPUTED_VALUE"""),"SELESAI (VIA PERMOHONAN)")</f>
        <v>SELESAI (VIA PERMOHONAN)</v>
      </c>
      <c r="J3358" s="17">
        <f>IFERROR(__xludf.DUMMYFUNCTION("""COMPUTED_VALUE"""),45877.66606790509)</f>
        <v>45877.66607</v>
      </c>
      <c r="K3358" s="13" t="str">
        <f>IFERROR(__xludf.DUMMYFUNCTION("""COMPUTED_VALUE"""),"Selesai")</f>
        <v>Selesai</v>
      </c>
      <c r="L3358" s="17">
        <f>IFERROR(__xludf.DUMMYFUNCTION("""COMPUTED_VALUE"""),45877.66606790509)</f>
        <v>45877.66607</v>
      </c>
      <c r="M3358" s="13"/>
      <c r="N3358" s="13" t="str">
        <f>IFERROR(__xludf.DUMMYFUNCTION("""COMPUTED_VALUE"""),"")</f>
        <v/>
      </c>
      <c r="O3358" s="13" t="str">
        <f t="shared" si="1"/>
        <v/>
      </c>
    </row>
    <row r="3359" ht="22.5" customHeight="1">
      <c r="B3359" s="13">
        <f>IFERROR(__xludf.DUMMYFUNCTION("""COMPUTED_VALUE"""),3354.0)</f>
        <v>3354</v>
      </c>
      <c r="C3359" s="13" t="str">
        <f>IFERROR(__xludf.DUMMYFUNCTION("""COMPUTED_VALUE"""),"M. 1487/ Kota Karang")</f>
        <v>M. 1487/ Kota Karang</v>
      </c>
      <c r="D3359" s="13" t="str">
        <f>IFERROR(__xludf.DUMMYFUNCTION("""COMPUTED_VALUE"""),"K/20/280725/3")</f>
        <v>K/20/280725/3</v>
      </c>
      <c r="E3359" s="14" t="str">
        <f>IFERROR(__xludf.DUMMYFUNCTION("""COMPUTED_VALUE"""),"Heri (BT)")</f>
        <v>Heri (BT)</v>
      </c>
      <c r="F3359" s="14" t="str">
        <f>IFERROR(__xludf.DUMMYFUNCTION("""COMPUTED_VALUE"""),"SELESAI (VIA PERMOHONAN)")</f>
        <v>SELESAI (VIA PERMOHONAN)</v>
      </c>
      <c r="G3359" s="17">
        <f>IFERROR(__xludf.DUMMYFUNCTION("""COMPUTED_VALUE"""),45877.41538622685)</f>
        <v>45877.41539</v>
      </c>
      <c r="H3359" s="14" t="str">
        <f>IFERROR(__xludf.DUMMYFUNCTION("""COMPUTED_VALUE"""),"Eci (SU)")</f>
        <v>Eci (SU)</v>
      </c>
      <c r="I3359" s="13" t="str">
        <f>IFERROR(__xludf.DUMMYFUNCTION("""COMPUTED_VALUE"""),"SELESAI (VIA PERMOHONAN)")</f>
        <v>SELESAI (VIA PERMOHONAN)</v>
      </c>
      <c r="J3359" s="17">
        <f>IFERROR(__xludf.DUMMYFUNCTION("""COMPUTED_VALUE"""),45880.44379172454)</f>
        <v>45880.44379</v>
      </c>
      <c r="K3359" s="13" t="str">
        <f>IFERROR(__xludf.DUMMYFUNCTION("""COMPUTED_VALUE"""),"Selesai")</f>
        <v>Selesai</v>
      </c>
      <c r="L3359" s="17">
        <f>IFERROR(__xludf.DUMMYFUNCTION("""COMPUTED_VALUE"""),45880.44379172454)</f>
        <v>45880.44379</v>
      </c>
      <c r="M3359" s="13"/>
      <c r="N3359" s="13" t="str">
        <f>IFERROR(__xludf.DUMMYFUNCTION("""COMPUTED_VALUE"""),"")</f>
        <v/>
      </c>
      <c r="O3359" s="13" t="str">
        <f t="shared" si="1"/>
        <v/>
      </c>
    </row>
    <row r="3360" ht="22.5" customHeight="1">
      <c r="B3360" s="13">
        <f>IFERROR(__xludf.DUMMYFUNCTION("""COMPUTED_VALUE"""),3355.0)</f>
        <v>3355</v>
      </c>
      <c r="C3360" s="13" t="str">
        <f>IFERROR(__xludf.DUMMYFUNCTION("""COMPUTED_VALUE"""),"B. 4883/ Beringin Raya")</f>
        <v>B. 4883/ Beringin Raya</v>
      </c>
      <c r="D3360" s="13" t="str">
        <f>IFERROR(__xludf.DUMMYFUNCTION("""COMPUTED_VALUE"""),"K/21/050825/1")</f>
        <v>K/21/050825/1</v>
      </c>
      <c r="E3360" s="14" t="str">
        <f>IFERROR(__xludf.DUMMYFUNCTION("""COMPUTED_VALUE"""),"Heri (BT)")</f>
        <v>Heri (BT)</v>
      </c>
      <c r="F3360" s="14" t="str">
        <f>IFERROR(__xludf.DUMMYFUNCTION("""COMPUTED_VALUE"""),"SELESAI (VIA PERMOHONAN)")</f>
        <v>SELESAI (VIA PERMOHONAN)</v>
      </c>
      <c r="G3360" s="17">
        <f>IFERROR(__xludf.DUMMYFUNCTION("""COMPUTED_VALUE"""),45877.4155187037)</f>
        <v>45877.41552</v>
      </c>
      <c r="H3360" s="14" t="str">
        <f>IFERROR(__xludf.DUMMYFUNCTION("""COMPUTED_VALUE"""),"Eci (SU)")</f>
        <v>Eci (SU)</v>
      </c>
      <c r="I3360" s="13" t="str">
        <f>IFERROR(__xludf.DUMMYFUNCTION("""COMPUTED_VALUE"""),"SELESAI (VIA PERMOHONAN)")</f>
        <v>SELESAI (VIA PERMOHONAN)</v>
      </c>
      <c r="J3360" s="17">
        <f>IFERROR(__xludf.DUMMYFUNCTION("""COMPUTED_VALUE"""),45877.66608575232)</f>
        <v>45877.66609</v>
      </c>
      <c r="K3360" s="13" t="str">
        <f>IFERROR(__xludf.DUMMYFUNCTION("""COMPUTED_VALUE"""),"Selesai")</f>
        <v>Selesai</v>
      </c>
      <c r="L3360" s="17">
        <f>IFERROR(__xludf.DUMMYFUNCTION("""COMPUTED_VALUE"""),45877.66608575232)</f>
        <v>45877.66609</v>
      </c>
      <c r="M3360" s="13"/>
      <c r="N3360" s="13" t="str">
        <f>IFERROR(__xludf.DUMMYFUNCTION("""COMPUTED_VALUE"""),"")</f>
        <v/>
      </c>
      <c r="O3360" s="13" t="str">
        <f t="shared" si="1"/>
        <v/>
      </c>
    </row>
    <row r="3361" ht="22.5" customHeight="1">
      <c r="B3361" s="13">
        <f>IFERROR(__xludf.DUMMYFUNCTION("""COMPUTED_VALUE"""),3356.0)</f>
        <v>3356</v>
      </c>
      <c r="C3361" s="13" t="str">
        <f>IFERROR(__xludf.DUMMYFUNCTION("""COMPUTED_VALUE"""),"M. 1124/ Pematang Wangi")</f>
        <v>M. 1124/ Pematang Wangi</v>
      </c>
      <c r="D3361" s="13" t="str">
        <f>IFERROR(__xludf.DUMMYFUNCTION("""COMPUTED_VALUE"""),"K/30/300725/1")</f>
        <v>K/30/300725/1</v>
      </c>
      <c r="E3361" s="14" t="str">
        <f>IFERROR(__xludf.DUMMYFUNCTION("""COMPUTED_VALUE"""),"Heri (BT)")</f>
        <v>Heri (BT)</v>
      </c>
      <c r="F3361" s="14" t="str">
        <f>IFERROR(__xludf.DUMMYFUNCTION("""COMPUTED_VALUE"""),"SELESAI (VIA PERMOHONAN)")</f>
        <v>SELESAI (VIA PERMOHONAN)</v>
      </c>
      <c r="G3361" s="17">
        <f>IFERROR(__xludf.DUMMYFUNCTION("""COMPUTED_VALUE"""),45877.41567829861)</f>
        <v>45877.41568</v>
      </c>
      <c r="H3361" s="14" t="str">
        <f>IFERROR(__xludf.DUMMYFUNCTION("""COMPUTED_VALUE"""),"Eci (SU)")</f>
        <v>Eci (SU)</v>
      </c>
      <c r="I3361" s="13" t="str">
        <f>IFERROR(__xludf.DUMMYFUNCTION("""COMPUTED_VALUE"""),"SELESAI (VIA PERMOHONAN)")</f>
        <v>SELESAI (VIA PERMOHONAN)</v>
      </c>
      <c r="J3361" s="17">
        <f>IFERROR(__xludf.DUMMYFUNCTION("""COMPUTED_VALUE"""),45877.66610578704)</f>
        <v>45877.66611</v>
      </c>
      <c r="K3361" s="13" t="str">
        <f>IFERROR(__xludf.DUMMYFUNCTION("""COMPUTED_VALUE"""),"Selesai")</f>
        <v>Selesai</v>
      </c>
      <c r="L3361" s="17">
        <f>IFERROR(__xludf.DUMMYFUNCTION("""COMPUTED_VALUE"""),45877.66610578704)</f>
        <v>45877.66611</v>
      </c>
      <c r="M3361" s="13"/>
      <c r="N3361" s="13" t="str">
        <f>IFERROR(__xludf.DUMMYFUNCTION("""COMPUTED_VALUE"""),"")</f>
        <v/>
      </c>
      <c r="O3361" s="13" t="str">
        <f t="shared" si="1"/>
        <v/>
      </c>
    </row>
    <row r="3362" ht="22.5" customHeight="1">
      <c r="B3362" s="13">
        <f>IFERROR(__xludf.DUMMYFUNCTION("""COMPUTED_VALUE"""),3357.0)</f>
        <v>3357</v>
      </c>
      <c r="C3362" s="13" t="str">
        <f>IFERROR(__xludf.DUMMYFUNCTION("""COMPUTED_VALUE"""),"M. 2405/ Negeri Olok Gading")</f>
        <v>M. 2405/ Negeri Olok Gading</v>
      </c>
      <c r="D3362" s="13" t="str">
        <f>IFERROR(__xludf.DUMMYFUNCTION("""COMPUTED_VALUE"""),"K/7/280725/1")</f>
        <v>K/7/280725/1</v>
      </c>
      <c r="E3362" s="14" t="str">
        <f>IFERROR(__xludf.DUMMYFUNCTION("""COMPUTED_VALUE"""),"Heri (BT)")</f>
        <v>Heri (BT)</v>
      </c>
      <c r="F3362" s="14" t="str">
        <f>IFERROR(__xludf.DUMMYFUNCTION("""COMPUTED_VALUE"""),"SELESAI (VIA PERMOHONAN)")</f>
        <v>SELESAI (VIA PERMOHONAN)</v>
      </c>
      <c r="G3362" s="17">
        <f>IFERROR(__xludf.DUMMYFUNCTION("""COMPUTED_VALUE"""),45877.41588460648)</f>
        <v>45877.41588</v>
      </c>
      <c r="H3362" s="14" t="str">
        <f>IFERROR(__xludf.DUMMYFUNCTION("""COMPUTED_VALUE"""),"Eci (SU)")</f>
        <v>Eci (SU)</v>
      </c>
      <c r="I3362" s="13" t="str">
        <f>IFERROR(__xludf.DUMMYFUNCTION("""COMPUTED_VALUE"""),"SELESAI (VIA PERMOHONAN)")</f>
        <v>SELESAI (VIA PERMOHONAN)</v>
      </c>
      <c r="J3362" s="17">
        <f>IFERROR(__xludf.DUMMYFUNCTION("""COMPUTED_VALUE"""),45877.66610578704)</f>
        <v>45877.66611</v>
      </c>
      <c r="K3362" s="13" t="str">
        <f>IFERROR(__xludf.DUMMYFUNCTION("""COMPUTED_VALUE"""),"Selesai")</f>
        <v>Selesai</v>
      </c>
      <c r="L3362" s="17">
        <f>IFERROR(__xludf.DUMMYFUNCTION("""COMPUTED_VALUE"""),45877.66610578704)</f>
        <v>45877.66611</v>
      </c>
      <c r="M3362" s="13"/>
      <c r="N3362" s="13" t="str">
        <f>IFERROR(__xludf.DUMMYFUNCTION("""COMPUTED_VALUE"""),"")</f>
        <v/>
      </c>
      <c r="O3362" s="13" t="str">
        <f t="shared" si="1"/>
        <v/>
      </c>
    </row>
    <row r="3363" ht="22.5" customHeight="1">
      <c r="B3363" s="13">
        <f>IFERROR(__xludf.DUMMYFUNCTION("""COMPUTED_VALUE"""),3358.0)</f>
        <v>3358</v>
      </c>
      <c r="C3363" s="13" t="str">
        <f>IFERROR(__xludf.DUMMYFUNCTION("""COMPUTED_VALUE"""),"M. 2614/ Pinang Jaya")</f>
        <v>M. 2614/ Pinang Jaya</v>
      </c>
      <c r="D3363" s="13" t="str">
        <f>IFERROR(__xludf.DUMMYFUNCTION("""COMPUTED_VALUE"""),"K/30/180725/1")</f>
        <v>K/30/180725/1</v>
      </c>
      <c r="E3363" s="14" t="str">
        <f>IFERROR(__xludf.DUMMYFUNCTION("""COMPUTED_VALUE"""),"Heri (BT)")</f>
        <v>Heri (BT)</v>
      </c>
      <c r="F3363" s="14" t="str">
        <f>IFERROR(__xludf.DUMMYFUNCTION("""COMPUTED_VALUE"""),"SELESAI (VIA PERMOHONAN)")</f>
        <v>SELESAI (VIA PERMOHONAN)</v>
      </c>
      <c r="G3363" s="17">
        <f>IFERROR(__xludf.DUMMYFUNCTION("""COMPUTED_VALUE"""),45877.41604304398)</f>
        <v>45877.41604</v>
      </c>
      <c r="H3363" s="14" t="str">
        <f>IFERROR(__xludf.DUMMYFUNCTION("""COMPUTED_VALUE"""),"Eci (SU)")</f>
        <v>Eci (SU)</v>
      </c>
      <c r="I3363" s="13" t="str">
        <f>IFERROR(__xludf.DUMMYFUNCTION("""COMPUTED_VALUE"""),"SELESAI (VIA PERMOHONAN)")</f>
        <v>SELESAI (VIA PERMOHONAN)</v>
      </c>
      <c r="J3363" s="17">
        <f>IFERROR(__xludf.DUMMYFUNCTION("""COMPUTED_VALUE"""),45877.66610578704)</f>
        <v>45877.66611</v>
      </c>
      <c r="K3363" s="13" t="str">
        <f>IFERROR(__xludf.DUMMYFUNCTION("""COMPUTED_VALUE"""),"Selesai")</f>
        <v>Selesai</v>
      </c>
      <c r="L3363" s="17">
        <f>IFERROR(__xludf.DUMMYFUNCTION("""COMPUTED_VALUE"""),45877.66610578704)</f>
        <v>45877.66611</v>
      </c>
      <c r="M3363" s="13"/>
      <c r="N3363" s="13" t="str">
        <f>IFERROR(__xludf.DUMMYFUNCTION("""COMPUTED_VALUE"""),"")</f>
        <v/>
      </c>
      <c r="O3363" s="13" t="str">
        <f t="shared" si="1"/>
        <v/>
      </c>
    </row>
    <row r="3364" ht="22.5" customHeight="1">
      <c r="B3364" s="13">
        <f>IFERROR(__xludf.DUMMYFUNCTION("""COMPUTED_VALUE"""),3359.0)</f>
        <v>3359</v>
      </c>
      <c r="C3364" s="13" t="str">
        <f>IFERROR(__xludf.DUMMYFUNCTION("""COMPUTED_VALUE"""),"M. 789/ Sepang Jaya")</f>
        <v>M. 789/ Sepang Jaya</v>
      </c>
      <c r="D3364" s="13" t="str">
        <f>IFERROR(__xludf.DUMMYFUNCTION("""COMPUTED_VALUE"""),"K/23/210725/1")</f>
        <v>K/23/210725/1</v>
      </c>
      <c r="E3364" s="14" t="str">
        <f>IFERROR(__xludf.DUMMYFUNCTION("""COMPUTED_VALUE"""),"Heri (BT)")</f>
        <v>Heri (BT)</v>
      </c>
      <c r="F3364" s="14" t="str">
        <f>IFERROR(__xludf.DUMMYFUNCTION("""COMPUTED_VALUE"""),"SELESAI (VIA PERMOHONAN)")</f>
        <v>SELESAI (VIA PERMOHONAN)</v>
      </c>
      <c r="G3364" s="17">
        <f>IFERROR(__xludf.DUMMYFUNCTION("""COMPUTED_VALUE"""),45877.41620703704)</f>
        <v>45877.41621</v>
      </c>
      <c r="H3364" s="14" t="str">
        <f>IFERROR(__xludf.DUMMYFUNCTION("""COMPUTED_VALUE"""),"Eci (SU)")</f>
        <v>Eci (SU)</v>
      </c>
      <c r="I3364" s="13" t="str">
        <f>IFERROR(__xludf.DUMMYFUNCTION("""COMPUTED_VALUE"""),"SELESAI (VIA PERMOHONAN)")</f>
        <v>SELESAI (VIA PERMOHONAN)</v>
      </c>
      <c r="J3364" s="17">
        <f>IFERROR(__xludf.DUMMYFUNCTION("""COMPUTED_VALUE"""),45877.66610578704)</f>
        <v>45877.66611</v>
      </c>
      <c r="K3364" s="13" t="str">
        <f>IFERROR(__xludf.DUMMYFUNCTION("""COMPUTED_VALUE"""),"Selesai")</f>
        <v>Selesai</v>
      </c>
      <c r="L3364" s="17">
        <f>IFERROR(__xludf.DUMMYFUNCTION("""COMPUTED_VALUE"""),45877.66610578704)</f>
        <v>45877.66611</v>
      </c>
      <c r="M3364" s="13"/>
      <c r="N3364" s="13" t="str">
        <f>IFERROR(__xludf.DUMMYFUNCTION("""COMPUTED_VALUE"""),"")</f>
        <v/>
      </c>
      <c r="O3364" s="13" t="str">
        <f t="shared" si="1"/>
        <v/>
      </c>
    </row>
    <row r="3365" ht="22.5" customHeight="1">
      <c r="B3365" s="13">
        <f>IFERROR(__xludf.DUMMYFUNCTION("""COMPUTED_VALUE"""),3360.0)</f>
        <v>3360</v>
      </c>
      <c r="C3365" s="13" t="str">
        <f>IFERROR(__xludf.DUMMYFUNCTION("""COMPUTED_VALUE"""),"M. 450/ Kota Sepang")</f>
        <v>M. 450/ Kota Sepang</v>
      </c>
      <c r="D3365" s="13" t="str">
        <f>IFERROR(__xludf.DUMMYFUNCTION("""COMPUTED_VALUE"""),"K/3/180725/1")</f>
        <v>K/3/180725/1</v>
      </c>
      <c r="E3365" s="14" t="str">
        <f>IFERROR(__xludf.DUMMYFUNCTION("""COMPUTED_VALUE"""),"Heri (BT)")</f>
        <v>Heri (BT)</v>
      </c>
      <c r="F3365" s="14" t="str">
        <f>IFERROR(__xludf.DUMMYFUNCTION("""COMPUTED_VALUE"""),"SELESAI (VIA PERMOHONAN)")</f>
        <v>SELESAI (VIA PERMOHONAN)</v>
      </c>
      <c r="G3365" s="17">
        <f>IFERROR(__xludf.DUMMYFUNCTION("""COMPUTED_VALUE"""),45877.41636502315)</f>
        <v>45877.41637</v>
      </c>
      <c r="H3365" s="14" t="str">
        <f>IFERROR(__xludf.DUMMYFUNCTION("""COMPUTED_VALUE"""),"Eci (SU)")</f>
        <v>Eci (SU)</v>
      </c>
      <c r="I3365" s="13" t="str">
        <f>IFERROR(__xludf.DUMMYFUNCTION("""COMPUTED_VALUE"""),"SELESAI (VIA PERMOHONAN)")</f>
        <v>SELESAI (VIA PERMOHONAN)</v>
      </c>
      <c r="J3365" s="17">
        <f>IFERROR(__xludf.DUMMYFUNCTION("""COMPUTED_VALUE"""),45877.66610578704)</f>
        <v>45877.66611</v>
      </c>
      <c r="K3365" s="13" t="str">
        <f>IFERROR(__xludf.DUMMYFUNCTION("""COMPUTED_VALUE"""),"Selesai")</f>
        <v>Selesai</v>
      </c>
      <c r="L3365" s="17">
        <f>IFERROR(__xludf.DUMMYFUNCTION("""COMPUTED_VALUE"""),45877.66610578704)</f>
        <v>45877.66611</v>
      </c>
      <c r="M3365" s="13"/>
      <c r="N3365" s="13" t="str">
        <f>IFERROR(__xludf.DUMMYFUNCTION("""COMPUTED_VALUE"""),"")</f>
        <v/>
      </c>
      <c r="O3365" s="13" t="str">
        <f t="shared" si="1"/>
        <v/>
      </c>
    </row>
    <row r="3366" ht="22.5" customHeight="1">
      <c r="B3366" s="13">
        <f>IFERROR(__xludf.DUMMYFUNCTION("""COMPUTED_VALUE"""),3361.0)</f>
        <v>3361</v>
      </c>
      <c r="C3366" s="13" t="str">
        <f>IFERROR(__xludf.DUMMYFUNCTION("""COMPUTED_VALUE"""),"M. 5624/ Langkapura")</f>
        <v>M. 5624/ Langkapura</v>
      </c>
      <c r="D3366" s="13" t="str">
        <f>IFERROR(__xludf.DUMMYFUNCTION("""COMPUTED_VALUE"""),"K/9/160725/2")</f>
        <v>K/9/160725/2</v>
      </c>
      <c r="E3366" s="14" t="str">
        <f>IFERROR(__xludf.DUMMYFUNCTION("""COMPUTED_VALUE"""),"Afriza (BT)")</f>
        <v>Afriza (BT)</v>
      </c>
      <c r="F3366" s="14" t="str">
        <f>IFERROR(__xludf.DUMMYFUNCTION("""COMPUTED_VALUE"""),"SELESAI (VIA PERMOHONAN)")</f>
        <v>SELESAI (VIA PERMOHONAN)</v>
      </c>
      <c r="G3366" s="17">
        <f>IFERROR(__xludf.DUMMYFUNCTION("""COMPUTED_VALUE"""),45880.46182891204)</f>
        <v>45880.46183</v>
      </c>
      <c r="H3366" s="14" t="str">
        <f>IFERROR(__xludf.DUMMYFUNCTION("""COMPUTED_VALUE"""),"Eci (SU)")</f>
        <v>Eci (SU)</v>
      </c>
      <c r="I3366" s="13" t="str">
        <f>IFERROR(__xludf.DUMMYFUNCTION("""COMPUTED_VALUE"""),"SELESAI (VIA PERMOHONAN)")</f>
        <v>SELESAI (VIA PERMOHONAN)</v>
      </c>
      <c r="J3366" s="17">
        <f>IFERROR(__xludf.DUMMYFUNCTION("""COMPUTED_VALUE"""),45880.690513043985)</f>
        <v>45880.69051</v>
      </c>
      <c r="K3366" s="13" t="str">
        <f>IFERROR(__xludf.DUMMYFUNCTION("""COMPUTED_VALUE"""),"Selesai")</f>
        <v>Selesai</v>
      </c>
      <c r="L3366" s="17">
        <f>IFERROR(__xludf.DUMMYFUNCTION("""COMPUTED_VALUE"""),45880.690513043985)</f>
        <v>45880.69051</v>
      </c>
      <c r="M3366" s="13"/>
      <c r="N3366" s="13" t="str">
        <f>IFERROR(__xludf.DUMMYFUNCTION("""COMPUTED_VALUE"""),"")</f>
        <v/>
      </c>
      <c r="O3366" s="13" t="str">
        <f t="shared" si="1"/>
        <v/>
      </c>
    </row>
    <row r="3367" ht="22.5" customHeight="1">
      <c r="B3367" s="13">
        <f>IFERROR(__xludf.DUMMYFUNCTION("""COMPUTED_VALUE"""),3362.0)</f>
        <v>3362</v>
      </c>
      <c r="C3367" s="13" t="str">
        <f>IFERROR(__xludf.DUMMYFUNCTION("""COMPUTED_VALUE"""),"M. 2539/ Sumber Agung")</f>
        <v>M. 2539/ Sumber Agung</v>
      </c>
      <c r="D3367" s="13" t="str">
        <f>IFERROR(__xludf.DUMMYFUNCTION("""COMPUTED_VALUE"""),"K/22/310725/1")</f>
        <v>K/22/310725/1</v>
      </c>
      <c r="E3367" s="14" t="str">
        <f>IFERROR(__xludf.DUMMYFUNCTION("""COMPUTED_VALUE"""),"Afriza (BT)")</f>
        <v>Afriza (BT)</v>
      </c>
      <c r="F3367" s="14" t="str">
        <f>IFERROR(__xludf.DUMMYFUNCTION("""COMPUTED_VALUE"""),"SELESAI (VIA PERMOHONAN)")</f>
        <v>SELESAI (VIA PERMOHONAN)</v>
      </c>
      <c r="G3367" s="17">
        <f>IFERROR(__xludf.DUMMYFUNCTION("""COMPUTED_VALUE"""),45880.4619919213)</f>
        <v>45880.46199</v>
      </c>
      <c r="H3367" s="14" t="str">
        <f>IFERROR(__xludf.DUMMYFUNCTION("""COMPUTED_VALUE"""),"Eci (SU)")</f>
        <v>Eci (SU)</v>
      </c>
      <c r="I3367" s="13" t="str">
        <f>IFERROR(__xludf.DUMMYFUNCTION("""COMPUTED_VALUE"""),"SELESAI (VIA PERMOHONAN)")</f>
        <v>SELESAI (VIA PERMOHONAN)</v>
      </c>
      <c r="J3367" s="17">
        <f>IFERROR(__xludf.DUMMYFUNCTION("""COMPUTED_VALUE"""),45880.690421377316)</f>
        <v>45880.69042</v>
      </c>
      <c r="K3367" s="13" t="str">
        <f>IFERROR(__xludf.DUMMYFUNCTION("""COMPUTED_VALUE"""),"Selesai")</f>
        <v>Selesai</v>
      </c>
      <c r="L3367" s="17">
        <f>IFERROR(__xludf.DUMMYFUNCTION("""COMPUTED_VALUE"""),45880.690421377316)</f>
        <v>45880.69042</v>
      </c>
      <c r="M3367" s="13"/>
      <c r="N3367" s="13" t="str">
        <f>IFERROR(__xludf.DUMMYFUNCTION("""COMPUTED_VALUE"""),"")</f>
        <v/>
      </c>
      <c r="O3367" s="13" t="str">
        <f t="shared" si="1"/>
        <v/>
      </c>
    </row>
    <row r="3368" ht="22.5" customHeight="1">
      <c r="B3368" s="13">
        <f>IFERROR(__xludf.DUMMYFUNCTION("""COMPUTED_VALUE"""),3363.0)</f>
        <v>3363</v>
      </c>
      <c r="C3368" s="13" t="str">
        <f>IFERROR(__xludf.DUMMYFUNCTION("""COMPUTED_VALUE"""),"B. 2407/ Campang Jaya")</f>
        <v>B. 2407/ Campang Jaya</v>
      </c>
      <c r="D3368" s="13" t="str">
        <f>IFERROR(__xludf.DUMMYFUNCTION("""COMPUTED_VALUE"""),"K/1/050825/1")</f>
        <v>K/1/050825/1</v>
      </c>
      <c r="E3368" s="14" t="str">
        <f>IFERROR(__xludf.DUMMYFUNCTION("""COMPUTED_VALUE"""),"Afriza (BT)")</f>
        <v>Afriza (BT)</v>
      </c>
      <c r="F3368" s="14" t="str">
        <f>IFERROR(__xludf.DUMMYFUNCTION("""COMPUTED_VALUE"""),"SELESAI (VIA PERMOHONAN)")</f>
        <v>SELESAI (VIA PERMOHONAN)</v>
      </c>
      <c r="G3368" s="17">
        <f>IFERROR(__xludf.DUMMYFUNCTION("""COMPUTED_VALUE"""),45880.4620233912)</f>
        <v>45880.46202</v>
      </c>
      <c r="H3368" s="14" t="str">
        <f>IFERROR(__xludf.DUMMYFUNCTION("""COMPUTED_VALUE"""),"Eci (SU)")</f>
        <v>Eci (SU)</v>
      </c>
      <c r="I3368" s="13" t="str">
        <f>IFERROR(__xludf.DUMMYFUNCTION("""COMPUTED_VALUE"""),"SELESAI (VIA PERMOHONAN)")</f>
        <v>SELESAI (VIA PERMOHONAN)</v>
      </c>
      <c r="J3368" s="17">
        <f>IFERROR(__xludf.DUMMYFUNCTION("""COMPUTED_VALUE"""),45881.58463333333)</f>
        <v>45881.58463</v>
      </c>
      <c r="K3368" s="13" t="str">
        <f>IFERROR(__xludf.DUMMYFUNCTION("""COMPUTED_VALUE"""),"Selesai")</f>
        <v>Selesai</v>
      </c>
      <c r="L3368" s="17">
        <f>IFERROR(__xludf.DUMMYFUNCTION("""COMPUTED_VALUE"""),45881.58463333333)</f>
        <v>45881.58463</v>
      </c>
      <c r="M3368" s="13"/>
      <c r="N3368" s="13" t="str">
        <f>IFERROR(__xludf.DUMMYFUNCTION("""COMPUTED_VALUE"""),"")</f>
        <v/>
      </c>
      <c r="O3368" s="13" t="str">
        <f t="shared" si="1"/>
        <v/>
      </c>
    </row>
    <row r="3369" ht="22.5" customHeight="1">
      <c r="B3369" s="13">
        <f>IFERROR(__xludf.DUMMYFUNCTION("""COMPUTED_VALUE"""),3364.0)</f>
        <v>3364</v>
      </c>
      <c r="C3369" s="13" t="str">
        <f>IFERROR(__xludf.DUMMYFUNCTION("""COMPUTED_VALUE"""),"M. 11772/ Tanjung BAru")</f>
        <v>M. 11772/ Tanjung BAru</v>
      </c>
      <c r="D3369" s="13" t="str">
        <f>IFERROR(__xludf.DUMMYFUNCTION("""COMPUTED_VALUE"""),"K/39/160525/1")</f>
        <v>K/39/160525/1</v>
      </c>
      <c r="E3369" s="14" t="str">
        <f>IFERROR(__xludf.DUMMYFUNCTION("""COMPUTED_VALUE"""),"Afriza (BT)")</f>
        <v>Afriza (BT)</v>
      </c>
      <c r="F3369" s="14" t="str">
        <f>IFERROR(__xludf.DUMMYFUNCTION("""COMPUTED_VALUE"""),"SELESAI (VIA PERMOHONAN)")</f>
        <v>SELESAI (VIA PERMOHONAN)</v>
      </c>
      <c r="G3369" s="17">
        <f>IFERROR(__xludf.DUMMYFUNCTION("""COMPUTED_VALUE"""),45880.46215979167)</f>
        <v>45880.46216</v>
      </c>
      <c r="H3369" s="14" t="str">
        <f>IFERROR(__xludf.DUMMYFUNCTION("""COMPUTED_VALUE"""),"Eci (SU)")</f>
        <v>Eci (SU)</v>
      </c>
      <c r="I3369" s="13" t="str">
        <f>IFERROR(__xludf.DUMMYFUNCTION("""COMPUTED_VALUE"""),"SELESAI (VIA PERMOHONAN)")</f>
        <v>SELESAI (VIA PERMOHONAN)</v>
      </c>
      <c r="J3369" s="17">
        <f>IFERROR(__xludf.DUMMYFUNCTION("""COMPUTED_VALUE"""),45881.46739076389)</f>
        <v>45881.46739</v>
      </c>
      <c r="K3369" s="13" t="str">
        <f>IFERROR(__xludf.DUMMYFUNCTION("""COMPUTED_VALUE"""),"Selesai")</f>
        <v>Selesai</v>
      </c>
      <c r="L3369" s="17">
        <f>IFERROR(__xludf.DUMMYFUNCTION("""COMPUTED_VALUE"""),45881.46739076389)</f>
        <v>45881.46739</v>
      </c>
      <c r="M3369" s="13"/>
      <c r="N3369" s="13" t="str">
        <f>IFERROR(__xludf.DUMMYFUNCTION("""COMPUTED_VALUE"""),"")</f>
        <v/>
      </c>
      <c r="O3369" s="13" t="str">
        <f t="shared" si="1"/>
        <v/>
      </c>
    </row>
    <row r="3370" ht="22.5" customHeight="1">
      <c r="B3370" s="13">
        <f>IFERROR(__xludf.DUMMYFUNCTION("""COMPUTED_VALUE"""),3365.0)</f>
        <v>3365</v>
      </c>
      <c r="C3370" s="13" t="str">
        <f>IFERROR(__xludf.DUMMYFUNCTION("""COMPUTED_VALUE"""),"HGB 1595/BUMI KEDAMAIAN")</f>
        <v>HGB 1595/BUMI KEDAMAIAN</v>
      </c>
      <c r="D3370" s="13" t="str">
        <f>IFERROR(__xludf.DUMMYFUNCTION("""COMPUTED_VALUE"""),"L/3/290725/1")</f>
        <v>L/3/290725/1</v>
      </c>
      <c r="E3370" s="14" t="str">
        <f>IFERROR(__xludf.DUMMYFUNCTION("""COMPUTED_VALUE"""),"Afriza (BT)")</f>
        <v>Afriza (BT)</v>
      </c>
      <c r="F3370" s="14" t="str">
        <f>IFERROR(__xludf.DUMMYFUNCTION("""COMPUTED_VALUE"""),"SELESAI (VIA PERMOHONAN)")</f>
        <v>SELESAI (VIA PERMOHONAN)</v>
      </c>
      <c r="G3370" s="17">
        <f>IFERROR(__xludf.DUMMYFUNCTION("""COMPUTED_VALUE"""),45880.46227395833)</f>
        <v>45880.46227</v>
      </c>
      <c r="H3370" s="14" t="str">
        <f>IFERROR(__xludf.DUMMYFUNCTION("""COMPUTED_VALUE"""),"Eci (SU)")</f>
        <v>Eci (SU)</v>
      </c>
      <c r="I3370" s="13" t="str">
        <f>IFERROR(__xludf.DUMMYFUNCTION("""COMPUTED_VALUE"""),"SELESAI (VIA PERMOHONAN)")</f>
        <v>SELESAI (VIA PERMOHONAN)</v>
      </c>
      <c r="J3370" s="17">
        <f>IFERROR(__xludf.DUMMYFUNCTION("""COMPUTED_VALUE"""),45881.58460899306)</f>
        <v>45881.58461</v>
      </c>
      <c r="K3370" s="13" t="str">
        <f>IFERROR(__xludf.DUMMYFUNCTION("""COMPUTED_VALUE"""),"Selesai")</f>
        <v>Selesai</v>
      </c>
      <c r="L3370" s="17">
        <f>IFERROR(__xludf.DUMMYFUNCTION("""COMPUTED_VALUE"""),45881.58460899306)</f>
        <v>45881.58461</v>
      </c>
      <c r="M3370" s="13"/>
      <c r="N3370" s="13" t="str">
        <f>IFERROR(__xludf.DUMMYFUNCTION("""COMPUTED_VALUE"""),"")</f>
        <v/>
      </c>
      <c r="O3370" s="13" t="str">
        <f t="shared" si="1"/>
        <v/>
      </c>
    </row>
    <row r="3371" ht="22.5" customHeight="1">
      <c r="B3371" s="13">
        <f>IFERROR(__xludf.DUMMYFUNCTION("""COMPUTED_VALUE"""),3366.0)</f>
        <v>3366</v>
      </c>
      <c r="C3371" s="13" t="str">
        <f>IFERROR(__xludf.DUMMYFUNCTION("""COMPUTED_VALUE"""),"HM 12784/RAJABASA")</f>
        <v>HM 12784/RAJABASA</v>
      </c>
      <c r="D3371" s="13" t="str">
        <f>IFERROR(__xludf.DUMMYFUNCTION("""COMPUTED_VALUE"""),"L/7/290725/1")</f>
        <v>L/7/290725/1</v>
      </c>
      <c r="E3371" s="14" t="str">
        <f>IFERROR(__xludf.DUMMYFUNCTION("""COMPUTED_VALUE"""),"Afriza (BT)")</f>
        <v>Afriza (BT)</v>
      </c>
      <c r="F3371" s="14" t="str">
        <f>IFERROR(__xludf.DUMMYFUNCTION("""COMPUTED_VALUE"""),"SELESAI (VIA PERMOHONAN)")</f>
        <v>SELESAI (VIA PERMOHONAN)</v>
      </c>
      <c r="G3371" s="17">
        <f>IFERROR(__xludf.DUMMYFUNCTION("""COMPUTED_VALUE"""),45880.462459884264)</f>
        <v>45880.46246</v>
      </c>
      <c r="H3371" s="14" t="str">
        <f>IFERROR(__xludf.DUMMYFUNCTION("""COMPUTED_VALUE"""),"Eci (SU)")</f>
        <v>Eci (SU)</v>
      </c>
      <c r="I3371" s="13" t="str">
        <f>IFERROR(__xludf.DUMMYFUNCTION("""COMPUTED_VALUE"""),"SELESAI (VIA PERMOHONAN)")</f>
        <v>SELESAI (VIA PERMOHONAN)</v>
      </c>
      <c r="J3371" s="17">
        <f>IFERROR(__xludf.DUMMYFUNCTION("""COMPUTED_VALUE"""),45880.69024877315)</f>
        <v>45880.69025</v>
      </c>
      <c r="K3371" s="13" t="str">
        <f>IFERROR(__xludf.DUMMYFUNCTION("""COMPUTED_VALUE"""),"Selesai")</f>
        <v>Selesai</v>
      </c>
      <c r="L3371" s="17">
        <f>IFERROR(__xludf.DUMMYFUNCTION("""COMPUTED_VALUE"""),45880.69024877315)</f>
        <v>45880.69025</v>
      </c>
      <c r="M3371" s="13"/>
      <c r="N3371" s="13" t="str">
        <f>IFERROR(__xludf.DUMMYFUNCTION("""COMPUTED_VALUE"""),"")</f>
        <v/>
      </c>
      <c r="O3371" s="13" t="str">
        <f t="shared" si="1"/>
        <v/>
      </c>
    </row>
    <row r="3372" ht="22.5" customHeight="1">
      <c r="B3372" s="13">
        <f>IFERROR(__xludf.DUMMYFUNCTION("""COMPUTED_VALUE"""),3367.0)</f>
        <v>3367</v>
      </c>
      <c r="C3372" s="13" t="str">
        <f>IFERROR(__xludf.DUMMYFUNCTION("""COMPUTED_VALUE"""),"HM 2726/KEMILING PERMAI")</f>
        <v>HM 2726/KEMILING PERMAI</v>
      </c>
      <c r="D3372" s="13" t="str">
        <f>IFERROR(__xludf.DUMMYFUNCTION("""COMPUTED_VALUE"""),"L/10/040825/1")</f>
        <v>L/10/040825/1</v>
      </c>
      <c r="E3372" s="14" t="str">
        <f>IFERROR(__xludf.DUMMYFUNCTION("""COMPUTED_VALUE"""),"Afriza (BT)")</f>
        <v>Afriza (BT)</v>
      </c>
      <c r="F3372" s="14" t="str">
        <f>IFERROR(__xludf.DUMMYFUNCTION("""COMPUTED_VALUE"""),"SELESAI (VIA PERMOHONAN)")</f>
        <v>SELESAI (VIA PERMOHONAN)</v>
      </c>
      <c r="G3372" s="17">
        <f>IFERROR(__xludf.DUMMYFUNCTION("""COMPUTED_VALUE"""),45880.462599583334)</f>
        <v>45880.4626</v>
      </c>
      <c r="H3372" s="14" t="str">
        <f>IFERROR(__xludf.DUMMYFUNCTION("""COMPUTED_VALUE"""),"Eci (SU)")</f>
        <v>Eci (SU)</v>
      </c>
      <c r="I3372" s="13" t="str">
        <f>IFERROR(__xludf.DUMMYFUNCTION("""COMPUTED_VALUE"""),"SELESAI (VIA PERMOHONAN)")</f>
        <v>SELESAI (VIA PERMOHONAN)</v>
      </c>
      <c r="J3372" s="17">
        <f>IFERROR(__xludf.DUMMYFUNCTION("""COMPUTED_VALUE"""),45880.69032605324)</f>
        <v>45880.69033</v>
      </c>
      <c r="K3372" s="13" t="str">
        <f>IFERROR(__xludf.DUMMYFUNCTION("""COMPUTED_VALUE"""),"Selesai")</f>
        <v>Selesai</v>
      </c>
      <c r="L3372" s="17">
        <f>IFERROR(__xludf.DUMMYFUNCTION("""COMPUTED_VALUE"""),45880.69032605324)</f>
        <v>45880.69033</v>
      </c>
      <c r="M3372" s="13"/>
      <c r="N3372" s="13" t="str">
        <f>IFERROR(__xludf.DUMMYFUNCTION("""COMPUTED_VALUE"""),"")</f>
        <v/>
      </c>
      <c r="O3372" s="13" t="str">
        <f t="shared" si="1"/>
        <v/>
      </c>
    </row>
    <row r="3373" ht="22.5" customHeight="1">
      <c r="B3373" s="13">
        <f>IFERROR(__xludf.DUMMYFUNCTION("""COMPUTED_VALUE"""),3368.0)</f>
        <v>3368</v>
      </c>
      <c r="C3373" s="13" t="str">
        <f>IFERROR(__xludf.DUMMYFUNCTION("""COMPUTED_VALUE"""),"HGB 1366/PINANG JAYA")</f>
        <v>HGB 1366/PINANG JAYA</v>
      </c>
      <c r="D3373" s="13" t="str">
        <f>IFERROR(__xludf.DUMMYFUNCTION("""COMPUTED_VALUE"""),"L/16/290725/1")</f>
        <v>L/16/290725/1</v>
      </c>
      <c r="E3373" s="14" t="str">
        <f>IFERROR(__xludf.DUMMYFUNCTION("""COMPUTED_VALUE"""),"Afriza (BT)")</f>
        <v>Afriza (BT)</v>
      </c>
      <c r="F3373" s="14" t="str">
        <f>IFERROR(__xludf.DUMMYFUNCTION("""COMPUTED_VALUE"""),"SELESAI (VIA PERMOHONAN)")</f>
        <v>SELESAI (VIA PERMOHONAN)</v>
      </c>
      <c r="G3373" s="17">
        <f>IFERROR(__xludf.DUMMYFUNCTION("""COMPUTED_VALUE"""),45880.46271177083)</f>
        <v>45880.46271</v>
      </c>
      <c r="H3373" s="14" t="str">
        <f>IFERROR(__xludf.DUMMYFUNCTION("""COMPUTED_VALUE"""),"Eci (SU)")</f>
        <v>Eci (SU)</v>
      </c>
      <c r="I3373" s="13" t="str">
        <f>IFERROR(__xludf.DUMMYFUNCTION("""COMPUTED_VALUE"""),"SELESAI (VIA PERMOHONAN)")</f>
        <v>SELESAI (VIA PERMOHONAN)</v>
      </c>
      <c r="J3373" s="17">
        <f>IFERROR(__xludf.DUMMYFUNCTION("""COMPUTED_VALUE"""),45881.58450548611)</f>
        <v>45881.58451</v>
      </c>
      <c r="K3373" s="13" t="str">
        <f>IFERROR(__xludf.DUMMYFUNCTION("""COMPUTED_VALUE"""),"Selesai")</f>
        <v>Selesai</v>
      </c>
      <c r="L3373" s="17">
        <f>IFERROR(__xludf.DUMMYFUNCTION("""COMPUTED_VALUE"""),45881.58450548611)</f>
        <v>45881.58451</v>
      </c>
      <c r="M3373" s="13"/>
      <c r="N3373" s="13" t="str">
        <f>IFERROR(__xludf.DUMMYFUNCTION("""COMPUTED_VALUE"""),"")</f>
        <v/>
      </c>
      <c r="O3373" s="13" t="str">
        <f t="shared" si="1"/>
        <v/>
      </c>
    </row>
    <row r="3374" ht="22.5" customHeight="1">
      <c r="B3374" s="13">
        <f>IFERROR(__xludf.DUMMYFUNCTION("""COMPUTED_VALUE"""),3369.0)</f>
        <v>3369</v>
      </c>
      <c r="C3374" s="13" t="str">
        <f>IFERROR(__xludf.DUMMYFUNCTION("""COMPUTED_VALUE"""),"HM 608/PWH")</f>
        <v>HM 608/PWH</v>
      </c>
      <c r="D3374" s="13" t="str">
        <f>IFERROR(__xludf.DUMMYFUNCTION("""COMPUTED_VALUE"""),"L/4/010825/1")</f>
        <v>L/4/010825/1</v>
      </c>
      <c r="E3374" s="14" t="str">
        <f>IFERROR(__xludf.DUMMYFUNCTION("""COMPUTED_VALUE"""),"Afriza (BT)")</f>
        <v>Afriza (BT)</v>
      </c>
      <c r="F3374" s="14" t="str">
        <f>IFERROR(__xludf.DUMMYFUNCTION("""COMPUTED_VALUE"""),"SELESAI (VIA PERMOHONAN)")</f>
        <v>SELESAI (VIA PERMOHONAN)</v>
      </c>
      <c r="G3374" s="17">
        <f>IFERROR(__xludf.DUMMYFUNCTION("""COMPUTED_VALUE"""),45880.46285326389)</f>
        <v>45880.46285</v>
      </c>
      <c r="H3374" s="14" t="str">
        <f>IFERROR(__xludf.DUMMYFUNCTION("""COMPUTED_VALUE"""),"Eci (SU)")</f>
        <v>Eci (SU)</v>
      </c>
      <c r="I3374" s="13" t="str">
        <f>IFERROR(__xludf.DUMMYFUNCTION("""COMPUTED_VALUE"""),"SELESAI (VIA PERMOHONAN)")</f>
        <v>SELESAI (VIA PERMOHONAN)</v>
      </c>
      <c r="J3374" s="17">
        <f>IFERROR(__xludf.DUMMYFUNCTION("""COMPUTED_VALUE"""),45880.69023421296)</f>
        <v>45880.69023</v>
      </c>
      <c r="K3374" s="13" t="str">
        <f>IFERROR(__xludf.DUMMYFUNCTION("""COMPUTED_VALUE"""),"Selesai")</f>
        <v>Selesai</v>
      </c>
      <c r="L3374" s="17">
        <f>IFERROR(__xludf.DUMMYFUNCTION("""COMPUTED_VALUE"""),45880.69023421296)</f>
        <v>45880.69023</v>
      </c>
      <c r="M3374" s="13"/>
      <c r="N3374" s="13" t="str">
        <f>IFERROR(__xludf.DUMMYFUNCTION("""COMPUTED_VALUE"""),"")</f>
        <v/>
      </c>
      <c r="O3374" s="13" t="str">
        <f t="shared" si="1"/>
        <v/>
      </c>
    </row>
    <row r="3375" ht="22.5" customHeight="1">
      <c r="B3375" s="13">
        <f>IFERROR(__xludf.DUMMYFUNCTION("""COMPUTED_VALUE"""),3370.0)</f>
        <v>3370</v>
      </c>
      <c r="C3375" s="13" t="str">
        <f>IFERROR(__xludf.DUMMYFUNCTION("""COMPUTED_VALUE"""),"M. 83/KETAPANG")</f>
        <v>M. 83/KETAPANG</v>
      </c>
      <c r="D3375" s="13" t="str">
        <f>IFERROR(__xludf.DUMMYFUNCTION("""COMPUTED_VALUE"""),"K/6/010825/1")</f>
        <v>K/6/010825/1</v>
      </c>
      <c r="E3375" s="14" t="str">
        <f>IFERROR(__xludf.DUMMYFUNCTION("""COMPUTED_VALUE"""),"Heri (BT)")</f>
        <v>Heri (BT)</v>
      </c>
      <c r="F3375" s="14" t="str">
        <f>IFERROR(__xludf.DUMMYFUNCTION("""COMPUTED_VALUE"""),"SELESAI (VIA PERMOHONAN)")</f>
        <v>SELESAI (VIA PERMOHONAN)</v>
      </c>
      <c r="G3375" s="17">
        <f>IFERROR(__xludf.DUMMYFUNCTION("""COMPUTED_VALUE"""),45880.56805771991)</f>
        <v>45880.56806</v>
      </c>
      <c r="H3375" s="14" t="str">
        <f>IFERROR(__xludf.DUMMYFUNCTION("""COMPUTED_VALUE"""),"Eci (SU)")</f>
        <v>Eci (SU)</v>
      </c>
      <c r="I3375" s="13" t="str">
        <f>IFERROR(__xludf.DUMMYFUNCTION("""COMPUTED_VALUE"""),"SELESAI (VIA PERMOHONAN)")</f>
        <v>SELESAI (VIA PERMOHONAN)</v>
      </c>
      <c r="J3375" s="17">
        <f>IFERROR(__xludf.DUMMYFUNCTION("""COMPUTED_VALUE"""),45881.466417372685)</f>
        <v>45881.46642</v>
      </c>
      <c r="K3375" s="13" t="str">
        <f>IFERROR(__xludf.DUMMYFUNCTION("""COMPUTED_VALUE"""),"Selesai")</f>
        <v>Selesai</v>
      </c>
      <c r="L3375" s="17">
        <f>IFERROR(__xludf.DUMMYFUNCTION("""COMPUTED_VALUE"""),45881.466417372685)</f>
        <v>45881.46642</v>
      </c>
      <c r="M3375" s="13"/>
      <c r="N3375" s="13" t="str">
        <f>IFERROR(__xludf.DUMMYFUNCTION("""COMPUTED_VALUE"""),"")</f>
        <v/>
      </c>
      <c r="O3375" s="13" t="str">
        <f t="shared" si="1"/>
        <v/>
      </c>
    </row>
    <row r="3376" ht="22.5" customHeight="1">
      <c r="B3376" s="13">
        <f>IFERROR(__xludf.DUMMYFUNCTION("""COMPUTED_VALUE"""),3371.0)</f>
        <v>3371</v>
      </c>
      <c r="C3376" s="13" t="str">
        <f>IFERROR(__xludf.DUMMYFUNCTION("""COMPUTED_VALUE"""),"M. 1373/RAWA LAUT")</f>
        <v>M. 1373/RAWA LAUT</v>
      </c>
      <c r="D3376" s="13" t="str">
        <f>IFERROR(__xludf.DUMMYFUNCTION("""COMPUTED_VALUE"""),"K/25/250725/2")</f>
        <v>K/25/250725/2</v>
      </c>
      <c r="E3376" s="14" t="str">
        <f>IFERROR(__xludf.DUMMYFUNCTION("""COMPUTED_VALUE"""),"Heri (BT)")</f>
        <v>Heri (BT)</v>
      </c>
      <c r="F3376" s="14" t="str">
        <f>IFERROR(__xludf.DUMMYFUNCTION("""COMPUTED_VALUE"""),"SELESAI (VIA PERMOHONAN)")</f>
        <v>SELESAI (VIA PERMOHONAN)</v>
      </c>
      <c r="G3376" s="17">
        <f>IFERROR(__xludf.DUMMYFUNCTION("""COMPUTED_VALUE"""),45880.56822128472)</f>
        <v>45880.56822</v>
      </c>
      <c r="H3376" s="14" t="str">
        <f>IFERROR(__xludf.DUMMYFUNCTION("""COMPUTED_VALUE"""),"Eci (SU)")</f>
        <v>Eci (SU)</v>
      </c>
      <c r="I3376" s="13" t="str">
        <f>IFERROR(__xludf.DUMMYFUNCTION("""COMPUTED_VALUE"""),"SELESAI (VIA PERMOHONAN)")</f>
        <v>SELESAI (VIA PERMOHONAN)</v>
      </c>
      <c r="J3376" s="17">
        <f>IFERROR(__xludf.DUMMYFUNCTION("""COMPUTED_VALUE"""),45881.46753440972)</f>
        <v>45881.46753</v>
      </c>
      <c r="K3376" s="13" t="str">
        <f>IFERROR(__xludf.DUMMYFUNCTION("""COMPUTED_VALUE"""),"Selesai")</f>
        <v>Selesai</v>
      </c>
      <c r="L3376" s="17">
        <f>IFERROR(__xludf.DUMMYFUNCTION("""COMPUTED_VALUE"""),45881.46753440972)</f>
        <v>45881.46753</v>
      </c>
      <c r="M3376" s="13"/>
      <c r="N3376" s="13" t="str">
        <f>IFERROR(__xludf.DUMMYFUNCTION("""COMPUTED_VALUE"""),"")</f>
        <v/>
      </c>
      <c r="O3376" s="13" t="str">
        <f t="shared" si="1"/>
        <v/>
      </c>
    </row>
    <row r="3377" ht="22.5" customHeight="1">
      <c r="B3377" s="13">
        <f>IFERROR(__xludf.DUMMYFUNCTION("""COMPUTED_VALUE"""),3372.0)</f>
        <v>3372</v>
      </c>
      <c r="C3377" s="13" t="str">
        <f>IFERROR(__xludf.DUMMYFUNCTION("""COMPUTED_VALUE"""),"M.113/RAJABASA NUNYAI")</f>
        <v>M.113/RAJABASA NUNYAI</v>
      </c>
      <c r="D3377" s="13" t="str">
        <f>IFERROR(__xludf.DUMMYFUNCTION("""COMPUTED_VALUE"""),"K/28/250725/1")</f>
        <v>K/28/250725/1</v>
      </c>
      <c r="E3377" s="14" t="str">
        <f>IFERROR(__xludf.DUMMYFUNCTION("""COMPUTED_VALUE"""),"Heri (BT)")</f>
        <v>Heri (BT)</v>
      </c>
      <c r="F3377" s="14" t="str">
        <f>IFERROR(__xludf.DUMMYFUNCTION("""COMPUTED_VALUE"""),"SELESAI (VIA PERMOHONAN)")</f>
        <v>SELESAI (VIA PERMOHONAN)</v>
      </c>
      <c r="G3377" s="17">
        <f>IFERROR(__xludf.DUMMYFUNCTION("""COMPUTED_VALUE"""),45880.568431493055)</f>
        <v>45880.56843</v>
      </c>
      <c r="H3377" s="14" t="str">
        <f>IFERROR(__xludf.DUMMYFUNCTION("""COMPUTED_VALUE"""),"Eci (SU)")</f>
        <v>Eci (SU)</v>
      </c>
      <c r="I3377" s="13" t="str">
        <f>IFERROR(__xludf.DUMMYFUNCTION("""COMPUTED_VALUE"""),"SELESAI (VIA PERMOHONAN)")</f>
        <v>SELESAI (VIA PERMOHONAN)</v>
      </c>
      <c r="J3377" s="17">
        <f>IFERROR(__xludf.DUMMYFUNCTION("""COMPUTED_VALUE"""),45881.4690371412)</f>
        <v>45881.46904</v>
      </c>
      <c r="K3377" s="13" t="str">
        <f>IFERROR(__xludf.DUMMYFUNCTION("""COMPUTED_VALUE"""),"Selesai")</f>
        <v>Selesai</v>
      </c>
      <c r="L3377" s="17">
        <f>IFERROR(__xludf.DUMMYFUNCTION("""COMPUTED_VALUE"""),45881.4690371412)</f>
        <v>45881.46904</v>
      </c>
      <c r="M3377" s="13"/>
      <c r="N3377" s="13" t="str">
        <f>IFERROR(__xludf.DUMMYFUNCTION("""COMPUTED_VALUE"""),"")</f>
        <v/>
      </c>
      <c r="O3377" s="13" t="str">
        <f t="shared" si="1"/>
        <v/>
      </c>
    </row>
    <row r="3378" ht="22.5" customHeight="1">
      <c r="B3378" s="13">
        <f>IFERROR(__xludf.DUMMYFUNCTION("""COMPUTED_VALUE"""),3373.0)</f>
        <v>3373</v>
      </c>
      <c r="C3378" s="13" t="str">
        <f>IFERROR(__xludf.DUMMYFUNCTION("""COMPUTED_VALUE"""),"M.2370/SUMBER AGUNG")</f>
        <v>M.2370/SUMBER AGUNG</v>
      </c>
      <c r="D3378" s="13" t="str">
        <f>IFERROR(__xludf.DUMMYFUNCTION("""COMPUTED_VALUE"""),"K/37/280725/2")</f>
        <v>K/37/280725/2</v>
      </c>
      <c r="E3378" s="14" t="str">
        <f>IFERROR(__xludf.DUMMYFUNCTION("""COMPUTED_VALUE"""),"Heri (BT)")</f>
        <v>Heri (BT)</v>
      </c>
      <c r="F3378" s="14" t="str">
        <f>IFERROR(__xludf.DUMMYFUNCTION("""COMPUTED_VALUE"""),"SELESAI (VIA PERMOHONAN)")</f>
        <v>SELESAI (VIA PERMOHONAN)</v>
      </c>
      <c r="G3378" s="17">
        <f>IFERROR(__xludf.DUMMYFUNCTION("""COMPUTED_VALUE"""),45880.568572118056)</f>
        <v>45880.56857</v>
      </c>
      <c r="H3378" s="14" t="str">
        <f>IFERROR(__xludf.DUMMYFUNCTION("""COMPUTED_VALUE"""),"Eci (SU)")</f>
        <v>Eci (SU)</v>
      </c>
      <c r="I3378" s="13" t="str">
        <f>IFERROR(__xludf.DUMMYFUNCTION("""COMPUTED_VALUE"""),"SELESAI (VIA PERMOHONAN)")</f>
        <v>SELESAI (VIA PERMOHONAN)</v>
      </c>
      <c r="J3378" s="17">
        <f>IFERROR(__xludf.DUMMYFUNCTION("""COMPUTED_VALUE"""),45881.46880981482)</f>
        <v>45881.46881</v>
      </c>
      <c r="K3378" s="13" t="str">
        <f>IFERROR(__xludf.DUMMYFUNCTION("""COMPUTED_VALUE"""),"Selesai")</f>
        <v>Selesai</v>
      </c>
      <c r="L3378" s="17">
        <f>IFERROR(__xludf.DUMMYFUNCTION("""COMPUTED_VALUE"""),45881.46880981482)</f>
        <v>45881.46881</v>
      </c>
      <c r="M3378" s="13"/>
      <c r="N3378" s="13" t="str">
        <f>IFERROR(__xludf.DUMMYFUNCTION("""COMPUTED_VALUE"""),"")</f>
        <v/>
      </c>
      <c r="O3378" s="13" t="str">
        <f t="shared" si="1"/>
        <v/>
      </c>
    </row>
    <row r="3379" ht="22.5" customHeight="1">
      <c r="B3379" s="13">
        <f>IFERROR(__xludf.DUMMYFUNCTION("""COMPUTED_VALUE"""),3374.0)</f>
        <v>3374</v>
      </c>
      <c r="C3379" s="13" t="str">
        <f>IFERROR(__xludf.DUMMYFUNCTION("""COMPUTED_VALUE"""),"M.2362/SUMBER AGUNG")</f>
        <v>M.2362/SUMBER AGUNG</v>
      </c>
      <c r="D3379" s="13" t="str">
        <f>IFERROR(__xludf.DUMMYFUNCTION("""COMPUTED_VALUE"""),"K/38/280725/3")</f>
        <v>K/38/280725/3</v>
      </c>
      <c r="E3379" s="14" t="str">
        <f>IFERROR(__xludf.DUMMYFUNCTION("""COMPUTED_VALUE"""),"Heri (BT)")</f>
        <v>Heri (BT)</v>
      </c>
      <c r="F3379" s="14" t="str">
        <f>IFERROR(__xludf.DUMMYFUNCTION("""COMPUTED_VALUE"""),"SELESAI (VIA PERMOHONAN)")</f>
        <v>SELESAI (VIA PERMOHONAN)</v>
      </c>
      <c r="G3379" s="17">
        <f>IFERROR(__xludf.DUMMYFUNCTION("""COMPUTED_VALUE"""),45880.5687494213)</f>
        <v>45880.56875</v>
      </c>
      <c r="H3379" s="14" t="str">
        <f>IFERROR(__xludf.DUMMYFUNCTION("""COMPUTED_VALUE"""),"Eci (SU)")</f>
        <v>Eci (SU)</v>
      </c>
      <c r="I3379" s="13" t="str">
        <f>IFERROR(__xludf.DUMMYFUNCTION("""COMPUTED_VALUE"""),"SELESAI (VIA PERMOHONAN)")</f>
        <v>SELESAI (VIA PERMOHONAN)</v>
      </c>
      <c r="J3379" s="17">
        <f>IFERROR(__xludf.DUMMYFUNCTION("""COMPUTED_VALUE"""),45881.46870225694)</f>
        <v>45881.4687</v>
      </c>
      <c r="K3379" s="13" t="str">
        <f>IFERROR(__xludf.DUMMYFUNCTION("""COMPUTED_VALUE"""),"Selesai")</f>
        <v>Selesai</v>
      </c>
      <c r="L3379" s="17">
        <f>IFERROR(__xludf.DUMMYFUNCTION("""COMPUTED_VALUE"""),45881.46870225694)</f>
        <v>45881.4687</v>
      </c>
      <c r="M3379" s="13"/>
      <c r="N3379" s="13" t="str">
        <f>IFERROR(__xludf.DUMMYFUNCTION("""COMPUTED_VALUE"""),"")</f>
        <v/>
      </c>
      <c r="O3379" s="13" t="str">
        <f t="shared" si="1"/>
        <v/>
      </c>
    </row>
    <row r="3380" ht="22.5" customHeight="1">
      <c r="B3380" s="13">
        <f>IFERROR(__xludf.DUMMYFUNCTION("""COMPUTED_VALUE"""),3375.0)</f>
        <v>3375</v>
      </c>
      <c r="C3380" s="13" t="str">
        <f>IFERROR(__xludf.DUMMYFUNCTION("""COMPUTED_VALUE"""),"M.6557/TANJUNG SENENG")</f>
        <v>M.6557/TANJUNG SENENG</v>
      </c>
      <c r="D3380" s="13" t="str">
        <f>IFERROR(__xludf.DUMMYFUNCTION("""COMPUTED_VALUE"""),"K/36/180725/1")</f>
        <v>K/36/180725/1</v>
      </c>
      <c r="E3380" s="14" t="str">
        <f>IFERROR(__xludf.DUMMYFUNCTION("""COMPUTED_VALUE"""),"Heri (BT)")</f>
        <v>Heri (BT)</v>
      </c>
      <c r="F3380" s="14" t="str">
        <f>IFERROR(__xludf.DUMMYFUNCTION("""COMPUTED_VALUE"""),"SELESAI (VIA PERMOHONAN)")</f>
        <v>SELESAI (VIA PERMOHONAN)</v>
      </c>
      <c r="G3380" s="17">
        <f>IFERROR(__xludf.DUMMYFUNCTION("""COMPUTED_VALUE"""),45880.56885967593)</f>
        <v>45880.56886</v>
      </c>
      <c r="H3380" s="14" t="str">
        <f>IFERROR(__xludf.DUMMYFUNCTION("""COMPUTED_VALUE"""),"Eci (SU)")</f>
        <v>Eci (SU)</v>
      </c>
      <c r="I3380" s="13" t="str">
        <f>IFERROR(__xludf.DUMMYFUNCTION("""COMPUTED_VALUE"""),"SELESAI (VIA PERMOHONAN)")</f>
        <v>SELESAI (VIA PERMOHONAN)</v>
      </c>
      <c r="J3380" s="17">
        <f>IFERROR(__xludf.DUMMYFUNCTION("""COMPUTED_VALUE"""),45881.467623414355)</f>
        <v>45881.46762</v>
      </c>
      <c r="K3380" s="13" t="str">
        <f>IFERROR(__xludf.DUMMYFUNCTION("""COMPUTED_VALUE"""),"Selesai")</f>
        <v>Selesai</v>
      </c>
      <c r="L3380" s="17">
        <f>IFERROR(__xludf.DUMMYFUNCTION("""COMPUTED_VALUE"""),45881.467623414355)</f>
        <v>45881.46762</v>
      </c>
      <c r="M3380" s="13"/>
      <c r="N3380" s="13" t="str">
        <f>IFERROR(__xludf.DUMMYFUNCTION("""COMPUTED_VALUE"""),"")</f>
        <v/>
      </c>
      <c r="O3380" s="13" t="str">
        <f t="shared" si="1"/>
        <v/>
      </c>
    </row>
    <row r="3381" ht="22.5" customHeight="1">
      <c r="B3381" s="13">
        <f>IFERROR(__xludf.DUMMYFUNCTION("""COMPUTED_VALUE"""),3376.0)</f>
        <v>3376</v>
      </c>
      <c r="C3381" s="13" t="str">
        <f>IFERROR(__xludf.DUMMYFUNCTION("""COMPUTED_VALUE"""),"B. 1004/CAMPANG JAYA")</f>
        <v>B. 1004/CAMPANG JAYA</v>
      </c>
      <c r="D3381" s="13" t="str">
        <f>IFERROR(__xludf.DUMMYFUNCTION("""COMPUTED_VALUE"""),"K/10/010825/4")</f>
        <v>K/10/010825/4</v>
      </c>
      <c r="E3381" s="14" t="str">
        <f>IFERROR(__xludf.DUMMYFUNCTION("""COMPUTED_VALUE"""),"Heri (BT)")</f>
        <v>Heri (BT)</v>
      </c>
      <c r="F3381" s="14" t="str">
        <f>IFERROR(__xludf.DUMMYFUNCTION("""COMPUTED_VALUE"""),"SELESAI (VIA PERMOHONAN)")</f>
        <v>SELESAI (VIA PERMOHONAN)</v>
      </c>
      <c r="G3381" s="17">
        <f>IFERROR(__xludf.DUMMYFUNCTION("""COMPUTED_VALUE"""),45880.57008800926)</f>
        <v>45880.57009</v>
      </c>
      <c r="H3381" s="14" t="str">
        <f>IFERROR(__xludf.DUMMYFUNCTION("""COMPUTED_VALUE"""),"Eci (SU)")</f>
        <v>Eci (SU)</v>
      </c>
      <c r="I3381" s="13" t="str">
        <f>IFERROR(__xludf.DUMMYFUNCTION("""COMPUTED_VALUE"""),"SELESAI (VIA PERMOHONAN)")</f>
        <v>SELESAI (VIA PERMOHONAN)</v>
      </c>
      <c r="J3381" s="17">
        <f>IFERROR(__xludf.DUMMYFUNCTION("""COMPUTED_VALUE"""),45881.46785782407)</f>
        <v>45881.46786</v>
      </c>
      <c r="K3381" s="13" t="str">
        <f>IFERROR(__xludf.DUMMYFUNCTION("""COMPUTED_VALUE"""),"Selesai")</f>
        <v>Selesai</v>
      </c>
      <c r="L3381" s="17">
        <f>IFERROR(__xludf.DUMMYFUNCTION("""COMPUTED_VALUE"""),45881.46785782407)</f>
        <v>45881.46786</v>
      </c>
      <c r="M3381" s="13"/>
      <c r="N3381" s="13" t="str">
        <f>IFERROR(__xludf.DUMMYFUNCTION("""COMPUTED_VALUE"""),"")</f>
        <v/>
      </c>
      <c r="O3381" s="13" t="str">
        <f t="shared" si="1"/>
        <v/>
      </c>
    </row>
    <row r="3382" ht="22.5" customHeight="1">
      <c r="B3382" s="13">
        <f>IFERROR(__xludf.DUMMYFUNCTION("""COMPUTED_VALUE"""),3377.0)</f>
        <v>3377</v>
      </c>
      <c r="C3382" s="13" t="str">
        <f>IFERROR(__xludf.DUMMYFUNCTION("""COMPUTED_VALUE"""),"M.58/PESAWAHAN DAN M.668/PESAWAHAN")</f>
        <v>M.58/PESAWAHAN DAN M.668/PESAWAHAN</v>
      </c>
      <c r="D3382" s="13" t="str">
        <f>IFERROR(__xludf.DUMMYFUNCTION("""COMPUTED_VALUE"""),"K/17/210725/1")</f>
        <v>K/17/210725/1</v>
      </c>
      <c r="E3382" s="14" t="str">
        <f>IFERROR(__xludf.DUMMYFUNCTION("""COMPUTED_VALUE"""),"Heri (BT)")</f>
        <v>Heri (BT)</v>
      </c>
      <c r="F3382" s="14" t="str">
        <f>IFERROR(__xludf.DUMMYFUNCTION("""COMPUTED_VALUE"""),"SELESAI (VIA PERMOHONAN)")</f>
        <v>SELESAI (VIA PERMOHONAN)</v>
      </c>
      <c r="G3382" s="17">
        <f>IFERROR(__xludf.DUMMYFUNCTION("""COMPUTED_VALUE"""),45880.570305497684)</f>
        <v>45880.57031</v>
      </c>
      <c r="H3382" s="14" t="str">
        <f>IFERROR(__xludf.DUMMYFUNCTION("""COMPUTED_VALUE"""),"Eci (SU)")</f>
        <v>Eci (SU)</v>
      </c>
      <c r="I3382" s="13" t="str">
        <f>IFERROR(__xludf.DUMMYFUNCTION("""COMPUTED_VALUE"""),"SELESAI (VIA PERMOHONAN)")</f>
        <v>SELESAI (VIA PERMOHONAN)</v>
      </c>
      <c r="J3382" s="17">
        <f>IFERROR(__xludf.DUMMYFUNCTION("""COMPUTED_VALUE"""),45881.468398240744)</f>
        <v>45881.4684</v>
      </c>
      <c r="K3382" s="13" t="str">
        <f>IFERROR(__xludf.DUMMYFUNCTION("""COMPUTED_VALUE"""),"Selesai")</f>
        <v>Selesai</v>
      </c>
      <c r="L3382" s="17">
        <f>IFERROR(__xludf.DUMMYFUNCTION("""COMPUTED_VALUE"""),45881.468398240744)</f>
        <v>45881.4684</v>
      </c>
      <c r="M3382" s="13"/>
      <c r="N3382" s="13" t="str">
        <f>IFERROR(__xludf.DUMMYFUNCTION("""COMPUTED_VALUE"""),"")</f>
        <v/>
      </c>
      <c r="O3382" s="13" t="str">
        <f t="shared" si="1"/>
        <v/>
      </c>
    </row>
    <row r="3383" ht="22.5" customHeight="1">
      <c r="B3383" s="13">
        <f>IFERROR(__xludf.DUMMYFUNCTION("""COMPUTED_VALUE"""),3378.0)</f>
        <v>3378</v>
      </c>
      <c r="C3383" s="13" t="str">
        <f>IFERROR(__xludf.DUMMYFUNCTION("""COMPUTED_VALUE"""),"M.973/JAGABAYA III")</f>
        <v>M.973/JAGABAYA III</v>
      </c>
      <c r="D3383" s="13" t="str">
        <f>IFERROR(__xludf.DUMMYFUNCTION("""COMPUTED_VALUE"""),"K/38/250725/1")</f>
        <v>K/38/250725/1</v>
      </c>
      <c r="E3383" s="14" t="str">
        <f>IFERROR(__xludf.DUMMYFUNCTION("""COMPUTED_VALUE"""),"Heri (BT)")</f>
        <v>Heri (BT)</v>
      </c>
      <c r="F3383" s="14" t="str">
        <f>IFERROR(__xludf.DUMMYFUNCTION("""COMPUTED_VALUE"""),"SELESAI (VIA PERMOHONAN)")</f>
        <v>SELESAI (VIA PERMOHONAN)</v>
      </c>
      <c r="G3383" s="17">
        <f>IFERROR(__xludf.DUMMYFUNCTION("""COMPUTED_VALUE"""),45880.57050785879)</f>
        <v>45880.57051</v>
      </c>
      <c r="H3383" s="14" t="str">
        <f>IFERROR(__xludf.DUMMYFUNCTION("""COMPUTED_VALUE"""),"Eci (SU)")</f>
        <v>Eci (SU)</v>
      </c>
      <c r="I3383" s="13" t="str">
        <f>IFERROR(__xludf.DUMMYFUNCTION("""COMPUTED_VALUE"""),"SELESAI (VIA PERMOHONAN)")</f>
        <v>SELESAI (VIA PERMOHONAN)</v>
      </c>
      <c r="J3383" s="17">
        <f>IFERROR(__xludf.DUMMYFUNCTION("""COMPUTED_VALUE"""),45881.46858586806)</f>
        <v>45881.46859</v>
      </c>
      <c r="K3383" s="13" t="str">
        <f>IFERROR(__xludf.DUMMYFUNCTION("""COMPUTED_VALUE"""),"Selesai")</f>
        <v>Selesai</v>
      </c>
      <c r="L3383" s="17">
        <f>IFERROR(__xludf.DUMMYFUNCTION("""COMPUTED_VALUE"""),45881.46858586806)</f>
        <v>45881.46859</v>
      </c>
      <c r="M3383" s="13"/>
      <c r="N3383" s="13" t="str">
        <f>IFERROR(__xludf.DUMMYFUNCTION("""COMPUTED_VALUE"""),"")</f>
        <v/>
      </c>
      <c r="O3383" s="13" t="str">
        <f t="shared" si="1"/>
        <v/>
      </c>
    </row>
    <row r="3384" ht="22.5" customHeight="1">
      <c r="B3384" s="13">
        <f>IFERROR(__xludf.DUMMYFUNCTION("""COMPUTED_VALUE"""),3379.0)</f>
        <v>3379</v>
      </c>
      <c r="C3384" s="13" t="str">
        <f>IFERROR(__xludf.DUMMYFUNCTION("""COMPUTED_VALUE"""),"M.4226/BERINGIN RAYA")</f>
        <v>M.4226/BERINGIN RAYA</v>
      </c>
      <c r="D3384" s="13" t="str">
        <f>IFERROR(__xludf.DUMMYFUNCTION("""COMPUTED_VALUE"""),"K/24/060825/1")</f>
        <v>K/24/060825/1</v>
      </c>
      <c r="E3384" s="14" t="str">
        <f>IFERROR(__xludf.DUMMYFUNCTION("""COMPUTED_VALUE"""),"Heri (BT)")</f>
        <v>Heri (BT)</v>
      </c>
      <c r="F3384" s="14" t="str">
        <f>IFERROR(__xludf.DUMMYFUNCTION("""COMPUTED_VALUE"""),"SELESAI (VIA PERMOHONAN)")</f>
        <v>SELESAI (VIA PERMOHONAN)</v>
      </c>
      <c r="G3384" s="17">
        <f>IFERROR(__xludf.DUMMYFUNCTION("""COMPUTED_VALUE"""),45880.57075296296)</f>
        <v>45880.57075</v>
      </c>
      <c r="H3384" s="14" t="str">
        <f>IFERROR(__xludf.DUMMYFUNCTION("""COMPUTED_VALUE"""),"Eci (SU)")</f>
        <v>Eci (SU)</v>
      </c>
      <c r="I3384" s="13" t="str">
        <f>IFERROR(__xludf.DUMMYFUNCTION("""COMPUTED_VALUE"""),"SELESAI (VIA PERMOHONAN)")</f>
        <v>SELESAI (VIA PERMOHONAN)</v>
      </c>
      <c r="J3384" s="17">
        <f>IFERROR(__xludf.DUMMYFUNCTION("""COMPUTED_VALUE"""),45881.46858586806)</f>
        <v>45881.46859</v>
      </c>
      <c r="K3384" s="13" t="str">
        <f>IFERROR(__xludf.DUMMYFUNCTION("""COMPUTED_VALUE"""),"Selesai")</f>
        <v>Selesai</v>
      </c>
      <c r="L3384" s="17">
        <f>IFERROR(__xludf.DUMMYFUNCTION("""COMPUTED_VALUE"""),45881.46858586806)</f>
        <v>45881.46859</v>
      </c>
      <c r="M3384" s="13"/>
      <c r="N3384" s="13" t="str">
        <f>IFERROR(__xludf.DUMMYFUNCTION("""COMPUTED_VALUE"""),"")</f>
        <v/>
      </c>
      <c r="O3384" s="13" t="str">
        <f t="shared" si="1"/>
        <v/>
      </c>
    </row>
    <row r="3385" ht="22.5" customHeight="1">
      <c r="B3385" s="13">
        <f>IFERROR(__xludf.DUMMYFUNCTION("""COMPUTED_VALUE"""),3380.0)</f>
        <v>3380</v>
      </c>
      <c r="C3385" s="13" t="str">
        <f>IFERROR(__xludf.DUMMYFUNCTION("""COMPUTED_VALUE"""),"M. 2388/PINANG JAYA")</f>
        <v>M. 2388/PINANG JAYA</v>
      </c>
      <c r="D3385" s="13" t="str">
        <f>IFERROR(__xludf.DUMMYFUNCTION("""COMPUTED_VALUE"""),"K/19/250725/2")</f>
        <v>K/19/250725/2</v>
      </c>
      <c r="E3385" s="14" t="str">
        <f>IFERROR(__xludf.DUMMYFUNCTION("""COMPUTED_VALUE"""),"Admin (Migrasi)")</f>
        <v>Admin (Migrasi)</v>
      </c>
      <c r="F3385" s="14" t="str">
        <f>IFERROR(__xludf.DUMMYFUNCTION("""COMPUTED_VALUE"""),"SELESAI (VIA PERMOHONAN)")</f>
        <v>SELESAI (VIA PERMOHONAN)</v>
      </c>
      <c r="G3385" s="17">
        <f>IFERROR(__xludf.DUMMYFUNCTION("""COMPUTED_VALUE"""),45880.73341777778)</f>
        <v>45880.73342</v>
      </c>
      <c r="H3385" s="14" t="str">
        <f>IFERROR(__xludf.DUMMYFUNCTION("""COMPUTED_VALUE"""),"Admin (Migrasi)")</f>
        <v>Admin (Migrasi)</v>
      </c>
      <c r="I3385" s="13" t="str">
        <f>IFERROR(__xludf.DUMMYFUNCTION("""COMPUTED_VALUE"""),"SELESAI (VIA PERMOHONAN)")</f>
        <v>SELESAI (VIA PERMOHONAN)</v>
      </c>
      <c r="J3385" s="17">
        <f>IFERROR(__xludf.DUMMYFUNCTION("""COMPUTED_VALUE"""),45880.733464317134)</f>
        <v>45880.73346</v>
      </c>
      <c r="K3385" s="13" t="str">
        <f>IFERROR(__xludf.DUMMYFUNCTION("""COMPUTED_VALUE"""),"Selesai")</f>
        <v>Selesai</v>
      </c>
      <c r="L3385" s="17">
        <f>IFERROR(__xludf.DUMMYFUNCTION("""COMPUTED_VALUE"""),45880.733464317134)</f>
        <v>45880.73346</v>
      </c>
      <c r="M3385" s="13"/>
      <c r="N3385" s="13" t="str">
        <f>IFERROR(__xludf.DUMMYFUNCTION("""COMPUTED_VALUE"""),"")</f>
        <v/>
      </c>
      <c r="O3385" s="13" t="str">
        <f t="shared" si="1"/>
        <v/>
      </c>
    </row>
    <row r="3386" ht="22.5" customHeight="1">
      <c r="B3386" s="13">
        <f>IFERROR(__xludf.DUMMYFUNCTION("""COMPUTED_VALUE"""),3381.0)</f>
        <v>3381</v>
      </c>
      <c r="C3386" s="13" t="str">
        <f>IFERROR(__xludf.DUMMYFUNCTION("""COMPUTED_VALUE"""),"M. 13768/ Sukabumi")</f>
        <v>M. 13768/ Sukabumi</v>
      </c>
      <c r="D3386" s="13" t="str">
        <f>IFERROR(__xludf.DUMMYFUNCTION("""COMPUTED_VALUE"""),"K/9/310725/1")</f>
        <v>K/9/310725/1</v>
      </c>
      <c r="E3386" s="14" t="str">
        <f>IFERROR(__xludf.DUMMYFUNCTION("""COMPUTED_VALUE"""),"Admin (Migrasi)")</f>
        <v>Admin (Migrasi)</v>
      </c>
      <c r="F3386" s="14" t="str">
        <f>IFERROR(__xludf.DUMMYFUNCTION("""COMPUTED_VALUE"""),"SELESAI (VIA PERMOHONAN)")</f>
        <v>SELESAI (VIA PERMOHONAN)</v>
      </c>
      <c r="G3386" s="17">
        <f>IFERROR(__xludf.DUMMYFUNCTION("""COMPUTED_VALUE"""),45880.73362601852)</f>
        <v>45880.73363</v>
      </c>
      <c r="H3386" s="14" t="str">
        <f>IFERROR(__xludf.DUMMYFUNCTION("""COMPUTED_VALUE"""),"Admin (Migrasi)")</f>
        <v>Admin (Migrasi)</v>
      </c>
      <c r="I3386" s="13" t="str">
        <f>IFERROR(__xludf.DUMMYFUNCTION("""COMPUTED_VALUE"""),"SELESAI (VIA PERMOHONAN)")</f>
        <v>SELESAI (VIA PERMOHONAN)</v>
      </c>
      <c r="J3386" s="17">
        <f>IFERROR(__xludf.DUMMYFUNCTION("""COMPUTED_VALUE"""),45880.733656111115)</f>
        <v>45880.73366</v>
      </c>
      <c r="K3386" s="13" t="str">
        <f>IFERROR(__xludf.DUMMYFUNCTION("""COMPUTED_VALUE"""),"Selesai")</f>
        <v>Selesai</v>
      </c>
      <c r="L3386" s="17">
        <f>IFERROR(__xludf.DUMMYFUNCTION("""COMPUTED_VALUE"""),45880.733656111115)</f>
        <v>45880.73366</v>
      </c>
      <c r="M3386" s="13"/>
      <c r="N3386" s="13" t="str">
        <f>IFERROR(__xludf.DUMMYFUNCTION("""COMPUTED_VALUE"""),"")</f>
        <v/>
      </c>
      <c r="O3386" s="13" t="str">
        <f t="shared" si="1"/>
        <v/>
      </c>
    </row>
    <row r="3387" ht="22.5" customHeight="1">
      <c r="B3387" s="13">
        <f>IFERROR(__xludf.DUMMYFUNCTION("""COMPUTED_VALUE"""),3382.0)</f>
        <v>3382</v>
      </c>
      <c r="C3387" s="13" t="str">
        <f>IFERROR(__xludf.DUMMYFUNCTION("""COMPUTED_VALUE"""),"M. 68/ Bilabong Jaya")</f>
        <v>M. 68/ Bilabong Jaya</v>
      </c>
      <c r="D3387" s="13" t="str">
        <f>IFERROR(__xludf.DUMMYFUNCTION("""COMPUTED_VALUE"""),"K/21/300725/1")</f>
        <v>K/21/300725/1</v>
      </c>
      <c r="E3387" s="14" t="str">
        <f>IFERROR(__xludf.DUMMYFUNCTION("""COMPUTED_VALUE"""),"Admin (Migrasi)")</f>
        <v>Admin (Migrasi)</v>
      </c>
      <c r="F3387" s="14" t="str">
        <f>IFERROR(__xludf.DUMMYFUNCTION("""COMPUTED_VALUE"""),"SELESAI (VIA PERMOHONAN)")</f>
        <v>SELESAI (VIA PERMOHONAN)</v>
      </c>
      <c r="G3387" s="17">
        <f>IFERROR(__xludf.DUMMYFUNCTION("""COMPUTED_VALUE"""),45880.733840914356)</f>
        <v>45880.73384</v>
      </c>
      <c r="H3387" s="14" t="str">
        <f>IFERROR(__xludf.DUMMYFUNCTION("""COMPUTED_VALUE"""),"Admin (Migrasi)")</f>
        <v>Admin (Migrasi)</v>
      </c>
      <c r="I3387" s="13" t="str">
        <f>IFERROR(__xludf.DUMMYFUNCTION("""COMPUTED_VALUE"""),"SELESAI (VIA PERMOHONAN)")</f>
        <v>SELESAI (VIA PERMOHONAN)</v>
      </c>
      <c r="J3387" s="17">
        <f>IFERROR(__xludf.DUMMYFUNCTION("""COMPUTED_VALUE"""),45880.733865277776)</f>
        <v>45880.73387</v>
      </c>
      <c r="K3387" s="13" t="str">
        <f>IFERROR(__xludf.DUMMYFUNCTION("""COMPUTED_VALUE"""),"Selesai")</f>
        <v>Selesai</v>
      </c>
      <c r="L3387" s="17">
        <f>IFERROR(__xludf.DUMMYFUNCTION("""COMPUTED_VALUE"""),45880.733865277776)</f>
        <v>45880.73387</v>
      </c>
      <c r="M3387" s="13"/>
      <c r="N3387" s="13" t="str">
        <f>IFERROR(__xludf.DUMMYFUNCTION("""COMPUTED_VALUE"""),"")</f>
        <v/>
      </c>
      <c r="O3387" s="13" t="str">
        <f t="shared" si="1"/>
        <v/>
      </c>
    </row>
    <row r="3388" ht="22.5" customHeight="1">
      <c r="B3388" s="13">
        <f>IFERROR(__xludf.DUMMYFUNCTION("""COMPUTED_VALUE"""),3383.0)</f>
        <v>3383</v>
      </c>
      <c r="C3388" s="13" t="str">
        <f>IFERROR(__xludf.DUMMYFUNCTION("""COMPUTED_VALUE"""),"M. 5748/ Way Kandis")</f>
        <v>M. 5748/ Way Kandis</v>
      </c>
      <c r="D3388" s="13" t="str">
        <f>IFERROR(__xludf.DUMMYFUNCTION("""COMPUTED_VALUE"""),"K/26/290725/1")</f>
        <v>K/26/290725/1</v>
      </c>
      <c r="E3388" s="14" t="str">
        <f>IFERROR(__xludf.DUMMYFUNCTION("""COMPUTED_VALUE"""),"Admin (Migrasi)")</f>
        <v>Admin (Migrasi)</v>
      </c>
      <c r="F3388" s="14" t="str">
        <f>IFERROR(__xludf.DUMMYFUNCTION("""COMPUTED_VALUE"""),"SELESAI (VIA PERMOHONAN)")</f>
        <v>SELESAI (VIA PERMOHONAN)</v>
      </c>
      <c r="G3388" s="17">
        <f>IFERROR(__xludf.DUMMYFUNCTION("""COMPUTED_VALUE"""),45880.734002349534)</f>
        <v>45880.734</v>
      </c>
      <c r="H3388" s="14" t="str">
        <f>IFERROR(__xludf.DUMMYFUNCTION("""COMPUTED_VALUE"""),"Admin (Migrasi)")</f>
        <v>Admin (Migrasi)</v>
      </c>
      <c r="I3388" s="13" t="str">
        <f>IFERROR(__xludf.DUMMYFUNCTION("""COMPUTED_VALUE"""),"SELESAI (VIA PERMOHONAN)")</f>
        <v>SELESAI (VIA PERMOHONAN)</v>
      </c>
      <c r="J3388" s="17">
        <f>IFERROR(__xludf.DUMMYFUNCTION("""COMPUTED_VALUE"""),45880.73403016204)</f>
        <v>45880.73403</v>
      </c>
      <c r="K3388" s="13" t="str">
        <f>IFERROR(__xludf.DUMMYFUNCTION("""COMPUTED_VALUE"""),"Selesai")</f>
        <v>Selesai</v>
      </c>
      <c r="L3388" s="17">
        <f>IFERROR(__xludf.DUMMYFUNCTION("""COMPUTED_VALUE"""),45880.73403016204)</f>
        <v>45880.73403</v>
      </c>
      <c r="M3388" s="13"/>
      <c r="N3388" s="13" t="str">
        <f>IFERROR(__xludf.DUMMYFUNCTION("""COMPUTED_VALUE"""),"")</f>
        <v/>
      </c>
      <c r="O3388" s="13" t="str">
        <f t="shared" si="1"/>
        <v/>
      </c>
    </row>
    <row r="3389" ht="22.5" customHeight="1">
      <c r="B3389" s="13">
        <f>IFERROR(__xludf.DUMMYFUNCTION("""COMPUTED_VALUE"""),3384.0)</f>
        <v>3384</v>
      </c>
      <c r="C3389" s="13" t="str">
        <f>IFERROR(__xludf.DUMMYFUNCTION("""COMPUTED_VALUE"""),"M. 2127/ Sukarame II")</f>
        <v>M. 2127/ Sukarame II</v>
      </c>
      <c r="D3389" s="13" t="str">
        <f>IFERROR(__xludf.DUMMYFUNCTION("""COMPUTED_VALUE"""),"K/8/290725/1")</f>
        <v>K/8/290725/1</v>
      </c>
      <c r="E3389" s="14" t="str">
        <f>IFERROR(__xludf.DUMMYFUNCTION("""COMPUTED_VALUE"""),"Admin (Migrasi)")</f>
        <v>Admin (Migrasi)</v>
      </c>
      <c r="F3389" s="14" t="str">
        <f>IFERROR(__xludf.DUMMYFUNCTION("""COMPUTED_VALUE"""),"SELESAI (VIA PERMOHONAN)")</f>
        <v>SELESAI (VIA PERMOHONAN)</v>
      </c>
      <c r="G3389" s="17">
        <f>IFERROR(__xludf.DUMMYFUNCTION("""COMPUTED_VALUE"""),45880.73421116898)</f>
        <v>45880.73421</v>
      </c>
      <c r="H3389" s="14" t="str">
        <f>IFERROR(__xludf.DUMMYFUNCTION("""COMPUTED_VALUE"""),"Admin (Migrasi)")</f>
        <v>Admin (Migrasi)</v>
      </c>
      <c r="I3389" s="13" t="str">
        <f>IFERROR(__xludf.DUMMYFUNCTION("""COMPUTED_VALUE"""),"SELESAI (VIA PERMOHONAN)")</f>
        <v>SELESAI (VIA PERMOHONAN)</v>
      </c>
      <c r="J3389" s="17">
        <f>IFERROR(__xludf.DUMMYFUNCTION("""COMPUTED_VALUE"""),45880.73421679398)</f>
        <v>45880.73422</v>
      </c>
      <c r="K3389" s="13" t="str">
        <f>IFERROR(__xludf.DUMMYFUNCTION("""COMPUTED_VALUE"""),"Selesai")</f>
        <v>Selesai</v>
      </c>
      <c r="L3389" s="17">
        <f>IFERROR(__xludf.DUMMYFUNCTION("""COMPUTED_VALUE"""),45880.73421679398)</f>
        <v>45880.73422</v>
      </c>
      <c r="M3389" s="13"/>
      <c r="N3389" s="13" t="str">
        <f>IFERROR(__xludf.DUMMYFUNCTION("""COMPUTED_VALUE"""),"")</f>
        <v/>
      </c>
      <c r="O3389" s="13" t="str">
        <f t="shared" si="1"/>
        <v/>
      </c>
    </row>
    <row r="3390" ht="22.5" customHeight="1">
      <c r="B3390" s="13">
        <f>IFERROR(__xludf.DUMMYFUNCTION("""COMPUTED_VALUE"""),3385.0)</f>
        <v>3385</v>
      </c>
      <c r="C3390" s="13" t="str">
        <f>IFERROR(__xludf.DUMMYFUNCTION("""COMPUTED_VALUE"""),"M. 1039/ Tanjung Gading")</f>
        <v>M. 1039/ Tanjung Gading</v>
      </c>
      <c r="D3390" s="13" t="str">
        <f>IFERROR(__xludf.DUMMYFUNCTION("""COMPUTED_VALUE"""),"K/40/250725/1")</f>
        <v>K/40/250725/1</v>
      </c>
      <c r="E3390" s="14" t="str">
        <f>IFERROR(__xludf.DUMMYFUNCTION("""COMPUTED_VALUE"""),"Admin (Migrasi)")</f>
        <v>Admin (Migrasi)</v>
      </c>
      <c r="F3390" s="14" t="str">
        <f>IFERROR(__xludf.DUMMYFUNCTION("""COMPUTED_VALUE"""),"SELESAI (VIA PERMOHONAN)")</f>
        <v>SELESAI (VIA PERMOHONAN)</v>
      </c>
      <c r="G3390" s="17">
        <f>IFERROR(__xludf.DUMMYFUNCTION("""COMPUTED_VALUE"""),45880.73442587963)</f>
        <v>45880.73443</v>
      </c>
      <c r="H3390" s="14" t="str">
        <f>IFERROR(__xludf.DUMMYFUNCTION("""COMPUTED_VALUE"""),"Admin (Migrasi)")</f>
        <v>Admin (Migrasi)</v>
      </c>
      <c r="I3390" s="13" t="str">
        <f>IFERROR(__xludf.DUMMYFUNCTION("""COMPUTED_VALUE"""),"SELESAI (VIA PERMOHONAN)")</f>
        <v>SELESAI (VIA PERMOHONAN)</v>
      </c>
      <c r="J3390" s="17">
        <f>IFERROR(__xludf.DUMMYFUNCTION("""COMPUTED_VALUE"""),45880.734452199074)</f>
        <v>45880.73445</v>
      </c>
      <c r="K3390" s="13" t="str">
        <f>IFERROR(__xludf.DUMMYFUNCTION("""COMPUTED_VALUE"""),"Selesai")</f>
        <v>Selesai</v>
      </c>
      <c r="L3390" s="17">
        <f>IFERROR(__xludf.DUMMYFUNCTION("""COMPUTED_VALUE"""),45880.734452199074)</f>
        <v>45880.73445</v>
      </c>
      <c r="M3390" s="13"/>
      <c r="N3390" s="13" t="str">
        <f>IFERROR(__xludf.DUMMYFUNCTION("""COMPUTED_VALUE"""),"")</f>
        <v/>
      </c>
      <c r="O3390" s="13" t="str">
        <f t="shared" si="1"/>
        <v/>
      </c>
    </row>
    <row r="3391" ht="22.5" customHeight="1">
      <c r="B3391" s="13">
        <f>IFERROR(__xludf.DUMMYFUNCTION("""COMPUTED_VALUE"""),3386.0)</f>
        <v>3386</v>
      </c>
      <c r="C3391" s="13" t="str">
        <f>IFERROR(__xludf.DUMMYFUNCTION("""COMPUTED_VALUE"""),"M.4338/WAY KANDIS")</f>
        <v>M.4338/WAY KANDIS</v>
      </c>
      <c r="D3391" s="13" t="str">
        <f>IFERROR(__xludf.DUMMYFUNCTION("""COMPUTED_VALUE"""),"K/9/300725/1")</f>
        <v>K/9/300725/1</v>
      </c>
      <c r="E3391" s="14" t="str">
        <f>IFERROR(__xludf.DUMMYFUNCTION("""COMPUTED_VALUE"""),"Admin (Migrasi)")</f>
        <v>Admin (Migrasi)</v>
      </c>
      <c r="F3391" s="14" t="str">
        <f>IFERROR(__xludf.DUMMYFUNCTION("""COMPUTED_VALUE"""),"SELESAI (VIA PERMOHONAN)")</f>
        <v>SELESAI (VIA PERMOHONAN)</v>
      </c>
      <c r="G3391" s="17">
        <f>IFERROR(__xludf.DUMMYFUNCTION("""COMPUTED_VALUE"""),45880.73486577546)</f>
        <v>45880.73487</v>
      </c>
      <c r="H3391" s="14" t="str">
        <f>IFERROR(__xludf.DUMMYFUNCTION("""COMPUTED_VALUE"""),"Admin (Migrasi)")</f>
        <v>Admin (Migrasi)</v>
      </c>
      <c r="I3391" s="13" t="str">
        <f>IFERROR(__xludf.DUMMYFUNCTION("""COMPUTED_VALUE"""),"SELESAI (VIA PERMOHONAN)")</f>
        <v>SELESAI (VIA PERMOHONAN)</v>
      </c>
      <c r="J3391" s="17">
        <f>IFERROR(__xludf.DUMMYFUNCTION("""COMPUTED_VALUE"""),45880.73492328703)</f>
        <v>45880.73492</v>
      </c>
      <c r="K3391" s="13" t="str">
        <f>IFERROR(__xludf.DUMMYFUNCTION("""COMPUTED_VALUE"""),"Selesai")</f>
        <v>Selesai</v>
      </c>
      <c r="L3391" s="17">
        <f>IFERROR(__xludf.DUMMYFUNCTION("""COMPUTED_VALUE"""),45880.73492328703)</f>
        <v>45880.73492</v>
      </c>
      <c r="M3391" s="13"/>
      <c r="N3391" s="13" t="str">
        <f>IFERROR(__xludf.DUMMYFUNCTION("""COMPUTED_VALUE"""),"")</f>
        <v/>
      </c>
      <c r="O3391" s="13" t="str">
        <f t="shared" si="1"/>
        <v/>
      </c>
    </row>
    <row r="3392" ht="22.5" customHeight="1">
      <c r="B3392" s="13">
        <f>IFERROR(__xludf.DUMMYFUNCTION("""COMPUTED_VALUE"""),3387.0)</f>
        <v>3387</v>
      </c>
      <c r="C3392" s="13" t="str">
        <f>IFERROR(__xludf.DUMMYFUNCTION("""COMPUTED_VALUE"""),"M.1016/ENGGAL")</f>
        <v>M.1016/ENGGAL</v>
      </c>
      <c r="D3392" s="13" t="str">
        <f>IFERROR(__xludf.DUMMYFUNCTION("""COMPUTED_VALUE"""),"L/4/190726/1")</f>
        <v>L/4/190726/1</v>
      </c>
      <c r="E3392" s="14" t="str">
        <f>IFERROR(__xludf.DUMMYFUNCTION("""COMPUTED_VALUE"""),"Admin (Migrasi)")</f>
        <v>Admin (Migrasi)</v>
      </c>
      <c r="F3392" s="14" t="str">
        <f>IFERROR(__xludf.DUMMYFUNCTION("""COMPUTED_VALUE"""),"SELESAI (VIA PERMOHONAN)")</f>
        <v>SELESAI (VIA PERMOHONAN)</v>
      </c>
      <c r="G3392" s="17">
        <f>IFERROR(__xludf.DUMMYFUNCTION("""COMPUTED_VALUE"""),45880.73546847222)</f>
        <v>45880.73547</v>
      </c>
      <c r="H3392" s="14" t="str">
        <f>IFERROR(__xludf.DUMMYFUNCTION("""COMPUTED_VALUE"""),"Admin (Migrasi)")</f>
        <v>Admin (Migrasi)</v>
      </c>
      <c r="I3392" s="13" t="str">
        <f>IFERROR(__xludf.DUMMYFUNCTION("""COMPUTED_VALUE"""),"SELESAI (VIA PERMOHONAN)")</f>
        <v>SELESAI (VIA PERMOHONAN)</v>
      </c>
      <c r="J3392" s="17">
        <f>IFERROR(__xludf.DUMMYFUNCTION("""COMPUTED_VALUE"""),45880.73573478009)</f>
        <v>45880.73573</v>
      </c>
      <c r="K3392" s="13" t="str">
        <f>IFERROR(__xludf.DUMMYFUNCTION("""COMPUTED_VALUE"""),"Selesai")</f>
        <v>Selesai</v>
      </c>
      <c r="L3392" s="17">
        <f>IFERROR(__xludf.DUMMYFUNCTION("""COMPUTED_VALUE"""),45880.73573478009)</f>
        <v>45880.73573</v>
      </c>
      <c r="M3392" s="13"/>
      <c r="N3392" s="13" t="str">
        <f>IFERROR(__xludf.DUMMYFUNCTION("""COMPUTED_VALUE"""),"")</f>
        <v/>
      </c>
      <c r="O3392" s="13" t="str">
        <f t="shared" si="1"/>
        <v/>
      </c>
    </row>
    <row r="3393" ht="22.5" customHeight="1">
      <c r="B3393" s="13">
        <f>IFERROR(__xludf.DUMMYFUNCTION("""COMPUTED_VALUE"""),3388.0)</f>
        <v>3388</v>
      </c>
      <c r="C3393" s="13" t="str">
        <f>IFERROR(__xludf.DUMMYFUNCTION("""COMPUTED_VALUE"""),"M. 1855/ Rajabasa Nunyai")</f>
        <v>M. 1855/ Rajabasa Nunyai</v>
      </c>
      <c r="D3393" s="13" t="str">
        <f>IFERROR(__xludf.DUMMYFUNCTION("""COMPUTED_VALUE"""),"K/6/150725/2")</f>
        <v>K/6/150725/2</v>
      </c>
      <c r="E3393" s="14" t="str">
        <f>IFERROR(__xludf.DUMMYFUNCTION("""COMPUTED_VALUE"""),"Admin (Migrasi)")</f>
        <v>Admin (Migrasi)</v>
      </c>
      <c r="F3393" s="14" t="str">
        <f>IFERROR(__xludf.DUMMYFUNCTION("""COMPUTED_VALUE"""),"SELESAI (VIA PERMOHONAN)")</f>
        <v>SELESAI (VIA PERMOHONAN)</v>
      </c>
      <c r="G3393" s="17">
        <f>IFERROR(__xludf.DUMMYFUNCTION("""COMPUTED_VALUE"""),45881.44035578704)</f>
        <v>45881.44036</v>
      </c>
      <c r="H3393" s="14" t="str">
        <f>IFERROR(__xludf.DUMMYFUNCTION("""COMPUTED_VALUE"""),"Admin (Migrasi)")</f>
        <v>Admin (Migrasi)</v>
      </c>
      <c r="I3393" s="13" t="str">
        <f>IFERROR(__xludf.DUMMYFUNCTION("""COMPUTED_VALUE"""),"SELESAI (VIA PERMOHONAN)")</f>
        <v>SELESAI (VIA PERMOHONAN)</v>
      </c>
      <c r="J3393" s="17">
        <f>IFERROR(__xludf.DUMMYFUNCTION("""COMPUTED_VALUE"""),45881.44035578704)</f>
        <v>45881.44036</v>
      </c>
      <c r="K3393" s="13" t="str">
        <f>IFERROR(__xludf.DUMMYFUNCTION("""COMPUTED_VALUE"""),"Selesai")</f>
        <v>Selesai</v>
      </c>
      <c r="L3393" s="17">
        <f>IFERROR(__xludf.DUMMYFUNCTION("""COMPUTED_VALUE"""),45881.44035578704)</f>
        <v>45881.44036</v>
      </c>
      <c r="M3393" s="13"/>
      <c r="N3393" s="13" t="str">
        <f>IFERROR(__xludf.DUMMYFUNCTION("""COMPUTED_VALUE"""),"")</f>
        <v/>
      </c>
      <c r="O3393" s="13" t="str">
        <f t="shared" si="1"/>
        <v/>
      </c>
    </row>
    <row r="3394" ht="22.5" customHeight="1">
      <c r="B3394" s="13">
        <f>IFERROR(__xludf.DUMMYFUNCTION("""COMPUTED_VALUE"""),3389.0)</f>
        <v>3389</v>
      </c>
      <c r="C3394" s="13" t="str">
        <f>IFERROR(__xludf.DUMMYFUNCTION("""COMPUTED_VALUE"""),"M. 11267/ Rajabasa")</f>
        <v>M. 11267/ Rajabasa</v>
      </c>
      <c r="D3394" s="13" t="str">
        <f>IFERROR(__xludf.DUMMYFUNCTION("""COMPUTED_VALUE"""),"K/7/310725/1")</f>
        <v>K/7/310725/1</v>
      </c>
      <c r="E3394" s="14" t="str">
        <f>IFERROR(__xludf.DUMMYFUNCTION("""COMPUTED_VALUE"""),"Admin (Migrasi)")</f>
        <v>Admin (Migrasi)</v>
      </c>
      <c r="F3394" s="14" t="str">
        <f>IFERROR(__xludf.DUMMYFUNCTION("""COMPUTED_VALUE"""),"SELESAI (VIA PERMOHONAN)")</f>
        <v>SELESAI (VIA PERMOHONAN)</v>
      </c>
      <c r="G3394" s="17">
        <f>IFERROR(__xludf.DUMMYFUNCTION("""COMPUTED_VALUE"""),45881.440537083334)</f>
        <v>45881.44054</v>
      </c>
      <c r="H3394" s="14" t="str">
        <f>IFERROR(__xludf.DUMMYFUNCTION("""COMPUTED_VALUE"""),"Admin (Migrasi)")</f>
        <v>Admin (Migrasi)</v>
      </c>
      <c r="I3394" s="13" t="str">
        <f>IFERROR(__xludf.DUMMYFUNCTION("""COMPUTED_VALUE"""),"SELESAI (VIA PERMOHONAN)")</f>
        <v>SELESAI (VIA PERMOHONAN)</v>
      </c>
      <c r="J3394" s="17">
        <f>IFERROR(__xludf.DUMMYFUNCTION("""COMPUTED_VALUE"""),45881.440537083334)</f>
        <v>45881.44054</v>
      </c>
      <c r="K3394" s="13" t="str">
        <f>IFERROR(__xludf.DUMMYFUNCTION("""COMPUTED_VALUE"""),"Selesai")</f>
        <v>Selesai</v>
      </c>
      <c r="L3394" s="17">
        <f>IFERROR(__xludf.DUMMYFUNCTION("""COMPUTED_VALUE"""),45881.440537083334)</f>
        <v>45881.44054</v>
      </c>
      <c r="M3394" s="13"/>
      <c r="N3394" s="13" t="str">
        <f>IFERROR(__xludf.DUMMYFUNCTION("""COMPUTED_VALUE"""),"")</f>
        <v/>
      </c>
      <c r="O3394" s="13" t="str">
        <f t="shared" si="1"/>
        <v/>
      </c>
    </row>
    <row r="3395" ht="22.5" customHeight="1">
      <c r="B3395" s="13">
        <f>IFERROR(__xludf.DUMMYFUNCTION("""COMPUTED_VALUE"""),3390.0)</f>
        <v>3390</v>
      </c>
      <c r="C3395" s="13" t="str">
        <f>IFERROR(__xludf.DUMMYFUNCTION("""COMPUTED_VALUE"""),"B. 2413/ Campang Jaya")</f>
        <v>B. 2413/ Campang Jaya</v>
      </c>
      <c r="D3395" s="13" t="str">
        <f>IFERROR(__xludf.DUMMYFUNCTION("""COMPUTED_VALUE"""),"K/15/180725/1")</f>
        <v>K/15/180725/1</v>
      </c>
      <c r="E3395" s="14" t="str">
        <f>IFERROR(__xludf.DUMMYFUNCTION("""COMPUTED_VALUE"""),"Admin (Migrasi)")</f>
        <v>Admin (Migrasi)</v>
      </c>
      <c r="F3395" s="14" t="str">
        <f>IFERROR(__xludf.DUMMYFUNCTION("""COMPUTED_VALUE"""),"SELESAI (VIA PERMOHONAN)")</f>
        <v>SELESAI (VIA PERMOHONAN)</v>
      </c>
      <c r="G3395" s="17">
        <f>IFERROR(__xludf.DUMMYFUNCTION("""COMPUTED_VALUE"""),45881.44065671296)</f>
        <v>45881.44066</v>
      </c>
      <c r="H3395" s="14" t="str">
        <f>IFERROR(__xludf.DUMMYFUNCTION("""COMPUTED_VALUE"""),"Admin (Migrasi)")</f>
        <v>Admin (Migrasi)</v>
      </c>
      <c r="I3395" s="13" t="str">
        <f>IFERROR(__xludf.DUMMYFUNCTION("""COMPUTED_VALUE"""),"SELESAI (VIA PERMOHONAN)")</f>
        <v>SELESAI (VIA PERMOHONAN)</v>
      </c>
      <c r="J3395" s="17">
        <f>IFERROR(__xludf.DUMMYFUNCTION("""COMPUTED_VALUE"""),45881.44068519676)</f>
        <v>45881.44069</v>
      </c>
      <c r="K3395" s="13" t="str">
        <f>IFERROR(__xludf.DUMMYFUNCTION("""COMPUTED_VALUE"""),"Selesai")</f>
        <v>Selesai</v>
      </c>
      <c r="L3395" s="17">
        <f>IFERROR(__xludf.DUMMYFUNCTION("""COMPUTED_VALUE"""),45881.44068519676)</f>
        <v>45881.44069</v>
      </c>
      <c r="M3395" s="13"/>
      <c r="N3395" s="13" t="str">
        <f>IFERROR(__xludf.DUMMYFUNCTION("""COMPUTED_VALUE"""),"")</f>
        <v/>
      </c>
      <c r="O3395" s="13" t="str">
        <f t="shared" si="1"/>
        <v/>
      </c>
    </row>
    <row r="3396" ht="22.5" customHeight="1">
      <c r="B3396" s="13">
        <f>IFERROR(__xludf.DUMMYFUNCTION("""COMPUTED_VALUE"""),3391.0)</f>
        <v>3391</v>
      </c>
      <c r="C3396" s="13" t="str">
        <f>IFERROR(__xludf.DUMMYFUNCTION("""COMPUTED_VALUE"""),"HM 12640/SEGALA MIDER")</f>
        <v>HM 12640/SEGALA MIDER</v>
      </c>
      <c r="D3396" s="13" t="str">
        <f>IFERROR(__xludf.DUMMYFUNCTION("""COMPUTED_VALUE"""),"L/11/310725/1")</f>
        <v>L/11/310725/1</v>
      </c>
      <c r="E3396" s="14" t="str">
        <f>IFERROR(__xludf.DUMMYFUNCTION("""COMPUTED_VALUE"""),"Heri (BT)")</f>
        <v>Heri (BT)</v>
      </c>
      <c r="F3396" s="14" t="str">
        <f>IFERROR(__xludf.DUMMYFUNCTION("""COMPUTED_VALUE"""),"SELESAI (VIA PERMOHONAN)")</f>
        <v>SELESAI (VIA PERMOHONAN)</v>
      </c>
      <c r="G3396" s="17">
        <f>IFERROR(__xludf.DUMMYFUNCTION("""COMPUTED_VALUE"""),45881.49034855324)</f>
        <v>45881.49035</v>
      </c>
      <c r="H3396" s="14" t="str">
        <f>IFERROR(__xludf.DUMMYFUNCTION("""COMPUTED_VALUE"""),"Eci (SU)")</f>
        <v>Eci (SU)</v>
      </c>
      <c r="I3396" s="13" t="str">
        <f>IFERROR(__xludf.DUMMYFUNCTION("""COMPUTED_VALUE"""),"SELESAI (VIA PERMOHONAN)")</f>
        <v>SELESAI (VIA PERMOHONAN)</v>
      </c>
      <c r="J3396" s="17">
        <f>IFERROR(__xludf.DUMMYFUNCTION("""COMPUTED_VALUE"""),45881.65525241898)</f>
        <v>45881.65525</v>
      </c>
      <c r="K3396" s="13" t="str">
        <f>IFERROR(__xludf.DUMMYFUNCTION("""COMPUTED_VALUE"""),"Selesai")</f>
        <v>Selesai</v>
      </c>
      <c r="L3396" s="17">
        <f>IFERROR(__xludf.DUMMYFUNCTION("""COMPUTED_VALUE"""),45881.65525241898)</f>
        <v>45881.65525</v>
      </c>
      <c r="M3396" s="13"/>
      <c r="N3396" s="13" t="str">
        <f>IFERROR(__xludf.DUMMYFUNCTION("""COMPUTED_VALUE"""),"")</f>
        <v/>
      </c>
      <c r="O3396" s="13" t="str">
        <f t="shared" si="1"/>
        <v/>
      </c>
    </row>
    <row r="3397" ht="22.5" customHeight="1">
      <c r="B3397" s="13">
        <f>IFERROR(__xludf.DUMMYFUNCTION("""COMPUTED_VALUE"""),3392.0)</f>
        <v>3392</v>
      </c>
      <c r="C3397" s="13" t="str">
        <f>IFERROR(__xludf.DUMMYFUNCTION("""COMPUTED_VALUE"""),"M. 3357/ Kemiling Permai")</f>
        <v>M. 3357/ Kemiling Permai</v>
      </c>
      <c r="D3397" s="13" t="str">
        <f>IFERROR(__xludf.DUMMYFUNCTION("""COMPUTED_VALUE"""),"K/1/300725/1")</f>
        <v>K/1/300725/1</v>
      </c>
      <c r="E3397" s="14" t="str">
        <f>IFERROR(__xludf.DUMMYFUNCTION("""COMPUTED_VALUE"""),"Heri (BT)")</f>
        <v>Heri (BT)</v>
      </c>
      <c r="F3397" s="14" t="str">
        <f>IFERROR(__xludf.DUMMYFUNCTION("""COMPUTED_VALUE"""),"SELESAI (VIA PERMOHONAN)")</f>
        <v>SELESAI (VIA PERMOHONAN)</v>
      </c>
      <c r="G3397" s="17">
        <f>IFERROR(__xludf.DUMMYFUNCTION("""COMPUTED_VALUE"""),45881.49045503473)</f>
        <v>45881.49046</v>
      </c>
      <c r="H3397" s="14" t="str">
        <f>IFERROR(__xludf.DUMMYFUNCTION("""COMPUTED_VALUE"""),"Eci (SU)")</f>
        <v>Eci (SU)</v>
      </c>
      <c r="I3397" s="13" t="str">
        <f>IFERROR(__xludf.DUMMYFUNCTION("""COMPUTED_VALUE"""),"SELESAI (VIA PERMOHONAN)")</f>
        <v>SELESAI (VIA PERMOHONAN)</v>
      </c>
      <c r="J3397" s="17">
        <f>IFERROR(__xludf.DUMMYFUNCTION("""COMPUTED_VALUE"""),45882.38331847222)</f>
        <v>45882.38332</v>
      </c>
      <c r="K3397" s="13" t="str">
        <f>IFERROR(__xludf.DUMMYFUNCTION("""COMPUTED_VALUE"""),"Selesai")</f>
        <v>Selesai</v>
      </c>
      <c r="L3397" s="17">
        <f>IFERROR(__xludf.DUMMYFUNCTION("""COMPUTED_VALUE"""),45882.38331847222)</f>
        <v>45882.38332</v>
      </c>
      <c r="M3397" s="13"/>
      <c r="N3397" s="13" t="str">
        <f>IFERROR(__xludf.DUMMYFUNCTION("""COMPUTED_VALUE"""),"")</f>
        <v/>
      </c>
      <c r="O3397" s="13" t="str">
        <f t="shared" si="1"/>
        <v/>
      </c>
    </row>
    <row r="3398" ht="22.5" customHeight="1">
      <c r="B3398" s="13">
        <f>IFERROR(__xludf.DUMMYFUNCTION("""COMPUTED_VALUE"""),3393.0)</f>
        <v>3393</v>
      </c>
      <c r="C3398" s="13" t="str">
        <f>IFERROR(__xludf.DUMMYFUNCTION("""COMPUTED_VALUE"""),"M. 1568/ Bumi Kedamaian")</f>
        <v>M. 1568/ Bumi Kedamaian</v>
      </c>
      <c r="D3398" s="13" t="str">
        <f>IFERROR(__xludf.DUMMYFUNCTION("""COMPUTED_VALUE"""),"K/13/310725/2")</f>
        <v>K/13/310725/2</v>
      </c>
      <c r="E3398" s="14" t="str">
        <f>IFERROR(__xludf.DUMMYFUNCTION("""COMPUTED_VALUE"""),"Heri (BT)")</f>
        <v>Heri (BT)</v>
      </c>
      <c r="F3398" s="14" t="str">
        <f>IFERROR(__xludf.DUMMYFUNCTION("""COMPUTED_VALUE"""),"SELESAI (VIA PERMOHONAN)")</f>
        <v>SELESAI (VIA PERMOHONAN)</v>
      </c>
      <c r="G3398" s="17">
        <f>IFERROR(__xludf.DUMMYFUNCTION("""COMPUTED_VALUE"""),45881.49060748843)</f>
        <v>45881.49061</v>
      </c>
      <c r="H3398" s="14" t="str">
        <f>IFERROR(__xludf.DUMMYFUNCTION("""COMPUTED_VALUE"""),"Eci (SU)")</f>
        <v>Eci (SU)</v>
      </c>
      <c r="I3398" s="13" t="str">
        <f>IFERROR(__xludf.DUMMYFUNCTION("""COMPUTED_VALUE"""),"SELESAI (VIA PERMOHONAN)")</f>
        <v>SELESAI (VIA PERMOHONAN)</v>
      </c>
      <c r="J3398" s="17">
        <f>IFERROR(__xludf.DUMMYFUNCTION("""COMPUTED_VALUE"""),45881.655277928236)</f>
        <v>45881.65528</v>
      </c>
      <c r="K3398" s="13" t="str">
        <f>IFERROR(__xludf.DUMMYFUNCTION("""COMPUTED_VALUE"""),"Selesai")</f>
        <v>Selesai</v>
      </c>
      <c r="L3398" s="17">
        <f>IFERROR(__xludf.DUMMYFUNCTION("""COMPUTED_VALUE"""),45881.655277928236)</f>
        <v>45881.65528</v>
      </c>
      <c r="M3398" s="13"/>
      <c r="N3398" s="13" t="str">
        <f>IFERROR(__xludf.DUMMYFUNCTION("""COMPUTED_VALUE"""),"")</f>
        <v/>
      </c>
      <c r="O3398" s="13" t="str">
        <f t="shared" si="1"/>
        <v/>
      </c>
    </row>
    <row r="3399" ht="22.5" customHeight="1">
      <c r="B3399" s="13">
        <f>IFERROR(__xludf.DUMMYFUNCTION("""COMPUTED_VALUE"""),3394.0)</f>
        <v>3394</v>
      </c>
      <c r="C3399" s="13" t="str">
        <f>IFERROR(__xludf.DUMMYFUNCTION("""COMPUTED_VALUE"""),"M. 2580/ Sumber Agung")</f>
        <v>M. 2580/ Sumber Agung</v>
      </c>
      <c r="D3399" s="13" t="str">
        <f>IFERROR(__xludf.DUMMYFUNCTION("""COMPUTED_VALUE"""),"K/24/310725/3")</f>
        <v>K/24/310725/3</v>
      </c>
      <c r="E3399" s="14" t="str">
        <f>IFERROR(__xludf.DUMMYFUNCTION("""COMPUTED_VALUE"""),"Heri (BT)")</f>
        <v>Heri (BT)</v>
      </c>
      <c r="F3399" s="14" t="str">
        <f>IFERROR(__xludf.DUMMYFUNCTION("""COMPUTED_VALUE"""),"SELESAI (VIA PERMOHONAN)")</f>
        <v>SELESAI (VIA PERMOHONAN)</v>
      </c>
      <c r="G3399" s="17">
        <f>IFERROR(__xludf.DUMMYFUNCTION("""COMPUTED_VALUE"""),45881.490858854166)</f>
        <v>45881.49086</v>
      </c>
      <c r="H3399" s="14" t="str">
        <f>IFERROR(__xludf.DUMMYFUNCTION("""COMPUTED_VALUE"""),"Eci (SU)")</f>
        <v>Eci (SU)</v>
      </c>
      <c r="I3399" s="13" t="str">
        <f>IFERROR(__xludf.DUMMYFUNCTION("""COMPUTED_VALUE"""),"SELESAI (VIA PERMOHONAN)")</f>
        <v>SELESAI (VIA PERMOHONAN)</v>
      </c>
      <c r="J3399" s="17">
        <f>IFERROR(__xludf.DUMMYFUNCTION("""COMPUTED_VALUE"""),45881.655305532404)</f>
        <v>45881.65531</v>
      </c>
      <c r="K3399" s="13" t="str">
        <f>IFERROR(__xludf.DUMMYFUNCTION("""COMPUTED_VALUE"""),"Selesai")</f>
        <v>Selesai</v>
      </c>
      <c r="L3399" s="17">
        <f>IFERROR(__xludf.DUMMYFUNCTION("""COMPUTED_VALUE"""),45881.655305532404)</f>
        <v>45881.65531</v>
      </c>
      <c r="M3399" s="13"/>
      <c r="N3399" s="13" t="str">
        <f>IFERROR(__xludf.DUMMYFUNCTION("""COMPUTED_VALUE"""),"")</f>
        <v/>
      </c>
      <c r="O3399" s="13" t="str">
        <f t="shared" si="1"/>
        <v/>
      </c>
    </row>
    <row r="3400" ht="22.5" customHeight="1">
      <c r="B3400" s="13">
        <f>IFERROR(__xludf.DUMMYFUNCTION("""COMPUTED_VALUE"""),3395.0)</f>
        <v>3395</v>
      </c>
      <c r="C3400" s="13" t="str">
        <f>IFERROR(__xludf.DUMMYFUNCTION("""COMPUTED_VALUE"""),"M. 1821/ Campang Jaya")</f>
        <v>M. 1821/ Campang Jaya</v>
      </c>
      <c r="D3400" s="13" t="str">
        <f>IFERROR(__xludf.DUMMYFUNCTION("""COMPUTED_VALUE"""),"K/19/290725/3")</f>
        <v>K/19/290725/3</v>
      </c>
      <c r="E3400" s="14" t="str">
        <f>IFERROR(__xludf.DUMMYFUNCTION("""COMPUTED_VALUE"""),"Heri (BT)")</f>
        <v>Heri (BT)</v>
      </c>
      <c r="F3400" s="14" t="str">
        <f>IFERROR(__xludf.DUMMYFUNCTION("""COMPUTED_VALUE"""),"SELESAI (VIA PERMOHONAN)")</f>
        <v>SELESAI (VIA PERMOHONAN)</v>
      </c>
      <c r="G3400" s="17">
        <f>IFERROR(__xludf.DUMMYFUNCTION("""COMPUTED_VALUE"""),45881.490940625)</f>
        <v>45881.49094</v>
      </c>
      <c r="H3400" s="14" t="str">
        <f>IFERROR(__xludf.DUMMYFUNCTION("""COMPUTED_VALUE"""),"Eci (SU)")</f>
        <v>Eci (SU)</v>
      </c>
      <c r="I3400" s="13" t="str">
        <f>IFERROR(__xludf.DUMMYFUNCTION("""COMPUTED_VALUE"""),"SELESAI (VIA PERMOHONAN)")</f>
        <v>SELESAI (VIA PERMOHONAN)</v>
      </c>
      <c r="J3400" s="17">
        <f>IFERROR(__xludf.DUMMYFUNCTION("""COMPUTED_VALUE"""),45881.655305532404)</f>
        <v>45881.65531</v>
      </c>
      <c r="K3400" s="13" t="str">
        <f>IFERROR(__xludf.DUMMYFUNCTION("""COMPUTED_VALUE"""),"Selesai")</f>
        <v>Selesai</v>
      </c>
      <c r="L3400" s="17">
        <f>IFERROR(__xludf.DUMMYFUNCTION("""COMPUTED_VALUE"""),45881.655305532404)</f>
        <v>45881.65531</v>
      </c>
      <c r="M3400" s="13"/>
      <c r="N3400" s="13" t="str">
        <f>IFERROR(__xludf.DUMMYFUNCTION("""COMPUTED_VALUE"""),"")</f>
        <v/>
      </c>
      <c r="O3400" s="13" t="str">
        <f t="shared" si="1"/>
        <v/>
      </c>
    </row>
    <row r="3401" ht="22.5" customHeight="1">
      <c r="B3401" s="13">
        <f>IFERROR(__xludf.DUMMYFUNCTION("""COMPUTED_VALUE"""),3396.0)</f>
        <v>3396</v>
      </c>
      <c r="C3401" s="13" t="str">
        <f>IFERROR(__xludf.DUMMYFUNCTION("""COMPUTED_VALUE"""),"M. 1492, 2305/ Campang Jaya")</f>
        <v>M. 1492, 2305/ Campang Jaya</v>
      </c>
      <c r="D3401" s="13" t="str">
        <f>IFERROR(__xludf.DUMMYFUNCTION("""COMPUTED_VALUE"""),"K/1/250725/1")</f>
        <v>K/1/250725/1</v>
      </c>
      <c r="E3401" s="14" t="str">
        <f>IFERROR(__xludf.DUMMYFUNCTION("""COMPUTED_VALUE"""),"Heri (BT)")</f>
        <v>Heri (BT)</v>
      </c>
      <c r="F3401" s="14" t="str">
        <f>IFERROR(__xludf.DUMMYFUNCTION("""COMPUTED_VALUE"""),"SELESAI (VIA PERMOHONAN)")</f>
        <v>SELESAI (VIA PERMOHONAN)</v>
      </c>
      <c r="G3401" s="17">
        <f>IFERROR(__xludf.DUMMYFUNCTION("""COMPUTED_VALUE"""),45881.49114135417)</f>
        <v>45881.49114</v>
      </c>
      <c r="H3401" s="14" t="str">
        <f>IFERROR(__xludf.DUMMYFUNCTION("""COMPUTED_VALUE"""),"Eci (SU)")</f>
        <v>Eci (SU)</v>
      </c>
      <c r="I3401" s="13" t="str">
        <f>IFERROR(__xludf.DUMMYFUNCTION("""COMPUTED_VALUE"""),"SELESAI (VIA PERMOHONAN)")</f>
        <v>SELESAI (VIA PERMOHONAN)</v>
      </c>
      <c r="J3401" s="17">
        <f>IFERROR(__xludf.DUMMYFUNCTION("""COMPUTED_VALUE"""),45881.655305532404)</f>
        <v>45881.65531</v>
      </c>
      <c r="K3401" s="13" t="str">
        <f>IFERROR(__xludf.DUMMYFUNCTION("""COMPUTED_VALUE"""),"Selesai")</f>
        <v>Selesai</v>
      </c>
      <c r="L3401" s="17">
        <f>IFERROR(__xludf.DUMMYFUNCTION("""COMPUTED_VALUE"""),45881.655305532404)</f>
        <v>45881.65531</v>
      </c>
      <c r="M3401" s="13"/>
      <c r="N3401" s="13" t="str">
        <f>IFERROR(__xludf.DUMMYFUNCTION("""COMPUTED_VALUE"""),"")</f>
        <v/>
      </c>
      <c r="O3401" s="13" t="str">
        <f t="shared" si="1"/>
        <v/>
      </c>
    </row>
    <row r="3402" ht="22.5" customHeight="1">
      <c r="B3402" s="13">
        <f>IFERROR(__xludf.DUMMYFUNCTION("""COMPUTED_VALUE"""),3397.0)</f>
        <v>3397</v>
      </c>
      <c r="C3402" s="13" t="str">
        <f>IFERROR(__xludf.DUMMYFUNCTION("""COMPUTED_VALUE"""),"M. 5044/ Rajabasa Jaya")</f>
        <v>M. 5044/ Rajabasa Jaya</v>
      </c>
      <c r="D3402" s="13" t="str">
        <f>IFERROR(__xludf.DUMMYFUNCTION("""COMPUTED_VALUE"""),"K/32/290725/1")</f>
        <v>K/32/290725/1</v>
      </c>
      <c r="E3402" s="14" t="str">
        <f>IFERROR(__xludf.DUMMYFUNCTION("""COMPUTED_VALUE"""),"Heri (BT)")</f>
        <v>Heri (BT)</v>
      </c>
      <c r="F3402" s="14" t="str">
        <f>IFERROR(__xludf.DUMMYFUNCTION("""COMPUTED_VALUE"""),"SELESAI (VIA PERMOHONAN)")</f>
        <v>SELESAI (VIA PERMOHONAN)</v>
      </c>
      <c r="G3402" s="17">
        <f>IFERROR(__xludf.DUMMYFUNCTION("""COMPUTED_VALUE"""),45881.49131229166)</f>
        <v>45881.49131</v>
      </c>
      <c r="H3402" s="14" t="str">
        <f>IFERROR(__xludf.DUMMYFUNCTION("""COMPUTED_VALUE"""),"Eci (SU)")</f>
        <v>Eci (SU)</v>
      </c>
      <c r="I3402" s="13" t="str">
        <f>IFERROR(__xludf.DUMMYFUNCTION("""COMPUTED_VALUE"""),"SELESAI (VIA PERMOHONAN)")</f>
        <v>SELESAI (VIA PERMOHONAN)</v>
      </c>
      <c r="J3402" s="17">
        <f>IFERROR(__xludf.DUMMYFUNCTION("""COMPUTED_VALUE"""),45881.655305532404)</f>
        <v>45881.65531</v>
      </c>
      <c r="K3402" s="13" t="str">
        <f>IFERROR(__xludf.DUMMYFUNCTION("""COMPUTED_VALUE"""),"Selesai")</f>
        <v>Selesai</v>
      </c>
      <c r="L3402" s="17">
        <f>IFERROR(__xludf.DUMMYFUNCTION("""COMPUTED_VALUE"""),45881.655305532404)</f>
        <v>45881.65531</v>
      </c>
      <c r="M3402" s="13"/>
      <c r="N3402" s="13" t="str">
        <f>IFERROR(__xludf.DUMMYFUNCTION("""COMPUTED_VALUE"""),"")</f>
        <v/>
      </c>
      <c r="O3402" s="13" t="str">
        <f t="shared" si="1"/>
        <v/>
      </c>
    </row>
    <row r="3403" ht="22.5" customHeight="1">
      <c r="B3403" s="13">
        <f>IFERROR(__xludf.DUMMYFUNCTION("""COMPUTED_VALUE"""),3398.0)</f>
        <v>3398</v>
      </c>
      <c r="C3403" s="13" t="str">
        <f>IFERROR(__xludf.DUMMYFUNCTION("""COMPUTED_VALUE"""),"HGB 37/RAJABASA PEMUKA")</f>
        <v>HGB 37/RAJABASA PEMUKA</v>
      </c>
      <c r="D3403" s="13" t="str">
        <f>IFERROR(__xludf.DUMMYFUNCTION("""COMPUTED_VALUE"""),"L/1/230725/1")</f>
        <v>L/1/230725/1</v>
      </c>
      <c r="E3403" s="14" t="str">
        <f>IFERROR(__xludf.DUMMYFUNCTION("""COMPUTED_VALUE"""),"Heri (BT)")</f>
        <v>Heri (BT)</v>
      </c>
      <c r="F3403" s="14" t="str">
        <f>IFERROR(__xludf.DUMMYFUNCTION("""COMPUTED_VALUE"""),"SELESAI (VIA PERMOHONAN)")</f>
        <v>SELESAI (VIA PERMOHONAN)</v>
      </c>
      <c r="G3403" s="17">
        <f>IFERROR(__xludf.DUMMYFUNCTION("""COMPUTED_VALUE"""),45881.491418414356)</f>
        <v>45881.49142</v>
      </c>
      <c r="H3403" s="14" t="str">
        <f>IFERROR(__xludf.DUMMYFUNCTION("""COMPUTED_VALUE"""),"Eci (SU)")</f>
        <v>Eci (SU)</v>
      </c>
      <c r="I3403" s="13" t="str">
        <f>IFERROR(__xludf.DUMMYFUNCTION("""COMPUTED_VALUE"""),"SELESAI (VIA PERMOHONAN)")</f>
        <v>SELESAI (VIA PERMOHONAN)</v>
      </c>
      <c r="J3403" s="17">
        <f>IFERROR(__xludf.DUMMYFUNCTION("""COMPUTED_VALUE"""),45881.655305532404)</f>
        <v>45881.65531</v>
      </c>
      <c r="K3403" s="13" t="str">
        <f>IFERROR(__xludf.DUMMYFUNCTION("""COMPUTED_VALUE"""),"Selesai")</f>
        <v>Selesai</v>
      </c>
      <c r="L3403" s="17">
        <f>IFERROR(__xludf.DUMMYFUNCTION("""COMPUTED_VALUE"""),45881.655305532404)</f>
        <v>45881.65531</v>
      </c>
      <c r="M3403" s="13"/>
      <c r="N3403" s="13" t="str">
        <f>IFERROR(__xludf.DUMMYFUNCTION("""COMPUTED_VALUE"""),"")</f>
        <v/>
      </c>
      <c r="O3403" s="13" t="str">
        <f t="shared" si="1"/>
        <v/>
      </c>
    </row>
    <row r="3404" ht="22.5" customHeight="1">
      <c r="B3404" s="13">
        <f>IFERROR(__xludf.DUMMYFUNCTION("""COMPUTED_VALUE"""),3399.0)</f>
        <v>3399</v>
      </c>
      <c r="C3404" s="13" t="str">
        <f>IFERROR(__xludf.DUMMYFUNCTION("""COMPUTED_VALUE"""),"M. 13967/ Labuhan Ratu")</f>
        <v>M. 13967/ Labuhan Ratu</v>
      </c>
      <c r="D3404" s="13" t="str">
        <f>IFERROR(__xludf.DUMMYFUNCTION("""COMPUTED_VALUE"""),"K/5/060825/1")</f>
        <v>K/5/060825/1</v>
      </c>
      <c r="E3404" s="14" t="str">
        <f>IFERROR(__xludf.DUMMYFUNCTION("""COMPUTED_VALUE"""),"Heri (BT)")</f>
        <v>Heri (BT)</v>
      </c>
      <c r="F3404" s="14" t="str">
        <f>IFERROR(__xludf.DUMMYFUNCTION("""COMPUTED_VALUE"""),"SELESAI (VIA PERMOHONAN)")</f>
        <v>SELESAI (VIA PERMOHONAN)</v>
      </c>
      <c r="G3404" s="17">
        <f>IFERROR(__xludf.DUMMYFUNCTION("""COMPUTED_VALUE"""),45881.49163984954)</f>
        <v>45881.49164</v>
      </c>
      <c r="H3404" s="14" t="str">
        <f>IFERROR(__xludf.DUMMYFUNCTION("""COMPUTED_VALUE"""),"Eci (SU)")</f>
        <v>Eci (SU)</v>
      </c>
      <c r="I3404" s="13" t="str">
        <f>IFERROR(__xludf.DUMMYFUNCTION("""COMPUTED_VALUE"""),"SELESAI (VIA PERMOHONAN)")</f>
        <v>SELESAI (VIA PERMOHONAN)</v>
      </c>
      <c r="J3404" s="17">
        <f>IFERROR(__xludf.DUMMYFUNCTION("""COMPUTED_VALUE"""),45881.65543662037)</f>
        <v>45881.65544</v>
      </c>
      <c r="K3404" s="13" t="str">
        <f>IFERROR(__xludf.DUMMYFUNCTION("""COMPUTED_VALUE"""),"Selesai")</f>
        <v>Selesai</v>
      </c>
      <c r="L3404" s="17">
        <f>IFERROR(__xludf.DUMMYFUNCTION("""COMPUTED_VALUE"""),45881.65543662037)</f>
        <v>45881.65544</v>
      </c>
      <c r="M3404" s="13"/>
      <c r="N3404" s="13" t="str">
        <f>IFERROR(__xludf.DUMMYFUNCTION("""COMPUTED_VALUE"""),"")</f>
        <v/>
      </c>
      <c r="O3404" s="13" t="str">
        <f t="shared" si="1"/>
        <v/>
      </c>
    </row>
    <row r="3405" ht="22.5" customHeight="1">
      <c r="B3405" s="13">
        <f>IFERROR(__xludf.DUMMYFUNCTION("""COMPUTED_VALUE"""),3400.0)</f>
        <v>3400</v>
      </c>
      <c r="C3405" s="13" t="str">
        <f>IFERROR(__xludf.DUMMYFUNCTION("""COMPUTED_VALUE"""),"HM 12146JAGABAYA II")</f>
        <v>HM 12146JAGABAYA II</v>
      </c>
      <c r="D3405" s="13" t="str">
        <f>IFERROR(__xludf.DUMMYFUNCTION("""COMPUTED_VALUE"""),"L/23/180725/1")</f>
        <v>L/23/180725/1</v>
      </c>
      <c r="E3405" s="14" t="str">
        <f>IFERROR(__xludf.DUMMYFUNCTION("""COMPUTED_VALUE"""),"Heri (BT)")</f>
        <v>Heri (BT)</v>
      </c>
      <c r="F3405" s="14" t="str">
        <f>IFERROR(__xludf.DUMMYFUNCTION("""COMPUTED_VALUE"""),"SELESAI (VIA PERMOHONAN)")</f>
        <v>SELESAI (VIA PERMOHONAN)</v>
      </c>
      <c r="G3405" s="17">
        <f>IFERROR(__xludf.DUMMYFUNCTION("""COMPUTED_VALUE"""),45881.49171862268)</f>
        <v>45881.49172</v>
      </c>
      <c r="H3405" s="14" t="str">
        <f>IFERROR(__xludf.DUMMYFUNCTION("""COMPUTED_VALUE"""),"Eci (SU)")</f>
        <v>Eci (SU)</v>
      </c>
      <c r="I3405" s="13" t="str">
        <f>IFERROR(__xludf.DUMMYFUNCTION("""COMPUTED_VALUE"""),"SELESAI (VIA PERMOHONAN)")</f>
        <v>SELESAI (VIA PERMOHONAN)</v>
      </c>
      <c r="J3405" s="17">
        <f>IFERROR(__xludf.DUMMYFUNCTION("""COMPUTED_VALUE"""),45881.65546238426)</f>
        <v>45881.65546</v>
      </c>
      <c r="K3405" s="13" t="str">
        <f>IFERROR(__xludf.DUMMYFUNCTION("""COMPUTED_VALUE"""),"Selesai")</f>
        <v>Selesai</v>
      </c>
      <c r="L3405" s="17">
        <f>IFERROR(__xludf.DUMMYFUNCTION("""COMPUTED_VALUE"""),45881.65546238426)</f>
        <v>45881.65546</v>
      </c>
      <c r="M3405" s="13"/>
      <c r="N3405" s="13" t="str">
        <f>IFERROR(__xludf.DUMMYFUNCTION("""COMPUTED_VALUE"""),"")</f>
        <v/>
      </c>
      <c r="O3405" s="13" t="str">
        <f t="shared" si="1"/>
        <v/>
      </c>
    </row>
    <row r="3406" ht="22.5" customHeight="1">
      <c r="B3406" s="13">
        <f>IFERROR(__xludf.DUMMYFUNCTION("""COMPUTED_VALUE"""),3401.0)</f>
        <v>3401</v>
      </c>
      <c r="C3406" s="13" t="str">
        <f>IFERROR(__xludf.DUMMYFUNCTION("""COMPUTED_VALUE"""),"HM 591/KEMILING RAYA")</f>
        <v>HM 591/KEMILING RAYA</v>
      </c>
      <c r="D3406" s="13" t="str">
        <f>IFERROR(__xludf.DUMMYFUNCTION("""COMPUTED_VALUE"""),"L/20/050325/1")</f>
        <v>L/20/050325/1</v>
      </c>
      <c r="E3406" s="14" t="str">
        <f>IFERROR(__xludf.DUMMYFUNCTION("""COMPUTED_VALUE"""),"Heri (BT)")</f>
        <v>Heri (BT)</v>
      </c>
      <c r="F3406" s="14" t="str">
        <f>IFERROR(__xludf.DUMMYFUNCTION("""COMPUTED_VALUE"""),"SELESAI (VIA PERMOHONAN)")</f>
        <v>SELESAI (VIA PERMOHONAN)</v>
      </c>
      <c r="G3406" s="17">
        <f>IFERROR(__xludf.DUMMYFUNCTION("""COMPUTED_VALUE"""),45881.4918128125)</f>
        <v>45881.49181</v>
      </c>
      <c r="H3406" s="14" t="str">
        <f>IFERROR(__xludf.DUMMYFUNCTION("""COMPUTED_VALUE"""),"Eci (SU)")</f>
        <v>Eci (SU)</v>
      </c>
      <c r="I3406" s="13" t="str">
        <f>IFERROR(__xludf.DUMMYFUNCTION("""COMPUTED_VALUE"""),"SELESAI (VIA PERMOHONAN)")</f>
        <v>SELESAI (VIA PERMOHONAN)</v>
      </c>
      <c r="J3406" s="17">
        <f>IFERROR(__xludf.DUMMYFUNCTION("""COMPUTED_VALUE"""),45881.65546238426)</f>
        <v>45881.65546</v>
      </c>
      <c r="K3406" s="13" t="str">
        <f>IFERROR(__xludf.DUMMYFUNCTION("""COMPUTED_VALUE"""),"Selesai")</f>
        <v>Selesai</v>
      </c>
      <c r="L3406" s="17">
        <f>IFERROR(__xludf.DUMMYFUNCTION("""COMPUTED_VALUE"""),45881.65546238426)</f>
        <v>45881.65546</v>
      </c>
      <c r="M3406" s="13"/>
      <c r="N3406" s="13" t="str">
        <f>IFERROR(__xludf.DUMMYFUNCTION("""COMPUTED_VALUE"""),"")</f>
        <v/>
      </c>
      <c r="O3406" s="13" t="str">
        <f t="shared" si="1"/>
        <v/>
      </c>
    </row>
    <row r="3407" ht="22.5" customHeight="1">
      <c r="B3407" s="13">
        <f>IFERROR(__xludf.DUMMYFUNCTION("""COMPUTED_VALUE"""),3402.0)</f>
        <v>3402</v>
      </c>
      <c r="C3407" s="13" t="str">
        <f>IFERROR(__xludf.DUMMYFUNCTION("""COMPUTED_VALUE"""),"B. 696/NEGERI OLOK GADING")</f>
        <v>B. 696/NEGERI OLOK GADING</v>
      </c>
      <c r="D3407" s="13" t="str">
        <f>IFERROR(__xludf.DUMMYFUNCTION("""COMPUTED_VALUE"""),"L/27/230725/1")</f>
        <v>L/27/230725/1</v>
      </c>
      <c r="E3407" s="14" t="str">
        <f>IFERROR(__xludf.DUMMYFUNCTION("""COMPUTED_VALUE"""),"Heri (BT)")</f>
        <v>Heri (BT)</v>
      </c>
      <c r="F3407" s="14" t="str">
        <f>IFERROR(__xludf.DUMMYFUNCTION("""COMPUTED_VALUE"""),"SELESAI (VIA PERMOHONAN)")</f>
        <v>SELESAI (VIA PERMOHONAN)</v>
      </c>
      <c r="G3407" s="17">
        <f>IFERROR(__xludf.DUMMYFUNCTION("""COMPUTED_VALUE"""),45881.491964444445)</f>
        <v>45881.49196</v>
      </c>
      <c r="H3407" s="14" t="str">
        <f>IFERROR(__xludf.DUMMYFUNCTION("""COMPUTED_VALUE"""),"Eci (SU)")</f>
        <v>Eci (SU)</v>
      </c>
      <c r="I3407" s="13" t="str">
        <f>IFERROR(__xludf.DUMMYFUNCTION("""COMPUTED_VALUE"""),"SELESAI (VIA PERMOHONAN)")</f>
        <v>SELESAI (VIA PERMOHONAN)</v>
      </c>
      <c r="J3407" s="17">
        <f>IFERROR(__xludf.DUMMYFUNCTION("""COMPUTED_VALUE"""),45881.65546238426)</f>
        <v>45881.65546</v>
      </c>
      <c r="K3407" s="13" t="str">
        <f>IFERROR(__xludf.DUMMYFUNCTION("""COMPUTED_VALUE"""),"Selesai")</f>
        <v>Selesai</v>
      </c>
      <c r="L3407" s="17">
        <f>IFERROR(__xludf.DUMMYFUNCTION("""COMPUTED_VALUE"""),45881.65546238426)</f>
        <v>45881.65546</v>
      </c>
      <c r="M3407" s="13"/>
      <c r="N3407" s="13" t="str">
        <f>IFERROR(__xludf.DUMMYFUNCTION("""COMPUTED_VALUE"""),"")</f>
        <v/>
      </c>
      <c r="O3407" s="13" t="str">
        <f t="shared" si="1"/>
        <v/>
      </c>
    </row>
    <row r="3408" ht="22.5" customHeight="1">
      <c r="B3408" s="13">
        <f>IFERROR(__xludf.DUMMYFUNCTION("""COMPUTED_VALUE"""),3403.0)</f>
        <v>3403</v>
      </c>
      <c r="C3408" s="13" t="str">
        <f>IFERROR(__xludf.DUMMYFUNCTION("""COMPUTED_VALUE"""),"HM 5733/WAY KANDIS")</f>
        <v>HM 5733/WAY KANDIS</v>
      </c>
      <c r="D3408" s="13" t="str">
        <f>IFERROR(__xludf.DUMMYFUNCTION("""COMPUTED_VALUE"""),"L/22/190525/1")</f>
        <v>L/22/190525/1</v>
      </c>
      <c r="E3408" s="14" t="str">
        <f>IFERROR(__xludf.DUMMYFUNCTION("""COMPUTED_VALUE"""),"Heri (BT)")</f>
        <v>Heri (BT)</v>
      </c>
      <c r="F3408" s="14" t="str">
        <f>IFERROR(__xludf.DUMMYFUNCTION("""COMPUTED_VALUE"""),"SELESAI (VIA PERMOHONAN)")</f>
        <v>SELESAI (VIA PERMOHONAN)</v>
      </c>
      <c r="G3408" s="17">
        <f>IFERROR(__xludf.DUMMYFUNCTION("""COMPUTED_VALUE"""),45881.492329699075)</f>
        <v>45881.49233</v>
      </c>
      <c r="H3408" s="14" t="str">
        <f>IFERROR(__xludf.DUMMYFUNCTION("""COMPUTED_VALUE"""),"Eci (SU)")</f>
        <v>Eci (SU)</v>
      </c>
      <c r="I3408" s="13" t="str">
        <f>IFERROR(__xludf.DUMMYFUNCTION("""COMPUTED_VALUE"""),"SELESAI (VIA PERMOHONAN)")</f>
        <v>SELESAI (VIA PERMOHONAN)</v>
      </c>
      <c r="J3408" s="17">
        <f>IFERROR(__xludf.DUMMYFUNCTION("""COMPUTED_VALUE"""),45881.65546238426)</f>
        <v>45881.65546</v>
      </c>
      <c r="K3408" s="13" t="str">
        <f>IFERROR(__xludf.DUMMYFUNCTION("""COMPUTED_VALUE"""),"Selesai")</f>
        <v>Selesai</v>
      </c>
      <c r="L3408" s="17">
        <f>IFERROR(__xludf.DUMMYFUNCTION("""COMPUTED_VALUE"""),45881.65546238426)</f>
        <v>45881.65546</v>
      </c>
      <c r="M3408" s="13"/>
      <c r="N3408" s="13" t="str">
        <f>IFERROR(__xludf.DUMMYFUNCTION("""COMPUTED_VALUE"""),"")</f>
        <v/>
      </c>
      <c r="O3408" s="13" t="str">
        <f t="shared" si="1"/>
        <v/>
      </c>
    </row>
    <row r="3409" ht="22.5" customHeight="1">
      <c r="B3409" s="13">
        <f>IFERROR(__xludf.DUMMYFUNCTION("""COMPUTED_VALUE"""),3404.0)</f>
        <v>3404</v>
      </c>
      <c r="C3409" s="13" t="str">
        <f>IFERROR(__xludf.DUMMYFUNCTION("""COMPUTED_VALUE"""),"HM 11463/SUKABUMI")</f>
        <v>HM 11463/SUKABUMI</v>
      </c>
      <c r="D3409" s="13" t="str">
        <f>IFERROR(__xludf.DUMMYFUNCTION("""COMPUTED_VALUE"""),"L/15/250725/1")</f>
        <v>L/15/250725/1</v>
      </c>
      <c r="E3409" s="14" t="str">
        <f>IFERROR(__xludf.DUMMYFUNCTION("""COMPUTED_VALUE"""),"Heri (BT)")</f>
        <v>Heri (BT)</v>
      </c>
      <c r="F3409" s="14" t="str">
        <f>IFERROR(__xludf.DUMMYFUNCTION("""COMPUTED_VALUE"""),"SELESAI (VIA PERMOHONAN)")</f>
        <v>SELESAI (VIA PERMOHONAN)</v>
      </c>
      <c r="G3409" s="17">
        <f>IFERROR(__xludf.DUMMYFUNCTION("""COMPUTED_VALUE"""),45881.492329699075)</f>
        <v>45881.49233</v>
      </c>
      <c r="H3409" s="14" t="str">
        <f>IFERROR(__xludf.DUMMYFUNCTION("""COMPUTED_VALUE"""),"Eci (SU)")</f>
        <v>Eci (SU)</v>
      </c>
      <c r="I3409" s="13" t="str">
        <f>IFERROR(__xludf.DUMMYFUNCTION("""COMPUTED_VALUE"""),"SELESAI (VIA PERMOHONAN)")</f>
        <v>SELESAI (VIA PERMOHONAN)</v>
      </c>
      <c r="J3409" s="17">
        <f>IFERROR(__xludf.DUMMYFUNCTION("""COMPUTED_VALUE"""),45881.65546238426)</f>
        <v>45881.65546</v>
      </c>
      <c r="K3409" s="13" t="str">
        <f>IFERROR(__xludf.DUMMYFUNCTION("""COMPUTED_VALUE"""),"Selesai")</f>
        <v>Selesai</v>
      </c>
      <c r="L3409" s="17">
        <f>IFERROR(__xludf.DUMMYFUNCTION("""COMPUTED_VALUE"""),45881.65546238426)</f>
        <v>45881.65546</v>
      </c>
      <c r="M3409" s="13"/>
      <c r="N3409" s="13" t="str">
        <f>IFERROR(__xludf.DUMMYFUNCTION("""COMPUTED_VALUE"""),"")</f>
        <v/>
      </c>
      <c r="O3409" s="13" t="str">
        <f t="shared" si="1"/>
        <v/>
      </c>
    </row>
    <row r="3410" ht="22.5" customHeight="1">
      <c r="B3410" s="13">
        <f>IFERROR(__xludf.DUMMYFUNCTION("""COMPUTED_VALUE"""),3405.0)</f>
        <v>3405</v>
      </c>
      <c r="C3410" s="13" t="str">
        <f>IFERROR(__xludf.DUMMYFUNCTION("""COMPUTED_VALUE"""),"HM 3465/TANJUNG SENANG")</f>
        <v>HM 3465/TANJUNG SENANG</v>
      </c>
      <c r="D3410" s="13" t="str">
        <f>IFERROR(__xludf.DUMMYFUNCTION("""COMPUTED_VALUE"""),"L/15/310725/1")</f>
        <v>L/15/310725/1</v>
      </c>
      <c r="E3410" s="14" t="str">
        <f>IFERROR(__xludf.DUMMYFUNCTION("""COMPUTED_VALUE"""),"Heri (BT)")</f>
        <v>Heri (BT)</v>
      </c>
      <c r="F3410" s="14" t="str">
        <f>IFERROR(__xludf.DUMMYFUNCTION("""COMPUTED_VALUE"""),"SELESAI (VIA PERMOHONAN)")</f>
        <v>SELESAI (VIA PERMOHONAN)</v>
      </c>
      <c r="G3410" s="17">
        <f>IFERROR(__xludf.DUMMYFUNCTION("""COMPUTED_VALUE"""),45881.49235212963)</f>
        <v>45881.49235</v>
      </c>
      <c r="H3410" s="14" t="str">
        <f>IFERROR(__xludf.DUMMYFUNCTION("""COMPUTED_VALUE"""),"Eci (SU)")</f>
        <v>Eci (SU)</v>
      </c>
      <c r="I3410" s="13" t="str">
        <f>IFERROR(__xludf.DUMMYFUNCTION("""COMPUTED_VALUE"""),"SELESAI (VIA PERMOHONAN)")</f>
        <v>SELESAI (VIA PERMOHONAN)</v>
      </c>
      <c r="J3410" s="17">
        <f>IFERROR(__xludf.DUMMYFUNCTION("""COMPUTED_VALUE"""),45881.65546238426)</f>
        <v>45881.65546</v>
      </c>
      <c r="K3410" s="13" t="str">
        <f>IFERROR(__xludf.DUMMYFUNCTION("""COMPUTED_VALUE"""),"Selesai")</f>
        <v>Selesai</v>
      </c>
      <c r="L3410" s="17">
        <f>IFERROR(__xludf.DUMMYFUNCTION("""COMPUTED_VALUE"""),45881.65546238426)</f>
        <v>45881.65546</v>
      </c>
      <c r="M3410" s="13"/>
      <c r="N3410" s="13" t="str">
        <f>IFERROR(__xludf.DUMMYFUNCTION("""COMPUTED_VALUE"""),"")</f>
        <v/>
      </c>
      <c r="O3410" s="13" t="str">
        <f t="shared" si="1"/>
        <v/>
      </c>
    </row>
    <row r="3411" ht="22.5" customHeight="1">
      <c r="B3411" s="13">
        <f>IFERROR(__xludf.DUMMYFUNCTION("""COMPUTED_VALUE"""),3406.0)</f>
        <v>3406</v>
      </c>
      <c r="C3411" s="13" t="str">
        <f>IFERROR(__xludf.DUMMYFUNCTION("""COMPUTED_VALUE"""),"M.2620/SUMBER AGUNG")</f>
        <v>M.2620/SUMBER AGUNG</v>
      </c>
      <c r="D3411" s="13" t="str">
        <f>IFERROR(__xludf.DUMMYFUNCTION("""COMPUTED_VALUE"""),"K/28/050825/5")</f>
        <v>K/28/050825/5</v>
      </c>
      <c r="E3411" s="14" t="str">
        <f>IFERROR(__xludf.DUMMYFUNCTION("""COMPUTED_VALUE"""),"Heri (BT)")</f>
        <v>Heri (BT)</v>
      </c>
      <c r="F3411" s="14" t="str">
        <f>IFERROR(__xludf.DUMMYFUNCTION("""COMPUTED_VALUE"""),"SELESAI (VIA PERMOHONAN)")</f>
        <v>SELESAI (VIA PERMOHONAN)</v>
      </c>
      <c r="G3411" s="17">
        <f>IFERROR(__xludf.DUMMYFUNCTION("""COMPUTED_VALUE"""),45881.492513854166)</f>
        <v>45881.49251</v>
      </c>
      <c r="H3411" s="14" t="str">
        <f>IFERROR(__xludf.DUMMYFUNCTION("""COMPUTED_VALUE"""),"Eci (SU)")</f>
        <v>Eci (SU)</v>
      </c>
      <c r="I3411" s="13" t="str">
        <f>IFERROR(__xludf.DUMMYFUNCTION("""COMPUTED_VALUE"""),"SELESAI (VIA PERMOHONAN)")</f>
        <v>SELESAI (VIA PERMOHONAN)</v>
      </c>
      <c r="J3411" s="17">
        <f>IFERROR(__xludf.DUMMYFUNCTION("""COMPUTED_VALUE"""),45881.65546238426)</f>
        <v>45881.65546</v>
      </c>
      <c r="K3411" s="13" t="str">
        <f>IFERROR(__xludf.DUMMYFUNCTION("""COMPUTED_VALUE"""),"Selesai")</f>
        <v>Selesai</v>
      </c>
      <c r="L3411" s="17">
        <f>IFERROR(__xludf.DUMMYFUNCTION("""COMPUTED_VALUE"""),45881.65546238426)</f>
        <v>45881.65546</v>
      </c>
      <c r="M3411" s="13"/>
      <c r="N3411" s="13" t="str">
        <f>IFERROR(__xludf.DUMMYFUNCTION("""COMPUTED_VALUE"""),"")</f>
        <v/>
      </c>
      <c r="O3411" s="13" t="str">
        <f t="shared" si="1"/>
        <v/>
      </c>
    </row>
    <row r="3412" ht="22.5" customHeight="1">
      <c r="B3412" s="13">
        <f>IFERROR(__xludf.DUMMYFUNCTION("""COMPUTED_VALUE"""),3407.0)</f>
        <v>3407</v>
      </c>
      <c r="C3412" s="13" t="str">
        <f>IFERROR(__xludf.DUMMYFUNCTION("""COMPUTED_VALUE"""),"M. 2304/SEPANG JAYA")</f>
        <v>M. 2304/SEPANG JAYA</v>
      </c>
      <c r="D3412" s="13" t="str">
        <f>IFERROR(__xludf.DUMMYFUNCTION("""COMPUTED_VALUE"""),"K/18/300725/1")</f>
        <v>K/18/300725/1</v>
      </c>
      <c r="E3412" s="14" t="str">
        <f>IFERROR(__xludf.DUMMYFUNCTION("""COMPUTED_VALUE"""),"Heri (BT)")</f>
        <v>Heri (BT)</v>
      </c>
      <c r="F3412" s="14" t="str">
        <f>IFERROR(__xludf.DUMMYFUNCTION("""COMPUTED_VALUE"""),"SELESAI (VIA PERMOHONAN)")</f>
        <v>SELESAI (VIA PERMOHONAN)</v>
      </c>
      <c r="G3412" s="17">
        <f>IFERROR(__xludf.DUMMYFUNCTION("""COMPUTED_VALUE"""),45881.492688784725)</f>
        <v>45881.49269</v>
      </c>
      <c r="H3412" s="14" t="str">
        <f>IFERROR(__xludf.DUMMYFUNCTION("""COMPUTED_VALUE"""),"Eci (SU)")</f>
        <v>Eci (SU)</v>
      </c>
      <c r="I3412" s="13" t="str">
        <f>IFERROR(__xludf.DUMMYFUNCTION("""COMPUTED_VALUE"""),"SELESAI (VIA PERMOHONAN)")</f>
        <v>SELESAI (VIA PERMOHONAN)</v>
      </c>
      <c r="J3412" s="17">
        <f>IFERROR(__xludf.DUMMYFUNCTION("""COMPUTED_VALUE"""),45881.65921861111)</f>
        <v>45881.65922</v>
      </c>
      <c r="K3412" s="13" t="str">
        <f>IFERROR(__xludf.DUMMYFUNCTION("""COMPUTED_VALUE"""),"Selesai")</f>
        <v>Selesai</v>
      </c>
      <c r="L3412" s="17">
        <f>IFERROR(__xludf.DUMMYFUNCTION("""COMPUTED_VALUE"""),45881.65921861111)</f>
        <v>45881.65922</v>
      </c>
      <c r="M3412" s="13"/>
      <c r="N3412" s="13" t="str">
        <f>IFERROR(__xludf.DUMMYFUNCTION("""COMPUTED_VALUE"""),"")</f>
        <v/>
      </c>
      <c r="O3412" s="13" t="str">
        <f t="shared" si="1"/>
        <v/>
      </c>
    </row>
    <row r="3413" ht="22.5" customHeight="1">
      <c r="B3413" s="13">
        <f>IFERROR(__xludf.DUMMYFUNCTION("""COMPUTED_VALUE"""),3408.0)</f>
        <v>3408</v>
      </c>
      <c r="C3413" s="13" t="str">
        <f>IFERROR(__xludf.DUMMYFUNCTION("""COMPUTED_VALUE"""),"M. 5159/RAJABASA JAYA")</f>
        <v>M. 5159/RAJABASA JAYA</v>
      </c>
      <c r="D3413" s="13" t="str">
        <f>IFERROR(__xludf.DUMMYFUNCTION("""COMPUTED_VALUE"""),"K/30/310725/1")</f>
        <v>K/30/310725/1</v>
      </c>
      <c r="E3413" s="14" t="str">
        <f>IFERROR(__xludf.DUMMYFUNCTION("""COMPUTED_VALUE"""),"Heri (BT)")</f>
        <v>Heri (BT)</v>
      </c>
      <c r="F3413" s="14" t="str">
        <f>IFERROR(__xludf.DUMMYFUNCTION("""COMPUTED_VALUE"""),"SELESAI (VIA PERMOHONAN)")</f>
        <v>SELESAI (VIA PERMOHONAN)</v>
      </c>
      <c r="G3413" s="17">
        <f>IFERROR(__xludf.DUMMYFUNCTION("""COMPUTED_VALUE"""),45881.49304890046)</f>
        <v>45881.49305</v>
      </c>
      <c r="H3413" s="14" t="str">
        <f>IFERROR(__xludf.DUMMYFUNCTION("""COMPUTED_VALUE"""),"Eci (SU)")</f>
        <v>Eci (SU)</v>
      </c>
      <c r="I3413" s="13" t="str">
        <f>IFERROR(__xludf.DUMMYFUNCTION("""COMPUTED_VALUE"""),"SELESAI (VIA PERMOHONAN)")</f>
        <v>SELESAI (VIA PERMOHONAN)</v>
      </c>
      <c r="J3413" s="17">
        <f>IFERROR(__xludf.DUMMYFUNCTION("""COMPUTED_VALUE"""),45881.65554070602)</f>
        <v>45881.65554</v>
      </c>
      <c r="K3413" s="13" t="str">
        <f>IFERROR(__xludf.DUMMYFUNCTION("""COMPUTED_VALUE"""),"Selesai")</f>
        <v>Selesai</v>
      </c>
      <c r="L3413" s="17">
        <f>IFERROR(__xludf.DUMMYFUNCTION("""COMPUTED_VALUE"""),45881.65554070602)</f>
        <v>45881.65554</v>
      </c>
      <c r="M3413" s="13"/>
      <c r="N3413" s="13" t="str">
        <f>IFERROR(__xludf.DUMMYFUNCTION("""COMPUTED_VALUE"""),"")</f>
        <v/>
      </c>
      <c r="O3413" s="13" t="str">
        <f t="shared" si="1"/>
        <v/>
      </c>
    </row>
    <row r="3414" ht="22.5" customHeight="1">
      <c r="B3414" s="13">
        <f>IFERROR(__xludf.DUMMYFUNCTION("""COMPUTED_VALUE"""),3409.0)</f>
        <v>3409</v>
      </c>
      <c r="C3414" s="13" t="str">
        <f>IFERROR(__xludf.DUMMYFUNCTION("""COMPUTED_VALUE"""),"HGB 4128/SUKABUMI")</f>
        <v>HGB 4128/SUKABUMI</v>
      </c>
      <c r="D3414" s="13" t="str">
        <f>IFERROR(__xludf.DUMMYFUNCTION("""COMPUTED_VALUE"""),"L/13/290725/1")</f>
        <v>L/13/290725/1</v>
      </c>
      <c r="E3414" s="14" t="str">
        <f>IFERROR(__xludf.DUMMYFUNCTION("""COMPUTED_VALUE"""),"Heri (BT)")</f>
        <v>Heri (BT)</v>
      </c>
      <c r="F3414" s="14" t="str">
        <f>IFERROR(__xludf.DUMMYFUNCTION("""COMPUTED_VALUE"""),"SELESAI (VIA PERMOHONAN)")</f>
        <v>SELESAI (VIA PERMOHONAN)</v>
      </c>
      <c r="G3414" s="17">
        <f>IFERROR(__xludf.DUMMYFUNCTION("""COMPUTED_VALUE"""),45881.49304890046)</f>
        <v>45881.49305</v>
      </c>
      <c r="H3414" s="14" t="str">
        <f>IFERROR(__xludf.DUMMYFUNCTION("""COMPUTED_VALUE"""),"Eci (SU)")</f>
        <v>Eci (SU)</v>
      </c>
      <c r="I3414" s="13" t="str">
        <f>IFERROR(__xludf.DUMMYFUNCTION("""COMPUTED_VALUE"""),"SELESAI (VIA PERMOHONAN)")</f>
        <v>SELESAI (VIA PERMOHONAN)</v>
      </c>
      <c r="J3414" s="17">
        <f>IFERROR(__xludf.DUMMYFUNCTION("""COMPUTED_VALUE"""),45881.655904178246)</f>
        <v>45881.6559</v>
      </c>
      <c r="K3414" s="13" t="str">
        <f>IFERROR(__xludf.DUMMYFUNCTION("""COMPUTED_VALUE"""),"Selesai")</f>
        <v>Selesai</v>
      </c>
      <c r="L3414" s="17">
        <f>IFERROR(__xludf.DUMMYFUNCTION("""COMPUTED_VALUE"""),45881.655904178246)</f>
        <v>45881.6559</v>
      </c>
      <c r="M3414" s="13"/>
      <c r="N3414" s="13" t="str">
        <f>IFERROR(__xludf.DUMMYFUNCTION("""COMPUTED_VALUE"""),"")</f>
        <v/>
      </c>
      <c r="O3414" s="13" t="str">
        <f t="shared" si="1"/>
        <v/>
      </c>
    </row>
    <row r="3415" ht="22.5" customHeight="1">
      <c r="B3415" s="13">
        <f>IFERROR(__xludf.DUMMYFUNCTION("""COMPUTED_VALUE"""),3410.0)</f>
        <v>3410</v>
      </c>
      <c r="C3415" s="13" t="str">
        <f>IFERROR(__xludf.DUMMYFUNCTION("""COMPUTED_VALUE"""),"HM 5368/WAY KANDIS")</f>
        <v>HM 5368/WAY KANDIS</v>
      </c>
      <c r="D3415" s="13" t="str">
        <f>IFERROR(__xludf.DUMMYFUNCTION("""COMPUTED_VALUE"""),"L/30/010825/1")</f>
        <v>L/30/010825/1</v>
      </c>
      <c r="E3415" s="14" t="str">
        <f>IFERROR(__xludf.DUMMYFUNCTION("""COMPUTED_VALUE"""),"Heri (BT)")</f>
        <v>Heri (BT)</v>
      </c>
      <c r="F3415" s="14" t="str">
        <f>IFERROR(__xludf.DUMMYFUNCTION("""COMPUTED_VALUE"""),"SELESAI (VIA PERMOHONAN)")</f>
        <v>SELESAI (VIA PERMOHONAN)</v>
      </c>
      <c r="G3415" s="17">
        <f>IFERROR(__xludf.DUMMYFUNCTION("""COMPUTED_VALUE"""),45881.49306684028)</f>
        <v>45881.49307</v>
      </c>
      <c r="H3415" s="14" t="str">
        <f>IFERROR(__xludf.DUMMYFUNCTION("""COMPUTED_VALUE"""),"Eci (SU)")</f>
        <v>Eci (SU)</v>
      </c>
      <c r="I3415" s="13" t="str">
        <f>IFERROR(__xludf.DUMMYFUNCTION("""COMPUTED_VALUE"""),"SELESAI (VIA PERMOHONAN)")</f>
        <v>SELESAI (VIA PERMOHONAN)</v>
      </c>
      <c r="J3415" s="17">
        <f>IFERROR(__xludf.DUMMYFUNCTION("""COMPUTED_VALUE"""),45881.655904178246)</f>
        <v>45881.6559</v>
      </c>
      <c r="K3415" s="13" t="str">
        <f>IFERROR(__xludf.DUMMYFUNCTION("""COMPUTED_VALUE"""),"Selesai")</f>
        <v>Selesai</v>
      </c>
      <c r="L3415" s="17">
        <f>IFERROR(__xludf.DUMMYFUNCTION("""COMPUTED_VALUE"""),45881.655904178246)</f>
        <v>45881.6559</v>
      </c>
      <c r="M3415" s="13"/>
      <c r="N3415" s="13" t="str">
        <f>IFERROR(__xludf.DUMMYFUNCTION("""COMPUTED_VALUE"""),"")</f>
        <v/>
      </c>
      <c r="O3415" s="13" t="str">
        <f t="shared" si="1"/>
        <v/>
      </c>
    </row>
    <row r="3416" ht="22.5" customHeight="1">
      <c r="B3416" s="13">
        <f>IFERROR(__xludf.DUMMYFUNCTION("""COMPUTED_VALUE"""),3411.0)</f>
        <v>3411</v>
      </c>
      <c r="C3416" s="13" t="str">
        <f>IFERROR(__xludf.DUMMYFUNCTION("""COMPUTED_VALUE"""),"HM 41/SUKARAME BARU")</f>
        <v>HM 41/SUKARAME BARU</v>
      </c>
      <c r="D3416" s="13" t="str">
        <f>IFERROR(__xludf.DUMMYFUNCTION("""COMPUTED_VALUE"""),"L/12/050825/1")</f>
        <v>L/12/050825/1</v>
      </c>
      <c r="E3416" s="14" t="str">
        <f>IFERROR(__xludf.DUMMYFUNCTION("""COMPUTED_VALUE"""),"Heri (BT)")</f>
        <v>Heri (BT)</v>
      </c>
      <c r="F3416" s="14" t="str">
        <f>IFERROR(__xludf.DUMMYFUNCTION("""COMPUTED_VALUE"""),"SELESAI (VIA PERMOHONAN)")</f>
        <v>SELESAI (VIA PERMOHONAN)</v>
      </c>
      <c r="G3416" s="17">
        <f>IFERROR(__xludf.DUMMYFUNCTION("""COMPUTED_VALUE"""),45881.56382599537)</f>
        <v>45881.56383</v>
      </c>
      <c r="H3416" s="14" t="str">
        <f>IFERROR(__xludf.DUMMYFUNCTION("""COMPUTED_VALUE"""),"Eci (SU)")</f>
        <v>Eci (SU)</v>
      </c>
      <c r="I3416" s="13" t="str">
        <f>IFERROR(__xludf.DUMMYFUNCTION("""COMPUTED_VALUE"""),"SELESAI (VIA PERMOHONAN)")</f>
        <v>SELESAI (VIA PERMOHONAN)</v>
      </c>
      <c r="J3416" s="17">
        <f>IFERROR(__xludf.DUMMYFUNCTION("""COMPUTED_VALUE"""),45881.655904178246)</f>
        <v>45881.6559</v>
      </c>
      <c r="K3416" s="13" t="str">
        <f>IFERROR(__xludf.DUMMYFUNCTION("""COMPUTED_VALUE"""),"Selesai")</f>
        <v>Selesai</v>
      </c>
      <c r="L3416" s="17">
        <f>IFERROR(__xludf.DUMMYFUNCTION("""COMPUTED_VALUE"""),45881.655904178246)</f>
        <v>45881.6559</v>
      </c>
      <c r="M3416" s="13"/>
      <c r="N3416" s="13" t="str">
        <f>IFERROR(__xludf.DUMMYFUNCTION("""COMPUTED_VALUE"""),"")</f>
        <v/>
      </c>
      <c r="O3416" s="13" t="str">
        <f t="shared" si="1"/>
        <v/>
      </c>
    </row>
    <row r="3417" ht="22.5" customHeight="1">
      <c r="B3417" s="13">
        <f>IFERROR(__xludf.DUMMYFUNCTION("""COMPUTED_VALUE"""),3412.0)</f>
        <v>3412</v>
      </c>
      <c r="C3417" s="13" t="str">
        <f>IFERROR(__xludf.DUMMYFUNCTION("""COMPUTED_VALUE"""),"M.1090/PERUMNAS WAY HALIM")</f>
        <v>M.1090/PERUMNAS WAY HALIM</v>
      </c>
      <c r="D3417" s="13" t="str">
        <f>IFERROR(__xludf.DUMMYFUNCTION("""COMPUTED_VALUE"""),"K/4/220725/1")</f>
        <v>K/4/220725/1</v>
      </c>
      <c r="E3417" s="14" t="str">
        <f>IFERROR(__xludf.DUMMYFUNCTION("""COMPUTED_VALUE"""),"Heri (BT)")</f>
        <v>Heri (BT)</v>
      </c>
      <c r="F3417" s="14" t="str">
        <f>IFERROR(__xludf.DUMMYFUNCTION("""COMPUTED_VALUE"""),"SELESAI (VIA PERMOHONAN)")</f>
        <v>SELESAI (VIA PERMOHONAN)</v>
      </c>
      <c r="G3417" s="17">
        <f>IFERROR(__xludf.DUMMYFUNCTION("""COMPUTED_VALUE"""),45881.564050347224)</f>
        <v>45881.56405</v>
      </c>
      <c r="H3417" s="14" t="str">
        <f>IFERROR(__xludf.DUMMYFUNCTION("""COMPUTED_VALUE"""),"Eci (SU)")</f>
        <v>Eci (SU)</v>
      </c>
      <c r="I3417" s="13" t="str">
        <f>IFERROR(__xludf.DUMMYFUNCTION("""COMPUTED_VALUE"""),"SELESAI (VIA PERMOHONAN)")</f>
        <v>SELESAI (VIA PERMOHONAN)</v>
      </c>
      <c r="J3417" s="17">
        <f>IFERROR(__xludf.DUMMYFUNCTION("""COMPUTED_VALUE"""),45881.655904178246)</f>
        <v>45881.6559</v>
      </c>
      <c r="K3417" s="13" t="str">
        <f>IFERROR(__xludf.DUMMYFUNCTION("""COMPUTED_VALUE"""),"Selesai")</f>
        <v>Selesai</v>
      </c>
      <c r="L3417" s="17">
        <f>IFERROR(__xludf.DUMMYFUNCTION("""COMPUTED_VALUE"""),45881.655904178246)</f>
        <v>45881.6559</v>
      </c>
      <c r="M3417" s="13"/>
      <c r="N3417" s="13" t="str">
        <f>IFERROR(__xludf.DUMMYFUNCTION("""COMPUTED_VALUE"""),"")</f>
        <v/>
      </c>
      <c r="O3417" s="13" t="str">
        <f t="shared" si="1"/>
        <v/>
      </c>
    </row>
    <row r="3418" ht="22.5" customHeight="1">
      <c r="B3418" s="13">
        <f>IFERROR(__xludf.DUMMYFUNCTION("""COMPUTED_VALUE"""),3413.0)</f>
        <v>3413</v>
      </c>
      <c r="C3418" s="13" t="str">
        <f>IFERROR(__xludf.DUMMYFUNCTION("""COMPUTED_VALUE"""),"M.15842/SUKARAME")</f>
        <v>M.15842/SUKARAME</v>
      </c>
      <c r="D3418" s="13" t="str">
        <f>IFERROR(__xludf.DUMMYFUNCTION("""COMPUTED_VALUE"""),"K/3/070725/1")</f>
        <v>K/3/070725/1</v>
      </c>
      <c r="E3418" s="14" t="str">
        <f>IFERROR(__xludf.DUMMYFUNCTION("""COMPUTED_VALUE"""),"Admin (Migrasi)")</f>
        <v>Admin (Migrasi)</v>
      </c>
      <c r="F3418" s="14" t="str">
        <f>IFERROR(__xludf.DUMMYFUNCTION("""COMPUTED_VALUE"""),"SELESAI (VIA PERMOHONAN)")</f>
        <v>SELESAI (VIA PERMOHONAN)</v>
      </c>
      <c r="G3418" s="17">
        <f>IFERROR(__xludf.DUMMYFUNCTION("""COMPUTED_VALUE"""),45883.42093221065)</f>
        <v>45883.42093</v>
      </c>
      <c r="H3418" s="14" t="str">
        <f>IFERROR(__xludf.DUMMYFUNCTION("""COMPUTED_VALUE"""),"Admin (Migrasi)")</f>
        <v>Admin (Migrasi)</v>
      </c>
      <c r="I3418" s="13" t="str">
        <f>IFERROR(__xludf.DUMMYFUNCTION("""COMPUTED_VALUE"""),"SELESAI (VIA PERMOHONAN)")</f>
        <v>SELESAI (VIA PERMOHONAN)</v>
      </c>
      <c r="J3418" s="17">
        <f>IFERROR(__xludf.DUMMYFUNCTION("""COMPUTED_VALUE"""),45883.42099184028)</f>
        <v>45883.42099</v>
      </c>
      <c r="K3418" s="13" t="str">
        <f>IFERROR(__xludf.DUMMYFUNCTION("""COMPUTED_VALUE"""),"Selesai")</f>
        <v>Selesai</v>
      </c>
      <c r="L3418" s="17">
        <f>IFERROR(__xludf.DUMMYFUNCTION("""COMPUTED_VALUE"""),45883.42099184028)</f>
        <v>45883.42099</v>
      </c>
      <c r="M3418" s="13"/>
      <c r="N3418" s="13" t="str">
        <f>IFERROR(__xludf.DUMMYFUNCTION("""COMPUTED_VALUE"""),"")</f>
        <v/>
      </c>
      <c r="O3418" s="13" t="str">
        <f t="shared" si="1"/>
        <v/>
      </c>
    </row>
    <row r="3419" ht="22.5" customHeight="1">
      <c r="B3419" s="13">
        <f>IFERROR(__xludf.DUMMYFUNCTION("""COMPUTED_VALUE"""),3414.0)</f>
        <v>3414</v>
      </c>
      <c r="C3419" s="13" t="str">
        <f>IFERROR(__xludf.DUMMYFUNCTION("""COMPUTED_VALUE"""),"M.2306/SEPANG JAYA")</f>
        <v>M.2306/SEPANG JAYA</v>
      </c>
      <c r="D3419" s="13" t="str">
        <f>IFERROR(__xludf.DUMMYFUNCTION("""COMPUTED_VALUE"""),"K/19/300725/2")</f>
        <v>K/19/300725/2</v>
      </c>
      <c r="E3419" s="14" t="str">
        <f>IFERROR(__xludf.DUMMYFUNCTION("""COMPUTED_VALUE"""),"Admin (Migrasi)")</f>
        <v>Admin (Migrasi)</v>
      </c>
      <c r="F3419" s="14" t="str">
        <f>IFERROR(__xludf.DUMMYFUNCTION("""COMPUTED_VALUE"""),"SELESAI (VIA PERMOHONAN)")</f>
        <v>SELESAI (VIA PERMOHONAN)</v>
      </c>
      <c r="G3419" s="17">
        <f>IFERROR(__xludf.DUMMYFUNCTION("""COMPUTED_VALUE"""),45883.42118793981)</f>
        <v>45883.42119</v>
      </c>
      <c r="H3419" s="14" t="str">
        <f>IFERROR(__xludf.DUMMYFUNCTION("""COMPUTED_VALUE"""),"Admin (Migrasi)")</f>
        <v>Admin (Migrasi)</v>
      </c>
      <c r="I3419" s="13" t="str">
        <f>IFERROR(__xludf.DUMMYFUNCTION("""COMPUTED_VALUE"""),"SELESAI (VIA PERMOHONAN)")</f>
        <v>SELESAI (VIA PERMOHONAN)</v>
      </c>
      <c r="J3419" s="17">
        <f>IFERROR(__xludf.DUMMYFUNCTION("""COMPUTED_VALUE"""),45883.42121153935)</f>
        <v>45883.42121</v>
      </c>
      <c r="K3419" s="13" t="str">
        <f>IFERROR(__xludf.DUMMYFUNCTION("""COMPUTED_VALUE"""),"Selesai")</f>
        <v>Selesai</v>
      </c>
      <c r="L3419" s="17">
        <f>IFERROR(__xludf.DUMMYFUNCTION("""COMPUTED_VALUE"""),45883.42121153935)</f>
        <v>45883.42121</v>
      </c>
      <c r="M3419" s="13"/>
      <c r="N3419" s="13" t="str">
        <f>IFERROR(__xludf.DUMMYFUNCTION("""COMPUTED_VALUE"""),"")</f>
        <v/>
      </c>
      <c r="O3419" s="13" t="str">
        <f t="shared" si="1"/>
        <v/>
      </c>
    </row>
    <row r="3420" ht="22.5" customHeight="1">
      <c r="B3420" s="13">
        <f>IFERROR(__xludf.DUMMYFUNCTION("""COMPUTED_VALUE"""),3415.0)</f>
        <v>3415</v>
      </c>
      <c r="C3420" s="13" t="str">
        <f>IFERROR(__xludf.DUMMYFUNCTION("""COMPUTED_VALUE"""),"M. 18341/ Sukarame")</f>
        <v>M. 18341/ Sukarame</v>
      </c>
      <c r="D3420" s="13" t="str">
        <f>IFERROR(__xludf.DUMMYFUNCTION("""COMPUTED_VALUE"""),"K/13/040825/2")</f>
        <v>K/13/040825/2</v>
      </c>
      <c r="E3420" s="14" t="str">
        <f>IFERROR(__xludf.DUMMYFUNCTION("""COMPUTED_VALUE"""),"Heri (BT)")</f>
        <v>Heri (BT)</v>
      </c>
      <c r="F3420" s="14" t="str">
        <f>IFERROR(__xludf.DUMMYFUNCTION("""COMPUTED_VALUE"""),"SELESAI (VIA PERMOHONAN)")</f>
        <v>SELESAI (VIA PERMOHONAN)</v>
      </c>
      <c r="G3420" s="17">
        <f>IFERROR(__xludf.DUMMYFUNCTION("""COMPUTED_VALUE"""),45883.56761319445)</f>
        <v>45883.56761</v>
      </c>
      <c r="H3420" s="14" t="str">
        <f>IFERROR(__xludf.DUMMYFUNCTION("""COMPUTED_VALUE"""),"Eci (SU)")</f>
        <v>Eci (SU)</v>
      </c>
      <c r="I3420" s="13" t="str">
        <f>IFERROR(__xludf.DUMMYFUNCTION("""COMPUTED_VALUE"""),"SELESAI (VIA PERMOHONAN)")</f>
        <v>SELESAI (VIA PERMOHONAN)</v>
      </c>
      <c r="J3420" s="17">
        <f>IFERROR(__xludf.DUMMYFUNCTION("""COMPUTED_VALUE"""),45883.64341134259)</f>
        <v>45883.64341</v>
      </c>
      <c r="K3420" s="13" t="str">
        <f>IFERROR(__xludf.DUMMYFUNCTION("""COMPUTED_VALUE"""),"Selesai")</f>
        <v>Selesai</v>
      </c>
      <c r="L3420" s="17">
        <f>IFERROR(__xludf.DUMMYFUNCTION("""COMPUTED_VALUE"""),45883.64341134259)</f>
        <v>45883.64341</v>
      </c>
      <c r="M3420" s="13"/>
      <c r="N3420" s="13" t="str">
        <f>IFERROR(__xludf.DUMMYFUNCTION("""COMPUTED_VALUE"""),"")</f>
        <v/>
      </c>
      <c r="O3420" s="13" t="str">
        <f t="shared" si="1"/>
        <v/>
      </c>
    </row>
    <row r="3421" ht="22.5" customHeight="1">
      <c r="B3421" s="13">
        <f>IFERROR(__xludf.DUMMYFUNCTION("""COMPUTED_VALUE"""),3416.0)</f>
        <v>3416</v>
      </c>
      <c r="C3421" s="13" t="str">
        <f>IFERROR(__xludf.DUMMYFUNCTION("""COMPUTED_VALUE"""),"M. 1215/ Way Kandis")</f>
        <v>M. 1215/ Way Kandis</v>
      </c>
      <c r="D3421" s="13" t="str">
        <f>IFERROR(__xludf.DUMMYFUNCTION("""COMPUTED_VALUE"""),"K/10/310725/2")</f>
        <v>K/10/310725/2</v>
      </c>
      <c r="E3421" s="14" t="str">
        <f>IFERROR(__xludf.DUMMYFUNCTION("""COMPUTED_VALUE"""),"Heri (BT)")</f>
        <v>Heri (BT)</v>
      </c>
      <c r="F3421" s="14" t="str">
        <f>IFERROR(__xludf.DUMMYFUNCTION("""COMPUTED_VALUE"""),"SELESAI (VIA PERMOHONAN)")</f>
        <v>SELESAI (VIA PERMOHONAN)</v>
      </c>
      <c r="G3421" s="17">
        <f>IFERROR(__xludf.DUMMYFUNCTION("""COMPUTED_VALUE"""),45883.56776046296)</f>
        <v>45883.56776</v>
      </c>
      <c r="H3421" s="14" t="str">
        <f>IFERROR(__xludf.DUMMYFUNCTION("""COMPUTED_VALUE"""),"Eci (SU)")</f>
        <v>Eci (SU)</v>
      </c>
      <c r="I3421" s="13" t="str">
        <f>IFERROR(__xludf.DUMMYFUNCTION("""COMPUTED_VALUE"""),"SELESAI (VIA PERMOHONAN)")</f>
        <v>SELESAI (VIA PERMOHONAN)</v>
      </c>
      <c r="J3421" s="17">
        <f>IFERROR(__xludf.DUMMYFUNCTION("""COMPUTED_VALUE"""),45883.643456666665)</f>
        <v>45883.64346</v>
      </c>
      <c r="K3421" s="13" t="str">
        <f>IFERROR(__xludf.DUMMYFUNCTION("""COMPUTED_VALUE"""),"Selesai")</f>
        <v>Selesai</v>
      </c>
      <c r="L3421" s="17">
        <f>IFERROR(__xludf.DUMMYFUNCTION("""COMPUTED_VALUE"""),45883.643456666665)</f>
        <v>45883.64346</v>
      </c>
      <c r="M3421" s="13"/>
      <c r="N3421" s="13" t="str">
        <f>IFERROR(__xludf.DUMMYFUNCTION("""COMPUTED_VALUE"""),"")</f>
        <v/>
      </c>
      <c r="O3421" s="13" t="str">
        <f t="shared" si="1"/>
        <v/>
      </c>
    </row>
    <row r="3422" ht="22.5" customHeight="1">
      <c r="B3422" s="13">
        <f>IFERROR(__xludf.DUMMYFUNCTION("""COMPUTED_VALUE"""),3417.0)</f>
        <v>3417</v>
      </c>
      <c r="C3422" s="13" t="str">
        <f>IFERROR(__xludf.DUMMYFUNCTION("""COMPUTED_VALUE"""),"M. 1487/ Kota Karang")</f>
        <v>M. 1487/ Kota Karang</v>
      </c>
      <c r="D3422" s="13" t="str">
        <f>IFERROR(__xludf.DUMMYFUNCTION("""COMPUTED_VALUE"""),"K/20/280725/3")</f>
        <v>K/20/280725/3</v>
      </c>
      <c r="E3422" s="14" t="str">
        <f>IFERROR(__xludf.DUMMYFUNCTION("""COMPUTED_VALUE"""),"Heri (BT)")</f>
        <v>Heri (BT)</v>
      </c>
      <c r="F3422" s="14" t="str">
        <f>IFERROR(__xludf.DUMMYFUNCTION("""COMPUTED_VALUE"""),"SELESAI (VIA PERMOHONAN)")</f>
        <v>SELESAI (VIA PERMOHONAN)</v>
      </c>
      <c r="G3422" s="17">
        <f>IFERROR(__xludf.DUMMYFUNCTION("""COMPUTED_VALUE"""),45883.5679121412)</f>
        <v>45883.56791</v>
      </c>
      <c r="H3422" s="14" t="str">
        <f>IFERROR(__xludf.DUMMYFUNCTION("""COMPUTED_VALUE"""),"Eci (SU)")</f>
        <v>Eci (SU)</v>
      </c>
      <c r="I3422" s="13" t="str">
        <f>IFERROR(__xludf.DUMMYFUNCTION("""COMPUTED_VALUE"""),"SELESAI (VIA PERMOHONAN)")</f>
        <v>SELESAI (VIA PERMOHONAN)</v>
      </c>
      <c r="J3422" s="17">
        <f>IFERROR(__xludf.DUMMYFUNCTION("""COMPUTED_VALUE"""),45883.643456666665)</f>
        <v>45883.64346</v>
      </c>
      <c r="K3422" s="13" t="str">
        <f>IFERROR(__xludf.DUMMYFUNCTION("""COMPUTED_VALUE"""),"Selesai")</f>
        <v>Selesai</v>
      </c>
      <c r="L3422" s="17">
        <f>IFERROR(__xludf.DUMMYFUNCTION("""COMPUTED_VALUE"""),45883.643456666665)</f>
        <v>45883.64346</v>
      </c>
      <c r="M3422" s="13"/>
      <c r="N3422" s="13" t="str">
        <f>IFERROR(__xludf.DUMMYFUNCTION("""COMPUTED_VALUE"""),"")</f>
        <v/>
      </c>
      <c r="O3422" s="13" t="str">
        <f t="shared" si="1"/>
        <v/>
      </c>
    </row>
    <row r="3423" ht="22.5" customHeight="1">
      <c r="B3423" s="13">
        <f>IFERROR(__xludf.DUMMYFUNCTION("""COMPUTED_VALUE"""),3418.0)</f>
        <v>3418</v>
      </c>
      <c r="C3423" s="13" t="str">
        <f>IFERROR(__xludf.DUMMYFUNCTION("""COMPUTED_VALUE"""),"M. 868/ Way Halim Permai")</f>
        <v>M. 868/ Way Halim Permai</v>
      </c>
      <c r="D3423" s="13" t="str">
        <f>IFERROR(__xludf.DUMMYFUNCTION("""COMPUTED_VALUE"""),"K/24/250725/1")</f>
        <v>K/24/250725/1</v>
      </c>
      <c r="E3423" s="14" t="str">
        <f>IFERROR(__xludf.DUMMYFUNCTION("""COMPUTED_VALUE"""),"Heri (BT)")</f>
        <v>Heri (BT)</v>
      </c>
      <c r="F3423" s="14" t="str">
        <f>IFERROR(__xludf.DUMMYFUNCTION("""COMPUTED_VALUE"""),"SELESAI (VIA PERMOHONAN)")</f>
        <v>SELESAI (VIA PERMOHONAN)</v>
      </c>
      <c r="G3423" s="17">
        <f>IFERROR(__xludf.DUMMYFUNCTION("""COMPUTED_VALUE"""),45883.56804893518)</f>
        <v>45883.56805</v>
      </c>
      <c r="H3423" s="14" t="str">
        <f>IFERROR(__xludf.DUMMYFUNCTION("""COMPUTED_VALUE"""),"Eci (SU)")</f>
        <v>Eci (SU)</v>
      </c>
      <c r="I3423" s="13" t="str">
        <f>IFERROR(__xludf.DUMMYFUNCTION("""COMPUTED_VALUE"""),"SELESAI (VIA PERMOHONAN)")</f>
        <v>SELESAI (VIA PERMOHONAN)</v>
      </c>
      <c r="J3423" s="17">
        <f>IFERROR(__xludf.DUMMYFUNCTION("""COMPUTED_VALUE"""),45883.643456666665)</f>
        <v>45883.64346</v>
      </c>
      <c r="K3423" s="13" t="str">
        <f>IFERROR(__xludf.DUMMYFUNCTION("""COMPUTED_VALUE"""),"Selesai")</f>
        <v>Selesai</v>
      </c>
      <c r="L3423" s="17">
        <f>IFERROR(__xludf.DUMMYFUNCTION("""COMPUTED_VALUE"""),45883.643456666665)</f>
        <v>45883.64346</v>
      </c>
      <c r="M3423" s="13"/>
      <c r="N3423" s="13" t="str">
        <f>IFERROR(__xludf.DUMMYFUNCTION("""COMPUTED_VALUE"""),"")</f>
        <v/>
      </c>
      <c r="O3423" s="13" t="str">
        <f t="shared" si="1"/>
        <v/>
      </c>
    </row>
    <row r="3424" ht="22.5" customHeight="1">
      <c r="B3424" s="13">
        <f>IFERROR(__xludf.DUMMYFUNCTION("""COMPUTED_VALUE"""),3419.0)</f>
        <v>3419</v>
      </c>
      <c r="C3424" s="13" t="str">
        <f>IFERROR(__xludf.DUMMYFUNCTION("""COMPUTED_VALUE"""),"M. 859/ Sumber Agung")</f>
        <v>M. 859/ Sumber Agung</v>
      </c>
      <c r="D3424" s="13" t="str">
        <f>IFERROR(__xludf.DUMMYFUNCTION("""COMPUTED_VALUE"""),"K/18/010825/3")</f>
        <v>K/18/010825/3</v>
      </c>
      <c r="E3424" s="14" t="str">
        <f>IFERROR(__xludf.DUMMYFUNCTION("""COMPUTED_VALUE"""),"Heri (BT)")</f>
        <v>Heri (BT)</v>
      </c>
      <c r="F3424" s="14" t="str">
        <f>IFERROR(__xludf.DUMMYFUNCTION("""COMPUTED_VALUE"""),"SELESAI (VIA PERMOHONAN)")</f>
        <v>SELESAI (VIA PERMOHONAN)</v>
      </c>
      <c r="G3424" s="17">
        <f>IFERROR(__xludf.DUMMYFUNCTION("""COMPUTED_VALUE"""),45883.568178692134)</f>
        <v>45883.56818</v>
      </c>
      <c r="H3424" s="14" t="str">
        <f>IFERROR(__xludf.DUMMYFUNCTION("""COMPUTED_VALUE"""),"Eci (SU)")</f>
        <v>Eci (SU)</v>
      </c>
      <c r="I3424" s="13" t="str">
        <f>IFERROR(__xludf.DUMMYFUNCTION("""COMPUTED_VALUE"""),"SELESAI (VIA PERMOHONAN)")</f>
        <v>SELESAI (VIA PERMOHONAN)</v>
      </c>
      <c r="J3424" s="17">
        <f>IFERROR(__xludf.DUMMYFUNCTION("""COMPUTED_VALUE"""),45883.643456666665)</f>
        <v>45883.64346</v>
      </c>
      <c r="K3424" s="13" t="str">
        <f>IFERROR(__xludf.DUMMYFUNCTION("""COMPUTED_VALUE"""),"Selesai")</f>
        <v>Selesai</v>
      </c>
      <c r="L3424" s="17">
        <f>IFERROR(__xludf.DUMMYFUNCTION("""COMPUTED_VALUE"""),45883.643456666665)</f>
        <v>45883.64346</v>
      </c>
      <c r="M3424" s="13"/>
      <c r="N3424" s="13" t="str">
        <f>IFERROR(__xludf.DUMMYFUNCTION("""COMPUTED_VALUE"""),"")</f>
        <v/>
      </c>
      <c r="O3424" s="13" t="str">
        <f t="shared" si="1"/>
        <v/>
      </c>
    </row>
    <row r="3425" ht="22.5" customHeight="1">
      <c r="B3425" s="13">
        <f>IFERROR(__xludf.DUMMYFUNCTION("""COMPUTED_VALUE"""),3420.0)</f>
        <v>3420</v>
      </c>
      <c r="C3425" s="13" t="str">
        <f>IFERROR(__xludf.DUMMYFUNCTION("""COMPUTED_VALUE"""),"M. 1689/ Bumi Kedamaian")</f>
        <v>M. 1689/ Bumi Kedamaian</v>
      </c>
      <c r="D3425" s="13" t="str">
        <f>IFERROR(__xludf.DUMMYFUNCTION("""COMPUTED_VALUE"""),"K/14/300725/1")</f>
        <v>K/14/300725/1</v>
      </c>
      <c r="E3425" s="14" t="str">
        <f>IFERROR(__xludf.DUMMYFUNCTION("""COMPUTED_VALUE"""),"Heri (BT)")</f>
        <v>Heri (BT)</v>
      </c>
      <c r="F3425" s="14" t="str">
        <f>IFERROR(__xludf.DUMMYFUNCTION("""COMPUTED_VALUE"""),"SELESAI (VIA PERMOHONAN)")</f>
        <v>SELESAI (VIA PERMOHONAN)</v>
      </c>
      <c r="G3425" s="17">
        <f>IFERROR(__xludf.DUMMYFUNCTION("""COMPUTED_VALUE"""),45883.568447453705)</f>
        <v>45883.56845</v>
      </c>
      <c r="H3425" s="14" t="str">
        <f>IFERROR(__xludf.DUMMYFUNCTION("""COMPUTED_VALUE"""),"Eci (SU)")</f>
        <v>Eci (SU)</v>
      </c>
      <c r="I3425" s="13" t="str">
        <f>IFERROR(__xludf.DUMMYFUNCTION("""COMPUTED_VALUE"""),"SELESAI (VIA PERMOHONAN)")</f>
        <v>SELESAI (VIA PERMOHONAN)</v>
      </c>
      <c r="J3425" s="17">
        <f>IFERROR(__xludf.DUMMYFUNCTION("""COMPUTED_VALUE"""),45889.62740324074)</f>
        <v>45889.6274</v>
      </c>
      <c r="K3425" s="13" t="str">
        <f>IFERROR(__xludf.DUMMYFUNCTION("""COMPUTED_VALUE"""),"Selesai")</f>
        <v>Selesai</v>
      </c>
      <c r="L3425" s="17">
        <f>IFERROR(__xludf.DUMMYFUNCTION("""COMPUTED_VALUE"""),45889.62740324074)</f>
        <v>45889.6274</v>
      </c>
      <c r="M3425" s="13"/>
      <c r="N3425" s="13" t="str">
        <f>IFERROR(__xludf.DUMMYFUNCTION("""COMPUTED_VALUE"""),"")</f>
        <v/>
      </c>
      <c r="O3425" s="13" t="str">
        <f t="shared" si="1"/>
        <v/>
      </c>
    </row>
    <row r="3426" ht="22.5" customHeight="1">
      <c r="B3426" s="13">
        <f>IFERROR(__xludf.DUMMYFUNCTION("""COMPUTED_VALUE"""),3421.0)</f>
        <v>3421</v>
      </c>
      <c r="C3426" s="13" t="str">
        <f>IFERROR(__xludf.DUMMYFUNCTION("""COMPUTED_VALUE"""),"M. 58/ Enggal")</f>
        <v>M. 58/ Enggal</v>
      </c>
      <c r="D3426" s="13" t="str">
        <f>IFERROR(__xludf.DUMMYFUNCTION("""COMPUTED_VALUE"""),"K/1/060825/1")</f>
        <v>K/1/060825/1</v>
      </c>
      <c r="E3426" s="14" t="str">
        <f>IFERROR(__xludf.DUMMYFUNCTION("""COMPUTED_VALUE"""),"Heri (BT)")</f>
        <v>Heri (BT)</v>
      </c>
      <c r="F3426" s="14" t="str">
        <f>IFERROR(__xludf.DUMMYFUNCTION("""COMPUTED_VALUE"""),"SELESAI (VIA PERMOHONAN)")</f>
        <v>SELESAI (VIA PERMOHONAN)</v>
      </c>
      <c r="G3426" s="17">
        <f>IFERROR(__xludf.DUMMYFUNCTION("""COMPUTED_VALUE"""),45883.56859935186)</f>
        <v>45883.5686</v>
      </c>
      <c r="H3426" s="14" t="str">
        <f>IFERROR(__xludf.DUMMYFUNCTION("""COMPUTED_VALUE"""),"Eci (SU)")</f>
        <v>Eci (SU)</v>
      </c>
      <c r="I3426" s="13" t="str">
        <f>IFERROR(__xludf.DUMMYFUNCTION("""COMPUTED_VALUE"""),"SELESAI (VIA PERMOHONAN)")</f>
        <v>SELESAI (VIA PERMOHONAN)</v>
      </c>
      <c r="J3426" s="17">
        <f>IFERROR(__xludf.DUMMYFUNCTION("""COMPUTED_VALUE"""),45883.643476944446)</f>
        <v>45883.64348</v>
      </c>
      <c r="K3426" s="13" t="str">
        <f>IFERROR(__xludf.DUMMYFUNCTION("""COMPUTED_VALUE"""),"Selesai")</f>
        <v>Selesai</v>
      </c>
      <c r="L3426" s="17">
        <f>IFERROR(__xludf.DUMMYFUNCTION("""COMPUTED_VALUE"""),45883.643476944446)</f>
        <v>45883.64348</v>
      </c>
      <c r="M3426" s="13"/>
      <c r="N3426" s="13" t="str">
        <f>IFERROR(__xludf.DUMMYFUNCTION("""COMPUTED_VALUE"""),"")</f>
        <v/>
      </c>
      <c r="O3426" s="13" t="str">
        <f t="shared" si="1"/>
        <v/>
      </c>
    </row>
    <row r="3427" ht="22.5" customHeight="1">
      <c r="B3427" s="13">
        <f>IFERROR(__xludf.DUMMYFUNCTION("""COMPUTED_VALUE"""),3422.0)</f>
        <v>3422</v>
      </c>
      <c r="C3427" s="13" t="str">
        <f>IFERROR(__xludf.DUMMYFUNCTION("""COMPUTED_VALUE"""),"B. 1500/ Kemiling Permai")</f>
        <v>B. 1500/ Kemiling Permai</v>
      </c>
      <c r="D3427" s="13" t="str">
        <f>IFERROR(__xludf.DUMMYFUNCTION("""COMPUTED_VALUE"""),"K/5/040825/1")</f>
        <v>K/5/040825/1</v>
      </c>
      <c r="E3427" s="14" t="str">
        <f>IFERROR(__xludf.DUMMYFUNCTION("""COMPUTED_VALUE"""),"Heri (BT)")</f>
        <v>Heri (BT)</v>
      </c>
      <c r="F3427" s="14" t="str">
        <f>IFERROR(__xludf.DUMMYFUNCTION("""COMPUTED_VALUE"""),"SELESAI (VIA PERMOHONAN)")</f>
        <v>SELESAI (VIA PERMOHONAN)</v>
      </c>
      <c r="G3427" s="17">
        <f>IFERROR(__xludf.DUMMYFUNCTION("""COMPUTED_VALUE"""),45883.568786944445)</f>
        <v>45883.56879</v>
      </c>
      <c r="H3427" s="14" t="str">
        <f>IFERROR(__xludf.DUMMYFUNCTION("""COMPUTED_VALUE"""),"Eci (SU)")</f>
        <v>Eci (SU)</v>
      </c>
      <c r="I3427" s="13" t="str">
        <f>IFERROR(__xludf.DUMMYFUNCTION("""COMPUTED_VALUE"""),"SELESAI (VIA PERMOHONAN)")</f>
        <v>SELESAI (VIA PERMOHONAN)</v>
      </c>
      <c r="J3427" s="17">
        <f>IFERROR(__xludf.DUMMYFUNCTION("""COMPUTED_VALUE"""),45889.62732989583)</f>
        <v>45889.62733</v>
      </c>
      <c r="K3427" s="13" t="str">
        <f>IFERROR(__xludf.DUMMYFUNCTION("""COMPUTED_VALUE"""),"Selesai")</f>
        <v>Selesai</v>
      </c>
      <c r="L3427" s="17">
        <f>IFERROR(__xludf.DUMMYFUNCTION("""COMPUTED_VALUE"""),45889.62732989583)</f>
        <v>45889.62733</v>
      </c>
      <c r="M3427" s="13"/>
      <c r="N3427" s="13" t="str">
        <f>IFERROR(__xludf.DUMMYFUNCTION("""COMPUTED_VALUE"""),"")</f>
        <v/>
      </c>
      <c r="O3427" s="13" t="str">
        <f t="shared" si="1"/>
        <v/>
      </c>
    </row>
    <row r="3428" ht="22.5" customHeight="1">
      <c r="B3428" s="13">
        <f>IFERROR(__xludf.DUMMYFUNCTION("""COMPUTED_VALUE"""),3423.0)</f>
        <v>3423</v>
      </c>
      <c r="C3428" s="13" t="str">
        <f>IFERROR(__xludf.DUMMYFUNCTION("""COMPUTED_VALUE"""),"M. 964/ Perumnas Way Kandis")</f>
        <v>M. 964/ Perumnas Way Kandis</v>
      </c>
      <c r="D3428" s="13" t="str">
        <f>IFERROR(__xludf.DUMMYFUNCTION("""COMPUTED_VALUE"""),"K/26/010825/3")</f>
        <v>K/26/010825/3</v>
      </c>
      <c r="E3428" s="14" t="str">
        <f>IFERROR(__xludf.DUMMYFUNCTION("""COMPUTED_VALUE"""),"Afriza (BT)")</f>
        <v>Afriza (BT)</v>
      </c>
      <c r="F3428" s="14" t="str">
        <f>IFERROR(__xludf.DUMMYFUNCTION("""COMPUTED_VALUE"""),"SELESAI (VIA PERMOHONAN)")</f>
        <v>SELESAI (VIA PERMOHONAN)</v>
      </c>
      <c r="G3428" s="17">
        <f>IFERROR(__xludf.DUMMYFUNCTION("""COMPUTED_VALUE"""),45888.5013409838)</f>
        <v>45888.50134</v>
      </c>
      <c r="H3428" s="14" t="str">
        <f>IFERROR(__xludf.DUMMYFUNCTION("""COMPUTED_VALUE"""),"Eci (SU)")</f>
        <v>Eci (SU)</v>
      </c>
      <c r="I3428" s="13" t="str">
        <f>IFERROR(__xludf.DUMMYFUNCTION("""COMPUTED_VALUE"""),"SELESAI (VIA PERMOHONAN)")</f>
        <v>SELESAI (VIA PERMOHONAN)</v>
      </c>
      <c r="J3428" s="17">
        <f>IFERROR(__xludf.DUMMYFUNCTION("""COMPUTED_VALUE"""),45889.628298483796)</f>
        <v>45889.6283</v>
      </c>
      <c r="K3428" s="13" t="str">
        <f>IFERROR(__xludf.DUMMYFUNCTION("""COMPUTED_VALUE"""),"Selesai")</f>
        <v>Selesai</v>
      </c>
      <c r="L3428" s="17">
        <f>IFERROR(__xludf.DUMMYFUNCTION("""COMPUTED_VALUE"""),45889.628298483796)</f>
        <v>45889.6283</v>
      </c>
      <c r="M3428" s="13"/>
      <c r="N3428" s="13" t="str">
        <f>IFERROR(__xludf.DUMMYFUNCTION("""COMPUTED_VALUE"""),"")</f>
        <v/>
      </c>
      <c r="O3428" s="13" t="str">
        <f t="shared" si="1"/>
        <v/>
      </c>
    </row>
    <row r="3429" ht="22.5" customHeight="1">
      <c r="B3429" s="13">
        <f>IFERROR(__xludf.DUMMYFUNCTION("""COMPUTED_VALUE"""),3424.0)</f>
        <v>3424</v>
      </c>
      <c r="C3429" s="13" t="str">
        <f>IFERROR(__xludf.DUMMYFUNCTION("""COMPUTED_VALUE"""),"M. 2545/ Sumber Agung")</f>
        <v>M. 2545/ Sumber Agung</v>
      </c>
      <c r="D3429" s="13" t="str">
        <f>IFERROR(__xludf.DUMMYFUNCTION("""COMPUTED_VALUE"""),"K/23/310725/2")</f>
        <v>K/23/310725/2</v>
      </c>
      <c r="E3429" s="14" t="str">
        <f>IFERROR(__xludf.DUMMYFUNCTION("""COMPUTED_VALUE"""),"Afriza (BT)")</f>
        <v>Afriza (BT)</v>
      </c>
      <c r="F3429" s="14" t="str">
        <f>IFERROR(__xludf.DUMMYFUNCTION("""COMPUTED_VALUE"""),"SELESAI (VIA PERMOHONAN)")</f>
        <v>SELESAI (VIA PERMOHONAN)</v>
      </c>
      <c r="G3429" s="17">
        <f>IFERROR(__xludf.DUMMYFUNCTION("""COMPUTED_VALUE"""),45888.50155538194)</f>
        <v>45888.50156</v>
      </c>
      <c r="H3429" s="14" t="str">
        <f>IFERROR(__xludf.DUMMYFUNCTION("""COMPUTED_VALUE"""),"Eci (SU)")</f>
        <v>Eci (SU)</v>
      </c>
      <c r="I3429" s="13" t="str">
        <f>IFERROR(__xludf.DUMMYFUNCTION("""COMPUTED_VALUE"""),"SELESAI (VIA PERMOHONAN)")</f>
        <v>SELESAI (VIA PERMOHONAN)</v>
      </c>
      <c r="J3429" s="17">
        <f>IFERROR(__xludf.DUMMYFUNCTION("""COMPUTED_VALUE"""),45889.62819079861)</f>
        <v>45889.62819</v>
      </c>
      <c r="K3429" s="13" t="str">
        <f>IFERROR(__xludf.DUMMYFUNCTION("""COMPUTED_VALUE"""),"Selesai")</f>
        <v>Selesai</v>
      </c>
      <c r="L3429" s="17">
        <f>IFERROR(__xludf.DUMMYFUNCTION("""COMPUTED_VALUE"""),45889.62819079861)</f>
        <v>45889.62819</v>
      </c>
      <c r="M3429" s="13"/>
      <c r="N3429" s="13" t="str">
        <f>IFERROR(__xludf.DUMMYFUNCTION("""COMPUTED_VALUE"""),"")</f>
        <v/>
      </c>
      <c r="O3429" s="13" t="str">
        <f t="shared" si="1"/>
        <v/>
      </c>
    </row>
    <row r="3430" ht="22.5" customHeight="1">
      <c r="B3430" s="13">
        <f>IFERROR(__xludf.DUMMYFUNCTION("""COMPUTED_VALUE"""),3425.0)</f>
        <v>3425</v>
      </c>
      <c r="C3430" s="13" t="str">
        <f>IFERROR(__xludf.DUMMYFUNCTION("""COMPUTED_VALUE"""),"M. 1630/ Rajabasa Nunyai")</f>
        <v>M. 1630/ Rajabasa Nunyai</v>
      </c>
      <c r="D3430" s="13" t="str">
        <f>IFERROR(__xludf.DUMMYFUNCTION("""COMPUTED_VALUE"""),"K/28/290725/2")</f>
        <v>K/28/290725/2</v>
      </c>
      <c r="E3430" s="14" t="str">
        <f>IFERROR(__xludf.DUMMYFUNCTION("""COMPUTED_VALUE"""),"Afriza (BT)")</f>
        <v>Afriza (BT)</v>
      </c>
      <c r="F3430" s="14" t="str">
        <f>IFERROR(__xludf.DUMMYFUNCTION("""COMPUTED_VALUE"""),"SELESAI (VIA PERMOHONAN)")</f>
        <v>SELESAI (VIA PERMOHONAN)</v>
      </c>
      <c r="G3430" s="17">
        <f>IFERROR(__xludf.DUMMYFUNCTION("""COMPUTED_VALUE"""),45888.50159434028)</f>
        <v>45888.50159</v>
      </c>
      <c r="H3430" s="14" t="str">
        <f>IFERROR(__xludf.DUMMYFUNCTION("""COMPUTED_VALUE"""),"Eci (SU)")</f>
        <v>Eci (SU)</v>
      </c>
      <c r="I3430" s="13" t="str">
        <f>IFERROR(__xludf.DUMMYFUNCTION("""COMPUTED_VALUE"""),"SELESAI (VIA PERMOHONAN)")</f>
        <v>SELESAI (VIA PERMOHONAN)</v>
      </c>
      <c r="J3430" s="17">
        <f>IFERROR(__xludf.DUMMYFUNCTION("""COMPUTED_VALUE"""),45889.628007928244)</f>
        <v>45889.62801</v>
      </c>
      <c r="K3430" s="13" t="str">
        <f>IFERROR(__xludf.DUMMYFUNCTION("""COMPUTED_VALUE"""),"Selesai")</f>
        <v>Selesai</v>
      </c>
      <c r="L3430" s="17">
        <f>IFERROR(__xludf.DUMMYFUNCTION("""COMPUTED_VALUE"""),45889.628007928244)</f>
        <v>45889.62801</v>
      </c>
      <c r="M3430" s="13"/>
      <c r="N3430" s="13" t="str">
        <f>IFERROR(__xludf.DUMMYFUNCTION("""COMPUTED_VALUE"""),"")</f>
        <v/>
      </c>
      <c r="O3430" s="13" t="str">
        <f t="shared" si="1"/>
        <v/>
      </c>
    </row>
    <row r="3431" ht="22.5" customHeight="1">
      <c r="B3431" s="13">
        <f>IFERROR(__xludf.DUMMYFUNCTION("""COMPUTED_VALUE"""),3426.0)</f>
        <v>3426</v>
      </c>
      <c r="C3431" s="13" t="str">
        <f>IFERROR(__xludf.DUMMYFUNCTION("""COMPUTED_VALUE"""),"M. 2602/ Sumber Agung")</f>
        <v>M. 2602/ Sumber Agung</v>
      </c>
      <c r="D3431" s="13" t="str">
        <f>IFERROR(__xludf.DUMMYFUNCTION("""COMPUTED_VALUE"""),"K/20/070725/1")</f>
        <v>K/20/070725/1</v>
      </c>
      <c r="E3431" s="14" t="str">
        <f>IFERROR(__xludf.DUMMYFUNCTION("""COMPUTED_VALUE"""),"Afriza (BT)")</f>
        <v>Afriza (BT)</v>
      </c>
      <c r="F3431" s="14" t="str">
        <f>IFERROR(__xludf.DUMMYFUNCTION("""COMPUTED_VALUE"""),"SELESAI (VIA PERMOHONAN)")</f>
        <v>SELESAI (VIA PERMOHONAN)</v>
      </c>
      <c r="G3431" s="17">
        <f>IFERROR(__xludf.DUMMYFUNCTION("""COMPUTED_VALUE"""),45888.50180049769)</f>
        <v>45888.5018</v>
      </c>
      <c r="H3431" s="14" t="str">
        <f>IFERROR(__xludf.DUMMYFUNCTION("""COMPUTED_VALUE"""),"Eci (SU)")</f>
        <v>Eci (SU)</v>
      </c>
      <c r="I3431" s="13" t="str">
        <f>IFERROR(__xludf.DUMMYFUNCTION("""COMPUTED_VALUE"""),"SELESAI (VIA PERMOHONAN)")</f>
        <v>SELESAI (VIA PERMOHONAN)</v>
      </c>
      <c r="J3431" s="17">
        <f>IFERROR(__xludf.DUMMYFUNCTION("""COMPUTED_VALUE"""),45889.62784395833)</f>
        <v>45889.62784</v>
      </c>
      <c r="K3431" s="13" t="str">
        <f>IFERROR(__xludf.DUMMYFUNCTION("""COMPUTED_VALUE"""),"Selesai")</f>
        <v>Selesai</v>
      </c>
      <c r="L3431" s="17">
        <f>IFERROR(__xludf.DUMMYFUNCTION("""COMPUTED_VALUE"""),45889.62784395833)</f>
        <v>45889.62784</v>
      </c>
      <c r="M3431" s="13"/>
      <c r="N3431" s="13" t="str">
        <f>IFERROR(__xludf.DUMMYFUNCTION("""COMPUTED_VALUE"""),"")</f>
        <v/>
      </c>
      <c r="O3431" s="13" t="str">
        <f t="shared" si="1"/>
        <v/>
      </c>
    </row>
    <row r="3432" ht="22.5" customHeight="1">
      <c r="B3432" s="13">
        <f>IFERROR(__xludf.DUMMYFUNCTION("""COMPUTED_VALUE"""),3427.0)</f>
        <v>3427</v>
      </c>
      <c r="C3432" s="13" t="str">
        <f>IFERROR(__xludf.DUMMYFUNCTION("""COMPUTED_VALUE"""),"M. 1038/ Sukaraja")</f>
        <v>M. 1038/ Sukaraja</v>
      </c>
      <c r="D3432" s="13" t="str">
        <f>IFERROR(__xludf.DUMMYFUNCTION("""COMPUTED_VALUE"""),"K/21/200525/1")</f>
        <v>K/21/200525/1</v>
      </c>
      <c r="E3432" s="14" t="str">
        <f>IFERROR(__xludf.DUMMYFUNCTION("""COMPUTED_VALUE"""),"Afriza (BT)")</f>
        <v>Afriza (BT)</v>
      </c>
      <c r="F3432" s="14" t="str">
        <f>IFERROR(__xludf.DUMMYFUNCTION("""COMPUTED_VALUE"""),"SELESAI (VIA PERMOHONAN)")</f>
        <v>SELESAI (VIA PERMOHONAN)</v>
      </c>
      <c r="G3432" s="17">
        <f>IFERROR(__xludf.DUMMYFUNCTION("""COMPUTED_VALUE"""),45888.50200836806)</f>
        <v>45888.50201</v>
      </c>
      <c r="H3432" s="14" t="str">
        <f>IFERROR(__xludf.DUMMYFUNCTION("""COMPUTED_VALUE"""),"Eci (SU)")</f>
        <v>Eci (SU)</v>
      </c>
      <c r="I3432" s="13" t="str">
        <f>IFERROR(__xludf.DUMMYFUNCTION("""COMPUTED_VALUE"""),"SELESAI (VIA PERMOHONAN)")</f>
        <v>SELESAI (VIA PERMOHONAN)</v>
      </c>
      <c r="J3432" s="17">
        <f>IFERROR(__xludf.DUMMYFUNCTION("""COMPUTED_VALUE"""),45889.62773025463)</f>
        <v>45889.62773</v>
      </c>
      <c r="K3432" s="13" t="str">
        <f>IFERROR(__xludf.DUMMYFUNCTION("""COMPUTED_VALUE"""),"Selesai")</f>
        <v>Selesai</v>
      </c>
      <c r="L3432" s="17">
        <f>IFERROR(__xludf.DUMMYFUNCTION("""COMPUTED_VALUE"""),45889.62773025463)</f>
        <v>45889.62773</v>
      </c>
      <c r="M3432" s="13"/>
      <c r="N3432" s="13" t="str">
        <f>IFERROR(__xludf.DUMMYFUNCTION("""COMPUTED_VALUE"""),"")</f>
        <v/>
      </c>
      <c r="O3432" s="13" t="str">
        <f t="shared" si="1"/>
        <v/>
      </c>
    </row>
    <row r="3433" ht="22.5" customHeight="1">
      <c r="B3433" s="13">
        <f>IFERROR(__xludf.DUMMYFUNCTION("""COMPUTED_VALUE"""),3428.0)</f>
        <v>3428</v>
      </c>
      <c r="C3433" s="13" t="str">
        <f>IFERROR(__xludf.DUMMYFUNCTION("""COMPUTED_VALUE"""),"M. 2274/ Way Kandis")</f>
        <v>M. 2274/ Way Kandis</v>
      </c>
      <c r="D3433" s="13" t="str">
        <f>IFERROR(__xludf.DUMMYFUNCTION("""COMPUTED_VALUE"""),"K/12/040825/1")</f>
        <v>K/12/040825/1</v>
      </c>
      <c r="E3433" s="14" t="str">
        <f>IFERROR(__xludf.DUMMYFUNCTION("""COMPUTED_VALUE"""),"Afriza (BT)")</f>
        <v>Afriza (BT)</v>
      </c>
      <c r="F3433" s="14" t="str">
        <f>IFERROR(__xludf.DUMMYFUNCTION("""COMPUTED_VALUE"""),"SELESAI (VIA PERMOHONAN)")</f>
        <v>SELESAI (VIA PERMOHONAN)</v>
      </c>
      <c r="G3433" s="17">
        <f>IFERROR(__xludf.DUMMYFUNCTION("""COMPUTED_VALUE"""),45888.50212149306)</f>
        <v>45888.50212</v>
      </c>
      <c r="H3433" s="14" t="str">
        <f>IFERROR(__xludf.DUMMYFUNCTION("""COMPUTED_VALUE"""),"Eci (SU)")</f>
        <v>Eci (SU)</v>
      </c>
      <c r="I3433" s="13" t="str">
        <f>IFERROR(__xludf.DUMMYFUNCTION("""COMPUTED_VALUE"""),"SELESAI (VIA PERMOHONAN)")</f>
        <v>SELESAI (VIA PERMOHONAN)</v>
      </c>
      <c r="J3433" s="17">
        <f>IFERROR(__xludf.DUMMYFUNCTION("""COMPUTED_VALUE"""),45889.62764502315)</f>
        <v>45889.62765</v>
      </c>
      <c r="K3433" s="13" t="str">
        <f>IFERROR(__xludf.DUMMYFUNCTION("""COMPUTED_VALUE"""),"Selesai")</f>
        <v>Selesai</v>
      </c>
      <c r="L3433" s="17">
        <f>IFERROR(__xludf.DUMMYFUNCTION("""COMPUTED_VALUE"""),45889.62764502315)</f>
        <v>45889.62765</v>
      </c>
      <c r="M3433" s="13"/>
      <c r="N3433" s="13" t="str">
        <f>IFERROR(__xludf.DUMMYFUNCTION("""COMPUTED_VALUE"""),"")</f>
        <v/>
      </c>
      <c r="O3433" s="13" t="str">
        <f t="shared" si="1"/>
        <v/>
      </c>
    </row>
    <row r="3434" ht="22.5" customHeight="1">
      <c r="B3434" s="13">
        <f>IFERROR(__xludf.DUMMYFUNCTION("""COMPUTED_VALUE"""),3429.0)</f>
        <v>3429</v>
      </c>
      <c r="C3434" s="13" t="str">
        <f>IFERROR(__xludf.DUMMYFUNCTION("""COMPUTED_VALUE"""),"M. 675/ Jagabaya III")</f>
        <v>M. 675/ Jagabaya III</v>
      </c>
      <c r="D3434" s="13" t="str">
        <f>IFERROR(__xludf.DUMMYFUNCTION("""COMPUTED_VALUE"""),"K/17/260625/1")</f>
        <v>K/17/260625/1</v>
      </c>
      <c r="E3434" s="14" t="str">
        <f>IFERROR(__xludf.DUMMYFUNCTION("""COMPUTED_VALUE"""),"Afriza (BT)")</f>
        <v>Afriza (BT)</v>
      </c>
      <c r="F3434" s="14" t="str">
        <f>IFERROR(__xludf.DUMMYFUNCTION("""COMPUTED_VALUE"""),"SELESAI (VIA PERMOHONAN)")</f>
        <v>SELESAI (VIA PERMOHONAN)</v>
      </c>
      <c r="G3434" s="17">
        <f>IFERROR(__xludf.DUMMYFUNCTION("""COMPUTED_VALUE"""),45888.50224262731)</f>
        <v>45888.50224</v>
      </c>
      <c r="H3434" s="14" t="str">
        <f>IFERROR(__xludf.DUMMYFUNCTION("""COMPUTED_VALUE"""),"Eci (SU)")</f>
        <v>Eci (SU)</v>
      </c>
      <c r="I3434" s="13" t="str">
        <f>IFERROR(__xludf.DUMMYFUNCTION("""COMPUTED_VALUE"""),"SELESAI (VIA PERMOHONAN)")</f>
        <v>SELESAI (VIA PERMOHONAN)</v>
      </c>
      <c r="J3434" s="17">
        <f>IFERROR(__xludf.DUMMYFUNCTION("""COMPUTED_VALUE"""),45889.62755708334)</f>
        <v>45889.62756</v>
      </c>
      <c r="K3434" s="13" t="str">
        <f>IFERROR(__xludf.DUMMYFUNCTION("""COMPUTED_VALUE"""),"Selesai")</f>
        <v>Selesai</v>
      </c>
      <c r="L3434" s="17">
        <f>IFERROR(__xludf.DUMMYFUNCTION("""COMPUTED_VALUE"""),45889.62755708334)</f>
        <v>45889.62756</v>
      </c>
      <c r="M3434" s="13"/>
      <c r="N3434" s="13" t="str">
        <f>IFERROR(__xludf.DUMMYFUNCTION("""COMPUTED_VALUE"""),"")</f>
        <v/>
      </c>
      <c r="O3434" s="13" t="str">
        <f t="shared" si="1"/>
        <v/>
      </c>
    </row>
    <row r="3435" ht="22.5" customHeight="1">
      <c r="B3435" s="13">
        <f>IFERROR(__xludf.DUMMYFUNCTION("""COMPUTED_VALUE"""),3430.0)</f>
        <v>3430</v>
      </c>
      <c r="C3435" s="13" t="str">
        <f>IFERROR(__xludf.DUMMYFUNCTION("""COMPUTED_VALUE"""),"M. 4050/ Langkapura")</f>
        <v>M. 4050/ Langkapura</v>
      </c>
      <c r="D3435" s="13" t="str">
        <f>IFERROR(__xludf.DUMMYFUNCTION("""COMPUTED_VALUE"""),"K/39/290725/2")</f>
        <v>K/39/290725/2</v>
      </c>
      <c r="E3435" s="14" t="str">
        <f>IFERROR(__xludf.DUMMYFUNCTION("""COMPUTED_VALUE"""),"Afriza (BT)")</f>
        <v>Afriza (BT)</v>
      </c>
      <c r="F3435" s="14" t="str">
        <f>IFERROR(__xludf.DUMMYFUNCTION("""COMPUTED_VALUE"""),"SELESAI (VIA PERMOHONAN)")</f>
        <v>SELESAI (VIA PERMOHONAN)</v>
      </c>
      <c r="G3435" s="17">
        <f>IFERROR(__xludf.DUMMYFUNCTION("""COMPUTED_VALUE"""),45888.502355081015)</f>
        <v>45888.50236</v>
      </c>
      <c r="H3435" s="14" t="str">
        <f>IFERROR(__xludf.DUMMYFUNCTION("""COMPUTED_VALUE"""),"Eci (SU)")</f>
        <v>Eci (SU)</v>
      </c>
      <c r="I3435" s="13" t="str">
        <f>IFERROR(__xludf.DUMMYFUNCTION("""COMPUTED_VALUE"""),"SELESAI (VIA PERMOHONAN)")</f>
        <v>SELESAI (VIA PERMOHONAN)</v>
      </c>
      <c r="J3435" s="17">
        <f>IFERROR(__xludf.DUMMYFUNCTION("""COMPUTED_VALUE"""),45891.60310259259)</f>
        <v>45891.6031</v>
      </c>
      <c r="K3435" s="13" t="str">
        <f>IFERROR(__xludf.DUMMYFUNCTION("""COMPUTED_VALUE"""),"Selesai")</f>
        <v>Selesai</v>
      </c>
      <c r="L3435" s="17">
        <f>IFERROR(__xludf.DUMMYFUNCTION("""COMPUTED_VALUE"""),45891.60310259259)</f>
        <v>45891.6031</v>
      </c>
      <c r="M3435" s="13"/>
      <c r="N3435" s="13" t="str">
        <f>IFERROR(__xludf.DUMMYFUNCTION("""COMPUTED_VALUE"""),"")</f>
        <v/>
      </c>
      <c r="O3435" s="13" t="str">
        <f t="shared" si="1"/>
        <v/>
      </c>
    </row>
    <row r="3436" ht="22.5" customHeight="1">
      <c r="B3436" s="13">
        <f>IFERROR(__xludf.DUMMYFUNCTION("""COMPUTED_VALUE"""),3431.0)</f>
        <v>3431</v>
      </c>
      <c r="C3436" s="13" t="str">
        <f>IFERROR(__xludf.DUMMYFUNCTION("""COMPUTED_VALUE"""),"M. 1711/Gunung Terang")</f>
        <v>M. 1711/Gunung Terang</v>
      </c>
      <c r="D3436" s="13" t="str">
        <f>IFERROR(__xludf.DUMMYFUNCTION("""COMPUTED_VALUE"""),"K/39/110825/1")</f>
        <v>K/39/110825/1</v>
      </c>
      <c r="E3436" s="14" t="str">
        <f>IFERROR(__xludf.DUMMYFUNCTION("""COMPUTED_VALUE"""),"Afriza (BT)")</f>
        <v>Afriza (BT)</v>
      </c>
      <c r="F3436" s="14" t="str">
        <f>IFERROR(__xludf.DUMMYFUNCTION("""COMPUTED_VALUE"""),"SELESAI (VIA PERMOHONAN)")</f>
        <v>SELESAI (VIA PERMOHONAN)</v>
      </c>
      <c r="G3436" s="17">
        <f>IFERROR(__xludf.DUMMYFUNCTION("""COMPUTED_VALUE"""),45888.5024790162)</f>
        <v>45888.50248</v>
      </c>
      <c r="H3436" s="14" t="str">
        <f>IFERROR(__xludf.DUMMYFUNCTION("""COMPUTED_VALUE"""),"Eci (SU)")</f>
        <v>Eci (SU)</v>
      </c>
      <c r="I3436" s="13" t="str">
        <f>IFERROR(__xludf.DUMMYFUNCTION("""COMPUTED_VALUE"""),"SELESAI (VIA PERMOHONAN)")</f>
        <v>SELESAI (VIA PERMOHONAN)</v>
      </c>
      <c r="J3436" s="17">
        <f>IFERROR(__xludf.DUMMYFUNCTION("""COMPUTED_VALUE"""),45891.60301420139)</f>
        <v>45891.60301</v>
      </c>
      <c r="K3436" s="13" t="str">
        <f>IFERROR(__xludf.DUMMYFUNCTION("""COMPUTED_VALUE"""),"Selesai")</f>
        <v>Selesai</v>
      </c>
      <c r="L3436" s="17">
        <f>IFERROR(__xludf.DUMMYFUNCTION("""COMPUTED_VALUE"""),45891.60301420139)</f>
        <v>45891.60301</v>
      </c>
      <c r="M3436" s="13"/>
      <c r="N3436" s="13" t="str">
        <f>IFERROR(__xludf.DUMMYFUNCTION("""COMPUTED_VALUE"""),"")</f>
        <v/>
      </c>
      <c r="O3436" s="13" t="str">
        <f t="shared" si="1"/>
        <v/>
      </c>
    </row>
    <row r="3437" ht="22.5" customHeight="1">
      <c r="B3437" s="13">
        <f>IFERROR(__xludf.DUMMYFUNCTION("""COMPUTED_VALUE"""),3432.0)</f>
        <v>3432</v>
      </c>
      <c r="C3437" s="13" t="str">
        <f>IFERROR(__xludf.DUMMYFUNCTION("""COMPUTED_VALUE"""),"B. 319/ Pematang Wangi")</f>
        <v>B. 319/ Pematang Wangi</v>
      </c>
      <c r="D3437" s="13" t="str">
        <f>IFERROR(__xludf.DUMMYFUNCTION("""COMPUTED_VALUE"""),"K/1/080425/1")</f>
        <v>K/1/080425/1</v>
      </c>
      <c r="E3437" s="14" t="str">
        <f>IFERROR(__xludf.DUMMYFUNCTION("""COMPUTED_VALUE"""),"Afriza (BT)")</f>
        <v>Afriza (BT)</v>
      </c>
      <c r="F3437" s="14" t="str">
        <f>IFERROR(__xludf.DUMMYFUNCTION("""COMPUTED_VALUE"""),"SELESAI (VIA PERMOHONAN)")</f>
        <v>SELESAI (VIA PERMOHONAN)</v>
      </c>
      <c r="G3437" s="17">
        <f>IFERROR(__xludf.DUMMYFUNCTION("""COMPUTED_VALUE"""),45888.50264659722)</f>
        <v>45888.50265</v>
      </c>
      <c r="H3437" s="14" t="str">
        <f>IFERROR(__xludf.DUMMYFUNCTION("""COMPUTED_VALUE"""),"Eci (SU)")</f>
        <v>Eci (SU)</v>
      </c>
      <c r="I3437" s="13" t="str">
        <f>IFERROR(__xludf.DUMMYFUNCTION("""COMPUTED_VALUE"""),"SELESAI (VIA PERMOHONAN)")</f>
        <v>SELESAI (VIA PERMOHONAN)</v>
      </c>
      <c r="J3437" s="17">
        <f>IFERROR(__xludf.DUMMYFUNCTION("""COMPUTED_VALUE"""),45895.663143495374)</f>
        <v>45895.66314</v>
      </c>
      <c r="K3437" s="13" t="str">
        <f>IFERROR(__xludf.DUMMYFUNCTION("""COMPUTED_VALUE"""),"Selesai")</f>
        <v>Selesai</v>
      </c>
      <c r="L3437" s="17">
        <f>IFERROR(__xludf.DUMMYFUNCTION("""COMPUTED_VALUE"""),45895.663143495374)</f>
        <v>45895.66314</v>
      </c>
      <c r="M3437" s="13"/>
      <c r="N3437" s="13" t="str">
        <f>IFERROR(__xludf.DUMMYFUNCTION("""COMPUTED_VALUE"""),"")</f>
        <v/>
      </c>
      <c r="O3437" s="13" t="str">
        <f t="shared" si="1"/>
        <v/>
      </c>
    </row>
    <row r="3438" ht="22.5" customHeight="1">
      <c r="B3438" s="13">
        <f>IFERROR(__xludf.DUMMYFUNCTION("""COMPUTED_VALUE"""),3433.0)</f>
        <v>3433</v>
      </c>
      <c r="C3438" s="13" t="str">
        <f>IFERROR(__xludf.DUMMYFUNCTION("""COMPUTED_VALUE"""),"M. 16320/ Sukabumi")</f>
        <v>M. 16320/ Sukabumi</v>
      </c>
      <c r="D3438" s="13" t="str">
        <f>IFERROR(__xludf.DUMMYFUNCTION("""COMPUTED_VALUE"""),"K/26/180725/2")</f>
        <v>K/26/180725/2</v>
      </c>
      <c r="E3438" s="14" t="str">
        <f>IFERROR(__xludf.DUMMYFUNCTION("""COMPUTED_VALUE"""),"Afriza (BT)")</f>
        <v>Afriza (BT)</v>
      </c>
      <c r="F3438" s="14" t="str">
        <f>IFERROR(__xludf.DUMMYFUNCTION("""COMPUTED_VALUE"""),"SELESAI (VIA PERMOHONAN)")</f>
        <v>SELESAI (VIA PERMOHONAN)</v>
      </c>
      <c r="G3438" s="17">
        <f>IFERROR(__xludf.DUMMYFUNCTION("""COMPUTED_VALUE"""),45888.50276362269)</f>
        <v>45888.50276</v>
      </c>
      <c r="H3438" s="14" t="str">
        <f>IFERROR(__xludf.DUMMYFUNCTION("""COMPUTED_VALUE"""),"Eci (SU)")</f>
        <v>Eci (SU)</v>
      </c>
      <c r="I3438" s="13" t="str">
        <f>IFERROR(__xludf.DUMMYFUNCTION("""COMPUTED_VALUE"""),"SELESAI (VIA PERMOHONAN)")</f>
        <v>SELESAI (VIA PERMOHONAN)</v>
      </c>
      <c r="J3438" s="17">
        <f>IFERROR(__xludf.DUMMYFUNCTION("""COMPUTED_VALUE"""),45891.6032722338)</f>
        <v>45891.60327</v>
      </c>
      <c r="K3438" s="13" t="str">
        <f>IFERROR(__xludf.DUMMYFUNCTION("""COMPUTED_VALUE"""),"Selesai")</f>
        <v>Selesai</v>
      </c>
      <c r="L3438" s="17">
        <f>IFERROR(__xludf.DUMMYFUNCTION("""COMPUTED_VALUE"""),45891.6032722338)</f>
        <v>45891.60327</v>
      </c>
      <c r="M3438" s="13"/>
      <c r="N3438" s="13" t="str">
        <f>IFERROR(__xludf.DUMMYFUNCTION("""COMPUTED_VALUE"""),"")</f>
        <v/>
      </c>
      <c r="O3438" s="13" t="str">
        <f t="shared" si="1"/>
        <v/>
      </c>
    </row>
    <row r="3439" ht="22.5" customHeight="1">
      <c r="B3439" s="13">
        <f>IFERROR(__xludf.DUMMYFUNCTION("""COMPUTED_VALUE"""),3434.0)</f>
        <v>3434</v>
      </c>
      <c r="C3439" s="13" t="str">
        <f>IFERROR(__xludf.DUMMYFUNCTION("""COMPUTED_VALUE"""),"M. 2552/ Pinang Jaya")</f>
        <v>M. 2552/ Pinang Jaya</v>
      </c>
      <c r="D3439" s="13" t="str">
        <f>IFERROR(__xludf.DUMMYFUNCTION("""COMPUTED_VALUE"""),"K/9/040825/1")</f>
        <v>K/9/040825/1</v>
      </c>
      <c r="E3439" s="14" t="str">
        <f>IFERROR(__xludf.DUMMYFUNCTION("""COMPUTED_VALUE"""),"Afriza (BT)")</f>
        <v>Afriza (BT)</v>
      </c>
      <c r="F3439" s="14" t="str">
        <f>IFERROR(__xludf.DUMMYFUNCTION("""COMPUTED_VALUE"""),"SELESAI (VIA PERMOHONAN)")</f>
        <v>SELESAI (VIA PERMOHONAN)</v>
      </c>
      <c r="G3439" s="17">
        <f>IFERROR(__xludf.DUMMYFUNCTION("""COMPUTED_VALUE"""),45888.502847696756)</f>
        <v>45888.50285</v>
      </c>
      <c r="H3439" s="14" t="str">
        <f>IFERROR(__xludf.DUMMYFUNCTION("""COMPUTED_VALUE"""),"Eci (SU)")</f>
        <v>Eci (SU)</v>
      </c>
      <c r="I3439" s="13" t="str">
        <f>IFERROR(__xludf.DUMMYFUNCTION("""COMPUTED_VALUE"""),"SELESAI (VIA PERMOHONAN)")</f>
        <v>SELESAI (VIA PERMOHONAN)</v>
      </c>
      <c r="J3439" s="17">
        <f>IFERROR(__xludf.DUMMYFUNCTION("""COMPUTED_VALUE"""),45889.626949224534)</f>
        <v>45889.62695</v>
      </c>
      <c r="K3439" s="13" t="str">
        <f>IFERROR(__xludf.DUMMYFUNCTION("""COMPUTED_VALUE"""),"Selesai")</f>
        <v>Selesai</v>
      </c>
      <c r="L3439" s="17">
        <f>IFERROR(__xludf.DUMMYFUNCTION("""COMPUTED_VALUE"""),45889.626949224534)</f>
        <v>45889.62695</v>
      </c>
      <c r="M3439" s="13"/>
      <c r="N3439" s="13" t="str">
        <f>IFERROR(__xludf.DUMMYFUNCTION("""COMPUTED_VALUE"""),"")</f>
        <v/>
      </c>
      <c r="O3439" s="13" t="str">
        <f t="shared" si="1"/>
        <v/>
      </c>
    </row>
    <row r="3440" ht="22.5" customHeight="1">
      <c r="B3440" s="13">
        <f>IFERROR(__xludf.DUMMYFUNCTION("""COMPUTED_VALUE"""),3435.0)</f>
        <v>3435</v>
      </c>
      <c r="C3440" s="13" t="str">
        <f>IFERROR(__xludf.DUMMYFUNCTION("""COMPUTED_VALUE"""),"HM 2066/SUKAMAJU")</f>
        <v>HM 2066/SUKAMAJU</v>
      </c>
      <c r="D3440" s="13" t="str">
        <f>IFERROR(__xludf.DUMMYFUNCTION("""COMPUTED_VALUE"""),"L/30/050825/1")</f>
        <v>L/30/050825/1</v>
      </c>
      <c r="E3440" s="14" t="str">
        <f>IFERROR(__xludf.DUMMYFUNCTION("""COMPUTED_VALUE"""),"Afriza (BT)")</f>
        <v>Afriza (BT)</v>
      </c>
      <c r="F3440" s="14" t="str">
        <f>IFERROR(__xludf.DUMMYFUNCTION("""COMPUTED_VALUE"""),"SELESAI (VIA PERMOHONAN)")</f>
        <v>SELESAI (VIA PERMOHONAN)</v>
      </c>
      <c r="G3440" s="17">
        <f>IFERROR(__xludf.DUMMYFUNCTION("""COMPUTED_VALUE"""),45888.502930347226)</f>
        <v>45888.50293</v>
      </c>
      <c r="H3440" s="14" t="str">
        <f>IFERROR(__xludf.DUMMYFUNCTION("""COMPUTED_VALUE"""),"Eci (SU)")</f>
        <v>Eci (SU)</v>
      </c>
      <c r="I3440" s="13" t="str">
        <f>IFERROR(__xludf.DUMMYFUNCTION("""COMPUTED_VALUE"""),"SELESAI (VIA PERMOHONAN)")</f>
        <v>SELESAI (VIA PERMOHONAN)</v>
      </c>
      <c r="J3440" s="17">
        <f>IFERROR(__xludf.DUMMYFUNCTION("""COMPUTED_VALUE"""),45891.60334717593)</f>
        <v>45891.60335</v>
      </c>
      <c r="K3440" s="13" t="str">
        <f>IFERROR(__xludf.DUMMYFUNCTION("""COMPUTED_VALUE"""),"Selesai")</f>
        <v>Selesai</v>
      </c>
      <c r="L3440" s="17">
        <f>IFERROR(__xludf.DUMMYFUNCTION("""COMPUTED_VALUE"""),45891.60334717593)</f>
        <v>45891.60335</v>
      </c>
      <c r="M3440" s="13"/>
      <c r="N3440" s="13" t="str">
        <f>IFERROR(__xludf.DUMMYFUNCTION("""COMPUTED_VALUE"""),"")</f>
        <v/>
      </c>
      <c r="O3440" s="13" t="str">
        <f t="shared" si="1"/>
        <v/>
      </c>
    </row>
    <row r="3441" ht="22.5" customHeight="1">
      <c r="B3441" s="13">
        <f>IFERROR(__xludf.DUMMYFUNCTION("""COMPUTED_VALUE"""),3436.0)</f>
        <v>3436</v>
      </c>
      <c r="C3441" s="13" t="str">
        <f>IFERROR(__xludf.DUMMYFUNCTION("""COMPUTED_VALUE"""),"HM 16992/SUKARAME")</f>
        <v>HM 16992/SUKARAME</v>
      </c>
      <c r="D3441" s="13" t="str">
        <f>IFERROR(__xludf.DUMMYFUNCTION("""COMPUTED_VALUE"""),"L/38/310725/1")</f>
        <v>L/38/310725/1</v>
      </c>
      <c r="E3441" s="14" t="str">
        <f>IFERROR(__xludf.DUMMYFUNCTION("""COMPUTED_VALUE"""),"Afriza (BT)")</f>
        <v>Afriza (BT)</v>
      </c>
      <c r="F3441" s="14" t="str">
        <f>IFERROR(__xludf.DUMMYFUNCTION("""COMPUTED_VALUE"""),"SELESAI (VIA PERMOHONAN)")</f>
        <v>SELESAI (VIA PERMOHONAN)</v>
      </c>
      <c r="G3441" s="17">
        <f>IFERROR(__xludf.DUMMYFUNCTION("""COMPUTED_VALUE"""),45888.50305292824)</f>
        <v>45888.50305</v>
      </c>
      <c r="H3441" s="14" t="str">
        <f>IFERROR(__xludf.DUMMYFUNCTION("""COMPUTED_VALUE"""),"Eci (SU)")</f>
        <v>Eci (SU)</v>
      </c>
      <c r="I3441" s="13" t="str">
        <f>IFERROR(__xludf.DUMMYFUNCTION("""COMPUTED_VALUE"""),"SELESAI (VIA PERMOHONAN)")</f>
        <v>SELESAI (VIA PERMOHONAN)</v>
      </c>
      <c r="J3441" s="17">
        <f>IFERROR(__xludf.DUMMYFUNCTION("""COMPUTED_VALUE"""),45891.603482314815)</f>
        <v>45891.60348</v>
      </c>
      <c r="K3441" s="13" t="str">
        <f>IFERROR(__xludf.DUMMYFUNCTION("""COMPUTED_VALUE"""),"Selesai")</f>
        <v>Selesai</v>
      </c>
      <c r="L3441" s="17">
        <f>IFERROR(__xludf.DUMMYFUNCTION("""COMPUTED_VALUE"""),45891.603482314815)</f>
        <v>45891.60348</v>
      </c>
      <c r="M3441" s="13"/>
      <c r="N3441" s="13" t="str">
        <f>IFERROR(__xludf.DUMMYFUNCTION("""COMPUTED_VALUE"""),"")</f>
        <v/>
      </c>
      <c r="O3441" s="13" t="str">
        <f t="shared" si="1"/>
        <v/>
      </c>
    </row>
    <row r="3442" ht="22.5" customHeight="1">
      <c r="B3442" s="13">
        <f>IFERROR(__xludf.DUMMYFUNCTION("""COMPUTED_VALUE"""),3437.0)</f>
        <v>3437</v>
      </c>
      <c r="C3442" s="13" t="str">
        <f>IFERROR(__xludf.DUMMYFUNCTION("""COMPUTED_VALUE"""),"HM 12052/SUKABUMI")</f>
        <v>HM 12052/SUKABUMI</v>
      </c>
      <c r="D3442" s="13" t="str">
        <f>IFERROR(__xludf.DUMMYFUNCTION("""COMPUTED_VALUE"""),"L/4/060825/1")</f>
        <v>L/4/060825/1</v>
      </c>
      <c r="E3442" s="14" t="str">
        <f>IFERROR(__xludf.DUMMYFUNCTION("""COMPUTED_VALUE"""),"Afriza (BT)")</f>
        <v>Afriza (BT)</v>
      </c>
      <c r="F3442" s="14" t="str">
        <f>IFERROR(__xludf.DUMMYFUNCTION("""COMPUTED_VALUE"""),"SELESAI (VIA PERMOHONAN)")</f>
        <v>SELESAI (VIA PERMOHONAN)</v>
      </c>
      <c r="G3442" s="17">
        <f>IFERROR(__xludf.DUMMYFUNCTION("""COMPUTED_VALUE"""),45888.50316091435)</f>
        <v>45888.50316</v>
      </c>
      <c r="H3442" s="14" t="str">
        <f>IFERROR(__xludf.DUMMYFUNCTION("""COMPUTED_VALUE"""),"Eci (SU)")</f>
        <v>Eci (SU)</v>
      </c>
      <c r="I3442" s="13" t="str">
        <f>IFERROR(__xludf.DUMMYFUNCTION("""COMPUTED_VALUE"""),"SELESAI (VIA PERMOHONAN)")</f>
        <v>SELESAI (VIA PERMOHONAN)</v>
      </c>
      <c r="J3442" s="17">
        <f>IFERROR(__xludf.DUMMYFUNCTION("""COMPUTED_VALUE"""),45891.60356665509)</f>
        <v>45891.60357</v>
      </c>
      <c r="K3442" s="13" t="str">
        <f>IFERROR(__xludf.DUMMYFUNCTION("""COMPUTED_VALUE"""),"Selesai")</f>
        <v>Selesai</v>
      </c>
      <c r="L3442" s="17">
        <f>IFERROR(__xludf.DUMMYFUNCTION("""COMPUTED_VALUE"""),45891.60356665509)</f>
        <v>45891.60357</v>
      </c>
      <c r="M3442" s="13"/>
      <c r="N3442" s="13" t="str">
        <f>IFERROR(__xludf.DUMMYFUNCTION("""COMPUTED_VALUE"""),"")</f>
        <v/>
      </c>
      <c r="O3442" s="13" t="str">
        <f t="shared" si="1"/>
        <v/>
      </c>
    </row>
    <row r="3443" ht="22.5" customHeight="1">
      <c r="B3443" s="13">
        <f>IFERROR(__xludf.DUMMYFUNCTION("""COMPUTED_VALUE"""),3438.0)</f>
        <v>3438</v>
      </c>
      <c r="C3443" s="13" t="str">
        <f>IFERROR(__xludf.DUMMYFUNCTION("""COMPUTED_VALUE"""),"HM 71/SUMBEREJO")</f>
        <v>HM 71/SUMBEREJO</v>
      </c>
      <c r="D3443" s="13" t="str">
        <f>IFERROR(__xludf.DUMMYFUNCTION("""COMPUTED_VALUE"""),"L/14/280725/1")</f>
        <v>L/14/280725/1</v>
      </c>
      <c r="E3443" s="14" t="str">
        <f>IFERROR(__xludf.DUMMYFUNCTION("""COMPUTED_VALUE"""),"Afriza (BT)")</f>
        <v>Afriza (BT)</v>
      </c>
      <c r="F3443" s="14" t="str">
        <f>IFERROR(__xludf.DUMMYFUNCTION("""COMPUTED_VALUE"""),"SELESAI (VIA PERMOHONAN)")</f>
        <v>SELESAI (VIA PERMOHONAN)</v>
      </c>
      <c r="G3443" s="17">
        <f>IFERROR(__xludf.DUMMYFUNCTION("""COMPUTED_VALUE"""),45888.50326733796)</f>
        <v>45888.50327</v>
      </c>
      <c r="H3443" s="14" t="str">
        <f>IFERROR(__xludf.DUMMYFUNCTION("""COMPUTED_VALUE"""),"Eci (SU)")</f>
        <v>Eci (SU)</v>
      </c>
      <c r="I3443" s="13" t="str">
        <f>IFERROR(__xludf.DUMMYFUNCTION("""COMPUTED_VALUE"""),"SELESAI (VIA PERMOHONAN)")</f>
        <v>SELESAI (VIA PERMOHONAN)</v>
      </c>
      <c r="J3443" s="17">
        <f>IFERROR(__xludf.DUMMYFUNCTION("""COMPUTED_VALUE"""),45889.62671237269)</f>
        <v>45889.62671</v>
      </c>
      <c r="K3443" s="13" t="str">
        <f>IFERROR(__xludf.DUMMYFUNCTION("""COMPUTED_VALUE"""),"Selesai")</f>
        <v>Selesai</v>
      </c>
      <c r="L3443" s="17">
        <f>IFERROR(__xludf.DUMMYFUNCTION("""COMPUTED_VALUE"""),45889.62671237269)</f>
        <v>45889.62671</v>
      </c>
      <c r="M3443" s="13"/>
      <c r="N3443" s="13" t="str">
        <f>IFERROR(__xludf.DUMMYFUNCTION("""COMPUTED_VALUE"""),"")</f>
        <v/>
      </c>
      <c r="O3443" s="13" t="str">
        <f t="shared" si="1"/>
        <v/>
      </c>
    </row>
    <row r="3444" ht="22.5" customHeight="1">
      <c r="B3444" s="13">
        <f>IFERROR(__xludf.DUMMYFUNCTION("""COMPUTED_VALUE"""),3439.0)</f>
        <v>3439</v>
      </c>
      <c r="C3444" s="13" t="str">
        <f>IFERROR(__xludf.DUMMYFUNCTION("""COMPUTED_VALUE"""),"HM 2260/KETEGUHAN")</f>
        <v>HM 2260/KETEGUHAN</v>
      </c>
      <c r="D3444" s="13" t="str">
        <f>IFERROR(__xludf.DUMMYFUNCTION("""COMPUTED_VALUE"""),"L/6/060825/1")</f>
        <v>L/6/060825/1</v>
      </c>
      <c r="E3444" s="14" t="str">
        <f>IFERROR(__xludf.DUMMYFUNCTION("""COMPUTED_VALUE"""),"Afriza (BT)")</f>
        <v>Afriza (BT)</v>
      </c>
      <c r="F3444" s="14" t="str">
        <f>IFERROR(__xludf.DUMMYFUNCTION("""COMPUTED_VALUE"""),"SELESAI (VIA PERMOHONAN)")</f>
        <v>SELESAI (VIA PERMOHONAN)</v>
      </c>
      <c r="G3444" s="17">
        <f>IFERROR(__xludf.DUMMYFUNCTION("""COMPUTED_VALUE"""),45888.50341965278)</f>
        <v>45888.50342</v>
      </c>
      <c r="H3444" s="14" t="str">
        <f>IFERROR(__xludf.DUMMYFUNCTION("""COMPUTED_VALUE"""),"Eci (SU)")</f>
        <v>Eci (SU)</v>
      </c>
      <c r="I3444" s="13" t="str">
        <f>IFERROR(__xludf.DUMMYFUNCTION("""COMPUTED_VALUE"""),"SELESAI (VIA PERMOHONAN)")</f>
        <v>SELESAI (VIA PERMOHONAN)</v>
      </c>
      <c r="J3444" s="17">
        <f>IFERROR(__xludf.DUMMYFUNCTION("""COMPUTED_VALUE"""),45889.62643690972)</f>
        <v>45889.62644</v>
      </c>
      <c r="K3444" s="13" t="str">
        <f>IFERROR(__xludf.DUMMYFUNCTION("""COMPUTED_VALUE"""),"Selesai")</f>
        <v>Selesai</v>
      </c>
      <c r="L3444" s="17">
        <f>IFERROR(__xludf.DUMMYFUNCTION("""COMPUTED_VALUE"""),45889.62643690972)</f>
        <v>45889.62644</v>
      </c>
      <c r="M3444" s="13"/>
      <c r="N3444" s="13" t="str">
        <f>IFERROR(__xludf.DUMMYFUNCTION("""COMPUTED_VALUE"""),"")</f>
        <v/>
      </c>
      <c r="O3444" s="13" t="str">
        <f t="shared" si="1"/>
        <v/>
      </c>
    </row>
    <row r="3445" ht="22.5" customHeight="1">
      <c r="B3445" s="13">
        <f>IFERROR(__xludf.DUMMYFUNCTION("""COMPUTED_VALUE"""),3440.0)</f>
        <v>3440</v>
      </c>
      <c r="C3445" s="13" t="str">
        <f>IFERROR(__xludf.DUMMYFUNCTION("""COMPUTED_VALUE"""),"HM 703/NOG")</f>
        <v>HM 703/NOG</v>
      </c>
      <c r="D3445" s="13" t="str">
        <f>IFERROR(__xludf.DUMMYFUNCTION("""COMPUTED_VALUE"""),"L/33/300725/1")</f>
        <v>L/33/300725/1</v>
      </c>
      <c r="E3445" s="14" t="str">
        <f>IFERROR(__xludf.DUMMYFUNCTION("""COMPUTED_VALUE"""),"Afriza (BT)")</f>
        <v>Afriza (BT)</v>
      </c>
      <c r="F3445" s="14" t="str">
        <f>IFERROR(__xludf.DUMMYFUNCTION("""COMPUTED_VALUE"""),"SELESAI (VIA PERMOHONAN)")</f>
        <v>SELESAI (VIA PERMOHONAN)</v>
      </c>
      <c r="G3445" s="17">
        <f>IFERROR(__xludf.DUMMYFUNCTION("""COMPUTED_VALUE"""),45888.50353170139)</f>
        <v>45888.50353</v>
      </c>
      <c r="H3445" s="14" t="str">
        <f>IFERROR(__xludf.DUMMYFUNCTION("""COMPUTED_VALUE"""),"Eci (SU)")</f>
        <v>Eci (SU)</v>
      </c>
      <c r="I3445" s="13" t="str">
        <f>IFERROR(__xludf.DUMMYFUNCTION("""COMPUTED_VALUE"""),"SELESAI (VIA PERMOHONAN)")</f>
        <v>SELESAI (VIA PERMOHONAN)</v>
      </c>
      <c r="J3445" s="17">
        <f>IFERROR(__xludf.DUMMYFUNCTION("""COMPUTED_VALUE"""),45889.626409212964)</f>
        <v>45889.62641</v>
      </c>
      <c r="K3445" s="13" t="str">
        <f>IFERROR(__xludf.DUMMYFUNCTION("""COMPUTED_VALUE"""),"Selesai")</f>
        <v>Selesai</v>
      </c>
      <c r="L3445" s="17">
        <f>IFERROR(__xludf.DUMMYFUNCTION("""COMPUTED_VALUE"""),45889.626409212964)</f>
        <v>45889.62641</v>
      </c>
      <c r="M3445" s="13"/>
      <c r="N3445" s="13" t="str">
        <f>IFERROR(__xludf.DUMMYFUNCTION("""COMPUTED_VALUE"""),"")</f>
        <v/>
      </c>
      <c r="O3445" s="13" t="str">
        <f t="shared" si="1"/>
        <v/>
      </c>
    </row>
    <row r="3446" ht="22.5" customHeight="1">
      <c r="B3446" s="13">
        <f>IFERROR(__xludf.DUMMYFUNCTION("""COMPUTED_VALUE"""),3441.0)</f>
        <v>3441</v>
      </c>
      <c r="C3446" s="13" t="str">
        <f>IFERROR(__xludf.DUMMYFUNCTION("""COMPUTED_VALUE"""),"HGB 4410/SUKABUMI")</f>
        <v>HGB 4410/SUKABUMI</v>
      </c>
      <c r="D3446" s="13" t="str">
        <f>IFERROR(__xludf.DUMMYFUNCTION("""COMPUTED_VALUE"""),"L/1/010825/1")</f>
        <v>L/1/010825/1</v>
      </c>
      <c r="E3446" s="14" t="str">
        <f>IFERROR(__xludf.DUMMYFUNCTION("""COMPUTED_VALUE"""),"Afriza (BT)")</f>
        <v>Afriza (BT)</v>
      </c>
      <c r="F3446" s="14" t="str">
        <f>IFERROR(__xludf.DUMMYFUNCTION("""COMPUTED_VALUE"""),"SELESAI (VIA PERMOHONAN)")</f>
        <v>SELESAI (VIA PERMOHONAN)</v>
      </c>
      <c r="G3446" s="17">
        <f>IFERROR(__xludf.DUMMYFUNCTION("""COMPUTED_VALUE"""),45889.413299803244)</f>
        <v>45889.4133</v>
      </c>
      <c r="H3446" s="14" t="str">
        <f>IFERROR(__xludf.DUMMYFUNCTION("""COMPUTED_VALUE"""),"Eci (SU)")</f>
        <v>Eci (SU)</v>
      </c>
      <c r="I3446" s="13" t="str">
        <f>IFERROR(__xludf.DUMMYFUNCTION("""COMPUTED_VALUE"""),"SELESAI (VIA PERMOHONAN)")</f>
        <v>SELESAI (VIA PERMOHONAN)</v>
      </c>
      <c r="J3446" s="17">
        <f>IFERROR(__xludf.DUMMYFUNCTION("""COMPUTED_VALUE"""),45894.655862175925)</f>
        <v>45894.65586</v>
      </c>
      <c r="K3446" s="13" t="str">
        <f>IFERROR(__xludf.DUMMYFUNCTION("""COMPUTED_VALUE"""),"Selesai")</f>
        <v>Selesai</v>
      </c>
      <c r="L3446" s="17">
        <f>IFERROR(__xludf.DUMMYFUNCTION("""COMPUTED_VALUE"""),45894.655862175925)</f>
        <v>45894.65586</v>
      </c>
      <c r="M3446" s="13"/>
      <c r="N3446" s="13" t="str">
        <f>IFERROR(__xludf.DUMMYFUNCTION("""COMPUTED_VALUE"""),"")</f>
        <v/>
      </c>
      <c r="O3446" s="13" t="str">
        <f t="shared" si="1"/>
        <v/>
      </c>
    </row>
    <row r="3447" ht="22.5" customHeight="1">
      <c r="B3447" s="13">
        <f>IFERROR(__xludf.DUMMYFUNCTION("""COMPUTED_VALUE"""),3442.0)</f>
        <v>3442</v>
      </c>
      <c r="C3447" s="13" t="str">
        <f>IFERROR(__xludf.DUMMYFUNCTION("""COMPUTED_VALUE"""),"M. 3375/ Kemiling Permai")</f>
        <v>M. 3375/ Kemiling Permai</v>
      </c>
      <c r="D3447" s="13" t="str">
        <f>IFERROR(__xludf.DUMMYFUNCTION("""COMPUTED_VALUE"""),"K/23/050825/1")</f>
        <v>K/23/050825/1</v>
      </c>
      <c r="E3447" s="14" t="str">
        <f>IFERROR(__xludf.DUMMYFUNCTION("""COMPUTED_VALUE"""),"Afriza (BT)")</f>
        <v>Afriza (BT)</v>
      </c>
      <c r="F3447" s="14" t="str">
        <f>IFERROR(__xludf.DUMMYFUNCTION("""COMPUTED_VALUE"""),"SELESAI (VIA PERMOHONAN)")</f>
        <v>SELESAI (VIA PERMOHONAN)</v>
      </c>
      <c r="G3447" s="17">
        <f>IFERROR(__xludf.DUMMYFUNCTION("""COMPUTED_VALUE"""),45889.413402245365)</f>
        <v>45889.4134</v>
      </c>
      <c r="H3447" s="14" t="str">
        <f>IFERROR(__xludf.DUMMYFUNCTION("""COMPUTED_VALUE"""),"Eci (SU)")</f>
        <v>Eci (SU)</v>
      </c>
      <c r="I3447" s="13" t="str">
        <f>IFERROR(__xludf.DUMMYFUNCTION("""COMPUTED_VALUE"""),"SELESAI (VIA PERMOHONAN)")</f>
        <v>SELESAI (VIA PERMOHONAN)</v>
      </c>
      <c r="J3447" s="17">
        <f>IFERROR(__xludf.DUMMYFUNCTION("""COMPUTED_VALUE"""),45895.663143495374)</f>
        <v>45895.66314</v>
      </c>
      <c r="K3447" s="13" t="str">
        <f>IFERROR(__xludf.DUMMYFUNCTION("""COMPUTED_VALUE"""),"Selesai")</f>
        <v>Selesai</v>
      </c>
      <c r="L3447" s="17">
        <f>IFERROR(__xludf.DUMMYFUNCTION("""COMPUTED_VALUE"""),45895.663143495374)</f>
        <v>45895.66314</v>
      </c>
      <c r="M3447" s="13"/>
      <c r="N3447" s="13" t="str">
        <f>IFERROR(__xludf.DUMMYFUNCTION("""COMPUTED_VALUE"""),"")</f>
        <v/>
      </c>
      <c r="O3447" s="13" t="str">
        <f t="shared" si="1"/>
        <v/>
      </c>
    </row>
    <row r="3448" ht="22.5" customHeight="1">
      <c r="B3448" s="13">
        <f>IFERROR(__xludf.DUMMYFUNCTION("""COMPUTED_VALUE"""),3443.0)</f>
        <v>3443</v>
      </c>
      <c r="C3448" s="13" t="str">
        <f>IFERROR(__xludf.DUMMYFUNCTION("""COMPUTED_VALUE"""),"HGB 1371/PINANG JAYA")</f>
        <v>HGB 1371/PINANG JAYA</v>
      </c>
      <c r="D3448" s="13" t="str">
        <f>IFERROR(__xludf.DUMMYFUNCTION("""COMPUTED_VALUE"""),"L/17/050825/1")</f>
        <v>L/17/050825/1</v>
      </c>
      <c r="E3448" s="14" t="str">
        <f>IFERROR(__xludf.DUMMYFUNCTION("""COMPUTED_VALUE"""),"Afriza (BT)")</f>
        <v>Afriza (BT)</v>
      </c>
      <c r="F3448" s="14" t="str">
        <f>IFERROR(__xludf.DUMMYFUNCTION("""COMPUTED_VALUE"""),"SELESAI (VIA PERMOHONAN)")</f>
        <v>SELESAI (VIA PERMOHONAN)</v>
      </c>
      <c r="G3448" s="17">
        <f>IFERROR(__xludf.DUMMYFUNCTION("""COMPUTED_VALUE"""),45889.413497905094)</f>
        <v>45889.4135</v>
      </c>
      <c r="H3448" s="14" t="str">
        <f>IFERROR(__xludf.DUMMYFUNCTION("""COMPUTED_VALUE"""),"Eci (SU)")</f>
        <v>Eci (SU)</v>
      </c>
      <c r="I3448" s="13" t="str">
        <f>IFERROR(__xludf.DUMMYFUNCTION("""COMPUTED_VALUE"""),"SELESAI (VIA PERMOHONAN)")</f>
        <v>SELESAI (VIA PERMOHONAN)</v>
      </c>
      <c r="J3448" s="17">
        <f>IFERROR(__xludf.DUMMYFUNCTION("""COMPUTED_VALUE"""),45889.62623771991)</f>
        <v>45889.62624</v>
      </c>
      <c r="K3448" s="13" t="str">
        <f>IFERROR(__xludf.DUMMYFUNCTION("""COMPUTED_VALUE"""),"Selesai")</f>
        <v>Selesai</v>
      </c>
      <c r="L3448" s="17">
        <f>IFERROR(__xludf.DUMMYFUNCTION("""COMPUTED_VALUE"""),45889.62623771991)</f>
        <v>45889.62624</v>
      </c>
      <c r="M3448" s="13"/>
      <c r="N3448" s="13" t="str">
        <f>IFERROR(__xludf.DUMMYFUNCTION("""COMPUTED_VALUE"""),"")</f>
        <v/>
      </c>
      <c r="O3448" s="13" t="str">
        <f t="shared" si="1"/>
        <v/>
      </c>
    </row>
    <row r="3449" ht="22.5" customHeight="1">
      <c r="B3449" s="13">
        <f>IFERROR(__xludf.DUMMYFUNCTION("""COMPUTED_VALUE"""),3444.0)</f>
        <v>3444</v>
      </c>
      <c r="C3449" s="13" t="str">
        <f>IFERROR(__xludf.DUMMYFUNCTION("""COMPUTED_VALUE"""),"M. 124/ Sumur Putri")</f>
        <v>M. 124/ Sumur Putri</v>
      </c>
      <c r="D3449" s="13" t="str">
        <f>IFERROR(__xludf.DUMMYFUNCTION("""COMPUTED_VALUE"""),"K/14/040825/3")</f>
        <v>K/14/040825/3</v>
      </c>
      <c r="E3449" s="14" t="str">
        <f>IFERROR(__xludf.DUMMYFUNCTION("""COMPUTED_VALUE"""),"Afriza (BT)")</f>
        <v>Afriza (BT)</v>
      </c>
      <c r="F3449" s="14" t="str">
        <f>IFERROR(__xludf.DUMMYFUNCTION("""COMPUTED_VALUE"""),"SELESAI (VIA PERMOHONAN)")</f>
        <v>SELESAI (VIA PERMOHONAN)</v>
      </c>
      <c r="G3449" s="17">
        <f>IFERROR(__xludf.DUMMYFUNCTION("""COMPUTED_VALUE"""),45889.41360591435)</f>
        <v>45889.41361</v>
      </c>
      <c r="H3449" s="14" t="str">
        <f>IFERROR(__xludf.DUMMYFUNCTION("""COMPUTED_VALUE"""),"Eci (SU)")</f>
        <v>Eci (SU)</v>
      </c>
      <c r="I3449" s="13" t="str">
        <f>IFERROR(__xludf.DUMMYFUNCTION("""COMPUTED_VALUE"""),"SELESAI (VIA PERMOHONAN)")</f>
        <v>SELESAI (VIA PERMOHONAN)</v>
      </c>
      <c r="J3449" s="17">
        <f>IFERROR(__xludf.DUMMYFUNCTION("""COMPUTED_VALUE"""),45891.603762847226)</f>
        <v>45891.60376</v>
      </c>
      <c r="K3449" s="13" t="str">
        <f>IFERROR(__xludf.DUMMYFUNCTION("""COMPUTED_VALUE"""),"Selesai")</f>
        <v>Selesai</v>
      </c>
      <c r="L3449" s="17">
        <f>IFERROR(__xludf.DUMMYFUNCTION("""COMPUTED_VALUE"""),45891.603762847226)</f>
        <v>45891.60376</v>
      </c>
      <c r="M3449" s="13"/>
      <c r="N3449" s="13" t="str">
        <f>IFERROR(__xludf.DUMMYFUNCTION("""COMPUTED_VALUE"""),"")</f>
        <v/>
      </c>
      <c r="O3449" s="13" t="str">
        <f t="shared" si="1"/>
        <v/>
      </c>
    </row>
    <row r="3450" ht="22.5" customHeight="1">
      <c r="B3450" s="13">
        <f>IFERROR(__xludf.DUMMYFUNCTION("""COMPUTED_VALUE"""),3445.0)</f>
        <v>3445</v>
      </c>
      <c r="C3450" s="13" t="str">
        <f>IFERROR(__xludf.DUMMYFUNCTION("""COMPUTED_VALUE"""),"M. 3358/ Kemiling Permai")</f>
        <v>M. 3358/ Kemiling Permai</v>
      </c>
      <c r="D3450" s="13" t="str">
        <f>IFERROR(__xludf.DUMMYFUNCTION("""COMPUTED_VALUE"""),"K/2/300725/2")</f>
        <v>K/2/300725/2</v>
      </c>
      <c r="E3450" s="14" t="str">
        <f>IFERROR(__xludf.DUMMYFUNCTION("""COMPUTED_VALUE"""),"Afriza (BT)")</f>
        <v>Afriza (BT)</v>
      </c>
      <c r="F3450" s="14" t="str">
        <f>IFERROR(__xludf.DUMMYFUNCTION("""COMPUTED_VALUE"""),"SELESAI (VIA PERMOHONAN)")</f>
        <v>SELESAI (VIA PERMOHONAN)</v>
      </c>
      <c r="G3450" s="17">
        <f>IFERROR(__xludf.DUMMYFUNCTION("""COMPUTED_VALUE"""),45889.41410443287)</f>
        <v>45889.4141</v>
      </c>
      <c r="H3450" s="14" t="str">
        <f>IFERROR(__xludf.DUMMYFUNCTION("""COMPUTED_VALUE"""),"Eci (SU)")</f>
        <v>Eci (SU)</v>
      </c>
      <c r="I3450" s="13" t="str">
        <f>IFERROR(__xludf.DUMMYFUNCTION("""COMPUTED_VALUE"""),"SELESAI (VIA PERMOHONAN)")</f>
        <v>SELESAI (VIA PERMOHONAN)</v>
      </c>
      <c r="J3450" s="17">
        <f>IFERROR(__xludf.DUMMYFUNCTION("""COMPUTED_VALUE"""),45895.663143495374)</f>
        <v>45895.66314</v>
      </c>
      <c r="K3450" s="13" t="str">
        <f>IFERROR(__xludf.DUMMYFUNCTION("""COMPUTED_VALUE"""),"Selesai")</f>
        <v>Selesai</v>
      </c>
      <c r="L3450" s="17">
        <f>IFERROR(__xludf.DUMMYFUNCTION("""COMPUTED_VALUE"""),45895.663143495374)</f>
        <v>45895.66314</v>
      </c>
      <c r="M3450" s="13"/>
      <c r="N3450" s="13" t="str">
        <f>IFERROR(__xludf.DUMMYFUNCTION("""COMPUTED_VALUE"""),"")</f>
        <v/>
      </c>
      <c r="O3450" s="13" t="str">
        <f t="shared" si="1"/>
        <v/>
      </c>
    </row>
    <row r="3451" ht="22.5" customHeight="1">
      <c r="B3451" s="13">
        <f>IFERROR(__xludf.DUMMYFUNCTION("""COMPUTED_VALUE"""),3446.0)</f>
        <v>3446</v>
      </c>
      <c r="C3451" s="13" t="str">
        <f>IFERROR(__xludf.DUMMYFUNCTION("""COMPUTED_VALUE"""),"M. 581/ Sukaraja")</f>
        <v>M. 581/ Sukaraja</v>
      </c>
      <c r="D3451" s="13" t="str">
        <f>IFERROR(__xludf.DUMMYFUNCTION("""COMPUTED_VALUE"""),"K/29/290725/3")</f>
        <v>K/29/290725/3</v>
      </c>
      <c r="E3451" s="14" t="str">
        <f>IFERROR(__xludf.DUMMYFUNCTION("""COMPUTED_VALUE"""),"Afriza (BT)")</f>
        <v>Afriza (BT)</v>
      </c>
      <c r="F3451" s="14" t="str">
        <f>IFERROR(__xludf.DUMMYFUNCTION("""COMPUTED_VALUE"""),"SELESAI (VIA PERMOHONAN)")</f>
        <v>SELESAI (VIA PERMOHONAN)</v>
      </c>
      <c r="G3451" s="17">
        <f>IFERROR(__xludf.DUMMYFUNCTION("""COMPUTED_VALUE"""),45889.41435395833)</f>
        <v>45889.41435</v>
      </c>
      <c r="H3451" s="14" t="str">
        <f>IFERROR(__xludf.DUMMYFUNCTION("""COMPUTED_VALUE"""),"Eci (SU)")</f>
        <v>Eci (SU)</v>
      </c>
      <c r="I3451" s="13" t="str">
        <f>IFERROR(__xludf.DUMMYFUNCTION("""COMPUTED_VALUE"""),"SELESAI (VIA PERMOHONAN)")</f>
        <v>SELESAI (VIA PERMOHONAN)</v>
      </c>
      <c r="J3451" s="17">
        <f>IFERROR(__xludf.DUMMYFUNCTION("""COMPUTED_VALUE"""),45889.6261272338)</f>
        <v>45889.62613</v>
      </c>
      <c r="K3451" s="13" t="str">
        <f>IFERROR(__xludf.DUMMYFUNCTION("""COMPUTED_VALUE"""),"Selesai")</f>
        <v>Selesai</v>
      </c>
      <c r="L3451" s="17">
        <f>IFERROR(__xludf.DUMMYFUNCTION("""COMPUTED_VALUE"""),45889.6261272338)</f>
        <v>45889.62613</v>
      </c>
      <c r="M3451" s="13"/>
      <c r="N3451" s="13" t="str">
        <f>IFERROR(__xludf.DUMMYFUNCTION("""COMPUTED_VALUE"""),"")</f>
        <v/>
      </c>
      <c r="O3451" s="13" t="str">
        <f t="shared" si="1"/>
        <v/>
      </c>
    </row>
    <row r="3452" ht="22.5" customHeight="1">
      <c r="B3452" s="13">
        <f>IFERROR(__xludf.DUMMYFUNCTION("""COMPUTED_VALUE"""),3447.0)</f>
        <v>3447</v>
      </c>
      <c r="C3452" s="13" t="str">
        <f>IFERROR(__xludf.DUMMYFUNCTION("""COMPUTED_VALUE"""),"M. 12713/ Tanjung Baru")</f>
        <v>M. 12713/ Tanjung Baru</v>
      </c>
      <c r="D3452" s="13" t="str">
        <f>IFERROR(__xludf.DUMMYFUNCTION("""COMPUTED_VALUE"""),"K/28/300725/1")</f>
        <v>K/28/300725/1</v>
      </c>
      <c r="E3452" s="14" t="str">
        <f>IFERROR(__xludf.DUMMYFUNCTION("""COMPUTED_VALUE"""),"Afriza (BT)")</f>
        <v>Afriza (BT)</v>
      </c>
      <c r="F3452" s="14" t="str">
        <f>IFERROR(__xludf.DUMMYFUNCTION("""COMPUTED_VALUE"""),"SELESAI (VIA PERMOHONAN)")</f>
        <v>SELESAI (VIA PERMOHONAN)</v>
      </c>
      <c r="G3452" s="17">
        <f>IFERROR(__xludf.DUMMYFUNCTION("""COMPUTED_VALUE"""),45889.41452484953)</f>
        <v>45889.41452</v>
      </c>
      <c r="H3452" s="14" t="str">
        <f>IFERROR(__xludf.DUMMYFUNCTION("""COMPUTED_VALUE"""),"Eci (SU)")</f>
        <v>Eci (SU)</v>
      </c>
      <c r="I3452" s="13" t="str">
        <f>IFERROR(__xludf.DUMMYFUNCTION("""COMPUTED_VALUE"""),"SELESAI (VIA PERMOHONAN)")</f>
        <v>SELESAI (VIA PERMOHONAN)</v>
      </c>
      <c r="J3452" s="17">
        <f>IFERROR(__xludf.DUMMYFUNCTION("""COMPUTED_VALUE"""),45889.626059884264)</f>
        <v>45889.62606</v>
      </c>
      <c r="K3452" s="13" t="str">
        <f>IFERROR(__xludf.DUMMYFUNCTION("""COMPUTED_VALUE"""),"Selesai")</f>
        <v>Selesai</v>
      </c>
      <c r="L3452" s="17">
        <f>IFERROR(__xludf.DUMMYFUNCTION("""COMPUTED_VALUE"""),45889.626059884264)</f>
        <v>45889.62606</v>
      </c>
      <c r="M3452" s="13"/>
      <c r="N3452" s="13" t="str">
        <f>IFERROR(__xludf.DUMMYFUNCTION("""COMPUTED_VALUE"""),"")</f>
        <v/>
      </c>
      <c r="O3452" s="13" t="str">
        <f t="shared" si="1"/>
        <v/>
      </c>
    </row>
    <row r="3453" ht="22.5" customHeight="1">
      <c r="B3453" s="13">
        <f>IFERROR(__xludf.DUMMYFUNCTION("""COMPUTED_VALUE"""),3448.0)</f>
        <v>3448</v>
      </c>
      <c r="C3453" s="13" t="str">
        <f>IFERROR(__xludf.DUMMYFUNCTION("""COMPUTED_VALUE"""),"M. 11394/ LAbuhan Ratu")</f>
        <v>M. 11394/ LAbuhan Ratu</v>
      </c>
      <c r="D3453" s="13" t="str">
        <f>IFERROR(__xludf.DUMMYFUNCTION("""COMPUTED_VALUE"""),"K/14/310725/1")</f>
        <v>K/14/310725/1</v>
      </c>
      <c r="E3453" s="14" t="str">
        <f>IFERROR(__xludf.DUMMYFUNCTION("""COMPUTED_VALUE"""),"Afriza (BT)")</f>
        <v>Afriza (BT)</v>
      </c>
      <c r="F3453" s="14" t="str">
        <f>IFERROR(__xludf.DUMMYFUNCTION("""COMPUTED_VALUE"""),"SELESAI (VIA PERMOHONAN)")</f>
        <v>SELESAI (VIA PERMOHONAN)</v>
      </c>
      <c r="G3453" s="17">
        <f>IFERROR(__xludf.DUMMYFUNCTION("""COMPUTED_VALUE"""),45889.41479664352)</f>
        <v>45889.4148</v>
      </c>
      <c r="H3453" s="14" t="str">
        <f>IFERROR(__xludf.DUMMYFUNCTION("""COMPUTED_VALUE"""),"Eci (SU)")</f>
        <v>Eci (SU)</v>
      </c>
      <c r="I3453" s="13" t="str">
        <f>IFERROR(__xludf.DUMMYFUNCTION("""COMPUTED_VALUE"""),"SELESAI (VIA PERMOHONAN)")</f>
        <v>SELESAI (VIA PERMOHONAN)</v>
      </c>
      <c r="J3453" s="17">
        <f>IFERROR(__xludf.DUMMYFUNCTION("""COMPUTED_VALUE"""),45891.603951655095)</f>
        <v>45891.60395</v>
      </c>
      <c r="K3453" s="13" t="str">
        <f>IFERROR(__xludf.DUMMYFUNCTION("""COMPUTED_VALUE"""),"Selesai")</f>
        <v>Selesai</v>
      </c>
      <c r="L3453" s="17">
        <f>IFERROR(__xludf.DUMMYFUNCTION("""COMPUTED_VALUE"""),45891.603951655095)</f>
        <v>45891.60395</v>
      </c>
      <c r="M3453" s="13"/>
      <c r="N3453" s="13" t="str">
        <f>IFERROR(__xludf.DUMMYFUNCTION("""COMPUTED_VALUE"""),"")</f>
        <v/>
      </c>
      <c r="O3453" s="13" t="str">
        <f t="shared" si="1"/>
        <v/>
      </c>
    </row>
    <row r="3454" ht="22.5" customHeight="1">
      <c r="B3454" s="13">
        <f>IFERROR(__xludf.DUMMYFUNCTION("""COMPUTED_VALUE"""),3449.0)</f>
        <v>3449</v>
      </c>
      <c r="C3454" s="13" t="str">
        <f>IFERROR(__xludf.DUMMYFUNCTION("""COMPUTED_VALUE"""),"B. 374/ Bakung")</f>
        <v>B. 374/ Bakung</v>
      </c>
      <c r="D3454" s="13" t="str">
        <f>IFERROR(__xludf.DUMMYFUNCTION("""COMPUTED_VALUE"""),"K/31/300725/1")</f>
        <v>K/31/300725/1</v>
      </c>
      <c r="E3454" s="14" t="str">
        <f>IFERROR(__xludf.DUMMYFUNCTION("""COMPUTED_VALUE"""),"Afriza (BT)")</f>
        <v>Afriza (BT)</v>
      </c>
      <c r="F3454" s="14" t="str">
        <f>IFERROR(__xludf.DUMMYFUNCTION("""COMPUTED_VALUE"""),"SELESAI (VIA PERMOHONAN)")</f>
        <v>SELESAI (VIA PERMOHONAN)</v>
      </c>
      <c r="G3454" s="17">
        <f>IFERROR(__xludf.DUMMYFUNCTION("""COMPUTED_VALUE"""),45889.41489667824)</f>
        <v>45889.4149</v>
      </c>
      <c r="H3454" s="14" t="str">
        <f>IFERROR(__xludf.DUMMYFUNCTION("""COMPUTED_VALUE"""),"Eci (SU)")</f>
        <v>Eci (SU)</v>
      </c>
      <c r="I3454" s="13" t="str">
        <f>IFERROR(__xludf.DUMMYFUNCTION("""COMPUTED_VALUE"""),"SELESAI (VIA PERMOHONAN)")</f>
        <v>SELESAI (VIA PERMOHONAN)</v>
      </c>
      <c r="J3454" s="17">
        <f>IFERROR(__xludf.DUMMYFUNCTION("""COMPUTED_VALUE"""),45891.60408366898)</f>
        <v>45891.60408</v>
      </c>
      <c r="K3454" s="13" t="str">
        <f>IFERROR(__xludf.DUMMYFUNCTION("""COMPUTED_VALUE"""),"Selesai")</f>
        <v>Selesai</v>
      </c>
      <c r="L3454" s="17">
        <f>IFERROR(__xludf.DUMMYFUNCTION("""COMPUTED_VALUE"""),45891.60408366898)</f>
        <v>45891.60408</v>
      </c>
      <c r="M3454" s="13"/>
      <c r="N3454" s="13" t="str">
        <f>IFERROR(__xludf.DUMMYFUNCTION("""COMPUTED_VALUE"""),"")</f>
        <v/>
      </c>
      <c r="O3454" s="13" t="str">
        <f t="shared" si="1"/>
        <v/>
      </c>
    </row>
    <row r="3455" ht="22.5" customHeight="1">
      <c r="B3455" s="13">
        <f>IFERROR(__xludf.DUMMYFUNCTION("""COMPUTED_VALUE"""),3450.0)</f>
        <v>3450</v>
      </c>
      <c r="C3455" s="13" t="str">
        <f>IFERROR(__xludf.DUMMYFUNCTION("""COMPUTED_VALUE"""),"HM 11783/JAGABAYA II")</f>
        <v>HM 11783/JAGABAYA II</v>
      </c>
      <c r="D3455" s="13" t="str">
        <f>IFERROR(__xludf.DUMMYFUNCTION("""COMPUTED_VALUE"""),"L/4/300725/1")</f>
        <v>L/4/300725/1</v>
      </c>
      <c r="E3455" s="14" t="str">
        <f>IFERROR(__xludf.DUMMYFUNCTION("""COMPUTED_VALUE"""),"Afriza (BT)")</f>
        <v>Afriza (BT)</v>
      </c>
      <c r="F3455" s="14" t="str">
        <f>IFERROR(__xludf.DUMMYFUNCTION("""COMPUTED_VALUE"""),"SELESAI (VIA PERMOHONAN)")</f>
        <v>SELESAI (VIA PERMOHONAN)</v>
      </c>
      <c r="G3455" s="17">
        <f>IFERROR(__xludf.DUMMYFUNCTION("""COMPUTED_VALUE"""),45889.415009675926)</f>
        <v>45889.41501</v>
      </c>
      <c r="H3455" s="14" t="str">
        <f>IFERROR(__xludf.DUMMYFUNCTION("""COMPUTED_VALUE"""),"Eci (SU)")</f>
        <v>Eci (SU)</v>
      </c>
      <c r="I3455" s="13" t="str">
        <f>IFERROR(__xludf.DUMMYFUNCTION("""COMPUTED_VALUE"""),"SELESAI (VIA PERMOHONAN)")</f>
        <v>SELESAI (VIA PERMOHONAN)</v>
      </c>
      <c r="J3455" s="17">
        <f>IFERROR(__xludf.DUMMYFUNCTION("""COMPUTED_VALUE"""),45891.60415293981)</f>
        <v>45891.60415</v>
      </c>
      <c r="K3455" s="13" t="str">
        <f>IFERROR(__xludf.DUMMYFUNCTION("""COMPUTED_VALUE"""),"Selesai")</f>
        <v>Selesai</v>
      </c>
      <c r="L3455" s="17">
        <f>IFERROR(__xludf.DUMMYFUNCTION("""COMPUTED_VALUE"""),45891.60415293981)</f>
        <v>45891.60415</v>
      </c>
      <c r="M3455" s="13"/>
      <c r="N3455" s="13" t="str">
        <f>IFERROR(__xludf.DUMMYFUNCTION("""COMPUTED_VALUE"""),"")</f>
        <v/>
      </c>
      <c r="O3455" s="13" t="str">
        <f t="shared" si="1"/>
        <v/>
      </c>
    </row>
    <row r="3456" ht="22.5" customHeight="1">
      <c r="B3456" s="13">
        <f>IFERROR(__xludf.DUMMYFUNCTION("""COMPUTED_VALUE"""),3451.0)</f>
        <v>3451</v>
      </c>
      <c r="C3456" s="13" t="str">
        <f>IFERROR(__xludf.DUMMYFUNCTION("""COMPUTED_VALUE"""),"M.449, 347/KUPANG TEBA ")</f>
        <v>M.449, 347/KUPANG TEBA </v>
      </c>
      <c r="D3456" s="13" t="str">
        <f>IFERROR(__xludf.DUMMYFUNCTION("""COMPUTED_VALUE"""),"K/26/300725/2")</f>
        <v>K/26/300725/2</v>
      </c>
      <c r="E3456" s="14" t="str">
        <f>IFERROR(__xludf.DUMMYFUNCTION("""COMPUTED_VALUE"""),"Heri (BT)")</f>
        <v>Heri (BT)</v>
      </c>
      <c r="F3456" s="14" t="str">
        <f>IFERROR(__xludf.DUMMYFUNCTION("""COMPUTED_VALUE"""),"SELESAI (VIA PERMOHONAN)")</f>
        <v>SELESAI (VIA PERMOHONAN)</v>
      </c>
      <c r="G3456" s="17">
        <f>IFERROR(__xludf.DUMMYFUNCTION("""COMPUTED_VALUE"""),45889.61611831019)</f>
        <v>45889.61612</v>
      </c>
      <c r="H3456" s="14" t="str">
        <f>IFERROR(__xludf.DUMMYFUNCTION("""COMPUTED_VALUE"""),"Eci (SU)")</f>
        <v>Eci (SU)</v>
      </c>
      <c r="I3456" s="13" t="str">
        <f>IFERROR(__xludf.DUMMYFUNCTION("""COMPUTED_VALUE"""),"SELESAI (VIA PERMOHONAN)")</f>
        <v>SELESAI (VIA PERMOHONAN)</v>
      </c>
      <c r="J3456" s="17">
        <f>IFERROR(__xludf.DUMMYFUNCTION("""COMPUTED_VALUE"""),45891.60279333333)</f>
        <v>45891.60279</v>
      </c>
      <c r="K3456" s="13" t="str">
        <f>IFERROR(__xludf.DUMMYFUNCTION("""COMPUTED_VALUE"""),"Selesai")</f>
        <v>Selesai</v>
      </c>
      <c r="L3456" s="17">
        <f>IFERROR(__xludf.DUMMYFUNCTION("""COMPUTED_VALUE"""),45891.60279333333)</f>
        <v>45891.60279</v>
      </c>
      <c r="M3456" s="13"/>
      <c r="N3456" s="13" t="str">
        <f>IFERROR(__xludf.DUMMYFUNCTION("""COMPUTED_VALUE"""),"")</f>
        <v/>
      </c>
      <c r="O3456" s="13" t="str">
        <f t="shared" si="1"/>
        <v/>
      </c>
    </row>
    <row r="3457" ht="22.5" customHeight="1">
      <c r="B3457" s="13">
        <f>IFERROR(__xludf.DUMMYFUNCTION("""COMPUTED_VALUE"""),3452.0)</f>
        <v>3452</v>
      </c>
      <c r="C3457" s="13" t="str">
        <f>IFERROR(__xludf.DUMMYFUNCTION("""COMPUTED_VALUE"""),"HM 645/KEMILING RAYA")</f>
        <v>HM 645/KEMILING RAYA</v>
      </c>
      <c r="D3457" s="13" t="str">
        <f>IFERROR(__xludf.DUMMYFUNCTION("""COMPUTED_VALUE"""),"L/13/260625/1")</f>
        <v>L/13/260625/1</v>
      </c>
      <c r="E3457" s="14" t="str">
        <f>IFERROR(__xludf.DUMMYFUNCTION("""COMPUTED_VALUE"""),"Heri (BT)")</f>
        <v>Heri (BT)</v>
      </c>
      <c r="F3457" s="14" t="str">
        <f>IFERROR(__xludf.DUMMYFUNCTION("""COMPUTED_VALUE"""),"SELESAI (VIA PERMOHONAN)")</f>
        <v>SELESAI (VIA PERMOHONAN)</v>
      </c>
      <c r="G3457" s="17">
        <f>IFERROR(__xludf.DUMMYFUNCTION("""COMPUTED_VALUE"""),45889.616229328705)</f>
        <v>45889.61623</v>
      </c>
      <c r="H3457" s="14" t="str">
        <f>IFERROR(__xludf.DUMMYFUNCTION("""COMPUTED_VALUE"""),"Eci (SU)")</f>
        <v>Eci (SU)</v>
      </c>
      <c r="I3457" s="13" t="str">
        <f>IFERROR(__xludf.DUMMYFUNCTION("""COMPUTED_VALUE"""),"SELESAI (VIA PERMOHONAN)")</f>
        <v>SELESAI (VIA PERMOHONAN)</v>
      </c>
      <c r="J3457" s="17">
        <f>IFERROR(__xludf.DUMMYFUNCTION("""COMPUTED_VALUE"""),45889.64322261574)</f>
        <v>45889.64322</v>
      </c>
      <c r="K3457" s="13" t="str">
        <f>IFERROR(__xludf.DUMMYFUNCTION("""COMPUTED_VALUE"""),"Selesai")</f>
        <v>Selesai</v>
      </c>
      <c r="L3457" s="17">
        <f>IFERROR(__xludf.DUMMYFUNCTION("""COMPUTED_VALUE"""),45889.64322261574)</f>
        <v>45889.64322</v>
      </c>
      <c r="M3457" s="13"/>
      <c r="N3457" s="13" t="str">
        <f>IFERROR(__xludf.DUMMYFUNCTION("""COMPUTED_VALUE"""),"")</f>
        <v/>
      </c>
      <c r="O3457" s="13" t="str">
        <f t="shared" si="1"/>
        <v/>
      </c>
    </row>
    <row r="3458" ht="22.5" customHeight="1">
      <c r="B3458" s="13">
        <f>IFERROR(__xludf.DUMMYFUNCTION("""COMPUTED_VALUE"""),3453.0)</f>
        <v>3453</v>
      </c>
      <c r="C3458" s="13" t="str">
        <f>IFERROR(__xludf.DUMMYFUNCTION("""COMPUTED_VALUE"""),"M.9141/JAGABAYA II")</f>
        <v>M.9141/JAGABAYA II</v>
      </c>
      <c r="D3458" s="13" t="str">
        <f>IFERROR(__xludf.DUMMYFUNCTION("""COMPUTED_VALUE"""),"K/25/280725/3")</f>
        <v>K/25/280725/3</v>
      </c>
      <c r="E3458" s="14" t="str">
        <f>IFERROR(__xludf.DUMMYFUNCTION("""COMPUTED_VALUE"""),"Heri (BT)")</f>
        <v>Heri (BT)</v>
      </c>
      <c r="F3458" s="14" t="str">
        <f>IFERROR(__xludf.DUMMYFUNCTION("""COMPUTED_VALUE"""),"SELESAI (VIA PERMOHONAN)")</f>
        <v>SELESAI (VIA PERMOHONAN)</v>
      </c>
      <c r="G3458" s="17">
        <f>IFERROR(__xludf.DUMMYFUNCTION("""COMPUTED_VALUE"""),45889.61649314815)</f>
        <v>45889.61649</v>
      </c>
      <c r="H3458" s="14" t="str">
        <f>IFERROR(__xludf.DUMMYFUNCTION("""COMPUTED_VALUE"""),"Eci (SU)")</f>
        <v>Eci (SU)</v>
      </c>
      <c r="I3458" s="13" t="str">
        <f>IFERROR(__xludf.DUMMYFUNCTION("""COMPUTED_VALUE"""),"SELESAI (VIA PERMOHONAN)")</f>
        <v>SELESAI (VIA PERMOHONAN)</v>
      </c>
      <c r="J3458" s="17">
        <f>IFERROR(__xludf.DUMMYFUNCTION("""COMPUTED_VALUE"""),45891.6027053125)</f>
        <v>45891.60271</v>
      </c>
      <c r="K3458" s="13" t="str">
        <f>IFERROR(__xludf.DUMMYFUNCTION("""COMPUTED_VALUE"""),"Selesai")</f>
        <v>Selesai</v>
      </c>
      <c r="L3458" s="17">
        <f>IFERROR(__xludf.DUMMYFUNCTION("""COMPUTED_VALUE"""),45891.6027053125)</f>
        <v>45891.60271</v>
      </c>
      <c r="M3458" s="13"/>
      <c r="N3458" s="13" t="str">
        <f>IFERROR(__xludf.DUMMYFUNCTION("""COMPUTED_VALUE"""),"")</f>
        <v/>
      </c>
      <c r="O3458" s="13" t="str">
        <f t="shared" si="1"/>
        <v/>
      </c>
    </row>
    <row r="3459" ht="22.5" customHeight="1">
      <c r="B3459" s="13">
        <f>IFERROR(__xludf.DUMMYFUNCTION("""COMPUTED_VALUE"""),3454.0)</f>
        <v>3454</v>
      </c>
      <c r="C3459" s="13" t="str">
        <f>IFERROR(__xludf.DUMMYFUNCTION("""COMPUTED_VALUE"""),"M. 372/ Kangkung")</f>
        <v>M. 372/ Kangkung</v>
      </c>
      <c r="D3459" s="13" t="str">
        <f>IFERROR(__xludf.DUMMYFUNCTION("""COMPUTED_VALUE"""),"K/32/010825/1")</f>
        <v>K/32/010825/1</v>
      </c>
      <c r="E3459" s="14" t="str">
        <f>IFERROR(__xludf.DUMMYFUNCTION("""COMPUTED_VALUE"""),"Heri (BT)")</f>
        <v>Heri (BT)</v>
      </c>
      <c r="F3459" s="14" t="str">
        <f>IFERROR(__xludf.DUMMYFUNCTION("""COMPUTED_VALUE"""),"SELESAI (VIA PERMOHONAN)")</f>
        <v>SELESAI (VIA PERMOHONAN)</v>
      </c>
      <c r="G3459" s="17">
        <f>IFERROR(__xludf.DUMMYFUNCTION("""COMPUTED_VALUE"""),45889.61672790509)</f>
        <v>45889.61673</v>
      </c>
      <c r="H3459" s="14" t="str">
        <f>IFERROR(__xludf.DUMMYFUNCTION("""COMPUTED_VALUE"""),"Eci (SU)")</f>
        <v>Eci (SU)</v>
      </c>
      <c r="I3459" s="13" t="str">
        <f>IFERROR(__xludf.DUMMYFUNCTION("""COMPUTED_VALUE"""),"SELESAI (VIA PERMOHONAN)")</f>
        <v>SELESAI (VIA PERMOHONAN)</v>
      </c>
      <c r="J3459" s="17">
        <f>IFERROR(__xludf.DUMMYFUNCTION("""COMPUTED_VALUE"""),45891.60247533565)</f>
        <v>45891.60248</v>
      </c>
      <c r="K3459" s="13" t="str">
        <f>IFERROR(__xludf.DUMMYFUNCTION("""COMPUTED_VALUE"""),"Selesai")</f>
        <v>Selesai</v>
      </c>
      <c r="L3459" s="17">
        <f>IFERROR(__xludf.DUMMYFUNCTION("""COMPUTED_VALUE"""),45891.60247533565)</f>
        <v>45891.60248</v>
      </c>
      <c r="M3459" s="13"/>
      <c r="N3459" s="13" t="str">
        <f>IFERROR(__xludf.DUMMYFUNCTION("""COMPUTED_VALUE"""),"")</f>
        <v/>
      </c>
      <c r="O3459" s="13" t="str">
        <f t="shared" si="1"/>
        <v/>
      </c>
    </row>
    <row r="3460" ht="22.5" customHeight="1">
      <c r="B3460" s="13">
        <f>IFERROR(__xludf.DUMMYFUNCTION("""COMPUTED_VALUE"""),3455.0)</f>
        <v>3455</v>
      </c>
      <c r="C3460" s="13" t="str">
        <f>IFERROR(__xludf.DUMMYFUNCTION("""COMPUTED_VALUE"""),"M. 1095/ Sukaraja")</f>
        <v>M. 1095/ Sukaraja</v>
      </c>
      <c r="D3460" s="13" t="str">
        <f>IFERROR(__xludf.DUMMYFUNCTION("""COMPUTED_VALUE"""),"K/30/290725/1")</f>
        <v>K/30/290725/1</v>
      </c>
      <c r="E3460" s="14" t="str">
        <f>IFERROR(__xludf.DUMMYFUNCTION("""COMPUTED_VALUE"""),"Heri (BT)")</f>
        <v>Heri (BT)</v>
      </c>
      <c r="F3460" s="14" t="str">
        <f>IFERROR(__xludf.DUMMYFUNCTION("""COMPUTED_VALUE"""),"SELESAI (VIA PERMOHONAN)")</f>
        <v>SELESAI (VIA PERMOHONAN)</v>
      </c>
      <c r="G3460" s="17">
        <f>IFERROR(__xludf.DUMMYFUNCTION("""COMPUTED_VALUE"""),45889.61706733797)</f>
        <v>45889.61707</v>
      </c>
      <c r="H3460" s="14" t="str">
        <f>IFERROR(__xludf.DUMMYFUNCTION("""COMPUTED_VALUE"""),"Eci (SU)")</f>
        <v>Eci (SU)</v>
      </c>
      <c r="I3460" s="13" t="str">
        <f>IFERROR(__xludf.DUMMYFUNCTION("""COMPUTED_VALUE"""),"SELESAI (VIA PERMOHONAN)")</f>
        <v>SELESAI (VIA PERMOHONAN)</v>
      </c>
      <c r="J3460" s="17">
        <f>IFERROR(__xludf.DUMMYFUNCTION("""COMPUTED_VALUE"""),45889.64275337963)</f>
        <v>45889.64275</v>
      </c>
      <c r="K3460" s="13" t="str">
        <f>IFERROR(__xludf.DUMMYFUNCTION("""COMPUTED_VALUE"""),"Selesai")</f>
        <v>Selesai</v>
      </c>
      <c r="L3460" s="17">
        <f>IFERROR(__xludf.DUMMYFUNCTION("""COMPUTED_VALUE"""),45889.64275337963)</f>
        <v>45889.64275</v>
      </c>
      <c r="M3460" s="13"/>
      <c r="N3460" s="13" t="str">
        <f>IFERROR(__xludf.DUMMYFUNCTION("""COMPUTED_VALUE"""),"")</f>
        <v/>
      </c>
      <c r="O3460" s="13" t="str">
        <f t="shared" si="1"/>
        <v/>
      </c>
    </row>
    <row r="3461" ht="22.5" customHeight="1">
      <c r="B3461" s="13">
        <f>IFERROR(__xludf.DUMMYFUNCTION("""COMPUTED_VALUE"""),3456.0)</f>
        <v>3456</v>
      </c>
      <c r="C3461" s="13" t="str">
        <f>IFERROR(__xludf.DUMMYFUNCTION("""COMPUTED_VALUE"""),"M. 1856/ Rajabasa Nunyai")</f>
        <v>M. 1856/ Rajabasa Nunyai</v>
      </c>
      <c r="D3461" s="13" t="str">
        <f>IFERROR(__xludf.DUMMYFUNCTION("""COMPUTED_VALUE"""),"K/17/040825/1")</f>
        <v>K/17/040825/1</v>
      </c>
      <c r="E3461" s="14" t="str">
        <f>IFERROR(__xludf.DUMMYFUNCTION("""COMPUTED_VALUE"""),"Heri (BT)")</f>
        <v>Heri (BT)</v>
      </c>
      <c r="F3461" s="14" t="str">
        <f>IFERROR(__xludf.DUMMYFUNCTION("""COMPUTED_VALUE"""),"SELESAI (VIA PERMOHONAN)")</f>
        <v>SELESAI (VIA PERMOHONAN)</v>
      </c>
      <c r="G3461" s="17">
        <f>IFERROR(__xludf.DUMMYFUNCTION("""COMPUTED_VALUE"""),45889.61715613426)</f>
        <v>45889.61716</v>
      </c>
      <c r="H3461" s="14" t="str">
        <f>IFERROR(__xludf.DUMMYFUNCTION("""COMPUTED_VALUE"""),"Eci (SU)")</f>
        <v>Eci (SU)</v>
      </c>
      <c r="I3461" s="13" t="str">
        <f>IFERROR(__xludf.DUMMYFUNCTION("""COMPUTED_VALUE"""),"SELESAI (VIA PERMOHONAN)")</f>
        <v>SELESAI (VIA PERMOHONAN)</v>
      </c>
      <c r="J3461" s="17">
        <f>IFERROR(__xludf.DUMMYFUNCTION("""COMPUTED_VALUE"""),45895.663143495374)</f>
        <v>45895.66314</v>
      </c>
      <c r="K3461" s="13" t="str">
        <f>IFERROR(__xludf.DUMMYFUNCTION("""COMPUTED_VALUE"""),"Selesai")</f>
        <v>Selesai</v>
      </c>
      <c r="L3461" s="17">
        <f>IFERROR(__xludf.DUMMYFUNCTION("""COMPUTED_VALUE"""),45895.663143495374)</f>
        <v>45895.66314</v>
      </c>
      <c r="M3461" s="13"/>
      <c r="N3461" s="13" t="str">
        <f>IFERROR(__xludf.DUMMYFUNCTION("""COMPUTED_VALUE"""),"")</f>
        <v/>
      </c>
      <c r="O3461" s="13" t="str">
        <f t="shared" si="1"/>
        <v/>
      </c>
    </row>
    <row r="3462" ht="22.5" customHeight="1">
      <c r="B3462" s="13">
        <f>IFERROR(__xludf.DUMMYFUNCTION("""COMPUTED_VALUE"""),3457.0)</f>
        <v>3457</v>
      </c>
      <c r="C3462" s="13" t="str">
        <f>IFERROR(__xludf.DUMMYFUNCTION("""COMPUTED_VALUE"""),"M. 2273/ Sepang Jaya")</f>
        <v>M. 2273/ Sepang Jaya</v>
      </c>
      <c r="D3462" s="13" t="str">
        <f>IFERROR(__xludf.DUMMYFUNCTION("""COMPUTED_VALUE"""),"K/32/050825/2")</f>
        <v>K/32/050825/2</v>
      </c>
      <c r="E3462" s="14" t="str">
        <f>IFERROR(__xludf.DUMMYFUNCTION("""COMPUTED_VALUE"""),"Heri (BT)")</f>
        <v>Heri (BT)</v>
      </c>
      <c r="F3462" s="14" t="str">
        <f>IFERROR(__xludf.DUMMYFUNCTION("""COMPUTED_VALUE"""),"SELESAI (VIA PERMOHONAN)")</f>
        <v>SELESAI (VIA PERMOHONAN)</v>
      </c>
      <c r="G3462" s="17">
        <f>IFERROR(__xludf.DUMMYFUNCTION("""COMPUTED_VALUE"""),45889.61731564815)</f>
        <v>45889.61732</v>
      </c>
      <c r="H3462" s="14" t="str">
        <f>IFERROR(__xludf.DUMMYFUNCTION("""COMPUTED_VALUE"""),"Eci (SU)")</f>
        <v>Eci (SU)</v>
      </c>
      <c r="I3462" s="13" t="str">
        <f>IFERROR(__xludf.DUMMYFUNCTION("""COMPUTED_VALUE"""),"SELESAI (VIA PERMOHONAN)")</f>
        <v>SELESAI (VIA PERMOHONAN)</v>
      </c>
      <c r="J3462" s="17">
        <f>IFERROR(__xludf.DUMMYFUNCTION("""COMPUTED_VALUE"""),45890.657555115744)</f>
        <v>45890.65756</v>
      </c>
      <c r="K3462" s="13" t="str">
        <f>IFERROR(__xludf.DUMMYFUNCTION("""COMPUTED_VALUE"""),"Selesai")</f>
        <v>Selesai</v>
      </c>
      <c r="L3462" s="17">
        <f>IFERROR(__xludf.DUMMYFUNCTION("""COMPUTED_VALUE"""),45890.657555115744)</f>
        <v>45890.65756</v>
      </c>
      <c r="M3462" s="13"/>
      <c r="N3462" s="13" t="str">
        <f>IFERROR(__xludf.DUMMYFUNCTION("""COMPUTED_VALUE"""),"")</f>
        <v/>
      </c>
      <c r="O3462" s="13" t="str">
        <f t="shared" si="1"/>
        <v/>
      </c>
    </row>
    <row r="3463" ht="22.5" customHeight="1">
      <c r="B3463" s="13">
        <f>IFERROR(__xludf.DUMMYFUNCTION("""COMPUTED_VALUE"""),3458.0)</f>
        <v>3458</v>
      </c>
      <c r="C3463" s="13" t="str">
        <f>IFERROR(__xludf.DUMMYFUNCTION("""COMPUTED_VALUE"""),"M. 767/ Sumur Putri")</f>
        <v>M. 767/ Sumur Putri</v>
      </c>
      <c r="D3463" s="13" t="str">
        <f>IFERROR(__xludf.DUMMYFUNCTION("""COMPUTED_VALUE"""),"K/14/240725/1")</f>
        <v>K/14/240725/1</v>
      </c>
      <c r="E3463" s="14" t="str">
        <f>IFERROR(__xludf.DUMMYFUNCTION("""COMPUTED_VALUE"""),"Heri (BT)")</f>
        <v>Heri (BT)</v>
      </c>
      <c r="F3463" s="14" t="str">
        <f>IFERROR(__xludf.DUMMYFUNCTION("""COMPUTED_VALUE"""),"SELESAI (VIA PERMOHONAN)")</f>
        <v>SELESAI (VIA PERMOHONAN)</v>
      </c>
      <c r="G3463" s="17">
        <f>IFERROR(__xludf.DUMMYFUNCTION("""COMPUTED_VALUE"""),45889.618129062495)</f>
        <v>45889.61813</v>
      </c>
      <c r="H3463" s="14" t="str">
        <f>IFERROR(__xludf.DUMMYFUNCTION("""COMPUTED_VALUE"""),"Eci (SU)")</f>
        <v>Eci (SU)</v>
      </c>
      <c r="I3463" s="13" t="str">
        <f>IFERROR(__xludf.DUMMYFUNCTION("""COMPUTED_VALUE"""),"SELESAI (VIA PERMOHONAN)")</f>
        <v>SELESAI (VIA PERMOHONAN)</v>
      </c>
      <c r="J3463" s="17">
        <f>IFERROR(__xludf.DUMMYFUNCTION("""COMPUTED_VALUE"""),45890.657409583335)</f>
        <v>45890.65741</v>
      </c>
      <c r="K3463" s="13" t="str">
        <f>IFERROR(__xludf.DUMMYFUNCTION("""COMPUTED_VALUE"""),"Selesai")</f>
        <v>Selesai</v>
      </c>
      <c r="L3463" s="17">
        <f>IFERROR(__xludf.DUMMYFUNCTION("""COMPUTED_VALUE"""),45890.657409583335)</f>
        <v>45890.65741</v>
      </c>
      <c r="M3463" s="13"/>
      <c r="N3463" s="13" t="str">
        <f>IFERROR(__xludf.DUMMYFUNCTION("""COMPUTED_VALUE"""),"")</f>
        <v/>
      </c>
      <c r="O3463" s="13" t="str">
        <f t="shared" si="1"/>
        <v/>
      </c>
    </row>
    <row r="3464" ht="22.5" customHeight="1">
      <c r="B3464" s="13">
        <f>IFERROR(__xludf.DUMMYFUNCTION("""COMPUTED_VALUE"""),3459.0)</f>
        <v>3459</v>
      </c>
      <c r="C3464" s="13" t="str">
        <f>IFERROR(__xludf.DUMMYFUNCTION("""COMPUTED_VALUE"""),"M. 885/ Sumber Agung")</f>
        <v>M. 885/ Sumber Agung</v>
      </c>
      <c r="D3464" s="13" t="str">
        <f>IFERROR(__xludf.DUMMYFUNCTION("""COMPUTED_VALUE"""),"K/17/010825/2")</f>
        <v>K/17/010825/2</v>
      </c>
      <c r="E3464" s="14" t="str">
        <f>IFERROR(__xludf.DUMMYFUNCTION("""COMPUTED_VALUE"""),"Heri (BT)")</f>
        <v>Heri (BT)</v>
      </c>
      <c r="F3464" s="14" t="str">
        <f>IFERROR(__xludf.DUMMYFUNCTION("""COMPUTED_VALUE"""),"SELESAI (VIA PERMOHONAN)")</f>
        <v>SELESAI (VIA PERMOHONAN)</v>
      </c>
      <c r="G3464" s="17">
        <f>IFERROR(__xludf.DUMMYFUNCTION("""COMPUTED_VALUE"""),45889.61841401621)</f>
        <v>45889.61841</v>
      </c>
      <c r="H3464" s="14" t="str">
        <f>IFERROR(__xludf.DUMMYFUNCTION("""COMPUTED_VALUE"""),"Eci (SU)")</f>
        <v>Eci (SU)</v>
      </c>
      <c r="I3464" s="13" t="str">
        <f>IFERROR(__xludf.DUMMYFUNCTION("""COMPUTED_VALUE"""),"SELESAI (VIA PERMOHONAN)")</f>
        <v>SELESAI (VIA PERMOHONAN)</v>
      </c>
      <c r="J3464" s="17">
        <f>IFERROR(__xludf.DUMMYFUNCTION("""COMPUTED_VALUE"""),45890.65728706018)</f>
        <v>45890.65729</v>
      </c>
      <c r="K3464" s="13" t="str">
        <f>IFERROR(__xludf.DUMMYFUNCTION("""COMPUTED_VALUE"""),"Selesai")</f>
        <v>Selesai</v>
      </c>
      <c r="L3464" s="17">
        <f>IFERROR(__xludf.DUMMYFUNCTION("""COMPUTED_VALUE"""),45890.65728706018)</f>
        <v>45890.65729</v>
      </c>
      <c r="M3464" s="13"/>
      <c r="N3464" s="13" t="str">
        <f>IFERROR(__xludf.DUMMYFUNCTION("""COMPUTED_VALUE"""),"")</f>
        <v/>
      </c>
      <c r="O3464" s="13" t="str">
        <f t="shared" si="1"/>
        <v/>
      </c>
    </row>
    <row r="3465" ht="22.5" customHeight="1">
      <c r="B3465" s="13">
        <f>IFERROR(__xludf.DUMMYFUNCTION("""COMPUTED_VALUE"""),3460.0)</f>
        <v>3460</v>
      </c>
      <c r="C3465" s="13" t="str">
        <f>IFERROR(__xludf.DUMMYFUNCTION("""COMPUTED_VALUE"""),"M.2116/KOTA BARU")</f>
        <v>M.2116/KOTA BARU</v>
      </c>
      <c r="D3465" s="13" t="str">
        <f>IFERROR(__xludf.DUMMYFUNCTION("""COMPUTED_VALUE"""),"K/40/310725/1")</f>
        <v>K/40/310725/1</v>
      </c>
      <c r="E3465" s="14" t="str">
        <f>IFERROR(__xludf.DUMMYFUNCTION("""COMPUTED_VALUE"""),"Heri (BT)")</f>
        <v>Heri (BT)</v>
      </c>
      <c r="F3465" s="14" t="str">
        <f>IFERROR(__xludf.DUMMYFUNCTION("""COMPUTED_VALUE"""),"SELESAI (VIA PERMOHONAN)")</f>
        <v>SELESAI (VIA PERMOHONAN)</v>
      </c>
      <c r="G3465" s="17">
        <f>IFERROR(__xludf.DUMMYFUNCTION("""COMPUTED_VALUE"""),45889.61862679398)</f>
        <v>45889.61863</v>
      </c>
      <c r="H3465" s="14" t="str">
        <f>IFERROR(__xludf.DUMMYFUNCTION("""COMPUTED_VALUE"""),"Eci (SU)")</f>
        <v>Eci (SU)</v>
      </c>
      <c r="I3465" s="13" t="str">
        <f>IFERROR(__xludf.DUMMYFUNCTION("""COMPUTED_VALUE"""),"SELESAI (VIA PERMOHONAN)")</f>
        <v>SELESAI (VIA PERMOHONAN)</v>
      </c>
      <c r="J3465" s="17">
        <f>IFERROR(__xludf.DUMMYFUNCTION("""COMPUTED_VALUE"""),45891.602221168985)</f>
        <v>45891.60222</v>
      </c>
      <c r="K3465" s="13" t="str">
        <f>IFERROR(__xludf.DUMMYFUNCTION("""COMPUTED_VALUE"""),"Selesai")</f>
        <v>Selesai</v>
      </c>
      <c r="L3465" s="17">
        <f>IFERROR(__xludf.DUMMYFUNCTION("""COMPUTED_VALUE"""),45891.602221168985)</f>
        <v>45891.60222</v>
      </c>
      <c r="M3465" s="13"/>
      <c r="N3465" s="13" t="str">
        <f>IFERROR(__xludf.DUMMYFUNCTION("""COMPUTED_VALUE"""),"")</f>
        <v/>
      </c>
      <c r="O3465" s="13" t="str">
        <f t="shared" si="1"/>
        <v/>
      </c>
    </row>
    <row r="3466" ht="22.5" customHeight="1">
      <c r="B3466" s="13">
        <f>IFERROR(__xludf.DUMMYFUNCTION("""COMPUTED_VALUE"""),3461.0)</f>
        <v>3461</v>
      </c>
      <c r="C3466" s="13" t="str">
        <f>IFERROR(__xludf.DUMMYFUNCTION("""COMPUTED_VALUE"""),"M.33/NUSANTARA PERMAI")</f>
        <v>M.33/NUSANTARA PERMAI</v>
      </c>
      <c r="D3466" s="13" t="str">
        <f>IFERROR(__xludf.DUMMYFUNCTION("""COMPUTED_VALUE"""),"K/10/060825/1")</f>
        <v>K/10/060825/1</v>
      </c>
      <c r="E3466" s="14" t="str">
        <f>IFERROR(__xludf.DUMMYFUNCTION("""COMPUTED_VALUE"""),"Heri (BT)")</f>
        <v>Heri (BT)</v>
      </c>
      <c r="F3466" s="14" t="str">
        <f>IFERROR(__xludf.DUMMYFUNCTION("""COMPUTED_VALUE"""),"SELESAI (VIA PERMOHONAN)")</f>
        <v>SELESAI (VIA PERMOHONAN)</v>
      </c>
      <c r="G3466" s="17">
        <f>IFERROR(__xludf.DUMMYFUNCTION("""COMPUTED_VALUE"""),45889.6188740162)</f>
        <v>45889.61887</v>
      </c>
      <c r="H3466" s="14" t="str">
        <f>IFERROR(__xludf.DUMMYFUNCTION("""COMPUTED_VALUE"""),"Eci (SU)")</f>
        <v>Eci (SU)</v>
      </c>
      <c r="I3466" s="13" t="str">
        <f>IFERROR(__xludf.DUMMYFUNCTION("""COMPUTED_VALUE"""),"SELESAI (VIA PERMOHONAN)")</f>
        <v>SELESAI (VIA PERMOHONAN)</v>
      </c>
      <c r="J3466" s="17">
        <f>IFERROR(__xludf.DUMMYFUNCTION("""COMPUTED_VALUE"""),45891.602135520836)</f>
        <v>45891.60214</v>
      </c>
      <c r="K3466" s="13" t="str">
        <f>IFERROR(__xludf.DUMMYFUNCTION("""COMPUTED_VALUE"""),"Selesai")</f>
        <v>Selesai</v>
      </c>
      <c r="L3466" s="17">
        <f>IFERROR(__xludf.DUMMYFUNCTION("""COMPUTED_VALUE"""),45891.602135520836)</f>
        <v>45891.60214</v>
      </c>
      <c r="M3466" s="13"/>
      <c r="N3466" s="13" t="str">
        <f>IFERROR(__xludf.DUMMYFUNCTION("""COMPUTED_VALUE"""),"")</f>
        <v/>
      </c>
      <c r="O3466" s="13" t="str">
        <f t="shared" si="1"/>
        <v/>
      </c>
    </row>
    <row r="3467" ht="22.5" customHeight="1">
      <c r="B3467" s="13">
        <f>IFERROR(__xludf.DUMMYFUNCTION("""COMPUTED_VALUE"""),3462.0)</f>
        <v>3462</v>
      </c>
      <c r="C3467" s="13" t="str">
        <f>IFERROR(__xludf.DUMMYFUNCTION("""COMPUTED_VALUE"""),"M.500/TALANG")</f>
        <v>M.500/TALANG</v>
      </c>
      <c r="D3467" s="13" t="str">
        <f>IFERROR(__xludf.DUMMYFUNCTION("""COMPUTED_VALUE"""),"K/7/010825/1")</f>
        <v>K/7/010825/1</v>
      </c>
      <c r="E3467" s="14" t="str">
        <f>IFERROR(__xludf.DUMMYFUNCTION("""COMPUTED_VALUE"""),"Heri (BT)")</f>
        <v>Heri (BT)</v>
      </c>
      <c r="F3467" s="14" t="str">
        <f>IFERROR(__xludf.DUMMYFUNCTION("""COMPUTED_VALUE"""),"SELESAI (VIA PERMOHONAN)")</f>
        <v>SELESAI (VIA PERMOHONAN)</v>
      </c>
      <c r="G3467" s="17">
        <f>IFERROR(__xludf.DUMMYFUNCTION("""COMPUTED_VALUE"""),45889.61909734954)</f>
        <v>45889.6191</v>
      </c>
      <c r="H3467" s="14" t="str">
        <f>IFERROR(__xludf.DUMMYFUNCTION("""COMPUTED_VALUE"""),"Eci (SU)")</f>
        <v>Eci (SU)</v>
      </c>
      <c r="I3467" s="13" t="str">
        <f>IFERROR(__xludf.DUMMYFUNCTION("""COMPUTED_VALUE"""),"SELESAI (VIA PERMOHONAN)")</f>
        <v>SELESAI (VIA PERMOHONAN)</v>
      </c>
      <c r="J3467" s="17">
        <f>IFERROR(__xludf.DUMMYFUNCTION("""COMPUTED_VALUE"""),45890.65713209491)</f>
        <v>45890.65713</v>
      </c>
      <c r="K3467" s="13" t="str">
        <f>IFERROR(__xludf.DUMMYFUNCTION("""COMPUTED_VALUE"""),"Selesai")</f>
        <v>Selesai</v>
      </c>
      <c r="L3467" s="17">
        <f>IFERROR(__xludf.DUMMYFUNCTION("""COMPUTED_VALUE"""),45890.65713209491)</f>
        <v>45890.65713</v>
      </c>
      <c r="M3467" s="13"/>
      <c r="N3467" s="13" t="str">
        <f>IFERROR(__xludf.DUMMYFUNCTION("""COMPUTED_VALUE"""),"")</f>
        <v/>
      </c>
      <c r="O3467" s="13" t="str">
        <f t="shared" si="1"/>
        <v/>
      </c>
    </row>
    <row r="3468" ht="22.5" customHeight="1">
      <c r="B3468" s="13">
        <f>IFERROR(__xludf.DUMMYFUNCTION("""COMPUTED_VALUE"""),3463.0)</f>
        <v>3463</v>
      </c>
      <c r="C3468" s="13" t="str">
        <f>IFERROR(__xludf.DUMMYFUNCTION("""COMPUTED_VALUE"""),"HM 235/BILABONG JAYA")</f>
        <v>HM 235/BILABONG JAYA</v>
      </c>
      <c r="D3468" s="13" t="str">
        <f>IFERROR(__xludf.DUMMYFUNCTION("""COMPUTED_VALUE"""),"L/14/290725/1")</f>
        <v>L/14/290725/1</v>
      </c>
      <c r="E3468" s="14" t="str">
        <f>IFERROR(__xludf.DUMMYFUNCTION("""COMPUTED_VALUE"""),"Heri (BT)")</f>
        <v>Heri (BT)</v>
      </c>
      <c r="F3468" s="14" t="str">
        <f>IFERROR(__xludf.DUMMYFUNCTION("""COMPUTED_VALUE"""),"SELESAI (VIA PERMOHONAN)")</f>
        <v>SELESAI (VIA PERMOHONAN)</v>
      </c>
      <c r="G3468" s="17">
        <f>IFERROR(__xludf.DUMMYFUNCTION("""COMPUTED_VALUE"""),45889.619251365744)</f>
        <v>45889.61925</v>
      </c>
      <c r="H3468" s="14" t="str">
        <f>IFERROR(__xludf.DUMMYFUNCTION("""COMPUTED_VALUE"""),"Eci (SU)")</f>
        <v>Eci (SU)</v>
      </c>
      <c r="I3468" s="13" t="str">
        <f>IFERROR(__xludf.DUMMYFUNCTION("""COMPUTED_VALUE"""),"SELESAI (VIA PERMOHONAN)")</f>
        <v>SELESAI (VIA PERMOHONAN)</v>
      </c>
      <c r="J3468" s="17">
        <f>IFERROR(__xludf.DUMMYFUNCTION("""COMPUTED_VALUE"""),45895.663143495374)</f>
        <v>45895.66314</v>
      </c>
      <c r="K3468" s="13" t="str">
        <f>IFERROR(__xludf.DUMMYFUNCTION("""COMPUTED_VALUE"""),"Selesai")</f>
        <v>Selesai</v>
      </c>
      <c r="L3468" s="17">
        <f>IFERROR(__xludf.DUMMYFUNCTION("""COMPUTED_VALUE"""),45895.663143495374)</f>
        <v>45895.66314</v>
      </c>
      <c r="M3468" s="13"/>
      <c r="N3468" s="13" t="str">
        <f>IFERROR(__xludf.DUMMYFUNCTION("""COMPUTED_VALUE"""),"")</f>
        <v/>
      </c>
      <c r="O3468" s="13" t="str">
        <f t="shared" si="1"/>
        <v/>
      </c>
    </row>
    <row r="3469" ht="22.5" customHeight="1">
      <c r="B3469" s="13">
        <f>IFERROR(__xludf.DUMMYFUNCTION("""COMPUTED_VALUE"""),3464.0)</f>
        <v>3464</v>
      </c>
      <c r="C3469" s="13" t="str">
        <f>IFERROR(__xludf.DUMMYFUNCTION("""COMPUTED_VALUE"""),"M.2549/SUMBER AGUNG")</f>
        <v>M.2549/SUMBER AGUNG</v>
      </c>
      <c r="D3469" s="13" t="str">
        <f>IFERROR(__xludf.DUMMYFUNCTION("""COMPUTED_VALUE"""),"K/27/050825/4")</f>
        <v>K/27/050825/4</v>
      </c>
      <c r="E3469" s="14" t="str">
        <f>IFERROR(__xludf.DUMMYFUNCTION("""COMPUTED_VALUE"""),"Heri (BT)")</f>
        <v>Heri (BT)</v>
      </c>
      <c r="F3469" s="14" t="str">
        <f>IFERROR(__xludf.DUMMYFUNCTION("""COMPUTED_VALUE"""),"SELESAI (VIA PERMOHONAN)")</f>
        <v>SELESAI (VIA PERMOHONAN)</v>
      </c>
      <c r="G3469" s="17">
        <f>IFERROR(__xludf.DUMMYFUNCTION("""COMPUTED_VALUE"""),45889.61938858796)</f>
        <v>45889.61939</v>
      </c>
      <c r="H3469" s="14" t="str">
        <f>IFERROR(__xludf.DUMMYFUNCTION("""COMPUTED_VALUE"""),"Eci (SU)")</f>
        <v>Eci (SU)</v>
      </c>
      <c r="I3469" s="13" t="str">
        <f>IFERROR(__xludf.DUMMYFUNCTION("""COMPUTED_VALUE"""),"SELESAI (VIA PERMOHONAN)")</f>
        <v>SELESAI (VIA PERMOHONAN)</v>
      </c>
      <c r="J3469" s="17">
        <f>IFERROR(__xludf.DUMMYFUNCTION("""COMPUTED_VALUE"""),45890.65691427083)</f>
        <v>45890.65691</v>
      </c>
      <c r="K3469" s="13" t="str">
        <f>IFERROR(__xludf.DUMMYFUNCTION("""COMPUTED_VALUE"""),"Selesai")</f>
        <v>Selesai</v>
      </c>
      <c r="L3469" s="17">
        <f>IFERROR(__xludf.DUMMYFUNCTION("""COMPUTED_VALUE"""),45890.65691427083)</f>
        <v>45890.65691</v>
      </c>
      <c r="M3469" s="13"/>
      <c r="N3469" s="13" t="str">
        <f>IFERROR(__xludf.DUMMYFUNCTION("""COMPUTED_VALUE"""),"")</f>
        <v/>
      </c>
      <c r="O3469" s="13" t="str">
        <f t="shared" si="1"/>
        <v/>
      </c>
    </row>
    <row r="3470" ht="22.5" customHeight="1">
      <c r="B3470" s="13">
        <f>IFERROR(__xludf.DUMMYFUNCTION("""COMPUTED_VALUE"""),3465.0)</f>
        <v>3465</v>
      </c>
      <c r="C3470" s="13" t="str">
        <f>IFERROR(__xludf.DUMMYFUNCTION("""COMPUTED_VALUE"""),"M.2123/LABUHAN DALAM")</f>
        <v>M.2123/LABUHAN DALAM</v>
      </c>
      <c r="D3470" s="13"/>
      <c r="E3470" s="14" t="str">
        <f>IFERROR(__xludf.DUMMYFUNCTION("""COMPUTED_VALUE"""),"Heri (BT)")</f>
        <v>Heri (BT)</v>
      </c>
      <c r="F3470" s="14" t="str">
        <f>IFERROR(__xludf.DUMMYFUNCTION("""COMPUTED_VALUE"""),"SELESAI (VIA PERMOHONAN)")</f>
        <v>SELESAI (VIA PERMOHONAN)</v>
      </c>
      <c r="G3470" s="17">
        <f>IFERROR(__xludf.DUMMYFUNCTION("""COMPUTED_VALUE"""),45889.62053733796)</f>
        <v>45889.62054</v>
      </c>
      <c r="H3470" s="14" t="str">
        <f>IFERROR(__xludf.DUMMYFUNCTION("""COMPUTED_VALUE"""),"Eci (SU)")</f>
        <v>Eci (SU)</v>
      </c>
      <c r="I3470" s="13" t="str">
        <f>IFERROR(__xludf.DUMMYFUNCTION("""COMPUTED_VALUE"""),"SELESAI (VIA PERMOHONAN)")</f>
        <v>SELESAI (VIA PERMOHONAN)</v>
      </c>
      <c r="J3470" s="17">
        <f>IFERROR(__xludf.DUMMYFUNCTION("""COMPUTED_VALUE"""),45890.65670969908)</f>
        <v>45890.65671</v>
      </c>
      <c r="K3470" s="13" t="str">
        <f>IFERROR(__xludf.DUMMYFUNCTION("""COMPUTED_VALUE"""),"")</f>
        <v/>
      </c>
      <c r="L3470" s="13" t="str">
        <f>IFERROR(__xludf.DUMMYFUNCTION("""COMPUTED_VALUE"""),"")</f>
        <v/>
      </c>
      <c r="M3470" s="13"/>
      <c r="N3470" s="13" t="str">
        <f>IFERROR(__xludf.DUMMYFUNCTION("""COMPUTED_VALUE"""),"")</f>
        <v/>
      </c>
      <c r="O3470" s="13" t="str">
        <f t="shared" si="1"/>
        <v/>
      </c>
    </row>
    <row r="3471" ht="22.5" customHeight="1">
      <c r="B3471" s="13">
        <f>IFERROR(__xludf.DUMMYFUNCTION("""COMPUTED_VALUE"""),3466.0)</f>
        <v>3466</v>
      </c>
      <c r="C3471" s="13" t="str">
        <f>IFERROR(__xludf.DUMMYFUNCTION("""COMPUTED_VALUE"""),"M.4643/WAY KANDIS")</f>
        <v>M.4643/WAY KANDIS</v>
      </c>
      <c r="D3471" s="13" t="str">
        <f>IFERROR(__xludf.DUMMYFUNCTION("""COMPUTED_VALUE"""),"K/46/310725/2")</f>
        <v>K/46/310725/2</v>
      </c>
      <c r="E3471" s="14" t="str">
        <f>IFERROR(__xludf.DUMMYFUNCTION("""COMPUTED_VALUE"""),"Heri (BT)")</f>
        <v>Heri (BT)</v>
      </c>
      <c r="F3471" s="14" t="str">
        <f>IFERROR(__xludf.DUMMYFUNCTION("""COMPUTED_VALUE"""),"SELESAI (VIA PERMOHONAN)")</f>
        <v>SELESAI (VIA PERMOHONAN)</v>
      </c>
      <c r="G3471" s="17">
        <f>IFERROR(__xludf.DUMMYFUNCTION("""COMPUTED_VALUE"""),45889.62068987268)</f>
        <v>45889.62069</v>
      </c>
      <c r="H3471" s="14" t="str">
        <f>IFERROR(__xludf.DUMMYFUNCTION("""COMPUTED_VALUE"""),"Eci (SU)")</f>
        <v>Eci (SU)</v>
      </c>
      <c r="I3471" s="13" t="str">
        <f>IFERROR(__xludf.DUMMYFUNCTION("""COMPUTED_VALUE"""),"SELESAI (VIA PERMOHONAN)")</f>
        <v>SELESAI (VIA PERMOHONAN)</v>
      </c>
      <c r="J3471" s="17">
        <f>IFERROR(__xludf.DUMMYFUNCTION("""COMPUTED_VALUE"""),45890.65657746528)</f>
        <v>45890.65658</v>
      </c>
      <c r="K3471" s="13" t="str">
        <f>IFERROR(__xludf.DUMMYFUNCTION("""COMPUTED_VALUE"""),"Selesai")</f>
        <v>Selesai</v>
      </c>
      <c r="L3471" s="17">
        <f>IFERROR(__xludf.DUMMYFUNCTION("""COMPUTED_VALUE"""),45890.65657746528)</f>
        <v>45890.65658</v>
      </c>
      <c r="M3471" s="13"/>
      <c r="N3471" s="13" t="str">
        <f>IFERROR(__xludf.DUMMYFUNCTION("""COMPUTED_VALUE"""),"")</f>
        <v/>
      </c>
      <c r="O3471" s="13" t="str">
        <f t="shared" si="1"/>
        <v/>
      </c>
    </row>
    <row r="3472" ht="22.5" customHeight="1">
      <c r="B3472" s="13">
        <f>IFERROR(__xludf.DUMMYFUNCTION("""COMPUTED_VALUE"""),3467.0)</f>
        <v>3467</v>
      </c>
      <c r="C3472" s="13" t="str">
        <f>IFERROR(__xludf.DUMMYFUNCTION("""COMPUTED_VALUE"""),"M.587/KUPANG RAYA")</f>
        <v>M.587/KUPANG RAYA</v>
      </c>
      <c r="D3472" s="13" t="str">
        <f>IFERROR(__xludf.DUMMYFUNCTION("""COMPUTED_VALUE"""),"K/11/090725/1")</f>
        <v>K/11/090725/1</v>
      </c>
      <c r="E3472" s="14" t="str">
        <f>IFERROR(__xludf.DUMMYFUNCTION("""COMPUTED_VALUE"""),"Heri (BT)")</f>
        <v>Heri (BT)</v>
      </c>
      <c r="F3472" s="14" t="str">
        <f>IFERROR(__xludf.DUMMYFUNCTION("""COMPUTED_VALUE"""),"SELESAI (VIA PERMOHONAN)")</f>
        <v>SELESAI (VIA PERMOHONAN)</v>
      </c>
      <c r="G3472" s="17">
        <f>IFERROR(__xludf.DUMMYFUNCTION("""COMPUTED_VALUE"""),45889.62091842592)</f>
        <v>45889.62092</v>
      </c>
      <c r="H3472" s="14" t="str">
        <f>IFERROR(__xludf.DUMMYFUNCTION("""COMPUTED_VALUE"""),"Eci (SU)")</f>
        <v>Eci (SU)</v>
      </c>
      <c r="I3472" s="13" t="str">
        <f>IFERROR(__xludf.DUMMYFUNCTION("""COMPUTED_VALUE"""),"SELESAI (VIA PERMOHONAN)")</f>
        <v>SELESAI (VIA PERMOHONAN)</v>
      </c>
      <c r="J3472" s="17">
        <f>IFERROR(__xludf.DUMMYFUNCTION("""COMPUTED_VALUE"""),45895.663143495374)</f>
        <v>45895.66314</v>
      </c>
      <c r="K3472" s="13" t="str">
        <f>IFERROR(__xludf.DUMMYFUNCTION("""COMPUTED_VALUE"""),"Selesai")</f>
        <v>Selesai</v>
      </c>
      <c r="L3472" s="17">
        <f>IFERROR(__xludf.DUMMYFUNCTION("""COMPUTED_VALUE"""),45895.663143495374)</f>
        <v>45895.66314</v>
      </c>
      <c r="M3472" s="13"/>
      <c r="N3472" s="13" t="str">
        <f>IFERROR(__xludf.DUMMYFUNCTION("""COMPUTED_VALUE"""),"")</f>
        <v/>
      </c>
      <c r="O3472" s="13" t="str">
        <f t="shared" si="1"/>
        <v/>
      </c>
    </row>
    <row r="3473" ht="22.5" customHeight="1">
      <c r="B3473" s="13">
        <f>IFERROR(__xludf.DUMMYFUNCTION("""COMPUTED_VALUE"""),3468.0)</f>
        <v>3468</v>
      </c>
      <c r="C3473" s="13" t="str">
        <f>IFERROR(__xludf.DUMMYFUNCTION("""COMPUTED_VALUE"""),"M.2893/SUKARAME BARU")</f>
        <v>M.2893/SUKARAME BARU</v>
      </c>
      <c r="D3473" s="13" t="str">
        <f>IFERROR(__xludf.DUMMYFUNCTION("""COMPUTED_VALUE"""),"K/31/250625/1")</f>
        <v>K/31/250625/1</v>
      </c>
      <c r="E3473" s="14" t="str">
        <f>IFERROR(__xludf.DUMMYFUNCTION("""COMPUTED_VALUE"""),"Heri (BT)")</f>
        <v>Heri (BT)</v>
      </c>
      <c r="F3473" s="14" t="str">
        <f>IFERROR(__xludf.DUMMYFUNCTION("""COMPUTED_VALUE"""),"SELESAI (VIA PERMOHONAN)")</f>
        <v>SELESAI (VIA PERMOHONAN)</v>
      </c>
      <c r="G3473" s="17">
        <f>IFERROR(__xludf.DUMMYFUNCTION("""COMPUTED_VALUE"""),45889.62106230324)</f>
        <v>45889.62106</v>
      </c>
      <c r="H3473" s="14" t="str">
        <f>IFERROR(__xludf.DUMMYFUNCTION("""COMPUTED_VALUE"""),"Eci (SU)")</f>
        <v>Eci (SU)</v>
      </c>
      <c r="I3473" s="13" t="str">
        <f>IFERROR(__xludf.DUMMYFUNCTION("""COMPUTED_VALUE"""),"SELESAI (VIA PERMOHONAN)")</f>
        <v>SELESAI (VIA PERMOHONAN)</v>
      </c>
      <c r="J3473" s="17">
        <f>IFERROR(__xludf.DUMMYFUNCTION("""COMPUTED_VALUE"""),45890.65644289352)</f>
        <v>45890.65644</v>
      </c>
      <c r="K3473" s="13" t="str">
        <f>IFERROR(__xludf.DUMMYFUNCTION("""COMPUTED_VALUE"""),"Selesai")</f>
        <v>Selesai</v>
      </c>
      <c r="L3473" s="17">
        <f>IFERROR(__xludf.DUMMYFUNCTION("""COMPUTED_VALUE"""),45890.65644289352)</f>
        <v>45890.65644</v>
      </c>
      <c r="M3473" s="13"/>
      <c r="N3473" s="13" t="str">
        <f>IFERROR(__xludf.DUMMYFUNCTION("""COMPUTED_VALUE"""),"")</f>
        <v/>
      </c>
      <c r="O3473" s="13" t="str">
        <f t="shared" si="1"/>
        <v/>
      </c>
    </row>
    <row r="3474" ht="22.5" customHeight="1">
      <c r="B3474" s="13">
        <f>IFERROR(__xludf.DUMMYFUNCTION("""COMPUTED_VALUE"""),3469.0)</f>
        <v>3469</v>
      </c>
      <c r="C3474" s="13" t="str">
        <f>IFERROR(__xludf.DUMMYFUNCTION("""COMPUTED_VALUE"""),"M.1522/SUKARAME BARU")</f>
        <v>M.1522/SUKARAME BARU</v>
      </c>
      <c r="D3474" s="13" t="str">
        <f>IFERROR(__xludf.DUMMYFUNCTION("""COMPUTED_VALUE"""),"K/17/250725/1")</f>
        <v>K/17/250725/1</v>
      </c>
      <c r="E3474" s="14" t="str">
        <f>IFERROR(__xludf.DUMMYFUNCTION("""COMPUTED_VALUE"""),"Heri (BT)")</f>
        <v>Heri (BT)</v>
      </c>
      <c r="F3474" s="14" t="str">
        <f>IFERROR(__xludf.DUMMYFUNCTION("""COMPUTED_VALUE"""),"SELESAI (VIA PERMOHONAN)")</f>
        <v>SELESAI (VIA PERMOHONAN)</v>
      </c>
      <c r="G3474" s="17">
        <f>IFERROR(__xludf.DUMMYFUNCTION("""COMPUTED_VALUE"""),45889.62126726852)</f>
        <v>45889.62127</v>
      </c>
      <c r="H3474" s="14" t="str">
        <f>IFERROR(__xludf.DUMMYFUNCTION("""COMPUTED_VALUE"""),"Eci (SU)")</f>
        <v>Eci (SU)</v>
      </c>
      <c r="I3474" s="13" t="str">
        <f>IFERROR(__xludf.DUMMYFUNCTION("""COMPUTED_VALUE"""),"SELESAI (VIA PERMOHONAN)")</f>
        <v>SELESAI (VIA PERMOHONAN)</v>
      </c>
      <c r="J3474" s="17">
        <f>IFERROR(__xludf.DUMMYFUNCTION("""COMPUTED_VALUE"""),45890.65600293981)</f>
        <v>45890.656</v>
      </c>
      <c r="K3474" s="13" t="str">
        <f>IFERROR(__xludf.DUMMYFUNCTION("""COMPUTED_VALUE"""),"Selesai")</f>
        <v>Selesai</v>
      </c>
      <c r="L3474" s="17">
        <f>IFERROR(__xludf.DUMMYFUNCTION("""COMPUTED_VALUE"""),45890.65600293981)</f>
        <v>45890.656</v>
      </c>
      <c r="M3474" s="13"/>
      <c r="N3474" s="13" t="str">
        <f>IFERROR(__xludf.DUMMYFUNCTION("""COMPUTED_VALUE"""),"")</f>
        <v/>
      </c>
      <c r="O3474" s="13" t="str">
        <f t="shared" si="1"/>
        <v/>
      </c>
    </row>
    <row r="3475" ht="22.5" customHeight="1">
      <c r="B3475" s="13">
        <f>IFERROR(__xludf.DUMMYFUNCTION("""COMPUTED_VALUE"""),3470.0)</f>
        <v>3470</v>
      </c>
      <c r="C3475" s="13" t="str">
        <f>IFERROR(__xludf.DUMMYFUNCTION("""COMPUTED_VALUE"""),"M. 1952/NOG")</f>
        <v>M. 1952/NOG</v>
      </c>
      <c r="D3475" s="13" t="str">
        <f>IFERROR(__xludf.DUMMYFUNCTION("""COMPUTED_VALUE"""),"K/22/230725/1")</f>
        <v>K/22/230725/1</v>
      </c>
      <c r="E3475" s="14" t="str">
        <f>IFERROR(__xludf.DUMMYFUNCTION("""COMPUTED_VALUE"""),"Heri (BT)")</f>
        <v>Heri (BT)</v>
      </c>
      <c r="F3475" s="14" t="str">
        <f>IFERROR(__xludf.DUMMYFUNCTION("""COMPUTED_VALUE"""),"SELESAI (VIA PERMOHONAN)")</f>
        <v>SELESAI (VIA PERMOHONAN)</v>
      </c>
      <c r="G3475" s="17">
        <f>IFERROR(__xludf.DUMMYFUNCTION("""COMPUTED_VALUE"""),45889.62141637731)</f>
        <v>45889.62142</v>
      </c>
      <c r="H3475" s="14" t="str">
        <f>IFERROR(__xludf.DUMMYFUNCTION("""COMPUTED_VALUE"""),"Eci (SU)")</f>
        <v>Eci (SU)</v>
      </c>
      <c r="I3475" s="13" t="str">
        <f>IFERROR(__xludf.DUMMYFUNCTION("""COMPUTED_VALUE"""),"SELESAI (VIA PERMOHONAN)")</f>
        <v>SELESAI (VIA PERMOHONAN)</v>
      </c>
      <c r="J3475" s="17">
        <f>IFERROR(__xludf.DUMMYFUNCTION("""COMPUTED_VALUE"""),45891.601742812505)</f>
        <v>45891.60174</v>
      </c>
      <c r="K3475" s="13" t="str">
        <f>IFERROR(__xludf.DUMMYFUNCTION("""COMPUTED_VALUE"""),"Selesai")</f>
        <v>Selesai</v>
      </c>
      <c r="L3475" s="17">
        <f>IFERROR(__xludf.DUMMYFUNCTION("""COMPUTED_VALUE"""),45891.601742812505)</f>
        <v>45891.60174</v>
      </c>
      <c r="M3475" s="13"/>
      <c r="N3475" s="13" t="str">
        <f>IFERROR(__xludf.DUMMYFUNCTION("""COMPUTED_VALUE"""),"")</f>
        <v/>
      </c>
      <c r="O3475" s="13" t="str">
        <f t="shared" si="1"/>
        <v/>
      </c>
    </row>
    <row r="3476" ht="22.5" customHeight="1">
      <c r="B3476" s="13">
        <f>IFERROR(__xludf.DUMMYFUNCTION("""COMPUTED_VALUE"""),3471.0)</f>
        <v>3471</v>
      </c>
      <c r="C3476" s="13" t="str">
        <f>IFERROR(__xludf.DUMMYFUNCTION("""COMPUTED_VALUE"""),"M.532/KEBON JERUK")</f>
        <v>M.532/KEBON JERUK</v>
      </c>
      <c r="D3476" s="13" t="str">
        <f>IFERROR(__xludf.DUMMYFUNCTION("""COMPUTED_VALUE"""),"K/27/310725/1")</f>
        <v>K/27/310725/1</v>
      </c>
      <c r="E3476" s="14" t="str">
        <f>IFERROR(__xludf.DUMMYFUNCTION("""COMPUTED_VALUE"""),"Heri (BT)")</f>
        <v>Heri (BT)</v>
      </c>
      <c r="F3476" s="14" t="str">
        <f>IFERROR(__xludf.DUMMYFUNCTION("""COMPUTED_VALUE"""),"SELESAI (VIA PERMOHONAN)")</f>
        <v>SELESAI (VIA PERMOHONAN)</v>
      </c>
      <c r="G3476" s="17">
        <f>IFERROR(__xludf.DUMMYFUNCTION("""COMPUTED_VALUE"""),45889.62165263889)</f>
        <v>45889.62165</v>
      </c>
      <c r="H3476" s="14" t="str">
        <f>IFERROR(__xludf.DUMMYFUNCTION("""COMPUTED_VALUE"""),"Eci (SU)")</f>
        <v>Eci (SU)</v>
      </c>
      <c r="I3476" s="13" t="str">
        <f>IFERROR(__xludf.DUMMYFUNCTION("""COMPUTED_VALUE"""),"SELESAI (VIA PERMOHONAN)")</f>
        <v>SELESAI (VIA PERMOHONAN)</v>
      </c>
      <c r="J3476" s="17">
        <f>IFERROR(__xludf.DUMMYFUNCTION("""COMPUTED_VALUE"""),45891.60194165509)</f>
        <v>45891.60194</v>
      </c>
      <c r="K3476" s="13" t="str">
        <f>IFERROR(__xludf.DUMMYFUNCTION("""COMPUTED_VALUE"""),"Selesai")</f>
        <v>Selesai</v>
      </c>
      <c r="L3476" s="17">
        <f>IFERROR(__xludf.DUMMYFUNCTION("""COMPUTED_VALUE"""),45891.60194165509)</f>
        <v>45891.60194</v>
      </c>
      <c r="M3476" s="13"/>
      <c r="N3476" s="13" t="str">
        <f>IFERROR(__xludf.DUMMYFUNCTION("""COMPUTED_VALUE"""),"")</f>
        <v/>
      </c>
      <c r="O3476" s="13" t="str">
        <f t="shared" si="1"/>
        <v/>
      </c>
    </row>
    <row r="3477" ht="22.5" customHeight="1">
      <c r="B3477" s="13">
        <f>IFERROR(__xludf.DUMMYFUNCTION("""COMPUTED_VALUE"""),3472.0)</f>
        <v>3472</v>
      </c>
      <c r="C3477" s="13" t="str">
        <f>IFERROR(__xludf.DUMMYFUNCTION("""COMPUTED_VALUE"""),"B.606/SUMBER AGUNG")</f>
        <v>B.606/SUMBER AGUNG</v>
      </c>
      <c r="D3477" s="13" t="str">
        <f>IFERROR(__xludf.DUMMYFUNCTION("""COMPUTED_VALUE"""),"K/8/220725/1")</f>
        <v>K/8/220725/1</v>
      </c>
      <c r="E3477" s="14" t="str">
        <f>IFERROR(__xludf.DUMMYFUNCTION("""COMPUTED_VALUE"""),"Heri (BT)")</f>
        <v>Heri (BT)</v>
      </c>
      <c r="F3477" s="14" t="str">
        <f>IFERROR(__xludf.DUMMYFUNCTION("""COMPUTED_VALUE"""),"SELESAI (VIA PERMOHONAN)")</f>
        <v>SELESAI (VIA PERMOHONAN)</v>
      </c>
      <c r="G3477" s="17">
        <f>IFERROR(__xludf.DUMMYFUNCTION("""COMPUTED_VALUE"""),45889.621889305556)</f>
        <v>45889.62189</v>
      </c>
      <c r="H3477" s="14" t="str">
        <f>IFERROR(__xludf.DUMMYFUNCTION("""COMPUTED_VALUE"""),"Eci (SU)")</f>
        <v>Eci (SU)</v>
      </c>
      <c r="I3477" s="13" t="str">
        <f>IFERROR(__xludf.DUMMYFUNCTION("""COMPUTED_VALUE"""),"SELESAI (VIA PERMOHONAN)")</f>
        <v>SELESAI (VIA PERMOHONAN)</v>
      </c>
      <c r="J3477" s="17">
        <f>IFERROR(__xludf.DUMMYFUNCTION("""COMPUTED_VALUE"""),45890.6557593287)</f>
        <v>45890.65576</v>
      </c>
      <c r="K3477" s="13" t="str">
        <f>IFERROR(__xludf.DUMMYFUNCTION("""COMPUTED_VALUE"""),"Selesai")</f>
        <v>Selesai</v>
      </c>
      <c r="L3477" s="17">
        <f>IFERROR(__xludf.DUMMYFUNCTION("""COMPUTED_VALUE"""),45890.6557593287)</f>
        <v>45890.65576</v>
      </c>
      <c r="M3477" s="13"/>
      <c r="N3477" s="13" t="str">
        <f>IFERROR(__xludf.DUMMYFUNCTION("""COMPUTED_VALUE"""),"")</f>
        <v/>
      </c>
      <c r="O3477" s="13" t="str">
        <f t="shared" si="1"/>
        <v/>
      </c>
    </row>
    <row r="3478" ht="22.5" customHeight="1">
      <c r="B3478" s="13">
        <f>IFERROR(__xludf.DUMMYFUNCTION("""COMPUTED_VALUE"""),3473.0)</f>
        <v>3473</v>
      </c>
      <c r="C3478" s="13" t="str">
        <f>IFERROR(__xludf.DUMMYFUNCTION("""COMPUTED_VALUE"""),"M. 9871/KAMPUNG BARU")</f>
        <v>M. 9871/KAMPUNG BARU</v>
      </c>
      <c r="D3478" s="13" t="str">
        <f>IFERROR(__xludf.DUMMYFUNCTION("""COMPUTED_VALUE"""),"L/16/070826/1")</f>
        <v>L/16/070826/1</v>
      </c>
      <c r="E3478" s="14" t="str">
        <f>IFERROR(__xludf.DUMMYFUNCTION("""COMPUTED_VALUE"""),"Afriza (BT)")</f>
        <v>Afriza (BT)</v>
      </c>
      <c r="F3478" s="14" t="str">
        <f>IFERROR(__xludf.DUMMYFUNCTION("""COMPUTED_VALUE"""),"SELESAI (VIA PERMOHONAN)")</f>
        <v>SELESAI (VIA PERMOHONAN)</v>
      </c>
      <c r="G3478" s="17">
        <f>IFERROR(__xludf.DUMMYFUNCTION("""COMPUTED_VALUE"""),45889.7439274537)</f>
        <v>45889.74393</v>
      </c>
      <c r="H3478" s="14" t="str">
        <f>IFERROR(__xludf.DUMMYFUNCTION("""COMPUTED_VALUE"""),"Eci (SU)")</f>
        <v>Eci (SU)</v>
      </c>
      <c r="I3478" s="13" t="str">
        <f>IFERROR(__xludf.DUMMYFUNCTION("""COMPUTED_VALUE"""),"SELESAI (VIA PERMOHONAN)")</f>
        <v>SELESAI (VIA PERMOHONAN)</v>
      </c>
      <c r="J3478" s="17">
        <f>IFERROR(__xludf.DUMMYFUNCTION("""COMPUTED_VALUE"""),45891.60118680555)</f>
        <v>45891.60119</v>
      </c>
      <c r="K3478" s="13" t="str">
        <f>IFERROR(__xludf.DUMMYFUNCTION("""COMPUTED_VALUE"""),"Selesai")</f>
        <v>Selesai</v>
      </c>
      <c r="L3478" s="17">
        <f>IFERROR(__xludf.DUMMYFUNCTION("""COMPUTED_VALUE"""),45891.60118680555)</f>
        <v>45891.60119</v>
      </c>
      <c r="M3478" s="13"/>
      <c r="N3478" s="13" t="str">
        <f>IFERROR(__xludf.DUMMYFUNCTION("""COMPUTED_VALUE"""),"")</f>
        <v/>
      </c>
      <c r="O3478" s="13" t="str">
        <f t="shared" si="1"/>
        <v/>
      </c>
    </row>
    <row r="3479" ht="22.5" customHeight="1">
      <c r="B3479" s="13">
        <f>IFERROR(__xludf.DUMMYFUNCTION("""COMPUTED_VALUE"""),3474.0)</f>
        <v>3474</v>
      </c>
      <c r="C3479" s="13" t="str">
        <f>IFERROR(__xludf.DUMMYFUNCTION("""COMPUTED_VALUE"""),"B. 440/KALI BALAU KENCANA")</f>
        <v>B. 440/KALI BALAU KENCANA</v>
      </c>
      <c r="D3479" s="13" t="str">
        <f>IFERROR(__xludf.DUMMYFUNCTION("""COMPUTED_VALUE"""),"L/40/080625/1")</f>
        <v>L/40/080625/1</v>
      </c>
      <c r="E3479" s="14" t="str">
        <f>IFERROR(__xludf.DUMMYFUNCTION("""COMPUTED_VALUE"""),"Afriza (BT)")</f>
        <v>Afriza (BT)</v>
      </c>
      <c r="F3479" s="14" t="str">
        <f>IFERROR(__xludf.DUMMYFUNCTION("""COMPUTED_VALUE"""),"SELESAI (VIA PERMOHONAN)")</f>
        <v>SELESAI (VIA PERMOHONAN)</v>
      </c>
      <c r="G3479" s="17">
        <f>IFERROR(__xludf.DUMMYFUNCTION("""COMPUTED_VALUE"""),45889.744043506944)</f>
        <v>45889.74404</v>
      </c>
      <c r="H3479" s="14" t="str">
        <f>IFERROR(__xludf.DUMMYFUNCTION("""COMPUTED_VALUE"""),"Eci (SU)")</f>
        <v>Eci (SU)</v>
      </c>
      <c r="I3479" s="13" t="str">
        <f>IFERROR(__xludf.DUMMYFUNCTION("""COMPUTED_VALUE"""),"SELESAI (VIA PERMOHONAN)")</f>
        <v>SELESAI (VIA PERMOHONAN)</v>
      </c>
      <c r="J3479" s="17">
        <f>IFERROR(__xludf.DUMMYFUNCTION("""COMPUTED_VALUE"""),45891.60126201389)</f>
        <v>45891.60126</v>
      </c>
      <c r="K3479" s="13" t="str">
        <f>IFERROR(__xludf.DUMMYFUNCTION("""COMPUTED_VALUE"""),"Selesai")</f>
        <v>Selesai</v>
      </c>
      <c r="L3479" s="17">
        <f>IFERROR(__xludf.DUMMYFUNCTION("""COMPUTED_VALUE"""),45891.60126201389)</f>
        <v>45891.60126</v>
      </c>
      <c r="M3479" s="13"/>
      <c r="N3479" s="13" t="str">
        <f>IFERROR(__xludf.DUMMYFUNCTION("""COMPUTED_VALUE"""),"")</f>
        <v/>
      </c>
      <c r="O3479" s="13" t="str">
        <f t="shared" si="1"/>
        <v/>
      </c>
    </row>
    <row r="3480" ht="22.5" customHeight="1">
      <c r="B3480" s="13">
        <f>IFERROR(__xludf.DUMMYFUNCTION("""COMPUTED_VALUE"""),3475.0)</f>
        <v>3475</v>
      </c>
      <c r="C3480" s="13" t="str">
        <f>IFERROR(__xludf.DUMMYFUNCTION("""COMPUTED_VALUE"""),"B. 915/SUKARAME BARU")</f>
        <v>B. 915/SUKARAME BARU</v>
      </c>
      <c r="D3480" s="13" t="str">
        <f>IFERROR(__xludf.DUMMYFUNCTION("""COMPUTED_VALUE"""),"L/39/080625/1")</f>
        <v>L/39/080625/1</v>
      </c>
      <c r="E3480" s="14" t="str">
        <f>IFERROR(__xludf.DUMMYFUNCTION("""COMPUTED_VALUE"""),"Afriza (BT)")</f>
        <v>Afriza (BT)</v>
      </c>
      <c r="F3480" s="14" t="str">
        <f>IFERROR(__xludf.DUMMYFUNCTION("""COMPUTED_VALUE"""),"SELESAI (VIA PERMOHONAN)")</f>
        <v>SELESAI (VIA PERMOHONAN)</v>
      </c>
      <c r="G3480" s="17">
        <f>IFERROR(__xludf.DUMMYFUNCTION("""COMPUTED_VALUE"""),45889.74420199074)</f>
        <v>45889.7442</v>
      </c>
      <c r="H3480" s="14" t="str">
        <f>IFERROR(__xludf.DUMMYFUNCTION("""COMPUTED_VALUE"""),"Eci (SU)")</f>
        <v>Eci (SU)</v>
      </c>
      <c r="I3480" s="13" t="str">
        <f>IFERROR(__xludf.DUMMYFUNCTION("""COMPUTED_VALUE"""),"SELESAI (VIA PERMOHONAN)")</f>
        <v>SELESAI (VIA PERMOHONAN)</v>
      </c>
      <c r="J3480" s="17">
        <f>IFERROR(__xludf.DUMMYFUNCTION("""COMPUTED_VALUE"""),45891.60134443287)</f>
        <v>45891.60134</v>
      </c>
      <c r="K3480" s="13" t="str">
        <f>IFERROR(__xludf.DUMMYFUNCTION("""COMPUTED_VALUE"""),"Selesai")</f>
        <v>Selesai</v>
      </c>
      <c r="L3480" s="17">
        <f>IFERROR(__xludf.DUMMYFUNCTION("""COMPUTED_VALUE"""),45891.60134443287)</f>
        <v>45891.60134</v>
      </c>
      <c r="M3480" s="13"/>
      <c r="N3480" s="13" t="str">
        <f>IFERROR(__xludf.DUMMYFUNCTION("""COMPUTED_VALUE"""),"")</f>
        <v/>
      </c>
      <c r="O3480" s="13" t="str">
        <f t="shared" si="1"/>
        <v/>
      </c>
    </row>
    <row r="3481" ht="22.5" customHeight="1">
      <c r="B3481" s="13">
        <f>IFERROR(__xludf.DUMMYFUNCTION("""COMPUTED_VALUE"""),3476.0)</f>
        <v>3476</v>
      </c>
      <c r="C3481" s="13" t="str">
        <f>IFERROR(__xludf.DUMMYFUNCTION("""COMPUTED_VALUE"""),"B. 614/ Nusantara Permai")</f>
        <v>B. 614/ Nusantara Permai</v>
      </c>
      <c r="D3481" s="13" t="str">
        <f>IFERROR(__xludf.DUMMYFUNCTION("""COMPUTED_VALUE"""),"K/11/230725/2")</f>
        <v>K/11/230725/2</v>
      </c>
      <c r="E3481" s="14" t="str">
        <f>IFERROR(__xludf.DUMMYFUNCTION("""COMPUTED_VALUE"""),"Afriza (BT)")</f>
        <v>Afriza (BT)</v>
      </c>
      <c r="F3481" s="14" t="str">
        <f>IFERROR(__xludf.DUMMYFUNCTION("""COMPUTED_VALUE"""),"SELESAI (VIA PERMOHONAN)")</f>
        <v>SELESAI (VIA PERMOHONAN)</v>
      </c>
      <c r="G3481" s="17">
        <f>IFERROR(__xludf.DUMMYFUNCTION("""COMPUTED_VALUE"""),45889.74429306713)</f>
        <v>45889.74429</v>
      </c>
      <c r="H3481" s="14" t="str">
        <f>IFERROR(__xludf.DUMMYFUNCTION("""COMPUTED_VALUE"""),"Eci (SU)")</f>
        <v>Eci (SU)</v>
      </c>
      <c r="I3481" s="13" t="str">
        <f>IFERROR(__xludf.DUMMYFUNCTION("""COMPUTED_VALUE"""),"SELESAI (VIA PERMOHONAN)")</f>
        <v>SELESAI (VIA PERMOHONAN)</v>
      </c>
      <c r="J3481" s="17">
        <f>IFERROR(__xludf.DUMMYFUNCTION("""COMPUTED_VALUE"""),45894.652894513885)</f>
        <v>45894.65289</v>
      </c>
      <c r="K3481" s="13" t="str">
        <f>IFERROR(__xludf.DUMMYFUNCTION("""COMPUTED_VALUE"""),"Selesai")</f>
        <v>Selesai</v>
      </c>
      <c r="L3481" s="17">
        <f>IFERROR(__xludf.DUMMYFUNCTION("""COMPUTED_VALUE"""),45894.652894513885)</f>
        <v>45894.65289</v>
      </c>
      <c r="M3481" s="13"/>
      <c r="N3481" s="13" t="str">
        <f>IFERROR(__xludf.DUMMYFUNCTION("""COMPUTED_VALUE"""),"")</f>
        <v/>
      </c>
      <c r="O3481" s="13" t="str">
        <f t="shared" si="1"/>
        <v/>
      </c>
    </row>
    <row r="3482" ht="22.5" customHeight="1">
      <c r="B3482" s="13">
        <f>IFERROR(__xludf.DUMMYFUNCTION("""COMPUTED_VALUE"""),3477.0)</f>
        <v>3477</v>
      </c>
      <c r="C3482" s="13" t="str">
        <f>IFERROR(__xludf.DUMMYFUNCTION("""COMPUTED_VALUE"""),"B. 3495/ Sukarame")</f>
        <v>B. 3495/ Sukarame</v>
      </c>
      <c r="D3482" s="13" t="str">
        <f>IFERROR(__xludf.DUMMYFUNCTION("""COMPUTED_VALUE"""),"K/3/230725/1")</f>
        <v>K/3/230725/1</v>
      </c>
      <c r="E3482" s="14" t="str">
        <f>IFERROR(__xludf.DUMMYFUNCTION("""COMPUTED_VALUE"""),"Afriza (BT)")</f>
        <v>Afriza (BT)</v>
      </c>
      <c r="F3482" s="14" t="str">
        <f>IFERROR(__xludf.DUMMYFUNCTION("""COMPUTED_VALUE"""),"SELESAI (VIA PERMOHONAN)")</f>
        <v>SELESAI (VIA PERMOHONAN)</v>
      </c>
      <c r="G3482" s="17">
        <f>IFERROR(__xludf.DUMMYFUNCTION("""COMPUTED_VALUE"""),45889.74437501158)</f>
        <v>45889.74438</v>
      </c>
      <c r="H3482" s="14" t="str">
        <f>IFERROR(__xludf.DUMMYFUNCTION("""COMPUTED_VALUE"""),"Eci (SU)")</f>
        <v>Eci (SU)</v>
      </c>
      <c r="I3482" s="13" t="str">
        <f>IFERROR(__xludf.DUMMYFUNCTION("""COMPUTED_VALUE"""),"SELESAI (VIA PERMOHONAN)")</f>
        <v>SELESAI (VIA PERMOHONAN)</v>
      </c>
      <c r="J3482" s="17">
        <f>IFERROR(__xludf.DUMMYFUNCTION("""COMPUTED_VALUE"""),45891.60154282408)</f>
        <v>45891.60154</v>
      </c>
      <c r="K3482" s="13" t="str">
        <f>IFERROR(__xludf.DUMMYFUNCTION("""COMPUTED_VALUE"""),"Selesai")</f>
        <v>Selesai</v>
      </c>
      <c r="L3482" s="17">
        <f>IFERROR(__xludf.DUMMYFUNCTION("""COMPUTED_VALUE"""),45891.60154282408)</f>
        <v>45891.60154</v>
      </c>
      <c r="M3482" s="13"/>
      <c r="N3482" s="13" t="str">
        <f>IFERROR(__xludf.DUMMYFUNCTION("""COMPUTED_VALUE"""),"")</f>
        <v/>
      </c>
      <c r="O3482" s="13" t="str">
        <f t="shared" si="1"/>
        <v/>
      </c>
    </row>
    <row r="3483" ht="22.5" customHeight="1">
      <c r="B3483" s="13">
        <f>IFERROR(__xludf.DUMMYFUNCTION("""COMPUTED_VALUE"""),3478.0)</f>
        <v>3478</v>
      </c>
      <c r="C3483" s="13" t="str">
        <f>IFERROR(__xludf.DUMMYFUNCTION("""COMPUTED_VALUE"""),"B.815/SUMUR PUTRI")</f>
        <v>B.815/SUMUR PUTRI</v>
      </c>
      <c r="D3483" s="13" t="str">
        <f>IFERROR(__xludf.DUMMYFUNCTION("""COMPUTED_VALUE"""),"K/36/260625/1")</f>
        <v>K/36/260625/1</v>
      </c>
      <c r="E3483" s="14" t="str">
        <f>IFERROR(__xludf.DUMMYFUNCTION("""COMPUTED_VALUE"""),"Afriza (BT)")</f>
        <v>Afriza (BT)</v>
      </c>
      <c r="F3483" s="14" t="str">
        <f>IFERROR(__xludf.DUMMYFUNCTION("""COMPUTED_VALUE"""),"SELESAI (VIA PERMOHONAN)")</f>
        <v>SELESAI (VIA PERMOHONAN)</v>
      </c>
      <c r="G3483" s="17">
        <f>IFERROR(__xludf.DUMMYFUNCTION("""COMPUTED_VALUE"""),45889.74447334491)</f>
        <v>45889.74447</v>
      </c>
      <c r="H3483" s="14" t="str">
        <f>IFERROR(__xludf.DUMMYFUNCTION("""COMPUTED_VALUE"""),"Eci (SU)")</f>
        <v>Eci (SU)</v>
      </c>
      <c r="I3483" s="13" t="str">
        <f>IFERROR(__xludf.DUMMYFUNCTION("""COMPUTED_VALUE"""),"SELESAI (VIA PERMOHONAN)")</f>
        <v>SELESAI (VIA PERMOHONAN)</v>
      </c>
      <c r="J3483" s="17">
        <f>IFERROR(__xludf.DUMMYFUNCTION("""COMPUTED_VALUE"""),45890.651131597224)</f>
        <v>45890.65113</v>
      </c>
      <c r="K3483" s="13" t="str">
        <f>IFERROR(__xludf.DUMMYFUNCTION("""COMPUTED_VALUE"""),"Selesai")</f>
        <v>Selesai</v>
      </c>
      <c r="L3483" s="17">
        <f>IFERROR(__xludf.DUMMYFUNCTION("""COMPUTED_VALUE"""),45890.651131597224)</f>
        <v>45890.65113</v>
      </c>
      <c r="M3483" s="13"/>
      <c r="N3483" s="13" t="str">
        <f>IFERROR(__xludf.DUMMYFUNCTION("""COMPUTED_VALUE"""),"")</f>
        <v/>
      </c>
      <c r="O3483" s="13" t="str">
        <f t="shared" si="1"/>
        <v/>
      </c>
    </row>
    <row r="3484" ht="22.5" customHeight="1">
      <c r="B3484" s="13">
        <f>IFERROR(__xludf.DUMMYFUNCTION("""COMPUTED_VALUE"""),3479.0)</f>
        <v>3479</v>
      </c>
      <c r="C3484" s="13" t="str">
        <f>IFERROR(__xludf.DUMMYFUNCTION("""COMPUTED_VALUE"""),"M.2578/SUMBER AGUNG")</f>
        <v>M.2578/SUMBER AGUNG</v>
      </c>
      <c r="D3484" s="13" t="str">
        <f>IFERROR(__xludf.DUMMYFUNCTION("""COMPUTED_VALUE"""),"K/6/040825/1")</f>
        <v>K/6/040825/1</v>
      </c>
      <c r="E3484" s="14" t="str">
        <f>IFERROR(__xludf.DUMMYFUNCTION("""COMPUTED_VALUE"""),"Afriza (BT)")</f>
        <v>Afriza (BT)</v>
      </c>
      <c r="F3484" s="14" t="str">
        <f>IFERROR(__xludf.DUMMYFUNCTION("""COMPUTED_VALUE"""),"SELESAI (VIA PERMOHONAN)")</f>
        <v>SELESAI (VIA PERMOHONAN)</v>
      </c>
      <c r="G3484" s="17">
        <f>IFERROR(__xludf.DUMMYFUNCTION("""COMPUTED_VALUE"""),45889.74465986111)</f>
        <v>45889.74466</v>
      </c>
      <c r="H3484" s="14" t="str">
        <f>IFERROR(__xludf.DUMMYFUNCTION("""COMPUTED_VALUE"""),"Eci (SU)")</f>
        <v>Eci (SU)</v>
      </c>
      <c r="I3484" s="13" t="str">
        <f>IFERROR(__xludf.DUMMYFUNCTION("""COMPUTED_VALUE"""),"SELESAI (VIA PERMOHONAN)")</f>
        <v>SELESAI (VIA PERMOHONAN)</v>
      </c>
      <c r="J3484" s="17">
        <f>IFERROR(__xludf.DUMMYFUNCTION("""COMPUTED_VALUE"""),45890.651339247685)</f>
        <v>45890.65134</v>
      </c>
      <c r="K3484" s="13" t="str">
        <f>IFERROR(__xludf.DUMMYFUNCTION("""COMPUTED_VALUE"""),"Selesai")</f>
        <v>Selesai</v>
      </c>
      <c r="L3484" s="17">
        <f>IFERROR(__xludf.DUMMYFUNCTION("""COMPUTED_VALUE"""),45890.651339247685)</f>
        <v>45890.65134</v>
      </c>
      <c r="M3484" s="13"/>
      <c r="N3484" s="13" t="str">
        <f>IFERROR(__xludf.DUMMYFUNCTION("""COMPUTED_VALUE"""),"")</f>
        <v/>
      </c>
      <c r="O3484" s="13" t="str">
        <f t="shared" si="1"/>
        <v/>
      </c>
    </row>
    <row r="3485" ht="22.5" customHeight="1">
      <c r="B3485" s="13">
        <f>IFERROR(__xludf.DUMMYFUNCTION("""COMPUTED_VALUE"""),3480.0)</f>
        <v>3480</v>
      </c>
      <c r="C3485" s="13" t="str">
        <f>IFERROR(__xludf.DUMMYFUNCTION("""COMPUTED_VALUE"""),"M.2596/SUMBER AGUNG")</f>
        <v>M.2596/SUMBER AGUNG</v>
      </c>
      <c r="D3485" s="13" t="str">
        <f>IFERROR(__xludf.DUMMYFUNCTION("""COMPUTED_VALUE"""),"K/25/050825/2")</f>
        <v>K/25/050825/2</v>
      </c>
      <c r="E3485" s="14" t="str">
        <f>IFERROR(__xludf.DUMMYFUNCTION("""COMPUTED_VALUE"""),"Afriza (BT)")</f>
        <v>Afriza (BT)</v>
      </c>
      <c r="F3485" s="14" t="str">
        <f>IFERROR(__xludf.DUMMYFUNCTION("""COMPUTED_VALUE"""),"SELESAI (VIA PERMOHONAN)")</f>
        <v>SELESAI (VIA PERMOHONAN)</v>
      </c>
      <c r="G3485" s="17">
        <f>IFERROR(__xludf.DUMMYFUNCTION("""COMPUTED_VALUE"""),45889.74475412037)</f>
        <v>45889.74475</v>
      </c>
      <c r="H3485" s="14" t="str">
        <f>IFERROR(__xludf.DUMMYFUNCTION("""COMPUTED_VALUE"""),"Eci (SU)")</f>
        <v>Eci (SU)</v>
      </c>
      <c r="I3485" s="13" t="str">
        <f>IFERROR(__xludf.DUMMYFUNCTION("""COMPUTED_VALUE"""),"SELESAI (VIA PERMOHONAN)")</f>
        <v>SELESAI (VIA PERMOHONAN)</v>
      </c>
      <c r="J3485" s="17">
        <f>IFERROR(__xludf.DUMMYFUNCTION("""COMPUTED_VALUE"""),45890.65148990741)</f>
        <v>45890.65149</v>
      </c>
      <c r="K3485" s="13" t="str">
        <f>IFERROR(__xludf.DUMMYFUNCTION("""COMPUTED_VALUE"""),"Selesai")</f>
        <v>Selesai</v>
      </c>
      <c r="L3485" s="17">
        <f>IFERROR(__xludf.DUMMYFUNCTION("""COMPUTED_VALUE"""),45890.65148990741)</f>
        <v>45890.65149</v>
      </c>
      <c r="M3485" s="13"/>
      <c r="N3485" s="13" t="str">
        <f>IFERROR(__xludf.DUMMYFUNCTION("""COMPUTED_VALUE"""),"")</f>
        <v/>
      </c>
      <c r="O3485" s="13" t="str">
        <f t="shared" si="1"/>
        <v/>
      </c>
    </row>
    <row r="3486" ht="22.5" customHeight="1">
      <c r="B3486" s="13">
        <f>IFERROR(__xludf.DUMMYFUNCTION("""COMPUTED_VALUE"""),3481.0)</f>
        <v>3481</v>
      </c>
      <c r="C3486" s="13" t="str">
        <f>IFERROR(__xludf.DUMMYFUNCTION("""COMPUTED_VALUE"""),"M. 2217/SUKARAME BARU")</f>
        <v>M. 2217/SUKARAME BARU</v>
      </c>
      <c r="D3486" s="13" t="str">
        <f>IFERROR(__xludf.DUMMYFUNCTION("""COMPUTED_VALUE"""),"K/24/070827/1")</f>
        <v>K/24/070827/1</v>
      </c>
      <c r="E3486" s="14" t="str">
        <f>IFERROR(__xludf.DUMMYFUNCTION("""COMPUTED_VALUE"""),"Afriza (BT)")</f>
        <v>Afriza (BT)</v>
      </c>
      <c r="F3486" s="14" t="str">
        <f>IFERROR(__xludf.DUMMYFUNCTION("""COMPUTED_VALUE"""),"SELESAI (VIA PERMOHONAN)")</f>
        <v>SELESAI (VIA PERMOHONAN)</v>
      </c>
      <c r="G3486" s="17">
        <f>IFERROR(__xludf.DUMMYFUNCTION("""COMPUTED_VALUE"""),45889.74485328703)</f>
        <v>45889.74485</v>
      </c>
      <c r="H3486" s="14" t="str">
        <f>IFERROR(__xludf.DUMMYFUNCTION("""COMPUTED_VALUE"""),"Eci (SU)")</f>
        <v>Eci (SU)</v>
      </c>
      <c r="I3486" s="13" t="str">
        <f>IFERROR(__xludf.DUMMYFUNCTION("""COMPUTED_VALUE"""),"SELESAI (VIA PERMOHONAN)")</f>
        <v>SELESAI (VIA PERMOHONAN)</v>
      </c>
      <c r="J3486" s="17">
        <f>IFERROR(__xludf.DUMMYFUNCTION("""COMPUTED_VALUE"""),45890.65163853009)</f>
        <v>45890.65164</v>
      </c>
      <c r="K3486" s="13" t="str">
        <f>IFERROR(__xludf.DUMMYFUNCTION("""COMPUTED_VALUE"""),"Selesai")</f>
        <v>Selesai</v>
      </c>
      <c r="L3486" s="17">
        <f>IFERROR(__xludf.DUMMYFUNCTION("""COMPUTED_VALUE"""),45890.65163853009)</f>
        <v>45890.65164</v>
      </c>
      <c r="M3486" s="13"/>
      <c r="N3486" s="13" t="str">
        <f>IFERROR(__xludf.DUMMYFUNCTION("""COMPUTED_VALUE"""),"")</f>
        <v/>
      </c>
      <c r="O3486" s="13" t="str">
        <f t="shared" si="1"/>
        <v/>
      </c>
    </row>
    <row r="3487" ht="22.5" customHeight="1">
      <c r="B3487" s="13">
        <f>IFERROR(__xludf.DUMMYFUNCTION("""COMPUTED_VALUE"""),3482.0)</f>
        <v>3482</v>
      </c>
      <c r="C3487" s="13" t="str">
        <f>IFERROR(__xludf.DUMMYFUNCTION("""COMPUTED_VALUE"""),"M.2583/SUMBER AGUNG")</f>
        <v>M.2583/SUMBER AGUNG</v>
      </c>
      <c r="D3487" s="13" t="str">
        <f>IFERROR(__xludf.DUMMYFUNCTION("""COMPUTED_VALUE"""),"K/7/040825/2")</f>
        <v>K/7/040825/2</v>
      </c>
      <c r="E3487" s="14" t="str">
        <f>IFERROR(__xludf.DUMMYFUNCTION("""COMPUTED_VALUE"""),"Afriza (BT)")</f>
        <v>Afriza (BT)</v>
      </c>
      <c r="F3487" s="14" t="str">
        <f>IFERROR(__xludf.DUMMYFUNCTION("""COMPUTED_VALUE"""),"SELESAI (VIA PERMOHONAN)")</f>
        <v>SELESAI (VIA PERMOHONAN)</v>
      </c>
      <c r="G3487" s="17">
        <f>IFERROR(__xludf.DUMMYFUNCTION("""COMPUTED_VALUE"""),45889.74499365741)</f>
        <v>45889.74499</v>
      </c>
      <c r="H3487" s="14" t="str">
        <f>IFERROR(__xludf.DUMMYFUNCTION("""COMPUTED_VALUE"""),"Eci (SU)")</f>
        <v>Eci (SU)</v>
      </c>
      <c r="I3487" s="13" t="str">
        <f>IFERROR(__xludf.DUMMYFUNCTION("""COMPUTED_VALUE"""),"SELESAI (VIA PERMOHONAN)")</f>
        <v>SELESAI (VIA PERMOHONAN)</v>
      </c>
      <c r="J3487" s="17">
        <f>IFERROR(__xludf.DUMMYFUNCTION("""COMPUTED_VALUE"""),45890.65492501158)</f>
        <v>45890.65493</v>
      </c>
      <c r="K3487" s="13" t="str">
        <f>IFERROR(__xludf.DUMMYFUNCTION("""COMPUTED_VALUE"""),"Selesai")</f>
        <v>Selesai</v>
      </c>
      <c r="L3487" s="17">
        <f>IFERROR(__xludf.DUMMYFUNCTION("""COMPUTED_VALUE"""),45890.65492501158)</f>
        <v>45890.65493</v>
      </c>
      <c r="M3487" s="13"/>
      <c r="N3487" s="13" t="str">
        <f>IFERROR(__xludf.DUMMYFUNCTION("""COMPUTED_VALUE"""),"")</f>
        <v/>
      </c>
      <c r="O3487" s="13" t="str">
        <f t="shared" si="1"/>
        <v/>
      </c>
    </row>
    <row r="3488" ht="22.5" customHeight="1">
      <c r="B3488" s="13">
        <f>IFERROR(__xludf.DUMMYFUNCTION("""COMPUTED_VALUE"""),3483.0)</f>
        <v>3483</v>
      </c>
      <c r="C3488" s="13" t="str">
        <f>IFERROR(__xludf.DUMMYFUNCTION("""COMPUTED_VALUE"""),"M.2547/SUMBER AGUNG")</f>
        <v>M.2547/SUMBER AGUNG</v>
      </c>
      <c r="D3488" s="13" t="str">
        <f>IFERROR(__xludf.DUMMYFUNCTION("""COMPUTED_VALUE"""),"K/26/050825/3")</f>
        <v>K/26/050825/3</v>
      </c>
      <c r="E3488" s="14" t="str">
        <f>IFERROR(__xludf.DUMMYFUNCTION("""COMPUTED_VALUE"""),"Afriza (BT)")</f>
        <v>Afriza (BT)</v>
      </c>
      <c r="F3488" s="14" t="str">
        <f>IFERROR(__xludf.DUMMYFUNCTION("""COMPUTED_VALUE"""),"SELESAI (VIA PERMOHONAN)")</f>
        <v>SELESAI (VIA PERMOHONAN)</v>
      </c>
      <c r="G3488" s="17">
        <f>IFERROR(__xludf.DUMMYFUNCTION("""COMPUTED_VALUE"""),45890.35972166667)</f>
        <v>45890.35972</v>
      </c>
      <c r="H3488" s="14" t="str">
        <f>IFERROR(__xludf.DUMMYFUNCTION("""COMPUTED_VALUE"""),"Eci (SU)")</f>
        <v>Eci (SU)</v>
      </c>
      <c r="I3488" s="13" t="str">
        <f>IFERROR(__xludf.DUMMYFUNCTION("""COMPUTED_VALUE"""),"SELESAI (VIA PERMOHONAN)")</f>
        <v>SELESAI (VIA PERMOHONAN)</v>
      </c>
      <c r="J3488" s="17">
        <f>IFERROR(__xludf.DUMMYFUNCTION("""COMPUTED_VALUE"""),45890.65508306713)</f>
        <v>45890.65508</v>
      </c>
      <c r="K3488" s="13" t="str">
        <f>IFERROR(__xludf.DUMMYFUNCTION("""COMPUTED_VALUE"""),"Selesai")</f>
        <v>Selesai</v>
      </c>
      <c r="L3488" s="17">
        <f>IFERROR(__xludf.DUMMYFUNCTION("""COMPUTED_VALUE"""),45890.65508306713)</f>
        <v>45890.65508</v>
      </c>
      <c r="M3488" s="13"/>
      <c r="N3488" s="13" t="str">
        <f>IFERROR(__xludf.DUMMYFUNCTION("""COMPUTED_VALUE"""),"")</f>
        <v/>
      </c>
      <c r="O3488" s="13" t="str">
        <f t="shared" si="1"/>
        <v/>
      </c>
    </row>
    <row r="3489" ht="22.5" customHeight="1">
      <c r="B3489" s="13">
        <f>IFERROR(__xludf.DUMMYFUNCTION("""COMPUTED_VALUE"""),3484.0)</f>
        <v>3484</v>
      </c>
      <c r="C3489" s="13" t="str">
        <f>IFERROR(__xludf.DUMMYFUNCTION("""COMPUTED_VALUE"""),"M. 2581/ Sumber Agung")</f>
        <v>M. 2581/ Sumber Agung</v>
      </c>
      <c r="D3489" s="13" t="str">
        <f>IFERROR(__xludf.DUMMYFUNCTION("""COMPUTED_VALUE"""),"K/16/010825/1")</f>
        <v>K/16/010825/1</v>
      </c>
      <c r="E3489" s="14" t="str">
        <f>IFERROR(__xludf.DUMMYFUNCTION("""COMPUTED_VALUE"""),"Heri (BT)")</f>
        <v>Heri (BT)</v>
      </c>
      <c r="F3489" s="14" t="str">
        <f>IFERROR(__xludf.DUMMYFUNCTION("""COMPUTED_VALUE"""),"SELESAI (VIA PERMOHONAN)")</f>
        <v>SELESAI (VIA PERMOHONAN)</v>
      </c>
      <c r="G3489" s="17">
        <f>IFERROR(__xludf.DUMMYFUNCTION("""COMPUTED_VALUE"""),45890.54329004629)</f>
        <v>45890.54329</v>
      </c>
      <c r="H3489" s="14" t="str">
        <f>IFERROR(__xludf.DUMMYFUNCTION("""COMPUTED_VALUE"""),"Eci (SU)")</f>
        <v>Eci (SU)</v>
      </c>
      <c r="I3489" s="13" t="str">
        <f>IFERROR(__xludf.DUMMYFUNCTION("""COMPUTED_VALUE"""),"SELESAI (VIA PERMOHONAN)")</f>
        <v>SELESAI (VIA PERMOHONAN)</v>
      </c>
      <c r="J3489" s="17">
        <f>IFERROR(__xludf.DUMMYFUNCTION("""COMPUTED_VALUE"""),45890.650840381946)</f>
        <v>45890.65084</v>
      </c>
      <c r="K3489" s="13" t="str">
        <f>IFERROR(__xludf.DUMMYFUNCTION("""COMPUTED_VALUE"""),"Selesai")</f>
        <v>Selesai</v>
      </c>
      <c r="L3489" s="17">
        <f>IFERROR(__xludf.DUMMYFUNCTION("""COMPUTED_VALUE"""),45890.650840381946)</f>
        <v>45890.65084</v>
      </c>
      <c r="M3489" s="13"/>
      <c r="N3489" s="13" t="str">
        <f>IFERROR(__xludf.DUMMYFUNCTION("""COMPUTED_VALUE"""),"")</f>
        <v/>
      </c>
      <c r="O3489" s="13" t="str">
        <f t="shared" si="1"/>
        <v/>
      </c>
    </row>
    <row r="3490" ht="22.5" customHeight="1">
      <c r="B3490" s="13">
        <f>IFERROR(__xludf.DUMMYFUNCTION("""COMPUTED_VALUE"""),3485.0)</f>
        <v>3485</v>
      </c>
      <c r="C3490" s="13" t="str">
        <f>IFERROR(__xludf.DUMMYFUNCTION("""COMPUTED_VALUE"""),"M. 2265/ Keteguhan")</f>
        <v>M. 2265/ Keteguhan</v>
      </c>
      <c r="D3490" s="13" t="str">
        <f>IFERROR(__xludf.DUMMYFUNCTION("""COMPUTED_VALUE"""),"K/25/220725/1")</f>
        <v>K/25/220725/1</v>
      </c>
      <c r="E3490" s="14" t="str">
        <f>IFERROR(__xludf.DUMMYFUNCTION("""COMPUTED_VALUE"""),"Heri (BT)")</f>
        <v>Heri (BT)</v>
      </c>
      <c r="F3490" s="14" t="str">
        <f>IFERROR(__xludf.DUMMYFUNCTION("""COMPUTED_VALUE"""),"SELESAI (VIA PERMOHONAN)")</f>
        <v>SELESAI (VIA PERMOHONAN)</v>
      </c>
      <c r="G3490" s="17">
        <f>IFERROR(__xludf.DUMMYFUNCTION("""COMPUTED_VALUE"""),45890.54345001157)</f>
        <v>45890.54345</v>
      </c>
      <c r="H3490" s="14" t="str">
        <f>IFERROR(__xludf.DUMMYFUNCTION("""COMPUTED_VALUE"""),"Eci (SU)")</f>
        <v>Eci (SU)</v>
      </c>
      <c r="I3490" s="13" t="str">
        <f>IFERROR(__xludf.DUMMYFUNCTION("""COMPUTED_VALUE"""),"SELESAI (VIA PERMOHONAN)")</f>
        <v>SELESAI (VIA PERMOHONAN)</v>
      </c>
      <c r="J3490" s="17">
        <f>IFERROR(__xludf.DUMMYFUNCTION("""COMPUTED_VALUE"""),45891.60515913194)</f>
        <v>45891.60516</v>
      </c>
      <c r="K3490" s="13" t="str">
        <f>IFERROR(__xludf.DUMMYFUNCTION("""COMPUTED_VALUE"""),"Selesai")</f>
        <v>Selesai</v>
      </c>
      <c r="L3490" s="17">
        <f>IFERROR(__xludf.DUMMYFUNCTION("""COMPUTED_VALUE"""),45891.60515913194)</f>
        <v>45891.60516</v>
      </c>
      <c r="M3490" s="13"/>
      <c r="N3490" s="13" t="str">
        <f>IFERROR(__xludf.DUMMYFUNCTION("""COMPUTED_VALUE"""),"")</f>
        <v/>
      </c>
      <c r="O3490" s="13" t="str">
        <f t="shared" si="1"/>
        <v/>
      </c>
    </row>
    <row r="3491" ht="22.5" customHeight="1">
      <c r="B3491" s="13">
        <f>IFERROR(__xludf.DUMMYFUNCTION("""COMPUTED_VALUE"""),3486.0)</f>
        <v>3486</v>
      </c>
      <c r="C3491" s="13" t="str">
        <f>IFERROR(__xludf.DUMMYFUNCTION("""COMPUTED_VALUE"""),"HM 4010/LANGKAPURA")</f>
        <v>HM 4010/LANGKAPURA</v>
      </c>
      <c r="D3491" s="13" t="str">
        <f>IFERROR(__xludf.DUMMYFUNCTION("""COMPUTED_VALUE"""),"L/1/020825/1")</f>
        <v>L/1/020825/1</v>
      </c>
      <c r="E3491" s="14" t="str">
        <f>IFERROR(__xludf.DUMMYFUNCTION("""COMPUTED_VALUE"""),"Heri (BT)")</f>
        <v>Heri (BT)</v>
      </c>
      <c r="F3491" s="14" t="str">
        <f>IFERROR(__xludf.DUMMYFUNCTION("""COMPUTED_VALUE"""),"SELESAI (VIA PERMOHONAN)")</f>
        <v>SELESAI (VIA PERMOHONAN)</v>
      </c>
      <c r="G3491" s="17">
        <f>IFERROR(__xludf.DUMMYFUNCTION("""COMPUTED_VALUE"""),45890.5435984838)</f>
        <v>45890.5436</v>
      </c>
      <c r="H3491" s="14" t="str">
        <f>IFERROR(__xludf.DUMMYFUNCTION("""COMPUTED_VALUE"""),"Eci (SU)")</f>
        <v>Eci (SU)</v>
      </c>
      <c r="I3491" s="13" t="str">
        <f>IFERROR(__xludf.DUMMYFUNCTION("""COMPUTED_VALUE"""),"SELESAI (VIA PERMOHONAN)")</f>
        <v>SELESAI (VIA PERMOHONAN)</v>
      </c>
      <c r="J3491" s="17">
        <f>IFERROR(__xludf.DUMMYFUNCTION("""COMPUTED_VALUE"""),45891.60536699074)</f>
        <v>45891.60537</v>
      </c>
      <c r="K3491" s="13" t="str">
        <f>IFERROR(__xludf.DUMMYFUNCTION("""COMPUTED_VALUE"""),"Selesai")</f>
        <v>Selesai</v>
      </c>
      <c r="L3491" s="17">
        <f>IFERROR(__xludf.DUMMYFUNCTION("""COMPUTED_VALUE"""),45891.60536699074)</f>
        <v>45891.60537</v>
      </c>
      <c r="M3491" s="13"/>
      <c r="N3491" s="13" t="str">
        <f>IFERROR(__xludf.DUMMYFUNCTION("""COMPUTED_VALUE"""),"")</f>
        <v/>
      </c>
      <c r="O3491" s="13" t="str">
        <f t="shared" si="1"/>
        <v/>
      </c>
    </row>
    <row r="3492" ht="22.5" customHeight="1">
      <c r="B3492" s="13">
        <f>IFERROR(__xludf.DUMMYFUNCTION("""COMPUTED_VALUE"""),3487.0)</f>
        <v>3487</v>
      </c>
      <c r="C3492" s="13" t="str">
        <f>IFERROR(__xludf.DUMMYFUNCTION("""COMPUTED_VALUE"""),"M. 426/PESWAHAN")</f>
        <v>M. 426/PESWAHAN</v>
      </c>
      <c r="D3492" s="13" t="str">
        <f>IFERROR(__xludf.DUMMYFUNCTION("""COMPUTED_VALUE"""),"K/4/040825/1")</f>
        <v>K/4/040825/1</v>
      </c>
      <c r="E3492" s="14" t="str">
        <f>IFERROR(__xludf.DUMMYFUNCTION("""COMPUTED_VALUE"""),"Heri (BT)")</f>
        <v>Heri (BT)</v>
      </c>
      <c r="F3492" s="14" t="str">
        <f>IFERROR(__xludf.DUMMYFUNCTION("""COMPUTED_VALUE"""),"SELESAI (VIA PERMOHONAN)")</f>
        <v>SELESAI (VIA PERMOHONAN)</v>
      </c>
      <c r="G3492" s="17">
        <f>IFERROR(__xludf.DUMMYFUNCTION("""COMPUTED_VALUE"""),45890.54383059028)</f>
        <v>45890.54383</v>
      </c>
      <c r="H3492" s="14" t="str">
        <f>IFERROR(__xludf.DUMMYFUNCTION("""COMPUTED_VALUE"""),"Eci (SU)")</f>
        <v>Eci (SU)</v>
      </c>
      <c r="I3492" s="13" t="str">
        <f>IFERROR(__xludf.DUMMYFUNCTION("""COMPUTED_VALUE"""),"SELESAI (VIA PERMOHONAN)")</f>
        <v>SELESAI (VIA PERMOHONAN)</v>
      </c>
      <c r="J3492" s="17">
        <f>IFERROR(__xludf.DUMMYFUNCTION("""COMPUTED_VALUE"""),45891.60545023148)</f>
        <v>45891.60545</v>
      </c>
      <c r="K3492" s="13" t="str">
        <f>IFERROR(__xludf.DUMMYFUNCTION("""COMPUTED_VALUE"""),"Selesai")</f>
        <v>Selesai</v>
      </c>
      <c r="L3492" s="17">
        <f>IFERROR(__xludf.DUMMYFUNCTION("""COMPUTED_VALUE"""),45891.60545023148)</f>
        <v>45891.60545</v>
      </c>
      <c r="M3492" s="13"/>
      <c r="N3492" s="13" t="str">
        <f>IFERROR(__xludf.DUMMYFUNCTION("""COMPUTED_VALUE"""),"")</f>
        <v/>
      </c>
      <c r="O3492" s="13" t="str">
        <f t="shared" si="1"/>
        <v/>
      </c>
    </row>
    <row r="3493" ht="22.5" customHeight="1">
      <c r="B3493" s="13">
        <f>IFERROR(__xludf.DUMMYFUNCTION("""COMPUTED_VALUE"""),3488.0)</f>
        <v>3488</v>
      </c>
      <c r="C3493" s="13" t="str">
        <f>IFERROR(__xludf.DUMMYFUNCTION("""COMPUTED_VALUE"""),"M. 2540/SUMBER AGUNG")</f>
        <v>M. 2540/SUMBER AGUNG</v>
      </c>
      <c r="D3493" s="13" t="str">
        <f>IFERROR(__xludf.DUMMYFUNCTION("""COMPUTED_VALUE"""),"K/30/110825/1")</f>
        <v>K/30/110825/1</v>
      </c>
      <c r="E3493" s="14" t="str">
        <f>IFERROR(__xludf.DUMMYFUNCTION("""COMPUTED_VALUE"""),"Heri (BT)")</f>
        <v>Heri (BT)</v>
      </c>
      <c r="F3493" s="14" t="str">
        <f>IFERROR(__xludf.DUMMYFUNCTION("""COMPUTED_VALUE"""),"SELESAI (VIA PERMOHONAN)")</f>
        <v>SELESAI (VIA PERMOHONAN)</v>
      </c>
      <c r="G3493" s="17">
        <f>IFERROR(__xludf.DUMMYFUNCTION("""COMPUTED_VALUE"""),45890.54403204861)</f>
        <v>45890.54403</v>
      </c>
      <c r="H3493" s="14" t="str">
        <f>IFERROR(__xludf.DUMMYFUNCTION("""COMPUTED_VALUE"""),"Eci (SU)")</f>
        <v>Eci (SU)</v>
      </c>
      <c r="I3493" s="13" t="str">
        <f>IFERROR(__xludf.DUMMYFUNCTION("""COMPUTED_VALUE"""),"SELESAI (VIA PERMOHONAN)")</f>
        <v>SELESAI (VIA PERMOHONAN)</v>
      </c>
      <c r="J3493" s="17">
        <f>IFERROR(__xludf.DUMMYFUNCTION("""COMPUTED_VALUE"""),45890.650679756945)</f>
        <v>45890.65068</v>
      </c>
      <c r="K3493" s="13" t="str">
        <f>IFERROR(__xludf.DUMMYFUNCTION("""COMPUTED_VALUE"""),"Selesai")</f>
        <v>Selesai</v>
      </c>
      <c r="L3493" s="17">
        <f>IFERROR(__xludf.DUMMYFUNCTION("""COMPUTED_VALUE"""),45890.650679756945)</f>
        <v>45890.65068</v>
      </c>
      <c r="M3493" s="13"/>
      <c r="N3493" s="13" t="str">
        <f>IFERROR(__xludf.DUMMYFUNCTION("""COMPUTED_VALUE"""),"")</f>
        <v/>
      </c>
      <c r="O3493" s="13" t="str">
        <f t="shared" si="1"/>
        <v/>
      </c>
    </row>
    <row r="3494" ht="22.5" customHeight="1">
      <c r="B3494" s="13">
        <f>IFERROR(__xludf.DUMMYFUNCTION("""COMPUTED_VALUE"""),3489.0)</f>
        <v>3489</v>
      </c>
      <c r="C3494" s="13" t="str">
        <f>IFERROR(__xludf.DUMMYFUNCTION("""COMPUTED_VALUE"""),"M. 13928/ TANJUNG BARU")</f>
        <v>M. 13928/ TANJUNG BARU</v>
      </c>
      <c r="D3494" s="13" t="str">
        <f>IFERROR(__xludf.DUMMYFUNCTION("""COMPUTED_VALUE"""),"K/18/130825/2")</f>
        <v>K/18/130825/2</v>
      </c>
      <c r="E3494" s="14" t="str">
        <f>IFERROR(__xludf.DUMMYFUNCTION("""COMPUTED_VALUE"""),"Heri (BT)")</f>
        <v>Heri (BT)</v>
      </c>
      <c r="F3494" s="14" t="str">
        <f>IFERROR(__xludf.DUMMYFUNCTION("""COMPUTED_VALUE"""),"SELESAI (VIA PERMOHONAN)")</f>
        <v>SELESAI (VIA PERMOHONAN)</v>
      </c>
      <c r="G3494" s="17">
        <f>IFERROR(__xludf.DUMMYFUNCTION("""COMPUTED_VALUE"""),45890.544197650466)</f>
        <v>45890.5442</v>
      </c>
      <c r="H3494" s="14" t="str">
        <f>IFERROR(__xludf.DUMMYFUNCTION("""COMPUTED_VALUE"""),"Eci (SU)")</f>
        <v>Eci (SU)</v>
      </c>
      <c r="I3494" s="13" t="str">
        <f>IFERROR(__xludf.DUMMYFUNCTION("""COMPUTED_VALUE"""),"SELESAI (VIA PERMOHONAN)")</f>
        <v>SELESAI (VIA PERMOHONAN)</v>
      </c>
      <c r="J3494" s="17">
        <f>IFERROR(__xludf.DUMMYFUNCTION("""COMPUTED_VALUE"""),45890.65038479167)</f>
        <v>45890.65038</v>
      </c>
      <c r="K3494" s="13" t="str">
        <f>IFERROR(__xludf.DUMMYFUNCTION("""COMPUTED_VALUE"""),"Selesai")</f>
        <v>Selesai</v>
      </c>
      <c r="L3494" s="17">
        <f>IFERROR(__xludf.DUMMYFUNCTION("""COMPUTED_VALUE"""),45890.65038479167)</f>
        <v>45890.65038</v>
      </c>
      <c r="M3494" s="13"/>
      <c r="N3494" s="13" t="str">
        <f>IFERROR(__xludf.DUMMYFUNCTION("""COMPUTED_VALUE"""),"")</f>
        <v/>
      </c>
      <c r="O3494" s="13" t="str">
        <f t="shared" si="1"/>
        <v/>
      </c>
    </row>
    <row r="3495" ht="22.5" customHeight="1">
      <c r="B3495" s="13">
        <f>IFERROR(__xludf.DUMMYFUNCTION("""COMPUTED_VALUE"""),3490.0)</f>
        <v>3490</v>
      </c>
      <c r="C3495" s="13" t="str">
        <f>IFERROR(__xludf.DUMMYFUNCTION("""COMPUTED_VALUE"""),"B. 438/KALI BALAU KENCANA")</f>
        <v>B. 438/KALI BALAU KENCANA</v>
      </c>
      <c r="D3495" s="13" t="str">
        <f>IFERROR(__xludf.DUMMYFUNCTION("""COMPUTED_VALUE"""),"K/34/080825/2")</f>
        <v>K/34/080825/2</v>
      </c>
      <c r="E3495" s="14" t="str">
        <f>IFERROR(__xludf.DUMMYFUNCTION("""COMPUTED_VALUE"""),"Heri (BT)")</f>
        <v>Heri (BT)</v>
      </c>
      <c r="F3495" s="14" t="str">
        <f>IFERROR(__xludf.DUMMYFUNCTION("""COMPUTED_VALUE"""),"SELESAI (VIA PERMOHONAN)")</f>
        <v>SELESAI (VIA PERMOHONAN)</v>
      </c>
      <c r="G3495" s="17">
        <f>IFERROR(__xludf.DUMMYFUNCTION("""COMPUTED_VALUE"""),45890.54436454861)</f>
        <v>45890.54436</v>
      </c>
      <c r="H3495" s="14" t="str">
        <f>IFERROR(__xludf.DUMMYFUNCTION("""COMPUTED_VALUE"""),"Eci (SU)")</f>
        <v>Eci (SU)</v>
      </c>
      <c r="I3495" s="13" t="str">
        <f>IFERROR(__xludf.DUMMYFUNCTION("""COMPUTED_VALUE"""),"SELESAI (VIA PERMOHONAN)")</f>
        <v>SELESAI (VIA PERMOHONAN)</v>
      </c>
      <c r="J3495" s="17">
        <f>IFERROR(__xludf.DUMMYFUNCTION("""COMPUTED_VALUE"""),45891.6047825)</f>
        <v>45891.60478</v>
      </c>
      <c r="K3495" s="13" t="str">
        <f>IFERROR(__xludf.DUMMYFUNCTION("""COMPUTED_VALUE"""),"Selesai")</f>
        <v>Selesai</v>
      </c>
      <c r="L3495" s="17">
        <f>IFERROR(__xludf.DUMMYFUNCTION("""COMPUTED_VALUE"""),45891.6047825)</f>
        <v>45891.60478</v>
      </c>
      <c r="M3495" s="13"/>
      <c r="N3495" s="13" t="str">
        <f>IFERROR(__xludf.DUMMYFUNCTION("""COMPUTED_VALUE"""),"")</f>
        <v/>
      </c>
      <c r="O3495" s="13" t="str">
        <f t="shared" si="1"/>
        <v/>
      </c>
    </row>
    <row r="3496" ht="22.5" customHeight="1">
      <c r="B3496" s="13">
        <f>IFERROR(__xludf.DUMMYFUNCTION("""COMPUTED_VALUE"""),3491.0)</f>
        <v>3491</v>
      </c>
      <c r="C3496" s="13" t="str">
        <f>IFERROR(__xludf.DUMMYFUNCTION("""COMPUTED_VALUE"""),"M.3376/KEMILING PERMAI")</f>
        <v>M.3376/KEMILING PERMAI</v>
      </c>
      <c r="D3496" s="13" t="str">
        <f>IFERROR(__xludf.DUMMYFUNCTION("""COMPUTED_VALUE"""),"K/29/010825/1")</f>
        <v>K/29/010825/1</v>
      </c>
      <c r="E3496" s="14" t="str">
        <f>IFERROR(__xludf.DUMMYFUNCTION("""COMPUTED_VALUE"""),"Heri (BT)")</f>
        <v>Heri (BT)</v>
      </c>
      <c r="F3496" s="14" t="str">
        <f>IFERROR(__xludf.DUMMYFUNCTION("""COMPUTED_VALUE"""),"SELESAI (VIA PERMOHONAN)")</f>
        <v>SELESAI (VIA PERMOHONAN)</v>
      </c>
      <c r="G3496" s="17">
        <f>IFERROR(__xludf.DUMMYFUNCTION("""COMPUTED_VALUE"""),45890.54451907407)</f>
        <v>45890.54452</v>
      </c>
      <c r="H3496" s="14" t="str">
        <f>IFERROR(__xludf.DUMMYFUNCTION("""COMPUTED_VALUE"""),"Eci (SU)")</f>
        <v>Eci (SU)</v>
      </c>
      <c r="I3496" s="13" t="str">
        <f>IFERROR(__xludf.DUMMYFUNCTION("""COMPUTED_VALUE"""),"SELESAI (VIA PERMOHONAN)")</f>
        <v>SELESAI (VIA PERMOHONAN)</v>
      </c>
      <c r="J3496" s="17">
        <f>IFERROR(__xludf.DUMMYFUNCTION("""COMPUTED_VALUE"""),45895.663143495374)</f>
        <v>45895.66314</v>
      </c>
      <c r="K3496" s="13" t="str">
        <f>IFERROR(__xludf.DUMMYFUNCTION("""COMPUTED_VALUE"""),"Selesai")</f>
        <v>Selesai</v>
      </c>
      <c r="L3496" s="17">
        <f>IFERROR(__xludf.DUMMYFUNCTION("""COMPUTED_VALUE"""),45895.663143495374)</f>
        <v>45895.66314</v>
      </c>
      <c r="M3496" s="13"/>
      <c r="N3496" s="13" t="str">
        <f>IFERROR(__xludf.DUMMYFUNCTION("""COMPUTED_VALUE"""),"")</f>
        <v/>
      </c>
      <c r="O3496" s="13" t="str">
        <f t="shared" si="1"/>
        <v/>
      </c>
    </row>
    <row r="3497" ht="22.5" customHeight="1">
      <c r="B3497" s="13">
        <f>IFERROR(__xludf.DUMMYFUNCTION("""COMPUTED_VALUE"""),3492.0)</f>
        <v>3492</v>
      </c>
      <c r="C3497" s="13" t="str">
        <f>IFERROR(__xludf.DUMMYFUNCTION("""COMPUTED_VALUE"""),"M.2803/SUMBER REJO")</f>
        <v>M.2803/SUMBER REJO</v>
      </c>
      <c r="D3497" s="13" t="str">
        <f>IFERROR(__xludf.DUMMYFUNCTION("""COMPUTED_VALUE"""),"K/36/010825/1")</f>
        <v>K/36/010825/1</v>
      </c>
      <c r="E3497" s="14" t="str">
        <f>IFERROR(__xludf.DUMMYFUNCTION("""COMPUTED_VALUE"""),"Heri (BT)")</f>
        <v>Heri (BT)</v>
      </c>
      <c r="F3497" s="14" t="str">
        <f>IFERROR(__xludf.DUMMYFUNCTION("""COMPUTED_VALUE"""),"SELESAI (VIA PERMOHONAN)")</f>
        <v>SELESAI (VIA PERMOHONAN)</v>
      </c>
      <c r="G3497" s="17">
        <f>IFERROR(__xludf.DUMMYFUNCTION("""COMPUTED_VALUE"""),45890.54465486111)</f>
        <v>45890.54465</v>
      </c>
      <c r="H3497" s="14" t="str">
        <f>IFERROR(__xludf.DUMMYFUNCTION("""COMPUTED_VALUE"""),"Eci (SU)")</f>
        <v>Eci (SU)</v>
      </c>
      <c r="I3497" s="13" t="str">
        <f>IFERROR(__xludf.DUMMYFUNCTION("""COMPUTED_VALUE"""),"SELESAI (VIA PERMOHONAN)")</f>
        <v>SELESAI (VIA PERMOHONAN)</v>
      </c>
      <c r="J3497" s="17">
        <f>IFERROR(__xludf.DUMMYFUNCTION("""COMPUTED_VALUE"""),45891.60564898148)</f>
        <v>45891.60565</v>
      </c>
      <c r="K3497" s="13" t="str">
        <f>IFERROR(__xludf.DUMMYFUNCTION("""COMPUTED_VALUE"""),"Selesai")</f>
        <v>Selesai</v>
      </c>
      <c r="L3497" s="17">
        <f>IFERROR(__xludf.DUMMYFUNCTION("""COMPUTED_VALUE"""),45891.60564898148)</f>
        <v>45891.60565</v>
      </c>
      <c r="M3497" s="13"/>
      <c r="N3497" s="13" t="str">
        <f>IFERROR(__xludf.DUMMYFUNCTION("""COMPUTED_VALUE"""),"")</f>
        <v/>
      </c>
      <c r="O3497" s="13" t="str">
        <f t="shared" si="1"/>
        <v/>
      </c>
    </row>
    <row r="3498" ht="22.5" customHeight="1">
      <c r="B3498" s="13">
        <f>IFERROR(__xludf.DUMMYFUNCTION("""COMPUTED_VALUE"""),3493.0)</f>
        <v>3493</v>
      </c>
      <c r="C3498" s="13" t="str">
        <f>IFERROR(__xludf.DUMMYFUNCTION("""COMPUTED_VALUE"""),"M. 5049/TANJUNG SENANG")</f>
        <v>M. 5049/TANJUNG SENANG</v>
      </c>
      <c r="D3498" s="13" t="str">
        <f>IFERROR(__xludf.DUMMYFUNCTION("""COMPUTED_VALUE"""),"K/38/010825/1")</f>
        <v>K/38/010825/1</v>
      </c>
      <c r="E3498" s="14" t="str">
        <f>IFERROR(__xludf.DUMMYFUNCTION("""COMPUTED_VALUE"""),"Heri (BT)")</f>
        <v>Heri (BT)</v>
      </c>
      <c r="F3498" s="14" t="str">
        <f>IFERROR(__xludf.DUMMYFUNCTION("""COMPUTED_VALUE"""),"SELESAI (VIA PERMOHONAN)")</f>
        <v>SELESAI (VIA PERMOHONAN)</v>
      </c>
      <c r="G3498" s="17">
        <f>IFERROR(__xludf.DUMMYFUNCTION("""COMPUTED_VALUE"""),45890.544932372686)</f>
        <v>45890.54493</v>
      </c>
      <c r="H3498" s="14" t="str">
        <f>IFERROR(__xludf.DUMMYFUNCTION("""COMPUTED_VALUE"""),"Eci (SU)")</f>
        <v>Eci (SU)</v>
      </c>
      <c r="I3498" s="13" t="str">
        <f>IFERROR(__xludf.DUMMYFUNCTION("""COMPUTED_VALUE"""),"SELESAI (VIA PERMOHONAN)")</f>
        <v>SELESAI (VIA PERMOHONAN)</v>
      </c>
      <c r="J3498" s="17">
        <f>IFERROR(__xludf.DUMMYFUNCTION("""COMPUTED_VALUE"""),45890.65012825231)</f>
        <v>45890.65013</v>
      </c>
      <c r="K3498" s="13" t="str">
        <f>IFERROR(__xludf.DUMMYFUNCTION("""COMPUTED_VALUE"""),"Selesai")</f>
        <v>Selesai</v>
      </c>
      <c r="L3498" s="17">
        <f>IFERROR(__xludf.DUMMYFUNCTION("""COMPUTED_VALUE"""),45890.65012825231)</f>
        <v>45890.65013</v>
      </c>
      <c r="M3498" s="13"/>
      <c r="N3498" s="13" t="str">
        <f>IFERROR(__xludf.DUMMYFUNCTION("""COMPUTED_VALUE"""),"")</f>
        <v/>
      </c>
      <c r="O3498" s="13" t="str">
        <f t="shared" si="1"/>
        <v/>
      </c>
    </row>
    <row r="3499" ht="22.5" customHeight="1">
      <c r="B3499" s="13">
        <f>IFERROR(__xludf.DUMMYFUNCTION("""COMPUTED_VALUE"""),3494.0)</f>
        <v>3494</v>
      </c>
      <c r="C3499" s="13" t="str">
        <f>IFERROR(__xludf.DUMMYFUNCTION("""COMPUTED_VALUE"""),"M. 1598/PENGAJARAN")</f>
        <v>M. 1598/PENGAJARAN</v>
      </c>
      <c r="D3499" s="13" t="str">
        <f>IFERROR(__xludf.DUMMYFUNCTION("""COMPUTED_VALUE"""),"K/43/310725/1")</f>
        <v>K/43/310725/1</v>
      </c>
      <c r="E3499" s="14" t="str">
        <f>IFERROR(__xludf.DUMMYFUNCTION("""COMPUTED_VALUE"""),"Heri (BT)")</f>
        <v>Heri (BT)</v>
      </c>
      <c r="F3499" s="14" t="str">
        <f>IFERROR(__xludf.DUMMYFUNCTION("""COMPUTED_VALUE"""),"SELESAI (VIA PERMOHONAN)")</f>
        <v>SELESAI (VIA PERMOHONAN)</v>
      </c>
      <c r="G3499" s="17">
        <f>IFERROR(__xludf.DUMMYFUNCTION("""COMPUTED_VALUE"""),45890.5450761574)</f>
        <v>45890.54508</v>
      </c>
      <c r="H3499" s="14" t="str">
        <f>IFERROR(__xludf.DUMMYFUNCTION("""COMPUTED_VALUE"""),"Eci (SU)")</f>
        <v>Eci (SU)</v>
      </c>
      <c r="I3499" s="13" t="str">
        <f>IFERROR(__xludf.DUMMYFUNCTION("""COMPUTED_VALUE"""),"SELESAI (VIA PERMOHONAN)")</f>
        <v>SELESAI (VIA PERMOHONAN)</v>
      </c>
      <c r="J3499" s="17">
        <f>IFERROR(__xludf.DUMMYFUNCTION("""COMPUTED_VALUE"""),45891.605830416665)</f>
        <v>45891.60583</v>
      </c>
      <c r="K3499" s="13" t="str">
        <f>IFERROR(__xludf.DUMMYFUNCTION("""COMPUTED_VALUE"""),"Selesai")</f>
        <v>Selesai</v>
      </c>
      <c r="L3499" s="17">
        <f>IFERROR(__xludf.DUMMYFUNCTION("""COMPUTED_VALUE"""),45891.605830416665)</f>
        <v>45891.60583</v>
      </c>
      <c r="M3499" s="13"/>
      <c r="N3499" s="13" t="str">
        <f>IFERROR(__xludf.DUMMYFUNCTION("""COMPUTED_VALUE"""),"")</f>
        <v/>
      </c>
      <c r="O3499" s="13" t="str">
        <f t="shared" si="1"/>
        <v/>
      </c>
    </row>
    <row r="3500" ht="22.5" customHeight="1">
      <c r="B3500" s="13">
        <f>IFERROR(__xludf.DUMMYFUNCTION("""COMPUTED_VALUE"""),3495.0)</f>
        <v>3495</v>
      </c>
      <c r="C3500" s="13" t="str">
        <f>IFERROR(__xludf.DUMMYFUNCTION("""COMPUTED_VALUE"""),"M. 112/Harapan Jaya")</f>
        <v>M. 112/Harapan Jaya</v>
      </c>
      <c r="D3500" s="13" t="str">
        <f>IFERROR(__xludf.DUMMYFUNCTION("""COMPUTED_VALUE"""),"K/28/080825/1")</f>
        <v>K/28/080825/1</v>
      </c>
      <c r="E3500" s="14" t="str">
        <f>IFERROR(__xludf.DUMMYFUNCTION("""COMPUTED_VALUE"""),"Heri (BT)")</f>
        <v>Heri (BT)</v>
      </c>
      <c r="F3500" s="14" t="str">
        <f>IFERROR(__xludf.DUMMYFUNCTION("""COMPUTED_VALUE"""),"SELESAI (VIA PERMOHONAN)")</f>
        <v>SELESAI (VIA PERMOHONAN)</v>
      </c>
      <c r="G3500" s="17">
        <f>IFERROR(__xludf.DUMMYFUNCTION("""COMPUTED_VALUE"""),45890.54525766204)</f>
        <v>45890.54526</v>
      </c>
      <c r="H3500" s="14" t="str">
        <f>IFERROR(__xludf.DUMMYFUNCTION("""COMPUTED_VALUE"""),"Eci (SU)")</f>
        <v>Eci (SU)</v>
      </c>
      <c r="I3500" s="13" t="str">
        <f>IFERROR(__xludf.DUMMYFUNCTION("""COMPUTED_VALUE"""),"SELESAI (VIA PERMOHONAN)")</f>
        <v>SELESAI (VIA PERMOHONAN)</v>
      </c>
      <c r="J3500" s="17">
        <f>IFERROR(__xludf.DUMMYFUNCTION("""COMPUTED_VALUE"""),45890.64994934028)</f>
        <v>45890.64995</v>
      </c>
      <c r="K3500" s="13" t="str">
        <f>IFERROR(__xludf.DUMMYFUNCTION("""COMPUTED_VALUE"""),"Selesai")</f>
        <v>Selesai</v>
      </c>
      <c r="L3500" s="17">
        <f>IFERROR(__xludf.DUMMYFUNCTION("""COMPUTED_VALUE"""),45890.64994934028)</f>
        <v>45890.64995</v>
      </c>
      <c r="M3500" s="13"/>
      <c r="N3500" s="13" t="str">
        <f>IFERROR(__xludf.DUMMYFUNCTION("""COMPUTED_VALUE"""),"")</f>
        <v/>
      </c>
      <c r="O3500" s="13" t="str">
        <f t="shared" si="1"/>
        <v/>
      </c>
    </row>
    <row r="3501" ht="22.5" customHeight="1">
      <c r="B3501" s="13">
        <f>IFERROR(__xludf.DUMMYFUNCTION("""COMPUTED_VALUE"""),3496.0)</f>
        <v>3496</v>
      </c>
      <c r="C3501" s="13" t="str">
        <f>IFERROR(__xludf.DUMMYFUNCTION("""COMPUTED_VALUE"""),"M. 86/ Langkapura Baru")</f>
        <v>M. 86/ Langkapura Baru</v>
      </c>
      <c r="D3501" s="13" t="str">
        <f>IFERROR(__xludf.DUMMYFUNCTION("""COMPUTED_VALUE"""),"K/1/310725/1")</f>
        <v>K/1/310725/1</v>
      </c>
      <c r="E3501" s="14" t="str">
        <f>IFERROR(__xludf.DUMMYFUNCTION("""COMPUTED_VALUE"""),"Heri (BT)")</f>
        <v>Heri (BT)</v>
      </c>
      <c r="F3501" s="14" t="str">
        <f>IFERROR(__xludf.DUMMYFUNCTION("""COMPUTED_VALUE"""),"SELESAI (VIA PERMOHONAN)")</f>
        <v>SELESAI (VIA PERMOHONAN)</v>
      </c>
      <c r="G3501" s="17">
        <f>IFERROR(__xludf.DUMMYFUNCTION("""COMPUTED_VALUE"""),45890.54542525463)</f>
        <v>45890.54543</v>
      </c>
      <c r="H3501" s="14" t="str">
        <f>IFERROR(__xludf.DUMMYFUNCTION("""COMPUTED_VALUE"""),"Eci (SU)")</f>
        <v>Eci (SU)</v>
      </c>
      <c r="I3501" s="13" t="str">
        <f>IFERROR(__xludf.DUMMYFUNCTION("""COMPUTED_VALUE"""),"SELESAI (VIA PERMOHONAN)")</f>
        <v>SELESAI (VIA PERMOHONAN)</v>
      </c>
      <c r="J3501" s="17">
        <f>IFERROR(__xludf.DUMMYFUNCTION("""COMPUTED_VALUE"""),45891.605925613425)</f>
        <v>45891.60593</v>
      </c>
      <c r="K3501" s="13" t="str">
        <f>IFERROR(__xludf.DUMMYFUNCTION("""COMPUTED_VALUE"""),"Selesai")</f>
        <v>Selesai</v>
      </c>
      <c r="L3501" s="17">
        <f>IFERROR(__xludf.DUMMYFUNCTION("""COMPUTED_VALUE"""),45891.605925613425)</f>
        <v>45891.60593</v>
      </c>
      <c r="M3501" s="13"/>
      <c r="N3501" s="13" t="str">
        <f>IFERROR(__xludf.DUMMYFUNCTION("""COMPUTED_VALUE"""),"")</f>
        <v/>
      </c>
      <c r="O3501" s="13" t="str">
        <f t="shared" si="1"/>
        <v/>
      </c>
    </row>
    <row r="3502" ht="22.5" customHeight="1">
      <c r="B3502" s="13">
        <f>IFERROR(__xludf.DUMMYFUNCTION("""COMPUTED_VALUE"""),3497.0)</f>
        <v>3497</v>
      </c>
      <c r="C3502" s="13" t="str">
        <f>IFERROR(__xludf.DUMMYFUNCTION("""COMPUTED_VALUE"""),"M. 1198/Srengsem")</f>
        <v>M. 1198/Srengsem</v>
      </c>
      <c r="D3502" s="13" t="str">
        <f>IFERROR(__xludf.DUMMYFUNCTION("""COMPUTED_VALUE"""),"K/24/110825/4")</f>
        <v>K/24/110825/4</v>
      </c>
      <c r="E3502" s="14" t="str">
        <f>IFERROR(__xludf.DUMMYFUNCTION("""COMPUTED_VALUE"""),"Heri (BT)")</f>
        <v>Heri (BT)</v>
      </c>
      <c r="F3502" s="14" t="str">
        <f>IFERROR(__xludf.DUMMYFUNCTION("""COMPUTED_VALUE"""),"SELESAI (VIA PERMOHONAN)")</f>
        <v>SELESAI (VIA PERMOHONAN)</v>
      </c>
      <c r="G3502" s="17">
        <f>IFERROR(__xludf.DUMMYFUNCTION("""COMPUTED_VALUE"""),45890.54558119213)</f>
        <v>45890.54558</v>
      </c>
      <c r="H3502" s="14" t="str">
        <f>IFERROR(__xludf.DUMMYFUNCTION("""COMPUTED_VALUE"""),"Eci (SU)")</f>
        <v>Eci (SU)</v>
      </c>
      <c r="I3502" s="13" t="str">
        <f>IFERROR(__xludf.DUMMYFUNCTION("""COMPUTED_VALUE"""),"SELESAI (VIA PERMOHONAN)")</f>
        <v>SELESAI (VIA PERMOHONAN)</v>
      </c>
      <c r="J3502" s="17">
        <f>IFERROR(__xludf.DUMMYFUNCTION("""COMPUTED_VALUE"""),45891.60600247685)</f>
        <v>45891.606</v>
      </c>
      <c r="K3502" s="13" t="str">
        <f>IFERROR(__xludf.DUMMYFUNCTION("""COMPUTED_VALUE"""),"Selesai")</f>
        <v>Selesai</v>
      </c>
      <c r="L3502" s="17">
        <f>IFERROR(__xludf.DUMMYFUNCTION("""COMPUTED_VALUE"""),45891.60600247685)</f>
        <v>45891.606</v>
      </c>
      <c r="M3502" s="13"/>
      <c r="N3502" s="13" t="str">
        <f>IFERROR(__xludf.DUMMYFUNCTION("""COMPUTED_VALUE"""),"")</f>
        <v/>
      </c>
      <c r="O3502" s="13" t="str">
        <f t="shared" si="1"/>
        <v/>
      </c>
    </row>
    <row r="3503" ht="22.5" customHeight="1">
      <c r="B3503" s="13">
        <f>IFERROR(__xludf.DUMMYFUNCTION("""COMPUTED_VALUE"""),3498.0)</f>
        <v>3498</v>
      </c>
      <c r="C3503" s="13" t="str">
        <f>IFERROR(__xludf.DUMMYFUNCTION("""COMPUTED_VALUE"""),"M. 17483/Sukarame")</f>
        <v>M. 17483/Sukarame</v>
      </c>
      <c r="D3503" s="13" t="str">
        <f>IFERROR(__xludf.DUMMYFUNCTION("""COMPUTED_VALUE"""),"K/14/050825/1")</f>
        <v>K/14/050825/1</v>
      </c>
      <c r="E3503" s="14" t="str">
        <f>IFERROR(__xludf.DUMMYFUNCTION("""COMPUTED_VALUE"""),"Heri (BT)")</f>
        <v>Heri (BT)</v>
      </c>
      <c r="F3503" s="14" t="str">
        <f>IFERROR(__xludf.DUMMYFUNCTION("""COMPUTED_VALUE"""),"SELESAI (VIA PERMOHONAN)")</f>
        <v>SELESAI (VIA PERMOHONAN)</v>
      </c>
      <c r="G3503" s="17">
        <f>IFERROR(__xludf.DUMMYFUNCTION("""COMPUTED_VALUE"""),45890.5458090162)</f>
        <v>45890.54581</v>
      </c>
      <c r="H3503" s="14" t="str">
        <f>IFERROR(__xludf.DUMMYFUNCTION("""COMPUTED_VALUE"""),"Eci (SU)")</f>
        <v>Eci (SU)</v>
      </c>
      <c r="I3503" s="13" t="str">
        <f>IFERROR(__xludf.DUMMYFUNCTION("""COMPUTED_VALUE"""),"SELESAI (VIA PERMOHONAN)")</f>
        <v>SELESAI (VIA PERMOHONAN)</v>
      </c>
      <c r="J3503" s="17">
        <f>IFERROR(__xludf.DUMMYFUNCTION("""COMPUTED_VALUE"""),45891.60617604166)</f>
        <v>45891.60618</v>
      </c>
      <c r="K3503" s="13" t="str">
        <f>IFERROR(__xludf.DUMMYFUNCTION("""COMPUTED_VALUE"""),"Selesai")</f>
        <v>Selesai</v>
      </c>
      <c r="L3503" s="17">
        <f>IFERROR(__xludf.DUMMYFUNCTION("""COMPUTED_VALUE"""),45891.60617604166)</f>
        <v>45891.60618</v>
      </c>
      <c r="M3503" s="13"/>
      <c r="N3503" s="13" t="str">
        <f>IFERROR(__xludf.DUMMYFUNCTION("""COMPUTED_VALUE"""),"")</f>
        <v/>
      </c>
      <c r="O3503" s="13" t="str">
        <f t="shared" si="1"/>
        <v/>
      </c>
    </row>
    <row r="3504" ht="22.5" customHeight="1">
      <c r="B3504" s="13">
        <f>IFERROR(__xludf.DUMMYFUNCTION("""COMPUTED_VALUE"""),3499.0)</f>
        <v>3499</v>
      </c>
      <c r="C3504" s="13" t="str">
        <f>IFERROR(__xludf.DUMMYFUNCTION("""COMPUTED_VALUE"""),"M. 2899/ Labuhan Dalam")</f>
        <v>M. 2899/ Labuhan Dalam</v>
      </c>
      <c r="D3504" s="13" t="str">
        <f>IFERROR(__xludf.DUMMYFUNCTION("""COMPUTED_VALUE"""),"K/25/160725/1")</f>
        <v>K/25/160725/1</v>
      </c>
      <c r="E3504" s="14" t="str">
        <f>IFERROR(__xludf.DUMMYFUNCTION("""COMPUTED_VALUE"""),"Heri (BT)")</f>
        <v>Heri (BT)</v>
      </c>
      <c r="F3504" s="14" t="str">
        <f>IFERROR(__xludf.DUMMYFUNCTION("""COMPUTED_VALUE"""),"SELESAI (VIA PERMOHONAN)")</f>
        <v>SELESAI (VIA PERMOHONAN)</v>
      </c>
      <c r="G3504" s="17">
        <f>IFERROR(__xludf.DUMMYFUNCTION("""COMPUTED_VALUE"""),45890.54597034722)</f>
        <v>45890.54597</v>
      </c>
      <c r="H3504" s="14" t="str">
        <f>IFERROR(__xludf.DUMMYFUNCTION("""COMPUTED_VALUE"""),"Eci (SU)")</f>
        <v>Eci (SU)</v>
      </c>
      <c r="I3504" s="13" t="str">
        <f>IFERROR(__xludf.DUMMYFUNCTION("""COMPUTED_VALUE"""),"SELESAI (VIA PERMOHONAN)")</f>
        <v>SELESAI (VIA PERMOHONAN)</v>
      </c>
      <c r="J3504" s="17">
        <f>IFERROR(__xludf.DUMMYFUNCTION("""COMPUTED_VALUE"""),45890.64984162037)</f>
        <v>45890.64984</v>
      </c>
      <c r="K3504" s="13" t="str">
        <f>IFERROR(__xludf.DUMMYFUNCTION("""COMPUTED_VALUE"""),"Selesai")</f>
        <v>Selesai</v>
      </c>
      <c r="L3504" s="17">
        <f>IFERROR(__xludf.DUMMYFUNCTION("""COMPUTED_VALUE"""),45890.64984162037)</f>
        <v>45890.64984</v>
      </c>
      <c r="M3504" s="13"/>
      <c r="N3504" s="13" t="str">
        <f>IFERROR(__xludf.DUMMYFUNCTION("""COMPUTED_VALUE"""),"")</f>
        <v/>
      </c>
      <c r="O3504" s="13" t="str">
        <f t="shared" si="1"/>
        <v/>
      </c>
    </row>
    <row r="3505" ht="22.5" customHeight="1">
      <c r="B3505" s="13">
        <f>IFERROR(__xludf.DUMMYFUNCTION("""COMPUTED_VALUE"""),3500.0)</f>
        <v>3500</v>
      </c>
      <c r="C3505" s="13" t="str">
        <f>IFERROR(__xludf.DUMMYFUNCTION("""COMPUTED_VALUE"""),"M. 2572/ Way Kandis")</f>
        <v>M. 2572/ Way Kandis</v>
      </c>
      <c r="D3505" s="13" t="str">
        <f>IFERROR(__xludf.DUMMYFUNCTION("""COMPUTED_VALUE"""),"K/20/040825/2")</f>
        <v>K/20/040825/2</v>
      </c>
      <c r="E3505" s="14" t="str">
        <f>IFERROR(__xludf.DUMMYFUNCTION("""COMPUTED_VALUE"""),"Heri (BT)")</f>
        <v>Heri (BT)</v>
      </c>
      <c r="F3505" s="14" t="str">
        <f>IFERROR(__xludf.DUMMYFUNCTION("""COMPUTED_VALUE"""),"SELESAI (VIA PERMOHONAN)")</f>
        <v>SELESAI (VIA PERMOHONAN)</v>
      </c>
      <c r="G3505" s="17">
        <f>IFERROR(__xludf.DUMMYFUNCTION("""COMPUTED_VALUE"""),45890.54612517361)</f>
        <v>45890.54613</v>
      </c>
      <c r="H3505" s="14" t="str">
        <f>IFERROR(__xludf.DUMMYFUNCTION("""COMPUTED_VALUE"""),"Eci (SU)")</f>
        <v>Eci (SU)</v>
      </c>
      <c r="I3505" s="13" t="str">
        <f>IFERROR(__xludf.DUMMYFUNCTION("""COMPUTED_VALUE"""),"SELESAI (VIA PERMOHONAN)")</f>
        <v>SELESAI (VIA PERMOHONAN)</v>
      </c>
      <c r="J3505" s="17">
        <f>IFERROR(__xludf.DUMMYFUNCTION("""COMPUTED_VALUE"""),45891.606289641204)</f>
        <v>45891.60629</v>
      </c>
      <c r="K3505" s="13" t="str">
        <f>IFERROR(__xludf.DUMMYFUNCTION("""COMPUTED_VALUE"""),"Selesai")</f>
        <v>Selesai</v>
      </c>
      <c r="L3505" s="17">
        <f>IFERROR(__xludf.DUMMYFUNCTION("""COMPUTED_VALUE"""),45891.606289641204)</f>
        <v>45891.60629</v>
      </c>
      <c r="M3505" s="13"/>
      <c r="N3505" s="13" t="str">
        <f>IFERROR(__xludf.DUMMYFUNCTION("""COMPUTED_VALUE"""),"")</f>
        <v/>
      </c>
      <c r="O3505" s="13" t="str">
        <f t="shared" si="1"/>
        <v/>
      </c>
    </row>
    <row r="3506" ht="22.5" customHeight="1">
      <c r="B3506" s="13">
        <f>IFERROR(__xludf.DUMMYFUNCTION("""COMPUTED_VALUE"""),3501.0)</f>
        <v>3501</v>
      </c>
      <c r="C3506" s="13" t="str">
        <f>IFERROR(__xludf.DUMMYFUNCTION("""COMPUTED_VALUE"""),"M. 11263/ Tanjung Baru")</f>
        <v>M. 11263/ Tanjung Baru</v>
      </c>
      <c r="D3506" s="13" t="str">
        <f>IFERROR(__xludf.DUMMYFUNCTION("""COMPUTED_VALUE"""),"K/19/180725/1")</f>
        <v>K/19/180725/1</v>
      </c>
      <c r="E3506" s="14" t="str">
        <f>IFERROR(__xludf.DUMMYFUNCTION("""COMPUTED_VALUE"""),"Heri (BT)")</f>
        <v>Heri (BT)</v>
      </c>
      <c r="F3506" s="14" t="str">
        <f>IFERROR(__xludf.DUMMYFUNCTION("""COMPUTED_VALUE"""),"SELESAI (VIA PERMOHONAN)")</f>
        <v>SELESAI (VIA PERMOHONAN)</v>
      </c>
      <c r="G3506" s="17">
        <f>IFERROR(__xludf.DUMMYFUNCTION("""COMPUTED_VALUE"""),45890.54629342593)</f>
        <v>45890.54629</v>
      </c>
      <c r="H3506" s="14" t="str">
        <f>IFERROR(__xludf.DUMMYFUNCTION("""COMPUTED_VALUE"""),"Eci (SU)")</f>
        <v>Eci (SU)</v>
      </c>
      <c r="I3506" s="13" t="str">
        <f>IFERROR(__xludf.DUMMYFUNCTION("""COMPUTED_VALUE"""),"SELESAI (VIA PERMOHONAN)")</f>
        <v>SELESAI (VIA PERMOHONAN)</v>
      </c>
      <c r="J3506" s="17">
        <f>IFERROR(__xludf.DUMMYFUNCTION("""COMPUTED_VALUE"""),45891.60663163195)</f>
        <v>45891.60663</v>
      </c>
      <c r="K3506" s="13" t="str">
        <f>IFERROR(__xludf.DUMMYFUNCTION("""COMPUTED_VALUE"""),"Selesai")</f>
        <v>Selesai</v>
      </c>
      <c r="L3506" s="17">
        <f>IFERROR(__xludf.DUMMYFUNCTION("""COMPUTED_VALUE"""),45891.60663163195)</f>
        <v>45891.60663</v>
      </c>
      <c r="M3506" s="13"/>
      <c r="N3506" s="13" t="str">
        <f>IFERROR(__xludf.DUMMYFUNCTION("""COMPUTED_VALUE"""),"")</f>
        <v/>
      </c>
      <c r="O3506" s="13" t="str">
        <f t="shared" si="1"/>
        <v/>
      </c>
    </row>
    <row r="3507" ht="22.5" customHeight="1">
      <c r="B3507" s="13">
        <f>IFERROR(__xludf.DUMMYFUNCTION("""COMPUTED_VALUE"""),3502.0)</f>
        <v>3502</v>
      </c>
      <c r="C3507" s="13" t="str">
        <f>IFERROR(__xludf.DUMMYFUNCTION("""COMPUTED_VALUE"""),"M. 824/Langkapura Baru")</f>
        <v>M. 824/Langkapura Baru</v>
      </c>
      <c r="D3507" s="13" t="str">
        <f>IFERROR(__xludf.DUMMYFUNCTION("""COMPUTED_VALUE"""),"K/25/070827/1")</f>
        <v>K/25/070827/1</v>
      </c>
      <c r="E3507" s="14" t="str">
        <f>IFERROR(__xludf.DUMMYFUNCTION("""COMPUTED_VALUE"""),"Heri (BT)")</f>
        <v>Heri (BT)</v>
      </c>
      <c r="F3507" s="14" t="str">
        <f>IFERROR(__xludf.DUMMYFUNCTION("""COMPUTED_VALUE"""),"SELESAI (VIA PERMOHONAN)")</f>
        <v>SELESAI (VIA PERMOHONAN)</v>
      </c>
      <c r="G3507" s="17">
        <f>IFERROR(__xludf.DUMMYFUNCTION("""COMPUTED_VALUE"""),45890.54643165509)</f>
        <v>45890.54643</v>
      </c>
      <c r="H3507" s="14" t="str">
        <f>IFERROR(__xludf.DUMMYFUNCTION("""COMPUTED_VALUE"""),"Eci (SU)")</f>
        <v>Eci (SU)</v>
      </c>
      <c r="I3507" s="13" t="str">
        <f>IFERROR(__xludf.DUMMYFUNCTION("""COMPUTED_VALUE"""),"SELESAI (VIA PERMOHONAN)")</f>
        <v>SELESAI (VIA PERMOHONAN)</v>
      </c>
      <c r="J3507" s="17">
        <f>IFERROR(__xludf.DUMMYFUNCTION("""COMPUTED_VALUE"""),45890.64972008102)</f>
        <v>45890.64972</v>
      </c>
      <c r="K3507" s="13" t="str">
        <f>IFERROR(__xludf.DUMMYFUNCTION("""COMPUTED_VALUE"""),"Selesai")</f>
        <v>Selesai</v>
      </c>
      <c r="L3507" s="17">
        <f>IFERROR(__xludf.DUMMYFUNCTION("""COMPUTED_VALUE"""),45890.64972008102)</f>
        <v>45890.64972</v>
      </c>
      <c r="M3507" s="13"/>
      <c r="N3507" s="13" t="str">
        <f>IFERROR(__xludf.DUMMYFUNCTION("""COMPUTED_VALUE"""),"")</f>
        <v/>
      </c>
      <c r="O3507" s="13" t="str">
        <f t="shared" si="1"/>
        <v/>
      </c>
    </row>
    <row r="3508" ht="22.5" customHeight="1">
      <c r="B3508" s="13">
        <f>IFERROR(__xludf.DUMMYFUNCTION("""COMPUTED_VALUE"""),3503.0)</f>
        <v>3503</v>
      </c>
      <c r="C3508" s="13" t="str">
        <f>IFERROR(__xludf.DUMMYFUNCTION("""COMPUTED_VALUE"""),"M. 2613/Sumber Agung")</f>
        <v>M. 2613/Sumber Agung</v>
      </c>
      <c r="D3508" s="13" t="str">
        <f>IFERROR(__xludf.DUMMYFUNCTION("""COMPUTED_VALUE"""),"K/21/080825/1")</f>
        <v>K/21/080825/1</v>
      </c>
      <c r="E3508" s="14" t="str">
        <f>IFERROR(__xludf.DUMMYFUNCTION("""COMPUTED_VALUE"""),"Heri (BT)")</f>
        <v>Heri (BT)</v>
      </c>
      <c r="F3508" s="14" t="str">
        <f>IFERROR(__xludf.DUMMYFUNCTION("""COMPUTED_VALUE"""),"SELESAI (VIA PERMOHONAN)")</f>
        <v>SELESAI (VIA PERMOHONAN)</v>
      </c>
      <c r="G3508" s="17">
        <f>IFERROR(__xludf.DUMMYFUNCTION("""COMPUTED_VALUE"""),45890.54656357639)</f>
        <v>45890.54656</v>
      </c>
      <c r="H3508" s="14" t="str">
        <f>IFERROR(__xludf.DUMMYFUNCTION("""COMPUTED_VALUE"""),"Eci (SU)")</f>
        <v>Eci (SU)</v>
      </c>
      <c r="I3508" s="13" t="str">
        <f>IFERROR(__xludf.DUMMYFUNCTION("""COMPUTED_VALUE"""),"SELESAI (VIA PERMOHONAN)")</f>
        <v>SELESAI (VIA PERMOHONAN)</v>
      </c>
      <c r="J3508" s="17">
        <f>IFERROR(__xludf.DUMMYFUNCTION("""COMPUTED_VALUE"""),45890.64960822917)</f>
        <v>45890.64961</v>
      </c>
      <c r="K3508" s="13" t="str">
        <f>IFERROR(__xludf.DUMMYFUNCTION("""COMPUTED_VALUE"""),"Selesai")</f>
        <v>Selesai</v>
      </c>
      <c r="L3508" s="17">
        <f>IFERROR(__xludf.DUMMYFUNCTION("""COMPUTED_VALUE"""),45890.64960822917)</f>
        <v>45890.64961</v>
      </c>
      <c r="M3508" s="13"/>
      <c r="N3508" s="13" t="str">
        <f>IFERROR(__xludf.DUMMYFUNCTION("""COMPUTED_VALUE"""),"")</f>
        <v/>
      </c>
      <c r="O3508" s="13" t="str">
        <f t="shared" si="1"/>
        <v/>
      </c>
    </row>
    <row r="3509" ht="22.5" customHeight="1">
      <c r="B3509" s="13">
        <f>IFERROR(__xludf.DUMMYFUNCTION("""COMPUTED_VALUE"""),3504.0)</f>
        <v>3504</v>
      </c>
      <c r="C3509" s="13" t="str">
        <f>IFERROR(__xludf.DUMMYFUNCTION("""COMPUTED_VALUE"""),"M. 272/ Labuhan Ratu Raya")</f>
        <v>M. 272/ Labuhan Ratu Raya</v>
      </c>
      <c r="D3509" s="13" t="str">
        <f>IFERROR(__xludf.DUMMYFUNCTION("""COMPUTED_VALUE"""),"K/33/050825/1")</f>
        <v>K/33/050825/1</v>
      </c>
      <c r="E3509" s="14" t="str">
        <f>IFERROR(__xludf.DUMMYFUNCTION("""COMPUTED_VALUE"""),"Heri (BT)")</f>
        <v>Heri (BT)</v>
      </c>
      <c r="F3509" s="14" t="str">
        <f>IFERROR(__xludf.DUMMYFUNCTION("""COMPUTED_VALUE"""),"SELESAI (VIA PERMOHONAN)")</f>
        <v>SELESAI (VIA PERMOHONAN)</v>
      </c>
      <c r="G3509" s="17">
        <f>IFERROR(__xludf.DUMMYFUNCTION("""COMPUTED_VALUE"""),45890.546737094905)</f>
        <v>45890.54674</v>
      </c>
      <c r="H3509" s="14" t="str">
        <f>IFERROR(__xludf.DUMMYFUNCTION("""COMPUTED_VALUE"""),"Eci (SU)")</f>
        <v>Eci (SU)</v>
      </c>
      <c r="I3509" s="13" t="str">
        <f>IFERROR(__xludf.DUMMYFUNCTION("""COMPUTED_VALUE"""),"SELESAI (VIA PERMOHONAN)")</f>
        <v>SELESAI (VIA PERMOHONAN)</v>
      </c>
      <c r="J3509" s="17">
        <f>IFERROR(__xludf.DUMMYFUNCTION("""COMPUTED_VALUE"""),45890.64929055556)</f>
        <v>45890.64929</v>
      </c>
      <c r="K3509" s="13" t="str">
        <f>IFERROR(__xludf.DUMMYFUNCTION("""COMPUTED_VALUE"""),"Selesai")</f>
        <v>Selesai</v>
      </c>
      <c r="L3509" s="17">
        <f>IFERROR(__xludf.DUMMYFUNCTION("""COMPUTED_VALUE"""),45890.64929055556)</f>
        <v>45890.64929</v>
      </c>
      <c r="M3509" s="13"/>
      <c r="N3509" s="13" t="str">
        <f>IFERROR(__xludf.DUMMYFUNCTION("""COMPUTED_VALUE"""),"")</f>
        <v/>
      </c>
      <c r="O3509" s="13" t="str">
        <f t="shared" si="1"/>
        <v/>
      </c>
    </row>
    <row r="3510" ht="22.5" customHeight="1">
      <c r="B3510" s="13">
        <f>IFERROR(__xludf.DUMMYFUNCTION("""COMPUTED_VALUE"""),3505.0)</f>
        <v>3505</v>
      </c>
      <c r="C3510" s="13" t="str">
        <f>IFERROR(__xludf.DUMMYFUNCTION("""COMPUTED_VALUE"""),"B. 151/ Sepang Jaya")</f>
        <v>B. 151/ Sepang Jaya</v>
      </c>
      <c r="D3510" s="13" t="str">
        <f>IFERROR(__xludf.DUMMYFUNCTION("""COMPUTED_VALUE"""),"K/35/240726/1")</f>
        <v>K/35/240726/1</v>
      </c>
      <c r="E3510" s="14" t="str">
        <f>IFERROR(__xludf.DUMMYFUNCTION("""COMPUTED_VALUE"""),"Heri (BT)")</f>
        <v>Heri (BT)</v>
      </c>
      <c r="F3510" s="14" t="str">
        <f>IFERROR(__xludf.DUMMYFUNCTION("""COMPUTED_VALUE"""),"SELESAI (VIA PERMOHONAN)")</f>
        <v>SELESAI (VIA PERMOHONAN)</v>
      </c>
      <c r="G3510" s="17">
        <f>IFERROR(__xludf.DUMMYFUNCTION("""COMPUTED_VALUE"""),45890.54692825231)</f>
        <v>45890.54693</v>
      </c>
      <c r="H3510" s="14" t="str">
        <f>IFERROR(__xludf.DUMMYFUNCTION("""COMPUTED_VALUE"""),"Eci (SU)")</f>
        <v>Eci (SU)</v>
      </c>
      <c r="I3510" s="13" t="str">
        <f>IFERROR(__xludf.DUMMYFUNCTION("""COMPUTED_VALUE"""),"SELESAI (VIA PERMOHONAN)")</f>
        <v>SELESAI (VIA PERMOHONAN)</v>
      </c>
      <c r="J3510" s="17">
        <f>IFERROR(__xludf.DUMMYFUNCTION("""COMPUTED_VALUE"""),45890.64916729167)</f>
        <v>45890.64917</v>
      </c>
      <c r="K3510" s="13" t="str">
        <f>IFERROR(__xludf.DUMMYFUNCTION("""COMPUTED_VALUE"""),"Selesai")</f>
        <v>Selesai</v>
      </c>
      <c r="L3510" s="17">
        <f>IFERROR(__xludf.DUMMYFUNCTION("""COMPUTED_VALUE"""),45890.64916729167)</f>
        <v>45890.64917</v>
      </c>
      <c r="M3510" s="13"/>
      <c r="N3510" s="13" t="str">
        <f>IFERROR(__xludf.DUMMYFUNCTION("""COMPUTED_VALUE"""),"")</f>
        <v/>
      </c>
      <c r="O3510" s="13" t="str">
        <f t="shared" si="1"/>
        <v/>
      </c>
    </row>
    <row r="3511" ht="22.5" customHeight="1">
      <c r="B3511" s="13">
        <f>IFERROR(__xludf.DUMMYFUNCTION("""COMPUTED_VALUE"""),3506.0)</f>
        <v>3506</v>
      </c>
      <c r="C3511" s="13" t="str">
        <f>IFERROR(__xludf.DUMMYFUNCTION("""COMPUTED_VALUE"""),"M. 3483/ Rajabasa Jaya")</f>
        <v>M. 3483/ Rajabasa Jaya</v>
      </c>
      <c r="D3511" s="13" t="str">
        <f>IFERROR(__xludf.DUMMYFUNCTION("""COMPUTED_VALUE"""),"K/19/040825/1")</f>
        <v>K/19/040825/1</v>
      </c>
      <c r="E3511" s="14" t="str">
        <f>IFERROR(__xludf.DUMMYFUNCTION("""COMPUTED_VALUE"""),"Heri (BT)")</f>
        <v>Heri (BT)</v>
      </c>
      <c r="F3511" s="14" t="str">
        <f>IFERROR(__xludf.DUMMYFUNCTION("""COMPUTED_VALUE"""),"SELESAI (VIA PERMOHONAN)")</f>
        <v>SELESAI (VIA PERMOHONAN)</v>
      </c>
      <c r="G3511" s="17">
        <f>IFERROR(__xludf.DUMMYFUNCTION("""COMPUTED_VALUE"""),45890.54710327546)</f>
        <v>45890.5471</v>
      </c>
      <c r="H3511" s="14" t="str">
        <f>IFERROR(__xludf.DUMMYFUNCTION("""COMPUTED_VALUE"""),"Eci (SU)")</f>
        <v>Eci (SU)</v>
      </c>
      <c r="I3511" s="13" t="str">
        <f>IFERROR(__xludf.DUMMYFUNCTION("""COMPUTED_VALUE"""),"SELESAI (VIA PERMOHONAN)")</f>
        <v>SELESAI (VIA PERMOHONAN)</v>
      </c>
      <c r="J3511" s="17">
        <f>IFERROR(__xludf.DUMMYFUNCTION("""COMPUTED_VALUE"""),45891.60643324074)</f>
        <v>45891.60643</v>
      </c>
      <c r="K3511" s="13" t="str">
        <f>IFERROR(__xludf.DUMMYFUNCTION("""COMPUTED_VALUE"""),"Selesai")</f>
        <v>Selesai</v>
      </c>
      <c r="L3511" s="17">
        <f>IFERROR(__xludf.DUMMYFUNCTION("""COMPUTED_VALUE"""),45891.60643324074)</f>
        <v>45891.60643</v>
      </c>
      <c r="M3511" s="13"/>
      <c r="N3511" s="13" t="str">
        <f>IFERROR(__xludf.DUMMYFUNCTION("""COMPUTED_VALUE"""),"")</f>
        <v/>
      </c>
      <c r="O3511" s="13" t="str">
        <f t="shared" si="1"/>
        <v/>
      </c>
    </row>
    <row r="3512" ht="22.5" customHeight="1">
      <c r="B3512" s="13">
        <f>IFERROR(__xludf.DUMMYFUNCTION("""COMPUTED_VALUE"""),3507.0)</f>
        <v>3507</v>
      </c>
      <c r="C3512" s="13" t="str">
        <f>IFERROR(__xludf.DUMMYFUNCTION("""COMPUTED_VALUE"""),"M. 9043/Sukamenanti")</f>
        <v>M. 9043/Sukamenanti</v>
      </c>
      <c r="D3512" s="13" t="str">
        <f>IFERROR(__xludf.DUMMYFUNCTION("""COMPUTED_VALUE"""),"K/26/140825/2")</f>
        <v>K/26/140825/2</v>
      </c>
      <c r="E3512" s="14" t="str">
        <f>IFERROR(__xludf.DUMMYFUNCTION("""COMPUTED_VALUE"""),"Heri (BT)")</f>
        <v>Heri (BT)</v>
      </c>
      <c r="F3512" s="14" t="str">
        <f>IFERROR(__xludf.DUMMYFUNCTION("""COMPUTED_VALUE"""),"SELESAI (VIA PERMOHONAN)")</f>
        <v>SELESAI (VIA PERMOHONAN)</v>
      </c>
      <c r="G3512" s="17">
        <f>IFERROR(__xludf.DUMMYFUNCTION("""COMPUTED_VALUE"""),45890.54730813658)</f>
        <v>45890.54731</v>
      </c>
      <c r="H3512" s="14" t="str">
        <f>IFERROR(__xludf.DUMMYFUNCTION("""COMPUTED_VALUE"""),"Eci (SU)")</f>
        <v>Eci (SU)</v>
      </c>
      <c r="I3512" s="13" t="str">
        <f>IFERROR(__xludf.DUMMYFUNCTION("""COMPUTED_VALUE"""),"SELESAI (VIA PERMOHONAN)")</f>
        <v>SELESAI (VIA PERMOHONAN)</v>
      </c>
      <c r="J3512" s="17">
        <f>IFERROR(__xludf.DUMMYFUNCTION("""COMPUTED_VALUE"""),45891.60439905092)</f>
        <v>45891.6044</v>
      </c>
      <c r="K3512" s="13" t="str">
        <f>IFERROR(__xludf.DUMMYFUNCTION("""COMPUTED_VALUE"""),"Selesai")</f>
        <v>Selesai</v>
      </c>
      <c r="L3512" s="17">
        <f>IFERROR(__xludf.DUMMYFUNCTION("""COMPUTED_VALUE"""),45891.60439905092)</f>
        <v>45891.6044</v>
      </c>
      <c r="M3512" s="13"/>
      <c r="N3512" s="13" t="str">
        <f>IFERROR(__xludf.DUMMYFUNCTION("""COMPUTED_VALUE"""),"")</f>
        <v/>
      </c>
      <c r="O3512" s="13" t="str">
        <f t="shared" si="1"/>
        <v/>
      </c>
    </row>
    <row r="3513" ht="22.5" customHeight="1">
      <c r="B3513" s="13">
        <f>IFERROR(__xludf.DUMMYFUNCTION("""COMPUTED_VALUE"""),3508.0)</f>
        <v>3508</v>
      </c>
      <c r="C3513" s="13" t="str">
        <f>IFERROR(__xludf.DUMMYFUNCTION("""COMPUTED_VALUE"""),"M.975/RAJABASA NUNYAI")</f>
        <v>M.975/RAJABASA NUNYAI</v>
      </c>
      <c r="D3513" s="13" t="str">
        <f>IFERROR(__xludf.DUMMYFUNCTION("""COMPUTED_VALUE"""),"K/24/080525/1")</f>
        <v>K/24/080525/1</v>
      </c>
      <c r="E3513" s="14" t="str">
        <f>IFERROR(__xludf.DUMMYFUNCTION("""COMPUTED_VALUE"""),"Heri (BT)")</f>
        <v>Heri (BT)</v>
      </c>
      <c r="F3513" s="14" t="str">
        <f>IFERROR(__xludf.DUMMYFUNCTION("""COMPUTED_VALUE"""),"SELESAI (VIA PERMOHONAN)")</f>
        <v>SELESAI (VIA PERMOHONAN)</v>
      </c>
      <c r="G3513" s="17">
        <f>IFERROR(__xludf.DUMMYFUNCTION("""COMPUTED_VALUE"""),45890.54745978009)</f>
        <v>45890.54746</v>
      </c>
      <c r="H3513" s="14" t="str">
        <f>IFERROR(__xludf.DUMMYFUNCTION("""COMPUTED_VALUE"""),"Eci (SU)")</f>
        <v>Eci (SU)</v>
      </c>
      <c r="I3513" s="13" t="str">
        <f>IFERROR(__xludf.DUMMYFUNCTION("""COMPUTED_VALUE"""),"SELESAI (VIA PERMOHONAN)")</f>
        <v>SELESAI (VIA PERMOHONAN)</v>
      </c>
      <c r="J3513" s="17">
        <f>IFERROR(__xludf.DUMMYFUNCTION("""COMPUTED_VALUE"""),45891.60494921297)</f>
        <v>45891.60495</v>
      </c>
      <c r="K3513" s="13" t="str">
        <f>IFERROR(__xludf.DUMMYFUNCTION("""COMPUTED_VALUE"""),"Selesai")</f>
        <v>Selesai</v>
      </c>
      <c r="L3513" s="17">
        <f>IFERROR(__xludf.DUMMYFUNCTION("""COMPUTED_VALUE"""),45891.60494921297)</f>
        <v>45891.60495</v>
      </c>
      <c r="M3513" s="13"/>
      <c r="N3513" s="13" t="str">
        <f>IFERROR(__xludf.DUMMYFUNCTION("""COMPUTED_VALUE"""),"")</f>
        <v/>
      </c>
      <c r="O3513" s="13" t="str">
        <f t="shared" si="1"/>
        <v/>
      </c>
    </row>
    <row r="3514" ht="22.5" customHeight="1">
      <c r="B3514" s="13">
        <f>IFERROR(__xludf.DUMMYFUNCTION("""COMPUTED_VALUE"""),3509.0)</f>
        <v>3509</v>
      </c>
      <c r="C3514" s="13" t="str">
        <f>IFERROR(__xludf.DUMMYFUNCTION("""COMPUTED_VALUE"""),"M. 12850/SUKARAME")</f>
        <v>M. 12850/SUKARAME</v>
      </c>
      <c r="D3514" s="13" t="str">
        <f>IFERROR(__xludf.DUMMYFUNCTION("""COMPUTED_VALUE"""),"K/40/290725/1")</f>
        <v>K/40/290725/1</v>
      </c>
      <c r="E3514" s="14"/>
      <c r="F3514" s="14"/>
      <c r="G3514" s="17" t="str">
        <f>IFERROR(__xludf.DUMMYFUNCTION("""COMPUTED_VALUE"""),"")</f>
        <v/>
      </c>
      <c r="H3514" s="14" t="str">
        <f>IFERROR(__xludf.DUMMYFUNCTION("""COMPUTED_VALUE"""),"Eci (SU)")</f>
        <v>Eci (SU)</v>
      </c>
      <c r="I3514" s="13" t="str">
        <f>IFERROR(__xludf.DUMMYFUNCTION("""COMPUTED_VALUE"""),"SELESAI (VIA PERMOHONAN)")</f>
        <v>SELESAI (VIA PERMOHONAN)</v>
      </c>
      <c r="J3514" s="17">
        <f>IFERROR(__xludf.DUMMYFUNCTION("""COMPUTED_VALUE"""),45890.65866263889)</f>
        <v>45890.65866</v>
      </c>
      <c r="K3514" s="13" t="str">
        <f>IFERROR(__xludf.DUMMYFUNCTION("""COMPUTED_VALUE"""),"BT atau SU Belum Valid")</f>
        <v>BT atau SU Belum Valid</v>
      </c>
      <c r="L3514" s="13" t="str">
        <f>IFERROR(__xludf.DUMMYFUNCTION("""COMPUTED_VALUE"""),"")</f>
        <v/>
      </c>
      <c r="M3514" s="13"/>
      <c r="N3514" s="13" t="str">
        <f>IFERROR(__xludf.DUMMYFUNCTION("""COMPUTED_VALUE"""),"")</f>
        <v/>
      </c>
      <c r="O3514" s="13" t="str">
        <f t="shared" si="1"/>
        <v/>
      </c>
    </row>
    <row r="3515" ht="22.5" customHeight="1">
      <c r="B3515" s="13">
        <f>IFERROR(__xludf.DUMMYFUNCTION("""COMPUTED_VALUE"""),3510.0)</f>
        <v>3510</v>
      </c>
      <c r="C3515" s="13" t="str">
        <f>IFERROR(__xludf.DUMMYFUNCTION("""COMPUTED_VALUE"""),"M.555/PWH")</f>
        <v>M.555/PWH</v>
      </c>
      <c r="D3515" s="13" t="str">
        <f>IFERROR(__xludf.DUMMYFUNCTION("""COMPUTED_VALUE"""),"L/3/190726/1")</f>
        <v>L/3/190726/1</v>
      </c>
      <c r="E3515" s="14" t="str">
        <f>IFERROR(__xludf.DUMMYFUNCTION("""COMPUTED_VALUE"""),"Afriza (BT)")</f>
        <v>Afriza (BT)</v>
      </c>
      <c r="F3515" s="14" t="str">
        <f>IFERROR(__xludf.DUMMYFUNCTION("""COMPUTED_VALUE"""),"SELESAI (VIA PERMOHONAN)")</f>
        <v>SELESAI (VIA PERMOHONAN)</v>
      </c>
      <c r="G3515" s="17">
        <f>IFERROR(__xludf.DUMMYFUNCTION("""COMPUTED_VALUE"""),45891.38627106481)</f>
        <v>45891.38627</v>
      </c>
      <c r="H3515" s="14" t="str">
        <f>IFERROR(__xludf.DUMMYFUNCTION("""COMPUTED_VALUE"""),"Eci (SU)")</f>
        <v>Eci (SU)</v>
      </c>
      <c r="I3515" s="13" t="str">
        <f>IFERROR(__xludf.DUMMYFUNCTION("""COMPUTED_VALUE"""),"SELESAI (VIA PERMOHONAN)")</f>
        <v>SELESAI (VIA PERMOHONAN)</v>
      </c>
      <c r="J3515" s="17">
        <f>IFERROR(__xludf.DUMMYFUNCTION("""COMPUTED_VALUE"""),45894.65356880787)</f>
        <v>45894.65357</v>
      </c>
      <c r="K3515" s="13" t="str">
        <f>IFERROR(__xludf.DUMMYFUNCTION("""COMPUTED_VALUE"""),"Selesai")</f>
        <v>Selesai</v>
      </c>
      <c r="L3515" s="17">
        <f>IFERROR(__xludf.DUMMYFUNCTION("""COMPUTED_VALUE"""),45894.65356880787)</f>
        <v>45894.65357</v>
      </c>
      <c r="M3515" s="13"/>
      <c r="N3515" s="13" t="str">
        <f>IFERROR(__xludf.DUMMYFUNCTION("""COMPUTED_VALUE"""),"")</f>
        <v/>
      </c>
      <c r="O3515" s="13" t="str">
        <f t="shared" si="1"/>
        <v/>
      </c>
    </row>
    <row r="3516" ht="22.5" customHeight="1">
      <c r="B3516" s="13">
        <f>IFERROR(__xludf.DUMMYFUNCTION("""COMPUTED_VALUE"""),3511.0)</f>
        <v>3511</v>
      </c>
      <c r="C3516" s="13" t="str">
        <f>IFERROR(__xludf.DUMMYFUNCTION("""COMPUTED_VALUE"""),"B.3065/SUKABUMI")</f>
        <v>B.3065/SUKABUMI</v>
      </c>
      <c r="D3516" s="13" t="str">
        <f>IFERROR(__xludf.DUMMYFUNCTION("""COMPUTED_VALUE"""),"K/13/300725/2")</f>
        <v>K/13/300725/2</v>
      </c>
      <c r="E3516" s="14" t="str">
        <f>IFERROR(__xludf.DUMMYFUNCTION("""COMPUTED_VALUE"""),"Afriza (BT)")</f>
        <v>Afriza (BT)</v>
      </c>
      <c r="F3516" s="14" t="str">
        <f>IFERROR(__xludf.DUMMYFUNCTION("""COMPUTED_VALUE"""),"SELESAI (VIA PERMOHONAN)")</f>
        <v>SELESAI (VIA PERMOHONAN)</v>
      </c>
      <c r="G3516" s="17">
        <f>IFERROR(__xludf.DUMMYFUNCTION("""COMPUTED_VALUE"""),45891.38627106481)</f>
        <v>45891.38627</v>
      </c>
      <c r="H3516" s="14" t="str">
        <f>IFERROR(__xludf.DUMMYFUNCTION("""COMPUTED_VALUE"""),"Eci (SU)")</f>
        <v>Eci (SU)</v>
      </c>
      <c r="I3516" s="13" t="str">
        <f>IFERROR(__xludf.DUMMYFUNCTION("""COMPUTED_VALUE"""),"SELESAI (VIA PERMOHONAN)")</f>
        <v>SELESAI (VIA PERMOHONAN)</v>
      </c>
      <c r="J3516" s="17">
        <f>IFERROR(__xludf.DUMMYFUNCTION("""COMPUTED_VALUE"""),45894.65127364583)</f>
        <v>45894.65127</v>
      </c>
      <c r="K3516" s="13" t="str">
        <f>IFERROR(__xludf.DUMMYFUNCTION("""COMPUTED_VALUE"""),"Selesai")</f>
        <v>Selesai</v>
      </c>
      <c r="L3516" s="17">
        <f>IFERROR(__xludf.DUMMYFUNCTION("""COMPUTED_VALUE"""),45894.65127364583)</f>
        <v>45894.65127</v>
      </c>
      <c r="M3516" s="13"/>
      <c r="N3516" s="13" t="str">
        <f>IFERROR(__xludf.DUMMYFUNCTION("""COMPUTED_VALUE"""),"")</f>
        <v/>
      </c>
      <c r="O3516" s="13" t="str">
        <f t="shared" si="1"/>
        <v/>
      </c>
    </row>
    <row r="3517" ht="22.5" customHeight="1">
      <c r="B3517" s="13">
        <f>IFERROR(__xludf.DUMMYFUNCTION("""COMPUTED_VALUE"""),3512.0)</f>
        <v>3512</v>
      </c>
      <c r="C3517" s="13" t="str">
        <f>IFERROR(__xludf.DUMMYFUNCTION("""COMPUTED_VALUE"""),"B. 917/ SUKARAME BARU")</f>
        <v>B. 917/ SUKARAME BARU</v>
      </c>
      <c r="D3517" s="13" t="str">
        <f>IFERROR(__xludf.DUMMYFUNCTION("""COMPUTED_VALUE"""),"L/23/070827/1")</f>
        <v>L/23/070827/1</v>
      </c>
      <c r="E3517" s="14" t="str">
        <f>IFERROR(__xludf.DUMMYFUNCTION("""COMPUTED_VALUE"""),"Afriza (BT)")</f>
        <v>Afriza (BT)</v>
      </c>
      <c r="F3517" s="14" t="str">
        <f>IFERROR(__xludf.DUMMYFUNCTION("""COMPUTED_VALUE"""),"SELESAI (VIA PERMOHONAN)")</f>
        <v>SELESAI (VIA PERMOHONAN)</v>
      </c>
      <c r="G3517" s="17">
        <f>IFERROR(__xludf.DUMMYFUNCTION("""COMPUTED_VALUE"""),45891.38632790509)</f>
        <v>45891.38633</v>
      </c>
      <c r="H3517" s="14" t="str">
        <f>IFERROR(__xludf.DUMMYFUNCTION("""COMPUTED_VALUE"""),"Eci (SU)")</f>
        <v>Eci (SU)</v>
      </c>
      <c r="I3517" s="13" t="str">
        <f>IFERROR(__xludf.DUMMYFUNCTION("""COMPUTED_VALUE"""),"SELESAI (VIA PERMOHONAN)")</f>
        <v>SELESAI (VIA PERMOHONAN)</v>
      </c>
      <c r="J3517" s="17">
        <f>IFERROR(__xludf.DUMMYFUNCTION("""COMPUTED_VALUE"""),45895.663143495374)</f>
        <v>45895.66314</v>
      </c>
      <c r="K3517" s="13" t="str">
        <f>IFERROR(__xludf.DUMMYFUNCTION("""COMPUTED_VALUE"""),"Selesai")</f>
        <v>Selesai</v>
      </c>
      <c r="L3517" s="17">
        <f>IFERROR(__xludf.DUMMYFUNCTION("""COMPUTED_VALUE"""),45895.663143495374)</f>
        <v>45895.66314</v>
      </c>
      <c r="M3517" s="13"/>
      <c r="N3517" s="13" t="str">
        <f>IFERROR(__xludf.DUMMYFUNCTION("""COMPUTED_VALUE"""),"")</f>
        <v/>
      </c>
      <c r="O3517" s="13" t="str">
        <f t="shared" si="1"/>
        <v/>
      </c>
    </row>
    <row r="3518" ht="22.5" customHeight="1">
      <c r="B3518" s="13">
        <f>IFERROR(__xludf.DUMMYFUNCTION("""COMPUTED_VALUE"""),3513.0)</f>
        <v>3513</v>
      </c>
      <c r="C3518" s="13" t="str">
        <f>IFERROR(__xludf.DUMMYFUNCTION("""COMPUTED_VALUE"""),"M.10330/KEDAMAIAN")</f>
        <v>M.10330/KEDAMAIAN</v>
      </c>
      <c r="D3518" s="13" t="str">
        <f>IFERROR(__xludf.DUMMYFUNCTION("""COMPUTED_VALUE"""),"K/2/050825/1")</f>
        <v>K/2/050825/1</v>
      </c>
      <c r="E3518" s="14" t="str">
        <f>IFERROR(__xludf.DUMMYFUNCTION("""COMPUTED_VALUE"""),"Afriza (BT)")</f>
        <v>Afriza (BT)</v>
      </c>
      <c r="F3518" s="14" t="str">
        <f>IFERROR(__xludf.DUMMYFUNCTION("""COMPUTED_VALUE"""),"SELESAI (VIA PERMOHONAN)")</f>
        <v>SELESAI (VIA PERMOHONAN)</v>
      </c>
      <c r="G3518" s="17">
        <f>IFERROR(__xludf.DUMMYFUNCTION("""COMPUTED_VALUE"""),45891.38647543982)</f>
        <v>45891.38648</v>
      </c>
      <c r="H3518" s="14" t="str">
        <f>IFERROR(__xludf.DUMMYFUNCTION("""COMPUTED_VALUE"""),"Eci (SU)")</f>
        <v>Eci (SU)</v>
      </c>
      <c r="I3518" s="13" t="str">
        <f>IFERROR(__xludf.DUMMYFUNCTION("""COMPUTED_VALUE"""),"SELESAI (VIA PERMOHONAN)")</f>
        <v>SELESAI (VIA PERMOHONAN)</v>
      </c>
      <c r="J3518" s="17">
        <f>IFERROR(__xludf.DUMMYFUNCTION("""COMPUTED_VALUE"""),45894.65366576389)</f>
        <v>45894.65367</v>
      </c>
      <c r="K3518" s="13" t="str">
        <f>IFERROR(__xludf.DUMMYFUNCTION("""COMPUTED_VALUE"""),"Selesai")</f>
        <v>Selesai</v>
      </c>
      <c r="L3518" s="17">
        <f>IFERROR(__xludf.DUMMYFUNCTION("""COMPUTED_VALUE"""),45894.65366576389)</f>
        <v>45894.65367</v>
      </c>
      <c r="M3518" s="13"/>
      <c r="N3518" s="13" t="str">
        <f>IFERROR(__xludf.DUMMYFUNCTION("""COMPUTED_VALUE"""),"")</f>
        <v/>
      </c>
      <c r="O3518" s="13" t="str">
        <f t="shared" si="1"/>
        <v/>
      </c>
    </row>
    <row r="3519" ht="22.5" customHeight="1">
      <c r="B3519" s="13">
        <f>IFERROR(__xludf.DUMMYFUNCTION("""COMPUTED_VALUE"""),3514.0)</f>
        <v>3514</v>
      </c>
      <c r="C3519" s="13" t="str">
        <f>IFERROR(__xludf.DUMMYFUNCTION("""COMPUTED_VALUE"""),"M.69/RAJABASA NUNYAI")</f>
        <v>M.69/RAJABASA NUNYAI</v>
      </c>
      <c r="D3519" s="13" t="str">
        <f>IFERROR(__xludf.DUMMYFUNCTION("""COMPUTED_VALUE"""),"K/5/010825/1")</f>
        <v>K/5/010825/1</v>
      </c>
      <c r="E3519" s="14" t="str">
        <f>IFERROR(__xludf.DUMMYFUNCTION("""COMPUTED_VALUE"""),"Afriza (BT)")</f>
        <v>Afriza (BT)</v>
      </c>
      <c r="F3519" s="14" t="str">
        <f>IFERROR(__xludf.DUMMYFUNCTION("""COMPUTED_VALUE"""),"SELESAI (VIA PERMOHONAN)")</f>
        <v>SELESAI (VIA PERMOHONAN)</v>
      </c>
      <c r="G3519" s="17">
        <f>IFERROR(__xludf.DUMMYFUNCTION("""COMPUTED_VALUE"""),45891.38656960648)</f>
        <v>45891.38657</v>
      </c>
      <c r="H3519" s="14" t="str">
        <f>IFERROR(__xludf.DUMMYFUNCTION("""COMPUTED_VALUE"""),"Eci (SU)")</f>
        <v>Eci (SU)</v>
      </c>
      <c r="I3519" s="13" t="str">
        <f>IFERROR(__xludf.DUMMYFUNCTION("""COMPUTED_VALUE"""),"SELESAI (VIA PERMOHONAN)")</f>
        <v>SELESAI (VIA PERMOHONAN)</v>
      </c>
      <c r="J3519" s="17">
        <f>IFERROR(__xludf.DUMMYFUNCTION("""COMPUTED_VALUE"""),45894.653827118054)</f>
        <v>45894.65383</v>
      </c>
      <c r="K3519" s="13" t="str">
        <f>IFERROR(__xludf.DUMMYFUNCTION("""COMPUTED_VALUE"""),"Selesai")</f>
        <v>Selesai</v>
      </c>
      <c r="L3519" s="17">
        <f>IFERROR(__xludf.DUMMYFUNCTION("""COMPUTED_VALUE"""),45894.653827118054)</f>
        <v>45894.65383</v>
      </c>
      <c r="M3519" s="13"/>
      <c r="N3519" s="13" t="str">
        <f>IFERROR(__xludf.DUMMYFUNCTION("""COMPUTED_VALUE"""),"")</f>
        <v/>
      </c>
      <c r="O3519" s="13" t="str">
        <f t="shared" si="1"/>
        <v/>
      </c>
    </row>
    <row r="3520" ht="22.5" customHeight="1">
      <c r="B3520" s="13">
        <f>IFERROR(__xludf.DUMMYFUNCTION("""COMPUTED_VALUE"""),3515.0)</f>
        <v>3515</v>
      </c>
      <c r="C3520" s="13" t="str">
        <f>IFERROR(__xludf.DUMMYFUNCTION("""COMPUTED_VALUE"""),"B. 1021/CAMPANG RAYA")</f>
        <v>B. 1021/CAMPANG RAYA</v>
      </c>
      <c r="D3520" s="13" t="str">
        <f>IFERROR(__xludf.DUMMYFUNCTION("""COMPUTED_VALUE"""),"L/38/080826/1")</f>
        <v>L/38/080826/1</v>
      </c>
      <c r="E3520" s="14" t="str">
        <f>IFERROR(__xludf.DUMMYFUNCTION("""COMPUTED_VALUE"""),"Afriza (BT)")</f>
        <v>Afriza (BT)</v>
      </c>
      <c r="F3520" s="14" t="str">
        <f>IFERROR(__xludf.DUMMYFUNCTION("""COMPUTED_VALUE"""),"SELESAI (VIA PERMOHONAN)")</f>
        <v>SELESAI (VIA PERMOHONAN)</v>
      </c>
      <c r="G3520" s="17">
        <f>IFERROR(__xludf.DUMMYFUNCTION("""COMPUTED_VALUE"""),45891.38671168982)</f>
        <v>45891.38671</v>
      </c>
      <c r="H3520" s="14" t="str">
        <f>IFERROR(__xludf.DUMMYFUNCTION("""COMPUTED_VALUE"""),"Eci (SU)")</f>
        <v>Eci (SU)</v>
      </c>
      <c r="I3520" s="13" t="str">
        <f>IFERROR(__xludf.DUMMYFUNCTION("""COMPUTED_VALUE"""),"SELESAI (VIA PERMOHONAN)")</f>
        <v>SELESAI (VIA PERMOHONAN)</v>
      </c>
      <c r="J3520" s="17">
        <f>IFERROR(__xludf.DUMMYFUNCTION("""COMPUTED_VALUE"""),45894.651025555555)</f>
        <v>45894.65103</v>
      </c>
      <c r="K3520" s="13" t="str">
        <f>IFERROR(__xludf.DUMMYFUNCTION("""COMPUTED_VALUE"""),"Selesai")</f>
        <v>Selesai</v>
      </c>
      <c r="L3520" s="17">
        <f>IFERROR(__xludf.DUMMYFUNCTION("""COMPUTED_VALUE"""),45894.651025555555)</f>
        <v>45894.65103</v>
      </c>
      <c r="M3520" s="13"/>
      <c r="N3520" s="13" t="str">
        <f>IFERROR(__xludf.DUMMYFUNCTION("""COMPUTED_VALUE"""),"")</f>
        <v/>
      </c>
      <c r="O3520" s="13" t="str">
        <f t="shared" si="1"/>
        <v/>
      </c>
    </row>
    <row r="3521" ht="22.5" customHeight="1">
      <c r="B3521" s="13">
        <f>IFERROR(__xludf.DUMMYFUNCTION("""COMPUTED_VALUE"""),3516.0)</f>
        <v>3516</v>
      </c>
      <c r="C3521" s="13" t="str">
        <f>IFERROR(__xludf.DUMMYFUNCTION("""COMPUTED_VALUE"""),"B. 4181/SUKABUMI")</f>
        <v>B. 4181/SUKABUMI</v>
      </c>
      <c r="D3521" s="13" t="str">
        <f>IFERROR(__xludf.DUMMYFUNCTION("""COMPUTED_VALUE"""),"L/27/120825/1")</f>
        <v>L/27/120825/1</v>
      </c>
      <c r="E3521" s="14" t="str">
        <f>IFERROR(__xludf.DUMMYFUNCTION("""COMPUTED_VALUE"""),"Afriza (BT)")</f>
        <v>Afriza (BT)</v>
      </c>
      <c r="F3521" s="14" t="str">
        <f>IFERROR(__xludf.DUMMYFUNCTION("""COMPUTED_VALUE"""),"SELESAI (VIA PERMOHONAN)")</f>
        <v>SELESAI (VIA PERMOHONAN)</v>
      </c>
      <c r="G3521" s="17">
        <f>IFERROR(__xludf.DUMMYFUNCTION("""COMPUTED_VALUE"""),45891.38680086806)</f>
        <v>45891.3868</v>
      </c>
      <c r="H3521" s="14" t="str">
        <f>IFERROR(__xludf.DUMMYFUNCTION("""COMPUTED_VALUE"""),"Eci (SU)")</f>
        <v>Eci (SU)</v>
      </c>
      <c r="I3521" s="13" t="str">
        <f>IFERROR(__xludf.DUMMYFUNCTION("""COMPUTED_VALUE"""),"SELESAI (VIA PERMOHONAN)")</f>
        <v>SELESAI (VIA PERMOHONAN)</v>
      </c>
      <c r="J3521" s="17">
        <f>IFERROR(__xludf.DUMMYFUNCTION("""COMPUTED_VALUE"""),45894.65092519676)</f>
        <v>45894.65093</v>
      </c>
      <c r="K3521" s="13" t="str">
        <f>IFERROR(__xludf.DUMMYFUNCTION("""COMPUTED_VALUE"""),"Selesai")</f>
        <v>Selesai</v>
      </c>
      <c r="L3521" s="17">
        <f>IFERROR(__xludf.DUMMYFUNCTION("""COMPUTED_VALUE"""),45894.65092519676)</f>
        <v>45894.65093</v>
      </c>
      <c r="M3521" s="13"/>
      <c r="N3521" s="13" t="str">
        <f>IFERROR(__xludf.DUMMYFUNCTION("""COMPUTED_VALUE"""),"")</f>
        <v/>
      </c>
      <c r="O3521" s="13" t="str">
        <f t="shared" si="1"/>
        <v/>
      </c>
    </row>
    <row r="3522" ht="22.5" customHeight="1">
      <c r="B3522" s="13">
        <f>IFERROR(__xludf.DUMMYFUNCTION("""COMPUTED_VALUE"""),3517.0)</f>
        <v>3517</v>
      </c>
      <c r="C3522" s="13" t="str">
        <f>IFERROR(__xludf.DUMMYFUNCTION("""COMPUTED_VALUE"""),"M. 2456/KEMILING PERMAI")</f>
        <v>M. 2456/KEMILING PERMAI</v>
      </c>
      <c r="D3522" s="13" t="str">
        <f>IFERROR(__xludf.DUMMYFUNCTION("""COMPUTED_VALUE"""),"L/19/070826/1")</f>
        <v>L/19/070826/1</v>
      </c>
      <c r="E3522" s="14" t="str">
        <f>IFERROR(__xludf.DUMMYFUNCTION("""COMPUTED_VALUE"""),"Afriza (BT)")</f>
        <v>Afriza (BT)</v>
      </c>
      <c r="F3522" s="14" t="str">
        <f>IFERROR(__xludf.DUMMYFUNCTION("""COMPUTED_VALUE"""),"SELESAI (VIA PERMOHONAN)")</f>
        <v>SELESAI (VIA PERMOHONAN)</v>
      </c>
      <c r="G3522" s="17">
        <f>IFERROR(__xludf.DUMMYFUNCTION("""COMPUTED_VALUE"""),45891.386929050925)</f>
        <v>45891.38693</v>
      </c>
      <c r="H3522" s="14" t="str">
        <f>IFERROR(__xludf.DUMMYFUNCTION("""COMPUTED_VALUE"""),"Eci (SU)")</f>
        <v>Eci (SU)</v>
      </c>
      <c r="I3522" s="13" t="str">
        <f>IFERROR(__xludf.DUMMYFUNCTION("""COMPUTED_VALUE"""),"SELESAI (VIA PERMOHONAN)")</f>
        <v>SELESAI (VIA PERMOHONAN)</v>
      </c>
      <c r="J3522" s="17">
        <f>IFERROR(__xludf.DUMMYFUNCTION("""COMPUTED_VALUE"""),45894.65404688657)</f>
        <v>45894.65405</v>
      </c>
      <c r="K3522" s="13" t="str">
        <f>IFERROR(__xludf.DUMMYFUNCTION("""COMPUTED_VALUE"""),"Selesai")</f>
        <v>Selesai</v>
      </c>
      <c r="L3522" s="17">
        <f>IFERROR(__xludf.DUMMYFUNCTION("""COMPUTED_VALUE"""),45894.65404688657)</f>
        <v>45894.65405</v>
      </c>
      <c r="M3522" s="13"/>
      <c r="N3522" s="13" t="str">
        <f>IFERROR(__xludf.DUMMYFUNCTION("""COMPUTED_VALUE"""),"")</f>
        <v/>
      </c>
      <c r="O3522" s="13" t="str">
        <f t="shared" si="1"/>
        <v/>
      </c>
    </row>
    <row r="3523" ht="22.5" customHeight="1">
      <c r="B3523" s="13">
        <f>IFERROR(__xludf.DUMMYFUNCTION("""COMPUTED_VALUE"""),3518.0)</f>
        <v>3518</v>
      </c>
      <c r="C3523" s="13" t="str">
        <f>IFERROR(__xludf.DUMMYFUNCTION("""COMPUTED_VALUE"""),"HM 11752/KEDATON")</f>
        <v>HM 11752/KEDATON</v>
      </c>
      <c r="D3523" s="13" t="str">
        <f>IFERROR(__xludf.DUMMYFUNCTION("""COMPUTED_VALUE"""),"L/2/060825/1")</f>
        <v>L/2/060825/1</v>
      </c>
      <c r="E3523" s="14" t="str">
        <f>IFERROR(__xludf.DUMMYFUNCTION("""COMPUTED_VALUE"""),"Afriza (BT)")</f>
        <v>Afriza (BT)</v>
      </c>
      <c r="F3523" s="14" t="str">
        <f>IFERROR(__xludf.DUMMYFUNCTION("""COMPUTED_VALUE"""),"SELESAI (VIA PERMOHONAN)")</f>
        <v>SELESAI (VIA PERMOHONAN)</v>
      </c>
      <c r="G3523" s="17">
        <f>IFERROR(__xludf.DUMMYFUNCTION("""COMPUTED_VALUE"""),45891.38702032407)</f>
        <v>45891.38702</v>
      </c>
      <c r="H3523" s="14" t="str">
        <f>IFERROR(__xludf.DUMMYFUNCTION("""COMPUTED_VALUE"""),"Eci (SU)")</f>
        <v>Eci (SU)</v>
      </c>
      <c r="I3523" s="13" t="str">
        <f>IFERROR(__xludf.DUMMYFUNCTION("""COMPUTED_VALUE"""),"SELESAI (VIA PERMOHONAN)")</f>
        <v>SELESAI (VIA PERMOHONAN)</v>
      </c>
      <c r="J3523" s="17">
        <f>IFERROR(__xludf.DUMMYFUNCTION("""COMPUTED_VALUE"""),45894.6508383912)</f>
        <v>45894.65084</v>
      </c>
      <c r="K3523" s="13" t="str">
        <f>IFERROR(__xludf.DUMMYFUNCTION("""COMPUTED_VALUE"""),"Selesai")</f>
        <v>Selesai</v>
      </c>
      <c r="L3523" s="17">
        <f>IFERROR(__xludf.DUMMYFUNCTION("""COMPUTED_VALUE"""),45894.6508383912)</f>
        <v>45894.65084</v>
      </c>
      <c r="M3523" s="13"/>
      <c r="N3523" s="13" t="str">
        <f>IFERROR(__xludf.DUMMYFUNCTION("""COMPUTED_VALUE"""),"")</f>
        <v/>
      </c>
      <c r="O3523" s="13" t="str">
        <f t="shared" si="1"/>
        <v/>
      </c>
    </row>
    <row r="3524" ht="22.5" customHeight="1">
      <c r="B3524" s="13">
        <f>IFERROR(__xludf.DUMMYFUNCTION("""COMPUTED_VALUE"""),3519.0)</f>
        <v>3519</v>
      </c>
      <c r="C3524" s="13" t="str">
        <f>IFERROR(__xludf.DUMMYFUNCTION("""COMPUTED_VALUE"""),"HGB 92/BAKUNG")</f>
        <v>HGB 92/BAKUNG</v>
      </c>
      <c r="D3524" s="13" t="str">
        <f>IFERROR(__xludf.DUMMYFUNCTION("""COMPUTED_VALUE"""),"L/11/060825/1")</f>
        <v>L/11/060825/1</v>
      </c>
      <c r="E3524" s="14" t="str">
        <f>IFERROR(__xludf.DUMMYFUNCTION("""COMPUTED_VALUE"""),"Afriza (BT)")</f>
        <v>Afriza (BT)</v>
      </c>
      <c r="F3524" s="14" t="str">
        <f>IFERROR(__xludf.DUMMYFUNCTION("""COMPUTED_VALUE"""),"SELESAI (VIA PERMOHONAN)")</f>
        <v>SELESAI (VIA PERMOHONAN)</v>
      </c>
      <c r="G3524" s="17">
        <f>IFERROR(__xludf.DUMMYFUNCTION("""COMPUTED_VALUE"""),45891.38711979167)</f>
        <v>45891.38712</v>
      </c>
      <c r="H3524" s="14" t="str">
        <f>IFERROR(__xludf.DUMMYFUNCTION("""COMPUTED_VALUE"""),"Eci (SU)")</f>
        <v>Eci (SU)</v>
      </c>
      <c r="I3524" s="13" t="str">
        <f>IFERROR(__xludf.DUMMYFUNCTION("""COMPUTED_VALUE"""),"SELESAI (VIA PERMOHONAN)")</f>
        <v>SELESAI (VIA PERMOHONAN)</v>
      </c>
      <c r="J3524" s="17">
        <f>IFERROR(__xludf.DUMMYFUNCTION("""COMPUTED_VALUE"""),45894.65075854167)</f>
        <v>45894.65076</v>
      </c>
      <c r="K3524" s="13" t="str">
        <f>IFERROR(__xludf.DUMMYFUNCTION("""COMPUTED_VALUE"""),"Selesai")</f>
        <v>Selesai</v>
      </c>
      <c r="L3524" s="17">
        <f>IFERROR(__xludf.DUMMYFUNCTION("""COMPUTED_VALUE"""),45894.65075854167)</f>
        <v>45894.65076</v>
      </c>
      <c r="M3524" s="13"/>
      <c r="N3524" s="13" t="str">
        <f>IFERROR(__xludf.DUMMYFUNCTION("""COMPUTED_VALUE"""),"")</f>
        <v/>
      </c>
      <c r="O3524" s="13" t="str">
        <f t="shared" si="1"/>
        <v/>
      </c>
    </row>
    <row r="3525" ht="22.5" customHeight="1">
      <c r="B3525" s="13">
        <f>IFERROR(__xludf.DUMMYFUNCTION("""COMPUTED_VALUE"""),3520.0)</f>
        <v>3520</v>
      </c>
      <c r="C3525" s="13" t="str">
        <f>IFERROR(__xludf.DUMMYFUNCTION("""COMPUTED_VALUE"""),"M. 12263/SUKABUMI")</f>
        <v>M. 12263/SUKABUMI</v>
      </c>
      <c r="D3525" s="13" t="str">
        <f>IFERROR(__xludf.DUMMYFUNCTION("""COMPUTED_VALUE"""),"L/7/080825/2")</f>
        <v>L/7/080825/2</v>
      </c>
      <c r="E3525" s="14" t="str">
        <f>IFERROR(__xludf.DUMMYFUNCTION("""COMPUTED_VALUE"""),"Afriza (BT)")</f>
        <v>Afriza (BT)</v>
      </c>
      <c r="F3525" s="14" t="str">
        <f>IFERROR(__xludf.DUMMYFUNCTION("""COMPUTED_VALUE"""),"SELESAI (VIA PERMOHONAN)")</f>
        <v>SELESAI (VIA PERMOHONAN)</v>
      </c>
      <c r="G3525" s="17">
        <f>IFERROR(__xludf.DUMMYFUNCTION("""COMPUTED_VALUE"""),45891.387273518514)</f>
        <v>45891.38727</v>
      </c>
      <c r="H3525" s="14" t="str">
        <f>IFERROR(__xludf.DUMMYFUNCTION("""COMPUTED_VALUE"""),"Eci (SU)")</f>
        <v>Eci (SU)</v>
      </c>
      <c r="I3525" s="13" t="str">
        <f>IFERROR(__xludf.DUMMYFUNCTION("""COMPUTED_VALUE"""),"SELESAI (VIA PERMOHONAN)")</f>
        <v>SELESAI (VIA PERMOHONAN)</v>
      </c>
      <c r="J3525" s="17">
        <f>IFERROR(__xludf.DUMMYFUNCTION("""COMPUTED_VALUE"""),45894.65420148148)</f>
        <v>45894.6542</v>
      </c>
      <c r="K3525" s="13" t="str">
        <f>IFERROR(__xludf.DUMMYFUNCTION("""COMPUTED_VALUE"""),"Selesai")</f>
        <v>Selesai</v>
      </c>
      <c r="L3525" s="17">
        <f>IFERROR(__xludf.DUMMYFUNCTION("""COMPUTED_VALUE"""),45894.65420148148)</f>
        <v>45894.6542</v>
      </c>
      <c r="M3525" s="13"/>
      <c r="N3525" s="13" t="str">
        <f>IFERROR(__xludf.DUMMYFUNCTION("""COMPUTED_VALUE"""),"")</f>
        <v/>
      </c>
      <c r="O3525" s="13" t="str">
        <f t="shared" si="1"/>
        <v/>
      </c>
    </row>
    <row r="3526" ht="22.5" customHeight="1">
      <c r="B3526" s="13">
        <f>IFERROR(__xludf.DUMMYFUNCTION("""COMPUTED_VALUE"""),3521.0)</f>
        <v>3521</v>
      </c>
      <c r="C3526" s="13" t="str">
        <f>IFERROR(__xludf.DUMMYFUNCTION("""COMPUTED_VALUE"""),"M. 13571/SUKABUMI")</f>
        <v>M. 13571/SUKABUMI</v>
      </c>
      <c r="D3526" s="13" t="str">
        <f>IFERROR(__xludf.DUMMYFUNCTION("""COMPUTED_VALUE"""),"L/3/070825/1")</f>
        <v>L/3/070825/1</v>
      </c>
      <c r="E3526" s="14" t="str">
        <f>IFERROR(__xludf.DUMMYFUNCTION("""COMPUTED_VALUE"""),"Afriza (BT)")</f>
        <v>Afriza (BT)</v>
      </c>
      <c r="F3526" s="14" t="str">
        <f>IFERROR(__xludf.DUMMYFUNCTION("""COMPUTED_VALUE"""),"SELESAI (VIA PERMOHONAN)")</f>
        <v>SELESAI (VIA PERMOHONAN)</v>
      </c>
      <c r="G3526" s="17">
        <f>IFERROR(__xludf.DUMMYFUNCTION("""COMPUTED_VALUE"""),45891.38736483797)</f>
        <v>45891.38736</v>
      </c>
      <c r="H3526" s="14" t="str">
        <f>IFERROR(__xludf.DUMMYFUNCTION("""COMPUTED_VALUE"""),"Eci (SU)")</f>
        <v>Eci (SU)</v>
      </c>
      <c r="I3526" s="13" t="str">
        <f>IFERROR(__xludf.DUMMYFUNCTION("""COMPUTED_VALUE"""),"SELESAI (VIA PERMOHONAN)")</f>
        <v>SELESAI (VIA PERMOHONAN)</v>
      </c>
      <c r="J3526" s="17">
        <f>IFERROR(__xludf.DUMMYFUNCTION("""COMPUTED_VALUE"""),45894.65140178241)</f>
        <v>45894.6514</v>
      </c>
      <c r="K3526" s="13" t="str">
        <f>IFERROR(__xludf.DUMMYFUNCTION("""COMPUTED_VALUE"""),"Selesai")</f>
        <v>Selesai</v>
      </c>
      <c r="L3526" s="17">
        <f>IFERROR(__xludf.DUMMYFUNCTION("""COMPUTED_VALUE"""),45894.65140178241)</f>
        <v>45894.6514</v>
      </c>
      <c r="M3526" s="13"/>
      <c r="N3526" s="13" t="str">
        <f>IFERROR(__xludf.DUMMYFUNCTION("""COMPUTED_VALUE"""),"")</f>
        <v/>
      </c>
      <c r="O3526" s="13" t="str">
        <f t="shared" si="1"/>
        <v/>
      </c>
    </row>
    <row r="3527" ht="22.5" customHeight="1">
      <c r="B3527" s="13">
        <f>IFERROR(__xludf.DUMMYFUNCTION("""COMPUTED_VALUE"""),3522.0)</f>
        <v>3522</v>
      </c>
      <c r="C3527" s="13" t="str">
        <f>IFERROR(__xludf.DUMMYFUNCTION("""COMPUTED_VALUE"""),"M. 1174/SUKABUMI INDAH")</f>
        <v>M. 1174/SUKABUMI INDAH</v>
      </c>
      <c r="D3527" s="13" t="str">
        <f>IFERROR(__xludf.DUMMYFUNCTION("""COMPUTED_VALUE"""),"L/6/070825/1")</f>
        <v>L/6/070825/1</v>
      </c>
      <c r="E3527" s="14" t="str">
        <f>IFERROR(__xludf.DUMMYFUNCTION("""COMPUTED_VALUE"""),"Afriza (BT)")</f>
        <v>Afriza (BT)</v>
      </c>
      <c r="F3527" s="14" t="str">
        <f>IFERROR(__xludf.DUMMYFUNCTION("""COMPUTED_VALUE"""),"SELESAI (VIA PERMOHONAN)")</f>
        <v>SELESAI (VIA PERMOHONAN)</v>
      </c>
      <c r="G3527" s="17">
        <f>IFERROR(__xludf.DUMMYFUNCTION("""COMPUTED_VALUE"""),45891.387624236115)</f>
        <v>45891.38762</v>
      </c>
      <c r="H3527" s="14" t="str">
        <f>IFERROR(__xludf.DUMMYFUNCTION("""COMPUTED_VALUE"""),"Eci (SU)")</f>
        <v>Eci (SU)</v>
      </c>
      <c r="I3527" s="13" t="str">
        <f>IFERROR(__xludf.DUMMYFUNCTION("""COMPUTED_VALUE"""),"SELESAI (VIA PERMOHONAN)")</f>
        <v>SELESAI (VIA PERMOHONAN)</v>
      </c>
      <c r="J3527" s="17">
        <f>IFERROR(__xludf.DUMMYFUNCTION("""COMPUTED_VALUE"""),45894.65263700232)</f>
        <v>45894.65264</v>
      </c>
      <c r="K3527" s="13" t="str">
        <f>IFERROR(__xludf.DUMMYFUNCTION("""COMPUTED_VALUE"""),"Selesai")</f>
        <v>Selesai</v>
      </c>
      <c r="L3527" s="17">
        <f>IFERROR(__xludf.DUMMYFUNCTION("""COMPUTED_VALUE"""),45894.65263700232)</f>
        <v>45894.65264</v>
      </c>
      <c r="M3527" s="13"/>
      <c r="N3527" s="13" t="str">
        <f>IFERROR(__xludf.DUMMYFUNCTION("""COMPUTED_VALUE"""),"")</f>
        <v/>
      </c>
      <c r="O3527" s="13" t="str">
        <f t="shared" si="1"/>
        <v/>
      </c>
    </row>
    <row r="3528" ht="22.5" customHeight="1">
      <c r="B3528" s="13">
        <f>IFERROR(__xludf.DUMMYFUNCTION("""COMPUTED_VALUE"""),3523.0)</f>
        <v>3523</v>
      </c>
      <c r="C3528" s="13" t="str">
        <f>IFERROR(__xludf.DUMMYFUNCTION("""COMPUTED_VALUE"""),"M. 9084/SUKAMENANTI")</f>
        <v>M. 9084/SUKAMENANTI</v>
      </c>
      <c r="D3528" s="13" t="str">
        <f>IFERROR(__xludf.DUMMYFUNCTION("""COMPUTED_VALUE"""),"K/7/070825/1")</f>
        <v>K/7/070825/1</v>
      </c>
      <c r="E3528" s="14" t="str">
        <f>IFERROR(__xludf.DUMMYFUNCTION("""COMPUTED_VALUE"""),"Heri (BT)")</f>
        <v>Heri (BT)</v>
      </c>
      <c r="F3528" s="14" t="str">
        <f>IFERROR(__xludf.DUMMYFUNCTION("""COMPUTED_VALUE"""),"SELESAI (VIA PERMOHONAN)")</f>
        <v>SELESAI (VIA PERMOHONAN)</v>
      </c>
      <c r="G3528" s="17">
        <f>IFERROR(__xludf.DUMMYFUNCTION("""COMPUTED_VALUE"""),45891.46568721065)</f>
        <v>45891.46569</v>
      </c>
      <c r="H3528" s="14" t="str">
        <f>IFERROR(__xludf.DUMMYFUNCTION("""COMPUTED_VALUE"""),"Eci (SU)")</f>
        <v>Eci (SU)</v>
      </c>
      <c r="I3528" s="13" t="str">
        <f>IFERROR(__xludf.DUMMYFUNCTION("""COMPUTED_VALUE"""),"SELESAI (VIA PERMOHONAN)")</f>
        <v>SELESAI (VIA PERMOHONAN)</v>
      </c>
      <c r="J3528" s="17">
        <f>IFERROR(__xludf.DUMMYFUNCTION("""COMPUTED_VALUE"""),45894.65447202546)</f>
        <v>45894.65447</v>
      </c>
      <c r="K3528" s="13" t="str">
        <f>IFERROR(__xludf.DUMMYFUNCTION("""COMPUTED_VALUE"""),"Selesai")</f>
        <v>Selesai</v>
      </c>
      <c r="L3528" s="17">
        <f>IFERROR(__xludf.DUMMYFUNCTION("""COMPUTED_VALUE"""),45894.65447202546)</f>
        <v>45894.65447</v>
      </c>
      <c r="M3528" s="13"/>
      <c r="N3528" s="13" t="str">
        <f>IFERROR(__xludf.DUMMYFUNCTION("""COMPUTED_VALUE"""),"")</f>
        <v/>
      </c>
      <c r="O3528" s="13" t="str">
        <f t="shared" si="1"/>
        <v/>
      </c>
    </row>
    <row r="3529" ht="22.5" customHeight="1">
      <c r="B3529" s="13">
        <f>IFERROR(__xludf.DUMMYFUNCTION("""COMPUTED_VALUE"""),3524.0)</f>
        <v>3524</v>
      </c>
      <c r="C3529" s="13" t="str">
        <f>IFERROR(__xludf.DUMMYFUNCTION("""COMPUTED_VALUE"""),"M. 929/Tanjung Senang")</f>
        <v>M. 929/Tanjung Senang</v>
      </c>
      <c r="D3529" s="13" t="str">
        <f>IFERROR(__xludf.DUMMYFUNCTION("""COMPUTED_VALUE"""),"K/7/120825/1")</f>
        <v>K/7/120825/1</v>
      </c>
      <c r="E3529" s="14" t="str">
        <f>IFERROR(__xludf.DUMMYFUNCTION("""COMPUTED_VALUE"""),"Heri (BT)")</f>
        <v>Heri (BT)</v>
      </c>
      <c r="F3529" s="14" t="str">
        <f>IFERROR(__xludf.DUMMYFUNCTION("""COMPUTED_VALUE"""),"SELESAI (VIA PERMOHONAN)")</f>
        <v>SELESAI (VIA PERMOHONAN)</v>
      </c>
      <c r="G3529" s="17">
        <f>IFERROR(__xludf.DUMMYFUNCTION("""COMPUTED_VALUE"""),45891.46602886574)</f>
        <v>45891.46603</v>
      </c>
      <c r="H3529" s="14" t="str">
        <f>IFERROR(__xludf.DUMMYFUNCTION("""COMPUTED_VALUE"""),"Eci (SU)")</f>
        <v>Eci (SU)</v>
      </c>
      <c r="I3529" s="13" t="str">
        <f>IFERROR(__xludf.DUMMYFUNCTION("""COMPUTED_VALUE"""),"SELESAI (VIA PERMOHONAN)")</f>
        <v>SELESAI (VIA PERMOHONAN)</v>
      </c>
      <c r="J3529" s="17">
        <f>IFERROR(__xludf.DUMMYFUNCTION("""COMPUTED_VALUE"""),45894.654572060186)</f>
        <v>45894.65457</v>
      </c>
      <c r="K3529" s="13" t="str">
        <f>IFERROR(__xludf.DUMMYFUNCTION("""COMPUTED_VALUE"""),"Selesai")</f>
        <v>Selesai</v>
      </c>
      <c r="L3529" s="17">
        <f>IFERROR(__xludf.DUMMYFUNCTION("""COMPUTED_VALUE"""),45894.654572060186)</f>
        <v>45894.65457</v>
      </c>
      <c r="M3529" s="13"/>
      <c r="N3529" s="13" t="str">
        <f>IFERROR(__xludf.DUMMYFUNCTION("""COMPUTED_VALUE"""),"")</f>
        <v/>
      </c>
      <c r="O3529" s="13" t="str">
        <f t="shared" si="1"/>
        <v/>
      </c>
    </row>
    <row r="3530" ht="22.5" customHeight="1">
      <c r="B3530" s="13">
        <f>IFERROR(__xludf.DUMMYFUNCTION("""COMPUTED_VALUE"""),3525.0)</f>
        <v>3525</v>
      </c>
      <c r="C3530" s="13" t="str">
        <f>IFERROR(__xludf.DUMMYFUNCTION("""COMPUTED_VALUE"""),"M. 1438/Kota Baru")</f>
        <v>M. 1438/Kota Baru</v>
      </c>
      <c r="D3530" s="13" t="str">
        <f>IFERROR(__xludf.DUMMYFUNCTION("""COMPUTED_VALUE"""),"K/12/120825/1")</f>
        <v>K/12/120825/1</v>
      </c>
      <c r="E3530" s="14" t="str">
        <f>IFERROR(__xludf.DUMMYFUNCTION("""COMPUTED_VALUE"""),"Heri (BT)")</f>
        <v>Heri (BT)</v>
      </c>
      <c r="F3530" s="14" t="str">
        <f>IFERROR(__xludf.DUMMYFUNCTION("""COMPUTED_VALUE"""),"SELESAI (VIA PERMOHONAN)")</f>
        <v>SELESAI (VIA PERMOHONAN)</v>
      </c>
      <c r="G3530" s="17">
        <f>IFERROR(__xludf.DUMMYFUNCTION("""COMPUTED_VALUE"""),45891.46614107639)</f>
        <v>45891.46614</v>
      </c>
      <c r="H3530" s="14" t="str">
        <f>IFERROR(__xludf.DUMMYFUNCTION("""COMPUTED_VALUE"""),"Eci (SU)")</f>
        <v>Eci (SU)</v>
      </c>
      <c r="I3530" s="13" t="str">
        <f>IFERROR(__xludf.DUMMYFUNCTION("""COMPUTED_VALUE"""),"SELESAI (VIA PERMOHONAN)")</f>
        <v>SELESAI (VIA PERMOHONAN)</v>
      </c>
      <c r="J3530" s="17">
        <f>IFERROR(__xludf.DUMMYFUNCTION("""COMPUTED_VALUE"""),45891.606682881946)</f>
        <v>45891.60668</v>
      </c>
      <c r="K3530" s="13" t="str">
        <f>IFERROR(__xludf.DUMMYFUNCTION("""COMPUTED_VALUE"""),"Selesai")</f>
        <v>Selesai</v>
      </c>
      <c r="L3530" s="17">
        <f>IFERROR(__xludf.DUMMYFUNCTION("""COMPUTED_VALUE"""),45891.606682881946)</f>
        <v>45891.60668</v>
      </c>
      <c r="M3530" s="13"/>
      <c r="N3530" s="13" t="str">
        <f>IFERROR(__xludf.DUMMYFUNCTION("""COMPUTED_VALUE"""),"")</f>
        <v/>
      </c>
      <c r="O3530" s="13" t="str">
        <f t="shared" si="1"/>
        <v/>
      </c>
    </row>
    <row r="3531" ht="22.5" customHeight="1">
      <c r="B3531" s="13">
        <f>IFERROR(__xludf.DUMMYFUNCTION("""COMPUTED_VALUE"""),3526.0)</f>
        <v>3526</v>
      </c>
      <c r="C3531" s="13" t="str">
        <f>IFERROR(__xludf.DUMMYFUNCTION("""COMPUTED_VALUE"""),"B. 5641/ Beringin Raya")</f>
        <v>B. 5641/ Beringin Raya</v>
      </c>
      <c r="D3531" s="13" t="str">
        <f>IFERROR(__xludf.DUMMYFUNCTION("""COMPUTED_VALUE"""),"K/31/180625/1")</f>
        <v>K/31/180625/1</v>
      </c>
      <c r="E3531" s="14" t="str">
        <f>IFERROR(__xludf.DUMMYFUNCTION("""COMPUTED_VALUE"""),"Heri (BT)")</f>
        <v>Heri (BT)</v>
      </c>
      <c r="F3531" s="14" t="str">
        <f>IFERROR(__xludf.DUMMYFUNCTION("""COMPUTED_VALUE"""),"SELESAI (VIA PERMOHONAN)")</f>
        <v>SELESAI (VIA PERMOHONAN)</v>
      </c>
      <c r="G3531" s="17">
        <f>IFERROR(__xludf.DUMMYFUNCTION("""COMPUTED_VALUE"""),45891.46631408564)</f>
        <v>45891.46631</v>
      </c>
      <c r="H3531" s="14" t="str">
        <f>IFERROR(__xludf.DUMMYFUNCTION("""COMPUTED_VALUE"""),"Eci (SU)")</f>
        <v>Eci (SU)</v>
      </c>
      <c r="I3531" s="13" t="str">
        <f>IFERROR(__xludf.DUMMYFUNCTION("""COMPUTED_VALUE"""),"SELESAI (VIA PERMOHONAN)")</f>
        <v>SELESAI (VIA PERMOHONAN)</v>
      </c>
      <c r="J3531" s="17">
        <f>IFERROR(__xludf.DUMMYFUNCTION("""COMPUTED_VALUE"""),45895.663143495374)</f>
        <v>45895.66314</v>
      </c>
      <c r="K3531" s="13" t="str">
        <f>IFERROR(__xludf.DUMMYFUNCTION("""COMPUTED_VALUE"""),"Selesai")</f>
        <v>Selesai</v>
      </c>
      <c r="L3531" s="17">
        <f>IFERROR(__xludf.DUMMYFUNCTION("""COMPUTED_VALUE"""),45895.663143495374)</f>
        <v>45895.66314</v>
      </c>
      <c r="M3531" s="13"/>
      <c r="N3531" s="13" t="str">
        <f>IFERROR(__xludf.DUMMYFUNCTION("""COMPUTED_VALUE"""),"")</f>
        <v/>
      </c>
      <c r="O3531" s="13" t="str">
        <f t="shared" si="1"/>
        <v/>
      </c>
    </row>
    <row r="3532" ht="22.5" customHeight="1">
      <c r="B3532" s="13">
        <f>IFERROR(__xludf.DUMMYFUNCTION("""COMPUTED_VALUE"""),3527.0)</f>
        <v>3527</v>
      </c>
      <c r="C3532" s="13" t="str">
        <f>IFERROR(__xludf.DUMMYFUNCTION("""COMPUTED_VALUE"""),"M. 996/ Panjang Utara")</f>
        <v>M. 996/ Panjang Utara</v>
      </c>
      <c r="D3532" s="13" t="str">
        <f>IFERROR(__xludf.DUMMYFUNCTION("""COMPUTED_VALUE"""),"K/29/160725/2")</f>
        <v>K/29/160725/2</v>
      </c>
      <c r="E3532" s="14" t="str">
        <f>IFERROR(__xludf.DUMMYFUNCTION("""COMPUTED_VALUE"""),"Heri (BT)")</f>
        <v>Heri (BT)</v>
      </c>
      <c r="F3532" s="14" t="str">
        <f>IFERROR(__xludf.DUMMYFUNCTION("""COMPUTED_VALUE"""),"SELESAI (VIA PERMOHONAN)")</f>
        <v>SELESAI (VIA PERMOHONAN)</v>
      </c>
      <c r="G3532" s="17">
        <f>IFERROR(__xludf.DUMMYFUNCTION("""COMPUTED_VALUE"""),45891.466417881944)</f>
        <v>45891.46642</v>
      </c>
      <c r="H3532" s="14" t="str">
        <f>IFERROR(__xludf.DUMMYFUNCTION("""COMPUTED_VALUE"""),"Eci (SU)")</f>
        <v>Eci (SU)</v>
      </c>
      <c r="I3532" s="13" t="str">
        <f>IFERROR(__xludf.DUMMYFUNCTION("""COMPUTED_VALUE"""),"SELESAI (VIA PERMOHONAN)")</f>
        <v>SELESAI (VIA PERMOHONAN)</v>
      </c>
      <c r="J3532" s="17">
        <f>IFERROR(__xludf.DUMMYFUNCTION("""COMPUTED_VALUE"""),45894.65472233796)</f>
        <v>45894.65472</v>
      </c>
      <c r="K3532" s="13" t="str">
        <f>IFERROR(__xludf.DUMMYFUNCTION("""COMPUTED_VALUE"""),"Selesai")</f>
        <v>Selesai</v>
      </c>
      <c r="L3532" s="17">
        <f>IFERROR(__xludf.DUMMYFUNCTION("""COMPUTED_VALUE"""),45894.65472233796)</f>
        <v>45894.65472</v>
      </c>
      <c r="M3532" s="13"/>
      <c r="N3532" s="13" t="str">
        <f>IFERROR(__xludf.DUMMYFUNCTION("""COMPUTED_VALUE"""),"")</f>
        <v/>
      </c>
      <c r="O3532" s="13" t="str">
        <f t="shared" si="1"/>
        <v/>
      </c>
    </row>
    <row r="3533" ht="22.5" customHeight="1">
      <c r="B3533" s="13">
        <f>IFERROR(__xludf.DUMMYFUNCTION("""COMPUTED_VALUE"""),3528.0)</f>
        <v>3528</v>
      </c>
      <c r="C3533" s="13" t="str">
        <f>IFERROR(__xludf.DUMMYFUNCTION("""COMPUTED_VALUE"""),"M. 1369/Gedong Air")</f>
        <v>M. 1369/Gedong Air</v>
      </c>
      <c r="D3533" s="13" t="str">
        <f>IFERROR(__xludf.DUMMYFUNCTION("""COMPUTED_VALUE"""),"K/4/130825/1")</f>
        <v>K/4/130825/1</v>
      </c>
      <c r="E3533" s="14" t="str">
        <f>IFERROR(__xludf.DUMMYFUNCTION("""COMPUTED_VALUE"""),"Heri (BT)")</f>
        <v>Heri (BT)</v>
      </c>
      <c r="F3533" s="14" t="str">
        <f>IFERROR(__xludf.DUMMYFUNCTION("""COMPUTED_VALUE"""),"SELESAI (VIA PERMOHONAN)")</f>
        <v>SELESAI (VIA PERMOHONAN)</v>
      </c>
      <c r="G3533" s="17">
        <f>IFERROR(__xludf.DUMMYFUNCTION("""COMPUTED_VALUE"""),45891.46659116898)</f>
        <v>45891.46659</v>
      </c>
      <c r="H3533" s="14" t="str">
        <f>IFERROR(__xludf.DUMMYFUNCTION("""COMPUTED_VALUE"""),"Eci (SU)")</f>
        <v>Eci (SU)</v>
      </c>
      <c r="I3533" s="13" t="str">
        <f>IFERROR(__xludf.DUMMYFUNCTION("""COMPUTED_VALUE"""),"SELESAI (VIA PERMOHONAN)")</f>
        <v>SELESAI (VIA PERMOHONAN)</v>
      </c>
      <c r="J3533" s="17">
        <f>IFERROR(__xludf.DUMMYFUNCTION("""COMPUTED_VALUE"""),45894.65487753472)</f>
        <v>45894.65488</v>
      </c>
      <c r="K3533" s="13" t="str">
        <f>IFERROR(__xludf.DUMMYFUNCTION("""COMPUTED_VALUE"""),"Selesai")</f>
        <v>Selesai</v>
      </c>
      <c r="L3533" s="17">
        <f>IFERROR(__xludf.DUMMYFUNCTION("""COMPUTED_VALUE"""),45894.65487753472)</f>
        <v>45894.65488</v>
      </c>
      <c r="M3533" s="13"/>
      <c r="N3533" s="13" t="str">
        <f>IFERROR(__xludf.DUMMYFUNCTION("""COMPUTED_VALUE"""),"")</f>
        <v/>
      </c>
      <c r="O3533" s="13" t="str">
        <f t="shared" si="1"/>
        <v/>
      </c>
    </row>
    <row r="3534" ht="22.5" customHeight="1">
      <c r="B3534" s="13">
        <f>IFERROR(__xludf.DUMMYFUNCTION("""COMPUTED_VALUE"""),3529.0)</f>
        <v>3529</v>
      </c>
      <c r="C3534" s="13" t="str">
        <f>IFERROR(__xludf.DUMMYFUNCTION("""COMPUTED_VALUE"""),"M. 1434/ Kemiling Permai")</f>
        <v>M. 1434/ Kemiling Permai</v>
      </c>
      <c r="D3534" s="13" t="str">
        <f>IFERROR(__xludf.DUMMYFUNCTION("""COMPUTED_VALUE"""),"K/19/280725/2")</f>
        <v>K/19/280725/2</v>
      </c>
      <c r="E3534" s="14" t="str">
        <f>IFERROR(__xludf.DUMMYFUNCTION("""COMPUTED_VALUE"""),"Heri (BT)")</f>
        <v>Heri (BT)</v>
      </c>
      <c r="F3534" s="14" t="str">
        <f>IFERROR(__xludf.DUMMYFUNCTION("""COMPUTED_VALUE"""),"SELESAI (VIA PERMOHONAN)")</f>
        <v>SELESAI (VIA PERMOHONAN)</v>
      </c>
      <c r="G3534" s="17">
        <f>IFERROR(__xludf.DUMMYFUNCTION("""COMPUTED_VALUE"""),45891.46671961805)</f>
        <v>45891.46672</v>
      </c>
      <c r="H3534" s="14" t="str">
        <f>IFERROR(__xludf.DUMMYFUNCTION("""COMPUTED_VALUE"""),"Eci (SU)")</f>
        <v>Eci (SU)</v>
      </c>
      <c r="I3534" s="13" t="str">
        <f>IFERROR(__xludf.DUMMYFUNCTION("""COMPUTED_VALUE"""),"SELESAI (VIA PERMOHONAN)")</f>
        <v>SELESAI (VIA PERMOHONAN)</v>
      </c>
      <c r="J3534" s="17">
        <f>IFERROR(__xludf.DUMMYFUNCTION("""COMPUTED_VALUE"""),45891.60669869213)</f>
        <v>45891.6067</v>
      </c>
      <c r="K3534" s="13" t="str">
        <f>IFERROR(__xludf.DUMMYFUNCTION("""COMPUTED_VALUE"""),"Selesai")</f>
        <v>Selesai</v>
      </c>
      <c r="L3534" s="17">
        <f>IFERROR(__xludf.DUMMYFUNCTION("""COMPUTED_VALUE"""),45891.60669869213)</f>
        <v>45891.6067</v>
      </c>
      <c r="M3534" s="13"/>
      <c r="N3534" s="13" t="str">
        <f>IFERROR(__xludf.DUMMYFUNCTION("""COMPUTED_VALUE"""),"")</f>
        <v/>
      </c>
      <c r="O3534" s="13" t="str">
        <f t="shared" si="1"/>
        <v/>
      </c>
    </row>
    <row r="3535" ht="22.5" customHeight="1">
      <c r="B3535" s="13">
        <f>IFERROR(__xludf.DUMMYFUNCTION("""COMPUTED_VALUE"""),3530.0)</f>
        <v>3530</v>
      </c>
      <c r="C3535" s="13" t="str">
        <f>IFERROR(__xludf.DUMMYFUNCTION("""COMPUTED_VALUE"""),"M. 840/Sumur Putri")</f>
        <v>M. 840/Sumur Putri</v>
      </c>
      <c r="D3535" s="13" t="str">
        <f>IFERROR(__xludf.DUMMYFUNCTION("""COMPUTED_VALUE"""),"K/12/140825/1")</f>
        <v>K/12/140825/1</v>
      </c>
      <c r="E3535" s="14" t="str">
        <f>IFERROR(__xludf.DUMMYFUNCTION("""COMPUTED_VALUE"""),"Heri (BT)")</f>
        <v>Heri (BT)</v>
      </c>
      <c r="F3535" s="14" t="str">
        <f>IFERROR(__xludf.DUMMYFUNCTION("""COMPUTED_VALUE"""),"SELESAI (VIA PERMOHONAN)")</f>
        <v>SELESAI (VIA PERMOHONAN)</v>
      </c>
      <c r="G3535" s="17">
        <f>IFERROR(__xludf.DUMMYFUNCTION("""COMPUTED_VALUE"""),45891.4668775)</f>
        <v>45891.46688</v>
      </c>
      <c r="H3535" s="14" t="str">
        <f>IFERROR(__xludf.DUMMYFUNCTION("""COMPUTED_VALUE"""),"Eci (SU)")</f>
        <v>Eci (SU)</v>
      </c>
      <c r="I3535" s="13" t="str">
        <f>IFERROR(__xludf.DUMMYFUNCTION("""COMPUTED_VALUE"""),"SELESAI (VIA PERMOHONAN)")</f>
        <v>SELESAI (VIA PERMOHONAN)</v>
      </c>
      <c r="J3535" s="17">
        <f>IFERROR(__xludf.DUMMYFUNCTION("""COMPUTED_VALUE"""),45891.60065416667)</f>
        <v>45891.60065</v>
      </c>
      <c r="K3535" s="13" t="str">
        <f>IFERROR(__xludf.DUMMYFUNCTION("""COMPUTED_VALUE"""),"Selesai")</f>
        <v>Selesai</v>
      </c>
      <c r="L3535" s="17">
        <f>IFERROR(__xludf.DUMMYFUNCTION("""COMPUTED_VALUE"""),45891.60065416667)</f>
        <v>45891.60065</v>
      </c>
      <c r="M3535" s="13"/>
      <c r="N3535" s="13" t="str">
        <f>IFERROR(__xludf.DUMMYFUNCTION("""COMPUTED_VALUE"""),"")</f>
        <v/>
      </c>
      <c r="O3535" s="13" t="str">
        <f t="shared" si="1"/>
        <v/>
      </c>
    </row>
    <row r="3536" ht="22.5" customHeight="1">
      <c r="B3536" s="13">
        <f>IFERROR(__xludf.DUMMYFUNCTION("""COMPUTED_VALUE"""),3531.0)</f>
        <v>3531</v>
      </c>
      <c r="C3536" s="13" t="str">
        <f>IFERROR(__xludf.DUMMYFUNCTION("""COMPUTED_VALUE"""),"M. 854/SUMBER REJO")</f>
        <v>M. 854/SUMBER REJO</v>
      </c>
      <c r="D3536" s="13" t="str">
        <f>IFERROR(__xludf.DUMMYFUNCTION("""COMPUTED_VALUE"""),"K/31/290725/1")</f>
        <v>K/31/290725/1</v>
      </c>
      <c r="E3536" s="14" t="str">
        <f>IFERROR(__xludf.DUMMYFUNCTION("""COMPUTED_VALUE"""),"Heri (BT)")</f>
        <v>Heri (BT)</v>
      </c>
      <c r="F3536" s="14" t="str">
        <f>IFERROR(__xludf.DUMMYFUNCTION("""COMPUTED_VALUE"""),"SELESAI (VIA PERMOHONAN)")</f>
        <v>SELESAI (VIA PERMOHONAN)</v>
      </c>
      <c r="G3536" s="17">
        <f>IFERROR(__xludf.DUMMYFUNCTION("""COMPUTED_VALUE"""),45891.467029363426)</f>
        <v>45891.46703</v>
      </c>
      <c r="H3536" s="14" t="str">
        <f>IFERROR(__xludf.DUMMYFUNCTION("""COMPUTED_VALUE"""),"Eci (SU)")</f>
        <v>Eci (SU)</v>
      </c>
      <c r="I3536" s="13" t="str">
        <f>IFERROR(__xludf.DUMMYFUNCTION("""COMPUTED_VALUE"""),"SELESAI (VIA PERMOHONAN)")</f>
        <v>SELESAI (VIA PERMOHONAN)</v>
      </c>
      <c r="J3536" s="17">
        <f>IFERROR(__xludf.DUMMYFUNCTION("""COMPUTED_VALUE"""),45894.65502185185)</f>
        <v>45894.65502</v>
      </c>
      <c r="K3536" s="13" t="str">
        <f>IFERROR(__xludf.DUMMYFUNCTION("""COMPUTED_VALUE"""),"Selesai")</f>
        <v>Selesai</v>
      </c>
      <c r="L3536" s="17">
        <f>IFERROR(__xludf.DUMMYFUNCTION("""COMPUTED_VALUE"""),45894.65502185185)</f>
        <v>45894.65502</v>
      </c>
      <c r="M3536" s="13"/>
      <c r="N3536" s="13" t="str">
        <f>IFERROR(__xludf.DUMMYFUNCTION("""COMPUTED_VALUE"""),"")</f>
        <v/>
      </c>
      <c r="O3536" s="13" t="str">
        <f t="shared" si="1"/>
        <v/>
      </c>
    </row>
    <row r="3537" ht="22.5" customHeight="1">
      <c r="B3537" s="13">
        <f>IFERROR(__xludf.DUMMYFUNCTION("""COMPUTED_VALUE"""),3532.0)</f>
        <v>3532</v>
      </c>
      <c r="C3537" s="13" t="str">
        <f>IFERROR(__xludf.DUMMYFUNCTION("""COMPUTED_VALUE"""),"B. 2221/SUKABUMI")</f>
        <v>B. 2221/SUKABUMI</v>
      </c>
      <c r="D3537" s="13" t="str">
        <f>IFERROR(__xludf.DUMMYFUNCTION("""COMPUTED_VALUE"""),"L/31/140826/1")</f>
        <v>L/31/140826/1</v>
      </c>
      <c r="E3537" s="14" t="str">
        <f>IFERROR(__xludf.DUMMYFUNCTION("""COMPUTED_VALUE"""),"Heri (BT)")</f>
        <v>Heri (BT)</v>
      </c>
      <c r="F3537" s="14" t="str">
        <f>IFERROR(__xludf.DUMMYFUNCTION("""COMPUTED_VALUE"""),"SELESAI (VIA PERMOHONAN)")</f>
        <v>SELESAI (VIA PERMOHONAN)</v>
      </c>
      <c r="G3537" s="17">
        <f>IFERROR(__xludf.DUMMYFUNCTION("""COMPUTED_VALUE"""),45891.46717164352)</f>
        <v>45891.46717</v>
      </c>
      <c r="H3537" s="14" t="str">
        <f>IFERROR(__xludf.DUMMYFUNCTION("""COMPUTED_VALUE"""),"Eci (SU)")</f>
        <v>Eci (SU)</v>
      </c>
      <c r="I3537" s="13" t="str">
        <f>IFERROR(__xludf.DUMMYFUNCTION("""COMPUTED_VALUE"""),"SELESAI (VIA PERMOHONAN)")</f>
        <v>SELESAI (VIA PERMOHONAN)</v>
      </c>
      <c r="J3537" s="17">
        <f>IFERROR(__xludf.DUMMYFUNCTION("""COMPUTED_VALUE"""),45894.65513576389)</f>
        <v>45894.65514</v>
      </c>
      <c r="K3537" s="13" t="str">
        <f>IFERROR(__xludf.DUMMYFUNCTION("""COMPUTED_VALUE"""),"Selesai")</f>
        <v>Selesai</v>
      </c>
      <c r="L3537" s="17">
        <f>IFERROR(__xludf.DUMMYFUNCTION("""COMPUTED_VALUE"""),45894.65513576389)</f>
        <v>45894.65514</v>
      </c>
      <c r="M3537" s="13"/>
      <c r="N3537" s="13" t="str">
        <f>IFERROR(__xludf.DUMMYFUNCTION("""COMPUTED_VALUE"""),"")</f>
        <v/>
      </c>
      <c r="O3537" s="13" t="str">
        <f t="shared" si="1"/>
        <v/>
      </c>
    </row>
    <row r="3538" ht="22.5" customHeight="1">
      <c r="B3538" s="13">
        <f>IFERROR(__xludf.DUMMYFUNCTION("""COMPUTED_VALUE"""),3533.0)</f>
        <v>3533</v>
      </c>
      <c r="C3538" s="13" t="str">
        <f>IFERROR(__xludf.DUMMYFUNCTION("""COMPUTED_VALUE"""),"B. 164/CAMPANG RAYA")</f>
        <v>B. 164/CAMPANG RAYA</v>
      </c>
      <c r="D3538" s="13" t="str">
        <f>IFERROR(__xludf.DUMMYFUNCTION("""COMPUTED_VALUE"""),"L/15/130826/1")</f>
        <v>L/15/130826/1</v>
      </c>
      <c r="E3538" s="14" t="str">
        <f>IFERROR(__xludf.DUMMYFUNCTION("""COMPUTED_VALUE"""),"Heri (BT)")</f>
        <v>Heri (BT)</v>
      </c>
      <c r="F3538" s="14" t="str">
        <f>IFERROR(__xludf.DUMMYFUNCTION("""COMPUTED_VALUE"""),"SELESAI (VIA PERMOHONAN)")</f>
        <v>SELESAI (VIA PERMOHONAN)</v>
      </c>
      <c r="G3538" s="17">
        <f>IFERROR(__xludf.DUMMYFUNCTION("""COMPUTED_VALUE"""),45891.46755996528)</f>
        <v>45891.46756</v>
      </c>
      <c r="H3538" s="14" t="str">
        <f>IFERROR(__xludf.DUMMYFUNCTION("""COMPUTED_VALUE"""),"Eci (SU)")</f>
        <v>Eci (SU)</v>
      </c>
      <c r="I3538" s="13" t="str">
        <f>IFERROR(__xludf.DUMMYFUNCTION("""COMPUTED_VALUE"""),"SELESAI (VIA PERMOHONAN)")</f>
        <v>SELESAI (VIA PERMOHONAN)</v>
      </c>
      <c r="J3538" s="17">
        <f>IFERROR(__xludf.DUMMYFUNCTION("""COMPUTED_VALUE"""),45894.65531483796)</f>
        <v>45894.65531</v>
      </c>
      <c r="K3538" s="13" t="str">
        <f>IFERROR(__xludf.DUMMYFUNCTION("""COMPUTED_VALUE"""),"Selesai")</f>
        <v>Selesai</v>
      </c>
      <c r="L3538" s="17">
        <f>IFERROR(__xludf.DUMMYFUNCTION("""COMPUTED_VALUE"""),45894.65531483796)</f>
        <v>45894.65531</v>
      </c>
      <c r="M3538" s="13"/>
      <c r="N3538" s="13" t="str">
        <f>IFERROR(__xludf.DUMMYFUNCTION("""COMPUTED_VALUE"""),"")</f>
        <v/>
      </c>
      <c r="O3538" s="13" t="str">
        <f t="shared" si="1"/>
        <v/>
      </c>
    </row>
    <row r="3539" ht="22.5" customHeight="1">
      <c r="B3539" s="13">
        <f>IFERROR(__xludf.DUMMYFUNCTION("""COMPUTED_VALUE"""),3534.0)</f>
        <v>3534</v>
      </c>
      <c r="C3539" s="13" t="str">
        <f>IFERROR(__xludf.DUMMYFUNCTION("""COMPUTED_VALUE"""),"B. 05/SUKAMAJU")</f>
        <v>B. 05/SUKAMAJU</v>
      </c>
      <c r="D3539" s="13" t="str">
        <f>IFERROR(__xludf.DUMMYFUNCTION("""COMPUTED_VALUE"""),"K/29/050825/1")</f>
        <v>K/29/050825/1</v>
      </c>
      <c r="E3539" s="14" t="str">
        <f>IFERROR(__xludf.DUMMYFUNCTION("""COMPUTED_VALUE"""),"Heri (BT)")</f>
        <v>Heri (BT)</v>
      </c>
      <c r="F3539" s="14" t="str">
        <f>IFERROR(__xludf.DUMMYFUNCTION("""COMPUTED_VALUE"""),"SELESAI (VIA PERMOHONAN)")</f>
        <v>SELESAI (VIA PERMOHONAN)</v>
      </c>
      <c r="G3539" s="17">
        <f>IFERROR(__xludf.DUMMYFUNCTION("""COMPUTED_VALUE"""),45891.46782181713)</f>
        <v>45891.46782</v>
      </c>
      <c r="H3539" s="14" t="str">
        <f>IFERROR(__xludf.DUMMYFUNCTION("""COMPUTED_VALUE"""),"Eci (SU)")</f>
        <v>Eci (SU)</v>
      </c>
      <c r="I3539" s="13" t="str">
        <f>IFERROR(__xludf.DUMMYFUNCTION("""COMPUTED_VALUE"""),"SELESAI (VIA PERMOHONAN)")</f>
        <v>SELESAI (VIA PERMOHONAN)</v>
      </c>
      <c r="J3539" s="17">
        <f>IFERROR(__xludf.DUMMYFUNCTION("""COMPUTED_VALUE"""),45891.60048353009)</f>
        <v>45891.60048</v>
      </c>
      <c r="K3539" s="13" t="str">
        <f>IFERROR(__xludf.DUMMYFUNCTION("""COMPUTED_VALUE"""),"Selesai")</f>
        <v>Selesai</v>
      </c>
      <c r="L3539" s="17">
        <f>IFERROR(__xludf.DUMMYFUNCTION("""COMPUTED_VALUE"""),45891.60048353009)</f>
        <v>45891.60048</v>
      </c>
      <c r="M3539" s="13"/>
      <c r="N3539" s="13" t="str">
        <f>IFERROR(__xludf.DUMMYFUNCTION("""COMPUTED_VALUE"""),"")</f>
        <v/>
      </c>
      <c r="O3539" s="13" t="str">
        <f t="shared" si="1"/>
        <v/>
      </c>
    </row>
    <row r="3540" ht="22.5" customHeight="1">
      <c r="B3540" s="13">
        <f>IFERROR(__xludf.DUMMYFUNCTION("""COMPUTED_VALUE"""),3535.0)</f>
        <v>3535</v>
      </c>
      <c r="C3540" s="13" t="str">
        <f>IFERROR(__xludf.DUMMYFUNCTION("""COMPUTED_VALUE"""),"HM 3692/BERINGIN RAYA")</f>
        <v>HM 3692/BERINGIN RAYA</v>
      </c>
      <c r="D3540" s="13" t="str">
        <f>IFERROR(__xludf.DUMMYFUNCTION("""COMPUTED_VALUE"""),"L/21/310725/1")</f>
        <v>L/21/310725/1</v>
      </c>
      <c r="E3540" s="14" t="str">
        <f>IFERROR(__xludf.DUMMYFUNCTION("""COMPUTED_VALUE"""),"Heri (BT)")</f>
        <v>Heri (BT)</v>
      </c>
      <c r="F3540" s="14" t="str">
        <f>IFERROR(__xludf.DUMMYFUNCTION("""COMPUTED_VALUE"""),"SELESAI (VIA PERMOHONAN)")</f>
        <v>SELESAI (VIA PERMOHONAN)</v>
      </c>
      <c r="G3540" s="17">
        <f>IFERROR(__xludf.DUMMYFUNCTION("""COMPUTED_VALUE"""),45891.46808233796)</f>
        <v>45891.46808</v>
      </c>
      <c r="H3540" s="14" t="str">
        <f>IFERROR(__xludf.DUMMYFUNCTION("""COMPUTED_VALUE"""),"Eci (SU)")</f>
        <v>Eci (SU)</v>
      </c>
      <c r="I3540" s="13" t="str">
        <f>IFERROR(__xludf.DUMMYFUNCTION("""COMPUTED_VALUE"""),"SELESAI (VIA PERMOHONAN)")</f>
        <v>SELESAI (VIA PERMOHONAN)</v>
      </c>
      <c r="J3540" s="17">
        <f>IFERROR(__xludf.DUMMYFUNCTION("""COMPUTED_VALUE"""),45894.655569016206)</f>
        <v>45894.65557</v>
      </c>
      <c r="K3540" s="13" t="str">
        <f>IFERROR(__xludf.DUMMYFUNCTION("""COMPUTED_VALUE"""),"Selesai")</f>
        <v>Selesai</v>
      </c>
      <c r="L3540" s="17">
        <f>IFERROR(__xludf.DUMMYFUNCTION("""COMPUTED_VALUE"""),45894.655569016206)</f>
        <v>45894.65557</v>
      </c>
      <c r="M3540" s="13"/>
      <c r="N3540" s="13" t="str">
        <f>IFERROR(__xludf.DUMMYFUNCTION("""COMPUTED_VALUE"""),"")</f>
        <v/>
      </c>
      <c r="O3540" s="13" t="str">
        <f t="shared" si="1"/>
        <v/>
      </c>
    </row>
    <row r="3541" ht="22.5" customHeight="1">
      <c r="B3541" s="13">
        <f>IFERROR(__xludf.DUMMYFUNCTION("""COMPUTED_VALUE"""),3536.0)</f>
        <v>3536</v>
      </c>
      <c r="C3541" s="13" t="str">
        <f>IFERROR(__xludf.DUMMYFUNCTION("""COMPUTED_VALUE"""),"B. 407/KEDAMAIAN")</f>
        <v>B. 407/KEDAMAIAN</v>
      </c>
      <c r="D3541" s="13" t="str">
        <f>IFERROR(__xludf.DUMMYFUNCTION("""COMPUTED_VALUE"""),"L/25/110825/1")</f>
        <v>L/25/110825/1</v>
      </c>
      <c r="E3541" s="14" t="str">
        <f>IFERROR(__xludf.DUMMYFUNCTION("""COMPUTED_VALUE"""),"Heri (BT)")</f>
        <v>Heri (BT)</v>
      </c>
      <c r="F3541" s="14" t="str">
        <f>IFERROR(__xludf.DUMMYFUNCTION("""COMPUTED_VALUE"""),"SELESAI (VIA PERMOHONAN)")</f>
        <v>SELESAI (VIA PERMOHONAN)</v>
      </c>
      <c r="G3541" s="17">
        <f>IFERROR(__xludf.DUMMYFUNCTION("""COMPUTED_VALUE"""),45891.46825868056)</f>
        <v>45891.46826</v>
      </c>
      <c r="H3541" s="14" t="str">
        <f>IFERROR(__xludf.DUMMYFUNCTION("""COMPUTED_VALUE"""),"Eci (SU)")</f>
        <v>Eci (SU)</v>
      </c>
      <c r="I3541" s="13" t="str">
        <f>IFERROR(__xludf.DUMMYFUNCTION("""COMPUTED_VALUE"""),"SELESAI (VIA PERMOHONAN)")</f>
        <v>SELESAI (VIA PERMOHONAN)</v>
      </c>
      <c r="J3541" s="17">
        <f>IFERROR(__xludf.DUMMYFUNCTION("""COMPUTED_VALUE"""),45894.65547537037)</f>
        <v>45894.65548</v>
      </c>
      <c r="K3541" s="13" t="str">
        <f>IFERROR(__xludf.DUMMYFUNCTION("""COMPUTED_VALUE"""),"Selesai")</f>
        <v>Selesai</v>
      </c>
      <c r="L3541" s="17">
        <f>IFERROR(__xludf.DUMMYFUNCTION("""COMPUTED_VALUE"""),45894.65547537037)</f>
        <v>45894.65548</v>
      </c>
      <c r="M3541" s="13"/>
      <c r="N3541" s="13" t="str">
        <f>IFERROR(__xludf.DUMMYFUNCTION("""COMPUTED_VALUE"""),"")</f>
        <v/>
      </c>
      <c r="O3541" s="13" t="str">
        <f t="shared" si="1"/>
        <v/>
      </c>
    </row>
    <row r="3542" ht="22.5" customHeight="1">
      <c r="B3542" s="13">
        <f>IFERROR(__xludf.DUMMYFUNCTION("""COMPUTED_VALUE"""),3537.0)</f>
        <v>3537</v>
      </c>
      <c r="C3542" s="13" t="str">
        <f>IFERROR(__xludf.DUMMYFUNCTION("""COMPUTED_VALUE"""),"M. 45/Sukabumi Indah")</f>
        <v>M. 45/Sukabumi Indah</v>
      </c>
      <c r="D3542" s="13" t="str">
        <f>IFERROR(__xludf.DUMMYFUNCTION("""COMPUTED_VALUE"""),"K/6/120825/1")</f>
        <v>K/6/120825/1</v>
      </c>
      <c r="E3542" s="14" t="str">
        <f>IFERROR(__xludf.DUMMYFUNCTION("""COMPUTED_VALUE"""),"Heri (BT)")</f>
        <v>Heri (BT)</v>
      </c>
      <c r="F3542" s="14" t="str">
        <f>IFERROR(__xludf.DUMMYFUNCTION("""COMPUTED_VALUE"""),"SELESAI (VIA PERMOHONAN)")</f>
        <v>SELESAI (VIA PERMOHONAN)</v>
      </c>
      <c r="G3542" s="17">
        <f>IFERROR(__xludf.DUMMYFUNCTION("""COMPUTED_VALUE"""),45891.46840599537)</f>
        <v>45891.46841</v>
      </c>
      <c r="H3542" s="14" t="str">
        <f>IFERROR(__xludf.DUMMYFUNCTION("""COMPUTED_VALUE"""),"Eci (SU)")</f>
        <v>Eci (SU)</v>
      </c>
      <c r="I3542" s="13" t="str">
        <f>IFERROR(__xludf.DUMMYFUNCTION("""COMPUTED_VALUE"""),"SELESAI (VIA PERMOHONAN)")</f>
        <v>SELESAI (VIA PERMOHONAN)</v>
      </c>
      <c r="J3542" s="17">
        <f>IFERROR(__xludf.DUMMYFUNCTION("""COMPUTED_VALUE"""),45894.65315041666)</f>
        <v>45894.65315</v>
      </c>
      <c r="K3542" s="13" t="str">
        <f>IFERROR(__xludf.DUMMYFUNCTION("""COMPUTED_VALUE"""),"Selesai")</f>
        <v>Selesai</v>
      </c>
      <c r="L3542" s="17">
        <f>IFERROR(__xludf.DUMMYFUNCTION("""COMPUTED_VALUE"""),45894.65315041666)</f>
        <v>45894.65315</v>
      </c>
      <c r="M3542" s="13"/>
      <c r="N3542" s="13" t="str">
        <f>IFERROR(__xludf.DUMMYFUNCTION("""COMPUTED_VALUE"""),"")</f>
        <v/>
      </c>
      <c r="O3542" s="13" t="str">
        <f t="shared" si="1"/>
        <v/>
      </c>
    </row>
    <row r="3543" ht="22.5" customHeight="1">
      <c r="B3543" s="13">
        <f>IFERROR(__xludf.DUMMYFUNCTION("""COMPUTED_VALUE"""),3538.0)</f>
        <v>3538</v>
      </c>
      <c r="C3543" s="13" t="str">
        <f>IFERROR(__xludf.DUMMYFUNCTION("""COMPUTED_VALUE"""),"M. 8975/KEDAMAIAN")</f>
        <v>M. 8975/KEDAMAIAN</v>
      </c>
      <c r="D3543" s="13" t="str">
        <f>IFERROR(__xludf.DUMMYFUNCTION("""COMPUTED_VALUE"""),"K/10/070825/1")</f>
        <v>K/10/070825/1</v>
      </c>
      <c r="E3543" s="14" t="str">
        <f>IFERROR(__xludf.DUMMYFUNCTION("""COMPUTED_VALUE"""),"Heri (BT)")</f>
        <v>Heri (BT)</v>
      </c>
      <c r="F3543" s="14" t="str">
        <f>IFERROR(__xludf.DUMMYFUNCTION("""COMPUTED_VALUE"""),"SELESAI (VIA PERMOHONAN)")</f>
        <v>SELESAI (VIA PERMOHONAN)</v>
      </c>
      <c r="G3543" s="17">
        <f>IFERROR(__xludf.DUMMYFUNCTION("""COMPUTED_VALUE"""),45891.46859525463)</f>
        <v>45891.4686</v>
      </c>
      <c r="H3543" s="14" t="str">
        <f>IFERROR(__xludf.DUMMYFUNCTION("""COMPUTED_VALUE"""),"Eci (SU)")</f>
        <v>Eci (SU)</v>
      </c>
      <c r="I3543" s="13" t="str">
        <f>IFERROR(__xludf.DUMMYFUNCTION("""COMPUTED_VALUE"""),"SELESAI (VIA PERMOHONAN)")</f>
        <v>SELESAI (VIA PERMOHONAN)</v>
      </c>
      <c r="J3543" s="17">
        <f>IFERROR(__xludf.DUMMYFUNCTION("""COMPUTED_VALUE"""),45894.65303869213)</f>
        <v>45894.65304</v>
      </c>
      <c r="K3543" s="13" t="str">
        <f>IFERROR(__xludf.DUMMYFUNCTION("""COMPUTED_VALUE"""),"Selesai")</f>
        <v>Selesai</v>
      </c>
      <c r="L3543" s="17">
        <f>IFERROR(__xludf.DUMMYFUNCTION("""COMPUTED_VALUE"""),45894.65303869213)</f>
        <v>45894.65304</v>
      </c>
      <c r="M3543" s="13"/>
      <c r="N3543" s="13" t="str">
        <f>IFERROR(__xludf.DUMMYFUNCTION("""COMPUTED_VALUE"""),"")</f>
        <v/>
      </c>
      <c r="O3543" s="13" t="str">
        <f t="shared" si="1"/>
        <v/>
      </c>
    </row>
    <row r="3544" ht="22.5" customHeight="1">
      <c r="B3544" s="13">
        <f>IFERROR(__xludf.DUMMYFUNCTION("""COMPUTED_VALUE"""),3539.0)</f>
        <v>3539</v>
      </c>
      <c r="C3544" s="13" t="str">
        <f>IFERROR(__xludf.DUMMYFUNCTION("""COMPUTED_VALUE"""),"B. 693/KEMILING PERMAI")</f>
        <v>B. 693/KEMILING PERMAI</v>
      </c>
      <c r="D3544" s="13" t="str">
        <f>IFERROR(__xludf.DUMMYFUNCTION("""COMPUTED_VALUE"""),"K/32/110825/1")</f>
        <v>K/32/110825/1</v>
      </c>
      <c r="E3544" s="14" t="str">
        <f>IFERROR(__xludf.DUMMYFUNCTION("""COMPUTED_VALUE"""),"Heri (BT)")</f>
        <v>Heri (BT)</v>
      </c>
      <c r="F3544" s="14" t="str">
        <f>IFERROR(__xludf.DUMMYFUNCTION("""COMPUTED_VALUE"""),"SELESAI (VIA PERMOHONAN)")</f>
        <v>SELESAI (VIA PERMOHONAN)</v>
      </c>
      <c r="G3544" s="17">
        <f>IFERROR(__xludf.DUMMYFUNCTION("""COMPUTED_VALUE"""),45891.46874357639)</f>
        <v>45891.46874</v>
      </c>
      <c r="H3544" s="14" t="str">
        <f>IFERROR(__xludf.DUMMYFUNCTION("""COMPUTED_VALUE"""),"Eci (SU)")</f>
        <v>Eci (SU)</v>
      </c>
      <c r="I3544" s="13" t="str">
        <f>IFERROR(__xludf.DUMMYFUNCTION("""COMPUTED_VALUE"""),"SELESAI (VIA PERMOHONAN)")</f>
        <v>SELESAI (VIA PERMOHONAN)</v>
      </c>
      <c r="J3544" s="17">
        <f>IFERROR(__xludf.DUMMYFUNCTION("""COMPUTED_VALUE"""),45894.653346527775)</f>
        <v>45894.65335</v>
      </c>
      <c r="K3544" s="13" t="str">
        <f>IFERROR(__xludf.DUMMYFUNCTION("""COMPUTED_VALUE"""),"Selesai")</f>
        <v>Selesai</v>
      </c>
      <c r="L3544" s="17">
        <f>IFERROR(__xludf.DUMMYFUNCTION("""COMPUTED_VALUE"""),45894.653346527775)</f>
        <v>45894.65335</v>
      </c>
      <c r="M3544" s="13"/>
      <c r="N3544" s="13" t="str">
        <f>IFERROR(__xludf.DUMMYFUNCTION("""COMPUTED_VALUE"""),"")</f>
        <v/>
      </c>
      <c r="O3544" s="13" t="str">
        <f t="shared" si="1"/>
        <v/>
      </c>
    </row>
    <row r="3545" ht="22.5" customHeight="1">
      <c r="B3545" s="13">
        <f>IFERROR(__xludf.DUMMYFUNCTION("""COMPUTED_VALUE"""),3540.0)</f>
        <v>3540</v>
      </c>
      <c r="C3545" s="13" t="str">
        <f>IFERROR(__xludf.DUMMYFUNCTION("""COMPUTED_VALUE"""),"B. 1004/CAMPANG JAYA")</f>
        <v>B. 1004/CAMPANG JAYA</v>
      </c>
      <c r="D3545" s="13" t="str">
        <f>IFERROR(__xludf.DUMMYFUNCTION("""COMPUTED_VALUE"""),"K/10/010825/4")</f>
        <v>K/10/010825/4</v>
      </c>
      <c r="E3545" s="14" t="str">
        <f>IFERROR(__xludf.DUMMYFUNCTION("""COMPUTED_VALUE"""),"Heri (BT)")</f>
        <v>Heri (BT)</v>
      </c>
      <c r="F3545" s="14" t="str">
        <f>IFERROR(__xludf.DUMMYFUNCTION("""COMPUTED_VALUE"""),"SELESAI (VIA PERMOHONAN)")</f>
        <v>SELESAI (VIA PERMOHONAN)</v>
      </c>
      <c r="G3545" s="17">
        <f>IFERROR(__xludf.DUMMYFUNCTION("""COMPUTED_VALUE"""),45891.4688908449)</f>
        <v>45891.46889</v>
      </c>
      <c r="H3545" s="14" t="str">
        <f>IFERROR(__xludf.DUMMYFUNCTION("""COMPUTED_VALUE"""),"Eci (SU)")</f>
        <v>Eci (SU)</v>
      </c>
      <c r="I3545" s="13" t="str">
        <f>IFERROR(__xludf.DUMMYFUNCTION("""COMPUTED_VALUE"""),"SELESAI (VIA PERMOHONAN)")</f>
        <v>SELESAI (VIA PERMOHONAN)</v>
      </c>
      <c r="J3545" s="17">
        <f>IFERROR(__xludf.DUMMYFUNCTION("""COMPUTED_VALUE"""),45894.65204962963)</f>
        <v>45894.65205</v>
      </c>
      <c r="K3545" s="13" t="str">
        <f>IFERROR(__xludf.DUMMYFUNCTION("""COMPUTED_VALUE"""),"Selesai")</f>
        <v>Selesai</v>
      </c>
      <c r="L3545" s="17">
        <f>IFERROR(__xludf.DUMMYFUNCTION("""COMPUTED_VALUE"""),45894.65204962963)</f>
        <v>45894.65205</v>
      </c>
      <c r="M3545" s="13"/>
      <c r="N3545" s="13" t="str">
        <f>IFERROR(__xludf.DUMMYFUNCTION("""COMPUTED_VALUE"""),"")</f>
        <v/>
      </c>
      <c r="O3545" s="13" t="str">
        <f t="shared" si="1"/>
        <v/>
      </c>
    </row>
    <row r="3546" ht="22.5" customHeight="1">
      <c r="B3546" s="13">
        <f>IFERROR(__xludf.DUMMYFUNCTION("""COMPUTED_VALUE"""),3541.0)</f>
        <v>3541</v>
      </c>
      <c r="C3546" s="13" t="str">
        <f>IFERROR(__xludf.DUMMYFUNCTION("""COMPUTED_VALUE"""),"M. 11012/GEDONG MENENG")</f>
        <v>M. 11012/GEDONG MENENG</v>
      </c>
      <c r="D3546" s="13" t="str">
        <f>IFERROR(__xludf.DUMMYFUNCTION("""COMPUTED_VALUE"""),"K/34/050825/1")</f>
        <v>K/34/050825/1</v>
      </c>
      <c r="E3546" s="14" t="str">
        <f>IFERROR(__xludf.DUMMYFUNCTION("""COMPUTED_VALUE"""),"Heri (BT)")</f>
        <v>Heri (BT)</v>
      </c>
      <c r="F3546" s="14" t="str">
        <f>IFERROR(__xludf.DUMMYFUNCTION("""COMPUTED_VALUE"""),"SELESAI (VIA PERMOHONAN)")</f>
        <v>SELESAI (VIA PERMOHONAN)</v>
      </c>
      <c r="G3546" s="17">
        <f>IFERROR(__xludf.DUMMYFUNCTION("""COMPUTED_VALUE"""),45891.46905018519)</f>
        <v>45891.46905</v>
      </c>
      <c r="H3546" s="14" t="str">
        <f>IFERROR(__xludf.DUMMYFUNCTION("""COMPUTED_VALUE"""),"Eci (SU)")</f>
        <v>Eci (SU)</v>
      </c>
      <c r="I3546" s="13" t="str">
        <f>IFERROR(__xludf.DUMMYFUNCTION("""COMPUTED_VALUE"""),"SELESAI (VIA PERMOHONAN)")</f>
        <v>SELESAI (VIA PERMOHONAN)</v>
      </c>
      <c r="J3546" s="17">
        <f>IFERROR(__xludf.DUMMYFUNCTION("""COMPUTED_VALUE"""),45894.651938854164)</f>
        <v>45894.65194</v>
      </c>
      <c r="K3546" s="13" t="str">
        <f>IFERROR(__xludf.DUMMYFUNCTION("""COMPUTED_VALUE"""),"Selesai")</f>
        <v>Selesai</v>
      </c>
      <c r="L3546" s="17">
        <f>IFERROR(__xludf.DUMMYFUNCTION("""COMPUTED_VALUE"""),45894.651938854164)</f>
        <v>45894.65194</v>
      </c>
      <c r="M3546" s="13"/>
      <c r="N3546" s="13" t="str">
        <f>IFERROR(__xludf.DUMMYFUNCTION("""COMPUTED_VALUE"""),"")</f>
        <v/>
      </c>
      <c r="O3546" s="13" t="str">
        <f t="shared" si="1"/>
        <v/>
      </c>
    </row>
    <row r="3547" ht="22.5" customHeight="1">
      <c r="B3547" s="13">
        <f>IFERROR(__xludf.DUMMYFUNCTION("""COMPUTED_VALUE"""),3542.0)</f>
        <v>3542</v>
      </c>
      <c r="C3547" s="13" t="str">
        <f>IFERROR(__xludf.DUMMYFUNCTION("""COMPUTED_VALUE"""),"M. 10388/SUKABUMI")</f>
        <v>M. 10388/SUKABUMI</v>
      </c>
      <c r="D3547" s="13" t="str">
        <f>IFERROR(__xludf.DUMMYFUNCTION("""COMPUTED_VALUE"""),"K/17/070826/1")</f>
        <v>K/17/070826/1</v>
      </c>
      <c r="E3547" s="14" t="str">
        <f>IFERROR(__xludf.DUMMYFUNCTION("""COMPUTED_VALUE"""),"Heri (BT)")</f>
        <v>Heri (BT)</v>
      </c>
      <c r="F3547" s="14" t="str">
        <f>IFERROR(__xludf.DUMMYFUNCTION("""COMPUTED_VALUE"""),"SELESAI (VIA PERMOHONAN)")</f>
        <v>SELESAI (VIA PERMOHONAN)</v>
      </c>
      <c r="G3547" s="17">
        <f>IFERROR(__xludf.DUMMYFUNCTION("""COMPUTED_VALUE"""),45891.46920013889)</f>
        <v>45891.4692</v>
      </c>
      <c r="H3547" s="14" t="str">
        <f>IFERROR(__xludf.DUMMYFUNCTION("""COMPUTED_VALUE"""),"Eci (SU)")</f>
        <v>Eci (SU)</v>
      </c>
      <c r="I3547" s="13" t="str">
        <f>IFERROR(__xludf.DUMMYFUNCTION("""COMPUTED_VALUE"""),"SELESAI (VIA PERMOHONAN)")</f>
        <v>SELESAI (VIA PERMOHONAN)</v>
      </c>
      <c r="J3547" s="17">
        <f>IFERROR(__xludf.DUMMYFUNCTION("""COMPUTED_VALUE"""),45894.65182136574)</f>
        <v>45894.65182</v>
      </c>
      <c r="K3547" s="13" t="str">
        <f>IFERROR(__xludf.DUMMYFUNCTION("""COMPUTED_VALUE"""),"Selesai")</f>
        <v>Selesai</v>
      </c>
      <c r="L3547" s="17">
        <f>IFERROR(__xludf.DUMMYFUNCTION("""COMPUTED_VALUE"""),45894.65182136574)</f>
        <v>45894.65182</v>
      </c>
      <c r="M3547" s="13"/>
      <c r="N3547" s="13" t="str">
        <f>IFERROR(__xludf.DUMMYFUNCTION("""COMPUTED_VALUE"""),"")</f>
        <v/>
      </c>
      <c r="O3547" s="13" t="str">
        <f t="shared" si="1"/>
        <v/>
      </c>
    </row>
    <row r="3548" ht="22.5" customHeight="1">
      <c r="B3548" s="13">
        <f>IFERROR(__xludf.DUMMYFUNCTION("""COMPUTED_VALUE"""),3543.0)</f>
        <v>3543</v>
      </c>
      <c r="C3548" s="13" t="str">
        <f>IFERROR(__xludf.DUMMYFUNCTION("""COMPUTED_VALUE"""),"B. 1005/CAMPANG JAYA")</f>
        <v>B. 1005/CAMPANG JAYA</v>
      </c>
      <c r="D3548" s="13" t="str">
        <f>IFERROR(__xludf.DUMMYFUNCTION("""COMPUTED_VALUE"""),"K/8/010825/2")</f>
        <v>K/8/010825/2</v>
      </c>
      <c r="E3548" s="14" t="str">
        <f>IFERROR(__xludf.DUMMYFUNCTION("""COMPUTED_VALUE"""),"Heri (BT)")</f>
        <v>Heri (BT)</v>
      </c>
      <c r="F3548" s="14" t="str">
        <f>IFERROR(__xludf.DUMMYFUNCTION("""COMPUTED_VALUE"""),"SELESAI (VIA PERMOHONAN)")</f>
        <v>SELESAI (VIA PERMOHONAN)</v>
      </c>
      <c r="G3548" s="17">
        <f>IFERROR(__xludf.DUMMYFUNCTION("""COMPUTED_VALUE"""),45891.46942444444)</f>
        <v>45891.46942</v>
      </c>
      <c r="H3548" s="14" t="str">
        <f>IFERROR(__xludf.DUMMYFUNCTION("""COMPUTED_VALUE"""),"Eci (SU)")</f>
        <v>Eci (SU)</v>
      </c>
      <c r="I3548" s="13" t="str">
        <f>IFERROR(__xludf.DUMMYFUNCTION("""COMPUTED_VALUE"""),"SELESAI (VIA PERMOHONAN)")</f>
        <v>SELESAI (VIA PERMOHONAN)</v>
      </c>
      <c r="J3548" s="17">
        <f>IFERROR(__xludf.DUMMYFUNCTION("""COMPUTED_VALUE"""),45894.65174155093)</f>
        <v>45894.65174</v>
      </c>
      <c r="K3548" s="13" t="str">
        <f>IFERROR(__xludf.DUMMYFUNCTION("""COMPUTED_VALUE"""),"Selesai")</f>
        <v>Selesai</v>
      </c>
      <c r="L3548" s="17">
        <f>IFERROR(__xludf.DUMMYFUNCTION("""COMPUTED_VALUE"""),45894.65174155093)</f>
        <v>45894.65174</v>
      </c>
      <c r="M3548" s="13"/>
      <c r="N3548" s="13" t="str">
        <f>IFERROR(__xludf.DUMMYFUNCTION("""COMPUTED_VALUE"""),"")</f>
        <v/>
      </c>
      <c r="O3548" s="13" t="str">
        <f t="shared" si="1"/>
        <v/>
      </c>
    </row>
    <row r="3549" ht="22.5" customHeight="1">
      <c r="B3549" s="13">
        <f>IFERROR(__xludf.DUMMYFUNCTION("""COMPUTED_VALUE"""),3544.0)</f>
        <v>3544</v>
      </c>
      <c r="C3549" s="13" t="str">
        <f>IFERROR(__xludf.DUMMYFUNCTION("""COMPUTED_VALUE"""),"M. 1999/LABUHAN DALAM")</f>
        <v>M. 1999/LABUHAN DALAM</v>
      </c>
      <c r="D3549" s="13" t="str">
        <f>IFERROR(__xludf.DUMMYFUNCTION("""COMPUTED_VALUE"""),"K/25/080825/1")</f>
        <v>K/25/080825/1</v>
      </c>
      <c r="E3549" s="14" t="str">
        <f>IFERROR(__xludf.DUMMYFUNCTION("""COMPUTED_VALUE"""),"Heri (BT)")</f>
        <v>Heri (BT)</v>
      </c>
      <c r="F3549" s="14" t="str">
        <f>IFERROR(__xludf.DUMMYFUNCTION("""COMPUTED_VALUE"""),"SELESAI (VIA PERMOHONAN)")</f>
        <v>SELESAI (VIA PERMOHONAN)</v>
      </c>
      <c r="G3549" s="17">
        <f>IFERROR(__xludf.DUMMYFUNCTION("""COMPUTED_VALUE"""),45891.469571458336)</f>
        <v>45891.46957</v>
      </c>
      <c r="H3549" s="14" t="str">
        <f>IFERROR(__xludf.DUMMYFUNCTION("""COMPUTED_VALUE"""),"Eci (SU)")</f>
        <v>Eci (SU)</v>
      </c>
      <c r="I3549" s="13" t="str">
        <f>IFERROR(__xludf.DUMMYFUNCTION("""COMPUTED_VALUE"""),"SELESAI (VIA PERMOHONAN)")</f>
        <v>SELESAI (VIA PERMOHONAN)</v>
      </c>
      <c r="J3549" s="17">
        <f>IFERROR(__xludf.DUMMYFUNCTION("""COMPUTED_VALUE"""),45894.65160149305)</f>
        <v>45894.6516</v>
      </c>
      <c r="K3549" s="13" t="str">
        <f>IFERROR(__xludf.DUMMYFUNCTION("""COMPUTED_VALUE"""),"Selesai")</f>
        <v>Selesai</v>
      </c>
      <c r="L3549" s="17">
        <f>IFERROR(__xludf.DUMMYFUNCTION("""COMPUTED_VALUE"""),45894.65160149305)</f>
        <v>45894.6516</v>
      </c>
      <c r="M3549" s="13"/>
      <c r="N3549" s="13" t="str">
        <f>IFERROR(__xludf.DUMMYFUNCTION("""COMPUTED_VALUE"""),"")</f>
        <v/>
      </c>
      <c r="O3549" s="13" t="str">
        <f t="shared" si="1"/>
        <v/>
      </c>
    </row>
    <row r="3550" ht="22.5" customHeight="1">
      <c r="B3550" s="13">
        <f>IFERROR(__xludf.DUMMYFUNCTION("""COMPUTED_VALUE"""),3545.0)</f>
        <v>3545</v>
      </c>
      <c r="C3550" s="13" t="str">
        <f>IFERROR(__xludf.DUMMYFUNCTION("""COMPUTED_VALUE"""),"M. 4576/ Gunung Terang")</f>
        <v>M. 4576/ Gunung Terang</v>
      </c>
      <c r="D3550" s="13" t="str">
        <f>IFERROR(__xludf.DUMMYFUNCTION("""COMPUTED_VALUE"""),"K/22/210725/1")</f>
        <v>K/22/210725/1</v>
      </c>
      <c r="E3550" s="14" t="str">
        <f>IFERROR(__xludf.DUMMYFUNCTION("""COMPUTED_VALUE"""),"Heri (BT)")</f>
        <v>Heri (BT)</v>
      </c>
      <c r="F3550" s="14" t="str">
        <f>IFERROR(__xludf.DUMMYFUNCTION("""COMPUTED_VALUE"""),"SELESAI (VIA PERMOHONAN)")</f>
        <v>SELESAI (VIA PERMOHONAN)</v>
      </c>
      <c r="G3550" s="17">
        <f>IFERROR(__xludf.DUMMYFUNCTION("""COMPUTED_VALUE"""),45894.60639247685)</f>
        <v>45894.60639</v>
      </c>
      <c r="H3550" s="14" t="str">
        <f>IFERROR(__xludf.DUMMYFUNCTION("""COMPUTED_VALUE"""),"Eci (SU)")</f>
        <v>Eci (SU)</v>
      </c>
      <c r="I3550" s="13" t="str">
        <f>IFERROR(__xludf.DUMMYFUNCTION("""COMPUTED_VALUE"""),"SELESAI (VIA PERMOHONAN)")</f>
        <v>SELESAI (VIA PERMOHONAN)</v>
      </c>
      <c r="J3550" s="17">
        <f>IFERROR(__xludf.DUMMYFUNCTION("""COMPUTED_VALUE"""),45894.679293611116)</f>
        <v>45894.67929</v>
      </c>
      <c r="K3550" s="13" t="str">
        <f>IFERROR(__xludf.DUMMYFUNCTION("""COMPUTED_VALUE"""),"Selesai")</f>
        <v>Selesai</v>
      </c>
      <c r="L3550" s="17">
        <f>IFERROR(__xludf.DUMMYFUNCTION("""COMPUTED_VALUE"""),45894.679293611116)</f>
        <v>45894.67929</v>
      </c>
      <c r="M3550" s="13"/>
      <c r="N3550" s="13" t="str">
        <f>IFERROR(__xludf.DUMMYFUNCTION("""COMPUTED_VALUE"""),"")</f>
        <v/>
      </c>
      <c r="O3550" s="13" t="str">
        <f t="shared" si="1"/>
        <v/>
      </c>
    </row>
    <row r="3551" ht="22.5" customHeight="1">
      <c r="B3551" s="13">
        <f>IFERROR(__xludf.DUMMYFUNCTION("""COMPUTED_VALUE"""),3546.0)</f>
        <v>3546</v>
      </c>
      <c r="C3551" s="13" t="str">
        <f>IFERROR(__xludf.DUMMYFUNCTION("""COMPUTED_VALUE"""),"M. 12689; 12693;12692; Nibel. M. 746; Nibel. M. 745/ Kedaton")</f>
        <v>M. 12689; 12693;12692; Nibel. M. 746; Nibel. M. 745/ Kedaton</v>
      </c>
      <c r="D3551" s="13" t="str">
        <f>IFERROR(__xludf.DUMMYFUNCTION("""COMPUTED_VALUE"""),"K/37/300725/1")</f>
        <v>K/37/300725/1</v>
      </c>
      <c r="E3551" s="14" t="str">
        <f>IFERROR(__xludf.DUMMYFUNCTION("""COMPUTED_VALUE"""),"Heri (BT)")</f>
        <v>Heri (BT)</v>
      </c>
      <c r="F3551" s="14" t="str">
        <f>IFERROR(__xludf.DUMMYFUNCTION("""COMPUTED_VALUE"""),"SELESAI (VIA PERMOHONAN)")</f>
        <v>SELESAI (VIA PERMOHONAN)</v>
      </c>
      <c r="G3551" s="17">
        <f>IFERROR(__xludf.DUMMYFUNCTION("""COMPUTED_VALUE"""),45894.60662394676)</f>
        <v>45894.60662</v>
      </c>
      <c r="H3551" s="14" t="str">
        <f>IFERROR(__xludf.DUMMYFUNCTION("""COMPUTED_VALUE"""),"Eci (SU)")</f>
        <v>Eci (SU)</v>
      </c>
      <c r="I3551" s="13" t="str">
        <f>IFERROR(__xludf.DUMMYFUNCTION("""COMPUTED_VALUE"""),"SELESAI (VIA PERMOHONAN)")</f>
        <v>SELESAI (VIA PERMOHONAN)</v>
      </c>
      <c r="J3551" s="17">
        <f>IFERROR(__xludf.DUMMYFUNCTION("""COMPUTED_VALUE"""),45895.614532499996)</f>
        <v>45895.61453</v>
      </c>
      <c r="K3551" s="13" t="str">
        <f>IFERROR(__xludf.DUMMYFUNCTION("""COMPUTED_VALUE"""),"Selesai")</f>
        <v>Selesai</v>
      </c>
      <c r="L3551" s="17">
        <f>IFERROR(__xludf.DUMMYFUNCTION("""COMPUTED_VALUE"""),45895.614532499996)</f>
        <v>45895.61453</v>
      </c>
      <c r="M3551" s="13"/>
      <c r="N3551" s="13" t="str">
        <f>IFERROR(__xludf.DUMMYFUNCTION("""COMPUTED_VALUE"""),"")</f>
        <v/>
      </c>
      <c r="O3551" s="13" t="str">
        <f t="shared" si="1"/>
        <v/>
      </c>
    </row>
    <row r="3552" ht="22.5" customHeight="1">
      <c r="B3552" s="13">
        <f>IFERROR(__xludf.DUMMYFUNCTION("""COMPUTED_VALUE"""),3547.0)</f>
        <v>3547</v>
      </c>
      <c r="C3552" s="13" t="str">
        <f>IFERROR(__xludf.DUMMYFUNCTION("""COMPUTED_VALUE"""),"B. 599/ SUMUR PUTRI")</f>
        <v>B. 599/ SUMUR PUTRI</v>
      </c>
      <c r="D3552" s="13" t="str">
        <f>IFERROR(__xludf.DUMMYFUNCTION("""COMPUTED_VALUE"""),"K/23/150825/2")</f>
        <v>K/23/150825/2</v>
      </c>
      <c r="E3552" s="14" t="str">
        <f>IFERROR(__xludf.DUMMYFUNCTION("""COMPUTED_VALUE"""),"Heri (BT)")</f>
        <v>Heri (BT)</v>
      </c>
      <c r="F3552" s="14" t="str">
        <f>IFERROR(__xludf.DUMMYFUNCTION("""COMPUTED_VALUE"""),"SELESAI (VIA PERMOHONAN)")</f>
        <v>SELESAI (VIA PERMOHONAN)</v>
      </c>
      <c r="G3552" s="17">
        <f>IFERROR(__xludf.DUMMYFUNCTION("""COMPUTED_VALUE"""),45894.60678548611)</f>
        <v>45894.60679</v>
      </c>
      <c r="H3552" s="14" t="str">
        <f>IFERROR(__xludf.DUMMYFUNCTION("""COMPUTED_VALUE"""),"Eci (SU)")</f>
        <v>Eci (SU)</v>
      </c>
      <c r="I3552" s="13" t="str">
        <f>IFERROR(__xludf.DUMMYFUNCTION("""COMPUTED_VALUE"""),"SELESAI (VIA PERMOHONAN)")</f>
        <v>SELESAI (VIA PERMOHONAN)</v>
      </c>
      <c r="J3552" s="17">
        <f>IFERROR(__xludf.DUMMYFUNCTION("""COMPUTED_VALUE"""),45894.67798869213)</f>
        <v>45894.67799</v>
      </c>
      <c r="K3552" s="13" t="str">
        <f>IFERROR(__xludf.DUMMYFUNCTION("""COMPUTED_VALUE"""),"Selesai")</f>
        <v>Selesai</v>
      </c>
      <c r="L3552" s="17">
        <f>IFERROR(__xludf.DUMMYFUNCTION("""COMPUTED_VALUE"""),45894.67798869213)</f>
        <v>45894.67799</v>
      </c>
      <c r="M3552" s="13"/>
      <c r="N3552" s="13" t="str">
        <f>IFERROR(__xludf.DUMMYFUNCTION("""COMPUTED_VALUE"""),"")</f>
        <v/>
      </c>
      <c r="O3552" s="13" t="str">
        <f t="shared" si="1"/>
        <v/>
      </c>
    </row>
    <row r="3553" ht="22.5" customHeight="1">
      <c r="B3553" s="13">
        <f>IFERROR(__xludf.DUMMYFUNCTION("""COMPUTED_VALUE"""),3548.0)</f>
        <v>3548</v>
      </c>
      <c r="C3553" s="13" t="str">
        <f>IFERROR(__xludf.DUMMYFUNCTION("""COMPUTED_VALUE"""),"M. 12676/ SUKABUMI")</f>
        <v>M. 12676/ SUKABUMI</v>
      </c>
      <c r="D3553" s="13" t="str">
        <f>IFERROR(__xludf.DUMMYFUNCTION("""COMPUTED_VALUE"""),"K/16/150825/1")</f>
        <v>K/16/150825/1</v>
      </c>
      <c r="E3553" s="14" t="str">
        <f>IFERROR(__xludf.DUMMYFUNCTION("""COMPUTED_VALUE"""),"Heri (BT)")</f>
        <v>Heri (BT)</v>
      </c>
      <c r="F3553" s="14" t="str">
        <f>IFERROR(__xludf.DUMMYFUNCTION("""COMPUTED_VALUE"""),"SELESAI (VIA PERMOHONAN)")</f>
        <v>SELESAI (VIA PERMOHONAN)</v>
      </c>
      <c r="G3553" s="17">
        <f>IFERROR(__xludf.DUMMYFUNCTION("""COMPUTED_VALUE"""),45894.60700503472)</f>
        <v>45894.60701</v>
      </c>
      <c r="H3553" s="14" t="str">
        <f>IFERROR(__xludf.DUMMYFUNCTION("""COMPUTED_VALUE"""),"Eci (SU)")</f>
        <v>Eci (SU)</v>
      </c>
      <c r="I3553" s="13" t="str">
        <f>IFERROR(__xludf.DUMMYFUNCTION("""COMPUTED_VALUE"""),"SELESAI (VIA PERMOHONAN)")</f>
        <v>SELESAI (VIA PERMOHONAN)</v>
      </c>
      <c r="J3553" s="17">
        <f>IFERROR(__xludf.DUMMYFUNCTION("""COMPUTED_VALUE"""),45895.61148277778)</f>
        <v>45895.61148</v>
      </c>
      <c r="K3553" s="13" t="str">
        <f>IFERROR(__xludf.DUMMYFUNCTION("""COMPUTED_VALUE"""),"Selesai")</f>
        <v>Selesai</v>
      </c>
      <c r="L3553" s="17">
        <f>IFERROR(__xludf.DUMMYFUNCTION("""COMPUTED_VALUE"""),45895.61148277778)</f>
        <v>45895.61148</v>
      </c>
      <c r="M3553" s="13"/>
      <c r="N3553" s="13" t="str">
        <f>IFERROR(__xludf.DUMMYFUNCTION("""COMPUTED_VALUE"""),"")</f>
        <v/>
      </c>
      <c r="O3553" s="13" t="str">
        <f t="shared" si="1"/>
        <v/>
      </c>
    </row>
    <row r="3554" ht="22.5" customHeight="1">
      <c r="B3554" s="13">
        <f>IFERROR(__xludf.DUMMYFUNCTION("""COMPUTED_VALUE"""),3549.0)</f>
        <v>3549</v>
      </c>
      <c r="C3554" s="13" t="str">
        <f>IFERROR(__xludf.DUMMYFUNCTION("""COMPUTED_VALUE"""),"HM 9527/JAGABAYA II")</f>
        <v>HM 9527/JAGABAYA II</v>
      </c>
      <c r="D3554" s="13" t="str">
        <f>IFERROR(__xludf.DUMMYFUNCTION("""COMPUTED_VALUE"""),"L/3/010825/1")</f>
        <v>L/3/010825/1</v>
      </c>
      <c r="E3554" s="14" t="str">
        <f>IFERROR(__xludf.DUMMYFUNCTION("""COMPUTED_VALUE"""),"Heri (BT)")</f>
        <v>Heri (BT)</v>
      </c>
      <c r="F3554" s="14" t="str">
        <f>IFERROR(__xludf.DUMMYFUNCTION("""COMPUTED_VALUE"""),"SELESAI (VIA PERMOHONAN)")</f>
        <v>SELESAI (VIA PERMOHONAN)</v>
      </c>
      <c r="G3554" s="17">
        <f>IFERROR(__xludf.DUMMYFUNCTION("""COMPUTED_VALUE"""),45894.60715925926)</f>
        <v>45894.60716</v>
      </c>
      <c r="H3554" s="14" t="str">
        <f>IFERROR(__xludf.DUMMYFUNCTION("""COMPUTED_VALUE"""),"Eci (SU)")</f>
        <v>Eci (SU)</v>
      </c>
      <c r="I3554" s="13" t="str">
        <f>IFERROR(__xludf.DUMMYFUNCTION("""COMPUTED_VALUE"""),"SELESAI (VIA PERMOHONAN)")</f>
        <v>SELESAI (VIA PERMOHONAN)</v>
      </c>
      <c r="J3554" s="17">
        <f>IFERROR(__xludf.DUMMYFUNCTION("""COMPUTED_VALUE"""),45895.61286113426)</f>
        <v>45895.61286</v>
      </c>
      <c r="K3554" s="13" t="str">
        <f>IFERROR(__xludf.DUMMYFUNCTION("""COMPUTED_VALUE"""),"Selesai")</f>
        <v>Selesai</v>
      </c>
      <c r="L3554" s="17">
        <f>IFERROR(__xludf.DUMMYFUNCTION("""COMPUTED_VALUE"""),45895.61286113426)</f>
        <v>45895.61286</v>
      </c>
      <c r="M3554" s="13"/>
      <c r="N3554" s="13" t="str">
        <f>IFERROR(__xludf.DUMMYFUNCTION("""COMPUTED_VALUE"""),"")</f>
        <v/>
      </c>
      <c r="O3554" s="13" t="str">
        <f t="shared" si="1"/>
        <v/>
      </c>
    </row>
    <row r="3555" ht="22.5" customHeight="1">
      <c r="B3555" s="13">
        <f>IFERROR(__xludf.DUMMYFUNCTION("""COMPUTED_VALUE"""),3550.0)</f>
        <v>3550</v>
      </c>
      <c r="C3555" s="13" t="str">
        <f>IFERROR(__xludf.DUMMYFUNCTION("""COMPUTED_VALUE"""),"HM 16489/SUKARAME I")</f>
        <v>HM 16489/SUKARAME I</v>
      </c>
      <c r="D3555" s="13" t="str">
        <f>IFERROR(__xludf.DUMMYFUNCTION("""COMPUTED_VALUE"""),"L/8/040825/1")</f>
        <v>L/8/040825/1</v>
      </c>
      <c r="E3555" s="14" t="str">
        <f>IFERROR(__xludf.DUMMYFUNCTION("""COMPUTED_VALUE"""),"Heri (BT)")</f>
        <v>Heri (BT)</v>
      </c>
      <c r="F3555" s="14" t="str">
        <f>IFERROR(__xludf.DUMMYFUNCTION("""COMPUTED_VALUE"""),"SELESAI (VIA PERMOHONAN)")</f>
        <v>SELESAI (VIA PERMOHONAN)</v>
      </c>
      <c r="G3555" s="17">
        <f>IFERROR(__xludf.DUMMYFUNCTION("""COMPUTED_VALUE"""),45894.60729675926)</f>
        <v>45894.6073</v>
      </c>
      <c r="H3555" s="14" t="str">
        <f>IFERROR(__xludf.DUMMYFUNCTION("""COMPUTED_VALUE"""),"Eci (SU)")</f>
        <v>Eci (SU)</v>
      </c>
      <c r="I3555" s="13" t="str">
        <f>IFERROR(__xludf.DUMMYFUNCTION("""COMPUTED_VALUE"""),"SELESAI (VIA PERMOHONAN)")</f>
        <v>SELESAI (VIA PERMOHONAN)</v>
      </c>
      <c r="J3555" s="17">
        <f>IFERROR(__xludf.DUMMYFUNCTION("""COMPUTED_VALUE"""),45895.61309590278)</f>
        <v>45895.6131</v>
      </c>
      <c r="K3555" s="13" t="str">
        <f>IFERROR(__xludf.DUMMYFUNCTION("""COMPUTED_VALUE"""),"Selesai")</f>
        <v>Selesai</v>
      </c>
      <c r="L3555" s="17">
        <f>IFERROR(__xludf.DUMMYFUNCTION("""COMPUTED_VALUE"""),45895.61309590278)</f>
        <v>45895.6131</v>
      </c>
      <c r="M3555" s="13"/>
      <c r="N3555" s="13" t="str">
        <f>IFERROR(__xludf.DUMMYFUNCTION("""COMPUTED_VALUE"""),"")</f>
        <v/>
      </c>
      <c r="O3555" s="13" t="str">
        <f t="shared" si="1"/>
        <v/>
      </c>
    </row>
    <row r="3556" ht="22.5" customHeight="1">
      <c r="B3556" s="13">
        <f>IFERROR(__xludf.DUMMYFUNCTION("""COMPUTED_VALUE"""),3551.0)</f>
        <v>3551</v>
      </c>
      <c r="C3556" s="13" t="str">
        <f>IFERROR(__xludf.DUMMYFUNCTION("""COMPUTED_VALUE"""),"HM 1199/WHP")</f>
        <v>HM 1199/WHP</v>
      </c>
      <c r="D3556" s="13" t="str">
        <f>IFERROR(__xludf.DUMMYFUNCTION("""COMPUTED_VALUE"""),"L/10/050825/1")</f>
        <v>L/10/050825/1</v>
      </c>
      <c r="E3556" s="14" t="str">
        <f>IFERROR(__xludf.DUMMYFUNCTION("""COMPUTED_VALUE"""),"Heri (BT)")</f>
        <v>Heri (BT)</v>
      </c>
      <c r="F3556" s="14" t="str">
        <f>IFERROR(__xludf.DUMMYFUNCTION("""COMPUTED_VALUE"""),"SELESAI (VIA PERMOHONAN)")</f>
        <v>SELESAI (VIA PERMOHONAN)</v>
      </c>
      <c r="G3556" s="17">
        <f>IFERROR(__xludf.DUMMYFUNCTION("""COMPUTED_VALUE"""),45894.60743293981)</f>
        <v>45894.60743</v>
      </c>
      <c r="H3556" s="14" t="str">
        <f>IFERROR(__xludf.DUMMYFUNCTION("""COMPUTED_VALUE"""),"Eci (SU)")</f>
        <v>Eci (SU)</v>
      </c>
      <c r="I3556" s="13" t="str">
        <f>IFERROR(__xludf.DUMMYFUNCTION("""COMPUTED_VALUE"""),"SELESAI (VIA PERMOHONAN)")</f>
        <v>SELESAI (VIA PERMOHONAN)</v>
      </c>
      <c r="J3556" s="17">
        <f>IFERROR(__xludf.DUMMYFUNCTION("""COMPUTED_VALUE"""),45894.679059131944)</f>
        <v>45894.67906</v>
      </c>
      <c r="K3556" s="13" t="str">
        <f>IFERROR(__xludf.DUMMYFUNCTION("""COMPUTED_VALUE"""),"Selesai")</f>
        <v>Selesai</v>
      </c>
      <c r="L3556" s="17">
        <f>IFERROR(__xludf.DUMMYFUNCTION("""COMPUTED_VALUE"""),45894.679059131944)</f>
        <v>45894.67906</v>
      </c>
      <c r="M3556" s="13"/>
      <c r="N3556" s="13" t="str">
        <f>IFERROR(__xludf.DUMMYFUNCTION("""COMPUTED_VALUE"""),"")</f>
        <v/>
      </c>
      <c r="O3556" s="13" t="str">
        <f t="shared" si="1"/>
        <v/>
      </c>
    </row>
    <row r="3557" ht="22.5" customHeight="1">
      <c r="B3557" s="13">
        <f>IFERROR(__xludf.DUMMYFUNCTION("""COMPUTED_VALUE"""),3552.0)</f>
        <v>3552</v>
      </c>
      <c r="C3557" s="13" t="str">
        <f>IFERROR(__xludf.DUMMYFUNCTION("""COMPUTED_VALUE"""),"B. 4453/SUKABUMI")</f>
        <v>B. 4453/SUKABUMI</v>
      </c>
      <c r="D3557" s="13" t="str">
        <f>IFERROR(__xludf.DUMMYFUNCTION("""COMPUTED_VALUE"""),"L/19/110825/1")</f>
        <v>L/19/110825/1</v>
      </c>
      <c r="E3557" s="14" t="str">
        <f>IFERROR(__xludf.DUMMYFUNCTION("""COMPUTED_VALUE"""),"Heri (BT)")</f>
        <v>Heri (BT)</v>
      </c>
      <c r="F3557" s="14" t="str">
        <f>IFERROR(__xludf.DUMMYFUNCTION("""COMPUTED_VALUE"""),"SELESAI (VIA PERMOHONAN)")</f>
        <v>SELESAI (VIA PERMOHONAN)</v>
      </c>
      <c r="G3557" s="17">
        <f>IFERROR(__xludf.DUMMYFUNCTION("""COMPUTED_VALUE"""),45894.60760024306)</f>
        <v>45894.6076</v>
      </c>
      <c r="H3557" s="14" t="str">
        <f>IFERROR(__xludf.DUMMYFUNCTION("""COMPUTED_VALUE"""),"Eci (SU)")</f>
        <v>Eci (SU)</v>
      </c>
      <c r="I3557" s="13" t="str">
        <f>IFERROR(__xludf.DUMMYFUNCTION("""COMPUTED_VALUE"""),"SELESAI (VIA PERMOHONAN)")</f>
        <v>SELESAI (VIA PERMOHONAN)</v>
      </c>
      <c r="J3557" s="17">
        <f>IFERROR(__xludf.DUMMYFUNCTION("""COMPUTED_VALUE"""),45895.61322244213)</f>
        <v>45895.61322</v>
      </c>
      <c r="K3557" s="13" t="str">
        <f>IFERROR(__xludf.DUMMYFUNCTION("""COMPUTED_VALUE"""),"Selesai")</f>
        <v>Selesai</v>
      </c>
      <c r="L3557" s="17">
        <f>IFERROR(__xludf.DUMMYFUNCTION("""COMPUTED_VALUE"""),45895.61322244213)</f>
        <v>45895.61322</v>
      </c>
      <c r="M3557" s="13"/>
      <c r="N3557" s="13" t="str">
        <f>IFERROR(__xludf.DUMMYFUNCTION("""COMPUTED_VALUE"""),"")</f>
        <v/>
      </c>
      <c r="O3557" s="13" t="str">
        <f t="shared" si="1"/>
        <v/>
      </c>
    </row>
    <row r="3558" ht="22.5" customHeight="1">
      <c r="B3558" s="13">
        <f>IFERROR(__xludf.DUMMYFUNCTION("""COMPUTED_VALUE"""),3553.0)</f>
        <v>3553</v>
      </c>
      <c r="C3558" s="13" t="str">
        <f>IFERROR(__xludf.DUMMYFUNCTION("""COMPUTED_VALUE"""),"SHM, 406/KEMILING PERMAI")</f>
        <v>SHM, 406/KEMILING PERMAI</v>
      </c>
      <c r="D3558" s="13" t="str">
        <f>IFERROR(__xludf.DUMMYFUNCTION("""COMPUTED_VALUE"""),"L/20/070826/1")</f>
        <v>L/20/070826/1</v>
      </c>
      <c r="E3558" s="14" t="str">
        <f>IFERROR(__xludf.DUMMYFUNCTION("""COMPUTED_VALUE"""),"Heri (BT)")</f>
        <v>Heri (BT)</v>
      </c>
      <c r="F3558" s="14" t="str">
        <f>IFERROR(__xludf.DUMMYFUNCTION("""COMPUTED_VALUE"""),"SELESAI (VIA PERMOHONAN)")</f>
        <v>SELESAI (VIA PERMOHONAN)</v>
      </c>
      <c r="G3558" s="17">
        <f>IFERROR(__xludf.DUMMYFUNCTION("""COMPUTED_VALUE"""),45894.60784724537)</f>
        <v>45894.60785</v>
      </c>
      <c r="H3558" s="14" t="str">
        <f>IFERROR(__xludf.DUMMYFUNCTION("""COMPUTED_VALUE"""),"Eci (SU)")</f>
        <v>Eci (SU)</v>
      </c>
      <c r="I3558" s="13" t="str">
        <f>IFERROR(__xludf.DUMMYFUNCTION("""COMPUTED_VALUE"""),"SELESAI (VIA PERMOHONAN)")</f>
        <v>SELESAI (VIA PERMOHONAN)</v>
      </c>
      <c r="J3558" s="17">
        <f>IFERROR(__xludf.DUMMYFUNCTION("""COMPUTED_VALUE"""),45894.668114050924)</f>
        <v>45894.66811</v>
      </c>
      <c r="K3558" s="13" t="str">
        <f>IFERROR(__xludf.DUMMYFUNCTION("""COMPUTED_VALUE"""),"Selesai")</f>
        <v>Selesai</v>
      </c>
      <c r="L3558" s="17">
        <f>IFERROR(__xludf.DUMMYFUNCTION("""COMPUTED_VALUE"""),45894.668114050924)</f>
        <v>45894.66811</v>
      </c>
      <c r="M3558" s="13"/>
      <c r="N3558" s="13" t="str">
        <f>IFERROR(__xludf.DUMMYFUNCTION("""COMPUTED_VALUE"""),"")</f>
        <v/>
      </c>
      <c r="O3558" s="13" t="str">
        <f t="shared" si="1"/>
        <v/>
      </c>
    </row>
    <row r="3559" ht="22.5" customHeight="1">
      <c r="B3559" s="13">
        <f>IFERROR(__xludf.DUMMYFUNCTION("""COMPUTED_VALUE"""),3554.0)</f>
        <v>3554</v>
      </c>
      <c r="C3559" s="13" t="str">
        <f>IFERROR(__xludf.DUMMYFUNCTION("""COMPUTED_VALUE"""),"M.27/GUNUNG SULAH")</f>
        <v>M.27/GUNUNG SULAH</v>
      </c>
      <c r="D3559" s="13" t="str">
        <f>IFERROR(__xludf.DUMMYFUNCTION("""COMPUTED_VALUE"""),"L/10/130825/1")</f>
        <v>L/10/130825/1</v>
      </c>
      <c r="E3559" s="14" t="str">
        <f>IFERROR(__xludf.DUMMYFUNCTION("""COMPUTED_VALUE"""),"Heri (BT)")</f>
        <v>Heri (BT)</v>
      </c>
      <c r="F3559" s="14" t="str">
        <f>IFERROR(__xludf.DUMMYFUNCTION("""COMPUTED_VALUE"""),"SELESAI (VIA PERMOHONAN)")</f>
        <v>SELESAI (VIA PERMOHONAN)</v>
      </c>
      <c r="G3559" s="17">
        <f>IFERROR(__xludf.DUMMYFUNCTION("""COMPUTED_VALUE"""),45894.60806734954)</f>
        <v>45894.60807</v>
      </c>
      <c r="H3559" s="14" t="str">
        <f>IFERROR(__xludf.DUMMYFUNCTION("""COMPUTED_VALUE"""),"Eci (SU)")</f>
        <v>Eci (SU)</v>
      </c>
      <c r="I3559" s="13" t="str">
        <f>IFERROR(__xludf.DUMMYFUNCTION("""COMPUTED_VALUE"""),"SELESAI (VIA PERMOHONAN)")</f>
        <v>SELESAI (VIA PERMOHONAN)</v>
      </c>
      <c r="J3559" s="17">
        <f>IFERROR(__xludf.DUMMYFUNCTION("""COMPUTED_VALUE"""),45895.61347489583)</f>
        <v>45895.61347</v>
      </c>
      <c r="K3559" s="13" t="str">
        <f>IFERROR(__xludf.DUMMYFUNCTION("""COMPUTED_VALUE"""),"Selesai")</f>
        <v>Selesai</v>
      </c>
      <c r="L3559" s="17">
        <f>IFERROR(__xludf.DUMMYFUNCTION("""COMPUTED_VALUE"""),45895.61347489583)</f>
        <v>45895.61347</v>
      </c>
      <c r="M3559" s="13"/>
      <c r="N3559" s="13" t="str">
        <f>IFERROR(__xludf.DUMMYFUNCTION("""COMPUTED_VALUE"""),"")</f>
        <v/>
      </c>
      <c r="O3559" s="13" t="str">
        <f t="shared" si="1"/>
        <v/>
      </c>
    </row>
    <row r="3560" ht="22.5" customHeight="1">
      <c r="B3560" s="13">
        <f>IFERROR(__xludf.DUMMYFUNCTION("""COMPUTED_VALUE"""),3555.0)</f>
        <v>3555</v>
      </c>
      <c r="C3560" s="13" t="str">
        <f>IFERROR(__xludf.DUMMYFUNCTION("""COMPUTED_VALUE"""),"M. 1348/SRENGSEM")</f>
        <v>M. 1348/SRENGSEM</v>
      </c>
      <c r="D3560" s="13" t="str">
        <f>IFERROR(__xludf.DUMMYFUNCTION("""COMPUTED_VALUE"""),"L/17/140825/1")</f>
        <v>L/17/140825/1</v>
      </c>
      <c r="E3560" s="14" t="str">
        <f>IFERROR(__xludf.DUMMYFUNCTION("""COMPUTED_VALUE"""),"Heri (BT)")</f>
        <v>Heri (BT)</v>
      </c>
      <c r="F3560" s="14" t="str">
        <f>IFERROR(__xludf.DUMMYFUNCTION("""COMPUTED_VALUE"""),"SELESAI (VIA PERMOHONAN)")</f>
        <v>SELESAI (VIA PERMOHONAN)</v>
      </c>
      <c r="G3560" s="17">
        <f>IFERROR(__xludf.DUMMYFUNCTION("""COMPUTED_VALUE"""),45894.60815743056)</f>
        <v>45894.60816</v>
      </c>
      <c r="H3560" s="14" t="str">
        <f>IFERROR(__xludf.DUMMYFUNCTION("""COMPUTED_VALUE"""),"Eci (SU)")</f>
        <v>Eci (SU)</v>
      </c>
      <c r="I3560" s="13" t="str">
        <f>IFERROR(__xludf.DUMMYFUNCTION("""COMPUTED_VALUE"""),"SELESAI (VIA PERMOHONAN)")</f>
        <v>SELESAI (VIA PERMOHONAN)</v>
      </c>
      <c r="J3560" s="17">
        <f>IFERROR(__xludf.DUMMYFUNCTION("""COMPUTED_VALUE"""),45895.61362315972)</f>
        <v>45895.61362</v>
      </c>
      <c r="K3560" s="13" t="str">
        <f>IFERROR(__xludf.DUMMYFUNCTION("""COMPUTED_VALUE"""),"Selesai")</f>
        <v>Selesai</v>
      </c>
      <c r="L3560" s="17">
        <f>IFERROR(__xludf.DUMMYFUNCTION("""COMPUTED_VALUE"""),45895.61362315972)</f>
        <v>45895.61362</v>
      </c>
      <c r="M3560" s="13"/>
      <c r="N3560" s="13" t="str">
        <f>IFERROR(__xludf.DUMMYFUNCTION("""COMPUTED_VALUE"""),"")</f>
        <v/>
      </c>
      <c r="O3560" s="13" t="str">
        <f t="shared" si="1"/>
        <v/>
      </c>
    </row>
    <row r="3561" ht="22.5" customHeight="1">
      <c r="B3561" s="13">
        <f>IFERROR(__xludf.DUMMYFUNCTION("""COMPUTED_VALUE"""),3556.0)</f>
        <v>3556</v>
      </c>
      <c r="C3561" s="13" t="str">
        <f>IFERROR(__xludf.DUMMYFUNCTION("""COMPUTED_VALUE"""),"M. 14990/ Rajabasa")</f>
        <v>M. 14990/ Rajabasa</v>
      </c>
      <c r="D3561" s="13" t="str">
        <f>IFERROR(__xludf.DUMMYFUNCTION("""COMPUTED_VALUE"""),"K/10/290725/1")</f>
        <v>K/10/290725/1</v>
      </c>
      <c r="E3561" s="14" t="str">
        <f>IFERROR(__xludf.DUMMYFUNCTION("""COMPUTED_VALUE"""),"Heri (BT)")</f>
        <v>Heri (BT)</v>
      </c>
      <c r="F3561" s="14" t="str">
        <f>IFERROR(__xludf.DUMMYFUNCTION("""COMPUTED_VALUE"""),"SELESAI (VIA PERMOHONAN)")</f>
        <v>SELESAI (VIA PERMOHONAN)</v>
      </c>
      <c r="G3561" s="17">
        <f>IFERROR(__xludf.DUMMYFUNCTION("""COMPUTED_VALUE"""),45894.60832155093)</f>
        <v>45894.60832</v>
      </c>
      <c r="H3561" s="14" t="str">
        <f>IFERROR(__xludf.DUMMYFUNCTION("""COMPUTED_VALUE"""),"Eci (SU)")</f>
        <v>Eci (SU)</v>
      </c>
      <c r="I3561" s="13" t="str">
        <f>IFERROR(__xludf.DUMMYFUNCTION("""COMPUTED_VALUE"""),"SELESAI (VIA PERMOHONAN)")</f>
        <v>SELESAI (VIA PERMOHONAN)</v>
      </c>
      <c r="J3561" s="17">
        <f>IFERROR(__xludf.DUMMYFUNCTION("""COMPUTED_VALUE"""),45894.66834240741)</f>
        <v>45894.66834</v>
      </c>
      <c r="K3561" s="13" t="str">
        <f>IFERROR(__xludf.DUMMYFUNCTION("""COMPUTED_VALUE"""),"Selesai")</f>
        <v>Selesai</v>
      </c>
      <c r="L3561" s="17">
        <f>IFERROR(__xludf.DUMMYFUNCTION("""COMPUTED_VALUE"""),45894.66834240741)</f>
        <v>45894.66834</v>
      </c>
      <c r="M3561" s="13"/>
      <c r="N3561" s="13" t="str">
        <f>IFERROR(__xludf.DUMMYFUNCTION("""COMPUTED_VALUE"""),"")</f>
        <v/>
      </c>
      <c r="O3561" s="13" t="str">
        <f t="shared" si="1"/>
        <v/>
      </c>
    </row>
    <row r="3562" ht="22.5" customHeight="1">
      <c r="B3562" s="13">
        <f>IFERROR(__xludf.DUMMYFUNCTION("""COMPUTED_VALUE"""),3557.0)</f>
        <v>3557</v>
      </c>
      <c r="C3562" s="13" t="str">
        <f>IFERROR(__xludf.DUMMYFUNCTION("""COMPUTED_VALUE"""),"M. 10488/Rajabasa")</f>
        <v>M. 10488/Rajabasa</v>
      </c>
      <c r="D3562" s="13" t="str">
        <f>IFERROR(__xludf.DUMMYFUNCTION("""COMPUTED_VALUE"""),"")</f>
        <v/>
      </c>
      <c r="E3562" s="14" t="str">
        <f>IFERROR(__xludf.DUMMYFUNCTION("""COMPUTED_VALUE"""),"Heri (BT)")</f>
        <v>Heri (BT)</v>
      </c>
      <c r="F3562" s="14" t="str">
        <f>IFERROR(__xludf.DUMMYFUNCTION("""COMPUTED_VALUE"""),"SELESAI (VIA PERMOHONAN)")</f>
        <v>SELESAI (VIA PERMOHONAN)</v>
      </c>
      <c r="G3562" s="17">
        <f>IFERROR(__xludf.DUMMYFUNCTION("""COMPUTED_VALUE"""),45894.608546539355)</f>
        <v>45894.60855</v>
      </c>
      <c r="H3562" s="14" t="str">
        <f>IFERROR(__xludf.DUMMYFUNCTION("""COMPUTED_VALUE"""),"Eci (SU)")</f>
        <v>Eci (SU)</v>
      </c>
      <c r="I3562" s="13" t="str">
        <f>IFERROR(__xludf.DUMMYFUNCTION("""COMPUTED_VALUE"""),"SELESAI (VIA PERMOHONAN)")</f>
        <v>SELESAI (VIA PERMOHONAN)</v>
      </c>
      <c r="J3562" s="17">
        <f>IFERROR(__xludf.DUMMYFUNCTION("""COMPUTED_VALUE"""),45895.61379967592)</f>
        <v>45895.6138</v>
      </c>
      <c r="K3562" s="13" t="str">
        <f>IFERROR(__xludf.DUMMYFUNCTION("""COMPUTED_VALUE"""),"")</f>
        <v/>
      </c>
      <c r="L3562" s="13" t="str">
        <f>IFERROR(__xludf.DUMMYFUNCTION("""COMPUTED_VALUE"""),"")</f>
        <v/>
      </c>
      <c r="M3562" s="13"/>
      <c r="N3562" s="13" t="str">
        <f>IFERROR(__xludf.DUMMYFUNCTION("""COMPUTED_VALUE"""),"")</f>
        <v/>
      </c>
      <c r="O3562" s="13" t="str">
        <f t="shared" si="1"/>
        <v/>
      </c>
    </row>
    <row r="3563" ht="22.5" customHeight="1">
      <c r="B3563" s="13">
        <f>IFERROR(__xludf.DUMMYFUNCTION("""COMPUTED_VALUE"""),3558.0)</f>
        <v>3558</v>
      </c>
      <c r="C3563" s="13" t="str">
        <f>IFERROR(__xludf.DUMMYFUNCTION("""COMPUTED_VALUE"""),"M. 9043/Sukamenanti")</f>
        <v>M. 9043/Sukamenanti</v>
      </c>
      <c r="D3563" s="13" t="str">
        <f>IFERROR(__xludf.DUMMYFUNCTION("""COMPUTED_VALUE"""),"K/26/140825/2")</f>
        <v>K/26/140825/2</v>
      </c>
      <c r="E3563" s="14" t="str">
        <f>IFERROR(__xludf.DUMMYFUNCTION("""COMPUTED_VALUE"""),"Heri (BT)")</f>
        <v>Heri (BT)</v>
      </c>
      <c r="F3563" s="14" t="str">
        <f>IFERROR(__xludf.DUMMYFUNCTION("""COMPUTED_VALUE"""),"SELESAI (VIA PERMOHONAN)")</f>
        <v>SELESAI (VIA PERMOHONAN)</v>
      </c>
      <c r="G3563" s="17">
        <f>IFERROR(__xludf.DUMMYFUNCTION("""COMPUTED_VALUE"""),45894.608705289356)</f>
        <v>45894.60871</v>
      </c>
      <c r="H3563" s="14" t="str">
        <f>IFERROR(__xludf.DUMMYFUNCTION("""COMPUTED_VALUE"""),"Eci (SU)")</f>
        <v>Eci (SU)</v>
      </c>
      <c r="I3563" s="13" t="str">
        <f>IFERROR(__xludf.DUMMYFUNCTION("""COMPUTED_VALUE"""),"SELESAI (VIA PERMOHONAN)")</f>
        <v>SELESAI (VIA PERMOHONAN)</v>
      </c>
      <c r="J3563" s="17">
        <f>IFERROR(__xludf.DUMMYFUNCTION("""COMPUTED_VALUE"""),45894.678103819446)</f>
        <v>45894.6781</v>
      </c>
      <c r="K3563" s="13" t="str">
        <f>IFERROR(__xludf.DUMMYFUNCTION("""COMPUTED_VALUE"""),"Selesai")</f>
        <v>Selesai</v>
      </c>
      <c r="L3563" s="17">
        <f>IFERROR(__xludf.DUMMYFUNCTION("""COMPUTED_VALUE"""),45894.678103819446)</f>
        <v>45894.6781</v>
      </c>
      <c r="M3563" s="13"/>
      <c r="N3563" s="13" t="str">
        <f>IFERROR(__xludf.DUMMYFUNCTION("""COMPUTED_VALUE"""),"")</f>
        <v/>
      </c>
      <c r="O3563" s="13" t="str">
        <f t="shared" si="1"/>
        <v/>
      </c>
    </row>
    <row r="3564" ht="22.5" customHeight="1">
      <c r="B3564" s="13">
        <f>IFERROR(__xludf.DUMMYFUNCTION("""COMPUTED_VALUE"""),3559.0)</f>
        <v>3559</v>
      </c>
      <c r="C3564" s="13" t="str">
        <f>IFERROR(__xludf.DUMMYFUNCTION("""COMPUTED_VALUE"""),"M. 1528/Kedaung")</f>
        <v>M. 1528/Kedaung</v>
      </c>
      <c r="D3564" s="13" t="str">
        <f>IFERROR(__xludf.DUMMYFUNCTION("""COMPUTED_VALUE"""),"K/13/130825/1")</f>
        <v>K/13/130825/1</v>
      </c>
      <c r="E3564" s="14" t="str">
        <f>IFERROR(__xludf.DUMMYFUNCTION("""COMPUTED_VALUE"""),"Heri (BT)")</f>
        <v>Heri (BT)</v>
      </c>
      <c r="F3564" s="14" t="str">
        <f>IFERROR(__xludf.DUMMYFUNCTION("""COMPUTED_VALUE"""),"SELESAI (VIA PERMOHONAN)")</f>
        <v>SELESAI (VIA PERMOHONAN)</v>
      </c>
      <c r="G3564" s="17">
        <f>IFERROR(__xludf.DUMMYFUNCTION("""COMPUTED_VALUE"""),45894.60903958333)</f>
        <v>45894.60904</v>
      </c>
      <c r="H3564" s="14" t="str">
        <f>IFERROR(__xludf.DUMMYFUNCTION("""COMPUTED_VALUE"""),"Eci (SU)")</f>
        <v>Eci (SU)</v>
      </c>
      <c r="I3564" s="13" t="str">
        <f>IFERROR(__xludf.DUMMYFUNCTION("""COMPUTED_VALUE"""),"SELESAI (VIA PERMOHONAN)")</f>
        <v>SELESAI (VIA PERMOHONAN)</v>
      </c>
      <c r="J3564" s="17">
        <f>IFERROR(__xludf.DUMMYFUNCTION("""COMPUTED_VALUE"""),45894.66847528935)</f>
        <v>45894.66848</v>
      </c>
      <c r="K3564" s="13" t="str">
        <f>IFERROR(__xludf.DUMMYFUNCTION("""COMPUTED_VALUE"""),"Selesai")</f>
        <v>Selesai</v>
      </c>
      <c r="L3564" s="17">
        <f>IFERROR(__xludf.DUMMYFUNCTION("""COMPUTED_VALUE"""),45894.66847528935)</f>
        <v>45894.66848</v>
      </c>
      <c r="M3564" s="13"/>
      <c r="N3564" s="13" t="str">
        <f>IFERROR(__xludf.DUMMYFUNCTION("""COMPUTED_VALUE"""),"")</f>
        <v/>
      </c>
      <c r="O3564" s="13" t="str">
        <f t="shared" si="1"/>
        <v/>
      </c>
    </row>
    <row r="3565" ht="22.5" customHeight="1">
      <c r="B3565" s="13">
        <f>IFERROR(__xludf.DUMMYFUNCTION("""COMPUTED_VALUE"""),3560.0)</f>
        <v>3560</v>
      </c>
      <c r="C3565" s="13" t="str">
        <f>IFERROR(__xludf.DUMMYFUNCTION("""COMPUTED_VALUE"""),"B. 27/ Kampung Baru")</f>
        <v>B. 27/ Kampung Baru</v>
      </c>
      <c r="D3565" s="13" t="str">
        <f>IFERROR(__xludf.DUMMYFUNCTION("""COMPUTED_VALUE"""),"K/23/080725/2")</f>
        <v>K/23/080725/2</v>
      </c>
      <c r="E3565" s="14" t="str">
        <f>IFERROR(__xludf.DUMMYFUNCTION("""COMPUTED_VALUE"""),"Heri (BT)")</f>
        <v>Heri (BT)</v>
      </c>
      <c r="F3565" s="14" t="str">
        <f>IFERROR(__xludf.DUMMYFUNCTION("""COMPUTED_VALUE"""),"SELESAI (VIA PERMOHONAN)")</f>
        <v>SELESAI (VIA PERMOHONAN)</v>
      </c>
      <c r="G3565" s="17">
        <f>IFERROR(__xludf.DUMMYFUNCTION("""COMPUTED_VALUE"""),45895.36453465278)</f>
        <v>45895.36453</v>
      </c>
      <c r="H3565" s="14" t="str">
        <f>IFERROR(__xludf.DUMMYFUNCTION("""COMPUTED_VALUE"""),"Eci (SU)")</f>
        <v>Eci (SU)</v>
      </c>
      <c r="I3565" s="13" t="str">
        <f>IFERROR(__xludf.DUMMYFUNCTION("""COMPUTED_VALUE"""),"SELESAI (VIA PERMOHONAN)")</f>
        <v>SELESAI (VIA PERMOHONAN)</v>
      </c>
      <c r="J3565" s="17">
        <f>IFERROR(__xludf.DUMMYFUNCTION("""COMPUTED_VALUE"""),45895.608652835646)</f>
        <v>45895.60865</v>
      </c>
      <c r="K3565" s="13" t="str">
        <f>IFERROR(__xludf.DUMMYFUNCTION("""COMPUTED_VALUE"""),"Selesai")</f>
        <v>Selesai</v>
      </c>
      <c r="L3565" s="17">
        <f>IFERROR(__xludf.DUMMYFUNCTION("""COMPUTED_VALUE"""),45895.608652835646)</f>
        <v>45895.60865</v>
      </c>
      <c r="M3565" s="13"/>
      <c r="N3565" s="13" t="str">
        <f>IFERROR(__xludf.DUMMYFUNCTION("""COMPUTED_VALUE"""),"")</f>
        <v/>
      </c>
      <c r="O3565" s="13" t="str">
        <f t="shared" si="1"/>
        <v/>
      </c>
    </row>
    <row r="3566" ht="22.5" customHeight="1">
      <c r="B3566" s="13">
        <f>IFERROR(__xludf.DUMMYFUNCTION("""COMPUTED_VALUE"""),3561.0)</f>
        <v>3561</v>
      </c>
      <c r="C3566" s="13" t="str">
        <f>IFERROR(__xludf.DUMMYFUNCTION("""COMPUTED_VALUE"""),"M. 1025/ Jagabaya III  ")</f>
        <v>M. 1025/ Jagabaya III  </v>
      </c>
      <c r="D3566" s="13" t="str">
        <f>IFERROR(__xludf.DUMMYFUNCTION("""COMPUTED_VALUE"""),"K/23/040825/3")</f>
        <v>K/23/040825/3</v>
      </c>
      <c r="E3566" s="14" t="str">
        <f>IFERROR(__xludf.DUMMYFUNCTION("""COMPUTED_VALUE"""),"Heri (BT)")</f>
        <v>Heri (BT)</v>
      </c>
      <c r="F3566" s="14" t="str">
        <f>IFERROR(__xludf.DUMMYFUNCTION("""COMPUTED_VALUE"""),"SELESAI (VIA PERMOHONAN)")</f>
        <v>SELESAI (VIA PERMOHONAN)</v>
      </c>
      <c r="G3566" s="17">
        <f>IFERROR(__xludf.DUMMYFUNCTION("""COMPUTED_VALUE"""),45895.36483362269)</f>
        <v>45895.36483</v>
      </c>
      <c r="H3566" s="14" t="str">
        <f>IFERROR(__xludf.DUMMYFUNCTION("""COMPUTED_VALUE"""),"Eci (SU)")</f>
        <v>Eci (SU)</v>
      </c>
      <c r="I3566" s="13" t="str">
        <f>IFERROR(__xludf.DUMMYFUNCTION("""COMPUTED_VALUE"""),"SELESAI (VIA PERMOHONAN)")</f>
        <v>SELESAI (VIA PERMOHONAN)</v>
      </c>
      <c r="J3566" s="17">
        <f>IFERROR(__xludf.DUMMYFUNCTION("""COMPUTED_VALUE"""),45895.608553391205)</f>
        <v>45895.60855</v>
      </c>
      <c r="K3566" s="13" t="str">
        <f>IFERROR(__xludf.DUMMYFUNCTION("""COMPUTED_VALUE"""),"Selesai")</f>
        <v>Selesai</v>
      </c>
      <c r="L3566" s="17">
        <f>IFERROR(__xludf.DUMMYFUNCTION("""COMPUTED_VALUE"""),45895.608553391205)</f>
        <v>45895.60855</v>
      </c>
      <c r="M3566" s="13"/>
      <c r="N3566" s="13" t="str">
        <f>IFERROR(__xludf.DUMMYFUNCTION("""COMPUTED_VALUE"""),"")</f>
        <v/>
      </c>
      <c r="O3566" s="13" t="str">
        <f t="shared" si="1"/>
        <v/>
      </c>
    </row>
    <row r="3567" ht="22.5" customHeight="1">
      <c r="B3567" s="13">
        <f>IFERROR(__xludf.DUMMYFUNCTION("""COMPUTED_VALUE"""),3562.0)</f>
        <v>3562</v>
      </c>
      <c r="C3567" s="13" t="str">
        <f>IFERROR(__xludf.DUMMYFUNCTION("""COMPUTED_VALUE"""),"M. 2454/ Kedaung")</f>
        <v>M. 2454/ Kedaung</v>
      </c>
      <c r="D3567" s="13" t="str">
        <f>IFERROR(__xludf.DUMMYFUNCTION("""COMPUTED_VALUE"""),"K/38/290725/1")</f>
        <v>K/38/290725/1</v>
      </c>
      <c r="E3567" s="14" t="str">
        <f>IFERROR(__xludf.DUMMYFUNCTION("""COMPUTED_VALUE"""),"Heri (BT)")</f>
        <v>Heri (BT)</v>
      </c>
      <c r="F3567" s="14" t="str">
        <f>IFERROR(__xludf.DUMMYFUNCTION("""COMPUTED_VALUE"""),"SELESAI (VIA PERMOHONAN)")</f>
        <v>SELESAI (VIA PERMOHONAN)</v>
      </c>
      <c r="G3567" s="17">
        <f>IFERROR(__xludf.DUMMYFUNCTION("""COMPUTED_VALUE"""),45895.36497947917)</f>
        <v>45895.36498</v>
      </c>
      <c r="H3567" s="14" t="str">
        <f>IFERROR(__xludf.DUMMYFUNCTION("""COMPUTED_VALUE"""),"Eci (SU)")</f>
        <v>Eci (SU)</v>
      </c>
      <c r="I3567" s="13" t="str">
        <f>IFERROR(__xludf.DUMMYFUNCTION("""COMPUTED_VALUE"""),"SELESAI (VIA PERMOHONAN)")</f>
        <v>SELESAI (VIA PERMOHONAN)</v>
      </c>
      <c r="J3567" s="17">
        <f>IFERROR(__xludf.DUMMYFUNCTION("""COMPUTED_VALUE"""),45895.60826119213)</f>
        <v>45895.60826</v>
      </c>
      <c r="K3567" s="13" t="str">
        <f>IFERROR(__xludf.DUMMYFUNCTION("""COMPUTED_VALUE"""),"Selesai")</f>
        <v>Selesai</v>
      </c>
      <c r="L3567" s="17">
        <f>IFERROR(__xludf.DUMMYFUNCTION("""COMPUTED_VALUE"""),45895.60826119213)</f>
        <v>45895.60826</v>
      </c>
      <c r="M3567" s="13"/>
      <c r="N3567" s="13" t="str">
        <f>IFERROR(__xludf.DUMMYFUNCTION("""COMPUTED_VALUE"""),"")</f>
        <v/>
      </c>
      <c r="O3567" s="13" t="str">
        <f t="shared" si="1"/>
        <v/>
      </c>
    </row>
    <row r="3568" ht="22.5" customHeight="1">
      <c r="B3568" s="13">
        <f>IFERROR(__xludf.DUMMYFUNCTION("""COMPUTED_VALUE"""),3563.0)</f>
        <v>3563</v>
      </c>
      <c r="C3568" s="13" t="str">
        <f>IFERROR(__xludf.DUMMYFUNCTION("""COMPUTED_VALUE"""),"M. 1520/ BERINGIN JAYA")</f>
        <v>M. 1520/ BERINGIN JAYA</v>
      </c>
      <c r="D3568" s="13" t="str">
        <f>IFERROR(__xludf.DUMMYFUNCTION("""COMPUTED_VALUE"""),"K/26/070827/1")</f>
        <v>K/26/070827/1</v>
      </c>
      <c r="E3568" s="14" t="str">
        <f>IFERROR(__xludf.DUMMYFUNCTION("""COMPUTED_VALUE"""),"Heri (BT)")</f>
        <v>Heri (BT)</v>
      </c>
      <c r="F3568" s="14" t="str">
        <f>IFERROR(__xludf.DUMMYFUNCTION("""COMPUTED_VALUE"""),"SELESAI (VIA PERMOHONAN)")</f>
        <v>SELESAI (VIA PERMOHONAN)</v>
      </c>
      <c r="G3568" s="17">
        <f>IFERROR(__xludf.DUMMYFUNCTION("""COMPUTED_VALUE"""),45895.36515200231)</f>
        <v>45895.36515</v>
      </c>
      <c r="H3568" s="14" t="str">
        <f>IFERROR(__xludf.DUMMYFUNCTION("""COMPUTED_VALUE"""),"Eci (SU)")</f>
        <v>Eci (SU)</v>
      </c>
      <c r="I3568" s="13" t="str">
        <f>IFERROR(__xludf.DUMMYFUNCTION("""COMPUTED_VALUE"""),"SELESAI (VIA PERMOHONAN)")</f>
        <v>SELESAI (VIA PERMOHONAN)</v>
      </c>
      <c r="J3568" s="17">
        <f>IFERROR(__xludf.DUMMYFUNCTION("""COMPUTED_VALUE"""),45895.60812579861)</f>
        <v>45895.60813</v>
      </c>
      <c r="K3568" s="13" t="str">
        <f>IFERROR(__xludf.DUMMYFUNCTION("""COMPUTED_VALUE"""),"Selesai")</f>
        <v>Selesai</v>
      </c>
      <c r="L3568" s="17">
        <f>IFERROR(__xludf.DUMMYFUNCTION("""COMPUTED_VALUE"""),45895.60812579861)</f>
        <v>45895.60813</v>
      </c>
      <c r="M3568" s="13"/>
      <c r="N3568" s="13" t="str">
        <f>IFERROR(__xludf.DUMMYFUNCTION("""COMPUTED_VALUE"""),"")</f>
        <v/>
      </c>
      <c r="O3568" s="13" t="str">
        <f t="shared" si="1"/>
        <v/>
      </c>
    </row>
    <row r="3569" ht="22.5" customHeight="1">
      <c r="B3569" s="13">
        <f>IFERROR(__xludf.DUMMYFUNCTION("""COMPUTED_VALUE"""),3564.0)</f>
        <v>3564</v>
      </c>
      <c r="C3569" s="13" t="str">
        <f>IFERROR(__xludf.DUMMYFUNCTION("""COMPUTED_VALUE"""),"M. 1013/ NOG")</f>
        <v>M. 1013/ NOG</v>
      </c>
      <c r="D3569" s="13" t="str">
        <f>IFERROR(__xludf.DUMMYFUNCTION("""COMPUTED_VALUE"""),"K/7/130825/1")</f>
        <v>K/7/130825/1</v>
      </c>
      <c r="E3569" s="14" t="str">
        <f>IFERROR(__xludf.DUMMYFUNCTION("""COMPUTED_VALUE"""),"Heri (BT)")</f>
        <v>Heri (BT)</v>
      </c>
      <c r="F3569" s="14" t="str">
        <f>IFERROR(__xludf.DUMMYFUNCTION("""COMPUTED_VALUE"""),"SELESAI (VIA PERMOHONAN)")</f>
        <v>SELESAI (VIA PERMOHONAN)</v>
      </c>
      <c r="G3569" s="17">
        <f>IFERROR(__xludf.DUMMYFUNCTION("""COMPUTED_VALUE"""),45895.36532053241)</f>
        <v>45895.36532</v>
      </c>
      <c r="H3569" s="14" t="str">
        <f>IFERROR(__xludf.DUMMYFUNCTION("""COMPUTED_VALUE"""),"Eci (SU)")</f>
        <v>Eci (SU)</v>
      </c>
      <c r="I3569" s="13" t="str">
        <f>IFERROR(__xludf.DUMMYFUNCTION("""COMPUTED_VALUE"""),"SELESAI (VIA PERMOHONAN)")</f>
        <v>SELESAI (VIA PERMOHONAN)</v>
      </c>
      <c r="J3569" s="17">
        <f>IFERROR(__xludf.DUMMYFUNCTION("""COMPUTED_VALUE"""),45895.60799912037)</f>
        <v>45895.608</v>
      </c>
      <c r="K3569" s="13" t="str">
        <f>IFERROR(__xludf.DUMMYFUNCTION("""COMPUTED_VALUE"""),"Selesai")</f>
        <v>Selesai</v>
      </c>
      <c r="L3569" s="17">
        <f>IFERROR(__xludf.DUMMYFUNCTION("""COMPUTED_VALUE"""),45895.60799912037)</f>
        <v>45895.608</v>
      </c>
      <c r="M3569" s="13"/>
      <c r="N3569" s="13" t="str">
        <f>IFERROR(__xludf.DUMMYFUNCTION("""COMPUTED_VALUE"""),"")</f>
        <v/>
      </c>
      <c r="O3569" s="13" t="str">
        <f t="shared" si="1"/>
        <v/>
      </c>
    </row>
    <row r="3570" ht="22.5" customHeight="1">
      <c r="B3570" s="13">
        <f>IFERROR(__xludf.DUMMYFUNCTION("""COMPUTED_VALUE"""),3565.0)</f>
        <v>3565</v>
      </c>
      <c r="C3570" s="13" t="str">
        <f>IFERROR(__xludf.DUMMYFUNCTION("""COMPUTED_VALUE"""),"M. 10309/ SIDODADI")</f>
        <v>M. 10309/ SIDODADI</v>
      </c>
      <c r="D3570" s="13" t="str">
        <f>IFERROR(__xludf.DUMMYFUNCTION("""COMPUTED_VALUE"""),"K/8/110825/1")</f>
        <v>K/8/110825/1</v>
      </c>
      <c r="E3570" s="14" t="str">
        <f>IFERROR(__xludf.DUMMYFUNCTION("""COMPUTED_VALUE"""),"Heri (BT)")</f>
        <v>Heri (BT)</v>
      </c>
      <c r="F3570" s="14" t="str">
        <f>IFERROR(__xludf.DUMMYFUNCTION("""COMPUTED_VALUE"""),"SELESAI (VIA PERMOHONAN)")</f>
        <v>SELESAI (VIA PERMOHONAN)</v>
      </c>
      <c r="G3570" s="17">
        <f>IFERROR(__xludf.DUMMYFUNCTION("""COMPUTED_VALUE"""),45895.36561674769)</f>
        <v>45895.36562</v>
      </c>
      <c r="H3570" s="14" t="str">
        <f>IFERROR(__xludf.DUMMYFUNCTION("""COMPUTED_VALUE"""),"Eci (SU)")</f>
        <v>Eci (SU)</v>
      </c>
      <c r="I3570" s="13" t="str">
        <f>IFERROR(__xludf.DUMMYFUNCTION("""COMPUTED_VALUE"""),"SELESAI (VIA PERMOHONAN)")</f>
        <v>SELESAI (VIA PERMOHONAN)</v>
      </c>
      <c r="J3570" s="17">
        <f>IFERROR(__xludf.DUMMYFUNCTION("""COMPUTED_VALUE"""),45895.60668386574)</f>
        <v>45895.60668</v>
      </c>
      <c r="K3570" s="13" t="str">
        <f>IFERROR(__xludf.DUMMYFUNCTION("""COMPUTED_VALUE"""),"Selesai")</f>
        <v>Selesai</v>
      </c>
      <c r="L3570" s="17">
        <f>IFERROR(__xludf.DUMMYFUNCTION("""COMPUTED_VALUE"""),45895.60668386574)</f>
        <v>45895.60668</v>
      </c>
      <c r="M3570" s="13"/>
      <c r="N3570" s="13" t="str">
        <f>IFERROR(__xludf.DUMMYFUNCTION("""COMPUTED_VALUE"""),"")</f>
        <v/>
      </c>
      <c r="O3570" s="13" t="str">
        <f t="shared" si="1"/>
        <v/>
      </c>
    </row>
    <row r="3571" ht="22.5" customHeight="1">
      <c r="B3571" s="13">
        <f>IFERROR(__xludf.DUMMYFUNCTION("""COMPUTED_VALUE"""),3566.0)</f>
        <v>3566</v>
      </c>
      <c r="C3571" s="13" t="str">
        <f>IFERROR(__xludf.DUMMYFUNCTION("""COMPUTED_VALUE"""),"M. 11268/TANJUNG BARU")</f>
        <v>M. 11268/TANJUNG BARU</v>
      </c>
      <c r="D3571" s="13" t="str">
        <f>IFERROR(__xludf.DUMMYFUNCTION("""COMPUTED_VALUE"""),"K/18/150825/1")</f>
        <v>K/18/150825/1</v>
      </c>
      <c r="E3571" s="14" t="str">
        <f>IFERROR(__xludf.DUMMYFUNCTION("""COMPUTED_VALUE"""),"Heri (BT)")</f>
        <v>Heri (BT)</v>
      </c>
      <c r="F3571" s="14" t="str">
        <f>IFERROR(__xludf.DUMMYFUNCTION("""COMPUTED_VALUE"""),"SELESAI (VIA PERMOHONAN)")</f>
        <v>SELESAI (VIA PERMOHONAN)</v>
      </c>
      <c r="G3571" s="17">
        <f>IFERROR(__xludf.DUMMYFUNCTION("""COMPUTED_VALUE"""),45895.365685428245)</f>
        <v>45895.36569</v>
      </c>
      <c r="H3571" s="14" t="str">
        <f>IFERROR(__xludf.DUMMYFUNCTION("""COMPUTED_VALUE"""),"Eci (SU)")</f>
        <v>Eci (SU)</v>
      </c>
      <c r="I3571" s="13" t="str">
        <f>IFERROR(__xludf.DUMMYFUNCTION("""COMPUTED_VALUE"""),"SELESAI (VIA PERMOHONAN)")</f>
        <v>SELESAI (VIA PERMOHONAN)</v>
      </c>
      <c r="J3571" s="17">
        <f>IFERROR(__xludf.DUMMYFUNCTION("""COMPUTED_VALUE"""),45895.60791047454)</f>
        <v>45895.60791</v>
      </c>
      <c r="K3571" s="13" t="str">
        <f>IFERROR(__xludf.DUMMYFUNCTION("""COMPUTED_VALUE"""),"Selesai")</f>
        <v>Selesai</v>
      </c>
      <c r="L3571" s="17">
        <f>IFERROR(__xludf.DUMMYFUNCTION("""COMPUTED_VALUE"""),45895.60791047454)</f>
        <v>45895.60791</v>
      </c>
      <c r="M3571" s="13"/>
      <c r="N3571" s="13" t="str">
        <f>IFERROR(__xludf.DUMMYFUNCTION("""COMPUTED_VALUE"""),"")</f>
        <v/>
      </c>
      <c r="O3571" s="13" t="str">
        <f t="shared" si="1"/>
        <v/>
      </c>
    </row>
    <row r="3572" ht="22.5" customHeight="1">
      <c r="B3572" s="13">
        <f>IFERROR(__xludf.DUMMYFUNCTION("""COMPUTED_VALUE"""),3567.0)</f>
        <v>3567</v>
      </c>
      <c r="C3572" s="13" t="str">
        <f>IFERROR(__xludf.DUMMYFUNCTION("""COMPUTED_VALUE"""),"M. 12720/ Sukabumi")</f>
        <v>M. 12720/ Sukabumi</v>
      </c>
      <c r="D3572" s="13" t="str">
        <f>IFERROR(__xludf.DUMMYFUNCTION("""COMPUTED_VALUE"""),"K/38/250625/1")</f>
        <v>K/38/250625/1</v>
      </c>
      <c r="E3572" s="14" t="str">
        <f>IFERROR(__xludf.DUMMYFUNCTION("""COMPUTED_VALUE"""),"Heri (BT)")</f>
        <v>Heri (BT)</v>
      </c>
      <c r="F3572" s="14" t="str">
        <f>IFERROR(__xludf.DUMMYFUNCTION("""COMPUTED_VALUE"""),"SELESAI (VIA PERMOHONAN)")</f>
        <v>SELESAI (VIA PERMOHONAN)</v>
      </c>
      <c r="G3572" s="17">
        <f>IFERROR(__xludf.DUMMYFUNCTION("""COMPUTED_VALUE"""),45895.36585984954)</f>
        <v>45895.36586</v>
      </c>
      <c r="H3572" s="14" t="str">
        <f>IFERROR(__xludf.DUMMYFUNCTION("""COMPUTED_VALUE"""),"Eci (SU)")</f>
        <v>Eci (SU)</v>
      </c>
      <c r="I3572" s="13" t="str">
        <f>IFERROR(__xludf.DUMMYFUNCTION("""COMPUTED_VALUE"""),"SELESAI (VIA PERMOHONAN)")</f>
        <v>SELESAI (VIA PERMOHONAN)</v>
      </c>
      <c r="J3572" s="17">
        <f>IFERROR(__xludf.DUMMYFUNCTION("""COMPUTED_VALUE"""),45895.606867916664)</f>
        <v>45895.60687</v>
      </c>
      <c r="K3572" s="13" t="str">
        <f>IFERROR(__xludf.DUMMYFUNCTION("""COMPUTED_VALUE"""),"Selesai")</f>
        <v>Selesai</v>
      </c>
      <c r="L3572" s="17">
        <f>IFERROR(__xludf.DUMMYFUNCTION("""COMPUTED_VALUE"""),45895.606867916664)</f>
        <v>45895.60687</v>
      </c>
      <c r="M3572" s="13"/>
      <c r="N3572" s="13" t="str">
        <f>IFERROR(__xludf.DUMMYFUNCTION("""COMPUTED_VALUE"""),"")</f>
        <v/>
      </c>
      <c r="O3572" s="13" t="str">
        <f t="shared" si="1"/>
        <v/>
      </c>
    </row>
    <row r="3573" ht="22.5" customHeight="1">
      <c r="B3573" s="13">
        <f>IFERROR(__xludf.DUMMYFUNCTION("""COMPUTED_VALUE"""),3568.0)</f>
        <v>3568</v>
      </c>
      <c r="C3573" s="13" t="str">
        <f>IFERROR(__xludf.DUMMYFUNCTION("""COMPUTED_VALUE"""),"M. 2824/Campang Raya")</f>
        <v>M. 2824/Campang Raya</v>
      </c>
      <c r="D3573" s="13" t="str">
        <f>IFERROR(__xludf.DUMMYFUNCTION("""COMPUTED_VALUE"""),"K/2/150825/1")</f>
        <v>K/2/150825/1</v>
      </c>
      <c r="E3573" s="14" t="str">
        <f>IFERROR(__xludf.DUMMYFUNCTION("""COMPUTED_VALUE"""),"Heri (BT)")</f>
        <v>Heri (BT)</v>
      </c>
      <c r="F3573" s="14" t="str">
        <f>IFERROR(__xludf.DUMMYFUNCTION("""COMPUTED_VALUE"""),"SELESAI (VIA PERMOHONAN)")</f>
        <v>SELESAI (VIA PERMOHONAN)</v>
      </c>
      <c r="G3573" s="17">
        <f>IFERROR(__xludf.DUMMYFUNCTION("""COMPUTED_VALUE"""),45895.36601172454)</f>
        <v>45895.36601</v>
      </c>
      <c r="H3573" s="14" t="str">
        <f>IFERROR(__xludf.DUMMYFUNCTION("""COMPUTED_VALUE"""),"Eci (SU)")</f>
        <v>Eci (SU)</v>
      </c>
      <c r="I3573" s="13" t="str">
        <f>IFERROR(__xludf.DUMMYFUNCTION("""COMPUTED_VALUE"""),"SELESAI (VIA PERMOHONAN)")</f>
        <v>SELESAI (VIA PERMOHONAN)</v>
      </c>
      <c r="J3573" s="17">
        <f>IFERROR(__xludf.DUMMYFUNCTION("""COMPUTED_VALUE"""),45895.6077435301)</f>
        <v>45895.60774</v>
      </c>
      <c r="K3573" s="13" t="str">
        <f>IFERROR(__xludf.DUMMYFUNCTION("""COMPUTED_VALUE"""),"Selesai")</f>
        <v>Selesai</v>
      </c>
      <c r="L3573" s="17">
        <f>IFERROR(__xludf.DUMMYFUNCTION("""COMPUTED_VALUE"""),45895.6077435301)</f>
        <v>45895.60774</v>
      </c>
      <c r="M3573" s="13"/>
      <c r="N3573" s="13" t="str">
        <f>IFERROR(__xludf.DUMMYFUNCTION("""COMPUTED_VALUE"""),"")</f>
        <v/>
      </c>
      <c r="O3573" s="13" t="str">
        <f t="shared" si="1"/>
        <v/>
      </c>
    </row>
    <row r="3574" ht="22.5" customHeight="1">
      <c r="B3574" s="13">
        <f>IFERROR(__xludf.DUMMYFUNCTION("""COMPUTED_VALUE"""),3569.0)</f>
        <v>3569</v>
      </c>
      <c r="C3574" s="13" t="str">
        <f>IFERROR(__xludf.DUMMYFUNCTION("""COMPUTED_VALUE"""),"M. 1288/ Labuhan Ratu Raya")</f>
        <v>M. 1288/ Labuhan Ratu Raya</v>
      </c>
      <c r="D3574" s="13" t="str">
        <f>IFERROR(__xludf.DUMMYFUNCTION("""COMPUTED_VALUE"""),"K/22/140325/1")</f>
        <v>K/22/140325/1</v>
      </c>
      <c r="E3574" s="14" t="str">
        <f>IFERROR(__xludf.DUMMYFUNCTION("""COMPUTED_VALUE"""),"Heri (BT)")</f>
        <v>Heri (BT)</v>
      </c>
      <c r="F3574" s="14" t="str">
        <f>IFERROR(__xludf.DUMMYFUNCTION("""COMPUTED_VALUE"""),"SELESAI (VIA PERMOHONAN)")</f>
        <v>SELESAI (VIA PERMOHONAN)</v>
      </c>
      <c r="G3574" s="17">
        <f>IFERROR(__xludf.DUMMYFUNCTION("""COMPUTED_VALUE"""),45895.366176180556)</f>
        <v>45895.36618</v>
      </c>
      <c r="H3574" s="14" t="str">
        <f>IFERROR(__xludf.DUMMYFUNCTION("""COMPUTED_VALUE"""),"Eci (SU)")</f>
        <v>Eci (SU)</v>
      </c>
      <c r="I3574" s="13" t="str">
        <f>IFERROR(__xludf.DUMMYFUNCTION("""COMPUTED_VALUE"""),"SELESAI (VIA PERMOHONAN)")</f>
        <v>SELESAI (VIA PERMOHONAN)</v>
      </c>
      <c r="J3574" s="17">
        <f>IFERROR(__xludf.DUMMYFUNCTION("""COMPUTED_VALUE"""),45895.60769662037)</f>
        <v>45895.6077</v>
      </c>
      <c r="K3574" s="13" t="str">
        <f>IFERROR(__xludf.DUMMYFUNCTION("""COMPUTED_VALUE"""),"Selesai")</f>
        <v>Selesai</v>
      </c>
      <c r="L3574" s="17">
        <f>IFERROR(__xludf.DUMMYFUNCTION("""COMPUTED_VALUE"""),45895.60769662037)</f>
        <v>45895.6077</v>
      </c>
      <c r="M3574" s="13"/>
      <c r="N3574" s="13" t="str">
        <f>IFERROR(__xludf.DUMMYFUNCTION("""COMPUTED_VALUE"""),"")</f>
        <v/>
      </c>
      <c r="O3574" s="13" t="str">
        <f t="shared" si="1"/>
        <v/>
      </c>
    </row>
    <row r="3575" ht="22.5" customHeight="1">
      <c r="B3575" s="13">
        <f>IFERROR(__xludf.DUMMYFUNCTION("""COMPUTED_VALUE"""),3570.0)</f>
        <v>3570</v>
      </c>
      <c r="C3575" s="13" t="str">
        <f>IFERROR(__xludf.DUMMYFUNCTION("""COMPUTED_VALUE"""),"M. 600/ Korpri Raya")</f>
        <v>M. 600/ Korpri Raya</v>
      </c>
      <c r="D3575" s="13" t="str">
        <f>IFERROR(__xludf.DUMMYFUNCTION("""COMPUTED_VALUE"""),"K/35/050825/1")</f>
        <v>K/35/050825/1</v>
      </c>
      <c r="E3575" s="14" t="str">
        <f>IFERROR(__xludf.DUMMYFUNCTION("""COMPUTED_VALUE"""),"Heri (BT)")</f>
        <v>Heri (BT)</v>
      </c>
      <c r="F3575" s="14" t="str">
        <f>IFERROR(__xludf.DUMMYFUNCTION("""COMPUTED_VALUE"""),"SELESAI (VIA PERMOHONAN)")</f>
        <v>SELESAI (VIA PERMOHONAN)</v>
      </c>
      <c r="G3575" s="17">
        <f>IFERROR(__xludf.DUMMYFUNCTION("""COMPUTED_VALUE"""),45895.36636388889)</f>
        <v>45895.36636</v>
      </c>
      <c r="H3575" s="14" t="str">
        <f>IFERROR(__xludf.DUMMYFUNCTION("""COMPUTED_VALUE"""),"Eci (SU)")</f>
        <v>Eci (SU)</v>
      </c>
      <c r="I3575" s="13" t="str">
        <f>IFERROR(__xludf.DUMMYFUNCTION("""COMPUTED_VALUE"""),"SELESAI (VIA PERMOHONAN)")</f>
        <v>SELESAI (VIA PERMOHONAN)</v>
      </c>
      <c r="J3575" s="17">
        <f>IFERROR(__xludf.DUMMYFUNCTION("""COMPUTED_VALUE"""),45895.607061006944)</f>
        <v>45895.60706</v>
      </c>
      <c r="K3575" s="13" t="str">
        <f>IFERROR(__xludf.DUMMYFUNCTION("""COMPUTED_VALUE"""),"Selesai")</f>
        <v>Selesai</v>
      </c>
      <c r="L3575" s="17">
        <f>IFERROR(__xludf.DUMMYFUNCTION("""COMPUTED_VALUE"""),45895.607061006944)</f>
        <v>45895.60706</v>
      </c>
      <c r="M3575" s="13"/>
      <c r="N3575" s="13" t="str">
        <f>IFERROR(__xludf.DUMMYFUNCTION("""COMPUTED_VALUE"""),"")</f>
        <v/>
      </c>
      <c r="O3575" s="13" t="str">
        <f t="shared" si="1"/>
        <v/>
      </c>
    </row>
    <row r="3576" ht="22.5" customHeight="1">
      <c r="B3576" s="13">
        <f>IFERROR(__xludf.DUMMYFUNCTION("""COMPUTED_VALUE"""),3571.0)</f>
        <v>3571</v>
      </c>
      <c r="C3576" s="13" t="str">
        <f>IFERROR(__xludf.DUMMYFUNCTION("""COMPUTED_VALUE"""),"M. 10618/Sidodadi")</f>
        <v>M. 10618/Sidodadi</v>
      </c>
      <c r="D3576" s="13" t="str">
        <f>IFERROR(__xludf.DUMMYFUNCTION("""COMPUTED_VALUE"""),"")</f>
        <v/>
      </c>
      <c r="E3576" s="14" t="str">
        <f>IFERROR(__xludf.DUMMYFUNCTION("""COMPUTED_VALUE"""),"Heri (BT)")</f>
        <v>Heri (BT)</v>
      </c>
      <c r="F3576" s="14" t="str">
        <f>IFERROR(__xludf.DUMMYFUNCTION("""COMPUTED_VALUE"""),"SELESAI (VIA PERMOHONAN)")</f>
        <v>SELESAI (VIA PERMOHONAN)</v>
      </c>
      <c r="G3576" s="17">
        <f>IFERROR(__xludf.DUMMYFUNCTION("""COMPUTED_VALUE"""),45895.36733001158)</f>
        <v>45895.36733</v>
      </c>
      <c r="H3576" s="14" t="str">
        <f>IFERROR(__xludf.DUMMYFUNCTION("""COMPUTED_VALUE"""),"Eci (SU)")</f>
        <v>Eci (SU)</v>
      </c>
      <c r="I3576" s="13" t="str">
        <f>IFERROR(__xludf.DUMMYFUNCTION("""COMPUTED_VALUE"""),"SELESAI (VIA PERMOHONAN)")</f>
        <v>SELESAI (VIA PERMOHONAN)</v>
      </c>
      <c r="J3576" s="17">
        <f>IFERROR(__xludf.DUMMYFUNCTION("""COMPUTED_VALUE"""),45895.6075509838)</f>
        <v>45895.60755</v>
      </c>
      <c r="K3576" s="13" t="str">
        <f>IFERROR(__xludf.DUMMYFUNCTION("""COMPUTED_VALUE"""),"")</f>
        <v/>
      </c>
      <c r="L3576" s="13" t="str">
        <f>IFERROR(__xludf.DUMMYFUNCTION("""COMPUTED_VALUE"""),"")</f>
        <v/>
      </c>
      <c r="M3576" s="13"/>
      <c r="N3576" s="13" t="str">
        <f>IFERROR(__xludf.DUMMYFUNCTION("""COMPUTED_VALUE"""),"")</f>
        <v/>
      </c>
      <c r="O3576" s="13" t="str">
        <f t="shared" si="1"/>
        <v/>
      </c>
    </row>
    <row r="3577" ht="22.5" customHeight="1">
      <c r="B3577" s="13">
        <f>IFERROR(__xludf.DUMMYFUNCTION("""COMPUTED_VALUE"""),3572.0)</f>
        <v>3572</v>
      </c>
      <c r="C3577" s="13" t="str">
        <f>IFERROR(__xludf.DUMMYFUNCTION("""COMPUTED_VALUE"""),"M. 1282/GEDONG AIR")</f>
        <v>M. 1282/GEDONG AIR</v>
      </c>
      <c r="D3577" s="13" t="str">
        <f>IFERROR(__xludf.DUMMYFUNCTION("""COMPUTED_VALUE"""),"L/1/130825/1")</f>
        <v>L/1/130825/1</v>
      </c>
      <c r="E3577" s="14" t="str">
        <f>IFERROR(__xludf.DUMMYFUNCTION("""COMPUTED_VALUE"""),"Heri (BT)")</f>
        <v>Heri (BT)</v>
      </c>
      <c r="F3577" s="14" t="str">
        <f>IFERROR(__xludf.DUMMYFUNCTION("""COMPUTED_VALUE"""),"SELESAI (VIA PERMOHONAN)")</f>
        <v>SELESAI (VIA PERMOHONAN)</v>
      </c>
      <c r="G3577" s="17">
        <f>IFERROR(__xludf.DUMMYFUNCTION("""COMPUTED_VALUE"""),45895.36755811343)</f>
        <v>45895.36756</v>
      </c>
      <c r="H3577" s="14" t="str">
        <f>IFERROR(__xludf.DUMMYFUNCTION("""COMPUTED_VALUE"""),"Eci (SU)")</f>
        <v>Eci (SU)</v>
      </c>
      <c r="I3577" s="13" t="str">
        <f>IFERROR(__xludf.DUMMYFUNCTION("""COMPUTED_VALUE"""),"SELESAI (VIA PERMOHONAN)")</f>
        <v>SELESAI (VIA PERMOHONAN)</v>
      </c>
      <c r="J3577" s="17">
        <f>IFERROR(__xludf.DUMMYFUNCTION("""COMPUTED_VALUE"""),45895.60655473379)</f>
        <v>45895.60655</v>
      </c>
      <c r="K3577" s="13" t="str">
        <f>IFERROR(__xludf.DUMMYFUNCTION("""COMPUTED_VALUE"""),"Selesai")</f>
        <v>Selesai</v>
      </c>
      <c r="L3577" s="17">
        <f>IFERROR(__xludf.DUMMYFUNCTION("""COMPUTED_VALUE"""),45895.60655473379)</f>
        <v>45895.60655</v>
      </c>
      <c r="M3577" s="13"/>
      <c r="N3577" s="13" t="str">
        <f>IFERROR(__xludf.DUMMYFUNCTION("""COMPUTED_VALUE"""),"")</f>
        <v/>
      </c>
      <c r="O3577" s="13" t="str">
        <f t="shared" si="1"/>
        <v/>
      </c>
    </row>
    <row r="3578" ht="22.5" customHeight="1">
      <c r="B3578" s="13">
        <f>IFERROR(__xludf.DUMMYFUNCTION("""COMPUTED_VALUE"""),3573.0)</f>
        <v>3573</v>
      </c>
      <c r="C3578" s="13" t="str">
        <f>IFERROR(__xludf.DUMMYFUNCTION("""COMPUTED_VALUE"""),"M.5743/TANJUNG SENENG")</f>
        <v>M.5743/TANJUNG SENENG</v>
      </c>
      <c r="D3578" s="13" t="str">
        <f>IFERROR(__xludf.DUMMYFUNCTION("""COMPUTED_VALUE"""),"L/8/130825/1")</f>
        <v>L/8/130825/1</v>
      </c>
      <c r="E3578" s="14" t="str">
        <f>IFERROR(__xludf.DUMMYFUNCTION("""COMPUTED_VALUE"""),"Heri (BT)")</f>
        <v>Heri (BT)</v>
      </c>
      <c r="F3578" s="14" t="str">
        <f>IFERROR(__xludf.DUMMYFUNCTION("""COMPUTED_VALUE"""),"SELESAI (VIA PERMOHONAN)")</f>
        <v>SELESAI (VIA PERMOHONAN)</v>
      </c>
      <c r="G3578" s="17">
        <f>IFERROR(__xludf.DUMMYFUNCTION("""COMPUTED_VALUE"""),45895.367773356484)</f>
        <v>45895.36777</v>
      </c>
      <c r="H3578" s="14" t="str">
        <f>IFERROR(__xludf.DUMMYFUNCTION("""COMPUTED_VALUE"""),"Eci (SU)")</f>
        <v>Eci (SU)</v>
      </c>
      <c r="I3578" s="13" t="str">
        <f>IFERROR(__xludf.DUMMYFUNCTION("""COMPUTED_VALUE"""),"SELESAI (VIA PERMOHONAN)")</f>
        <v>SELESAI (VIA PERMOHONAN)</v>
      </c>
      <c r="J3578" s="17">
        <f>IFERROR(__xludf.DUMMYFUNCTION("""COMPUTED_VALUE"""),45895.60718851852)</f>
        <v>45895.60719</v>
      </c>
      <c r="K3578" s="13" t="str">
        <f>IFERROR(__xludf.DUMMYFUNCTION("""COMPUTED_VALUE"""),"Selesai")</f>
        <v>Selesai</v>
      </c>
      <c r="L3578" s="17">
        <f>IFERROR(__xludf.DUMMYFUNCTION("""COMPUTED_VALUE"""),45895.60718851852)</f>
        <v>45895.60719</v>
      </c>
      <c r="M3578" s="13"/>
      <c r="N3578" s="13" t="str">
        <f>IFERROR(__xludf.DUMMYFUNCTION("""COMPUTED_VALUE"""),"")</f>
        <v/>
      </c>
      <c r="O3578" s="13" t="str">
        <f t="shared" si="1"/>
        <v/>
      </c>
    </row>
    <row r="3579" ht="22.5" customHeight="1">
      <c r="B3579" s="13">
        <f>IFERROR(__xludf.DUMMYFUNCTION("""COMPUTED_VALUE"""),3574.0)</f>
        <v>3574</v>
      </c>
      <c r="C3579" s="13" t="str">
        <f>IFERROR(__xludf.DUMMYFUNCTION("""COMPUTED_VALUE"""),"HM 10217/JAGABAYA II")</f>
        <v>HM 10217/JAGABAYA II</v>
      </c>
      <c r="D3579" s="13" t="str">
        <f>IFERROR(__xludf.DUMMYFUNCTION("""COMPUTED_VALUE"""),"L/23/300625/1")</f>
        <v>L/23/300625/1</v>
      </c>
      <c r="E3579" s="14" t="str">
        <f>IFERROR(__xludf.DUMMYFUNCTION("""COMPUTED_VALUE"""),"Heri (BT)")</f>
        <v>Heri (BT)</v>
      </c>
      <c r="F3579" s="14" t="str">
        <f>IFERROR(__xludf.DUMMYFUNCTION("""COMPUTED_VALUE"""),"SELESAI (VIA PERMOHONAN)")</f>
        <v>SELESAI (VIA PERMOHONAN)</v>
      </c>
      <c r="G3579" s="17">
        <f>IFERROR(__xludf.DUMMYFUNCTION("""COMPUTED_VALUE"""),45896.38111217592)</f>
        <v>45896.38111</v>
      </c>
      <c r="H3579" s="14" t="str">
        <f>IFERROR(__xludf.DUMMYFUNCTION("""COMPUTED_VALUE"""),"Eci (SU)")</f>
        <v>Eci (SU)</v>
      </c>
      <c r="I3579" s="13" t="str">
        <f>IFERROR(__xludf.DUMMYFUNCTION("""COMPUTED_VALUE"""),"SELESAI (VIA PERMOHONAN)")</f>
        <v>SELESAI (VIA PERMOHONAN)</v>
      </c>
      <c r="J3579" s="17">
        <f>IFERROR(__xludf.DUMMYFUNCTION("""COMPUTED_VALUE"""),45896.50698828704)</f>
        <v>45896.50699</v>
      </c>
      <c r="K3579" s="13" t="str">
        <f>IFERROR(__xludf.DUMMYFUNCTION("""COMPUTED_VALUE"""),"Selesai")</f>
        <v>Selesai</v>
      </c>
      <c r="L3579" s="17">
        <f>IFERROR(__xludf.DUMMYFUNCTION("""COMPUTED_VALUE"""),45896.50698828704)</f>
        <v>45896.50699</v>
      </c>
      <c r="M3579" s="13"/>
      <c r="N3579" s="13" t="str">
        <f>IFERROR(__xludf.DUMMYFUNCTION("""COMPUTED_VALUE"""),"")</f>
        <v/>
      </c>
      <c r="O3579" s="13" t="str">
        <f t="shared" si="1"/>
        <v/>
      </c>
    </row>
    <row r="3580" ht="22.5" customHeight="1">
      <c r="B3580" s="13">
        <f>IFERROR(__xludf.DUMMYFUNCTION("""COMPUTED_VALUE"""),3575.0)</f>
        <v>3575</v>
      </c>
      <c r="C3580" s="13" t="str">
        <f>IFERROR(__xludf.DUMMYFUNCTION("""COMPUTED_VALUE"""),"M. 1226/Perumnas Way Kandis")</f>
        <v>M. 1226/Perumnas Way Kandis</v>
      </c>
      <c r="D3580" s="13" t="str">
        <f>IFERROR(__xludf.DUMMYFUNCTION("""COMPUTED_VALUE"""),"K/24/140825/1")</f>
        <v>K/24/140825/1</v>
      </c>
      <c r="E3580" s="14" t="str">
        <f>IFERROR(__xludf.DUMMYFUNCTION("""COMPUTED_VALUE"""),"Heri (BT)")</f>
        <v>Heri (BT)</v>
      </c>
      <c r="F3580" s="14" t="str">
        <f>IFERROR(__xludf.DUMMYFUNCTION("""COMPUTED_VALUE"""),"SELESAI (VIA PERMOHONAN)")</f>
        <v>SELESAI (VIA PERMOHONAN)</v>
      </c>
      <c r="G3580" s="17">
        <f>IFERROR(__xludf.DUMMYFUNCTION("""COMPUTED_VALUE"""),45896.381368993054)</f>
        <v>45896.38137</v>
      </c>
      <c r="H3580" s="14" t="str">
        <f>IFERROR(__xludf.DUMMYFUNCTION("""COMPUTED_VALUE"""),"Eci (SU)")</f>
        <v>Eci (SU)</v>
      </c>
      <c r="I3580" s="13" t="str">
        <f>IFERROR(__xludf.DUMMYFUNCTION("""COMPUTED_VALUE"""),"SELESAI (VIA PERMOHONAN)")</f>
        <v>SELESAI (VIA PERMOHONAN)</v>
      </c>
      <c r="J3580" s="17">
        <f>IFERROR(__xludf.DUMMYFUNCTION("""COMPUTED_VALUE"""),45896.50836244213)</f>
        <v>45896.50836</v>
      </c>
      <c r="K3580" s="13" t="str">
        <f>IFERROR(__xludf.DUMMYFUNCTION("""COMPUTED_VALUE"""),"Selesai")</f>
        <v>Selesai</v>
      </c>
      <c r="L3580" s="17">
        <f>IFERROR(__xludf.DUMMYFUNCTION("""COMPUTED_VALUE"""),45896.50836244213)</f>
        <v>45896.50836</v>
      </c>
      <c r="M3580" s="13"/>
      <c r="N3580" s="13" t="str">
        <f>IFERROR(__xludf.DUMMYFUNCTION("""COMPUTED_VALUE"""),"")</f>
        <v/>
      </c>
      <c r="O3580" s="13" t="str">
        <f t="shared" si="1"/>
        <v/>
      </c>
    </row>
    <row r="3581" ht="22.5" customHeight="1">
      <c r="B3581" s="13">
        <f>IFERROR(__xludf.DUMMYFUNCTION("""COMPUTED_VALUE"""),3576.0)</f>
        <v>3576</v>
      </c>
      <c r="C3581" s="13" t="str">
        <f>IFERROR(__xludf.DUMMYFUNCTION("""COMPUTED_VALUE"""),"M. 11348/ KEDAMAIAN")</f>
        <v>M. 11348/ KEDAMAIAN</v>
      </c>
      <c r="D3581" s="13" t="str">
        <f>IFERROR(__xludf.DUMMYFUNCTION("""COMPUTED_VALUE"""),"K/3/200825/2")</f>
        <v>K/3/200825/2</v>
      </c>
      <c r="E3581" s="14" t="str">
        <f>IFERROR(__xludf.DUMMYFUNCTION("""COMPUTED_VALUE"""),"Heri (BT)")</f>
        <v>Heri (BT)</v>
      </c>
      <c r="F3581" s="14" t="str">
        <f>IFERROR(__xludf.DUMMYFUNCTION("""COMPUTED_VALUE"""),"SELESAI (VIA PERMOHONAN)")</f>
        <v>SELESAI (VIA PERMOHONAN)</v>
      </c>
      <c r="G3581" s="17">
        <f>IFERROR(__xludf.DUMMYFUNCTION("""COMPUTED_VALUE"""),45896.38154814814)</f>
        <v>45896.38155</v>
      </c>
      <c r="H3581" s="14" t="str">
        <f>IFERROR(__xludf.DUMMYFUNCTION("""COMPUTED_VALUE"""),"Eci (SU)")</f>
        <v>Eci (SU)</v>
      </c>
      <c r="I3581" s="13" t="str">
        <f>IFERROR(__xludf.DUMMYFUNCTION("""COMPUTED_VALUE"""),"SELESAI (VIA PERMOHONAN)")</f>
        <v>SELESAI (VIA PERMOHONAN)</v>
      </c>
      <c r="J3581" s="17">
        <f>IFERROR(__xludf.DUMMYFUNCTION("""COMPUTED_VALUE"""),45896.50824848379)</f>
        <v>45896.50825</v>
      </c>
      <c r="K3581" s="13" t="str">
        <f>IFERROR(__xludf.DUMMYFUNCTION("""COMPUTED_VALUE"""),"Selesai")</f>
        <v>Selesai</v>
      </c>
      <c r="L3581" s="17">
        <f>IFERROR(__xludf.DUMMYFUNCTION("""COMPUTED_VALUE"""),45896.50824848379)</f>
        <v>45896.50825</v>
      </c>
      <c r="M3581" s="13"/>
      <c r="N3581" s="13" t="str">
        <f>IFERROR(__xludf.DUMMYFUNCTION("""COMPUTED_VALUE"""),"")</f>
        <v/>
      </c>
      <c r="O3581" s="13" t="str">
        <f t="shared" si="1"/>
        <v/>
      </c>
    </row>
    <row r="3582" ht="22.5" customHeight="1">
      <c r="B3582" s="13">
        <f>IFERROR(__xludf.DUMMYFUNCTION("""COMPUTED_VALUE"""),3577.0)</f>
        <v>3577</v>
      </c>
      <c r="C3582" s="13" t="str">
        <f>IFERROR(__xludf.DUMMYFUNCTION("""COMPUTED_VALUE"""),"B. 737/ KEMILING PERMAI")</f>
        <v>B. 737/ KEMILING PERMAI</v>
      </c>
      <c r="D3582" s="13" t="str">
        <f>IFERROR(__xludf.DUMMYFUNCTION("""COMPUTED_VALUE"""),"K/5/120825/3")</f>
        <v>K/5/120825/3</v>
      </c>
      <c r="E3582" s="14" t="str">
        <f>IFERROR(__xludf.DUMMYFUNCTION("""COMPUTED_VALUE"""),"Heri (BT)")</f>
        <v>Heri (BT)</v>
      </c>
      <c r="F3582" s="14" t="str">
        <f>IFERROR(__xludf.DUMMYFUNCTION("""COMPUTED_VALUE"""),"SELESAI (VIA PERMOHONAN)")</f>
        <v>SELESAI (VIA PERMOHONAN)</v>
      </c>
      <c r="G3582" s="17">
        <f>IFERROR(__xludf.DUMMYFUNCTION("""COMPUTED_VALUE"""),45896.381730636575)</f>
        <v>45896.38173</v>
      </c>
      <c r="H3582" s="14" t="str">
        <f>IFERROR(__xludf.DUMMYFUNCTION("""COMPUTED_VALUE"""),"Eci (SU)")</f>
        <v>Eci (SU)</v>
      </c>
      <c r="I3582" s="13" t="str">
        <f>IFERROR(__xludf.DUMMYFUNCTION("""COMPUTED_VALUE"""),"SELESAI (VIA PERMOHONAN)")</f>
        <v>SELESAI (VIA PERMOHONAN)</v>
      </c>
      <c r="J3582" s="17">
        <f>IFERROR(__xludf.DUMMYFUNCTION("""COMPUTED_VALUE"""),45896.50811171296)</f>
        <v>45896.50811</v>
      </c>
      <c r="K3582" s="13" t="str">
        <f>IFERROR(__xludf.DUMMYFUNCTION("""COMPUTED_VALUE"""),"Selesai")</f>
        <v>Selesai</v>
      </c>
      <c r="L3582" s="17">
        <f>IFERROR(__xludf.DUMMYFUNCTION("""COMPUTED_VALUE"""),45896.50811171296)</f>
        <v>45896.50811</v>
      </c>
      <c r="M3582" s="13"/>
      <c r="N3582" s="13" t="str">
        <f>IFERROR(__xludf.DUMMYFUNCTION("""COMPUTED_VALUE"""),"")</f>
        <v/>
      </c>
      <c r="O3582" s="13" t="str">
        <f t="shared" si="1"/>
        <v/>
      </c>
    </row>
    <row r="3583" ht="22.5" customHeight="1">
      <c r="B3583" s="13">
        <f>IFERROR(__xludf.DUMMYFUNCTION("""COMPUTED_VALUE"""),3578.0)</f>
        <v>3578</v>
      </c>
      <c r="C3583" s="13" t="str">
        <f>IFERROR(__xludf.DUMMYFUNCTION("""COMPUTED_VALUE"""),"M. 2425/ Sukajawa")</f>
        <v>M. 2425/ Sukajawa</v>
      </c>
      <c r="D3583" s="13" t="str">
        <f>IFERROR(__xludf.DUMMYFUNCTION("""COMPUTED_VALUE"""),"K/21/040825/1")</f>
        <v>K/21/040825/1</v>
      </c>
      <c r="E3583" s="14" t="str">
        <f>IFERROR(__xludf.DUMMYFUNCTION("""COMPUTED_VALUE"""),"Heri (BT)")</f>
        <v>Heri (BT)</v>
      </c>
      <c r="F3583" s="14" t="str">
        <f>IFERROR(__xludf.DUMMYFUNCTION("""COMPUTED_VALUE"""),"SELESAI (VIA PERMOHONAN)")</f>
        <v>SELESAI (VIA PERMOHONAN)</v>
      </c>
      <c r="G3583" s="17">
        <f>IFERROR(__xludf.DUMMYFUNCTION("""COMPUTED_VALUE"""),45896.38190175926)</f>
        <v>45896.3819</v>
      </c>
      <c r="H3583" s="14" t="str">
        <f>IFERROR(__xludf.DUMMYFUNCTION("""COMPUTED_VALUE"""),"Eci (SU)")</f>
        <v>Eci (SU)</v>
      </c>
      <c r="I3583" s="13" t="str">
        <f>IFERROR(__xludf.DUMMYFUNCTION("""COMPUTED_VALUE"""),"SELESAI (VIA PERMOHONAN)")</f>
        <v>SELESAI (VIA PERMOHONAN)</v>
      </c>
      <c r="J3583" s="17">
        <f>IFERROR(__xludf.DUMMYFUNCTION("""COMPUTED_VALUE"""),45896.50808704861)</f>
        <v>45896.50809</v>
      </c>
      <c r="K3583" s="13" t="str">
        <f>IFERROR(__xludf.DUMMYFUNCTION("""COMPUTED_VALUE"""),"Selesai")</f>
        <v>Selesai</v>
      </c>
      <c r="L3583" s="17">
        <f>IFERROR(__xludf.DUMMYFUNCTION("""COMPUTED_VALUE"""),45896.50808704861)</f>
        <v>45896.50809</v>
      </c>
      <c r="M3583" s="13"/>
      <c r="N3583" s="13" t="str">
        <f>IFERROR(__xludf.DUMMYFUNCTION("""COMPUTED_VALUE"""),"")</f>
        <v/>
      </c>
      <c r="O3583" s="13" t="str">
        <f t="shared" si="1"/>
        <v/>
      </c>
    </row>
    <row r="3584" ht="22.5" customHeight="1">
      <c r="B3584" s="13">
        <f>IFERROR(__xludf.DUMMYFUNCTION("""COMPUTED_VALUE"""),3579.0)</f>
        <v>3579</v>
      </c>
      <c r="C3584" s="13" t="str">
        <f>IFERROR(__xludf.DUMMYFUNCTION("""COMPUTED_VALUE"""),"M. 13919/ TANJUNG BARU")</f>
        <v>M. 13919/ TANJUNG BARU</v>
      </c>
      <c r="D3584" s="13" t="str">
        <f>IFERROR(__xludf.DUMMYFUNCTION("""COMPUTED_VALUE"""),"K/21/130825/5")</f>
        <v>K/21/130825/5</v>
      </c>
      <c r="E3584" s="14" t="str">
        <f>IFERROR(__xludf.DUMMYFUNCTION("""COMPUTED_VALUE"""),"Heri (BT)")</f>
        <v>Heri (BT)</v>
      </c>
      <c r="F3584" s="14" t="str">
        <f>IFERROR(__xludf.DUMMYFUNCTION("""COMPUTED_VALUE"""),"SELESAI (VIA PERMOHONAN)")</f>
        <v>SELESAI (VIA PERMOHONAN)</v>
      </c>
      <c r="G3584" s="17">
        <f>IFERROR(__xludf.DUMMYFUNCTION("""COMPUTED_VALUE"""),45896.38208107639)</f>
        <v>45896.38208</v>
      </c>
      <c r="H3584" s="14" t="str">
        <f>IFERROR(__xludf.DUMMYFUNCTION("""COMPUTED_VALUE"""),"Eci (SU)")</f>
        <v>Eci (SU)</v>
      </c>
      <c r="I3584" s="13" t="str">
        <f>IFERROR(__xludf.DUMMYFUNCTION("""COMPUTED_VALUE"""),"SELESAI (VIA PERMOHONAN)")</f>
        <v>SELESAI (VIA PERMOHONAN)</v>
      </c>
      <c r="J3584" s="17">
        <f>IFERROR(__xludf.DUMMYFUNCTION("""COMPUTED_VALUE"""),45896.507948287035)</f>
        <v>45896.50795</v>
      </c>
      <c r="K3584" s="13" t="str">
        <f>IFERROR(__xludf.DUMMYFUNCTION("""COMPUTED_VALUE"""),"Selesai")</f>
        <v>Selesai</v>
      </c>
      <c r="L3584" s="17">
        <f>IFERROR(__xludf.DUMMYFUNCTION("""COMPUTED_VALUE"""),45896.507948287035)</f>
        <v>45896.50795</v>
      </c>
      <c r="M3584" s="13"/>
      <c r="N3584" s="13" t="str">
        <f>IFERROR(__xludf.DUMMYFUNCTION("""COMPUTED_VALUE"""),"")</f>
        <v/>
      </c>
      <c r="O3584" s="13" t="str">
        <f t="shared" si="1"/>
        <v/>
      </c>
    </row>
    <row r="3585" ht="22.5" customHeight="1">
      <c r="B3585" s="13">
        <f>IFERROR(__xludf.DUMMYFUNCTION("""COMPUTED_VALUE"""),3580.0)</f>
        <v>3580</v>
      </c>
      <c r="C3585" s="13" t="str">
        <f>IFERROR(__xludf.DUMMYFUNCTION("""COMPUTED_VALUE"""),"B. 834/ Beringin Jaya")</f>
        <v>B. 834/ Beringin Jaya</v>
      </c>
      <c r="D3585" s="13" t="str">
        <f>IFERROR(__xludf.DUMMYFUNCTION("""COMPUTED_VALUE"""),"K/33/250725/2")</f>
        <v>K/33/250725/2</v>
      </c>
      <c r="E3585" s="14" t="str">
        <f>IFERROR(__xludf.DUMMYFUNCTION("""COMPUTED_VALUE"""),"Heri (BT)")</f>
        <v>Heri (BT)</v>
      </c>
      <c r="F3585" s="14" t="str">
        <f>IFERROR(__xludf.DUMMYFUNCTION("""COMPUTED_VALUE"""),"SELESAI (VIA PERMOHONAN)")</f>
        <v>SELESAI (VIA PERMOHONAN)</v>
      </c>
      <c r="G3585" s="17">
        <f>IFERROR(__xludf.DUMMYFUNCTION("""COMPUTED_VALUE"""),45896.3822512037)</f>
        <v>45896.38225</v>
      </c>
      <c r="H3585" s="14" t="str">
        <f>IFERROR(__xludf.DUMMYFUNCTION("""COMPUTED_VALUE"""),"Eci (SU)")</f>
        <v>Eci (SU)</v>
      </c>
      <c r="I3585" s="13" t="str">
        <f>IFERROR(__xludf.DUMMYFUNCTION("""COMPUTED_VALUE"""),"SELESAI (VIA PERMOHONAN)")</f>
        <v>SELESAI (VIA PERMOHONAN)</v>
      </c>
      <c r="J3585" s="17">
        <f>IFERROR(__xludf.DUMMYFUNCTION("""COMPUTED_VALUE"""),45896.507446793985)</f>
        <v>45896.50745</v>
      </c>
      <c r="K3585" s="13" t="str">
        <f>IFERROR(__xludf.DUMMYFUNCTION("""COMPUTED_VALUE"""),"Selesai")</f>
        <v>Selesai</v>
      </c>
      <c r="L3585" s="17">
        <f>IFERROR(__xludf.DUMMYFUNCTION("""COMPUTED_VALUE"""),45896.507446793985)</f>
        <v>45896.50745</v>
      </c>
      <c r="M3585" s="13"/>
      <c r="N3585" s="13" t="str">
        <f>IFERROR(__xludf.DUMMYFUNCTION("""COMPUTED_VALUE"""),"")</f>
        <v/>
      </c>
      <c r="O3585" s="13" t="str">
        <f t="shared" si="1"/>
        <v/>
      </c>
    </row>
    <row r="3586" ht="22.5" customHeight="1">
      <c r="B3586" s="13">
        <f>IFERROR(__xludf.DUMMYFUNCTION("""COMPUTED_VALUE"""),3581.0)</f>
        <v>3581</v>
      </c>
      <c r="C3586" s="13" t="str">
        <f>IFERROR(__xludf.DUMMYFUNCTION("""COMPUTED_VALUE"""),"M. 333/PERWATA")</f>
        <v>M. 333/PERWATA</v>
      </c>
      <c r="D3586" s="13" t="str">
        <f>IFERROR(__xludf.DUMMYFUNCTION("""COMPUTED_VALUE"""),"L/60/220825/1")</f>
        <v>L/60/220825/1</v>
      </c>
      <c r="E3586" s="14" t="str">
        <f>IFERROR(__xludf.DUMMYFUNCTION("""COMPUTED_VALUE"""),"Heri (BT)")</f>
        <v>Heri (BT)</v>
      </c>
      <c r="F3586" s="14" t="str">
        <f>IFERROR(__xludf.DUMMYFUNCTION("""COMPUTED_VALUE"""),"SELESAI (VIA PERMOHONAN)")</f>
        <v>SELESAI (VIA PERMOHONAN)</v>
      </c>
      <c r="G3586" s="17">
        <f>IFERROR(__xludf.DUMMYFUNCTION("""COMPUTED_VALUE"""),45896.382469143515)</f>
        <v>45896.38247</v>
      </c>
      <c r="H3586" s="14" t="str">
        <f>IFERROR(__xludf.DUMMYFUNCTION("""COMPUTED_VALUE"""),"Eci (SU)")</f>
        <v>Eci (SU)</v>
      </c>
      <c r="I3586" s="13" t="str">
        <f>IFERROR(__xludf.DUMMYFUNCTION("""COMPUTED_VALUE"""),"SELESAI (VIA PERMOHONAN)")</f>
        <v>SELESAI (VIA PERMOHONAN)</v>
      </c>
      <c r="J3586" s="17">
        <f>IFERROR(__xludf.DUMMYFUNCTION("""COMPUTED_VALUE"""),45896.50748047454)</f>
        <v>45896.50748</v>
      </c>
      <c r="K3586" s="13" t="str">
        <f>IFERROR(__xludf.DUMMYFUNCTION("""COMPUTED_VALUE"""),"Selesai")</f>
        <v>Selesai</v>
      </c>
      <c r="L3586" s="17">
        <f>IFERROR(__xludf.DUMMYFUNCTION("""COMPUTED_VALUE"""),45896.50748047454)</f>
        <v>45896.50748</v>
      </c>
      <c r="M3586" s="13"/>
      <c r="N3586" s="13" t="str">
        <f>IFERROR(__xludf.DUMMYFUNCTION("""COMPUTED_VALUE"""),"")</f>
        <v/>
      </c>
      <c r="O3586" s="13" t="str">
        <f t="shared" si="1"/>
        <v/>
      </c>
    </row>
    <row r="3587" ht="22.5" customHeight="1">
      <c r="B3587" s="13">
        <f>IFERROR(__xludf.DUMMYFUNCTION("""COMPUTED_VALUE"""),3582.0)</f>
        <v>3582</v>
      </c>
      <c r="C3587" s="13" t="str">
        <f>IFERROR(__xludf.DUMMYFUNCTION("""COMPUTED_VALUE"""),"M. 2631/ BUMI WARAS")</f>
        <v>M. 2631/ BUMI WARAS</v>
      </c>
      <c r="D3587" s="13" t="str">
        <f>IFERROR(__xludf.DUMMYFUNCTION("""COMPUTED_VALUE"""),"L/34/150825/1")</f>
        <v>L/34/150825/1</v>
      </c>
      <c r="E3587" s="14" t="str">
        <f>IFERROR(__xludf.DUMMYFUNCTION("""COMPUTED_VALUE"""),"Heri (BT)")</f>
        <v>Heri (BT)</v>
      </c>
      <c r="F3587" s="14" t="str">
        <f>IFERROR(__xludf.DUMMYFUNCTION("""COMPUTED_VALUE"""),"SELESAI (VIA PERMOHONAN)")</f>
        <v>SELESAI (VIA PERMOHONAN)</v>
      </c>
      <c r="G3587" s="17">
        <f>IFERROR(__xludf.DUMMYFUNCTION("""COMPUTED_VALUE"""),45896.382722800925)</f>
        <v>45896.38272</v>
      </c>
      <c r="H3587" s="14" t="str">
        <f>IFERROR(__xludf.DUMMYFUNCTION("""COMPUTED_VALUE"""),"Eci (SU)")</f>
        <v>Eci (SU)</v>
      </c>
      <c r="I3587" s="13" t="str">
        <f>IFERROR(__xludf.DUMMYFUNCTION("""COMPUTED_VALUE"""),"SELESAI (VIA PERMOHONAN)")</f>
        <v>SELESAI (VIA PERMOHONAN)</v>
      </c>
      <c r="J3587" s="17">
        <f>IFERROR(__xludf.DUMMYFUNCTION("""COMPUTED_VALUE"""),45896.50717627315)</f>
        <v>45896.50718</v>
      </c>
      <c r="K3587" s="13" t="str">
        <f>IFERROR(__xludf.DUMMYFUNCTION("""COMPUTED_VALUE"""),"Selesai")</f>
        <v>Selesai</v>
      </c>
      <c r="L3587" s="17">
        <f>IFERROR(__xludf.DUMMYFUNCTION("""COMPUTED_VALUE"""),45896.50717627315)</f>
        <v>45896.50718</v>
      </c>
      <c r="M3587" s="13"/>
      <c r="N3587" s="13" t="str">
        <f>IFERROR(__xludf.DUMMYFUNCTION("""COMPUTED_VALUE"""),"")</f>
        <v/>
      </c>
      <c r="O3587" s="13" t="str">
        <f t="shared" si="1"/>
        <v/>
      </c>
    </row>
    <row r="3588" ht="22.5" customHeight="1">
      <c r="B3588" s="13">
        <f>IFERROR(__xludf.DUMMYFUNCTION("""COMPUTED_VALUE"""),3583.0)</f>
        <v>3583</v>
      </c>
      <c r="C3588" s="13" t="str">
        <f>IFERROR(__xludf.DUMMYFUNCTION("""COMPUTED_VALUE"""),"M. 3656/ WAY KANDIS")</f>
        <v>M. 3656/ WAY KANDIS</v>
      </c>
      <c r="D3588" s="13" t="str">
        <f>IFERROR(__xludf.DUMMYFUNCTION("""COMPUTED_VALUE"""),"L/13/150825/1")</f>
        <v>L/13/150825/1</v>
      </c>
      <c r="E3588" s="14" t="str">
        <f>IFERROR(__xludf.DUMMYFUNCTION("""COMPUTED_VALUE"""),"Heri (BT)")</f>
        <v>Heri (BT)</v>
      </c>
      <c r="F3588" s="14" t="str">
        <f>IFERROR(__xludf.DUMMYFUNCTION("""COMPUTED_VALUE"""),"SELESAI (VIA PERMOHONAN)")</f>
        <v>SELESAI (VIA PERMOHONAN)</v>
      </c>
      <c r="G3588" s="17">
        <f>IFERROR(__xludf.DUMMYFUNCTION("""COMPUTED_VALUE"""),45896.38289952546)</f>
        <v>45896.3829</v>
      </c>
      <c r="H3588" s="14" t="str">
        <f>IFERROR(__xludf.DUMMYFUNCTION("""COMPUTED_VALUE"""),"Eci (SU)")</f>
        <v>Eci (SU)</v>
      </c>
      <c r="I3588" s="13" t="str">
        <f>IFERROR(__xludf.DUMMYFUNCTION("""COMPUTED_VALUE"""),"SELESAI (VIA PERMOHONAN)")</f>
        <v>SELESAI (VIA PERMOHONAN)</v>
      </c>
      <c r="J3588" s="17">
        <f>IFERROR(__xludf.DUMMYFUNCTION("""COMPUTED_VALUE"""),45896.50780746528)</f>
        <v>45896.50781</v>
      </c>
      <c r="K3588" s="13" t="str">
        <f>IFERROR(__xludf.DUMMYFUNCTION("""COMPUTED_VALUE"""),"Selesai")</f>
        <v>Selesai</v>
      </c>
      <c r="L3588" s="17">
        <f>IFERROR(__xludf.DUMMYFUNCTION("""COMPUTED_VALUE"""),45896.50780746528)</f>
        <v>45896.50781</v>
      </c>
      <c r="M3588" s="13"/>
      <c r="N3588" s="13" t="str">
        <f>IFERROR(__xludf.DUMMYFUNCTION("""COMPUTED_VALUE"""),"")</f>
        <v/>
      </c>
      <c r="O3588" s="13" t="str">
        <f t="shared" si="1"/>
        <v/>
      </c>
    </row>
    <row r="3589" ht="22.5" customHeight="1">
      <c r="B3589" s="13">
        <f>IFERROR(__xludf.DUMMYFUNCTION("""COMPUTED_VALUE"""),3584.0)</f>
        <v>3584</v>
      </c>
      <c r="C3589" s="13" t="str">
        <f>IFERROR(__xludf.DUMMYFUNCTION("""COMPUTED_VALUE"""),"M. 217/Sukajawa Baru")</f>
        <v>M. 217/Sukajawa Baru</v>
      </c>
      <c r="D3589" s="13" t="str">
        <f>IFERROR(__xludf.DUMMYFUNCTION("""COMPUTED_VALUE"""),"K/1/140825/1")</f>
        <v>K/1/140825/1</v>
      </c>
      <c r="E3589" s="14" t="str">
        <f>IFERROR(__xludf.DUMMYFUNCTION("""COMPUTED_VALUE"""),"Heri (BT)")</f>
        <v>Heri (BT)</v>
      </c>
      <c r="F3589" s="14" t="str">
        <f>IFERROR(__xludf.DUMMYFUNCTION("""COMPUTED_VALUE"""),"SELESAI (VIA PERMOHONAN)")</f>
        <v>SELESAI (VIA PERMOHONAN)</v>
      </c>
      <c r="G3589" s="17">
        <f>IFERROR(__xludf.DUMMYFUNCTION("""COMPUTED_VALUE"""),45897.36033821759)</f>
        <v>45897.36034</v>
      </c>
      <c r="H3589" s="14" t="str">
        <f>IFERROR(__xludf.DUMMYFUNCTION("""COMPUTED_VALUE"""),"Eci (SU)")</f>
        <v>Eci (SU)</v>
      </c>
      <c r="I3589" s="13" t="str">
        <f>IFERROR(__xludf.DUMMYFUNCTION("""COMPUTED_VALUE"""),"SELESAI (VIA PERMOHONAN)")</f>
        <v>SELESAI (VIA PERMOHONAN)</v>
      </c>
      <c r="J3589" s="17">
        <f>IFERROR(__xludf.DUMMYFUNCTION("""COMPUTED_VALUE"""),45897.65287253472)</f>
        <v>45897.65287</v>
      </c>
      <c r="K3589" s="13" t="str">
        <f>IFERROR(__xludf.DUMMYFUNCTION("""COMPUTED_VALUE"""),"Selesai")</f>
        <v>Selesai</v>
      </c>
      <c r="L3589" s="17">
        <f>IFERROR(__xludf.DUMMYFUNCTION("""COMPUTED_VALUE"""),45897.65287253472)</f>
        <v>45897.65287</v>
      </c>
      <c r="M3589" s="13"/>
      <c r="N3589" s="13" t="str">
        <f>IFERROR(__xludf.DUMMYFUNCTION("""COMPUTED_VALUE"""),"")</f>
        <v/>
      </c>
      <c r="O3589" s="13" t="str">
        <f t="shared" si="1"/>
        <v/>
      </c>
    </row>
    <row r="3590" ht="22.5" customHeight="1">
      <c r="B3590" s="13">
        <f>IFERROR(__xludf.DUMMYFUNCTION("""COMPUTED_VALUE"""),3585.0)</f>
        <v>3585</v>
      </c>
      <c r="C3590" s="13" t="str">
        <f>IFERROR(__xludf.DUMMYFUNCTION("""COMPUTED_VALUE"""),"M. 1727/ KETEGUHAN")</f>
        <v>M. 1727/ KETEGUHAN</v>
      </c>
      <c r="D3590" s="13" t="str">
        <f>IFERROR(__xludf.DUMMYFUNCTION("""COMPUTED_VALUE"""),"K/28/190825/4")</f>
        <v>K/28/190825/4</v>
      </c>
      <c r="E3590" s="14" t="str">
        <f>IFERROR(__xludf.DUMMYFUNCTION("""COMPUTED_VALUE"""),"Heri (BT)")</f>
        <v>Heri (BT)</v>
      </c>
      <c r="F3590" s="14" t="str">
        <f>IFERROR(__xludf.DUMMYFUNCTION("""COMPUTED_VALUE"""),"SELESAI (VIA PERMOHONAN)")</f>
        <v>SELESAI (VIA PERMOHONAN)</v>
      </c>
      <c r="G3590" s="17">
        <f>IFERROR(__xludf.DUMMYFUNCTION("""COMPUTED_VALUE"""),45897.36047111111)</f>
        <v>45897.36047</v>
      </c>
      <c r="H3590" s="14" t="str">
        <f>IFERROR(__xludf.DUMMYFUNCTION("""COMPUTED_VALUE"""),"Eci (SU)")</f>
        <v>Eci (SU)</v>
      </c>
      <c r="I3590" s="13" t="str">
        <f>IFERROR(__xludf.DUMMYFUNCTION("""COMPUTED_VALUE"""),"SELESAI (VIA PERMOHONAN)")</f>
        <v>SELESAI (VIA PERMOHONAN)</v>
      </c>
      <c r="J3590" s="17">
        <f>IFERROR(__xludf.DUMMYFUNCTION("""COMPUTED_VALUE"""),45897.652941099535)</f>
        <v>45897.65294</v>
      </c>
      <c r="K3590" s="13" t="str">
        <f>IFERROR(__xludf.DUMMYFUNCTION("""COMPUTED_VALUE"""),"Selesai")</f>
        <v>Selesai</v>
      </c>
      <c r="L3590" s="17">
        <f>IFERROR(__xludf.DUMMYFUNCTION("""COMPUTED_VALUE"""),45897.652941099535)</f>
        <v>45897.65294</v>
      </c>
      <c r="M3590" s="13"/>
      <c r="N3590" s="13" t="str">
        <f>IFERROR(__xludf.DUMMYFUNCTION("""COMPUTED_VALUE"""),"")</f>
        <v/>
      </c>
      <c r="O3590" s="13" t="str">
        <f t="shared" si="1"/>
        <v/>
      </c>
    </row>
    <row r="3591" ht="22.5" customHeight="1">
      <c r="B3591" s="13">
        <f>IFERROR(__xludf.DUMMYFUNCTION("""COMPUTED_VALUE"""),3586.0)</f>
        <v>3586</v>
      </c>
      <c r="C3591" s="13" t="str">
        <f>IFERROR(__xludf.DUMMYFUNCTION("""COMPUTED_VALUE"""),"M. 10181/ Jagabaya II")</f>
        <v>M. 10181/ Jagabaya II</v>
      </c>
      <c r="D3591" s="13" t="str">
        <f>IFERROR(__xludf.DUMMYFUNCTION("""COMPUTED_VALUE"""),"K/10/140725/1")</f>
        <v>K/10/140725/1</v>
      </c>
      <c r="E3591" s="14" t="str">
        <f>IFERROR(__xludf.DUMMYFUNCTION("""COMPUTED_VALUE"""),"Heri (BT)")</f>
        <v>Heri (BT)</v>
      </c>
      <c r="F3591" s="14" t="str">
        <f>IFERROR(__xludf.DUMMYFUNCTION("""COMPUTED_VALUE"""),"SELESAI (VIA PERMOHONAN)")</f>
        <v>SELESAI (VIA PERMOHONAN)</v>
      </c>
      <c r="G3591" s="17">
        <f>IFERROR(__xludf.DUMMYFUNCTION("""COMPUTED_VALUE"""),45897.36063034722)</f>
        <v>45897.36063</v>
      </c>
      <c r="H3591" s="14" t="str">
        <f>IFERROR(__xludf.DUMMYFUNCTION("""COMPUTED_VALUE"""),"Eci (SU)")</f>
        <v>Eci (SU)</v>
      </c>
      <c r="I3591" s="13" t="str">
        <f>IFERROR(__xludf.DUMMYFUNCTION("""COMPUTED_VALUE"""),"SELESAI (VIA PERMOHONAN)")</f>
        <v>SELESAI (VIA PERMOHONAN)</v>
      </c>
      <c r="J3591" s="17">
        <f>IFERROR(__xludf.DUMMYFUNCTION("""COMPUTED_VALUE"""),45897.653015289354)</f>
        <v>45897.65302</v>
      </c>
      <c r="K3591" s="13" t="str">
        <f>IFERROR(__xludf.DUMMYFUNCTION("""COMPUTED_VALUE"""),"Selesai")</f>
        <v>Selesai</v>
      </c>
      <c r="L3591" s="17">
        <f>IFERROR(__xludf.DUMMYFUNCTION("""COMPUTED_VALUE"""),45897.653015289354)</f>
        <v>45897.65302</v>
      </c>
      <c r="M3591" s="13"/>
      <c r="N3591" s="13" t="str">
        <f>IFERROR(__xludf.DUMMYFUNCTION("""COMPUTED_VALUE"""),"")</f>
        <v/>
      </c>
      <c r="O3591" s="13" t="str">
        <f t="shared" si="1"/>
        <v/>
      </c>
    </row>
    <row r="3592" ht="22.5" customHeight="1">
      <c r="B3592" s="13">
        <f>IFERROR(__xludf.DUMMYFUNCTION("""COMPUTED_VALUE"""),3587.0)</f>
        <v>3587</v>
      </c>
      <c r="C3592" s="13" t="str">
        <f>IFERROR(__xludf.DUMMYFUNCTION("""COMPUTED_VALUE"""),"M. 14793/ SUKARAME")</f>
        <v>M. 14793/ SUKARAME</v>
      </c>
      <c r="D3592" s="13" t="str">
        <f>IFERROR(__xludf.DUMMYFUNCTION("""COMPUTED_VALUE"""),"L/37/150825/1")</f>
        <v>L/37/150825/1</v>
      </c>
      <c r="E3592" s="14" t="str">
        <f>IFERROR(__xludf.DUMMYFUNCTION("""COMPUTED_VALUE"""),"Heri (BT)")</f>
        <v>Heri (BT)</v>
      </c>
      <c r="F3592" s="14" t="str">
        <f>IFERROR(__xludf.DUMMYFUNCTION("""COMPUTED_VALUE"""),"SELESAI (VIA PERMOHONAN)")</f>
        <v>SELESAI (VIA PERMOHONAN)</v>
      </c>
      <c r="G3592" s="17">
        <f>IFERROR(__xludf.DUMMYFUNCTION("""COMPUTED_VALUE"""),45897.360806111115)</f>
        <v>45897.36081</v>
      </c>
      <c r="H3592" s="14" t="str">
        <f>IFERROR(__xludf.DUMMYFUNCTION("""COMPUTED_VALUE"""),"Eci (SU)")</f>
        <v>Eci (SU)</v>
      </c>
      <c r="I3592" s="13" t="str">
        <f>IFERROR(__xludf.DUMMYFUNCTION("""COMPUTED_VALUE"""),"SELESAI (VIA PERMOHONAN)")</f>
        <v>SELESAI (VIA PERMOHONAN)</v>
      </c>
      <c r="J3592" s="17">
        <f>IFERROR(__xludf.DUMMYFUNCTION("""COMPUTED_VALUE"""),45897.653148854166)</f>
        <v>45897.65315</v>
      </c>
      <c r="K3592" s="13" t="str">
        <f>IFERROR(__xludf.DUMMYFUNCTION("""COMPUTED_VALUE"""),"Selesai")</f>
        <v>Selesai</v>
      </c>
      <c r="L3592" s="17">
        <f>IFERROR(__xludf.DUMMYFUNCTION("""COMPUTED_VALUE"""),45897.653148854166)</f>
        <v>45897.65315</v>
      </c>
      <c r="M3592" s="13"/>
      <c r="N3592" s="13" t="str">
        <f>IFERROR(__xludf.DUMMYFUNCTION("""COMPUTED_VALUE"""),"")</f>
        <v/>
      </c>
      <c r="O3592" s="13" t="str">
        <f t="shared" si="1"/>
        <v/>
      </c>
    </row>
    <row r="3593" ht="22.5" customHeight="1">
      <c r="B3593" s="13">
        <f>IFERROR(__xludf.DUMMYFUNCTION("""COMPUTED_VALUE"""),3588.0)</f>
        <v>3588</v>
      </c>
      <c r="C3593" s="13" t="str">
        <f>IFERROR(__xludf.DUMMYFUNCTION("""COMPUTED_VALUE"""),"M. 816/PERUMNAS WAY KANDIS")</f>
        <v>M. 816/PERUMNAS WAY KANDIS</v>
      </c>
      <c r="D3593" s="13" t="str">
        <f>IFERROR(__xludf.DUMMYFUNCTION("""COMPUTED_VALUE"""),"L/8/150825/1")</f>
        <v>L/8/150825/1</v>
      </c>
      <c r="E3593" s="14" t="str">
        <f>IFERROR(__xludf.DUMMYFUNCTION("""COMPUTED_VALUE"""),"Heri (BT)")</f>
        <v>Heri (BT)</v>
      </c>
      <c r="F3593" s="14" t="str">
        <f>IFERROR(__xludf.DUMMYFUNCTION("""COMPUTED_VALUE"""),"SELESAI (VIA PERMOHONAN)")</f>
        <v>SELESAI (VIA PERMOHONAN)</v>
      </c>
      <c r="G3593" s="17">
        <f>IFERROR(__xludf.DUMMYFUNCTION("""COMPUTED_VALUE"""),45897.36106696759)</f>
        <v>45897.36107</v>
      </c>
      <c r="H3593" s="14" t="str">
        <f>IFERROR(__xludf.DUMMYFUNCTION("""COMPUTED_VALUE"""),"Eci (SU)")</f>
        <v>Eci (SU)</v>
      </c>
      <c r="I3593" s="13" t="str">
        <f>IFERROR(__xludf.DUMMYFUNCTION("""COMPUTED_VALUE"""),"SELESAI (VIA PERMOHONAN)")</f>
        <v>SELESAI (VIA PERMOHONAN)</v>
      </c>
      <c r="J3593" s="17">
        <f>IFERROR(__xludf.DUMMYFUNCTION("""COMPUTED_VALUE"""),45897.65321813658)</f>
        <v>45897.65322</v>
      </c>
      <c r="K3593" s="13" t="str">
        <f>IFERROR(__xludf.DUMMYFUNCTION("""COMPUTED_VALUE"""),"Selesai")</f>
        <v>Selesai</v>
      </c>
      <c r="L3593" s="17">
        <f>IFERROR(__xludf.DUMMYFUNCTION("""COMPUTED_VALUE"""),45897.65321813658)</f>
        <v>45897.65322</v>
      </c>
      <c r="M3593" s="13"/>
      <c r="N3593" s="13" t="str">
        <f>IFERROR(__xludf.DUMMYFUNCTION("""COMPUTED_VALUE"""),"")</f>
        <v/>
      </c>
      <c r="O3593" s="13" t="str">
        <f t="shared" si="1"/>
        <v/>
      </c>
    </row>
    <row r="3594" ht="22.5" customHeight="1">
      <c r="B3594" s="13">
        <f>IFERROR(__xludf.DUMMYFUNCTION("""COMPUTED_VALUE"""),3589.0)</f>
        <v>3589</v>
      </c>
      <c r="C3594" s="13" t="str">
        <f>IFERROR(__xludf.DUMMYFUNCTION("""COMPUTED_VALUE"""),"B. 260/PERUMNAS WAY KANDIS")</f>
        <v>B. 260/PERUMNAS WAY KANDIS</v>
      </c>
      <c r="D3594" s="13" t="str">
        <f>IFERROR(__xludf.DUMMYFUNCTION("""COMPUTED_VALUE"""),"L/7/150825/1")</f>
        <v>L/7/150825/1</v>
      </c>
      <c r="E3594" s="14" t="str">
        <f>IFERROR(__xludf.DUMMYFUNCTION("""COMPUTED_VALUE"""),"Heri (BT)")</f>
        <v>Heri (BT)</v>
      </c>
      <c r="F3594" s="14" t="str">
        <f>IFERROR(__xludf.DUMMYFUNCTION("""COMPUTED_VALUE"""),"SELESAI (VIA PERMOHONAN)")</f>
        <v>SELESAI (VIA PERMOHONAN)</v>
      </c>
      <c r="G3594" s="17">
        <f>IFERROR(__xludf.DUMMYFUNCTION("""COMPUTED_VALUE"""),45897.36125050926)</f>
        <v>45897.36125</v>
      </c>
      <c r="H3594" s="14" t="str">
        <f>IFERROR(__xludf.DUMMYFUNCTION("""COMPUTED_VALUE"""),"Eci (SU)")</f>
        <v>Eci (SU)</v>
      </c>
      <c r="I3594" s="13" t="str">
        <f>IFERROR(__xludf.DUMMYFUNCTION("""COMPUTED_VALUE"""),"SELESAI (VIA PERMOHONAN)")</f>
        <v>SELESAI (VIA PERMOHONAN)</v>
      </c>
      <c r="J3594" s="17">
        <f>IFERROR(__xludf.DUMMYFUNCTION("""COMPUTED_VALUE"""),45897.65332471065)</f>
        <v>45897.65332</v>
      </c>
      <c r="K3594" s="13" t="str">
        <f>IFERROR(__xludf.DUMMYFUNCTION("""COMPUTED_VALUE"""),"Selesai")</f>
        <v>Selesai</v>
      </c>
      <c r="L3594" s="17">
        <f>IFERROR(__xludf.DUMMYFUNCTION("""COMPUTED_VALUE"""),45897.65332471065)</f>
        <v>45897.65332</v>
      </c>
      <c r="M3594" s="13"/>
      <c r="N3594" s="13" t="str">
        <f>IFERROR(__xludf.DUMMYFUNCTION("""COMPUTED_VALUE"""),"")</f>
        <v/>
      </c>
      <c r="O3594" s="13" t="str">
        <f t="shared" si="1"/>
        <v/>
      </c>
    </row>
    <row r="3595" ht="22.5" customHeight="1">
      <c r="B3595" s="13">
        <f>IFERROR(__xludf.DUMMYFUNCTION("""COMPUTED_VALUE"""),3590.0)</f>
        <v>3590</v>
      </c>
      <c r="C3595" s="13" t="str">
        <f>IFERROR(__xludf.DUMMYFUNCTION("""COMPUTED_VALUE"""),"M.5924/TANJUNG SENENG")</f>
        <v>M.5924/TANJUNG SENENG</v>
      </c>
      <c r="D3595" s="13" t="str">
        <f>IFERROR(__xludf.DUMMYFUNCTION("""COMPUTED_VALUE"""),"K/3/050825/1")</f>
        <v>K/3/050825/1</v>
      </c>
      <c r="E3595" s="14" t="str">
        <f>IFERROR(__xludf.DUMMYFUNCTION("""COMPUTED_VALUE"""),"Heri (BT)")</f>
        <v>Heri (BT)</v>
      </c>
      <c r="F3595" s="14" t="str">
        <f>IFERROR(__xludf.DUMMYFUNCTION("""COMPUTED_VALUE"""),"SELESAI (VIA PERMOHONAN)")</f>
        <v>SELESAI (VIA PERMOHONAN)</v>
      </c>
      <c r="G3595" s="17">
        <f>IFERROR(__xludf.DUMMYFUNCTION("""COMPUTED_VALUE"""),45897.36141809028)</f>
        <v>45897.36142</v>
      </c>
      <c r="H3595" s="14" t="str">
        <f>IFERROR(__xludf.DUMMYFUNCTION("""COMPUTED_VALUE"""),"Eci (SU)")</f>
        <v>Eci (SU)</v>
      </c>
      <c r="I3595" s="13" t="str">
        <f>IFERROR(__xludf.DUMMYFUNCTION("""COMPUTED_VALUE"""),"SELESAI (VIA PERMOHONAN)")</f>
        <v>SELESAI (VIA PERMOHONAN)</v>
      </c>
      <c r="J3595" s="17">
        <f>IFERROR(__xludf.DUMMYFUNCTION("""COMPUTED_VALUE"""),45897.65339262731)</f>
        <v>45897.65339</v>
      </c>
      <c r="K3595" s="13" t="str">
        <f>IFERROR(__xludf.DUMMYFUNCTION("""COMPUTED_VALUE"""),"Selesai")</f>
        <v>Selesai</v>
      </c>
      <c r="L3595" s="17">
        <f>IFERROR(__xludf.DUMMYFUNCTION("""COMPUTED_VALUE"""),45897.65339262731)</f>
        <v>45897.65339</v>
      </c>
      <c r="M3595" s="13"/>
      <c r="N3595" s="13" t="str">
        <f>IFERROR(__xludf.DUMMYFUNCTION("""COMPUTED_VALUE"""),"")</f>
        <v/>
      </c>
      <c r="O3595" s="13" t="str">
        <f t="shared" si="1"/>
        <v/>
      </c>
    </row>
    <row r="3596" ht="22.5" customHeight="1">
      <c r="B3596" s="13">
        <f>IFERROR(__xludf.DUMMYFUNCTION("""COMPUTED_VALUE"""),3591.0)</f>
        <v>3591</v>
      </c>
      <c r="C3596" s="13" t="str">
        <f>IFERROR(__xludf.DUMMYFUNCTION("""COMPUTED_VALUE"""),"M. 870/ Sumber Agung ")</f>
        <v>M. 870/ Sumber Agung </v>
      </c>
      <c r="D3596" s="13" t="str">
        <f>IFERROR(__xludf.DUMMYFUNCTION("""COMPUTED_VALUE"""),"K/19/010825/4")</f>
        <v>K/19/010825/4</v>
      </c>
      <c r="E3596" s="14" t="str">
        <f>IFERROR(__xludf.DUMMYFUNCTION("""COMPUTED_VALUE"""),"Heri (BT)")</f>
        <v>Heri (BT)</v>
      </c>
      <c r="F3596" s="14" t="str">
        <f>IFERROR(__xludf.DUMMYFUNCTION("""COMPUTED_VALUE"""),"SELESAI (VIA PERMOHONAN)")</f>
        <v>SELESAI (VIA PERMOHONAN)</v>
      </c>
      <c r="G3596" s="17">
        <f>IFERROR(__xludf.DUMMYFUNCTION("""COMPUTED_VALUE"""),45902.44978248843)</f>
        <v>45902.44978</v>
      </c>
      <c r="H3596" s="14" t="str">
        <f>IFERROR(__xludf.DUMMYFUNCTION("""COMPUTED_VALUE"""),"Eci (SU)")</f>
        <v>Eci (SU)</v>
      </c>
      <c r="I3596" s="13" t="str">
        <f>IFERROR(__xludf.DUMMYFUNCTION("""COMPUTED_VALUE"""),"SELESAI (VIA PERMOHONAN)")</f>
        <v>SELESAI (VIA PERMOHONAN)</v>
      </c>
      <c r="J3596" s="17">
        <f>IFERROR(__xludf.DUMMYFUNCTION("""COMPUTED_VALUE"""),45902.62622884259)</f>
        <v>45902.62623</v>
      </c>
      <c r="K3596" s="13" t="str">
        <f>IFERROR(__xludf.DUMMYFUNCTION("""COMPUTED_VALUE"""),"Selesai")</f>
        <v>Selesai</v>
      </c>
      <c r="L3596" s="17">
        <f>IFERROR(__xludf.DUMMYFUNCTION("""COMPUTED_VALUE"""),45902.62622884259)</f>
        <v>45902.62623</v>
      </c>
      <c r="M3596" s="13"/>
      <c r="N3596" s="13" t="str">
        <f>IFERROR(__xludf.DUMMYFUNCTION("""COMPUTED_VALUE"""),"")</f>
        <v/>
      </c>
      <c r="O3596" s="13" t="str">
        <f t="shared" si="1"/>
        <v/>
      </c>
    </row>
    <row r="3597" ht="22.5" customHeight="1">
      <c r="B3597" s="13">
        <f>IFERROR(__xludf.DUMMYFUNCTION("""COMPUTED_VALUE"""),3592.0)</f>
        <v>3592</v>
      </c>
      <c r="C3597" s="13" t="str">
        <f>IFERROR(__xludf.DUMMYFUNCTION("""COMPUTED_VALUE"""),"M. 1983/ LABUHAN RATU RAYA")</f>
        <v>M. 1983/ LABUHAN RATU RAYA</v>
      </c>
      <c r="D3597" s="13" t="str">
        <f>IFERROR(__xludf.DUMMYFUNCTION("""COMPUTED_VALUE"""),"K/11/150825/2")</f>
        <v>K/11/150825/2</v>
      </c>
      <c r="E3597" s="14" t="str">
        <f>IFERROR(__xludf.DUMMYFUNCTION("""COMPUTED_VALUE"""),"Heri (BT)")</f>
        <v>Heri (BT)</v>
      </c>
      <c r="F3597" s="14" t="str">
        <f>IFERROR(__xludf.DUMMYFUNCTION("""COMPUTED_VALUE"""),"SELESAI (VIA PERMOHONAN)")</f>
        <v>SELESAI (VIA PERMOHONAN)</v>
      </c>
      <c r="G3597" s="17">
        <f>IFERROR(__xludf.DUMMYFUNCTION("""COMPUTED_VALUE"""),45902.44995858797)</f>
        <v>45902.44996</v>
      </c>
      <c r="H3597" s="14" t="str">
        <f>IFERROR(__xludf.DUMMYFUNCTION("""COMPUTED_VALUE"""),"Eci (SU)")</f>
        <v>Eci (SU)</v>
      </c>
      <c r="I3597" s="13" t="str">
        <f>IFERROR(__xludf.DUMMYFUNCTION("""COMPUTED_VALUE"""),"SELESAI (VIA PERMOHONAN)")</f>
        <v>SELESAI (VIA PERMOHONAN)</v>
      </c>
      <c r="J3597" s="17">
        <f>IFERROR(__xludf.DUMMYFUNCTION("""COMPUTED_VALUE"""),45902.62604481481)</f>
        <v>45902.62604</v>
      </c>
      <c r="K3597" s="13" t="str">
        <f>IFERROR(__xludf.DUMMYFUNCTION("""COMPUTED_VALUE"""),"Selesai")</f>
        <v>Selesai</v>
      </c>
      <c r="L3597" s="17">
        <f>IFERROR(__xludf.DUMMYFUNCTION("""COMPUTED_VALUE"""),45902.62604481481)</f>
        <v>45902.62604</v>
      </c>
      <c r="M3597" s="13"/>
      <c r="N3597" s="13" t="str">
        <f>IFERROR(__xludf.DUMMYFUNCTION("""COMPUTED_VALUE"""),"")</f>
        <v/>
      </c>
      <c r="O3597" s="13" t="str">
        <f t="shared" si="1"/>
        <v/>
      </c>
    </row>
    <row r="3598" ht="22.5" customHeight="1">
      <c r="B3598" s="13">
        <f>IFERROR(__xludf.DUMMYFUNCTION("""COMPUTED_VALUE"""),3593.0)</f>
        <v>3593</v>
      </c>
      <c r="C3598" s="13" t="str">
        <f>IFERROR(__xludf.DUMMYFUNCTION("""COMPUTED_VALUE"""),"M. 889/ SUMBER AGUNG")</f>
        <v>M. 889/ SUMBER AGUNG</v>
      </c>
      <c r="D3598" s="13" t="str">
        <f>IFERROR(__xludf.DUMMYFUNCTION("""COMPUTED_VALUE"""),"K/33/140826/1")</f>
        <v>K/33/140826/1</v>
      </c>
      <c r="E3598" s="14" t="str">
        <f>IFERROR(__xludf.DUMMYFUNCTION("""COMPUTED_VALUE"""),"Heri (BT)")</f>
        <v>Heri (BT)</v>
      </c>
      <c r="F3598" s="14" t="str">
        <f>IFERROR(__xludf.DUMMYFUNCTION("""COMPUTED_VALUE"""),"SELESAI (VIA PERMOHONAN)")</f>
        <v>SELESAI (VIA PERMOHONAN)</v>
      </c>
      <c r="G3598" s="17">
        <f>IFERROR(__xludf.DUMMYFUNCTION("""COMPUTED_VALUE"""),45902.4500277662)</f>
        <v>45902.45003</v>
      </c>
      <c r="H3598" s="14" t="str">
        <f>IFERROR(__xludf.DUMMYFUNCTION("""COMPUTED_VALUE"""),"Eci (SU)")</f>
        <v>Eci (SU)</v>
      </c>
      <c r="I3598" s="13" t="str">
        <f>IFERROR(__xludf.DUMMYFUNCTION("""COMPUTED_VALUE"""),"SELESAI (VIA PERMOHONAN)")</f>
        <v>SELESAI (VIA PERMOHONAN)</v>
      </c>
      <c r="J3598" s="17">
        <f>IFERROR(__xludf.DUMMYFUNCTION("""COMPUTED_VALUE"""),45902.62572231481)</f>
        <v>45902.62572</v>
      </c>
      <c r="K3598" s="13" t="str">
        <f>IFERROR(__xludf.DUMMYFUNCTION("""COMPUTED_VALUE"""),"Selesai")</f>
        <v>Selesai</v>
      </c>
      <c r="L3598" s="17">
        <f>IFERROR(__xludf.DUMMYFUNCTION("""COMPUTED_VALUE"""),45902.62572231481)</f>
        <v>45902.62572</v>
      </c>
      <c r="M3598" s="13"/>
      <c r="N3598" s="13" t="str">
        <f>IFERROR(__xludf.DUMMYFUNCTION("""COMPUTED_VALUE"""),"")</f>
        <v/>
      </c>
      <c r="O3598" s="13" t="str">
        <f t="shared" si="1"/>
        <v/>
      </c>
    </row>
    <row r="3599" ht="22.5" customHeight="1">
      <c r="B3599" s="13">
        <f>IFERROR(__xludf.DUMMYFUNCTION("""COMPUTED_VALUE"""),3594.0)</f>
        <v>3594</v>
      </c>
      <c r="C3599" s="13" t="str">
        <f>IFERROR(__xludf.DUMMYFUNCTION("""COMPUTED_VALUE"""),"M. 1192/ PEMATANG WANGI")</f>
        <v>M. 1192/ PEMATANG WANGI</v>
      </c>
      <c r="D3599" s="13" t="str">
        <f>IFERROR(__xludf.DUMMYFUNCTION("""COMPUTED_VALUE"""),"K/10/150825/1")</f>
        <v>K/10/150825/1</v>
      </c>
      <c r="E3599" s="14" t="str">
        <f>IFERROR(__xludf.DUMMYFUNCTION("""COMPUTED_VALUE"""),"Heri (BT)")</f>
        <v>Heri (BT)</v>
      </c>
      <c r="F3599" s="14" t="str">
        <f>IFERROR(__xludf.DUMMYFUNCTION("""COMPUTED_VALUE"""),"SELESAI (VIA PERMOHONAN)")</f>
        <v>SELESAI (VIA PERMOHONAN)</v>
      </c>
      <c r="G3599" s="17">
        <f>IFERROR(__xludf.DUMMYFUNCTION("""COMPUTED_VALUE"""),45902.450178009254)</f>
        <v>45902.45018</v>
      </c>
      <c r="H3599" s="14" t="str">
        <f>IFERROR(__xludf.DUMMYFUNCTION("""COMPUTED_VALUE"""),"Eci (SU)")</f>
        <v>Eci (SU)</v>
      </c>
      <c r="I3599" s="13" t="str">
        <f>IFERROR(__xludf.DUMMYFUNCTION("""COMPUTED_VALUE"""),"SELESAI (VIA PERMOHONAN)")</f>
        <v>SELESAI (VIA PERMOHONAN)</v>
      </c>
      <c r="J3599" s="17">
        <f>IFERROR(__xludf.DUMMYFUNCTION("""COMPUTED_VALUE"""),45902.712319467595)</f>
        <v>45902.71232</v>
      </c>
      <c r="K3599" s="13" t="str">
        <f>IFERROR(__xludf.DUMMYFUNCTION("""COMPUTED_VALUE"""),"Selesai")</f>
        <v>Selesai</v>
      </c>
      <c r="L3599" s="17">
        <f>IFERROR(__xludf.DUMMYFUNCTION("""COMPUTED_VALUE"""),45902.712319467595)</f>
        <v>45902.71232</v>
      </c>
      <c r="M3599" s="13"/>
      <c r="N3599" s="13" t="str">
        <f>IFERROR(__xludf.DUMMYFUNCTION("""COMPUTED_VALUE"""),"")</f>
        <v/>
      </c>
      <c r="O3599" s="13" t="str">
        <f t="shared" si="1"/>
        <v/>
      </c>
    </row>
    <row r="3600" ht="22.5" customHeight="1">
      <c r="B3600" s="13">
        <f>IFERROR(__xludf.DUMMYFUNCTION("""COMPUTED_VALUE"""),3595.0)</f>
        <v>3595</v>
      </c>
      <c r="C3600" s="13" t="str">
        <f>IFERROR(__xludf.DUMMYFUNCTION("""COMPUTED_VALUE"""),"M. 892/ NOG")</f>
        <v>M. 892/ NOG</v>
      </c>
      <c r="D3600" s="13" t="str">
        <f>IFERROR(__xludf.DUMMYFUNCTION("""COMPUTED_VALUE"""),"K/9/210825/2")</f>
        <v>K/9/210825/2</v>
      </c>
      <c r="E3600" s="14" t="str">
        <f>IFERROR(__xludf.DUMMYFUNCTION("""COMPUTED_VALUE"""),"Heri (BT)")</f>
        <v>Heri (BT)</v>
      </c>
      <c r="F3600" s="14" t="str">
        <f>IFERROR(__xludf.DUMMYFUNCTION("""COMPUTED_VALUE"""),"SELESAI (VIA PERMOHONAN)")</f>
        <v>SELESAI (VIA PERMOHONAN)</v>
      </c>
      <c r="G3600" s="17">
        <f>IFERROR(__xludf.DUMMYFUNCTION("""COMPUTED_VALUE"""),45902.45048042824)</f>
        <v>45902.45048</v>
      </c>
      <c r="H3600" s="14" t="str">
        <f>IFERROR(__xludf.DUMMYFUNCTION("""COMPUTED_VALUE"""),"Eci (SU)")</f>
        <v>Eci (SU)</v>
      </c>
      <c r="I3600" s="13" t="str">
        <f>IFERROR(__xludf.DUMMYFUNCTION("""COMPUTED_VALUE"""),"SELESAI (VIA PERMOHONAN)")</f>
        <v>SELESAI (VIA PERMOHONAN)</v>
      </c>
      <c r="J3600" s="17">
        <f>IFERROR(__xludf.DUMMYFUNCTION("""COMPUTED_VALUE"""),45902.624282766206)</f>
        <v>45902.62428</v>
      </c>
      <c r="K3600" s="13" t="str">
        <f>IFERROR(__xludf.DUMMYFUNCTION("""COMPUTED_VALUE"""),"Selesai")</f>
        <v>Selesai</v>
      </c>
      <c r="L3600" s="17">
        <f>IFERROR(__xludf.DUMMYFUNCTION("""COMPUTED_VALUE"""),45902.624282766206)</f>
        <v>45902.62428</v>
      </c>
      <c r="M3600" s="13"/>
      <c r="N3600" s="13" t="str">
        <f>IFERROR(__xludf.DUMMYFUNCTION("""COMPUTED_VALUE"""),"")</f>
        <v/>
      </c>
      <c r="O3600" s="13" t="str">
        <f t="shared" si="1"/>
        <v/>
      </c>
    </row>
    <row r="3601" ht="22.5" customHeight="1">
      <c r="B3601" s="13">
        <f>IFERROR(__xludf.DUMMYFUNCTION("""COMPUTED_VALUE"""),3596.0)</f>
        <v>3596</v>
      </c>
      <c r="C3601" s="13" t="str">
        <f>IFERROR(__xludf.DUMMYFUNCTION("""COMPUTED_VALUE"""),"22/ KE,ILING PERMAI")</f>
        <v>22/ KE,ILING PERMAI</v>
      </c>
      <c r="D3601" s="13" t="str">
        <f>IFERROR(__xludf.DUMMYFUNCTION("""COMPUTED_VALUE"""),"K/20/110825/1")</f>
        <v>K/20/110825/1</v>
      </c>
      <c r="E3601" s="14" t="str">
        <f>IFERROR(__xludf.DUMMYFUNCTION("""COMPUTED_VALUE"""),"Heri (BT)")</f>
        <v>Heri (BT)</v>
      </c>
      <c r="F3601" s="14" t="str">
        <f>IFERROR(__xludf.DUMMYFUNCTION("""COMPUTED_VALUE"""),"SELESAI (VIA PERMOHONAN)")</f>
        <v>SELESAI (VIA PERMOHONAN)</v>
      </c>
      <c r="G3601" s="17">
        <f>IFERROR(__xludf.DUMMYFUNCTION("""COMPUTED_VALUE"""),45902.450566493055)</f>
        <v>45902.45057</v>
      </c>
      <c r="H3601" s="14" t="str">
        <f>IFERROR(__xludf.DUMMYFUNCTION("""COMPUTED_VALUE"""),"Eci (SU)")</f>
        <v>Eci (SU)</v>
      </c>
      <c r="I3601" s="13" t="str">
        <f>IFERROR(__xludf.DUMMYFUNCTION("""COMPUTED_VALUE"""),"SELESAI (VIA PERMOHONAN)")</f>
        <v>SELESAI (VIA PERMOHONAN)</v>
      </c>
      <c r="J3601" s="17">
        <f>IFERROR(__xludf.DUMMYFUNCTION("""COMPUTED_VALUE"""),45902.62441081018)</f>
        <v>45902.62441</v>
      </c>
      <c r="K3601" s="13" t="str">
        <f>IFERROR(__xludf.DUMMYFUNCTION("""COMPUTED_VALUE"""),"Selesai")</f>
        <v>Selesai</v>
      </c>
      <c r="L3601" s="17">
        <f>IFERROR(__xludf.DUMMYFUNCTION("""COMPUTED_VALUE"""),45902.62441081018)</f>
        <v>45902.62441</v>
      </c>
      <c r="M3601" s="13"/>
      <c r="N3601" s="13" t="str">
        <f>IFERROR(__xludf.DUMMYFUNCTION("""COMPUTED_VALUE"""),"")</f>
        <v/>
      </c>
      <c r="O3601" s="13" t="str">
        <f t="shared" si="1"/>
        <v/>
      </c>
    </row>
    <row r="3602" ht="22.5" customHeight="1">
      <c r="B3602" s="13">
        <f>IFERROR(__xludf.DUMMYFUNCTION("""COMPUTED_VALUE"""),3597.0)</f>
        <v>3597</v>
      </c>
      <c r="C3602" s="13" t="str">
        <f>IFERROR(__xludf.DUMMYFUNCTION("""COMPUTED_VALUE"""),"M. 9057/ SURABAYA")</f>
        <v>M. 9057/ SURABAYA</v>
      </c>
      <c r="D3602" s="13" t="str">
        <f>IFERROR(__xludf.DUMMYFUNCTION("""COMPUTED_VALUE"""),"K/17/180725/1")</f>
        <v>K/17/180725/1</v>
      </c>
      <c r="E3602" s="14" t="str">
        <f>IFERROR(__xludf.DUMMYFUNCTION("""COMPUTED_VALUE"""),"Heri (BT)")</f>
        <v>Heri (BT)</v>
      </c>
      <c r="F3602" s="14" t="str">
        <f>IFERROR(__xludf.DUMMYFUNCTION("""COMPUTED_VALUE"""),"SELESAI (VIA PERMOHONAN)")</f>
        <v>SELESAI (VIA PERMOHONAN)</v>
      </c>
      <c r="G3602" s="17">
        <f>IFERROR(__xludf.DUMMYFUNCTION("""COMPUTED_VALUE"""),45902.45110543982)</f>
        <v>45902.45111</v>
      </c>
      <c r="H3602" s="14" t="str">
        <f>IFERROR(__xludf.DUMMYFUNCTION("""COMPUTED_VALUE"""),"Eci (SU)")</f>
        <v>Eci (SU)</v>
      </c>
      <c r="I3602" s="13" t="str">
        <f>IFERROR(__xludf.DUMMYFUNCTION("""COMPUTED_VALUE"""),"SELESAI (VIA PERMOHONAN)")</f>
        <v>SELESAI (VIA PERMOHONAN)</v>
      </c>
      <c r="J3602" s="17">
        <f>IFERROR(__xludf.DUMMYFUNCTION("""COMPUTED_VALUE"""),45902.62463017361)</f>
        <v>45902.62463</v>
      </c>
      <c r="K3602" s="13" t="str">
        <f>IFERROR(__xludf.DUMMYFUNCTION("""COMPUTED_VALUE"""),"Selesai")</f>
        <v>Selesai</v>
      </c>
      <c r="L3602" s="17">
        <f>IFERROR(__xludf.DUMMYFUNCTION("""COMPUTED_VALUE"""),45902.62463017361)</f>
        <v>45902.62463</v>
      </c>
      <c r="M3602" s="13"/>
      <c r="N3602" s="13" t="str">
        <f>IFERROR(__xludf.DUMMYFUNCTION("""COMPUTED_VALUE"""),"")</f>
        <v/>
      </c>
      <c r="O3602" s="13" t="str">
        <f t="shared" si="1"/>
        <v/>
      </c>
    </row>
    <row r="3603" ht="22.5" customHeight="1">
      <c r="B3603" s="13">
        <f>IFERROR(__xludf.DUMMYFUNCTION("""COMPUTED_VALUE"""),3598.0)</f>
        <v>3598</v>
      </c>
      <c r="C3603" s="13" t="str">
        <f>IFERROR(__xludf.DUMMYFUNCTION("""COMPUTED_VALUE"""),"B 603/ SUMBER AGUNG")</f>
        <v>B 603/ SUMBER AGUNG</v>
      </c>
      <c r="D3603" s="13" t="str">
        <f>IFERROR(__xludf.DUMMYFUNCTION("""COMPUTED_VALUE"""),"K/6/260825/1")</f>
        <v>K/6/260825/1</v>
      </c>
      <c r="E3603" s="14" t="str">
        <f>IFERROR(__xludf.DUMMYFUNCTION("""COMPUTED_VALUE"""),"Heri (BT)")</f>
        <v>Heri (BT)</v>
      </c>
      <c r="F3603" s="14" t="str">
        <f>IFERROR(__xludf.DUMMYFUNCTION("""COMPUTED_VALUE"""),"SELESAI (VIA PERMOHONAN)")</f>
        <v>SELESAI (VIA PERMOHONAN)</v>
      </c>
      <c r="G3603" s="17">
        <f>IFERROR(__xludf.DUMMYFUNCTION("""COMPUTED_VALUE"""),45902.451393449075)</f>
        <v>45902.45139</v>
      </c>
      <c r="H3603" s="14" t="str">
        <f>IFERROR(__xludf.DUMMYFUNCTION("""COMPUTED_VALUE"""),"Eci (SU)")</f>
        <v>Eci (SU)</v>
      </c>
      <c r="I3603" s="13" t="str">
        <f>IFERROR(__xludf.DUMMYFUNCTION("""COMPUTED_VALUE"""),"SELESAI (VIA PERMOHONAN)")</f>
        <v>SELESAI (VIA PERMOHONAN)</v>
      </c>
      <c r="J3603" s="17">
        <f>IFERROR(__xludf.DUMMYFUNCTION("""COMPUTED_VALUE"""),45902.62532770833)</f>
        <v>45902.62533</v>
      </c>
      <c r="K3603" s="13" t="str">
        <f>IFERROR(__xludf.DUMMYFUNCTION("""COMPUTED_VALUE"""),"Selesai")</f>
        <v>Selesai</v>
      </c>
      <c r="L3603" s="17">
        <f>IFERROR(__xludf.DUMMYFUNCTION("""COMPUTED_VALUE"""),45902.62532770833)</f>
        <v>45902.62533</v>
      </c>
      <c r="M3603" s="13"/>
      <c r="N3603" s="13" t="str">
        <f>IFERROR(__xludf.DUMMYFUNCTION("""COMPUTED_VALUE"""),"")</f>
        <v/>
      </c>
      <c r="O3603" s="13" t="str">
        <f t="shared" si="1"/>
        <v/>
      </c>
    </row>
    <row r="3604" ht="22.5" customHeight="1">
      <c r="B3604" s="13">
        <f>IFERROR(__xludf.DUMMYFUNCTION("""COMPUTED_VALUE"""),3599.0)</f>
        <v>3599</v>
      </c>
      <c r="C3604" s="13" t="str">
        <f>IFERROR(__xludf.DUMMYFUNCTION("""COMPUTED_VALUE"""),"B 793/ SUMUR PUTRI")</f>
        <v>B 793/ SUMUR PUTRI</v>
      </c>
      <c r="D3604" s="13" t="str">
        <f>IFERROR(__xludf.DUMMYFUNCTION("""COMPUTED_VALUE"""),"K/9/280825/2")</f>
        <v>K/9/280825/2</v>
      </c>
      <c r="E3604" s="14" t="str">
        <f>IFERROR(__xludf.DUMMYFUNCTION("""COMPUTED_VALUE"""),"Heri (BT)")</f>
        <v>Heri (BT)</v>
      </c>
      <c r="F3604" s="14" t="str">
        <f>IFERROR(__xludf.DUMMYFUNCTION("""COMPUTED_VALUE"""),"SELESAI (VIA PERMOHONAN)")</f>
        <v>SELESAI (VIA PERMOHONAN)</v>
      </c>
      <c r="G3604" s="17">
        <f>IFERROR(__xludf.DUMMYFUNCTION("""COMPUTED_VALUE"""),45902.45154172454)</f>
        <v>45902.45154</v>
      </c>
      <c r="H3604" s="14" t="str">
        <f>IFERROR(__xludf.DUMMYFUNCTION("""COMPUTED_VALUE"""),"Eci (SU)")</f>
        <v>Eci (SU)</v>
      </c>
      <c r="I3604" s="13" t="str">
        <f>IFERROR(__xludf.DUMMYFUNCTION("""COMPUTED_VALUE"""),"SELESAI (VIA PERMOHONAN)")</f>
        <v>SELESAI (VIA PERMOHONAN)</v>
      </c>
      <c r="J3604" s="17">
        <f>IFERROR(__xludf.DUMMYFUNCTION("""COMPUTED_VALUE"""),45902.624771296294)</f>
        <v>45902.62477</v>
      </c>
      <c r="K3604" s="13" t="str">
        <f>IFERROR(__xludf.DUMMYFUNCTION("""COMPUTED_VALUE"""),"Selesai")</f>
        <v>Selesai</v>
      </c>
      <c r="L3604" s="17">
        <f>IFERROR(__xludf.DUMMYFUNCTION("""COMPUTED_VALUE"""),45902.624771296294)</f>
        <v>45902.62477</v>
      </c>
      <c r="M3604" s="13"/>
      <c r="N3604" s="13" t="str">
        <f>IFERROR(__xludf.DUMMYFUNCTION("""COMPUTED_VALUE"""),"")</f>
        <v/>
      </c>
      <c r="O3604" s="13" t="str">
        <f t="shared" si="1"/>
        <v/>
      </c>
    </row>
    <row r="3605" ht="22.5" customHeight="1">
      <c r="B3605" s="13">
        <f>IFERROR(__xludf.DUMMYFUNCTION("""COMPUTED_VALUE"""),3600.0)</f>
        <v>3600</v>
      </c>
      <c r="C3605" s="13" t="str">
        <f>IFERROR(__xludf.DUMMYFUNCTION("""COMPUTED_VALUE"""),"M 2420/ NOG")</f>
        <v>M 2420/ NOG</v>
      </c>
      <c r="D3605" s="13" t="str">
        <f>IFERROR(__xludf.DUMMYFUNCTION("""COMPUTED_VALUE"""),"K/28/270825/1")</f>
        <v>K/28/270825/1</v>
      </c>
      <c r="E3605" s="14" t="str">
        <f>IFERROR(__xludf.DUMMYFUNCTION("""COMPUTED_VALUE"""),"Heri (BT)")</f>
        <v>Heri (BT)</v>
      </c>
      <c r="F3605" s="14" t="str">
        <f>IFERROR(__xludf.DUMMYFUNCTION("""COMPUTED_VALUE"""),"SELESAI (VIA PERMOHONAN)")</f>
        <v>SELESAI (VIA PERMOHONAN)</v>
      </c>
      <c r="G3605" s="17">
        <f>IFERROR(__xludf.DUMMYFUNCTION("""COMPUTED_VALUE"""),45902.451677488425)</f>
        <v>45902.45168</v>
      </c>
      <c r="H3605" s="14" t="str">
        <f>IFERROR(__xludf.DUMMYFUNCTION("""COMPUTED_VALUE"""),"Eci (SU)")</f>
        <v>Eci (SU)</v>
      </c>
      <c r="I3605" s="13" t="str">
        <f>IFERROR(__xludf.DUMMYFUNCTION("""COMPUTED_VALUE"""),"SELESAI (VIA PERMOHONAN)")</f>
        <v>SELESAI (VIA PERMOHONAN)</v>
      </c>
      <c r="J3605" s="17">
        <f>IFERROR(__xludf.DUMMYFUNCTION("""COMPUTED_VALUE"""),45902.71249225695)</f>
        <v>45902.71249</v>
      </c>
      <c r="K3605" s="13" t="str">
        <f>IFERROR(__xludf.DUMMYFUNCTION("""COMPUTED_VALUE"""),"Selesai")</f>
        <v>Selesai</v>
      </c>
      <c r="L3605" s="17">
        <f>IFERROR(__xludf.DUMMYFUNCTION("""COMPUTED_VALUE"""),45902.71249225695)</f>
        <v>45902.71249</v>
      </c>
      <c r="M3605" s="13"/>
      <c r="N3605" s="13" t="str">
        <f>IFERROR(__xludf.DUMMYFUNCTION("""COMPUTED_VALUE"""),"")</f>
        <v/>
      </c>
      <c r="O3605" s="13" t="str">
        <f t="shared" si="1"/>
        <v/>
      </c>
    </row>
    <row r="3606" ht="22.5" customHeight="1">
      <c r="B3606" s="13">
        <f>IFERROR(__xludf.DUMMYFUNCTION("""COMPUTED_VALUE"""),3601.0)</f>
        <v>3601</v>
      </c>
      <c r="C3606" s="13" t="str">
        <f>IFERROR(__xludf.DUMMYFUNCTION("""COMPUTED_VALUE"""),"M. 49/ PENENGAHAN RAYA")</f>
        <v>M. 49/ PENENGAHAN RAYA</v>
      </c>
      <c r="D3606" s="13" t="str">
        <f>IFERROR(__xludf.DUMMYFUNCTION("""COMPUTED_VALUE"""),"K/35/130825/1")</f>
        <v>K/35/130825/1</v>
      </c>
      <c r="E3606" s="14" t="str">
        <f>IFERROR(__xludf.DUMMYFUNCTION("""COMPUTED_VALUE"""),"Heri (BT)")</f>
        <v>Heri (BT)</v>
      </c>
      <c r="F3606" s="14" t="str">
        <f>IFERROR(__xludf.DUMMYFUNCTION("""COMPUTED_VALUE"""),"SELESAI (VIA PERMOHONAN)")</f>
        <v>SELESAI (VIA PERMOHONAN)</v>
      </c>
      <c r="G3606" s="17">
        <f>IFERROR(__xludf.DUMMYFUNCTION("""COMPUTED_VALUE"""),45902.45181222222)</f>
        <v>45902.45181</v>
      </c>
      <c r="H3606" s="14" t="str">
        <f>IFERROR(__xludf.DUMMYFUNCTION("""COMPUTED_VALUE"""),"Eci (SU)")</f>
        <v>Eci (SU)</v>
      </c>
      <c r="I3606" s="13" t="str">
        <f>IFERROR(__xludf.DUMMYFUNCTION("""COMPUTED_VALUE"""),"SELESAI (VIA PERMOHONAN)")</f>
        <v>SELESAI (VIA PERMOHONAN)</v>
      </c>
      <c r="J3606" s="17">
        <f>IFERROR(__xludf.DUMMYFUNCTION("""COMPUTED_VALUE"""),45902.62522469908)</f>
        <v>45902.62522</v>
      </c>
      <c r="K3606" s="13" t="str">
        <f>IFERROR(__xludf.DUMMYFUNCTION("""COMPUTED_VALUE"""),"Selesai")</f>
        <v>Selesai</v>
      </c>
      <c r="L3606" s="17">
        <f>IFERROR(__xludf.DUMMYFUNCTION("""COMPUTED_VALUE"""),45902.62522469908)</f>
        <v>45902.62522</v>
      </c>
      <c r="M3606" s="13"/>
      <c r="N3606" s="13" t="str">
        <f>IFERROR(__xludf.DUMMYFUNCTION("""COMPUTED_VALUE"""),"")</f>
        <v/>
      </c>
      <c r="O3606" s="13" t="str">
        <f t="shared" si="1"/>
        <v/>
      </c>
    </row>
    <row r="3607" ht="22.5" customHeight="1">
      <c r="B3607" s="13">
        <f>IFERROR(__xludf.DUMMYFUNCTION("""COMPUTED_VALUE"""),3602.0)</f>
        <v>3602</v>
      </c>
      <c r="C3607" s="13" t="str">
        <f>IFERROR(__xludf.DUMMYFUNCTION("""COMPUTED_VALUE"""),"B. 621/NUSANTARA PERMAI")</f>
        <v>B. 621/NUSANTARA PERMAI</v>
      </c>
      <c r="D3607" s="13" t="str">
        <f>IFERROR(__xludf.DUMMYFUNCTION("""COMPUTED_VALUE"""),"L/48/210826/1")</f>
        <v>L/48/210826/1</v>
      </c>
      <c r="E3607" s="14" t="str">
        <f>IFERROR(__xludf.DUMMYFUNCTION("""COMPUTED_VALUE"""),"Heri (BT)")</f>
        <v>Heri (BT)</v>
      </c>
      <c r="F3607" s="14" t="str">
        <f>IFERROR(__xludf.DUMMYFUNCTION("""COMPUTED_VALUE"""),"SELESAI (VIA PERMOHONAN)")</f>
        <v>SELESAI (VIA PERMOHONAN)</v>
      </c>
      <c r="G3607" s="17">
        <f>IFERROR(__xludf.DUMMYFUNCTION("""COMPUTED_VALUE"""),45902.45211268519)</f>
        <v>45902.45211</v>
      </c>
      <c r="H3607" s="14" t="str">
        <f>IFERROR(__xludf.DUMMYFUNCTION("""COMPUTED_VALUE"""),"Eci (SU)")</f>
        <v>Eci (SU)</v>
      </c>
      <c r="I3607" s="13" t="str">
        <f>IFERROR(__xludf.DUMMYFUNCTION("""COMPUTED_VALUE"""),"SELESAI (VIA PERMOHONAN)")</f>
        <v>SELESAI (VIA PERMOHONAN)</v>
      </c>
      <c r="J3607" s="17">
        <f>IFERROR(__xludf.DUMMYFUNCTION("""COMPUTED_VALUE"""),45902.71213664352)</f>
        <v>45902.71214</v>
      </c>
      <c r="K3607" s="13" t="str">
        <f>IFERROR(__xludf.DUMMYFUNCTION("""COMPUTED_VALUE"""),"Selesai")</f>
        <v>Selesai</v>
      </c>
      <c r="L3607" s="17">
        <f>IFERROR(__xludf.DUMMYFUNCTION("""COMPUTED_VALUE"""),45902.71213664352)</f>
        <v>45902.71214</v>
      </c>
      <c r="M3607" s="13"/>
      <c r="N3607" s="13" t="str">
        <f>IFERROR(__xludf.DUMMYFUNCTION("""COMPUTED_VALUE"""),"")</f>
        <v/>
      </c>
      <c r="O3607" s="13" t="str">
        <f t="shared" si="1"/>
        <v/>
      </c>
    </row>
    <row r="3608" ht="22.5" customHeight="1">
      <c r="B3608" s="13">
        <f>IFERROR(__xludf.DUMMYFUNCTION("""COMPUTED_VALUE"""),3603.0)</f>
        <v>3603</v>
      </c>
      <c r="C3608" s="13" t="str">
        <f>IFERROR(__xludf.DUMMYFUNCTION("""COMPUTED_VALUE"""),"M. 11078/ Sukabumi")</f>
        <v>M. 11078/ Sukabumi</v>
      </c>
      <c r="D3608" s="13" t="str">
        <f>IFERROR(__xludf.DUMMYFUNCTION("""COMPUTED_VALUE"""),"K/25/180725/1")</f>
        <v>K/25/180725/1</v>
      </c>
      <c r="E3608" s="14" t="str">
        <f>IFERROR(__xludf.DUMMYFUNCTION("""COMPUTED_VALUE"""),"Heri (BT)")</f>
        <v>Heri (BT)</v>
      </c>
      <c r="F3608" s="14" t="str">
        <f>IFERROR(__xludf.DUMMYFUNCTION("""COMPUTED_VALUE"""),"SELESAI (VIA PERMOHONAN)")</f>
        <v>SELESAI (VIA PERMOHONAN)</v>
      </c>
      <c r="G3608" s="17">
        <f>IFERROR(__xludf.DUMMYFUNCTION("""COMPUTED_VALUE"""),45902.45225084491)</f>
        <v>45902.45225</v>
      </c>
      <c r="H3608" s="14" t="str">
        <f>IFERROR(__xludf.DUMMYFUNCTION("""COMPUTED_VALUE"""),"Eci (SU)")</f>
        <v>Eci (SU)</v>
      </c>
      <c r="I3608" s="13" t="str">
        <f>IFERROR(__xludf.DUMMYFUNCTION("""COMPUTED_VALUE"""),"SELESAI (VIA PERMOHONAN)")</f>
        <v>SELESAI (VIA PERMOHONAN)</v>
      </c>
      <c r="J3608" s="17">
        <f>IFERROR(__xludf.DUMMYFUNCTION("""COMPUTED_VALUE"""),45902.62496290509)</f>
        <v>45902.62496</v>
      </c>
      <c r="K3608" s="13" t="str">
        <f>IFERROR(__xludf.DUMMYFUNCTION("""COMPUTED_VALUE"""),"Selesai")</f>
        <v>Selesai</v>
      </c>
      <c r="L3608" s="17">
        <f>IFERROR(__xludf.DUMMYFUNCTION("""COMPUTED_VALUE"""),45902.62496290509)</f>
        <v>45902.62496</v>
      </c>
      <c r="M3608" s="13"/>
      <c r="N3608" s="13" t="str">
        <f>IFERROR(__xludf.DUMMYFUNCTION("""COMPUTED_VALUE"""),"")</f>
        <v/>
      </c>
      <c r="O3608" s="13" t="str">
        <f t="shared" si="1"/>
        <v/>
      </c>
    </row>
    <row r="3609" ht="22.5" customHeight="1">
      <c r="B3609" s="13">
        <f>IFERROR(__xludf.DUMMYFUNCTION("""COMPUTED_VALUE"""),3604.0)</f>
        <v>3604</v>
      </c>
      <c r="C3609" s="13" t="str">
        <f>IFERROR(__xludf.DUMMYFUNCTION("""COMPUTED_VALUE"""),"B.617/KEMILING PERMAI")</f>
        <v>B.617/KEMILING PERMAI</v>
      </c>
      <c r="D3609" s="13" t="str">
        <f>IFERROR(__xludf.DUMMYFUNCTION("""COMPUTED_VALUE"""),"K/28/120225/1")</f>
        <v>K/28/120225/1</v>
      </c>
      <c r="E3609" s="14" t="str">
        <f>IFERROR(__xludf.DUMMYFUNCTION("""COMPUTED_VALUE"""),"Heri (BT)")</f>
        <v>Heri (BT)</v>
      </c>
      <c r="F3609" s="14" t="str">
        <f>IFERROR(__xludf.DUMMYFUNCTION("""COMPUTED_VALUE"""),"SELESAI (VIA PERMOHONAN)")</f>
        <v>SELESAI (VIA PERMOHONAN)</v>
      </c>
      <c r="G3609" s="17">
        <f>IFERROR(__xludf.DUMMYFUNCTION("""COMPUTED_VALUE"""),45902.452426979165)</f>
        <v>45902.45243</v>
      </c>
      <c r="H3609" s="14" t="str">
        <f>IFERROR(__xludf.DUMMYFUNCTION("""COMPUTED_VALUE"""),"Eci (SU)")</f>
        <v>Eci (SU)</v>
      </c>
      <c r="I3609" s="13" t="str">
        <f>IFERROR(__xludf.DUMMYFUNCTION("""COMPUTED_VALUE"""),"SELESAI (VIA PERMOHONAN)")</f>
        <v>SELESAI (VIA PERMOHONAN)</v>
      </c>
      <c r="J3609" s="17">
        <f>IFERROR(__xludf.DUMMYFUNCTION("""COMPUTED_VALUE"""),45902.71325439815)</f>
        <v>45902.71325</v>
      </c>
      <c r="K3609" s="13" t="str">
        <f>IFERROR(__xludf.DUMMYFUNCTION("""COMPUTED_VALUE"""),"Selesai")</f>
        <v>Selesai</v>
      </c>
      <c r="L3609" s="17">
        <f>IFERROR(__xludf.DUMMYFUNCTION("""COMPUTED_VALUE"""),45902.71325439815)</f>
        <v>45902.71325</v>
      </c>
      <c r="M3609" s="13"/>
      <c r="N3609" s="13" t="str">
        <f>IFERROR(__xludf.DUMMYFUNCTION("""COMPUTED_VALUE"""),"")</f>
        <v/>
      </c>
      <c r="O3609" s="13" t="str">
        <f t="shared" si="1"/>
        <v/>
      </c>
    </row>
    <row r="3610" ht="22.5" customHeight="1">
      <c r="B3610" s="13">
        <f>IFERROR(__xludf.DUMMYFUNCTION("""COMPUTED_VALUE"""),3605.0)</f>
        <v>3605</v>
      </c>
      <c r="C3610" s="13" t="str">
        <f>IFERROR(__xludf.DUMMYFUNCTION("""COMPUTED_VALUE"""),"B. 919/SUKARAME BARU")</f>
        <v>B. 919/SUKARAME BARU</v>
      </c>
      <c r="D3610" s="13" t="str">
        <f>IFERROR(__xludf.DUMMYFUNCTION("""COMPUTED_VALUE"""),"L/9/190825/1")</f>
        <v>L/9/190825/1</v>
      </c>
      <c r="E3610" s="14" t="str">
        <f>IFERROR(__xludf.DUMMYFUNCTION("""COMPUTED_VALUE"""),"Heri (BT)")</f>
        <v>Heri (BT)</v>
      </c>
      <c r="F3610" s="14" t="str">
        <f>IFERROR(__xludf.DUMMYFUNCTION("""COMPUTED_VALUE"""),"SELESAI (VIA PERMOHONAN)")</f>
        <v>SELESAI (VIA PERMOHONAN)</v>
      </c>
      <c r="G3610" s="17">
        <f>IFERROR(__xludf.DUMMYFUNCTION("""COMPUTED_VALUE"""),45902.45272173611)</f>
        <v>45902.45272</v>
      </c>
      <c r="H3610" s="14" t="str">
        <f>IFERROR(__xludf.DUMMYFUNCTION("""COMPUTED_VALUE"""),"Eci (SU)")</f>
        <v>Eci (SU)</v>
      </c>
      <c r="I3610" s="13" t="str">
        <f>IFERROR(__xludf.DUMMYFUNCTION("""COMPUTED_VALUE"""),"SELESAI (VIA PERMOHONAN)")</f>
        <v>SELESAI (VIA PERMOHONAN)</v>
      </c>
      <c r="J3610" s="17">
        <f>IFERROR(__xludf.DUMMYFUNCTION("""COMPUTED_VALUE"""),45902.625119247685)</f>
        <v>45902.62512</v>
      </c>
      <c r="K3610" s="13" t="str">
        <f>IFERROR(__xludf.DUMMYFUNCTION("""COMPUTED_VALUE"""),"Selesai")</f>
        <v>Selesai</v>
      </c>
      <c r="L3610" s="17">
        <f>IFERROR(__xludf.DUMMYFUNCTION("""COMPUTED_VALUE"""),45902.625119247685)</f>
        <v>45902.62512</v>
      </c>
      <c r="M3610" s="13"/>
      <c r="N3610" s="13" t="str">
        <f>IFERROR(__xludf.DUMMYFUNCTION("""COMPUTED_VALUE"""),"")</f>
        <v/>
      </c>
      <c r="O3610" s="13" t="str">
        <f t="shared" si="1"/>
        <v/>
      </c>
    </row>
    <row r="3611" ht="22.5" customHeight="1">
      <c r="B3611" s="13">
        <f>IFERROR(__xludf.DUMMYFUNCTION("""COMPUTED_VALUE"""),3606.0)</f>
        <v>3606</v>
      </c>
      <c r="C3611" s="13" t="str">
        <f>IFERROR(__xludf.DUMMYFUNCTION("""COMPUTED_VALUE"""),"M. 1874/Rajabasa Nunyai")</f>
        <v>M. 1874/Rajabasa Nunyai</v>
      </c>
      <c r="D3611" s="13" t="str">
        <f>IFERROR(__xludf.DUMMYFUNCTION("""COMPUTED_VALUE"""),"K/25/140825/1")</f>
        <v>K/25/140825/1</v>
      </c>
      <c r="E3611" s="14" t="str">
        <f>IFERROR(__xludf.DUMMYFUNCTION("""COMPUTED_VALUE"""),"Admin (Migrasi)")</f>
        <v>Admin (Migrasi)</v>
      </c>
      <c r="F3611" s="14" t="str">
        <f>IFERROR(__xludf.DUMMYFUNCTION("""COMPUTED_VALUE"""),"SELESAI (VIA PERMOHONAN)")</f>
        <v>SELESAI (VIA PERMOHONAN)</v>
      </c>
      <c r="G3611" s="17">
        <f>IFERROR(__xludf.DUMMYFUNCTION("""COMPUTED_VALUE"""),45902.46247560185)</f>
        <v>45902.46248</v>
      </c>
      <c r="H3611" s="14" t="str">
        <f>IFERROR(__xludf.DUMMYFUNCTION("""COMPUTED_VALUE"""),"Admin (Migrasi)")</f>
        <v>Admin (Migrasi)</v>
      </c>
      <c r="I3611" s="13" t="str">
        <f>IFERROR(__xludf.DUMMYFUNCTION("""COMPUTED_VALUE"""),"SELESAI (VIA PERMOHONAN)")</f>
        <v>SELESAI (VIA PERMOHONAN)</v>
      </c>
      <c r="J3611" s="17">
        <f>IFERROR(__xludf.DUMMYFUNCTION("""COMPUTED_VALUE"""),45902.46247560185)</f>
        <v>45902.46248</v>
      </c>
      <c r="K3611" s="13" t="str">
        <f>IFERROR(__xludf.DUMMYFUNCTION("""COMPUTED_VALUE"""),"Selesai")</f>
        <v>Selesai</v>
      </c>
      <c r="L3611" s="17">
        <f>IFERROR(__xludf.DUMMYFUNCTION("""COMPUTED_VALUE"""),45902.46247560185)</f>
        <v>45902.46248</v>
      </c>
      <c r="M3611" s="13"/>
      <c r="N3611" s="13" t="str">
        <f>IFERROR(__xludf.DUMMYFUNCTION("""COMPUTED_VALUE"""),"")</f>
        <v/>
      </c>
      <c r="O3611" s="13" t="str">
        <f t="shared" si="1"/>
        <v/>
      </c>
    </row>
    <row r="3612" ht="22.5" customHeight="1">
      <c r="B3612" s="13">
        <f>IFERROR(__xludf.DUMMYFUNCTION("""COMPUTED_VALUE"""),3607.0)</f>
        <v>3607</v>
      </c>
      <c r="C3612" s="13" t="str">
        <f>IFERROR(__xludf.DUMMYFUNCTION("""COMPUTED_VALUE"""),"B. 669/SUMUR PUTRI")</f>
        <v>B. 669/SUMUR PUTRI</v>
      </c>
      <c r="D3612" s="13" t="str">
        <f>IFERROR(__xludf.DUMMYFUNCTION("""COMPUTED_VALUE"""),"K/6/080725/2")</f>
        <v>K/6/080725/2</v>
      </c>
      <c r="E3612" s="14" t="str">
        <f>IFERROR(__xludf.DUMMYFUNCTION("""COMPUTED_VALUE"""),"Afriza (BT)")</f>
        <v>Afriza (BT)</v>
      </c>
      <c r="F3612" s="14" t="str">
        <f>IFERROR(__xludf.DUMMYFUNCTION("""COMPUTED_VALUE"""),"SELESAI (VIA PERMOHONAN)")</f>
        <v>SELESAI (VIA PERMOHONAN)</v>
      </c>
      <c r="G3612" s="17">
        <f>IFERROR(__xludf.DUMMYFUNCTION("""COMPUTED_VALUE"""),45903.65415956019)</f>
        <v>45903.65416</v>
      </c>
      <c r="H3612" s="14" t="str">
        <f>IFERROR(__xludf.DUMMYFUNCTION("""COMPUTED_VALUE"""),"Eci (SU)")</f>
        <v>Eci (SU)</v>
      </c>
      <c r="I3612" s="13" t="str">
        <f>IFERROR(__xludf.DUMMYFUNCTION("""COMPUTED_VALUE"""),"SELESAI (VIA PERMOHONAN)")</f>
        <v>SELESAI (VIA PERMOHONAN)</v>
      </c>
      <c r="J3612" s="17">
        <f>IFERROR(__xludf.DUMMYFUNCTION("""COMPUTED_VALUE"""),45904.58074723379)</f>
        <v>45904.58075</v>
      </c>
      <c r="K3612" s="13" t="str">
        <f>IFERROR(__xludf.DUMMYFUNCTION("""COMPUTED_VALUE"""),"Selesai")</f>
        <v>Selesai</v>
      </c>
      <c r="L3612" s="17">
        <f>IFERROR(__xludf.DUMMYFUNCTION("""COMPUTED_VALUE"""),45904.58074723379)</f>
        <v>45904.58075</v>
      </c>
      <c r="M3612" s="13"/>
      <c r="N3612" s="13" t="str">
        <f>IFERROR(__xludf.DUMMYFUNCTION("""COMPUTED_VALUE"""),"")</f>
        <v/>
      </c>
      <c r="O3612" s="13" t="str">
        <f t="shared" si="1"/>
        <v/>
      </c>
    </row>
    <row r="3613" ht="22.5" customHeight="1">
      <c r="B3613" s="13">
        <f>IFERROR(__xludf.DUMMYFUNCTION("""COMPUTED_VALUE"""),3608.0)</f>
        <v>3608</v>
      </c>
      <c r="C3613" s="13" t="str">
        <f>IFERROR(__xludf.DUMMYFUNCTION("""COMPUTED_VALUE"""),"M. 3375/ Kemiling Permai")</f>
        <v>M. 3375/ Kemiling Permai</v>
      </c>
      <c r="D3613" s="13" t="str">
        <f>IFERROR(__xludf.DUMMYFUNCTION("""COMPUTED_VALUE"""),"K/23/050825/1")</f>
        <v>K/23/050825/1</v>
      </c>
      <c r="E3613" s="14" t="str">
        <f>IFERROR(__xludf.DUMMYFUNCTION("""COMPUTED_VALUE"""),"Afriza (BT)")</f>
        <v>Afriza (BT)</v>
      </c>
      <c r="F3613" s="14" t="str">
        <f>IFERROR(__xludf.DUMMYFUNCTION("""COMPUTED_VALUE"""),"SELESAI (VIA PERMOHONAN)")</f>
        <v>SELESAI (VIA PERMOHONAN)</v>
      </c>
      <c r="G3613" s="17">
        <f>IFERROR(__xludf.DUMMYFUNCTION("""COMPUTED_VALUE"""),45903.65415956019)</f>
        <v>45903.65416</v>
      </c>
      <c r="H3613" s="14" t="str">
        <f>IFERROR(__xludf.DUMMYFUNCTION("""COMPUTED_VALUE"""),"Eci (SU)")</f>
        <v>Eci (SU)</v>
      </c>
      <c r="I3613" s="13" t="str">
        <f>IFERROR(__xludf.DUMMYFUNCTION("""COMPUTED_VALUE"""),"SELESAI (VIA PERMOHONAN)")</f>
        <v>SELESAI (VIA PERMOHONAN)</v>
      </c>
      <c r="J3613" s="17">
        <f>IFERROR(__xludf.DUMMYFUNCTION("""COMPUTED_VALUE"""),45904.580642719906)</f>
        <v>45904.58064</v>
      </c>
      <c r="K3613" s="13" t="str">
        <f>IFERROR(__xludf.DUMMYFUNCTION("""COMPUTED_VALUE"""),"Selesai")</f>
        <v>Selesai</v>
      </c>
      <c r="L3613" s="17">
        <f>IFERROR(__xludf.DUMMYFUNCTION("""COMPUTED_VALUE"""),45904.580642719906)</f>
        <v>45904.58064</v>
      </c>
      <c r="M3613" s="13"/>
      <c r="N3613" s="13" t="str">
        <f>IFERROR(__xludf.DUMMYFUNCTION("""COMPUTED_VALUE"""),"")</f>
        <v/>
      </c>
      <c r="O3613" s="13" t="str">
        <f t="shared" si="1"/>
        <v/>
      </c>
    </row>
    <row r="3614" ht="22.5" customHeight="1">
      <c r="B3614" s="13">
        <f>IFERROR(__xludf.DUMMYFUNCTION("""COMPUTED_VALUE"""),3609.0)</f>
        <v>3609</v>
      </c>
      <c r="C3614" s="13" t="str">
        <f>IFERROR(__xludf.DUMMYFUNCTION("""COMPUTED_VALUE"""),"M. 3042/KUPANG TEBA")</f>
        <v>M. 3042/KUPANG TEBA</v>
      </c>
      <c r="D3614" s="13" t="str">
        <f>IFERROR(__xludf.DUMMYFUNCTION("""COMPUTED_VALUE"""),"K/13/140825/4")</f>
        <v>K/13/140825/4</v>
      </c>
      <c r="E3614" s="14" t="str">
        <f>IFERROR(__xludf.DUMMYFUNCTION("""COMPUTED_VALUE"""),"Afriza (BT)")</f>
        <v>Afriza (BT)</v>
      </c>
      <c r="F3614" s="14" t="str">
        <f>IFERROR(__xludf.DUMMYFUNCTION("""COMPUTED_VALUE"""),"SELESAI (VIA PERMOHONAN)")</f>
        <v>SELESAI (VIA PERMOHONAN)</v>
      </c>
      <c r="G3614" s="17">
        <f>IFERROR(__xludf.DUMMYFUNCTION("""COMPUTED_VALUE"""),45903.65415956019)</f>
        <v>45903.65416</v>
      </c>
      <c r="H3614" s="14" t="str">
        <f>IFERROR(__xludf.DUMMYFUNCTION("""COMPUTED_VALUE"""),"Eci (SU)")</f>
        <v>Eci (SU)</v>
      </c>
      <c r="I3614" s="13" t="str">
        <f>IFERROR(__xludf.DUMMYFUNCTION("""COMPUTED_VALUE"""),"SELESAI (VIA PERMOHONAN)")</f>
        <v>SELESAI (VIA PERMOHONAN)</v>
      </c>
      <c r="J3614" s="17">
        <f>IFERROR(__xludf.DUMMYFUNCTION("""COMPUTED_VALUE"""),45904.580496435185)</f>
        <v>45904.5805</v>
      </c>
      <c r="K3614" s="13" t="str">
        <f>IFERROR(__xludf.DUMMYFUNCTION("""COMPUTED_VALUE"""),"Selesai")</f>
        <v>Selesai</v>
      </c>
      <c r="L3614" s="17">
        <f>IFERROR(__xludf.DUMMYFUNCTION("""COMPUTED_VALUE"""),45904.580496435185)</f>
        <v>45904.5805</v>
      </c>
      <c r="M3614" s="13"/>
      <c r="N3614" s="13" t="str">
        <f>IFERROR(__xludf.DUMMYFUNCTION("""COMPUTED_VALUE"""),"")</f>
        <v/>
      </c>
      <c r="O3614" s="13" t="str">
        <f t="shared" si="1"/>
        <v/>
      </c>
    </row>
    <row r="3615" ht="22.5" customHeight="1">
      <c r="B3615" s="13">
        <f>IFERROR(__xludf.DUMMYFUNCTION("""COMPUTED_VALUE"""),3610.0)</f>
        <v>3610</v>
      </c>
      <c r="C3615" s="13" t="str">
        <f>IFERROR(__xludf.DUMMYFUNCTION("""COMPUTED_VALUE"""),"M. 175/KETAPANG")</f>
        <v>M. 175/KETAPANG</v>
      </c>
      <c r="D3615" s="13" t="str">
        <f>IFERROR(__xludf.DUMMYFUNCTION("""COMPUTED_VALUE"""),"L/63/210825/1")</f>
        <v>L/63/210825/1</v>
      </c>
      <c r="E3615" s="14" t="str">
        <f>IFERROR(__xludf.DUMMYFUNCTION("""COMPUTED_VALUE"""),"Heri (BT)")</f>
        <v>Heri (BT)</v>
      </c>
      <c r="F3615" s="14" t="str">
        <f>IFERROR(__xludf.DUMMYFUNCTION("""COMPUTED_VALUE"""),"SELESAI (VIA PERMOHONAN)")</f>
        <v>SELESAI (VIA PERMOHONAN)</v>
      </c>
      <c r="G3615" s="17">
        <f>IFERROR(__xludf.DUMMYFUNCTION("""COMPUTED_VALUE"""),45903.65415956019)</f>
        <v>45903.65416</v>
      </c>
      <c r="H3615" s="14" t="str">
        <f>IFERROR(__xludf.DUMMYFUNCTION("""COMPUTED_VALUE"""),"Eci (SU)")</f>
        <v>Eci (SU)</v>
      </c>
      <c r="I3615" s="13" t="str">
        <f>IFERROR(__xludf.DUMMYFUNCTION("""COMPUTED_VALUE"""),"SELESAI (VIA PERMOHONAN)")</f>
        <v>SELESAI (VIA PERMOHONAN)</v>
      </c>
      <c r="J3615" s="17">
        <f>IFERROR(__xludf.DUMMYFUNCTION("""COMPUTED_VALUE"""),45904.577121932874)</f>
        <v>45904.57712</v>
      </c>
      <c r="K3615" s="13" t="str">
        <f>IFERROR(__xludf.DUMMYFUNCTION("""COMPUTED_VALUE"""),"Selesai")</f>
        <v>Selesai</v>
      </c>
      <c r="L3615" s="17">
        <f>IFERROR(__xludf.DUMMYFUNCTION("""COMPUTED_VALUE"""),45904.577121932874)</f>
        <v>45904.57712</v>
      </c>
      <c r="M3615" s="13"/>
      <c r="N3615" s="13" t="str">
        <f>IFERROR(__xludf.DUMMYFUNCTION("""COMPUTED_VALUE"""),"")</f>
        <v/>
      </c>
      <c r="O3615" s="13" t="str">
        <f t="shared" si="1"/>
        <v/>
      </c>
    </row>
    <row r="3616" ht="22.5" customHeight="1">
      <c r="B3616" s="13">
        <f>IFERROR(__xludf.DUMMYFUNCTION("""COMPUTED_VALUE"""),3611.0)</f>
        <v>3611</v>
      </c>
      <c r="C3616" s="13" t="str">
        <f>IFERROR(__xludf.DUMMYFUNCTION("""COMPUTED_VALUE"""),"B. 573/NUSANTARA PERMAI")</f>
        <v>B. 573/NUSANTARA PERMAI</v>
      </c>
      <c r="D3616" s="13" t="str">
        <f>IFERROR(__xludf.DUMMYFUNCTION("""COMPUTED_VALUE"""),"L/11/220825/1")</f>
        <v>L/11/220825/1</v>
      </c>
      <c r="E3616" s="14" t="str">
        <f>IFERROR(__xludf.DUMMYFUNCTION("""COMPUTED_VALUE"""),"Heri (BT)")</f>
        <v>Heri (BT)</v>
      </c>
      <c r="F3616" s="14" t="str">
        <f>IFERROR(__xludf.DUMMYFUNCTION("""COMPUTED_VALUE"""),"SELESAI (VIA PERMOHONAN)")</f>
        <v>SELESAI (VIA PERMOHONAN)</v>
      </c>
      <c r="G3616" s="17">
        <f>IFERROR(__xludf.DUMMYFUNCTION("""COMPUTED_VALUE"""),45903.65415956019)</f>
        <v>45903.65416</v>
      </c>
      <c r="H3616" s="14" t="str">
        <f>IFERROR(__xludf.DUMMYFUNCTION("""COMPUTED_VALUE"""),"Eci (SU)")</f>
        <v>Eci (SU)</v>
      </c>
      <c r="I3616" s="13" t="str">
        <f>IFERROR(__xludf.DUMMYFUNCTION("""COMPUTED_VALUE"""),"SELESAI (VIA PERMOHONAN)")</f>
        <v>SELESAI (VIA PERMOHONAN)</v>
      </c>
      <c r="J3616" s="17">
        <f>IFERROR(__xludf.DUMMYFUNCTION("""COMPUTED_VALUE"""),45904.579725752315)</f>
        <v>45904.57973</v>
      </c>
      <c r="K3616" s="13" t="str">
        <f>IFERROR(__xludf.DUMMYFUNCTION("""COMPUTED_VALUE"""),"Selesai")</f>
        <v>Selesai</v>
      </c>
      <c r="L3616" s="17">
        <f>IFERROR(__xludf.DUMMYFUNCTION("""COMPUTED_VALUE"""),45904.579725752315)</f>
        <v>45904.57973</v>
      </c>
      <c r="M3616" s="13"/>
      <c r="N3616" s="13" t="str">
        <f>IFERROR(__xludf.DUMMYFUNCTION("""COMPUTED_VALUE"""),"")</f>
        <v/>
      </c>
      <c r="O3616" s="13" t="str">
        <f t="shared" si="1"/>
        <v/>
      </c>
    </row>
    <row r="3617" ht="22.5" customHeight="1">
      <c r="B3617" s="13">
        <f>IFERROR(__xludf.DUMMYFUNCTION("""COMPUTED_VALUE"""),3612.0)</f>
        <v>3612</v>
      </c>
      <c r="C3617" s="13" t="str">
        <f>IFERROR(__xludf.DUMMYFUNCTION("""COMPUTED_VALUE"""),"B. 4057/SUKARAME I")</f>
        <v>B. 4057/SUKARAME I</v>
      </c>
      <c r="D3617" s="13" t="str">
        <f>IFERROR(__xludf.DUMMYFUNCTION("""COMPUTED_VALUE"""),"L/34/210826/1")</f>
        <v>L/34/210826/1</v>
      </c>
      <c r="E3617" s="14" t="str">
        <f>IFERROR(__xludf.DUMMYFUNCTION("""COMPUTED_VALUE"""),"Heri (BT)")</f>
        <v>Heri (BT)</v>
      </c>
      <c r="F3617" s="14" t="str">
        <f>IFERROR(__xludf.DUMMYFUNCTION("""COMPUTED_VALUE"""),"SELESAI (VIA PERMOHONAN)")</f>
        <v>SELESAI (VIA PERMOHONAN)</v>
      </c>
      <c r="G3617" s="17">
        <f>IFERROR(__xludf.DUMMYFUNCTION("""COMPUTED_VALUE"""),45903.65415956019)</f>
        <v>45903.65416</v>
      </c>
      <c r="H3617" s="14" t="str">
        <f>IFERROR(__xludf.DUMMYFUNCTION("""COMPUTED_VALUE"""),"Eci (SU)")</f>
        <v>Eci (SU)</v>
      </c>
      <c r="I3617" s="13" t="str">
        <f>IFERROR(__xludf.DUMMYFUNCTION("""COMPUTED_VALUE"""),"SELESAI (VIA PERMOHONAN)")</f>
        <v>SELESAI (VIA PERMOHONAN)</v>
      </c>
      <c r="J3617" s="17">
        <f>IFERROR(__xludf.DUMMYFUNCTION("""COMPUTED_VALUE"""),45904.57698138889)</f>
        <v>45904.57698</v>
      </c>
      <c r="K3617" s="13" t="str">
        <f>IFERROR(__xludf.DUMMYFUNCTION("""COMPUTED_VALUE"""),"Selesai")</f>
        <v>Selesai</v>
      </c>
      <c r="L3617" s="17">
        <f>IFERROR(__xludf.DUMMYFUNCTION("""COMPUTED_VALUE"""),45904.57698138889)</f>
        <v>45904.57698</v>
      </c>
      <c r="M3617" s="13"/>
      <c r="N3617" s="13" t="str">
        <f>IFERROR(__xludf.DUMMYFUNCTION("""COMPUTED_VALUE"""),"")</f>
        <v/>
      </c>
      <c r="O3617" s="13" t="str">
        <f t="shared" si="1"/>
        <v/>
      </c>
    </row>
    <row r="3618" ht="22.5" customHeight="1">
      <c r="B3618" s="13">
        <f>IFERROR(__xludf.DUMMYFUNCTION("""COMPUTED_VALUE"""),3613.0)</f>
        <v>3613</v>
      </c>
      <c r="C3618" s="13" t="str">
        <f>IFERROR(__xludf.DUMMYFUNCTION("""COMPUTED_VALUE"""),"B. 184/GEDUNG MENENG")</f>
        <v>B. 184/GEDUNG MENENG</v>
      </c>
      <c r="D3618" s="13" t="str">
        <f>IFERROR(__xludf.DUMMYFUNCTION("""COMPUTED_VALUE"""),"L/23/190826/1")</f>
        <v>L/23/190826/1</v>
      </c>
      <c r="E3618" s="14" t="str">
        <f>IFERROR(__xludf.DUMMYFUNCTION("""COMPUTED_VALUE"""),"Heri (BT)")</f>
        <v>Heri (BT)</v>
      </c>
      <c r="F3618" s="14" t="str">
        <f>IFERROR(__xludf.DUMMYFUNCTION("""COMPUTED_VALUE"""),"SELESAI (VIA PERMOHONAN)")</f>
        <v>SELESAI (VIA PERMOHONAN)</v>
      </c>
      <c r="G3618" s="17">
        <f>IFERROR(__xludf.DUMMYFUNCTION("""COMPUTED_VALUE"""),45903.65415956019)</f>
        <v>45903.65416</v>
      </c>
      <c r="H3618" s="14" t="str">
        <f>IFERROR(__xludf.DUMMYFUNCTION("""COMPUTED_VALUE"""),"Eci (SU)")</f>
        <v>Eci (SU)</v>
      </c>
      <c r="I3618" s="13" t="str">
        <f>IFERROR(__xludf.DUMMYFUNCTION("""COMPUTED_VALUE"""),"SELESAI (VIA PERMOHONAN)")</f>
        <v>SELESAI (VIA PERMOHONAN)</v>
      </c>
      <c r="J3618" s="17">
        <f>IFERROR(__xludf.DUMMYFUNCTION("""COMPUTED_VALUE"""),45904.57670983796)</f>
        <v>45904.57671</v>
      </c>
      <c r="K3618" s="13" t="str">
        <f>IFERROR(__xludf.DUMMYFUNCTION("""COMPUTED_VALUE"""),"Selesai")</f>
        <v>Selesai</v>
      </c>
      <c r="L3618" s="17">
        <f>IFERROR(__xludf.DUMMYFUNCTION("""COMPUTED_VALUE"""),45904.57670983796)</f>
        <v>45904.57671</v>
      </c>
      <c r="M3618" s="13"/>
      <c r="N3618" s="13" t="str">
        <f>IFERROR(__xludf.DUMMYFUNCTION("""COMPUTED_VALUE"""),"")</f>
        <v/>
      </c>
      <c r="O3618" s="13" t="str">
        <f t="shared" si="1"/>
        <v/>
      </c>
    </row>
    <row r="3619" ht="22.5" customHeight="1">
      <c r="B3619" s="13">
        <f>IFERROR(__xludf.DUMMYFUNCTION("""COMPUTED_VALUE"""),3614.0)</f>
        <v>3614</v>
      </c>
      <c r="C3619" s="13" t="str">
        <f>IFERROR(__xludf.DUMMYFUNCTION("""COMPUTED_VALUE"""),"M. 4213/LANGKAPURA")</f>
        <v>M. 4213/LANGKAPURA</v>
      </c>
      <c r="D3619" s="13" t="str">
        <f>IFERROR(__xludf.DUMMYFUNCTION("""COMPUTED_VALUE"""),"L/12/250825/1")</f>
        <v>L/12/250825/1</v>
      </c>
      <c r="E3619" s="14" t="str">
        <f>IFERROR(__xludf.DUMMYFUNCTION("""COMPUTED_VALUE"""),"Heri (BT)")</f>
        <v>Heri (BT)</v>
      </c>
      <c r="F3619" s="14" t="str">
        <f>IFERROR(__xludf.DUMMYFUNCTION("""COMPUTED_VALUE"""),"SELESAI (VIA PERMOHONAN)")</f>
        <v>SELESAI (VIA PERMOHONAN)</v>
      </c>
      <c r="G3619" s="17">
        <f>IFERROR(__xludf.DUMMYFUNCTION("""COMPUTED_VALUE"""),45903.65415956019)</f>
        <v>45903.65416</v>
      </c>
      <c r="H3619" s="14" t="str">
        <f>IFERROR(__xludf.DUMMYFUNCTION("""COMPUTED_VALUE"""),"Eci (SU)")</f>
        <v>Eci (SU)</v>
      </c>
      <c r="I3619" s="13" t="str">
        <f>IFERROR(__xludf.DUMMYFUNCTION("""COMPUTED_VALUE"""),"SELESAI (VIA PERMOHONAN)")</f>
        <v>SELESAI (VIA PERMOHONAN)</v>
      </c>
      <c r="J3619" s="17">
        <f>IFERROR(__xludf.DUMMYFUNCTION("""COMPUTED_VALUE"""),45904.57680790509)</f>
        <v>45904.57681</v>
      </c>
      <c r="K3619" s="13" t="str">
        <f>IFERROR(__xludf.DUMMYFUNCTION("""COMPUTED_VALUE"""),"Selesai")</f>
        <v>Selesai</v>
      </c>
      <c r="L3619" s="17">
        <f>IFERROR(__xludf.DUMMYFUNCTION("""COMPUTED_VALUE"""),45904.57680790509)</f>
        <v>45904.57681</v>
      </c>
      <c r="M3619" s="13"/>
      <c r="N3619" s="13" t="str">
        <f>IFERROR(__xludf.DUMMYFUNCTION("""COMPUTED_VALUE"""),"")</f>
        <v/>
      </c>
      <c r="O3619" s="13" t="str">
        <f t="shared" si="1"/>
        <v/>
      </c>
    </row>
    <row r="3620" ht="22.5" customHeight="1">
      <c r="B3620" s="13">
        <f>IFERROR(__xludf.DUMMYFUNCTION("""COMPUTED_VALUE"""),3615.0)</f>
        <v>3615</v>
      </c>
      <c r="C3620" s="13" t="str">
        <f>IFERROR(__xludf.DUMMYFUNCTION("""COMPUTED_VALUE"""),"HM 1151/JAGABAYA III")</f>
        <v>HM 1151/JAGABAYA III</v>
      </c>
      <c r="D3620" s="13" t="str">
        <f>IFERROR(__xludf.DUMMYFUNCTION("""COMPUTED_VALUE"""),"L/29/190625/1")</f>
        <v>L/29/190625/1</v>
      </c>
      <c r="E3620" s="14" t="str">
        <f>IFERROR(__xludf.DUMMYFUNCTION("""COMPUTED_VALUE"""),"Heri (BT)")</f>
        <v>Heri (BT)</v>
      </c>
      <c r="F3620" s="14" t="str">
        <f>IFERROR(__xludf.DUMMYFUNCTION("""COMPUTED_VALUE"""),"SELESAI (VIA PERMOHONAN)")</f>
        <v>SELESAI (VIA PERMOHONAN)</v>
      </c>
      <c r="G3620" s="17">
        <f>IFERROR(__xludf.DUMMYFUNCTION("""COMPUTED_VALUE"""),45903.65415956019)</f>
        <v>45903.65416</v>
      </c>
      <c r="H3620" s="14" t="str">
        <f>IFERROR(__xludf.DUMMYFUNCTION("""COMPUTED_VALUE"""),"Eci (SU)")</f>
        <v>Eci (SU)</v>
      </c>
      <c r="I3620" s="13" t="str">
        <f>IFERROR(__xludf.DUMMYFUNCTION("""COMPUTED_VALUE"""),"SELESAI (VIA PERMOHONAN)")</f>
        <v>SELESAI (VIA PERMOHONAN)</v>
      </c>
      <c r="J3620" s="17">
        <f>IFERROR(__xludf.DUMMYFUNCTION("""COMPUTED_VALUE"""),45904.577271574075)</f>
        <v>45904.57727</v>
      </c>
      <c r="K3620" s="13" t="str">
        <f>IFERROR(__xludf.DUMMYFUNCTION("""COMPUTED_VALUE"""),"Selesai")</f>
        <v>Selesai</v>
      </c>
      <c r="L3620" s="17">
        <f>IFERROR(__xludf.DUMMYFUNCTION("""COMPUTED_VALUE"""),45904.577271574075)</f>
        <v>45904.57727</v>
      </c>
      <c r="M3620" s="13"/>
      <c r="N3620" s="13" t="str">
        <f>IFERROR(__xludf.DUMMYFUNCTION("""COMPUTED_VALUE"""),"")</f>
        <v/>
      </c>
      <c r="O3620" s="13" t="str">
        <f t="shared" si="1"/>
        <v/>
      </c>
    </row>
    <row r="3621" ht="22.5" customHeight="1">
      <c r="B3621" s="13">
        <f>IFERROR(__xludf.DUMMYFUNCTION("""COMPUTED_VALUE"""),3616.0)</f>
        <v>3616</v>
      </c>
      <c r="C3621" s="13" t="str">
        <f>IFERROR(__xludf.DUMMYFUNCTION("""COMPUTED_VALUE"""),"B. 1374/PINANG JAYA")</f>
        <v>B. 1374/PINANG JAYA</v>
      </c>
      <c r="D3621" s="13" t="str">
        <f>IFERROR(__xludf.DUMMYFUNCTION("""COMPUTED_VALUE"""),"L/1/190825/1")</f>
        <v>L/1/190825/1</v>
      </c>
      <c r="E3621" s="14" t="str">
        <f>IFERROR(__xludf.DUMMYFUNCTION("""COMPUTED_VALUE"""),"Heri (BT)")</f>
        <v>Heri (BT)</v>
      </c>
      <c r="F3621" s="14" t="str">
        <f>IFERROR(__xludf.DUMMYFUNCTION("""COMPUTED_VALUE"""),"SELESAI (VIA PERMOHONAN)")</f>
        <v>SELESAI (VIA PERMOHONAN)</v>
      </c>
      <c r="G3621" s="17">
        <f>IFERROR(__xludf.DUMMYFUNCTION("""COMPUTED_VALUE"""),45903.65415956019)</f>
        <v>45903.65416</v>
      </c>
      <c r="H3621" s="14" t="str">
        <f>IFERROR(__xludf.DUMMYFUNCTION("""COMPUTED_VALUE"""),"Eci (SU)")</f>
        <v>Eci (SU)</v>
      </c>
      <c r="I3621" s="13" t="str">
        <f>IFERROR(__xludf.DUMMYFUNCTION("""COMPUTED_VALUE"""),"SELESAI (VIA PERMOHONAN)")</f>
        <v>SELESAI (VIA PERMOHONAN)</v>
      </c>
      <c r="J3621" s="17">
        <f>IFERROR(__xludf.DUMMYFUNCTION("""COMPUTED_VALUE"""),45908.59186892361)</f>
        <v>45908.59187</v>
      </c>
      <c r="K3621" s="13" t="str">
        <f>IFERROR(__xludf.DUMMYFUNCTION("""COMPUTED_VALUE"""),"Selesai")</f>
        <v>Selesai</v>
      </c>
      <c r="L3621" s="17">
        <f>IFERROR(__xludf.DUMMYFUNCTION("""COMPUTED_VALUE"""),45908.59186892361)</f>
        <v>45908.59187</v>
      </c>
      <c r="M3621" s="13"/>
      <c r="N3621" s="13" t="str">
        <f>IFERROR(__xludf.DUMMYFUNCTION("""COMPUTED_VALUE"""),"")</f>
        <v/>
      </c>
      <c r="O3621" s="13" t="str">
        <f t="shared" si="1"/>
        <v/>
      </c>
    </row>
    <row r="3622" ht="22.5" customHeight="1">
      <c r="B3622" s="13">
        <f>IFERROR(__xludf.DUMMYFUNCTION("""COMPUTED_VALUE"""),3617.0)</f>
        <v>3617</v>
      </c>
      <c r="C3622" s="13" t="str">
        <f>IFERROR(__xludf.DUMMYFUNCTION("""COMPUTED_VALUE"""),"M. 9008/GEDUNG MENENG")</f>
        <v>M. 9008/GEDUNG MENENG</v>
      </c>
      <c r="D3622" s="13" t="str">
        <f>IFERROR(__xludf.DUMMYFUNCTION("""COMPUTED_VALUE"""),"L/1/220825/1")</f>
        <v>L/1/220825/1</v>
      </c>
      <c r="E3622" s="14" t="str">
        <f>IFERROR(__xludf.DUMMYFUNCTION("""COMPUTED_VALUE"""),"Heri (BT)")</f>
        <v>Heri (BT)</v>
      </c>
      <c r="F3622" s="14" t="str">
        <f>IFERROR(__xludf.DUMMYFUNCTION("""COMPUTED_VALUE"""),"SELESAI (VIA PERMOHONAN)")</f>
        <v>SELESAI (VIA PERMOHONAN)</v>
      </c>
      <c r="G3622" s="17">
        <f>IFERROR(__xludf.DUMMYFUNCTION("""COMPUTED_VALUE"""),45903.65415956019)</f>
        <v>45903.65416</v>
      </c>
      <c r="H3622" s="14" t="str">
        <f>IFERROR(__xludf.DUMMYFUNCTION("""COMPUTED_VALUE"""),"Eci (SU)")</f>
        <v>Eci (SU)</v>
      </c>
      <c r="I3622" s="13" t="str">
        <f>IFERROR(__xludf.DUMMYFUNCTION("""COMPUTED_VALUE"""),"SELESAI (VIA PERMOHONAN)")</f>
        <v>SELESAI (VIA PERMOHONAN)</v>
      </c>
      <c r="J3622" s="17">
        <f>IFERROR(__xludf.DUMMYFUNCTION("""COMPUTED_VALUE"""),45904.57759450232)</f>
        <v>45904.57759</v>
      </c>
      <c r="K3622" s="13" t="str">
        <f>IFERROR(__xludf.DUMMYFUNCTION("""COMPUTED_VALUE"""),"Selesai")</f>
        <v>Selesai</v>
      </c>
      <c r="L3622" s="17">
        <f>IFERROR(__xludf.DUMMYFUNCTION("""COMPUTED_VALUE"""),45904.57759450232)</f>
        <v>45904.57759</v>
      </c>
      <c r="M3622" s="13"/>
      <c r="N3622" s="13" t="str">
        <f>IFERROR(__xludf.DUMMYFUNCTION("""COMPUTED_VALUE"""),"")</f>
        <v/>
      </c>
      <c r="O3622" s="13" t="str">
        <f t="shared" si="1"/>
        <v/>
      </c>
    </row>
    <row r="3623" ht="22.5" customHeight="1">
      <c r="B3623" s="13">
        <f>IFERROR(__xludf.DUMMYFUNCTION("""COMPUTED_VALUE"""),3618.0)</f>
        <v>3618</v>
      </c>
      <c r="C3623" s="13" t="str">
        <f>IFERROR(__xludf.DUMMYFUNCTION("""COMPUTED_VALUE"""),"B. 918/SUKARAME BARU")</f>
        <v>B. 918/SUKARAME BARU</v>
      </c>
      <c r="D3623" s="13" t="str">
        <f>IFERROR(__xludf.DUMMYFUNCTION("""COMPUTED_VALUE"""),"L/10/190825/1")</f>
        <v>L/10/190825/1</v>
      </c>
      <c r="E3623" s="14" t="str">
        <f>IFERROR(__xludf.DUMMYFUNCTION("""COMPUTED_VALUE"""),"Heri (BT)")</f>
        <v>Heri (BT)</v>
      </c>
      <c r="F3623" s="14" t="str">
        <f>IFERROR(__xludf.DUMMYFUNCTION("""COMPUTED_VALUE"""),"SELESAI (VIA PERMOHONAN)")</f>
        <v>SELESAI (VIA PERMOHONAN)</v>
      </c>
      <c r="G3623" s="17">
        <f>IFERROR(__xludf.DUMMYFUNCTION("""COMPUTED_VALUE"""),45903.65415956019)</f>
        <v>45903.65416</v>
      </c>
      <c r="H3623" s="14" t="str">
        <f>IFERROR(__xludf.DUMMYFUNCTION("""COMPUTED_VALUE"""),"Eci (SU)")</f>
        <v>Eci (SU)</v>
      </c>
      <c r="I3623" s="13" t="str">
        <f>IFERROR(__xludf.DUMMYFUNCTION("""COMPUTED_VALUE"""),"SELESAI (VIA PERMOHONAN)")</f>
        <v>SELESAI (VIA PERMOHONAN)</v>
      </c>
      <c r="J3623" s="17">
        <f>IFERROR(__xludf.DUMMYFUNCTION("""COMPUTED_VALUE"""),45904.57743420139)</f>
        <v>45904.57743</v>
      </c>
      <c r="K3623" s="13" t="str">
        <f>IFERROR(__xludf.DUMMYFUNCTION("""COMPUTED_VALUE"""),"Selesai")</f>
        <v>Selesai</v>
      </c>
      <c r="L3623" s="17">
        <f>IFERROR(__xludf.DUMMYFUNCTION("""COMPUTED_VALUE"""),45904.57743420139)</f>
        <v>45904.57743</v>
      </c>
      <c r="M3623" s="13"/>
      <c r="N3623" s="13" t="str">
        <f>IFERROR(__xludf.DUMMYFUNCTION("""COMPUTED_VALUE"""),"")</f>
        <v/>
      </c>
      <c r="O3623" s="13" t="str">
        <f t="shared" si="1"/>
        <v/>
      </c>
    </row>
    <row r="3624" ht="22.5" customHeight="1">
      <c r="B3624" s="13">
        <f>IFERROR(__xludf.DUMMYFUNCTION("""COMPUTED_VALUE"""),3619.0)</f>
        <v>3619</v>
      </c>
      <c r="C3624" s="13" t="str">
        <f>IFERROR(__xludf.DUMMYFUNCTION("""COMPUTED_VALUE"""),"M. 4923/TANJUNG SENANG")</f>
        <v>M. 4923/TANJUNG SENANG</v>
      </c>
      <c r="D3624" s="13" t="str">
        <f>IFERROR(__xludf.DUMMYFUNCTION("""COMPUTED_VALUE"""),"L/27/130825/1")</f>
        <v>L/27/130825/1</v>
      </c>
      <c r="E3624" s="14" t="str">
        <f>IFERROR(__xludf.DUMMYFUNCTION("""COMPUTED_VALUE"""),"Heri (BT)")</f>
        <v>Heri (BT)</v>
      </c>
      <c r="F3624" s="14" t="str">
        <f>IFERROR(__xludf.DUMMYFUNCTION("""COMPUTED_VALUE"""),"SELESAI (VIA PERMOHONAN)")</f>
        <v>SELESAI (VIA PERMOHONAN)</v>
      </c>
      <c r="G3624" s="17">
        <f>IFERROR(__xludf.DUMMYFUNCTION("""COMPUTED_VALUE"""),45903.65415956019)</f>
        <v>45903.65416</v>
      </c>
      <c r="H3624" s="14" t="str">
        <f>IFERROR(__xludf.DUMMYFUNCTION("""COMPUTED_VALUE"""),"Eci (SU)")</f>
        <v>Eci (SU)</v>
      </c>
      <c r="I3624" s="13" t="str">
        <f>IFERROR(__xludf.DUMMYFUNCTION("""COMPUTED_VALUE"""),"SELESAI (VIA PERMOHONAN)")</f>
        <v>SELESAI (VIA PERMOHONAN)</v>
      </c>
      <c r="J3624" s="17">
        <f>IFERROR(__xludf.DUMMYFUNCTION("""COMPUTED_VALUE"""),45904.58205424769)</f>
        <v>45904.58205</v>
      </c>
      <c r="K3624" s="13" t="str">
        <f>IFERROR(__xludf.DUMMYFUNCTION("""COMPUTED_VALUE"""),"Selesai")</f>
        <v>Selesai</v>
      </c>
      <c r="L3624" s="17">
        <f>IFERROR(__xludf.DUMMYFUNCTION("""COMPUTED_VALUE"""),45904.58205424769)</f>
        <v>45904.58205</v>
      </c>
      <c r="M3624" s="13"/>
      <c r="N3624" s="13" t="str">
        <f>IFERROR(__xludf.DUMMYFUNCTION("""COMPUTED_VALUE"""),"")</f>
        <v/>
      </c>
      <c r="O3624" s="13" t="str">
        <f t="shared" si="1"/>
        <v/>
      </c>
    </row>
    <row r="3625" ht="22.5" customHeight="1">
      <c r="B3625" s="13">
        <f>IFERROR(__xludf.DUMMYFUNCTION("""COMPUTED_VALUE"""),3620.0)</f>
        <v>3620</v>
      </c>
      <c r="C3625" s="13" t="str">
        <f>IFERROR(__xludf.DUMMYFUNCTION("""COMPUTED_VALUE"""),"M. 13923/ TANJUNG BARU")</f>
        <v>M. 13923/ TANJUNG BARU</v>
      </c>
      <c r="D3625" s="13" t="str">
        <f>IFERROR(__xludf.DUMMYFUNCTION("""COMPUTED_VALUE"""),"K/19/130825/3")</f>
        <v>K/19/130825/3</v>
      </c>
      <c r="E3625" s="14" t="str">
        <f>IFERROR(__xludf.DUMMYFUNCTION("""COMPUTED_VALUE"""),"Heri (BT)")</f>
        <v>Heri (BT)</v>
      </c>
      <c r="F3625" s="14" t="str">
        <f>IFERROR(__xludf.DUMMYFUNCTION("""COMPUTED_VALUE"""),"SELESAI (VIA PERMOHONAN)")</f>
        <v>SELESAI (VIA PERMOHONAN)</v>
      </c>
      <c r="G3625" s="17">
        <f>IFERROR(__xludf.DUMMYFUNCTION("""COMPUTED_VALUE"""),45903.65415956019)</f>
        <v>45903.65416</v>
      </c>
      <c r="H3625" s="14" t="str">
        <f>IFERROR(__xludf.DUMMYFUNCTION("""COMPUTED_VALUE"""),"Eci (SU)")</f>
        <v>Eci (SU)</v>
      </c>
      <c r="I3625" s="13" t="str">
        <f>IFERROR(__xludf.DUMMYFUNCTION("""COMPUTED_VALUE"""),"SELESAI (VIA PERMOHONAN)")</f>
        <v>SELESAI (VIA PERMOHONAN)</v>
      </c>
      <c r="J3625" s="17">
        <f>IFERROR(__xludf.DUMMYFUNCTION("""COMPUTED_VALUE"""),45904.58222015046)</f>
        <v>45904.58222</v>
      </c>
      <c r="K3625" s="13" t="str">
        <f>IFERROR(__xludf.DUMMYFUNCTION("""COMPUTED_VALUE"""),"Selesai")</f>
        <v>Selesai</v>
      </c>
      <c r="L3625" s="17">
        <f>IFERROR(__xludf.DUMMYFUNCTION("""COMPUTED_VALUE"""),45904.58222015046)</f>
        <v>45904.58222</v>
      </c>
      <c r="M3625" s="13"/>
      <c r="N3625" s="13" t="str">
        <f>IFERROR(__xludf.DUMMYFUNCTION("""COMPUTED_VALUE"""),"")</f>
        <v/>
      </c>
      <c r="O3625" s="13" t="str">
        <f t="shared" si="1"/>
        <v/>
      </c>
    </row>
    <row r="3626" ht="22.5" customHeight="1">
      <c r="B3626" s="13">
        <f>IFERROR(__xludf.DUMMYFUNCTION("""COMPUTED_VALUE"""),3621.0)</f>
        <v>3621</v>
      </c>
      <c r="C3626" s="13" t="str">
        <f>IFERROR(__xludf.DUMMYFUNCTION("""COMPUTED_VALUE"""),"M. 13924/ TANJUNG BARU")</f>
        <v>M. 13924/ TANJUNG BARU</v>
      </c>
      <c r="D3626" s="13" t="str">
        <f>IFERROR(__xludf.DUMMYFUNCTION("""COMPUTED_VALUE"""),"K/20/130825/4")</f>
        <v>K/20/130825/4</v>
      </c>
      <c r="E3626" s="14" t="str">
        <f>IFERROR(__xludf.DUMMYFUNCTION("""COMPUTED_VALUE"""),"Heri (BT)")</f>
        <v>Heri (BT)</v>
      </c>
      <c r="F3626" s="14" t="str">
        <f>IFERROR(__xludf.DUMMYFUNCTION("""COMPUTED_VALUE"""),"SELESAI (VIA PERMOHONAN)")</f>
        <v>SELESAI (VIA PERMOHONAN)</v>
      </c>
      <c r="G3626" s="17">
        <f>IFERROR(__xludf.DUMMYFUNCTION("""COMPUTED_VALUE"""),45903.65415956019)</f>
        <v>45903.65416</v>
      </c>
      <c r="H3626" s="14" t="str">
        <f>IFERROR(__xludf.DUMMYFUNCTION("""COMPUTED_VALUE"""),"Eci (SU)")</f>
        <v>Eci (SU)</v>
      </c>
      <c r="I3626" s="13" t="str">
        <f>IFERROR(__xludf.DUMMYFUNCTION("""COMPUTED_VALUE"""),"SELESAI (VIA PERMOHONAN)")</f>
        <v>SELESAI (VIA PERMOHONAN)</v>
      </c>
      <c r="J3626" s="17">
        <f>IFERROR(__xludf.DUMMYFUNCTION("""COMPUTED_VALUE"""),45904.58237082176)</f>
        <v>45904.58237</v>
      </c>
      <c r="K3626" s="13" t="str">
        <f>IFERROR(__xludf.DUMMYFUNCTION("""COMPUTED_VALUE"""),"Selesai")</f>
        <v>Selesai</v>
      </c>
      <c r="L3626" s="17">
        <f>IFERROR(__xludf.DUMMYFUNCTION("""COMPUTED_VALUE"""),45904.58237082176)</f>
        <v>45904.58237</v>
      </c>
      <c r="M3626" s="13"/>
      <c r="N3626" s="13" t="str">
        <f>IFERROR(__xludf.DUMMYFUNCTION("""COMPUTED_VALUE"""),"")</f>
        <v/>
      </c>
      <c r="O3626" s="13" t="str">
        <f t="shared" si="1"/>
        <v/>
      </c>
    </row>
    <row r="3627" ht="22.5" customHeight="1">
      <c r="B3627" s="13">
        <f>IFERROR(__xludf.DUMMYFUNCTION("""COMPUTED_VALUE"""),3622.0)</f>
        <v>3622</v>
      </c>
      <c r="C3627" s="13" t="str">
        <f>IFERROR(__xludf.DUMMYFUNCTION("""COMPUTED_VALUE"""),"M. 939/ Batu Putuk")</f>
        <v>M. 939/ Batu Putuk</v>
      </c>
      <c r="D3627" s="13" t="str">
        <f>IFERROR(__xludf.DUMMYFUNCTION("""COMPUTED_VALUE"""),"")</f>
        <v/>
      </c>
      <c r="E3627" s="14" t="str">
        <f>IFERROR(__xludf.DUMMYFUNCTION("""COMPUTED_VALUE"""),"Heri (BT)")</f>
        <v>Heri (BT)</v>
      </c>
      <c r="F3627" s="14" t="str">
        <f>IFERROR(__xludf.DUMMYFUNCTION("""COMPUTED_VALUE"""),"SELESAI (VIA PERMOHONAN)")</f>
        <v>SELESAI (VIA PERMOHONAN)</v>
      </c>
      <c r="G3627" s="17">
        <f>IFERROR(__xludf.DUMMYFUNCTION("""COMPUTED_VALUE"""),45903.65415956019)</f>
        <v>45903.65416</v>
      </c>
      <c r="H3627" s="14" t="str">
        <f>IFERROR(__xludf.DUMMYFUNCTION("""COMPUTED_VALUE"""),"Eci (SU)")</f>
        <v>Eci (SU)</v>
      </c>
      <c r="I3627" s="13" t="str">
        <f>IFERROR(__xludf.DUMMYFUNCTION("""COMPUTED_VALUE"""),"SELESAI (VIA PERMOHONAN)")</f>
        <v>SELESAI (VIA PERMOHONAN)</v>
      </c>
      <c r="J3627" s="17">
        <f>IFERROR(__xludf.DUMMYFUNCTION("""COMPUTED_VALUE"""),45908.59202127314)</f>
        <v>45908.59202</v>
      </c>
      <c r="K3627" s="13" t="str">
        <f>IFERROR(__xludf.DUMMYFUNCTION("""COMPUTED_VALUE"""),"")</f>
        <v/>
      </c>
      <c r="L3627" s="13" t="str">
        <f>IFERROR(__xludf.DUMMYFUNCTION("""COMPUTED_VALUE"""),"")</f>
        <v/>
      </c>
      <c r="M3627" s="13"/>
      <c r="N3627" s="13" t="str">
        <f>IFERROR(__xludf.DUMMYFUNCTION("""COMPUTED_VALUE"""),"")</f>
        <v/>
      </c>
      <c r="O3627" s="13" t="str">
        <f t="shared" si="1"/>
        <v/>
      </c>
    </row>
    <row r="3628" ht="22.5" customHeight="1">
      <c r="B3628" s="13">
        <f>IFERROR(__xludf.DUMMYFUNCTION("""COMPUTED_VALUE"""),3623.0)</f>
        <v>3623</v>
      </c>
      <c r="C3628" s="13" t="str">
        <f>IFERROR(__xludf.DUMMYFUNCTION("""COMPUTED_VALUE"""),"M 842/ BERINGIN JAYA")</f>
        <v>M 842/ BERINGIN JAYA</v>
      </c>
      <c r="D3628" s="13" t="str">
        <f>IFERROR(__xludf.DUMMYFUNCTION("""COMPUTED_VALUE"""),"K/38/270825/1")</f>
        <v>K/38/270825/1</v>
      </c>
      <c r="E3628" s="14" t="str">
        <f>IFERROR(__xludf.DUMMYFUNCTION("""COMPUTED_VALUE"""),"Heri (BT)")</f>
        <v>Heri (BT)</v>
      </c>
      <c r="F3628" s="14" t="str">
        <f>IFERROR(__xludf.DUMMYFUNCTION("""COMPUTED_VALUE"""),"SELESAI (VIA PERMOHONAN)")</f>
        <v>SELESAI (VIA PERMOHONAN)</v>
      </c>
      <c r="G3628" s="17">
        <f>IFERROR(__xludf.DUMMYFUNCTION("""COMPUTED_VALUE"""),45903.65415956019)</f>
        <v>45903.65416</v>
      </c>
      <c r="H3628" s="14" t="str">
        <f>IFERROR(__xludf.DUMMYFUNCTION("""COMPUTED_VALUE"""),"Eci (SU)")</f>
        <v>Eci (SU)</v>
      </c>
      <c r="I3628" s="13" t="str">
        <f>IFERROR(__xludf.DUMMYFUNCTION("""COMPUTED_VALUE"""),"SELESAI (VIA PERMOHONAN)")</f>
        <v>SELESAI (VIA PERMOHONAN)</v>
      </c>
      <c r="J3628" s="17">
        <f>IFERROR(__xludf.DUMMYFUNCTION("""COMPUTED_VALUE"""),45904.57800055556)</f>
        <v>45904.578</v>
      </c>
      <c r="K3628" s="13" t="str">
        <f>IFERROR(__xludf.DUMMYFUNCTION("""COMPUTED_VALUE"""),"Selesai")</f>
        <v>Selesai</v>
      </c>
      <c r="L3628" s="17">
        <f>IFERROR(__xludf.DUMMYFUNCTION("""COMPUTED_VALUE"""),45904.57800055556)</f>
        <v>45904.578</v>
      </c>
      <c r="M3628" s="13"/>
      <c r="N3628" s="13" t="str">
        <f>IFERROR(__xludf.DUMMYFUNCTION("""COMPUTED_VALUE"""),"")</f>
        <v/>
      </c>
      <c r="O3628" s="13" t="str">
        <f t="shared" si="1"/>
        <v/>
      </c>
    </row>
    <row r="3629" ht="22.5" customHeight="1">
      <c r="B3629" s="13">
        <f>IFERROR(__xludf.DUMMYFUNCTION("""COMPUTED_VALUE"""),3624.0)</f>
        <v>3624</v>
      </c>
      <c r="C3629" s="13" t="str">
        <f>IFERROR(__xludf.DUMMYFUNCTION("""COMPUTED_VALUE"""),"M. 1412/ PESAWAHAN")</f>
        <v>M. 1412/ PESAWAHAN</v>
      </c>
      <c r="D3629" s="13" t="str">
        <f>IFERROR(__xludf.DUMMYFUNCTION("""COMPUTED_VALUE"""),"K/15/190825/2")</f>
        <v>K/15/190825/2</v>
      </c>
      <c r="E3629" s="14" t="str">
        <f>IFERROR(__xludf.DUMMYFUNCTION("""COMPUTED_VALUE"""),"Heri (BT)")</f>
        <v>Heri (BT)</v>
      </c>
      <c r="F3629" s="14" t="str">
        <f>IFERROR(__xludf.DUMMYFUNCTION("""COMPUTED_VALUE"""),"SELESAI (VIA PERMOHONAN)")</f>
        <v>SELESAI (VIA PERMOHONAN)</v>
      </c>
      <c r="G3629" s="17">
        <f>IFERROR(__xludf.DUMMYFUNCTION("""COMPUTED_VALUE"""),45903.65415956019)</f>
        <v>45903.65416</v>
      </c>
      <c r="H3629" s="14" t="str">
        <f>IFERROR(__xludf.DUMMYFUNCTION("""COMPUTED_VALUE"""),"Eci (SU)")</f>
        <v>Eci (SU)</v>
      </c>
      <c r="I3629" s="13" t="str">
        <f>IFERROR(__xludf.DUMMYFUNCTION("""COMPUTED_VALUE"""),"SELESAI (VIA PERMOHONAN)")</f>
        <v>SELESAI (VIA PERMOHONAN)</v>
      </c>
      <c r="J3629" s="17">
        <f>IFERROR(__xludf.DUMMYFUNCTION("""COMPUTED_VALUE"""),45904.578018761575)</f>
        <v>45904.57802</v>
      </c>
      <c r="K3629" s="13" t="str">
        <f>IFERROR(__xludf.DUMMYFUNCTION("""COMPUTED_VALUE"""),"Selesai")</f>
        <v>Selesai</v>
      </c>
      <c r="L3629" s="17">
        <f>IFERROR(__xludf.DUMMYFUNCTION("""COMPUTED_VALUE"""),45904.578018761575)</f>
        <v>45904.57802</v>
      </c>
      <c r="M3629" s="13"/>
      <c r="N3629" s="13" t="str">
        <f>IFERROR(__xludf.DUMMYFUNCTION("""COMPUTED_VALUE"""),"")</f>
        <v/>
      </c>
      <c r="O3629" s="13" t="str">
        <f t="shared" si="1"/>
        <v/>
      </c>
    </row>
    <row r="3630" ht="22.5" customHeight="1">
      <c r="B3630" s="13">
        <f>IFERROR(__xludf.DUMMYFUNCTION("""COMPUTED_VALUE"""),3625.0)</f>
        <v>3625</v>
      </c>
      <c r="C3630" s="13" t="str">
        <f>IFERROR(__xludf.DUMMYFUNCTION("""COMPUTED_VALUE"""),"M. 1609/ KETEGUHAN")</f>
        <v>M. 1609/ KETEGUHAN</v>
      </c>
      <c r="D3630" s="13" t="str">
        <f>IFERROR(__xludf.DUMMYFUNCTION("""COMPUTED_VALUE"""),"K/26/190825/2")</f>
        <v>K/26/190825/2</v>
      </c>
      <c r="E3630" s="14" t="str">
        <f>IFERROR(__xludf.DUMMYFUNCTION("""COMPUTED_VALUE"""),"Heri (BT)")</f>
        <v>Heri (BT)</v>
      </c>
      <c r="F3630" s="14" t="str">
        <f>IFERROR(__xludf.DUMMYFUNCTION("""COMPUTED_VALUE"""),"SELESAI (VIA PERMOHONAN)")</f>
        <v>SELESAI (VIA PERMOHONAN)</v>
      </c>
      <c r="G3630" s="17">
        <f>IFERROR(__xludf.DUMMYFUNCTION("""COMPUTED_VALUE"""),45903.65415956019)</f>
        <v>45903.65416</v>
      </c>
      <c r="H3630" s="14" t="str">
        <f>IFERROR(__xludf.DUMMYFUNCTION("""COMPUTED_VALUE"""),"Eci (SU)")</f>
        <v>Eci (SU)</v>
      </c>
      <c r="I3630" s="13" t="str">
        <f>IFERROR(__xludf.DUMMYFUNCTION("""COMPUTED_VALUE"""),"SELESAI (VIA PERMOHONAN)")</f>
        <v>SELESAI (VIA PERMOHONAN)</v>
      </c>
      <c r="J3630" s="17">
        <f>IFERROR(__xludf.DUMMYFUNCTION("""COMPUTED_VALUE"""),45904.581708067126)</f>
        <v>45904.58171</v>
      </c>
      <c r="K3630" s="13" t="str">
        <f>IFERROR(__xludf.DUMMYFUNCTION("""COMPUTED_VALUE"""),"Selesai")</f>
        <v>Selesai</v>
      </c>
      <c r="L3630" s="17">
        <f>IFERROR(__xludf.DUMMYFUNCTION("""COMPUTED_VALUE"""),45904.581708067126)</f>
        <v>45904.58171</v>
      </c>
      <c r="M3630" s="13"/>
      <c r="N3630" s="13" t="str">
        <f>IFERROR(__xludf.DUMMYFUNCTION("""COMPUTED_VALUE"""),"")</f>
        <v/>
      </c>
      <c r="O3630" s="13" t="str">
        <f t="shared" si="1"/>
        <v/>
      </c>
    </row>
    <row r="3631" ht="22.5" customHeight="1">
      <c r="B3631" s="13">
        <f>IFERROR(__xludf.DUMMYFUNCTION("""COMPUTED_VALUE"""),3626.0)</f>
        <v>3626</v>
      </c>
      <c r="C3631" s="13" t="str">
        <f>IFERROR(__xludf.DUMMYFUNCTION("""COMPUTED_VALUE"""),"M. 25/ Sukarame Baru")</f>
        <v>M. 25/ Sukarame Baru</v>
      </c>
      <c r="D3631" s="13" t="str">
        <f>IFERROR(__xludf.DUMMYFUNCTION("""COMPUTED_VALUE"""),"K/9/050825/1")</f>
        <v>K/9/050825/1</v>
      </c>
      <c r="E3631" s="14" t="str">
        <f>IFERROR(__xludf.DUMMYFUNCTION("""COMPUTED_VALUE"""),"Heri (BT)")</f>
        <v>Heri (BT)</v>
      </c>
      <c r="F3631" s="14" t="str">
        <f>IFERROR(__xludf.DUMMYFUNCTION("""COMPUTED_VALUE"""),"SELESAI (VIA PERMOHONAN)")</f>
        <v>SELESAI (VIA PERMOHONAN)</v>
      </c>
      <c r="G3631" s="17">
        <f>IFERROR(__xludf.DUMMYFUNCTION("""COMPUTED_VALUE"""),45903.65415956019)</f>
        <v>45903.65416</v>
      </c>
      <c r="H3631" s="14" t="str">
        <f>IFERROR(__xludf.DUMMYFUNCTION("""COMPUTED_VALUE"""),"Eci (SU)")</f>
        <v>Eci (SU)</v>
      </c>
      <c r="I3631" s="13" t="str">
        <f>IFERROR(__xludf.DUMMYFUNCTION("""COMPUTED_VALUE"""),"SELESAI (VIA PERMOHONAN)")</f>
        <v>SELESAI (VIA PERMOHONAN)</v>
      </c>
      <c r="J3631" s="17">
        <f>IFERROR(__xludf.DUMMYFUNCTION("""COMPUTED_VALUE"""),45904.57817168982)</f>
        <v>45904.57817</v>
      </c>
      <c r="K3631" s="13" t="str">
        <f>IFERROR(__xludf.DUMMYFUNCTION("""COMPUTED_VALUE"""),"Selesai")</f>
        <v>Selesai</v>
      </c>
      <c r="L3631" s="17">
        <f>IFERROR(__xludf.DUMMYFUNCTION("""COMPUTED_VALUE"""),45904.57817168982)</f>
        <v>45904.57817</v>
      </c>
      <c r="M3631" s="13"/>
      <c r="N3631" s="13" t="str">
        <f>IFERROR(__xludf.DUMMYFUNCTION("""COMPUTED_VALUE"""),"")</f>
        <v/>
      </c>
      <c r="O3631" s="13" t="str">
        <f t="shared" si="1"/>
        <v/>
      </c>
    </row>
    <row r="3632" ht="22.5" customHeight="1">
      <c r="B3632" s="13">
        <f>IFERROR(__xludf.DUMMYFUNCTION("""COMPUTED_VALUE"""),3627.0)</f>
        <v>3627</v>
      </c>
      <c r="C3632" s="13" t="str">
        <f>IFERROR(__xludf.DUMMYFUNCTION("""COMPUTED_VALUE"""),"M. 6413/ WAY KANDIS")</f>
        <v>M. 6413/ WAY KANDIS</v>
      </c>
      <c r="D3632" s="13" t="str">
        <f>IFERROR(__xludf.DUMMYFUNCTION("""COMPUTED_VALUE"""),"K/25/130825/1")</f>
        <v>K/25/130825/1</v>
      </c>
      <c r="E3632" s="14" t="str">
        <f>IFERROR(__xludf.DUMMYFUNCTION("""COMPUTED_VALUE"""),"Heri (BT)")</f>
        <v>Heri (BT)</v>
      </c>
      <c r="F3632" s="14" t="str">
        <f>IFERROR(__xludf.DUMMYFUNCTION("""COMPUTED_VALUE"""),"SELESAI (VIA PERMOHONAN)")</f>
        <v>SELESAI (VIA PERMOHONAN)</v>
      </c>
      <c r="G3632" s="17">
        <f>IFERROR(__xludf.DUMMYFUNCTION("""COMPUTED_VALUE"""),45903.65415956019)</f>
        <v>45903.65416</v>
      </c>
      <c r="H3632" s="14" t="str">
        <f>IFERROR(__xludf.DUMMYFUNCTION("""COMPUTED_VALUE"""),"Eci (SU)")</f>
        <v>Eci (SU)</v>
      </c>
      <c r="I3632" s="13" t="str">
        <f>IFERROR(__xludf.DUMMYFUNCTION("""COMPUTED_VALUE"""),"SELESAI (VIA PERMOHONAN)")</f>
        <v>SELESAI (VIA PERMOHONAN)</v>
      </c>
      <c r="J3632" s="17">
        <f>IFERROR(__xludf.DUMMYFUNCTION("""COMPUTED_VALUE"""),45904.58159122685)</f>
        <v>45904.58159</v>
      </c>
      <c r="K3632" s="13" t="str">
        <f>IFERROR(__xludf.DUMMYFUNCTION("""COMPUTED_VALUE"""),"Selesai")</f>
        <v>Selesai</v>
      </c>
      <c r="L3632" s="17">
        <f>IFERROR(__xludf.DUMMYFUNCTION("""COMPUTED_VALUE"""),45904.58159122685)</f>
        <v>45904.58159</v>
      </c>
      <c r="M3632" s="13"/>
      <c r="N3632" s="13" t="str">
        <f>IFERROR(__xludf.DUMMYFUNCTION("""COMPUTED_VALUE"""),"")</f>
        <v/>
      </c>
      <c r="O3632" s="13" t="str">
        <f t="shared" si="1"/>
        <v/>
      </c>
    </row>
    <row r="3633" ht="22.5" customHeight="1">
      <c r="B3633" s="13">
        <f>IFERROR(__xludf.DUMMYFUNCTION("""COMPUTED_VALUE"""),3628.0)</f>
        <v>3628</v>
      </c>
      <c r="C3633" s="13" t="str">
        <f>IFERROR(__xludf.DUMMYFUNCTION("""COMPUTED_VALUE"""),"M. 1873/ RAJABASA NUNYAI")</f>
        <v>M. 1873/ RAJABASA NUNYAI</v>
      </c>
      <c r="D3633" s="13" t="str">
        <f>IFERROR(__xludf.DUMMYFUNCTION("""COMPUTED_VALUE"""),"K/32/130825/1")</f>
        <v>K/32/130825/1</v>
      </c>
      <c r="E3633" s="14" t="str">
        <f>IFERROR(__xludf.DUMMYFUNCTION("""COMPUTED_VALUE"""),"Heri (BT)")</f>
        <v>Heri (BT)</v>
      </c>
      <c r="F3633" s="14" t="str">
        <f>IFERROR(__xludf.DUMMYFUNCTION("""COMPUTED_VALUE"""),"SELESAI (VIA PERMOHONAN)")</f>
        <v>SELESAI (VIA PERMOHONAN)</v>
      </c>
      <c r="G3633" s="17">
        <f>IFERROR(__xludf.DUMMYFUNCTION("""COMPUTED_VALUE"""),45903.65415956019)</f>
        <v>45903.65416</v>
      </c>
      <c r="H3633" s="14" t="str">
        <f>IFERROR(__xludf.DUMMYFUNCTION("""COMPUTED_VALUE"""),"Eci (SU)")</f>
        <v>Eci (SU)</v>
      </c>
      <c r="I3633" s="13" t="str">
        <f>IFERROR(__xludf.DUMMYFUNCTION("""COMPUTED_VALUE"""),"SELESAI (VIA PERMOHONAN)")</f>
        <v>SELESAI (VIA PERMOHONAN)</v>
      </c>
      <c r="J3633" s="17">
        <f>IFERROR(__xludf.DUMMYFUNCTION("""COMPUTED_VALUE"""),45904.57990136574)</f>
        <v>45904.5799</v>
      </c>
      <c r="K3633" s="13" t="str">
        <f>IFERROR(__xludf.DUMMYFUNCTION("""COMPUTED_VALUE"""),"Selesai")</f>
        <v>Selesai</v>
      </c>
      <c r="L3633" s="17">
        <f>IFERROR(__xludf.DUMMYFUNCTION("""COMPUTED_VALUE"""),45904.57990136574)</f>
        <v>45904.5799</v>
      </c>
      <c r="M3633" s="13"/>
      <c r="N3633" s="13" t="str">
        <f>IFERROR(__xludf.DUMMYFUNCTION("""COMPUTED_VALUE"""),"")</f>
        <v/>
      </c>
      <c r="O3633" s="13" t="str">
        <f t="shared" si="1"/>
        <v/>
      </c>
    </row>
    <row r="3634" ht="22.5" customHeight="1">
      <c r="B3634" s="13">
        <f>IFERROR(__xludf.DUMMYFUNCTION("""COMPUTED_VALUE"""),3629.0)</f>
        <v>3629</v>
      </c>
      <c r="C3634" s="13" t="str">
        <f>IFERROR(__xludf.DUMMYFUNCTION("""COMPUTED_VALUE"""),"M. 10217/ JAGABAYA II")</f>
        <v>M. 10217/ JAGABAYA II</v>
      </c>
      <c r="D3634" s="13" t="str">
        <f>IFERROR(__xludf.DUMMYFUNCTION("""COMPUTED_VALUE"""),"K/18/140825/1")</f>
        <v>K/18/140825/1</v>
      </c>
      <c r="E3634" s="14" t="str">
        <f>IFERROR(__xludf.DUMMYFUNCTION("""COMPUTED_VALUE"""),"Heri (BT)")</f>
        <v>Heri (BT)</v>
      </c>
      <c r="F3634" s="14" t="str">
        <f>IFERROR(__xludf.DUMMYFUNCTION("""COMPUTED_VALUE"""),"SELESAI (VIA PERMOHONAN)")</f>
        <v>SELESAI (VIA PERMOHONAN)</v>
      </c>
      <c r="G3634" s="17">
        <f>IFERROR(__xludf.DUMMYFUNCTION("""COMPUTED_VALUE"""),45903.65415956019)</f>
        <v>45903.65416</v>
      </c>
      <c r="H3634" s="14" t="str">
        <f>IFERROR(__xludf.DUMMYFUNCTION("""COMPUTED_VALUE"""),"Eci (SU)")</f>
        <v>Eci (SU)</v>
      </c>
      <c r="I3634" s="13" t="str">
        <f>IFERROR(__xludf.DUMMYFUNCTION("""COMPUTED_VALUE"""),"SELESAI (VIA PERMOHONAN)")</f>
        <v>SELESAI (VIA PERMOHONAN)</v>
      </c>
      <c r="J3634" s="17">
        <f>IFERROR(__xludf.DUMMYFUNCTION("""COMPUTED_VALUE"""),45904.5814712037)</f>
        <v>45904.58147</v>
      </c>
      <c r="K3634" s="13" t="str">
        <f>IFERROR(__xludf.DUMMYFUNCTION("""COMPUTED_VALUE"""),"Selesai")</f>
        <v>Selesai</v>
      </c>
      <c r="L3634" s="17">
        <f>IFERROR(__xludf.DUMMYFUNCTION("""COMPUTED_VALUE"""),45904.5814712037)</f>
        <v>45904.58147</v>
      </c>
      <c r="M3634" s="13"/>
      <c r="N3634" s="13" t="str">
        <f>IFERROR(__xludf.DUMMYFUNCTION("""COMPUTED_VALUE"""),"")</f>
        <v/>
      </c>
      <c r="O3634" s="13" t="str">
        <f t="shared" si="1"/>
        <v/>
      </c>
    </row>
    <row r="3635" ht="22.5" customHeight="1">
      <c r="B3635" s="13">
        <f>IFERROR(__xludf.DUMMYFUNCTION("""COMPUTED_VALUE"""),3630.0)</f>
        <v>3630</v>
      </c>
      <c r="C3635" s="13" t="str">
        <f>IFERROR(__xludf.DUMMYFUNCTION("""COMPUTED_VALUE"""),"M. 10070/JAGABAYA II")</f>
        <v>M. 10070/JAGABAYA II</v>
      </c>
      <c r="D3635" s="13" t="str">
        <f>IFERROR(__xludf.DUMMYFUNCTION("""COMPUTED_VALUE"""),"K/32/200825/1")</f>
        <v>K/32/200825/1</v>
      </c>
      <c r="E3635" s="14" t="str">
        <f>IFERROR(__xludf.DUMMYFUNCTION("""COMPUTED_VALUE"""),"Heri (BT)")</f>
        <v>Heri (BT)</v>
      </c>
      <c r="F3635" s="14" t="str">
        <f>IFERROR(__xludf.DUMMYFUNCTION("""COMPUTED_VALUE"""),"SELESAI (VIA PERMOHONAN)")</f>
        <v>SELESAI (VIA PERMOHONAN)</v>
      </c>
      <c r="G3635" s="17">
        <f>IFERROR(__xludf.DUMMYFUNCTION("""COMPUTED_VALUE"""),45903.65415956019)</f>
        <v>45903.65416</v>
      </c>
      <c r="H3635" s="14" t="str">
        <f>IFERROR(__xludf.DUMMYFUNCTION("""COMPUTED_VALUE"""),"Eci (SU)")</f>
        <v>Eci (SU)</v>
      </c>
      <c r="I3635" s="13" t="str">
        <f>IFERROR(__xludf.DUMMYFUNCTION("""COMPUTED_VALUE"""),"SELESAI (VIA PERMOHONAN)")</f>
        <v>SELESAI (VIA PERMOHONAN)</v>
      </c>
      <c r="J3635" s="17">
        <f>IFERROR(__xludf.DUMMYFUNCTION("""COMPUTED_VALUE"""),45904.57843034722)</f>
        <v>45904.57843</v>
      </c>
      <c r="K3635" s="13" t="str">
        <f>IFERROR(__xludf.DUMMYFUNCTION("""COMPUTED_VALUE"""),"Selesai")</f>
        <v>Selesai</v>
      </c>
      <c r="L3635" s="17">
        <f>IFERROR(__xludf.DUMMYFUNCTION("""COMPUTED_VALUE"""),45904.57843034722)</f>
        <v>45904.57843</v>
      </c>
      <c r="M3635" s="13"/>
      <c r="N3635" s="13" t="str">
        <f>IFERROR(__xludf.DUMMYFUNCTION("""COMPUTED_VALUE"""),"")</f>
        <v/>
      </c>
      <c r="O3635" s="13" t="str">
        <f t="shared" si="1"/>
        <v/>
      </c>
    </row>
    <row r="3636" ht="22.5" customHeight="1">
      <c r="B3636" s="13">
        <f>IFERROR(__xludf.DUMMYFUNCTION("""COMPUTED_VALUE"""),3631.0)</f>
        <v>3631</v>
      </c>
      <c r="C3636" s="13" t="str">
        <f>IFERROR(__xludf.DUMMYFUNCTION("""COMPUTED_VALUE"""),"M. 9634/kedaton")</f>
        <v>M. 9634/kedaton</v>
      </c>
      <c r="D3636" s="13" t="str">
        <f>IFERROR(__xludf.DUMMYFUNCTION("""COMPUTED_VALUE"""),"")</f>
        <v/>
      </c>
      <c r="E3636" s="14" t="str">
        <f>IFERROR(__xludf.DUMMYFUNCTION("""COMPUTED_VALUE"""),"Heri (BT)")</f>
        <v>Heri (BT)</v>
      </c>
      <c r="F3636" s="14" t="str">
        <f>IFERROR(__xludf.DUMMYFUNCTION("""COMPUTED_VALUE"""),"SELESAI (VIA PERMOHONAN)")</f>
        <v>SELESAI (VIA PERMOHONAN)</v>
      </c>
      <c r="G3636" s="17">
        <f>IFERROR(__xludf.DUMMYFUNCTION("""COMPUTED_VALUE"""),45903.65415956019)</f>
        <v>45903.65416</v>
      </c>
      <c r="H3636" s="14" t="str">
        <f>IFERROR(__xludf.DUMMYFUNCTION("""COMPUTED_VALUE"""),"Eci (SU)")</f>
        <v>Eci (SU)</v>
      </c>
      <c r="I3636" s="13" t="str">
        <f>IFERROR(__xludf.DUMMYFUNCTION("""COMPUTED_VALUE"""),"SELESAI (VIA PERMOHONAN)")</f>
        <v>SELESAI (VIA PERMOHONAN)</v>
      </c>
      <c r="J3636" s="17">
        <f>IFERROR(__xludf.DUMMYFUNCTION("""COMPUTED_VALUE"""),45904.578621168985)</f>
        <v>45904.57862</v>
      </c>
      <c r="K3636" s="13" t="str">
        <f>IFERROR(__xludf.DUMMYFUNCTION("""COMPUTED_VALUE"""),"")</f>
        <v/>
      </c>
      <c r="L3636" s="13" t="str">
        <f>IFERROR(__xludf.DUMMYFUNCTION("""COMPUTED_VALUE"""),"")</f>
        <v/>
      </c>
      <c r="M3636" s="13"/>
      <c r="N3636" s="13" t="str">
        <f>IFERROR(__xludf.DUMMYFUNCTION("""COMPUTED_VALUE"""),"")</f>
        <v/>
      </c>
      <c r="O3636" s="13" t="str">
        <f t="shared" si="1"/>
        <v/>
      </c>
    </row>
    <row r="3637" ht="22.5" customHeight="1">
      <c r="B3637" s="13">
        <f>IFERROR(__xludf.DUMMYFUNCTION("""COMPUTED_VALUE"""),3632.0)</f>
        <v>3632</v>
      </c>
      <c r="C3637" s="13" t="str">
        <f>IFERROR(__xludf.DUMMYFUNCTION("""COMPUTED_VALUE"""),"M. 221/GULAK GALIK")</f>
        <v>M. 221/GULAK GALIK</v>
      </c>
      <c r="D3637" s="13" t="str">
        <f>IFERROR(__xludf.DUMMYFUNCTION("""COMPUTED_VALUE"""),"K/14/250825/1")</f>
        <v>K/14/250825/1</v>
      </c>
      <c r="E3637" s="14" t="str">
        <f>IFERROR(__xludf.DUMMYFUNCTION("""COMPUTED_VALUE"""),"Heri (BT)")</f>
        <v>Heri (BT)</v>
      </c>
      <c r="F3637" s="14" t="str">
        <f>IFERROR(__xludf.DUMMYFUNCTION("""COMPUTED_VALUE"""),"SELESAI (VIA PERMOHONAN)")</f>
        <v>SELESAI (VIA PERMOHONAN)</v>
      </c>
      <c r="G3637" s="17">
        <f>IFERROR(__xludf.DUMMYFUNCTION("""COMPUTED_VALUE"""),45903.654206493055)</f>
        <v>45903.65421</v>
      </c>
      <c r="H3637" s="14" t="str">
        <f>IFERROR(__xludf.DUMMYFUNCTION("""COMPUTED_VALUE"""),"Eci (SU)")</f>
        <v>Eci (SU)</v>
      </c>
      <c r="I3637" s="13" t="str">
        <f>IFERROR(__xludf.DUMMYFUNCTION("""COMPUTED_VALUE"""),"SELESAI (VIA PERMOHONAN)")</f>
        <v>SELESAI (VIA PERMOHONAN)</v>
      </c>
      <c r="J3637" s="17">
        <f>IFERROR(__xludf.DUMMYFUNCTION("""COMPUTED_VALUE"""),45904.57873390046)</f>
        <v>45904.57873</v>
      </c>
      <c r="K3637" s="13" t="str">
        <f>IFERROR(__xludf.DUMMYFUNCTION("""COMPUTED_VALUE"""),"Selesai")</f>
        <v>Selesai</v>
      </c>
      <c r="L3637" s="17">
        <f>IFERROR(__xludf.DUMMYFUNCTION("""COMPUTED_VALUE"""),45904.57873390046)</f>
        <v>45904.57873</v>
      </c>
      <c r="M3637" s="13"/>
      <c r="N3637" s="13" t="str">
        <f>IFERROR(__xludf.DUMMYFUNCTION("""COMPUTED_VALUE"""),"")</f>
        <v/>
      </c>
      <c r="O3637" s="13" t="str">
        <f t="shared" si="1"/>
        <v/>
      </c>
    </row>
    <row r="3638" ht="22.5" customHeight="1">
      <c r="B3638" s="13">
        <f>IFERROR(__xludf.DUMMYFUNCTION("""COMPUTED_VALUE"""),3633.0)</f>
        <v>3633</v>
      </c>
      <c r="C3638" s="13" t="str">
        <f>IFERROR(__xludf.DUMMYFUNCTION("""COMPUTED_VALUE"""),"m. 78/Gunung Agung")</f>
        <v>m. 78/Gunung Agung</v>
      </c>
      <c r="D3638" s="13" t="str">
        <f>IFERROR(__xludf.DUMMYFUNCTION("""COMPUTED_VALUE"""),"K/27/140825/3")</f>
        <v>K/27/140825/3</v>
      </c>
      <c r="E3638" s="14" t="str">
        <f>IFERROR(__xludf.DUMMYFUNCTION("""COMPUTED_VALUE"""),"Heri (BT)")</f>
        <v>Heri (BT)</v>
      </c>
      <c r="F3638" s="14" t="str">
        <f>IFERROR(__xludf.DUMMYFUNCTION("""COMPUTED_VALUE"""),"SELESAI (VIA PERMOHONAN)")</f>
        <v>SELESAI (VIA PERMOHONAN)</v>
      </c>
      <c r="G3638" s="17">
        <f>IFERROR(__xludf.DUMMYFUNCTION("""COMPUTED_VALUE"""),45903.65437576389)</f>
        <v>45903.65438</v>
      </c>
      <c r="H3638" s="14" t="str">
        <f>IFERROR(__xludf.DUMMYFUNCTION("""COMPUTED_VALUE"""),"Eci (SU)")</f>
        <v>Eci (SU)</v>
      </c>
      <c r="I3638" s="13" t="str">
        <f>IFERROR(__xludf.DUMMYFUNCTION("""COMPUTED_VALUE"""),"SELESAI (VIA PERMOHONAN)")</f>
        <v>SELESAI (VIA PERMOHONAN)</v>
      </c>
      <c r="J3638" s="17">
        <f>IFERROR(__xludf.DUMMYFUNCTION("""COMPUTED_VALUE"""),45904.58121430555)</f>
        <v>45904.58121</v>
      </c>
      <c r="K3638" s="13" t="str">
        <f>IFERROR(__xludf.DUMMYFUNCTION("""COMPUTED_VALUE"""),"Selesai")</f>
        <v>Selesai</v>
      </c>
      <c r="L3638" s="17">
        <f>IFERROR(__xludf.DUMMYFUNCTION("""COMPUTED_VALUE"""),45904.58121430555)</f>
        <v>45904.58121</v>
      </c>
      <c r="M3638" s="13"/>
      <c r="N3638" s="13" t="str">
        <f>IFERROR(__xludf.DUMMYFUNCTION("""COMPUTED_VALUE"""),"")</f>
        <v/>
      </c>
      <c r="O3638" s="13" t="str">
        <f t="shared" si="1"/>
        <v/>
      </c>
    </row>
    <row r="3639" ht="22.5" customHeight="1">
      <c r="B3639" s="13">
        <f>IFERROR(__xludf.DUMMYFUNCTION("""COMPUTED_VALUE"""),3634.0)</f>
        <v>3634</v>
      </c>
      <c r="C3639" s="13" t="str">
        <f>IFERROR(__xludf.DUMMYFUNCTION("""COMPUTED_VALUE"""),"B. 123/Rajabasa Pemuka")</f>
        <v>B. 123/Rajabasa Pemuka</v>
      </c>
      <c r="D3639" s="13" t="str">
        <f>IFERROR(__xludf.DUMMYFUNCTION("""COMPUTED_VALUE"""),"K/31/110825/1")</f>
        <v>K/31/110825/1</v>
      </c>
      <c r="E3639" s="14" t="str">
        <f>IFERROR(__xludf.DUMMYFUNCTION("""COMPUTED_VALUE"""),"Heri (BT)")</f>
        <v>Heri (BT)</v>
      </c>
      <c r="F3639" s="14" t="str">
        <f>IFERROR(__xludf.DUMMYFUNCTION("""COMPUTED_VALUE"""),"SELESAI (VIA PERMOHONAN)")</f>
        <v>SELESAI (VIA PERMOHONAN)</v>
      </c>
      <c r="G3639" s="17">
        <f>IFERROR(__xludf.DUMMYFUNCTION("""COMPUTED_VALUE"""),45903.654532280096)</f>
        <v>45903.65453</v>
      </c>
      <c r="H3639" s="14" t="str">
        <f>IFERROR(__xludf.DUMMYFUNCTION("""COMPUTED_VALUE"""),"Eci (SU)")</f>
        <v>Eci (SU)</v>
      </c>
      <c r="I3639" s="13" t="str">
        <f>IFERROR(__xludf.DUMMYFUNCTION("""COMPUTED_VALUE"""),"SELESAI (VIA PERMOHONAN)")</f>
        <v>SELESAI (VIA PERMOHONAN)</v>
      </c>
      <c r="J3639" s="17">
        <f>IFERROR(__xludf.DUMMYFUNCTION("""COMPUTED_VALUE"""),45904.57888064814)</f>
        <v>45904.57888</v>
      </c>
      <c r="K3639" s="13" t="str">
        <f>IFERROR(__xludf.DUMMYFUNCTION("""COMPUTED_VALUE"""),"Selesai")</f>
        <v>Selesai</v>
      </c>
      <c r="L3639" s="17">
        <f>IFERROR(__xludf.DUMMYFUNCTION("""COMPUTED_VALUE"""),45904.57888064814)</f>
        <v>45904.57888</v>
      </c>
      <c r="M3639" s="13"/>
      <c r="N3639" s="13" t="str">
        <f>IFERROR(__xludf.DUMMYFUNCTION("""COMPUTED_VALUE"""),"")</f>
        <v/>
      </c>
      <c r="O3639" s="13" t="str">
        <f t="shared" si="1"/>
        <v/>
      </c>
    </row>
    <row r="3640" ht="22.5" customHeight="1">
      <c r="B3640" s="13">
        <f>IFERROR(__xludf.DUMMYFUNCTION("""COMPUTED_VALUE"""),3635.0)</f>
        <v>3635</v>
      </c>
      <c r="C3640" s="13" t="str">
        <f>IFERROR(__xludf.DUMMYFUNCTION("""COMPUTED_VALUE"""),"M. 1187/Serengsem")</f>
        <v>M. 1187/Serengsem</v>
      </c>
      <c r="D3640" s="13" t="str">
        <f>IFERROR(__xludf.DUMMYFUNCTION("""COMPUTED_VALUE"""),"K/22/110825/3")</f>
        <v>K/22/110825/3</v>
      </c>
      <c r="E3640" s="14" t="str">
        <f>IFERROR(__xludf.DUMMYFUNCTION("""COMPUTED_VALUE"""),"Heri (BT)")</f>
        <v>Heri (BT)</v>
      </c>
      <c r="F3640" s="14" t="str">
        <f>IFERROR(__xludf.DUMMYFUNCTION("""COMPUTED_VALUE"""),"SELESAI (VIA PERMOHONAN)")</f>
        <v>SELESAI (VIA PERMOHONAN)</v>
      </c>
      <c r="G3640" s="17">
        <f>IFERROR(__xludf.DUMMYFUNCTION("""COMPUTED_VALUE"""),45903.65463064815)</f>
        <v>45903.65463</v>
      </c>
      <c r="H3640" s="14" t="str">
        <f>IFERROR(__xludf.DUMMYFUNCTION("""COMPUTED_VALUE"""),"Eci (SU)")</f>
        <v>Eci (SU)</v>
      </c>
      <c r="I3640" s="13" t="str">
        <f>IFERROR(__xludf.DUMMYFUNCTION("""COMPUTED_VALUE"""),"SELESAI (VIA PERMOHONAN)")</f>
        <v>SELESAI (VIA PERMOHONAN)</v>
      </c>
      <c r="J3640" s="17">
        <f>IFERROR(__xludf.DUMMYFUNCTION("""COMPUTED_VALUE"""),45904.57898342593)</f>
        <v>45904.57898</v>
      </c>
      <c r="K3640" s="13" t="str">
        <f>IFERROR(__xludf.DUMMYFUNCTION("""COMPUTED_VALUE"""),"Selesai")</f>
        <v>Selesai</v>
      </c>
      <c r="L3640" s="17">
        <f>IFERROR(__xludf.DUMMYFUNCTION("""COMPUTED_VALUE"""),45904.57898342593)</f>
        <v>45904.57898</v>
      </c>
      <c r="M3640" s="13"/>
      <c r="N3640" s="13" t="str">
        <f>IFERROR(__xludf.DUMMYFUNCTION("""COMPUTED_VALUE"""),"")</f>
        <v/>
      </c>
      <c r="O3640" s="13" t="str">
        <f t="shared" si="1"/>
        <v/>
      </c>
    </row>
    <row r="3641" ht="22.5" customHeight="1">
      <c r="B3641" s="13">
        <f>IFERROR(__xludf.DUMMYFUNCTION("""COMPUTED_VALUE"""),3636.0)</f>
        <v>3636</v>
      </c>
      <c r="C3641" s="13" t="str">
        <f>IFERROR(__xludf.DUMMYFUNCTION("""COMPUTED_VALUE"""),"M. 3661/ TANJUNG SENANG")</f>
        <v>M. 3661/ TANJUNG SENANG</v>
      </c>
      <c r="D3641" s="13" t="str">
        <f>IFERROR(__xludf.DUMMYFUNCTION("""COMPUTED_VALUE"""),"K/21/070826/1")</f>
        <v>K/21/070826/1</v>
      </c>
      <c r="E3641" s="14" t="str">
        <f>IFERROR(__xludf.DUMMYFUNCTION("""COMPUTED_VALUE"""),"Heri (BT)")</f>
        <v>Heri (BT)</v>
      </c>
      <c r="F3641" s="14" t="str">
        <f>IFERROR(__xludf.DUMMYFUNCTION("""COMPUTED_VALUE"""),"SELESAI (VIA PERMOHONAN)")</f>
        <v>SELESAI (VIA PERMOHONAN)</v>
      </c>
      <c r="G3641" s="17">
        <f>IFERROR(__xludf.DUMMYFUNCTION("""COMPUTED_VALUE"""),45903.65476675926)</f>
        <v>45903.65477</v>
      </c>
      <c r="H3641" s="14" t="str">
        <f>IFERROR(__xludf.DUMMYFUNCTION("""COMPUTED_VALUE"""),"Eci (SU)")</f>
        <v>Eci (SU)</v>
      </c>
      <c r="I3641" s="13" t="str">
        <f>IFERROR(__xludf.DUMMYFUNCTION("""COMPUTED_VALUE"""),"SELESAI (VIA PERMOHONAN)")</f>
        <v>SELESAI (VIA PERMOHONAN)</v>
      </c>
      <c r="J3641" s="17">
        <f>IFERROR(__xludf.DUMMYFUNCTION("""COMPUTED_VALUE"""),45904.57917369213)</f>
        <v>45904.57917</v>
      </c>
      <c r="K3641" s="13" t="str">
        <f>IFERROR(__xludf.DUMMYFUNCTION("""COMPUTED_VALUE"""),"Selesai")</f>
        <v>Selesai</v>
      </c>
      <c r="L3641" s="17">
        <f>IFERROR(__xludf.DUMMYFUNCTION("""COMPUTED_VALUE"""),45904.57917369213)</f>
        <v>45904.57917</v>
      </c>
      <c r="M3641" s="13"/>
      <c r="N3641" s="13" t="str">
        <f>IFERROR(__xludf.DUMMYFUNCTION("""COMPUTED_VALUE"""),"")</f>
        <v/>
      </c>
      <c r="O3641" s="13" t="str">
        <f t="shared" si="1"/>
        <v/>
      </c>
    </row>
    <row r="3642" ht="22.5" customHeight="1">
      <c r="B3642" s="13">
        <f>IFERROR(__xludf.DUMMYFUNCTION("""COMPUTED_VALUE"""),3637.0)</f>
        <v>3637</v>
      </c>
      <c r="C3642" s="13" t="str">
        <f>IFERROR(__xludf.DUMMYFUNCTION("""COMPUTED_VALUE"""),"M. 98/BERINGIN JAYA")</f>
        <v>M. 98/BERINGIN JAYA</v>
      </c>
      <c r="D3642" s="13" t="str">
        <f>IFERROR(__xludf.DUMMYFUNCTION("""COMPUTED_VALUE"""),"L/3/130825/1")</f>
        <v>L/3/130825/1</v>
      </c>
      <c r="E3642" s="14" t="str">
        <f>IFERROR(__xludf.DUMMYFUNCTION("""COMPUTED_VALUE"""),"Heri (BT)")</f>
        <v>Heri (BT)</v>
      </c>
      <c r="F3642" s="14" t="str">
        <f>IFERROR(__xludf.DUMMYFUNCTION("""COMPUTED_VALUE"""),"SELESAI (VIA PERMOHONAN)")</f>
        <v>SELESAI (VIA PERMOHONAN)</v>
      </c>
      <c r="G3642" s="17">
        <f>IFERROR(__xludf.DUMMYFUNCTION("""COMPUTED_VALUE"""),45903.65488335648)</f>
        <v>45903.65488</v>
      </c>
      <c r="H3642" s="14" t="str">
        <f>IFERROR(__xludf.DUMMYFUNCTION("""COMPUTED_VALUE"""),"Eci (SU)")</f>
        <v>Eci (SU)</v>
      </c>
      <c r="I3642" s="13" t="str">
        <f>IFERROR(__xludf.DUMMYFUNCTION("""COMPUTED_VALUE"""),"SELESAI (VIA PERMOHONAN)")</f>
        <v>SELESAI (VIA PERMOHONAN)</v>
      </c>
      <c r="J3642" s="17">
        <f>IFERROR(__xludf.DUMMYFUNCTION("""COMPUTED_VALUE"""),45904.5791853588)</f>
        <v>45904.57919</v>
      </c>
      <c r="K3642" s="13" t="str">
        <f>IFERROR(__xludf.DUMMYFUNCTION("""COMPUTED_VALUE"""),"Selesai")</f>
        <v>Selesai</v>
      </c>
      <c r="L3642" s="17">
        <f>IFERROR(__xludf.DUMMYFUNCTION("""COMPUTED_VALUE"""),45904.5791853588)</f>
        <v>45904.57919</v>
      </c>
      <c r="M3642" s="13"/>
      <c r="N3642" s="13" t="str">
        <f>IFERROR(__xludf.DUMMYFUNCTION("""COMPUTED_VALUE"""),"")</f>
        <v/>
      </c>
      <c r="O3642" s="13" t="str">
        <f t="shared" si="1"/>
        <v/>
      </c>
    </row>
    <row r="3643" ht="22.5" customHeight="1">
      <c r="B3643" s="13">
        <f>IFERROR(__xludf.DUMMYFUNCTION("""COMPUTED_VALUE"""),3638.0)</f>
        <v>3638</v>
      </c>
      <c r="C3643" s="13" t="str">
        <f>IFERROR(__xludf.DUMMYFUNCTION("""COMPUTED_VALUE"""),"M. 535/Sepang Jaya")</f>
        <v>M. 535/Sepang Jaya</v>
      </c>
      <c r="D3643" s="13" t="str">
        <f>IFERROR(__xludf.DUMMYFUNCTION("""COMPUTED_VALUE"""),"K/34/140826/1")</f>
        <v>K/34/140826/1</v>
      </c>
      <c r="E3643" s="14" t="str">
        <f>IFERROR(__xludf.DUMMYFUNCTION("""COMPUTED_VALUE"""),"Heri (BT)")</f>
        <v>Heri (BT)</v>
      </c>
      <c r="F3643" s="14" t="str">
        <f>IFERROR(__xludf.DUMMYFUNCTION("""COMPUTED_VALUE"""),"SELESAI (VIA PERMOHONAN)")</f>
        <v>SELESAI (VIA PERMOHONAN)</v>
      </c>
      <c r="G3643" s="17">
        <f>IFERROR(__xludf.DUMMYFUNCTION("""COMPUTED_VALUE"""),45903.65500967593)</f>
        <v>45903.65501</v>
      </c>
      <c r="H3643" s="14" t="str">
        <f>IFERROR(__xludf.DUMMYFUNCTION("""COMPUTED_VALUE"""),"Eci (SU)")</f>
        <v>Eci (SU)</v>
      </c>
      <c r="I3643" s="13" t="str">
        <f>IFERROR(__xludf.DUMMYFUNCTION("""COMPUTED_VALUE"""),"SELESAI (VIA PERMOHONAN)")</f>
        <v>SELESAI (VIA PERMOHONAN)</v>
      </c>
      <c r="J3643" s="17">
        <f>IFERROR(__xludf.DUMMYFUNCTION("""COMPUTED_VALUE"""),45904.57929333333)</f>
        <v>45904.57929</v>
      </c>
      <c r="K3643" s="13" t="str">
        <f>IFERROR(__xludf.DUMMYFUNCTION("""COMPUTED_VALUE"""),"Selesai")</f>
        <v>Selesai</v>
      </c>
      <c r="L3643" s="17">
        <f>IFERROR(__xludf.DUMMYFUNCTION("""COMPUTED_VALUE"""),45904.57929333333)</f>
        <v>45904.57929</v>
      </c>
      <c r="M3643" s="13"/>
      <c r="N3643" s="13" t="str">
        <f>IFERROR(__xludf.DUMMYFUNCTION("""COMPUTED_VALUE"""),"")</f>
        <v/>
      </c>
      <c r="O3643" s="13" t="str">
        <f t="shared" si="1"/>
        <v/>
      </c>
    </row>
    <row r="3644" ht="22.5" customHeight="1">
      <c r="B3644" s="13">
        <f>IFERROR(__xludf.DUMMYFUNCTION("""COMPUTED_VALUE"""),3639.0)</f>
        <v>3639</v>
      </c>
      <c r="C3644" s="13" t="str">
        <f>IFERROR(__xludf.DUMMYFUNCTION("""COMPUTED_VALUE"""),"B. 876/ Sukarame Baru")</f>
        <v>B. 876/ Sukarame Baru</v>
      </c>
      <c r="D3644" s="13" t="str">
        <f>IFERROR(__xludf.DUMMYFUNCTION("""COMPUTED_VALUE"""),"K/36/250725/1")</f>
        <v>K/36/250725/1</v>
      </c>
      <c r="E3644" s="14" t="str">
        <f>IFERROR(__xludf.DUMMYFUNCTION("""COMPUTED_VALUE"""),"Heri (BT)")</f>
        <v>Heri (BT)</v>
      </c>
      <c r="F3644" s="14" t="str">
        <f>IFERROR(__xludf.DUMMYFUNCTION("""COMPUTED_VALUE"""),"SELESAI (VIA PERMOHONAN)")</f>
        <v>SELESAI (VIA PERMOHONAN)</v>
      </c>
      <c r="G3644" s="17">
        <f>IFERROR(__xludf.DUMMYFUNCTION("""COMPUTED_VALUE"""),45903.655137442125)</f>
        <v>45903.65514</v>
      </c>
      <c r="H3644" s="14" t="str">
        <f>IFERROR(__xludf.DUMMYFUNCTION("""COMPUTED_VALUE"""),"Eci (SU)")</f>
        <v>Eci (SU)</v>
      </c>
      <c r="I3644" s="13" t="str">
        <f>IFERROR(__xludf.DUMMYFUNCTION("""COMPUTED_VALUE"""),"SELESAI (VIA PERMOHONAN)")</f>
        <v>SELESAI (VIA PERMOHONAN)</v>
      </c>
      <c r="J3644" s="17">
        <f>IFERROR(__xludf.DUMMYFUNCTION("""COMPUTED_VALUE"""),45904.58006353009)</f>
        <v>45904.58006</v>
      </c>
      <c r="K3644" s="13" t="str">
        <f>IFERROR(__xludf.DUMMYFUNCTION("""COMPUTED_VALUE"""),"Selesai")</f>
        <v>Selesai</v>
      </c>
      <c r="L3644" s="17">
        <f>IFERROR(__xludf.DUMMYFUNCTION("""COMPUTED_VALUE"""),45904.58006353009)</f>
        <v>45904.58006</v>
      </c>
      <c r="M3644" s="13"/>
      <c r="N3644" s="13" t="str">
        <f>IFERROR(__xludf.DUMMYFUNCTION("""COMPUTED_VALUE"""),"")</f>
        <v/>
      </c>
      <c r="O3644" s="13" t="str">
        <f t="shared" si="1"/>
        <v/>
      </c>
    </row>
    <row r="3645" ht="22.5" customHeight="1">
      <c r="B3645" s="13">
        <f>IFERROR(__xludf.DUMMYFUNCTION("""COMPUTED_VALUE"""),3640.0)</f>
        <v>3640</v>
      </c>
      <c r="C3645" s="13" t="str">
        <f>IFERROR(__xludf.DUMMYFUNCTION("""COMPUTED_VALUE"""),"M. 5873/ Way Kandis")</f>
        <v>M. 5873/ Way Kandis</v>
      </c>
      <c r="D3645" s="13" t="str">
        <f>IFERROR(__xludf.DUMMYFUNCTION("""COMPUTED_VALUE"""),"K/27/040825/2")</f>
        <v>K/27/040825/2</v>
      </c>
      <c r="E3645" s="14" t="str">
        <f>IFERROR(__xludf.DUMMYFUNCTION("""COMPUTED_VALUE"""),"Heri (BT)")</f>
        <v>Heri (BT)</v>
      </c>
      <c r="F3645" s="14" t="str">
        <f>IFERROR(__xludf.DUMMYFUNCTION("""COMPUTED_VALUE"""),"SELESAI (VIA PERMOHONAN)")</f>
        <v>SELESAI (VIA PERMOHONAN)</v>
      </c>
      <c r="G3645" s="17">
        <f>IFERROR(__xludf.DUMMYFUNCTION("""COMPUTED_VALUE"""),45903.655266319445)</f>
        <v>45903.65527</v>
      </c>
      <c r="H3645" s="14" t="str">
        <f>IFERROR(__xludf.DUMMYFUNCTION("""COMPUTED_VALUE"""),"Eci (SU)")</f>
        <v>Eci (SU)</v>
      </c>
      <c r="I3645" s="13" t="str">
        <f>IFERROR(__xludf.DUMMYFUNCTION("""COMPUTED_VALUE"""),"SELESAI (VIA PERMOHONAN)")</f>
        <v>SELESAI (VIA PERMOHONAN)</v>
      </c>
      <c r="J3645" s="17">
        <f>IFERROR(__xludf.DUMMYFUNCTION("""COMPUTED_VALUE"""),45904.581059247685)</f>
        <v>45904.58106</v>
      </c>
      <c r="K3645" s="13" t="str">
        <f>IFERROR(__xludf.DUMMYFUNCTION("""COMPUTED_VALUE"""),"Selesai")</f>
        <v>Selesai</v>
      </c>
      <c r="L3645" s="17">
        <f>IFERROR(__xludf.DUMMYFUNCTION("""COMPUTED_VALUE"""),45904.581059247685)</f>
        <v>45904.58106</v>
      </c>
      <c r="M3645" s="13"/>
      <c r="N3645" s="13" t="str">
        <f>IFERROR(__xludf.DUMMYFUNCTION("""COMPUTED_VALUE"""),"")</f>
        <v/>
      </c>
      <c r="O3645" s="13" t="str">
        <f t="shared" si="1"/>
        <v/>
      </c>
    </row>
    <row r="3646" ht="22.5" customHeight="1">
      <c r="B3646" s="13">
        <f>IFERROR(__xludf.DUMMYFUNCTION("""COMPUTED_VALUE"""),3641.0)</f>
        <v>3641</v>
      </c>
      <c r="C3646" s="13" t="str">
        <f>IFERROR(__xludf.DUMMYFUNCTION("""COMPUTED_VALUE"""),"M. 3371/ Kemiling Permai")</f>
        <v>M. 3371/ Kemiling Permai</v>
      </c>
      <c r="D3646" s="13" t="str">
        <f>IFERROR(__xludf.DUMMYFUNCTION("""COMPUTED_VALUE"""),"K/32/240726/1")</f>
        <v>K/32/240726/1</v>
      </c>
      <c r="E3646" s="14" t="str">
        <f>IFERROR(__xludf.DUMMYFUNCTION("""COMPUTED_VALUE"""),"Heri (BT)")</f>
        <v>Heri (BT)</v>
      </c>
      <c r="F3646" s="14" t="str">
        <f>IFERROR(__xludf.DUMMYFUNCTION("""COMPUTED_VALUE"""),"SELESAI (VIA PERMOHONAN)")</f>
        <v>SELESAI (VIA PERMOHONAN)</v>
      </c>
      <c r="G3646" s="17">
        <f>IFERROR(__xludf.DUMMYFUNCTION("""COMPUTED_VALUE"""),45903.65542876157)</f>
        <v>45903.65543</v>
      </c>
      <c r="H3646" s="14" t="str">
        <f>IFERROR(__xludf.DUMMYFUNCTION("""COMPUTED_VALUE"""),"Eci (SU)")</f>
        <v>Eci (SU)</v>
      </c>
      <c r="I3646" s="13" t="str">
        <f>IFERROR(__xludf.DUMMYFUNCTION("""COMPUTED_VALUE"""),"SELESAI (VIA PERMOHONAN)")</f>
        <v>SELESAI (VIA PERMOHONAN)</v>
      </c>
      <c r="J3646" s="17">
        <f>IFERROR(__xludf.DUMMYFUNCTION("""COMPUTED_VALUE"""),45904.579410289356)</f>
        <v>45904.57941</v>
      </c>
      <c r="K3646" s="13" t="str">
        <f>IFERROR(__xludf.DUMMYFUNCTION("""COMPUTED_VALUE"""),"Selesai")</f>
        <v>Selesai</v>
      </c>
      <c r="L3646" s="17">
        <f>IFERROR(__xludf.DUMMYFUNCTION("""COMPUTED_VALUE"""),45904.579410289356)</f>
        <v>45904.57941</v>
      </c>
      <c r="M3646" s="13"/>
      <c r="N3646" s="13" t="str">
        <f>IFERROR(__xludf.DUMMYFUNCTION("""COMPUTED_VALUE"""),"")</f>
        <v/>
      </c>
      <c r="O3646" s="13" t="str">
        <f t="shared" si="1"/>
        <v/>
      </c>
    </row>
    <row r="3647" ht="22.5" customHeight="1">
      <c r="B3647" s="13">
        <f>IFERROR(__xludf.DUMMYFUNCTION("""COMPUTED_VALUE"""),3642.0)</f>
        <v>3642</v>
      </c>
      <c r="C3647" s="13" t="str">
        <f>IFERROR(__xludf.DUMMYFUNCTION("""COMPUTED_VALUE"""),"M. 660/Rajabasa Pemuka")</f>
        <v>M. 660/Rajabasa Pemuka</v>
      </c>
      <c r="D3647" s="13" t="str">
        <f>IFERROR(__xludf.DUMMYFUNCTION("""COMPUTED_VALUE"""),"K/29/080825/1")</f>
        <v>K/29/080825/1</v>
      </c>
      <c r="E3647" s="14" t="str">
        <f>IFERROR(__xludf.DUMMYFUNCTION("""COMPUTED_VALUE"""),"Heri (BT)")</f>
        <v>Heri (BT)</v>
      </c>
      <c r="F3647" s="14" t="str">
        <f>IFERROR(__xludf.DUMMYFUNCTION("""COMPUTED_VALUE"""),"SELESAI (VIA PERMOHONAN)")</f>
        <v>SELESAI (VIA PERMOHONAN)</v>
      </c>
      <c r="G3647" s="17">
        <f>IFERROR(__xludf.DUMMYFUNCTION("""COMPUTED_VALUE"""),45903.655613587965)</f>
        <v>45903.65561</v>
      </c>
      <c r="H3647" s="14" t="str">
        <f>IFERROR(__xludf.DUMMYFUNCTION("""COMPUTED_VALUE"""),"Eci (SU)")</f>
        <v>Eci (SU)</v>
      </c>
      <c r="I3647" s="13" t="str">
        <f>IFERROR(__xludf.DUMMYFUNCTION("""COMPUTED_VALUE"""),"SELESAI (VIA PERMOHONAN)")</f>
        <v>SELESAI (VIA PERMOHONAN)</v>
      </c>
      <c r="J3647" s="17">
        <f>IFERROR(__xludf.DUMMYFUNCTION("""COMPUTED_VALUE"""),45904.58089517361)</f>
        <v>45904.5809</v>
      </c>
      <c r="K3647" s="13" t="str">
        <f>IFERROR(__xludf.DUMMYFUNCTION("""COMPUTED_VALUE"""),"Selesai")</f>
        <v>Selesai</v>
      </c>
      <c r="L3647" s="17">
        <f>IFERROR(__xludf.DUMMYFUNCTION("""COMPUTED_VALUE"""),45904.58089517361)</f>
        <v>45904.5809</v>
      </c>
      <c r="M3647" s="13"/>
      <c r="N3647" s="13" t="str">
        <f>IFERROR(__xludf.DUMMYFUNCTION("""COMPUTED_VALUE"""),"")</f>
        <v/>
      </c>
      <c r="O3647" s="13" t="str">
        <f t="shared" si="1"/>
        <v/>
      </c>
    </row>
    <row r="3648" ht="22.5" customHeight="1">
      <c r="B3648" s="13">
        <f>IFERROR(__xludf.DUMMYFUNCTION("""COMPUTED_VALUE"""),3643.0)</f>
        <v>3643</v>
      </c>
      <c r="C3648" s="13" t="str">
        <f>IFERROR(__xludf.DUMMYFUNCTION("""COMPUTED_VALUE"""),"M. 1097/ Kelapa Tiga")</f>
        <v>M. 1097/ Kelapa Tiga</v>
      </c>
      <c r="D3648" s="13" t="str">
        <f>IFERROR(__xludf.DUMMYFUNCTION("""COMPUTED_VALUE"""),"K/31/080525/1")</f>
        <v>K/31/080525/1</v>
      </c>
      <c r="E3648" s="14" t="str">
        <f>IFERROR(__xludf.DUMMYFUNCTION("""COMPUTED_VALUE"""),"Heri (BT)")</f>
        <v>Heri (BT)</v>
      </c>
      <c r="F3648" s="14" t="str">
        <f>IFERROR(__xludf.DUMMYFUNCTION("""COMPUTED_VALUE"""),"SELESAI (VIA PERMOHONAN)")</f>
        <v>SELESAI (VIA PERMOHONAN)</v>
      </c>
      <c r="G3648" s="17">
        <f>IFERROR(__xludf.DUMMYFUNCTION("""COMPUTED_VALUE"""),45904.548006111116)</f>
        <v>45904.54801</v>
      </c>
      <c r="H3648" s="14" t="str">
        <f>IFERROR(__xludf.DUMMYFUNCTION("""COMPUTED_VALUE"""),"Eci (SU)")</f>
        <v>Eci (SU)</v>
      </c>
      <c r="I3648" s="13" t="str">
        <f>IFERROR(__xludf.DUMMYFUNCTION("""COMPUTED_VALUE"""),"SELESAI (VIA PERMOHONAN)")</f>
        <v>SELESAI (VIA PERMOHONAN)</v>
      </c>
      <c r="J3648" s="17">
        <f>IFERROR(__xludf.DUMMYFUNCTION("""COMPUTED_VALUE"""),45908.59107613426)</f>
        <v>45908.59108</v>
      </c>
      <c r="K3648" s="13" t="str">
        <f>IFERROR(__xludf.DUMMYFUNCTION("""COMPUTED_VALUE"""),"Selesai")</f>
        <v>Selesai</v>
      </c>
      <c r="L3648" s="17">
        <f>IFERROR(__xludf.DUMMYFUNCTION("""COMPUTED_VALUE"""),45908.59107613426)</f>
        <v>45908.59108</v>
      </c>
      <c r="M3648" s="13"/>
      <c r="N3648" s="13" t="str">
        <f>IFERROR(__xludf.DUMMYFUNCTION("""COMPUTED_VALUE"""),"")</f>
        <v/>
      </c>
      <c r="O3648" s="13" t="str">
        <f t="shared" si="1"/>
        <v/>
      </c>
    </row>
    <row r="3649" ht="22.5" customHeight="1">
      <c r="B3649" s="13">
        <f>IFERROR(__xludf.DUMMYFUNCTION("""COMPUTED_VALUE"""),3644.0)</f>
        <v>3644</v>
      </c>
      <c r="C3649" s="13" t="str">
        <f>IFERROR(__xludf.DUMMYFUNCTION("""COMPUTED_VALUE"""),"M. 997/PELITA")</f>
        <v>M. 997/PELITA</v>
      </c>
      <c r="D3649" s="13" t="str">
        <f>IFERROR(__xludf.DUMMYFUNCTION("""COMPUTED_VALUE"""),"K/19/290825/1")</f>
        <v>K/19/290825/1</v>
      </c>
      <c r="E3649" s="14" t="str">
        <f>IFERROR(__xludf.DUMMYFUNCTION("""COMPUTED_VALUE"""),"Heri (BT)")</f>
        <v>Heri (BT)</v>
      </c>
      <c r="F3649" s="14" t="str">
        <f>IFERROR(__xludf.DUMMYFUNCTION("""COMPUTED_VALUE"""),"SELESAI (VIA PERMOHONAN)")</f>
        <v>SELESAI (VIA PERMOHONAN)</v>
      </c>
      <c r="G3649" s="17">
        <f>IFERROR(__xludf.DUMMYFUNCTION("""COMPUTED_VALUE"""),45904.54801971065)</f>
        <v>45904.54802</v>
      </c>
      <c r="H3649" s="14" t="str">
        <f>IFERROR(__xludf.DUMMYFUNCTION("""COMPUTED_VALUE"""),"Eci (SU)")</f>
        <v>Eci (SU)</v>
      </c>
      <c r="I3649" s="13" t="str">
        <f>IFERROR(__xludf.DUMMYFUNCTION("""COMPUTED_VALUE"""),"SELESAI (VIA PERMOHONAN)")</f>
        <v>SELESAI (VIA PERMOHONAN)</v>
      </c>
      <c r="J3649" s="17">
        <f>IFERROR(__xludf.DUMMYFUNCTION("""COMPUTED_VALUE"""),45908.59101462963)</f>
        <v>45908.59101</v>
      </c>
      <c r="K3649" s="13" t="str">
        <f>IFERROR(__xludf.DUMMYFUNCTION("""COMPUTED_VALUE"""),"Selesai")</f>
        <v>Selesai</v>
      </c>
      <c r="L3649" s="17">
        <f>IFERROR(__xludf.DUMMYFUNCTION("""COMPUTED_VALUE"""),45908.59101462963)</f>
        <v>45908.59101</v>
      </c>
      <c r="M3649" s="13"/>
      <c r="N3649" s="13" t="str">
        <f>IFERROR(__xludf.DUMMYFUNCTION("""COMPUTED_VALUE"""),"")</f>
        <v/>
      </c>
      <c r="O3649" s="13" t="str">
        <f t="shared" si="1"/>
        <v/>
      </c>
    </row>
    <row r="3650" ht="22.5" customHeight="1">
      <c r="B3650" s="13">
        <f>IFERROR(__xludf.DUMMYFUNCTION("""COMPUTED_VALUE"""),3645.0)</f>
        <v>3645</v>
      </c>
      <c r="C3650" s="13" t="str">
        <f>IFERROR(__xludf.DUMMYFUNCTION("""COMPUTED_VALUE"""),"M 13630/ KEDAMAIAN")</f>
        <v>M 13630/ KEDAMAIAN</v>
      </c>
      <c r="D3650" s="13" t="str">
        <f>IFERROR(__xludf.DUMMYFUNCTION("""COMPUTED_VALUE"""),"K/7/270825/1")</f>
        <v>K/7/270825/1</v>
      </c>
      <c r="E3650" s="14" t="str">
        <f>IFERROR(__xludf.DUMMYFUNCTION("""COMPUTED_VALUE"""),"Heri (BT)")</f>
        <v>Heri (BT)</v>
      </c>
      <c r="F3650" s="14" t="str">
        <f>IFERROR(__xludf.DUMMYFUNCTION("""COMPUTED_VALUE"""),"SELESAI (VIA PERMOHONAN)")</f>
        <v>SELESAI (VIA PERMOHONAN)</v>
      </c>
      <c r="G3650" s="17">
        <f>IFERROR(__xludf.DUMMYFUNCTION("""COMPUTED_VALUE"""),45904.548160763894)</f>
        <v>45904.54816</v>
      </c>
      <c r="H3650" s="14" t="str">
        <f>IFERROR(__xludf.DUMMYFUNCTION("""COMPUTED_VALUE"""),"Eci (SU)")</f>
        <v>Eci (SU)</v>
      </c>
      <c r="I3650" s="13" t="str">
        <f>IFERROR(__xludf.DUMMYFUNCTION("""COMPUTED_VALUE"""),"SELESAI (VIA PERMOHONAN)")</f>
        <v>SELESAI (VIA PERMOHONAN)</v>
      </c>
      <c r="J3650" s="17">
        <f>IFERROR(__xludf.DUMMYFUNCTION("""COMPUTED_VALUE"""),45908.59094296297)</f>
        <v>45908.59094</v>
      </c>
      <c r="K3650" s="13" t="str">
        <f>IFERROR(__xludf.DUMMYFUNCTION("""COMPUTED_VALUE"""),"Selesai")</f>
        <v>Selesai</v>
      </c>
      <c r="L3650" s="17">
        <f>IFERROR(__xludf.DUMMYFUNCTION("""COMPUTED_VALUE"""),45908.59094296297)</f>
        <v>45908.59094</v>
      </c>
      <c r="M3650" s="13"/>
      <c r="N3650" s="13" t="str">
        <f>IFERROR(__xludf.DUMMYFUNCTION("""COMPUTED_VALUE"""),"")</f>
        <v/>
      </c>
      <c r="O3650" s="13" t="str">
        <f t="shared" si="1"/>
        <v/>
      </c>
    </row>
    <row r="3651" ht="22.5" customHeight="1">
      <c r="B3651" s="13">
        <f>IFERROR(__xludf.DUMMYFUNCTION("""COMPUTED_VALUE"""),3646.0)</f>
        <v>3646</v>
      </c>
      <c r="C3651" s="13" t="str">
        <f>IFERROR(__xludf.DUMMYFUNCTION("""COMPUTED_VALUE"""),"M. 3870/ BERINGIN RAYA")</f>
        <v>M. 3870/ BERINGIN RAYA</v>
      </c>
      <c r="D3651" s="13" t="str">
        <f>IFERROR(__xludf.DUMMYFUNCTION("""COMPUTED_VALUE"""),"K/29/080825/3")</f>
        <v>K/29/080825/3</v>
      </c>
      <c r="E3651" s="14" t="str">
        <f>IFERROR(__xludf.DUMMYFUNCTION("""COMPUTED_VALUE"""),"Heri (BT)")</f>
        <v>Heri (BT)</v>
      </c>
      <c r="F3651" s="14" t="str">
        <f>IFERROR(__xludf.DUMMYFUNCTION("""COMPUTED_VALUE"""),"SELESAI (VIA PERMOHONAN)")</f>
        <v>SELESAI (VIA PERMOHONAN)</v>
      </c>
      <c r="G3651" s="17">
        <f>IFERROR(__xludf.DUMMYFUNCTION("""COMPUTED_VALUE"""),45904.548302986106)</f>
        <v>45904.5483</v>
      </c>
      <c r="H3651" s="14" t="str">
        <f>IFERROR(__xludf.DUMMYFUNCTION("""COMPUTED_VALUE"""),"Eci (SU)")</f>
        <v>Eci (SU)</v>
      </c>
      <c r="I3651" s="13" t="str">
        <f>IFERROR(__xludf.DUMMYFUNCTION("""COMPUTED_VALUE"""),"SELESAI (VIA PERMOHONAN)")</f>
        <v>SELESAI (VIA PERMOHONAN)</v>
      </c>
      <c r="J3651" s="17">
        <f>IFERROR(__xludf.DUMMYFUNCTION("""COMPUTED_VALUE"""),45908.590786886576)</f>
        <v>45908.59079</v>
      </c>
      <c r="K3651" s="13" t="str">
        <f>IFERROR(__xludf.DUMMYFUNCTION("""COMPUTED_VALUE"""),"Selesai")</f>
        <v>Selesai</v>
      </c>
      <c r="L3651" s="17">
        <f>IFERROR(__xludf.DUMMYFUNCTION("""COMPUTED_VALUE"""),45908.590786886576)</f>
        <v>45908.59079</v>
      </c>
      <c r="M3651" s="13"/>
      <c r="N3651" s="13" t="str">
        <f>IFERROR(__xludf.DUMMYFUNCTION("""COMPUTED_VALUE"""),"")</f>
        <v/>
      </c>
      <c r="O3651" s="13" t="str">
        <f t="shared" si="1"/>
        <v/>
      </c>
    </row>
    <row r="3652" ht="22.5" customHeight="1">
      <c r="B3652" s="13">
        <f>IFERROR(__xludf.DUMMYFUNCTION("""COMPUTED_VALUE"""),3647.0)</f>
        <v>3647</v>
      </c>
      <c r="C3652" s="13" t="str">
        <f>IFERROR(__xludf.DUMMYFUNCTION("""COMPUTED_VALUE"""),"M. 3916/ BERINGIN RAYA")</f>
        <v>M. 3916/ BERINGIN RAYA</v>
      </c>
      <c r="D3652" s="13" t="str">
        <f>IFERROR(__xludf.DUMMYFUNCTION("""COMPUTED_VALUE"""),"K/25/120825/1")</f>
        <v>K/25/120825/1</v>
      </c>
      <c r="E3652" s="14" t="str">
        <f>IFERROR(__xludf.DUMMYFUNCTION("""COMPUTED_VALUE"""),"Heri (BT)")</f>
        <v>Heri (BT)</v>
      </c>
      <c r="F3652" s="14" t="str">
        <f>IFERROR(__xludf.DUMMYFUNCTION("""COMPUTED_VALUE"""),"SELESAI (VIA PERMOHONAN)")</f>
        <v>SELESAI (VIA PERMOHONAN)</v>
      </c>
      <c r="G3652" s="17">
        <f>IFERROR(__xludf.DUMMYFUNCTION("""COMPUTED_VALUE"""),45904.54845949074)</f>
        <v>45904.54846</v>
      </c>
      <c r="H3652" s="14" t="str">
        <f>IFERROR(__xludf.DUMMYFUNCTION("""COMPUTED_VALUE"""),"Eci (SU)")</f>
        <v>Eci (SU)</v>
      </c>
      <c r="I3652" s="13" t="str">
        <f>IFERROR(__xludf.DUMMYFUNCTION("""COMPUTED_VALUE"""),"SELESAI (VIA PERMOHONAN)")</f>
        <v>SELESAI (VIA PERMOHONAN)</v>
      </c>
      <c r="J3652" s="17">
        <f>IFERROR(__xludf.DUMMYFUNCTION("""COMPUTED_VALUE"""),45908.59069803241)</f>
        <v>45908.5907</v>
      </c>
      <c r="K3652" s="13" t="str">
        <f>IFERROR(__xludf.DUMMYFUNCTION("""COMPUTED_VALUE"""),"Selesai")</f>
        <v>Selesai</v>
      </c>
      <c r="L3652" s="17">
        <f>IFERROR(__xludf.DUMMYFUNCTION("""COMPUTED_VALUE"""),45908.59069803241)</f>
        <v>45908.5907</v>
      </c>
      <c r="M3652" s="13"/>
      <c r="N3652" s="13" t="str">
        <f>IFERROR(__xludf.DUMMYFUNCTION("""COMPUTED_VALUE"""),"")</f>
        <v/>
      </c>
      <c r="O3652" s="13" t="str">
        <f t="shared" si="1"/>
        <v/>
      </c>
    </row>
    <row r="3653" ht="22.5" customHeight="1">
      <c r="B3653" s="13">
        <f>IFERROR(__xludf.DUMMYFUNCTION("""COMPUTED_VALUE"""),3648.0)</f>
        <v>3648</v>
      </c>
      <c r="C3653" s="13" t="str">
        <f>IFERROR(__xludf.DUMMYFUNCTION("""COMPUTED_VALUE"""),"M 3373/ BERINGIN RAYA")</f>
        <v>M 3373/ BERINGIN RAYA</v>
      </c>
      <c r="D3653" s="13" t="str">
        <f>IFERROR(__xludf.DUMMYFUNCTION("""COMPUTED_VALUE"""),"K/16/250825/1")</f>
        <v>K/16/250825/1</v>
      </c>
      <c r="E3653" s="14" t="str">
        <f>IFERROR(__xludf.DUMMYFUNCTION("""COMPUTED_VALUE"""),"Heri (BT)")</f>
        <v>Heri (BT)</v>
      </c>
      <c r="F3653" s="14" t="str">
        <f>IFERROR(__xludf.DUMMYFUNCTION("""COMPUTED_VALUE"""),"SELESAI (VIA PERMOHONAN)")</f>
        <v>SELESAI (VIA PERMOHONAN)</v>
      </c>
      <c r="G3653" s="17">
        <f>IFERROR(__xludf.DUMMYFUNCTION("""COMPUTED_VALUE"""),45904.548598379624)</f>
        <v>45904.5486</v>
      </c>
      <c r="H3653" s="14" t="str">
        <f>IFERROR(__xludf.DUMMYFUNCTION("""COMPUTED_VALUE"""),"Eci (SU)")</f>
        <v>Eci (SU)</v>
      </c>
      <c r="I3653" s="13" t="str">
        <f>IFERROR(__xludf.DUMMYFUNCTION("""COMPUTED_VALUE"""),"SELESAI (VIA PERMOHONAN)")</f>
        <v>SELESAI (VIA PERMOHONAN)</v>
      </c>
      <c r="J3653" s="17">
        <f>IFERROR(__xludf.DUMMYFUNCTION("""COMPUTED_VALUE"""),45908.590503252315)</f>
        <v>45908.5905</v>
      </c>
      <c r="K3653" s="13" t="str">
        <f>IFERROR(__xludf.DUMMYFUNCTION("""COMPUTED_VALUE"""),"Selesai")</f>
        <v>Selesai</v>
      </c>
      <c r="L3653" s="17">
        <f>IFERROR(__xludf.DUMMYFUNCTION("""COMPUTED_VALUE"""),45908.590503252315)</f>
        <v>45908.5905</v>
      </c>
      <c r="M3653" s="13"/>
      <c r="N3653" s="13" t="str">
        <f>IFERROR(__xludf.DUMMYFUNCTION("""COMPUTED_VALUE"""),"")</f>
        <v/>
      </c>
      <c r="O3653" s="13" t="str">
        <f t="shared" si="1"/>
        <v/>
      </c>
    </row>
    <row r="3654" ht="22.5" customHeight="1">
      <c r="B3654" s="13">
        <f>IFERROR(__xludf.DUMMYFUNCTION("""COMPUTED_VALUE"""),3649.0)</f>
        <v>3649</v>
      </c>
      <c r="C3654" s="13" t="str">
        <f>IFERROR(__xludf.DUMMYFUNCTION("""COMPUTED_VALUE"""),"M 388/ SUKABUMI INDAH")</f>
        <v>M 388/ SUKABUMI INDAH</v>
      </c>
      <c r="D3654" s="13" t="str">
        <f>IFERROR(__xludf.DUMMYFUNCTION("""COMPUTED_VALUE"""),"K/18/290825/1")</f>
        <v>K/18/290825/1</v>
      </c>
      <c r="E3654" s="14" t="str">
        <f>IFERROR(__xludf.DUMMYFUNCTION("""COMPUTED_VALUE"""),"Heri (BT)")</f>
        <v>Heri (BT)</v>
      </c>
      <c r="F3654" s="14" t="str">
        <f>IFERROR(__xludf.DUMMYFUNCTION("""COMPUTED_VALUE"""),"SELESAI (VIA PERMOHONAN)")</f>
        <v>SELESAI (VIA PERMOHONAN)</v>
      </c>
      <c r="G3654" s="17">
        <f>IFERROR(__xludf.DUMMYFUNCTION("""COMPUTED_VALUE"""),45904.54874810185)</f>
        <v>45904.54875</v>
      </c>
      <c r="H3654" s="14" t="str">
        <f>IFERROR(__xludf.DUMMYFUNCTION("""COMPUTED_VALUE"""),"Eci (SU)")</f>
        <v>Eci (SU)</v>
      </c>
      <c r="I3654" s="13" t="str">
        <f>IFERROR(__xludf.DUMMYFUNCTION("""COMPUTED_VALUE"""),"SELESAI (VIA PERMOHONAN)")</f>
        <v>SELESAI (VIA PERMOHONAN)</v>
      </c>
      <c r="J3654" s="17">
        <f>IFERROR(__xludf.DUMMYFUNCTION("""COMPUTED_VALUE"""),45908.590401203706)</f>
        <v>45908.5904</v>
      </c>
      <c r="K3654" s="13" t="str">
        <f>IFERROR(__xludf.DUMMYFUNCTION("""COMPUTED_VALUE"""),"Selesai")</f>
        <v>Selesai</v>
      </c>
      <c r="L3654" s="17">
        <f>IFERROR(__xludf.DUMMYFUNCTION("""COMPUTED_VALUE"""),45908.590401203706)</f>
        <v>45908.5904</v>
      </c>
      <c r="M3654" s="13"/>
      <c r="N3654" s="13" t="str">
        <f>IFERROR(__xludf.DUMMYFUNCTION("""COMPUTED_VALUE"""),"")</f>
        <v/>
      </c>
      <c r="O3654" s="13" t="str">
        <f t="shared" si="1"/>
        <v/>
      </c>
    </row>
    <row r="3655" ht="22.5" customHeight="1">
      <c r="B3655" s="13">
        <f>IFERROR(__xludf.DUMMYFUNCTION("""COMPUTED_VALUE"""),3650.0)</f>
        <v>3650</v>
      </c>
      <c r="C3655" s="13" t="str">
        <f>IFERROR(__xludf.DUMMYFUNCTION("""COMPUTED_VALUE"""),"M. 1517/ Durian Payung")</f>
        <v>M. 1517/ Durian Payung</v>
      </c>
      <c r="D3655" s="13" t="str">
        <f>IFERROR(__xludf.DUMMYFUNCTION("""COMPUTED_VALUE"""),"K/15/160725/1")</f>
        <v>K/15/160725/1</v>
      </c>
      <c r="E3655" s="14" t="str">
        <f>IFERROR(__xludf.DUMMYFUNCTION("""COMPUTED_VALUE"""),"Heri (BT)")</f>
        <v>Heri (BT)</v>
      </c>
      <c r="F3655" s="14" t="str">
        <f>IFERROR(__xludf.DUMMYFUNCTION("""COMPUTED_VALUE"""),"SELESAI (VIA PERMOHONAN)")</f>
        <v>SELESAI (VIA PERMOHONAN)</v>
      </c>
      <c r="G3655" s="17">
        <f>IFERROR(__xludf.DUMMYFUNCTION("""COMPUTED_VALUE"""),45904.54893550926)</f>
        <v>45904.54894</v>
      </c>
      <c r="H3655" s="14" t="str">
        <f>IFERROR(__xludf.DUMMYFUNCTION("""COMPUTED_VALUE"""),"Eci (SU)")</f>
        <v>Eci (SU)</v>
      </c>
      <c r="I3655" s="13" t="str">
        <f>IFERROR(__xludf.DUMMYFUNCTION("""COMPUTED_VALUE"""),"SELESAI (VIA PERMOHONAN)")</f>
        <v>SELESAI (VIA PERMOHONAN)</v>
      </c>
      <c r="J3655" s="17">
        <f>IFERROR(__xludf.DUMMYFUNCTION("""COMPUTED_VALUE"""),45908.590245995365)</f>
        <v>45908.59025</v>
      </c>
      <c r="K3655" s="13" t="str">
        <f>IFERROR(__xludf.DUMMYFUNCTION("""COMPUTED_VALUE"""),"Selesai")</f>
        <v>Selesai</v>
      </c>
      <c r="L3655" s="17">
        <f>IFERROR(__xludf.DUMMYFUNCTION("""COMPUTED_VALUE"""),45908.590245995365)</f>
        <v>45908.59025</v>
      </c>
      <c r="M3655" s="13"/>
      <c r="N3655" s="13" t="str">
        <f>IFERROR(__xludf.DUMMYFUNCTION("""COMPUTED_VALUE"""),"")</f>
        <v/>
      </c>
      <c r="O3655" s="13" t="str">
        <f t="shared" si="1"/>
        <v/>
      </c>
    </row>
    <row r="3656" ht="22.5" customHeight="1">
      <c r="B3656" s="13">
        <f>IFERROR(__xludf.DUMMYFUNCTION("""COMPUTED_VALUE"""),3651.0)</f>
        <v>3651</v>
      </c>
      <c r="C3656" s="13" t="str">
        <f>IFERROR(__xludf.DUMMYFUNCTION("""COMPUTED_VALUE"""),"M 12083/ KEDATON")</f>
        <v>M 12083/ KEDATON</v>
      </c>
      <c r="D3656" s="13" t="str">
        <f>IFERROR(__xludf.DUMMYFUNCTION("""COMPUTED_VALUE"""),"K/30/290825/5")</f>
        <v>K/30/290825/5</v>
      </c>
      <c r="E3656" s="14" t="str">
        <f>IFERROR(__xludf.DUMMYFUNCTION("""COMPUTED_VALUE"""),"Heri (BT)")</f>
        <v>Heri (BT)</v>
      </c>
      <c r="F3656" s="14" t="str">
        <f>IFERROR(__xludf.DUMMYFUNCTION("""COMPUTED_VALUE"""),"SELESAI (VIA PERMOHONAN)")</f>
        <v>SELESAI (VIA PERMOHONAN)</v>
      </c>
      <c r="G3656" s="17">
        <f>IFERROR(__xludf.DUMMYFUNCTION("""COMPUTED_VALUE"""),45904.549070312496)</f>
        <v>45904.54907</v>
      </c>
      <c r="H3656" s="14" t="str">
        <f>IFERROR(__xludf.DUMMYFUNCTION("""COMPUTED_VALUE"""),"Eci (SU)")</f>
        <v>Eci (SU)</v>
      </c>
      <c r="I3656" s="13" t="str">
        <f>IFERROR(__xludf.DUMMYFUNCTION("""COMPUTED_VALUE"""),"SELESAI (VIA PERMOHONAN)")</f>
        <v>SELESAI (VIA PERMOHONAN)</v>
      </c>
      <c r="J3656" s="17">
        <f>IFERROR(__xludf.DUMMYFUNCTION("""COMPUTED_VALUE"""),45908.589854351856)</f>
        <v>45908.58985</v>
      </c>
      <c r="K3656" s="13" t="str">
        <f>IFERROR(__xludf.DUMMYFUNCTION("""COMPUTED_VALUE"""),"Selesai")</f>
        <v>Selesai</v>
      </c>
      <c r="L3656" s="17">
        <f>IFERROR(__xludf.DUMMYFUNCTION("""COMPUTED_VALUE"""),45908.589854351856)</f>
        <v>45908.58985</v>
      </c>
      <c r="M3656" s="13"/>
      <c r="N3656" s="13" t="str">
        <f>IFERROR(__xludf.DUMMYFUNCTION("""COMPUTED_VALUE"""),"")</f>
        <v/>
      </c>
      <c r="O3656" s="13" t="str">
        <f t="shared" si="1"/>
        <v/>
      </c>
    </row>
    <row r="3657" ht="22.5" customHeight="1">
      <c r="B3657" s="13">
        <f>IFERROR(__xludf.DUMMYFUNCTION("""COMPUTED_VALUE"""),3652.0)</f>
        <v>3652</v>
      </c>
      <c r="C3657" s="13" t="str">
        <f>IFERROR(__xludf.DUMMYFUNCTION("""COMPUTED_VALUE"""),"M 220/ BILABONG JAYA")</f>
        <v>M 220/ BILABONG JAYA</v>
      </c>
      <c r="D3657" s="13" t="str">
        <f>IFERROR(__xludf.DUMMYFUNCTION("""COMPUTED_VALUE"""),"K/29/290825/4")</f>
        <v>K/29/290825/4</v>
      </c>
      <c r="E3657" s="14" t="str">
        <f>IFERROR(__xludf.DUMMYFUNCTION("""COMPUTED_VALUE"""),"Heri (BT)")</f>
        <v>Heri (BT)</v>
      </c>
      <c r="F3657" s="14" t="str">
        <f>IFERROR(__xludf.DUMMYFUNCTION("""COMPUTED_VALUE"""),"SELESAI (VIA PERMOHONAN)")</f>
        <v>SELESAI (VIA PERMOHONAN)</v>
      </c>
      <c r="G3657" s="17">
        <f>IFERROR(__xludf.DUMMYFUNCTION("""COMPUTED_VALUE"""),45904.54922706018)</f>
        <v>45904.54923</v>
      </c>
      <c r="H3657" s="14" t="str">
        <f>IFERROR(__xludf.DUMMYFUNCTION("""COMPUTED_VALUE"""),"Eci (SU)")</f>
        <v>Eci (SU)</v>
      </c>
      <c r="I3657" s="13" t="str">
        <f>IFERROR(__xludf.DUMMYFUNCTION("""COMPUTED_VALUE"""),"SELESAI (VIA PERMOHONAN)")</f>
        <v>SELESAI (VIA PERMOHONAN)</v>
      </c>
      <c r="J3657" s="17">
        <f>IFERROR(__xludf.DUMMYFUNCTION("""COMPUTED_VALUE"""),45904.64384820602)</f>
        <v>45904.64385</v>
      </c>
      <c r="K3657" s="13" t="str">
        <f>IFERROR(__xludf.DUMMYFUNCTION("""COMPUTED_VALUE"""),"Selesai")</f>
        <v>Selesai</v>
      </c>
      <c r="L3657" s="17">
        <f>IFERROR(__xludf.DUMMYFUNCTION("""COMPUTED_VALUE"""),45904.64384820602)</f>
        <v>45904.64385</v>
      </c>
      <c r="M3657" s="13"/>
      <c r="N3657" s="13" t="str">
        <f>IFERROR(__xludf.DUMMYFUNCTION("""COMPUTED_VALUE"""),"")</f>
        <v/>
      </c>
      <c r="O3657" s="13" t="str">
        <f t="shared" si="1"/>
        <v/>
      </c>
    </row>
    <row r="3658" ht="22.5" customHeight="1">
      <c r="B3658" s="13">
        <f>IFERROR(__xludf.DUMMYFUNCTION("""COMPUTED_VALUE"""),3653.0)</f>
        <v>3653</v>
      </c>
      <c r="C3658" s="13" t="str">
        <f>IFERROR(__xludf.DUMMYFUNCTION("""COMPUTED_VALUE"""),"M 1225/ SUKARAME BARU")</f>
        <v>M 1225/ SUKARAME BARU</v>
      </c>
      <c r="D3658" s="13" t="str">
        <f>IFERROR(__xludf.DUMMYFUNCTION("""COMPUTED_VALUE"""),"K/12/290825/1")</f>
        <v>K/12/290825/1</v>
      </c>
      <c r="E3658" s="14" t="str">
        <f>IFERROR(__xludf.DUMMYFUNCTION("""COMPUTED_VALUE"""),"Heri (BT)")</f>
        <v>Heri (BT)</v>
      </c>
      <c r="F3658" s="14" t="str">
        <f>IFERROR(__xludf.DUMMYFUNCTION("""COMPUTED_VALUE"""),"SELESAI (VIA PERMOHONAN)")</f>
        <v>SELESAI (VIA PERMOHONAN)</v>
      </c>
      <c r="G3658" s="17">
        <f>IFERROR(__xludf.DUMMYFUNCTION("""COMPUTED_VALUE"""),45904.549420428244)</f>
        <v>45904.54942</v>
      </c>
      <c r="H3658" s="14" t="str">
        <f>IFERROR(__xludf.DUMMYFUNCTION("""COMPUTED_VALUE"""),"Eci (SU)")</f>
        <v>Eci (SU)</v>
      </c>
      <c r="I3658" s="13" t="str">
        <f>IFERROR(__xludf.DUMMYFUNCTION("""COMPUTED_VALUE"""),"SELESAI (VIA PERMOHONAN)")</f>
        <v>SELESAI (VIA PERMOHONAN)</v>
      </c>
      <c r="J3658" s="17">
        <f>IFERROR(__xludf.DUMMYFUNCTION("""COMPUTED_VALUE"""),45904.64372824074)</f>
        <v>45904.64373</v>
      </c>
      <c r="K3658" s="13" t="str">
        <f>IFERROR(__xludf.DUMMYFUNCTION("""COMPUTED_VALUE"""),"Selesai")</f>
        <v>Selesai</v>
      </c>
      <c r="L3658" s="17">
        <f>IFERROR(__xludf.DUMMYFUNCTION("""COMPUTED_VALUE"""),45904.64372824074)</f>
        <v>45904.64373</v>
      </c>
      <c r="M3658" s="13"/>
      <c r="N3658" s="13" t="str">
        <f>IFERROR(__xludf.DUMMYFUNCTION("""COMPUTED_VALUE"""),"")</f>
        <v/>
      </c>
      <c r="O3658" s="13" t="str">
        <f t="shared" si="1"/>
        <v/>
      </c>
    </row>
    <row r="3659" ht="22.5" customHeight="1">
      <c r="B3659" s="13">
        <f>IFERROR(__xludf.DUMMYFUNCTION("""COMPUTED_VALUE"""),3654.0)</f>
        <v>3654</v>
      </c>
      <c r="C3659" s="13" t="str">
        <f>IFERROR(__xludf.DUMMYFUNCTION("""COMPUTED_VALUE"""),"M 205/ WAY KANDIS")</f>
        <v>M 205/ WAY KANDIS</v>
      </c>
      <c r="D3659" s="13" t="str">
        <f>IFERROR(__xludf.DUMMYFUNCTION("""COMPUTED_VALUE"""),"K/44/280825/2")</f>
        <v>K/44/280825/2</v>
      </c>
      <c r="E3659" s="14" t="str">
        <f>IFERROR(__xludf.DUMMYFUNCTION("""COMPUTED_VALUE"""),"Heri (BT)")</f>
        <v>Heri (BT)</v>
      </c>
      <c r="F3659" s="14" t="str">
        <f>IFERROR(__xludf.DUMMYFUNCTION("""COMPUTED_VALUE"""),"SELESAI (VIA PERMOHONAN)")</f>
        <v>SELESAI (VIA PERMOHONAN)</v>
      </c>
      <c r="G3659" s="17">
        <f>IFERROR(__xludf.DUMMYFUNCTION("""COMPUTED_VALUE"""),45904.54954869213)</f>
        <v>45904.54955</v>
      </c>
      <c r="H3659" s="14"/>
      <c r="I3659" s="13"/>
      <c r="J3659" s="17" t="str">
        <f>IFERROR(__xludf.DUMMYFUNCTION("""COMPUTED_VALUE"""),"")</f>
        <v/>
      </c>
      <c r="K3659" s="13" t="str">
        <f>IFERROR(__xludf.DUMMYFUNCTION("""COMPUTED_VALUE"""),"BT atau SU Belum Valid")</f>
        <v>BT atau SU Belum Valid</v>
      </c>
      <c r="L3659" s="13" t="str">
        <f>IFERROR(__xludf.DUMMYFUNCTION("""COMPUTED_VALUE"""),"")</f>
        <v/>
      </c>
      <c r="M3659" s="13"/>
      <c r="N3659" s="13" t="str">
        <f>IFERROR(__xludf.DUMMYFUNCTION("""COMPUTED_VALUE"""),"")</f>
        <v/>
      </c>
      <c r="O3659" s="13" t="str">
        <f t="shared" si="1"/>
        <v/>
      </c>
    </row>
    <row r="3660" ht="22.5" customHeight="1">
      <c r="B3660" s="13">
        <f>IFERROR(__xludf.DUMMYFUNCTION("""COMPUTED_VALUE"""),3655.0)</f>
        <v>3655</v>
      </c>
      <c r="C3660" s="13" t="str">
        <f>IFERROR(__xludf.DUMMYFUNCTION("""COMPUTED_VALUE"""),"M. 773/Kota Karang")</f>
        <v>M. 773/Kota Karang</v>
      </c>
      <c r="D3660" s="13" t="str">
        <f>IFERROR(__xludf.DUMMYFUNCTION("""COMPUTED_VALUE"""),"K/29/110825/1")</f>
        <v>K/29/110825/1</v>
      </c>
      <c r="E3660" s="14" t="str">
        <f>IFERROR(__xludf.DUMMYFUNCTION("""COMPUTED_VALUE"""),"Heri (BT)")</f>
        <v>Heri (BT)</v>
      </c>
      <c r="F3660" s="14" t="str">
        <f>IFERROR(__xludf.DUMMYFUNCTION("""COMPUTED_VALUE"""),"SELESAI (VIA PERMOHONAN)")</f>
        <v>SELESAI (VIA PERMOHONAN)</v>
      </c>
      <c r="G3660" s="17">
        <f>IFERROR(__xludf.DUMMYFUNCTION("""COMPUTED_VALUE"""),45904.54975208333)</f>
        <v>45904.54975</v>
      </c>
      <c r="H3660" s="14" t="str">
        <f>IFERROR(__xludf.DUMMYFUNCTION("""COMPUTED_VALUE"""),"Eci (SU)")</f>
        <v>Eci (SU)</v>
      </c>
      <c r="I3660" s="13" t="str">
        <f>IFERROR(__xludf.DUMMYFUNCTION("""COMPUTED_VALUE"""),"SELESAI (VIA PERMOHONAN)")</f>
        <v>SELESAI (VIA PERMOHONAN)</v>
      </c>
      <c r="J3660" s="17">
        <f>IFERROR(__xludf.DUMMYFUNCTION("""COMPUTED_VALUE"""),45904.6436090162)</f>
        <v>45904.64361</v>
      </c>
      <c r="K3660" s="13" t="str">
        <f>IFERROR(__xludf.DUMMYFUNCTION("""COMPUTED_VALUE"""),"Selesai")</f>
        <v>Selesai</v>
      </c>
      <c r="L3660" s="17">
        <f>IFERROR(__xludf.DUMMYFUNCTION("""COMPUTED_VALUE"""),45904.6436090162)</f>
        <v>45904.64361</v>
      </c>
      <c r="M3660" s="13"/>
      <c r="N3660" s="13" t="str">
        <f>IFERROR(__xludf.DUMMYFUNCTION("""COMPUTED_VALUE"""),"")</f>
        <v/>
      </c>
      <c r="O3660" s="13" t="str">
        <f t="shared" si="1"/>
        <v/>
      </c>
    </row>
    <row r="3661" ht="22.5" customHeight="1">
      <c r="B3661" s="13">
        <f>IFERROR(__xludf.DUMMYFUNCTION("""COMPUTED_VALUE"""),3656.0)</f>
        <v>3656</v>
      </c>
      <c r="C3661" s="13" t="str">
        <f>IFERROR(__xludf.DUMMYFUNCTION("""COMPUTED_VALUE"""),"M. 862/ Korpri Jaya")</f>
        <v>M. 862/ Korpri Jaya</v>
      </c>
      <c r="D3661" s="13" t="str">
        <f>IFERROR(__xludf.DUMMYFUNCTION("""COMPUTED_VALUE"""),"K/21/180725/1")</f>
        <v>K/21/180725/1</v>
      </c>
      <c r="E3661" s="14" t="str">
        <f>IFERROR(__xludf.DUMMYFUNCTION("""COMPUTED_VALUE"""),"Heri (BT)")</f>
        <v>Heri (BT)</v>
      </c>
      <c r="F3661" s="14" t="str">
        <f>IFERROR(__xludf.DUMMYFUNCTION("""COMPUTED_VALUE"""),"SELESAI (VIA PERMOHONAN)")</f>
        <v>SELESAI (VIA PERMOHONAN)</v>
      </c>
      <c r="G3661" s="17">
        <f>IFERROR(__xludf.DUMMYFUNCTION("""COMPUTED_VALUE"""),45904.54982003472)</f>
        <v>45904.54982</v>
      </c>
      <c r="H3661" s="14" t="str">
        <f>IFERROR(__xludf.DUMMYFUNCTION("""COMPUTED_VALUE"""),"Eci (SU)")</f>
        <v>Eci (SU)</v>
      </c>
      <c r="I3661" s="13" t="str">
        <f>IFERROR(__xludf.DUMMYFUNCTION("""COMPUTED_VALUE"""),"SELESAI (VIA PERMOHONAN)")</f>
        <v>SELESAI (VIA PERMOHONAN)</v>
      </c>
      <c r="J3661" s="17">
        <f>IFERROR(__xludf.DUMMYFUNCTION("""COMPUTED_VALUE"""),45904.64350666667)</f>
        <v>45904.64351</v>
      </c>
      <c r="K3661" s="13" t="str">
        <f>IFERROR(__xludf.DUMMYFUNCTION("""COMPUTED_VALUE"""),"Selesai")</f>
        <v>Selesai</v>
      </c>
      <c r="L3661" s="17">
        <f>IFERROR(__xludf.DUMMYFUNCTION("""COMPUTED_VALUE"""),45904.64350666667)</f>
        <v>45904.64351</v>
      </c>
      <c r="M3661" s="13"/>
      <c r="N3661" s="13" t="str">
        <f>IFERROR(__xludf.DUMMYFUNCTION("""COMPUTED_VALUE"""),"")</f>
        <v/>
      </c>
      <c r="O3661" s="13" t="str">
        <f t="shared" si="1"/>
        <v/>
      </c>
    </row>
    <row r="3662" ht="22.5" customHeight="1">
      <c r="B3662" s="13">
        <f>IFERROR(__xludf.DUMMYFUNCTION("""COMPUTED_VALUE"""),3657.0)</f>
        <v>3657</v>
      </c>
      <c r="C3662" s="13" t="str">
        <f>IFERROR(__xludf.DUMMYFUNCTION("""COMPUTED_VALUE"""),"M. 933/ Korpri Jaya")</f>
        <v>M. 933/ Korpri Jaya</v>
      </c>
      <c r="D3662" s="13" t="str">
        <f>IFERROR(__xludf.DUMMYFUNCTION("""COMPUTED_VALUE"""),"K/27/220425/1")</f>
        <v>K/27/220425/1</v>
      </c>
      <c r="E3662" s="14" t="str">
        <f>IFERROR(__xludf.DUMMYFUNCTION("""COMPUTED_VALUE"""),"Heri (BT)")</f>
        <v>Heri (BT)</v>
      </c>
      <c r="F3662" s="14" t="str">
        <f>IFERROR(__xludf.DUMMYFUNCTION("""COMPUTED_VALUE"""),"SELESAI (VIA PERMOHONAN)")</f>
        <v>SELESAI (VIA PERMOHONAN)</v>
      </c>
      <c r="G3662" s="17">
        <f>IFERROR(__xludf.DUMMYFUNCTION("""COMPUTED_VALUE"""),45904.5500137037)</f>
        <v>45904.55001</v>
      </c>
      <c r="H3662" s="14" t="str">
        <f>IFERROR(__xludf.DUMMYFUNCTION("""COMPUTED_VALUE"""),"Eci (SU)")</f>
        <v>Eci (SU)</v>
      </c>
      <c r="I3662" s="13" t="str">
        <f>IFERROR(__xludf.DUMMYFUNCTION("""COMPUTED_VALUE"""),"SELESAI (VIA PERMOHONAN)")</f>
        <v>SELESAI (VIA PERMOHONAN)</v>
      </c>
      <c r="J3662" s="17">
        <f>IFERROR(__xludf.DUMMYFUNCTION("""COMPUTED_VALUE"""),45904.64336579861)</f>
        <v>45904.64337</v>
      </c>
      <c r="K3662" s="13" t="str">
        <f>IFERROR(__xludf.DUMMYFUNCTION("""COMPUTED_VALUE"""),"Selesai")</f>
        <v>Selesai</v>
      </c>
      <c r="L3662" s="17">
        <f>IFERROR(__xludf.DUMMYFUNCTION("""COMPUTED_VALUE"""),45904.64336579861)</f>
        <v>45904.64337</v>
      </c>
      <c r="M3662" s="13"/>
      <c r="N3662" s="13" t="str">
        <f>IFERROR(__xludf.DUMMYFUNCTION("""COMPUTED_VALUE"""),"")</f>
        <v/>
      </c>
      <c r="O3662" s="13" t="str">
        <f t="shared" si="1"/>
        <v/>
      </c>
    </row>
    <row r="3663" ht="22.5" customHeight="1">
      <c r="B3663" s="13">
        <f>IFERROR(__xludf.DUMMYFUNCTION("""COMPUTED_VALUE"""),3658.0)</f>
        <v>3658</v>
      </c>
      <c r="C3663" s="13" t="str">
        <f>IFERROR(__xludf.DUMMYFUNCTION("""COMPUTED_VALUE"""),"M. 915/ Korpri Jaya")</f>
        <v>M. 915/ Korpri Jaya</v>
      </c>
      <c r="D3663" s="13" t="str">
        <f>IFERROR(__xludf.DUMMYFUNCTION("""COMPUTED_VALUE"""),"K/28/160725/1")</f>
        <v>K/28/160725/1</v>
      </c>
      <c r="E3663" s="14" t="str">
        <f>IFERROR(__xludf.DUMMYFUNCTION("""COMPUTED_VALUE"""),"Heri (BT)")</f>
        <v>Heri (BT)</v>
      </c>
      <c r="F3663" s="14" t="str">
        <f>IFERROR(__xludf.DUMMYFUNCTION("""COMPUTED_VALUE"""),"SELESAI (VIA PERMOHONAN)")</f>
        <v>SELESAI (VIA PERMOHONAN)</v>
      </c>
      <c r="G3663" s="17">
        <f>IFERROR(__xludf.DUMMYFUNCTION("""COMPUTED_VALUE"""),45904.55015899306)</f>
        <v>45904.55016</v>
      </c>
      <c r="H3663" s="14" t="str">
        <f>IFERROR(__xludf.DUMMYFUNCTION("""COMPUTED_VALUE"""),"Eci (SU)")</f>
        <v>Eci (SU)</v>
      </c>
      <c r="I3663" s="13" t="str">
        <f>IFERROR(__xludf.DUMMYFUNCTION("""COMPUTED_VALUE"""),"SELESAI (VIA PERMOHONAN)")</f>
        <v>SELESAI (VIA PERMOHONAN)</v>
      </c>
      <c r="J3663" s="17">
        <f>IFERROR(__xludf.DUMMYFUNCTION("""COMPUTED_VALUE"""),45904.64321504629)</f>
        <v>45904.64322</v>
      </c>
      <c r="K3663" s="13" t="str">
        <f>IFERROR(__xludf.DUMMYFUNCTION("""COMPUTED_VALUE"""),"Selesai")</f>
        <v>Selesai</v>
      </c>
      <c r="L3663" s="17">
        <f>IFERROR(__xludf.DUMMYFUNCTION("""COMPUTED_VALUE"""),45904.64321504629)</f>
        <v>45904.64322</v>
      </c>
      <c r="M3663" s="13"/>
      <c r="N3663" s="13" t="str">
        <f>IFERROR(__xludf.DUMMYFUNCTION("""COMPUTED_VALUE"""),"")</f>
        <v/>
      </c>
      <c r="O3663" s="13" t="str">
        <f t="shared" si="1"/>
        <v/>
      </c>
    </row>
    <row r="3664" ht="22.5" customHeight="1">
      <c r="B3664" s="13">
        <f>IFERROR(__xludf.DUMMYFUNCTION("""COMPUTED_VALUE"""),3659.0)</f>
        <v>3659</v>
      </c>
      <c r="C3664" s="13" t="str">
        <f>IFERROR(__xludf.DUMMYFUNCTION("""COMPUTED_VALUE"""),"M. 6043/Tanjung Senang	")</f>
        <v>M. 6043/Tanjung Senang	</v>
      </c>
      <c r="D3664" s="13" t="str">
        <f>IFERROR(__xludf.DUMMYFUNCTION("""COMPUTED_VALUE"""),"K/38/250825/1")</f>
        <v>K/38/250825/1</v>
      </c>
      <c r="E3664" s="14" t="str">
        <f>IFERROR(__xludf.DUMMYFUNCTION("""COMPUTED_VALUE"""),"Heri (BT)")</f>
        <v>Heri (BT)</v>
      </c>
      <c r="F3664" s="14" t="str">
        <f>IFERROR(__xludf.DUMMYFUNCTION("""COMPUTED_VALUE"""),"SELESAI (VIA PERMOHONAN)")</f>
        <v>SELESAI (VIA PERMOHONAN)</v>
      </c>
      <c r="G3664" s="17">
        <f>IFERROR(__xludf.DUMMYFUNCTION("""COMPUTED_VALUE"""),45904.5503566088)</f>
        <v>45904.55036</v>
      </c>
      <c r="H3664" s="14" t="str">
        <f>IFERROR(__xludf.DUMMYFUNCTION("""COMPUTED_VALUE"""),"Eci (SU)")</f>
        <v>Eci (SU)</v>
      </c>
      <c r="I3664" s="13" t="str">
        <f>IFERROR(__xludf.DUMMYFUNCTION("""COMPUTED_VALUE"""),"SELESAI (VIA PERMOHONAN)")</f>
        <v>SELESAI (VIA PERMOHONAN)</v>
      </c>
      <c r="J3664" s="17">
        <f>IFERROR(__xludf.DUMMYFUNCTION("""COMPUTED_VALUE"""),45904.643138125)</f>
        <v>45904.64314</v>
      </c>
      <c r="K3664" s="13" t="str">
        <f>IFERROR(__xludf.DUMMYFUNCTION("""COMPUTED_VALUE"""),"Selesai")</f>
        <v>Selesai</v>
      </c>
      <c r="L3664" s="17">
        <f>IFERROR(__xludf.DUMMYFUNCTION("""COMPUTED_VALUE"""),45904.643138125)</f>
        <v>45904.64314</v>
      </c>
      <c r="M3664" s="13"/>
      <c r="N3664" s="13" t="str">
        <f>IFERROR(__xludf.DUMMYFUNCTION("""COMPUTED_VALUE"""),"")</f>
        <v/>
      </c>
      <c r="O3664" s="13" t="str">
        <f t="shared" si="1"/>
        <v/>
      </c>
    </row>
    <row r="3665" ht="22.5" customHeight="1">
      <c r="B3665" s="13">
        <f>IFERROR(__xludf.DUMMYFUNCTION("""COMPUTED_VALUE"""),3660.0)</f>
        <v>3660</v>
      </c>
      <c r="C3665" s="13" t="str">
        <f>IFERROR(__xludf.DUMMYFUNCTION("""COMPUTED_VALUE"""),"M 941/ BATU PUTUK")</f>
        <v>M 941/ BATU PUTUK</v>
      </c>
      <c r="D3665" s="13" t="str">
        <f>IFERROR(__xludf.DUMMYFUNCTION("""COMPUTED_VALUE"""),"K/8/290825/1")</f>
        <v>K/8/290825/1</v>
      </c>
      <c r="E3665" s="14" t="str">
        <f>IFERROR(__xludf.DUMMYFUNCTION("""COMPUTED_VALUE"""),"Heri (BT)")</f>
        <v>Heri (BT)</v>
      </c>
      <c r="F3665" s="14" t="str">
        <f>IFERROR(__xludf.DUMMYFUNCTION("""COMPUTED_VALUE"""),"SELESAI (VIA PERMOHONAN)")</f>
        <v>SELESAI (VIA PERMOHONAN)</v>
      </c>
      <c r="G3665" s="17">
        <f>IFERROR(__xludf.DUMMYFUNCTION("""COMPUTED_VALUE"""),45904.550665601855)</f>
        <v>45904.55067</v>
      </c>
      <c r="H3665" s="14" t="str">
        <f>IFERROR(__xludf.DUMMYFUNCTION("""COMPUTED_VALUE"""),"Eci (SU)")</f>
        <v>Eci (SU)</v>
      </c>
      <c r="I3665" s="13" t="str">
        <f>IFERROR(__xludf.DUMMYFUNCTION("""COMPUTED_VALUE"""),"SELESAI (VIA PERMOHONAN)")</f>
        <v>SELESAI (VIA PERMOHONAN)</v>
      </c>
      <c r="J3665" s="17">
        <f>IFERROR(__xludf.DUMMYFUNCTION("""COMPUTED_VALUE"""),45904.64307469907)</f>
        <v>45904.64307</v>
      </c>
      <c r="K3665" s="13" t="str">
        <f>IFERROR(__xludf.DUMMYFUNCTION("""COMPUTED_VALUE"""),"Selesai")</f>
        <v>Selesai</v>
      </c>
      <c r="L3665" s="17">
        <f>IFERROR(__xludf.DUMMYFUNCTION("""COMPUTED_VALUE"""),45904.64307469907)</f>
        <v>45904.64307</v>
      </c>
      <c r="M3665" s="13"/>
      <c r="N3665" s="13" t="str">
        <f>IFERROR(__xludf.DUMMYFUNCTION("""COMPUTED_VALUE"""),"")</f>
        <v/>
      </c>
      <c r="O3665" s="13" t="str">
        <f t="shared" si="1"/>
        <v/>
      </c>
    </row>
    <row r="3666" ht="22.5" customHeight="1">
      <c r="B3666" s="13">
        <f>IFERROR(__xludf.DUMMYFUNCTION("""COMPUTED_VALUE"""),3661.0)</f>
        <v>3661</v>
      </c>
      <c r="C3666" s="13" t="str">
        <f>IFERROR(__xludf.DUMMYFUNCTION("""COMPUTED_VALUE"""),"M. 94/Kuripan	")</f>
        <v>M. 94/Kuripan	</v>
      </c>
      <c r="D3666" s="13" t="str">
        <f>IFERROR(__xludf.DUMMYFUNCTION("""COMPUTED_VALUE"""),"K/14/280825/1")</f>
        <v>K/14/280825/1</v>
      </c>
      <c r="E3666" s="14" t="str">
        <f>IFERROR(__xludf.DUMMYFUNCTION("""COMPUTED_VALUE"""),"Heri (BT)")</f>
        <v>Heri (BT)</v>
      </c>
      <c r="F3666" s="14" t="str">
        <f>IFERROR(__xludf.DUMMYFUNCTION("""COMPUTED_VALUE"""),"SELESAI (VIA PERMOHONAN)")</f>
        <v>SELESAI (VIA PERMOHONAN)</v>
      </c>
      <c r="G3666" s="17">
        <f>IFERROR(__xludf.DUMMYFUNCTION("""COMPUTED_VALUE"""),45904.5508137037)</f>
        <v>45904.55081</v>
      </c>
      <c r="H3666" s="14" t="str">
        <f>IFERROR(__xludf.DUMMYFUNCTION("""COMPUTED_VALUE"""),"Eci (SU)")</f>
        <v>Eci (SU)</v>
      </c>
      <c r="I3666" s="13" t="str">
        <f>IFERROR(__xludf.DUMMYFUNCTION("""COMPUTED_VALUE"""),"SELESAI (VIA PERMOHONAN)")</f>
        <v>SELESAI (VIA PERMOHONAN)</v>
      </c>
      <c r="J3666" s="17">
        <f>IFERROR(__xludf.DUMMYFUNCTION("""COMPUTED_VALUE"""),45908.58967752315)</f>
        <v>45908.58968</v>
      </c>
      <c r="K3666" s="13" t="str">
        <f>IFERROR(__xludf.DUMMYFUNCTION("""COMPUTED_VALUE"""),"Selesai")</f>
        <v>Selesai</v>
      </c>
      <c r="L3666" s="17">
        <f>IFERROR(__xludf.DUMMYFUNCTION("""COMPUTED_VALUE"""),45908.58967752315)</f>
        <v>45908.58968</v>
      </c>
      <c r="M3666" s="13"/>
      <c r="N3666" s="13" t="str">
        <f>IFERROR(__xludf.DUMMYFUNCTION("""COMPUTED_VALUE"""),"")</f>
        <v/>
      </c>
      <c r="O3666" s="13" t="str">
        <f t="shared" si="1"/>
        <v/>
      </c>
    </row>
    <row r="3667" ht="22.5" customHeight="1">
      <c r="B3667" s="13">
        <f>IFERROR(__xludf.DUMMYFUNCTION("""COMPUTED_VALUE"""),3662.0)</f>
        <v>3662</v>
      </c>
      <c r="C3667" s="13" t="str">
        <f>IFERROR(__xludf.DUMMYFUNCTION("""COMPUTED_VALUE"""),"M. 13064/RAJABASA")</f>
        <v>M. 13064/RAJABASA</v>
      </c>
      <c r="D3667" s="13" t="str">
        <f>IFERROR(__xludf.DUMMYFUNCTION("""COMPUTED_VALUE"""),"L/14/150825/1")</f>
        <v>L/14/150825/1</v>
      </c>
      <c r="E3667" s="14" t="str">
        <f>IFERROR(__xludf.DUMMYFUNCTION("""COMPUTED_VALUE"""),"Heri (BT)")</f>
        <v>Heri (BT)</v>
      </c>
      <c r="F3667" s="14" t="str">
        <f>IFERROR(__xludf.DUMMYFUNCTION("""COMPUTED_VALUE"""),"SELESAI (VIA PERMOHONAN)")</f>
        <v>SELESAI (VIA PERMOHONAN)</v>
      </c>
      <c r="G3667" s="17">
        <f>IFERROR(__xludf.DUMMYFUNCTION("""COMPUTED_VALUE"""),45904.55096263889)</f>
        <v>45904.55096</v>
      </c>
      <c r="H3667" s="14" t="str">
        <f>IFERROR(__xludf.DUMMYFUNCTION("""COMPUTED_VALUE"""),"Eci (SU)")</f>
        <v>Eci (SU)</v>
      </c>
      <c r="I3667" s="13" t="str">
        <f>IFERROR(__xludf.DUMMYFUNCTION("""COMPUTED_VALUE"""),"SELESAI (VIA PERMOHONAN)")</f>
        <v>SELESAI (VIA PERMOHONAN)</v>
      </c>
      <c r="J3667" s="17">
        <f>IFERROR(__xludf.DUMMYFUNCTION("""COMPUTED_VALUE"""),45908.58941077546)</f>
        <v>45908.58941</v>
      </c>
      <c r="K3667" s="13" t="str">
        <f>IFERROR(__xludf.DUMMYFUNCTION("""COMPUTED_VALUE"""),"Selesai")</f>
        <v>Selesai</v>
      </c>
      <c r="L3667" s="17">
        <f>IFERROR(__xludf.DUMMYFUNCTION("""COMPUTED_VALUE"""),45908.58941077546)</f>
        <v>45908.58941</v>
      </c>
      <c r="M3667" s="13"/>
      <c r="N3667" s="13" t="str">
        <f>IFERROR(__xludf.DUMMYFUNCTION("""COMPUTED_VALUE"""),"")</f>
        <v/>
      </c>
      <c r="O3667" s="13" t="str">
        <f t="shared" si="1"/>
        <v/>
      </c>
    </row>
    <row r="3668" ht="22.5" customHeight="1">
      <c r="B3668" s="13">
        <f>IFERROR(__xludf.DUMMYFUNCTION("""COMPUTED_VALUE"""),3663.0)</f>
        <v>3663</v>
      </c>
      <c r="C3668" s="13" t="str">
        <f>IFERROR(__xludf.DUMMYFUNCTION("""COMPUTED_VALUE"""),"M. 11381/KEDAMAIAN")</f>
        <v>M. 11381/KEDAMAIAN</v>
      </c>
      <c r="D3668" s="13" t="str">
        <f>IFERROR(__xludf.DUMMYFUNCTION("""COMPUTED_VALUE"""),"K/29/190825/1")</f>
        <v>K/29/190825/1</v>
      </c>
      <c r="E3668" s="14" t="str">
        <f>IFERROR(__xludf.DUMMYFUNCTION("""COMPUTED_VALUE"""),"Heri (BT)")</f>
        <v>Heri (BT)</v>
      </c>
      <c r="F3668" s="14" t="str">
        <f>IFERROR(__xludf.DUMMYFUNCTION("""COMPUTED_VALUE"""),"SELESAI (VIA PERMOHONAN)")</f>
        <v>SELESAI (VIA PERMOHONAN)</v>
      </c>
      <c r="G3668" s="17">
        <f>IFERROR(__xludf.DUMMYFUNCTION("""COMPUTED_VALUE"""),45904.5511140625)</f>
        <v>45904.55111</v>
      </c>
      <c r="H3668" s="14" t="str">
        <f>IFERROR(__xludf.DUMMYFUNCTION("""COMPUTED_VALUE"""),"Eci (SU)")</f>
        <v>Eci (SU)</v>
      </c>
      <c r="I3668" s="13" t="str">
        <f>IFERROR(__xludf.DUMMYFUNCTION("""COMPUTED_VALUE"""),"SELESAI (VIA PERMOHONAN)")</f>
        <v>SELESAI (VIA PERMOHONAN)</v>
      </c>
      <c r="J3668" s="17">
        <f>IFERROR(__xludf.DUMMYFUNCTION("""COMPUTED_VALUE"""),45908.58889462963)</f>
        <v>45908.58889</v>
      </c>
      <c r="K3668" s="13" t="str">
        <f>IFERROR(__xludf.DUMMYFUNCTION("""COMPUTED_VALUE"""),"Selesai")</f>
        <v>Selesai</v>
      </c>
      <c r="L3668" s="17">
        <f>IFERROR(__xludf.DUMMYFUNCTION("""COMPUTED_VALUE"""),45908.58889462963)</f>
        <v>45908.58889</v>
      </c>
      <c r="M3668" s="13"/>
      <c r="N3668" s="13" t="str">
        <f>IFERROR(__xludf.DUMMYFUNCTION("""COMPUTED_VALUE"""),"")</f>
        <v/>
      </c>
      <c r="O3668" s="13" t="str">
        <f t="shared" si="1"/>
        <v/>
      </c>
    </row>
    <row r="3669" ht="22.5" customHeight="1">
      <c r="B3669" s="13">
        <f>IFERROR(__xludf.DUMMYFUNCTION("""COMPUTED_VALUE"""),3664.0)</f>
        <v>3664</v>
      </c>
      <c r="C3669" s="13" t="str">
        <f>IFERROR(__xludf.DUMMYFUNCTION("""COMPUTED_VALUE"""),"SHM. 14777/SUKARAME ")</f>
        <v>SHM. 14777/SUKARAME </v>
      </c>
      <c r="D3669" s="13" t="str">
        <f>IFERROR(__xludf.DUMMYFUNCTION("""COMPUTED_VALUE"""),"L/38/150825/1")</f>
        <v>L/38/150825/1</v>
      </c>
      <c r="E3669" s="14" t="str">
        <f>IFERROR(__xludf.DUMMYFUNCTION("""COMPUTED_VALUE"""),"Heri (BT)")</f>
        <v>Heri (BT)</v>
      </c>
      <c r="F3669" s="14" t="str">
        <f>IFERROR(__xludf.DUMMYFUNCTION("""COMPUTED_VALUE"""),"SELESAI (VIA PERMOHONAN)")</f>
        <v>SELESAI (VIA PERMOHONAN)</v>
      </c>
      <c r="G3669" s="17">
        <f>IFERROR(__xludf.DUMMYFUNCTION("""COMPUTED_VALUE"""),45904.55126813657)</f>
        <v>45904.55127</v>
      </c>
      <c r="H3669" s="14" t="str">
        <f>IFERROR(__xludf.DUMMYFUNCTION("""COMPUTED_VALUE"""),"Eci (SU)")</f>
        <v>Eci (SU)</v>
      </c>
      <c r="I3669" s="13" t="str">
        <f>IFERROR(__xludf.DUMMYFUNCTION("""COMPUTED_VALUE"""),"SELESAI (VIA PERMOHONAN)")</f>
        <v>SELESAI (VIA PERMOHONAN)</v>
      </c>
      <c r="J3669" s="17">
        <f>IFERROR(__xludf.DUMMYFUNCTION("""COMPUTED_VALUE"""),45908.58914930555)</f>
        <v>45908.58915</v>
      </c>
      <c r="K3669" s="13" t="str">
        <f>IFERROR(__xludf.DUMMYFUNCTION("""COMPUTED_VALUE"""),"Selesai")</f>
        <v>Selesai</v>
      </c>
      <c r="L3669" s="17">
        <f>IFERROR(__xludf.DUMMYFUNCTION("""COMPUTED_VALUE"""),45908.58914930555)</f>
        <v>45908.58915</v>
      </c>
      <c r="M3669" s="13"/>
      <c r="N3669" s="13" t="str">
        <f>IFERROR(__xludf.DUMMYFUNCTION("""COMPUTED_VALUE"""),"")</f>
        <v/>
      </c>
      <c r="O3669" s="13" t="str">
        <f t="shared" si="1"/>
        <v/>
      </c>
    </row>
    <row r="3670" ht="22.5" customHeight="1">
      <c r="B3670" s="13">
        <f>IFERROR(__xludf.DUMMYFUNCTION("""COMPUTED_VALUE"""),3665.0)</f>
        <v>3665</v>
      </c>
      <c r="C3670" s="13" t="str">
        <f>IFERROR(__xludf.DUMMYFUNCTION("""COMPUTED_VALUE"""),"SHM 5064/Tanjung Senang")</f>
        <v>SHM 5064/Tanjung Senang</v>
      </c>
      <c r="D3670" s="13" t="str">
        <f>IFERROR(__xludf.DUMMYFUNCTION("""COMPUTED_VALUE"""),"K/21/150825/3")</f>
        <v>K/21/150825/3</v>
      </c>
      <c r="E3670" s="14" t="str">
        <f>IFERROR(__xludf.DUMMYFUNCTION("""COMPUTED_VALUE"""),"Admin (Migrasi)")</f>
        <v>Admin (Migrasi)</v>
      </c>
      <c r="F3670" s="14" t="str">
        <f>IFERROR(__xludf.DUMMYFUNCTION("""COMPUTED_VALUE"""),"SELESAI (VIA PERMOHONAN)")</f>
        <v>SELESAI (VIA PERMOHONAN)</v>
      </c>
      <c r="G3670" s="17">
        <f>IFERROR(__xludf.DUMMYFUNCTION("""COMPUTED_VALUE"""),45904.597176006944)</f>
        <v>45904.59718</v>
      </c>
      <c r="H3670" s="14" t="str">
        <f>IFERROR(__xludf.DUMMYFUNCTION("""COMPUTED_VALUE"""),"Admin (Migrasi)")</f>
        <v>Admin (Migrasi)</v>
      </c>
      <c r="I3670" s="13" t="str">
        <f>IFERROR(__xludf.DUMMYFUNCTION("""COMPUTED_VALUE"""),"SELESAI (VIA PERMOHONAN)")</f>
        <v>SELESAI (VIA PERMOHONAN)</v>
      </c>
      <c r="J3670" s="17">
        <f>IFERROR(__xludf.DUMMYFUNCTION("""COMPUTED_VALUE"""),45904.597176006944)</f>
        <v>45904.59718</v>
      </c>
      <c r="K3670" s="13" t="str">
        <f>IFERROR(__xludf.DUMMYFUNCTION("""COMPUTED_VALUE"""),"Selesai")</f>
        <v>Selesai</v>
      </c>
      <c r="L3670" s="17">
        <f>IFERROR(__xludf.DUMMYFUNCTION("""COMPUTED_VALUE"""),45904.597176006944)</f>
        <v>45904.59718</v>
      </c>
      <c r="M3670" s="13"/>
      <c r="N3670" s="13" t="str">
        <f>IFERROR(__xludf.DUMMYFUNCTION("""COMPUTED_VALUE"""),"")</f>
        <v/>
      </c>
      <c r="O3670" s="13" t="str">
        <f t="shared" si="1"/>
        <v/>
      </c>
    </row>
    <row r="3671" ht="22.5" customHeight="1">
      <c r="B3671" s="13">
        <f>IFERROR(__xludf.DUMMYFUNCTION("""COMPUTED_VALUE"""),3666.0)</f>
        <v>3666</v>
      </c>
      <c r="C3671" s="13" t="str">
        <f>IFERROR(__xludf.DUMMYFUNCTION("""COMPUTED_VALUE"""),"B.4751/SUKARAME")</f>
        <v>B.4751/SUKARAME</v>
      </c>
      <c r="D3671" s="13" t="str">
        <f>IFERROR(__xludf.DUMMYFUNCTION("""COMPUTED_VALUE"""),"K/54/210825/1")</f>
        <v>K/54/210825/1</v>
      </c>
      <c r="E3671" s="14" t="str">
        <f>IFERROR(__xludf.DUMMYFUNCTION("""COMPUTED_VALUE"""),"Admin (Migrasi)")</f>
        <v>Admin (Migrasi)</v>
      </c>
      <c r="F3671" s="14" t="str">
        <f>IFERROR(__xludf.DUMMYFUNCTION("""COMPUTED_VALUE"""),"SELESAI (VIA PERMOHONAN)")</f>
        <v>SELESAI (VIA PERMOHONAN)</v>
      </c>
      <c r="G3671" s="17">
        <f>IFERROR(__xludf.DUMMYFUNCTION("""COMPUTED_VALUE"""),45904.59734699074)</f>
        <v>45904.59735</v>
      </c>
      <c r="H3671" s="14" t="str">
        <f>IFERROR(__xludf.DUMMYFUNCTION("""COMPUTED_VALUE"""),"Admin (Migrasi)")</f>
        <v>Admin (Migrasi)</v>
      </c>
      <c r="I3671" s="13" t="str">
        <f>IFERROR(__xludf.DUMMYFUNCTION("""COMPUTED_VALUE"""),"SELESAI (VIA PERMOHONAN)")</f>
        <v>SELESAI (VIA PERMOHONAN)</v>
      </c>
      <c r="J3671" s="17">
        <f>IFERROR(__xludf.DUMMYFUNCTION("""COMPUTED_VALUE"""),45904.59741918981)</f>
        <v>45904.59742</v>
      </c>
      <c r="K3671" s="13" t="str">
        <f>IFERROR(__xludf.DUMMYFUNCTION("""COMPUTED_VALUE"""),"Selesai")</f>
        <v>Selesai</v>
      </c>
      <c r="L3671" s="17">
        <f>IFERROR(__xludf.DUMMYFUNCTION("""COMPUTED_VALUE"""),45904.59741918981)</f>
        <v>45904.59742</v>
      </c>
      <c r="M3671" s="13"/>
      <c r="N3671" s="13" t="str">
        <f>IFERROR(__xludf.DUMMYFUNCTION("""COMPUTED_VALUE"""),"")</f>
        <v/>
      </c>
      <c r="O3671" s="13" t="str">
        <f t="shared" si="1"/>
        <v/>
      </c>
    </row>
    <row r="3672" ht="22.5" customHeight="1">
      <c r="B3672" s="13">
        <f>IFERROR(__xludf.DUMMYFUNCTION("""COMPUTED_VALUE"""),3667.0)</f>
        <v>3667</v>
      </c>
      <c r="C3672" s="13" t="str">
        <f>IFERROR(__xludf.DUMMYFUNCTION("""COMPUTED_VALUE"""),"M. 4632/RAJABASA JAYA")</f>
        <v>M. 4632/RAJABASA JAYA</v>
      </c>
      <c r="D3672" s="13" t="str">
        <f>IFERROR(__xludf.DUMMYFUNCTION("""COMPUTED_VALUE"""),"K/7/140825/1")</f>
        <v>K/7/140825/1</v>
      </c>
      <c r="E3672" s="14" t="str">
        <f>IFERROR(__xludf.DUMMYFUNCTION("""COMPUTED_VALUE"""),"Admin (Migrasi)")</f>
        <v>Admin (Migrasi)</v>
      </c>
      <c r="F3672" s="14" t="str">
        <f>IFERROR(__xludf.DUMMYFUNCTION("""COMPUTED_VALUE"""),"SELESAI (VIA PERMOHONAN)")</f>
        <v>SELESAI (VIA PERMOHONAN)</v>
      </c>
      <c r="G3672" s="17">
        <f>IFERROR(__xludf.DUMMYFUNCTION("""COMPUTED_VALUE"""),45904.59752510417)</f>
        <v>45904.59753</v>
      </c>
      <c r="H3672" s="14" t="str">
        <f>IFERROR(__xludf.DUMMYFUNCTION("""COMPUTED_VALUE"""),"Admin (Migrasi)")</f>
        <v>Admin (Migrasi)</v>
      </c>
      <c r="I3672" s="13" t="str">
        <f>IFERROR(__xludf.DUMMYFUNCTION("""COMPUTED_VALUE"""),"SELESAI (VIA PERMOHONAN)")</f>
        <v>SELESAI (VIA PERMOHONAN)</v>
      </c>
      <c r="J3672" s="17">
        <f>IFERROR(__xludf.DUMMYFUNCTION("""COMPUTED_VALUE"""),45904.59759721065)</f>
        <v>45904.5976</v>
      </c>
      <c r="K3672" s="13" t="str">
        <f>IFERROR(__xludf.DUMMYFUNCTION("""COMPUTED_VALUE"""),"Selesai")</f>
        <v>Selesai</v>
      </c>
      <c r="L3672" s="17">
        <f>IFERROR(__xludf.DUMMYFUNCTION("""COMPUTED_VALUE"""),45904.59759721065)</f>
        <v>45904.5976</v>
      </c>
      <c r="M3672" s="13"/>
      <c r="N3672" s="13" t="str">
        <f>IFERROR(__xludf.DUMMYFUNCTION("""COMPUTED_VALUE"""),"")</f>
        <v/>
      </c>
      <c r="O3672" s="13" t="str">
        <f t="shared" si="1"/>
        <v/>
      </c>
    </row>
    <row r="3673" ht="22.5" customHeight="1">
      <c r="B3673" s="13">
        <f>IFERROR(__xludf.DUMMYFUNCTION("""COMPUTED_VALUE"""),3668.0)</f>
        <v>3668</v>
      </c>
      <c r="C3673" s="13" t="str">
        <f>IFERROR(__xludf.DUMMYFUNCTION("""COMPUTED_VALUE"""),"B. 1326/NOG")</f>
        <v>B. 1326/NOG</v>
      </c>
      <c r="D3673" s="13" t="str">
        <f>IFERROR(__xludf.DUMMYFUNCTION("""COMPUTED_VALUE"""),"K/22/140825/2")</f>
        <v>K/22/140825/2</v>
      </c>
      <c r="E3673" s="14" t="str">
        <f>IFERROR(__xludf.DUMMYFUNCTION("""COMPUTED_VALUE"""),"Admin (Migrasi)")</f>
        <v>Admin (Migrasi)</v>
      </c>
      <c r="F3673" s="14" t="str">
        <f>IFERROR(__xludf.DUMMYFUNCTION("""COMPUTED_VALUE"""),"SELESAI (VIA PERMOHONAN)")</f>
        <v>SELESAI (VIA PERMOHONAN)</v>
      </c>
      <c r="G3673" s="17">
        <f>IFERROR(__xludf.DUMMYFUNCTION("""COMPUTED_VALUE"""),45904.597701770836)</f>
        <v>45904.5977</v>
      </c>
      <c r="H3673" s="14" t="str">
        <f>IFERROR(__xludf.DUMMYFUNCTION("""COMPUTED_VALUE"""),"Admin (Migrasi)")</f>
        <v>Admin (Migrasi)</v>
      </c>
      <c r="I3673" s="13" t="str">
        <f>IFERROR(__xludf.DUMMYFUNCTION("""COMPUTED_VALUE"""),"SELESAI (VIA PERMOHONAN)")</f>
        <v>SELESAI (VIA PERMOHONAN)</v>
      </c>
      <c r="J3673" s="17">
        <f>IFERROR(__xludf.DUMMYFUNCTION("""COMPUTED_VALUE"""),45904.597751215275)</f>
        <v>45904.59775</v>
      </c>
      <c r="K3673" s="13" t="str">
        <f>IFERROR(__xludf.DUMMYFUNCTION("""COMPUTED_VALUE"""),"Selesai")</f>
        <v>Selesai</v>
      </c>
      <c r="L3673" s="17">
        <f>IFERROR(__xludf.DUMMYFUNCTION("""COMPUTED_VALUE"""),45904.597751215275)</f>
        <v>45904.59775</v>
      </c>
      <c r="M3673" s="13"/>
      <c r="N3673" s="13" t="str">
        <f>IFERROR(__xludf.DUMMYFUNCTION("""COMPUTED_VALUE"""),"")</f>
        <v/>
      </c>
      <c r="O3673" s="13" t="str">
        <f t="shared" si="1"/>
        <v/>
      </c>
    </row>
    <row r="3674" ht="22.5" customHeight="1">
      <c r="B3674" s="13">
        <f>IFERROR(__xludf.DUMMYFUNCTION("""COMPUTED_VALUE"""),3669.0)</f>
        <v>3669</v>
      </c>
      <c r="C3674" s="13" t="str">
        <f>IFERROR(__xludf.DUMMYFUNCTION("""COMPUTED_VALUE"""),"M. 438/PEMATANG WANGI")</f>
        <v>M. 438/PEMATANG WANGI</v>
      </c>
      <c r="D3674" s="13" t="str">
        <f>IFERROR(__xludf.DUMMYFUNCTION("""COMPUTED_VALUE"""),"K/7/210825/1")</f>
        <v>K/7/210825/1</v>
      </c>
      <c r="E3674" s="14" t="str">
        <f>IFERROR(__xludf.DUMMYFUNCTION("""COMPUTED_VALUE"""),"Admin (Migrasi)")</f>
        <v>Admin (Migrasi)</v>
      </c>
      <c r="F3674" s="14" t="str">
        <f>IFERROR(__xludf.DUMMYFUNCTION("""COMPUTED_VALUE"""),"SELESAI (VIA PERMOHONAN)")</f>
        <v>SELESAI (VIA PERMOHONAN)</v>
      </c>
      <c r="G3674" s="17">
        <f>IFERROR(__xludf.DUMMYFUNCTION("""COMPUTED_VALUE"""),45908.379506909725)</f>
        <v>45908.37951</v>
      </c>
      <c r="H3674" s="14" t="str">
        <f>IFERROR(__xludf.DUMMYFUNCTION("""COMPUTED_VALUE"""),"Admin (Migrasi)")</f>
        <v>Admin (Migrasi)</v>
      </c>
      <c r="I3674" s="13" t="str">
        <f>IFERROR(__xludf.DUMMYFUNCTION("""COMPUTED_VALUE"""),"SELESAI (VIA PERMOHONAN)")</f>
        <v>SELESAI (VIA PERMOHONAN)</v>
      </c>
      <c r="J3674" s="17">
        <f>IFERROR(__xludf.DUMMYFUNCTION("""COMPUTED_VALUE"""),45908.37952731481)</f>
        <v>45908.37953</v>
      </c>
      <c r="K3674" s="13" t="str">
        <f>IFERROR(__xludf.DUMMYFUNCTION("""COMPUTED_VALUE"""),"Selesai")</f>
        <v>Selesai</v>
      </c>
      <c r="L3674" s="17">
        <f>IFERROR(__xludf.DUMMYFUNCTION("""COMPUTED_VALUE"""),45908.37952731481)</f>
        <v>45908.37953</v>
      </c>
      <c r="M3674" s="13"/>
      <c r="N3674" s="13" t="str">
        <f>IFERROR(__xludf.DUMMYFUNCTION("""COMPUTED_VALUE"""),"")</f>
        <v/>
      </c>
      <c r="O3674" s="13" t="str">
        <f t="shared" si="1"/>
        <v/>
      </c>
    </row>
    <row r="3675" ht="22.5" customHeight="1">
      <c r="B3675" s="13">
        <f>IFERROR(__xludf.DUMMYFUNCTION("""COMPUTED_VALUE"""),3670.0)</f>
        <v>3670</v>
      </c>
      <c r="C3675" s="13" t="str">
        <f>IFERROR(__xludf.DUMMYFUNCTION("""COMPUTED_VALUE"""),"M. 1412/ PESAWAHAN")</f>
        <v>M. 1412/ PESAWAHAN</v>
      </c>
      <c r="D3675" s="13" t="str">
        <f>IFERROR(__xludf.DUMMYFUNCTION("""COMPUTED_VALUE"""),"K/15/190825/2")</f>
        <v>K/15/190825/2</v>
      </c>
      <c r="E3675" s="14" t="str">
        <f>IFERROR(__xludf.DUMMYFUNCTION("""COMPUTED_VALUE"""),"Admin (Migrasi)")</f>
        <v>Admin (Migrasi)</v>
      </c>
      <c r="F3675" s="14" t="str">
        <f>IFERROR(__xludf.DUMMYFUNCTION("""COMPUTED_VALUE"""),"SELESAI (VIA PERMOHONAN)")</f>
        <v>SELESAI (VIA PERMOHONAN)</v>
      </c>
      <c r="G3675" s="17">
        <f>IFERROR(__xludf.DUMMYFUNCTION("""COMPUTED_VALUE"""),45908.37968922454)</f>
        <v>45908.37969</v>
      </c>
      <c r="H3675" s="14" t="str">
        <f>IFERROR(__xludf.DUMMYFUNCTION("""COMPUTED_VALUE"""),"Admin (Migrasi)")</f>
        <v>Admin (Migrasi)</v>
      </c>
      <c r="I3675" s="13" t="str">
        <f>IFERROR(__xludf.DUMMYFUNCTION("""COMPUTED_VALUE"""),"SELESAI (VIA PERMOHONAN)")</f>
        <v>SELESAI (VIA PERMOHONAN)</v>
      </c>
      <c r="J3675" s="17">
        <f>IFERROR(__xludf.DUMMYFUNCTION("""COMPUTED_VALUE"""),45908.379722349535)</f>
        <v>45908.37972</v>
      </c>
      <c r="K3675" s="13" t="str">
        <f>IFERROR(__xludf.DUMMYFUNCTION("""COMPUTED_VALUE"""),"Selesai")</f>
        <v>Selesai</v>
      </c>
      <c r="L3675" s="17">
        <f>IFERROR(__xludf.DUMMYFUNCTION("""COMPUTED_VALUE"""),45908.379722349535)</f>
        <v>45908.37972</v>
      </c>
      <c r="M3675" s="13"/>
      <c r="N3675" s="13" t="str">
        <f>IFERROR(__xludf.DUMMYFUNCTION("""COMPUTED_VALUE"""),"")</f>
        <v/>
      </c>
      <c r="O3675" s="13" t="str">
        <f t="shared" si="1"/>
        <v/>
      </c>
    </row>
    <row r="3676" ht="22.5" customHeight="1">
      <c r="B3676" s="13">
        <f>IFERROR(__xludf.DUMMYFUNCTION("""COMPUTED_VALUE"""),3671.0)</f>
        <v>3671</v>
      </c>
      <c r="C3676" s="13" t="str">
        <f>IFERROR(__xludf.DUMMYFUNCTION("""COMPUTED_VALUE"""),"B 163/ KOTA KARANG")</f>
        <v>B 163/ KOTA KARANG</v>
      </c>
      <c r="D3676" s="13" t="str">
        <f>IFERROR(__xludf.DUMMYFUNCTION("""COMPUTED_VALUE"""),"K/46/220825/2")</f>
        <v>K/46/220825/2</v>
      </c>
      <c r="E3676" s="14" t="str">
        <f>IFERROR(__xludf.DUMMYFUNCTION("""COMPUTED_VALUE"""),"Admin (Migrasi)")</f>
        <v>Admin (Migrasi)</v>
      </c>
      <c r="F3676" s="14" t="str">
        <f>IFERROR(__xludf.DUMMYFUNCTION("""COMPUTED_VALUE"""),"SELESAI (VIA PERMOHONAN)")</f>
        <v>SELESAI (VIA PERMOHONAN)</v>
      </c>
      <c r="G3676" s="17">
        <f>IFERROR(__xludf.DUMMYFUNCTION("""COMPUTED_VALUE"""),45908.37994508102)</f>
        <v>45908.37995</v>
      </c>
      <c r="H3676" s="14" t="str">
        <f>IFERROR(__xludf.DUMMYFUNCTION("""COMPUTED_VALUE"""),"Admin (Migrasi)")</f>
        <v>Admin (Migrasi)</v>
      </c>
      <c r="I3676" s="13" t="str">
        <f>IFERROR(__xludf.DUMMYFUNCTION("""COMPUTED_VALUE"""),"SELESAI (VIA PERMOHONAN)")</f>
        <v>SELESAI (VIA PERMOHONAN)</v>
      </c>
      <c r="J3676" s="17">
        <f>IFERROR(__xludf.DUMMYFUNCTION("""COMPUTED_VALUE"""),45908.379973877316)</f>
        <v>45908.37997</v>
      </c>
      <c r="K3676" s="13" t="str">
        <f>IFERROR(__xludf.DUMMYFUNCTION("""COMPUTED_VALUE"""),"Selesai")</f>
        <v>Selesai</v>
      </c>
      <c r="L3676" s="17">
        <f>IFERROR(__xludf.DUMMYFUNCTION("""COMPUTED_VALUE"""),45908.379973877316)</f>
        <v>45908.37997</v>
      </c>
      <c r="M3676" s="13"/>
      <c r="N3676" s="13" t="str">
        <f>IFERROR(__xludf.DUMMYFUNCTION("""COMPUTED_VALUE"""),"")</f>
        <v/>
      </c>
      <c r="O3676" s="13" t="str">
        <f t="shared" si="1"/>
        <v/>
      </c>
    </row>
    <row r="3677" ht="22.5" customHeight="1">
      <c r="B3677" s="13">
        <f>IFERROR(__xludf.DUMMYFUNCTION("""COMPUTED_VALUE"""),3672.0)</f>
        <v>3672</v>
      </c>
      <c r="C3677" s="13" t="str">
        <f>IFERROR(__xludf.DUMMYFUNCTION("""COMPUTED_VALUE"""),"B 161/ KOTA KARANG")</f>
        <v>B 161/ KOTA KARANG</v>
      </c>
      <c r="D3677" s="13" t="str">
        <f>IFERROR(__xludf.DUMMYFUNCTION("""COMPUTED_VALUE"""),"K/45/220825/1")</f>
        <v>K/45/220825/1</v>
      </c>
      <c r="E3677" s="14" t="str">
        <f>IFERROR(__xludf.DUMMYFUNCTION("""COMPUTED_VALUE"""),"Admin (Migrasi)")</f>
        <v>Admin (Migrasi)</v>
      </c>
      <c r="F3677" s="14" t="str">
        <f>IFERROR(__xludf.DUMMYFUNCTION("""COMPUTED_VALUE"""),"SELESAI (VIA PERMOHONAN)")</f>
        <v>SELESAI (VIA PERMOHONAN)</v>
      </c>
      <c r="G3677" s="17">
        <f>IFERROR(__xludf.DUMMYFUNCTION("""COMPUTED_VALUE"""),45908.38024594907)</f>
        <v>45908.38025</v>
      </c>
      <c r="H3677" s="14" t="str">
        <f>IFERROR(__xludf.DUMMYFUNCTION("""COMPUTED_VALUE"""),"Admin (Migrasi)")</f>
        <v>Admin (Migrasi)</v>
      </c>
      <c r="I3677" s="13" t="str">
        <f>IFERROR(__xludf.DUMMYFUNCTION("""COMPUTED_VALUE"""),"SELESAI (VIA PERMOHONAN)")</f>
        <v>SELESAI (VIA PERMOHONAN)</v>
      </c>
      <c r="J3677" s="17">
        <f>IFERROR(__xludf.DUMMYFUNCTION("""COMPUTED_VALUE"""),45908.38027310185)</f>
        <v>45908.38027</v>
      </c>
      <c r="K3677" s="13" t="str">
        <f>IFERROR(__xludf.DUMMYFUNCTION("""COMPUTED_VALUE"""),"Selesai")</f>
        <v>Selesai</v>
      </c>
      <c r="L3677" s="17">
        <f>IFERROR(__xludf.DUMMYFUNCTION("""COMPUTED_VALUE"""),45908.38027310185)</f>
        <v>45908.38027</v>
      </c>
      <c r="M3677" s="13"/>
      <c r="N3677" s="13" t="str">
        <f>IFERROR(__xludf.DUMMYFUNCTION("""COMPUTED_VALUE"""),"")</f>
        <v/>
      </c>
      <c r="O3677" s="13" t="str">
        <f t="shared" si="1"/>
        <v/>
      </c>
    </row>
    <row r="3678" ht="22.5" customHeight="1">
      <c r="B3678" s="13">
        <f>IFERROR(__xludf.DUMMYFUNCTION("""COMPUTED_VALUE"""),3673.0)</f>
        <v>3673</v>
      </c>
      <c r="C3678" s="13" t="str">
        <f>IFERROR(__xludf.DUMMYFUNCTION("""COMPUTED_VALUE"""),"M. 1187/Serengsem")</f>
        <v>M. 1187/Serengsem</v>
      </c>
      <c r="D3678" s="13" t="str">
        <f>IFERROR(__xludf.DUMMYFUNCTION("""COMPUTED_VALUE"""),"K/22/110825/3")</f>
        <v>K/22/110825/3</v>
      </c>
      <c r="E3678" s="14" t="str">
        <f>IFERROR(__xludf.DUMMYFUNCTION("""COMPUTED_VALUE"""),"Admin (Migrasi)")</f>
        <v>Admin (Migrasi)</v>
      </c>
      <c r="F3678" s="14" t="str">
        <f>IFERROR(__xludf.DUMMYFUNCTION("""COMPUTED_VALUE"""),"SELESAI (VIA PERMOHONAN)")</f>
        <v>SELESAI (VIA PERMOHONAN)</v>
      </c>
      <c r="G3678" s="17">
        <f>IFERROR(__xludf.DUMMYFUNCTION("""COMPUTED_VALUE"""),45908.380499189814)</f>
        <v>45908.3805</v>
      </c>
      <c r="H3678" s="14" t="str">
        <f>IFERROR(__xludf.DUMMYFUNCTION("""COMPUTED_VALUE"""),"Admin (Migrasi)")</f>
        <v>Admin (Migrasi)</v>
      </c>
      <c r="I3678" s="13" t="str">
        <f>IFERROR(__xludf.DUMMYFUNCTION("""COMPUTED_VALUE"""),"SELESAI (VIA PERMOHONAN)")</f>
        <v>SELESAI (VIA PERMOHONAN)</v>
      </c>
      <c r="J3678" s="17">
        <f>IFERROR(__xludf.DUMMYFUNCTION("""COMPUTED_VALUE"""),45908.38055339121)</f>
        <v>45908.38055</v>
      </c>
      <c r="K3678" s="13" t="str">
        <f>IFERROR(__xludf.DUMMYFUNCTION("""COMPUTED_VALUE"""),"Selesai")</f>
        <v>Selesai</v>
      </c>
      <c r="L3678" s="17">
        <f>IFERROR(__xludf.DUMMYFUNCTION("""COMPUTED_VALUE"""),45908.38055339121)</f>
        <v>45908.38055</v>
      </c>
      <c r="M3678" s="13"/>
      <c r="N3678" s="13" t="str">
        <f>IFERROR(__xludf.DUMMYFUNCTION("""COMPUTED_VALUE"""),"")</f>
        <v/>
      </c>
      <c r="O3678" s="13" t="str">
        <f t="shared" si="1"/>
        <v/>
      </c>
    </row>
    <row r="3679" ht="22.5" customHeight="1">
      <c r="B3679" s="13">
        <f>IFERROR(__xludf.DUMMYFUNCTION("""COMPUTED_VALUE"""),3674.0)</f>
        <v>3674</v>
      </c>
      <c r="C3679" s="13" t="str">
        <f>IFERROR(__xludf.DUMMYFUNCTION("""COMPUTED_VALUE"""),"M. 1944/SUMBERREJO SEJAHTERA")</f>
        <v>M. 1944/SUMBERREJO SEJAHTERA</v>
      </c>
      <c r="D3679" s="13" t="str">
        <f>IFERROR(__xludf.DUMMYFUNCTION("""COMPUTED_VALUE"""),"K/22/050525/1")</f>
        <v>K/22/050525/1</v>
      </c>
      <c r="E3679" s="14" t="str">
        <f>IFERROR(__xludf.DUMMYFUNCTION("""COMPUTED_VALUE"""),"Heri (BT)")</f>
        <v>Heri (BT)</v>
      </c>
      <c r="F3679" s="14" t="str">
        <f>IFERROR(__xludf.DUMMYFUNCTION("""COMPUTED_VALUE"""),"SELESAI (VIA PERMOHONAN)")</f>
        <v>SELESAI (VIA PERMOHONAN)</v>
      </c>
      <c r="G3679" s="17">
        <f>IFERROR(__xludf.DUMMYFUNCTION("""COMPUTED_VALUE"""),45908.595212789354)</f>
        <v>45908.59521</v>
      </c>
      <c r="H3679" s="14" t="str">
        <f>IFERROR(__xludf.DUMMYFUNCTION("""COMPUTED_VALUE"""),"Eci (SU)")</f>
        <v>Eci (SU)</v>
      </c>
      <c r="I3679" s="13" t="str">
        <f>IFERROR(__xludf.DUMMYFUNCTION("""COMPUTED_VALUE"""),"SELESAI (VIA PERMOHONAN)")</f>
        <v>SELESAI (VIA PERMOHONAN)</v>
      </c>
      <c r="J3679" s="17">
        <f>IFERROR(__xludf.DUMMYFUNCTION("""COMPUTED_VALUE"""),45909.62829949074)</f>
        <v>45909.6283</v>
      </c>
      <c r="K3679" s="13" t="str">
        <f>IFERROR(__xludf.DUMMYFUNCTION("""COMPUTED_VALUE"""),"Selesai")</f>
        <v>Selesai</v>
      </c>
      <c r="L3679" s="17">
        <f>IFERROR(__xludf.DUMMYFUNCTION("""COMPUTED_VALUE"""),45909.62829949074)</f>
        <v>45909.6283</v>
      </c>
      <c r="M3679" s="13"/>
      <c r="N3679" s="13" t="str">
        <f>IFERROR(__xludf.DUMMYFUNCTION("""COMPUTED_VALUE"""),"")</f>
        <v/>
      </c>
      <c r="O3679" s="13" t="str">
        <f t="shared" si="1"/>
        <v/>
      </c>
    </row>
    <row r="3680" ht="22.5" customHeight="1">
      <c r="B3680" s="13">
        <f>IFERROR(__xludf.DUMMYFUNCTION("""COMPUTED_VALUE"""),3675.0)</f>
        <v>3675</v>
      </c>
      <c r="C3680" s="13" t="str">
        <f>IFERROR(__xludf.DUMMYFUNCTION("""COMPUTED_VALUE"""),"M.1267/LANGKAPURA BARU")</f>
        <v>M.1267/LANGKAPURA BARU</v>
      </c>
      <c r="D3680" s="13" t="str">
        <f>IFERROR(__xludf.DUMMYFUNCTION("""COMPUTED_VALUE"""),"K/34/140725/2")</f>
        <v>K/34/140725/2</v>
      </c>
      <c r="E3680" s="14" t="str">
        <f>IFERROR(__xludf.DUMMYFUNCTION("""COMPUTED_VALUE"""),"Heri (BT)")</f>
        <v>Heri (BT)</v>
      </c>
      <c r="F3680" s="14" t="str">
        <f>IFERROR(__xludf.DUMMYFUNCTION("""COMPUTED_VALUE"""),"SELESAI (VIA PERMOHONAN)")</f>
        <v>SELESAI (VIA PERMOHONAN)</v>
      </c>
      <c r="G3680" s="17">
        <f>IFERROR(__xludf.DUMMYFUNCTION("""COMPUTED_VALUE"""),45908.59535525463)</f>
        <v>45908.59536</v>
      </c>
      <c r="H3680" s="14" t="str">
        <f>IFERROR(__xludf.DUMMYFUNCTION("""COMPUTED_VALUE"""),"Eci (SU)")</f>
        <v>Eci (SU)</v>
      </c>
      <c r="I3680" s="13" t="str">
        <f>IFERROR(__xludf.DUMMYFUNCTION("""COMPUTED_VALUE"""),"SELESAI (VIA PERMOHONAN)")</f>
        <v>SELESAI (VIA PERMOHONAN)</v>
      </c>
      <c r="J3680" s="17">
        <f>IFERROR(__xludf.DUMMYFUNCTION("""COMPUTED_VALUE"""),45909.583913553244)</f>
        <v>45909.58391</v>
      </c>
      <c r="K3680" s="13" t="str">
        <f>IFERROR(__xludf.DUMMYFUNCTION("""COMPUTED_VALUE"""),"Selesai")</f>
        <v>Selesai</v>
      </c>
      <c r="L3680" s="17">
        <f>IFERROR(__xludf.DUMMYFUNCTION("""COMPUTED_VALUE"""),45909.583913553244)</f>
        <v>45909.58391</v>
      </c>
      <c r="M3680" s="13"/>
      <c r="N3680" s="13" t="str">
        <f>IFERROR(__xludf.DUMMYFUNCTION("""COMPUTED_VALUE"""),"")</f>
        <v/>
      </c>
      <c r="O3680" s="13" t="str">
        <f t="shared" si="1"/>
        <v/>
      </c>
    </row>
    <row r="3681" ht="22.5" customHeight="1">
      <c r="B3681" s="13">
        <f>IFERROR(__xludf.DUMMYFUNCTION("""COMPUTED_VALUE"""),3676.0)</f>
        <v>3676</v>
      </c>
      <c r="C3681" s="13" t="str">
        <f>IFERROR(__xludf.DUMMYFUNCTION("""COMPUTED_VALUE"""),"B. 622/NUSANTARA PERMAI")</f>
        <v>B. 622/NUSANTARA PERMAI</v>
      </c>
      <c r="D3681" s="13" t="str">
        <f>IFERROR(__xludf.DUMMYFUNCTION("""COMPUTED_VALUE"""),"K/4/190825/1")</f>
        <v>K/4/190825/1</v>
      </c>
      <c r="E3681" s="14" t="str">
        <f>IFERROR(__xludf.DUMMYFUNCTION("""COMPUTED_VALUE"""),"Heri (BT)")</f>
        <v>Heri (BT)</v>
      </c>
      <c r="F3681" s="14" t="str">
        <f>IFERROR(__xludf.DUMMYFUNCTION("""COMPUTED_VALUE"""),"SELESAI (VIA PERMOHONAN)")</f>
        <v>SELESAI (VIA PERMOHONAN)</v>
      </c>
      <c r="G3681" s="17">
        <f>IFERROR(__xludf.DUMMYFUNCTION("""COMPUTED_VALUE"""),45908.59562118056)</f>
        <v>45908.59562</v>
      </c>
      <c r="H3681" s="14" t="str">
        <f>IFERROR(__xludf.DUMMYFUNCTION("""COMPUTED_VALUE"""),"Eci (SU)")</f>
        <v>Eci (SU)</v>
      </c>
      <c r="I3681" s="13" t="str">
        <f>IFERROR(__xludf.DUMMYFUNCTION("""COMPUTED_VALUE"""),"SELESAI (VIA PERMOHONAN)")</f>
        <v>SELESAI (VIA PERMOHONAN)</v>
      </c>
      <c r="J3681" s="17">
        <f>IFERROR(__xludf.DUMMYFUNCTION("""COMPUTED_VALUE"""),45909.628158946754)</f>
        <v>45909.62816</v>
      </c>
      <c r="K3681" s="13" t="str">
        <f>IFERROR(__xludf.DUMMYFUNCTION("""COMPUTED_VALUE"""),"Selesai")</f>
        <v>Selesai</v>
      </c>
      <c r="L3681" s="17">
        <f>IFERROR(__xludf.DUMMYFUNCTION("""COMPUTED_VALUE"""),45909.628158946754)</f>
        <v>45909.62816</v>
      </c>
      <c r="M3681" s="13"/>
      <c r="N3681" s="13" t="str">
        <f>IFERROR(__xludf.DUMMYFUNCTION("""COMPUTED_VALUE"""),"")</f>
        <v/>
      </c>
      <c r="O3681" s="13" t="str">
        <f t="shared" si="1"/>
        <v/>
      </c>
    </row>
    <row r="3682" ht="22.5" customHeight="1">
      <c r="B3682" s="13">
        <f>IFERROR(__xludf.DUMMYFUNCTION("""COMPUTED_VALUE"""),3677.0)</f>
        <v>3677</v>
      </c>
      <c r="C3682" s="13" t="str">
        <f>IFERROR(__xludf.DUMMYFUNCTION("""COMPUTED_VALUE"""),"M. 2651/SUMBER REJO")</f>
        <v>M. 2651/SUMBER REJO</v>
      </c>
      <c r="D3682" s="13" t="str">
        <f>IFERROR(__xludf.DUMMYFUNCTION("""COMPUTED_VALUE"""),"K/21/210825/1")</f>
        <v>K/21/210825/1</v>
      </c>
      <c r="E3682" s="14" t="str">
        <f>IFERROR(__xludf.DUMMYFUNCTION("""COMPUTED_VALUE"""),"Heri (BT)")</f>
        <v>Heri (BT)</v>
      </c>
      <c r="F3682" s="14" t="str">
        <f>IFERROR(__xludf.DUMMYFUNCTION("""COMPUTED_VALUE"""),"SELESAI (VIA PERMOHONAN)")</f>
        <v>SELESAI (VIA PERMOHONAN)</v>
      </c>
      <c r="G3682" s="17">
        <f>IFERROR(__xludf.DUMMYFUNCTION("""COMPUTED_VALUE"""),45908.595700879625)</f>
        <v>45908.5957</v>
      </c>
      <c r="H3682" s="14" t="str">
        <f>IFERROR(__xludf.DUMMYFUNCTION("""COMPUTED_VALUE"""),"Eci (SU)")</f>
        <v>Eci (SU)</v>
      </c>
      <c r="I3682" s="13" t="str">
        <f>IFERROR(__xludf.DUMMYFUNCTION("""COMPUTED_VALUE"""),"SELESAI (VIA PERMOHONAN)")</f>
        <v>SELESAI (VIA PERMOHONAN)</v>
      </c>
      <c r="J3682" s="17">
        <f>IFERROR(__xludf.DUMMYFUNCTION("""COMPUTED_VALUE"""),45909.58337075231)</f>
        <v>45909.58337</v>
      </c>
      <c r="K3682" s="13" t="str">
        <f>IFERROR(__xludf.DUMMYFUNCTION("""COMPUTED_VALUE"""),"Selesai")</f>
        <v>Selesai</v>
      </c>
      <c r="L3682" s="17">
        <f>IFERROR(__xludf.DUMMYFUNCTION("""COMPUTED_VALUE"""),45909.58337075231)</f>
        <v>45909.58337</v>
      </c>
      <c r="M3682" s="13"/>
      <c r="N3682" s="13" t="str">
        <f>IFERROR(__xludf.DUMMYFUNCTION("""COMPUTED_VALUE"""),"")</f>
        <v/>
      </c>
      <c r="O3682" s="13" t="str">
        <f t="shared" si="1"/>
        <v/>
      </c>
    </row>
    <row r="3683" ht="22.5" customHeight="1">
      <c r="B3683" s="13">
        <f>IFERROR(__xludf.DUMMYFUNCTION("""COMPUTED_VALUE"""),3678.0)</f>
        <v>3678</v>
      </c>
      <c r="C3683" s="13" t="str">
        <f>IFERROR(__xludf.DUMMYFUNCTION("""COMPUTED_VALUE"""),"B. 749/SUMUR PUTRI")</f>
        <v>B. 749/SUMUR PUTRI</v>
      </c>
      <c r="D3683" s="13" t="str">
        <f>IFERROR(__xludf.DUMMYFUNCTION("""COMPUTED_VALUE"""),"K/9/250825/2")</f>
        <v>K/9/250825/2</v>
      </c>
      <c r="E3683" s="14" t="str">
        <f>IFERROR(__xludf.DUMMYFUNCTION("""COMPUTED_VALUE"""),"Heri (BT)")</f>
        <v>Heri (BT)</v>
      </c>
      <c r="F3683" s="14" t="str">
        <f>IFERROR(__xludf.DUMMYFUNCTION("""COMPUTED_VALUE"""),"SELESAI (VIA PERMOHONAN)")</f>
        <v>SELESAI (VIA PERMOHONAN)</v>
      </c>
      <c r="G3683" s="17">
        <f>IFERROR(__xludf.DUMMYFUNCTION("""COMPUTED_VALUE"""),45908.59583519676)</f>
        <v>45908.59584</v>
      </c>
      <c r="H3683" s="14" t="str">
        <f>IFERROR(__xludf.DUMMYFUNCTION("""COMPUTED_VALUE"""),"Eci (SU)")</f>
        <v>Eci (SU)</v>
      </c>
      <c r="I3683" s="13" t="str">
        <f>IFERROR(__xludf.DUMMYFUNCTION("""COMPUTED_VALUE"""),"SELESAI (VIA PERMOHONAN)")</f>
        <v>SELESAI (VIA PERMOHONAN)</v>
      </c>
      <c r="J3683" s="17">
        <f>IFERROR(__xludf.DUMMYFUNCTION("""COMPUTED_VALUE"""),45909.58690596065)</f>
        <v>45909.58691</v>
      </c>
      <c r="K3683" s="13" t="str">
        <f>IFERROR(__xludf.DUMMYFUNCTION("""COMPUTED_VALUE"""),"Selesai")</f>
        <v>Selesai</v>
      </c>
      <c r="L3683" s="17">
        <f>IFERROR(__xludf.DUMMYFUNCTION("""COMPUTED_VALUE"""),45909.58690596065)</f>
        <v>45909.58691</v>
      </c>
      <c r="M3683" s="13"/>
      <c r="N3683" s="13" t="str">
        <f>IFERROR(__xludf.DUMMYFUNCTION("""COMPUTED_VALUE"""),"")</f>
        <v/>
      </c>
      <c r="O3683" s="13" t="str">
        <f t="shared" si="1"/>
        <v/>
      </c>
    </row>
    <row r="3684" ht="22.5" customHeight="1">
      <c r="B3684" s="13">
        <f>IFERROR(__xludf.DUMMYFUNCTION("""COMPUTED_VALUE"""),3679.0)</f>
        <v>3679</v>
      </c>
      <c r="C3684" s="13" t="str">
        <f>IFERROR(__xludf.DUMMYFUNCTION("""COMPUTED_VALUE"""),"M. 1604/TELUK BETUNG")</f>
        <v>M. 1604/TELUK BETUNG</v>
      </c>
      <c r="D3684" s="13" t="str">
        <f>IFERROR(__xludf.DUMMYFUNCTION("""COMPUTED_VALUE"""),"K/31/290825/1")</f>
        <v>K/31/290825/1</v>
      </c>
      <c r="E3684" s="14" t="str">
        <f>IFERROR(__xludf.DUMMYFUNCTION("""COMPUTED_VALUE"""),"Heri (BT)")</f>
        <v>Heri (BT)</v>
      </c>
      <c r="F3684" s="14" t="str">
        <f>IFERROR(__xludf.DUMMYFUNCTION("""COMPUTED_VALUE"""),"SELESAI (VIA PERMOHONAN)")</f>
        <v>SELESAI (VIA PERMOHONAN)</v>
      </c>
      <c r="G3684" s="17">
        <f>IFERROR(__xludf.DUMMYFUNCTION("""COMPUTED_VALUE"""),45908.59593674769)</f>
        <v>45908.59594</v>
      </c>
      <c r="H3684" s="14" t="str">
        <f>IFERROR(__xludf.DUMMYFUNCTION("""COMPUTED_VALUE"""),"Eci (SU)")</f>
        <v>Eci (SU)</v>
      </c>
      <c r="I3684" s="13" t="str">
        <f>IFERROR(__xludf.DUMMYFUNCTION("""COMPUTED_VALUE"""),"SELESAI (VIA PERMOHONAN)")</f>
        <v>SELESAI (VIA PERMOHONAN)</v>
      </c>
      <c r="J3684" s="17">
        <f>IFERROR(__xludf.DUMMYFUNCTION("""COMPUTED_VALUE"""),45909.58350965277)</f>
        <v>45909.58351</v>
      </c>
      <c r="K3684" s="13" t="str">
        <f>IFERROR(__xludf.DUMMYFUNCTION("""COMPUTED_VALUE"""),"Selesai")</f>
        <v>Selesai</v>
      </c>
      <c r="L3684" s="17">
        <f>IFERROR(__xludf.DUMMYFUNCTION("""COMPUTED_VALUE"""),45909.58350965277)</f>
        <v>45909.58351</v>
      </c>
      <c r="M3684" s="13"/>
      <c r="N3684" s="13" t="str">
        <f>IFERROR(__xludf.DUMMYFUNCTION("""COMPUTED_VALUE"""),"")</f>
        <v/>
      </c>
      <c r="O3684" s="13" t="str">
        <f t="shared" si="1"/>
        <v/>
      </c>
    </row>
    <row r="3685" ht="22.5" customHeight="1">
      <c r="B3685" s="13">
        <f>IFERROR(__xludf.DUMMYFUNCTION("""COMPUTED_VALUE"""),3680.0)</f>
        <v>3680</v>
      </c>
      <c r="C3685" s="13" t="str">
        <f>IFERROR(__xludf.DUMMYFUNCTION("""COMPUTED_VALUE"""),"M. 1761/KALIAWI")</f>
        <v>M. 1761/KALIAWI</v>
      </c>
      <c r="D3685" s="13" t="str">
        <f>IFERROR(__xludf.DUMMYFUNCTION("""COMPUTED_VALUE"""),"K/2/160625/1")</f>
        <v>K/2/160625/1</v>
      </c>
      <c r="E3685" s="14" t="str">
        <f>IFERROR(__xludf.DUMMYFUNCTION("""COMPUTED_VALUE"""),"Heri (BT)")</f>
        <v>Heri (BT)</v>
      </c>
      <c r="F3685" s="14" t="str">
        <f>IFERROR(__xludf.DUMMYFUNCTION("""COMPUTED_VALUE"""),"SELESAI (VIA PERMOHONAN)")</f>
        <v>SELESAI (VIA PERMOHONAN)</v>
      </c>
      <c r="G3685" s="17">
        <f>IFERROR(__xludf.DUMMYFUNCTION("""COMPUTED_VALUE"""),45908.59606947917)</f>
        <v>45908.59607</v>
      </c>
      <c r="H3685" s="14" t="str">
        <f>IFERROR(__xludf.DUMMYFUNCTION("""COMPUTED_VALUE"""),"Eci (SU)")</f>
        <v>Eci (SU)</v>
      </c>
      <c r="I3685" s="13" t="str">
        <f>IFERROR(__xludf.DUMMYFUNCTION("""COMPUTED_VALUE"""),"SELESAI (VIA PERMOHONAN)")</f>
        <v>SELESAI (VIA PERMOHONAN)</v>
      </c>
      <c r="J3685" s="17">
        <f>IFERROR(__xludf.DUMMYFUNCTION("""COMPUTED_VALUE"""),45909.58669236111)</f>
        <v>45909.58669</v>
      </c>
      <c r="K3685" s="13" t="str">
        <f>IFERROR(__xludf.DUMMYFUNCTION("""COMPUTED_VALUE"""),"Selesai")</f>
        <v>Selesai</v>
      </c>
      <c r="L3685" s="17">
        <f>IFERROR(__xludf.DUMMYFUNCTION("""COMPUTED_VALUE"""),45909.58669236111)</f>
        <v>45909.58669</v>
      </c>
      <c r="M3685" s="13"/>
      <c r="N3685" s="13" t="str">
        <f>IFERROR(__xludf.DUMMYFUNCTION("""COMPUTED_VALUE"""),"")</f>
        <v/>
      </c>
      <c r="O3685" s="13" t="str">
        <f t="shared" si="1"/>
        <v/>
      </c>
    </row>
    <row r="3686" ht="22.5" customHeight="1">
      <c r="B3686" s="13">
        <f>IFERROR(__xludf.DUMMYFUNCTION("""COMPUTED_VALUE"""),3681.0)</f>
        <v>3681</v>
      </c>
      <c r="C3686" s="13" t="str">
        <f>IFERROR(__xludf.DUMMYFUNCTION("""COMPUTED_VALUE"""),"M. 2265/NOG")</f>
        <v>M. 2265/NOG</v>
      </c>
      <c r="D3686" s="13" t="str">
        <f>IFERROR(__xludf.DUMMYFUNCTION("""COMPUTED_VALUE"""),"K/37/200825/1")</f>
        <v>K/37/200825/1</v>
      </c>
      <c r="E3686" s="14" t="str">
        <f>IFERROR(__xludf.DUMMYFUNCTION("""COMPUTED_VALUE"""),"Heri (BT)")</f>
        <v>Heri (BT)</v>
      </c>
      <c r="F3686" s="14" t="str">
        <f>IFERROR(__xludf.DUMMYFUNCTION("""COMPUTED_VALUE"""),"SELESAI (VIA PERMOHONAN)")</f>
        <v>SELESAI (VIA PERMOHONAN)</v>
      </c>
      <c r="G3686" s="17">
        <f>IFERROR(__xludf.DUMMYFUNCTION("""COMPUTED_VALUE"""),45908.596237708334)</f>
        <v>45908.59624</v>
      </c>
      <c r="H3686" s="14" t="str">
        <f>IFERROR(__xludf.DUMMYFUNCTION("""COMPUTED_VALUE"""),"Eci (SU)")</f>
        <v>Eci (SU)</v>
      </c>
      <c r="I3686" s="13" t="str">
        <f>IFERROR(__xludf.DUMMYFUNCTION("""COMPUTED_VALUE"""),"SELESAI (VIA PERMOHONAN)")</f>
        <v>SELESAI (VIA PERMOHONAN)</v>
      </c>
      <c r="J3686" s="17">
        <f>IFERROR(__xludf.DUMMYFUNCTION("""COMPUTED_VALUE"""),45909.58366769676)</f>
        <v>45909.58367</v>
      </c>
      <c r="K3686" s="13" t="str">
        <f>IFERROR(__xludf.DUMMYFUNCTION("""COMPUTED_VALUE"""),"Selesai")</f>
        <v>Selesai</v>
      </c>
      <c r="L3686" s="17">
        <f>IFERROR(__xludf.DUMMYFUNCTION("""COMPUTED_VALUE"""),45909.58366769676)</f>
        <v>45909.58367</v>
      </c>
      <c r="M3686" s="13"/>
      <c r="N3686" s="13" t="str">
        <f>IFERROR(__xludf.DUMMYFUNCTION("""COMPUTED_VALUE"""),"")</f>
        <v/>
      </c>
      <c r="O3686" s="13" t="str">
        <f t="shared" si="1"/>
        <v/>
      </c>
    </row>
    <row r="3687" ht="22.5" customHeight="1">
      <c r="B3687" s="13">
        <f>IFERROR(__xludf.DUMMYFUNCTION("""COMPUTED_VALUE"""),3682.0)</f>
        <v>3682</v>
      </c>
      <c r="C3687" s="13" t="str">
        <f>IFERROR(__xludf.DUMMYFUNCTION("""COMPUTED_VALUE"""),"B. 624/NUSANTARA PERMAI")</f>
        <v>B. 624/NUSANTARA PERMAI</v>
      </c>
      <c r="D3687" s="13" t="str">
        <f>IFERROR(__xludf.DUMMYFUNCTION("""COMPUTED_VALUE"""),"K/7/190826/1")</f>
        <v>K/7/190826/1</v>
      </c>
      <c r="E3687" s="14" t="str">
        <f>IFERROR(__xludf.DUMMYFUNCTION("""COMPUTED_VALUE"""),"Heri (BT)")</f>
        <v>Heri (BT)</v>
      </c>
      <c r="F3687" s="14" t="str">
        <f>IFERROR(__xludf.DUMMYFUNCTION("""COMPUTED_VALUE"""),"SELESAI (VIA PERMOHONAN)")</f>
        <v>SELESAI (VIA PERMOHONAN)</v>
      </c>
      <c r="G3687" s="17">
        <f>IFERROR(__xludf.DUMMYFUNCTION("""COMPUTED_VALUE"""),45908.59638109954)</f>
        <v>45908.59638</v>
      </c>
      <c r="H3687" s="14" t="str">
        <f>IFERROR(__xludf.DUMMYFUNCTION("""COMPUTED_VALUE"""),"Eci (SU)")</f>
        <v>Eci (SU)</v>
      </c>
      <c r="I3687" s="13" t="str">
        <f>IFERROR(__xludf.DUMMYFUNCTION("""COMPUTED_VALUE"""),"SELESAI (VIA PERMOHONAN)")</f>
        <v>SELESAI (VIA PERMOHONAN)</v>
      </c>
      <c r="J3687" s="17">
        <f>IFERROR(__xludf.DUMMYFUNCTION("""COMPUTED_VALUE"""),45909.58306898148)</f>
        <v>45909.58307</v>
      </c>
      <c r="K3687" s="13" t="str">
        <f>IFERROR(__xludf.DUMMYFUNCTION("""COMPUTED_VALUE"""),"Selesai")</f>
        <v>Selesai</v>
      </c>
      <c r="L3687" s="17">
        <f>IFERROR(__xludf.DUMMYFUNCTION("""COMPUTED_VALUE"""),45909.58306898148)</f>
        <v>45909.58307</v>
      </c>
      <c r="M3687" s="13"/>
      <c r="N3687" s="13" t="str">
        <f>IFERROR(__xludf.DUMMYFUNCTION("""COMPUTED_VALUE"""),"")</f>
        <v/>
      </c>
      <c r="O3687" s="13" t="str">
        <f t="shared" si="1"/>
        <v/>
      </c>
    </row>
    <row r="3688" ht="22.5" customHeight="1">
      <c r="B3688" s="13">
        <f>IFERROR(__xludf.DUMMYFUNCTION("""COMPUTED_VALUE"""),3683.0)</f>
        <v>3683</v>
      </c>
      <c r="C3688" s="13" t="str">
        <f>IFERROR(__xludf.DUMMYFUNCTION("""COMPUTED_VALUE"""),"M. 10948/SUKABUMI")</f>
        <v>M. 10948/SUKABUMI</v>
      </c>
      <c r="D3688" s="13" t="str">
        <f>IFERROR(__xludf.DUMMYFUNCTION("""COMPUTED_VALUE"""),"L/3/220825/1")</f>
        <v>L/3/220825/1</v>
      </c>
      <c r="E3688" s="14" t="str">
        <f>IFERROR(__xludf.DUMMYFUNCTION("""COMPUTED_VALUE"""),"Heri (BT)")</f>
        <v>Heri (BT)</v>
      </c>
      <c r="F3688" s="14" t="str">
        <f>IFERROR(__xludf.DUMMYFUNCTION("""COMPUTED_VALUE"""),"SELESAI (VIA PERMOHONAN)")</f>
        <v>SELESAI (VIA PERMOHONAN)</v>
      </c>
      <c r="G3688" s="17">
        <f>IFERROR(__xludf.DUMMYFUNCTION("""COMPUTED_VALUE"""),45908.596548553236)</f>
        <v>45908.59655</v>
      </c>
      <c r="H3688" s="14" t="str">
        <f>IFERROR(__xludf.DUMMYFUNCTION("""COMPUTED_VALUE"""),"Eci (SU)")</f>
        <v>Eci (SU)</v>
      </c>
      <c r="I3688" s="13" t="str">
        <f>IFERROR(__xludf.DUMMYFUNCTION("""COMPUTED_VALUE"""),"SELESAI (VIA PERMOHONAN)")</f>
        <v>SELESAI (VIA PERMOHONAN)</v>
      </c>
      <c r="J3688" s="17">
        <f>IFERROR(__xludf.DUMMYFUNCTION("""COMPUTED_VALUE"""),45909.58377295139)</f>
        <v>45909.58377</v>
      </c>
      <c r="K3688" s="13" t="str">
        <f>IFERROR(__xludf.DUMMYFUNCTION("""COMPUTED_VALUE"""),"Selesai")</f>
        <v>Selesai</v>
      </c>
      <c r="L3688" s="17">
        <f>IFERROR(__xludf.DUMMYFUNCTION("""COMPUTED_VALUE"""),45909.58377295139)</f>
        <v>45909.58377</v>
      </c>
      <c r="M3688" s="13"/>
      <c r="N3688" s="13" t="str">
        <f>IFERROR(__xludf.DUMMYFUNCTION("""COMPUTED_VALUE"""),"")</f>
        <v/>
      </c>
      <c r="O3688" s="13" t="str">
        <f t="shared" si="1"/>
        <v/>
      </c>
    </row>
    <row r="3689" ht="22.5" customHeight="1">
      <c r="B3689" s="13">
        <f>IFERROR(__xludf.DUMMYFUNCTION("""COMPUTED_VALUE"""),3684.0)</f>
        <v>3684</v>
      </c>
      <c r="C3689" s="13" t="str">
        <f>IFERROR(__xludf.DUMMYFUNCTION("""COMPUTED_VALUE"""),"B. 100/ BILABONG JAYA")</f>
        <v>B. 100/ BILABONG JAYA</v>
      </c>
      <c r="D3689" s="13" t="str">
        <f>IFERROR(__xludf.DUMMYFUNCTION("""COMPUTED_VALUE"""),"L/35/260825/1")</f>
        <v>L/35/260825/1</v>
      </c>
      <c r="E3689" s="14" t="str">
        <f>IFERROR(__xludf.DUMMYFUNCTION("""COMPUTED_VALUE"""),"Heri (BT)")</f>
        <v>Heri (BT)</v>
      </c>
      <c r="F3689" s="14" t="str">
        <f>IFERROR(__xludf.DUMMYFUNCTION("""COMPUTED_VALUE"""),"SELESAI (VIA PERMOHONAN)")</f>
        <v>SELESAI (VIA PERMOHONAN)</v>
      </c>
      <c r="G3689" s="17">
        <f>IFERROR(__xludf.DUMMYFUNCTION("""COMPUTED_VALUE"""),45908.59665777777)</f>
        <v>45908.59666</v>
      </c>
      <c r="H3689" s="14" t="str">
        <f>IFERROR(__xludf.DUMMYFUNCTION("""COMPUTED_VALUE"""),"Eci (SU)")</f>
        <v>Eci (SU)</v>
      </c>
      <c r="I3689" s="13" t="str">
        <f>IFERROR(__xludf.DUMMYFUNCTION("""COMPUTED_VALUE"""),"SELESAI (VIA PERMOHONAN)")</f>
        <v>SELESAI (VIA PERMOHONAN)</v>
      </c>
      <c r="J3689" s="17">
        <f>IFERROR(__xludf.DUMMYFUNCTION("""COMPUTED_VALUE"""),45909.58321420139)</f>
        <v>45909.58321</v>
      </c>
      <c r="K3689" s="13" t="str">
        <f>IFERROR(__xludf.DUMMYFUNCTION("""COMPUTED_VALUE"""),"Selesai")</f>
        <v>Selesai</v>
      </c>
      <c r="L3689" s="17">
        <f>IFERROR(__xludf.DUMMYFUNCTION("""COMPUTED_VALUE"""),45909.58321420139)</f>
        <v>45909.58321</v>
      </c>
      <c r="M3689" s="13"/>
      <c r="N3689" s="13" t="str">
        <f>IFERROR(__xludf.DUMMYFUNCTION("""COMPUTED_VALUE"""),"")</f>
        <v/>
      </c>
      <c r="O3689" s="13" t="str">
        <f t="shared" si="1"/>
        <v/>
      </c>
    </row>
    <row r="3690" ht="22.5" customHeight="1">
      <c r="B3690" s="13">
        <f>IFERROR(__xludf.DUMMYFUNCTION("""COMPUTED_VALUE"""),3685.0)</f>
        <v>3685</v>
      </c>
      <c r="C3690" s="13" t="str">
        <f>IFERROR(__xludf.DUMMYFUNCTION("""COMPUTED_VALUE"""),"M. 2211/GUNUNG TERANG")</f>
        <v>M. 2211/GUNUNG TERANG</v>
      </c>
      <c r="D3690" s="13" t="str">
        <f>IFERROR(__xludf.DUMMYFUNCTION("""COMPUTED_VALUE"""),"L/48/260825/1")</f>
        <v>L/48/260825/1</v>
      </c>
      <c r="E3690" s="14" t="str">
        <f>IFERROR(__xludf.DUMMYFUNCTION("""COMPUTED_VALUE"""),"Heri (BT)")</f>
        <v>Heri (BT)</v>
      </c>
      <c r="F3690" s="14" t="str">
        <f>IFERROR(__xludf.DUMMYFUNCTION("""COMPUTED_VALUE"""),"SELESAI (VIA PERMOHONAN)")</f>
        <v>SELESAI (VIA PERMOHONAN)</v>
      </c>
      <c r="G3690" s="17">
        <f>IFERROR(__xludf.DUMMYFUNCTION("""COMPUTED_VALUE"""),45908.596778287036)</f>
        <v>45908.59678</v>
      </c>
      <c r="H3690" s="14" t="str">
        <f>IFERROR(__xludf.DUMMYFUNCTION("""COMPUTED_VALUE"""),"Eci (SU)")</f>
        <v>Eci (SU)</v>
      </c>
      <c r="I3690" s="13" t="str">
        <f>IFERROR(__xludf.DUMMYFUNCTION("""COMPUTED_VALUE"""),"SELESAI (VIA PERMOHONAN)")</f>
        <v>SELESAI (VIA PERMOHONAN)</v>
      </c>
      <c r="J3690" s="17">
        <f>IFERROR(__xludf.DUMMYFUNCTION("""COMPUTED_VALUE"""),45909.584626909724)</f>
        <v>45909.58463</v>
      </c>
      <c r="K3690" s="13" t="str">
        <f>IFERROR(__xludf.DUMMYFUNCTION("""COMPUTED_VALUE"""),"Selesai")</f>
        <v>Selesai</v>
      </c>
      <c r="L3690" s="17">
        <f>IFERROR(__xludf.DUMMYFUNCTION("""COMPUTED_VALUE"""),45909.584626909724)</f>
        <v>45909.58463</v>
      </c>
      <c r="M3690" s="13"/>
      <c r="N3690" s="13" t="str">
        <f>IFERROR(__xludf.DUMMYFUNCTION("""COMPUTED_VALUE"""),"")</f>
        <v/>
      </c>
      <c r="O3690" s="13" t="str">
        <f t="shared" si="1"/>
        <v/>
      </c>
    </row>
    <row r="3691" ht="22.5" customHeight="1">
      <c r="B3691" s="13">
        <f>IFERROR(__xludf.DUMMYFUNCTION("""COMPUTED_VALUE"""),3686.0)</f>
        <v>3686</v>
      </c>
      <c r="C3691" s="13" t="str">
        <f>IFERROR(__xludf.DUMMYFUNCTION("""COMPUTED_VALUE"""),"M. 536/PERUMNAS WAY KANDIS")</f>
        <v>M. 536/PERUMNAS WAY KANDIS</v>
      </c>
      <c r="D3691" s="13" t="str">
        <f>IFERROR(__xludf.DUMMYFUNCTION("""COMPUTED_VALUE"""),"L/29/150825/1")</f>
        <v>L/29/150825/1</v>
      </c>
      <c r="E3691" s="14" t="str">
        <f>IFERROR(__xludf.DUMMYFUNCTION("""COMPUTED_VALUE"""),"Heri (BT)")</f>
        <v>Heri (BT)</v>
      </c>
      <c r="F3691" s="14" t="str">
        <f>IFERROR(__xludf.DUMMYFUNCTION("""COMPUTED_VALUE"""),"SELESAI (VIA PERMOHONAN)")</f>
        <v>SELESAI (VIA PERMOHONAN)</v>
      </c>
      <c r="G3691" s="17">
        <f>IFERROR(__xludf.DUMMYFUNCTION("""COMPUTED_VALUE"""),45908.59702804398)</f>
        <v>45908.59703</v>
      </c>
      <c r="H3691" s="14" t="str">
        <f>IFERROR(__xludf.DUMMYFUNCTION("""COMPUTED_VALUE"""),"Eci (SU)")</f>
        <v>Eci (SU)</v>
      </c>
      <c r="I3691" s="13" t="str">
        <f>IFERROR(__xludf.DUMMYFUNCTION("""COMPUTED_VALUE"""),"SELESAI (VIA PERMOHONAN)")</f>
        <v>SELESAI (VIA PERMOHONAN)</v>
      </c>
      <c r="J3691" s="17">
        <f>IFERROR(__xludf.DUMMYFUNCTION("""COMPUTED_VALUE"""),45909.584790196765)</f>
        <v>45909.58479</v>
      </c>
      <c r="K3691" s="13" t="str">
        <f>IFERROR(__xludf.DUMMYFUNCTION("""COMPUTED_VALUE"""),"Selesai")</f>
        <v>Selesai</v>
      </c>
      <c r="L3691" s="17">
        <f>IFERROR(__xludf.DUMMYFUNCTION("""COMPUTED_VALUE"""),45909.584790196765)</f>
        <v>45909.58479</v>
      </c>
      <c r="M3691" s="13"/>
      <c r="N3691" s="13" t="str">
        <f>IFERROR(__xludf.DUMMYFUNCTION("""COMPUTED_VALUE"""),"")</f>
        <v/>
      </c>
      <c r="O3691" s="13" t="str">
        <f t="shared" si="1"/>
        <v/>
      </c>
    </row>
    <row r="3692" ht="22.5" customHeight="1">
      <c r="B3692" s="13">
        <f>IFERROR(__xludf.DUMMYFUNCTION("""COMPUTED_VALUE"""),3687.0)</f>
        <v>3687</v>
      </c>
      <c r="C3692" s="13" t="str">
        <f>IFERROR(__xludf.DUMMYFUNCTION("""COMPUTED_VALUE"""),"M. 4453/Gunung Terang")</f>
        <v>M. 4453/Gunung Terang</v>
      </c>
      <c r="D3692" s="13" t="str">
        <f>IFERROR(__xludf.DUMMYFUNCTION("""COMPUTED_VALUE"""),"K/24/080825/1")</f>
        <v>K/24/080825/1</v>
      </c>
      <c r="E3692" s="14" t="str">
        <f>IFERROR(__xludf.DUMMYFUNCTION("""COMPUTED_VALUE"""),"Heri (BT)")</f>
        <v>Heri (BT)</v>
      </c>
      <c r="F3692" s="14" t="str">
        <f>IFERROR(__xludf.DUMMYFUNCTION("""COMPUTED_VALUE"""),"SELESAI (VIA PERMOHONAN)")</f>
        <v>SELESAI (VIA PERMOHONAN)</v>
      </c>
      <c r="G3692" s="17">
        <f>IFERROR(__xludf.DUMMYFUNCTION("""COMPUTED_VALUE"""),45908.5971575463)</f>
        <v>45908.59716</v>
      </c>
      <c r="H3692" s="14" t="str">
        <f>IFERROR(__xludf.DUMMYFUNCTION("""COMPUTED_VALUE"""),"Eci (SU)")</f>
        <v>Eci (SU)</v>
      </c>
      <c r="I3692" s="13" t="str">
        <f>IFERROR(__xludf.DUMMYFUNCTION("""COMPUTED_VALUE"""),"SELESAI (VIA PERMOHONAN)")</f>
        <v>SELESAI (VIA PERMOHONAN)</v>
      </c>
      <c r="J3692" s="17">
        <f>IFERROR(__xludf.DUMMYFUNCTION("""COMPUTED_VALUE"""),45909.5865272338)</f>
        <v>45909.58653</v>
      </c>
      <c r="K3692" s="13" t="str">
        <f>IFERROR(__xludf.DUMMYFUNCTION("""COMPUTED_VALUE"""),"Selesai")</f>
        <v>Selesai</v>
      </c>
      <c r="L3692" s="17">
        <f>IFERROR(__xludf.DUMMYFUNCTION("""COMPUTED_VALUE"""),45909.5865272338)</f>
        <v>45909.58653</v>
      </c>
      <c r="M3692" s="13"/>
      <c r="N3692" s="13" t="str">
        <f>IFERROR(__xludf.DUMMYFUNCTION("""COMPUTED_VALUE"""),"")</f>
        <v/>
      </c>
      <c r="O3692" s="13" t="str">
        <f t="shared" si="1"/>
        <v/>
      </c>
    </row>
    <row r="3693" ht="22.5" customHeight="1">
      <c r="B3693" s="13">
        <f>IFERROR(__xludf.DUMMYFUNCTION("""COMPUTED_VALUE"""),3688.0)</f>
        <v>3688</v>
      </c>
      <c r="C3693" s="13" t="str">
        <f>IFERROR(__xludf.DUMMYFUNCTION("""COMPUTED_VALUE"""),"B. 507/Kedamaian")</f>
        <v>B. 507/Kedamaian</v>
      </c>
      <c r="D3693" s="13" t="str">
        <f>IFERROR(__xludf.DUMMYFUNCTION("""COMPUTED_VALUE"""),"K/20/200825/2")</f>
        <v>K/20/200825/2</v>
      </c>
      <c r="E3693" s="14" t="str">
        <f>IFERROR(__xludf.DUMMYFUNCTION("""COMPUTED_VALUE"""),"Heri (BT)")</f>
        <v>Heri (BT)</v>
      </c>
      <c r="F3693" s="14" t="str">
        <f>IFERROR(__xludf.DUMMYFUNCTION("""COMPUTED_VALUE"""),"SELESAI (VIA PERMOHONAN)")</f>
        <v>SELESAI (VIA PERMOHONAN)</v>
      </c>
      <c r="G3693" s="17">
        <f>IFERROR(__xludf.DUMMYFUNCTION("""COMPUTED_VALUE"""),45908.59734920139)</f>
        <v>45908.59735</v>
      </c>
      <c r="H3693" s="14" t="str">
        <f>IFERROR(__xludf.DUMMYFUNCTION("""COMPUTED_VALUE"""),"Eci (SU)")</f>
        <v>Eci (SU)</v>
      </c>
      <c r="I3693" s="13" t="str">
        <f>IFERROR(__xludf.DUMMYFUNCTION("""COMPUTED_VALUE"""),"SELESAI (VIA PERMOHONAN)")</f>
        <v>SELESAI (VIA PERMOHONAN)</v>
      </c>
      <c r="J3693" s="17">
        <f>IFERROR(__xludf.DUMMYFUNCTION("""COMPUTED_VALUE"""),45909.58493229166)</f>
        <v>45909.58493</v>
      </c>
      <c r="K3693" s="13" t="str">
        <f>IFERROR(__xludf.DUMMYFUNCTION("""COMPUTED_VALUE"""),"Selesai")</f>
        <v>Selesai</v>
      </c>
      <c r="L3693" s="17">
        <f>IFERROR(__xludf.DUMMYFUNCTION("""COMPUTED_VALUE"""),45909.58493229166)</f>
        <v>45909.58493</v>
      </c>
      <c r="M3693" s="13"/>
      <c r="N3693" s="13" t="str">
        <f>IFERROR(__xludf.DUMMYFUNCTION("""COMPUTED_VALUE"""),"")</f>
        <v/>
      </c>
      <c r="O3693" s="13" t="str">
        <f t="shared" si="1"/>
        <v/>
      </c>
    </row>
    <row r="3694" ht="22.5" customHeight="1">
      <c r="B3694" s="13">
        <f>IFERROR(__xludf.DUMMYFUNCTION("""COMPUTED_VALUE"""),3689.0)</f>
        <v>3689</v>
      </c>
      <c r="C3694" s="13" t="str">
        <f>IFERROR(__xludf.DUMMYFUNCTION("""COMPUTED_VALUE"""),"M. 276/Kedaung	")</f>
        <v>M. 276/Kedaung	</v>
      </c>
      <c r="D3694" s="13" t="str">
        <f>IFERROR(__xludf.DUMMYFUNCTION("""COMPUTED_VALUE"""),"K/2/260825/2")</f>
        <v>K/2/260825/2</v>
      </c>
      <c r="E3694" s="14" t="str">
        <f>IFERROR(__xludf.DUMMYFUNCTION("""COMPUTED_VALUE"""),"Heri (BT)")</f>
        <v>Heri (BT)</v>
      </c>
      <c r="F3694" s="14" t="str">
        <f>IFERROR(__xludf.DUMMYFUNCTION("""COMPUTED_VALUE"""),"SELESAI (VIA PERMOHONAN)")</f>
        <v>SELESAI (VIA PERMOHONAN)</v>
      </c>
      <c r="G3694" s="17">
        <f>IFERROR(__xludf.DUMMYFUNCTION("""COMPUTED_VALUE"""),45908.59748972222)</f>
        <v>45908.59749</v>
      </c>
      <c r="H3694" s="14" t="str">
        <f>IFERROR(__xludf.DUMMYFUNCTION("""COMPUTED_VALUE"""),"Eci (SU)")</f>
        <v>Eci (SU)</v>
      </c>
      <c r="I3694" s="13" t="str">
        <f>IFERROR(__xludf.DUMMYFUNCTION("""COMPUTED_VALUE"""),"SELESAI (VIA PERMOHONAN)")</f>
        <v>SELESAI (VIA PERMOHONAN)</v>
      </c>
      <c r="J3694" s="17">
        <f>IFERROR(__xludf.DUMMYFUNCTION("""COMPUTED_VALUE"""),45909.58499538194)</f>
        <v>45909.585</v>
      </c>
      <c r="K3694" s="13" t="str">
        <f>IFERROR(__xludf.DUMMYFUNCTION("""COMPUTED_VALUE"""),"Selesai")</f>
        <v>Selesai</v>
      </c>
      <c r="L3694" s="17">
        <f>IFERROR(__xludf.DUMMYFUNCTION("""COMPUTED_VALUE"""),45909.58499538194)</f>
        <v>45909.585</v>
      </c>
      <c r="M3694" s="13"/>
      <c r="N3694" s="13" t="str">
        <f>IFERROR(__xludf.DUMMYFUNCTION("""COMPUTED_VALUE"""),"")</f>
        <v/>
      </c>
      <c r="O3694" s="13" t="str">
        <f t="shared" si="1"/>
        <v/>
      </c>
    </row>
    <row r="3695" ht="22.5" customHeight="1">
      <c r="B3695" s="13">
        <f>IFERROR(__xludf.DUMMYFUNCTION("""COMPUTED_VALUE"""),3690.0)</f>
        <v>3690</v>
      </c>
      <c r="C3695" s="13" t="str">
        <f>IFERROR(__xludf.DUMMYFUNCTION("""COMPUTED_VALUE"""),"B. 135/Rajabasa Raya	")</f>
        <v>B. 135/Rajabasa Raya	</v>
      </c>
      <c r="D3695" s="13" t="str">
        <f>IFERROR(__xludf.DUMMYFUNCTION("""COMPUTED_VALUE"""),"K/49/260825/1")</f>
        <v>K/49/260825/1</v>
      </c>
      <c r="E3695" s="14" t="str">
        <f>IFERROR(__xludf.DUMMYFUNCTION("""COMPUTED_VALUE"""),"Heri (BT)")</f>
        <v>Heri (BT)</v>
      </c>
      <c r="F3695" s="14" t="str">
        <f>IFERROR(__xludf.DUMMYFUNCTION("""COMPUTED_VALUE"""),"SELESAI (VIA PERMOHONAN)")</f>
        <v>SELESAI (VIA PERMOHONAN)</v>
      </c>
      <c r="G3695" s="17">
        <f>IFERROR(__xludf.DUMMYFUNCTION("""COMPUTED_VALUE"""),45908.59765414352)</f>
        <v>45908.59765</v>
      </c>
      <c r="H3695" s="14" t="str">
        <f>IFERROR(__xludf.DUMMYFUNCTION("""COMPUTED_VALUE"""),"Eci (SU)")</f>
        <v>Eci (SU)</v>
      </c>
      <c r="I3695" s="13" t="str">
        <f>IFERROR(__xludf.DUMMYFUNCTION("""COMPUTED_VALUE"""),"SELESAI (VIA PERMOHONAN)")</f>
        <v>SELESAI (VIA PERMOHONAN)</v>
      </c>
      <c r="J3695" s="17">
        <f>IFERROR(__xludf.DUMMYFUNCTION("""COMPUTED_VALUE"""),45909.62843611111)</f>
        <v>45909.62844</v>
      </c>
      <c r="K3695" s="13" t="str">
        <f>IFERROR(__xludf.DUMMYFUNCTION("""COMPUTED_VALUE"""),"Selesai")</f>
        <v>Selesai</v>
      </c>
      <c r="L3695" s="17">
        <f>IFERROR(__xludf.DUMMYFUNCTION("""COMPUTED_VALUE"""),45909.62843611111)</f>
        <v>45909.62844</v>
      </c>
      <c r="M3695" s="13"/>
      <c r="N3695" s="13" t="str">
        <f>IFERROR(__xludf.DUMMYFUNCTION("""COMPUTED_VALUE"""),"")</f>
        <v/>
      </c>
      <c r="O3695" s="13" t="str">
        <f t="shared" si="1"/>
        <v/>
      </c>
    </row>
    <row r="3696" ht="22.5" customHeight="1">
      <c r="B3696" s="13">
        <f>IFERROR(__xludf.DUMMYFUNCTION("""COMPUTED_VALUE"""),3691.0)</f>
        <v>3691</v>
      </c>
      <c r="C3696" s="13" t="str">
        <f>IFERROR(__xludf.DUMMYFUNCTION("""COMPUTED_VALUE"""),"B. 464/Bakung	")</f>
        <v>B. 464/Bakung	</v>
      </c>
      <c r="D3696" s="13" t="str">
        <f>IFERROR(__xludf.DUMMYFUNCTION("""COMPUTED_VALUE"""),"K/14/290825/1")</f>
        <v>K/14/290825/1</v>
      </c>
      <c r="E3696" s="14" t="str">
        <f>IFERROR(__xludf.DUMMYFUNCTION("""COMPUTED_VALUE"""),"Heri (BT)")</f>
        <v>Heri (BT)</v>
      </c>
      <c r="F3696" s="14" t="str">
        <f>IFERROR(__xludf.DUMMYFUNCTION("""COMPUTED_VALUE"""),"SELESAI (VIA PERMOHONAN)")</f>
        <v>SELESAI (VIA PERMOHONAN)</v>
      </c>
      <c r="G3696" s="17">
        <f>IFERROR(__xludf.DUMMYFUNCTION("""COMPUTED_VALUE"""),45908.597809432875)</f>
        <v>45908.59781</v>
      </c>
      <c r="H3696" s="14" t="str">
        <f>IFERROR(__xludf.DUMMYFUNCTION("""COMPUTED_VALUE"""),"Eci (SU)")</f>
        <v>Eci (SU)</v>
      </c>
      <c r="I3696" s="13" t="str">
        <f>IFERROR(__xludf.DUMMYFUNCTION("""COMPUTED_VALUE"""),"SELESAI (VIA PERMOHONAN)")</f>
        <v>SELESAI (VIA PERMOHONAN)</v>
      </c>
      <c r="J3696" s="17">
        <f>IFERROR(__xludf.DUMMYFUNCTION("""COMPUTED_VALUE"""),45909.58516869213)</f>
        <v>45909.58517</v>
      </c>
      <c r="K3696" s="13" t="str">
        <f>IFERROR(__xludf.DUMMYFUNCTION("""COMPUTED_VALUE"""),"Selesai")</f>
        <v>Selesai</v>
      </c>
      <c r="L3696" s="17">
        <f>IFERROR(__xludf.DUMMYFUNCTION("""COMPUTED_VALUE"""),45909.58516869213)</f>
        <v>45909.58517</v>
      </c>
      <c r="M3696" s="13"/>
      <c r="N3696" s="13" t="str">
        <f>IFERROR(__xludf.DUMMYFUNCTION("""COMPUTED_VALUE"""),"")</f>
        <v/>
      </c>
      <c r="O3696" s="13" t="str">
        <f t="shared" si="1"/>
        <v/>
      </c>
    </row>
    <row r="3697" ht="22.5" customHeight="1">
      <c r="B3697" s="13">
        <f>IFERROR(__xludf.DUMMYFUNCTION("""COMPUTED_VALUE"""),3692.0)</f>
        <v>3692</v>
      </c>
      <c r="C3697" s="13" t="str">
        <f>IFERROR(__xludf.DUMMYFUNCTION("""COMPUTED_VALUE"""),"M. 17293/Sukarame 	")</f>
        <v>M. 17293/Sukarame 	</v>
      </c>
      <c r="D3697" s="13" t="str">
        <f>IFERROR(__xludf.DUMMYFUNCTION("""COMPUTED_VALUE"""),"K/3/020925/1")</f>
        <v>K/3/020925/1</v>
      </c>
      <c r="E3697" s="14" t="str">
        <f>IFERROR(__xludf.DUMMYFUNCTION("""COMPUTED_VALUE"""),"Heri (BT)")</f>
        <v>Heri (BT)</v>
      </c>
      <c r="F3697" s="14" t="str">
        <f>IFERROR(__xludf.DUMMYFUNCTION("""COMPUTED_VALUE"""),"SELESAI (VIA PERMOHONAN)")</f>
        <v>SELESAI (VIA PERMOHONAN)</v>
      </c>
      <c r="G3697" s="17">
        <f>IFERROR(__xludf.DUMMYFUNCTION("""COMPUTED_VALUE"""),45908.59797190972)</f>
        <v>45908.59797</v>
      </c>
      <c r="H3697" s="14" t="str">
        <f>IFERROR(__xludf.DUMMYFUNCTION("""COMPUTED_VALUE"""),"Eci (SU)")</f>
        <v>Eci (SU)</v>
      </c>
      <c r="I3697" s="13" t="str">
        <f>IFERROR(__xludf.DUMMYFUNCTION("""COMPUTED_VALUE"""),"SELESAI (VIA PERMOHONAN)")</f>
        <v>SELESAI (VIA PERMOHONAN)</v>
      </c>
      <c r="J3697" s="17">
        <f>IFERROR(__xludf.DUMMYFUNCTION("""COMPUTED_VALUE"""),45909.585232453705)</f>
        <v>45909.58523</v>
      </c>
      <c r="K3697" s="13" t="str">
        <f>IFERROR(__xludf.DUMMYFUNCTION("""COMPUTED_VALUE"""),"Selesai")</f>
        <v>Selesai</v>
      </c>
      <c r="L3697" s="17">
        <f>IFERROR(__xludf.DUMMYFUNCTION("""COMPUTED_VALUE"""),45909.585232453705)</f>
        <v>45909.58523</v>
      </c>
      <c r="M3697" s="13"/>
      <c r="N3697" s="13" t="str">
        <f>IFERROR(__xludf.DUMMYFUNCTION("""COMPUTED_VALUE"""),"")</f>
        <v/>
      </c>
      <c r="O3697" s="13" t="str">
        <f t="shared" si="1"/>
        <v/>
      </c>
    </row>
    <row r="3698" ht="22.5" customHeight="1">
      <c r="B3698" s="13">
        <f>IFERROR(__xludf.DUMMYFUNCTION("""COMPUTED_VALUE"""),3693.0)</f>
        <v>3693</v>
      </c>
      <c r="C3698" s="13" t="str">
        <f>IFERROR(__xludf.DUMMYFUNCTION("""COMPUTED_VALUE"""),"M. 13400/SUKABUMI")</f>
        <v>M. 13400/SUKABUMI</v>
      </c>
      <c r="D3698" s="13" t="str">
        <f>IFERROR(__xludf.DUMMYFUNCTION("""COMPUTED_VALUE"""),"L/21/220825/1")</f>
        <v>L/21/220825/1</v>
      </c>
      <c r="E3698" s="14" t="str">
        <f>IFERROR(__xludf.DUMMYFUNCTION("""COMPUTED_VALUE"""),"Heri (BT)")</f>
        <v>Heri (BT)</v>
      </c>
      <c r="F3698" s="14" t="str">
        <f>IFERROR(__xludf.DUMMYFUNCTION("""COMPUTED_VALUE"""),"SELESAI (VIA PERMOHONAN)")</f>
        <v>SELESAI (VIA PERMOHONAN)</v>
      </c>
      <c r="G3698" s="17">
        <f>IFERROR(__xludf.DUMMYFUNCTION("""COMPUTED_VALUE"""),45908.598200266206)</f>
        <v>45908.5982</v>
      </c>
      <c r="H3698" s="14" t="str">
        <f>IFERROR(__xludf.DUMMYFUNCTION("""COMPUTED_VALUE"""),"Eci (SU)")</f>
        <v>Eci (SU)</v>
      </c>
      <c r="I3698" s="13" t="str">
        <f>IFERROR(__xludf.DUMMYFUNCTION("""COMPUTED_VALUE"""),"SELESAI (VIA PERMOHONAN)")</f>
        <v>SELESAI (VIA PERMOHONAN)</v>
      </c>
      <c r="J3698" s="17">
        <f>IFERROR(__xludf.DUMMYFUNCTION("""COMPUTED_VALUE"""),45909.586365752315)</f>
        <v>45909.58637</v>
      </c>
      <c r="K3698" s="13" t="str">
        <f>IFERROR(__xludf.DUMMYFUNCTION("""COMPUTED_VALUE"""),"Selesai")</f>
        <v>Selesai</v>
      </c>
      <c r="L3698" s="17">
        <f>IFERROR(__xludf.DUMMYFUNCTION("""COMPUTED_VALUE"""),45909.586365752315)</f>
        <v>45909.58637</v>
      </c>
      <c r="M3698" s="13"/>
      <c r="N3698" s="13" t="str">
        <f>IFERROR(__xludf.DUMMYFUNCTION("""COMPUTED_VALUE"""),"")</f>
        <v/>
      </c>
      <c r="O3698" s="13" t="str">
        <f t="shared" si="1"/>
        <v/>
      </c>
    </row>
    <row r="3699" ht="22.5" customHeight="1">
      <c r="B3699" s="13">
        <f>IFERROR(__xludf.DUMMYFUNCTION("""COMPUTED_VALUE"""),3694.0)</f>
        <v>3694</v>
      </c>
      <c r="C3699" s="13" t="str">
        <f>IFERROR(__xludf.DUMMYFUNCTION("""COMPUTED_VALUE"""),"M. 54/SUMBEREJO SEJAHTERA")</f>
        <v>M. 54/SUMBEREJO SEJAHTERA</v>
      </c>
      <c r="D3699" s="13" t="str">
        <f>IFERROR(__xludf.DUMMYFUNCTION("""COMPUTED_VALUE"""),"L/12/220825/1")</f>
        <v>L/12/220825/1</v>
      </c>
      <c r="E3699" s="14" t="str">
        <f>IFERROR(__xludf.DUMMYFUNCTION("""COMPUTED_VALUE"""),"Heri (BT)")</f>
        <v>Heri (BT)</v>
      </c>
      <c r="F3699" s="14" t="str">
        <f>IFERROR(__xludf.DUMMYFUNCTION("""COMPUTED_VALUE"""),"SELESAI (VIA PERMOHONAN)")</f>
        <v>SELESAI (VIA PERMOHONAN)</v>
      </c>
      <c r="G3699" s="17">
        <f>IFERROR(__xludf.DUMMYFUNCTION("""COMPUTED_VALUE"""),45908.598340972225)</f>
        <v>45908.59834</v>
      </c>
      <c r="H3699" s="14" t="str">
        <f>IFERROR(__xludf.DUMMYFUNCTION("""COMPUTED_VALUE"""),"Eci (SU)")</f>
        <v>Eci (SU)</v>
      </c>
      <c r="I3699" s="13" t="str">
        <f>IFERROR(__xludf.DUMMYFUNCTION("""COMPUTED_VALUE"""),"SELESAI (VIA PERMOHONAN)")</f>
        <v>SELESAI (VIA PERMOHONAN)</v>
      </c>
      <c r="J3699" s="17">
        <f>IFERROR(__xludf.DUMMYFUNCTION("""COMPUTED_VALUE"""),45909.58626877315)</f>
        <v>45909.58627</v>
      </c>
      <c r="K3699" s="13" t="str">
        <f>IFERROR(__xludf.DUMMYFUNCTION("""COMPUTED_VALUE"""),"Selesai")</f>
        <v>Selesai</v>
      </c>
      <c r="L3699" s="17">
        <f>IFERROR(__xludf.DUMMYFUNCTION("""COMPUTED_VALUE"""),45909.58626877315)</f>
        <v>45909.58627</v>
      </c>
      <c r="M3699" s="13"/>
      <c r="N3699" s="13" t="str">
        <f>IFERROR(__xludf.DUMMYFUNCTION("""COMPUTED_VALUE"""),"")</f>
        <v/>
      </c>
      <c r="O3699" s="13" t="str">
        <f t="shared" si="1"/>
        <v/>
      </c>
    </row>
    <row r="3700" ht="22.5" customHeight="1">
      <c r="B3700" s="13">
        <f>IFERROR(__xludf.DUMMYFUNCTION("""COMPUTED_VALUE"""),3695.0)</f>
        <v>3695</v>
      </c>
      <c r="C3700" s="13" t="str">
        <f>IFERROR(__xludf.DUMMYFUNCTION("""COMPUTED_VALUE"""),"M. 2442/TANJUNG SENENG")</f>
        <v>M. 2442/TANJUNG SENENG</v>
      </c>
      <c r="D3700" s="13" t="str">
        <f>IFERROR(__xludf.DUMMYFUNCTION("""COMPUTED_VALUE"""),"L/36/250825/1")</f>
        <v>L/36/250825/1</v>
      </c>
      <c r="E3700" s="14" t="str">
        <f>IFERROR(__xludf.DUMMYFUNCTION("""COMPUTED_VALUE"""),"Heri (BT)")</f>
        <v>Heri (BT)</v>
      </c>
      <c r="F3700" s="14" t="str">
        <f>IFERROR(__xludf.DUMMYFUNCTION("""COMPUTED_VALUE"""),"SELESAI (VIA PERMOHONAN)")</f>
        <v>SELESAI (VIA PERMOHONAN)</v>
      </c>
      <c r="G3700" s="17">
        <f>IFERROR(__xludf.DUMMYFUNCTION("""COMPUTED_VALUE"""),45908.598632187495)</f>
        <v>45908.59863</v>
      </c>
      <c r="H3700" s="14" t="str">
        <f>IFERROR(__xludf.DUMMYFUNCTION("""COMPUTED_VALUE"""),"Eci (SU)")</f>
        <v>Eci (SU)</v>
      </c>
      <c r="I3700" s="13" t="str">
        <f>IFERROR(__xludf.DUMMYFUNCTION("""COMPUTED_VALUE"""),"SELESAI (VIA PERMOHONAN)")</f>
        <v>SELESAI (VIA PERMOHONAN)</v>
      </c>
      <c r="J3700" s="17">
        <f>IFERROR(__xludf.DUMMYFUNCTION("""COMPUTED_VALUE"""),45909.585353518516)</f>
        <v>45909.58535</v>
      </c>
      <c r="K3700" s="13" t="str">
        <f>IFERROR(__xludf.DUMMYFUNCTION("""COMPUTED_VALUE"""),"Selesai")</f>
        <v>Selesai</v>
      </c>
      <c r="L3700" s="17">
        <f>IFERROR(__xludf.DUMMYFUNCTION("""COMPUTED_VALUE"""),45909.585353518516)</f>
        <v>45909.58535</v>
      </c>
      <c r="M3700" s="13"/>
      <c r="N3700" s="13" t="str">
        <f>IFERROR(__xludf.DUMMYFUNCTION("""COMPUTED_VALUE"""),"")</f>
        <v/>
      </c>
      <c r="O3700" s="13" t="str">
        <f t="shared" si="1"/>
        <v/>
      </c>
    </row>
    <row r="3701" ht="22.5" customHeight="1">
      <c r="B3701" s="13">
        <f>IFERROR(__xludf.DUMMYFUNCTION("""COMPUTED_VALUE"""),3696.0)</f>
        <v>3696</v>
      </c>
      <c r="C3701" s="13" t="str">
        <f>IFERROR(__xludf.DUMMYFUNCTION("""COMPUTED_VALUE"""),"M. 2379/GEDONG AIR")</f>
        <v>M. 2379/GEDONG AIR</v>
      </c>
      <c r="D3701" s="13" t="str">
        <f>IFERROR(__xludf.DUMMYFUNCTION("""COMPUTED_VALUE"""),"L/1/270825/1")</f>
        <v>L/1/270825/1</v>
      </c>
      <c r="E3701" s="14" t="str">
        <f>IFERROR(__xludf.DUMMYFUNCTION("""COMPUTED_VALUE"""),"Heri (BT)")</f>
        <v>Heri (BT)</v>
      </c>
      <c r="F3701" s="14" t="str">
        <f>IFERROR(__xludf.DUMMYFUNCTION("""COMPUTED_VALUE"""),"SELESAI (VIA PERMOHONAN)")</f>
        <v>SELESAI (VIA PERMOHONAN)</v>
      </c>
      <c r="G3701" s="17">
        <f>IFERROR(__xludf.DUMMYFUNCTION("""COMPUTED_VALUE"""),45908.59879693287)</f>
        <v>45908.5988</v>
      </c>
      <c r="H3701" s="14" t="str">
        <f>IFERROR(__xludf.DUMMYFUNCTION("""COMPUTED_VALUE"""),"Eci (SU)")</f>
        <v>Eci (SU)</v>
      </c>
      <c r="I3701" s="13" t="str">
        <f>IFERROR(__xludf.DUMMYFUNCTION("""COMPUTED_VALUE"""),"SELESAI (VIA PERMOHONAN)")</f>
        <v>SELESAI (VIA PERMOHONAN)</v>
      </c>
      <c r="J3701" s="17">
        <f>IFERROR(__xludf.DUMMYFUNCTION("""COMPUTED_VALUE"""),45909.58543077546)</f>
        <v>45909.58543</v>
      </c>
      <c r="K3701" s="13" t="str">
        <f>IFERROR(__xludf.DUMMYFUNCTION("""COMPUTED_VALUE"""),"Selesai")</f>
        <v>Selesai</v>
      </c>
      <c r="L3701" s="17">
        <f>IFERROR(__xludf.DUMMYFUNCTION("""COMPUTED_VALUE"""),45909.58543077546)</f>
        <v>45909.58543</v>
      </c>
      <c r="M3701" s="13"/>
      <c r="N3701" s="13" t="str">
        <f>IFERROR(__xludf.DUMMYFUNCTION("""COMPUTED_VALUE"""),"")</f>
        <v/>
      </c>
      <c r="O3701" s="13" t="str">
        <f t="shared" si="1"/>
        <v/>
      </c>
    </row>
    <row r="3702" ht="22.5" customHeight="1">
      <c r="B3702" s="13">
        <f>IFERROR(__xludf.DUMMYFUNCTION("""COMPUTED_VALUE"""),3697.0)</f>
        <v>3697</v>
      </c>
      <c r="C3702" s="13" t="str">
        <f>IFERROR(__xludf.DUMMYFUNCTION("""COMPUTED_VALUE"""),"M. 1111/SUKABUMI INDAH")</f>
        <v>M. 1111/SUKABUMI INDAH</v>
      </c>
      <c r="D3702" s="13" t="str">
        <f>IFERROR(__xludf.DUMMYFUNCTION("""COMPUTED_VALUE"""),"L/13/260825/1")</f>
        <v>L/13/260825/1</v>
      </c>
      <c r="E3702" s="14" t="str">
        <f>IFERROR(__xludf.DUMMYFUNCTION("""COMPUTED_VALUE"""),"Heri (BT)")</f>
        <v>Heri (BT)</v>
      </c>
      <c r="F3702" s="14" t="str">
        <f>IFERROR(__xludf.DUMMYFUNCTION("""COMPUTED_VALUE"""),"SELESAI (VIA PERMOHONAN)")</f>
        <v>SELESAI (VIA PERMOHONAN)</v>
      </c>
      <c r="G3702" s="17">
        <f>IFERROR(__xludf.DUMMYFUNCTION("""COMPUTED_VALUE"""),45908.65211512732)</f>
        <v>45908.65212</v>
      </c>
      <c r="H3702" s="14" t="str">
        <f>IFERROR(__xludf.DUMMYFUNCTION("""COMPUTED_VALUE"""),"Eci (SU)")</f>
        <v>Eci (SU)</v>
      </c>
      <c r="I3702" s="13" t="str">
        <f>IFERROR(__xludf.DUMMYFUNCTION("""COMPUTED_VALUE"""),"SELESAI (VIA PERMOHONAN)")</f>
        <v>SELESAI (VIA PERMOHONAN)</v>
      </c>
      <c r="J3702" s="17">
        <f>IFERROR(__xludf.DUMMYFUNCTION("""COMPUTED_VALUE"""),45909.58602408565)</f>
        <v>45909.58602</v>
      </c>
      <c r="K3702" s="13" t="str">
        <f>IFERROR(__xludf.DUMMYFUNCTION("""COMPUTED_VALUE"""),"Selesai")</f>
        <v>Selesai</v>
      </c>
      <c r="L3702" s="17">
        <f>IFERROR(__xludf.DUMMYFUNCTION("""COMPUTED_VALUE"""),45909.58602408565)</f>
        <v>45909.58602</v>
      </c>
      <c r="M3702" s="13"/>
      <c r="N3702" s="13" t="str">
        <f>IFERROR(__xludf.DUMMYFUNCTION("""COMPUTED_VALUE"""),"")</f>
        <v/>
      </c>
      <c r="O3702" s="13" t="str">
        <f t="shared" si="1"/>
        <v/>
      </c>
    </row>
    <row r="3703" ht="22.5" customHeight="1">
      <c r="B3703" s="13">
        <f>IFERROR(__xludf.DUMMYFUNCTION("""COMPUTED_VALUE"""),3698.0)</f>
        <v>3698</v>
      </c>
      <c r="C3703" s="13" t="str">
        <f>IFERROR(__xludf.DUMMYFUNCTION("""COMPUTED_VALUE"""),"M. 2812/BERINGIN RAYA")</f>
        <v>M. 2812/BERINGIN RAYA</v>
      </c>
      <c r="D3703" s="13" t="str">
        <f>IFERROR(__xludf.DUMMYFUNCTION("""COMPUTED_VALUE"""),"L/2/030925/1")</f>
        <v>L/2/030925/1</v>
      </c>
      <c r="E3703" s="14" t="str">
        <f>IFERROR(__xludf.DUMMYFUNCTION("""COMPUTED_VALUE"""),"Heri (BT)")</f>
        <v>Heri (BT)</v>
      </c>
      <c r="F3703" s="14" t="str">
        <f>IFERROR(__xludf.DUMMYFUNCTION("""COMPUTED_VALUE"""),"SELESAI (VIA PERMOHONAN)")</f>
        <v>SELESAI (VIA PERMOHONAN)</v>
      </c>
      <c r="G3703" s="17">
        <f>IFERROR(__xludf.DUMMYFUNCTION("""COMPUTED_VALUE"""),45908.65211512732)</f>
        <v>45908.65212</v>
      </c>
      <c r="H3703" s="14" t="str">
        <f>IFERROR(__xludf.DUMMYFUNCTION("""COMPUTED_VALUE"""),"Eci (SU)")</f>
        <v>Eci (SU)</v>
      </c>
      <c r="I3703" s="13" t="str">
        <f>IFERROR(__xludf.DUMMYFUNCTION("""COMPUTED_VALUE"""),"SELESAI (VIA PERMOHONAN)")</f>
        <v>SELESAI (VIA PERMOHONAN)</v>
      </c>
      <c r="J3703" s="17">
        <f>IFERROR(__xludf.DUMMYFUNCTION("""COMPUTED_VALUE"""),45909.58590888889)</f>
        <v>45909.58591</v>
      </c>
      <c r="K3703" s="13" t="str">
        <f>IFERROR(__xludf.DUMMYFUNCTION("""COMPUTED_VALUE"""),"Selesai")</f>
        <v>Selesai</v>
      </c>
      <c r="L3703" s="17">
        <f>IFERROR(__xludf.DUMMYFUNCTION("""COMPUTED_VALUE"""),45909.58590888889)</f>
        <v>45909.58591</v>
      </c>
      <c r="M3703" s="13"/>
      <c r="N3703" s="13" t="str">
        <f>IFERROR(__xludf.DUMMYFUNCTION("""COMPUTED_VALUE"""),"")</f>
        <v/>
      </c>
      <c r="O3703" s="13" t="str">
        <f t="shared" si="1"/>
        <v/>
      </c>
    </row>
    <row r="3704" ht="22.5" customHeight="1">
      <c r="B3704" s="13">
        <f>IFERROR(__xludf.DUMMYFUNCTION("""COMPUTED_VALUE"""),3699.0)</f>
        <v>3699</v>
      </c>
      <c r="C3704" s="13" t="str">
        <f>IFERROR(__xludf.DUMMYFUNCTION("""COMPUTED_VALUE"""),"B. 623/NUSANTARA PERMAI")</f>
        <v>B. 623/NUSANTARA PERMAI</v>
      </c>
      <c r="D3704" s="13" t="str">
        <f>IFERROR(__xludf.DUMMYFUNCTION("""COMPUTED_VALUE"""),"L/24/200825/1")</f>
        <v>L/24/200825/1</v>
      </c>
      <c r="E3704" s="14" t="str">
        <f>IFERROR(__xludf.DUMMYFUNCTION("""COMPUTED_VALUE"""),"Heri (BT)")</f>
        <v>Heri (BT)</v>
      </c>
      <c r="F3704" s="14" t="str">
        <f>IFERROR(__xludf.DUMMYFUNCTION("""COMPUTED_VALUE"""),"SELESAI (VIA PERMOHONAN)")</f>
        <v>SELESAI (VIA PERMOHONAN)</v>
      </c>
      <c r="G3704" s="17">
        <f>IFERROR(__xludf.DUMMYFUNCTION("""COMPUTED_VALUE"""),45908.65211512732)</f>
        <v>45908.65212</v>
      </c>
      <c r="H3704" s="14" t="str">
        <f>IFERROR(__xludf.DUMMYFUNCTION("""COMPUTED_VALUE"""),"Eci (SU)")</f>
        <v>Eci (SU)</v>
      </c>
      <c r="I3704" s="13" t="str">
        <f>IFERROR(__xludf.DUMMYFUNCTION("""COMPUTED_VALUE"""),"SELESAI (VIA PERMOHONAN)")</f>
        <v>SELESAI (VIA PERMOHONAN)</v>
      </c>
      <c r="J3704" s="17">
        <f>IFERROR(__xludf.DUMMYFUNCTION("""COMPUTED_VALUE"""),45909.58438497686)</f>
        <v>45909.58438</v>
      </c>
      <c r="K3704" s="13" t="str">
        <f>IFERROR(__xludf.DUMMYFUNCTION("""COMPUTED_VALUE"""),"Selesai")</f>
        <v>Selesai</v>
      </c>
      <c r="L3704" s="17">
        <f>IFERROR(__xludf.DUMMYFUNCTION("""COMPUTED_VALUE"""),45909.58438497686)</f>
        <v>45909.58438</v>
      </c>
      <c r="M3704" s="13"/>
      <c r="N3704" s="13" t="str">
        <f>IFERROR(__xludf.DUMMYFUNCTION("""COMPUTED_VALUE"""),"")</f>
        <v/>
      </c>
      <c r="O3704" s="13" t="str">
        <f t="shared" si="1"/>
        <v/>
      </c>
    </row>
    <row r="3705" ht="22.5" customHeight="1">
      <c r="B3705" s="13">
        <f>IFERROR(__xludf.DUMMYFUNCTION("""COMPUTED_VALUE"""),3700.0)</f>
        <v>3700</v>
      </c>
      <c r="C3705" s="13" t="str">
        <f>IFERROR(__xludf.DUMMYFUNCTION("""COMPUTED_VALUE"""),"B. 673 NUSANTARA PERMAI")</f>
        <v>B. 673 NUSANTARA PERMAI</v>
      </c>
      <c r="D3705" s="13" t="str">
        <f>IFERROR(__xludf.DUMMYFUNCTION("""COMPUTED_VALUE"""),"L/27/110825/1")</f>
        <v>L/27/110825/1</v>
      </c>
      <c r="E3705" s="14" t="str">
        <f>IFERROR(__xludf.DUMMYFUNCTION("""COMPUTED_VALUE"""),"Heri (BT)")</f>
        <v>Heri (BT)</v>
      </c>
      <c r="F3705" s="14" t="str">
        <f>IFERROR(__xludf.DUMMYFUNCTION("""COMPUTED_VALUE"""),"SELESAI (VIA PERMOHONAN)")</f>
        <v>SELESAI (VIA PERMOHONAN)</v>
      </c>
      <c r="G3705" s="17">
        <f>IFERROR(__xludf.DUMMYFUNCTION("""COMPUTED_VALUE"""),45908.65211512732)</f>
        <v>45908.65212</v>
      </c>
      <c r="H3705" s="14" t="str">
        <f>IFERROR(__xludf.DUMMYFUNCTION("""COMPUTED_VALUE"""),"Eci (SU)")</f>
        <v>Eci (SU)</v>
      </c>
      <c r="I3705" s="13" t="str">
        <f>IFERROR(__xludf.DUMMYFUNCTION("""COMPUTED_VALUE"""),"SELESAI (VIA PERMOHONAN)")</f>
        <v>SELESAI (VIA PERMOHONAN)</v>
      </c>
      <c r="J3705" s="17">
        <f>IFERROR(__xludf.DUMMYFUNCTION("""COMPUTED_VALUE"""),45909.585593842596)</f>
        <v>45909.58559</v>
      </c>
      <c r="K3705" s="13" t="str">
        <f>IFERROR(__xludf.DUMMYFUNCTION("""COMPUTED_VALUE"""),"Selesai")</f>
        <v>Selesai</v>
      </c>
      <c r="L3705" s="17">
        <f>IFERROR(__xludf.DUMMYFUNCTION("""COMPUTED_VALUE"""),45909.585593842596)</f>
        <v>45909.58559</v>
      </c>
      <c r="M3705" s="13"/>
      <c r="N3705" s="13" t="str">
        <f>IFERROR(__xludf.DUMMYFUNCTION("""COMPUTED_VALUE"""),"")</f>
        <v/>
      </c>
      <c r="O3705" s="13" t="str">
        <f t="shared" si="1"/>
        <v/>
      </c>
    </row>
    <row r="3706" ht="22.5" customHeight="1">
      <c r="B3706" s="13">
        <f>IFERROR(__xludf.DUMMYFUNCTION("""COMPUTED_VALUE"""),3701.0)</f>
        <v>3701</v>
      </c>
      <c r="C3706" s="13" t="str">
        <f>IFERROR(__xludf.DUMMYFUNCTION("""COMPUTED_VALUE"""),"M. 2055/KOTA BARU")</f>
        <v>M. 2055/KOTA BARU</v>
      </c>
      <c r="D3706" s="13" t="str">
        <f>IFERROR(__xludf.DUMMYFUNCTION("""COMPUTED_VALUE"""),"L/17/190825/1")</f>
        <v>L/17/190825/1</v>
      </c>
      <c r="E3706" s="14" t="str">
        <f>IFERROR(__xludf.DUMMYFUNCTION("""COMPUTED_VALUE"""),"Heri (BT)")</f>
        <v>Heri (BT)</v>
      </c>
      <c r="F3706" s="14" t="str">
        <f>IFERROR(__xludf.DUMMYFUNCTION("""COMPUTED_VALUE"""),"SELESAI (VIA PERMOHONAN)")</f>
        <v>SELESAI (VIA PERMOHONAN)</v>
      </c>
      <c r="G3706" s="17">
        <f>IFERROR(__xludf.DUMMYFUNCTION("""COMPUTED_VALUE"""),45908.65211512732)</f>
        <v>45908.65212</v>
      </c>
      <c r="H3706" s="14" t="str">
        <f>IFERROR(__xludf.DUMMYFUNCTION("""COMPUTED_VALUE"""),"Eci (SU)")</f>
        <v>Eci (SU)</v>
      </c>
      <c r="I3706" s="13" t="str">
        <f>IFERROR(__xludf.DUMMYFUNCTION("""COMPUTED_VALUE"""),"SELESAI (VIA PERMOHONAN)")</f>
        <v>SELESAI (VIA PERMOHONAN)</v>
      </c>
      <c r="J3706" s="17">
        <f>IFERROR(__xludf.DUMMYFUNCTION("""COMPUTED_VALUE"""),45909.58571032407)</f>
        <v>45909.58571</v>
      </c>
      <c r="K3706" s="13" t="str">
        <f>IFERROR(__xludf.DUMMYFUNCTION("""COMPUTED_VALUE"""),"Selesai")</f>
        <v>Selesai</v>
      </c>
      <c r="L3706" s="17">
        <f>IFERROR(__xludf.DUMMYFUNCTION("""COMPUTED_VALUE"""),45909.58571032407)</f>
        <v>45909.58571</v>
      </c>
      <c r="M3706" s="13"/>
      <c r="N3706" s="13" t="str">
        <f>IFERROR(__xludf.DUMMYFUNCTION("""COMPUTED_VALUE"""),"")</f>
        <v/>
      </c>
      <c r="O3706" s="13" t="str">
        <f t="shared" si="1"/>
        <v/>
      </c>
    </row>
    <row r="3707" ht="22.5" customHeight="1">
      <c r="B3707" s="13">
        <f>IFERROR(__xludf.DUMMYFUNCTION("""COMPUTED_VALUE"""),3702.0)</f>
        <v>3702</v>
      </c>
      <c r="C3707" s="13" t="str">
        <f>IFERROR(__xludf.DUMMYFUNCTION("""COMPUTED_VALUE"""),"B. 857/PERUMNAS WAY KANDIS")</f>
        <v>B. 857/PERUMNAS WAY KANDIS</v>
      </c>
      <c r="D3707" s="13" t="str">
        <f>IFERROR(__xludf.DUMMYFUNCTION("""COMPUTED_VALUE"""),"L/13/280825/1")</f>
        <v>L/13/280825/1</v>
      </c>
      <c r="E3707" s="14" t="str">
        <f>IFERROR(__xludf.DUMMYFUNCTION("""COMPUTED_VALUE"""),"Heri (BT)")</f>
        <v>Heri (BT)</v>
      </c>
      <c r="F3707" s="14" t="str">
        <f>IFERROR(__xludf.DUMMYFUNCTION("""COMPUTED_VALUE"""),"SELESAI (VIA PERMOHONAN)")</f>
        <v>SELESAI (VIA PERMOHONAN)</v>
      </c>
      <c r="G3707" s="17">
        <f>IFERROR(__xludf.DUMMYFUNCTION("""COMPUTED_VALUE"""),45908.65211512732)</f>
        <v>45908.65212</v>
      </c>
      <c r="H3707" s="14" t="str">
        <f>IFERROR(__xludf.DUMMYFUNCTION("""COMPUTED_VALUE"""),"Eci (SU)")</f>
        <v>Eci (SU)</v>
      </c>
      <c r="I3707" s="13" t="str">
        <f>IFERROR(__xludf.DUMMYFUNCTION("""COMPUTED_VALUE"""),"SELESAI (VIA PERMOHONAN)")</f>
        <v>SELESAI (VIA PERMOHONAN)</v>
      </c>
      <c r="J3707" s="17">
        <f>IFERROR(__xludf.DUMMYFUNCTION("""COMPUTED_VALUE"""),45909.585781284724)</f>
        <v>45909.58578</v>
      </c>
      <c r="K3707" s="13" t="str">
        <f>IFERROR(__xludf.DUMMYFUNCTION("""COMPUTED_VALUE"""),"Selesai")</f>
        <v>Selesai</v>
      </c>
      <c r="L3707" s="17">
        <f>IFERROR(__xludf.DUMMYFUNCTION("""COMPUTED_VALUE"""),45909.585781284724)</f>
        <v>45909.58578</v>
      </c>
      <c r="M3707" s="13"/>
      <c r="N3707" s="13" t="str">
        <f>IFERROR(__xludf.DUMMYFUNCTION("""COMPUTED_VALUE"""),"")</f>
        <v/>
      </c>
      <c r="O3707" s="13" t="str">
        <f t="shared" si="1"/>
        <v/>
      </c>
    </row>
    <row r="3708" ht="22.5" customHeight="1">
      <c r="B3708" s="13">
        <f>IFERROR(__xludf.DUMMYFUNCTION("""COMPUTED_VALUE"""),3703.0)</f>
        <v>3703</v>
      </c>
      <c r="C3708" s="13" t="str">
        <f>IFERROR(__xludf.DUMMYFUNCTION("""COMPUTED_VALUE"""),"M. 84/PERUMNAS WAY HALIM")</f>
        <v>M. 84/PERUMNAS WAY HALIM</v>
      </c>
      <c r="D3708" s="13" t="str">
        <f>IFERROR(__xludf.DUMMYFUNCTION("""COMPUTED_VALUE"""),"K/31/220825/4")</f>
        <v>K/31/220825/4</v>
      </c>
      <c r="E3708" s="14" t="str">
        <f>IFERROR(__xludf.DUMMYFUNCTION("""COMPUTED_VALUE"""),"Admin (Migrasi)")</f>
        <v>Admin (Migrasi)</v>
      </c>
      <c r="F3708" s="14" t="str">
        <f>IFERROR(__xludf.DUMMYFUNCTION("""COMPUTED_VALUE"""),"SELESAI (VIA PERMOHONAN)")</f>
        <v>SELESAI (VIA PERMOHONAN)</v>
      </c>
      <c r="G3708" s="17">
        <f>IFERROR(__xludf.DUMMYFUNCTION("""COMPUTED_VALUE"""),45909.46144675926)</f>
        <v>45909.46145</v>
      </c>
      <c r="H3708" s="14" t="str">
        <f>IFERROR(__xludf.DUMMYFUNCTION("""COMPUTED_VALUE"""),"Admin (Migrasi)")</f>
        <v>Admin (Migrasi)</v>
      </c>
      <c r="I3708" s="13" t="str">
        <f>IFERROR(__xludf.DUMMYFUNCTION("""COMPUTED_VALUE"""),"SELESAI (VIA PERMOHONAN)")</f>
        <v>SELESAI (VIA PERMOHONAN)</v>
      </c>
      <c r="J3708" s="17">
        <f>IFERROR(__xludf.DUMMYFUNCTION("""COMPUTED_VALUE"""),45909.46148565972)</f>
        <v>45909.46149</v>
      </c>
      <c r="K3708" s="13" t="str">
        <f>IFERROR(__xludf.DUMMYFUNCTION("""COMPUTED_VALUE"""),"Selesai")</f>
        <v>Selesai</v>
      </c>
      <c r="L3708" s="17">
        <f>IFERROR(__xludf.DUMMYFUNCTION("""COMPUTED_VALUE"""),45909.46148565972)</f>
        <v>45909.46149</v>
      </c>
      <c r="M3708" s="13"/>
      <c r="N3708" s="13" t="str">
        <f>IFERROR(__xludf.DUMMYFUNCTION("""COMPUTED_VALUE"""),"")</f>
        <v/>
      </c>
      <c r="O3708" s="13" t="str">
        <f t="shared" si="1"/>
        <v/>
      </c>
    </row>
    <row r="3709" ht="22.5" customHeight="1">
      <c r="B3709" s="13">
        <f>IFERROR(__xludf.DUMMYFUNCTION("""COMPUTED_VALUE"""),3704.0)</f>
        <v>3704</v>
      </c>
      <c r="C3709" s="13" t="str">
        <f>IFERROR(__xludf.DUMMYFUNCTION("""COMPUTED_VALUE"""),"M.91/PERUMNAS WAY HALIM")</f>
        <v>M.91/PERUMNAS WAY HALIM</v>
      </c>
      <c r="D3709" s="13" t="str">
        <f>IFERROR(__xludf.DUMMYFUNCTION("""COMPUTED_VALUE"""),"K/29/220825/2")</f>
        <v>K/29/220825/2</v>
      </c>
      <c r="E3709" s="14" t="str">
        <f>IFERROR(__xludf.DUMMYFUNCTION("""COMPUTED_VALUE"""),"Admin (Migrasi)")</f>
        <v>Admin (Migrasi)</v>
      </c>
      <c r="F3709" s="14" t="str">
        <f>IFERROR(__xludf.DUMMYFUNCTION("""COMPUTED_VALUE"""),"SELESAI (VIA PERMOHONAN)")</f>
        <v>SELESAI (VIA PERMOHONAN)</v>
      </c>
      <c r="G3709" s="17">
        <f>IFERROR(__xludf.DUMMYFUNCTION("""COMPUTED_VALUE"""),45909.46181315972)</f>
        <v>45909.46181</v>
      </c>
      <c r="H3709" s="14" t="str">
        <f>IFERROR(__xludf.DUMMYFUNCTION("""COMPUTED_VALUE"""),"Admin (Migrasi)")</f>
        <v>Admin (Migrasi)</v>
      </c>
      <c r="I3709" s="13" t="str">
        <f>IFERROR(__xludf.DUMMYFUNCTION("""COMPUTED_VALUE"""),"SELESAI (VIA PERMOHONAN)")</f>
        <v>SELESAI (VIA PERMOHONAN)</v>
      </c>
      <c r="J3709" s="17">
        <f>IFERROR(__xludf.DUMMYFUNCTION("""COMPUTED_VALUE"""),45909.46187755787)</f>
        <v>45909.46188</v>
      </c>
      <c r="K3709" s="13" t="str">
        <f>IFERROR(__xludf.DUMMYFUNCTION("""COMPUTED_VALUE"""),"Selesai")</f>
        <v>Selesai</v>
      </c>
      <c r="L3709" s="17">
        <f>IFERROR(__xludf.DUMMYFUNCTION("""COMPUTED_VALUE"""),45909.46187755787)</f>
        <v>45909.46188</v>
      </c>
      <c r="M3709" s="13"/>
      <c r="N3709" s="13" t="str">
        <f>IFERROR(__xludf.DUMMYFUNCTION("""COMPUTED_VALUE"""),"")</f>
        <v/>
      </c>
      <c r="O3709" s="13" t="str">
        <f t="shared" si="1"/>
        <v/>
      </c>
    </row>
    <row r="3710" ht="22.5" customHeight="1">
      <c r="B3710" s="13">
        <f>IFERROR(__xludf.DUMMYFUNCTION("""COMPUTED_VALUE"""),3705.0)</f>
        <v>3705</v>
      </c>
      <c r="C3710" s="13" t="str">
        <f>IFERROR(__xludf.DUMMYFUNCTION("""COMPUTED_VALUE"""),"M.13349/TANJUNG BARU")</f>
        <v>M.13349/TANJUNG BARU</v>
      </c>
      <c r="D3710" s="13" t="str">
        <f>IFERROR(__xludf.DUMMYFUNCTION("""COMPUTED_VALUE"""),"K/16/260825/2")</f>
        <v>K/16/260825/2</v>
      </c>
      <c r="E3710" s="14" t="str">
        <f>IFERROR(__xludf.DUMMYFUNCTION("""COMPUTED_VALUE"""),"Admin (Migrasi)")</f>
        <v>Admin (Migrasi)</v>
      </c>
      <c r="F3710" s="14" t="str">
        <f>IFERROR(__xludf.DUMMYFUNCTION("""COMPUTED_VALUE"""),"SELESAI (VIA PERMOHONAN)")</f>
        <v>SELESAI (VIA PERMOHONAN)</v>
      </c>
      <c r="G3710" s="17">
        <f>IFERROR(__xludf.DUMMYFUNCTION("""COMPUTED_VALUE"""),45909.462153333334)</f>
        <v>45909.46215</v>
      </c>
      <c r="H3710" s="14" t="str">
        <f>IFERROR(__xludf.DUMMYFUNCTION("""COMPUTED_VALUE"""),"Admin (Migrasi)")</f>
        <v>Admin (Migrasi)</v>
      </c>
      <c r="I3710" s="13" t="str">
        <f>IFERROR(__xludf.DUMMYFUNCTION("""COMPUTED_VALUE"""),"SELESAI (VIA PERMOHONAN)")</f>
        <v>SELESAI (VIA PERMOHONAN)</v>
      </c>
      <c r="J3710" s="17">
        <f>IFERROR(__xludf.DUMMYFUNCTION("""COMPUTED_VALUE"""),45909.462204456024)</f>
        <v>45909.4622</v>
      </c>
      <c r="K3710" s="13" t="str">
        <f>IFERROR(__xludf.DUMMYFUNCTION("""COMPUTED_VALUE"""),"Selesai")</f>
        <v>Selesai</v>
      </c>
      <c r="L3710" s="17">
        <f>IFERROR(__xludf.DUMMYFUNCTION("""COMPUTED_VALUE"""),45909.462204456024)</f>
        <v>45909.4622</v>
      </c>
      <c r="M3710" s="13"/>
      <c r="N3710" s="13" t="str">
        <f>IFERROR(__xludf.DUMMYFUNCTION("""COMPUTED_VALUE"""),"")</f>
        <v/>
      </c>
      <c r="O3710" s="13" t="str">
        <f t="shared" si="1"/>
        <v/>
      </c>
    </row>
    <row r="3711" ht="22.5" customHeight="1">
      <c r="B3711" s="13">
        <f>IFERROR(__xludf.DUMMYFUNCTION("""COMPUTED_VALUE"""),3706.0)</f>
        <v>3706</v>
      </c>
      <c r="C3711" s="13" t="str">
        <f>IFERROR(__xludf.DUMMYFUNCTION("""COMPUTED_VALUE"""),"M. 2058/GUNUNG TERANG")</f>
        <v>M. 2058/GUNUNG TERANG</v>
      </c>
      <c r="D3711" s="13" t="str">
        <f>IFERROR(__xludf.DUMMYFUNCTION("""COMPUTED_VALUE"""),"K/65/210825/1")</f>
        <v>K/65/210825/1</v>
      </c>
      <c r="E3711" s="14" t="str">
        <f>IFERROR(__xludf.DUMMYFUNCTION("""COMPUTED_VALUE"""),"Admin (Migrasi)")</f>
        <v>Admin (Migrasi)</v>
      </c>
      <c r="F3711" s="14" t="str">
        <f>IFERROR(__xludf.DUMMYFUNCTION("""COMPUTED_VALUE"""),"SELESAI (VIA PERMOHONAN)")</f>
        <v>SELESAI (VIA PERMOHONAN)</v>
      </c>
      <c r="G3711" s="17">
        <f>IFERROR(__xludf.DUMMYFUNCTION("""COMPUTED_VALUE"""),45909.46240053241)</f>
        <v>45909.4624</v>
      </c>
      <c r="H3711" s="14" t="str">
        <f>IFERROR(__xludf.DUMMYFUNCTION("""COMPUTED_VALUE"""),"Admin (Migrasi)")</f>
        <v>Admin (Migrasi)</v>
      </c>
      <c r="I3711" s="13" t="str">
        <f>IFERROR(__xludf.DUMMYFUNCTION("""COMPUTED_VALUE"""),"SELESAI (VIA PERMOHONAN)")</f>
        <v>SELESAI (VIA PERMOHONAN)</v>
      </c>
      <c r="J3711" s="17">
        <f>IFERROR(__xludf.DUMMYFUNCTION("""COMPUTED_VALUE"""),45909.46240053241)</f>
        <v>45909.4624</v>
      </c>
      <c r="K3711" s="13" t="str">
        <f>IFERROR(__xludf.DUMMYFUNCTION("""COMPUTED_VALUE"""),"Selesai")</f>
        <v>Selesai</v>
      </c>
      <c r="L3711" s="17">
        <f>IFERROR(__xludf.DUMMYFUNCTION("""COMPUTED_VALUE"""),45909.46240053241)</f>
        <v>45909.4624</v>
      </c>
      <c r="M3711" s="13"/>
      <c r="N3711" s="13" t="str">
        <f>IFERROR(__xludf.DUMMYFUNCTION("""COMPUTED_VALUE"""),"")</f>
        <v/>
      </c>
      <c r="O3711" s="13" t="str">
        <f t="shared" si="1"/>
        <v/>
      </c>
    </row>
    <row r="3712" ht="22.5" customHeight="1">
      <c r="B3712" s="13">
        <f>IFERROR(__xludf.DUMMYFUNCTION("""COMPUTED_VALUE"""),3707.0)</f>
        <v>3707</v>
      </c>
      <c r="C3712" s="13" t="str">
        <f>IFERROR(__xludf.DUMMYFUNCTION("""COMPUTED_VALUE"""),"M. 1663/ SUMUR BATU")</f>
        <v>M. 1663/ SUMUR BATU</v>
      </c>
      <c r="D3712" s="13" t="str">
        <f>IFERROR(__xludf.DUMMYFUNCTION("""COMPUTED_VALUE"""),"K/14/120825/1")</f>
        <v>K/14/120825/1</v>
      </c>
      <c r="E3712" s="14" t="str">
        <f>IFERROR(__xludf.DUMMYFUNCTION("""COMPUTED_VALUE"""),"Heri (BT)")</f>
        <v>Heri (BT)</v>
      </c>
      <c r="F3712" s="14" t="str">
        <f>IFERROR(__xludf.DUMMYFUNCTION("""COMPUTED_VALUE"""),"SELESAI (VIA PERMOHONAN)")</f>
        <v>SELESAI (VIA PERMOHONAN)</v>
      </c>
      <c r="G3712" s="17">
        <f>IFERROR(__xludf.DUMMYFUNCTION("""COMPUTED_VALUE"""),45909.567613437495)</f>
        <v>45909.56761</v>
      </c>
      <c r="H3712" s="14" t="str">
        <f>IFERROR(__xludf.DUMMYFUNCTION("""COMPUTED_VALUE"""),"Eci (SU)")</f>
        <v>Eci (SU)</v>
      </c>
      <c r="I3712" s="13" t="str">
        <f>IFERROR(__xludf.DUMMYFUNCTION("""COMPUTED_VALUE"""),"SELESAI (VIA PERMOHONAN)")</f>
        <v>SELESAI (VIA PERMOHONAN)</v>
      </c>
      <c r="J3712" s="17">
        <f>IFERROR(__xludf.DUMMYFUNCTION("""COMPUTED_VALUE"""),45911.642486145836)</f>
        <v>45911.64249</v>
      </c>
      <c r="K3712" s="13" t="str">
        <f>IFERROR(__xludf.DUMMYFUNCTION("""COMPUTED_VALUE"""),"Selesai")</f>
        <v>Selesai</v>
      </c>
      <c r="L3712" s="17">
        <f>IFERROR(__xludf.DUMMYFUNCTION("""COMPUTED_VALUE"""),45911.642486145836)</f>
        <v>45911.64249</v>
      </c>
      <c r="M3712" s="13"/>
      <c r="N3712" s="13" t="str">
        <f>IFERROR(__xludf.DUMMYFUNCTION("""COMPUTED_VALUE"""),"")</f>
        <v/>
      </c>
      <c r="O3712" s="13" t="str">
        <f t="shared" si="1"/>
        <v/>
      </c>
    </row>
    <row r="3713" ht="22.5" customHeight="1">
      <c r="B3713" s="13">
        <f>IFERROR(__xludf.DUMMYFUNCTION("""COMPUTED_VALUE"""),3708.0)</f>
        <v>3708</v>
      </c>
      <c r="C3713" s="13" t="str">
        <f>IFERROR(__xludf.DUMMYFUNCTION("""COMPUTED_VALUE"""),"M. 1208/ RAWA LAUT")</f>
        <v>M. 1208/ RAWA LAUT</v>
      </c>
      <c r="D3713" s="13" t="str">
        <f>IFERROR(__xludf.DUMMYFUNCTION("""COMPUTED_VALUE"""),"K/14/190825/1")</f>
        <v>K/14/190825/1</v>
      </c>
      <c r="E3713" s="14" t="str">
        <f>IFERROR(__xludf.DUMMYFUNCTION("""COMPUTED_VALUE"""),"Heri (BT)")</f>
        <v>Heri (BT)</v>
      </c>
      <c r="F3713" s="14" t="str">
        <f>IFERROR(__xludf.DUMMYFUNCTION("""COMPUTED_VALUE"""),"SELESAI (VIA PERMOHONAN)")</f>
        <v>SELESAI (VIA PERMOHONAN)</v>
      </c>
      <c r="G3713" s="17">
        <f>IFERROR(__xludf.DUMMYFUNCTION("""COMPUTED_VALUE"""),45909.567766990745)</f>
        <v>45909.56777</v>
      </c>
      <c r="H3713" s="14" t="str">
        <f>IFERROR(__xludf.DUMMYFUNCTION("""COMPUTED_VALUE"""),"Eci (SU)")</f>
        <v>Eci (SU)</v>
      </c>
      <c r="I3713" s="13" t="str">
        <f>IFERROR(__xludf.DUMMYFUNCTION("""COMPUTED_VALUE"""),"SELESAI (VIA PERMOHONAN)")</f>
        <v>SELESAI (VIA PERMOHONAN)</v>
      </c>
      <c r="J3713" s="17">
        <f>IFERROR(__xludf.DUMMYFUNCTION("""COMPUTED_VALUE"""),45911.6426377662)</f>
        <v>45911.64264</v>
      </c>
      <c r="K3713" s="13" t="str">
        <f>IFERROR(__xludf.DUMMYFUNCTION("""COMPUTED_VALUE"""),"Selesai")</f>
        <v>Selesai</v>
      </c>
      <c r="L3713" s="17">
        <f>IFERROR(__xludf.DUMMYFUNCTION("""COMPUTED_VALUE"""),45911.6426377662)</f>
        <v>45911.64264</v>
      </c>
      <c r="M3713" s="13"/>
      <c r="N3713" s="13" t="str">
        <f>IFERROR(__xludf.DUMMYFUNCTION("""COMPUTED_VALUE"""),"")</f>
        <v/>
      </c>
      <c r="O3713" s="13" t="str">
        <f t="shared" si="1"/>
        <v/>
      </c>
    </row>
    <row r="3714" ht="22.5" customHeight="1">
      <c r="B3714" s="13">
        <f>IFERROR(__xludf.DUMMYFUNCTION("""COMPUTED_VALUE"""),3709.0)</f>
        <v>3709</v>
      </c>
      <c r="C3714" s="13" t="str">
        <f>IFERROR(__xludf.DUMMYFUNCTION("""COMPUTED_VALUE"""),"M 989/ LABUHAN RATU RAYA")</f>
        <v>M 989/ LABUHAN RATU RAYA</v>
      </c>
      <c r="D3714" s="13" t="str">
        <f>IFERROR(__xludf.DUMMYFUNCTION("""COMPUTED_VALUE"""),"K/8/270825/1")</f>
        <v>K/8/270825/1</v>
      </c>
      <c r="E3714" s="14" t="str">
        <f>IFERROR(__xludf.DUMMYFUNCTION("""COMPUTED_VALUE"""),"Heri (BT)")</f>
        <v>Heri (BT)</v>
      </c>
      <c r="F3714" s="14" t="str">
        <f>IFERROR(__xludf.DUMMYFUNCTION("""COMPUTED_VALUE"""),"SELESAI (VIA PERMOHONAN)")</f>
        <v>SELESAI (VIA PERMOHONAN)</v>
      </c>
      <c r="G3714" s="17">
        <f>IFERROR(__xludf.DUMMYFUNCTION("""COMPUTED_VALUE"""),45909.567930613426)</f>
        <v>45909.56793</v>
      </c>
      <c r="H3714" s="14" t="str">
        <f>IFERROR(__xludf.DUMMYFUNCTION("""COMPUTED_VALUE"""),"Eci (SU)")</f>
        <v>Eci (SU)</v>
      </c>
      <c r="I3714" s="13" t="str">
        <f>IFERROR(__xludf.DUMMYFUNCTION("""COMPUTED_VALUE"""),"SELESAI (VIA PERMOHONAN)")</f>
        <v>SELESAI (VIA PERMOHONAN)</v>
      </c>
      <c r="J3714" s="17">
        <f>IFERROR(__xludf.DUMMYFUNCTION("""COMPUTED_VALUE"""),45911.62580288194)</f>
        <v>45911.6258</v>
      </c>
      <c r="K3714" s="13" t="str">
        <f>IFERROR(__xludf.DUMMYFUNCTION("""COMPUTED_VALUE"""),"Selesai")</f>
        <v>Selesai</v>
      </c>
      <c r="L3714" s="17">
        <f>IFERROR(__xludf.DUMMYFUNCTION("""COMPUTED_VALUE"""),45911.62580288194)</f>
        <v>45911.6258</v>
      </c>
      <c r="M3714" s="13"/>
      <c r="N3714" s="13" t="str">
        <f>IFERROR(__xludf.DUMMYFUNCTION("""COMPUTED_VALUE"""),"")</f>
        <v/>
      </c>
      <c r="O3714" s="13" t="str">
        <f t="shared" si="1"/>
        <v/>
      </c>
    </row>
    <row r="3715" ht="22.5" customHeight="1">
      <c r="B3715" s="13">
        <f>IFERROR(__xludf.DUMMYFUNCTION("""COMPUTED_VALUE"""),3710.0)</f>
        <v>3710</v>
      </c>
      <c r="C3715" s="13" t="str">
        <f>IFERROR(__xludf.DUMMYFUNCTION("""COMPUTED_VALUE"""),"M 1139/ SUMUR BATU")</f>
        <v>M 1139/ SUMUR BATU</v>
      </c>
      <c r="D3715" s="13" t="str">
        <f>IFERROR(__xludf.DUMMYFUNCTION("""COMPUTED_VALUE"""),"K/21/020925/1")</f>
        <v>K/21/020925/1</v>
      </c>
      <c r="E3715" s="14" t="str">
        <f>IFERROR(__xludf.DUMMYFUNCTION("""COMPUTED_VALUE"""),"Heri (BT)")</f>
        <v>Heri (BT)</v>
      </c>
      <c r="F3715" s="14" t="str">
        <f>IFERROR(__xludf.DUMMYFUNCTION("""COMPUTED_VALUE"""),"SELESAI (VIA PERMOHONAN)")</f>
        <v>SELESAI (VIA PERMOHONAN)</v>
      </c>
      <c r="G3715" s="17">
        <f>IFERROR(__xludf.DUMMYFUNCTION("""COMPUTED_VALUE"""),45909.56876150463)</f>
        <v>45909.56876</v>
      </c>
      <c r="H3715" s="14" t="str">
        <f>IFERROR(__xludf.DUMMYFUNCTION("""COMPUTED_VALUE"""),"Eci (SU)")</f>
        <v>Eci (SU)</v>
      </c>
      <c r="I3715" s="13" t="str">
        <f>IFERROR(__xludf.DUMMYFUNCTION("""COMPUTED_VALUE"""),"SELESAI (VIA PERMOHONAN)")</f>
        <v>SELESAI (VIA PERMOHONAN)</v>
      </c>
      <c r="J3715" s="17">
        <f>IFERROR(__xludf.DUMMYFUNCTION("""COMPUTED_VALUE"""),45911.6380396412)</f>
        <v>45911.63804</v>
      </c>
      <c r="K3715" s="13" t="str">
        <f>IFERROR(__xludf.DUMMYFUNCTION("""COMPUTED_VALUE"""),"Selesai")</f>
        <v>Selesai</v>
      </c>
      <c r="L3715" s="17">
        <f>IFERROR(__xludf.DUMMYFUNCTION("""COMPUTED_VALUE"""),45911.6380396412)</f>
        <v>45911.63804</v>
      </c>
      <c r="M3715" s="13"/>
      <c r="N3715" s="13" t="str">
        <f>IFERROR(__xludf.DUMMYFUNCTION("""COMPUTED_VALUE"""),"")</f>
        <v/>
      </c>
      <c r="O3715" s="13" t="str">
        <f t="shared" si="1"/>
        <v/>
      </c>
    </row>
    <row r="3716" ht="22.5" customHeight="1">
      <c r="B3716" s="13">
        <f>IFERROR(__xludf.DUMMYFUNCTION("""COMPUTED_VALUE"""),3711.0)</f>
        <v>3711</v>
      </c>
      <c r="C3716" s="13" t="str">
        <f>IFERROR(__xludf.DUMMYFUNCTION("""COMPUTED_VALUE"""),"M 2071/ LABUHAN RATU RAYA")</f>
        <v>M 2071/ LABUHAN RATU RAYA</v>
      </c>
      <c r="D3716" s="13" t="str">
        <f>IFERROR(__xludf.DUMMYFUNCTION("""COMPUTED_VALUE"""),"K/3/010925/1")</f>
        <v>K/3/010925/1</v>
      </c>
      <c r="E3716" s="14" t="str">
        <f>IFERROR(__xludf.DUMMYFUNCTION("""COMPUTED_VALUE"""),"Heri (BT)")</f>
        <v>Heri (BT)</v>
      </c>
      <c r="F3716" s="14" t="str">
        <f>IFERROR(__xludf.DUMMYFUNCTION("""COMPUTED_VALUE"""),"SELESAI (VIA PERMOHONAN)")</f>
        <v>SELESAI (VIA PERMOHONAN)</v>
      </c>
      <c r="G3716" s="17">
        <f>IFERROR(__xludf.DUMMYFUNCTION("""COMPUTED_VALUE"""),45909.5688375)</f>
        <v>45909.56884</v>
      </c>
      <c r="H3716" s="14" t="str">
        <f>IFERROR(__xludf.DUMMYFUNCTION("""COMPUTED_VALUE"""),"Eci (SU)")</f>
        <v>Eci (SU)</v>
      </c>
      <c r="I3716" s="13" t="str">
        <f>IFERROR(__xludf.DUMMYFUNCTION("""COMPUTED_VALUE"""),"SELESAI (VIA PERMOHONAN)")</f>
        <v>SELESAI (VIA PERMOHONAN)</v>
      </c>
      <c r="J3716" s="17">
        <f>IFERROR(__xludf.DUMMYFUNCTION("""COMPUTED_VALUE"""),45911.63344576389)</f>
        <v>45911.63345</v>
      </c>
      <c r="K3716" s="13" t="str">
        <f>IFERROR(__xludf.DUMMYFUNCTION("""COMPUTED_VALUE"""),"Selesai")</f>
        <v>Selesai</v>
      </c>
      <c r="L3716" s="17">
        <f>IFERROR(__xludf.DUMMYFUNCTION("""COMPUTED_VALUE"""),45911.63344576389)</f>
        <v>45911.63345</v>
      </c>
      <c r="M3716" s="13"/>
      <c r="N3716" s="13" t="str">
        <f>IFERROR(__xludf.DUMMYFUNCTION("""COMPUTED_VALUE"""),"")</f>
        <v/>
      </c>
      <c r="O3716" s="13" t="str">
        <f t="shared" si="1"/>
        <v/>
      </c>
    </row>
    <row r="3717" ht="22.5" customHeight="1">
      <c r="B3717" s="13">
        <f>IFERROR(__xludf.DUMMYFUNCTION("""COMPUTED_VALUE"""),3712.0)</f>
        <v>3712</v>
      </c>
      <c r="C3717" s="13" t="str">
        <f>IFERROR(__xludf.DUMMYFUNCTION("""COMPUTED_VALUE"""),"M 1357/ SUMUR PUTRI")</f>
        <v>M 1357/ SUMUR PUTRI</v>
      </c>
      <c r="D3717" s="13" t="str">
        <f>IFERROR(__xludf.DUMMYFUNCTION("""COMPUTED_VALUE"""),"K/29/250825/1")</f>
        <v>K/29/250825/1</v>
      </c>
      <c r="E3717" s="14" t="str">
        <f>IFERROR(__xludf.DUMMYFUNCTION("""COMPUTED_VALUE"""),"Heri (BT)")</f>
        <v>Heri (BT)</v>
      </c>
      <c r="F3717" s="14" t="str">
        <f>IFERROR(__xludf.DUMMYFUNCTION("""COMPUTED_VALUE"""),"SELESAI (VIA PERMOHONAN)")</f>
        <v>SELESAI (VIA PERMOHONAN)</v>
      </c>
      <c r="G3717" s="17">
        <f>IFERROR(__xludf.DUMMYFUNCTION("""COMPUTED_VALUE"""),45909.5689774537)</f>
        <v>45909.56898</v>
      </c>
      <c r="H3717" s="14" t="str">
        <f>IFERROR(__xludf.DUMMYFUNCTION("""COMPUTED_VALUE"""),"Eci (SU)")</f>
        <v>Eci (SU)</v>
      </c>
      <c r="I3717" s="13" t="str">
        <f>IFERROR(__xludf.DUMMYFUNCTION("""COMPUTED_VALUE"""),"SELESAI (VIA PERMOHONAN)")</f>
        <v>SELESAI (VIA PERMOHONAN)</v>
      </c>
      <c r="J3717" s="17">
        <f>IFERROR(__xludf.DUMMYFUNCTION("""COMPUTED_VALUE"""),45911.64232814815)</f>
        <v>45911.64233</v>
      </c>
      <c r="K3717" s="13" t="str">
        <f>IFERROR(__xludf.DUMMYFUNCTION("""COMPUTED_VALUE"""),"Selesai")</f>
        <v>Selesai</v>
      </c>
      <c r="L3717" s="17">
        <f>IFERROR(__xludf.DUMMYFUNCTION("""COMPUTED_VALUE"""),45911.64232814815)</f>
        <v>45911.64233</v>
      </c>
      <c r="M3717" s="13"/>
      <c r="N3717" s="13" t="str">
        <f>IFERROR(__xludf.DUMMYFUNCTION("""COMPUTED_VALUE"""),"")</f>
        <v/>
      </c>
      <c r="O3717" s="13" t="str">
        <f t="shared" si="1"/>
        <v/>
      </c>
    </row>
    <row r="3718" ht="22.5" customHeight="1">
      <c r="B3718" s="13">
        <f>IFERROR(__xludf.DUMMYFUNCTION("""COMPUTED_VALUE"""),3713.0)</f>
        <v>3713</v>
      </c>
      <c r="C3718" s="13" t="str">
        <f>IFERROR(__xludf.DUMMYFUNCTION("""COMPUTED_VALUE"""),"M. 860/ SUMBER AGUNG")</f>
        <v>M. 860/ SUMBER AGUNG</v>
      </c>
      <c r="D3718" s="13" t="str">
        <f>IFERROR(__xludf.DUMMYFUNCTION("""COMPUTED_VALUE"""),"K/35/150825/2")</f>
        <v>K/35/150825/2</v>
      </c>
      <c r="E3718" s="14" t="str">
        <f>IFERROR(__xludf.DUMMYFUNCTION("""COMPUTED_VALUE"""),"Heri (BT)")</f>
        <v>Heri (BT)</v>
      </c>
      <c r="F3718" s="14" t="str">
        <f>IFERROR(__xludf.DUMMYFUNCTION("""COMPUTED_VALUE"""),"SELESAI (VIA PERMOHONAN)")</f>
        <v>SELESAI (VIA PERMOHONAN)</v>
      </c>
      <c r="G3718" s="17">
        <f>IFERROR(__xludf.DUMMYFUNCTION("""COMPUTED_VALUE"""),45909.569114259255)</f>
        <v>45909.56911</v>
      </c>
      <c r="H3718" s="14" t="str">
        <f>IFERROR(__xludf.DUMMYFUNCTION("""COMPUTED_VALUE"""),"Eci (SU)")</f>
        <v>Eci (SU)</v>
      </c>
      <c r="I3718" s="13" t="str">
        <f>IFERROR(__xludf.DUMMYFUNCTION("""COMPUTED_VALUE"""),"SELESAI (VIA PERMOHONAN)")</f>
        <v>SELESAI (VIA PERMOHONAN)</v>
      </c>
      <c r="J3718" s="17">
        <f>IFERROR(__xludf.DUMMYFUNCTION("""COMPUTED_VALUE"""),45911.63783479166)</f>
        <v>45911.63783</v>
      </c>
      <c r="K3718" s="13" t="str">
        <f>IFERROR(__xludf.DUMMYFUNCTION("""COMPUTED_VALUE"""),"Selesai")</f>
        <v>Selesai</v>
      </c>
      <c r="L3718" s="17">
        <f>IFERROR(__xludf.DUMMYFUNCTION("""COMPUTED_VALUE"""),45911.63783479166)</f>
        <v>45911.63783</v>
      </c>
      <c r="M3718" s="13"/>
      <c r="N3718" s="13" t="str">
        <f>IFERROR(__xludf.DUMMYFUNCTION("""COMPUTED_VALUE"""),"")</f>
        <v/>
      </c>
      <c r="O3718" s="13" t="str">
        <f t="shared" si="1"/>
        <v/>
      </c>
    </row>
    <row r="3719" ht="22.5" customHeight="1">
      <c r="B3719" s="13">
        <f>IFERROR(__xludf.DUMMYFUNCTION("""COMPUTED_VALUE"""),3714.0)</f>
        <v>3714</v>
      </c>
      <c r="C3719" s="13" t="str">
        <f>IFERROR(__xludf.DUMMYFUNCTION("""COMPUTED_VALUE"""),"M. 1608/ KETEGUHAN")</f>
        <v>M. 1608/ KETEGUHAN</v>
      </c>
      <c r="D3719" s="13" t="str">
        <f>IFERROR(__xludf.DUMMYFUNCTION("""COMPUTED_VALUE"""),"K/25/190825/1")</f>
        <v>K/25/190825/1</v>
      </c>
      <c r="E3719" s="14" t="str">
        <f>IFERROR(__xludf.DUMMYFUNCTION("""COMPUTED_VALUE"""),"Heri (BT)")</f>
        <v>Heri (BT)</v>
      </c>
      <c r="F3719" s="14" t="str">
        <f>IFERROR(__xludf.DUMMYFUNCTION("""COMPUTED_VALUE"""),"SELESAI (VIA PERMOHONAN)")</f>
        <v>SELESAI (VIA PERMOHONAN)</v>
      </c>
      <c r="G3719" s="17">
        <f>IFERROR(__xludf.DUMMYFUNCTION("""COMPUTED_VALUE"""),45909.56926379629)</f>
        <v>45909.56926</v>
      </c>
      <c r="H3719" s="14" t="str">
        <f>IFERROR(__xludf.DUMMYFUNCTION("""COMPUTED_VALUE"""),"Eci (SU)")</f>
        <v>Eci (SU)</v>
      </c>
      <c r="I3719" s="13" t="str">
        <f>IFERROR(__xludf.DUMMYFUNCTION("""COMPUTED_VALUE"""),"SELESAI (VIA PERMOHONAN)")</f>
        <v>SELESAI (VIA PERMOHONAN)</v>
      </c>
      <c r="J3719" s="17">
        <f>IFERROR(__xludf.DUMMYFUNCTION("""COMPUTED_VALUE"""),45911.63768678241)</f>
        <v>45911.63769</v>
      </c>
      <c r="K3719" s="13" t="str">
        <f>IFERROR(__xludf.DUMMYFUNCTION("""COMPUTED_VALUE"""),"Selesai")</f>
        <v>Selesai</v>
      </c>
      <c r="L3719" s="17">
        <f>IFERROR(__xludf.DUMMYFUNCTION("""COMPUTED_VALUE"""),45911.63768678241)</f>
        <v>45911.63769</v>
      </c>
      <c r="M3719" s="13"/>
      <c r="N3719" s="13" t="str">
        <f>IFERROR(__xludf.DUMMYFUNCTION("""COMPUTED_VALUE"""),"")</f>
        <v/>
      </c>
      <c r="O3719" s="13" t="str">
        <f t="shared" si="1"/>
        <v/>
      </c>
    </row>
    <row r="3720" ht="22.5" customHeight="1">
      <c r="B3720" s="13">
        <f>IFERROR(__xludf.DUMMYFUNCTION("""COMPUTED_VALUE"""),3715.0)</f>
        <v>3715</v>
      </c>
      <c r="C3720" s="13" t="str">
        <f>IFERROR(__xludf.DUMMYFUNCTION("""COMPUTED_VALUE"""),"B. 943/C.J")</f>
        <v>B. 943/C.J</v>
      </c>
      <c r="D3720" s="13" t="str">
        <f>IFERROR(__xludf.DUMMYFUNCTION("""COMPUTED_VALUE"""),"K/8/070825/1")</f>
        <v>K/8/070825/1</v>
      </c>
      <c r="E3720" s="14" t="str">
        <f>IFERROR(__xludf.DUMMYFUNCTION("""COMPUTED_VALUE"""),"Heri (BT)")</f>
        <v>Heri (BT)</v>
      </c>
      <c r="F3720" s="14" t="str">
        <f>IFERROR(__xludf.DUMMYFUNCTION("""COMPUTED_VALUE"""),"SELESAI (VIA PERMOHONAN)")</f>
        <v>SELESAI (VIA PERMOHONAN)</v>
      </c>
      <c r="G3720" s="17">
        <f>IFERROR(__xludf.DUMMYFUNCTION("""COMPUTED_VALUE"""),45909.56942179398)</f>
        <v>45909.56942</v>
      </c>
      <c r="H3720" s="14" t="str">
        <f>IFERROR(__xludf.DUMMYFUNCTION("""COMPUTED_VALUE"""),"Eci (SU)")</f>
        <v>Eci (SU)</v>
      </c>
      <c r="I3720" s="13" t="str">
        <f>IFERROR(__xludf.DUMMYFUNCTION("""COMPUTED_VALUE"""),"SELESAI (VIA PERMOHONAN)")</f>
        <v>SELESAI (VIA PERMOHONAN)</v>
      </c>
      <c r="J3720" s="17">
        <f>IFERROR(__xludf.DUMMYFUNCTION("""COMPUTED_VALUE"""),45911.63756841436)</f>
        <v>45911.63757</v>
      </c>
      <c r="K3720" s="13" t="str">
        <f>IFERROR(__xludf.DUMMYFUNCTION("""COMPUTED_VALUE"""),"Selesai")</f>
        <v>Selesai</v>
      </c>
      <c r="L3720" s="17">
        <f>IFERROR(__xludf.DUMMYFUNCTION("""COMPUTED_VALUE"""),45911.63756841436)</f>
        <v>45911.63757</v>
      </c>
      <c r="M3720" s="13"/>
      <c r="N3720" s="13" t="str">
        <f>IFERROR(__xludf.DUMMYFUNCTION("""COMPUTED_VALUE"""),"")</f>
        <v/>
      </c>
      <c r="O3720" s="13" t="str">
        <f t="shared" si="1"/>
        <v/>
      </c>
    </row>
    <row r="3721" ht="22.5" customHeight="1">
      <c r="B3721" s="13">
        <f>IFERROR(__xludf.DUMMYFUNCTION("""COMPUTED_VALUE"""),3716.0)</f>
        <v>3716</v>
      </c>
      <c r="C3721" s="13" t="str">
        <f>IFERROR(__xludf.DUMMYFUNCTION("""COMPUTED_VALUE"""),"M. 1865/ Tanjung Seneng")</f>
        <v>M. 1865/ Tanjung Seneng</v>
      </c>
      <c r="D3721" s="13" t="str">
        <f>IFERROR(__xludf.DUMMYFUNCTION("""COMPUTED_VALUE"""),"K/31/080725/1")</f>
        <v>K/31/080725/1</v>
      </c>
      <c r="E3721" s="14" t="str">
        <f>IFERROR(__xludf.DUMMYFUNCTION("""COMPUTED_VALUE"""),"Heri (BT)")</f>
        <v>Heri (BT)</v>
      </c>
      <c r="F3721" s="14" t="str">
        <f>IFERROR(__xludf.DUMMYFUNCTION("""COMPUTED_VALUE"""),"SELESAI (VIA PERMOHONAN)")</f>
        <v>SELESAI (VIA PERMOHONAN)</v>
      </c>
      <c r="G3721" s="17">
        <f>IFERROR(__xludf.DUMMYFUNCTION("""COMPUTED_VALUE"""),45909.57003267361)</f>
        <v>45909.57003</v>
      </c>
      <c r="H3721" s="14" t="str">
        <f>IFERROR(__xludf.DUMMYFUNCTION("""COMPUTED_VALUE"""),"Eci (SU)")</f>
        <v>Eci (SU)</v>
      </c>
      <c r="I3721" s="13" t="str">
        <f>IFERROR(__xludf.DUMMYFUNCTION("""COMPUTED_VALUE"""),"SELESAI (VIA PERMOHONAN)")</f>
        <v>SELESAI (VIA PERMOHONAN)</v>
      </c>
      <c r="J3721" s="17">
        <f>IFERROR(__xludf.DUMMYFUNCTION("""COMPUTED_VALUE"""),45911.62591386574)</f>
        <v>45911.62591</v>
      </c>
      <c r="K3721" s="13" t="str">
        <f>IFERROR(__xludf.DUMMYFUNCTION("""COMPUTED_VALUE"""),"Selesai")</f>
        <v>Selesai</v>
      </c>
      <c r="L3721" s="17">
        <f>IFERROR(__xludf.DUMMYFUNCTION("""COMPUTED_VALUE"""),45911.62591386574)</f>
        <v>45911.62591</v>
      </c>
      <c r="M3721" s="13"/>
      <c r="N3721" s="13" t="str">
        <f>IFERROR(__xludf.DUMMYFUNCTION("""COMPUTED_VALUE"""),"")</f>
        <v/>
      </c>
      <c r="O3721" s="13" t="str">
        <f t="shared" si="1"/>
        <v/>
      </c>
    </row>
    <row r="3722" ht="22.5" customHeight="1">
      <c r="B3722" s="13">
        <f>IFERROR(__xludf.DUMMYFUNCTION("""COMPUTED_VALUE"""),3717.0)</f>
        <v>3717</v>
      </c>
      <c r="C3722" s="13" t="str">
        <f>IFERROR(__xludf.DUMMYFUNCTION("""COMPUTED_VALUE"""),"M. 1660/Bumi Kedamaian")</f>
        <v>M. 1660/Bumi Kedamaian</v>
      </c>
      <c r="D3722" s="13" t="str">
        <f>IFERROR(__xludf.DUMMYFUNCTION("""COMPUTED_VALUE"""),"K/17/200825/1")</f>
        <v>K/17/200825/1</v>
      </c>
      <c r="E3722" s="14" t="str">
        <f>IFERROR(__xludf.DUMMYFUNCTION("""COMPUTED_VALUE"""),"Heri (BT)")</f>
        <v>Heri (BT)</v>
      </c>
      <c r="F3722" s="14" t="str">
        <f>IFERROR(__xludf.DUMMYFUNCTION("""COMPUTED_VALUE"""),"SELESAI (VIA PERMOHONAN)")</f>
        <v>SELESAI (VIA PERMOHONAN)</v>
      </c>
      <c r="G3722" s="17">
        <f>IFERROR(__xludf.DUMMYFUNCTION("""COMPUTED_VALUE"""),45909.57003267361)</f>
        <v>45909.57003</v>
      </c>
      <c r="H3722" s="14" t="str">
        <f>IFERROR(__xludf.DUMMYFUNCTION("""COMPUTED_VALUE"""),"Eci (SU)")</f>
        <v>Eci (SU)</v>
      </c>
      <c r="I3722" s="13" t="str">
        <f>IFERROR(__xludf.DUMMYFUNCTION("""COMPUTED_VALUE"""),"SELESAI (VIA PERMOHONAN)")</f>
        <v>SELESAI (VIA PERMOHONAN)</v>
      </c>
      <c r="J3722" s="17">
        <f>IFERROR(__xludf.DUMMYFUNCTION("""COMPUTED_VALUE"""),45911.63733273148)</f>
        <v>45911.63733</v>
      </c>
      <c r="K3722" s="13" t="str">
        <f>IFERROR(__xludf.DUMMYFUNCTION("""COMPUTED_VALUE"""),"Selesai")</f>
        <v>Selesai</v>
      </c>
      <c r="L3722" s="17">
        <f>IFERROR(__xludf.DUMMYFUNCTION("""COMPUTED_VALUE"""),45911.63733273148)</f>
        <v>45911.63733</v>
      </c>
      <c r="M3722" s="13"/>
      <c r="N3722" s="13" t="str">
        <f>IFERROR(__xludf.DUMMYFUNCTION("""COMPUTED_VALUE"""),"")</f>
        <v/>
      </c>
      <c r="O3722" s="13" t="str">
        <f t="shared" si="1"/>
        <v/>
      </c>
    </row>
    <row r="3723" ht="22.5" customHeight="1">
      <c r="B3723" s="13">
        <f>IFERROR(__xludf.DUMMYFUNCTION("""COMPUTED_VALUE"""),3718.0)</f>
        <v>3718</v>
      </c>
      <c r="C3723" s="13" t="str">
        <f>IFERROR(__xludf.DUMMYFUNCTION("""COMPUTED_VALUE"""),"M. 4358/Langkapura	")</f>
        <v>M. 4358/Langkapura	</v>
      </c>
      <c r="D3723" s="13" t="str">
        <f>IFERROR(__xludf.DUMMYFUNCTION("""COMPUTED_VALUE"""),"K/11/030925/2")</f>
        <v>K/11/030925/2</v>
      </c>
      <c r="E3723" s="14" t="str">
        <f>IFERROR(__xludf.DUMMYFUNCTION("""COMPUTED_VALUE"""),"Heri (BT)")</f>
        <v>Heri (BT)</v>
      </c>
      <c r="F3723" s="14" t="str">
        <f>IFERROR(__xludf.DUMMYFUNCTION("""COMPUTED_VALUE"""),"SELESAI (VIA PERMOHONAN)")</f>
        <v>SELESAI (VIA PERMOHONAN)</v>
      </c>
      <c r="G3723" s="17">
        <f>IFERROR(__xludf.DUMMYFUNCTION("""COMPUTED_VALUE"""),45909.57003267361)</f>
        <v>45909.57003</v>
      </c>
      <c r="H3723" s="14" t="str">
        <f>IFERROR(__xludf.DUMMYFUNCTION("""COMPUTED_VALUE"""),"Eci (SU)")</f>
        <v>Eci (SU)</v>
      </c>
      <c r="I3723" s="13" t="str">
        <f>IFERROR(__xludf.DUMMYFUNCTION("""COMPUTED_VALUE"""),"SELESAI (VIA PERMOHONAN)")</f>
        <v>SELESAI (VIA PERMOHONAN)</v>
      </c>
      <c r="J3723" s="17">
        <f>IFERROR(__xludf.DUMMYFUNCTION("""COMPUTED_VALUE"""),45911.62607920139)</f>
        <v>45911.62608</v>
      </c>
      <c r="K3723" s="13" t="str">
        <f>IFERROR(__xludf.DUMMYFUNCTION("""COMPUTED_VALUE"""),"Selesai")</f>
        <v>Selesai</v>
      </c>
      <c r="L3723" s="17">
        <f>IFERROR(__xludf.DUMMYFUNCTION("""COMPUTED_VALUE"""),45911.62607920139)</f>
        <v>45911.62608</v>
      </c>
      <c r="M3723" s="13"/>
      <c r="N3723" s="13" t="str">
        <f>IFERROR(__xludf.DUMMYFUNCTION("""COMPUTED_VALUE"""),"")</f>
        <v/>
      </c>
      <c r="O3723" s="13" t="str">
        <f t="shared" si="1"/>
        <v/>
      </c>
    </row>
    <row r="3724" ht="22.5" customHeight="1">
      <c r="B3724" s="13">
        <f>IFERROR(__xludf.DUMMYFUNCTION("""COMPUTED_VALUE"""),3719.0)</f>
        <v>3719</v>
      </c>
      <c r="C3724" s="13" t="str">
        <f>IFERROR(__xludf.DUMMYFUNCTION("""COMPUTED_VALUE"""),"M. 159/Palapa	")</f>
        <v>M. 159/Palapa	</v>
      </c>
      <c r="D3724" s="13" t="str">
        <f>IFERROR(__xludf.DUMMYFUNCTION("""COMPUTED_VALUE"""),"K/50/020925/1")</f>
        <v>K/50/020925/1</v>
      </c>
      <c r="E3724" s="14" t="str">
        <f>IFERROR(__xludf.DUMMYFUNCTION("""COMPUTED_VALUE"""),"Heri (BT)")</f>
        <v>Heri (BT)</v>
      </c>
      <c r="F3724" s="14" t="str">
        <f>IFERROR(__xludf.DUMMYFUNCTION("""COMPUTED_VALUE"""),"SELESAI (VIA PERMOHONAN)")</f>
        <v>SELESAI (VIA PERMOHONAN)</v>
      </c>
      <c r="G3724" s="17">
        <f>IFERROR(__xludf.DUMMYFUNCTION("""COMPUTED_VALUE"""),45909.570426782404)</f>
        <v>45909.57043</v>
      </c>
      <c r="H3724" s="14" t="str">
        <f>IFERROR(__xludf.DUMMYFUNCTION("""COMPUTED_VALUE"""),"Eci (SU)")</f>
        <v>Eci (SU)</v>
      </c>
      <c r="I3724" s="13" t="str">
        <f>IFERROR(__xludf.DUMMYFUNCTION("""COMPUTED_VALUE"""),"SELESAI (VIA PERMOHONAN)")</f>
        <v>SELESAI (VIA PERMOHONAN)</v>
      </c>
      <c r="J3724" s="17">
        <f>IFERROR(__xludf.DUMMYFUNCTION("""COMPUTED_VALUE"""),45911.626272951384)</f>
        <v>45911.62627</v>
      </c>
      <c r="K3724" s="13" t="str">
        <f>IFERROR(__xludf.DUMMYFUNCTION("""COMPUTED_VALUE"""),"Selesai")</f>
        <v>Selesai</v>
      </c>
      <c r="L3724" s="17">
        <f>IFERROR(__xludf.DUMMYFUNCTION("""COMPUTED_VALUE"""),45911.626272951384)</f>
        <v>45911.62627</v>
      </c>
      <c r="M3724" s="13"/>
      <c r="N3724" s="13" t="str">
        <f>IFERROR(__xludf.DUMMYFUNCTION("""COMPUTED_VALUE"""),"")</f>
        <v/>
      </c>
      <c r="O3724" s="13" t="str">
        <f t="shared" si="1"/>
        <v/>
      </c>
    </row>
    <row r="3725" ht="22.5" customHeight="1">
      <c r="B3725" s="13">
        <f>IFERROR(__xludf.DUMMYFUNCTION("""COMPUTED_VALUE"""),3720.0)</f>
        <v>3720</v>
      </c>
      <c r="C3725" s="13" t="str">
        <f>IFERROR(__xludf.DUMMYFUNCTION("""COMPUTED_VALUE"""),"B. 100/ Bumi Kedamaian")</f>
        <v>B. 100/ Bumi Kedamaian</v>
      </c>
      <c r="D3725" s="13" t="str">
        <f>IFERROR(__xludf.DUMMYFUNCTION("""COMPUTED_VALUE"""),"K/10/110825/1")</f>
        <v>K/10/110825/1</v>
      </c>
      <c r="E3725" s="14" t="str">
        <f>IFERROR(__xludf.DUMMYFUNCTION("""COMPUTED_VALUE"""),"Heri (BT)")</f>
        <v>Heri (BT)</v>
      </c>
      <c r="F3725" s="14" t="str">
        <f>IFERROR(__xludf.DUMMYFUNCTION("""COMPUTED_VALUE"""),"SELESAI (VIA PERMOHONAN)")</f>
        <v>SELESAI (VIA PERMOHONAN)</v>
      </c>
      <c r="G3725" s="17">
        <f>IFERROR(__xludf.DUMMYFUNCTION("""COMPUTED_VALUE"""),45909.570566875)</f>
        <v>45909.57057</v>
      </c>
      <c r="H3725" s="14" t="str">
        <f>IFERROR(__xludf.DUMMYFUNCTION("""COMPUTED_VALUE"""),"Eci (SU)")</f>
        <v>Eci (SU)</v>
      </c>
      <c r="I3725" s="13" t="str">
        <f>IFERROR(__xludf.DUMMYFUNCTION("""COMPUTED_VALUE"""),"SELESAI (VIA PERMOHONAN)")</f>
        <v>SELESAI (VIA PERMOHONAN)</v>
      </c>
      <c r="J3725" s="17">
        <f>IFERROR(__xludf.DUMMYFUNCTION("""COMPUTED_VALUE"""),45911.6370150463)</f>
        <v>45911.63702</v>
      </c>
      <c r="K3725" s="13" t="str">
        <f>IFERROR(__xludf.DUMMYFUNCTION("""COMPUTED_VALUE"""),"Selesai")</f>
        <v>Selesai</v>
      </c>
      <c r="L3725" s="17">
        <f>IFERROR(__xludf.DUMMYFUNCTION("""COMPUTED_VALUE"""),45911.6370150463)</f>
        <v>45911.63702</v>
      </c>
      <c r="M3725" s="13"/>
      <c r="N3725" s="13" t="str">
        <f>IFERROR(__xludf.DUMMYFUNCTION("""COMPUTED_VALUE"""),"")</f>
        <v/>
      </c>
      <c r="O3725" s="13" t="str">
        <f t="shared" si="1"/>
        <v/>
      </c>
    </row>
    <row r="3726" ht="22.5" customHeight="1">
      <c r="B3726" s="13">
        <f>IFERROR(__xludf.DUMMYFUNCTION("""COMPUTED_VALUE"""),3721.0)</f>
        <v>3721</v>
      </c>
      <c r="C3726" s="13" t="str">
        <f>IFERROR(__xludf.DUMMYFUNCTION("""COMPUTED_VALUE"""),"M. 2076/Langkapura")</f>
        <v>M. 2076/Langkapura</v>
      </c>
      <c r="D3726" s="13" t="str">
        <f>IFERROR(__xludf.DUMMYFUNCTION("""COMPUTED_VALUE"""),"K/1/260825/1")</f>
        <v>K/1/260825/1</v>
      </c>
      <c r="E3726" s="14" t="str">
        <f>IFERROR(__xludf.DUMMYFUNCTION("""COMPUTED_VALUE"""),"Heri (BT)")</f>
        <v>Heri (BT)</v>
      </c>
      <c r="F3726" s="14" t="str">
        <f>IFERROR(__xludf.DUMMYFUNCTION("""COMPUTED_VALUE"""),"SELESAI (VIA PERMOHONAN)")</f>
        <v>SELESAI (VIA PERMOHONAN)</v>
      </c>
      <c r="G3726" s="17">
        <f>IFERROR(__xludf.DUMMYFUNCTION("""COMPUTED_VALUE"""),45909.57072256945)</f>
        <v>45909.57072</v>
      </c>
      <c r="H3726" s="14" t="str">
        <f>IFERROR(__xludf.DUMMYFUNCTION("""COMPUTED_VALUE"""),"Eci (SU)")</f>
        <v>Eci (SU)</v>
      </c>
      <c r="I3726" s="13" t="str">
        <f>IFERROR(__xludf.DUMMYFUNCTION("""COMPUTED_VALUE"""),"SELESAI (VIA PERMOHONAN)")</f>
        <v>SELESAI (VIA PERMOHONAN)</v>
      </c>
      <c r="J3726" s="17">
        <f>IFERROR(__xludf.DUMMYFUNCTION("""COMPUTED_VALUE"""),45911.626392569444)</f>
        <v>45911.62639</v>
      </c>
      <c r="K3726" s="13" t="str">
        <f>IFERROR(__xludf.DUMMYFUNCTION("""COMPUTED_VALUE"""),"Selesai")</f>
        <v>Selesai</v>
      </c>
      <c r="L3726" s="17">
        <f>IFERROR(__xludf.DUMMYFUNCTION("""COMPUTED_VALUE"""),45911.626392569444)</f>
        <v>45911.62639</v>
      </c>
      <c r="M3726" s="13"/>
      <c r="N3726" s="13" t="str">
        <f>IFERROR(__xludf.DUMMYFUNCTION("""COMPUTED_VALUE"""),"")</f>
        <v/>
      </c>
      <c r="O3726" s="13" t="str">
        <f t="shared" si="1"/>
        <v/>
      </c>
    </row>
    <row r="3727" ht="22.5" customHeight="1">
      <c r="B3727" s="13">
        <f>IFERROR(__xludf.DUMMYFUNCTION("""COMPUTED_VALUE"""),3722.0)</f>
        <v>3722</v>
      </c>
      <c r="C3727" s="13" t="str">
        <f>IFERROR(__xludf.DUMMYFUNCTION("""COMPUTED_VALUE"""),"M. 6916/KEDATON")</f>
        <v>M. 6916/KEDATON</v>
      </c>
      <c r="D3727" s="13" t="str">
        <f>IFERROR(__xludf.DUMMYFUNCTION("""COMPUTED_VALUE"""),"K/24/020925/1")</f>
        <v>K/24/020925/1</v>
      </c>
      <c r="E3727" s="14" t="str">
        <f>IFERROR(__xludf.DUMMYFUNCTION("""COMPUTED_VALUE"""),"Heri (BT)")</f>
        <v>Heri (BT)</v>
      </c>
      <c r="F3727" s="14" t="str">
        <f>IFERROR(__xludf.DUMMYFUNCTION("""COMPUTED_VALUE"""),"SELESAI (VIA PERMOHONAN)")</f>
        <v>SELESAI (VIA PERMOHONAN)</v>
      </c>
      <c r="G3727" s="17">
        <f>IFERROR(__xludf.DUMMYFUNCTION("""COMPUTED_VALUE"""),45909.57120556713)</f>
        <v>45909.57121</v>
      </c>
      <c r="H3727" s="14" t="str">
        <f>IFERROR(__xludf.DUMMYFUNCTION("""COMPUTED_VALUE"""),"Eci (SU)")</f>
        <v>Eci (SU)</v>
      </c>
      <c r="I3727" s="13" t="str">
        <f>IFERROR(__xludf.DUMMYFUNCTION("""COMPUTED_VALUE"""),"SELESAI (VIA PERMOHONAN)")</f>
        <v>SELESAI (VIA PERMOHONAN)</v>
      </c>
      <c r="J3727" s="17">
        <f>IFERROR(__xludf.DUMMYFUNCTION("""COMPUTED_VALUE"""),45911.63626917824)</f>
        <v>45911.63627</v>
      </c>
      <c r="K3727" s="13" t="str">
        <f>IFERROR(__xludf.DUMMYFUNCTION("""COMPUTED_VALUE"""),"Selesai")</f>
        <v>Selesai</v>
      </c>
      <c r="L3727" s="17">
        <f>IFERROR(__xludf.DUMMYFUNCTION("""COMPUTED_VALUE"""),45911.63626917824)</f>
        <v>45911.63627</v>
      </c>
      <c r="M3727" s="13"/>
      <c r="N3727" s="13" t="str">
        <f>IFERROR(__xludf.DUMMYFUNCTION("""COMPUTED_VALUE"""),"")</f>
        <v/>
      </c>
      <c r="O3727" s="13" t="str">
        <f t="shared" si="1"/>
        <v/>
      </c>
    </row>
    <row r="3728" ht="22.5" customHeight="1">
      <c r="B3728" s="13">
        <f>IFERROR(__xludf.DUMMYFUNCTION("""COMPUTED_VALUE"""),3723.0)</f>
        <v>3723</v>
      </c>
      <c r="C3728" s="13" t="str">
        <f>IFERROR(__xludf.DUMMYFUNCTION("""COMPUTED_VALUE"""),"M. 1685/KEMILING RAYA")</f>
        <v>M. 1685/KEMILING RAYA</v>
      </c>
      <c r="D3728" s="13" t="str">
        <f>IFERROR(__xludf.DUMMYFUNCTION("""COMPUTED_VALUE"""),"K/15/270825/1")</f>
        <v>K/15/270825/1</v>
      </c>
      <c r="E3728" s="14" t="str">
        <f>IFERROR(__xludf.DUMMYFUNCTION("""COMPUTED_VALUE"""),"Heri (BT)")</f>
        <v>Heri (BT)</v>
      </c>
      <c r="F3728" s="14" t="str">
        <f>IFERROR(__xludf.DUMMYFUNCTION("""COMPUTED_VALUE"""),"SELESAI (VIA PERMOHONAN)")</f>
        <v>SELESAI (VIA PERMOHONAN)</v>
      </c>
      <c r="G3728" s="17">
        <f>IFERROR(__xludf.DUMMYFUNCTION("""COMPUTED_VALUE"""),45909.57133505787)</f>
        <v>45909.57134</v>
      </c>
      <c r="H3728" s="14" t="str">
        <f>IFERROR(__xludf.DUMMYFUNCTION("""COMPUTED_VALUE"""),"Eci (SU)")</f>
        <v>Eci (SU)</v>
      </c>
      <c r="I3728" s="13" t="str">
        <f>IFERROR(__xludf.DUMMYFUNCTION("""COMPUTED_VALUE"""),"SELESAI (VIA PERMOHONAN)")</f>
        <v>SELESAI (VIA PERMOHONAN)</v>
      </c>
      <c r="J3728" s="17">
        <f>IFERROR(__xludf.DUMMYFUNCTION("""COMPUTED_VALUE"""),45911.625467060185)</f>
        <v>45911.62547</v>
      </c>
      <c r="K3728" s="13" t="str">
        <f>IFERROR(__xludf.DUMMYFUNCTION("""COMPUTED_VALUE"""),"Selesai")</f>
        <v>Selesai</v>
      </c>
      <c r="L3728" s="17">
        <f>IFERROR(__xludf.DUMMYFUNCTION("""COMPUTED_VALUE"""),45911.625467060185)</f>
        <v>45911.62547</v>
      </c>
      <c r="M3728" s="13"/>
      <c r="N3728" s="13" t="str">
        <f>IFERROR(__xludf.DUMMYFUNCTION("""COMPUTED_VALUE"""),"")</f>
        <v/>
      </c>
      <c r="O3728" s="13" t="str">
        <f t="shared" si="1"/>
        <v/>
      </c>
    </row>
    <row r="3729" ht="22.5" customHeight="1">
      <c r="B3729" s="13">
        <f>IFERROR(__xludf.DUMMYFUNCTION("""COMPUTED_VALUE"""),3724.0)</f>
        <v>3724</v>
      </c>
      <c r="C3729" s="13" t="str">
        <f>IFERROR(__xludf.DUMMYFUNCTION("""COMPUTED_VALUE"""),"B. 2414 CAMPANG JAYA")</f>
        <v>B. 2414 CAMPANG JAYA</v>
      </c>
      <c r="D3729" s="13" t="str">
        <f>IFERROR(__xludf.DUMMYFUNCTION("""COMPUTED_VALUE"""),"L/21/270825/1")</f>
        <v>L/21/270825/1</v>
      </c>
      <c r="E3729" s="14" t="str">
        <f>IFERROR(__xludf.DUMMYFUNCTION("""COMPUTED_VALUE"""),"Heri (BT)")</f>
        <v>Heri (BT)</v>
      </c>
      <c r="F3729" s="14" t="str">
        <f>IFERROR(__xludf.DUMMYFUNCTION("""COMPUTED_VALUE"""),"SELESAI (VIA PERMOHONAN)")</f>
        <v>SELESAI (VIA PERMOHONAN)</v>
      </c>
      <c r="G3729" s="17">
        <f>IFERROR(__xludf.DUMMYFUNCTION("""COMPUTED_VALUE"""),45909.57147592593)</f>
        <v>45909.57148</v>
      </c>
      <c r="H3729" s="14" t="str">
        <f>IFERROR(__xludf.DUMMYFUNCTION("""COMPUTED_VALUE"""),"Eci (SU)")</f>
        <v>Eci (SU)</v>
      </c>
      <c r="I3729" s="13" t="str">
        <f>IFERROR(__xludf.DUMMYFUNCTION("""COMPUTED_VALUE"""),"SELESAI (VIA PERMOHONAN)")</f>
        <v>SELESAI (VIA PERMOHONAN)</v>
      </c>
      <c r="J3729" s="17">
        <f>IFERROR(__xludf.DUMMYFUNCTION("""COMPUTED_VALUE"""),45911.627904953704)</f>
        <v>45911.6279</v>
      </c>
      <c r="K3729" s="13" t="str">
        <f>IFERROR(__xludf.DUMMYFUNCTION("""COMPUTED_VALUE"""),"Selesai")</f>
        <v>Selesai</v>
      </c>
      <c r="L3729" s="17">
        <f>IFERROR(__xludf.DUMMYFUNCTION("""COMPUTED_VALUE"""),45911.627904953704)</f>
        <v>45911.6279</v>
      </c>
      <c r="M3729" s="13"/>
      <c r="N3729" s="13" t="str">
        <f>IFERROR(__xludf.DUMMYFUNCTION("""COMPUTED_VALUE"""),"")</f>
        <v/>
      </c>
      <c r="O3729" s="13" t="str">
        <f t="shared" si="1"/>
        <v/>
      </c>
    </row>
    <row r="3730" ht="22.5" customHeight="1">
      <c r="B3730" s="13">
        <f>IFERROR(__xludf.DUMMYFUNCTION("""COMPUTED_VALUE"""),3725.0)</f>
        <v>3725</v>
      </c>
      <c r="C3730" s="13" t="str">
        <f>IFERROR(__xludf.DUMMYFUNCTION("""COMPUTED_VALUE"""),"B. 731/CAMPANG RAYA")</f>
        <v>B. 731/CAMPANG RAYA</v>
      </c>
      <c r="D3730" s="13" t="str">
        <f>IFERROR(__xludf.DUMMYFUNCTION("""COMPUTED_VALUE"""),"L/33/290825/1")</f>
        <v>L/33/290825/1</v>
      </c>
      <c r="E3730" s="14" t="str">
        <f>IFERROR(__xludf.DUMMYFUNCTION("""COMPUTED_VALUE"""),"Heri (BT)")</f>
        <v>Heri (BT)</v>
      </c>
      <c r="F3730" s="14" t="str">
        <f>IFERROR(__xludf.DUMMYFUNCTION("""COMPUTED_VALUE"""),"SELESAI (VIA PERMOHONAN)")</f>
        <v>SELESAI (VIA PERMOHONAN)</v>
      </c>
      <c r="G3730" s="17">
        <f>IFERROR(__xludf.DUMMYFUNCTION("""COMPUTED_VALUE"""),45909.57161539352)</f>
        <v>45909.57162</v>
      </c>
      <c r="H3730" s="14" t="str">
        <f>IFERROR(__xludf.DUMMYFUNCTION("""COMPUTED_VALUE"""),"Eci (SU)")</f>
        <v>Eci (SU)</v>
      </c>
      <c r="I3730" s="13" t="str">
        <f>IFERROR(__xludf.DUMMYFUNCTION("""COMPUTED_VALUE"""),"SELESAI (VIA PERMOHONAN)")</f>
        <v>SELESAI (VIA PERMOHONAN)</v>
      </c>
      <c r="J3730" s="17">
        <f>IFERROR(__xludf.DUMMYFUNCTION("""COMPUTED_VALUE"""),45911.626605011574)</f>
        <v>45911.62661</v>
      </c>
      <c r="K3730" s="13" t="str">
        <f>IFERROR(__xludf.DUMMYFUNCTION("""COMPUTED_VALUE"""),"Selesai")</f>
        <v>Selesai</v>
      </c>
      <c r="L3730" s="17">
        <f>IFERROR(__xludf.DUMMYFUNCTION("""COMPUTED_VALUE"""),45911.626605011574)</f>
        <v>45911.62661</v>
      </c>
      <c r="M3730" s="13"/>
      <c r="N3730" s="13" t="str">
        <f>IFERROR(__xludf.DUMMYFUNCTION("""COMPUTED_VALUE"""),"")</f>
        <v/>
      </c>
      <c r="O3730" s="13" t="str">
        <f t="shared" si="1"/>
        <v/>
      </c>
    </row>
    <row r="3731" ht="22.5" customHeight="1">
      <c r="B3731" s="13">
        <f>IFERROR(__xludf.DUMMYFUNCTION("""COMPUTED_VALUE"""),3726.0)</f>
        <v>3726</v>
      </c>
      <c r="C3731" s="13" t="str">
        <f>IFERROR(__xludf.DUMMYFUNCTION("""COMPUTED_VALUE"""),"M. 490/PERUMNAS WAY KANDIS")</f>
        <v>M. 490/PERUMNAS WAY KANDIS</v>
      </c>
      <c r="D3731" s="13" t="str">
        <f>IFERROR(__xludf.DUMMYFUNCTION("""COMPUTED_VALUE"""),"L/61/020925/1")</f>
        <v>L/61/020925/1</v>
      </c>
      <c r="E3731" s="14" t="str">
        <f>IFERROR(__xludf.DUMMYFUNCTION("""COMPUTED_VALUE"""),"Heri (BT)")</f>
        <v>Heri (BT)</v>
      </c>
      <c r="F3731" s="14" t="str">
        <f>IFERROR(__xludf.DUMMYFUNCTION("""COMPUTED_VALUE"""),"SELESAI (VIA PERMOHONAN)")</f>
        <v>SELESAI (VIA PERMOHONAN)</v>
      </c>
      <c r="G3731" s="17">
        <f>IFERROR(__xludf.DUMMYFUNCTION("""COMPUTED_VALUE"""),45909.57176814815)</f>
        <v>45909.57177</v>
      </c>
      <c r="H3731" s="14" t="str">
        <f>IFERROR(__xludf.DUMMYFUNCTION("""COMPUTED_VALUE"""),"Eci (SU)")</f>
        <v>Eci (SU)</v>
      </c>
      <c r="I3731" s="13" t="str">
        <f>IFERROR(__xludf.DUMMYFUNCTION("""COMPUTED_VALUE"""),"SELESAI (VIA PERMOHONAN)")</f>
        <v>SELESAI (VIA PERMOHONAN)</v>
      </c>
      <c r="J3731" s="17">
        <f>IFERROR(__xludf.DUMMYFUNCTION("""COMPUTED_VALUE"""),45911.6268284375)</f>
        <v>45911.62683</v>
      </c>
      <c r="K3731" s="13" t="str">
        <f>IFERROR(__xludf.DUMMYFUNCTION("""COMPUTED_VALUE"""),"Selesai")</f>
        <v>Selesai</v>
      </c>
      <c r="L3731" s="17">
        <f>IFERROR(__xludf.DUMMYFUNCTION("""COMPUTED_VALUE"""),45911.6268284375)</f>
        <v>45911.62683</v>
      </c>
      <c r="M3731" s="13"/>
      <c r="N3731" s="13" t="str">
        <f>IFERROR(__xludf.DUMMYFUNCTION("""COMPUTED_VALUE"""),"")</f>
        <v/>
      </c>
      <c r="O3731" s="13" t="str">
        <f t="shared" si="1"/>
        <v/>
      </c>
    </row>
    <row r="3732" ht="22.5" customHeight="1">
      <c r="B3732" s="13">
        <f>IFERROR(__xludf.DUMMYFUNCTION("""COMPUTED_VALUE"""),3727.0)</f>
        <v>3727</v>
      </c>
      <c r="C3732" s="13" t="str">
        <f>IFERROR(__xludf.DUMMYFUNCTION("""COMPUTED_VALUE"""),"M. 3375/ Kemiling Permai")</f>
        <v>M. 3375/ Kemiling Permai</v>
      </c>
      <c r="D3732" s="13" t="str">
        <f>IFERROR(__xludf.DUMMYFUNCTION("""COMPUTED_VALUE"""),"K/23/050825/1")</f>
        <v>K/23/050825/1</v>
      </c>
      <c r="E3732" s="14" t="str">
        <f>IFERROR(__xludf.DUMMYFUNCTION("""COMPUTED_VALUE"""),"Heri (BT)")</f>
        <v>Heri (BT)</v>
      </c>
      <c r="F3732" s="14" t="str">
        <f>IFERROR(__xludf.DUMMYFUNCTION("""COMPUTED_VALUE"""),"SELESAI (VIA PERMOHONAN)")</f>
        <v>SELESAI (VIA PERMOHONAN)</v>
      </c>
      <c r="G3732" s="17">
        <f>IFERROR(__xludf.DUMMYFUNCTION("""COMPUTED_VALUE"""),45909.57197802083)</f>
        <v>45909.57198</v>
      </c>
      <c r="H3732" s="14" t="str">
        <f>IFERROR(__xludf.DUMMYFUNCTION("""COMPUTED_VALUE"""),"Eci (SU)")</f>
        <v>Eci (SU)</v>
      </c>
      <c r="I3732" s="13" t="str">
        <f>IFERROR(__xludf.DUMMYFUNCTION("""COMPUTED_VALUE"""),"SELESAI (VIA PERMOHONAN)")</f>
        <v>SELESAI (VIA PERMOHONAN)</v>
      </c>
      <c r="J3732" s="17">
        <f>IFERROR(__xludf.DUMMYFUNCTION("""COMPUTED_VALUE"""),45911.63600296296)</f>
        <v>45911.636</v>
      </c>
      <c r="K3732" s="13" t="str">
        <f>IFERROR(__xludf.DUMMYFUNCTION("""COMPUTED_VALUE"""),"Selesai")</f>
        <v>Selesai</v>
      </c>
      <c r="L3732" s="17">
        <f>IFERROR(__xludf.DUMMYFUNCTION("""COMPUTED_VALUE"""),45911.63600296296)</f>
        <v>45911.636</v>
      </c>
      <c r="M3732" s="13"/>
      <c r="N3732" s="13" t="str">
        <f>IFERROR(__xludf.DUMMYFUNCTION("""COMPUTED_VALUE"""),"")</f>
        <v/>
      </c>
      <c r="O3732" s="13" t="str">
        <f t="shared" si="1"/>
        <v/>
      </c>
    </row>
    <row r="3733" ht="22.5" customHeight="1">
      <c r="B3733" s="13">
        <f>IFERROR(__xludf.DUMMYFUNCTION("""COMPUTED_VALUE"""),3728.0)</f>
        <v>3728</v>
      </c>
      <c r="C3733" s="13" t="str">
        <f>IFERROR(__xludf.DUMMYFUNCTION("""COMPUTED_VALUE"""),"B. 618/NUSANTARA PERMAI")</f>
        <v>B. 618/NUSANTARA PERMAI</v>
      </c>
      <c r="D3733" s="13" t="str">
        <f>IFERROR(__xludf.DUMMYFUNCTION("""COMPUTED_VALUE"""),"L/53/020925/1")</f>
        <v>L/53/020925/1</v>
      </c>
      <c r="E3733" s="14" t="str">
        <f>IFERROR(__xludf.DUMMYFUNCTION("""COMPUTED_VALUE"""),"Heri (BT)")</f>
        <v>Heri (BT)</v>
      </c>
      <c r="F3733" s="14" t="str">
        <f>IFERROR(__xludf.DUMMYFUNCTION("""COMPUTED_VALUE"""),"SELESAI (VIA PERMOHONAN)")</f>
        <v>SELESAI (VIA PERMOHONAN)</v>
      </c>
      <c r="G3733" s="17">
        <f>IFERROR(__xludf.DUMMYFUNCTION("""COMPUTED_VALUE"""),45909.572180243056)</f>
        <v>45909.57218</v>
      </c>
      <c r="H3733" s="14" t="str">
        <f>IFERROR(__xludf.DUMMYFUNCTION("""COMPUTED_VALUE"""),"Eci (SU)")</f>
        <v>Eci (SU)</v>
      </c>
      <c r="I3733" s="13" t="str">
        <f>IFERROR(__xludf.DUMMYFUNCTION("""COMPUTED_VALUE"""),"SELESAI (VIA PERMOHONAN)")</f>
        <v>SELESAI (VIA PERMOHONAN)</v>
      </c>
      <c r="J3733" s="17">
        <f>IFERROR(__xludf.DUMMYFUNCTION("""COMPUTED_VALUE"""),45911.62811675926)</f>
        <v>45911.62812</v>
      </c>
      <c r="K3733" s="13" t="str">
        <f>IFERROR(__xludf.DUMMYFUNCTION("""COMPUTED_VALUE"""),"Selesai")</f>
        <v>Selesai</v>
      </c>
      <c r="L3733" s="17">
        <f>IFERROR(__xludf.DUMMYFUNCTION("""COMPUTED_VALUE"""),45911.62811675926)</f>
        <v>45911.62812</v>
      </c>
      <c r="M3733" s="13"/>
      <c r="N3733" s="13" t="str">
        <f>IFERROR(__xludf.DUMMYFUNCTION("""COMPUTED_VALUE"""),"")</f>
        <v/>
      </c>
      <c r="O3733" s="13" t="str">
        <f t="shared" si="1"/>
        <v/>
      </c>
    </row>
    <row r="3734" ht="22.5" customHeight="1">
      <c r="B3734" s="13">
        <f>IFERROR(__xludf.DUMMYFUNCTION("""COMPUTED_VALUE"""),3729.0)</f>
        <v>3729</v>
      </c>
      <c r="C3734" s="13" t="str">
        <f>IFERROR(__xludf.DUMMYFUNCTION("""COMPUTED_VALUE"""),"M. 2303/PINANG JAYA")</f>
        <v>M. 2303/PINANG JAYA</v>
      </c>
      <c r="D3734" s="13" t="str">
        <f>IFERROR(__xludf.DUMMYFUNCTION("""COMPUTED_VALUE"""),"K/4/280825/1")</f>
        <v>K/4/280825/1</v>
      </c>
      <c r="E3734" s="14" t="str">
        <f>IFERROR(__xludf.DUMMYFUNCTION("""COMPUTED_VALUE"""),"Admin (Migrasi)")</f>
        <v>Admin (Migrasi)</v>
      </c>
      <c r="F3734" s="14" t="str">
        <f>IFERROR(__xludf.DUMMYFUNCTION("""COMPUTED_VALUE"""),"SELESAI (VIA PERMOHONAN)")</f>
        <v>SELESAI (VIA PERMOHONAN)</v>
      </c>
      <c r="G3734" s="17">
        <f>IFERROR(__xludf.DUMMYFUNCTION("""COMPUTED_VALUE"""),45910.410798425924)</f>
        <v>45910.4108</v>
      </c>
      <c r="H3734" s="14" t="str">
        <f>IFERROR(__xludf.DUMMYFUNCTION("""COMPUTED_VALUE"""),"Admin (Migrasi)")</f>
        <v>Admin (Migrasi)</v>
      </c>
      <c r="I3734" s="13" t="str">
        <f>IFERROR(__xludf.DUMMYFUNCTION("""COMPUTED_VALUE"""),"SELESAI (VIA PERMOHONAN)")</f>
        <v>SELESAI (VIA PERMOHONAN)</v>
      </c>
      <c r="J3734" s="17">
        <f>IFERROR(__xludf.DUMMYFUNCTION("""COMPUTED_VALUE"""),45910.41081083333)</f>
        <v>45910.41081</v>
      </c>
      <c r="K3734" s="13" t="str">
        <f>IFERROR(__xludf.DUMMYFUNCTION("""COMPUTED_VALUE"""),"Selesai")</f>
        <v>Selesai</v>
      </c>
      <c r="L3734" s="17">
        <f>IFERROR(__xludf.DUMMYFUNCTION("""COMPUTED_VALUE"""),45910.41081083333)</f>
        <v>45910.41081</v>
      </c>
      <c r="M3734" s="13"/>
      <c r="N3734" s="13" t="str">
        <f>IFERROR(__xludf.DUMMYFUNCTION("""COMPUTED_VALUE"""),"")</f>
        <v/>
      </c>
      <c r="O3734" s="13" t="str">
        <f t="shared" si="1"/>
        <v/>
      </c>
    </row>
    <row r="3735" ht="22.5" customHeight="1">
      <c r="B3735" s="13">
        <f>IFERROR(__xludf.DUMMYFUNCTION("""COMPUTED_VALUE"""),3730.0)</f>
        <v>3730</v>
      </c>
      <c r="C3735" s="13" t="str">
        <f>IFERROR(__xludf.DUMMYFUNCTION("""COMPUTED_VALUE"""),"M. 615/Susunan Baru	")</f>
        <v>M. 615/Susunan Baru	</v>
      </c>
      <c r="D3735" s="13" t="str">
        <f>IFERROR(__xludf.DUMMYFUNCTION("""COMPUTED_VALUE"""),"K/5/250825/1")</f>
        <v>K/5/250825/1</v>
      </c>
      <c r="E3735" s="14" t="str">
        <f>IFERROR(__xludf.DUMMYFUNCTION("""COMPUTED_VALUE"""),"Admin (Migrasi)")</f>
        <v>Admin (Migrasi)</v>
      </c>
      <c r="F3735" s="14" t="str">
        <f>IFERROR(__xludf.DUMMYFUNCTION("""COMPUTED_VALUE"""),"SELESAI (VIA PERMOHONAN)")</f>
        <v>SELESAI (VIA PERMOHONAN)</v>
      </c>
      <c r="G3735" s="17">
        <f>IFERROR(__xludf.DUMMYFUNCTION("""COMPUTED_VALUE"""),45910.41095276621)</f>
        <v>45910.41095</v>
      </c>
      <c r="H3735" s="14" t="str">
        <f>IFERROR(__xludf.DUMMYFUNCTION("""COMPUTED_VALUE"""),"Admin (Migrasi)")</f>
        <v>Admin (Migrasi)</v>
      </c>
      <c r="I3735" s="13" t="str">
        <f>IFERROR(__xludf.DUMMYFUNCTION("""COMPUTED_VALUE"""),"SELESAI (VIA PERMOHONAN)")</f>
        <v>SELESAI (VIA PERMOHONAN)</v>
      </c>
      <c r="J3735" s="17">
        <f>IFERROR(__xludf.DUMMYFUNCTION("""COMPUTED_VALUE"""),45910.41097841435)</f>
        <v>45910.41098</v>
      </c>
      <c r="K3735" s="13" t="str">
        <f>IFERROR(__xludf.DUMMYFUNCTION("""COMPUTED_VALUE"""),"Selesai")</f>
        <v>Selesai</v>
      </c>
      <c r="L3735" s="17">
        <f>IFERROR(__xludf.DUMMYFUNCTION("""COMPUTED_VALUE"""),45910.41097841435)</f>
        <v>45910.41098</v>
      </c>
      <c r="M3735" s="13"/>
      <c r="N3735" s="13" t="str">
        <f>IFERROR(__xludf.DUMMYFUNCTION("""COMPUTED_VALUE"""),"")</f>
        <v/>
      </c>
      <c r="O3735" s="13" t="str">
        <f t="shared" si="1"/>
        <v/>
      </c>
    </row>
    <row r="3736" ht="22.5" customHeight="1">
      <c r="B3736" s="13">
        <f>IFERROR(__xludf.DUMMYFUNCTION("""COMPUTED_VALUE"""),3731.0)</f>
        <v>3731</v>
      </c>
      <c r="C3736" s="13" t="str">
        <f>IFERROR(__xludf.DUMMYFUNCTION("""COMPUTED_VALUE"""),"B.111/Rajabasa Nunyai	")</f>
        <v>B.111/Rajabasa Nunyai	</v>
      </c>
      <c r="D3736" s="13" t="str">
        <f>IFERROR(__xludf.DUMMYFUNCTION("""COMPUTED_VALUE"""),"K/25/220825/3	")</f>
        <v>K/25/220825/3	</v>
      </c>
      <c r="E3736" s="14" t="str">
        <f>IFERROR(__xludf.DUMMYFUNCTION("""COMPUTED_VALUE"""),"Admin (Migrasi)")</f>
        <v>Admin (Migrasi)</v>
      </c>
      <c r="F3736" s="14" t="str">
        <f>IFERROR(__xludf.DUMMYFUNCTION("""COMPUTED_VALUE"""),"SELESAI (VIA PERMOHONAN)")</f>
        <v>SELESAI (VIA PERMOHONAN)</v>
      </c>
      <c r="G3736" s="17">
        <f>IFERROR(__xludf.DUMMYFUNCTION("""COMPUTED_VALUE"""),45910.4112962963)</f>
        <v>45910.4113</v>
      </c>
      <c r="H3736" s="14" t="str">
        <f>IFERROR(__xludf.DUMMYFUNCTION("""COMPUTED_VALUE"""),"Admin (Migrasi)")</f>
        <v>Admin (Migrasi)</v>
      </c>
      <c r="I3736" s="13" t="str">
        <f>IFERROR(__xludf.DUMMYFUNCTION("""COMPUTED_VALUE"""),"SELESAI (VIA PERMOHONAN)")</f>
        <v>SELESAI (VIA PERMOHONAN)</v>
      </c>
      <c r="J3736" s="17">
        <f>IFERROR(__xludf.DUMMYFUNCTION("""COMPUTED_VALUE"""),45910.411329131945)</f>
        <v>45910.41133</v>
      </c>
      <c r="K3736" s="13" t="str">
        <f>IFERROR(__xludf.DUMMYFUNCTION("""COMPUTED_VALUE"""),"Selesai")</f>
        <v>Selesai</v>
      </c>
      <c r="L3736" s="17">
        <f>IFERROR(__xludf.DUMMYFUNCTION("""COMPUTED_VALUE"""),45910.411329131945)</f>
        <v>45910.41133</v>
      </c>
      <c r="M3736" s="13"/>
      <c r="N3736" s="13" t="str">
        <f>IFERROR(__xludf.DUMMYFUNCTION("""COMPUTED_VALUE"""),"")</f>
        <v/>
      </c>
      <c r="O3736" s="13" t="str">
        <f t="shared" si="1"/>
        <v/>
      </c>
    </row>
    <row r="3737" ht="22.5" customHeight="1">
      <c r="B3737" s="13">
        <f>IFERROR(__xludf.DUMMYFUNCTION("""COMPUTED_VALUE"""),3732.0)</f>
        <v>3732</v>
      </c>
      <c r="C3737" s="13" t="str">
        <f>IFERROR(__xludf.DUMMYFUNCTION("""COMPUTED_VALUE"""),"M. 2810/Sukarame Baru")</f>
        <v>M. 2810/Sukarame Baru</v>
      </c>
      <c r="D3737" s="13" t="str">
        <f>IFERROR(__xludf.DUMMYFUNCTION("""COMPUTED_VALUE"""),"K/11/210825/3")</f>
        <v>K/11/210825/3</v>
      </c>
      <c r="E3737" s="14" t="str">
        <f>IFERROR(__xludf.DUMMYFUNCTION("""COMPUTED_VALUE"""),"Admin (Migrasi)")</f>
        <v>Admin (Migrasi)</v>
      </c>
      <c r="F3737" s="14" t="str">
        <f>IFERROR(__xludf.DUMMYFUNCTION("""COMPUTED_VALUE"""),"SELESAI (VIA PERMOHONAN)")</f>
        <v>SELESAI (VIA PERMOHONAN)</v>
      </c>
      <c r="G3737" s="17">
        <f>IFERROR(__xludf.DUMMYFUNCTION("""COMPUTED_VALUE"""),45910.411527881944)</f>
        <v>45910.41153</v>
      </c>
      <c r="H3737" s="14" t="str">
        <f>IFERROR(__xludf.DUMMYFUNCTION("""COMPUTED_VALUE"""),"Admin (Migrasi)")</f>
        <v>Admin (Migrasi)</v>
      </c>
      <c r="I3737" s="13" t="str">
        <f>IFERROR(__xludf.DUMMYFUNCTION("""COMPUTED_VALUE"""),"SELESAI (VIA PERMOHONAN)")</f>
        <v>SELESAI (VIA PERMOHONAN)</v>
      </c>
      <c r="J3737" s="17">
        <f>IFERROR(__xludf.DUMMYFUNCTION("""COMPUTED_VALUE"""),45910.41155509259)</f>
        <v>45910.41156</v>
      </c>
      <c r="K3737" s="13" t="str">
        <f>IFERROR(__xludf.DUMMYFUNCTION("""COMPUTED_VALUE"""),"Selesai")</f>
        <v>Selesai</v>
      </c>
      <c r="L3737" s="17">
        <f>IFERROR(__xludf.DUMMYFUNCTION("""COMPUTED_VALUE"""),45910.41155509259)</f>
        <v>45910.41156</v>
      </c>
      <c r="M3737" s="13"/>
      <c r="N3737" s="13" t="str">
        <f>IFERROR(__xludf.DUMMYFUNCTION("""COMPUTED_VALUE"""),"")</f>
        <v/>
      </c>
      <c r="O3737" s="13" t="str">
        <f t="shared" si="1"/>
        <v/>
      </c>
    </row>
    <row r="3738" ht="22.5" customHeight="1">
      <c r="B3738" s="13">
        <f>IFERROR(__xludf.DUMMYFUNCTION("""COMPUTED_VALUE"""),3733.0)</f>
        <v>3733</v>
      </c>
      <c r="C3738" s="13" t="str">
        <f>IFERROR(__xludf.DUMMYFUNCTION("""COMPUTED_VALUE"""),"M. 2246/LANGKAPURA")</f>
        <v>M. 2246/LANGKAPURA</v>
      </c>
      <c r="D3738" s="13" t="str">
        <f>IFERROR(__xludf.DUMMYFUNCTION("""COMPUTED_VALUE"""),"K/26/260825/1")</f>
        <v>K/26/260825/1</v>
      </c>
      <c r="E3738" s="14" t="str">
        <f>IFERROR(__xludf.DUMMYFUNCTION("""COMPUTED_VALUE"""),"Heri (BT)")</f>
        <v>Heri (BT)</v>
      </c>
      <c r="F3738" s="14" t="str">
        <f>IFERROR(__xludf.DUMMYFUNCTION("""COMPUTED_VALUE"""),"SELESAI (VIA PERMOHONAN)")</f>
        <v>SELESAI (VIA PERMOHONAN)</v>
      </c>
      <c r="G3738" s="17">
        <f>IFERROR(__xludf.DUMMYFUNCTION("""COMPUTED_VALUE"""),45910.44906039352)</f>
        <v>45910.44906</v>
      </c>
      <c r="H3738" s="14" t="str">
        <f>IFERROR(__xludf.DUMMYFUNCTION("""COMPUTED_VALUE"""),"Eci (SU)")</f>
        <v>Eci (SU)</v>
      </c>
      <c r="I3738" s="13" t="str">
        <f>IFERROR(__xludf.DUMMYFUNCTION("""COMPUTED_VALUE"""),"SELESAI (VIA PERMOHONAN)")</f>
        <v>SELESAI (VIA PERMOHONAN)</v>
      </c>
      <c r="J3738" s="17">
        <f>IFERROR(__xludf.DUMMYFUNCTION("""COMPUTED_VALUE"""),45911.63552736111)</f>
        <v>45911.63553</v>
      </c>
      <c r="K3738" s="13" t="str">
        <f>IFERROR(__xludf.DUMMYFUNCTION("""COMPUTED_VALUE"""),"Selesai")</f>
        <v>Selesai</v>
      </c>
      <c r="L3738" s="17">
        <f>IFERROR(__xludf.DUMMYFUNCTION("""COMPUTED_VALUE"""),45911.63552736111)</f>
        <v>45911.63553</v>
      </c>
      <c r="M3738" s="13"/>
      <c r="N3738" s="13" t="str">
        <f>IFERROR(__xludf.DUMMYFUNCTION("""COMPUTED_VALUE"""),"")</f>
        <v/>
      </c>
      <c r="O3738" s="13" t="str">
        <f t="shared" si="1"/>
        <v/>
      </c>
    </row>
    <row r="3739" ht="22.5" customHeight="1">
      <c r="B3739" s="13">
        <f>IFERROR(__xludf.DUMMYFUNCTION("""COMPUTED_VALUE"""),3734.0)</f>
        <v>3734</v>
      </c>
      <c r="C3739" s="13" t="str">
        <f>IFERROR(__xludf.DUMMYFUNCTION("""COMPUTED_VALUE"""),"M. 19476/Sukaarame	")</f>
        <v>M. 19476/Sukaarame	</v>
      </c>
      <c r="D3739" s="13" t="str">
        <f>IFERROR(__xludf.DUMMYFUNCTION("""COMPUTED_VALUE"""),"K/33/040925/1")</f>
        <v>K/33/040925/1</v>
      </c>
      <c r="E3739" s="14" t="str">
        <f>IFERROR(__xludf.DUMMYFUNCTION("""COMPUTED_VALUE"""),"Heri (BT)")</f>
        <v>Heri (BT)</v>
      </c>
      <c r="F3739" s="14" t="str">
        <f>IFERROR(__xludf.DUMMYFUNCTION("""COMPUTED_VALUE"""),"SELESAI (VIA PERMOHONAN)")</f>
        <v>SELESAI (VIA PERMOHONAN)</v>
      </c>
      <c r="G3739" s="17">
        <f>IFERROR(__xludf.DUMMYFUNCTION("""COMPUTED_VALUE"""),45910.44914914352)</f>
        <v>45910.44915</v>
      </c>
      <c r="H3739" s="14" t="str">
        <f>IFERROR(__xludf.DUMMYFUNCTION("""COMPUTED_VALUE"""),"Eci (SU)")</f>
        <v>Eci (SU)</v>
      </c>
      <c r="I3739" s="13" t="str">
        <f>IFERROR(__xludf.DUMMYFUNCTION("""COMPUTED_VALUE"""),"SELESAI (VIA PERMOHONAN)")</f>
        <v>SELESAI (VIA PERMOHONAN)</v>
      </c>
      <c r="J3739" s="17">
        <f>IFERROR(__xludf.DUMMYFUNCTION("""COMPUTED_VALUE"""),45911.6283371412)</f>
        <v>45911.62834</v>
      </c>
      <c r="K3739" s="13" t="str">
        <f>IFERROR(__xludf.DUMMYFUNCTION("""COMPUTED_VALUE"""),"Selesai")</f>
        <v>Selesai</v>
      </c>
      <c r="L3739" s="17">
        <f>IFERROR(__xludf.DUMMYFUNCTION("""COMPUTED_VALUE"""),45911.6283371412)</f>
        <v>45911.62834</v>
      </c>
      <c r="M3739" s="13"/>
      <c r="N3739" s="13" t="str">
        <f>IFERROR(__xludf.DUMMYFUNCTION("""COMPUTED_VALUE"""),"")</f>
        <v/>
      </c>
      <c r="O3739" s="13" t="str">
        <f t="shared" si="1"/>
        <v/>
      </c>
    </row>
    <row r="3740" ht="22.5" customHeight="1">
      <c r="B3740" s="13">
        <f>IFERROR(__xludf.DUMMYFUNCTION("""COMPUTED_VALUE"""),3735.0)</f>
        <v>3735</v>
      </c>
      <c r="C3740" s="13" t="str">
        <f>IFERROR(__xludf.DUMMYFUNCTION("""COMPUTED_VALUE"""),"M. 1260/ Enggal ")</f>
        <v>M. 1260/ Enggal </v>
      </c>
      <c r="D3740" s="13" t="str">
        <f>IFERROR(__xludf.DUMMYFUNCTION("""COMPUTED_VALUE"""),"K/7/060825/1")</f>
        <v>K/7/060825/1</v>
      </c>
      <c r="E3740" s="14" t="str">
        <f>IFERROR(__xludf.DUMMYFUNCTION("""COMPUTED_VALUE"""),"Heri (BT)")</f>
        <v>Heri (BT)</v>
      </c>
      <c r="F3740" s="14" t="str">
        <f>IFERROR(__xludf.DUMMYFUNCTION("""COMPUTED_VALUE"""),"SELESAI (VIA PERMOHONAN)")</f>
        <v>SELESAI (VIA PERMOHONAN)</v>
      </c>
      <c r="G3740" s="17">
        <f>IFERROR(__xludf.DUMMYFUNCTION("""COMPUTED_VALUE"""),45910.449308703704)</f>
        <v>45910.44931</v>
      </c>
      <c r="H3740" s="14" t="str">
        <f>IFERROR(__xludf.DUMMYFUNCTION("""COMPUTED_VALUE"""),"Eci (SU)")</f>
        <v>Eci (SU)</v>
      </c>
      <c r="I3740" s="13" t="str">
        <f>IFERROR(__xludf.DUMMYFUNCTION("""COMPUTED_VALUE"""),"SELESAI (VIA PERMOHONAN)")</f>
        <v>SELESAI (VIA PERMOHONAN)</v>
      </c>
      <c r="J3740" s="17">
        <f>IFERROR(__xludf.DUMMYFUNCTION("""COMPUTED_VALUE"""),45911.628559432866)</f>
        <v>45911.62856</v>
      </c>
      <c r="K3740" s="13" t="str">
        <f>IFERROR(__xludf.DUMMYFUNCTION("""COMPUTED_VALUE"""),"Selesai")</f>
        <v>Selesai</v>
      </c>
      <c r="L3740" s="17">
        <f>IFERROR(__xludf.DUMMYFUNCTION("""COMPUTED_VALUE"""),45911.628559432866)</f>
        <v>45911.62856</v>
      </c>
      <c r="M3740" s="13"/>
      <c r="N3740" s="13" t="str">
        <f>IFERROR(__xludf.DUMMYFUNCTION("""COMPUTED_VALUE"""),"")</f>
        <v/>
      </c>
      <c r="O3740" s="13" t="str">
        <f t="shared" si="1"/>
        <v/>
      </c>
    </row>
    <row r="3741" ht="22.5" customHeight="1">
      <c r="B3741" s="13">
        <f>IFERROR(__xludf.DUMMYFUNCTION("""COMPUTED_VALUE"""),3736.0)</f>
        <v>3736</v>
      </c>
      <c r="C3741" s="13" t="str">
        <f>IFERROR(__xludf.DUMMYFUNCTION("""COMPUTED_VALUE"""),"M. 830/ JAGABAYA III")</f>
        <v>M. 830/ JAGABAYA III</v>
      </c>
      <c r="D3741" s="13" t="str">
        <f>IFERROR(__xludf.DUMMYFUNCTION("""COMPUTED_VALUE"""),"K/22/150825/1")</f>
        <v>K/22/150825/1</v>
      </c>
      <c r="E3741" s="14" t="str">
        <f>IFERROR(__xludf.DUMMYFUNCTION("""COMPUTED_VALUE"""),"Heri (BT)")</f>
        <v>Heri (BT)</v>
      </c>
      <c r="F3741" s="14" t="str">
        <f>IFERROR(__xludf.DUMMYFUNCTION("""COMPUTED_VALUE"""),"SELESAI (VIA PERMOHONAN)")</f>
        <v>SELESAI (VIA PERMOHONAN)</v>
      </c>
      <c r="G3741" s="17">
        <f>IFERROR(__xludf.DUMMYFUNCTION("""COMPUTED_VALUE"""),45910.454808634255)</f>
        <v>45910.45481</v>
      </c>
      <c r="H3741" s="14" t="str">
        <f>IFERROR(__xludf.DUMMYFUNCTION("""COMPUTED_VALUE"""),"Eci (SU)")</f>
        <v>Eci (SU)</v>
      </c>
      <c r="I3741" s="13" t="str">
        <f>IFERROR(__xludf.DUMMYFUNCTION("""COMPUTED_VALUE"""),"SELESAI (VIA PERMOHONAN)")</f>
        <v>SELESAI (VIA PERMOHONAN)</v>
      </c>
      <c r="J3741" s="17">
        <f>IFERROR(__xludf.DUMMYFUNCTION("""COMPUTED_VALUE"""),45911.62888039352)</f>
        <v>45911.62888</v>
      </c>
      <c r="K3741" s="13" t="str">
        <f>IFERROR(__xludf.DUMMYFUNCTION("""COMPUTED_VALUE"""),"Selesai")</f>
        <v>Selesai</v>
      </c>
      <c r="L3741" s="17">
        <f>IFERROR(__xludf.DUMMYFUNCTION("""COMPUTED_VALUE"""),45911.62888039352)</f>
        <v>45911.62888</v>
      </c>
      <c r="M3741" s="13"/>
      <c r="N3741" s="13" t="str">
        <f>IFERROR(__xludf.DUMMYFUNCTION("""COMPUTED_VALUE"""),"")</f>
        <v/>
      </c>
      <c r="O3741" s="13" t="str">
        <f t="shared" si="1"/>
        <v/>
      </c>
    </row>
    <row r="3742" ht="22.5" customHeight="1">
      <c r="B3742" s="13">
        <f>IFERROR(__xludf.DUMMYFUNCTION("""COMPUTED_VALUE"""),3737.0)</f>
        <v>3737</v>
      </c>
      <c r="C3742" s="13" t="str">
        <f>IFERROR(__xludf.DUMMYFUNCTION("""COMPUTED_VALUE"""),"M. 1726/ KETEGUHAN")</f>
        <v>M. 1726/ KETEGUHAN</v>
      </c>
      <c r="D3742" s="13" t="str">
        <f>IFERROR(__xludf.DUMMYFUNCTION("""COMPUTED_VALUE"""),"K/27/190825/3")</f>
        <v>K/27/190825/3</v>
      </c>
      <c r="E3742" s="14" t="str">
        <f>IFERROR(__xludf.DUMMYFUNCTION("""COMPUTED_VALUE"""),"Heri (BT)")</f>
        <v>Heri (BT)</v>
      </c>
      <c r="F3742" s="14" t="str">
        <f>IFERROR(__xludf.DUMMYFUNCTION("""COMPUTED_VALUE"""),"SELESAI (VIA PERMOHONAN)")</f>
        <v>SELESAI (VIA PERMOHONAN)</v>
      </c>
      <c r="G3742" s="17">
        <f>IFERROR(__xludf.DUMMYFUNCTION("""COMPUTED_VALUE"""),45910.45497265046)</f>
        <v>45910.45497</v>
      </c>
      <c r="H3742" s="14" t="str">
        <f>IFERROR(__xludf.DUMMYFUNCTION("""COMPUTED_VALUE"""),"Eci (SU)")</f>
        <v>Eci (SU)</v>
      </c>
      <c r="I3742" s="13" t="str">
        <f>IFERROR(__xludf.DUMMYFUNCTION("""COMPUTED_VALUE"""),"SELESAI (VIA PERMOHONAN)")</f>
        <v>SELESAI (VIA PERMOHONAN)</v>
      </c>
      <c r="J3742" s="17">
        <f>IFERROR(__xludf.DUMMYFUNCTION("""COMPUTED_VALUE"""),45911.62909695602)</f>
        <v>45911.6291</v>
      </c>
      <c r="K3742" s="13" t="str">
        <f>IFERROR(__xludf.DUMMYFUNCTION("""COMPUTED_VALUE"""),"Selesai")</f>
        <v>Selesai</v>
      </c>
      <c r="L3742" s="17">
        <f>IFERROR(__xludf.DUMMYFUNCTION("""COMPUTED_VALUE"""),45911.62909695602)</f>
        <v>45911.6291</v>
      </c>
      <c r="M3742" s="13"/>
      <c r="N3742" s="13" t="str">
        <f>IFERROR(__xludf.DUMMYFUNCTION("""COMPUTED_VALUE"""),"")</f>
        <v/>
      </c>
      <c r="O3742" s="13" t="str">
        <f t="shared" si="1"/>
        <v/>
      </c>
    </row>
    <row r="3743" ht="22.5" customHeight="1">
      <c r="B3743" s="13">
        <f>IFERROR(__xludf.DUMMYFUNCTION("""COMPUTED_VALUE"""),3738.0)</f>
        <v>3738</v>
      </c>
      <c r="C3743" s="13" t="str">
        <f>IFERROR(__xludf.DUMMYFUNCTION("""COMPUTED_VALUE"""),"M. 3757/CAMPANG RAYA")</f>
        <v>M. 3757/CAMPANG RAYA</v>
      </c>
      <c r="D3743" s="13" t="str">
        <f>IFERROR(__xludf.DUMMYFUNCTION("""COMPUTED_VALUE"""),"K/5/220825/1")</f>
        <v>K/5/220825/1</v>
      </c>
      <c r="E3743" s="14" t="str">
        <f>IFERROR(__xludf.DUMMYFUNCTION("""COMPUTED_VALUE"""),"Heri (BT)")</f>
        <v>Heri (BT)</v>
      </c>
      <c r="F3743" s="14" t="str">
        <f>IFERROR(__xludf.DUMMYFUNCTION("""COMPUTED_VALUE"""),"SELESAI (VIA PERMOHONAN)")</f>
        <v>SELESAI (VIA PERMOHONAN)</v>
      </c>
      <c r="G3743" s="17">
        <f>IFERROR(__xludf.DUMMYFUNCTION("""COMPUTED_VALUE"""),45910.45511173611)</f>
        <v>45910.45511</v>
      </c>
      <c r="H3743" s="14" t="str">
        <f>IFERROR(__xludf.DUMMYFUNCTION("""COMPUTED_VALUE"""),"Eci (SU)")</f>
        <v>Eci (SU)</v>
      </c>
      <c r="I3743" s="13" t="str">
        <f>IFERROR(__xludf.DUMMYFUNCTION("""COMPUTED_VALUE"""),"SELESAI (VIA PERMOHONAN)")</f>
        <v>SELESAI (VIA PERMOHONAN)</v>
      </c>
      <c r="J3743" s="17">
        <f>IFERROR(__xludf.DUMMYFUNCTION("""COMPUTED_VALUE"""),45911.63490287037)</f>
        <v>45911.6349</v>
      </c>
      <c r="K3743" s="13" t="str">
        <f>IFERROR(__xludf.DUMMYFUNCTION("""COMPUTED_VALUE"""),"Selesai")</f>
        <v>Selesai</v>
      </c>
      <c r="L3743" s="17">
        <f>IFERROR(__xludf.DUMMYFUNCTION("""COMPUTED_VALUE"""),45911.63490287037)</f>
        <v>45911.6349</v>
      </c>
      <c r="M3743" s="13"/>
      <c r="N3743" s="13" t="str">
        <f>IFERROR(__xludf.DUMMYFUNCTION("""COMPUTED_VALUE"""),"")</f>
        <v/>
      </c>
      <c r="O3743" s="13" t="str">
        <f t="shared" si="1"/>
        <v/>
      </c>
    </row>
    <row r="3744" ht="22.5" customHeight="1">
      <c r="B3744" s="13">
        <f>IFERROR(__xludf.DUMMYFUNCTION("""COMPUTED_VALUE"""),3739.0)</f>
        <v>3739</v>
      </c>
      <c r="C3744" s="13" t="str">
        <f>IFERROR(__xludf.DUMMYFUNCTION("""COMPUTED_VALUE"""),"M. 13814/SUKABUMI")</f>
        <v>M. 13814/SUKABUMI</v>
      </c>
      <c r="D3744" s="13" t="str">
        <f>IFERROR(__xludf.DUMMYFUNCTION("""COMPUTED_VALUE"""),"K/20/270825/1")</f>
        <v>K/20/270825/1</v>
      </c>
      <c r="E3744" s="14" t="str">
        <f>IFERROR(__xludf.DUMMYFUNCTION("""COMPUTED_VALUE"""),"Heri (BT)")</f>
        <v>Heri (BT)</v>
      </c>
      <c r="F3744" s="14" t="str">
        <f>IFERROR(__xludf.DUMMYFUNCTION("""COMPUTED_VALUE"""),"SELESAI (VIA PERMOHONAN)")</f>
        <v>SELESAI (VIA PERMOHONAN)</v>
      </c>
      <c r="G3744" s="17">
        <f>IFERROR(__xludf.DUMMYFUNCTION("""COMPUTED_VALUE"""),45910.45536658565)</f>
        <v>45910.45537</v>
      </c>
      <c r="H3744" s="14" t="str">
        <f>IFERROR(__xludf.DUMMYFUNCTION("""COMPUTED_VALUE"""),"Eci (SU)")</f>
        <v>Eci (SU)</v>
      </c>
      <c r="I3744" s="13" t="str">
        <f>IFERROR(__xludf.DUMMYFUNCTION("""COMPUTED_VALUE"""),"SELESAI (VIA PERMOHONAN)")</f>
        <v>SELESAI (VIA PERMOHONAN)</v>
      </c>
      <c r="J3744" s="17">
        <f>IFERROR(__xludf.DUMMYFUNCTION("""COMPUTED_VALUE"""),45911.634487256946)</f>
        <v>45911.63449</v>
      </c>
      <c r="K3744" s="13" t="str">
        <f>IFERROR(__xludf.DUMMYFUNCTION("""COMPUTED_VALUE"""),"Selesai")</f>
        <v>Selesai</v>
      </c>
      <c r="L3744" s="17">
        <f>IFERROR(__xludf.DUMMYFUNCTION("""COMPUTED_VALUE"""),45911.634487256946)</f>
        <v>45911.63449</v>
      </c>
      <c r="M3744" s="13"/>
      <c r="N3744" s="13" t="str">
        <f>IFERROR(__xludf.DUMMYFUNCTION("""COMPUTED_VALUE"""),"")</f>
        <v/>
      </c>
      <c r="O3744" s="13" t="str">
        <f t="shared" si="1"/>
        <v/>
      </c>
    </row>
    <row r="3745" ht="22.5" customHeight="1">
      <c r="B3745" s="13">
        <f>IFERROR(__xludf.DUMMYFUNCTION("""COMPUTED_VALUE"""),3740.0)</f>
        <v>3740</v>
      </c>
      <c r="C3745" s="13" t="str">
        <f>IFERROR(__xludf.DUMMYFUNCTION("""COMPUTED_VALUE"""),"M. 16996/SUKARAME I")</f>
        <v>M. 16996/SUKARAME I</v>
      </c>
      <c r="D3745" s="13" t="str">
        <f>IFERROR(__xludf.DUMMYFUNCTION("""COMPUTED_VALUE"""),"L/1/210825/1")</f>
        <v>L/1/210825/1</v>
      </c>
      <c r="E3745" s="14" t="str">
        <f>IFERROR(__xludf.DUMMYFUNCTION("""COMPUTED_VALUE"""),"Heri (BT)")</f>
        <v>Heri (BT)</v>
      </c>
      <c r="F3745" s="14" t="str">
        <f>IFERROR(__xludf.DUMMYFUNCTION("""COMPUTED_VALUE"""),"SELESAI (VIA PERMOHONAN)")</f>
        <v>SELESAI (VIA PERMOHONAN)</v>
      </c>
      <c r="G3745" s="17">
        <f>IFERROR(__xludf.DUMMYFUNCTION("""COMPUTED_VALUE"""),45910.45552186343)</f>
        <v>45910.45552</v>
      </c>
      <c r="H3745" s="14" t="str">
        <f>IFERROR(__xludf.DUMMYFUNCTION("""COMPUTED_VALUE"""),"Eci (SU)")</f>
        <v>Eci (SU)</v>
      </c>
      <c r="I3745" s="13" t="str">
        <f>IFERROR(__xludf.DUMMYFUNCTION("""COMPUTED_VALUE"""),"SELESAI (VIA PERMOHONAN)")</f>
        <v>SELESAI (VIA PERMOHONAN)</v>
      </c>
      <c r="J3745" s="17">
        <f>IFERROR(__xludf.DUMMYFUNCTION("""COMPUTED_VALUE"""),45911.63426664352)</f>
        <v>45911.63427</v>
      </c>
      <c r="K3745" s="13" t="str">
        <f>IFERROR(__xludf.DUMMYFUNCTION("""COMPUTED_VALUE"""),"Selesai")</f>
        <v>Selesai</v>
      </c>
      <c r="L3745" s="17">
        <f>IFERROR(__xludf.DUMMYFUNCTION("""COMPUTED_VALUE"""),45911.63426664352)</f>
        <v>45911.63427</v>
      </c>
      <c r="M3745" s="13"/>
      <c r="N3745" s="13" t="str">
        <f>IFERROR(__xludf.DUMMYFUNCTION("""COMPUTED_VALUE"""),"")</f>
        <v/>
      </c>
      <c r="O3745" s="13" t="str">
        <f t="shared" si="1"/>
        <v/>
      </c>
    </row>
    <row r="3746" ht="22.5" customHeight="1">
      <c r="B3746" s="13">
        <f>IFERROR(__xludf.DUMMYFUNCTION("""COMPUTED_VALUE"""),3741.0)</f>
        <v>3741</v>
      </c>
      <c r="C3746" s="13" t="str">
        <f>IFERROR(__xludf.DUMMYFUNCTION("""COMPUTED_VALUE"""),"M. 659/SAWAH BREBES")</f>
        <v>M. 659/SAWAH BREBES</v>
      </c>
      <c r="D3746" s="13" t="str">
        <f>IFERROR(__xludf.DUMMYFUNCTION("""COMPUTED_VALUE"""),"L/6/270825/1")</f>
        <v>L/6/270825/1</v>
      </c>
      <c r="E3746" s="14" t="str">
        <f>IFERROR(__xludf.DUMMYFUNCTION("""COMPUTED_VALUE"""),"Heri (BT)")</f>
        <v>Heri (BT)</v>
      </c>
      <c r="F3746" s="14" t="str">
        <f>IFERROR(__xludf.DUMMYFUNCTION("""COMPUTED_VALUE"""),"SELESAI (VIA PERMOHONAN)")</f>
        <v>SELESAI (VIA PERMOHONAN)</v>
      </c>
      <c r="G3746" s="17">
        <f>IFERROR(__xludf.DUMMYFUNCTION("""COMPUTED_VALUE"""),45910.455666759255)</f>
        <v>45910.45567</v>
      </c>
      <c r="H3746" s="14" t="str">
        <f>IFERROR(__xludf.DUMMYFUNCTION("""COMPUTED_VALUE"""),"Eci (SU)")</f>
        <v>Eci (SU)</v>
      </c>
      <c r="I3746" s="13" t="str">
        <f>IFERROR(__xludf.DUMMYFUNCTION("""COMPUTED_VALUE"""),"SELESAI (VIA PERMOHONAN)")</f>
        <v>SELESAI (VIA PERMOHONAN)</v>
      </c>
      <c r="J3746" s="17">
        <f>IFERROR(__xludf.DUMMYFUNCTION("""COMPUTED_VALUE"""),45911.62930082176)</f>
        <v>45911.6293</v>
      </c>
      <c r="K3746" s="13" t="str">
        <f>IFERROR(__xludf.DUMMYFUNCTION("""COMPUTED_VALUE"""),"Selesai")</f>
        <v>Selesai</v>
      </c>
      <c r="L3746" s="17">
        <f>IFERROR(__xludf.DUMMYFUNCTION("""COMPUTED_VALUE"""),45911.62930082176)</f>
        <v>45911.6293</v>
      </c>
      <c r="M3746" s="13"/>
      <c r="N3746" s="13" t="str">
        <f>IFERROR(__xludf.DUMMYFUNCTION("""COMPUTED_VALUE"""),"")</f>
        <v/>
      </c>
      <c r="O3746" s="13" t="str">
        <f t="shared" si="1"/>
        <v/>
      </c>
    </row>
    <row r="3747" ht="22.5" customHeight="1">
      <c r="B3747" s="13">
        <f>IFERROR(__xludf.DUMMYFUNCTION("""COMPUTED_VALUE"""),3742.0)</f>
        <v>3742</v>
      </c>
      <c r="C3747" s="13" t="str">
        <f>IFERROR(__xludf.DUMMYFUNCTION("""COMPUTED_VALUE"""),"B. 583/SUKAMAJU")</f>
        <v>B. 583/SUKAMAJU</v>
      </c>
      <c r="D3747" s="13" t="str">
        <f>IFERROR(__xludf.DUMMYFUNCTION("""COMPUTED_VALUE"""),"L/29/270825/1")</f>
        <v>L/29/270825/1</v>
      </c>
      <c r="E3747" s="14" t="str">
        <f>IFERROR(__xludf.DUMMYFUNCTION("""COMPUTED_VALUE"""),"Heri (BT)")</f>
        <v>Heri (BT)</v>
      </c>
      <c r="F3747" s="14" t="str">
        <f>IFERROR(__xludf.DUMMYFUNCTION("""COMPUTED_VALUE"""),"SELESAI (VIA PERMOHONAN)")</f>
        <v>SELESAI (VIA PERMOHONAN)</v>
      </c>
      <c r="G3747" s="17">
        <f>IFERROR(__xludf.DUMMYFUNCTION("""COMPUTED_VALUE"""),45910.45583719907)</f>
        <v>45910.45584</v>
      </c>
      <c r="H3747" s="14" t="str">
        <f>IFERROR(__xludf.DUMMYFUNCTION("""COMPUTED_VALUE"""),"Eci (SU)")</f>
        <v>Eci (SU)</v>
      </c>
      <c r="I3747" s="13" t="str">
        <f>IFERROR(__xludf.DUMMYFUNCTION("""COMPUTED_VALUE"""),"SELESAI (VIA PERMOHONAN)")</f>
        <v>SELESAI (VIA PERMOHONAN)</v>
      </c>
      <c r="J3747" s="17">
        <f>IFERROR(__xludf.DUMMYFUNCTION("""COMPUTED_VALUE"""),45911.629473900466)</f>
        <v>45911.62947</v>
      </c>
      <c r="K3747" s="13" t="str">
        <f>IFERROR(__xludf.DUMMYFUNCTION("""COMPUTED_VALUE"""),"Selesai")</f>
        <v>Selesai</v>
      </c>
      <c r="L3747" s="17">
        <f>IFERROR(__xludf.DUMMYFUNCTION("""COMPUTED_VALUE"""),45911.629473900466)</f>
        <v>45911.62947</v>
      </c>
      <c r="M3747" s="13"/>
      <c r="N3747" s="13" t="str">
        <f>IFERROR(__xludf.DUMMYFUNCTION("""COMPUTED_VALUE"""),"")</f>
        <v/>
      </c>
      <c r="O3747" s="13" t="str">
        <f t="shared" si="1"/>
        <v/>
      </c>
    </row>
    <row r="3748" ht="22.5" customHeight="1">
      <c r="B3748" s="13">
        <f>IFERROR(__xludf.DUMMYFUNCTION("""COMPUTED_VALUE"""),3743.0)</f>
        <v>3743</v>
      </c>
      <c r="C3748" s="13" t="str">
        <f>IFERROR(__xludf.DUMMYFUNCTION("""COMPUTED_VALUE"""),"B. 2435/SUKARAME I")</f>
        <v>B. 2435/SUKARAME I</v>
      </c>
      <c r="D3748" s="13" t="str">
        <f>IFERROR(__xludf.DUMMYFUNCTION("""COMPUTED_VALUE"""),"L/14/270825/1")</f>
        <v>L/14/270825/1</v>
      </c>
      <c r="E3748" s="14" t="str">
        <f>IFERROR(__xludf.DUMMYFUNCTION("""COMPUTED_VALUE"""),"Heri (BT)")</f>
        <v>Heri (BT)</v>
      </c>
      <c r="F3748" s="14" t="str">
        <f>IFERROR(__xludf.DUMMYFUNCTION("""COMPUTED_VALUE"""),"SELESAI (VIA PERMOHONAN)")</f>
        <v>SELESAI (VIA PERMOHONAN)</v>
      </c>
      <c r="G3748" s="17">
        <f>IFERROR(__xludf.DUMMYFUNCTION("""COMPUTED_VALUE"""),45910.4559965625)</f>
        <v>45910.456</v>
      </c>
      <c r="H3748" s="14" t="str">
        <f>IFERROR(__xludf.DUMMYFUNCTION("""COMPUTED_VALUE"""),"Eci (SU)")</f>
        <v>Eci (SU)</v>
      </c>
      <c r="I3748" s="13" t="str">
        <f>IFERROR(__xludf.DUMMYFUNCTION("""COMPUTED_VALUE"""),"SELESAI (VIA PERMOHONAN)")</f>
        <v>SELESAI (VIA PERMOHONAN)</v>
      </c>
      <c r="J3748" s="17">
        <f>IFERROR(__xludf.DUMMYFUNCTION("""COMPUTED_VALUE"""),45911.62969112268)</f>
        <v>45911.62969</v>
      </c>
      <c r="K3748" s="13" t="str">
        <f>IFERROR(__xludf.DUMMYFUNCTION("""COMPUTED_VALUE"""),"Selesai")</f>
        <v>Selesai</v>
      </c>
      <c r="L3748" s="17">
        <f>IFERROR(__xludf.DUMMYFUNCTION("""COMPUTED_VALUE"""),45911.62969112268)</f>
        <v>45911.62969</v>
      </c>
      <c r="M3748" s="13"/>
      <c r="N3748" s="13" t="str">
        <f>IFERROR(__xludf.DUMMYFUNCTION("""COMPUTED_VALUE"""),"")</f>
        <v/>
      </c>
      <c r="O3748" s="13" t="str">
        <f t="shared" si="1"/>
        <v/>
      </c>
    </row>
    <row r="3749" ht="22.5" customHeight="1">
      <c r="B3749" s="13">
        <f>IFERROR(__xludf.DUMMYFUNCTION("""COMPUTED_VALUE"""),3744.0)</f>
        <v>3744</v>
      </c>
      <c r="C3749" s="13" t="str">
        <f>IFERROR(__xludf.DUMMYFUNCTION("""COMPUTED_VALUE"""),"M. 2296/Tanjung Senang	")</f>
        <v>M. 2296/Tanjung Senang	</v>
      </c>
      <c r="D3749" s="13" t="str">
        <f>IFERROR(__xludf.DUMMYFUNCTION("""COMPUTED_VALUE"""),"K/3/260825/3		")</f>
        <v>K/3/260825/3		</v>
      </c>
      <c r="E3749" s="14" t="str">
        <f>IFERROR(__xludf.DUMMYFUNCTION("""COMPUTED_VALUE"""),"Heri (BT)")</f>
        <v>Heri (BT)</v>
      </c>
      <c r="F3749" s="14" t="str">
        <f>IFERROR(__xludf.DUMMYFUNCTION("""COMPUTED_VALUE"""),"SELESAI (VIA PERMOHONAN)")</f>
        <v>SELESAI (VIA PERMOHONAN)</v>
      </c>
      <c r="G3749" s="17">
        <f>IFERROR(__xludf.DUMMYFUNCTION("""COMPUTED_VALUE"""),45910.469421064816)</f>
        <v>45910.46942</v>
      </c>
      <c r="H3749" s="14" t="str">
        <f>IFERROR(__xludf.DUMMYFUNCTION("""COMPUTED_VALUE"""),"Eci (SU)")</f>
        <v>Eci (SU)</v>
      </c>
      <c r="I3749" s="13" t="str">
        <f>IFERROR(__xludf.DUMMYFUNCTION("""COMPUTED_VALUE"""),"SELESAI (VIA PERMOHONAN)")</f>
        <v>SELESAI (VIA PERMOHONAN)</v>
      </c>
      <c r="J3749" s="17">
        <f>IFERROR(__xludf.DUMMYFUNCTION("""COMPUTED_VALUE"""),45911.63405424768)</f>
        <v>45911.63405</v>
      </c>
      <c r="K3749" s="13" t="str">
        <f>IFERROR(__xludf.DUMMYFUNCTION("""COMPUTED_VALUE"""),"Selesai")</f>
        <v>Selesai</v>
      </c>
      <c r="L3749" s="17">
        <f>IFERROR(__xludf.DUMMYFUNCTION("""COMPUTED_VALUE"""),45911.63405424768)</f>
        <v>45911.63405</v>
      </c>
      <c r="M3749" s="13"/>
      <c r="N3749" s="13" t="str">
        <f>IFERROR(__xludf.DUMMYFUNCTION("""COMPUTED_VALUE"""),"")</f>
        <v/>
      </c>
      <c r="O3749" s="13" t="str">
        <f t="shared" si="1"/>
        <v/>
      </c>
    </row>
    <row r="3750" ht="22.5" customHeight="1">
      <c r="B3750" s="13">
        <f>IFERROR(__xludf.DUMMYFUNCTION("""COMPUTED_VALUE"""),3745.0)</f>
        <v>3745</v>
      </c>
      <c r="C3750" s="13" t="str">
        <f>IFERROR(__xludf.DUMMYFUNCTION("""COMPUTED_VALUE"""),"B.625/Nusantara Permai	")</f>
        <v>B.625/Nusantara Permai	</v>
      </c>
      <c r="D3750" s="13" t="str">
        <f>IFERROR(__xludf.DUMMYFUNCTION("""COMPUTED_VALUE"""),"K/26/280825/1")</f>
        <v>K/26/280825/1</v>
      </c>
      <c r="E3750" s="14" t="str">
        <f>IFERROR(__xludf.DUMMYFUNCTION("""COMPUTED_VALUE"""),"Heri (BT)")</f>
        <v>Heri (BT)</v>
      </c>
      <c r="F3750" s="14" t="str">
        <f>IFERROR(__xludf.DUMMYFUNCTION("""COMPUTED_VALUE"""),"SELESAI (VIA PERMOHONAN)")</f>
        <v>SELESAI (VIA PERMOHONAN)</v>
      </c>
      <c r="G3750" s="17">
        <f>IFERROR(__xludf.DUMMYFUNCTION("""COMPUTED_VALUE"""),45910.68701349537)</f>
        <v>45910.68701</v>
      </c>
      <c r="H3750" s="14" t="str">
        <f>IFERROR(__xludf.DUMMYFUNCTION("""COMPUTED_VALUE"""),"Eci (SU)")</f>
        <v>Eci (SU)</v>
      </c>
      <c r="I3750" s="13" t="str">
        <f>IFERROR(__xludf.DUMMYFUNCTION("""COMPUTED_VALUE"""),"SELESAI (VIA PERMOHONAN)")</f>
        <v>SELESAI (VIA PERMOHONAN)</v>
      </c>
      <c r="J3750" s="17">
        <f>IFERROR(__xludf.DUMMYFUNCTION("""COMPUTED_VALUE"""),45911.62762226852)</f>
        <v>45911.62762</v>
      </c>
      <c r="K3750" s="13" t="str">
        <f>IFERROR(__xludf.DUMMYFUNCTION("""COMPUTED_VALUE"""),"Selesai")</f>
        <v>Selesai</v>
      </c>
      <c r="L3750" s="17">
        <f>IFERROR(__xludf.DUMMYFUNCTION("""COMPUTED_VALUE"""),45911.62762226852)</f>
        <v>45911.62762</v>
      </c>
      <c r="M3750" s="13"/>
      <c r="N3750" s="13" t="str">
        <f>IFERROR(__xludf.DUMMYFUNCTION("""COMPUTED_VALUE"""),"")</f>
        <v/>
      </c>
      <c r="O3750" s="13" t="str">
        <f t="shared" si="1"/>
        <v/>
      </c>
    </row>
    <row r="3751" ht="22.5" customHeight="1">
      <c r="B3751" s="13">
        <f>IFERROR(__xludf.DUMMYFUNCTION("""COMPUTED_VALUE"""),3746.0)</f>
        <v>3746</v>
      </c>
      <c r="C3751" s="13" t="str">
        <f>IFERROR(__xludf.DUMMYFUNCTION("""COMPUTED_VALUE"""),"M. 945/PECOH RAYA")</f>
        <v>M. 945/PECOH RAYA</v>
      </c>
      <c r="D3751" s="13" t="str">
        <f>IFERROR(__xludf.DUMMYFUNCTION("""COMPUTED_VALUE"""),"L/6/130825/1")</f>
        <v>L/6/130825/1</v>
      </c>
      <c r="E3751" s="14" t="str">
        <f>IFERROR(__xludf.DUMMYFUNCTION("""COMPUTED_VALUE"""),"Heri (BT)")</f>
        <v>Heri (BT)</v>
      </c>
      <c r="F3751" s="14" t="str">
        <f>IFERROR(__xludf.DUMMYFUNCTION("""COMPUTED_VALUE"""),"SELESAI (VIA PERMOHONAN)")</f>
        <v>SELESAI (VIA PERMOHONAN)</v>
      </c>
      <c r="G3751" s="17">
        <f>IFERROR(__xludf.DUMMYFUNCTION("""COMPUTED_VALUE"""),45910.68715111111)</f>
        <v>45910.68715</v>
      </c>
      <c r="H3751" s="14" t="str">
        <f>IFERROR(__xludf.DUMMYFUNCTION("""COMPUTED_VALUE"""),"Eci (SU)")</f>
        <v>Eci (SU)</v>
      </c>
      <c r="I3751" s="13" t="str">
        <f>IFERROR(__xludf.DUMMYFUNCTION("""COMPUTED_VALUE"""),"SELESAI (VIA PERMOHONAN)")</f>
        <v>SELESAI (VIA PERMOHONAN)</v>
      </c>
      <c r="J3751" s="17">
        <f>IFERROR(__xludf.DUMMYFUNCTION("""COMPUTED_VALUE"""),45911.62984439815)</f>
        <v>45911.62984</v>
      </c>
      <c r="K3751" s="13" t="str">
        <f>IFERROR(__xludf.DUMMYFUNCTION("""COMPUTED_VALUE"""),"Selesai")</f>
        <v>Selesai</v>
      </c>
      <c r="L3751" s="17">
        <f>IFERROR(__xludf.DUMMYFUNCTION("""COMPUTED_VALUE"""),45911.62984439815)</f>
        <v>45911.62984</v>
      </c>
      <c r="M3751" s="13"/>
      <c r="N3751" s="13" t="str">
        <f>IFERROR(__xludf.DUMMYFUNCTION("""COMPUTED_VALUE"""),"")</f>
        <v/>
      </c>
      <c r="O3751" s="13" t="str">
        <f t="shared" si="1"/>
        <v/>
      </c>
    </row>
    <row r="3752" ht="22.5" customHeight="1">
      <c r="B3752" s="13">
        <f>IFERROR(__xludf.DUMMYFUNCTION("""COMPUTED_VALUE"""),3747.0)</f>
        <v>3747</v>
      </c>
      <c r="C3752" s="13" t="str">
        <f>IFERROR(__xludf.DUMMYFUNCTION("""COMPUTED_VALUE"""),"M. 12043/SUKARAME I")</f>
        <v>M. 12043/SUKARAME I</v>
      </c>
      <c r="D3752" s="13" t="str">
        <f>IFERROR(__xludf.DUMMYFUNCTION("""COMPUTED_VALUE"""),"L/4/080925/1")</f>
        <v>L/4/080925/1</v>
      </c>
      <c r="E3752" s="14" t="str">
        <f>IFERROR(__xludf.DUMMYFUNCTION("""COMPUTED_VALUE"""),"Heri (BT)")</f>
        <v>Heri (BT)</v>
      </c>
      <c r="F3752" s="14" t="str">
        <f>IFERROR(__xludf.DUMMYFUNCTION("""COMPUTED_VALUE"""),"SELESAI (VIA PERMOHONAN)")</f>
        <v>SELESAI (VIA PERMOHONAN)</v>
      </c>
      <c r="G3752" s="17">
        <f>IFERROR(__xludf.DUMMYFUNCTION("""COMPUTED_VALUE"""),45910.68729243056)</f>
        <v>45910.68729</v>
      </c>
      <c r="H3752" s="14" t="str">
        <f>IFERROR(__xludf.DUMMYFUNCTION("""COMPUTED_VALUE"""),"Eci (SU)")</f>
        <v>Eci (SU)</v>
      </c>
      <c r="I3752" s="13" t="str">
        <f>IFERROR(__xludf.DUMMYFUNCTION("""COMPUTED_VALUE"""),"SELESAI (VIA PERMOHONAN)")</f>
        <v>SELESAI (VIA PERMOHONAN)</v>
      </c>
      <c r="J3752" s="17">
        <f>IFERROR(__xludf.DUMMYFUNCTION("""COMPUTED_VALUE"""),45911.633829687504)</f>
        <v>45911.63383</v>
      </c>
      <c r="K3752" s="13" t="str">
        <f>IFERROR(__xludf.DUMMYFUNCTION("""COMPUTED_VALUE"""),"Selesai")</f>
        <v>Selesai</v>
      </c>
      <c r="L3752" s="17">
        <f>IFERROR(__xludf.DUMMYFUNCTION("""COMPUTED_VALUE"""),45911.633829687504)</f>
        <v>45911.63383</v>
      </c>
      <c r="M3752" s="13"/>
      <c r="N3752" s="13" t="str">
        <f>IFERROR(__xludf.DUMMYFUNCTION("""COMPUTED_VALUE"""),"")</f>
        <v/>
      </c>
      <c r="O3752" s="13" t="str">
        <f t="shared" si="1"/>
        <v/>
      </c>
    </row>
    <row r="3753" ht="22.5" customHeight="1">
      <c r="B3753" s="13">
        <f>IFERROR(__xludf.DUMMYFUNCTION("""COMPUTED_VALUE"""),3748.0)</f>
        <v>3748</v>
      </c>
      <c r="C3753" s="13" t="str">
        <f>IFERROR(__xludf.DUMMYFUNCTION("""COMPUTED_VALUE"""),"B. 224/KOTA BARU")</f>
        <v>B. 224/KOTA BARU</v>
      </c>
      <c r="D3753" s="13" t="str">
        <f>IFERROR(__xludf.DUMMYFUNCTION("""COMPUTED_VALUE"""),"L/24/040925/2")</f>
        <v>L/24/040925/2</v>
      </c>
      <c r="E3753" s="14" t="str">
        <f>IFERROR(__xludf.DUMMYFUNCTION("""COMPUTED_VALUE"""),"Heri (BT)")</f>
        <v>Heri (BT)</v>
      </c>
      <c r="F3753" s="14" t="str">
        <f>IFERROR(__xludf.DUMMYFUNCTION("""COMPUTED_VALUE"""),"SELESAI (VIA PERMOHONAN)")</f>
        <v>SELESAI (VIA PERMOHONAN)</v>
      </c>
      <c r="G3753" s="17">
        <f>IFERROR(__xludf.DUMMYFUNCTION("""COMPUTED_VALUE"""),45910.68750086805)</f>
        <v>45910.6875</v>
      </c>
      <c r="H3753" s="14" t="str">
        <f>IFERROR(__xludf.DUMMYFUNCTION("""COMPUTED_VALUE"""),"Eci (SU)")</f>
        <v>Eci (SU)</v>
      </c>
      <c r="I3753" s="13" t="str">
        <f>IFERROR(__xludf.DUMMYFUNCTION("""COMPUTED_VALUE"""),"SELESAI (VIA PERMOHONAN)")</f>
        <v>SELESAI (VIA PERMOHONAN)</v>
      </c>
      <c r="J3753" s="17">
        <f>IFERROR(__xludf.DUMMYFUNCTION("""COMPUTED_VALUE"""),45911.629995208335)</f>
        <v>45911.63</v>
      </c>
      <c r="K3753" s="13" t="str">
        <f>IFERROR(__xludf.DUMMYFUNCTION("""COMPUTED_VALUE"""),"Selesai")</f>
        <v>Selesai</v>
      </c>
      <c r="L3753" s="17">
        <f>IFERROR(__xludf.DUMMYFUNCTION("""COMPUTED_VALUE"""),45911.629995208335)</f>
        <v>45911.63</v>
      </c>
      <c r="M3753" s="13"/>
      <c r="N3753" s="13" t="str">
        <f>IFERROR(__xludf.DUMMYFUNCTION("""COMPUTED_VALUE"""),"")</f>
        <v/>
      </c>
      <c r="O3753" s="13" t="str">
        <f t="shared" si="1"/>
        <v/>
      </c>
    </row>
    <row r="3754" ht="22.5" customHeight="1">
      <c r="B3754" s="13">
        <f>IFERROR(__xludf.DUMMYFUNCTION("""COMPUTED_VALUE"""),3749.0)</f>
        <v>3749</v>
      </c>
      <c r="C3754" s="13" t="str">
        <f>IFERROR(__xludf.DUMMYFUNCTION("""COMPUTED_VALUE"""),"B. 1146/SUKABUMI INDAH")</f>
        <v>B. 1146/SUKABUMI INDAH</v>
      </c>
      <c r="D3754" s="13" t="str">
        <f>IFERROR(__xludf.DUMMYFUNCTION("""COMPUTED_VALUE"""),"L/19/080925/1")</f>
        <v>L/19/080925/1</v>
      </c>
      <c r="E3754" s="14" t="str">
        <f>IFERROR(__xludf.DUMMYFUNCTION("""COMPUTED_VALUE"""),"Heri (BT)")</f>
        <v>Heri (BT)</v>
      </c>
      <c r="F3754" s="14" t="str">
        <f>IFERROR(__xludf.DUMMYFUNCTION("""COMPUTED_VALUE"""),"SELESAI (VIA PERMOHONAN)")</f>
        <v>SELESAI (VIA PERMOHONAN)</v>
      </c>
      <c r="G3754" s="17">
        <f>IFERROR(__xludf.DUMMYFUNCTION("""COMPUTED_VALUE"""),45910.68763298611)</f>
        <v>45910.68763</v>
      </c>
      <c r="H3754" s="14" t="str">
        <f>IFERROR(__xludf.DUMMYFUNCTION("""COMPUTED_VALUE"""),"Eci (SU)")</f>
        <v>Eci (SU)</v>
      </c>
      <c r="I3754" s="13" t="str">
        <f>IFERROR(__xludf.DUMMYFUNCTION("""COMPUTED_VALUE"""),"SELESAI (VIA PERMOHONAN)")</f>
        <v>SELESAI (VIA PERMOHONAN)</v>
      </c>
      <c r="J3754" s="17">
        <f>IFERROR(__xludf.DUMMYFUNCTION("""COMPUTED_VALUE"""),45911.63012086805)</f>
        <v>45911.63012</v>
      </c>
      <c r="K3754" s="13" t="str">
        <f>IFERROR(__xludf.DUMMYFUNCTION("""COMPUTED_VALUE"""),"Selesai")</f>
        <v>Selesai</v>
      </c>
      <c r="L3754" s="17">
        <f>IFERROR(__xludf.DUMMYFUNCTION("""COMPUTED_VALUE"""),45911.63012086805)</f>
        <v>45911.63012</v>
      </c>
      <c r="M3754" s="13"/>
      <c r="N3754" s="13" t="str">
        <f>IFERROR(__xludf.DUMMYFUNCTION("""COMPUTED_VALUE"""),"")</f>
        <v/>
      </c>
      <c r="O3754" s="13" t="str">
        <f t="shared" si="1"/>
        <v/>
      </c>
    </row>
    <row r="3755" ht="22.5" customHeight="1">
      <c r="B3755" s="13">
        <f>IFERROR(__xludf.DUMMYFUNCTION("""COMPUTED_VALUE"""),3750.0)</f>
        <v>3750</v>
      </c>
      <c r="C3755" s="13" t="str">
        <f>IFERROR(__xludf.DUMMYFUNCTION("""COMPUTED_VALUE"""),"HM 1052/GUNUNG SULAH")</f>
        <v>HM 1052/GUNUNG SULAH</v>
      </c>
      <c r="D3755" s="13" t="str">
        <f>IFERROR(__xludf.DUMMYFUNCTION("""COMPUTED_VALUE"""),"L/5/100725/1")</f>
        <v>L/5/100725/1</v>
      </c>
      <c r="E3755" s="14" t="str">
        <f>IFERROR(__xludf.DUMMYFUNCTION("""COMPUTED_VALUE"""),"Heri (BT)")</f>
        <v>Heri (BT)</v>
      </c>
      <c r="F3755" s="14" t="str">
        <f>IFERROR(__xludf.DUMMYFUNCTION("""COMPUTED_VALUE"""),"SELESAI (VIA PERMOHONAN)")</f>
        <v>SELESAI (VIA PERMOHONAN)</v>
      </c>
      <c r="G3755" s="17">
        <f>IFERROR(__xludf.DUMMYFUNCTION("""COMPUTED_VALUE"""),45910.68780525463)</f>
        <v>45910.68781</v>
      </c>
      <c r="H3755" s="14" t="str">
        <f>IFERROR(__xludf.DUMMYFUNCTION("""COMPUTED_VALUE"""),"Eci (SU)")</f>
        <v>Eci (SU)</v>
      </c>
      <c r="I3755" s="13" t="str">
        <f>IFERROR(__xludf.DUMMYFUNCTION("""COMPUTED_VALUE"""),"SELESAI (VIA PERMOHONAN)")</f>
        <v>SELESAI (VIA PERMOHONAN)</v>
      </c>
      <c r="J3755" s="17">
        <f>IFERROR(__xludf.DUMMYFUNCTION("""COMPUTED_VALUE"""),45911.63043689815)</f>
        <v>45911.63044</v>
      </c>
      <c r="K3755" s="13" t="str">
        <f>IFERROR(__xludf.DUMMYFUNCTION("""COMPUTED_VALUE"""),"Selesai")</f>
        <v>Selesai</v>
      </c>
      <c r="L3755" s="17">
        <f>IFERROR(__xludf.DUMMYFUNCTION("""COMPUTED_VALUE"""),45911.63043689815)</f>
        <v>45911.63044</v>
      </c>
      <c r="M3755" s="13"/>
      <c r="N3755" s="13" t="str">
        <f>IFERROR(__xludf.DUMMYFUNCTION("""COMPUTED_VALUE"""),"")</f>
        <v/>
      </c>
      <c r="O3755" s="13" t="str">
        <f t="shared" si="1"/>
        <v/>
      </c>
    </row>
    <row r="3756" ht="22.5" customHeight="1">
      <c r="B3756" s="13">
        <f>IFERROR(__xludf.DUMMYFUNCTION("""COMPUTED_VALUE"""),3751.0)</f>
        <v>3751</v>
      </c>
      <c r="C3756" s="13" t="str">
        <f>IFERROR(__xludf.DUMMYFUNCTION("""COMPUTED_VALUE"""),"LUAS 830 M2 KELURAHAN SIDODADI")</f>
        <v>LUAS 830 M2 KELURAHAN SIDODADI</v>
      </c>
      <c r="D3756" s="13" t="str">
        <f>IFERROR(__xludf.DUMMYFUNCTION("""COMPUTED_VALUE"""),"L/30/110925/1")</f>
        <v>L/30/110925/1</v>
      </c>
      <c r="E3756" s="14" t="str">
        <f>IFERROR(__xludf.DUMMYFUNCTION("""COMPUTED_VALUE"""),"Heri (BT)")</f>
        <v>Heri (BT)</v>
      </c>
      <c r="F3756" s="14" t="str">
        <f>IFERROR(__xludf.DUMMYFUNCTION("""COMPUTED_VALUE"""),"SELESAI (VIA PERMOHONAN)")</f>
        <v>SELESAI (VIA PERMOHONAN)</v>
      </c>
      <c r="G3756" s="17">
        <f>IFERROR(__xludf.DUMMYFUNCTION("""COMPUTED_VALUE"""),45910.68835780093)</f>
        <v>45910.68836</v>
      </c>
      <c r="H3756" s="14" t="str">
        <f>IFERROR(__xludf.DUMMYFUNCTION("""COMPUTED_VALUE"""),"Eci (SU)")</f>
        <v>Eci (SU)</v>
      </c>
      <c r="I3756" s="13" t="str">
        <f>IFERROR(__xludf.DUMMYFUNCTION("""COMPUTED_VALUE"""),"SELESAI (VIA PERMOHONAN)")</f>
        <v>SELESAI (VIA PERMOHONAN)</v>
      </c>
      <c r="J3756" s="17">
        <f>IFERROR(__xludf.DUMMYFUNCTION("""COMPUTED_VALUE"""),45911.62704782408)</f>
        <v>45911.62705</v>
      </c>
      <c r="K3756" s="13" t="str">
        <f>IFERROR(__xludf.DUMMYFUNCTION("""COMPUTED_VALUE"""),"Selesai")</f>
        <v>Selesai</v>
      </c>
      <c r="L3756" s="17">
        <f>IFERROR(__xludf.DUMMYFUNCTION("""COMPUTED_VALUE"""),45911.62704782408)</f>
        <v>45911.62705</v>
      </c>
      <c r="M3756" s="13"/>
      <c r="N3756" s="13" t="str">
        <f>IFERROR(__xludf.DUMMYFUNCTION("""COMPUTED_VALUE"""),"")</f>
        <v/>
      </c>
      <c r="O3756" s="13" t="str">
        <f t="shared" si="1"/>
        <v/>
      </c>
    </row>
    <row r="3757" ht="22.5" customHeight="1">
      <c r="B3757" s="13">
        <f>IFERROR(__xludf.DUMMYFUNCTION("""COMPUTED_VALUE"""),3752.0)</f>
        <v>3752</v>
      </c>
      <c r="C3757" s="13" t="str">
        <f>IFERROR(__xludf.DUMMYFUNCTION("""COMPUTED_VALUE"""),"HM 3165/SUKARAME BARU")</f>
        <v>HM 3165/SUKARAME BARU</v>
      </c>
      <c r="D3757" s="13" t="str">
        <f>IFERROR(__xludf.DUMMYFUNCTION("""COMPUTED_VALUE"""),"L/3/300425/1")</f>
        <v>L/3/300425/1</v>
      </c>
      <c r="E3757" s="14"/>
      <c r="F3757" s="14"/>
      <c r="G3757" s="17" t="str">
        <f>IFERROR(__xludf.DUMMYFUNCTION("""COMPUTED_VALUE"""),"")</f>
        <v/>
      </c>
      <c r="H3757" s="14" t="str">
        <f>IFERROR(__xludf.DUMMYFUNCTION("""COMPUTED_VALUE"""),"Eci (SU)")</f>
        <v>Eci (SU)</v>
      </c>
      <c r="I3757" s="13" t="str">
        <f>IFERROR(__xludf.DUMMYFUNCTION("""COMPUTED_VALUE"""),"SELESAI (VIA PERMOHONAN)")</f>
        <v>SELESAI (VIA PERMOHONAN)</v>
      </c>
      <c r="J3757" s="17">
        <f>IFERROR(__xludf.DUMMYFUNCTION("""COMPUTED_VALUE"""),45911.640180069444)</f>
        <v>45911.64018</v>
      </c>
      <c r="K3757" s="13" t="str">
        <f>IFERROR(__xludf.DUMMYFUNCTION("""COMPUTED_VALUE"""),"BT atau SU Belum Valid")</f>
        <v>BT atau SU Belum Valid</v>
      </c>
      <c r="L3757" s="13" t="str">
        <f>IFERROR(__xludf.DUMMYFUNCTION("""COMPUTED_VALUE"""),"")</f>
        <v/>
      </c>
      <c r="M3757" s="13"/>
      <c r="N3757" s="13" t="str">
        <f>IFERROR(__xludf.DUMMYFUNCTION("""COMPUTED_VALUE"""),"")</f>
        <v/>
      </c>
      <c r="O3757" s="13" t="str">
        <f t="shared" si="1"/>
        <v/>
      </c>
    </row>
    <row r="3758" ht="22.5" customHeight="1">
      <c r="B3758" s="13">
        <f>IFERROR(__xludf.DUMMYFUNCTION("""COMPUTED_VALUE"""),3753.0)</f>
        <v>3753</v>
      </c>
      <c r="C3758" s="13" t="str">
        <f>IFERROR(__xludf.DUMMYFUNCTION("""COMPUTED_VALUE"""),"M.51/Kemiling Permai ")</f>
        <v>M.51/Kemiling Permai </v>
      </c>
      <c r="D3758" s="13" t="str">
        <f>IFERROR(__xludf.DUMMYFUNCTION("""COMPUTED_VALUE"""),"K/19/220825/2")</f>
        <v>K/19/220825/2</v>
      </c>
      <c r="E3758" s="14" t="str">
        <f>IFERROR(__xludf.DUMMYFUNCTION("""COMPUTED_VALUE"""),"Admin (Migrasi)")</f>
        <v>Admin (Migrasi)</v>
      </c>
      <c r="F3758" s="14" t="str">
        <f>IFERROR(__xludf.DUMMYFUNCTION("""COMPUTED_VALUE"""),"SELESAI (VIA PERMOHONAN)")</f>
        <v>SELESAI (VIA PERMOHONAN)</v>
      </c>
      <c r="G3758" s="17">
        <f>IFERROR(__xludf.DUMMYFUNCTION("""COMPUTED_VALUE"""),45911.649376030095)</f>
        <v>45911.64938</v>
      </c>
      <c r="H3758" s="14" t="str">
        <f>IFERROR(__xludf.DUMMYFUNCTION("""COMPUTED_VALUE"""),"Admin (Migrasi)")</f>
        <v>Admin (Migrasi)</v>
      </c>
      <c r="I3758" s="13" t="str">
        <f>IFERROR(__xludf.DUMMYFUNCTION("""COMPUTED_VALUE"""),"SELESAI (VIA PERMOHONAN)")</f>
        <v>SELESAI (VIA PERMOHONAN)</v>
      </c>
      <c r="J3758" s="17">
        <f>IFERROR(__xludf.DUMMYFUNCTION("""COMPUTED_VALUE"""),45911.64939391204)</f>
        <v>45911.64939</v>
      </c>
      <c r="K3758" s="13" t="str">
        <f>IFERROR(__xludf.DUMMYFUNCTION("""COMPUTED_VALUE"""),"Selesai")</f>
        <v>Selesai</v>
      </c>
      <c r="L3758" s="17">
        <f>IFERROR(__xludf.DUMMYFUNCTION("""COMPUTED_VALUE"""),45911.64939391204)</f>
        <v>45911.64939</v>
      </c>
      <c r="M3758" s="13"/>
      <c r="N3758" s="13" t="str">
        <f>IFERROR(__xludf.DUMMYFUNCTION("""COMPUTED_VALUE"""),"")</f>
        <v/>
      </c>
      <c r="O3758" s="13" t="str">
        <f t="shared" si="1"/>
        <v/>
      </c>
    </row>
    <row r="3759" ht="22.5" customHeight="1">
      <c r="B3759" s="13">
        <f>IFERROR(__xludf.DUMMYFUNCTION("""COMPUTED_VALUE"""),3754.0)</f>
        <v>3754</v>
      </c>
      <c r="C3759" s="13" t="str">
        <f>IFERROR(__xludf.DUMMYFUNCTION("""COMPUTED_VALUE"""),"SHGB. 1116/ KETEGUHAN")</f>
        <v>SHGB. 1116/ KETEGUHAN</v>
      </c>
      <c r="D3759" s="13" t="str">
        <f>IFERROR(__xludf.DUMMYFUNCTION("""COMPUTED_VALUE"""),"K/31/150825/2")</f>
        <v>K/31/150825/2</v>
      </c>
      <c r="E3759" s="14" t="str">
        <f>IFERROR(__xludf.DUMMYFUNCTION("""COMPUTED_VALUE"""),"Admin (Migrasi)")</f>
        <v>Admin (Migrasi)</v>
      </c>
      <c r="F3759" s="14" t="str">
        <f>IFERROR(__xludf.DUMMYFUNCTION("""COMPUTED_VALUE"""),"SELESAI (VIA PERMOHONAN)")</f>
        <v>SELESAI (VIA PERMOHONAN)</v>
      </c>
      <c r="G3759" s="17">
        <f>IFERROR(__xludf.DUMMYFUNCTION("""COMPUTED_VALUE"""),45911.64955534722)</f>
        <v>45911.64956</v>
      </c>
      <c r="H3759" s="14" t="str">
        <f>IFERROR(__xludf.DUMMYFUNCTION("""COMPUTED_VALUE"""),"Admin (Migrasi)")</f>
        <v>Admin (Migrasi)</v>
      </c>
      <c r="I3759" s="13" t="str">
        <f>IFERROR(__xludf.DUMMYFUNCTION("""COMPUTED_VALUE"""),"SELESAI (VIA PERMOHONAN)")</f>
        <v>SELESAI (VIA PERMOHONAN)</v>
      </c>
      <c r="J3759" s="17">
        <f>IFERROR(__xludf.DUMMYFUNCTION("""COMPUTED_VALUE"""),45911.649612002315)</f>
        <v>45911.64961</v>
      </c>
      <c r="K3759" s="13" t="str">
        <f>IFERROR(__xludf.DUMMYFUNCTION("""COMPUTED_VALUE"""),"Selesai")</f>
        <v>Selesai</v>
      </c>
      <c r="L3759" s="17">
        <f>IFERROR(__xludf.DUMMYFUNCTION("""COMPUTED_VALUE"""),45911.649612002315)</f>
        <v>45911.64961</v>
      </c>
      <c r="M3759" s="13"/>
      <c r="N3759" s="13" t="str">
        <f>IFERROR(__xludf.DUMMYFUNCTION("""COMPUTED_VALUE"""),"")</f>
        <v/>
      </c>
      <c r="O3759" s="13" t="str">
        <f t="shared" si="1"/>
        <v/>
      </c>
    </row>
    <row r="3760" ht="22.5" customHeight="1">
      <c r="B3760" s="13">
        <f>IFERROR(__xludf.DUMMYFUNCTION("""COMPUTED_VALUE"""),3755.0)</f>
        <v>3755</v>
      </c>
      <c r="C3760" s="13" t="str">
        <f>IFERROR(__xludf.DUMMYFUNCTION("""COMPUTED_VALUE"""),"B.755/Sumur Putri")</f>
        <v>B.755/Sumur Putri</v>
      </c>
      <c r="D3760" s="13" t="str">
        <f>IFERROR(__xludf.DUMMYFUNCTION("""COMPUTED_VALUE"""),"K/38/210826/1")</f>
        <v>K/38/210826/1</v>
      </c>
      <c r="E3760" s="14" t="str">
        <f>IFERROR(__xludf.DUMMYFUNCTION("""COMPUTED_VALUE"""),"Admin (Migrasi)")</f>
        <v>Admin (Migrasi)</v>
      </c>
      <c r="F3760" s="14" t="str">
        <f>IFERROR(__xludf.DUMMYFUNCTION("""COMPUTED_VALUE"""),"SELESAI (VIA PERMOHONAN)")</f>
        <v>SELESAI (VIA PERMOHONAN)</v>
      </c>
      <c r="G3760" s="17">
        <f>IFERROR(__xludf.DUMMYFUNCTION("""COMPUTED_VALUE"""),45911.64977739583)</f>
        <v>45911.64978</v>
      </c>
      <c r="H3760" s="14" t="str">
        <f>IFERROR(__xludf.DUMMYFUNCTION("""COMPUTED_VALUE"""),"Admin (Migrasi)")</f>
        <v>Admin (Migrasi)</v>
      </c>
      <c r="I3760" s="13" t="str">
        <f>IFERROR(__xludf.DUMMYFUNCTION("""COMPUTED_VALUE"""),"SELESAI (VIA PERMOHONAN)")</f>
        <v>SELESAI (VIA PERMOHONAN)</v>
      </c>
      <c r="J3760" s="17">
        <f>IFERROR(__xludf.DUMMYFUNCTION("""COMPUTED_VALUE"""),45911.649804305554)</f>
        <v>45911.6498</v>
      </c>
      <c r="K3760" s="13" t="str">
        <f>IFERROR(__xludf.DUMMYFUNCTION("""COMPUTED_VALUE"""),"Selesai")</f>
        <v>Selesai</v>
      </c>
      <c r="L3760" s="17">
        <f>IFERROR(__xludf.DUMMYFUNCTION("""COMPUTED_VALUE"""),45911.649804305554)</f>
        <v>45911.6498</v>
      </c>
      <c r="M3760" s="13"/>
      <c r="N3760" s="13" t="str">
        <f>IFERROR(__xludf.DUMMYFUNCTION("""COMPUTED_VALUE"""),"")</f>
        <v/>
      </c>
      <c r="O3760" s="13" t="str">
        <f t="shared" si="1"/>
        <v/>
      </c>
    </row>
    <row r="3761" ht="22.5" customHeight="1">
      <c r="B3761" s="13">
        <f>IFERROR(__xludf.DUMMYFUNCTION("""COMPUTED_VALUE"""),3756.0)</f>
        <v>3756</v>
      </c>
      <c r="C3761" s="13" t="str">
        <f>IFERROR(__xludf.DUMMYFUNCTION("""COMPUTED_VALUE"""),"M. 995/Pahoman 	")</f>
        <v>M. 995/Pahoman 	</v>
      </c>
      <c r="D3761" s="13" t="str">
        <f>IFERROR(__xludf.DUMMYFUNCTION("""COMPUTED_VALUE"""),"K/10/040928/1")</f>
        <v>K/10/040928/1</v>
      </c>
      <c r="E3761" s="14" t="str">
        <f>IFERROR(__xludf.DUMMYFUNCTION("""COMPUTED_VALUE"""),"Heri (BT)")</f>
        <v>Heri (BT)</v>
      </c>
      <c r="F3761" s="14" t="str">
        <f>IFERROR(__xludf.DUMMYFUNCTION("""COMPUTED_VALUE"""),"SELESAI (VIA PERMOHONAN)")</f>
        <v>SELESAI (VIA PERMOHONAN)</v>
      </c>
      <c r="G3761" s="17">
        <f>IFERROR(__xludf.DUMMYFUNCTION("""COMPUTED_VALUE"""),45912.44027802083)</f>
        <v>45912.44028</v>
      </c>
      <c r="H3761" s="14" t="str">
        <f>IFERROR(__xludf.DUMMYFUNCTION("""COMPUTED_VALUE"""),"Eci (SU)")</f>
        <v>Eci (SU)</v>
      </c>
      <c r="I3761" s="13" t="str">
        <f>IFERROR(__xludf.DUMMYFUNCTION("""COMPUTED_VALUE"""),"SELESAI (VIA PERMOHONAN)")</f>
        <v>SELESAI (VIA PERMOHONAN)</v>
      </c>
      <c r="J3761" s="17">
        <f>IFERROR(__xludf.DUMMYFUNCTION("""COMPUTED_VALUE"""),45916.624882511576)</f>
        <v>45916.62488</v>
      </c>
      <c r="K3761" s="13" t="str">
        <f>IFERROR(__xludf.DUMMYFUNCTION("""COMPUTED_VALUE"""),"Selesai")</f>
        <v>Selesai</v>
      </c>
      <c r="L3761" s="17">
        <f>IFERROR(__xludf.DUMMYFUNCTION("""COMPUTED_VALUE"""),45916.624882511576)</f>
        <v>45916.62488</v>
      </c>
      <c r="M3761" s="13"/>
      <c r="N3761" s="13" t="str">
        <f>IFERROR(__xludf.DUMMYFUNCTION("""COMPUTED_VALUE"""),"")</f>
        <v/>
      </c>
      <c r="O3761" s="13" t="str">
        <f t="shared" si="1"/>
        <v/>
      </c>
    </row>
    <row r="3762" ht="22.5" customHeight="1">
      <c r="B3762" s="13">
        <f>IFERROR(__xludf.DUMMYFUNCTION("""COMPUTED_VALUE"""),3757.0)</f>
        <v>3757</v>
      </c>
      <c r="C3762" s="13" t="str">
        <f>IFERROR(__xludf.DUMMYFUNCTION("""COMPUTED_VALUE"""),"M. 4441/Gunung Terang")</f>
        <v>M. 4441/Gunung Terang</v>
      </c>
      <c r="D3762" s="13" t="str">
        <f>IFERROR(__xludf.DUMMYFUNCTION("""COMPUTED_VALUE"""),"K/37/150825/1")</f>
        <v>K/37/150825/1</v>
      </c>
      <c r="E3762" s="14" t="str">
        <f>IFERROR(__xludf.DUMMYFUNCTION("""COMPUTED_VALUE"""),"Heri (BT)")</f>
        <v>Heri (BT)</v>
      </c>
      <c r="F3762" s="14" t="str">
        <f>IFERROR(__xludf.DUMMYFUNCTION("""COMPUTED_VALUE"""),"SELESAI (VIA PERMOHONAN)")</f>
        <v>SELESAI (VIA PERMOHONAN)</v>
      </c>
      <c r="G3762" s="17">
        <f>IFERROR(__xludf.DUMMYFUNCTION("""COMPUTED_VALUE"""),45912.4404778125)</f>
        <v>45912.44048</v>
      </c>
      <c r="H3762" s="14" t="str">
        <f>IFERROR(__xludf.DUMMYFUNCTION("""COMPUTED_VALUE"""),"Eci (SU)")</f>
        <v>Eci (SU)</v>
      </c>
      <c r="I3762" s="13" t="str">
        <f>IFERROR(__xludf.DUMMYFUNCTION("""COMPUTED_VALUE"""),"SELESAI (VIA PERMOHONAN)")</f>
        <v>SELESAI (VIA PERMOHONAN)</v>
      </c>
      <c r="J3762" s="17">
        <f>IFERROR(__xludf.DUMMYFUNCTION("""COMPUTED_VALUE"""),45916.624882511576)</f>
        <v>45916.62488</v>
      </c>
      <c r="K3762" s="13" t="str">
        <f>IFERROR(__xludf.DUMMYFUNCTION("""COMPUTED_VALUE"""),"Selesai")</f>
        <v>Selesai</v>
      </c>
      <c r="L3762" s="17">
        <f>IFERROR(__xludf.DUMMYFUNCTION("""COMPUTED_VALUE"""),45916.624882511576)</f>
        <v>45916.62488</v>
      </c>
      <c r="M3762" s="13"/>
      <c r="N3762" s="13" t="str">
        <f>IFERROR(__xludf.DUMMYFUNCTION("""COMPUTED_VALUE"""),"")</f>
        <v/>
      </c>
      <c r="O3762" s="13" t="str">
        <f t="shared" si="1"/>
        <v/>
      </c>
    </row>
    <row r="3763" ht="22.5" customHeight="1">
      <c r="B3763" s="13">
        <f>IFERROR(__xludf.DUMMYFUNCTION("""COMPUTED_VALUE"""),3758.0)</f>
        <v>3758</v>
      </c>
      <c r="C3763" s="13" t="str">
        <f>IFERROR(__xludf.DUMMYFUNCTION("""COMPUTED_VALUE"""),"M. 3323/CAMPANG RAYA")</f>
        <v>M. 3323/CAMPANG RAYA</v>
      </c>
      <c r="D3763" s="13" t="str">
        <f>IFERROR(__xludf.DUMMYFUNCTION("""COMPUTED_VALUE"""),"K/7/080925/1")</f>
        <v>K/7/080925/1</v>
      </c>
      <c r="E3763" s="14" t="str">
        <f>IFERROR(__xludf.DUMMYFUNCTION("""COMPUTED_VALUE"""),"Heri (BT)")</f>
        <v>Heri (BT)</v>
      </c>
      <c r="F3763" s="14" t="str">
        <f>IFERROR(__xludf.DUMMYFUNCTION("""COMPUTED_VALUE"""),"SELESAI (VIA PERMOHONAN)")</f>
        <v>SELESAI (VIA PERMOHONAN)</v>
      </c>
      <c r="G3763" s="17">
        <f>IFERROR(__xludf.DUMMYFUNCTION("""COMPUTED_VALUE"""),45912.44061605324)</f>
        <v>45912.44062</v>
      </c>
      <c r="H3763" s="14" t="str">
        <f>IFERROR(__xludf.DUMMYFUNCTION("""COMPUTED_VALUE"""),"Eci (SU)")</f>
        <v>Eci (SU)</v>
      </c>
      <c r="I3763" s="13" t="str">
        <f>IFERROR(__xludf.DUMMYFUNCTION("""COMPUTED_VALUE"""),"SELESAI (VIA PERMOHONAN)")</f>
        <v>SELESAI (VIA PERMOHONAN)</v>
      </c>
      <c r="J3763" s="17">
        <f>IFERROR(__xludf.DUMMYFUNCTION("""COMPUTED_VALUE"""),45916.624882511576)</f>
        <v>45916.62488</v>
      </c>
      <c r="K3763" s="13" t="str">
        <f>IFERROR(__xludf.DUMMYFUNCTION("""COMPUTED_VALUE"""),"Selesai")</f>
        <v>Selesai</v>
      </c>
      <c r="L3763" s="17">
        <f>IFERROR(__xludf.DUMMYFUNCTION("""COMPUTED_VALUE"""),45916.624882511576)</f>
        <v>45916.62488</v>
      </c>
      <c r="M3763" s="13"/>
      <c r="N3763" s="13" t="str">
        <f>IFERROR(__xludf.DUMMYFUNCTION("""COMPUTED_VALUE"""),"")</f>
        <v/>
      </c>
      <c r="O3763" s="13" t="str">
        <f t="shared" si="1"/>
        <v/>
      </c>
    </row>
    <row r="3764" ht="22.5" customHeight="1">
      <c r="B3764" s="13">
        <f>IFERROR(__xludf.DUMMYFUNCTION("""COMPUTED_VALUE"""),3759.0)</f>
        <v>3759</v>
      </c>
      <c r="C3764" s="13" t="str">
        <f>IFERROR(__xludf.DUMMYFUNCTION("""COMPUTED_VALUE"""),"M. 1155/KURIPAN")</f>
        <v>M. 1155/KURIPAN</v>
      </c>
      <c r="D3764" s="13" t="str">
        <f>IFERROR(__xludf.DUMMYFUNCTION("""COMPUTED_VALUE"""),"K/42/090925/1")</f>
        <v>K/42/090925/1</v>
      </c>
      <c r="E3764" s="14" t="str">
        <f>IFERROR(__xludf.DUMMYFUNCTION("""COMPUTED_VALUE"""),"Heri (BT)")</f>
        <v>Heri (BT)</v>
      </c>
      <c r="F3764" s="14" t="str">
        <f>IFERROR(__xludf.DUMMYFUNCTION("""COMPUTED_VALUE"""),"SELESAI (VIA PERMOHONAN)")</f>
        <v>SELESAI (VIA PERMOHONAN)</v>
      </c>
      <c r="G3764" s="17">
        <f>IFERROR(__xludf.DUMMYFUNCTION("""COMPUTED_VALUE"""),45912.44078568287)</f>
        <v>45912.44079</v>
      </c>
      <c r="H3764" s="14" t="str">
        <f>IFERROR(__xludf.DUMMYFUNCTION("""COMPUTED_VALUE"""),"Eci (SU)")</f>
        <v>Eci (SU)</v>
      </c>
      <c r="I3764" s="13" t="str">
        <f>IFERROR(__xludf.DUMMYFUNCTION("""COMPUTED_VALUE"""),"SELESAI (VIA PERMOHONAN)")</f>
        <v>SELESAI (VIA PERMOHONAN)</v>
      </c>
      <c r="J3764" s="17">
        <f>IFERROR(__xludf.DUMMYFUNCTION("""COMPUTED_VALUE"""),45916.624882511576)</f>
        <v>45916.62488</v>
      </c>
      <c r="K3764" s="13" t="str">
        <f>IFERROR(__xludf.DUMMYFUNCTION("""COMPUTED_VALUE"""),"Selesai")</f>
        <v>Selesai</v>
      </c>
      <c r="L3764" s="17">
        <f>IFERROR(__xludf.DUMMYFUNCTION("""COMPUTED_VALUE"""),45916.624882511576)</f>
        <v>45916.62488</v>
      </c>
      <c r="M3764" s="13"/>
      <c r="N3764" s="13" t="str">
        <f>IFERROR(__xludf.DUMMYFUNCTION("""COMPUTED_VALUE"""),"")</f>
        <v/>
      </c>
      <c r="O3764" s="13" t="str">
        <f t="shared" si="1"/>
        <v/>
      </c>
    </row>
    <row r="3765" ht="22.5" customHeight="1">
      <c r="B3765" s="13">
        <f>IFERROR(__xludf.DUMMYFUNCTION("""COMPUTED_VALUE"""),3760.0)</f>
        <v>3760</v>
      </c>
      <c r="C3765" s="13" t="str">
        <f>IFERROR(__xludf.DUMMYFUNCTION("""COMPUTED_VALUE"""),"M. 07/PERUMNAS WAY HALIM")</f>
        <v>M. 07/PERUMNAS WAY HALIM</v>
      </c>
      <c r="D3765" s="13" t="str">
        <f>IFERROR(__xludf.DUMMYFUNCTION("""COMPUTED_VALUE"""),"K/24/030925/1")</f>
        <v>K/24/030925/1</v>
      </c>
      <c r="E3765" s="14" t="str">
        <f>IFERROR(__xludf.DUMMYFUNCTION("""COMPUTED_VALUE"""),"Heri (BT)")</f>
        <v>Heri (BT)</v>
      </c>
      <c r="F3765" s="14" t="str">
        <f>IFERROR(__xludf.DUMMYFUNCTION("""COMPUTED_VALUE"""),"SELESAI (VIA PERMOHONAN)")</f>
        <v>SELESAI (VIA PERMOHONAN)</v>
      </c>
      <c r="G3765" s="17">
        <f>IFERROR(__xludf.DUMMYFUNCTION("""COMPUTED_VALUE"""),45912.44095899306)</f>
        <v>45912.44096</v>
      </c>
      <c r="H3765" s="14" t="str">
        <f>IFERROR(__xludf.DUMMYFUNCTION("""COMPUTED_VALUE"""),"Eci (SU)")</f>
        <v>Eci (SU)</v>
      </c>
      <c r="I3765" s="13" t="str">
        <f>IFERROR(__xludf.DUMMYFUNCTION("""COMPUTED_VALUE"""),"SELESAI (VIA PERMOHONAN)")</f>
        <v>SELESAI (VIA PERMOHONAN)</v>
      </c>
      <c r="J3765" s="17">
        <f>IFERROR(__xludf.DUMMYFUNCTION("""COMPUTED_VALUE"""),45916.624882511576)</f>
        <v>45916.62488</v>
      </c>
      <c r="K3765" s="13" t="str">
        <f>IFERROR(__xludf.DUMMYFUNCTION("""COMPUTED_VALUE"""),"Selesai")</f>
        <v>Selesai</v>
      </c>
      <c r="L3765" s="17">
        <f>IFERROR(__xludf.DUMMYFUNCTION("""COMPUTED_VALUE"""),45916.624882511576)</f>
        <v>45916.62488</v>
      </c>
      <c r="M3765" s="13"/>
      <c r="N3765" s="13" t="str">
        <f>IFERROR(__xludf.DUMMYFUNCTION("""COMPUTED_VALUE"""),"")</f>
        <v/>
      </c>
      <c r="O3765" s="13" t="str">
        <f t="shared" si="1"/>
        <v/>
      </c>
    </row>
    <row r="3766" ht="22.5" customHeight="1">
      <c r="B3766" s="13">
        <f>IFERROR(__xludf.DUMMYFUNCTION("""COMPUTED_VALUE"""),3761.0)</f>
        <v>3761</v>
      </c>
      <c r="C3766" s="13" t="str">
        <f>IFERROR(__xludf.DUMMYFUNCTION("""COMPUTED_VALUE"""),"M. 2449/CAMPANG RAYA")</f>
        <v>M. 2449/CAMPANG RAYA</v>
      </c>
      <c r="D3766" s="13" t="str">
        <f>IFERROR(__xludf.DUMMYFUNCTION("""COMPUTED_VALUE"""),"L/4/090925/1")</f>
        <v>L/4/090925/1</v>
      </c>
      <c r="E3766" s="14" t="str">
        <f>IFERROR(__xludf.DUMMYFUNCTION("""COMPUTED_VALUE"""),"Heri (BT)")</f>
        <v>Heri (BT)</v>
      </c>
      <c r="F3766" s="14" t="str">
        <f>IFERROR(__xludf.DUMMYFUNCTION("""COMPUTED_VALUE"""),"SELESAI (VIA PERMOHONAN)")</f>
        <v>SELESAI (VIA PERMOHONAN)</v>
      </c>
      <c r="G3766" s="17">
        <f>IFERROR(__xludf.DUMMYFUNCTION("""COMPUTED_VALUE"""),45912.44113709491)</f>
        <v>45912.44114</v>
      </c>
      <c r="H3766" s="14" t="str">
        <f>IFERROR(__xludf.DUMMYFUNCTION("""COMPUTED_VALUE"""),"Eci (SU)")</f>
        <v>Eci (SU)</v>
      </c>
      <c r="I3766" s="13" t="str">
        <f>IFERROR(__xludf.DUMMYFUNCTION("""COMPUTED_VALUE"""),"SELESAI (VIA PERMOHONAN)")</f>
        <v>SELESAI (VIA PERMOHONAN)</v>
      </c>
      <c r="J3766" s="17">
        <f>IFERROR(__xludf.DUMMYFUNCTION("""COMPUTED_VALUE"""),45916.624882511576)</f>
        <v>45916.62488</v>
      </c>
      <c r="K3766" s="13" t="str">
        <f>IFERROR(__xludf.DUMMYFUNCTION("""COMPUTED_VALUE"""),"Selesai")</f>
        <v>Selesai</v>
      </c>
      <c r="L3766" s="17">
        <f>IFERROR(__xludf.DUMMYFUNCTION("""COMPUTED_VALUE"""),45916.624882511576)</f>
        <v>45916.62488</v>
      </c>
      <c r="M3766" s="13"/>
      <c r="N3766" s="13" t="str">
        <f>IFERROR(__xludf.DUMMYFUNCTION("""COMPUTED_VALUE"""),"")</f>
        <v/>
      </c>
      <c r="O3766" s="13" t="str">
        <f t="shared" si="1"/>
        <v/>
      </c>
    </row>
    <row r="3767" ht="22.5" customHeight="1">
      <c r="B3767" s="13">
        <f>IFERROR(__xludf.DUMMYFUNCTION("""COMPUTED_VALUE"""),3762.0)</f>
        <v>3762</v>
      </c>
      <c r="C3767" s="13" t="str">
        <f>IFERROR(__xludf.DUMMYFUNCTION("""COMPUTED_VALUE"""),"M 798/ GOTONG ROYONG")</f>
        <v>M 798/ GOTONG ROYONG</v>
      </c>
      <c r="D3767" s="13" t="str">
        <f>IFERROR(__xludf.DUMMYFUNCTION("""COMPUTED_VALUE"""),"K/38/090925/1")</f>
        <v>K/38/090925/1</v>
      </c>
      <c r="E3767" s="14" t="str">
        <f>IFERROR(__xludf.DUMMYFUNCTION("""COMPUTED_VALUE"""),"Heri (BT)")</f>
        <v>Heri (BT)</v>
      </c>
      <c r="F3767" s="14" t="str">
        <f>IFERROR(__xludf.DUMMYFUNCTION("""COMPUTED_VALUE"""),"SELESAI (VIA PERMOHONAN)")</f>
        <v>SELESAI (VIA PERMOHONAN)</v>
      </c>
      <c r="G3767" s="17">
        <f>IFERROR(__xludf.DUMMYFUNCTION("""COMPUTED_VALUE"""),45912.44121533565)</f>
        <v>45912.44122</v>
      </c>
      <c r="H3767" s="14" t="str">
        <f>IFERROR(__xludf.DUMMYFUNCTION("""COMPUTED_VALUE"""),"Eci (SU)")</f>
        <v>Eci (SU)</v>
      </c>
      <c r="I3767" s="13" t="str">
        <f>IFERROR(__xludf.DUMMYFUNCTION("""COMPUTED_VALUE"""),"SELESAI (VIA PERMOHONAN)")</f>
        <v>SELESAI (VIA PERMOHONAN)</v>
      </c>
      <c r="J3767" s="17">
        <f>IFERROR(__xludf.DUMMYFUNCTION("""COMPUTED_VALUE"""),45916.59813883102)</f>
        <v>45916.59814</v>
      </c>
      <c r="K3767" s="13" t="str">
        <f>IFERROR(__xludf.DUMMYFUNCTION("""COMPUTED_VALUE"""),"Selesai")</f>
        <v>Selesai</v>
      </c>
      <c r="L3767" s="17">
        <f>IFERROR(__xludf.DUMMYFUNCTION("""COMPUTED_VALUE"""),45916.59813883102)</f>
        <v>45916.59814</v>
      </c>
      <c r="M3767" s="13"/>
      <c r="N3767" s="13" t="str">
        <f>IFERROR(__xludf.DUMMYFUNCTION("""COMPUTED_VALUE"""),"")</f>
        <v/>
      </c>
      <c r="O3767" s="13" t="str">
        <f t="shared" si="1"/>
        <v/>
      </c>
    </row>
    <row r="3768" ht="22.5" customHeight="1">
      <c r="B3768" s="13">
        <f>IFERROR(__xludf.DUMMYFUNCTION("""COMPUTED_VALUE"""),3763.0)</f>
        <v>3763</v>
      </c>
      <c r="C3768" s="13" t="str">
        <f>IFERROR(__xludf.DUMMYFUNCTION("""COMPUTED_VALUE"""),"M 12709/ BERINGIN RAYA")</f>
        <v>M 12709/ BERINGIN RAYA</v>
      </c>
      <c r="D3768" s="13" t="str">
        <f>IFERROR(__xludf.DUMMYFUNCTION("""COMPUTED_VALUE"""),"K/43/280825/1")</f>
        <v>K/43/280825/1</v>
      </c>
      <c r="E3768" s="14" t="str">
        <f>IFERROR(__xludf.DUMMYFUNCTION("""COMPUTED_VALUE"""),"Heri (BT)")</f>
        <v>Heri (BT)</v>
      </c>
      <c r="F3768" s="14" t="str">
        <f>IFERROR(__xludf.DUMMYFUNCTION("""COMPUTED_VALUE"""),"SELESAI (VIA PERMOHONAN)")</f>
        <v>SELESAI (VIA PERMOHONAN)</v>
      </c>
      <c r="G3768" s="17">
        <f>IFERROR(__xludf.DUMMYFUNCTION("""COMPUTED_VALUE"""),45912.441336435186)</f>
        <v>45912.44134</v>
      </c>
      <c r="H3768" s="14" t="str">
        <f>IFERROR(__xludf.DUMMYFUNCTION("""COMPUTED_VALUE"""),"Eci (SU)")</f>
        <v>Eci (SU)</v>
      </c>
      <c r="I3768" s="13" t="str">
        <f>IFERROR(__xludf.DUMMYFUNCTION("""COMPUTED_VALUE"""),"SELESAI (VIA PERMOHONAN)")</f>
        <v>SELESAI (VIA PERMOHONAN)</v>
      </c>
      <c r="J3768" s="17">
        <f>IFERROR(__xludf.DUMMYFUNCTION("""COMPUTED_VALUE"""),45916.624882511576)</f>
        <v>45916.62488</v>
      </c>
      <c r="K3768" s="13" t="str">
        <f>IFERROR(__xludf.DUMMYFUNCTION("""COMPUTED_VALUE"""),"Selesai")</f>
        <v>Selesai</v>
      </c>
      <c r="L3768" s="17">
        <f>IFERROR(__xludf.DUMMYFUNCTION("""COMPUTED_VALUE"""),45916.624882511576)</f>
        <v>45916.62488</v>
      </c>
      <c r="M3768" s="13"/>
      <c r="N3768" s="13" t="str">
        <f>IFERROR(__xludf.DUMMYFUNCTION("""COMPUTED_VALUE"""),"")</f>
        <v/>
      </c>
      <c r="O3768" s="13" t="str">
        <f t="shared" si="1"/>
        <v/>
      </c>
    </row>
    <row r="3769" ht="22.5" customHeight="1">
      <c r="B3769" s="13">
        <f>IFERROR(__xludf.DUMMYFUNCTION("""COMPUTED_VALUE"""),3764.0)</f>
        <v>3764</v>
      </c>
      <c r="C3769" s="13" t="str">
        <f>IFERROR(__xludf.DUMMYFUNCTION("""COMPUTED_VALUE"""),"M 498/ PINANG JAYA")</f>
        <v>M 498/ PINANG JAYA</v>
      </c>
      <c r="D3769" s="13" t="str">
        <f>IFERROR(__xludf.DUMMYFUNCTION("""COMPUTED_VALUE"""),"K/21/030925/1")</f>
        <v>K/21/030925/1</v>
      </c>
      <c r="E3769" s="14" t="str">
        <f>IFERROR(__xludf.DUMMYFUNCTION("""COMPUTED_VALUE"""),"Heri (BT)")</f>
        <v>Heri (BT)</v>
      </c>
      <c r="F3769" s="14" t="str">
        <f>IFERROR(__xludf.DUMMYFUNCTION("""COMPUTED_VALUE"""),"SELESAI (VIA PERMOHONAN)")</f>
        <v>SELESAI (VIA PERMOHONAN)</v>
      </c>
      <c r="G3769" s="17">
        <f>IFERROR(__xludf.DUMMYFUNCTION("""COMPUTED_VALUE"""),45912.44152952546)</f>
        <v>45912.44153</v>
      </c>
      <c r="H3769" s="14" t="str">
        <f>IFERROR(__xludf.DUMMYFUNCTION("""COMPUTED_VALUE"""),"Eci (SU)")</f>
        <v>Eci (SU)</v>
      </c>
      <c r="I3769" s="13" t="str">
        <f>IFERROR(__xludf.DUMMYFUNCTION("""COMPUTED_VALUE"""),"SELESAI (VIA PERMOHONAN)")</f>
        <v>SELESAI (VIA PERMOHONAN)</v>
      </c>
      <c r="J3769" s="17">
        <f>IFERROR(__xludf.DUMMYFUNCTION("""COMPUTED_VALUE"""),45916.624882511576)</f>
        <v>45916.62488</v>
      </c>
      <c r="K3769" s="13" t="str">
        <f>IFERROR(__xludf.DUMMYFUNCTION("""COMPUTED_VALUE"""),"Selesai")</f>
        <v>Selesai</v>
      </c>
      <c r="L3769" s="17">
        <f>IFERROR(__xludf.DUMMYFUNCTION("""COMPUTED_VALUE"""),45916.624882511576)</f>
        <v>45916.62488</v>
      </c>
      <c r="M3769" s="13"/>
      <c r="N3769" s="13" t="str">
        <f>IFERROR(__xludf.DUMMYFUNCTION("""COMPUTED_VALUE"""),"")</f>
        <v/>
      </c>
      <c r="O3769" s="13" t="str">
        <f t="shared" si="1"/>
        <v/>
      </c>
    </row>
    <row r="3770" ht="22.5" customHeight="1">
      <c r="B3770" s="13">
        <f>IFERROR(__xludf.DUMMYFUNCTION("""COMPUTED_VALUE"""),3765.0)</f>
        <v>3765</v>
      </c>
      <c r="C3770" s="13" t="str">
        <f>IFERROR(__xludf.DUMMYFUNCTION("""COMPUTED_VALUE"""),"M. 243/LANGKAPURA BARU")</f>
        <v>M. 243/LANGKAPURA BARU</v>
      </c>
      <c r="D3770" s="13" t="str">
        <f>IFERROR(__xludf.DUMMYFUNCTION("""COMPUTED_VALUE"""),"L/1/300825/1 (PELATARAN)")</f>
        <v>L/1/300825/1 (PELATARAN)</v>
      </c>
      <c r="E3770" s="14" t="str">
        <f>IFERROR(__xludf.DUMMYFUNCTION("""COMPUTED_VALUE"""),"Heri (BT)")</f>
        <v>Heri (BT)</v>
      </c>
      <c r="F3770" s="14" t="str">
        <f>IFERROR(__xludf.DUMMYFUNCTION("""COMPUTED_VALUE"""),"SELESAI (VIA PERMOHONAN)")</f>
        <v>SELESAI (VIA PERMOHONAN)</v>
      </c>
      <c r="G3770" s="17">
        <f>IFERROR(__xludf.DUMMYFUNCTION("""COMPUTED_VALUE"""),45912.44173524306)</f>
        <v>45912.44174</v>
      </c>
      <c r="H3770" s="14" t="str">
        <f>IFERROR(__xludf.DUMMYFUNCTION("""COMPUTED_VALUE"""),"Eci (SU)")</f>
        <v>Eci (SU)</v>
      </c>
      <c r="I3770" s="13" t="str">
        <f>IFERROR(__xludf.DUMMYFUNCTION("""COMPUTED_VALUE"""),"SELESAI (VIA PERMOHONAN)")</f>
        <v>SELESAI (VIA PERMOHONAN)</v>
      </c>
      <c r="J3770" s="17">
        <f>IFERROR(__xludf.DUMMYFUNCTION("""COMPUTED_VALUE"""),45916.624882511576)</f>
        <v>45916.62488</v>
      </c>
      <c r="K3770" s="13" t="str">
        <f>IFERROR(__xludf.DUMMYFUNCTION("""COMPUTED_VALUE"""),"Selesai")</f>
        <v>Selesai</v>
      </c>
      <c r="L3770" s="17">
        <f>IFERROR(__xludf.DUMMYFUNCTION("""COMPUTED_VALUE"""),45916.624882511576)</f>
        <v>45916.62488</v>
      </c>
      <c r="M3770" s="13"/>
      <c r="N3770" s="13" t="str">
        <f>IFERROR(__xludf.DUMMYFUNCTION("""COMPUTED_VALUE"""),"")</f>
        <v/>
      </c>
      <c r="O3770" s="13" t="str">
        <f t="shared" si="1"/>
        <v/>
      </c>
    </row>
    <row r="3771" ht="22.5" customHeight="1">
      <c r="B3771" s="13">
        <f>IFERROR(__xludf.DUMMYFUNCTION("""COMPUTED_VALUE"""),3766.0)</f>
        <v>3766</v>
      </c>
      <c r="C3771" s="13" t="str">
        <f>IFERROR(__xludf.DUMMYFUNCTION("""COMPUTED_VALUE"""),"M.894/TANJUNG RAYA")</f>
        <v>M.894/TANJUNG RAYA</v>
      </c>
      <c r="D3771" s="13" t="str">
        <f>IFERROR(__xludf.DUMMYFUNCTION("""COMPUTED_VALUE"""),"K/54/280825/3")</f>
        <v>K/54/280825/3</v>
      </c>
      <c r="E3771" s="14" t="str">
        <f>IFERROR(__xludf.DUMMYFUNCTION("""COMPUTED_VALUE"""),"Heri (BT)")</f>
        <v>Heri (BT)</v>
      </c>
      <c r="F3771" s="14" t="str">
        <f>IFERROR(__xludf.DUMMYFUNCTION("""COMPUTED_VALUE"""),"SELESAI (VIA PERMOHONAN)")</f>
        <v>SELESAI (VIA PERMOHONAN)</v>
      </c>
      <c r="G3771" s="17">
        <f>IFERROR(__xludf.DUMMYFUNCTION("""COMPUTED_VALUE"""),45912.44187077547)</f>
        <v>45912.44187</v>
      </c>
      <c r="H3771" s="14" t="str">
        <f>IFERROR(__xludf.DUMMYFUNCTION("""COMPUTED_VALUE"""),"Eci (SU)")</f>
        <v>Eci (SU)</v>
      </c>
      <c r="I3771" s="13" t="str">
        <f>IFERROR(__xludf.DUMMYFUNCTION("""COMPUTED_VALUE"""),"SELESAI (VIA PERMOHONAN)")</f>
        <v>SELESAI (VIA PERMOHONAN)</v>
      </c>
      <c r="J3771" s="17">
        <f>IFERROR(__xludf.DUMMYFUNCTION("""COMPUTED_VALUE"""),45916.624882511576)</f>
        <v>45916.62488</v>
      </c>
      <c r="K3771" s="13" t="str">
        <f>IFERROR(__xludf.DUMMYFUNCTION("""COMPUTED_VALUE"""),"Selesai")</f>
        <v>Selesai</v>
      </c>
      <c r="L3771" s="17">
        <f>IFERROR(__xludf.DUMMYFUNCTION("""COMPUTED_VALUE"""),45916.624882511576)</f>
        <v>45916.62488</v>
      </c>
      <c r="M3771" s="13"/>
      <c r="N3771" s="13" t="str">
        <f>IFERROR(__xludf.DUMMYFUNCTION("""COMPUTED_VALUE"""),"")</f>
        <v/>
      </c>
      <c r="O3771" s="13" t="str">
        <f t="shared" si="1"/>
        <v/>
      </c>
    </row>
    <row r="3772" ht="22.5" customHeight="1">
      <c r="B3772" s="13">
        <f>IFERROR(__xludf.DUMMYFUNCTION("""COMPUTED_VALUE"""),3767.0)</f>
        <v>3767</v>
      </c>
      <c r="C3772" s="13" t="str">
        <f>IFERROR(__xludf.DUMMYFUNCTION("""COMPUTED_VALUE"""),"M 43/ LANGKAPURA BARU")</f>
        <v>M 43/ LANGKAPURA BARU</v>
      </c>
      <c r="D3772" s="13" t="str">
        <f>IFERROR(__xludf.DUMMYFUNCTION("""COMPUTED_VALUE"""),"K/24/280825/4")</f>
        <v>K/24/280825/4</v>
      </c>
      <c r="E3772" s="14" t="str">
        <f>IFERROR(__xludf.DUMMYFUNCTION("""COMPUTED_VALUE"""),"Heri (BT)")</f>
        <v>Heri (BT)</v>
      </c>
      <c r="F3772" s="14" t="str">
        <f>IFERROR(__xludf.DUMMYFUNCTION("""COMPUTED_VALUE"""),"SELESAI (VIA PERMOHONAN)")</f>
        <v>SELESAI (VIA PERMOHONAN)</v>
      </c>
      <c r="G3772" s="17">
        <f>IFERROR(__xludf.DUMMYFUNCTION("""COMPUTED_VALUE"""),45912.44199806713)</f>
        <v>45912.442</v>
      </c>
      <c r="H3772" s="14" t="str">
        <f>IFERROR(__xludf.DUMMYFUNCTION("""COMPUTED_VALUE"""),"Eci (SU)")</f>
        <v>Eci (SU)</v>
      </c>
      <c r="I3772" s="13" t="str">
        <f>IFERROR(__xludf.DUMMYFUNCTION("""COMPUTED_VALUE"""),"SELESAI (VIA PERMOHONAN)")</f>
        <v>SELESAI (VIA PERMOHONAN)</v>
      </c>
      <c r="J3772" s="17">
        <f>IFERROR(__xludf.DUMMYFUNCTION("""COMPUTED_VALUE"""),45916.624882511576)</f>
        <v>45916.62488</v>
      </c>
      <c r="K3772" s="13" t="str">
        <f>IFERROR(__xludf.DUMMYFUNCTION("""COMPUTED_VALUE"""),"Selesai")</f>
        <v>Selesai</v>
      </c>
      <c r="L3772" s="17">
        <f>IFERROR(__xludf.DUMMYFUNCTION("""COMPUTED_VALUE"""),45916.624882511576)</f>
        <v>45916.62488</v>
      </c>
      <c r="M3772" s="13"/>
      <c r="N3772" s="13" t="str">
        <f>IFERROR(__xludf.DUMMYFUNCTION("""COMPUTED_VALUE"""),"")</f>
        <v/>
      </c>
      <c r="O3772" s="13" t="str">
        <f t="shared" si="1"/>
        <v/>
      </c>
    </row>
    <row r="3773" ht="22.5" customHeight="1">
      <c r="B3773" s="13">
        <f>IFERROR(__xludf.DUMMYFUNCTION("""COMPUTED_VALUE"""),3768.0)</f>
        <v>3768</v>
      </c>
      <c r="C3773" s="13" t="str">
        <f>IFERROR(__xludf.DUMMYFUNCTION("""COMPUTED_VALUE"""),"M 1200/ KUPANG TEBA")</f>
        <v>M 1200/ KUPANG TEBA</v>
      </c>
      <c r="D3773" s="13" t="str">
        <f>IFERROR(__xludf.DUMMYFUNCTION("""COMPUTED_VALUE"""),"K/1/280825/1")</f>
        <v>K/1/280825/1</v>
      </c>
      <c r="E3773" s="14" t="str">
        <f>IFERROR(__xludf.DUMMYFUNCTION("""COMPUTED_VALUE"""),"Heri (BT)")</f>
        <v>Heri (BT)</v>
      </c>
      <c r="F3773" s="14" t="str">
        <f>IFERROR(__xludf.DUMMYFUNCTION("""COMPUTED_VALUE"""),"SELESAI (VIA PERMOHONAN)")</f>
        <v>SELESAI (VIA PERMOHONAN)</v>
      </c>
      <c r="G3773" s="17">
        <f>IFERROR(__xludf.DUMMYFUNCTION("""COMPUTED_VALUE"""),45912.44232137731)</f>
        <v>45912.44232</v>
      </c>
      <c r="H3773" s="14" t="str">
        <f>IFERROR(__xludf.DUMMYFUNCTION("""COMPUTED_VALUE"""),"Eci (SU)")</f>
        <v>Eci (SU)</v>
      </c>
      <c r="I3773" s="13" t="str">
        <f>IFERROR(__xludf.DUMMYFUNCTION("""COMPUTED_VALUE"""),"SELESAI (VIA PERMOHONAN)")</f>
        <v>SELESAI (VIA PERMOHONAN)</v>
      </c>
      <c r="J3773" s="17">
        <f>IFERROR(__xludf.DUMMYFUNCTION("""COMPUTED_VALUE"""),45916.624882523145)</f>
        <v>45916.62488</v>
      </c>
      <c r="K3773" s="13" t="str">
        <f>IFERROR(__xludf.DUMMYFUNCTION("""COMPUTED_VALUE"""),"Selesai")</f>
        <v>Selesai</v>
      </c>
      <c r="L3773" s="17">
        <f>IFERROR(__xludf.DUMMYFUNCTION("""COMPUTED_VALUE"""),45916.624882523145)</f>
        <v>45916.62488</v>
      </c>
      <c r="M3773" s="13"/>
      <c r="N3773" s="13" t="str">
        <f>IFERROR(__xludf.DUMMYFUNCTION("""COMPUTED_VALUE"""),"")</f>
        <v/>
      </c>
      <c r="O3773" s="13" t="str">
        <f t="shared" si="1"/>
        <v/>
      </c>
    </row>
    <row r="3774" ht="22.5" customHeight="1">
      <c r="B3774" s="13">
        <f>IFERROR(__xludf.DUMMYFUNCTION("""COMPUTED_VALUE"""),3769.0)</f>
        <v>3769</v>
      </c>
      <c r="C3774" s="13" t="str">
        <f>IFERROR(__xludf.DUMMYFUNCTION("""COMPUTED_VALUE"""),"M. 2245/ LANGKAPURA")</f>
        <v>M. 2245/ LANGKAPURA</v>
      </c>
      <c r="D3774" s="13" t="str">
        <f>IFERROR(__xludf.DUMMYFUNCTION("""COMPUTED_VALUE"""),"K/11/200825/1")</f>
        <v>K/11/200825/1</v>
      </c>
      <c r="E3774" s="14" t="str">
        <f>IFERROR(__xludf.DUMMYFUNCTION("""COMPUTED_VALUE"""),"Heri (BT)")</f>
        <v>Heri (BT)</v>
      </c>
      <c r="F3774" s="14" t="str">
        <f>IFERROR(__xludf.DUMMYFUNCTION("""COMPUTED_VALUE"""),"SELESAI (VIA PERMOHONAN)")</f>
        <v>SELESAI (VIA PERMOHONAN)</v>
      </c>
      <c r="G3774" s="17">
        <f>IFERROR(__xludf.DUMMYFUNCTION("""COMPUTED_VALUE"""),45912.44248625)</f>
        <v>45912.44249</v>
      </c>
      <c r="H3774" s="14" t="str">
        <f>IFERROR(__xludf.DUMMYFUNCTION("""COMPUTED_VALUE"""),"Eci (SU)")</f>
        <v>Eci (SU)</v>
      </c>
      <c r="I3774" s="13" t="str">
        <f>IFERROR(__xludf.DUMMYFUNCTION("""COMPUTED_VALUE"""),"SELESAI (VIA PERMOHONAN)")</f>
        <v>SELESAI (VIA PERMOHONAN)</v>
      </c>
      <c r="J3774" s="17">
        <f>IFERROR(__xludf.DUMMYFUNCTION("""COMPUTED_VALUE"""),45916.624882523145)</f>
        <v>45916.62488</v>
      </c>
      <c r="K3774" s="13" t="str">
        <f>IFERROR(__xludf.DUMMYFUNCTION("""COMPUTED_VALUE"""),"Selesai")</f>
        <v>Selesai</v>
      </c>
      <c r="L3774" s="17">
        <f>IFERROR(__xludf.DUMMYFUNCTION("""COMPUTED_VALUE"""),45916.624882523145)</f>
        <v>45916.62488</v>
      </c>
      <c r="M3774" s="13"/>
      <c r="N3774" s="13" t="str">
        <f>IFERROR(__xludf.DUMMYFUNCTION("""COMPUTED_VALUE"""),"")</f>
        <v/>
      </c>
      <c r="O3774" s="13" t="str">
        <f t="shared" si="1"/>
        <v/>
      </c>
    </row>
    <row r="3775" ht="22.5" customHeight="1">
      <c r="B3775" s="13">
        <f>IFERROR(__xludf.DUMMYFUNCTION("""COMPUTED_VALUE"""),3770.0)</f>
        <v>3770</v>
      </c>
      <c r="C3775" s="13" t="str">
        <f>IFERROR(__xludf.DUMMYFUNCTION("""COMPUTED_VALUE"""),"M. 9600/ KAMPUNG BARU")</f>
        <v>M. 9600/ KAMPUNG BARU</v>
      </c>
      <c r="D3775" s="13" t="str">
        <f>IFERROR(__xludf.DUMMYFUNCTION("""COMPUTED_VALUE"""),"K/6/190825/1")</f>
        <v>K/6/190825/1</v>
      </c>
      <c r="E3775" s="14" t="str">
        <f>IFERROR(__xludf.DUMMYFUNCTION("""COMPUTED_VALUE"""),"Heri (BT)")</f>
        <v>Heri (BT)</v>
      </c>
      <c r="F3775" s="14" t="str">
        <f>IFERROR(__xludf.DUMMYFUNCTION("""COMPUTED_VALUE"""),"SELESAI (VIA PERMOHONAN)")</f>
        <v>SELESAI (VIA PERMOHONAN)</v>
      </c>
      <c r="G3775" s="17">
        <f>IFERROR(__xludf.DUMMYFUNCTION("""COMPUTED_VALUE"""),45912.44279981482)</f>
        <v>45912.4428</v>
      </c>
      <c r="H3775" s="14" t="str">
        <f>IFERROR(__xludf.DUMMYFUNCTION("""COMPUTED_VALUE"""),"Eci (SU)")</f>
        <v>Eci (SU)</v>
      </c>
      <c r="I3775" s="13" t="str">
        <f>IFERROR(__xludf.DUMMYFUNCTION("""COMPUTED_VALUE"""),"SELESAI (VIA PERMOHONAN)")</f>
        <v>SELESAI (VIA PERMOHONAN)</v>
      </c>
      <c r="J3775" s="17">
        <f>IFERROR(__xludf.DUMMYFUNCTION("""COMPUTED_VALUE"""),45916.624882523145)</f>
        <v>45916.62488</v>
      </c>
      <c r="K3775" s="13" t="str">
        <f>IFERROR(__xludf.DUMMYFUNCTION("""COMPUTED_VALUE"""),"Selesai")</f>
        <v>Selesai</v>
      </c>
      <c r="L3775" s="17">
        <f>IFERROR(__xludf.DUMMYFUNCTION("""COMPUTED_VALUE"""),45916.624882523145)</f>
        <v>45916.62488</v>
      </c>
      <c r="M3775" s="13"/>
      <c r="N3775" s="13" t="str">
        <f>IFERROR(__xludf.DUMMYFUNCTION("""COMPUTED_VALUE"""),"")</f>
        <v/>
      </c>
      <c r="O3775" s="13" t="str">
        <f t="shared" si="1"/>
        <v/>
      </c>
    </row>
    <row r="3776" ht="22.5" customHeight="1">
      <c r="B3776" s="13">
        <f>IFERROR(__xludf.DUMMYFUNCTION("""COMPUTED_VALUE"""),3771.0)</f>
        <v>3771</v>
      </c>
      <c r="C3776" s="13" t="str">
        <f>IFERROR(__xludf.DUMMYFUNCTION("""COMPUTED_VALUE"""),"M. 2085/Gunung Terang")</f>
        <v>M. 2085/Gunung Terang</v>
      </c>
      <c r="D3776" s="13" t="str">
        <f>IFERROR(__xludf.DUMMYFUNCTION("""COMPUTED_VALUE"""),"K/6/250825/2")</f>
        <v>K/6/250825/2</v>
      </c>
      <c r="E3776" s="14" t="str">
        <f>IFERROR(__xludf.DUMMYFUNCTION("""COMPUTED_VALUE"""),"Admin (Migrasi)")</f>
        <v>Admin (Migrasi)</v>
      </c>
      <c r="F3776" s="14" t="str">
        <f>IFERROR(__xludf.DUMMYFUNCTION("""COMPUTED_VALUE"""),"SELESAI (VIA PERMOHONAN)")</f>
        <v>SELESAI (VIA PERMOHONAN)</v>
      </c>
      <c r="G3776" s="17">
        <f>IFERROR(__xludf.DUMMYFUNCTION("""COMPUTED_VALUE"""),45912.44924484954)</f>
        <v>45912.44924</v>
      </c>
      <c r="H3776" s="14" t="str">
        <f>IFERROR(__xludf.DUMMYFUNCTION("""COMPUTED_VALUE"""),"Admin (Migrasi)")</f>
        <v>Admin (Migrasi)</v>
      </c>
      <c r="I3776" s="13" t="str">
        <f>IFERROR(__xludf.DUMMYFUNCTION("""COMPUTED_VALUE"""),"SELESAI (VIA PERMOHONAN)")</f>
        <v>SELESAI (VIA PERMOHONAN)</v>
      </c>
      <c r="J3776" s="17">
        <f>IFERROR(__xludf.DUMMYFUNCTION("""COMPUTED_VALUE"""),45912.44924484954)</f>
        <v>45912.44924</v>
      </c>
      <c r="K3776" s="13" t="str">
        <f>IFERROR(__xludf.DUMMYFUNCTION("""COMPUTED_VALUE"""),"Selesai")</f>
        <v>Selesai</v>
      </c>
      <c r="L3776" s="17">
        <f>IFERROR(__xludf.DUMMYFUNCTION("""COMPUTED_VALUE"""),45912.44924484954)</f>
        <v>45912.44924</v>
      </c>
      <c r="M3776" s="13"/>
      <c r="N3776" s="13" t="str">
        <f>IFERROR(__xludf.DUMMYFUNCTION("""COMPUTED_VALUE"""),"")</f>
        <v/>
      </c>
      <c r="O3776" s="13" t="str">
        <f t="shared" si="1"/>
        <v/>
      </c>
    </row>
    <row r="3777" ht="22.5" customHeight="1">
      <c r="B3777" s="13">
        <f>IFERROR(__xludf.DUMMYFUNCTION("""COMPUTED_VALUE"""),3772.0)</f>
        <v>3772</v>
      </c>
      <c r="C3777" s="13" t="str">
        <f>IFERROR(__xludf.DUMMYFUNCTION("""COMPUTED_VALUE"""),"M. 19476/Sukaarame	")</f>
        <v>M. 19476/Sukaarame	</v>
      </c>
      <c r="D3777" s="13" t="str">
        <f>IFERROR(__xludf.DUMMYFUNCTION("""COMPUTED_VALUE"""),"K/33/040925/1")</f>
        <v>K/33/040925/1</v>
      </c>
      <c r="E3777" s="14" t="str">
        <f>IFERROR(__xludf.DUMMYFUNCTION("""COMPUTED_VALUE"""),"Admin (Migrasi)")</f>
        <v>Admin (Migrasi)</v>
      </c>
      <c r="F3777" s="14" t="str">
        <f>IFERROR(__xludf.DUMMYFUNCTION("""COMPUTED_VALUE"""),"SELESAI (VIA PERMOHONAN)")</f>
        <v>SELESAI (VIA PERMOHONAN)</v>
      </c>
      <c r="G3777" s="17">
        <f>IFERROR(__xludf.DUMMYFUNCTION("""COMPUTED_VALUE"""),45912.44941929398)</f>
        <v>45912.44942</v>
      </c>
      <c r="H3777" s="14" t="str">
        <f>IFERROR(__xludf.DUMMYFUNCTION("""COMPUTED_VALUE"""),"Admin (Migrasi)")</f>
        <v>Admin (Migrasi)</v>
      </c>
      <c r="I3777" s="13" t="str">
        <f>IFERROR(__xludf.DUMMYFUNCTION("""COMPUTED_VALUE"""),"SELESAI (VIA PERMOHONAN)")</f>
        <v>SELESAI (VIA PERMOHONAN)</v>
      </c>
      <c r="J3777" s="17">
        <f>IFERROR(__xludf.DUMMYFUNCTION("""COMPUTED_VALUE"""),45912.44943356482)</f>
        <v>45912.44943</v>
      </c>
      <c r="K3777" s="13" t="str">
        <f>IFERROR(__xludf.DUMMYFUNCTION("""COMPUTED_VALUE"""),"Selesai")</f>
        <v>Selesai</v>
      </c>
      <c r="L3777" s="17">
        <f>IFERROR(__xludf.DUMMYFUNCTION("""COMPUTED_VALUE"""),45912.44943356482)</f>
        <v>45912.44943</v>
      </c>
      <c r="M3777" s="13"/>
      <c r="N3777" s="13" t="str">
        <f>IFERROR(__xludf.DUMMYFUNCTION("""COMPUTED_VALUE"""),"")</f>
        <v/>
      </c>
      <c r="O3777" s="13" t="str">
        <f t="shared" si="1"/>
        <v/>
      </c>
    </row>
    <row r="3778" ht="22.5" customHeight="1">
      <c r="B3778" s="13">
        <f>IFERROR(__xludf.DUMMYFUNCTION("""COMPUTED_VALUE"""),3773.0)</f>
        <v>3773</v>
      </c>
      <c r="C3778" s="13" t="str">
        <f>IFERROR(__xludf.DUMMYFUNCTION("""COMPUTED_VALUE"""),"B. 480/PERUMNAS WAY KANDIS")</f>
        <v>B. 480/PERUMNAS WAY KANDIS</v>
      </c>
      <c r="D3778" s="13" t="str">
        <f>IFERROR(__xludf.DUMMYFUNCTION("""COMPUTED_VALUE"""),"K/12/190825/1")</f>
        <v>K/12/190825/1</v>
      </c>
      <c r="E3778" s="14" t="str">
        <f>IFERROR(__xludf.DUMMYFUNCTION("""COMPUTED_VALUE"""),"Admin (Migrasi)")</f>
        <v>Admin (Migrasi)</v>
      </c>
      <c r="F3778" s="14" t="str">
        <f>IFERROR(__xludf.DUMMYFUNCTION("""COMPUTED_VALUE"""),"SELESAI (VIA PERMOHONAN)")</f>
        <v>SELESAI (VIA PERMOHONAN)</v>
      </c>
      <c r="G3778" s="17">
        <f>IFERROR(__xludf.DUMMYFUNCTION("""COMPUTED_VALUE"""),45912.44962371528)</f>
        <v>45912.44962</v>
      </c>
      <c r="H3778" s="14" t="str">
        <f>IFERROR(__xludf.DUMMYFUNCTION("""COMPUTED_VALUE"""),"Admin (Migrasi)")</f>
        <v>Admin (Migrasi)</v>
      </c>
      <c r="I3778" s="13" t="str">
        <f>IFERROR(__xludf.DUMMYFUNCTION("""COMPUTED_VALUE"""),"SELESAI (VIA PERMOHONAN)")</f>
        <v>SELESAI (VIA PERMOHONAN)</v>
      </c>
      <c r="J3778" s="17">
        <f>IFERROR(__xludf.DUMMYFUNCTION("""COMPUTED_VALUE"""),45912.449699247685)</f>
        <v>45912.4497</v>
      </c>
      <c r="K3778" s="13" t="str">
        <f>IFERROR(__xludf.DUMMYFUNCTION("""COMPUTED_VALUE"""),"Selesai")</f>
        <v>Selesai</v>
      </c>
      <c r="L3778" s="17">
        <f>IFERROR(__xludf.DUMMYFUNCTION("""COMPUTED_VALUE"""),45912.449699247685)</f>
        <v>45912.4497</v>
      </c>
      <c r="M3778" s="13"/>
      <c r="N3778" s="13" t="str">
        <f>IFERROR(__xludf.DUMMYFUNCTION("""COMPUTED_VALUE"""),"")</f>
        <v/>
      </c>
      <c r="O3778" s="13" t="str">
        <f t="shared" si="1"/>
        <v/>
      </c>
    </row>
    <row r="3779" ht="22.5" customHeight="1">
      <c r="B3779" s="13">
        <f>IFERROR(__xludf.DUMMYFUNCTION("""COMPUTED_VALUE"""),3774.0)</f>
        <v>3774</v>
      </c>
      <c r="C3779" s="13" t="str">
        <f>IFERROR(__xludf.DUMMYFUNCTION("""COMPUTED_VALUE"""),"B. 887/WAY KANDIS")</f>
        <v>B. 887/WAY KANDIS</v>
      </c>
      <c r="D3779" s="13" t="str">
        <f>IFERROR(__xludf.DUMMYFUNCTION("""COMPUTED_VALUE"""),"L/2/280825/1")</f>
        <v>L/2/280825/1</v>
      </c>
      <c r="E3779" s="14" t="str">
        <f>IFERROR(__xludf.DUMMYFUNCTION("""COMPUTED_VALUE"""),"Heri (BT)")</f>
        <v>Heri (BT)</v>
      </c>
      <c r="F3779" s="14" t="str">
        <f>IFERROR(__xludf.DUMMYFUNCTION("""COMPUTED_VALUE"""),"SELESAI (VIA PERMOHONAN)")</f>
        <v>SELESAI (VIA PERMOHONAN)</v>
      </c>
      <c r="G3779" s="17">
        <f>IFERROR(__xludf.DUMMYFUNCTION("""COMPUTED_VALUE"""),45915.60728895833)</f>
        <v>45915.60729</v>
      </c>
      <c r="H3779" s="14" t="str">
        <f>IFERROR(__xludf.DUMMYFUNCTION("""COMPUTED_VALUE"""),"Eci (SU)")</f>
        <v>Eci (SU)</v>
      </c>
      <c r="I3779" s="13" t="str">
        <f>IFERROR(__xludf.DUMMYFUNCTION("""COMPUTED_VALUE"""),"SELESAI (VIA PERMOHONAN)")</f>
        <v>SELESAI (VIA PERMOHONAN)</v>
      </c>
      <c r="J3779" s="17">
        <f>IFERROR(__xludf.DUMMYFUNCTION("""COMPUTED_VALUE"""),45916.624882523145)</f>
        <v>45916.62488</v>
      </c>
      <c r="K3779" s="13" t="str">
        <f>IFERROR(__xludf.DUMMYFUNCTION("""COMPUTED_VALUE"""),"Selesai")</f>
        <v>Selesai</v>
      </c>
      <c r="L3779" s="17">
        <f>IFERROR(__xludf.DUMMYFUNCTION("""COMPUTED_VALUE"""),45916.624882523145)</f>
        <v>45916.62488</v>
      </c>
      <c r="M3779" s="13"/>
      <c r="N3779" s="13" t="str">
        <f>IFERROR(__xludf.DUMMYFUNCTION("""COMPUTED_VALUE"""),"")</f>
        <v/>
      </c>
      <c r="O3779" s="13" t="str">
        <f t="shared" si="1"/>
        <v/>
      </c>
    </row>
    <row r="3780" ht="22.5" customHeight="1">
      <c r="B3780" s="13">
        <f>IFERROR(__xludf.DUMMYFUNCTION("""COMPUTED_VALUE"""),3775.0)</f>
        <v>3775</v>
      </c>
      <c r="C3780" s="13" t="str">
        <f>IFERROR(__xludf.DUMMYFUNCTION("""COMPUTED_VALUE"""),"M. 13588/RAJABASA")</f>
        <v>M. 13588/RAJABASA</v>
      </c>
      <c r="D3780" s="13" t="str">
        <f>IFERROR(__xludf.DUMMYFUNCTION("""COMPUTED_VALUE"""),"L/18/250825/1")</f>
        <v>L/18/250825/1</v>
      </c>
      <c r="E3780" s="14" t="str">
        <f>IFERROR(__xludf.DUMMYFUNCTION("""COMPUTED_VALUE"""),"Heri (BT)")</f>
        <v>Heri (BT)</v>
      </c>
      <c r="F3780" s="14" t="str">
        <f>IFERROR(__xludf.DUMMYFUNCTION("""COMPUTED_VALUE"""),"SELESAI (VIA PERMOHONAN)")</f>
        <v>SELESAI (VIA PERMOHONAN)</v>
      </c>
      <c r="G3780" s="17">
        <f>IFERROR(__xludf.DUMMYFUNCTION("""COMPUTED_VALUE"""),45915.60732606481)</f>
        <v>45915.60733</v>
      </c>
      <c r="H3780" s="14" t="str">
        <f>IFERROR(__xludf.DUMMYFUNCTION("""COMPUTED_VALUE"""),"Eci (SU)")</f>
        <v>Eci (SU)</v>
      </c>
      <c r="I3780" s="13" t="str">
        <f>IFERROR(__xludf.DUMMYFUNCTION("""COMPUTED_VALUE"""),"SELESAI (VIA PERMOHONAN)")</f>
        <v>SELESAI (VIA PERMOHONAN)</v>
      </c>
      <c r="J3780" s="17">
        <f>IFERROR(__xludf.DUMMYFUNCTION("""COMPUTED_VALUE"""),45916.62801204861)</f>
        <v>45916.62801</v>
      </c>
      <c r="K3780" s="13" t="str">
        <f>IFERROR(__xludf.DUMMYFUNCTION("""COMPUTED_VALUE"""),"Selesai")</f>
        <v>Selesai</v>
      </c>
      <c r="L3780" s="17">
        <f>IFERROR(__xludf.DUMMYFUNCTION("""COMPUTED_VALUE"""),45916.62801204861)</f>
        <v>45916.62801</v>
      </c>
      <c r="M3780" s="13"/>
      <c r="N3780" s="13" t="str">
        <f>IFERROR(__xludf.DUMMYFUNCTION("""COMPUTED_VALUE"""),"")</f>
        <v/>
      </c>
      <c r="O3780" s="13" t="str">
        <f t="shared" si="1"/>
        <v/>
      </c>
    </row>
    <row r="3781" ht="22.5" customHeight="1">
      <c r="B3781" s="13">
        <f>IFERROR(__xludf.DUMMYFUNCTION("""COMPUTED_VALUE"""),3776.0)</f>
        <v>3776</v>
      </c>
      <c r="C3781" s="13" t="str">
        <f>IFERROR(__xludf.DUMMYFUNCTION("""COMPUTED_VALUE"""),"M. 9130/JAGABAYA II")</f>
        <v>M. 9130/JAGABAYA II</v>
      </c>
      <c r="D3781" s="13" t="str">
        <f>IFERROR(__xludf.DUMMYFUNCTION("""COMPUTED_VALUE"""),"K/16/110925/1")</f>
        <v>K/16/110925/1</v>
      </c>
      <c r="E3781" s="14" t="str">
        <f>IFERROR(__xludf.DUMMYFUNCTION("""COMPUTED_VALUE"""),"Heri (BT)")</f>
        <v>Heri (BT)</v>
      </c>
      <c r="F3781" s="14" t="str">
        <f>IFERROR(__xludf.DUMMYFUNCTION("""COMPUTED_VALUE"""),"SELESAI (VIA PERMOHONAN)")</f>
        <v>SELESAI (VIA PERMOHONAN)</v>
      </c>
      <c r="G3781" s="17">
        <f>IFERROR(__xludf.DUMMYFUNCTION("""COMPUTED_VALUE"""),45915.60746331018)</f>
        <v>45915.60746</v>
      </c>
      <c r="H3781" s="14" t="str">
        <f>IFERROR(__xludf.DUMMYFUNCTION("""COMPUTED_VALUE"""),"Eci (SU)")</f>
        <v>Eci (SU)</v>
      </c>
      <c r="I3781" s="13" t="str">
        <f>IFERROR(__xludf.DUMMYFUNCTION("""COMPUTED_VALUE"""),"SELESAI (VIA PERMOHONAN)")</f>
        <v>SELESAI (VIA PERMOHONAN)</v>
      </c>
      <c r="J3781" s="17">
        <f>IFERROR(__xludf.DUMMYFUNCTION("""COMPUTED_VALUE"""),45916.63619159722)</f>
        <v>45916.63619</v>
      </c>
      <c r="K3781" s="13" t="str">
        <f>IFERROR(__xludf.DUMMYFUNCTION("""COMPUTED_VALUE"""),"Selesai")</f>
        <v>Selesai</v>
      </c>
      <c r="L3781" s="17">
        <f>IFERROR(__xludf.DUMMYFUNCTION("""COMPUTED_VALUE"""),45916.63619159722)</f>
        <v>45916.63619</v>
      </c>
      <c r="M3781" s="13"/>
      <c r="N3781" s="13" t="str">
        <f>IFERROR(__xludf.DUMMYFUNCTION("""COMPUTED_VALUE"""),"")</f>
        <v/>
      </c>
      <c r="O3781" s="13" t="str">
        <f t="shared" si="1"/>
        <v/>
      </c>
    </row>
    <row r="3782" ht="22.5" customHeight="1">
      <c r="B3782" s="13">
        <f>IFERROR(__xludf.DUMMYFUNCTION("""COMPUTED_VALUE"""),3777.0)</f>
        <v>3777</v>
      </c>
      <c r="C3782" s="13" t="str">
        <f>IFERROR(__xludf.DUMMYFUNCTION("""COMPUTED_VALUE"""),"M. 2285/Tanjung Seneng	")</f>
        <v>M. 2285/Tanjung Seneng	</v>
      </c>
      <c r="D3782" s="13" t="str">
        <f>IFERROR(__xludf.DUMMYFUNCTION("""COMPUTED_VALUE"""),"K/28/100925/3")</f>
        <v>K/28/100925/3</v>
      </c>
      <c r="E3782" s="14" t="str">
        <f>IFERROR(__xludf.DUMMYFUNCTION("""COMPUTED_VALUE"""),"Heri (BT)")</f>
        <v>Heri (BT)</v>
      </c>
      <c r="F3782" s="14" t="str">
        <f>IFERROR(__xludf.DUMMYFUNCTION("""COMPUTED_VALUE"""),"SELESAI (VIA PERMOHONAN)")</f>
        <v>SELESAI (VIA PERMOHONAN)</v>
      </c>
      <c r="G3782" s="17">
        <f>IFERROR(__xludf.DUMMYFUNCTION("""COMPUTED_VALUE"""),45915.6076122338)</f>
        <v>45915.60761</v>
      </c>
      <c r="H3782" s="14" t="str">
        <f>IFERROR(__xludf.DUMMYFUNCTION("""COMPUTED_VALUE"""),"Eci (SU)")</f>
        <v>Eci (SU)</v>
      </c>
      <c r="I3782" s="13" t="str">
        <f>IFERROR(__xludf.DUMMYFUNCTION("""COMPUTED_VALUE"""),"SELESAI (VIA PERMOHONAN)")</f>
        <v>SELESAI (VIA PERMOHONAN)</v>
      </c>
      <c r="J3782" s="17">
        <f>IFERROR(__xludf.DUMMYFUNCTION("""COMPUTED_VALUE"""),45916.624882523145)</f>
        <v>45916.62488</v>
      </c>
      <c r="K3782" s="13" t="str">
        <f>IFERROR(__xludf.DUMMYFUNCTION("""COMPUTED_VALUE"""),"Selesai")</f>
        <v>Selesai</v>
      </c>
      <c r="L3782" s="17">
        <f>IFERROR(__xludf.DUMMYFUNCTION("""COMPUTED_VALUE"""),45916.624882523145)</f>
        <v>45916.62488</v>
      </c>
      <c r="M3782" s="13"/>
      <c r="N3782" s="13" t="str">
        <f>IFERROR(__xludf.DUMMYFUNCTION("""COMPUTED_VALUE"""),"")</f>
        <v/>
      </c>
      <c r="O3782" s="13" t="str">
        <f t="shared" si="1"/>
        <v/>
      </c>
    </row>
    <row r="3783" ht="22.5" customHeight="1">
      <c r="B3783" s="13">
        <f>IFERROR(__xludf.DUMMYFUNCTION("""COMPUTED_VALUE"""),3778.0)</f>
        <v>3778</v>
      </c>
      <c r="C3783" s="13" t="str">
        <f>IFERROR(__xludf.DUMMYFUNCTION("""COMPUTED_VALUE"""),"M. 810.Way Laga	")</f>
        <v>M. 810.Way Laga	</v>
      </c>
      <c r="D3783" s="13" t="str">
        <f>IFERROR(__xludf.DUMMYFUNCTION("""COMPUTED_VALUE"""),"K/12/110925/2 / ")</f>
        <v>K/12/110925/2 / </v>
      </c>
      <c r="E3783" s="14" t="str">
        <f>IFERROR(__xludf.DUMMYFUNCTION("""COMPUTED_VALUE"""),"Heri (BT)")</f>
        <v>Heri (BT)</v>
      </c>
      <c r="F3783" s="14" t="str">
        <f>IFERROR(__xludf.DUMMYFUNCTION("""COMPUTED_VALUE"""),"SELESAI (VIA PERMOHONAN)")</f>
        <v>SELESAI (VIA PERMOHONAN)</v>
      </c>
      <c r="G3783" s="17">
        <f>IFERROR(__xludf.DUMMYFUNCTION("""COMPUTED_VALUE"""),45915.6078528125)</f>
        <v>45915.60785</v>
      </c>
      <c r="H3783" s="14" t="str">
        <f>IFERROR(__xludf.DUMMYFUNCTION("""COMPUTED_VALUE"""),"Eci (SU)")</f>
        <v>Eci (SU)</v>
      </c>
      <c r="I3783" s="13" t="str">
        <f>IFERROR(__xludf.DUMMYFUNCTION("""COMPUTED_VALUE"""),"SELESAI (VIA PERMOHONAN)")</f>
        <v>SELESAI (VIA PERMOHONAN)</v>
      </c>
      <c r="J3783" s="17">
        <f>IFERROR(__xludf.DUMMYFUNCTION("""COMPUTED_VALUE"""),45916.624882523145)</f>
        <v>45916.62488</v>
      </c>
      <c r="K3783" s="13" t="str">
        <f>IFERROR(__xludf.DUMMYFUNCTION("""COMPUTED_VALUE"""),"Selesai")</f>
        <v>Selesai</v>
      </c>
      <c r="L3783" s="17">
        <f>IFERROR(__xludf.DUMMYFUNCTION("""COMPUTED_VALUE"""),45916.624882523145)</f>
        <v>45916.62488</v>
      </c>
      <c r="M3783" s="13"/>
      <c r="N3783" s="13" t="str">
        <f>IFERROR(__xludf.DUMMYFUNCTION("""COMPUTED_VALUE"""),"")</f>
        <v/>
      </c>
      <c r="O3783" s="13" t="str">
        <f t="shared" si="1"/>
        <v/>
      </c>
    </row>
    <row r="3784" ht="22.5" customHeight="1">
      <c r="B3784" s="13">
        <f>IFERROR(__xludf.DUMMYFUNCTION("""COMPUTED_VALUE"""),3779.0)</f>
        <v>3779</v>
      </c>
      <c r="C3784" s="13" t="str">
        <f>IFERROR(__xludf.DUMMYFUNCTION("""COMPUTED_VALUE"""),"M. 1966/GEDONG AIR")</f>
        <v>M. 1966/GEDONG AIR</v>
      </c>
      <c r="D3784" s="13" t="str">
        <f>IFERROR(__xludf.DUMMYFUNCTION("""COMPUTED_VALUE"""),"L/2/120826/1")</f>
        <v>L/2/120826/1</v>
      </c>
      <c r="E3784" s="14" t="str">
        <f>IFERROR(__xludf.DUMMYFUNCTION("""COMPUTED_VALUE"""),"Heri (BT)")</f>
        <v>Heri (BT)</v>
      </c>
      <c r="F3784" s="14" t="str">
        <f>IFERROR(__xludf.DUMMYFUNCTION("""COMPUTED_VALUE"""),"SELESAI (VIA PERMOHONAN)")</f>
        <v>SELESAI (VIA PERMOHONAN)</v>
      </c>
      <c r="G3784" s="17">
        <f>IFERROR(__xludf.DUMMYFUNCTION("""COMPUTED_VALUE"""),45915.60799336806)</f>
        <v>45915.60799</v>
      </c>
      <c r="H3784" s="14" t="str">
        <f>IFERROR(__xludf.DUMMYFUNCTION("""COMPUTED_VALUE"""),"Eci (SU)")</f>
        <v>Eci (SU)</v>
      </c>
      <c r="I3784" s="13" t="str">
        <f>IFERROR(__xludf.DUMMYFUNCTION("""COMPUTED_VALUE"""),"SELESAI (VIA PERMOHONAN)")</f>
        <v>SELESAI (VIA PERMOHONAN)</v>
      </c>
      <c r="J3784" s="17">
        <f>IFERROR(__xludf.DUMMYFUNCTION("""COMPUTED_VALUE"""),45916.624882523145)</f>
        <v>45916.62488</v>
      </c>
      <c r="K3784" s="13" t="str">
        <f>IFERROR(__xludf.DUMMYFUNCTION("""COMPUTED_VALUE"""),"Selesai")</f>
        <v>Selesai</v>
      </c>
      <c r="L3784" s="17">
        <f>IFERROR(__xludf.DUMMYFUNCTION("""COMPUTED_VALUE"""),45916.624882523145)</f>
        <v>45916.62488</v>
      </c>
      <c r="M3784" s="13"/>
      <c r="N3784" s="13" t="str">
        <f>IFERROR(__xludf.DUMMYFUNCTION("""COMPUTED_VALUE"""),"")</f>
        <v/>
      </c>
      <c r="O3784" s="13" t="str">
        <f t="shared" si="1"/>
        <v/>
      </c>
    </row>
    <row r="3785" ht="22.5" customHeight="1">
      <c r="B3785" s="13">
        <f>IFERROR(__xludf.DUMMYFUNCTION("""COMPUTED_VALUE"""),3780.0)</f>
        <v>3780</v>
      </c>
      <c r="C3785" s="13" t="str">
        <f>IFERROR(__xludf.DUMMYFUNCTION("""COMPUTED_VALUE"""),"M. 4505/TANJUNG SENANG")</f>
        <v>M. 4505/TANJUNG SENANG</v>
      </c>
      <c r="D3785" s="13" t="str">
        <f>IFERROR(__xludf.DUMMYFUNCTION("""COMPUTED_VALUE"""),"L/22/090925/1")</f>
        <v>L/22/090925/1</v>
      </c>
      <c r="E3785" s="14" t="str">
        <f>IFERROR(__xludf.DUMMYFUNCTION("""COMPUTED_VALUE"""),"Heri (BT)")</f>
        <v>Heri (BT)</v>
      </c>
      <c r="F3785" s="14" t="str">
        <f>IFERROR(__xludf.DUMMYFUNCTION("""COMPUTED_VALUE"""),"SELESAI (VIA PERMOHONAN)")</f>
        <v>SELESAI (VIA PERMOHONAN)</v>
      </c>
      <c r="G3785" s="17">
        <f>IFERROR(__xludf.DUMMYFUNCTION("""COMPUTED_VALUE"""),45915.608120370365)</f>
        <v>45915.60812</v>
      </c>
      <c r="H3785" s="14" t="str">
        <f>IFERROR(__xludf.DUMMYFUNCTION("""COMPUTED_VALUE"""),"Eci (SU)")</f>
        <v>Eci (SU)</v>
      </c>
      <c r="I3785" s="13" t="str">
        <f>IFERROR(__xludf.DUMMYFUNCTION("""COMPUTED_VALUE"""),"SELESAI (VIA PERMOHONAN)")</f>
        <v>SELESAI (VIA PERMOHONAN)</v>
      </c>
      <c r="J3785" s="17">
        <f>IFERROR(__xludf.DUMMYFUNCTION("""COMPUTED_VALUE"""),45916.624882523145)</f>
        <v>45916.62488</v>
      </c>
      <c r="K3785" s="13" t="str">
        <f>IFERROR(__xludf.DUMMYFUNCTION("""COMPUTED_VALUE"""),"Selesai")</f>
        <v>Selesai</v>
      </c>
      <c r="L3785" s="17">
        <f>IFERROR(__xludf.DUMMYFUNCTION("""COMPUTED_VALUE"""),45916.624882523145)</f>
        <v>45916.62488</v>
      </c>
      <c r="M3785" s="13"/>
      <c r="N3785" s="13" t="str">
        <f>IFERROR(__xludf.DUMMYFUNCTION("""COMPUTED_VALUE"""),"")</f>
        <v/>
      </c>
      <c r="O3785" s="13" t="str">
        <f t="shared" si="1"/>
        <v/>
      </c>
    </row>
    <row r="3786" ht="22.5" customHeight="1">
      <c r="B3786" s="13">
        <f>IFERROR(__xludf.DUMMYFUNCTION("""COMPUTED_VALUE"""),3781.0)</f>
        <v>3781</v>
      </c>
      <c r="C3786" s="13" t="str">
        <f>IFERROR(__xludf.DUMMYFUNCTION("""COMPUTED_VALUE"""),"M. 10342/GEDUNG MENENG")</f>
        <v>M. 10342/GEDUNG MENENG</v>
      </c>
      <c r="D3786" s="13" t="str">
        <f>IFERROR(__xludf.DUMMYFUNCTION("""COMPUTED_VALUE"""),"L/7/100925/1")</f>
        <v>L/7/100925/1</v>
      </c>
      <c r="E3786" s="14" t="str">
        <f>IFERROR(__xludf.DUMMYFUNCTION("""COMPUTED_VALUE"""),"Heri (BT)")</f>
        <v>Heri (BT)</v>
      </c>
      <c r="F3786" s="14" t="str">
        <f>IFERROR(__xludf.DUMMYFUNCTION("""COMPUTED_VALUE"""),"SELESAI (VIA PERMOHONAN)")</f>
        <v>SELESAI (VIA PERMOHONAN)</v>
      </c>
      <c r="G3786" s="17">
        <f>IFERROR(__xludf.DUMMYFUNCTION("""COMPUTED_VALUE"""),45915.60829282408)</f>
        <v>45915.60829</v>
      </c>
      <c r="H3786" s="14" t="str">
        <f>IFERROR(__xludf.DUMMYFUNCTION("""COMPUTED_VALUE"""),"Eci (SU)")</f>
        <v>Eci (SU)</v>
      </c>
      <c r="I3786" s="13" t="str">
        <f>IFERROR(__xludf.DUMMYFUNCTION("""COMPUTED_VALUE"""),"SELESAI (VIA PERMOHONAN)")</f>
        <v>SELESAI (VIA PERMOHONAN)</v>
      </c>
      <c r="J3786" s="17">
        <f>IFERROR(__xludf.DUMMYFUNCTION("""COMPUTED_VALUE"""),45916.624882523145)</f>
        <v>45916.62488</v>
      </c>
      <c r="K3786" s="13" t="str">
        <f>IFERROR(__xludf.DUMMYFUNCTION("""COMPUTED_VALUE"""),"Selesai")</f>
        <v>Selesai</v>
      </c>
      <c r="L3786" s="17">
        <f>IFERROR(__xludf.DUMMYFUNCTION("""COMPUTED_VALUE"""),45916.624882523145)</f>
        <v>45916.62488</v>
      </c>
      <c r="M3786" s="13"/>
      <c r="N3786" s="13" t="str">
        <f>IFERROR(__xludf.DUMMYFUNCTION("""COMPUTED_VALUE"""),"")</f>
        <v/>
      </c>
      <c r="O3786" s="13" t="str">
        <f t="shared" si="1"/>
        <v/>
      </c>
    </row>
    <row r="3787" ht="22.5" customHeight="1">
      <c r="B3787" s="13">
        <f>IFERROR(__xludf.DUMMYFUNCTION("""COMPUTED_VALUE"""),3782.0)</f>
        <v>3782</v>
      </c>
      <c r="C3787" s="13" t="str">
        <f>IFERROR(__xludf.DUMMYFUNCTION("""COMPUTED_VALUE"""),"M. 13376/SUKARAME I")</f>
        <v>M. 13376/SUKARAME I</v>
      </c>
      <c r="D3787" s="13" t="str">
        <f>IFERROR(__xludf.DUMMYFUNCTION("""COMPUTED_VALUE"""),"L/17/110925/1")</f>
        <v>L/17/110925/1</v>
      </c>
      <c r="E3787" s="14" t="str">
        <f>IFERROR(__xludf.DUMMYFUNCTION("""COMPUTED_VALUE"""),"Heri (BT)")</f>
        <v>Heri (BT)</v>
      </c>
      <c r="F3787" s="14" t="str">
        <f>IFERROR(__xludf.DUMMYFUNCTION("""COMPUTED_VALUE"""),"SELESAI (VIA PERMOHONAN)")</f>
        <v>SELESAI (VIA PERMOHONAN)</v>
      </c>
      <c r="G3787" s="17">
        <f>IFERROR(__xludf.DUMMYFUNCTION("""COMPUTED_VALUE"""),45915.60843503472)</f>
        <v>45915.60844</v>
      </c>
      <c r="H3787" s="14" t="str">
        <f>IFERROR(__xludf.DUMMYFUNCTION("""COMPUTED_VALUE"""),"Eci (SU)")</f>
        <v>Eci (SU)</v>
      </c>
      <c r="I3787" s="13" t="str">
        <f>IFERROR(__xludf.DUMMYFUNCTION("""COMPUTED_VALUE"""),"SELESAI (VIA PERMOHONAN)")</f>
        <v>SELESAI (VIA PERMOHONAN)</v>
      </c>
      <c r="J3787" s="17">
        <f>IFERROR(__xludf.DUMMYFUNCTION("""COMPUTED_VALUE"""),45916.624882523145)</f>
        <v>45916.62488</v>
      </c>
      <c r="K3787" s="13" t="str">
        <f>IFERROR(__xludf.DUMMYFUNCTION("""COMPUTED_VALUE"""),"Selesai")</f>
        <v>Selesai</v>
      </c>
      <c r="L3787" s="17">
        <f>IFERROR(__xludf.DUMMYFUNCTION("""COMPUTED_VALUE"""),45916.624882523145)</f>
        <v>45916.62488</v>
      </c>
      <c r="M3787" s="13"/>
      <c r="N3787" s="13" t="str">
        <f>IFERROR(__xludf.DUMMYFUNCTION("""COMPUTED_VALUE"""),"")</f>
        <v/>
      </c>
      <c r="O3787" s="13" t="str">
        <f t="shared" si="1"/>
        <v/>
      </c>
    </row>
    <row r="3788" ht="22.5" customHeight="1">
      <c r="B3788" s="13">
        <f>IFERROR(__xludf.DUMMYFUNCTION("""COMPUTED_VALUE"""),3783.0)</f>
        <v>3783</v>
      </c>
      <c r="C3788" s="13" t="str">
        <f>IFERROR(__xludf.DUMMYFUNCTION("""COMPUTED_VALUE"""),"B. 1096/RAJABASA")</f>
        <v>B. 1096/RAJABASA</v>
      </c>
      <c r="D3788" s="13" t="str">
        <f>IFERROR(__xludf.DUMMYFUNCTION("""COMPUTED_VALUE"""),"L/8/190825/1")</f>
        <v>L/8/190825/1</v>
      </c>
      <c r="E3788" s="14" t="str">
        <f>IFERROR(__xludf.DUMMYFUNCTION("""COMPUTED_VALUE"""),"Heri (BT)")</f>
        <v>Heri (BT)</v>
      </c>
      <c r="F3788" s="14" t="str">
        <f>IFERROR(__xludf.DUMMYFUNCTION("""COMPUTED_VALUE"""),"SELESAI (VIA PERMOHONAN)")</f>
        <v>SELESAI (VIA PERMOHONAN)</v>
      </c>
      <c r="G3788" s="17">
        <f>IFERROR(__xludf.DUMMYFUNCTION("""COMPUTED_VALUE"""),45915.6085986574)</f>
        <v>45915.6086</v>
      </c>
      <c r="H3788" s="14" t="str">
        <f>IFERROR(__xludf.DUMMYFUNCTION("""COMPUTED_VALUE"""),"Eci (SU)")</f>
        <v>Eci (SU)</v>
      </c>
      <c r="I3788" s="13" t="str">
        <f>IFERROR(__xludf.DUMMYFUNCTION("""COMPUTED_VALUE"""),"SELESAI (VIA PERMOHONAN)")</f>
        <v>SELESAI (VIA PERMOHONAN)</v>
      </c>
      <c r="J3788" s="17">
        <f>IFERROR(__xludf.DUMMYFUNCTION("""COMPUTED_VALUE"""),45916.624882523145)</f>
        <v>45916.62488</v>
      </c>
      <c r="K3788" s="13" t="str">
        <f>IFERROR(__xludf.DUMMYFUNCTION("""COMPUTED_VALUE"""),"Selesai")</f>
        <v>Selesai</v>
      </c>
      <c r="L3788" s="17">
        <f>IFERROR(__xludf.DUMMYFUNCTION("""COMPUTED_VALUE"""),45916.624882523145)</f>
        <v>45916.62488</v>
      </c>
      <c r="M3788" s="13"/>
      <c r="N3788" s="13" t="str">
        <f>IFERROR(__xludf.DUMMYFUNCTION("""COMPUTED_VALUE"""),"")</f>
        <v/>
      </c>
      <c r="O3788" s="13" t="str">
        <f t="shared" si="1"/>
        <v/>
      </c>
    </row>
    <row r="3789" ht="22.5" customHeight="1">
      <c r="B3789" s="13">
        <f>IFERROR(__xludf.DUMMYFUNCTION("""COMPUTED_VALUE"""),3784.0)</f>
        <v>3784</v>
      </c>
      <c r="C3789" s="13" t="str">
        <f>IFERROR(__xludf.DUMMYFUNCTION("""COMPUTED_VALUE"""),"M. 9507/KEDAMAIAN")</f>
        <v>M. 9507/KEDAMAIAN</v>
      </c>
      <c r="D3789" s="13" t="str">
        <f>IFERROR(__xludf.DUMMYFUNCTION("""COMPUTED_VALUE"""),"L/15/110925/1")</f>
        <v>L/15/110925/1</v>
      </c>
      <c r="E3789" s="14" t="str">
        <f>IFERROR(__xludf.DUMMYFUNCTION("""COMPUTED_VALUE"""),"Heri (BT)")</f>
        <v>Heri (BT)</v>
      </c>
      <c r="F3789" s="14" t="str">
        <f>IFERROR(__xludf.DUMMYFUNCTION("""COMPUTED_VALUE"""),"SELESAI (VIA PERMOHONAN)")</f>
        <v>SELESAI (VIA PERMOHONAN)</v>
      </c>
      <c r="G3789" s="17">
        <f>IFERROR(__xludf.DUMMYFUNCTION("""COMPUTED_VALUE"""),45915.608705590275)</f>
        <v>45915.60871</v>
      </c>
      <c r="H3789" s="14" t="str">
        <f>IFERROR(__xludf.DUMMYFUNCTION("""COMPUTED_VALUE"""),"Eci (SU)")</f>
        <v>Eci (SU)</v>
      </c>
      <c r="I3789" s="13" t="str">
        <f>IFERROR(__xludf.DUMMYFUNCTION("""COMPUTED_VALUE"""),"SELESAI (VIA PERMOHONAN)")</f>
        <v>SELESAI (VIA PERMOHONAN)</v>
      </c>
      <c r="J3789" s="17">
        <f>IFERROR(__xludf.DUMMYFUNCTION("""COMPUTED_VALUE"""),45916.62488253472)</f>
        <v>45916.62488</v>
      </c>
      <c r="K3789" s="13" t="str">
        <f>IFERROR(__xludf.DUMMYFUNCTION("""COMPUTED_VALUE"""),"Selesai")</f>
        <v>Selesai</v>
      </c>
      <c r="L3789" s="17">
        <f>IFERROR(__xludf.DUMMYFUNCTION("""COMPUTED_VALUE"""),45916.62488253472)</f>
        <v>45916.62488</v>
      </c>
      <c r="M3789" s="13"/>
      <c r="N3789" s="13" t="str">
        <f>IFERROR(__xludf.DUMMYFUNCTION("""COMPUTED_VALUE"""),"")</f>
        <v/>
      </c>
      <c r="O3789" s="13" t="str">
        <f t="shared" si="1"/>
        <v/>
      </c>
    </row>
    <row r="3790" ht="22.5" customHeight="1">
      <c r="B3790" s="13">
        <f>IFERROR(__xludf.DUMMYFUNCTION("""COMPUTED_VALUE"""),3785.0)</f>
        <v>3785</v>
      </c>
      <c r="C3790" s="13" t="str">
        <f>IFERROR(__xludf.DUMMYFUNCTION("""COMPUTED_VALUE"""),"M. 386/ BERINGIN RAYA")</f>
        <v>M. 386/ BERINGIN RAYA</v>
      </c>
      <c r="D3790" s="13" t="str">
        <f>IFERROR(__xludf.DUMMYFUNCTION("""COMPUTED_VALUE"""),"L/5/150825/1")</f>
        <v>L/5/150825/1</v>
      </c>
      <c r="E3790" s="14" t="str">
        <f>IFERROR(__xludf.DUMMYFUNCTION("""COMPUTED_VALUE"""),"Heri (BT)")</f>
        <v>Heri (BT)</v>
      </c>
      <c r="F3790" s="14" t="str">
        <f>IFERROR(__xludf.DUMMYFUNCTION("""COMPUTED_VALUE"""),"SELESAI (VIA PERMOHONAN)")</f>
        <v>SELESAI (VIA PERMOHONAN)</v>
      </c>
      <c r="G3790" s="17">
        <f>IFERROR(__xludf.DUMMYFUNCTION("""COMPUTED_VALUE"""),45915.60890119213)</f>
        <v>45915.6089</v>
      </c>
      <c r="H3790" s="14" t="str">
        <f>IFERROR(__xludf.DUMMYFUNCTION("""COMPUTED_VALUE"""),"Eci (SU)")</f>
        <v>Eci (SU)</v>
      </c>
      <c r="I3790" s="13" t="str">
        <f>IFERROR(__xludf.DUMMYFUNCTION("""COMPUTED_VALUE"""),"SELESAI (VIA PERMOHONAN)")</f>
        <v>SELESAI (VIA PERMOHONAN)</v>
      </c>
      <c r="J3790" s="17">
        <f>IFERROR(__xludf.DUMMYFUNCTION("""COMPUTED_VALUE"""),45916.62488253472)</f>
        <v>45916.62488</v>
      </c>
      <c r="K3790" s="13" t="str">
        <f>IFERROR(__xludf.DUMMYFUNCTION("""COMPUTED_VALUE"""),"Selesai")</f>
        <v>Selesai</v>
      </c>
      <c r="L3790" s="17">
        <f>IFERROR(__xludf.DUMMYFUNCTION("""COMPUTED_VALUE"""),45916.62488253472)</f>
        <v>45916.62488</v>
      </c>
      <c r="M3790" s="13"/>
      <c r="N3790" s="13" t="str">
        <f>IFERROR(__xludf.DUMMYFUNCTION("""COMPUTED_VALUE"""),"")</f>
        <v/>
      </c>
      <c r="O3790" s="13" t="str">
        <f t="shared" si="1"/>
        <v/>
      </c>
    </row>
    <row r="3791" ht="22.5" customHeight="1">
      <c r="B3791" s="13">
        <f>IFERROR(__xludf.DUMMYFUNCTION("""COMPUTED_VALUE"""),3786.0)</f>
        <v>3786</v>
      </c>
      <c r="C3791" s="13" t="str">
        <f>IFERROR(__xludf.DUMMYFUNCTION("""COMPUTED_VALUE"""),"M. 11403/SEGALA MIDER")</f>
        <v>M. 11403/SEGALA MIDER</v>
      </c>
      <c r="D3791" s="13" t="str">
        <f>IFERROR(__xludf.DUMMYFUNCTION("""COMPUTED_VALUE"""),"K/9/110825/3")</f>
        <v>K/9/110825/3</v>
      </c>
      <c r="E3791" s="14" t="str">
        <f>IFERROR(__xludf.DUMMYFUNCTION("""COMPUTED_VALUE"""),"Heri (BT)")</f>
        <v>Heri (BT)</v>
      </c>
      <c r="F3791" s="14" t="str">
        <f>IFERROR(__xludf.DUMMYFUNCTION("""COMPUTED_VALUE"""),"SELESAI (VIA PERMOHONAN)")</f>
        <v>SELESAI (VIA PERMOHONAN)</v>
      </c>
      <c r="G3791" s="17">
        <f>IFERROR(__xludf.DUMMYFUNCTION("""COMPUTED_VALUE"""),45915.60906645833)</f>
        <v>45915.60907</v>
      </c>
      <c r="H3791" s="14" t="str">
        <f>IFERROR(__xludf.DUMMYFUNCTION("""COMPUTED_VALUE"""),"Eci (SU)")</f>
        <v>Eci (SU)</v>
      </c>
      <c r="I3791" s="13" t="str">
        <f>IFERROR(__xludf.DUMMYFUNCTION("""COMPUTED_VALUE"""),"SELESAI (VIA PERMOHONAN)")</f>
        <v>SELESAI (VIA PERMOHONAN)</v>
      </c>
      <c r="J3791" s="17">
        <f>IFERROR(__xludf.DUMMYFUNCTION("""COMPUTED_VALUE"""),45916.62488253472)</f>
        <v>45916.62488</v>
      </c>
      <c r="K3791" s="13" t="str">
        <f>IFERROR(__xludf.DUMMYFUNCTION("""COMPUTED_VALUE"""),"Selesai")</f>
        <v>Selesai</v>
      </c>
      <c r="L3791" s="17">
        <f>IFERROR(__xludf.DUMMYFUNCTION("""COMPUTED_VALUE"""),45916.62488253472)</f>
        <v>45916.62488</v>
      </c>
      <c r="M3791" s="13"/>
      <c r="N3791" s="13" t="str">
        <f>IFERROR(__xludf.DUMMYFUNCTION("""COMPUTED_VALUE"""),"")</f>
        <v/>
      </c>
      <c r="O3791" s="13" t="str">
        <f t="shared" si="1"/>
        <v/>
      </c>
    </row>
    <row r="3792" ht="22.5" customHeight="1">
      <c r="B3792" s="13">
        <f>IFERROR(__xludf.DUMMYFUNCTION("""COMPUTED_VALUE"""),3787.0)</f>
        <v>3787</v>
      </c>
      <c r="C3792" s="13" t="str">
        <f>IFERROR(__xludf.DUMMYFUNCTION("""COMPUTED_VALUE"""),"M. 6476/Way Kandis")</f>
        <v>M. 6476/Way Kandis</v>
      </c>
      <c r="D3792" s="13" t="str">
        <f>IFERROR(__xludf.DUMMYFUNCTION("""COMPUTED_VALUE"""),"K/64/220825/2")</f>
        <v>K/64/220825/2</v>
      </c>
      <c r="E3792" s="14" t="str">
        <f>IFERROR(__xludf.DUMMYFUNCTION("""COMPUTED_VALUE"""),"Admin (Migrasi)")</f>
        <v>Admin (Migrasi)</v>
      </c>
      <c r="F3792" s="14" t="str">
        <f>IFERROR(__xludf.DUMMYFUNCTION("""COMPUTED_VALUE"""),"SELESAI (VIA PERMOHONAN)")</f>
        <v>SELESAI (VIA PERMOHONAN)</v>
      </c>
      <c r="G3792" s="17">
        <f>IFERROR(__xludf.DUMMYFUNCTION("""COMPUTED_VALUE"""),45917.435911504625)</f>
        <v>45917.43591</v>
      </c>
      <c r="H3792" s="14" t="str">
        <f>IFERROR(__xludf.DUMMYFUNCTION("""COMPUTED_VALUE"""),"Admin (Migrasi)")</f>
        <v>Admin (Migrasi)</v>
      </c>
      <c r="I3792" s="13" t="str">
        <f>IFERROR(__xludf.DUMMYFUNCTION("""COMPUTED_VALUE"""),"SELESAI (VIA PERMOHONAN)")</f>
        <v>SELESAI (VIA PERMOHONAN)</v>
      </c>
      <c r="J3792" s="17">
        <f>IFERROR(__xludf.DUMMYFUNCTION("""COMPUTED_VALUE"""),45917.435931875)</f>
        <v>45917.43593</v>
      </c>
      <c r="K3792" s="13" t="str">
        <f>IFERROR(__xludf.DUMMYFUNCTION("""COMPUTED_VALUE"""),"Selesai")</f>
        <v>Selesai</v>
      </c>
      <c r="L3792" s="17">
        <f>IFERROR(__xludf.DUMMYFUNCTION("""COMPUTED_VALUE"""),45917.435931875)</f>
        <v>45917.43593</v>
      </c>
      <c r="M3792" s="13"/>
      <c r="N3792" s="13" t="str">
        <f>IFERROR(__xludf.DUMMYFUNCTION("""COMPUTED_VALUE"""),"")</f>
        <v/>
      </c>
      <c r="O3792" s="13" t="str">
        <f t="shared" si="1"/>
        <v/>
      </c>
    </row>
    <row r="3793" ht="22.5" customHeight="1">
      <c r="B3793" s="13">
        <f>IFERROR(__xludf.DUMMYFUNCTION("""COMPUTED_VALUE"""),3788.0)</f>
        <v>3788</v>
      </c>
      <c r="C3793" s="13" t="str">
        <f>IFERROR(__xludf.DUMMYFUNCTION("""COMPUTED_VALUE"""),"M. 4441/Gunung Terang")</f>
        <v>M. 4441/Gunung Terang</v>
      </c>
      <c r="D3793" s="13" t="str">
        <f>IFERROR(__xludf.DUMMYFUNCTION("""COMPUTED_VALUE"""),"K/37/150825/1")</f>
        <v>K/37/150825/1</v>
      </c>
      <c r="E3793" s="14" t="str">
        <f>IFERROR(__xludf.DUMMYFUNCTION("""COMPUTED_VALUE"""),"Admin (Migrasi)")</f>
        <v>Admin (Migrasi)</v>
      </c>
      <c r="F3793" s="14" t="str">
        <f>IFERROR(__xludf.DUMMYFUNCTION("""COMPUTED_VALUE"""),"SELESAI (VIA PERMOHONAN)")</f>
        <v>SELESAI (VIA PERMOHONAN)</v>
      </c>
      <c r="G3793" s="17">
        <f>IFERROR(__xludf.DUMMYFUNCTION("""COMPUTED_VALUE"""),45917.43647460648)</f>
        <v>45917.43647</v>
      </c>
      <c r="H3793" s="14" t="str">
        <f>IFERROR(__xludf.DUMMYFUNCTION("""COMPUTED_VALUE"""),"Admin (Migrasi)")</f>
        <v>Admin (Migrasi)</v>
      </c>
      <c r="I3793" s="13" t="str">
        <f>IFERROR(__xludf.DUMMYFUNCTION("""COMPUTED_VALUE"""),"SELESAI (VIA PERMOHONAN)")</f>
        <v>SELESAI (VIA PERMOHONAN)</v>
      </c>
      <c r="J3793" s="17">
        <f>IFERROR(__xludf.DUMMYFUNCTION("""COMPUTED_VALUE"""),45917.43655708333)</f>
        <v>45917.43656</v>
      </c>
      <c r="K3793" s="13" t="str">
        <f>IFERROR(__xludf.DUMMYFUNCTION("""COMPUTED_VALUE"""),"Selesai")</f>
        <v>Selesai</v>
      </c>
      <c r="L3793" s="17">
        <f>IFERROR(__xludf.DUMMYFUNCTION("""COMPUTED_VALUE"""),45917.43655708333)</f>
        <v>45917.43656</v>
      </c>
      <c r="M3793" s="13"/>
      <c r="N3793" s="13" t="str">
        <f>IFERROR(__xludf.DUMMYFUNCTION("""COMPUTED_VALUE"""),"")</f>
        <v/>
      </c>
      <c r="O3793" s="13" t="str">
        <f t="shared" si="1"/>
        <v/>
      </c>
    </row>
    <row r="3794" ht="22.5" customHeight="1">
      <c r="B3794" s="13">
        <f>IFERROR(__xludf.DUMMYFUNCTION("""COMPUTED_VALUE"""),3789.0)</f>
        <v>3789</v>
      </c>
      <c r="C3794" s="13" t="str">
        <f>IFERROR(__xludf.DUMMYFUNCTION("""COMPUTED_VALUE"""),"M. 1194/Jagabaya III")</f>
        <v>M. 1194/Jagabaya III</v>
      </c>
      <c r="D3794" s="13" t="str">
        <f>IFERROR(__xludf.DUMMYFUNCTION("""COMPUTED_VALUE"""),"K/30/200825/1")</f>
        <v>K/30/200825/1</v>
      </c>
      <c r="E3794" s="14" t="str">
        <f>IFERROR(__xludf.DUMMYFUNCTION("""COMPUTED_VALUE"""),"Admin (Migrasi)")</f>
        <v>Admin (Migrasi)</v>
      </c>
      <c r="F3794" s="14" t="str">
        <f>IFERROR(__xludf.DUMMYFUNCTION("""COMPUTED_VALUE"""),"SELESAI (VIA PERMOHONAN)")</f>
        <v>SELESAI (VIA PERMOHONAN)</v>
      </c>
      <c r="G3794" s="17">
        <f>IFERROR(__xludf.DUMMYFUNCTION("""COMPUTED_VALUE"""),45917.437428460646)</f>
        <v>45917.43743</v>
      </c>
      <c r="H3794" s="14" t="str">
        <f>IFERROR(__xludf.DUMMYFUNCTION("""COMPUTED_VALUE"""),"Admin (Migrasi)")</f>
        <v>Admin (Migrasi)</v>
      </c>
      <c r="I3794" s="13" t="str">
        <f>IFERROR(__xludf.DUMMYFUNCTION("""COMPUTED_VALUE"""),"SELESAI (VIA PERMOHONAN)")</f>
        <v>SELESAI (VIA PERMOHONAN)</v>
      </c>
      <c r="J3794" s="17">
        <f>IFERROR(__xludf.DUMMYFUNCTION("""COMPUTED_VALUE"""),45917.43747597223)</f>
        <v>45917.43748</v>
      </c>
      <c r="K3794" s="13" t="str">
        <f>IFERROR(__xludf.DUMMYFUNCTION("""COMPUTED_VALUE"""),"Selesai")</f>
        <v>Selesai</v>
      </c>
      <c r="L3794" s="17">
        <f>IFERROR(__xludf.DUMMYFUNCTION("""COMPUTED_VALUE"""),45917.43747597223)</f>
        <v>45917.43748</v>
      </c>
      <c r="M3794" s="13"/>
      <c r="N3794" s="13" t="str">
        <f>IFERROR(__xludf.DUMMYFUNCTION("""COMPUTED_VALUE"""),"")</f>
        <v/>
      </c>
      <c r="O3794" s="13" t="str">
        <f t="shared" si="1"/>
        <v/>
      </c>
    </row>
    <row r="3795" ht="22.5" customHeight="1">
      <c r="B3795" s="13">
        <f>IFERROR(__xludf.DUMMYFUNCTION("""COMPUTED_VALUE"""),3790.0)</f>
        <v>3790</v>
      </c>
      <c r="C3795" s="13" t="str">
        <f>IFERROR(__xludf.DUMMYFUNCTION("""COMPUTED_VALUE"""),"M. 1845")</f>
        <v>M. 1845</v>
      </c>
      <c r="D3795" s="13" t="str">
        <f>IFERROR(__xludf.DUMMYFUNCTION("""COMPUTED_VALUE"""),"K/38/200825/1")</f>
        <v>K/38/200825/1</v>
      </c>
      <c r="E3795" s="14" t="str">
        <f>IFERROR(__xludf.DUMMYFUNCTION("""COMPUTED_VALUE"""),"Admin (Migrasi)")</f>
        <v>Admin (Migrasi)</v>
      </c>
      <c r="F3795" s="14" t="str">
        <f>IFERROR(__xludf.DUMMYFUNCTION("""COMPUTED_VALUE"""),"SELESAI (VIA PERMOHONAN)")</f>
        <v>SELESAI (VIA PERMOHONAN)</v>
      </c>
      <c r="G3795" s="17">
        <f>IFERROR(__xludf.DUMMYFUNCTION("""COMPUTED_VALUE"""),45917.43791060185)</f>
        <v>45917.43791</v>
      </c>
      <c r="H3795" s="14" t="str">
        <f>IFERROR(__xludf.DUMMYFUNCTION("""COMPUTED_VALUE"""),"Admin (Migrasi)")</f>
        <v>Admin (Migrasi)</v>
      </c>
      <c r="I3795" s="13" t="str">
        <f>IFERROR(__xludf.DUMMYFUNCTION("""COMPUTED_VALUE"""),"SELESAI (VIA PERMOHONAN)")</f>
        <v>SELESAI (VIA PERMOHONAN)</v>
      </c>
      <c r="J3795" s="17">
        <f>IFERROR(__xludf.DUMMYFUNCTION("""COMPUTED_VALUE"""),45917.437944537036)</f>
        <v>45917.43794</v>
      </c>
      <c r="K3795" s="13" t="str">
        <f>IFERROR(__xludf.DUMMYFUNCTION("""COMPUTED_VALUE"""),"Selesai")</f>
        <v>Selesai</v>
      </c>
      <c r="L3795" s="17">
        <f>IFERROR(__xludf.DUMMYFUNCTION("""COMPUTED_VALUE"""),45917.437944537036)</f>
        <v>45917.43794</v>
      </c>
      <c r="M3795" s="13"/>
      <c r="N3795" s="13" t="str">
        <f>IFERROR(__xludf.DUMMYFUNCTION("""COMPUTED_VALUE"""),"")</f>
        <v/>
      </c>
      <c r="O3795" s="13" t="str">
        <f t="shared" si="1"/>
        <v/>
      </c>
    </row>
    <row r="3796" ht="22.5" customHeight="1">
      <c r="B3796" s="13">
        <f>IFERROR(__xludf.DUMMYFUNCTION("""COMPUTED_VALUE"""),3791.0)</f>
        <v>3791</v>
      </c>
      <c r="C3796" s="13" t="str">
        <f>IFERROR(__xludf.DUMMYFUNCTION("""COMPUTED_VALUE"""),"B 603/ SUMBER AGUNG")</f>
        <v>B 603/ SUMBER AGUNG</v>
      </c>
      <c r="D3796" s="13" t="str">
        <f>IFERROR(__xludf.DUMMYFUNCTION("""COMPUTED_VALUE"""),"K/6/260825/1")</f>
        <v>K/6/260825/1</v>
      </c>
      <c r="E3796" s="14" t="str">
        <f>IFERROR(__xludf.DUMMYFUNCTION("""COMPUTED_VALUE"""),"Admin (Migrasi)")</f>
        <v>Admin (Migrasi)</v>
      </c>
      <c r="F3796" s="14" t="str">
        <f>IFERROR(__xludf.DUMMYFUNCTION("""COMPUTED_VALUE"""),"SELESAI (VIA PERMOHONAN)")</f>
        <v>SELESAI (VIA PERMOHONAN)</v>
      </c>
      <c r="G3796" s="17">
        <f>IFERROR(__xludf.DUMMYFUNCTION("""COMPUTED_VALUE"""),45917.43837841435)</f>
        <v>45917.43838</v>
      </c>
      <c r="H3796" s="14" t="str">
        <f>IFERROR(__xludf.DUMMYFUNCTION("""COMPUTED_VALUE"""),"Admin (Migrasi)")</f>
        <v>Admin (Migrasi)</v>
      </c>
      <c r="I3796" s="13" t="str">
        <f>IFERROR(__xludf.DUMMYFUNCTION("""COMPUTED_VALUE"""),"SELESAI (VIA PERMOHONAN)")</f>
        <v>SELESAI (VIA PERMOHONAN)</v>
      </c>
      <c r="J3796" s="17">
        <f>IFERROR(__xludf.DUMMYFUNCTION("""COMPUTED_VALUE"""),45917.43837841435)</f>
        <v>45917.43838</v>
      </c>
      <c r="K3796" s="13" t="str">
        <f>IFERROR(__xludf.DUMMYFUNCTION("""COMPUTED_VALUE"""),"Selesai")</f>
        <v>Selesai</v>
      </c>
      <c r="L3796" s="17">
        <f>IFERROR(__xludf.DUMMYFUNCTION("""COMPUTED_VALUE"""),45917.43837841435)</f>
        <v>45917.43838</v>
      </c>
      <c r="M3796" s="13"/>
      <c r="N3796" s="13" t="str">
        <f>IFERROR(__xludf.DUMMYFUNCTION("""COMPUTED_VALUE"""),"")</f>
        <v/>
      </c>
      <c r="O3796" s="13" t="str">
        <f t="shared" si="1"/>
        <v/>
      </c>
    </row>
    <row r="3797" ht="22.5" customHeight="1">
      <c r="B3797" s="13">
        <f>IFERROR(__xludf.DUMMYFUNCTION("""COMPUTED_VALUE"""),3792.0)</f>
        <v>3792</v>
      </c>
      <c r="C3797" s="13" t="str">
        <f>IFERROR(__xludf.DUMMYFUNCTION("""COMPUTED_VALUE"""),"M. 1437/CAMPANG JAYA")</f>
        <v>M. 1437/CAMPANG JAYA</v>
      </c>
      <c r="D3797" s="13" t="str">
        <f>IFERROR(__xludf.DUMMYFUNCTION("""COMPUTED_VALUE"""),"K/8/040928/1")</f>
        <v>K/8/040928/1</v>
      </c>
      <c r="E3797" s="14" t="str">
        <f>IFERROR(__xludf.DUMMYFUNCTION("""COMPUTED_VALUE"""),"Admin (Migrasi)")</f>
        <v>Admin (Migrasi)</v>
      </c>
      <c r="F3797" s="14" t="str">
        <f>IFERROR(__xludf.DUMMYFUNCTION("""COMPUTED_VALUE"""),"SELESAI (VIA PERMOHONAN)")</f>
        <v>SELESAI (VIA PERMOHONAN)</v>
      </c>
      <c r="G3797" s="17">
        <f>IFERROR(__xludf.DUMMYFUNCTION("""COMPUTED_VALUE"""),45917.439378229166)</f>
        <v>45917.43938</v>
      </c>
      <c r="H3797" s="14" t="str">
        <f>IFERROR(__xludf.DUMMYFUNCTION("""COMPUTED_VALUE"""),"Admin (Migrasi)")</f>
        <v>Admin (Migrasi)</v>
      </c>
      <c r="I3797" s="13" t="str">
        <f>IFERROR(__xludf.DUMMYFUNCTION("""COMPUTED_VALUE"""),"SELESAI (VIA PERMOHONAN)")</f>
        <v>SELESAI (VIA PERMOHONAN)</v>
      </c>
      <c r="J3797" s="17">
        <f>IFERROR(__xludf.DUMMYFUNCTION("""COMPUTED_VALUE"""),45917.43941206019)</f>
        <v>45917.43941</v>
      </c>
      <c r="K3797" s="13" t="str">
        <f>IFERROR(__xludf.DUMMYFUNCTION("""COMPUTED_VALUE"""),"Selesai")</f>
        <v>Selesai</v>
      </c>
      <c r="L3797" s="17">
        <f>IFERROR(__xludf.DUMMYFUNCTION("""COMPUTED_VALUE"""),45917.43941206019)</f>
        <v>45917.43941</v>
      </c>
      <c r="M3797" s="13"/>
      <c r="N3797" s="13" t="str">
        <f>IFERROR(__xludf.DUMMYFUNCTION("""COMPUTED_VALUE"""),"")</f>
        <v/>
      </c>
      <c r="O3797" s="13" t="str">
        <f t="shared" si="1"/>
        <v/>
      </c>
    </row>
    <row r="3798" ht="22.5" customHeight="1">
      <c r="B3798" s="13">
        <f>IFERROR(__xludf.DUMMYFUNCTION("""COMPUTED_VALUE"""),3793.0)</f>
        <v>3793</v>
      </c>
      <c r="C3798" s="13" t="str">
        <f>IFERROR(__xludf.DUMMYFUNCTION("""COMPUTED_VALUE"""),"M. 2450/KEDAUNG")</f>
        <v>M. 2450/KEDAUNG</v>
      </c>
      <c r="D3798" s="13" t="str">
        <f>IFERROR(__xludf.DUMMYFUNCTION("""COMPUTED_VALUE"""),"K/17/220825/4")</f>
        <v>K/17/220825/4</v>
      </c>
      <c r="E3798" s="14" t="str">
        <f>IFERROR(__xludf.DUMMYFUNCTION("""COMPUTED_VALUE"""),"Admin (Migrasi)")</f>
        <v>Admin (Migrasi)</v>
      </c>
      <c r="F3798" s="14" t="str">
        <f>IFERROR(__xludf.DUMMYFUNCTION("""COMPUTED_VALUE"""),"SELESAI (VIA PERMOHONAN)")</f>
        <v>SELESAI (VIA PERMOHONAN)</v>
      </c>
      <c r="G3798" s="17">
        <f>IFERROR(__xludf.DUMMYFUNCTION("""COMPUTED_VALUE"""),45917.43962201389)</f>
        <v>45917.43962</v>
      </c>
      <c r="H3798" s="14" t="str">
        <f>IFERROR(__xludf.DUMMYFUNCTION("""COMPUTED_VALUE"""),"Admin (Migrasi)")</f>
        <v>Admin (Migrasi)</v>
      </c>
      <c r="I3798" s="13" t="str">
        <f>IFERROR(__xludf.DUMMYFUNCTION("""COMPUTED_VALUE"""),"SELESAI (VIA PERMOHONAN)")</f>
        <v>SELESAI (VIA PERMOHONAN)</v>
      </c>
      <c r="J3798" s="17">
        <f>IFERROR(__xludf.DUMMYFUNCTION("""COMPUTED_VALUE"""),45917.439687418984)</f>
        <v>45917.43969</v>
      </c>
      <c r="K3798" s="13" t="str">
        <f>IFERROR(__xludf.DUMMYFUNCTION("""COMPUTED_VALUE"""),"Selesai")</f>
        <v>Selesai</v>
      </c>
      <c r="L3798" s="17">
        <f>IFERROR(__xludf.DUMMYFUNCTION("""COMPUTED_VALUE"""),45917.439687418984)</f>
        <v>45917.43969</v>
      </c>
      <c r="M3798" s="13"/>
      <c r="N3798" s="13" t="str">
        <f>IFERROR(__xludf.DUMMYFUNCTION("""COMPUTED_VALUE"""),"")</f>
        <v/>
      </c>
      <c r="O3798" s="13" t="str">
        <f t="shared" si="1"/>
        <v/>
      </c>
    </row>
    <row r="3799" ht="22.5" customHeight="1">
      <c r="B3799" s="13">
        <f>IFERROR(__xludf.DUMMYFUNCTION("""COMPUTED_VALUE"""),3794.0)</f>
        <v>3794</v>
      </c>
      <c r="C3799" s="13" t="str">
        <f>IFERROR(__xludf.DUMMYFUNCTION("""COMPUTED_VALUE"""),"M. 1676/KEMILING RAYA")</f>
        <v>M. 1676/KEMILING RAYA</v>
      </c>
      <c r="D3799" s="13" t="str">
        <f>IFERROR(__xludf.DUMMYFUNCTION("""COMPUTED_VALUE"""),"K/11/270825/1")</f>
        <v>K/11/270825/1</v>
      </c>
      <c r="E3799" s="14" t="str">
        <f>IFERROR(__xludf.DUMMYFUNCTION("""COMPUTED_VALUE"""),"Admin (Migrasi)")</f>
        <v>Admin (Migrasi)</v>
      </c>
      <c r="F3799" s="14" t="str">
        <f>IFERROR(__xludf.DUMMYFUNCTION("""COMPUTED_VALUE"""),"SELESAI (VIA PERMOHONAN)")</f>
        <v>SELESAI (VIA PERMOHONAN)</v>
      </c>
      <c r="G3799" s="17">
        <f>IFERROR(__xludf.DUMMYFUNCTION("""COMPUTED_VALUE"""),45917.4400277199)</f>
        <v>45917.44003</v>
      </c>
      <c r="H3799" s="14" t="str">
        <f>IFERROR(__xludf.DUMMYFUNCTION("""COMPUTED_VALUE"""),"Admin (Migrasi)")</f>
        <v>Admin (Migrasi)</v>
      </c>
      <c r="I3799" s="13" t="str">
        <f>IFERROR(__xludf.DUMMYFUNCTION("""COMPUTED_VALUE"""),"SELESAI (VIA PERMOHONAN)")</f>
        <v>SELESAI (VIA PERMOHONAN)</v>
      </c>
      <c r="J3799" s="17">
        <f>IFERROR(__xludf.DUMMYFUNCTION("""COMPUTED_VALUE"""),45917.44008585648)</f>
        <v>45917.44009</v>
      </c>
      <c r="K3799" s="13" t="str">
        <f>IFERROR(__xludf.DUMMYFUNCTION("""COMPUTED_VALUE"""),"Selesai")</f>
        <v>Selesai</v>
      </c>
      <c r="L3799" s="17">
        <f>IFERROR(__xludf.DUMMYFUNCTION("""COMPUTED_VALUE"""),45917.44008585648)</f>
        <v>45917.44009</v>
      </c>
      <c r="M3799" s="13"/>
      <c r="N3799" s="13" t="str">
        <f>IFERROR(__xludf.DUMMYFUNCTION("""COMPUTED_VALUE"""),"")</f>
        <v/>
      </c>
      <c r="O3799" s="13" t="str">
        <f t="shared" si="1"/>
        <v/>
      </c>
    </row>
    <row r="3800" ht="22.5" customHeight="1">
      <c r="B3800" s="13">
        <f>IFERROR(__xludf.DUMMYFUNCTION("""COMPUTED_VALUE"""),3795.0)</f>
        <v>3795</v>
      </c>
      <c r="C3800" s="13" t="str">
        <f>IFERROR(__xludf.DUMMYFUNCTION("""COMPUTED_VALUE"""),"M. 4713/WAY KANDIS")</f>
        <v>M. 4713/WAY KANDIS</v>
      </c>
      <c r="D3800" s="13" t="str">
        <f>IFERROR(__xludf.DUMMYFUNCTION("""COMPUTED_VALUE"""),"K/39/210826/1")</f>
        <v>K/39/210826/1</v>
      </c>
      <c r="E3800" s="14" t="str">
        <f>IFERROR(__xludf.DUMMYFUNCTION("""COMPUTED_VALUE"""),"Admin (Migrasi)")</f>
        <v>Admin (Migrasi)</v>
      </c>
      <c r="F3800" s="14" t="str">
        <f>IFERROR(__xludf.DUMMYFUNCTION("""COMPUTED_VALUE"""),"SELESAI (VIA PERMOHONAN)")</f>
        <v>SELESAI (VIA PERMOHONAN)</v>
      </c>
      <c r="G3800" s="17">
        <f>IFERROR(__xludf.DUMMYFUNCTION("""COMPUTED_VALUE"""),45917.44021454861)</f>
        <v>45917.44021</v>
      </c>
      <c r="H3800" s="14" t="str">
        <f>IFERROR(__xludf.DUMMYFUNCTION("""COMPUTED_VALUE"""),"Admin (Migrasi)")</f>
        <v>Admin (Migrasi)</v>
      </c>
      <c r="I3800" s="13" t="str">
        <f>IFERROR(__xludf.DUMMYFUNCTION("""COMPUTED_VALUE"""),"SELESAI (VIA PERMOHONAN)")</f>
        <v>SELESAI (VIA PERMOHONAN)</v>
      </c>
      <c r="J3800" s="17">
        <f>IFERROR(__xludf.DUMMYFUNCTION("""COMPUTED_VALUE"""),45917.44023770833)</f>
        <v>45917.44024</v>
      </c>
      <c r="K3800" s="13" t="str">
        <f>IFERROR(__xludf.DUMMYFUNCTION("""COMPUTED_VALUE"""),"Selesai")</f>
        <v>Selesai</v>
      </c>
      <c r="L3800" s="17">
        <f>IFERROR(__xludf.DUMMYFUNCTION("""COMPUTED_VALUE"""),45917.44023770833)</f>
        <v>45917.44024</v>
      </c>
      <c r="M3800" s="13"/>
      <c r="N3800" s="13" t="str">
        <f>IFERROR(__xludf.DUMMYFUNCTION("""COMPUTED_VALUE"""),"")</f>
        <v/>
      </c>
      <c r="O3800" s="13" t="str">
        <f t="shared" si="1"/>
        <v/>
      </c>
    </row>
    <row r="3801" ht="22.5" customHeight="1">
      <c r="B3801" s="13">
        <f>IFERROR(__xludf.DUMMYFUNCTION("""COMPUTED_VALUE"""),3796.0)</f>
        <v>3796</v>
      </c>
      <c r="C3801" s="13" t="str">
        <f>IFERROR(__xludf.DUMMYFUNCTION("""COMPUTED_VALUE"""),"M. 687/SUSUNAN BARU")</f>
        <v>M. 687/SUSUNAN BARU</v>
      </c>
      <c r="D3801" s="13"/>
      <c r="E3801" s="14" t="str">
        <f>IFERROR(__xludf.DUMMYFUNCTION("""COMPUTED_VALUE"""),"Heri (BT)")</f>
        <v>Heri (BT)</v>
      </c>
      <c r="F3801" s="14" t="str">
        <f>IFERROR(__xludf.DUMMYFUNCTION("""COMPUTED_VALUE"""),"SELESAI (VIA PERMOHONAN)")</f>
        <v>SELESAI (VIA PERMOHONAN)</v>
      </c>
      <c r="G3801" s="17">
        <f>IFERROR(__xludf.DUMMYFUNCTION("""COMPUTED_VALUE"""),45917.61097462963)</f>
        <v>45917.61097</v>
      </c>
      <c r="H3801" s="14" t="str">
        <f>IFERROR(__xludf.DUMMYFUNCTION("""COMPUTED_VALUE"""),"Eci (SU)")</f>
        <v>Eci (SU)</v>
      </c>
      <c r="I3801" s="13" t="str">
        <f>IFERROR(__xludf.DUMMYFUNCTION("""COMPUTED_VALUE"""),"SELESAI (VIA PERMOHONAN)")</f>
        <v>SELESAI (VIA PERMOHONAN)</v>
      </c>
      <c r="J3801" s="17">
        <f>IFERROR(__xludf.DUMMYFUNCTION("""COMPUTED_VALUE"""),45918.61528712963)</f>
        <v>45918.61529</v>
      </c>
      <c r="K3801" s="13" t="str">
        <f>IFERROR(__xludf.DUMMYFUNCTION("""COMPUTED_VALUE"""),"")</f>
        <v/>
      </c>
      <c r="L3801" s="13" t="str">
        <f>IFERROR(__xludf.DUMMYFUNCTION("""COMPUTED_VALUE"""),"")</f>
        <v/>
      </c>
      <c r="M3801" s="13"/>
      <c r="N3801" s="13" t="str">
        <f>IFERROR(__xludf.DUMMYFUNCTION("""COMPUTED_VALUE"""),"")</f>
        <v/>
      </c>
      <c r="O3801" s="13" t="str">
        <f t="shared" si="1"/>
        <v/>
      </c>
    </row>
    <row r="3802" ht="22.5" customHeight="1">
      <c r="B3802" s="13">
        <f>IFERROR(__xludf.DUMMYFUNCTION("""COMPUTED_VALUE"""),3797.0)</f>
        <v>3797</v>
      </c>
      <c r="C3802" s="13" t="str">
        <f>IFERROR(__xludf.DUMMYFUNCTION("""COMPUTED_VALUE"""),"B. 452/KETEGUHAN")</f>
        <v>B. 452/KETEGUHAN</v>
      </c>
      <c r="D3802" s="13" t="str">
        <f>IFERROR(__xludf.DUMMYFUNCTION("""COMPUTED_VALUE"""),"L/18/100925/1")</f>
        <v>L/18/100925/1</v>
      </c>
      <c r="E3802" s="14" t="str">
        <f>IFERROR(__xludf.DUMMYFUNCTION("""COMPUTED_VALUE"""),"Heri (BT)")</f>
        <v>Heri (BT)</v>
      </c>
      <c r="F3802" s="14" t="str">
        <f>IFERROR(__xludf.DUMMYFUNCTION("""COMPUTED_VALUE"""),"SELESAI (VIA PERMOHONAN)")</f>
        <v>SELESAI (VIA PERMOHONAN)</v>
      </c>
      <c r="G3802" s="17">
        <f>IFERROR(__xludf.DUMMYFUNCTION("""COMPUTED_VALUE"""),45917.611316712966)</f>
        <v>45917.61132</v>
      </c>
      <c r="H3802" s="14" t="str">
        <f>IFERROR(__xludf.DUMMYFUNCTION("""COMPUTED_VALUE"""),"Eci (SU)")</f>
        <v>Eci (SU)</v>
      </c>
      <c r="I3802" s="13" t="str">
        <f>IFERROR(__xludf.DUMMYFUNCTION("""COMPUTED_VALUE"""),"SELESAI (VIA PERMOHONAN)")</f>
        <v>SELESAI (VIA PERMOHONAN)</v>
      </c>
      <c r="J3802" s="17">
        <f>IFERROR(__xludf.DUMMYFUNCTION("""COMPUTED_VALUE"""),45918.6121250463)</f>
        <v>45918.61213</v>
      </c>
      <c r="K3802" s="13" t="str">
        <f>IFERROR(__xludf.DUMMYFUNCTION("""COMPUTED_VALUE"""),"Selesai")</f>
        <v>Selesai</v>
      </c>
      <c r="L3802" s="17">
        <f>IFERROR(__xludf.DUMMYFUNCTION("""COMPUTED_VALUE"""),45918.6121250463)</f>
        <v>45918.61213</v>
      </c>
      <c r="M3802" s="13"/>
      <c r="N3802" s="13" t="str">
        <f>IFERROR(__xludf.DUMMYFUNCTION("""COMPUTED_VALUE"""),"")</f>
        <v/>
      </c>
      <c r="O3802" s="13" t="str">
        <f t="shared" si="1"/>
        <v/>
      </c>
    </row>
    <row r="3803" ht="22.5" customHeight="1">
      <c r="B3803" s="13">
        <f>IFERROR(__xludf.DUMMYFUNCTION("""COMPUTED_VALUE"""),3798.0)</f>
        <v>3798</v>
      </c>
      <c r="C3803" s="13" t="str">
        <f>IFERROR(__xludf.DUMMYFUNCTION("""COMPUTED_VALUE"""),"B. 457/CAMPANG RAYA")</f>
        <v>B. 457/CAMPANG RAYA</v>
      </c>
      <c r="D3803" s="13" t="str">
        <f>IFERROR(__xludf.DUMMYFUNCTION("""COMPUTED_VALUE"""),"L/32/090925/1")</f>
        <v>L/32/090925/1</v>
      </c>
      <c r="E3803" s="14" t="str">
        <f>IFERROR(__xludf.DUMMYFUNCTION("""COMPUTED_VALUE"""),"Heri (BT)")</f>
        <v>Heri (BT)</v>
      </c>
      <c r="F3803" s="14" t="str">
        <f>IFERROR(__xludf.DUMMYFUNCTION("""COMPUTED_VALUE"""),"SELESAI (VIA PERMOHONAN)")</f>
        <v>SELESAI (VIA PERMOHONAN)</v>
      </c>
      <c r="G3803" s="17">
        <f>IFERROR(__xludf.DUMMYFUNCTION("""COMPUTED_VALUE"""),45917.61146357639)</f>
        <v>45917.61146</v>
      </c>
      <c r="H3803" s="14" t="str">
        <f>IFERROR(__xludf.DUMMYFUNCTION("""COMPUTED_VALUE"""),"Eci (SU)")</f>
        <v>Eci (SU)</v>
      </c>
      <c r="I3803" s="13" t="str">
        <f>IFERROR(__xludf.DUMMYFUNCTION("""COMPUTED_VALUE"""),"SELESAI (VIA PERMOHONAN)")</f>
        <v>SELESAI (VIA PERMOHONAN)</v>
      </c>
      <c r="J3803" s="17">
        <f>IFERROR(__xludf.DUMMYFUNCTION("""COMPUTED_VALUE"""),45918.61228451389)</f>
        <v>45918.61228</v>
      </c>
      <c r="K3803" s="13" t="str">
        <f>IFERROR(__xludf.DUMMYFUNCTION("""COMPUTED_VALUE"""),"Selesai")</f>
        <v>Selesai</v>
      </c>
      <c r="L3803" s="17">
        <f>IFERROR(__xludf.DUMMYFUNCTION("""COMPUTED_VALUE"""),45918.61228451389)</f>
        <v>45918.61228</v>
      </c>
      <c r="M3803" s="13"/>
      <c r="N3803" s="13" t="str">
        <f>IFERROR(__xludf.DUMMYFUNCTION("""COMPUTED_VALUE"""),"")</f>
        <v/>
      </c>
      <c r="O3803" s="13" t="str">
        <f t="shared" si="1"/>
        <v/>
      </c>
    </row>
    <row r="3804" ht="22.5" customHeight="1">
      <c r="B3804" s="13">
        <f>IFERROR(__xludf.DUMMYFUNCTION("""COMPUTED_VALUE"""),3799.0)</f>
        <v>3799</v>
      </c>
      <c r="C3804" s="13" t="str">
        <f>IFERROR(__xludf.DUMMYFUNCTION("""COMPUTED_VALUE"""),"B. 105/SUMBEREJO SEJAHTERA")</f>
        <v>B. 105/SUMBEREJO SEJAHTERA</v>
      </c>
      <c r="D3804" s="13" t="str">
        <f>IFERROR(__xludf.DUMMYFUNCTION("""COMPUTED_VALUE"""),"L/23/260825/1")</f>
        <v>L/23/260825/1</v>
      </c>
      <c r="E3804" s="14" t="str">
        <f>IFERROR(__xludf.DUMMYFUNCTION("""COMPUTED_VALUE"""),"Heri (BT)")</f>
        <v>Heri (BT)</v>
      </c>
      <c r="F3804" s="14" t="str">
        <f>IFERROR(__xludf.DUMMYFUNCTION("""COMPUTED_VALUE"""),"SELESAI (VIA PERMOHONAN)")</f>
        <v>SELESAI (VIA PERMOHONAN)</v>
      </c>
      <c r="G3804" s="17">
        <f>IFERROR(__xludf.DUMMYFUNCTION("""COMPUTED_VALUE"""),45917.611635277775)</f>
        <v>45917.61164</v>
      </c>
      <c r="H3804" s="14" t="str">
        <f>IFERROR(__xludf.DUMMYFUNCTION("""COMPUTED_VALUE"""),"Eci (SU)")</f>
        <v>Eci (SU)</v>
      </c>
      <c r="I3804" s="13" t="str">
        <f>IFERROR(__xludf.DUMMYFUNCTION("""COMPUTED_VALUE"""),"SELESAI (VIA PERMOHONAN)")</f>
        <v>SELESAI (VIA PERMOHONAN)</v>
      </c>
      <c r="J3804" s="17">
        <f>IFERROR(__xludf.DUMMYFUNCTION("""COMPUTED_VALUE"""),45918.61385443287)</f>
        <v>45918.61385</v>
      </c>
      <c r="K3804" s="13" t="str">
        <f>IFERROR(__xludf.DUMMYFUNCTION("""COMPUTED_VALUE"""),"Selesai")</f>
        <v>Selesai</v>
      </c>
      <c r="L3804" s="17">
        <f>IFERROR(__xludf.DUMMYFUNCTION("""COMPUTED_VALUE"""),45918.61385443287)</f>
        <v>45918.61385</v>
      </c>
      <c r="M3804" s="13"/>
      <c r="N3804" s="13" t="str">
        <f>IFERROR(__xludf.DUMMYFUNCTION("""COMPUTED_VALUE"""),"")</f>
        <v/>
      </c>
      <c r="O3804" s="13" t="str">
        <f t="shared" si="1"/>
        <v/>
      </c>
    </row>
    <row r="3805" ht="22.5" customHeight="1">
      <c r="B3805" s="13">
        <f>IFERROR(__xludf.DUMMYFUNCTION("""COMPUTED_VALUE"""),3800.0)</f>
        <v>3800</v>
      </c>
      <c r="C3805" s="13" t="str">
        <f>IFERROR(__xludf.DUMMYFUNCTION("""COMPUTED_VALUE"""),"M. 294/RAJABASA PEMUKA")</f>
        <v>M. 294/RAJABASA PEMUKA</v>
      </c>
      <c r="D3805" s="13" t="str">
        <f>IFERROR(__xludf.DUMMYFUNCTION("""COMPUTED_VALUE"""),"L/22/100925/1")</f>
        <v>L/22/100925/1</v>
      </c>
      <c r="E3805" s="14" t="str">
        <f>IFERROR(__xludf.DUMMYFUNCTION("""COMPUTED_VALUE"""),"Heri (BT)")</f>
        <v>Heri (BT)</v>
      </c>
      <c r="F3805" s="14" t="str">
        <f>IFERROR(__xludf.DUMMYFUNCTION("""COMPUTED_VALUE"""),"SELESAI (VIA PERMOHONAN)")</f>
        <v>SELESAI (VIA PERMOHONAN)</v>
      </c>
      <c r="G3805" s="17">
        <f>IFERROR(__xludf.DUMMYFUNCTION("""COMPUTED_VALUE"""),45917.611740416665)</f>
        <v>45917.61174</v>
      </c>
      <c r="H3805" s="14" t="str">
        <f>IFERROR(__xludf.DUMMYFUNCTION("""COMPUTED_VALUE"""),"Eci (SU)")</f>
        <v>Eci (SU)</v>
      </c>
      <c r="I3805" s="13" t="str">
        <f>IFERROR(__xludf.DUMMYFUNCTION("""COMPUTED_VALUE"""),"SELESAI (VIA PERMOHONAN)")</f>
        <v>SELESAI (VIA PERMOHONAN)</v>
      </c>
      <c r="J3805" s="17">
        <f>IFERROR(__xludf.DUMMYFUNCTION("""COMPUTED_VALUE"""),45918.6124634375)</f>
        <v>45918.61246</v>
      </c>
      <c r="K3805" s="13" t="str">
        <f>IFERROR(__xludf.DUMMYFUNCTION("""COMPUTED_VALUE"""),"Selesai")</f>
        <v>Selesai</v>
      </c>
      <c r="L3805" s="17">
        <f>IFERROR(__xludf.DUMMYFUNCTION("""COMPUTED_VALUE"""),45918.6124634375)</f>
        <v>45918.61246</v>
      </c>
      <c r="M3805" s="13"/>
      <c r="N3805" s="13" t="str">
        <f>IFERROR(__xludf.DUMMYFUNCTION("""COMPUTED_VALUE"""),"")</f>
        <v/>
      </c>
      <c r="O3805" s="13" t="str">
        <f t="shared" si="1"/>
        <v/>
      </c>
    </row>
    <row r="3806" ht="22.5" customHeight="1">
      <c r="B3806" s="13">
        <f>IFERROR(__xludf.DUMMYFUNCTION("""COMPUTED_VALUE"""),3801.0)</f>
        <v>3801</v>
      </c>
      <c r="C3806" s="13" t="str">
        <f>IFERROR(__xludf.DUMMYFUNCTION("""COMPUTED_VALUE"""),"B. 218/KOTA BARU")</f>
        <v>B. 218/KOTA BARU</v>
      </c>
      <c r="D3806" s="13" t="str">
        <f>IFERROR(__xludf.DUMMYFUNCTION("""COMPUTED_VALUE"""),"L/23/040925/1")</f>
        <v>L/23/040925/1</v>
      </c>
      <c r="E3806" s="14" t="str">
        <f>IFERROR(__xludf.DUMMYFUNCTION("""COMPUTED_VALUE"""),"Heri (BT)")</f>
        <v>Heri (BT)</v>
      </c>
      <c r="F3806" s="14" t="str">
        <f>IFERROR(__xludf.DUMMYFUNCTION("""COMPUTED_VALUE"""),"SELESAI (VIA PERMOHONAN)")</f>
        <v>SELESAI (VIA PERMOHONAN)</v>
      </c>
      <c r="G3806" s="17">
        <f>IFERROR(__xludf.DUMMYFUNCTION("""COMPUTED_VALUE"""),45917.61191204861)</f>
        <v>45917.61191</v>
      </c>
      <c r="H3806" s="14" t="str">
        <f>IFERROR(__xludf.DUMMYFUNCTION("""COMPUTED_VALUE"""),"Eci (SU)")</f>
        <v>Eci (SU)</v>
      </c>
      <c r="I3806" s="13" t="str">
        <f>IFERROR(__xludf.DUMMYFUNCTION("""COMPUTED_VALUE"""),"SELESAI (VIA PERMOHONAN)")</f>
        <v>SELESAI (VIA PERMOHONAN)</v>
      </c>
      <c r="J3806" s="17">
        <f>IFERROR(__xludf.DUMMYFUNCTION("""COMPUTED_VALUE"""),45918.61255327547)</f>
        <v>45918.61255</v>
      </c>
      <c r="K3806" s="13" t="str">
        <f>IFERROR(__xludf.DUMMYFUNCTION("""COMPUTED_VALUE"""),"Selesai")</f>
        <v>Selesai</v>
      </c>
      <c r="L3806" s="17">
        <f>IFERROR(__xludf.DUMMYFUNCTION("""COMPUTED_VALUE"""),45918.61255327547)</f>
        <v>45918.61255</v>
      </c>
      <c r="M3806" s="13"/>
      <c r="N3806" s="13" t="str">
        <f>IFERROR(__xludf.DUMMYFUNCTION("""COMPUTED_VALUE"""),"")</f>
        <v/>
      </c>
      <c r="O3806" s="13" t="str">
        <f t="shared" si="1"/>
        <v/>
      </c>
    </row>
    <row r="3807" ht="22.5" customHeight="1">
      <c r="B3807" s="13">
        <f>IFERROR(__xludf.DUMMYFUNCTION("""COMPUTED_VALUE"""),3802.0)</f>
        <v>3802</v>
      </c>
      <c r="C3807" s="13" t="str">
        <f>IFERROR(__xludf.DUMMYFUNCTION("""COMPUTED_VALUE"""),"M. 9136/KAMPUNG BARU")</f>
        <v>M. 9136/KAMPUNG BARU</v>
      </c>
      <c r="D3807" s="13" t="str">
        <f>IFERROR(__xludf.DUMMYFUNCTION("""COMPUTED_VALUE"""),"L/11/080925/1")</f>
        <v>L/11/080925/1</v>
      </c>
      <c r="E3807" s="14" t="str">
        <f>IFERROR(__xludf.DUMMYFUNCTION("""COMPUTED_VALUE"""),"Heri (BT)")</f>
        <v>Heri (BT)</v>
      </c>
      <c r="F3807" s="14" t="str">
        <f>IFERROR(__xludf.DUMMYFUNCTION("""COMPUTED_VALUE"""),"SELESAI (VIA PERMOHONAN)")</f>
        <v>SELESAI (VIA PERMOHONAN)</v>
      </c>
      <c r="G3807" s="17">
        <f>IFERROR(__xludf.DUMMYFUNCTION("""COMPUTED_VALUE"""),45917.61207042824)</f>
        <v>45917.61207</v>
      </c>
      <c r="H3807" s="14" t="str">
        <f>IFERROR(__xludf.DUMMYFUNCTION("""COMPUTED_VALUE"""),"Eci (SU)")</f>
        <v>Eci (SU)</v>
      </c>
      <c r="I3807" s="13" t="str">
        <f>IFERROR(__xludf.DUMMYFUNCTION("""COMPUTED_VALUE"""),"SELESAI (VIA PERMOHONAN)")</f>
        <v>SELESAI (VIA PERMOHONAN)</v>
      </c>
      <c r="J3807" s="17">
        <f>IFERROR(__xludf.DUMMYFUNCTION("""COMPUTED_VALUE"""),45918.61262702546)</f>
        <v>45918.61263</v>
      </c>
      <c r="K3807" s="13" t="str">
        <f>IFERROR(__xludf.DUMMYFUNCTION("""COMPUTED_VALUE"""),"Selesai")</f>
        <v>Selesai</v>
      </c>
      <c r="L3807" s="17">
        <f>IFERROR(__xludf.DUMMYFUNCTION("""COMPUTED_VALUE"""),45918.61262702546)</f>
        <v>45918.61263</v>
      </c>
      <c r="M3807" s="13"/>
      <c r="N3807" s="13" t="str">
        <f>IFERROR(__xludf.DUMMYFUNCTION("""COMPUTED_VALUE"""),"")</f>
        <v/>
      </c>
      <c r="O3807" s="13" t="str">
        <f t="shared" si="1"/>
        <v/>
      </c>
    </row>
    <row r="3808" ht="22.5" customHeight="1">
      <c r="B3808" s="13">
        <f>IFERROR(__xludf.DUMMYFUNCTION("""COMPUTED_VALUE"""),3803.0)</f>
        <v>3803</v>
      </c>
      <c r="C3808" s="13" t="str">
        <f>IFERROR(__xludf.DUMMYFUNCTION("""COMPUTED_VALUE"""),"M. 17529/SUKARAME I")</f>
        <v>M. 17529/SUKARAME I</v>
      </c>
      <c r="D3808" s="13" t="str">
        <f>IFERROR(__xludf.DUMMYFUNCTION("""COMPUTED_VALUE"""),"L/28/080925/1")</f>
        <v>L/28/080925/1</v>
      </c>
      <c r="E3808" s="14" t="str">
        <f>IFERROR(__xludf.DUMMYFUNCTION("""COMPUTED_VALUE"""),"Heri (BT)")</f>
        <v>Heri (BT)</v>
      </c>
      <c r="F3808" s="14" t="str">
        <f>IFERROR(__xludf.DUMMYFUNCTION("""COMPUTED_VALUE"""),"SELESAI (VIA PERMOHONAN)")</f>
        <v>SELESAI (VIA PERMOHONAN)</v>
      </c>
      <c r="G3808" s="17">
        <f>IFERROR(__xludf.DUMMYFUNCTION("""COMPUTED_VALUE"""),45917.612250578706)</f>
        <v>45917.61225</v>
      </c>
      <c r="H3808" s="14" t="str">
        <f>IFERROR(__xludf.DUMMYFUNCTION("""COMPUTED_VALUE"""),"Eci (SU)")</f>
        <v>Eci (SU)</v>
      </c>
      <c r="I3808" s="13" t="str">
        <f>IFERROR(__xludf.DUMMYFUNCTION("""COMPUTED_VALUE"""),"SELESAI (VIA PERMOHONAN)")</f>
        <v>SELESAI (VIA PERMOHONAN)</v>
      </c>
      <c r="J3808" s="17">
        <f>IFERROR(__xludf.DUMMYFUNCTION("""COMPUTED_VALUE"""),45918.61273260417)</f>
        <v>45918.61273</v>
      </c>
      <c r="K3808" s="13" t="str">
        <f>IFERROR(__xludf.DUMMYFUNCTION("""COMPUTED_VALUE"""),"Selesai")</f>
        <v>Selesai</v>
      </c>
      <c r="L3808" s="17">
        <f>IFERROR(__xludf.DUMMYFUNCTION("""COMPUTED_VALUE"""),45918.61273260417)</f>
        <v>45918.61273</v>
      </c>
      <c r="M3808" s="13"/>
      <c r="N3808" s="13" t="str">
        <f>IFERROR(__xludf.DUMMYFUNCTION("""COMPUTED_VALUE"""),"")</f>
        <v/>
      </c>
      <c r="O3808" s="13" t="str">
        <f t="shared" si="1"/>
        <v/>
      </c>
    </row>
    <row r="3809" ht="22.5" customHeight="1">
      <c r="B3809" s="13">
        <f>IFERROR(__xludf.DUMMYFUNCTION("""COMPUTED_VALUE"""),3804.0)</f>
        <v>3804</v>
      </c>
      <c r="C3809" s="13" t="str">
        <f>IFERROR(__xludf.DUMMYFUNCTION("""COMPUTED_VALUE"""),"B. 46/KAMPUNG BARU RAYA")</f>
        <v>B. 46/KAMPUNG BARU RAYA</v>
      </c>
      <c r="D3809" s="13" t="str">
        <f>IFERROR(__xludf.DUMMYFUNCTION("""COMPUTED_VALUE"""),"L/21/110925/1")</f>
        <v>L/21/110925/1</v>
      </c>
      <c r="E3809" s="14" t="str">
        <f>IFERROR(__xludf.DUMMYFUNCTION("""COMPUTED_VALUE"""),"Heri (BT)")</f>
        <v>Heri (BT)</v>
      </c>
      <c r="F3809" s="14" t="str">
        <f>IFERROR(__xludf.DUMMYFUNCTION("""COMPUTED_VALUE"""),"SELESAI (VIA PERMOHONAN)")</f>
        <v>SELESAI (VIA PERMOHONAN)</v>
      </c>
      <c r="G3809" s="17">
        <f>IFERROR(__xludf.DUMMYFUNCTION("""COMPUTED_VALUE"""),45917.612404687505)</f>
        <v>45917.6124</v>
      </c>
      <c r="H3809" s="14" t="str">
        <f>IFERROR(__xludf.DUMMYFUNCTION("""COMPUTED_VALUE"""),"Eci (SU)")</f>
        <v>Eci (SU)</v>
      </c>
      <c r="I3809" s="13" t="str">
        <f>IFERROR(__xludf.DUMMYFUNCTION("""COMPUTED_VALUE"""),"SELESAI (VIA PERMOHONAN)")</f>
        <v>SELESAI (VIA PERMOHONAN)</v>
      </c>
      <c r="J3809" s="17">
        <f>IFERROR(__xludf.DUMMYFUNCTION("""COMPUTED_VALUE"""),45918.612863125)</f>
        <v>45918.61286</v>
      </c>
      <c r="K3809" s="13" t="str">
        <f>IFERROR(__xludf.DUMMYFUNCTION("""COMPUTED_VALUE"""),"Selesai")</f>
        <v>Selesai</v>
      </c>
      <c r="L3809" s="17">
        <f>IFERROR(__xludf.DUMMYFUNCTION("""COMPUTED_VALUE"""),45918.612863125)</f>
        <v>45918.61286</v>
      </c>
      <c r="M3809" s="13"/>
      <c r="N3809" s="13" t="str">
        <f>IFERROR(__xludf.DUMMYFUNCTION("""COMPUTED_VALUE"""),"")</f>
        <v/>
      </c>
      <c r="O3809" s="13" t="str">
        <f t="shared" si="1"/>
        <v/>
      </c>
    </row>
    <row r="3810" ht="22.5" customHeight="1">
      <c r="B3810" s="13">
        <f>IFERROR(__xludf.DUMMYFUNCTION("""COMPUTED_VALUE"""),3805.0)</f>
        <v>3805</v>
      </c>
      <c r="C3810" s="13" t="str">
        <f>IFERROR(__xludf.DUMMYFUNCTION("""COMPUTED_VALUE"""),"M. 42/KEMILING PERMAI")</f>
        <v>M. 42/KEMILING PERMAI</v>
      </c>
      <c r="D3810" s="13" t="str">
        <f>IFERROR(__xludf.DUMMYFUNCTION("""COMPUTED_VALUE"""),"L/25/110925/1")</f>
        <v>L/25/110925/1</v>
      </c>
      <c r="E3810" s="14" t="str">
        <f>IFERROR(__xludf.DUMMYFUNCTION("""COMPUTED_VALUE"""),"Heri (BT)")</f>
        <v>Heri (BT)</v>
      </c>
      <c r="F3810" s="14" t="str">
        <f>IFERROR(__xludf.DUMMYFUNCTION("""COMPUTED_VALUE"""),"SELESAI (VIA PERMOHONAN)")</f>
        <v>SELESAI (VIA PERMOHONAN)</v>
      </c>
      <c r="G3810" s="17">
        <f>IFERROR(__xludf.DUMMYFUNCTION("""COMPUTED_VALUE"""),45917.61250412037)</f>
        <v>45917.6125</v>
      </c>
      <c r="H3810" s="14" t="str">
        <f>IFERROR(__xludf.DUMMYFUNCTION("""COMPUTED_VALUE"""),"Eci (SU)")</f>
        <v>Eci (SU)</v>
      </c>
      <c r="I3810" s="13" t="str">
        <f>IFERROR(__xludf.DUMMYFUNCTION("""COMPUTED_VALUE"""),"SELESAI (VIA PERMOHONAN)")</f>
        <v>SELESAI (VIA PERMOHONAN)</v>
      </c>
      <c r="J3810" s="17">
        <f>IFERROR(__xludf.DUMMYFUNCTION("""COMPUTED_VALUE"""),45918.61293153935)</f>
        <v>45918.61293</v>
      </c>
      <c r="K3810" s="13" t="str">
        <f>IFERROR(__xludf.DUMMYFUNCTION("""COMPUTED_VALUE"""),"Selesai")</f>
        <v>Selesai</v>
      </c>
      <c r="L3810" s="17">
        <f>IFERROR(__xludf.DUMMYFUNCTION("""COMPUTED_VALUE"""),45918.61293153935)</f>
        <v>45918.61293</v>
      </c>
      <c r="M3810" s="13"/>
      <c r="N3810" s="13" t="str">
        <f>IFERROR(__xludf.DUMMYFUNCTION("""COMPUTED_VALUE"""),"")</f>
        <v/>
      </c>
      <c r="O3810" s="13" t="str">
        <f t="shared" si="1"/>
        <v/>
      </c>
    </row>
    <row r="3811" ht="22.5" customHeight="1">
      <c r="B3811" s="13">
        <f>IFERROR(__xludf.DUMMYFUNCTION("""COMPUTED_VALUE"""),3806.0)</f>
        <v>3806</v>
      </c>
      <c r="C3811" s="13" t="str">
        <f>IFERROR(__xludf.DUMMYFUNCTION("""COMPUTED_VALUE"""),"B 132/ PASIR GINTUNG")</f>
        <v>B 132/ PASIR GINTUNG</v>
      </c>
      <c r="D3811" s="13" t="str">
        <f>IFERROR(__xludf.DUMMYFUNCTION("""COMPUTED_VALUE"""),"K/32/080925/1")</f>
        <v>K/32/080925/1</v>
      </c>
      <c r="E3811" s="14" t="str">
        <f>IFERROR(__xludf.DUMMYFUNCTION("""COMPUTED_VALUE"""),"Heri (BT)")</f>
        <v>Heri (BT)</v>
      </c>
      <c r="F3811" s="14" t="str">
        <f>IFERROR(__xludf.DUMMYFUNCTION("""COMPUTED_VALUE"""),"SELESAI (VIA PERMOHONAN)")</f>
        <v>SELESAI (VIA PERMOHONAN)</v>
      </c>
      <c r="G3811" s="17">
        <f>IFERROR(__xludf.DUMMYFUNCTION("""COMPUTED_VALUE"""),45917.61270824074)</f>
        <v>45917.61271</v>
      </c>
      <c r="H3811" s="14" t="str">
        <f>IFERROR(__xludf.DUMMYFUNCTION("""COMPUTED_VALUE"""),"Eci (SU)")</f>
        <v>Eci (SU)</v>
      </c>
      <c r="I3811" s="13" t="str">
        <f>IFERROR(__xludf.DUMMYFUNCTION("""COMPUTED_VALUE"""),"SELESAI (VIA PERMOHONAN)")</f>
        <v>SELESAI (VIA PERMOHONAN)</v>
      </c>
      <c r="J3811" s="17">
        <f>IFERROR(__xludf.DUMMYFUNCTION("""COMPUTED_VALUE"""),45918.61310052083)</f>
        <v>45918.6131</v>
      </c>
      <c r="K3811" s="13" t="str">
        <f>IFERROR(__xludf.DUMMYFUNCTION("""COMPUTED_VALUE"""),"Selesai")</f>
        <v>Selesai</v>
      </c>
      <c r="L3811" s="17">
        <f>IFERROR(__xludf.DUMMYFUNCTION("""COMPUTED_VALUE"""),45918.61310052083)</f>
        <v>45918.6131</v>
      </c>
      <c r="M3811" s="13"/>
      <c r="N3811" s="13" t="str">
        <f>IFERROR(__xludf.DUMMYFUNCTION("""COMPUTED_VALUE"""),"")</f>
        <v/>
      </c>
      <c r="O3811" s="13" t="str">
        <f t="shared" si="1"/>
        <v/>
      </c>
    </row>
    <row r="3812" ht="22.5" customHeight="1">
      <c r="B3812" s="13">
        <f>IFERROR(__xludf.DUMMYFUNCTION("""COMPUTED_VALUE"""),3807.0)</f>
        <v>3807</v>
      </c>
      <c r="C3812" s="13" t="str">
        <f>IFERROR(__xludf.DUMMYFUNCTION("""COMPUTED_VALUE"""),"M 104/ PASIR GINTUNG")</f>
        <v>M 104/ PASIR GINTUNG</v>
      </c>
      <c r="D3812" s="13" t="str">
        <f>IFERROR(__xludf.DUMMYFUNCTION("""COMPUTED_VALUE"""),"K/17/250825/1")</f>
        <v>K/17/250825/1</v>
      </c>
      <c r="E3812" s="14" t="str">
        <f>IFERROR(__xludf.DUMMYFUNCTION("""COMPUTED_VALUE"""),"Heri (BT)")</f>
        <v>Heri (BT)</v>
      </c>
      <c r="F3812" s="14" t="str">
        <f>IFERROR(__xludf.DUMMYFUNCTION("""COMPUTED_VALUE"""),"SELESAI (VIA PERMOHONAN)")</f>
        <v>SELESAI (VIA PERMOHONAN)</v>
      </c>
      <c r="G3812" s="17">
        <f>IFERROR(__xludf.DUMMYFUNCTION("""COMPUTED_VALUE"""),45917.612884421294)</f>
        <v>45917.61288</v>
      </c>
      <c r="H3812" s="14" t="str">
        <f>IFERROR(__xludf.DUMMYFUNCTION("""COMPUTED_VALUE"""),"Eci (SU)")</f>
        <v>Eci (SU)</v>
      </c>
      <c r="I3812" s="13" t="str">
        <f>IFERROR(__xludf.DUMMYFUNCTION("""COMPUTED_VALUE"""),"SELESAI (VIA PERMOHONAN)")</f>
        <v>SELESAI (VIA PERMOHONAN)</v>
      </c>
      <c r="J3812" s="17">
        <f>IFERROR(__xludf.DUMMYFUNCTION("""COMPUTED_VALUE"""),45918.61355146991)</f>
        <v>45918.61355</v>
      </c>
      <c r="K3812" s="13" t="str">
        <f>IFERROR(__xludf.DUMMYFUNCTION("""COMPUTED_VALUE"""),"Selesai")</f>
        <v>Selesai</v>
      </c>
      <c r="L3812" s="17">
        <f>IFERROR(__xludf.DUMMYFUNCTION("""COMPUTED_VALUE"""),45918.61355146991)</f>
        <v>45918.61355</v>
      </c>
      <c r="M3812" s="13"/>
      <c r="N3812" s="13" t="str">
        <f>IFERROR(__xludf.DUMMYFUNCTION("""COMPUTED_VALUE"""),"")</f>
        <v/>
      </c>
      <c r="O3812" s="13" t="str">
        <f t="shared" si="1"/>
        <v/>
      </c>
    </row>
    <row r="3813" ht="22.5" customHeight="1">
      <c r="B3813" s="13">
        <f>IFERROR(__xludf.DUMMYFUNCTION("""COMPUTED_VALUE"""),3808.0)</f>
        <v>3808</v>
      </c>
      <c r="C3813" s="13" t="str">
        <f>IFERROR(__xludf.DUMMYFUNCTION("""COMPUTED_VALUE"""),"B. 116/GULAK GALIK")</f>
        <v>B. 116/GULAK GALIK</v>
      </c>
      <c r="D3813" s="13" t="str">
        <f>IFERROR(__xludf.DUMMYFUNCTION("""COMPUTED_VALUE"""),"K/1/290825/1")</f>
        <v>K/1/290825/1</v>
      </c>
      <c r="E3813" s="14" t="str">
        <f>IFERROR(__xludf.DUMMYFUNCTION("""COMPUTED_VALUE"""),"Heri (BT)")</f>
        <v>Heri (BT)</v>
      </c>
      <c r="F3813" s="14" t="str">
        <f>IFERROR(__xludf.DUMMYFUNCTION("""COMPUTED_VALUE"""),"SELESAI (VIA PERMOHONAN)")</f>
        <v>SELESAI (VIA PERMOHONAN)</v>
      </c>
      <c r="G3813" s="17">
        <f>IFERROR(__xludf.DUMMYFUNCTION("""COMPUTED_VALUE"""),45917.61305675926)</f>
        <v>45917.61306</v>
      </c>
      <c r="H3813" s="14" t="str">
        <f>IFERROR(__xludf.DUMMYFUNCTION("""COMPUTED_VALUE"""),"Eci (SU)")</f>
        <v>Eci (SU)</v>
      </c>
      <c r="I3813" s="13" t="str">
        <f>IFERROR(__xludf.DUMMYFUNCTION("""COMPUTED_VALUE"""),"SELESAI (VIA PERMOHONAN)")</f>
        <v>SELESAI (VIA PERMOHONAN)</v>
      </c>
      <c r="J3813" s="17">
        <f>IFERROR(__xludf.DUMMYFUNCTION("""COMPUTED_VALUE"""),45918.61488061343)</f>
        <v>45918.61488</v>
      </c>
      <c r="K3813" s="13" t="str">
        <f>IFERROR(__xludf.DUMMYFUNCTION("""COMPUTED_VALUE"""),"Selesai")</f>
        <v>Selesai</v>
      </c>
      <c r="L3813" s="17">
        <f>IFERROR(__xludf.DUMMYFUNCTION("""COMPUTED_VALUE"""),45918.61488061343)</f>
        <v>45918.61488</v>
      </c>
      <c r="M3813" s="13"/>
      <c r="N3813" s="13" t="str">
        <f>IFERROR(__xludf.DUMMYFUNCTION("""COMPUTED_VALUE"""),"")</f>
        <v/>
      </c>
      <c r="O3813" s="13" t="str">
        <f t="shared" si="1"/>
        <v/>
      </c>
    </row>
    <row r="3814" ht="22.5" customHeight="1">
      <c r="B3814" s="13">
        <f>IFERROR(__xludf.DUMMYFUNCTION("""COMPUTED_VALUE"""),3809.0)</f>
        <v>3809</v>
      </c>
      <c r="C3814" s="13" t="str">
        <f>IFERROR(__xludf.DUMMYFUNCTION("""COMPUTED_VALUE"""),"M. 10781/SUKABUMI")</f>
        <v>M. 10781/SUKABUMI</v>
      </c>
      <c r="D3814" s="13" t="str">
        <f>IFERROR(__xludf.DUMMYFUNCTION("""COMPUTED_VALUE"""),"K/3/290825/1")</f>
        <v>K/3/290825/1</v>
      </c>
      <c r="E3814" s="14" t="str">
        <f>IFERROR(__xludf.DUMMYFUNCTION("""COMPUTED_VALUE"""),"Heri (BT)")</f>
        <v>Heri (BT)</v>
      </c>
      <c r="F3814" s="14" t="str">
        <f>IFERROR(__xludf.DUMMYFUNCTION("""COMPUTED_VALUE"""),"SELESAI (VIA PERMOHONAN)")</f>
        <v>SELESAI (VIA PERMOHONAN)</v>
      </c>
      <c r="G3814" s="17">
        <f>IFERROR(__xludf.DUMMYFUNCTION("""COMPUTED_VALUE"""),45917.61317827547)</f>
        <v>45917.61318</v>
      </c>
      <c r="H3814" s="14" t="str">
        <f>IFERROR(__xludf.DUMMYFUNCTION("""COMPUTED_VALUE"""),"Eci (SU)")</f>
        <v>Eci (SU)</v>
      </c>
      <c r="I3814" s="13" t="str">
        <f>IFERROR(__xludf.DUMMYFUNCTION("""COMPUTED_VALUE"""),"SELESAI (VIA PERMOHONAN)")</f>
        <v>SELESAI (VIA PERMOHONAN)</v>
      </c>
      <c r="J3814" s="17">
        <f>IFERROR(__xludf.DUMMYFUNCTION("""COMPUTED_VALUE"""),45918.615046990744)</f>
        <v>45918.61505</v>
      </c>
      <c r="K3814" s="13" t="str">
        <f>IFERROR(__xludf.DUMMYFUNCTION("""COMPUTED_VALUE"""),"Selesai")</f>
        <v>Selesai</v>
      </c>
      <c r="L3814" s="17">
        <f>IFERROR(__xludf.DUMMYFUNCTION("""COMPUTED_VALUE"""),45918.615046990744)</f>
        <v>45918.61505</v>
      </c>
      <c r="M3814" s="13"/>
      <c r="N3814" s="13" t="str">
        <f>IFERROR(__xludf.DUMMYFUNCTION("""COMPUTED_VALUE"""),"")</f>
        <v/>
      </c>
      <c r="O3814" s="13" t="str">
        <f t="shared" si="1"/>
        <v/>
      </c>
    </row>
    <row r="3815" ht="22.5" customHeight="1">
      <c r="B3815" s="13">
        <f>IFERROR(__xludf.DUMMYFUNCTION("""COMPUTED_VALUE"""),3810.0)</f>
        <v>3810</v>
      </c>
      <c r="C3815" s="13" t="str">
        <f>IFERROR(__xludf.DUMMYFUNCTION("""COMPUTED_VALUE"""),"M. 3050/LABUHAN DALAM")</f>
        <v>M. 3050/LABUHAN DALAM</v>
      </c>
      <c r="D3815" s="13" t="str">
        <f>IFERROR(__xludf.DUMMYFUNCTION("""COMPUTED_VALUE"""),"K/27/210825/1")</f>
        <v>K/27/210825/1</v>
      </c>
      <c r="E3815" s="14" t="str">
        <f>IFERROR(__xludf.DUMMYFUNCTION("""COMPUTED_VALUE"""),"Heri (BT)")</f>
        <v>Heri (BT)</v>
      </c>
      <c r="F3815" s="14" t="str">
        <f>IFERROR(__xludf.DUMMYFUNCTION("""COMPUTED_VALUE"""),"SELESAI (VIA PERMOHONAN)")</f>
        <v>SELESAI (VIA PERMOHONAN)</v>
      </c>
      <c r="G3815" s="17">
        <f>IFERROR(__xludf.DUMMYFUNCTION("""COMPUTED_VALUE"""),45917.61334834491)</f>
        <v>45917.61335</v>
      </c>
      <c r="H3815" s="14" t="str">
        <f>IFERROR(__xludf.DUMMYFUNCTION("""COMPUTED_VALUE"""),"Eci (SU)")</f>
        <v>Eci (SU)</v>
      </c>
      <c r="I3815" s="13" t="str">
        <f>IFERROR(__xludf.DUMMYFUNCTION("""COMPUTED_VALUE"""),"SELESAI (VIA PERMOHONAN)")</f>
        <v>SELESAI (VIA PERMOHONAN)</v>
      </c>
      <c r="J3815" s="17">
        <f>IFERROR(__xludf.DUMMYFUNCTION("""COMPUTED_VALUE"""),45918.61477119213)</f>
        <v>45918.61477</v>
      </c>
      <c r="K3815" s="13" t="str">
        <f>IFERROR(__xludf.DUMMYFUNCTION("""COMPUTED_VALUE"""),"Selesai")</f>
        <v>Selesai</v>
      </c>
      <c r="L3815" s="17">
        <f>IFERROR(__xludf.DUMMYFUNCTION("""COMPUTED_VALUE"""),45918.61477119213)</f>
        <v>45918.61477</v>
      </c>
      <c r="M3815" s="13"/>
      <c r="N3815" s="13" t="str">
        <f>IFERROR(__xludf.DUMMYFUNCTION("""COMPUTED_VALUE"""),"")</f>
        <v/>
      </c>
      <c r="O3815" s="13" t="str">
        <f t="shared" si="1"/>
        <v/>
      </c>
    </row>
    <row r="3816" ht="22.5" customHeight="1">
      <c r="B3816" s="13">
        <f>IFERROR(__xludf.DUMMYFUNCTION("""COMPUTED_VALUE"""),3811.0)</f>
        <v>3811</v>
      </c>
      <c r="C3816" s="13" t="str">
        <f>IFERROR(__xludf.DUMMYFUNCTION("""COMPUTED_VALUE"""),"M 16229/ SUKARAME")</f>
        <v>M 16229/ SUKARAME</v>
      </c>
      <c r="D3816" s="13" t="str">
        <f>IFERROR(__xludf.DUMMYFUNCTION("""COMPUTED_VALUE"""),"K/12/120925/1")</f>
        <v>K/12/120925/1</v>
      </c>
      <c r="E3816" s="14" t="str">
        <f>IFERROR(__xludf.DUMMYFUNCTION("""COMPUTED_VALUE"""),"Heri (BT)")</f>
        <v>Heri (BT)</v>
      </c>
      <c r="F3816" s="14" t="str">
        <f>IFERROR(__xludf.DUMMYFUNCTION("""COMPUTED_VALUE"""),"SELESAI (VIA PERMOHONAN)")</f>
        <v>SELESAI (VIA PERMOHONAN)</v>
      </c>
      <c r="G3816" s="17">
        <f>IFERROR(__xludf.DUMMYFUNCTION("""COMPUTED_VALUE"""),45917.613565486114)</f>
        <v>45917.61357</v>
      </c>
      <c r="H3816" s="14" t="str">
        <f>IFERROR(__xludf.DUMMYFUNCTION("""COMPUTED_VALUE"""),"Eci (SU)")</f>
        <v>Eci (SU)</v>
      </c>
      <c r="I3816" s="13" t="str">
        <f>IFERROR(__xludf.DUMMYFUNCTION("""COMPUTED_VALUE"""),"SELESAI (VIA PERMOHONAN)")</f>
        <v>SELESAI (VIA PERMOHONAN)</v>
      </c>
      <c r="J3816" s="17">
        <f>IFERROR(__xludf.DUMMYFUNCTION("""COMPUTED_VALUE"""),45918.61451608797)</f>
        <v>45918.61452</v>
      </c>
      <c r="K3816" s="13" t="str">
        <f>IFERROR(__xludf.DUMMYFUNCTION("""COMPUTED_VALUE"""),"Selesai")</f>
        <v>Selesai</v>
      </c>
      <c r="L3816" s="17">
        <f>IFERROR(__xludf.DUMMYFUNCTION("""COMPUTED_VALUE"""),45918.61451608797)</f>
        <v>45918.61452</v>
      </c>
      <c r="M3816" s="13"/>
      <c r="N3816" s="13" t="str">
        <f>IFERROR(__xludf.DUMMYFUNCTION("""COMPUTED_VALUE"""),"")</f>
        <v/>
      </c>
      <c r="O3816" s="13" t="str">
        <f t="shared" si="1"/>
        <v/>
      </c>
    </row>
    <row r="3817" ht="22.5" customHeight="1">
      <c r="B3817" s="13">
        <f>IFERROR(__xludf.DUMMYFUNCTION("""COMPUTED_VALUE"""),3812.0)</f>
        <v>3812</v>
      </c>
      <c r="C3817" s="13" t="str">
        <f>IFERROR(__xludf.DUMMYFUNCTION("""COMPUTED_VALUE"""),"B. 920/Sukarame Baru	")</f>
        <v>B. 920/Sukarame Baru	</v>
      </c>
      <c r="D3817" s="13" t="str">
        <f>IFERROR(__xludf.DUMMYFUNCTION("""COMPUTED_VALUE"""),"K/28/260825/1")</f>
        <v>K/28/260825/1</v>
      </c>
      <c r="E3817" s="14" t="str">
        <f>IFERROR(__xludf.DUMMYFUNCTION("""COMPUTED_VALUE"""),"Heri (BT)")</f>
        <v>Heri (BT)</v>
      </c>
      <c r="F3817" s="14" t="str">
        <f>IFERROR(__xludf.DUMMYFUNCTION("""COMPUTED_VALUE"""),"SELESAI (VIA PERMOHONAN)")</f>
        <v>SELESAI (VIA PERMOHONAN)</v>
      </c>
      <c r="G3817" s="17">
        <f>IFERROR(__xludf.DUMMYFUNCTION("""COMPUTED_VALUE"""),45917.6136534838)</f>
        <v>45917.61365</v>
      </c>
      <c r="H3817" s="14" t="str">
        <f>IFERROR(__xludf.DUMMYFUNCTION("""COMPUTED_VALUE"""),"Eci (SU)")</f>
        <v>Eci (SU)</v>
      </c>
      <c r="I3817" s="13" t="str">
        <f>IFERROR(__xludf.DUMMYFUNCTION("""COMPUTED_VALUE"""),"SELESAI (VIA PERMOHONAN)")</f>
        <v>SELESAI (VIA PERMOHONAN)</v>
      </c>
      <c r="J3817" s="17">
        <f>IFERROR(__xludf.DUMMYFUNCTION("""COMPUTED_VALUE"""),45918.614591122685)</f>
        <v>45918.61459</v>
      </c>
      <c r="K3817" s="13" t="str">
        <f>IFERROR(__xludf.DUMMYFUNCTION("""COMPUTED_VALUE"""),"Selesai")</f>
        <v>Selesai</v>
      </c>
      <c r="L3817" s="17">
        <f>IFERROR(__xludf.DUMMYFUNCTION("""COMPUTED_VALUE"""),45918.614591122685)</f>
        <v>45918.61459</v>
      </c>
      <c r="M3817" s="13"/>
      <c r="N3817" s="13" t="str">
        <f>IFERROR(__xludf.DUMMYFUNCTION("""COMPUTED_VALUE"""),"")</f>
        <v/>
      </c>
      <c r="O3817" s="13" t="str">
        <f t="shared" si="1"/>
        <v/>
      </c>
    </row>
    <row r="3818" ht="22.5" customHeight="1">
      <c r="B3818" s="13">
        <f>IFERROR(__xludf.DUMMYFUNCTION("""COMPUTED_VALUE"""),3813.0)</f>
        <v>3813</v>
      </c>
      <c r="C3818" s="13" t="str">
        <f>IFERROR(__xludf.DUMMYFUNCTION("""COMPUTED_VALUE"""),"M.783,781,780/GULAK GALIK")</f>
        <v>M.783,781,780/GULAK GALIK</v>
      </c>
      <c r="D3818" s="13" t="str">
        <f>IFERROR(__xludf.DUMMYFUNCTION("""COMPUTED_VALUE"""),"K/25/300725/1")</f>
        <v>K/25/300725/1</v>
      </c>
      <c r="E3818" s="14" t="str">
        <f>IFERROR(__xludf.DUMMYFUNCTION("""COMPUTED_VALUE"""),"Heri (BT)")</f>
        <v>Heri (BT)</v>
      </c>
      <c r="F3818" s="14" t="str">
        <f>IFERROR(__xludf.DUMMYFUNCTION("""COMPUTED_VALUE"""),"SELESAI (VIA PERMOHONAN)")</f>
        <v>SELESAI (VIA PERMOHONAN)</v>
      </c>
      <c r="G3818" s="17">
        <f>IFERROR(__xludf.DUMMYFUNCTION("""COMPUTED_VALUE"""),45917.61379717593)</f>
        <v>45917.6138</v>
      </c>
      <c r="H3818" s="14" t="str">
        <f>IFERROR(__xludf.DUMMYFUNCTION("""COMPUTED_VALUE"""),"Eci (SU)")</f>
        <v>Eci (SU)</v>
      </c>
      <c r="I3818" s="13" t="str">
        <f>IFERROR(__xludf.DUMMYFUNCTION("""COMPUTED_VALUE"""),"SELESAI (VIA PERMOHONAN)")</f>
        <v>SELESAI (VIA PERMOHONAN)</v>
      </c>
      <c r="J3818" s="17">
        <f>IFERROR(__xludf.DUMMYFUNCTION("""COMPUTED_VALUE"""),45918.61408400463)</f>
        <v>45918.61408</v>
      </c>
      <c r="K3818" s="13" t="str">
        <f>IFERROR(__xludf.DUMMYFUNCTION("""COMPUTED_VALUE"""),"Selesai")</f>
        <v>Selesai</v>
      </c>
      <c r="L3818" s="17">
        <f>IFERROR(__xludf.DUMMYFUNCTION("""COMPUTED_VALUE"""),45918.61408400463)</f>
        <v>45918.61408</v>
      </c>
      <c r="M3818" s="13"/>
      <c r="N3818" s="13" t="str">
        <f>IFERROR(__xludf.DUMMYFUNCTION("""COMPUTED_VALUE"""),"")</f>
        <v/>
      </c>
      <c r="O3818" s="13" t="str">
        <f t="shared" si="1"/>
        <v/>
      </c>
    </row>
    <row r="3819" ht="22.5" customHeight="1">
      <c r="B3819" s="13">
        <f>IFERROR(__xludf.DUMMYFUNCTION("""COMPUTED_VALUE"""),3814.0)</f>
        <v>3814</v>
      </c>
      <c r="C3819" s="13" t="str">
        <f>IFERROR(__xludf.DUMMYFUNCTION("""COMPUTED_VALUE"""),"M. 9519/ Kedaton")</f>
        <v>M. 9519/ Kedaton</v>
      </c>
      <c r="D3819" s="13" t="str">
        <f>IFERROR(__xludf.DUMMYFUNCTION("""COMPUTED_VALUE"""),"K/27/010825/1")</f>
        <v>K/27/010825/1</v>
      </c>
      <c r="E3819" s="14" t="str">
        <f>IFERROR(__xludf.DUMMYFUNCTION("""COMPUTED_VALUE"""),"Heri (BT)")</f>
        <v>Heri (BT)</v>
      </c>
      <c r="F3819" s="14" t="str">
        <f>IFERROR(__xludf.DUMMYFUNCTION("""COMPUTED_VALUE"""),"SELESAI (VIA PERMOHONAN)")</f>
        <v>SELESAI (VIA PERMOHONAN)</v>
      </c>
      <c r="G3819" s="17">
        <f>IFERROR(__xludf.DUMMYFUNCTION("""COMPUTED_VALUE"""),45917.61397748842)</f>
        <v>45917.61398</v>
      </c>
      <c r="H3819" s="14" t="str">
        <f>IFERROR(__xludf.DUMMYFUNCTION("""COMPUTED_VALUE"""),"Eci (SU)")</f>
        <v>Eci (SU)</v>
      </c>
      <c r="I3819" s="13" t="str">
        <f>IFERROR(__xludf.DUMMYFUNCTION("""COMPUTED_VALUE"""),"SELESAI (VIA PERMOHONAN)")</f>
        <v>SELESAI (VIA PERMOHONAN)</v>
      </c>
      <c r="J3819" s="17">
        <f>IFERROR(__xludf.DUMMYFUNCTION("""COMPUTED_VALUE"""),45918.61420311342)</f>
        <v>45918.6142</v>
      </c>
      <c r="K3819" s="13" t="str">
        <f>IFERROR(__xludf.DUMMYFUNCTION("""COMPUTED_VALUE"""),"Selesai")</f>
        <v>Selesai</v>
      </c>
      <c r="L3819" s="17">
        <f>IFERROR(__xludf.DUMMYFUNCTION("""COMPUTED_VALUE"""),45918.61420311342)</f>
        <v>45918.6142</v>
      </c>
      <c r="M3819" s="13"/>
      <c r="N3819" s="13" t="str">
        <f>IFERROR(__xludf.DUMMYFUNCTION("""COMPUTED_VALUE"""),"")</f>
        <v/>
      </c>
      <c r="O3819" s="13" t="str">
        <f t="shared" si="1"/>
        <v/>
      </c>
    </row>
    <row r="3820" ht="22.5" customHeight="1">
      <c r="B3820" s="13">
        <f>IFERROR(__xludf.DUMMYFUNCTION("""COMPUTED_VALUE"""),3815.0)</f>
        <v>3815</v>
      </c>
      <c r="C3820" s="13" t="str">
        <f>IFERROR(__xludf.DUMMYFUNCTION("""COMPUTED_VALUE"""),"M 4291/ GUNUNG TERANG")</f>
        <v>M 4291/ GUNUNG TERANG</v>
      </c>
      <c r="D3820" s="13" t="str">
        <f>IFERROR(__xludf.DUMMYFUNCTION("""COMPUTED_VALUE"""),"K/37/100925/2")</f>
        <v>K/37/100925/2</v>
      </c>
      <c r="E3820" s="14" t="str">
        <f>IFERROR(__xludf.DUMMYFUNCTION("""COMPUTED_VALUE"""),"Heri (BT)")</f>
        <v>Heri (BT)</v>
      </c>
      <c r="F3820" s="14" t="str">
        <f>IFERROR(__xludf.DUMMYFUNCTION("""COMPUTED_VALUE"""),"SELESAI (VIA PERMOHONAN)")</f>
        <v>SELESAI (VIA PERMOHONAN)</v>
      </c>
      <c r="G3820" s="17">
        <f>IFERROR(__xludf.DUMMYFUNCTION("""COMPUTED_VALUE"""),45917.614094131946)</f>
        <v>45917.61409</v>
      </c>
      <c r="H3820" s="14" t="str">
        <f>IFERROR(__xludf.DUMMYFUNCTION("""COMPUTED_VALUE"""),"Eci (SU)")</f>
        <v>Eci (SU)</v>
      </c>
      <c r="I3820" s="13" t="str">
        <f>IFERROR(__xludf.DUMMYFUNCTION("""COMPUTED_VALUE"""),"SELESAI (VIA PERMOHONAN)")</f>
        <v>SELESAI (VIA PERMOHONAN)</v>
      </c>
      <c r="J3820" s="17">
        <f>IFERROR(__xludf.DUMMYFUNCTION("""COMPUTED_VALUE"""),45918.614313240745)</f>
        <v>45918.61431</v>
      </c>
      <c r="K3820" s="13" t="str">
        <f>IFERROR(__xludf.DUMMYFUNCTION("""COMPUTED_VALUE"""),"Selesai")</f>
        <v>Selesai</v>
      </c>
      <c r="L3820" s="17">
        <f>IFERROR(__xludf.DUMMYFUNCTION("""COMPUTED_VALUE"""),45918.614313240745)</f>
        <v>45918.61431</v>
      </c>
      <c r="M3820" s="13"/>
      <c r="N3820" s="13" t="str">
        <f>IFERROR(__xludf.DUMMYFUNCTION("""COMPUTED_VALUE"""),"")</f>
        <v/>
      </c>
      <c r="O3820" s="13" t="str">
        <f t="shared" si="1"/>
        <v/>
      </c>
    </row>
    <row r="3821" ht="22.5" customHeight="1">
      <c r="B3821" s="13">
        <f>IFERROR(__xludf.DUMMYFUNCTION("""COMPUTED_VALUE"""),3816.0)</f>
        <v>3816</v>
      </c>
      <c r="C3821" s="13" t="str">
        <f>IFERROR(__xludf.DUMMYFUNCTION("""COMPUTED_VALUE"""),"M 47/ GUNUNG AGUNG")</f>
        <v>M 47/ GUNUNG AGUNG</v>
      </c>
      <c r="D3821" s="13" t="str">
        <f>IFERROR(__xludf.DUMMYFUNCTION("""COMPUTED_VALUE"""),"K/11/290825/1")</f>
        <v>K/11/290825/1</v>
      </c>
      <c r="E3821" s="14" t="str">
        <f>IFERROR(__xludf.DUMMYFUNCTION("""COMPUTED_VALUE"""),"Heri (BT)")</f>
        <v>Heri (BT)</v>
      </c>
      <c r="F3821" s="14" t="str">
        <f>IFERROR(__xludf.DUMMYFUNCTION("""COMPUTED_VALUE"""),"SELESAI (VIA PERMOHONAN)")</f>
        <v>SELESAI (VIA PERMOHONAN)</v>
      </c>
      <c r="G3821" s="17">
        <f>IFERROR(__xludf.DUMMYFUNCTION("""COMPUTED_VALUE"""),45917.6143060301)</f>
        <v>45917.61431</v>
      </c>
      <c r="H3821" s="14" t="str">
        <f>IFERROR(__xludf.DUMMYFUNCTION("""COMPUTED_VALUE"""),"Eci (SU)")</f>
        <v>Eci (SU)</v>
      </c>
      <c r="I3821" s="13" t="str">
        <f>IFERROR(__xludf.DUMMYFUNCTION("""COMPUTED_VALUE"""),"SELESAI (VIA PERMOHONAN)")</f>
        <v>SELESAI (VIA PERMOHONAN)</v>
      </c>
      <c r="J3821" s="17">
        <f>IFERROR(__xludf.DUMMYFUNCTION("""COMPUTED_VALUE"""),45918.61438861111)</f>
        <v>45918.61439</v>
      </c>
      <c r="K3821" s="13" t="str">
        <f>IFERROR(__xludf.DUMMYFUNCTION("""COMPUTED_VALUE"""),"Selesai")</f>
        <v>Selesai</v>
      </c>
      <c r="L3821" s="17">
        <f>IFERROR(__xludf.DUMMYFUNCTION("""COMPUTED_VALUE"""),45918.61438861111)</f>
        <v>45918.61439</v>
      </c>
      <c r="M3821" s="13"/>
      <c r="N3821" s="13" t="str">
        <f>IFERROR(__xludf.DUMMYFUNCTION("""COMPUTED_VALUE"""),"")</f>
        <v/>
      </c>
      <c r="O3821" s="13" t="str">
        <f t="shared" si="1"/>
        <v/>
      </c>
    </row>
    <row r="3822" ht="22.5" customHeight="1">
      <c r="B3822" s="13">
        <f>IFERROR(__xludf.DUMMYFUNCTION("""COMPUTED_VALUE"""),3817.0)</f>
        <v>3817</v>
      </c>
      <c r="C3822" s="13" t="str">
        <f>IFERROR(__xludf.DUMMYFUNCTION("""COMPUTED_VALUE"""),"M. 1223/ PANJANG UTARA")</f>
        <v>M. 1223/ PANJANG UTARA</v>
      </c>
      <c r="D3822" s="13" t="str">
        <f>IFERROR(__xludf.DUMMYFUNCTION("""COMPUTED_VALUE"""),"K/25/150825/4")</f>
        <v>K/25/150825/4</v>
      </c>
      <c r="E3822" s="14" t="str">
        <f>IFERROR(__xludf.DUMMYFUNCTION("""COMPUTED_VALUE"""),"Heri (BT)")</f>
        <v>Heri (BT)</v>
      </c>
      <c r="F3822" s="14" t="str">
        <f>IFERROR(__xludf.DUMMYFUNCTION("""COMPUTED_VALUE"""),"SELESAI (VIA PERMOHONAN)")</f>
        <v>SELESAI (VIA PERMOHONAN)</v>
      </c>
      <c r="G3822" s="17">
        <f>IFERROR(__xludf.DUMMYFUNCTION("""COMPUTED_VALUE"""),45917.614404189815)</f>
        <v>45917.6144</v>
      </c>
      <c r="H3822" s="14" t="str">
        <f>IFERROR(__xludf.DUMMYFUNCTION("""COMPUTED_VALUE"""),"Eci (SU)")</f>
        <v>Eci (SU)</v>
      </c>
      <c r="I3822" s="13" t="str">
        <f>IFERROR(__xludf.DUMMYFUNCTION("""COMPUTED_VALUE"""),"SELESAI (VIA PERMOHONAN)")</f>
        <v>SELESAI (VIA PERMOHONAN)</v>
      </c>
      <c r="J3822" s="17">
        <f>IFERROR(__xludf.DUMMYFUNCTION("""COMPUTED_VALUE"""),45918.61468856482)</f>
        <v>45918.61469</v>
      </c>
      <c r="K3822" s="13" t="str">
        <f>IFERROR(__xludf.DUMMYFUNCTION("""COMPUTED_VALUE"""),"Selesai")</f>
        <v>Selesai</v>
      </c>
      <c r="L3822" s="17">
        <f>IFERROR(__xludf.DUMMYFUNCTION("""COMPUTED_VALUE"""),45918.61468856482)</f>
        <v>45918.61469</v>
      </c>
      <c r="M3822" s="13"/>
      <c r="N3822" s="13" t="str">
        <f>IFERROR(__xludf.DUMMYFUNCTION("""COMPUTED_VALUE"""),"")</f>
        <v/>
      </c>
      <c r="O3822" s="13" t="str">
        <f t="shared" si="1"/>
        <v/>
      </c>
    </row>
    <row r="3823" ht="22.5" customHeight="1">
      <c r="B3823" s="13">
        <f>IFERROR(__xludf.DUMMYFUNCTION("""COMPUTED_VALUE"""),3818.0)</f>
        <v>3818</v>
      </c>
      <c r="C3823" s="13" t="str">
        <f>IFERROR(__xludf.DUMMYFUNCTION("""COMPUTED_VALUE"""),"M.1168/PANJANG UTARA")</f>
        <v>M.1168/PANJANG UTARA</v>
      </c>
      <c r="D3823" s="13" t="str">
        <f>IFERROR(__xludf.DUMMYFUNCTION("""COMPUTED_VALUE"""),"K/27/200825/1")</f>
        <v>K/27/200825/1</v>
      </c>
      <c r="E3823" s="14" t="str">
        <f>IFERROR(__xludf.DUMMYFUNCTION("""COMPUTED_VALUE"""),"Admin (Migrasi)")</f>
        <v>Admin (Migrasi)</v>
      </c>
      <c r="F3823" s="14" t="str">
        <f>IFERROR(__xludf.DUMMYFUNCTION("""COMPUTED_VALUE"""),"SELESAI (VIA PERMOHONAN)")</f>
        <v>SELESAI (VIA PERMOHONAN)</v>
      </c>
      <c r="G3823" s="17">
        <f>IFERROR(__xludf.DUMMYFUNCTION("""COMPUTED_VALUE"""),45918.64636142361)</f>
        <v>45918.64636</v>
      </c>
      <c r="H3823" s="14" t="str">
        <f>IFERROR(__xludf.DUMMYFUNCTION("""COMPUTED_VALUE"""),"Admin (Migrasi)")</f>
        <v>Admin (Migrasi)</v>
      </c>
      <c r="I3823" s="13" t="str">
        <f>IFERROR(__xludf.DUMMYFUNCTION("""COMPUTED_VALUE"""),"SELESAI (VIA PERMOHONAN)")</f>
        <v>SELESAI (VIA PERMOHONAN)</v>
      </c>
      <c r="J3823" s="17">
        <f>IFERROR(__xludf.DUMMYFUNCTION("""COMPUTED_VALUE"""),45918.64639298611)</f>
        <v>45918.64639</v>
      </c>
      <c r="K3823" s="13" t="str">
        <f>IFERROR(__xludf.DUMMYFUNCTION("""COMPUTED_VALUE"""),"Selesai")</f>
        <v>Selesai</v>
      </c>
      <c r="L3823" s="17">
        <f>IFERROR(__xludf.DUMMYFUNCTION("""COMPUTED_VALUE"""),45918.64639298611)</f>
        <v>45918.64639</v>
      </c>
      <c r="M3823" s="13"/>
      <c r="N3823" s="13" t="str">
        <f>IFERROR(__xludf.DUMMYFUNCTION("""COMPUTED_VALUE"""),"")</f>
        <v/>
      </c>
      <c r="O3823" s="13" t="str">
        <f t="shared" si="1"/>
        <v/>
      </c>
    </row>
    <row r="3824" ht="22.5" customHeight="1">
      <c r="B3824" s="13">
        <f>IFERROR(__xludf.DUMMYFUNCTION("""COMPUTED_VALUE"""),3819.0)</f>
        <v>3819</v>
      </c>
      <c r="C3824" s="13" t="str">
        <f>IFERROR(__xludf.DUMMYFUNCTION("""COMPUTED_VALUE"""),"M. 13132/ BERINGIN RAYA")</f>
        <v>M. 13132/ BERINGIN RAYA</v>
      </c>
      <c r="D3824" s="13" t="str">
        <f>IFERROR(__xludf.DUMMYFUNCTION("""COMPUTED_VALUE"""),"K/22/200825/1")</f>
        <v>K/22/200825/1</v>
      </c>
      <c r="E3824" s="14" t="str">
        <f>IFERROR(__xludf.DUMMYFUNCTION("""COMPUTED_VALUE"""),"Admin (Migrasi)")</f>
        <v>Admin (Migrasi)</v>
      </c>
      <c r="F3824" s="14" t="str">
        <f>IFERROR(__xludf.DUMMYFUNCTION("""COMPUTED_VALUE"""),"SELESAI (VIA PERMOHONAN)")</f>
        <v>SELESAI (VIA PERMOHONAN)</v>
      </c>
      <c r="G3824" s="17">
        <f>IFERROR(__xludf.DUMMYFUNCTION("""COMPUTED_VALUE"""),45918.64654163194)</f>
        <v>45918.64654</v>
      </c>
      <c r="H3824" s="14" t="str">
        <f>IFERROR(__xludf.DUMMYFUNCTION("""COMPUTED_VALUE"""),"Admin (Migrasi)")</f>
        <v>Admin (Migrasi)</v>
      </c>
      <c r="I3824" s="13" t="str">
        <f>IFERROR(__xludf.DUMMYFUNCTION("""COMPUTED_VALUE"""),"SELESAI (VIA PERMOHONAN)")</f>
        <v>SELESAI (VIA PERMOHONAN)</v>
      </c>
      <c r="J3824" s="17">
        <f>IFERROR(__xludf.DUMMYFUNCTION("""COMPUTED_VALUE"""),45918.646600555556)</f>
        <v>45918.6466</v>
      </c>
      <c r="K3824" s="13" t="str">
        <f>IFERROR(__xludf.DUMMYFUNCTION("""COMPUTED_VALUE"""),"Selesai")</f>
        <v>Selesai</v>
      </c>
      <c r="L3824" s="17">
        <f>IFERROR(__xludf.DUMMYFUNCTION("""COMPUTED_VALUE"""),45918.646600555556)</f>
        <v>45918.6466</v>
      </c>
      <c r="M3824" s="13"/>
      <c r="N3824" s="13" t="str">
        <f>IFERROR(__xludf.DUMMYFUNCTION("""COMPUTED_VALUE"""),"")</f>
        <v/>
      </c>
      <c r="O3824" s="13" t="str">
        <f t="shared" si="1"/>
        <v/>
      </c>
    </row>
    <row r="3825" ht="22.5" customHeight="1">
      <c r="B3825" s="13">
        <f>IFERROR(__xludf.DUMMYFUNCTION("""COMPUTED_VALUE"""),3820.0)</f>
        <v>3820</v>
      </c>
      <c r="C3825" s="13" t="str">
        <f>IFERROR(__xludf.DUMMYFUNCTION("""COMPUTED_VALUE"""),"M. 5292/ LANGKAPURA")</f>
        <v>M. 5292/ LANGKAPURA</v>
      </c>
      <c r="D3825" s="13" t="str">
        <f>IFERROR(__xludf.DUMMYFUNCTION("""COMPUTED_VALUE"""),"K/25/210825/2")</f>
        <v>K/25/210825/2</v>
      </c>
      <c r="E3825" s="14" t="str">
        <f>IFERROR(__xludf.DUMMYFUNCTION("""COMPUTED_VALUE"""),"Admin (Migrasi)")</f>
        <v>Admin (Migrasi)</v>
      </c>
      <c r="F3825" s="14" t="str">
        <f>IFERROR(__xludf.DUMMYFUNCTION("""COMPUTED_VALUE"""),"SELESAI (VIA PERMOHONAN)")</f>
        <v>SELESAI (VIA PERMOHONAN)</v>
      </c>
      <c r="G3825" s="17">
        <f>IFERROR(__xludf.DUMMYFUNCTION("""COMPUTED_VALUE"""),45918.64671688658)</f>
        <v>45918.64672</v>
      </c>
      <c r="H3825" s="14" t="str">
        <f>IFERROR(__xludf.DUMMYFUNCTION("""COMPUTED_VALUE"""),"Admin (Migrasi)")</f>
        <v>Admin (Migrasi)</v>
      </c>
      <c r="I3825" s="13" t="str">
        <f>IFERROR(__xludf.DUMMYFUNCTION("""COMPUTED_VALUE"""),"SELESAI (VIA PERMOHONAN)")</f>
        <v>SELESAI (VIA PERMOHONAN)</v>
      </c>
      <c r="J3825" s="17">
        <f>IFERROR(__xludf.DUMMYFUNCTION("""COMPUTED_VALUE"""),45918.64678111111)</f>
        <v>45918.64678</v>
      </c>
      <c r="K3825" s="13" t="str">
        <f>IFERROR(__xludf.DUMMYFUNCTION("""COMPUTED_VALUE"""),"Selesai")</f>
        <v>Selesai</v>
      </c>
      <c r="L3825" s="17">
        <f>IFERROR(__xludf.DUMMYFUNCTION("""COMPUTED_VALUE"""),45918.64678111111)</f>
        <v>45918.64678</v>
      </c>
      <c r="M3825" s="13"/>
      <c r="N3825" s="13" t="str">
        <f>IFERROR(__xludf.DUMMYFUNCTION("""COMPUTED_VALUE"""),"")</f>
        <v/>
      </c>
      <c r="O3825" s="13" t="str">
        <f t="shared" si="1"/>
        <v/>
      </c>
    </row>
    <row r="3826" ht="22.5" customHeight="1">
      <c r="B3826" s="13">
        <f>IFERROR(__xludf.DUMMYFUNCTION("""COMPUTED_VALUE"""),3821.0)</f>
        <v>3821</v>
      </c>
      <c r="C3826" s="13" t="str">
        <f>IFERROR(__xludf.DUMMYFUNCTION("""COMPUTED_VALUE"""),"M 3235/ GEDONG AIR")</f>
        <v>M 3235/ GEDONG AIR</v>
      </c>
      <c r="D3826" s="13" t="str">
        <f>IFERROR(__xludf.DUMMYFUNCTION("""COMPUTED_VALUE"""),"K/34/280825/1")</f>
        <v>K/34/280825/1</v>
      </c>
      <c r="E3826" s="14" t="str">
        <f>IFERROR(__xludf.DUMMYFUNCTION("""COMPUTED_VALUE"""),"Admin (Migrasi)")</f>
        <v>Admin (Migrasi)</v>
      </c>
      <c r="F3826" s="14" t="str">
        <f>IFERROR(__xludf.DUMMYFUNCTION("""COMPUTED_VALUE"""),"SELESAI (VIA PERMOHONAN)")</f>
        <v>SELESAI (VIA PERMOHONAN)</v>
      </c>
      <c r="G3826" s="17">
        <f>IFERROR(__xludf.DUMMYFUNCTION("""COMPUTED_VALUE"""),45918.64690630787)</f>
        <v>45918.64691</v>
      </c>
      <c r="H3826" s="14" t="str">
        <f>IFERROR(__xludf.DUMMYFUNCTION("""COMPUTED_VALUE"""),"Admin (Migrasi)")</f>
        <v>Admin (Migrasi)</v>
      </c>
      <c r="I3826" s="13" t="str">
        <f>IFERROR(__xludf.DUMMYFUNCTION("""COMPUTED_VALUE"""),"SELESAI (VIA PERMOHONAN)")</f>
        <v>SELESAI (VIA PERMOHONAN)</v>
      </c>
      <c r="J3826" s="17">
        <f>IFERROR(__xludf.DUMMYFUNCTION("""COMPUTED_VALUE"""),45918.64693717593)</f>
        <v>45918.64694</v>
      </c>
      <c r="K3826" s="13" t="str">
        <f>IFERROR(__xludf.DUMMYFUNCTION("""COMPUTED_VALUE"""),"Selesai")</f>
        <v>Selesai</v>
      </c>
      <c r="L3826" s="17">
        <f>IFERROR(__xludf.DUMMYFUNCTION("""COMPUTED_VALUE"""),45918.64693717593)</f>
        <v>45918.64694</v>
      </c>
      <c r="M3826" s="13"/>
      <c r="N3826" s="13" t="str">
        <f>IFERROR(__xludf.DUMMYFUNCTION("""COMPUTED_VALUE"""),"")</f>
        <v/>
      </c>
      <c r="O3826" s="13" t="str">
        <f t="shared" si="1"/>
        <v/>
      </c>
    </row>
    <row r="3827" ht="22.5" customHeight="1">
      <c r="B3827" s="13">
        <f>IFERROR(__xludf.DUMMYFUNCTION("""COMPUTED_VALUE"""),3822.0)</f>
        <v>3822</v>
      </c>
      <c r="C3827" s="13" t="str">
        <f>IFERROR(__xludf.DUMMYFUNCTION("""COMPUTED_VALUE"""),"B. 2640/SUKARAME I")</f>
        <v>B. 2640/SUKARAME I</v>
      </c>
      <c r="D3827" s="13" t="str">
        <f>IFERROR(__xludf.DUMMYFUNCTION("""COMPUTED_VALUE"""),"K/26/110825/1")</f>
        <v>K/26/110825/1</v>
      </c>
      <c r="E3827" s="14" t="str">
        <f>IFERROR(__xludf.DUMMYFUNCTION("""COMPUTED_VALUE"""),"Admin (Migrasi)")</f>
        <v>Admin (Migrasi)</v>
      </c>
      <c r="F3827" s="14" t="str">
        <f>IFERROR(__xludf.DUMMYFUNCTION("""COMPUTED_VALUE"""),"SELESAI (VIA PERMOHONAN)")</f>
        <v>SELESAI (VIA PERMOHONAN)</v>
      </c>
      <c r="G3827" s="17">
        <f>IFERROR(__xludf.DUMMYFUNCTION("""COMPUTED_VALUE"""),45918.64732021991)</f>
        <v>45918.64732</v>
      </c>
      <c r="H3827" s="14" t="str">
        <f>IFERROR(__xludf.DUMMYFUNCTION("""COMPUTED_VALUE"""),"Admin (Migrasi)")</f>
        <v>Admin (Migrasi)</v>
      </c>
      <c r="I3827" s="13" t="str">
        <f>IFERROR(__xludf.DUMMYFUNCTION("""COMPUTED_VALUE"""),"SELESAI (VIA PERMOHONAN)")</f>
        <v>SELESAI (VIA PERMOHONAN)</v>
      </c>
      <c r="J3827" s="17">
        <f>IFERROR(__xludf.DUMMYFUNCTION("""COMPUTED_VALUE"""),45918.6473266088)</f>
        <v>45918.64733</v>
      </c>
      <c r="K3827" s="13" t="str">
        <f>IFERROR(__xludf.DUMMYFUNCTION("""COMPUTED_VALUE"""),"Selesai")</f>
        <v>Selesai</v>
      </c>
      <c r="L3827" s="17">
        <f>IFERROR(__xludf.DUMMYFUNCTION("""COMPUTED_VALUE"""),45918.6473266088)</f>
        <v>45918.64733</v>
      </c>
      <c r="M3827" s="13"/>
      <c r="N3827" s="13" t="str">
        <f>IFERROR(__xludf.DUMMYFUNCTION("""COMPUTED_VALUE"""),"")</f>
        <v/>
      </c>
      <c r="O3827" s="13" t="str">
        <f t="shared" si="1"/>
        <v/>
      </c>
    </row>
    <row r="3828" ht="22.5" customHeight="1">
      <c r="B3828" s="13">
        <f>IFERROR(__xludf.DUMMYFUNCTION("""COMPUTED_VALUE"""),3823.0)</f>
        <v>3823</v>
      </c>
      <c r="C3828" s="13" t="str">
        <f>IFERROR(__xludf.DUMMYFUNCTION("""COMPUTED_VALUE"""),"B. 2191/SUKARAME I")</f>
        <v>B. 2191/SUKARAME I</v>
      </c>
      <c r="D3828" s="13" t="str">
        <f>IFERROR(__xludf.DUMMYFUNCTION("""COMPUTED_VALUE"""),"L/41/270825/1")</f>
        <v>L/41/270825/1</v>
      </c>
      <c r="E3828" s="14" t="str">
        <f>IFERROR(__xludf.DUMMYFUNCTION("""COMPUTED_VALUE"""),"Heri (BT)")</f>
        <v>Heri (BT)</v>
      </c>
      <c r="F3828" s="14" t="str">
        <f>IFERROR(__xludf.DUMMYFUNCTION("""COMPUTED_VALUE"""),"SELESAI (VIA PERMOHONAN)")</f>
        <v>SELESAI (VIA PERMOHONAN)</v>
      </c>
      <c r="G3828" s="17">
        <f>IFERROR(__xludf.DUMMYFUNCTION("""COMPUTED_VALUE"""),45919.403098842595)</f>
        <v>45919.4031</v>
      </c>
      <c r="H3828" s="14" t="str">
        <f>IFERROR(__xludf.DUMMYFUNCTION("""COMPUTED_VALUE"""),"Eci (SU)")</f>
        <v>Eci (SU)</v>
      </c>
      <c r="I3828" s="13" t="str">
        <f>IFERROR(__xludf.DUMMYFUNCTION("""COMPUTED_VALUE"""),"SELESAI (VIA PERMOHONAN)")</f>
        <v>SELESAI (VIA PERMOHONAN)</v>
      </c>
      <c r="J3828" s="17">
        <f>IFERROR(__xludf.DUMMYFUNCTION("""COMPUTED_VALUE"""),45922.55431716435)</f>
        <v>45922.55432</v>
      </c>
      <c r="K3828" s="13" t="str">
        <f>IFERROR(__xludf.DUMMYFUNCTION("""COMPUTED_VALUE"""),"Selesai")</f>
        <v>Selesai</v>
      </c>
      <c r="L3828" s="17">
        <f>IFERROR(__xludf.DUMMYFUNCTION("""COMPUTED_VALUE"""),45922.55431716435)</f>
        <v>45922.55432</v>
      </c>
      <c r="M3828" s="13"/>
      <c r="N3828" s="13" t="str">
        <f>IFERROR(__xludf.DUMMYFUNCTION("""COMPUTED_VALUE"""),"")</f>
        <v/>
      </c>
      <c r="O3828" s="13" t="str">
        <f t="shared" si="1"/>
        <v/>
      </c>
    </row>
    <row r="3829" ht="22.5" customHeight="1">
      <c r="B3829" s="13">
        <f>IFERROR(__xludf.DUMMYFUNCTION("""COMPUTED_VALUE"""),3824.0)</f>
        <v>3824</v>
      </c>
      <c r="C3829" s="13" t="str">
        <f>IFERROR(__xludf.DUMMYFUNCTION("""COMPUTED_VALUE"""),"B. 2188/SUKARAME I")</f>
        <v>B. 2188/SUKARAME I</v>
      </c>
      <c r="D3829" s="13" t="str">
        <f>IFERROR(__xludf.DUMMYFUNCTION("""COMPUTED_VALUE"""),"L/65/220825/1")</f>
        <v>L/65/220825/1</v>
      </c>
      <c r="E3829" s="14" t="str">
        <f>IFERROR(__xludf.DUMMYFUNCTION("""COMPUTED_VALUE"""),"Heri (BT)")</f>
        <v>Heri (BT)</v>
      </c>
      <c r="F3829" s="14" t="str">
        <f>IFERROR(__xludf.DUMMYFUNCTION("""COMPUTED_VALUE"""),"SELESAI (VIA PERMOHONAN)")</f>
        <v>SELESAI (VIA PERMOHONAN)</v>
      </c>
      <c r="G3829" s="17">
        <f>IFERROR(__xludf.DUMMYFUNCTION("""COMPUTED_VALUE"""),45919.403260879626)</f>
        <v>45919.40326</v>
      </c>
      <c r="H3829" s="14" t="str">
        <f>IFERROR(__xludf.DUMMYFUNCTION("""COMPUTED_VALUE"""),"Eci (SU)")</f>
        <v>Eci (SU)</v>
      </c>
      <c r="I3829" s="13" t="str">
        <f>IFERROR(__xludf.DUMMYFUNCTION("""COMPUTED_VALUE"""),"SELESAI (VIA PERMOHONAN)")</f>
        <v>SELESAI (VIA PERMOHONAN)</v>
      </c>
      <c r="J3829" s="17">
        <f>IFERROR(__xludf.DUMMYFUNCTION("""COMPUTED_VALUE"""),45922.554204479165)</f>
        <v>45922.5542</v>
      </c>
      <c r="K3829" s="13" t="str">
        <f>IFERROR(__xludf.DUMMYFUNCTION("""COMPUTED_VALUE"""),"Selesai")</f>
        <v>Selesai</v>
      </c>
      <c r="L3829" s="17">
        <f>IFERROR(__xludf.DUMMYFUNCTION("""COMPUTED_VALUE"""),45922.554204479165)</f>
        <v>45922.5542</v>
      </c>
      <c r="M3829" s="13"/>
      <c r="N3829" s="13" t="str">
        <f>IFERROR(__xludf.DUMMYFUNCTION("""COMPUTED_VALUE"""),"")</f>
        <v/>
      </c>
      <c r="O3829" s="13" t="str">
        <f t="shared" si="1"/>
        <v/>
      </c>
    </row>
    <row r="3830" ht="22.5" customHeight="1">
      <c r="B3830" s="13">
        <f>IFERROR(__xludf.DUMMYFUNCTION("""COMPUTED_VALUE"""),3825.0)</f>
        <v>3825</v>
      </c>
      <c r="C3830" s="13" t="str">
        <f>IFERROR(__xludf.DUMMYFUNCTION("""COMPUTED_VALUE"""),"M 6221/ WAY KANDIS")</f>
        <v>M 6221/ WAY KANDIS</v>
      </c>
      <c r="D3830" s="13" t="str">
        <f>IFERROR(__xludf.DUMMYFUNCTION("""COMPUTED_VALUE"""),"K/24/290825/3")</f>
        <v>K/24/290825/3</v>
      </c>
      <c r="E3830" s="14" t="str">
        <f>IFERROR(__xludf.DUMMYFUNCTION("""COMPUTED_VALUE"""),"Heri (BT)")</f>
        <v>Heri (BT)</v>
      </c>
      <c r="F3830" s="14" t="str">
        <f>IFERROR(__xludf.DUMMYFUNCTION("""COMPUTED_VALUE"""),"SELESAI (VIA PERMOHONAN)")</f>
        <v>SELESAI (VIA PERMOHONAN)</v>
      </c>
      <c r="G3830" s="17">
        <f>IFERROR(__xludf.DUMMYFUNCTION("""COMPUTED_VALUE"""),45919.40347320602)</f>
        <v>45919.40347</v>
      </c>
      <c r="H3830" s="14" t="str">
        <f>IFERROR(__xludf.DUMMYFUNCTION("""COMPUTED_VALUE"""),"Eci (SU)")</f>
        <v>Eci (SU)</v>
      </c>
      <c r="I3830" s="13" t="str">
        <f>IFERROR(__xludf.DUMMYFUNCTION("""COMPUTED_VALUE"""),"SELESAI (VIA PERMOHONAN)")</f>
        <v>SELESAI (VIA PERMOHONAN)</v>
      </c>
      <c r="J3830" s="17">
        <f>IFERROR(__xludf.DUMMYFUNCTION("""COMPUTED_VALUE"""),45922.55405826389)</f>
        <v>45922.55406</v>
      </c>
      <c r="K3830" s="13" t="str">
        <f>IFERROR(__xludf.DUMMYFUNCTION("""COMPUTED_VALUE"""),"Selesai")</f>
        <v>Selesai</v>
      </c>
      <c r="L3830" s="17">
        <f>IFERROR(__xludf.DUMMYFUNCTION("""COMPUTED_VALUE"""),45922.55405826389)</f>
        <v>45922.55406</v>
      </c>
      <c r="M3830" s="13"/>
      <c r="N3830" s="13" t="str">
        <f>IFERROR(__xludf.DUMMYFUNCTION("""COMPUTED_VALUE"""),"")</f>
        <v/>
      </c>
      <c r="O3830" s="13" t="str">
        <f t="shared" si="1"/>
        <v/>
      </c>
    </row>
    <row r="3831" ht="22.5" customHeight="1">
      <c r="B3831" s="13">
        <f>IFERROR(__xludf.DUMMYFUNCTION("""COMPUTED_VALUE"""),3826.0)</f>
        <v>3826</v>
      </c>
      <c r="C3831" s="13" t="str">
        <f>IFERROR(__xludf.DUMMYFUNCTION("""COMPUTED_VALUE"""),"M 4490/ GUNUNG TERANG")</f>
        <v>M 4490/ GUNUNG TERANG</v>
      </c>
      <c r="D3831" s="13" t="str">
        <f>IFERROR(__xludf.DUMMYFUNCTION("""COMPUTED_VALUE"""),"K/20/290825/1")</f>
        <v>K/20/290825/1</v>
      </c>
      <c r="E3831" s="14" t="str">
        <f>IFERROR(__xludf.DUMMYFUNCTION("""COMPUTED_VALUE"""),"Heri (BT)")</f>
        <v>Heri (BT)</v>
      </c>
      <c r="F3831" s="14" t="str">
        <f>IFERROR(__xludf.DUMMYFUNCTION("""COMPUTED_VALUE"""),"SELESAI (VIA PERMOHONAN)")</f>
        <v>SELESAI (VIA PERMOHONAN)</v>
      </c>
      <c r="G3831" s="17">
        <f>IFERROR(__xludf.DUMMYFUNCTION("""COMPUTED_VALUE"""),45919.40365299769)</f>
        <v>45919.40365</v>
      </c>
      <c r="H3831" s="14" t="str">
        <f>IFERROR(__xludf.DUMMYFUNCTION("""COMPUTED_VALUE"""),"Eci (SU)")</f>
        <v>Eci (SU)</v>
      </c>
      <c r="I3831" s="13" t="str">
        <f>IFERROR(__xludf.DUMMYFUNCTION("""COMPUTED_VALUE"""),"SELESAI (VIA PERMOHONAN)")</f>
        <v>SELESAI (VIA PERMOHONAN)</v>
      </c>
      <c r="J3831" s="17">
        <f>IFERROR(__xludf.DUMMYFUNCTION("""COMPUTED_VALUE"""),45922.554661284725)</f>
        <v>45922.55466</v>
      </c>
      <c r="K3831" s="13" t="str">
        <f>IFERROR(__xludf.DUMMYFUNCTION("""COMPUTED_VALUE"""),"Selesai")</f>
        <v>Selesai</v>
      </c>
      <c r="L3831" s="17">
        <f>IFERROR(__xludf.DUMMYFUNCTION("""COMPUTED_VALUE"""),45922.554661284725)</f>
        <v>45922.55466</v>
      </c>
      <c r="M3831" s="13"/>
      <c r="N3831" s="13" t="str">
        <f>IFERROR(__xludf.DUMMYFUNCTION("""COMPUTED_VALUE"""),"")</f>
        <v/>
      </c>
      <c r="O3831" s="13" t="str">
        <f t="shared" si="1"/>
        <v/>
      </c>
    </row>
    <row r="3832" ht="22.5" customHeight="1">
      <c r="B3832" s="13">
        <f>IFERROR(__xludf.DUMMYFUNCTION("""COMPUTED_VALUE"""),3827.0)</f>
        <v>3827</v>
      </c>
      <c r="C3832" s="13" t="str">
        <f>IFERROR(__xludf.DUMMYFUNCTION("""COMPUTED_VALUE"""),"M.14522/SUKARAME")</f>
        <v>M.14522/SUKARAME</v>
      </c>
      <c r="D3832" s="13" t="str">
        <f>IFERROR(__xludf.DUMMYFUNCTION("""COMPUTED_VALUE"""),"K/4/290825/2")</f>
        <v>K/4/290825/2</v>
      </c>
      <c r="E3832" s="14" t="str">
        <f>IFERROR(__xludf.DUMMYFUNCTION("""COMPUTED_VALUE"""),"Heri (BT)")</f>
        <v>Heri (BT)</v>
      </c>
      <c r="F3832" s="14" t="str">
        <f>IFERROR(__xludf.DUMMYFUNCTION("""COMPUTED_VALUE"""),"SELESAI (VIA PERMOHONAN)")</f>
        <v>SELESAI (VIA PERMOHONAN)</v>
      </c>
      <c r="G3832" s="17">
        <f>IFERROR(__xludf.DUMMYFUNCTION("""COMPUTED_VALUE"""),45919.40385456018)</f>
        <v>45919.40385</v>
      </c>
      <c r="H3832" s="14" t="str">
        <f>IFERROR(__xludf.DUMMYFUNCTION("""COMPUTED_VALUE"""),"Eci (SU)")</f>
        <v>Eci (SU)</v>
      </c>
      <c r="I3832" s="13" t="str">
        <f>IFERROR(__xludf.DUMMYFUNCTION("""COMPUTED_VALUE"""),"SELESAI (VIA PERMOHONAN)")</f>
        <v>SELESAI (VIA PERMOHONAN)</v>
      </c>
      <c r="J3832" s="17">
        <f>IFERROR(__xludf.DUMMYFUNCTION("""COMPUTED_VALUE"""),45922.5545658912)</f>
        <v>45922.55457</v>
      </c>
      <c r="K3832" s="13" t="str">
        <f>IFERROR(__xludf.DUMMYFUNCTION("""COMPUTED_VALUE"""),"Selesai")</f>
        <v>Selesai</v>
      </c>
      <c r="L3832" s="17">
        <f>IFERROR(__xludf.DUMMYFUNCTION("""COMPUTED_VALUE"""),45922.5545658912)</f>
        <v>45922.55457</v>
      </c>
      <c r="M3832" s="13"/>
      <c r="N3832" s="13" t="str">
        <f>IFERROR(__xludf.DUMMYFUNCTION("""COMPUTED_VALUE"""),"")</f>
        <v/>
      </c>
      <c r="O3832" s="13" t="str">
        <f t="shared" si="1"/>
        <v/>
      </c>
    </row>
    <row r="3833" ht="22.5" customHeight="1">
      <c r="B3833" s="13">
        <f>IFERROR(__xludf.DUMMYFUNCTION("""COMPUTED_VALUE"""),3828.0)</f>
        <v>3828</v>
      </c>
      <c r="C3833" s="13" t="str">
        <f>IFERROR(__xludf.DUMMYFUNCTION("""COMPUTED_VALUE"""),"KELURAHAN KURIPAN")</f>
        <v>KELURAHAN KURIPAN</v>
      </c>
      <c r="D3833" s="13" t="str">
        <f>IFERROR(__xludf.DUMMYFUNCTION("""COMPUTED_VALUE"""),"L/9/080925/1")</f>
        <v>L/9/080925/1</v>
      </c>
      <c r="E3833" s="14" t="str">
        <f>IFERROR(__xludf.DUMMYFUNCTION("""COMPUTED_VALUE"""),"Heri (BT)")</f>
        <v>Heri (BT)</v>
      </c>
      <c r="F3833" s="14" t="str">
        <f>IFERROR(__xludf.DUMMYFUNCTION("""COMPUTED_VALUE"""),"SELESAI (VIA PERMOHONAN)")</f>
        <v>SELESAI (VIA PERMOHONAN)</v>
      </c>
      <c r="G3833" s="17">
        <f>IFERROR(__xludf.DUMMYFUNCTION("""COMPUTED_VALUE"""),45919.404373819445)</f>
        <v>45919.40437</v>
      </c>
      <c r="H3833" s="14" t="str">
        <f>IFERROR(__xludf.DUMMYFUNCTION("""COMPUTED_VALUE"""),"Eci (SU)")</f>
        <v>Eci (SU)</v>
      </c>
      <c r="I3833" s="13" t="str">
        <f>IFERROR(__xludf.DUMMYFUNCTION("""COMPUTED_VALUE"""),"SELESAI (VIA PERMOHONAN)")</f>
        <v>SELESAI (VIA PERMOHONAN)</v>
      </c>
      <c r="J3833" s="17">
        <f>IFERROR(__xludf.DUMMYFUNCTION("""COMPUTED_VALUE"""),45922.55386792824)</f>
        <v>45922.55387</v>
      </c>
      <c r="K3833" s="13" t="str">
        <f>IFERROR(__xludf.DUMMYFUNCTION("""COMPUTED_VALUE"""),"Selesai")</f>
        <v>Selesai</v>
      </c>
      <c r="L3833" s="17">
        <f>IFERROR(__xludf.DUMMYFUNCTION("""COMPUTED_VALUE"""),45922.55386792824)</f>
        <v>45922.55387</v>
      </c>
      <c r="M3833" s="13"/>
      <c r="N3833" s="13" t="str">
        <f>IFERROR(__xludf.DUMMYFUNCTION("""COMPUTED_VALUE"""),"")</f>
        <v/>
      </c>
      <c r="O3833" s="13" t="str">
        <f t="shared" si="1"/>
        <v/>
      </c>
    </row>
    <row r="3834" ht="22.5" customHeight="1">
      <c r="B3834" s="13">
        <f>IFERROR(__xludf.DUMMYFUNCTION("""COMPUTED_VALUE"""),3829.0)</f>
        <v>3829</v>
      </c>
      <c r="C3834" s="13" t="str">
        <f>IFERROR(__xludf.DUMMYFUNCTION("""COMPUTED_VALUE"""),"M. 1045/GUNUNG SULAH")</f>
        <v>M. 1045/GUNUNG SULAH</v>
      </c>
      <c r="D3834" s="13" t="str">
        <f>IFERROR(__xludf.DUMMYFUNCTION("""COMPUTED_VALUE"""),"K/43/090925/1")</f>
        <v>K/43/090925/1</v>
      </c>
      <c r="E3834" s="14" t="str">
        <f>IFERROR(__xludf.DUMMYFUNCTION("""COMPUTED_VALUE"""),"Heri (BT)")</f>
        <v>Heri (BT)</v>
      </c>
      <c r="F3834" s="14" t="str">
        <f>IFERROR(__xludf.DUMMYFUNCTION("""COMPUTED_VALUE"""),"SELESAI (VIA PERMOHONAN)")</f>
        <v>SELESAI (VIA PERMOHONAN)</v>
      </c>
      <c r="G3834" s="17">
        <f>IFERROR(__xludf.DUMMYFUNCTION("""COMPUTED_VALUE"""),45919.404798206015)</f>
        <v>45919.4048</v>
      </c>
      <c r="H3834" s="14" t="str">
        <f>IFERROR(__xludf.DUMMYFUNCTION("""COMPUTED_VALUE"""),"Eci (SU)")</f>
        <v>Eci (SU)</v>
      </c>
      <c r="I3834" s="13" t="str">
        <f>IFERROR(__xludf.DUMMYFUNCTION("""COMPUTED_VALUE"""),"SELESAI (VIA PERMOHONAN)")</f>
        <v>SELESAI (VIA PERMOHONAN)</v>
      </c>
      <c r="J3834" s="17">
        <f>IFERROR(__xludf.DUMMYFUNCTION("""COMPUTED_VALUE"""),45922.5539468287)</f>
        <v>45922.55395</v>
      </c>
      <c r="K3834" s="13" t="str">
        <f>IFERROR(__xludf.DUMMYFUNCTION("""COMPUTED_VALUE"""),"Selesai")</f>
        <v>Selesai</v>
      </c>
      <c r="L3834" s="17">
        <f>IFERROR(__xludf.DUMMYFUNCTION("""COMPUTED_VALUE"""),45922.5539468287)</f>
        <v>45922.55395</v>
      </c>
      <c r="M3834" s="13"/>
      <c r="N3834" s="13" t="str">
        <f>IFERROR(__xludf.DUMMYFUNCTION("""COMPUTED_VALUE"""),"")</f>
        <v/>
      </c>
      <c r="O3834" s="13" t="str">
        <f t="shared" si="1"/>
        <v/>
      </c>
    </row>
    <row r="3835" ht="22.5" customHeight="1">
      <c r="B3835" s="13">
        <f>IFERROR(__xludf.DUMMYFUNCTION("""COMPUTED_VALUE"""),3830.0)</f>
        <v>3830</v>
      </c>
      <c r="C3835" s="13" t="str">
        <f>IFERROR(__xludf.DUMMYFUNCTION("""COMPUTED_VALUE"""),"M. 2963/LANGKAPURA")</f>
        <v>M. 2963/LANGKAPURA</v>
      </c>
      <c r="D3835" s="13" t="str">
        <f>IFERROR(__xludf.DUMMYFUNCTION("""COMPUTED_VALUE"""),"K/34/260825/1")</f>
        <v>K/34/260825/1</v>
      </c>
      <c r="E3835" s="14" t="str">
        <f>IFERROR(__xludf.DUMMYFUNCTION("""COMPUTED_VALUE"""),"Heri (BT)")</f>
        <v>Heri (BT)</v>
      </c>
      <c r="F3835" s="14" t="str">
        <f>IFERROR(__xludf.DUMMYFUNCTION("""COMPUTED_VALUE"""),"SELESAI (VIA PERMOHONAN)")</f>
        <v>SELESAI (VIA PERMOHONAN)</v>
      </c>
      <c r="G3835" s="17">
        <f>IFERROR(__xludf.DUMMYFUNCTION("""COMPUTED_VALUE"""),45919.40504158565)</f>
        <v>45919.40504</v>
      </c>
      <c r="H3835" s="14" t="str">
        <f>IFERROR(__xludf.DUMMYFUNCTION("""COMPUTED_VALUE"""),"Eci (SU)")</f>
        <v>Eci (SU)</v>
      </c>
      <c r="I3835" s="13" t="str">
        <f>IFERROR(__xludf.DUMMYFUNCTION("""COMPUTED_VALUE"""),"SELESAI (VIA PERMOHONAN)")</f>
        <v>SELESAI (VIA PERMOHONAN)</v>
      </c>
      <c r="J3835" s="17">
        <f>IFERROR(__xludf.DUMMYFUNCTION("""COMPUTED_VALUE"""),45922.553701805555)</f>
        <v>45922.5537</v>
      </c>
      <c r="K3835" s="13" t="str">
        <f>IFERROR(__xludf.DUMMYFUNCTION("""COMPUTED_VALUE"""),"Selesai")</f>
        <v>Selesai</v>
      </c>
      <c r="L3835" s="17">
        <f>IFERROR(__xludf.DUMMYFUNCTION("""COMPUTED_VALUE"""),45922.553701805555)</f>
        <v>45922.5537</v>
      </c>
      <c r="M3835" s="13"/>
      <c r="N3835" s="13" t="str">
        <f>IFERROR(__xludf.DUMMYFUNCTION("""COMPUTED_VALUE"""),"")</f>
        <v/>
      </c>
      <c r="O3835" s="13" t="str">
        <f t="shared" si="1"/>
        <v/>
      </c>
    </row>
    <row r="3836" ht="22.5" customHeight="1">
      <c r="B3836" s="13">
        <f>IFERROR(__xludf.DUMMYFUNCTION("""COMPUTED_VALUE"""),3831.0)</f>
        <v>3831</v>
      </c>
      <c r="C3836" s="13" t="str">
        <f>IFERROR(__xludf.DUMMYFUNCTION("""COMPUTED_VALUE"""),"M 41/ LANGKAPURA BARU")</f>
        <v>M 41/ LANGKAPURA BARU</v>
      </c>
      <c r="D3836" s="13" t="str">
        <f>IFERROR(__xludf.DUMMYFUNCTION("""COMPUTED_VALUE"""),"K/22/280825/2")</f>
        <v>K/22/280825/2</v>
      </c>
      <c r="E3836" s="14" t="str">
        <f>IFERROR(__xludf.DUMMYFUNCTION("""COMPUTED_VALUE"""),"Admin (Migrasi)")</f>
        <v>Admin (Migrasi)</v>
      </c>
      <c r="F3836" s="14" t="str">
        <f>IFERROR(__xludf.DUMMYFUNCTION("""COMPUTED_VALUE"""),"SELESAI (VIA PERMOHONAN)")</f>
        <v>SELESAI (VIA PERMOHONAN)</v>
      </c>
      <c r="G3836" s="17">
        <f>IFERROR(__xludf.DUMMYFUNCTION("""COMPUTED_VALUE"""),45922.47446601852)</f>
        <v>45922.47447</v>
      </c>
      <c r="H3836" s="14" t="str">
        <f>IFERROR(__xludf.DUMMYFUNCTION("""COMPUTED_VALUE"""),"Admin (Migrasi)")</f>
        <v>Admin (Migrasi)</v>
      </c>
      <c r="I3836" s="13" t="str">
        <f>IFERROR(__xludf.DUMMYFUNCTION("""COMPUTED_VALUE"""),"SELESAI (VIA PERMOHONAN)")</f>
        <v>SELESAI (VIA PERMOHONAN)</v>
      </c>
      <c r="J3836" s="17">
        <f>IFERROR(__xludf.DUMMYFUNCTION("""COMPUTED_VALUE"""),45922.47447465278)</f>
        <v>45922.47447</v>
      </c>
      <c r="K3836" s="13" t="str">
        <f>IFERROR(__xludf.DUMMYFUNCTION("""COMPUTED_VALUE"""),"Selesai")</f>
        <v>Selesai</v>
      </c>
      <c r="L3836" s="17">
        <f>IFERROR(__xludf.DUMMYFUNCTION("""COMPUTED_VALUE"""),45922.47447465278)</f>
        <v>45922.47447</v>
      </c>
      <c r="M3836" s="13"/>
      <c r="N3836" s="13" t="str">
        <f>IFERROR(__xludf.DUMMYFUNCTION("""COMPUTED_VALUE"""),"")</f>
        <v/>
      </c>
      <c r="O3836" s="13" t="str">
        <f t="shared" si="1"/>
        <v/>
      </c>
    </row>
    <row r="3837" ht="22.5" customHeight="1">
      <c r="B3837" s="13">
        <f>IFERROR(__xludf.DUMMYFUNCTION("""COMPUTED_VALUE"""),3832.0)</f>
        <v>3832</v>
      </c>
      <c r="C3837" s="13" t="str">
        <f>IFERROR(__xludf.DUMMYFUNCTION("""COMPUTED_VALUE"""),"M. 408/LABUHAN RATU RAYA")</f>
        <v>M. 408/LABUHAN RATU RAYA</v>
      </c>
      <c r="D3837" s="13" t="str">
        <f>IFERROR(__xludf.DUMMYFUNCTION("""COMPUTED_VALUE"""),"K/39/020925/1")</f>
        <v>K/39/020925/1</v>
      </c>
      <c r="E3837" s="14" t="str">
        <f>IFERROR(__xludf.DUMMYFUNCTION("""COMPUTED_VALUE"""),"Admin (Migrasi)")</f>
        <v>Admin (Migrasi)</v>
      </c>
      <c r="F3837" s="14" t="str">
        <f>IFERROR(__xludf.DUMMYFUNCTION("""COMPUTED_VALUE"""),"SELESAI (VIA PERMOHONAN)")</f>
        <v>SELESAI (VIA PERMOHONAN)</v>
      </c>
      <c r="G3837" s="17">
        <f>IFERROR(__xludf.DUMMYFUNCTION("""COMPUTED_VALUE"""),45922.47467038194)</f>
        <v>45922.47467</v>
      </c>
      <c r="H3837" s="14" t="str">
        <f>IFERROR(__xludf.DUMMYFUNCTION("""COMPUTED_VALUE"""),"Admin (Migrasi)")</f>
        <v>Admin (Migrasi)</v>
      </c>
      <c r="I3837" s="13" t="str">
        <f>IFERROR(__xludf.DUMMYFUNCTION("""COMPUTED_VALUE"""),"SELESAI (VIA PERMOHONAN)")</f>
        <v>SELESAI (VIA PERMOHONAN)</v>
      </c>
      <c r="J3837" s="17">
        <f>IFERROR(__xludf.DUMMYFUNCTION("""COMPUTED_VALUE"""),45922.47469607639)</f>
        <v>45922.4747</v>
      </c>
      <c r="K3837" s="13" t="str">
        <f>IFERROR(__xludf.DUMMYFUNCTION("""COMPUTED_VALUE"""),"Selesai")</f>
        <v>Selesai</v>
      </c>
      <c r="L3837" s="17">
        <f>IFERROR(__xludf.DUMMYFUNCTION("""COMPUTED_VALUE"""),45922.47469607639)</f>
        <v>45922.4747</v>
      </c>
      <c r="M3837" s="13"/>
      <c r="N3837" s="13" t="str">
        <f>IFERROR(__xludf.DUMMYFUNCTION("""COMPUTED_VALUE"""),"")</f>
        <v/>
      </c>
      <c r="O3837" s="13" t="str">
        <f t="shared" si="1"/>
        <v/>
      </c>
    </row>
    <row r="3838" ht="22.5" customHeight="1">
      <c r="B3838" s="13">
        <f>IFERROR(__xludf.DUMMYFUNCTION("""COMPUTED_VALUE"""),3833.0)</f>
        <v>3833</v>
      </c>
      <c r="C3838" s="13" t="str">
        <f>IFERROR(__xludf.DUMMYFUNCTION("""COMPUTED_VALUE"""),"M. 6262/TANJUNG SENANG")</f>
        <v>M. 6262/TANJUNG SENANG</v>
      </c>
      <c r="D3838" s="13" t="str">
        <f>IFERROR(__xludf.DUMMYFUNCTION("""COMPUTED_VALUE"""),"K/51/220825/4")</f>
        <v>K/51/220825/4</v>
      </c>
      <c r="E3838" s="14" t="str">
        <f>IFERROR(__xludf.DUMMYFUNCTION("""COMPUTED_VALUE"""),"Admin (Migrasi)")</f>
        <v>Admin (Migrasi)</v>
      </c>
      <c r="F3838" s="14" t="str">
        <f>IFERROR(__xludf.DUMMYFUNCTION("""COMPUTED_VALUE"""),"SELESAI (VIA PERMOHONAN)")</f>
        <v>SELESAI (VIA PERMOHONAN)</v>
      </c>
      <c r="G3838" s="17">
        <f>IFERROR(__xludf.DUMMYFUNCTION("""COMPUTED_VALUE"""),45922.47491373842)</f>
        <v>45922.47491</v>
      </c>
      <c r="H3838" s="14" t="str">
        <f>IFERROR(__xludf.DUMMYFUNCTION("""COMPUTED_VALUE"""),"Admin (Migrasi)")</f>
        <v>Admin (Migrasi)</v>
      </c>
      <c r="I3838" s="13" t="str">
        <f>IFERROR(__xludf.DUMMYFUNCTION("""COMPUTED_VALUE"""),"SELESAI (VIA PERMOHONAN)")</f>
        <v>SELESAI (VIA PERMOHONAN)</v>
      </c>
      <c r="J3838" s="17">
        <f>IFERROR(__xludf.DUMMYFUNCTION("""COMPUTED_VALUE"""),45922.474913750004)</f>
        <v>45922.47491</v>
      </c>
      <c r="K3838" s="13" t="str">
        <f>IFERROR(__xludf.DUMMYFUNCTION("""COMPUTED_VALUE"""),"Selesai")</f>
        <v>Selesai</v>
      </c>
      <c r="L3838" s="17">
        <f>IFERROR(__xludf.DUMMYFUNCTION("""COMPUTED_VALUE"""),45922.474913750004)</f>
        <v>45922.47491</v>
      </c>
      <c r="M3838" s="13"/>
      <c r="N3838" s="13" t="str">
        <f>IFERROR(__xludf.DUMMYFUNCTION("""COMPUTED_VALUE"""),"")</f>
        <v/>
      </c>
      <c r="O3838" s="13" t="str">
        <f t="shared" si="1"/>
        <v/>
      </c>
    </row>
    <row r="3839" ht="22.5" customHeight="1">
      <c r="B3839" s="13">
        <f>IFERROR(__xludf.DUMMYFUNCTION("""COMPUTED_VALUE"""),3834.0)</f>
        <v>3834</v>
      </c>
      <c r="C3839" s="13" t="str">
        <f>IFERROR(__xludf.DUMMYFUNCTION("""COMPUTED_VALUE"""),"M. 4134/ GUNUNG TERANG")</f>
        <v>M. 4134/ GUNUNG TERANG</v>
      </c>
      <c r="D3839" s="13" t="str">
        <f>IFERROR(__xludf.DUMMYFUNCTION("""COMPUTED_VALUE"""),"K/5/210825/1")</f>
        <v>K/5/210825/1</v>
      </c>
      <c r="E3839" s="14" t="str">
        <f>IFERROR(__xludf.DUMMYFUNCTION("""COMPUTED_VALUE"""),"Admin (Migrasi)")</f>
        <v>Admin (Migrasi)</v>
      </c>
      <c r="F3839" s="14" t="str">
        <f>IFERROR(__xludf.DUMMYFUNCTION("""COMPUTED_VALUE"""),"SELESAI (VIA PERMOHONAN)")</f>
        <v>SELESAI (VIA PERMOHONAN)</v>
      </c>
      <c r="G3839" s="17">
        <f>IFERROR(__xludf.DUMMYFUNCTION("""COMPUTED_VALUE"""),45922.475093437504)</f>
        <v>45922.47509</v>
      </c>
      <c r="H3839" s="14" t="str">
        <f>IFERROR(__xludf.DUMMYFUNCTION("""COMPUTED_VALUE"""),"Admin (Migrasi)")</f>
        <v>Admin (Migrasi)</v>
      </c>
      <c r="I3839" s="13" t="str">
        <f>IFERROR(__xludf.DUMMYFUNCTION("""COMPUTED_VALUE"""),"SELESAI (VIA PERMOHONAN)")</f>
        <v>SELESAI (VIA PERMOHONAN)</v>
      </c>
      <c r="J3839" s="17">
        <f>IFERROR(__xludf.DUMMYFUNCTION("""COMPUTED_VALUE"""),45922.47512282408)</f>
        <v>45922.47512</v>
      </c>
      <c r="K3839" s="13" t="str">
        <f>IFERROR(__xludf.DUMMYFUNCTION("""COMPUTED_VALUE"""),"Selesai")</f>
        <v>Selesai</v>
      </c>
      <c r="L3839" s="17">
        <f>IFERROR(__xludf.DUMMYFUNCTION("""COMPUTED_VALUE"""),45922.47512282408)</f>
        <v>45922.47512</v>
      </c>
      <c r="M3839" s="13"/>
      <c r="N3839" s="13" t="str">
        <f>IFERROR(__xludf.DUMMYFUNCTION("""COMPUTED_VALUE"""),"")</f>
        <v/>
      </c>
      <c r="O3839" s="13" t="str">
        <f t="shared" si="1"/>
        <v/>
      </c>
    </row>
    <row r="3840" ht="22.5" customHeight="1">
      <c r="B3840" s="13">
        <f>IFERROR(__xludf.DUMMYFUNCTION("""COMPUTED_VALUE"""),3835.0)</f>
        <v>3835</v>
      </c>
      <c r="C3840" s="13" t="str">
        <f>IFERROR(__xludf.DUMMYFUNCTION("""COMPUTED_VALUE"""),"M.2147/DURIAN PAYUNG")</f>
        <v>M.2147/DURIAN PAYUNG</v>
      </c>
      <c r="D3840" s="13" t="str">
        <f>IFERROR(__xludf.DUMMYFUNCTION("""COMPUTED_VALUE"""),"K/5/180325/1")</f>
        <v>K/5/180325/1</v>
      </c>
      <c r="E3840" s="14" t="str">
        <f>IFERROR(__xludf.DUMMYFUNCTION("""COMPUTED_VALUE"""),"Heri (BT)")</f>
        <v>Heri (BT)</v>
      </c>
      <c r="F3840" s="14" t="str">
        <f>IFERROR(__xludf.DUMMYFUNCTION("""COMPUTED_VALUE"""),"SELESAI (VIA PERMOHONAN)")</f>
        <v>SELESAI (VIA PERMOHONAN)</v>
      </c>
      <c r="G3840" s="17">
        <f>IFERROR(__xludf.DUMMYFUNCTION("""COMPUTED_VALUE"""),45923.48047285879)</f>
        <v>45923.48047</v>
      </c>
      <c r="H3840" s="14" t="str">
        <f>IFERROR(__xludf.DUMMYFUNCTION("""COMPUTED_VALUE"""),"Eci (SU)")</f>
        <v>Eci (SU)</v>
      </c>
      <c r="I3840" s="13" t="str">
        <f>IFERROR(__xludf.DUMMYFUNCTION("""COMPUTED_VALUE"""),"SELESAI (VIA PERMOHONAN)")</f>
        <v>SELESAI (VIA PERMOHONAN)</v>
      </c>
      <c r="J3840" s="17">
        <f>IFERROR(__xludf.DUMMYFUNCTION("""COMPUTED_VALUE"""),45924.679771469906)</f>
        <v>45924.67977</v>
      </c>
      <c r="K3840" s="13" t="str">
        <f>IFERROR(__xludf.DUMMYFUNCTION("""COMPUTED_VALUE"""),"Selesai")</f>
        <v>Selesai</v>
      </c>
      <c r="L3840" s="17">
        <f>IFERROR(__xludf.DUMMYFUNCTION("""COMPUTED_VALUE"""),45924.679771469906)</f>
        <v>45924.67977</v>
      </c>
      <c r="M3840" s="13"/>
      <c r="N3840" s="13" t="str">
        <f>IFERROR(__xludf.DUMMYFUNCTION("""COMPUTED_VALUE"""),"")</f>
        <v/>
      </c>
      <c r="O3840" s="13" t="str">
        <f t="shared" si="1"/>
        <v/>
      </c>
    </row>
    <row r="3841" ht="22.5" customHeight="1">
      <c r="B3841" s="13">
        <f>IFERROR(__xludf.DUMMYFUNCTION("""COMPUTED_VALUE"""),3836.0)</f>
        <v>3836</v>
      </c>
      <c r="C3841" s="13" t="str">
        <f>IFERROR(__xludf.DUMMYFUNCTION("""COMPUTED_VALUE"""),"M. 710/ WAY DADI")</f>
        <v>M. 710/ WAY DADI</v>
      </c>
      <c r="D3841" s="13" t="str">
        <f>IFERROR(__xludf.DUMMYFUNCTION("""COMPUTED_VALUE"""),"K/18/070826/1")</f>
        <v>K/18/070826/1</v>
      </c>
      <c r="E3841" s="14" t="str">
        <f>IFERROR(__xludf.DUMMYFUNCTION("""COMPUTED_VALUE"""),"Heri (BT)")</f>
        <v>Heri (BT)</v>
      </c>
      <c r="F3841" s="14" t="str">
        <f>IFERROR(__xludf.DUMMYFUNCTION("""COMPUTED_VALUE"""),"SELESAI (VIA PERMOHONAN)")</f>
        <v>SELESAI (VIA PERMOHONAN)</v>
      </c>
      <c r="G3841" s="17">
        <f>IFERROR(__xludf.DUMMYFUNCTION("""COMPUTED_VALUE"""),45923.4806052662)</f>
        <v>45923.48061</v>
      </c>
      <c r="H3841" s="14" t="str">
        <f>IFERROR(__xludf.DUMMYFUNCTION("""COMPUTED_VALUE"""),"Eci (SU)")</f>
        <v>Eci (SU)</v>
      </c>
      <c r="I3841" s="13" t="str">
        <f>IFERROR(__xludf.DUMMYFUNCTION("""COMPUTED_VALUE"""),"SELESAI (VIA PERMOHONAN)")</f>
        <v>SELESAI (VIA PERMOHONAN)</v>
      </c>
      <c r="J3841" s="17">
        <f>IFERROR(__xludf.DUMMYFUNCTION("""COMPUTED_VALUE"""),45924.67968902778)</f>
        <v>45924.67969</v>
      </c>
      <c r="K3841" s="13" t="str">
        <f>IFERROR(__xludf.DUMMYFUNCTION("""COMPUTED_VALUE"""),"Selesai")</f>
        <v>Selesai</v>
      </c>
      <c r="L3841" s="17">
        <f>IFERROR(__xludf.DUMMYFUNCTION("""COMPUTED_VALUE"""),45924.67968902778)</f>
        <v>45924.67969</v>
      </c>
      <c r="M3841" s="13"/>
      <c r="N3841" s="13" t="str">
        <f>IFERROR(__xludf.DUMMYFUNCTION("""COMPUTED_VALUE"""),"")</f>
        <v/>
      </c>
      <c r="O3841" s="13" t="str">
        <f t="shared" si="1"/>
        <v/>
      </c>
    </row>
    <row r="3842" ht="22.5" customHeight="1">
      <c r="B3842" s="13">
        <f>IFERROR(__xludf.DUMMYFUNCTION("""COMPUTED_VALUE"""),3837.0)</f>
        <v>3837</v>
      </c>
      <c r="C3842" s="13" t="str">
        <f>IFERROR(__xludf.DUMMYFUNCTION("""COMPUTED_VALUE"""),"M. 595/ KORPRI RAYA")</f>
        <v>M. 595/ KORPRI RAYA</v>
      </c>
      <c r="D3842" s="13" t="str">
        <f>IFERROR(__xludf.DUMMYFUNCTION("""COMPUTED_VALUE"""),"K/16/190825/3")</f>
        <v>K/16/190825/3</v>
      </c>
      <c r="E3842" s="14" t="str">
        <f>IFERROR(__xludf.DUMMYFUNCTION("""COMPUTED_VALUE"""),"Heri (BT)")</f>
        <v>Heri (BT)</v>
      </c>
      <c r="F3842" s="14" t="str">
        <f>IFERROR(__xludf.DUMMYFUNCTION("""COMPUTED_VALUE"""),"SELESAI (VIA PERMOHONAN)")</f>
        <v>SELESAI (VIA PERMOHONAN)</v>
      </c>
      <c r="G3842" s="17">
        <f>IFERROR(__xludf.DUMMYFUNCTION("""COMPUTED_VALUE"""),45923.48073737268)</f>
        <v>45923.48074</v>
      </c>
      <c r="H3842" s="14" t="str">
        <f>IFERROR(__xludf.DUMMYFUNCTION("""COMPUTED_VALUE"""),"Eci (SU)")</f>
        <v>Eci (SU)</v>
      </c>
      <c r="I3842" s="13" t="str">
        <f>IFERROR(__xludf.DUMMYFUNCTION("""COMPUTED_VALUE"""),"SELESAI (VIA PERMOHONAN)")</f>
        <v>SELESAI (VIA PERMOHONAN)</v>
      </c>
      <c r="J3842" s="17">
        <f>IFERROR(__xludf.DUMMYFUNCTION("""COMPUTED_VALUE"""),45924.67983649306)</f>
        <v>45924.67984</v>
      </c>
      <c r="K3842" s="13" t="str">
        <f>IFERROR(__xludf.DUMMYFUNCTION("""COMPUTED_VALUE"""),"Selesai")</f>
        <v>Selesai</v>
      </c>
      <c r="L3842" s="17">
        <f>IFERROR(__xludf.DUMMYFUNCTION("""COMPUTED_VALUE"""),45924.67983649306)</f>
        <v>45924.67984</v>
      </c>
      <c r="M3842" s="13"/>
      <c r="N3842" s="13" t="str">
        <f>IFERROR(__xludf.DUMMYFUNCTION("""COMPUTED_VALUE"""),"")</f>
        <v/>
      </c>
      <c r="O3842" s="13" t="str">
        <f t="shared" si="1"/>
        <v/>
      </c>
    </row>
    <row r="3843" ht="22.5" customHeight="1">
      <c r="B3843" s="13">
        <f>IFERROR(__xludf.DUMMYFUNCTION("""COMPUTED_VALUE"""),3838.0)</f>
        <v>3838</v>
      </c>
      <c r="C3843" s="13" t="str">
        <f>IFERROR(__xludf.DUMMYFUNCTION("""COMPUTED_VALUE"""),"M. 3077/ BERINGIN RAYA")</f>
        <v>M. 3077/ BERINGIN RAYA</v>
      </c>
      <c r="D3843" s="13" t="str">
        <f>IFERROR(__xludf.DUMMYFUNCTION("""COMPUTED_VALUE"""),"K/38/200825/1")</f>
        <v>K/38/200825/1</v>
      </c>
      <c r="E3843" s="14" t="str">
        <f>IFERROR(__xludf.DUMMYFUNCTION("""COMPUTED_VALUE"""),"Heri (BT)")</f>
        <v>Heri (BT)</v>
      </c>
      <c r="F3843" s="14" t="str">
        <f>IFERROR(__xludf.DUMMYFUNCTION("""COMPUTED_VALUE"""),"SELESAI (VIA PERMOHONAN)")</f>
        <v>SELESAI (VIA PERMOHONAN)</v>
      </c>
      <c r="G3843" s="17">
        <f>IFERROR(__xludf.DUMMYFUNCTION("""COMPUTED_VALUE"""),45923.480922118055)</f>
        <v>45923.48092</v>
      </c>
      <c r="H3843" s="14" t="str">
        <f>IFERROR(__xludf.DUMMYFUNCTION("""COMPUTED_VALUE"""),"Eci (SU)")</f>
        <v>Eci (SU)</v>
      </c>
      <c r="I3843" s="13" t="str">
        <f>IFERROR(__xludf.DUMMYFUNCTION("""COMPUTED_VALUE"""),"SELESAI (VIA PERMOHONAN)")</f>
        <v>SELESAI (VIA PERMOHONAN)</v>
      </c>
      <c r="J3843" s="17">
        <f>IFERROR(__xludf.DUMMYFUNCTION("""COMPUTED_VALUE"""),45924.67990707176)</f>
        <v>45924.67991</v>
      </c>
      <c r="K3843" s="13" t="str">
        <f>IFERROR(__xludf.DUMMYFUNCTION("""COMPUTED_VALUE"""),"Selesai")</f>
        <v>Selesai</v>
      </c>
      <c r="L3843" s="17">
        <f>IFERROR(__xludf.DUMMYFUNCTION("""COMPUTED_VALUE"""),45924.67990707176)</f>
        <v>45924.67991</v>
      </c>
      <c r="M3843" s="13"/>
      <c r="N3843" s="13" t="str">
        <f>IFERROR(__xludf.DUMMYFUNCTION("""COMPUTED_VALUE"""),"")</f>
        <v/>
      </c>
      <c r="O3843" s="13" t="str">
        <f t="shared" si="1"/>
        <v/>
      </c>
    </row>
    <row r="3844" ht="22.5" customHeight="1">
      <c r="B3844" s="13">
        <f>IFERROR(__xludf.DUMMYFUNCTION("""COMPUTED_VALUE"""),3839.0)</f>
        <v>3839</v>
      </c>
      <c r="C3844" s="13" t="str">
        <f>IFERROR(__xludf.DUMMYFUNCTION("""COMPUTED_VALUE"""),"M. 2380/ KANGKUNG")</f>
        <v>M. 2380/ KANGKUNG</v>
      </c>
      <c r="D3844" s="13" t="str">
        <f>IFERROR(__xludf.DUMMYFUNCTION("""COMPUTED_VALUE"""),"K/30/150825/1")</f>
        <v>K/30/150825/1</v>
      </c>
      <c r="E3844" s="14" t="str">
        <f>IFERROR(__xludf.DUMMYFUNCTION("""COMPUTED_VALUE"""),"Heri (BT)")</f>
        <v>Heri (BT)</v>
      </c>
      <c r="F3844" s="14" t="str">
        <f>IFERROR(__xludf.DUMMYFUNCTION("""COMPUTED_VALUE"""),"SELESAI (VIA PERMOHONAN)")</f>
        <v>SELESAI (VIA PERMOHONAN)</v>
      </c>
      <c r="G3844" s="17">
        <f>IFERROR(__xludf.DUMMYFUNCTION("""COMPUTED_VALUE"""),45923.48109902778)</f>
        <v>45923.4811</v>
      </c>
      <c r="H3844" s="14" t="str">
        <f>IFERROR(__xludf.DUMMYFUNCTION("""COMPUTED_VALUE"""),"Eci (SU)")</f>
        <v>Eci (SU)</v>
      </c>
      <c r="I3844" s="13" t="str">
        <f>IFERROR(__xludf.DUMMYFUNCTION("""COMPUTED_VALUE"""),"SELESAI (VIA PERMOHONAN)")</f>
        <v>SELESAI (VIA PERMOHONAN)</v>
      </c>
      <c r="J3844" s="17">
        <f>IFERROR(__xludf.DUMMYFUNCTION("""COMPUTED_VALUE"""),45924.67996303241)</f>
        <v>45924.67996</v>
      </c>
      <c r="K3844" s="13" t="str">
        <f>IFERROR(__xludf.DUMMYFUNCTION("""COMPUTED_VALUE"""),"Selesai")</f>
        <v>Selesai</v>
      </c>
      <c r="L3844" s="17">
        <f>IFERROR(__xludf.DUMMYFUNCTION("""COMPUTED_VALUE"""),45924.67996303241)</f>
        <v>45924.67996</v>
      </c>
      <c r="M3844" s="13"/>
      <c r="N3844" s="13" t="str">
        <f>IFERROR(__xludf.DUMMYFUNCTION("""COMPUTED_VALUE"""),"")</f>
        <v/>
      </c>
      <c r="O3844" s="13" t="str">
        <f t="shared" si="1"/>
        <v/>
      </c>
    </row>
    <row r="3845" ht="22.5" customHeight="1">
      <c r="B3845" s="13">
        <f>IFERROR(__xludf.DUMMYFUNCTION("""COMPUTED_VALUE"""),3840.0)</f>
        <v>3840</v>
      </c>
      <c r="C3845" s="13" t="str">
        <f>IFERROR(__xludf.DUMMYFUNCTION("""COMPUTED_VALUE"""),"M. 1439/KEMILING PERMAI")</f>
        <v>M. 1439/KEMILING PERMAI</v>
      </c>
      <c r="D3845" s="13" t="str">
        <f>IFERROR(__xludf.DUMMYFUNCTION("""COMPUTED_VALUE"""),"K/11/120825/1")</f>
        <v>K/11/120825/1</v>
      </c>
      <c r="E3845" s="14" t="str">
        <f>IFERROR(__xludf.DUMMYFUNCTION("""COMPUTED_VALUE"""),"Heri (BT)")</f>
        <v>Heri (BT)</v>
      </c>
      <c r="F3845" s="14" t="str">
        <f>IFERROR(__xludf.DUMMYFUNCTION("""COMPUTED_VALUE"""),"SELESAI (VIA PERMOHONAN)")</f>
        <v>SELESAI (VIA PERMOHONAN)</v>
      </c>
      <c r="G3845" s="17">
        <f>IFERROR(__xludf.DUMMYFUNCTION("""COMPUTED_VALUE"""),45923.481225868054)</f>
        <v>45923.48123</v>
      </c>
      <c r="H3845" s="14" t="str">
        <f>IFERROR(__xludf.DUMMYFUNCTION("""COMPUTED_VALUE"""),"Eci (SU)")</f>
        <v>Eci (SU)</v>
      </c>
      <c r="I3845" s="13" t="str">
        <f>IFERROR(__xludf.DUMMYFUNCTION("""COMPUTED_VALUE"""),"SELESAI (VIA PERMOHONAN)")</f>
        <v>SELESAI (VIA PERMOHONAN)</v>
      </c>
      <c r="J3845" s="17">
        <f>IFERROR(__xludf.DUMMYFUNCTION("""COMPUTED_VALUE"""),45924.68006761574)</f>
        <v>45924.68007</v>
      </c>
      <c r="K3845" s="13" t="str">
        <f>IFERROR(__xludf.DUMMYFUNCTION("""COMPUTED_VALUE"""),"Selesai")</f>
        <v>Selesai</v>
      </c>
      <c r="L3845" s="17">
        <f>IFERROR(__xludf.DUMMYFUNCTION("""COMPUTED_VALUE"""),45924.68006761574)</f>
        <v>45924.68007</v>
      </c>
      <c r="M3845" s="13"/>
      <c r="N3845" s="13" t="str">
        <f>IFERROR(__xludf.DUMMYFUNCTION("""COMPUTED_VALUE"""),"")</f>
        <v/>
      </c>
      <c r="O3845" s="13" t="str">
        <f t="shared" si="1"/>
        <v/>
      </c>
    </row>
    <row r="3846" ht="22.5" customHeight="1">
      <c r="B3846" s="13">
        <f>IFERROR(__xludf.DUMMYFUNCTION("""COMPUTED_VALUE"""),3841.0)</f>
        <v>3841</v>
      </c>
      <c r="C3846" s="13" t="str">
        <f>IFERROR(__xludf.DUMMYFUNCTION("""COMPUTED_VALUE"""),"B. 4512/SUKABUMI")</f>
        <v>B. 4512/SUKABUMI</v>
      </c>
      <c r="D3846" s="13" t="str">
        <f>IFERROR(__xludf.DUMMYFUNCTION("""COMPUTED_VALUE"""),"K/31/170925/1")</f>
        <v>K/31/170925/1</v>
      </c>
      <c r="E3846" s="14" t="str">
        <f>IFERROR(__xludf.DUMMYFUNCTION("""COMPUTED_VALUE"""),"Heri (BT)")</f>
        <v>Heri (BT)</v>
      </c>
      <c r="F3846" s="14" t="str">
        <f>IFERROR(__xludf.DUMMYFUNCTION("""COMPUTED_VALUE"""),"SELESAI (VIA PERMOHONAN)")</f>
        <v>SELESAI (VIA PERMOHONAN)</v>
      </c>
      <c r="G3846" s="17">
        <f>IFERROR(__xludf.DUMMYFUNCTION("""COMPUTED_VALUE"""),45923.481380833335)</f>
        <v>45923.48138</v>
      </c>
      <c r="H3846" s="14" t="str">
        <f>IFERROR(__xludf.DUMMYFUNCTION("""COMPUTED_VALUE"""),"Eci (SU)")</f>
        <v>Eci (SU)</v>
      </c>
      <c r="I3846" s="13" t="str">
        <f>IFERROR(__xludf.DUMMYFUNCTION("""COMPUTED_VALUE"""),"SELESAI (VIA PERMOHONAN)")</f>
        <v>SELESAI (VIA PERMOHONAN)</v>
      </c>
      <c r="J3846" s="17">
        <f>IFERROR(__xludf.DUMMYFUNCTION("""COMPUTED_VALUE"""),45924.680152685185)</f>
        <v>45924.68015</v>
      </c>
      <c r="K3846" s="13" t="str">
        <f>IFERROR(__xludf.DUMMYFUNCTION("""COMPUTED_VALUE"""),"Selesai")</f>
        <v>Selesai</v>
      </c>
      <c r="L3846" s="17">
        <f>IFERROR(__xludf.DUMMYFUNCTION("""COMPUTED_VALUE"""),45924.680152685185)</f>
        <v>45924.68015</v>
      </c>
      <c r="M3846" s="13"/>
      <c r="N3846" s="13" t="str">
        <f>IFERROR(__xludf.DUMMYFUNCTION("""COMPUTED_VALUE"""),"")</f>
        <v/>
      </c>
      <c r="O3846" s="13" t="str">
        <f t="shared" si="1"/>
        <v/>
      </c>
    </row>
    <row r="3847" ht="22.5" customHeight="1">
      <c r="B3847" s="13">
        <f>IFERROR(__xludf.DUMMYFUNCTION("""COMPUTED_VALUE"""),3842.0)</f>
        <v>3842</v>
      </c>
      <c r="C3847" s="13" t="str">
        <f>IFERROR(__xludf.DUMMYFUNCTION("""COMPUTED_VALUE"""),"M.4520/Keteguhan	")</f>
        <v>M.4520/Keteguhan	</v>
      </c>
      <c r="D3847" s="13" t="str">
        <f>IFERROR(__xludf.DUMMYFUNCTION("""COMPUTED_VALUE"""),"K/55/220825/4")</f>
        <v>K/55/220825/4</v>
      </c>
      <c r="E3847" s="14" t="str">
        <f>IFERROR(__xludf.DUMMYFUNCTION("""COMPUTED_VALUE"""),"Admin (Migrasi)")</f>
        <v>Admin (Migrasi)</v>
      </c>
      <c r="F3847" s="14" t="str">
        <f>IFERROR(__xludf.DUMMYFUNCTION("""COMPUTED_VALUE"""),"SELESAI (VIA PERMOHONAN)")</f>
        <v>SELESAI (VIA PERMOHONAN)</v>
      </c>
      <c r="G3847" s="17">
        <f>IFERROR(__xludf.DUMMYFUNCTION("""COMPUTED_VALUE"""),45923.72839512731)</f>
        <v>45923.7284</v>
      </c>
      <c r="H3847" s="14" t="str">
        <f>IFERROR(__xludf.DUMMYFUNCTION("""COMPUTED_VALUE"""),"Admin (Migrasi)")</f>
        <v>Admin (Migrasi)</v>
      </c>
      <c r="I3847" s="13" t="str">
        <f>IFERROR(__xludf.DUMMYFUNCTION("""COMPUTED_VALUE"""),"SELESAI (VIA PERMOHONAN)")</f>
        <v>SELESAI (VIA PERMOHONAN)</v>
      </c>
      <c r="J3847" s="17">
        <f>IFERROR(__xludf.DUMMYFUNCTION("""COMPUTED_VALUE"""),45923.72845542824)</f>
        <v>45923.72846</v>
      </c>
      <c r="K3847" s="13" t="str">
        <f>IFERROR(__xludf.DUMMYFUNCTION("""COMPUTED_VALUE"""),"Selesai")</f>
        <v>Selesai</v>
      </c>
      <c r="L3847" s="17">
        <f>IFERROR(__xludf.DUMMYFUNCTION("""COMPUTED_VALUE"""),45923.72845542824)</f>
        <v>45923.72846</v>
      </c>
      <c r="M3847" s="13"/>
      <c r="N3847" s="13" t="str">
        <f>IFERROR(__xludf.DUMMYFUNCTION("""COMPUTED_VALUE"""),"")</f>
        <v/>
      </c>
      <c r="O3847" s="13" t="str">
        <f t="shared" si="1"/>
        <v/>
      </c>
    </row>
    <row r="3848" ht="22.5" customHeight="1">
      <c r="B3848" s="13">
        <f>IFERROR(__xludf.DUMMYFUNCTION("""COMPUTED_VALUE"""),3843.0)</f>
        <v>3843</v>
      </c>
      <c r="C3848" s="13" t="str">
        <f>IFERROR(__xludf.DUMMYFUNCTION("""COMPUTED_VALUE"""),"M. 3379/KEMILING PERMAI")</f>
        <v>M. 3379/KEMILING PERMAI</v>
      </c>
      <c r="D3848" s="13" t="str">
        <f>IFERROR(__xludf.DUMMYFUNCTION("""COMPUTED_VALUE"""),"K/25/020925/1")</f>
        <v>K/25/020925/1</v>
      </c>
      <c r="E3848" s="14" t="str">
        <f>IFERROR(__xludf.DUMMYFUNCTION("""COMPUTED_VALUE"""),"Admin (Migrasi)")</f>
        <v>Admin (Migrasi)</v>
      </c>
      <c r="F3848" s="14" t="str">
        <f>IFERROR(__xludf.DUMMYFUNCTION("""COMPUTED_VALUE"""),"SELESAI (VIA PERMOHONAN)")</f>
        <v>SELESAI (VIA PERMOHONAN)</v>
      </c>
      <c r="G3848" s="17">
        <f>IFERROR(__xludf.DUMMYFUNCTION("""COMPUTED_VALUE"""),45923.728565405094)</f>
        <v>45923.72857</v>
      </c>
      <c r="H3848" s="14" t="str">
        <f>IFERROR(__xludf.DUMMYFUNCTION("""COMPUTED_VALUE"""),"Admin (Migrasi)")</f>
        <v>Admin (Migrasi)</v>
      </c>
      <c r="I3848" s="13" t="str">
        <f>IFERROR(__xludf.DUMMYFUNCTION("""COMPUTED_VALUE"""),"SELESAI (VIA PERMOHONAN)")</f>
        <v>SELESAI (VIA PERMOHONAN)</v>
      </c>
      <c r="J3848" s="17">
        <f>IFERROR(__xludf.DUMMYFUNCTION("""COMPUTED_VALUE"""),45923.72861049768)</f>
        <v>45923.72861</v>
      </c>
      <c r="K3848" s="13" t="str">
        <f>IFERROR(__xludf.DUMMYFUNCTION("""COMPUTED_VALUE"""),"Selesai")</f>
        <v>Selesai</v>
      </c>
      <c r="L3848" s="17">
        <f>IFERROR(__xludf.DUMMYFUNCTION("""COMPUTED_VALUE"""),45923.72861049768)</f>
        <v>45923.72861</v>
      </c>
      <c r="M3848" s="13"/>
      <c r="N3848" s="13" t="str">
        <f>IFERROR(__xludf.DUMMYFUNCTION("""COMPUTED_VALUE"""),"")</f>
        <v/>
      </c>
      <c r="O3848" s="13" t="str">
        <f t="shared" si="1"/>
        <v/>
      </c>
    </row>
    <row r="3849" ht="22.5" customHeight="1">
      <c r="B3849" s="13">
        <f>IFERROR(__xludf.DUMMYFUNCTION("""COMPUTED_VALUE"""),3844.0)</f>
        <v>3844</v>
      </c>
      <c r="C3849" s="13" t="str">
        <f>IFERROR(__xludf.DUMMYFUNCTION("""COMPUTED_VALUE"""),"M. 687/SUSUNAN BARU")</f>
        <v>M. 687/SUSUNAN BARU</v>
      </c>
      <c r="D3849" s="13" t="str">
        <f>IFERROR(__xludf.DUMMYFUNCTION("""COMPUTED_VALUE"""),"K/20/120625/1")</f>
        <v>K/20/120625/1</v>
      </c>
      <c r="E3849" s="14" t="str">
        <f>IFERROR(__xludf.DUMMYFUNCTION("""COMPUTED_VALUE"""),"Admin (Migrasi)")</f>
        <v>Admin (Migrasi)</v>
      </c>
      <c r="F3849" s="14" t="str">
        <f>IFERROR(__xludf.DUMMYFUNCTION("""COMPUTED_VALUE"""),"SELESAI (VIA PERMOHONAN)")</f>
        <v>SELESAI (VIA PERMOHONAN)</v>
      </c>
      <c r="G3849" s="17">
        <f>IFERROR(__xludf.DUMMYFUNCTION("""COMPUTED_VALUE"""),45923.72883112269)</f>
        <v>45923.72883</v>
      </c>
      <c r="H3849" s="14" t="str">
        <f>IFERROR(__xludf.DUMMYFUNCTION("""COMPUTED_VALUE"""),"Admin (Migrasi)")</f>
        <v>Admin (Migrasi)</v>
      </c>
      <c r="I3849" s="13" t="str">
        <f>IFERROR(__xludf.DUMMYFUNCTION("""COMPUTED_VALUE"""),"SELESAI (VIA PERMOHONAN)")</f>
        <v>SELESAI (VIA PERMOHONAN)</v>
      </c>
      <c r="J3849" s="17">
        <f>IFERROR(__xludf.DUMMYFUNCTION("""COMPUTED_VALUE"""),45923.72885237269)</f>
        <v>45923.72885</v>
      </c>
      <c r="K3849" s="13" t="str">
        <f>IFERROR(__xludf.DUMMYFUNCTION("""COMPUTED_VALUE"""),"Selesai")</f>
        <v>Selesai</v>
      </c>
      <c r="L3849" s="17">
        <f>IFERROR(__xludf.DUMMYFUNCTION("""COMPUTED_VALUE"""),45923.72885237269)</f>
        <v>45923.72885</v>
      </c>
      <c r="M3849" s="13"/>
      <c r="N3849" s="13" t="str">
        <f>IFERROR(__xludf.DUMMYFUNCTION("""COMPUTED_VALUE"""),"")</f>
        <v/>
      </c>
      <c r="O3849" s="13" t="str">
        <f t="shared" si="1"/>
        <v/>
      </c>
    </row>
    <row r="3850" ht="22.5" customHeight="1">
      <c r="B3850" s="13">
        <f>IFERROR(__xludf.DUMMYFUNCTION("""COMPUTED_VALUE"""),3845.0)</f>
        <v>3845</v>
      </c>
      <c r="C3850" s="13" t="str">
        <f>IFERROR(__xludf.DUMMYFUNCTION("""COMPUTED_VALUE"""),"M.12288/SUKABUMI")</f>
        <v>M.12288/SUKABUMI</v>
      </c>
      <c r="D3850" s="13" t="str">
        <f>IFERROR(__xludf.DUMMYFUNCTION("""COMPUTED_VALUE"""),"K/40/220825/2")</f>
        <v>K/40/220825/2</v>
      </c>
      <c r="E3850" s="14" t="str">
        <f>IFERROR(__xludf.DUMMYFUNCTION("""COMPUTED_VALUE"""),"Admin (Migrasi)")</f>
        <v>Admin (Migrasi)</v>
      </c>
      <c r="F3850" s="14" t="str">
        <f>IFERROR(__xludf.DUMMYFUNCTION("""COMPUTED_VALUE"""),"SELESAI (VIA PERMOHONAN)")</f>
        <v>SELESAI (VIA PERMOHONAN)</v>
      </c>
      <c r="G3850" s="17">
        <f>IFERROR(__xludf.DUMMYFUNCTION("""COMPUTED_VALUE"""),45923.72917715278)</f>
        <v>45923.72918</v>
      </c>
      <c r="H3850" s="14" t="str">
        <f>IFERROR(__xludf.DUMMYFUNCTION("""COMPUTED_VALUE"""),"Admin (Migrasi)")</f>
        <v>Admin (Migrasi)</v>
      </c>
      <c r="I3850" s="13" t="str">
        <f>IFERROR(__xludf.DUMMYFUNCTION("""COMPUTED_VALUE"""),"SELESAI (VIA PERMOHONAN)")</f>
        <v>SELESAI (VIA PERMOHONAN)</v>
      </c>
      <c r="J3850" s="17">
        <f>IFERROR(__xludf.DUMMYFUNCTION("""COMPUTED_VALUE"""),45923.729210300924)</f>
        <v>45923.72921</v>
      </c>
      <c r="K3850" s="13" t="str">
        <f>IFERROR(__xludf.DUMMYFUNCTION("""COMPUTED_VALUE"""),"Selesai")</f>
        <v>Selesai</v>
      </c>
      <c r="L3850" s="17">
        <f>IFERROR(__xludf.DUMMYFUNCTION("""COMPUTED_VALUE"""),45923.729210300924)</f>
        <v>45923.72921</v>
      </c>
      <c r="M3850" s="13"/>
      <c r="N3850" s="13" t="str">
        <f>IFERROR(__xludf.DUMMYFUNCTION("""COMPUTED_VALUE"""),"")</f>
        <v/>
      </c>
      <c r="O3850" s="13" t="str">
        <f t="shared" si="1"/>
        <v/>
      </c>
    </row>
    <row r="3851" ht="22.5" customHeight="1">
      <c r="B3851" s="13">
        <f>IFERROR(__xludf.DUMMYFUNCTION("""COMPUTED_VALUE"""),3846.0)</f>
        <v>3846</v>
      </c>
      <c r="C3851" s="13" t="str">
        <f>IFERROR(__xludf.DUMMYFUNCTION("""COMPUTED_VALUE"""),"M. 819/ RAJABASA JAYA")</f>
        <v>M. 819/ RAJABASA JAYA</v>
      </c>
      <c r="D3851" s="13" t="str">
        <f>IFERROR(__xludf.DUMMYFUNCTION("""COMPUTED_VALUE"""),"K/8/220825/2")</f>
        <v>K/8/220825/2</v>
      </c>
      <c r="E3851" s="14" t="str">
        <f>IFERROR(__xludf.DUMMYFUNCTION("""COMPUTED_VALUE"""),"Admin (Migrasi)")</f>
        <v>Admin (Migrasi)</v>
      </c>
      <c r="F3851" s="14" t="str">
        <f>IFERROR(__xludf.DUMMYFUNCTION("""COMPUTED_VALUE"""),"SELESAI (VIA PERMOHONAN)")</f>
        <v>SELESAI (VIA PERMOHONAN)</v>
      </c>
      <c r="G3851" s="17">
        <f>IFERROR(__xludf.DUMMYFUNCTION("""COMPUTED_VALUE"""),45923.72998027778)</f>
        <v>45923.72998</v>
      </c>
      <c r="H3851" s="14" t="str">
        <f>IFERROR(__xludf.DUMMYFUNCTION("""COMPUTED_VALUE"""),"Admin (Migrasi)")</f>
        <v>Admin (Migrasi)</v>
      </c>
      <c r="I3851" s="13" t="str">
        <f>IFERROR(__xludf.DUMMYFUNCTION("""COMPUTED_VALUE"""),"SELESAI (VIA PERMOHONAN)")</f>
        <v>SELESAI (VIA PERMOHONAN)</v>
      </c>
      <c r="J3851" s="17">
        <f>IFERROR(__xludf.DUMMYFUNCTION("""COMPUTED_VALUE"""),45923.730007465274)</f>
        <v>45923.73001</v>
      </c>
      <c r="K3851" s="13" t="str">
        <f>IFERROR(__xludf.DUMMYFUNCTION("""COMPUTED_VALUE"""),"Selesai")</f>
        <v>Selesai</v>
      </c>
      <c r="L3851" s="17">
        <f>IFERROR(__xludf.DUMMYFUNCTION("""COMPUTED_VALUE"""),45923.730007465274)</f>
        <v>45923.73001</v>
      </c>
      <c r="M3851" s="13"/>
      <c r="N3851" s="13" t="str">
        <f>IFERROR(__xludf.DUMMYFUNCTION("""COMPUTED_VALUE"""),"")</f>
        <v/>
      </c>
      <c r="O3851" s="13" t="str">
        <f t="shared" si="1"/>
        <v/>
      </c>
    </row>
    <row r="3852" ht="22.5" customHeight="1">
      <c r="B3852" s="13">
        <f>IFERROR(__xludf.DUMMYFUNCTION("""COMPUTED_VALUE"""),3847.0)</f>
        <v>3847</v>
      </c>
      <c r="C3852" s="13" t="str">
        <f>IFERROR(__xludf.DUMMYFUNCTION("""COMPUTED_VALUE"""),"NIBEL M 13136/ SUKABUMI")</f>
        <v>NIBEL M 13136/ SUKABUMI</v>
      </c>
      <c r="D3852" s="13" t="str">
        <f>IFERROR(__xludf.DUMMYFUNCTION("""COMPUTED_VALUE"""),"K/59/220825/3")</f>
        <v>K/59/220825/3</v>
      </c>
      <c r="E3852" s="14" t="str">
        <f>IFERROR(__xludf.DUMMYFUNCTION("""COMPUTED_VALUE"""),"Admin (Migrasi)")</f>
        <v>Admin (Migrasi)</v>
      </c>
      <c r="F3852" s="14" t="str">
        <f>IFERROR(__xludf.DUMMYFUNCTION("""COMPUTED_VALUE"""),"SELESAI (VIA PERMOHONAN)")</f>
        <v>SELESAI (VIA PERMOHONAN)</v>
      </c>
      <c r="G3852" s="17">
        <f>IFERROR(__xludf.DUMMYFUNCTION("""COMPUTED_VALUE"""),45923.73021863426)</f>
        <v>45923.73022</v>
      </c>
      <c r="H3852" s="14" t="str">
        <f>IFERROR(__xludf.DUMMYFUNCTION("""COMPUTED_VALUE"""),"Admin (Migrasi)")</f>
        <v>Admin (Migrasi)</v>
      </c>
      <c r="I3852" s="13" t="str">
        <f>IFERROR(__xludf.DUMMYFUNCTION("""COMPUTED_VALUE"""),"SELESAI (VIA PERMOHONAN)")</f>
        <v>SELESAI (VIA PERMOHONAN)</v>
      </c>
      <c r="J3852" s="17">
        <f>IFERROR(__xludf.DUMMYFUNCTION("""COMPUTED_VALUE"""),45923.73024754629)</f>
        <v>45923.73025</v>
      </c>
      <c r="K3852" s="13" t="str">
        <f>IFERROR(__xludf.DUMMYFUNCTION("""COMPUTED_VALUE"""),"Selesai")</f>
        <v>Selesai</v>
      </c>
      <c r="L3852" s="17">
        <f>IFERROR(__xludf.DUMMYFUNCTION("""COMPUTED_VALUE"""),45923.73024754629)</f>
        <v>45923.73025</v>
      </c>
      <c r="M3852" s="13"/>
      <c r="N3852" s="13" t="str">
        <f>IFERROR(__xludf.DUMMYFUNCTION("""COMPUTED_VALUE"""),"")</f>
        <v/>
      </c>
      <c r="O3852" s="13" t="str">
        <f t="shared" si="1"/>
        <v/>
      </c>
    </row>
    <row r="3853" ht="22.5" customHeight="1">
      <c r="B3853" s="13">
        <f>IFERROR(__xludf.DUMMYFUNCTION("""COMPUTED_VALUE"""),3848.0)</f>
        <v>3848</v>
      </c>
      <c r="C3853" s="13" t="str">
        <f>IFERROR(__xludf.DUMMYFUNCTION("""COMPUTED_VALUE"""),"M. 805/Kali Balau Kencana	")</f>
        <v>M. 805/Kali Balau Kencana	</v>
      </c>
      <c r="D3853" s="13" t="str">
        <f>IFERROR(__xludf.DUMMYFUNCTION("""COMPUTED_VALUE"""),"K/12/270825/1")</f>
        <v>K/12/270825/1</v>
      </c>
      <c r="E3853" s="14" t="str">
        <f>IFERROR(__xludf.DUMMYFUNCTION("""COMPUTED_VALUE"""),"Admin (Migrasi)")</f>
        <v>Admin (Migrasi)</v>
      </c>
      <c r="F3853" s="14" t="str">
        <f>IFERROR(__xludf.DUMMYFUNCTION("""COMPUTED_VALUE"""),"SELESAI (VIA PERMOHONAN)")</f>
        <v>SELESAI (VIA PERMOHONAN)</v>
      </c>
      <c r="G3853" s="17">
        <f>IFERROR(__xludf.DUMMYFUNCTION("""COMPUTED_VALUE"""),45923.730423981484)</f>
        <v>45923.73042</v>
      </c>
      <c r="H3853" s="14" t="str">
        <f>IFERROR(__xludf.DUMMYFUNCTION("""COMPUTED_VALUE"""),"Admin (Migrasi)")</f>
        <v>Admin (Migrasi)</v>
      </c>
      <c r="I3853" s="13" t="str">
        <f>IFERROR(__xludf.DUMMYFUNCTION("""COMPUTED_VALUE"""),"SELESAI (VIA PERMOHONAN)")</f>
        <v>SELESAI (VIA PERMOHONAN)</v>
      </c>
      <c r="J3853" s="17">
        <f>IFERROR(__xludf.DUMMYFUNCTION("""COMPUTED_VALUE"""),45923.730423981484)</f>
        <v>45923.73042</v>
      </c>
      <c r="K3853" s="13" t="str">
        <f>IFERROR(__xludf.DUMMYFUNCTION("""COMPUTED_VALUE"""),"Selesai")</f>
        <v>Selesai</v>
      </c>
      <c r="L3853" s="17">
        <f>IFERROR(__xludf.DUMMYFUNCTION("""COMPUTED_VALUE"""),45923.730423981484)</f>
        <v>45923.73042</v>
      </c>
      <c r="M3853" s="13"/>
      <c r="N3853" s="13" t="str">
        <f>IFERROR(__xludf.DUMMYFUNCTION("""COMPUTED_VALUE"""),"")</f>
        <v/>
      </c>
      <c r="O3853" s="13" t="str">
        <f t="shared" si="1"/>
        <v/>
      </c>
    </row>
    <row r="3854" ht="22.5" customHeight="1">
      <c r="B3854" s="13">
        <f>IFERROR(__xludf.DUMMYFUNCTION("""COMPUTED_VALUE"""),3849.0)</f>
        <v>3849</v>
      </c>
      <c r="C3854" s="13" t="str">
        <f>IFERROR(__xludf.DUMMYFUNCTION("""COMPUTED_VALUE"""),"B. 1503/KEMILING PERMAI")</f>
        <v>B. 1503/KEMILING PERMAI</v>
      </c>
      <c r="D3854" s="13" t="str">
        <f>IFERROR(__xludf.DUMMYFUNCTION("""COMPUTED_VALUE"""),"K/23/150925/1")</f>
        <v>K/23/150925/1</v>
      </c>
      <c r="E3854" s="14" t="str">
        <f>IFERROR(__xludf.DUMMYFUNCTION("""COMPUTED_VALUE"""),"Heri (BT)")</f>
        <v>Heri (BT)</v>
      </c>
      <c r="F3854" s="14" t="str">
        <f>IFERROR(__xludf.DUMMYFUNCTION("""COMPUTED_VALUE"""),"SELESAI (VIA PERMOHONAN)")</f>
        <v>SELESAI (VIA PERMOHONAN)</v>
      </c>
      <c r="G3854" s="17">
        <f>IFERROR(__xludf.DUMMYFUNCTION("""COMPUTED_VALUE"""),45924.4102266088)</f>
        <v>45924.41023</v>
      </c>
      <c r="H3854" s="14" t="str">
        <f>IFERROR(__xludf.DUMMYFUNCTION("""COMPUTED_VALUE"""),"Eci (SU)")</f>
        <v>Eci (SU)</v>
      </c>
      <c r="I3854" s="13" t="str">
        <f>IFERROR(__xludf.DUMMYFUNCTION("""COMPUTED_VALUE"""),"SELESAI (VIA PERMOHONAN)")</f>
        <v>SELESAI (VIA PERMOHONAN)</v>
      </c>
      <c r="J3854" s="17">
        <f>IFERROR(__xludf.DUMMYFUNCTION("""COMPUTED_VALUE"""),45924.68032167824)</f>
        <v>45924.68032</v>
      </c>
      <c r="K3854" s="13" t="str">
        <f>IFERROR(__xludf.DUMMYFUNCTION("""COMPUTED_VALUE"""),"Selesai")</f>
        <v>Selesai</v>
      </c>
      <c r="L3854" s="17">
        <f>IFERROR(__xludf.DUMMYFUNCTION("""COMPUTED_VALUE"""),45924.68032167824)</f>
        <v>45924.68032</v>
      </c>
      <c r="M3854" s="13"/>
      <c r="N3854" s="13" t="str">
        <f>IFERROR(__xludf.DUMMYFUNCTION("""COMPUTED_VALUE"""),"")</f>
        <v/>
      </c>
      <c r="O3854" s="13" t="str">
        <f t="shared" si="1"/>
        <v/>
      </c>
    </row>
    <row r="3855" ht="22.5" customHeight="1">
      <c r="B3855" s="13">
        <f>IFERROR(__xludf.DUMMYFUNCTION("""COMPUTED_VALUE"""),3850.0)</f>
        <v>3850</v>
      </c>
      <c r="C3855" s="13" t="str">
        <f>IFERROR(__xludf.DUMMYFUNCTION("""COMPUTED_VALUE"""),"B. 79/ Korpri Jaya")</f>
        <v>B. 79/ Korpri Jaya</v>
      </c>
      <c r="D3855" s="13" t="str">
        <f>IFERROR(__xludf.DUMMYFUNCTION("""COMPUTED_VALUE"""),"K/26/220525/2")</f>
        <v>K/26/220525/2</v>
      </c>
      <c r="E3855" s="14" t="str">
        <f>IFERROR(__xludf.DUMMYFUNCTION("""COMPUTED_VALUE"""),"Heri (BT)")</f>
        <v>Heri (BT)</v>
      </c>
      <c r="F3855" s="14" t="str">
        <f>IFERROR(__xludf.DUMMYFUNCTION("""COMPUTED_VALUE"""),"SELESAI (VIA PERMOHONAN)")</f>
        <v>SELESAI (VIA PERMOHONAN)</v>
      </c>
      <c r="G3855" s="17">
        <f>IFERROR(__xludf.DUMMYFUNCTION("""COMPUTED_VALUE"""),45924.410357245375)</f>
        <v>45924.41036</v>
      </c>
      <c r="H3855" s="14" t="str">
        <f>IFERROR(__xludf.DUMMYFUNCTION("""COMPUTED_VALUE"""),"Eci (SU)")</f>
        <v>Eci (SU)</v>
      </c>
      <c r="I3855" s="13" t="str">
        <f>IFERROR(__xludf.DUMMYFUNCTION("""COMPUTED_VALUE"""),"SELESAI (VIA PERMOHONAN)")</f>
        <v>SELESAI (VIA PERMOHONAN)</v>
      </c>
      <c r="J3855" s="17">
        <f>IFERROR(__xludf.DUMMYFUNCTION("""COMPUTED_VALUE"""),45924.680954201394)</f>
        <v>45924.68095</v>
      </c>
      <c r="K3855" s="13" t="str">
        <f>IFERROR(__xludf.DUMMYFUNCTION("""COMPUTED_VALUE"""),"Selesai")</f>
        <v>Selesai</v>
      </c>
      <c r="L3855" s="17">
        <f>IFERROR(__xludf.DUMMYFUNCTION("""COMPUTED_VALUE"""),45924.680954201394)</f>
        <v>45924.68095</v>
      </c>
      <c r="M3855" s="13"/>
      <c r="N3855" s="13" t="str">
        <f>IFERROR(__xludf.DUMMYFUNCTION("""COMPUTED_VALUE"""),"")</f>
        <v/>
      </c>
      <c r="O3855" s="13" t="str">
        <f t="shared" si="1"/>
        <v/>
      </c>
    </row>
    <row r="3856" ht="22.5" customHeight="1">
      <c r="B3856" s="13">
        <f>IFERROR(__xludf.DUMMYFUNCTION("""COMPUTED_VALUE"""),3851.0)</f>
        <v>3851</v>
      </c>
      <c r="C3856" s="13" t="str">
        <f>IFERROR(__xludf.DUMMYFUNCTION("""COMPUTED_VALUE"""),"B. 1364/Pinang Jaya	")</f>
        <v>B. 1364/Pinang Jaya	</v>
      </c>
      <c r="D3856" s="13" t="str">
        <f>IFERROR(__xludf.DUMMYFUNCTION("""COMPUTED_VALUE"""),"K/44/030925/1")</f>
        <v>K/44/030925/1</v>
      </c>
      <c r="E3856" s="14" t="str">
        <f>IFERROR(__xludf.DUMMYFUNCTION("""COMPUTED_VALUE"""),"Heri (BT)")</f>
        <v>Heri (BT)</v>
      </c>
      <c r="F3856" s="14" t="str">
        <f>IFERROR(__xludf.DUMMYFUNCTION("""COMPUTED_VALUE"""),"SELESAI (VIA PERMOHONAN)")</f>
        <v>SELESAI (VIA PERMOHONAN)</v>
      </c>
      <c r="G3856" s="17">
        <f>IFERROR(__xludf.DUMMYFUNCTION("""COMPUTED_VALUE"""),45924.410528541666)</f>
        <v>45924.41053</v>
      </c>
      <c r="H3856" s="14" t="str">
        <f>IFERROR(__xludf.DUMMYFUNCTION("""COMPUTED_VALUE"""),"Eci (SU)")</f>
        <v>Eci (SU)</v>
      </c>
      <c r="I3856" s="13" t="str">
        <f>IFERROR(__xludf.DUMMYFUNCTION("""COMPUTED_VALUE"""),"SELESAI (VIA PERMOHONAN)")</f>
        <v>SELESAI (VIA PERMOHONAN)</v>
      </c>
      <c r="J3856" s="17">
        <f>IFERROR(__xludf.DUMMYFUNCTION("""COMPUTED_VALUE"""),45924.680424652775)</f>
        <v>45924.68042</v>
      </c>
      <c r="K3856" s="13" t="str">
        <f>IFERROR(__xludf.DUMMYFUNCTION("""COMPUTED_VALUE"""),"Selesai")</f>
        <v>Selesai</v>
      </c>
      <c r="L3856" s="17">
        <f>IFERROR(__xludf.DUMMYFUNCTION("""COMPUTED_VALUE"""),45924.680424652775)</f>
        <v>45924.68042</v>
      </c>
      <c r="M3856" s="13"/>
      <c r="N3856" s="13" t="str">
        <f>IFERROR(__xludf.DUMMYFUNCTION("""COMPUTED_VALUE"""),"")</f>
        <v/>
      </c>
      <c r="O3856" s="13" t="str">
        <f t="shared" si="1"/>
        <v/>
      </c>
    </row>
    <row r="3857" ht="22.5" customHeight="1">
      <c r="B3857" s="13">
        <f>IFERROR(__xludf.DUMMYFUNCTION("""COMPUTED_VALUE"""),3852.0)</f>
        <v>3852</v>
      </c>
      <c r="C3857" s="13" t="str">
        <f>IFERROR(__xludf.DUMMYFUNCTION("""COMPUTED_VALUE"""),"SHM 3236/Labuhan Dalam	")</f>
        <v>SHM 3236/Labuhan Dalam	</v>
      </c>
      <c r="D3857" s="13" t="str">
        <f>IFERROR(__xludf.DUMMYFUNCTION("""COMPUTED_VALUE"""),"K/41/280825/4")</f>
        <v>K/41/280825/4</v>
      </c>
      <c r="E3857" s="14" t="str">
        <f>IFERROR(__xludf.DUMMYFUNCTION("""COMPUTED_VALUE"""),"Heri (BT)")</f>
        <v>Heri (BT)</v>
      </c>
      <c r="F3857" s="14" t="str">
        <f>IFERROR(__xludf.DUMMYFUNCTION("""COMPUTED_VALUE"""),"SELESAI (VIA PERMOHONAN)")</f>
        <v>SELESAI (VIA PERMOHONAN)</v>
      </c>
      <c r="G3857" s="17">
        <f>IFERROR(__xludf.DUMMYFUNCTION("""COMPUTED_VALUE"""),45924.41067016203)</f>
        <v>45924.41067</v>
      </c>
      <c r="H3857" s="14" t="str">
        <f>IFERROR(__xludf.DUMMYFUNCTION("""COMPUTED_VALUE"""),"Eci (SU)")</f>
        <v>Eci (SU)</v>
      </c>
      <c r="I3857" s="13" t="str">
        <f>IFERROR(__xludf.DUMMYFUNCTION("""COMPUTED_VALUE"""),"SELESAI (VIA PERMOHONAN)")</f>
        <v>SELESAI (VIA PERMOHONAN)</v>
      </c>
      <c r="J3857" s="17">
        <f>IFERROR(__xludf.DUMMYFUNCTION("""COMPUTED_VALUE"""),45924.68089884259)</f>
        <v>45924.6809</v>
      </c>
      <c r="K3857" s="13" t="str">
        <f>IFERROR(__xludf.DUMMYFUNCTION("""COMPUTED_VALUE"""),"Selesai")</f>
        <v>Selesai</v>
      </c>
      <c r="L3857" s="17">
        <f>IFERROR(__xludf.DUMMYFUNCTION("""COMPUTED_VALUE"""),45924.68089884259)</f>
        <v>45924.6809</v>
      </c>
      <c r="M3857" s="13"/>
      <c r="N3857" s="13" t="str">
        <f>IFERROR(__xludf.DUMMYFUNCTION("""COMPUTED_VALUE"""),"")</f>
        <v/>
      </c>
      <c r="O3857" s="13" t="str">
        <f t="shared" si="1"/>
        <v/>
      </c>
    </row>
    <row r="3858" ht="22.5" customHeight="1">
      <c r="B3858" s="13">
        <f>IFERROR(__xludf.DUMMYFUNCTION("""COMPUTED_VALUE"""),3853.0)</f>
        <v>3853</v>
      </c>
      <c r="C3858" s="13" t="str">
        <f>IFERROR(__xludf.DUMMYFUNCTION("""COMPUTED_VALUE"""),"M. 9506/Gedung Meneng")</f>
        <v>M. 9506/Gedung Meneng</v>
      </c>
      <c r="D3858" s="13" t="str">
        <f>IFERROR(__xludf.DUMMYFUNCTION("""COMPUTED_VALUE"""),"K/35/110825/1")</f>
        <v>K/35/110825/1</v>
      </c>
      <c r="E3858" s="14" t="str">
        <f>IFERROR(__xludf.DUMMYFUNCTION("""COMPUTED_VALUE"""),"Heri (BT)")</f>
        <v>Heri (BT)</v>
      </c>
      <c r="F3858" s="14" t="str">
        <f>IFERROR(__xludf.DUMMYFUNCTION("""COMPUTED_VALUE"""),"SELESAI (VIA PERMOHONAN)")</f>
        <v>SELESAI (VIA PERMOHONAN)</v>
      </c>
      <c r="G3858" s="17">
        <f>IFERROR(__xludf.DUMMYFUNCTION("""COMPUTED_VALUE"""),45924.41082447917)</f>
        <v>45924.41082</v>
      </c>
      <c r="H3858" s="14" t="str">
        <f>IFERROR(__xludf.DUMMYFUNCTION("""COMPUTED_VALUE"""),"Eci (SU)")</f>
        <v>Eci (SU)</v>
      </c>
      <c r="I3858" s="13" t="str">
        <f>IFERROR(__xludf.DUMMYFUNCTION("""COMPUTED_VALUE"""),"SELESAI (VIA PERMOHONAN)")</f>
        <v>SELESAI (VIA PERMOHONAN)</v>
      </c>
      <c r="J3858" s="17">
        <f>IFERROR(__xludf.DUMMYFUNCTION("""COMPUTED_VALUE"""),45924.68051864584)</f>
        <v>45924.68052</v>
      </c>
      <c r="K3858" s="13" t="str">
        <f>IFERROR(__xludf.DUMMYFUNCTION("""COMPUTED_VALUE"""),"Selesai")</f>
        <v>Selesai</v>
      </c>
      <c r="L3858" s="17">
        <f>IFERROR(__xludf.DUMMYFUNCTION("""COMPUTED_VALUE"""),45924.68051864584)</f>
        <v>45924.68052</v>
      </c>
      <c r="M3858" s="13"/>
      <c r="N3858" s="13" t="str">
        <f>IFERROR(__xludf.DUMMYFUNCTION("""COMPUTED_VALUE"""),"")</f>
        <v/>
      </c>
      <c r="O3858" s="13" t="str">
        <f t="shared" si="1"/>
        <v/>
      </c>
    </row>
    <row r="3859" ht="22.5" customHeight="1">
      <c r="B3859" s="13">
        <f>IFERROR(__xludf.DUMMYFUNCTION("""COMPUTED_VALUE"""),3854.0)</f>
        <v>3854</v>
      </c>
      <c r="C3859" s="13" t="str">
        <f>IFERROR(__xludf.DUMMYFUNCTION("""COMPUTED_VALUE"""),"M. 9453/ SEGALA MIDER")</f>
        <v>M. 9453/ SEGALA MIDER</v>
      </c>
      <c r="D3859" s="13" t="str">
        <f>IFERROR(__xludf.DUMMYFUNCTION("""COMPUTED_VALUE"""),"K/14/130825/1")</f>
        <v>K/14/130825/1</v>
      </c>
      <c r="E3859" s="14" t="str">
        <f>IFERROR(__xludf.DUMMYFUNCTION("""COMPUTED_VALUE"""),"Heri (BT)")</f>
        <v>Heri (BT)</v>
      </c>
      <c r="F3859" s="14" t="str">
        <f>IFERROR(__xludf.DUMMYFUNCTION("""COMPUTED_VALUE"""),"SELESAI (VIA PERMOHONAN)")</f>
        <v>SELESAI (VIA PERMOHONAN)</v>
      </c>
      <c r="G3859" s="17">
        <f>IFERROR(__xludf.DUMMYFUNCTION("""COMPUTED_VALUE"""),45924.41097527777)</f>
        <v>45924.41098</v>
      </c>
      <c r="H3859" s="14" t="str">
        <f>IFERROR(__xludf.DUMMYFUNCTION("""COMPUTED_VALUE"""),"Eci (SU)")</f>
        <v>Eci (SU)</v>
      </c>
      <c r="I3859" s="13" t="str">
        <f>IFERROR(__xludf.DUMMYFUNCTION("""COMPUTED_VALUE"""),"SELESAI (VIA PERMOHONAN)")</f>
        <v>SELESAI (VIA PERMOHONAN)</v>
      </c>
      <c r="J3859" s="17">
        <f>IFERROR(__xludf.DUMMYFUNCTION("""COMPUTED_VALUE"""),45924.68086493056)</f>
        <v>45924.68086</v>
      </c>
      <c r="K3859" s="13" t="str">
        <f>IFERROR(__xludf.DUMMYFUNCTION("""COMPUTED_VALUE"""),"Selesai")</f>
        <v>Selesai</v>
      </c>
      <c r="L3859" s="17">
        <f>IFERROR(__xludf.DUMMYFUNCTION("""COMPUTED_VALUE"""),45924.68086493056)</f>
        <v>45924.68086</v>
      </c>
      <c r="M3859" s="13"/>
      <c r="N3859" s="13" t="str">
        <f>IFERROR(__xludf.DUMMYFUNCTION("""COMPUTED_VALUE"""),"")</f>
        <v/>
      </c>
      <c r="O3859" s="13" t="str">
        <f t="shared" si="1"/>
        <v/>
      </c>
    </row>
    <row r="3860" ht="22.5" customHeight="1">
      <c r="B3860" s="13">
        <f>IFERROR(__xludf.DUMMYFUNCTION("""COMPUTED_VALUE"""),3855.0)</f>
        <v>3855</v>
      </c>
      <c r="C3860" s="13" t="str">
        <f>IFERROR(__xludf.DUMMYFUNCTION("""COMPUTED_VALUE"""),"M. 703/Gunung Agung	")</f>
        <v>M. 703/Gunung Agung	</v>
      </c>
      <c r="D3860" s="13" t="str">
        <f>IFERROR(__xludf.DUMMYFUNCTION("""COMPUTED_VALUE"""),"K/11/110925/1")</f>
        <v>K/11/110925/1</v>
      </c>
      <c r="E3860" s="14" t="str">
        <f>IFERROR(__xludf.DUMMYFUNCTION("""COMPUTED_VALUE"""),"Heri (BT)")</f>
        <v>Heri (BT)</v>
      </c>
      <c r="F3860" s="14" t="str">
        <f>IFERROR(__xludf.DUMMYFUNCTION("""COMPUTED_VALUE"""),"SELESAI (VIA PERMOHONAN)")</f>
        <v>SELESAI (VIA PERMOHONAN)</v>
      </c>
      <c r="G3860" s="17">
        <f>IFERROR(__xludf.DUMMYFUNCTION("""COMPUTED_VALUE"""),45924.41136539352)</f>
        <v>45924.41137</v>
      </c>
      <c r="H3860" s="14" t="str">
        <f>IFERROR(__xludf.DUMMYFUNCTION("""COMPUTED_VALUE"""),"Eci (SU)")</f>
        <v>Eci (SU)</v>
      </c>
      <c r="I3860" s="13" t="str">
        <f>IFERROR(__xludf.DUMMYFUNCTION("""COMPUTED_VALUE"""),"SELESAI (VIA PERMOHONAN)")</f>
        <v>SELESAI (VIA PERMOHONAN)</v>
      </c>
      <c r="J3860" s="17">
        <f>IFERROR(__xludf.DUMMYFUNCTION("""COMPUTED_VALUE"""),45924.68075796297)</f>
        <v>45924.68076</v>
      </c>
      <c r="K3860" s="13" t="str">
        <f>IFERROR(__xludf.DUMMYFUNCTION("""COMPUTED_VALUE"""),"Selesai")</f>
        <v>Selesai</v>
      </c>
      <c r="L3860" s="17">
        <f>IFERROR(__xludf.DUMMYFUNCTION("""COMPUTED_VALUE"""),45924.68075796297)</f>
        <v>45924.68076</v>
      </c>
      <c r="M3860" s="13"/>
      <c r="N3860" s="13" t="str">
        <f>IFERROR(__xludf.DUMMYFUNCTION("""COMPUTED_VALUE"""),"")</f>
        <v/>
      </c>
      <c r="O3860" s="13" t="str">
        <f t="shared" si="1"/>
        <v/>
      </c>
    </row>
    <row r="3861" ht="22.5" customHeight="1">
      <c r="B3861" s="13">
        <f>IFERROR(__xludf.DUMMYFUNCTION("""COMPUTED_VALUE"""),3856.0)</f>
        <v>3856</v>
      </c>
      <c r="C3861" s="13" t="str">
        <f>IFERROR(__xludf.DUMMYFUNCTION("""COMPUTED_VALUE"""),"M. 14562/SUKARAME")</f>
        <v>M. 14562/SUKARAME</v>
      </c>
      <c r="D3861" s="13" t="str">
        <f>IFERROR(__xludf.DUMMYFUNCTION("""COMPUTED_VALUE"""),"K/33/180925/1")</f>
        <v>K/33/180925/1</v>
      </c>
      <c r="E3861" s="14" t="str">
        <f>IFERROR(__xludf.DUMMYFUNCTION("""COMPUTED_VALUE"""),"Heri (BT)")</f>
        <v>Heri (BT)</v>
      </c>
      <c r="F3861" s="14" t="str">
        <f>IFERROR(__xludf.DUMMYFUNCTION("""COMPUTED_VALUE"""),"SELESAI (VIA PERMOHONAN)")</f>
        <v>SELESAI (VIA PERMOHONAN)</v>
      </c>
      <c r="G3861" s="17">
        <f>IFERROR(__xludf.DUMMYFUNCTION("""COMPUTED_VALUE"""),45924.41149165509)</f>
        <v>45924.41149</v>
      </c>
      <c r="H3861" s="14" t="str">
        <f>IFERROR(__xludf.DUMMYFUNCTION("""COMPUTED_VALUE"""),"Eci (SU)")</f>
        <v>Eci (SU)</v>
      </c>
      <c r="I3861" s="13" t="str">
        <f>IFERROR(__xludf.DUMMYFUNCTION("""COMPUTED_VALUE"""),"SELESAI (VIA PERMOHONAN)")</f>
        <v>SELESAI (VIA PERMOHONAN)</v>
      </c>
      <c r="J3861" s="17">
        <f>IFERROR(__xludf.DUMMYFUNCTION("""COMPUTED_VALUE"""),45924.68061015046)</f>
        <v>45924.68061</v>
      </c>
      <c r="K3861" s="13" t="str">
        <f>IFERROR(__xludf.DUMMYFUNCTION("""COMPUTED_VALUE"""),"Selesai")</f>
        <v>Selesai</v>
      </c>
      <c r="L3861" s="17">
        <f>IFERROR(__xludf.DUMMYFUNCTION("""COMPUTED_VALUE"""),45924.68061015046)</f>
        <v>45924.68061</v>
      </c>
      <c r="M3861" s="13"/>
      <c r="N3861" s="13" t="str">
        <f>IFERROR(__xludf.DUMMYFUNCTION("""COMPUTED_VALUE"""),"")</f>
        <v/>
      </c>
      <c r="O3861" s="13" t="str">
        <f t="shared" si="1"/>
        <v/>
      </c>
    </row>
    <row r="3862" ht="22.5" customHeight="1">
      <c r="B3862" s="13">
        <f>IFERROR(__xludf.DUMMYFUNCTION("""COMPUTED_VALUE"""),3857.0)</f>
        <v>3857</v>
      </c>
      <c r="C3862" s="13" t="str">
        <f>IFERROR(__xludf.DUMMYFUNCTION("""COMPUTED_VALUE"""),"M. 230/BILABONG JAYA")</f>
        <v>M. 230/BILABONG JAYA</v>
      </c>
      <c r="D3862" s="13" t="str">
        <f>IFERROR(__xludf.DUMMYFUNCTION("""COMPUTED_VALUE"""),"K/32/280825/1")</f>
        <v>K/32/280825/1</v>
      </c>
      <c r="E3862" s="14" t="str">
        <f>IFERROR(__xludf.DUMMYFUNCTION("""COMPUTED_VALUE"""),"Heri (BT)")</f>
        <v>Heri (BT)</v>
      </c>
      <c r="F3862" s="14" t="str">
        <f>IFERROR(__xludf.DUMMYFUNCTION("""COMPUTED_VALUE"""),"SELESAI (VIA PERMOHONAN)")</f>
        <v>SELESAI (VIA PERMOHONAN)</v>
      </c>
      <c r="G3862" s="17">
        <f>IFERROR(__xludf.DUMMYFUNCTION("""COMPUTED_VALUE"""),45924.41166585648)</f>
        <v>45924.41167</v>
      </c>
      <c r="H3862" s="14" t="str">
        <f>IFERROR(__xludf.DUMMYFUNCTION("""COMPUTED_VALUE"""),"Eci (SU)")</f>
        <v>Eci (SU)</v>
      </c>
      <c r="I3862" s="13" t="str">
        <f>IFERROR(__xludf.DUMMYFUNCTION("""COMPUTED_VALUE"""),"SELESAI (VIA PERMOHONAN)")</f>
        <v>SELESAI (VIA PERMOHONAN)</v>
      </c>
      <c r="J3862" s="17">
        <f>IFERROR(__xludf.DUMMYFUNCTION("""COMPUTED_VALUE"""),45924.680725439815)</f>
        <v>45924.68073</v>
      </c>
      <c r="K3862" s="13" t="str">
        <f>IFERROR(__xludf.DUMMYFUNCTION("""COMPUTED_VALUE"""),"Selesai")</f>
        <v>Selesai</v>
      </c>
      <c r="L3862" s="17">
        <f>IFERROR(__xludf.DUMMYFUNCTION("""COMPUTED_VALUE"""),45924.680725439815)</f>
        <v>45924.68073</v>
      </c>
      <c r="M3862" s="13"/>
      <c r="N3862" s="13" t="str">
        <f>IFERROR(__xludf.DUMMYFUNCTION("""COMPUTED_VALUE"""),"")</f>
        <v/>
      </c>
      <c r="O3862" s="13" t="str">
        <f t="shared" si="1"/>
        <v/>
      </c>
    </row>
    <row r="3863" ht="22.5" customHeight="1">
      <c r="B3863" s="13">
        <f>IFERROR(__xludf.DUMMYFUNCTION("""COMPUTED_VALUE"""),3858.0)</f>
        <v>3858</v>
      </c>
      <c r="C3863" s="13" t="str">
        <f>IFERROR(__xludf.DUMMYFUNCTION("""COMPUTED_VALUE"""),"M. 10499/Gedong Meneng")</f>
        <v>M. 10499/Gedong Meneng</v>
      </c>
      <c r="D3863" s="13" t="str">
        <f>IFERROR(__xludf.DUMMYFUNCTION("""COMPUTED_VALUE"""),"K/52/210830/2")</f>
        <v>K/52/210830/2</v>
      </c>
      <c r="E3863" s="14" t="str">
        <f>IFERROR(__xludf.DUMMYFUNCTION("""COMPUTED_VALUE"""),"Heri (BT)")</f>
        <v>Heri (BT)</v>
      </c>
      <c r="F3863" s="14" t="str">
        <f>IFERROR(__xludf.DUMMYFUNCTION("""COMPUTED_VALUE"""),"SELESAI (VIA PERMOHONAN)")</f>
        <v>SELESAI (VIA PERMOHONAN)</v>
      </c>
      <c r="G3863" s="17">
        <f>IFERROR(__xludf.DUMMYFUNCTION("""COMPUTED_VALUE"""),45926.47873966435)</f>
        <v>45926.47874</v>
      </c>
      <c r="H3863" s="14" t="str">
        <f>IFERROR(__xludf.DUMMYFUNCTION("""COMPUTED_VALUE"""),"Eci (SU)")</f>
        <v>Eci (SU)</v>
      </c>
      <c r="I3863" s="13" t="str">
        <f>IFERROR(__xludf.DUMMYFUNCTION("""COMPUTED_VALUE"""),"SELESAI (VIA PERMOHONAN)")</f>
        <v>SELESAI (VIA PERMOHONAN)</v>
      </c>
      <c r="J3863" s="17">
        <f>IFERROR(__xludf.DUMMYFUNCTION("""COMPUTED_VALUE"""),45929.59890247685)</f>
        <v>45929.5989</v>
      </c>
      <c r="K3863" s="13" t="str">
        <f>IFERROR(__xludf.DUMMYFUNCTION("""COMPUTED_VALUE"""),"Selesai")</f>
        <v>Selesai</v>
      </c>
      <c r="L3863" s="17">
        <f>IFERROR(__xludf.DUMMYFUNCTION("""COMPUTED_VALUE"""),45929.59890247685)</f>
        <v>45929.5989</v>
      </c>
      <c r="M3863" s="13"/>
      <c r="N3863" s="13" t="str">
        <f>IFERROR(__xludf.DUMMYFUNCTION("""COMPUTED_VALUE"""),"")</f>
        <v/>
      </c>
      <c r="O3863" s="13" t="str">
        <f t="shared" si="1"/>
        <v/>
      </c>
    </row>
    <row r="3864" ht="22.5" customHeight="1">
      <c r="B3864" s="13">
        <f>IFERROR(__xludf.DUMMYFUNCTION("""COMPUTED_VALUE"""),3859.0)</f>
        <v>3859</v>
      </c>
      <c r="C3864" s="13" t="str">
        <f>IFERROR(__xludf.DUMMYFUNCTION("""COMPUTED_VALUE"""),"M.464/SUMUR PUTRI")</f>
        <v>M.464/SUMUR PUTRI</v>
      </c>
      <c r="D3864" s="13" t="str">
        <f>IFERROR(__xludf.DUMMYFUNCTION("""COMPUTED_VALUE"""),"L/17/180925/1")</f>
        <v>L/17/180925/1</v>
      </c>
      <c r="E3864" s="14" t="str">
        <f>IFERROR(__xludf.DUMMYFUNCTION("""COMPUTED_VALUE"""),"Heri (BT)")</f>
        <v>Heri (BT)</v>
      </c>
      <c r="F3864" s="14" t="str">
        <f>IFERROR(__xludf.DUMMYFUNCTION("""COMPUTED_VALUE"""),"SELESAI (VIA PERMOHONAN)")</f>
        <v>SELESAI (VIA PERMOHONAN)</v>
      </c>
      <c r="G3864" s="17">
        <f>IFERROR(__xludf.DUMMYFUNCTION("""COMPUTED_VALUE"""),45926.47886679399)</f>
        <v>45926.47887</v>
      </c>
      <c r="H3864" s="14" t="str">
        <f>IFERROR(__xludf.DUMMYFUNCTION("""COMPUTED_VALUE"""),"Eci (SU)")</f>
        <v>Eci (SU)</v>
      </c>
      <c r="I3864" s="13" t="str">
        <f>IFERROR(__xludf.DUMMYFUNCTION("""COMPUTED_VALUE"""),"SELESAI (VIA PERMOHONAN)")</f>
        <v>SELESAI (VIA PERMOHONAN)</v>
      </c>
      <c r="J3864" s="17">
        <f>IFERROR(__xludf.DUMMYFUNCTION("""COMPUTED_VALUE"""),45929.59925905093)</f>
        <v>45929.59926</v>
      </c>
      <c r="K3864" s="13" t="str">
        <f>IFERROR(__xludf.DUMMYFUNCTION("""COMPUTED_VALUE"""),"Selesai")</f>
        <v>Selesai</v>
      </c>
      <c r="L3864" s="17">
        <f>IFERROR(__xludf.DUMMYFUNCTION("""COMPUTED_VALUE"""),45929.59925905093)</f>
        <v>45929.59926</v>
      </c>
      <c r="M3864" s="13"/>
      <c r="N3864" s="13" t="str">
        <f>IFERROR(__xludf.DUMMYFUNCTION("""COMPUTED_VALUE"""),"")</f>
        <v/>
      </c>
      <c r="O3864" s="13" t="str">
        <f t="shared" si="1"/>
        <v/>
      </c>
    </row>
    <row r="3865" ht="22.5" customHeight="1">
      <c r="B3865" s="13">
        <f>IFERROR(__xludf.DUMMYFUNCTION("""COMPUTED_VALUE"""),3860.0)</f>
        <v>3860</v>
      </c>
      <c r="C3865" s="13" t="str">
        <f>IFERROR(__xludf.DUMMYFUNCTION("""COMPUTED_VALUE"""),"M. 4814/ CAMPANG RAYA")</f>
        <v>M. 4814/ CAMPANG RAYA</v>
      </c>
      <c r="D3865" s="13" t="str">
        <f>IFERROR(__xludf.DUMMYFUNCTION("""COMPUTED_VALUE"""),"K/25/210825/")</f>
        <v>K/25/210825/</v>
      </c>
      <c r="E3865" s="14" t="str">
        <f>IFERROR(__xludf.DUMMYFUNCTION("""COMPUTED_VALUE"""),"Heri (BT)")</f>
        <v>Heri (BT)</v>
      </c>
      <c r="F3865" s="14" t="str">
        <f>IFERROR(__xludf.DUMMYFUNCTION("""COMPUTED_VALUE"""),"SELESAI (VIA PERMOHONAN)")</f>
        <v>SELESAI (VIA PERMOHONAN)</v>
      </c>
      <c r="G3865" s="17">
        <f>IFERROR(__xludf.DUMMYFUNCTION("""COMPUTED_VALUE"""),45926.47899270833)</f>
        <v>45926.47899</v>
      </c>
      <c r="H3865" s="14" t="str">
        <f>IFERROR(__xludf.DUMMYFUNCTION("""COMPUTED_VALUE"""),"Eci (SU)")</f>
        <v>Eci (SU)</v>
      </c>
      <c r="I3865" s="13" t="str">
        <f>IFERROR(__xludf.DUMMYFUNCTION("""COMPUTED_VALUE"""),"SELESAI (VIA PERMOHONAN)")</f>
        <v>SELESAI (VIA PERMOHONAN)</v>
      </c>
      <c r="J3865" s="17">
        <f>IFERROR(__xludf.DUMMYFUNCTION("""COMPUTED_VALUE"""),45929.600878020836)</f>
        <v>45929.60088</v>
      </c>
      <c r="K3865" s="13" t="str">
        <f>IFERROR(__xludf.DUMMYFUNCTION("""COMPUTED_VALUE"""),"Selesai")</f>
        <v>Selesai</v>
      </c>
      <c r="L3865" s="17">
        <f>IFERROR(__xludf.DUMMYFUNCTION("""COMPUTED_VALUE"""),45929.600878020836)</f>
        <v>45929.60088</v>
      </c>
      <c r="M3865" s="13"/>
      <c r="N3865" s="13" t="str">
        <f>IFERROR(__xludf.DUMMYFUNCTION("""COMPUTED_VALUE"""),"")</f>
        <v/>
      </c>
      <c r="O3865" s="13" t="str">
        <f t="shared" si="1"/>
        <v/>
      </c>
    </row>
    <row r="3866" ht="22.5" customHeight="1">
      <c r="B3866" s="13">
        <f>IFERROR(__xludf.DUMMYFUNCTION("""COMPUTED_VALUE"""),3861.0)</f>
        <v>3861</v>
      </c>
      <c r="C3866" s="13" t="str">
        <f>IFERROR(__xludf.DUMMYFUNCTION("""COMPUTED_VALUE"""),"B. 1800/Sukarame	")</f>
        <v>B. 1800/Sukarame	</v>
      </c>
      <c r="D3866" s="13" t="str">
        <f>IFERROR(__xludf.DUMMYFUNCTION("""COMPUTED_VALUE"""),"K/2/080925/1")</f>
        <v>K/2/080925/1</v>
      </c>
      <c r="E3866" s="14" t="str">
        <f>IFERROR(__xludf.DUMMYFUNCTION("""COMPUTED_VALUE"""),"Heri (BT)")</f>
        <v>Heri (BT)</v>
      </c>
      <c r="F3866" s="14" t="str">
        <f>IFERROR(__xludf.DUMMYFUNCTION("""COMPUTED_VALUE"""),"SELESAI (VIA PERMOHONAN)")</f>
        <v>SELESAI (VIA PERMOHONAN)</v>
      </c>
      <c r="G3866" s="17">
        <f>IFERROR(__xludf.DUMMYFUNCTION("""COMPUTED_VALUE"""),45926.479106956016)</f>
        <v>45926.47911</v>
      </c>
      <c r="H3866" s="14" t="str">
        <f>IFERROR(__xludf.DUMMYFUNCTION("""COMPUTED_VALUE"""),"Eci (SU)")</f>
        <v>Eci (SU)</v>
      </c>
      <c r="I3866" s="13" t="str">
        <f>IFERROR(__xludf.DUMMYFUNCTION("""COMPUTED_VALUE"""),"SELESAI (VIA PERMOHONAN)")</f>
        <v>SELESAI (VIA PERMOHONAN)</v>
      </c>
      <c r="J3866" s="17">
        <f>IFERROR(__xludf.DUMMYFUNCTION("""COMPUTED_VALUE"""),45929.60092283565)</f>
        <v>45929.60092</v>
      </c>
      <c r="K3866" s="13" t="str">
        <f>IFERROR(__xludf.DUMMYFUNCTION("""COMPUTED_VALUE"""),"Selesai")</f>
        <v>Selesai</v>
      </c>
      <c r="L3866" s="17">
        <f>IFERROR(__xludf.DUMMYFUNCTION("""COMPUTED_VALUE"""),45929.60092283565)</f>
        <v>45929.60092</v>
      </c>
      <c r="M3866" s="13"/>
      <c r="N3866" s="13" t="str">
        <f>IFERROR(__xludf.DUMMYFUNCTION("""COMPUTED_VALUE"""),"")</f>
        <v/>
      </c>
      <c r="O3866" s="13" t="str">
        <f t="shared" si="1"/>
        <v/>
      </c>
    </row>
    <row r="3867" ht="22.5" customHeight="1">
      <c r="B3867" s="13">
        <f>IFERROR(__xludf.DUMMYFUNCTION("""COMPUTED_VALUE"""),3862.0)</f>
        <v>3862</v>
      </c>
      <c r="C3867" s="13" t="str">
        <f>IFERROR(__xludf.DUMMYFUNCTION("""COMPUTED_VALUE"""),"M. 2024/Kali Balau Kencana	")</f>
        <v>M. 2024/Kali Balau Kencana	</v>
      </c>
      <c r="D3867" s="13" t="str">
        <f>IFERROR(__xludf.DUMMYFUNCTION("""COMPUTED_VALUE"""),"K/38/100925/1")</f>
        <v>K/38/100925/1</v>
      </c>
      <c r="E3867" s="14" t="str">
        <f>IFERROR(__xludf.DUMMYFUNCTION("""COMPUTED_VALUE"""),"Heri (BT)")</f>
        <v>Heri (BT)</v>
      </c>
      <c r="F3867" s="14" t="str">
        <f>IFERROR(__xludf.DUMMYFUNCTION("""COMPUTED_VALUE"""),"SELESAI (VIA PERMOHONAN)")</f>
        <v>SELESAI (VIA PERMOHONAN)</v>
      </c>
      <c r="G3867" s="17">
        <f>IFERROR(__xludf.DUMMYFUNCTION("""COMPUTED_VALUE"""),45926.479246250005)</f>
        <v>45926.47925</v>
      </c>
      <c r="H3867" s="14" t="str">
        <f>IFERROR(__xludf.DUMMYFUNCTION("""COMPUTED_VALUE"""),"Eci (SU)")</f>
        <v>Eci (SU)</v>
      </c>
      <c r="I3867" s="13" t="str">
        <f>IFERROR(__xludf.DUMMYFUNCTION("""COMPUTED_VALUE"""),"SELESAI (VIA PERMOHONAN)")</f>
        <v>SELESAI (VIA PERMOHONAN)</v>
      </c>
      <c r="J3867" s="17">
        <f>IFERROR(__xludf.DUMMYFUNCTION("""COMPUTED_VALUE"""),45929.59907704861)</f>
        <v>45929.59908</v>
      </c>
      <c r="K3867" s="13" t="str">
        <f>IFERROR(__xludf.DUMMYFUNCTION("""COMPUTED_VALUE"""),"Selesai")</f>
        <v>Selesai</v>
      </c>
      <c r="L3867" s="17">
        <f>IFERROR(__xludf.DUMMYFUNCTION("""COMPUTED_VALUE"""),45929.59907704861)</f>
        <v>45929.59908</v>
      </c>
      <c r="M3867" s="13"/>
      <c r="N3867" s="13" t="str">
        <f>IFERROR(__xludf.DUMMYFUNCTION("""COMPUTED_VALUE"""),"")</f>
        <v/>
      </c>
      <c r="O3867" s="13" t="str">
        <f t="shared" si="1"/>
        <v/>
      </c>
    </row>
    <row r="3868" ht="22.5" customHeight="1">
      <c r="B3868" s="13">
        <f>IFERROR(__xludf.DUMMYFUNCTION("""COMPUTED_VALUE"""),3863.0)</f>
        <v>3863</v>
      </c>
      <c r="C3868" s="13" t="str">
        <f>IFERROR(__xludf.DUMMYFUNCTION("""COMPUTED_VALUE"""),"M 3209/ LANGKAPURA")</f>
        <v>M 3209/ LANGKAPURA</v>
      </c>
      <c r="D3868" s="13" t="str">
        <f>IFERROR(__xludf.DUMMYFUNCTION("""COMPUTED_VALUE"""),"K/35/100925/1")</f>
        <v>K/35/100925/1</v>
      </c>
      <c r="E3868" s="14" t="str">
        <f>IFERROR(__xludf.DUMMYFUNCTION("""COMPUTED_VALUE"""),"Heri (BT)")</f>
        <v>Heri (BT)</v>
      </c>
      <c r="F3868" s="14" t="str">
        <f>IFERROR(__xludf.DUMMYFUNCTION("""COMPUTED_VALUE"""),"SELESAI (VIA PERMOHONAN)")</f>
        <v>SELESAI (VIA PERMOHONAN)</v>
      </c>
      <c r="G3868" s="17">
        <f>IFERROR(__xludf.DUMMYFUNCTION("""COMPUTED_VALUE"""),45926.47942376157)</f>
        <v>45926.47942</v>
      </c>
      <c r="H3868" s="14" t="str">
        <f>IFERROR(__xludf.DUMMYFUNCTION("""COMPUTED_VALUE"""),"Eci (SU)")</f>
        <v>Eci (SU)</v>
      </c>
      <c r="I3868" s="13" t="str">
        <f>IFERROR(__xludf.DUMMYFUNCTION("""COMPUTED_VALUE"""),"SELESAI (VIA PERMOHONAN)")</f>
        <v>SELESAI (VIA PERMOHONAN)</v>
      </c>
      <c r="J3868" s="17">
        <f>IFERROR(__xludf.DUMMYFUNCTION("""COMPUTED_VALUE"""),45929.601063344904)</f>
        <v>45929.60106</v>
      </c>
      <c r="K3868" s="13" t="str">
        <f>IFERROR(__xludf.DUMMYFUNCTION("""COMPUTED_VALUE"""),"Selesai")</f>
        <v>Selesai</v>
      </c>
      <c r="L3868" s="17">
        <f>IFERROR(__xludf.DUMMYFUNCTION("""COMPUTED_VALUE"""),45929.601063344904)</f>
        <v>45929.60106</v>
      </c>
      <c r="M3868" s="13"/>
      <c r="N3868" s="13" t="str">
        <f>IFERROR(__xludf.DUMMYFUNCTION("""COMPUTED_VALUE"""),"")</f>
        <v/>
      </c>
      <c r="O3868" s="13" t="str">
        <f t="shared" si="1"/>
        <v/>
      </c>
    </row>
    <row r="3869" ht="22.5" customHeight="1">
      <c r="B3869" s="13">
        <f>IFERROR(__xludf.DUMMYFUNCTION("""COMPUTED_VALUE"""),3864.0)</f>
        <v>3864</v>
      </c>
      <c r="C3869" s="13" t="str">
        <f>IFERROR(__xludf.DUMMYFUNCTION("""COMPUTED_VALUE"""),"M 4342/ GUNUNG TERANG")</f>
        <v>M 4342/ GUNUNG TERANG</v>
      </c>
      <c r="D3869" s="13" t="str">
        <f>IFERROR(__xludf.DUMMYFUNCTION("""COMPUTED_VALUE"""),"K/12/170925/2")</f>
        <v>K/12/170925/2</v>
      </c>
      <c r="E3869" s="14" t="str">
        <f>IFERROR(__xludf.DUMMYFUNCTION("""COMPUTED_VALUE"""),"Heri (BT)")</f>
        <v>Heri (BT)</v>
      </c>
      <c r="F3869" s="14" t="str">
        <f>IFERROR(__xludf.DUMMYFUNCTION("""COMPUTED_VALUE"""),"SELESAI (VIA PERMOHONAN)")</f>
        <v>SELESAI (VIA PERMOHONAN)</v>
      </c>
      <c r="G3869" s="17">
        <f>IFERROR(__xludf.DUMMYFUNCTION("""COMPUTED_VALUE"""),45926.479587291666)</f>
        <v>45926.47959</v>
      </c>
      <c r="H3869" s="14" t="str">
        <f>IFERROR(__xludf.DUMMYFUNCTION("""COMPUTED_VALUE"""),"Eci (SU)")</f>
        <v>Eci (SU)</v>
      </c>
      <c r="I3869" s="13" t="str">
        <f>IFERROR(__xludf.DUMMYFUNCTION("""COMPUTED_VALUE"""),"SELESAI (VIA PERMOHONAN)")</f>
        <v>SELESAI (VIA PERMOHONAN)</v>
      </c>
      <c r="J3869" s="17">
        <f>IFERROR(__xludf.DUMMYFUNCTION("""COMPUTED_VALUE"""),45929.60151140046)</f>
        <v>45929.60151</v>
      </c>
      <c r="K3869" s="13" t="str">
        <f>IFERROR(__xludf.DUMMYFUNCTION("""COMPUTED_VALUE"""),"Selesai")</f>
        <v>Selesai</v>
      </c>
      <c r="L3869" s="17">
        <f>IFERROR(__xludf.DUMMYFUNCTION("""COMPUTED_VALUE"""),45929.60151140046)</f>
        <v>45929.60151</v>
      </c>
      <c r="M3869" s="13"/>
      <c r="N3869" s="13" t="str">
        <f>IFERROR(__xludf.DUMMYFUNCTION("""COMPUTED_VALUE"""),"")</f>
        <v/>
      </c>
      <c r="O3869" s="13" t="str">
        <f t="shared" si="1"/>
        <v/>
      </c>
    </row>
    <row r="3870" ht="22.5" customHeight="1">
      <c r="B3870" s="13">
        <f>IFERROR(__xludf.DUMMYFUNCTION("""COMPUTED_VALUE"""),3865.0)</f>
        <v>3865</v>
      </c>
      <c r="C3870" s="13" t="str">
        <f>IFERROR(__xludf.DUMMYFUNCTION("""COMPUTED_VALUE"""),"B. 728/CAMPANG RAYA")</f>
        <v>B. 728/CAMPANG RAYA</v>
      </c>
      <c r="D3870" s="13" t="str">
        <f>IFERROR(__xludf.DUMMYFUNCTION("""COMPUTED_VALUE"""),"L/16/100925/1")</f>
        <v>L/16/100925/1</v>
      </c>
      <c r="E3870" s="14" t="str">
        <f>IFERROR(__xludf.DUMMYFUNCTION("""COMPUTED_VALUE"""),"Heri (BT)")</f>
        <v>Heri (BT)</v>
      </c>
      <c r="F3870" s="14" t="str">
        <f>IFERROR(__xludf.DUMMYFUNCTION("""COMPUTED_VALUE"""),"SELESAI (VIA PERMOHONAN)")</f>
        <v>SELESAI (VIA PERMOHONAN)</v>
      </c>
      <c r="G3870" s="17">
        <f>IFERROR(__xludf.DUMMYFUNCTION("""COMPUTED_VALUE"""),45926.479823946764)</f>
        <v>45926.47982</v>
      </c>
      <c r="H3870" s="14" t="str">
        <f>IFERROR(__xludf.DUMMYFUNCTION("""COMPUTED_VALUE"""),"Eci (SU)")</f>
        <v>Eci (SU)</v>
      </c>
      <c r="I3870" s="13" t="str">
        <f>IFERROR(__xludf.DUMMYFUNCTION("""COMPUTED_VALUE"""),"SELESAI (VIA PERMOHONAN)")</f>
        <v>SELESAI (VIA PERMOHONAN)</v>
      </c>
      <c r="J3870" s="17">
        <f>IFERROR(__xludf.DUMMYFUNCTION("""COMPUTED_VALUE"""),45929.60114960648)</f>
        <v>45929.60115</v>
      </c>
      <c r="K3870" s="13" t="str">
        <f>IFERROR(__xludf.DUMMYFUNCTION("""COMPUTED_VALUE"""),"Selesai")</f>
        <v>Selesai</v>
      </c>
      <c r="L3870" s="17">
        <f>IFERROR(__xludf.DUMMYFUNCTION("""COMPUTED_VALUE"""),45929.60114960648)</f>
        <v>45929.60115</v>
      </c>
      <c r="M3870" s="13"/>
      <c r="N3870" s="13" t="str">
        <f>IFERROR(__xludf.DUMMYFUNCTION("""COMPUTED_VALUE"""),"")</f>
        <v/>
      </c>
      <c r="O3870" s="13" t="str">
        <f t="shared" si="1"/>
        <v/>
      </c>
    </row>
    <row r="3871" ht="22.5" customHeight="1">
      <c r="B3871" s="13">
        <f>IFERROR(__xludf.DUMMYFUNCTION("""COMPUTED_VALUE"""),3866.0)</f>
        <v>3866</v>
      </c>
      <c r="C3871" s="13" t="str">
        <f>IFERROR(__xludf.DUMMYFUNCTION("""COMPUTED_VALUE"""),"M. 1538/ LABUHAN DALAM DAN M. 1548/LABUHAN DALAM")</f>
        <v>M. 1538/ LABUHAN DALAM DAN M. 1548/LABUHAN DALAM</v>
      </c>
      <c r="D3871" s="13" t="str">
        <f>IFERROR(__xludf.DUMMYFUNCTION("""COMPUTED_VALUE"""),"L/17/030925/1")</f>
        <v>L/17/030925/1</v>
      </c>
      <c r="E3871" s="14" t="str">
        <f>IFERROR(__xludf.DUMMYFUNCTION("""COMPUTED_VALUE"""),"Heri (BT)")</f>
        <v>Heri (BT)</v>
      </c>
      <c r="F3871" s="14" t="str">
        <f>IFERROR(__xludf.DUMMYFUNCTION("""COMPUTED_VALUE"""),"SELESAI (VIA PERMOHONAN)")</f>
        <v>SELESAI (VIA PERMOHONAN)</v>
      </c>
      <c r="G3871" s="17">
        <f>IFERROR(__xludf.DUMMYFUNCTION("""COMPUTED_VALUE"""),45926.48006221065)</f>
        <v>45926.48006</v>
      </c>
      <c r="H3871" s="14" t="str">
        <f>IFERROR(__xludf.DUMMYFUNCTION("""COMPUTED_VALUE"""),"Eci (SU)")</f>
        <v>Eci (SU)</v>
      </c>
      <c r="I3871" s="13" t="str">
        <f>IFERROR(__xludf.DUMMYFUNCTION("""COMPUTED_VALUE"""),"SELESAI (VIA PERMOHONAN)")</f>
        <v>SELESAI (VIA PERMOHONAN)</v>
      </c>
      <c r="J3871" s="17">
        <f>IFERROR(__xludf.DUMMYFUNCTION("""COMPUTED_VALUE"""),45929.60022912037)</f>
        <v>45929.60023</v>
      </c>
      <c r="K3871" s="13" t="str">
        <f>IFERROR(__xludf.DUMMYFUNCTION("""COMPUTED_VALUE"""),"Selesai")</f>
        <v>Selesai</v>
      </c>
      <c r="L3871" s="17">
        <f>IFERROR(__xludf.DUMMYFUNCTION("""COMPUTED_VALUE"""),45929.60022912037)</f>
        <v>45929.60023</v>
      </c>
      <c r="M3871" s="13"/>
      <c r="N3871" s="13" t="str">
        <f>IFERROR(__xludf.DUMMYFUNCTION("""COMPUTED_VALUE"""),"")</f>
        <v/>
      </c>
      <c r="O3871" s="13" t="str">
        <f t="shared" si="1"/>
        <v/>
      </c>
    </row>
    <row r="3872" ht="22.5" customHeight="1">
      <c r="B3872" s="13">
        <f>IFERROR(__xludf.DUMMYFUNCTION("""COMPUTED_VALUE"""),3867.0)</f>
        <v>3867</v>
      </c>
      <c r="C3872" s="13" t="str">
        <f>IFERROR(__xludf.DUMMYFUNCTION("""COMPUTED_VALUE"""),"B.1549/WAY HALIM PERMAI")</f>
        <v>B.1549/WAY HALIM PERMAI</v>
      </c>
      <c r="D3872" s="13" t="str">
        <f>IFERROR(__xludf.DUMMYFUNCTION("""COMPUTED_VALUE"""),"L/33/170925/1")</f>
        <v>L/33/170925/1</v>
      </c>
      <c r="E3872" s="14" t="str">
        <f>IFERROR(__xludf.DUMMYFUNCTION("""COMPUTED_VALUE"""),"Heri (BT)")</f>
        <v>Heri (BT)</v>
      </c>
      <c r="F3872" s="14" t="str">
        <f>IFERROR(__xludf.DUMMYFUNCTION("""COMPUTED_VALUE"""),"SELESAI (VIA PERMOHONAN)")</f>
        <v>SELESAI (VIA PERMOHONAN)</v>
      </c>
      <c r="G3872" s="17">
        <f>IFERROR(__xludf.DUMMYFUNCTION("""COMPUTED_VALUE"""),45926.480195324075)</f>
        <v>45926.4802</v>
      </c>
      <c r="H3872" s="14" t="str">
        <f>IFERROR(__xludf.DUMMYFUNCTION("""COMPUTED_VALUE"""),"Eci (SU)")</f>
        <v>Eci (SU)</v>
      </c>
      <c r="I3872" s="13" t="str">
        <f>IFERROR(__xludf.DUMMYFUNCTION("""COMPUTED_VALUE"""),"SELESAI (VIA PERMOHONAN)")</f>
        <v>SELESAI (VIA PERMOHONAN)</v>
      </c>
      <c r="J3872" s="17">
        <f>IFERROR(__xludf.DUMMYFUNCTION("""COMPUTED_VALUE"""),45929.601618009256)</f>
        <v>45929.60162</v>
      </c>
      <c r="K3872" s="13" t="str">
        <f>IFERROR(__xludf.DUMMYFUNCTION("""COMPUTED_VALUE"""),"Selesai")</f>
        <v>Selesai</v>
      </c>
      <c r="L3872" s="17">
        <f>IFERROR(__xludf.DUMMYFUNCTION("""COMPUTED_VALUE"""),45929.601618009256)</f>
        <v>45929.60162</v>
      </c>
      <c r="M3872" s="13"/>
      <c r="N3872" s="13" t="str">
        <f>IFERROR(__xludf.DUMMYFUNCTION("""COMPUTED_VALUE"""),"")</f>
        <v/>
      </c>
      <c r="O3872" s="13" t="str">
        <f t="shared" si="1"/>
        <v/>
      </c>
    </row>
    <row r="3873" ht="22.5" customHeight="1">
      <c r="B3873" s="13">
        <f>IFERROR(__xludf.DUMMYFUNCTION("""COMPUTED_VALUE"""),3868.0)</f>
        <v>3868</v>
      </c>
      <c r="C3873" s="13" t="str">
        <f>IFERROR(__xludf.DUMMYFUNCTION("""COMPUTED_VALUE"""),"B. 2083/SUKABUMI")</f>
        <v>B. 2083/SUKABUMI</v>
      </c>
      <c r="D3873" s="13" t="str">
        <f>IFERROR(__xludf.DUMMYFUNCTION("""COMPUTED_VALUE"""),"L/9/170925/2")</f>
        <v>L/9/170925/2</v>
      </c>
      <c r="E3873" s="14" t="str">
        <f>IFERROR(__xludf.DUMMYFUNCTION("""COMPUTED_VALUE"""),"Heri (BT)")</f>
        <v>Heri (BT)</v>
      </c>
      <c r="F3873" s="14" t="str">
        <f>IFERROR(__xludf.DUMMYFUNCTION("""COMPUTED_VALUE"""),"SELESAI (VIA PERMOHONAN)")</f>
        <v>SELESAI (VIA PERMOHONAN)</v>
      </c>
      <c r="G3873" s="17">
        <f>IFERROR(__xludf.DUMMYFUNCTION("""COMPUTED_VALUE"""),45926.480577546296)</f>
        <v>45926.48058</v>
      </c>
      <c r="H3873" s="14" t="str">
        <f>IFERROR(__xludf.DUMMYFUNCTION("""COMPUTED_VALUE"""),"Eci (SU)")</f>
        <v>Eci (SU)</v>
      </c>
      <c r="I3873" s="13" t="str">
        <f>IFERROR(__xludf.DUMMYFUNCTION("""COMPUTED_VALUE"""),"SELESAI (VIA PERMOHONAN)")</f>
        <v>SELESAI (VIA PERMOHONAN)</v>
      </c>
      <c r="J3873" s="17">
        <f>IFERROR(__xludf.DUMMYFUNCTION("""COMPUTED_VALUE"""),45929.601262592594)</f>
        <v>45929.60126</v>
      </c>
      <c r="K3873" s="13" t="str">
        <f>IFERROR(__xludf.DUMMYFUNCTION("""COMPUTED_VALUE"""),"Selesai")</f>
        <v>Selesai</v>
      </c>
      <c r="L3873" s="17">
        <f>IFERROR(__xludf.DUMMYFUNCTION("""COMPUTED_VALUE"""),45929.601262592594)</f>
        <v>45929.60126</v>
      </c>
      <c r="M3873" s="13"/>
      <c r="N3873" s="13" t="str">
        <f>IFERROR(__xludf.DUMMYFUNCTION("""COMPUTED_VALUE"""),"")</f>
        <v/>
      </c>
      <c r="O3873" s="13" t="str">
        <f t="shared" si="1"/>
        <v/>
      </c>
    </row>
    <row r="3874" ht="22.5" customHeight="1">
      <c r="B3874" s="13">
        <f>IFERROR(__xludf.DUMMYFUNCTION("""COMPUTED_VALUE"""),3869.0)</f>
        <v>3869</v>
      </c>
      <c r="C3874" s="13" t="str">
        <f>IFERROR(__xludf.DUMMYFUNCTION("""COMPUTED_VALUE"""),"M.13404/SEGALA MIDER")</f>
        <v>M.13404/SEGALA MIDER</v>
      </c>
      <c r="D3874" s="13" t="str">
        <f>IFERROR(__xludf.DUMMYFUNCTION("""COMPUTED_VALUE"""),"L/18/190925/1")</f>
        <v>L/18/190925/1</v>
      </c>
      <c r="E3874" s="14" t="str">
        <f>IFERROR(__xludf.DUMMYFUNCTION("""COMPUTED_VALUE"""),"Heri (BT)")</f>
        <v>Heri (BT)</v>
      </c>
      <c r="F3874" s="14" t="str">
        <f>IFERROR(__xludf.DUMMYFUNCTION("""COMPUTED_VALUE"""),"SELESAI (VIA PERMOHONAN)")</f>
        <v>SELESAI (VIA PERMOHONAN)</v>
      </c>
      <c r="G3874" s="17">
        <f>IFERROR(__xludf.DUMMYFUNCTION("""COMPUTED_VALUE"""),45926.48071503472)</f>
        <v>45926.48072</v>
      </c>
      <c r="H3874" s="14" t="str">
        <f>IFERROR(__xludf.DUMMYFUNCTION("""COMPUTED_VALUE"""),"Eci (SU)")</f>
        <v>Eci (SU)</v>
      </c>
      <c r="I3874" s="13" t="str">
        <f>IFERROR(__xludf.DUMMYFUNCTION("""COMPUTED_VALUE"""),"SELESAI (VIA PERMOHONAN)")</f>
        <v>SELESAI (VIA PERMOHONAN)</v>
      </c>
      <c r="J3874" s="17">
        <f>IFERROR(__xludf.DUMMYFUNCTION("""COMPUTED_VALUE"""),45929.60189571759)</f>
        <v>45929.6019</v>
      </c>
      <c r="K3874" s="13" t="str">
        <f>IFERROR(__xludf.DUMMYFUNCTION("""COMPUTED_VALUE"""),"Selesai")</f>
        <v>Selesai</v>
      </c>
      <c r="L3874" s="17">
        <f>IFERROR(__xludf.DUMMYFUNCTION("""COMPUTED_VALUE"""),45929.60189571759)</f>
        <v>45929.6019</v>
      </c>
      <c r="M3874" s="13"/>
      <c r="N3874" s="13" t="str">
        <f>IFERROR(__xludf.DUMMYFUNCTION("""COMPUTED_VALUE"""),"")</f>
        <v/>
      </c>
      <c r="O3874" s="13" t="str">
        <f t="shared" si="1"/>
        <v/>
      </c>
    </row>
    <row r="3875" ht="22.5" customHeight="1">
      <c r="B3875" s="13">
        <f>IFERROR(__xludf.DUMMYFUNCTION("""COMPUTED_VALUE"""),3870.0)</f>
        <v>3870</v>
      </c>
      <c r="C3875" s="13" t="str">
        <f>IFERROR(__xludf.DUMMYFUNCTION("""COMPUTED_VALUE"""),"B. 2129/CAMPANG RAYA")</f>
        <v>B. 2129/CAMPANG RAYA</v>
      </c>
      <c r="D3875" s="13" t="str">
        <f>IFERROR(__xludf.DUMMYFUNCTION("""COMPUTED_VALUE"""),"L/5/160925/1")</f>
        <v>L/5/160925/1</v>
      </c>
      <c r="E3875" s="14" t="str">
        <f>IFERROR(__xludf.DUMMYFUNCTION("""COMPUTED_VALUE"""),"Heri (BT)")</f>
        <v>Heri (BT)</v>
      </c>
      <c r="F3875" s="14" t="str">
        <f>IFERROR(__xludf.DUMMYFUNCTION("""COMPUTED_VALUE"""),"SELESAI (VIA PERMOHONAN)")</f>
        <v>SELESAI (VIA PERMOHONAN)</v>
      </c>
      <c r="G3875" s="17">
        <f>IFERROR(__xludf.DUMMYFUNCTION("""COMPUTED_VALUE"""),45926.48090181713)</f>
        <v>45926.4809</v>
      </c>
      <c r="H3875" s="14" t="str">
        <f>IFERROR(__xludf.DUMMYFUNCTION("""COMPUTED_VALUE"""),"Eci (SU)")</f>
        <v>Eci (SU)</v>
      </c>
      <c r="I3875" s="13" t="str">
        <f>IFERROR(__xludf.DUMMYFUNCTION("""COMPUTED_VALUE"""),"SELESAI (VIA PERMOHONAN)")</f>
        <v>SELESAI (VIA PERMOHONAN)</v>
      </c>
      <c r="J3875" s="17">
        <f>IFERROR(__xludf.DUMMYFUNCTION("""COMPUTED_VALUE"""),45929.601371006946)</f>
        <v>45929.60137</v>
      </c>
      <c r="K3875" s="13" t="str">
        <f>IFERROR(__xludf.DUMMYFUNCTION("""COMPUTED_VALUE"""),"Selesai")</f>
        <v>Selesai</v>
      </c>
      <c r="L3875" s="17">
        <f>IFERROR(__xludf.DUMMYFUNCTION("""COMPUTED_VALUE"""),45929.601371006946)</f>
        <v>45929.60137</v>
      </c>
      <c r="M3875" s="13"/>
      <c r="N3875" s="13" t="str">
        <f>IFERROR(__xludf.DUMMYFUNCTION("""COMPUTED_VALUE"""),"")</f>
        <v/>
      </c>
      <c r="O3875" s="13" t="str">
        <f t="shared" si="1"/>
        <v/>
      </c>
    </row>
    <row r="3876" ht="22.5" customHeight="1">
      <c r="B3876" s="13">
        <f>IFERROR(__xludf.DUMMYFUNCTION("""COMPUTED_VALUE"""),3871.0)</f>
        <v>3871</v>
      </c>
      <c r="C3876" s="13" t="str">
        <f>IFERROR(__xludf.DUMMYFUNCTION("""COMPUTED_VALUE"""),"M. 1442/GUNUNG SULAH")</f>
        <v>M. 1442/GUNUNG SULAH</v>
      </c>
      <c r="D3876" s="13" t="str">
        <f>IFERROR(__xludf.DUMMYFUNCTION("""COMPUTED_VALUE"""),"L/32/290825/1")</f>
        <v>L/32/290825/1</v>
      </c>
      <c r="E3876" s="14" t="str">
        <f>IFERROR(__xludf.DUMMYFUNCTION("""COMPUTED_VALUE"""),"Heri (BT)")</f>
        <v>Heri (BT)</v>
      </c>
      <c r="F3876" s="14" t="str">
        <f>IFERROR(__xludf.DUMMYFUNCTION("""COMPUTED_VALUE"""),"SELESAI (VIA PERMOHONAN)")</f>
        <v>SELESAI (VIA PERMOHONAN)</v>
      </c>
      <c r="G3876" s="17">
        <f>IFERROR(__xludf.DUMMYFUNCTION("""COMPUTED_VALUE"""),45926.48216722222)</f>
        <v>45926.48217</v>
      </c>
      <c r="H3876" s="14" t="str">
        <f>IFERROR(__xludf.DUMMYFUNCTION("""COMPUTED_VALUE"""),"Eci (SU)")</f>
        <v>Eci (SU)</v>
      </c>
      <c r="I3876" s="13" t="str">
        <f>IFERROR(__xludf.DUMMYFUNCTION("""COMPUTED_VALUE"""),"SELESAI (VIA PERMOHONAN)")</f>
        <v>SELESAI (VIA PERMOHONAN)</v>
      </c>
      <c r="J3876" s="17">
        <f>IFERROR(__xludf.DUMMYFUNCTION("""COMPUTED_VALUE"""),45929.60032266204)</f>
        <v>45929.60032</v>
      </c>
      <c r="K3876" s="13" t="str">
        <f>IFERROR(__xludf.DUMMYFUNCTION("""COMPUTED_VALUE"""),"Selesai")</f>
        <v>Selesai</v>
      </c>
      <c r="L3876" s="17">
        <f>IFERROR(__xludf.DUMMYFUNCTION("""COMPUTED_VALUE"""),45929.60032266204)</f>
        <v>45929.60032</v>
      </c>
      <c r="M3876" s="13"/>
      <c r="N3876" s="13" t="str">
        <f>IFERROR(__xludf.DUMMYFUNCTION("""COMPUTED_VALUE"""),"")</f>
        <v/>
      </c>
      <c r="O3876" s="13" t="str">
        <f t="shared" si="1"/>
        <v/>
      </c>
    </row>
    <row r="3877" ht="22.5" customHeight="1">
      <c r="B3877" s="13">
        <f>IFERROR(__xludf.DUMMYFUNCTION("""COMPUTED_VALUE"""),3872.0)</f>
        <v>3872</v>
      </c>
      <c r="C3877" s="13" t="str">
        <f>IFERROR(__xludf.DUMMYFUNCTION("""COMPUTED_VALUE"""),"M.128/TANJUNG RAYA")</f>
        <v>M.128/TANJUNG RAYA</v>
      </c>
      <c r="D3877" s="13" t="str">
        <f>IFERROR(__xludf.DUMMYFUNCTION("""COMPUTED_VALUE"""),"L/28/170925/1")</f>
        <v>L/28/170925/1</v>
      </c>
      <c r="E3877" s="14" t="str">
        <f>IFERROR(__xludf.DUMMYFUNCTION("""COMPUTED_VALUE"""),"Heri (BT)")</f>
        <v>Heri (BT)</v>
      </c>
      <c r="F3877" s="14" t="str">
        <f>IFERROR(__xludf.DUMMYFUNCTION("""COMPUTED_VALUE"""),"SELESAI (VIA PERMOHONAN)")</f>
        <v>SELESAI (VIA PERMOHONAN)</v>
      </c>
      <c r="G3877" s="17">
        <f>IFERROR(__xludf.DUMMYFUNCTION("""COMPUTED_VALUE"""),45926.482282303245)</f>
        <v>45926.48228</v>
      </c>
      <c r="H3877" s="14" t="str">
        <f>IFERROR(__xludf.DUMMYFUNCTION("""COMPUTED_VALUE"""),"Eci (SU)")</f>
        <v>Eci (SU)</v>
      </c>
      <c r="I3877" s="13" t="str">
        <f>IFERROR(__xludf.DUMMYFUNCTION("""COMPUTED_VALUE"""),"SELESAI (VIA PERMOHONAN)")</f>
        <v>SELESAI (VIA PERMOHONAN)</v>
      </c>
      <c r="J3877" s="17">
        <f>IFERROR(__xludf.DUMMYFUNCTION("""COMPUTED_VALUE"""),45929.5999824537)</f>
        <v>45929.59998</v>
      </c>
      <c r="K3877" s="13" t="str">
        <f>IFERROR(__xludf.DUMMYFUNCTION("""COMPUTED_VALUE"""),"Selesai")</f>
        <v>Selesai</v>
      </c>
      <c r="L3877" s="17">
        <f>IFERROR(__xludf.DUMMYFUNCTION("""COMPUTED_VALUE"""),45929.5999824537)</f>
        <v>45929.59998</v>
      </c>
      <c r="M3877" s="13"/>
      <c r="N3877" s="13" t="str">
        <f>IFERROR(__xludf.DUMMYFUNCTION("""COMPUTED_VALUE"""),"")</f>
        <v/>
      </c>
      <c r="O3877" s="13" t="str">
        <f t="shared" si="1"/>
        <v/>
      </c>
    </row>
    <row r="3878" ht="22.5" customHeight="1">
      <c r="B3878" s="13">
        <f>IFERROR(__xludf.DUMMYFUNCTION("""COMPUTED_VALUE"""),3873.0)</f>
        <v>3873</v>
      </c>
      <c r="C3878" s="13" t="str">
        <f>IFERROR(__xludf.DUMMYFUNCTION("""COMPUTED_VALUE"""),"M. 341/RAJABASA PEMUKA")</f>
        <v>M. 341/RAJABASA PEMUKA</v>
      </c>
      <c r="D3878" s="13" t="str">
        <f>IFERROR(__xludf.DUMMYFUNCTION("""COMPUTED_VALUE"""),"L/31/280825/1")</f>
        <v>L/31/280825/1</v>
      </c>
      <c r="E3878" s="14" t="str">
        <f>IFERROR(__xludf.DUMMYFUNCTION("""COMPUTED_VALUE"""),"Heri (BT)")</f>
        <v>Heri (BT)</v>
      </c>
      <c r="F3878" s="14" t="str">
        <f>IFERROR(__xludf.DUMMYFUNCTION("""COMPUTED_VALUE"""),"SELESAI (VIA PERMOHONAN)")</f>
        <v>SELESAI (VIA PERMOHONAN)</v>
      </c>
      <c r="G3878" s="17">
        <f>IFERROR(__xludf.DUMMYFUNCTION("""COMPUTED_VALUE"""),45926.48241163194)</f>
        <v>45926.48241</v>
      </c>
      <c r="H3878" s="14" t="str">
        <f>IFERROR(__xludf.DUMMYFUNCTION("""COMPUTED_VALUE"""),"Eci (SU)")</f>
        <v>Eci (SU)</v>
      </c>
      <c r="I3878" s="13" t="str">
        <f>IFERROR(__xludf.DUMMYFUNCTION("""COMPUTED_VALUE"""),"SELESAI (VIA PERMOHONAN)")</f>
        <v>SELESAI (VIA PERMOHONAN)</v>
      </c>
      <c r="J3878" s="17">
        <f>IFERROR(__xludf.DUMMYFUNCTION("""COMPUTED_VALUE"""),45929.59949709491)</f>
        <v>45929.5995</v>
      </c>
      <c r="K3878" s="13" t="str">
        <f>IFERROR(__xludf.DUMMYFUNCTION("""COMPUTED_VALUE"""),"Selesai")</f>
        <v>Selesai</v>
      </c>
      <c r="L3878" s="17">
        <f>IFERROR(__xludf.DUMMYFUNCTION("""COMPUTED_VALUE"""),45929.59949709491)</f>
        <v>45929.5995</v>
      </c>
      <c r="M3878" s="13"/>
      <c r="N3878" s="13" t="str">
        <f>IFERROR(__xludf.DUMMYFUNCTION("""COMPUTED_VALUE"""),"")</f>
        <v/>
      </c>
      <c r="O3878" s="13" t="str">
        <f t="shared" si="1"/>
        <v/>
      </c>
    </row>
    <row r="3879" ht="22.5" customHeight="1">
      <c r="B3879" s="13">
        <f>IFERROR(__xludf.DUMMYFUNCTION("""COMPUTED_VALUE"""),3874.0)</f>
        <v>3874</v>
      </c>
      <c r="C3879" s="13" t="str">
        <f>IFERROR(__xludf.DUMMYFUNCTION("""COMPUTED_VALUE"""),"B.113/KAMPUNG BARU RAYA")</f>
        <v>B.113/KAMPUNG BARU RAYA</v>
      </c>
      <c r="D3879" s="13" t="str">
        <f>IFERROR(__xludf.DUMMYFUNCTION("""COMPUTED_VALUE"""),"L/40/170925/1")</f>
        <v>L/40/170925/1</v>
      </c>
      <c r="E3879" s="14" t="str">
        <f>IFERROR(__xludf.DUMMYFUNCTION("""COMPUTED_VALUE"""),"Heri (BT)")</f>
        <v>Heri (BT)</v>
      </c>
      <c r="F3879" s="14" t="str">
        <f>IFERROR(__xludf.DUMMYFUNCTION("""COMPUTED_VALUE"""),"SELESAI (VIA PERMOHONAN)")</f>
        <v>SELESAI (VIA PERMOHONAN)</v>
      </c>
      <c r="G3879" s="17">
        <f>IFERROR(__xludf.DUMMYFUNCTION("""COMPUTED_VALUE"""),45926.48255608796)</f>
        <v>45926.48256</v>
      </c>
      <c r="H3879" s="14" t="str">
        <f>IFERROR(__xludf.DUMMYFUNCTION("""COMPUTED_VALUE"""),"Eci (SU)")</f>
        <v>Eci (SU)</v>
      </c>
      <c r="I3879" s="13" t="str">
        <f>IFERROR(__xludf.DUMMYFUNCTION("""COMPUTED_VALUE"""),"SELESAI (VIA PERMOHONAN)")</f>
        <v>SELESAI (VIA PERMOHONAN)</v>
      </c>
      <c r="J3879" s="17">
        <f>IFERROR(__xludf.DUMMYFUNCTION("""COMPUTED_VALUE"""),45929.59986408565)</f>
        <v>45929.59986</v>
      </c>
      <c r="K3879" s="13" t="str">
        <f>IFERROR(__xludf.DUMMYFUNCTION("""COMPUTED_VALUE"""),"Selesai")</f>
        <v>Selesai</v>
      </c>
      <c r="L3879" s="17">
        <f>IFERROR(__xludf.DUMMYFUNCTION("""COMPUTED_VALUE"""),45929.59986408565)</f>
        <v>45929.59986</v>
      </c>
      <c r="M3879" s="13"/>
      <c r="N3879" s="13" t="str">
        <f>IFERROR(__xludf.DUMMYFUNCTION("""COMPUTED_VALUE"""),"")</f>
        <v/>
      </c>
      <c r="O3879" s="13" t="str">
        <f t="shared" si="1"/>
        <v/>
      </c>
    </row>
    <row r="3880" ht="22.5" customHeight="1">
      <c r="B3880" s="13">
        <f>IFERROR(__xludf.DUMMYFUNCTION("""COMPUTED_VALUE"""),3875.0)</f>
        <v>3875</v>
      </c>
      <c r="C3880" s="13" t="str">
        <f>IFERROR(__xludf.DUMMYFUNCTION("""COMPUTED_VALUE"""),"M. 1446/SUKARAME II")</f>
        <v>M. 1446/SUKARAME II</v>
      </c>
      <c r="D3880" s="13" t="str">
        <f>IFERROR(__xludf.DUMMYFUNCTION("""COMPUTED_VALUE"""),"L/7/040928/1")</f>
        <v>L/7/040928/1</v>
      </c>
      <c r="E3880" s="14" t="str">
        <f>IFERROR(__xludf.DUMMYFUNCTION("""COMPUTED_VALUE"""),"Heri (BT)")</f>
        <v>Heri (BT)</v>
      </c>
      <c r="F3880" s="14" t="str">
        <f>IFERROR(__xludf.DUMMYFUNCTION("""COMPUTED_VALUE"""),"SELESAI (VIA PERMOHONAN)")</f>
        <v>SELESAI (VIA PERMOHONAN)</v>
      </c>
      <c r="G3880" s="17">
        <f>IFERROR(__xludf.DUMMYFUNCTION("""COMPUTED_VALUE"""),45926.482682222224)</f>
        <v>45926.48268</v>
      </c>
      <c r="H3880" s="14" t="str">
        <f>IFERROR(__xludf.DUMMYFUNCTION("""COMPUTED_VALUE"""),"Eci (SU)")</f>
        <v>Eci (SU)</v>
      </c>
      <c r="I3880" s="13" t="str">
        <f>IFERROR(__xludf.DUMMYFUNCTION("""COMPUTED_VALUE"""),"SELESAI (VIA PERMOHONAN)")</f>
        <v>SELESAI (VIA PERMOHONAN)</v>
      </c>
      <c r="J3880" s="17">
        <f>IFERROR(__xludf.DUMMYFUNCTION("""COMPUTED_VALUE"""),45929.59965177083)</f>
        <v>45929.59965</v>
      </c>
      <c r="K3880" s="13" t="str">
        <f>IFERROR(__xludf.DUMMYFUNCTION("""COMPUTED_VALUE"""),"Selesai")</f>
        <v>Selesai</v>
      </c>
      <c r="L3880" s="17">
        <f>IFERROR(__xludf.DUMMYFUNCTION("""COMPUTED_VALUE"""),45929.59965177083)</f>
        <v>45929.59965</v>
      </c>
      <c r="M3880" s="13"/>
      <c r="N3880" s="13" t="str">
        <f>IFERROR(__xludf.DUMMYFUNCTION("""COMPUTED_VALUE"""),"")</f>
        <v/>
      </c>
      <c r="O3880" s="13" t="str">
        <f t="shared" si="1"/>
        <v/>
      </c>
    </row>
    <row r="3881" ht="22.5" customHeight="1">
      <c r="B3881" s="13">
        <f>IFERROR(__xludf.DUMMYFUNCTION("""COMPUTED_VALUE"""),3876.0)</f>
        <v>3876</v>
      </c>
      <c r="C3881" s="13" t="str">
        <f>IFERROR(__xludf.DUMMYFUNCTION("""COMPUTED_VALUE"""),"M. 17070/SUKARAME I")</f>
        <v>M. 17070/SUKARAME I</v>
      </c>
      <c r="D3881" s="13" t="str">
        <f>IFERROR(__xludf.DUMMYFUNCTION("""COMPUTED_VALUE"""),"L/10/110925/1")</f>
        <v>L/10/110925/1</v>
      </c>
      <c r="E3881" s="14" t="str">
        <f>IFERROR(__xludf.DUMMYFUNCTION("""COMPUTED_VALUE"""),"Heri (BT)")</f>
        <v>Heri (BT)</v>
      </c>
      <c r="F3881" s="14" t="str">
        <f>IFERROR(__xludf.DUMMYFUNCTION("""COMPUTED_VALUE"""),"SELESAI (VIA PERMOHONAN)")</f>
        <v>SELESAI (VIA PERMOHONAN)</v>
      </c>
      <c r="G3881" s="17">
        <f>IFERROR(__xludf.DUMMYFUNCTION("""COMPUTED_VALUE"""),45926.48281752315)</f>
        <v>45926.48282</v>
      </c>
      <c r="H3881" s="14" t="str">
        <f>IFERROR(__xludf.DUMMYFUNCTION("""COMPUTED_VALUE"""),"Eci (SU)")</f>
        <v>Eci (SU)</v>
      </c>
      <c r="I3881" s="13" t="str">
        <f>IFERROR(__xludf.DUMMYFUNCTION("""COMPUTED_VALUE"""),"SELESAI (VIA PERMOHONAN)")</f>
        <v>SELESAI (VIA PERMOHONAN)</v>
      </c>
      <c r="J3881" s="17">
        <f>IFERROR(__xludf.DUMMYFUNCTION("""COMPUTED_VALUE"""),45929.59975767361)</f>
        <v>45929.59976</v>
      </c>
      <c r="K3881" s="13" t="str">
        <f>IFERROR(__xludf.DUMMYFUNCTION("""COMPUTED_VALUE"""),"Selesai")</f>
        <v>Selesai</v>
      </c>
      <c r="L3881" s="17">
        <f>IFERROR(__xludf.DUMMYFUNCTION("""COMPUTED_VALUE"""),45929.59975767361)</f>
        <v>45929.59976</v>
      </c>
      <c r="M3881" s="13"/>
      <c r="N3881" s="13" t="str">
        <f>IFERROR(__xludf.DUMMYFUNCTION("""COMPUTED_VALUE"""),"")</f>
        <v/>
      </c>
      <c r="O3881" s="13" t="str">
        <f t="shared" si="1"/>
        <v/>
      </c>
    </row>
    <row r="3882" ht="22.5" customHeight="1">
      <c r="B3882" s="13">
        <f>IFERROR(__xludf.DUMMYFUNCTION("""COMPUTED_VALUE"""),3877.0)</f>
        <v>3877</v>
      </c>
      <c r="C3882" s="13" t="str">
        <f>IFERROR(__xludf.DUMMYFUNCTION("""COMPUTED_VALUE"""),"HM 12640/SEGALA MIDER")</f>
        <v>HM 12640/SEGALA MIDER</v>
      </c>
      <c r="D3882" s="13" t="str">
        <f>IFERROR(__xludf.DUMMYFUNCTION("""COMPUTED_VALUE"""),"L/11/310725/1")</f>
        <v>L/11/310725/1</v>
      </c>
      <c r="E3882" s="14" t="str">
        <f>IFERROR(__xludf.DUMMYFUNCTION("""COMPUTED_VALUE"""),"Heri (BT)")</f>
        <v>Heri (BT)</v>
      </c>
      <c r="F3882" s="14" t="str">
        <f>IFERROR(__xludf.DUMMYFUNCTION("""COMPUTED_VALUE"""),"SELESAI (VIA PERMOHONAN)")</f>
        <v>SELESAI (VIA PERMOHONAN)</v>
      </c>
      <c r="G3882" s="17">
        <f>IFERROR(__xludf.DUMMYFUNCTION("""COMPUTED_VALUE"""),45926.48294954861)</f>
        <v>45926.48295</v>
      </c>
      <c r="H3882" s="14" t="str">
        <f>IFERROR(__xludf.DUMMYFUNCTION("""COMPUTED_VALUE"""),"Eci (SU)")</f>
        <v>Eci (SU)</v>
      </c>
      <c r="I3882" s="13" t="str">
        <f>IFERROR(__xludf.DUMMYFUNCTION("""COMPUTED_VALUE"""),"SELESAI (VIA PERMOHONAN)")</f>
        <v>SELESAI (VIA PERMOHONAN)</v>
      </c>
      <c r="J3882" s="17">
        <f>IFERROR(__xludf.DUMMYFUNCTION("""COMPUTED_VALUE"""),45929.60065679398)</f>
        <v>45929.60066</v>
      </c>
      <c r="K3882" s="13" t="str">
        <f>IFERROR(__xludf.DUMMYFUNCTION("""COMPUTED_VALUE"""),"Selesai")</f>
        <v>Selesai</v>
      </c>
      <c r="L3882" s="17">
        <f>IFERROR(__xludf.DUMMYFUNCTION("""COMPUTED_VALUE"""),45929.60065679398)</f>
        <v>45929.60066</v>
      </c>
      <c r="M3882" s="13"/>
      <c r="N3882" s="13" t="str">
        <f>IFERROR(__xludf.DUMMYFUNCTION("""COMPUTED_VALUE"""),"")</f>
        <v/>
      </c>
      <c r="O3882" s="13" t="str">
        <f t="shared" si="1"/>
        <v/>
      </c>
    </row>
    <row r="3883" ht="22.5" customHeight="1">
      <c r="B3883" s="13">
        <f>IFERROR(__xludf.DUMMYFUNCTION("""COMPUTED_VALUE"""),3878.0)</f>
        <v>3878</v>
      </c>
      <c r="C3883" s="13" t="str">
        <f>IFERROR(__xludf.DUMMYFUNCTION("""COMPUTED_VALUE"""),"M. 2789/KEMILING PERMAI")</f>
        <v>M. 2789/KEMILING PERMAI</v>
      </c>
      <c r="D3883" s="13" t="str">
        <f>IFERROR(__xludf.DUMMYFUNCTION("""COMPUTED_VALUE"""),"L/7/020925/1")</f>
        <v>L/7/020925/1</v>
      </c>
      <c r="E3883" s="14" t="str">
        <f>IFERROR(__xludf.DUMMYFUNCTION("""COMPUTED_VALUE"""),"Heri (BT)")</f>
        <v>Heri (BT)</v>
      </c>
      <c r="F3883" s="14" t="str">
        <f>IFERROR(__xludf.DUMMYFUNCTION("""COMPUTED_VALUE"""),"SELESAI (VIA PERMOHONAN)")</f>
        <v>SELESAI (VIA PERMOHONAN)</v>
      </c>
      <c r="G3883" s="17">
        <f>IFERROR(__xludf.DUMMYFUNCTION("""COMPUTED_VALUE"""),45926.48307457176)</f>
        <v>45926.48307</v>
      </c>
      <c r="H3883" s="14" t="str">
        <f>IFERROR(__xludf.DUMMYFUNCTION("""COMPUTED_VALUE"""),"Eci (SU)")</f>
        <v>Eci (SU)</v>
      </c>
      <c r="I3883" s="13" t="str">
        <f>IFERROR(__xludf.DUMMYFUNCTION("""COMPUTED_VALUE"""),"SELESAI (VIA PERMOHONAN)")</f>
        <v>SELESAI (VIA PERMOHONAN)</v>
      </c>
      <c r="J3883" s="17">
        <f>IFERROR(__xludf.DUMMYFUNCTION("""COMPUTED_VALUE"""),45929.60057384259)</f>
        <v>45929.60057</v>
      </c>
      <c r="K3883" s="13" t="str">
        <f>IFERROR(__xludf.DUMMYFUNCTION("""COMPUTED_VALUE"""),"Selesai")</f>
        <v>Selesai</v>
      </c>
      <c r="L3883" s="17">
        <f>IFERROR(__xludf.DUMMYFUNCTION("""COMPUTED_VALUE"""),45929.60057384259)</f>
        <v>45929.60057</v>
      </c>
      <c r="M3883" s="13"/>
      <c r="N3883" s="13" t="str">
        <f>IFERROR(__xludf.DUMMYFUNCTION("""COMPUTED_VALUE"""),"")</f>
        <v/>
      </c>
      <c r="O3883" s="13" t="str">
        <f t="shared" si="1"/>
        <v/>
      </c>
    </row>
    <row r="3884" ht="22.5" customHeight="1">
      <c r="B3884" s="13">
        <f>IFERROR(__xludf.DUMMYFUNCTION("""COMPUTED_VALUE"""),3879.0)</f>
        <v>3879</v>
      </c>
      <c r="C3884" s="13" t="str">
        <f>IFERROR(__xludf.DUMMYFUNCTION("""COMPUTED_VALUE"""),"B 185/ RAJABASA PEMUKA")</f>
        <v>B 185/ RAJABASA PEMUKA</v>
      </c>
      <c r="D3884" s="13" t="str">
        <f>IFERROR(__xludf.DUMMYFUNCTION("""COMPUTED_VALUE"""),"K/24/180925/1")</f>
        <v>K/24/180925/1</v>
      </c>
      <c r="E3884" s="14" t="str">
        <f>IFERROR(__xludf.DUMMYFUNCTION("""COMPUTED_VALUE"""),"Heri (BT)")</f>
        <v>Heri (BT)</v>
      </c>
      <c r="F3884" s="14" t="str">
        <f>IFERROR(__xludf.DUMMYFUNCTION("""COMPUTED_VALUE"""),"SELESAI (VIA PERMOHONAN)")</f>
        <v>SELESAI (VIA PERMOHONAN)</v>
      </c>
      <c r="G3884" s="17">
        <f>IFERROR(__xludf.DUMMYFUNCTION("""COMPUTED_VALUE"""),45926.48327736111)</f>
        <v>45926.48328</v>
      </c>
      <c r="H3884" s="14" t="str">
        <f>IFERROR(__xludf.DUMMYFUNCTION("""COMPUTED_VALUE"""),"Eci (SU)")</f>
        <v>Eci (SU)</v>
      </c>
      <c r="I3884" s="13" t="str">
        <f>IFERROR(__xludf.DUMMYFUNCTION("""COMPUTED_VALUE"""),"SELESAI (VIA PERMOHONAN)")</f>
        <v>SELESAI (VIA PERMOHONAN)</v>
      </c>
      <c r="J3884" s="17">
        <f>IFERROR(__xludf.DUMMYFUNCTION("""COMPUTED_VALUE"""),45929.5993870949)</f>
        <v>45929.59939</v>
      </c>
      <c r="K3884" s="13" t="str">
        <f>IFERROR(__xludf.DUMMYFUNCTION("""COMPUTED_VALUE"""),"Selesai")</f>
        <v>Selesai</v>
      </c>
      <c r="L3884" s="17">
        <f>IFERROR(__xludf.DUMMYFUNCTION("""COMPUTED_VALUE"""),45929.5993870949)</f>
        <v>45929.59939</v>
      </c>
      <c r="M3884" s="13"/>
      <c r="N3884" s="13" t="str">
        <f>IFERROR(__xludf.DUMMYFUNCTION("""COMPUTED_VALUE"""),"")</f>
        <v/>
      </c>
      <c r="O3884" s="13" t="str">
        <f t="shared" si="1"/>
        <v/>
      </c>
    </row>
    <row r="3885" ht="22.5" customHeight="1">
      <c r="B3885" s="13">
        <f>IFERROR(__xludf.DUMMYFUNCTION("""COMPUTED_VALUE"""),3880.0)</f>
        <v>3880</v>
      </c>
      <c r="C3885" s="13" t="str">
        <f>IFERROR(__xludf.DUMMYFUNCTION("""COMPUTED_VALUE"""),"B. 1464/RAJABASA DAN B. 1465/RAJABASA")</f>
        <v>B. 1464/RAJABASA DAN B. 1465/RAJABASA</v>
      </c>
      <c r="D3885" s="13" t="str">
        <f>IFERROR(__xludf.DUMMYFUNCTION("""COMPUTED_VALUE"""),"L/34/160925/1")</f>
        <v>L/34/160925/1</v>
      </c>
      <c r="E3885" s="14" t="str">
        <f>IFERROR(__xludf.DUMMYFUNCTION("""COMPUTED_VALUE"""),"Heri (BT)")</f>
        <v>Heri (BT)</v>
      </c>
      <c r="F3885" s="14" t="str">
        <f>IFERROR(__xludf.DUMMYFUNCTION("""COMPUTED_VALUE"""),"SELESAI (VIA PERMOHONAN)")</f>
        <v>SELESAI (VIA PERMOHONAN)</v>
      </c>
      <c r="G3885" s="17">
        <f>IFERROR(__xludf.DUMMYFUNCTION("""COMPUTED_VALUE"""),45926.55647787037)</f>
        <v>45926.55648</v>
      </c>
      <c r="H3885" s="14" t="str">
        <f>IFERROR(__xludf.DUMMYFUNCTION("""COMPUTED_VALUE"""),"Eci (SU)")</f>
        <v>Eci (SU)</v>
      </c>
      <c r="I3885" s="13" t="str">
        <f>IFERROR(__xludf.DUMMYFUNCTION("""COMPUTED_VALUE"""),"SELESAI (VIA PERMOHONAN)")</f>
        <v>SELESAI (VIA PERMOHONAN)</v>
      </c>
      <c r="J3885" s="17">
        <f>IFERROR(__xludf.DUMMYFUNCTION("""COMPUTED_VALUE"""),45929.598549999995)</f>
        <v>45929.59855</v>
      </c>
      <c r="K3885" s="13" t="str">
        <f>IFERROR(__xludf.DUMMYFUNCTION("""COMPUTED_VALUE"""),"Selesai")</f>
        <v>Selesai</v>
      </c>
      <c r="L3885" s="17">
        <f>IFERROR(__xludf.DUMMYFUNCTION("""COMPUTED_VALUE"""),45929.598549999995)</f>
        <v>45929.59855</v>
      </c>
      <c r="M3885" s="13"/>
      <c r="N3885" s="13" t="str">
        <f>IFERROR(__xludf.DUMMYFUNCTION("""COMPUTED_VALUE"""),"")</f>
        <v/>
      </c>
      <c r="O3885" s="13" t="str">
        <f t="shared" si="1"/>
        <v/>
      </c>
    </row>
    <row r="3886" ht="22.5" customHeight="1">
      <c r="B3886" s="13">
        <f>IFERROR(__xludf.DUMMYFUNCTION("""COMPUTED_VALUE"""),3881.0)</f>
        <v>3881</v>
      </c>
      <c r="C3886" s="13" t="str">
        <f>IFERROR(__xludf.DUMMYFUNCTION("""COMPUTED_VALUE"""),"M. 1561/Sumur Batu")</f>
        <v>M. 1561/Sumur Batu</v>
      </c>
      <c r="D3886" s="13" t="str">
        <f>IFERROR(__xludf.DUMMYFUNCTION("""COMPUTED_VALUE"""),"K/19/210825/2")</f>
        <v>K/19/210825/2</v>
      </c>
      <c r="E3886" s="14" t="str">
        <f>IFERROR(__xludf.DUMMYFUNCTION("""COMPUTED_VALUE"""),"Admin (Migrasi)")</f>
        <v>Admin (Migrasi)</v>
      </c>
      <c r="F3886" s="14" t="str">
        <f>IFERROR(__xludf.DUMMYFUNCTION("""COMPUTED_VALUE"""),"SELESAI (VIA PERMOHONAN)")</f>
        <v>SELESAI (VIA PERMOHONAN)</v>
      </c>
      <c r="G3886" s="17">
        <f>IFERROR(__xludf.DUMMYFUNCTION("""COMPUTED_VALUE"""),45930.723928321764)</f>
        <v>45930.72393</v>
      </c>
      <c r="H3886" s="14" t="str">
        <f>IFERROR(__xludf.DUMMYFUNCTION("""COMPUTED_VALUE"""),"Admin (Migrasi)")</f>
        <v>Admin (Migrasi)</v>
      </c>
      <c r="I3886" s="13" t="str">
        <f>IFERROR(__xludf.DUMMYFUNCTION("""COMPUTED_VALUE"""),"SELESAI (VIA PERMOHONAN)")</f>
        <v>SELESAI (VIA PERMOHONAN)</v>
      </c>
      <c r="J3886" s="17">
        <f>IFERROR(__xludf.DUMMYFUNCTION("""COMPUTED_VALUE"""),45930.72400675926)</f>
        <v>45930.72401</v>
      </c>
      <c r="K3886" s="13" t="str">
        <f>IFERROR(__xludf.DUMMYFUNCTION("""COMPUTED_VALUE"""),"Selesai")</f>
        <v>Selesai</v>
      </c>
      <c r="L3886" s="17">
        <f>IFERROR(__xludf.DUMMYFUNCTION("""COMPUTED_VALUE"""),45930.72400675926)</f>
        <v>45930.72401</v>
      </c>
      <c r="M3886" s="13"/>
      <c r="N3886" s="13" t="str">
        <f>IFERROR(__xludf.DUMMYFUNCTION("""COMPUTED_VALUE"""),"")</f>
        <v/>
      </c>
      <c r="O3886" s="13" t="str">
        <f t="shared" si="1"/>
        <v/>
      </c>
    </row>
    <row r="3887" ht="22.5" customHeight="1">
      <c r="B3887" s="13">
        <f>IFERROR(__xludf.DUMMYFUNCTION("""COMPUTED_VALUE"""),3882.0)</f>
        <v>3882</v>
      </c>
      <c r="C3887" s="13" t="str">
        <f>IFERROR(__xludf.DUMMYFUNCTION("""COMPUTED_VALUE"""),"M. 545/ kaliawi")</f>
        <v>M. 545/ kaliawi</v>
      </c>
      <c r="D3887" s="13" t="str">
        <f>IFERROR(__xludf.DUMMYFUNCTION("""COMPUTED_VALUE"""),"K/43/030625/1")</f>
        <v>K/43/030625/1</v>
      </c>
      <c r="E3887" s="14" t="str">
        <f>IFERROR(__xludf.DUMMYFUNCTION("""COMPUTED_VALUE"""),"Admin (Migrasi)")</f>
        <v>Admin (Migrasi)</v>
      </c>
      <c r="F3887" s="14" t="str">
        <f>IFERROR(__xludf.DUMMYFUNCTION("""COMPUTED_VALUE"""),"SELESAI (VIA PERMOHONAN)")</f>
        <v>SELESAI (VIA PERMOHONAN)</v>
      </c>
      <c r="G3887" s="17">
        <f>IFERROR(__xludf.DUMMYFUNCTION("""COMPUTED_VALUE"""),45930.72414070602)</f>
        <v>45930.72414</v>
      </c>
      <c r="H3887" s="14" t="str">
        <f>IFERROR(__xludf.DUMMYFUNCTION("""COMPUTED_VALUE"""),"Admin (Migrasi)")</f>
        <v>Admin (Migrasi)</v>
      </c>
      <c r="I3887" s="13" t="str">
        <f>IFERROR(__xludf.DUMMYFUNCTION("""COMPUTED_VALUE"""),"SELESAI (VIA PERMOHONAN)")</f>
        <v>SELESAI (VIA PERMOHONAN)</v>
      </c>
      <c r="J3887" s="17">
        <f>IFERROR(__xludf.DUMMYFUNCTION("""COMPUTED_VALUE"""),45930.72417140046)</f>
        <v>45930.72417</v>
      </c>
      <c r="K3887" s="13" t="str">
        <f>IFERROR(__xludf.DUMMYFUNCTION("""COMPUTED_VALUE"""),"Selesai")</f>
        <v>Selesai</v>
      </c>
      <c r="L3887" s="17">
        <f>IFERROR(__xludf.DUMMYFUNCTION("""COMPUTED_VALUE"""),45930.72417140046)</f>
        <v>45930.72417</v>
      </c>
      <c r="M3887" s="13"/>
      <c r="N3887" s="13" t="str">
        <f>IFERROR(__xludf.DUMMYFUNCTION("""COMPUTED_VALUE"""),"")</f>
        <v/>
      </c>
      <c r="O3887" s="13" t="str">
        <f t="shared" si="1"/>
        <v/>
      </c>
    </row>
    <row r="3888" ht="22.5" customHeight="1">
      <c r="B3888" s="13">
        <f>IFERROR(__xludf.DUMMYFUNCTION("""COMPUTED_VALUE"""),3883.0)</f>
        <v>3883</v>
      </c>
      <c r="C3888" s="13" t="str">
        <f>IFERROR(__xludf.DUMMYFUNCTION("""COMPUTED_VALUE"""),"M. 2083/Pinang Jaya")</f>
        <v>M. 2083/Pinang Jaya</v>
      </c>
      <c r="D3888" s="13" t="str">
        <f>IFERROR(__xludf.DUMMYFUNCTION("""COMPUTED_VALUE"""),"K/27/100925/2")</f>
        <v>K/27/100925/2</v>
      </c>
      <c r="E3888" s="14" t="str">
        <f>IFERROR(__xludf.DUMMYFUNCTION("""COMPUTED_VALUE"""),"Admin (Migrasi)")</f>
        <v>Admin (Migrasi)</v>
      </c>
      <c r="F3888" s="14" t="str">
        <f>IFERROR(__xludf.DUMMYFUNCTION("""COMPUTED_VALUE"""),"SELESAI (VIA PERMOHONAN)")</f>
        <v>SELESAI (VIA PERMOHONAN)</v>
      </c>
      <c r="G3888" s="17">
        <f>IFERROR(__xludf.DUMMYFUNCTION("""COMPUTED_VALUE"""),45930.724474629635)</f>
        <v>45930.72447</v>
      </c>
      <c r="H3888" s="14" t="str">
        <f>IFERROR(__xludf.DUMMYFUNCTION("""COMPUTED_VALUE"""),"Admin (Migrasi)")</f>
        <v>Admin (Migrasi)</v>
      </c>
      <c r="I3888" s="13" t="str">
        <f>IFERROR(__xludf.DUMMYFUNCTION("""COMPUTED_VALUE"""),"SELESAI (VIA PERMOHONAN)")</f>
        <v>SELESAI (VIA PERMOHONAN)</v>
      </c>
      <c r="J3888" s="17">
        <f>IFERROR(__xludf.DUMMYFUNCTION("""COMPUTED_VALUE"""),45930.72450505787)</f>
        <v>45930.72451</v>
      </c>
      <c r="K3888" s="13" t="str">
        <f>IFERROR(__xludf.DUMMYFUNCTION("""COMPUTED_VALUE"""),"Selesai")</f>
        <v>Selesai</v>
      </c>
      <c r="L3888" s="17">
        <f>IFERROR(__xludf.DUMMYFUNCTION("""COMPUTED_VALUE"""),45930.72450505787)</f>
        <v>45930.72451</v>
      </c>
      <c r="M3888" s="13"/>
      <c r="N3888" s="13" t="str">
        <f>IFERROR(__xludf.DUMMYFUNCTION("""COMPUTED_VALUE"""),"")</f>
        <v/>
      </c>
      <c r="O3888" s="13" t="str">
        <f t="shared" si="1"/>
        <v/>
      </c>
    </row>
    <row r="3889" ht="22.5" customHeight="1">
      <c r="B3889" s="13">
        <f>IFERROR(__xludf.DUMMYFUNCTION("""COMPUTED_VALUE"""),3884.0)</f>
        <v>3884</v>
      </c>
      <c r="C3889" s="13" t="str">
        <f>IFERROR(__xludf.DUMMYFUNCTION("""COMPUTED_VALUE"""),"B. 2084/SUKABUMI")</f>
        <v>B. 2084/SUKABUMI</v>
      </c>
      <c r="D3889" s="13" t="str">
        <f>IFERROR(__xludf.DUMMYFUNCTION("""COMPUTED_VALUE"""),"L/4/170925/1")</f>
        <v>L/4/170925/1</v>
      </c>
      <c r="E3889" s="14" t="str">
        <f>IFERROR(__xludf.DUMMYFUNCTION("""COMPUTED_VALUE"""),"Heri (BT)")</f>
        <v>Heri (BT)</v>
      </c>
      <c r="F3889" s="14" t="str">
        <f>IFERROR(__xludf.DUMMYFUNCTION("""COMPUTED_VALUE"""),"SELESAI (VIA PERMOHONAN)")</f>
        <v>SELESAI (VIA PERMOHONAN)</v>
      </c>
      <c r="G3889" s="17">
        <f>IFERROR(__xludf.DUMMYFUNCTION("""COMPUTED_VALUE"""),45930.80513815972)</f>
        <v>45930.80514</v>
      </c>
      <c r="H3889" s="14" t="str">
        <f>IFERROR(__xludf.DUMMYFUNCTION("""COMPUTED_VALUE"""),"Haliza SU")</f>
        <v>Haliza SU</v>
      </c>
      <c r="I3889" s="13" t="str">
        <f>IFERROR(__xludf.DUMMYFUNCTION("""COMPUTED_VALUE"""),"SELESAI")</f>
        <v>SELESAI</v>
      </c>
      <c r="J3889" s="17">
        <f>IFERROR(__xludf.DUMMYFUNCTION("""COMPUTED_VALUE"""),45938.43097678241)</f>
        <v>45938.43098</v>
      </c>
      <c r="K3889" s="13" t="str">
        <f>IFERROR(__xludf.DUMMYFUNCTION("""COMPUTED_VALUE"""),"Selesai")</f>
        <v>Selesai</v>
      </c>
      <c r="L3889" s="17">
        <f>IFERROR(__xludf.DUMMYFUNCTION("""COMPUTED_VALUE"""),45938.43097678241)</f>
        <v>45938.43098</v>
      </c>
      <c r="M3889" s="13"/>
      <c r="N3889" s="13" t="str">
        <f>IFERROR(__xludf.DUMMYFUNCTION("""COMPUTED_VALUE"""),"")</f>
        <v/>
      </c>
      <c r="O3889" s="13" t="str">
        <f t="shared" si="1"/>
        <v/>
      </c>
    </row>
    <row r="3890" ht="22.5" customHeight="1">
      <c r="B3890" s="13">
        <f>IFERROR(__xludf.DUMMYFUNCTION("""COMPUTED_VALUE"""),3885.0)</f>
        <v>3885</v>
      </c>
      <c r="C3890" s="13" t="str">
        <f>IFERROR(__xludf.DUMMYFUNCTION("""COMPUTED_VALUE"""),"M. 1314/SUSUNAN BARU")</f>
        <v>M. 1314/SUSUNAN BARU</v>
      </c>
      <c r="D3890" s="13" t="str">
        <f>IFERROR(__xludf.DUMMYFUNCTION("""COMPUTED_VALUE"""),"L/9/250925/1")</f>
        <v>L/9/250925/1</v>
      </c>
      <c r="E3890" s="14" t="str">
        <f>IFERROR(__xludf.DUMMYFUNCTION("""COMPUTED_VALUE"""),"Heri (BT)")</f>
        <v>Heri (BT)</v>
      </c>
      <c r="F3890" s="14" t="str">
        <f>IFERROR(__xludf.DUMMYFUNCTION("""COMPUTED_VALUE"""),"SELESAI (VIA PERMOHONAN)")</f>
        <v>SELESAI (VIA PERMOHONAN)</v>
      </c>
      <c r="G3890" s="17">
        <f>IFERROR(__xludf.DUMMYFUNCTION("""COMPUTED_VALUE"""),45930.8052512037)</f>
        <v>45930.80525</v>
      </c>
      <c r="H3890" s="14" t="str">
        <f>IFERROR(__xludf.DUMMYFUNCTION("""COMPUTED_VALUE"""),"Haliza SU")</f>
        <v>Haliza SU</v>
      </c>
      <c r="I3890" s="13" t="str">
        <f>IFERROR(__xludf.DUMMYFUNCTION("""COMPUTED_VALUE"""),"SELESAI")</f>
        <v>SELESAI</v>
      </c>
      <c r="J3890" s="17">
        <f>IFERROR(__xludf.DUMMYFUNCTION("""COMPUTED_VALUE"""),45938.43112032408)</f>
        <v>45938.43112</v>
      </c>
      <c r="K3890" s="13" t="str">
        <f>IFERROR(__xludf.DUMMYFUNCTION("""COMPUTED_VALUE"""),"Selesai")</f>
        <v>Selesai</v>
      </c>
      <c r="L3890" s="17">
        <f>IFERROR(__xludf.DUMMYFUNCTION("""COMPUTED_VALUE"""),45938.43112032408)</f>
        <v>45938.43112</v>
      </c>
      <c r="M3890" s="13"/>
      <c r="N3890" s="13" t="str">
        <f>IFERROR(__xludf.DUMMYFUNCTION("""COMPUTED_VALUE"""),"")</f>
        <v/>
      </c>
      <c r="O3890" s="13" t="str">
        <f t="shared" si="1"/>
        <v/>
      </c>
    </row>
    <row r="3891" ht="22.5" customHeight="1">
      <c r="B3891" s="13">
        <f>IFERROR(__xludf.DUMMYFUNCTION("""COMPUTED_VALUE"""),3886.0)</f>
        <v>3886</v>
      </c>
      <c r="C3891" s="13" t="str">
        <f>IFERROR(__xludf.DUMMYFUNCTION("""COMPUTED_VALUE"""),"M. 14015/RAJABASA")</f>
        <v>M. 14015/RAJABASA</v>
      </c>
      <c r="D3891" s="13" t="str">
        <f>IFERROR(__xludf.DUMMYFUNCTION("""COMPUTED_VALUE"""),"L/32/260925/1")</f>
        <v>L/32/260925/1</v>
      </c>
      <c r="E3891" s="14" t="str">
        <f>IFERROR(__xludf.DUMMYFUNCTION("""COMPUTED_VALUE"""),"Heri (BT)")</f>
        <v>Heri (BT)</v>
      </c>
      <c r="F3891" s="14" t="str">
        <f>IFERROR(__xludf.DUMMYFUNCTION("""COMPUTED_VALUE"""),"SELESAI (VIA PERMOHONAN)")</f>
        <v>SELESAI (VIA PERMOHONAN)</v>
      </c>
      <c r="G3891" s="17">
        <f>IFERROR(__xludf.DUMMYFUNCTION("""COMPUTED_VALUE"""),45930.80540894676)</f>
        <v>45930.80541</v>
      </c>
      <c r="H3891" s="14" t="str">
        <f>IFERROR(__xludf.DUMMYFUNCTION("""COMPUTED_VALUE"""),"Haliza SU")</f>
        <v>Haliza SU</v>
      </c>
      <c r="I3891" s="13" t="str">
        <f>IFERROR(__xludf.DUMMYFUNCTION("""COMPUTED_VALUE"""),"SELESAI")</f>
        <v>SELESAI</v>
      </c>
      <c r="J3891" s="17">
        <f>IFERROR(__xludf.DUMMYFUNCTION("""COMPUTED_VALUE"""),45938.43126916667)</f>
        <v>45938.43127</v>
      </c>
      <c r="K3891" s="13" t="str">
        <f>IFERROR(__xludf.DUMMYFUNCTION("""COMPUTED_VALUE"""),"Selesai")</f>
        <v>Selesai</v>
      </c>
      <c r="L3891" s="17">
        <f>IFERROR(__xludf.DUMMYFUNCTION("""COMPUTED_VALUE"""),45938.43126916667)</f>
        <v>45938.43127</v>
      </c>
      <c r="M3891" s="13"/>
      <c r="N3891" s="13" t="str">
        <f>IFERROR(__xludf.DUMMYFUNCTION("""COMPUTED_VALUE"""),"")</f>
        <v/>
      </c>
      <c r="O3891" s="13" t="str">
        <f t="shared" si="1"/>
        <v/>
      </c>
    </row>
    <row r="3892" ht="22.5" customHeight="1">
      <c r="B3892" s="13">
        <f>IFERROR(__xludf.DUMMYFUNCTION("""COMPUTED_VALUE"""),3887.0)</f>
        <v>3887</v>
      </c>
      <c r="C3892" s="13" t="str">
        <f>IFERROR(__xludf.DUMMYFUNCTION("""COMPUTED_VALUE"""),"M. 47/KAMPUNG BARU RAYA")</f>
        <v>M. 47/KAMPUNG BARU RAYA</v>
      </c>
      <c r="D3892" s="13" t="str">
        <f>IFERROR(__xludf.DUMMYFUNCTION("""COMPUTED_VALUE"""),"L/26/260925/1")</f>
        <v>L/26/260925/1</v>
      </c>
      <c r="E3892" s="14" t="str">
        <f>IFERROR(__xludf.DUMMYFUNCTION("""COMPUTED_VALUE"""),"Heri (BT)")</f>
        <v>Heri (BT)</v>
      </c>
      <c r="F3892" s="14" t="str">
        <f>IFERROR(__xludf.DUMMYFUNCTION("""COMPUTED_VALUE"""),"SELESAI (VIA PERMOHONAN)")</f>
        <v>SELESAI (VIA PERMOHONAN)</v>
      </c>
      <c r="G3892" s="17">
        <f>IFERROR(__xludf.DUMMYFUNCTION("""COMPUTED_VALUE"""),45930.8055321875)</f>
        <v>45930.80553</v>
      </c>
      <c r="H3892" s="14" t="str">
        <f>IFERROR(__xludf.DUMMYFUNCTION("""COMPUTED_VALUE"""),"Haliza SU")</f>
        <v>Haliza SU</v>
      </c>
      <c r="I3892" s="13" t="str">
        <f>IFERROR(__xludf.DUMMYFUNCTION("""COMPUTED_VALUE"""),"SELESAI")</f>
        <v>SELESAI</v>
      </c>
      <c r="J3892" s="17">
        <f>IFERROR(__xludf.DUMMYFUNCTION("""COMPUTED_VALUE"""),45938.43156099537)</f>
        <v>45938.43156</v>
      </c>
      <c r="K3892" s="13" t="str">
        <f>IFERROR(__xludf.DUMMYFUNCTION("""COMPUTED_VALUE"""),"Selesai")</f>
        <v>Selesai</v>
      </c>
      <c r="L3892" s="17">
        <f>IFERROR(__xludf.DUMMYFUNCTION("""COMPUTED_VALUE"""),45938.43156099537)</f>
        <v>45938.43156</v>
      </c>
      <c r="M3892" s="13"/>
      <c r="N3892" s="13" t="str">
        <f>IFERROR(__xludf.DUMMYFUNCTION("""COMPUTED_VALUE"""),"")</f>
        <v/>
      </c>
      <c r="O3892" s="13" t="str">
        <f t="shared" si="1"/>
        <v/>
      </c>
    </row>
    <row r="3893" ht="22.5" customHeight="1">
      <c r="B3893" s="13">
        <f>IFERROR(__xludf.DUMMYFUNCTION("""COMPUTED_VALUE"""),3888.0)</f>
        <v>3888</v>
      </c>
      <c r="C3893" s="13" t="str">
        <f>IFERROR(__xludf.DUMMYFUNCTION("""COMPUTED_VALUE"""),"M.2422/GUNUNG TERANG")</f>
        <v>M.2422/GUNUNG TERANG</v>
      </c>
      <c r="D3893" s="13" t="str">
        <f>IFERROR(__xludf.DUMMYFUNCTION("""COMPUTED_VALUE"""),"L/1/190925/1")</f>
        <v>L/1/190925/1</v>
      </c>
      <c r="E3893" s="14" t="str">
        <f>IFERROR(__xludf.DUMMYFUNCTION("""COMPUTED_VALUE"""),"Heri (BT)")</f>
        <v>Heri (BT)</v>
      </c>
      <c r="F3893" s="14" t="str">
        <f>IFERROR(__xludf.DUMMYFUNCTION("""COMPUTED_VALUE"""),"SELESAI (VIA PERMOHONAN)")</f>
        <v>SELESAI (VIA PERMOHONAN)</v>
      </c>
      <c r="G3893" s="17">
        <f>IFERROR(__xludf.DUMMYFUNCTION("""COMPUTED_VALUE"""),45930.80565069444)</f>
        <v>45930.80565</v>
      </c>
      <c r="H3893" s="14" t="str">
        <f>IFERROR(__xludf.DUMMYFUNCTION("""COMPUTED_VALUE"""),"Haliza SU")</f>
        <v>Haliza SU</v>
      </c>
      <c r="I3893" s="13" t="str">
        <f>IFERROR(__xludf.DUMMYFUNCTION("""COMPUTED_VALUE"""),"SELESAI")</f>
        <v>SELESAI</v>
      </c>
      <c r="J3893" s="17">
        <f>IFERROR(__xludf.DUMMYFUNCTION("""COMPUTED_VALUE"""),45938.431728738426)</f>
        <v>45938.43173</v>
      </c>
      <c r="K3893" s="13" t="str">
        <f>IFERROR(__xludf.DUMMYFUNCTION("""COMPUTED_VALUE"""),"Selesai")</f>
        <v>Selesai</v>
      </c>
      <c r="L3893" s="17">
        <f>IFERROR(__xludf.DUMMYFUNCTION("""COMPUTED_VALUE"""),45938.431728738426)</f>
        <v>45938.43173</v>
      </c>
      <c r="M3893" s="13"/>
      <c r="N3893" s="13" t="str">
        <f>IFERROR(__xludf.DUMMYFUNCTION("""COMPUTED_VALUE"""),"")</f>
        <v/>
      </c>
      <c r="O3893" s="13" t="str">
        <f t="shared" si="1"/>
        <v/>
      </c>
    </row>
    <row r="3894" ht="22.5" customHeight="1">
      <c r="B3894" s="13">
        <f>IFERROR(__xludf.DUMMYFUNCTION("""COMPUTED_VALUE"""),3889.0)</f>
        <v>3889</v>
      </c>
      <c r="C3894" s="13" t="str">
        <f>IFERROR(__xludf.DUMMYFUNCTION("""COMPUTED_VALUE"""),"M.1838/LANGKAPURA")</f>
        <v>M.1838/LANGKAPURA</v>
      </c>
      <c r="D3894" s="13" t="str">
        <f>IFERROR(__xludf.DUMMYFUNCTION("""COMPUTED_VALUE"""),"L/8/190925/1")</f>
        <v>L/8/190925/1</v>
      </c>
      <c r="E3894" s="14" t="str">
        <f>IFERROR(__xludf.DUMMYFUNCTION("""COMPUTED_VALUE"""),"Heri (BT)")</f>
        <v>Heri (BT)</v>
      </c>
      <c r="F3894" s="14" t="str">
        <f>IFERROR(__xludf.DUMMYFUNCTION("""COMPUTED_VALUE"""),"SELESAI (VIA PERMOHONAN)")</f>
        <v>SELESAI (VIA PERMOHONAN)</v>
      </c>
      <c r="G3894" s="17">
        <f>IFERROR(__xludf.DUMMYFUNCTION("""COMPUTED_VALUE"""),45930.805846539355)</f>
        <v>45930.80585</v>
      </c>
      <c r="H3894" s="14" t="str">
        <f>IFERROR(__xludf.DUMMYFUNCTION("""COMPUTED_VALUE"""),"Haliza SU")</f>
        <v>Haliza SU</v>
      </c>
      <c r="I3894" s="13" t="str">
        <f>IFERROR(__xludf.DUMMYFUNCTION("""COMPUTED_VALUE"""),"SELESAI")</f>
        <v>SELESAI</v>
      </c>
      <c r="J3894" s="17">
        <f>IFERROR(__xludf.DUMMYFUNCTION("""COMPUTED_VALUE"""),45938.43186880787)</f>
        <v>45938.43187</v>
      </c>
      <c r="K3894" s="13" t="str">
        <f>IFERROR(__xludf.DUMMYFUNCTION("""COMPUTED_VALUE"""),"Selesai")</f>
        <v>Selesai</v>
      </c>
      <c r="L3894" s="17">
        <f>IFERROR(__xludf.DUMMYFUNCTION("""COMPUTED_VALUE"""),45938.43186880787)</f>
        <v>45938.43187</v>
      </c>
      <c r="M3894" s="13"/>
      <c r="N3894" s="13" t="str">
        <f>IFERROR(__xludf.DUMMYFUNCTION("""COMPUTED_VALUE"""),"")</f>
        <v/>
      </c>
      <c r="O3894" s="13" t="str">
        <f t="shared" si="1"/>
        <v/>
      </c>
    </row>
    <row r="3895" ht="22.5" customHeight="1">
      <c r="B3895" s="13">
        <f>IFERROR(__xludf.DUMMYFUNCTION("""COMPUTED_VALUE"""),3890.0)</f>
        <v>3890</v>
      </c>
      <c r="C3895" s="13" t="str">
        <f>IFERROR(__xludf.DUMMYFUNCTION("""COMPUTED_VALUE"""),"B. 499/SUKAMAJU")</f>
        <v>B. 499/SUKAMAJU</v>
      </c>
      <c r="D3895" s="13" t="str">
        <f>IFERROR(__xludf.DUMMYFUNCTION("""COMPUTED_VALUE"""),"L/1/160925/1")</f>
        <v>L/1/160925/1</v>
      </c>
      <c r="E3895" s="14" t="str">
        <f>IFERROR(__xludf.DUMMYFUNCTION("""COMPUTED_VALUE"""),"Heri (BT)")</f>
        <v>Heri (BT)</v>
      </c>
      <c r="F3895" s="14" t="str">
        <f>IFERROR(__xludf.DUMMYFUNCTION("""COMPUTED_VALUE"""),"SELESAI (VIA PERMOHONAN)")</f>
        <v>SELESAI (VIA PERMOHONAN)</v>
      </c>
      <c r="G3895" s="17">
        <f>IFERROR(__xludf.DUMMYFUNCTION("""COMPUTED_VALUE"""),45930.80600225694)</f>
        <v>45930.806</v>
      </c>
      <c r="H3895" s="14" t="str">
        <f>IFERROR(__xludf.DUMMYFUNCTION("""COMPUTED_VALUE"""),"Haliza SU")</f>
        <v>Haliza SU</v>
      </c>
      <c r="I3895" s="13" t="str">
        <f>IFERROR(__xludf.DUMMYFUNCTION("""COMPUTED_VALUE"""),"SELESAI")</f>
        <v>SELESAI</v>
      </c>
      <c r="J3895" s="17">
        <f>IFERROR(__xludf.DUMMYFUNCTION("""COMPUTED_VALUE"""),45938.431968055556)</f>
        <v>45938.43197</v>
      </c>
      <c r="K3895" s="13" t="str">
        <f>IFERROR(__xludf.DUMMYFUNCTION("""COMPUTED_VALUE"""),"Selesai")</f>
        <v>Selesai</v>
      </c>
      <c r="L3895" s="17">
        <f>IFERROR(__xludf.DUMMYFUNCTION("""COMPUTED_VALUE"""),45938.431968055556)</f>
        <v>45938.43197</v>
      </c>
      <c r="M3895" s="13"/>
      <c r="N3895" s="13" t="str">
        <f>IFERROR(__xludf.DUMMYFUNCTION("""COMPUTED_VALUE"""),"")</f>
        <v/>
      </c>
      <c r="O3895" s="13" t="str">
        <f t="shared" si="1"/>
        <v/>
      </c>
    </row>
    <row r="3896" ht="22.5" customHeight="1">
      <c r="B3896" s="13">
        <f>IFERROR(__xludf.DUMMYFUNCTION("""COMPUTED_VALUE"""),3891.0)</f>
        <v>3891</v>
      </c>
      <c r="C3896" s="13" t="str">
        <f>IFERROR(__xludf.DUMMYFUNCTION("""COMPUTED_VALUE"""),"M. 1380/KELAPA TIGA")</f>
        <v>M. 1380/KELAPA TIGA</v>
      </c>
      <c r="D3896" s="13" t="str">
        <f>IFERROR(__xludf.DUMMYFUNCTION("""COMPUTED_VALUE"""),"L/27/080925/1")</f>
        <v>L/27/080925/1</v>
      </c>
      <c r="E3896" s="14" t="str">
        <f>IFERROR(__xludf.DUMMYFUNCTION("""COMPUTED_VALUE"""),"Heri (BT)")</f>
        <v>Heri (BT)</v>
      </c>
      <c r="F3896" s="14" t="str">
        <f>IFERROR(__xludf.DUMMYFUNCTION("""COMPUTED_VALUE"""),"SELESAI (VIA PERMOHONAN)")</f>
        <v>SELESAI (VIA PERMOHONAN)</v>
      </c>
      <c r="G3896" s="17">
        <f>IFERROR(__xludf.DUMMYFUNCTION("""COMPUTED_VALUE"""),45930.80653873843)</f>
        <v>45930.80654</v>
      </c>
      <c r="H3896" s="14" t="str">
        <f>IFERROR(__xludf.DUMMYFUNCTION("""COMPUTED_VALUE"""),"Haliza SU")</f>
        <v>Haliza SU</v>
      </c>
      <c r="I3896" s="13" t="str">
        <f>IFERROR(__xludf.DUMMYFUNCTION("""COMPUTED_VALUE"""),"SELESAI")</f>
        <v>SELESAI</v>
      </c>
      <c r="J3896" s="17">
        <f>IFERROR(__xludf.DUMMYFUNCTION("""COMPUTED_VALUE"""),45938.43211170139)</f>
        <v>45938.43211</v>
      </c>
      <c r="K3896" s="13" t="str">
        <f>IFERROR(__xludf.DUMMYFUNCTION("""COMPUTED_VALUE"""),"Selesai")</f>
        <v>Selesai</v>
      </c>
      <c r="L3896" s="17">
        <f>IFERROR(__xludf.DUMMYFUNCTION("""COMPUTED_VALUE"""),45938.43211170139)</f>
        <v>45938.43211</v>
      </c>
      <c r="M3896" s="13"/>
      <c r="N3896" s="13" t="str">
        <f>IFERROR(__xludf.DUMMYFUNCTION("""COMPUTED_VALUE"""),"")</f>
        <v/>
      </c>
      <c r="O3896" s="13" t="str">
        <f t="shared" si="1"/>
        <v/>
      </c>
    </row>
    <row r="3897" ht="22.5" customHeight="1">
      <c r="B3897" s="13">
        <f>IFERROR(__xludf.DUMMYFUNCTION("""COMPUTED_VALUE"""),3892.0)</f>
        <v>3892</v>
      </c>
      <c r="C3897" s="13" t="str">
        <f>IFERROR(__xludf.DUMMYFUNCTION("""COMPUTED_VALUE"""),"B. 1956/SUKABUMI")</f>
        <v>B. 1956/SUKABUMI</v>
      </c>
      <c r="D3897" s="13" t="str">
        <f>IFERROR(__xludf.DUMMYFUNCTION("""COMPUTED_VALUE"""),"L/27/090925/1")</f>
        <v>L/27/090925/1</v>
      </c>
      <c r="E3897" s="14" t="str">
        <f>IFERROR(__xludf.DUMMYFUNCTION("""COMPUTED_VALUE"""),"Heri (BT)")</f>
        <v>Heri (BT)</v>
      </c>
      <c r="F3897" s="14" t="str">
        <f>IFERROR(__xludf.DUMMYFUNCTION("""COMPUTED_VALUE"""),"SELESAI (VIA PERMOHONAN)")</f>
        <v>SELESAI (VIA PERMOHONAN)</v>
      </c>
      <c r="G3897" s="17">
        <f>IFERROR(__xludf.DUMMYFUNCTION("""COMPUTED_VALUE"""),45930.806608217594)</f>
        <v>45930.80661</v>
      </c>
      <c r="H3897" s="14" t="str">
        <f>IFERROR(__xludf.DUMMYFUNCTION("""COMPUTED_VALUE"""),"Haliza SU")</f>
        <v>Haliza SU</v>
      </c>
      <c r="I3897" s="13" t="str">
        <f>IFERROR(__xludf.DUMMYFUNCTION("""COMPUTED_VALUE"""),"SELESAI")</f>
        <v>SELESAI</v>
      </c>
      <c r="J3897" s="17">
        <f>IFERROR(__xludf.DUMMYFUNCTION("""COMPUTED_VALUE"""),45938.432241828705)</f>
        <v>45938.43224</v>
      </c>
      <c r="K3897" s="13" t="str">
        <f>IFERROR(__xludf.DUMMYFUNCTION("""COMPUTED_VALUE"""),"Selesai")</f>
        <v>Selesai</v>
      </c>
      <c r="L3897" s="17">
        <f>IFERROR(__xludf.DUMMYFUNCTION("""COMPUTED_VALUE"""),45938.432241828705)</f>
        <v>45938.43224</v>
      </c>
      <c r="M3897" s="13"/>
      <c r="N3897" s="13" t="str">
        <f>IFERROR(__xludf.DUMMYFUNCTION("""COMPUTED_VALUE"""),"")</f>
        <v/>
      </c>
      <c r="O3897" s="13" t="str">
        <f t="shared" si="1"/>
        <v/>
      </c>
    </row>
    <row r="3898" ht="22.5" customHeight="1">
      <c r="B3898" s="13">
        <f>IFERROR(__xludf.DUMMYFUNCTION("""COMPUTED_VALUE"""),3893.0)</f>
        <v>3893</v>
      </c>
      <c r="C3898" s="13" t="str">
        <f>IFERROR(__xludf.DUMMYFUNCTION("""COMPUTED_VALUE"""),"M. 1011/ PENGAJARAN")</f>
        <v>M. 1011/ PENGAJARAN</v>
      </c>
      <c r="D3898" s="13" t="str">
        <f>IFERROR(__xludf.DUMMYFUNCTION("""COMPUTED_VALUE"""),"K/13/120825/1")</f>
        <v>K/13/120825/1</v>
      </c>
      <c r="E3898" s="14" t="str">
        <f>IFERROR(__xludf.DUMMYFUNCTION("""COMPUTED_VALUE"""),"Heri (BT)")</f>
        <v>Heri (BT)</v>
      </c>
      <c r="F3898" s="14" t="str">
        <f>IFERROR(__xludf.DUMMYFUNCTION("""COMPUTED_VALUE"""),"SELESAI (VIA PERMOHONAN)")</f>
        <v>SELESAI (VIA PERMOHONAN)</v>
      </c>
      <c r="G3898" s="17">
        <f>IFERROR(__xludf.DUMMYFUNCTION("""COMPUTED_VALUE"""),45930.806734467595)</f>
        <v>45930.80673</v>
      </c>
      <c r="H3898" s="14" t="str">
        <f>IFERROR(__xludf.DUMMYFUNCTION("""COMPUTED_VALUE"""),"Haliza SU")</f>
        <v>Haliza SU</v>
      </c>
      <c r="I3898" s="13" t="str">
        <f>IFERROR(__xludf.DUMMYFUNCTION("""COMPUTED_VALUE"""),"SELESAI")</f>
        <v>SELESAI</v>
      </c>
      <c r="J3898" s="17">
        <f>IFERROR(__xludf.DUMMYFUNCTION("""COMPUTED_VALUE"""),45938.43233660879)</f>
        <v>45938.43234</v>
      </c>
      <c r="K3898" s="13" t="str">
        <f>IFERROR(__xludf.DUMMYFUNCTION("""COMPUTED_VALUE"""),"Selesai")</f>
        <v>Selesai</v>
      </c>
      <c r="L3898" s="17">
        <f>IFERROR(__xludf.DUMMYFUNCTION("""COMPUTED_VALUE"""),45938.43233660879)</f>
        <v>45938.43234</v>
      </c>
      <c r="M3898" s="13"/>
      <c r="N3898" s="13" t="str">
        <f>IFERROR(__xludf.DUMMYFUNCTION("""COMPUTED_VALUE"""),"")</f>
        <v/>
      </c>
      <c r="O3898" s="13" t="str">
        <f t="shared" si="1"/>
        <v/>
      </c>
    </row>
    <row r="3899" ht="22.5" customHeight="1">
      <c r="B3899" s="13">
        <f>IFERROR(__xludf.DUMMYFUNCTION("""COMPUTED_VALUE"""),3894.0)</f>
        <v>3894</v>
      </c>
      <c r="C3899" s="13" t="str">
        <f>IFERROR(__xludf.DUMMYFUNCTION("""COMPUTED_VALUE"""),"M 334/ BUMI KEDAMAIAN")</f>
        <v>M 334/ BUMI KEDAMAIAN</v>
      </c>
      <c r="D3899" s="13" t="str">
        <f>IFERROR(__xludf.DUMMYFUNCTION("""COMPUTED_VALUE"""),"K/4/250825/1")</f>
        <v>K/4/250825/1</v>
      </c>
      <c r="E3899" s="14" t="str">
        <f>IFERROR(__xludf.DUMMYFUNCTION("""COMPUTED_VALUE"""),"Heri (BT)")</f>
        <v>Heri (BT)</v>
      </c>
      <c r="F3899" s="14" t="str">
        <f>IFERROR(__xludf.DUMMYFUNCTION("""COMPUTED_VALUE"""),"SELESAI (VIA PERMOHONAN)")</f>
        <v>SELESAI (VIA PERMOHONAN)</v>
      </c>
      <c r="G3899" s="17">
        <f>IFERROR(__xludf.DUMMYFUNCTION("""COMPUTED_VALUE"""),45930.80686287037)</f>
        <v>45930.80686</v>
      </c>
      <c r="H3899" s="14" t="str">
        <f>IFERROR(__xludf.DUMMYFUNCTION("""COMPUTED_VALUE"""),"Haliza SU")</f>
        <v>Haliza SU</v>
      </c>
      <c r="I3899" s="13" t="str">
        <f>IFERROR(__xludf.DUMMYFUNCTION("""COMPUTED_VALUE"""),"SELESAI")</f>
        <v>SELESAI</v>
      </c>
      <c r="J3899" s="17">
        <f>IFERROR(__xludf.DUMMYFUNCTION("""COMPUTED_VALUE"""),45938.43242967593)</f>
        <v>45938.43243</v>
      </c>
      <c r="K3899" s="13" t="str">
        <f>IFERROR(__xludf.DUMMYFUNCTION("""COMPUTED_VALUE"""),"Selesai")</f>
        <v>Selesai</v>
      </c>
      <c r="L3899" s="17">
        <f>IFERROR(__xludf.DUMMYFUNCTION("""COMPUTED_VALUE"""),45938.43242967593)</f>
        <v>45938.43243</v>
      </c>
      <c r="M3899" s="13"/>
      <c r="N3899" s="13" t="str">
        <f>IFERROR(__xludf.DUMMYFUNCTION("""COMPUTED_VALUE"""),"")</f>
        <v/>
      </c>
      <c r="O3899" s="13" t="str">
        <f t="shared" si="1"/>
        <v/>
      </c>
    </row>
    <row r="3900" ht="22.5" customHeight="1">
      <c r="B3900" s="13">
        <f>IFERROR(__xludf.DUMMYFUNCTION("""COMPUTED_VALUE"""),3895.0)</f>
        <v>3895</v>
      </c>
      <c r="C3900" s="13" t="str">
        <f>IFERROR(__xludf.DUMMYFUNCTION("""COMPUTED_VALUE"""),"M 1174/ LABUHAN RATU RAYA")</f>
        <v>M 1174/ LABUHAN RATU RAYA</v>
      </c>
      <c r="D3900" s="13" t="str">
        <f>IFERROR(__xludf.DUMMYFUNCTION("""COMPUTED_VALUE"""),"K/23/290825/2")</f>
        <v>K/23/290825/2</v>
      </c>
      <c r="E3900" s="14" t="str">
        <f>IFERROR(__xludf.DUMMYFUNCTION("""COMPUTED_VALUE"""),"Heri (BT)")</f>
        <v>Heri (BT)</v>
      </c>
      <c r="F3900" s="14" t="str">
        <f>IFERROR(__xludf.DUMMYFUNCTION("""COMPUTED_VALUE"""),"SELESAI (VIA PERMOHONAN)")</f>
        <v>SELESAI (VIA PERMOHONAN)</v>
      </c>
      <c r="G3900" s="17">
        <f>IFERROR(__xludf.DUMMYFUNCTION("""COMPUTED_VALUE"""),45930.80700341435)</f>
        <v>45930.807</v>
      </c>
      <c r="H3900" s="14" t="str">
        <f>IFERROR(__xludf.DUMMYFUNCTION("""COMPUTED_VALUE"""),"Haliza SU")</f>
        <v>Haliza SU</v>
      </c>
      <c r="I3900" s="13" t="str">
        <f>IFERROR(__xludf.DUMMYFUNCTION("""COMPUTED_VALUE"""),"SELESAI")</f>
        <v>SELESAI</v>
      </c>
      <c r="J3900" s="17">
        <f>IFERROR(__xludf.DUMMYFUNCTION("""COMPUTED_VALUE"""),45932.407577881946)</f>
        <v>45932.40758</v>
      </c>
      <c r="K3900" s="13" t="str">
        <f>IFERROR(__xludf.DUMMYFUNCTION("""COMPUTED_VALUE"""),"Selesai")</f>
        <v>Selesai</v>
      </c>
      <c r="L3900" s="17">
        <f>IFERROR(__xludf.DUMMYFUNCTION("""COMPUTED_VALUE"""),45932.407577881946)</f>
        <v>45932.40758</v>
      </c>
      <c r="M3900" s="13"/>
      <c r="N3900" s="13" t="str">
        <f>IFERROR(__xludf.DUMMYFUNCTION("""COMPUTED_VALUE"""),"")</f>
        <v/>
      </c>
      <c r="O3900" s="13" t="str">
        <f t="shared" si="1"/>
        <v/>
      </c>
    </row>
    <row r="3901" ht="22.5" customHeight="1">
      <c r="B3901" s="13">
        <f>IFERROR(__xludf.DUMMYFUNCTION("""COMPUTED_VALUE"""),3896.0)</f>
        <v>3896</v>
      </c>
      <c r="C3901" s="13" t="str">
        <f>IFERROR(__xludf.DUMMYFUNCTION("""COMPUTED_VALUE"""),"M 9954/ RAJABASA")</f>
        <v>M 9954/ RAJABASA</v>
      </c>
      <c r="D3901" s="13"/>
      <c r="E3901" s="14" t="str">
        <f>IFERROR(__xludf.DUMMYFUNCTION("""COMPUTED_VALUE"""),"Heri (BT)")</f>
        <v>Heri (BT)</v>
      </c>
      <c r="F3901" s="14" t="str">
        <f>IFERROR(__xludf.DUMMYFUNCTION("""COMPUTED_VALUE"""),"SELESAI (VIA PERMOHONAN)")</f>
        <v>SELESAI (VIA PERMOHONAN)</v>
      </c>
      <c r="G3901" s="17">
        <f>IFERROR(__xludf.DUMMYFUNCTION("""COMPUTED_VALUE"""),45930.80714362269)</f>
        <v>45930.80714</v>
      </c>
      <c r="H3901" s="14" t="str">
        <f>IFERROR(__xludf.DUMMYFUNCTION("""COMPUTED_VALUE"""),"Haliza SU")</f>
        <v>Haliza SU</v>
      </c>
      <c r="I3901" s="13" t="str">
        <f>IFERROR(__xludf.DUMMYFUNCTION("""COMPUTED_VALUE"""),"SELESAI")</f>
        <v>SELESAI</v>
      </c>
      <c r="J3901" s="17">
        <f>IFERROR(__xludf.DUMMYFUNCTION("""COMPUTED_VALUE"""),45932.40695815972)</f>
        <v>45932.40696</v>
      </c>
      <c r="K3901" s="13" t="str">
        <f>IFERROR(__xludf.DUMMYFUNCTION("""COMPUTED_VALUE"""),"")</f>
        <v/>
      </c>
      <c r="L3901" s="13" t="str">
        <f>IFERROR(__xludf.DUMMYFUNCTION("""COMPUTED_VALUE"""),"")</f>
        <v/>
      </c>
      <c r="M3901" s="13"/>
      <c r="N3901" s="13" t="str">
        <f>IFERROR(__xludf.DUMMYFUNCTION("""COMPUTED_VALUE"""),"")</f>
        <v/>
      </c>
      <c r="O3901" s="13" t="str">
        <f t="shared" si="1"/>
        <v/>
      </c>
    </row>
    <row r="3902" ht="22.5" customHeight="1">
      <c r="B3902" s="13">
        <f>IFERROR(__xludf.DUMMYFUNCTION("""COMPUTED_VALUE"""),3897.0)</f>
        <v>3897</v>
      </c>
      <c r="C3902" s="13" t="str">
        <f>IFERROR(__xludf.DUMMYFUNCTION("""COMPUTED_VALUE"""),"M. 198/Rajabasa Raya	")</f>
        <v>M. 198/Rajabasa Raya	</v>
      </c>
      <c r="D3902" s="13" t="str">
        <f>IFERROR(__xludf.DUMMYFUNCTION("""COMPUTED_VALUE"""),"K/40/040925/1")</f>
        <v>K/40/040925/1</v>
      </c>
      <c r="E3902" s="14" t="str">
        <f>IFERROR(__xludf.DUMMYFUNCTION("""COMPUTED_VALUE"""),"Heri (BT)")</f>
        <v>Heri (BT)</v>
      </c>
      <c r="F3902" s="14" t="str">
        <f>IFERROR(__xludf.DUMMYFUNCTION("""COMPUTED_VALUE"""),"SELESAI (VIA PERMOHONAN)")</f>
        <v>SELESAI (VIA PERMOHONAN)</v>
      </c>
      <c r="G3902" s="17">
        <f>IFERROR(__xludf.DUMMYFUNCTION("""COMPUTED_VALUE"""),45930.80727709491)</f>
        <v>45930.80728</v>
      </c>
      <c r="H3902" s="14" t="str">
        <f>IFERROR(__xludf.DUMMYFUNCTION("""COMPUTED_VALUE"""),"Haliza SU")</f>
        <v>Haliza SU</v>
      </c>
      <c r="I3902" s="13" t="str">
        <f>IFERROR(__xludf.DUMMYFUNCTION("""COMPUTED_VALUE"""),"SELESAI")</f>
        <v>SELESAI</v>
      </c>
      <c r="J3902" s="17">
        <f>IFERROR(__xludf.DUMMYFUNCTION("""COMPUTED_VALUE"""),45938.432618923616)</f>
        <v>45938.43262</v>
      </c>
      <c r="K3902" s="13" t="str">
        <f>IFERROR(__xludf.DUMMYFUNCTION("""COMPUTED_VALUE"""),"Selesai")</f>
        <v>Selesai</v>
      </c>
      <c r="L3902" s="17">
        <f>IFERROR(__xludf.DUMMYFUNCTION("""COMPUTED_VALUE"""),45938.432618923616)</f>
        <v>45938.43262</v>
      </c>
      <c r="M3902" s="13"/>
      <c r="N3902" s="13" t="str">
        <f>IFERROR(__xludf.DUMMYFUNCTION("""COMPUTED_VALUE"""),"")</f>
        <v/>
      </c>
      <c r="O3902" s="13" t="str">
        <f t="shared" si="1"/>
        <v/>
      </c>
    </row>
    <row r="3903" ht="22.5" customHeight="1">
      <c r="B3903" s="13">
        <f>IFERROR(__xludf.DUMMYFUNCTION("""COMPUTED_VALUE"""),3898.0)</f>
        <v>3898</v>
      </c>
      <c r="C3903" s="13" t="str">
        <f>IFERROR(__xludf.DUMMYFUNCTION("""COMPUTED_VALUE"""),"B. 1744/Sukarame	")</f>
        <v>B. 1744/Sukarame	</v>
      </c>
      <c r="D3903" s="13" t="str">
        <f>IFERROR(__xludf.DUMMYFUNCTION("""COMPUTED_VALUE"""),"K/7/290825/1")</f>
        <v>K/7/290825/1</v>
      </c>
      <c r="E3903" s="14" t="str">
        <f>IFERROR(__xludf.DUMMYFUNCTION("""COMPUTED_VALUE"""),"Heri (BT)")</f>
        <v>Heri (BT)</v>
      </c>
      <c r="F3903" s="14" t="str">
        <f>IFERROR(__xludf.DUMMYFUNCTION("""COMPUTED_VALUE"""),"SELESAI (VIA PERMOHONAN)")</f>
        <v>SELESAI (VIA PERMOHONAN)</v>
      </c>
      <c r="G3903" s="17">
        <f>IFERROR(__xludf.DUMMYFUNCTION("""COMPUTED_VALUE"""),45930.80741638889)</f>
        <v>45930.80742</v>
      </c>
      <c r="H3903" s="14" t="str">
        <f>IFERROR(__xludf.DUMMYFUNCTION("""COMPUTED_VALUE"""),"Haliza SU")</f>
        <v>Haliza SU</v>
      </c>
      <c r="I3903" s="13" t="str">
        <f>IFERROR(__xludf.DUMMYFUNCTION("""COMPUTED_VALUE"""),"SELESAI")</f>
        <v>SELESAI</v>
      </c>
      <c r="J3903" s="17">
        <f>IFERROR(__xludf.DUMMYFUNCTION("""COMPUTED_VALUE"""),45938.43272780093)</f>
        <v>45938.43273</v>
      </c>
      <c r="K3903" s="13" t="str">
        <f>IFERROR(__xludf.DUMMYFUNCTION("""COMPUTED_VALUE"""),"Selesai")</f>
        <v>Selesai</v>
      </c>
      <c r="L3903" s="17">
        <f>IFERROR(__xludf.DUMMYFUNCTION("""COMPUTED_VALUE"""),45938.43272780093)</f>
        <v>45938.43273</v>
      </c>
      <c r="M3903" s="13"/>
      <c r="N3903" s="13" t="str">
        <f>IFERROR(__xludf.DUMMYFUNCTION("""COMPUTED_VALUE"""),"")</f>
        <v/>
      </c>
      <c r="O3903" s="13" t="str">
        <f t="shared" si="1"/>
        <v/>
      </c>
    </row>
    <row r="3904" ht="22.5" customHeight="1">
      <c r="B3904" s="13">
        <f>IFERROR(__xludf.DUMMYFUNCTION("""COMPUTED_VALUE"""),3899.0)</f>
        <v>3899</v>
      </c>
      <c r="C3904" s="13" t="str">
        <f>IFERROR(__xludf.DUMMYFUNCTION("""COMPUTED_VALUE"""),"M. 1367/Sukarame Baru	")</f>
        <v>M. 1367/Sukarame Baru	</v>
      </c>
      <c r="D3904" s="13" t="str">
        <f>IFERROR(__xludf.DUMMYFUNCTION("""COMPUTED_VALUE"""),"K/15/230925/1")</f>
        <v>K/15/230925/1</v>
      </c>
      <c r="E3904" s="14" t="str">
        <f>IFERROR(__xludf.DUMMYFUNCTION("""COMPUTED_VALUE"""),"Heri (BT)")</f>
        <v>Heri (BT)</v>
      </c>
      <c r="F3904" s="14" t="str">
        <f>IFERROR(__xludf.DUMMYFUNCTION("""COMPUTED_VALUE"""),"SELESAI (VIA PERMOHONAN)")</f>
        <v>SELESAI (VIA PERMOHONAN)</v>
      </c>
      <c r="G3904" s="17">
        <f>IFERROR(__xludf.DUMMYFUNCTION("""COMPUTED_VALUE"""),45930.80755950231)</f>
        <v>45930.80756</v>
      </c>
      <c r="H3904" s="14" t="str">
        <f>IFERROR(__xludf.DUMMYFUNCTION("""COMPUTED_VALUE"""),"Haliza SU")</f>
        <v>Haliza SU</v>
      </c>
      <c r="I3904" s="13" t="str">
        <f>IFERROR(__xludf.DUMMYFUNCTION("""COMPUTED_VALUE"""),"SELESAI")</f>
        <v>SELESAI</v>
      </c>
      <c r="J3904" s="17">
        <f>IFERROR(__xludf.DUMMYFUNCTION("""COMPUTED_VALUE"""),45938.432848125)</f>
        <v>45938.43285</v>
      </c>
      <c r="K3904" s="13" t="str">
        <f>IFERROR(__xludf.DUMMYFUNCTION("""COMPUTED_VALUE"""),"Selesai")</f>
        <v>Selesai</v>
      </c>
      <c r="L3904" s="17">
        <f>IFERROR(__xludf.DUMMYFUNCTION("""COMPUTED_VALUE"""),45938.432848125)</f>
        <v>45938.43285</v>
      </c>
      <c r="M3904" s="13"/>
      <c r="N3904" s="13" t="str">
        <f>IFERROR(__xludf.DUMMYFUNCTION("""COMPUTED_VALUE"""),"")</f>
        <v/>
      </c>
      <c r="O3904" s="13" t="str">
        <f t="shared" si="1"/>
        <v/>
      </c>
    </row>
    <row r="3905" ht="22.5" customHeight="1">
      <c r="B3905" s="13">
        <f>IFERROR(__xludf.DUMMYFUNCTION("""COMPUTED_VALUE"""),3900.0)</f>
        <v>3900</v>
      </c>
      <c r="C3905" s="13" t="str">
        <f>IFERROR(__xludf.DUMMYFUNCTION("""COMPUTED_VALUE"""),"B. 2188/SUKARAME I")</f>
        <v>B. 2188/SUKARAME I</v>
      </c>
      <c r="D3905" s="13" t="str">
        <f>IFERROR(__xludf.DUMMYFUNCTION("""COMPUTED_VALUE"""),"L/65/220825/1")</f>
        <v>L/65/220825/1</v>
      </c>
      <c r="E3905" s="14" t="str">
        <f>IFERROR(__xludf.DUMMYFUNCTION("""COMPUTED_VALUE"""),"Heri (BT)")</f>
        <v>Heri (BT)</v>
      </c>
      <c r="F3905" s="14" t="str">
        <f>IFERROR(__xludf.DUMMYFUNCTION("""COMPUTED_VALUE"""),"SELESAI (VIA PERMOHONAN)")</f>
        <v>SELESAI (VIA PERMOHONAN)</v>
      </c>
      <c r="G3905" s="17">
        <f>IFERROR(__xludf.DUMMYFUNCTION("""COMPUTED_VALUE"""),45930.80770693287)</f>
        <v>45930.80771</v>
      </c>
      <c r="H3905" s="14" t="str">
        <f>IFERROR(__xludf.DUMMYFUNCTION("""COMPUTED_VALUE"""),"Haliza SU")</f>
        <v>Haliza SU</v>
      </c>
      <c r="I3905" s="13" t="str">
        <f>IFERROR(__xludf.DUMMYFUNCTION("""COMPUTED_VALUE"""),"SELESAI")</f>
        <v>SELESAI</v>
      </c>
      <c r="J3905" s="17">
        <f>IFERROR(__xludf.DUMMYFUNCTION("""COMPUTED_VALUE"""),45938.4329427662)</f>
        <v>45938.43294</v>
      </c>
      <c r="K3905" s="13" t="str">
        <f>IFERROR(__xludf.DUMMYFUNCTION("""COMPUTED_VALUE"""),"Selesai")</f>
        <v>Selesai</v>
      </c>
      <c r="L3905" s="17">
        <f>IFERROR(__xludf.DUMMYFUNCTION("""COMPUTED_VALUE"""),45938.4329427662)</f>
        <v>45938.43294</v>
      </c>
      <c r="M3905" s="13"/>
      <c r="N3905" s="13" t="str">
        <f>IFERROR(__xludf.DUMMYFUNCTION("""COMPUTED_VALUE"""),"")</f>
        <v/>
      </c>
      <c r="O3905" s="13" t="str">
        <f t="shared" si="1"/>
        <v/>
      </c>
    </row>
    <row r="3906" ht="22.5" customHeight="1">
      <c r="B3906" s="13">
        <f>IFERROR(__xludf.DUMMYFUNCTION("""COMPUTED_VALUE"""),3901.0)</f>
        <v>3901</v>
      </c>
      <c r="C3906" s="13" t="str">
        <f>IFERROR(__xludf.DUMMYFUNCTION("""COMPUTED_VALUE"""),"B. 2191/SUKARAME I")</f>
        <v>B. 2191/SUKARAME I</v>
      </c>
      <c r="D3906" s="13" t="str">
        <f>IFERROR(__xludf.DUMMYFUNCTION("""COMPUTED_VALUE"""),"L/41/270825/1")</f>
        <v>L/41/270825/1</v>
      </c>
      <c r="E3906" s="14" t="str">
        <f>IFERROR(__xludf.DUMMYFUNCTION("""COMPUTED_VALUE"""),"Heri (BT)")</f>
        <v>Heri (BT)</v>
      </c>
      <c r="F3906" s="14" t="str">
        <f>IFERROR(__xludf.DUMMYFUNCTION("""COMPUTED_VALUE"""),"SELESAI (VIA PERMOHONAN)")</f>
        <v>SELESAI (VIA PERMOHONAN)</v>
      </c>
      <c r="G3906" s="17">
        <f>IFERROR(__xludf.DUMMYFUNCTION("""COMPUTED_VALUE"""),45930.8078432176)</f>
        <v>45930.80784</v>
      </c>
      <c r="H3906" s="14" t="str">
        <f>IFERROR(__xludf.DUMMYFUNCTION("""COMPUTED_VALUE"""),"Haliza SU")</f>
        <v>Haliza SU</v>
      </c>
      <c r="I3906" s="13" t="str">
        <f>IFERROR(__xludf.DUMMYFUNCTION("""COMPUTED_VALUE"""),"SELESAI")</f>
        <v>SELESAI</v>
      </c>
      <c r="J3906" s="17">
        <f>IFERROR(__xludf.DUMMYFUNCTION("""COMPUTED_VALUE"""),45938.433096249995)</f>
        <v>45938.4331</v>
      </c>
      <c r="K3906" s="13" t="str">
        <f>IFERROR(__xludf.DUMMYFUNCTION("""COMPUTED_VALUE"""),"Selesai")</f>
        <v>Selesai</v>
      </c>
      <c r="L3906" s="17">
        <f>IFERROR(__xludf.DUMMYFUNCTION("""COMPUTED_VALUE"""),45938.433096249995)</f>
        <v>45938.4331</v>
      </c>
      <c r="M3906" s="13"/>
      <c r="N3906" s="13" t="str">
        <f>IFERROR(__xludf.DUMMYFUNCTION("""COMPUTED_VALUE"""),"")</f>
        <v/>
      </c>
      <c r="O3906" s="13" t="str">
        <f t="shared" si="1"/>
        <v/>
      </c>
    </row>
    <row r="3907" ht="22.5" customHeight="1">
      <c r="B3907" s="13">
        <f>IFERROR(__xludf.DUMMYFUNCTION("""COMPUTED_VALUE"""),3902.0)</f>
        <v>3902</v>
      </c>
      <c r="C3907" s="13" t="str">
        <f>IFERROR(__xludf.DUMMYFUNCTION("""COMPUTED_VALUE"""),"HM 1384/SUKADANA HAM")</f>
        <v>HM 1384/SUKADANA HAM</v>
      </c>
      <c r="D3907" s="13" t="str">
        <f>IFERROR(__xludf.DUMMYFUNCTION("""COMPUTED_VALUE"""),"L/7/240725/1")</f>
        <v>L/7/240725/1</v>
      </c>
      <c r="E3907" s="14" t="str">
        <f>IFERROR(__xludf.DUMMYFUNCTION("""COMPUTED_VALUE"""),"Heri (BT)")</f>
        <v>Heri (BT)</v>
      </c>
      <c r="F3907" s="14" t="str">
        <f>IFERROR(__xludf.DUMMYFUNCTION("""COMPUTED_VALUE"""),"SELESAI (VIA PERMOHONAN)")</f>
        <v>SELESAI (VIA PERMOHONAN)</v>
      </c>
      <c r="G3907" s="17">
        <f>IFERROR(__xludf.DUMMYFUNCTION("""COMPUTED_VALUE"""),45930.80797040509)</f>
        <v>45930.80797</v>
      </c>
      <c r="H3907" s="14" t="str">
        <f>IFERROR(__xludf.DUMMYFUNCTION("""COMPUTED_VALUE"""),"Haliza SU")</f>
        <v>Haliza SU</v>
      </c>
      <c r="I3907" s="13" t="str">
        <f>IFERROR(__xludf.DUMMYFUNCTION("""COMPUTED_VALUE"""),"SELESAI")</f>
        <v>SELESAI</v>
      </c>
      <c r="J3907" s="17">
        <f>IFERROR(__xludf.DUMMYFUNCTION("""COMPUTED_VALUE"""),45932.40623222222)</f>
        <v>45932.40623</v>
      </c>
      <c r="K3907" s="13" t="str">
        <f>IFERROR(__xludf.DUMMYFUNCTION("""COMPUTED_VALUE"""),"Selesai")</f>
        <v>Selesai</v>
      </c>
      <c r="L3907" s="17">
        <f>IFERROR(__xludf.DUMMYFUNCTION("""COMPUTED_VALUE"""),45932.40623222222)</f>
        <v>45932.40623</v>
      </c>
      <c r="M3907" s="13"/>
      <c r="N3907" s="13" t="str">
        <f>IFERROR(__xludf.DUMMYFUNCTION("""COMPUTED_VALUE"""),"")</f>
        <v/>
      </c>
      <c r="O3907" s="13" t="str">
        <f t="shared" si="1"/>
        <v/>
      </c>
    </row>
    <row r="3908" ht="22.5" customHeight="1">
      <c r="B3908" s="13">
        <f>IFERROR(__xludf.DUMMYFUNCTION("""COMPUTED_VALUE"""),3903.0)</f>
        <v>3903</v>
      </c>
      <c r="C3908" s="13" t="str">
        <f>IFERROR(__xludf.DUMMYFUNCTION("""COMPUTED_VALUE"""),"B. 631/Nusantara Permai	")</f>
        <v>B. 631/Nusantara Permai	</v>
      </c>
      <c r="D3908" s="13" t="str">
        <f>IFERROR(__xludf.DUMMYFUNCTION("""COMPUTED_VALUE"""),"K/8/110925/1")</f>
        <v>K/8/110925/1</v>
      </c>
      <c r="E3908" s="14" t="str">
        <f>IFERROR(__xludf.DUMMYFUNCTION("""COMPUTED_VALUE"""),"Heri (BT)")</f>
        <v>Heri (BT)</v>
      </c>
      <c r="F3908" s="14" t="str">
        <f>IFERROR(__xludf.DUMMYFUNCTION("""COMPUTED_VALUE"""),"SELESAI (VIA PERMOHONAN)")</f>
        <v>SELESAI (VIA PERMOHONAN)</v>
      </c>
      <c r="G3908" s="17">
        <f>IFERROR(__xludf.DUMMYFUNCTION("""COMPUTED_VALUE"""),45930.808116493055)</f>
        <v>45930.80812</v>
      </c>
      <c r="H3908" s="14" t="str">
        <f>IFERROR(__xludf.DUMMYFUNCTION("""COMPUTED_VALUE"""),"Haliza SU")</f>
        <v>Haliza SU</v>
      </c>
      <c r="I3908" s="13" t="str">
        <f>IFERROR(__xludf.DUMMYFUNCTION("""COMPUTED_VALUE"""),"SELESAI")</f>
        <v>SELESAI</v>
      </c>
      <c r="J3908" s="17">
        <f>IFERROR(__xludf.DUMMYFUNCTION("""COMPUTED_VALUE"""),45938.43326983796)</f>
        <v>45938.43327</v>
      </c>
      <c r="K3908" s="13" t="str">
        <f>IFERROR(__xludf.DUMMYFUNCTION("""COMPUTED_VALUE"""),"Selesai")</f>
        <v>Selesai</v>
      </c>
      <c r="L3908" s="17">
        <f>IFERROR(__xludf.DUMMYFUNCTION("""COMPUTED_VALUE"""),45938.43326983796)</f>
        <v>45938.43327</v>
      </c>
      <c r="M3908" s="13"/>
      <c r="N3908" s="13" t="str">
        <f>IFERROR(__xludf.DUMMYFUNCTION("""COMPUTED_VALUE"""),"")</f>
        <v/>
      </c>
      <c r="O3908" s="13" t="str">
        <f t="shared" si="1"/>
        <v/>
      </c>
    </row>
    <row r="3909" ht="22.5" customHeight="1">
      <c r="B3909" s="13">
        <f>IFERROR(__xludf.DUMMYFUNCTION("""COMPUTED_VALUE"""),3904.0)</f>
        <v>3904</v>
      </c>
      <c r="C3909" s="13" t="str">
        <f>IFERROR(__xludf.DUMMYFUNCTION("""COMPUTED_VALUE"""),"3002/Langkapura")</f>
        <v>3002/Langkapura</v>
      </c>
      <c r="D3909" s="13" t="str">
        <f>IFERROR(__xludf.DUMMYFUNCTION("""COMPUTED_VALUE"""),"")</f>
        <v/>
      </c>
      <c r="E3909" s="14" t="str">
        <f>IFERROR(__xludf.DUMMYFUNCTION("""COMPUTED_VALUE"""),"Heri (BT)")</f>
        <v>Heri (BT)</v>
      </c>
      <c r="F3909" s="14" t="str">
        <f>IFERROR(__xludf.DUMMYFUNCTION("""COMPUTED_VALUE"""),"SELESAI (VIA PERMOHONAN)")</f>
        <v>SELESAI (VIA PERMOHONAN)</v>
      </c>
      <c r="G3909" s="17">
        <f>IFERROR(__xludf.DUMMYFUNCTION("""COMPUTED_VALUE"""),45930.808544976855)</f>
        <v>45930.80854</v>
      </c>
      <c r="H3909" s="14" t="str">
        <f>IFERROR(__xludf.DUMMYFUNCTION("""COMPUTED_VALUE"""),"Haliza SU")</f>
        <v>Haliza SU</v>
      </c>
      <c r="I3909" s="13" t="str">
        <f>IFERROR(__xludf.DUMMYFUNCTION("""COMPUTED_VALUE"""),"SELESAI")</f>
        <v>SELESAI</v>
      </c>
      <c r="J3909" s="17">
        <f>IFERROR(__xludf.DUMMYFUNCTION("""COMPUTED_VALUE"""),45936.400733692135)</f>
        <v>45936.40073</v>
      </c>
      <c r="K3909" s="13" t="str">
        <f>IFERROR(__xludf.DUMMYFUNCTION("""COMPUTED_VALUE"""),"")</f>
        <v/>
      </c>
      <c r="L3909" s="13" t="str">
        <f>IFERROR(__xludf.DUMMYFUNCTION("""COMPUTED_VALUE"""),"")</f>
        <v/>
      </c>
      <c r="M3909" s="13"/>
      <c r="N3909" s="13" t="str">
        <f>IFERROR(__xludf.DUMMYFUNCTION("""COMPUTED_VALUE"""),"")</f>
        <v/>
      </c>
      <c r="O3909" s="13" t="str">
        <f t="shared" si="1"/>
        <v/>
      </c>
    </row>
    <row r="3910" ht="22.5" customHeight="1">
      <c r="B3910" s="13">
        <f>IFERROR(__xludf.DUMMYFUNCTION("""COMPUTED_VALUE"""),3905.0)</f>
        <v>3905</v>
      </c>
      <c r="C3910" s="13" t="str">
        <f>IFERROR(__xludf.DUMMYFUNCTION("""COMPUTED_VALUE"""),"HGB.732/KETEGUHAN DAN HGB.733/KETEGUHAN")</f>
        <v>HGB.732/KETEGUHAN DAN HGB.733/KETEGUHAN</v>
      </c>
      <c r="D3910" s="13" t="str">
        <f>IFERROR(__xludf.DUMMYFUNCTION("""COMPUTED_VALUE"""),"L/13/190925/1")</f>
        <v>L/13/190925/1</v>
      </c>
      <c r="E3910" s="14" t="str">
        <f>IFERROR(__xludf.DUMMYFUNCTION("""COMPUTED_VALUE"""),"Heri (BT)")</f>
        <v>Heri (BT)</v>
      </c>
      <c r="F3910" s="14" t="str">
        <f>IFERROR(__xludf.DUMMYFUNCTION("""COMPUTED_VALUE"""),"SELESAI (VIA PERMOHONAN)")</f>
        <v>SELESAI (VIA PERMOHONAN)</v>
      </c>
      <c r="G3910" s="17">
        <f>IFERROR(__xludf.DUMMYFUNCTION("""COMPUTED_VALUE"""),45931.38148351852)</f>
        <v>45931.38148</v>
      </c>
      <c r="H3910" s="14" t="str">
        <f>IFERROR(__xludf.DUMMYFUNCTION("""COMPUTED_VALUE"""),"Haliza SU")</f>
        <v>Haliza SU</v>
      </c>
      <c r="I3910" s="13" t="str">
        <f>IFERROR(__xludf.DUMMYFUNCTION("""COMPUTED_VALUE"""),"SELESAI")</f>
        <v>SELESAI</v>
      </c>
      <c r="J3910" s="17">
        <f>IFERROR(__xludf.DUMMYFUNCTION("""COMPUTED_VALUE"""),45938.43357527778)</f>
        <v>45938.43358</v>
      </c>
      <c r="K3910" s="13" t="str">
        <f>IFERROR(__xludf.DUMMYFUNCTION("""COMPUTED_VALUE"""),"Selesai")</f>
        <v>Selesai</v>
      </c>
      <c r="L3910" s="17">
        <f>IFERROR(__xludf.DUMMYFUNCTION("""COMPUTED_VALUE"""),45938.43357527778)</f>
        <v>45938.43358</v>
      </c>
      <c r="M3910" s="13"/>
      <c r="N3910" s="13" t="str">
        <f>IFERROR(__xludf.DUMMYFUNCTION("""COMPUTED_VALUE"""),"")</f>
        <v/>
      </c>
      <c r="O3910" s="13" t="str">
        <f t="shared" si="1"/>
        <v/>
      </c>
    </row>
    <row r="3911" ht="22.5" customHeight="1">
      <c r="B3911" s="13">
        <f>IFERROR(__xludf.DUMMYFUNCTION("""COMPUTED_VALUE"""),3906.0)</f>
        <v>3906</v>
      </c>
      <c r="C3911" s="13" t="str">
        <f>IFERROR(__xludf.DUMMYFUNCTION("""COMPUTED_VALUE"""),"B. 668/PINANG JAYA")</f>
        <v>B. 668/PINANG JAYA</v>
      </c>
      <c r="D3911" s="13" t="str">
        <f>IFERROR(__xludf.DUMMYFUNCTION("""COMPUTED_VALUE"""),"L/26/160925/1")</f>
        <v>L/26/160925/1</v>
      </c>
      <c r="E3911" s="14" t="str">
        <f>IFERROR(__xludf.DUMMYFUNCTION("""COMPUTED_VALUE"""),"Heri (BT)")</f>
        <v>Heri (BT)</v>
      </c>
      <c r="F3911" s="14" t="str">
        <f>IFERROR(__xludf.DUMMYFUNCTION("""COMPUTED_VALUE"""),"SELESAI (VIA PERMOHONAN)")</f>
        <v>SELESAI (VIA PERMOHONAN)</v>
      </c>
      <c r="G3911" s="17">
        <f>IFERROR(__xludf.DUMMYFUNCTION("""COMPUTED_VALUE"""),45931.38248697917)</f>
        <v>45931.38249</v>
      </c>
      <c r="H3911" s="14" t="str">
        <f>IFERROR(__xludf.DUMMYFUNCTION("""COMPUTED_VALUE"""),"Haliza SU")</f>
        <v>Haliza SU</v>
      </c>
      <c r="I3911" s="13" t="str">
        <f>IFERROR(__xludf.DUMMYFUNCTION("""COMPUTED_VALUE"""),"SELESAI")</f>
        <v>SELESAI</v>
      </c>
      <c r="J3911" s="17">
        <f>IFERROR(__xludf.DUMMYFUNCTION("""COMPUTED_VALUE"""),45938.43348715278)</f>
        <v>45938.43349</v>
      </c>
      <c r="K3911" s="13" t="str">
        <f>IFERROR(__xludf.DUMMYFUNCTION("""COMPUTED_VALUE"""),"Selesai")</f>
        <v>Selesai</v>
      </c>
      <c r="L3911" s="17">
        <f>IFERROR(__xludf.DUMMYFUNCTION("""COMPUTED_VALUE"""),45938.43348715278)</f>
        <v>45938.43349</v>
      </c>
      <c r="M3911" s="13"/>
      <c r="N3911" s="13" t="str">
        <f>IFERROR(__xludf.DUMMYFUNCTION("""COMPUTED_VALUE"""),"")</f>
        <v/>
      </c>
      <c r="O3911" s="13" t="str">
        <f t="shared" si="1"/>
        <v/>
      </c>
    </row>
    <row r="3912" ht="22.5" customHeight="1">
      <c r="B3912" s="13">
        <f>IFERROR(__xludf.DUMMYFUNCTION("""COMPUTED_VALUE"""),3907.0)</f>
        <v>3907</v>
      </c>
      <c r="C3912" s="13" t="str">
        <f>IFERROR(__xludf.DUMMYFUNCTION("""COMPUTED_VALUE"""),"M 1654/ DURIAN PAYUNG")</f>
        <v>M 1654/ DURIAN PAYUNG</v>
      </c>
      <c r="D3912" s="13" t="str">
        <f>IFERROR(__xludf.DUMMYFUNCTION("""COMPUTED_VALUE"""),"K/19/240925/1")</f>
        <v>K/19/240925/1</v>
      </c>
      <c r="E3912" s="14" t="str">
        <f>IFERROR(__xludf.DUMMYFUNCTION("""COMPUTED_VALUE"""),"Heri (BT)")</f>
        <v>Heri (BT)</v>
      </c>
      <c r="F3912" s="14" t="str">
        <f>IFERROR(__xludf.DUMMYFUNCTION("""COMPUTED_VALUE"""),"SELESAI (VIA PERMOHONAN)")</f>
        <v>SELESAI (VIA PERMOHONAN)</v>
      </c>
      <c r="G3912" s="17">
        <f>IFERROR(__xludf.DUMMYFUNCTION("""COMPUTED_VALUE"""),45933.47607739583)</f>
        <v>45933.47608</v>
      </c>
      <c r="H3912" s="14" t="str">
        <f>IFERROR(__xludf.DUMMYFUNCTION("""COMPUTED_VALUE"""),"Haliza SU")</f>
        <v>Haliza SU</v>
      </c>
      <c r="I3912" s="13" t="str">
        <f>IFERROR(__xludf.DUMMYFUNCTION("""COMPUTED_VALUE"""),"SELESAI")</f>
        <v>SELESAI</v>
      </c>
      <c r="J3912" s="17">
        <f>IFERROR(__xludf.DUMMYFUNCTION("""COMPUTED_VALUE"""),45936.39257163194)</f>
        <v>45936.39257</v>
      </c>
      <c r="K3912" s="13" t="str">
        <f>IFERROR(__xludf.DUMMYFUNCTION("""COMPUTED_VALUE"""),"Selesai")</f>
        <v>Selesai</v>
      </c>
      <c r="L3912" s="17">
        <f>IFERROR(__xludf.DUMMYFUNCTION("""COMPUTED_VALUE"""),45936.39257163194)</f>
        <v>45936.39257</v>
      </c>
      <c r="M3912" s="13"/>
      <c r="N3912" s="13" t="str">
        <f>IFERROR(__xludf.DUMMYFUNCTION("""COMPUTED_VALUE"""),"")</f>
        <v/>
      </c>
      <c r="O3912" s="13" t="str">
        <f t="shared" si="1"/>
        <v/>
      </c>
    </row>
    <row r="3913" ht="22.5" customHeight="1">
      <c r="B3913" s="13">
        <f>IFERROR(__xludf.DUMMYFUNCTION("""COMPUTED_VALUE"""),3908.0)</f>
        <v>3908</v>
      </c>
      <c r="C3913" s="13" t="str">
        <f>IFERROR(__xludf.DUMMYFUNCTION("""COMPUTED_VALUE"""),"B.1110/SUKABUMI INDAH")</f>
        <v>B.1110/SUKABUMI INDAH</v>
      </c>
      <c r="D3913" s="13" t="str">
        <f>IFERROR(__xludf.DUMMYFUNCTION("""COMPUTED_VALUE"""),"L/27/190925/1")</f>
        <v>L/27/190925/1</v>
      </c>
      <c r="E3913" s="14" t="str">
        <f>IFERROR(__xludf.DUMMYFUNCTION("""COMPUTED_VALUE"""),"Heri (BT)")</f>
        <v>Heri (BT)</v>
      </c>
      <c r="F3913" s="14" t="str">
        <f>IFERROR(__xludf.DUMMYFUNCTION("""COMPUTED_VALUE"""),"SELESAI (VIA PERMOHONAN)")</f>
        <v>SELESAI (VIA PERMOHONAN)</v>
      </c>
      <c r="G3913" s="17">
        <f>IFERROR(__xludf.DUMMYFUNCTION("""COMPUTED_VALUE"""),45933.47630126157)</f>
        <v>45933.4763</v>
      </c>
      <c r="H3913" s="14" t="str">
        <f>IFERROR(__xludf.DUMMYFUNCTION("""COMPUTED_VALUE"""),"Haliza SU")</f>
        <v>Haliza SU</v>
      </c>
      <c r="I3913" s="13" t="str">
        <f>IFERROR(__xludf.DUMMYFUNCTION("""COMPUTED_VALUE"""),"SELESAI")</f>
        <v>SELESAI</v>
      </c>
      <c r="J3913" s="17">
        <f>IFERROR(__xludf.DUMMYFUNCTION("""COMPUTED_VALUE"""),45936.39280037037)</f>
        <v>45936.3928</v>
      </c>
      <c r="K3913" s="13" t="str">
        <f>IFERROR(__xludf.DUMMYFUNCTION("""COMPUTED_VALUE"""),"Selesai")</f>
        <v>Selesai</v>
      </c>
      <c r="L3913" s="17">
        <f>IFERROR(__xludf.DUMMYFUNCTION("""COMPUTED_VALUE"""),45936.39280037037)</f>
        <v>45936.3928</v>
      </c>
      <c r="M3913" s="13"/>
      <c r="N3913" s="13" t="str">
        <f>IFERROR(__xludf.DUMMYFUNCTION("""COMPUTED_VALUE"""),"")</f>
        <v/>
      </c>
      <c r="O3913" s="13" t="str">
        <f t="shared" si="1"/>
        <v/>
      </c>
    </row>
    <row r="3914" ht="22.5" customHeight="1">
      <c r="B3914" s="13">
        <f>IFERROR(__xludf.DUMMYFUNCTION("""COMPUTED_VALUE"""),3909.0)</f>
        <v>3909</v>
      </c>
      <c r="C3914" s="13" t="str">
        <f>IFERROR(__xludf.DUMMYFUNCTION("""COMPUTED_VALUE"""),"B.1111/SUKABUMI INDAH")</f>
        <v>B.1111/SUKABUMI INDAH</v>
      </c>
      <c r="D3914" s="13" t="str">
        <f>IFERROR(__xludf.DUMMYFUNCTION("""COMPUTED_VALUE"""),"L/28/190925/1")</f>
        <v>L/28/190925/1</v>
      </c>
      <c r="E3914" s="14" t="str">
        <f>IFERROR(__xludf.DUMMYFUNCTION("""COMPUTED_VALUE"""),"Heri (BT)")</f>
        <v>Heri (BT)</v>
      </c>
      <c r="F3914" s="14" t="str">
        <f>IFERROR(__xludf.DUMMYFUNCTION("""COMPUTED_VALUE"""),"SELESAI (VIA PERMOHONAN)")</f>
        <v>SELESAI (VIA PERMOHONAN)</v>
      </c>
      <c r="G3914" s="17">
        <f>IFERROR(__xludf.DUMMYFUNCTION("""COMPUTED_VALUE"""),45933.47650075232)</f>
        <v>45933.4765</v>
      </c>
      <c r="H3914" s="14" t="str">
        <f>IFERROR(__xludf.DUMMYFUNCTION("""COMPUTED_VALUE"""),"Haliza SU")</f>
        <v>Haliza SU</v>
      </c>
      <c r="I3914" s="13" t="str">
        <f>IFERROR(__xludf.DUMMYFUNCTION("""COMPUTED_VALUE"""),"SELESAI")</f>
        <v>SELESAI</v>
      </c>
      <c r="J3914" s="17">
        <f>IFERROR(__xludf.DUMMYFUNCTION("""COMPUTED_VALUE"""),45936.392955312505)</f>
        <v>45936.39296</v>
      </c>
      <c r="K3914" s="13" t="str">
        <f>IFERROR(__xludf.DUMMYFUNCTION("""COMPUTED_VALUE"""),"Selesai")</f>
        <v>Selesai</v>
      </c>
      <c r="L3914" s="17">
        <f>IFERROR(__xludf.DUMMYFUNCTION("""COMPUTED_VALUE"""),45936.392955312505)</f>
        <v>45936.39296</v>
      </c>
      <c r="M3914" s="13"/>
      <c r="N3914" s="13" t="str">
        <f>IFERROR(__xludf.DUMMYFUNCTION("""COMPUTED_VALUE"""),"")</f>
        <v/>
      </c>
      <c r="O3914" s="13" t="str">
        <f t="shared" si="1"/>
        <v/>
      </c>
    </row>
    <row r="3915" ht="22.5" customHeight="1">
      <c r="B3915" s="13">
        <f>IFERROR(__xludf.DUMMYFUNCTION("""COMPUTED_VALUE"""),3910.0)</f>
        <v>3910</v>
      </c>
      <c r="C3915" s="13" t="str">
        <f>IFERROR(__xludf.DUMMYFUNCTION("""COMPUTED_VALUE"""),"B. 678/CAMPANG RAYA")</f>
        <v>B. 678/CAMPANG RAYA</v>
      </c>
      <c r="D3915" s="13" t="str">
        <f>IFERROR(__xludf.DUMMYFUNCTION("""COMPUTED_VALUE"""),"L/24/160925/1")</f>
        <v>L/24/160925/1</v>
      </c>
      <c r="E3915" s="14" t="str">
        <f>IFERROR(__xludf.DUMMYFUNCTION("""COMPUTED_VALUE"""),"Heri (BT)")</f>
        <v>Heri (BT)</v>
      </c>
      <c r="F3915" s="14" t="str">
        <f>IFERROR(__xludf.DUMMYFUNCTION("""COMPUTED_VALUE"""),"SELESAI (VIA PERMOHONAN)")</f>
        <v>SELESAI (VIA PERMOHONAN)</v>
      </c>
      <c r="G3915" s="17">
        <f>IFERROR(__xludf.DUMMYFUNCTION("""COMPUTED_VALUE"""),45933.4766194213)</f>
        <v>45933.47662</v>
      </c>
      <c r="H3915" s="14" t="str">
        <f>IFERROR(__xludf.DUMMYFUNCTION("""COMPUTED_VALUE"""),"Haliza SU")</f>
        <v>Haliza SU</v>
      </c>
      <c r="I3915" s="13" t="str">
        <f>IFERROR(__xludf.DUMMYFUNCTION("""COMPUTED_VALUE"""),"SELESAI")</f>
        <v>SELESAI</v>
      </c>
      <c r="J3915" s="17">
        <f>IFERROR(__xludf.DUMMYFUNCTION("""COMPUTED_VALUE"""),45936.39315396991)</f>
        <v>45936.39315</v>
      </c>
      <c r="K3915" s="13" t="str">
        <f>IFERROR(__xludf.DUMMYFUNCTION("""COMPUTED_VALUE"""),"Selesai")</f>
        <v>Selesai</v>
      </c>
      <c r="L3915" s="17">
        <f>IFERROR(__xludf.DUMMYFUNCTION("""COMPUTED_VALUE"""),45936.39315396991)</f>
        <v>45936.39315</v>
      </c>
      <c r="M3915" s="13"/>
      <c r="N3915" s="13" t="str">
        <f>IFERROR(__xludf.DUMMYFUNCTION("""COMPUTED_VALUE"""),"")</f>
        <v/>
      </c>
      <c r="O3915" s="13" t="str">
        <f t="shared" si="1"/>
        <v/>
      </c>
    </row>
    <row r="3916" ht="22.5" customHeight="1">
      <c r="B3916" s="13">
        <f>IFERROR(__xludf.DUMMYFUNCTION("""COMPUTED_VALUE"""),3911.0)</f>
        <v>3911</v>
      </c>
      <c r="C3916" s="13" t="str">
        <f>IFERROR(__xludf.DUMMYFUNCTION("""COMPUTED_VALUE"""),"M.753/RAJABASA RAYA")</f>
        <v>M.753/RAJABASA RAYA</v>
      </c>
      <c r="D3916" s="13" t="str">
        <f>IFERROR(__xludf.DUMMYFUNCTION("""COMPUTED_VALUE"""),"L/19/290925/1")</f>
        <v>L/19/290925/1</v>
      </c>
      <c r="E3916" s="14" t="str">
        <f>IFERROR(__xludf.DUMMYFUNCTION("""COMPUTED_VALUE"""),"Heri (BT)")</f>
        <v>Heri (BT)</v>
      </c>
      <c r="F3916" s="14" t="str">
        <f>IFERROR(__xludf.DUMMYFUNCTION("""COMPUTED_VALUE"""),"SELESAI (VIA PERMOHONAN)")</f>
        <v>SELESAI (VIA PERMOHONAN)</v>
      </c>
      <c r="G3916" s="17">
        <f>IFERROR(__xludf.DUMMYFUNCTION("""COMPUTED_VALUE"""),45933.47676384259)</f>
        <v>45933.47676</v>
      </c>
      <c r="H3916" s="14" t="str">
        <f>IFERROR(__xludf.DUMMYFUNCTION("""COMPUTED_VALUE"""),"Haliza SU")</f>
        <v>Haliza SU</v>
      </c>
      <c r="I3916" s="13" t="str">
        <f>IFERROR(__xludf.DUMMYFUNCTION("""COMPUTED_VALUE"""),"SELESAI")</f>
        <v>SELESAI</v>
      </c>
      <c r="J3916" s="17">
        <f>IFERROR(__xludf.DUMMYFUNCTION("""COMPUTED_VALUE"""),45936.39345942129)</f>
        <v>45936.39346</v>
      </c>
      <c r="K3916" s="13" t="str">
        <f>IFERROR(__xludf.DUMMYFUNCTION("""COMPUTED_VALUE"""),"Selesai")</f>
        <v>Selesai</v>
      </c>
      <c r="L3916" s="17">
        <f>IFERROR(__xludf.DUMMYFUNCTION("""COMPUTED_VALUE"""),45936.39345942129)</f>
        <v>45936.39346</v>
      </c>
      <c r="M3916" s="13"/>
      <c r="N3916" s="13" t="str">
        <f>IFERROR(__xludf.DUMMYFUNCTION("""COMPUTED_VALUE"""),"")</f>
        <v/>
      </c>
      <c r="O3916" s="13" t="str">
        <f t="shared" si="1"/>
        <v/>
      </c>
    </row>
    <row r="3917" ht="22.5" customHeight="1">
      <c r="B3917" s="13">
        <f>IFERROR(__xludf.DUMMYFUNCTION("""COMPUTED_VALUE"""),3912.0)</f>
        <v>3912</v>
      </c>
      <c r="C3917" s="13" t="str">
        <f>IFERROR(__xludf.DUMMYFUNCTION("""COMPUTED_VALUE"""),"M. 2453/KEMILING PERMAI")</f>
        <v>M. 2453/KEMILING PERMAI</v>
      </c>
      <c r="D3917" s="13" t="str">
        <f>IFERROR(__xludf.DUMMYFUNCTION("""COMPUTED_VALUE"""),"L/10/170925/1")</f>
        <v>L/10/170925/1</v>
      </c>
      <c r="E3917" s="14" t="str">
        <f>IFERROR(__xludf.DUMMYFUNCTION("""COMPUTED_VALUE"""),"Heri (BT)")</f>
        <v>Heri (BT)</v>
      </c>
      <c r="F3917" s="14" t="str">
        <f>IFERROR(__xludf.DUMMYFUNCTION("""COMPUTED_VALUE"""),"SELESAI (VIA PERMOHONAN)")</f>
        <v>SELESAI (VIA PERMOHONAN)</v>
      </c>
      <c r="G3917" s="17">
        <f>IFERROR(__xludf.DUMMYFUNCTION("""COMPUTED_VALUE"""),45933.476900243055)</f>
        <v>45933.4769</v>
      </c>
      <c r="H3917" s="14" t="str">
        <f>IFERROR(__xludf.DUMMYFUNCTION("""COMPUTED_VALUE"""),"Haliza SU")</f>
        <v>Haliza SU</v>
      </c>
      <c r="I3917" s="13" t="str">
        <f>IFERROR(__xludf.DUMMYFUNCTION("""COMPUTED_VALUE"""),"SELESAI")</f>
        <v>SELESAI</v>
      </c>
      <c r="J3917" s="17">
        <f>IFERROR(__xludf.DUMMYFUNCTION("""COMPUTED_VALUE"""),45936.39376636574)</f>
        <v>45936.39377</v>
      </c>
      <c r="K3917" s="13" t="str">
        <f>IFERROR(__xludf.DUMMYFUNCTION("""COMPUTED_VALUE"""),"Selesai")</f>
        <v>Selesai</v>
      </c>
      <c r="L3917" s="17">
        <f>IFERROR(__xludf.DUMMYFUNCTION("""COMPUTED_VALUE"""),45936.39376636574)</f>
        <v>45936.39377</v>
      </c>
      <c r="M3917" s="13"/>
      <c r="N3917" s="13" t="str">
        <f>IFERROR(__xludf.DUMMYFUNCTION("""COMPUTED_VALUE"""),"")</f>
        <v/>
      </c>
      <c r="O3917" s="13" t="str">
        <f t="shared" si="1"/>
        <v/>
      </c>
    </row>
    <row r="3918" ht="22.5" customHeight="1">
      <c r="B3918" s="13">
        <f>IFERROR(__xludf.DUMMYFUNCTION("""COMPUTED_VALUE"""),3913.0)</f>
        <v>3913</v>
      </c>
      <c r="C3918" s="13" t="str">
        <f>IFERROR(__xludf.DUMMYFUNCTION("""COMPUTED_VALUE"""),"M. 869/PERUMNAS WAY HALIM")</f>
        <v>M. 869/PERUMNAS WAY HALIM</v>
      </c>
      <c r="D3918" s="13" t="str">
        <f>IFERROR(__xludf.DUMMYFUNCTION("""COMPUTED_VALUE"""),"L/7/090925/1")</f>
        <v>L/7/090925/1</v>
      </c>
      <c r="E3918" s="14" t="str">
        <f>IFERROR(__xludf.DUMMYFUNCTION("""COMPUTED_VALUE"""),"Heri (BT)")</f>
        <v>Heri (BT)</v>
      </c>
      <c r="F3918" s="14" t="str">
        <f>IFERROR(__xludf.DUMMYFUNCTION("""COMPUTED_VALUE"""),"SELESAI (VIA PERMOHONAN)")</f>
        <v>SELESAI (VIA PERMOHONAN)</v>
      </c>
      <c r="G3918" s="17">
        <f>IFERROR(__xludf.DUMMYFUNCTION("""COMPUTED_VALUE"""),45933.47705457176)</f>
        <v>45933.47705</v>
      </c>
      <c r="H3918" s="14" t="str">
        <f>IFERROR(__xludf.DUMMYFUNCTION("""COMPUTED_VALUE"""),"Haliza SU")</f>
        <v>Haliza SU</v>
      </c>
      <c r="I3918" s="13" t="str">
        <f>IFERROR(__xludf.DUMMYFUNCTION("""COMPUTED_VALUE"""),"SELESAI")</f>
        <v>SELESAI</v>
      </c>
      <c r="J3918" s="17">
        <f>IFERROR(__xludf.DUMMYFUNCTION("""COMPUTED_VALUE"""),45936.393952997685)</f>
        <v>45936.39395</v>
      </c>
      <c r="K3918" s="13" t="str">
        <f>IFERROR(__xludf.DUMMYFUNCTION("""COMPUTED_VALUE"""),"Selesai")</f>
        <v>Selesai</v>
      </c>
      <c r="L3918" s="17">
        <f>IFERROR(__xludf.DUMMYFUNCTION("""COMPUTED_VALUE"""),45936.393952997685)</f>
        <v>45936.39395</v>
      </c>
      <c r="M3918" s="13"/>
      <c r="N3918" s="13" t="str">
        <f>IFERROR(__xludf.DUMMYFUNCTION("""COMPUTED_VALUE"""),"")</f>
        <v/>
      </c>
      <c r="O3918" s="13" t="str">
        <f t="shared" si="1"/>
        <v/>
      </c>
    </row>
    <row r="3919" ht="22.5" customHeight="1">
      <c r="B3919" s="13">
        <f>IFERROR(__xludf.DUMMYFUNCTION("""COMPUTED_VALUE"""),3914.0)</f>
        <v>3914</v>
      </c>
      <c r="C3919" s="13" t="str">
        <f>IFERROR(__xludf.DUMMYFUNCTION("""COMPUTED_VALUE"""),"B.1769/SUKARAME")</f>
        <v>B.1769/SUKARAME</v>
      </c>
      <c r="D3919" s="13" t="str">
        <f>IFERROR(__xludf.DUMMYFUNCTION("""COMPUTED_VALUE"""),"L/27/220925/1")</f>
        <v>L/27/220925/1</v>
      </c>
      <c r="E3919" s="14" t="str">
        <f>IFERROR(__xludf.DUMMYFUNCTION("""COMPUTED_VALUE"""),"Heri (BT)")</f>
        <v>Heri (BT)</v>
      </c>
      <c r="F3919" s="14" t="str">
        <f>IFERROR(__xludf.DUMMYFUNCTION("""COMPUTED_VALUE"""),"SELESAI (VIA PERMOHONAN)")</f>
        <v>SELESAI (VIA PERMOHONAN)</v>
      </c>
      <c r="G3919" s="17">
        <f>IFERROR(__xludf.DUMMYFUNCTION("""COMPUTED_VALUE"""),45933.47719828704)</f>
        <v>45933.4772</v>
      </c>
      <c r="H3919" s="14" t="str">
        <f>IFERROR(__xludf.DUMMYFUNCTION("""COMPUTED_VALUE"""),"Haliza SU")</f>
        <v>Haliza SU</v>
      </c>
      <c r="I3919" s="13" t="str">
        <f>IFERROR(__xludf.DUMMYFUNCTION("""COMPUTED_VALUE"""),"SELESAI")</f>
        <v>SELESAI</v>
      </c>
      <c r="J3919" s="17">
        <f>IFERROR(__xludf.DUMMYFUNCTION("""COMPUTED_VALUE"""),45936.39414658565)</f>
        <v>45936.39415</v>
      </c>
      <c r="K3919" s="13" t="str">
        <f>IFERROR(__xludf.DUMMYFUNCTION("""COMPUTED_VALUE"""),"Selesai")</f>
        <v>Selesai</v>
      </c>
      <c r="L3919" s="17">
        <f>IFERROR(__xludf.DUMMYFUNCTION("""COMPUTED_VALUE"""),45936.39414658565)</f>
        <v>45936.39415</v>
      </c>
      <c r="M3919" s="13"/>
      <c r="N3919" s="13" t="str">
        <f>IFERROR(__xludf.DUMMYFUNCTION("""COMPUTED_VALUE"""),"")</f>
        <v/>
      </c>
      <c r="O3919" s="13" t="str">
        <f t="shared" si="1"/>
        <v/>
      </c>
    </row>
    <row r="3920" ht="22.5" customHeight="1">
      <c r="B3920" s="13">
        <f>IFERROR(__xludf.DUMMYFUNCTION("""COMPUTED_VALUE"""),3915.0)</f>
        <v>3915</v>
      </c>
      <c r="C3920" s="13" t="str">
        <f>IFERROR(__xludf.DUMMYFUNCTION("""COMPUTED_VALUE"""),"HM 703/SUSUNAN BARU")</f>
        <v>HM 703/SUSUNAN BARU</v>
      </c>
      <c r="D3920" s="13" t="str">
        <f>IFERROR(__xludf.DUMMYFUNCTION("""COMPUTED_VALUE"""),"L/13/030725/1")</f>
        <v>L/13/030725/1</v>
      </c>
      <c r="E3920" s="14" t="str">
        <f>IFERROR(__xludf.DUMMYFUNCTION("""COMPUTED_VALUE"""),"Heri (BT)")</f>
        <v>Heri (BT)</v>
      </c>
      <c r="F3920" s="14" t="str">
        <f>IFERROR(__xludf.DUMMYFUNCTION("""COMPUTED_VALUE"""),"SELESAI (VIA PERMOHONAN)")</f>
        <v>SELESAI (VIA PERMOHONAN)</v>
      </c>
      <c r="G3920" s="17">
        <f>IFERROR(__xludf.DUMMYFUNCTION("""COMPUTED_VALUE"""),45933.47737324074)</f>
        <v>45933.47737</v>
      </c>
      <c r="H3920" s="14" t="str">
        <f>IFERROR(__xludf.DUMMYFUNCTION("""COMPUTED_VALUE"""),"Haliza SU")</f>
        <v>Haliza SU</v>
      </c>
      <c r="I3920" s="13" t="str">
        <f>IFERROR(__xludf.DUMMYFUNCTION("""COMPUTED_VALUE"""),"SELESAI")</f>
        <v>SELESAI</v>
      </c>
      <c r="J3920" s="17">
        <f>IFERROR(__xludf.DUMMYFUNCTION("""COMPUTED_VALUE"""),45936.39435728009)</f>
        <v>45936.39436</v>
      </c>
      <c r="K3920" s="13" t="str">
        <f>IFERROR(__xludf.DUMMYFUNCTION("""COMPUTED_VALUE"""),"Selesai")</f>
        <v>Selesai</v>
      </c>
      <c r="L3920" s="17">
        <f>IFERROR(__xludf.DUMMYFUNCTION("""COMPUTED_VALUE"""),45936.39435728009)</f>
        <v>45936.39436</v>
      </c>
      <c r="M3920" s="13"/>
      <c r="N3920" s="13" t="str">
        <f>IFERROR(__xludf.DUMMYFUNCTION("""COMPUTED_VALUE"""),"")</f>
        <v/>
      </c>
      <c r="O3920" s="13" t="str">
        <f t="shared" si="1"/>
        <v/>
      </c>
    </row>
    <row r="3921" ht="22.5" customHeight="1">
      <c r="B3921" s="13">
        <f>IFERROR(__xludf.DUMMYFUNCTION("""COMPUTED_VALUE"""),3916.0)</f>
        <v>3916</v>
      </c>
      <c r="C3921" s="13" t="str">
        <f>IFERROR(__xludf.DUMMYFUNCTION("""COMPUTED_VALUE"""),"M. 1062/Kupang Kota	")</f>
        <v>M. 1062/Kupang Kota	</v>
      </c>
      <c r="D3921" s="13" t="str">
        <f>IFERROR(__xludf.DUMMYFUNCTION("""COMPUTED_VALUE"""),"K/8/120925/1")</f>
        <v>K/8/120925/1</v>
      </c>
      <c r="E3921" s="14" t="str">
        <f>IFERROR(__xludf.DUMMYFUNCTION("""COMPUTED_VALUE"""),"Heri (BT)")</f>
        <v>Heri (BT)</v>
      </c>
      <c r="F3921" s="14" t="str">
        <f>IFERROR(__xludf.DUMMYFUNCTION("""COMPUTED_VALUE"""),"SELESAI (VIA PERMOHONAN)")</f>
        <v>SELESAI (VIA PERMOHONAN)</v>
      </c>
      <c r="G3921" s="17">
        <f>IFERROR(__xludf.DUMMYFUNCTION("""COMPUTED_VALUE"""),45933.477531944445)</f>
        <v>45933.47753</v>
      </c>
      <c r="H3921" s="14" t="str">
        <f>IFERROR(__xludf.DUMMYFUNCTION("""COMPUTED_VALUE"""),"Haliza SU")</f>
        <v>Haliza SU</v>
      </c>
      <c r="I3921" s="13" t="str">
        <f>IFERROR(__xludf.DUMMYFUNCTION("""COMPUTED_VALUE"""),"SELESAI")</f>
        <v>SELESAI</v>
      </c>
      <c r="J3921" s="17">
        <f>IFERROR(__xludf.DUMMYFUNCTION("""COMPUTED_VALUE"""),45936.39468943287)</f>
        <v>45936.39469</v>
      </c>
      <c r="K3921" s="13" t="str">
        <f>IFERROR(__xludf.DUMMYFUNCTION("""COMPUTED_VALUE"""),"Selesai")</f>
        <v>Selesai</v>
      </c>
      <c r="L3921" s="17">
        <f>IFERROR(__xludf.DUMMYFUNCTION("""COMPUTED_VALUE"""),45936.39468943287)</f>
        <v>45936.39469</v>
      </c>
      <c r="M3921" s="13"/>
      <c r="N3921" s="13" t="str">
        <f>IFERROR(__xludf.DUMMYFUNCTION("""COMPUTED_VALUE"""),"")</f>
        <v/>
      </c>
      <c r="O3921" s="13" t="str">
        <f t="shared" si="1"/>
        <v/>
      </c>
    </row>
    <row r="3922" ht="22.5" customHeight="1">
      <c r="B3922" s="13">
        <f>IFERROR(__xludf.DUMMYFUNCTION("""COMPUTED_VALUE"""),3917.0)</f>
        <v>3917</v>
      </c>
      <c r="C3922" s="13" t="str">
        <f>IFERROR(__xludf.DUMMYFUNCTION("""COMPUTED_VALUE"""),"M 6223/ WAY KANDIS")</f>
        <v>M 6223/ WAY KANDIS</v>
      </c>
      <c r="D3922" s="13" t="str">
        <f>IFERROR(__xludf.DUMMYFUNCTION("""COMPUTED_VALUE"""),"K/62/020925/1")</f>
        <v>K/62/020925/1</v>
      </c>
      <c r="E3922" s="14" t="str">
        <f>IFERROR(__xludf.DUMMYFUNCTION("""COMPUTED_VALUE"""),"Heri (BT)")</f>
        <v>Heri (BT)</v>
      </c>
      <c r="F3922" s="14" t="str">
        <f>IFERROR(__xludf.DUMMYFUNCTION("""COMPUTED_VALUE"""),"SELESAI (VIA PERMOHONAN)")</f>
        <v>SELESAI (VIA PERMOHONAN)</v>
      </c>
      <c r="G3922" s="17">
        <f>IFERROR(__xludf.DUMMYFUNCTION("""COMPUTED_VALUE"""),45933.477694560184)</f>
        <v>45933.47769</v>
      </c>
      <c r="H3922" s="14" t="str">
        <f>IFERROR(__xludf.DUMMYFUNCTION("""COMPUTED_VALUE"""),"Haliza SU")</f>
        <v>Haliza SU</v>
      </c>
      <c r="I3922" s="13" t="str">
        <f>IFERROR(__xludf.DUMMYFUNCTION("""COMPUTED_VALUE"""),"SELESAI")</f>
        <v>SELESAI</v>
      </c>
      <c r="J3922" s="17">
        <f>IFERROR(__xludf.DUMMYFUNCTION("""COMPUTED_VALUE"""),45936.394851481484)</f>
        <v>45936.39485</v>
      </c>
      <c r="K3922" s="13" t="str">
        <f>IFERROR(__xludf.DUMMYFUNCTION("""COMPUTED_VALUE"""),"Selesai")</f>
        <v>Selesai</v>
      </c>
      <c r="L3922" s="17">
        <f>IFERROR(__xludf.DUMMYFUNCTION("""COMPUTED_VALUE"""),45936.394851481484)</f>
        <v>45936.39485</v>
      </c>
      <c r="M3922" s="13"/>
      <c r="N3922" s="13" t="str">
        <f>IFERROR(__xludf.DUMMYFUNCTION("""COMPUTED_VALUE"""),"")</f>
        <v/>
      </c>
      <c r="O3922" s="13" t="str">
        <f t="shared" si="1"/>
        <v/>
      </c>
    </row>
    <row r="3923" ht="22.5" customHeight="1">
      <c r="B3923" s="13">
        <f>IFERROR(__xludf.DUMMYFUNCTION("""COMPUTED_VALUE"""),3918.0)</f>
        <v>3918</v>
      </c>
      <c r="C3923" s="13" t="str">
        <f>IFERROR(__xludf.DUMMYFUNCTION("""COMPUTED_VALUE"""),"M. 6241/ WAY KANDIS")</f>
        <v>M. 6241/ WAY KANDIS</v>
      </c>
      <c r="D3923" s="13" t="str">
        <f>IFERROR(__xludf.DUMMYFUNCTION("""COMPUTED_VALUE"""),"K/65/020925/2")</f>
        <v>K/65/020925/2</v>
      </c>
      <c r="E3923" s="14" t="str">
        <f>IFERROR(__xludf.DUMMYFUNCTION("""COMPUTED_VALUE"""),"Heri (BT)")</f>
        <v>Heri (BT)</v>
      </c>
      <c r="F3923" s="14" t="str">
        <f>IFERROR(__xludf.DUMMYFUNCTION("""COMPUTED_VALUE"""),"SELESAI (VIA PERMOHONAN)")</f>
        <v>SELESAI (VIA PERMOHONAN)</v>
      </c>
      <c r="G3923" s="17">
        <f>IFERROR(__xludf.DUMMYFUNCTION("""COMPUTED_VALUE"""),45933.477835451384)</f>
        <v>45933.47784</v>
      </c>
      <c r="H3923" s="14" t="str">
        <f>IFERROR(__xludf.DUMMYFUNCTION("""COMPUTED_VALUE"""),"Haliza SU")</f>
        <v>Haliza SU</v>
      </c>
      <c r="I3923" s="13" t="str">
        <f>IFERROR(__xludf.DUMMYFUNCTION("""COMPUTED_VALUE"""),"SELESAI")</f>
        <v>SELESAI</v>
      </c>
      <c r="J3923" s="17">
        <f>IFERROR(__xludf.DUMMYFUNCTION("""COMPUTED_VALUE"""),45936.39496446759)</f>
        <v>45936.39496</v>
      </c>
      <c r="K3923" s="13" t="str">
        <f>IFERROR(__xludf.DUMMYFUNCTION("""COMPUTED_VALUE"""),"Selesai")</f>
        <v>Selesai</v>
      </c>
      <c r="L3923" s="17">
        <f>IFERROR(__xludf.DUMMYFUNCTION("""COMPUTED_VALUE"""),45936.39496446759)</f>
        <v>45936.39496</v>
      </c>
      <c r="M3923" s="13"/>
      <c r="N3923" s="13" t="str">
        <f>IFERROR(__xludf.DUMMYFUNCTION("""COMPUTED_VALUE"""),"")</f>
        <v/>
      </c>
      <c r="O3923" s="13" t="str">
        <f t="shared" si="1"/>
        <v/>
      </c>
    </row>
    <row r="3924" ht="22.5" customHeight="1">
      <c r="B3924" s="13">
        <f>IFERROR(__xludf.DUMMYFUNCTION("""COMPUTED_VALUE"""),3919.0)</f>
        <v>3919</v>
      </c>
      <c r="C3924" s="13" t="str">
        <f>IFERROR(__xludf.DUMMYFUNCTION("""COMPUTED_VALUE"""),"M 1304/ PENGAJARAN")</f>
        <v>M 1304/ PENGAJARAN</v>
      </c>
      <c r="D3924" s="13" t="str">
        <f>IFERROR(__xludf.DUMMYFUNCTION("""COMPUTED_VALUE"""),"K/29/280825/1")</f>
        <v>K/29/280825/1</v>
      </c>
      <c r="E3924" s="14" t="str">
        <f>IFERROR(__xludf.DUMMYFUNCTION("""COMPUTED_VALUE"""),"Heri (BT)")</f>
        <v>Heri (BT)</v>
      </c>
      <c r="F3924" s="14" t="str">
        <f>IFERROR(__xludf.DUMMYFUNCTION("""COMPUTED_VALUE"""),"SELESAI (VIA PERMOHONAN)")</f>
        <v>SELESAI (VIA PERMOHONAN)</v>
      </c>
      <c r="G3924" s="17">
        <f>IFERROR(__xludf.DUMMYFUNCTION("""COMPUTED_VALUE"""),45933.4780168287)</f>
        <v>45933.47802</v>
      </c>
      <c r="H3924" s="14" t="str">
        <f>IFERROR(__xludf.DUMMYFUNCTION("""COMPUTED_VALUE"""),"Haliza SU")</f>
        <v>Haliza SU</v>
      </c>
      <c r="I3924" s="13" t="str">
        <f>IFERROR(__xludf.DUMMYFUNCTION("""COMPUTED_VALUE"""),"SELESAI")</f>
        <v>SELESAI</v>
      </c>
      <c r="J3924" s="17">
        <f>IFERROR(__xludf.DUMMYFUNCTION("""COMPUTED_VALUE"""),45936.39507012731)</f>
        <v>45936.39507</v>
      </c>
      <c r="K3924" s="13" t="str">
        <f>IFERROR(__xludf.DUMMYFUNCTION("""COMPUTED_VALUE"""),"Selesai")</f>
        <v>Selesai</v>
      </c>
      <c r="L3924" s="17">
        <f>IFERROR(__xludf.DUMMYFUNCTION("""COMPUTED_VALUE"""),45936.39507012731)</f>
        <v>45936.39507</v>
      </c>
      <c r="M3924" s="13"/>
      <c r="N3924" s="13" t="str">
        <f>IFERROR(__xludf.DUMMYFUNCTION("""COMPUTED_VALUE"""),"")</f>
        <v/>
      </c>
      <c r="O3924" s="13" t="str">
        <f t="shared" si="1"/>
        <v/>
      </c>
    </row>
    <row r="3925" ht="22.5" customHeight="1">
      <c r="B3925" s="13">
        <f>IFERROR(__xludf.DUMMYFUNCTION("""COMPUTED_VALUE"""),3920.0)</f>
        <v>3920</v>
      </c>
      <c r="C3925" s="13" t="str">
        <f>IFERROR(__xludf.DUMMYFUNCTION("""COMPUTED_VALUE"""),"M. 105/ PENENGAHAN")</f>
        <v>M. 105/ PENENGAHAN</v>
      </c>
      <c r="D3925" s="13" t="str">
        <f>IFERROR(__xludf.DUMMYFUNCTION("""COMPUTED_VALUE"""),"K/33/200825/1")</f>
        <v>K/33/200825/1</v>
      </c>
      <c r="E3925" s="14" t="str">
        <f>IFERROR(__xludf.DUMMYFUNCTION("""COMPUTED_VALUE"""),"Heri (BT)")</f>
        <v>Heri (BT)</v>
      </c>
      <c r="F3925" s="14" t="str">
        <f>IFERROR(__xludf.DUMMYFUNCTION("""COMPUTED_VALUE"""),"SELESAI (VIA PERMOHONAN)")</f>
        <v>SELESAI (VIA PERMOHONAN)</v>
      </c>
      <c r="G3925" s="17">
        <f>IFERROR(__xludf.DUMMYFUNCTION("""COMPUTED_VALUE"""),45933.4781734375)</f>
        <v>45933.47817</v>
      </c>
      <c r="H3925" s="14" t="str">
        <f>IFERROR(__xludf.DUMMYFUNCTION("""COMPUTED_VALUE"""),"Haliza SU")</f>
        <v>Haliza SU</v>
      </c>
      <c r="I3925" s="13" t="str">
        <f>IFERROR(__xludf.DUMMYFUNCTION("""COMPUTED_VALUE"""),"SELESAI")</f>
        <v>SELESAI</v>
      </c>
      <c r="J3925" s="17">
        <f>IFERROR(__xludf.DUMMYFUNCTION("""COMPUTED_VALUE"""),45936.39521740741)</f>
        <v>45936.39522</v>
      </c>
      <c r="K3925" s="13" t="str">
        <f>IFERROR(__xludf.DUMMYFUNCTION("""COMPUTED_VALUE"""),"Selesai")</f>
        <v>Selesai</v>
      </c>
      <c r="L3925" s="17">
        <f>IFERROR(__xludf.DUMMYFUNCTION("""COMPUTED_VALUE"""),45936.39521740741)</f>
        <v>45936.39522</v>
      </c>
      <c r="M3925" s="13"/>
      <c r="N3925" s="13" t="str">
        <f>IFERROR(__xludf.DUMMYFUNCTION("""COMPUTED_VALUE"""),"")</f>
        <v/>
      </c>
      <c r="O3925" s="13" t="str">
        <f t="shared" si="1"/>
        <v/>
      </c>
    </row>
    <row r="3926" ht="22.5" customHeight="1">
      <c r="B3926" s="13">
        <f>IFERROR(__xludf.DUMMYFUNCTION("""COMPUTED_VALUE"""),3921.0)</f>
        <v>3921</v>
      </c>
      <c r="C3926" s="13" t="str">
        <f>IFERROR(__xludf.DUMMYFUNCTION("""COMPUTED_VALUE"""),"M. 1719/SUKARAME II")</f>
        <v>M. 1719/SUKARAME II</v>
      </c>
      <c r="D3926" s="13" t="str">
        <f>IFERROR(__xludf.DUMMYFUNCTION("""COMPUTED_VALUE"""),"L/14/090925/1")</f>
        <v>L/14/090925/1</v>
      </c>
      <c r="E3926" s="14" t="str">
        <f>IFERROR(__xludf.DUMMYFUNCTION("""COMPUTED_VALUE"""),"Heri (BT)")</f>
        <v>Heri (BT)</v>
      </c>
      <c r="F3926" s="14" t="str">
        <f>IFERROR(__xludf.DUMMYFUNCTION("""COMPUTED_VALUE"""),"SELESAI (VIA PERMOHONAN)")</f>
        <v>SELESAI (VIA PERMOHONAN)</v>
      </c>
      <c r="G3926" s="17">
        <f>IFERROR(__xludf.DUMMYFUNCTION("""COMPUTED_VALUE"""),45933.47837642361)</f>
        <v>45933.47838</v>
      </c>
      <c r="H3926" s="14" t="str">
        <f>IFERROR(__xludf.DUMMYFUNCTION("""COMPUTED_VALUE"""),"Haliza SU")</f>
        <v>Haliza SU</v>
      </c>
      <c r="I3926" s="13" t="str">
        <f>IFERROR(__xludf.DUMMYFUNCTION("""COMPUTED_VALUE"""),"SELESAI")</f>
        <v>SELESAI</v>
      </c>
      <c r="J3926" s="17">
        <f>IFERROR(__xludf.DUMMYFUNCTION("""COMPUTED_VALUE"""),45936.39532144676)</f>
        <v>45936.39532</v>
      </c>
      <c r="K3926" s="13" t="str">
        <f>IFERROR(__xludf.DUMMYFUNCTION("""COMPUTED_VALUE"""),"Selesai")</f>
        <v>Selesai</v>
      </c>
      <c r="L3926" s="17">
        <f>IFERROR(__xludf.DUMMYFUNCTION("""COMPUTED_VALUE"""),45936.39532144676)</f>
        <v>45936.39532</v>
      </c>
      <c r="M3926" s="13"/>
      <c r="N3926" s="13" t="str">
        <f>IFERROR(__xludf.DUMMYFUNCTION("""COMPUTED_VALUE"""),"")</f>
        <v/>
      </c>
      <c r="O3926" s="13" t="str">
        <f t="shared" si="1"/>
        <v/>
      </c>
    </row>
    <row r="3927" ht="22.5" customHeight="1">
      <c r="B3927" s="13">
        <f>IFERROR(__xludf.DUMMYFUNCTION("""COMPUTED_VALUE"""),3922.0)</f>
        <v>3922</v>
      </c>
      <c r="C3927" s="13" t="str">
        <f>IFERROR(__xludf.DUMMYFUNCTION("""COMPUTED_VALUE"""),"M. 1927 DAN 1936/GUNUNG TERANG")</f>
        <v>M. 1927 DAN 1936/GUNUNG TERANG</v>
      </c>
      <c r="D3927" s="13" t="str">
        <f>IFERROR(__xludf.DUMMYFUNCTION("""COMPUTED_VALUE"""),"L/26/290925/1")</f>
        <v>L/26/290925/1</v>
      </c>
      <c r="E3927" s="14" t="str">
        <f>IFERROR(__xludf.DUMMYFUNCTION("""COMPUTED_VALUE"""),"Heri (BT)")</f>
        <v>Heri (BT)</v>
      </c>
      <c r="F3927" s="14" t="str">
        <f>IFERROR(__xludf.DUMMYFUNCTION("""COMPUTED_VALUE"""),"SELESAI (VIA PERMOHONAN)")</f>
        <v>SELESAI (VIA PERMOHONAN)</v>
      </c>
      <c r="G3927" s="17">
        <f>IFERROR(__xludf.DUMMYFUNCTION("""COMPUTED_VALUE"""),45933.4786596412)</f>
        <v>45933.47866</v>
      </c>
      <c r="H3927" s="14" t="str">
        <f>IFERROR(__xludf.DUMMYFUNCTION("""COMPUTED_VALUE"""),"Haliza SU")</f>
        <v>Haliza SU</v>
      </c>
      <c r="I3927" s="13" t="str">
        <f>IFERROR(__xludf.DUMMYFUNCTION("""COMPUTED_VALUE"""),"SELESAI")</f>
        <v>SELESAI</v>
      </c>
      <c r="J3927" s="17">
        <f>IFERROR(__xludf.DUMMYFUNCTION("""COMPUTED_VALUE"""),45936.39554280092)</f>
        <v>45936.39554</v>
      </c>
      <c r="K3927" s="13" t="str">
        <f>IFERROR(__xludf.DUMMYFUNCTION("""COMPUTED_VALUE"""),"Selesai")</f>
        <v>Selesai</v>
      </c>
      <c r="L3927" s="17">
        <f>IFERROR(__xludf.DUMMYFUNCTION("""COMPUTED_VALUE"""),45936.39554280092)</f>
        <v>45936.39554</v>
      </c>
      <c r="M3927" s="13"/>
      <c r="N3927" s="13" t="str">
        <f>IFERROR(__xludf.DUMMYFUNCTION("""COMPUTED_VALUE"""),"")</f>
        <v/>
      </c>
      <c r="O3927" s="13" t="str">
        <f t="shared" si="1"/>
        <v/>
      </c>
    </row>
    <row r="3928" ht="22.5" customHeight="1">
      <c r="B3928" s="13">
        <f>IFERROR(__xludf.DUMMYFUNCTION("""COMPUTED_VALUE"""),3923.0)</f>
        <v>3923</v>
      </c>
      <c r="C3928" s="13" t="str">
        <f>IFERROR(__xludf.DUMMYFUNCTION("""COMPUTED_VALUE"""),"M. 2024/SUKARAME BARU ")</f>
        <v>M. 2024/SUKARAME BARU </v>
      </c>
      <c r="D3928" s="13" t="str">
        <f>IFERROR(__xludf.DUMMYFUNCTION("""COMPUTED_VALUE"""),"K/8/150925/1")</f>
        <v>K/8/150925/1</v>
      </c>
      <c r="E3928" s="14" t="str">
        <f>IFERROR(__xludf.DUMMYFUNCTION("""COMPUTED_VALUE"""),"Heri (BT)")</f>
        <v>Heri (BT)</v>
      </c>
      <c r="F3928" s="14" t="str">
        <f>IFERROR(__xludf.DUMMYFUNCTION("""COMPUTED_VALUE"""),"SELESAI (VIA PERMOHONAN)")</f>
        <v>SELESAI (VIA PERMOHONAN)</v>
      </c>
      <c r="G3928" s="17">
        <f>IFERROR(__xludf.DUMMYFUNCTION("""COMPUTED_VALUE"""),45933.47888002315)</f>
        <v>45933.47888</v>
      </c>
      <c r="H3928" s="14" t="str">
        <f>IFERROR(__xludf.DUMMYFUNCTION("""COMPUTED_VALUE"""),"Haliza SU")</f>
        <v>Haliza SU</v>
      </c>
      <c r="I3928" s="13" t="str">
        <f>IFERROR(__xludf.DUMMYFUNCTION("""COMPUTED_VALUE"""),"SELESAI")</f>
        <v>SELESAI</v>
      </c>
      <c r="J3928" s="17">
        <f>IFERROR(__xludf.DUMMYFUNCTION("""COMPUTED_VALUE"""),45936.395763148146)</f>
        <v>45936.39576</v>
      </c>
      <c r="K3928" s="13" t="str">
        <f>IFERROR(__xludf.DUMMYFUNCTION("""COMPUTED_VALUE"""),"Selesai")</f>
        <v>Selesai</v>
      </c>
      <c r="L3928" s="17">
        <f>IFERROR(__xludf.DUMMYFUNCTION("""COMPUTED_VALUE"""),45936.395763148146)</f>
        <v>45936.39576</v>
      </c>
      <c r="M3928" s="13"/>
      <c r="N3928" s="13" t="str">
        <f>IFERROR(__xludf.DUMMYFUNCTION("""COMPUTED_VALUE"""),"")</f>
        <v/>
      </c>
      <c r="O3928" s="13" t="str">
        <f t="shared" si="1"/>
        <v/>
      </c>
    </row>
    <row r="3929" ht="22.5" customHeight="1">
      <c r="B3929" s="13">
        <f>IFERROR(__xludf.DUMMYFUNCTION("""COMPUTED_VALUE"""),3924.0)</f>
        <v>3924</v>
      </c>
      <c r="C3929" s="13" t="str">
        <f>IFERROR(__xludf.DUMMYFUNCTION("""COMPUTED_VALUE"""),"M. 9491/KAMPUNG BARU")</f>
        <v>M. 9491/KAMPUNG BARU</v>
      </c>
      <c r="D3929" s="13" t="str">
        <f>IFERROR(__xludf.DUMMYFUNCTION("""COMPUTED_VALUE"""),"K/9/260825/1")</f>
        <v>K/9/260825/1</v>
      </c>
      <c r="E3929" s="14" t="str">
        <f>IFERROR(__xludf.DUMMYFUNCTION("""COMPUTED_VALUE"""),"Heri (BT)")</f>
        <v>Heri (BT)</v>
      </c>
      <c r="F3929" s="14" t="str">
        <f>IFERROR(__xludf.DUMMYFUNCTION("""COMPUTED_VALUE"""),"SELESAI (VIA PERMOHONAN)")</f>
        <v>SELESAI (VIA PERMOHONAN)</v>
      </c>
      <c r="G3929" s="17">
        <f>IFERROR(__xludf.DUMMYFUNCTION("""COMPUTED_VALUE"""),45933.47903023148)</f>
        <v>45933.47903</v>
      </c>
      <c r="H3929" s="14" t="str">
        <f>IFERROR(__xludf.DUMMYFUNCTION("""COMPUTED_VALUE"""),"Haliza SU")</f>
        <v>Haliza SU</v>
      </c>
      <c r="I3929" s="13" t="str">
        <f>IFERROR(__xludf.DUMMYFUNCTION("""COMPUTED_VALUE"""),"SELESAI")</f>
        <v>SELESAI</v>
      </c>
      <c r="J3929" s="17">
        <f>IFERROR(__xludf.DUMMYFUNCTION("""COMPUTED_VALUE"""),45936.395961041664)</f>
        <v>45936.39596</v>
      </c>
      <c r="K3929" s="13" t="str">
        <f>IFERROR(__xludf.DUMMYFUNCTION("""COMPUTED_VALUE"""),"Selesai")</f>
        <v>Selesai</v>
      </c>
      <c r="L3929" s="17">
        <f>IFERROR(__xludf.DUMMYFUNCTION("""COMPUTED_VALUE"""),45936.395961041664)</f>
        <v>45936.39596</v>
      </c>
      <c r="M3929" s="13"/>
      <c r="N3929" s="13" t="str">
        <f>IFERROR(__xludf.DUMMYFUNCTION("""COMPUTED_VALUE"""),"")</f>
        <v/>
      </c>
      <c r="O3929" s="13" t="str">
        <f t="shared" si="1"/>
        <v/>
      </c>
    </row>
    <row r="3930" ht="22.5" customHeight="1">
      <c r="B3930" s="13">
        <f>IFERROR(__xludf.DUMMYFUNCTION("""COMPUTED_VALUE"""),3925.0)</f>
        <v>3925</v>
      </c>
      <c r="C3930" s="13" t="str">
        <f>IFERROR(__xludf.DUMMYFUNCTION("""COMPUTED_VALUE"""),"M.2816/CAMPANG RAYA")</f>
        <v>M.2816/CAMPANG RAYA</v>
      </c>
      <c r="D3930" s="13" t="str">
        <f>IFERROR(__xludf.DUMMYFUNCTION("""COMPUTED_VALUE"""),"L/1/210925/1")</f>
        <v>L/1/210925/1</v>
      </c>
      <c r="E3930" s="14" t="str">
        <f>IFERROR(__xludf.DUMMYFUNCTION("""COMPUTED_VALUE"""),"Heri (BT)")</f>
        <v>Heri (BT)</v>
      </c>
      <c r="F3930" s="14" t="str">
        <f>IFERROR(__xludf.DUMMYFUNCTION("""COMPUTED_VALUE"""),"SELESAI (VIA PERMOHONAN)")</f>
        <v>SELESAI (VIA PERMOHONAN)</v>
      </c>
      <c r="G3930" s="17">
        <f>IFERROR(__xludf.DUMMYFUNCTION("""COMPUTED_VALUE"""),45933.47923041666)</f>
        <v>45933.47923</v>
      </c>
      <c r="H3930" s="14" t="str">
        <f>IFERROR(__xludf.DUMMYFUNCTION("""COMPUTED_VALUE"""),"Haliza SU")</f>
        <v>Haliza SU</v>
      </c>
      <c r="I3930" s="13" t="str">
        <f>IFERROR(__xludf.DUMMYFUNCTION("""COMPUTED_VALUE"""),"SELESAI")</f>
        <v>SELESAI</v>
      </c>
      <c r="J3930" s="17">
        <f>IFERROR(__xludf.DUMMYFUNCTION("""COMPUTED_VALUE"""),45936.39609159723)</f>
        <v>45936.39609</v>
      </c>
      <c r="K3930" s="13" t="str">
        <f>IFERROR(__xludf.DUMMYFUNCTION("""COMPUTED_VALUE"""),"Selesai")</f>
        <v>Selesai</v>
      </c>
      <c r="L3930" s="17">
        <f>IFERROR(__xludf.DUMMYFUNCTION("""COMPUTED_VALUE"""),45936.39609159723)</f>
        <v>45936.39609</v>
      </c>
      <c r="M3930" s="13"/>
      <c r="N3930" s="13" t="str">
        <f>IFERROR(__xludf.DUMMYFUNCTION("""COMPUTED_VALUE"""),"")</f>
        <v/>
      </c>
      <c r="O3930" s="13" t="str">
        <f t="shared" si="1"/>
        <v/>
      </c>
    </row>
    <row r="3931" ht="22.5" customHeight="1">
      <c r="B3931" s="13">
        <f>IFERROR(__xludf.DUMMYFUNCTION("""COMPUTED_VALUE"""),3926.0)</f>
        <v>3926</v>
      </c>
      <c r="C3931" s="13" t="str">
        <f>IFERROR(__xludf.DUMMYFUNCTION("""COMPUTED_VALUE"""),"M 4283/ GUNUNG TERANG")</f>
        <v>M 4283/ GUNUNG TERANG</v>
      </c>
      <c r="D3931" s="13" t="str">
        <f>IFERROR(__xludf.DUMMYFUNCTION("""COMPUTED_VALUE"""),"K/37/290925/1")</f>
        <v>K/37/290925/1</v>
      </c>
      <c r="E3931" s="14" t="str">
        <f>IFERROR(__xludf.DUMMYFUNCTION("""COMPUTED_VALUE"""),"Heri (BT)")</f>
        <v>Heri (BT)</v>
      </c>
      <c r="F3931" s="14" t="str">
        <f>IFERROR(__xludf.DUMMYFUNCTION("""COMPUTED_VALUE"""),"SELESAI (VIA PERMOHONAN)")</f>
        <v>SELESAI (VIA PERMOHONAN)</v>
      </c>
      <c r="G3931" s="17">
        <f>IFERROR(__xludf.DUMMYFUNCTION("""COMPUTED_VALUE"""),45933.47939471065)</f>
        <v>45933.47939</v>
      </c>
      <c r="H3931" s="14" t="str">
        <f>IFERROR(__xludf.DUMMYFUNCTION("""COMPUTED_VALUE"""),"Haliza SU")</f>
        <v>Haliza SU</v>
      </c>
      <c r="I3931" s="13" t="str">
        <f>IFERROR(__xludf.DUMMYFUNCTION("""COMPUTED_VALUE"""),"SELESAI")</f>
        <v>SELESAI</v>
      </c>
      <c r="J3931" s="17">
        <f>IFERROR(__xludf.DUMMYFUNCTION("""COMPUTED_VALUE"""),45936.39627733796)</f>
        <v>45936.39628</v>
      </c>
      <c r="K3931" s="13" t="str">
        <f>IFERROR(__xludf.DUMMYFUNCTION("""COMPUTED_VALUE"""),"Selesai")</f>
        <v>Selesai</v>
      </c>
      <c r="L3931" s="17">
        <f>IFERROR(__xludf.DUMMYFUNCTION("""COMPUTED_VALUE"""),45936.39627733796)</f>
        <v>45936.39628</v>
      </c>
      <c r="M3931" s="13"/>
      <c r="N3931" s="13" t="str">
        <f>IFERROR(__xludf.DUMMYFUNCTION("""COMPUTED_VALUE"""),"")</f>
        <v/>
      </c>
      <c r="O3931" s="13" t="str">
        <f t="shared" si="1"/>
        <v/>
      </c>
    </row>
    <row r="3932" ht="22.5" customHeight="1">
      <c r="B3932" s="13">
        <f>IFERROR(__xludf.DUMMYFUNCTION("""COMPUTED_VALUE"""),3927.0)</f>
        <v>3927</v>
      </c>
      <c r="C3932" s="13" t="str">
        <f>IFERROR(__xludf.DUMMYFUNCTION("""COMPUTED_VALUE"""),"M. 1031/ PENGAJARAN")</f>
        <v>M. 1031/ PENGAJARAN</v>
      </c>
      <c r="D3932" s="13" t="str">
        <f>IFERROR(__xludf.DUMMYFUNCTION("""COMPUTED_VALUE"""),"K/3/150825/2")</f>
        <v>K/3/150825/2</v>
      </c>
      <c r="E3932" s="14" t="str">
        <f>IFERROR(__xludf.DUMMYFUNCTION("""COMPUTED_VALUE"""),"Heri (BT)")</f>
        <v>Heri (BT)</v>
      </c>
      <c r="F3932" s="14" t="str">
        <f>IFERROR(__xludf.DUMMYFUNCTION("""COMPUTED_VALUE"""),"SELESAI (VIA PERMOHONAN)")</f>
        <v>SELESAI (VIA PERMOHONAN)</v>
      </c>
      <c r="G3932" s="17">
        <f>IFERROR(__xludf.DUMMYFUNCTION("""COMPUTED_VALUE"""),45933.479567013885)</f>
        <v>45933.47957</v>
      </c>
      <c r="H3932" s="14" t="str">
        <f>IFERROR(__xludf.DUMMYFUNCTION("""COMPUTED_VALUE"""),"Haliza SU")</f>
        <v>Haliza SU</v>
      </c>
      <c r="I3932" s="13" t="str">
        <f>IFERROR(__xludf.DUMMYFUNCTION("""COMPUTED_VALUE"""),"SELESAI")</f>
        <v>SELESAI</v>
      </c>
      <c r="J3932" s="17">
        <f>IFERROR(__xludf.DUMMYFUNCTION("""COMPUTED_VALUE"""),45936.39642788195)</f>
        <v>45936.39643</v>
      </c>
      <c r="K3932" s="13" t="str">
        <f>IFERROR(__xludf.DUMMYFUNCTION("""COMPUTED_VALUE"""),"Selesai")</f>
        <v>Selesai</v>
      </c>
      <c r="L3932" s="17">
        <f>IFERROR(__xludf.DUMMYFUNCTION("""COMPUTED_VALUE"""),45936.39642788195)</f>
        <v>45936.39643</v>
      </c>
      <c r="M3932" s="13"/>
      <c r="N3932" s="13" t="str">
        <f>IFERROR(__xludf.DUMMYFUNCTION("""COMPUTED_VALUE"""),"")</f>
        <v/>
      </c>
      <c r="O3932" s="13" t="str">
        <f t="shared" si="1"/>
        <v/>
      </c>
    </row>
    <row r="3933" ht="22.5" customHeight="1">
      <c r="B3933" s="13">
        <f>IFERROR(__xludf.DUMMYFUNCTION("""COMPUTED_VALUE"""),3928.0)</f>
        <v>3928</v>
      </c>
      <c r="C3933" s="13" t="str">
        <f>IFERROR(__xludf.DUMMYFUNCTION("""COMPUTED_VALUE"""),"M. 1158/ PENGAJARAN")</f>
        <v>M. 1158/ PENGAJARAN</v>
      </c>
      <c r="D3933" s="13" t="str">
        <f>IFERROR(__xludf.DUMMYFUNCTION("""COMPUTED_VALUE"""),"K/4/150825/3")</f>
        <v>K/4/150825/3</v>
      </c>
      <c r="E3933" s="14" t="str">
        <f>IFERROR(__xludf.DUMMYFUNCTION("""COMPUTED_VALUE"""),"Heri (BT)")</f>
        <v>Heri (BT)</v>
      </c>
      <c r="F3933" s="14" t="str">
        <f>IFERROR(__xludf.DUMMYFUNCTION("""COMPUTED_VALUE"""),"SELESAI (VIA PERMOHONAN)")</f>
        <v>SELESAI (VIA PERMOHONAN)</v>
      </c>
      <c r="G3933" s="17">
        <f>IFERROR(__xludf.DUMMYFUNCTION("""COMPUTED_VALUE"""),45933.47974940972)</f>
        <v>45933.47975</v>
      </c>
      <c r="H3933" s="14" t="str">
        <f>IFERROR(__xludf.DUMMYFUNCTION("""COMPUTED_VALUE"""),"Haliza SU")</f>
        <v>Haliza SU</v>
      </c>
      <c r="I3933" s="13" t="str">
        <f>IFERROR(__xludf.DUMMYFUNCTION("""COMPUTED_VALUE"""),"SELESAI")</f>
        <v>SELESAI</v>
      </c>
      <c r="J3933" s="17">
        <f>IFERROR(__xludf.DUMMYFUNCTION("""COMPUTED_VALUE"""),45936.39650695602)</f>
        <v>45936.39651</v>
      </c>
      <c r="K3933" s="13" t="str">
        <f>IFERROR(__xludf.DUMMYFUNCTION("""COMPUTED_VALUE"""),"Selesai")</f>
        <v>Selesai</v>
      </c>
      <c r="L3933" s="17">
        <f>IFERROR(__xludf.DUMMYFUNCTION("""COMPUTED_VALUE"""),45936.39650695602)</f>
        <v>45936.39651</v>
      </c>
      <c r="M3933" s="13"/>
      <c r="N3933" s="13" t="str">
        <f>IFERROR(__xludf.DUMMYFUNCTION("""COMPUTED_VALUE"""),"")</f>
        <v/>
      </c>
      <c r="O3933" s="13" t="str">
        <f t="shared" si="1"/>
        <v/>
      </c>
    </row>
    <row r="3934" ht="22.5" customHeight="1">
      <c r="B3934" s="13">
        <f>IFERROR(__xludf.DUMMYFUNCTION("""COMPUTED_VALUE"""),3929.0)</f>
        <v>3929</v>
      </c>
      <c r="C3934" s="13" t="str">
        <f>IFERROR(__xludf.DUMMYFUNCTION("""COMPUTED_VALUE"""),"B 64/ BUMI KEDAMAIAN")</f>
        <v>B 64/ BUMI KEDAMAIAN</v>
      </c>
      <c r="D3934" s="13" t="str">
        <f>IFERROR(__xludf.DUMMYFUNCTION("""COMPUTED_VALUE"""),"K/16/220925/1")</f>
        <v>K/16/220925/1</v>
      </c>
      <c r="E3934" s="14" t="str">
        <f>IFERROR(__xludf.DUMMYFUNCTION("""COMPUTED_VALUE"""),"Heri (BT)")</f>
        <v>Heri (BT)</v>
      </c>
      <c r="F3934" s="14" t="str">
        <f>IFERROR(__xludf.DUMMYFUNCTION("""COMPUTED_VALUE"""),"SELESAI (VIA PERMOHONAN)")</f>
        <v>SELESAI (VIA PERMOHONAN)</v>
      </c>
      <c r="G3934" s="17">
        <f>IFERROR(__xludf.DUMMYFUNCTION("""COMPUTED_VALUE"""),45933.479897916666)</f>
        <v>45933.4799</v>
      </c>
      <c r="H3934" s="14" t="str">
        <f>IFERROR(__xludf.DUMMYFUNCTION("""COMPUTED_VALUE"""),"Haliza SU")</f>
        <v>Haliza SU</v>
      </c>
      <c r="I3934" s="13" t="str">
        <f>IFERROR(__xludf.DUMMYFUNCTION("""COMPUTED_VALUE"""),"SELESAI")</f>
        <v>SELESAI</v>
      </c>
      <c r="J3934" s="17">
        <f>IFERROR(__xludf.DUMMYFUNCTION("""COMPUTED_VALUE"""),45936.39683371528)</f>
        <v>45936.39683</v>
      </c>
      <c r="K3934" s="13" t="str">
        <f>IFERROR(__xludf.DUMMYFUNCTION("""COMPUTED_VALUE"""),"Selesai")</f>
        <v>Selesai</v>
      </c>
      <c r="L3934" s="17">
        <f>IFERROR(__xludf.DUMMYFUNCTION("""COMPUTED_VALUE"""),45936.39683371528)</f>
        <v>45936.39683</v>
      </c>
      <c r="M3934" s="13"/>
      <c r="N3934" s="13" t="str">
        <f>IFERROR(__xludf.DUMMYFUNCTION("""COMPUTED_VALUE"""),"")</f>
        <v/>
      </c>
      <c r="O3934" s="13" t="str">
        <f t="shared" si="1"/>
        <v/>
      </c>
    </row>
    <row r="3935" ht="22.5" customHeight="1">
      <c r="B3935" s="13">
        <f>IFERROR(__xludf.DUMMYFUNCTION("""COMPUTED_VALUE"""),3930.0)</f>
        <v>3930</v>
      </c>
      <c r="C3935" s="13" t="str">
        <f>IFERROR(__xludf.DUMMYFUNCTION("""COMPUTED_VALUE"""),"M 1120/ KURIPAN")</f>
        <v>M 1120/ KURIPAN</v>
      </c>
      <c r="D3935" s="13" t="str">
        <f>IFERROR(__xludf.DUMMYFUNCTION("""COMPUTED_VALUE"""),"K/33/290925/1")</f>
        <v>K/33/290925/1</v>
      </c>
      <c r="E3935" s="14" t="str">
        <f>IFERROR(__xludf.DUMMYFUNCTION("""COMPUTED_VALUE"""),"Heri (BT)")</f>
        <v>Heri (BT)</v>
      </c>
      <c r="F3935" s="14" t="str">
        <f>IFERROR(__xludf.DUMMYFUNCTION("""COMPUTED_VALUE"""),"SELESAI (VIA PERMOHONAN)")</f>
        <v>SELESAI (VIA PERMOHONAN)</v>
      </c>
      <c r="G3935" s="17">
        <f>IFERROR(__xludf.DUMMYFUNCTION("""COMPUTED_VALUE"""),45933.48005091435)</f>
        <v>45933.48005</v>
      </c>
      <c r="H3935" s="14" t="str">
        <f>IFERROR(__xludf.DUMMYFUNCTION("""COMPUTED_VALUE"""),"Haliza SU")</f>
        <v>Haliza SU</v>
      </c>
      <c r="I3935" s="13" t="str">
        <f>IFERROR(__xludf.DUMMYFUNCTION("""COMPUTED_VALUE"""),"SELESAI")</f>
        <v>SELESAI</v>
      </c>
      <c r="J3935" s="17">
        <f>IFERROR(__xludf.DUMMYFUNCTION("""COMPUTED_VALUE"""),45936.39694630787)</f>
        <v>45936.39695</v>
      </c>
      <c r="K3935" s="13" t="str">
        <f>IFERROR(__xludf.DUMMYFUNCTION("""COMPUTED_VALUE"""),"Selesai")</f>
        <v>Selesai</v>
      </c>
      <c r="L3935" s="17">
        <f>IFERROR(__xludf.DUMMYFUNCTION("""COMPUTED_VALUE"""),45936.39694630787)</f>
        <v>45936.39695</v>
      </c>
      <c r="M3935" s="13"/>
      <c r="N3935" s="13" t="str">
        <f>IFERROR(__xludf.DUMMYFUNCTION("""COMPUTED_VALUE"""),"")</f>
        <v/>
      </c>
      <c r="O3935" s="13" t="str">
        <f t="shared" si="1"/>
        <v/>
      </c>
    </row>
    <row r="3936" ht="22.5" customHeight="1">
      <c r="B3936" s="13">
        <f>IFERROR(__xludf.DUMMYFUNCTION("""COMPUTED_VALUE"""),3931.0)</f>
        <v>3931</v>
      </c>
      <c r="C3936" s="13" t="str">
        <f>IFERROR(__xludf.DUMMYFUNCTION("""COMPUTED_VALUE"""),"M. 1139/ PENGAJARAN")</f>
        <v>M. 1139/ PENGAJARAN</v>
      </c>
      <c r="D3936" s="13" t="str">
        <f>IFERROR(__xludf.DUMMYFUNCTION("""COMPUTED_VALUE"""),"K/1/150825/1")</f>
        <v>K/1/150825/1</v>
      </c>
      <c r="E3936" s="14" t="str">
        <f>IFERROR(__xludf.DUMMYFUNCTION("""COMPUTED_VALUE"""),"Heri (BT)")</f>
        <v>Heri (BT)</v>
      </c>
      <c r="F3936" s="14" t="str">
        <f>IFERROR(__xludf.DUMMYFUNCTION("""COMPUTED_VALUE"""),"SELESAI (VIA PERMOHONAN)")</f>
        <v>SELESAI (VIA PERMOHONAN)</v>
      </c>
      <c r="G3936" s="17">
        <f>IFERROR(__xludf.DUMMYFUNCTION("""COMPUTED_VALUE"""),45933.48021100694)</f>
        <v>45933.48021</v>
      </c>
      <c r="H3936" s="14" t="str">
        <f>IFERROR(__xludf.DUMMYFUNCTION("""COMPUTED_VALUE"""),"Haliza SU")</f>
        <v>Haliza SU</v>
      </c>
      <c r="I3936" s="13" t="str">
        <f>IFERROR(__xludf.DUMMYFUNCTION("""COMPUTED_VALUE"""),"SELESAI")</f>
        <v>SELESAI</v>
      </c>
      <c r="J3936" s="17">
        <f>IFERROR(__xludf.DUMMYFUNCTION("""COMPUTED_VALUE"""),45936.39705451389)</f>
        <v>45936.39705</v>
      </c>
      <c r="K3936" s="13" t="str">
        <f>IFERROR(__xludf.DUMMYFUNCTION("""COMPUTED_VALUE"""),"Selesai")</f>
        <v>Selesai</v>
      </c>
      <c r="L3936" s="17">
        <f>IFERROR(__xludf.DUMMYFUNCTION("""COMPUTED_VALUE"""),45936.39705451389)</f>
        <v>45936.39705</v>
      </c>
      <c r="M3936" s="13"/>
      <c r="N3936" s="13" t="str">
        <f>IFERROR(__xludf.DUMMYFUNCTION("""COMPUTED_VALUE"""),"")</f>
        <v/>
      </c>
      <c r="O3936" s="13" t="str">
        <f t="shared" si="1"/>
        <v/>
      </c>
    </row>
    <row r="3937" ht="22.5" customHeight="1">
      <c r="B3937" s="13">
        <f>IFERROR(__xludf.DUMMYFUNCTION("""COMPUTED_VALUE"""),3932.0)</f>
        <v>3932</v>
      </c>
      <c r="C3937" s="13" t="str">
        <f>IFERROR(__xludf.DUMMYFUNCTION("""COMPUTED_VALUE"""),"M. 9369/ Surabaya")</f>
        <v>M. 9369/ Surabaya</v>
      </c>
      <c r="D3937" s="13" t="str">
        <f>IFERROR(__xludf.DUMMYFUNCTION("""COMPUTED_VALUE"""),"K/39/130625/1")</f>
        <v>K/39/130625/1</v>
      </c>
      <c r="E3937" s="14" t="str">
        <f>IFERROR(__xludf.DUMMYFUNCTION("""COMPUTED_VALUE"""),"Heri (BT)")</f>
        <v>Heri (BT)</v>
      </c>
      <c r="F3937" s="14" t="str">
        <f>IFERROR(__xludf.DUMMYFUNCTION("""COMPUTED_VALUE"""),"SELESAI (VIA PERMOHONAN)")</f>
        <v>SELESAI (VIA PERMOHONAN)</v>
      </c>
      <c r="G3937" s="17">
        <f>IFERROR(__xludf.DUMMYFUNCTION("""COMPUTED_VALUE"""),45933.4803680787)</f>
        <v>45933.48037</v>
      </c>
      <c r="H3937" s="14" t="str">
        <f>IFERROR(__xludf.DUMMYFUNCTION("""COMPUTED_VALUE"""),"Haliza SU")</f>
        <v>Haliza SU</v>
      </c>
      <c r="I3937" s="13" t="str">
        <f>IFERROR(__xludf.DUMMYFUNCTION("""COMPUTED_VALUE"""),"SELESAI")</f>
        <v>SELESAI</v>
      </c>
      <c r="J3937" s="17">
        <f>IFERROR(__xludf.DUMMYFUNCTION("""COMPUTED_VALUE"""),45936.39721847222)</f>
        <v>45936.39722</v>
      </c>
      <c r="K3937" s="13" t="str">
        <f>IFERROR(__xludf.DUMMYFUNCTION("""COMPUTED_VALUE"""),"Selesai")</f>
        <v>Selesai</v>
      </c>
      <c r="L3937" s="17">
        <f>IFERROR(__xludf.DUMMYFUNCTION("""COMPUTED_VALUE"""),45936.39721847222)</f>
        <v>45936.39722</v>
      </c>
      <c r="M3937" s="13"/>
      <c r="N3937" s="13" t="str">
        <f>IFERROR(__xludf.DUMMYFUNCTION("""COMPUTED_VALUE"""),"")</f>
        <v/>
      </c>
      <c r="O3937" s="13" t="str">
        <f t="shared" si="1"/>
        <v/>
      </c>
    </row>
    <row r="3938" ht="22.5" customHeight="1">
      <c r="B3938" s="13">
        <f>IFERROR(__xludf.DUMMYFUNCTION("""COMPUTED_VALUE"""),3933.0)</f>
        <v>3933</v>
      </c>
      <c r="C3938" s="13" t="str">
        <f>IFERROR(__xludf.DUMMYFUNCTION("""COMPUTED_VALUE"""),"M. 3276/BERINGIN RAYA")</f>
        <v>M. 3276/BERINGIN RAYA</v>
      </c>
      <c r="D3938" s="13" t="str">
        <f>IFERROR(__xludf.DUMMYFUNCTION("""COMPUTED_VALUE"""),"L/13/030925/1")</f>
        <v>L/13/030925/1</v>
      </c>
      <c r="E3938" s="14" t="str">
        <f>IFERROR(__xludf.DUMMYFUNCTION("""COMPUTED_VALUE"""),"Heri (BT)")</f>
        <v>Heri (BT)</v>
      </c>
      <c r="F3938" s="14" t="str">
        <f>IFERROR(__xludf.DUMMYFUNCTION("""COMPUTED_VALUE"""),"SELESAI (VIA PERMOHONAN)")</f>
        <v>SELESAI (VIA PERMOHONAN)</v>
      </c>
      <c r="G3938" s="17">
        <f>IFERROR(__xludf.DUMMYFUNCTION("""COMPUTED_VALUE"""),45933.48052670139)</f>
        <v>45933.48053</v>
      </c>
      <c r="H3938" s="14" t="str">
        <f>IFERROR(__xludf.DUMMYFUNCTION("""COMPUTED_VALUE"""),"Haliza SU")</f>
        <v>Haliza SU</v>
      </c>
      <c r="I3938" s="13" t="str">
        <f>IFERROR(__xludf.DUMMYFUNCTION("""COMPUTED_VALUE"""),"SELESAI")</f>
        <v>SELESAI</v>
      </c>
      <c r="J3938" s="17">
        <f>IFERROR(__xludf.DUMMYFUNCTION("""COMPUTED_VALUE"""),45936.39735655092)</f>
        <v>45936.39736</v>
      </c>
      <c r="K3938" s="13" t="str">
        <f>IFERROR(__xludf.DUMMYFUNCTION("""COMPUTED_VALUE"""),"Selesai")</f>
        <v>Selesai</v>
      </c>
      <c r="L3938" s="17">
        <f>IFERROR(__xludf.DUMMYFUNCTION("""COMPUTED_VALUE"""),45936.39735655092)</f>
        <v>45936.39736</v>
      </c>
      <c r="M3938" s="13"/>
      <c r="N3938" s="13" t="str">
        <f>IFERROR(__xludf.DUMMYFUNCTION("""COMPUTED_VALUE"""),"")</f>
        <v/>
      </c>
      <c r="O3938" s="13" t="str">
        <f t="shared" si="1"/>
        <v/>
      </c>
    </row>
    <row r="3939" ht="22.5" customHeight="1">
      <c r="B3939" s="13">
        <f>IFERROR(__xludf.DUMMYFUNCTION("""COMPUTED_VALUE"""),3934.0)</f>
        <v>3934</v>
      </c>
      <c r="C3939" s="13" t="str">
        <f>IFERROR(__xludf.DUMMYFUNCTION("""COMPUTED_VALUE"""),"M. 1399/ Rajabasa Pemuka")</f>
        <v>M. 1399/ Rajabasa Pemuka</v>
      </c>
      <c r="D3939" s="13" t="str">
        <f>IFERROR(__xludf.DUMMYFUNCTION("""COMPUTED_VALUE"""),"K/20/080725/3")</f>
        <v>K/20/080725/3</v>
      </c>
      <c r="E3939" s="14" t="str">
        <f>IFERROR(__xludf.DUMMYFUNCTION("""COMPUTED_VALUE"""),"Heri (BT)")</f>
        <v>Heri (BT)</v>
      </c>
      <c r="F3939" s="14" t="str">
        <f>IFERROR(__xludf.DUMMYFUNCTION("""COMPUTED_VALUE"""),"SELESAI (VIA PERMOHONAN)")</f>
        <v>SELESAI (VIA PERMOHONAN)</v>
      </c>
      <c r="G3939" s="17">
        <f>IFERROR(__xludf.DUMMYFUNCTION("""COMPUTED_VALUE"""),45933.48070388889)</f>
        <v>45933.4807</v>
      </c>
      <c r="H3939" s="14" t="str">
        <f>IFERROR(__xludf.DUMMYFUNCTION("""COMPUTED_VALUE"""),"Haliza SU")</f>
        <v>Haliza SU</v>
      </c>
      <c r="I3939" s="13" t="str">
        <f>IFERROR(__xludf.DUMMYFUNCTION("""COMPUTED_VALUE"""),"SELESAI")</f>
        <v>SELESAI</v>
      </c>
      <c r="J3939" s="17">
        <f>IFERROR(__xludf.DUMMYFUNCTION("""COMPUTED_VALUE"""),45936.39748383102)</f>
        <v>45936.39748</v>
      </c>
      <c r="K3939" s="13" t="str">
        <f>IFERROR(__xludf.DUMMYFUNCTION("""COMPUTED_VALUE"""),"Selesai")</f>
        <v>Selesai</v>
      </c>
      <c r="L3939" s="17">
        <f>IFERROR(__xludf.DUMMYFUNCTION("""COMPUTED_VALUE"""),45936.39748383102)</f>
        <v>45936.39748</v>
      </c>
      <c r="M3939" s="13"/>
      <c r="N3939" s="13" t="str">
        <f>IFERROR(__xludf.DUMMYFUNCTION("""COMPUTED_VALUE"""),"")</f>
        <v/>
      </c>
      <c r="O3939" s="13" t="str">
        <f t="shared" si="1"/>
        <v/>
      </c>
    </row>
    <row r="3940" ht="22.5" customHeight="1">
      <c r="B3940" s="13">
        <f>IFERROR(__xludf.DUMMYFUNCTION("""COMPUTED_VALUE"""),3935.0)</f>
        <v>3935</v>
      </c>
      <c r="C3940" s="13" t="str">
        <f>IFERROR(__xludf.DUMMYFUNCTION("""COMPUTED_VALUE"""),"M 4090/ GUNUNG TERANG")</f>
        <v>M 4090/ GUNUNG TERANG</v>
      </c>
      <c r="D3940" s="13" t="str">
        <f>IFERROR(__xludf.DUMMYFUNCTION("""COMPUTED_VALUE"""),"K/24/240925/1")</f>
        <v>K/24/240925/1</v>
      </c>
      <c r="E3940" s="14" t="str">
        <f>IFERROR(__xludf.DUMMYFUNCTION("""COMPUTED_VALUE"""),"Heri (BT)")</f>
        <v>Heri (BT)</v>
      </c>
      <c r="F3940" s="14" t="str">
        <f>IFERROR(__xludf.DUMMYFUNCTION("""COMPUTED_VALUE"""),"SELESAI (VIA PERMOHONAN)")</f>
        <v>SELESAI (VIA PERMOHONAN)</v>
      </c>
      <c r="G3940" s="17">
        <f>IFERROR(__xludf.DUMMYFUNCTION("""COMPUTED_VALUE"""),45933.48083164352)</f>
        <v>45933.48083</v>
      </c>
      <c r="H3940" s="14" t="str">
        <f>IFERROR(__xludf.DUMMYFUNCTION("""COMPUTED_VALUE"""),"Haliza SU")</f>
        <v>Haliza SU</v>
      </c>
      <c r="I3940" s="13" t="str">
        <f>IFERROR(__xludf.DUMMYFUNCTION("""COMPUTED_VALUE"""),"SELESAI")</f>
        <v>SELESAI</v>
      </c>
      <c r="J3940" s="17">
        <f>IFERROR(__xludf.DUMMYFUNCTION("""COMPUTED_VALUE"""),45936.397660567134)</f>
        <v>45936.39766</v>
      </c>
      <c r="K3940" s="13" t="str">
        <f>IFERROR(__xludf.DUMMYFUNCTION("""COMPUTED_VALUE"""),"Selesai")</f>
        <v>Selesai</v>
      </c>
      <c r="L3940" s="17">
        <f>IFERROR(__xludf.DUMMYFUNCTION("""COMPUTED_VALUE"""),45936.397660567134)</f>
        <v>45936.39766</v>
      </c>
      <c r="M3940" s="13"/>
      <c r="N3940" s="13" t="str">
        <f>IFERROR(__xludf.DUMMYFUNCTION("""COMPUTED_VALUE"""),"")</f>
        <v/>
      </c>
      <c r="O3940" s="13" t="str">
        <f t="shared" si="1"/>
        <v/>
      </c>
    </row>
    <row r="3941" ht="22.5" customHeight="1">
      <c r="B3941" s="13">
        <f>IFERROR(__xludf.DUMMYFUNCTION("""COMPUTED_VALUE"""),3936.0)</f>
        <v>3936</v>
      </c>
      <c r="C3941" s="13" t="str">
        <f>IFERROR(__xludf.DUMMYFUNCTION("""COMPUTED_VALUE"""),"M. 2296/Tanjung Senang	")</f>
        <v>M. 2296/Tanjung Senang	</v>
      </c>
      <c r="D3941" s="13" t="str">
        <f>IFERROR(__xludf.DUMMYFUNCTION("""COMPUTED_VALUE"""),"K/3/260825/3		")</f>
        <v>K/3/260825/3		</v>
      </c>
      <c r="E3941" s="14" t="str">
        <f>IFERROR(__xludf.DUMMYFUNCTION("""COMPUTED_VALUE"""),"Heri (BT)")</f>
        <v>Heri (BT)</v>
      </c>
      <c r="F3941" s="14" t="str">
        <f>IFERROR(__xludf.DUMMYFUNCTION("""COMPUTED_VALUE"""),"SELESAI (VIA PERMOHONAN)")</f>
        <v>SELESAI (VIA PERMOHONAN)</v>
      </c>
      <c r="G3941" s="17">
        <f>IFERROR(__xludf.DUMMYFUNCTION("""COMPUTED_VALUE"""),45933.48101664352)</f>
        <v>45933.48102</v>
      </c>
      <c r="H3941" s="14" t="str">
        <f>IFERROR(__xludf.DUMMYFUNCTION("""COMPUTED_VALUE"""),"Haliza SU")</f>
        <v>Haliza SU</v>
      </c>
      <c r="I3941" s="13" t="str">
        <f>IFERROR(__xludf.DUMMYFUNCTION("""COMPUTED_VALUE"""),"SELESAI")</f>
        <v>SELESAI</v>
      </c>
      <c r="J3941" s="17">
        <f>IFERROR(__xludf.DUMMYFUNCTION("""COMPUTED_VALUE"""),45936.39778493055)</f>
        <v>45936.39778</v>
      </c>
      <c r="K3941" s="13" t="str">
        <f>IFERROR(__xludf.DUMMYFUNCTION("""COMPUTED_VALUE"""),"Selesai")</f>
        <v>Selesai</v>
      </c>
      <c r="L3941" s="17">
        <f>IFERROR(__xludf.DUMMYFUNCTION("""COMPUTED_VALUE"""),45936.39778493055)</f>
        <v>45936.39778</v>
      </c>
      <c r="M3941" s="13"/>
      <c r="N3941" s="13" t="str">
        <f>IFERROR(__xludf.DUMMYFUNCTION("""COMPUTED_VALUE"""),"")</f>
        <v/>
      </c>
      <c r="O3941" s="13" t="str">
        <f t="shared" si="1"/>
        <v/>
      </c>
    </row>
    <row r="3942" ht="22.5" customHeight="1">
      <c r="B3942" s="13">
        <f>IFERROR(__xludf.DUMMYFUNCTION("""COMPUTED_VALUE"""),3937.0)</f>
        <v>3937</v>
      </c>
      <c r="C3942" s="13" t="str">
        <f>IFERROR(__xludf.DUMMYFUNCTION("""COMPUTED_VALUE"""),"SHM. 4346/WAY KANDIS")</f>
        <v>SHM. 4346/WAY KANDIS</v>
      </c>
      <c r="D3942" s="13" t="str">
        <f>IFERROR(__xludf.DUMMYFUNCTION("""COMPUTED_VALUE"""),"L/16/090925/1")</f>
        <v>L/16/090925/1</v>
      </c>
      <c r="E3942" s="14" t="str">
        <f>IFERROR(__xludf.DUMMYFUNCTION("""COMPUTED_VALUE"""),"Heri (BT)")</f>
        <v>Heri (BT)</v>
      </c>
      <c r="F3942" s="14" t="str">
        <f>IFERROR(__xludf.DUMMYFUNCTION("""COMPUTED_VALUE"""),"SELESAI (VIA PERMOHONAN)")</f>
        <v>SELESAI (VIA PERMOHONAN)</v>
      </c>
      <c r="G3942" s="17">
        <f>IFERROR(__xludf.DUMMYFUNCTION("""COMPUTED_VALUE"""),45933.48126184028)</f>
        <v>45933.48126</v>
      </c>
      <c r="H3942" s="14" t="str">
        <f>IFERROR(__xludf.DUMMYFUNCTION("""COMPUTED_VALUE"""),"Haliza SU")</f>
        <v>Haliza SU</v>
      </c>
      <c r="I3942" s="13" t="str">
        <f>IFERROR(__xludf.DUMMYFUNCTION("""COMPUTED_VALUE"""),"SELESAI")</f>
        <v>SELESAI</v>
      </c>
      <c r="J3942" s="17">
        <f>IFERROR(__xludf.DUMMYFUNCTION("""COMPUTED_VALUE"""),45936.39797103009)</f>
        <v>45936.39797</v>
      </c>
      <c r="K3942" s="13" t="str">
        <f>IFERROR(__xludf.DUMMYFUNCTION("""COMPUTED_VALUE"""),"Selesai")</f>
        <v>Selesai</v>
      </c>
      <c r="L3942" s="17">
        <f>IFERROR(__xludf.DUMMYFUNCTION("""COMPUTED_VALUE"""),45936.39797103009)</f>
        <v>45936.39797</v>
      </c>
      <c r="M3942" s="13"/>
      <c r="N3942" s="13" t="str">
        <f>IFERROR(__xludf.DUMMYFUNCTION("""COMPUTED_VALUE"""),"")</f>
        <v/>
      </c>
      <c r="O3942" s="13" t="str">
        <f t="shared" si="1"/>
        <v/>
      </c>
    </row>
    <row r="3943" ht="22.5" customHeight="1">
      <c r="B3943" s="13">
        <f>IFERROR(__xludf.DUMMYFUNCTION("""COMPUTED_VALUE"""),3938.0)</f>
        <v>3938</v>
      </c>
      <c r="C3943" s="13" t="str">
        <f>IFERROR(__xludf.DUMMYFUNCTION("""COMPUTED_VALUE"""),"M. 10664/KEDAMAIAN")</f>
        <v>M. 10664/KEDAMAIAN</v>
      </c>
      <c r="D3943" s="13" t="str">
        <f>IFERROR(__xludf.DUMMYFUNCTION("""COMPUTED_VALUE"""),"L/18/250925/1")</f>
        <v>L/18/250925/1</v>
      </c>
      <c r="E3943" s="14" t="str">
        <f>IFERROR(__xludf.DUMMYFUNCTION("""COMPUTED_VALUE"""),"Heri (BT)")</f>
        <v>Heri (BT)</v>
      </c>
      <c r="F3943" s="14" t="str">
        <f>IFERROR(__xludf.DUMMYFUNCTION("""COMPUTED_VALUE"""),"SELESAI (VIA PERMOHONAN)")</f>
        <v>SELESAI (VIA PERMOHONAN)</v>
      </c>
      <c r="G3943" s="17">
        <f>IFERROR(__xludf.DUMMYFUNCTION("""COMPUTED_VALUE"""),45933.48140609954)</f>
        <v>45933.48141</v>
      </c>
      <c r="H3943" s="14" t="str">
        <f>IFERROR(__xludf.DUMMYFUNCTION("""COMPUTED_VALUE"""),"Haliza SU")</f>
        <v>Haliza SU</v>
      </c>
      <c r="I3943" s="13" t="str">
        <f>IFERROR(__xludf.DUMMYFUNCTION("""COMPUTED_VALUE"""),"SELESAI")</f>
        <v>SELESAI</v>
      </c>
      <c r="J3943" s="17">
        <f>IFERROR(__xludf.DUMMYFUNCTION("""COMPUTED_VALUE"""),45936.39811605324)</f>
        <v>45936.39812</v>
      </c>
      <c r="K3943" s="13" t="str">
        <f>IFERROR(__xludf.DUMMYFUNCTION("""COMPUTED_VALUE"""),"Selesai")</f>
        <v>Selesai</v>
      </c>
      <c r="L3943" s="17">
        <f>IFERROR(__xludf.DUMMYFUNCTION("""COMPUTED_VALUE"""),45936.39811605324)</f>
        <v>45936.39812</v>
      </c>
      <c r="M3943" s="13"/>
      <c r="N3943" s="13" t="str">
        <f>IFERROR(__xludf.DUMMYFUNCTION("""COMPUTED_VALUE"""),"")</f>
        <v/>
      </c>
      <c r="O3943" s="13" t="str">
        <f t="shared" si="1"/>
        <v/>
      </c>
    </row>
    <row r="3944" ht="22.5" customHeight="1">
      <c r="B3944" s="13">
        <f>IFERROR(__xludf.DUMMYFUNCTION("""COMPUTED_VALUE"""),3939.0)</f>
        <v>3939</v>
      </c>
      <c r="C3944" s="13" t="str">
        <f>IFERROR(__xludf.DUMMYFUNCTION("""COMPUTED_VALUE"""),"M. 715/Enggal	")</f>
        <v>M. 715/Enggal	</v>
      </c>
      <c r="D3944" s="13" t="str">
        <f>IFERROR(__xludf.DUMMYFUNCTION("""COMPUTED_VALUE"""),"K/10/030925/1	")</f>
        <v>K/10/030925/1	</v>
      </c>
      <c r="E3944" s="14" t="str">
        <f>IFERROR(__xludf.DUMMYFUNCTION("""COMPUTED_VALUE"""),"Admin (Migrasi)")</f>
        <v>Admin (Migrasi)</v>
      </c>
      <c r="F3944" s="14" t="str">
        <f>IFERROR(__xludf.DUMMYFUNCTION("""COMPUTED_VALUE"""),"SELESAI (VIA PERMOHONAN)")</f>
        <v>SELESAI (VIA PERMOHONAN)</v>
      </c>
      <c r="G3944" s="17">
        <f>IFERROR(__xludf.DUMMYFUNCTION("""COMPUTED_VALUE"""),45936.401981180556)</f>
        <v>45936.40198</v>
      </c>
      <c r="H3944" s="14" t="str">
        <f>IFERROR(__xludf.DUMMYFUNCTION("""COMPUTED_VALUE"""),"Admin (Migrasi)")</f>
        <v>Admin (Migrasi)</v>
      </c>
      <c r="I3944" s="13" t="str">
        <f>IFERROR(__xludf.DUMMYFUNCTION("""COMPUTED_VALUE"""),"SELESAI (VIA PERMOHONAN)")</f>
        <v>SELESAI (VIA PERMOHONAN)</v>
      </c>
      <c r="J3944" s="17">
        <f>IFERROR(__xludf.DUMMYFUNCTION("""COMPUTED_VALUE"""),45936.40203540509)</f>
        <v>45936.40204</v>
      </c>
      <c r="K3944" s="13" t="str">
        <f>IFERROR(__xludf.DUMMYFUNCTION("""COMPUTED_VALUE"""),"Selesai")</f>
        <v>Selesai</v>
      </c>
      <c r="L3944" s="17">
        <f>IFERROR(__xludf.DUMMYFUNCTION("""COMPUTED_VALUE"""),45936.40203540509)</f>
        <v>45936.40204</v>
      </c>
      <c r="M3944" s="13"/>
      <c r="N3944" s="13" t="str">
        <f>IFERROR(__xludf.DUMMYFUNCTION("""COMPUTED_VALUE"""),"")</f>
        <v/>
      </c>
      <c r="O3944" s="13" t="str">
        <f t="shared" si="1"/>
        <v/>
      </c>
    </row>
    <row r="3945" ht="22.5" customHeight="1">
      <c r="B3945" s="13">
        <f>IFERROR(__xludf.DUMMYFUNCTION("""COMPUTED_VALUE"""),3940.0)</f>
        <v>3940</v>
      </c>
      <c r="C3945" s="13" t="str">
        <f>IFERROR(__xludf.DUMMYFUNCTION("""COMPUTED_VALUE"""),"M 1578/ WAY LAGA")</f>
        <v>M 1578/ WAY LAGA</v>
      </c>
      <c r="D3945" s="13" t="str">
        <f>IFERROR(__xludf.DUMMYFUNCTION("""COMPUTED_VALUE"""),"K/8/170925/2")</f>
        <v>K/8/170925/2</v>
      </c>
      <c r="E3945" s="14" t="str">
        <f>IFERROR(__xludf.DUMMYFUNCTION("""COMPUTED_VALUE"""),"Admin (Migrasi)")</f>
        <v>Admin (Migrasi)</v>
      </c>
      <c r="F3945" s="14" t="str">
        <f>IFERROR(__xludf.DUMMYFUNCTION("""COMPUTED_VALUE"""),"SELESAI (VIA PERMOHONAN)")</f>
        <v>SELESAI (VIA PERMOHONAN)</v>
      </c>
      <c r="G3945" s="17">
        <f>IFERROR(__xludf.DUMMYFUNCTION("""COMPUTED_VALUE"""),45936.402267060184)</f>
        <v>45936.40227</v>
      </c>
      <c r="H3945" s="14" t="str">
        <f>IFERROR(__xludf.DUMMYFUNCTION("""COMPUTED_VALUE"""),"Admin (Migrasi)")</f>
        <v>Admin (Migrasi)</v>
      </c>
      <c r="I3945" s="13" t="str">
        <f>IFERROR(__xludf.DUMMYFUNCTION("""COMPUTED_VALUE"""),"SELESAI (VIA PERMOHONAN)")</f>
        <v>SELESAI (VIA PERMOHONAN)</v>
      </c>
      <c r="J3945" s="17">
        <f>IFERROR(__xludf.DUMMYFUNCTION("""COMPUTED_VALUE"""),45936.402297569446)</f>
        <v>45936.4023</v>
      </c>
      <c r="K3945" s="13" t="str">
        <f>IFERROR(__xludf.DUMMYFUNCTION("""COMPUTED_VALUE"""),"Selesai")</f>
        <v>Selesai</v>
      </c>
      <c r="L3945" s="17">
        <f>IFERROR(__xludf.DUMMYFUNCTION("""COMPUTED_VALUE"""),45936.402297569446)</f>
        <v>45936.4023</v>
      </c>
      <c r="M3945" s="13"/>
      <c r="N3945" s="13" t="str">
        <f>IFERROR(__xludf.DUMMYFUNCTION("""COMPUTED_VALUE"""),"")</f>
        <v/>
      </c>
      <c r="O3945" s="13" t="str">
        <f t="shared" si="1"/>
        <v/>
      </c>
    </row>
    <row r="3946" ht="22.5" customHeight="1">
      <c r="B3946" s="13">
        <f>IFERROR(__xludf.DUMMYFUNCTION("""COMPUTED_VALUE"""),3941.0)</f>
        <v>3941</v>
      </c>
      <c r="C3946" s="13" t="str">
        <f>IFERROR(__xludf.DUMMYFUNCTION("""COMPUTED_VALUE"""),"M 875/ WAY LAGA")</f>
        <v>M 875/ WAY LAGA</v>
      </c>
      <c r="D3946" s="13" t="str">
        <f>IFERROR(__xludf.DUMMYFUNCTION("""COMPUTED_VALUE"""),"K/7/170925/1")</f>
        <v>K/7/170925/1</v>
      </c>
      <c r="E3946" s="14" t="str">
        <f>IFERROR(__xludf.DUMMYFUNCTION("""COMPUTED_VALUE"""),"Admin (Migrasi)")</f>
        <v>Admin (Migrasi)</v>
      </c>
      <c r="F3946" s="14" t="str">
        <f>IFERROR(__xludf.DUMMYFUNCTION("""COMPUTED_VALUE"""),"SELESAI (VIA PERMOHONAN)")</f>
        <v>SELESAI (VIA PERMOHONAN)</v>
      </c>
      <c r="G3946" s="17">
        <f>IFERROR(__xludf.DUMMYFUNCTION("""COMPUTED_VALUE"""),45936.40246628472)</f>
        <v>45936.40247</v>
      </c>
      <c r="H3946" s="14" t="str">
        <f>IFERROR(__xludf.DUMMYFUNCTION("""COMPUTED_VALUE"""),"Admin (Migrasi)")</f>
        <v>Admin (Migrasi)</v>
      </c>
      <c r="I3946" s="13" t="str">
        <f>IFERROR(__xludf.DUMMYFUNCTION("""COMPUTED_VALUE"""),"SELESAI (VIA PERMOHONAN)")</f>
        <v>SELESAI (VIA PERMOHONAN)</v>
      </c>
      <c r="J3946" s="17">
        <f>IFERROR(__xludf.DUMMYFUNCTION("""COMPUTED_VALUE"""),45936.402495891205)</f>
        <v>45936.4025</v>
      </c>
      <c r="K3946" s="13" t="str">
        <f>IFERROR(__xludf.DUMMYFUNCTION("""COMPUTED_VALUE"""),"Selesai")</f>
        <v>Selesai</v>
      </c>
      <c r="L3946" s="17">
        <f>IFERROR(__xludf.DUMMYFUNCTION("""COMPUTED_VALUE"""),45936.402495891205)</f>
        <v>45936.4025</v>
      </c>
      <c r="M3946" s="13"/>
      <c r="N3946" s="13" t="str">
        <f>IFERROR(__xludf.DUMMYFUNCTION("""COMPUTED_VALUE"""),"")</f>
        <v/>
      </c>
      <c r="O3946" s="13" t="str">
        <f t="shared" si="1"/>
        <v/>
      </c>
    </row>
    <row r="3947" ht="22.5" customHeight="1">
      <c r="B3947" s="13">
        <f>IFERROR(__xludf.DUMMYFUNCTION("""COMPUTED_VALUE"""),3942.0)</f>
        <v>3942</v>
      </c>
      <c r="C3947" s="13" t="str">
        <f>IFERROR(__xludf.DUMMYFUNCTION("""COMPUTED_VALUE"""),"M 10708/ SEGALA MIDER")</f>
        <v>M 10708/ SEGALA MIDER</v>
      </c>
      <c r="D3947" s="13" t="str">
        <f>IFERROR(__xludf.DUMMYFUNCTION("""COMPUTED_VALUE"""),"K/36/100925/1")</f>
        <v>K/36/100925/1</v>
      </c>
      <c r="E3947" s="14" t="str">
        <f>IFERROR(__xludf.DUMMYFUNCTION("""COMPUTED_VALUE"""),"Admin (Migrasi)")</f>
        <v>Admin (Migrasi)</v>
      </c>
      <c r="F3947" s="14" t="str">
        <f>IFERROR(__xludf.DUMMYFUNCTION("""COMPUTED_VALUE"""),"SELESAI (VIA PERMOHONAN)")</f>
        <v>SELESAI (VIA PERMOHONAN)</v>
      </c>
      <c r="G3947" s="17">
        <f>IFERROR(__xludf.DUMMYFUNCTION("""COMPUTED_VALUE"""),45936.40266877315)</f>
        <v>45936.40267</v>
      </c>
      <c r="H3947" s="14" t="str">
        <f>IFERROR(__xludf.DUMMYFUNCTION("""COMPUTED_VALUE"""),"Admin (Migrasi)")</f>
        <v>Admin (Migrasi)</v>
      </c>
      <c r="I3947" s="13" t="str">
        <f>IFERROR(__xludf.DUMMYFUNCTION("""COMPUTED_VALUE"""),"SELESAI (VIA PERMOHONAN)")</f>
        <v>SELESAI (VIA PERMOHONAN)</v>
      </c>
      <c r="J3947" s="17">
        <f>IFERROR(__xludf.DUMMYFUNCTION("""COMPUTED_VALUE"""),45936.40270122685)</f>
        <v>45936.4027</v>
      </c>
      <c r="K3947" s="13" t="str">
        <f>IFERROR(__xludf.DUMMYFUNCTION("""COMPUTED_VALUE"""),"Selesai")</f>
        <v>Selesai</v>
      </c>
      <c r="L3947" s="17">
        <f>IFERROR(__xludf.DUMMYFUNCTION("""COMPUTED_VALUE"""),45936.40270122685)</f>
        <v>45936.4027</v>
      </c>
      <c r="M3947" s="13"/>
      <c r="N3947" s="13" t="str">
        <f>IFERROR(__xludf.DUMMYFUNCTION("""COMPUTED_VALUE"""),"")</f>
        <v/>
      </c>
      <c r="O3947" s="13" t="str">
        <f t="shared" si="1"/>
        <v/>
      </c>
    </row>
    <row r="3948" ht="22.5" customHeight="1">
      <c r="B3948" s="13">
        <f>IFERROR(__xludf.DUMMYFUNCTION("""COMPUTED_VALUE"""),3943.0)</f>
        <v>3943</v>
      </c>
      <c r="C3948" s="13" t="str">
        <f>IFERROR(__xludf.DUMMYFUNCTION("""COMPUTED_VALUE"""),"M 795/ KUPANG KOTA")</f>
        <v>M 795/ KUPANG KOTA</v>
      </c>
      <c r="D3948" s="13" t="str">
        <f>IFERROR(__xludf.DUMMYFUNCTION("""COMPUTED_VALUE"""),"K/57/220825/1")</f>
        <v>K/57/220825/1</v>
      </c>
      <c r="E3948" s="14" t="str">
        <f>IFERROR(__xludf.DUMMYFUNCTION("""COMPUTED_VALUE"""),"Admin (Migrasi)")</f>
        <v>Admin (Migrasi)</v>
      </c>
      <c r="F3948" s="14" t="str">
        <f>IFERROR(__xludf.DUMMYFUNCTION("""COMPUTED_VALUE"""),"SELESAI (VIA PERMOHONAN)")</f>
        <v>SELESAI (VIA PERMOHONAN)</v>
      </c>
      <c r="G3948" s="17">
        <f>IFERROR(__xludf.DUMMYFUNCTION("""COMPUTED_VALUE"""),45936.40286785879)</f>
        <v>45936.40287</v>
      </c>
      <c r="H3948" s="14" t="str">
        <f>IFERROR(__xludf.DUMMYFUNCTION("""COMPUTED_VALUE"""),"Admin (Migrasi)")</f>
        <v>Admin (Migrasi)</v>
      </c>
      <c r="I3948" s="13" t="str">
        <f>IFERROR(__xludf.DUMMYFUNCTION("""COMPUTED_VALUE"""),"SELESAI (VIA PERMOHONAN)")</f>
        <v>SELESAI (VIA PERMOHONAN)</v>
      </c>
      <c r="J3948" s="17">
        <f>IFERROR(__xludf.DUMMYFUNCTION("""COMPUTED_VALUE"""),45936.40291256944)</f>
        <v>45936.40291</v>
      </c>
      <c r="K3948" s="13" t="str">
        <f>IFERROR(__xludf.DUMMYFUNCTION("""COMPUTED_VALUE"""),"Selesai")</f>
        <v>Selesai</v>
      </c>
      <c r="L3948" s="17">
        <f>IFERROR(__xludf.DUMMYFUNCTION("""COMPUTED_VALUE"""),45936.40291256944)</f>
        <v>45936.40291</v>
      </c>
      <c r="M3948" s="13"/>
      <c r="N3948" s="13" t="str">
        <f>IFERROR(__xludf.DUMMYFUNCTION("""COMPUTED_VALUE"""),"")</f>
        <v/>
      </c>
      <c r="O3948" s="13" t="str">
        <f t="shared" si="1"/>
        <v/>
      </c>
    </row>
    <row r="3949" ht="22.5" customHeight="1">
      <c r="B3949" s="13">
        <f>IFERROR(__xludf.DUMMYFUNCTION("""COMPUTED_VALUE"""),3944.0)</f>
        <v>3944</v>
      </c>
      <c r="C3949" s="13" t="str">
        <f>IFERROR(__xludf.DUMMYFUNCTION("""COMPUTED_VALUE"""),"M. 9466/JAGABAYA II")</f>
        <v>M. 9466/JAGABAYA II</v>
      </c>
      <c r="D3949" s="13" t="str">
        <f>IFERROR(__xludf.DUMMYFUNCTION("""COMPUTED_VALUE"""),"K/37/080925/1")</f>
        <v>K/37/080925/1</v>
      </c>
      <c r="E3949" s="14" t="str">
        <f>IFERROR(__xludf.DUMMYFUNCTION("""COMPUTED_VALUE"""),"Admin (Migrasi)")</f>
        <v>Admin (Migrasi)</v>
      </c>
      <c r="F3949" s="14" t="str">
        <f>IFERROR(__xludf.DUMMYFUNCTION("""COMPUTED_VALUE"""),"SELESAI (VIA PERMOHONAN)")</f>
        <v>SELESAI (VIA PERMOHONAN)</v>
      </c>
      <c r="G3949" s="17">
        <f>IFERROR(__xludf.DUMMYFUNCTION("""COMPUTED_VALUE"""),45936.4030815625)</f>
        <v>45936.40308</v>
      </c>
      <c r="H3949" s="14" t="str">
        <f>IFERROR(__xludf.DUMMYFUNCTION("""COMPUTED_VALUE"""),"Admin (Migrasi)")</f>
        <v>Admin (Migrasi)</v>
      </c>
      <c r="I3949" s="13" t="str">
        <f>IFERROR(__xludf.DUMMYFUNCTION("""COMPUTED_VALUE"""),"SELESAI (VIA PERMOHONAN)")</f>
        <v>SELESAI (VIA PERMOHONAN)</v>
      </c>
      <c r="J3949" s="17">
        <f>IFERROR(__xludf.DUMMYFUNCTION("""COMPUTED_VALUE"""),45936.40312549769)</f>
        <v>45936.40313</v>
      </c>
      <c r="K3949" s="13" t="str">
        <f>IFERROR(__xludf.DUMMYFUNCTION("""COMPUTED_VALUE"""),"Selesai")</f>
        <v>Selesai</v>
      </c>
      <c r="L3949" s="17">
        <f>IFERROR(__xludf.DUMMYFUNCTION("""COMPUTED_VALUE"""),45936.40312549769)</f>
        <v>45936.40313</v>
      </c>
      <c r="M3949" s="13"/>
      <c r="N3949" s="13" t="str">
        <f>IFERROR(__xludf.DUMMYFUNCTION("""COMPUTED_VALUE"""),"")</f>
        <v/>
      </c>
      <c r="O3949" s="13" t="str">
        <f t="shared" si="1"/>
        <v/>
      </c>
    </row>
    <row r="3950" ht="22.5" customHeight="1">
      <c r="B3950" s="13">
        <f>IFERROR(__xludf.DUMMYFUNCTION("""COMPUTED_VALUE"""),3945.0)</f>
        <v>3945</v>
      </c>
      <c r="C3950" s="13" t="str">
        <f>IFERROR(__xludf.DUMMYFUNCTION("""COMPUTED_VALUE"""),"M. 3861/RAJABASA JAYA")</f>
        <v>M. 3861/RAJABASA JAYA</v>
      </c>
      <c r="D3950" s="13" t="str">
        <f>IFERROR(__xludf.DUMMYFUNCTION("""COMPUTED_VALUE"""),"K/48/220825/1")</f>
        <v>K/48/220825/1</v>
      </c>
      <c r="E3950" s="14" t="str">
        <f>IFERROR(__xludf.DUMMYFUNCTION("""COMPUTED_VALUE"""),"Admin (Migrasi)")</f>
        <v>Admin (Migrasi)</v>
      </c>
      <c r="F3950" s="14" t="str">
        <f>IFERROR(__xludf.DUMMYFUNCTION("""COMPUTED_VALUE"""),"SELESAI (VIA PERMOHONAN)")</f>
        <v>SELESAI (VIA PERMOHONAN)</v>
      </c>
      <c r="G3950" s="17">
        <f>IFERROR(__xludf.DUMMYFUNCTION("""COMPUTED_VALUE"""),45936.40340086806)</f>
        <v>45936.4034</v>
      </c>
      <c r="H3950" s="14" t="str">
        <f>IFERROR(__xludf.DUMMYFUNCTION("""COMPUTED_VALUE"""),"Admin (Migrasi)")</f>
        <v>Admin (Migrasi)</v>
      </c>
      <c r="I3950" s="13" t="str">
        <f>IFERROR(__xludf.DUMMYFUNCTION("""COMPUTED_VALUE"""),"SELESAI (VIA PERMOHONAN)")</f>
        <v>SELESAI (VIA PERMOHONAN)</v>
      </c>
      <c r="J3950" s="17">
        <f>IFERROR(__xludf.DUMMYFUNCTION("""COMPUTED_VALUE"""),45936.4034675463)</f>
        <v>45936.40347</v>
      </c>
      <c r="K3950" s="13" t="str">
        <f>IFERROR(__xludf.DUMMYFUNCTION("""COMPUTED_VALUE"""),"Selesai")</f>
        <v>Selesai</v>
      </c>
      <c r="L3950" s="17">
        <f>IFERROR(__xludf.DUMMYFUNCTION("""COMPUTED_VALUE"""),45936.4034675463)</f>
        <v>45936.40347</v>
      </c>
      <c r="M3950" s="13"/>
      <c r="N3950" s="13" t="str">
        <f>IFERROR(__xludf.DUMMYFUNCTION("""COMPUTED_VALUE"""),"")</f>
        <v/>
      </c>
      <c r="O3950" s="13" t="str">
        <f t="shared" si="1"/>
        <v/>
      </c>
    </row>
    <row r="3951" ht="22.5" customHeight="1">
      <c r="B3951" s="13">
        <f>IFERROR(__xludf.DUMMYFUNCTION("""COMPUTED_VALUE"""),3946.0)</f>
        <v>3946</v>
      </c>
      <c r="C3951" s="13" t="str">
        <f>IFERROR(__xludf.DUMMYFUNCTION("""COMPUTED_VALUE"""),"M. 2046/SUKARAME BARU")</f>
        <v>M. 2046/SUKARAME BARU</v>
      </c>
      <c r="D3951" s="13" t="str">
        <f>IFERROR(__xludf.DUMMYFUNCTION("""COMPUTED_VALUE"""),"K/44/080925/2")</f>
        <v>K/44/080925/2</v>
      </c>
      <c r="E3951" s="14" t="str">
        <f>IFERROR(__xludf.DUMMYFUNCTION("""COMPUTED_VALUE"""),"Admin (Migrasi)")</f>
        <v>Admin (Migrasi)</v>
      </c>
      <c r="F3951" s="14" t="str">
        <f>IFERROR(__xludf.DUMMYFUNCTION("""COMPUTED_VALUE"""),"SELESAI (VIA PERMOHONAN)")</f>
        <v>SELESAI (VIA PERMOHONAN)</v>
      </c>
      <c r="G3951" s="17">
        <f>IFERROR(__xludf.DUMMYFUNCTION("""COMPUTED_VALUE"""),45936.40374340278)</f>
        <v>45936.40374</v>
      </c>
      <c r="H3951" s="14" t="str">
        <f>IFERROR(__xludf.DUMMYFUNCTION("""COMPUTED_VALUE"""),"Admin (Migrasi)")</f>
        <v>Admin (Migrasi)</v>
      </c>
      <c r="I3951" s="13" t="str">
        <f>IFERROR(__xludf.DUMMYFUNCTION("""COMPUTED_VALUE"""),"SELESAI (VIA PERMOHONAN)")</f>
        <v>SELESAI (VIA PERMOHONAN)</v>
      </c>
      <c r="J3951" s="17">
        <f>IFERROR(__xludf.DUMMYFUNCTION("""COMPUTED_VALUE"""),45936.403775810184)</f>
        <v>45936.40378</v>
      </c>
      <c r="K3951" s="13" t="str">
        <f>IFERROR(__xludf.DUMMYFUNCTION("""COMPUTED_VALUE"""),"Selesai")</f>
        <v>Selesai</v>
      </c>
      <c r="L3951" s="17">
        <f>IFERROR(__xludf.DUMMYFUNCTION("""COMPUTED_VALUE"""),45936.403775810184)</f>
        <v>45936.40378</v>
      </c>
      <c r="M3951" s="13"/>
      <c r="N3951" s="13" t="str">
        <f>IFERROR(__xludf.DUMMYFUNCTION("""COMPUTED_VALUE"""),"")</f>
        <v/>
      </c>
      <c r="O3951" s="13" t="str">
        <f t="shared" si="1"/>
        <v/>
      </c>
    </row>
    <row r="3952" ht="22.5" customHeight="1">
      <c r="B3952" s="13">
        <f>IFERROR(__xludf.DUMMYFUNCTION("""COMPUTED_VALUE"""),3947.0)</f>
        <v>3947</v>
      </c>
      <c r="C3952" s="13" t="str">
        <f>IFERROR(__xludf.DUMMYFUNCTION("""COMPUTED_VALUE"""),"M. 130/ KALIAWI")</f>
        <v>M. 130/ KALIAWI</v>
      </c>
      <c r="D3952" s="13" t="str">
        <f>IFERROR(__xludf.DUMMYFUNCTION("""COMPUTED_VALUE"""),"K/8/250825/1")</f>
        <v>K/8/250825/1</v>
      </c>
      <c r="E3952" s="14" t="str">
        <f>IFERROR(__xludf.DUMMYFUNCTION("""COMPUTED_VALUE"""),"Admin (Migrasi)")</f>
        <v>Admin (Migrasi)</v>
      </c>
      <c r="F3952" s="14" t="str">
        <f>IFERROR(__xludf.DUMMYFUNCTION("""COMPUTED_VALUE"""),"SELESAI (VIA PERMOHONAN)")</f>
        <v>SELESAI (VIA PERMOHONAN)</v>
      </c>
      <c r="G3952" s="17">
        <f>IFERROR(__xludf.DUMMYFUNCTION("""COMPUTED_VALUE"""),45936.40405556713)</f>
        <v>45936.40406</v>
      </c>
      <c r="H3952" s="14" t="str">
        <f>IFERROR(__xludf.DUMMYFUNCTION("""COMPUTED_VALUE"""),"Admin (Migrasi)")</f>
        <v>Admin (Migrasi)</v>
      </c>
      <c r="I3952" s="13" t="str">
        <f>IFERROR(__xludf.DUMMYFUNCTION("""COMPUTED_VALUE"""),"SELESAI (VIA PERMOHONAN)")</f>
        <v>SELESAI (VIA PERMOHONAN)</v>
      </c>
      <c r="J3952" s="17">
        <f>IFERROR(__xludf.DUMMYFUNCTION("""COMPUTED_VALUE"""),45936.40410918981)</f>
        <v>45936.40411</v>
      </c>
      <c r="K3952" s="13" t="str">
        <f>IFERROR(__xludf.DUMMYFUNCTION("""COMPUTED_VALUE"""),"Selesai")</f>
        <v>Selesai</v>
      </c>
      <c r="L3952" s="17">
        <f>IFERROR(__xludf.DUMMYFUNCTION("""COMPUTED_VALUE"""),45936.40410918981)</f>
        <v>45936.40411</v>
      </c>
      <c r="M3952" s="13"/>
      <c r="N3952" s="13" t="str">
        <f>IFERROR(__xludf.DUMMYFUNCTION("""COMPUTED_VALUE"""),"")</f>
        <v/>
      </c>
      <c r="O3952" s="13" t="str">
        <f t="shared" si="1"/>
        <v/>
      </c>
    </row>
    <row r="3953" ht="22.5" customHeight="1">
      <c r="B3953" s="13">
        <f>IFERROR(__xludf.DUMMYFUNCTION("""COMPUTED_VALUE"""),3948.0)</f>
        <v>3948</v>
      </c>
      <c r="C3953" s="13" t="str">
        <f>IFERROR(__xludf.DUMMYFUNCTION("""COMPUTED_VALUE"""),"M. 1831/JAGABAYA III")</f>
        <v>M. 1831/JAGABAYA III</v>
      </c>
      <c r="D3953" s="13" t="str">
        <f>IFERROR(__xludf.DUMMYFUNCTION("""COMPUTED_VALUE"""),"K/17/150925/2")</f>
        <v>K/17/150925/2</v>
      </c>
      <c r="E3953" s="14" t="str">
        <f>IFERROR(__xludf.DUMMYFUNCTION("""COMPUTED_VALUE"""),"Admin (Migrasi)")</f>
        <v>Admin (Migrasi)</v>
      </c>
      <c r="F3953" s="14" t="str">
        <f>IFERROR(__xludf.DUMMYFUNCTION("""COMPUTED_VALUE"""),"SELESAI (VIA PERMOHONAN)")</f>
        <v>SELESAI (VIA PERMOHONAN)</v>
      </c>
      <c r="G3953" s="17">
        <f>IFERROR(__xludf.DUMMYFUNCTION("""COMPUTED_VALUE"""),45936.40425146991)</f>
        <v>45936.40425</v>
      </c>
      <c r="H3953" s="14" t="str">
        <f>IFERROR(__xludf.DUMMYFUNCTION("""COMPUTED_VALUE"""),"Admin (Migrasi)")</f>
        <v>Admin (Migrasi)</v>
      </c>
      <c r="I3953" s="13" t="str">
        <f>IFERROR(__xludf.DUMMYFUNCTION("""COMPUTED_VALUE"""),"SELESAI (VIA PERMOHONAN)")</f>
        <v>SELESAI (VIA PERMOHONAN)</v>
      </c>
      <c r="J3953" s="17">
        <f>IFERROR(__xludf.DUMMYFUNCTION("""COMPUTED_VALUE"""),45936.4042791088)</f>
        <v>45936.40428</v>
      </c>
      <c r="K3953" s="13" t="str">
        <f>IFERROR(__xludf.DUMMYFUNCTION("""COMPUTED_VALUE"""),"Selesai")</f>
        <v>Selesai</v>
      </c>
      <c r="L3953" s="17">
        <f>IFERROR(__xludf.DUMMYFUNCTION("""COMPUTED_VALUE"""),45936.4042791088)</f>
        <v>45936.40428</v>
      </c>
      <c r="M3953" s="13"/>
      <c r="N3953" s="13" t="str">
        <f>IFERROR(__xludf.DUMMYFUNCTION("""COMPUTED_VALUE"""),"")</f>
        <v/>
      </c>
      <c r="O3953" s="13" t="str">
        <f t="shared" si="1"/>
        <v/>
      </c>
    </row>
    <row r="3954" ht="22.5" customHeight="1">
      <c r="B3954" s="13">
        <f>IFERROR(__xludf.DUMMYFUNCTION("""COMPUTED_VALUE"""),3949.0)</f>
        <v>3949</v>
      </c>
      <c r="C3954" s="13" t="str">
        <f>IFERROR(__xludf.DUMMYFUNCTION("""COMPUTED_VALUE"""),"M. 11101/KEDAMAIAN")</f>
        <v>M. 11101/KEDAMAIAN</v>
      </c>
      <c r="D3954" s="13" t="str">
        <f>IFERROR(__xludf.DUMMYFUNCTION("""COMPUTED_VALUE"""),"K/33/250825/1")</f>
        <v>K/33/250825/1</v>
      </c>
      <c r="E3954" s="14" t="str">
        <f>IFERROR(__xludf.DUMMYFUNCTION("""COMPUTED_VALUE"""),"Admin (Migrasi)")</f>
        <v>Admin (Migrasi)</v>
      </c>
      <c r="F3954" s="14" t="str">
        <f>IFERROR(__xludf.DUMMYFUNCTION("""COMPUTED_VALUE"""),"SELESAI (VIA PERMOHONAN)")</f>
        <v>SELESAI (VIA PERMOHONAN)</v>
      </c>
      <c r="G3954" s="17">
        <f>IFERROR(__xludf.DUMMYFUNCTION("""COMPUTED_VALUE"""),45936.40448388889)</f>
        <v>45936.40448</v>
      </c>
      <c r="H3954" s="14" t="str">
        <f>IFERROR(__xludf.DUMMYFUNCTION("""COMPUTED_VALUE"""),"Admin (Migrasi)")</f>
        <v>Admin (Migrasi)</v>
      </c>
      <c r="I3954" s="13" t="str">
        <f>IFERROR(__xludf.DUMMYFUNCTION("""COMPUTED_VALUE"""),"SELESAI (VIA PERMOHONAN)")</f>
        <v>SELESAI (VIA PERMOHONAN)</v>
      </c>
      <c r="J3954" s="17">
        <f>IFERROR(__xludf.DUMMYFUNCTION("""COMPUTED_VALUE"""),45936.40451503472)</f>
        <v>45936.40452</v>
      </c>
      <c r="K3954" s="13" t="str">
        <f>IFERROR(__xludf.DUMMYFUNCTION("""COMPUTED_VALUE"""),"Selesai")</f>
        <v>Selesai</v>
      </c>
      <c r="L3954" s="17">
        <f>IFERROR(__xludf.DUMMYFUNCTION("""COMPUTED_VALUE"""),45936.40451503472)</f>
        <v>45936.40452</v>
      </c>
      <c r="M3954" s="13"/>
      <c r="N3954" s="13" t="str">
        <f>IFERROR(__xludf.DUMMYFUNCTION("""COMPUTED_VALUE"""),"")</f>
        <v/>
      </c>
      <c r="O3954" s="13" t="str">
        <f t="shared" si="1"/>
        <v/>
      </c>
    </row>
    <row r="3955" ht="22.5" customHeight="1">
      <c r="B3955" s="13">
        <f>IFERROR(__xludf.DUMMYFUNCTION("""COMPUTED_VALUE"""),3950.0)</f>
        <v>3950</v>
      </c>
      <c r="C3955" s="13" t="str">
        <f>IFERROR(__xludf.DUMMYFUNCTION("""COMPUTED_VALUE"""),"M. 1137/KUPANG TEBA")</f>
        <v>M. 1137/KUPANG TEBA</v>
      </c>
      <c r="D3955" s="13" t="str">
        <f>IFERROR(__xludf.DUMMYFUNCTION("""COMPUTED_VALUE"""),"K/22/210825/1")</f>
        <v>K/22/210825/1</v>
      </c>
      <c r="E3955" s="14" t="str">
        <f>IFERROR(__xludf.DUMMYFUNCTION("""COMPUTED_VALUE"""),"Admin (Migrasi)")</f>
        <v>Admin (Migrasi)</v>
      </c>
      <c r="F3955" s="14" t="str">
        <f>IFERROR(__xludf.DUMMYFUNCTION("""COMPUTED_VALUE"""),"SELESAI (VIA PERMOHONAN)")</f>
        <v>SELESAI (VIA PERMOHONAN)</v>
      </c>
      <c r="G3955" s="17">
        <f>IFERROR(__xludf.DUMMYFUNCTION("""COMPUTED_VALUE"""),45936.40469185185)</f>
        <v>45936.40469</v>
      </c>
      <c r="H3955" s="14" t="str">
        <f>IFERROR(__xludf.DUMMYFUNCTION("""COMPUTED_VALUE"""),"Admin (Migrasi)")</f>
        <v>Admin (Migrasi)</v>
      </c>
      <c r="I3955" s="13" t="str">
        <f>IFERROR(__xludf.DUMMYFUNCTION("""COMPUTED_VALUE"""),"SELESAI (VIA PERMOHONAN)")</f>
        <v>SELESAI (VIA PERMOHONAN)</v>
      </c>
      <c r="J3955" s="17">
        <f>IFERROR(__xludf.DUMMYFUNCTION("""COMPUTED_VALUE"""),45936.40475130787)</f>
        <v>45936.40475</v>
      </c>
      <c r="K3955" s="13" t="str">
        <f>IFERROR(__xludf.DUMMYFUNCTION("""COMPUTED_VALUE"""),"Selesai")</f>
        <v>Selesai</v>
      </c>
      <c r="L3955" s="17">
        <f>IFERROR(__xludf.DUMMYFUNCTION("""COMPUTED_VALUE"""),45936.40475130787)</f>
        <v>45936.40475</v>
      </c>
      <c r="M3955" s="13"/>
      <c r="N3955" s="13" t="str">
        <f>IFERROR(__xludf.DUMMYFUNCTION("""COMPUTED_VALUE"""),"")</f>
        <v/>
      </c>
      <c r="O3955" s="13" t="str">
        <f t="shared" si="1"/>
        <v/>
      </c>
    </row>
    <row r="3956" ht="22.5" customHeight="1">
      <c r="B3956" s="13">
        <f>IFERROR(__xludf.DUMMYFUNCTION("""COMPUTED_VALUE"""),3951.0)</f>
        <v>3951</v>
      </c>
      <c r="C3956" s="13" t="str">
        <f>IFERROR(__xludf.DUMMYFUNCTION("""COMPUTED_VALUE"""),"B 796/ SUMUR PUTRI")</f>
        <v>B 796/ SUMUR PUTRI</v>
      </c>
      <c r="D3956" s="13" t="str">
        <f>IFERROR(__xludf.DUMMYFUNCTION("""COMPUTED_VALUE"""),"K/24/100925/1")</f>
        <v>K/24/100925/1</v>
      </c>
      <c r="E3956" s="14" t="str">
        <f>IFERROR(__xludf.DUMMYFUNCTION("""COMPUTED_VALUE"""),"Admin (Migrasi)")</f>
        <v>Admin (Migrasi)</v>
      </c>
      <c r="F3956" s="14" t="str">
        <f>IFERROR(__xludf.DUMMYFUNCTION("""COMPUTED_VALUE"""),"SELESAI (VIA PERMOHONAN)")</f>
        <v>SELESAI (VIA PERMOHONAN)</v>
      </c>
      <c r="G3956" s="17">
        <f>IFERROR(__xludf.DUMMYFUNCTION("""COMPUTED_VALUE"""),45936.40493568287)</f>
        <v>45936.40494</v>
      </c>
      <c r="H3956" s="14" t="str">
        <f>IFERROR(__xludf.DUMMYFUNCTION("""COMPUTED_VALUE"""),"Admin (Migrasi)")</f>
        <v>Admin (Migrasi)</v>
      </c>
      <c r="I3956" s="13" t="str">
        <f>IFERROR(__xludf.DUMMYFUNCTION("""COMPUTED_VALUE"""),"SELESAI (VIA PERMOHONAN)")</f>
        <v>SELESAI (VIA PERMOHONAN)</v>
      </c>
      <c r="J3956" s="17">
        <f>IFERROR(__xludf.DUMMYFUNCTION("""COMPUTED_VALUE"""),45936.40498840278)</f>
        <v>45936.40499</v>
      </c>
      <c r="K3956" s="13" t="str">
        <f>IFERROR(__xludf.DUMMYFUNCTION("""COMPUTED_VALUE"""),"Selesai")</f>
        <v>Selesai</v>
      </c>
      <c r="L3956" s="17">
        <f>IFERROR(__xludf.DUMMYFUNCTION("""COMPUTED_VALUE"""),45936.40498840278)</f>
        <v>45936.40499</v>
      </c>
      <c r="M3956" s="13"/>
      <c r="N3956" s="13" t="str">
        <f>IFERROR(__xludf.DUMMYFUNCTION("""COMPUTED_VALUE"""),"")</f>
        <v/>
      </c>
      <c r="O3956" s="13" t="str">
        <f t="shared" si="1"/>
        <v/>
      </c>
    </row>
    <row r="3957" ht="22.5" customHeight="1">
      <c r="B3957" s="13">
        <f>IFERROR(__xludf.DUMMYFUNCTION("""COMPUTED_VALUE"""),3952.0)</f>
        <v>3952</v>
      </c>
      <c r="C3957" s="13" t="str">
        <f>IFERROR(__xludf.DUMMYFUNCTION("""COMPUTED_VALUE"""),"NIBEL M 16485/ SUKARAME")</f>
        <v>NIBEL M 16485/ SUKARAME</v>
      </c>
      <c r="D3957" s="13" t="str">
        <f>IFERROR(__xludf.DUMMYFUNCTION("""COMPUTED_VALUE"""),"K/7/220825/1")</f>
        <v>K/7/220825/1</v>
      </c>
      <c r="E3957" s="14" t="str">
        <f>IFERROR(__xludf.DUMMYFUNCTION("""COMPUTED_VALUE"""),"Admin (Migrasi)")</f>
        <v>Admin (Migrasi)</v>
      </c>
      <c r="F3957" s="14" t="str">
        <f>IFERROR(__xludf.DUMMYFUNCTION("""COMPUTED_VALUE"""),"SELESAI (VIA PERMOHONAN)")</f>
        <v>SELESAI (VIA PERMOHONAN)</v>
      </c>
      <c r="G3957" s="17">
        <f>IFERROR(__xludf.DUMMYFUNCTION("""COMPUTED_VALUE"""),45936.4053918287)</f>
        <v>45936.40539</v>
      </c>
      <c r="H3957" s="14" t="str">
        <f>IFERROR(__xludf.DUMMYFUNCTION("""COMPUTED_VALUE"""),"Admin (Migrasi)")</f>
        <v>Admin (Migrasi)</v>
      </c>
      <c r="I3957" s="13" t="str">
        <f>IFERROR(__xludf.DUMMYFUNCTION("""COMPUTED_VALUE"""),"SELESAI (VIA PERMOHONAN)")</f>
        <v>SELESAI (VIA PERMOHONAN)</v>
      </c>
      <c r="J3957" s="17">
        <f>IFERROR(__xludf.DUMMYFUNCTION("""COMPUTED_VALUE"""),45936.4054159838)</f>
        <v>45936.40542</v>
      </c>
      <c r="K3957" s="13" t="str">
        <f>IFERROR(__xludf.DUMMYFUNCTION("""COMPUTED_VALUE"""),"Selesai")</f>
        <v>Selesai</v>
      </c>
      <c r="L3957" s="17">
        <f>IFERROR(__xludf.DUMMYFUNCTION("""COMPUTED_VALUE"""),45936.4054159838)</f>
        <v>45936.40542</v>
      </c>
      <c r="M3957" s="13"/>
      <c r="N3957" s="13" t="str">
        <f>IFERROR(__xludf.DUMMYFUNCTION("""COMPUTED_VALUE"""),"")</f>
        <v/>
      </c>
      <c r="O3957" s="13" t="str">
        <f t="shared" si="1"/>
        <v/>
      </c>
    </row>
    <row r="3958" ht="22.5" customHeight="1">
      <c r="B3958" s="13">
        <f>IFERROR(__xludf.DUMMYFUNCTION("""COMPUTED_VALUE"""),3953.0)</f>
        <v>3953</v>
      </c>
      <c r="C3958" s="13" t="str">
        <f>IFERROR(__xludf.DUMMYFUNCTION("""COMPUTED_VALUE"""),"M 2022/ KALI BALAU KENCANA")</f>
        <v>M 2022/ KALI BALAU KENCANA</v>
      </c>
      <c r="D3958" s="13" t="str">
        <f>IFERROR(__xludf.DUMMYFUNCTION("""COMPUTED_VALUE"""),"K/34/150925/1")</f>
        <v>K/34/150925/1</v>
      </c>
      <c r="E3958" s="14" t="str">
        <f>IFERROR(__xludf.DUMMYFUNCTION("""COMPUTED_VALUE"""),"Admin (Migrasi)")</f>
        <v>Admin (Migrasi)</v>
      </c>
      <c r="F3958" s="14" t="str">
        <f>IFERROR(__xludf.DUMMYFUNCTION("""COMPUTED_VALUE"""),"SELESAI (VIA PERMOHONAN)")</f>
        <v>SELESAI (VIA PERMOHONAN)</v>
      </c>
      <c r="G3958" s="17">
        <f>IFERROR(__xludf.DUMMYFUNCTION("""COMPUTED_VALUE"""),45936.405589456015)</f>
        <v>45936.40559</v>
      </c>
      <c r="H3958" s="14" t="str">
        <f>IFERROR(__xludf.DUMMYFUNCTION("""COMPUTED_VALUE"""),"Admin (Migrasi)")</f>
        <v>Admin (Migrasi)</v>
      </c>
      <c r="I3958" s="13" t="str">
        <f>IFERROR(__xludf.DUMMYFUNCTION("""COMPUTED_VALUE"""),"SELESAI (VIA PERMOHONAN)")</f>
        <v>SELESAI (VIA PERMOHONAN)</v>
      </c>
      <c r="J3958" s="17">
        <f>IFERROR(__xludf.DUMMYFUNCTION("""COMPUTED_VALUE"""),45936.40563032407)</f>
        <v>45936.40563</v>
      </c>
      <c r="K3958" s="13" t="str">
        <f>IFERROR(__xludf.DUMMYFUNCTION("""COMPUTED_VALUE"""),"Selesai")</f>
        <v>Selesai</v>
      </c>
      <c r="L3958" s="17">
        <f>IFERROR(__xludf.DUMMYFUNCTION("""COMPUTED_VALUE"""),45936.40563032407)</f>
        <v>45936.40563</v>
      </c>
      <c r="M3958" s="13"/>
      <c r="N3958" s="13" t="str">
        <f>IFERROR(__xludf.DUMMYFUNCTION("""COMPUTED_VALUE"""),"")</f>
        <v/>
      </c>
      <c r="O3958" s="13" t="str">
        <f t="shared" si="1"/>
        <v/>
      </c>
    </row>
    <row r="3959" ht="22.5" customHeight="1">
      <c r="B3959" s="13">
        <f>IFERROR(__xludf.DUMMYFUNCTION("""COMPUTED_VALUE"""),3954.0)</f>
        <v>3954</v>
      </c>
      <c r="C3959" s="13" t="str">
        <f>IFERROR(__xludf.DUMMYFUNCTION("""COMPUTED_VALUE"""),"B. 1573/WAY HALIM PERMAI")</f>
        <v>B. 1573/WAY HALIM PERMAI</v>
      </c>
      <c r="D3959" s="13" t="str">
        <f>IFERROR(__xludf.DUMMYFUNCTION("""COMPUTED_VALUE"""),"K/50/220825/3")</f>
        <v>K/50/220825/3</v>
      </c>
      <c r="E3959" s="14" t="str">
        <f>IFERROR(__xludf.DUMMYFUNCTION("""COMPUTED_VALUE"""),"Admin (Migrasi)")</f>
        <v>Admin (Migrasi)</v>
      </c>
      <c r="F3959" s="14" t="str">
        <f>IFERROR(__xludf.DUMMYFUNCTION("""COMPUTED_VALUE"""),"SELESAI (VIA PERMOHONAN)")</f>
        <v>SELESAI (VIA PERMOHONAN)</v>
      </c>
      <c r="G3959" s="17">
        <f>IFERROR(__xludf.DUMMYFUNCTION("""COMPUTED_VALUE"""),45936.41882944445)</f>
        <v>45936.41883</v>
      </c>
      <c r="H3959" s="14" t="str">
        <f>IFERROR(__xludf.DUMMYFUNCTION("""COMPUTED_VALUE"""),"Admin (Migrasi)")</f>
        <v>Admin (Migrasi)</v>
      </c>
      <c r="I3959" s="13" t="str">
        <f>IFERROR(__xludf.DUMMYFUNCTION("""COMPUTED_VALUE"""),"SELESAI (VIA PERMOHONAN)")</f>
        <v>SELESAI (VIA PERMOHONAN)</v>
      </c>
      <c r="J3959" s="17">
        <f>IFERROR(__xludf.DUMMYFUNCTION("""COMPUTED_VALUE"""),45936.41885587963)</f>
        <v>45936.41886</v>
      </c>
      <c r="K3959" s="13" t="str">
        <f>IFERROR(__xludf.DUMMYFUNCTION("""COMPUTED_VALUE"""),"Selesai")</f>
        <v>Selesai</v>
      </c>
      <c r="L3959" s="17">
        <f>IFERROR(__xludf.DUMMYFUNCTION("""COMPUTED_VALUE"""),45936.41885587963)</f>
        <v>45936.41886</v>
      </c>
      <c r="M3959" s="13"/>
      <c r="N3959" s="13" t="str">
        <f>IFERROR(__xludf.DUMMYFUNCTION("""COMPUTED_VALUE"""),"")</f>
        <v/>
      </c>
      <c r="O3959" s="13" t="str">
        <f t="shared" si="1"/>
        <v/>
      </c>
    </row>
    <row r="3960" ht="22.5" customHeight="1">
      <c r="B3960" s="13">
        <f>IFERROR(__xludf.DUMMYFUNCTION("""COMPUTED_VALUE"""),3955.0)</f>
        <v>3955</v>
      </c>
      <c r="C3960" s="13" t="str">
        <f>IFERROR(__xludf.DUMMYFUNCTION("""COMPUTED_VALUE"""),"B 57/ PINANG JAYA")</f>
        <v>B 57/ PINANG JAYA</v>
      </c>
      <c r="D3960" s="13" t="str">
        <f>IFERROR(__xludf.DUMMYFUNCTION("""COMPUTED_VALUE"""),"K/7/030925/3")</f>
        <v>K/7/030925/3</v>
      </c>
      <c r="E3960" s="14" t="str">
        <f>IFERROR(__xludf.DUMMYFUNCTION("""COMPUTED_VALUE"""),"Admin (Migrasi)")</f>
        <v>Admin (Migrasi)</v>
      </c>
      <c r="F3960" s="14" t="str">
        <f>IFERROR(__xludf.DUMMYFUNCTION("""COMPUTED_VALUE"""),"SELESAI (VIA PERMOHONAN)")</f>
        <v>SELESAI (VIA PERMOHONAN)</v>
      </c>
      <c r="G3960" s="17">
        <f>IFERROR(__xludf.DUMMYFUNCTION("""COMPUTED_VALUE"""),45936.46273988426)</f>
        <v>45936.46274</v>
      </c>
      <c r="H3960" s="14" t="str">
        <f>IFERROR(__xludf.DUMMYFUNCTION("""COMPUTED_VALUE"""),"Admin (Migrasi)")</f>
        <v>Admin (Migrasi)</v>
      </c>
      <c r="I3960" s="13" t="str">
        <f>IFERROR(__xludf.DUMMYFUNCTION("""COMPUTED_VALUE"""),"SELESAI (VIA PERMOHONAN)")</f>
        <v>SELESAI (VIA PERMOHONAN)</v>
      </c>
      <c r="J3960" s="17">
        <f>IFERROR(__xludf.DUMMYFUNCTION("""COMPUTED_VALUE"""),45936.462767164354)</f>
        <v>45936.46277</v>
      </c>
      <c r="K3960" s="13" t="str">
        <f>IFERROR(__xludf.DUMMYFUNCTION("""COMPUTED_VALUE"""),"Selesai")</f>
        <v>Selesai</v>
      </c>
      <c r="L3960" s="17">
        <f>IFERROR(__xludf.DUMMYFUNCTION("""COMPUTED_VALUE"""),45936.462767164354)</f>
        <v>45936.46277</v>
      </c>
      <c r="M3960" s="13"/>
      <c r="N3960" s="13" t="str">
        <f>IFERROR(__xludf.DUMMYFUNCTION("""COMPUTED_VALUE"""),"")</f>
        <v/>
      </c>
      <c r="O3960" s="13" t="str">
        <f t="shared" si="1"/>
        <v/>
      </c>
    </row>
    <row r="3961" ht="22.5" customHeight="1">
      <c r="B3961" s="13">
        <f>IFERROR(__xludf.DUMMYFUNCTION("""COMPUTED_VALUE"""),3956.0)</f>
        <v>3956</v>
      </c>
      <c r="C3961" s="13" t="str">
        <f>IFERROR(__xludf.DUMMYFUNCTION("""COMPUTED_VALUE"""),"B 36/ RAJABASA NUNYAI")</f>
        <v>B 36/ RAJABASA NUNYAI</v>
      </c>
      <c r="D3961" s="13" t="str">
        <f>IFERROR(__xludf.DUMMYFUNCTION("""COMPUTED_VALUE"""),"K/8/030925/4")</f>
        <v>K/8/030925/4</v>
      </c>
      <c r="E3961" s="14" t="str">
        <f>IFERROR(__xludf.DUMMYFUNCTION("""COMPUTED_VALUE"""),"Admin (Migrasi)")</f>
        <v>Admin (Migrasi)</v>
      </c>
      <c r="F3961" s="14" t="str">
        <f>IFERROR(__xludf.DUMMYFUNCTION("""COMPUTED_VALUE"""),"SELESAI (VIA PERMOHONAN)")</f>
        <v>SELESAI (VIA PERMOHONAN)</v>
      </c>
      <c r="G3961" s="17">
        <f>IFERROR(__xludf.DUMMYFUNCTION("""COMPUTED_VALUE"""),45936.463464456014)</f>
        <v>45936.46346</v>
      </c>
      <c r="H3961" s="14" t="str">
        <f>IFERROR(__xludf.DUMMYFUNCTION("""COMPUTED_VALUE"""),"Admin (Migrasi)")</f>
        <v>Admin (Migrasi)</v>
      </c>
      <c r="I3961" s="13" t="str">
        <f>IFERROR(__xludf.DUMMYFUNCTION("""COMPUTED_VALUE"""),"SELESAI (VIA PERMOHONAN)")</f>
        <v>SELESAI (VIA PERMOHONAN)</v>
      </c>
      <c r="J3961" s="17">
        <f>IFERROR(__xludf.DUMMYFUNCTION("""COMPUTED_VALUE"""),45936.46349383102)</f>
        <v>45936.46349</v>
      </c>
      <c r="K3961" s="13" t="str">
        <f>IFERROR(__xludf.DUMMYFUNCTION("""COMPUTED_VALUE"""),"Selesai")</f>
        <v>Selesai</v>
      </c>
      <c r="L3961" s="17">
        <f>IFERROR(__xludf.DUMMYFUNCTION("""COMPUTED_VALUE"""),45936.46349383102)</f>
        <v>45936.46349</v>
      </c>
      <c r="M3961" s="13"/>
      <c r="N3961" s="13" t="str">
        <f>IFERROR(__xludf.DUMMYFUNCTION("""COMPUTED_VALUE"""),"")</f>
        <v/>
      </c>
      <c r="O3961" s="13" t="str">
        <f t="shared" si="1"/>
        <v/>
      </c>
    </row>
    <row r="3962" ht="22.5" customHeight="1">
      <c r="B3962" s="13">
        <f>IFERROR(__xludf.DUMMYFUNCTION("""COMPUTED_VALUE"""),3957.0)</f>
        <v>3957</v>
      </c>
      <c r="C3962" s="13" t="str">
        <f>IFERROR(__xludf.DUMMYFUNCTION("""COMPUTED_VALUE"""),"M 13705/ SEGALA MIDER")</f>
        <v>M 13705/ SEGALA MIDER</v>
      </c>
      <c r="D3962" s="13" t="str">
        <f>IFERROR(__xludf.DUMMYFUNCTION("""COMPUTED_VALUE"""),"K/39/040925/1")</f>
        <v>K/39/040925/1</v>
      </c>
      <c r="E3962" s="14" t="str">
        <f>IFERROR(__xludf.DUMMYFUNCTION("""COMPUTED_VALUE"""),"Admin (Migrasi)")</f>
        <v>Admin (Migrasi)</v>
      </c>
      <c r="F3962" s="14" t="str">
        <f>IFERROR(__xludf.DUMMYFUNCTION("""COMPUTED_VALUE"""),"SELESAI (VIA PERMOHONAN)")</f>
        <v>SELESAI (VIA PERMOHONAN)</v>
      </c>
      <c r="G3962" s="17">
        <f>IFERROR(__xludf.DUMMYFUNCTION("""COMPUTED_VALUE"""),45936.46367618056)</f>
        <v>45936.46368</v>
      </c>
      <c r="H3962" s="14" t="str">
        <f>IFERROR(__xludf.DUMMYFUNCTION("""COMPUTED_VALUE"""),"Admin (Migrasi)")</f>
        <v>Admin (Migrasi)</v>
      </c>
      <c r="I3962" s="13" t="str">
        <f>IFERROR(__xludf.DUMMYFUNCTION("""COMPUTED_VALUE"""),"SELESAI (VIA PERMOHONAN)")</f>
        <v>SELESAI (VIA PERMOHONAN)</v>
      </c>
      <c r="J3962" s="17">
        <f>IFERROR(__xludf.DUMMYFUNCTION("""COMPUTED_VALUE"""),45936.46371778935)</f>
        <v>45936.46372</v>
      </c>
      <c r="K3962" s="13" t="str">
        <f>IFERROR(__xludf.DUMMYFUNCTION("""COMPUTED_VALUE"""),"Selesai")</f>
        <v>Selesai</v>
      </c>
      <c r="L3962" s="17">
        <f>IFERROR(__xludf.DUMMYFUNCTION("""COMPUTED_VALUE"""),45936.46371778935)</f>
        <v>45936.46372</v>
      </c>
      <c r="M3962" s="13"/>
      <c r="N3962" s="13" t="str">
        <f>IFERROR(__xludf.DUMMYFUNCTION("""COMPUTED_VALUE"""),"")</f>
        <v/>
      </c>
      <c r="O3962" s="13" t="str">
        <f t="shared" si="1"/>
        <v/>
      </c>
    </row>
    <row r="3963" ht="22.5" customHeight="1">
      <c r="B3963" s="13">
        <f>IFERROR(__xludf.DUMMYFUNCTION("""COMPUTED_VALUE"""),3958.0)</f>
        <v>3958</v>
      </c>
      <c r="C3963" s="13" t="str">
        <f>IFERROR(__xludf.DUMMYFUNCTION("""COMPUTED_VALUE"""),"M 969/ RAWA LAUT")</f>
        <v>M 969/ RAWA LAUT</v>
      </c>
      <c r="D3963" s="13" t="str">
        <f>IFERROR(__xludf.DUMMYFUNCTION("""COMPUTED_VALUE"""),"K/36/020925/2")</f>
        <v>K/36/020925/2</v>
      </c>
      <c r="E3963" s="14" t="str">
        <f>IFERROR(__xludf.DUMMYFUNCTION("""COMPUTED_VALUE"""),"Admin (Migrasi)")</f>
        <v>Admin (Migrasi)</v>
      </c>
      <c r="F3963" s="14" t="str">
        <f>IFERROR(__xludf.DUMMYFUNCTION("""COMPUTED_VALUE"""),"SELESAI (VIA PERMOHONAN)")</f>
        <v>SELESAI (VIA PERMOHONAN)</v>
      </c>
      <c r="G3963" s="17">
        <f>IFERROR(__xludf.DUMMYFUNCTION("""COMPUTED_VALUE"""),45936.54448643519)</f>
        <v>45936.54449</v>
      </c>
      <c r="H3963" s="14" t="str">
        <f>IFERROR(__xludf.DUMMYFUNCTION("""COMPUTED_VALUE"""),"Admin (Migrasi)")</f>
        <v>Admin (Migrasi)</v>
      </c>
      <c r="I3963" s="13" t="str">
        <f>IFERROR(__xludf.DUMMYFUNCTION("""COMPUTED_VALUE"""),"SELESAI (VIA PERMOHONAN)")</f>
        <v>SELESAI (VIA PERMOHONAN)</v>
      </c>
      <c r="J3963" s="17">
        <f>IFERROR(__xludf.DUMMYFUNCTION("""COMPUTED_VALUE"""),45936.54452923611)</f>
        <v>45936.54453</v>
      </c>
      <c r="K3963" s="13" t="str">
        <f>IFERROR(__xludf.DUMMYFUNCTION("""COMPUTED_VALUE"""),"Selesai")</f>
        <v>Selesai</v>
      </c>
      <c r="L3963" s="17">
        <f>IFERROR(__xludf.DUMMYFUNCTION("""COMPUTED_VALUE"""),45936.54452923611)</f>
        <v>45936.54453</v>
      </c>
      <c r="M3963" s="13"/>
      <c r="N3963" s="13" t="str">
        <f>IFERROR(__xludf.DUMMYFUNCTION("""COMPUTED_VALUE"""),"")</f>
        <v/>
      </c>
      <c r="O3963" s="13" t="str">
        <f t="shared" si="1"/>
        <v/>
      </c>
    </row>
    <row r="3964" ht="22.5" customHeight="1">
      <c r="B3964" s="13">
        <f>IFERROR(__xludf.DUMMYFUNCTION("""COMPUTED_VALUE"""),3959.0)</f>
        <v>3959</v>
      </c>
      <c r="C3964" s="13" t="str">
        <f>IFERROR(__xludf.DUMMYFUNCTION("""COMPUTED_VALUE"""),"M.6131/SURABAYA")</f>
        <v>M.6131/SURABAYA</v>
      </c>
      <c r="D3964" s="13" t="str">
        <f>IFERROR(__xludf.DUMMYFUNCTION("""COMPUTED_VALUE"""),"L/1/230925/1")</f>
        <v>L/1/230925/1</v>
      </c>
      <c r="E3964" s="14" t="str">
        <f>IFERROR(__xludf.DUMMYFUNCTION("""COMPUTED_VALUE"""),"Heri (BT)")</f>
        <v>Heri (BT)</v>
      </c>
      <c r="F3964" s="14" t="str">
        <f>IFERROR(__xludf.DUMMYFUNCTION("""COMPUTED_VALUE"""),"SELESAI (VIA PERMOHONAN)")</f>
        <v>SELESAI (VIA PERMOHONAN)</v>
      </c>
      <c r="G3964" s="17">
        <f>IFERROR(__xludf.DUMMYFUNCTION("""COMPUTED_VALUE"""),45936.78032797454)</f>
        <v>45936.78033</v>
      </c>
      <c r="H3964" s="14" t="str">
        <f>IFERROR(__xludf.DUMMYFUNCTION("""COMPUTED_VALUE"""),"Eci (SU)")</f>
        <v>Eci (SU)</v>
      </c>
      <c r="I3964" s="13" t="str">
        <f>IFERROR(__xludf.DUMMYFUNCTION("""COMPUTED_VALUE"""),"SELESAI (VIA PERMOHONAN)")</f>
        <v>SELESAI (VIA PERMOHONAN)</v>
      </c>
      <c r="J3964" s="17">
        <f>IFERROR(__xludf.DUMMYFUNCTION("""COMPUTED_VALUE"""),45939.631455462964)</f>
        <v>45939.63146</v>
      </c>
      <c r="K3964" s="13" t="str">
        <f>IFERROR(__xludf.DUMMYFUNCTION("""COMPUTED_VALUE"""),"Selesai")</f>
        <v>Selesai</v>
      </c>
      <c r="L3964" s="17">
        <f>IFERROR(__xludf.DUMMYFUNCTION("""COMPUTED_VALUE"""),45939.631455462964)</f>
        <v>45939.63146</v>
      </c>
      <c r="M3964" s="13"/>
      <c r="N3964" s="13" t="str">
        <f>IFERROR(__xludf.DUMMYFUNCTION("""COMPUTED_VALUE"""),"")</f>
        <v/>
      </c>
      <c r="O3964" s="13" t="str">
        <f t="shared" si="1"/>
        <v/>
      </c>
    </row>
    <row r="3965" ht="22.5" customHeight="1">
      <c r="B3965" s="13">
        <f>IFERROR(__xludf.DUMMYFUNCTION("""COMPUTED_VALUE"""),3960.0)</f>
        <v>3960</v>
      </c>
      <c r="C3965" s="13" t="str">
        <f>IFERROR(__xludf.DUMMYFUNCTION("""COMPUTED_VALUE"""),"M 250/ JAGABAYA III")</f>
        <v>M 250/ JAGABAYA III</v>
      </c>
      <c r="D3965" s="13" t="str">
        <f>IFERROR(__xludf.DUMMYFUNCTION("""COMPUTED_VALUE"""),"K/9/290925/1")</f>
        <v>K/9/290925/1</v>
      </c>
      <c r="E3965" s="14" t="str">
        <f>IFERROR(__xludf.DUMMYFUNCTION("""COMPUTED_VALUE"""),"Heri (BT)")</f>
        <v>Heri (BT)</v>
      </c>
      <c r="F3965" s="14" t="str">
        <f>IFERROR(__xludf.DUMMYFUNCTION("""COMPUTED_VALUE"""),"SELESAI (VIA PERMOHONAN)")</f>
        <v>SELESAI (VIA PERMOHONAN)</v>
      </c>
      <c r="G3965" s="17">
        <f>IFERROR(__xludf.DUMMYFUNCTION("""COMPUTED_VALUE"""),45936.780627939814)</f>
        <v>45936.78063</v>
      </c>
      <c r="H3965" s="14" t="str">
        <f>IFERROR(__xludf.DUMMYFUNCTION("""COMPUTED_VALUE"""),"Eci (SU)")</f>
        <v>Eci (SU)</v>
      </c>
      <c r="I3965" s="13" t="str">
        <f>IFERROR(__xludf.DUMMYFUNCTION("""COMPUTED_VALUE"""),"SELESAI (VIA PERMOHONAN)")</f>
        <v>SELESAI (VIA PERMOHONAN)</v>
      </c>
      <c r="J3965" s="17">
        <f>IFERROR(__xludf.DUMMYFUNCTION("""COMPUTED_VALUE"""),45939.64074398148)</f>
        <v>45939.64074</v>
      </c>
      <c r="K3965" s="13" t="str">
        <f>IFERROR(__xludf.DUMMYFUNCTION("""COMPUTED_VALUE"""),"Selesai")</f>
        <v>Selesai</v>
      </c>
      <c r="L3965" s="17">
        <f>IFERROR(__xludf.DUMMYFUNCTION("""COMPUTED_VALUE"""),45939.64074398148)</f>
        <v>45939.64074</v>
      </c>
      <c r="M3965" s="13"/>
      <c r="N3965" s="13" t="str">
        <f>IFERROR(__xludf.DUMMYFUNCTION("""COMPUTED_VALUE"""),"")</f>
        <v/>
      </c>
      <c r="O3965" s="13" t="str">
        <f t="shared" si="1"/>
        <v/>
      </c>
    </row>
    <row r="3966" ht="22.5" customHeight="1">
      <c r="B3966" s="13">
        <f>IFERROR(__xludf.DUMMYFUNCTION("""COMPUTED_VALUE"""),3961.0)</f>
        <v>3961</v>
      </c>
      <c r="C3966" s="13" t="str">
        <f>IFERROR(__xludf.DUMMYFUNCTION("""COMPUTED_VALUE"""),"B. 1229/Sukabumi Indah	")</f>
        <v>B. 1229/Sukabumi Indah	</v>
      </c>
      <c r="D3966" s="13" t="str">
        <f>IFERROR(__xludf.DUMMYFUNCTION("""COMPUTED_VALUE"""),"K/19/260926/1")</f>
        <v>K/19/260926/1</v>
      </c>
      <c r="E3966" s="14" t="str">
        <f>IFERROR(__xludf.DUMMYFUNCTION("""COMPUTED_VALUE"""),"Heri (BT)")</f>
        <v>Heri (BT)</v>
      </c>
      <c r="F3966" s="14" t="str">
        <f>IFERROR(__xludf.DUMMYFUNCTION("""COMPUTED_VALUE"""),"SELESAI (VIA PERMOHONAN)")</f>
        <v>SELESAI (VIA PERMOHONAN)</v>
      </c>
      <c r="G3966" s="17">
        <f>IFERROR(__xludf.DUMMYFUNCTION("""COMPUTED_VALUE"""),45936.78075534722)</f>
        <v>45936.78076</v>
      </c>
      <c r="H3966" s="14" t="str">
        <f>IFERROR(__xludf.DUMMYFUNCTION("""COMPUTED_VALUE"""),"Eci (SU)")</f>
        <v>Eci (SU)</v>
      </c>
      <c r="I3966" s="13" t="str">
        <f>IFERROR(__xludf.DUMMYFUNCTION("""COMPUTED_VALUE"""),"SELESAI (VIA PERMOHONAN)")</f>
        <v>SELESAI (VIA PERMOHONAN)</v>
      </c>
      <c r="J3966" s="17">
        <f>IFERROR(__xludf.DUMMYFUNCTION("""COMPUTED_VALUE"""),45939.62996068287)</f>
        <v>45939.62996</v>
      </c>
      <c r="K3966" s="13" t="str">
        <f>IFERROR(__xludf.DUMMYFUNCTION("""COMPUTED_VALUE"""),"Selesai")</f>
        <v>Selesai</v>
      </c>
      <c r="L3966" s="17">
        <f>IFERROR(__xludf.DUMMYFUNCTION("""COMPUTED_VALUE"""),45939.62996068287)</f>
        <v>45939.62996</v>
      </c>
      <c r="M3966" s="13"/>
      <c r="N3966" s="13" t="str">
        <f>IFERROR(__xludf.DUMMYFUNCTION("""COMPUTED_VALUE"""),"")</f>
        <v/>
      </c>
      <c r="O3966" s="13" t="str">
        <f t="shared" si="1"/>
        <v/>
      </c>
    </row>
    <row r="3967" ht="22.5" customHeight="1">
      <c r="B3967" s="13">
        <f>IFERROR(__xludf.DUMMYFUNCTION("""COMPUTED_VALUE"""),3962.0)</f>
        <v>3962</v>
      </c>
      <c r="C3967" s="13" t="str">
        <f>IFERROR(__xludf.DUMMYFUNCTION("""COMPUTED_VALUE"""),"M. 13032/Rajabasa")</f>
        <v>M. 13032/Rajabasa</v>
      </c>
      <c r="D3967" s="13" t="str">
        <f>IFERROR(__xludf.DUMMYFUNCTION("""COMPUTED_VALUE"""),"K/5/260925/1")</f>
        <v>K/5/260925/1</v>
      </c>
      <c r="E3967" s="14" t="str">
        <f>IFERROR(__xludf.DUMMYFUNCTION("""COMPUTED_VALUE"""),"Heri (BT)")</f>
        <v>Heri (BT)</v>
      </c>
      <c r="F3967" s="14" t="str">
        <f>IFERROR(__xludf.DUMMYFUNCTION("""COMPUTED_VALUE"""),"SELESAI (VIA PERMOHONAN)")</f>
        <v>SELESAI (VIA PERMOHONAN)</v>
      </c>
      <c r="G3967" s="17">
        <f>IFERROR(__xludf.DUMMYFUNCTION("""COMPUTED_VALUE"""),45936.78088844907)</f>
        <v>45936.78089</v>
      </c>
      <c r="H3967" s="14" t="str">
        <f>IFERROR(__xludf.DUMMYFUNCTION("""COMPUTED_VALUE"""),"Eci (SU)")</f>
        <v>Eci (SU)</v>
      </c>
      <c r="I3967" s="13" t="str">
        <f>IFERROR(__xludf.DUMMYFUNCTION("""COMPUTED_VALUE"""),"SELESAI (VIA PERMOHONAN)")</f>
        <v>SELESAI (VIA PERMOHONAN)</v>
      </c>
      <c r="J3967" s="17">
        <f>IFERROR(__xludf.DUMMYFUNCTION("""COMPUTED_VALUE"""),45939.63369188657)</f>
        <v>45939.63369</v>
      </c>
      <c r="K3967" s="13" t="str">
        <f>IFERROR(__xludf.DUMMYFUNCTION("""COMPUTED_VALUE"""),"Selesai")</f>
        <v>Selesai</v>
      </c>
      <c r="L3967" s="17">
        <f>IFERROR(__xludf.DUMMYFUNCTION("""COMPUTED_VALUE"""),45939.63369188657)</f>
        <v>45939.63369</v>
      </c>
      <c r="M3967" s="13"/>
      <c r="N3967" s="13" t="str">
        <f>IFERROR(__xludf.DUMMYFUNCTION("""COMPUTED_VALUE"""),"")</f>
        <v/>
      </c>
      <c r="O3967" s="13" t="str">
        <f t="shared" si="1"/>
        <v/>
      </c>
    </row>
    <row r="3968" ht="22.5" customHeight="1">
      <c r="B3968" s="13">
        <f>IFERROR(__xludf.DUMMYFUNCTION("""COMPUTED_VALUE"""),3963.0)</f>
        <v>3963</v>
      </c>
      <c r="C3968" s="13" t="str">
        <f>IFERROR(__xludf.DUMMYFUNCTION("""COMPUTED_VALUE"""),"M. 9080/SUKARAME")</f>
        <v>M. 9080/SUKARAME</v>
      </c>
      <c r="D3968" s="13" t="str">
        <f>IFERROR(__xludf.DUMMYFUNCTION("""COMPUTED_VALUE"""),"L/2/110925/1")</f>
        <v>L/2/110925/1</v>
      </c>
      <c r="E3968" s="14" t="str">
        <f>IFERROR(__xludf.DUMMYFUNCTION("""COMPUTED_VALUE"""),"Heri (BT)")</f>
        <v>Heri (BT)</v>
      </c>
      <c r="F3968" s="14" t="str">
        <f>IFERROR(__xludf.DUMMYFUNCTION("""COMPUTED_VALUE"""),"SELESAI (VIA PERMOHONAN)")</f>
        <v>SELESAI (VIA PERMOHONAN)</v>
      </c>
      <c r="G3968" s="17">
        <f>IFERROR(__xludf.DUMMYFUNCTION("""COMPUTED_VALUE"""),45936.781067986114)</f>
        <v>45936.78107</v>
      </c>
      <c r="H3968" s="14" t="str">
        <f>IFERROR(__xludf.DUMMYFUNCTION("""COMPUTED_VALUE"""),"Eci (SU)")</f>
        <v>Eci (SU)</v>
      </c>
      <c r="I3968" s="13" t="str">
        <f>IFERROR(__xludf.DUMMYFUNCTION("""COMPUTED_VALUE"""),"SELESAI (VIA PERMOHONAN)")</f>
        <v>SELESAI (VIA PERMOHONAN)</v>
      </c>
      <c r="J3968" s="17">
        <f>IFERROR(__xludf.DUMMYFUNCTION("""COMPUTED_VALUE"""),45939.62956109954)</f>
        <v>45939.62956</v>
      </c>
      <c r="K3968" s="13" t="str">
        <f>IFERROR(__xludf.DUMMYFUNCTION("""COMPUTED_VALUE"""),"Selesai")</f>
        <v>Selesai</v>
      </c>
      <c r="L3968" s="17">
        <f>IFERROR(__xludf.DUMMYFUNCTION("""COMPUTED_VALUE"""),45939.62956109954)</f>
        <v>45939.62956</v>
      </c>
      <c r="M3968" s="13"/>
      <c r="N3968" s="13" t="str">
        <f>IFERROR(__xludf.DUMMYFUNCTION("""COMPUTED_VALUE"""),"")</f>
        <v/>
      </c>
      <c r="O3968" s="13" t="str">
        <f t="shared" si="1"/>
        <v/>
      </c>
    </row>
    <row r="3969" ht="22.5" customHeight="1">
      <c r="B3969" s="13">
        <f>IFERROR(__xludf.DUMMYFUNCTION("""COMPUTED_VALUE"""),3964.0)</f>
        <v>3964</v>
      </c>
      <c r="C3969" s="13" t="str">
        <f>IFERROR(__xludf.DUMMYFUNCTION("""COMPUTED_VALUE"""),"B.219/GEDUNG MENENG")</f>
        <v>B.219/GEDUNG MENENG</v>
      </c>
      <c r="D3969" s="13" t="str">
        <f>IFERROR(__xludf.DUMMYFUNCTION("""COMPUTED_VALUE"""),"L/10/290925/1")</f>
        <v>L/10/290925/1</v>
      </c>
      <c r="E3969" s="14" t="str">
        <f>IFERROR(__xludf.DUMMYFUNCTION("""COMPUTED_VALUE"""),"Heri (BT)")</f>
        <v>Heri (BT)</v>
      </c>
      <c r="F3969" s="14" t="str">
        <f>IFERROR(__xludf.DUMMYFUNCTION("""COMPUTED_VALUE"""),"SELESAI (VIA PERMOHONAN)")</f>
        <v>SELESAI (VIA PERMOHONAN)</v>
      </c>
      <c r="G3969" s="17">
        <f>IFERROR(__xludf.DUMMYFUNCTION("""COMPUTED_VALUE"""),45936.78120228009)</f>
        <v>45936.7812</v>
      </c>
      <c r="H3969" s="14" t="str">
        <f>IFERROR(__xludf.DUMMYFUNCTION("""COMPUTED_VALUE"""),"Eci (SU)")</f>
        <v>Eci (SU)</v>
      </c>
      <c r="I3969" s="13" t="str">
        <f>IFERROR(__xludf.DUMMYFUNCTION("""COMPUTED_VALUE"""),"SELESAI (VIA PERMOHONAN)")</f>
        <v>SELESAI (VIA PERMOHONAN)</v>
      </c>
      <c r="J3969" s="17">
        <f>IFERROR(__xludf.DUMMYFUNCTION("""COMPUTED_VALUE"""),45939.63245377315)</f>
        <v>45939.63245</v>
      </c>
      <c r="K3969" s="13" t="str">
        <f>IFERROR(__xludf.DUMMYFUNCTION("""COMPUTED_VALUE"""),"Selesai")</f>
        <v>Selesai</v>
      </c>
      <c r="L3969" s="17">
        <f>IFERROR(__xludf.DUMMYFUNCTION("""COMPUTED_VALUE"""),45939.63245377315)</f>
        <v>45939.63245</v>
      </c>
      <c r="M3969" s="13"/>
      <c r="N3969" s="13" t="str">
        <f>IFERROR(__xludf.DUMMYFUNCTION("""COMPUTED_VALUE"""),"")</f>
        <v/>
      </c>
      <c r="O3969" s="13" t="str">
        <f t="shared" si="1"/>
        <v/>
      </c>
    </row>
    <row r="3970" ht="22.5" customHeight="1">
      <c r="B3970" s="13">
        <f>IFERROR(__xludf.DUMMYFUNCTION("""COMPUTED_VALUE"""),3965.0)</f>
        <v>3965</v>
      </c>
      <c r="C3970" s="13" t="str">
        <f>IFERROR(__xludf.DUMMYFUNCTION("""COMPUTED_VALUE"""),"SHGB 636/NUSANTARA PERMAI")</f>
        <v>SHGB 636/NUSANTARA PERMAI</v>
      </c>
      <c r="D3970" s="13" t="str">
        <f>IFERROR(__xludf.DUMMYFUNCTION("""COMPUTED_VALUE"""),"L/22/250925/1")</f>
        <v>L/22/250925/1</v>
      </c>
      <c r="E3970" s="14" t="str">
        <f>IFERROR(__xludf.DUMMYFUNCTION("""COMPUTED_VALUE"""),"Heri (BT)")</f>
        <v>Heri (BT)</v>
      </c>
      <c r="F3970" s="14" t="str">
        <f>IFERROR(__xludf.DUMMYFUNCTION("""COMPUTED_VALUE"""),"SELESAI (VIA PERMOHONAN)")</f>
        <v>SELESAI (VIA PERMOHONAN)</v>
      </c>
      <c r="G3970" s="17">
        <f>IFERROR(__xludf.DUMMYFUNCTION("""COMPUTED_VALUE"""),45936.78131177083)</f>
        <v>45936.78131</v>
      </c>
      <c r="H3970" s="14" t="str">
        <f>IFERROR(__xludf.DUMMYFUNCTION("""COMPUTED_VALUE"""),"Eci (SU)")</f>
        <v>Eci (SU)</v>
      </c>
      <c r="I3970" s="13" t="str">
        <f>IFERROR(__xludf.DUMMYFUNCTION("""COMPUTED_VALUE"""),"SELESAI (VIA PERMOHONAN)")</f>
        <v>SELESAI (VIA PERMOHONAN)</v>
      </c>
      <c r="J3970" s="17">
        <f>IFERROR(__xludf.DUMMYFUNCTION("""COMPUTED_VALUE"""),45939.6308671875)</f>
        <v>45939.63087</v>
      </c>
      <c r="K3970" s="13" t="str">
        <f>IFERROR(__xludf.DUMMYFUNCTION("""COMPUTED_VALUE"""),"Selesai")</f>
        <v>Selesai</v>
      </c>
      <c r="L3970" s="17">
        <f>IFERROR(__xludf.DUMMYFUNCTION("""COMPUTED_VALUE"""),45939.6308671875)</f>
        <v>45939.63087</v>
      </c>
      <c r="M3970" s="13"/>
      <c r="N3970" s="13" t="str">
        <f>IFERROR(__xludf.DUMMYFUNCTION("""COMPUTED_VALUE"""),"")</f>
        <v/>
      </c>
      <c r="O3970" s="13" t="str">
        <f t="shared" si="1"/>
        <v/>
      </c>
    </row>
    <row r="3971" ht="22.5" customHeight="1">
      <c r="B3971" s="13">
        <f>IFERROR(__xludf.DUMMYFUNCTION("""COMPUTED_VALUE"""),3966.0)</f>
        <v>3966</v>
      </c>
      <c r="C3971" s="13" t="str">
        <f>IFERROR(__xludf.DUMMYFUNCTION("""COMPUTED_VALUE"""),"SHGB. 635/NUSANTARA PERMAI")</f>
        <v>SHGB. 635/NUSANTARA PERMAI</v>
      </c>
      <c r="D3971" s="13" t="str">
        <f>IFERROR(__xludf.DUMMYFUNCTION("""COMPUTED_VALUE"""),"L/23/250925/2")</f>
        <v>L/23/250925/2</v>
      </c>
      <c r="E3971" s="14" t="str">
        <f>IFERROR(__xludf.DUMMYFUNCTION("""COMPUTED_VALUE"""),"Heri (BT)")</f>
        <v>Heri (BT)</v>
      </c>
      <c r="F3971" s="14" t="str">
        <f>IFERROR(__xludf.DUMMYFUNCTION("""COMPUTED_VALUE"""),"SELESAI (VIA PERMOHONAN)")</f>
        <v>SELESAI (VIA PERMOHONAN)</v>
      </c>
      <c r="G3971" s="17">
        <f>IFERROR(__xludf.DUMMYFUNCTION("""COMPUTED_VALUE"""),45936.781521412035)</f>
        <v>45936.78152</v>
      </c>
      <c r="H3971" s="14" t="str">
        <f>IFERROR(__xludf.DUMMYFUNCTION("""COMPUTED_VALUE"""),"Eci (SU)")</f>
        <v>Eci (SU)</v>
      </c>
      <c r="I3971" s="13" t="str">
        <f>IFERROR(__xludf.DUMMYFUNCTION("""COMPUTED_VALUE"""),"SELESAI (VIA PERMOHONAN)")</f>
        <v>SELESAI (VIA PERMOHONAN)</v>
      </c>
      <c r="J3971" s="17">
        <f>IFERROR(__xludf.DUMMYFUNCTION("""COMPUTED_VALUE"""),45939.630137291664)</f>
        <v>45939.63014</v>
      </c>
      <c r="K3971" s="13" t="str">
        <f>IFERROR(__xludf.DUMMYFUNCTION("""COMPUTED_VALUE"""),"Selesai")</f>
        <v>Selesai</v>
      </c>
      <c r="L3971" s="17">
        <f>IFERROR(__xludf.DUMMYFUNCTION("""COMPUTED_VALUE"""),45939.630137291664)</f>
        <v>45939.63014</v>
      </c>
      <c r="M3971" s="13"/>
      <c r="N3971" s="13" t="str">
        <f>IFERROR(__xludf.DUMMYFUNCTION("""COMPUTED_VALUE"""),"")</f>
        <v/>
      </c>
      <c r="O3971" s="13" t="str">
        <f t="shared" si="1"/>
        <v/>
      </c>
    </row>
    <row r="3972" ht="22.5" customHeight="1">
      <c r="B3972" s="13">
        <f>IFERROR(__xludf.DUMMYFUNCTION("""COMPUTED_VALUE"""),3967.0)</f>
        <v>3967</v>
      </c>
      <c r="C3972" s="13" t="str">
        <f>IFERROR(__xludf.DUMMYFUNCTION("""COMPUTED_VALUE"""),"M 4343/ GUNUNG TERANG")</f>
        <v>M 4343/ GUNUNG TERANG</v>
      </c>
      <c r="D3972" s="13" t="str">
        <f>IFERROR(__xludf.DUMMYFUNCTION("""COMPUTED_VALUE"""),"K/11/170925/1")</f>
        <v>K/11/170925/1</v>
      </c>
      <c r="E3972" s="14" t="str">
        <f>IFERROR(__xludf.DUMMYFUNCTION("""COMPUTED_VALUE"""),"Heri (BT)")</f>
        <v>Heri (BT)</v>
      </c>
      <c r="F3972" s="14" t="str">
        <f>IFERROR(__xludf.DUMMYFUNCTION("""COMPUTED_VALUE"""),"SELESAI (VIA PERMOHONAN)")</f>
        <v>SELESAI (VIA PERMOHONAN)</v>
      </c>
      <c r="G3972" s="17">
        <f>IFERROR(__xludf.DUMMYFUNCTION("""COMPUTED_VALUE"""),45936.781704548615)</f>
        <v>45936.7817</v>
      </c>
      <c r="H3972" s="14" t="str">
        <f>IFERROR(__xludf.DUMMYFUNCTION("""COMPUTED_VALUE"""),"Eci (SU)")</f>
        <v>Eci (SU)</v>
      </c>
      <c r="I3972" s="13" t="str">
        <f>IFERROR(__xludf.DUMMYFUNCTION("""COMPUTED_VALUE"""),"SELESAI (VIA PERMOHONAN)")</f>
        <v>SELESAI (VIA PERMOHONAN)</v>
      </c>
      <c r="J3972" s="17">
        <f>IFERROR(__xludf.DUMMYFUNCTION("""COMPUTED_VALUE"""),45939.632302199076)</f>
        <v>45939.6323</v>
      </c>
      <c r="K3972" s="13" t="str">
        <f>IFERROR(__xludf.DUMMYFUNCTION("""COMPUTED_VALUE"""),"Selesai")</f>
        <v>Selesai</v>
      </c>
      <c r="L3972" s="17">
        <f>IFERROR(__xludf.DUMMYFUNCTION("""COMPUTED_VALUE"""),45939.632302199076)</f>
        <v>45939.6323</v>
      </c>
      <c r="M3972" s="13"/>
      <c r="N3972" s="13" t="str">
        <f>IFERROR(__xludf.DUMMYFUNCTION("""COMPUTED_VALUE"""),"")</f>
        <v/>
      </c>
      <c r="O3972" s="13" t="str">
        <f t="shared" si="1"/>
        <v/>
      </c>
    </row>
    <row r="3973" ht="22.5" customHeight="1">
      <c r="B3973" s="13">
        <f>IFERROR(__xludf.DUMMYFUNCTION("""COMPUTED_VALUE"""),3968.0)</f>
        <v>3968</v>
      </c>
      <c r="C3973" s="13" t="str">
        <f>IFERROR(__xludf.DUMMYFUNCTION("""COMPUTED_VALUE"""),"B. 1231/ SUKABUMI INDAH")</f>
        <v>B. 1231/ SUKABUMI INDAH</v>
      </c>
      <c r="D3973" s="13" t="str">
        <f>IFERROR(__xludf.DUMMYFUNCTION("""COMPUTED_VALUE"""),"L/9/011025/1")</f>
        <v>L/9/011025/1</v>
      </c>
      <c r="E3973" s="14" t="str">
        <f>IFERROR(__xludf.DUMMYFUNCTION("""COMPUTED_VALUE"""),"Heri (BT)")</f>
        <v>Heri (BT)</v>
      </c>
      <c r="F3973" s="14" t="str">
        <f>IFERROR(__xludf.DUMMYFUNCTION("""COMPUTED_VALUE"""),"SELESAI (VIA PERMOHONAN)")</f>
        <v>SELESAI (VIA PERMOHONAN)</v>
      </c>
      <c r="G3973" s="17">
        <f>IFERROR(__xludf.DUMMYFUNCTION("""COMPUTED_VALUE"""),45936.78187561342)</f>
        <v>45936.78188</v>
      </c>
      <c r="H3973" s="14" t="str">
        <f>IFERROR(__xludf.DUMMYFUNCTION("""COMPUTED_VALUE"""),"Eci (SU)")</f>
        <v>Eci (SU)</v>
      </c>
      <c r="I3973" s="13" t="str">
        <f>IFERROR(__xludf.DUMMYFUNCTION("""COMPUTED_VALUE"""),"SELESAI (VIA PERMOHONAN)")</f>
        <v>SELESAI (VIA PERMOHONAN)</v>
      </c>
      <c r="J3973" s="17">
        <f>IFERROR(__xludf.DUMMYFUNCTION("""COMPUTED_VALUE"""),45938.69324258102)</f>
        <v>45938.69324</v>
      </c>
      <c r="K3973" s="13" t="str">
        <f>IFERROR(__xludf.DUMMYFUNCTION("""COMPUTED_VALUE"""),"Selesai")</f>
        <v>Selesai</v>
      </c>
      <c r="L3973" s="17">
        <f>IFERROR(__xludf.DUMMYFUNCTION("""COMPUTED_VALUE"""),45938.69324258102)</f>
        <v>45938.69324</v>
      </c>
      <c r="M3973" s="13"/>
      <c r="N3973" s="13" t="str">
        <f>IFERROR(__xludf.DUMMYFUNCTION("""COMPUTED_VALUE"""),"")</f>
        <v/>
      </c>
      <c r="O3973" s="13" t="str">
        <f t="shared" si="1"/>
        <v/>
      </c>
    </row>
    <row r="3974" ht="22.5" customHeight="1">
      <c r="B3974" s="13">
        <f>IFERROR(__xludf.DUMMYFUNCTION("""COMPUTED_VALUE"""),3969.0)</f>
        <v>3969</v>
      </c>
      <c r="C3974" s="13" t="str">
        <f>IFERROR(__xludf.DUMMYFUNCTION("""COMPUTED_VALUE"""),"M. 4111/CAMPANG RAYA")</f>
        <v>M. 4111/CAMPANG RAYA</v>
      </c>
      <c r="D3974" s="13" t="str">
        <f>IFERROR(__xludf.DUMMYFUNCTION("""COMPUTED_VALUE"""),"L/20/300925/1")</f>
        <v>L/20/300925/1</v>
      </c>
      <c r="E3974" s="14" t="str">
        <f>IFERROR(__xludf.DUMMYFUNCTION("""COMPUTED_VALUE"""),"Heri (BT)")</f>
        <v>Heri (BT)</v>
      </c>
      <c r="F3974" s="14" t="str">
        <f>IFERROR(__xludf.DUMMYFUNCTION("""COMPUTED_VALUE"""),"SELESAI (VIA PERMOHONAN)")</f>
        <v>SELESAI (VIA PERMOHONAN)</v>
      </c>
      <c r="G3974" s="17">
        <f>IFERROR(__xludf.DUMMYFUNCTION("""COMPUTED_VALUE"""),45936.781999548606)</f>
        <v>45936.782</v>
      </c>
      <c r="H3974" s="14" t="str">
        <f>IFERROR(__xludf.DUMMYFUNCTION("""COMPUTED_VALUE"""),"Eci (SU)")</f>
        <v>Eci (SU)</v>
      </c>
      <c r="I3974" s="13" t="str">
        <f>IFERROR(__xludf.DUMMYFUNCTION("""COMPUTED_VALUE"""),"SELESAI (VIA PERMOHONAN)")</f>
        <v>SELESAI (VIA PERMOHONAN)</v>
      </c>
      <c r="J3974" s="17">
        <f>IFERROR(__xludf.DUMMYFUNCTION("""COMPUTED_VALUE"""),45938.696959050925)</f>
        <v>45938.69696</v>
      </c>
      <c r="K3974" s="13" t="str">
        <f>IFERROR(__xludf.DUMMYFUNCTION("""COMPUTED_VALUE"""),"Selesai")</f>
        <v>Selesai</v>
      </c>
      <c r="L3974" s="17">
        <f>IFERROR(__xludf.DUMMYFUNCTION("""COMPUTED_VALUE"""),45938.696959050925)</f>
        <v>45938.69696</v>
      </c>
      <c r="M3974" s="13"/>
      <c r="N3974" s="13" t="str">
        <f>IFERROR(__xludf.DUMMYFUNCTION("""COMPUTED_VALUE"""),"")</f>
        <v/>
      </c>
      <c r="O3974" s="13" t="str">
        <f t="shared" si="1"/>
        <v/>
      </c>
    </row>
    <row r="3975" ht="22.5" customHeight="1">
      <c r="B3975" s="13">
        <f>IFERROR(__xludf.DUMMYFUNCTION("""COMPUTED_VALUE"""),3970.0)</f>
        <v>3970</v>
      </c>
      <c r="C3975" s="13" t="str">
        <f>IFERROR(__xludf.DUMMYFUNCTION("""COMPUTED_VALUE"""),"M. 10179/Kedaton	")</f>
        <v>M. 10179/Kedaton	</v>
      </c>
      <c r="D3975" s="13" t="str">
        <f>IFERROR(__xludf.DUMMYFUNCTION("""COMPUTED_VALUE"""),"K/34/250926/1")</f>
        <v>K/34/250926/1</v>
      </c>
      <c r="E3975" s="14" t="str">
        <f>IFERROR(__xludf.DUMMYFUNCTION("""COMPUTED_VALUE"""),"Heri (BT)")</f>
        <v>Heri (BT)</v>
      </c>
      <c r="F3975" s="14" t="str">
        <f>IFERROR(__xludf.DUMMYFUNCTION("""COMPUTED_VALUE"""),"SELESAI (VIA PERMOHONAN)")</f>
        <v>SELESAI (VIA PERMOHONAN)</v>
      </c>
      <c r="G3975" s="17">
        <f>IFERROR(__xludf.DUMMYFUNCTION("""COMPUTED_VALUE"""),45936.782307013884)</f>
        <v>45936.78231</v>
      </c>
      <c r="H3975" s="14" t="str">
        <f>IFERROR(__xludf.DUMMYFUNCTION("""COMPUTED_VALUE"""),"Eci (SU)")</f>
        <v>Eci (SU)</v>
      </c>
      <c r="I3975" s="13" t="str">
        <f>IFERROR(__xludf.DUMMYFUNCTION("""COMPUTED_VALUE"""),"SELESAI (VIA PERMOHONAN)")</f>
        <v>SELESAI (VIA PERMOHONAN)</v>
      </c>
      <c r="J3975" s="17">
        <f>IFERROR(__xludf.DUMMYFUNCTION("""COMPUTED_VALUE"""),45939.63991961806)</f>
        <v>45939.63992</v>
      </c>
      <c r="K3975" s="13" t="str">
        <f>IFERROR(__xludf.DUMMYFUNCTION("""COMPUTED_VALUE"""),"Selesai")</f>
        <v>Selesai</v>
      </c>
      <c r="L3975" s="17">
        <f>IFERROR(__xludf.DUMMYFUNCTION("""COMPUTED_VALUE"""),45939.63991961806)</f>
        <v>45939.63992</v>
      </c>
      <c r="M3975" s="13"/>
      <c r="N3975" s="13" t="str">
        <f>IFERROR(__xludf.DUMMYFUNCTION("""COMPUTED_VALUE"""),"")</f>
        <v/>
      </c>
      <c r="O3975" s="13" t="str">
        <f t="shared" si="1"/>
        <v/>
      </c>
    </row>
    <row r="3976" ht="22.5" customHeight="1">
      <c r="B3976" s="13">
        <f>IFERROR(__xludf.DUMMYFUNCTION("""COMPUTED_VALUE"""),3971.0)</f>
        <v>3971</v>
      </c>
      <c r="C3976" s="13" t="str">
        <f>IFERROR(__xludf.DUMMYFUNCTION("""COMPUTED_VALUE"""),"M. 978/KUPANG KOTA")</f>
        <v>M. 978/KUPANG KOTA</v>
      </c>
      <c r="D3976" s="13" t="str">
        <f>IFERROR(__xludf.DUMMYFUNCTION("""COMPUTED_VALUE"""),"K/7/220925/1")</f>
        <v>K/7/220925/1</v>
      </c>
      <c r="E3976" s="14" t="str">
        <f>IFERROR(__xludf.DUMMYFUNCTION("""COMPUTED_VALUE"""),"Heri (BT)")</f>
        <v>Heri (BT)</v>
      </c>
      <c r="F3976" s="14" t="str">
        <f>IFERROR(__xludf.DUMMYFUNCTION("""COMPUTED_VALUE"""),"SELESAI (VIA PERMOHONAN)")</f>
        <v>SELESAI (VIA PERMOHONAN)</v>
      </c>
      <c r="G3976" s="17">
        <f>IFERROR(__xludf.DUMMYFUNCTION("""COMPUTED_VALUE"""),45936.78268824074)</f>
        <v>45936.78269</v>
      </c>
      <c r="H3976" s="14" t="str">
        <f>IFERROR(__xludf.DUMMYFUNCTION("""COMPUTED_VALUE"""),"Eci (SU)")</f>
        <v>Eci (SU)</v>
      </c>
      <c r="I3976" s="13" t="str">
        <f>IFERROR(__xludf.DUMMYFUNCTION("""COMPUTED_VALUE"""),"SELESAI (VIA PERMOHONAN)")</f>
        <v>SELESAI (VIA PERMOHONAN)</v>
      </c>
      <c r="J3976" s="17">
        <f>IFERROR(__xludf.DUMMYFUNCTION("""COMPUTED_VALUE"""),45939.63210592592)</f>
        <v>45939.63211</v>
      </c>
      <c r="K3976" s="13" t="str">
        <f>IFERROR(__xludf.DUMMYFUNCTION("""COMPUTED_VALUE"""),"Selesai")</f>
        <v>Selesai</v>
      </c>
      <c r="L3976" s="17">
        <f>IFERROR(__xludf.DUMMYFUNCTION("""COMPUTED_VALUE"""),45939.63210592592)</f>
        <v>45939.63211</v>
      </c>
      <c r="M3976" s="13"/>
      <c r="N3976" s="13" t="str">
        <f>IFERROR(__xludf.DUMMYFUNCTION("""COMPUTED_VALUE"""),"")</f>
        <v/>
      </c>
      <c r="O3976" s="13" t="str">
        <f t="shared" si="1"/>
        <v/>
      </c>
    </row>
    <row r="3977" ht="22.5" customHeight="1">
      <c r="B3977" s="13">
        <f>IFERROR(__xludf.DUMMYFUNCTION("""COMPUTED_VALUE"""),3972.0)</f>
        <v>3972</v>
      </c>
      <c r="C3977" s="13" t="str">
        <f>IFERROR(__xludf.DUMMYFUNCTION("""COMPUTED_VALUE"""),"M. 11687/KEDAMAIAN")</f>
        <v>M. 11687/KEDAMAIAN</v>
      </c>
      <c r="D3977" s="13" t="str">
        <f>IFERROR(__xludf.DUMMYFUNCTION("""COMPUTED_VALUE"""),"K/7/190925/1")</f>
        <v>K/7/190925/1</v>
      </c>
      <c r="E3977" s="14" t="str">
        <f>IFERROR(__xludf.DUMMYFUNCTION("""COMPUTED_VALUE"""),"Heri (BT)")</f>
        <v>Heri (BT)</v>
      </c>
      <c r="F3977" s="14" t="str">
        <f>IFERROR(__xludf.DUMMYFUNCTION("""COMPUTED_VALUE"""),"SELESAI (VIA PERMOHONAN)")</f>
        <v>SELESAI (VIA PERMOHONAN)</v>
      </c>
      <c r="G3977" s="17">
        <f>IFERROR(__xludf.DUMMYFUNCTION("""COMPUTED_VALUE"""),45936.782826319446)</f>
        <v>45936.78283</v>
      </c>
      <c r="H3977" s="14" t="str">
        <f>IFERROR(__xludf.DUMMYFUNCTION("""COMPUTED_VALUE"""),"Eci (SU)")</f>
        <v>Eci (SU)</v>
      </c>
      <c r="I3977" s="13" t="str">
        <f>IFERROR(__xludf.DUMMYFUNCTION("""COMPUTED_VALUE"""),"SELESAI (VIA PERMOHONAN)")</f>
        <v>SELESAI (VIA PERMOHONAN)</v>
      </c>
      <c r="J3977" s="17">
        <f>IFERROR(__xludf.DUMMYFUNCTION("""COMPUTED_VALUE"""),45938.693631435184)</f>
        <v>45938.69363</v>
      </c>
      <c r="K3977" s="13" t="str">
        <f>IFERROR(__xludf.DUMMYFUNCTION("""COMPUTED_VALUE"""),"Selesai")</f>
        <v>Selesai</v>
      </c>
      <c r="L3977" s="17">
        <f>IFERROR(__xludf.DUMMYFUNCTION("""COMPUTED_VALUE"""),45938.693631435184)</f>
        <v>45938.69363</v>
      </c>
      <c r="M3977" s="13"/>
      <c r="N3977" s="13" t="str">
        <f>IFERROR(__xludf.DUMMYFUNCTION("""COMPUTED_VALUE"""),"")</f>
        <v/>
      </c>
      <c r="O3977" s="13" t="str">
        <f t="shared" si="1"/>
        <v/>
      </c>
    </row>
    <row r="3978" ht="22.5" customHeight="1">
      <c r="B3978" s="13">
        <f>IFERROR(__xludf.DUMMYFUNCTION("""COMPUTED_VALUE"""),3973.0)</f>
        <v>3973</v>
      </c>
      <c r="C3978" s="13" t="str">
        <f>IFERROR(__xludf.DUMMYFUNCTION("""COMPUTED_VALUE"""),"B. 33/SIDODADI")</f>
        <v>B. 33/SIDODADI</v>
      </c>
      <c r="D3978" s="13" t="str">
        <f>IFERROR(__xludf.DUMMYFUNCTION("""COMPUTED_VALUE"""),"K/36/120925/1")</f>
        <v>K/36/120925/1</v>
      </c>
      <c r="E3978" s="14" t="str">
        <f>IFERROR(__xludf.DUMMYFUNCTION("""COMPUTED_VALUE"""),"Heri (BT)")</f>
        <v>Heri (BT)</v>
      </c>
      <c r="F3978" s="14" t="str">
        <f>IFERROR(__xludf.DUMMYFUNCTION("""COMPUTED_VALUE"""),"SELESAI (VIA PERMOHONAN)")</f>
        <v>SELESAI (VIA PERMOHONAN)</v>
      </c>
      <c r="G3978" s="17">
        <f>IFERROR(__xludf.DUMMYFUNCTION("""COMPUTED_VALUE"""),45936.78331456018)</f>
        <v>45936.78331</v>
      </c>
      <c r="H3978" s="14" t="str">
        <f>IFERROR(__xludf.DUMMYFUNCTION("""COMPUTED_VALUE"""),"Eci (SU)")</f>
        <v>Eci (SU)</v>
      </c>
      <c r="I3978" s="13" t="str">
        <f>IFERROR(__xludf.DUMMYFUNCTION("""COMPUTED_VALUE"""),"SELESAI (VIA PERMOHONAN)")</f>
        <v>SELESAI (VIA PERMOHONAN)</v>
      </c>
      <c r="J3978" s="17">
        <f>IFERROR(__xludf.DUMMYFUNCTION("""COMPUTED_VALUE"""),45939.631046168986)</f>
        <v>45939.63105</v>
      </c>
      <c r="K3978" s="13" t="str">
        <f>IFERROR(__xludf.DUMMYFUNCTION("""COMPUTED_VALUE"""),"Selesai")</f>
        <v>Selesai</v>
      </c>
      <c r="L3978" s="17">
        <f>IFERROR(__xludf.DUMMYFUNCTION("""COMPUTED_VALUE"""),45939.631046168986)</f>
        <v>45939.63105</v>
      </c>
      <c r="M3978" s="13"/>
      <c r="N3978" s="13" t="str">
        <f>IFERROR(__xludf.DUMMYFUNCTION("""COMPUTED_VALUE"""),"")</f>
        <v/>
      </c>
      <c r="O3978" s="13" t="str">
        <f t="shared" si="1"/>
        <v/>
      </c>
    </row>
    <row r="3979" ht="22.5" customHeight="1">
      <c r="B3979" s="13">
        <f>IFERROR(__xludf.DUMMYFUNCTION("""COMPUTED_VALUE"""),3974.0)</f>
        <v>3974</v>
      </c>
      <c r="C3979" s="13" t="str">
        <f>IFERROR(__xludf.DUMMYFUNCTION("""COMPUTED_VALUE"""),"M. 920/ENGGAL")</f>
        <v>M. 920/ENGGAL</v>
      </c>
      <c r="D3979" s="13" t="str">
        <f>IFERROR(__xludf.DUMMYFUNCTION("""COMPUTED_VALUE"""),"K/67/020925/1")</f>
        <v>K/67/020925/1</v>
      </c>
      <c r="E3979" s="14" t="str">
        <f>IFERROR(__xludf.DUMMYFUNCTION("""COMPUTED_VALUE"""),"Heri (BT)")</f>
        <v>Heri (BT)</v>
      </c>
      <c r="F3979" s="14" t="str">
        <f>IFERROR(__xludf.DUMMYFUNCTION("""COMPUTED_VALUE"""),"SELESAI (VIA PERMOHONAN)")</f>
        <v>SELESAI (VIA PERMOHONAN)</v>
      </c>
      <c r="G3979" s="17">
        <f>IFERROR(__xludf.DUMMYFUNCTION("""COMPUTED_VALUE"""),45936.78391092592)</f>
        <v>45936.78391</v>
      </c>
      <c r="H3979" s="14" t="str">
        <f>IFERROR(__xludf.DUMMYFUNCTION("""COMPUTED_VALUE"""),"Eci (SU)")</f>
        <v>Eci (SU)</v>
      </c>
      <c r="I3979" s="13" t="str">
        <f>IFERROR(__xludf.DUMMYFUNCTION("""COMPUTED_VALUE"""),"SELESAI (VIA PERMOHONAN)")</f>
        <v>SELESAI (VIA PERMOHONAN)</v>
      </c>
      <c r="J3979" s="17">
        <f>IFERROR(__xludf.DUMMYFUNCTION("""COMPUTED_VALUE"""),45938.69449392361)</f>
        <v>45938.69449</v>
      </c>
      <c r="K3979" s="13" t="str">
        <f>IFERROR(__xludf.DUMMYFUNCTION("""COMPUTED_VALUE"""),"Selesai")</f>
        <v>Selesai</v>
      </c>
      <c r="L3979" s="17">
        <f>IFERROR(__xludf.DUMMYFUNCTION("""COMPUTED_VALUE"""),45938.69449392361)</f>
        <v>45938.69449</v>
      </c>
      <c r="M3979" s="13"/>
      <c r="N3979" s="13" t="str">
        <f>IFERROR(__xludf.DUMMYFUNCTION("""COMPUTED_VALUE"""),"")</f>
        <v/>
      </c>
      <c r="O3979" s="13" t="str">
        <f t="shared" si="1"/>
        <v/>
      </c>
    </row>
    <row r="3980" ht="22.5" customHeight="1">
      <c r="B3980" s="13">
        <f>IFERROR(__xludf.DUMMYFUNCTION("""COMPUTED_VALUE"""),3975.0)</f>
        <v>3975</v>
      </c>
      <c r="C3980" s="13" t="str">
        <f>IFERROR(__xludf.DUMMYFUNCTION("""COMPUTED_VALUE"""),"HM 730/SUSUNAN BARU")</f>
        <v>HM 730/SUSUNAN BARU</v>
      </c>
      <c r="D3980" s="13" t="str">
        <f>IFERROR(__xludf.DUMMYFUNCTION("""COMPUTED_VALUE"""),"L/14/030725/2")</f>
        <v>L/14/030725/2</v>
      </c>
      <c r="E3980" s="14" t="str">
        <f>IFERROR(__xludf.DUMMYFUNCTION("""COMPUTED_VALUE"""),"Heri (BT)")</f>
        <v>Heri (BT)</v>
      </c>
      <c r="F3980" s="14" t="str">
        <f>IFERROR(__xludf.DUMMYFUNCTION("""COMPUTED_VALUE"""),"SELESAI (VIA PERMOHONAN)")</f>
        <v>SELESAI (VIA PERMOHONAN)</v>
      </c>
      <c r="G3980" s="17">
        <f>IFERROR(__xludf.DUMMYFUNCTION("""COMPUTED_VALUE"""),45936.7842046875)</f>
        <v>45936.7842</v>
      </c>
      <c r="H3980" s="14" t="str">
        <f>IFERROR(__xludf.DUMMYFUNCTION("""COMPUTED_VALUE"""),"Eci (SU)")</f>
        <v>Eci (SU)</v>
      </c>
      <c r="I3980" s="13" t="str">
        <f>IFERROR(__xludf.DUMMYFUNCTION("""COMPUTED_VALUE"""),"SELESAI (VIA PERMOHONAN)")</f>
        <v>SELESAI (VIA PERMOHONAN)</v>
      </c>
      <c r="J3980" s="17">
        <f>IFERROR(__xludf.DUMMYFUNCTION("""COMPUTED_VALUE"""),45939.63119777778)</f>
        <v>45939.6312</v>
      </c>
      <c r="K3980" s="13" t="str">
        <f>IFERROR(__xludf.DUMMYFUNCTION("""COMPUTED_VALUE"""),"Selesai")</f>
        <v>Selesai</v>
      </c>
      <c r="L3980" s="17">
        <f>IFERROR(__xludf.DUMMYFUNCTION("""COMPUTED_VALUE"""),45939.63119777778)</f>
        <v>45939.6312</v>
      </c>
      <c r="M3980" s="13"/>
      <c r="N3980" s="13" t="str">
        <f>IFERROR(__xludf.DUMMYFUNCTION("""COMPUTED_VALUE"""),"")</f>
        <v/>
      </c>
      <c r="O3980" s="13" t="str">
        <f t="shared" si="1"/>
        <v/>
      </c>
    </row>
    <row r="3981" ht="22.5" customHeight="1">
      <c r="B3981" s="13">
        <f>IFERROR(__xludf.DUMMYFUNCTION("""COMPUTED_VALUE"""),3976.0)</f>
        <v>3976</v>
      </c>
      <c r="C3981" s="13" t="str">
        <f>IFERROR(__xludf.DUMMYFUNCTION("""COMPUTED_VALUE"""),"M. 1216/Serengsem")</f>
        <v>M. 1216/Serengsem</v>
      </c>
      <c r="D3981" s="13" t="str">
        <f>IFERROR(__xludf.DUMMYFUNCTION("""COMPUTED_VALUE"""),"K/21/110825/2")</f>
        <v>K/21/110825/2</v>
      </c>
      <c r="E3981" s="14" t="str">
        <f>IFERROR(__xludf.DUMMYFUNCTION("""COMPUTED_VALUE"""),"Heri (BT)")</f>
        <v>Heri (BT)</v>
      </c>
      <c r="F3981" s="14" t="str">
        <f>IFERROR(__xludf.DUMMYFUNCTION("""COMPUTED_VALUE"""),"SELESAI (VIA PERMOHONAN)")</f>
        <v>SELESAI (VIA PERMOHONAN)</v>
      </c>
      <c r="G3981" s="17">
        <f>IFERROR(__xludf.DUMMYFUNCTION("""COMPUTED_VALUE"""),45936.78486663195)</f>
        <v>45936.78487</v>
      </c>
      <c r="H3981" s="14" t="str">
        <f>IFERROR(__xludf.DUMMYFUNCTION("""COMPUTED_VALUE"""),"Eci (SU)")</f>
        <v>Eci (SU)</v>
      </c>
      <c r="I3981" s="13" t="str">
        <f>IFERROR(__xludf.DUMMYFUNCTION("""COMPUTED_VALUE"""),"SELESAI (VIA PERMOHONAN)")</f>
        <v>SELESAI (VIA PERMOHONAN)</v>
      </c>
      <c r="J3981" s="17">
        <f>IFERROR(__xludf.DUMMYFUNCTION("""COMPUTED_VALUE"""),45939.62974931713)</f>
        <v>45939.62975</v>
      </c>
      <c r="K3981" s="13" t="str">
        <f>IFERROR(__xludf.DUMMYFUNCTION("""COMPUTED_VALUE"""),"Selesai")</f>
        <v>Selesai</v>
      </c>
      <c r="L3981" s="17">
        <f>IFERROR(__xludf.DUMMYFUNCTION("""COMPUTED_VALUE"""),45939.62974931713)</f>
        <v>45939.62975</v>
      </c>
      <c r="M3981" s="13"/>
      <c r="N3981" s="13" t="str">
        <f>IFERROR(__xludf.DUMMYFUNCTION("""COMPUTED_VALUE"""),"")</f>
        <v/>
      </c>
      <c r="O3981" s="13" t="str">
        <f t="shared" si="1"/>
        <v/>
      </c>
    </row>
    <row r="3982" ht="22.5" customHeight="1">
      <c r="B3982" s="13">
        <f>IFERROR(__xludf.DUMMYFUNCTION("""COMPUTED_VALUE"""),3977.0)</f>
        <v>3977</v>
      </c>
      <c r="C3982" s="13" t="str">
        <f>IFERROR(__xludf.DUMMYFUNCTION("""COMPUTED_VALUE"""),"M. 13178/RAJABASA")</f>
        <v>M. 13178/RAJABASA</v>
      </c>
      <c r="D3982" s="13" t="str">
        <f>IFERROR(__xludf.DUMMYFUNCTION("""COMPUTED_VALUE"""),"L/12/300925/1")</f>
        <v>L/12/300925/1</v>
      </c>
      <c r="E3982" s="14" t="str">
        <f>IFERROR(__xludf.DUMMYFUNCTION("""COMPUTED_VALUE"""),"Heri (BT)")</f>
        <v>Heri (BT)</v>
      </c>
      <c r="F3982" s="14" t="str">
        <f>IFERROR(__xludf.DUMMYFUNCTION("""COMPUTED_VALUE"""),"SELESAI (VIA PERMOHONAN)")</f>
        <v>SELESAI (VIA PERMOHONAN)</v>
      </c>
      <c r="G3982" s="17">
        <f>IFERROR(__xludf.DUMMYFUNCTION("""COMPUTED_VALUE"""),45936.784997939816)</f>
        <v>45936.785</v>
      </c>
      <c r="H3982" s="14" t="str">
        <f>IFERROR(__xludf.DUMMYFUNCTION("""COMPUTED_VALUE"""),"Eci (SU)")</f>
        <v>Eci (SU)</v>
      </c>
      <c r="I3982" s="13" t="str">
        <f>IFERROR(__xludf.DUMMYFUNCTION("""COMPUTED_VALUE"""),"SELESAI (VIA PERMOHONAN)")</f>
        <v>SELESAI (VIA PERMOHONAN)</v>
      </c>
      <c r="J3982" s="17">
        <f>IFERROR(__xludf.DUMMYFUNCTION("""COMPUTED_VALUE"""),45939.63192134259)</f>
        <v>45939.63192</v>
      </c>
      <c r="K3982" s="13" t="str">
        <f>IFERROR(__xludf.DUMMYFUNCTION("""COMPUTED_VALUE"""),"Selesai")</f>
        <v>Selesai</v>
      </c>
      <c r="L3982" s="17">
        <f>IFERROR(__xludf.DUMMYFUNCTION("""COMPUTED_VALUE"""),45939.63192134259)</f>
        <v>45939.63192</v>
      </c>
      <c r="M3982" s="13"/>
      <c r="N3982" s="13" t="str">
        <f>IFERROR(__xludf.DUMMYFUNCTION("""COMPUTED_VALUE"""),"")</f>
        <v/>
      </c>
      <c r="O3982" s="13" t="str">
        <f t="shared" si="1"/>
        <v/>
      </c>
    </row>
    <row r="3983" ht="22.5" customHeight="1">
      <c r="B3983" s="13">
        <f>IFERROR(__xludf.DUMMYFUNCTION("""COMPUTED_VALUE"""),3978.0)</f>
        <v>3978</v>
      </c>
      <c r="C3983" s="13" t="str">
        <f>IFERROR(__xludf.DUMMYFUNCTION("""COMPUTED_VALUE"""),"M. 4729/SUKADANA HAM")</f>
        <v>M. 4729/SUKADANA HAM</v>
      </c>
      <c r="D3983" s="13" t="str">
        <f>IFERROR(__xludf.DUMMYFUNCTION("""COMPUTED_VALUE"""),"K/5/120925/1")</f>
        <v>K/5/120925/1</v>
      </c>
      <c r="E3983" s="14" t="str">
        <f>IFERROR(__xludf.DUMMYFUNCTION("""COMPUTED_VALUE"""),"Heri (BT)")</f>
        <v>Heri (BT)</v>
      </c>
      <c r="F3983" s="14" t="str">
        <f>IFERROR(__xludf.DUMMYFUNCTION("""COMPUTED_VALUE"""),"SELESAI (VIA PERMOHONAN)")</f>
        <v>SELESAI (VIA PERMOHONAN)</v>
      </c>
      <c r="G3983" s="17">
        <f>IFERROR(__xludf.DUMMYFUNCTION("""COMPUTED_VALUE"""),45936.787857766205)</f>
        <v>45936.78786</v>
      </c>
      <c r="H3983" s="14" t="str">
        <f>IFERROR(__xludf.DUMMYFUNCTION("""COMPUTED_VALUE"""),"Eci (SU)")</f>
        <v>Eci (SU)</v>
      </c>
      <c r="I3983" s="13" t="str">
        <f>IFERROR(__xludf.DUMMYFUNCTION("""COMPUTED_VALUE"""),"SELESAI (VIA PERMOHONAN)")</f>
        <v>SELESAI (VIA PERMOHONAN)</v>
      </c>
      <c r="J3983" s="17">
        <f>IFERROR(__xludf.DUMMYFUNCTION("""COMPUTED_VALUE"""),45938.69381798611)</f>
        <v>45938.69382</v>
      </c>
      <c r="K3983" s="13" t="str">
        <f>IFERROR(__xludf.DUMMYFUNCTION("""COMPUTED_VALUE"""),"Selesai")</f>
        <v>Selesai</v>
      </c>
      <c r="L3983" s="17">
        <f>IFERROR(__xludf.DUMMYFUNCTION("""COMPUTED_VALUE"""),45938.69381798611)</f>
        <v>45938.69382</v>
      </c>
      <c r="M3983" s="13"/>
      <c r="N3983" s="13" t="str">
        <f>IFERROR(__xludf.DUMMYFUNCTION("""COMPUTED_VALUE"""),"")</f>
        <v/>
      </c>
      <c r="O3983" s="13" t="str">
        <f t="shared" si="1"/>
        <v/>
      </c>
    </row>
    <row r="3984" ht="22.5" customHeight="1">
      <c r="B3984" s="13">
        <f>IFERROR(__xludf.DUMMYFUNCTION("""COMPUTED_VALUE"""),3979.0)</f>
        <v>3979</v>
      </c>
      <c r="C3984" s="13" t="str">
        <f>IFERROR(__xludf.DUMMYFUNCTION("""COMPUTED_VALUE"""),"M 1244/ PERUMNAS WAY KANDIS")</f>
        <v>M 1244/ PERUMNAS WAY KANDIS</v>
      </c>
      <c r="D3984" s="13" t="str">
        <f>IFERROR(__xludf.DUMMYFUNCTION("""COMPUTED_VALUE"""),"K/18/160925/1")</f>
        <v>K/18/160925/1</v>
      </c>
      <c r="E3984" s="14" t="str">
        <f>IFERROR(__xludf.DUMMYFUNCTION("""COMPUTED_VALUE"""),"Heri (BT)")</f>
        <v>Heri (BT)</v>
      </c>
      <c r="F3984" s="14" t="str">
        <f>IFERROR(__xludf.DUMMYFUNCTION("""COMPUTED_VALUE"""),"SELESAI (VIA PERMOHONAN)")</f>
        <v>SELESAI (VIA PERMOHONAN)</v>
      </c>
      <c r="G3984" s="17">
        <f>IFERROR(__xludf.DUMMYFUNCTION("""COMPUTED_VALUE"""),45936.78799578703)</f>
        <v>45936.788</v>
      </c>
      <c r="H3984" s="14" t="str">
        <f>IFERROR(__xludf.DUMMYFUNCTION("""COMPUTED_VALUE"""),"Eci (SU)")</f>
        <v>Eci (SU)</v>
      </c>
      <c r="I3984" s="13" t="str">
        <f>IFERROR(__xludf.DUMMYFUNCTION("""COMPUTED_VALUE"""),"SELESAI (VIA PERMOHONAN)")</f>
        <v>SELESAI (VIA PERMOHONAN)</v>
      </c>
      <c r="J3984" s="17">
        <f>IFERROR(__xludf.DUMMYFUNCTION("""COMPUTED_VALUE"""),45939.64797740741)</f>
        <v>45939.64798</v>
      </c>
      <c r="K3984" s="13" t="str">
        <f>IFERROR(__xludf.DUMMYFUNCTION("""COMPUTED_VALUE"""),"Selesai")</f>
        <v>Selesai</v>
      </c>
      <c r="L3984" s="17">
        <f>IFERROR(__xludf.DUMMYFUNCTION("""COMPUTED_VALUE"""),45939.64797740741)</f>
        <v>45939.64798</v>
      </c>
      <c r="M3984" s="13"/>
      <c r="N3984" s="13" t="str">
        <f>IFERROR(__xludf.DUMMYFUNCTION("""COMPUTED_VALUE"""),"")</f>
        <v/>
      </c>
      <c r="O3984" s="13" t="str">
        <f t="shared" si="1"/>
        <v/>
      </c>
    </row>
    <row r="3985" ht="22.5" customHeight="1">
      <c r="B3985" s="13">
        <f>IFERROR(__xludf.DUMMYFUNCTION("""COMPUTED_VALUE"""),3980.0)</f>
        <v>3980</v>
      </c>
      <c r="C3985" s="13" t="str">
        <f>IFERROR(__xludf.DUMMYFUNCTION("""COMPUTED_VALUE"""),"M 9315/ SIDODADI")</f>
        <v>M 9315/ SIDODADI</v>
      </c>
      <c r="D3985" s="13" t="str">
        <f>IFERROR(__xludf.DUMMYFUNCTION("""COMPUTED_VALUE"""),"K/35/160925/1")</f>
        <v>K/35/160925/1</v>
      </c>
      <c r="E3985" s="14" t="str">
        <f>IFERROR(__xludf.DUMMYFUNCTION("""COMPUTED_VALUE"""),"Heri (BT)")</f>
        <v>Heri (BT)</v>
      </c>
      <c r="F3985" s="14" t="str">
        <f>IFERROR(__xludf.DUMMYFUNCTION("""COMPUTED_VALUE"""),"SELESAI (VIA PERMOHONAN)")</f>
        <v>SELESAI (VIA PERMOHONAN)</v>
      </c>
      <c r="G3985" s="17">
        <f>IFERROR(__xludf.DUMMYFUNCTION("""COMPUTED_VALUE"""),45936.78836356482)</f>
        <v>45936.78836</v>
      </c>
      <c r="H3985" s="14" t="str">
        <f>IFERROR(__xludf.DUMMYFUNCTION("""COMPUTED_VALUE"""),"Eci (SU)")</f>
        <v>Eci (SU)</v>
      </c>
      <c r="I3985" s="13" t="str">
        <f>IFERROR(__xludf.DUMMYFUNCTION("""COMPUTED_VALUE"""),"SELESAI (VIA PERMOHONAN)")</f>
        <v>SELESAI (VIA PERMOHONAN)</v>
      </c>
      <c r="J3985" s="17">
        <f>IFERROR(__xludf.DUMMYFUNCTION("""COMPUTED_VALUE"""),45939.63397850694)</f>
        <v>45939.63398</v>
      </c>
      <c r="K3985" s="13" t="str">
        <f>IFERROR(__xludf.DUMMYFUNCTION("""COMPUTED_VALUE"""),"Selesai")</f>
        <v>Selesai</v>
      </c>
      <c r="L3985" s="17">
        <f>IFERROR(__xludf.DUMMYFUNCTION("""COMPUTED_VALUE"""),45939.63397850694)</f>
        <v>45939.63398</v>
      </c>
      <c r="M3985" s="13"/>
      <c r="N3985" s="13" t="str">
        <f>IFERROR(__xludf.DUMMYFUNCTION("""COMPUTED_VALUE"""),"")</f>
        <v/>
      </c>
      <c r="O3985" s="13" t="str">
        <f t="shared" si="1"/>
        <v/>
      </c>
    </row>
    <row r="3986" ht="22.5" customHeight="1">
      <c r="B3986" s="13">
        <f>IFERROR(__xludf.DUMMYFUNCTION("""COMPUTED_VALUE"""),3981.0)</f>
        <v>3981</v>
      </c>
      <c r="C3986" s="13" t="str">
        <f>IFERROR(__xludf.DUMMYFUNCTION("""COMPUTED_VALUE"""),"M.2533/WAY KANDIS ")</f>
        <v>M.2533/WAY KANDIS </v>
      </c>
      <c r="D3986" s="13" t="str">
        <f>IFERROR(__xludf.DUMMYFUNCTION("""COMPUTED_VALUE"""),"K/21/300925/1")</f>
        <v>K/21/300925/1</v>
      </c>
      <c r="E3986" s="14" t="str">
        <f>IFERROR(__xludf.DUMMYFUNCTION("""COMPUTED_VALUE"""),"Heri (BT)")</f>
        <v>Heri (BT)</v>
      </c>
      <c r="F3986" s="14" t="str">
        <f>IFERROR(__xludf.DUMMYFUNCTION("""COMPUTED_VALUE"""),"SELESAI (VIA PERMOHONAN)")</f>
        <v>SELESAI (VIA PERMOHONAN)</v>
      </c>
      <c r="G3986" s="17">
        <f>IFERROR(__xludf.DUMMYFUNCTION("""COMPUTED_VALUE"""),45937.78885275463)</f>
        <v>45937.78885</v>
      </c>
      <c r="H3986" s="14" t="str">
        <f>IFERROR(__xludf.DUMMYFUNCTION("""COMPUTED_VALUE"""),"Eci (SU)")</f>
        <v>Eci (SU)</v>
      </c>
      <c r="I3986" s="13" t="str">
        <f>IFERROR(__xludf.DUMMYFUNCTION("""COMPUTED_VALUE"""),"SELESAI (VIA PERMOHONAN)")</f>
        <v>SELESAI (VIA PERMOHONAN)</v>
      </c>
      <c r="J3986" s="17">
        <f>IFERROR(__xludf.DUMMYFUNCTION("""COMPUTED_VALUE"""),45938.693098715274)</f>
        <v>45938.6931</v>
      </c>
      <c r="K3986" s="13" t="str">
        <f>IFERROR(__xludf.DUMMYFUNCTION("""COMPUTED_VALUE"""),"Selesai")</f>
        <v>Selesai</v>
      </c>
      <c r="L3986" s="17">
        <f>IFERROR(__xludf.DUMMYFUNCTION("""COMPUTED_VALUE"""),45938.693098715274)</f>
        <v>45938.6931</v>
      </c>
      <c r="M3986" s="13"/>
      <c r="N3986" s="13" t="str">
        <f>IFERROR(__xludf.DUMMYFUNCTION("""COMPUTED_VALUE"""),"")</f>
        <v/>
      </c>
      <c r="O3986" s="13" t="str">
        <f t="shared" si="1"/>
        <v/>
      </c>
    </row>
    <row r="3987" ht="22.5" customHeight="1">
      <c r="B3987" s="13">
        <f>IFERROR(__xludf.DUMMYFUNCTION("""COMPUTED_VALUE"""),3982.0)</f>
        <v>3982</v>
      </c>
      <c r="C3987" s="13" t="str">
        <f>IFERROR(__xludf.DUMMYFUNCTION("""COMPUTED_VALUE"""),"M. 912/GUNUNG AGUNG")</f>
        <v>M. 912/GUNUNG AGUNG</v>
      </c>
      <c r="D3987" s="13" t="str">
        <f>IFERROR(__xludf.DUMMYFUNCTION("""COMPUTED_VALUE"""),"K/23/120925/2")</f>
        <v>K/23/120925/2</v>
      </c>
      <c r="E3987" s="14" t="str">
        <f>IFERROR(__xludf.DUMMYFUNCTION("""COMPUTED_VALUE"""),"Heri (BT)")</f>
        <v>Heri (BT)</v>
      </c>
      <c r="F3987" s="14" t="str">
        <f>IFERROR(__xludf.DUMMYFUNCTION("""COMPUTED_VALUE"""),"SELESAI (VIA PERMOHONAN)")</f>
        <v>SELESAI (VIA PERMOHONAN)</v>
      </c>
      <c r="G3987" s="17">
        <f>IFERROR(__xludf.DUMMYFUNCTION("""COMPUTED_VALUE"""),45937.788976550924)</f>
        <v>45937.78898</v>
      </c>
      <c r="H3987" s="14" t="str">
        <f>IFERROR(__xludf.DUMMYFUNCTION("""COMPUTED_VALUE"""),"Eci (SU)")</f>
        <v>Eci (SU)</v>
      </c>
      <c r="I3987" s="13" t="str">
        <f>IFERROR(__xludf.DUMMYFUNCTION("""COMPUTED_VALUE"""),"SELESAI (VIA PERMOHONAN)")</f>
        <v>SELESAI (VIA PERMOHONAN)</v>
      </c>
      <c r="J3987" s="17">
        <f>IFERROR(__xludf.DUMMYFUNCTION("""COMPUTED_VALUE"""),45938.692907268516)</f>
        <v>45938.69291</v>
      </c>
      <c r="K3987" s="13" t="str">
        <f>IFERROR(__xludf.DUMMYFUNCTION("""COMPUTED_VALUE"""),"Selesai")</f>
        <v>Selesai</v>
      </c>
      <c r="L3987" s="17">
        <f>IFERROR(__xludf.DUMMYFUNCTION("""COMPUTED_VALUE"""),45938.692907268516)</f>
        <v>45938.69291</v>
      </c>
      <c r="M3987" s="13"/>
      <c r="N3987" s="13" t="str">
        <f>IFERROR(__xludf.DUMMYFUNCTION("""COMPUTED_VALUE"""),"")</f>
        <v/>
      </c>
      <c r="O3987" s="13" t="str">
        <f t="shared" si="1"/>
        <v/>
      </c>
    </row>
    <row r="3988" ht="22.5" customHeight="1">
      <c r="B3988" s="13">
        <f>IFERROR(__xludf.DUMMYFUNCTION("""COMPUTED_VALUE"""),3983.0)</f>
        <v>3983</v>
      </c>
      <c r="C3988" s="13" t="str">
        <f>IFERROR(__xludf.DUMMYFUNCTION("""COMPUTED_VALUE"""),"M. 1396/Serengsem")</f>
        <v>M. 1396/Serengsem</v>
      </c>
      <c r="D3988" s="13" t="str">
        <f>IFERROR(__xludf.DUMMYFUNCTION("""COMPUTED_VALUE"""),"K/16/110825/1")</f>
        <v>K/16/110825/1</v>
      </c>
      <c r="E3988" s="14" t="str">
        <f>IFERROR(__xludf.DUMMYFUNCTION("""COMPUTED_VALUE"""),"Heri (BT)")</f>
        <v>Heri (BT)</v>
      </c>
      <c r="F3988" s="14" t="str">
        <f>IFERROR(__xludf.DUMMYFUNCTION("""COMPUTED_VALUE"""),"SELESAI (VIA PERMOHONAN)")</f>
        <v>SELESAI (VIA PERMOHONAN)</v>
      </c>
      <c r="G3988" s="17">
        <f>IFERROR(__xludf.DUMMYFUNCTION("""COMPUTED_VALUE"""),45937.78910709491)</f>
        <v>45937.78911</v>
      </c>
      <c r="H3988" s="14" t="str">
        <f>IFERROR(__xludf.DUMMYFUNCTION("""COMPUTED_VALUE"""),"Eci (SU)")</f>
        <v>Eci (SU)</v>
      </c>
      <c r="I3988" s="13" t="str">
        <f>IFERROR(__xludf.DUMMYFUNCTION("""COMPUTED_VALUE"""),"SELESAI (VIA PERMOHONAN)")</f>
        <v>SELESAI (VIA PERMOHONAN)</v>
      </c>
      <c r="J3988" s="17">
        <f>IFERROR(__xludf.DUMMYFUNCTION("""COMPUTED_VALUE"""),45939.63386640046)</f>
        <v>45939.63387</v>
      </c>
      <c r="K3988" s="13" t="str">
        <f>IFERROR(__xludf.DUMMYFUNCTION("""COMPUTED_VALUE"""),"Selesai")</f>
        <v>Selesai</v>
      </c>
      <c r="L3988" s="17">
        <f>IFERROR(__xludf.DUMMYFUNCTION("""COMPUTED_VALUE"""),45939.63386640046)</f>
        <v>45939.63387</v>
      </c>
      <c r="M3988" s="13"/>
      <c r="N3988" s="13" t="str">
        <f>IFERROR(__xludf.DUMMYFUNCTION("""COMPUTED_VALUE"""),"")</f>
        <v/>
      </c>
      <c r="O3988" s="13" t="str">
        <f t="shared" si="1"/>
        <v/>
      </c>
    </row>
    <row r="3989" ht="22.5" customHeight="1">
      <c r="B3989" s="13">
        <f>IFERROR(__xludf.DUMMYFUNCTION("""COMPUTED_VALUE"""),3984.0)</f>
        <v>3984</v>
      </c>
      <c r="C3989" s="13" t="str">
        <f>IFERROR(__xludf.DUMMYFUNCTION("""COMPUTED_VALUE"""),"M. 466/Rajabasa Jaya")</f>
        <v>M. 466/Rajabasa Jaya</v>
      </c>
      <c r="D3989" s="13" t="str">
        <f>IFERROR(__xludf.DUMMYFUNCTION("""COMPUTED_VALUE"""),"K/34/260925/1")</f>
        <v>K/34/260925/1</v>
      </c>
      <c r="E3989" s="14" t="str">
        <f>IFERROR(__xludf.DUMMYFUNCTION("""COMPUTED_VALUE"""),"Heri (BT)")</f>
        <v>Heri (BT)</v>
      </c>
      <c r="F3989" s="14" t="str">
        <f>IFERROR(__xludf.DUMMYFUNCTION("""COMPUTED_VALUE"""),"SELESAI (VIA PERMOHONAN)")</f>
        <v>SELESAI (VIA PERMOHONAN)</v>
      </c>
      <c r="G3989" s="17">
        <f>IFERROR(__xludf.DUMMYFUNCTION("""COMPUTED_VALUE"""),45937.789244583335)</f>
        <v>45937.78924</v>
      </c>
      <c r="H3989" s="14" t="str">
        <f>IFERROR(__xludf.DUMMYFUNCTION("""COMPUTED_VALUE"""),"Eci (SU)")</f>
        <v>Eci (SU)</v>
      </c>
      <c r="I3989" s="13" t="str">
        <f>IFERROR(__xludf.DUMMYFUNCTION("""COMPUTED_VALUE"""),"SELESAI (VIA PERMOHONAN)")</f>
        <v>SELESAI (VIA PERMOHONAN)</v>
      </c>
      <c r="J3989" s="17">
        <f>IFERROR(__xludf.DUMMYFUNCTION("""COMPUTED_VALUE"""),45939.63559144676)</f>
        <v>45939.63559</v>
      </c>
      <c r="K3989" s="13" t="str">
        <f>IFERROR(__xludf.DUMMYFUNCTION("""COMPUTED_VALUE"""),"Selesai")</f>
        <v>Selesai</v>
      </c>
      <c r="L3989" s="17">
        <f>IFERROR(__xludf.DUMMYFUNCTION("""COMPUTED_VALUE"""),45939.63559144676)</f>
        <v>45939.63559</v>
      </c>
      <c r="M3989" s="13"/>
      <c r="N3989" s="13" t="str">
        <f>IFERROR(__xludf.DUMMYFUNCTION("""COMPUTED_VALUE"""),"")</f>
        <v/>
      </c>
      <c r="O3989" s="13" t="str">
        <f t="shared" si="1"/>
        <v/>
      </c>
    </row>
    <row r="3990" ht="22.5" customHeight="1">
      <c r="B3990" s="13">
        <f>IFERROR(__xludf.DUMMYFUNCTION("""COMPUTED_VALUE"""),3985.0)</f>
        <v>3985</v>
      </c>
      <c r="C3990" s="13" t="str">
        <f>IFERROR(__xludf.DUMMYFUNCTION("""COMPUTED_VALUE"""),"M. 1018/SUSUNAN BARU")</f>
        <v>M. 1018/SUSUNAN BARU</v>
      </c>
      <c r="D3990" s="13" t="str">
        <f>IFERROR(__xludf.DUMMYFUNCTION("""COMPUTED_VALUE"""),"K/24/190925/1")</f>
        <v>K/24/190925/1</v>
      </c>
      <c r="E3990" s="14" t="str">
        <f>IFERROR(__xludf.DUMMYFUNCTION("""COMPUTED_VALUE"""),"Heri (BT)")</f>
        <v>Heri (BT)</v>
      </c>
      <c r="F3990" s="14" t="str">
        <f>IFERROR(__xludf.DUMMYFUNCTION("""COMPUTED_VALUE"""),"SELESAI (VIA PERMOHONAN)")</f>
        <v>SELESAI (VIA PERMOHONAN)</v>
      </c>
      <c r="G3990" s="17">
        <f>IFERROR(__xludf.DUMMYFUNCTION("""COMPUTED_VALUE"""),45937.78938533565)</f>
        <v>45937.78939</v>
      </c>
      <c r="H3990" s="14" t="str">
        <f>IFERROR(__xludf.DUMMYFUNCTION("""COMPUTED_VALUE"""),"Eci (SU)")</f>
        <v>Eci (SU)</v>
      </c>
      <c r="I3990" s="13" t="str">
        <f>IFERROR(__xludf.DUMMYFUNCTION("""COMPUTED_VALUE"""),"SELESAI (VIA PERMOHONAN)")</f>
        <v>SELESAI (VIA PERMOHONAN)</v>
      </c>
      <c r="J3990" s="17">
        <f>IFERROR(__xludf.DUMMYFUNCTION("""COMPUTED_VALUE"""),45939.637774999996)</f>
        <v>45939.63778</v>
      </c>
      <c r="K3990" s="13" t="str">
        <f>IFERROR(__xludf.DUMMYFUNCTION("""COMPUTED_VALUE"""),"Selesai")</f>
        <v>Selesai</v>
      </c>
      <c r="L3990" s="17">
        <f>IFERROR(__xludf.DUMMYFUNCTION("""COMPUTED_VALUE"""),45939.637774999996)</f>
        <v>45939.63778</v>
      </c>
      <c r="M3990" s="13"/>
      <c r="N3990" s="13" t="str">
        <f>IFERROR(__xludf.DUMMYFUNCTION("""COMPUTED_VALUE"""),"")</f>
        <v/>
      </c>
      <c r="O3990" s="13" t="str">
        <f t="shared" si="1"/>
        <v/>
      </c>
    </row>
    <row r="3991" ht="22.5" customHeight="1">
      <c r="B3991" s="13">
        <f>IFERROR(__xludf.DUMMYFUNCTION("""COMPUTED_VALUE"""),3986.0)</f>
        <v>3986</v>
      </c>
      <c r="C3991" s="13" t="str">
        <f>IFERROR(__xludf.DUMMYFUNCTION("""COMPUTED_VALUE"""),"M. 4832/TANJUNG SENANG")</f>
        <v>M. 4832/TANJUNG SENANG</v>
      </c>
      <c r="D3991" s="13" t="str">
        <f>IFERROR(__xludf.DUMMYFUNCTION("""COMPUTED_VALUE"""),"L/14/160925/1")</f>
        <v>L/14/160925/1</v>
      </c>
      <c r="E3991" s="14" t="str">
        <f>IFERROR(__xludf.DUMMYFUNCTION("""COMPUTED_VALUE"""),"Heri (BT)")</f>
        <v>Heri (BT)</v>
      </c>
      <c r="F3991" s="14" t="str">
        <f>IFERROR(__xludf.DUMMYFUNCTION("""COMPUTED_VALUE"""),"SELESAI (VIA PERMOHONAN)")</f>
        <v>SELESAI (VIA PERMOHONAN)</v>
      </c>
      <c r="G3991" s="17">
        <f>IFERROR(__xludf.DUMMYFUNCTION("""COMPUTED_VALUE"""),45937.78961092593)</f>
        <v>45937.78961</v>
      </c>
      <c r="H3991" s="14" t="str">
        <f>IFERROR(__xludf.DUMMYFUNCTION("""COMPUTED_VALUE"""),"Eci (SU)")</f>
        <v>Eci (SU)</v>
      </c>
      <c r="I3991" s="13" t="str">
        <f>IFERROR(__xludf.DUMMYFUNCTION("""COMPUTED_VALUE"""),"SELESAI (VIA PERMOHONAN)")</f>
        <v>SELESAI (VIA PERMOHONAN)</v>
      </c>
      <c r="J3991" s="17">
        <f>IFERROR(__xludf.DUMMYFUNCTION("""COMPUTED_VALUE"""),45938.69277542824)</f>
        <v>45938.69278</v>
      </c>
      <c r="K3991" s="13" t="str">
        <f>IFERROR(__xludf.DUMMYFUNCTION("""COMPUTED_VALUE"""),"Selesai")</f>
        <v>Selesai</v>
      </c>
      <c r="L3991" s="17">
        <f>IFERROR(__xludf.DUMMYFUNCTION("""COMPUTED_VALUE"""),45938.69277542824)</f>
        <v>45938.69278</v>
      </c>
      <c r="M3991" s="13"/>
      <c r="N3991" s="13" t="str">
        <f>IFERROR(__xludf.DUMMYFUNCTION("""COMPUTED_VALUE"""),"")</f>
        <v/>
      </c>
      <c r="O3991" s="13" t="str">
        <f t="shared" si="1"/>
        <v/>
      </c>
    </row>
    <row r="3992" ht="22.5" customHeight="1">
      <c r="B3992" s="13">
        <f>IFERROR(__xludf.DUMMYFUNCTION("""COMPUTED_VALUE"""),3987.0)</f>
        <v>3987</v>
      </c>
      <c r="C3992" s="13" t="str">
        <f>IFERROR(__xludf.DUMMYFUNCTION("""COMPUTED_VALUE"""),"M. 541/RAJABASA NUNYAI")</f>
        <v>M. 541/RAJABASA NUNYAI</v>
      </c>
      <c r="D3992" s="13" t="str">
        <f>IFERROR(__xludf.DUMMYFUNCTION("""COMPUTED_VALUE"""),"L/3/090925/1")</f>
        <v>L/3/090925/1</v>
      </c>
      <c r="E3992" s="14" t="str">
        <f>IFERROR(__xludf.DUMMYFUNCTION("""COMPUTED_VALUE"""),"Heri (BT)")</f>
        <v>Heri (BT)</v>
      </c>
      <c r="F3992" s="14" t="str">
        <f>IFERROR(__xludf.DUMMYFUNCTION("""COMPUTED_VALUE"""),"SELESAI (VIA PERMOHONAN)")</f>
        <v>SELESAI (VIA PERMOHONAN)</v>
      </c>
      <c r="G3992" s="17">
        <f>IFERROR(__xludf.DUMMYFUNCTION("""COMPUTED_VALUE"""),45937.78974694444)</f>
        <v>45937.78975</v>
      </c>
      <c r="H3992" s="14" t="str">
        <f>IFERROR(__xludf.DUMMYFUNCTION("""COMPUTED_VALUE"""),"Eci (SU)")</f>
        <v>Eci (SU)</v>
      </c>
      <c r="I3992" s="13" t="str">
        <f>IFERROR(__xludf.DUMMYFUNCTION("""COMPUTED_VALUE"""),"SELESAI (VIA PERMOHONAN)")</f>
        <v>SELESAI (VIA PERMOHONAN)</v>
      </c>
      <c r="J3992" s="17">
        <f>IFERROR(__xludf.DUMMYFUNCTION("""COMPUTED_VALUE"""),45938.69268142361)</f>
        <v>45938.69268</v>
      </c>
      <c r="K3992" s="13" t="str">
        <f>IFERROR(__xludf.DUMMYFUNCTION("""COMPUTED_VALUE"""),"Selesai")</f>
        <v>Selesai</v>
      </c>
      <c r="L3992" s="17">
        <f>IFERROR(__xludf.DUMMYFUNCTION("""COMPUTED_VALUE"""),45938.69268142361)</f>
        <v>45938.69268</v>
      </c>
      <c r="M3992" s="13"/>
      <c r="N3992" s="13" t="str">
        <f>IFERROR(__xludf.DUMMYFUNCTION("""COMPUTED_VALUE"""),"")</f>
        <v/>
      </c>
      <c r="O3992" s="13" t="str">
        <f t="shared" si="1"/>
        <v/>
      </c>
    </row>
    <row r="3993" ht="22.5" customHeight="1">
      <c r="B3993" s="13">
        <f>IFERROR(__xludf.DUMMYFUNCTION("""COMPUTED_VALUE"""),3988.0)</f>
        <v>3988</v>
      </c>
      <c r="C3993" s="13" t="str">
        <f>IFERROR(__xludf.DUMMYFUNCTION("""COMPUTED_VALUE"""),"M. 1936/CAMPANG RAYA")</f>
        <v>M. 1936/CAMPANG RAYA</v>
      </c>
      <c r="D3993" s="13" t="str">
        <f>IFERROR(__xludf.DUMMYFUNCTION("""COMPUTED_VALUE"""),"L/25/011025/1")</f>
        <v>L/25/011025/1</v>
      </c>
      <c r="E3993" s="14" t="str">
        <f>IFERROR(__xludf.DUMMYFUNCTION("""COMPUTED_VALUE"""),"Heri (BT)")</f>
        <v>Heri (BT)</v>
      </c>
      <c r="F3993" s="14" t="str">
        <f>IFERROR(__xludf.DUMMYFUNCTION("""COMPUTED_VALUE"""),"SELESAI (VIA PERMOHONAN)")</f>
        <v>SELESAI (VIA PERMOHONAN)</v>
      </c>
      <c r="G3993" s="17">
        <f>IFERROR(__xludf.DUMMYFUNCTION("""COMPUTED_VALUE"""),45937.78989230324)</f>
        <v>45937.78989</v>
      </c>
      <c r="H3993" s="14" t="str">
        <f>IFERROR(__xludf.DUMMYFUNCTION("""COMPUTED_VALUE"""),"Eci (SU)")</f>
        <v>Eci (SU)</v>
      </c>
      <c r="I3993" s="13" t="str">
        <f>IFERROR(__xludf.DUMMYFUNCTION("""COMPUTED_VALUE"""),"SELESAI (VIA PERMOHONAN)")</f>
        <v>SELESAI (VIA PERMOHONAN)</v>
      </c>
      <c r="J3993" s="17">
        <f>IFERROR(__xludf.DUMMYFUNCTION("""COMPUTED_VALUE"""),45939.63801915509)</f>
        <v>45939.63802</v>
      </c>
      <c r="K3993" s="13" t="str">
        <f>IFERROR(__xludf.DUMMYFUNCTION("""COMPUTED_VALUE"""),"Selesai")</f>
        <v>Selesai</v>
      </c>
      <c r="L3993" s="17">
        <f>IFERROR(__xludf.DUMMYFUNCTION("""COMPUTED_VALUE"""),45939.63801915509)</f>
        <v>45939.63802</v>
      </c>
      <c r="M3993" s="13"/>
      <c r="N3993" s="13" t="str">
        <f>IFERROR(__xludf.DUMMYFUNCTION("""COMPUTED_VALUE"""),"")</f>
        <v/>
      </c>
      <c r="O3993" s="13" t="str">
        <f t="shared" si="1"/>
        <v/>
      </c>
    </row>
    <row r="3994" ht="22.5" customHeight="1">
      <c r="B3994" s="13">
        <f>IFERROR(__xludf.DUMMYFUNCTION("""COMPUTED_VALUE"""),3989.0)</f>
        <v>3989</v>
      </c>
      <c r="C3994" s="13" t="str">
        <f>IFERROR(__xludf.DUMMYFUNCTION("""COMPUTED_VALUE"""),"M. 2188/CAMPANG RAYA")</f>
        <v>M. 2188/CAMPANG RAYA</v>
      </c>
      <c r="D3994" s="13" t="str">
        <f>IFERROR(__xludf.DUMMYFUNCTION("""COMPUTED_VALUE"""),"L/23/011027/1")</f>
        <v>L/23/011027/1</v>
      </c>
      <c r="E3994" s="14" t="str">
        <f>IFERROR(__xludf.DUMMYFUNCTION("""COMPUTED_VALUE"""),"Heri (BT)")</f>
        <v>Heri (BT)</v>
      </c>
      <c r="F3994" s="14" t="str">
        <f>IFERROR(__xludf.DUMMYFUNCTION("""COMPUTED_VALUE"""),"SELESAI (VIA PERMOHONAN)")</f>
        <v>SELESAI (VIA PERMOHONAN)</v>
      </c>
      <c r="G3994" s="17">
        <f>IFERROR(__xludf.DUMMYFUNCTION("""COMPUTED_VALUE"""),45937.79002980324)</f>
        <v>45937.79003</v>
      </c>
      <c r="H3994" s="14" t="str">
        <f>IFERROR(__xludf.DUMMYFUNCTION("""COMPUTED_VALUE"""),"Eci (SU)")</f>
        <v>Eci (SU)</v>
      </c>
      <c r="I3994" s="13" t="str">
        <f>IFERROR(__xludf.DUMMYFUNCTION("""COMPUTED_VALUE"""),"SELESAI (VIA PERMOHONAN)")</f>
        <v>SELESAI (VIA PERMOHONAN)</v>
      </c>
      <c r="J3994" s="17">
        <f>IFERROR(__xludf.DUMMYFUNCTION("""COMPUTED_VALUE"""),45939.6381996875)</f>
        <v>45939.6382</v>
      </c>
      <c r="K3994" s="13" t="str">
        <f>IFERROR(__xludf.DUMMYFUNCTION("""COMPUTED_VALUE"""),"Selesai")</f>
        <v>Selesai</v>
      </c>
      <c r="L3994" s="17">
        <f>IFERROR(__xludf.DUMMYFUNCTION("""COMPUTED_VALUE"""),45939.6381996875)</f>
        <v>45939.6382</v>
      </c>
      <c r="M3994" s="13"/>
      <c r="N3994" s="13" t="str">
        <f>IFERROR(__xludf.DUMMYFUNCTION("""COMPUTED_VALUE"""),"")</f>
        <v/>
      </c>
      <c r="O3994" s="13" t="str">
        <f t="shared" si="1"/>
        <v/>
      </c>
    </row>
    <row r="3995" ht="22.5" customHeight="1">
      <c r="B3995" s="13">
        <f>IFERROR(__xludf.DUMMYFUNCTION("""COMPUTED_VALUE"""),3990.0)</f>
        <v>3990</v>
      </c>
      <c r="C3995" s="13" t="str">
        <f>IFERROR(__xludf.DUMMYFUNCTION("""COMPUTED_VALUE"""),"M. 2794/SUMBERREJO")</f>
        <v>M. 2794/SUMBERREJO</v>
      </c>
      <c r="D3995" s="13" t="str">
        <f>IFERROR(__xludf.DUMMYFUNCTION("""COMPUTED_VALUE"""),"L/13/300925/1")</f>
        <v>L/13/300925/1</v>
      </c>
      <c r="E3995" s="14" t="str">
        <f>IFERROR(__xludf.DUMMYFUNCTION("""COMPUTED_VALUE"""),"Heri (BT)")</f>
        <v>Heri (BT)</v>
      </c>
      <c r="F3995" s="14" t="str">
        <f>IFERROR(__xludf.DUMMYFUNCTION("""COMPUTED_VALUE"""),"SELESAI (VIA PERMOHONAN)")</f>
        <v>SELESAI (VIA PERMOHONAN)</v>
      </c>
      <c r="G3995" s="17">
        <f>IFERROR(__xludf.DUMMYFUNCTION("""COMPUTED_VALUE"""),45937.79018589121)</f>
        <v>45937.79019</v>
      </c>
      <c r="H3995" s="14" t="str">
        <f>IFERROR(__xludf.DUMMYFUNCTION("""COMPUTED_VALUE"""),"Eci (SU)")</f>
        <v>Eci (SU)</v>
      </c>
      <c r="I3995" s="13" t="str">
        <f>IFERROR(__xludf.DUMMYFUNCTION("""COMPUTED_VALUE"""),"SELESAI (VIA PERMOHONAN)")</f>
        <v>SELESAI (VIA PERMOHONAN)</v>
      </c>
      <c r="J3995" s="17">
        <f>IFERROR(__xludf.DUMMYFUNCTION("""COMPUTED_VALUE"""),45938.69251782408)</f>
        <v>45938.69252</v>
      </c>
      <c r="K3995" s="13" t="str">
        <f>IFERROR(__xludf.DUMMYFUNCTION("""COMPUTED_VALUE"""),"Selesai")</f>
        <v>Selesai</v>
      </c>
      <c r="L3995" s="17">
        <f>IFERROR(__xludf.DUMMYFUNCTION("""COMPUTED_VALUE"""),45938.69251782408)</f>
        <v>45938.69252</v>
      </c>
      <c r="M3995" s="13"/>
      <c r="N3995" s="13" t="str">
        <f>IFERROR(__xludf.DUMMYFUNCTION("""COMPUTED_VALUE"""),"")</f>
        <v/>
      </c>
      <c r="O3995" s="13" t="str">
        <f t="shared" si="1"/>
        <v/>
      </c>
    </row>
    <row r="3996" ht="22.5" customHeight="1">
      <c r="B3996" s="13">
        <f>IFERROR(__xludf.DUMMYFUNCTION("""COMPUTED_VALUE"""),3991.0)</f>
        <v>3991</v>
      </c>
      <c r="C3996" s="13" t="str">
        <f>IFERROR(__xludf.DUMMYFUNCTION("""COMPUTED_VALUE"""),"M. 2793/SUMBERREJO")</f>
        <v>M. 2793/SUMBERREJO</v>
      </c>
      <c r="D3996" s="13" t="str">
        <f>IFERROR(__xludf.DUMMYFUNCTION("""COMPUTED_VALUE"""),"L/14/300925/2")</f>
        <v>L/14/300925/2</v>
      </c>
      <c r="E3996" s="14" t="str">
        <f>IFERROR(__xludf.DUMMYFUNCTION("""COMPUTED_VALUE"""),"Heri (BT)")</f>
        <v>Heri (BT)</v>
      </c>
      <c r="F3996" s="14" t="str">
        <f>IFERROR(__xludf.DUMMYFUNCTION("""COMPUTED_VALUE"""),"SELESAI (VIA PERMOHONAN)")</f>
        <v>SELESAI (VIA PERMOHONAN)</v>
      </c>
      <c r="G3996" s="17">
        <f>IFERROR(__xludf.DUMMYFUNCTION("""COMPUTED_VALUE"""),45937.79032886574)</f>
        <v>45937.79033</v>
      </c>
      <c r="H3996" s="14" t="str">
        <f>IFERROR(__xludf.DUMMYFUNCTION("""COMPUTED_VALUE"""),"Eci (SU)")</f>
        <v>Eci (SU)</v>
      </c>
      <c r="I3996" s="13" t="str">
        <f>IFERROR(__xludf.DUMMYFUNCTION("""COMPUTED_VALUE"""),"SELESAI (VIA PERMOHONAN)")</f>
        <v>SELESAI (VIA PERMOHONAN)</v>
      </c>
      <c r="J3996" s="17">
        <f>IFERROR(__xludf.DUMMYFUNCTION("""COMPUTED_VALUE"""),45938.692407002316)</f>
        <v>45938.69241</v>
      </c>
      <c r="K3996" s="13" t="str">
        <f>IFERROR(__xludf.DUMMYFUNCTION("""COMPUTED_VALUE"""),"Selesai")</f>
        <v>Selesai</v>
      </c>
      <c r="L3996" s="17">
        <f>IFERROR(__xludf.DUMMYFUNCTION("""COMPUTED_VALUE"""),45938.692407002316)</f>
        <v>45938.69241</v>
      </c>
      <c r="M3996" s="13"/>
      <c r="N3996" s="13" t="str">
        <f>IFERROR(__xludf.DUMMYFUNCTION("""COMPUTED_VALUE"""),"")</f>
        <v/>
      </c>
      <c r="O3996" s="13" t="str">
        <f t="shared" si="1"/>
        <v/>
      </c>
    </row>
    <row r="3997" ht="22.5" customHeight="1">
      <c r="B3997" s="13">
        <f>IFERROR(__xludf.DUMMYFUNCTION("""COMPUTED_VALUE"""),3992.0)</f>
        <v>3992</v>
      </c>
      <c r="C3997" s="13" t="str">
        <f>IFERROR(__xludf.DUMMYFUNCTION("""COMPUTED_VALUE"""),"M. 521/TANJUNG AGUNG")</f>
        <v>M. 521/TANJUNG AGUNG</v>
      </c>
      <c r="D3997" s="13" t="str">
        <f>IFERROR(__xludf.DUMMYFUNCTION("""COMPUTED_VALUE"""),"L/32/040925/1")</f>
        <v>L/32/040925/1</v>
      </c>
      <c r="E3997" s="14" t="str">
        <f>IFERROR(__xludf.DUMMYFUNCTION("""COMPUTED_VALUE"""),"Heri (BT)")</f>
        <v>Heri (BT)</v>
      </c>
      <c r="F3997" s="14" t="str">
        <f>IFERROR(__xludf.DUMMYFUNCTION("""COMPUTED_VALUE"""),"SELESAI (VIA PERMOHONAN)")</f>
        <v>SELESAI (VIA PERMOHONAN)</v>
      </c>
      <c r="G3997" s="17">
        <f>IFERROR(__xludf.DUMMYFUNCTION("""COMPUTED_VALUE"""),45937.79045638889)</f>
        <v>45937.79046</v>
      </c>
      <c r="H3997" s="14" t="str">
        <f>IFERROR(__xludf.DUMMYFUNCTION("""COMPUTED_VALUE"""),"Eci (SU)")</f>
        <v>Eci (SU)</v>
      </c>
      <c r="I3997" s="13" t="str">
        <f>IFERROR(__xludf.DUMMYFUNCTION("""COMPUTED_VALUE"""),"SELESAI (VIA PERMOHONAN)")</f>
        <v>SELESAI (VIA PERMOHONAN)</v>
      </c>
      <c r="J3997" s="17">
        <f>IFERROR(__xludf.DUMMYFUNCTION("""COMPUTED_VALUE"""),45939.63833366898)</f>
        <v>45939.63833</v>
      </c>
      <c r="K3997" s="13" t="str">
        <f>IFERROR(__xludf.DUMMYFUNCTION("""COMPUTED_VALUE"""),"Selesai")</f>
        <v>Selesai</v>
      </c>
      <c r="L3997" s="17">
        <f>IFERROR(__xludf.DUMMYFUNCTION("""COMPUTED_VALUE"""),45939.63833366898)</f>
        <v>45939.63833</v>
      </c>
      <c r="M3997" s="13"/>
      <c r="N3997" s="13" t="str">
        <f>IFERROR(__xludf.DUMMYFUNCTION("""COMPUTED_VALUE"""),"")</f>
        <v/>
      </c>
      <c r="O3997" s="13" t="str">
        <f t="shared" si="1"/>
        <v/>
      </c>
    </row>
    <row r="3998" ht="22.5" customHeight="1">
      <c r="B3998" s="13">
        <f>IFERROR(__xludf.DUMMYFUNCTION("""COMPUTED_VALUE"""),3993.0)</f>
        <v>3993</v>
      </c>
      <c r="C3998" s="13" t="str">
        <f>IFERROR(__xludf.DUMMYFUNCTION("""COMPUTED_VALUE"""),"M. 2806/BERINGIN RAYA")</f>
        <v>M. 2806/BERINGIN RAYA</v>
      </c>
      <c r="D3998" s="13" t="str">
        <f>IFERROR(__xludf.DUMMYFUNCTION("""COMPUTED_VALUE"""),"L/13/260925/1")</f>
        <v>L/13/260925/1</v>
      </c>
      <c r="E3998" s="14" t="str">
        <f>IFERROR(__xludf.DUMMYFUNCTION("""COMPUTED_VALUE"""),"Heri (BT)")</f>
        <v>Heri (BT)</v>
      </c>
      <c r="F3998" s="14" t="str">
        <f>IFERROR(__xludf.DUMMYFUNCTION("""COMPUTED_VALUE"""),"SELESAI (VIA PERMOHONAN)")</f>
        <v>SELESAI (VIA PERMOHONAN)</v>
      </c>
      <c r="G3998" s="17">
        <f>IFERROR(__xludf.DUMMYFUNCTION("""COMPUTED_VALUE"""),45937.790707754626)</f>
        <v>45937.79071</v>
      </c>
      <c r="H3998" s="14" t="str">
        <f>IFERROR(__xludf.DUMMYFUNCTION("""COMPUTED_VALUE"""),"Eci (SU)")</f>
        <v>Eci (SU)</v>
      </c>
      <c r="I3998" s="13" t="str">
        <f>IFERROR(__xludf.DUMMYFUNCTION("""COMPUTED_VALUE"""),"SELESAI (VIA PERMOHONAN)")</f>
        <v>SELESAI (VIA PERMOHONAN)</v>
      </c>
      <c r="J3998" s="17">
        <f>IFERROR(__xludf.DUMMYFUNCTION("""COMPUTED_VALUE"""),45938.692235243056)</f>
        <v>45938.69224</v>
      </c>
      <c r="K3998" s="13" t="str">
        <f>IFERROR(__xludf.DUMMYFUNCTION("""COMPUTED_VALUE"""),"Selesai")</f>
        <v>Selesai</v>
      </c>
      <c r="L3998" s="17">
        <f>IFERROR(__xludf.DUMMYFUNCTION("""COMPUTED_VALUE"""),45938.692235243056)</f>
        <v>45938.69224</v>
      </c>
      <c r="M3998" s="13"/>
      <c r="N3998" s="13" t="str">
        <f>IFERROR(__xludf.DUMMYFUNCTION("""COMPUTED_VALUE"""),"")</f>
        <v/>
      </c>
      <c r="O3998" s="13" t="str">
        <f t="shared" si="1"/>
        <v/>
      </c>
    </row>
    <row r="3999" ht="22.5" customHeight="1">
      <c r="B3999" s="13">
        <f>IFERROR(__xludf.DUMMYFUNCTION("""COMPUTED_VALUE"""),3994.0)</f>
        <v>3994</v>
      </c>
      <c r="C3999" s="13" t="str">
        <f>IFERROR(__xludf.DUMMYFUNCTION("""COMPUTED_VALUE"""),"B. 645/NUSANTARA PERMAI")</f>
        <v>B. 645/NUSANTARA PERMAI</v>
      </c>
      <c r="D3999" s="13" t="str">
        <f>IFERROR(__xludf.DUMMYFUNCTION("""COMPUTED_VALUE"""),"L/22/021025/1")</f>
        <v>L/22/021025/1</v>
      </c>
      <c r="E3999" s="14" t="str">
        <f>IFERROR(__xludf.DUMMYFUNCTION("""COMPUTED_VALUE"""),"Heri (BT)")</f>
        <v>Heri (BT)</v>
      </c>
      <c r="F3999" s="14" t="str">
        <f>IFERROR(__xludf.DUMMYFUNCTION("""COMPUTED_VALUE"""),"SELESAI (VIA PERMOHONAN)")</f>
        <v>SELESAI (VIA PERMOHONAN)</v>
      </c>
      <c r="G3999" s="17">
        <f>IFERROR(__xludf.DUMMYFUNCTION("""COMPUTED_VALUE"""),45937.79086815972)</f>
        <v>45937.79087</v>
      </c>
      <c r="H3999" s="14" t="str">
        <f>IFERROR(__xludf.DUMMYFUNCTION("""COMPUTED_VALUE"""),"Eci (SU)")</f>
        <v>Eci (SU)</v>
      </c>
      <c r="I3999" s="13" t="str">
        <f>IFERROR(__xludf.DUMMYFUNCTION("""COMPUTED_VALUE"""),"SELESAI (VIA PERMOHONAN)")</f>
        <v>SELESAI (VIA PERMOHONAN)</v>
      </c>
      <c r="J3999" s="17">
        <f>IFERROR(__xludf.DUMMYFUNCTION("""COMPUTED_VALUE"""),45939.63261888889)</f>
        <v>45939.63262</v>
      </c>
      <c r="K3999" s="13" t="str">
        <f>IFERROR(__xludf.DUMMYFUNCTION("""COMPUTED_VALUE"""),"Selesai")</f>
        <v>Selesai</v>
      </c>
      <c r="L3999" s="17">
        <f>IFERROR(__xludf.DUMMYFUNCTION("""COMPUTED_VALUE"""),45939.63261888889)</f>
        <v>45939.63262</v>
      </c>
      <c r="M3999" s="13"/>
      <c r="N3999" s="13" t="str">
        <f>IFERROR(__xludf.DUMMYFUNCTION("""COMPUTED_VALUE"""),"")</f>
        <v/>
      </c>
      <c r="O3999" s="13" t="str">
        <f t="shared" si="1"/>
        <v/>
      </c>
    </row>
    <row r="4000" ht="22.5" customHeight="1">
      <c r="B4000" s="13">
        <f>IFERROR(__xludf.DUMMYFUNCTION("""COMPUTED_VALUE"""),3995.0)</f>
        <v>3995</v>
      </c>
      <c r="C4000" s="13" t="str">
        <f>IFERROR(__xludf.DUMMYFUNCTION("""COMPUTED_VALUE"""),"B. 921/SUKARAME BARU")</f>
        <v>B. 921/SUKARAME BARU</v>
      </c>
      <c r="D4000" s="13" t="str">
        <f>IFERROR(__xludf.DUMMYFUNCTION("""COMPUTED_VALUE"""),"L/9/021025/1")</f>
        <v>L/9/021025/1</v>
      </c>
      <c r="E4000" s="14" t="str">
        <f>IFERROR(__xludf.DUMMYFUNCTION("""COMPUTED_VALUE"""),"Heri (BT)")</f>
        <v>Heri (BT)</v>
      </c>
      <c r="F4000" s="14" t="str">
        <f>IFERROR(__xludf.DUMMYFUNCTION("""COMPUTED_VALUE"""),"SELESAI (VIA PERMOHONAN)")</f>
        <v>SELESAI (VIA PERMOHONAN)</v>
      </c>
      <c r="G4000" s="17">
        <f>IFERROR(__xludf.DUMMYFUNCTION("""COMPUTED_VALUE"""),45937.791030555556)</f>
        <v>45937.79103</v>
      </c>
      <c r="H4000" s="14" t="str">
        <f>IFERROR(__xludf.DUMMYFUNCTION("""COMPUTED_VALUE"""),"Eci (SU)")</f>
        <v>Eci (SU)</v>
      </c>
      <c r="I4000" s="13" t="str">
        <f>IFERROR(__xludf.DUMMYFUNCTION("""COMPUTED_VALUE"""),"SELESAI (VIA PERMOHONAN)")</f>
        <v>SELESAI (VIA PERMOHONAN)</v>
      </c>
      <c r="J4000" s="17">
        <f>IFERROR(__xludf.DUMMYFUNCTION("""COMPUTED_VALUE"""),45939.63846025463)</f>
        <v>45939.63846</v>
      </c>
      <c r="K4000" s="13" t="str">
        <f>IFERROR(__xludf.DUMMYFUNCTION("""COMPUTED_VALUE"""),"Selesai")</f>
        <v>Selesai</v>
      </c>
      <c r="L4000" s="17">
        <f>IFERROR(__xludf.DUMMYFUNCTION("""COMPUTED_VALUE"""),45939.63846025463)</f>
        <v>45939.63846</v>
      </c>
      <c r="M4000" s="13"/>
      <c r="N4000" s="13" t="str">
        <f>IFERROR(__xludf.DUMMYFUNCTION("""COMPUTED_VALUE"""),"")</f>
        <v/>
      </c>
      <c r="O4000" s="13" t="str">
        <f t="shared" si="1"/>
        <v/>
      </c>
    </row>
    <row r="4001" ht="22.5" customHeight="1">
      <c r="B4001" s="13">
        <f>IFERROR(__xludf.DUMMYFUNCTION("""COMPUTED_VALUE"""),3996.0)</f>
        <v>3996</v>
      </c>
      <c r="C4001" s="13" t="str">
        <f>IFERROR(__xludf.DUMMYFUNCTION("""COMPUTED_VALUE"""),"M 2888/ CAMPANG RAYA")</f>
        <v>M 2888/ CAMPANG RAYA</v>
      </c>
      <c r="D4001" s="13" t="str">
        <f>IFERROR(__xludf.DUMMYFUNCTION("""COMPUTED_VALUE"""),"K/15/290925/2")</f>
        <v>K/15/290925/2</v>
      </c>
      <c r="E4001" s="14" t="str">
        <f>IFERROR(__xludf.DUMMYFUNCTION("""COMPUTED_VALUE"""),"Heri (BT)")</f>
        <v>Heri (BT)</v>
      </c>
      <c r="F4001" s="14" t="str">
        <f>IFERROR(__xludf.DUMMYFUNCTION("""COMPUTED_VALUE"""),"SELESAI (VIA PERMOHONAN)")</f>
        <v>SELESAI (VIA PERMOHONAN)</v>
      </c>
      <c r="G4001" s="17">
        <f>IFERROR(__xludf.DUMMYFUNCTION("""COMPUTED_VALUE"""),45937.791166006944)</f>
        <v>45937.79117</v>
      </c>
      <c r="H4001" s="14" t="str">
        <f>IFERROR(__xludf.DUMMYFUNCTION("""COMPUTED_VALUE"""),"Eci (SU)")</f>
        <v>Eci (SU)</v>
      </c>
      <c r="I4001" s="13" t="str">
        <f>IFERROR(__xludf.DUMMYFUNCTION("""COMPUTED_VALUE"""),"SELESAI (VIA PERMOHONAN)")</f>
        <v>SELESAI (VIA PERMOHONAN)</v>
      </c>
      <c r="J4001" s="17">
        <f>IFERROR(__xludf.DUMMYFUNCTION("""COMPUTED_VALUE"""),45939.638908078705)</f>
        <v>45939.63891</v>
      </c>
      <c r="K4001" s="13" t="str">
        <f>IFERROR(__xludf.DUMMYFUNCTION("""COMPUTED_VALUE"""),"Selesai")</f>
        <v>Selesai</v>
      </c>
      <c r="L4001" s="17">
        <f>IFERROR(__xludf.DUMMYFUNCTION("""COMPUTED_VALUE"""),45939.638908078705)</f>
        <v>45939.63891</v>
      </c>
      <c r="M4001" s="13"/>
      <c r="N4001" s="13" t="str">
        <f>IFERROR(__xludf.DUMMYFUNCTION("""COMPUTED_VALUE"""),"")</f>
        <v/>
      </c>
      <c r="O4001" s="13" t="str">
        <f t="shared" si="1"/>
        <v/>
      </c>
    </row>
    <row r="4002" ht="22.5" customHeight="1">
      <c r="B4002" s="13">
        <f>IFERROR(__xludf.DUMMYFUNCTION("""COMPUTED_VALUE"""),3997.0)</f>
        <v>3997</v>
      </c>
      <c r="C4002" s="13" t="str">
        <f>IFERROR(__xludf.DUMMYFUNCTION("""COMPUTED_VALUE"""),"M 176/ KEBON JERUK")</f>
        <v>M 176/ KEBON JERUK</v>
      </c>
      <c r="D4002" s="13" t="str">
        <f>IFERROR(__xludf.DUMMYFUNCTION("""COMPUTED_VALUE"""),"K/19/180925/1")</f>
        <v>K/19/180925/1</v>
      </c>
      <c r="E4002" s="14" t="str">
        <f>IFERROR(__xludf.DUMMYFUNCTION("""COMPUTED_VALUE"""),"Heri (BT)")</f>
        <v>Heri (BT)</v>
      </c>
      <c r="F4002" s="14" t="str">
        <f>IFERROR(__xludf.DUMMYFUNCTION("""COMPUTED_VALUE"""),"SELESAI (VIA PERMOHONAN)")</f>
        <v>SELESAI (VIA PERMOHONAN)</v>
      </c>
      <c r="G4002" s="17">
        <f>IFERROR(__xludf.DUMMYFUNCTION("""COMPUTED_VALUE"""),45937.79133284722)</f>
        <v>45937.79133</v>
      </c>
      <c r="H4002" s="14" t="str">
        <f>IFERROR(__xludf.DUMMYFUNCTION("""COMPUTED_VALUE"""),"Eci (SU)")</f>
        <v>Eci (SU)</v>
      </c>
      <c r="I4002" s="13" t="str">
        <f>IFERROR(__xludf.DUMMYFUNCTION("""COMPUTED_VALUE"""),"SELESAI (VIA PERMOHONAN)")</f>
        <v>SELESAI (VIA PERMOHONAN)</v>
      </c>
      <c r="J4002" s="17">
        <f>IFERROR(__xludf.DUMMYFUNCTION("""COMPUTED_VALUE"""),45939.639059594905)</f>
        <v>45939.63906</v>
      </c>
      <c r="K4002" s="13" t="str">
        <f>IFERROR(__xludf.DUMMYFUNCTION("""COMPUTED_VALUE"""),"Selesai")</f>
        <v>Selesai</v>
      </c>
      <c r="L4002" s="17">
        <f>IFERROR(__xludf.DUMMYFUNCTION("""COMPUTED_VALUE"""),45939.639059594905)</f>
        <v>45939.63906</v>
      </c>
      <c r="M4002" s="13"/>
      <c r="N4002" s="13" t="str">
        <f>IFERROR(__xludf.DUMMYFUNCTION("""COMPUTED_VALUE"""),"")</f>
        <v/>
      </c>
      <c r="O4002" s="13" t="str">
        <f t="shared" si="1"/>
        <v/>
      </c>
    </row>
    <row r="4003" ht="22.5" customHeight="1">
      <c r="B4003" s="13">
        <f>IFERROR(__xludf.DUMMYFUNCTION("""COMPUTED_VALUE"""),3998.0)</f>
        <v>3998</v>
      </c>
      <c r="C4003" s="13" t="str">
        <f>IFERROR(__xludf.DUMMYFUNCTION("""COMPUTED_VALUE"""),"M 1835/ RAJABASA PEMUKA")</f>
        <v>M 1835/ RAJABASA PEMUKA</v>
      </c>
      <c r="D4003" s="13" t="str">
        <f>IFERROR(__xludf.DUMMYFUNCTION("""COMPUTED_VALUE"""),"K/25/150925/1")</f>
        <v>K/25/150925/1</v>
      </c>
      <c r="E4003" s="14" t="str">
        <f>IFERROR(__xludf.DUMMYFUNCTION("""COMPUTED_VALUE"""),"Heri (BT)")</f>
        <v>Heri (BT)</v>
      </c>
      <c r="F4003" s="14" t="str">
        <f>IFERROR(__xludf.DUMMYFUNCTION("""COMPUTED_VALUE"""),"SELESAI (VIA PERMOHONAN)")</f>
        <v>SELESAI (VIA PERMOHONAN)</v>
      </c>
      <c r="G4003" s="17">
        <f>IFERROR(__xludf.DUMMYFUNCTION("""COMPUTED_VALUE"""),45937.791470729164)</f>
        <v>45937.79147</v>
      </c>
      <c r="H4003" s="14" t="str">
        <f>IFERROR(__xludf.DUMMYFUNCTION("""COMPUTED_VALUE"""),"Eci (SU)")</f>
        <v>Eci (SU)</v>
      </c>
      <c r="I4003" s="13" t="str">
        <f>IFERROR(__xludf.DUMMYFUNCTION("""COMPUTED_VALUE"""),"SELESAI (VIA PERMOHONAN)")</f>
        <v>SELESAI (VIA PERMOHONAN)</v>
      </c>
      <c r="J4003" s="17">
        <f>IFERROR(__xludf.DUMMYFUNCTION("""COMPUTED_VALUE"""),45938.69216664352)</f>
        <v>45938.69217</v>
      </c>
      <c r="K4003" s="13" t="str">
        <f>IFERROR(__xludf.DUMMYFUNCTION("""COMPUTED_VALUE"""),"Selesai")</f>
        <v>Selesai</v>
      </c>
      <c r="L4003" s="17">
        <f>IFERROR(__xludf.DUMMYFUNCTION("""COMPUTED_VALUE"""),45938.69216664352)</f>
        <v>45938.69217</v>
      </c>
      <c r="M4003" s="13"/>
      <c r="N4003" s="13" t="str">
        <f>IFERROR(__xludf.DUMMYFUNCTION("""COMPUTED_VALUE"""),"")</f>
        <v/>
      </c>
      <c r="O4003" s="13" t="str">
        <f t="shared" si="1"/>
        <v/>
      </c>
    </row>
    <row r="4004" ht="22.5" customHeight="1">
      <c r="B4004" s="13">
        <f>IFERROR(__xludf.DUMMYFUNCTION("""COMPUTED_VALUE"""),3999.0)</f>
        <v>3999</v>
      </c>
      <c r="C4004" s="13" t="str">
        <f>IFERROR(__xludf.DUMMYFUNCTION("""COMPUTED_VALUE"""),"M 203/ KEDAUNG")</f>
        <v>M 203/ KEDAUNG</v>
      </c>
      <c r="D4004" s="13" t="str">
        <f>IFERROR(__xludf.DUMMYFUNCTION("""COMPUTED_VALUE"""),"K/1/220925/1")</f>
        <v>K/1/220925/1</v>
      </c>
      <c r="E4004" s="14" t="str">
        <f>IFERROR(__xludf.DUMMYFUNCTION("""COMPUTED_VALUE"""),"Heri (BT)")</f>
        <v>Heri (BT)</v>
      </c>
      <c r="F4004" s="14" t="str">
        <f>IFERROR(__xludf.DUMMYFUNCTION("""COMPUTED_VALUE"""),"SELESAI (VIA PERMOHONAN)")</f>
        <v>SELESAI (VIA PERMOHONAN)</v>
      </c>
      <c r="G4004" s="17">
        <f>IFERROR(__xludf.DUMMYFUNCTION("""COMPUTED_VALUE"""),45937.79167091435)</f>
        <v>45937.79167</v>
      </c>
      <c r="H4004" s="14" t="str">
        <f>IFERROR(__xludf.DUMMYFUNCTION("""COMPUTED_VALUE"""),"Eci (SU)")</f>
        <v>Eci (SU)</v>
      </c>
      <c r="I4004" s="13" t="str">
        <f>IFERROR(__xludf.DUMMYFUNCTION("""COMPUTED_VALUE"""),"SELESAI (VIA PERMOHONAN)")</f>
        <v>SELESAI (VIA PERMOHONAN)</v>
      </c>
      <c r="J4004" s="17">
        <f>IFERROR(__xludf.DUMMYFUNCTION("""COMPUTED_VALUE"""),45938.691960543976)</f>
        <v>45938.69196</v>
      </c>
      <c r="K4004" s="13" t="str">
        <f>IFERROR(__xludf.DUMMYFUNCTION("""COMPUTED_VALUE"""),"Selesai")</f>
        <v>Selesai</v>
      </c>
      <c r="L4004" s="17">
        <f>IFERROR(__xludf.DUMMYFUNCTION("""COMPUTED_VALUE"""),45938.691960543976)</f>
        <v>45938.69196</v>
      </c>
      <c r="M4004" s="13"/>
      <c r="N4004" s="13" t="str">
        <f>IFERROR(__xludf.DUMMYFUNCTION("""COMPUTED_VALUE"""),"")</f>
        <v/>
      </c>
      <c r="O4004" s="13" t="str">
        <f t="shared" si="1"/>
        <v/>
      </c>
    </row>
    <row r="4005" ht="22.5" customHeight="1">
      <c r="B4005" s="13">
        <f>IFERROR(__xludf.DUMMYFUNCTION("""COMPUTED_VALUE"""),4000.0)</f>
        <v>4000</v>
      </c>
      <c r="C4005" s="13" t="str">
        <f>IFERROR(__xludf.DUMMYFUNCTION("""COMPUTED_VALUE"""),"M 2156/ LABUHAN RATU RAYA")</f>
        <v>M 2156/ LABUHAN RATU RAYA</v>
      </c>
      <c r="D4005" s="13" t="str">
        <f>IFERROR(__xludf.DUMMYFUNCTION("""COMPUTED_VALUE"""),"K/11/160925/2")</f>
        <v>K/11/160925/2</v>
      </c>
      <c r="E4005" s="14" t="str">
        <f>IFERROR(__xludf.DUMMYFUNCTION("""COMPUTED_VALUE"""),"Heri (BT)")</f>
        <v>Heri (BT)</v>
      </c>
      <c r="F4005" s="14" t="str">
        <f>IFERROR(__xludf.DUMMYFUNCTION("""COMPUTED_VALUE"""),"SELESAI (VIA PERMOHONAN)")</f>
        <v>SELESAI (VIA PERMOHONAN)</v>
      </c>
      <c r="G4005" s="17">
        <f>IFERROR(__xludf.DUMMYFUNCTION("""COMPUTED_VALUE"""),45937.7918146875)</f>
        <v>45937.79181</v>
      </c>
      <c r="H4005" s="14" t="str">
        <f>IFERROR(__xludf.DUMMYFUNCTION("""COMPUTED_VALUE"""),"Eci (SU)")</f>
        <v>Eci (SU)</v>
      </c>
      <c r="I4005" s="13" t="str">
        <f>IFERROR(__xludf.DUMMYFUNCTION("""COMPUTED_VALUE"""),"SELESAI (VIA PERMOHONAN)")</f>
        <v>SELESAI (VIA PERMOHONAN)</v>
      </c>
      <c r="J4005" s="17">
        <f>IFERROR(__xludf.DUMMYFUNCTION("""COMPUTED_VALUE"""),45939.63922732639)</f>
        <v>45939.63923</v>
      </c>
      <c r="K4005" s="13" t="str">
        <f>IFERROR(__xludf.DUMMYFUNCTION("""COMPUTED_VALUE"""),"Selesai")</f>
        <v>Selesai</v>
      </c>
      <c r="L4005" s="17">
        <f>IFERROR(__xludf.DUMMYFUNCTION("""COMPUTED_VALUE"""),45939.63922732639)</f>
        <v>45939.63923</v>
      </c>
      <c r="M4005" s="13"/>
      <c r="N4005" s="13" t="str">
        <f>IFERROR(__xludf.DUMMYFUNCTION("""COMPUTED_VALUE"""),"")</f>
        <v/>
      </c>
      <c r="O4005" s="13" t="str">
        <f t="shared" si="1"/>
        <v/>
      </c>
    </row>
    <row r="4006" ht="22.5" customHeight="1">
      <c r="B4006" s="13">
        <f>IFERROR(__xludf.DUMMYFUNCTION("""COMPUTED_VALUE"""),4001.0)</f>
        <v>4001</v>
      </c>
      <c r="C4006" s="13" t="str">
        <f>IFERROR(__xludf.DUMMYFUNCTION("""COMPUTED_VALUE"""),"M.129/SUKARAME BARU")</f>
        <v>M.129/SUKARAME BARU</v>
      </c>
      <c r="D4006" s="13" t="str">
        <f>IFERROR(__xludf.DUMMYFUNCTION("""COMPUTED_VALUE"""),"L/5/180925/1")</f>
        <v>L/5/180925/1</v>
      </c>
      <c r="E4006" s="14" t="str">
        <f>IFERROR(__xludf.DUMMYFUNCTION("""COMPUTED_VALUE"""),"Heri (BT)")</f>
        <v>Heri (BT)</v>
      </c>
      <c r="F4006" s="14" t="str">
        <f>IFERROR(__xludf.DUMMYFUNCTION("""COMPUTED_VALUE"""),"SELESAI (VIA PERMOHONAN)")</f>
        <v>SELESAI (VIA PERMOHONAN)</v>
      </c>
      <c r="G4006" s="17">
        <f>IFERROR(__xludf.DUMMYFUNCTION("""COMPUTED_VALUE"""),45937.79194465278)</f>
        <v>45937.79194</v>
      </c>
      <c r="H4006" s="14" t="str">
        <f>IFERROR(__xludf.DUMMYFUNCTION("""COMPUTED_VALUE"""),"Eci (SU)")</f>
        <v>Eci (SU)</v>
      </c>
      <c r="I4006" s="13" t="str">
        <f>IFERROR(__xludf.DUMMYFUNCTION("""COMPUTED_VALUE"""),"SELESAI (VIA PERMOHONAN)")</f>
        <v>SELESAI (VIA PERMOHONAN)</v>
      </c>
      <c r="J4006" s="17">
        <f>IFERROR(__xludf.DUMMYFUNCTION("""COMPUTED_VALUE"""),45939.63963952546)</f>
        <v>45939.63964</v>
      </c>
      <c r="K4006" s="13" t="str">
        <f>IFERROR(__xludf.DUMMYFUNCTION("""COMPUTED_VALUE"""),"Selesai")</f>
        <v>Selesai</v>
      </c>
      <c r="L4006" s="17">
        <f>IFERROR(__xludf.DUMMYFUNCTION("""COMPUTED_VALUE"""),45939.63963952546)</f>
        <v>45939.63964</v>
      </c>
      <c r="M4006" s="13"/>
      <c r="N4006" s="13" t="str">
        <f>IFERROR(__xludf.DUMMYFUNCTION("""COMPUTED_VALUE"""),"")</f>
        <v/>
      </c>
      <c r="O4006" s="13" t="str">
        <f t="shared" si="1"/>
        <v/>
      </c>
    </row>
    <row r="4007" ht="22.5" customHeight="1">
      <c r="B4007" s="13">
        <f>IFERROR(__xludf.DUMMYFUNCTION("""COMPUTED_VALUE"""),4002.0)</f>
        <v>4002</v>
      </c>
      <c r="C4007" s="13" t="str">
        <f>IFERROR(__xludf.DUMMYFUNCTION("""COMPUTED_VALUE"""),"M. 9724/KAMPUNG BARU")</f>
        <v>M. 9724/KAMPUNG BARU</v>
      </c>
      <c r="D4007" s="13" t="str">
        <f>IFERROR(__xludf.DUMMYFUNCTION("""COMPUTED_VALUE"""),"K/37/090925/3")</f>
        <v>K/37/090925/3</v>
      </c>
      <c r="E4007" s="14" t="str">
        <f>IFERROR(__xludf.DUMMYFUNCTION("""COMPUTED_VALUE"""),"Admin (Migrasi)")</f>
        <v>Admin (Migrasi)</v>
      </c>
      <c r="F4007" s="14" t="str">
        <f>IFERROR(__xludf.DUMMYFUNCTION("""COMPUTED_VALUE"""),"SELESAI (VIA PERMOHONAN)")</f>
        <v>SELESAI (VIA PERMOHONAN)</v>
      </c>
      <c r="G4007" s="17">
        <f>IFERROR(__xludf.DUMMYFUNCTION("""COMPUTED_VALUE"""),45938.436411030096)</f>
        <v>45938.43641</v>
      </c>
      <c r="H4007" s="14" t="str">
        <f>IFERROR(__xludf.DUMMYFUNCTION("""COMPUTED_VALUE"""),"Admin (Migrasi)")</f>
        <v>Admin (Migrasi)</v>
      </c>
      <c r="I4007" s="13" t="str">
        <f>IFERROR(__xludf.DUMMYFUNCTION("""COMPUTED_VALUE"""),"SELESAI (VIA PERMOHONAN)")</f>
        <v>SELESAI (VIA PERMOHONAN)</v>
      </c>
      <c r="J4007" s="17">
        <f>IFERROR(__xludf.DUMMYFUNCTION("""COMPUTED_VALUE"""),45938.43644061343)</f>
        <v>45938.43644</v>
      </c>
      <c r="K4007" s="13" t="str">
        <f>IFERROR(__xludf.DUMMYFUNCTION("""COMPUTED_VALUE"""),"Selesai")</f>
        <v>Selesai</v>
      </c>
      <c r="L4007" s="17">
        <f>IFERROR(__xludf.DUMMYFUNCTION("""COMPUTED_VALUE"""),45938.43644061343)</f>
        <v>45938.43644</v>
      </c>
      <c r="M4007" s="13"/>
      <c r="N4007" s="13" t="str">
        <f>IFERROR(__xludf.DUMMYFUNCTION("""COMPUTED_VALUE"""),"")</f>
        <v/>
      </c>
      <c r="O4007" s="13" t="str">
        <f t="shared" si="1"/>
        <v/>
      </c>
    </row>
    <row r="4008" ht="22.5" customHeight="1">
      <c r="B4008" s="13">
        <f>IFERROR(__xludf.DUMMYFUNCTION("""COMPUTED_VALUE"""),4003.0)</f>
        <v>4003</v>
      </c>
      <c r="C4008" s="13" t="str">
        <f>IFERROR(__xludf.DUMMYFUNCTION("""COMPUTED_VALUE"""),"M. 2177/LABUHAN RATU RAYA")</f>
        <v>M. 2177/LABUHAN RATU RAYA</v>
      </c>
      <c r="D4008" s="13" t="str">
        <f>IFERROR(__xludf.DUMMYFUNCTION("""COMPUTED_VALUE"""),"K/14/110925/1")</f>
        <v>K/14/110925/1</v>
      </c>
      <c r="E4008" s="14" t="str">
        <f>IFERROR(__xludf.DUMMYFUNCTION("""COMPUTED_VALUE"""),"Admin (Migrasi)")</f>
        <v>Admin (Migrasi)</v>
      </c>
      <c r="F4008" s="14" t="str">
        <f>IFERROR(__xludf.DUMMYFUNCTION("""COMPUTED_VALUE"""),"SELESAI (VIA PERMOHONAN)")</f>
        <v>SELESAI (VIA PERMOHONAN)</v>
      </c>
      <c r="G4008" s="17">
        <f>IFERROR(__xludf.DUMMYFUNCTION("""COMPUTED_VALUE"""),45938.43770358796)</f>
        <v>45938.4377</v>
      </c>
      <c r="H4008" s="14" t="str">
        <f>IFERROR(__xludf.DUMMYFUNCTION("""COMPUTED_VALUE"""),"Admin (Migrasi)")</f>
        <v>Admin (Migrasi)</v>
      </c>
      <c r="I4008" s="13" t="str">
        <f>IFERROR(__xludf.DUMMYFUNCTION("""COMPUTED_VALUE"""),"SELESAI (VIA PERMOHONAN)")</f>
        <v>SELESAI (VIA PERMOHONAN)</v>
      </c>
      <c r="J4008" s="17">
        <f>IFERROR(__xludf.DUMMYFUNCTION("""COMPUTED_VALUE"""),45938.437767800926)</f>
        <v>45938.43777</v>
      </c>
      <c r="K4008" s="13" t="str">
        <f>IFERROR(__xludf.DUMMYFUNCTION("""COMPUTED_VALUE"""),"Selesai")</f>
        <v>Selesai</v>
      </c>
      <c r="L4008" s="17">
        <f>IFERROR(__xludf.DUMMYFUNCTION("""COMPUTED_VALUE"""),45938.437767800926)</f>
        <v>45938.43777</v>
      </c>
      <c r="M4008" s="13"/>
      <c r="N4008" s="13" t="str">
        <f>IFERROR(__xludf.DUMMYFUNCTION("""COMPUTED_VALUE"""),"")</f>
        <v/>
      </c>
      <c r="O4008" s="13" t="str">
        <f t="shared" si="1"/>
        <v/>
      </c>
    </row>
    <row r="4009" ht="22.5" customHeight="1">
      <c r="B4009" s="13">
        <f>IFERROR(__xludf.DUMMYFUNCTION("""COMPUTED_VALUE"""),4004.0)</f>
        <v>4004</v>
      </c>
      <c r="C4009" s="13" t="str">
        <f>IFERROR(__xludf.DUMMYFUNCTION("""COMPUTED_VALUE"""),"M. 846/SEPANG JAYA")</f>
        <v>M. 846/SEPANG JAYA</v>
      </c>
      <c r="D4009" s="13" t="str">
        <f>IFERROR(__xludf.DUMMYFUNCTION("""COMPUTED_VALUE"""),"K/40/270825/1")</f>
        <v>K/40/270825/1</v>
      </c>
      <c r="E4009" s="14" t="str">
        <f>IFERROR(__xludf.DUMMYFUNCTION("""COMPUTED_VALUE"""),"Admin (Migrasi)")</f>
        <v>Admin (Migrasi)</v>
      </c>
      <c r="F4009" s="14" t="str">
        <f>IFERROR(__xludf.DUMMYFUNCTION("""COMPUTED_VALUE"""),"SELESAI (VIA PERMOHONAN)")</f>
        <v>SELESAI (VIA PERMOHONAN)</v>
      </c>
      <c r="G4009" s="17">
        <f>IFERROR(__xludf.DUMMYFUNCTION("""COMPUTED_VALUE"""),45938.43750644676)</f>
        <v>45938.43751</v>
      </c>
      <c r="H4009" s="14" t="str">
        <f>IFERROR(__xludf.DUMMYFUNCTION("""COMPUTED_VALUE"""),"Admin (Migrasi)")</f>
        <v>Admin (Migrasi)</v>
      </c>
      <c r="I4009" s="13" t="str">
        <f>IFERROR(__xludf.DUMMYFUNCTION("""COMPUTED_VALUE"""),"SELESAI (VIA PERMOHONAN)")</f>
        <v>SELESAI (VIA PERMOHONAN)</v>
      </c>
      <c r="J4009" s="17">
        <f>IFERROR(__xludf.DUMMYFUNCTION("""COMPUTED_VALUE"""),45938.43761329861)</f>
        <v>45938.43761</v>
      </c>
      <c r="K4009" s="13" t="str">
        <f>IFERROR(__xludf.DUMMYFUNCTION("""COMPUTED_VALUE"""),"Selesai")</f>
        <v>Selesai</v>
      </c>
      <c r="L4009" s="17">
        <f>IFERROR(__xludf.DUMMYFUNCTION("""COMPUTED_VALUE"""),45938.43761329861)</f>
        <v>45938.43761</v>
      </c>
      <c r="M4009" s="13"/>
      <c r="N4009" s="13" t="str">
        <f>IFERROR(__xludf.DUMMYFUNCTION("""COMPUTED_VALUE"""),"")</f>
        <v/>
      </c>
      <c r="O4009" s="13" t="str">
        <f t="shared" si="1"/>
        <v/>
      </c>
    </row>
    <row r="4010" ht="22.5" customHeight="1">
      <c r="B4010" s="13">
        <f>IFERROR(__xludf.DUMMYFUNCTION("""COMPUTED_VALUE"""),4005.0)</f>
        <v>4005</v>
      </c>
      <c r="C4010" s="13" t="str">
        <f>IFERROR(__xludf.DUMMYFUNCTION("""COMPUTED_VALUE"""),"B. 374/Rajabasa Nunyai	")</f>
        <v>B. 374/Rajabasa Nunyai	</v>
      </c>
      <c r="D4010" s="13" t="str">
        <f>IFERROR(__xludf.DUMMYFUNCTION("""COMPUTED_VALUE"""),"K/2/081025/2")</f>
        <v>K/2/081025/2</v>
      </c>
      <c r="E4010" s="14" t="str">
        <f>IFERROR(__xludf.DUMMYFUNCTION("""COMPUTED_VALUE"""),"Admin (Migrasi)")</f>
        <v>Admin (Migrasi)</v>
      </c>
      <c r="F4010" s="14" t="str">
        <f>IFERROR(__xludf.DUMMYFUNCTION("""COMPUTED_VALUE"""),"SELESAI (VIA PERMOHONAN)")</f>
        <v>SELESAI (VIA PERMOHONAN)</v>
      </c>
      <c r="G4010" s="17">
        <f>IFERROR(__xludf.DUMMYFUNCTION("""COMPUTED_VALUE"""),45938.45266037037)</f>
        <v>45938.45266</v>
      </c>
      <c r="H4010" s="14" t="str">
        <f>IFERROR(__xludf.DUMMYFUNCTION("""COMPUTED_VALUE"""),"Admin (Migrasi)")</f>
        <v>Admin (Migrasi)</v>
      </c>
      <c r="I4010" s="13" t="str">
        <f>IFERROR(__xludf.DUMMYFUNCTION("""COMPUTED_VALUE"""),"SELESAI (VIA PERMOHONAN)")</f>
        <v>SELESAI (VIA PERMOHONAN)</v>
      </c>
      <c r="J4010" s="17">
        <f>IFERROR(__xludf.DUMMYFUNCTION("""COMPUTED_VALUE"""),45938.452736782405)</f>
        <v>45938.45274</v>
      </c>
      <c r="K4010" s="13" t="str">
        <f>IFERROR(__xludf.DUMMYFUNCTION("""COMPUTED_VALUE"""),"Selesai")</f>
        <v>Selesai</v>
      </c>
      <c r="L4010" s="17">
        <f>IFERROR(__xludf.DUMMYFUNCTION("""COMPUTED_VALUE"""),45938.452736782405)</f>
        <v>45938.45274</v>
      </c>
      <c r="M4010" s="13"/>
      <c r="N4010" s="13" t="str">
        <f>IFERROR(__xludf.DUMMYFUNCTION("""COMPUTED_VALUE"""),"")</f>
        <v/>
      </c>
      <c r="O4010" s="13" t="str">
        <f t="shared" si="1"/>
        <v/>
      </c>
    </row>
    <row r="4011" ht="22.5" customHeight="1">
      <c r="B4011" s="13">
        <f>IFERROR(__xludf.DUMMYFUNCTION("""COMPUTED_VALUE"""),4006.0)</f>
        <v>4006</v>
      </c>
      <c r="C4011" s="13" t="str">
        <f>IFERROR(__xludf.DUMMYFUNCTION("""COMPUTED_VALUE"""),"M. 3191/Sukarame Baru	")</f>
        <v>M. 3191/Sukarame Baru	</v>
      </c>
      <c r="D4011" s="13" t="str">
        <f>IFERROR(__xludf.DUMMYFUNCTION("""COMPUTED_VALUE"""),"K/15/080925/1")</f>
        <v>K/15/080925/1</v>
      </c>
      <c r="E4011" s="14" t="str">
        <f>IFERROR(__xludf.DUMMYFUNCTION("""COMPUTED_VALUE"""),"Admin (Migrasi)")</f>
        <v>Admin (Migrasi)</v>
      </c>
      <c r="F4011" s="14" t="str">
        <f>IFERROR(__xludf.DUMMYFUNCTION("""COMPUTED_VALUE"""),"SELESAI (VIA PERMOHONAN)")</f>
        <v>SELESAI (VIA PERMOHONAN)</v>
      </c>
      <c r="G4011" s="17">
        <f>IFERROR(__xludf.DUMMYFUNCTION("""COMPUTED_VALUE"""),45938.452865115745)</f>
        <v>45938.45287</v>
      </c>
      <c r="H4011" s="14" t="str">
        <f>IFERROR(__xludf.DUMMYFUNCTION("""COMPUTED_VALUE"""),"Admin (Migrasi)")</f>
        <v>Admin (Migrasi)</v>
      </c>
      <c r="I4011" s="13" t="str">
        <f>IFERROR(__xludf.DUMMYFUNCTION("""COMPUTED_VALUE"""),"SELESAI (VIA PERMOHONAN)")</f>
        <v>SELESAI (VIA PERMOHONAN)</v>
      </c>
      <c r="J4011" s="17">
        <f>IFERROR(__xludf.DUMMYFUNCTION("""COMPUTED_VALUE"""),45938.452891168985)</f>
        <v>45938.45289</v>
      </c>
      <c r="K4011" s="13" t="str">
        <f>IFERROR(__xludf.DUMMYFUNCTION("""COMPUTED_VALUE"""),"Selesai")</f>
        <v>Selesai</v>
      </c>
      <c r="L4011" s="17">
        <f>IFERROR(__xludf.DUMMYFUNCTION("""COMPUTED_VALUE"""),45938.452891168985)</f>
        <v>45938.45289</v>
      </c>
      <c r="M4011" s="13"/>
      <c r="N4011" s="13" t="str">
        <f>IFERROR(__xludf.DUMMYFUNCTION("""COMPUTED_VALUE"""),"")</f>
        <v/>
      </c>
      <c r="O4011" s="13" t="str">
        <f t="shared" si="1"/>
        <v/>
      </c>
    </row>
    <row r="4012" ht="22.5" customHeight="1">
      <c r="B4012" s="13">
        <f>IFERROR(__xludf.DUMMYFUNCTION("""COMPUTED_VALUE"""),4007.0)</f>
        <v>4007</v>
      </c>
      <c r="C4012" s="13" t="str">
        <f>IFERROR(__xludf.DUMMYFUNCTION("""COMPUTED_VALUE"""),"M 1536/ AHMAD KADAFI")</f>
        <v>M 1536/ AHMAD KADAFI</v>
      </c>
      <c r="D4012" s="13" t="str">
        <f>IFERROR(__xludf.DUMMYFUNCTION("""COMPUTED_VALUE"""),"K/12/040928/1")</f>
        <v>K/12/040928/1</v>
      </c>
      <c r="E4012" s="14" t="str">
        <f>IFERROR(__xludf.DUMMYFUNCTION("""COMPUTED_VALUE"""),"Admin (Migrasi)")</f>
        <v>Admin (Migrasi)</v>
      </c>
      <c r="F4012" s="14" t="str">
        <f>IFERROR(__xludf.DUMMYFUNCTION("""COMPUTED_VALUE"""),"SELESAI (VIA PERMOHONAN)")</f>
        <v>SELESAI (VIA PERMOHONAN)</v>
      </c>
      <c r="G4012" s="17">
        <f>IFERROR(__xludf.DUMMYFUNCTION("""COMPUTED_VALUE"""),45938.45324707176)</f>
        <v>45938.45325</v>
      </c>
      <c r="H4012" s="14" t="str">
        <f>IFERROR(__xludf.DUMMYFUNCTION("""COMPUTED_VALUE"""),"Admin (Migrasi)")</f>
        <v>Admin (Migrasi)</v>
      </c>
      <c r="I4012" s="13" t="str">
        <f>IFERROR(__xludf.DUMMYFUNCTION("""COMPUTED_VALUE"""),"SELESAI (VIA PERMOHONAN)")</f>
        <v>SELESAI (VIA PERMOHONAN)</v>
      </c>
      <c r="J4012" s="17">
        <f>IFERROR(__xludf.DUMMYFUNCTION("""COMPUTED_VALUE"""),45938.45327387731)</f>
        <v>45938.45327</v>
      </c>
      <c r="K4012" s="13" t="str">
        <f>IFERROR(__xludf.DUMMYFUNCTION("""COMPUTED_VALUE"""),"Selesai")</f>
        <v>Selesai</v>
      </c>
      <c r="L4012" s="17">
        <f>IFERROR(__xludf.DUMMYFUNCTION("""COMPUTED_VALUE"""),45938.45327387731)</f>
        <v>45938.45327</v>
      </c>
      <c r="M4012" s="13"/>
      <c r="N4012" s="13" t="str">
        <f>IFERROR(__xludf.DUMMYFUNCTION("""COMPUTED_VALUE"""),"")</f>
        <v/>
      </c>
      <c r="O4012" s="13" t="str">
        <f t="shared" si="1"/>
        <v/>
      </c>
    </row>
    <row r="4013" ht="22.5" customHeight="1">
      <c r="B4013" s="13">
        <f>IFERROR(__xludf.DUMMYFUNCTION("""COMPUTED_VALUE"""),4008.0)</f>
        <v>4008</v>
      </c>
      <c r="C4013" s="13" t="str">
        <f>IFERROR(__xludf.DUMMYFUNCTION("""COMPUTED_VALUE"""),"M 280/ SUMUR BATU")</f>
        <v>M 280/ SUMUR BATU</v>
      </c>
      <c r="D4013" s="13" t="str">
        <f>IFERROR(__xludf.DUMMYFUNCTION("""COMPUTED_VALUE"""),"K/41/160925/2")</f>
        <v>K/41/160925/2</v>
      </c>
      <c r="E4013" s="14" t="str">
        <f>IFERROR(__xludf.DUMMYFUNCTION("""COMPUTED_VALUE"""),"Admin (Migrasi)")</f>
        <v>Admin (Migrasi)</v>
      </c>
      <c r="F4013" s="14" t="str">
        <f>IFERROR(__xludf.DUMMYFUNCTION("""COMPUTED_VALUE"""),"SELESAI (VIA PERMOHONAN)")</f>
        <v>SELESAI (VIA PERMOHONAN)</v>
      </c>
      <c r="G4013" s="17">
        <f>IFERROR(__xludf.DUMMYFUNCTION("""COMPUTED_VALUE"""),45938.45352228009)</f>
        <v>45938.45352</v>
      </c>
      <c r="H4013" s="14" t="str">
        <f>IFERROR(__xludf.DUMMYFUNCTION("""COMPUTED_VALUE"""),"Admin (Migrasi)")</f>
        <v>Admin (Migrasi)</v>
      </c>
      <c r="I4013" s="13" t="str">
        <f>IFERROR(__xludf.DUMMYFUNCTION("""COMPUTED_VALUE"""),"SELESAI (VIA PERMOHONAN)")</f>
        <v>SELESAI (VIA PERMOHONAN)</v>
      </c>
      <c r="J4013" s="17">
        <f>IFERROR(__xludf.DUMMYFUNCTION("""COMPUTED_VALUE"""),45938.453549768514)</f>
        <v>45938.45355</v>
      </c>
      <c r="K4013" s="13" t="str">
        <f>IFERROR(__xludf.DUMMYFUNCTION("""COMPUTED_VALUE"""),"Selesai")</f>
        <v>Selesai</v>
      </c>
      <c r="L4013" s="17">
        <f>IFERROR(__xludf.DUMMYFUNCTION("""COMPUTED_VALUE"""),45938.453549768514)</f>
        <v>45938.45355</v>
      </c>
      <c r="M4013" s="13"/>
      <c r="N4013" s="13" t="str">
        <f>IFERROR(__xludf.DUMMYFUNCTION("""COMPUTED_VALUE"""),"")</f>
        <v/>
      </c>
      <c r="O4013" s="13" t="str">
        <f t="shared" si="1"/>
        <v/>
      </c>
    </row>
    <row r="4014" ht="22.5" customHeight="1">
      <c r="B4014" s="13">
        <f>IFERROR(__xludf.DUMMYFUNCTION("""COMPUTED_VALUE"""),4009.0)</f>
        <v>4009</v>
      </c>
      <c r="C4014" s="13" t="str">
        <f>IFERROR(__xludf.DUMMYFUNCTION("""COMPUTED_VALUE"""),"M 1276/ CAMPANG JAYA")</f>
        <v>M 1276/ CAMPANG JAYA</v>
      </c>
      <c r="D4014" s="13" t="str">
        <f>IFERROR(__xludf.DUMMYFUNCTION("""COMPUTED_VALUE"""),"K/20/100925/1")</f>
        <v>K/20/100925/1</v>
      </c>
      <c r="E4014" s="14" t="str">
        <f>IFERROR(__xludf.DUMMYFUNCTION("""COMPUTED_VALUE"""),"Admin (Migrasi)")</f>
        <v>Admin (Migrasi)</v>
      </c>
      <c r="F4014" s="14" t="str">
        <f>IFERROR(__xludf.DUMMYFUNCTION("""COMPUTED_VALUE"""),"SELESAI (VIA PERMOHONAN)")</f>
        <v>SELESAI (VIA PERMOHONAN)</v>
      </c>
      <c r="G4014" s="17">
        <f>IFERROR(__xludf.DUMMYFUNCTION("""COMPUTED_VALUE"""),45938.45376584491)</f>
        <v>45938.45377</v>
      </c>
      <c r="H4014" s="14" t="str">
        <f>IFERROR(__xludf.DUMMYFUNCTION("""COMPUTED_VALUE"""),"Admin (Migrasi)")</f>
        <v>Admin (Migrasi)</v>
      </c>
      <c r="I4014" s="13" t="str">
        <f>IFERROR(__xludf.DUMMYFUNCTION("""COMPUTED_VALUE"""),"SELESAI (VIA PERMOHONAN)")</f>
        <v>SELESAI (VIA PERMOHONAN)</v>
      </c>
      <c r="J4014" s="17">
        <f>IFERROR(__xludf.DUMMYFUNCTION("""COMPUTED_VALUE"""),45938.45380002315)</f>
        <v>45938.4538</v>
      </c>
      <c r="K4014" s="13" t="str">
        <f>IFERROR(__xludf.DUMMYFUNCTION("""COMPUTED_VALUE"""),"Selesai")</f>
        <v>Selesai</v>
      </c>
      <c r="L4014" s="17">
        <f>IFERROR(__xludf.DUMMYFUNCTION("""COMPUTED_VALUE"""),45938.45380002315)</f>
        <v>45938.4538</v>
      </c>
      <c r="M4014" s="13"/>
      <c r="N4014" s="13" t="str">
        <f>IFERROR(__xludf.DUMMYFUNCTION("""COMPUTED_VALUE"""),"")</f>
        <v/>
      </c>
      <c r="O4014" s="13" t="str">
        <f t="shared" si="1"/>
        <v/>
      </c>
    </row>
    <row r="4015" ht="22.5" customHeight="1">
      <c r="B4015" s="13">
        <f>IFERROR(__xludf.DUMMYFUNCTION("""COMPUTED_VALUE"""),4010.0)</f>
        <v>4010</v>
      </c>
      <c r="C4015" s="13" t="str">
        <f>IFERROR(__xludf.DUMMYFUNCTION("""COMPUTED_VALUE"""),"B. 788/Sumur Putri	")</f>
        <v>B. 788/Sumur Putri	</v>
      </c>
      <c r="D4015" s="13" t="str">
        <f>IFERROR(__xludf.DUMMYFUNCTION("""COMPUTED_VALUE"""),"K/2/040926/1")</f>
        <v>K/2/040926/1</v>
      </c>
      <c r="E4015" s="14" t="str">
        <f>IFERROR(__xludf.DUMMYFUNCTION("""COMPUTED_VALUE"""),"Admin (Migrasi)")</f>
        <v>Admin (Migrasi)</v>
      </c>
      <c r="F4015" s="14" t="str">
        <f>IFERROR(__xludf.DUMMYFUNCTION("""COMPUTED_VALUE"""),"SELESAI (VIA PERMOHONAN)")</f>
        <v>SELESAI (VIA PERMOHONAN)</v>
      </c>
      <c r="G4015" s="17">
        <f>IFERROR(__xludf.DUMMYFUNCTION("""COMPUTED_VALUE"""),45939.70837296297)</f>
        <v>45939.70837</v>
      </c>
      <c r="H4015" s="14" t="str">
        <f>IFERROR(__xludf.DUMMYFUNCTION("""COMPUTED_VALUE"""),"Admin (Migrasi)")</f>
        <v>Admin (Migrasi)</v>
      </c>
      <c r="I4015" s="13" t="str">
        <f>IFERROR(__xludf.DUMMYFUNCTION("""COMPUTED_VALUE"""),"SELESAI (VIA PERMOHONAN)")</f>
        <v>SELESAI (VIA PERMOHONAN)</v>
      </c>
      <c r="J4015" s="17">
        <f>IFERROR(__xludf.DUMMYFUNCTION("""COMPUTED_VALUE"""),45939.70837296297)</f>
        <v>45939.70837</v>
      </c>
      <c r="K4015" s="13" t="str">
        <f>IFERROR(__xludf.DUMMYFUNCTION("""COMPUTED_VALUE"""),"Selesai")</f>
        <v>Selesai</v>
      </c>
      <c r="L4015" s="17">
        <f>IFERROR(__xludf.DUMMYFUNCTION("""COMPUTED_VALUE"""),45939.70837296297)</f>
        <v>45939.70837</v>
      </c>
      <c r="M4015" s="13"/>
      <c r="N4015" s="13" t="str">
        <f>IFERROR(__xludf.DUMMYFUNCTION("""COMPUTED_VALUE"""),"")</f>
        <v/>
      </c>
      <c r="O4015" s="13" t="str">
        <f t="shared" si="1"/>
        <v/>
      </c>
    </row>
    <row r="4016" ht="22.5" customHeight="1">
      <c r="B4016" s="13">
        <f>IFERROR(__xludf.DUMMYFUNCTION("""COMPUTED_VALUE"""),4011.0)</f>
        <v>4011</v>
      </c>
      <c r="C4016" s="13" t="str">
        <f>IFERROR(__xludf.DUMMYFUNCTION("""COMPUTED_VALUE"""),"M. 13894/KEDAMAIAN")</f>
        <v>M. 13894/KEDAMAIAN</v>
      </c>
      <c r="D4016" s="13" t="str">
        <f>IFERROR(__xludf.DUMMYFUNCTION("""COMPUTED_VALUE"""),"K/25/080925/4")</f>
        <v>K/25/080925/4</v>
      </c>
      <c r="E4016" s="14" t="str">
        <f>IFERROR(__xludf.DUMMYFUNCTION("""COMPUTED_VALUE"""),"Admin (Migrasi)")</f>
        <v>Admin (Migrasi)</v>
      </c>
      <c r="F4016" s="14" t="str">
        <f>IFERROR(__xludf.DUMMYFUNCTION("""COMPUTED_VALUE"""),"SELESAI (VIA PERMOHONAN)")</f>
        <v>SELESAI (VIA PERMOHONAN)</v>
      </c>
      <c r="G4016" s="17">
        <f>IFERROR(__xludf.DUMMYFUNCTION("""COMPUTED_VALUE"""),45939.708511793986)</f>
        <v>45939.70851</v>
      </c>
      <c r="H4016" s="14" t="str">
        <f>IFERROR(__xludf.DUMMYFUNCTION("""COMPUTED_VALUE"""),"Admin (Migrasi)")</f>
        <v>Admin (Migrasi)</v>
      </c>
      <c r="I4016" s="13" t="str">
        <f>IFERROR(__xludf.DUMMYFUNCTION("""COMPUTED_VALUE"""),"SELESAI (VIA PERMOHONAN)")</f>
        <v>SELESAI (VIA PERMOHONAN)</v>
      </c>
      <c r="J4016" s="17">
        <f>IFERROR(__xludf.DUMMYFUNCTION("""COMPUTED_VALUE"""),45939.70857229167)</f>
        <v>45939.70857</v>
      </c>
      <c r="K4016" s="13" t="str">
        <f>IFERROR(__xludf.DUMMYFUNCTION("""COMPUTED_VALUE"""),"Selesai")</f>
        <v>Selesai</v>
      </c>
      <c r="L4016" s="17">
        <f>IFERROR(__xludf.DUMMYFUNCTION("""COMPUTED_VALUE"""),45939.70857229167)</f>
        <v>45939.70857</v>
      </c>
      <c r="M4016" s="13"/>
      <c r="N4016" s="13" t="str">
        <f>IFERROR(__xludf.DUMMYFUNCTION("""COMPUTED_VALUE"""),"")</f>
        <v/>
      </c>
      <c r="O4016" s="13" t="str">
        <f t="shared" si="1"/>
        <v/>
      </c>
    </row>
    <row r="4017" ht="22.5" customHeight="1">
      <c r="B4017" s="13">
        <f>IFERROR(__xludf.DUMMYFUNCTION("""COMPUTED_VALUE"""),4012.0)</f>
        <v>4012</v>
      </c>
      <c r="C4017" s="13" t="str">
        <f>IFERROR(__xludf.DUMMYFUNCTION("""COMPUTED_VALUE"""),"M. 2435/SUKARAME BARU")</f>
        <v>M. 2435/SUKARAME BARU</v>
      </c>
      <c r="D4017" s="13" t="str">
        <f>IFERROR(__xludf.DUMMYFUNCTION("""COMPUTED_VALUE"""),"K/5/110925/2")</f>
        <v>K/5/110925/2</v>
      </c>
      <c r="E4017" s="14" t="str">
        <f>IFERROR(__xludf.DUMMYFUNCTION("""COMPUTED_VALUE"""),"Admin (Migrasi)")</f>
        <v>Admin (Migrasi)</v>
      </c>
      <c r="F4017" s="14" t="str">
        <f>IFERROR(__xludf.DUMMYFUNCTION("""COMPUTED_VALUE"""),"SELESAI (VIA PERMOHONAN)")</f>
        <v>SELESAI (VIA PERMOHONAN)</v>
      </c>
      <c r="G4017" s="17">
        <f>IFERROR(__xludf.DUMMYFUNCTION("""COMPUTED_VALUE"""),45939.708825567126)</f>
        <v>45939.70883</v>
      </c>
      <c r="H4017" s="14" t="str">
        <f>IFERROR(__xludf.DUMMYFUNCTION("""COMPUTED_VALUE"""),"Admin (Migrasi)")</f>
        <v>Admin (Migrasi)</v>
      </c>
      <c r="I4017" s="13" t="str">
        <f>IFERROR(__xludf.DUMMYFUNCTION("""COMPUTED_VALUE"""),"SELESAI (VIA PERMOHONAN)")</f>
        <v>SELESAI (VIA PERMOHONAN)</v>
      </c>
      <c r="J4017" s="17">
        <f>IFERROR(__xludf.DUMMYFUNCTION("""COMPUTED_VALUE"""),45939.708825567126)</f>
        <v>45939.70883</v>
      </c>
      <c r="K4017" s="13" t="str">
        <f>IFERROR(__xludf.DUMMYFUNCTION("""COMPUTED_VALUE"""),"Selesai")</f>
        <v>Selesai</v>
      </c>
      <c r="L4017" s="17">
        <f>IFERROR(__xludf.DUMMYFUNCTION("""COMPUTED_VALUE"""),45939.708825567126)</f>
        <v>45939.70883</v>
      </c>
      <c r="M4017" s="13"/>
      <c r="N4017" s="13" t="str">
        <f>IFERROR(__xludf.DUMMYFUNCTION("""COMPUTED_VALUE"""),"")</f>
        <v/>
      </c>
      <c r="O4017" s="13" t="str">
        <f t="shared" si="1"/>
        <v/>
      </c>
    </row>
    <row r="4018" ht="22.5" customHeight="1">
      <c r="B4018" s="13">
        <f>IFERROR(__xludf.DUMMYFUNCTION("""COMPUTED_VALUE"""),4013.0)</f>
        <v>4013</v>
      </c>
      <c r="C4018" s="13" t="str">
        <f>IFERROR(__xludf.DUMMYFUNCTION("""COMPUTED_VALUE"""),"B. 754/SUMUR PUTRI")</f>
        <v>B. 754/SUMUR PUTRI</v>
      </c>
      <c r="D4018" s="13" t="str">
        <f>IFERROR(__xludf.DUMMYFUNCTION("""COMPUTED_VALUE"""),"K/15/040928/2")</f>
        <v>K/15/040928/2</v>
      </c>
      <c r="E4018" s="14" t="str">
        <f>IFERROR(__xludf.DUMMYFUNCTION("""COMPUTED_VALUE"""),"Admin (Migrasi)")</f>
        <v>Admin (Migrasi)</v>
      </c>
      <c r="F4018" s="14" t="str">
        <f>IFERROR(__xludf.DUMMYFUNCTION("""COMPUTED_VALUE"""),"SELESAI (VIA PERMOHONAN)")</f>
        <v>SELESAI (VIA PERMOHONAN)</v>
      </c>
      <c r="G4018" s="17">
        <f>IFERROR(__xludf.DUMMYFUNCTION("""COMPUTED_VALUE"""),45939.70902793981)</f>
        <v>45939.70903</v>
      </c>
      <c r="H4018" s="14" t="str">
        <f>IFERROR(__xludf.DUMMYFUNCTION("""COMPUTED_VALUE"""),"Admin (Migrasi)")</f>
        <v>Admin (Migrasi)</v>
      </c>
      <c r="I4018" s="13" t="str">
        <f>IFERROR(__xludf.DUMMYFUNCTION("""COMPUTED_VALUE"""),"SELESAI (VIA PERMOHONAN)")</f>
        <v>SELESAI (VIA PERMOHONAN)</v>
      </c>
      <c r="J4018" s="17">
        <f>IFERROR(__xludf.DUMMYFUNCTION("""COMPUTED_VALUE"""),45939.70905767361)</f>
        <v>45939.70906</v>
      </c>
      <c r="K4018" s="13" t="str">
        <f>IFERROR(__xludf.DUMMYFUNCTION("""COMPUTED_VALUE"""),"Selesai")</f>
        <v>Selesai</v>
      </c>
      <c r="L4018" s="17">
        <f>IFERROR(__xludf.DUMMYFUNCTION("""COMPUTED_VALUE"""),45939.70905767361)</f>
        <v>45939.70906</v>
      </c>
      <c r="M4018" s="13"/>
      <c r="N4018" s="13" t="str">
        <f>IFERROR(__xludf.DUMMYFUNCTION("""COMPUTED_VALUE"""),"")</f>
        <v/>
      </c>
      <c r="O4018" s="13" t="str">
        <f t="shared" si="1"/>
        <v/>
      </c>
    </row>
    <row r="4019" ht="22.5" customHeight="1">
      <c r="B4019" s="13">
        <f>IFERROR(__xludf.DUMMYFUNCTION("""COMPUTED_VALUE"""),4014.0)</f>
        <v>4014</v>
      </c>
      <c r="C4019" s="13" t="str">
        <f>IFERROR(__xludf.DUMMYFUNCTION("""COMPUTED_VALUE"""),"M. 2345/KEDAUNG")</f>
        <v>M. 2345/KEDAUNG</v>
      </c>
      <c r="D4019" s="13" t="str">
        <f>IFERROR(__xludf.DUMMYFUNCTION("""COMPUTED_VALUE"""),"K/17/170925/4")</f>
        <v>K/17/170925/4</v>
      </c>
      <c r="E4019" s="14" t="str">
        <f>IFERROR(__xludf.DUMMYFUNCTION("""COMPUTED_VALUE"""),"Admin (Migrasi)")</f>
        <v>Admin (Migrasi)</v>
      </c>
      <c r="F4019" s="14" t="str">
        <f>IFERROR(__xludf.DUMMYFUNCTION("""COMPUTED_VALUE"""),"SELESAI (VIA PERMOHONAN)")</f>
        <v>SELESAI (VIA PERMOHONAN)</v>
      </c>
      <c r="G4019" s="17">
        <f>IFERROR(__xludf.DUMMYFUNCTION("""COMPUTED_VALUE"""),45939.70921984954)</f>
        <v>45939.70922</v>
      </c>
      <c r="H4019" s="14" t="str">
        <f>IFERROR(__xludf.DUMMYFUNCTION("""COMPUTED_VALUE"""),"Admin (Migrasi)")</f>
        <v>Admin (Migrasi)</v>
      </c>
      <c r="I4019" s="13" t="str">
        <f>IFERROR(__xludf.DUMMYFUNCTION("""COMPUTED_VALUE"""),"SELESAI (VIA PERMOHONAN)")</f>
        <v>SELESAI (VIA PERMOHONAN)</v>
      </c>
      <c r="J4019" s="17">
        <f>IFERROR(__xludf.DUMMYFUNCTION("""COMPUTED_VALUE"""),45939.70925033565)</f>
        <v>45939.70925</v>
      </c>
      <c r="K4019" s="13" t="str">
        <f>IFERROR(__xludf.DUMMYFUNCTION("""COMPUTED_VALUE"""),"Selesai")</f>
        <v>Selesai</v>
      </c>
      <c r="L4019" s="17">
        <f>IFERROR(__xludf.DUMMYFUNCTION("""COMPUTED_VALUE"""),45939.70925033565)</f>
        <v>45939.70925</v>
      </c>
      <c r="M4019" s="13"/>
      <c r="N4019" s="13" t="str">
        <f>IFERROR(__xludf.DUMMYFUNCTION("""COMPUTED_VALUE"""),"")</f>
        <v/>
      </c>
      <c r="O4019" s="13" t="str">
        <f t="shared" si="1"/>
        <v/>
      </c>
    </row>
    <row r="4020" ht="22.5" customHeight="1">
      <c r="B4020" s="13">
        <f>IFERROR(__xludf.DUMMYFUNCTION("""COMPUTED_VALUE"""),4015.0)</f>
        <v>4015</v>
      </c>
      <c r="C4020" s="13" t="str">
        <f>IFERROR(__xludf.DUMMYFUNCTION("""COMPUTED_VALUE"""),"B. 2410/CAMPANG JAYA")</f>
        <v>B. 2410/CAMPANG JAYA</v>
      </c>
      <c r="D4020" s="13" t="str">
        <f>IFERROR(__xludf.DUMMYFUNCTION("""COMPUTED_VALUE"""),"K/34/100925/4")</f>
        <v>K/34/100925/4</v>
      </c>
      <c r="E4020" s="14" t="str">
        <f>IFERROR(__xludf.DUMMYFUNCTION("""COMPUTED_VALUE"""),"Admin (Migrasi)")</f>
        <v>Admin (Migrasi)</v>
      </c>
      <c r="F4020" s="14" t="str">
        <f>IFERROR(__xludf.DUMMYFUNCTION("""COMPUTED_VALUE"""),"SELESAI (VIA PERMOHONAN)")</f>
        <v>SELESAI (VIA PERMOHONAN)</v>
      </c>
      <c r="G4020" s="17">
        <f>IFERROR(__xludf.DUMMYFUNCTION("""COMPUTED_VALUE"""),45939.709396782404)</f>
        <v>45939.7094</v>
      </c>
      <c r="H4020" s="14" t="str">
        <f>IFERROR(__xludf.DUMMYFUNCTION("""COMPUTED_VALUE"""),"Admin (Migrasi)")</f>
        <v>Admin (Migrasi)</v>
      </c>
      <c r="I4020" s="13" t="str">
        <f>IFERROR(__xludf.DUMMYFUNCTION("""COMPUTED_VALUE"""),"SELESAI (VIA PERMOHONAN)")</f>
        <v>SELESAI (VIA PERMOHONAN)</v>
      </c>
      <c r="J4020" s="17">
        <f>IFERROR(__xludf.DUMMYFUNCTION("""COMPUTED_VALUE"""),45939.70942429398)</f>
        <v>45939.70942</v>
      </c>
      <c r="K4020" s="13" t="str">
        <f>IFERROR(__xludf.DUMMYFUNCTION("""COMPUTED_VALUE"""),"Selesai")</f>
        <v>Selesai</v>
      </c>
      <c r="L4020" s="17">
        <f>IFERROR(__xludf.DUMMYFUNCTION("""COMPUTED_VALUE"""),45939.70942429398)</f>
        <v>45939.70942</v>
      </c>
      <c r="M4020" s="13"/>
      <c r="N4020" s="13" t="str">
        <f>IFERROR(__xludf.DUMMYFUNCTION("""COMPUTED_VALUE"""),"")</f>
        <v/>
      </c>
      <c r="O4020" s="13" t="str">
        <f t="shared" si="1"/>
        <v/>
      </c>
    </row>
    <row r="4021" ht="22.5" customHeight="1">
      <c r="B4021" s="13">
        <f>IFERROR(__xludf.DUMMYFUNCTION("""COMPUTED_VALUE"""),4016.0)</f>
        <v>4016</v>
      </c>
      <c r="C4021" s="13" t="str">
        <f>IFERROR(__xludf.DUMMYFUNCTION("""COMPUTED_VALUE"""),"M 1599/ TELUK BETUNG")</f>
        <v>M 1599/ TELUK BETUNG</v>
      </c>
      <c r="D4021" s="13" t="str">
        <f>IFERROR(__xludf.DUMMYFUNCTION("""COMPUTED_VALUE"""),"K/30/180925/1")</f>
        <v>K/30/180925/1</v>
      </c>
      <c r="E4021" s="14" t="str">
        <f>IFERROR(__xludf.DUMMYFUNCTION("""COMPUTED_VALUE"""),"Heri (BT)")</f>
        <v>Heri (BT)</v>
      </c>
      <c r="F4021" s="14" t="str">
        <f>IFERROR(__xludf.DUMMYFUNCTION("""COMPUTED_VALUE"""),"SELESAI (VIA PERMOHONAN)")</f>
        <v>SELESAI (VIA PERMOHONAN)</v>
      </c>
      <c r="G4021" s="17">
        <f>IFERROR(__xludf.DUMMYFUNCTION("""COMPUTED_VALUE"""),45939.779861874995)</f>
        <v>45939.77986</v>
      </c>
      <c r="H4021" s="14" t="str">
        <f>IFERROR(__xludf.DUMMYFUNCTION("""COMPUTED_VALUE"""),"Eci (SU)")</f>
        <v>Eci (SU)</v>
      </c>
      <c r="I4021" s="13" t="str">
        <f>IFERROR(__xludf.DUMMYFUNCTION("""COMPUTED_VALUE"""),"SELESAI (VIA PERMOHONAN)")</f>
        <v>SELESAI (VIA PERMOHONAN)</v>
      </c>
      <c r="J4021" s="17">
        <f>IFERROR(__xludf.DUMMYFUNCTION("""COMPUTED_VALUE"""),45940.496856365746)</f>
        <v>45940.49686</v>
      </c>
      <c r="K4021" s="13" t="str">
        <f>IFERROR(__xludf.DUMMYFUNCTION("""COMPUTED_VALUE"""),"Selesai")</f>
        <v>Selesai</v>
      </c>
      <c r="L4021" s="17">
        <f>IFERROR(__xludf.DUMMYFUNCTION("""COMPUTED_VALUE"""),45940.496856365746)</f>
        <v>45940.49686</v>
      </c>
      <c r="M4021" s="13"/>
      <c r="N4021" s="13" t="str">
        <f>IFERROR(__xludf.DUMMYFUNCTION("""COMPUTED_VALUE"""),"")</f>
        <v/>
      </c>
      <c r="O4021" s="13" t="str">
        <f t="shared" si="1"/>
        <v/>
      </c>
    </row>
    <row r="4022" ht="22.5" customHeight="1">
      <c r="B4022" s="13">
        <f>IFERROR(__xludf.DUMMYFUNCTION("""COMPUTED_VALUE"""),4017.0)</f>
        <v>4017</v>
      </c>
      <c r="C4022" s="13" t="str">
        <f>IFERROR(__xludf.DUMMYFUNCTION("""COMPUTED_VALUE"""),"M 72/ PAHOMAN")</f>
        <v>M 72/ PAHOMAN</v>
      </c>
      <c r="D4022" s="13" t="str">
        <f>IFERROR(__xludf.DUMMYFUNCTION("""COMPUTED_VALUE"""),"K/3/250925/1")</f>
        <v>K/3/250925/1</v>
      </c>
      <c r="E4022" s="14" t="str">
        <f>IFERROR(__xludf.DUMMYFUNCTION("""COMPUTED_VALUE"""),"Heri (BT)")</f>
        <v>Heri (BT)</v>
      </c>
      <c r="F4022" s="14" t="str">
        <f>IFERROR(__xludf.DUMMYFUNCTION("""COMPUTED_VALUE"""),"SELESAI (VIA PERMOHONAN)")</f>
        <v>SELESAI (VIA PERMOHONAN)</v>
      </c>
      <c r="G4022" s="17">
        <f>IFERROR(__xludf.DUMMYFUNCTION("""COMPUTED_VALUE"""),45939.78002318287)</f>
        <v>45939.78002</v>
      </c>
      <c r="H4022" s="14" t="str">
        <f>IFERROR(__xludf.DUMMYFUNCTION("""COMPUTED_VALUE"""),"Eci (SU)")</f>
        <v>Eci (SU)</v>
      </c>
      <c r="I4022" s="13" t="str">
        <f>IFERROR(__xludf.DUMMYFUNCTION("""COMPUTED_VALUE"""),"SELESAI (VIA PERMOHONAN)")</f>
        <v>SELESAI (VIA PERMOHONAN)</v>
      </c>
      <c r="J4022" s="17">
        <f>IFERROR(__xludf.DUMMYFUNCTION("""COMPUTED_VALUE"""),45940.496856365746)</f>
        <v>45940.49686</v>
      </c>
      <c r="K4022" s="13" t="str">
        <f>IFERROR(__xludf.DUMMYFUNCTION("""COMPUTED_VALUE"""),"Selesai")</f>
        <v>Selesai</v>
      </c>
      <c r="L4022" s="17">
        <f>IFERROR(__xludf.DUMMYFUNCTION("""COMPUTED_VALUE"""),45940.496856365746)</f>
        <v>45940.49686</v>
      </c>
      <c r="M4022" s="13"/>
      <c r="N4022" s="13" t="str">
        <f>IFERROR(__xludf.DUMMYFUNCTION("""COMPUTED_VALUE"""),"")</f>
        <v/>
      </c>
      <c r="O4022" s="13" t="str">
        <f t="shared" si="1"/>
        <v/>
      </c>
    </row>
    <row r="4023" ht="22.5" customHeight="1">
      <c r="B4023" s="13">
        <f>IFERROR(__xludf.DUMMYFUNCTION("""COMPUTED_VALUE"""),4018.0)</f>
        <v>4018</v>
      </c>
      <c r="C4023" s="13" t="str">
        <f>IFERROR(__xludf.DUMMYFUNCTION("""COMPUTED_VALUE"""),"M 376/ PAHOMAN")</f>
        <v>M 376/ PAHOMAN</v>
      </c>
      <c r="D4023" s="13" t="str">
        <f>IFERROR(__xludf.DUMMYFUNCTION("""COMPUTED_VALUE"""),"K/4/250925/2")</f>
        <v>K/4/250925/2</v>
      </c>
      <c r="E4023" s="14" t="str">
        <f>IFERROR(__xludf.DUMMYFUNCTION("""COMPUTED_VALUE"""),"Heri (BT)")</f>
        <v>Heri (BT)</v>
      </c>
      <c r="F4023" s="14" t="str">
        <f>IFERROR(__xludf.DUMMYFUNCTION("""COMPUTED_VALUE"""),"SELESAI (VIA PERMOHONAN)")</f>
        <v>SELESAI (VIA PERMOHONAN)</v>
      </c>
      <c r="G4023" s="17">
        <f>IFERROR(__xludf.DUMMYFUNCTION("""COMPUTED_VALUE"""),45939.7801707176)</f>
        <v>45939.78017</v>
      </c>
      <c r="H4023" s="14" t="str">
        <f>IFERROR(__xludf.DUMMYFUNCTION("""COMPUTED_VALUE"""),"Eci (SU)")</f>
        <v>Eci (SU)</v>
      </c>
      <c r="I4023" s="13" t="str">
        <f>IFERROR(__xludf.DUMMYFUNCTION("""COMPUTED_VALUE"""),"SELESAI (VIA PERMOHONAN)")</f>
        <v>SELESAI (VIA PERMOHONAN)</v>
      </c>
      <c r="J4023" s="17">
        <f>IFERROR(__xludf.DUMMYFUNCTION("""COMPUTED_VALUE"""),45940.496856365746)</f>
        <v>45940.49686</v>
      </c>
      <c r="K4023" s="13" t="str">
        <f>IFERROR(__xludf.DUMMYFUNCTION("""COMPUTED_VALUE"""),"Selesai")</f>
        <v>Selesai</v>
      </c>
      <c r="L4023" s="17">
        <f>IFERROR(__xludf.DUMMYFUNCTION("""COMPUTED_VALUE"""),45940.496856365746)</f>
        <v>45940.49686</v>
      </c>
      <c r="M4023" s="13"/>
      <c r="N4023" s="13" t="str">
        <f>IFERROR(__xludf.DUMMYFUNCTION("""COMPUTED_VALUE"""),"")</f>
        <v/>
      </c>
      <c r="O4023" s="13" t="str">
        <f t="shared" si="1"/>
        <v/>
      </c>
    </row>
    <row r="4024" ht="22.5" customHeight="1">
      <c r="B4024" s="13">
        <f>IFERROR(__xludf.DUMMYFUNCTION("""COMPUTED_VALUE"""),4019.0)</f>
        <v>4019</v>
      </c>
      <c r="C4024" s="13" t="str">
        <f>IFERROR(__xludf.DUMMYFUNCTION("""COMPUTED_VALUE"""),"M 4490/ BERINGIN RAYA")</f>
        <v>M 4490/ BERINGIN RAYA</v>
      </c>
      <c r="D4024" s="13" t="str">
        <f>IFERROR(__xludf.DUMMYFUNCTION("""COMPUTED_VALUE"""),"K/5/170925/1")</f>
        <v>K/5/170925/1</v>
      </c>
      <c r="E4024" s="14" t="str">
        <f>IFERROR(__xludf.DUMMYFUNCTION("""COMPUTED_VALUE"""),"Heri (BT)")</f>
        <v>Heri (BT)</v>
      </c>
      <c r="F4024" s="14" t="str">
        <f>IFERROR(__xludf.DUMMYFUNCTION("""COMPUTED_VALUE"""),"SELESAI (VIA PERMOHONAN)")</f>
        <v>SELESAI (VIA PERMOHONAN)</v>
      </c>
      <c r="G4024" s="17">
        <f>IFERROR(__xludf.DUMMYFUNCTION("""COMPUTED_VALUE"""),45939.78022180556)</f>
        <v>45939.78022</v>
      </c>
      <c r="H4024" s="14" t="str">
        <f>IFERROR(__xludf.DUMMYFUNCTION("""COMPUTED_VALUE"""),"Eci (SU)")</f>
        <v>Eci (SU)</v>
      </c>
      <c r="I4024" s="13" t="str">
        <f>IFERROR(__xludf.DUMMYFUNCTION("""COMPUTED_VALUE"""),"SELESAI (VIA PERMOHONAN)")</f>
        <v>SELESAI (VIA PERMOHONAN)</v>
      </c>
      <c r="J4024" s="17">
        <f>IFERROR(__xludf.DUMMYFUNCTION("""COMPUTED_VALUE"""),45940.496856365746)</f>
        <v>45940.49686</v>
      </c>
      <c r="K4024" s="13" t="str">
        <f>IFERROR(__xludf.DUMMYFUNCTION("""COMPUTED_VALUE"""),"Selesai")</f>
        <v>Selesai</v>
      </c>
      <c r="L4024" s="17">
        <f>IFERROR(__xludf.DUMMYFUNCTION("""COMPUTED_VALUE"""),45940.496856365746)</f>
        <v>45940.49686</v>
      </c>
      <c r="M4024" s="13"/>
      <c r="N4024" s="13" t="str">
        <f>IFERROR(__xludf.DUMMYFUNCTION("""COMPUTED_VALUE"""),"")</f>
        <v/>
      </c>
      <c r="O4024" s="13" t="str">
        <f t="shared" si="1"/>
        <v/>
      </c>
    </row>
    <row r="4025" ht="22.5" customHeight="1">
      <c r="B4025" s="13">
        <f>IFERROR(__xludf.DUMMYFUNCTION("""COMPUTED_VALUE"""),4020.0)</f>
        <v>4020</v>
      </c>
      <c r="C4025" s="13" t="str">
        <f>IFERROR(__xludf.DUMMYFUNCTION("""COMPUTED_VALUE"""),"M. 4814/ CAMPANG RAYA")</f>
        <v>M. 4814/ CAMPANG RAYA</v>
      </c>
      <c r="D4025" s="13" t="str">
        <f>IFERROR(__xludf.DUMMYFUNCTION("""COMPUTED_VALUE"""),"K/25/210825/")</f>
        <v>K/25/210825/</v>
      </c>
      <c r="E4025" s="14" t="str">
        <f>IFERROR(__xludf.DUMMYFUNCTION("""COMPUTED_VALUE"""),"Heri (BT)")</f>
        <v>Heri (BT)</v>
      </c>
      <c r="F4025" s="14" t="str">
        <f>IFERROR(__xludf.DUMMYFUNCTION("""COMPUTED_VALUE"""),"SELESAI (VIA PERMOHONAN)")</f>
        <v>SELESAI (VIA PERMOHONAN)</v>
      </c>
      <c r="G4025" s="17">
        <f>IFERROR(__xludf.DUMMYFUNCTION("""COMPUTED_VALUE"""),45939.78034619213)</f>
        <v>45939.78035</v>
      </c>
      <c r="H4025" s="14" t="str">
        <f>IFERROR(__xludf.DUMMYFUNCTION("""COMPUTED_VALUE"""),"Eci (SU)")</f>
        <v>Eci (SU)</v>
      </c>
      <c r="I4025" s="13" t="str">
        <f>IFERROR(__xludf.DUMMYFUNCTION("""COMPUTED_VALUE"""),"SELESAI (VIA PERMOHONAN)")</f>
        <v>SELESAI (VIA PERMOHONAN)</v>
      </c>
      <c r="J4025" s="17">
        <f>IFERROR(__xludf.DUMMYFUNCTION("""COMPUTED_VALUE"""),45940.496856365746)</f>
        <v>45940.49686</v>
      </c>
      <c r="K4025" s="13" t="str">
        <f>IFERROR(__xludf.DUMMYFUNCTION("""COMPUTED_VALUE"""),"Selesai")</f>
        <v>Selesai</v>
      </c>
      <c r="L4025" s="17">
        <f>IFERROR(__xludf.DUMMYFUNCTION("""COMPUTED_VALUE"""),45940.496856365746)</f>
        <v>45940.49686</v>
      </c>
      <c r="M4025" s="13"/>
      <c r="N4025" s="13" t="str">
        <f>IFERROR(__xludf.DUMMYFUNCTION("""COMPUTED_VALUE"""),"")</f>
        <v/>
      </c>
      <c r="O4025" s="13" t="str">
        <f t="shared" si="1"/>
        <v/>
      </c>
    </row>
    <row r="4026" ht="22.5" customHeight="1">
      <c r="B4026" s="13">
        <f>IFERROR(__xludf.DUMMYFUNCTION("""COMPUTED_VALUE"""),4021.0)</f>
        <v>4021</v>
      </c>
      <c r="C4026" s="13" t="str">
        <f>IFERROR(__xludf.DUMMYFUNCTION("""COMPUTED_VALUE"""),"M 6240/ WAY KANDIS")</f>
        <v>M 6240/ WAY KANDIS</v>
      </c>
      <c r="D4026" s="13" t="str">
        <f>IFERROR(__xludf.DUMMYFUNCTION("""COMPUTED_VALUE"""),"K/38/080925/1")</f>
        <v>K/38/080925/1</v>
      </c>
      <c r="E4026" s="14" t="str">
        <f>IFERROR(__xludf.DUMMYFUNCTION("""COMPUTED_VALUE"""),"Heri (BT)")</f>
        <v>Heri (BT)</v>
      </c>
      <c r="F4026" s="14" t="str">
        <f>IFERROR(__xludf.DUMMYFUNCTION("""COMPUTED_VALUE"""),"SELESAI (VIA PERMOHONAN)")</f>
        <v>SELESAI (VIA PERMOHONAN)</v>
      </c>
      <c r="G4026" s="17">
        <f>IFERROR(__xludf.DUMMYFUNCTION("""COMPUTED_VALUE"""),45939.78047402778)</f>
        <v>45939.78047</v>
      </c>
      <c r="H4026" s="14" t="str">
        <f>IFERROR(__xludf.DUMMYFUNCTION("""COMPUTED_VALUE"""),"Eci (SU)")</f>
        <v>Eci (SU)</v>
      </c>
      <c r="I4026" s="13" t="str">
        <f>IFERROR(__xludf.DUMMYFUNCTION("""COMPUTED_VALUE"""),"SELESAI (VIA PERMOHONAN)")</f>
        <v>SELESAI (VIA PERMOHONAN)</v>
      </c>
      <c r="J4026" s="17">
        <f>IFERROR(__xludf.DUMMYFUNCTION("""COMPUTED_VALUE"""),45940.496856365746)</f>
        <v>45940.49686</v>
      </c>
      <c r="K4026" s="13" t="str">
        <f>IFERROR(__xludf.DUMMYFUNCTION("""COMPUTED_VALUE"""),"Selesai")</f>
        <v>Selesai</v>
      </c>
      <c r="L4026" s="17">
        <f>IFERROR(__xludf.DUMMYFUNCTION("""COMPUTED_VALUE"""),45940.496856365746)</f>
        <v>45940.49686</v>
      </c>
      <c r="M4026" s="13"/>
      <c r="N4026" s="13" t="str">
        <f>IFERROR(__xludf.DUMMYFUNCTION("""COMPUTED_VALUE"""),"")</f>
        <v/>
      </c>
      <c r="O4026" s="13" t="str">
        <f t="shared" si="1"/>
        <v/>
      </c>
    </row>
    <row r="4027" ht="22.5" customHeight="1">
      <c r="B4027" s="13">
        <f>IFERROR(__xludf.DUMMYFUNCTION("""COMPUTED_VALUE"""),4022.0)</f>
        <v>4022</v>
      </c>
      <c r="C4027" s="13" t="str">
        <f>IFERROR(__xludf.DUMMYFUNCTION("""COMPUTED_VALUE"""),"M. 68/Gunung Agung	")</f>
        <v>M. 68/Gunung Agung	</v>
      </c>
      <c r="D4027" s="13" t="str">
        <f>IFERROR(__xludf.DUMMYFUNCTION("""COMPUTED_VALUE"""),"K/42/081025/4")</f>
        <v>K/42/081025/4</v>
      </c>
      <c r="E4027" s="14" t="str">
        <f>IFERROR(__xludf.DUMMYFUNCTION("""COMPUTED_VALUE"""),"Heri (BT)")</f>
        <v>Heri (BT)</v>
      </c>
      <c r="F4027" s="14" t="str">
        <f>IFERROR(__xludf.DUMMYFUNCTION("""COMPUTED_VALUE"""),"SELESAI (VIA PERMOHONAN)")</f>
        <v>SELESAI (VIA PERMOHONAN)</v>
      </c>
      <c r="G4027" s="17">
        <f>IFERROR(__xludf.DUMMYFUNCTION("""COMPUTED_VALUE"""),45939.78063674769)</f>
        <v>45939.78064</v>
      </c>
      <c r="H4027" s="14" t="str">
        <f>IFERROR(__xludf.DUMMYFUNCTION("""COMPUTED_VALUE"""),"Eci (SU)")</f>
        <v>Eci (SU)</v>
      </c>
      <c r="I4027" s="13" t="str">
        <f>IFERROR(__xludf.DUMMYFUNCTION("""COMPUTED_VALUE"""),"SELESAI (VIA PERMOHONAN)")</f>
        <v>SELESAI (VIA PERMOHONAN)</v>
      </c>
      <c r="J4027" s="17">
        <f>IFERROR(__xludf.DUMMYFUNCTION("""COMPUTED_VALUE"""),45940.496856365746)</f>
        <v>45940.49686</v>
      </c>
      <c r="K4027" s="13" t="str">
        <f>IFERROR(__xludf.DUMMYFUNCTION("""COMPUTED_VALUE"""),"Selesai")</f>
        <v>Selesai</v>
      </c>
      <c r="L4027" s="17">
        <f>IFERROR(__xludf.DUMMYFUNCTION("""COMPUTED_VALUE"""),45940.496856365746)</f>
        <v>45940.49686</v>
      </c>
      <c r="M4027" s="13"/>
      <c r="N4027" s="13" t="str">
        <f>IFERROR(__xludf.DUMMYFUNCTION("""COMPUTED_VALUE"""),"")</f>
        <v/>
      </c>
      <c r="O4027" s="13" t="str">
        <f t="shared" si="1"/>
        <v/>
      </c>
    </row>
    <row r="4028" ht="22.5" customHeight="1">
      <c r="B4028" s="13">
        <f>IFERROR(__xludf.DUMMYFUNCTION("""COMPUTED_VALUE"""),4023.0)</f>
        <v>4023</v>
      </c>
      <c r="C4028" s="13" t="str">
        <f>IFERROR(__xludf.DUMMYFUNCTION("""COMPUTED_VALUE"""),"B. 374/Campang Raya	")</f>
        <v>B. 374/Campang Raya	</v>
      </c>
      <c r="D4028" s="13" t="str">
        <f>IFERROR(__xludf.DUMMYFUNCTION("""COMPUTED_VALUE"""),"K/29/061025/1")</f>
        <v>K/29/061025/1</v>
      </c>
      <c r="E4028" s="14" t="str">
        <f>IFERROR(__xludf.DUMMYFUNCTION("""COMPUTED_VALUE"""),"Heri (BT)")</f>
        <v>Heri (BT)</v>
      </c>
      <c r="F4028" s="14" t="str">
        <f>IFERROR(__xludf.DUMMYFUNCTION("""COMPUTED_VALUE"""),"SELESAI (VIA PERMOHONAN)")</f>
        <v>SELESAI (VIA PERMOHONAN)</v>
      </c>
      <c r="G4028" s="17">
        <f>IFERROR(__xludf.DUMMYFUNCTION("""COMPUTED_VALUE"""),45939.78078423611)</f>
        <v>45939.78078</v>
      </c>
      <c r="H4028" s="14" t="str">
        <f>IFERROR(__xludf.DUMMYFUNCTION("""COMPUTED_VALUE"""),"Aprill (SU)")</f>
        <v>Aprill (SU)</v>
      </c>
      <c r="I4028" s="13" t="str">
        <f>IFERROR(__xludf.DUMMYFUNCTION("""COMPUTED_VALUE"""),"SELESAI (VIA PERMOHONAN)")</f>
        <v>SELESAI (VIA PERMOHONAN)</v>
      </c>
      <c r="J4028" s="17">
        <f>IFERROR(__xludf.DUMMYFUNCTION("""COMPUTED_VALUE"""),45944.406950115736)</f>
        <v>45944.40695</v>
      </c>
      <c r="K4028" s="13" t="str">
        <f>IFERROR(__xludf.DUMMYFUNCTION("""COMPUTED_VALUE"""),"Selesai")</f>
        <v>Selesai</v>
      </c>
      <c r="L4028" s="17">
        <f>IFERROR(__xludf.DUMMYFUNCTION("""COMPUTED_VALUE"""),45944.406950115736)</f>
        <v>45944.40695</v>
      </c>
      <c r="M4028" s="13"/>
      <c r="N4028" s="13" t="str">
        <f>IFERROR(__xludf.DUMMYFUNCTION("""COMPUTED_VALUE"""),"")</f>
        <v/>
      </c>
      <c r="O4028" s="13" t="str">
        <f t="shared" si="1"/>
        <v/>
      </c>
    </row>
    <row r="4029" ht="22.5" customHeight="1">
      <c r="B4029" s="13">
        <f>IFERROR(__xludf.DUMMYFUNCTION("""COMPUTED_VALUE"""),4024.0)</f>
        <v>4024</v>
      </c>
      <c r="C4029" s="13" t="str">
        <f>IFERROR(__xludf.DUMMYFUNCTION("""COMPUTED_VALUE"""),"M. 761/Way Dadi	")</f>
        <v>M. 761/Way Dadi	</v>
      </c>
      <c r="D4029" s="13" t="str">
        <f>IFERROR(__xludf.DUMMYFUNCTION("""COMPUTED_VALUE"""),"K/10/100925/1")</f>
        <v>K/10/100925/1</v>
      </c>
      <c r="E4029" s="14" t="str">
        <f>IFERROR(__xludf.DUMMYFUNCTION("""COMPUTED_VALUE"""),"Heri (BT)")</f>
        <v>Heri (BT)</v>
      </c>
      <c r="F4029" s="14" t="str">
        <f>IFERROR(__xludf.DUMMYFUNCTION("""COMPUTED_VALUE"""),"SELESAI (VIA PERMOHONAN)")</f>
        <v>SELESAI (VIA PERMOHONAN)</v>
      </c>
      <c r="G4029" s="17">
        <f>IFERROR(__xludf.DUMMYFUNCTION("""COMPUTED_VALUE"""),45939.78089521991)</f>
        <v>45939.7809</v>
      </c>
      <c r="H4029" s="14" t="str">
        <f>IFERROR(__xludf.DUMMYFUNCTION("""COMPUTED_VALUE"""),"Aprill (SU)")</f>
        <v>Aprill (SU)</v>
      </c>
      <c r="I4029" s="13" t="str">
        <f>IFERROR(__xludf.DUMMYFUNCTION("""COMPUTED_VALUE"""),"SELESAI (VIA PERMOHONAN)")</f>
        <v>SELESAI (VIA PERMOHONAN)</v>
      </c>
      <c r="J4029" s="17">
        <f>IFERROR(__xludf.DUMMYFUNCTION("""COMPUTED_VALUE"""),45944.406972488425)</f>
        <v>45944.40697</v>
      </c>
      <c r="K4029" s="13" t="str">
        <f>IFERROR(__xludf.DUMMYFUNCTION("""COMPUTED_VALUE"""),"Selesai")</f>
        <v>Selesai</v>
      </c>
      <c r="L4029" s="17">
        <f>IFERROR(__xludf.DUMMYFUNCTION("""COMPUTED_VALUE"""),45944.406972488425)</f>
        <v>45944.40697</v>
      </c>
      <c r="M4029" s="13"/>
      <c r="N4029" s="13" t="str">
        <f>IFERROR(__xludf.DUMMYFUNCTION("""COMPUTED_VALUE"""),"")</f>
        <v/>
      </c>
      <c r="O4029" s="13" t="str">
        <f t="shared" si="1"/>
        <v/>
      </c>
    </row>
    <row r="4030" ht="22.5" customHeight="1">
      <c r="B4030" s="13">
        <f>IFERROR(__xludf.DUMMYFUNCTION("""COMPUTED_VALUE"""),4025.0)</f>
        <v>4025</v>
      </c>
      <c r="C4030" s="13" t="str">
        <f>IFERROR(__xludf.DUMMYFUNCTION("""COMPUTED_VALUE"""),"M.201 DAN 202 KEMILING PERMAI")</f>
        <v>M.201 DAN 202 KEMILING PERMAI</v>
      </c>
      <c r="D4030" s="13" t="str">
        <f>IFERROR(__xludf.DUMMYFUNCTION("""COMPUTED_VALUE"""),"L/50/220925/1")</f>
        <v>L/50/220925/1</v>
      </c>
      <c r="E4030" s="14" t="str">
        <f>IFERROR(__xludf.DUMMYFUNCTION("""COMPUTED_VALUE"""),"Heri (BT)")</f>
        <v>Heri (BT)</v>
      </c>
      <c r="F4030" s="14" t="str">
        <f>IFERROR(__xludf.DUMMYFUNCTION("""COMPUTED_VALUE"""),"SELESAI (VIA PERMOHONAN)")</f>
        <v>SELESAI (VIA PERMOHONAN)</v>
      </c>
      <c r="G4030" s="17">
        <f>IFERROR(__xludf.DUMMYFUNCTION("""COMPUTED_VALUE"""),45939.78120864583)</f>
        <v>45939.78121</v>
      </c>
      <c r="H4030" s="14" t="str">
        <f>IFERROR(__xludf.DUMMYFUNCTION("""COMPUTED_VALUE"""),"Aprill (SU)")</f>
        <v>Aprill (SU)</v>
      </c>
      <c r="I4030" s="13" t="str">
        <f>IFERROR(__xludf.DUMMYFUNCTION("""COMPUTED_VALUE"""),"SELESAI (VIA PERMOHONAN)")</f>
        <v>SELESAI (VIA PERMOHONAN)</v>
      </c>
      <c r="J4030" s="17">
        <f>IFERROR(__xludf.DUMMYFUNCTION("""COMPUTED_VALUE"""),45944.4076724537)</f>
        <v>45944.40767</v>
      </c>
      <c r="K4030" s="13" t="str">
        <f>IFERROR(__xludf.DUMMYFUNCTION("""COMPUTED_VALUE"""),"Selesai")</f>
        <v>Selesai</v>
      </c>
      <c r="L4030" s="17">
        <f>IFERROR(__xludf.DUMMYFUNCTION("""COMPUTED_VALUE"""),45944.4076724537)</f>
        <v>45944.40767</v>
      </c>
      <c r="M4030" s="13"/>
      <c r="N4030" s="13" t="str">
        <f>IFERROR(__xludf.DUMMYFUNCTION("""COMPUTED_VALUE"""),"")</f>
        <v/>
      </c>
      <c r="O4030" s="13" t="str">
        <f t="shared" si="1"/>
        <v/>
      </c>
    </row>
    <row r="4031" ht="22.5" customHeight="1">
      <c r="B4031" s="13">
        <f>IFERROR(__xludf.DUMMYFUNCTION("""COMPUTED_VALUE"""),4026.0)</f>
        <v>4026</v>
      </c>
      <c r="C4031" s="13" t="str">
        <f>IFERROR(__xludf.DUMMYFUNCTION("""COMPUTED_VALUE"""),"B. 644/NUSANTARA PERMAI")</f>
        <v>B. 644/NUSANTARA PERMAI</v>
      </c>
      <c r="D4031" s="13" t="str">
        <f>IFERROR(__xludf.DUMMYFUNCTION("""COMPUTED_VALUE"""),"L/31/260925/1")</f>
        <v>L/31/260925/1</v>
      </c>
      <c r="E4031" s="14" t="str">
        <f>IFERROR(__xludf.DUMMYFUNCTION("""COMPUTED_VALUE"""),"Heri (BT)")</f>
        <v>Heri (BT)</v>
      </c>
      <c r="F4031" s="14" t="str">
        <f>IFERROR(__xludf.DUMMYFUNCTION("""COMPUTED_VALUE"""),"SELESAI (VIA PERMOHONAN)")</f>
        <v>SELESAI (VIA PERMOHONAN)</v>
      </c>
      <c r="G4031" s="17">
        <f>IFERROR(__xludf.DUMMYFUNCTION("""COMPUTED_VALUE"""),45939.781350335645)</f>
        <v>45939.78135</v>
      </c>
      <c r="H4031" s="14" t="str">
        <f>IFERROR(__xludf.DUMMYFUNCTION("""COMPUTED_VALUE"""),"Aprill (SU)")</f>
        <v>Aprill (SU)</v>
      </c>
      <c r="I4031" s="13" t="str">
        <f>IFERROR(__xludf.DUMMYFUNCTION("""COMPUTED_VALUE"""),"SELESAI (VIA PERMOHONAN)")</f>
        <v>SELESAI (VIA PERMOHONAN)</v>
      </c>
      <c r="J4031" s="17">
        <f>IFERROR(__xludf.DUMMYFUNCTION("""COMPUTED_VALUE"""),45944.40769421296)</f>
        <v>45944.40769</v>
      </c>
      <c r="K4031" s="13" t="str">
        <f>IFERROR(__xludf.DUMMYFUNCTION("""COMPUTED_VALUE"""),"Selesai")</f>
        <v>Selesai</v>
      </c>
      <c r="L4031" s="17">
        <f>IFERROR(__xludf.DUMMYFUNCTION("""COMPUTED_VALUE"""),45944.40769421296)</f>
        <v>45944.40769</v>
      </c>
      <c r="M4031" s="13"/>
      <c r="N4031" s="13" t="str">
        <f>IFERROR(__xludf.DUMMYFUNCTION("""COMPUTED_VALUE"""),"")</f>
        <v/>
      </c>
      <c r="O4031" s="13" t="str">
        <f t="shared" si="1"/>
        <v/>
      </c>
    </row>
    <row r="4032" ht="22.5" customHeight="1">
      <c r="B4032" s="13">
        <f>IFERROR(__xludf.DUMMYFUNCTION("""COMPUTED_VALUE"""),4027.0)</f>
        <v>4027</v>
      </c>
      <c r="C4032" s="13" t="str">
        <f>IFERROR(__xludf.DUMMYFUNCTION("""COMPUTED_VALUE"""),"M. 727 PERUMNAS WAY HALIM")</f>
        <v>M. 727 PERUMNAS WAY HALIM</v>
      </c>
      <c r="D4032" s="13" t="str">
        <f>IFERROR(__xludf.DUMMYFUNCTION("""COMPUTED_VALUE"""),"L/5/040928/1")</f>
        <v>L/5/040928/1</v>
      </c>
      <c r="E4032" s="14" t="str">
        <f>IFERROR(__xludf.DUMMYFUNCTION("""COMPUTED_VALUE"""),"Heri (BT)")</f>
        <v>Heri (BT)</v>
      </c>
      <c r="F4032" s="14" t="str">
        <f>IFERROR(__xludf.DUMMYFUNCTION("""COMPUTED_VALUE"""),"SELESAI (VIA PERMOHONAN)")</f>
        <v>SELESAI (VIA PERMOHONAN)</v>
      </c>
      <c r="G4032" s="17">
        <f>IFERROR(__xludf.DUMMYFUNCTION("""COMPUTED_VALUE"""),45939.78149121528)</f>
        <v>45939.78149</v>
      </c>
      <c r="H4032" s="14" t="str">
        <f>IFERROR(__xludf.DUMMYFUNCTION("""COMPUTED_VALUE"""),"Eci (SU)")</f>
        <v>Eci (SU)</v>
      </c>
      <c r="I4032" s="13" t="str">
        <f>IFERROR(__xludf.DUMMYFUNCTION("""COMPUTED_VALUE"""),"SELESAI (VIA PERMOHONAN)")</f>
        <v>SELESAI (VIA PERMOHONAN)</v>
      </c>
      <c r="J4032" s="17">
        <f>IFERROR(__xludf.DUMMYFUNCTION("""COMPUTED_VALUE"""),45940.496856365746)</f>
        <v>45940.49686</v>
      </c>
      <c r="K4032" s="13" t="str">
        <f>IFERROR(__xludf.DUMMYFUNCTION("""COMPUTED_VALUE"""),"Selesai")</f>
        <v>Selesai</v>
      </c>
      <c r="L4032" s="17">
        <f>IFERROR(__xludf.DUMMYFUNCTION("""COMPUTED_VALUE"""),45940.496856365746)</f>
        <v>45940.49686</v>
      </c>
      <c r="M4032" s="13"/>
      <c r="N4032" s="13" t="str">
        <f>IFERROR(__xludf.DUMMYFUNCTION("""COMPUTED_VALUE"""),"")</f>
        <v/>
      </c>
      <c r="O4032" s="13" t="str">
        <f t="shared" si="1"/>
        <v/>
      </c>
    </row>
    <row r="4033" ht="22.5" customHeight="1">
      <c r="B4033" s="13">
        <f>IFERROR(__xludf.DUMMYFUNCTION("""COMPUTED_VALUE"""),4028.0)</f>
        <v>4028</v>
      </c>
      <c r="C4033" s="13" t="str">
        <f>IFERROR(__xludf.DUMMYFUNCTION("""COMPUTED_VALUE"""),"M. 5804/TANJUNG SENANG")</f>
        <v>M. 5804/TANJUNG SENANG</v>
      </c>
      <c r="D4033" s="13" t="str">
        <f>IFERROR(__xludf.DUMMYFUNCTION("""COMPUTED_VALUE"""),"L/31/040925/1")</f>
        <v>L/31/040925/1</v>
      </c>
      <c r="E4033" s="14" t="str">
        <f>IFERROR(__xludf.DUMMYFUNCTION("""COMPUTED_VALUE"""),"Heri (BT)")</f>
        <v>Heri (BT)</v>
      </c>
      <c r="F4033" s="14" t="str">
        <f>IFERROR(__xludf.DUMMYFUNCTION("""COMPUTED_VALUE"""),"SELESAI (VIA PERMOHONAN)")</f>
        <v>SELESAI (VIA PERMOHONAN)</v>
      </c>
      <c r="G4033" s="17">
        <f>IFERROR(__xludf.DUMMYFUNCTION("""COMPUTED_VALUE"""),45939.781656273146)</f>
        <v>45939.78166</v>
      </c>
      <c r="H4033" s="14" t="str">
        <f>IFERROR(__xludf.DUMMYFUNCTION("""COMPUTED_VALUE"""),"Aprill (SU)")</f>
        <v>Aprill (SU)</v>
      </c>
      <c r="I4033" s="13" t="str">
        <f>IFERROR(__xludf.DUMMYFUNCTION("""COMPUTED_VALUE"""),"SELESAI (VIA PERMOHONAN)")</f>
        <v>SELESAI (VIA PERMOHONAN)</v>
      </c>
      <c r="J4033" s="17">
        <f>IFERROR(__xludf.DUMMYFUNCTION("""COMPUTED_VALUE"""),45944.40794682871)</f>
        <v>45944.40795</v>
      </c>
      <c r="K4033" s="13" t="str">
        <f>IFERROR(__xludf.DUMMYFUNCTION("""COMPUTED_VALUE"""),"Selesai")</f>
        <v>Selesai</v>
      </c>
      <c r="L4033" s="17">
        <f>IFERROR(__xludf.DUMMYFUNCTION("""COMPUTED_VALUE"""),45944.40794682871)</f>
        <v>45944.40795</v>
      </c>
      <c r="M4033" s="13"/>
      <c r="N4033" s="13" t="str">
        <f>IFERROR(__xludf.DUMMYFUNCTION("""COMPUTED_VALUE"""),"")</f>
        <v/>
      </c>
      <c r="O4033" s="13" t="str">
        <f t="shared" si="1"/>
        <v/>
      </c>
    </row>
    <row r="4034" ht="22.5" customHeight="1">
      <c r="B4034" s="13">
        <f>IFERROR(__xludf.DUMMYFUNCTION("""COMPUTED_VALUE"""),4029.0)</f>
        <v>4029</v>
      </c>
      <c r="C4034" s="13" t="str">
        <f>IFERROR(__xludf.DUMMYFUNCTION("""COMPUTED_VALUE"""),"SHM 666/PELITA")</f>
        <v>SHM 666/PELITA</v>
      </c>
      <c r="D4034" s="13" t="str">
        <f>IFERROR(__xludf.DUMMYFUNCTION("""COMPUTED_VALUE"""),"L/25/021025/1")</f>
        <v>L/25/021025/1</v>
      </c>
      <c r="E4034" s="14" t="str">
        <f>IFERROR(__xludf.DUMMYFUNCTION("""COMPUTED_VALUE"""),"Heri (BT)")</f>
        <v>Heri (BT)</v>
      </c>
      <c r="F4034" s="14" t="str">
        <f>IFERROR(__xludf.DUMMYFUNCTION("""COMPUTED_VALUE"""),"SELESAI (VIA PERMOHONAN)")</f>
        <v>SELESAI (VIA PERMOHONAN)</v>
      </c>
      <c r="G4034" s="17">
        <f>IFERROR(__xludf.DUMMYFUNCTION("""COMPUTED_VALUE"""),45939.781732777774)</f>
        <v>45939.78173</v>
      </c>
      <c r="H4034" s="14" t="str">
        <f>IFERROR(__xludf.DUMMYFUNCTION("""COMPUTED_VALUE"""),"Eci (SU)")</f>
        <v>Eci (SU)</v>
      </c>
      <c r="I4034" s="13" t="str">
        <f>IFERROR(__xludf.DUMMYFUNCTION("""COMPUTED_VALUE"""),"SELESAI (VIA PERMOHONAN)")</f>
        <v>SELESAI (VIA PERMOHONAN)</v>
      </c>
      <c r="J4034" s="17">
        <f>IFERROR(__xludf.DUMMYFUNCTION("""COMPUTED_VALUE"""),45940.496856365746)</f>
        <v>45940.49686</v>
      </c>
      <c r="K4034" s="13" t="str">
        <f>IFERROR(__xludf.DUMMYFUNCTION("""COMPUTED_VALUE"""),"Selesai")</f>
        <v>Selesai</v>
      </c>
      <c r="L4034" s="17">
        <f>IFERROR(__xludf.DUMMYFUNCTION("""COMPUTED_VALUE"""),45940.496856365746)</f>
        <v>45940.49686</v>
      </c>
      <c r="M4034" s="13"/>
      <c r="N4034" s="13" t="str">
        <f>IFERROR(__xludf.DUMMYFUNCTION("""COMPUTED_VALUE"""),"")</f>
        <v/>
      </c>
      <c r="O4034" s="13" t="str">
        <f t="shared" si="1"/>
        <v/>
      </c>
    </row>
    <row r="4035" ht="22.5" customHeight="1">
      <c r="B4035" s="13">
        <f>IFERROR(__xludf.DUMMYFUNCTION("""COMPUTED_VALUE"""),4030.0)</f>
        <v>4030</v>
      </c>
      <c r="C4035" s="13" t="str">
        <f>IFERROR(__xludf.DUMMYFUNCTION("""COMPUTED_VALUE"""),"SHM 1799/WAY KANDIS")</f>
        <v>SHM 1799/WAY KANDIS</v>
      </c>
      <c r="D4035" s="13" t="str">
        <f>IFERROR(__xludf.DUMMYFUNCTION("""COMPUTED_VALUE"""),"L/14/011027/1")</f>
        <v>L/14/011027/1</v>
      </c>
      <c r="E4035" s="14" t="str">
        <f>IFERROR(__xludf.DUMMYFUNCTION("""COMPUTED_VALUE"""),"Heri (BT)")</f>
        <v>Heri (BT)</v>
      </c>
      <c r="F4035" s="14" t="str">
        <f>IFERROR(__xludf.DUMMYFUNCTION("""COMPUTED_VALUE"""),"SELESAI (VIA PERMOHONAN)")</f>
        <v>SELESAI (VIA PERMOHONAN)</v>
      </c>
      <c r="G4035" s="17">
        <f>IFERROR(__xludf.DUMMYFUNCTION("""COMPUTED_VALUE"""),45939.78234262731)</f>
        <v>45939.78234</v>
      </c>
      <c r="H4035" s="14" t="str">
        <f>IFERROR(__xludf.DUMMYFUNCTION("""COMPUTED_VALUE"""),"Eci (SU)")</f>
        <v>Eci (SU)</v>
      </c>
      <c r="I4035" s="13" t="str">
        <f>IFERROR(__xludf.DUMMYFUNCTION("""COMPUTED_VALUE"""),"SELESAI (VIA PERMOHONAN)")</f>
        <v>SELESAI (VIA PERMOHONAN)</v>
      </c>
      <c r="J4035" s="17">
        <f>IFERROR(__xludf.DUMMYFUNCTION("""COMPUTED_VALUE"""),45940.496856377315)</f>
        <v>45940.49686</v>
      </c>
      <c r="K4035" s="13" t="str">
        <f>IFERROR(__xludf.DUMMYFUNCTION("""COMPUTED_VALUE"""),"Selesai")</f>
        <v>Selesai</v>
      </c>
      <c r="L4035" s="17">
        <f>IFERROR(__xludf.DUMMYFUNCTION("""COMPUTED_VALUE"""),45940.496856377315)</f>
        <v>45940.49686</v>
      </c>
      <c r="M4035" s="13"/>
      <c r="N4035" s="13" t="str">
        <f>IFERROR(__xludf.DUMMYFUNCTION("""COMPUTED_VALUE"""),"")</f>
        <v/>
      </c>
      <c r="O4035" s="13" t="str">
        <f t="shared" si="1"/>
        <v/>
      </c>
    </row>
    <row r="4036" ht="22.5" customHeight="1">
      <c r="B4036" s="13">
        <f>IFERROR(__xludf.DUMMYFUNCTION("""COMPUTED_VALUE"""),4031.0)</f>
        <v>4031</v>
      </c>
      <c r="C4036" s="13" t="str">
        <f>IFERROR(__xludf.DUMMYFUNCTION("""COMPUTED_VALUE"""),"M. 2425/KOTA BARU")</f>
        <v>M. 2425/KOTA BARU</v>
      </c>
      <c r="D4036" s="13" t="str">
        <f>IFERROR(__xludf.DUMMYFUNCTION("""COMPUTED_VALUE"""),"L/13/021025/1")</f>
        <v>L/13/021025/1</v>
      </c>
      <c r="E4036" s="14" t="str">
        <f>IFERROR(__xludf.DUMMYFUNCTION("""COMPUTED_VALUE"""),"Heri (BT)")</f>
        <v>Heri (BT)</v>
      </c>
      <c r="F4036" s="14" t="str">
        <f>IFERROR(__xludf.DUMMYFUNCTION("""COMPUTED_VALUE"""),"SELESAI (VIA PERMOHONAN)")</f>
        <v>SELESAI (VIA PERMOHONAN)</v>
      </c>
      <c r="G4036" s="17">
        <f>IFERROR(__xludf.DUMMYFUNCTION("""COMPUTED_VALUE"""),45939.782453113425)</f>
        <v>45939.78245</v>
      </c>
      <c r="H4036" s="14" t="str">
        <f>IFERROR(__xludf.DUMMYFUNCTION("""COMPUTED_VALUE"""),"Aprill (SU)")</f>
        <v>Aprill (SU)</v>
      </c>
      <c r="I4036" s="13" t="str">
        <f>IFERROR(__xludf.DUMMYFUNCTION("""COMPUTED_VALUE"""),"SELESAI (VIA PERMOHONAN)")</f>
        <v>SELESAI (VIA PERMOHONAN)</v>
      </c>
      <c r="J4036" s="17">
        <f>IFERROR(__xludf.DUMMYFUNCTION("""COMPUTED_VALUE"""),45944.40830605324)</f>
        <v>45944.40831</v>
      </c>
      <c r="K4036" s="13" t="str">
        <f>IFERROR(__xludf.DUMMYFUNCTION("""COMPUTED_VALUE"""),"Selesai")</f>
        <v>Selesai</v>
      </c>
      <c r="L4036" s="17">
        <f>IFERROR(__xludf.DUMMYFUNCTION("""COMPUTED_VALUE"""),45944.40830605324)</f>
        <v>45944.40831</v>
      </c>
      <c r="M4036" s="13"/>
      <c r="N4036" s="13" t="str">
        <f>IFERROR(__xludf.DUMMYFUNCTION("""COMPUTED_VALUE"""),"")</f>
        <v/>
      </c>
      <c r="O4036" s="13" t="str">
        <f t="shared" si="1"/>
        <v/>
      </c>
    </row>
    <row r="4037" ht="22.5" customHeight="1">
      <c r="B4037" s="13">
        <f>IFERROR(__xludf.DUMMYFUNCTION("""COMPUTED_VALUE"""),4032.0)</f>
        <v>4032</v>
      </c>
      <c r="C4037" s="13" t="str">
        <f>IFERROR(__xludf.DUMMYFUNCTION("""COMPUTED_VALUE"""),"SHGB 3389/SUKABUMI")</f>
        <v>SHGB 3389/SUKABUMI</v>
      </c>
      <c r="D4037" s="13" t="str">
        <f>IFERROR(__xludf.DUMMYFUNCTION("""COMPUTED_VALUE"""),"L/3/270925/1")</f>
        <v>L/3/270925/1</v>
      </c>
      <c r="E4037" s="14" t="str">
        <f>IFERROR(__xludf.DUMMYFUNCTION("""COMPUTED_VALUE"""),"Heri (BT)")</f>
        <v>Heri (BT)</v>
      </c>
      <c r="F4037" s="14" t="str">
        <f>IFERROR(__xludf.DUMMYFUNCTION("""COMPUTED_VALUE"""),"SELESAI (VIA PERMOHONAN)")</f>
        <v>SELESAI (VIA PERMOHONAN)</v>
      </c>
      <c r="G4037" s="17">
        <f>IFERROR(__xludf.DUMMYFUNCTION("""COMPUTED_VALUE"""),45939.78260844907)</f>
        <v>45939.78261</v>
      </c>
      <c r="H4037" s="14" t="str">
        <f>IFERROR(__xludf.DUMMYFUNCTION("""COMPUTED_VALUE"""),"Aprill (SU)")</f>
        <v>Aprill (SU)</v>
      </c>
      <c r="I4037" s="13" t="str">
        <f>IFERROR(__xludf.DUMMYFUNCTION("""COMPUTED_VALUE"""),"SELESAI (VIA PERMOHONAN)")</f>
        <v>SELESAI (VIA PERMOHONAN)</v>
      </c>
      <c r="J4037" s="17">
        <f>IFERROR(__xludf.DUMMYFUNCTION("""COMPUTED_VALUE"""),45944.40832721065)</f>
        <v>45944.40833</v>
      </c>
      <c r="K4037" s="13" t="str">
        <f>IFERROR(__xludf.DUMMYFUNCTION("""COMPUTED_VALUE"""),"Selesai")</f>
        <v>Selesai</v>
      </c>
      <c r="L4037" s="17">
        <f>IFERROR(__xludf.DUMMYFUNCTION("""COMPUTED_VALUE"""),45944.40832721065)</f>
        <v>45944.40833</v>
      </c>
      <c r="M4037" s="13"/>
      <c r="N4037" s="13" t="str">
        <f>IFERROR(__xludf.DUMMYFUNCTION("""COMPUTED_VALUE"""),"")</f>
        <v/>
      </c>
      <c r="O4037" s="13" t="str">
        <f t="shared" si="1"/>
        <v/>
      </c>
    </row>
    <row r="4038" ht="22.5" customHeight="1">
      <c r="B4038" s="13">
        <f>IFERROR(__xludf.DUMMYFUNCTION("""COMPUTED_VALUE"""),4033.0)</f>
        <v>4033</v>
      </c>
      <c r="C4038" s="13" t="str">
        <f>IFERROR(__xludf.DUMMYFUNCTION("""COMPUTED_VALUE"""),"M. 1849/Rajabasa Pemuka	")</f>
        <v>M. 1849/Rajabasa Pemuka	</v>
      </c>
      <c r="D4038" s="13" t="str">
        <f>IFERROR(__xludf.DUMMYFUNCTION("""COMPUTED_VALUE"""),"K/33/120925/1")</f>
        <v>K/33/120925/1</v>
      </c>
      <c r="E4038" s="14" t="str">
        <f>IFERROR(__xludf.DUMMYFUNCTION("""COMPUTED_VALUE"""),"Heri (BT)")</f>
        <v>Heri (BT)</v>
      </c>
      <c r="F4038" s="14" t="str">
        <f>IFERROR(__xludf.DUMMYFUNCTION("""COMPUTED_VALUE"""),"SELESAI (VIA PERMOHONAN)")</f>
        <v>SELESAI (VIA PERMOHONAN)</v>
      </c>
      <c r="G4038" s="17">
        <f>IFERROR(__xludf.DUMMYFUNCTION("""COMPUTED_VALUE"""),45939.78296012731)</f>
        <v>45939.78296</v>
      </c>
      <c r="H4038" s="14" t="str">
        <f>IFERROR(__xludf.DUMMYFUNCTION("""COMPUTED_VALUE"""),"Eci (SU)")</f>
        <v>Eci (SU)</v>
      </c>
      <c r="I4038" s="13" t="str">
        <f>IFERROR(__xludf.DUMMYFUNCTION("""COMPUTED_VALUE"""),"SELESAI (VIA PERMOHONAN)")</f>
        <v>SELESAI (VIA PERMOHONAN)</v>
      </c>
      <c r="J4038" s="17">
        <f>IFERROR(__xludf.DUMMYFUNCTION("""COMPUTED_VALUE"""),45940.496856377315)</f>
        <v>45940.49686</v>
      </c>
      <c r="K4038" s="13" t="str">
        <f>IFERROR(__xludf.DUMMYFUNCTION("""COMPUTED_VALUE"""),"Selesai")</f>
        <v>Selesai</v>
      </c>
      <c r="L4038" s="17">
        <f>IFERROR(__xludf.DUMMYFUNCTION("""COMPUTED_VALUE"""),45940.496856377315)</f>
        <v>45940.49686</v>
      </c>
      <c r="M4038" s="13"/>
      <c r="N4038" s="13" t="str">
        <f>IFERROR(__xludf.DUMMYFUNCTION("""COMPUTED_VALUE"""),"")</f>
        <v/>
      </c>
      <c r="O4038" s="13" t="str">
        <f t="shared" si="1"/>
        <v/>
      </c>
    </row>
    <row r="4039" ht="22.5" customHeight="1">
      <c r="B4039" s="13">
        <f>IFERROR(__xludf.DUMMYFUNCTION("""COMPUTED_VALUE"""),4034.0)</f>
        <v>4034</v>
      </c>
      <c r="C4039" s="13" t="str">
        <f>IFERROR(__xludf.DUMMYFUNCTION("""COMPUTED_VALUE"""),"B. 88/Kaliawi Persada")</f>
        <v>B. 88/Kaliawi Persada</v>
      </c>
      <c r="D4039" s="13" t="str">
        <f>IFERROR(__xludf.DUMMYFUNCTION("""COMPUTED_VALUE"""),"K/31/080925/1")</f>
        <v>K/31/080925/1</v>
      </c>
      <c r="E4039" s="14" t="str">
        <f>IFERROR(__xludf.DUMMYFUNCTION("""COMPUTED_VALUE"""),"Heri (BT)")</f>
        <v>Heri (BT)</v>
      </c>
      <c r="F4039" s="14" t="str">
        <f>IFERROR(__xludf.DUMMYFUNCTION("""COMPUTED_VALUE"""),"SELESAI (VIA PERMOHONAN)")</f>
        <v>SELESAI (VIA PERMOHONAN)</v>
      </c>
      <c r="G4039" s="17">
        <f>IFERROR(__xludf.DUMMYFUNCTION("""COMPUTED_VALUE"""),45939.783171400464)</f>
        <v>45939.78317</v>
      </c>
      <c r="H4039" s="14" t="str">
        <f>IFERROR(__xludf.DUMMYFUNCTION("""COMPUTED_VALUE"""),"Eci (SU)")</f>
        <v>Eci (SU)</v>
      </c>
      <c r="I4039" s="13" t="str">
        <f>IFERROR(__xludf.DUMMYFUNCTION("""COMPUTED_VALUE"""),"SELESAI (VIA PERMOHONAN)")</f>
        <v>SELESAI (VIA PERMOHONAN)</v>
      </c>
      <c r="J4039" s="17">
        <f>IFERROR(__xludf.DUMMYFUNCTION("""COMPUTED_VALUE"""),45940.496856377315)</f>
        <v>45940.49686</v>
      </c>
      <c r="K4039" s="13" t="str">
        <f>IFERROR(__xludf.DUMMYFUNCTION("""COMPUTED_VALUE"""),"Selesai")</f>
        <v>Selesai</v>
      </c>
      <c r="L4039" s="17">
        <f>IFERROR(__xludf.DUMMYFUNCTION("""COMPUTED_VALUE"""),45940.496856377315)</f>
        <v>45940.49686</v>
      </c>
      <c r="M4039" s="13"/>
      <c r="N4039" s="13" t="str">
        <f>IFERROR(__xludf.DUMMYFUNCTION("""COMPUTED_VALUE"""),"")</f>
        <v/>
      </c>
      <c r="O4039" s="13" t="str">
        <f t="shared" si="1"/>
        <v/>
      </c>
    </row>
    <row r="4040" ht="22.5" customHeight="1">
      <c r="B4040" s="13">
        <f>IFERROR(__xludf.DUMMYFUNCTION("""COMPUTED_VALUE"""),4035.0)</f>
        <v>4035</v>
      </c>
      <c r="C4040" s="13" t="str">
        <f>IFERROR(__xludf.DUMMYFUNCTION("""COMPUTED_VALUE"""),"M. 1383/Teluk Betung	")</f>
        <v>M. 1383/Teluk Betung	</v>
      </c>
      <c r="D4040" s="13" t="str">
        <f>IFERROR(__xludf.DUMMYFUNCTION("""COMPUTED_VALUE"""),"K/9/120925/2")</f>
        <v>K/9/120925/2</v>
      </c>
      <c r="E4040" s="14" t="str">
        <f>IFERROR(__xludf.DUMMYFUNCTION("""COMPUTED_VALUE"""),"Heri (BT)")</f>
        <v>Heri (BT)</v>
      </c>
      <c r="F4040" s="14" t="str">
        <f>IFERROR(__xludf.DUMMYFUNCTION("""COMPUTED_VALUE"""),"SELESAI (VIA PERMOHONAN)")</f>
        <v>SELESAI (VIA PERMOHONAN)</v>
      </c>
      <c r="G4040" s="17">
        <f>IFERROR(__xludf.DUMMYFUNCTION("""COMPUTED_VALUE"""),45939.7833309375)</f>
        <v>45939.78333</v>
      </c>
      <c r="H4040" s="14" t="str">
        <f>IFERROR(__xludf.DUMMYFUNCTION("""COMPUTED_VALUE"""),"Eci (SU)")</f>
        <v>Eci (SU)</v>
      </c>
      <c r="I4040" s="13" t="str">
        <f>IFERROR(__xludf.DUMMYFUNCTION("""COMPUTED_VALUE"""),"SELESAI (VIA PERMOHONAN)")</f>
        <v>SELESAI (VIA PERMOHONAN)</v>
      </c>
      <c r="J4040" s="17">
        <f>IFERROR(__xludf.DUMMYFUNCTION("""COMPUTED_VALUE"""),45940.496856377315)</f>
        <v>45940.49686</v>
      </c>
      <c r="K4040" s="13" t="str">
        <f>IFERROR(__xludf.DUMMYFUNCTION("""COMPUTED_VALUE"""),"Selesai")</f>
        <v>Selesai</v>
      </c>
      <c r="L4040" s="17">
        <f>IFERROR(__xludf.DUMMYFUNCTION("""COMPUTED_VALUE"""),45940.496856377315)</f>
        <v>45940.49686</v>
      </c>
      <c r="M4040" s="13"/>
      <c r="N4040" s="13" t="str">
        <f>IFERROR(__xludf.DUMMYFUNCTION("""COMPUTED_VALUE"""),"")</f>
        <v/>
      </c>
      <c r="O4040" s="13" t="str">
        <f t="shared" si="1"/>
        <v/>
      </c>
    </row>
    <row r="4041" ht="22.5" customHeight="1">
      <c r="B4041" s="13">
        <f>IFERROR(__xludf.DUMMYFUNCTION("""COMPUTED_VALUE"""),4036.0)</f>
        <v>4036</v>
      </c>
      <c r="C4041" s="13" t="str">
        <f>IFERROR(__xludf.DUMMYFUNCTION("""COMPUTED_VALUE"""),"M 3770/ CAMPANG RAYA")</f>
        <v>M 3770/ CAMPANG RAYA</v>
      </c>
      <c r="D4041" s="13" t="str">
        <f>IFERROR(__xludf.DUMMYFUNCTION("""COMPUTED_VALUE"""),"K/37/020925/3")</f>
        <v>K/37/020925/3</v>
      </c>
      <c r="E4041" s="14" t="str">
        <f>IFERROR(__xludf.DUMMYFUNCTION("""COMPUTED_VALUE"""),"Admin (Migrasi)")</f>
        <v>Admin (Migrasi)</v>
      </c>
      <c r="F4041" s="14" t="str">
        <f>IFERROR(__xludf.DUMMYFUNCTION("""COMPUTED_VALUE"""),"SELESAI (VIA PERMOHONAN)")</f>
        <v>SELESAI (VIA PERMOHONAN)</v>
      </c>
      <c r="G4041" s="17">
        <f>IFERROR(__xludf.DUMMYFUNCTION("""COMPUTED_VALUE"""),45940.39881623843)</f>
        <v>45940.39882</v>
      </c>
      <c r="H4041" s="14" t="str">
        <f>IFERROR(__xludf.DUMMYFUNCTION("""COMPUTED_VALUE"""),"Admin (Migrasi)")</f>
        <v>Admin (Migrasi)</v>
      </c>
      <c r="I4041" s="13" t="str">
        <f>IFERROR(__xludf.DUMMYFUNCTION("""COMPUTED_VALUE"""),"SELESAI (VIA PERMOHONAN)")</f>
        <v>SELESAI (VIA PERMOHONAN)</v>
      </c>
      <c r="J4041" s="17">
        <f>IFERROR(__xludf.DUMMYFUNCTION("""COMPUTED_VALUE"""),45940.39886494213)</f>
        <v>45940.39886</v>
      </c>
      <c r="K4041" s="13" t="str">
        <f>IFERROR(__xludf.DUMMYFUNCTION("""COMPUTED_VALUE"""),"Selesai")</f>
        <v>Selesai</v>
      </c>
      <c r="L4041" s="17">
        <f>IFERROR(__xludf.DUMMYFUNCTION("""COMPUTED_VALUE"""),45940.39886494213)</f>
        <v>45940.39886</v>
      </c>
      <c r="M4041" s="13"/>
      <c r="N4041" s="13" t="str">
        <f>IFERROR(__xludf.DUMMYFUNCTION("""COMPUTED_VALUE"""),"")</f>
        <v/>
      </c>
      <c r="O4041" s="13" t="str">
        <f t="shared" si="1"/>
        <v/>
      </c>
    </row>
    <row r="4042" ht="22.5" customHeight="1">
      <c r="B4042" s="13">
        <f>IFERROR(__xludf.DUMMYFUNCTION("""COMPUTED_VALUE"""),4037.0)</f>
        <v>4037</v>
      </c>
      <c r="C4042" s="13" t="str">
        <f>IFERROR(__xludf.DUMMYFUNCTION("""COMPUTED_VALUE"""),"B. 1158/Keteguhan")</f>
        <v>B. 1158/Keteguhan</v>
      </c>
      <c r="D4042" s="13" t="str">
        <f>IFERROR(__xludf.DUMMYFUNCTION("""COMPUTED_VALUE"""),"K/56/220825/5")</f>
        <v>K/56/220825/5</v>
      </c>
      <c r="E4042" s="14" t="str">
        <f>IFERROR(__xludf.DUMMYFUNCTION("""COMPUTED_VALUE"""),"Admin (Migrasi)")</f>
        <v>Admin (Migrasi)</v>
      </c>
      <c r="F4042" s="14" t="str">
        <f>IFERROR(__xludf.DUMMYFUNCTION("""COMPUTED_VALUE"""),"SELESAI (VIA PERMOHONAN)")</f>
        <v>SELESAI (VIA PERMOHONAN)</v>
      </c>
      <c r="G4042" s="17">
        <f>IFERROR(__xludf.DUMMYFUNCTION("""COMPUTED_VALUE"""),45940.39906054398)</f>
        <v>45940.39906</v>
      </c>
      <c r="H4042" s="14" t="str">
        <f>IFERROR(__xludf.DUMMYFUNCTION("""COMPUTED_VALUE"""),"Admin (Migrasi)")</f>
        <v>Admin (Migrasi)</v>
      </c>
      <c r="I4042" s="13" t="str">
        <f>IFERROR(__xludf.DUMMYFUNCTION("""COMPUTED_VALUE"""),"SELESAI (VIA PERMOHONAN)")</f>
        <v>SELESAI (VIA PERMOHONAN)</v>
      </c>
      <c r="J4042" s="17">
        <f>IFERROR(__xludf.DUMMYFUNCTION("""COMPUTED_VALUE"""),45940.39909238426)</f>
        <v>45940.39909</v>
      </c>
      <c r="K4042" s="13" t="str">
        <f>IFERROR(__xludf.DUMMYFUNCTION("""COMPUTED_VALUE"""),"Selesai")</f>
        <v>Selesai</v>
      </c>
      <c r="L4042" s="17">
        <f>IFERROR(__xludf.DUMMYFUNCTION("""COMPUTED_VALUE"""),45940.39909238426)</f>
        <v>45940.39909</v>
      </c>
      <c r="M4042" s="13"/>
      <c r="N4042" s="13" t="str">
        <f>IFERROR(__xludf.DUMMYFUNCTION("""COMPUTED_VALUE"""),"")</f>
        <v/>
      </c>
      <c r="O4042" s="13" t="str">
        <f t="shared" si="1"/>
        <v/>
      </c>
    </row>
    <row r="4043" ht="22.5" customHeight="1">
      <c r="B4043" s="13">
        <f>IFERROR(__xludf.DUMMYFUNCTION("""COMPUTED_VALUE"""),4038.0)</f>
        <v>4038</v>
      </c>
      <c r="C4043" s="13" t="str">
        <f>IFERROR(__xludf.DUMMYFUNCTION("""COMPUTED_VALUE"""),"M. 10121/SUKARAME")</f>
        <v>M. 10121/SUKARAME</v>
      </c>
      <c r="D4043" s="13" t="str">
        <f>IFERROR(__xludf.DUMMYFUNCTION("""COMPUTED_VALUE"""),"K/15/011027/1")</f>
        <v>K/15/011027/1</v>
      </c>
      <c r="E4043" s="14" t="str">
        <f>IFERROR(__xludf.DUMMYFUNCTION("""COMPUTED_VALUE"""),"Afriza (BT)")</f>
        <v>Afriza (BT)</v>
      </c>
      <c r="F4043" s="14" t="str">
        <f>IFERROR(__xludf.DUMMYFUNCTION("""COMPUTED_VALUE"""),"SELESAI (VIA PERMOHONAN)")</f>
        <v>SELESAI (VIA PERMOHONAN)</v>
      </c>
      <c r="G4043" s="17">
        <f>IFERROR(__xludf.DUMMYFUNCTION("""COMPUTED_VALUE"""),45940.40267368055)</f>
        <v>45940.40267</v>
      </c>
      <c r="H4043" s="14"/>
      <c r="I4043" s="13"/>
      <c r="J4043" s="17" t="str">
        <f>IFERROR(__xludf.DUMMYFUNCTION("""COMPUTED_VALUE"""),"")</f>
        <v/>
      </c>
      <c r="K4043" s="13" t="str">
        <f>IFERROR(__xludf.DUMMYFUNCTION("""COMPUTED_VALUE"""),"BT atau SU Belum Valid")</f>
        <v>BT atau SU Belum Valid</v>
      </c>
      <c r="L4043" s="13" t="str">
        <f>IFERROR(__xludf.DUMMYFUNCTION("""COMPUTED_VALUE"""),"")</f>
        <v/>
      </c>
      <c r="M4043" s="13"/>
      <c r="N4043" s="13" t="str">
        <f>IFERROR(__xludf.DUMMYFUNCTION("""COMPUTED_VALUE"""),"")</f>
        <v/>
      </c>
      <c r="O4043" s="13" t="str">
        <f t="shared" si="1"/>
        <v/>
      </c>
    </row>
    <row r="4044" ht="22.5" customHeight="1">
      <c r="B4044" s="13">
        <f>IFERROR(__xludf.DUMMYFUNCTION("""COMPUTED_VALUE"""),4039.0)</f>
        <v>4039</v>
      </c>
      <c r="C4044" s="13" t="str">
        <f>IFERROR(__xludf.DUMMYFUNCTION("""COMPUTED_VALUE"""),"M. 3123/GEDONG AIR")</f>
        <v>M. 3123/GEDONG AIR</v>
      </c>
      <c r="D4044" s="13" t="str">
        <f>IFERROR(__xludf.DUMMYFUNCTION("""COMPUTED_VALUE"""),"K/30/170925/1")</f>
        <v>K/30/170925/1</v>
      </c>
      <c r="E4044" s="14" t="str">
        <f>IFERROR(__xludf.DUMMYFUNCTION("""COMPUTED_VALUE"""),"Admin (Migrasi)")</f>
        <v>Admin (Migrasi)</v>
      </c>
      <c r="F4044" s="14" t="str">
        <f>IFERROR(__xludf.DUMMYFUNCTION("""COMPUTED_VALUE"""),"SELESAI (VIA PERMOHONAN)")</f>
        <v>SELESAI (VIA PERMOHONAN)</v>
      </c>
      <c r="G4044" s="17">
        <f>IFERROR(__xludf.DUMMYFUNCTION("""COMPUTED_VALUE"""),45943.43512530092)</f>
        <v>45943.43513</v>
      </c>
      <c r="H4044" s="14" t="str">
        <f>IFERROR(__xludf.DUMMYFUNCTION("""COMPUTED_VALUE"""),"Admin (Migrasi)")</f>
        <v>Admin (Migrasi)</v>
      </c>
      <c r="I4044" s="13" t="str">
        <f>IFERROR(__xludf.DUMMYFUNCTION("""COMPUTED_VALUE"""),"SELESAI (VIA PERMOHONAN)")</f>
        <v>SELESAI (VIA PERMOHONAN)</v>
      </c>
      <c r="J4044" s="17">
        <f>IFERROR(__xludf.DUMMYFUNCTION("""COMPUTED_VALUE"""),45943.43512530092)</f>
        <v>45943.43513</v>
      </c>
      <c r="K4044" s="13" t="str">
        <f>IFERROR(__xludf.DUMMYFUNCTION("""COMPUTED_VALUE"""),"Selesai")</f>
        <v>Selesai</v>
      </c>
      <c r="L4044" s="17">
        <f>IFERROR(__xludf.DUMMYFUNCTION("""COMPUTED_VALUE"""),45943.43512530092)</f>
        <v>45943.43513</v>
      </c>
      <c r="M4044" s="13"/>
      <c r="N4044" s="13" t="str">
        <f>IFERROR(__xludf.DUMMYFUNCTION("""COMPUTED_VALUE"""),"")</f>
        <v/>
      </c>
      <c r="O4044" s="13" t="str">
        <f t="shared" si="1"/>
        <v/>
      </c>
    </row>
    <row r="4045" ht="22.5" customHeight="1">
      <c r="B4045" s="13">
        <f>IFERROR(__xludf.DUMMYFUNCTION("""COMPUTED_VALUE"""),4040.0)</f>
        <v>4040</v>
      </c>
      <c r="C4045" s="13" t="str">
        <f>IFERROR(__xludf.DUMMYFUNCTION("""COMPUTED_VALUE"""),"M. 2104/SUKARAME BARU")</f>
        <v>M. 2104/SUKARAME BARU</v>
      </c>
      <c r="D4045" s="13" t="str">
        <f>IFERROR(__xludf.DUMMYFUNCTION("""COMPUTED_VALUE"""),"K/10/250825/3")</f>
        <v>K/10/250825/3</v>
      </c>
      <c r="E4045" s="14" t="str">
        <f>IFERROR(__xludf.DUMMYFUNCTION("""COMPUTED_VALUE"""),"Admin (Migrasi)")</f>
        <v>Admin (Migrasi)</v>
      </c>
      <c r="F4045" s="14" t="str">
        <f>IFERROR(__xludf.DUMMYFUNCTION("""COMPUTED_VALUE"""),"SELESAI (VIA PERMOHONAN)")</f>
        <v>SELESAI (VIA PERMOHONAN)</v>
      </c>
      <c r="G4045" s="17">
        <f>IFERROR(__xludf.DUMMYFUNCTION("""COMPUTED_VALUE"""),45943.4352950926)</f>
        <v>45943.4353</v>
      </c>
      <c r="H4045" s="14" t="str">
        <f>IFERROR(__xludf.DUMMYFUNCTION("""COMPUTED_VALUE"""),"Admin (Migrasi)")</f>
        <v>Admin (Migrasi)</v>
      </c>
      <c r="I4045" s="13" t="str">
        <f>IFERROR(__xludf.DUMMYFUNCTION("""COMPUTED_VALUE"""),"SELESAI (VIA PERMOHONAN)")</f>
        <v>SELESAI (VIA PERMOHONAN)</v>
      </c>
      <c r="J4045" s="17">
        <f>IFERROR(__xludf.DUMMYFUNCTION("""COMPUTED_VALUE"""),45943.435319027776)</f>
        <v>45943.43532</v>
      </c>
      <c r="K4045" s="13" t="str">
        <f>IFERROR(__xludf.DUMMYFUNCTION("""COMPUTED_VALUE"""),"Selesai")</f>
        <v>Selesai</v>
      </c>
      <c r="L4045" s="17">
        <f>IFERROR(__xludf.DUMMYFUNCTION("""COMPUTED_VALUE"""),45943.435319027776)</f>
        <v>45943.43532</v>
      </c>
      <c r="M4045" s="13"/>
      <c r="N4045" s="13" t="str">
        <f>IFERROR(__xludf.DUMMYFUNCTION("""COMPUTED_VALUE"""),"")</f>
        <v/>
      </c>
      <c r="O4045" s="13" t="str">
        <f t="shared" si="1"/>
        <v/>
      </c>
    </row>
    <row r="4046" ht="22.5" customHeight="1">
      <c r="B4046" s="13">
        <f>IFERROR(__xludf.DUMMYFUNCTION("""COMPUTED_VALUE"""),4041.0)</f>
        <v>4041</v>
      </c>
      <c r="C4046" s="13" t="str">
        <f>IFERROR(__xludf.DUMMYFUNCTION("""COMPUTED_VALUE"""),"M. 2445/KEDAUNG")</f>
        <v>M. 2445/KEDAUNG</v>
      </c>
      <c r="D4046" s="13" t="str">
        <f>IFERROR(__xludf.DUMMYFUNCTION("""COMPUTED_VALUE"""),"K/18/170925/5")</f>
        <v>K/18/170925/5</v>
      </c>
      <c r="E4046" s="14" t="str">
        <f>IFERROR(__xludf.DUMMYFUNCTION("""COMPUTED_VALUE"""),"Admin (Migrasi)")</f>
        <v>Admin (Migrasi)</v>
      </c>
      <c r="F4046" s="14" t="str">
        <f>IFERROR(__xludf.DUMMYFUNCTION("""COMPUTED_VALUE"""),"SELESAI (VIA PERMOHONAN)")</f>
        <v>SELESAI (VIA PERMOHONAN)</v>
      </c>
      <c r="G4046" s="17">
        <f>IFERROR(__xludf.DUMMYFUNCTION("""COMPUTED_VALUE"""),45943.435504016205)</f>
        <v>45943.4355</v>
      </c>
      <c r="H4046" s="14" t="str">
        <f>IFERROR(__xludf.DUMMYFUNCTION("""COMPUTED_VALUE"""),"Admin (Migrasi)")</f>
        <v>Admin (Migrasi)</v>
      </c>
      <c r="I4046" s="13" t="str">
        <f>IFERROR(__xludf.DUMMYFUNCTION("""COMPUTED_VALUE"""),"SELESAI (VIA PERMOHONAN)")</f>
        <v>SELESAI (VIA PERMOHONAN)</v>
      </c>
      <c r="J4046" s="17">
        <f>IFERROR(__xludf.DUMMYFUNCTION("""COMPUTED_VALUE"""),45943.43554385417)</f>
        <v>45943.43554</v>
      </c>
      <c r="K4046" s="13" t="str">
        <f>IFERROR(__xludf.DUMMYFUNCTION("""COMPUTED_VALUE"""),"Selesai")</f>
        <v>Selesai</v>
      </c>
      <c r="L4046" s="17">
        <f>IFERROR(__xludf.DUMMYFUNCTION("""COMPUTED_VALUE"""),45943.43554385417)</f>
        <v>45943.43554</v>
      </c>
      <c r="M4046" s="13"/>
      <c r="N4046" s="13" t="str">
        <f>IFERROR(__xludf.DUMMYFUNCTION("""COMPUTED_VALUE"""),"")</f>
        <v/>
      </c>
      <c r="O4046" s="13" t="str">
        <f t="shared" si="1"/>
        <v/>
      </c>
    </row>
    <row r="4047" ht="22.5" customHeight="1">
      <c r="B4047" s="13">
        <f>IFERROR(__xludf.DUMMYFUNCTION("""COMPUTED_VALUE"""),4042.0)</f>
        <v>4042</v>
      </c>
      <c r="C4047" s="13" t="str">
        <f>IFERROR(__xludf.DUMMYFUNCTION("""COMPUTED_VALUE"""),"M. 18825/Sukarame	")</f>
        <v>M. 18825/Sukarame	</v>
      </c>
      <c r="D4047" s="13" t="str">
        <f>IFERROR(__xludf.DUMMYFUNCTION("""COMPUTED_VALUE"""),"K/6/010925/1")</f>
        <v>K/6/010925/1</v>
      </c>
      <c r="E4047" s="14" t="str">
        <f>IFERROR(__xludf.DUMMYFUNCTION("""COMPUTED_VALUE"""),"Admin (Migrasi)")</f>
        <v>Admin (Migrasi)</v>
      </c>
      <c r="F4047" s="14" t="str">
        <f>IFERROR(__xludf.DUMMYFUNCTION("""COMPUTED_VALUE"""),"SELESAI (VIA PERMOHONAN)")</f>
        <v>SELESAI (VIA PERMOHONAN)</v>
      </c>
      <c r="G4047" s="17">
        <f>IFERROR(__xludf.DUMMYFUNCTION("""COMPUTED_VALUE"""),45943.435816446756)</f>
        <v>45943.43582</v>
      </c>
      <c r="H4047" s="14" t="str">
        <f>IFERROR(__xludf.DUMMYFUNCTION("""COMPUTED_VALUE"""),"Admin (Migrasi)")</f>
        <v>Admin (Migrasi)</v>
      </c>
      <c r="I4047" s="13" t="str">
        <f>IFERROR(__xludf.DUMMYFUNCTION("""COMPUTED_VALUE"""),"SELESAI (VIA PERMOHONAN)")</f>
        <v>SELESAI (VIA PERMOHONAN)</v>
      </c>
      <c r="J4047" s="17">
        <f>IFERROR(__xludf.DUMMYFUNCTION("""COMPUTED_VALUE"""),45943.43586331018)</f>
        <v>45943.43586</v>
      </c>
      <c r="K4047" s="13" t="str">
        <f>IFERROR(__xludf.DUMMYFUNCTION("""COMPUTED_VALUE"""),"Selesai")</f>
        <v>Selesai</v>
      </c>
      <c r="L4047" s="17">
        <f>IFERROR(__xludf.DUMMYFUNCTION("""COMPUTED_VALUE"""),45943.43586331018)</f>
        <v>45943.43586</v>
      </c>
      <c r="M4047" s="13"/>
      <c r="N4047" s="13" t="str">
        <f>IFERROR(__xludf.DUMMYFUNCTION("""COMPUTED_VALUE"""),"")</f>
        <v/>
      </c>
      <c r="O4047" s="13" t="str">
        <f t="shared" si="1"/>
        <v/>
      </c>
    </row>
    <row r="4048" ht="22.5" customHeight="1">
      <c r="B4048" s="13">
        <f>IFERROR(__xludf.DUMMYFUNCTION("""COMPUTED_VALUE"""),4043.0)</f>
        <v>4043</v>
      </c>
      <c r="C4048" s="13" t="str">
        <f>IFERROR(__xludf.DUMMYFUNCTION("""COMPUTED_VALUE"""),"B 1376/ PINANG JAYA")</f>
        <v>B 1376/ PINANG JAYA</v>
      </c>
      <c r="D4048" s="13" t="str">
        <f>IFERROR(__xludf.DUMMYFUNCTION("""COMPUTED_VALUE"""),"K/37/040925/1")</f>
        <v>K/37/040925/1</v>
      </c>
      <c r="E4048" s="14" t="str">
        <f>IFERROR(__xludf.DUMMYFUNCTION("""COMPUTED_VALUE"""),"Heri (BT)")</f>
        <v>Heri (BT)</v>
      </c>
      <c r="F4048" s="14" t="str">
        <f>IFERROR(__xludf.DUMMYFUNCTION("""COMPUTED_VALUE"""),"SELESAI (VIA PERMOHONAN)")</f>
        <v>SELESAI (VIA PERMOHONAN)</v>
      </c>
      <c r="G4048" s="17">
        <f>IFERROR(__xludf.DUMMYFUNCTION("""COMPUTED_VALUE"""),45943.55012407407)</f>
        <v>45943.55012</v>
      </c>
      <c r="H4048" s="14" t="str">
        <f>IFERROR(__xludf.DUMMYFUNCTION("""COMPUTED_VALUE"""),"Aprill (SU)")</f>
        <v>Aprill (SU)</v>
      </c>
      <c r="I4048" s="13" t="str">
        <f>IFERROR(__xludf.DUMMYFUNCTION("""COMPUTED_VALUE"""),"SELESAI (VIA PERMOHONAN)")</f>
        <v>SELESAI (VIA PERMOHONAN)</v>
      </c>
      <c r="J4048" s="17">
        <f>IFERROR(__xludf.DUMMYFUNCTION("""COMPUTED_VALUE"""),45944.59206568287)</f>
        <v>45944.59207</v>
      </c>
      <c r="K4048" s="13" t="str">
        <f>IFERROR(__xludf.DUMMYFUNCTION("""COMPUTED_VALUE"""),"Selesai")</f>
        <v>Selesai</v>
      </c>
      <c r="L4048" s="17">
        <f>IFERROR(__xludf.DUMMYFUNCTION("""COMPUTED_VALUE"""),45944.59206568287)</f>
        <v>45944.59207</v>
      </c>
      <c r="M4048" s="13"/>
      <c r="N4048" s="13" t="str">
        <f>IFERROR(__xludf.DUMMYFUNCTION("""COMPUTED_VALUE"""),"")</f>
        <v/>
      </c>
      <c r="O4048" s="13" t="str">
        <f t="shared" si="1"/>
        <v/>
      </c>
    </row>
    <row r="4049" ht="22.5" customHeight="1">
      <c r="B4049" s="13">
        <f>IFERROR(__xludf.DUMMYFUNCTION("""COMPUTED_VALUE"""),4044.0)</f>
        <v>4044</v>
      </c>
      <c r="C4049" s="13" t="str">
        <f>IFERROR(__xludf.DUMMYFUNCTION("""COMPUTED_VALUE"""),"B. 153/Gedong Meneng")</f>
        <v>B. 153/Gedong Meneng</v>
      </c>
      <c r="D4049" s="13" t="str">
        <f>IFERROR(__xludf.DUMMYFUNCTION("""COMPUTED_VALUE"""),"K/6/260925/1")</f>
        <v>K/6/260925/1</v>
      </c>
      <c r="E4049" s="14" t="str">
        <f>IFERROR(__xludf.DUMMYFUNCTION("""COMPUTED_VALUE"""),"Heri (BT)")</f>
        <v>Heri (BT)</v>
      </c>
      <c r="F4049" s="14" t="str">
        <f>IFERROR(__xludf.DUMMYFUNCTION("""COMPUTED_VALUE"""),"SELESAI (VIA PERMOHONAN)")</f>
        <v>SELESAI (VIA PERMOHONAN)</v>
      </c>
      <c r="G4049" s="17">
        <f>IFERROR(__xludf.DUMMYFUNCTION("""COMPUTED_VALUE"""),45943.55024747685)</f>
        <v>45943.55025</v>
      </c>
      <c r="H4049" s="14" t="str">
        <f>IFERROR(__xludf.DUMMYFUNCTION("""COMPUTED_VALUE"""),"Aprill (SU)")</f>
        <v>Aprill (SU)</v>
      </c>
      <c r="I4049" s="13" t="str">
        <f>IFERROR(__xludf.DUMMYFUNCTION("""COMPUTED_VALUE"""),"SELESAI (VIA PERMOHONAN)")</f>
        <v>SELESAI (VIA PERMOHONAN)</v>
      </c>
      <c r="J4049" s="17">
        <f>IFERROR(__xludf.DUMMYFUNCTION("""COMPUTED_VALUE"""),45944.592640902774)</f>
        <v>45944.59264</v>
      </c>
      <c r="K4049" s="13" t="str">
        <f>IFERROR(__xludf.DUMMYFUNCTION("""COMPUTED_VALUE"""),"Selesai")</f>
        <v>Selesai</v>
      </c>
      <c r="L4049" s="17">
        <f>IFERROR(__xludf.DUMMYFUNCTION("""COMPUTED_VALUE"""),45944.592640902774)</f>
        <v>45944.59264</v>
      </c>
      <c r="M4049" s="13"/>
      <c r="N4049" s="13" t="str">
        <f>IFERROR(__xludf.DUMMYFUNCTION("""COMPUTED_VALUE"""),"")</f>
        <v/>
      </c>
      <c r="O4049" s="13" t="str">
        <f t="shared" si="1"/>
        <v/>
      </c>
    </row>
    <row r="4050" ht="22.5" customHeight="1">
      <c r="B4050" s="13">
        <f>IFERROR(__xludf.DUMMYFUNCTION("""COMPUTED_VALUE"""),4045.0)</f>
        <v>4045</v>
      </c>
      <c r="C4050" s="13" t="str">
        <f>IFERROR(__xludf.DUMMYFUNCTION("""COMPUTED_VALUE"""),"M. 9352/ Sidodadi")</f>
        <v>M. 9352/ Sidodadi</v>
      </c>
      <c r="D4050" s="13" t="str">
        <f>IFERROR(__xludf.DUMMYFUNCTION("""COMPUTED_VALUE"""),"K/20/050825/1")</f>
        <v>K/20/050825/1</v>
      </c>
      <c r="E4050" s="14" t="str">
        <f>IFERROR(__xludf.DUMMYFUNCTION("""COMPUTED_VALUE"""),"Heri (BT)")</f>
        <v>Heri (BT)</v>
      </c>
      <c r="F4050" s="14" t="str">
        <f>IFERROR(__xludf.DUMMYFUNCTION("""COMPUTED_VALUE"""),"SELESAI (VIA PERMOHONAN)")</f>
        <v>SELESAI (VIA PERMOHONAN)</v>
      </c>
      <c r="G4050" s="17">
        <f>IFERROR(__xludf.DUMMYFUNCTION("""COMPUTED_VALUE"""),45943.55037295139)</f>
        <v>45943.55037</v>
      </c>
      <c r="H4050" s="14" t="str">
        <f>IFERROR(__xludf.DUMMYFUNCTION("""COMPUTED_VALUE"""),"Aprill (SU)")</f>
        <v>Aprill (SU)</v>
      </c>
      <c r="I4050" s="13" t="str">
        <f>IFERROR(__xludf.DUMMYFUNCTION("""COMPUTED_VALUE"""),"SELESAI (VIA PERMOHONAN)")</f>
        <v>SELESAI (VIA PERMOHONAN)</v>
      </c>
      <c r="J4050" s="17">
        <f>IFERROR(__xludf.DUMMYFUNCTION("""COMPUTED_VALUE"""),45944.59270084491)</f>
        <v>45944.5927</v>
      </c>
      <c r="K4050" s="13" t="str">
        <f>IFERROR(__xludf.DUMMYFUNCTION("""COMPUTED_VALUE"""),"Selesai")</f>
        <v>Selesai</v>
      </c>
      <c r="L4050" s="17">
        <f>IFERROR(__xludf.DUMMYFUNCTION("""COMPUTED_VALUE"""),45944.59270084491)</f>
        <v>45944.5927</v>
      </c>
      <c r="M4050" s="13"/>
      <c r="N4050" s="13" t="str">
        <f>IFERROR(__xludf.DUMMYFUNCTION("""COMPUTED_VALUE"""),"")</f>
        <v/>
      </c>
      <c r="O4050" s="13" t="str">
        <f t="shared" si="1"/>
        <v/>
      </c>
    </row>
    <row r="4051" ht="22.5" customHeight="1">
      <c r="B4051" s="13">
        <f>IFERROR(__xludf.DUMMYFUNCTION("""COMPUTED_VALUE"""),4046.0)</f>
        <v>4046</v>
      </c>
      <c r="C4051" s="13" t="str">
        <f>IFERROR(__xludf.DUMMYFUNCTION("""COMPUTED_VALUE"""),"M. 401/ Rajabasa Raya")</f>
        <v>M. 401/ Rajabasa Raya</v>
      </c>
      <c r="D4051" s="13" t="str">
        <f>IFERROR(__xludf.DUMMYFUNCTION("""COMPUTED_VALUE"""),"K/18/240725/1")</f>
        <v>K/18/240725/1</v>
      </c>
      <c r="E4051" s="14" t="str">
        <f>IFERROR(__xludf.DUMMYFUNCTION("""COMPUTED_VALUE"""),"Heri (BT)")</f>
        <v>Heri (BT)</v>
      </c>
      <c r="F4051" s="14" t="str">
        <f>IFERROR(__xludf.DUMMYFUNCTION("""COMPUTED_VALUE"""),"SELESAI (VIA PERMOHONAN)")</f>
        <v>SELESAI (VIA PERMOHONAN)</v>
      </c>
      <c r="G4051" s="17">
        <f>IFERROR(__xludf.DUMMYFUNCTION("""COMPUTED_VALUE"""),45943.55054725695)</f>
        <v>45943.55055</v>
      </c>
      <c r="H4051" s="14" t="str">
        <f>IFERROR(__xludf.DUMMYFUNCTION("""COMPUTED_VALUE"""),"Aprill (SU)")</f>
        <v>Aprill (SU)</v>
      </c>
      <c r="I4051" s="13" t="str">
        <f>IFERROR(__xludf.DUMMYFUNCTION("""COMPUTED_VALUE"""),"SELESAI (VIA PERMOHONAN)")</f>
        <v>SELESAI (VIA PERMOHONAN)</v>
      </c>
      <c r="J4051" s="17">
        <f>IFERROR(__xludf.DUMMYFUNCTION("""COMPUTED_VALUE"""),45944.592724675924)</f>
        <v>45944.59272</v>
      </c>
      <c r="K4051" s="13" t="str">
        <f>IFERROR(__xludf.DUMMYFUNCTION("""COMPUTED_VALUE"""),"Selesai")</f>
        <v>Selesai</v>
      </c>
      <c r="L4051" s="17">
        <f>IFERROR(__xludf.DUMMYFUNCTION("""COMPUTED_VALUE"""),45944.592724675924)</f>
        <v>45944.59272</v>
      </c>
      <c r="M4051" s="13"/>
      <c r="N4051" s="13" t="str">
        <f>IFERROR(__xludf.DUMMYFUNCTION("""COMPUTED_VALUE"""),"")</f>
        <v/>
      </c>
      <c r="O4051" s="13" t="str">
        <f t="shared" si="1"/>
        <v/>
      </c>
    </row>
    <row r="4052" ht="22.5" customHeight="1">
      <c r="B4052" s="13">
        <f>IFERROR(__xludf.DUMMYFUNCTION("""COMPUTED_VALUE"""),4047.0)</f>
        <v>4047</v>
      </c>
      <c r="C4052" s="13" t="str">
        <f>IFERROR(__xludf.DUMMYFUNCTION("""COMPUTED_VALUE"""),"M. 99/TANJUNG RAYA")</f>
        <v>M. 99/TANJUNG RAYA</v>
      </c>
      <c r="D4052" s="13" t="str">
        <f>IFERROR(__xludf.DUMMYFUNCTION("""COMPUTED_VALUE"""),"L/19/031025/1")</f>
        <v>L/19/031025/1</v>
      </c>
      <c r="E4052" s="14" t="str">
        <f>IFERROR(__xludf.DUMMYFUNCTION("""COMPUTED_VALUE"""),"Heri (BT)")</f>
        <v>Heri (BT)</v>
      </c>
      <c r="F4052" s="14" t="str">
        <f>IFERROR(__xludf.DUMMYFUNCTION("""COMPUTED_VALUE"""),"SELESAI (VIA PERMOHONAN)")</f>
        <v>SELESAI (VIA PERMOHONAN)</v>
      </c>
      <c r="G4052" s="17">
        <f>IFERROR(__xludf.DUMMYFUNCTION("""COMPUTED_VALUE"""),45943.55072422454)</f>
        <v>45943.55072</v>
      </c>
      <c r="H4052" s="14"/>
      <c r="I4052" s="13"/>
      <c r="J4052" s="17" t="str">
        <f>IFERROR(__xludf.DUMMYFUNCTION("""COMPUTED_VALUE"""),"")</f>
        <v/>
      </c>
      <c r="K4052" s="13" t="str">
        <f>IFERROR(__xludf.DUMMYFUNCTION("""COMPUTED_VALUE"""),"BT atau SU Belum Valid")</f>
        <v>BT atau SU Belum Valid</v>
      </c>
      <c r="L4052" s="13" t="str">
        <f>IFERROR(__xludf.DUMMYFUNCTION("""COMPUTED_VALUE"""),"")</f>
        <v/>
      </c>
      <c r="M4052" s="13"/>
      <c r="N4052" s="13" t="str">
        <f>IFERROR(__xludf.DUMMYFUNCTION("""COMPUTED_VALUE"""),"")</f>
        <v/>
      </c>
      <c r="O4052" s="13" t="str">
        <f t="shared" si="1"/>
        <v/>
      </c>
    </row>
    <row r="4053" ht="22.5" customHeight="1">
      <c r="B4053" s="13">
        <f>IFERROR(__xludf.DUMMYFUNCTION("""COMPUTED_VALUE"""),4048.0)</f>
        <v>4048</v>
      </c>
      <c r="C4053" s="13" t="str">
        <f>IFERROR(__xludf.DUMMYFUNCTION("""COMPUTED_VALUE"""),"M 3241/ BERINGIN RAYA")</f>
        <v>M 3241/ BERINGIN RAYA</v>
      </c>
      <c r="D4053" s="13" t="str">
        <f>IFERROR(__xludf.DUMMYFUNCTION("""COMPUTED_VALUE"""),"K/13/250925/1")</f>
        <v>K/13/250925/1</v>
      </c>
      <c r="E4053" s="14" t="str">
        <f>IFERROR(__xludf.DUMMYFUNCTION("""COMPUTED_VALUE"""),"Heri (BT)")</f>
        <v>Heri (BT)</v>
      </c>
      <c r="F4053" s="14" t="str">
        <f>IFERROR(__xludf.DUMMYFUNCTION("""COMPUTED_VALUE"""),"SELESAI (VIA PERMOHONAN)")</f>
        <v>SELESAI (VIA PERMOHONAN)</v>
      </c>
      <c r="G4053" s="17">
        <f>IFERROR(__xludf.DUMMYFUNCTION("""COMPUTED_VALUE"""),45943.55082105324)</f>
        <v>45943.55082</v>
      </c>
      <c r="H4053" s="14"/>
      <c r="I4053" s="13"/>
      <c r="J4053" s="17" t="str">
        <f>IFERROR(__xludf.DUMMYFUNCTION("""COMPUTED_VALUE"""),"")</f>
        <v/>
      </c>
      <c r="K4053" s="13" t="str">
        <f>IFERROR(__xludf.DUMMYFUNCTION("""COMPUTED_VALUE"""),"BT atau SU Belum Valid")</f>
        <v>BT atau SU Belum Valid</v>
      </c>
      <c r="L4053" s="13" t="str">
        <f>IFERROR(__xludf.DUMMYFUNCTION("""COMPUTED_VALUE"""),"")</f>
        <v/>
      </c>
      <c r="M4053" s="13"/>
      <c r="N4053" s="13" t="str">
        <f>IFERROR(__xludf.DUMMYFUNCTION("""COMPUTED_VALUE"""),"")</f>
        <v/>
      </c>
      <c r="O4053" s="13" t="str">
        <f t="shared" si="1"/>
        <v/>
      </c>
    </row>
    <row r="4054" ht="22.5" customHeight="1">
      <c r="B4054" s="13">
        <f>IFERROR(__xludf.DUMMYFUNCTION("""COMPUTED_VALUE"""),4049.0)</f>
        <v>4049</v>
      </c>
      <c r="C4054" s="13" t="str">
        <f>IFERROR(__xludf.DUMMYFUNCTION("""COMPUTED_VALUE"""),"M. 10121/SUKARAME")</f>
        <v>M. 10121/SUKARAME</v>
      </c>
      <c r="D4054" s="13" t="str">
        <f>IFERROR(__xludf.DUMMYFUNCTION("""COMPUTED_VALUE"""),"K/15/011027/1")</f>
        <v>K/15/011027/1</v>
      </c>
      <c r="E4054" s="14" t="str">
        <f>IFERROR(__xludf.DUMMYFUNCTION("""COMPUTED_VALUE"""),"Heri (BT)")</f>
        <v>Heri (BT)</v>
      </c>
      <c r="F4054" s="14" t="str">
        <f>IFERROR(__xludf.DUMMYFUNCTION("""COMPUTED_VALUE"""),"SELESAI (VIA PERMOHONAN)")</f>
        <v>SELESAI (VIA PERMOHONAN)</v>
      </c>
      <c r="G4054" s="17">
        <f>IFERROR(__xludf.DUMMYFUNCTION("""COMPUTED_VALUE"""),45943.55096310185)</f>
        <v>45943.55096</v>
      </c>
      <c r="H4054" s="14" t="str">
        <f>IFERROR(__xludf.DUMMYFUNCTION("""COMPUTED_VALUE"""),"Aprill (SU)")</f>
        <v>Aprill (SU)</v>
      </c>
      <c r="I4054" s="13" t="str">
        <f>IFERROR(__xludf.DUMMYFUNCTION("""COMPUTED_VALUE"""),"SELESAI (VIA PERMOHONAN)")</f>
        <v>SELESAI (VIA PERMOHONAN)</v>
      </c>
      <c r="J4054" s="17">
        <f>IFERROR(__xludf.DUMMYFUNCTION("""COMPUTED_VALUE"""),45944.59318159722)</f>
        <v>45944.59318</v>
      </c>
      <c r="K4054" s="13" t="str">
        <f>IFERROR(__xludf.DUMMYFUNCTION("""COMPUTED_VALUE"""),"Selesai")</f>
        <v>Selesai</v>
      </c>
      <c r="L4054" s="17">
        <f>IFERROR(__xludf.DUMMYFUNCTION("""COMPUTED_VALUE"""),45944.59318159722)</f>
        <v>45944.59318</v>
      </c>
      <c r="M4054" s="13"/>
      <c r="N4054" s="13" t="str">
        <f>IFERROR(__xludf.DUMMYFUNCTION("""COMPUTED_VALUE"""),"")</f>
        <v/>
      </c>
      <c r="O4054" s="13" t="str">
        <f t="shared" si="1"/>
        <v/>
      </c>
    </row>
    <row r="4055" ht="22.5" customHeight="1">
      <c r="B4055" s="13">
        <f>IFERROR(__xludf.DUMMYFUNCTION("""COMPUTED_VALUE"""),4050.0)</f>
        <v>4050</v>
      </c>
      <c r="C4055" s="13" t="str">
        <f>IFERROR(__xludf.DUMMYFUNCTION("""COMPUTED_VALUE"""),"M.1310/KELAPA TIGA")</f>
        <v>M.1310/KELAPA TIGA</v>
      </c>
      <c r="D4055" s="13" t="str">
        <f>IFERROR(__xludf.DUMMYFUNCTION("""COMPUTED_VALUE"""),"L/32/230925/1")</f>
        <v>L/32/230925/1</v>
      </c>
      <c r="E4055" s="14" t="str">
        <f>IFERROR(__xludf.DUMMYFUNCTION("""COMPUTED_VALUE"""),"Heri (BT)")</f>
        <v>Heri (BT)</v>
      </c>
      <c r="F4055" s="14" t="str">
        <f>IFERROR(__xludf.DUMMYFUNCTION("""COMPUTED_VALUE"""),"SELESAI (VIA PERMOHONAN)")</f>
        <v>SELESAI (VIA PERMOHONAN)</v>
      </c>
      <c r="G4055" s="17">
        <f>IFERROR(__xludf.DUMMYFUNCTION("""COMPUTED_VALUE"""),45943.55109017361)</f>
        <v>45943.55109</v>
      </c>
      <c r="H4055" s="14" t="str">
        <f>IFERROR(__xludf.DUMMYFUNCTION("""COMPUTED_VALUE"""),"Aprill (SU)")</f>
        <v>Aprill (SU)</v>
      </c>
      <c r="I4055" s="13" t="str">
        <f>IFERROR(__xludf.DUMMYFUNCTION("""COMPUTED_VALUE"""),"SELESAI (VIA PERMOHONAN)")</f>
        <v>SELESAI (VIA PERMOHONAN)</v>
      </c>
      <c r="J4055" s="17">
        <f>IFERROR(__xludf.DUMMYFUNCTION("""COMPUTED_VALUE"""),45944.59640628472)</f>
        <v>45944.59641</v>
      </c>
      <c r="K4055" s="13" t="str">
        <f>IFERROR(__xludf.DUMMYFUNCTION("""COMPUTED_VALUE"""),"Selesai")</f>
        <v>Selesai</v>
      </c>
      <c r="L4055" s="17">
        <f>IFERROR(__xludf.DUMMYFUNCTION("""COMPUTED_VALUE"""),45944.59640628472)</f>
        <v>45944.59641</v>
      </c>
      <c r="M4055" s="13"/>
      <c r="N4055" s="13" t="str">
        <f>IFERROR(__xludf.DUMMYFUNCTION("""COMPUTED_VALUE"""),"")</f>
        <v/>
      </c>
      <c r="O4055" s="13" t="str">
        <f t="shared" si="1"/>
        <v/>
      </c>
    </row>
    <row r="4056" ht="22.5" customHeight="1">
      <c r="B4056" s="13">
        <f>IFERROR(__xludf.DUMMYFUNCTION("""COMPUTED_VALUE"""),4051.0)</f>
        <v>4051</v>
      </c>
      <c r="C4056" s="13" t="str">
        <f>IFERROR(__xludf.DUMMYFUNCTION("""COMPUTED_VALUE"""),"M. 169/NUSANTARA PERMAI")</f>
        <v>M. 169/NUSANTARA PERMAI</v>
      </c>
      <c r="D4056" s="13" t="str">
        <f>IFERROR(__xludf.DUMMYFUNCTION("""COMPUTED_VALUE"""),"L/16/031025/1")</f>
        <v>L/16/031025/1</v>
      </c>
      <c r="E4056" s="14" t="str">
        <f>IFERROR(__xludf.DUMMYFUNCTION("""COMPUTED_VALUE"""),"Heri (BT)")</f>
        <v>Heri (BT)</v>
      </c>
      <c r="F4056" s="14" t="str">
        <f>IFERROR(__xludf.DUMMYFUNCTION("""COMPUTED_VALUE"""),"SELESAI (VIA PERMOHONAN)")</f>
        <v>SELESAI (VIA PERMOHONAN)</v>
      </c>
      <c r="G4056" s="17">
        <f>IFERROR(__xludf.DUMMYFUNCTION("""COMPUTED_VALUE"""),45943.55123383102)</f>
        <v>45943.55123</v>
      </c>
      <c r="H4056" s="14" t="str">
        <f>IFERROR(__xludf.DUMMYFUNCTION("""COMPUTED_VALUE"""),"Aprill (SU)")</f>
        <v>Aprill (SU)</v>
      </c>
      <c r="I4056" s="13" t="str">
        <f>IFERROR(__xludf.DUMMYFUNCTION("""COMPUTED_VALUE"""),"SELESAI (VIA PERMOHONAN)")</f>
        <v>SELESAI (VIA PERMOHONAN)</v>
      </c>
      <c r="J4056" s="17">
        <f>IFERROR(__xludf.DUMMYFUNCTION("""COMPUTED_VALUE"""),45944.593612349534)</f>
        <v>45944.59361</v>
      </c>
      <c r="K4056" s="13" t="str">
        <f>IFERROR(__xludf.DUMMYFUNCTION("""COMPUTED_VALUE"""),"Selesai")</f>
        <v>Selesai</v>
      </c>
      <c r="L4056" s="17">
        <f>IFERROR(__xludf.DUMMYFUNCTION("""COMPUTED_VALUE"""),45944.593612349534)</f>
        <v>45944.59361</v>
      </c>
      <c r="M4056" s="13"/>
      <c r="N4056" s="13" t="str">
        <f>IFERROR(__xludf.DUMMYFUNCTION("""COMPUTED_VALUE"""),"")</f>
        <v/>
      </c>
      <c r="O4056" s="13" t="str">
        <f t="shared" si="1"/>
        <v/>
      </c>
    </row>
    <row r="4057" ht="22.5" customHeight="1">
      <c r="B4057" s="13">
        <f>IFERROR(__xludf.DUMMYFUNCTION("""COMPUTED_VALUE"""),4052.0)</f>
        <v>4052</v>
      </c>
      <c r="C4057" s="13" t="str">
        <f>IFERROR(__xludf.DUMMYFUNCTION("""COMPUTED_VALUE"""),"B.2494/SUKARAME")</f>
        <v>B.2494/SUKARAME</v>
      </c>
      <c r="D4057" s="13" t="str">
        <f>IFERROR(__xludf.DUMMYFUNCTION("""COMPUTED_VALUE"""),"L/49/220925/1")</f>
        <v>L/49/220925/1</v>
      </c>
      <c r="E4057" s="14" t="str">
        <f>IFERROR(__xludf.DUMMYFUNCTION("""COMPUTED_VALUE"""),"Heri (BT)")</f>
        <v>Heri (BT)</v>
      </c>
      <c r="F4057" s="14" t="str">
        <f>IFERROR(__xludf.DUMMYFUNCTION("""COMPUTED_VALUE"""),"SELESAI (VIA PERMOHONAN)")</f>
        <v>SELESAI (VIA PERMOHONAN)</v>
      </c>
      <c r="G4057" s="17">
        <f>IFERROR(__xludf.DUMMYFUNCTION("""COMPUTED_VALUE"""),45943.55139306713)</f>
        <v>45943.55139</v>
      </c>
      <c r="H4057" s="14" t="str">
        <f>IFERROR(__xludf.DUMMYFUNCTION("""COMPUTED_VALUE"""),"Aprill (SU)")</f>
        <v>Aprill (SU)</v>
      </c>
      <c r="I4057" s="13" t="str">
        <f>IFERROR(__xludf.DUMMYFUNCTION("""COMPUTED_VALUE"""),"SELESAI (VIA PERMOHONAN)")</f>
        <v>SELESAI (VIA PERMOHONAN)</v>
      </c>
      <c r="J4057" s="17">
        <f>IFERROR(__xludf.DUMMYFUNCTION("""COMPUTED_VALUE"""),45944.59645494213)</f>
        <v>45944.59645</v>
      </c>
      <c r="K4057" s="13" t="str">
        <f>IFERROR(__xludf.DUMMYFUNCTION("""COMPUTED_VALUE"""),"Selesai")</f>
        <v>Selesai</v>
      </c>
      <c r="L4057" s="17">
        <f>IFERROR(__xludf.DUMMYFUNCTION("""COMPUTED_VALUE"""),45944.59645494213)</f>
        <v>45944.59645</v>
      </c>
      <c r="M4057" s="13"/>
      <c r="N4057" s="13" t="str">
        <f>IFERROR(__xludf.DUMMYFUNCTION("""COMPUTED_VALUE"""),"")</f>
        <v/>
      </c>
      <c r="O4057" s="13" t="str">
        <f t="shared" si="1"/>
        <v/>
      </c>
    </row>
    <row r="4058" ht="22.5" customHeight="1">
      <c r="B4058" s="13">
        <f>IFERROR(__xludf.DUMMYFUNCTION("""COMPUTED_VALUE"""),4053.0)</f>
        <v>4053</v>
      </c>
      <c r="C4058" s="13" t="str">
        <f>IFERROR(__xludf.DUMMYFUNCTION("""COMPUTED_VALUE"""),"M. 917/SUKARAJA")</f>
        <v>M. 917/SUKARAJA</v>
      </c>
      <c r="D4058" s="13" t="str">
        <f>IFERROR(__xludf.DUMMYFUNCTION("""COMPUTED_VALUE"""),"L/21/021025/1")</f>
        <v>L/21/021025/1</v>
      </c>
      <c r="E4058" s="14" t="str">
        <f>IFERROR(__xludf.DUMMYFUNCTION("""COMPUTED_VALUE"""),"Heri (BT)")</f>
        <v>Heri (BT)</v>
      </c>
      <c r="F4058" s="14" t="str">
        <f>IFERROR(__xludf.DUMMYFUNCTION("""COMPUTED_VALUE"""),"SELESAI (VIA PERMOHONAN)")</f>
        <v>SELESAI (VIA PERMOHONAN)</v>
      </c>
      <c r="G4058" s="17">
        <f>IFERROR(__xludf.DUMMYFUNCTION("""COMPUTED_VALUE"""),45943.55169155092)</f>
        <v>45943.55169</v>
      </c>
      <c r="H4058" s="14" t="str">
        <f>IFERROR(__xludf.DUMMYFUNCTION("""COMPUTED_VALUE"""),"Aprill (SU)")</f>
        <v>Aprill (SU)</v>
      </c>
      <c r="I4058" s="13" t="str">
        <f>IFERROR(__xludf.DUMMYFUNCTION("""COMPUTED_VALUE"""),"SELESAI (VIA PERMOHONAN)")</f>
        <v>SELESAI (VIA PERMOHONAN)</v>
      </c>
      <c r="J4058" s="17">
        <f>IFERROR(__xludf.DUMMYFUNCTION("""COMPUTED_VALUE"""),45944.59651229167)</f>
        <v>45944.59651</v>
      </c>
      <c r="K4058" s="13" t="str">
        <f>IFERROR(__xludf.DUMMYFUNCTION("""COMPUTED_VALUE"""),"Selesai")</f>
        <v>Selesai</v>
      </c>
      <c r="L4058" s="17">
        <f>IFERROR(__xludf.DUMMYFUNCTION("""COMPUTED_VALUE"""),45944.59651229167)</f>
        <v>45944.59651</v>
      </c>
      <c r="M4058" s="13"/>
      <c r="N4058" s="13" t="str">
        <f>IFERROR(__xludf.DUMMYFUNCTION("""COMPUTED_VALUE"""),"")</f>
        <v/>
      </c>
      <c r="O4058" s="13" t="str">
        <f t="shared" si="1"/>
        <v/>
      </c>
    </row>
    <row r="4059" ht="22.5" customHeight="1">
      <c r="B4059" s="13">
        <f>IFERROR(__xludf.DUMMYFUNCTION("""COMPUTED_VALUE"""),4054.0)</f>
        <v>4054</v>
      </c>
      <c r="C4059" s="13" t="str">
        <f>IFERROR(__xludf.DUMMYFUNCTION("""COMPUTED_VALUE"""),"SHGB 443/KALI BALAU KENCANA")</f>
        <v>SHGB 443/KALI BALAU KENCANA</v>
      </c>
      <c r="D4059" s="13" t="str">
        <f>IFERROR(__xludf.DUMMYFUNCTION("""COMPUTED_VALUE"""),"L/27/300925/1")</f>
        <v>L/27/300925/1</v>
      </c>
      <c r="E4059" s="14" t="str">
        <f>IFERROR(__xludf.DUMMYFUNCTION("""COMPUTED_VALUE"""),"Heri (BT)")</f>
        <v>Heri (BT)</v>
      </c>
      <c r="F4059" s="14" t="str">
        <f>IFERROR(__xludf.DUMMYFUNCTION("""COMPUTED_VALUE"""),"SELESAI (VIA PERMOHONAN)")</f>
        <v>SELESAI (VIA PERMOHONAN)</v>
      </c>
      <c r="G4059" s="17">
        <f>IFERROR(__xludf.DUMMYFUNCTION("""COMPUTED_VALUE"""),45943.55185145834)</f>
        <v>45943.55185</v>
      </c>
      <c r="H4059" s="14" t="str">
        <f>IFERROR(__xludf.DUMMYFUNCTION("""COMPUTED_VALUE"""),"Aprill (SU)")</f>
        <v>Aprill (SU)</v>
      </c>
      <c r="I4059" s="13" t="str">
        <f>IFERROR(__xludf.DUMMYFUNCTION("""COMPUTED_VALUE"""),"SELESAI (VIA PERMOHONAN)")</f>
        <v>SELESAI (VIA PERMOHONAN)</v>
      </c>
      <c r="J4059" s="17">
        <f>IFERROR(__xludf.DUMMYFUNCTION("""COMPUTED_VALUE"""),45944.59649333333)</f>
        <v>45944.59649</v>
      </c>
      <c r="K4059" s="13" t="str">
        <f>IFERROR(__xludf.DUMMYFUNCTION("""COMPUTED_VALUE"""),"Selesai")</f>
        <v>Selesai</v>
      </c>
      <c r="L4059" s="17">
        <f>IFERROR(__xludf.DUMMYFUNCTION("""COMPUTED_VALUE"""),45944.59649333333)</f>
        <v>45944.59649</v>
      </c>
      <c r="M4059" s="13"/>
      <c r="N4059" s="13" t="str">
        <f>IFERROR(__xludf.DUMMYFUNCTION("""COMPUTED_VALUE"""),"")</f>
        <v/>
      </c>
      <c r="O4059" s="13" t="str">
        <f t="shared" si="1"/>
        <v/>
      </c>
    </row>
    <row r="4060" ht="22.5" customHeight="1">
      <c r="B4060" s="13">
        <f>IFERROR(__xludf.DUMMYFUNCTION("""COMPUTED_VALUE"""),4055.0)</f>
        <v>4055</v>
      </c>
      <c r="C4060" s="13" t="str">
        <f>IFERROR(__xludf.DUMMYFUNCTION("""COMPUTED_VALUE"""),"SHM 4458/TANJUNG SENENG")</f>
        <v>SHM 4458/TANJUNG SENENG</v>
      </c>
      <c r="D4060" s="13" t="str">
        <f>IFERROR(__xludf.DUMMYFUNCTION("""COMPUTED_VALUE"""),"L/27/081025/1")</f>
        <v>L/27/081025/1</v>
      </c>
      <c r="E4060" s="14" t="str">
        <f>IFERROR(__xludf.DUMMYFUNCTION("""COMPUTED_VALUE"""),"Heri (BT)")</f>
        <v>Heri (BT)</v>
      </c>
      <c r="F4060" s="14" t="str">
        <f>IFERROR(__xludf.DUMMYFUNCTION("""COMPUTED_VALUE"""),"SELESAI (VIA PERMOHONAN)")</f>
        <v>SELESAI (VIA PERMOHONAN)</v>
      </c>
      <c r="G4060" s="17">
        <f>IFERROR(__xludf.DUMMYFUNCTION("""COMPUTED_VALUE"""),45943.55200715278)</f>
        <v>45943.55201</v>
      </c>
      <c r="H4060" s="14" t="str">
        <f>IFERROR(__xludf.DUMMYFUNCTION("""COMPUTED_VALUE"""),"Aprill (SU)")</f>
        <v>Aprill (SU)</v>
      </c>
      <c r="I4060" s="13" t="str">
        <f>IFERROR(__xludf.DUMMYFUNCTION("""COMPUTED_VALUE"""),"SELESAI (VIA PERMOHONAN)")</f>
        <v>SELESAI (VIA PERMOHONAN)</v>
      </c>
      <c r="J4060" s="17">
        <f>IFERROR(__xludf.DUMMYFUNCTION("""COMPUTED_VALUE"""),45946.353278599534)</f>
        <v>45946.35328</v>
      </c>
      <c r="K4060" s="13" t="str">
        <f>IFERROR(__xludf.DUMMYFUNCTION("""COMPUTED_VALUE"""),"Selesai")</f>
        <v>Selesai</v>
      </c>
      <c r="L4060" s="17">
        <f>IFERROR(__xludf.DUMMYFUNCTION("""COMPUTED_VALUE"""),45946.353278599534)</f>
        <v>45946.35328</v>
      </c>
      <c r="M4060" s="13"/>
      <c r="N4060" s="13" t="str">
        <f>IFERROR(__xludf.DUMMYFUNCTION("""COMPUTED_VALUE"""),"")</f>
        <v/>
      </c>
      <c r="O4060" s="13" t="str">
        <f t="shared" si="1"/>
        <v/>
      </c>
    </row>
    <row r="4061" ht="22.5" customHeight="1">
      <c r="B4061" s="13">
        <f>IFERROR(__xludf.DUMMYFUNCTION("""COMPUTED_VALUE"""),4056.0)</f>
        <v>4056</v>
      </c>
      <c r="C4061" s="13" t="str">
        <f>IFERROR(__xludf.DUMMYFUNCTION("""COMPUTED_VALUE"""),"B. 445/NUSANTARA PERMAI")</f>
        <v>B. 445/NUSANTARA PERMAI</v>
      </c>
      <c r="D4061" s="13" t="str">
        <f>IFERROR(__xludf.DUMMYFUNCTION("""COMPUTED_VALUE"""),"L/37/260925/1")</f>
        <v>L/37/260925/1</v>
      </c>
      <c r="E4061" s="14" t="str">
        <f>IFERROR(__xludf.DUMMYFUNCTION("""COMPUTED_VALUE"""),"Heri (BT)")</f>
        <v>Heri (BT)</v>
      </c>
      <c r="F4061" s="14" t="str">
        <f>IFERROR(__xludf.DUMMYFUNCTION("""COMPUTED_VALUE"""),"SELESAI (VIA PERMOHONAN)")</f>
        <v>SELESAI (VIA PERMOHONAN)</v>
      </c>
      <c r="G4061" s="17">
        <f>IFERROR(__xludf.DUMMYFUNCTION("""COMPUTED_VALUE"""),45943.55218796297)</f>
        <v>45943.55219</v>
      </c>
      <c r="H4061" s="14" t="str">
        <f>IFERROR(__xludf.DUMMYFUNCTION("""COMPUTED_VALUE"""),"Aprill (SU)")</f>
        <v>Aprill (SU)</v>
      </c>
      <c r="I4061" s="13" t="str">
        <f>IFERROR(__xludf.DUMMYFUNCTION("""COMPUTED_VALUE"""),"SELESAI (VIA PERMOHONAN)")</f>
        <v>SELESAI (VIA PERMOHONAN)</v>
      </c>
      <c r="J4061" s="17">
        <f>IFERROR(__xludf.DUMMYFUNCTION("""COMPUTED_VALUE"""),45946.353278599534)</f>
        <v>45946.35328</v>
      </c>
      <c r="K4061" s="13" t="str">
        <f>IFERROR(__xludf.DUMMYFUNCTION("""COMPUTED_VALUE"""),"Selesai")</f>
        <v>Selesai</v>
      </c>
      <c r="L4061" s="17">
        <f>IFERROR(__xludf.DUMMYFUNCTION("""COMPUTED_VALUE"""),45946.353278599534)</f>
        <v>45946.35328</v>
      </c>
      <c r="M4061" s="13"/>
      <c r="N4061" s="13" t="str">
        <f>IFERROR(__xludf.DUMMYFUNCTION("""COMPUTED_VALUE"""),"")</f>
        <v/>
      </c>
      <c r="O4061" s="13" t="str">
        <f t="shared" si="1"/>
        <v/>
      </c>
    </row>
    <row r="4062" ht="22.5" customHeight="1">
      <c r="B4062" s="13">
        <f>IFERROR(__xludf.DUMMYFUNCTION("""COMPUTED_VALUE"""),4057.0)</f>
        <v>4057</v>
      </c>
      <c r="C4062" s="13" t="str">
        <f>IFERROR(__xludf.DUMMYFUNCTION("""COMPUTED_VALUE"""),"M. 1697/WAY KANDIS")</f>
        <v>M. 1697/WAY KANDIS</v>
      </c>
      <c r="D4062" s="13" t="str">
        <f>IFERROR(__xludf.DUMMYFUNCTION("""COMPUTED_VALUE"""),"L/35/250926/1")</f>
        <v>L/35/250926/1</v>
      </c>
      <c r="E4062" s="14" t="str">
        <f>IFERROR(__xludf.DUMMYFUNCTION("""COMPUTED_VALUE"""),"Heri (BT)")</f>
        <v>Heri (BT)</v>
      </c>
      <c r="F4062" s="14" t="str">
        <f>IFERROR(__xludf.DUMMYFUNCTION("""COMPUTED_VALUE"""),"SELESAI (VIA PERMOHONAN)")</f>
        <v>SELESAI (VIA PERMOHONAN)</v>
      </c>
      <c r="G4062" s="17">
        <f>IFERROR(__xludf.DUMMYFUNCTION("""COMPUTED_VALUE"""),45943.55229662037)</f>
        <v>45943.5523</v>
      </c>
      <c r="H4062" s="14" t="str">
        <f>IFERROR(__xludf.DUMMYFUNCTION("""COMPUTED_VALUE"""),"Aprill (SU)")</f>
        <v>Aprill (SU)</v>
      </c>
      <c r="I4062" s="13" t="str">
        <f>IFERROR(__xludf.DUMMYFUNCTION("""COMPUTED_VALUE"""),"SELESAI (VIA PERMOHONAN)")</f>
        <v>SELESAI (VIA PERMOHONAN)</v>
      </c>
      <c r="J4062" s="17">
        <f>IFERROR(__xludf.DUMMYFUNCTION("""COMPUTED_VALUE"""),45958.608832060185)</f>
        <v>45958.60883</v>
      </c>
      <c r="K4062" s="13" t="str">
        <f>IFERROR(__xludf.DUMMYFUNCTION("""COMPUTED_VALUE"""),"Selesai")</f>
        <v>Selesai</v>
      </c>
      <c r="L4062" s="17">
        <f>IFERROR(__xludf.DUMMYFUNCTION("""COMPUTED_VALUE"""),45958.608832060185)</f>
        <v>45958.60883</v>
      </c>
      <c r="M4062" s="13"/>
      <c r="N4062" s="13" t="str">
        <f>IFERROR(__xludf.DUMMYFUNCTION("""COMPUTED_VALUE"""),"")</f>
        <v/>
      </c>
      <c r="O4062" s="13" t="str">
        <f t="shared" si="1"/>
        <v/>
      </c>
    </row>
    <row r="4063" ht="22.5" customHeight="1">
      <c r="B4063" s="13">
        <f>IFERROR(__xludf.DUMMYFUNCTION("""COMPUTED_VALUE"""),4058.0)</f>
        <v>4058</v>
      </c>
      <c r="C4063" s="13" t="str">
        <f>IFERROR(__xludf.DUMMYFUNCTION("""COMPUTED_VALUE"""),"M.1817/KUPANG KOTA")</f>
        <v>M.1817/KUPANG KOTA</v>
      </c>
      <c r="D4063" s="13" t="str">
        <f>IFERROR(__xludf.DUMMYFUNCTION("""COMPUTED_VALUE"""),"L/1/061025/1")</f>
        <v>L/1/061025/1</v>
      </c>
      <c r="E4063" s="14" t="str">
        <f>IFERROR(__xludf.DUMMYFUNCTION("""COMPUTED_VALUE"""),"Heri (BT)")</f>
        <v>Heri (BT)</v>
      </c>
      <c r="F4063" s="14" t="str">
        <f>IFERROR(__xludf.DUMMYFUNCTION("""COMPUTED_VALUE"""),"SELESAI (VIA PERMOHONAN)")</f>
        <v>SELESAI (VIA PERMOHONAN)</v>
      </c>
      <c r="G4063" s="17">
        <f>IFERROR(__xludf.DUMMYFUNCTION("""COMPUTED_VALUE"""),45943.552444560184)</f>
        <v>45943.55244</v>
      </c>
      <c r="H4063" s="14" t="str">
        <f>IFERROR(__xludf.DUMMYFUNCTION("""COMPUTED_VALUE"""),"Aprill (SU)")</f>
        <v>Aprill (SU)</v>
      </c>
      <c r="I4063" s="13" t="str">
        <f>IFERROR(__xludf.DUMMYFUNCTION("""COMPUTED_VALUE"""),"SELESAI (VIA PERMOHONAN)")</f>
        <v>SELESAI (VIA PERMOHONAN)</v>
      </c>
      <c r="J4063" s="17">
        <f>IFERROR(__xludf.DUMMYFUNCTION("""COMPUTED_VALUE"""),45946.35221704861)</f>
        <v>45946.35222</v>
      </c>
      <c r="K4063" s="13" t="str">
        <f>IFERROR(__xludf.DUMMYFUNCTION("""COMPUTED_VALUE"""),"Selesai")</f>
        <v>Selesai</v>
      </c>
      <c r="L4063" s="17">
        <f>IFERROR(__xludf.DUMMYFUNCTION("""COMPUTED_VALUE"""),45946.35221704861)</f>
        <v>45946.35222</v>
      </c>
      <c r="M4063" s="13"/>
      <c r="N4063" s="13" t="str">
        <f>IFERROR(__xludf.DUMMYFUNCTION("""COMPUTED_VALUE"""),"")</f>
        <v/>
      </c>
      <c r="O4063" s="13" t="str">
        <f t="shared" si="1"/>
        <v/>
      </c>
    </row>
    <row r="4064" ht="22.5" customHeight="1">
      <c r="B4064" s="13">
        <f>IFERROR(__xludf.DUMMYFUNCTION("""COMPUTED_VALUE"""),4059.0)</f>
        <v>4059</v>
      </c>
      <c r="C4064" s="13" t="str">
        <f>IFERROR(__xludf.DUMMYFUNCTION("""COMPUTED_VALUE"""),"M. 12664/JAGABAYA II")</f>
        <v>M. 12664/JAGABAYA II</v>
      </c>
      <c r="D4064" s="13" t="str">
        <f>IFERROR(__xludf.DUMMYFUNCTION("""COMPUTED_VALUE"""),"K/3/071025/1")</f>
        <v>K/3/071025/1</v>
      </c>
      <c r="E4064" s="14" t="str">
        <f>IFERROR(__xludf.DUMMYFUNCTION("""COMPUTED_VALUE"""),"Heri (BT)")</f>
        <v>Heri (BT)</v>
      </c>
      <c r="F4064" s="14" t="str">
        <f>IFERROR(__xludf.DUMMYFUNCTION("""COMPUTED_VALUE"""),"SELESAI (VIA PERMOHONAN)")</f>
        <v>SELESAI (VIA PERMOHONAN)</v>
      </c>
      <c r="G4064" s="17">
        <f>IFERROR(__xludf.DUMMYFUNCTION("""COMPUTED_VALUE"""),45943.55259547454)</f>
        <v>45943.5526</v>
      </c>
      <c r="H4064" s="14" t="str">
        <f>IFERROR(__xludf.DUMMYFUNCTION("""COMPUTED_VALUE"""),"Aprill (SU)")</f>
        <v>Aprill (SU)</v>
      </c>
      <c r="I4064" s="13" t="str">
        <f>IFERROR(__xludf.DUMMYFUNCTION("""COMPUTED_VALUE"""),"SELESAI (VIA PERMOHONAN)")</f>
        <v>SELESAI (VIA PERMOHONAN)</v>
      </c>
      <c r="J4064" s="17">
        <f>IFERROR(__xludf.DUMMYFUNCTION("""COMPUTED_VALUE"""),45946.35221704861)</f>
        <v>45946.35222</v>
      </c>
      <c r="K4064" s="13" t="str">
        <f>IFERROR(__xludf.DUMMYFUNCTION("""COMPUTED_VALUE"""),"Selesai")</f>
        <v>Selesai</v>
      </c>
      <c r="L4064" s="17">
        <f>IFERROR(__xludf.DUMMYFUNCTION("""COMPUTED_VALUE"""),45946.35221704861)</f>
        <v>45946.35222</v>
      </c>
      <c r="M4064" s="13"/>
      <c r="N4064" s="13" t="str">
        <f>IFERROR(__xludf.DUMMYFUNCTION("""COMPUTED_VALUE"""),"")</f>
        <v/>
      </c>
      <c r="O4064" s="13" t="str">
        <f t="shared" si="1"/>
        <v/>
      </c>
    </row>
    <row r="4065" ht="22.5" customHeight="1">
      <c r="B4065" s="13">
        <f>IFERROR(__xludf.DUMMYFUNCTION("""COMPUTED_VALUE"""),4060.0)</f>
        <v>4060</v>
      </c>
      <c r="C4065" s="13" t="str">
        <f>IFERROR(__xludf.DUMMYFUNCTION("""COMPUTED_VALUE"""),"B. 58/GEDONG MENENG")</f>
        <v>B. 58/GEDONG MENENG</v>
      </c>
      <c r="D4065" s="13" t="str">
        <f>IFERROR(__xludf.DUMMYFUNCTION("""COMPUTED_VALUE"""),"K/27/071025/1")</f>
        <v>K/27/071025/1</v>
      </c>
      <c r="E4065" s="14" t="str">
        <f>IFERROR(__xludf.DUMMYFUNCTION("""COMPUTED_VALUE"""),"Heri (BT)")</f>
        <v>Heri (BT)</v>
      </c>
      <c r="F4065" s="14" t="str">
        <f>IFERROR(__xludf.DUMMYFUNCTION("""COMPUTED_VALUE"""),"SELESAI (VIA PERMOHONAN)")</f>
        <v>SELESAI (VIA PERMOHONAN)</v>
      </c>
      <c r="G4065" s="17">
        <f>IFERROR(__xludf.DUMMYFUNCTION("""COMPUTED_VALUE"""),45943.55272894676)</f>
        <v>45943.55273</v>
      </c>
      <c r="H4065" s="14"/>
      <c r="I4065" s="13"/>
      <c r="J4065" s="17" t="str">
        <f>IFERROR(__xludf.DUMMYFUNCTION("""COMPUTED_VALUE"""),"")</f>
        <v/>
      </c>
      <c r="K4065" s="13" t="str">
        <f>IFERROR(__xludf.DUMMYFUNCTION("""COMPUTED_VALUE"""),"BT atau SU Belum Valid")</f>
        <v>BT atau SU Belum Valid</v>
      </c>
      <c r="L4065" s="13" t="str">
        <f>IFERROR(__xludf.DUMMYFUNCTION("""COMPUTED_VALUE"""),"")</f>
        <v/>
      </c>
      <c r="M4065" s="13"/>
      <c r="N4065" s="13" t="str">
        <f>IFERROR(__xludf.DUMMYFUNCTION("""COMPUTED_VALUE"""),"")</f>
        <v/>
      </c>
      <c r="O4065" s="13" t="str">
        <f t="shared" si="1"/>
        <v/>
      </c>
    </row>
    <row r="4066" ht="22.5" customHeight="1">
      <c r="B4066" s="13">
        <f>IFERROR(__xludf.DUMMYFUNCTION("""COMPUTED_VALUE"""),4061.0)</f>
        <v>4061</v>
      </c>
      <c r="C4066" s="13" t="str">
        <f>IFERROR(__xludf.DUMMYFUNCTION("""COMPUTED_VALUE"""),"M 4018/ GUNUNG TERANG")</f>
        <v>M 4018/ GUNUNG TERANG</v>
      </c>
      <c r="D4066" s="13" t="str">
        <f>IFERROR(__xludf.DUMMYFUNCTION("""COMPUTED_VALUE"""),"K/20/190925/1")</f>
        <v>K/20/190925/1</v>
      </c>
      <c r="E4066" s="14" t="str">
        <f>IFERROR(__xludf.DUMMYFUNCTION("""COMPUTED_VALUE"""),"Heri (BT)")</f>
        <v>Heri (BT)</v>
      </c>
      <c r="F4066" s="14" t="str">
        <f>IFERROR(__xludf.DUMMYFUNCTION("""COMPUTED_VALUE"""),"SELESAI (VIA PERMOHONAN)")</f>
        <v>SELESAI (VIA PERMOHONAN)</v>
      </c>
      <c r="G4066" s="17">
        <f>IFERROR(__xludf.DUMMYFUNCTION("""COMPUTED_VALUE"""),45943.552880243056)</f>
        <v>45943.55288</v>
      </c>
      <c r="H4066" s="14"/>
      <c r="I4066" s="13"/>
      <c r="J4066" s="17" t="str">
        <f>IFERROR(__xludf.DUMMYFUNCTION("""COMPUTED_VALUE"""),"")</f>
        <v/>
      </c>
      <c r="K4066" s="13" t="str">
        <f>IFERROR(__xludf.DUMMYFUNCTION("""COMPUTED_VALUE"""),"BT atau SU Belum Valid")</f>
        <v>BT atau SU Belum Valid</v>
      </c>
      <c r="L4066" s="13" t="str">
        <f>IFERROR(__xludf.DUMMYFUNCTION("""COMPUTED_VALUE"""),"")</f>
        <v/>
      </c>
      <c r="M4066" s="13"/>
      <c r="N4066" s="13" t="str">
        <f>IFERROR(__xludf.DUMMYFUNCTION("""COMPUTED_VALUE"""),"")</f>
        <v/>
      </c>
      <c r="O4066" s="13" t="str">
        <f t="shared" si="1"/>
        <v/>
      </c>
    </row>
    <row r="4067" ht="22.5" customHeight="1">
      <c r="B4067" s="13">
        <f>IFERROR(__xludf.DUMMYFUNCTION("""COMPUTED_VALUE"""),4062.0)</f>
        <v>4062</v>
      </c>
      <c r="C4067" s="13" t="str">
        <f>IFERROR(__xludf.DUMMYFUNCTION("""COMPUTED_VALUE"""),"M.1825/SUKAMAJU")</f>
        <v>M.1825/SUKAMAJU</v>
      </c>
      <c r="D4067" s="13" t="str">
        <f>IFERROR(__xludf.DUMMYFUNCTION("""COMPUTED_VALUE"""),"K/17/210425/1")</f>
        <v>K/17/210425/1</v>
      </c>
      <c r="E4067" s="14" t="str">
        <f>IFERROR(__xludf.DUMMYFUNCTION("""COMPUTED_VALUE"""),"Heri (BT)")</f>
        <v>Heri (BT)</v>
      </c>
      <c r="F4067" s="14" t="str">
        <f>IFERROR(__xludf.DUMMYFUNCTION("""COMPUTED_VALUE"""),"SELESAI (VIA PERMOHONAN)")</f>
        <v>SELESAI (VIA PERMOHONAN)</v>
      </c>
      <c r="G4067" s="17">
        <f>IFERROR(__xludf.DUMMYFUNCTION("""COMPUTED_VALUE"""),45943.55307277778)</f>
        <v>45943.55307</v>
      </c>
      <c r="H4067" s="14"/>
      <c r="I4067" s="13"/>
      <c r="J4067" s="17" t="str">
        <f>IFERROR(__xludf.DUMMYFUNCTION("""COMPUTED_VALUE"""),"")</f>
        <v/>
      </c>
      <c r="K4067" s="13" t="str">
        <f>IFERROR(__xludf.DUMMYFUNCTION("""COMPUTED_VALUE"""),"BT atau SU Belum Valid")</f>
        <v>BT atau SU Belum Valid</v>
      </c>
      <c r="L4067" s="13" t="str">
        <f>IFERROR(__xludf.DUMMYFUNCTION("""COMPUTED_VALUE"""),"")</f>
        <v/>
      </c>
      <c r="M4067" s="13"/>
      <c r="N4067" s="13" t="str">
        <f>IFERROR(__xludf.DUMMYFUNCTION("""COMPUTED_VALUE"""),"")</f>
        <v/>
      </c>
      <c r="O4067" s="13" t="str">
        <f t="shared" si="1"/>
        <v/>
      </c>
    </row>
    <row r="4068" ht="22.5" customHeight="1">
      <c r="B4068" s="13">
        <f>IFERROR(__xludf.DUMMYFUNCTION("""COMPUTED_VALUE"""),4063.0)</f>
        <v>4063</v>
      </c>
      <c r="C4068" s="13" t="str">
        <f>IFERROR(__xludf.DUMMYFUNCTION("""COMPUTED_VALUE"""),"M.1344/KETEGUHAN")</f>
        <v>M.1344/KETEGUHAN</v>
      </c>
      <c r="D4068" s="13" t="str">
        <f>IFERROR(__xludf.DUMMYFUNCTION("""COMPUTED_VALUE"""),"L/15/180925/1")</f>
        <v>L/15/180925/1</v>
      </c>
      <c r="E4068" s="14" t="str">
        <f>IFERROR(__xludf.DUMMYFUNCTION("""COMPUTED_VALUE"""),"Heri (BT)")</f>
        <v>Heri (BT)</v>
      </c>
      <c r="F4068" s="14" t="str">
        <f>IFERROR(__xludf.DUMMYFUNCTION("""COMPUTED_VALUE"""),"SELESAI (VIA PERMOHONAN)")</f>
        <v>SELESAI (VIA PERMOHONAN)</v>
      </c>
      <c r="G4068" s="17">
        <f>IFERROR(__xludf.DUMMYFUNCTION("""COMPUTED_VALUE"""),45943.564893449075)</f>
        <v>45943.56489</v>
      </c>
      <c r="H4068" s="14"/>
      <c r="I4068" s="13"/>
      <c r="J4068" s="17" t="str">
        <f>IFERROR(__xludf.DUMMYFUNCTION("""COMPUTED_VALUE"""),"")</f>
        <v/>
      </c>
      <c r="K4068" s="13" t="str">
        <f>IFERROR(__xludf.DUMMYFUNCTION("""COMPUTED_VALUE"""),"BT atau SU Belum Valid")</f>
        <v>BT atau SU Belum Valid</v>
      </c>
      <c r="L4068" s="13" t="str">
        <f>IFERROR(__xludf.DUMMYFUNCTION("""COMPUTED_VALUE"""),"")</f>
        <v/>
      </c>
      <c r="M4068" s="13"/>
      <c r="N4068" s="13" t="str">
        <f>IFERROR(__xludf.DUMMYFUNCTION("""COMPUTED_VALUE"""),"")</f>
        <v/>
      </c>
      <c r="O4068" s="13" t="str">
        <f t="shared" si="1"/>
        <v/>
      </c>
    </row>
    <row r="4069" ht="22.5" customHeight="1">
      <c r="B4069" s="13">
        <f>IFERROR(__xludf.DUMMYFUNCTION("""COMPUTED_VALUE"""),4064.0)</f>
        <v>4064</v>
      </c>
      <c r="C4069" s="13" t="str">
        <f>IFERROR(__xludf.DUMMYFUNCTION("""COMPUTED_VALUE"""),"M 597/ KORPRI RAYA")</f>
        <v>M 597/ KORPRI RAYA</v>
      </c>
      <c r="D4069" s="13" t="str">
        <f>IFERROR(__xludf.DUMMYFUNCTION("""COMPUTED_VALUE"""),"K/5/260825/1")</f>
        <v>K/5/260825/1</v>
      </c>
      <c r="E4069" s="14" t="str">
        <f>IFERROR(__xludf.DUMMYFUNCTION("""COMPUTED_VALUE"""),"Admin (Migrasi)")</f>
        <v>Admin (Migrasi)</v>
      </c>
      <c r="F4069" s="14" t="str">
        <f>IFERROR(__xludf.DUMMYFUNCTION("""COMPUTED_VALUE"""),"SELESAI (VIA PERMOHONAN)")</f>
        <v>SELESAI (VIA PERMOHONAN)</v>
      </c>
      <c r="G4069" s="17">
        <f>IFERROR(__xludf.DUMMYFUNCTION("""COMPUTED_VALUE"""),45944.46690068287)</f>
        <v>45944.4669</v>
      </c>
      <c r="H4069" s="14" t="str">
        <f>IFERROR(__xludf.DUMMYFUNCTION("""COMPUTED_VALUE"""),"Admin (Migrasi)")</f>
        <v>Admin (Migrasi)</v>
      </c>
      <c r="I4069" s="13" t="str">
        <f>IFERROR(__xludf.DUMMYFUNCTION("""COMPUTED_VALUE"""),"SELESAI (VIA PERMOHONAN)")</f>
        <v>SELESAI (VIA PERMOHONAN)</v>
      </c>
      <c r="J4069" s="17">
        <f>IFERROR(__xludf.DUMMYFUNCTION("""COMPUTED_VALUE"""),45944.46690068287)</f>
        <v>45944.4669</v>
      </c>
      <c r="K4069" s="13" t="str">
        <f>IFERROR(__xludf.DUMMYFUNCTION("""COMPUTED_VALUE"""),"Selesai")</f>
        <v>Selesai</v>
      </c>
      <c r="L4069" s="17">
        <f>IFERROR(__xludf.DUMMYFUNCTION("""COMPUTED_VALUE"""),45944.46690068287)</f>
        <v>45944.4669</v>
      </c>
      <c r="M4069" s="13"/>
      <c r="N4069" s="13" t="str">
        <f>IFERROR(__xludf.DUMMYFUNCTION("""COMPUTED_VALUE"""),"")</f>
        <v/>
      </c>
      <c r="O4069" s="13" t="str">
        <f t="shared" si="1"/>
        <v/>
      </c>
    </row>
    <row r="4070" ht="22.5" customHeight="1">
      <c r="B4070" s="13">
        <f>IFERROR(__xludf.DUMMYFUNCTION("""COMPUTED_VALUE"""),4065.0)</f>
        <v>4065</v>
      </c>
      <c r="C4070" s="13" t="str">
        <f>IFERROR(__xludf.DUMMYFUNCTION("""COMPUTED_VALUE"""),"M. 497/ KOTA SEPANG")</f>
        <v>M. 497/ KOTA SEPANG</v>
      </c>
      <c r="D4070" s="13" t="str">
        <f>IFERROR(__xludf.DUMMYFUNCTION("""COMPUTED_VALUE"""),"K/13/210825/4")</f>
        <v>K/13/210825/4</v>
      </c>
      <c r="E4070" s="14" t="str">
        <f>IFERROR(__xludf.DUMMYFUNCTION("""COMPUTED_VALUE"""),"Admin (Migrasi)")</f>
        <v>Admin (Migrasi)</v>
      </c>
      <c r="F4070" s="14" t="str">
        <f>IFERROR(__xludf.DUMMYFUNCTION("""COMPUTED_VALUE"""),"SELESAI (VIA PERMOHONAN)")</f>
        <v>SELESAI (VIA PERMOHONAN)</v>
      </c>
      <c r="G4070" s="17">
        <f>IFERROR(__xludf.DUMMYFUNCTION("""COMPUTED_VALUE"""),45944.46690068287)</f>
        <v>45944.4669</v>
      </c>
      <c r="H4070" s="14" t="str">
        <f>IFERROR(__xludf.DUMMYFUNCTION("""COMPUTED_VALUE"""),"Admin (Migrasi)")</f>
        <v>Admin (Migrasi)</v>
      </c>
      <c r="I4070" s="13" t="str">
        <f>IFERROR(__xludf.DUMMYFUNCTION("""COMPUTED_VALUE"""),"SELESAI (VIA PERMOHONAN)")</f>
        <v>SELESAI (VIA PERMOHONAN)</v>
      </c>
      <c r="J4070" s="17">
        <f>IFERROR(__xludf.DUMMYFUNCTION("""COMPUTED_VALUE"""),45944.46690068287)</f>
        <v>45944.4669</v>
      </c>
      <c r="K4070" s="13" t="str">
        <f>IFERROR(__xludf.DUMMYFUNCTION("""COMPUTED_VALUE"""),"Selesai")</f>
        <v>Selesai</v>
      </c>
      <c r="L4070" s="17">
        <f>IFERROR(__xludf.DUMMYFUNCTION("""COMPUTED_VALUE"""),45944.46690068287)</f>
        <v>45944.4669</v>
      </c>
      <c r="M4070" s="13"/>
      <c r="N4070" s="13" t="str">
        <f>IFERROR(__xludf.DUMMYFUNCTION("""COMPUTED_VALUE"""),"")</f>
        <v/>
      </c>
      <c r="O4070" s="13" t="str">
        <f t="shared" si="1"/>
        <v/>
      </c>
    </row>
    <row r="4071" ht="22.5" customHeight="1">
      <c r="B4071" s="13">
        <f>IFERROR(__xludf.DUMMYFUNCTION("""COMPUTED_VALUE"""),4066.0)</f>
        <v>4066</v>
      </c>
      <c r="C4071" s="13" t="str">
        <f>IFERROR(__xludf.DUMMYFUNCTION("""COMPUTED_VALUE"""),"M 14047/ TANJUNG BARU")</f>
        <v>M 14047/ TANJUNG BARU</v>
      </c>
      <c r="D4071" s="13" t="str">
        <f>IFERROR(__xludf.DUMMYFUNCTION("""COMPUTED_VALUE"""),"K/17/300925/4")</f>
        <v>K/17/300925/4</v>
      </c>
      <c r="E4071" s="14" t="str">
        <f>IFERROR(__xludf.DUMMYFUNCTION("""COMPUTED_VALUE"""),"Admin (Migrasi)")</f>
        <v>Admin (Migrasi)</v>
      </c>
      <c r="F4071" s="14" t="str">
        <f>IFERROR(__xludf.DUMMYFUNCTION("""COMPUTED_VALUE"""),"SELESAI (VIA PERMOHONAN)")</f>
        <v>SELESAI (VIA PERMOHONAN)</v>
      </c>
      <c r="G4071" s="17">
        <f>IFERROR(__xludf.DUMMYFUNCTION("""COMPUTED_VALUE"""),45944.46690068287)</f>
        <v>45944.4669</v>
      </c>
      <c r="H4071" s="14" t="str">
        <f>IFERROR(__xludf.DUMMYFUNCTION("""COMPUTED_VALUE"""),"Admin (Migrasi)")</f>
        <v>Admin (Migrasi)</v>
      </c>
      <c r="I4071" s="13" t="str">
        <f>IFERROR(__xludf.DUMMYFUNCTION("""COMPUTED_VALUE"""),"SELESAI (VIA PERMOHONAN)")</f>
        <v>SELESAI (VIA PERMOHONAN)</v>
      </c>
      <c r="J4071" s="17">
        <f>IFERROR(__xludf.DUMMYFUNCTION("""COMPUTED_VALUE"""),45944.46690068287)</f>
        <v>45944.4669</v>
      </c>
      <c r="K4071" s="13" t="str">
        <f>IFERROR(__xludf.DUMMYFUNCTION("""COMPUTED_VALUE"""),"Selesai")</f>
        <v>Selesai</v>
      </c>
      <c r="L4071" s="17">
        <f>IFERROR(__xludf.DUMMYFUNCTION("""COMPUTED_VALUE"""),45944.46690068287)</f>
        <v>45944.4669</v>
      </c>
      <c r="M4071" s="13"/>
      <c r="N4071" s="13" t="str">
        <f>IFERROR(__xludf.DUMMYFUNCTION("""COMPUTED_VALUE"""),"")</f>
        <v/>
      </c>
      <c r="O4071" s="13" t="str">
        <f t="shared" si="1"/>
        <v/>
      </c>
    </row>
    <row r="4072" ht="22.5" customHeight="1">
      <c r="B4072" s="13">
        <f>IFERROR(__xludf.DUMMYFUNCTION("""COMPUTED_VALUE"""),4067.0)</f>
        <v>4067</v>
      </c>
      <c r="C4072" s="13" t="str">
        <f>IFERROR(__xludf.DUMMYFUNCTION("""COMPUTED_VALUE"""),"M 1100/ PINANG JAYA")</f>
        <v>M 1100/ PINANG JAYA</v>
      </c>
      <c r="D4072" s="13" t="str">
        <f>IFERROR(__xludf.DUMMYFUNCTION("""COMPUTED_VALUE"""),"K/15/090925/2")</f>
        <v>K/15/090925/2</v>
      </c>
      <c r="E4072" s="14" t="str">
        <f>IFERROR(__xludf.DUMMYFUNCTION("""COMPUTED_VALUE"""),"Admin (Migrasi)")</f>
        <v>Admin (Migrasi)</v>
      </c>
      <c r="F4072" s="14" t="str">
        <f>IFERROR(__xludf.DUMMYFUNCTION("""COMPUTED_VALUE"""),"SELESAI (VIA PERMOHONAN)")</f>
        <v>SELESAI (VIA PERMOHONAN)</v>
      </c>
      <c r="G4072" s="17">
        <f>IFERROR(__xludf.DUMMYFUNCTION("""COMPUTED_VALUE"""),45944.466900694446)</f>
        <v>45944.4669</v>
      </c>
      <c r="H4072" s="14" t="str">
        <f>IFERROR(__xludf.DUMMYFUNCTION("""COMPUTED_VALUE"""),"Admin (Migrasi)")</f>
        <v>Admin (Migrasi)</v>
      </c>
      <c r="I4072" s="13" t="str">
        <f>IFERROR(__xludf.DUMMYFUNCTION("""COMPUTED_VALUE"""),"SELESAI (VIA PERMOHONAN)")</f>
        <v>SELESAI (VIA PERMOHONAN)</v>
      </c>
      <c r="J4072" s="17">
        <f>IFERROR(__xludf.DUMMYFUNCTION("""COMPUTED_VALUE"""),45944.466900694446)</f>
        <v>45944.4669</v>
      </c>
      <c r="K4072" s="13" t="str">
        <f>IFERROR(__xludf.DUMMYFUNCTION("""COMPUTED_VALUE"""),"Selesai")</f>
        <v>Selesai</v>
      </c>
      <c r="L4072" s="17">
        <f>IFERROR(__xludf.DUMMYFUNCTION("""COMPUTED_VALUE"""),45944.466900694446)</f>
        <v>45944.4669</v>
      </c>
      <c r="M4072" s="13"/>
      <c r="N4072" s="13" t="str">
        <f>IFERROR(__xludf.DUMMYFUNCTION("""COMPUTED_VALUE"""),"")</f>
        <v/>
      </c>
      <c r="O4072" s="13" t="str">
        <f t="shared" si="1"/>
        <v/>
      </c>
    </row>
    <row r="4073" ht="22.5" customHeight="1">
      <c r="B4073" s="13">
        <f>IFERROR(__xludf.DUMMYFUNCTION("""COMPUTED_VALUE"""),4068.0)</f>
        <v>4068</v>
      </c>
      <c r="C4073" s="13" t="str">
        <f>IFERROR(__xludf.DUMMYFUNCTION("""COMPUTED_VALUE"""),"M 9531/ KAMPUNG BARU")</f>
        <v>M 9531/ KAMPUNG BARU</v>
      </c>
      <c r="D4073" s="13" t="str">
        <f>IFERROR(__xludf.DUMMYFUNCTION("""COMPUTED_VALUE"""),"K/18/090925/2")</f>
        <v>K/18/090925/2</v>
      </c>
      <c r="E4073" s="14" t="str">
        <f>IFERROR(__xludf.DUMMYFUNCTION("""COMPUTED_VALUE"""),"Admin (Migrasi)")</f>
        <v>Admin (Migrasi)</v>
      </c>
      <c r="F4073" s="14" t="str">
        <f>IFERROR(__xludf.DUMMYFUNCTION("""COMPUTED_VALUE"""),"SELESAI (VIA PERMOHONAN)")</f>
        <v>SELESAI (VIA PERMOHONAN)</v>
      </c>
      <c r="G4073" s="17">
        <f>IFERROR(__xludf.DUMMYFUNCTION("""COMPUTED_VALUE"""),45944.466900694446)</f>
        <v>45944.4669</v>
      </c>
      <c r="H4073" s="14" t="str">
        <f>IFERROR(__xludf.DUMMYFUNCTION("""COMPUTED_VALUE"""),"Admin (Migrasi)")</f>
        <v>Admin (Migrasi)</v>
      </c>
      <c r="I4073" s="13" t="str">
        <f>IFERROR(__xludf.DUMMYFUNCTION("""COMPUTED_VALUE"""),"SELESAI (VIA PERMOHONAN)")</f>
        <v>SELESAI (VIA PERMOHONAN)</v>
      </c>
      <c r="J4073" s="17">
        <f>IFERROR(__xludf.DUMMYFUNCTION("""COMPUTED_VALUE"""),45944.466900694446)</f>
        <v>45944.4669</v>
      </c>
      <c r="K4073" s="13" t="str">
        <f>IFERROR(__xludf.DUMMYFUNCTION("""COMPUTED_VALUE"""),"Selesai")</f>
        <v>Selesai</v>
      </c>
      <c r="L4073" s="17">
        <f>IFERROR(__xludf.DUMMYFUNCTION("""COMPUTED_VALUE"""),45944.466900694446)</f>
        <v>45944.4669</v>
      </c>
      <c r="M4073" s="13"/>
      <c r="N4073" s="13" t="str">
        <f>IFERROR(__xludf.DUMMYFUNCTION("""COMPUTED_VALUE"""),"")</f>
        <v/>
      </c>
      <c r="O4073" s="13" t="str">
        <f t="shared" si="1"/>
        <v/>
      </c>
    </row>
    <row r="4074" ht="22.5" customHeight="1">
      <c r="B4074" s="13">
        <f>IFERROR(__xludf.DUMMYFUNCTION("""COMPUTED_VALUE"""),4069.0)</f>
        <v>4069</v>
      </c>
      <c r="C4074" s="13" t="str">
        <f>IFERROR(__xludf.DUMMYFUNCTION("""COMPUTED_VALUE"""),"M. 1244/CAMPANG JAYA")</f>
        <v>M. 1244/CAMPANG JAYA</v>
      </c>
      <c r="D4074" s="13" t="str">
        <f>IFERROR(__xludf.DUMMYFUNCTION("""COMPUTED_VALUE"""),"K/66/220825/1")</f>
        <v>K/66/220825/1</v>
      </c>
      <c r="E4074" s="14" t="str">
        <f>IFERROR(__xludf.DUMMYFUNCTION("""COMPUTED_VALUE"""),"Admin (Migrasi)")</f>
        <v>Admin (Migrasi)</v>
      </c>
      <c r="F4074" s="14" t="str">
        <f>IFERROR(__xludf.DUMMYFUNCTION("""COMPUTED_VALUE"""),"SELESAI (VIA PERMOHONAN)")</f>
        <v>SELESAI (VIA PERMOHONAN)</v>
      </c>
      <c r="G4074" s="17">
        <f>IFERROR(__xludf.DUMMYFUNCTION("""COMPUTED_VALUE"""),45944.466900694446)</f>
        <v>45944.4669</v>
      </c>
      <c r="H4074" s="14" t="str">
        <f>IFERROR(__xludf.DUMMYFUNCTION("""COMPUTED_VALUE"""),"Admin (Migrasi)")</f>
        <v>Admin (Migrasi)</v>
      </c>
      <c r="I4074" s="13" t="str">
        <f>IFERROR(__xludf.DUMMYFUNCTION("""COMPUTED_VALUE"""),"SELESAI (VIA PERMOHONAN)")</f>
        <v>SELESAI (VIA PERMOHONAN)</v>
      </c>
      <c r="J4074" s="17">
        <f>IFERROR(__xludf.DUMMYFUNCTION("""COMPUTED_VALUE"""),45944.466900694446)</f>
        <v>45944.4669</v>
      </c>
      <c r="K4074" s="13" t="str">
        <f>IFERROR(__xludf.DUMMYFUNCTION("""COMPUTED_VALUE"""),"Selesai")</f>
        <v>Selesai</v>
      </c>
      <c r="L4074" s="17">
        <f>IFERROR(__xludf.DUMMYFUNCTION("""COMPUTED_VALUE"""),45944.466900694446)</f>
        <v>45944.4669</v>
      </c>
      <c r="M4074" s="13"/>
      <c r="N4074" s="13" t="str">
        <f>IFERROR(__xludf.DUMMYFUNCTION("""COMPUTED_VALUE"""),"")</f>
        <v/>
      </c>
      <c r="O4074" s="13" t="str">
        <f t="shared" si="1"/>
        <v/>
      </c>
    </row>
    <row r="4075" ht="22.5" customHeight="1">
      <c r="B4075" s="13">
        <f>IFERROR(__xludf.DUMMYFUNCTION("""COMPUTED_VALUE"""),4070.0)</f>
        <v>4070</v>
      </c>
      <c r="C4075" s="13" t="str">
        <f>IFERROR(__xludf.DUMMYFUNCTION("""COMPUTED_VALUE"""),"M 1028/ GULAK GALIK")</f>
        <v>M 1028/ GULAK GALIK</v>
      </c>
      <c r="D4075" s="13" t="str">
        <f>IFERROR(__xludf.DUMMYFUNCTION("""COMPUTED_VALUE"""),"K/35/260925/1")</f>
        <v>K/35/260925/1</v>
      </c>
      <c r="E4075" s="14" t="str">
        <f>IFERROR(__xludf.DUMMYFUNCTION("""COMPUTED_VALUE"""),"Admin (Migrasi)")</f>
        <v>Admin (Migrasi)</v>
      </c>
      <c r="F4075" s="14" t="str">
        <f>IFERROR(__xludf.DUMMYFUNCTION("""COMPUTED_VALUE"""),"SELESAI (VIA PERMOHONAN)")</f>
        <v>SELESAI (VIA PERMOHONAN)</v>
      </c>
      <c r="G4075" s="17">
        <f>IFERROR(__xludf.DUMMYFUNCTION("""COMPUTED_VALUE"""),45945.38371032407)</f>
        <v>45945.38371</v>
      </c>
      <c r="H4075" s="14" t="str">
        <f>IFERROR(__xludf.DUMMYFUNCTION("""COMPUTED_VALUE"""),"Admin (Migrasi)")</f>
        <v>Admin (Migrasi)</v>
      </c>
      <c r="I4075" s="13" t="str">
        <f>IFERROR(__xludf.DUMMYFUNCTION("""COMPUTED_VALUE"""),"SELESAI (VIA PERMOHONAN)")</f>
        <v>SELESAI (VIA PERMOHONAN)</v>
      </c>
      <c r="J4075" s="17">
        <f>IFERROR(__xludf.DUMMYFUNCTION("""COMPUTED_VALUE"""),45945.3837356713)</f>
        <v>45945.38374</v>
      </c>
      <c r="K4075" s="13" t="str">
        <f>IFERROR(__xludf.DUMMYFUNCTION("""COMPUTED_VALUE"""),"Selesai")</f>
        <v>Selesai</v>
      </c>
      <c r="L4075" s="17">
        <f>IFERROR(__xludf.DUMMYFUNCTION("""COMPUTED_VALUE"""),45945.3837356713)</f>
        <v>45945.38374</v>
      </c>
      <c r="M4075" s="13"/>
      <c r="N4075" s="13" t="str">
        <f>IFERROR(__xludf.DUMMYFUNCTION("""COMPUTED_VALUE"""),"")</f>
        <v/>
      </c>
      <c r="O4075" s="13" t="str">
        <f t="shared" si="1"/>
        <v/>
      </c>
    </row>
    <row r="4076" ht="22.5" customHeight="1">
      <c r="B4076" s="13">
        <f>IFERROR(__xludf.DUMMYFUNCTION("""COMPUTED_VALUE"""),4071.0)</f>
        <v>4071</v>
      </c>
      <c r="C4076" s="13" t="str">
        <f>IFERROR(__xludf.DUMMYFUNCTION("""COMPUTED_VALUE"""),"M 13486/ KEDAMAIAN")</f>
        <v>M 13486/ KEDAMAIAN</v>
      </c>
      <c r="D4076" s="13" t="str">
        <f>IFERROR(__xludf.DUMMYFUNCTION("""COMPUTED_VALUE"""),"K/8/280825/1")</f>
        <v>K/8/280825/1</v>
      </c>
      <c r="E4076" s="14" t="str">
        <f>IFERROR(__xludf.DUMMYFUNCTION("""COMPUTED_VALUE"""),"Admin (Migrasi)")</f>
        <v>Admin (Migrasi)</v>
      </c>
      <c r="F4076" s="14" t="str">
        <f>IFERROR(__xludf.DUMMYFUNCTION("""COMPUTED_VALUE"""),"SELESAI (VIA PERMOHONAN)")</f>
        <v>SELESAI (VIA PERMOHONAN)</v>
      </c>
      <c r="G4076" s="17">
        <f>IFERROR(__xludf.DUMMYFUNCTION("""COMPUTED_VALUE"""),45945.38392436343)</f>
        <v>45945.38392</v>
      </c>
      <c r="H4076" s="14" t="str">
        <f>IFERROR(__xludf.DUMMYFUNCTION("""COMPUTED_VALUE"""),"Admin (Migrasi)")</f>
        <v>Admin (Migrasi)</v>
      </c>
      <c r="I4076" s="13" t="str">
        <f>IFERROR(__xludf.DUMMYFUNCTION("""COMPUTED_VALUE"""),"SELESAI (VIA PERMOHONAN)")</f>
        <v>SELESAI (VIA PERMOHONAN)</v>
      </c>
      <c r="J4076" s="17">
        <f>IFERROR(__xludf.DUMMYFUNCTION("""COMPUTED_VALUE"""),45945.38396020833)</f>
        <v>45945.38396</v>
      </c>
      <c r="K4076" s="13" t="str">
        <f>IFERROR(__xludf.DUMMYFUNCTION("""COMPUTED_VALUE"""),"Selesai")</f>
        <v>Selesai</v>
      </c>
      <c r="L4076" s="17">
        <f>IFERROR(__xludf.DUMMYFUNCTION("""COMPUTED_VALUE"""),45945.38396020833)</f>
        <v>45945.38396</v>
      </c>
      <c r="M4076" s="13"/>
      <c r="N4076" s="13" t="str">
        <f>IFERROR(__xludf.DUMMYFUNCTION("""COMPUTED_VALUE"""),"")</f>
        <v/>
      </c>
      <c r="O4076" s="13" t="str">
        <f t="shared" si="1"/>
        <v/>
      </c>
    </row>
    <row r="4077" ht="22.5" customHeight="1">
      <c r="B4077" s="13">
        <f>IFERROR(__xludf.DUMMYFUNCTION("""COMPUTED_VALUE"""),4072.0)</f>
        <v>4072</v>
      </c>
      <c r="C4077" s="13" t="str">
        <f>IFERROR(__xludf.DUMMYFUNCTION("""COMPUTED_VALUE"""),"M 4549/ GUNUNG TERANG")</f>
        <v>M 4549/ GUNUNG TERANG</v>
      </c>
      <c r="D4077" s="13" t="str">
        <f>IFERROR(__xludf.DUMMYFUNCTION("""COMPUTED_VALUE"""),"K/8/020925/1")</f>
        <v>K/8/020925/1</v>
      </c>
      <c r="E4077" s="14" t="str">
        <f>IFERROR(__xludf.DUMMYFUNCTION("""COMPUTED_VALUE"""),"Admin (Migrasi)")</f>
        <v>Admin (Migrasi)</v>
      </c>
      <c r="F4077" s="14" t="str">
        <f>IFERROR(__xludf.DUMMYFUNCTION("""COMPUTED_VALUE"""),"SELESAI (VIA PERMOHONAN)")</f>
        <v>SELESAI (VIA PERMOHONAN)</v>
      </c>
      <c r="G4077" s="17">
        <f>IFERROR(__xludf.DUMMYFUNCTION("""COMPUTED_VALUE"""),45945.38419511574)</f>
        <v>45945.3842</v>
      </c>
      <c r="H4077" s="14" t="str">
        <f>IFERROR(__xludf.DUMMYFUNCTION("""COMPUTED_VALUE"""),"Admin (Migrasi)")</f>
        <v>Admin (Migrasi)</v>
      </c>
      <c r="I4077" s="13" t="str">
        <f>IFERROR(__xludf.DUMMYFUNCTION("""COMPUTED_VALUE"""),"SELESAI (VIA PERMOHONAN)")</f>
        <v>SELESAI (VIA PERMOHONAN)</v>
      </c>
      <c r="J4077" s="17">
        <f>IFERROR(__xludf.DUMMYFUNCTION("""COMPUTED_VALUE"""),45945.384218645835)</f>
        <v>45945.38422</v>
      </c>
      <c r="K4077" s="13" t="str">
        <f>IFERROR(__xludf.DUMMYFUNCTION("""COMPUTED_VALUE"""),"Selesai")</f>
        <v>Selesai</v>
      </c>
      <c r="L4077" s="17">
        <f>IFERROR(__xludf.DUMMYFUNCTION("""COMPUTED_VALUE"""),45945.384218645835)</f>
        <v>45945.38422</v>
      </c>
      <c r="M4077" s="13"/>
      <c r="N4077" s="13" t="str">
        <f>IFERROR(__xludf.DUMMYFUNCTION("""COMPUTED_VALUE"""),"")</f>
        <v/>
      </c>
      <c r="O4077" s="13" t="str">
        <f t="shared" si="1"/>
        <v/>
      </c>
    </row>
    <row r="4078" ht="22.5" customHeight="1">
      <c r="B4078" s="13">
        <f>IFERROR(__xludf.DUMMYFUNCTION("""COMPUTED_VALUE"""),4073.0)</f>
        <v>4073</v>
      </c>
      <c r="C4078" s="13" t="str">
        <f>IFERROR(__xludf.DUMMYFUNCTION("""COMPUTED_VALUE"""),"M. 1664/ BUMI KEDAMAIAN")</f>
        <v>M. 1664/ BUMI KEDAMAIAN</v>
      </c>
      <c r="D4078" s="13" t="str">
        <f>IFERROR(__xludf.DUMMYFUNCTION("""COMPUTED_VALUE"""),"K/22/220825/1")</f>
        <v>K/22/220825/1</v>
      </c>
      <c r="E4078" s="14" t="str">
        <f>IFERROR(__xludf.DUMMYFUNCTION("""COMPUTED_VALUE"""),"Admin (Migrasi)")</f>
        <v>Admin (Migrasi)</v>
      </c>
      <c r="F4078" s="14" t="str">
        <f>IFERROR(__xludf.DUMMYFUNCTION("""COMPUTED_VALUE"""),"SELESAI (VIA PERMOHONAN)")</f>
        <v>SELESAI (VIA PERMOHONAN)</v>
      </c>
      <c r="G4078" s="17">
        <f>IFERROR(__xludf.DUMMYFUNCTION("""COMPUTED_VALUE"""),45945.38435620371)</f>
        <v>45945.38436</v>
      </c>
      <c r="H4078" s="14" t="str">
        <f>IFERROR(__xludf.DUMMYFUNCTION("""COMPUTED_VALUE"""),"Admin (Migrasi)")</f>
        <v>Admin (Migrasi)</v>
      </c>
      <c r="I4078" s="13" t="str">
        <f>IFERROR(__xludf.DUMMYFUNCTION("""COMPUTED_VALUE"""),"SELESAI (VIA PERMOHONAN)")</f>
        <v>SELESAI (VIA PERMOHONAN)</v>
      </c>
      <c r="J4078" s="17">
        <f>IFERROR(__xludf.DUMMYFUNCTION("""COMPUTED_VALUE"""),45945.38438953704)</f>
        <v>45945.38439</v>
      </c>
      <c r="K4078" s="13" t="str">
        <f>IFERROR(__xludf.DUMMYFUNCTION("""COMPUTED_VALUE"""),"Selesai")</f>
        <v>Selesai</v>
      </c>
      <c r="L4078" s="17">
        <f>IFERROR(__xludf.DUMMYFUNCTION("""COMPUTED_VALUE"""),45945.38438953704)</f>
        <v>45945.38439</v>
      </c>
      <c r="M4078" s="13"/>
      <c r="N4078" s="13" t="str">
        <f>IFERROR(__xludf.DUMMYFUNCTION("""COMPUTED_VALUE"""),"")</f>
        <v/>
      </c>
      <c r="O4078" s="13" t="str">
        <f t="shared" si="1"/>
        <v/>
      </c>
    </row>
    <row r="4079" ht="22.5" customHeight="1">
      <c r="B4079" s="13">
        <f>IFERROR(__xludf.DUMMYFUNCTION("""COMPUTED_VALUE"""),4074.0)</f>
        <v>4074</v>
      </c>
      <c r="C4079" s="13" t="str">
        <f>IFERROR(__xludf.DUMMYFUNCTION("""COMPUTED_VALUE"""),"M 4652/ SUKADANA HAM")</f>
        <v>M 4652/ SUKADANA HAM</v>
      </c>
      <c r="D4079" s="13" t="str">
        <f>IFERROR(__xludf.DUMMYFUNCTION("""COMPUTED_VALUE"""),"K/10/260925/3")</f>
        <v>K/10/260925/3</v>
      </c>
      <c r="E4079" s="14" t="str">
        <f>IFERROR(__xludf.DUMMYFUNCTION("""COMPUTED_VALUE"""),"Admin (Migrasi)")</f>
        <v>Admin (Migrasi)</v>
      </c>
      <c r="F4079" s="14" t="str">
        <f>IFERROR(__xludf.DUMMYFUNCTION("""COMPUTED_VALUE"""),"SELESAI (VIA PERMOHONAN)")</f>
        <v>SELESAI (VIA PERMOHONAN)</v>
      </c>
      <c r="G4079" s="17">
        <f>IFERROR(__xludf.DUMMYFUNCTION("""COMPUTED_VALUE"""),45945.38452519676)</f>
        <v>45945.38453</v>
      </c>
      <c r="H4079" s="14" t="str">
        <f>IFERROR(__xludf.DUMMYFUNCTION("""COMPUTED_VALUE"""),"Admin (Migrasi)")</f>
        <v>Admin (Migrasi)</v>
      </c>
      <c r="I4079" s="13" t="str">
        <f>IFERROR(__xludf.DUMMYFUNCTION("""COMPUTED_VALUE"""),"SELESAI (VIA PERMOHONAN)")</f>
        <v>SELESAI (VIA PERMOHONAN)</v>
      </c>
      <c r="J4079" s="17">
        <f>IFERROR(__xludf.DUMMYFUNCTION("""COMPUTED_VALUE"""),45945.38455241898)</f>
        <v>45945.38455</v>
      </c>
      <c r="K4079" s="13" t="str">
        <f>IFERROR(__xludf.DUMMYFUNCTION("""COMPUTED_VALUE"""),"Selesai")</f>
        <v>Selesai</v>
      </c>
      <c r="L4079" s="17">
        <f>IFERROR(__xludf.DUMMYFUNCTION("""COMPUTED_VALUE"""),45945.38455241898)</f>
        <v>45945.38455</v>
      </c>
      <c r="M4079" s="13"/>
      <c r="N4079" s="13" t="str">
        <f>IFERROR(__xludf.DUMMYFUNCTION("""COMPUTED_VALUE"""),"")</f>
        <v/>
      </c>
      <c r="O4079" s="13" t="str">
        <f t="shared" si="1"/>
        <v/>
      </c>
    </row>
    <row r="4080" ht="22.5" customHeight="1">
      <c r="B4080" s="13">
        <f>IFERROR(__xludf.DUMMYFUNCTION("""COMPUTED_VALUE"""),4075.0)</f>
        <v>4075</v>
      </c>
      <c r="C4080" s="13" t="str">
        <f>IFERROR(__xludf.DUMMYFUNCTION("""COMPUTED_VALUE"""),"M. 2536/PINANG JAYA")</f>
        <v>M. 2536/PINANG JAYA</v>
      </c>
      <c r="D4080" s="13" t="str">
        <f>IFERROR(__xludf.DUMMYFUNCTION("""COMPUTED_VALUE"""),"K/15/220825/2")</f>
        <v>K/15/220825/2</v>
      </c>
      <c r="E4080" s="14" t="str">
        <f>IFERROR(__xludf.DUMMYFUNCTION("""COMPUTED_VALUE"""),"Admin (Migrasi)")</f>
        <v>Admin (Migrasi)</v>
      </c>
      <c r="F4080" s="14" t="str">
        <f>IFERROR(__xludf.DUMMYFUNCTION("""COMPUTED_VALUE"""),"SELESAI (VIA PERMOHONAN)")</f>
        <v>SELESAI (VIA PERMOHONAN)</v>
      </c>
      <c r="G4080" s="17">
        <f>IFERROR(__xludf.DUMMYFUNCTION("""COMPUTED_VALUE"""),45945.38536796297)</f>
        <v>45945.38537</v>
      </c>
      <c r="H4080" s="14" t="str">
        <f>IFERROR(__xludf.DUMMYFUNCTION("""COMPUTED_VALUE"""),"Admin (Migrasi)")</f>
        <v>Admin (Migrasi)</v>
      </c>
      <c r="I4080" s="13" t="str">
        <f>IFERROR(__xludf.DUMMYFUNCTION("""COMPUTED_VALUE"""),"SELESAI (VIA PERMOHONAN)")</f>
        <v>SELESAI (VIA PERMOHONAN)</v>
      </c>
      <c r="J4080" s="17">
        <f>IFERROR(__xludf.DUMMYFUNCTION("""COMPUTED_VALUE"""),45945.38550748843)</f>
        <v>45945.38551</v>
      </c>
      <c r="K4080" s="13" t="str">
        <f>IFERROR(__xludf.DUMMYFUNCTION("""COMPUTED_VALUE"""),"Selesai")</f>
        <v>Selesai</v>
      </c>
      <c r="L4080" s="17">
        <f>IFERROR(__xludf.DUMMYFUNCTION("""COMPUTED_VALUE"""),45945.38550748843)</f>
        <v>45945.38551</v>
      </c>
      <c r="M4080" s="13"/>
      <c r="N4080" s="13" t="str">
        <f>IFERROR(__xludf.DUMMYFUNCTION("""COMPUTED_VALUE"""),"")</f>
        <v/>
      </c>
      <c r="O4080" s="13" t="str">
        <f t="shared" si="1"/>
        <v/>
      </c>
    </row>
    <row r="4081" ht="22.5" customHeight="1">
      <c r="B4081" s="13">
        <f>IFERROR(__xludf.DUMMYFUNCTION("""COMPUTED_VALUE"""),4076.0)</f>
        <v>4076</v>
      </c>
      <c r="C4081" s="13" t="str">
        <f>IFERROR(__xludf.DUMMYFUNCTION("""COMPUTED_VALUE"""),"M. 10066/GEDUNG MENENG")</f>
        <v>M. 10066/GEDUNG MENENG</v>
      </c>
      <c r="D4081" s="13" t="str">
        <f>IFERROR(__xludf.DUMMYFUNCTION("""COMPUTED_VALUE"""),"K/30/280825/1")</f>
        <v>K/30/280825/1</v>
      </c>
      <c r="E4081" s="14" t="str">
        <f>IFERROR(__xludf.DUMMYFUNCTION("""COMPUTED_VALUE"""),"Admin (Migrasi)")</f>
        <v>Admin (Migrasi)</v>
      </c>
      <c r="F4081" s="14" t="str">
        <f>IFERROR(__xludf.DUMMYFUNCTION("""COMPUTED_VALUE"""),"SELESAI (VIA PERMOHONAN)")</f>
        <v>SELESAI (VIA PERMOHONAN)</v>
      </c>
      <c r="G4081" s="17">
        <f>IFERROR(__xludf.DUMMYFUNCTION("""COMPUTED_VALUE"""),45945.38561210648)</f>
        <v>45945.38561</v>
      </c>
      <c r="H4081" s="14" t="str">
        <f>IFERROR(__xludf.DUMMYFUNCTION("""COMPUTED_VALUE"""),"Admin (Migrasi)")</f>
        <v>Admin (Migrasi)</v>
      </c>
      <c r="I4081" s="13" t="str">
        <f>IFERROR(__xludf.DUMMYFUNCTION("""COMPUTED_VALUE"""),"SELESAI (VIA PERMOHONAN)")</f>
        <v>SELESAI (VIA PERMOHONAN)</v>
      </c>
      <c r="J4081" s="17">
        <f>IFERROR(__xludf.DUMMYFUNCTION("""COMPUTED_VALUE"""),45945.38563023148)</f>
        <v>45945.38563</v>
      </c>
      <c r="K4081" s="13" t="str">
        <f>IFERROR(__xludf.DUMMYFUNCTION("""COMPUTED_VALUE"""),"Selesai")</f>
        <v>Selesai</v>
      </c>
      <c r="L4081" s="17">
        <f>IFERROR(__xludf.DUMMYFUNCTION("""COMPUTED_VALUE"""),45945.38563023148)</f>
        <v>45945.38563</v>
      </c>
      <c r="M4081" s="13"/>
      <c r="N4081" s="13" t="str">
        <f>IFERROR(__xludf.DUMMYFUNCTION("""COMPUTED_VALUE"""),"")</f>
        <v/>
      </c>
      <c r="O4081" s="13" t="str">
        <f t="shared" si="1"/>
        <v/>
      </c>
    </row>
    <row r="4082" ht="22.5" customHeight="1">
      <c r="B4082" s="13">
        <f>IFERROR(__xludf.DUMMYFUNCTION("""COMPUTED_VALUE"""),4077.0)</f>
        <v>4077</v>
      </c>
      <c r="C4082" s="13" t="str">
        <f>IFERROR(__xludf.DUMMYFUNCTION("""COMPUTED_VALUE"""),"M. 653/WAY HALIM PERMAI")</f>
        <v>M. 653/WAY HALIM PERMAI</v>
      </c>
      <c r="D4082" s="13" t="str">
        <f>IFERROR(__xludf.DUMMYFUNCTION("""COMPUTED_VALUE"""),"K/6/090925/1")</f>
        <v>K/6/090925/1</v>
      </c>
      <c r="E4082" s="14" t="str">
        <f>IFERROR(__xludf.DUMMYFUNCTION("""COMPUTED_VALUE"""),"Admin (Migrasi)")</f>
        <v>Admin (Migrasi)</v>
      </c>
      <c r="F4082" s="14" t="str">
        <f>IFERROR(__xludf.DUMMYFUNCTION("""COMPUTED_VALUE"""),"SELESAI (VIA PERMOHONAN)")</f>
        <v>SELESAI (VIA PERMOHONAN)</v>
      </c>
      <c r="G4082" s="17">
        <f>IFERROR(__xludf.DUMMYFUNCTION("""COMPUTED_VALUE"""),45945.385843344906)</f>
        <v>45945.38584</v>
      </c>
      <c r="H4082" s="14" t="str">
        <f>IFERROR(__xludf.DUMMYFUNCTION("""COMPUTED_VALUE"""),"Admin (Migrasi)")</f>
        <v>Admin (Migrasi)</v>
      </c>
      <c r="I4082" s="13" t="str">
        <f>IFERROR(__xludf.DUMMYFUNCTION("""COMPUTED_VALUE"""),"SELESAI (VIA PERMOHONAN)")</f>
        <v>SELESAI (VIA PERMOHONAN)</v>
      </c>
      <c r="J4082" s="17">
        <f>IFERROR(__xludf.DUMMYFUNCTION("""COMPUTED_VALUE"""),45945.385843344906)</f>
        <v>45945.38584</v>
      </c>
      <c r="K4082" s="13" t="str">
        <f>IFERROR(__xludf.DUMMYFUNCTION("""COMPUTED_VALUE"""),"Selesai")</f>
        <v>Selesai</v>
      </c>
      <c r="L4082" s="17">
        <f>IFERROR(__xludf.DUMMYFUNCTION("""COMPUTED_VALUE"""),45945.385843344906)</f>
        <v>45945.38584</v>
      </c>
      <c r="M4082" s="13"/>
      <c r="N4082" s="13" t="str">
        <f>IFERROR(__xludf.DUMMYFUNCTION("""COMPUTED_VALUE"""),"")</f>
        <v/>
      </c>
      <c r="O4082" s="13" t="str">
        <f t="shared" si="1"/>
        <v/>
      </c>
    </row>
    <row r="4083" ht="22.5" customHeight="1">
      <c r="B4083" s="13">
        <f>IFERROR(__xludf.DUMMYFUNCTION("""COMPUTED_VALUE"""),4078.0)</f>
        <v>4078</v>
      </c>
      <c r="C4083" s="13" t="str">
        <f>IFERROR(__xludf.DUMMYFUNCTION("""COMPUTED_VALUE"""),"M. 257/GEDONG AIR")</f>
        <v>M. 257/GEDONG AIR</v>
      </c>
      <c r="D4083" s="13" t="str">
        <f>IFERROR(__xludf.DUMMYFUNCTION("""COMPUTED_VALUE"""),"K/37/030925/3")</f>
        <v>K/37/030925/3</v>
      </c>
      <c r="E4083" s="14" t="str">
        <f>IFERROR(__xludf.DUMMYFUNCTION("""COMPUTED_VALUE"""),"Admin (Migrasi)")</f>
        <v>Admin (Migrasi)</v>
      </c>
      <c r="F4083" s="14" t="str">
        <f>IFERROR(__xludf.DUMMYFUNCTION("""COMPUTED_VALUE"""),"SELESAI (VIA PERMOHONAN)")</f>
        <v>SELESAI (VIA PERMOHONAN)</v>
      </c>
      <c r="G4083" s="17">
        <f>IFERROR(__xludf.DUMMYFUNCTION("""COMPUTED_VALUE"""),45945.3860059838)</f>
        <v>45945.38601</v>
      </c>
      <c r="H4083" s="14" t="str">
        <f>IFERROR(__xludf.DUMMYFUNCTION("""COMPUTED_VALUE"""),"Admin (Migrasi)")</f>
        <v>Admin (Migrasi)</v>
      </c>
      <c r="I4083" s="13" t="str">
        <f>IFERROR(__xludf.DUMMYFUNCTION("""COMPUTED_VALUE"""),"SELESAI (VIA PERMOHONAN)")</f>
        <v>SELESAI (VIA PERMOHONAN)</v>
      </c>
      <c r="J4083" s="17">
        <f>IFERROR(__xludf.DUMMYFUNCTION("""COMPUTED_VALUE"""),45945.386039930556)</f>
        <v>45945.38604</v>
      </c>
      <c r="K4083" s="13" t="str">
        <f>IFERROR(__xludf.DUMMYFUNCTION("""COMPUTED_VALUE"""),"Selesai")</f>
        <v>Selesai</v>
      </c>
      <c r="L4083" s="17">
        <f>IFERROR(__xludf.DUMMYFUNCTION("""COMPUTED_VALUE"""),45945.386039930556)</f>
        <v>45945.38604</v>
      </c>
      <c r="M4083" s="13"/>
      <c r="N4083" s="13" t="str">
        <f>IFERROR(__xludf.DUMMYFUNCTION("""COMPUTED_VALUE"""),"")</f>
        <v/>
      </c>
      <c r="O4083" s="13" t="str">
        <f t="shared" si="1"/>
        <v/>
      </c>
    </row>
    <row r="4084" ht="22.5" customHeight="1">
      <c r="B4084" s="13">
        <f>IFERROR(__xludf.DUMMYFUNCTION("""COMPUTED_VALUE"""),4079.0)</f>
        <v>4079</v>
      </c>
      <c r="C4084" s="13" t="str">
        <f>IFERROR(__xludf.DUMMYFUNCTION("""COMPUTED_VALUE"""),"M. 2157/LABUHAN RATU RAYA")</f>
        <v>M. 2157/LABUHAN RATU RAYA</v>
      </c>
      <c r="D4084" s="13" t="str">
        <f>IFERROR(__xludf.DUMMYFUNCTION("""COMPUTED_VALUE"""),"K/40/020925/2")</f>
        <v>K/40/020925/2</v>
      </c>
      <c r="E4084" s="14" t="str">
        <f>IFERROR(__xludf.DUMMYFUNCTION("""COMPUTED_VALUE"""),"Admin (Migrasi)")</f>
        <v>Admin (Migrasi)</v>
      </c>
      <c r="F4084" s="14" t="str">
        <f>IFERROR(__xludf.DUMMYFUNCTION("""COMPUTED_VALUE"""),"SELESAI (VIA PERMOHONAN)")</f>
        <v>SELESAI (VIA PERMOHONAN)</v>
      </c>
      <c r="G4084" s="17">
        <f>IFERROR(__xludf.DUMMYFUNCTION("""COMPUTED_VALUE"""),45945.38628464121)</f>
        <v>45945.38628</v>
      </c>
      <c r="H4084" s="14" t="str">
        <f>IFERROR(__xludf.DUMMYFUNCTION("""COMPUTED_VALUE"""),"Admin (Migrasi)")</f>
        <v>Admin (Migrasi)</v>
      </c>
      <c r="I4084" s="13" t="str">
        <f>IFERROR(__xludf.DUMMYFUNCTION("""COMPUTED_VALUE"""),"SELESAI (VIA PERMOHONAN)")</f>
        <v>SELESAI (VIA PERMOHONAN)</v>
      </c>
      <c r="J4084" s="17">
        <f>IFERROR(__xludf.DUMMYFUNCTION("""COMPUTED_VALUE"""),45945.386327071756)</f>
        <v>45945.38633</v>
      </c>
      <c r="K4084" s="13" t="str">
        <f>IFERROR(__xludf.DUMMYFUNCTION("""COMPUTED_VALUE"""),"Selesai")</f>
        <v>Selesai</v>
      </c>
      <c r="L4084" s="17">
        <f>IFERROR(__xludf.DUMMYFUNCTION("""COMPUTED_VALUE"""),45945.386327071756)</f>
        <v>45945.38633</v>
      </c>
      <c r="M4084" s="13"/>
      <c r="N4084" s="13" t="str">
        <f>IFERROR(__xludf.DUMMYFUNCTION("""COMPUTED_VALUE"""),"")</f>
        <v/>
      </c>
      <c r="O4084" s="13" t="str">
        <f t="shared" si="1"/>
        <v/>
      </c>
    </row>
    <row r="4085" ht="22.5" customHeight="1">
      <c r="B4085" s="13">
        <f>IFERROR(__xludf.DUMMYFUNCTION("""COMPUTED_VALUE"""),4080.0)</f>
        <v>4080</v>
      </c>
      <c r="C4085" s="13" t="str">
        <f>IFERROR(__xludf.DUMMYFUNCTION("""COMPUTED_VALUE"""),"M. 6035/GUNUNG SULAH ")</f>
        <v>M. 6035/GUNUNG SULAH </v>
      </c>
      <c r="D4085" s="13" t="str">
        <f>IFERROR(__xludf.DUMMYFUNCTION("""COMPUTED_VALUE"""),"K/23/170925/1")</f>
        <v>K/23/170925/1</v>
      </c>
      <c r="E4085" s="14" t="str">
        <f>IFERROR(__xludf.DUMMYFUNCTION("""COMPUTED_VALUE"""),"Admin (Migrasi)")</f>
        <v>Admin (Migrasi)</v>
      </c>
      <c r="F4085" s="14" t="str">
        <f>IFERROR(__xludf.DUMMYFUNCTION("""COMPUTED_VALUE"""),"SELESAI (VIA PERMOHONAN)")</f>
        <v>SELESAI (VIA PERMOHONAN)</v>
      </c>
      <c r="G4085" s="17">
        <f>IFERROR(__xludf.DUMMYFUNCTION("""COMPUTED_VALUE"""),45945.386469363424)</f>
        <v>45945.38647</v>
      </c>
      <c r="H4085" s="14" t="str">
        <f>IFERROR(__xludf.DUMMYFUNCTION("""COMPUTED_VALUE"""),"Admin (Migrasi)")</f>
        <v>Admin (Migrasi)</v>
      </c>
      <c r="I4085" s="13" t="str">
        <f>IFERROR(__xludf.DUMMYFUNCTION("""COMPUTED_VALUE"""),"SELESAI (VIA PERMOHONAN)")</f>
        <v>SELESAI (VIA PERMOHONAN)</v>
      </c>
      <c r="J4085" s="17">
        <f>IFERROR(__xludf.DUMMYFUNCTION("""COMPUTED_VALUE"""),45945.38650795139)</f>
        <v>45945.38651</v>
      </c>
      <c r="K4085" s="13" t="str">
        <f>IFERROR(__xludf.DUMMYFUNCTION("""COMPUTED_VALUE"""),"Selesai")</f>
        <v>Selesai</v>
      </c>
      <c r="L4085" s="17">
        <f>IFERROR(__xludf.DUMMYFUNCTION("""COMPUTED_VALUE"""),45945.38650795139)</f>
        <v>45945.38651</v>
      </c>
      <c r="M4085" s="13"/>
      <c r="N4085" s="13" t="str">
        <f>IFERROR(__xludf.DUMMYFUNCTION("""COMPUTED_VALUE"""),"")</f>
        <v/>
      </c>
      <c r="O4085" s="13" t="str">
        <f t="shared" si="1"/>
        <v/>
      </c>
    </row>
    <row r="4086" ht="22.5" customHeight="1">
      <c r="B4086" s="13">
        <f>IFERROR(__xludf.DUMMYFUNCTION("""COMPUTED_VALUE"""),4081.0)</f>
        <v>4081</v>
      </c>
      <c r="C4086" s="13" t="str">
        <f>IFERROR(__xludf.DUMMYFUNCTION("""COMPUTED_VALUE"""),"M. 13368/TANJUNG BARU")</f>
        <v>M. 13368/TANJUNG BARU</v>
      </c>
      <c r="D4086" s="13" t="str">
        <f>IFERROR(__xludf.DUMMYFUNCTION("""COMPUTED_VALUE"""),"K/15/260825/1")</f>
        <v>K/15/260825/1</v>
      </c>
      <c r="E4086" s="14" t="str">
        <f>IFERROR(__xludf.DUMMYFUNCTION("""COMPUTED_VALUE"""),"Admin (Migrasi)")</f>
        <v>Admin (Migrasi)</v>
      </c>
      <c r="F4086" s="14" t="str">
        <f>IFERROR(__xludf.DUMMYFUNCTION("""COMPUTED_VALUE"""),"SELESAI (VIA PERMOHONAN)")</f>
        <v>SELESAI (VIA PERMOHONAN)</v>
      </c>
      <c r="G4086" s="17">
        <f>IFERROR(__xludf.DUMMYFUNCTION("""COMPUTED_VALUE"""),45945.38667224537)</f>
        <v>45945.38667</v>
      </c>
      <c r="H4086" s="14" t="str">
        <f>IFERROR(__xludf.DUMMYFUNCTION("""COMPUTED_VALUE"""),"Admin (Migrasi)")</f>
        <v>Admin (Migrasi)</v>
      </c>
      <c r="I4086" s="13" t="str">
        <f>IFERROR(__xludf.DUMMYFUNCTION("""COMPUTED_VALUE"""),"SELESAI (VIA PERMOHONAN)")</f>
        <v>SELESAI (VIA PERMOHONAN)</v>
      </c>
      <c r="J4086" s="17">
        <f>IFERROR(__xludf.DUMMYFUNCTION("""COMPUTED_VALUE"""),45945.386697395836)</f>
        <v>45945.3867</v>
      </c>
      <c r="K4086" s="13" t="str">
        <f>IFERROR(__xludf.DUMMYFUNCTION("""COMPUTED_VALUE"""),"Selesai")</f>
        <v>Selesai</v>
      </c>
      <c r="L4086" s="17">
        <f>IFERROR(__xludf.DUMMYFUNCTION("""COMPUTED_VALUE"""),45945.386697395836)</f>
        <v>45945.3867</v>
      </c>
      <c r="M4086" s="13"/>
      <c r="N4086" s="13" t="str">
        <f>IFERROR(__xludf.DUMMYFUNCTION("""COMPUTED_VALUE"""),"")</f>
        <v/>
      </c>
      <c r="O4086" s="13" t="str">
        <f t="shared" si="1"/>
        <v/>
      </c>
    </row>
    <row r="4087" ht="22.5" customHeight="1">
      <c r="B4087" s="13">
        <f>IFERROR(__xludf.DUMMYFUNCTION("""COMPUTED_VALUE"""),4082.0)</f>
        <v>4082</v>
      </c>
      <c r="C4087" s="13" t="str">
        <f>IFERROR(__xludf.DUMMYFUNCTION("""COMPUTED_VALUE"""),"M. 13890/KEDAMAIAN")</f>
        <v>M. 13890/KEDAMAIAN</v>
      </c>
      <c r="D4087" s="13" t="str">
        <f>IFERROR(__xludf.DUMMYFUNCTION("""COMPUTED_VALUE"""),"K/26/080925/5")</f>
        <v>K/26/080925/5</v>
      </c>
      <c r="E4087" s="14" t="str">
        <f>IFERROR(__xludf.DUMMYFUNCTION("""COMPUTED_VALUE"""),"Admin (Migrasi)")</f>
        <v>Admin (Migrasi)</v>
      </c>
      <c r="F4087" s="14" t="str">
        <f>IFERROR(__xludf.DUMMYFUNCTION("""COMPUTED_VALUE"""),"SELESAI (VIA PERMOHONAN)")</f>
        <v>SELESAI (VIA PERMOHONAN)</v>
      </c>
      <c r="G4087" s="17">
        <f>IFERROR(__xludf.DUMMYFUNCTION("""COMPUTED_VALUE"""),45945.38691452546)</f>
        <v>45945.38691</v>
      </c>
      <c r="H4087" s="14" t="str">
        <f>IFERROR(__xludf.DUMMYFUNCTION("""COMPUTED_VALUE"""),"Admin (Migrasi)")</f>
        <v>Admin (Migrasi)</v>
      </c>
      <c r="I4087" s="13" t="str">
        <f>IFERROR(__xludf.DUMMYFUNCTION("""COMPUTED_VALUE"""),"SELESAI (VIA PERMOHONAN)")</f>
        <v>SELESAI (VIA PERMOHONAN)</v>
      </c>
      <c r="J4087" s="17">
        <f>IFERROR(__xludf.DUMMYFUNCTION("""COMPUTED_VALUE"""),45945.386965983795)</f>
        <v>45945.38697</v>
      </c>
      <c r="K4087" s="13" t="str">
        <f>IFERROR(__xludf.DUMMYFUNCTION("""COMPUTED_VALUE"""),"Selesai")</f>
        <v>Selesai</v>
      </c>
      <c r="L4087" s="17">
        <f>IFERROR(__xludf.DUMMYFUNCTION("""COMPUTED_VALUE"""),45945.386965983795)</f>
        <v>45945.38697</v>
      </c>
      <c r="M4087" s="13"/>
      <c r="N4087" s="13" t="str">
        <f>IFERROR(__xludf.DUMMYFUNCTION("""COMPUTED_VALUE"""),"")</f>
        <v/>
      </c>
      <c r="O4087" s="13" t="str">
        <f t="shared" si="1"/>
        <v/>
      </c>
    </row>
    <row r="4088" ht="22.5" customHeight="1">
      <c r="B4088" s="13">
        <f>IFERROR(__xludf.DUMMYFUNCTION("""COMPUTED_VALUE"""),4083.0)</f>
        <v>4083</v>
      </c>
      <c r="C4088" s="13" t="str">
        <f>IFERROR(__xludf.DUMMYFUNCTION("""COMPUTED_VALUE"""),"M. 480/RAJABASA JAYA")</f>
        <v>M. 480/RAJABASA JAYA</v>
      </c>
      <c r="D4088" s="13" t="str">
        <f>IFERROR(__xludf.DUMMYFUNCTION("""COMPUTED_VALUE"""),"K/4/020925/1")</f>
        <v>K/4/020925/1</v>
      </c>
      <c r="E4088" s="14" t="str">
        <f>IFERROR(__xludf.DUMMYFUNCTION("""COMPUTED_VALUE"""),"Admin (Migrasi)")</f>
        <v>Admin (Migrasi)</v>
      </c>
      <c r="F4088" s="14" t="str">
        <f>IFERROR(__xludf.DUMMYFUNCTION("""COMPUTED_VALUE"""),"SELESAI (VIA PERMOHONAN)")</f>
        <v>SELESAI (VIA PERMOHONAN)</v>
      </c>
      <c r="G4088" s="17">
        <f>IFERROR(__xludf.DUMMYFUNCTION("""COMPUTED_VALUE"""),45945.38715011574)</f>
        <v>45945.38715</v>
      </c>
      <c r="H4088" s="14" t="str">
        <f>IFERROR(__xludf.DUMMYFUNCTION("""COMPUTED_VALUE"""),"Admin (Migrasi)")</f>
        <v>Admin (Migrasi)</v>
      </c>
      <c r="I4088" s="13" t="str">
        <f>IFERROR(__xludf.DUMMYFUNCTION("""COMPUTED_VALUE"""),"SELESAI (VIA PERMOHONAN)")</f>
        <v>SELESAI (VIA PERMOHONAN)</v>
      </c>
      <c r="J4088" s="17">
        <f>IFERROR(__xludf.DUMMYFUNCTION("""COMPUTED_VALUE"""),45945.38717606482)</f>
        <v>45945.38718</v>
      </c>
      <c r="K4088" s="13" t="str">
        <f>IFERROR(__xludf.DUMMYFUNCTION("""COMPUTED_VALUE"""),"Selesai")</f>
        <v>Selesai</v>
      </c>
      <c r="L4088" s="17">
        <f>IFERROR(__xludf.DUMMYFUNCTION("""COMPUTED_VALUE"""),45945.38717606482)</f>
        <v>45945.38718</v>
      </c>
      <c r="M4088" s="13"/>
      <c r="N4088" s="13" t="str">
        <f>IFERROR(__xludf.DUMMYFUNCTION("""COMPUTED_VALUE"""),"")</f>
        <v/>
      </c>
      <c r="O4088" s="13" t="str">
        <f t="shared" si="1"/>
        <v/>
      </c>
    </row>
    <row r="4089" ht="22.5" customHeight="1">
      <c r="B4089" s="13">
        <f>IFERROR(__xludf.DUMMYFUNCTION("""COMPUTED_VALUE"""),4084.0)</f>
        <v>4084</v>
      </c>
      <c r="C4089" s="13" t="str">
        <f>IFERROR(__xludf.DUMMYFUNCTION("""COMPUTED_VALUE"""),"M. 9060/KEDATON")</f>
        <v>M. 9060/KEDATON</v>
      </c>
      <c r="D4089" s="13" t="str">
        <f>IFERROR(__xludf.DUMMYFUNCTION("""COMPUTED_VALUE"""),"K/11/081025/1")</f>
        <v>K/11/081025/1</v>
      </c>
      <c r="E4089" s="14" t="str">
        <f>IFERROR(__xludf.DUMMYFUNCTION("""COMPUTED_VALUE"""),"Afriza (BT)")</f>
        <v>Afriza (BT)</v>
      </c>
      <c r="F4089" s="14" t="str">
        <f>IFERROR(__xludf.DUMMYFUNCTION("""COMPUTED_VALUE"""),"SELESAI (VIA PERMOHONAN)")</f>
        <v>SELESAI (VIA PERMOHONAN)</v>
      </c>
      <c r="G4089" s="17">
        <f>IFERROR(__xludf.DUMMYFUNCTION("""COMPUTED_VALUE"""),45945.424635856485)</f>
        <v>45945.42464</v>
      </c>
      <c r="H4089" s="14" t="str">
        <f>IFERROR(__xludf.DUMMYFUNCTION("""COMPUTED_VALUE"""),"Aprill (SU)")</f>
        <v>Aprill (SU)</v>
      </c>
      <c r="I4089" s="13" t="str">
        <f>IFERROR(__xludf.DUMMYFUNCTION("""COMPUTED_VALUE"""),"SELESAI (VIA PERMOHONAN)")</f>
        <v>SELESAI (VIA PERMOHONAN)</v>
      </c>
      <c r="J4089" s="17">
        <f>IFERROR(__xludf.DUMMYFUNCTION("""COMPUTED_VALUE"""),45946.62915221065)</f>
        <v>45946.62915</v>
      </c>
      <c r="K4089" s="13" t="str">
        <f>IFERROR(__xludf.DUMMYFUNCTION("""COMPUTED_VALUE"""),"Selesai")</f>
        <v>Selesai</v>
      </c>
      <c r="L4089" s="17">
        <f>IFERROR(__xludf.DUMMYFUNCTION("""COMPUTED_VALUE"""),45946.62915221065)</f>
        <v>45946.62915</v>
      </c>
      <c r="M4089" s="13"/>
      <c r="N4089" s="13" t="str">
        <f>IFERROR(__xludf.DUMMYFUNCTION("""COMPUTED_VALUE"""),"")</f>
        <v/>
      </c>
      <c r="O4089" s="13" t="str">
        <f t="shared" si="1"/>
        <v/>
      </c>
    </row>
    <row r="4090" ht="22.5" customHeight="1">
      <c r="B4090" s="13">
        <f>IFERROR(__xludf.DUMMYFUNCTION("""COMPUTED_VALUE"""),4085.0)</f>
        <v>4085</v>
      </c>
      <c r="C4090" s="13" t="str">
        <f>IFERROR(__xludf.DUMMYFUNCTION("""COMPUTED_VALUE"""),"M. 14811/Sukarame	")</f>
        <v>M. 14811/Sukarame	</v>
      </c>
      <c r="D4090" s="13" t="str">
        <f>IFERROR(__xludf.DUMMYFUNCTION("""COMPUTED_VALUE"""),"K/24/011025/1")</f>
        <v>K/24/011025/1</v>
      </c>
      <c r="E4090" s="14" t="str">
        <f>IFERROR(__xludf.DUMMYFUNCTION("""COMPUTED_VALUE"""),"Heri (BT)")</f>
        <v>Heri (BT)</v>
      </c>
      <c r="F4090" s="14" t="str">
        <f>IFERROR(__xludf.DUMMYFUNCTION("""COMPUTED_VALUE"""),"SELESAI (VIA PERMOHONAN)")</f>
        <v>SELESAI (VIA PERMOHONAN)</v>
      </c>
      <c r="G4090" s="17">
        <f>IFERROR(__xludf.DUMMYFUNCTION("""COMPUTED_VALUE"""),45945.43195320602)</f>
        <v>45945.43195</v>
      </c>
      <c r="H4090" s="14" t="str">
        <f>IFERROR(__xludf.DUMMYFUNCTION("""COMPUTED_VALUE"""),"Aprill (SU)")</f>
        <v>Aprill (SU)</v>
      </c>
      <c r="I4090" s="13" t="str">
        <f>IFERROR(__xludf.DUMMYFUNCTION("""COMPUTED_VALUE"""),"SELESAI (VIA PERMOHONAN)")</f>
        <v>SELESAI (VIA PERMOHONAN)</v>
      </c>
      <c r="J4090" s="17">
        <f>IFERROR(__xludf.DUMMYFUNCTION("""COMPUTED_VALUE"""),45946.62835925926)</f>
        <v>45946.62836</v>
      </c>
      <c r="K4090" s="13" t="str">
        <f>IFERROR(__xludf.DUMMYFUNCTION("""COMPUTED_VALUE"""),"Selesai")</f>
        <v>Selesai</v>
      </c>
      <c r="L4090" s="17">
        <f>IFERROR(__xludf.DUMMYFUNCTION("""COMPUTED_VALUE"""),45946.62835925926)</f>
        <v>45946.62836</v>
      </c>
      <c r="M4090" s="13"/>
      <c r="N4090" s="13" t="str">
        <f>IFERROR(__xludf.DUMMYFUNCTION("""COMPUTED_VALUE"""),"")</f>
        <v/>
      </c>
      <c r="O4090" s="13" t="str">
        <f t="shared" si="1"/>
        <v/>
      </c>
    </row>
    <row r="4091" ht="22.5" customHeight="1">
      <c r="B4091" s="13">
        <f>IFERROR(__xludf.DUMMYFUNCTION("""COMPUTED_VALUE"""),4086.0)</f>
        <v>4086</v>
      </c>
      <c r="C4091" s="13" t="str">
        <f>IFERROR(__xludf.DUMMYFUNCTION("""COMPUTED_VALUE"""),"M. 341/Kota Sepang	")</f>
        <v>M. 341/Kota Sepang	</v>
      </c>
      <c r="D4091" s="13" t="str">
        <f>IFERROR(__xludf.DUMMYFUNCTION("""COMPUTED_VALUE"""),"K/16/061025/1")</f>
        <v>K/16/061025/1</v>
      </c>
      <c r="E4091" s="14" t="str">
        <f>IFERROR(__xludf.DUMMYFUNCTION("""COMPUTED_VALUE"""),"Heri (BT)")</f>
        <v>Heri (BT)</v>
      </c>
      <c r="F4091" s="14" t="str">
        <f>IFERROR(__xludf.DUMMYFUNCTION("""COMPUTED_VALUE"""),"SELESAI (VIA PERMOHONAN)")</f>
        <v>SELESAI (VIA PERMOHONAN)</v>
      </c>
      <c r="G4091" s="17">
        <f>IFERROR(__xludf.DUMMYFUNCTION("""COMPUTED_VALUE"""),45945.43209770833)</f>
        <v>45945.4321</v>
      </c>
      <c r="H4091" s="14" t="str">
        <f>IFERROR(__xludf.DUMMYFUNCTION("""COMPUTED_VALUE"""),"Aprill (SU)")</f>
        <v>Aprill (SU)</v>
      </c>
      <c r="I4091" s="13" t="str">
        <f>IFERROR(__xludf.DUMMYFUNCTION("""COMPUTED_VALUE"""),"SELESAI (VIA PERMOHONAN)")</f>
        <v>SELESAI (VIA PERMOHONAN)</v>
      </c>
      <c r="J4091" s="17">
        <f>IFERROR(__xludf.DUMMYFUNCTION("""COMPUTED_VALUE"""),45946.62933296296)</f>
        <v>45946.62933</v>
      </c>
      <c r="K4091" s="13" t="str">
        <f>IFERROR(__xludf.DUMMYFUNCTION("""COMPUTED_VALUE"""),"Selesai")</f>
        <v>Selesai</v>
      </c>
      <c r="L4091" s="17">
        <f>IFERROR(__xludf.DUMMYFUNCTION("""COMPUTED_VALUE"""),45946.62933296296)</f>
        <v>45946.62933</v>
      </c>
      <c r="M4091" s="13"/>
      <c r="N4091" s="13" t="str">
        <f>IFERROR(__xludf.DUMMYFUNCTION("""COMPUTED_VALUE"""),"")</f>
        <v/>
      </c>
      <c r="O4091" s="13" t="str">
        <f t="shared" si="1"/>
        <v/>
      </c>
    </row>
    <row r="4092" ht="22.5" customHeight="1">
      <c r="B4092" s="13">
        <f>IFERROR(__xludf.DUMMYFUNCTION("""COMPUTED_VALUE"""),4087.0)</f>
        <v>4087</v>
      </c>
      <c r="C4092" s="13" t="str">
        <f>IFERROR(__xludf.DUMMYFUNCTION("""COMPUTED_VALUE"""),"M. 9270/SURABAYA")</f>
        <v>M. 9270/SURABAYA</v>
      </c>
      <c r="D4092" s="13" t="str">
        <f>IFERROR(__xludf.DUMMYFUNCTION("""COMPUTED_VALUE"""),"L/2/031025/1")</f>
        <v>L/2/031025/1</v>
      </c>
      <c r="E4092" s="14" t="str">
        <f>IFERROR(__xludf.DUMMYFUNCTION("""COMPUTED_VALUE"""),"Heri (BT)")</f>
        <v>Heri (BT)</v>
      </c>
      <c r="F4092" s="14" t="str">
        <f>IFERROR(__xludf.DUMMYFUNCTION("""COMPUTED_VALUE"""),"SELESAI (VIA PERMOHONAN)")</f>
        <v>SELESAI (VIA PERMOHONAN)</v>
      </c>
      <c r="G4092" s="17">
        <f>IFERROR(__xludf.DUMMYFUNCTION("""COMPUTED_VALUE"""),45945.432247453704)</f>
        <v>45945.43225</v>
      </c>
      <c r="H4092" s="14" t="str">
        <f>IFERROR(__xludf.DUMMYFUNCTION("""COMPUTED_VALUE"""),"Aprill (SU)")</f>
        <v>Aprill (SU)</v>
      </c>
      <c r="I4092" s="13" t="str">
        <f>IFERROR(__xludf.DUMMYFUNCTION("""COMPUTED_VALUE"""),"SELESAI (VIA PERMOHONAN)")</f>
        <v>SELESAI (VIA PERMOHONAN)</v>
      </c>
      <c r="J4092" s="17">
        <f>IFERROR(__xludf.DUMMYFUNCTION("""COMPUTED_VALUE"""),45951.62850597222)</f>
        <v>45951.62851</v>
      </c>
      <c r="K4092" s="13" t="str">
        <f>IFERROR(__xludf.DUMMYFUNCTION("""COMPUTED_VALUE"""),"Selesai")</f>
        <v>Selesai</v>
      </c>
      <c r="L4092" s="17">
        <f>IFERROR(__xludf.DUMMYFUNCTION("""COMPUTED_VALUE"""),45951.62850597222)</f>
        <v>45951.62851</v>
      </c>
      <c r="M4092" s="13"/>
      <c r="N4092" s="13" t="str">
        <f>IFERROR(__xludf.DUMMYFUNCTION("""COMPUTED_VALUE"""),"")</f>
        <v/>
      </c>
      <c r="O4092" s="13" t="str">
        <f t="shared" si="1"/>
        <v/>
      </c>
    </row>
    <row r="4093" ht="22.5" customHeight="1">
      <c r="B4093" s="13">
        <f>IFERROR(__xludf.DUMMYFUNCTION("""COMPUTED_VALUE"""),4088.0)</f>
        <v>4088</v>
      </c>
      <c r="C4093" s="13" t="str">
        <f>IFERROR(__xludf.DUMMYFUNCTION("""COMPUTED_VALUE"""),"B. 353/CAMPANG RAYA")</f>
        <v>B. 353/CAMPANG RAYA</v>
      </c>
      <c r="D4093" s="13" t="str">
        <f>IFERROR(__xludf.DUMMYFUNCTION("""COMPUTED_VALUE"""),"L/11/071025/1")</f>
        <v>L/11/071025/1</v>
      </c>
      <c r="E4093" s="14" t="str">
        <f>IFERROR(__xludf.DUMMYFUNCTION("""COMPUTED_VALUE"""),"Heri (BT)")</f>
        <v>Heri (BT)</v>
      </c>
      <c r="F4093" s="14" t="str">
        <f>IFERROR(__xludf.DUMMYFUNCTION("""COMPUTED_VALUE"""),"SELESAI (VIA PERMOHONAN)")</f>
        <v>SELESAI (VIA PERMOHONAN)</v>
      </c>
      <c r="G4093" s="17">
        <f>IFERROR(__xludf.DUMMYFUNCTION("""COMPUTED_VALUE"""),45945.43242456019)</f>
        <v>45945.43242</v>
      </c>
      <c r="H4093" s="14" t="str">
        <f>IFERROR(__xludf.DUMMYFUNCTION("""COMPUTED_VALUE"""),"Aprill (SU)")</f>
        <v>Aprill (SU)</v>
      </c>
      <c r="I4093" s="13" t="str">
        <f>IFERROR(__xludf.DUMMYFUNCTION("""COMPUTED_VALUE"""),"SELESAI (VIA PERMOHONAN)")</f>
        <v>SELESAI (VIA PERMOHONAN)</v>
      </c>
      <c r="J4093" s="17">
        <f>IFERROR(__xludf.DUMMYFUNCTION("""COMPUTED_VALUE"""),45951.63051791667)</f>
        <v>45951.63052</v>
      </c>
      <c r="K4093" s="13" t="str">
        <f>IFERROR(__xludf.DUMMYFUNCTION("""COMPUTED_VALUE"""),"Selesai")</f>
        <v>Selesai</v>
      </c>
      <c r="L4093" s="17">
        <f>IFERROR(__xludf.DUMMYFUNCTION("""COMPUTED_VALUE"""),45951.63051791667)</f>
        <v>45951.63052</v>
      </c>
      <c r="M4093" s="13"/>
      <c r="N4093" s="13" t="str">
        <f>IFERROR(__xludf.DUMMYFUNCTION("""COMPUTED_VALUE"""),"")</f>
        <v/>
      </c>
      <c r="O4093" s="13" t="str">
        <f t="shared" si="1"/>
        <v/>
      </c>
    </row>
    <row r="4094" ht="22.5" customHeight="1">
      <c r="B4094" s="13">
        <f>IFERROR(__xludf.DUMMYFUNCTION("""COMPUTED_VALUE"""),4089.0)</f>
        <v>4089</v>
      </c>
      <c r="C4094" s="13" t="str">
        <f>IFERROR(__xludf.DUMMYFUNCTION("""COMPUTED_VALUE"""),"M. 13040/SUKABUMI")</f>
        <v>M. 13040/SUKABUMI</v>
      </c>
      <c r="D4094" s="13" t="str">
        <f>IFERROR(__xludf.DUMMYFUNCTION("""COMPUTED_VALUE"""),"L/47/101025/1")</f>
        <v>L/47/101025/1</v>
      </c>
      <c r="E4094" s="14" t="str">
        <f>IFERROR(__xludf.DUMMYFUNCTION("""COMPUTED_VALUE"""),"Heri (BT)")</f>
        <v>Heri (BT)</v>
      </c>
      <c r="F4094" s="14" t="str">
        <f>IFERROR(__xludf.DUMMYFUNCTION("""COMPUTED_VALUE"""),"SELESAI (VIA PERMOHONAN)")</f>
        <v>SELESAI (VIA PERMOHONAN)</v>
      </c>
      <c r="G4094" s="17">
        <f>IFERROR(__xludf.DUMMYFUNCTION("""COMPUTED_VALUE"""),45945.43257959491)</f>
        <v>45945.43258</v>
      </c>
      <c r="H4094" s="14" t="str">
        <f>IFERROR(__xludf.DUMMYFUNCTION("""COMPUTED_VALUE"""),"Aprill (SU)")</f>
        <v>Aprill (SU)</v>
      </c>
      <c r="I4094" s="13" t="str">
        <f>IFERROR(__xludf.DUMMYFUNCTION("""COMPUTED_VALUE"""),"SELESAI (VIA PERMOHONAN)")</f>
        <v>SELESAI (VIA PERMOHONAN)</v>
      </c>
      <c r="J4094" s="17">
        <f>IFERROR(__xludf.DUMMYFUNCTION("""COMPUTED_VALUE"""),45951.630568946755)</f>
        <v>45951.63057</v>
      </c>
      <c r="K4094" s="13" t="str">
        <f>IFERROR(__xludf.DUMMYFUNCTION("""COMPUTED_VALUE"""),"Selesai")</f>
        <v>Selesai</v>
      </c>
      <c r="L4094" s="17">
        <f>IFERROR(__xludf.DUMMYFUNCTION("""COMPUTED_VALUE"""),45951.630568946755)</f>
        <v>45951.63057</v>
      </c>
      <c r="M4094" s="13"/>
      <c r="N4094" s="13" t="str">
        <f>IFERROR(__xludf.DUMMYFUNCTION("""COMPUTED_VALUE"""),"")</f>
        <v/>
      </c>
      <c r="O4094" s="13" t="str">
        <f t="shared" si="1"/>
        <v/>
      </c>
    </row>
    <row r="4095" ht="22.5" customHeight="1">
      <c r="B4095" s="13">
        <f>IFERROR(__xludf.DUMMYFUNCTION("""COMPUTED_VALUE"""),4090.0)</f>
        <v>4090</v>
      </c>
      <c r="C4095" s="13" t="str">
        <f>IFERROR(__xludf.DUMMYFUNCTION("""COMPUTED_VALUE"""),"M. 1272/SUSUNAN BARU")</f>
        <v>M. 1272/SUSUNAN BARU</v>
      </c>
      <c r="D4095" s="13" t="str">
        <f>IFERROR(__xludf.DUMMYFUNCTION("""COMPUTED_VALUE"""),"L/24/250925/1")</f>
        <v>L/24/250925/1</v>
      </c>
      <c r="E4095" s="14" t="str">
        <f>IFERROR(__xludf.DUMMYFUNCTION("""COMPUTED_VALUE"""),"Heri (BT)")</f>
        <v>Heri (BT)</v>
      </c>
      <c r="F4095" s="14" t="str">
        <f>IFERROR(__xludf.DUMMYFUNCTION("""COMPUTED_VALUE"""),"SELESAI (VIA PERMOHONAN)")</f>
        <v>SELESAI (VIA PERMOHONAN)</v>
      </c>
      <c r="G4095" s="17">
        <f>IFERROR(__xludf.DUMMYFUNCTION("""COMPUTED_VALUE"""),45945.432737118055)</f>
        <v>45945.43274</v>
      </c>
      <c r="H4095" s="14" t="str">
        <f>IFERROR(__xludf.DUMMYFUNCTION("""COMPUTED_VALUE"""),"Aprill (SU)")</f>
        <v>Aprill (SU)</v>
      </c>
      <c r="I4095" s="13" t="str">
        <f>IFERROR(__xludf.DUMMYFUNCTION("""COMPUTED_VALUE"""),"SELESAI (VIA PERMOHONAN)")</f>
        <v>SELESAI (VIA PERMOHONAN)</v>
      </c>
      <c r="J4095" s="17">
        <f>IFERROR(__xludf.DUMMYFUNCTION("""COMPUTED_VALUE"""),45947.6186362963)</f>
        <v>45947.61864</v>
      </c>
      <c r="K4095" s="13" t="str">
        <f>IFERROR(__xludf.DUMMYFUNCTION("""COMPUTED_VALUE"""),"Selesai")</f>
        <v>Selesai</v>
      </c>
      <c r="L4095" s="17">
        <f>IFERROR(__xludf.DUMMYFUNCTION("""COMPUTED_VALUE"""),45947.6186362963)</f>
        <v>45947.61864</v>
      </c>
      <c r="M4095" s="13"/>
      <c r="N4095" s="13" t="str">
        <f>IFERROR(__xludf.DUMMYFUNCTION("""COMPUTED_VALUE"""),"")</f>
        <v/>
      </c>
      <c r="O4095" s="13" t="str">
        <f t="shared" si="1"/>
        <v/>
      </c>
    </row>
    <row r="4096" ht="22.5" customHeight="1">
      <c r="B4096" s="13">
        <f>IFERROR(__xludf.DUMMYFUNCTION("""COMPUTED_VALUE"""),4091.0)</f>
        <v>4091</v>
      </c>
      <c r="C4096" s="13" t="str">
        <f>IFERROR(__xludf.DUMMYFUNCTION("""COMPUTED_VALUE"""),"HM 1907/BERINIGN JAYA")</f>
        <v>HM 1907/BERINIGN JAYA</v>
      </c>
      <c r="D4096" s="13" t="str">
        <f>IFERROR(__xludf.DUMMYFUNCTION("""COMPUTED_VALUE"""),"L/21/190525/1")</f>
        <v>L/21/190525/1</v>
      </c>
      <c r="E4096" s="14" t="str">
        <f>IFERROR(__xludf.DUMMYFUNCTION("""COMPUTED_VALUE"""),"Heri (BT)")</f>
        <v>Heri (BT)</v>
      </c>
      <c r="F4096" s="14" t="str">
        <f>IFERROR(__xludf.DUMMYFUNCTION("""COMPUTED_VALUE"""),"SELESAI (VIA PERMOHONAN)")</f>
        <v>SELESAI (VIA PERMOHONAN)</v>
      </c>
      <c r="G4096" s="17">
        <f>IFERROR(__xludf.DUMMYFUNCTION("""COMPUTED_VALUE"""),45945.4328909375)</f>
        <v>45945.43289</v>
      </c>
      <c r="H4096" s="14" t="str">
        <f>IFERROR(__xludf.DUMMYFUNCTION("""COMPUTED_VALUE"""),"Aprill (SU)")</f>
        <v>Aprill (SU)</v>
      </c>
      <c r="I4096" s="13" t="str">
        <f>IFERROR(__xludf.DUMMYFUNCTION("""COMPUTED_VALUE"""),"SELESAI (VIA PERMOHONAN)")</f>
        <v>SELESAI (VIA PERMOHONAN)</v>
      </c>
      <c r="J4096" s="17">
        <f>IFERROR(__xludf.DUMMYFUNCTION("""COMPUTED_VALUE"""),45951.628042847224)</f>
        <v>45951.62804</v>
      </c>
      <c r="K4096" s="13" t="str">
        <f>IFERROR(__xludf.DUMMYFUNCTION("""COMPUTED_VALUE"""),"Selesai")</f>
        <v>Selesai</v>
      </c>
      <c r="L4096" s="17">
        <f>IFERROR(__xludf.DUMMYFUNCTION("""COMPUTED_VALUE"""),45951.628042847224)</f>
        <v>45951.62804</v>
      </c>
      <c r="M4096" s="13"/>
      <c r="N4096" s="13" t="str">
        <f>IFERROR(__xludf.DUMMYFUNCTION("""COMPUTED_VALUE"""),"")</f>
        <v/>
      </c>
      <c r="O4096" s="13" t="str">
        <f t="shared" si="1"/>
        <v/>
      </c>
    </row>
    <row r="4097" ht="22.5" customHeight="1">
      <c r="B4097" s="13">
        <f>IFERROR(__xludf.DUMMYFUNCTION("""COMPUTED_VALUE"""),4092.0)</f>
        <v>4092</v>
      </c>
      <c r="C4097" s="13" t="str">
        <f>IFERROR(__xludf.DUMMYFUNCTION("""COMPUTED_VALUE"""),"M 10635/ SIDODADI")</f>
        <v>M 10635/ SIDODADI</v>
      </c>
      <c r="D4097" s="13" t="str">
        <f>IFERROR(__xludf.DUMMYFUNCTION("""COMPUTED_VALUE"""),"K/22/160925/1")</f>
        <v>K/22/160925/1</v>
      </c>
      <c r="E4097" s="14" t="str">
        <f>IFERROR(__xludf.DUMMYFUNCTION("""COMPUTED_VALUE"""),"Heri (BT)")</f>
        <v>Heri (BT)</v>
      </c>
      <c r="F4097" s="14" t="str">
        <f>IFERROR(__xludf.DUMMYFUNCTION("""COMPUTED_VALUE"""),"SELESAI (VIA PERMOHONAN)")</f>
        <v>SELESAI (VIA PERMOHONAN)</v>
      </c>
      <c r="G4097" s="17">
        <f>IFERROR(__xludf.DUMMYFUNCTION("""COMPUTED_VALUE"""),45945.433106956014)</f>
        <v>45945.43311</v>
      </c>
      <c r="H4097" s="14" t="str">
        <f>IFERROR(__xludf.DUMMYFUNCTION("""COMPUTED_VALUE"""),"Aprill (SU)")</f>
        <v>Aprill (SU)</v>
      </c>
      <c r="I4097" s="13" t="str">
        <f>IFERROR(__xludf.DUMMYFUNCTION("""COMPUTED_VALUE"""),"SELESAI (VIA PERMOHONAN)")</f>
        <v>SELESAI (VIA PERMOHONAN)</v>
      </c>
      <c r="J4097" s="17">
        <f>IFERROR(__xludf.DUMMYFUNCTION("""COMPUTED_VALUE"""),45951.6312925463)</f>
        <v>45951.63129</v>
      </c>
      <c r="K4097" s="13" t="str">
        <f>IFERROR(__xludf.DUMMYFUNCTION("""COMPUTED_VALUE"""),"Selesai")</f>
        <v>Selesai</v>
      </c>
      <c r="L4097" s="17">
        <f>IFERROR(__xludf.DUMMYFUNCTION("""COMPUTED_VALUE"""),45951.6312925463)</f>
        <v>45951.63129</v>
      </c>
      <c r="M4097" s="13"/>
      <c r="N4097" s="13" t="str">
        <f>IFERROR(__xludf.DUMMYFUNCTION("""COMPUTED_VALUE"""),"")</f>
        <v/>
      </c>
      <c r="O4097" s="13" t="str">
        <f t="shared" si="1"/>
        <v/>
      </c>
    </row>
    <row r="4098" ht="22.5" customHeight="1">
      <c r="B4098" s="13">
        <f>IFERROR(__xludf.DUMMYFUNCTION("""COMPUTED_VALUE"""),4093.0)</f>
        <v>4093</v>
      </c>
      <c r="C4098" s="13" t="str">
        <f>IFERROR(__xludf.DUMMYFUNCTION("""COMPUTED_VALUE"""),"B. 1714/Sumberrejo Kemiling	")</f>
        <v>B. 1714/Sumberrejo Kemiling	</v>
      </c>
      <c r="D4098" s="13" t="str">
        <f>IFERROR(__xludf.DUMMYFUNCTION("""COMPUTED_VALUE"""),"K/1/300926/1")</f>
        <v>K/1/300926/1</v>
      </c>
      <c r="E4098" s="14" t="str">
        <f>IFERROR(__xludf.DUMMYFUNCTION("""COMPUTED_VALUE"""),"Heri (BT)")</f>
        <v>Heri (BT)</v>
      </c>
      <c r="F4098" s="14" t="str">
        <f>IFERROR(__xludf.DUMMYFUNCTION("""COMPUTED_VALUE"""),"SELESAI (VIA PERMOHONAN)")</f>
        <v>SELESAI (VIA PERMOHONAN)</v>
      </c>
      <c r="G4098" s="17">
        <f>IFERROR(__xludf.DUMMYFUNCTION("""COMPUTED_VALUE"""),45945.433202141205)</f>
        <v>45945.4332</v>
      </c>
      <c r="H4098" s="14" t="str">
        <f>IFERROR(__xludf.DUMMYFUNCTION("""COMPUTED_VALUE"""),"Aprill (SU)")</f>
        <v>Aprill (SU)</v>
      </c>
      <c r="I4098" s="13" t="str">
        <f>IFERROR(__xludf.DUMMYFUNCTION("""COMPUTED_VALUE"""),"SELESAI (VIA PERMOHONAN)")</f>
        <v>SELESAI (VIA PERMOHONAN)</v>
      </c>
      <c r="J4098" s="17">
        <f>IFERROR(__xludf.DUMMYFUNCTION("""COMPUTED_VALUE"""),45946.62860548611)</f>
        <v>45946.62861</v>
      </c>
      <c r="K4098" s="13" t="str">
        <f>IFERROR(__xludf.DUMMYFUNCTION("""COMPUTED_VALUE"""),"Selesai")</f>
        <v>Selesai</v>
      </c>
      <c r="L4098" s="17">
        <f>IFERROR(__xludf.DUMMYFUNCTION("""COMPUTED_VALUE"""),45946.62860548611)</f>
        <v>45946.62861</v>
      </c>
      <c r="M4098" s="13"/>
      <c r="N4098" s="13" t="str">
        <f>IFERROR(__xludf.DUMMYFUNCTION("""COMPUTED_VALUE"""),"")</f>
        <v/>
      </c>
      <c r="O4098" s="13" t="str">
        <f t="shared" si="1"/>
        <v/>
      </c>
    </row>
    <row r="4099" ht="22.5" customHeight="1">
      <c r="B4099" s="13">
        <f>IFERROR(__xludf.DUMMYFUNCTION("""COMPUTED_VALUE"""),4094.0)</f>
        <v>4094</v>
      </c>
      <c r="C4099" s="13" t="str">
        <f>IFERROR(__xludf.DUMMYFUNCTION("""COMPUTED_VALUE"""),"M. 10194/Kampung Baru	")</f>
        <v>M. 10194/Kampung Baru	</v>
      </c>
      <c r="D4099" s="13" t="str">
        <f>IFERROR(__xludf.DUMMYFUNCTION("""COMPUTED_VALUE"""),"K/42/290925/1")</f>
        <v>K/42/290925/1</v>
      </c>
      <c r="E4099" s="14" t="str">
        <f>IFERROR(__xludf.DUMMYFUNCTION("""COMPUTED_VALUE"""),"Heri (BT)")</f>
        <v>Heri (BT)</v>
      </c>
      <c r="F4099" s="14" t="str">
        <f>IFERROR(__xludf.DUMMYFUNCTION("""COMPUTED_VALUE"""),"SELESAI (VIA PERMOHONAN)")</f>
        <v>SELESAI (VIA PERMOHONAN)</v>
      </c>
      <c r="G4099" s="17">
        <f>IFERROR(__xludf.DUMMYFUNCTION("""COMPUTED_VALUE"""),45945.433359965275)</f>
        <v>45945.43336</v>
      </c>
      <c r="H4099" s="14" t="str">
        <f>IFERROR(__xludf.DUMMYFUNCTION("""COMPUTED_VALUE"""),"Aprill (SU)")</f>
        <v>Aprill (SU)</v>
      </c>
      <c r="I4099" s="13" t="str">
        <f>IFERROR(__xludf.DUMMYFUNCTION("""COMPUTED_VALUE"""),"SELESAI (VIA PERMOHONAN)")</f>
        <v>SELESAI (VIA PERMOHONAN)</v>
      </c>
      <c r="J4099" s="17">
        <f>IFERROR(__xludf.DUMMYFUNCTION("""COMPUTED_VALUE"""),45946.62879905093)</f>
        <v>45946.6288</v>
      </c>
      <c r="K4099" s="13" t="str">
        <f>IFERROR(__xludf.DUMMYFUNCTION("""COMPUTED_VALUE"""),"Selesai")</f>
        <v>Selesai</v>
      </c>
      <c r="L4099" s="17">
        <f>IFERROR(__xludf.DUMMYFUNCTION("""COMPUTED_VALUE"""),45946.62879905093)</f>
        <v>45946.6288</v>
      </c>
      <c r="M4099" s="13"/>
      <c r="N4099" s="13" t="str">
        <f>IFERROR(__xludf.DUMMYFUNCTION("""COMPUTED_VALUE"""),"")</f>
        <v/>
      </c>
      <c r="O4099" s="13" t="str">
        <f t="shared" si="1"/>
        <v/>
      </c>
    </row>
    <row r="4100" ht="22.5" customHeight="1">
      <c r="B4100" s="13">
        <f>IFERROR(__xludf.DUMMYFUNCTION("""COMPUTED_VALUE"""),4095.0)</f>
        <v>4095</v>
      </c>
      <c r="C4100" s="13" t="str">
        <f>IFERROR(__xludf.DUMMYFUNCTION("""COMPUTED_VALUE"""),"M. 10965/JAGABAYA II")</f>
        <v>M. 10965/JAGABAYA II</v>
      </c>
      <c r="D4100" s="13" t="str">
        <f>IFERROR(__xludf.DUMMYFUNCTION("""COMPUTED_VALUE"""),"K/1/110825/1")</f>
        <v>K/1/110825/1</v>
      </c>
      <c r="E4100" s="14" t="str">
        <f>IFERROR(__xludf.DUMMYFUNCTION("""COMPUTED_VALUE"""),"Heri (BT)")</f>
        <v>Heri (BT)</v>
      </c>
      <c r="F4100" s="14" t="str">
        <f>IFERROR(__xludf.DUMMYFUNCTION("""COMPUTED_VALUE"""),"SELESAI (VIA PERMOHONAN)")</f>
        <v>SELESAI (VIA PERMOHONAN)</v>
      </c>
      <c r="G4100" s="17">
        <f>IFERROR(__xludf.DUMMYFUNCTION("""COMPUTED_VALUE"""),45945.43356709491)</f>
        <v>45945.43357</v>
      </c>
      <c r="H4100" s="14" t="str">
        <f>IFERROR(__xludf.DUMMYFUNCTION("""COMPUTED_VALUE"""),"Aprill (SU)")</f>
        <v>Aprill (SU)</v>
      </c>
      <c r="I4100" s="13" t="str">
        <f>IFERROR(__xludf.DUMMYFUNCTION("""COMPUTED_VALUE"""),"SELESAI (VIA PERMOHONAN)")</f>
        <v>SELESAI (VIA PERMOHONAN)</v>
      </c>
      <c r="J4100" s="17">
        <f>IFERROR(__xludf.DUMMYFUNCTION("""COMPUTED_VALUE"""),45947.61782009259)</f>
        <v>45947.61782</v>
      </c>
      <c r="K4100" s="13" t="str">
        <f>IFERROR(__xludf.DUMMYFUNCTION("""COMPUTED_VALUE"""),"Selesai")</f>
        <v>Selesai</v>
      </c>
      <c r="L4100" s="17">
        <f>IFERROR(__xludf.DUMMYFUNCTION("""COMPUTED_VALUE"""),45947.61782009259)</f>
        <v>45947.61782</v>
      </c>
      <c r="M4100" s="13"/>
      <c r="N4100" s="13" t="str">
        <f>IFERROR(__xludf.DUMMYFUNCTION("""COMPUTED_VALUE"""),"")</f>
        <v/>
      </c>
      <c r="O4100" s="13" t="str">
        <f t="shared" si="1"/>
        <v/>
      </c>
    </row>
    <row r="4101" ht="22.5" customHeight="1">
      <c r="B4101" s="13">
        <f>IFERROR(__xludf.DUMMYFUNCTION("""COMPUTED_VALUE"""),4096.0)</f>
        <v>4096</v>
      </c>
      <c r="C4101" s="13" t="str">
        <f>IFERROR(__xludf.DUMMYFUNCTION("""COMPUTED_VALUE"""),"M 953/ PESAWAHAN")</f>
        <v>M 953/ PESAWAHAN</v>
      </c>
      <c r="D4101" s="13" t="str">
        <f>IFERROR(__xludf.DUMMYFUNCTION("""COMPUTED_VALUE"""),"K/4/011025/1")</f>
        <v>K/4/011025/1</v>
      </c>
      <c r="E4101" s="14" t="str">
        <f>IFERROR(__xludf.DUMMYFUNCTION("""COMPUTED_VALUE"""),"Heri (BT)")</f>
        <v>Heri (BT)</v>
      </c>
      <c r="F4101" s="14" t="str">
        <f>IFERROR(__xludf.DUMMYFUNCTION("""COMPUTED_VALUE"""),"SELESAI (VIA PERMOHONAN)")</f>
        <v>SELESAI (VIA PERMOHONAN)</v>
      </c>
      <c r="G4101" s="17">
        <f>IFERROR(__xludf.DUMMYFUNCTION("""COMPUTED_VALUE"""),45945.433795000004)</f>
        <v>45945.4338</v>
      </c>
      <c r="H4101" s="14" t="str">
        <f>IFERROR(__xludf.DUMMYFUNCTION("""COMPUTED_VALUE"""),"Aprill (SU)")</f>
        <v>Aprill (SU)</v>
      </c>
      <c r="I4101" s="13" t="str">
        <f>IFERROR(__xludf.DUMMYFUNCTION("""COMPUTED_VALUE"""),"SELESAI (VIA PERMOHONAN)")</f>
        <v>SELESAI (VIA PERMOHONAN)</v>
      </c>
      <c r="J4101" s="17">
        <f>IFERROR(__xludf.DUMMYFUNCTION("""COMPUTED_VALUE"""),45951.63096069444)</f>
        <v>45951.63096</v>
      </c>
      <c r="K4101" s="13" t="str">
        <f>IFERROR(__xludf.DUMMYFUNCTION("""COMPUTED_VALUE"""),"Selesai")</f>
        <v>Selesai</v>
      </c>
      <c r="L4101" s="17">
        <f>IFERROR(__xludf.DUMMYFUNCTION("""COMPUTED_VALUE"""),45951.63096069444)</f>
        <v>45951.63096</v>
      </c>
      <c r="M4101" s="13"/>
      <c r="N4101" s="13" t="str">
        <f>IFERROR(__xludf.DUMMYFUNCTION("""COMPUTED_VALUE"""),"")</f>
        <v/>
      </c>
      <c r="O4101" s="13" t="str">
        <f t="shared" si="1"/>
        <v/>
      </c>
    </row>
    <row r="4102" ht="22.5" customHeight="1">
      <c r="B4102" s="13">
        <f>IFERROR(__xludf.DUMMYFUNCTION("""COMPUTED_VALUE"""),4097.0)</f>
        <v>4097</v>
      </c>
      <c r="C4102" s="13" t="str">
        <f>IFERROR(__xludf.DUMMYFUNCTION("""COMPUTED_VALUE"""),"M. 12368/Labuhan Ratu	")</f>
        <v>M. 12368/Labuhan Ratu	</v>
      </c>
      <c r="D4102" s="13" t="str">
        <f>IFERROR(__xludf.DUMMYFUNCTION("""COMPUTED_VALUE"""),"K/31/230925/1")</f>
        <v>K/31/230925/1</v>
      </c>
      <c r="E4102" s="14" t="str">
        <f>IFERROR(__xludf.DUMMYFUNCTION("""COMPUTED_VALUE"""),"Heri (BT)")</f>
        <v>Heri (BT)</v>
      </c>
      <c r="F4102" s="14" t="str">
        <f>IFERROR(__xludf.DUMMYFUNCTION("""COMPUTED_VALUE"""),"SELESAI (VIA PERMOHONAN)")</f>
        <v>SELESAI (VIA PERMOHONAN)</v>
      </c>
      <c r="G4102" s="17">
        <f>IFERROR(__xludf.DUMMYFUNCTION("""COMPUTED_VALUE"""),45945.43396072916)</f>
        <v>45945.43396</v>
      </c>
      <c r="H4102" s="14" t="str">
        <f>IFERROR(__xludf.DUMMYFUNCTION("""COMPUTED_VALUE"""),"Aprill (SU)")</f>
        <v>Aprill (SU)</v>
      </c>
      <c r="I4102" s="13" t="str">
        <f>IFERROR(__xludf.DUMMYFUNCTION("""COMPUTED_VALUE"""),"SELESAI (VIA PERMOHONAN)")</f>
        <v>SELESAI (VIA PERMOHONAN)</v>
      </c>
      <c r="J4102" s="17">
        <f>IFERROR(__xludf.DUMMYFUNCTION("""COMPUTED_VALUE"""),45958.46311537037)</f>
        <v>45958.46312</v>
      </c>
      <c r="K4102" s="13" t="str">
        <f>IFERROR(__xludf.DUMMYFUNCTION("""COMPUTED_VALUE"""),"Selesai")</f>
        <v>Selesai</v>
      </c>
      <c r="L4102" s="17">
        <f>IFERROR(__xludf.DUMMYFUNCTION("""COMPUTED_VALUE"""),45958.46311537037)</f>
        <v>45958.46312</v>
      </c>
      <c r="M4102" s="13"/>
      <c r="N4102" s="13" t="str">
        <f>IFERROR(__xludf.DUMMYFUNCTION("""COMPUTED_VALUE"""),"")</f>
        <v/>
      </c>
      <c r="O4102" s="13" t="str">
        <f t="shared" si="1"/>
        <v/>
      </c>
    </row>
    <row r="4103" ht="22.5" customHeight="1">
      <c r="B4103" s="13">
        <f>IFERROR(__xludf.DUMMYFUNCTION("""COMPUTED_VALUE"""),4098.0)</f>
        <v>4098</v>
      </c>
      <c r="C4103" s="13" t="str">
        <f>IFERROR(__xludf.DUMMYFUNCTION("""COMPUTED_VALUE"""),"M. 417/Ketapang	")</f>
        <v>M. 417/Ketapang	</v>
      </c>
      <c r="D4103" s="13" t="str">
        <f>IFERROR(__xludf.DUMMYFUNCTION("""COMPUTED_VALUE"""),"K/13/230925/1")</f>
        <v>K/13/230925/1</v>
      </c>
      <c r="E4103" s="14" t="str">
        <f>IFERROR(__xludf.DUMMYFUNCTION("""COMPUTED_VALUE"""),"Heri (BT)")</f>
        <v>Heri (BT)</v>
      </c>
      <c r="F4103" s="14" t="str">
        <f>IFERROR(__xludf.DUMMYFUNCTION("""COMPUTED_VALUE"""),"SELESAI (VIA PERMOHONAN)")</f>
        <v>SELESAI (VIA PERMOHONAN)</v>
      </c>
      <c r="G4103" s="17">
        <f>IFERROR(__xludf.DUMMYFUNCTION("""COMPUTED_VALUE"""),45945.43420016204)</f>
        <v>45945.4342</v>
      </c>
      <c r="H4103" s="14" t="str">
        <f>IFERROR(__xludf.DUMMYFUNCTION("""COMPUTED_VALUE"""),"Aprill (SU)")</f>
        <v>Aprill (SU)</v>
      </c>
      <c r="I4103" s="13" t="str">
        <f>IFERROR(__xludf.DUMMYFUNCTION("""COMPUTED_VALUE"""),"SELESAI (VIA PERMOHONAN)")</f>
        <v>SELESAI (VIA PERMOHONAN)</v>
      </c>
      <c r="J4103" s="17">
        <f>IFERROR(__xludf.DUMMYFUNCTION("""COMPUTED_VALUE"""),45951.63152420139)</f>
        <v>45951.63152</v>
      </c>
      <c r="K4103" s="13" t="str">
        <f>IFERROR(__xludf.DUMMYFUNCTION("""COMPUTED_VALUE"""),"Selesai")</f>
        <v>Selesai</v>
      </c>
      <c r="L4103" s="17">
        <f>IFERROR(__xludf.DUMMYFUNCTION("""COMPUTED_VALUE"""),45951.63152420139)</f>
        <v>45951.63152</v>
      </c>
      <c r="M4103" s="13"/>
      <c r="N4103" s="13" t="str">
        <f>IFERROR(__xludf.DUMMYFUNCTION("""COMPUTED_VALUE"""),"")</f>
        <v/>
      </c>
      <c r="O4103" s="13" t="str">
        <f t="shared" si="1"/>
        <v/>
      </c>
    </row>
    <row r="4104" ht="22.5" customHeight="1">
      <c r="B4104" s="13">
        <f>IFERROR(__xludf.DUMMYFUNCTION("""COMPUTED_VALUE"""),4099.0)</f>
        <v>4099</v>
      </c>
      <c r="C4104" s="13" t="str">
        <f>IFERROR(__xludf.DUMMYFUNCTION("""COMPUTED_VALUE"""),"M. 1506/ SUMUR BATU")</f>
        <v>M. 1506/ SUMUR BATU</v>
      </c>
      <c r="D4104" s="13" t="str">
        <f>IFERROR(__xludf.DUMMYFUNCTION("""COMPUTED_VALUE"""),"K/60/210825/3")</f>
        <v>K/60/210825/3</v>
      </c>
      <c r="E4104" s="14" t="str">
        <f>IFERROR(__xludf.DUMMYFUNCTION("""COMPUTED_VALUE"""),"Admin (Migrasi)")</f>
        <v>Admin (Migrasi)</v>
      </c>
      <c r="F4104" s="14" t="str">
        <f>IFERROR(__xludf.DUMMYFUNCTION("""COMPUTED_VALUE"""),"SELESAI (VIA PERMOHONAN)")</f>
        <v>SELESAI (VIA PERMOHONAN)</v>
      </c>
      <c r="G4104" s="17">
        <f>IFERROR(__xludf.DUMMYFUNCTION("""COMPUTED_VALUE"""),45947.464549375)</f>
        <v>45947.46455</v>
      </c>
      <c r="H4104" s="14" t="str">
        <f>IFERROR(__xludf.DUMMYFUNCTION("""COMPUTED_VALUE"""),"Admin (Migrasi)")</f>
        <v>Admin (Migrasi)</v>
      </c>
      <c r="I4104" s="13" t="str">
        <f>IFERROR(__xludf.DUMMYFUNCTION("""COMPUTED_VALUE"""),"SELESAI (VIA PERMOHONAN)")</f>
        <v>SELESAI (VIA PERMOHONAN)</v>
      </c>
      <c r="J4104" s="17">
        <f>IFERROR(__xludf.DUMMYFUNCTION("""COMPUTED_VALUE"""),45947.46533677084)</f>
        <v>45947.46534</v>
      </c>
      <c r="K4104" s="13" t="str">
        <f>IFERROR(__xludf.DUMMYFUNCTION("""COMPUTED_VALUE"""),"Selesai")</f>
        <v>Selesai</v>
      </c>
      <c r="L4104" s="17">
        <f>IFERROR(__xludf.DUMMYFUNCTION("""COMPUTED_VALUE"""),45947.46533677084)</f>
        <v>45947.46534</v>
      </c>
      <c r="M4104" s="13"/>
      <c r="N4104" s="13" t="str">
        <f>IFERROR(__xludf.DUMMYFUNCTION("""COMPUTED_VALUE"""),"")</f>
        <v/>
      </c>
      <c r="O4104" s="13" t="str">
        <f t="shared" si="1"/>
        <v/>
      </c>
    </row>
    <row r="4105" ht="22.5" customHeight="1">
      <c r="B4105" s="13">
        <f>IFERROR(__xludf.DUMMYFUNCTION("""COMPUTED_VALUE"""),4100.0)</f>
        <v>4100</v>
      </c>
      <c r="C4105" s="13" t="str">
        <f>IFERROR(__xludf.DUMMYFUNCTION("""COMPUTED_VALUE"""),"M.16941/SUKARAME")</f>
        <v>M.16941/SUKARAME</v>
      </c>
      <c r="D4105" s="13" t="str">
        <f>IFERROR(__xludf.DUMMYFUNCTION("""COMPUTED_VALUE"""),"K/51/020925/1")</f>
        <v>K/51/020925/1</v>
      </c>
      <c r="E4105" s="14" t="str">
        <f>IFERROR(__xludf.DUMMYFUNCTION("""COMPUTED_VALUE"""),"Admin (Migrasi)")</f>
        <v>Admin (Migrasi)</v>
      </c>
      <c r="F4105" s="14" t="str">
        <f>IFERROR(__xludf.DUMMYFUNCTION("""COMPUTED_VALUE"""),"SELESAI (VIA PERMOHONAN)")</f>
        <v>SELESAI (VIA PERMOHONAN)</v>
      </c>
      <c r="G4105" s="17">
        <f>IFERROR(__xludf.DUMMYFUNCTION("""COMPUTED_VALUE"""),45947.46549939815)</f>
        <v>45947.4655</v>
      </c>
      <c r="H4105" s="14" t="str">
        <f>IFERROR(__xludf.DUMMYFUNCTION("""COMPUTED_VALUE"""),"Admin (Migrasi)")</f>
        <v>Admin (Migrasi)</v>
      </c>
      <c r="I4105" s="13" t="str">
        <f>IFERROR(__xludf.DUMMYFUNCTION("""COMPUTED_VALUE"""),"SELESAI (VIA PERMOHONAN)")</f>
        <v>SELESAI (VIA PERMOHONAN)</v>
      </c>
      <c r="J4105" s="17">
        <f>IFERROR(__xludf.DUMMYFUNCTION("""COMPUTED_VALUE"""),45947.465530092595)</f>
        <v>45947.46553</v>
      </c>
      <c r="K4105" s="13" t="str">
        <f>IFERROR(__xludf.DUMMYFUNCTION("""COMPUTED_VALUE"""),"Selesai")</f>
        <v>Selesai</v>
      </c>
      <c r="L4105" s="17">
        <f>IFERROR(__xludf.DUMMYFUNCTION("""COMPUTED_VALUE"""),45947.465530092595)</f>
        <v>45947.46553</v>
      </c>
      <c r="M4105" s="13"/>
      <c r="N4105" s="13" t="str">
        <f>IFERROR(__xludf.DUMMYFUNCTION("""COMPUTED_VALUE"""),"")</f>
        <v/>
      </c>
      <c r="O4105" s="13" t="str">
        <f t="shared" si="1"/>
        <v/>
      </c>
    </row>
    <row r="4106" ht="22.5" customHeight="1">
      <c r="B4106" s="13">
        <f>IFERROR(__xludf.DUMMYFUNCTION("""COMPUTED_VALUE"""),4101.0)</f>
        <v>4101</v>
      </c>
      <c r="C4106" s="13" t="str">
        <f>IFERROR(__xludf.DUMMYFUNCTION("""COMPUTED_VALUE"""),"M. 1302/CAMPANG JAYA")</f>
        <v>M. 1302/CAMPANG JAYA</v>
      </c>
      <c r="D4106" s="13" t="str">
        <f>IFERROR(__xludf.DUMMYFUNCTION("""COMPUTED_VALUE"""),"K/67/220825/2")</f>
        <v>K/67/220825/2</v>
      </c>
      <c r="E4106" s="14" t="str">
        <f>IFERROR(__xludf.DUMMYFUNCTION("""COMPUTED_VALUE"""),"Admin (Migrasi)")</f>
        <v>Admin (Migrasi)</v>
      </c>
      <c r="F4106" s="14" t="str">
        <f>IFERROR(__xludf.DUMMYFUNCTION("""COMPUTED_VALUE"""),"SELESAI (VIA PERMOHONAN)")</f>
        <v>SELESAI (VIA PERMOHONAN)</v>
      </c>
      <c r="G4106" s="17">
        <f>IFERROR(__xludf.DUMMYFUNCTION("""COMPUTED_VALUE"""),45947.46568424768)</f>
        <v>45947.46568</v>
      </c>
      <c r="H4106" s="14" t="str">
        <f>IFERROR(__xludf.DUMMYFUNCTION("""COMPUTED_VALUE"""),"Admin (Migrasi)")</f>
        <v>Admin (Migrasi)</v>
      </c>
      <c r="I4106" s="13" t="str">
        <f>IFERROR(__xludf.DUMMYFUNCTION("""COMPUTED_VALUE"""),"SELESAI (VIA PERMOHONAN)")</f>
        <v>SELESAI (VIA PERMOHONAN)</v>
      </c>
      <c r="J4106" s="17">
        <f>IFERROR(__xludf.DUMMYFUNCTION("""COMPUTED_VALUE"""),45947.46570680555)</f>
        <v>45947.46571</v>
      </c>
      <c r="K4106" s="13" t="str">
        <f>IFERROR(__xludf.DUMMYFUNCTION("""COMPUTED_VALUE"""),"Selesai")</f>
        <v>Selesai</v>
      </c>
      <c r="L4106" s="17">
        <f>IFERROR(__xludf.DUMMYFUNCTION("""COMPUTED_VALUE"""),45947.46570680555)</f>
        <v>45947.46571</v>
      </c>
      <c r="M4106" s="13"/>
      <c r="N4106" s="13" t="str">
        <f>IFERROR(__xludf.DUMMYFUNCTION("""COMPUTED_VALUE"""),"")</f>
        <v/>
      </c>
      <c r="O4106" s="13" t="str">
        <f t="shared" si="1"/>
        <v/>
      </c>
    </row>
    <row r="4107" ht="22.5" customHeight="1">
      <c r="B4107" s="13">
        <f>IFERROR(__xludf.DUMMYFUNCTION("""COMPUTED_VALUE"""),4102.0)</f>
        <v>4102</v>
      </c>
      <c r="C4107" s="13" t="str">
        <f>IFERROR(__xludf.DUMMYFUNCTION("""COMPUTED_VALUE"""),"M. 6567/TANJUNG SENANG")</f>
        <v>M. 6567/TANJUNG SENANG</v>
      </c>
      <c r="D4107" s="13" t="str">
        <f>IFERROR(__xludf.DUMMYFUNCTION("""COMPUTED_VALUE"""),"K/53/280825/2")</f>
        <v>K/53/280825/2</v>
      </c>
      <c r="E4107" s="14" t="str">
        <f>IFERROR(__xludf.DUMMYFUNCTION("""COMPUTED_VALUE"""),"Admin (Migrasi)")</f>
        <v>Admin (Migrasi)</v>
      </c>
      <c r="F4107" s="14" t="str">
        <f>IFERROR(__xludf.DUMMYFUNCTION("""COMPUTED_VALUE"""),"SELESAI (VIA PERMOHONAN)")</f>
        <v>SELESAI (VIA PERMOHONAN)</v>
      </c>
      <c r="G4107" s="17">
        <f>IFERROR(__xludf.DUMMYFUNCTION("""COMPUTED_VALUE"""),45947.46607576389)</f>
        <v>45947.46608</v>
      </c>
      <c r="H4107" s="14" t="str">
        <f>IFERROR(__xludf.DUMMYFUNCTION("""COMPUTED_VALUE"""),"Admin (Migrasi)")</f>
        <v>Admin (Migrasi)</v>
      </c>
      <c r="I4107" s="13" t="str">
        <f>IFERROR(__xludf.DUMMYFUNCTION("""COMPUTED_VALUE"""),"SELESAI (VIA PERMOHONAN)")</f>
        <v>SELESAI (VIA PERMOHONAN)</v>
      </c>
      <c r="J4107" s="17">
        <f>IFERROR(__xludf.DUMMYFUNCTION("""COMPUTED_VALUE"""),45947.466138344906)</f>
        <v>45947.46614</v>
      </c>
      <c r="K4107" s="13" t="str">
        <f>IFERROR(__xludf.DUMMYFUNCTION("""COMPUTED_VALUE"""),"Selesai")</f>
        <v>Selesai</v>
      </c>
      <c r="L4107" s="17">
        <f>IFERROR(__xludf.DUMMYFUNCTION("""COMPUTED_VALUE"""),45947.466138344906)</f>
        <v>45947.46614</v>
      </c>
      <c r="M4107" s="13"/>
      <c r="N4107" s="13" t="str">
        <f>IFERROR(__xludf.DUMMYFUNCTION("""COMPUTED_VALUE"""),"")</f>
        <v/>
      </c>
      <c r="O4107" s="13" t="str">
        <f t="shared" si="1"/>
        <v/>
      </c>
    </row>
    <row r="4108" ht="22.5" customHeight="1">
      <c r="B4108" s="13">
        <f>IFERROR(__xludf.DUMMYFUNCTION("""COMPUTED_VALUE"""),4103.0)</f>
        <v>4103</v>
      </c>
      <c r="C4108" s="13" t="str">
        <f>IFERROR(__xludf.DUMMYFUNCTION("""COMPUTED_VALUE"""),"M 40/ LANGKAPURA BARU")</f>
        <v>M 40/ LANGKAPURA BARU</v>
      </c>
      <c r="D4108" s="13" t="str">
        <f>IFERROR(__xludf.DUMMYFUNCTION("""COMPUTED_VALUE"""),"K/21/280825/1")</f>
        <v>K/21/280825/1</v>
      </c>
      <c r="E4108" s="14" t="str">
        <f>IFERROR(__xludf.DUMMYFUNCTION("""COMPUTED_VALUE"""),"Admin (Migrasi)")</f>
        <v>Admin (Migrasi)</v>
      </c>
      <c r="F4108" s="14" t="str">
        <f>IFERROR(__xludf.DUMMYFUNCTION("""COMPUTED_VALUE"""),"SELESAI (VIA PERMOHONAN)")</f>
        <v>SELESAI (VIA PERMOHONAN)</v>
      </c>
      <c r="G4108" s="17">
        <f>IFERROR(__xludf.DUMMYFUNCTION("""COMPUTED_VALUE"""),45947.4665516088)</f>
        <v>45947.46655</v>
      </c>
      <c r="H4108" s="14" t="str">
        <f>IFERROR(__xludf.DUMMYFUNCTION("""COMPUTED_VALUE"""),"Admin (Migrasi)")</f>
        <v>Admin (Migrasi)</v>
      </c>
      <c r="I4108" s="13" t="str">
        <f>IFERROR(__xludf.DUMMYFUNCTION("""COMPUTED_VALUE"""),"SELESAI (VIA PERMOHONAN)")</f>
        <v>SELESAI (VIA PERMOHONAN)</v>
      </c>
      <c r="J4108" s="17">
        <f>IFERROR(__xludf.DUMMYFUNCTION("""COMPUTED_VALUE"""),45947.46666986111)</f>
        <v>45947.46667</v>
      </c>
      <c r="K4108" s="13" t="str">
        <f>IFERROR(__xludf.DUMMYFUNCTION("""COMPUTED_VALUE"""),"Selesai")</f>
        <v>Selesai</v>
      </c>
      <c r="L4108" s="17">
        <f>IFERROR(__xludf.DUMMYFUNCTION("""COMPUTED_VALUE"""),45947.46666986111)</f>
        <v>45947.46667</v>
      </c>
      <c r="M4108" s="13"/>
      <c r="N4108" s="13" t="str">
        <f>IFERROR(__xludf.DUMMYFUNCTION("""COMPUTED_VALUE"""),"")</f>
        <v/>
      </c>
      <c r="O4108" s="13" t="str">
        <f t="shared" si="1"/>
        <v/>
      </c>
    </row>
    <row r="4109" ht="22.5" customHeight="1">
      <c r="B4109" s="13">
        <f>IFERROR(__xludf.DUMMYFUNCTION("""COMPUTED_VALUE"""),4104.0)</f>
        <v>4104</v>
      </c>
      <c r="C4109" s="13" t="str">
        <f>IFERROR(__xludf.DUMMYFUNCTION("""COMPUTED_VALUE"""),"M 16492/ SUKABUMI")</f>
        <v>M 16492/ SUKABUMI</v>
      </c>
      <c r="D4109" s="13" t="str">
        <f>IFERROR(__xludf.DUMMYFUNCTION("""COMPUTED_VALUE"""),"K/35/080925/3")</f>
        <v>K/35/080925/3</v>
      </c>
      <c r="E4109" s="14" t="str">
        <f>IFERROR(__xludf.DUMMYFUNCTION("""COMPUTED_VALUE"""),"Admin (Migrasi)")</f>
        <v>Admin (Migrasi)</v>
      </c>
      <c r="F4109" s="14" t="str">
        <f>IFERROR(__xludf.DUMMYFUNCTION("""COMPUTED_VALUE"""),"SELESAI (VIA PERMOHONAN)")</f>
        <v>SELESAI (VIA PERMOHONAN)</v>
      </c>
      <c r="G4109" s="17">
        <f>IFERROR(__xludf.DUMMYFUNCTION("""COMPUTED_VALUE"""),45947.46826451389)</f>
        <v>45947.46826</v>
      </c>
      <c r="H4109" s="14" t="str">
        <f>IFERROR(__xludf.DUMMYFUNCTION("""COMPUTED_VALUE"""),"Admin (Migrasi)")</f>
        <v>Admin (Migrasi)</v>
      </c>
      <c r="I4109" s="13" t="str">
        <f>IFERROR(__xludf.DUMMYFUNCTION("""COMPUTED_VALUE"""),"SELESAI (VIA PERMOHONAN)")</f>
        <v>SELESAI (VIA PERMOHONAN)</v>
      </c>
      <c r="J4109" s="17">
        <f>IFERROR(__xludf.DUMMYFUNCTION("""COMPUTED_VALUE"""),45947.46828885417)</f>
        <v>45947.46829</v>
      </c>
      <c r="K4109" s="13" t="str">
        <f>IFERROR(__xludf.DUMMYFUNCTION("""COMPUTED_VALUE"""),"Selesai")</f>
        <v>Selesai</v>
      </c>
      <c r="L4109" s="17">
        <f>IFERROR(__xludf.DUMMYFUNCTION("""COMPUTED_VALUE"""),45947.46828885417)</f>
        <v>45947.46829</v>
      </c>
      <c r="M4109" s="13"/>
      <c r="N4109" s="13" t="str">
        <f>IFERROR(__xludf.DUMMYFUNCTION("""COMPUTED_VALUE"""),"")</f>
        <v/>
      </c>
      <c r="O4109" s="13" t="str">
        <f t="shared" si="1"/>
        <v/>
      </c>
    </row>
    <row r="4110" ht="22.5" customHeight="1">
      <c r="B4110" s="13">
        <f>IFERROR(__xludf.DUMMYFUNCTION("""COMPUTED_VALUE"""),4105.0)</f>
        <v>4105</v>
      </c>
      <c r="C4110" s="13" t="str">
        <f>IFERROR(__xludf.DUMMYFUNCTION("""COMPUTED_VALUE"""),"M 1983/ SUMBERREJO SEJAHTERA")</f>
        <v>M 1983/ SUMBERREJO SEJAHTERA</v>
      </c>
      <c r="D4110" s="13" t="str">
        <f>IFERROR(__xludf.DUMMYFUNCTION("""COMPUTED_VALUE"""),"K/25/280825/5")</f>
        <v>K/25/280825/5</v>
      </c>
      <c r="E4110" s="14" t="str">
        <f>IFERROR(__xludf.DUMMYFUNCTION("""COMPUTED_VALUE"""),"Admin (Migrasi)")</f>
        <v>Admin (Migrasi)</v>
      </c>
      <c r="F4110" s="14" t="str">
        <f>IFERROR(__xludf.DUMMYFUNCTION("""COMPUTED_VALUE"""),"SELESAI (VIA PERMOHONAN)")</f>
        <v>SELESAI (VIA PERMOHONAN)</v>
      </c>
      <c r="G4110" s="17">
        <f>IFERROR(__xludf.DUMMYFUNCTION("""COMPUTED_VALUE"""),45947.46849921296)</f>
        <v>45947.4685</v>
      </c>
      <c r="H4110" s="14" t="str">
        <f>IFERROR(__xludf.DUMMYFUNCTION("""COMPUTED_VALUE"""),"Admin (Migrasi)")</f>
        <v>Admin (Migrasi)</v>
      </c>
      <c r="I4110" s="13" t="str">
        <f>IFERROR(__xludf.DUMMYFUNCTION("""COMPUTED_VALUE"""),"SELESAI (VIA PERMOHONAN)")</f>
        <v>SELESAI (VIA PERMOHONAN)</v>
      </c>
      <c r="J4110" s="17">
        <f>IFERROR(__xludf.DUMMYFUNCTION("""COMPUTED_VALUE"""),45947.46852715278)</f>
        <v>45947.46853</v>
      </c>
      <c r="K4110" s="13" t="str">
        <f>IFERROR(__xludf.DUMMYFUNCTION("""COMPUTED_VALUE"""),"Selesai")</f>
        <v>Selesai</v>
      </c>
      <c r="L4110" s="17">
        <f>IFERROR(__xludf.DUMMYFUNCTION("""COMPUTED_VALUE"""),45947.46852715278)</f>
        <v>45947.46853</v>
      </c>
      <c r="M4110" s="13"/>
      <c r="N4110" s="13" t="str">
        <f>IFERROR(__xludf.DUMMYFUNCTION("""COMPUTED_VALUE"""),"")</f>
        <v/>
      </c>
      <c r="O4110" s="13" t="str">
        <f t="shared" si="1"/>
        <v/>
      </c>
    </row>
    <row r="4111" ht="22.5" customHeight="1">
      <c r="B4111" s="13">
        <f>IFERROR(__xludf.DUMMYFUNCTION("""COMPUTED_VALUE"""),4106.0)</f>
        <v>4106</v>
      </c>
      <c r="C4111" s="13" t="str">
        <f>IFERROR(__xludf.DUMMYFUNCTION("""COMPUTED_VALUE"""),"M 42/ LANGKAPURA BARU")</f>
        <v>M 42/ LANGKAPURA BARU</v>
      </c>
      <c r="D4111" s="13" t="str">
        <f>IFERROR(__xludf.DUMMYFUNCTION("""COMPUTED_VALUE"""),"K/23/280825/3")</f>
        <v>K/23/280825/3</v>
      </c>
      <c r="E4111" s="14" t="str">
        <f>IFERROR(__xludf.DUMMYFUNCTION("""COMPUTED_VALUE"""),"Admin (Migrasi)")</f>
        <v>Admin (Migrasi)</v>
      </c>
      <c r="F4111" s="14" t="str">
        <f>IFERROR(__xludf.DUMMYFUNCTION("""COMPUTED_VALUE"""),"SELESAI (VIA PERMOHONAN)")</f>
        <v>SELESAI (VIA PERMOHONAN)</v>
      </c>
      <c r="G4111" s="17">
        <f>IFERROR(__xludf.DUMMYFUNCTION("""COMPUTED_VALUE"""),45947.46871590278)</f>
        <v>45947.46872</v>
      </c>
      <c r="H4111" s="14" t="str">
        <f>IFERROR(__xludf.DUMMYFUNCTION("""COMPUTED_VALUE"""),"Admin (Migrasi)")</f>
        <v>Admin (Migrasi)</v>
      </c>
      <c r="I4111" s="13" t="str">
        <f>IFERROR(__xludf.DUMMYFUNCTION("""COMPUTED_VALUE"""),"SELESAI (VIA PERMOHONAN)")</f>
        <v>SELESAI (VIA PERMOHONAN)</v>
      </c>
      <c r="J4111" s="17">
        <f>IFERROR(__xludf.DUMMYFUNCTION("""COMPUTED_VALUE"""),45947.46873719907)</f>
        <v>45947.46874</v>
      </c>
      <c r="K4111" s="13" t="str">
        <f>IFERROR(__xludf.DUMMYFUNCTION("""COMPUTED_VALUE"""),"Selesai")</f>
        <v>Selesai</v>
      </c>
      <c r="L4111" s="17">
        <f>IFERROR(__xludf.DUMMYFUNCTION("""COMPUTED_VALUE"""),45947.46873719907)</f>
        <v>45947.46874</v>
      </c>
      <c r="M4111" s="13"/>
      <c r="N4111" s="13" t="str">
        <f>IFERROR(__xludf.DUMMYFUNCTION("""COMPUTED_VALUE"""),"")</f>
        <v/>
      </c>
      <c r="O4111" s="13" t="str">
        <f t="shared" si="1"/>
        <v/>
      </c>
    </row>
    <row r="4112" ht="22.5" customHeight="1">
      <c r="B4112" s="13">
        <f>IFERROR(__xludf.DUMMYFUNCTION("""COMPUTED_VALUE"""),4107.0)</f>
        <v>4107</v>
      </c>
      <c r="C4112" s="13" t="str">
        <f>IFERROR(__xludf.DUMMYFUNCTION("""COMPUTED_VALUE"""),"M. 2445/Sukamaju")</f>
        <v>M. 2445/Sukamaju</v>
      </c>
      <c r="D4112" s="13" t="str">
        <f>IFERROR(__xludf.DUMMYFUNCTION("""COMPUTED_VALUE"""),"K/11/280825/1")</f>
        <v>K/11/280825/1</v>
      </c>
      <c r="E4112" s="14" t="str">
        <f>IFERROR(__xludf.DUMMYFUNCTION("""COMPUTED_VALUE"""),"Admin (Migrasi)")</f>
        <v>Admin (Migrasi)</v>
      </c>
      <c r="F4112" s="14" t="str">
        <f>IFERROR(__xludf.DUMMYFUNCTION("""COMPUTED_VALUE"""),"SELESAI (VIA PERMOHONAN)")</f>
        <v>SELESAI (VIA PERMOHONAN)</v>
      </c>
      <c r="G4112" s="17">
        <f>IFERROR(__xludf.DUMMYFUNCTION("""COMPUTED_VALUE"""),45947.46912177083)</f>
        <v>45947.46912</v>
      </c>
      <c r="H4112" s="14" t="str">
        <f>IFERROR(__xludf.DUMMYFUNCTION("""COMPUTED_VALUE"""),"Admin (Migrasi)")</f>
        <v>Admin (Migrasi)</v>
      </c>
      <c r="I4112" s="13" t="str">
        <f>IFERROR(__xludf.DUMMYFUNCTION("""COMPUTED_VALUE"""),"SELESAI (VIA PERMOHONAN)")</f>
        <v>SELESAI (VIA PERMOHONAN)</v>
      </c>
      <c r="J4112" s="17">
        <f>IFERROR(__xludf.DUMMYFUNCTION("""COMPUTED_VALUE"""),45947.46915899306)</f>
        <v>45947.46916</v>
      </c>
      <c r="K4112" s="13" t="str">
        <f>IFERROR(__xludf.DUMMYFUNCTION("""COMPUTED_VALUE"""),"Selesai")</f>
        <v>Selesai</v>
      </c>
      <c r="L4112" s="17">
        <f>IFERROR(__xludf.DUMMYFUNCTION("""COMPUTED_VALUE"""),45947.46915899306)</f>
        <v>45947.46916</v>
      </c>
      <c r="M4112" s="13"/>
      <c r="N4112" s="13" t="str">
        <f>IFERROR(__xludf.DUMMYFUNCTION("""COMPUTED_VALUE"""),"")</f>
        <v/>
      </c>
      <c r="O4112" s="13" t="str">
        <f t="shared" si="1"/>
        <v/>
      </c>
    </row>
    <row r="4113" ht="22.5" customHeight="1">
      <c r="B4113" s="13">
        <f>IFERROR(__xludf.DUMMYFUNCTION("""COMPUTED_VALUE"""),4108.0)</f>
        <v>4108</v>
      </c>
      <c r="C4113" s="13" t="str">
        <f>IFERROR(__xludf.DUMMYFUNCTION("""COMPUTED_VALUE"""),"M. 2765/Sukajawa	")</f>
        <v>M. 2765/Sukajawa	</v>
      </c>
      <c r="D4113" s="13" t="str">
        <f>IFERROR(__xludf.DUMMYFUNCTION("""COMPUTED_VALUE"""),"K/16/270825/1")</f>
        <v>K/16/270825/1</v>
      </c>
      <c r="E4113" s="14" t="str">
        <f>IFERROR(__xludf.DUMMYFUNCTION("""COMPUTED_VALUE"""),"Admin (Migrasi)")</f>
        <v>Admin (Migrasi)</v>
      </c>
      <c r="F4113" s="14" t="str">
        <f>IFERROR(__xludf.DUMMYFUNCTION("""COMPUTED_VALUE"""),"SELESAI (VIA PERMOHONAN)")</f>
        <v>SELESAI (VIA PERMOHONAN)</v>
      </c>
      <c r="G4113" s="17">
        <f>IFERROR(__xludf.DUMMYFUNCTION("""COMPUTED_VALUE"""),45947.469315625)</f>
        <v>45947.46932</v>
      </c>
      <c r="H4113" s="14" t="str">
        <f>IFERROR(__xludf.DUMMYFUNCTION("""COMPUTED_VALUE"""),"Admin (Migrasi)")</f>
        <v>Admin (Migrasi)</v>
      </c>
      <c r="I4113" s="13" t="str">
        <f>IFERROR(__xludf.DUMMYFUNCTION("""COMPUTED_VALUE"""),"SELESAI (VIA PERMOHONAN)")</f>
        <v>SELESAI (VIA PERMOHONAN)</v>
      </c>
      <c r="J4113" s="17">
        <f>IFERROR(__xludf.DUMMYFUNCTION("""COMPUTED_VALUE"""),45947.46935561343)</f>
        <v>45947.46936</v>
      </c>
      <c r="K4113" s="13" t="str">
        <f>IFERROR(__xludf.DUMMYFUNCTION("""COMPUTED_VALUE"""),"Selesai")</f>
        <v>Selesai</v>
      </c>
      <c r="L4113" s="17">
        <f>IFERROR(__xludf.DUMMYFUNCTION("""COMPUTED_VALUE"""),45947.46935561343)</f>
        <v>45947.46936</v>
      </c>
      <c r="M4113" s="13"/>
      <c r="N4113" s="13" t="str">
        <f>IFERROR(__xludf.DUMMYFUNCTION("""COMPUTED_VALUE"""),"")</f>
        <v/>
      </c>
      <c r="O4113" s="13" t="str">
        <f t="shared" si="1"/>
        <v/>
      </c>
    </row>
    <row r="4114" ht="22.5" customHeight="1">
      <c r="B4114" s="13">
        <f>IFERROR(__xludf.DUMMYFUNCTION("""COMPUTED_VALUE"""),4109.0)</f>
        <v>4109</v>
      </c>
      <c r="C4114" s="13" t="str">
        <f>IFERROR(__xludf.DUMMYFUNCTION("""COMPUTED_VALUE"""),"M 1462/ RAJABASA PEMUKA")</f>
        <v>M 1462/ RAJABASA PEMUKA</v>
      </c>
      <c r="D4114" s="13" t="str">
        <f>IFERROR(__xludf.DUMMYFUNCTION("""COMPUTED_VALUE"""),"K/27/061025/1")</f>
        <v>K/27/061025/1</v>
      </c>
      <c r="E4114" s="14" t="str">
        <f>IFERROR(__xludf.DUMMYFUNCTION("""COMPUTED_VALUE"""),"Admin (Migrasi)")</f>
        <v>Admin (Migrasi)</v>
      </c>
      <c r="F4114" s="14" t="str">
        <f>IFERROR(__xludf.DUMMYFUNCTION("""COMPUTED_VALUE"""),"SELESAI (VIA PERMOHONAN)")</f>
        <v>SELESAI (VIA PERMOHONAN)</v>
      </c>
      <c r="G4114" s="17">
        <f>IFERROR(__xludf.DUMMYFUNCTION("""COMPUTED_VALUE"""),45947.46947127314)</f>
        <v>45947.46947</v>
      </c>
      <c r="H4114" s="14" t="str">
        <f>IFERROR(__xludf.DUMMYFUNCTION("""COMPUTED_VALUE"""),"Admin (Migrasi)")</f>
        <v>Admin (Migrasi)</v>
      </c>
      <c r="I4114" s="13" t="str">
        <f>IFERROR(__xludf.DUMMYFUNCTION("""COMPUTED_VALUE"""),"SELESAI (VIA PERMOHONAN)")</f>
        <v>SELESAI (VIA PERMOHONAN)</v>
      </c>
      <c r="J4114" s="17">
        <f>IFERROR(__xludf.DUMMYFUNCTION("""COMPUTED_VALUE"""),45947.46950009259)</f>
        <v>45947.4695</v>
      </c>
      <c r="K4114" s="13" t="str">
        <f>IFERROR(__xludf.DUMMYFUNCTION("""COMPUTED_VALUE"""),"Selesai")</f>
        <v>Selesai</v>
      </c>
      <c r="L4114" s="17">
        <f>IFERROR(__xludf.DUMMYFUNCTION("""COMPUTED_VALUE"""),45947.46950009259)</f>
        <v>45947.4695</v>
      </c>
      <c r="M4114" s="13"/>
      <c r="N4114" s="13" t="str">
        <f>IFERROR(__xludf.DUMMYFUNCTION("""COMPUTED_VALUE"""),"")</f>
        <v/>
      </c>
      <c r="O4114" s="13" t="str">
        <f t="shared" si="1"/>
        <v/>
      </c>
    </row>
    <row r="4115" ht="22.5" customHeight="1">
      <c r="B4115" s="13">
        <f>IFERROR(__xludf.DUMMYFUNCTION("""COMPUTED_VALUE"""),4110.0)</f>
        <v>4110</v>
      </c>
      <c r="C4115" s="13" t="str">
        <f>IFERROR(__xludf.DUMMYFUNCTION("""COMPUTED_VALUE"""),"M. 1189/ PENENGAHAN")</f>
        <v>M. 1189/ PENENGAHAN</v>
      </c>
      <c r="D4115" s="13" t="str">
        <f>IFERROR(__xludf.DUMMYFUNCTION("""COMPUTED_VALUE"""),"K/46/210825/3")</f>
        <v>K/46/210825/3</v>
      </c>
      <c r="E4115" s="14" t="str">
        <f>IFERROR(__xludf.DUMMYFUNCTION("""COMPUTED_VALUE"""),"Admin (Migrasi)")</f>
        <v>Admin (Migrasi)</v>
      </c>
      <c r="F4115" s="14" t="str">
        <f>IFERROR(__xludf.DUMMYFUNCTION("""COMPUTED_VALUE"""),"SELESAI (VIA PERMOHONAN)")</f>
        <v>SELESAI (VIA PERMOHONAN)</v>
      </c>
      <c r="G4115" s="17">
        <f>IFERROR(__xludf.DUMMYFUNCTION("""COMPUTED_VALUE"""),45947.46978332176)</f>
        <v>45947.46978</v>
      </c>
      <c r="H4115" s="14" t="str">
        <f>IFERROR(__xludf.DUMMYFUNCTION("""COMPUTED_VALUE"""),"Admin (Migrasi)")</f>
        <v>Admin (Migrasi)</v>
      </c>
      <c r="I4115" s="13" t="str">
        <f>IFERROR(__xludf.DUMMYFUNCTION("""COMPUTED_VALUE"""),"SELESAI (VIA PERMOHONAN)")</f>
        <v>SELESAI (VIA PERMOHONAN)</v>
      </c>
      <c r="J4115" s="17">
        <f>IFERROR(__xludf.DUMMYFUNCTION("""COMPUTED_VALUE"""),45947.46981116898)</f>
        <v>45947.46981</v>
      </c>
      <c r="K4115" s="13" t="str">
        <f>IFERROR(__xludf.DUMMYFUNCTION("""COMPUTED_VALUE"""),"Selesai")</f>
        <v>Selesai</v>
      </c>
      <c r="L4115" s="17">
        <f>IFERROR(__xludf.DUMMYFUNCTION("""COMPUTED_VALUE"""),45947.46981116898)</f>
        <v>45947.46981</v>
      </c>
      <c r="M4115" s="13"/>
      <c r="N4115" s="13" t="str">
        <f>IFERROR(__xludf.DUMMYFUNCTION("""COMPUTED_VALUE"""),"")</f>
        <v/>
      </c>
      <c r="O4115" s="13" t="str">
        <f t="shared" si="1"/>
        <v/>
      </c>
    </row>
    <row r="4116" ht="22.5" customHeight="1">
      <c r="B4116" s="13">
        <f>IFERROR(__xludf.DUMMYFUNCTION("""COMPUTED_VALUE"""),4111.0)</f>
        <v>4111</v>
      </c>
      <c r="C4116" s="13" t="str">
        <f>IFERROR(__xludf.DUMMYFUNCTION("""COMPUTED_VALUE"""),"B 42/ RAJABSA NUNYAI")</f>
        <v>B 42/ RAJABSA NUNYAI</v>
      </c>
      <c r="D4116" s="13" t="str">
        <f>IFERROR(__xludf.DUMMYFUNCTION("""COMPUTED_VALUE"""),"K/5/030925/1")</f>
        <v>K/5/030925/1</v>
      </c>
      <c r="E4116" s="14" t="str">
        <f>IFERROR(__xludf.DUMMYFUNCTION("""COMPUTED_VALUE"""),"Admin (Migrasi)")</f>
        <v>Admin (Migrasi)</v>
      </c>
      <c r="F4116" s="14" t="str">
        <f>IFERROR(__xludf.DUMMYFUNCTION("""COMPUTED_VALUE"""),"SELESAI (VIA PERMOHONAN)")</f>
        <v>SELESAI (VIA PERMOHONAN)</v>
      </c>
      <c r="G4116" s="17">
        <f>IFERROR(__xludf.DUMMYFUNCTION("""COMPUTED_VALUE"""),45947.47001697916)</f>
        <v>45947.47002</v>
      </c>
      <c r="H4116" s="14" t="str">
        <f>IFERROR(__xludf.DUMMYFUNCTION("""COMPUTED_VALUE"""),"Admin (Migrasi)")</f>
        <v>Admin (Migrasi)</v>
      </c>
      <c r="I4116" s="13" t="str">
        <f>IFERROR(__xludf.DUMMYFUNCTION("""COMPUTED_VALUE"""),"SELESAI (VIA PERMOHONAN)")</f>
        <v>SELESAI (VIA PERMOHONAN)</v>
      </c>
      <c r="J4116" s="17">
        <f>IFERROR(__xludf.DUMMYFUNCTION("""COMPUTED_VALUE"""),45947.4700500926)</f>
        <v>45947.47005</v>
      </c>
      <c r="K4116" s="13" t="str">
        <f>IFERROR(__xludf.DUMMYFUNCTION("""COMPUTED_VALUE"""),"Selesai")</f>
        <v>Selesai</v>
      </c>
      <c r="L4116" s="17">
        <f>IFERROR(__xludf.DUMMYFUNCTION("""COMPUTED_VALUE"""),45947.4700500926)</f>
        <v>45947.47005</v>
      </c>
      <c r="M4116" s="13"/>
      <c r="N4116" s="13" t="str">
        <f>IFERROR(__xludf.DUMMYFUNCTION("""COMPUTED_VALUE"""),"")</f>
        <v/>
      </c>
      <c r="O4116" s="13" t="str">
        <f t="shared" si="1"/>
        <v/>
      </c>
    </row>
    <row r="4117" ht="22.5" customHeight="1">
      <c r="B4117" s="13">
        <f>IFERROR(__xludf.DUMMYFUNCTION("""COMPUTED_VALUE"""),4112.0)</f>
        <v>4112</v>
      </c>
      <c r="C4117" s="13" t="str">
        <f>IFERROR(__xludf.DUMMYFUNCTION("""COMPUTED_VALUE"""),"B 757/ SUMUR PUTRI")</f>
        <v>B 757/ SUMUR PUTRI</v>
      </c>
      <c r="D4117" s="13" t="str">
        <f>IFERROR(__xludf.DUMMYFUNCTION("""COMPUTED_VALUE"""),"K/21/040928/3")</f>
        <v>K/21/040928/3</v>
      </c>
      <c r="E4117" s="14" t="str">
        <f>IFERROR(__xludf.DUMMYFUNCTION("""COMPUTED_VALUE"""),"Admin (Migrasi)")</f>
        <v>Admin (Migrasi)</v>
      </c>
      <c r="F4117" s="14" t="str">
        <f>IFERROR(__xludf.DUMMYFUNCTION("""COMPUTED_VALUE"""),"SELESAI (VIA PERMOHONAN)")</f>
        <v>SELESAI (VIA PERMOHONAN)</v>
      </c>
      <c r="G4117" s="17">
        <f>IFERROR(__xludf.DUMMYFUNCTION("""COMPUTED_VALUE"""),45947.47019569445)</f>
        <v>45947.4702</v>
      </c>
      <c r="H4117" s="14" t="str">
        <f>IFERROR(__xludf.DUMMYFUNCTION("""COMPUTED_VALUE"""),"Admin (Migrasi)")</f>
        <v>Admin (Migrasi)</v>
      </c>
      <c r="I4117" s="13" t="str">
        <f>IFERROR(__xludf.DUMMYFUNCTION("""COMPUTED_VALUE"""),"SELESAI (VIA PERMOHONAN)")</f>
        <v>SELESAI (VIA PERMOHONAN)</v>
      </c>
      <c r="J4117" s="17">
        <f>IFERROR(__xludf.DUMMYFUNCTION("""COMPUTED_VALUE"""),45947.47025059028)</f>
        <v>45947.47025</v>
      </c>
      <c r="K4117" s="13" t="str">
        <f>IFERROR(__xludf.DUMMYFUNCTION("""COMPUTED_VALUE"""),"Selesai")</f>
        <v>Selesai</v>
      </c>
      <c r="L4117" s="17">
        <f>IFERROR(__xludf.DUMMYFUNCTION("""COMPUTED_VALUE"""),45947.47025059028)</f>
        <v>45947.47025</v>
      </c>
      <c r="M4117" s="13"/>
      <c r="N4117" s="13" t="str">
        <f>IFERROR(__xludf.DUMMYFUNCTION("""COMPUTED_VALUE"""),"")</f>
        <v/>
      </c>
      <c r="O4117" s="13" t="str">
        <f t="shared" si="1"/>
        <v/>
      </c>
    </row>
    <row r="4118" ht="22.5" customHeight="1">
      <c r="B4118" s="13">
        <f>IFERROR(__xludf.DUMMYFUNCTION("""COMPUTED_VALUE"""),4113.0)</f>
        <v>4113</v>
      </c>
      <c r="C4118" s="13" t="str">
        <f>IFERROR(__xludf.DUMMYFUNCTION("""COMPUTED_VALUE"""),"B 817/ SUMUR PUTRI")</f>
        <v>B 817/ SUMUR PUTRI</v>
      </c>
      <c r="D4118" s="13" t="str">
        <f>IFERROR(__xludf.DUMMYFUNCTION("""COMPUTED_VALUE"""),"K/22/040928/4")</f>
        <v>K/22/040928/4</v>
      </c>
      <c r="E4118" s="14" t="str">
        <f>IFERROR(__xludf.DUMMYFUNCTION("""COMPUTED_VALUE"""),"Admin (Migrasi)")</f>
        <v>Admin (Migrasi)</v>
      </c>
      <c r="F4118" s="14" t="str">
        <f>IFERROR(__xludf.DUMMYFUNCTION("""COMPUTED_VALUE"""),"SELESAI (VIA PERMOHONAN)")</f>
        <v>SELESAI (VIA PERMOHONAN)</v>
      </c>
      <c r="G4118" s="17">
        <f>IFERROR(__xludf.DUMMYFUNCTION("""COMPUTED_VALUE"""),45947.470695219905)</f>
        <v>45947.4707</v>
      </c>
      <c r="H4118" s="14" t="str">
        <f>IFERROR(__xludf.DUMMYFUNCTION("""COMPUTED_VALUE"""),"Admin (Migrasi)")</f>
        <v>Admin (Migrasi)</v>
      </c>
      <c r="I4118" s="13" t="str">
        <f>IFERROR(__xludf.DUMMYFUNCTION("""COMPUTED_VALUE"""),"SELESAI (VIA PERMOHONAN)")</f>
        <v>SELESAI (VIA PERMOHONAN)</v>
      </c>
      <c r="J4118" s="17">
        <f>IFERROR(__xludf.DUMMYFUNCTION("""COMPUTED_VALUE"""),45947.47072938658)</f>
        <v>45947.47073</v>
      </c>
      <c r="K4118" s="13" t="str">
        <f>IFERROR(__xludf.DUMMYFUNCTION("""COMPUTED_VALUE"""),"Selesai")</f>
        <v>Selesai</v>
      </c>
      <c r="L4118" s="17">
        <f>IFERROR(__xludf.DUMMYFUNCTION("""COMPUTED_VALUE"""),45947.47072938658)</f>
        <v>45947.47073</v>
      </c>
      <c r="M4118" s="13"/>
      <c r="N4118" s="13" t="str">
        <f>IFERROR(__xludf.DUMMYFUNCTION("""COMPUTED_VALUE"""),"")</f>
        <v/>
      </c>
      <c r="O4118" s="13" t="str">
        <f t="shared" si="1"/>
        <v/>
      </c>
    </row>
    <row r="4119" ht="22.5" customHeight="1">
      <c r="B4119" s="13">
        <f>IFERROR(__xludf.DUMMYFUNCTION("""COMPUTED_VALUE"""),4114.0)</f>
        <v>4114</v>
      </c>
      <c r="C4119" s="13" t="str">
        <f>IFERROR(__xludf.DUMMYFUNCTION("""COMPUTED_VALUE"""),"M. 2934/Sukarame II	")</f>
        <v>M. 2934/Sukarame II	</v>
      </c>
      <c r="D4119" s="13" t="str">
        <f>IFERROR(__xludf.DUMMYFUNCTION("""COMPUTED_VALUE"""),"K/22/240925/3")</f>
        <v>K/22/240925/3</v>
      </c>
      <c r="E4119" s="14" t="str">
        <f>IFERROR(__xludf.DUMMYFUNCTION("""COMPUTED_VALUE"""),"Admin (Migrasi)")</f>
        <v>Admin (Migrasi)</v>
      </c>
      <c r="F4119" s="14" t="str">
        <f>IFERROR(__xludf.DUMMYFUNCTION("""COMPUTED_VALUE"""),"SELESAI (VIA PERMOHONAN)")</f>
        <v>SELESAI (VIA PERMOHONAN)</v>
      </c>
      <c r="G4119" s="17">
        <f>IFERROR(__xludf.DUMMYFUNCTION("""COMPUTED_VALUE"""),45947.59113850695)</f>
        <v>45947.59114</v>
      </c>
      <c r="H4119" s="14" t="str">
        <f>IFERROR(__xludf.DUMMYFUNCTION("""COMPUTED_VALUE"""),"Admin (Migrasi)")</f>
        <v>Admin (Migrasi)</v>
      </c>
      <c r="I4119" s="13" t="str">
        <f>IFERROR(__xludf.DUMMYFUNCTION("""COMPUTED_VALUE"""),"SELESAI (VIA PERMOHONAN)")</f>
        <v>SELESAI (VIA PERMOHONAN)</v>
      </c>
      <c r="J4119" s="17">
        <f>IFERROR(__xludf.DUMMYFUNCTION("""COMPUTED_VALUE"""),45947.59117314815)</f>
        <v>45947.59117</v>
      </c>
      <c r="K4119" s="13" t="str">
        <f>IFERROR(__xludf.DUMMYFUNCTION("""COMPUTED_VALUE"""),"Selesai")</f>
        <v>Selesai</v>
      </c>
      <c r="L4119" s="17">
        <f>IFERROR(__xludf.DUMMYFUNCTION("""COMPUTED_VALUE"""),45947.59117314815)</f>
        <v>45947.59117</v>
      </c>
      <c r="M4119" s="13"/>
      <c r="N4119" s="13" t="str">
        <f>IFERROR(__xludf.DUMMYFUNCTION("""COMPUTED_VALUE"""),"")</f>
        <v/>
      </c>
      <c r="O4119" s="13" t="str">
        <f t="shared" si="1"/>
        <v/>
      </c>
    </row>
    <row r="4120" ht="22.5" customHeight="1">
      <c r="B4120" s="13">
        <f>IFERROR(__xludf.DUMMYFUNCTION("""COMPUTED_VALUE"""),4115.0)</f>
        <v>4115</v>
      </c>
      <c r="C4120" s="13" t="str">
        <f>IFERROR(__xludf.DUMMYFUNCTION("""COMPUTED_VALUE"""),"M 13891/ KEDAMAIAN")</f>
        <v>M 13891/ KEDAMAIAN</v>
      </c>
      <c r="D4120" s="13" t="str">
        <f>IFERROR(__xludf.DUMMYFUNCTION("""COMPUTED_VALUE"""),"K/5/150925/3")</f>
        <v>K/5/150925/3</v>
      </c>
      <c r="E4120" s="14" t="str">
        <f>IFERROR(__xludf.DUMMYFUNCTION("""COMPUTED_VALUE"""),"Admin (Migrasi)")</f>
        <v>Admin (Migrasi)</v>
      </c>
      <c r="F4120" s="14" t="str">
        <f>IFERROR(__xludf.DUMMYFUNCTION("""COMPUTED_VALUE"""),"SELESAI (VIA PERMOHONAN)")</f>
        <v>SELESAI (VIA PERMOHONAN)</v>
      </c>
      <c r="G4120" s="17">
        <f>IFERROR(__xludf.DUMMYFUNCTION("""COMPUTED_VALUE"""),45947.62663550926)</f>
        <v>45947.62664</v>
      </c>
      <c r="H4120" s="14" t="str">
        <f>IFERROR(__xludf.DUMMYFUNCTION("""COMPUTED_VALUE"""),"Admin (Migrasi)")</f>
        <v>Admin (Migrasi)</v>
      </c>
      <c r="I4120" s="13" t="str">
        <f>IFERROR(__xludf.DUMMYFUNCTION("""COMPUTED_VALUE"""),"SELESAI (VIA PERMOHONAN)")</f>
        <v>SELESAI (VIA PERMOHONAN)</v>
      </c>
      <c r="J4120" s="17">
        <f>IFERROR(__xludf.DUMMYFUNCTION("""COMPUTED_VALUE"""),45947.62668185185)</f>
        <v>45947.62668</v>
      </c>
      <c r="K4120" s="13" t="str">
        <f>IFERROR(__xludf.DUMMYFUNCTION("""COMPUTED_VALUE"""),"Selesai")</f>
        <v>Selesai</v>
      </c>
      <c r="L4120" s="17">
        <f>IFERROR(__xludf.DUMMYFUNCTION("""COMPUTED_VALUE"""),45947.62668185185)</f>
        <v>45947.62668</v>
      </c>
      <c r="M4120" s="13"/>
      <c r="N4120" s="13" t="str">
        <f>IFERROR(__xludf.DUMMYFUNCTION("""COMPUTED_VALUE"""),"")</f>
        <v/>
      </c>
      <c r="O4120" s="13" t="str">
        <f t="shared" si="1"/>
        <v/>
      </c>
    </row>
    <row r="4121" ht="22.5" customHeight="1">
      <c r="B4121" s="13">
        <f>IFERROR(__xludf.DUMMYFUNCTION("""COMPUTED_VALUE"""),4116.0)</f>
        <v>4116</v>
      </c>
      <c r="C4121" s="13" t="str">
        <f>IFERROR(__xludf.DUMMYFUNCTION("""COMPUTED_VALUE"""),"M 13892/ KEDAMAIAN")</f>
        <v>M 13892/ KEDAMAIAN</v>
      </c>
      <c r="D4121" s="13" t="str">
        <f>IFERROR(__xludf.DUMMYFUNCTION("""COMPUTED_VALUE"""),"K/4/150925/2")</f>
        <v>K/4/150925/2</v>
      </c>
      <c r="E4121" s="14" t="str">
        <f>IFERROR(__xludf.DUMMYFUNCTION("""COMPUTED_VALUE"""),"Admin (Migrasi)")</f>
        <v>Admin (Migrasi)</v>
      </c>
      <c r="F4121" s="14" t="str">
        <f>IFERROR(__xludf.DUMMYFUNCTION("""COMPUTED_VALUE"""),"SELESAI (VIA PERMOHONAN)")</f>
        <v>SELESAI (VIA PERMOHONAN)</v>
      </c>
      <c r="G4121" s="17">
        <f>IFERROR(__xludf.DUMMYFUNCTION("""COMPUTED_VALUE"""),45947.626891064814)</f>
        <v>45947.62689</v>
      </c>
      <c r="H4121" s="14" t="str">
        <f>IFERROR(__xludf.DUMMYFUNCTION("""COMPUTED_VALUE"""),"Admin (Migrasi)")</f>
        <v>Admin (Migrasi)</v>
      </c>
      <c r="I4121" s="13" t="str">
        <f>IFERROR(__xludf.DUMMYFUNCTION("""COMPUTED_VALUE"""),"SELESAI (VIA PERMOHONAN)")</f>
        <v>SELESAI (VIA PERMOHONAN)</v>
      </c>
      <c r="J4121" s="17">
        <f>IFERROR(__xludf.DUMMYFUNCTION("""COMPUTED_VALUE"""),45947.626891064814)</f>
        <v>45947.62689</v>
      </c>
      <c r="K4121" s="13" t="str">
        <f>IFERROR(__xludf.DUMMYFUNCTION("""COMPUTED_VALUE"""),"Selesai")</f>
        <v>Selesai</v>
      </c>
      <c r="L4121" s="17">
        <f>IFERROR(__xludf.DUMMYFUNCTION("""COMPUTED_VALUE"""),45947.626891064814)</f>
        <v>45947.62689</v>
      </c>
      <c r="M4121" s="13"/>
      <c r="N4121" s="13" t="str">
        <f>IFERROR(__xludf.DUMMYFUNCTION("""COMPUTED_VALUE"""),"")</f>
        <v/>
      </c>
      <c r="O4121" s="13" t="str">
        <f t="shared" si="1"/>
        <v/>
      </c>
    </row>
    <row r="4122" ht="22.5" customHeight="1">
      <c r="B4122" s="13">
        <f>IFERROR(__xludf.DUMMYFUNCTION("""COMPUTED_VALUE"""),4117.0)</f>
        <v>4117</v>
      </c>
      <c r="C4122" s="13" t="str">
        <f>IFERROR(__xludf.DUMMYFUNCTION("""COMPUTED_VALUE"""),"M. 2449/Kedaung	")</f>
        <v>M. 2449/Kedaung	</v>
      </c>
      <c r="D4122" s="13" t="str">
        <f>IFERROR(__xludf.DUMMYFUNCTION("""COMPUTED_VALUE"""),"K/11/100925/1")</f>
        <v>K/11/100925/1</v>
      </c>
      <c r="E4122" s="14" t="str">
        <f>IFERROR(__xludf.DUMMYFUNCTION("""COMPUTED_VALUE"""),"Admin (Migrasi)")</f>
        <v>Admin (Migrasi)</v>
      </c>
      <c r="F4122" s="14" t="str">
        <f>IFERROR(__xludf.DUMMYFUNCTION("""COMPUTED_VALUE"""),"SELESAI (VIA PERMOHONAN)")</f>
        <v>SELESAI (VIA PERMOHONAN)</v>
      </c>
      <c r="G4122" s="17">
        <f>IFERROR(__xludf.DUMMYFUNCTION("""COMPUTED_VALUE"""),45947.627088124995)</f>
        <v>45947.62709</v>
      </c>
      <c r="H4122" s="14" t="str">
        <f>IFERROR(__xludf.DUMMYFUNCTION("""COMPUTED_VALUE"""),"Admin (Migrasi)")</f>
        <v>Admin (Migrasi)</v>
      </c>
      <c r="I4122" s="13" t="str">
        <f>IFERROR(__xludf.DUMMYFUNCTION("""COMPUTED_VALUE"""),"SELESAI (VIA PERMOHONAN)")</f>
        <v>SELESAI (VIA PERMOHONAN)</v>
      </c>
      <c r="J4122" s="17">
        <f>IFERROR(__xludf.DUMMYFUNCTION("""COMPUTED_VALUE"""),45947.62708813658)</f>
        <v>45947.62709</v>
      </c>
      <c r="K4122" s="13" t="str">
        <f>IFERROR(__xludf.DUMMYFUNCTION("""COMPUTED_VALUE"""),"Selesai")</f>
        <v>Selesai</v>
      </c>
      <c r="L4122" s="17">
        <f>IFERROR(__xludf.DUMMYFUNCTION("""COMPUTED_VALUE"""),45947.62708813658)</f>
        <v>45947.62709</v>
      </c>
      <c r="M4122" s="13"/>
      <c r="N4122" s="13" t="str">
        <f>IFERROR(__xludf.DUMMYFUNCTION("""COMPUTED_VALUE"""),"")</f>
        <v/>
      </c>
      <c r="O4122" s="13" t="str">
        <f t="shared" si="1"/>
        <v/>
      </c>
    </row>
    <row r="4123" ht="22.5" customHeight="1">
      <c r="B4123" s="13">
        <f>IFERROR(__xludf.DUMMYFUNCTION("""COMPUTED_VALUE"""),4118.0)</f>
        <v>4118</v>
      </c>
      <c r="C4123" s="13" t="str">
        <f>IFERROR(__xludf.DUMMYFUNCTION("""COMPUTED_VALUE"""),"M. 2515/Pinang Jaya	")</f>
        <v>M. 2515/Pinang Jaya	</v>
      </c>
      <c r="D4123" s="13" t="str">
        <f>IFERROR(__xludf.DUMMYFUNCTION("""COMPUTED_VALUE"""),"K/20/240925/1")</f>
        <v>K/20/240925/1</v>
      </c>
      <c r="E4123" s="14" t="str">
        <f>IFERROR(__xludf.DUMMYFUNCTION("""COMPUTED_VALUE"""),"Admin (Migrasi)")</f>
        <v>Admin (Migrasi)</v>
      </c>
      <c r="F4123" s="14" t="str">
        <f>IFERROR(__xludf.DUMMYFUNCTION("""COMPUTED_VALUE"""),"SELESAI (VIA PERMOHONAN)")</f>
        <v>SELESAI (VIA PERMOHONAN)</v>
      </c>
      <c r="G4123" s="17">
        <f>IFERROR(__xludf.DUMMYFUNCTION("""COMPUTED_VALUE"""),45947.62727805556)</f>
        <v>45947.62728</v>
      </c>
      <c r="H4123" s="14" t="str">
        <f>IFERROR(__xludf.DUMMYFUNCTION("""COMPUTED_VALUE"""),"Admin (Migrasi)")</f>
        <v>Admin (Migrasi)</v>
      </c>
      <c r="I4123" s="13" t="str">
        <f>IFERROR(__xludf.DUMMYFUNCTION("""COMPUTED_VALUE"""),"SELESAI (VIA PERMOHONAN)")</f>
        <v>SELESAI (VIA PERMOHONAN)</v>
      </c>
      <c r="J4123" s="17">
        <f>IFERROR(__xludf.DUMMYFUNCTION("""COMPUTED_VALUE"""),45947.62727805556)</f>
        <v>45947.62728</v>
      </c>
      <c r="K4123" s="13" t="str">
        <f>IFERROR(__xludf.DUMMYFUNCTION("""COMPUTED_VALUE"""),"Selesai")</f>
        <v>Selesai</v>
      </c>
      <c r="L4123" s="17">
        <f>IFERROR(__xludf.DUMMYFUNCTION("""COMPUTED_VALUE"""),45947.62727805556)</f>
        <v>45947.62728</v>
      </c>
      <c r="M4123" s="13"/>
      <c r="N4123" s="13" t="str">
        <f>IFERROR(__xludf.DUMMYFUNCTION("""COMPUTED_VALUE"""),"")</f>
        <v/>
      </c>
      <c r="O4123" s="13" t="str">
        <f t="shared" si="1"/>
        <v/>
      </c>
    </row>
    <row r="4124" ht="22.5" customHeight="1">
      <c r="B4124" s="13">
        <f>IFERROR(__xludf.DUMMYFUNCTION("""COMPUTED_VALUE"""),4119.0)</f>
        <v>4119</v>
      </c>
      <c r="C4124" s="13" t="str">
        <f>IFERROR(__xludf.DUMMYFUNCTION("""COMPUTED_VALUE"""),"M. 9895/SURABAYA")</f>
        <v>M. 9895/SURABAYA</v>
      </c>
      <c r="D4124" s="13" t="str">
        <f>IFERROR(__xludf.DUMMYFUNCTION("""COMPUTED_VALUE"""),"K/18/080925/2")</f>
        <v>K/18/080925/2</v>
      </c>
      <c r="E4124" s="14" t="str">
        <f>IFERROR(__xludf.DUMMYFUNCTION("""COMPUTED_VALUE"""),"Admin (Migrasi)")</f>
        <v>Admin (Migrasi)</v>
      </c>
      <c r="F4124" s="14" t="str">
        <f>IFERROR(__xludf.DUMMYFUNCTION("""COMPUTED_VALUE"""),"SELESAI (VIA PERMOHONAN)")</f>
        <v>SELESAI (VIA PERMOHONAN)</v>
      </c>
      <c r="G4124" s="17">
        <f>IFERROR(__xludf.DUMMYFUNCTION("""COMPUTED_VALUE"""),45950.571113935184)</f>
        <v>45950.57111</v>
      </c>
      <c r="H4124" s="14" t="str">
        <f>IFERROR(__xludf.DUMMYFUNCTION("""COMPUTED_VALUE"""),"Admin (Migrasi)")</f>
        <v>Admin (Migrasi)</v>
      </c>
      <c r="I4124" s="13" t="str">
        <f>IFERROR(__xludf.DUMMYFUNCTION("""COMPUTED_VALUE"""),"SELESAI (VIA PERMOHONAN)")</f>
        <v>SELESAI (VIA PERMOHONAN)</v>
      </c>
      <c r="J4124" s="17">
        <f>IFERROR(__xludf.DUMMYFUNCTION("""COMPUTED_VALUE"""),45950.57112472222)</f>
        <v>45950.57112</v>
      </c>
      <c r="K4124" s="13" t="str">
        <f>IFERROR(__xludf.DUMMYFUNCTION("""COMPUTED_VALUE"""),"Selesai")</f>
        <v>Selesai</v>
      </c>
      <c r="L4124" s="17">
        <f>IFERROR(__xludf.DUMMYFUNCTION("""COMPUTED_VALUE"""),45950.57112472222)</f>
        <v>45950.57112</v>
      </c>
      <c r="M4124" s="13"/>
      <c r="N4124" s="13" t="str">
        <f>IFERROR(__xludf.DUMMYFUNCTION("""COMPUTED_VALUE"""),"")</f>
        <v/>
      </c>
      <c r="O4124" s="13" t="str">
        <f t="shared" si="1"/>
        <v/>
      </c>
    </row>
    <row r="4125" ht="22.5" customHeight="1">
      <c r="B4125" s="13">
        <f>IFERROR(__xludf.DUMMYFUNCTION("""COMPUTED_VALUE"""),4120.0)</f>
        <v>4120</v>
      </c>
      <c r="C4125" s="13" t="str">
        <f>IFERROR(__xludf.DUMMYFUNCTION("""COMPUTED_VALUE"""),"M. 120/Pahoman")</f>
        <v>M. 120/Pahoman</v>
      </c>
      <c r="D4125" s="13" t="str">
        <f>IFERROR(__xludf.DUMMYFUNCTION("""COMPUTED_VALUE"""),"")</f>
        <v/>
      </c>
      <c r="E4125" s="14" t="str">
        <f>IFERROR(__xludf.DUMMYFUNCTION("""COMPUTED_VALUE"""),"Heri (BT)")</f>
        <v>Heri (BT)</v>
      </c>
      <c r="F4125" s="14" t="str">
        <f>IFERROR(__xludf.DUMMYFUNCTION("""COMPUTED_VALUE"""),"SELESAI (VIA PERMOHONAN)")</f>
        <v>SELESAI (VIA PERMOHONAN)</v>
      </c>
      <c r="G4125" s="17">
        <f>IFERROR(__xludf.DUMMYFUNCTION("""COMPUTED_VALUE"""),45950.72604228009)</f>
        <v>45950.72604</v>
      </c>
      <c r="H4125" s="14" t="str">
        <f>IFERROR(__xludf.DUMMYFUNCTION("""COMPUTED_VALUE"""),"Aprill (SU)")</f>
        <v>Aprill (SU)</v>
      </c>
      <c r="I4125" s="13" t="str">
        <f>IFERROR(__xludf.DUMMYFUNCTION("""COMPUTED_VALUE"""),"SELESAI (VIA PERMOHONAN)")</f>
        <v>SELESAI (VIA PERMOHONAN)</v>
      </c>
      <c r="J4125" s="17">
        <f>IFERROR(__xludf.DUMMYFUNCTION("""COMPUTED_VALUE"""),45953.69912292824)</f>
        <v>45953.69912</v>
      </c>
      <c r="K4125" s="13" t="str">
        <f>IFERROR(__xludf.DUMMYFUNCTION("""COMPUTED_VALUE"""),"")</f>
        <v/>
      </c>
      <c r="L4125" s="13" t="str">
        <f>IFERROR(__xludf.DUMMYFUNCTION("""COMPUTED_VALUE"""),"")</f>
        <v/>
      </c>
      <c r="M4125" s="13"/>
      <c r="N4125" s="13" t="str">
        <f>IFERROR(__xludf.DUMMYFUNCTION("""COMPUTED_VALUE"""),"")</f>
        <v/>
      </c>
      <c r="O4125" s="13" t="str">
        <f t="shared" si="1"/>
        <v/>
      </c>
    </row>
    <row r="4126" ht="22.5" customHeight="1">
      <c r="B4126" s="13">
        <f>IFERROR(__xludf.DUMMYFUNCTION("""COMPUTED_VALUE"""),4121.0)</f>
        <v>4121</v>
      </c>
      <c r="C4126" s="13" t="str">
        <f>IFERROR(__xludf.DUMMYFUNCTION("""COMPUTED_VALUE"""),"M 375/ PAHOMAN")</f>
        <v>M 375/ PAHOMAN</v>
      </c>
      <c r="D4126" s="13" t="str">
        <f>IFERROR(__xludf.DUMMYFUNCTION("""COMPUTED_VALUE"""),"K/5/250925/3")</f>
        <v>K/5/250925/3</v>
      </c>
      <c r="E4126" s="14" t="str">
        <f>IFERROR(__xludf.DUMMYFUNCTION("""COMPUTED_VALUE"""),"Heri (BT)")</f>
        <v>Heri (BT)</v>
      </c>
      <c r="F4126" s="14" t="str">
        <f>IFERROR(__xludf.DUMMYFUNCTION("""COMPUTED_VALUE"""),"SELESAI (VIA PERMOHONAN)")</f>
        <v>SELESAI (VIA PERMOHONAN)</v>
      </c>
      <c r="G4126" s="17">
        <f>IFERROR(__xludf.DUMMYFUNCTION("""COMPUTED_VALUE"""),45950.72627561343)</f>
        <v>45950.72628</v>
      </c>
      <c r="H4126" s="14" t="str">
        <f>IFERROR(__xludf.DUMMYFUNCTION("""COMPUTED_VALUE"""),"Aprill (SU)")</f>
        <v>Aprill (SU)</v>
      </c>
      <c r="I4126" s="13" t="str">
        <f>IFERROR(__xludf.DUMMYFUNCTION("""COMPUTED_VALUE"""),"SELESAI (VIA PERMOHONAN)")</f>
        <v>SELESAI (VIA PERMOHONAN)</v>
      </c>
      <c r="J4126" s="17">
        <f>IFERROR(__xludf.DUMMYFUNCTION("""COMPUTED_VALUE"""),45953.69893457176)</f>
        <v>45953.69893</v>
      </c>
      <c r="K4126" s="13" t="str">
        <f>IFERROR(__xludf.DUMMYFUNCTION("""COMPUTED_VALUE"""),"Selesai")</f>
        <v>Selesai</v>
      </c>
      <c r="L4126" s="17">
        <f>IFERROR(__xludf.DUMMYFUNCTION("""COMPUTED_VALUE"""),45953.69893457176)</f>
        <v>45953.69893</v>
      </c>
      <c r="M4126" s="13"/>
      <c r="N4126" s="13" t="str">
        <f>IFERROR(__xludf.DUMMYFUNCTION("""COMPUTED_VALUE"""),"")</f>
        <v/>
      </c>
      <c r="O4126" s="13" t="str">
        <f t="shared" si="1"/>
        <v/>
      </c>
    </row>
    <row r="4127" ht="22.5" customHeight="1">
      <c r="B4127" s="13">
        <f>IFERROR(__xludf.DUMMYFUNCTION("""COMPUTED_VALUE"""),4122.0)</f>
        <v>4122</v>
      </c>
      <c r="C4127" s="13" t="str">
        <f>IFERROR(__xludf.DUMMYFUNCTION("""COMPUTED_VALUE"""),"M 1149/ NOG")</f>
        <v>M 1149/ NOG</v>
      </c>
      <c r="D4127" s="13" t="str">
        <f>IFERROR(__xludf.DUMMYFUNCTION("""COMPUTED_VALUE"""),"K/35/021025/1")</f>
        <v>K/35/021025/1</v>
      </c>
      <c r="E4127" s="14" t="str">
        <f>IFERROR(__xludf.DUMMYFUNCTION("""COMPUTED_VALUE"""),"Heri (BT)")</f>
        <v>Heri (BT)</v>
      </c>
      <c r="F4127" s="14" t="str">
        <f>IFERROR(__xludf.DUMMYFUNCTION("""COMPUTED_VALUE"""),"SELESAI (VIA PERMOHONAN)")</f>
        <v>SELESAI (VIA PERMOHONAN)</v>
      </c>
      <c r="G4127" s="17">
        <f>IFERROR(__xludf.DUMMYFUNCTION("""COMPUTED_VALUE"""),45950.72641239583)</f>
        <v>45950.72641</v>
      </c>
      <c r="H4127" s="14" t="str">
        <f>IFERROR(__xludf.DUMMYFUNCTION("""COMPUTED_VALUE"""),"Aprill (SU)")</f>
        <v>Aprill (SU)</v>
      </c>
      <c r="I4127" s="13" t="str">
        <f>IFERROR(__xludf.DUMMYFUNCTION("""COMPUTED_VALUE"""),"SELESAI (VIA PERMOHONAN)")</f>
        <v>SELESAI (VIA PERMOHONAN)</v>
      </c>
      <c r="J4127" s="17">
        <f>IFERROR(__xludf.DUMMYFUNCTION("""COMPUTED_VALUE"""),45957.44120637732)</f>
        <v>45957.44121</v>
      </c>
      <c r="K4127" s="13" t="str">
        <f>IFERROR(__xludf.DUMMYFUNCTION("""COMPUTED_VALUE"""),"Selesai")</f>
        <v>Selesai</v>
      </c>
      <c r="L4127" s="17">
        <f>IFERROR(__xludf.DUMMYFUNCTION("""COMPUTED_VALUE"""),45957.44120637732)</f>
        <v>45957.44121</v>
      </c>
      <c r="M4127" s="13"/>
      <c r="N4127" s="13" t="str">
        <f>IFERROR(__xludf.DUMMYFUNCTION("""COMPUTED_VALUE"""),"")</f>
        <v/>
      </c>
      <c r="O4127" s="13" t="str">
        <f t="shared" si="1"/>
        <v/>
      </c>
    </row>
    <row r="4128" ht="22.5" customHeight="1">
      <c r="B4128" s="13">
        <f>IFERROR(__xludf.DUMMYFUNCTION("""COMPUTED_VALUE"""),4123.0)</f>
        <v>4123</v>
      </c>
      <c r="C4128" s="13" t="str">
        <f>IFERROR(__xludf.DUMMYFUNCTION("""COMPUTED_VALUE"""),"B 179/ PEMATANG WANGI")</f>
        <v>B 179/ PEMATANG WANGI</v>
      </c>
      <c r="D4128" s="13" t="str">
        <f>IFERROR(__xludf.DUMMYFUNCTION("""COMPUTED_VALUE"""),"K/12/160925/1")</f>
        <v>K/12/160925/1</v>
      </c>
      <c r="E4128" s="14" t="str">
        <f>IFERROR(__xludf.DUMMYFUNCTION("""COMPUTED_VALUE"""),"Heri (BT)")</f>
        <v>Heri (BT)</v>
      </c>
      <c r="F4128" s="14" t="str">
        <f>IFERROR(__xludf.DUMMYFUNCTION("""COMPUTED_VALUE"""),"SELESAI (VIA PERMOHONAN)")</f>
        <v>SELESAI (VIA PERMOHONAN)</v>
      </c>
      <c r="G4128" s="17">
        <f>IFERROR(__xludf.DUMMYFUNCTION("""COMPUTED_VALUE"""),45950.726525509264)</f>
        <v>45950.72653</v>
      </c>
      <c r="H4128" s="14"/>
      <c r="I4128" s="13"/>
      <c r="J4128" s="17" t="str">
        <f>IFERROR(__xludf.DUMMYFUNCTION("""COMPUTED_VALUE"""),"")</f>
        <v/>
      </c>
      <c r="K4128" s="13" t="str">
        <f>IFERROR(__xludf.DUMMYFUNCTION("""COMPUTED_VALUE"""),"BT atau SU Belum Valid")</f>
        <v>BT atau SU Belum Valid</v>
      </c>
      <c r="L4128" s="13" t="str">
        <f>IFERROR(__xludf.DUMMYFUNCTION("""COMPUTED_VALUE"""),"")</f>
        <v/>
      </c>
      <c r="M4128" s="13"/>
      <c r="N4128" s="13" t="str">
        <f>IFERROR(__xludf.DUMMYFUNCTION("""COMPUTED_VALUE"""),"")</f>
        <v/>
      </c>
      <c r="O4128" s="13" t="str">
        <f t="shared" si="1"/>
        <v/>
      </c>
    </row>
    <row r="4129" ht="22.5" customHeight="1">
      <c r="B4129" s="13">
        <f>IFERROR(__xludf.DUMMYFUNCTION("""COMPUTED_VALUE"""),4124.0)</f>
        <v>4124</v>
      </c>
      <c r="C4129" s="13" t="str">
        <f>IFERROR(__xludf.DUMMYFUNCTION("""COMPUTED_VALUE"""),"B. 914/ Sukarame Baru")</f>
        <v>B. 914/ Sukarame Baru</v>
      </c>
      <c r="D4129" s="13" t="str">
        <f>IFERROR(__xludf.DUMMYFUNCTION("""COMPUTED_VALUE"""),"K/34/300725/1")</f>
        <v>K/34/300725/1</v>
      </c>
      <c r="E4129" s="14" t="str">
        <f>IFERROR(__xludf.DUMMYFUNCTION("""COMPUTED_VALUE"""),"Heri (BT)")</f>
        <v>Heri (BT)</v>
      </c>
      <c r="F4129" s="14" t="str">
        <f>IFERROR(__xludf.DUMMYFUNCTION("""COMPUTED_VALUE"""),"SELESAI (VIA PERMOHONAN)")</f>
        <v>SELESAI (VIA PERMOHONAN)</v>
      </c>
      <c r="G4129" s="17">
        <f>IFERROR(__xludf.DUMMYFUNCTION("""COMPUTED_VALUE"""),45950.72665633102)</f>
        <v>45950.72666</v>
      </c>
      <c r="H4129" s="14" t="str">
        <f>IFERROR(__xludf.DUMMYFUNCTION("""COMPUTED_VALUE"""),"Aprill (SU)")</f>
        <v>Aprill (SU)</v>
      </c>
      <c r="I4129" s="13" t="str">
        <f>IFERROR(__xludf.DUMMYFUNCTION("""COMPUTED_VALUE"""),"SELESAI (VIA PERMOHONAN)")</f>
        <v>SELESAI (VIA PERMOHONAN)</v>
      </c>
      <c r="J4129" s="17">
        <f>IFERROR(__xludf.DUMMYFUNCTION("""COMPUTED_VALUE"""),45953.698653125)</f>
        <v>45953.69865</v>
      </c>
      <c r="K4129" s="13" t="str">
        <f>IFERROR(__xludf.DUMMYFUNCTION("""COMPUTED_VALUE"""),"Selesai")</f>
        <v>Selesai</v>
      </c>
      <c r="L4129" s="17">
        <f>IFERROR(__xludf.DUMMYFUNCTION("""COMPUTED_VALUE"""),45953.698653125)</f>
        <v>45953.69865</v>
      </c>
      <c r="M4129" s="13"/>
      <c r="N4129" s="13" t="str">
        <f>IFERROR(__xludf.DUMMYFUNCTION("""COMPUTED_VALUE"""),"")</f>
        <v/>
      </c>
      <c r="O4129" s="13" t="str">
        <f t="shared" si="1"/>
        <v/>
      </c>
    </row>
    <row r="4130" ht="22.5" customHeight="1">
      <c r="B4130" s="13">
        <f>IFERROR(__xludf.DUMMYFUNCTION("""COMPUTED_VALUE"""),4125.0)</f>
        <v>4125</v>
      </c>
      <c r="C4130" s="13" t="str">
        <f>IFERROR(__xludf.DUMMYFUNCTION("""COMPUTED_VALUE"""),"M. 3041/KOTA KARANG")</f>
        <v>M. 3041/KOTA KARANG</v>
      </c>
      <c r="D4130" s="13" t="str">
        <f>IFERROR(__xludf.DUMMYFUNCTION("""COMPUTED_VALUE"""),"K/31/011025/1")</f>
        <v>K/31/011025/1</v>
      </c>
      <c r="E4130" s="14" t="str">
        <f>IFERROR(__xludf.DUMMYFUNCTION("""COMPUTED_VALUE"""),"Heri (BT)")</f>
        <v>Heri (BT)</v>
      </c>
      <c r="F4130" s="14" t="str">
        <f>IFERROR(__xludf.DUMMYFUNCTION("""COMPUTED_VALUE"""),"SELESAI (VIA PERMOHONAN)")</f>
        <v>SELESAI (VIA PERMOHONAN)</v>
      </c>
      <c r="G4130" s="17">
        <f>IFERROR(__xludf.DUMMYFUNCTION("""COMPUTED_VALUE"""),45950.72677878472)</f>
        <v>45950.72678</v>
      </c>
      <c r="H4130" s="14" t="str">
        <f>IFERROR(__xludf.DUMMYFUNCTION("""COMPUTED_VALUE"""),"Aprill (SU)")</f>
        <v>Aprill (SU)</v>
      </c>
      <c r="I4130" s="13" t="str">
        <f>IFERROR(__xludf.DUMMYFUNCTION("""COMPUTED_VALUE"""),"SELESAI (VIA PERMOHONAN)")</f>
        <v>SELESAI (VIA PERMOHONAN)</v>
      </c>
      <c r="J4130" s="17">
        <f>IFERROR(__xludf.DUMMYFUNCTION("""COMPUTED_VALUE"""),45953.700072465275)</f>
        <v>45953.70007</v>
      </c>
      <c r="K4130" s="13" t="str">
        <f>IFERROR(__xludf.DUMMYFUNCTION("""COMPUTED_VALUE"""),"Selesai")</f>
        <v>Selesai</v>
      </c>
      <c r="L4130" s="17">
        <f>IFERROR(__xludf.DUMMYFUNCTION("""COMPUTED_VALUE"""),45953.700072465275)</f>
        <v>45953.70007</v>
      </c>
      <c r="M4130" s="13"/>
      <c r="N4130" s="13" t="str">
        <f>IFERROR(__xludf.DUMMYFUNCTION("""COMPUTED_VALUE"""),"")</f>
        <v/>
      </c>
      <c r="O4130" s="13" t="str">
        <f t="shared" si="1"/>
        <v/>
      </c>
    </row>
    <row r="4131" ht="22.5" customHeight="1">
      <c r="B4131" s="13">
        <f>IFERROR(__xludf.DUMMYFUNCTION("""COMPUTED_VALUE"""),4126.0)</f>
        <v>4126</v>
      </c>
      <c r="C4131" s="13" t="str">
        <f>IFERROR(__xludf.DUMMYFUNCTION("""COMPUTED_VALUE"""),"B. 158/BAKUNG")</f>
        <v>B. 158/BAKUNG</v>
      </c>
      <c r="D4131" s="13" t="str">
        <f>IFERROR(__xludf.DUMMYFUNCTION("""COMPUTED_VALUE"""),"K/3/170925/1")</f>
        <v>K/3/170925/1</v>
      </c>
      <c r="E4131" s="14" t="str">
        <f>IFERROR(__xludf.DUMMYFUNCTION("""COMPUTED_VALUE"""),"Heri (BT)")</f>
        <v>Heri (BT)</v>
      </c>
      <c r="F4131" s="14" t="str">
        <f>IFERROR(__xludf.DUMMYFUNCTION("""COMPUTED_VALUE"""),"SELESAI (VIA PERMOHONAN)")</f>
        <v>SELESAI (VIA PERMOHONAN)</v>
      </c>
      <c r="G4131" s="17">
        <f>IFERROR(__xludf.DUMMYFUNCTION("""COMPUTED_VALUE"""),45950.72689363426)</f>
        <v>45950.72689</v>
      </c>
      <c r="H4131" s="14" t="str">
        <f>IFERROR(__xludf.DUMMYFUNCTION("""COMPUTED_VALUE"""),"Aprill (SU)")</f>
        <v>Aprill (SU)</v>
      </c>
      <c r="I4131" s="13" t="str">
        <f>IFERROR(__xludf.DUMMYFUNCTION("""COMPUTED_VALUE"""),"SELESAI (VIA PERMOHONAN)")</f>
        <v>SELESAI (VIA PERMOHONAN)</v>
      </c>
      <c r="J4131" s="17">
        <f>IFERROR(__xludf.DUMMYFUNCTION("""COMPUTED_VALUE"""),45953.69958270833)</f>
        <v>45953.69958</v>
      </c>
      <c r="K4131" s="13" t="str">
        <f>IFERROR(__xludf.DUMMYFUNCTION("""COMPUTED_VALUE"""),"Selesai")</f>
        <v>Selesai</v>
      </c>
      <c r="L4131" s="17">
        <f>IFERROR(__xludf.DUMMYFUNCTION("""COMPUTED_VALUE"""),45953.69958270833)</f>
        <v>45953.69958</v>
      </c>
      <c r="M4131" s="13"/>
      <c r="N4131" s="13" t="str">
        <f>IFERROR(__xludf.DUMMYFUNCTION("""COMPUTED_VALUE"""),"")</f>
        <v/>
      </c>
      <c r="O4131" s="13" t="str">
        <f t="shared" si="1"/>
        <v/>
      </c>
    </row>
    <row r="4132" ht="22.5" customHeight="1">
      <c r="B4132" s="13">
        <f>IFERROR(__xludf.DUMMYFUNCTION("""COMPUTED_VALUE"""),4127.0)</f>
        <v>4127</v>
      </c>
      <c r="C4132" s="13" t="str">
        <f>IFERROR(__xludf.DUMMYFUNCTION("""COMPUTED_VALUE"""),"M. 1232/TALANG")</f>
        <v>M. 1232/TALANG</v>
      </c>
      <c r="D4132" s="13" t="str">
        <f>IFERROR(__xludf.DUMMYFUNCTION("""COMPUTED_VALUE"""),"K/26/190925/3")</f>
        <v>K/26/190925/3</v>
      </c>
      <c r="E4132" s="14" t="str">
        <f>IFERROR(__xludf.DUMMYFUNCTION("""COMPUTED_VALUE"""),"Heri (BT)")</f>
        <v>Heri (BT)</v>
      </c>
      <c r="F4132" s="14" t="str">
        <f>IFERROR(__xludf.DUMMYFUNCTION("""COMPUTED_VALUE"""),"SELESAI (VIA PERMOHONAN)")</f>
        <v>SELESAI (VIA PERMOHONAN)</v>
      </c>
      <c r="G4132" s="17">
        <f>IFERROR(__xludf.DUMMYFUNCTION("""COMPUTED_VALUE"""),45950.7270178125)</f>
        <v>45950.72702</v>
      </c>
      <c r="H4132" s="14" t="str">
        <f>IFERROR(__xludf.DUMMYFUNCTION("""COMPUTED_VALUE"""),"Aprill (SU)")</f>
        <v>Aprill (SU)</v>
      </c>
      <c r="I4132" s="13" t="str">
        <f>IFERROR(__xludf.DUMMYFUNCTION("""COMPUTED_VALUE"""),"SELESAI (VIA PERMOHONAN)")</f>
        <v>SELESAI (VIA PERMOHONAN)</v>
      </c>
      <c r="J4132" s="17">
        <f>IFERROR(__xludf.DUMMYFUNCTION("""COMPUTED_VALUE"""),45953.69983745371)</f>
        <v>45953.69984</v>
      </c>
      <c r="K4132" s="13" t="str">
        <f>IFERROR(__xludf.DUMMYFUNCTION("""COMPUTED_VALUE"""),"Selesai")</f>
        <v>Selesai</v>
      </c>
      <c r="L4132" s="17">
        <f>IFERROR(__xludf.DUMMYFUNCTION("""COMPUTED_VALUE"""),45953.69983745371)</f>
        <v>45953.69984</v>
      </c>
      <c r="M4132" s="13"/>
      <c r="N4132" s="13" t="str">
        <f>IFERROR(__xludf.DUMMYFUNCTION("""COMPUTED_VALUE"""),"")</f>
        <v/>
      </c>
      <c r="O4132" s="13" t="str">
        <f t="shared" si="1"/>
        <v/>
      </c>
    </row>
    <row r="4133" ht="22.5" customHeight="1">
      <c r="B4133" s="13">
        <f>IFERROR(__xludf.DUMMYFUNCTION("""COMPUTED_VALUE"""),4128.0)</f>
        <v>4128</v>
      </c>
      <c r="C4133" s="13" t="str">
        <f>IFERROR(__xludf.DUMMYFUNCTION("""COMPUTED_VALUE"""),"M. 1429/CAMPANG JAYA")</f>
        <v>M. 1429/CAMPANG JAYA</v>
      </c>
      <c r="D4133" s="13" t="str">
        <f>IFERROR(__xludf.DUMMYFUNCTION("""COMPUTED_VALUE"""),"K/15/170925/2")</f>
        <v>K/15/170925/2</v>
      </c>
      <c r="E4133" s="14" t="str">
        <f>IFERROR(__xludf.DUMMYFUNCTION("""COMPUTED_VALUE"""),"Heri (BT)")</f>
        <v>Heri (BT)</v>
      </c>
      <c r="F4133" s="14" t="str">
        <f>IFERROR(__xludf.DUMMYFUNCTION("""COMPUTED_VALUE"""),"SELESAI (VIA PERMOHONAN)")</f>
        <v>SELESAI (VIA PERMOHONAN)</v>
      </c>
      <c r="G4133" s="17">
        <f>IFERROR(__xludf.DUMMYFUNCTION("""COMPUTED_VALUE"""),45950.72713247685)</f>
        <v>45950.72713</v>
      </c>
      <c r="H4133" s="14" t="str">
        <f>IFERROR(__xludf.DUMMYFUNCTION("""COMPUTED_VALUE"""),"Aprill (SU)")</f>
        <v>Aprill (SU)</v>
      </c>
      <c r="I4133" s="13" t="str">
        <f>IFERROR(__xludf.DUMMYFUNCTION("""COMPUTED_VALUE"""),"SELESAI (VIA PERMOHONAN)")</f>
        <v>SELESAI (VIA PERMOHONAN)</v>
      </c>
      <c r="J4133" s="17">
        <f>IFERROR(__xludf.DUMMYFUNCTION("""COMPUTED_VALUE"""),45953.70242400463)</f>
        <v>45953.70242</v>
      </c>
      <c r="K4133" s="13" t="str">
        <f>IFERROR(__xludf.DUMMYFUNCTION("""COMPUTED_VALUE"""),"Selesai")</f>
        <v>Selesai</v>
      </c>
      <c r="L4133" s="17">
        <f>IFERROR(__xludf.DUMMYFUNCTION("""COMPUTED_VALUE"""),45953.70242400463)</f>
        <v>45953.70242</v>
      </c>
      <c r="M4133" s="13"/>
      <c r="N4133" s="13" t="str">
        <f>IFERROR(__xludf.DUMMYFUNCTION("""COMPUTED_VALUE"""),"")</f>
        <v/>
      </c>
      <c r="O4133" s="13" t="str">
        <f t="shared" si="1"/>
        <v/>
      </c>
    </row>
    <row r="4134" ht="22.5" customHeight="1">
      <c r="B4134" s="13">
        <f>IFERROR(__xludf.DUMMYFUNCTION("""COMPUTED_VALUE"""),4129.0)</f>
        <v>4129</v>
      </c>
      <c r="C4134" s="13" t="str">
        <f>IFERROR(__xludf.DUMMYFUNCTION("""COMPUTED_VALUE"""),"M. 1844/KALI BALAU KENCANA")</f>
        <v>M. 1844/KALI BALAU KENCANA</v>
      </c>
      <c r="D4134" s="13" t="str">
        <f>IFERROR(__xludf.DUMMYFUNCTION("""COMPUTED_VALUE"""),"K/9/100925/1")</f>
        <v>K/9/100925/1</v>
      </c>
      <c r="E4134" s="14" t="str">
        <f>IFERROR(__xludf.DUMMYFUNCTION("""COMPUTED_VALUE"""),"Heri (BT)")</f>
        <v>Heri (BT)</v>
      </c>
      <c r="F4134" s="14" t="str">
        <f>IFERROR(__xludf.DUMMYFUNCTION("""COMPUTED_VALUE"""),"SELESAI (VIA PERMOHONAN)")</f>
        <v>SELESAI (VIA PERMOHONAN)</v>
      </c>
      <c r="G4134" s="17">
        <f>IFERROR(__xludf.DUMMYFUNCTION("""COMPUTED_VALUE"""),45950.72726425926)</f>
        <v>45950.72726</v>
      </c>
      <c r="H4134" s="14" t="str">
        <f>IFERROR(__xludf.DUMMYFUNCTION("""COMPUTED_VALUE"""),"Aprill (SU)")</f>
        <v>Aprill (SU)</v>
      </c>
      <c r="I4134" s="13" t="str">
        <f>IFERROR(__xludf.DUMMYFUNCTION("""COMPUTED_VALUE"""),"SELESAI (VIA PERMOHONAN)")</f>
        <v>SELESAI (VIA PERMOHONAN)</v>
      </c>
      <c r="J4134" s="17">
        <f>IFERROR(__xludf.DUMMYFUNCTION("""COMPUTED_VALUE"""),45953.70200954861)</f>
        <v>45953.70201</v>
      </c>
      <c r="K4134" s="13" t="str">
        <f>IFERROR(__xludf.DUMMYFUNCTION("""COMPUTED_VALUE"""),"Selesai")</f>
        <v>Selesai</v>
      </c>
      <c r="L4134" s="17">
        <f>IFERROR(__xludf.DUMMYFUNCTION("""COMPUTED_VALUE"""),45953.70200954861)</f>
        <v>45953.70201</v>
      </c>
      <c r="M4134" s="13"/>
      <c r="N4134" s="13" t="str">
        <f>IFERROR(__xludf.DUMMYFUNCTION("""COMPUTED_VALUE"""),"")</f>
        <v/>
      </c>
      <c r="O4134" s="13" t="str">
        <f t="shared" si="1"/>
        <v/>
      </c>
    </row>
    <row r="4135" ht="22.5" customHeight="1">
      <c r="B4135" s="13">
        <f>IFERROR(__xludf.DUMMYFUNCTION("""COMPUTED_VALUE"""),4130.0)</f>
        <v>4130</v>
      </c>
      <c r="C4135" s="13" t="str">
        <f>IFERROR(__xludf.DUMMYFUNCTION("""COMPUTED_VALUE"""),"M 6225/ WAY KANDIS")</f>
        <v>M 6225/ WAY KANDIS</v>
      </c>
      <c r="D4135" s="13" t="str">
        <f>IFERROR(__xludf.DUMMYFUNCTION("""COMPUTED_VALUE"""),"K/46/030925/1")</f>
        <v>K/46/030925/1</v>
      </c>
      <c r="E4135" s="14" t="str">
        <f>IFERROR(__xludf.DUMMYFUNCTION("""COMPUTED_VALUE"""),"Heri (BT)")</f>
        <v>Heri (BT)</v>
      </c>
      <c r="F4135" s="14" t="str">
        <f>IFERROR(__xludf.DUMMYFUNCTION("""COMPUTED_VALUE"""),"SELESAI (VIA PERMOHONAN)")</f>
        <v>SELESAI (VIA PERMOHONAN)</v>
      </c>
      <c r="G4135" s="17">
        <f>IFERROR(__xludf.DUMMYFUNCTION("""COMPUTED_VALUE"""),45950.727395486116)</f>
        <v>45950.7274</v>
      </c>
      <c r="H4135" s="14" t="str">
        <f>IFERROR(__xludf.DUMMYFUNCTION("""COMPUTED_VALUE"""),"Aprill (SU)")</f>
        <v>Aprill (SU)</v>
      </c>
      <c r="I4135" s="13" t="str">
        <f>IFERROR(__xludf.DUMMYFUNCTION("""COMPUTED_VALUE"""),"SELESAI (VIA PERMOHONAN)")</f>
        <v>SELESAI (VIA PERMOHONAN)</v>
      </c>
      <c r="J4135" s="17">
        <f>IFERROR(__xludf.DUMMYFUNCTION("""COMPUTED_VALUE"""),45953.697803738425)</f>
        <v>45953.6978</v>
      </c>
      <c r="K4135" s="13" t="str">
        <f>IFERROR(__xludf.DUMMYFUNCTION("""COMPUTED_VALUE"""),"Selesai")</f>
        <v>Selesai</v>
      </c>
      <c r="L4135" s="17">
        <f>IFERROR(__xludf.DUMMYFUNCTION("""COMPUTED_VALUE"""),45953.697803738425)</f>
        <v>45953.6978</v>
      </c>
      <c r="M4135" s="13"/>
      <c r="N4135" s="13" t="str">
        <f>IFERROR(__xludf.DUMMYFUNCTION("""COMPUTED_VALUE"""),"")</f>
        <v/>
      </c>
      <c r="O4135" s="13" t="str">
        <f t="shared" si="1"/>
        <v/>
      </c>
    </row>
    <row r="4136" ht="22.5" customHeight="1">
      <c r="B4136" s="13">
        <f>IFERROR(__xludf.DUMMYFUNCTION("""COMPUTED_VALUE"""),4131.0)</f>
        <v>4131</v>
      </c>
      <c r="C4136" s="13" t="str">
        <f>IFERROR(__xludf.DUMMYFUNCTION("""COMPUTED_VALUE"""),"B. 2966/BERINGIN RAYA")</f>
        <v>B. 2966/BERINGIN RAYA</v>
      </c>
      <c r="D4136" s="13" t="str">
        <f>IFERROR(__xludf.DUMMYFUNCTION("""COMPUTED_VALUE"""),"L/4/031025/1")</f>
        <v>L/4/031025/1</v>
      </c>
      <c r="E4136" s="14" t="str">
        <f>IFERROR(__xludf.DUMMYFUNCTION("""COMPUTED_VALUE"""),"Heri (BT)")</f>
        <v>Heri (BT)</v>
      </c>
      <c r="F4136" s="14" t="str">
        <f>IFERROR(__xludf.DUMMYFUNCTION("""COMPUTED_VALUE"""),"SELESAI (VIA PERMOHONAN)")</f>
        <v>SELESAI (VIA PERMOHONAN)</v>
      </c>
      <c r="G4136" s="17">
        <f>IFERROR(__xludf.DUMMYFUNCTION("""COMPUTED_VALUE"""),45950.72755877315)</f>
        <v>45950.72756</v>
      </c>
      <c r="H4136" s="14" t="str">
        <f>IFERROR(__xludf.DUMMYFUNCTION("""COMPUTED_VALUE"""),"Aprill (SU)")</f>
        <v>Aprill (SU)</v>
      </c>
      <c r="I4136" s="13" t="str">
        <f>IFERROR(__xludf.DUMMYFUNCTION("""COMPUTED_VALUE"""),"SELESAI (VIA PERMOHONAN)")</f>
        <v>SELESAI (VIA PERMOHONAN)</v>
      </c>
      <c r="J4136" s="17">
        <f>IFERROR(__xludf.DUMMYFUNCTION("""COMPUTED_VALUE"""),45953.70260023148)</f>
        <v>45953.7026</v>
      </c>
      <c r="K4136" s="13" t="str">
        <f>IFERROR(__xludf.DUMMYFUNCTION("""COMPUTED_VALUE"""),"Selesai")</f>
        <v>Selesai</v>
      </c>
      <c r="L4136" s="17">
        <f>IFERROR(__xludf.DUMMYFUNCTION("""COMPUTED_VALUE"""),45953.70260023148)</f>
        <v>45953.7026</v>
      </c>
      <c r="M4136" s="13"/>
      <c r="N4136" s="13" t="str">
        <f>IFERROR(__xludf.DUMMYFUNCTION("""COMPUTED_VALUE"""),"")</f>
        <v/>
      </c>
      <c r="O4136" s="13" t="str">
        <f t="shared" si="1"/>
        <v/>
      </c>
    </row>
    <row r="4137" ht="22.5" customHeight="1">
      <c r="B4137" s="13">
        <f>IFERROR(__xludf.DUMMYFUNCTION("""COMPUTED_VALUE"""),4132.0)</f>
        <v>4132</v>
      </c>
      <c r="C4137" s="13" t="str">
        <f>IFERROR(__xludf.DUMMYFUNCTION("""COMPUTED_VALUE"""),"SHM 3306/GUNUNG TERANG")</f>
        <v>SHM 3306/GUNUNG TERANG</v>
      </c>
      <c r="D4137" s="13" t="str">
        <f>IFERROR(__xludf.DUMMYFUNCTION("""COMPUTED_VALUE"""),"L/32/290925/1")</f>
        <v>L/32/290925/1</v>
      </c>
      <c r="E4137" s="14" t="str">
        <f>IFERROR(__xludf.DUMMYFUNCTION("""COMPUTED_VALUE"""),"Heri (BT)")</f>
        <v>Heri (BT)</v>
      </c>
      <c r="F4137" s="14" t="str">
        <f>IFERROR(__xludf.DUMMYFUNCTION("""COMPUTED_VALUE"""),"SELESAI (VIA PERMOHONAN)")</f>
        <v>SELESAI (VIA PERMOHONAN)</v>
      </c>
      <c r="G4137" s="17">
        <f>IFERROR(__xludf.DUMMYFUNCTION("""COMPUTED_VALUE"""),45950.72769962963)</f>
        <v>45950.7277</v>
      </c>
      <c r="H4137" s="14" t="str">
        <f>IFERROR(__xludf.DUMMYFUNCTION("""COMPUTED_VALUE"""),"Aprill (SU)")</f>
        <v>Aprill (SU)</v>
      </c>
      <c r="I4137" s="13" t="str">
        <f>IFERROR(__xludf.DUMMYFUNCTION("""COMPUTED_VALUE"""),"SELESAI (VIA PERMOHONAN)")</f>
        <v>SELESAI (VIA PERMOHONAN)</v>
      </c>
      <c r="J4137" s="17">
        <f>IFERROR(__xludf.DUMMYFUNCTION("""COMPUTED_VALUE"""),45953.70399840278)</f>
        <v>45953.704</v>
      </c>
      <c r="K4137" s="13" t="str">
        <f>IFERROR(__xludf.DUMMYFUNCTION("""COMPUTED_VALUE"""),"Selesai")</f>
        <v>Selesai</v>
      </c>
      <c r="L4137" s="17">
        <f>IFERROR(__xludf.DUMMYFUNCTION("""COMPUTED_VALUE"""),45953.70399840278)</f>
        <v>45953.704</v>
      </c>
      <c r="M4137" s="13"/>
      <c r="N4137" s="13" t="str">
        <f>IFERROR(__xludf.DUMMYFUNCTION("""COMPUTED_VALUE"""),"")</f>
        <v/>
      </c>
      <c r="O4137" s="13" t="str">
        <f t="shared" si="1"/>
        <v/>
      </c>
    </row>
    <row r="4138" ht="22.5" customHeight="1">
      <c r="B4138" s="13">
        <f>IFERROR(__xludf.DUMMYFUNCTION("""COMPUTED_VALUE"""),4133.0)</f>
        <v>4133</v>
      </c>
      <c r="C4138" s="13" t="str">
        <f>IFERROR(__xludf.DUMMYFUNCTION("""COMPUTED_VALUE"""),"M. 5186/RAJABASA JAYA")</f>
        <v>M. 5186/RAJABASA JAYA</v>
      </c>
      <c r="D4138" s="13" t="str">
        <f>IFERROR(__xludf.DUMMYFUNCTION("""COMPUTED_VALUE"""),"K/6/120925/2")</f>
        <v>K/6/120925/2</v>
      </c>
      <c r="E4138" s="14" t="str">
        <f>IFERROR(__xludf.DUMMYFUNCTION("""COMPUTED_VALUE"""),"Heri (BT)")</f>
        <v>Heri (BT)</v>
      </c>
      <c r="F4138" s="14" t="str">
        <f>IFERROR(__xludf.DUMMYFUNCTION("""COMPUTED_VALUE"""),"SELESAI (VIA PERMOHONAN)")</f>
        <v>SELESAI (VIA PERMOHONAN)</v>
      </c>
      <c r="G4138" s="17">
        <f>IFERROR(__xludf.DUMMYFUNCTION("""COMPUTED_VALUE"""),45950.727839444444)</f>
        <v>45950.72784</v>
      </c>
      <c r="H4138" s="14" t="str">
        <f>IFERROR(__xludf.DUMMYFUNCTION("""COMPUTED_VALUE"""),"Aprill (SU)")</f>
        <v>Aprill (SU)</v>
      </c>
      <c r="I4138" s="13" t="str">
        <f>IFERROR(__xludf.DUMMYFUNCTION("""COMPUTED_VALUE"""),"SELESAI (VIA PERMOHONAN)")</f>
        <v>SELESAI (VIA PERMOHONAN)</v>
      </c>
      <c r="J4138" s="17">
        <f>IFERROR(__xludf.DUMMYFUNCTION("""COMPUTED_VALUE"""),45953.702212662036)</f>
        <v>45953.70221</v>
      </c>
      <c r="K4138" s="13" t="str">
        <f>IFERROR(__xludf.DUMMYFUNCTION("""COMPUTED_VALUE"""),"Selesai")</f>
        <v>Selesai</v>
      </c>
      <c r="L4138" s="17">
        <f>IFERROR(__xludf.DUMMYFUNCTION("""COMPUTED_VALUE"""),45953.702212662036)</f>
        <v>45953.70221</v>
      </c>
      <c r="M4138" s="13"/>
      <c r="N4138" s="13" t="str">
        <f>IFERROR(__xludf.DUMMYFUNCTION("""COMPUTED_VALUE"""),"")</f>
        <v/>
      </c>
      <c r="O4138" s="13" t="str">
        <f t="shared" si="1"/>
        <v/>
      </c>
    </row>
    <row r="4139" ht="22.5" customHeight="1">
      <c r="B4139" s="13">
        <f>IFERROR(__xludf.DUMMYFUNCTION("""COMPUTED_VALUE"""),4134.0)</f>
        <v>4134</v>
      </c>
      <c r="C4139" s="13" t="str">
        <f>IFERROR(__xludf.DUMMYFUNCTION("""COMPUTED_VALUE"""),"M. 5209/WAY KANDIS")</f>
        <v>M. 5209/WAY KANDIS</v>
      </c>
      <c r="D4139" s="13" t="str">
        <f>IFERROR(__xludf.DUMMYFUNCTION("""COMPUTED_VALUE"""),"K/16/190925/1")</f>
        <v>K/16/190925/1</v>
      </c>
      <c r="E4139" s="14" t="str">
        <f>IFERROR(__xludf.DUMMYFUNCTION("""COMPUTED_VALUE"""),"Heri (BT)")</f>
        <v>Heri (BT)</v>
      </c>
      <c r="F4139" s="14" t="str">
        <f>IFERROR(__xludf.DUMMYFUNCTION("""COMPUTED_VALUE"""),"SELESAI (VIA PERMOHONAN)")</f>
        <v>SELESAI (VIA PERMOHONAN)</v>
      </c>
      <c r="G4139" s="17">
        <f>IFERROR(__xludf.DUMMYFUNCTION("""COMPUTED_VALUE"""),45950.72798019676)</f>
        <v>45950.72798</v>
      </c>
      <c r="H4139" s="14" t="str">
        <f>IFERROR(__xludf.DUMMYFUNCTION("""COMPUTED_VALUE"""),"Aprill (SU)")</f>
        <v>Aprill (SU)</v>
      </c>
      <c r="I4139" s="13" t="str">
        <f>IFERROR(__xludf.DUMMYFUNCTION("""COMPUTED_VALUE"""),"SELESAI (VIA PERMOHONAN)")</f>
        <v>SELESAI (VIA PERMOHONAN)</v>
      </c>
      <c r="J4139" s="17">
        <f>IFERROR(__xludf.DUMMYFUNCTION("""COMPUTED_VALUE"""),45953.69932010416)</f>
        <v>45953.69932</v>
      </c>
      <c r="K4139" s="13" t="str">
        <f>IFERROR(__xludf.DUMMYFUNCTION("""COMPUTED_VALUE"""),"Selesai")</f>
        <v>Selesai</v>
      </c>
      <c r="L4139" s="17">
        <f>IFERROR(__xludf.DUMMYFUNCTION("""COMPUTED_VALUE"""),45953.69932010416)</f>
        <v>45953.69932</v>
      </c>
      <c r="M4139" s="13"/>
      <c r="N4139" s="13" t="str">
        <f>IFERROR(__xludf.DUMMYFUNCTION("""COMPUTED_VALUE"""),"")</f>
        <v/>
      </c>
      <c r="O4139" s="13" t="str">
        <f t="shared" si="1"/>
        <v/>
      </c>
    </row>
    <row r="4140" ht="22.5" customHeight="1">
      <c r="B4140" s="13">
        <f>IFERROR(__xludf.DUMMYFUNCTION("""COMPUTED_VALUE"""),4135.0)</f>
        <v>4135</v>
      </c>
      <c r="C4140" s="13" t="str">
        <f>IFERROR(__xludf.DUMMYFUNCTION("""COMPUTED_VALUE"""),"M 1597/ BUMI WARAS")</f>
        <v>M 1597/ BUMI WARAS</v>
      </c>
      <c r="D4140" s="13" t="str">
        <f>IFERROR(__xludf.DUMMYFUNCTION("""COMPUTED_VALUE"""),"K/36/190925/2")</f>
        <v>K/36/190925/2</v>
      </c>
      <c r="E4140" s="14" t="str">
        <f>IFERROR(__xludf.DUMMYFUNCTION("""COMPUTED_VALUE"""),"Afriza (BT)")</f>
        <v>Afriza (BT)</v>
      </c>
      <c r="F4140" s="14" t="str">
        <f>IFERROR(__xludf.DUMMYFUNCTION("""COMPUTED_VALUE"""),"SELESAI (VIA PERMOHONAN)")</f>
        <v>SELESAI (VIA PERMOHONAN)</v>
      </c>
      <c r="G4140" s="17">
        <f>IFERROR(__xludf.DUMMYFUNCTION("""COMPUTED_VALUE"""),45951.62324112268)</f>
        <v>45951.62324</v>
      </c>
      <c r="H4140" s="14"/>
      <c r="I4140" s="13"/>
      <c r="J4140" s="17" t="str">
        <f>IFERROR(__xludf.DUMMYFUNCTION("""COMPUTED_VALUE"""),"")</f>
        <v/>
      </c>
      <c r="K4140" s="13" t="str">
        <f>IFERROR(__xludf.DUMMYFUNCTION("""COMPUTED_VALUE"""),"BT atau SU Belum Valid")</f>
        <v>BT atau SU Belum Valid</v>
      </c>
      <c r="L4140" s="13" t="str">
        <f>IFERROR(__xludf.DUMMYFUNCTION("""COMPUTED_VALUE"""),"")</f>
        <v/>
      </c>
      <c r="M4140" s="13"/>
      <c r="N4140" s="13" t="str">
        <f>IFERROR(__xludf.DUMMYFUNCTION("""COMPUTED_VALUE"""),"")</f>
        <v/>
      </c>
      <c r="O4140" s="13" t="str">
        <f t="shared" si="1"/>
        <v/>
      </c>
    </row>
    <row r="4141" ht="22.5" customHeight="1">
      <c r="B4141" s="13">
        <f>IFERROR(__xludf.DUMMYFUNCTION("""COMPUTED_VALUE"""),4136.0)</f>
        <v>4136</v>
      </c>
      <c r="C4141" s="13" t="str">
        <f>IFERROR(__xludf.DUMMYFUNCTION("""COMPUTED_VALUE"""),"M 399/ PINANG JAYA")</f>
        <v>M 399/ PINANG JAYA</v>
      </c>
      <c r="D4141" s="13" t="str">
        <f>IFERROR(__xludf.DUMMYFUNCTION("""COMPUTED_VALUE"""),"K/21/150925/4")</f>
        <v>K/21/150925/4</v>
      </c>
      <c r="E4141" s="14" t="str">
        <f>IFERROR(__xludf.DUMMYFUNCTION("""COMPUTED_VALUE"""),"Afriza (BT)")</f>
        <v>Afriza (BT)</v>
      </c>
      <c r="F4141" s="14" t="str">
        <f>IFERROR(__xludf.DUMMYFUNCTION("""COMPUTED_VALUE"""),"SELESAI (VIA PERMOHONAN)")</f>
        <v>SELESAI (VIA PERMOHONAN)</v>
      </c>
      <c r="G4141" s="17">
        <f>IFERROR(__xludf.DUMMYFUNCTION("""COMPUTED_VALUE"""),45951.62324112268)</f>
        <v>45951.62324</v>
      </c>
      <c r="H4141" s="14" t="str">
        <f>IFERROR(__xludf.DUMMYFUNCTION("""COMPUTED_VALUE"""),"Aprill (SU)")</f>
        <v>Aprill (SU)</v>
      </c>
      <c r="I4141" s="13" t="str">
        <f>IFERROR(__xludf.DUMMYFUNCTION("""COMPUTED_VALUE"""),"SELESAI (VIA PERMOHONAN)")</f>
        <v>SELESAI (VIA PERMOHONAN)</v>
      </c>
      <c r="J4141" s="17">
        <f>IFERROR(__xludf.DUMMYFUNCTION("""COMPUTED_VALUE"""),45953.69651783565)</f>
        <v>45953.69652</v>
      </c>
      <c r="K4141" s="13" t="str">
        <f>IFERROR(__xludf.DUMMYFUNCTION("""COMPUTED_VALUE"""),"Selesai")</f>
        <v>Selesai</v>
      </c>
      <c r="L4141" s="17">
        <f>IFERROR(__xludf.DUMMYFUNCTION("""COMPUTED_VALUE"""),45953.69651783565)</f>
        <v>45953.69652</v>
      </c>
      <c r="M4141" s="13"/>
      <c r="N4141" s="13" t="str">
        <f>IFERROR(__xludf.DUMMYFUNCTION("""COMPUTED_VALUE"""),"")</f>
        <v/>
      </c>
      <c r="O4141" s="13" t="str">
        <f t="shared" si="1"/>
        <v/>
      </c>
    </row>
    <row r="4142" ht="22.5" customHeight="1">
      <c r="B4142" s="13">
        <f>IFERROR(__xludf.DUMMYFUNCTION("""COMPUTED_VALUE"""),4137.0)</f>
        <v>4137</v>
      </c>
      <c r="C4142" s="13" t="str">
        <f>IFERROR(__xludf.DUMMYFUNCTION("""COMPUTED_VALUE"""),"M 9663/ SEGALA MIDER")</f>
        <v>M 9663/ SEGALA MIDER</v>
      </c>
      <c r="D4142" s="13" t="str">
        <f>IFERROR(__xludf.DUMMYFUNCTION("""COMPUTED_VALUE"""),"K/42/270825/1")</f>
        <v>K/42/270825/1</v>
      </c>
      <c r="E4142" s="14" t="str">
        <f>IFERROR(__xludf.DUMMYFUNCTION("""COMPUTED_VALUE"""),"Afriza (BT)")</f>
        <v>Afriza (BT)</v>
      </c>
      <c r="F4142" s="14" t="str">
        <f>IFERROR(__xludf.DUMMYFUNCTION("""COMPUTED_VALUE"""),"SELESAI (VIA PERMOHONAN)")</f>
        <v>SELESAI (VIA PERMOHONAN)</v>
      </c>
      <c r="G4142" s="17">
        <f>IFERROR(__xludf.DUMMYFUNCTION("""COMPUTED_VALUE"""),45951.62324112268)</f>
        <v>45951.62324</v>
      </c>
      <c r="H4142" s="14" t="str">
        <f>IFERROR(__xludf.DUMMYFUNCTION("""COMPUTED_VALUE"""),"Aprill (SU)")</f>
        <v>Aprill (SU)</v>
      </c>
      <c r="I4142" s="13" t="str">
        <f>IFERROR(__xludf.DUMMYFUNCTION("""COMPUTED_VALUE"""),"SELESAI (VIA PERMOHONAN)")</f>
        <v>SELESAI (VIA PERMOHONAN)</v>
      </c>
      <c r="J4142" s="17">
        <f>IFERROR(__xludf.DUMMYFUNCTION("""COMPUTED_VALUE"""),45953.69756321759)</f>
        <v>45953.69756</v>
      </c>
      <c r="K4142" s="13" t="str">
        <f>IFERROR(__xludf.DUMMYFUNCTION("""COMPUTED_VALUE"""),"Selesai")</f>
        <v>Selesai</v>
      </c>
      <c r="L4142" s="17">
        <f>IFERROR(__xludf.DUMMYFUNCTION("""COMPUTED_VALUE"""),45953.69756321759)</f>
        <v>45953.69756</v>
      </c>
      <c r="M4142" s="13"/>
      <c r="N4142" s="13" t="str">
        <f>IFERROR(__xludf.DUMMYFUNCTION("""COMPUTED_VALUE"""),"")</f>
        <v/>
      </c>
      <c r="O4142" s="13" t="str">
        <f t="shared" si="1"/>
        <v/>
      </c>
    </row>
    <row r="4143" ht="22.5" customHeight="1">
      <c r="B4143" s="13">
        <f>IFERROR(__xludf.DUMMYFUNCTION("""COMPUTED_VALUE"""),4138.0)</f>
        <v>4138</v>
      </c>
      <c r="C4143" s="13" t="str">
        <f>IFERROR(__xludf.DUMMYFUNCTION("""COMPUTED_VALUE"""),"M. 247/KANGKUNG")</f>
        <v>M. 247/KANGKUNG</v>
      </c>
      <c r="D4143" s="13" t="str">
        <f>IFERROR(__xludf.DUMMYFUNCTION("""COMPUTED_VALUE"""),"K/13/180925/1")</f>
        <v>K/13/180925/1</v>
      </c>
      <c r="E4143" s="14" t="str">
        <f>IFERROR(__xludf.DUMMYFUNCTION("""COMPUTED_VALUE"""),"Afriza (BT)")</f>
        <v>Afriza (BT)</v>
      </c>
      <c r="F4143" s="14" t="str">
        <f>IFERROR(__xludf.DUMMYFUNCTION("""COMPUTED_VALUE"""),"SELESAI (VIA PERMOHONAN)")</f>
        <v>SELESAI (VIA PERMOHONAN)</v>
      </c>
      <c r="G4143" s="17">
        <f>IFERROR(__xludf.DUMMYFUNCTION("""COMPUTED_VALUE"""),45951.62324112268)</f>
        <v>45951.62324</v>
      </c>
      <c r="H4143" s="14" t="str">
        <f>IFERROR(__xludf.DUMMYFUNCTION("""COMPUTED_VALUE"""),"Aprill (SU)")</f>
        <v>Aprill (SU)</v>
      </c>
      <c r="I4143" s="13" t="str">
        <f>IFERROR(__xludf.DUMMYFUNCTION("""COMPUTED_VALUE"""),"SELESAI (VIA PERMOHONAN)")</f>
        <v>SELESAI (VIA PERMOHONAN)</v>
      </c>
      <c r="J4143" s="17">
        <f>IFERROR(__xludf.DUMMYFUNCTION("""COMPUTED_VALUE"""),45953.700999837965)</f>
        <v>45953.701</v>
      </c>
      <c r="K4143" s="13" t="str">
        <f>IFERROR(__xludf.DUMMYFUNCTION("""COMPUTED_VALUE"""),"Selesai")</f>
        <v>Selesai</v>
      </c>
      <c r="L4143" s="17">
        <f>IFERROR(__xludf.DUMMYFUNCTION("""COMPUTED_VALUE"""),45953.700999837965)</f>
        <v>45953.701</v>
      </c>
      <c r="M4143" s="13"/>
      <c r="N4143" s="13" t="str">
        <f>IFERROR(__xludf.DUMMYFUNCTION("""COMPUTED_VALUE"""),"")</f>
        <v/>
      </c>
      <c r="O4143" s="13" t="str">
        <f t="shared" si="1"/>
        <v/>
      </c>
    </row>
    <row r="4144" ht="22.5" customHeight="1">
      <c r="B4144" s="13">
        <f>IFERROR(__xludf.DUMMYFUNCTION("""COMPUTED_VALUE"""),4139.0)</f>
        <v>4139</v>
      </c>
      <c r="C4144" s="13" t="str">
        <f>IFERROR(__xludf.DUMMYFUNCTION("""COMPUTED_VALUE"""),"B. 903/CAMPANG RAYA")</f>
        <v>B. 903/CAMPANG RAYA</v>
      </c>
      <c r="D4144" s="13" t="str">
        <f>IFERROR(__xludf.DUMMYFUNCTION("""COMPUTED_VALUE"""),"K/3/031025/1")</f>
        <v>K/3/031025/1</v>
      </c>
      <c r="E4144" s="14" t="str">
        <f>IFERROR(__xludf.DUMMYFUNCTION("""COMPUTED_VALUE"""),"Afriza (BT)")</f>
        <v>Afriza (BT)</v>
      </c>
      <c r="F4144" s="14" t="str">
        <f>IFERROR(__xludf.DUMMYFUNCTION("""COMPUTED_VALUE"""),"SELESAI (VIA PERMOHONAN)")</f>
        <v>SELESAI (VIA PERMOHONAN)</v>
      </c>
      <c r="G4144" s="17">
        <f>IFERROR(__xludf.DUMMYFUNCTION("""COMPUTED_VALUE"""),45951.62324112268)</f>
        <v>45951.62324</v>
      </c>
      <c r="H4144" s="14" t="str">
        <f>IFERROR(__xludf.DUMMYFUNCTION("""COMPUTED_VALUE"""),"Aprill (SU)")</f>
        <v>Aprill (SU)</v>
      </c>
      <c r="I4144" s="13" t="str">
        <f>IFERROR(__xludf.DUMMYFUNCTION("""COMPUTED_VALUE"""),"SELESAI (VIA PERMOHONAN)")</f>
        <v>SELESAI (VIA PERMOHONAN)</v>
      </c>
      <c r="J4144" s="17">
        <f>IFERROR(__xludf.DUMMYFUNCTION("""COMPUTED_VALUE"""),45953.700306134255)</f>
        <v>45953.70031</v>
      </c>
      <c r="K4144" s="13" t="str">
        <f>IFERROR(__xludf.DUMMYFUNCTION("""COMPUTED_VALUE"""),"Selesai")</f>
        <v>Selesai</v>
      </c>
      <c r="L4144" s="17">
        <f>IFERROR(__xludf.DUMMYFUNCTION("""COMPUTED_VALUE"""),45953.700306134255)</f>
        <v>45953.70031</v>
      </c>
      <c r="M4144" s="13"/>
      <c r="N4144" s="13" t="str">
        <f>IFERROR(__xludf.DUMMYFUNCTION("""COMPUTED_VALUE"""),"")</f>
        <v/>
      </c>
      <c r="O4144" s="13" t="str">
        <f t="shared" si="1"/>
        <v/>
      </c>
    </row>
    <row r="4145" ht="22.5" customHeight="1">
      <c r="B4145" s="13">
        <f>IFERROR(__xludf.DUMMYFUNCTION("""COMPUTED_VALUE"""),4140.0)</f>
        <v>4140</v>
      </c>
      <c r="C4145" s="13" t="str">
        <f>IFERROR(__xludf.DUMMYFUNCTION("""COMPUTED_VALUE"""),"B. 5052/SUKABUMI")</f>
        <v>B. 5052/SUKABUMI</v>
      </c>
      <c r="D4145" s="13" t="str">
        <f>IFERROR(__xludf.DUMMYFUNCTION("""COMPUTED_VALUE"""),"K/6/180925/1")</f>
        <v>K/6/180925/1</v>
      </c>
      <c r="E4145" s="14" t="str">
        <f>IFERROR(__xludf.DUMMYFUNCTION("""COMPUTED_VALUE"""),"Afriza (BT)")</f>
        <v>Afriza (BT)</v>
      </c>
      <c r="F4145" s="14" t="str">
        <f>IFERROR(__xludf.DUMMYFUNCTION("""COMPUTED_VALUE"""),"SELESAI (VIA PERMOHONAN)")</f>
        <v>SELESAI (VIA PERMOHONAN)</v>
      </c>
      <c r="G4145" s="17">
        <f>IFERROR(__xludf.DUMMYFUNCTION("""COMPUTED_VALUE"""),45951.62324112268)</f>
        <v>45951.62324</v>
      </c>
      <c r="H4145" s="14" t="str">
        <f>IFERROR(__xludf.DUMMYFUNCTION("""COMPUTED_VALUE"""),"Aprill (SU)")</f>
        <v>Aprill (SU)</v>
      </c>
      <c r="I4145" s="13" t="str">
        <f>IFERROR(__xludf.DUMMYFUNCTION("""COMPUTED_VALUE"""),"SELESAI (VIA PERMOHONAN)")</f>
        <v>SELESAI (VIA PERMOHONAN)</v>
      </c>
      <c r="J4145" s="17">
        <f>IFERROR(__xludf.DUMMYFUNCTION("""COMPUTED_VALUE"""),45953.70120982639)</f>
        <v>45953.70121</v>
      </c>
      <c r="K4145" s="13" t="str">
        <f>IFERROR(__xludf.DUMMYFUNCTION("""COMPUTED_VALUE"""),"Selesai")</f>
        <v>Selesai</v>
      </c>
      <c r="L4145" s="17">
        <f>IFERROR(__xludf.DUMMYFUNCTION("""COMPUTED_VALUE"""),45953.70120982639)</f>
        <v>45953.70121</v>
      </c>
      <c r="M4145" s="13"/>
      <c r="N4145" s="13" t="str">
        <f>IFERROR(__xludf.DUMMYFUNCTION("""COMPUTED_VALUE"""),"")</f>
        <v/>
      </c>
      <c r="O4145" s="13" t="str">
        <f t="shared" si="1"/>
        <v/>
      </c>
    </row>
    <row r="4146" ht="22.5" customHeight="1">
      <c r="B4146" s="13">
        <f>IFERROR(__xludf.DUMMYFUNCTION("""COMPUTED_VALUE"""),4141.0)</f>
        <v>4141</v>
      </c>
      <c r="C4146" s="13" t="str">
        <f>IFERROR(__xludf.DUMMYFUNCTION("""COMPUTED_VALUE"""),"M 2514/ PINANG JAYA")</f>
        <v>M 2514/ PINANG JAYA</v>
      </c>
      <c r="D4146" s="13" t="str">
        <f>IFERROR(__xludf.DUMMYFUNCTION("""COMPUTED_VALUE"""),"K/10/220925/2")</f>
        <v>K/10/220925/2</v>
      </c>
      <c r="E4146" s="14" t="str">
        <f>IFERROR(__xludf.DUMMYFUNCTION("""COMPUTED_VALUE"""),"Afriza (BT)")</f>
        <v>Afriza (BT)</v>
      </c>
      <c r="F4146" s="14" t="str">
        <f>IFERROR(__xludf.DUMMYFUNCTION("""COMPUTED_VALUE"""),"SELESAI (VIA PERMOHONAN)")</f>
        <v>SELESAI (VIA PERMOHONAN)</v>
      </c>
      <c r="G4146" s="17">
        <f>IFERROR(__xludf.DUMMYFUNCTION("""COMPUTED_VALUE"""),45951.62324112268)</f>
        <v>45951.62324</v>
      </c>
      <c r="H4146" s="14" t="str">
        <f>IFERROR(__xludf.DUMMYFUNCTION("""COMPUTED_VALUE"""),"Aprill (SU)")</f>
        <v>Aprill (SU)</v>
      </c>
      <c r="I4146" s="13" t="str">
        <f>IFERROR(__xludf.DUMMYFUNCTION("""COMPUTED_VALUE"""),"SELESAI (VIA PERMOHONAN)")</f>
        <v>SELESAI (VIA PERMOHONAN)</v>
      </c>
      <c r="J4146" s="17">
        <f>IFERROR(__xludf.DUMMYFUNCTION("""COMPUTED_VALUE"""),45953.697993912036)</f>
        <v>45953.69799</v>
      </c>
      <c r="K4146" s="13" t="str">
        <f>IFERROR(__xludf.DUMMYFUNCTION("""COMPUTED_VALUE"""),"Selesai")</f>
        <v>Selesai</v>
      </c>
      <c r="L4146" s="17">
        <f>IFERROR(__xludf.DUMMYFUNCTION("""COMPUTED_VALUE"""),45953.697993912036)</f>
        <v>45953.69799</v>
      </c>
      <c r="M4146" s="13"/>
      <c r="N4146" s="13" t="str">
        <f>IFERROR(__xludf.DUMMYFUNCTION("""COMPUTED_VALUE"""),"")</f>
        <v/>
      </c>
      <c r="O4146" s="13" t="str">
        <f t="shared" si="1"/>
        <v/>
      </c>
    </row>
    <row r="4147" ht="22.5" customHeight="1">
      <c r="B4147" s="13">
        <f>IFERROR(__xludf.DUMMYFUNCTION("""COMPUTED_VALUE"""),4142.0)</f>
        <v>4142</v>
      </c>
      <c r="C4147" s="13" t="str">
        <f>IFERROR(__xludf.DUMMYFUNCTION("""COMPUTED_VALUE"""),"M. 6816/ TANJUNG SENANG")</f>
        <v>M. 6816/ TANJUNG SENANG</v>
      </c>
      <c r="D4147" s="13" t="str">
        <f>IFERROR(__xludf.DUMMYFUNCTION("""COMPUTED_VALUE"""),"K/2/200825/1")</f>
        <v>K/2/200825/1</v>
      </c>
      <c r="E4147" s="14" t="str">
        <f>IFERROR(__xludf.DUMMYFUNCTION("""COMPUTED_VALUE"""),"Afriza (BT)")</f>
        <v>Afriza (BT)</v>
      </c>
      <c r="F4147" s="14" t="str">
        <f>IFERROR(__xludf.DUMMYFUNCTION("""COMPUTED_VALUE"""),"SELESAI (VIA PERMOHONAN)")</f>
        <v>SELESAI (VIA PERMOHONAN)</v>
      </c>
      <c r="G4147" s="17">
        <f>IFERROR(__xludf.DUMMYFUNCTION("""COMPUTED_VALUE"""),45951.62324112268)</f>
        <v>45951.62324</v>
      </c>
      <c r="H4147" s="14" t="str">
        <f>IFERROR(__xludf.DUMMYFUNCTION("""COMPUTED_VALUE"""),"Aprill (SU)")</f>
        <v>Aprill (SU)</v>
      </c>
      <c r="I4147" s="13" t="str">
        <f>IFERROR(__xludf.DUMMYFUNCTION("""COMPUTED_VALUE"""),"SELESAI (VIA PERMOHONAN)")</f>
        <v>SELESAI (VIA PERMOHONAN)</v>
      </c>
      <c r="J4147" s="17">
        <f>IFERROR(__xludf.DUMMYFUNCTION("""COMPUTED_VALUE"""),45958.59493071759)</f>
        <v>45958.59493</v>
      </c>
      <c r="K4147" s="13" t="str">
        <f>IFERROR(__xludf.DUMMYFUNCTION("""COMPUTED_VALUE"""),"Selesai")</f>
        <v>Selesai</v>
      </c>
      <c r="L4147" s="17">
        <f>IFERROR(__xludf.DUMMYFUNCTION("""COMPUTED_VALUE"""),45958.59493071759)</f>
        <v>45958.59493</v>
      </c>
      <c r="M4147" s="13"/>
      <c r="N4147" s="13" t="str">
        <f>IFERROR(__xludf.DUMMYFUNCTION("""COMPUTED_VALUE"""),"")</f>
        <v/>
      </c>
      <c r="O4147" s="13" t="str">
        <f t="shared" si="1"/>
        <v/>
      </c>
    </row>
    <row r="4148" ht="22.5" customHeight="1">
      <c r="B4148" s="13">
        <f>IFERROR(__xludf.DUMMYFUNCTION("""COMPUTED_VALUE"""),4143.0)</f>
        <v>4143</v>
      </c>
      <c r="C4148" s="13" t="str">
        <f>IFERROR(__xludf.DUMMYFUNCTION("""COMPUTED_VALUE"""),"M 670/ WAY LAGA")</f>
        <v>M 670/ WAY LAGA</v>
      </c>
      <c r="D4148" s="13" t="str">
        <f>IFERROR(__xludf.DUMMYFUNCTION("""COMPUTED_VALUE"""),"K/43/230925/5")</f>
        <v>K/43/230925/5</v>
      </c>
      <c r="E4148" s="14" t="str">
        <f>IFERROR(__xludf.DUMMYFUNCTION("""COMPUTED_VALUE"""),"Afriza (BT)")</f>
        <v>Afriza (BT)</v>
      </c>
      <c r="F4148" s="14" t="str">
        <f>IFERROR(__xludf.DUMMYFUNCTION("""COMPUTED_VALUE"""),"SELESAI (VIA PERMOHONAN)")</f>
        <v>SELESAI (VIA PERMOHONAN)</v>
      </c>
      <c r="G4148" s="17">
        <f>IFERROR(__xludf.DUMMYFUNCTION("""COMPUTED_VALUE"""),45951.62324112268)</f>
        <v>45951.62324</v>
      </c>
      <c r="H4148" s="14" t="str">
        <f>IFERROR(__xludf.DUMMYFUNCTION("""COMPUTED_VALUE"""),"Aprill (SU)")</f>
        <v>Aprill (SU)</v>
      </c>
      <c r="I4148" s="13" t="str">
        <f>IFERROR(__xludf.DUMMYFUNCTION("""COMPUTED_VALUE"""),"SELESAI (VIA PERMOHONAN)")</f>
        <v>SELESAI (VIA PERMOHONAN)</v>
      </c>
      <c r="J4148" s="17">
        <f>IFERROR(__xludf.DUMMYFUNCTION("""COMPUTED_VALUE"""),45958.46332228009)</f>
        <v>45958.46332</v>
      </c>
      <c r="K4148" s="13" t="str">
        <f>IFERROR(__xludf.DUMMYFUNCTION("""COMPUTED_VALUE"""),"Selesai")</f>
        <v>Selesai</v>
      </c>
      <c r="L4148" s="17">
        <f>IFERROR(__xludf.DUMMYFUNCTION("""COMPUTED_VALUE"""),45958.46332228009)</f>
        <v>45958.46332</v>
      </c>
      <c r="M4148" s="13"/>
      <c r="N4148" s="13" t="str">
        <f>IFERROR(__xludf.DUMMYFUNCTION("""COMPUTED_VALUE"""),"")</f>
        <v/>
      </c>
      <c r="O4148" s="13" t="str">
        <f t="shared" si="1"/>
        <v/>
      </c>
    </row>
    <row r="4149" ht="22.5" customHeight="1">
      <c r="B4149" s="13">
        <f>IFERROR(__xludf.DUMMYFUNCTION("""COMPUTED_VALUE"""),4144.0)</f>
        <v>4144</v>
      </c>
      <c r="C4149" s="13" t="str">
        <f>IFERROR(__xludf.DUMMYFUNCTION("""COMPUTED_VALUE"""),"M 4359/ RAJABASA JAYA")</f>
        <v>M 4359/ RAJABASA JAYA</v>
      </c>
      <c r="D4149" s="13" t="str">
        <f>IFERROR(__xludf.DUMMYFUNCTION("""COMPUTED_VALUE"""),"K/1/180925/1")</f>
        <v>K/1/180925/1</v>
      </c>
      <c r="E4149" s="14" t="str">
        <f>IFERROR(__xludf.DUMMYFUNCTION("""COMPUTED_VALUE"""),"Afriza (BT)")</f>
        <v>Afriza (BT)</v>
      </c>
      <c r="F4149" s="14" t="str">
        <f>IFERROR(__xludf.DUMMYFUNCTION("""COMPUTED_VALUE"""),"SELESAI (VIA PERMOHONAN)")</f>
        <v>SELESAI (VIA PERMOHONAN)</v>
      </c>
      <c r="G4149" s="17">
        <f>IFERROR(__xludf.DUMMYFUNCTION("""COMPUTED_VALUE"""),45951.62324112268)</f>
        <v>45951.62324</v>
      </c>
      <c r="H4149" s="14" t="str">
        <f>IFERROR(__xludf.DUMMYFUNCTION("""COMPUTED_VALUE"""),"Aprill (SU)")</f>
        <v>Aprill (SU)</v>
      </c>
      <c r="I4149" s="13" t="str">
        <f>IFERROR(__xludf.DUMMYFUNCTION("""COMPUTED_VALUE"""),"SELESAI (VIA PERMOHONAN)")</f>
        <v>SELESAI (VIA PERMOHONAN)</v>
      </c>
      <c r="J4149" s="17">
        <f>IFERROR(__xludf.DUMMYFUNCTION("""COMPUTED_VALUE"""),45953.69836826389)</f>
        <v>45953.69837</v>
      </c>
      <c r="K4149" s="13" t="str">
        <f>IFERROR(__xludf.DUMMYFUNCTION("""COMPUTED_VALUE"""),"Selesai")</f>
        <v>Selesai</v>
      </c>
      <c r="L4149" s="17">
        <f>IFERROR(__xludf.DUMMYFUNCTION("""COMPUTED_VALUE"""),45953.69836826389)</f>
        <v>45953.69837</v>
      </c>
      <c r="M4149" s="13"/>
      <c r="N4149" s="13" t="str">
        <f>IFERROR(__xludf.DUMMYFUNCTION("""COMPUTED_VALUE"""),"")</f>
        <v/>
      </c>
      <c r="O4149" s="13" t="str">
        <f t="shared" si="1"/>
        <v/>
      </c>
    </row>
    <row r="4150" ht="22.5" customHeight="1">
      <c r="B4150" s="13">
        <f>IFERROR(__xludf.DUMMYFUNCTION("""COMPUTED_VALUE"""),4145.0)</f>
        <v>4145</v>
      </c>
      <c r="C4150" s="13" t="str">
        <f>IFERROR(__xludf.DUMMYFUNCTION("""COMPUTED_VALUE"""),"M 19386/ SUKARAME")</f>
        <v>M 19386/ SUKARAME</v>
      </c>
      <c r="D4150" s="13" t="str">
        <f>IFERROR(__xludf.DUMMYFUNCTION("""COMPUTED_VALUE"""),"K/5/230925/1")</f>
        <v>K/5/230925/1</v>
      </c>
      <c r="E4150" s="14" t="str">
        <f>IFERROR(__xludf.DUMMYFUNCTION("""COMPUTED_VALUE"""),"Afriza (BT)")</f>
        <v>Afriza (BT)</v>
      </c>
      <c r="F4150" s="14" t="str">
        <f>IFERROR(__xludf.DUMMYFUNCTION("""COMPUTED_VALUE"""),"SELESAI (VIA PERMOHONAN)")</f>
        <v>SELESAI (VIA PERMOHONAN)</v>
      </c>
      <c r="G4150" s="17">
        <f>IFERROR(__xludf.DUMMYFUNCTION("""COMPUTED_VALUE"""),45951.62324112268)</f>
        <v>45951.62324</v>
      </c>
      <c r="H4150" s="14" t="str">
        <f>IFERROR(__xludf.DUMMYFUNCTION("""COMPUTED_VALUE"""),"Aprill (SU)")</f>
        <v>Aprill (SU)</v>
      </c>
      <c r="I4150" s="13" t="str">
        <f>IFERROR(__xludf.DUMMYFUNCTION("""COMPUTED_VALUE"""),"SELESAI (VIA PERMOHONAN)")</f>
        <v>SELESAI (VIA PERMOHONAN)</v>
      </c>
      <c r="J4150" s="17">
        <f>IFERROR(__xludf.DUMMYFUNCTION("""COMPUTED_VALUE"""),45953.6981562037)</f>
        <v>45953.69816</v>
      </c>
      <c r="K4150" s="13" t="str">
        <f>IFERROR(__xludf.DUMMYFUNCTION("""COMPUTED_VALUE"""),"Selesai")</f>
        <v>Selesai</v>
      </c>
      <c r="L4150" s="17">
        <f>IFERROR(__xludf.DUMMYFUNCTION("""COMPUTED_VALUE"""),45953.6981562037)</f>
        <v>45953.69816</v>
      </c>
      <c r="M4150" s="13"/>
      <c r="N4150" s="13" t="str">
        <f>IFERROR(__xludf.DUMMYFUNCTION("""COMPUTED_VALUE"""),"")</f>
        <v/>
      </c>
      <c r="O4150" s="13" t="str">
        <f t="shared" si="1"/>
        <v/>
      </c>
    </row>
    <row r="4151" ht="22.5" customHeight="1">
      <c r="B4151" s="13">
        <f>IFERROR(__xludf.DUMMYFUNCTION("""COMPUTED_VALUE"""),4146.0)</f>
        <v>4146</v>
      </c>
      <c r="C4151" s="13" t="str">
        <f>IFERROR(__xludf.DUMMYFUNCTION("""COMPUTED_VALUE"""),"M. 972/Beringin Jaya")</f>
        <v>M. 972/Beringin Jaya</v>
      </c>
      <c r="D4151" s="13" t="str">
        <f>IFERROR(__xludf.DUMMYFUNCTION("""COMPUTED_VALUE"""),"K/30/270825/1")</f>
        <v>K/30/270825/1</v>
      </c>
      <c r="E4151" s="14" t="str">
        <f>IFERROR(__xludf.DUMMYFUNCTION("""COMPUTED_VALUE"""),"Admin (Migrasi)")</f>
        <v>Admin (Migrasi)</v>
      </c>
      <c r="F4151" s="14" t="str">
        <f>IFERROR(__xludf.DUMMYFUNCTION("""COMPUTED_VALUE"""),"SELESAI (VIA PERMOHONAN)")</f>
        <v>SELESAI (VIA PERMOHONAN)</v>
      </c>
      <c r="G4151" s="17">
        <f>IFERROR(__xludf.DUMMYFUNCTION("""COMPUTED_VALUE"""),45951.65297834491)</f>
        <v>45951.65298</v>
      </c>
      <c r="H4151" s="14" t="str">
        <f>IFERROR(__xludf.DUMMYFUNCTION("""COMPUTED_VALUE"""),"Admin (Migrasi)")</f>
        <v>Admin (Migrasi)</v>
      </c>
      <c r="I4151" s="13" t="str">
        <f>IFERROR(__xludf.DUMMYFUNCTION("""COMPUTED_VALUE"""),"SELESAI (VIA PERMOHONAN)")</f>
        <v>SELESAI (VIA PERMOHONAN)</v>
      </c>
      <c r="J4151" s="17">
        <f>IFERROR(__xludf.DUMMYFUNCTION("""COMPUTED_VALUE"""),45951.65302511574)</f>
        <v>45951.65303</v>
      </c>
      <c r="K4151" s="13" t="str">
        <f>IFERROR(__xludf.DUMMYFUNCTION("""COMPUTED_VALUE"""),"Selesai")</f>
        <v>Selesai</v>
      </c>
      <c r="L4151" s="17">
        <f>IFERROR(__xludf.DUMMYFUNCTION("""COMPUTED_VALUE"""),45951.65302511574)</f>
        <v>45951.65303</v>
      </c>
      <c r="M4151" s="13"/>
      <c r="N4151" s="13" t="str">
        <f>IFERROR(__xludf.DUMMYFUNCTION("""COMPUTED_VALUE"""),"")</f>
        <v/>
      </c>
      <c r="O4151" s="13" t="str">
        <f t="shared" si="1"/>
        <v/>
      </c>
    </row>
    <row r="4152" ht="22.5" customHeight="1">
      <c r="B4152" s="13">
        <f>IFERROR(__xludf.DUMMYFUNCTION("""COMPUTED_VALUE"""),4147.0)</f>
        <v>4147</v>
      </c>
      <c r="C4152" s="13" t="str">
        <f>IFERROR(__xludf.DUMMYFUNCTION("""COMPUTED_VALUE"""),"Nibel 1777/Sukabumi Indah	")</f>
        <v>Nibel 1777/Sukabumi Indah	</v>
      </c>
      <c r="D4152" s="13" t="str">
        <f>IFERROR(__xludf.DUMMYFUNCTION("""COMPUTED_VALUE"""),"K/7/010925/2")</f>
        <v>K/7/010925/2</v>
      </c>
      <c r="E4152" s="14" t="str">
        <f>IFERROR(__xludf.DUMMYFUNCTION("""COMPUTED_VALUE"""),"Admin (Migrasi)")</f>
        <v>Admin (Migrasi)</v>
      </c>
      <c r="F4152" s="14" t="str">
        <f>IFERROR(__xludf.DUMMYFUNCTION("""COMPUTED_VALUE"""),"SELESAI (VIA PERMOHONAN)")</f>
        <v>SELESAI (VIA PERMOHONAN)</v>
      </c>
      <c r="G4152" s="17">
        <f>IFERROR(__xludf.DUMMYFUNCTION("""COMPUTED_VALUE"""),45951.65368634259)</f>
        <v>45951.65369</v>
      </c>
      <c r="H4152" s="14" t="str">
        <f>IFERROR(__xludf.DUMMYFUNCTION("""COMPUTED_VALUE"""),"Admin (Migrasi)")</f>
        <v>Admin (Migrasi)</v>
      </c>
      <c r="I4152" s="13" t="str">
        <f>IFERROR(__xludf.DUMMYFUNCTION("""COMPUTED_VALUE"""),"SELESAI (VIA PERMOHONAN)")</f>
        <v>SELESAI (VIA PERMOHONAN)</v>
      </c>
      <c r="J4152" s="17">
        <f>IFERROR(__xludf.DUMMYFUNCTION("""COMPUTED_VALUE"""),45951.653733935185)</f>
        <v>45951.65373</v>
      </c>
      <c r="K4152" s="13" t="str">
        <f>IFERROR(__xludf.DUMMYFUNCTION("""COMPUTED_VALUE"""),"Selesai")</f>
        <v>Selesai</v>
      </c>
      <c r="L4152" s="17">
        <f>IFERROR(__xludf.DUMMYFUNCTION("""COMPUTED_VALUE"""),45951.653733935185)</f>
        <v>45951.65373</v>
      </c>
      <c r="M4152" s="13"/>
      <c r="N4152" s="13" t="str">
        <f>IFERROR(__xludf.DUMMYFUNCTION("""COMPUTED_VALUE"""),"")</f>
        <v/>
      </c>
      <c r="O4152" s="13" t="str">
        <f t="shared" si="1"/>
        <v/>
      </c>
    </row>
    <row r="4153" ht="22.5" customHeight="1">
      <c r="B4153" s="13">
        <f>IFERROR(__xludf.DUMMYFUNCTION("""COMPUTED_VALUE"""),4148.0)</f>
        <v>4148</v>
      </c>
      <c r="C4153" s="13" t="str">
        <f>IFERROR(__xludf.DUMMYFUNCTION("""COMPUTED_VALUE"""),"M. 5950/Way Kandis	")</f>
        <v>M. 5950/Way Kandis	</v>
      </c>
      <c r="D4153" s="13" t="str">
        <f>IFERROR(__xludf.DUMMYFUNCTION("""COMPUTED_VALUE"""),"K/39/280825/2")</f>
        <v>K/39/280825/2</v>
      </c>
      <c r="E4153" s="14" t="str">
        <f>IFERROR(__xludf.DUMMYFUNCTION("""COMPUTED_VALUE"""),"Admin (Migrasi)")</f>
        <v>Admin (Migrasi)</v>
      </c>
      <c r="F4153" s="14" t="str">
        <f>IFERROR(__xludf.DUMMYFUNCTION("""COMPUTED_VALUE"""),"SELESAI (VIA PERMOHONAN)")</f>
        <v>SELESAI (VIA PERMOHONAN)</v>
      </c>
      <c r="G4153" s="17">
        <f>IFERROR(__xludf.DUMMYFUNCTION("""COMPUTED_VALUE"""),45951.653931782406)</f>
        <v>45951.65393</v>
      </c>
      <c r="H4153" s="14" t="str">
        <f>IFERROR(__xludf.DUMMYFUNCTION("""COMPUTED_VALUE"""),"Admin (Migrasi)")</f>
        <v>Admin (Migrasi)</v>
      </c>
      <c r="I4153" s="13" t="str">
        <f>IFERROR(__xludf.DUMMYFUNCTION("""COMPUTED_VALUE"""),"SELESAI (VIA PERMOHONAN)")</f>
        <v>SELESAI (VIA PERMOHONAN)</v>
      </c>
      <c r="J4153" s="17">
        <f>IFERROR(__xludf.DUMMYFUNCTION("""COMPUTED_VALUE"""),45951.653962638884)</f>
        <v>45951.65396</v>
      </c>
      <c r="K4153" s="13" t="str">
        <f>IFERROR(__xludf.DUMMYFUNCTION("""COMPUTED_VALUE"""),"Selesai")</f>
        <v>Selesai</v>
      </c>
      <c r="L4153" s="17">
        <f>IFERROR(__xludf.DUMMYFUNCTION("""COMPUTED_VALUE"""),45951.653962638884)</f>
        <v>45951.65396</v>
      </c>
      <c r="M4153" s="13"/>
      <c r="N4153" s="13" t="str">
        <f>IFERROR(__xludf.DUMMYFUNCTION("""COMPUTED_VALUE"""),"")</f>
        <v/>
      </c>
      <c r="O4153" s="13" t="str">
        <f t="shared" si="1"/>
        <v/>
      </c>
    </row>
    <row r="4154" ht="22.5" customHeight="1">
      <c r="B4154" s="13">
        <f>IFERROR(__xludf.DUMMYFUNCTION("""COMPUTED_VALUE"""),4149.0)</f>
        <v>4149</v>
      </c>
      <c r="C4154" s="13" t="str">
        <f>IFERROR(__xludf.DUMMYFUNCTION("""COMPUTED_VALUE"""),"M.50/Kemiling Permai ")</f>
        <v>M.50/Kemiling Permai </v>
      </c>
      <c r="D4154" s="13" t="str">
        <f>IFERROR(__xludf.DUMMYFUNCTION("""COMPUTED_VALUE"""),"K/13/220825/1")</f>
        <v>K/13/220825/1</v>
      </c>
      <c r="E4154" s="14" t="str">
        <f>IFERROR(__xludf.DUMMYFUNCTION("""COMPUTED_VALUE"""),"Admin (Migrasi)")</f>
        <v>Admin (Migrasi)</v>
      </c>
      <c r="F4154" s="14" t="str">
        <f>IFERROR(__xludf.DUMMYFUNCTION("""COMPUTED_VALUE"""),"SELESAI (VIA PERMOHONAN)")</f>
        <v>SELESAI (VIA PERMOHONAN)</v>
      </c>
      <c r="G4154" s="17">
        <f>IFERROR(__xludf.DUMMYFUNCTION("""COMPUTED_VALUE"""),45951.654215752314)</f>
        <v>45951.65422</v>
      </c>
      <c r="H4154" s="14" t="str">
        <f>IFERROR(__xludf.DUMMYFUNCTION("""COMPUTED_VALUE"""),"Admin (Migrasi)")</f>
        <v>Admin (Migrasi)</v>
      </c>
      <c r="I4154" s="13" t="str">
        <f>IFERROR(__xludf.DUMMYFUNCTION("""COMPUTED_VALUE"""),"SELESAI (VIA PERMOHONAN)")</f>
        <v>SELESAI (VIA PERMOHONAN)</v>
      </c>
      <c r="J4154" s="17">
        <f>IFERROR(__xludf.DUMMYFUNCTION("""COMPUTED_VALUE"""),45951.6542440162)</f>
        <v>45951.65424</v>
      </c>
      <c r="K4154" s="13" t="str">
        <f>IFERROR(__xludf.DUMMYFUNCTION("""COMPUTED_VALUE"""),"Selesai")</f>
        <v>Selesai</v>
      </c>
      <c r="L4154" s="17">
        <f>IFERROR(__xludf.DUMMYFUNCTION("""COMPUTED_VALUE"""),45951.6542440162)</f>
        <v>45951.65424</v>
      </c>
      <c r="M4154" s="13"/>
      <c r="N4154" s="13" t="str">
        <f>IFERROR(__xludf.DUMMYFUNCTION("""COMPUTED_VALUE"""),"")</f>
        <v/>
      </c>
      <c r="O4154" s="13" t="str">
        <f t="shared" si="1"/>
        <v/>
      </c>
    </row>
    <row r="4155" ht="22.5" customHeight="1">
      <c r="B4155" s="13">
        <f>IFERROR(__xludf.DUMMYFUNCTION("""COMPUTED_VALUE"""),4150.0)</f>
        <v>4150</v>
      </c>
      <c r="C4155" s="13" t="str">
        <f>IFERROR(__xludf.DUMMYFUNCTION("""COMPUTED_VALUE"""),"B. 916/Sukabumi Indah	")</f>
        <v>B. 916/Sukabumi Indah	</v>
      </c>
      <c r="D4155" s="13" t="str">
        <f>IFERROR(__xludf.DUMMYFUNCTION("""COMPUTED_VALUE"""),"K/6/280825/1")</f>
        <v>K/6/280825/1</v>
      </c>
      <c r="E4155" s="14" t="str">
        <f>IFERROR(__xludf.DUMMYFUNCTION("""COMPUTED_VALUE"""),"Heri (BT)")</f>
        <v>Heri (BT)</v>
      </c>
      <c r="F4155" s="14" t="str">
        <f>IFERROR(__xludf.DUMMYFUNCTION("""COMPUTED_VALUE"""),"SELESAI (VIA PERMOHONAN)")</f>
        <v>SELESAI (VIA PERMOHONAN)</v>
      </c>
      <c r="G4155" s="17">
        <f>IFERROR(__xludf.DUMMYFUNCTION("""COMPUTED_VALUE"""),45954.34760104166)</f>
        <v>45954.3476</v>
      </c>
      <c r="H4155" s="14"/>
      <c r="I4155" s="13"/>
      <c r="J4155" s="17" t="str">
        <f>IFERROR(__xludf.DUMMYFUNCTION("""COMPUTED_VALUE"""),"")</f>
        <v/>
      </c>
      <c r="K4155" s="13" t="str">
        <f>IFERROR(__xludf.DUMMYFUNCTION("""COMPUTED_VALUE"""),"BT atau SU Belum Valid")</f>
        <v>BT atau SU Belum Valid</v>
      </c>
      <c r="L4155" s="13" t="str">
        <f>IFERROR(__xludf.DUMMYFUNCTION("""COMPUTED_VALUE"""),"")</f>
        <v/>
      </c>
      <c r="M4155" s="13"/>
      <c r="N4155" s="13" t="str">
        <f>IFERROR(__xludf.DUMMYFUNCTION("""COMPUTED_VALUE"""),"")</f>
        <v/>
      </c>
      <c r="O4155" s="13" t="str">
        <f t="shared" si="1"/>
        <v/>
      </c>
    </row>
    <row r="4156" ht="22.5" customHeight="1">
      <c r="B4156" s="13">
        <f>IFERROR(__xludf.DUMMYFUNCTION("""COMPUTED_VALUE"""),4151.0)</f>
        <v>4151</v>
      </c>
      <c r="C4156" s="13" t="str">
        <f>IFERROR(__xludf.DUMMYFUNCTION("""COMPUTED_VALUE"""),"M. 470/Perumnas Way Kandis")</f>
        <v>M. 470/Perumnas Way Kandis</v>
      </c>
      <c r="D4156" s="13" t="str">
        <f>IFERROR(__xludf.DUMMYFUNCTION("""COMPUTED_VALUE"""),"")</f>
        <v/>
      </c>
      <c r="E4156" s="14" t="str">
        <f>IFERROR(__xludf.DUMMYFUNCTION("""COMPUTED_VALUE"""),"Heri (BT)")</f>
        <v>Heri (BT)</v>
      </c>
      <c r="F4156" s="14" t="str">
        <f>IFERROR(__xludf.DUMMYFUNCTION("""COMPUTED_VALUE"""),"SELESAI (VIA PERMOHONAN)")</f>
        <v>SELESAI (VIA PERMOHONAN)</v>
      </c>
      <c r="G4156" s="17">
        <f>IFERROR(__xludf.DUMMYFUNCTION("""COMPUTED_VALUE"""),45954.348166180556)</f>
        <v>45954.34817</v>
      </c>
      <c r="H4156" s="14"/>
      <c r="I4156" s="13"/>
      <c r="J4156" s="17" t="str">
        <f>IFERROR(__xludf.DUMMYFUNCTION("""COMPUTED_VALUE"""),"")</f>
        <v/>
      </c>
      <c r="K4156" s="13" t="str">
        <f>IFERROR(__xludf.DUMMYFUNCTION("""COMPUTED_VALUE"""),"")</f>
        <v/>
      </c>
      <c r="L4156" s="13" t="str">
        <f>IFERROR(__xludf.DUMMYFUNCTION("""COMPUTED_VALUE"""),"")</f>
        <v/>
      </c>
      <c r="M4156" s="13"/>
      <c r="N4156" s="13" t="str">
        <f>IFERROR(__xludf.DUMMYFUNCTION("""COMPUTED_VALUE"""),"")</f>
        <v/>
      </c>
      <c r="O4156" s="13" t="str">
        <f t="shared" si="1"/>
        <v/>
      </c>
    </row>
    <row r="4157" ht="22.5" customHeight="1">
      <c r="B4157" s="13">
        <f>IFERROR(__xludf.DUMMYFUNCTION("""COMPUTED_VALUE"""),4152.0)</f>
        <v>4152</v>
      </c>
      <c r="C4157" s="13" t="str">
        <f>IFERROR(__xludf.DUMMYFUNCTION("""COMPUTED_VALUE"""),"M. 472/PERUMNAS WAY KANDIS")</f>
        <v>M. 472/PERUMNAS WAY KANDIS</v>
      </c>
      <c r="D4157" s="13" t="str">
        <f>IFERROR(__xludf.DUMMYFUNCTION("""COMPUTED_VALUE"""),"L/43/091025/1")</f>
        <v>L/43/091025/1</v>
      </c>
      <c r="E4157" s="14" t="str">
        <f>IFERROR(__xludf.DUMMYFUNCTION("""COMPUTED_VALUE"""),"Heri (BT)")</f>
        <v>Heri (BT)</v>
      </c>
      <c r="F4157" s="14" t="str">
        <f>IFERROR(__xludf.DUMMYFUNCTION("""COMPUTED_VALUE"""),"SELESAI (VIA PERMOHONAN)")</f>
        <v>SELESAI (VIA PERMOHONAN)</v>
      </c>
      <c r="G4157" s="17">
        <f>IFERROR(__xludf.DUMMYFUNCTION("""COMPUTED_VALUE"""),45954.34828929398)</f>
        <v>45954.34829</v>
      </c>
      <c r="H4157" s="14" t="str">
        <f>IFERROR(__xludf.DUMMYFUNCTION("""COMPUTED_VALUE"""),"Aprill (SU)")</f>
        <v>Aprill (SU)</v>
      </c>
      <c r="I4157" s="13" t="str">
        <f>IFERROR(__xludf.DUMMYFUNCTION("""COMPUTED_VALUE"""),"SELESAI (VIA PERMOHONAN)")</f>
        <v>SELESAI (VIA PERMOHONAN)</v>
      </c>
      <c r="J4157" s="17">
        <f>IFERROR(__xludf.DUMMYFUNCTION("""COMPUTED_VALUE"""),45965.390077916665)</f>
        <v>45965.39008</v>
      </c>
      <c r="K4157" s="13" t="str">
        <f>IFERROR(__xludf.DUMMYFUNCTION("""COMPUTED_VALUE"""),"Selesai")</f>
        <v>Selesai</v>
      </c>
      <c r="L4157" s="17">
        <f>IFERROR(__xludf.DUMMYFUNCTION("""COMPUTED_VALUE"""),45965.390077916665)</f>
        <v>45965.39008</v>
      </c>
      <c r="M4157" s="13"/>
      <c r="N4157" s="13" t="str">
        <f>IFERROR(__xludf.DUMMYFUNCTION("""COMPUTED_VALUE"""),"")</f>
        <v/>
      </c>
      <c r="O4157" s="13" t="str">
        <f t="shared" si="1"/>
        <v/>
      </c>
    </row>
    <row r="4158" ht="22.5" customHeight="1">
      <c r="B4158" s="13">
        <f>IFERROR(__xludf.DUMMYFUNCTION("""COMPUTED_VALUE"""),4153.0)</f>
        <v>4153</v>
      </c>
      <c r="C4158" s="13" t="str">
        <f>IFERROR(__xludf.DUMMYFUNCTION("""COMPUTED_VALUE"""),"M. 460/SUKABUMI INDAH")</f>
        <v>M. 460/SUKABUMI INDAH</v>
      </c>
      <c r="D4158" s="13" t="str">
        <f>IFERROR(__xludf.DUMMYFUNCTION("""COMPUTED_VALUE"""),"K/42/260825/1")</f>
        <v>K/42/260825/1</v>
      </c>
      <c r="E4158" s="14" t="str">
        <f>IFERROR(__xludf.DUMMYFUNCTION("""COMPUTED_VALUE"""),"Heri (BT)")</f>
        <v>Heri (BT)</v>
      </c>
      <c r="F4158" s="14" t="str">
        <f>IFERROR(__xludf.DUMMYFUNCTION("""COMPUTED_VALUE"""),"SELESAI (VIA PERMOHONAN)")</f>
        <v>SELESAI (VIA PERMOHONAN)</v>
      </c>
      <c r="G4158" s="17">
        <f>IFERROR(__xludf.DUMMYFUNCTION("""COMPUTED_VALUE"""),45954.34845321759)</f>
        <v>45954.34845</v>
      </c>
      <c r="H4158" s="14"/>
      <c r="I4158" s="13"/>
      <c r="J4158" s="17" t="str">
        <f>IFERROR(__xludf.DUMMYFUNCTION("""COMPUTED_VALUE"""),"")</f>
        <v/>
      </c>
      <c r="K4158" s="13" t="str">
        <f>IFERROR(__xludf.DUMMYFUNCTION("""COMPUTED_VALUE"""),"BT atau SU Belum Valid")</f>
        <v>BT atau SU Belum Valid</v>
      </c>
      <c r="L4158" s="13" t="str">
        <f>IFERROR(__xludf.DUMMYFUNCTION("""COMPUTED_VALUE"""),"")</f>
        <v/>
      </c>
      <c r="M4158" s="13"/>
      <c r="N4158" s="13" t="str">
        <f>IFERROR(__xludf.DUMMYFUNCTION("""COMPUTED_VALUE"""),"")</f>
        <v/>
      </c>
      <c r="O4158" s="13" t="str">
        <f t="shared" si="1"/>
        <v/>
      </c>
    </row>
    <row r="4159" ht="22.5" customHeight="1">
      <c r="B4159" s="13">
        <f>IFERROR(__xludf.DUMMYFUNCTION("""COMPUTED_VALUE"""),4154.0)</f>
        <v>4154</v>
      </c>
      <c r="C4159" s="13" t="str">
        <f>IFERROR(__xludf.DUMMYFUNCTION("""COMPUTED_VALUE"""),"B. 109/KAMPUNG BARU RAYA")</f>
        <v>B. 109/KAMPUNG BARU RAYA</v>
      </c>
      <c r="D4159" s="13" t="str">
        <f>IFERROR(__xludf.DUMMYFUNCTION("""COMPUTED_VALUE"""),"K/27/091025/1")</f>
        <v>K/27/091025/1</v>
      </c>
      <c r="E4159" s="14" t="str">
        <f>IFERROR(__xludf.DUMMYFUNCTION("""COMPUTED_VALUE"""),"Heri (BT)")</f>
        <v>Heri (BT)</v>
      </c>
      <c r="F4159" s="14" t="str">
        <f>IFERROR(__xludf.DUMMYFUNCTION("""COMPUTED_VALUE"""),"SELESAI (VIA PERMOHONAN)")</f>
        <v>SELESAI (VIA PERMOHONAN)</v>
      </c>
      <c r="G4159" s="17">
        <f>IFERROR(__xludf.DUMMYFUNCTION("""COMPUTED_VALUE"""),45954.34861649305)</f>
        <v>45954.34862</v>
      </c>
      <c r="H4159" s="14" t="str">
        <f>IFERROR(__xludf.DUMMYFUNCTION("""COMPUTED_VALUE"""),"Aprill (SU)")</f>
        <v>Aprill (SU)</v>
      </c>
      <c r="I4159" s="13" t="str">
        <f>IFERROR(__xludf.DUMMYFUNCTION("""COMPUTED_VALUE"""),"SELESAI (VIA PERMOHONAN)")</f>
        <v>SELESAI (VIA PERMOHONAN)</v>
      </c>
      <c r="J4159" s="17">
        <f>IFERROR(__xludf.DUMMYFUNCTION("""COMPUTED_VALUE"""),45958.46289199074)</f>
        <v>45958.46289</v>
      </c>
      <c r="K4159" s="13" t="str">
        <f>IFERROR(__xludf.DUMMYFUNCTION("""COMPUTED_VALUE"""),"Selesai")</f>
        <v>Selesai</v>
      </c>
      <c r="L4159" s="17">
        <f>IFERROR(__xludf.DUMMYFUNCTION("""COMPUTED_VALUE"""),45958.46289199074)</f>
        <v>45958.46289</v>
      </c>
      <c r="M4159" s="13"/>
      <c r="N4159" s="13" t="str">
        <f>IFERROR(__xludf.DUMMYFUNCTION("""COMPUTED_VALUE"""),"")</f>
        <v/>
      </c>
      <c r="O4159" s="13" t="str">
        <f t="shared" si="1"/>
        <v/>
      </c>
    </row>
    <row r="4160" ht="22.5" customHeight="1">
      <c r="B4160" s="13">
        <f>IFERROR(__xludf.DUMMYFUNCTION("""COMPUTED_VALUE"""),4155.0)</f>
        <v>4155</v>
      </c>
      <c r="C4160" s="13" t="str">
        <f>IFERROR(__xludf.DUMMYFUNCTION("""COMPUTED_VALUE"""),"B. 106/KAMPUNG BARU RAYA")</f>
        <v>B. 106/KAMPUNG BARU RAYA</v>
      </c>
      <c r="D4160" s="13" t="str">
        <f>IFERROR(__xludf.DUMMYFUNCTION("""COMPUTED_VALUE"""),"K/28/091025/2")</f>
        <v>K/28/091025/2</v>
      </c>
      <c r="E4160" s="14" t="str">
        <f>IFERROR(__xludf.DUMMYFUNCTION("""COMPUTED_VALUE"""),"Heri (BT)")</f>
        <v>Heri (BT)</v>
      </c>
      <c r="F4160" s="14" t="str">
        <f>IFERROR(__xludf.DUMMYFUNCTION("""COMPUTED_VALUE"""),"SELESAI (VIA PERMOHONAN)")</f>
        <v>SELESAI (VIA PERMOHONAN)</v>
      </c>
      <c r="G4160" s="17">
        <f>IFERROR(__xludf.DUMMYFUNCTION("""COMPUTED_VALUE"""),45954.34904564815)</f>
        <v>45954.34905</v>
      </c>
      <c r="H4160" s="14" t="str">
        <f>IFERROR(__xludf.DUMMYFUNCTION("""COMPUTED_VALUE"""),"Aprill (SU)")</f>
        <v>Aprill (SU)</v>
      </c>
      <c r="I4160" s="13" t="str">
        <f>IFERROR(__xludf.DUMMYFUNCTION("""COMPUTED_VALUE"""),"SELESAI (VIA PERMOHONAN)")</f>
        <v>SELESAI (VIA PERMOHONAN)</v>
      </c>
      <c r="J4160" s="17">
        <f>IFERROR(__xludf.DUMMYFUNCTION("""COMPUTED_VALUE"""),45964.411665775464)</f>
        <v>45964.41167</v>
      </c>
      <c r="K4160" s="13" t="str">
        <f>IFERROR(__xludf.DUMMYFUNCTION("""COMPUTED_VALUE"""),"Selesai")</f>
        <v>Selesai</v>
      </c>
      <c r="L4160" s="17">
        <f>IFERROR(__xludf.DUMMYFUNCTION("""COMPUTED_VALUE"""),45964.411665775464)</f>
        <v>45964.41167</v>
      </c>
      <c r="M4160" s="13"/>
      <c r="N4160" s="13" t="str">
        <f>IFERROR(__xludf.DUMMYFUNCTION("""COMPUTED_VALUE"""),"")</f>
        <v/>
      </c>
      <c r="O4160" s="13" t="str">
        <f t="shared" si="1"/>
        <v/>
      </c>
    </row>
    <row r="4161" ht="22.5" customHeight="1">
      <c r="B4161" s="13">
        <f>IFERROR(__xludf.DUMMYFUNCTION("""COMPUTED_VALUE"""),4156.0)</f>
        <v>4156</v>
      </c>
      <c r="C4161" s="13" t="str">
        <f>IFERROR(__xludf.DUMMYFUNCTION("""COMPUTED_VALUE"""),"M 261/ PENENGAHAN RAYA")</f>
        <v>M 261/ PENENGAHAN RAYA</v>
      </c>
      <c r="D4161" s="13" t="str">
        <f>IFERROR(__xludf.DUMMYFUNCTION("""COMPUTED_VALUE"""),"K/7/061025/1")</f>
        <v>K/7/061025/1</v>
      </c>
      <c r="E4161" s="14" t="str">
        <f>IFERROR(__xludf.DUMMYFUNCTION("""COMPUTED_VALUE"""),"Heri (BT)")</f>
        <v>Heri (BT)</v>
      </c>
      <c r="F4161" s="14" t="str">
        <f>IFERROR(__xludf.DUMMYFUNCTION("""COMPUTED_VALUE"""),"SELESAI (VIA PERMOHONAN)")</f>
        <v>SELESAI (VIA PERMOHONAN)</v>
      </c>
      <c r="G4161" s="17">
        <f>IFERROR(__xludf.DUMMYFUNCTION("""COMPUTED_VALUE"""),45954.34905721065)</f>
        <v>45954.34906</v>
      </c>
      <c r="H4161" s="14" t="str">
        <f>IFERROR(__xludf.DUMMYFUNCTION("""COMPUTED_VALUE"""),"Aprill (SU)")</f>
        <v>Aprill (SU)</v>
      </c>
      <c r="I4161" s="13" t="str">
        <f>IFERROR(__xludf.DUMMYFUNCTION("""COMPUTED_VALUE"""),"SELESAI (VIA PERMOHONAN)")</f>
        <v>SELESAI (VIA PERMOHONAN)</v>
      </c>
      <c r="J4161" s="17">
        <f>IFERROR(__xludf.DUMMYFUNCTION("""COMPUTED_VALUE"""),45958.46484006944)</f>
        <v>45958.46484</v>
      </c>
      <c r="K4161" s="13" t="str">
        <f>IFERROR(__xludf.DUMMYFUNCTION("""COMPUTED_VALUE"""),"Selesai")</f>
        <v>Selesai</v>
      </c>
      <c r="L4161" s="17">
        <f>IFERROR(__xludf.DUMMYFUNCTION("""COMPUTED_VALUE"""),45958.46484006944)</f>
        <v>45958.46484</v>
      </c>
      <c r="M4161" s="13"/>
      <c r="N4161" s="13" t="str">
        <f>IFERROR(__xludf.DUMMYFUNCTION("""COMPUTED_VALUE"""),"")</f>
        <v/>
      </c>
      <c r="O4161" s="13" t="str">
        <f t="shared" si="1"/>
        <v/>
      </c>
    </row>
    <row r="4162" ht="22.5" customHeight="1">
      <c r="B4162" s="13">
        <f>IFERROR(__xludf.DUMMYFUNCTION("""COMPUTED_VALUE"""),4157.0)</f>
        <v>4157</v>
      </c>
      <c r="C4162" s="13" t="str">
        <f>IFERROR(__xludf.DUMMYFUNCTION("""COMPUTED_VALUE"""),"M 2423/ CAMPANG JAYA")</f>
        <v>M 2423/ CAMPANG JAYA</v>
      </c>
      <c r="D4162" s="13" t="str">
        <f>IFERROR(__xludf.DUMMYFUNCTION("""COMPUTED_VALUE"""),"K/29/031025/1")</f>
        <v>K/29/031025/1</v>
      </c>
      <c r="E4162" s="14" t="str">
        <f>IFERROR(__xludf.DUMMYFUNCTION("""COMPUTED_VALUE"""),"Heri (BT)")</f>
        <v>Heri (BT)</v>
      </c>
      <c r="F4162" s="14" t="str">
        <f>IFERROR(__xludf.DUMMYFUNCTION("""COMPUTED_VALUE"""),"SELESAI (VIA PERMOHONAN)")</f>
        <v>SELESAI (VIA PERMOHONAN)</v>
      </c>
      <c r="G4162" s="17">
        <f>IFERROR(__xludf.DUMMYFUNCTION("""COMPUTED_VALUE"""),45954.34923491898)</f>
        <v>45954.34923</v>
      </c>
      <c r="H4162" s="14" t="str">
        <f>IFERROR(__xludf.DUMMYFUNCTION("""COMPUTED_VALUE"""),"Aprill (SU)")</f>
        <v>Aprill (SU)</v>
      </c>
      <c r="I4162" s="13" t="str">
        <f>IFERROR(__xludf.DUMMYFUNCTION("""COMPUTED_VALUE"""),"SELESAI (VIA PERMOHONAN)")</f>
        <v>SELESAI (VIA PERMOHONAN)</v>
      </c>
      <c r="J4162" s="17">
        <f>IFERROR(__xludf.DUMMYFUNCTION("""COMPUTED_VALUE"""),45958.46505726852)</f>
        <v>45958.46506</v>
      </c>
      <c r="K4162" s="13" t="str">
        <f>IFERROR(__xludf.DUMMYFUNCTION("""COMPUTED_VALUE"""),"Selesai")</f>
        <v>Selesai</v>
      </c>
      <c r="L4162" s="17">
        <f>IFERROR(__xludf.DUMMYFUNCTION("""COMPUTED_VALUE"""),45958.46505726852)</f>
        <v>45958.46506</v>
      </c>
      <c r="M4162" s="13"/>
      <c r="N4162" s="13" t="str">
        <f>IFERROR(__xludf.DUMMYFUNCTION("""COMPUTED_VALUE"""),"")</f>
        <v/>
      </c>
      <c r="O4162" s="13" t="str">
        <f t="shared" si="1"/>
        <v/>
      </c>
    </row>
    <row r="4163" ht="22.5" customHeight="1">
      <c r="B4163" s="13">
        <f>IFERROR(__xludf.DUMMYFUNCTION("""COMPUTED_VALUE"""),4158.0)</f>
        <v>4158</v>
      </c>
      <c r="C4163" s="13" t="str">
        <f>IFERROR(__xludf.DUMMYFUNCTION("""COMPUTED_VALUE"""),"M 12072/ TANJUNG BARU")</f>
        <v>M 12072/ TANJUNG BARU</v>
      </c>
      <c r="D4163" s="13" t="str">
        <f>IFERROR(__xludf.DUMMYFUNCTION("""COMPUTED_VALUE"""),"K/43/290925/1")</f>
        <v>K/43/290925/1</v>
      </c>
      <c r="E4163" s="14" t="str">
        <f>IFERROR(__xludf.DUMMYFUNCTION("""COMPUTED_VALUE"""),"Heri (BT)")</f>
        <v>Heri (BT)</v>
      </c>
      <c r="F4163" s="14" t="str">
        <f>IFERROR(__xludf.DUMMYFUNCTION("""COMPUTED_VALUE"""),"SELESAI (VIA PERMOHONAN)")</f>
        <v>SELESAI (VIA PERMOHONAN)</v>
      </c>
      <c r="G4163" s="17">
        <f>IFERROR(__xludf.DUMMYFUNCTION("""COMPUTED_VALUE"""),45954.34936883102)</f>
        <v>45954.34937</v>
      </c>
      <c r="H4163" s="14" t="str">
        <f>IFERROR(__xludf.DUMMYFUNCTION("""COMPUTED_VALUE"""),"Aprill (SU)")</f>
        <v>Aprill (SU)</v>
      </c>
      <c r="I4163" s="13" t="str">
        <f>IFERROR(__xludf.DUMMYFUNCTION("""COMPUTED_VALUE"""),"SELESAI (VIA PERMOHONAN)")</f>
        <v>SELESAI (VIA PERMOHONAN)</v>
      </c>
      <c r="J4163" s="17">
        <f>IFERROR(__xludf.DUMMYFUNCTION("""COMPUTED_VALUE"""),45958.46440778935)</f>
        <v>45958.46441</v>
      </c>
      <c r="K4163" s="13" t="str">
        <f>IFERROR(__xludf.DUMMYFUNCTION("""COMPUTED_VALUE"""),"Selesai")</f>
        <v>Selesai</v>
      </c>
      <c r="L4163" s="17">
        <f>IFERROR(__xludf.DUMMYFUNCTION("""COMPUTED_VALUE"""),45958.46440778935)</f>
        <v>45958.46441</v>
      </c>
      <c r="M4163" s="13"/>
      <c r="N4163" s="13" t="str">
        <f>IFERROR(__xludf.DUMMYFUNCTION("""COMPUTED_VALUE"""),"")</f>
        <v/>
      </c>
      <c r="O4163" s="13" t="str">
        <f t="shared" si="1"/>
        <v/>
      </c>
    </row>
    <row r="4164" ht="22.5" customHeight="1">
      <c r="B4164" s="13">
        <f>IFERROR(__xludf.DUMMYFUNCTION("""COMPUTED_VALUE"""),4159.0)</f>
        <v>4159</v>
      </c>
      <c r="C4164" s="13" t="str">
        <f>IFERROR(__xludf.DUMMYFUNCTION("""COMPUTED_VALUE"""),"M 2461/ PANJANG UTARA")</f>
        <v>M 2461/ PANJANG UTARA</v>
      </c>
      <c r="D4164" s="13" t="str">
        <f>IFERROR(__xludf.DUMMYFUNCTION("""COMPUTED_VALUE"""),"K/5/011025/2")</f>
        <v>K/5/011025/2</v>
      </c>
      <c r="E4164" s="14" t="str">
        <f>IFERROR(__xludf.DUMMYFUNCTION("""COMPUTED_VALUE"""),"Heri (BT)")</f>
        <v>Heri (BT)</v>
      </c>
      <c r="F4164" s="14" t="str">
        <f>IFERROR(__xludf.DUMMYFUNCTION("""COMPUTED_VALUE"""),"SELESAI (VIA PERMOHONAN)")</f>
        <v>SELESAI (VIA PERMOHONAN)</v>
      </c>
      <c r="G4164" s="17">
        <f>IFERROR(__xludf.DUMMYFUNCTION("""COMPUTED_VALUE"""),45954.34951252315)</f>
        <v>45954.34951</v>
      </c>
      <c r="H4164" s="14" t="str">
        <f>IFERROR(__xludf.DUMMYFUNCTION("""COMPUTED_VALUE"""),"Aprill (SU)")</f>
        <v>Aprill (SU)</v>
      </c>
      <c r="I4164" s="13" t="str">
        <f>IFERROR(__xludf.DUMMYFUNCTION("""COMPUTED_VALUE"""),"SELESAI (VIA PERMOHONAN)")</f>
        <v>SELESAI (VIA PERMOHONAN)</v>
      </c>
      <c r="J4164" s="17">
        <f>IFERROR(__xludf.DUMMYFUNCTION("""COMPUTED_VALUE"""),45958.46399802083)</f>
        <v>45958.464</v>
      </c>
      <c r="K4164" s="13" t="str">
        <f>IFERROR(__xludf.DUMMYFUNCTION("""COMPUTED_VALUE"""),"Selesai")</f>
        <v>Selesai</v>
      </c>
      <c r="L4164" s="17">
        <f>IFERROR(__xludf.DUMMYFUNCTION("""COMPUTED_VALUE"""),45958.46399802083)</f>
        <v>45958.464</v>
      </c>
      <c r="M4164" s="13"/>
      <c r="N4164" s="13" t="str">
        <f>IFERROR(__xludf.DUMMYFUNCTION("""COMPUTED_VALUE"""),"")</f>
        <v/>
      </c>
      <c r="O4164" s="13" t="str">
        <f t="shared" si="1"/>
        <v/>
      </c>
    </row>
    <row r="4165" ht="22.5" customHeight="1">
      <c r="B4165" s="13">
        <f>IFERROR(__xludf.DUMMYFUNCTION("""COMPUTED_VALUE"""),4160.0)</f>
        <v>4160</v>
      </c>
      <c r="C4165" s="13" t="str">
        <f>IFERROR(__xludf.DUMMYFUNCTION("""COMPUTED_VALUE"""),"B. 2585/SUKABUMI")</f>
        <v>B. 2585/SUKABUMI</v>
      </c>
      <c r="D4165" s="13" t="str">
        <f>IFERROR(__xludf.DUMMYFUNCTION("""COMPUTED_VALUE"""),"L/14/091025/1")</f>
        <v>L/14/091025/1</v>
      </c>
      <c r="E4165" s="14" t="str">
        <f>IFERROR(__xludf.DUMMYFUNCTION("""COMPUTED_VALUE"""),"Heri (BT)")</f>
        <v>Heri (BT)</v>
      </c>
      <c r="F4165" s="14" t="str">
        <f>IFERROR(__xludf.DUMMYFUNCTION("""COMPUTED_VALUE"""),"SELESAI (VIA PERMOHONAN)")</f>
        <v>SELESAI (VIA PERMOHONAN)</v>
      </c>
      <c r="G4165" s="17">
        <f>IFERROR(__xludf.DUMMYFUNCTION("""COMPUTED_VALUE"""),45954.349656377315)</f>
        <v>45954.34966</v>
      </c>
      <c r="H4165" s="14"/>
      <c r="I4165" s="13"/>
      <c r="J4165" s="17" t="str">
        <f>IFERROR(__xludf.DUMMYFUNCTION("""COMPUTED_VALUE"""),"")</f>
        <v/>
      </c>
      <c r="K4165" s="13" t="str">
        <f>IFERROR(__xludf.DUMMYFUNCTION("""COMPUTED_VALUE"""),"BT atau SU Belum Valid")</f>
        <v>BT atau SU Belum Valid</v>
      </c>
      <c r="L4165" s="13" t="str">
        <f>IFERROR(__xludf.DUMMYFUNCTION("""COMPUTED_VALUE"""),"")</f>
        <v/>
      </c>
      <c r="M4165" s="13"/>
      <c r="N4165" s="13" t="str">
        <f>IFERROR(__xludf.DUMMYFUNCTION("""COMPUTED_VALUE"""),"")</f>
        <v/>
      </c>
      <c r="O4165" s="13" t="str">
        <f t="shared" si="1"/>
        <v/>
      </c>
    </row>
    <row r="4166" ht="22.5" customHeight="1">
      <c r="B4166" s="13">
        <f>IFERROR(__xludf.DUMMYFUNCTION("""COMPUTED_VALUE"""),4161.0)</f>
        <v>4161</v>
      </c>
      <c r="C4166" s="13" t="str">
        <f>IFERROR(__xludf.DUMMYFUNCTION("""COMPUTED_VALUE"""),"M. 603/KEMILING RAYA")</f>
        <v>M. 603/KEMILING RAYA</v>
      </c>
      <c r="D4166" s="13" t="str">
        <f>IFERROR(__xludf.DUMMYFUNCTION("""COMPUTED_VALUE"""),"L/39/091025/1")</f>
        <v>L/39/091025/1</v>
      </c>
      <c r="E4166" s="14" t="str">
        <f>IFERROR(__xludf.DUMMYFUNCTION("""COMPUTED_VALUE"""),"Heri (BT)")</f>
        <v>Heri (BT)</v>
      </c>
      <c r="F4166" s="14" t="str">
        <f>IFERROR(__xludf.DUMMYFUNCTION("""COMPUTED_VALUE"""),"SELESAI (VIA PERMOHONAN)")</f>
        <v>SELESAI (VIA PERMOHONAN)</v>
      </c>
      <c r="G4166" s="17">
        <f>IFERROR(__xludf.DUMMYFUNCTION("""COMPUTED_VALUE"""),45954.349818310184)</f>
        <v>45954.34982</v>
      </c>
      <c r="H4166" s="14"/>
      <c r="I4166" s="13"/>
      <c r="J4166" s="17" t="str">
        <f>IFERROR(__xludf.DUMMYFUNCTION("""COMPUTED_VALUE"""),"")</f>
        <v/>
      </c>
      <c r="K4166" s="13" t="str">
        <f>IFERROR(__xludf.DUMMYFUNCTION("""COMPUTED_VALUE"""),"BT atau SU Belum Valid")</f>
        <v>BT atau SU Belum Valid</v>
      </c>
      <c r="L4166" s="13" t="str">
        <f>IFERROR(__xludf.DUMMYFUNCTION("""COMPUTED_VALUE"""),"")</f>
        <v/>
      </c>
      <c r="M4166" s="13"/>
      <c r="N4166" s="13" t="str">
        <f>IFERROR(__xludf.DUMMYFUNCTION("""COMPUTED_VALUE"""),"")</f>
        <v/>
      </c>
      <c r="O4166" s="13" t="str">
        <f t="shared" si="1"/>
        <v/>
      </c>
    </row>
    <row r="4167" ht="22.5" customHeight="1">
      <c r="B4167" s="13">
        <f>IFERROR(__xludf.DUMMYFUNCTION("""COMPUTED_VALUE"""),4162.0)</f>
        <v>4162</v>
      </c>
      <c r="C4167" s="13" t="str">
        <f>IFERROR(__xludf.DUMMYFUNCTION("""COMPUTED_VALUE"""),"M. 9630/SUKARAME I")</f>
        <v>M. 9630/SUKARAME I</v>
      </c>
      <c r="D4167" s="13" t="str">
        <f>IFERROR(__xludf.DUMMYFUNCTION("""COMPUTED_VALUE"""),"L/12/091025/1")</f>
        <v>L/12/091025/1</v>
      </c>
      <c r="E4167" s="14" t="str">
        <f>IFERROR(__xludf.DUMMYFUNCTION("""COMPUTED_VALUE"""),"Heri (BT)")</f>
        <v>Heri (BT)</v>
      </c>
      <c r="F4167" s="14" t="str">
        <f>IFERROR(__xludf.DUMMYFUNCTION("""COMPUTED_VALUE"""),"SELESAI (VIA PERMOHONAN)")</f>
        <v>SELESAI (VIA PERMOHONAN)</v>
      </c>
      <c r="G4167" s="17">
        <f>IFERROR(__xludf.DUMMYFUNCTION("""COMPUTED_VALUE"""),45954.349970104166)</f>
        <v>45954.34997</v>
      </c>
      <c r="H4167" s="14"/>
      <c r="I4167" s="13"/>
      <c r="J4167" s="17" t="str">
        <f>IFERROR(__xludf.DUMMYFUNCTION("""COMPUTED_VALUE"""),"")</f>
        <v/>
      </c>
      <c r="K4167" s="13" t="str">
        <f>IFERROR(__xludf.DUMMYFUNCTION("""COMPUTED_VALUE"""),"BT atau SU Belum Valid")</f>
        <v>BT atau SU Belum Valid</v>
      </c>
      <c r="L4167" s="13" t="str">
        <f>IFERROR(__xludf.DUMMYFUNCTION("""COMPUTED_VALUE"""),"")</f>
        <v/>
      </c>
      <c r="M4167" s="13"/>
      <c r="N4167" s="13" t="str">
        <f>IFERROR(__xludf.DUMMYFUNCTION("""COMPUTED_VALUE"""),"")</f>
        <v/>
      </c>
      <c r="O4167" s="13" t="str">
        <f t="shared" si="1"/>
        <v/>
      </c>
    </row>
    <row r="4168" ht="22.5" customHeight="1">
      <c r="B4168" s="13">
        <f>IFERROR(__xludf.DUMMYFUNCTION("""COMPUTED_VALUE"""),4163.0)</f>
        <v>4163</v>
      </c>
      <c r="C4168" s="13" t="str">
        <f>IFERROR(__xludf.DUMMYFUNCTION("""COMPUTED_VALUE"""),"B. 334/CAMPANG RAYA")</f>
        <v>B. 334/CAMPANG RAYA</v>
      </c>
      <c r="D4168" s="13" t="str">
        <f>IFERROR(__xludf.DUMMYFUNCTION("""COMPUTED_VALUE"""),"L/6/091025/1")</f>
        <v>L/6/091025/1</v>
      </c>
      <c r="E4168" s="14" t="str">
        <f>IFERROR(__xludf.DUMMYFUNCTION("""COMPUTED_VALUE"""),"Heri (BT)")</f>
        <v>Heri (BT)</v>
      </c>
      <c r="F4168" s="14" t="str">
        <f>IFERROR(__xludf.DUMMYFUNCTION("""COMPUTED_VALUE"""),"SELESAI (VIA PERMOHONAN)")</f>
        <v>SELESAI (VIA PERMOHONAN)</v>
      </c>
      <c r="G4168" s="17">
        <f>IFERROR(__xludf.DUMMYFUNCTION("""COMPUTED_VALUE"""),45954.350163668976)</f>
        <v>45954.35016</v>
      </c>
      <c r="H4168" s="14" t="str">
        <f>IFERROR(__xludf.DUMMYFUNCTION("""COMPUTED_VALUE"""),"Aprill (SU)")</f>
        <v>Aprill (SU)</v>
      </c>
      <c r="I4168" s="13" t="str">
        <f>IFERROR(__xludf.DUMMYFUNCTION("""COMPUTED_VALUE"""),"SELESAI (VIA PERMOHONAN)")</f>
        <v>SELESAI (VIA PERMOHONAN)</v>
      </c>
      <c r="J4168" s="17">
        <f>IFERROR(__xludf.DUMMYFUNCTION("""COMPUTED_VALUE"""),45961.63767769676)</f>
        <v>45961.63768</v>
      </c>
      <c r="K4168" s="13" t="str">
        <f>IFERROR(__xludf.DUMMYFUNCTION("""COMPUTED_VALUE"""),"Selesai")</f>
        <v>Selesai</v>
      </c>
      <c r="L4168" s="17">
        <f>IFERROR(__xludf.DUMMYFUNCTION("""COMPUTED_VALUE"""),45961.63767769676)</f>
        <v>45961.63768</v>
      </c>
      <c r="M4168" s="13"/>
      <c r="N4168" s="13" t="str">
        <f>IFERROR(__xludf.DUMMYFUNCTION("""COMPUTED_VALUE"""),"")</f>
        <v/>
      </c>
      <c r="O4168" s="13" t="str">
        <f t="shared" si="1"/>
        <v/>
      </c>
    </row>
    <row r="4169" ht="22.5" customHeight="1">
      <c r="B4169" s="13">
        <f>IFERROR(__xludf.DUMMYFUNCTION("""COMPUTED_VALUE"""),4164.0)</f>
        <v>4164</v>
      </c>
      <c r="C4169" s="13" t="str">
        <f>IFERROR(__xludf.DUMMYFUNCTION("""COMPUTED_VALUE"""),"M. 12141/SEGALA MIDER")</f>
        <v>M. 12141/SEGALA MIDER</v>
      </c>
      <c r="D4169" s="13" t="str">
        <f>IFERROR(__xludf.DUMMYFUNCTION("""COMPUTED_VALUE"""),"L/4/091025/1")</f>
        <v>L/4/091025/1</v>
      </c>
      <c r="E4169" s="14" t="str">
        <f>IFERROR(__xludf.DUMMYFUNCTION("""COMPUTED_VALUE"""),"Heri (BT)")</f>
        <v>Heri (BT)</v>
      </c>
      <c r="F4169" s="14" t="str">
        <f>IFERROR(__xludf.DUMMYFUNCTION("""COMPUTED_VALUE"""),"SELESAI (VIA PERMOHONAN)")</f>
        <v>SELESAI (VIA PERMOHONAN)</v>
      </c>
      <c r="G4169" s="17">
        <f>IFERROR(__xludf.DUMMYFUNCTION("""COMPUTED_VALUE"""),45954.35033767361)</f>
        <v>45954.35034</v>
      </c>
      <c r="H4169" s="14" t="str">
        <f>IFERROR(__xludf.DUMMYFUNCTION("""COMPUTED_VALUE"""),"Aprill (SU)")</f>
        <v>Aprill (SU)</v>
      </c>
      <c r="I4169" s="13" t="str">
        <f>IFERROR(__xludf.DUMMYFUNCTION("""COMPUTED_VALUE"""),"SELESAI (VIA PERMOHONAN)")</f>
        <v>SELESAI (VIA PERMOHONAN)</v>
      </c>
      <c r="J4169" s="17">
        <f>IFERROR(__xludf.DUMMYFUNCTION("""COMPUTED_VALUE"""),45961.63632996527)</f>
        <v>45961.63633</v>
      </c>
      <c r="K4169" s="13" t="str">
        <f>IFERROR(__xludf.DUMMYFUNCTION("""COMPUTED_VALUE"""),"Selesai")</f>
        <v>Selesai</v>
      </c>
      <c r="L4169" s="17">
        <f>IFERROR(__xludf.DUMMYFUNCTION("""COMPUTED_VALUE"""),45961.63632996527)</f>
        <v>45961.63633</v>
      </c>
      <c r="M4169" s="13"/>
      <c r="N4169" s="13" t="str">
        <f>IFERROR(__xludf.DUMMYFUNCTION("""COMPUTED_VALUE"""),"")</f>
        <v/>
      </c>
      <c r="O4169" s="13" t="str">
        <f t="shared" si="1"/>
        <v/>
      </c>
    </row>
    <row r="4170" ht="22.5" customHeight="1">
      <c r="B4170" s="13">
        <f>IFERROR(__xludf.DUMMYFUNCTION("""COMPUTED_VALUE"""),4165.0)</f>
        <v>4165</v>
      </c>
      <c r="C4170" s="13" t="str">
        <f>IFERROR(__xludf.DUMMYFUNCTION("""COMPUTED_VALUE"""),"HM 162/SUMUR BATU")</f>
        <v>HM 162/SUMUR BATU</v>
      </c>
      <c r="D4170" s="13" t="str">
        <f>IFERROR(__xludf.DUMMYFUNCTION("""COMPUTED_VALUE"""),"L/22/100725/1")</f>
        <v>L/22/100725/1</v>
      </c>
      <c r="E4170" s="14" t="str">
        <f>IFERROR(__xludf.DUMMYFUNCTION("""COMPUTED_VALUE"""),"Heri (BT)")</f>
        <v>Heri (BT)</v>
      </c>
      <c r="F4170" s="14" t="str">
        <f>IFERROR(__xludf.DUMMYFUNCTION("""COMPUTED_VALUE"""),"SELESAI (VIA PERMOHONAN)")</f>
        <v>SELESAI (VIA PERMOHONAN)</v>
      </c>
      <c r="G4170" s="17">
        <f>IFERROR(__xludf.DUMMYFUNCTION("""COMPUTED_VALUE"""),45954.350511481476)</f>
        <v>45954.35051</v>
      </c>
      <c r="H4170" s="14"/>
      <c r="I4170" s="13"/>
      <c r="J4170" s="17" t="str">
        <f>IFERROR(__xludf.DUMMYFUNCTION("""COMPUTED_VALUE"""),"")</f>
        <v/>
      </c>
      <c r="K4170" s="13" t="str">
        <f>IFERROR(__xludf.DUMMYFUNCTION("""COMPUTED_VALUE"""),"BT atau SU Belum Valid")</f>
        <v>BT atau SU Belum Valid</v>
      </c>
      <c r="L4170" s="13" t="str">
        <f>IFERROR(__xludf.DUMMYFUNCTION("""COMPUTED_VALUE"""),"")</f>
        <v/>
      </c>
      <c r="M4170" s="13"/>
      <c r="N4170" s="13" t="str">
        <f>IFERROR(__xludf.DUMMYFUNCTION("""COMPUTED_VALUE"""),"")</f>
        <v/>
      </c>
      <c r="O4170" s="13" t="str">
        <f t="shared" si="1"/>
        <v/>
      </c>
    </row>
    <row r="4171" ht="22.5" customHeight="1">
      <c r="B4171" s="13">
        <f>IFERROR(__xludf.DUMMYFUNCTION("""COMPUTED_VALUE"""),4166.0)</f>
        <v>4166</v>
      </c>
      <c r="C4171" s="13" t="str">
        <f>IFERROR(__xludf.DUMMYFUNCTION("""COMPUTED_VALUE"""),"M. 1101/CAMPANG RAYA")</f>
        <v>M. 1101/CAMPANG RAYA</v>
      </c>
      <c r="D4171" s="13" t="str">
        <f>IFERROR(__xludf.DUMMYFUNCTION("""COMPUTED_VALUE"""),"L/51/210829/1")</f>
        <v>L/51/210829/1</v>
      </c>
      <c r="E4171" s="14" t="str">
        <f>IFERROR(__xludf.DUMMYFUNCTION("""COMPUTED_VALUE"""),"Heri (BT)")</f>
        <v>Heri (BT)</v>
      </c>
      <c r="F4171" s="14" t="str">
        <f>IFERROR(__xludf.DUMMYFUNCTION("""COMPUTED_VALUE"""),"SELESAI (VIA PERMOHONAN)")</f>
        <v>SELESAI (VIA PERMOHONAN)</v>
      </c>
      <c r="G4171" s="17">
        <f>IFERROR(__xludf.DUMMYFUNCTION("""COMPUTED_VALUE"""),45954.35068548611)</f>
        <v>45954.35069</v>
      </c>
      <c r="H4171" s="14" t="str">
        <f>IFERROR(__xludf.DUMMYFUNCTION("""COMPUTED_VALUE"""),"Aprill (SU)")</f>
        <v>Aprill (SU)</v>
      </c>
      <c r="I4171" s="13" t="str">
        <f>IFERROR(__xludf.DUMMYFUNCTION("""COMPUTED_VALUE"""),"SELESAI (VIA PERMOHONAN)")</f>
        <v>SELESAI (VIA PERMOHONAN)</v>
      </c>
      <c r="J4171" s="17">
        <f>IFERROR(__xludf.DUMMYFUNCTION("""COMPUTED_VALUE"""),45961.6383584838)</f>
        <v>45961.63836</v>
      </c>
      <c r="K4171" s="13" t="str">
        <f>IFERROR(__xludf.DUMMYFUNCTION("""COMPUTED_VALUE"""),"Selesai")</f>
        <v>Selesai</v>
      </c>
      <c r="L4171" s="17">
        <f>IFERROR(__xludf.DUMMYFUNCTION("""COMPUTED_VALUE"""),45961.6383584838)</f>
        <v>45961.63836</v>
      </c>
      <c r="M4171" s="13"/>
      <c r="N4171" s="13" t="str">
        <f>IFERROR(__xludf.DUMMYFUNCTION("""COMPUTED_VALUE"""),"")</f>
        <v/>
      </c>
      <c r="O4171" s="13" t="str">
        <f t="shared" si="1"/>
        <v/>
      </c>
    </row>
    <row r="4172" ht="22.5" customHeight="1">
      <c r="B4172" s="13">
        <f>IFERROR(__xludf.DUMMYFUNCTION("""COMPUTED_VALUE"""),4167.0)</f>
        <v>4167</v>
      </c>
      <c r="C4172" s="13" t="str">
        <f>IFERROR(__xludf.DUMMYFUNCTION("""COMPUTED_VALUE"""),"M . 1876/RAJABASA NUNYAI")</f>
        <v>M . 1876/RAJABASA NUNYAI</v>
      </c>
      <c r="D4172" s="13" t="str">
        <f>IFERROR(__xludf.DUMMYFUNCTION("""COMPUTED_VALUE"""),"K/12/020925/1")</f>
        <v>K/12/020925/1</v>
      </c>
      <c r="E4172" s="14" t="str">
        <f>IFERROR(__xludf.DUMMYFUNCTION("""COMPUTED_VALUE"""),"Heri (BT)")</f>
        <v>Heri (BT)</v>
      </c>
      <c r="F4172" s="14" t="str">
        <f>IFERROR(__xludf.DUMMYFUNCTION("""COMPUTED_VALUE"""),"SELESAI (VIA PERMOHONAN)")</f>
        <v>SELESAI (VIA PERMOHONAN)</v>
      </c>
      <c r="G4172" s="17">
        <f>IFERROR(__xludf.DUMMYFUNCTION("""COMPUTED_VALUE"""),45954.35084883102)</f>
        <v>45954.35085</v>
      </c>
      <c r="H4172" s="14"/>
      <c r="I4172" s="13"/>
      <c r="J4172" s="17" t="str">
        <f>IFERROR(__xludf.DUMMYFUNCTION("""COMPUTED_VALUE"""),"")</f>
        <v/>
      </c>
      <c r="K4172" s="13" t="str">
        <f>IFERROR(__xludf.DUMMYFUNCTION("""COMPUTED_VALUE"""),"BT atau SU Belum Valid")</f>
        <v>BT atau SU Belum Valid</v>
      </c>
      <c r="L4172" s="13" t="str">
        <f>IFERROR(__xludf.DUMMYFUNCTION("""COMPUTED_VALUE"""),"")</f>
        <v/>
      </c>
      <c r="M4172" s="13"/>
      <c r="N4172" s="13" t="str">
        <f>IFERROR(__xludf.DUMMYFUNCTION("""COMPUTED_VALUE"""),"")</f>
        <v/>
      </c>
      <c r="O4172" s="13" t="str">
        <f t="shared" si="1"/>
        <v/>
      </c>
    </row>
    <row r="4173" ht="22.5" customHeight="1">
      <c r="B4173" s="13">
        <f>IFERROR(__xludf.DUMMYFUNCTION("""COMPUTED_VALUE"""),4168.0)</f>
        <v>4168</v>
      </c>
      <c r="C4173" s="13" t="str">
        <f>IFERROR(__xludf.DUMMYFUNCTION("""COMPUTED_VALUE"""),"M. 2259/SUSUNAN BARU")</f>
        <v>M. 2259/SUSUNAN BARU</v>
      </c>
      <c r="D4173" s="13" t="str">
        <f>IFERROR(__xludf.DUMMYFUNCTION("""COMPUTED_VALUE"""),"K/16/170925/3")</f>
        <v>K/16/170925/3</v>
      </c>
      <c r="E4173" s="14" t="str">
        <f>IFERROR(__xludf.DUMMYFUNCTION("""COMPUTED_VALUE"""),"Heri (BT)")</f>
        <v>Heri (BT)</v>
      </c>
      <c r="F4173" s="14" t="str">
        <f>IFERROR(__xludf.DUMMYFUNCTION("""COMPUTED_VALUE"""),"SELESAI (VIA PERMOHONAN)")</f>
        <v>SELESAI (VIA PERMOHONAN)</v>
      </c>
      <c r="G4173" s="17">
        <f>IFERROR(__xludf.DUMMYFUNCTION("""COMPUTED_VALUE"""),45954.351023055555)</f>
        <v>45954.35102</v>
      </c>
      <c r="H4173" s="14" t="str">
        <f>IFERROR(__xludf.DUMMYFUNCTION("""COMPUTED_VALUE"""),"Aprill (SU)")</f>
        <v>Aprill (SU)</v>
      </c>
      <c r="I4173" s="13" t="str">
        <f>IFERROR(__xludf.DUMMYFUNCTION("""COMPUTED_VALUE"""),"SELESAI (VIA PERMOHONAN)")</f>
        <v>SELESAI (VIA PERMOHONAN)</v>
      </c>
      <c r="J4173" s="17">
        <f>IFERROR(__xludf.DUMMYFUNCTION("""COMPUTED_VALUE"""),45961.63246202546)</f>
        <v>45961.63246</v>
      </c>
      <c r="K4173" s="13" t="str">
        <f>IFERROR(__xludf.DUMMYFUNCTION("""COMPUTED_VALUE"""),"Selesai")</f>
        <v>Selesai</v>
      </c>
      <c r="L4173" s="17">
        <f>IFERROR(__xludf.DUMMYFUNCTION("""COMPUTED_VALUE"""),45961.63246202546)</f>
        <v>45961.63246</v>
      </c>
      <c r="M4173" s="13"/>
      <c r="N4173" s="13" t="str">
        <f>IFERROR(__xludf.DUMMYFUNCTION("""COMPUTED_VALUE"""),"")</f>
        <v/>
      </c>
      <c r="O4173" s="13" t="str">
        <f t="shared" si="1"/>
        <v/>
      </c>
    </row>
    <row r="4174" ht="22.5" customHeight="1">
      <c r="B4174" s="13">
        <f>IFERROR(__xludf.DUMMYFUNCTION("""COMPUTED_VALUE"""),4169.0)</f>
        <v>4169</v>
      </c>
      <c r="C4174" s="13" t="str">
        <f>IFERROR(__xludf.DUMMYFUNCTION("""COMPUTED_VALUE"""),"M. 1827/JAGABAYA III")</f>
        <v>M. 1827/JAGABAYA III</v>
      </c>
      <c r="D4174" s="13" t="str">
        <f>IFERROR(__xludf.DUMMYFUNCTION("""COMPUTED_VALUE"""),"K/16/150925/1")</f>
        <v>K/16/150925/1</v>
      </c>
      <c r="E4174" s="14" t="str">
        <f>IFERROR(__xludf.DUMMYFUNCTION("""COMPUTED_VALUE"""),"Heri (BT)")</f>
        <v>Heri (BT)</v>
      </c>
      <c r="F4174" s="14" t="str">
        <f>IFERROR(__xludf.DUMMYFUNCTION("""COMPUTED_VALUE"""),"SELESAI (VIA PERMOHONAN)")</f>
        <v>SELESAI (VIA PERMOHONAN)</v>
      </c>
      <c r="G4174" s="17">
        <f>IFERROR(__xludf.DUMMYFUNCTION("""COMPUTED_VALUE"""),45954.35140946759)</f>
        <v>45954.35141</v>
      </c>
      <c r="H4174" s="14" t="str">
        <f>IFERROR(__xludf.DUMMYFUNCTION("""COMPUTED_VALUE"""),"Aprill (SU)")</f>
        <v>Aprill (SU)</v>
      </c>
      <c r="I4174" s="13" t="str">
        <f>IFERROR(__xludf.DUMMYFUNCTION("""COMPUTED_VALUE"""),"SELESAI (VIA PERMOHONAN)")</f>
        <v>SELESAI (VIA PERMOHONAN)</v>
      </c>
      <c r="J4174" s="17">
        <f>IFERROR(__xludf.DUMMYFUNCTION("""COMPUTED_VALUE"""),45961.63355453704)</f>
        <v>45961.63355</v>
      </c>
      <c r="K4174" s="13" t="str">
        <f>IFERROR(__xludf.DUMMYFUNCTION("""COMPUTED_VALUE"""),"Selesai")</f>
        <v>Selesai</v>
      </c>
      <c r="L4174" s="17">
        <f>IFERROR(__xludf.DUMMYFUNCTION("""COMPUTED_VALUE"""),45961.63355453704)</f>
        <v>45961.63355</v>
      </c>
      <c r="M4174" s="13"/>
      <c r="N4174" s="13" t="str">
        <f>IFERROR(__xludf.DUMMYFUNCTION("""COMPUTED_VALUE"""),"")</f>
        <v/>
      </c>
      <c r="O4174" s="13" t="str">
        <f t="shared" si="1"/>
        <v/>
      </c>
    </row>
    <row r="4175" ht="22.5" customHeight="1">
      <c r="B4175" s="13">
        <f>IFERROR(__xludf.DUMMYFUNCTION("""COMPUTED_VALUE"""),4170.0)</f>
        <v>4170</v>
      </c>
      <c r="C4175" s="13" t="str">
        <f>IFERROR(__xludf.DUMMYFUNCTION("""COMPUTED_VALUE"""),"M. 13893/KEDAMAIAN")</f>
        <v>M. 13893/KEDAMAIAN</v>
      </c>
      <c r="D4175" s="13" t="str">
        <f>IFERROR(__xludf.DUMMYFUNCTION("""COMPUTED_VALUE"""),"K/24/080925/3")</f>
        <v>K/24/080925/3</v>
      </c>
      <c r="E4175" s="14" t="str">
        <f>IFERROR(__xludf.DUMMYFUNCTION("""COMPUTED_VALUE"""),"Heri (BT)")</f>
        <v>Heri (BT)</v>
      </c>
      <c r="F4175" s="14" t="str">
        <f>IFERROR(__xludf.DUMMYFUNCTION("""COMPUTED_VALUE"""),"SELESAI (VIA PERMOHONAN)")</f>
        <v>SELESAI (VIA PERMOHONAN)</v>
      </c>
      <c r="G4175" s="17">
        <f>IFERROR(__xludf.DUMMYFUNCTION("""COMPUTED_VALUE"""),45954.35158200232)</f>
        <v>45954.35158</v>
      </c>
      <c r="H4175" s="14" t="str">
        <f>IFERROR(__xludf.DUMMYFUNCTION("""COMPUTED_VALUE"""),"Aprill (SU)")</f>
        <v>Aprill (SU)</v>
      </c>
      <c r="I4175" s="13" t="str">
        <f>IFERROR(__xludf.DUMMYFUNCTION("""COMPUTED_VALUE"""),"SELESAI (VIA PERMOHONAN)")</f>
        <v>SELESAI (VIA PERMOHONAN)</v>
      </c>
      <c r="J4175" s="17">
        <f>IFERROR(__xludf.DUMMYFUNCTION("""COMPUTED_VALUE"""),45961.63173202546)</f>
        <v>45961.63173</v>
      </c>
      <c r="K4175" s="13" t="str">
        <f>IFERROR(__xludf.DUMMYFUNCTION("""COMPUTED_VALUE"""),"Selesai")</f>
        <v>Selesai</v>
      </c>
      <c r="L4175" s="17">
        <f>IFERROR(__xludf.DUMMYFUNCTION("""COMPUTED_VALUE"""),45961.63173202546)</f>
        <v>45961.63173</v>
      </c>
      <c r="M4175" s="13"/>
      <c r="N4175" s="13" t="str">
        <f>IFERROR(__xludf.DUMMYFUNCTION("""COMPUTED_VALUE"""),"")</f>
        <v/>
      </c>
      <c r="O4175" s="13" t="str">
        <f t="shared" si="1"/>
        <v/>
      </c>
    </row>
    <row r="4176" ht="22.5" customHeight="1">
      <c r="B4176" s="13">
        <f>IFERROR(__xludf.DUMMYFUNCTION("""COMPUTED_VALUE"""),4171.0)</f>
        <v>4171</v>
      </c>
      <c r="C4176" s="13" t="str">
        <f>IFERROR(__xludf.DUMMYFUNCTION("""COMPUTED_VALUE"""),"B. 633/KEMILING PERMAI")</f>
        <v>B. 633/KEMILING PERMAI</v>
      </c>
      <c r="D4176" s="13" t="str">
        <f>IFERROR(__xludf.DUMMYFUNCTION("""COMPUTED_VALUE"""),"K/8/081025/4")</f>
        <v>K/8/081025/4</v>
      </c>
      <c r="E4176" s="14" t="str">
        <f>IFERROR(__xludf.DUMMYFUNCTION("""COMPUTED_VALUE"""),"Heri (BT)")</f>
        <v>Heri (BT)</v>
      </c>
      <c r="F4176" s="14" t="str">
        <f>IFERROR(__xludf.DUMMYFUNCTION("""COMPUTED_VALUE"""),"SELESAI (VIA PERMOHONAN)")</f>
        <v>SELESAI (VIA PERMOHONAN)</v>
      </c>
      <c r="G4176" s="17">
        <f>IFERROR(__xludf.DUMMYFUNCTION("""COMPUTED_VALUE"""),45954.35174326389)</f>
        <v>45954.35174</v>
      </c>
      <c r="H4176" s="14" t="str">
        <f>IFERROR(__xludf.DUMMYFUNCTION("""COMPUTED_VALUE"""),"Aprill (SU)")</f>
        <v>Aprill (SU)</v>
      </c>
      <c r="I4176" s="13" t="str">
        <f>IFERROR(__xludf.DUMMYFUNCTION("""COMPUTED_VALUE"""),"SELESAI (VIA PERMOHONAN)")</f>
        <v>SELESAI (VIA PERMOHONAN)</v>
      </c>
      <c r="J4176" s="17">
        <f>IFERROR(__xludf.DUMMYFUNCTION("""COMPUTED_VALUE"""),45961.630591354166)</f>
        <v>45961.63059</v>
      </c>
      <c r="K4176" s="13" t="str">
        <f>IFERROR(__xludf.DUMMYFUNCTION("""COMPUTED_VALUE"""),"Selesai")</f>
        <v>Selesai</v>
      </c>
      <c r="L4176" s="17">
        <f>IFERROR(__xludf.DUMMYFUNCTION("""COMPUTED_VALUE"""),45961.630591354166)</f>
        <v>45961.63059</v>
      </c>
      <c r="M4176" s="13"/>
      <c r="N4176" s="13" t="str">
        <f>IFERROR(__xludf.DUMMYFUNCTION("""COMPUTED_VALUE"""),"")</f>
        <v/>
      </c>
      <c r="O4176" s="13" t="str">
        <f t="shared" si="1"/>
        <v/>
      </c>
    </row>
    <row r="4177" ht="22.5" customHeight="1">
      <c r="B4177" s="13">
        <f>IFERROR(__xludf.DUMMYFUNCTION("""COMPUTED_VALUE"""),4172.0)</f>
        <v>4172</v>
      </c>
      <c r="C4177" s="13" t="str">
        <f>IFERROR(__xludf.DUMMYFUNCTION("""COMPUTED_VALUE"""),"M. 3630/RAJABASA JAYA")</f>
        <v>M. 3630/RAJABASA JAYA</v>
      </c>
      <c r="D4177" s="13" t="str">
        <f>IFERROR(__xludf.DUMMYFUNCTION("""COMPUTED_VALUE"""),"K/27/170925/4")</f>
        <v>K/27/170925/4</v>
      </c>
      <c r="E4177" s="14" t="str">
        <f>IFERROR(__xludf.DUMMYFUNCTION("""COMPUTED_VALUE"""),"Heri (BT)")</f>
        <v>Heri (BT)</v>
      </c>
      <c r="F4177" s="14" t="str">
        <f>IFERROR(__xludf.DUMMYFUNCTION("""COMPUTED_VALUE"""),"SELESAI (VIA PERMOHONAN)")</f>
        <v>SELESAI (VIA PERMOHONAN)</v>
      </c>
      <c r="G4177" s="17">
        <f>IFERROR(__xludf.DUMMYFUNCTION("""COMPUTED_VALUE"""),45954.35191415509)</f>
        <v>45954.35191</v>
      </c>
      <c r="H4177" s="14" t="str">
        <f>IFERROR(__xludf.DUMMYFUNCTION("""COMPUTED_VALUE"""),"Aprill (SU)")</f>
        <v>Aprill (SU)</v>
      </c>
      <c r="I4177" s="13" t="str">
        <f>IFERROR(__xludf.DUMMYFUNCTION("""COMPUTED_VALUE"""),"SELESAI (VIA PERMOHONAN)")</f>
        <v>SELESAI (VIA PERMOHONAN)</v>
      </c>
      <c r="J4177" s="17">
        <f>IFERROR(__xludf.DUMMYFUNCTION("""COMPUTED_VALUE"""),45961.629553136576)</f>
        <v>45961.62955</v>
      </c>
      <c r="K4177" s="13" t="str">
        <f>IFERROR(__xludf.DUMMYFUNCTION("""COMPUTED_VALUE"""),"Selesai")</f>
        <v>Selesai</v>
      </c>
      <c r="L4177" s="17">
        <f>IFERROR(__xludf.DUMMYFUNCTION("""COMPUTED_VALUE"""),45961.629553136576)</f>
        <v>45961.62955</v>
      </c>
      <c r="M4177" s="13"/>
      <c r="N4177" s="13" t="str">
        <f>IFERROR(__xludf.DUMMYFUNCTION("""COMPUTED_VALUE"""),"")</f>
        <v/>
      </c>
      <c r="O4177" s="13" t="str">
        <f t="shared" si="1"/>
        <v/>
      </c>
    </row>
    <row r="4178" ht="22.5" customHeight="1">
      <c r="B4178" s="13">
        <f>IFERROR(__xludf.DUMMYFUNCTION("""COMPUTED_VALUE"""),4173.0)</f>
        <v>4173</v>
      </c>
      <c r="C4178" s="13" t="str">
        <f>IFERROR(__xludf.DUMMYFUNCTION("""COMPUTED_VALUE"""),"M. 146/Rawa Laut	")</f>
        <v>M. 146/Rawa Laut	</v>
      </c>
      <c r="D4178" s="13" t="str">
        <f>IFERROR(__xludf.DUMMYFUNCTION("""COMPUTED_VALUE"""),"K/21/250925/1")</f>
        <v>K/21/250925/1</v>
      </c>
      <c r="E4178" s="14" t="str">
        <f>IFERROR(__xludf.DUMMYFUNCTION("""COMPUTED_VALUE"""),"Heri (BT)")</f>
        <v>Heri (BT)</v>
      </c>
      <c r="F4178" s="14" t="str">
        <f>IFERROR(__xludf.DUMMYFUNCTION("""COMPUTED_VALUE"""),"SELESAI (VIA PERMOHONAN)")</f>
        <v>SELESAI (VIA PERMOHONAN)</v>
      </c>
      <c r="G4178" s="17">
        <f>IFERROR(__xludf.DUMMYFUNCTION("""COMPUTED_VALUE"""),45954.35211813658)</f>
        <v>45954.35212</v>
      </c>
      <c r="H4178" s="14"/>
      <c r="I4178" s="13"/>
      <c r="J4178" s="17" t="str">
        <f>IFERROR(__xludf.DUMMYFUNCTION("""COMPUTED_VALUE"""),"")</f>
        <v/>
      </c>
      <c r="K4178" s="13" t="str">
        <f>IFERROR(__xludf.DUMMYFUNCTION("""COMPUTED_VALUE"""),"BT atau SU Belum Valid")</f>
        <v>BT atau SU Belum Valid</v>
      </c>
      <c r="L4178" s="13" t="str">
        <f>IFERROR(__xludf.DUMMYFUNCTION("""COMPUTED_VALUE"""),"")</f>
        <v/>
      </c>
      <c r="M4178" s="13"/>
      <c r="N4178" s="13" t="str">
        <f>IFERROR(__xludf.DUMMYFUNCTION("""COMPUTED_VALUE"""),"")</f>
        <v/>
      </c>
      <c r="O4178" s="13" t="str">
        <f t="shared" si="1"/>
        <v/>
      </c>
    </row>
    <row r="4179" ht="22.5" customHeight="1">
      <c r="B4179" s="13">
        <f>IFERROR(__xludf.DUMMYFUNCTION("""COMPUTED_VALUE"""),4174.0)</f>
        <v>4174</v>
      </c>
      <c r="C4179" s="13" t="str">
        <f>IFERROR(__xludf.DUMMYFUNCTION("""COMPUTED_VALUE"""),"M. 1853/ RAJABASA NUNYAI")</f>
        <v>M. 1853/ RAJABASA NUNYAI</v>
      </c>
      <c r="D4179" s="13" t="str">
        <f>IFERROR(__xludf.DUMMYFUNCTION("""COMPUTED_VALUE"""),"K/29/140825/1")</f>
        <v>K/29/140825/1</v>
      </c>
      <c r="E4179" s="14" t="str">
        <f>IFERROR(__xludf.DUMMYFUNCTION("""COMPUTED_VALUE"""),"Heri (BT)")</f>
        <v>Heri (BT)</v>
      </c>
      <c r="F4179" s="14" t="str">
        <f>IFERROR(__xludf.DUMMYFUNCTION("""COMPUTED_VALUE"""),"SELESAI (VIA PERMOHONAN)")</f>
        <v>SELESAI (VIA PERMOHONAN)</v>
      </c>
      <c r="G4179" s="17">
        <f>IFERROR(__xludf.DUMMYFUNCTION("""COMPUTED_VALUE"""),45954.35236077546)</f>
        <v>45954.35236</v>
      </c>
      <c r="H4179" s="14" t="str">
        <f>IFERROR(__xludf.DUMMYFUNCTION("""COMPUTED_VALUE"""),"Aprill (SU)")</f>
        <v>Aprill (SU)</v>
      </c>
      <c r="I4179" s="13" t="str">
        <f>IFERROR(__xludf.DUMMYFUNCTION("""COMPUTED_VALUE"""),"SELESAI (VIA PERMOHONAN)")</f>
        <v>SELESAI (VIA PERMOHONAN)</v>
      </c>
      <c r="J4179" s="17">
        <f>IFERROR(__xludf.DUMMYFUNCTION("""COMPUTED_VALUE"""),45961.6222746412)</f>
        <v>45961.62227</v>
      </c>
      <c r="K4179" s="13" t="str">
        <f>IFERROR(__xludf.DUMMYFUNCTION("""COMPUTED_VALUE"""),"Selesai")</f>
        <v>Selesai</v>
      </c>
      <c r="L4179" s="17">
        <f>IFERROR(__xludf.DUMMYFUNCTION("""COMPUTED_VALUE"""),45961.6222746412)</f>
        <v>45961.62227</v>
      </c>
      <c r="M4179" s="13"/>
      <c r="N4179" s="13" t="str">
        <f>IFERROR(__xludf.DUMMYFUNCTION("""COMPUTED_VALUE"""),"")</f>
        <v/>
      </c>
      <c r="O4179" s="13" t="str">
        <f t="shared" si="1"/>
        <v/>
      </c>
    </row>
    <row r="4180" ht="22.5" customHeight="1">
      <c r="B4180" s="13">
        <f>IFERROR(__xludf.DUMMYFUNCTION("""COMPUTED_VALUE"""),4175.0)</f>
        <v>4175</v>
      </c>
      <c r="C4180" s="13" t="str">
        <f>IFERROR(__xludf.DUMMYFUNCTION("""COMPUTED_VALUE"""),"M 2570/ SUMBER AGUNG")</f>
        <v>M 2570/ SUMBER AGUNG</v>
      </c>
      <c r="D4180" s="13" t="str">
        <f>IFERROR(__xludf.DUMMYFUNCTION("""COMPUTED_VALUE"""),"K/9/110925/1")</f>
        <v>K/9/110925/1</v>
      </c>
      <c r="E4180" s="14" t="str">
        <f>IFERROR(__xludf.DUMMYFUNCTION("""COMPUTED_VALUE"""),"Heri (BT)")</f>
        <v>Heri (BT)</v>
      </c>
      <c r="F4180" s="14" t="str">
        <f>IFERROR(__xludf.DUMMYFUNCTION("""COMPUTED_VALUE"""),"SELESAI (VIA PERMOHONAN)")</f>
        <v>SELESAI (VIA PERMOHONAN)</v>
      </c>
      <c r="G4180" s="17">
        <f>IFERROR(__xludf.DUMMYFUNCTION("""COMPUTED_VALUE"""),45954.35256273148)</f>
        <v>45954.35256</v>
      </c>
      <c r="H4180" s="14" t="str">
        <f>IFERROR(__xludf.DUMMYFUNCTION("""COMPUTED_VALUE"""),"Aprill (SU)")</f>
        <v>Aprill (SU)</v>
      </c>
      <c r="I4180" s="13" t="str">
        <f>IFERROR(__xludf.DUMMYFUNCTION("""COMPUTED_VALUE"""),"SELESAI (VIA PERMOHONAN)")</f>
        <v>SELESAI (VIA PERMOHONAN)</v>
      </c>
      <c r="J4180" s="17">
        <f>IFERROR(__xludf.DUMMYFUNCTION("""COMPUTED_VALUE"""),45961.626876689814)</f>
        <v>45961.62688</v>
      </c>
      <c r="K4180" s="13" t="str">
        <f>IFERROR(__xludf.DUMMYFUNCTION("""COMPUTED_VALUE"""),"Selesai")</f>
        <v>Selesai</v>
      </c>
      <c r="L4180" s="17">
        <f>IFERROR(__xludf.DUMMYFUNCTION("""COMPUTED_VALUE"""),45961.626876689814)</f>
        <v>45961.62688</v>
      </c>
      <c r="M4180" s="13"/>
      <c r="N4180" s="13" t="str">
        <f>IFERROR(__xludf.DUMMYFUNCTION("""COMPUTED_VALUE"""),"")</f>
        <v/>
      </c>
      <c r="O4180" s="13" t="str">
        <f t="shared" si="1"/>
        <v/>
      </c>
    </row>
    <row r="4181" ht="22.5" customHeight="1">
      <c r="B4181" s="13">
        <f>IFERROR(__xludf.DUMMYFUNCTION("""COMPUTED_VALUE"""),4176.0)</f>
        <v>4176</v>
      </c>
      <c r="C4181" s="13" t="str">
        <f>IFERROR(__xludf.DUMMYFUNCTION("""COMPUTED_VALUE"""),"M 12640/ RAJABASA ")</f>
        <v>M 12640/ RAJABASA </v>
      </c>
      <c r="D4181" s="13" t="str">
        <f>IFERROR(__xludf.DUMMYFUNCTION("""COMPUTED_VALUE"""),"K/30/120925/1")</f>
        <v>K/30/120925/1</v>
      </c>
      <c r="E4181" s="14" t="str">
        <f>IFERROR(__xludf.DUMMYFUNCTION("""COMPUTED_VALUE"""),"Heri (BT)")</f>
        <v>Heri (BT)</v>
      </c>
      <c r="F4181" s="14" t="str">
        <f>IFERROR(__xludf.DUMMYFUNCTION("""COMPUTED_VALUE"""),"SELESAI (VIA PERMOHONAN)")</f>
        <v>SELESAI (VIA PERMOHONAN)</v>
      </c>
      <c r="G4181" s="17">
        <f>IFERROR(__xludf.DUMMYFUNCTION("""COMPUTED_VALUE"""),45954.35310328704)</f>
        <v>45954.3531</v>
      </c>
      <c r="H4181" s="14" t="str">
        <f>IFERROR(__xludf.DUMMYFUNCTION("""COMPUTED_VALUE"""),"Aprill (SU)")</f>
        <v>Aprill (SU)</v>
      </c>
      <c r="I4181" s="13" t="str">
        <f>IFERROR(__xludf.DUMMYFUNCTION("""COMPUTED_VALUE"""),"SELESAI (VIA PERMOHONAN)")</f>
        <v>SELESAI (VIA PERMOHONAN)</v>
      </c>
      <c r="J4181" s="17">
        <f>IFERROR(__xludf.DUMMYFUNCTION("""COMPUTED_VALUE"""),45961.626200439816)</f>
        <v>45961.6262</v>
      </c>
      <c r="K4181" s="13" t="str">
        <f>IFERROR(__xludf.DUMMYFUNCTION("""COMPUTED_VALUE"""),"Selesai")</f>
        <v>Selesai</v>
      </c>
      <c r="L4181" s="17">
        <f>IFERROR(__xludf.DUMMYFUNCTION("""COMPUTED_VALUE"""),45961.626200439816)</f>
        <v>45961.6262</v>
      </c>
      <c r="M4181" s="13"/>
      <c r="N4181" s="13" t="str">
        <f>IFERROR(__xludf.DUMMYFUNCTION("""COMPUTED_VALUE"""),"")</f>
        <v/>
      </c>
      <c r="O4181" s="13" t="str">
        <f t="shared" si="1"/>
        <v/>
      </c>
    </row>
    <row r="4182" ht="22.5" customHeight="1">
      <c r="B4182" s="13">
        <f>IFERROR(__xludf.DUMMYFUNCTION("""COMPUTED_VALUE"""),4177.0)</f>
        <v>4177</v>
      </c>
      <c r="C4182" s="13" t="str">
        <f>IFERROR(__xludf.DUMMYFUNCTION("""COMPUTED_VALUE"""),"M 4942/ SUKADANA HAM")</f>
        <v>M 4942/ SUKADANA HAM</v>
      </c>
      <c r="D4182" s="13" t="str">
        <f>IFERROR(__xludf.DUMMYFUNCTION("""COMPUTED_VALUE"""),"K/36/290925/3")</f>
        <v>K/36/290925/3</v>
      </c>
      <c r="E4182" s="14" t="str">
        <f>IFERROR(__xludf.DUMMYFUNCTION("""COMPUTED_VALUE"""),"Heri (BT)")</f>
        <v>Heri (BT)</v>
      </c>
      <c r="F4182" s="14" t="str">
        <f>IFERROR(__xludf.DUMMYFUNCTION("""COMPUTED_VALUE"""),"SELESAI (VIA PERMOHONAN)")</f>
        <v>SELESAI (VIA PERMOHONAN)</v>
      </c>
      <c r="G4182" s="17">
        <f>IFERROR(__xludf.DUMMYFUNCTION("""COMPUTED_VALUE"""),45954.35330221065)</f>
        <v>45954.3533</v>
      </c>
      <c r="H4182" s="14" t="str">
        <f>IFERROR(__xludf.DUMMYFUNCTION("""COMPUTED_VALUE"""),"Aprill (SU)")</f>
        <v>Aprill (SU)</v>
      </c>
      <c r="I4182" s="13" t="str">
        <f>IFERROR(__xludf.DUMMYFUNCTION("""COMPUTED_VALUE"""),"SELESAI (VIA PERMOHONAN)")</f>
        <v>SELESAI (VIA PERMOHONAN)</v>
      </c>
      <c r="J4182" s="17">
        <f>IFERROR(__xludf.DUMMYFUNCTION("""COMPUTED_VALUE"""),45961.62557740741)</f>
        <v>45961.62558</v>
      </c>
      <c r="K4182" s="13" t="str">
        <f>IFERROR(__xludf.DUMMYFUNCTION("""COMPUTED_VALUE"""),"Selesai")</f>
        <v>Selesai</v>
      </c>
      <c r="L4182" s="17">
        <f>IFERROR(__xludf.DUMMYFUNCTION("""COMPUTED_VALUE"""),45961.62557740741)</f>
        <v>45961.62558</v>
      </c>
      <c r="M4182" s="13"/>
      <c r="N4182" s="13" t="str">
        <f>IFERROR(__xludf.DUMMYFUNCTION("""COMPUTED_VALUE"""),"")</f>
        <v/>
      </c>
      <c r="O4182" s="13" t="str">
        <f t="shared" si="1"/>
        <v/>
      </c>
    </row>
    <row r="4183" ht="22.5" customHeight="1">
      <c r="B4183" s="13">
        <f>IFERROR(__xludf.DUMMYFUNCTION("""COMPUTED_VALUE"""),4178.0)</f>
        <v>4178</v>
      </c>
      <c r="C4183" s="13" t="str">
        <f>IFERROR(__xludf.DUMMYFUNCTION("""COMPUTED_VALUE"""),"M. 1153/Korpri Jaya	")</f>
        <v>M. 1153/Korpri Jaya	</v>
      </c>
      <c r="D4183" s="13" t="str">
        <f>IFERROR(__xludf.DUMMYFUNCTION("""COMPUTED_VALUE"""),"K/15/021025/1")</f>
        <v>K/15/021025/1</v>
      </c>
      <c r="E4183" s="14" t="str">
        <f>IFERROR(__xludf.DUMMYFUNCTION("""COMPUTED_VALUE"""),"Heri (BT)")</f>
        <v>Heri (BT)</v>
      </c>
      <c r="F4183" s="14" t="str">
        <f>IFERROR(__xludf.DUMMYFUNCTION("""COMPUTED_VALUE"""),"SELESAI (VIA PERMOHONAN)")</f>
        <v>SELESAI (VIA PERMOHONAN)</v>
      </c>
      <c r="G4183" s="17">
        <f>IFERROR(__xludf.DUMMYFUNCTION("""COMPUTED_VALUE"""),45954.35942216435)</f>
        <v>45954.35942</v>
      </c>
      <c r="H4183" s="14"/>
      <c r="I4183" s="13"/>
      <c r="J4183" s="17" t="str">
        <f>IFERROR(__xludf.DUMMYFUNCTION("""COMPUTED_VALUE"""),"")</f>
        <v/>
      </c>
      <c r="K4183" s="13" t="str">
        <f>IFERROR(__xludf.DUMMYFUNCTION("""COMPUTED_VALUE"""),"BT atau SU Belum Valid")</f>
        <v>BT atau SU Belum Valid</v>
      </c>
      <c r="L4183" s="13" t="str">
        <f>IFERROR(__xludf.DUMMYFUNCTION("""COMPUTED_VALUE"""),"")</f>
        <v/>
      </c>
      <c r="M4183" s="13"/>
      <c r="N4183" s="13" t="str">
        <f>IFERROR(__xludf.DUMMYFUNCTION("""COMPUTED_VALUE"""),"")</f>
        <v/>
      </c>
      <c r="O4183" s="13" t="str">
        <f t="shared" si="1"/>
        <v/>
      </c>
    </row>
    <row r="4184" ht="22.5" customHeight="1">
      <c r="B4184" s="13">
        <f>IFERROR(__xludf.DUMMYFUNCTION("""COMPUTED_VALUE"""),4179.0)</f>
        <v>4179</v>
      </c>
      <c r="C4184" s="13" t="str">
        <f>IFERROR(__xludf.DUMMYFUNCTION("""COMPUTED_VALUE"""),"M. 15786/SUKARAME")</f>
        <v>M. 15786/SUKARAME</v>
      </c>
      <c r="D4184" s="13" t="str">
        <f>IFERROR(__xludf.DUMMYFUNCTION("""COMPUTED_VALUE"""),"K/19/081025/1")</f>
        <v>K/19/081025/1</v>
      </c>
      <c r="E4184" s="14" t="str">
        <f>IFERROR(__xludf.DUMMYFUNCTION("""COMPUTED_VALUE"""),"Heri (BT)")</f>
        <v>Heri (BT)</v>
      </c>
      <c r="F4184" s="14" t="str">
        <f>IFERROR(__xludf.DUMMYFUNCTION("""COMPUTED_VALUE"""),"SELESAI (VIA PERMOHONAN)")</f>
        <v>SELESAI (VIA PERMOHONAN)</v>
      </c>
      <c r="G4184" s="17">
        <f>IFERROR(__xludf.DUMMYFUNCTION("""COMPUTED_VALUE"""),45954.362454270835)</f>
        <v>45954.36245</v>
      </c>
      <c r="H4184" s="14" t="str">
        <f>IFERROR(__xludf.DUMMYFUNCTION("""COMPUTED_VALUE"""),"Aprill (SU)")</f>
        <v>Aprill (SU)</v>
      </c>
      <c r="I4184" s="13" t="str">
        <f>IFERROR(__xludf.DUMMYFUNCTION("""COMPUTED_VALUE"""),"SELESAI (VIA PERMOHONAN)")</f>
        <v>SELESAI (VIA PERMOHONAN)</v>
      </c>
      <c r="J4184" s="17">
        <f>IFERROR(__xludf.DUMMYFUNCTION("""COMPUTED_VALUE"""),45961.63118539352)</f>
        <v>45961.63119</v>
      </c>
      <c r="K4184" s="13" t="str">
        <f>IFERROR(__xludf.DUMMYFUNCTION("""COMPUTED_VALUE"""),"Selesai")</f>
        <v>Selesai</v>
      </c>
      <c r="L4184" s="17">
        <f>IFERROR(__xludf.DUMMYFUNCTION("""COMPUTED_VALUE"""),45961.63118539352)</f>
        <v>45961.63119</v>
      </c>
      <c r="M4184" s="13"/>
      <c r="N4184" s="13" t="str">
        <f>IFERROR(__xludf.DUMMYFUNCTION("""COMPUTED_VALUE"""),"")</f>
        <v/>
      </c>
      <c r="O4184" s="13" t="str">
        <f t="shared" si="1"/>
        <v/>
      </c>
    </row>
    <row r="4185" ht="22.5" customHeight="1">
      <c r="B4185" s="13">
        <f>IFERROR(__xludf.DUMMYFUNCTION("""COMPUTED_VALUE"""),4180.0)</f>
        <v>4180</v>
      </c>
      <c r="C4185" s="13" t="str">
        <f>IFERROR(__xludf.DUMMYFUNCTION("""COMPUTED_VALUE"""),"M 1427/ BERINGIN RAYA")</f>
        <v>M 1427/ BERINGIN RAYA</v>
      </c>
      <c r="D4185" s="13" t="str">
        <f>IFERROR(__xludf.DUMMYFUNCTION("""COMPUTED_VALUE"""),"K/28/090925/1")</f>
        <v>K/28/090925/1</v>
      </c>
      <c r="E4185" s="14" t="str">
        <f>IFERROR(__xludf.DUMMYFUNCTION("""COMPUTED_VALUE"""),"Admin (Migrasi)")</f>
        <v>Admin (Migrasi)</v>
      </c>
      <c r="F4185" s="14" t="str">
        <f>IFERROR(__xludf.DUMMYFUNCTION("""COMPUTED_VALUE"""),"SELESAI (VIA PERMOHONAN)")</f>
        <v>SELESAI (VIA PERMOHONAN)</v>
      </c>
      <c r="G4185" s="17">
        <f>IFERROR(__xludf.DUMMYFUNCTION("""COMPUTED_VALUE"""),45954.4729697338)</f>
        <v>45954.47297</v>
      </c>
      <c r="H4185" s="14" t="str">
        <f>IFERROR(__xludf.DUMMYFUNCTION("""COMPUTED_VALUE"""),"Admin (Migrasi)")</f>
        <v>Admin (Migrasi)</v>
      </c>
      <c r="I4185" s="13" t="str">
        <f>IFERROR(__xludf.DUMMYFUNCTION("""COMPUTED_VALUE"""),"SELESAI (VIA PERMOHONAN)")</f>
        <v>SELESAI (VIA PERMOHONAN)</v>
      </c>
      <c r="J4185" s="17">
        <f>IFERROR(__xludf.DUMMYFUNCTION("""COMPUTED_VALUE"""),45954.4729697338)</f>
        <v>45954.47297</v>
      </c>
      <c r="K4185" s="13" t="str">
        <f>IFERROR(__xludf.DUMMYFUNCTION("""COMPUTED_VALUE"""),"Selesai")</f>
        <v>Selesai</v>
      </c>
      <c r="L4185" s="17">
        <f>IFERROR(__xludf.DUMMYFUNCTION("""COMPUTED_VALUE"""),45954.4729697338)</f>
        <v>45954.47297</v>
      </c>
      <c r="M4185" s="13"/>
      <c r="N4185" s="13" t="str">
        <f>IFERROR(__xludf.DUMMYFUNCTION("""COMPUTED_VALUE"""),"")</f>
        <v/>
      </c>
      <c r="O4185" s="13" t="str">
        <f t="shared" si="1"/>
        <v/>
      </c>
    </row>
    <row r="4186" ht="22.5" customHeight="1">
      <c r="B4186" s="13">
        <f>IFERROR(__xludf.DUMMYFUNCTION("""COMPUTED_VALUE"""),4181.0)</f>
        <v>4181</v>
      </c>
      <c r="C4186" s="13" t="str">
        <f>IFERROR(__xludf.DUMMYFUNCTION("""COMPUTED_VALUE"""),"M 11692/ SUKABUMI")</f>
        <v>M 11692/ SUKABUMI</v>
      </c>
      <c r="D4186" s="13" t="str">
        <f>IFERROR(__xludf.DUMMYFUNCTION("""COMPUTED_VALUE"""),"K/22/110925/1")</f>
        <v>K/22/110925/1</v>
      </c>
      <c r="E4186" s="14" t="str">
        <f>IFERROR(__xludf.DUMMYFUNCTION("""COMPUTED_VALUE"""),"Admin (Migrasi)")</f>
        <v>Admin (Migrasi)</v>
      </c>
      <c r="F4186" s="14" t="str">
        <f>IFERROR(__xludf.DUMMYFUNCTION("""COMPUTED_VALUE"""),"SELESAI (VIA PERMOHONAN)")</f>
        <v>SELESAI (VIA PERMOHONAN)</v>
      </c>
      <c r="G4186" s="17">
        <f>IFERROR(__xludf.DUMMYFUNCTION("""COMPUTED_VALUE"""),45954.4729697338)</f>
        <v>45954.47297</v>
      </c>
      <c r="H4186" s="14" t="str">
        <f>IFERROR(__xludf.DUMMYFUNCTION("""COMPUTED_VALUE"""),"Admin (Migrasi)")</f>
        <v>Admin (Migrasi)</v>
      </c>
      <c r="I4186" s="13" t="str">
        <f>IFERROR(__xludf.DUMMYFUNCTION("""COMPUTED_VALUE"""),"SELESAI (VIA PERMOHONAN)")</f>
        <v>SELESAI (VIA PERMOHONAN)</v>
      </c>
      <c r="J4186" s="17">
        <f>IFERROR(__xludf.DUMMYFUNCTION("""COMPUTED_VALUE"""),45954.4729697338)</f>
        <v>45954.47297</v>
      </c>
      <c r="K4186" s="13" t="str">
        <f>IFERROR(__xludf.DUMMYFUNCTION("""COMPUTED_VALUE"""),"Selesai")</f>
        <v>Selesai</v>
      </c>
      <c r="L4186" s="17">
        <f>IFERROR(__xludf.DUMMYFUNCTION("""COMPUTED_VALUE"""),45954.4729697338)</f>
        <v>45954.47297</v>
      </c>
      <c r="M4186" s="13"/>
      <c r="N4186" s="13" t="str">
        <f>IFERROR(__xludf.DUMMYFUNCTION("""COMPUTED_VALUE"""),"")</f>
        <v/>
      </c>
      <c r="O4186" s="13" t="str">
        <f t="shared" si="1"/>
        <v/>
      </c>
    </row>
    <row r="4187" ht="22.5" customHeight="1">
      <c r="B4187" s="13">
        <f>IFERROR(__xludf.DUMMYFUNCTION("""COMPUTED_VALUE"""),4182.0)</f>
        <v>4182</v>
      </c>
      <c r="C4187" s="13" t="str">
        <f>IFERROR(__xludf.DUMMYFUNCTION("""COMPUTED_VALUE"""),"B 792/ SUMUR PUTRI")</f>
        <v>B 792/ SUMUR PUTRI</v>
      </c>
      <c r="D4187" s="13" t="str">
        <f>IFERROR(__xludf.DUMMYFUNCTION("""COMPUTED_VALUE"""),"K/20/040928/2")</f>
        <v>K/20/040928/2</v>
      </c>
      <c r="E4187" s="14" t="str">
        <f>IFERROR(__xludf.DUMMYFUNCTION("""COMPUTED_VALUE"""),"Admin (Migrasi)")</f>
        <v>Admin (Migrasi)</v>
      </c>
      <c r="F4187" s="14" t="str">
        <f>IFERROR(__xludf.DUMMYFUNCTION("""COMPUTED_VALUE"""),"SELESAI (VIA PERMOHONAN)")</f>
        <v>SELESAI (VIA PERMOHONAN)</v>
      </c>
      <c r="G4187" s="17">
        <f>IFERROR(__xludf.DUMMYFUNCTION("""COMPUTED_VALUE"""),45954.4729697338)</f>
        <v>45954.47297</v>
      </c>
      <c r="H4187" s="14" t="str">
        <f>IFERROR(__xludf.DUMMYFUNCTION("""COMPUTED_VALUE"""),"Admin (Migrasi)")</f>
        <v>Admin (Migrasi)</v>
      </c>
      <c r="I4187" s="13" t="str">
        <f>IFERROR(__xludf.DUMMYFUNCTION("""COMPUTED_VALUE"""),"SELESAI (VIA PERMOHONAN)")</f>
        <v>SELESAI (VIA PERMOHONAN)</v>
      </c>
      <c r="J4187" s="17">
        <f>IFERROR(__xludf.DUMMYFUNCTION("""COMPUTED_VALUE"""),45954.4729697338)</f>
        <v>45954.47297</v>
      </c>
      <c r="K4187" s="13" t="str">
        <f>IFERROR(__xludf.DUMMYFUNCTION("""COMPUTED_VALUE"""),"Selesai")</f>
        <v>Selesai</v>
      </c>
      <c r="L4187" s="17">
        <f>IFERROR(__xludf.DUMMYFUNCTION("""COMPUTED_VALUE"""),45954.4729697338)</f>
        <v>45954.47297</v>
      </c>
      <c r="M4187" s="13"/>
      <c r="N4187" s="13" t="str">
        <f>IFERROR(__xludf.DUMMYFUNCTION("""COMPUTED_VALUE"""),"")</f>
        <v/>
      </c>
      <c r="O4187" s="13" t="str">
        <f t="shared" si="1"/>
        <v/>
      </c>
    </row>
    <row r="4188" ht="22.5" customHeight="1">
      <c r="B4188" s="13">
        <f>IFERROR(__xludf.DUMMYFUNCTION("""COMPUTED_VALUE"""),4183.0)</f>
        <v>4183</v>
      </c>
      <c r="C4188" s="13" t="str">
        <f>IFERROR(__xludf.DUMMYFUNCTION("""COMPUTED_VALUE"""),"M. 1245/Jagabaya III	")</f>
        <v>M. 1245/Jagabaya III	</v>
      </c>
      <c r="D4188" s="13" t="str">
        <f>IFERROR(__xludf.DUMMYFUNCTION("""COMPUTED_VALUE"""),"K/12/230925/3")</f>
        <v>K/12/230925/3</v>
      </c>
      <c r="E4188" s="14" t="str">
        <f>IFERROR(__xludf.DUMMYFUNCTION("""COMPUTED_VALUE"""),"Admin (Migrasi)")</f>
        <v>Admin (Migrasi)</v>
      </c>
      <c r="F4188" s="14" t="str">
        <f>IFERROR(__xludf.DUMMYFUNCTION("""COMPUTED_VALUE"""),"SELESAI (VIA PERMOHONAN)")</f>
        <v>SELESAI (VIA PERMOHONAN)</v>
      </c>
      <c r="G4188" s="17">
        <f>IFERROR(__xludf.DUMMYFUNCTION("""COMPUTED_VALUE"""),45954.4729697338)</f>
        <v>45954.47297</v>
      </c>
      <c r="H4188" s="14" t="str">
        <f>IFERROR(__xludf.DUMMYFUNCTION("""COMPUTED_VALUE"""),"Admin (Migrasi)")</f>
        <v>Admin (Migrasi)</v>
      </c>
      <c r="I4188" s="13" t="str">
        <f>IFERROR(__xludf.DUMMYFUNCTION("""COMPUTED_VALUE"""),"SELESAI (VIA PERMOHONAN)")</f>
        <v>SELESAI (VIA PERMOHONAN)</v>
      </c>
      <c r="J4188" s="17">
        <f>IFERROR(__xludf.DUMMYFUNCTION("""COMPUTED_VALUE"""),45954.4729697338)</f>
        <v>45954.47297</v>
      </c>
      <c r="K4188" s="13" t="str">
        <f>IFERROR(__xludf.DUMMYFUNCTION("""COMPUTED_VALUE"""),"Selesai")</f>
        <v>Selesai</v>
      </c>
      <c r="L4188" s="17">
        <f>IFERROR(__xludf.DUMMYFUNCTION("""COMPUTED_VALUE"""),45954.4729697338)</f>
        <v>45954.47297</v>
      </c>
      <c r="M4188" s="13"/>
      <c r="N4188" s="13" t="str">
        <f>IFERROR(__xludf.DUMMYFUNCTION("""COMPUTED_VALUE"""),"")</f>
        <v/>
      </c>
      <c r="O4188" s="13" t="str">
        <f t="shared" si="1"/>
        <v/>
      </c>
    </row>
    <row r="4189" ht="22.5" customHeight="1">
      <c r="B4189" s="13">
        <f>IFERROR(__xludf.DUMMYFUNCTION("""COMPUTED_VALUE"""),4184.0)</f>
        <v>4184</v>
      </c>
      <c r="C4189" s="13" t="str">
        <f>IFERROR(__xludf.DUMMYFUNCTION("""COMPUTED_VALUE"""),"M.9776/SUKAMENANTI")</f>
        <v>M.9776/SUKAMENANTI</v>
      </c>
      <c r="D4189" s="13" t="str">
        <f>IFERROR(__xludf.DUMMYFUNCTION("""COMPUTED_VALUE"""),"K/52/280825/1")</f>
        <v>K/52/280825/1</v>
      </c>
      <c r="E4189" s="14" t="str">
        <f>IFERROR(__xludf.DUMMYFUNCTION("""COMPUTED_VALUE"""),"Admin (Migrasi)")</f>
        <v>Admin (Migrasi)</v>
      </c>
      <c r="F4189" s="14" t="str">
        <f>IFERROR(__xludf.DUMMYFUNCTION("""COMPUTED_VALUE"""),"SELESAI (VIA PERMOHONAN)")</f>
        <v>SELESAI (VIA PERMOHONAN)</v>
      </c>
      <c r="G4189" s="17">
        <f>IFERROR(__xludf.DUMMYFUNCTION("""COMPUTED_VALUE"""),45954.4729697338)</f>
        <v>45954.47297</v>
      </c>
      <c r="H4189" s="14" t="str">
        <f>IFERROR(__xludf.DUMMYFUNCTION("""COMPUTED_VALUE"""),"Admin (Migrasi)")</f>
        <v>Admin (Migrasi)</v>
      </c>
      <c r="I4189" s="13" t="str">
        <f>IFERROR(__xludf.DUMMYFUNCTION("""COMPUTED_VALUE"""),"SELESAI (VIA PERMOHONAN)")</f>
        <v>SELESAI (VIA PERMOHONAN)</v>
      </c>
      <c r="J4189" s="17">
        <f>IFERROR(__xludf.DUMMYFUNCTION("""COMPUTED_VALUE"""),45954.4729697338)</f>
        <v>45954.47297</v>
      </c>
      <c r="K4189" s="13" t="str">
        <f>IFERROR(__xludf.DUMMYFUNCTION("""COMPUTED_VALUE"""),"Selesai")</f>
        <v>Selesai</v>
      </c>
      <c r="L4189" s="17">
        <f>IFERROR(__xludf.DUMMYFUNCTION("""COMPUTED_VALUE"""),45954.4729697338)</f>
        <v>45954.47297</v>
      </c>
      <c r="M4189" s="13"/>
      <c r="N4189" s="13" t="str">
        <f>IFERROR(__xludf.DUMMYFUNCTION("""COMPUTED_VALUE"""),"")</f>
        <v/>
      </c>
      <c r="O4189" s="13" t="str">
        <f t="shared" si="1"/>
        <v/>
      </c>
    </row>
    <row r="4190" ht="22.5" customHeight="1">
      <c r="B4190" s="13">
        <f>IFERROR(__xludf.DUMMYFUNCTION("""COMPUTED_VALUE"""),4185.0)</f>
        <v>4185</v>
      </c>
      <c r="C4190" s="13" t="str">
        <f>IFERROR(__xludf.DUMMYFUNCTION("""COMPUTED_VALUE"""),"M. 353/Pesawahan")</f>
        <v>M. 353/Pesawahan</v>
      </c>
      <c r="D4190" s="13" t="str">
        <f>IFERROR(__xludf.DUMMYFUNCTION("""COMPUTED_VALUE"""),"K/33/130825/1")</f>
        <v>K/33/130825/1</v>
      </c>
      <c r="E4190" s="14" t="str">
        <f>IFERROR(__xludf.DUMMYFUNCTION("""COMPUTED_VALUE"""),"Admin (Migrasi)")</f>
        <v>Admin (Migrasi)</v>
      </c>
      <c r="F4190" s="14" t="str">
        <f>IFERROR(__xludf.DUMMYFUNCTION("""COMPUTED_VALUE"""),"SELESAI (VIA PERMOHONAN)")</f>
        <v>SELESAI (VIA PERMOHONAN)</v>
      </c>
      <c r="G4190" s="17">
        <f>IFERROR(__xludf.DUMMYFUNCTION("""COMPUTED_VALUE"""),45954.47296974537)</f>
        <v>45954.47297</v>
      </c>
      <c r="H4190" s="14" t="str">
        <f>IFERROR(__xludf.DUMMYFUNCTION("""COMPUTED_VALUE"""),"Admin (Migrasi)")</f>
        <v>Admin (Migrasi)</v>
      </c>
      <c r="I4190" s="13" t="str">
        <f>IFERROR(__xludf.DUMMYFUNCTION("""COMPUTED_VALUE"""),"SELESAI (VIA PERMOHONAN)")</f>
        <v>SELESAI (VIA PERMOHONAN)</v>
      </c>
      <c r="J4190" s="17">
        <f>IFERROR(__xludf.DUMMYFUNCTION("""COMPUTED_VALUE"""),45954.47296974537)</f>
        <v>45954.47297</v>
      </c>
      <c r="K4190" s="13" t="str">
        <f>IFERROR(__xludf.DUMMYFUNCTION("""COMPUTED_VALUE"""),"Selesai")</f>
        <v>Selesai</v>
      </c>
      <c r="L4190" s="17">
        <f>IFERROR(__xludf.DUMMYFUNCTION("""COMPUTED_VALUE"""),45954.47296974537)</f>
        <v>45954.47297</v>
      </c>
      <c r="M4190" s="13"/>
      <c r="N4190" s="13" t="str">
        <f>IFERROR(__xludf.DUMMYFUNCTION("""COMPUTED_VALUE"""),"")</f>
        <v/>
      </c>
      <c r="O4190" s="13" t="str">
        <f t="shared" si="1"/>
        <v/>
      </c>
    </row>
    <row r="4191" ht="22.5" customHeight="1">
      <c r="B4191" s="13">
        <f>IFERROR(__xludf.DUMMYFUNCTION("""COMPUTED_VALUE"""),4186.0)</f>
        <v>4186</v>
      </c>
      <c r="C4191" s="13" t="str">
        <f>IFERROR(__xludf.DUMMYFUNCTION("""COMPUTED_VALUE"""),"M. 2810/Sukadana Ham	")</f>
        <v>M. 2810/Sukadana Ham	</v>
      </c>
      <c r="D4191" s="13" t="str">
        <f>IFERROR(__xludf.DUMMYFUNCTION("""COMPUTED_VALUE"""),"K/8/090925/1")</f>
        <v>K/8/090925/1</v>
      </c>
      <c r="E4191" s="14" t="str">
        <f>IFERROR(__xludf.DUMMYFUNCTION("""COMPUTED_VALUE"""),"Admin (Migrasi)")</f>
        <v>Admin (Migrasi)</v>
      </c>
      <c r="F4191" s="14" t="str">
        <f>IFERROR(__xludf.DUMMYFUNCTION("""COMPUTED_VALUE"""),"SELESAI (VIA PERMOHONAN)")</f>
        <v>SELESAI (VIA PERMOHONAN)</v>
      </c>
      <c r="G4191" s="17">
        <f>IFERROR(__xludf.DUMMYFUNCTION("""COMPUTED_VALUE"""),45954.47296974537)</f>
        <v>45954.47297</v>
      </c>
      <c r="H4191" s="14" t="str">
        <f>IFERROR(__xludf.DUMMYFUNCTION("""COMPUTED_VALUE"""),"Admin (Migrasi)")</f>
        <v>Admin (Migrasi)</v>
      </c>
      <c r="I4191" s="13" t="str">
        <f>IFERROR(__xludf.DUMMYFUNCTION("""COMPUTED_VALUE"""),"SELESAI (VIA PERMOHONAN)")</f>
        <v>SELESAI (VIA PERMOHONAN)</v>
      </c>
      <c r="J4191" s="17">
        <f>IFERROR(__xludf.DUMMYFUNCTION("""COMPUTED_VALUE"""),45954.47296974537)</f>
        <v>45954.47297</v>
      </c>
      <c r="K4191" s="13" t="str">
        <f>IFERROR(__xludf.DUMMYFUNCTION("""COMPUTED_VALUE"""),"Selesai")</f>
        <v>Selesai</v>
      </c>
      <c r="L4191" s="17">
        <f>IFERROR(__xludf.DUMMYFUNCTION("""COMPUTED_VALUE"""),45954.47296974537)</f>
        <v>45954.47297</v>
      </c>
      <c r="M4191" s="13"/>
      <c r="N4191" s="13" t="str">
        <f>IFERROR(__xludf.DUMMYFUNCTION("""COMPUTED_VALUE"""),"")</f>
        <v/>
      </c>
      <c r="O4191" s="13" t="str">
        <f t="shared" si="1"/>
        <v/>
      </c>
    </row>
    <row r="4192" ht="22.5" customHeight="1">
      <c r="B4192" s="13">
        <f>IFERROR(__xludf.DUMMYFUNCTION("""COMPUTED_VALUE"""),4187.0)</f>
        <v>4187</v>
      </c>
      <c r="C4192" s="13" t="str">
        <f>IFERROR(__xludf.DUMMYFUNCTION("""COMPUTED_VALUE"""),"M. 2227/Kaliawi	")</f>
        <v>M. 2227/Kaliawi	</v>
      </c>
      <c r="D4192" s="13" t="str">
        <f>IFERROR(__xludf.DUMMYFUNCTION("""COMPUTED_VALUE"""),"K/44/290925/1")</f>
        <v>K/44/290925/1</v>
      </c>
      <c r="E4192" s="14" t="str">
        <f>IFERROR(__xludf.DUMMYFUNCTION("""COMPUTED_VALUE"""),"Admin (Migrasi)")</f>
        <v>Admin (Migrasi)</v>
      </c>
      <c r="F4192" s="14" t="str">
        <f>IFERROR(__xludf.DUMMYFUNCTION("""COMPUTED_VALUE"""),"SELESAI (VIA PERMOHONAN)")</f>
        <v>SELESAI (VIA PERMOHONAN)</v>
      </c>
      <c r="G4192" s="17">
        <f>IFERROR(__xludf.DUMMYFUNCTION("""COMPUTED_VALUE"""),45954.47296974537)</f>
        <v>45954.47297</v>
      </c>
      <c r="H4192" s="14" t="str">
        <f>IFERROR(__xludf.DUMMYFUNCTION("""COMPUTED_VALUE"""),"Admin (Migrasi)")</f>
        <v>Admin (Migrasi)</v>
      </c>
      <c r="I4192" s="13" t="str">
        <f>IFERROR(__xludf.DUMMYFUNCTION("""COMPUTED_VALUE"""),"SELESAI (VIA PERMOHONAN)")</f>
        <v>SELESAI (VIA PERMOHONAN)</v>
      </c>
      <c r="J4192" s="17">
        <f>IFERROR(__xludf.DUMMYFUNCTION("""COMPUTED_VALUE"""),45954.47296974537)</f>
        <v>45954.47297</v>
      </c>
      <c r="K4192" s="13" t="str">
        <f>IFERROR(__xludf.DUMMYFUNCTION("""COMPUTED_VALUE"""),"Selesai")</f>
        <v>Selesai</v>
      </c>
      <c r="L4192" s="17">
        <f>IFERROR(__xludf.DUMMYFUNCTION("""COMPUTED_VALUE"""),45954.47296974537)</f>
        <v>45954.47297</v>
      </c>
      <c r="M4192" s="13"/>
      <c r="N4192" s="13" t="str">
        <f>IFERROR(__xludf.DUMMYFUNCTION("""COMPUTED_VALUE"""),"")</f>
        <v/>
      </c>
      <c r="O4192" s="13" t="str">
        <f t="shared" si="1"/>
        <v/>
      </c>
    </row>
    <row r="4193" ht="22.5" customHeight="1">
      <c r="B4193" s="13">
        <f>IFERROR(__xludf.DUMMYFUNCTION("""COMPUTED_VALUE"""),4188.0)</f>
        <v>4188</v>
      </c>
      <c r="C4193" s="13" t="str">
        <f>IFERROR(__xludf.DUMMYFUNCTION("""COMPUTED_VALUE"""),"M. 9177/Gedong Meneng")</f>
        <v>M. 9177/Gedong Meneng</v>
      </c>
      <c r="D4193" s="13" t="str">
        <f>IFERROR(__xludf.DUMMYFUNCTION("""COMPUTED_VALUE"""),"K/6/160925/2")</f>
        <v>K/6/160925/2</v>
      </c>
      <c r="E4193" s="14" t="str">
        <f>IFERROR(__xludf.DUMMYFUNCTION("""COMPUTED_VALUE"""),"Admin (Migrasi)")</f>
        <v>Admin (Migrasi)</v>
      </c>
      <c r="F4193" s="14" t="str">
        <f>IFERROR(__xludf.DUMMYFUNCTION("""COMPUTED_VALUE"""),"SELESAI (VIA PERMOHONAN)")</f>
        <v>SELESAI (VIA PERMOHONAN)</v>
      </c>
      <c r="G4193" s="17">
        <f>IFERROR(__xludf.DUMMYFUNCTION("""COMPUTED_VALUE"""),45954.47296974537)</f>
        <v>45954.47297</v>
      </c>
      <c r="H4193" s="14" t="str">
        <f>IFERROR(__xludf.DUMMYFUNCTION("""COMPUTED_VALUE"""),"Admin (Migrasi)")</f>
        <v>Admin (Migrasi)</v>
      </c>
      <c r="I4193" s="13" t="str">
        <f>IFERROR(__xludf.DUMMYFUNCTION("""COMPUTED_VALUE"""),"SELESAI (VIA PERMOHONAN)")</f>
        <v>SELESAI (VIA PERMOHONAN)</v>
      </c>
      <c r="J4193" s="17">
        <f>IFERROR(__xludf.DUMMYFUNCTION("""COMPUTED_VALUE"""),45954.47296974537)</f>
        <v>45954.47297</v>
      </c>
      <c r="K4193" s="13" t="str">
        <f>IFERROR(__xludf.DUMMYFUNCTION("""COMPUTED_VALUE"""),"Selesai")</f>
        <v>Selesai</v>
      </c>
      <c r="L4193" s="17">
        <f>IFERROR(__xludf.DUMMYFUNCTION("""COMPUTED_VALUE"""),45954.47296974537)</f>
        <v>45954.47297</v>
      </c>
      <c r="M4193" s="13"/>
      <c r="N4193" s="13" t="str">
        <f>IFERROR(__xludf.DUMMYFUNCTION("""COMPUTED_VALUE"""),"")</f>
        <v/>
      </c>
      <c r="O4193" s="13" t="str">
        <f t="shared" si="1"/>
        <v/>
      </c>
    </row>
    <row r="4194" ht="22.5" customHeight="1">
      <c r="B4194" s="13">
        <f>IFERROR(__xludf.DUMMYFUNCTION("""COMPUTED_VALUE"""),4189.0)</f>
        <v>4189</v>
      </c>
      <c r="C4194" s="13" t="str">
        <f>IFERROR(__xludf.DUMMYFUNCTION("""COMPUTED_VALUE"""),"Nibel 3070/Keteguhan	")</f>
        <v>Nibel 3070/Keteguhan	</v>
      </c>
      <c r="D4194" s="13" t="str">
        <f>IFERROR(__xludf.DUMMYFUNCTION("""COMPUTED_VALUE"""),"K/32/300925/1")</f>
        <v>K/32/300925/1</v>
      </c>
      <c r="E4194" s="14" t="str">
        <f>IFERROR(__xludf.DUMMYFUNCTION("""COMPUTED_VALUE"""),"Admin (Migrasi)")</f>
        <v>Admin (Migrasi)</v>
      </c>
      <c r="F4194" s="14" t="str">
        <f>IFERROR(__xludf.DUMMYFUNCTION("""COMPUTED_VALUE"""),"SELESAI (VIA PERMOHONAN)")</f>
        <v>SELESAI (VIA PERMOHONAN)</v>
      </c>
      <c r="G4194" s="17">
        <f>IFERROR(__xludf.DUMMYFUNCTION("""COMPUTED_VALUE"""),45954.47296974537)</f>
        <v>45954.47297</v>
      </c>
      <c r="H4194" s="14" t="str">
        <f>IFERROR(__xludf.DUMMYFUNCTION("""COMPUTED_VALUE"""),"Admin (Migrasi)")</f>
        <v>Admin (Migrasi)</v>
      </c>
      <c r="I4194" s="13" t="str">
        <f>IFERROR(__xludf.DUMMYFUNCTION("""COMPUTED_VALUE"""),"SELESAI (VIA PERMOHONAN)")</f>
        <v>SELESAI (VIA PERMOHONAN)</v>
      </c>
      <c r="J4194" s="17">
        <f>IFERROR(__xludf.DUMMYFUNCTION("""COMPUTED_VALUE"""),45954.47296974537)</f>
        <v>45954.47297</v>
      </c>
      <c r="K4194" s="13" t="str">
        <f>IFERROR(__xludf.DUMMYFUNCTION("""COMPUTED_VALUE"""),"Selesai")</f>
        <v>Selesai</v>
      </c>
      <c r="L4194" s="17">
        <f>IFERROR(__xludf.DUMMYFUNCTION("""COMPUTED_VALUE"""),45954.47296974537)</f>
        <v>45954.47297</v>
      </c>
      <c r="M4194" s="13"/>
      <c r="N4194" s="13" t="str">
        <f>IFERROR(__xludf.DUMMYFUNCTION("""COMPUTED_VALUE"""),"")</f>
        <v/>
      </c>
      <c r="O4194" s="13" t="str">
        <f t="shared" si="1"/>
        <v/>
      </c>
    </row>
    <row r="4195" ht="22.5" customHeight="1">
      <c r="B4195" s="13">
        <f>IFERROR(__xludf.DUMMYFUNCTION("""COMPUTED_VALUE"""),4190.0)</f>
        <v>4190</v>
      </c>
      <c r="C4195" s="13" t="str">
        <f>IFERROR(__xludf.DUMMYFUNCTION("""COMPUTED_VALUE"""),"M 10635/ SIDODADI")</f>
        <v>M 10635/ SIDODADI</v>
      </c>
      <c r="D4195" s="13" t="str">
        <f>IFERROR(__xludf.DUMMYFUNCTION("""COMPUTED_VALUE"""),"K/22/160925/1")</f>
        <v>K/22/160925/1</v>
      </c>
      <c r="E4195" s="14" t="str">
        <f>IFERROR(__xludf.DUMMYFUNCTION("""COMPUTED_VALUE"""),"Heri (BT)")</f>
        <v>Heri (BT)</v>
      </c>
      <c r="F4195" s="14" t="str">
        <f>IFERROR(__xludf.DUMMYFUNCTION("""COMPUTED_VALUE"""),"SELESAI (VIA PERMOHONAN)")</f>
        <v>SELESAI (VIA PERMOHONAN)</v>
      </c>
      <c r="G4195" s="17">
        <f>IFERROR(__xludf.DUMMYFUNCTION("""COMPUTED_VALUE"""),45958.62444083333)</f>
        <v>45958.62444</v>
      </c>
      <c r="H4195" s="14"/>
      <c r="I4195" s="13"/>
      <c r="J4195" s="17" t="str">
        <f>IFERROR(__xludf.DUMMYFUNCTION("""COMPUTED_VALUE"""),"")</f>
        <v/>
      </c>
      <c r="K4195" s="13" t="str">
        <f>IFERROR(__xludf.DUMMYFUNCTION("""COMPUTED_VALUE"""),"BT atau SU Belum Valid")</f>
        <v>BT atau SU Belum Valid</v>
      </c>
      <c r="L4195" s="13" t="str">
        <f>IFERROR(__xludf.DUMMYFUNCTION("""COMPUTED_VALUE"""),"")</f>
        <v/>
      </c>
      <c r="M4195" s="13"/>
      <c r="N4195" s="13" t="str">
        <f>IFERROR(__xludf.DUMMYFUNCTION("""COMPUTED_VALUE"""),"")</f>
        <v/>
      </c>
      <c r="O4195" s="13" t="str">
        <f t="shared" si="1"/>
        <v/>
      </c>
    </row>
    <row r="4196" ht="22.5" customHeight="1">
      <c r="B4196" s="13">
        <f>IFERROR(__xludf.DUMMYFUNCTION("""COMPUTED_VALUE"""),4191.0)</f>
        <v>4191</v>
      </c>
      <c r="C4196" s="13" t="str">
        <f>IFERROR(__xludf.DUMMYFUNCTION("""COMPUTED_VALUE"""),"M 953/ PESAWAHAN")</f>
        <v>M 953/ PESAWAHAN</v>
      </c>
      <c r="D4196" s="13" t="str">
        <f>IFERROR(__xludf.DUMMYFUNCTION("""COMPUTED_VALUE"""),"K/4/011025/1")</f>
        <v>K/4/011025/1</v>
      </c>
      <c r="E4196" s="14" t="str">
        <f>IFERROR(__xludf.DUMMYFUNCTION("""COMPUTED_VALUE"""),"Heri (BT)")</f>
        <v>Heri (BT)</v>
      </c>
      <c r="F4196" s="14" t="str">
        <f>IFERROR(__xludf.DUMMYFUNCTION("""COMPUTED_VALUE"""),"SELESAI (VIA PERMOHONAN)")</f>
        <v>SELESAI (VIA PERMOHONAN)</v>
      </c>
      <c r="G4196" s="17">
        <f>IFERROR(__xludf.DUMMYFUNCTION("""COMPUTED_VALUE"""),45958.62455857639)</f>
        <v>45958.62456</v>
      </c>
      <c r="H4196" s="14" t="str">
        <f>IFERROR(__xludf.DUMMYFUNCTION("""COMPUTED_VALUE"""),"Aprill (SU)")</f>
        <v>Aprill (SU)</v>
      </c>
      <c r="I4196" s="13" t="str">
        <f>IFERROR(__xludf.DUMMYFUNCTION("""COMPUTED_VALUE"""),"SELESAI (VIA PERMOHONAN)")</f>
        <v>SELESAI (VIA PERMOHONAN)</v>
      </c>
      <c r="J4196" s="17">
        <f>IFERROR(__xludf.DUMMYFUNCTION("""COMPUTED_VALUE"""),45961.62304814815)</f>
        <v>45961.62305</v>
      </c>
      <c r="K4196" s="13" t="str">
        <f>IFERROR(__xludf.DUMMYFUNCTION("""COMPUTED_VALUE"""),"Selesai")</f>
        <v>Selesai</v>
      </c>
      <c r="L4196" s="17">
        <f>IFERROR(__xludf.DUMMYFUNCTION("""COMPUTED_VALUE"""),45961.62304814815)</f>
        <v>45961.62305</v>
      </c>
      <c r="M4196" s="13"/>
      <c r="N4196" s="13" t="str">
        <f>IFERROR(__xludf.DUMMYFUNCTION("""COMPUTED_VALUE"""),"")</f>
        <v/>
      </c>
      <c r="O4196" s="13" t="str">
        <f t="shared" si="1"/>
        <v/>
      </c>
    </row>
    <row r="4197" ht="22.5" customHeight="1">
      <c r="B4197" s="13">
        <f>IFERROR(__xludf.DUMMYFUNCTION("""COMPUTED_VALUE"""),4192.0)</f>
        <v>4192</v>
      </c>
      <c r="C4197" s="13" t="str">
        <f>IFERROR(__xludf.DUMMYFUNCTION("""COMPUTED_VALUE"""),"M 9954/ RAJABASA")</f>
        <v>M 9954/ RAJABASA</v>
      </c>
      <c r="D4197" s="13"/>
      <c r="E4197" s="14" t="str">
        <f>IFERROR(__xludf.DUMMYFUNCTION("""COMPUTED_VALUE"""),"Heri (BT)")</f>
        <v>Heri (BT)</v>
      </c>
      <c r="F4197" s="14" t="str">
        <f>IFERROR(__xludf.DUMMYFUNCTION("""COMPUTED_VALUE"""),"SELESAI (VIA PERMOHONAN)")</f>
        <v>SELESAI (VIA PERMOHONAN)</v>
      </c>
      <c r="G4197" s="17">
        <f>IFERROR(__xludf.DUMMYFUNCTION("""COMPUTED_VALUE"""),45958.62474395834)</f>
        <v>45958.62474</v>
      </c>
      <c r="H4197" s="14"/>
      <c r="I4197" s="13"/>
      <c r="J4197" s="17" t="str">
        <f>IFERROR(__xludf.DUMMYFUNCTION("""COMPUTED_VALUE"""),"")</f>
        <v/>
      </c>
      <c r="K4197" s="13" t="str">
        <f>IFERROR(__xludf.DUMMYFUNCTION("""COMPUTED_VALUE"""),"")</f>
        <v/>
      </c>
      <c r="L4197" s="13" t="str">
        <f>IFERROR(__xludf.DUMMYFUNCTION("""COMPUTED_VALUE"""),"")</f>
        <v/>
      </c>
      <c r="M4197" s="13"/>
      <c r="N4197" s="13" t="str">
        <f>IFERROR(__xludf.DUMMYFUNCTION("""COMPUTED_VALUE"""),"")</f>
        <v/>
      </c>
      <c r="O4197" s="13" t="str">
        <f t="shared" si="1"/>
        <v/>
      </c>
    </row>
    <row r="4198" ht="22.5" customHeight="1">
      <c r="B4198" s="13">
        <f>IFERROR(__xludf.DUMMYFUNCTION("""COMPUTED_VALUE"""),4193.0)</f>
        <v>4193</v>
      </c>
      <c r="C4198" s="13" t="str">
        <f>IFERROR(__xludf.DUMMYFUNCTION("""COMPUTED_VALUE"""),"M.4546/WAY KANDIS")</f>
        <v>M.4546/WAY KANDIS</v>
      </c>
      <c r="D4198" s="13" t="str">
        <f>IFERROR(__xludf.DUMMYFUNCTION("""COMPUTED_VALUE"""),"K/43/030925/1")</f>
        <v>K/43/030925/1</v>
      </c>
      <c r="E4198" s="14" t="str">
        <f>IFERROR(__xludf.DUMMYFUNCTION("""COMPUTED_VALUE"""),"Heri (BT)")</f>
        <v>Heri (BT)</v>
      </c>
      <c r="F4198" s="14" t="str">
        <f>IFERROR(__xludf.DUMMYFUNCTION("""COMPUTED_VALUE"""),"SELESAI (VIA PERMOHONAN)")</f>
        <v>SELESAI (VIA PERMOHONAN)</v>
      </c>
      <c r="G4198" s="17">
        <f>IFERROR(__xludf.DUMMYFUNCTION("""COMPUTED_VALUE"""),45958.625058668986)</f>
        <v>45958.62506</v>
      </c>
      <c r="H4198" s="14"/>
      <c r="I4198" s="13"/>
      <c r="J4198" s="17" t="str">
        <f>IFERROR(__xludf.DUMMYFUNCTION("""COMPUTED_VALUE"""),"")</f>
        <v/>
      </c>
      <c r="K4198" s="13" t="str">
        <f>IFERROR(__xludf.DUMMYFUNCTION("""COMPUTED_VALUE"""),"BT atau SU Belum Valid")</f>
        <v>BT atau SU Belum Valid</v>
      </c>
      <c r="L4198" s="13" t="str">
        <f>IFERROR(__xludf.DUMMYFUNCTION("""COMPUTED_VALUE"""),"")</f>
        <v/>
      </c>
      <c r="M4198" s="13"/>
      <c r="N4198" s="13" t="str">
        <f>IFERROR(__xludf.DUMMYFUNCTION("""COMPUTED_VALUE"""),"")</f>
        <v/>
      </c>
      <c r="O4198" s="13" t="str">
        <f t="shared" si="1"/>
        <v/>
      </c>
    </row>
    <row r="4199" ht="22.5" customHeight="1">
      <c r="B4199" s="13">
        <f>IFERROR(__xludf.DUMMYFUNCTION("""COMPUTED_VALUE"""),4194.0)</f>
        <v>4194</v>
      </c>
      <c r="C4199" s="13" t="str">
        <f>IFERROR(__xludf.DUMMYFUNCTION("""COMPUTED_VALUE"""),"B. 100/KAMPUNG BARU RAYA")</f>
        <v>B. 100/KAMPUNG BARU RAYA</v>
      </c>
      <c r="D4199" s="13" t="str">
        <f>IFERROR(__xludf.DUMMYFUNCTION("""COMPUTED_VALUE"""),"L/26/091025/2")</f>
        <v>L/26/091025/2</v>
      </c>
      <c r="E4199" s="14" t="str">
        <f>IFERROR(__xludf.DUMMYFUNCTION("""COMPUTED_VALUE"""),"Heri (BT)")</f>
        <v>Heri (BT)</v>
      </c>
      <c r="F4199" s="14" t="str">
        <f>IFERROR(__xludf.DUMMYFUNCTION("""COMPUTED_VALUE"""),"SELESAI (VIA PERMOHONAN)")</f>
        <v>SELESAI (VIA PERMOHONAN)</v>
      </c>
      <c r="G4199" s="17">
        <f>IFERROR(__xludf.DUMMYFUNCTION("""COMPUTED_VALUE"""),45958.62525144676)</f>
        <v>45958.62525</v>
      </c>
      <c r="H4199" s="14" t="str">
        <f>IFERROR(__xludf.DUMMYFUNCTION("""COMPUTED_VALUE"""),"Aprill (SU)")</f>
        <v>Aprill (SU)</v>
      </c>
      <c r="I4199" s="13" t="str">
        <f>IFERROR(__xludf.DUMMYFUNCTION("""COMPUTED_VALUE"""),"SELESAI (VIA PERMOHONAN)")</f>
        <v>SELESAI (VIA PERMOHONAN)</v>
      </c>
      <c r="J4199" s="17">
        <f>IFERROR(__xludf.DUMMYFUNCTION("""COMPUTED_VALUE"""),45961.63478814815)</f>
        <v>45961.63479</v>
      </c>
      <c r="K4199" s="13" t="str">
        <f>IFERROR(__xludf.DUMMYFUNCTION("""COMPUTED_VALUE"""),"Selesai")</f>
        <v>Selesai</v>
      </c>
      <c r="L4199" s="17">
        <f>IFERROR(__xludf.DUMMYFUNCTION("""COMPUTED_VALUE"""),45961.63478814815)</f>
        <v>45961.63479</v>
      </c>
      <c r="M4199" s="13"/>
      <c r="N4199" s="13" t="str">
        <f>IFERROR(__xludf.DUMMYFUNCTION("""COMPUTED_VALUE"""),"")</f>
        <v/>
      </c>
      <c r="O4199" s="13" t="str">
        <f t="shared" si="1"/>
        <v/>
      </c>
    </row>
    <row r="4200" ht="22.5" customHeight="1">
      <c r="B4200" s="13">
        <f>IFERROR(__xludf.DUMMYFUNCTION("""COMPUTED_VALUE"""),4195.0)</f>
        <v>4195</v>
      </c>
      <c r="C4200" s="13" t="str">
        <f>IFERROR(__xludf.DUMMYFUNCTION("""COMPUTED_VALUE"""),"B. 105/KAMPUNG BARU RAYA")</f>
        <v>B. 105/KAMPUNG BARU RAYA</v>
      </c>
      <c r="D4200" s="13" t="str">
        <f>IFERROR(__xludf.DUMMYFUNCTION("""COMPUTED_VALUE"""),"L/25/091025/1")</f>
        <v>L/25/091025/1</v>
      </c>
      <c r="E4200" s="14" t="str">
        <f>IFERROR(__xludf.DUMMYFUNCTION("""COMPUTED_VALUE"""),"Heri (BT)")</f>
        <v>Heri (BT)</v>
      </c>
      <c r="F4200" s="14" t="str">
        <f>IFERROR(__xludf.DUMMYFUNCTION("""COMPUTED_VALUE"""),"SELESAI (VIA PERMOHONAN)")</f>
        <v>SELESAI (VIA PERMOHONAN)</v>
      </c>
      <c r="G4200" s="17">
        <f>IFERROR(__xludf.DUMMYFUNCTION("""COMPUTED_VALUE"""),45958.62533418981)</f>
        <v>45958.62533</v>
      </c>
      <c r="H4200" s="14" t="str">
        <f>IFERROR(__xludf.DUMMYFUNCTION("""COMPUTED_VALUE"""),"Aprill (SU)")</f>
        <v>Aprill (SU)</v>
      </c>
      <c r="I4200" s="13" t="str">
        <f>IFERROR(__xludf.DUMMYFUNCTION("""COMPUTED_VALUE"""),"SELESAI (VIA PERMOHONAN)")</f>
        <v>SELESAI (VIA PERMOHONAN)</v>
      </c>
      <c r="J4200" s="17">
        <f>IFERROR(__xludf.DUMMYFUNCTION("""COMPUTED_VALUE"""),45961.63438582176)</f>
        <v>45961.63439</v>
      </c>
      <c r="K4200" s="13" t="str">
        <f>IFERROR(__xludf.DUMMYFUNCTION("""COMPUTED_VALUE"""),"Selesai")</f>
        <v>Selesai</v>
      </c>
      <c r="L4200" s="17">
        <f>IFERROR(__xludf.DUMMYFUNCTION("""COMPUTED_VALUE"""),45961.63438582176)</f>
        <v>45961.63439</v>
      </c>
      <c r="M4200" s="13"/>
      <c r="N4200" s="13" t="str">
        <f>IFERROR(__xludf.DUMMYFUNCTION("""COMPUTED_VALUE"""),"")</f>
        <v/>
      </c>
      <c r="O4200" s="13" t="str">
        <f t="shared" si="1"/>
        <v/>
      </c>
    </row>
    <row r="4201" ht="22.5" customHeight="1">
      <c r="B4201" s="13">
        <f>IFERROR(__xludf.DUMMYFUNCTION("""COMPUTED_VALUE"""),4196.0)</f>
        <v>4196</v>
      </c>
      <c r="C4201" s="13" t="str">
        <f>IFERROR(__xludf.DUMMYFUNCTION("""COMPUTED_VALUE"""),"B. 2833/SUKABUMI")</f>
        <v>B. 2833/SUKABUMI</v>
      </c>
      <c r="D4201" s="13" t="str">
        <f>IFERROR(__xludf.DUMMYFUNCTION("""COMPUTED_VALUE"""),"L/41/091025/1")</f>
        <v>L/41/091025/1</v>
      </c>
      <c r="E4201" s="14" t="str">
        <f>IFERROR(__xludf.DUMMYFUNCTION("""COMPUTED_VALUE"""),"Heri (BT)")</f>
        <v>Heri (BT)</v>
      </c>
      <c r="F4201" s="14" t="str">
        <f>IFERROR(__xludf.DUMMYFUNCTION("""COMPUTED_VALUE"""),"SELESAI (VIA PERMOHONAN)")</f>
        <v>SELESAI (VIA PERMOHONAN)</v>
      </c>
      <c r="G4201" s="17">
        <f>IFERROR(__xludf.DUMMYFUNCTION("""COMPUTED_VALUE"""),45958.625474976856)</f>
        <v>45958.62547</v>
      </c>
      <c r="H4201" s="14" t="str">
        <f>IFERROR(__xludf.DUMMYFUNCTION("""COMPUTED_VALUE"""),"Aprill (SU)")</f>
        <v>Aprill (SU)</v>
      </c>
      <c r="I4201" s="13" t="str">
        <f>IFERROR(__xludf.DUMMYFUNCTION("""COMPUTED_VALUE"""),"SELESAI (VIA PERMOHONAN)")</f>
        <v>SELESAI (VIA PERMOHONAN)</v>
      </c>
      <c r="J4201" s="17">
        <f>IFERROR(__xludf.DUMMYFUNCTION("""COMPUTED_VALUE"""),45961.63596193287)</f>
        <v>45961.63596</v>
      </c>
      <c r="K4201" s="13" t="str">
        <f>IFERROR(__xludf.DUMMYFUNCTION("""COMPUTED_VALUE"""),"Selesai")</f>
        <v>Selesai</v>
      </c>
      <c r="L4201" s="17">
        <f>IFERROR(__xludf.DUMMYFUNCTION("""COMPUTED_VALUE"""),45961.63596193287)</f>
        <v>45961.63596</v>
      </c>
      <c r="M4201" s="13"/>
      <c r="N4201" s="13" t="str">
        <f>IFERROR(__xludf.DUMMYFUNCTION("""COMPUTED_VALUE"""),"")</f>
        <v/>
      </c>
      <c r="O4201" s="13" t="str">
        <f t="shared" si="1"/>
        <v/>
      </c>
    </row>
    <row r="4202" ht="22.5" customHeight="1">
      <c r="B4202" s="13">
        <f>IFERROR(__xludf.DUMMYFUNCTION("""COMPUTED_VALUE"""),4197.0)</f>
        <v>4197</v>
      </c>
      <c r="C4202" s="13" t="str">
        <f>IFERROR(__xludf.DUMMYFUNCTION("""COMPUTED_VALUE"""),"B. 2584/SUKABUMI")</f>
        <v>B. 2584/SUKABUMI</v>
      </c>
      <c r="D4202" s="13" t="str">
        <f>IFERROR(__xludf.DUMMYFUNCTION("""COMPUTED_VALUE"""),"L/15/091025/1")</f>
        <v>L/15/091025/1</v>
      </c>
      <c r="E4202" s="14" t="str">
        <f>IFERROR(__xludf.DUMMYFUNCTION("""COMPUTED_VALUE"""),"Heri (BT)")</f>
        <v>Heri (BT)</v>
      </c>
      <c r="F4202" s="14" t="str">
        <f>IFERROR(__xludf.DUMMYFUNCTION("""COMPUTED_VALUE"""),"SELESAI (VIA PERMOHONAN)")</f>
        <v>SELESAI (VIA PERMOHONAN)</v>
      </c>
      <c r="G4202" s="17">
        <f>IFERROR(__xludf.DUMMYFUNCTION("""COMPUTED_VALUE"""),45958.62560550926)</f>
        <v>45958.62561</v>
      </c>
      <c r="H4202" s="14"/>
      <c r="I4202" s="13"/>
      <c r="J4202" s="17" t="str">
        <f>IFERROR(__xludf.DUMMYFUNCTION("""COMPUTED_VALUE"""),"")</f>
        <v/>
      </c>
      <c r="K4202" s="13" t="str">
        <f>IFERROR(__xludf.DUMMYFUNCTION("""COMPUTED_VALUE"""),"BT atau SU Belum Valid")</f>
        <v>BT atau SU Belum Valid</v>
      </c>
      <c r="L4202" s="13" t="str">
        <f>IFERROR(__xludf.DUMMYFUNCTION("""COMPUTED_VALUE"""),"")</f>
        <v/>
      </c>
      <c r="M4202" s="13"/>
      <c r="N4202" s="13" t="str">
        <f>IFERROR(__xludf.DUMMYFUNCTION("""COMPUTED_VALUE"""),"")</f>
        <v/>
      </c>
      <c r="O4202" s="13" t="str">
        <f t="shared" si="1"/>
        <v/>
      </c>
    </row>
    <row r="4203" ht="22.5" customHeight="1">
      <c r="B4203" s="13">
        <f>IFERROR(__xludf.DUMMYFUNCTION("""COMPUTED_VALUE"""),4198.0)</f>
        <v>4198</v>
      </c>
      <c r="C4203" s="13" t="str">
        <f>IFERROR(__xludf.DUMMYFUNCTION("""COMPUTED_VALUE"""),"M. 1513/Kangkung")</f>
        <v>M. 1513/Kangkung</v>
      </c>
      <c r="D4203" s="13" t="str">
        <f>IFERROR(__xludf.DUMMYFUNCTION("""COMPUTED_VALUE"""),"K/34/091025/3")</f>
        <v>K/34/091025/3</v>
      </c>
      <c r="E4203" s="14" t="str">
        <f>IFERROR(__xludf.DUMMYFUNCTION("""COMPUTED_VALUE"""),"Heri (BT)")</f>
        <v>Heri (BT)</v>
      </c>
      <c r="F4203" s="14" t="str">
        <f>IFERROR(__xludf.DUMMYFUNCTION("""COMPUTED_VALUE"""),"SELESAI (VIA PERMOHONAN)")</f>
        <v>SELESAI (VIA PERMOHONAN)</v>
      </c>
      <c r="G4203" s="17">
        <f>IFERROR(__xludf.DUMMYFUNCTION("""COMPUTED_VALUE"""),45958.625911932875)</f>
        <v>45958.62591</v>
      </c>
      <c r="H4203" s="14"/>
      <c r="I4203" s="13"/>
      <c r="J4203" s="17" t="str">
        <f>IFERROR(__xludf.DUMMYFUNCTION("""COMPUTED_VALUE"""),"")</f>
        <v/>
      </c>
      <c r="K4203" s="13" t="str">
        <f>IFERROR(__xludf.DUMMYFUNCTION("""COMPUTED_VALUE"""),"BT atau SU Belum Valid")</f>
        <v>BT atau SU Belum Valid</v>
      </c>
      <c r="L4203" s="13" t="str">
        <f>IFERROR(__xludf.DUMMYFUNCTION("""COMPUTED_VALUE"""),"")</f>
        <v/>
      </c>
      <c r="M4203" s="13"/>
      <c r="N4203" s="13" t="str">
        <f>IFERROR(__xludf.DUMMYFUNCTION("""COMPUTED_VALUE"""),"")</f>
        <v/>
      </c>
      <c r="O4203" s="13" t="str">
        <f t="shared" si="1"/>
        <v/>
      </c>
    </row>
    <row r="4204" ht="22.5" customHeight="1">
      <c r="B4204" s="13">
        <f>IFERROR(__xludf.DUMMYFUNCTION("""COMPUTED_VALUE"""),4199.0)</f>
        <v>4199</v>
      </c>
      <c r="C4204" s="13" t="str">
        <f>IFERROR(__xludf.DUMMYFUNCTION("""COMPUTED_VALUE"""),"B 2117/ PERUMNAS WAY HALIM")</f>
        <v>B 2117/ PERUMNAS WAY HALIM</v>
      </c>
      <c r="D4204" s="13" t="str">
        <f>IFERROR(__xludf.DUMMYFUNCTION("""COMPUTED_VALUE"""),"K/37/021025/1")</f>
        <v>K/37/021025/1</v>
      </c>
      <c r="E4204" s="14" t="str">
        <f>IFERROR(__xludf.DUMMYFUNCTION("""COMPUTED_VALUE"""),"Heri (BT)")</f>
        <v>Heri (BT)</v>
      </c>
      <c r="F4204" s="14" t="str">
        <f>IFERROR(__xludf.DUMMYFUNCTION("""COMPUTED_VALUE"""),"SELESAI (VIA PERMOHONAN)")</f>
        <v>SELESAI (VIA PERMOHONAN)</v>
      </c>
      <c r="G4204" s="17">
        <f>IFERROR(__xludf.DUMMYFUNCTION("""COMPUTED_VALUE"""),45958.62607114583)</f>
        <v>45958.62607</v>
      </c>
      <c r="H4204" s="14"/>
      <c r="I4204" s="13"/>
      <c r="J4204" s="17" t="str">
        <f>IFERROR(__xludf.DUMMYFUNCTION("""COMPUTED_VALUE"""),"")</f>
        <v/>
      </c>
      <c r="K4204" s="13" t="str">
        <f>IFERROR(__xludf.DUMMYFUNCTION("""COMPUTED_VALUE"""),"BT atau SU Belum Valid")</f>
        <v>BT atau SU Belum Valid</v>
      </c>
      <c r="L4204" s="13" t="str">
        <f>IFERROR(__xludf.DUMMYFUNCTION("""COMPUTED_VALUE"""),"")</f>
        <v/>
      </c>
      <c r="M4204" s="13"/>
      <c r="N4204" s="13" t="str">
        <f>IFERROR(__xludf.DUMMYFUNCTION("""COMPUTED_VALUE"""),"")</f>
        <v/>
      </c>
      <c r="O4204" s="13" t="str">
        <f t="shared" si="1"/>
        <v/>
      </c>
    </row>
    <row r="4205" ht="22.5" customHeight="1">
      <c r="B4205" s="13">
        <f>IFERROR(__xludf.DUMMYFUNCTION("""COMPUTED_VALUE"""),4200.0)</f>
        <v>4200</v>
      </c>
      <c r="C4205" s="13" t="str">
        <f>IFERROR(__xludf.DUMMYFUNCTION("""COMPUTED_VALUE"""),"M 1880/ RAJABASA RAYA")</f>
        <v>M 1880/ RAJABASA RAYA</v>
      </c>
      <c r="D4205" s="13" t="str">
        <f>IFERROR(__xludf.DUMMYFUNCTION("""COMPUTED_VALUE"""),"K/24/230925/1")</f>
        <v>K/24/230925/1</v>
      </c>
      <c r="E4205" s="14" t="str">
        <f>IFERROR(__xludf.DUMMYFUNCTION("""COMPUTED_VALUE"""),"Heri (BT)")</f>
        <v>Heri (BT)</v>
      </c>
      <c r="F4205" s="14" t="str">
        <f>IFERROR(__xludf.DUMMYFUNCTION("""COMPUTED_VALUE"""),"SELESAI (VIA PERMOHONAN)")</f>
        <v>SELESAI (VIA PERMOHONAN)</v>
      </c>
      <c r="G4205" s="17">
        <f>IFERROR(__xludf.DUMMYFUNCTION("""COMPUTED_VALUE"""),45958.62621314815)</f>
        <v>45958.62621</v>
      </c>
      <c r="H4205" s="14"/>
      <c r="I4205" s="13"/>
      <c r="J4205" s="17" t="str">
        <f>IFERROR(__xludf.DUMMYFUNCTION("""COMPUTED_VALUE"""),"")</f>
        <v/>
      </c>
      <c r="K4205" s="13" t="str">
        <f>IFERROR(__xludf.DUMMYFUNCTION("""COMPUTED_VALUE"""),"BT atau SU Belum Valid")</f>
        <v>BT atau SU Belum Valid</v>
      </c>
      <c r="L4205" s="13" t="str">
        <f>IFERROR(__xludf.DUMMYFUNCTION("""COMPUTED_VALUE"""),"")</f>
        <v/>
      </c>
      <c r="M4205" s="13"/>
      <c r="N4205" s="13" t="str">
        <f>IFERROR(__xludf.DUMMYFUNCTION("""COMPUTED_VALUE"""),"")</f>
        <v/>
      </c>
      <c r="O4205" s="13" t="str">
        <f t="shared" si="1"/>
        <v/>
      </c>
    </row>
    <row r="4206" ht="22.5" customHeight="1">
      <c r="B4206" s="13">
        <f>IFERROR(__xludf.DUMMYFUNCTION("""COMPUTED_VALUE"""),4201.0)</f>
        <v>4201</v>
      </c>
      <c r="C4206" s="13" t="str">
        <f>IFERROR(__xludf.DUMMYFUNCTION("""COMPUTED_VALUE"""),"M 13889/ SEGALA MIDER")</f>
        <v>M 13889/ SEGALA MIDER</v>
      </c>
      <c r="D4206" s="13" t="str">
        <f>IFERROR(__xludf.DUMMYFUNCTION("""COMPUTED_VALUE"""),"K/34/290925/1")</f>
        <v>K/34/290925/1</v>
      </c>
      <c r="E4206" s="14" t="str">
        <f>IFERROR(__xludf.DUMMYFUNCTION("""COMPUTED_VALUE"""),"Heri (BT)")</f>
        <v>Heri (BT)</v>
      </c>
      <c r="F4206" s="14" t="str">
        <f>IFERROR(__xludf.DUMMYFUNCTION("""COMPUTED_VALUE"""),"SELESAI (VIA PERMOHONAN)")</f>
        <v>SELESAI (VIA PERMOHONAN)</v>
      </c>
      <c r="G4206" s="17">
        <f>IFERROR(__xludf.DUMMYFUNCTION("""COMPUTED_VALUE"""),45958.62647313657)</f>
        <v>45958.62647</v>
      </c>
      <c r="H4206" s="14"/>
      <c r="I4206" s="13"/>
      <c r="J4206" s="17" t="str">
        <f>IFERROR(__xludf.DUMMYFUNCTION("""COMPUTED_VALUE"""),"")</f>
        <v/>
      </c>
      <c r="K4206" s="13" t="str">
        <f>IFERROR(__xludf.DUMMYFUNCTION("""COMPUTED_VALUE"""),"BT atau SU Belum Valid")</f>
        <v>BT atau SU Belum Valid</v>
      </c>
      <c r="L4206" s="13" t="str">
        <f>IFERROR(__xludf.DUMMYFUNCTION("""COMPUTED_VALUE"""),"")</f>
        <v/>
      </c>
      <c r="M4206" s="13"/>
      <c r="N4206" s="13" t="str">
        <f>IFERROR(__xludf.DUMMYFUNCTION("""COMPUTED_VALUE"""),"")</f>
        <v/>
      </c>
      <c r="O4206" s="13" t="str">
        <f t="shared" si="1"/>
        <v/>
      </c>
    </row>
    <row r="4207" ht="22.5" customHeight="1">
      <c r="B4207" s="13">
        <f>IFERROR(__xludf.DUMMYFUNCTION("""COMPUTED_VALUE"""),4202.0)</f>
        <v>4202</v>
      </c>
      <c r="C4207" s="13" t="str">
        <f>IFERROR(__xludf.DUMMYFUNCTION("""COMPUTED_VALUE"""),"B. 612/ Perumnas Way Kandis")</f>
        <v>B. 612/ Perumnas Way Kandis</v>
      </c>
      <c r="D4207" s="13" t="str">
        <f>IFERROR(__xludf.DUMMYFUNCTION("""COMPUTED_VALUE"""),"K/21/140525/1")</f>
        <v>K/21/140525/1</v>
      </c>
      <c r="E4207" s="14" t="str">
        <f>IFERROR(__xludf.DUMMYFUNCTION("""COMPUTED_VALUE"""),"Heri (BT)")</f>
        <v>Heri (BT)</v>
      </c>
      <c r="F4207" s="14" t="str">
        <f>IFERROR(__xludf.DUMMYFUNCTION("""COMPUTED_VALUE"""),"SELESAI (VIA PERMOHONAN)")</f>
        <v>SELESAI (VIA PERMOHONAN)</v>
      </c>
      <c r="G4207" s="17">
        <f>IFERROR(__xludf.DUMMYFUNCTION("""COMPUTED_VALUE"""),45958.626660925926)</f>
        <v>45958.62666</v>
      </c>
      <c r="H4207" s="14" t="str">
        <f>IFERROR(__xludf.DUMMYFUNCTION("""COMPUTED_VALUE"""),"Aprill (SU)")</f>
        <v>Aprill (SU)</v>
      </c>
      <c r="I4207" s="13" t="str">
        <f>IFERROR(__xludf.DUMMYFUNCTION("""COMPUTED_VALUE"""),"SELESAI (VIA PERMOHONAN)")</f>
        <v>SELESAI (VIA PERMOHONAN)</v>
      </c>
      <c r="J4207" s="17">
        <f>IFERROR(__xludf.DUMMYFUNCTION("""COMPUTED_VALUE"""),45971.65218644676)</f>
        <v>45971.65219</v>
      </c>
      <c r="K4207" s="13" t="str">
        <f>IFERROR(__xludf.DUMMYFUNCTION("""COMPUTED_VALUE"""),"Selesai")</f>
        <v>Selesai</v>
      </c>
      <c r="L4207" s="17">
        <f>IFERROR(__xludf.DUMMYFUNCTION("""COMPUTED_VALUE"""),45971.65218644676)</f>
        <v>45971.65219</v>
      </c>
      <c r="M4207" s="13"/>
      <c r="N4207" s="13" t="str">
        <f>IFERROR(__xludf.DUMMYFUNCTION("""COMPUTED_VALUE"""),"")</f>
        <v/>
      </c>
      <c r="O4207" s="13" t="str">
        <f t="shared" si="1"/>
        <v/>
      </c>
    </row>
    <row r="4208" ht="22.5" customHeight="1">
      <c r="B4208" s="13">
        <f>IFERROR(__xludf.DUMMYFUNCTION("""COMPUTED_VALUE"""),4203.0)</f>
        <v>4203</v>
      </c>
      <c r="C4208" s="13" t="str">
        <f>IFERROR(__xludf.DUMMYFUNCTION("""COMPUTED_VALUE"""),"M 11450/ SEGALA MIDER")</f>
        <v>M 11450/ SEGALA MIDER</v>
      </c>
      <c r="D4208" s="13" t="str">
        <f>IFERROR(__xludf.DUMMYFUNCTION("""COMPUTED_VALUE"""),"K/9/091025/1")</f>
        <v>K/9/091025/1</v>
      </c>
      <c r="E4208" s="14" t="str">
        <f>IFERROR(__xludf.DUMMYFUNCTION("""COMPUTED_VALUE"""),"Heri (BT)")</f>
        <v>Heri (BT)</v>
      </c>
      <c r="F4208" s="14" t="str">
        <f>IFERROR(__xludf.DUMMYFUNCTION("""COMPUTED_VALUE"""),"SELESAI (VIA PERMOHONAN)")</f>
        <v>SELESAI (VIA PERMOHONAN)</v>
      </c>
      <c r="G4208" s="17">
        <f>IFERROR(__xludf.DUMMYFUNCTION("""COMPUTED_VALUE"""),45958.626741747685)</f>
        <v>45958.62674</v>
      </c>
      <c r="H4208" s="14" t="str">
        <f>IFERROR(__xludf.DUMMYFUNCTION("""COMPUTED_VALUE"""),"Aprill (SU)")</f>
        <v>Aprill (SU)</v>
      </c>
      <c r="I4208" s="13" t="str">
        <f>IFERROR(__xludf.DUMMYFUNCTION("""COMPUTED_VALUE"""),"SELESAI (VIA PERMOHONAN)")</f>
        <v>SELESAI (VIA PERMOHONAN)</v>
      </c>
      <c r="J4208" s="17">
        <f>IFERROR(__xludf.DUMMYFUNCTION("""COMPUTED_VALUE"""),45971.652843414355)</f>
        <v>45971.65284</v>
      </c>
      <c r="K4208" s="13" t="str">
        <f>IFERROR(__xludf.DUMMYFUNCTION("""COMPUTED_VALUE"""),"Selesai")</f>
        <v>Selesai</v>
      </c>
      <c r="L4208" s="17">
        <f>IFERROR(__xludf.DUMMYFUNCTION("""COMPUTED_VALUE"""),45971.652843414355)</f>
        <v>45971.65284</v>
      </c>
      <c r="M4208" s="13"/>
      <c r="N4208" s="13" t="str">
        <f>IFERROR(__xludf.DUMMYFUNCTION("""COMPUTED_VALUE"""),"")</f>
        <v/>
      </c>
      <c r="O4208" s="13" t="str">
        <f t="shared" si="1"/>
        <v/>
      </c>
    </row>
    <row r="4209" ht="22.5" customHeight="1">
      <c r="B4209" s="13">
        <f>IFERROR(__xludf.DUMMYFUNCTION("""COMPUTED_VALUE"""),4204.0)</f>
        <v>4204</v>
      </c>
      <c r="C4209" s="13" t="str">
        <f>IFERROR(__xludf.DUMMYFUNCTION("""COMPUTED_VALUE"""),"M 5165/ RAJABASA JAYA")</f>
        <v>M 5165/ RAJABASA JAYA</v>
      </c>
      <c r="D4209" s="13" t="str">
        <f>IFERROR(__xludf.DUMMYFUNCTION("""COMPUTED_VALUE"""),"K/11/300925/3")</f>
        <v>K/11/300925/3</v>
      </c>
      <c r="E4209" s="14" t="str">
        <f>IFERROR(__xludf.DUMMYFUNCTION("""COMPUTED_VALUE"""),"Heri (BT)")</f>
        <v>Heri (BT)</v>
      </c>
      <c r="F4209" s="14" t="str">
        <f>IFERROR(__xludf.DUMMYFUNCTION("""COMPUTED_VALUE"""),"SELESAI (VIA PERMOHONAN)")</f>
        <v>SELESAI (VIA PERMOHONAN)</v>
      </c>
      <c r="G4209" s="17">
        <f>IFERROR(__xludf.DUMMYFUNCTION("""COMPUTED_VALUE"""),45958.626872685185)</f>
        <v>45958.62687</v>
      </c>
      <c r="H4209" s="14"/>
      <c r="I4209" s="13"/>
      <c r="J4209" s="17" t="str">
        <f>IFERROR(__xludf.DUMMYFUNCTION("""COMPUTED_VALUE"""),"")</f>
        <v/>
      </c>
      <c r="K4209" s="13" t="str">
        <f>IFERROR(__xludf.DUMMYFUNCTION("""COMPUTED_VALUE"""),"BT atau SU Belum Valid")</f>
        <v>BT atau SU Belum Valid</v>
      </c>
      <c r="L4209" s="13" t="str">
        <f>IFERROR(__xludf.DUMMYFUNCTION("""COMPUTED_VALUE"""),"")</f>
        <v/>
      </c>
      <c r="M4209" s="13"/>
      <c r="N4209" s="13" t="str">
        <f>IFERROR(__xludf.DUMMYFUNCTION("""COMPUTED_VALUE"""),"")</f>
        <v/>
      </c>
      <c r="O4209" s="13" t="str">
        <f t="shared" si="1"/>
        <v/>
      </c>
    </row>
    <row r="4210" ht="22.5" customHeight="1">
      <c r="B4210" s="13">
        <f>IFERROR(__xludf.DUMMYFUNCTION("""COMPUTED_VALUE"""),4205.0)</f>
        <v>4205</v>
      </c>
      <c r="C4210" s="13" t="str">
        <f>IFERROR(__xludf.DUMMYFUNCTION("""COMPUTED_VALUE"""),"M. 440/RAWA LAUT ")</f>
        <v>M. 440/RAWA LAUT </v>
      </c>
      <c r="D4210" s="13" t="str">
        <f>IFERROR(__xludf.DUMMYFUNCTION("""COMPUTED_VALUE"""),"K/33/081025/1")</f>
        <v>K/33/081025/1</v>
      </c>
      <c r="E4210" s="14" t="str">
        <f>IFERROR(__xludf.DUMMYFUNCTION("""COMPUTED_VALUE"""),"Heri (BT)")</f>
        <v>Heri (BT)</v>
      </c>
      <c r="F4210" s="14" t="str">
        <f>IFERROR(__xludf.DUMMYFUNCTION("""COMPUTED_VALUE"""),"SELESAI (VIA PERMOHONAN)")</f>
        <v>SELESAI (VIA PERMOHONAN)</v>
      </c>
      <c r="G4210" s="17">
        <f>IFERROR(__xludf.DUMMYFUNCTION("""COMPUTED_VALUE"""),45958.62704261574)</f>
        <v>45958.62704</v>
      </c>
      <c r="H4210" s="14"/>
      <c r="I4210" s="13"/>
      <c r="J4210" s="17" t="str">
        <f>IFERROR(__xludf.DUMMYFUNCTION("""COMPUTED_VALUE"""),"")</f>
        <v/>
      </c>
      <c r="K4210" s="13" t="str">
        <f>IFERROR(__xludf.DUMMYFUNCTION("""COMPUTED_VALUE"""),"BT atau SU Belum Valid")</f>
        <v>BT atau SU Belum Valid</v>
      </c>
      <c r="L4210" s="13" t="str">
        <f>IFERROR(__xludf.DUMMYFUNCTION("""COMPUTED_VALUE"""),"")</f>
        <v/>
      </c>
      <c r="M4210" s="13"/>
      <c r="N4210" s="13" t="str">
        <f>IFERROR(__xludf.DUMMYFUNCTION("""COMPUTED_VALUE"""),"")</f>
        <v/>
      </c>
      <c r="O4210" s="13" t="str">
        <f t="shared" si="1"/>
        <v/>
      </c>
    </row>
    <row r="4211" ht="22.5" customHeight="1">
      <c r="B4211" s="13">
        <f>IFERROR(__xludf.DUMMYFUNCTION("""COMPUTED_VALUE"""),4206.0)</f>
        <v>4206</v>
      </c>
      <c r="C4211" s="13" t="str">
        <f>IFERROR(__xludf.DUMMYFUNCTION("""COMPUTED_VALUE"""),"M 5045/ RAJABASA JAYA")</f>
        <v>M 5045/ RAJABASA JAYA</v>
      </c>
      <c r="D4211" s="13" t="str">
        <f>IFERROR(__xludf.DUMMYFUNCTION("""COMPUTED_VALUE"""),"K/8/300925/1")</f>
        <v>K/8/300925/1</v>
      </c>
      <c r="E4211" s="14" t="str">
        <f>IFERROR(__xludf.DUMMYFUNCTION("""COMPUTED_VALUE"""),"Heri (BT)")</f>
        <v>Heri (BT)</v>
      </c>
      <c r="F4211" s="14" t="str">
        <f>IFERROR(__xludf.DUMMYFUNCTION("""COMPUTED_VALUE"""),"SELESAI (VIA PERMOHONAN)")</f>
        <v>SELESAI (VIA PERMOHONAN)</v>
      </c>
      <c r="G4211" s="17">
        <f>IFERROR(__xludf.DUMMYFUNCTION("""COMPUTED_VALUE"""),45958.627188495375)</f>
        <v>45958.62719</v>
      </c>
      <c r="H4211" s="14" t="str">
        <f>IFERROR(__xludf.DUMMYFUNCTION("""COMPUTED_VALUE"""),"Aprill (SU)")</f>
        <v>Aprill (SU)</v>
      </c>
      <c r="I4211" s="13" t="str">
        <f>IFERROR(__xludf.DUMMYFUNCTION("""COMPUTED_VALUE"""),"SELESAI (VIA PERMOHONAN)")</f>
        <v>SELESAI (VIA PERMOHONAN)</v>
      </c>
      <c r="J4211" s="17">
        <f>IFERROR(__xludf.DUMMYFUNCTION("""COMPUTED_VALUE"""),45961.62059704861)</f>
        <v>45961.6206</v>
      </c>
      <c r="K4211" s="13" t="str">
        <f>IFERROR(__xludf.DUMMYFUNCTION("""COMPUTED_VALUE"""),"Selesai")</f>
        <v>Selesai</v>
      </c>
      <c r="L4211" s="17">
        <f>IFERROR(__xludf.DUMMYFUNCTION("""COMPUTED_VALUE"""),45961.62059704861)</f>
        <v>45961.6206</v>
      </c>
      <c r="M4211" s="13"/>
      <c r="N4211" s="13" t="str">
        <f>IFERROR(__xludf.DUMMYFUNCTION("""COMPUTED_VALUE"""),"")</f>
        <v/>
      </c>
      <c r="O4211" s="13" t="str">
        <f t="shared" si="1"/>
        <v/>
      </c>
    </row>
    <row r="4212" ht="22.5" customHeight="1">
      <c r="B4212" s="13">
        <f>IFERROR(__xludf.DUMMYFUNCTION("""COMPUTED_VALUE"""),4207.0)</f>
        <v>4207</v>
      </c>
      <c r="C4212" s="13" t="str">
        <f>IFERROR(__xludf.DUMMYFUNCTION("""COMPUTED_VALUE"""),"M 345/ TALANG")</f>
        <v>M 345/ TALANG</v>
      </c>
      <c r="D4212" s="13" t="str">
        <f>IFERROR(__xludf.DUMMYFUNCTION("""COMPUTED_VALUE"""),"K/5/190925/4")</f>
        <v>K/5/190925/4</v>
      </c>
      <c r="E4212" s="14" t="str">
        <f>IFERROR(__xludf.DUMMYFUNCTION("""COMPUTED_VALUE"""),"Heri (BT)")</f>
        <v>Heri (BT)</v>
      </c>
      <c r="F4212" s="14" t="str">
        <f>IFERROR(__xludf.DUMMYFUNCTION("""COMPUTED_VALUE"""),"SELESAI (VIA PERMOHONAN)")</f>
        <v>SELESAI (VIA PERMOHONAN)</v>
      </c>
      <c r="G4212" s="17">
        <f>IFERROR(__xludf.DUMMYFUNCTION("""COMPUTED_VALUE"""),45958.62736212963)</f>
        <v>45958.62736</v>
      </c>
      <c r="H4212" s="14" t="str">
        <f>IFERROR(__xludf.DUMMYFUNCTION("""COMPUTED_VALUE"""),"Aprill (SU)")</f>
        <v>Aprill (SU)</v>
      </c>
      <c r="I4212" s="13" t="str">
        <f>IFERROR(__xludf.DUMMYFUNCTION("""COMPUTED_VALUE"""),"SELESAI (VIA PERMOHONAN)")</f>
        <v>SELESAI (VIA PERMOHONAN)</v>
      </c>
      <c r="J4212" s="17">
        <f>IFERROR(__xludf.DUMMYFUNCTION("""COMPUTED_VALUE"""),45971.64898640046)</f>
        <v>45971.64899</v>
      </c>
      <c r="K4212" s="13" t="str">
        <f>IFERROR(__xludf.DUMMYFUNCTION("""COMPUTED_VALUE"""),"Selesai")</f>
        <v>Selesai</v>
      </c>
      <c r="L4212" s="17">
        <f>IFERROR(__xludf.DUMMYFUNCTION("""COMPUTED_VALUE"""),45971.64898640046)</f>
        <v>45971.64899</v>
      </c>
      <c r="M4212" s="13"/>
      <c r="N4212" s="13" t="str">
        <f>IFERROR(__xludf.DUMMYFUNCTION("""COMPUTED_VALUE"""),"")</f>
        <v/>
      </c>
      <c r="O4212" s="13" t="str">
        <f t="shared" si="1"/>
        <v/>
      </c>
    </row>
    <row r="4213" ht="22.5" customHeight="1">
      <c r="B4213" s="13">
        <f>IFERROR(__xludf.DUMMYFUNCTION("""COMPUTED_VALUE"""),4208.0)</f>
        <v>4208</v>
      </c>
      <c r="C4213" s="13" t="str">
        <f>IFERROR(__xludf.DUMMYFUNCTION("""COMPUTED_VALUE"""),"M 1257/ GUNUNG TERANG")</f>
        <v>M 1257/ GUNUNG TERANG</v>
      </c>
      <c r="D4213" s="13" t="str">
        <f>IFERROR(__xludf.DUMMYFUNCTION("""COMPUTED_VALUE"""),"K/35/190925/1")</f>
        <v>K/35/190925/1</v>
      </c>
      <c r="E4213" s="14" t="str">
        <f>IFERROR(__xludf.DUMMYFUNCTION("""COMPUTED_VALUE"""),"Heri (BT)")</f>
        <v>Heri (BT)</v>
      </c>
      <c r="F4213" s="14" t="str">
        <f>IFERROR(__xludf.DUMMYFUNCTION("""COMPUTED_VALUE"""),"SELESAI (VIA PERMOHONAN)")</f>
        <v>SELESAI (VIA PERMOHONAN)</v>
      </c>
      <c r="G4213" s="17">
        <f>IFERROR(__xludf.DUMMYFUNCTION("""COMPUTED_VALUE"""),45958.627517974535)</f>
        <v>45958.62752</v>
      </c>
      <c r="H4213" s="14"/>
      <c r="I4213" s="13"/>
      <c r="J4213" s="17" t="str">
        <f>IFERROR(__xludf.DUMMYFUNCTION("""COMPUTED_VALUE"""),"")</f>
        <v/>
      </c>
      <c r="K4213" s="13" t="str">
        <f>IFERROR(__xludf.DUMMYFUNCTION("""COMPUTED_VALUE"""),"BT atau SU Belum Valid")</f>
        <v>BT atau SU Belum Valid</v>
      </c>
      <c r="L4213" s="13" t="str">
        <f>IFERROR(__xludf.DUMMYFUNCTION("""COMPUTED_VALUE"""),"")</f>
        <v/>
      </c>
      <c r="M4213" s="13"/>
      <c r="N4213" s="13" t="str">
        <f>IFERROR(__xludf.DUMMYFUNCTION("""COMPUTED_VALUE"""),"")</f>
        <v/>
      </c>
      <c r="O4213" s="13" t="str">
        <f t="shared" si="1"/>
        <v/>
      </c>
    </row>
    <row r="4214" ht="22.5" customHeight="1">
      <c r="B4214" s="13">
        <f>IFERROR(__xludf.DUMMYFUNCTION("""COMPUTED_VALUE"""),4209.0)</f>
        <v>4209</v>
      </c>
      <c r="C4214" s="13" t="str">
        <f>IFERROR(__xludf.DUMMYFUNCTION("""COMPUTED_VALUE"""),"M 2751/ SUKAJAWA")</f>
        <v>M 2751/ SUKAJAWA</v>
      </c>
      <c r="D4214" s="13" t="str">
        <f>IFERROR(__xludf.DUMMYFUNCTION("""COMPUTED_VALUE"""),"K/23/290925/1")</f>
        <v>K/23/290925/1</v>
      </c>
      <c r="E4214" s="14" t="str">
        <f>IFERROR(__xludf.DUMMYFUNCTION("""COMPUTED_VALUE"""),"Heri (BT)")</f>
        <v>Heri (BT)</v>
      </c>
      <c r="F4214" s="14" t="str">
        <f>IFERROR(__xludf.DUMMYFUNCTION("""COMPUTED_VALUE"""),"SELESAI (VIA PERMOHONAN)")</f>
        <v>SELESAI (VIA PERMOHONAN)</v>
      </c>
      <c r="G4214" s="17">
        <f>IFERROR(__xludf.DUMMYFUNCTION("""COMPUTED_VALUE"""),45958.627648124995)</f>
        <v>45958.62765</v>
      </c>
      <c r="H4214" s="14" t="str">
        <f>IFERROR(__xludf.DUMMYFUNCTION("""COMPUTED_VALUE"""),"Aprill (SU)")</f>
        <v>Aprill (SU)</v>
      </c>
      <c r="I4214" s="13" t="str">
        <f>IFERROR(__xludf.DUMMYFUNCTION("""COMPUTED_VALUE"""),"SELESAI (VIA PERMOHONAN)")</f>
        <v>SELESAI (VIA PERMOHONAN)</v>
      </c>
      <c r="J4214" s="17">
        <f>IFERROR(__xludf.DUMMYFUNCTION("""COMPUTED_VALUE"""),45961.62196229167)</f>
        <v>45961.62196</v>
      </c>
      <c r="K4214" s="13" t="str">
        <f>IFERROR(__xludf.DUMMYFUNCTION("""COMPUTED_VALUE"""),"Selesai")</f>
        <v>Selesai</v>
      </c>
      <c r="L4214" s="17">
        <f>IFERROR(__xludf.DUMMYFUNCTION("""COMPUTED_VALUE"""),45961.62196229167)</f>
        <v>45961.62196</v>
      </c>
      <c r="M4214" s="13"/>
      <c r="N4214" s="13" t="str">
        <f>IFERROR(__xludf.DUMMYFUNCTION("""COMPUTED_VALUE"""),"")</f>
        <v/>
      </c>
      <c r="O4214" s="13" t="str">
        <f t="shared" si="1"/>
        <v/>
      </c>
    </row>
    <row r="4215" ht="22.5" customHeight="1">
      <c r="B4215" s="13">
        <f>IFERROR(__xludf.DUMMYFUNCTION("""COMPUTED_VALUE"""),4210.0)</f>
        <v>4210</v>
      </c>
      <c r="C4215" s="13" t="str">
        <f>IFERROR(__xludf.DUMMYFUNCTION("""COMPUTED_VALUE"""),"B 722/ SUMUR PUTRI")</f>
        <v>B 722/ SUMUR PUTRI</v>
      </c>
      <c r="D4215" s="13" t="str">
        <f>IFERROR(__xludf.DUMMYFUNCTION("""COMPUTED_VALUE"""),"K/22/220925/3")</f>
        <v>K/22/220925/3</v>
      </c>
      <c r="E4215" s="14" t="str">
        <f>IFERROR(__xludf.DUMMYFUNCTION("""COMPUTED_VALUE"""),"Heri (BT)")</f>
        <v>Heri (BT)</v>
      </c>
      <c r="F4215" s="14" t="str">
        <f>IFERROR(__xludf.DUMMYFUNCTION("""COMPUTED_VALUE"""),"SELESAI (VIA PERMOHONAN)")</f>
        <v>SELESAI (VIA PERMOHONAN)</v>
      </c>
      <c r="G4215" s="17">
        <f>IFERROR(__xludf.DUMMYFUNCTION("""COMPUTED_VALUE"""),45958.62781947917)</f>
        <v>45958.62782</v>
      </c>
      <c r="H4215" s="14" t="str">
        <f>IFERROR(__xludf.DUMMYFUNCTION("""COMPUTED_VALUE"""),"Aprill (SU)")</f>
        <v>Aprill (SU)</v>
      </c>
      <c r="I4215" s="13" t="str">
        <f>IFERROR(__xludf.DUMMYFUNCTION("""COMPUTED_VALUE"""),"SELESAI (VIA PERMOHONAN)")</f>
        <v>SELESAI (VIA PERMOHONAN)</v>
      </c>
      <c r="J4215" s="17">
        <f>IFERROR(__xludf.DUMMYFUNCTION("""COMPUTED_VALUE"""),45961.62518318287)</f>
        <v>45961.62518</v>
      </c>
      <c r="K4215" s="13" t="str">
        <f>IFERROR(__xludf.DUMMYFUNCTION("""COMPUTED_VALUE"""),"Selesai")</f>
        <v>Selesai</v>
      </c>
      <c r="L4215" s="17">
        <f>IFERROR(__xludf.DUMMYFUNCTION("""COMPUTED_VALUE"""),45961.62518318287)</f>
        <v>45961.62518</v>
      </c>
      <c r="M4215" s="13"/>
      <c r="N4215" s="13" t="str">
        <f>IFERROR(__xludf.DUMMYFUNCTION("""COMPUTED_VALUE"""),"")</f>
        <v/>
      </c>
      <c r="O4215" s="13" t="str">
        <f t="shared" si="1"/>
        <v/>
      </c>
    </row>
    <row r="4216" ht="22.5" customHeight="1">
      <c r="B4216" s="13">
        <f>IFERROR(__xludf.DUMMYFUNCTION("""COMPUTED_VALUE"""),4211.0)</f>
        <v>4211</v>
      </c>
      <c r="C4216" s="13" t="str">
        <f>IFERROR(__xludf.DUMMYFUNCTION("""COMPUTED_VALUE"""),"M. 2071/KOTA BARU")</f>
        <v>M. 2071/KOTA BARU</v>
      </c>
      <c r="D4216" s="13" t="str">
        <f>IFERROR(__xludf.DUMMYFUNCTION("""COMPUTED_VALUE"""),"K/6/040928/1")</f>
        <v>K/6/040928/1</v>
      </c>
      <c r="E4216" s="14" t="str">
        <f>IFERROR(__xludf.DUMMYFUNCTION("""COMPUTED_VALUE"""),"Heri (BT)")</f>
        <v>Heri (BT)</v>
      </c>
      <c r="F4216" s="14" t="str">
        <f>IFERROR(__xludf.DUMMYFUNCTION("""COMPUTED_VALUE"""),"SELESAI (VIA PERMOHONAN)")</f>
        <v>SELESAI (VIA PERMOHONAN)</v>
      </c>
      <c r="G4216" s="17">
        <f>IFERROR(__xludf.DUMMYFUNCTION("""COMPUTED_VALUE"""),45958.627930462964)</f>
        <v>45958.62793</v>
      </c>
      <c r="H4216" s="14" t="str">
        <f>IFERROR(__xludf.DUMMYFUNCTION("""COMPUTED_VALUE"""),"Aprill (SU)")</f>
        <v>Aprill (SU)</v>
      </c>
      <c r="I4216" s="13" t="str">
        <f>IFERROR(__xludf.DUMMYFUNCTION("""COMPUTED_VALUE"""),"SELESAI (VIA PERMOHONAN)")</f>
        <v>SELESAI (VIA PERMOHONAN)</v>
      </c>
      <c r="J4216" s="17">
        <f>IFERROR(__xludf.DUMMYFUNCTION("""COMPUTED_VALUE"""),45961.628960057875)</f>
        <v>45961.62896</v>
      </c>
      <c r="K4216" s="13" t="str">
        <f>IFERROR(__xludf.DUMMYFUNCTION("""COMPUTED_VALUE"""),"Selesai")</f>
        <v>Selesai</v>
      </c>
      <c r="L4216" s="17">
        <f>IFERROR(__xludf.DUMMYFUNCTION("""COMPUTED_VALUE"""),45961.628960057875)</f>
        <v>45961.62896</v>
      </c>
      <c r="M4216" s="13"/>
      <c r="N4216" s="13" t="str">
        <f>IFERROR(__xludf.DUMMYFUNCTION("""COMPUTED_VALUE"""),"")</f>
        <v/>
      </c>
      <c r="O4216" s="13" t="str">
        <f t="shared" si="1"/>
        <v/>
      </c>
    </row>
    <row r="4217" ht="22.5" customHeight="1">
      <c r="B4217" s="13">
        <f>IFERROR(__xludf.DUMMYFUNCTION("""COMPUTED_VALUE"""),4212.0)</f>
        <v>4212</v>
      </c>
      <c r="C4217" s="13" t="str">
        <f>IFERROR(__xludf.DUMMYFUNCTION("""COMPUTED_VALUE"""),"M 9097/ GEDONG MENENG")</f>
        <v>M 9097/ GEDONG MENENG</v>
      </c>
      <c r="D4217" s="13" t="str">
        <f>IFERROR(__xludf.DUMMYFUNCTION("""COMPUTED_VALUE"""),"K/23/160925/2")</f>
        <v>K/23/160925/2</v>
      </c>
      <c r="E4217" s="14" t="str">
        <f>IFERROR(__xludf.DUMMYFUNCTION("""COMPUTED_VALUE"""),"Heri (BT)")</f>
        <v>Heri (BT)</v>
      </c>
      <c r="F4217" s="14" t="str">
        <f>IFERROR(__xludf.DUMMYFUNCTION("""COMPUTED_VALUE"""),"SELESAI (VIA PERMOHONAN)")</f>
        <v>SELESAI (VIA PERMOHONAN)</v>
      </c>
      <c r="G4217" s="17">
        <f>IFERROR(__xludf.DUMMYFUNCTION("""COMPUTED_VALUE"""),45958.62806690972)</f>
        <v>45958.62807</v>
      </c>
      <c r="H4217" s="14" t="str">
        <f>IFERROR(__xludf.DUMMYFUNCTION("""COMPUTED_VALUE"""),"Aprill (SU)")</f>
        <v>Aprill (SU)</v>
      </c>
      <c r="I4217" s="13" t="str">
        <f>IFERROR(__xludf.DUMMYFUNCTION("""COMPUTED_VALUE"""),"SELESAI (VIA PERMOHONAN)")</f>
        <v>SELESAI (VIA PERMOHONAN)</v>
      </c>
      <c r="J4217" s="17">
        <f>IFERROR(__xludf.DUMMYFUNCTION("""COMPUTED_VALUE"""),45961.624035810186)</f>
        <v>45961.62404</v>
      </c>
      <c r="K4217" s="13" t="str">
        <f>IFERROR(__xludf.DUMMYFUNCTION("""COMPUTED_VALUE"""),"Selesai")</f>
        <v>Selesai</v>
      </c>
      <c r="L4217" s="17">
        <f>IFERROR(__xludf.DUMMYFUNCTION("""COMPUTED_VALUE"""),45961.624035810186)</f>
        <v>45961.62404</v>
      </c>
      <c r="M4217" s="13"/>
      <c r="N4217" s="13" t="str">
        <f>IFERROR(__xludf.DUMMYFUNCTION("""COMPUTED_VALUE"""),"")</f>
        <v/>
      </c>
      <c r="O4217" s="13" t="str">
        <f t="shared" si="1"/>
        <v/>
      </c>
    </row>
    <row r="4218" ht="22.5" customHeight="1">
      <c r="B4218" s="13">
        <f>IFERROR(__xludf.DUMMYFUNCTION("""COMPUTED_VALUE"""),4213.0)</f>
        <v>4213</v>
      </c>
      <c r="C4218" s="13" t="str">
        <f>IFERROR(__xludf.DUMMYFUNCTION("""COMPUTED_VALUE"""),"M 912/ WAY HALIM PERMAI")</f>
        <v>M 912/ WAY HALIM PERMAI</v>
      </c>
      <c r="D4218" s="13" t="str">
        <f>IFERROR(__xludf.DUMMYFUNCTION("""COMPUTED_VALUE"""),"K/19/190925/1")</f>
        <v>K/19/190925/1</v>
      </c>
      <c r="E4218" s="14" t="str">
        <f>IFERROR(__xludf.DUMMYFUNCTION("""COMPUTED_VALUE"""),"Heri (BT)")</f>
        <v>Heri (BT)</v>
      </c>
      <c r="F4218" s="14" t="str">
        <f>IFERROR(__xludf.DUMMYFUNCTION("""COMPUTED_VALUE"""),"SELESAI (VIA PERMOHONAN)")</f>
        <v>SELESAI (VIA PERMOHONAN)</v>
      </c>
      <c r="G4218" s="17">
        <f>IFERROR(__xludf.DUMMYFUNCTION("""COMPUTED_VALUE"""),45958.6282090625)</f>
        <v>45958.62821</v>
      </c>
      <c r="H4218" s="14"/>
      <c r="I4218" s="13"/>
      <c r="J4218" s="17" t="str">
        <f>IFERROR(__xludf.DUMMYFUNCTION("""COMPUTED_VALUE"""),"")</f>
        <v/>
      </c>
      <c r="K4218" s="13" t="str">
        <f>IFERROR(__xludf.DUMMYFUNCTION("""COMPUTED_VALUE"""),"BT atau SU Belum Valid")</f>
        <v>BT atau SU Belum Valid</v>
      </c>
      <c r="L4218" s="13" t="str">
        <f>IFERROR(__xludf.DUMMYFUNCTION("""COMPUTED_VALUE"""),"")</f>
        <v/>
      </c>
      <c r="M4218" s="13"/>
      <c r="N4218" s="13" t="str">
        <f>IFERROR(__xludf.DUMMYFUNCTION("""COMPUTED_VALUE"""),"")</f>
        <v/>
      </c>
      <c r="O4218" s="13" t="str">
        <f t="shared" si="1"/>
        <v/>
      </c>
    </row>
    <row r="4219" ht="22.5" customHeight="1">
      <c r="B4219" s="13">
        <f>IFERROR(__xludf.DUMMYFUNCTION("""COMPUTED_VALUE"""),4214.0)</f>
        <v>4214</v>
      </c>
      <c r="C4219" s="13" t="str">
        <f>IFERROR(__xludf.DUMMYFUNCTION("""COMPUTED_VALUE"""),"M. 13314/Tanjung Baru	")</f>
        <v>M. 13314/Tanjung Baru	</v>
      </c>
      <c r="D4219" s="13" t="str">
        <f>IFERROR(__xludf.DUMMYFUNCTION("""COMPUTED_VALUE"""),"K/3/300925/1")</f>
        <v>K/3/300925/1</v>
      </c>
      <c r="E4219" s="14" t="str">
        <f>IFERROR(__xludf.DUMMYFUNCTION("""COMPUTED_VALUE"""),"Admin (Migrasi)")</f>
        <v>Admin (Migrasi)</v>
      </c>
      <c r="F4219" s="14" t="str">
        <f>IFERROR(__xludf.DUMMYFUNCTION("""COMPUTED_VALUE"""),"SELESAI (VIA PERMOHONAN)")</f>
        <v>SELESAI (VIA PERMOHONAN)</v>
      </c>
      <c r="G4219" s="17">
        <f>IFERROR(__xludf.DUMMYFUNCTION("""COMPUTED_VALUE"""),45958.697945520835)</f>
        <v>45958.69795</v>
      </c>
      <c r="H4219" s="14" t="str">
        <f>IFERROR(__xludf.DUMMYFUNCTION("""COMPUTED_VALUE"""),"Admin (Migrasi)")</f>
        <v>Admin (Migrasi)</v>
      </c>
      <c r="I4219" s="13" t="str">
        <f>IFERROR(__xludf.DUMMYFUNCTION("""COMPUTED_VALUE"""),"SELESAI (VIA PERMOHONAN)")</f>
        <v>SELESAI (VIA PERMOHONAN)</v>
      </c>
      <c r="J4219" s="17">
        <f>IFERROR(__xludf.DUMMYFUNCTION("""COMPUTED_VALUE"""),45958.697987210646)</f>
        <v>45958.69799</v>
      </c>
      <c r="K4219" s="13" t="str">
        <f>IFERROR(__xludf.DUMMYFUNCTION("""COMPUTED_VALUE"""),"Selesai")</f>
        <v>Selesai</v>
      </c>
      <c r="L4219" s="17">
        <f>IFERROR(__xludf.DUMMYFUNCTION("""COMPUTED_VALUE"""),45958.697987210646)</f>
        <v>45958.69799</v>
      </c>
      <c r="M4219" s="13"/>
      <c r="N4219" s="13" t="str">
        <f>IFERROR(__xludf.DUMMYFUNCTION("""COMPUTED_VALUE"""),"")</f>
        <v/>
      </c>
      <c r="O4219" s="13" t="str">
        <f t="shared" si="1"/>
        <v/>
      </c>
    </row>
    <row r="4220" ht="22.5" customHeight="1">
      <c r="B4220" s="13">
        <f>IFERROR(__xludf.DUMMYFUNCTION("""COMPUTED_VALUE"""),4215.0)</f>
        <v>4215</v>
      </c>
      <c r="C4220" s="13" t="str">
        <f>IFERROR(__xludf.DUMMYFUNCTION("""COMPUTED_VALUE"""),"M. 13304/Tanjung Baru	")</f>
        <v>M. 13304/Tanjung Baru	</v>
      </c>
      <c r="D4220" s="13" t="str">
        <f>IFERROR(__xludf.DUMMYFUNCTION("""COMPUTED_VALUE"""),"K/17/250925/1")</f>
        <v>K/17/250925/1</v>
      </c>
      <c r="E4220" s="14" t="str">
        <f>IFERROR(__xludf.DUMMYFUNCTION("""COMPUTED_VALUE"""),"Admin (Migrasi)")</f>
        <v>Admin (Migrasi)</v>
      </c>
      <c r="F4220" s="14" t="str">
        <f>IFERROR(__xludf.DUMMYFUNCTION("""COMPUTED_VALUE"""),"SELESAI (VIA PERMOHONAN)")</f>
        <v>SELESAI (VIA PERMOHONAN)</v>
      </c>
      <c r="G4220" s="17">
        <f>IFERROR(__xludf.DUMMYFUNCTION("""COMPUTED_VALUE"""),45958.69818097222)</f>
        <v>45958.69818</v>
      </c>
      <c r="H4220" s="14" t="str">
        <f>IFERROR(__xludf.DUMMYFUNCTION("""COMPUTED_VALUE"""),"Admin (Migrasi)")</f>
        <v>Admin (Migrasi)</v>
      </c>
      <c r="I4220" s="13" t="str">
        <f>IFERROR(__xludf.DUMMYFUNCTION("""COMPUTED_VALUE"""),"SELESAI (VIA PERMOHONAN)")</f>
        <v>SELESAI (VIA PERMOHONAN)</v>
      </c>
      <c r="J4220" s="17">
        <f>IFERROR(__xludf.DUMMYFUNCTION("""COMPUTED_VALUE"""),45958.69821350694)</f>
        <v>45958.69821</v>
      </c>
      <c r="K4220" s="13" t="str">
        <f>IFERROR(__xludf.DUMMYFUNCTION("""COMPUTED_VALUE"""),"Selesai")</f>
        <v>Selesai</v>
      </c>
      <c r="L4220" s="17">
        <f>IFERROR(__xludf.DUMMYFUNCTION("""COMPUTED_VALUE"""),45958.69821350694)</f>
        <v>45958.69821</v>
      </c>
      <c r="M4220" s="13"/>
      <c r="N4220" s="13" t="str">
        <f>IFERROR(__xludf.DUMMYFUNCTION("""COMPUTED_VALUE"""),"")</f>
        <v/>
      </c>
      <c r="O4220" s="13" t="str">
        <f t="shared" si="1"/>
        <v/>
      </c>
    </row>
    <row r="4221" ht="22.5" customHeight="1">
      <c r="B4221" s="13">
        <f>IFERROR(__xludf.DUMMYFUNCTION("""COMPUTED_VALUE"""),4216.0)</f>
        <v>4216</v>
      </c>
      <c r="C4221" s="13" t="str">
        <f>IFERROR(__xludf.DUMMYFUNCTION("""COMPUTED_VALUE"""),"M. 2228/Gedong Air")</f>
        <v>M. 2228/Gedong Air</v>
      </c>
      <c r="D4221" s="13" t="str">
        <f>IFERROR(__xludf.DUMMYFUNCTION("""COMPUTED_VALUE"""),"K/39/011025/1")</f>
        <v>K/39/011025/1</v>
      </c>
      <c r="E4221" s="14" t="str">
        <f>IFERROR(__xludf.DUMMYFUNCTION("""COMPUTED_VALUE"""),"Admin (Migrasi)")</f>
        <v>Admin (Migrasi)</v>
      </c>
      <c r="F4221" s="14" t="str">
        <f>IFERROR(__xludf.DUMMYFUNCTION("""COMPUTED_VALUE"""),"SELESAI (VIA PERMOHONAN)")</f>
        <v>SELESAI (VIA PERMOHONAN)</v>
      </c>
      <c r="G4221" s="17">
        <f>IFERROR(__xludf.DUMMYFUNCTION("""COMPUTED_VALUE"""),45958.69838134259)</f>
        <v>45958.69838</v>
      </c>
      <c r="H4221" s="14" t="str">
        <f>IFERROR(__xludf.DUMMYFUNCTION("""COMPUTED_VALUE"""),"Admin (Migrasi)")</f>
        <v>Admin (Migrasi)</v>
      </c>
      <c r="I4221" s="13" t="str">
        <f>IFERROR(__xludf.DUMMYFUNCTION("""COMPUTED_VALUE"""),"SELESAI (VIA PERMOHONAN)")</f>
        <v>SELESAI (VIA PERMOHONAN)</v>
      </c>
      <c r="J4221" s="17">
        <f>IFERROR(__xludf.DUMMYFUNCTION("""COMPUTED_VALUE"""),45958.69843520834)</f>
        <v>45958.69844</v>
      </c>
      <c r="K4221" s="13" t="str">
        <f>IFERROR(__xludf.DUMMYFUNCTION("""COMPUTED_VALUE"""),"Selesai")</f>
        <v>Selesai</v>
      </c>
      <c r="L4221" s="17">
        <f>IFERROR(__xludf.DUMMYFUNCTION("""COMPUTED_VALUE"""),45958.69843520834)</f>
        <v>45958.69844</v>
      </c>
      <c r="M4221" s="13"/>
      <c r="N4221" s="13" t="str">
        <f>IFERROR(__xludf.DUMMYFUNCTION("""COMPUTED_VALUE"""),"")</f>
        <v/>
      </c>
      <c r="O4221" s="13" t="str">
        <f t="shared" si="1"/>
        <v/>
      </c>
    </row>
    <row r="4222" ht="22.5" customHeight="1">
      <c r="B4222" s="13">
        <f>IFERROR(__xludf.DUMMYFUNCTION("""COMPUTED_VALUE"""),4217.0)</f>
        <v>4217</v>
      </c>
      <c r="C4222" s="13" t="str">
        <f>IFERROR(__xludf.DUMMYFUNCTION("""COMPUTED_VALUE"""),"B. 790/SUMUR PUTRI")</f>
        <v>B. 790/SUMUR PUTRI</v>
      </c>
      <c r="D4222" s="13" t="str">
        <f>IFERROR(__xludf.DUMMYFUNCTION("""COMPUTED_VALUE"""),"K/6/250725/1")</f>
        <v>K/6/250725/1</v>
      </c>
      <c r="E4222" s="14" t="str">
        <f>IFERROR(__xludf.DUMMYFUNCTION("""COMPUTED_VALUE"""),"Admin (Migrasi)")</f>
        <v>Admin (Migrasi)</v>
      </c>
      <c r="F4222" s="14" t="str">
        <f>IFERROR(__xludf.DUMMYFUNCTION("""COMPUTED_VALUE"""),"SELESAI (VIA PERMOHONAN)")</f>
        <v>SELESAI (VIA PERMOHONAN)</v>
      </c>
      <c r="G4222" s="17">
        <f>IFERROR(__xludf.DUMMYFUNCTION("""COMPUTED_VALUE"""),45958.69861685185)</f>
        <v>45958.69862</v>
      </c>
      <c r="H4222" s="14" t="str">
        <f>IFERROR(__xludf.DUMMYFUNCTION("""COMPUTED_VALUE"""),"Admin (Migrasi)")</f>
        <v>Admin (Migrasi)</v>
      </c>
      <c r="I4222" s="13" t="str">
        <f>IFERROR(__xludf.DUMMYFUNCTION("""COMPUTED_VALUE"""),"SELESAI (VIA PERMOHONAN)")</f>
        <v>SELESAI (VIA PERMOHONAN)</v>
      </c>
      <c r="J4222" s="17">
        <f>IFERROR(__xludf.DUMMYFUNCTION("""COMPUTED_VALUE"""),45958.69864153935)</f>
        <v>45958.69864</v>
      </c>
      <c r="K4222" s="13" t="str">
        <f>IFERROR(__xludf.DUMMYFUNCTION("""COMPUTED_VALUE"""),"Selesai")</f>
        <v>Selesai</v>
      </c>
      <c r="L4222" s="17">
        <f>IFERROR(__xludf.DUMMYFUNCTION("""COMPUTED_VALUE"""),45958.69864153935)</f>
        <v>45958.69864</v>
      </c>
      <c r="M4222" s="13"/>
      <c r="N4222" s="13" t="str">
        <f>IFERROR(__xludf.DUMMYFUNCTION("""COMPUTED_VALUE"""),"")</f>
        <v/>
      </c>
      <c r="O4222" s="13" t="str">
        <f t="shared" si="1"/>
        <v/>
      </c>
    </row>
    <row r="4223" ht="22.5" customHeight="1">
      <c r="B4223" s="13">
        <f>IFERROR(__xludf.DUMMYFUNCTION("""COMPUTED_VALUE"""),4218.0)</f>
        <v>4218</v>
      </c>
      <c r="C4223" s="13" t="str">
        <f>IFERROR(__xludf.DUMMYFUNCTION("""COMPUTED_VALUE"""),"M 2009/ DURIAN PAYUNG")</f>
        <v>M 2009/ DURIAN PAYUNG</v>
      </c>
      <c r="D4223" s="13" t="str">
        <f>IFERROR(__xludf.DUMMYFUNCTION("""COMPUTED_VALUE"""),"K/29/110925/1")</f>
        <v>K/29/110925/1</v>
      </c>
      <c r="E4223" s="14" t="str">
        <f>IFERROR(__xludf.DUMMYFUNCTION("""COMPUTED_VALUE"""),"Admin (Migrasi)")</f>
        <v>Admin (Migrasi)</v>
      </c>
      <c r="F4223" s="14" t="str">
        <f>IFERROR(__xludf.DUMMYFUNCTION("""COMPUTED_VALUE"""),"SELESAI (VIA PERMOHONAN)")</f>
        <v>SELESAI (VIA PERMOHONAN)</v>
      </c>
      <c r="G4223" s="17">
        <f>IFERROR(__xludf.DUMMYFUNCTION("""COMPUTED_VALUE"""),45958.69891104166)</f>
        <v>45958.69891</v>
      </c>
      <c r="H4223" s="14" t="str">
        <f>IFERROR(__xludf.DUMMYFUNCTION("""COMPUTED_VALUE"""),"Admin (Migrasi)")</f>
        <v>Admin (Migrasi)</v>
      </c>
      <c r="I4223" s="13" t="str">
        <f>IFERROR(__xludf.DUMMYFUNCTION("""COMPUTED_VALUE"""),"SELESAI (VIA PERMOHONAN)")</f>
        <v>SELESAI (VIA PERMOHONAN)</v>
      </c>
      <c r="J4223" s="17">
        <f>IFERROR(__xludf.DUMMYFUNCTION("""COMPUTED_VALUE"""),45958.69891104166)</f>
        <v>45958.69891</v>
      </c>
      <c r="K4223" s="13" t="str">
        <f>IFERROR(__xludf.DUMMYFUNCTION("""COMPUTED_VALUE"""),"Selesai")</f>
        <v>Selesai</v>
      </c>
      <c r="L4223" s="17">
        <f>IFERROR(__xludf.DUMMYFUNCTION("""COMPUTED_VALUE"""),45958.69891104166)</f>
        <v>45958.69891</v>
      </c>
      <c r="M4223" s="13"/>
      <c r="N4223" s="13" t="str">
        <f>IFERROR(__xludf.DUMMYFUNCTION("""COMPUTED_VALUE"""),"")</f>
        <v/>
      </c>
      <c r="O4223" s="13" t="str">
        <f t="shared" si="1"/>
        <v/>
      </c>
    </row>
    <row r="4224" ht="22.5" customHeight="1">
      <c r="B4224" s="13">
        <f>IFERROR(__xludf.DUMMYFUNCTION("""COMPUTED_VALUE"""),4219.0)</f>
        <v>4219</v>
      </c>
      <c r="C4224" s="13" t="str">
        <f>IFERROR(__xludf.DUMMYFUNCTION("""COMPUTED_VALUE"""),"M. 9180/Gedong Meneng	")</f>
        <v>M. 9180/Gedong Meneng	</v>
      </c>
      <c r="D4224" s="13" t="str">
        <f>IFERROR(__xludf.DUMMYFUNCTION("""COMPUTED_VALUE"""),"K/4/160925/1")</f>
        <v>K/4/160925/1</v>
      </c>
      <c r="E4224" s="14" t="str">
        <f>IFERROR(__xludf.DUMMYFUNCTION("""COMPUTED_VALUE"""),"Admin (Migrasi)")</f>
        <v>Admin (Migrasi)</v>
      </c>
      <c r="F4224" s="14" t="str">
        <f>IFERROR(__xludf.DUMMYFUNCTION("""COMPUTED_VALUE"""),"SELESAI (VIA PERMOHONAN)")</f>
        <v>SELESAI (VIA PERMOHONAN)</v>
      </c>
      <c r="G4224" s="17">
        <f>IFERROR(__xludf.DUMMYFUNCTION("""COMPUTED_VALUE"""),45958.70312258102)</f>
        <v>45958.70312</v>
      </c>
      <c r="H4224" s="14" t="str">
        <f>IFERROR(__xludf.DUMMYFUNCTION("""COMPUTED_VALUE"""),"Admin (Migrasi)")</f>
        <v>Admin (Migrasi)</v>
      </c>
      <c r="I4224" s="13" t="str">
        <f>IFERROR(__xludf.DUMMYFUNCTION("""COMPUTED_VALUE"""),"SELESAI (VIA PERMOHONAN)")</f>
        <v>SELESAI (VIA PERMOHONAN)</v>
      </c>
      <c r="J4224" s="17">
        <f>IFERROR(__xludf.DUMMYFUNCTION("""COMPUTED_VALUE"""),45958.70319128472)</f>
        <v>45958.70319</v>
      </c>
      <c r="K4224" s="13" t="str">
        <f>IFERROR(__xludf.DUMMYFUNCTION("""COMPUTED_VALUE"""),"Selesai")</f>
        <v>Selesai</v>
      </c>
      <c r="L4224" s="17">
        <f>IFERROR(__xludf.DUMMYFUNCTION("""COMPUTED_VALUE"""),45958.70319128472)</f>
        <v>45958.70319</v>
      </c>
      <c r="M4224" s="13"/>
      <c r="N4224" s="13" t="str">
        <f>IFERROR(__xludf.DUMMYFUNCTION("""COMPUTED_VALUE"""),"")</f>
        <v/>
      </c>
      <c r="O4224" s="13" t="str">
        <f t="shared" si="1"/>
        <v/>
      </c>
    </row>
    <row r="4225" ht="22.5" customHeight="1">
      <c r="B4225" s="13">
        <f>IFERROR(__xludf.DUMMYFUNCTION("""COMPUTED_VALUE"""),4220.0)</f>
        <v>4220</v>
      </c>
      <c r="C4225" s="13" t="str">
        <f>IFERROR(__xludf.DUMMYFUNCTION("""COMPUTED_VALUE"""),"M. 4631/Sukadana Ham	")</f>
        <v>M. 4631/Sukadana Ham	</v>
      </c>
      <c r="D4225" s="13" t="str">
        <f>IFERROR(__xludf.DUMMYFUNCTION("""COMPUTED_VALUE"""),"K/21/240925/2")</f>
        <v>K/21/240925/2</v>
      </c>
      <c r="E4225" s="14" t="str">
        <f>IFERROR(__xludf.DUMMYFUNCTION("""COMPUTED_VALUE"""),"Admin (Migrasi)")</f>
        <v>Admin (Migrasi)</v>
      </c>
      <c r="F4225" s="14" t="str">
        <f>IFERROR(__xludf.DUMMYFUNCTION("""COMPUTED_VALUE"""),"SELESAI (VIA PERMOHONAN)")</f>
        <v>SELESAI (VIA PERMOHONAN)</v>
      </c>
      <c r="G4225" s="17">
        <f>IFERROR(__xludf.DUMMYFUNCTION("""COMPUTED_VALUE"""),45958.70339048612)</f>
        <v>45958.70339</v>
      </c>
      <c r="H4225" s="14" t="str">
        <f>IFERROR(__xludf.DUMMYFUNCTION("""COMPUTED_VALUE"""),"Admin (Migrasi)")</f>
        <v>Admin (Migrasi)</v>
      </c>
      <c r="I4225" s="13" t="str">
        <f>IFERROR(__xludf.DUMMYFUNCTION("""COMPUTED_VALUE"""),"SELESAI (VIA PERMOHONAN)")</f>
        <v>SELESAI (VIA PERMOHONAN)</v>
      </c>
      <c r="J4225" s="17">
        <f>IFERROR(__xludf.DUMMYFUNCTION("""COMPUTED_VALUE"""),45958.703429155095)</f>
        <v>45958.70343</v>
      </c>
      <c r="K4225" s="13" t="str">
        <f>IFERROR(__xludf.DUMMYFUNCTION("""COMPUTED_VALUE"""),"Selesai")</f>
        <v>Selesai</v>
      </c>
      <c r="L4225" s="17">
        <f>IFERROR(__xludf.DUMMYFUNCTION("""COMPUTED_VALUE"""),45958.703429155095)</f>
        <v>45958.70343</v>
      </c>
      <c r="M4225" s="13"/>
      <c r="N4225" s="13" t="str">
        <f>IFERROR(__xludf.DUMMYFUNCTION("""COMPUTED_VALUE"""),"")</f>
        <v/>
      </c>
      <c r="O4225" s="13" t="str">
        <f t="shared" si="1"/>
        <v/>
      </c>
    </row>
    <row r="4226" ht="22.5" customHeight="1">
      <c r="B4226" s="13">
        <f>IFERROR(__xludf.DUMMYFUNCTION("""COMPUTED_VALUE"""),4221.0)</f>
        <v>4221</v>
      </c>
      <c r="C4226" s="13" t="str">
        <f>IFERROR(__xludf.DUMMYFUNCTION("""COMPUTED_VALUE"""),"M. 1896/Way Kandis	")</f>
        <v>M. 1896/Way Kandis	</v>
      </c>
      <c r="D4226" s="13" t="str">
        <f>IFERROR(__xludf.DUMMYFUNCTION("""COMPUTED_VALUE"""),"K/33/250925/1")</f>
        <v>K/33/250925/1</v>
      </c>
      <c r="E4226" s="14" t="str">
        <f>IFERROR(__xludf.DUMMYFUNCTION("""COMPUTED_VALUE"""),"Admin (Migrasi)")</f>
        <v>Admin (Migrasi)</v>
      </c>
      <c r="F4226" s="14" t="str">
        <f>IFERROR(__xludf.DUMMYFUNCTION("""COMPUTED_VALUE"""),"SELESAI (VIA PERMOHONAN)")</f>
        <v>SELESAI (VIA PERMOHONAN)</v>
      </c>
      <c r="G4226" s="17">
        <f>IFERROR(__xludf.DUMMYFUNCTION("""COMPUTED_VALUE"""),45958.70363241898)</f>
        <v>45958.70363</v>
      </c>
      <c r="H4226" s="14" t="str">
        <f>IFERROR(__xludf.DUMMYFUNCTION("""COMPUTED_VALUE"""),"Admin (Migrasi)")</f>
        <v>Admin (Migrasi)</v>
      </c>
      <c r="I4226" s="13" t="str">
        <f>IFERROR(__xludf.DUMMYFUNCTION("""COMPUTED_VALUE"""),"SELESAI (VIA PERMOHONAN)")</f>
        <v>SELESAI (VIA PERMOHONAN)</v>
      </c>
      <c r="J4226" s="17">
        <f>IFERROR(__xludf.DUMMYFUNCTION("""COMPUTED_VALUE"""),45958.70370278935)</f>
        <v>45958.7037</v>
      </c>
      <c r="K4226" s="13" t="str">
        <f>IFERROR(__xludf.DUMMYFUNCTION("""COMPUTED_VALUE"""),"Selesai")</f>
        <v>Selesai</v>
      </c>
      <c r="L4226" s="17">
        <f>IFERROR(__xludf.DUMMYFUNCTION("""COMPUTED_VALUE"""),45958.70370278935)</f>
        <v>45958.7037</v>
      </c>
      <c r="M4226" s="13"/>
      <c r="N4226" s="13" t="str">
        <f>IFERROR(__xludf.DUMMYFUNCTION("""COMPUTED_VALUE"""),"")</f>
        <v/>
      </c>
      <c r="O4226" s="13" t="str">
        <f t="shared" si="1"/>
        <v/>
      </c>
    </row>
    <row r="4227" ht="22.5" customHeight="1">
      <c r="B4227" s="13">
        <f>IFERROR(__xludf.DUMMYFUNCTION("""COMPUTED_VALUE"""),4222.0)</f>
        <v>4222</v>
      </c>
      <c r="C4227" s="13" t="str">
        <f>IFERROR(__xludf.DUMMYFUNCTION("""COMPUTED_VALUE"""),"M. 1893/Beringin Jaya	")</f>
        <v>M. 1893/Beringin Jaya	</v>
      </c>
      <c r="D4227" s="13" t="str">
        <f>IFERROR(__xludf.DUMMYFUNCTION("""COMPUTED_VALUE"""),"K/3/260925/1")</f>
        <v>K/3/260925/1</v>
      </c>
      <c r="E4227" s="14" t="str">
        <f>IFERROR(__xludf.DUMMYFUNCTION("""COMPUTED_VALUE"""),"Admin (Migrasi)")</f>
        <v>Admin (Migrasi)</v>
      </c>
      <c r="F4227" s="14" t="str">
        <f>IFERROR(__xludf.DUMMYFUNCTION("""COMPUTED_VALUE"""),"SELESAI (VIA PERMOHONAN)")</f>
        <v>SELESAI (VIA PERMOHONAN)</v>
      </c>
      <c r="G4227" s="17">
        <f>IFERROR(__xludf.DUMMYFUNCTION("""COMPUTED_VALUE"""),45958.704048113425)</f>
        <v>45958.70405</v>
      </c>
      <c r="H4227" s="14" t="str">
        <f>IFERROR(__xludf.DUMMYFUNCTION("""COMPUTED_VALUE"""),"Admin (Migrasi)")</f>
        <v>Admin (Migrasi)</v>
      </c>
      <c r="I4227" s="13" t="str">
        <f>IFERROR(__xludf.DUMMYFUNCTION("""COMPUTED_VALUE"""),"SELESAI (VIA PERMOHONAN)")</f>
        <v>SELESAI (VIA PERMOHONAN)</v>
      </c>
      <c r="J4227" s="17">
        <f>IFERROR(__xludf.DUMMYFUNCTION("""COMPUTED_VALUE"""),45958.70410152778)</f>
        <v>45958.7041</v>
      </c>
      <c r="K4227" s="13" t="str">
        <f>IFERROR(__xludf.DUMMYFUNCTION("""COMPUTED_VALUE"""),"Selesai")</f>
        <v>Selesai</v>
      </c>
      <c r="L4227" s="17">
        <f>IFERROR(__xludf.DUMMYFUNCTION("""COMPUTED_VALUE"""),45958.70410152778)</f>
        <v>45958.7041</v>
      </c>
      <c r="M4227" s="13"/>
      <c r="N4227" s="13" t="str">
        <f>IFERROR(__xludf.DUMMYFUNCTION("""COMPUTED_VALUE"""),"")</f>
        <v/>
      </c>
      <c r="O4227" s="13" t="str">
        <f t="shared" si="1"/>
        <v/>
      </c>
    </row>
    <row r="4228" ht="22.5" customHeight="1">
      <c r="B4228" s="13">
        <f>IFERROR(__xludf.DUMMYFUNCTION("""COMPUTED_VALUE"""),4223.0)</f>
        <v>4223</v>
      </c>
      <c r="C4228" s="13" t="str">
        <f>IFERROR(__xludf.DUMMYFUNCTION("""COMPUTED_VALUE"""),"M. 1896/Beringin Jaya")</f>
        <v>M. 1896/Beringin Jaya</v>
      </c>
      <c r="D4228" s="13" t="str">
        <f>IFERROR(__xludf.DUMMYFUNCTION("""COMPUTED_VALUE"""),"K/4/260925/2                ")</f>
        <v>K/4/260925/2                </v>
      </c>
      <c r="E4228" s="14" t="str">
        <f>IFERROR(__xludf.DUMMYFUNCTION("""COMPUTED_VALUE"""),"Admin (Migrasi)")</f>
        <v>Admin (Migrasi)</v>
      </c>
      <c r="F4228" s="14" t="str">
        <f>IFERROR(__xludf.DUMMYFUNCTION("""COMPUTED_VALUE"""),"SELESAI (VIA PERMOHONAN)")</f>
        <v>SELESAI (VIA PERMOHONAN)</v>
      </c>
      <c r="G4228" s="17">
        <f>IFERROR(__xludf.DUMMYFUNCTION("""COMPUTED_VALUE"""),45958.7045134838)</f>
        <v>45958.70451</v>
      </c>
      <c r="H4228" s="14" t="str">
        <f>IFERROR(__xludf.DUMMYFUNCTION("""COMPUTED_VALUE"""),"Admin (Migrasi)")</f>
        <v>Admin (Migrasi)</v>
      </c>
      <c r="I4228" s="13" t="str">
        <f>IFERROR(__xludf.DUMMYFUNCTION("""COMPUTED_VALUE"""),"SELESAI (VIA PERMOHONAN)")</f>
        <v>SELESAI (VIA PERMOHONAN)</v>
      </c>
      <c r="J4228" s="17">
        <f>IFERROR(__xludf.DUMMYFUNCTION("""COMPUTED_VALUE"""),45958.704558240745)</f>
        <v>45958.70456</v>
      </c>
      <c r="K4228" s="13" t="str">
        <f>IFERROR(__xludf.DUMMYFUNCTION("""COMPUTED_VALUE"""),"Selesai")</f>
        <v>Selesai</v>
      </c>
      <c r="L4228" s="17">
        <f>IFERROR(__xludf.DUMMYFUNCTION("""COMPUTED_VALUE"""),45958.704558240745)</f>
        <v>45958.70456</v>
      </c>
      <c r="M4228" s="13"/>
      <c r="N4228" s="13" t="str">
        <f>IFERROR(__xludf.DUMMYFUNCTION("""COMPUTED_VALUE"""),"")</f>
        <v/>
      </c>
      <c r="O4228" s="13" t="str">
        <f t="shared" si="1"/>
        <v/>
      </c>
    </row>
    <row r="4229" ht="22.5" customHeight="1">
      <c r="B4229" s="13">
        <f>IFERROR(__xludf.DUMMYFUNCTION("""COMPUTED_VALUE"""),4224.0)</f>
        <v>4224</v>
      </c>
      <c r="C4229" s="13" t="str">
        <f>IFERROR(__xludf.DUMMYFUNCTION("""COMPUTED_VALUE"""),"M. 3571/Langkapura	")</f>
        <v>M. 3571/Langkapura	</v>
      </c>
      <c r="D4229" s="13" t="str">
        <f>IFERROR(__xludf.DUMMYFUNCTION("""COMPUTED_VALUE"""),"K/16/300925/1")</f>
        <v>K/16/300925/1</v>
      </c>
      <c r="E4229" s="14" t="str">
        <f>IFERROR(__xludf.DUMMYFUNCTION("""COMPUTED_VALUE"""),"Admin (Migrasi)")</f>
        <v>Admin (Migrasi)</v>
      </c>
      <c r="F4229" s="14" t="str">
        <f>IFERROR(__xludf.DUMMYFUNCTION("""COMPUTED_VALUE"""),"SELESAI (VIA PERMOHONAN)")</f>
        <v>SELESAI (VIA PERMOHONAN)</v>
      </c>
      <c r="G4229" s="17">
        <f>IFERROR(__xludf.DUMMYFUNCTION("""COMPUTED_VALUE"""),45958.70468711806)</f>
        <v>45958.70469</v>
      </c>
      <c r="H4229" s="14" t="str">
        <f>IFERROR(__xludf.DUMMYFUNCTION("""COMPUTED_VALUE"""),"Admin (Migrasi)")</f>
        <v>Admin (Migrasi)</v>
      </c>
      <c r="I4229" s="13" t="str">
        <f>IFERROR(__xludf.DUMMYFUNCTION("""COMPUTED_VALUE"""),"SELESAI (VIA PERMOHONAN)")</f>
        <v>SELESAI (VIA PERMOHONAN)</v>
      </c>
      <c r="J4229" s="17">
        <f>IFERROR(__xludf.DUMMYFUNCTION("""COMPUTED_VALUE"""),45958.70473603009)</f>
        <v>45958.70474</v>
      </c>
      <c r="K4229" s="13" t="str">
        <f>IFERROR(__xludf.DUMMYFUNCTION("""COMPUTED_VALUE"""),"Selesai")</f>
        <v>Selesai</v>
      </c>
      <c r="L4229" s="17">
        <f>IFERROR(__xludf.DUMMYFUNCTION("""COMPUTED_VALUE"""),45958.70473603009)</f>
        <v>45958.70474</v>
      </c>
      <c r="M4229" s="13"/>
      <c r="N4229" s="13" t="str">
        <f>IFERROR(__xludf.DUMMYFUNCTION("""COMPUTED_VALUE"""),"")</f>
        <v/>
      </c>
      <c r="O4229" s="13" t="str">
        <f t="shared" si="1"/>
        <v/>
      </c>
    </row>
    <row r="4230" ht="22.5" customHeight="1">
      <c r="B4230" s="13">
        <f>IFERROR(__xludf.DUMMYFUNCTION("""COMPUTED_VALUE"""),4225.0)</f>
        <v>4225</v>
      </c>
      <c r="C4230" s="13" t="str">
        <f>IFERROR(__xludf.DUMMYFUNCTION("""COMPUTED_VALUE"""),"B. 5015/Sukabumi")</f>
        <v>B. 5015/Sukabumi</v>
      </c>
      <c r="D4230" s="13" t="str">
        <f>IFERROR(__xludf.DUMMYFUNCTION("""COMPUTED_VALUE"""),"K/17/160925/1")</f>
        <v>K/17/160925/1</v>
      </c>
      <c r="E4230" s="14" t="str">
        <f>IFERROR(__xludf.DUMMYFUNCTION("""COMPUTED_VALUE"""),"Admin (Migrasi)")</f>
        <v>Admin (Migrasi)</v>
      </c>
      <c r="F4230" s="14" t="str">
        <f>IFERROR(__xludf.DUMMYFUNCTION("""COMPUTED_VALUE"""),"SELESAI (VIA PERMOHONAN)")</f>
        <v>SELESAI (VIA PERMOHONAN)</v>
      </c>
      <c r="G4230" s="17">
        <f>IFERROR(__xludf.DUMMYFUNCTION("""COMPUTED_VALUE"""),45958.705359432875)</f>
        <v>45958.70536</v>
      </c>
      <c r="H4230" s="14" t="str">
        <f>IFERROR(__xludf.DUMMYFUNCTION("""COMPUTED_VALUE"""),"Admin (Migrasi)")</f>
        <v>Admin (Migrasi)</v>
      </c>
      <c r="I4230" s="13" t="str">
        <f>IFERROR(__xludf.DUMMYFUNCTION("""COMPUTED_VALUE"""),"SELESAI (VIA PERMOHONAN)")</f>
        <v>SELESAI (VIA PERMOHONAN)</v>
      </c>
      <c r="J4230" s="17">
        <f>IFERROR(__xludf.DUMMYFUNCTION("""COMPUTED_VALUE"""),45958.705366504626)</f>
        <v>45958.70537</v>
      </c>
      <c r="K4230" s="13" t="str">
        <f>IFERROR(__xludf.DUMMYFUNCTION("""COMPUTED_VALUE"""),"Selesai")</f>
        <v>Selesai</v>
      </c>
      <c r="L4230" s="17">
        <f>IFERROR(__xludf.DUMMYFUNCTION("""COMPUTED_VALUE"""),45958.705366504626)</f>
        <v>45958.70537</v>
      </c>
      <c r="M4230" s="13"/>
      <c r="N4230" s="13" t="str">
        <f>IFERROR(__xludf.DUMMYFUNCTION("""COMPUTED_VALUE"""),"")</f>
        <v/>
      </c>
      <c r="O4230" s="13" t="str">
        <f t="shared" si="1"/>
        <v/>
      </c>
    </row>
    <row r="4231" ht="22.5" customHeight="1">
      <c r="B4231" s="13">
        <f>IFERROR(__xludf.DUMMYFUNCTION("""COMPUTED_VALUE"""),4226.0)</f>
        <v>4226</v>
      </c>
      <c r="C4231" s="13" t="str">
        <f>IFERROR(__xludf.DUMMYFUNCTION("""COMPUTED_VALUE"""),"M. 3041/KOTA KARANG")</f>
        <v>M. 3041/KOTA KARANG</v>
      </c>
      <c r="D4231" s="13" t="str">
        <f>IFERROR(__xludf.DUMMYFUNCTION("""COMPUTED_VALUE"""),"K/31/011025/1")</f>
        <v>K/31/011025/1</v>
      </c>
      <c r="E4231" s="14" t="str">
        <f>IFERROR(__xludf.DUMMYFUNCTION("""COMPUTED_VALUE"""),"Admin (Migrasi)")</f>
        <v>Admin (Migrasi)</v>
      </c>
      <c r="F4231" s="14" t="str">
        <f>IFERROR(__xludf.DUMMYFUNCTION("""COMPUTED_VALUE"""),"SELESAI (VIA PERMOHONAN)")</f>
        <v>SELESAI (VIA PERMOHONAN)</v>
      </c>
      <c r="G4231" s="17">
        <f>IFERROR(__xludf.DUMMYFUNCTION("""COMPUTED_VALUE"""),45960.41667439815)</f>
        <v>45960.41667</v>
      </c>
      <c r="H4231" s="14" t="str">
        <f>IFERROR(__xludf.DUMMYFUNCTION("""COMPUTED_VALUE"""),"Admin (Migrasi)")</f>
        <v>Admin (Migrasi)</v>
      </c>
      <c r="I4231" s="13" t="str">
        <f>IFERROR(__xludf.DUMMYFUNCTION("""COMPUTED_VALUE"""),"SELESAI (VIA PERMOHONAN)")</f>
        <v>SELESAI (VIA PERMOHONAN)</v>
      </c>
      <c r="J4231" s="17">
        <f>IFERROR(__xludf.DUMMYFUNCTION("""COMPUTED_VALUE"""),45960.416683738425)</f>
        <v>45960.41668</v>
      </c>
      <c r="K4231" s="13" t="str">
        <f>IFERROR(__xludf.DUMMYFUNCTION("""COMPUTED_VALUE"""),"Selesai")</f>
        <v>Selesai</v>
      </c>
      <c r="L4231" s="17">
        <f>IFERROR(__xludf.DUMMYFUNCTION("""COMPUTED_VALUE"""),45960.416683738425)</f>
        <v>45960.41668</v>
      </c>
      <c r="M4231" s="13"/>
      <c r="N4231" s="13" t="str">
        <f>IFERROR(__xludf.DUMMYFUNCTION("""COMPUTED_VALUE"""),"")</f>
        <v/>
      </c>
      <c r="O4231" s="13" t="str">
        <f t="shared" si="1"/>
        <v/>
      </c>
    </row>
    <row r="4232" ht="22.5" customHeight="1">
      <c r="B4232" s="13">
        <f>IFERROR(__xludf.DUMMYFUNCTION("""COMPUTED_VALUE"""),4227.0)</f>
        <v>4227</v>
      </c>
      <c r="C4232" s="13" t="str">
        <f>IFERROR(__xludf.DUMMYFUNCTION("""COMPUTED_VALUE"""),"M. 963/Sumur Putri	")</f>
        <v>M. 963/Sumur Putri	</v>
      </c>
      <c r="D4232" s="13" t="str">
        <f>IFERROR(__xludf.DUMMYFUNCTION("""COMPUTED_VALUE"""),"K/22/270825/1")</f>
        <v>K/22/270825/1</v>
      </c>
      <c r="E4232" s="14" t="str">
        <f>IFERROR(__xludf.DUMMYFUNCTION("""COMPUTED_VALUE"""),"Admin (Migrasi)")</f>
        <v>Admin (Migrasi)</v>
      </c>
      <c r="F4232" s="14" t="str">
        <f>IFERROR(__xludf.DUMMYFUNCTION("""COMPUTED_VALUE"""),"SELESAI (VIA PERMOHONAN)")</f>
        <v>SELESAI (VIA PERMOHONAN)</v>
      </c>
      <c r="G4232" s="17">
        <f>IFERROR(__xludf.DUMMYFUNCTION("""COMPUTED_VALUE"""),45960.416837233795)</f>
        <v>45960.41684</v>
      </c>
      <c r="H4232" s="14" t="str">
        <f>IFERROR(__xludf.DUMMYFUNCTION("""COMPUTED_VALUE"""),"Admin (Migrasi)")</f>
        <v>Admin (Migrasi)</v>
      </c>
      <c r="I4232" s="13" t="str">
        <f>IFERROR(__xludf.DUMMYFUNCTION("""COMPUTED_VALUE"""),"SELESAI (VIA PERMOHONAN)")</f>
        <v>SELESAI (VIA PERMOHONAN)</v>
      </c>
      <c r="J4232" s="17">
        <f>IFERROR(__xludf.DUMMYFUNCTION("""COMPUTED_VALUE"""),45960.416863148144)</f>
        <v>45960.41686</v>
      </c>
      <c r="K4232" s="13" t="str">
        <f>IFERROR(__xludf.DUMMYFUNCTION("""COMPUTED_VALUE"""),"Selesai")</f>
        <v>Selesai</v>
      </c>
      <c r="L4232" s="17">
        <f>IFERROR(__xludf.DUMMYFUNCTION("""COMPUTED_VALUE"""),45960.416863148144)</f>
        <v>45960.41686</v>
      </c>
      <c r="M4232" s="13"/>
      <c r="N4232" s="13" t="str">
        <f>IFERROR(__xludf.DUMMYFUNCTION("""COMPUTED_VALUE"""),"")</f>
        <v/>
      </c>
      <c r="O4232" s="13" t="str">
        <f t="shared" si="1"/>
        <v/>
      </c>
    </row>
    <row r="4233" ht="22.5" customHeight="1">
      <c r="B4233" s="13">
        <f>IFERROR(__xludf.DUMMYFUNCTION("""COMPUTED_VALUE"""),4228.0)</f>
        <v>4228</v>
      </c>
      <c r="C4233" s="13" t="str">
        <f>IFERROR(__xludf.DUMMYFUNCTION("""COMPUTED_VALUE"""),"M. 5175/Rajabasa Jaya	")</f>
        <v>M. 5175/Rajabasa Jaya	</v>
      </c>
      <c r="D4233" s="13" t="str">
        <f>IFERROR(__xludf.DUMMYFUNCTION("""COMPUTED_VALUE"""),"K/23/240925/4")</f>
        <v>K/23/240925/4</v>
      </c>
      <c r="E4233" s="14" t="str">
        <f>IFERROR(__xludf.DUMMYFUNCTION("""COMPUTED_VALUE"""),"Admin (Migrasi)")</f>
        <v>Admin (Migrasi)</v>
      </c>
      <c r="F4233" s="14" t="str">
        <f>IFERROR(__xludf.DUMMYFUNCTION("""COMPUTED_VALUE"""),"SELESAI (VIA PERMOHONAN)")</f>
        <v>SELESAI (VIA PERMOHONAN)</v>
      </c>
      <c r="G4233" s="17">
        <f>IFERROR(__xludf.DUMMYFUNCTION("""COMPUTED_VALUE"""),45960.417005752315)</f>
        <v>45960.41701</v>
      </c>
      <c r="H4233" s="14" t="str">
        <f>IFERROR(__xludf.DUMMYFUNCTION("""COMPUTED_VALUE"""),"Admin (Migrasi)")</f>
        <v>Admin (Migrasi)</v>
      </c>
      <c r="I4233" s="13" t="str">
        <f>IFERROR(__xludf.DUMMYFUNCTION("""COMPUTED_VALUE"""),"SELESAI (VIA PERMOHONAN)")</f>
        <v>SELESAI (VIA PERMOHONAN)</v>
      </c>
      <c r="J4233" s="17">
        <f>IFERROR(__xludf.DUMMYFUNCTION("""COMPUTED_VALUE"""),45960.41705900463)</f>
        <v>45960.41706</v>
      </c>
      <c r="K4233" s="13" t="str">
        <f>IFERROR(__xludf.DUMMYFUNCTION("""COMPUTED_VALUE"""),"Selesai")</f>
        <v>Selesai</v>
      </c>
      <c r="L4233" s="17">
        <f>IFERROR(__xludf.DUMMYFUNCTION("""COMPUTED_VALUE"""),45960.41705900463)</f>
        <v>45960.41706</v>
      </c>
      <c r="M4233" s="13"/>
      <c r="N4233" s="13" t="str">
        <f>IFERROR(__xludf.DUMMYFUNCTION("""COMPUTED_VALUE"""),"")</f>
        <v/>
      </c>
      <c r="O4233" s="13" t="str">
        <f t="shared" si="1"/>
        <v/>
      </c>
    </row>
    <row r="4234" ht="22.5" customHeight="1">
      <c r="B4234" s="13">
        <f>IFERROR(__xludf.DUMMYFUNCTION("""COMPUTED_VALUE"""),4229.0)</f>
        <v>4229</v>
      </c>
      <c r="C4234" s="13" t="str">
        <f>IFERROR(__xludf.DUMMYFUNCTION("""COMPUTED_VALUE"""),"M. 1208/Gedong Air	")</f>
        <v>M. 1208/Gedong Air	</v>
      </c>
      <c r="D4234" s="13" t="str">
        <f>IFERROR(__xludf.DUMMYFUNCTION("""COMPUTED_VALUE"""),"K/14/031025/4")</f>
        <v>K/14/031025/4</v>
      </c>
      <c r="E4234" s="14" t="str">
        <f>IFERROR(__xludf.DUMMYFUNCTION("""COMPUTED_VALUE"""),"Admin (Migrasi)")</f>
        <v>Admin (Migrasi)</v>
      </c>
      <c r="F4234" s="14" t="str">
        <f>IFERROR(__xludf.DUMMYFUNCTION("""COMPUTED_VALUE"""),"SELESAI (VIA PERMOHONAN)")</f>
        <v>SELESAI (VIA PERMOHONAN)</v>
      </c>
      <c r="G4234" s="17">
        <f>IFERROR(__xludf.DUMMYFUNCTION("""COMPUTED_VALUE"""),45960.41721662037)</f>
        <v>45960.41722</v>
      </c>
      <c r="H4234" s="14" t="str">
        <f>IFERROR(__xludf.DUMMYFUNCTION("""COMPUTED_VALUE"""),"Admin (Migrasi)")</f>
        <v>Admin (Migrasi)</v>
      </c>
      <c r="I4234" s="13" t="str">
        <f>IFERROR(__xludf.DUMMYFUNCTION("""COMPUTED_VALUE"""),"SELESAI (VIA PERMOHONAN)")</f>
        <v>SELESAI (VIA PERMOHONAN)</v>
      </c>
      <c r="J4234" s="17">
        <f>IFERROR(__xludf.DUMMYFUNCTION("""COMPUTED_VALUE"""),45960.417245856486)</f>
        <v>45960.41725</v>
      </c>
      <c r="K4234" s="13" t="str">
        <f>IFERROR(__xludf.DUMMYFUNCTION("""COMPUTED_VALUE"""),"Selesai")</f>
        <v>Selesai</v>
      </c>
      <c r="L4234" s="17">
        <f>IFERROR(__xludf.DUMMYFUNCTION("""COMPUTED_VALUE"""),45960.417245856486)</f>
        <v>45960.41725</v>
      </c>
      <c r="M4234" s="13"/>
      <c r="N4234" s="13" t="str">
        <f>IFERROR(__xludf.DUMMYFUNCTION("""COMPUTED_VALUE"""),"")</f>
        <v/>
      </c>
      <c r="O4234" s="13" t="str">
        <f t="shared" si="1"/>
        <v/>
      </c>
    </row>
    <row r="4235" ht="22.5" customHeight="1">
      <c r="B4235" s="13">
        <f>IFERROR(__xludf.DUMMYFUNCTION("""COMPUTED_VALUE"""),4230.0)</f>
        <v>4230</v>
      </c>
      <c r="C4235" s="13" t="str">
        <f>IFERROR(__xludf.DUMMYFUNCTION("""COMPUTED_VALUE"""),"M. 1063/Rajabasa Pemuka")</f>
        <v>M. 1063/Rajabasa Pemuka</v>
      </c>
      <c r="D4235" s="13" t="str">
        <f>IFERROR(__xludf.DUMMYFUNCTION("""COMPUTED_VALUE"""),"K/4/290925/1")</f>
        <v>K/4/290925/1</v>
      </c>
      <c r="E4235" s="14" t="str">
        <f>IFERROR(__xludf.DUMMYFUNCTION("""COMPUTED_VALUE"""),"Admin (Migrasi)")</f>
        <v>Admin (Migrasi)</v>
      </c>
      <c r="F4235" s="14" t="str">
        <f>IFERROR(__xludf.DUMMYFUNCTION("""COMPUTED_VALUE"""),"SELESAI (VIA PERMOHONAN)")</f>
        <v>SELESAI (VIA PERMOHONAN)</v>
      </c>
      <c r="G4235" s="17">
        <f>IFERROR(__xludf.DUMMYFUNCTION("""COMPUTED_VALUE"""),45960.41738385417)</f>
        <v>45960.41738</v>
      </c>
      <c r="H4235" s="14" t="str">
        <f>IFERROR(__xludf.DUMMYFUNCTION("""COMPUTED_VALUE"""),"Admin (Migrasi)")</f>
        <v>Admin (Migrasi)</v>
      </c>
      <c r="I4235" s="13" t="str">
        <f>IFERROR(__xludf.DUMMYFUNCTION("""COMPUTED_VALUE"""),"SELESAI (VIA PERMOHONAN)")</f>
        <v>SELESAI (VIA PERMOHONAN)</v>
      </c>
      <c r="J4235" s="17">
        <f>IFERROR(__xludf.DUMMYFUNCTION("""COMPUTED_VALUE"""),45960.417410381946)</f>
        <v>45960.41741</v>
      </c>
      <c r="K4235" s="13" t="str">
        <f>IFERROR(__xludf.DUMMYFUNCTION("""COMPUTED_VALUE"""),"Selesai")</f>
        <v>Selesai</v>
      </c>
      <c r="L4235" s="17">
        <f>IFERROR(__xludf.DUMMYFUNCTION("""COMPUTED_VALUE"""),45960.417410381946)</f>
        <v>45960.41741</v>
      </c>
      <c r="M4235" s="13"/>
      <c r="N4235" s="13" t="str">
        <f>IFERROR(__xludf.DUMMYFUNCTION("""COMPUTED_VALUE"""),"")</f>
        <v/>
      </c>
      <c r="O4235" s="13" t="str">
        <f t="shared" si="1"/>
        <v/>
      </c>
    </row>
    <row r="4236" ht="22.5" customHeight="1">
      <c r="B4236" s="13">
        <f>IFERROR(__xludf.DUMMYFUNCTION("""COMPUTED_VALUE"""),4231.0)</f>
        <v>4231</v>
      </c>
      <c r="C4236" s="13" t="str">
        <f>IFERROR(__xludf.DUMMYFUNCTION("""COMPUTED_VALUE"""),"M. 476/Perumnas Way Kandis	")</f>
        <v>M. 476/Perumnas Way Kandis	</v>
      </c>
      <c r="D4236" s="13" t="str">
        <f>IFERROR(__xludf.DUMMYFUNCTION("""COMPUTED_VALUE"""),"K/20/290925/1")</f>
        <v>K/20/290925/1</v>
      </c>
      <c r="E4236" s="14" t="str">
        <f>IFERROR(__xludf.DUMMYFUNCTION("""COMPUTED_VALUE"""),"Admin (Migrasi)")</f>
        <v>Admin (Migrasi)</v>
      </c>
      <c r="F4236" s="14" t="str">
        <f>IFERROR(__xludf.DUMMYFUNCTION("""COMPUTED_VALUE"""),"SELESAI (VIA PERMOHONAN)")</f>
        <v>SELESAI (VIA PERMOHONAN)</v>
      </c>
      <c r="G4236" s="17">
        <f>IFERROR(__xludf.DUMMYFUNCTION("""COMPUTED_VALUE"""),45960.417566041666)</f>
        <v>45960.41757</v>
      </c>
      <c r="H4236" s="14" t="str">
        <f>IFERROR(__xludf.DUMMYFUNCTION("""COMPUTED_VALUE"""),"Admin (Migrasi)")</f>
        <v>Admin (Migrasi)</v>
      </c>
      <c r="I4236" s="13" t="str">
        <f>IFERROR(__xludf.DUMMYFUNCTION("""COMPUTED_VALUE"""),"SELESAI (VIA PERMOHONAN)")</f>
        <v>SELESAI (VIA PERMOHONAN)</v>
      </c>
      <c r="J4236" s="17">
        <f>IFERROR(__xludf.DUMMYFUNCTION("""COMPUTED_VALUE"""),45960.41760516204)</f>
        <v>45960.41761</v>
      </c>
      <c r="K4236" s="13" t="str">
        <f>IFERROR(__xludf.DUMMYFUNCTION("""COMPUTED_VALUE"""),"Selesai")</f>
        <v>Selesai</v>
      </c>
      <c r="L4236" s="17">
        <f>IFERROR(__xludf.DUMMYFUNCTION("""COMPUTED_VALUE"""),45960.41760516204)</f>
        <v>45960.41761</v>
      </c>
      <c r="M4236" s="13"/>
      <c r="N4236" s="13" t="str">
        <f>IFERROR(__xludf.DUMMYFUNCTION("""COMPUTED_VALUE"""),"")</f>
        <v/>
      </c>
      <c r="O4236" s="13" t="str">
        <f t="shared" si="1"/>
        <v/>
      </c>
    </row>
    <row r="4237" ht="22.5" customHeight="1">
      <c r="B4237" s="13">
        <f>IFERROR(__xludf.DUMMYFUNCTION("""COMPUTED_VALUE"""),4232.0)</f>
        <v>4232</v>
      </c>
      <c r="C4237" s="13" t="str">
        <f>IFERROR(__xludf.DUMMYFUNCTION("""COMPUTED_VALUE"""),"M 848/ SUMUR PUJTRI")</f>
        <v>M 848/ SUMUR PUJTRI</v>
      </c>
      <c r="D4237" s="13" t="str">
        <f>IFERROR(__xludf.DUMMYFUNCTION("""COMPUTED_VALUE"""),"K/8/260925/1")</f>
        <v>K/8/260925/1</v>
      </c>
      <c r="E4237" s="14" t="str">
        <f>IFERROR(__xludf.DUMMYFUNCTION("""COMPUTED_VALUE"""),"Heri (BT)")</f>
        <v>Heri (BT)</v>
      </c>
      <c r="F4237" s="14" t="str">
        <f>IFERROR(__xludf.DUMMYFUNCTION("""COMPUTED_VALUE"""),"SELESAI (VIA PERMOHONAN)")</f>
        <v>SELESAI (VIA PERMOHONAN)</v>
      </c>
      <c r="G4237" s="17">
        <f>IFERROR(__xludf.DUMMYFUNCTION("""COMPUTED_VALUE"""),45960.687571365735)</f>
        <v>45960.68757</v>
      </c>
      <c r="H4237" s="14"/>
      <c r="I4237" s="13"/>
      <c r="J4237" s="17" t="str">
        <f>IFERROR(__xludf.DUMMYFUNCTION("""COMPUTED_VALUE"""),"")</f>
        <v/>
      </c>
      <c r="K4237" s="13" t="str">
        <f>IFERROR(__xludf.DUMMYFUNCTION("""COMPUTED_VALUE"""),"BT atau SU Belum Valid")</f>
        <v>BT atau SU Belum Valid</v>
      </c>
      <c r="L4237" s="13" t="str">
        <f>IFERROR(__xludf.DUMMYFUNCTION("""COMPUTED_VALUE"""),"")</f>
        <v/>
      </c>
      <c r="M4237" s="13"/>
      <c r="N4237" s="13" t="str">
        <f>IFERROR(__xludf.DUMMYFUNCTION("""COMPUTED_VALUE"""),"")</f>
        <v/>
      </c>
      <c r="O4237" s="13" t="str">
        <f t="shared" si="1"/>
        <v/>
      </c>
    </row>
    <row r="4238" ht="22.5" customHeight="1">
      <c r="B4238" s="13">
        <f>IFERROR(__xludf.DUMMYFUNCTION("""COMPUTED_VALUE"""),4233.0)</f>
        <v>4233</v>
      </c>
      <c r="C4238" s="13" t="str">
        <f>IFERROR(__xludf.DUMMYFUNCTION("""COMPUTED_VALUE"""),"M 667/ WAY LAGA")</f>
        <v>M 667/ WAY LAGA</v>
      </c>
      <c r="D4238" s="13" t="str">
        <f>IFERROR(__xludf.DUMMYFUNCTION("""COMPUTED_VALUE"""),"K/42/230925/4")</f>
        <v>K/42/230925/4</v>
      </c>
      <c r="E4238" s="14" t="str">
        <f>IFERROR(__xludf.DUMMYFUNCTION("""COMPUTED_VALUE"""),"Heri (BT)")</f>
        <v>Heri (BT)</v>
      </c>
      <c r="F4238" s="14" t="str">
        <f>IFERROR(__xludf.DUMMYFUNCTION("""COMPUTED_VALUE"""),"SELESAI (VIA PERMOHONAN)")</f>
        <v>SELESAI (VIA PERMOHONAN)</v>
      </c>
      <c r="G4238" s="17">
        <f>IFERROR(__xludf.DUMMYFUNCTION("""COMPUTED_VALUE"""),45960.687571365735)</f>
        <v>45960.68757</v>
      </c>
      <c r="H4238" s="14"/>
      <c r="I4238" s="13"/>
      <c r="J4238" s="17" t="str">
        <f>IFERROR(__xludf.DUMMYFUNCTION("""COMPUTED_VALUE"""),"")</f>
        <v/>
      </c>
      <c r="K4238" s="13" t="str">
        <f>IFERROR(__xludf.DUMMYFUNCTION("""COMPUTED_VALUE"""),"BT atau SU Belum Valid")</f>
        <v>BT atau SU Belum Valid</v>
      </c>
      <c r="L4238" s="13" t="str">
        <f>IFERROR(__xludf.DUMMYFUNCTION("""COMPUTED_VALUE"""),"")</f>
        <v/>
      </c>
      <c r="M4238" s="13"/>
      <c r="N4238" s="13" t="str">
        <f>IFERROR(__xludf.DUMMYFUNCTION("""COMPUTED_VALUE"""),"")</f>
        <v/>
      </c>
      <c r="O4238" s="13" t="str">
        <f t="shared" si="1"/>
        <v/>
      </c>
    </row>
    <row r="4239" ht="22.5" customHeight="1">
      <c r="B4239" s="13">
        <f>IFERROR(__xludf.DUMMYFUNCTION("""COMPUTED_VALUE"""),4234.0)</f>
        <v>4234</v>
      </c>
      <c r="C4239" s="13" t="str">
        <f>IFERROR(__xludf.DUMMYFUNCTION("""COMPUTED_VALUE"""),"M. 1143/NEGERI OLOK GADING")</f>
        <v>M. 1143/NEGERI OLOK GADING</v>
      </c>
      <c r="D4239" s="13" t="str">
        <f>IFERROR(__xludf.DUMMYFUNCTION("""COMPUTED_VALUE"""),"K/22/230925/1")</f>
        <v>K/22/230925/1</v>
      </c>
      <c r="E4239" s="14" t="str">
        <f>IFERROR(__xludf.DUMMYFUNCTION("""COMPUTED_VALUE"""),"Heri (BT)")</f>
        <v>Heri (BT)</v>
      </c>
      <c r="F4239" s="14" t="str">
        <f>IFERROR(__xludf.DUMMYFUNCTION("""COMPUTED_VALUE"""),"SELESAI (VIA PERMOHONAN)")</f>
        <v>SELESAI (VIA PERMOHONAN)</v>
      </c>
      <c r="G4239" s="17">
        <f>IFERROR(__xludf.DUMMYFUNCTION("""COMPUTED_VALUE"""),45960.687571365735)</f>
        <v>45960.68757</v>
      </c>
      <c r="H4239" s="14"/>
      <c r="I4239" s="13"/>
      <c r="J4239" s="17" t="str">
        <f>IFERROR(__xludf.DUMMYFUNCTION("""COMPUTED_VALUE"""),"")</f>
        <v/>
      </c>
      <c r="K4239" s="13" t="str">
        <f>IFERROR(__xludf.DUMMYFUNCTION("""COMPUTED_VALUE"""),"BT atau SU Belum Valid")</f>
        <v>BT atau SU Belum Valid</v>
      </c>
      <c r="L4239" s="13" t="str">
        <f>IFERROR(__xludf.DUMMYFUNCTION("""COMPUTED_VALUE"""),"")</f>
        <v/>
      </c>
      <c r="M4239" s="13"/>
      <c r="N4239" s="13" t="str">
        <f>IFERROR(__xludf.DUMMYFUNCTION("""COMPUTED_VALUE"""),"")</f>
        <v/>
      </c>
      <c r="O4239" s="13" t="str">
        <f t="shared" si="1"/>
        <v/>
      </c>
    </row>
    <row r="4240" ht="22.5" customHeight="1">
      <c r="B4240" s="13">
        <f>IFERROR(__xludf.DUMMYFUNCTION("""COMPUTED_VALUE"""),4235.0)</f>
        <v>4235</v>
      </c>
      <c r="C4240" s="13" t="str">
        <f>IFERROR(__xludf.DUMMYFUNCTION("""COMPUTED_VALUE"""),"M. 1378/PANJANG SELATAN")</f>
        <v>M. 1378/PANJANG SELATAN</v>
      </c>
      <c r="D4240" s="13" t="str">
        <f>IFERROR(__xludf.DUMMYFUNCTION("""COMPUTED_VALUE"""),"K/21/190925/1")</f>
        <v>K/21/190925/1</v>
      </c>
      <c r="E4240" s="14" t="str">
        <f>IFERROR(__xludf.DUMMYFUNCTION("""COMPUTED_VALUE"""),"Heri (BT)")</f>
        <v>Heri (BT)</v>
      </c>
      <c r="F4240" s="14" t="str">
        <f>IFERROR(__xludf.DUMMYFUNCTION("""COMPUTED_VALUE"""),"SELESAI (VIA PERMOHONAN)")</f>
        <v>SELESAI (VIA PERMOHONAN)</v>
      </c>
      <c r="G4240" s="17">
        <f>IFERROR(__xludf.DUMMYFUNCTION("""COMPUTED_VALUE"""),45960.687571365735)</f>
        <v>45960.68757</v>
      </c>
      <c r="H4240" s="14"/>
      <c r="I4240" s="13"/>
      <c r="J4240" s="17" t="str">
        <f>IFERROR(__xludf.DUMMYFUNCTION("""COMPUTED_VALUE"""),"")</f>
        <v/>
      </c>
      <c r="K4240" s="13" t="str">
        <f>IFERROR(__xludf.DUMMYFUNCTION("""COMPUTED_VALUE"""),"BT atau SU Belum Valid")</f>
        <v>BT atau SU Belum Valid</v>
      </c>
      <c r="L4240" s="13" t="str">
        <f>IFERROR(__xludf.DUMMYFUNCTION("""COMPUTED_VALUE"""),"")</f>
        <v/>
      </c>
      <c r="M4240" s="13"/>
      <c r="N4240" s="13" t="str">
        <f>IFERROR(__xludf.DUMMYFUNCTION("""COMPUTED_VALUE"""),"")</f>
        <v/>
      </c>
      <c r="O4240" s="13" t="str">
        <f t="shared" si="1"/>
        <v/>
      </c>
    </row>
    <row r="4241" ht="22.5" customHeight="1">
      <c r="B4241" s="13">
        <f>IFERROR(__xludf.DUMMYFUNCTION("""COMPUTED_VALUE"""),4236.0)</f>
        <v>4236</v>
      </c>
      <c r="C4241" s="13" t="str">
        <f>IFERROR(__xludf.DUMMYFUNCTION("""COMPUTED_VALUE"""),"M 2405/ SUKARAME BARU")</f>
        <v>M 2405/ SUKARAME BARU</v>
      </c>
      <c r="D4241" s="13" t="str">
        <f>IFERROR(__xludf.DUMMYFUNCTION("""COMPUTED_VALUE"""),"K/23/091025/3")</f>
        <v>K/23/091025/3</v>
      </c>
      <c r="E4241" s="14" t="str">
        <f>IFERROR(__xludf.DUMMYFUNCTION("""COMPUTED_VALUE"""),"Heri (BT)")</f>
        <v>Heri (BT)</v>
      </c>
      <c r="F4241" s="14" t="str">
        <f>IFERROR(__xludf.DUMMYFUNCTION("""COMPUTED_VALUE"""),"SELESAI (VIA PERMOHONAN)")</f>
        <v>SELESAI (VIA PERMOHONAN)</v>
      </c>
      <c r="G4241" s="17">
        <f>IFERROR(__xludf.DUMMYFUNCTION("""COMPUTED_VALUE"""),0.0)</f>
        <v>0</v>
      </c>
      <c r="H4241" s="14"/>
      <c r="I4241" s="13"/>
      <c r="J4241" s="17" t="str">
        <f>IFERROR(__xludf.DUMMYFUNCTION("""COMPUTED_VALUE"""),"")</f>
        <v/>
      </c>
      <c r="K4241" s="13" t="str">
        <f>IFERROR(__xludf.DUMMYFUNCTION("""COMPUTED_VALUE"""),"BT atau SU Belum Valid")</f>
        <v>BT atau SU Belum Valid</v>
      </c>
      <c r="L4241" s="13" t="str">
        <f>IFERROR(__xludf.DUMMYFUNCTION("""COMPUTED_VALUE"""),"")</f>
        <v/>
      </c>
      <c r="M4241" s="13"/>
      <c r="N4241" s="13" t="str">
        <f>IFERROR(__xludf.DUMMYFUNCTION("""COMPUTED_VALUE"""),"")</f>
        <v/>
      </c>
      <c r="O4241" s="13" t="str">
        <f t="shared" si="1"/>
        <v/>
      </c>
    </row>
    <row r="4242" ht="22.5" customHeight="1">
      <c r="B4242" s="13">
        <f>IFERROR(__xludf.DUMMYFUNCTION("""COMPUTED_VALUE"""),4237.0)</f>
        <v>4237</v>
      </c>
      <c r="C4242" s="13" t="str">
        <f>IFERROR(__xludf.DUMMYFUNCTION("""COMPUTED_VALUE"""),"M. 2041/Jagabaya III	")</f>
        <v>M. 2041/Jagabaya III	</v>
      </c>
      <c r="D4242" s="13" t="str">
        <f>IFERROR(__xludf.DUMMYFUNCTION("""COMPUTED_VALUE"""),"K/24/061025/1")</f>
        <v>K/24/061025/1</v>
      </c>
      <c r="E4242" s="14" t="str">
        <f>IFERROR(__xludf.DUMMYFUNCTION("""COMPUTED_VALUE"""),"Heri (BT)")</f>
        <v>Heri (BT)</v>
      </c>
      <c r="F4242" s="14" t="str">
        <f>IFERROR(__xludf.DUMMYFUNCTION("""COMPUTED_VALUE"""),"SELESAI (VIA PERMOHONAN)")</f>
        <v>SELESAI (VIA PERMOHONAN)</v>
      </c>
      <c r="G4242" s="17">
        <f>IFERROR(__xludf.DUMMYFUNCTION("""COMPUTED_VALUE"""),0.0)</f>
        <v>0</v>
      </c>
      <c r="H4242" s="14"/>
      <c r="I4242" s="13"/>
      <c r="J4242" s="17" t="str">
        <f>IFERROR(__xludf.DUMMYFUNCTION("""COMPUTED_VALUE"""),"")</f>
        <v/>
      </c>
      <c r="K4242" s="13" t="str">
        <f>IFERROR(__xludf.DUMMYFUNCTION("""COMPUTED_VALUE"""),"BT atau SU Belum Valid")</f>
        <v>BT atau SU Belum Valid</v>
      </c>
      <c r="L4242" s="13" t="str">
        <f>IFERROR(__xludf.DUMMYFUNCTION("""COMPUTED_VALUE"""),"")</f>
        <v/>
      </c>
      <c r="M4242" s="13"/>
      <c r="N4242" s="13" t="str">
        <f>IFERROR(__xludf.DUMMYFUNCTION("""COMPUTED_VALUE"""),"")</f>
        <v/>
      </c>
      <c r="O4242" s="13" t="str">
        <f t="shared" si="1"/>
        <v/>
      </c>
    </row>
    <row r="4243" ht="22.5" customHeight="1">
      <c r="B4243" s="13">
        <f>IFERROR(__xludf.DUMMYFUNCTION("""COMPUTED_VALUE"""),4238.0)</f>
        <v>4238</v>
      </c>
      <c r="C4243" s="13" t="str">
        <f>IFERROR(__xludf.DUMMYFUNCTION("""COMPUTED_VALUE"""),"M. 1366/ TANJUNG GADING")</f>
        <v>M. 1366/ TANJUNG GADING</v>
      </c>
      <c r="D4243" s="13" t="str">
        <f>IFERROR(__xludf.DUMMYFUNCTION("""COMPUTED_VALUE"""),"K/34/110825/1")</f>
        <v>K/34/110825/1</v>
      </c>
      <c r="E4243" s="14" t="str">
        <f>IFERROR(__xludf.DUMMYFUNCTION("""COMPUTED_VALUE"""),"Heri (BT)")</f>
        <v>Heri (BT)</v>
      </c>
      <c r="F4243" s="14" t="str">
        <f>IFERROR(__xludf.DUMMYFUNCTION("""COMPUTED_VALUE"""),"SELESAI (VIA PERMOHONAN)")</f>
        <v>SELESAI (VIA PERMOHONAN)</v>
      </c>
      <c r="G4243" s="17">
        <f>IFERROR(__xludf.DUMMYFUNCTION("""COMPUTED_VALUE"""),0.0)</f>
        <v>0</v>
      </c>
      <c r="H4243" s="14"/>
      <c r="I4243" s="13"/>
      <c r="J4243" s="17" t="str">
        <f>IFERROR(__xludf.DUMMYFUNCTION("""COMPUTED_VALUE"""),"")</f>
        <v/>
      </c>
      <c r="K4243" s="13" t="str">
        <f>IFERROR(__xludf.DUMMYFUNCTION("""COMPUTED_VALUE"""),"BT atau SU Belum Valid")</f>
        <v>BT atau SU Belum Valid</v>
      </c>
      <c r="L4243" s="13" t="str">
        <f>IFERROR(__xludf.DUMMYFUNCTION("""COMPUTED_VALUE"""),"")</f>
        <v/>
      </c>
      <c r="M4243" s="13"/>
      <c r="N4243" s="13" t="str">
        <f>IFERROR(__xludf.DUMMYFUNCTION("""COMPUTED_VALUE"""),"")</f>
        <v/>
      </c>
      <c r="O4243" s="13" t="str">
        <f t="shared" si="1"/>
        <v/>
      </c>
    </row>
    <row r="4244" ht="22.5" customHeight="1">
      <c r="B4244" s="13">
        <f>IFERROR(__xludf.DUMMYFUNCTION("""COMPUTED_VALUE"""),4239.0)</f>
        <v>4239</v>
      </c>
      <c r="C4244" s="13" t="str">
        <f>IFERROR(__xludf.DUMMYFUNCTION("""COMPUTED_VALUE"""),"M 4513/ TANJUNG SENANG")</f>
        <v>M 4513/ TANJUNG SENANG</v>
      </c>
      <c r="D4244" s="13" t="str">
        <f>IFERROR(__xludf.DUMMYFUNCTION("""COMPUTED_VALUE"""),"K/32/061025/1")</f>
        <v>K/32/061025/1</v>
      </c>
      <c r="E4244" s="14" t="str">
        <f>IFERROR(__xludf.DUMMYFUNCTION("""COMPUTED_VALUE"""),"Heri (BT)")</f>
        <v>Heri (BT)</v>
      </c>
      <c r="F4244" s="14" t="str">
        <f>IFERROR(__xludf.DUMMYFUNCTION("""COMPUTED_VALUE"""),"SELESAI (VIA PERMOHONAN)")</f>
        <v>SELESAI (VIA PERMOHONAN)</v>
      </c>
      <c r="G4244" s="17">
        <f>IFERROR(__xludf.DUMMYFUNCTION("""COMPUTED_VALUE"""),0.0)</f>
        <v>0</v>
      </c>
      <c r="H4244" s="14" t="str">
        <f>IFERROR(__xludf.DUMMYFUNCTION("""COMPUTED_VALUE"""),"Aprill (SU)")</f>
        <v>Aprill (SU)</v>
      </c>
      <c r="I4244" s="13" t="str">
        <f>IFERROR(__xludf.DUMMYFUNCTION("""COMPUTED_VALUE"""),"SELESAI (VIA PERMOHONAN)")</f>
        <v>SELESAI (VIA PERMOHONAN)</v>
      </c>
      <c r="J4244" s="17">
        <f>IFERROR(__xludf.DUMMYFUNCTION("""COMPUTED_VALUE"""),45965.39541027778)</f>
        <v>45965.39541</v>
      </c>
      <c r="K4244" s="13" t="str">
        <f>IFERROR(__xludf.DUMMYFUNCTION("""COMPUTED_VALUE"""),"Selesai")</f>
        <v>Selesai</v>
      </c>
      <c r="L4244" s="17">
        <f>IFERROR(__xludf.DUMMYFUNCTION("""COMPUTED_VALUE"""),45965.39541027778)</f>
        <v>45965.39541</v>
      </c>
      <c r="M4244" s="13"/>
      <c r="N4244" s="13" t="str">
        <f>IFERROR(__xludf.DUMMYFUNCTION("""COMPUTED_VALUE"""),"")</f>
        <v/>
      </c>
      <c r="O4244" s="13" t="str">
        <f t="shared" si="1"/>
        <v/>
      </c>
    </row>
    <row r="4245" ht="22.5" customHeight="1">
      <c r="B4245" s="13">
        <f>IFERROR(__xludf.DUMMYFUNCTION("""COMPUTED_VALUE"""),4240.0)</f>
        <v>4240</v>
      </c>
      <c r="C4245" s="13" t="str">
        <f>IFERROR(__xludf.DUMMYFUNCTION("""COMPUTED_VALUE"""),"M 318/ WAY LAGA")</f>
        <v>M 318/ WAY LAGA</v>
      </c>
      <c r="D4245" s="13" t="str">
        <f>IFERROR(__xludf.DUMMYFUNCTION("""COMPUTED_VALUE"""),"K/40/230925/2")</f>
        <v>K/40/230925/2</v>
      </c>
      <c r="E4245" s="14" t="str">
        <f>IFERROR(__xludf.DUMMYFUNCTION("""COMPUTED_VALUE"""),"Heri (BT)")</f>
        <v>Heri (BT)</v>
      </c>
      <c r="F4245" s="14" t="str">
        <f>IFERROR(__xludf.DUMMYFUNCTION("""COMPUTED_VALUE"""),"SELESAI (VIA PERMOHONAN)")</f>
        <v>SELESAI (VIA PERMOHONAN)</v>
      </c>
      <c r="G4245" s="17">
        <f>IFERROR(__xludf.DUMMYFUNCTION("""COMPUTED_VALUE"""),0.0)</f>
        <v>0</v>
      </c>
      <c r="H4245" s="14" t="str">
        <f>IFERROR(__xludf.DUMMYFUNCTION("""COMPUTED_VALUE"""),"Aprill (SU)")</f>
        <v>Aprill (SU)</v>
      </c>
      <c r="I4245" s="13" t="str">
        <f>IFERROR(__xludf.DUMMYFUNCTION("""COMPUTED_VALUE"""),"SELESAI (VIA PERMOHONAN)")</f>
        <v>SELESAI (VIA PERMOHONAN)</v>
      </c>
      <c r="J4245" s="17">
        <f>IFERROR(__xludf.DUMMYFUNCTION("""COMPUTED_VALUE"""),45965.396634467594)</f>
        <v>45965.39663</v>
      </c>
      <c r="K4245" s="13" t="str">
        <f>IFERROR(__xludf.DUMMYFUNCTION("""COMPUTED_VALUE"""),"Selesai")</f>
        <v>Selesai</v>
      </c>
      <c r="L4245" s="17">
        <f>IFERROR(__xludf.DUMMYFUNCTION("""COMPUTED_VALUE"""),45965.396634467594)</f>
        <v>45965.39663</v>
      </c>
      <c r="M4245" s="13"/>
      <c r="N4245" s="13" t="str">
        <f>IFERROR(__xludf.DUMMYFUNCTION("""COMPUTED_VALUE"""),"")</f>
        <v/>
      </c>
      <c r="O4245" s="13" t="str">
        <f t="shared" si="1"/>
        <v/>
      </c>
    </row>
    <row r="4246" ht="22.5" customHeight="1">
      <c r="B4246" s="13">
        <f>IFERROR(__xludf.DUMMYFUNCTION("""COMPUTED_VALUE"""),4241.0)</f>
        <v>4241</v>
      </c>
      <c r="C4246" s="13" t="str">
        <f>IFERROR(__xludf.DUMMYFUNCTION("""COMPUTED_VALUE"""),"B 512/ SUKAMAJU")</f>
        <v>B 512/ SUKAMAJU</v>
      </c>
      <c r="D4246" s="13" t="str">
        <f>IFERROR(__xludf.DUMMYFUNCTION("""COMPUTED_VALUE"""),"K/38/290925/1")</f>
        <v>K/38/290925/1</v>
      </c>
      <c r="E4246" s="14" t="str">
        <f>IFERROR(__xludf.DUMMYFUNCTION("""COMPUTED_VALUE"""),"Heri (BT)")</f>
        <v>Heri (BT)</v>
      </c>
      <c r="F4246" s="14" t="str">
        <f>IFERROR(__xludf.DUMMYFUNCTION("""COMPUTED_VALUE"""),"SELESAI (VIA PERMOHONAN)")</f>
        <v>SELESAI (VIA PERMOHONAN)</v>
      </c>
      <c r="G4246" s="17">
        <f>IFERROR(__xludf.DUMMYFUNCTION("""COMPUTED_VALUE"""),0.0)</f>
        <v>0</v>
      </c>
      <c r="H4246" s="14" t="str">
        <f>IFERROR(__xludf.DUMMYFUNCTION("""COMPUTED_VALUE"""),"Aprill (SU)")</f>
        <v>Aprill (SU)</v>
      </c>
      <c r="I4246" s="13" t="str">
        <f>IFERROR(__xludf.DUMMYFUNCTION("""COMPUTED_VALUE"""),"SELESAI (VIA PERMOHONAN)")</f>
        <v>SELESAI (VIA PERMOHONAN)</v>
      </c>
      <c r="J4246" s="17">
        <f>IFERROR(__xludf.DUMMYFUNCTION("""COMPUTED_VALUE"""),45965.3955537963)</f>
        <v>45965.39555</v>
      </c>
      <c r="K4246" s="13" t="str">
        <f>IFERROR(__xludf.DUMMYFUNCTION("""COMPUTED_VALUE"""),"Selesai")</f>
        <v>Selesai</v>
      </c>
      <c r="L4246" s="17">
        <f>IFERROR(__xludf.DUMMYFUNCTION("""COMPUTED_VALUE"""),45965.3955537963)</f>
        <v>45965.39555</v>
      </c>
      <c r="M4246" s="13"/>
      <c r="N4246" s="13" t="str">
        <f>IFERROR(__xludf.DUMMYFUNCTION("""COMPUTED_VALUE"""),"")</f>
        <v/>
      </c>
      <c r="O4246" s="13" t="str">
        <f t="shared" si="1"/>
        <v/>
      </c>
    </row>
    <row r="4247" ht="22.5" customHeight="1">
      <c r="B4247" s="13">
        <f>IFERROR(__xludf.DUMMYFUNCTION("""COMPUTED_VALUE"""),4242.0)</f>
        <v>4242</v>
      </c>
      <c r="C4247" s="13" t="str">
        <f>IFERROR(__xludf.DUMMYFUNCTION("""COMPUTED_VALUE"""),"M 237/ BILABONG JAYA")</f>
        <v>M 237/ BILABONG JAYA</v>
      </c>
      <c r="D4247" s="13" t="str">
        <f>IFERROR(__xludf.DUMMYFUNCTION("""COMPUTED_VALUE"""),"K/20/180925/2")</f>
        <v>K/20/180925/2</v>
      </c>
      <c r="E4247" s="14" t="str">
        <f>IFERROR(__xludf.DUMMYFUNCTION("""COMPUTED_VALUE"""),"Heri (BT)")</f>
        <v>Heri (BT)</v>
      </c>
      <c r="F4247" s="14" t="str">
        <f>IFERROR(__xludf.DUMMYFUNCTION("""COMPUTED_VALUE"""),"SELESAI (VIA PERMOHONAN)")</f>
        <v>SELESAI (VIA PERMOHONAN)</v>
      </c>
      <c r="G4247" s="17">
        <f>IFERROR(__xludf.DUMMYFUNCTION("""COMPUTED_VALUE"""),0.0)</f>
        <v>0</v>
      </c>
      <c r="H4247" s="14"/>
      <c r="I4247" s="13"/>
      <c r="J4247" s="17" t="str">
        <f>IFERROR(__xludf.DUMMYFUNCTION("""COMPUTED_VALUE"""),"")</f>
        <v/>
      </c>
      <c r="K4247" s="13" t="str">
        <f>IFERROR(__xludf.DUMMYFUNCTION("""COMPUTED_VALUE"""),"BT atau SU Belum Valid")</f>
        <v>BT atau SU Belum Valid</v>
      </c>
      <c r="L4247" s="13" t="str">
        <f>IFERROR(__xludf.DUMMYFUNCTION("""COMPUTED_VALUE"""),"")</f>
        <v/>
      </c>
      <c r="M4247" s="13"/>
      <c r="N4247" s="13" t="str">
        <f>IFERROR(__xludf.DUMMYFUNCTION("""COMPUTED_VALUE"""),"")</f>
        <v/>
      </c>
      <c r="O4247" s="13" t="str">
        <f t="shared" si="1"/>
        <v/>
      </c>
    </row>
    <row r="4248" ht="22.5" customHeight="1">
      <c r="B4248" s="13">
        <f>IFERROR(__xludf.DUMMYFUNCTION("""COMPUTED_VALUE"""),4243.0)</f>
        <v>4243</v>
      </c>
      <c r="C4248" s="13" t="str">
        <f>IFERROR(__xludf.DUMMYFUNCTION("""COMPUTED_VALUE"""),"M 2853/ SUKARAME BARU")</f>
        <v>M 2853/ SUKARAME BARU</v>
      </c>
      <c r="D4248" s="13" t="str">
        <f>IFERROR(__xludf.DUMMYFUNCTION("""COMPUTED_VALUE"""),"K/26/180925/1")</f>
        <v>K/26/180925/1</v>
      </c>
      <c r="E4248" s="14" t="str">
        <f>IFERROR(__xludf.DUMMYFUNCTION("""COMPUTED_VALUE"""),"Heri (BT)")</f>
        <v>Heri (BT)</v>
      </c>
      <c r="F4248" s="14" t="str">
        <f>IFERROR(__xludf.DUMMYFUNCTION("""COMPUTED_VALUE"""),"SELESAI (VIA PERMOHONAN)")</f>
        <v>SELESAI (VIA PERMOHONAN)</v>
      </c>
      <c r="G4248" s="17">
        <f>IFERROR(__xludf.DUMMYFUNCTION("""COMPUTED_VALUE"""),0.0)</f>
        <v>0</v>
      </c>
      <c r="H4248" s="14" t="str">
        <f>IFERROR(__xludf.DUMMYFUNCTION("""COMPUTED_VALUE"""),"Aprill (SU)")</f>
        <v>Aprill (SU)</v>
      </c>
      <c r="I4248" s="13" t="str">
        <f>IFERROR(__xludf.DUMMYFUNCTION("""COMPUTED_VALUE"""),"SELESAI (VIA PERMOHONAN)")</f>
        <v>SELESAI (VIA PERMOHONAN)</v>
      </c>
      <c r="J4248" s="17">
        <f>IFERROR(__xludf.DUMMYFUNCTION("""COMPUTED_VALUE"""),45965.39600791667)</f>
        <v>45965.39601</v>
      </c>
      <c r="K4248" s="13" t="str">
        <f>IFERROR(__xludf.DUMMYFUNCTION("""COMPUTED_VALUE"""),"Selesai")</f>
        <v>Selesai</v>
      </c>
      <c r="L4248" s="17">
        <f>IFERROR(__xludf.DUMMYFUNCTION("""COMPUTED_VALUE"""),45965.39600791667)</f>
        <v>45965.39601</v>
      </c>
      <c r="M4248" s="13"/>
      <c r="N4248" s="13" t="str">
        <f>IFERROR(__xludf.DUMMYFUNCTION("""COMPUTED_VALUE"""),"")</f>
        <v/>
      </c>
      <c r="O4248" s="13" t="str">
        <f t="shared" si="1"/>
        <v/>
      </c>
    </row>
    <row r="4249" ht="22.5" customHeight="1">
      <c r="B4249" s="13">
        <f>IFERROR(__xludf.DUMMYFUNCTION("""COMPUTED_VALUE"""),4244.0)</f>
        <v>4244</v>
      </c>
      <c r="C4249" s="13" t="str">
        <f>IFERROR(__xludf.DUMMYFUNCTION("""COMPUTED_VALUE"""),"M 2372/ SUSUNAN BARU")</f>
        <v>M 2372/ SUSUNAN BARU</v>
      </c>
      <c r="D4249" s="13" t="str">
        <f>IFERROR(__xludf.DUMMYFUNCTION("""COMPUTED_VALUE"""),"K/26/120925/1")</f>
        <v>K/26/120925/1</v>
      </c>
      <c r="E4249" s="14" t="str">
        <f>IFERROR(__xludf.DUMMYFUNCTION("""COMPUTED_VALUE"""),"Heri (BT)")</f>
        <v>Heri (BT)</v>
      </c>
      <c r="F4249" s="14" t="str">
        <f>IFERROR(__xludf.DUMMYFUNCTION("""COMPUTED_VALUE"""),"SELESAI (VIA PERMOHONAN)")</f>
        <v>SELESAI (VIA PERMOHONAN)</v>
      </c>
      <c r="G4249" s="17">
        <f>IFERROR(__xludf.DUMMYFUNCTION("""COMPUTED_VALUE"""),0.0)</f>
        <v>0</v>
      </c>
      <c r="H4249" s="14"/>
      <c r="I4249" s="13"/>
      <c r="J4249" s="17" t="str">
        <f>IFERROR(__xludf.DUMMYFUNCTION("""COMPUTED_VALUE"""),"")</f>
        <v/>
      </c>
      <c r="K4249" s="13" t="str">
        <f>IFERROR(__xludf.DUMMYFUNCTION("""COMPUTED_VALUE"""),"BT atau SU Belum Valid")</f>
        <v>BT atau SU Belum Valid</v>
      </c>
      <c r="L4249" s="13" t="str">
        <f>IFERROR(__xludf.DUMMYFUNCTION("""COMPUTED_VALUE"""),"")</f>
        <v/>
      </c>
      <c r="M4249" s="13"/>
      <c r="N4249" s="13" t="str">
        <f>IFERROR(__xludf.DUMMYFUNCTION("""COMPUTED_VALUE"""),"")</f>
        <v/>
      </c>
      <c r="O4249" s="13" t="str">
        <f t="shared" si="1"/>
        <v/>
      </c>
    </row>
    <row r="4250" ht="22.5" customHeight="1">
      <c r="B4250" s="13">
        <f>IFERROR(__xludf.DUMMYFUNCTION("""COMPUTED_VALUE"""),4245.0)</f>
        <v>4245</v>
      </c>
      <c r="C4250" s="13" t="str">
        <f>IFERROR(__xludf.DUMMYFUNCTION("""COMPUTED_VALUE"""),"M 1238/ KANGKUNG")</f>
        <v>M 1238/ KANGKUNG</v>
      </c>
      <c r="D4250" s="13" t="str">
        <f>IFERROR(__xludf.DUMMYFUNCTION("""COMPUTED_VALUE"""),"K/47/081025/1")</f>
        <v>K/47/081025/1</v>
      </c>
      <c r="E4250" s="14" t="str">
        <f>IFERROR(__xludf.DUMMYFUNCTION("""COMPUTED_VALUE"""),"Heri (BT)")</f>
        <v>Heri (BT)</v>
      </c>
      <c r="F4250" s="14" t="str">
        <f>IFERROR(__xludf.DUMMYFUNCTION("""COMPUTED_VALUE"""),"SELESAI (VIA PERMOHONAN)")</f>
        <v>SELESAI (VIA PERMOHONAN)</v>
      </c>
      <c r="G4250" s="17">
        <f>IFERROR(__xludf.DUMMYFUNCTION("""COMPUTED_VALUE"""),0.0)</f>
        <v>0</v>
      </c>
      <c r="H4250" s="14"/>
      <c r="I4250" s="13"/>
      <c r="J4250" s="17" t="str">
        <f>IFERROR(__xludf.DUMMYFUNCTION("""COMPUTED_VALUE"""),"")</f>
        <v/>
      </c>
      <c r="K4250" s="13" t="str">
        <f>IFERROR(__xludf.DUMMYFUNCTION("""COMPUTED_VALUE"""),"BT atau SU Belum Valid")</f>
        <v>BT atau SU Belum Valid</v>
      </c>
      <c r="L4250" s="13" t="str">
        <f>IFERROR(__xludf.DUMMYFUNCTION("""COMPUTED_VALUE"""),"")</f>
        <v/>
      </c>
      <c r="M4250" s="13"/>
      <c r="N4250" s="13" t="str">
        <f>IFERROR(__xludf.DUMMYFUNCTION("""COMPUTED_VALUE"""),"")</f>
        <v/>
      </c>
      <c r="O4250" s="13" t="str">
        <f t="shared" si="1"/>
        <v/>
      </c>
    </row>
    <row r="4251" ht="22.5" customHeight="1">
      <c r="B4251" s="13">
        <f>IFERROR(__xludf.DUMMYFUNCTION("""COMPUTED_VALUE"""),4246.0)</f>
        <v>4246</v>
      </c>
      <c r="C4251" s="13" t="str">
        <f>IFERROR(__xludf.DUMMYFUNCTION("""COMPUTED_VALUE"""),"M. 1100/Sumur Batu")</f>
        <v>M. 1100/Sumur Batu</v>
      </c>
      <c r="D4251" s="13" t="str">
        <f>IFERROR(__xludf.DUMMYFUNCTION("""COMPUTED_VALUE"""),"K/14/210825/1")</f>
        <v>K/14/210825/1</v>
      </c>
      <c r="E4251" s="14" t="str">
        <f>IFERROR(__xludf.DUMMYFUNCTION("""COMPUTED_VALUE"""),"Heri (BT)")</f>
        <v>Heri (BT)</v>
      </c>
      <c r="F4251" s="14" t="str">
        <f>IFERROR(__xludf.DUMMYFUNCTION("""COMPUTED_VALUE"""),"SELESAI (VIA PERMOHONAN)")</f>
        <v>SELESAI (VIA PERMOHONAN)</v>
      </c>
      <c r="G4251" s="17">
        <f>IFERROR(__xludf.DUMMYFUNCTION("""COMPUTED_VALUE"""),0.0)</f>
        <v>0</v>
      </c>
      <c r="H4251" s="14"/>
      <c r="I4251" s="13"/>
      <c r="J4251" s="17" t="str">
        <f>IFERROR(__xludf.DUMMYFUNCTION("""COMPUTED_VALUE"""),"")</f>
        <v/>
      </c>
      <c r="K4251" s="13" t="str">
        <f>IFERROR(__xludf.DUMMYFUNCTION("""COMPUTED_VALUE"""),"BT atau SU Belum Valid")</f>
        <v>BT atau SU Belum Valid</v>
      </c>
      <c r="L4251" s="13" t="str">
        <f>IFERROR(__xludf.DUMMYFUNCTION("""COMPUTED_VALUE"""),"")</f>
        <v/>
      </c>
      <c r="M4251" s="13"/>
      <c r="N4251" s="13" t="str">
        <f>IFERROR(__xludf.DUMMYFUNCTION("""COMPUTED_VALUE"""),"")</f>
        <v/>
      </c>
      <c r="O4251" s="13" t="str">
        <f t="shared" si="1"/>
        <v/>
      </c>
    </row>
    <row r="4252" ht="22.5" customHeight="1">
      <c r="B4252" s="13">
        <f>IFERROR(__xludf.DUMMYFUNCTION("""COMPUTED_VALUE"""),4247.0)</f>
        <v>4247</v>
      </c>
      <c r="C4252" s="13" t="str">
        <f>IFERROR(__xludf.DUMMYFUNCTION("""COMPUTED_VALUE"""),"M.4743/SUKADANA HAM")</f>
        <v>M.4743/SUKADANA HAM</v>
      </c>
      <c r="D4252" s="13" t="str">
        <f>IFERROR(__xludf.DUMMYFUNCTION("""COMPUTED_VALUE"""),"")</f>
        <v/>
      </c>
      <c r="E4252" s="14" t="str">
        <f>IFERROR(__xludf.DUMMYFUNCTION("""COMPUTED_VALUE"""),"Heri (BT)")</f>
        <v>Heri (BT)</v>
      </c>
      <c r="F4252" s="14" t="str">
        <f>IFERROR(__xludf.DUMMYFUNCTION("""COMPUTED_VALUE"""),"SELESAI (VIA PERMOHONAN)")</f>
        <v>SELESAI (VIA PERMOHONAN)</v>
      </c>
      <c r="G4252" s="17">
        <f>IFERROR(__xludf.DUMMYFUNCTION("""COMPUTED_VALUE"""),0.0)</f>
        <v>0</v>
      </c>
      <c r="H4252" s="14" t="str">
        <f>IFERROR(__xludf.DUMMYFUNCTION("""COMPUTED_VALUE"""),"Aprill (SU)")</f>
        <v>Aprill (SU)</v>
      </c>
      <c r="I4252" s="13" t="str">
        <f>IFERROR(__xludf.DUMMYFUNCTION("""COMPUTED_VALUE"""),"SELESAI (VIA PERMOHONAN)")</f>
        <v>SELESAI (VIA PERMOHONAN)</v>
      </c>
      <c r="J4252" s="17">
        <f>IFERROR(__xludf.DUMMYFUNCTION("""COMPUTED_VALUE"""),45971.65264537037)</f>
        <v>45971.65265</v>
      </c>
      <c r="K4252" s="13" t="str">
        <f>IFERROR(__xludf.DUMMYFUNCTION("""COMPUTED_VALUE"""),"")</f>
        <v/>
      </c>
      <c r="L4252" s="13" t="str">
        <f>IFERROR(__xludf.DUMMYFUNCTION("""COMPUTED_VALUE"""),"")</f>
        <v/>
      </c>
      <c r="M4252" s="13"/>
      <c r="N4252" s="13" t="str">
        <f>IFERROR(__xludf.DUMMYFUNCTION("""COMPUTED_VALUE"""),"")</f>
        <v/>
      </c>
      <c r="O4252" s="13" t="str">
        <f t="shared" si="1"/>
        <v/>
      </c>
    </row>
    <row r="4253" ht="22.5" customHeight="1">
      <c r="B4253" s="13">
        <f>IFERROR(__xludf.DUMMYFUNCTION("""COMPUTED_VALUE"""),4248.0)</f>
        <v>4248</v>
      </c>
      <c r="C4253" s="13" t="str">
        <f>IFERROR(__xludf.DUMMYFUNCTION("""COMPUTED_VALUE"""),"M 1065/ PEMATANG WANGI")</f>
        <v>M 1065/ PEMATANG WANGI</v>
      </c>
      <c r="D4253" s="13" t="str">
        <f>IFERROR(__xludf.DUMMYFUNCTION("""COMPUTED_VALUE"""),"K/34/080925/2")</f>
        <v>K/34/080925/2</v>
      </c>
      <c r="E4253" s="14" t="str">
        <f>IFERROR(__xludf.DUMMYFUNCTION("""COMPUTED_VALUE"""),"Heri (BT)")</f>
        <v>Heri (BT)</v>
      </c>
      <c r="F4253" s="14" t="str">
        <f>IFERROR(__xludf.DUMMYFUNCTION("""COMPUTED_VALUE"""),"SELESAI (VIA PERMOHONAN)")</f>
        <v>SELESAI (VIA PERMOHONAN)</v>
      </c>
      <c r="G4253" s="17">
        <f>IFERROR(__xludf.DUMMYFUNCTION("""COMPUTED_VALUE"""),0.0)</f>
        <v>0</v>
      </c>
      <c r="H4253" s="14"/>
      <c r="I4253" s="13"/>
      <c r="J4253" s="17" t="str">
        <f>IFERROR(__xludf.DUMMYFUNCTION("""COMPUTED_VALUE"""),"")</f>
        <v/>
      </c>
      <c r="K4253" s="13" t="str">
        <f>IFERROR(__xludf.DUMMYFUNCTION("""COMPUTED_VALUE"""),"BT atau SU Belum Valid")</f>
        <v>BT atau SU Belum Valid</v>
      </c>
      <c r="L4253" s="13" t="str">
        <f>IFERROR(__xludf.DUMMYFUNCTION("""COMPUTED_VALUE"""),"")</f>
        <v/>
      </c>
      <c r="M4253" s="13"/>
      <c r="N4253" s="13" t="str">
        <f>IFERROR(__xludf.DUMMYFUNCTION("""COMPUTED_VALUE"""),"")</f>
        <v/>
      </c>
      <c r="O4253" s="13" t="str">
        <f t="shared" si="1"/>
        <v/>
      </c>
    </row>
    <row r="4254" ht="22.5" customHeight="1">
      <c r="B4254" s="13">
        <f>IFERROR(__xludf.DUMMYFUNCTION("""COMPUTED_VALUE"""),4249.0)</f>
        <v>4249</v>
      </c>
      <c r="C4254" s="13" t="str">
        <f>IFERROR(__xludf.DUMMYFUNCTION("""COMPUTED_VALUE"""),"M 19387/ SUKARAME")</f>
        <v>M 19387/ SUKARAME</v>
      </c>
      <c r="D4254" s="13" t="str">
        <f>IFERROR(__xludf.DUMMYFUNCTION("""COMPUTED_VALUE"""),"K/33/011025/1")</f>
        <v>K/33/011025/1</v>
      </c>
      <c r="E4254" s="14" t="str">
        <f>IFERROR(__xludf.DUMMYFUNCTION("""COMPUTED_VALUE"""),"Heri (BT)")</f>
        <v>Heri (BT)</v>
      </c>
      <c r="F4254" s="14" t="str">
        <f>IFERROR(__xludf.DUMMYFUNCTION("""COMPUTED_VALUE"""),"SELESAI (VIA PERMOHONAN)")</f>
        <v>SELESAI (VIA PERMOHONAN)</v>
      </c>
      <c r="G4254" s="17">
        <f>IFERROR(__xludf.DUMMYFUNCTION("""COMPUTED_VALUE"""),0.0)</f>
        <v>0</v>
      </c>
      <c r="H4254" s="14" t="str">
        <f>IFERROR(__xludf.DUMMYFUNCTION("""COMPUTED_VALUE"""),"Aprill (SU)")</f>
        <v>Aprill (SU)</v>
      </c>
      <c r="I4254" s="13" t="str">
        <f>IFERROR(__xludf.DUMMYFUNCTION("""COMPUTED_VALUE"""),"SELESAI (VIA PERMOHONAN)")</f>
        <v>SELESAI (VIA PERMOHONAN)</v>
      </c>
      <c r="J4254" s="17">
        <f>IFERROR(__xludf.DUMMYFUNCTION("""COMPUTED_VALUE"""),45971.652446215274)</f>
        <v>45971.65245</v>
      </c>
      <c r="K4254" s="13" t="str">
        <f>IFERROR(__xludf.DUMMYFUNCTION("""COMPUTED_VALUE"""),"Selesai")</f>
        <v>Selesai</v>
      </c>
      <c r="L4254" s="17">
        <f>IFERROR(__xludf.DUMMYFUNCTION("""COMPUTED_VALUE"""),45971.652446215274)</f>
        <v>45971.65245</v>
      </c>
      <c r="M4254" s="13"/>
      <c r="N4254" s="13" t="str">
        <f>IFERROR(__xludf.DUMMYFUNCTION("""COMPUTED_VALUE"""),"")</f>
        <v/>
      </c>
      <c r="O4254" s="13" t="str">
        <f t="shared" si="1"/>
        <v/>
      </c>
    </row>
    <row r="4255" ht="22.5" customHeight="1">
      <c r="B4255" s="13">
        <f>IFERROR(__xludf.DUMMYFUNCTION("""COMPUTED_VALUE"""),4250.0)</f>
        <v>4250</v>
      </c>
      <c r="C4255" s="13" t="str">
        <f>IFERROR(__xludf.DUMMYFUNCTION("""COMPUTED_VALUE"""),"M 19339/ SUKARAME")</f>
        <v>M 19339/ SUKARAME</v>
      </c>
      <c r="D4255" s="13" t="str">
        <f>IFERROR(__xludf.DUMMYFUNCTION("""COMPUTED_VALUE"""),"K/6/230925/2")</f>
        <v>K/6/230925/2</v>
      </c>
      <c r="E4255" s="14" t="str">
        <f>IFERROR(__xludf.DUMMYFUNCTION("""COMPUTED_VALUE"""),"Heri (BT)")</f>
        <v>Heri (BT)</v>
      </c>
      <c r="F4255" s="14" t="str">
        <f>IFERROR(__xludf.DUMMYFUNCTION("""COMPUTED_VALUE"""),"SELESAI (VIA PERMOHONAN)")</f>
        <v>SELESAI (VIA PERMOHONAN)</v>
      </c>
      <c r="G4255" s="17">
        <f>IFERROR(__xludf.DUMMYFUNCTION("""COMPUTED_VALUE"""),0.0)</f>
        <v>0</v>
      </c>
      <c r="H4255" s="14" t="str">
        <f>IFERROR(__xludf.DUMMYFUNCTION("""COMPUTED_VALUE"""),"Aprill (SU)")</f>
        <v>Aprill (SU)</v>
      </c>
      <c r="I4255" s="13" t="str">
        <f>IFERROR(__xludf.DUMMYFUNCTION("""COMPUTED_VALUE"""),"SELESAI (VIA PERMOHONAN)")</f>
        <v>SELESAI (VIA PERMOHONAN)</v>
      </c>
      <c r="J4255" s="17">
        <f>IFERROR(__xludf.DUMMYFUNCTION("""COMPUTED_VALUE"""),45965.39799197917)</f>
        <v>45965.39799</v>
      </c>
      <c r="K4255" s="13" t="str">
        <f>IFERROR(__xludf.DUMMYFUNCTION("""COMPUTED_VALUE"""),"Selesai")</f>
        <v>Selesai</v>
      </c>
      <c r="L4255" s="17">
        <f>IFERROR(__xludf.DUMMYFUNCTION("""COMPUTED_VALUE"""),45965.39799197917)</f>
        <v>45965.39799</v>
      </c>
      <c r="M4255" s="13"/>
      <c r="N4255" s="13" t="str">
        <f>IFERROR(__xludf.DUMMYFUNCTION("""COMPUTED_VALUE"""),"")</f>
        <v/>
      </c>
      <c r="O4255" s="13" t="str">
        <f t="shared" si="1"/>
        <v/>
      </c>
    </row>
    <row r="4256" ht="22.5" customHeight="1">
      <c r="B4256" s="13">
        <f>IFERROR(__xludf.DUMMYFUNCTION("""COMPUTED_VALUE"""),4251.0)</f>
        <v>4251</v>
      </c>
      <c r="C4256" s="13" t="str">
        <f>IFERROR(__xludf.DUMMYFUNCTION("""COMPUTED_VALUE"""),"M 11345/ JAGABAYA II")</f>
        <v>M 11345/ JAGABAYA II</v>
      </c>
      <c r="D4256" s="13" t="str">
        <f>IFERROR(__xludf.DUMMYFUNCTION("""COMPUTED_VALUE"""),"K/27/260925/1")</f>
        <v>K/27/260925/1</v>
      </c>
      <c r="E4256" s="14" t="str">
        <f>IFERROR(__xludf.DUMMYFUNCTION("""COMPUTED_VALUE"""),"Heri (BT)")</f>
        <v>Heri (BT)</v>
      </c>
      <c r="F4256" s="14" t="str">
        <f>IFERROR(__xludf.DUMMYFUNCTION("""COMPUTED_VALUE"""),"SELESAI (VIA PERMOHONAN)")</f>
        <v>SELESAI (VIA PERMOHONAN)</v>
      </c>
      <c r="G4256" s="17">
        <f>IFERROR(__xludf.DUMMYFUNCTION("""COMPUTED_VALUE"""),0.0)</f>
        <v>0</v>
      </c>
      <c r="H4256" s="14" t="str">
        <f>IFERROR(__xludf.DUMMYFUNCTION("""COMPUTED_VALUE"""),"Aprill (SU)")</f>
        <v>Aprill (SU)</v>
      </c>
      <c r="I4256" s="13" t="str">
        <f>IFERROR(__xludf.DUMMYFUNCTION("""COMPUTED_VALUE"""),"SELESAI (VIA PERMOHONAN)")</f>
        <v>SELESAI (VIA PERMOHONAN)</v>
      </c>
      <c r="J4256" s="17">
        <f>IFERROR(__xludf.DUMMYFUNCTION("""COMPUTED_VALUE"""),45965.396872847225)</f>
        <v>45965.39687</v>
      </c>
      <c r="K4256" s="13" t="str">
        <f>IFERROR(__xludf.DUMMYFUNCTION("""COMPUTED_VALUE"""),"Selesai")</f>
        <v>Selesai</v>
      </c>
      <c r="L4256" s="17">
        <f>IFERROR(__xludf.DUMMYFUNCTION("""COMPUTED_VALUE"""),45965.396872847225)</f>
        <v>45965.39687</v>
      </c>
      <c r="M4256" s="13"/>
      <c r="N4256" s="13" t="str">
        <f>IFERROR(__xludf.DUMMYFUNCTION("""COMPUTED_VALUE"""),"")</f>
        <v/>
      </c>
      <c r="O4256" s="13" t="str">
        <f t="shared" si="1"/>
        <v/>
      </c>
    </row>
    <row r="4257" ht="22.5" customHeight="1">
      <c r="B4257" s="13">
        <f>IFERROR(__xludf.DUMMYFUNCTION("""COMPUTED_VALUE"""),4252.0)</f>
        <v>4252</v>
      </c>
      <c r="C4257" s="13" t="str">
        <f>IFERROR(__xludf.DUMMYFUNCTION("""COMPUTED_VALUE"""),"M 721/ GEDONG AIR")</f>
        <v>M 721/ GEDONG AIR</v>
      </c>
      <c r="D4257" s="13" t="str">
        <f>IFERROR(__xludf.DUMMYFUNCTION("""COMPUTED_VALUE"""),"K/19/170926/1")</f>
        <v>K/19/170926/1</v>
      </c>
      <c r="E4257" s="14" t="str">
        <f>IFERROR(__xludf.DUMMYFUNCTION("""COMPUTED_VALUE"""),"Heri (BT)")</f>
        <v>Heri (BT)</v>
      </c>
      <c r="F4257" s="14" t="str">
        <f>IFERROR(__xludf.DUMMYFUNCTION("""COMPUTED_VALUE"""),"SELESAI (VIA PERMOHONAN)")</f>
        <v>SELESAI (VIA PERMOHONAN)</v>
      </c>
      <c r="G4257" s="17">
        <f>IFERROR(__xludf.DUMMYFUNCTION("""COMPUTED_VALUE"""),0.0)</f>
        <v>0</v>
      </c>
      <c r="H4257" s="14" t="str">
        <f>IFERROR(__xludf.DUMMYFUNCTION("""COMPUTED_VALUE"""),"Aprill (SU)")</f>
        <v>Aprill (SU)</v>
      </c>
      <c r="I4257" s="13" t="str">
        <f>IFERROR(__xludf.DUMMYFUNCTION("""COMPUTED_VALUE"""),"SELESAI (VIA PERMOHONAN)")</f>
        <v>SELESAI (VIA PERMOHONAN)</v>
      </c>
      <c r="J4257" s="17">
        <f>IFERROR(__xludf.DUMMYFUNCTION("""COMPUTED_VALUE"""),45965.398552557876)</f>
        <v>45965.39855</v>
      </c>
      <c r="K4257" s="13" t="str">
        <f>IFERROR(__xludf.DUMMYFUNCTION("""COMPUTED_VALUE"""),"Selesai")</f>
        <v>Selesai</v>
      </c>
      <c r="L4257" s="17">
        <f>IFERROR(__xludf.DUMMYFUNCTION("""COMPUTED_VALUE"""),45965.398552557876)</f>
        <v>45965.39855</v>
      </c>
      <c r="M4257" s="13"/>
      <c r="N4257" s="13" t="str">
        <f>IFERROR(__xludf.DUMMYFUNCTION("""COMPUTED_VALUE"""),"")</f>
        <v/>
      </c>
      <c r="O4257" s="13" t="str">
        <f t="shared" si="1"/>
        <v/>
      </c>
    </row>
    <row r="4258" ht="22.5" customHeight="1">
      <c r="B4258" s="13">
        <f>IFERROR(__xludf.DUMMYFUNCTION("""COMPUTED_VALUE"""),4253.0)</f>
        <v>4253</v>
      </c>
      <c r="C4258" s="13" t="str">
        <f>IFERROR(__xludf.DUMMYFUNCTION("""COMPUTED_VALUE"""),"M 4018/ GUNUNG TERANG")</f>
        <v>M 4018/ GUNUNG TERANG</v>
      </c>
      <c r="D4258" s="13" t="str">
        <f>IFERROR(__xludf.DUMMYFUNCTION("""COMPUTED_VALUE"""),"K/20/190925/1")</f>
        <v>K/20/190925/1</v>
      </c>
      <c r="E4258" s="14" t="str">
        <f>IFERROR(__xludf.DUMMYFUNCTION("""COMPUTED_VALUE"""),"Heri (BT)")</f>
        <v>Heri (BT)</v>
      </c>
      <c r="F4258" s="14" t="str">
        <f>IFERROR(__xludf.DUMMYFUNCTION("""COMPUTED_VALUE"""),"SELESAI (VIA PERMOHONAN)")</f>
        <v>SELESAI (VIA PERMOHONAN)</v>
      </c>
      <c r="G4258" s="17">
        <f>IFERROR(__xludf.DUMMYFUNCTION("""COMPUTED_VALUE"""),0.0)</f>
        <v>0</v>
      </c>
      <c r="H4258" s="14" t="str">
        <f>IFERROR(__xludf.DUMMYFUNCTION("""COMPUTED_VALUE"""),"Aprill (SU)")</f>
        <v>Aprill (SU)</v>
      </c>
      <c r="I4258" s="13" t="str">
        <f>IFERROR(__xludf.DUMMYFUNCTION("""COMPUTED_VALUE"""),"SELESAI (VIA PERMOHONAN)")</f>
        <v>SELESAI (VIA PERMOHONAN)</v>
      </c>
      <c r="J4258" s="17">
        <f>IFERROR(__xludf.DUMMYFUNCTION("""COMPUTED_VALUE"""),45961.638853055556)</f>
        <v>45961.63885</v>
      </c>
      <c r="K4258" s="13" t="str">
        <f>IFERROR(__xludf.DUMMYFUNCTION("""COMPUTED_VALUE"""),"Selesai")</f>
        <v>Selesai</v>
      </c>
      <c r="L4258" s="17">
        <f>IFERROR(__xludf.DUMMYFUNCTION("""COMPUTED_VALUE"""),45961.638853055556)</f>
        <v>45961.63885</v>
      </c>
      <c r="M4258" s="13"/>
      <c r="N4258" s="13" t="str">
        <f>IFERROR(__xludf.DUMMYFUNCTION("""COMPUTED_VALUE"""),"")</f>
        <v/>
      </c>
      <c r="O4258" s="13" t="str">
        <f t="shared" si="1"/>
        <v/>
      </c>
    </row>
    <row r="4259" ht="22.5" customHeight="1">
      <c r="B4259" s="13">
        <f>IFERROR(__xludf.DUMMYFUNCTION("""COMPUTED_VALUE"""),4254.0)</f>
        <v>4254</v>
      </c>
      <c r="C4259" s="13" t="str">
        <f>IFERROR(__xludf.DUMMYFUNCTION("""COMPUTED_VALUE"""),"M 9663/ SEGALA MIDER")</f>
        <v>M 9663/ SEGALA MIDER</v>
      </c>
      <c r="D4259" s="13" t="str">
        <f>IFERROR(__xludf.DUMMYFUNCTION("""COMPUTED_VALUE"""),"K/42/270825/1")</f>
        <v>K/42/270825/1</v>
      </c>
      <c r="E4259" s="14" t="str">
        <f>IFERROR(__xludf.DUMMYFUNCTION("""COMPUTED_VALUE"""),"Heri (BT)")</f>
        <v>Heri (BT)</v>
      </c>
      <c r="F4259" s="14" t="str">
        <f>IFERROR(__xludf.DUMMYFUNCTION("""COMPUTED_VALUE"""),"SELESAI (VIA PERMOHONAN)")</f>
        <v>SELESAI (VIA PERMOHONAN)</v>
      </c>
      <c r="G4259" s="17">
        <f>IFERROR(__xludf.DUMMYFUNCTION("""COMPUTED_VALUE"""),45960.68762945602)</f>
        <v>45960.68763</v>
      </c>
      <c r="H4259" s="14" t="str">
        <f>IFERROR(__xludf.DUMMYFUNCTION("""COMPUTED_VALUE"""),"Aprill (SU)")</f>
        <v>Aprill (SU)</v>
      </c>
      <c r="I4259" s="13" t="str">
        <f>IFERROR(__xludf.DUMMYFUNCTION("""COMPUTED_VALUE"""),"SELESAI (VIA PERMOHONAN)")</f>
        <v>SELESAI (VIA PERMOHONAN)</v>
      </c>
      <c r="J4259" s="17">
        <f>IFERROR(__xludf.DUMMYFUNCTION("""COMPUTED_VALUE"""),45961.6391775)</f>
        <v>45961.63918</v>
      </c>
      <c r="K4259" s="13" t="str">
        <f>IFERROR(__xludf.DUMMYFUNCTION("""COMPUTED_VALUE"""),"Selesai")</f>
        <v>Selesai</v>
      </c>
      <c r="L4259" s="17">
        <f>IFERROR(__xludf.DUMMYFUNCTION("""COMPUTED_VALUE"""),45961.6391775)</f>
        <v>45961.63918</v>
      </c>
      <c r="M4259" s="13"/>
      <c r="N4259" s="13" t="str">
        <f>IFERROR(__xludf.DUMMYFUNCTION("""COMPUTED_VALUE"""),"")</f>
        <v/>
      </c>
      <c r="O4259" s="13" t="str">
        <f t="shared" si="1"/>
        <v/>
      </c>
    </row>
    <row r="4260" ht="22.5" customHeight="1">
      <c r="B4260" s="13">
        <f>IFERROR(__xludf.DUMMYFUNCTION("""COMPUTED_VALUE"""),4255.0)</f>
        <v>4255</v>
      </c>
      <c r="C4260" s="13" t="str">
        <f>IFERROR(__xludf.DUMMYFUNCTION("""COMPUTED_VALUE"""),"M. 10965/JAGABAYA II")</f>
        <v>M. 10965/JAGABAYA II</v>
      </c>
      <c r="D4260" s="13" t="str">
        <f>IFERROR(__xludf.DUMMYFUNCTION("""COMPUTED_VALUE"""),"K/1/110825/1")</f>
        <v>K/1/110825/1</v>
      </c>
      <c r="E4260" s="14" t="str">
        <f>IFERROR(__xludf.DUMMYFUNCTION("""COMPUTED_VALUE"""),"Heri (BT)")</f>
        <v>Heri (BT)</v>
      </c>
      <c r="F4260" s="14" t="str">
        <f>IFERROR(__xludf.DUMMYFUNCTION("""COMPUTED_VALUE"""),"SELESAI (VIA PERMOHONAN)")</f>
        <v>SELESAI (VIA PERMOHONAN)</v>
      </c>
      <c r="G4260" s="17">
        <f>IFERROR(__xludf.DUMMYFUNCTION("""COMPUTED_VALUE"""),45960.68773820602)</f>
        <v>45960.68774</v>
      </c>
      <c r="H4260" s="14" t="str">
        <f>IFERROR(__xludf.DUMMYFUNCTION("""COMPUTED_VALUE"""),"Aprill (SU)")</f>
        <v>Aprill (SU)</v>
      </c>
      <c r="I4260" s="13" t="str">
        <f>IFERROR(__xludf.DUMMYFUNCTION("""COMPUTED_VALUE"""),"SELESAI (VIA PERMOHONAN)")</f>
        <v>SELESAI (VIA PERMOHONAN)</v>
      </c>
      <c r="J4260" s="17">
        <f>IFERROR(__xludf.DUMMYFUNCTION("""COMPUTED_VALUE"""),45961.639288136575)</f>
        <v>45961.63929</v>
      </c>
      <c r="K4260" s="13" t="str">
        <f>IFERROR(__xludf.DUMMYFUNCTION("""COMPUTED_VALUE"""),"Selesai")</f>
        <v>Selesai</v>
      </c>
      <c r="L4260" s="17">
        <f>IFERROR(__xludf.DUMMYFUNCTION("""COMPUTED_VALUE"""),45961.639288136575)</f>
        <v>45961.63929</v>
      </c>
      <c r="M4260" s="13"/>
      <c r="N4260" s="13" t="str">
        <f>IFERROR(__xludf.DUMMYFUNCTION("""COMPUTED_VALUE"""),"")</f>
        <v/>
      </c>
      <c r="O4260" s="13" t="str">
        <f t="shared" si="1"/>
        <v/>
      </c>
    </row>
    <row r="4261" ht="22.5" customHeight="1">
      <c r="B4261" s="13">
        <f>IFERROR(__xludf.DUMMYFUNCTION("""COMPUTED_VALUE"""),4256.0)</f>
        <v>4256</v>
      </c>
      <c r="C4261" s="13" t="str">
        <f>IFERROR(__xludf.DUMMYFUNCTION("""COMPUTED_VALUE"""),"M 375/ PAHOMAN")</f>
        <v>M 375/ PAHOMAN</v>
      </c>
      <c r="D4261" s="13" t="str">
        <f>IFERROR(__xludf.DUMMYFUNCTION("""COMPUTED_VALUE"""),"K/5/250925/3")</f>
        <v>K/5/250925/3</v>
      </c>
      <c r="E4261" s="14" t="str">
        <f>IFERROR(__xludf.DUMMYFUNCTION("""COMPUTED_VALUE"""),"Heri (BT)")</f>
        <v>Heri (BT)</v>
      </c>
      <c r="F4261" s="14" t="str">
        <f>IFERROR(__xludf.DUMMYFUNCTION("""COMPUTED_VALUE"""),"SELESAI (VIA PERMOHONAN)")</f>
        <v>SELESAI (VIA PERMOHONAN)</v>
      </c>
      <c r="G4261" s="17">
        <f>IFERROR(__xludf.DUMMYFUNCTION("""COMPUTED_VALUE"""),45960.68789263889)</f>
        <v>45960.68789</v>
      </c>
      <c r="H4261" s="14" t="str">
        <f>IFERROR(__xludf.DUMMYFUNCTION("""COMPUTED_VALUE"""),"Aprill (SU)")</f>
        <v>Aprill (SU)</v>
      </c>
      <c r="I4261" s="13" t="str">
        <f>IFERROR(__xludf.DUMMYFUNCTION("""COMPUTED_VALUE"""),"SELESAI (VIA PERMOHONAN)")</f>
        <v>SELESAI (VIA PERMOHONAN)</v>
      </c>
      <c r="J4261" s="17">
        <f>IFERROR(__xludf.DUMMYFUNCTION("""COMPUTED_VALUE"""),45961.63941574074)</f>
        <v>45961.63942</v>
      </c>
      <c r="K4261" s="13" t="str">
        <f>IFERROR(__xludf.DUMMYFUNCTION("""COMPUTED_VALUE"""),"Selesai")</f>
        <v>Selesai</v>
      </c>
      <c r="L4261" s="17">
        <f>IFERROR(__xludf.DUMMYFUNCTION("""COMPUTED_VALUE"""),45961.63941574074)</f>
        <v>45961.63942</v>
      </c>
      <c r="M4261" s="13"/>
      <c r="N4261" s="13" t="str">
        <f>IFERROR(__xludf.DUMMYFUNCTION("""COMPUTED_VALUE"""),"")</f>
        <v/>
      </c>
      <c r="O4261" s="13" t="str">
        <f t="shared" si="1"/>
        <v/>
      </c>
    </row>
    <row r="4262" ht="22.5" customHeight="1">
      <c r="B4262" s="13">
        <f>IFERROR(__xludf.DUMMYFUNCTION("""COMPUTED_VALUE"""),4257.0)</f>
        <v>4257</v>
      </c>
      <c r="C4262" s="13" t="str">
        <f>IFERROR(__xludf.DUMMYFUNCTION("""COMPUTED_VALUE"""),"M 6225/ WAY KANDIS")</f>
        <v>M 6225/ WAY KANDIS</v>
      </c>
      <c r="D4262" s="13" t="str">
        <f>IFERROR(__xludf.DUMMYFUNCTION("""COMPUTED_VALUE"""),"K/46/030925/1")</f>
        <v>K/46/030925/1</v>
      </c>
      <c r="E4262" s="14" t="str">
        <f>IFERROR(__xludf.DUMMYFUNCTION("""COMPUTED_VALUE"""),"Heri (BT)")</f>
        <v>Heri (BT)</v>
      </c>
      <c r="F4262" s="14" t="str">
        <f>IFERROR(__xludf.DUMMYFUNCTION("""COMPUTED_VALUE"""),"SELESAI (VIA PERMOHONAN)")</f>
        <v>SELESAI (VIA PERMOHONAN)</v>
      </c>
      <c r="G4262" s="17">
        <f>IFERROR(__xludf.DUMMYFUNCTION("""COMPUTED_VALUE"""),45960.68808619213)</f>
        <v>45960.68809</v>
      </c>
      <c r="H4262" s="14" t="str">
        <f>IFERROR(__xludf.DUMMYFUNCTION("""COMPUTED_VALUE"""),"Aprill (SU)")</f>
        <v>Aprill (SU)</v>
      </c>
      <c r="I4262" s="13" t="str">
        <f>IFERROR(__xludf.DUMMYFUNCTION("""COMPUTED_VALUE"""),"SELESAI (VIA PERMOHONAN)")</f>
        <v>SELESAI (VIA PERMOHONAN)</v>
      </c>
      <c r="J4262" s="17">
        <f>IFERROR(__xludf.DUMMYFUNCTION("""COMPUTED_VALUE"""),45961.63961185185)</f>
        <v>45961.63961</v>
      </c>
      <c r="K4262" s="13" t="str">
        <f>IFERROR(__xludf.DUMMYFUNCTION("""COMPUTED_VALUE"""),"Selesai")</f>
        <v>Selesai</v>
      </c>
      <c r="L4262" s="17">
        <f>IFERROR(__xludf.DUMMYFUNCTION("""COMPUTED_VALUE"""),45961.63961185185)</f>
        <v>45961.63961</v>
      </c>
      <c r="M4262" s="13"/>
      <c r="N4262" s="13" t="str">
        <f>IFERROR(__xludf.DUMMYFUNCTION("""COMPUTED_VALUE"""),"")</f>
        <v/>
      </c>
      <c r="O4262" s="13" t="str">
        <f t="shared" si="1"/>
        <v/>
      </c>
    </row>
    <row r="4263" ht="22.5" customHeight="1">
      <c r="B4263" s="13">
        <f>IFERROR(__xludf.DUMMYFUNCTION("""COMPUTED_VALUE"""),4258.0)</f>
        <v>4258</v>
      </c>
      <c r="C4263" s="13" t="str">
        <f>IFERROR(__xludf.DUMMYFUNCTION("""COMPUTED_VALUE"""),"M 4359/ RAJABASA JAYA")</f>
        <v>M 4359/ RAJABASA JAYA</v>
      </c>
      <c r="D4263" s="13" t="str">
        <f>IFERROR(__xludf.DUMMYFUNCTION("""COMPUTED_VALUE"""),"K/1/180925/1")</f>
        <v>K/1/180925/1</v>
      </c>
      <c r="E4263" s="14" t="str">
        <f>IFERROR(__xludf.DUMMYFUNCTION("""COMPUTED_VALUE"""),"Heri (BT)")</f>
        <v>Heri (BT)</v>
      </c>
      <c r="F4263" s="14" t="str">
        <f>IFERROR(__xludf.DUMMYFUNCTION("""COMPUTED_VALUE"""),"SELESAI (VIA PERMOHONAN)")</f>
        <v>SELESAI (VIA PERMOHONAN)</v>
      </c>
      <c r="G4263" s="17">
        <f>IFERROR(__xludf.DUMMYFUNCTION("""COMPUTED_VALUE"""),45960.688427870366)</f>
        <v>45960.68843</v>
      </c>
      <c r="H4263" s="14" t="str">
        <f>IFERROR(__xludf.DUMMYFUNCTION("""COMPUTED_VALUE"""),"Aprill (SU)")</f>
        <v>Aprill (SU)</v>
      </c>
      <c r="I4263" s="13" t="str">
        <f>IFERROR(__xludf.DUMMYFUNCTION("""COMPUTED_VALUE"""),"SELESAI (VIA PERMOHONAN)")</f>
        <v>SELESAI (VIA PERMOHONAN)</v>
      </c>
      <c r="J4263" s="17">
        <f>IFERROR(__xludf.DUMMYFUNCTION("""COMPUTED_VALUE"""),45961.63983799769)</f>
        <v>45961.63984</v>
      </c>
      <c r="K4263" s="13" t="str">
        <f>IFERROR(__xludf.DUMMYFUNCTION("""COMPUTED_VALUE"""),"Selesai")</f>
        <v>Selesai</v>
      </c>
      <c r="L4263" s="17">
        <f>IFERROR(__xludf.DUMMYFUNCTION("""COMPUTED_VALUE"""),45961.63983799769)</f>
        <v>45961.63984</v>
      </c>
      <c r="M4263" s="13"/>
      <c r="N4263" s="13" t="str">
        <f>IFERROR(__xludf.DUMMYFUNCTION("""COMPUTED_VALUE"""),"")</f>
        <v/>
      </c>
      <c r="O4263" s="13" t="str">
        <f t="shared" si="1"/>
        <v/>
      </c>
    </row>
    <row r="4264" ht="22.5" customHeight="1">
      <c r="B4264" s="13">
        <f>IFERROR(__xludf.DUMMYFUNCTION("""COMPUTED_VALUE"""),4259.0)</f>
        <v>4259</v>
      </c>
      <c r="C4264" s="13" t="str">
        <f>IFERROR(__xludf.DUMMYFUNCTION("""COMPUTED_VALUE"""),"M. 1385/GEDONG AIR")</f>
        <v>M. 1385/GEDONG AIR</v>
      </c>
      <c r="D4264" s="13" t="str">
        <f>IFERROR(__xludf.DUMMYFUNCTION("""COMPUTED_VALUE"""),"K/26/270825/1")</f>
        <v>K/26/270825/1</v>
      </c>
      <c r="E4264" s="14" t="str">
        <f>IFERROR(__xludf.DUMMYFUNCTION("""COMPUTED_VALUE"""),"Afriza (BT)")</f>
        <v>Afriza (BT)</v>
      </c>
      <c r="F4264" s="14" t="str">
        <f>IFERROR(__xludf.DUMMYFUNCTION("""COMPUTED_VALUE"""),"SELESAI (VIA PERMOHONAN)")</f>
        <v>SELESAI (VIA PERMOHONAN)</v>
      </c>
      <c r="G4264" s="17">
        <f>IFERROR(__xludf.DUMMYFUNCTION("""COMPUTED_VALUE"""),45961.76245490741)</f>
        <v>45961.76245</v>
      </c>
      <c r="H4264" s="14"/>
      <c r="I4264" s="13"/>
      <c r="J4264" s="17" t="str">
        <f>IFERROR(__xludf.DUMMYFUNCTION("""COMPUTED_VALUE"""),"")</f>
        <v/>
      </c>
      <c r="K4264" s="13" t="str">
        <f>IFERROR(__xludf.DUMMYFUNCTION("""COMPUTED_VALUE"""),"BT atau SU Belum Valid")</f>
        <v>BT atau SU Belum Valid</v>
      </c>
      <c r="L4264" s="13" t="str">
        <f>IFERROR(__xludf.DUMMYFUNCTION("""COMPUTED_VALUE"""),"")</f>
        <v/>
      </c>
      <c r="M4264" s="13"/>
      <c r="N4264" s="13" t="str">
        <f>IFERROR(__xludf.DUMMYFUNCTION("""COMPUTED_VALUE"""),"")</f>
        <v/>
      </c>
      <c r="O4264" s="13" t="str">
        <f t="shared" si="1"/>
        <v/>
      </c>
    </row>
    <row r="4265" ht="22.5" customHeight="1">
      <c r="B4265" s="13">
        <f>IFERROR(__xludf.DUMMYFUNCTION("""COMPUTED_VALUE"""),4260.0)</f>
        <v>4260</v>
      </c>
      <c r="C4265" s="13" t="str">
        <f>IFERROR(__xludf.DUMMYFUNCTION("""COMPUTED_VALUE"""),"B.326/PEMATANG WANGI")</f>
        <v>B.326/PEMATANG WANGI</v>
      </c>
      <c r="D4265" s="13" t="str">
        <f>IFERROR(__xludf.DUMMYFUNCTION("""COMPUTED_VALUE"""),"K/26/300925/1")</f>
        <v>K/26/300925/1</v>
      </c>
      <c r="E4265" s="14" t="str">
        <f>IFERROR(__xludf.DUMMYFUNCTION("""COMPUTED_VALUE"""),"Afriza (BT)")</f>
        <v>Afriza (BT)</v>
      </c>
      <c r="F4265" s="14" t="str">
        <f>IFERROR(__xludf.DUMMYFUNCTION("""COMPUTED_VALUE"""),"SELESAI (VIA PERMOHONAN)")</f>
        <v>SELESAI (VIA PERMOHONAN)</v>
      </c>
      <c r="G4265" s="17">
        <f>IFERROR(__xludf.DUMMYFUNCTION("""COMPUTED_VALUE"""),45961.76270432871)</f>
        <v>45961.7627</v>
      </c>
      <c r="H4265" s="14"/>
      <c r="I4265" s="13"/>
      <c r="J4265" s="17" t="str">
        <f>IFERROR(__xludf.DUMMYFUNCTION("""COMPUTED_VALUE"""),"")</f>
        <v/>
      </c>
      <c r="K4265" s="13" t="str">
        <f>IFERROR(__xludf.DUMMYFUNCTION("""COMPUTED_VALUE"""),"BT atau SU Belum Valid")</f>
        <v>BT atau SU Belum Valid</v>
      </c>
      <c r="L4265" s="13" t="str">
        <f>IFERROR(__xludf.DUMMYFUNCTION("""COMPUTED_VALUE"""),"")</f>
        <v/>
      </c>
      <c r="M4265" s="13"/>
      <c r="N4265" s="13" t="str">
        <f>IFERROR(__xludf.DUMMYFUNCTION("""COMPUTED_VALUE"""),"")</f>
        <v/>
      </c>
      <c r="O4265" s="13" t="str">
        <f t="shared" si="1"/>
        <v/>
      </c>
    </row>
    <row r="4266" ht="22.5" customHeight="1">
      <c r="B4266" s="13">
        <f>IFERROR(__xludf.DUMMYFUNCTION("""COMPUTED_VALUE"""),4261.0)</f>
        <v>4261</v>
      </c>
      <c r="C4266" s="13" t="str">
        <f>IFERROR(__xludf.DUMMYFUNCTION("""COMPUTED_VALUE"""),"M. 4081/BERINGIN RAYA")</f>
        <v>M. 4081/BERINGIN RAYA</v>
      </c>
      <c r="D4266" s="13" t="str">
        <f>IFERROR(__xludf.DUMMYFUNCTION("""COMPUTED_VALUE"""),"K/6/280725/2")</f>
        <v>K/6/280725/2</v>
      </c>
      <c r="E4266" s="14" t="str">
        <f>IFERROR(__xludf.DUMMYFUNCTION("""COMPUTED_VALUE"""),"Afriza (BT)")</f>
        <v>Afriza (BT)</v>
      </c>
      <c r="F4266" s="14" t="str">
        <f>IFERROR(__xludf.DUMMYFUNCTION("""COMPUTED_VALUE"""),"SELESAI (VIA PERMOHONAN)")</f>
        <v>SELESAI (VIA PERMOHONAN)</v>
      </c>
      <c r="G4266" s="17">
        <f>IFERROR(__xludf.DUMMYFUNCTION("""COMPUTED_VALUE"""),45961.762816076385)</f>
        <v>45961.76282</v>
      </c>
      <c r="H4266" s="14"/>
      <c r="I4266" s="13"/>
      <c r="J4266" s="17" t="str">
        <f>IFERROR(__xludf.DUMMYFUNCTION("""COMPUTED_VALUE"""),"")</f>
        <v/>
      </c>
      <c r="K4266" s="13" t="str">
        <f>IFERROR(__xludf.DUMMYFUNCTION("""COMPUTED_VALUE"""),"BT atau SU Belum Valid")</f>
        <v>BT atau SU Belum Valid</v>
      </c>
      <c r="L4266" s="13" t="str">
        <f>IFERROR(__xludf.DUMMYFUNCTION("""COMPUTED_VALUE"""),"")</f>
        <v/>
      </c>
      <c r="M4266" s="13"/>
      <c r="N4266" s="13" t="str">
        <f>IFERROR(__xludf.DUMMYFUNCTION("""COMPUTED_VALUE"""),"")</f>
        <v/>
      </c>
      <c r="O4266" s="13" t="str">
        <f t="shared" si="1"/>
        <v/>
      </c>
    </row>
    <row r="4267" ht="22.5" customHeight="1">
      <c r="B4267" s="13">
        <f>IFERROR(__xludf.DUMMYFUNCTION("""COMPUTED_VALUE"""),4262.0)</f>
        <v>4262</v>
      </c>
      <c r="C4267" s="13" t="str">
        <f>IFERROR(__xludf.DUMMYFUNCTION("""COMPUTED_VALUE"""),"B. 2417/CAMPANG JAYA")</f>
        <v>B. 2417/CAMPANG JAYA</v>
      </c>
      <c r="D4267" s="13" t="str">
        <f>IFERROR(__xludf.DUMMYFUNCTION("""COMPUTED_VALUE"""),"L/38/101025/1")</f>
        <v>L/38/101025/1</v>
      </c>
      <c r="E4267" s="14" t="str">
        <f>IFERROR(__xludf.DUMMYFUNCTION("""COMPUTED_VALUE"""),"Afriza (BT)")</f>
        <v>Afriza (BT)</v>
      </c>
      <c r="F4267" s="14" t="str">
        <f>IFERROR(__xludf.DUMMYFUNCTION("""COMPUTED_VALUE"""),"SELESAI (VIA PERMOHONAN)")</f>
        <v>SELESAI (VIA PERMOHONAN)</v>
      </c>
      <c r="G4267" s="17">
        <f>IFERROR(__xludf.DUMMYFUNCTION("""COMPUTED_VALUE"""),45961.762951620374)</f>
        <v>45961.76295</v>
      </c>
      <c r="H4267" s="14" t="str">
        <f>IFERROR(__xludf.DUMMYFUNCTION("""COMPUTED_VALUE"""),"Aprill (SU)")</f>
        <v>Aprill (SU)</v>
      </c>
      <c r="I4267" s="13" t="str">
        <f>IFERROR(__xludf.DUMMYFUNCTION("""COMPUTED_VALUE"""),"SELESAI (VIA PERMOHONAN)")</f>
        <v>SELESAI (VIA PERMOHONAN)</v>
      </c>
      <c r="J4267" s="17">
        <f>IFERROR(__xludf.DUMMYFUNCTION("""COMPUTED_VALUE"""),45965.39068571759)</f>
        <v>45965.39069</v>
      </c>
      <c r="K4267" s="13" t="str">
        <f>IFERROR(__xludf.DUMMYFUNCTION("""COMPUTED_VALUE"""),"Selesai")</f>
        <v>Selesai</v>
      </c>
      <c r="L4267" s="17">
        <f>IFERROR(__xludf.DUMMYFUNCTION("""COMPUTED_VALUE"""),45965.39068571759)</f>
        <v>45965.39069</v>
      </c>
      <c r="M4267" s="13"/>
      <c r="N4267" s="13" t="str">
        <f>IFERROR(__xludf.DUMMYFUNCTION("""COMPUTED_VALUE"""),"")</f>
        <v/>
      </c>
      <c r="O4267" s="13" t="str">
        <f t="shared" si="1"/>
        <v/>
      </c>
    </row>
    <row r="4268" ht="22.5" customHeight="1">
      <c r="B4268" s="13">
        <f>IFERROR(__xludf.DUMMYFUNCTION("""COMPUTED_VALUE"""),4263.0)</f>
        <v>4263</v>
      </c>
      <c r="C4268" s="13" t="str">
        <f>IFERROR(__xludf.DUMMYFUNCTION("""COMPUTED_VALUE"""),"M. 1923/BERINGIN RAYA DAN NIBEL M.25309/BERINGIN RAYA")</f>
        <v>M. 1923/BERINGIN RAYA DAN NIBEL M.25309/BERINGIN RAYA</v>
      </c>
      <c r="D4268" s="13" t="str">
        <f>IFERROR(__xludf.DUMMYFUNCTION("""COMPUTED_VALUE"""),"K/13/091025/1")</f>
        <v>K/13/091025/1</v>
      </c>
      <c r="E4268" s="14" t="str">
        <f>IFERROR(__xludf.DUMMYFUNCTION("""COMPUTED_VALUE"""),"Afriza (BT)")</f>
        <v>Afriza (BT)</v>
      </c>
      <c r="F4268" s="14" t="str">
        <f>IFERROR(__xludf.DUMMYFUNCTION("""COMPUTED_VALUE"""),"SELESAI (VIA PERMOHONAN)")</f>
        <v>SELESAI (VIA PERMOHONAN)</v>
      </c>
      <c r="G4268" s="17">
        <f>IFERROR(__xludf.DUMMYFUNCTION("""COMPUTED_VALUE"""),45961.76336420139)</f>
        <v>45961.76336</v>
      </c>
      <c r="H4268" s="14" t="str">
        <f>IFERROR(__xludf.DUMMYFUNCTION("""COMPUTED_VALUE"""),"Aprill (SU)")</f>
        <v>Aprill (SU)</v>
      </c>
      <c r="I4268" s="13" t="str">
        <f>IFERROR(__xludf.DUMMYFUNCTION("""COMPUTED_VALUE"""),"SELESAI (VIA PERMOHONAN)")</f>
        <v>SELESAI (VIA PERMOHONAN)</v>
      </c>
      <c r="J4268" s="17">
        <f>IFERROR(__xludf.DUMMYFUNCTION("""COMPUTED_VALUE"""),45965.394635046294)</f>
        <v>45965.39464</v>
      </c>
      <c r="K4268" s="13" t="str">
        <f>IFERROR(__xludf.DUMMYFUNCTION("""COMPUTED_VALUE"""),"Selesai")</f>
        <v>Selesai</v>
      </c>
      <c r="L4268" s="17">
        <f>IFERROR(__xludf.DUMMYFUNCTION("""COMPUTED_VALUE"""),45965.394635046294)</f>
        <v>45965.39464</v>
      </c>
      <c r="M4268" s="13"/>
      <c r="N4268" s="13" t="str">
        <f>IFERROR(__xludf.DUMMYFUNCTION("""COMPUTED_VALUE"""),"")</f>
        <v/>
      </c>
      <c r="O4268" s="13" t="str">
        <f t="shared" si="1"/>
        <v/>
      </c>
    </row>
    <row r="4269" ht="22.5" customHeight="1">
      <c r="B4269" s="13">
        <f>IFERROR(__xludf.DUMMYFUNCTION("""COMPUTED_VALUE"""),4264.0)</f>
        <v>4264</v>
      </c>
      <c r="C4269" s="13" t="str">
        <f>IFERROR(__xludf.DUMMYFUNCTION("""COMPUTED_VALUE"""),"M. 17929/SUKARAME I")</f>
        <v>M. 17929/SUKARAME I</v>
      </c>
      <c r="D4269" s="13" t="str">
        <f>IFERROR(__xludf.DUMMYFUNCTION("""COMPUTED_VALUE"""),"K/26/101025/1")</f>
        <v>K/26/101025/1</v>
      </c>
      <c r="E4269" s="14" t="str">
        <f>IFERROR(__xludf.DUMMYFUNCTION("""COMPUTED_VALUE"""),"Afriza (BT)")</f>
        <v>Afriza (BT)</v>
      </c>
      <c r="F4269" s="14" t="str">
        <f>IFERROR(__xludf.DUMMYFUNCTION("""COMPUTED_VALUE"""),"SELESAI (VIA PERMOHONAN)")</f>
        <v>SELESAI (VIA PERMOHONAN)</v>
      </c>
      <c r="G4269" s="17">
        <f>IFERROR(__xludf.DUMMYFUNCTION("""COMPUTED_VALUE"""),45961.76349203703)</f>
        <v>45961.76349</v>
      </c>
      <c r="H4269" s="14" t="str">
        <f>IFERROR(__xludf.DUMMYFUNCTION("""COMPUTED_VALUE"""),"Aprill (SU)")</f>
        <v>Aprill (SU)</v>
      </c>
      <c r="I4269" s="13" t="str">
        <f>IFERROR(__xludf.DUMMYFUNCTION("""COMPUTED_VALUE"""),"SELESAI (VIA PERMOHONAN)")</f>
        <v>SELESAI (VIA PERMOHONAN)</v>
      </c>
      <c r="J4269" s="17">
        <f>IFERROR(__xludf.DUMMYFUNCTION("""COMPUTED_VALUE"""),45965.39408171296)</f>
        <v>45965.39408</v>
      </c>
      <c r="K4269" s="13" t="str">
        <f>IFERROR(__xludf.DUMMYFUNCTION("""COMPUTED_VALUE"""),"Selesai")</f>
        <v>Selesai</v>
      </c>
      <c r="L4269" s="17">
        <f>IFERROR(__xludf.DUMMYFUNCTION("""COMPUTED_VALUE"""),45965.39408171296)</f>
        <v>45965.39408</v>
      </c>
      <c r="M4269" s="13"/>
      <c r="N4269" s="13" t="str">
        <f>IFERROR(__xludf.DUMMYFUNCTION("""COMPUTED_VALUE"""),"")</f>
        <v/>
      </c>
      <c r="O4269" s="13" t="str">
        <f t="shared" si="1"/>
        <v/>
      </c>
    </row>
    <row r="4270" ht="22.5" customHeight="1">
      <c r="B4270" s="13">
        <f>IFERROR(__xludf.DUMMYFUNCTION("""COMPUTED_VALUE"""),4265.0)</f>
        <v>4265</v>
      </c>
      <c r="C4270" s="13" t="str">
        <f>IFERROR(__xludf.DUMMYFUNCTION("""COMPUTED_VALUE"""),"M.3292/KOTA BARU")</f>
        <v>M.3292/KOTA BARU</v>
      </c>
      <c r="D4270" s="13" t="str">
        <f>IFERROR(__xludf.DUMMYFUNCTION("""COMPUTED_VALUE"""),"L/12/081025/1")</f>
        <v>L/12/081025/1</v>
      </c>
      <c r="E4270" s="14" t="str">
        <f>IFERROR(__xludf.DUMMYFUNCTION("""COMPUTED_VALUE"""),"Afriza (BT)")</f>
        <v>Afriza (BT)</v>
      </c>
      <c r="F4270" s="14" t="str">
        <f>IFERROR(__xludf.DUMMYFUNCTION("""COMPUTED_VALUE"""),"SELESAI (VIA PERMOHONAN)")</f>
        <v>SELESAI (VIA PERMOHONAN)</v>
      </c>
      <c r="G4270" s="17">
        <f>IFERROR(__xludf.DUMMYFUNCTION("""COMPUTED_VALUE"""),45961.76360851852)</f>
        <v>45961.76361</v>
      </c>
      <c r="H4270" s="14"/>
      <c r="I4270" s="13"/>
      <c r="J4270" s="17" t="str">
        <f>IFERROR(__xludf.DUMMYFUNCTION("""COMPUTED_VALUE"""),"")</f>
        <v/>
      </c>
      <c r="K4270" s="13" t="str">
        <f>IFERROR(__xludf.DUMMYFUNCTION("""COMPUTED_VALUE"""),"BT atau SU Belum Valid")</f>
        <v>BT atau SU Belum Valid</v>
      </c>
      <c r="L4270" s="13" t="str">
        <f>IFERROR(__xludf.DUMMYFUNCTION("""COMPUTED_VALUE"""),"")</f>
        <v/>
      </c>
      <c r="M4270" s="13"/>
      <c r="N4270" s="13" t="str">
        <f>IFERROR(__xludf.DUMMYFUNCTION("""COMPUTED_VALUE"""),"")</f>
        <v/>
      </c>
      <c r="O4270" s="13" t="str">
        <f t="shared" si="1"/>
        <v/>
      </c>
    </row>
    <row r="4271" ht="22.5" customHeight="1">
      <c r="B4271" s="13">
        <f>IFERROR(__xludf.DUMMYFUNCTION("""COMPUTED_VALUE"""),4266.0)</f>
        <v>4266</v>
      </c>
      <c r="C4271" s="13" t="str">
        <f>IFERROR(__xludf.DUMMYFUNCTION("""COMPUTED_VALUE"""),"M 849/ SUMUR PUTRI")</f>
        <v>M 849/ SUMUR PUTRI</v>
      </c>
      <c r="D4271" s="13" t="str">
        <f>IFERROR(__xludf.DUMMYFUNCTION("""COMPUTED_VALUE"""),"K/9/260925/2")</f>
        <v>K/9/260925/2</v>
      </c>
      <c r="E4271" s="14" t="str">
        <f>IFERROR(__xludf.DUMMYFUNCTION("""COMPUTED_VALUE"""),"Afriza (BT)")</f>
        <v>Afriza (BT)</v>
      </c>
      <c r="F4271" s="14" t="str">
        <f>IFERROR(__xludf.DUMMYFUNCTION("""COMPUTED_VALUE"""),"SELESAI (VIA PERMOHONAN)")</f>
        <v>SELESAI (VIA PERMOHONAN)</v>
      </c>
      <c r="G4271" s="17">
        <f>IFERROR(__xludf.DUMMYFUNCTION("""COMPUTED_VALUE"""),45961.76389103009)</f>
        <v>45961.76389</v>
      </c>
      <c r="H4271" s="14"/>
      <c r="I4271" s="13"/>
      <c r="J4271" s="17" t="str">
        <f>IFERROR(__xludf.DUMMYFUNCTION("""COMPUTED_VALUE"""),"")</f>
        <v/>
      </c>
      <c r="K4271" s="13" t="str">
        <f>IFERROR(__xludf.DUMMYFUNCTION("""COMPUTED_VALUE"""),"BT atau SU Belum Valid")</f>
        <v>BT atau SU Belum Valid</v>
      </c>
      <c r="L4271" s="13" t="str">
        <f>IFERROR(__xludf.DUMMYFUNCTION("""COMPUTED_VALUE"""),"")</f>
        <v/>
      </c>
      <c r="M4271" s="13"/>
      <c r="N4271" s="13" t="str">
        <f>IFERROR(__xludf.DUMMYFUNCTION("""COMPUTED_VALUE"""),"")</f>
        <v/>
      </c>
      <c r="O4271" s="13" t="str">
        <f t="shared" si="1"/>
        <v/>
      </c>
    </row>
    <row r="4272" ht="22.5" customHeight="1">
      <c r="B4272" s="13">
        <f>IFERROR(__xludf.DUMMYFUNCTION("""COMPUTED_VALUE"""),4267.0)</f>
        <v>4267</v>
      </c>
      <c r="C4272" s="13" t="str">
        <f>IFERROR(__xludf.DUMMYFUNCTION("""COMPUTED_VALUE"""),"B 180/ SUMBERREJO SEJAHTERA")</f>
        <v>B 180/ SUMBERREJO SEJAHTERA</v>
      </c>
      <c r="D4272" s="13" t="str">
        <f>IFERROR(__xludf.DUMMYFUNCTION("""COMPUTED_VALUE"""),"K/26/011025/1")</f>
        <v>K/26/011025/1</v>
      </c>
      <c r="E4272" s="14" t="str">
        <f>IFERROR(__xludf.DUMMYFUNCTION("""COMPUTED_VALUE"""),"Afriza (BT)")</f>
        <v>Afriza (BT)</v>
      </c>
      <c r="F4272" s="14" t="str">
        <f>IFERROR(__xludf.DUMMYFUNCTION("""COMPUTED_VALUE"""),"SELESAI (VIA PERMOHONAN)")</f>
        <v>SELESAI (VIA PERMOHONAN)</v>
      </c>
      <c r="G4272" s="17">
        <f>IFERROR(__xludf.DUMMYFUNCTION("""COMPUTED_VALUE"""),45961.765076261574)</f>
        <v>45961.76508</v>
      </c>
      <c r="H4272" s="14"/>
      <c r="I4272" s="13"/>
      <c r="J4272" s="17" t="str">
        <f>IFERROR(__xludf.DUMMYFUNCTION("""COMPUTED_VALUE"""),"")</f>
        <v/>
      </c>
      <c r="K4272" s="13" t="str">
        <f>IFERROR(__xludf.DUMMYFUNCTION("""COMPUTED_VALUE"""),"BT atau SU Belum Valid")</f>
        <v>BT atau SU Belum Valid</v>
      </c>
      <c r="L4272" s="13" t="str">
        <f>IFERROR(__xludf.DUMMYFUNCTION("""COMPUTED_VALUE"""),"")</f>
        <v/>
      </c>
      <c r="M4272" s="13"/>
      <c r="N4272" s="13" t="str">
        <f>IFERROR(__xludf.DUMMYFUNCTION("""COMPUTED_VALUE"""),"")</f>
        <v/>
      </c>
      <c r="O4272" s="13" t="str">
        <f t="shared" si="1"/>
        <v/>
      </c>
    </row>
    <row r="4273" ht="22.5" customHeight="1">
      <c r="B4273" s="13">
        <f>IFERROR(__xludf.DUMMYFUNCTION("""COMPUTED_VALUE"""),4268.0)</f>
        <v>4268</v>
      </c>
      <c r="C4273" s="13" t="str">
        <f>IFERROR(__xludf.DUMMYFUNCTION("""COMPUTED_VALUE"""),"M 701/ TANJUNG RAYA")</f>
        <v>M 701/ TANJUNG RAYA</v>
      </c>
      <c r="D4273" s="13" t="str">
        <f>IFERROR(__xludf.DUMMYFUNCTION("""COMPUTED_VALUE"""),"K/13/081025/1")</f>
        <v>K/13/081025/1</v>
      </c>
      <c r="E4273" s="14" t="str">
        <f>IFERROR(__xludf.DUMMYFUNCTION("""COMPUTED_VALUE"""),"Afriza (BT)")</f>
        <v>Afriza (BT)</v>
      </c>
      <c r="F4273" s="14" t="str">
        <f>IFERROR(__xludf.DUMMYFUNCTION("""COMPUTED_VALUE"""),"SELESAI (VIA PERMOHONAN)")</f>
        <v>SELESAI (VIA PERMOHONAN)</v>
      </c>
      <c r="G4273" s="17">
        <f>IFERROR(__xludf.DUMMYFUNCTION("""COMPUTED_VALUE"""),45961.7653099537)</f>
        <v>45961.76531</v>
      </c>
      <c r="H4273" s="14"/>
      <c r="I4273" s="13"/>
      <c r="J4273" s="17" t="str">
        <f>IFERROR(__xludf.DUMMYFUNCTION("""COMPUTED_VALUE"""),"")</f>
        <v/>
      </c>
      <c r="K4273" s="13" t="str">
        <f>IFERROR(__xludf.DUMMYFUNCTION("""COMPUTED_VALUE"""),"BT atau SU Belum Valid")</f>
        <v>BT atau SU Belum Valid</v>
      </c>
      <c r="L4273" s="13" t="str">
        <f>IFERROR(__xludf.DUMMYFUNCTION("""COMPUTED_VALUE"""),"")</f>
        <v/>
      </c>
      <c r="M4273" s="13"/>
      <c r="N4273" s="13" t="str">
        <f>IFERROR(__xludf.DUMMYFUNCTION("""COMPUTED_VALUE"""),"")</f>
        <v/>
      </c>
      <c r="O4273" s="13" t="str">
        <f t="shared" si="1"/>
        <v/>
      </c>
    </row>
    <row r="4274" ht="22.5" customHeight="1">
      <c r="B4274" s="13">
        <f>IFERROR(__xludf.DUMMYFUNCTION("""COMPUTED_VALUE"""),4269.0)</f>
        <v>4269</v>
      </c>
      <c r="C4274" s="13" t="str">
        <f>IFERROR(__xludf.DUMMYFUNCTION("""COMPUTED_VALUE"""),"M. 2401 / SUKAMAJU")</f>
        <v>M. 2401 / SUKAMAJU</v>
      </c>
      <c r="D4274" s="13" t="str">
        <f>IFERROR(__xludf.DUMMYFUNCTION("""COMPUTED_VALUE"""),"K/32/180925/1")</f>
        <v>K/32/180925/1</v>
      </c>
      <c r="E4274" s="14" t="str">
        <f>IFERROR(__xludf.DUMMYFUNCTION("""COMPUTED_VALUE"""),"Afriza (BT)")</f>
        <v>Afriza (BT)</v>
      </c>
      <c r="F4274" s="14" t="str">
        <f>IFERROR(__xludf.DUMMYFUNCTION("""COMPUTED_VALUE"""),"SELESAI (VIA PERMOHONAN)")</f>
        <v>SELESAI (VIA PERMOHONAN)</v>
      </c>
      <c r="G4274" s="17">
        <f>IFERROR(__xludf.DUMMYFUNCTION("""COMPUTED_VALUE"""),45961.76536689815)</f>
        <v>45961.76537</v>
      </c>
      <c r="H4274" s="14"/>
      <c r="I4274" s="13"/>
      <c r="J4274" s="17" t="str">
        <f>IFERROR(__xludf.DUMMYFUNCTION("""COMPUTED_VALUE"""),"")</f>
        <v/>
      </c>
      <c r="K4274" s="13" t="str">
        <f>IFERROR(__xludf.DUMMYFUNCTION("""COMPUTED_VALUE"""),"BT atau SU Belum Valid")</f>
        <v>BT atau SU Belum Valid</v>
      </c>
      <c r="L4274" s="13" t="str">
        <f>IFERROR(__xludf.DUMMYFUNCTION("""COMPUTED_VALUE"""),"")</f>
        <v/>
      </c>
      <c r="M4274" s="13"/>
      <c r="N4274" s="13" t="str">
        <f>IFERROR(__xludf.DUMMYFUNCTION("""COMPUTED_VALUE"""),"")</f>
        <v/>
      </c>
      <c r="O4274" s="13" t="str">
        <f t="shared" si="1"/>
        <v/>
      </c>
    </row>
    <row r="4275" ht="22.5" customHeight="1">
      <c r="B4275" s="13">
        <f>IFERROR(__xludf.DUMMYFUNCTION("""COMPUTED_VALUE"""),4270.0)</f>
        <v>4270</v>
      </c>
      <c r="C4275" s="13" t="str">
        <f>IFERROR(__xludf.DUMMYFUNCTION("""COMPUTED_VALUE"""),"M. 1151/PERUMNAS WAY HALIM")</f>
        <v>M. 1151/PERUMNAS WAY HALIM</v>
      </c>
      <c r="D4275" s="13" t="str">
        <f>IFERROR(__xludf.DUMMYFUNCTION("""COMPUTED_VALUE"""),"K/3/030925/1")</f>
        <v>K/3/030925/1</v>
      </c>
      <c r="E4275" s="14" t="str">
        <f>IFERROR(__xludf.DUMMYFUNCTION("""COMPUTED_VALUE"""),"Afriza (BT)")</f>
        <v>Afriza (BT)</v>
      </c>
      <c r="F4275" s="14" t="str">
        <f>IFERROR(__xludf.DUMMYFUNCTION("""COMPUTED_VALUE"""),"SELESAI (VIA PERMOHONAN)")</f>
        <v>SELESAI (VIA PERMOHONAN)</v>
      </c>
      <c r="G4275" s="17">
        <f>IFERROR(__xludf.DUMMYFUNCTION("""COMPUTED_VALUE"""),45961.76554334491)</f>
        <v>45961.76554</v>
      </c>
      <c r="H4275" s="14"/>
      <c r="I4275" s="13"/>
      <c r="J4275" s="17" t="str">
        <f>IFERROR(__xludf.DUMMYFUNCTION("""COMPUTED_VALUE"""),"")</f>
        <v/>
      </c>
      <c r="K4275" s="13" t="str">
        <f>IFERROR(__xludf.DUMMYFUNCTION("""COMPUTED_VALUE"""),"BT atau SU Belum Valid")</f>
        <v>BT atau SU Belum Valid</v>
      </c>
      <c r="L4275" s="13" t="str">
        <f>IFERROR(__xludf.DUMMYFUNCTION("""COMPUTED_VALUE"""),"")</f>
        <v/>
      </c>
      <c r="M4275" s="13"/>
      <c r="N4275" s="13" t="str">
        <f>IFERROR(__xludf.DUMMYFUNCTION("""COMPUTED_VALUE"""),"")</f>
        <v/>
      </c>
      <c r="O4275" s="13" t="str">
        <f t="shared" si="1"/>
        <v/>
      </c>
    </row>
    <row r="4276" ht="22.5" customHeight="1">
      <c r="B4276" s="13">
        <f>IFERROR(__xludf.DUMMYFUNCTION("""COMPUTED_VALUE"""),4271.0)</f>
        <v>4271</v>
      </c>
      <c r="C4276" s="13" t="str">
        <f>IFERROR(__xludf.DUMMYFUNCTION("""COMPUTED_VALUE"""),"M. 16558/SUKABUMI")</f>
        <v>M. 16558/SUKABUMI</v>
      </c>
      <c r="D4276" s="13" t="str">
        <f>IFERROR(__xludf.DUMMYFUNCTION("""COMPUTED_VALUE"""),"K/22/190925/2")</f>
        <v>K/22/190925/2</v>
      </c>
      <c r="E4276" s="14" t="str">
        <f>IFERROR(__xludf.DUMMYFUNCTION("""COMPUTED_VALUE"""),"Afriza (BT)")</f>
        <v>Afriza (BT)</v>
      </c>
      <c r="F4276" s="14" t="str">
        <f>IFERROR(__xludf.DUMMYFUNCTION("""COMPUTED_VALUE"""),"SELESAI (VIA PERMOHONAN)")</f>
        <v>SELESAI (VIA PERMOHONAN)</v>
      </c>
      <c r="G4276" s="17">
        <f>IFERROR(__xludf.DUMMYFUNCTION("""COMPUTED_VALUE"""),45961.76564172454)</f>
        <v>45961.76564</v>
      </c>
      <c r="H4276" s="14"/>
      <c r="I4276" s="13"/>
      <c r="J4276" s="17" t="str">
        <f>IFERROR(__xludf.DUMMYFUNCTION("""COMPUTED_VALUE"""),"")</f>
        <v/>
      </c>
      <c r="K4276" s="13" t="str">
        <f>IFERROR(__xludf.DUMMYFUNCTION("""COMPUTED_VALUE"""),"BT atau SU Belum Valid")</f>
        <v>BT atau SU Belum Valid</v>
      </c>
      <c r="L4276" s="13" t="str">
        <f>IFERROR(__xludf.DUMMYFUNCTION("""COMPUTED_VALUE"""),"")</f>
        <v/>
      </c>
      <c r="M4276" s="13"/>
      <c r="N4276" s="13" t="str">
        <f>IFERROR(__xludf.DUMMYFUNCTION("""COMPUTED_VALUE"""),"")</f>
        <v/>
      </c>
      <c r="O4276" s="13" t="str">
        <f t="shared" si="1"/>
        <v/>
      </c>
    </row>
    <row r="4277" ht="22.5" customHeight="1">
      <c r="B4277" s="13">
        <f>IFERROR(__xludf.DUMMYFUNCTION("""COMPUTED_VALUE"""),4272.0)</f>
        <v>4272</v>
      </c>
      <c r="C4277" s="13" t="str">
        <f>IFERROR(__xludf.DUMMYFUNCTION("""COMPUTED_VALUE"""),"M.769/SUKAJAWA")</f>
        <v>M.769/SUKAJAWA</v>
      </c>
      <c r="D4277" s="13" t="str">
        <f>IFERROR(__xludf.DUMMYFUNCTION("""COMPUTED_VALUE"""),"K/35/091025/1")</f>
        <v>K/35/091025/1</v>
      </c>
      <c r="E4277" s="14" t="str">
        <f>IFERROR(__xludf.DUMMYFUNCTION("""COMPUTED_VALUE"""),"Afriza (BT)")</f>
        <v>Afriza (BT)</v>
      </c>
      <c r="F4277" s="14" t="str">
        <f>IFERROR(__xludf.DUMMYFUNCTION("""COMPUTED_VALUE"""),"SELESAI (VIA PERMOHONAN)")</f>
        <v>SELESAI (VIA PERMOHONAN)</v>
      </c>
      <c r="G4277" s="17">
        <f>IFERROR(__xludf.DUMMYFUNCTION("""COMPUTED_VALUE"""),45961.76597743055)</f>
        <v>45961.76598</v>
      </c>
      <c r="H4277" s="14"/>
      <c r="I4277" s="13"/>
      <c r="J4277" s="17" t="str">
        <f>IFERROR(__xludf.DUMMYFUNCTION("""COMPUTED_VALUE"""),"")</f>
        <v/>
      </c>
      <c r="K4277" s="13" t="str">
        <f>IFERROR(__xludf.DUMMYFUNCTION("""COMPUTED_VALUE"""),"BT atau SU Belum Valid")</f>
        <v>BT atau SU Belum Valid</v>
      </c>
      <c r="L4277" s="13" t="str">
        <f>IFERROR(__xludf.DUMMYFUNCTION("""COMPUTED_VALUE"""),"")</f>
        <v/>
      </c>
      <c r="M4277" s="13"/>
      <c r="N4277" s="13" t="str">
        <f>IFERROR(__xludf.DUMMYFUNCTION("""COMPUTED_VALUE"""),"")</f>
        <v/>
      </c>
      <c r="O4277" s="13" t="str">
        <f t="shared" si="1"/>
        <v/>
      </c>
    </row>
    <row r="4278" ht="22.5" customHeight="1">
      <c r="B4278" s="13">
        <f>IFERROR(__xludf.DUMMYFUNCTION("""COMPUTED_VALUE"""),4273.0)</f>
        <v>4273</v>
      </c>
      <c r="C4278" s="13" t="str">
        <f>IFERROR(__xludf.DUMMYFUNCTION("""COMPUTED_VALUE"""),"M. 10564/KEDATON")</f>
        <v>M. 10564/KEDATON</v>
      </c>
      <c r="D4278" s="13" t="str">
        <f>IFERROR(__xludf.DUMMYFUNCTION("""COMPUTED_VALUE"""),"L/22/011027/1")</f>
        <v>L/22/011027/1</v>
      </c>
      <c r="E4278" s="14" t="str">
        <f>IFERROR(__xludf.DUMMYFUNCTION("""COMPUTED_VALUE"""),"Afriza (BT)")</f>
        <v>Afriza (BT)</v>
      </c>
      <c r="F4278" s="14" t="str">
        <f>IFERROR(__xludf.DUMMYFUNCTION("""COMPUTED_VALUE"""),"SELESAI (VIA PERMOHONAN)")</f>
        <v>SELESAI (VIA PERMOHONAN)</v>
      </c>
      <c r="G4278" s="17">
        <f>IFERROR(__xludf.DUMMYFUNCTION("""COMPUTED_VALUE"""),45961.76664943287)</f>
        <v>45961.76665</v>
      </c>
      <c r="H4278" s="14"/>
      <c r="I4278" s="13"/>
      <c r="J4278" s="17" t="str">
        <f>IFERROR(__xludf.DUMMYFUNCTION("""COMPUTED_VALUE"""),"")</f>
        <v/>
      </c>
      <c r="K4278" s="13" t="str">
        <f>IFERROR(__xludf.DUMMYFUNCTION("""COMPUTED_VALUE"""),"BT atau SU Belum Valid")</f>
        <v>BT atau SU Belum Valid</v>
      </c>
      <c r="L4278" s="13" t="str">
        <f>IFERROR(__xludf.DUMMYFUNCTION("""COMPUTED_VALUE"""),"")</f>
        <v/>
      </c>
      <c r="M4278" s="13"/>
      <c r="N4278" s="13" t="str">
        <f>IFERROR(__xludf.DUMMYFUNCTION("""COMPUTED_VALUE"""),"")</f>
        <v/>
      </c>
      <c r="O4278" s="13" t="str">
        <f t="shared" si="1"/>
        <v/>
      </c>
    </row>
    <row r="4279" ht="22.5" customHeight="1">
      <c r="B4279" s="13">
        <f>IFERROR(__xludf.DUMMYFUNCTION("""COMPUTED_VALUE"""),4274.0)</f>
        <v>4274</v>
      </c>
      <c r="C4279" s="13" t="str">
        <f>IFERROR(__xludf.DUMMYFUNCTION("""COMPUTED_VALUE"""),"M. 11261/TANJUNG BARU")</f>
        <v>M. 11261/TANJUNG BARU</v>
      </c>
      <c r="D4279" s="13" t="str">
        <f>IFERROR(__xludf.DUMMYFUNCTION("""COMPUTED_VALUE"""),"K/31/220925/1")</f>
        <v>K/31/220925/1</v>
      </c>
      <c r="E4279" s="14" t="str">
        <f>IFERROR(__xludf.DUMMYFUNCTION("""COMPUTED_VALUE"""),"Afriza (BT)")</f>
        <v>Afriza (BT)</v>
      </c>
      <c r="F4279" s="14" t="str">
        <f>IFERROR(__xludf.DUMMYFUNCTION("""COMPUTED_VALUE"""),"SELESAI (VIA PERMOHONAN)")</f>
        <v>SELESAI (VIA PERMOHONAN)</v>
      </c>
      <c r="G4279" s="17">
        <f>IFERROR(__xludf.DUMMYFUNCTION("""COMPUTED_VALUE"""),45961.76696385417)</f>
        <v>45961.76696</v>
      </c>
      <c r="H4279" s="14"/>
      <c r="I4279" s="13"/>
      <c r="J4279" s="17" t="str">
        <f>IFERROR(__xludf.DUMMYFUNCTION("""COMPUTED_VALUE"""),"")</f>
        <v/>
      </c>
      <c r="K4279" s="13" t="str">
        <f>IFERROR(__xludf.DUMMYFUNCTION("""COMPUTED_VALUE"""),"BT atau SU Belum Valid")</f>
        <v>BT atau SU Belum Valid</v>
      </c>
      <c r="L4279" s="13" t="str">
        <f>IFERROR(__xludf.DUMMYFUNCTION("""COMPUTED_VALUE"""),"")</f>
        <v/>
      </c>
      <c r="M4279" s="13"/>
      <c r="N4279" s="13" t="str">
        <f>IFERROR(__xludf.DUMMYFUNCTION("""COMPUTED_VALUE"""),"")</f>
        <v/>
      </c>
      <c r="O4279" s="13" t="str">
        <f t="shared" si="1"/>
        <v/>
      </c>
    </row>
    <row r="4280" ht="22.5" customHeight="1">
      <c r="B4280" s="13">
        <f>IFERROR(__xludf.DUMMYFUNCTION("""COMPUTED_VALUE"""),4275.0)</f>
        <v>4275</v>
      </c>
      <c r="C4280" s="13" t="str">
        <f>IFERROR(__xludf.DUMMYFUNCTION("""COMPUTED_VALUE"""),"M. 1081/LABUHAN RATU RAYA")</f>
        <v>M. 1081/LABUHAN RATU RAYA</v>
      </c>
      <c r="D4280" s="13" t="str">
        <f>IFERROR(__xludf.DUMMYFUNCTION("""COMPUTED_VALUE"""),"K/35/150925/1")</f>
        <v>K/35/150925/1</v>
      </c>
      <c r="E4280" s="14" t="str">
        <f>IFERROR(__xludf.DUMMYFUNCTION("""COMPUTED_VALUE"""),"Afriza (BT)")</f>
        <v>Afriza (BT)</v>
      </c>
      <c r="F4280" s="14" t="str">
        <f>IFERROR(__xludf.DUMMYFUNCTION("""COMPUTED_VALUE"""),"SELESAI (VIA PERMOHONAN)")</f>
        <v>SELESAI (VIA PERMOHONAN)</v>
      </c>
      <c r="G4280" s="17">
        <f>IFERROR(__xludf.DUMMYFUNCTION("""COMPUTED_VALUE"""),45961.76711428241)</f>
        <v>45961.76711</v>
      </c>
      <c r="H4280" s="14"/>
      <c r="I4280" s="13"/>
      <c r="J4280" s="17" t="str">
        <f>IFERROR(__xludf.DUMMYFUNCTION("""COMPUTED_VALUE"""),"")</f>
        <v/>
      </c>
      <c r="K4280" s="13" t="str">
        <f>IFERROR(__xludf.DUMMYFUNCTION("""COMPUTED_VALUE"""),"BT atau SU Belum Valid")</f>
        <v>BT atau SU Belum Valid</v>
      </c>
      <c r="L4280" s="13" t="str">
        <f>IFERROR(__xludf.DUMMYFUNCTION("""COMPUTED_VALUE"""),"")</f>
        <v/>
      </c>
      <c r="M4280" s="13"/>
      <c r="N4280" s="13" t="str">
        <f>IFERROR(__xludf.DUMMYFUNCTION("""COMPUTED_VALUE"""),"")</f>
        <v/>
      </c>
      <c r="O4280" s="13" t="str">
        <f t="shared" si="1"/>
        <v/>
      </c>
    </row>
    <row r="4281" ht="22.5" customHeight="1">
      <c r="B4281" s="13">
        <f>IFERROR(__xludf.DUMMYFUNCTION("""COMPUTED_VALUE"""),4276.0)</f>
        <v>4276</v>
      </c>
      <c r="C4281" s="13" t="str">
        <f>IFERROR(__xludf.DUMMYFUNCTION("""COMPUTED_VALUE"""),"M 5531/ WAY KANDIS")</f>
        <v>M 5531/ WAY KANDIS</v>
      </c>
      <c r="D4281" s="13" t="str">
        <f>IFERROR(__xludf.DUMMYFUNCTION("""COMPUTED_VALUE"""),"K/2/190925/1")</f>
        <v>K/2/190925/1</v>
      </c>
      <c r="E4281" s="14" t="str">
        <f>IFERROR(__xludf.DUMMYFUNCTION("""COMPUTED_VALUE"""),"Afriza (BT)")</f>
        <v>Afriza (BT)</v>
      </c>
      <c r="F4281" s="14" t="str">
        <f>IFERROR(__xludf.DUMMYFUNCTION("""COMPUTED_VALUE"""),"SELESAI (VIA PERMOHONAN)")</f>
        <v>SELESAI (VIA PERMOHONAN)</v>
      </c>
      <c r="G4281" s="17">
        <f>IFERROR(__xludf.DUMMYFUNCTION("""COMPUTED_VALUE"""),45961.767254189814)</f>
        <v>45961.76725</v>
      </c>
      <c r="H4281" s="14"/>
      <c r="I4281" s="13"/>
      <c r="J4281" s="17" t="str">
        <f>IFERROR(__xludf.DUMMYFUNCTION("""COMPUTED_VALUE"""),"")</f>
        <v/>
      </c>
      <c r="K4281" s="13" t="str">
        <f>IFERROR(__xludf.DUMMYFUNCTION("""COMPUTED_VALUE"""),"BT atau SU Belum Valid")</f>
        <v>BT atau SU Belum Valid</v>
      </c>
      <c r="L4281" s="13" t="str">
        <f>IFERROR(__xludf.DUMMYFUNCTION("""COMPUTED_VALUE"""),"")</f>
        <v/>
      </c>
      <c r="M4281" s="13"/>
      <c r="N4281" s="13" t="str">
        <f>IFERROR(__xludf.DUMMYFUNCTION("""COMPUTED_VALUE"""),"")</f>
        <v/>
      </c>
      <c r="O4281" s="13" t="str">
        <f t="shared" si="1"/>
        <v/>
      </c>
    </row>
    <row r="4282" ht="22.5" customHeight="1">
      <c r="B4282" s="13">
        <f>IFERROR(__xludf.DUMMYFUNCTION("""COMPUTED_VALUE"""),4277.0)</f>
        <v>4277</v>
      </c>
      <c r="C4282" s="13" t="str">
        <f>IFERROR(__xludf.DUMMYFUNCTION("""COMPUTED_VALUE"""),"M 5149/ RAJABASA JAYA")</f>
        <v>M 5149/ RAJABASA JAYA</v>
      </c>
      <c r="D4282" s="13" t="str">
        <f>IFERROR(__xludf.DUMMYFUNCTION("""COMPUTED_VALUE"""),"K/9/300925/2")</f>
        <v>K/9/300925/2</v>
      </c>
      <c r="E4282" s="14" t="str">
        <f>IFERROR(__xludf.DUMMYFUNCTION("""COMPUTED_VALUE"""),"Afriza (BT)")</f>
        <v>Afriza (BT)</v>
      </c>
      <c r="F4282" s="14" t="str">
        <f>IFERROR(__xludf.DUMMYFUNCTION("""COMPUTED_VALUE"""),"SELESAI (VIA PERMOHONAN)")</f>
        <v>SELESAI (VIA PERMOHONAN)</v>
      </c>
      <c r="G4282" s="17">
        <f>IFERROR(__xludf.DUMMYFUNCTION("""COMPUTED_VALUE"""),45961.76738744213)</f>
        <v>45961.76739</v>
      </c>
      <c r="H4282" s="14"/>
      <c r="I4282" s="13"/>
      <c r="J4282" s="17" t="str">
        <f>IFERROR(__xludf.DUMMYFUNCTION("""COMPUTED_VALUE"""),"")</f>
        <v/>
      </c>
      <c r="K4282" s="13" t="str">
        <f>IFERROR(__xludf.DUMMYFUNCTION("""COMPUTED_VALUE"""),"BT atau SU Belum Valid")</f>
        <v>BT atau SU Belum Valid</v>
      </c>
      <c r="L4282" s="13" t="str">
        <f>IFERROR(__xludf.DUMMYFUNCTION("""COMPUTED_VALUE"""),"")</f>
        <v/>
      </c>
      <c r="M4282" s="13"/>
      <c r="N4282" s="13" t="str">
        <f>IFERROR(__xludf.DUMMYFUNCTION("""COMPUTED_VALUE"""),"")</f>
        <v/>
      </c>
      <c r="O4282" s="13" t="str">
        <f t="shared" si="1"/>
        <v/>
      </c>
    </row>
    <row r="4283" ht="22.5" customHeight="1">
      <c r="B4283" s="13">
        <f>IFERROR(__xludf.DUMMYFUNCTION("""COMPUTED_VALUE"""),4278.0)</f>
        <v>4278</v>
      </c>
      <c r="C4283" s="13" t="str">
        <f>IFERROR(__xludf.DUMMYFUNCTION("""COMPUTED_VALUE"""),"M 816/ LABUHAN RATU RAYA")</f>
        <v>M 816/ LABUHAN RATU RAYA</v>
      </c>
      <c r="D4283" s="13" t="str">
        <f>IFERROR(__xludf.DUMMYFUNCTION("""COMPUTED_VALUE"""),"K/21/290825/1")</f>
        <v>K/21/290825/1</v>
      </c>
      <c r="E4283" s="14" t="str">
        <f>IFERROR(__xludf.DUMMYFUNCTION("""COMPUTED_VALUE"""),"Afriza (BT)")</f>
        <v>Afriza (BT)</v>
      </c>
      <c r="F4283" s="14" t="str">
        <f>IFERROR(__xludf.DUMMYFUNCTION("""COMPUTED_VALUE"""),"SELESAI (VIA PERMOHONAN)")</f>
        <v>SELESAI (VIA PERMOHONAN)</v>
      </c>
      <c r="G4283" s="17">
        <f>IFERROR(__xludf.DUMMYFUNCTION("""COMPUTED_VALUE"""),45961.767618645834)</f>
        <v>45961.76762</v>
      </c>
      <c r="H4283" s="14"/>
      <c r="I4283" s="13"/>
      <c r="J4283" s="17" t="str">
        <f>IFERROR(__xludf.DUMMYFUNCTION("""COMPUTED_VALUE"""),"")</f>
        <v/>
      </c>
      <c r="K4283" s="13" t="str">
        <f>IFERROR(__xludf.DUMMYFUNCTION("""COMPUTED_VALUE"""),"BT atau SU Belum Valid")</f>
        <v>BT atau SU Belum Valid</v>
      </c>
      <c r="L4283" s="13" t="str">
        <f>IFERROR(__xludf.DUMMYFUNCTION("""COMPUTED_VALUE"""),"")</f>
        <v/>
      </c>
      <c r="M4283" s="13"/>
      <c r="N4283" s="13" t="str">
        <f>IFERROR(__xludf.DUMMYFUNCTION("""COMPUTED_VALUE"""),"")</f>
        <v/>
      </c>
      <c r="O4283" s="13" t="str">
        <f t="shared" si="1"/>
        <v/>
      </c>
    </row>
    <row r="4284" ht="22.5" customHeight="1">
      <c r="B4284" s="13">
        <f>IFERROR(__xludf.DUMMYFUNCTION("""COMPUTED_VALUE"""),4279.0)</f>
        <v>4279</v>
      </c>
      <c r="C4284" s="13" t="str">
        <f>IFERROR(__xludf.DUMMYFUNCTION("""COMPUTED_VALUE"""),"M 12614/ SUKARAME")</f>
        <v>M 12614/ SUKARAME</v>
      </c>
      <c r="D4284" s="13" t="str">
        <f>IFERROR(__xludf.DUMMYFUNCTION("""COMPUTED_VALUE"""),"K/24/110925/3")</f>
        <v>K/24/110925/3</v>
      </c>
      <c r="E4284" s="14" t="str">
        <f>IFERROR(__xludf.DUMMYFUNCTION("""COMPUTED_VALUE"""),"Afriza (BT)")</f>
        <v>Afriza (BT)</v>
      </c>
      <c r="F4284" s="14" t="str">
        <f>IFERROR(__xludf.DUMMYFUNCTION("""COMPUTED_VALUE"""),"SELESAI (VIA PERMOHONAN)")</f>
        <v>SELESAI (VIA PERMOHONAN)</v>
      </c>
      <c r="G4284" s="17">
        <f>IFERROR(__xludf.DUMMYFUNCTION("""COMPUTED_VALUE"""),45961.76772710648)</f>
        <v>45961.76773</v>
      </c>
      <c r="H4284" s="14"/>
      <c r="I4284" s="13"/>
      <c r="J4284" s="17" t="str">
        <f>IFERROR(__xludf.DUMMYFUNCTION("""COMPUTED_VALUE"""),"")</f>
        <v/>
      </c>
      <c r="K4284" s="13" t="str">
        <f>IFERROR(__xludf.DUMMYFUNCTION("""COMPUTED_VALUE"""),"BT atau SU Belum Valid")</f>
        <v>BT atau SU Belum Valid</v>
      </c>
      <c r="L4284" s="13" t="str">
        <f>IFERROR(__xludf.DUMMYFUNCTION("""COMPUTED_VALUE"""),"")</f>
        <v/>
      </c>
      <c r="M4284" s="13"/>
      <c r="N4284" s="13" t="str">
        <f>IFERROR(__xludf.DUMMYFUNCTION("""COMPUTED_VALUE"""),"")</f>
        <v/>
      </c>
      <c r="O4284" s="13" t="str">
        <f t="shared" si="1"/>
        <v/>
      </c>
    </row>
    <row r="4285" ht="22.5" customHeight="1">
      <c r="B4285" s="13">
        <f>IFERROR(__xludf.DUMMYFUNCTION("""COMPUTED_VALUE"""),4280.0)</f>
        <v>4280</v>
      </c>
      <c r="C4285" s="13" t="str">
        <f>IFERROR(__xludf.DUMMYFUNCTION("""COMPUTED_VALUE"""),"B 4403/ SUKABUMI")</f>
        <v>B 4403/ SUKABUMI</v>
      </c>
      <c r="D4285" s="13" t="str">
        <f>IFERROR(__xludf.DUMMYFUNCTION("""COMPUTED_VALUE"""),"K/18/270825/2")</f>
        <v>K/18/270825/2</v>
      </c>
      <c r="E4285" s="14" t="str">
        <f>IFERROR(__xludf.DUMMYFUNCTION("""COMPUTED_VALUE"""),"Afriza (BT)")</f>
        <v>Afriza (BT)</v>
      </c>
      <c r="F4285" s="14" t="str">
        <f>IFERROR(__xludf.DUMMYFUNCTION("""COMPUTED_VALUE"""),"SELESAI (VIA PERMOHONAN)")</f>
        <v>SELESAI (VIA PERMOHONAN)</v>
      </c>
      <c r="G4285" s="17">
        <f>IFERROR(__xludf.DUMMYFUNCTION("""COMPUTED_VALUE"""),45961.76789052083)</f>
        <v>45961.76789</v>
      </c>
      <c r="H4285" s="14"/>
      <c r="I4285" s="13"/>
      <c r="J4285" s="17" t="str">
        <f>IFERROR(__xludf.DUMMYFUNCTION("""COMPUTED_VALUE"""),"")</f>
        <v/>
      </c>
      <c r="K4285" s="13" t="str">
        <f>IFERROR(__xludf.DUMMYFUNCTION("""COMPUTED_VALUE"""),"BT atau SU Belum Valid")</f>
        <v>BT atau SU Belum Valid</v>
      </c>
      <c r="L4285" s="13" t="str">
        <f>IFERROR(__xludf.DUMMYFUNCTION("""COMPUTED_VALUE"""),"")</f>
        <v/>
      </c>
      <c r="M4285" s="13"/>
      <c r="N4285" s="13" t="str">
        <f>IFERROR(__xludf.DUMMYFUNCTION("""COMPUTED_VALUE"""),"")</f>
        <v/>
      </c>
      <c r="O4285" s="13" t="str">
        <f t="shared" si="1"/>
        <v/>
      </c>
    </row>
    <row r="4286" ht="22.5" customHeight="1">
      <c r="B4286" s="13">
        <f>IFERROR(__xludf.DUMMYFUNCTION("""COMPUTED_VALUE"""),4281.0)</f>
        <v>4281</v>
      </c>
      <c r="C4286" s="13" t="str">
        <f>IFERROR(__xludf.DUMMYFUNCTION("""COMPUTED_VALUE"""),"M 1177/ KETEGUHAN")</f>
        <v>M 1177/ KETEGUHAN</v>
      </c>
      <c r="D4286" s="13" t="str">
        <f>IFERROR(__xludf.DUMMYFUNCTION("""COMPUTED_VALUE"""),"K/13/110925/1")</f>
        <v>K/13/110925/1</v>
      </c>
      <c r="E4286" s="14" t="str">
        <f>IFERROR(__xludf.DUMMYFUNCTION("""COMPUTED_VALUE"""),"Afriza (BT)")</f>
        <v>Afriza (BT)</v>
      </c>
      <c r="F4286" s="14" t="str">
        <f>IFERROR(__xludf.DUMMYFUNCTION("""COMPUTED_VALUE"""),"SELESAI (VIA PERMOHONAN)")</f>
        <v>SELESAI (VIA PERMOHONAN)</v>
      </c>
      <c r="G4286" s="17">
        <f>IFERROR(__xludf.DUMMYFUNCTION("""COMPUTED_VALUE"""),45961.77037025463)</f>
        <v>45961.77037</v>
      </c>
      <c r="H4286" s="14"/>
      <c r="I4286" s="13"/>
      <c r="J4286" s="17" t="str">
        <f>IFERROR(__xludf.DUMMYFUNCTION("""COMPUTED_VALUE"""),"")</f>
        <v/>
      </c>
      <c r="K4286" s="13" t="str">
        <f>IFERROR(__xludf.DUMMYFUNCTION("""COMPUTED_VALUE"""),"BT atau SU Belum Valid")</f>
        <v>BT atau SU Belum Valid</v>
      </c>
      <c r="L4286" s="13" t="str">
        <f>IFERROR(__xludf.DUMMYFUNCTION("""COMPUTED_VALUE"""),"")</f>
        <v/>
      </c>
      <c r="M4286" s="13"/>
      <c r="N4286" s="13" t="str">
        <f>IFERROR(__xludf.DUMMYFUNCTION("""COMPUTED_VALUE"""),"")</f>
        <v/>
      </c>
      <c r="O4286" s="13" t="str">
        <f t="shared" si="1"/>
        <v/>
      </c>
    </row>
    <row r="4287" ht="22.5" customHeight="1">
      <c r="B4287" s="13">
        <f>IFERROR(__xludf.DUMMYFUNCTION("""COMPUTED_VALUE"""),4282.0)</f>
        <v>4282</v>
      </c>
      <c r="C4287" s="13" t="str">
        <f>IFERROR(__xludf.DUMMYFUNCTION("""COMPUTED_VALUE"""),"M. 19388/Sukarame	")</f>
        <v>M. 19388/Sukarame	</v>
      </c>
      <c r="D4287" s="13" t="str">
        <f>IFERROR(__xludf.DUMMYFUNCTION("""COMPUTED_VALUE"""),"K/18/240925/1")</f>
        <v>K/18/240925/1</v>
      </c>
      <c r="E4287" s="14" t="str">
        <f>IFERROR(__xludf.DUMMYFUNCTION("""COMPUTED_VALUE"""),"Admin (Migrasi)")</f>
        <v>Admin (Migrasi)</v>
      </c>
      <c r="F4287" s="14" t="str">
        <f>IFERROR(__xludf.DUMMYFUNCTION("""COMPUTED_VALUE"""),"SELESAI (VIA PERMOHONAN)")</f>
        <v>SELESAI (VIA PERMOHONAN)</v>
      </c>
      <c r="G4287" s="17">
        <f>IFERROR(__xludf.DUMMYFUNCTION("""COMPUTED_VALUE"""),45964.57422546296)</f>
        <v>45964.57423</v>
      </c>
      <c r="H4287" s="14" t="str">
        <f>IFERROR(__xludf.DUMMYFUNCTION("""COMPUTED_VALUE"""),"Admin (Migrasi)")</f>
        <v>Admin (Migrasi)</v>
      </c>
      <c r="I4287" s="13" t="str">
        <f>IFERROR(__xludf.DUMMYFUNCTION("""COMPUTED_VALUE"""),"SELESAI (VIA PERMOHONAN)")</f>
        <v>SELESAI (VIA PERMOHONAN)</v>
      </c>
      <c r="J4287" s="17">
        <f>IFERROR(__xludf.DUMMYFUNCTION("""COMPUTED_VALUE"""),45964.57423222222)</f>
        <v>45964.57423</v>
      </c>
      <c r="K4287" s="13" t="str">
        <f>IFERROR(__xludf.DUMMYFUNCTION("""COMPUTED_VALUE"""),"Selesai")</f>
        <v>Selesai</v>
      </c>
      <c r="L4287" s="17">
        <f>IFERROR(__xludf.DUMMYFUNCTION("""COMPUTED_VALUE"""),45964.57423222222)</f>
        <v>45964.57423</v>
      </c>
      <c r="M4287" s="13"/>
      <c r="N4287" s="13" t="str">
        <f>IFERROR(__xludf.DUMMYFUNCTION("""COMPUTED_VALUE"""),"")</f>
        <v/>
      </c>
      <c r="O4287" s="13" t="str">
        <f t="shared" si="1"/>
        <v/>
      </c>
    </row>
    <row r="4288" ht="22.5" customHeight="1">
      <c r="B4288" s="13">
        <f>IFERROR(__xludf.DUMMYFUNCTION("""COMPUTED_VALUE"""),4283.0)</f>
        <v>4283</v>
      </c>
      <c r="C4288" s="13" t="str">
        <f>IFERROR(__xludf.DUMMYFUNCTION("""COMPUTED_VALUE"""),"M. 2006/ Rajabasa Raya")</f>
        <v>M. 2006/ Rajabasa Raya</v>
      </c>
      <c r="D4288" s="13" t="str">
        <f>IFERROR(__xludf.DUMMYFUNCTION("""COMPUTED_VALUE"""),"K/17/100725/2")</f>
        <v>K/17/100725/2</v>
      </c>
      <c r="E4288" s="14" t="str">
        <f>IFERROR(__xludf.DUMMYFUNCTION("""COMPUTED_VALUE"""),"Admin (Migrasi)")</f>
        <v>Admin (Migrasi)</v>
      </c>
      <c r="F4288" s="14" t="str">
        <f>IFERROR(__xludf.DUMMYFUNCTION("""COMPUTED_VALUE"""),"SELESAI (VIA PERMOHONAN)")</f>
        <v>SELESAI (VIA PERMOHONAN)</v>
      </c>
      <c r="G4288" s="17">
        <f>IFERROR(__xludf.DUMMYFUNCTION("""COMPUTED_VALUE"""),45964.57488122685)</f>
        <v>45964.57488</v>
      </c>
      <c r="H4288" s="14" t="str">
        <f>IFERROR(__xludf.DUMMYFUNCTION("""COMPUTED_VALUE"""),"Admin (Migrasi)")</f>
        <v>Admin (Migrasi)</v>
      </c>
      <c r="I4288" s="13" t="str">
        <f>IFERROR(__xludf.DUMMYFUNCTION("""COMPUTED_VALUE"""),"SELESAI (VIA PERMOHONAN)")</f>
        <v>SELESAI (VIA PERMOHONAN)</v>
      </c>
      <c r="J4288" s="17">
        <f>IFERROR(__xludf.DUMMYFUNCTION("""COMPUTED_VALUE"""),45964.57492811343)</f>
        <v>45964.57493</v>
      </c>
      <c r="K4288" s="13" t="str">
        <f>IFERROR(__xludf.DUMMYFUNCTION("""COMPUTED_VALUE"""),"Selesai")</f>
        <v>Selesai</v>
      </c>
      <c r="L4288" s="17">
        <f>IFERROR(__xludf.DUMMYFUNCTION("""COMPUTED_VALUE"""),45964.57492811343)</f>
        <v>45964.57493</v>
      </c>
      <c r="M4288" s="13"/>
      <c r="N4288" s="13" t="str">
        <f>IFERROR(__xludf.DUMMYFUNCTION("""COMPUTED_VALUE"""),"")</f>
        <v/>
      </c>
      <c r="O4288" s="13" t="str">
        <f t="shared" si="1"/>
        <v/>
      </c>
    </row>
    <row r="4289" ht="22.5" customHeight="1">
      <c r="B4289" s="13">
        <f>IFERROR(__xludf.DUMMYFUNCTION("""COMPUTED_VALUE"""),4284.0)</f>
        <v>4284</v>
      </c>
      <c r="C4289" s="13" t="str">
        <f>IFERROR(__xludf.DUMMYFUNCTION("""COMPUTED_VALUE"""),"B. 5018/SUKABUMI")</f>
        <v>B. 5018/SUKABUMI</v>
      </c>
      <c r="D4289" s="13" t="str">
        <f>IFERROR(__xludf.DUMMYFUNCTION("""COMPUTED_VALUE"""),"K/7/180925/2")</f>
        <v>K/7/180925/2</v>
      </c>
      <c r="E4289" s="14" t="str">
        <f>IFERROR(__xludf.DUMMYFUNCTION("""COMPUTED_VALUE"""),"Admin (Migrasi)")</f>
        <v>Admin (Migrasi)</v>
      </c>
      <c r="F4289" s="14" t="str">
        <f>IFERROR(__xludf.DUMMYFUNCTION("""COMPUTED_VALUE"""),"SELESAI (VIA PERMOHONAN)")</f>
        <v>SELESAI (VIA PERMOHONAN)</v>
      </c>
      <c r="G4289" s="17">
        <f>IFERROR(__xludf.DUMMYFUNCTION("""COMPUTED_VALUE"""),45964.58200753472)</f>
        <v>45964.58201</v>
      </c>
      <c r="H4289" s="14" t="str">
        <f>IFERROR(__xludf.DUMMYFUNCTION("""COMPUTED_VALUE"""),"Admin (Migrasi)")</f>
        <v>Admin (Migrasi)</v>
      </c>
      <c r="I4289" s="13" t="str">
        <f>IFERROR(__xludf.DUMMYFUNCTION("""COMPUTED_VALUE"""),"SELESAI (VIA PERMOHONAN)")</f>
        <v>SELESAI (VIA PERMOHONAN)</v>
      </c>
      <c r="J4289" s="17">
        <f>IFERROR(__xludf.DUMMYFUNCTION("""COMPUTED_VALUE"""),45964.58203261574)</f>
        <v>45964.58203</v>
      </c>
      <c r="K4289" s="13" t="str">
        <f>IFERROR(__xludf.DUMMYFUNCTION("""COMPUTED_VALUE"""),"Selesai")</f>
        <v>Selesai</v>
      </c>
      <c r="L4289" s="17">
        <f>IFERROR(__xludf.DUMMYFUNCTION("""COMPUTED_VALUE"""),45964.58203261574)</f>
        <v>45964.58203</v>
      </c>
      <c r="M4289" s="13"/>
      <c r="N4289" s="13" t="str">
        <f>IFERROR(__xludf.DUMMYFUNCTION("""COMPUTED_VALUE"""),"")</f>
        <v/>
      </c>
      <c r="O4289" s="13" t="str">
        <f t="shared" si="1"/>
        <v/>
      </c>
    </row>
    <row r="4290" ht="22.5" customHeight="1">
      <c r="B4290" s="13">
        <f>IFERROR(__xludf.DUMMYFUNCTION("""COMPUTED_VALUE"""),4285.0)</f>
        <v>4285</v>
      </c>
      <c r="C4290" s="13" t="str">
        <f>IFERROR(__xludf.DUMMYFUNCTION("""COMPUTED_VALUE"""),"M. 403/ENGGAL")</f>
        <v>M. 403/ENGGAL</v>
      </c>
      <c r="D4290" s="13" t="str">
        <f>IFERROR(__xludf.DUMMYFUNCTION("""COMPUTED_VALUE"""),"K/29/091025/1")</f>
        <v>K/29/091025/1</v>
      </c>
      <c r="E4290" s="14" t="str">
        <f>IFERROR(__xludf.DUMMYFUNCTION("""COMPUTED_VALUE"""),"Heri (BT)")</f>
        <v>Heri (BT)</v>
      </c>
      <c r="F4290" s="14" t="str">
        <f>IFERROR(__xludf.DUMMYFUNCTION("""COMPUTED_VALUE"""),"SELESAI (VIA PERMOHONAN)")</f>
        <v>SELESAI (VIA PERMOHONAN)</v>
      </c>
      <c r="G4290" s="17">
        <f>IFERROR(__xludf.DUMMYFUNCTION("""COMPUTED_VALUE"""),45965.44590155093)</f>
        <v>45965.4459</v>
      </c>
      <c r="H4290" s="14"/>
      <c r="I4290" s="13"/>
      <c r="J4290" s="17" t="str">
        <f>IFERROR(__xludf.DUMMYFUNCTION("""COMPUTED_VALUE"""),"")</f>
        <v/>
      </c>
      <c r="K4290" s="13" t="str">
        <f>IFERROR(__xludf.DUMMYFUNCTION("""COMPUTED_VALUE"""),"BT atau SU Belum Valid")</f>
        <v>BT atau SU Belum Valid</v>
      </c>
      <c r="L4290" s="13" t="str">
        <f>IFERROR(__xludf.DUMMYFUNCTION("""COMPUTED_VALUE"""),"")</f>
        <v/>
      </c>
      <c r="M4290" s="13"/>
      <c r="N4290" s="13" t="str">
        <f>IFERROR(__xludf.DUMMYFUNCTION("""COMPUTED_VALUE"""),"")</f>
        <v/>
      </c>
      <c r="O4290" s="13" t="str">
        <f t="shared" si="1"/>
        <v/>
      </c>
    </row>
    <row r="4291" ht="22.5" customHeight="1">
      <c r="B4291" s="13">
        <f>IFERROR(__xludf.DUMMYFUNCTION("""COMPUTED_VALUE"""),4286.0)</f>
        <v>4286</v>
      </c>
      <c r="C4291" s="13" t="str">
        <f>IFERROR(__xludf.DUMMYFUNCTION("""COMPUTED_VALUE"""),"B. 705/TANJUNG SENANG")</f>
        <v>B. 705/TANJUNG SENANG</v>
      </c>
      <c r="D4291" s="13" t="str">
        <f>IFERROR(__xludf.DUMMYFUNCTION("""COMPUTED_VALUE"""),"")</f>
        <v/>
      </c>
      <c r="E4291" s="14" t="str">
        <f>IFERROR(__xludf.DUMMYFUNCTION("""COMPUTED_VALUE"""),"Heri (BT)")</f>
        <v>Heri (BT)</v>
      </c>
      <c r="F4291" s="14" t="str">
        <f>IFERROR(__xludf.DUMMYFUNCTION("""COMPUTED_VALUE"""),"SELESAI (VIA PERMOHONAN)")</f>
        <v>SELESAI (VIA PERMOHONAN)</v>
      </c>
      <c r="G4291" s="17">
        <f>IFERROR(__xludf.DUMMYFUNCTION("""COMPUTED_VALUE"""),45965.44659670139)</f>
        <v>45965.4466</v>
      </c>
      <c r="H4291" s="14"/>
      <c r="I4291" s="13"/>
      <c r="J4291" s="17" t="str">
        <f>IFERROR(__xludf.DUMMYFUNCTION("""COMPUTED_VALUE"""),"")</f>
        <v/>
      </c>
      <c r="K4291" s="13" t="str">
        <f>IFERROR(__xludf.DUMMYFUNCTION("""COMPUTED_VALUE"""),"")</f>
        <v/>
      </c>
      <c r="L4291" s="13" t="str">
        <f>IFERROR(__xludf.DUMMYFUNCTION("""COMPUTED_VALUE"""),"")</f>
        <v/>
      </c>
      <c r="M4291" s="13"/>
      <c r="N4291" s="13" t="str">
        <f>IFERROR(__xludf.DUMMYFUNCTION("""COMPUTED_VALUE"""),"")</f>
        <v/>
      </c>
      <c r="O4291" s="13" t="str">
        <f t="shared" si="1"/>
        <v/>
      </c>
    </row>
    <row r="4292" ht="22.5" customHeight="1">
      <c r="B4292" s="13">
        <f>IFERROR(__xludf.DUMMYFUNCTION("""COMPUTED_VALUE"""),4287.0)</f>
        <v>4287</v>
      </c>
      <c r="C4292" s="13" t="str">
        <f>IFERROR(__xludf.DUMMYFUNCTION("""COMPUTED_VALUE"""),"B. 751/SUMUR PUTRI ")</f>
        <v>B. 751/SUMUR PUTRI </v>
      </c>
      <c r="D4292" s="13" t="str">
        <f>IFERROR(__xludf.DUMMYFUNCTION("""COMPUTED_VALUE"""),"K/25/180925/1")</f>
        <v>K/25/180925/1</v>
      </c>
      <c r="E4292" s="14" t="str">
        <f>IFERROR(__xludf.DUMMYFUNCTION("""COMPUTED_VALUE"""),"Heri (BT)")</f>
        <v>Heri (BT)</v>
      </c>
      <c r="F4292" s="14" t="str">
        <f>IFERROR(__xludf.DUMMYFUNCTION("""COMPUTED_VALUE"""),"SELESAI (VIA PERMOHONAN)")</f>
        <v>SELESAI (VIA PERMOHONAN)</v>
      </c>
      <c r="G4292" s="17">
        <f>IFERROR(__xludf.DUMMYFUNCTION("""COMPUTED_VALUE"""),45965.446792627314)</f>
        <v>45965.44679</v>
      </c>
      <c r="H4292" s="14"/>
      <c r="I4292" s="13"/>
      <c r="J4292" s="17" t="str">
        <f>IFERROR(__xludf.DUMMYFUNCTION("""COMPUTED_VALUE"""),"")</f>
        <v/>
      </c>
      <c r="K4292" s="13" t="str">
        <f>IFERROR(__xludf.DUMMYFUNCTION("""COMPUTED_VALUE"""),"BT atau SU Belum Valid")</f>
        <v>BT atau SU Belum Valid</v>
      </c>
      <c r="L4292" s="13" t="str">
        <f>IFERROR(__xludf.DUMMYFUNCTION("""COMPUTED_VALUE"""),"")</f>
        <v/>
      </c>
      <c r="M4292" s="13"/>
      <c r="N4292" s="13" t="str">
        <f>IFERROR(__xludf.DUMMYFUNCTION("""COMPUTED_VALUE"""),"")</f>
        <v/>
      </c>
      <c r="O4292" s="13" t="str">
        <f t="shared" si="1"/>
        <v/>
      </c>
    </row>
    <row r="4293" ht="22.5" customHeight="1">
      <c r="B4293" s="13">
        <f>IFERROR(__xludf.DUMMYFUNCTION("""COMPUTED_VALUE"""),4288.0)</f>
        <v>4288</v>
      </c>
      <c r="C4293" s="13" t="str">
        <f>IFERROR(__xludf.DUMMYFUNCTION("""COMPUTED_VALUE"""),"M. 2341/SEPANG JAYA")</f>
        <v>M. 2341/SEPANG JAYA</v>
      </c>
      <c r="D4293" s="13" t="str">
        <f>IFERROR(__xludf.DUMMYFUNCTION("""COMPUTED_VALUE"""),"K/4/180925/1")</f>
        <v>K/4/180925/1</v>
      </c>
      <c r="E4293" s="14" t="str">
        <f>IFERROR(__xludf.DUMMYFUNCTION("""COMPUTED_VALUE"""),"Heri (BT)")</f>
        <v>Heri (BT)</v>
      </c>
      <c r="F4293" s="14" t="str">
        <f>IFERROR(__xludf.DUMMYFUNCTION("""COMPUTED_VALUE"""),"SELESAI (VIA PERMOHONAN)")</f>
        <v>SELESAI (VIA PERMOHONAN)</v>
      </c>
      <c r="G4293" s="17">
        <f>IFERROR(__xludf.DUMMYFUNCTION("""COMPUTED_VALUE"""),45965.44691976852)</f>
        <v>45965.44692</v>
      </c>
      <c r="H4293" s="14"/>
      <c r="I4293" s="13"/>
      <c r="J4293" s="17" t="str">
        <f>IFERROR(__xludf.DUMMYFUNCTION("""COMPUTED_VALUE"""),"")</f>
        <v/>
      </c>
      <c r="K4293" s="13" t="str">
        <f>IFERROR(__xludf.DUMMYFUNCTION("""COMPUTED_VALUE"""),"BT atau SU Belum Valid")</f>
        <v>BT atau SU Belum Valid</v>
      </c>
      <c r="L4293" s="13" t="str">
        <f>IFERROR(__xludf.DUMMYFUNCTION("""COMPUTED_VALUE"""),"")</f>
        <v/>
      </c>
      <c r="M4293" s="13"/>
      <c r="N4293" s="13" t="str">
        <f>IFERROR(__xludf.DUMMYFUNCTION("""COMPUTED_VALUE"""),"")</f>
        <v/>
      </c>
      <c r="O4293" s="13" t="str">
        <f t="shared" si="1"/>
        <v/>
      </c>
    </row>
    <row r="4294" ht="22.5" customHeight="1">
      <c r="B4294" s="13">
        <f>IFERROR(__xludf.DUMMYFUNCTION("""COMPUTED_VALUE"""),4289.0)</f>
        <v>4289</v>
      </c>
      <c r="C4294" s="13" t="str">
        <f>IFERROR(__xludf.DUMMYFUNCTION("""COMPUTED_VALUE"""),"M. 515/GARUNTANG")</f>
        <v>M. 515/GARUNTANG</v>
      </c>
      <c r="D4294" s="13" t="str">
        <f>IFERROR(__xludf.DUMMYFUNCTION("""COMPUTED_VALUE"""),"K/5/131025/2")</f>
        <v>K/5/131025/2</v>
      </c>
      <c r="E4294" s="14" t="str">
        <f>IFERROR(__xludf.DUMMYFUNCTION("""COMPUTED_VALUE"""),"Heri (BT)")</f>
        <v>Heri (BT)</v>
      </c>
      <c r="F4294" s="14" t="str">
        <f>IFERROR(__xludf.DUMMYFUNCTION("""COMPUTED_VALUE"""),"SELESAI (VIA PERMOHONAN)")</f>
        <v>SELESAI (VIA PERMOHONAN)</v>
      </c>
      <c r="G4294" s="17">
        <f>IFERROR(__xludf.DUMMYFUNCTION("""COMPUTED_VALUE"""),45965.44743729167)</f>
        <v>45965.44744</v>
      </c>
      <c r="H4294" s="14"/>
      <c r="I4294" s="13"/>
      <c r="J4294" s="17" t="str">
        <f>IFERROR(__xludf.DUMMYFUNCTION("""COMPUTED_VALUE"""),"")</f>
        <v/>
      </c>
      <c r="K4294" s="13" t="str">
        <f>IFERROR(__xludf.DUMMYFUNCTION("""COMPUTED_VALUE"""),"BT atau SU Belum Valid")</f>
        <v>BT atau SU Belum Valid</v>
      </c>
      <c r="L4294" s="13" t="str">
        <f>IFERROR(__xludf.DUMMYFUNCTION("""COMPUTED_VALUE"""),"")</f>
        <v/>
      </c>
      <c r="M4294" s="13"/>
      <c r="N4294" s="13" t="str">
        <f>IFERROR(__xludf.DUMMYFUNCTION("""COMPUTED_VALUE"""),"")</f>
        <v/>
      </c>
      <c r="O4294" s="13" t="str">
        <f t="shared" si="1"/>
        <v/>
      </c>
    </row>
    <row r="4295" ht="22.5" customHeight="1">
      <c r="B4295" s="13">
        <f>IFERROR(__xludf.DUMMYFUNCTION("""COMPUTED_VALUE"""),4290.0)</f>
        <v>4290</v>
      </c>
      <c r="C4295" s="13" t="str">
        <f>IFERROR(__xludf.DUMMYFUNCTION("""COMPUTED_VALUE"""),"M. 516/GARUNTANG")</f>
        <v>M. 516/GARUNTANG</v>
      </c>
      <c r="D4295" s="13" t="str">
        <f>IFERROR(__xludf.DUMMYFUNCTION("""COMPUTED_VALUE"""),"")</f>
        <v/>
      </c>
      <c r="E4295" s="14" t="str">
        <f>IFERROR(__xludf.DUMMYFUNCTION("""COMPUTED_VALUE"""),"Heri (BT)")</f>
        <v>Heri (BT)</v>
      </c>
      <c r="F4295" s="14" t="str">
        <f>IFERROR(__xludf.DUMMYFUNCTION("""COMPUTED_VALUE"""),"SELESAI (VIA PERMOHONAN)")</f>
        <v>SELESAI (VIA PERMOHONAN)</v>
      </c>
      <c r="G4295" s="17">
        <f>IFERROR(__xludf.DUMMYFUNCTION("""COMPUTED_VALUE"""),45965.44775289352)</f>
        <v>45965.44775</v>
      </c>
      <c r="H4295" s="14" t="str">
        <f>IFERROR(__xludf.DUMMYFUNCTION("""COMPUTED_VALUE"""),"Aprill (SU)")</f>
        <v>Aprill (SU)</v>
      </c>
      <c r="I4295" s="13" t="str">
        <f>IFERROR(__xludf.DUMMYFUNCTION("""COMPUTED_VALUE"""),"SELESAI (VIA PERMOHONAN)")</f>
        <v>SELESAI (VIA PERMOHONAN)</v>
      </c>
      <c r="J4295" s="17">
        <f>IFERROR(__xludf.DUMMYFUNCTION("""COMPUTED_VALUE"""),45971.649464814815)</f>
        <v>45971.64946</v>
      </c>
      <c r="K4295" s="13" t="str">
        <f>IFERROR(__xludf.DUMMYFUNCTION("""COMPUTED_VALUE"""),"")</f>
        <v/>
      </c>
      <c r="L4295" s="13" t="str">
        <f>IFERROR(__xludf.DUMMYFUNCTION("""COMPUTED_VALUE"""),"")</f>
        <v/>
      </c>
      <c r="M4295" s="13"/>
      <c r="N4295" s="13" t="str">
        <f>IFERROR(__xludf.DUMMYFUNCTION("""COMPUTED_VALUE"""),"")</f>
        <v/>
      </c>
      <c r="O4295" s="13" t="str">
        <f t="shared" si="1"/>
        <v/>
      </c>
    </row>
    <row r="4296" ht="22.5" customHeight="1">
      <c r="B4296" s="13">
        <f>IFERROR(__xludf.DUMMYFUNCTION("""COMPUTED_VALUE"""),4291.0)</f>
        <v>4291</v>
      </c>
      <c r="C4296" s="13" t="str">
        <f>IFERROR(__xludf.DUMMYFUNCTION("""COMPUTED_VALUE"""),"M. 517/GARUNTANG")</f>
        <v>M. 517/GARUNTANG</v>
      </c>
      <c r="D4296" s="13" t="str">
        <f>IFERROR(__xludf.DUMMYFUNCTION("""COMPUTED_VALUE"""),"K/7/131025/4")</f>
        <v>K/7/131025/4</v>
      </c>
      <c r="E4296" s="14" t="str">
        <f>IFERROR(__xludf.DUMMYFUNCTION("""COMPUTED_VALUE"""),"Heri (BT)")</f>
        <v>Heri (BT)</v>
      </c>
      <c r="F4296" s="14" t="str">
        <f>IFERROR(__xludf.DUMMYFUNCTION("""COMPUTED_VALUE"""),"SELESAI (VIA PERMOHONAN)")</f>
        <v>SELESAI (VIA PERMOHONAN)</v>
      </c>
      <c r="G4296" s="17">
        <f>IFERROR(__xludf.DUMMYFUNCTION("""COMPUTED_VALUE"""),45965.44886657408)</f>
        <v>45965.44887</v>
      </c>
      <c r="H4296" s="14" t="str">
        <f>IFERROR(__xludf.DUMMYFUNCTION("""COMPUTED_VALUE"""),"Aprill (SU)")</f>
        <v>Aprill (SU)</v>
      </c>
      <c r="I4296" s="13" t="str">
        <f>IFERROR(__xludf.DUMMYFUNCTION("""COMPUTED_VALUE"""),"SELESAI (VIA PERMOHONAN)")</f>
        <v>SELESAI (VIA PERMOHONAN)</v>
      </c>
      <c r="J4296" s="17">
        <f>IFERROR(__xludf.DUMMYFUNCTION("""COMPUTED_VALUE"""),45971.6493750463)</f>
        <v>45971.64938</v>
      </c>
      <c r="K4296" s="13" t="str">
        <f>IFERROR(__xludf.DUMMYFUNCTION("""COMPUTED_VALUE"""),"Selesai")</f>
        <v>Selesai</v>
      </c>
      <c r="L4296" s="17">
        <f>IFERROR(__xludf.DUMMYFUNCTION("""COMPUTED_VALUE"""),45971.6493750463)</f>
        <v>45971.64938</v>
      </c>
      <c r="M4296" s="13"/>
      <c r="N4296" s="13" t="str">
        <f>IFERROR(__xludf.DUMMYFUNCTION("""COMPUTED_VALUE"""),"")</f>
        <v/>
      </c>
      <c r="O4296" s="13" t="str">
        <f t="shared" si="1"/>
        <v/>
      </c>
    </row>
    <row r="4297" ht="22.5" customHeight="1">
      <c r="B4297" s="13">
        <f>IFERROR(__xludf.DUMMYFUNCTION("""COMPUTED_VALUE"""),4292.0)</f>
        <v>4292</v>
      </c>
      <c r="C4297" s="13" t="str">
        <f>IFERROR(__xludf.DUMMYFUNCTION("""COMPUTED_VALUE"""),"M. 513/GARUNTANG")</f>
        <v>M. 513/GARUNTANG</v>
      </c>
      <c r="D4297" s="13" t="str">
        <f>IFERROR(__xludf.DUMMYFUNCTION("""COMPUTED_VALUE"""),"K/4/131025/1")</f>
        <v>K/4/131025/1</v>
      </c>
      <c r="E4297" s="14" t="str">
        <f>IFERROR(__xludf.DUMMYFUNCTION("""COMPUTED_VALUE"""),"Heri (BT)")</f>
        <v>Heri (BT)</v>
      </c>
      <c r="F4297" s="14" t="str">
        <f>IFERROR(__xludf.DUMMYFUNCTION("""COMPUTED_VALUE"""),"SELESAI (VIA PERMOHONAN)")</f>
        <v>SELESAI (VIA PERMOHONAN)</v>
      </c>
      <c r="G4297" s="17">
        <f>IFERROR(__xludf.DUMMYFUNCTION("""COMPUTED_VALUE"""),45965.449037638886)</f>
        <v>45965.44904</v>
      </c>
      <c r="H4297" s="14"/>
      <c r="I4297" s="13"/>
      <c r="J4297" s="17" t="str">
        <f>IFERROR(__xludf.DUMMYFUNCTION("""COMPUTED_VALUE"""),"")</f>
        <v/>
      </c>
      <c r="K4297" s="13" t="str">
        <f>IFERROR(__xludf.DUMMYFUNCTION("""COMPUTED_VALUE"""),"BT atau SU Belum Valid")</f>
        <v>BT atau SU Belum Valid</v>
      </c>
      <c r="L4297" s="13" t="str">
        <f>IFERROR(__xludf.DUMMYFUNCTION("""COMPUTED_VALUE"""),"")</f>
        <v/>
      </c>
      <c r="M4297" s="13"/>
      <c r="N4297" s="13" t="str">
        <f>IFERROR(__xludf.DUMMYFUNCTION("""COMPUTED_VALUE"""),"")</f>
        <v/>
      </c>
      <c r="O4297" s="13" t="str">
        <f t="shared" si="1"/>
        <v/>
      </c>
    </row>
    <row r="4298" ht="22.5" customHeight="1">
      <c r="B4298" s="13">
        <f>IFERROR(__xludf.DUMMYFUNCTION("""COMPUTED_VALUE"""),4293.0)</f>
        <v>4293</v>
      </c>
      <c r="C4298" s="13" t="str">
        <f>IFERROR(__xludf.DUMMYFUNCTION("""COMPUTED_VALUE"""),"M 2539 &amp; M 1852/ KETEGUHAN")</f>
        <v>M 2539 &amp; M 1852/ KETEGUHAN</v>
      </c>
      <c r="D4298" s="13" t="str">
        <f>IFERROR(__xludf.DUMMYFUNCTION("""COMPUTED_VALUE"""),"K/13/101025/1")</f>
        <v>K/13/101025/1</v>
      </c>
      <c r="E4298" s="14" t="str">
        <f>IFERROR(__xludf.DUMMYFUNCTION("""COMPUTED_VALUE"""),"Heri (BT)")</f>
        <v>Heri (BT)</v>
      </c>
      <c r="F4298" s="14" t="str">
        <f>IFERROR(__xludf.DUMMYFUNCTION("""COMPUTED_VALUE"""),"SELESAI (VIA PERMOHONAN)")</f>
        <v>SELESAI (VIA PERMOHONAN)</v>
      </c>
      <c r="G4298" s="17">
        <f>IFERROR(__xludf.DUMMYFUNCTION("""COMPUTED_VALUE"""),45965.44937103009)</f>
        <v>45965.44937</v>
      </c>
      <c r="H4298" s="14"/>
      <c r="I4298" s="13"/>
      <c r="J4298" s="17" t="str">
        <f>IFERROR(__xludf.DUMMYFUNCTION("""COMPUTED_VALUE"""),"")</f>
        <v/>
      </c>
      <c r="K4298" s="13" t="str">
        <f>IFERROR(__xludf.DUMMYFUNCTION("""COMPUTED_VALUE"""),"BT atau SU Belum Valid")</f>
        <v>BT atau SU Belum Valid</v>
      </c>
      <c r="L4298" s="13" t="str">
        <f>IFERROR(__xludf.DUMMYFUNCTION("""COMPUTED_VALUE"""),"")</f>
        <v/>
      </c>
      <c r="M4298" s="13"/>
      <c r="N4298" s="13" t="str">
        <f>IFERROR(__xludf.DUMMYFUNCTION("""COMPUTED_VALUE"""),"")</f>
        <v/>
      </c>
      <c r="O4298" s="13" t="str">
        <f t="shared" si="1"/>
        <v/>
      </c>
    </row>
    <row r="4299" ht="22.5" customHeight="1">
      <c r="B4299" s="13">
        <f>IFERROR(__xludf.DUMMYFUNCTION("""COMPUTED_VALUE"""),4294.0)</f>
        <v>4294</v>
      </c>
      <c r="C4299" s="13" t="str">
        <f>IFERROR(__xludf.DUMMYFUNCTION("""COMPUTED_VALUE"""),"M 503/ KEMILING PERMAI")</f>
        <v>M 503/ KEMILING PERMAI</v>
      </c>
      <c r="D4299" s="13" t="str">
        <f>IFERROR(__xludf.DUMMYFUNCTION("""COMPUTED_VALUE"""),"K/45/260825/1")</f>
        <v>K/45/260825/1</v>
      </c>
      <c r="E4299" s="14" t="str">
        <f>IFERROR(__xludf.DUMMYFUNCTION("""COMPUTED_VALUE"""),"Heri (BT)")</f>
        <v>Heri (BT)</v>
      </c>
      <c r="F4299" s="14" t="str">
        <f>IFERROR(__xludf.DUMMYFUNCTION("""COMPUTED_VALUE"""),"SELESAI (VIA PERMOHONAN)")</f>
        <v>SELESAI (VIA PERMOHONAN)</v>
      </c>
      <c r="G4299" s="17">
        <f>IFERROR(__xludf.DUMMYFUNCTION("""COMPUTED_VALUE"""),45965.44958078704)</f>
        <v>45965.44958</v>
      </c>
      <c r="H4299" s="14"/>
      <c r="I4299" s="13"/>
      <c r="J4299" s="17" t="str">
        <f>IFERROR(__xludf.DUMMYFUNCTION("""COMPUTED_VALUE"""),"")</f>
        <v/>
      </c>
      <c r="K4299" s="13" t="str">
        <f>IFERROR(__xludf.DUMMYFUNCTION("""COMPUTED_VALUE"""),"BT atau SU Belum Valid")</f>
        <v>BT atau SU Belum Valid</v>
      </c>
      <c r="L4299" s="13" t="str">
        <f>IFERROR(__xludf.DUMMYFUNCTION("""COMPUTED_VALUE"""),"")</f>
        <v/>
      </c>
      <c r="M4299" s="13"/>
      <c r="N4299" s="13" t="str">
        <f>IFERROR(__xludf.DUMMYFUNCTION("""COMPUTED_VALUE"""),"")</f>
        <v/>
      </c>
      <c r="O4299" s="13" t="str">
        <f t="shared" si="1"/>
        <v/>
      </c>
    </row>
    <row r="4300" ht="22.5" customHeight="1">
      <c r="B4300" s="13">
        <f>IFERROR(__xludf.DUMMYFUNCTION("""COMPUTED_VALUE"""),4295.0)</f>
        <v>4295</v>
      </c>
      <c r="C4300" s="13" t="str">
        <f>IFERROR(__xludf.DUMMYFUNCTION("""COMPUTED_VALUE"""),"B 5029/ SUKABUMI")</f>
        <v>B 5029/ SUKABUMI</v>
      </c>
      <c r="D4300" s="13" t="str">
        <f>IFERROR(__xludf.DUMMYFUNCTION("""COMPUTED_VALUE"""),"K/44/160925/1")</f>
        <v>K/44/160925/1</v>
      </c>
      <c r="E4300" s="14" t="str">
        <f>IFERROR(__xludf.DUMMYFUNCTION("""COMPUTED_VALUE"""),"Heri (BT)")</f>
        <v>Heri (BT)</v>
      </c>
      <c r="F4300" s="14" t="str">
        <f>IFERROR(__xludf.DUMMYFUNCTION("""COMPUTED_VALUE"""),"SELESAI (VIA PERMOHONAN)")</f>
        <v>SELESAI (VIA PERMOHONAN)</v>
      </c>
      <c r="G4300" s="17">
        <f>IFERROR(__xludf.DUMMYFUNCTION("""COMPUTED_VALUE"""),45965.44983744213)</f>
        <v>45965.44984</v>
      </c>
      <c r="H4300" s="14" t="str">
        <f>IFERROR(__xludf.DUMMYFUNCTION("""COMPUTED_VALUE"""),"Aprill (SU)")</f>
        <v>Aprill (SU)</v>
      </c>
      <c r="I4300" s="13" t="str">
        <f>IFERROR(__xludf.DUMMYFUNCTION("""COMPUTED_VALUE"""),"SELESAI (VIA PERMOHONAN)")</f>
        <v>SELESAI (VIA PERMOHONAN)</v>
      </c>
      <c r="J4300" s="17">
        <f>IFERROR(__xludf.DUMMYFUNCTION("""COMPUTED_VALUE"""),45971.65329070602)</f>
        <v>45971.65329</v>
      </c>
      <c r="K4300" s="13" t="str">
        <f>IFERROR(__xludf.DUMMYFUNCTION("""COMPUTED_VALUE"""),"Selesai")</f>
        <v>Selesai</v>
      </c>
      <c r="L4300" s="17">
        <f>IFERROR(__xludf.DUMMYFUNCTION("""COMPUTED_VALUE"""),45971.65329070602)</f>
        <v>45971.65329</v>
      </c>
      <c r="M4300" s="13"/>
      <c r="N4300" s="13" t="str">
        <f>IFERROR(__xludf.DUMMYFUNCTION("""COMPUTED_VALUE"""),"")</f>
        <v/>
      </c>
      <c r="O4300" s="13" t="str">
        <f t="shared" si="1"/>
        <v/>
      </c>
    </row>
    <row r="4301" ht="22.5" customHeight="1">
      <c r="B4301" s="13">
        <f>IFERROR(__xludf.DUMMYFUNCTION("""COMPUTED_VALUE"""),4296.0)</f>
        <v>4296</v>
      </c>
      <c r="C4301" s="13" t="str">
        <f>IFERROR(__xludf.DUMMYFUNCTION("""COMPUTED_VALUE"""),"M. 1395/SUKAMAJU")</f>
        <v>M. 1395/SUKAMAJU</v>
      </c>
      <c r="D4301" s="13" t="str">
        <f>IFERROR(__xludf.DUMMYFUNCTION("""COMPUTED_VALUE"""),"L/15/211025/2")</f>
        <v>L/15/211025/2</v>
      </c>
      <c r="E4301" s="14" t="str">
        <f>IFERROR(__xludf.DUMMYFUNCTION("""COMPUTED_VALUE"""),"Heri (BT)")</f>
        <v>Heri (BT)</v>
      </c>
      <c r="F4301" s="14" t="str">
        <f>IFERROR(__xludf.DUMMYFUNCTION("""COMPUTED_VALUE"""),"SELESAI (VIA PERMOHONAN)")</f>
        <v>SELESAI (VIA PERMOHONAN)</v>
      </c>
      <c r="G4301" s="17">
        <f>IFERROR(__xludf.DUMMYFUNCTION("""COMPUTED_VALUE"""),45965.45012018518)</f>
        <v>45965.45012</v>
      </c>
      <c r="H4301" s="14" t="str">
        <f>IFERROR(__xludf.DUMMYFUNCTION("""COMPUTED_VALUE"""),"Aprill (SU)")</f>
        <v>Aprill (SU)</v>
      </c>
      <c r="I4301" s="13" t="str">
        <f>IFERROR(__xludf.DUMMYFUNCTION("""COMPUTED_VALUE"""),"SELESAI (VIA PERMOHONAN)")</f>
        <v>SELESAI (VIA PERMOHONAN)</v>
      </c>
      <c r="J4301" s="17">
        <f>IFERROR(__xludf.DUMMYFUNCTION("""COMPUTED_VALUE"""),45971.65363797454)</f>
        <v>45971.65364</v>
      </c>
      <c r="K4301" s="13" t="str">
        <f>IFERROR(__xludf.DUMMYFUNCTION("""COMPUTED_VALUE"""),"Selesai")</f>
        <v>Selesai</v>
      </c>
      <c r="L4301" s="17">
        <f>IFERROR(__xludf.DUMMYFUNCTION("""COMPUTED_VALUE"""),45971.65363797454)</f>
        <v>45971.65364</v>
      </c>
      <c r="M4301" s="13"/>
      <c r="N4301" s="13" t="str">
        <f>IFERROR(__xludf.DUMMYFUNCTION("""COMPUTED_VALUE"""),"")</f>
        <v/>
      </c>
      <c r="O4301" s="13" t="str">
        <f t="shared" si="1"/>
        <v/>
      </c>
    </row>
    <row r="4302" ht="22.5" customHeight="1">
      <c r="B4302" s="13">
        <f>IFERROR(__xludf.DUMMYFUNCTION("""COMPUTED_VALUE"""),4297.0)</f>
        <v>4297</v>
      </c>
      <c r="C4302" s="13" t="str">
        <f>IFERROR(__xludf.DUMMYFUNCTION("""COMPUTED_VALUE"""),"M. 1355/WAY KANDIS")</f>
        <v>M. 1355/WAY KANDIS</v>
      </c>
      <c r="D4302" s="13" t="str">
        <f>IFERROR(__xludf.DUMMYFUNCTION("""COMPUTED_VALUE"""),"K/16/230925/1")</f>
        <v>K/16/230925/1</v>
      </c>
      <c r="E4302" s="14" t="str">
        <f>IFERROR(__xludf.DUMMYFUNCTION("""COMPUTED_VALUE"""),"Heri (BT)")</f>
        <v>Heri (BT)</v>
      </c>
      <c r="F4302" s="14" t="str">
        <f>IFERROR(__xludf.DUMMYFUNCTION("""COMPUTED_VALUE"""),"SELESAI (VIA PERMOHONAN)")</f>
        <v>SELESAI (VIA PERMOHONAN)</v>
      </c>
      <c r="G4302" s="17">
        <f>IFERROR(__xludf.DUMMYFUNCTION("""COMPUTED_VALUE"""),45965.45030150463)</f>
        <v>45965.4503</v>
      </c>
      <c r="H4302" s="14"/>
      <c r="I4302" s="13"/>
      <c r="J4302" s="17" t="str">
        <f>IFERROR(__xludf.DUMMYFUNCTION("""COMPUTED_VALUE"""),"")</f>
        <v/>
      </c>
      <c r="K4302" s="13" t="str">
        <f>IFERROR(__xludf.DUMMYFUNCTION("""COMPUTED_VALUE"""),"BT atau SU Belum Valid")</f>
        <v>BT atau SU Belum Valid</v>
      </c>
      <c r="L4302" s="13" t="str">
        <f>IFERROR(__xludf.DUMMYFUNCTION("""COMPUTED_VALUE"""),"")</f>
        <v/>
      </c>
      <c r="M4302" s="13"/>
      <c r="N4302" s="13" t="str">
        <f>IFERROR(__xludf.DUMMYFUNCTION("""COMPUTED_VALUE"""),"")</f>
        <v/>
      </c>
      <c r="O4302" s="13" t="str">
        <f t="shared" si="1"/>
        <v/>
      </c>
    </row>
    <row r="4303" ht="22.5" customHeight="1">
      <c r="B4303" s="13">
        <f>IFERROR(__xludf.DUMMYFUNCTION("""COMPUTED_VALUE"""),4298.0)</f>
        <v>4298</v>
      </c>
      <c r="C4303" s="13" t="str">
        <f>IFERROR(__xludf.DUMMYFUNCTION("""COMPUTED_VALUE"""),"M. 229/BILABONG JAYA")</f>
        <v>M. 229/BILABONG JAYA</v>
      </c>
      <c r="D4303" s="13" t="str">
        <f>IFERROR(__xludf.DUMMYFUNCTION("""COMPUTED_VALUE"""),"K/21/180925/1")</f>
        <v>K/21/180925/1</v>
      </c>
      <c r="E4303" s="14" t="str">
        <f>IFERROR(__xludf.DUMMYFUNCTION("""COMPUTED_VALUE"""),"Heri (BT)")</f>
        <v>Heri (BT)</v>
      </c>
      <c r="F4303" s="14" t="str">
        <f>IFERROR(__xludf.DUMMYFUNCTION("""COMPUTED_VALUE"""),"SELESAI (VIA PERMOHONAN)")</f>
        <v>SELESAI (VIA PERMOHONAN)</v>
      </c>
      <c r="G4303" s="17">
        <f>IFERROR(__xludf.DUMMYFUNCTION("""COMPUTED_VALUE"""),45965.46518424769)</f>
        <v>45965.46518</v>
      </c>
      <c r="H4303" s="14"/>
      <c r="I4303" s="13"/>
      <c r="J4303" s="17" t="str">
        <f>IFERROR(__xludf.DUMMYFUNCTION("""COMPUTED_VALUE"""),"")</f>
        <v/>
      </c>
      <c r="K4303" s="13" t="str">
        <f>IFERROR(__xludf.DUMMYFUNCTION("""COMPUTED_VALUE"""),"BT atau SU Belum Valid")</f>
        <v>BT atau SU Belum Valid</v>
      </c>
      <c r="L4303" s="13" t="str">
        <f>IFERROR(__xludf.DUMMYFUNCTION("""COMPUTED_VALUE"""),"")</f>
        <v/>
      </c>
      <c r="M4303" s="13"/>
      <c r="N4303" s="13" t="str">
        <f>IFERROR(__xludf.DUMMYFUNCTION("""COMPUTED_VALUE"""),"")</f>
        <v/>
      </c>
      <c r="O4303" s="13" t="str">
        <f t="shared" si="1"/>
        <v/>
      </c>
    </row>
    <row r="4304" ht="22.5" customHeight="1">
      <c r="B4304" s="13">
        <f>IFERROR(__xludf.DUMMYFUNCTION("""COMPUTED_VALUE"""),4299.0)</f>
        <v>4299</v>
      </c>
      <c r="C4304" s="13" t="str">
        <f>IFERROR(__xludf.DUMMYFUNCTION("""COMPUTED_VALUE"""),"M. 9797/TANJUNG BARU")</f>
        <v>M. 9797/TANJUNG BARU</v>
      </c>
      <c r="D4304" s="13" t="str">
        <f>IFERROR(__xludf.DUMMYFUNCTION("""COMPUTED_VALUE"""),"K/21/160925/1")</f>
        <v>K/21/160925/1</v>
      </c>
      <c r="E4304" s="14" t="str">
        <f>IFERROR(__xludf.DUMMYFUNCTION("""COMPUTED_VALUE"""),"Heri (BT)")</f>
        <v>Heri (BT)</v>
      </c>
      <c r="F4304" s="14" t="str">
        <f>IFERROR(__xludf.DUMMYFUNCTION("""COMPUTED_VALUE"""),"SELESAI (VIA PERMOHONAN)")</f>
        <v>SELESAI (VIA PERMOHONAN)</v>
      </c>
      <c r="G4304" s="17">
        <f>IFERROR(__xludf.DUMMYFUNCTION("""COMPUTED_VALUE"""),45965.465385972224)</f>
        <v>45965.46539</v>
      </c>
      <c r="H4304" s="14" t="str">
        <f>IFERROR(__xludf.DUMMYFUNCTION("""COMPUTED_VALUE"""),"Aprill (SU)")</f>
        <v>Aprill (SU)</v>
      </c>
      <c r="I4304" s="13" t="str">
        <f>IFERROR(__xludf.DUMMYFUNCTION("""COMPUTED_VALUE"""),"SELESAI (VIA PERMOHONAN)")</f>
        <v>SELESAI (VIA PERMOHONAN)</v>
      </c>
      <c r="J4304" s="17">
        <f>IFERROR(__xludf.DUMMYFUNCTION("""COMPUTED_VALUE"""),45971.649663055556)</f>
        <v>45971.64966</v>
      </c>
      <c r="K4304" s="13" t="str">
        <f>IFERROR(__xludf.DUMMYFUNCTION("""COMPUTED_VALUE"""),"Selesai")</f>
        <v>Selesai</v>
      </c>
      <c r="L4304" s="17">
        <f>IFERROR(__xludf.DUMMYFUNCTION("""COMPUTED_VALUE"""),45971.649663055556)</f>
        <v>45971.64966</v>
      </c>
      <c r="M4304" s="13"/>
      <c r="N4304" s="13" t="str">
        <f>IFERROR(__xludf.DUMMYFUNCTION("""COMPUTED_VALUE"""),"")</f>
        <v/>
      </c>
      <c r="O4304" s="13" t="str">
        <f t="shared" si="1"/>
        <v/>
      </c>
    </row>
    <row r="4305" ht="22.5" customHeight="1">
      <c r="B4305" s="13">
        <f>IFERROR(__xludf.DUMMYFUNCTION("""COMPUTED_VALUE"""),4300.0)</f>
        <v>4300</v>
      </c>
      <c r="C4305" s="13" t="str">
        <f>IFERROR(__xludf.DUMMYFUNCTION("""COMPUTED_VALUE"""),"B. 132/GEDONG MENENG")</f>
        <v>B. 132/GEDONG MENENG</v>
      </c>
      <c r="D4305" s="13" t="str">
        <f>IFERROR(__xludf.DUMMYFUNCTION("""COMPUTED_VALUE"""),"K/44/081025/1")</f>
        <v>K/44/081025/1</v>
      </c>
      <c r="E4305" s="14" t="str">
        <f>IFERROR(__xludf.DUMMYFUNCTION("""COMPUTED_VALUE"""),"Heri (BT)")</f>
        <v>Heri (BT)</v>
      </c>
      <c r="F4305" s="14" t="str">
        <f>IFERROR(__xludf.DUMMYFUNCTION("""COMPUTED_VALUE"""),"SELESAI (VIA PERMOHONAN)")</f>
        <v>SELESAI (VIA PERMOHONAN)</v>
      </c>
      <c r="G4305" s="17">
        <f>IFERROR(__xludf.DUMMYFUNCTION("""COMPUTED_VALUE"""),45965.465547604166)</f>
        <v>45965.46555</v>
      </c>
      <c r="H4305" s="14"/>
      <c r="I4305" s="13"/>
      <c r="J4305" s="17" t="str">
        <f>IFERROR(__xludf.DUMMYFUNCTION("""COMPUTED_VALUE"""),"")</f>
        <v/>
      </c>
      <c r="K4305" s="13" t="str">
        <f>IFERROR(__xludf.DUMMYFUNCTION("""COMPUTED_VALUE"""),"BT atau SU Belum Valid")</f>
        <v>BT atau SU Belum Valid</v>
      </c>
      <c r="L4305" s="13" t="str">
        <f>IFERROR(__xludf.DUMMYFUNCTION("""COMPUTED_VALUE"""),"")</f>
        <v/>
      </c>
      <c r="M4305" s="13"/>
      <c r="N4305" s="13" t="str">
        <f>IFERROR(__xludf.DUMMYFUNCTION("""COMPUTED_VALUE"""),"")</f>
        <v/>
      </c>
      <c r="O4305" s="13" t="str">
        <f t="shared" si="1"/>
        <v/>
      </c>
    </row>
    <row r="4306" ht="22.5" customHeight="1">
      <c r="B4306" s="13">
        <f>IFERROR(__xludf.DUMMYFUNCTION("""COMPUTED_VALUE"""),4301.0)</f>
        <v>4301</v>
      </c>
      <c r="C4306" s="13" t="str">
        <f>IFERROR(__xludf.DUMMYFUNCTION("""COMPUTED_VALUE"""),"M. 9225/Sukabumi	")</f>
        <v>M. 9225/Sukabumi	</v>
      </c>
      <c r="D4306" s="13" t="str">
        <f>IFERROR(__xludf.DUMMYFUNCTION("""COMPUTED_VALUE"""),"K/25/300925/2")</f>
        <v>K/25/300925/2</v>
      </c>
      <c r="E4306" s="14" t="str">
        <f>IFERROR(__xludf.DUMMYFUNCTION("""COMPUTED_VALUE"""),"Heri (BT)")</f>
        <v>Heri (BT)</v>
      </c>
      <c r="F4306" s="14" t="str">
        <f>IFERROR(__xludf.DUMMYFUNCTION("""COMPUTED_VALUE"""),"SELESAI (VIA PERMOHONAN)")</f>
        <v>SELESAI (VIA PERMOHONAN)</v>
      </c>
      <c r="G4306" s="17">
        <f>IFERROR(__xludf.DUMMYFUNCTION("""COMPUTED_VALUE"""),45965.465637002315)</f>
        <v>45965.46564</v>
      </c>
      <c r="H4306" s="14"/>
      <c r="I4306" s="13"/>
      <c r="J4306" s="17" t="str">
        <f>IFERROR(__xludf.DUMMYFUNCTION("""COMPUTED_VALUE"""),"")</f>
        <v/>
      </c>
      <c r="K4306" s="13" t="str">
        <f>IFERROR(__xludf.DUMMYFUNCTION("""COMPUTED_VALUE"""),"BT atau SU Belum Valid")</f>
        <v>BT atau SU Belum Valid</v>
      </c>
      <c r="L4306" s="13" t="str">
        <f>IFERROR(__xludf.DUMMYFUNCTION("""COMPUTED_VALUE"""),"")</f>
        <v/>
      </c>
      <c r="M4306" s="13"/>
      <c r="N4306" s="13" t="str">
        <f>IFERROR(__xludf.DUMMYFUNCTION("""COMPUTED_VALUE"""),"")</f>
        <v/>
      </c>
      <c r="O4306" s="13" t="str">
        <f t="shared" si="1"/>
        <v/>
      </c>
    </row>
    <row r="4307" ht="22.5" customHeight="1">
      <c r="B4307" s="13">
        <f>IFERROR(__xludf.DUMMYFUNCTION("""COMPUTED_VALUE"""),4302.0)</f>
        <v>4302</v>
      </c>
      <c r="C4307" s="13" t="str">
        <f>IFERROR(__xludf.DUMMYFUNCTION("""COMPUTED_VALUE"""),"M.262/KOTA SEPANG")</f>
        <v>M.262/KOTA SEPANG</v>
      </c>
      <c r="D4307" s="13" t="str">
        <f>IFERROR(__xludf.DUMMYFUNCTION("""COMPUTED_VALUE"""),"L/21/290925/1")</f>
        <v>L/21/290925/1</v>
      </c>
      <c r="E4307" s="14" t="str">
        <f>IFERROR(__xludf.DUMMYFUNCTION("""COMPUTED_VALUE"""),"Heri (BT)")</f>
        <v>Heri (BT)</v>
      </c>
      <c r="F4307" s="14" t="str">
        <f>IFERROR(__xludf.DUMMYFUNCTION("""COMPUTED_VALUE"""),"SELESAI (VIA PERMOHONAN)")</f>
        <v>SELESAI (VIA PERMOHONAN)</v>
      </c>
      <c r="G4307" s="17">
        <f>IFERROR(__xludf.DUMMYFUNCTION("""COMPUTED_VALUE"""),45965.46579234954)</f>
        <v>45965.46579</v>
      </c>
      <c r="H4307" s="14"/>
      <c r="I4307" s="13"/>
      <c r="J4307" s="17" t="str">
        <f>IFERROR(__xludf.DUMMYFUNCTION("""COMPUTED_VALUE"""),"")</f>
        <v/>
      </c>
      <c r="K4307" s="13" t="str">
        <f>IFERROR(__xludf.DUMMYFUNCTION("""COMPUTED_VALUE"""),"BT atau SU Belum Valid")</f>
        <v>BT atau SU Belum Valid</v>
      </c>
      <c r="L4307" s="13" t="str">
        <f>IFERROR(__xludf.DUMMYFUNCTION("""COMPUTED_VALUE"""),"")</f>
        <v/>
      </c>
      <c r="M4307" s="13"/>
      <c r="N4307" s="13" t="str">
        <f>IFERROR(__xludf.DUMMYFUNCTION("""COMPUTED_VALUE"""),"")</f>
        <v/>
      </c>
      <c r="O4307" s="13" t="str">
        <f t="shared" si="1"/>
        <v/>
      </c>
    </row>
    <row r="4308" ht="22.5" customHeight="1">
      <c r="B4308" s="13">
        <f>IFERROR(__xludf.DUMMYFUNCTION("""COMPUTED_VALUE"""),4303.0)</f>
        <v>4303</v>
      </c>
      <c r="C4308" s="13" t="str">
        <f>IFERROR(__xludf.DUMMYFUNCTION("""COMPUTED_VALUE"""),"M. 1803/SUKAMAJU")</f>
        <v>M. 1803/SUKAMAJU</v>
      </c>
      <c r="D4308" s="13" t="str">
        <f>IFERROR(__xludf.DUMMYFUNCTION("""COMPUTED_VALUE"""),"L/14/211025/1")</f>
        <v>L/14/211025/1</v>
      </c>
      <c r="E4308" s="14" t="str">
        <f>IFERROR(__xludf.DUMMYFUNCTION("""COMPUTED_VALUE"""),"Heri (BT)")</f>
        <v>Heri (BT)</v>
      </c>
      <c r="F4308" s="14" t="str">
        <f>IFERROR(__xludf.DUMMYFUNCTION("""COMPUTED_VALUE"""),"SELESAI (VIA PERMOHONAN)")</f>
        <v>SELESAI (VIA PERMOHONAN)</v>
      </c>
      <c r="G4308" s="17">
        <f>IFERROR(__xludf.DUMMYFUNCTION("""COMPUTED_VALUE"""),45965.466071030096)</f>
        <v>45965.46607</v>
      </c>
      <c r="H4308" s="14"/>
      <c r="I4308" s="13"/>
      <c r="J4308" s="17" t="str">
        <f>IFERROR(__xludf.DUMMYFUNCTION("""COMPUTED_VALUE"""),"")</f>
        <v/>
      </c>
      <c r="K4308" s="13" t="str">
        <f>IFERROR(__xludf.DUMMYFUNCTION("""COMPUTED_VALUE"""),"BT atau SU Belum Valid")</f>
        <v>BT atau SU Belum Valid</v>
      </c>
      <c r="L4308" s="13" t="str">
        <f>IFERROR(__xludf.DUMMYFUNCTION("""COMPUTED_VALUE"""),"")</f>
        <v/>
      </c>
      <c r="M4308" s="13"/>
      <c r="N4308" s="13" t="str">
        <f>IFERROR(__xludf.DUMMYFUNCTION("""COMPUTED_VALUE"""),"")</f>
        <v/>
      </c>
      <c r="O4308" s="13" t="str">
        <f t="shared" si="1"/>
        <v/>
      </c>
    </row>
    <row r="4309" ht="22.5" customHeight="1">
      <c r="B4309" s="13">
        <f>IFERROR(__xludf.DUMMYFUNCTION("""COMPUTED_VALUE"""),4304.0)</f>
        <v>4304</v>
      </c>
      <c r="C4309" s="13" t="str">
        <f>IFERROR(__xludf.DUMMYFUNCTION("""COMPUTED_VALUE"""),"M. 949/SUKAMAJU &amp; M. 959/SUKAMAJU")</f>
        <v>M. 949/SUKAMAJU &amp; M. 959/SUKAMAJU</v>
      </c>
      <c r="D4309" s="13" t="str">
        <f>IFERROR(__xludf.DUMMYFUNCTION("""COMPUTED_VALUE"""),"")</f>
        <v/>
      </c>
      <c r="E4309" s="14" t="str">
        <f>IFERROR(__xludf.DUMMYFUNCTION("""COMPUTED_VALUE"""),"Heri (BT)")</f>
        <v>Heri (BT)</v>
      </c>
      <c r="F4309" s="14" t="str">
        <f>IFERROR(__xludf.DUMMYFUNCTION("""COMPUTED_VALUE"""),"SELESAI (VIA PERMOHONAN)")</f>
        <v>SELESAI (VIA PERMOHONAN)</v>
      </c>
      <c r="G4309" s="17">
        <f>IFERROR(__xludf.DUMMYFUNCTION("""COMPUTED_VALUE"""),45965.46666533565)</f>
        <v>45965.46667</v>
      </c>
      <c r="H4309" s="14"/>
      <c r="I4309" s="13"/>
      <c r="J4309" s="17" t="str">
        <f>IFERROR(__xludf.DUMMYFUNCTION("""COMPUTED_VALUE"""),"")</f>
        <v/>
      </c>
      <c r="K4309" s="13" t="str">
        <f>IFERROR(__xludf.DUMMYFUNCTION("""COMPUTED_VALUE"""),"")</f>
        <v/>
      </c>
      <c r="L4309" s="13" t="str">
        <f>IFERROR(__xludf.DUMMYFUNCTION("""COMPUTED_VALUE"""),"")</f>
        <v/>
      </c>
      <c r="M4309" s="13"/>
      <c r="N4309" s="13" t="str">
        <f>IFERROR(__xludf.DUMMYFUNCTION("""COMPUTED_VALUE"""),"")</f>
        <v/>
      </c>
      <c r="O4309" s="13" t="str">
        <f t="shared" si="1"/>
        <v/>
      </c>
    </row>
    <row r="4310" ht="22.5" customHeight="1">
      <c r="B4310" s="13">
        <f>IFERROR(__xludf.DUMMYFUNCTION("""COMPUTED_VALUE"""),4305.0)</f>
        <v>4305</v>
      </c>
      <c r="C4310" s="13" t="str">
        <f>IFERROR(__xludf.DUMMYFUNCTION("""COMPUTED_VALUE"""),"M. 1828/KANGKUNG")</f>
        <v>M. 1828/KANGKUNG</v>
      </c>
      <c r="D4310" s="13" t="str">
        <f>IFERROR(__xludf.DUMMYFUNCTION("""COMPUTED_VALUE"""),"L/11/131025/1")</f>
        <v>L/11/131025/1</v>
      </c>
      <c r="E4310" s="14" t="str">
        <f>IFERROR(__xludf.DUMMYFUNCTION("""COMPUTED_VALUE"""),"Heri (BT)")</f>
        <v>Heri (BT)</v>
      </c>
      <c r="F4310" s="14" t="str">
        <f>IFERROR(__xludf.DUMMYFUNCTION("""COMPUTED_VALUE"""),"SELESAI (VIA PERMOHONAN)")</f>
        <v>SELESAI (VIA PERMOHONAN)</v>
      </c>
      <c r="G4310" s="17">
        <f>IFERROR(__xludf.DUMMYFUNCTION("""COMPUTED_VALUE"""),45965.46701476852)</f>
        <v>45965.46701</v>
      </c>
      <c r="H4310" s="14"/>
      <c r="I4310" s="13"/>
      <c r="J4310" s="17" t="str">
        <f>IFERROR(__xludf.DUMMYFUNCTION("""COMPUTED_VALUE"""),"")</f>
        <v/>
      </c>
      <c r="K4310" s="13" t="str">
        <f>IFERROR(__xludf.DUMMYFUNCTION("""COMPUTED_VALUE"""),"BT atau SU Belum Valid")</f>
        <v>BT atau SU Belum Valid</v>
      </c>
      <c r="L4310" s="13" t="str">
        <f>IFERROR(__xludf.DUMMYFUNCTION("""COMPUTED_VALUE"""),"")</f>
        <v/>
      </c>
      <c r="M4310" s="13"/>
      <c r="N4310" s="13" t="str">
        <f>IFERROR(__xludf.DUMMYFUNCTION("""COMPUTED_VALUE"""),"")</f>
        <v/>
      </c>
      <c r="O4310" s="13" t="str">
        <f t="shared" si="1"/>
        <v/>
      </c>
    </row>
    <row r="4311" ht="22.5" customHeight="1">
      <c r="B4311" s="13">
        <f>IFERROR(__xludf.DUMMYFUNCTION("""COMPUTED_VALUE"""),4306.0)</f>
        <v>4306</v>
      </c>
      <c r="C4311" s="13" t="str">
        <f>IFERROR(__xludf.DUMMYFUNCTION("""COMPUTED_VALUE"""),"M. 133/PEMATANG WANGI")</f>
        <v>M. 133/PEMATANG WANGI</v>
      </c>
      <c r="D4311" s="13" t="str">
        <f>IFERROR(__xludf.DUMMYFUNCTION("""COMPUTED_VALUE"""),"L/10/131025/1")</f>
        <v>L/10/131025/1</v>
      </c>
      <c r="E4311" s="14" t="str">
        <f>IFERROR(__xludf.DUMMYFUNCTION("""COMPUTED_VALUE"""),"Heri (BT)")</f>
        <v>Heri (BT)</v>
      </c>
      <c r="F4311" s="14" t="str">
        <f>IFERROR(__xludf.DUMMYFUNCTION("""COMPUTED_VALUE"""),"SELESAI (VIA PERMOHONAN)")</f>
        <v>SELESAI (VIA PERMOHONAN)</v>
      </c>
      <c r="G4311" s="17">
        <f>IFERROR(__xludf.DUMMYFUNCTION("""COMPUTED_VALUE"""),45965.467435451385)</f>
        <v>45965.46744</v>
      </c>
      <c r="H4311" s="14"/>
      <c r="I4311" s="13"/>
      <c r="J4311" s="17" t="str">
        <f>IFERROR(__xludf.DUMMYFUNCTION("""COMPUTED_VALUE"""),"")</f>
        <v/>
      </c>
      <c r="K4311" s="13" t="str">
        <f>IFERROR(__xludf.DUMMYFUNCTION("""COMPUTED_VALUE"""),"BT atau SU Belum Valid")</f>
        <v>BT atau SU Belum Valid</v>
      </c>
      <c r="L4311" s="13" t="str">
        <f>IFERROR(__xludf.DUMMYFUNCTION("""COMPUTED_VALUE"""),"")</f>
        <v/>
      </c>
      <c r="M4311" s="13"/>
      <c r="N4311" s="13" t="str">
        <f>IFERROR(__xludf.DUMMYFUNCTION("""COMPUTED_VALUE"""),"")</f>
        <v/>
      </c>
      <c r="O4311" s="13" t="str">
        <f t="shared" si="1"/>
        <v/>
      </c>
    </row>
    <row r="4312" ht="22.5" customHeight="1">
      <c r="B4312" s="13">
        <f>IFERROR(__xludf.DUMMYFUNCTION("""COMPUTED_VALUE"""),4307.0)</f>
        <v>4307</v>
      </c>
      <c r="C4312" s="13" t="str">
        <f>IFERROR(__xludf.DUMMYFUNCTION("""COMPUTED_VALUE"""),"M. 1389/SUKABUMI INDAH")</f>
        <v>M. 1389/SUKABUMI INDAH</v>
      </c>
      <c r="D4312" s="13" t="str">
        <f>IFERROR(__xludf.DUMMYFUNCTION("""COMPUTED_VALUE"""),"L/3/131025/1")</f>
        <v>L/3/131025/1</v>
      </c>
      <c r="E4312" s="14" t="str">
        <f>IFERROR(__xludf.DUMMYFUNCTION("""COMPUTED_VALUE"""),"Heri (BT)")</f>
        <v>Heri (BT)</v>
      </c>
      <c r="F4312" s="14" t="str">
        <f>IFERROR(__xludf.DUMMYFUNCTION("""COMPUTED_VALUE"""),"SELESAI (VIA PERMOHONAN)")</f>
        <v>SELESAI (VIA PERMOHONAN)</v>
      </c>
      <c r="G4312" s="17">
        <f>IFERROR(__xludf.DUMMYFUNCTION("""COMPUTED_VALUE"""),45965.467700671295)</f>
        <v>45965.4677</v>
      </c>
      <c r="H4312" s="14"/>
      <c r="I4312" s="13"/>
      <c r="J4312" s="17" t="str">
        <f>IFERROR(__xludf.DUMMYFUNCTION("""COMPUTED_VALUE"""),"")</f>
        <v/>
      </c>
      <c r="K4312" s="13" t="str">
        <f>IFERROR(__xludf.DUMMYFUNCTION("""COMPUTED_VALUE"""),"BT atau SU Belum Valid")</f>
        <v>BT atau SU Belum Valid</v>
      </c>
      <c r="L4312" s="13" t="str">
        <f>IFERROR(__xludf.DUMMYFUNCTION("""COMPUTED_VALUE"""),"")</f>
        <v/>
      </c>
      <c r="M4312" s="13"/>
      <c r="N4312" s="13" t="str">
        <f>IFERROR(__xludf.DUMMYFUNCTION("""COMPUTED_VALUE"""),"")</f>
        <v/>
      </c>
      <c r="O4312" s="13" t="str">
        <f t="shared" si="1"/>
        <v/>
      </c>
    </row>
    <row r="4313" ht="22.5" customHeight="1">
      <c r="B4313" s="13">
        <f>IFERROR(__xludf.DUMMYFUNCTION("""COMPUTED_VALUE"""),4308.0)</f>
        <v>4308</v>
      </c>
      <c r="C4313" s="13" t="str">
        <f>IFERROR(__xludf.DUMMYFUNCTION("""COMPUTED_VALUE"""),"M 1015/ KORPRI JAYA")</f>
        <v>M 1015/ KORPRI JAYA</v>
      </c>
      <c r="D4313" s="13" t="str">
        <f>IFERROR(__xludf.DUMMYFUNCTION("""COMPUTED_VALUE"""),"K/23/110925/2")</f>
        <v>K/23/110925/2</v>
      </c>
      <c r="E4313" s="14" t="str">
        <f>IFERROR(__xludf.DUMMYFUNCTION("""COMPUTED_VALUE"""),"Admin (Migrasi)")</f>
        <v>Admin (Migrasi)</v>
      </c>
      <c r="F4313" s="14" t="str">
        <f>IFERROR(__xludf.DUMMYFUNCTION("""COMPUTED_VALUE"""),"SELESAI (VIA PERMOHONAN)")</f>
        <v>SELESAI (VIA PERMOHONAN)</v>
      </c>
      <c r="G4313" s="17">
        <f>IFERROR(__xludf.DUMMYFUNCTION("""COMPUTED_VALUE"""),45965.672875833334)</f>
        <v>45965.67288</v>
      </c>
      <c r="H4313" s="14" t="str">
        <f>IFERROR(__xludf.DUMMYFUNCTION("""COMPUTED_VALUE"""),"Admin (Migrasi)")</f>
        <v>Admin (Migrasi)</v>
      </c>
      <c r="I4313" s="13" t="str">
        <f>IFERROR(__xludf.DUMMYFUNCTION("""COMPUTED_VALUE"""),"SELESAI (VIA PERMOHONAN)")</f>
        <v>SELESAI (VIA PERMOHONAN)</v>
      </c>
      <c r="J4313" s="17">
        <f>IFERROR(__xludf.DUMMYFUNCTION("""COMPUTED_VALUE"""),45965.67300113426)</f>
        <v>45965.673</v>
      </c>
      <c r="K4313" s="13" t="str">
        <f>IFERROR(__xludf.DUMMYFUNCTION("""COMPUTED_VALUE"""),"Selesai")</f>
        <v>Selesai</v>
      </c>
      <c r="L4313" s="17">
        <f>IFERROR(__xludf.DUMMYFUNCTION("""COMPUTED_VALUE"""),45965.67300113426)</f>
        <v>45965.673</v>
      </c>
      <c r="M4313" s="13"/>
      <c r="N4313" s="13" t="str">
        <f>IFERROR(__xludf.DUMMYFUNCTION("""COMPUTED_VALUE"""),"")</f>
        <v/>
      </c>
      <c r="O4313" s="13" t="str">
        <f t="shared" si="1"/>
        <v/>
      </c>
    </row>
    <row r="4314" ht="22.5" customHeight="1">
      <c r="B4314" s="13">
        <f>IFERROR(__xludf.DUMMYFUNCTION("""COMPUTED_VALUE"""),4309.0)</f>
        <v>4309</v>
      </c>
      <c r="C4314" s="13" t="str">
        <f>IFERROR(__xludf.DUMMYFUNCTION("""COMPUTED_VALUE"""),"M. 5542/Rajabasa Jaya	")</f>
        <v>M. 5542/Rajabasa Jaya	</v>
      </c>
      <c r="D4314" s="13" t="str">
        <f>IFERROR(__xludf.DUMMYFUNCTION("""COMPUTED_VALUE"""),"K/22/071025/2	")</f>
        <v>K/22/071025/2	</v>
      </c>
      <c r="E4314" s="14" t="str">
        <f>IFERROR(__xludf.DUMMYFUNCTION("""COMPUTED_VALUE"""),"Admin (Migrasi)")</f>
        <v>Admin (Migrasi)</v>
      </c>
      <c r="F4314" s="14" t="str">
        <f>IFERROR(__xludf.DUMMYFUNCTION("""COMPUTED_VALUE"""),"SELESAI (VIA PERMOHONAN)")</f>
        <v>SELESAI (VIA PERMOHONAN)</v>
      </c>
      <c r="G4314" s="17">
        <f>IFERROR(__xludf.DUMMYFUNCTION("""COMPUTED_VALUE"""),45965.673193993054)</f>
        <v>45965.67319</v>
      </c>
      <c r="H4314" s="14" t="str">
        <f>IFERROR(__xludf.DUMMYFUNCTION("""COMPUTED_VALUE"""),"Admin (Migrasi)")</f>
        <v>Admin (Migrasi)</v>
      </c>
      <c r="I4314" s="13" t="str">
        <f>IFERROR(__xludf.DUMMYFUNCTION("""COMPUTED_VALUE"""),"SELESAI (VIA PERMOHONAN)")</f>
        <v>SELESAI (VIA PERMOHONAN)</v>
      </c>
      <c r="J4314" s="17">
        <f>IFERROR(__xludf.DUMMYFUNCTION("""COMPUTED_VALUE"""),45965.67322658565)</f>
        <v>45965.67323</v>
      </c>
      <c r="K4314" s="13" t="str">
        <f>IFERROR(__xludf.DUMMYFUNCTION("""COMPUTED_VALUE"""),"Selesai")</f>
        <v>Selesai</v>
      </c>
      <c r="L4314" s="17">
        <f>IFERROR(__xludf.DUMMYFUNCTION("""COMPUTED_VALUE"""),45965.67322658565)</f>
        <v>45965.67323</v>
      </c>
      <c r="M4314" s="13"/>
      <c r="N4314" s="13" t="str">
        <f>IFERROR(__xludf.DUMMYFUNCTION("""COMPUTED_VALUE"""),"")</f>
        <v/>
      </c>
      <c r="O4314" s="13" t="str">
        <f t="shared" si="1"/>
        <v/>
      </c>
    </row>
    <row r="4315" ht="22.5" customHeight="1">
      <c r="B4315" s="13">
        <f>IFERROR(__xludf.DUMMYFUNCTION("""COMPUTED_VALUE"""),4310.0)</f>
        <v>4310</v>
      </c>
      <c r="C4315" s="13" t="str">
        <f>IFERROR(__xludf.DUMMYFUNCTION("""COMPUTED_VALUE"""),"M. 6252/Way Kandis	")</f>
        <v>M. 6252/Way Kandis	</v>
      </c>
      <c r="D4315" s="13" t="str">
        <f>IFERROR(__xludf.DUMMYFUNCTION("""COMPUTED_VALUE"""),"K/21/031025/1")</f>
        <v>K/21/031025/1</v>
      </c>
      <c r="E4315" s="14" t="str">
        <f>IFERROR(__xludf.DUMMYFUNCTION("""COMPUTED_VALUE"""),"Admin (Migrasi)")</f>
        <v>Admin (Migrasi)</v>
      </c>
      <c r="F4315" s="14" t="str">
        <f>IFERROR(__xludf.DUMMYFUNCTION("""COMPUTED_VALUE"""),"SELESAI (VIA PERMOHONAN)")</f>
        <v>SELESAI (VIA PERMOHONAN)</v>
      </c>
      <c r="G4315" s="17">
        <f>IFERROR(__xludf.DUMMYFUNCTION("""COMPUTED_VALUE"""),45965.67343248843)</f>
        <v>45965.67343</v>
      </c>
      <c r="H4315" s="14" t="str">
        <f>IFERROR(__xludf.DUMMYFUNCTION("""COMPUTED_VALUE"""),"Admin (Migrasi)")</f>
        <v>Admin (Migrasi)</v>
      </c>
      <c r="I4315" s="13" t="str">
        <f>IFERROR(__xludf.DUMMYFUNCTION("""COMPUTED_VALUE"""),"SELESAI (VIA PERMOHONAN)")</f>
        <v>SELESAI (VIA PERMOHONAN)</v>
      </c>
      <c r="J4315" s="17">
        <f>IFERROR(__xludf.DUMMYFUNCTION("""COMPUTED_VALUE"""),45965.673468113426)</f>
        <v>45965.67347</v>
      </c>
      <c r="K4315" s="13" t="str">
        <f>IFERROR(__xludf.DUMMYFUNCTION("""COMPUTED_VALUE"""),"Selesai")</f>
        <v>Selesai</v>
      </c>
      <c r="L4315" s="17">
        <f>IFERROR(__xludf.DUMMYFUNCTION("""COMPUTED_VALUE"""),45965.673468113426)</f>
        <v>45965.67347</v>
      </c>
      <c r="M4315" s="13"/>
      <c r="N4315" s="13" t="str">
        <f>IFERROR(__xludf.DUMMYFUNCTION("""COMPUTED_VALUE"""),"")</f>
        <v/>
      </c>
      <c r="O4315" s="13" t="str">
        <f t="shared" si="1"/>
        <v/>
      </c>
    </row>
    <row r="4316" ht="22.5" customHeight="1">
      <c r="B4316" s="13">
        <f>IFERROR(__xludf.DUMMYFUNCTION("""COMPUTED_VALUE"""),4311.0)</f>
        <v>4311</v>
      </c>
      <c r="C4316" s="13" t="str">
        <f>IFERROR(__xludf.DUMMYFUNCTION("""COMPUTED_VALUE"""),"M. 1564/Beringin Jaya")</f>
        <v>M. 1564/Beringin Jaya</v>
      </c>
      <c r="D4316" s="13" t="str">
        <f>IFERROR(__xludf.DUMMYFUNCTION("""COMPUTED_VALUE"""),"K/18/021025/1")</f>
        <v>K/18/021025/1</v>
      </c>
      <c r="E4316" s="14" t="str">
        <f>IFERROR(__xludf.DUMMYFUNCTION("""COMPUTED_VALUE"""),"Admin (Migrasi)")</f>
        <v>Admin (Migrasi)</v>
      </c>
      <c r="F4316" s="14" t="str">
        <f>IFERROR(__xludf.DUMMYFUNCTION("""COMPUTED_VALUE"""),"SELESAI (VIA PERMOHONAN)")</f>
        <v>SELESAI (VIA PERMOHONAN)</v>
      </c>
      <c r="G4316" s="17">
        <f>IFERROR(__xludf.DUMMYFUNCTION("""COMPUTED_VALUE"""),45965.67369333333)</f>
        <v>45965.67369</v>
      </c>
      <c r="H4316" s="14" t="str">
        <f>IFERROR(__xludf.DUMMYFUNCTION("""COMPUTED_VALUE"""),"Admin (Migrasi)")</f>
        <v>Admin (Migrasi)</v>
      </c>
      <c r="I4316" s="13" t="str">
        <f>IFERROR(__xludf.DUMMYFUNCTION("""COMPUTED_VALUE"""),"SELESAI (VIA PERMOHONAN)")</f>
        <v>SELESAI (VIA PERMOHONAN)</v>
      </c>
      <c r="J4316" s="17">
        <f>IFERROR(__xludf.DUMMYFUNCTION("""COMPUTED_VALUE"""),45965.67373304398)</f>
        <v>45965.67373</v>
      </c>
      <c r="K4316" s="13" t="str">
        <f>IFERROR(__xludf.DUMMYFUNCTION("""COMPUTED_VALUE"""),"Selesai")</f>
        <v>Selesai</v>
      </c>
      <c r="L4316" s="17">
        <f>IFERROR(__xludf.DUMMYFUNCTION("""COMPUTED_VALUE"""),45965.67373304398)</f>
        <v>45965.67373</v>
      </c>
      <c r="M4316" s="13"/>
      <c r="N4316" s="13" t="str">
        <f>IFERROR(__xludf.DUMMYFUNCTION("""COMPUTED_VALUE"""),"")</f>
        <v/>
      </c>
      <c r="O4316" s="13" t="str">
        <f t="shared" si="1"/>
        <v/>
      </c>
    </row>
    <row r="4317" ht="22.5" customHeight="1">
      <c r="B4317" s="13">
        <f>IFERROR(__xludf.DUMMYFUNCTION("""COMPUTED_VALUE"""),4312.0)</f>
        <v>4312</v>
      </c>
      <c r="C4317" s="13" t="str">
        <f>IFERROR(__xludf.DUMMYFUNCTION("""COMPUTED_VALUE"""),"M. 2118/Labuhan Dalam	")</f>
        <v>M. 2118/Labuhan Dalam	</v>
      </c>
      <c r="D4317" s="13" t="str">
        <f>IFERROR(__xludf.DUMMYFUNCTION("""COMPUTED_VALUE"""),"K/28/300925/1")</f>
        <v>K/28/300925/1</v>
      </c>
      <c r="E4317" s="14" t="str">
        <f>IFERROR(__xludf.DUMMYFUNCTION("""COMPUTED_VALUE"""),"Admin (Migrasi)")</f>
        <v>Admin (Migrasi)</v>
      </c>
      <c r="F4317" s="14" t="str">
        <f>IFERROR(__xludf.DUMMYFUNCTION("""COMPUTED_VALUE"""),"SELESAI (VIA PERMOHONAN)")</f>
        <v>SELESAI (VIA PERMOHONAN)</v>
      </c>
      <c r="G4317" s="17">
        <f>IFERROR(__xludf.DUMMYFUNCTION("""COMPUTED_VALUE"""),45965.67389496528)</f>
        <v>45965.67389</v>
      </c>
      <c r="H4317" s="14" t="str">
        <f>IFERROR(__xludf.DUMMYFUNCTION("""COMPUTED_VALUE"""),"Admin (Migrasi)")</f>
        <v>Admin (Migrasi)</v>
      </c>
      <c r="I4317" s="13" t="str">
        <f>IFERROR(__xludf.DUMMYFUNCTION("""COMPUTED_VALUE"""),"SELESAI (VIA PERMOHONAN)")</f>
        <v>SELESAI (VIA PERMOHONAN)</v>
      </c>
      <c r="J4317" s="17">
        <f>IFERROR(__xludf.DUMMYFUNCTION("""COMPUTED_VALUE"""),45965.67393236111)</f>
        <v>45965.67393</v>
      </c>
      <c r="K4317" s="13" t="str">
        <f>IFERROR(__xludf.DUMMYFUNCTION("""COMPUTED_VALUE"""),"Selesai")</f>
        <v>Selesai</v>
      </c>
      <c r="L4317" s="17">
        <f>IFERROR(__xludf.DUMMYFUNCTION("""COMPUTED_VALUE"""),45965.67393236111)</f>
        <v>45965.67393</v>
      </c>
      <c r="M4317" s="13"/>
      <c r="N4317" s="13" t="str">
        <f>IFERROR(__xludf.DUMMYFUNCTION("""COMPUTED_VALUE"""),"")</f>
        <v/>
      </c>
      <c r="O4317" s="13" t="str">
        <f t="shared" si="1"/>
        <v/>
      </c>
    </row>
    <row r="4318" ht="22.5" customHeight="1">
      <c r="B4318" s="13">
        <f>IFERROR(__xludf.DUMMYFUNCTION("""COMPUTED_VALUE"""),4313.0)</f>
        <v>4313</v>
      </c>
      <c r="C4318" s="13" t="str">
        <f>IFERROR(__xludf.DUMMYFUNCTION("""COMPUTED_VALUE"""),"M. 1879/Gunung Terang	")</f>
        <v>M. 1879/Gunung Terang	</v>
      </c>
      <c r="D4318" s="13" t="str">
        <f>IFERROR(__xludf.DUMMYFUNCTION("""COMPUTED_VALUE"""),"K/40/090925/1")</f>
        <v>K/40/090925/1</v>
      </c>
      <c r="E4318" s="14" t="str">
        <f>IFERROR(__xludf.DUMMYFUNCTION("""COMPUTED_VALUE"""),"Admin (Migrasi)")</f>
        <v>Admin (Migrasi)</v>
      </c>
      <c r="F4318" s="14" t="str">
        <f>IFERROR(__xludf.DUMMYFUNCTION("""COMPUTED_VALUE"""),"SELESAI (VIA PERMOHONAN)")</f>
        <v>SELESAI (VIA PERMOHONAN)</v>
      </c>
      <c r="G4318" s="17">
        <f>IFERROR(__xludf.DUMMYFUNCTION("""COMPUTED_VALUE"""),45965.67420421296)</f>
        <v>45965.6742</v>
      </c>
      <c r="H4318" s="14" t="str">
        <f>IFERROR(__xludf.DUMMYFUNCTION("""COMPUTED_VALUE"""),"Admin (Migrasi)")</f>
        <v>Admin (Migrasi)</v>
      </c>
      <c r="I4318" s="13" t="str">
        <f>IFERROR(__xludf.DUMMYFUNCTION("""COMPUTED_VALUE"""),"SELESAI (VIA PERMOHONAN)")</f>
        <v>SELESAI (VIA PERMOHONAN)</v>
      </c>
      <c r="J4318" s="17">
        <f>IFERROR(__xludf.DUMMYFUNCTION("""COMPUTED_VALUE"""),45965.67420421296)</f>
        <v>45965.6742</v>
      </c>
      <c r="K4318" s="13" t="str">
        <f>IFERROR(__xludf.DUMMYFUNCTION("""COMPUTED_VALUE"""),"Selesai")</f>
        <v>Selesai</v>
      </c>
      <c r="L4318" s="17">
        <f>IFERROR(__xludf.DUMMYFUNCTION("""COMPUTED_VALUE"""),45965.67420421296)</f>
        <v>45965.6742</v>
      </c>
      <c r="M4318" s="13"/>
      <c r="N4318" s="13" t="str">
        <f>IFERROR(__xludf.DUMMYFUNCTION("""COMPUTED_VALUE"""),"")</f>
        <v/>
      </c>
      <c r="O4318" s="13" t="str">
        <f t="shared" si="1"/>
        <v/>
      </c>
    </row>
    <row r="4319" ht="22.5" customHeight="1">
      <c r="B4319" s="13">
        <f>IFERROR(__xludf.DUMMYFUNCTION("""COMPUTED_VALUE"""),4314.0)</f>
        <v>4314</v>
      </c>
      <c r="C4319" s="13" t="str">
        <f>IFERROR(__xludf.DUMMYFUNCTION("""COMPUTED_VALUE"""),"M. 9727/Kampung Baru	")</f>
        <v>M. 9727/Kampung Baru	</v>
      </c>
      <c r="D4319" s="13" t="str">
        <f>IFERROR(__xludf.DUMMYFUNCTION("""COMPUTED_VALUE"""),"K/30/090925/1")</f>
        <v>K/30/090925/1</v>
      </c>
      <c r="E4319" s="14" t="str">
        <f>IFERROR(__xludf.DUMMYFUNCTION("""COMPUTED_VALUE"""),"Admin (Migrasi)")</f>
        <v>Admin (Migrasi)</v>
      </c>
      <c r="F4319" s="14" t="str">
        <f>IFERROR(__xludf.DUMMYFUNCTION("""COMPUTED_VALUE"""),"SELESAI (VIA PERMOHONAN)")</f>
        <v>SELESAI (VIA PERMOHONAN)</v>
      </c>
      <c r="G4319" s="17">
        <f>IFERROR(__xludf.DUMMYFUNCTION("""COMPUTED_VALUE"""),45965.67431989583)</f>
        <v>45965.67432</v>
      </c>
      <c r="H4319" s="14" t="str">
        <f>IFERROR(__xludf.DUMMYFUNCTION("""COMPUTED_VALUE"""),"Admin (Migrasi)")</f>
        <v>Admin (Migrasi)</v>
      </c>
      <c r="I4319" s="13" t="str">
        <f>IFERROR(__xludf.DUMMYFUNCTION("""COMPUTED_VALUE"""),"SELESAI (VIA PERMOHONAN)")</f>
        <v>SELESAI (VIA PERMOHONAN)</v>
      </c>
      <c r="J4319" s="17">
        <f>IFERROR(__xludf.DUMMYFUNCTION("""COMPUTED_VALUE"""),45965.67435071759)</f>
        <v>45965.67435</v>
      </c>
      <c r="K4319" s="13" t="str">
        <f>IFERROR(__xludf.DUMMYFUNCTION("""COMPUTED_VALUE"""),"Selesai")</f>
        <v>Selesai</v>
      </c>
      <c r="L4319" s="17">
        <f>IFERROR(__xludf.DUMMYFUNCTION("""COMPUTED_VALUE"""),45965.67435071759)</f>
        <v>45965.67435</v>
      </c>
      <c r="M4319" s="13"/>
      <c r="N4319" s="13" t="str">
        <f>IFERROR(__xludf.DUMMYFUNCTION("""COMPUTED_VALUE"""),"")</f>
        <v/>
      </c>
      <c r="O4319" s="13" t="str">
        <f t="shared" si="1"/>
        <v/>
      </c>
    </row>
    <row r="4320" ht="22.5" customHeight="1">
      <c r="B4320" s="13">
        <f>IFERROR(__xludf.DUMMYFUNCTION("""COMPUTED_VALUE"""),4315.0)</f>
        <v>4315</v>
      </c>
      <c r="C4320" s="13" t="str">
        <f>IFERROR(__xludf.DUMMYFUNCTION("""COMPUTED_VALUE"""),"M 1291/ BUMI KEDAMAIAN")</f>
        <v>M 1291/ BUMI KEDAMAIAN</v>
      </c>
      <c r="D4320" s="13" t="str">
        <f>IFERROR(__xludf.DUMMYFUNCTION("""COMPUTED_VALUE"""),"K/3/190925/2")</f>
        <v>K/3/190925/2</v>
      </c>
      <c r="E4320" s="14" t="str">
        <f>IFERROR(__xludf.DUMMYFUNCTION("""COMPUTED_VALUE"""),"Admin (Migrasi)")</f>
        <v>Admin (Migrasi)</v>
      </c>
      <c r="F4320" s="14" t="str">
        <f>IFERROR(__xludf.DUMMYFUNCTION("""COMPUTED_VALUE"""),"SELESAI (VIA PERMOHONAN)")</f>
        <v>SELESAI (VIA PERMOHONAN)</v>
      </c>
      <c r="G4320" s="17">
        <f>IFERROR(__xludf.DUMMYFUNCTION("""COMPUTED_VALUE"""),45965.67457351852)</f>
        <v>45965.67457</v>
      </c>
      <c r="H4320" s="14" t="str">
        <f>IFERROR(__xludf.DUMMYFUNCTION("""COMPUTED_VALUE"""),"Admin (Migrasi)")</f>
        <v>Admin (Migrasi)</v>
      </c>
      <c r="I4320" s="13" t="str">
        <f>IFERROR(__xludf.DUMMYFUNCTION("""COMPUTED_VALUE"""),"SELESAI (VIA PERMOHONAN)")</f>
        <v>SELESAI (VIA PERMOHONAN)</v>
      </c>
      <c r="J4320" s="17">
        <f>IFERROR(__xludf.DUMMYFUNCTION("""COMPUTED_VALUE"""),45965.674608182875)</f>
        <v>45965.67461</v>
      </c>
      <c r="K4320" s="13" t="str">
        <f>IFERROR(__xludf.DUMMYFUNCTION("""COMPUTED_VALUE"""),"Selesai")</f>
        <v>Selesai</v>
      </c>
      <c r="L4320" s="17">
        <f>IFERROR(__xludf.DUMMYFUNCTION("""COMPUTED_VALUE"""),45965.674608182875)</f>
        <v>45965.67461</v>
      </c>
      <c r="M4320" s="13"/>
      <c r="N4320" s="13" t="str">
        <f>IFERROR(__xludf.DUMMYFUNCTION("""COMPUTED_VALUE"""),"")</f>
        <v/>
      </c>
      <c r="O4320" s="13" t="str">
        <f t="shared" si="1"/>
        <v/>
      </c>
    </row>
    <row r="4321" ht="22.5" customHeight="1">
      <c r="B4321" s="13">
        <f>IFERROR(__xludf.DUMMYFUNCTION("""COMPUTED_VALUE"""),4316.0)</f>
        <v>4316</v>
      </c>
      <c r="C4321" s="13" t="str">
        <f>IFERROR(__xludf.DUMMYFUNCTION("""COMPUTED_VALUE"""),"B 297/ NUSANTARA PERMAI")</f>
        <v>B 297/ NUSANTARA PERMAI</v>
      </c>
      <c r="D4321" s="13" t="str">
        <f>IFERROR(__xludf.DUMMYFUNCTION("""COMPUTED_VALUE"""),"K/10/270825/3")</f>
        <v>K/10/270825/3</v>
      </c>
      <c r="E4321" s="14" t="str">
        <f>IFERROR(__xludf.DUMMYFUNCTION("""COMPUTED_VALUE"""),"Admin (Migrasi)")</f>
        <v>Admin (Migrasi)</v>
      </c>
      <c r="F4321" s="14" t="str">
        <f>IFERROR(__xludf.DUMMYFUNCTION("""COMPUTED_VALUE"""),"SELESAI (VIA PERMOHONAN)")</f>
        <v>SELESAI (VIA PERMOHONAN)</v>
      </c>
      <c r="G4321" s="17">
        <f>IFERROR(__xludf.DUMMYFUNCTION("""COMPUTED_VALUE"""),45965.67493763889)</f>
        <v>45965.67494</v>
      </c>
      <c r="H4321" s="14" t="str">
        <f>IFERROR(__xludf.DUMMYFUNCTION("""COMPUTED_VALUE"""),"Admin (Migrasi)")</f>
        <v>Admin (Migrasi)</v>
      </c>
      <c r="I4321" s="13" t="str">
        <f>IFERROR(__xludf.DUMMYFUNCTION("""COMPUTED_VALUE"""),"SELESAI (VIA PERMOHONAN)")</f>
        <v>SELESAI (VIA PERMOHONAN)</v>
      </c>
      <c r="J4321" s="17">
        <f>IFERROR(__xludf.DUMMYFUNCTION("""COMPUTED_VALUE"""),45965.67497903935)</f>
        <v>45965.67498</v>
      </c>
      <c r="K4321" s="13" t="str">
        <f>IFERROR(__xludf.DUMMYFUNCTION("""COMPUTED_VALUE"""),"Selesai")</f>
        <v>Selesai</v>
      </c>
      <c r="L4321" s="17">
        <f>IFERROR(__xludf.DUMMYFUNCTION("""COMPUTED_VALUE"""),45965.67497903935)</f>
        <v>45965.67498</v>
      </c>
      <c r="M4321" s="13"/>
      <c r="N4321" s="13" t="str">
        <f>IFERROR(__xludf.DUMMYFUNCTION("""COMPUTED_VALUE"""),"")</f>
        <v/>
      </c>
      <c r="O4321" s="13" t="str">
        <f t="shared" si="1"/>
        <v/>
      </c>
    </row>
    <row r="4322" ht="22.5" customHeight="1">
      <c r="B4322" s="13">
        <f>IFERROR(__xludf.DUMMYFUNCTION("""COMPUTED_VALUE"""),4317.0)</f>
        <v>4317</v>
      </c>
      <c r="C4322" s="13" t="str">
        <f>IFERROR(__xludf.DUMMYFUNCTION("""COMPUTED_VALUE"""),"M 668/ WAY LAGA")</f>
        <v>M 668/ WAY LAGA</v>
      </c>
      <c r="D4322" s="13" t="str">
        <f>IFERROR(__xludf.DUMMYFUNCTION("""COMPUTED_VALUE"""),"K/41/230925/3")</f>
        <v>K/41/230925/3</v>
      </c>
      <c r="E4322" s="14" t="str">
        <f>IFERROR(__xludf.DUMMYFUNCTION("""COMPUTED_VALUE"""),"Admin (Migrasi)")</f>
        <v>Admin (Migrasi)</v>
      </c>
      <c r="F4322" s="14" t="str">
        <f>IFERROR(__xludf.DUMMYFUNCTION("""COMPUTED_VALUE"""),"SELESAI (VIA PERMOHONAN)")</f>
        <v>SELESAI (VIA PERMOHONAN)</v>
      </c>
      <c r="G4322" s="17">
        <f>IFERROR(__xludf.DUMMYFUNCTION("""COMPUTED_VALUE"""),45965.67522972223)</f>
        <v>45965.67523</v>
      </c>
      <c r="H4322" s="14" t="str">
        <f>IFERROR(__xludf.DUMMYFUNCTION("""COMPUTED_VALUE"""),"Admin (Migrasi)")</f>
        <v>Admin (Migrasi)</v>
      </c>
      <c r="I4322" s="13" t="str">
        <f>IFERROR(__xludf.DUMMYFUNCTION("""COMPUTED_VALUE"""),"SELESAI (VIA PERMOHONAN)")</f>
        <v>SELESAI (VIA PERMOHONAN)</v>
      </c>
      <c r="J4322" s="17">
        <f>IFERROR(__xludf.DUMMYFUNCTION("""COMPUTED_VALUE"""),45965.67525564815)</f>
        <v>45965.67526</v>
      </c>
      <c r="K4322" s="13" t="str">
        <f>IFERROR(__xludf.DUMMYFUNCTION("""COMPUTED_VALUE"""),"Selesai")</f>
        <v>Selesai</v>
      </c>
      <c r="L4322" s="17">
        <f>IFERROR(__xludf.DUMMYFUNCTION("""COMPUTED_VALUE"""),45965.67525564815)</f>
        <v>45965.67526</v>
      </c>
      <c r="M4322" s="13"/>
      <c r="N4322" s="13" t="str">
        <f>IFERROR(__xludf.DUMMYFUNCTION("""COMPUTED_VALUE"""),"")</f>
        <v/>
      </c>
      <c r="O4322" s="13" t="str">
        <f t="shared" si="1"/>
        <v/>
      </c>
    </row>
    <row r="4323" ht="22.5" customHeight="1">
      <c r="B4323" s="13">
        <f>IFERROR(__xludf.DUMMYFUNCTION("""COMPUTED_VALUE"""),4318.0)</f>
        <v>4318</v>
      </c>
      <c r="C4323" s="13" t="str">
        <f>IFERROR(__xludf.DUMMYFUNCTION("""COMPUTED_VALUE"""),"M 16365/ SUKABUMI")</f>
        <v>M 16365/ SUKABUMI</v>
      </c>
      <c r="D4323" s="13" t="str">
        <f>IFERROR(__xludf.DUMMYFUNCTION("""COMPUTED_VALUE"""),"K/11/061025/1")</f>
        <v>K/11/061025/1</v>
      </c>
      <c r="E4323" s="14" t="str">
        <f>IFERROR(__xludf.DUMMYFUNCTION("""COMPUTED_VALUE"""),"Admin (Migrasi)")</f>
        <v>Admin (Migrasi)</v>
      </c>
      <c r="F4323" s="14" t="str">
        <f>IFERROR(__xludf.DUMMYFUNCTION("""COMPUTED_VALUE"""),"SELESAI (VIA PERMOHONAN)")</f>
        <v>SELESAI (VIA PERMOHONAN)</v>
      </c>
      <c r="G4323" s="17">
        <f>IFERROR(__xludf.DUMMYFUNCTION("""COMPUTED_VALUE"""),45965.67557118056)</f>
        <v>45965.67557</v>
      </c>
      <c r="H4323" s="14" t="str">
        <f>IFERROR(__xludf.DUMMYFUNCTION("""COMPUTED_VALUE"""),"Admin (Migrasi)")</f>
        <v>Admin (Migrasi)</v>
      </c>
      <c r="I4323" s="13" t="str">
        <f>IFERROR(__xludf.DUMMYFUNCTION("""COMPUTED_VALUE"""),"SELESAI (VIA PERMOHONAN)")</f>
        <v>SELESAI (VIA PERMOHONAN)</v>
      </c>
      <c r="J4323" s="17">
        <f>IFERROR(__xludf.DUMMYFUNCTION("""COMPUTED_VALUE"""),45965.675597650465)</f>
        <v>45965.6756</v>
      </c>
      <c r="K4323" s="13" t="str">
        <f>IFERROR(__xludf.DUMMYFUNCTION("""COMPUTED_VALUE"""),"Selesai")</f>
        <v>Selesai</v>
      </c>
      <c r="L4323" s="17">
        <f>IFERROR(__xludf.DUMMYFUNCTION("""COMPUTED_VALUE"""),45965.675597650465)</f>
        <v>45965.6756</v>
      </c>
      <c r="M4323" s="13"/>
      <c r="N4323" s="13" t="str">
        <f>IFERROR(__xludf.DUMMYFUNCTION("""COMPUTED_VALUE"""),"")</f>
        <v/>
      </c>
      <c r="O4323" s="13" t="str">
        <f t="shared" si="1"/>
        <v/>
      </c>
    </row>
    <row r="4324" ht="22.5" customHeight="1">
      <c r="B4324" s="13">
        <f>IFERROR(__xludf.DUMMYFUNCTION("""COMPUTED_VALUE"""),4319.0)</f>
        <v>4319</v>
      </c>
      <c r="C4324" s="13" t="str">
        <f>IFERROR(__xludf.DUMMYFUNCTION("""COMPUTED_VALUE"""),"M 2537/ PINANG JAYA")</f>
        <v>M 2537/ PINANG JAYA</v>
      </c>
      <c r="D4324" s="13" t="str">
        <f>IFERROR(__xludf.DUMMYFUNCTION("""COMPUTED_VALUE"""),"K/9/220925/1")</f>
        <v>K/9/220925/1</v>
      </c>
      <c r="E4324" s="14" t="str">
        <f>IFERROR(__xludf.DUMMYFUNCTION("""COMPUTED_VALUE"""),"Admin (Migrasi)")</f>
        <v>Admin (Migrasi)</v>
      </c>
      <c r="F4324" s="14" t="str">
        <f>IFERROR(__xludf.DUMMYFUNCTION("""COMPUTED_VALUE"""),"SELESAI (VIA PERMOHONAN)")</f>
        <v>SELESAI (VIA PERMOHONAN)</v>
      </c>
      <c r="G4324" s="17">
        <f>IFERROR(__xludf.DUMMYFUNCTION("""COMPUTED_VALUE"""),45965.67584761574)</f>
        <v>45965.67585</v>
      </c>
      <c r="H4324" s="14" t="str">
        <f>IFERROR(__xludf.DUMMYFUNCTION("""COMPUTED_VALUE"""),"Admin (Migrasi)")</f>
        <v>Admin (Migrasi)</v>
      </c>
      <c r="I4324" s="13" t="str">
        <f>IFERROR(__xludf.DUMMYFUNCTION("""COMPUTED_VALUE"""),"SELESAI (VIA PERMOHONAN)")</f>
        <v>SELESAI (VIA PERMOHONAN)</v>
      </c>
      <c r="J4324" s="17">
        <f>IFERROR(__xludf.DUMMYFUNCTION("""COMPUTED_VALUE"""),45965.675886111116)</f>
        <v>45965.67589</v>
      </c>
      <c r="K4324" s="13" t="str">
        <f>IFERROR(__xludf.DUMMYFUNCTION("""COMPUTED_VALUE"""),"Selesai")</f>
        <v>Selesai</v>
      </c>
      <c r="L4324" s="17">
        <f>IFERROR(__xludf.DUMMYFUNCTION("""COMPUTED_VALUE"""),45965.675886111116)</f>
        <v>45965.67589</v>
      </c>
      <c r="M4324" s="13"/>
      <c r="N4324" s="13" t="str">
        <f>IFERROR(__xludf.DUMMYFUNCTION("""COMPUTED_VALUE"""),"")</f>
        <v/>
      </c>
      <c r="O4324" s="13" t="str">
        <f t="shared" si="1"/>
        <v/>
      </c>
    </row>
    <row r="4325" ht="22.5" customHeight="1">
      <c r="B4325" s="13">
        <f>IFERROR(__xludf.DUMMYFUNCTION("""COMPUTED_VALUE"""),4320.0)</f>
        <v>4320</v>
      </c>
      <c r="C4325" s="13" t="str">
        <f>IFERROR(__xludf.DUMMYFUNCTION("""COMPUTED_VALUE"""),"M 1688/ RAJABASA RAYA")</f>
        <v>M 1688/ RAJABASA RAYA</v>
      </c>
      <c r="D4325" s="13" t="str">
        <f>IFERROR(__xludf.DUMMYFUNCTION("""COMPUTED_VALUE"""),"K/22/061025/1")</f>
        <v>K/22/061025/1</v>
      </c>
      <c r="E4325" s="14" t="str">
        <f>IFERROR(__xludf.DUMMYFUNCTION("""COMPUTED_VALUE"""),"Admin (Migrasi)")</f>
        <v>Admin (Migrasi)</v>
      </c>
      <c r="F4325" s="14" t="str">
        <f>IFERROR(__xludf.DUMMYFUNCTION("""COMPUTED_VALUE"""),"SELESAI (VIA PERMOHONAN)")</f>
        <v>SELESAI (VIA PERMOHONAN)</v>
      </c>
      <c r="G4325" s="17">
        <f>IFERROR(__xludf.DUMMYFUNCTION("""COMPUTED_VALUE"""),45965.67606210648)</f>
        <v>45965.67606</v>
      </c>
      <c r="H4325" s="14" t="str">
        <f>IFERROR(__xludf.DUMMYFUNCTION("""COMPUTED_VALUE"""),"Admin (Migrasi)")</f>
        <v>Admin (Migrasi)</v>
      </c>
      <c r="I4325" s="13" t="str">
        <f>IFERROR(__xludf.DUMMYFUNCTION("""COMPUTED_VALUE"""),"SELESAI (VIA PERMOHONAN)")</f>
        <v>SELESAI (VIA PERMOHONAN)</v>
      </c>
      <c r="J4325" s="17">
        <f>IFERROR(__xludf.DUMMYFUNCTION("""COMPUTED_VALUE"""),45965.6761650463)</f>
        <v>45965.67617</v>
      </c>
      <c r="K4325" s="13" t="str">
        <f>IFERROR(__xludf.DUMMYFUNCTION("""COMPUTED_VALUE"""),"Selesai")</f>
        <v>Selesai</v>
      </c>
      <c r="L4325" s="17">
        <f>IFERROR(__xludf.DUMMYFUNCTION("""COMPUTED_VALUE"""),45965.6761650463)</f>
        <v>45965.67617</v>
      </c>
      <c r="M4325" s="13"/>
      <c r="N4325" s="13" t="str">
        <f>IFERROR(__xludf.DUMMYFUNCTION("""COMPUTED_VALUE"""),"")</f>
        <v/>
      </c>
      <c r="O4325" s="13" t="str">
        <f t="shared" si="1"/>
        <v/>
      </c>
    </row>
    <row r="4326" ht="22.5" customHeight="1">
      <c r="B4326" s="13">
        <f>IFERROR(__xludf.DUMMYFUNCTION("""COMPUTED_VALUE"""),4321.0)</f>
        <v>4321</v>
      </c>
      <c r="C4326" s="13" t="str">
        <f>IFERROR(__xludf.DUMMYFUNCTION("""COMPUTED_VALUE"""),"M 211/ RAWA LAUT")</f>
        <v>M 211/ RAWA LAUT</v>
      </c>
      <c r="D4326" s="13" t="str">
        <f>IFERROR(__xludf.DUMMYFUNCTION("""COMPUTED_VALUE"""),"K/43/270825/2")</f>
        <v>K/43/270825/2</v>
      </c>
      <c r="E4326" s="14" t="str">
        <f>IFERROR(__xludf.DUMMYFUNCTION("""COMPUTED_VALUE"""),"Admin (Migrasi)")</f>
        <v>Admin (Migrasi)</v>
      </c>
      <c r="F4326" s="14" t="str">
        <f>IFERROR(__xludf.DUMMYFUNCTION("""COMPUTED_VALUE"""),"SELESAI (VIA PERMOHONAN)")</f>
        <v>SELESAI (VIA PERMOHONAN)</v>
      </c>
      <c r="G4326" s="17">
        <f>IFERROR(__xludf.DUMMYFUNCTION("""COMPUTED_VALUE"""),45965.67641935185)</f>
        <v>45965.67642</v>
      </c>
      <c r="H4326" s="14" t="str">
        <f>IFERROR(__xludf.DUMMYFUNCTION("""COMPUTED_VALUE"""),"Admin (Migrasi)")</f>
        <v>Admin (Migrasi)</v>
      </c>
      <c r="I4326" s="13" t="str">
        <f>IFERROR(__xludf.DUMMYFUNCTION("""COMPUTED_VALUE"""),"SELESAI (VIA PERMOHONAN)")</f>
        <v>SELESAI (VIA PERMOHONAN)</v>
      </c>
      <c r="J4326" s="17">
        <f>IFERROR(__xludf.DUMMYFUNCTION("""COMPUTED_VALUE"""),45965.67646606482)</f>
        <v>45965.67647</v>
      </c>
      <c r="K4326" s="13" t="str">
        <f>IFERROR(__xludf.DUMMYFUNCTION("""COMPUTED_VALUE"""),"Selesai")</f>
        <v>Selesai</v>
      </c>
      <c r="L4326" s="17">
        <f>IFERROR(__xludf.DUMMYFUNCTION("""COMPUTED_VALUE"""),45965.67646606482)</f>
        <v>45965.67647</v>
      </c>
      <c r="M4326" s="13"/>
      <c r="N4326" s="13" t="str">
        <f>IFERROR(__xludf.DUMMYFUNCTION("""COMPUTED_VALUE"""),"")</f>
        <v/>
      </c>
      <c r="O4326" s="13" t="str">
        <f t="shared" si="1"/>
        <v/>
      </c>
    </row>
    <row r="4327" ht="22.5" customHeight="1">
      <c r="B4327" s="13">
        <f>IFERROR(__xludf.DUMMYFUNCTION("""COMPUTED_VALUE"""),4322.0)</f>
        <v>4322</v>
      </c>
      <c r="C4327" s="13" t="str">
        <f>IFERROR(__xludf.DUMMYFUNCTION("""COMPUTED_VALUE"""),"M 1738/ LABUHAN RATU RAYA")</f>
        <v>M 1738/ LABUHAN RATU RAYA</v>
      </c>
      <c r="D4327" s="13" t="str">
        <f>IFERROR(__xludf.DUMMYFUNCTION("""COMPUTED_VALUE"""),"K/4/190925/3")</f>
        <v>K/4/190925/3</v>
      </c>
      <c r="E4327" s="14" t="str">
        <f>IFERROR(__xludf.DUMMYFUNCTION("""COMPUTED_VALUE"""),"Admin (Migrasi)")</f>
        <v>Admin (Migrasi)</v>
      </c>
      <c r="F4327" s="14" t="str">
        <f>IFERROR(__xludf.DUMMYFUNCTION("""COMPUTED_VALUE"""),"SELESAI (VIA PERMOHONAN)")</f>
        <v>SELESAI (VIA PERMOHONAN)</v>
      </c>
      <c r="G4327" s="17">
        <f>IFERROR(__xludf.DUMMYFUNCTION("""COMPUTED_VALUE"""),45965.67671890046)</f>
        <v>45965.67672</v>
      </c>
      <c r="H4327" s="14" t="str">
        <f>IFERROR(__xludf.DUMMYFUNCTION("""COMPUTED_VALUE"""),"Admin (Migrasi)")</f>
        <v>Admin (Migrasi)</v>
      </c>
      <c r="I4327" s="13" t="str">
        <f>IFERROR(__xludf.DUMMYFUNCTION("""COMPUTED_VALUE"""),"SELESAI (VIA PERMOHONAN)")</f>
        <v>SELESAI (VIA PERMOHONAN)</v>
      </c>
      <c r="J4327" s="17">
        <f>IFERROR(__xludf.DUMMYFUNCTION("""COMPUTED_VALUE"""),45965.6768808912)</f>
        <v>45965.67688</v>
      </c>
      <c r="K4327" s="13" t="str">
        <f>IFERROR(__xludf.DUMMYFUNCTION("""COMPUTED_VALUE"""),"Selesai")</f>
        <v>Selesai</v>
      </c>
      <c r="L4327" s="17">
        <f>IFERROR(__xludf.DUMMYFUNCTION("""COMPUTED_VALUE"""),45965.6768808912)</f>
        <v>45965.67688</v>
      </c>
      <c r="M4327" s="13"/>
      <c r="N4327" s="13" t="str">
        <f>IFERROR(__xludf.DUMMYFUNCTION("""COMPUTED_VALUE"""),"")</f>
        <v/>
      </c>
      <c r="O4327" s="13" t="str">
        <f t="shared" si="1"/>
        <v/>
      </c>
    </row>
    <row r="4328" ht="22.5" customHeight="1">
      <c r="B4328" s="13">
        <f>IFERROR(__xludf.DUMMYFUNCTION("""COMPUTED_VALUE"""),4323.0)</f>
        <v>4323</v>
      </c>
      <c r="C4328" s="13" t="str">
        <f>IFERROR(__xludf.DUMMYFUNCTION("""COMPUTED_VALUE"""),"M 19340/ SUKARAME")</f>
        <v>M 19340/ SUKARAME</v>
      </c>
      <c r="D4328" s="13" t="str">
        <f>IFERROR(__xludf.DUMMYFUNCTION("""COMPUTED_VALUE"""),"K/35/011025/3")</f>
        <v>K/35/011025/3</v>
      </c>
      <c r="E4328" s="14" t="str">
        <f>IFERROR(__xludf.DUMMYFUNCTION("""COMPUTED_VALUE"""),"Admin (Migrasi)")</f>
        <v>Admin (Migrasi)</v>
      </c>
      <c r="F4328" s="14" t="str">
        <f>IFERROR(__xludf.DUMMYFUNCTION("""COMPUTED_VALUE"""),"SELESAI (VIA PERMOHONAN)")</f>
        <v>SELESAI (VIA PERMOHONAN)</v>
      </c>
      <c r="G4328" s="17">
        <f>IFERROR(__xludf.DUMMYFUNCTION("""COMPUTED_VALUE"""),45965.67725385417)</f>
        <v>45965.67725</v>
      </c>
      <c r="H4328" s="14" t="str">
        <f>IFERROR(__xludf.DUMMYFUNCTION("""COMPUTED_VALUE"""),"Admin (Migrasi)")</f>
        <v>Admin (Migrasi)</v>
      </c>
      <c r="I4328" s="13" t="str">
        <f>IFERROR(__xludf.DUMMYFUNCTION("""COMPUTED_VALUE"""),"SELESAI (VIA PERMOHONAN)")</f>
        <v>SELESAI (VIA PERMOHONAN)</v>
      </c>
      <c r="J4328" s="17">
        <f>IFERROR(__xludf.DUMMYFUNCTION("""COMPUTED_VALUE"""),45965.677310266205)</f>
        <v>45965.67731</v>
      </c>
      <c r="K4328" s="13" t="str">
        <f>IFERROR(__xludf.DUMMYFUNCTION("""COMPUTED_VALUE"""),"Selesai")</f>
        <v>Selesai</v>
      </c>
      <c r="L4328" s="17">
        <f>IFERROR(__xludf.DUMMYFUNCTION("""COMPUTED_VALUE"""),45965.677310266205)</f>
        <v>45965.67731</v>
      </c>
      <c r="M4328" s="13"/>
      <c r="N4328" s="13" t="str">
        <f>IFERROR(__xludf.DUMMYFUNCTION("""COMPUTED_VALUE"""),"")</f>
        <v/>
      </c>
      <c r="O4328" s="13" t="str">
        <f t="shared" si="1"/>
        <v/>
      </c>
    </row>
    <row r="4329" ht="22.5" customHeight="1">
      <c r="B4329" s="13">
        <f>IFERROR(__xludf.DUMMYFUNCTION("""COMPUTED_VALUE"""),4324.0)</f>
        <v>4324</v>
      </c>
      <c r="C4329" s="13" t="str">
        <f>IFERROR(__xludf.DUMMYFUNCTION("""COMPUTED_VALUE"""),"M 880/ SUMBER AGUNG")</f>
        <v>M 880/ SUMBER AGUNG</v>
      </c>
      <c r="D4329" s="13" t="str">
        <f>IFERROR(__xludf.DUMMYFUNCTION("""COMPUTED_VALUE"""),"K/32/190925/2")</f>
        <v>K/32/190925/2</v>
      </c>
      <c r="E4329" s="14" t="str">
        <f>IFERROR(__xludf.DUMMYFUNCTION("""COMPUTED_VALUE"""),"Admin (Migrasi)")</f>
        <v>Admin (Migrasi)</v>
      </c>
      <c r="F4329" s="14" t="str">
        <f>IFERROR(__xludf.DUMMYFUNCTION("""COMPUTED_VALUE"""),"SELESAI (VIA PERMOHONAN)")</f>
        <v>SELESAI (VIA PERMOHONAN)</v>
      </c>
      <c r="G4329" s="17">
        <f>IFERROR(__xludf.DUMMYFUNCTION("""COMPUTED_VALUE"""),45965.67751414352)</f>
        <v>45965.67751</v>
      </c>
      <c r="H4329" s="14" t="str">
        <f>IFERROR(__xludf.DUMMYFUNCTION("""COMPUTED_VALUE"""),"Admin (Migrasi)")</f>
        <v>Admin (Migrasi)</v>
      </c>
      <c r="I4329" s="13" t="str">
        <f>IFERROR(__xludf.DUMMYFUNCTION("""COMPUTED_VALUE"""),"SELESAI (VIA PERMOHONAN)")</f>
        <v>SELESAI (VIA PERMOHONAN)</v>
      </c>
      <c r="J4329" s="17">
        <f>IFERROR(__xludf.DUMMYFUNCTION("""COMPUTED_VALUE"""),45965.67755886574)</f>
        <v>45965.67756</v>
      </c>
      <c r="K4329" s="13" t="str">
        <f>IFERROR(__xludf.DUMMYFUNCTION("""COMPUTED_VALUE"""),"Selesai")</f>
        <v>Selesai</v>
      </c>
      <c r="L4329" s="17">
        <f>IFERROR(__xludf.DUMMYFUNCTION("""COMPUTED_VALUE"""),45965.67755886574)</f>
        <v>45965.67756</v>
      </c>
      <c r="M4329" s="13"/>
      <c r="N4329" s="13" t="str">
        <f>IFERROR(__xludf.DUMMYFUNCTION("""COMPUTED_VALUE"""),"")</f>
        <v/>
      </c>
      <c r="O4329" s="13" t="str">
        <f t="shared" si="1"/>
        <v/>
      </c>
    </row>
    <row r="4330" ht="22.5" customHeight="1">
      <c r="B4330" s="13">
        <f>IFERROR(__xludf.DUMMYFUNCTION("""COMPUTED_VALUE"""),4325.0)</f>
        <v>4325</v>
      </c>
      <c r="C4330" s="13" t="str">
        <f>IFERROR(__xludf.DUMMYFUNCTION("""COMPUTED_VALUE"""),"M 815/ PEMATANG WANGI")</f>
        <v>M 815/ PEMATANG WANGI</v>
      </c>
      <c r="D4330" s="13" t="str">
        <f>IFERROR(__xludf.DUMMYFUNCTION("""COMPUTED_VALUE"""),"K/27/031025/4")</f>
        <v>K/27/031025/4</v>
      </c>
      <c r="E4330" s="14" t="str">
        <f>IFERROR(__xludf.DUMMYFUNCTION("""COMPUTED_VALUE"""),"Admin (Migrasi)")</f>
        <v>Admin (Migrasi)</v>
      </c>
      <c r="F4330" s="14" t="str">
        <f>IFERROR(__xludf.DUMMYFUNCTION("""COMPUTED_VALUE"""),"SELESAI (VIA PERMOHONAN)")</f>
        <v>SELESAI (VIA PERMOHONAN)</v>
      </c>
      <c r="G4330" s="17">
        <f>IFERROR(__xludf.DUMMYFUNCTION("""COMPUTED_VALUE"""),45965.67771181713)</f>
        <v>45965.67771</v>
      </c>
      <c r="H4330" s="14" t="str">
        <f>IFERROR(__xludf.DUMMYFUNCTION("""COMPUTED_VALUE"""),"Admin (Migrasi)")</f>
        <v>Admin (Migrasi)</v>
      </c>
      <c r="I4330" s="13" t="str">
        <f>IFERROR(__xludf.DUMMYFUNCTION("""COMPUTED_VALUE"""),"SELESAI (VIA PERMOHONAN)")</f>
        <v>SELESAI (VIA PERMOHONAN)</v>
      </c>
      <c r="J4330" s="17">
        <f>IFERROR(__xludf.DUMMYFUNCTION("""COMPUTED_VALUE"""),45965.67773791667)</f>
        <v>45965.67774</v>
      </c>
      <c r="K4330" s="13" t="str">
        <f>IFERROR(__xludf.DUMMYFUNCTION("""COMPUTED_VALUE"""),"Selesai")</f>
        <v>Selesai</v>
      </c>
      <c r="L4330" s="17">
        <f>IFERROR(__xludf.DUMMYFUNCTION("""COMPUTED_VALUE"""),45965.67773791667)</f>
        <v>45965.67774</v>
      </c>
      <c r="M4330" s="13"/>
      <c r="N4330" s="13" t="str">
        <f>IFERROR(__xludf.DUMMYFUNCTION("""COMPUTED_VALUE"""),"")</f>
        <v/>
      </c>
      <c r="O4330" s="13" t="str">
        <f t="shared" si="1"/>
        <v/>
      </c>
    </row>
    <row r="4331" ht="22.5" customHeight="1">
      <c r="B4331" s="13">
        <f>IFERROR(__xludf.DUMMYFUNCTION("""COMPUTED_VALUE"""),4326.0)</f>
        <v>4326</v>
      </c>
      <c r="C4331" s="13" t="str">
        <f>IFERROR(__xludf.DUMMYFUNCTION("""COMPUTED_VALUE"""),"M. 13231/Sukarame	")</f>
        <v>M. 13231/Sukarame	</v>
      </c>
      <c r="D4331" s="13" t="str">
        <f>IFERROR(__xludf.DUMMYFUNCTION("""COMPUTED_VALUE"""),"K/13/031025/3")</f>
        <v>K/13/031025/3</v>
      </c>
      <c r="E4331" s="14" t="str">
        <f>IFERROR(__xludf.DUMMYFUNCTION("""COMPUTED_VALUE"""),"Admin (Migrasi)")</f>
        <v>Admin (Migrasi)</v>
      </c>
      <c r="F4331" s="14" t="str">
        <f>IFERROR(__xludf.DUMMYFUNCTION("""COMPUTED_VALUE"""),"SELESAI (VIA PERMOHONAN)")</f>
        <v>SELESAI (VIA PERMOHONAN)</v>
      </c>
      <c r="G4331" s="17">
        <f>IFERROR(__xludf.DUMMYFUNCTION("""COMPUTED_VALUE"""),45966.70616792824)</f>
        <v>45966.70617</v>
      </c>
      <c r="H4331" s="14" t="str">
        <f>IFERROR(__xludf.DUMMYFUNCTION("""COMPUTED_VALUE"""),"Admin (Migrasi)")</f>
        <v>Admin (Migrasi)</v>
      </c>
      <c r="I4331" s="13" t="str">
        <f>IFERROR(__xludf.DUMMYFUNCTION("""COMPUTED_VALUE"""),"SELESAI (VIA PERMOHONAN)")</f>
        <v>SELESAI (VIA PERMOHONAN)</v>
      </c>
      <c r="J4331" s="17">
        <f>IFERROR(__xludf.DUMMYFUNCTION("""COMPUTED_VALUE"""),45966.7062)</f>
        <v>45966.7062</v>
      </c>
      <c r="K4331" s="13" t="str">
        <f>IFERROR(__xludf.DUMMYFUNCTION("""COMPUTED_VALUE"""),"Selesai")</f>
        <v>Selesai</v>
      </c>
      <c r="L4331" s="17">
        <f>IFERROR(__xludf.DUMMYFUNCTION("""COMPUTED_VALUE"""),45966.7062)</f>
        <v>45966.7062</v>
      </c>
      <c r="M4331" s="13"/>
      <c r="N4331" s="13" t="str">
        <f>IFERROR(__xludf.DUMMYFUNCTION("""COMPUTED_VALUE"""),"")</f>
        <v/>
      </c>
      <c r="O4331" s="13" t="str">
        <f t="shared" si="1"/>
        <v/>
      </c>
    </row>
    <row r="4332" ht="22.5" customHeight="1">
      <c r="B4332" s="13">
        <f>IFERROR(__xludf.DUMMYFUNCTION("""COMPUTED_VALUE"""),4327.0)</f>
        <v>4327</v>
      </c>
      <c r="C4332" s="13" t="str">
        <f>IFERROR(__xludf.DUMMYFUNCTION("""COMPUTED_VALUE"""),"M 1571/ SRENGSEM")</f>
        <v>M 1571/ SRENGSEM</v>
      </c>
      <c r="D4332" s="13" t="str">
        <f>IFERROR(__xludf.DUMMYFUNCTION("""COMPUTED_VALUE"""),"K/8/180925/1")</f>
        <v>K/8/180925/1</v>
      </c>
      <c r="E4332" s="14" t="str">
        <f>IFERROR(__xludf.DUMMYFUNCTION("""COMPUTED_VALUE"""),"Heri (BT)")</f>
        <v>Heri (BT)</v>
      </c>
      <c r="F4332" s="14" t="str">
        <f>IFERROR(__xludf.DUMMYFUNCTION("""COMPUTED_VALUE"""),"SELESAI (VIA PERMOHONAN)")</f>
        <v>SELESAI (VIA PERMOHONAN)</v>
      </c>
      <c r="G4332" s="17">
        <f>IFERROR(__xludf.DUMMYFUNCTION("""COMPUTED_VALUE"""),45968.47217376158)</f>
        <v>45968.47217</v>
      </c>
      <c r="H4332" s="14"/>
      <c r="I4332" s="13"/>
      <c r="J4332" s="17" t="str">
        <f>IFERROR(__xludf.DUMMYFUNCTION("""COMPUTED_VALUE"""),"")</f>
        <v/>
      </c>
      <c r="K4332" s="13" t="str">
        <f>IFERROR(__xludf.DUMMYFUNCTION("""COMPUTED_VALUE"""),"BT atau SU Belum Valid")</f>
        <v>BT atau SU Belum Valid</v>
      </c>
      <c r="L4332" s="13" t="str">
        <f>IFERROR(__xludf.DUMMYFUNCTION("""COMPUTED_VALUE"""),"")</f>
        <v/>
      </c>
      <c r="M4332" s="13"/>
      <c r="N4332" s="13" t="str">
        <f>IFERROR(__xludf.DUMMYFUNCTION("""COMPUTED_VALUE"""),"")</f>
        <v/>
      </c>
      <c r="O4332" s="13" t="str">
        <f t="shared" si="1"/>
        <v/>
      </c>
    </row>
    <row r="4333" ht="22.5" customHeight="1">
      <c r="B4333" s="13">
        <f>IFERROR(__xludf.DUMMYFUNCTION("""COMPUTED_VALUE"""),4328.0)</f>
        <v>4328</v>
      </c>
      <c r="C4333" s="13" t="str">
        <f>IFERROR(__xludf.DUMMYFUNCTION("""COMPUTED_VALUE"""),"M 1572/ SRENGSEM")</f>
        <v>M 1572/ SRENGSEM</v>
      </c>
      <c r="D4333" s="13" t="str">
        <f>IFERROR(__xludf.DUMMYFUNCTION("""COMPUTED_VALUE"""),"K/6/190925/1")</f>
        <v>K/6/190925/1</v>
      </c>
      <c r="E4333" s="14" t="str">
        <f>IFERROR(__xludf.DUMMYFUNCTION("""COMPUTED_VALUE"""),"Heri (BT)")</f>
        <v>Heri (BT)</v>
      </c>
      <c r="F4333" s="14" t="str">
        <f>IFERROR(__xludf.DUMMYFUNCTION("""COMPUTED_VALUE"""),"SELESAI (VIA PERMOHONAN)")</f>
        <v>SELESAI (VIA PERMOHONAN)</v>
      </c>
      <c r="G4333" s="17">
        <f>IFERROR(__xludf.DUMMYFUNCTION("""COMPUTED_VALUE"""),45968.472303206014)</f>
        <v>45968.4723</v>
      </c>
      <c r="H4333" s="14"/>
      <c r="I4333" s="13"/>
      <c r="J4333" s="17" t="str">
        <f>IFERROR(__xludf.DUMMYFUNCTION("""COMPUTED_VALUE"""),"")</f>
        <v/>
      </c>
      <c r="K4333" s="13" t="str">
        <f>IFERROR(__xludf.DUMMYFUNCTION("""COMPUTED_VALUE"""),"BT atau SU Belum Valid")</f>
        <v>BT atau SU Belum Valid</v>
      </c>
      <c r="L4333" s="13" t="str">
        <f>IFERROR(__xludf.DUMMYFUNCTION("""COMPUTED_VALUE"""),"")</f>
        <v/>
      </c>
      <c r="M4333" s="13"/>
      <c r="N4333" s="13" t="str">
        <f>IFERROR(__xludf.DUMMYFUNCTION("""COMPUTED_VALUE"""),"")</f>
        <v/>
      </c>
      <c r="O4333" s="13" t="str">
        <f t="shared" si="1"/>
        <v/>
      </c>
    </row>
    <row r="4334" ht="22.5" customHeight="1">
      <c r="B4334" s="13">
        <f>IFERROR(__xludf.DUMMYFUNCTION("""COMPUTED_VALUE"""),4329.0)</f>
        <v>4329</v>
      </c>
      <c r="C4334" s="13" t="str">
        <f>IFERROR(__xludf.DUMMYFUNCTION("""COMPUTED_VALUE"""),"M 318/ SUKABUMI INDAH")</f>
        <v>M 318/ SUKABUMI INDAH</v>
      </c>
      <c r="D4334" s="13" t="str">
        <f>IFERROR(__xludf.DUMMYFUNCTION("""COMPUTED_VALUE"""),"K/17/270825/1")</f>
        <v>K/17/270825/1</v>
      </c>
      <c r="E4334" s="14" t="str">
        <f>IFERROR(__xludf.DUMMYFUNCTION("""COMPUTED_VALUE"""),"Heri (BT)")</f>
        <v>Heri (BT)</v>
      </c>
      <c r="F4334" s="14" t="str">
        <f>IFERROR(__xludf.DUMMYFUNCTION("""COMPUTED_VALUE"""),"SELESAI (VIA PERMOHONAN)")</f>
        <v>SELESAI (VIA PERMOHONAN)</v>
      </c>
      <c r="G4334" s="17">
        <f>IFERROR(__xludf.DUMMYFUNCTION("""COMPUTED_VALUE"""),45968.4724266088)</f>
        <v>45968.47243</v>
      </c>
      <c r="H4334" s="14"/>
      <c r="I4334" s="13"/>
      <c r="J4334" s="17" t="str">
        <f>IFERROR(__xludf.DUMMYFUNCTION("""COMPUTED_VALUE"""),"")</f>
        <v/>
      </c>
      <c r="K4334" s="13" t="str">
        <f>IFERROR(__xludf.DUMMYFUNCTION("""COMPUTED_VALUE"""),"BT atau SU Belum Valid")</f>
        <v>BT atau SU Belum Valid</v>
      </c>
      <c r="L4334" s="13" t="str">
        <f>IFERROR(__xludf.DUMMYFUNCTION("""COMPUTED_VALUE"""),"")</f>
        <v/>
      </c>
      <c r="M4334" s="13"/>
      <c r="N4334" s="13" t="str">
        <f>IFERROR(__xludf.DUMMYFUNCTION("""COMPUTED_VALUE"""),"")</f>
        <v/>
      </c>
      <c r="O4334" s="13" t="str">
        <f t="shared" si="1"/>
        <v/>
      </c>
    </row>
    <row r="4335" ht="22.5" customHeight="1">
      <c r="B4335" s="13">
        <f>IFERROR(__xludf.DUMMYFUNCTION("""COMPUTED_VALUE"""),4330.0)</f>
        <v>4330</v>
      </c>
      <c r="C4335" s="13" t="str">
        <f>IFERROR(__xludf.DUMMYFUNCTION("""COMPUTED_VALUE"""),"B 506/ CAMPANG JAYA")</f>
        <v>B 506/ CAMPANG JAYA</v>
      </c>
      <c r="D4335" s="13" t="str">
        <f>IFERROR(__xludf.DUMMYFUNCTION("""COMPUTED_VALUE"""),"K/34/090925/1")</f>
        <v>K/34/090925/1</v>
      </c>
      <c r="E4335" s="14" t="str">
        <f>IFERROR(__xludf.DUMMYFUNCTION("""COMPUTED_VALUE"""),"Heri (BT)")</f>
        <v>Heri (BT)</v>
      </c>
      <c r="F4335" s="14" t="str">
        <f>IFERROR(__xludf.DUMMYFUNCTION("""COMPUTED_VALUE"""),"SELESAI (VIA PERMOHONAN)")</f>
        <v>SELESAI (VIA PERMOHONAN)</v>
      </c>
      <c r="G4335" s="17">
        <f>IFERROR(__xludf.DUMMYFUNCTION("""COMPUTED_VALUE"""),45968.47256871528)</f>
        <v>45968.47257</v>
      </c>
      <c r="H4335" s="14"/>
      <c r="I4335" s="13"/>
      <c r="J4335" s="17" t="str">
        <f>IFERROR(__xludf.DUMMYFUNCTION("""COMPUTED_VALUE"""),"")</f>
        <v/>
      </c>
      <c r="K4335" s="13" t="str">
        <f>IFERROR(__xludf.DUMMYFUNCTION("""COMPUTED_VALUE"""),"BT atau SU Belum Valid")</f>
        <v>BT atau SU Belum Valid</v>
      </c>
      <c r="L4335" s="13" t="str">
        <f>IFERROR(__xludf.DUMMYFUNCTION("""COMPUTED_VALUE"""),"")</f>
        <v/>
      </c>
      <c r="M4335" s="13"/>
      <c r="N4335" s="13" t="str">
        <f>IFERROR(__xludf.DUMMYFUNCTION("""COMPUTED_VALUE"""),"")</f>
        <v/>
      </c>
      <c r="O4335" s="13" t="str">
        <f t="shared" si="1"/>
        <v/>
      </c>
    </row>
    <row r="4336" ht="22.5" customHeight="1">
      <c r="B4336" s="13">
        <f>IFERROR(__xludf.DUMMYFUNCTION("""COMPUTED_VALUE"""),4331.0)</f>
        <v>4331</v>
      </c>
      <c r="C4336" s="13" t="str">
        <f>IFERROR(__xludf.DUMMYFUNCTION("""COMPUTED_VALUE"""),"M. 5874/WAY KANDIS")</f>
        <v>M. 5874/WAY KANDIS</v>
      </c>
      <c r="D4336" s="13" t="str">
        <f>IFERROR(__xludf.DUMMYFUNCTION("""COMPUTED_VALUE"""),"K/18/230925/1")</f>
        <v>K/18/230925/1</v>
      </c>
      <c r="E4336" s="14" t="str">
        <f>IFERROR(__xludf.DUMMYFUNCTION("""COMPUTED_VALUE"""),"Heri (BT)")</f>
        <v>Heri (BT)</v>
      </c>
      <c r="F4336" s="14" t="str">
        <f>IFERROR(__xludf.DUMMYFUNCTION("""COMPUTED_VALUE"""),"SELESAI (VIA PERMOHONAN)")</f>
        <v>SELESAI (VIA PERMOHONAN)</v>
      </c>
      <c r="G4336" s="17">
        <f>IFERROR(__xludf.DUMMYFUNCTION("""COMPUTED_VALUE"""),45968.472715682874)</f>
        <v>45968.47272</v>
      </c>
      <c r="H4336" s="14"/>
      <c r="I4336" s="13"/>
      <c r="J4336" s="17" t="str">
        <f>IFERROR(__xludf.DUMMYFUNCTION("""COMPUTED_VALUE"""),"")</f>
        <v/>
      </c>
      <c r="K4336" s="13" t="str">
        <f>IFERROR(__xludf.DUMMYFUNCTION("""COMPUTED_VALUE"""),"BT atau SU Belum Valid")</f>
        <v>BT atau SU Belum Valid</v>
      </c>
      <c r="L4336" s="13" t="str">
        <f>IFERROR(__xludf.DUMMYFUNCTION("""COMPUTED_VALUE"""),"")</f>
        <v/>
      </c>
      <c r="M4336" s="13"/>
      <c r="N4336" s="13" t="str">
        <f>IFERROR(__xludf.DUMMYFUNCTION("""COMPUTED_VALUE"""),"")</f>
        <v/>
      </c>
      <c r="O4336" s="13" t="str">
        <f t="shared" si="1"/>
        <v/>
      </c>
    </row>
    <row r="4337" ht="22.5" customHeight="1">
      <c r="B4337" s="13">
        <f>IFERROR(__xludf.DUMMYFUNCTION("""COMPUTED_VALUE"""),4332.0)</f>
        <v>4332</v>
      </c>
      <c r="C4337" s="13" t="str">
        <f>IFERROR(__xludf.DUMMYFUNCTION("""COMPUTED_VALUE"""),"M.2131/WAY HALIM PERMAI")</f>
        <v>M.2131/WAY HALIM PERMAI</v>
      </c>
      <c r="D4337" s="13" t="str">
        <f>IFERROR(__xludf.DUMMYFUNCTION("""COMPUTED_VALUE"""),"K/26/230925/1")</f>
        <v>K/26/230925/1</v>
      </c>
      <c r="E4337" s="14" t="str">
        <f>IFERROR(__xludf.DUMMYFUNCTION("""COMPUTED_VALUE"""),"Heri (BT)")</f>
        <v>Heri (BT)</v>
      </c>
      <c r="F4337" s="14" t="str">
        <f>IFERROR(__xludf.DUMMYFUNCTION("""COMPUTED_VALUE"""),"SELESAI (VIA PERMOHONAN)")</f>
        <v>SELESAI (VIA PERMOHONAN)</v>
      </c>
      <c r="G4337" s="17">
        <f>IFERROR(__xludf.DUMMYFUNCTION("""COMPUTED_VALUE"""),45968.47286688657)</f>
        <v>45968.47287</v>
      </c>
      <c r="H4337" s="14"/>
      <c r="I4337" s="13"/>
      <c r="J4337" s="17" t="str">
        <f>IFERROR(__xludf.DUMMYFUNCTION("""COMPUTED_VALUE"""),"")</f>
        <v/>
      </c>
      <c r="K4337" s="13" t="str">
        <f>IFERROR(__xludf.DUMMYFUNCTION("""COMPUTED_VALUE"""),"BT atau SU Belum Valid")</f>
        <v>BT atau SU Belum Valid</v>
      </c>
      <c r="L4337" s="13" t="str">
        <f>IFERROR(__xludf.DUMMYFUNCTION("""COMPUTED_VALUE"""),"")</f>
        <v/>
      </c>
      <c r="M4337" s="13"/>
      <c r="N4337" s="13" t="str">
        <f>IFERROR(__xludf.DUMMYFUNCTION("""COMPUTED_VALUE"""),"")</f>
        <v/>
      </c>
      <c r="O4337" s="13" t="str">
        <f t="shared" si="1"/>
        <v/>
      </c>
    </row>
    <row r="4338" ht="22.5" customHeight="1">
      <c r="B4338" s="13">
        <f>IFERROR(__xludf.DUMMYFUNCTION("""COMPUTED_VALUE"""),4333.0)</f>
        <v>4333</v>
      </c>
      <c r="C4338" s="13" t="str">
        <f>IFERROR(__xludf.DUMMYFUNCTION("""COMPUTED_VALUE"""),"M.1929/SUMBER AGUNG")</f>
        <v>M.1929/SUMBER AGUNG</v>
      </c>
      <c r="D4338" s="13" t="str">
        <f>IFERROR(__xludf.DUMMYFUNCTION("""COMPUTED_VALUE"""),"K/6/020925/3")</f>
        <v>K/6/020925/3</v>
      </c>
      <c r="E4338" s="14" t="str">
        <f>IFERROR(__xludf.DUMMYFUNCTION("""COMPUTED_VALUE"""),"Heri (BT)")</f>
        <v>Heri (BT)</v>
      </c>
      <c r="F4338" s="14" t="str">
        <f>IFERROR(__xludf.DUMMYFUNCTION("""COMPUTED_VALUE"""),"SELESAI (VIA PERMOHONAN)")</f>
        <v>SELESAI (VIA PERMOHONAN)</v>
      </c>
      <c r="G4338" s="17">
        <f>IFERROR(__xludf.DUMMYFUNCTION("""COMPUTED_VALUE"""),45968.473079641204)</f>
        <v>45968.47308</v>
      </c>
      <c r="H4338" s="14"/>
      <c r="I4338" s="13"/>
      <c r="J4338" s="17" t="str">
        <f>IFERROR(__xludf.DUMMYFUNCTION("""COMPUTED_VALUE"""),"")</f>
        <v/>
      </c>
      <c r="K4338" s="13" t="str">
        <f>IFERROR(__xludf.DUMMYFUNCTION("""COMPUTED_VALUE"""),"BT atau SU Belum Valid")</f>
        <v>BT atau SU Belum Valid</v>
      </c>
      <c r="L4338" s="13" t="str">
        <f>IFERROR(__xludf.DUMMYFUNCTION("""COMPUTED_VALUE"""),"")</f>
        <v/>
      </c>
      <c r="M4338" s="13"/>
      <c r="N4338" s="13" t="str">
        <f>IFERROR(__xludf.DUMMYFUNCTION("""COMPUTED_VALUE"""),"")</f>
        <v/>
      </c>
      <c r="O4338" s="13" t="str">
        <f t="shared" si="1"/>
        <v/>
      </c>
    </row>
    <row r="4339" ht="22.5" customHeight="1">
      <c r="B4339" s="13">
        <f>IFERROR(__xludf.DUMMYFUNCTION("""COMPUTED_VALUE"""),4334.0)</f>
        <v>4334</v>
      </c>
      <c r="C4339" s="13" t="str">
        <f>IFERROR(__xludf.DUMMYFUNCTION("""COMPUTED_VALUE"""),"M. 3137/KEMILING PERMAI")</f>
        <v>M. 3137/KEMILING PERMAI</v>
      </c>
      <c r="D4339" s="13" t="str">
        <f>IFERROR(__xludf.DUMMYFUNCTION("""COMPUTED_VALUE"""),"K/20/031025/1")</f>
        <v>K/20/031025/1</v>
      </c>
      <c r="E4339" s="14" t="str">
        <f>IFERROR(__xludf.DUMMYFUNCTION("""COMPUTED_VALUE"""),"Heri (BT)")</f>
        <v>Heri (BT)</v>
      </c>
      <c r="F4339" s="14" t="str">
        <f>IFERROR(__xludf.DUMMYFUNCTION("""COMPUTED_VALUE"""),"SELESAI (VIA PERMOHONAN)")</f>
        <v>SELESAI (VIA PERMOHONAN)</v>
      </c>
      <c r="G4339" s="17">
        <f>IFERROR(__xludf.DUMMYFUNCTION("""COMPUTED_VALUE"""),45968.473232268516)</f>
        <v>45968.47323</v>
      </c>
      <c r="H4339" s="14"/>
      <c r="I4339" s="13"/>
      <c r="J4339" s="17" t="str">
        <f>IFERROR(__xludf.DUMMYFUNCTION("""COMPUTED_VALUE"""),"")</f>
        <v/>
      </c>
      <c r="K4339" s="13" t="str">
        <f>IFERROR(__xludf.DUMMYFUNCTION("""COMPUTED_VALUE"""),"BT atau SU Belum Valid")</f>
        <v>BT atau SU Belum Valid</v>
      </c>
      <c r="L4339" s="13" t="str">
        <f>IFERROR(__xludf.DUMMYFUNCTION("""COMPUTED_VALUE"""),"")</f>
        <v/>
      </c>
      <c r="M4339" s="13"/>
      <c r="N4339" s="13" t="str">
        <f>IFERROR(__xludf.DUMMYFUNCTION("""COMPUTED_VALUE"""),"")</f>
        <v/>
      </c>
      <c r="O4339" s="13" t="str">
        <f t="shared" si="1"/>
        <v/>
      </c>
    </row>
    <row r="4340" ht="22.5" customHeight="1">
      <c r="B4340" s="13">
        <f>IFERROR(__xludf.DUMMYFUNCTION("""COMPUTED_VALUE"""),4335.0)</f>
        <v>4335</v>
      </c>
      <c r="C4340" s="13" t="str">
        <f>IFERROR(__xludf.DUMMYFUNCTION("""COMPUTED_VALUE"""),"B. 136/RAJABASA RAYA")</f>
        <v>B. 136/RAJABASA RAYA</v>
      </c>
      <c r="D4340" s="13" t="str">
        <f>IFERROR(__xludf.DUMMYFUNCTION("""COMPUTED_VALUE"""),"K/16/161025/1")</f>
        <v>K/16/161025/1</v>
      </c>
      <c r="E4340" s="14" t="str">
        <f>IFERROR(__xludf.DUMMYFUNCTION("""COMPUTED_VALUE"""),"Heri (BT)")</f>
        <v>Heri (BT)</v>
      </c>
      <c r="F4340" s="14" t="str">
        <f>IFERROR(__xludf.DUMMYFUNCTION("""COMPUTED_VALUE"""),"SELESAI (VIA PERMOHONAN)")</f>
        <v>SELESAI (VIA PERMOHONAN)</v>
      </c>
      <c r="G4340" s="17">
        <f>IFERROR(__xludf.DUMMYFUNCTION("""COMPUTED_VALUE"""),45968.47348929398)</f>
        <v>45968.47349</v>
      </c>
      <c r="H4340" s="14"/>
      <c r="I4340" s="13"/>
      <c r="J4340" s="17" t="str">
        <f>IFERROR(__xludf.DUMMYFUNCTION("""COMPUTED_VALUE"""),"")</f>
        <v/>
      </c>
      <c r="K4340" s="13" t="str">
        <f>IFERROR(__xludf.DUMMYFUNCTION("""COMPUTED_VALUE"""),"BT atau SU Belum Valid")</f>
        <v>BT atau SU Belum Valid</v>
      </c>
      <c r="L4340" s="13" t="str">
        <f>IFERROR(__xludf.DUMMYFUNCTION("""COMPUTED_VALUE"""),"")</f>
        <v/>
      </c>
      <c r="M4340" s="13"/>
      <c r="N4340" s="13" t="str">
        <f>IFERROR(__xludf.DUMMYFUNCTION("""COMPUTED_VALUE"""),"")</f>
        <v/>
      </c>
      <c r="O4340" s="13" t="str">
        <f t="shared" si="1"/>
        <v/>
      </c>
    </row>
    <row r="4341" ht="22.5" customHeight="1">
      <c r="B4341" s="13">
        <f>IFERROR(__xludf.DUMMYFUNCTION("""COMPUTED_VALUE"""),4336.0)</f>
        <v>4336</v>
      </c>
      <c r="C4341" s="13" t="str">
        <f>IFERROR(__xludf.DUMMYFUNCTION("""COMPUTED_VALUE"""),"B. 1377/PINANG JAYA")</f>
        <v>B. 1377/PINANG JAYA</v>
      </c>
      <c r="D4341" s="13" t="str">
        <f>IFERROR(__xludf.DUMMYFUNCTION("""COMPUTED_VALUE"""),"K/13/161025/1")</f>
        <v>K/13/161025/1</v>
      </c>
      <c r="E4341" s="14" t="str">
        <f>IFERROR(__xludf.DUMMYFUNCTION("""COMPUTED_VALUE"""),"Heri (BT)")</f>
        <v>Heri (BT)</v>
      </c>
      <c r="F4341" s="14" t="str">
        <f>IFERROR(__xludf.DUMMYFUNCTION("""COMPUTED_VALUE"""),"SELESAI (VIA PERMOHONAN)")</f>
        <v>SELESAI (VIA PERMOHONAN)</v>
      </c>
      <c r="G4341" s="17">
        <f>IFERROR(__xludf.DUMMYFUNCTION("""COMPUTED_VALUE"""),45968.47401853009)</f>
        <v>45968.47402</v>
      </c>
      <c r="H4341" s="14"/>
      <c r="I4341" s="13"/>
      <c r="J4341" s="17" t="str">
        <f>IFERROR(__xludf.DUMMYFUNCTION("""COMPUTED_VALUE"""),"")</f>
        <v/>
      </c>
      <c r="K4341" s="13" t="str">
        <f>IFERROR(__xludf.DUMMYFUNCTION("""COMPUTED_VALUE"""),"BT atau SU Belum Valid")</f>
        <v>BT atau SU Belum Valid</v>
      </c>
      <c r="L4341" s="13" t="str">
        <f>IFERROR(__xludf.DUMMYFUNCTION("""COMPUTED_VALUE"""),"")</f>
        <v/>
      </c>
      <c r="M4341" s="13"/>
      <c r="N4341" s="13" t="str">
        <f>IFERROR(__xludf.DUMMYFUNCTION("""COMPUTED_VALUE"""),"")</f>
        <v/>
      </c>
      <c r="O4341" s="13" t="str">
        <f t="shared" si="1"/>
        <v/>
      </c>
    </row>
    <row r="4342" ht="22.5" customHeight="1">
      <c r="B4342" s="13">
        <f>IFERROR(__xludf.DUMMYFUNCTION("""COMPUTED_VALUE"""),4337.0)</f>
        <v>4337</v>
      </c>
      <c r="C4342" s="13" t="str">
        <f>IFERROR(__xludf.DUMMYFUNCTION("""COMPUTED_VALUE"""),"M. 1604/PENGAJARAN ")</f>
        <v>M. 1604/PENGAJARAN </v>
      </c>
      <c r="D4342" s="13" t="str">
        <f>IFERROR(__xludf.DUMMYFUNCTION("""COMPUTED_VALUE"""),"K/6/170925/1")</f>
        <v>K/6/170925/1</v>
      </c>
      <c r="E4342" s="14" t="str">
        <f>IFERROR(__xludf.DUMMYFUNCTION("""COMPUTED_VALUE"""),"Heri (BT)")</f>
        <v>Heri (BT)</v>
      </c>
      <c r="F4342" s="14" t="str">
        <f>IFERROR(__xludf.DUMMYFUNCTION("""COMPUTED_VALUE"""),"SELESAI (VIA PERMOHONAN)")</f>
        <v>SELESAI (VIA PERMOHONAN)</v>
      </c>
      <c r="G4342" s="17">
        <f>IFERROR(__xludf.DUMMYFUNCTION("""COMPUTED_VALUE"""),45968.47421327546)</f>
        <v>45968.47421</v>
      </c>
      <c r="H4342" s="14"/>
      <c r="I4342" s="13"/>
      <c r="J4342" s="17" t="str">
        <f>IFERROR(__xludf.DUMMYFUNCTION("""COMPUTED_VALUE"""),"")</f>
        <v/>
      </c>
      <c r="K4342" s="13" t="str">
        <f>IFERROR(__xludf.DUMMYFUNCTION("""COMPUTED_VALUE"""),"BT atau SU Belum Valid")</f>
        <v>BT atau SU Belum Valid</v>
      </c>
      <c r="L4342" s="13" t="str">
        <f>IFERROR(__xludf.DUMMYFUNCTION("""COMPUTED_VALUE"""),"")</f>
        <v/>
      </c>
      <c r="M4342" s="13"/>
      <c r="N4342" s="13" t="str">
        <f>IFERROR(__xludf.DUMMYFUNCTION("""COMPUTED_VALUE"""),"")</f>
        <v/>
      </c>
      <c r="O4342" s="13" t="str">
        <f t="shared" si="1"/>
        <v/>
      </c>
    </row>
    <row r="4343" ht="22.5" customHeight="1">
      <c r="B4343" s="13">
        <f>IFERROR(__xludf.DUMMYFUNCTION("""COMPUTED_VALUE"""),4338.0)</f>
        <v>4338</v>
      </c>
      <c r="C4343" s="13" t="str">
        <f>IFERROR(__xludf.DUMMYFUNCTION("""COMPUTED_VALUE"""),"M.726/RAJABASA PEMUKA")</f>
        <v>M.726/RAJABASA PEMUKA</v>
      </c>
      <c r="D4343" s="13" t="str">
        <f>IFERROR(__xludf.DUMMYFUNCTION("""COMPUTED_VALUE"""),"L/12/161025/1")</f>
        <v>L/12/161025/1</v>
      </c>
      <c r="E4343" s="14" t="str">
        <f>IFERROR(__xludf.DUMMYFUNCTION("""COMPUTED_VALUE"""),"Heri (BT)")</f>
        <v>Heri (BT)</v>
      </c>
      <c r="F4343" s="14" t="str">
        <f>IFERROR(__xludf.DUMMYFUNCTION("""COMPUTED_VALUE"""),"SELESAI (VIA PERMOHONAN)")</f>
        <v>SELESAI (VIA PERMOHONAN)</v>
      </c>
      <c r="G4343" s="17">
        <f>IFERROR(__xludf.DUMMYFUNCTION("""COMPUTED_VALUE"""),45968.47450145833)</f>
        <v>45968.4745</v>
      </c>
      <c r="H4343" s="14"/>
      <c r="I4343" s="13"/>
      <c r="J4343" s="17" t="str">
        <f>IFERROR(__xludf.DUMMYFUNCTION("""COMPUTED_VALUE"""),"")</f>
        <v/>
      </c>
      <c r="K4343" s="13" t="str">
        <f>IFERROR(__xludf.DUMMYFUNCTION("""COMPUTED_VALUE"""),"BT atau SU Belum Valid")</f>
        <v>BT atau SU Belum Valid</v>
      </c>
      <c r="L4343" s="13" t="str">
        <f>IFERROR(__xludf.DUMMYFUNCTION("""COMPUTED_VALUE"""),"")</f>
        <v/>
      </c>
      <c r="M4343" s="13"/>
      <c r="N4343" s="13" t="str">
        <f>IFERROR(__xludf.DUMMYFUNCTION("""COMPUTED_VALUE"""),"")</f>
        <v/>
      </c>
      <c r="O4343" s="13" t="str">
        <f t="shared" si="1"/>
        <v/>
      </c>
    </row>
    <row r="4344" ht="22.5" customHeight="1">
      <c r="B4344" s="13">
        <f>IFERROR(__xludf.DUMMYFUNCTION("""COMPUTED_VALUE"""),4339.0)</f>
        <v>4339</v>
      </c>
      <c r="C4344" s="13" t="str">
        <f>IFERROR(__xludf.DUMMYFUNCTION("""COMPUTED_VALUE"""),"B.300/PEMATANG WANGI")</f>
        <v>B.300/PEMATANG WANGI</v>
      </c>
      <c r="D4344" s="13" t="str">
        <f>IFERROR(__xludf.DUMMYFUNCTION("""COMPUTED_VALUE"""),"")</f>
        <v/>
      </c>
      <c r="E4344" s="14" t="str">
        <f>IFERROR(__xludf.DUMMYFUNCTION("""COMPUTED_VALUE"""),"Heri (BT)")</f>
        <v>Heri (BT)</v>
      </c>
      <c r="F4344" s="14" t="str">
        <f>IFERROR(__xludf.DUMMYFUNCTION("""COMPUTED_VALUE"""),"SELESAI (VIA PERMOHONAN)")</f>
        <v>SELESAI (VIA PERMOHONAN)</v>
      </c>
      <c r="G4344" s="17">
        <f>IFERROR(__xludf.DUMMYFUNCTION("""COMPUTED_VALUE"""),45968.474820868054)</f>
        <v>45968.47482</v>
      </c>
      <c r="H4344" s="14"/>
      <c r="I4344" s="13"/>
      <c r="J4344" s="17" t="str">
        <f>IFERROR(__xludf.DUMMYFUNCTION("""COMPUTED_VALUE"""),"")</f>
        <v/>
      </c>
      <c r="K4344" s="13" t="str">
        <f>IFERROR(__xludf.DUMMYFUNCTION("""COMPUTED_VALUE"""),"")</f>
        <v/>
      </c>
      <c r="L4344" s="13" t="str">
        <f>IFERROR(__xludf.DUMMYFUNCTION("""COMPUTED_VALUE"""),"")</f>
        <v/>
      </c>
      <c r="M4344" s="13"/>
      <c r="N4344" s="13" t="str">
        <f>IFERROR(__xludf.DUMMYFUNCTION("""COMPUTED_VALUE"""),"")</f>
        <v/>
      </c>
      <c r="O4344" s="13" t="str">
        <f t="shared" si="1"/>
        <v/>
      </c>
    </row>
    <row r="4345" ht="22.5" customHeight="1">
      <c r="B4345" s="13">
        <f>IFERROR(__xludf.DUMMYFUNCTION("""COMPUTED_VALUE"""),4340.0)</f>
        <v>4340</v>
      </c>
      <c r="C4345" s="13" t="str">
        <f>IFERROR(__xludf.DUMMYFUNCTION("""COMPUTED_VALUE"""),"M. 11922/ Rajabasa")</f>
        <v>M. 11922/ Rajabasa</v>
      </c>
      <c r="D4345" s="13" t="str">
        <f>IFERROR(__xludf.DUMMYFUNCTION("""COMPUTED_VALUE"""),"K/26/110625/1")</f>
        <v>K/26/110625/1</v>
      </c>
      <c r="E4345" s="14" t="str">
        <f>IFERROR(__xludf.DUMMYFUNCTION("""COMPUTED_VALUE"""),"Heri (BT)")</f>
        <v>Heri (BT)</v>
      </c>
      <c r="F4345" s="14" t="str">
        <f>IFERROR(__xludf.DUMMYFUNCTION("""COMPUTED_VALUE"""),"SELESAI (VIA PERMOHONAN)")</f>
        <v>SELESAI (VIA PERMOHONAN)</v>
      </c>
      <c r="G4345" s="17">
        <f>IFERROR(__xludf.DUMMYFUNCTION("""COMPUTED_VALUE"""),45968.475040405094)</f>
        <v>45968.47504</v>
      </c>
      <c r="H4345" s="14"/>
      <c r="I4345" s="13"/>
      <c r="J4345" s="17" t="str">
        <f>IFERROR(__xludf.DUMMYFUNCTION("""COMPUTED_VALUE"""),"")</f>
        <v/>
      </c>
      <c r="K4345" s="13" t="str">
        <f>IFERROR(__xludf.DUMMYFUNCTION("""COMPUTED_VALUE"""),"BT atau SU Belum Valid")</f>
        <v>BT atau SU Belum Valid</v>
      </c>
      <c r="L4345" s="13" t="str">
        <f>IFERROR(__xludf.DUMMYFUNCTION("""COMPUTED_VALUE"""),"")</f>
        <v/>
      </c>
      <c r="M4345" s="13"/>
      <c r="N4345" s="13" t="str">
        <f>IFERROR(__xludf.DUMMYFUNCTION("""COMPUTED_VALUE"""),"")</f>
        <v/>
      </c>
      <c r="O4345" s="13" t="str">
        <f t="shared" si="1"/>
        <v/>
      </c>
    </row>
    <row r="4346" ht="22.5" customHeight="1">
      <c r="B4346" s="13">
        <f>IFERROR(__xludf.DUMMYFUNCTION("""COMPUTED_VALUE"""),4341.0)</f>
        <v>4341</v>
      </c>
      <c r="C4346" s="13" t="str">
        <f>IFERROR(__xludf.DUMMYFUNCTION("""COMPUTED_VALUE"""),"M.237/PESAWAHAN")</f>
        <v>M.237/PESAWAHAN</v>
      </c>
      <c r="D4346" s="13" t="str">
        <f>IFERROR(__xludf.DUMMYFUNCTION("""COMPUTED_VALUE"""),"")</f>
        <v/>
      </c>
      <c r="E4346" s="14" t="str">
        <f>IFERROR(__xludf.DUMMYFUNCTION("""COMPUTED_VALUE"""),"Heri (BT)")</f>
        <v>Heri (BT)</v>
      </c>
      <c r="F4346" s="14" t="str">
        <f>IFERROR(__xludf.DUMMYFUNCTION("""COMPUTED_VALUE"""),"SELESAI (VIA PERMOHONAN)")</f>
        <v>SELESAI (VIA PERMOHONAN)</v>
      </c>
      <c r="G4346" s="17">
        <f>IFERROR(__xludf.DUMMYFUNCTION("""COMPUTED_VALUE"""),45968.47536650463)</f>
        <v>45968.47537</v>
      </c>
      <c r="H4346" s="14"/>
      <c r="I4346" s="13"/>
      <c r="J4346" s="17" t="str">
        <f>IFERROR(__xludf.DUMMYFUNCTION("""COMPUTED_VALUE"""),"")</f>
        <v/>
      </c>
      <c r="K4346" s="13" t="str">
        <f>IFERROR(__xludf.DUMMYFUNCTION("""COMPUTED_VALUE"""),"")</f>
        <v/>
      </c>
      <c r="L4346" s="13" t="str">
        <f>IFERROR(__xludf.DUMMYFUNCTION("""COMPUTED_VALUE"""),"")</f>
        <v/>
      </c>
      <c r="M4346" s="13"/>
      <c r="N4346" s="13" t="str">
        <f>IFERROR(__xludf.DUMMYFUNCTION("""COMPUTED_VALUE"""),"")</f>
        <v/>
      </c>
      <c r="O4346" s="13" t="str">
        <f t="shared" si="1"/>
        <v/>
      </c>
    </row>
    <row r="4347" ht="22.5" customHeight="1">
      <c r="B4347" s="13">
        <f>IFERROR(__xludf.DUMMYFUNCTION("""COMPUTED_VALUE"""),4342.0)</f>
        <v>4342</v>
      </c>
      <c r="C4347" s="13" t="str">
        <f>IFERROR(__xludf.DUMMYFUNCTION("""COMPUTED_VALUE"""),"M. 10004/Rajabasa")</f>
        <v>M. 10004/Rajabasa</v>
      </c>
      <c r="D4347" s="13" t="str">
        <f>IFERROR(__xludf.DUMMYFUNCTION("""COMPUTED_VALUE"""),"ABIFMVYJ/AB063")</f>
        <v>ABIFMVYJ/AB063</v>
      </c>
      <c r="E4347" s="14" t="str">
        <f>IFERROR(__xludf.DUMMYFUNCTION("""COMPUTED_VALUE"""),"Heri (BT)")</f>
        <v>Heri (BT)</v>
      </c>
      <c r="F4347" s="14" t="str">
        <f>IFERROR(__xludf.DUMMYFUNCTION("""COMPUTED_VALUE"""),"SELESAI (VIA PERMOHONAN)")</f>
        <v>SELESAI (VIA PERMOHONAN)</v>
      </c>
      <c r="G4347" s="17">
        <f>IFERROR(__xludf.DUMMYFUNCTION("""COMPUTED_VALUE"""),45968.47597584491)</f>
        <v>45968.47598</v>
      </c>
      <c r="H4347" s="14"/>
      <c r="I4347" s="13"/>
      <c r="J4347" s="17" t="str">
        <f>IFERROR(__xludf.DUMMYFUNCTION("""COMPUTED_VALUE"""),"")</f>
        <v/>
      </c>
      <c r="K4347" s="13" t="str">
        <f>IFERROR(__xludf.DUMMYFUNCTION("""COMPUTED_VALUE"""),"BT atau SU Belum Valid")</f>
        <v>BT atau SU Belum Valid</v>
      </c>
      <c r="L4347" s="13" t="str">
        <f>IFERROR(__xludf.DUMMYFUNCTION("""COMPUTED_VALUE"""),"")</f>
        <v/>
      </c>
      <c r="M4347" s="13"/>
      <c r="N4347" s="13" t="str">
        <f>IFERROR(__xludf.DUMMYFUNCTION("""COMPUTED_VALUE"""),"")</f>
        <v/>
      </c>
      <c r="O4347" s="13" t="str">
        <f t="shared" si="1"/>
        <v/>
      </c>
    </row>
    <row r="4348" ht="22.5" customHeight="1">
      <c r="B4348" s="13">
        <f>IFERROR(__xludf.DUMMYFUNCTION("""COMPUTED_VALUE"""),4343.0)</f>
        <v>4343</v>
      </c>
      <c r="C4348" s="13" t="str">
        <f>IFERROR(__xludf.DUMMYFUNCTION("""COMPUTED_VALUE"""),"SHGB 852/CAMPANG RAYA")</f>
        <v>SHGB 852/CAMPANG RAYA</v>
      </c>
      <c r="D4348" s="13" t="str">
        <f>IFERROR(__xludf.DUMMYFUNCTION("""COMPUTED_VALUE"""),"L/20/141025/1")</f>
        <v>L/20/141025/1</v>
      </c>
      <c r="E4348" s="14" t="str">
        <f>IFERROR(__xludf.DUMMYFUNCTION("""COMPUTED_VALUE"""),"Heri (BT)")</f>
        <v>Heri (BT)</v>
      </c>
      <c r="F4348" s="14" t="str">
        <f>IFERROR(__xludf.DUMMYFUNCTION("""COMPUTED_VALUE"""),"SELESAI (VIA PERMOHONAN)")</f>
        <v>SELESAI (VIA PERMOHONAN)</v>
      </c>
      <c r="G4348" s="17">
        <f>IFERROR(__xludf.DUMMYFUNCTION("""COMPUTED_VALUE"""),45968.47650495371)</f>
        <v>45968.4765</v>
      </c>
      <c r="H4348" s="14"/>
      <c r="I4348" s="13"/>
      <c r="J4348" s="17" t="str">
        <f>IFERROR(__xludf.DUMMYFUNCTION("""COMPUTED_VALUE"""),"")</f>
        <v/>
      </c>
      <c r="K4348" s="13" t="str">
        <f>IFERROR(__xludf.DUMMYFUNCTION("""COMPUTED_VALUE"""),"BT atau SU Belum Valid")</f>
        <v>BT atau SU Belum Valid</v>
      </c>
      <c r="L4348" s="13" t="str">
        <f>IFERROR(__xludf.DUMMYFUNCTION("""COMPUTED_VALUE"""),"")</f>
        <v/>
      </c>
      <c r="M4348" s="13"/>
      <c r="N4348" s="13" t="str">
        <f>IFERROR(__xludf.DUMMYFUNCTION("""COMPUTED_VALUE"""),"")</f>
        <v/>
      </c>
      <c r="O4348" s="13" t="str">
        <f t="shared" si="1"/>
        <v/>
      </c>
    </row>
    <row r="4349" ht="22.5" customHeight="1">
      <c r="B4349" s="13">
        <f>IFERROR(__xludf.DUMMYFUNCTION("""COMPUTED_VALUE"""),4344.0)</f>
        <v>4344</v>
      </c>
      <c r="C4349" s="13" t="str">
        <f>IFERROR(__xludf.DUMMYFUNCTION("""COMPUTED_VALUE"""),"M. 861/SUMUR PUTRI")</f>
        <v>M. 861/SUMUR PUTRI</v>
      </c>
      <c r="D4349" s="13" t="str">
        <f>IFERROR(__xludf.DUMMYFUNCTION("""COMPUTED_VALUE"""),"L/30/141025/1")</f>
        <v>L/30/141025/1</v>
      </c>
      <c r="E4349" s="14" t="str">
        <f>IFERROR(__xludf.DUMMYFUNCTION("""COMPUTED_VALUE"""),"Heri (BT)")</f>
        <v>Heri (BT)</v>
      </c>
      <c r="F4349" s="14" t="str">
        <f>IFERROR(__xludf.DUMMYFUNCTION("""COMPUTED_VALUE"""),"SELESAI (VIA PERMOHONAN)")</f>
        <v>SELESAI (VIA PERMOHONAN)</v>
      </c>
      <c r="G4349" s="17">
        <f>IFERROR(__xludf.DUMMYFUNCTION("""COMPUTED_VALUE"""),45968.47695340277)</f>
        <v>45968.47695</v>
      </c>
      <c r="H4349" s="14"/>
      <c r="I4349" s="13"/>
      <c r="J4349" s="17" t="str">
        <f>IFERROR(__xludf.DUMMYFUNCTION("""COMPUTED_VALUE"""),"")</f>
        <v/>
      </c>
      <c r="K4349" s="13" t="str">
        <f>IFERROR(__xludf.DUMMYFUNCTION("""COMPUTED_VALUE"""),"BT atau SU Belum Valid")</f>
        <v>BT atau SU Belum Valid</v>
      </c>
      <c r="L4349" s="13" t="str">
        <f>IFERROR(__xludf.DUMMYFUNCTION("""COMPUTED_VALUE"""),"")</f>
        <v/>
      </c>
      <c r="M4349" s="13"/>
      <c r="N4349" s="13" t="str">
        <f>IFERROR(__xludf.DUMMYFUNCTION("""COMPUTED_VALUE"""),"")</f>
        <v/>
      </c>
      <c r="O4349" s="13" t="str">
        <f t="shared" si="1"/>
        <v/>
      </c>
    </row>
    <row r="4350" ht="22.5" customHeight="1">
      <c r="B4350" s="13">
        <f>IFERROR(__xludf.DUMMYFUNCTION("""COMPUTED_VALUE"""),4345.0)</f>
        <v>4345</v>
      </c>
      <c r="C4350" s="13" t="str">
        <f>IFERROR(__xludf.DUMMYFUNCTION("""COMPUTED_VALUE"""),"SHGB 772/CAMPANG RAYA")</f>
        <v>SHGB 772/CAMPANG RAYA</v>
      </c>
      <c r="D4350" s="13" t="str">
        <f>IFERROR(__xludf.DUMMYFUNCTION("""COMPUTED_VALUE"""),"L/18/141025/1")</f>
        <v>L/18/141025/1</v>
      </c>
      <c r="E4350" s="14" t="str">
        <f>IFERROR(__xludf.DUMMYFUNCTION("""COMPUTED_VALUE"""),"Heri (BT)")</f>
        <v>Heri (BT)</v>
      </c>
      <c r="F4350" s="14" t="str">
        <f>IFERROR(__xludf.DUMMYFUNCTION("""COMPUTED_VALUE"""),"SELESAI (VIA PERMOHONAN)")</f>
        <v>SELESAI (VIA PERMOHONAN)</v>
      </c>
      <c r="G4350" s="17">
        <f>IFERROR(__xludf.DUMMYFUNCTION("""COMPUTED_VALUE"""),45968.47722915509)</f>
        <v>45968.47723</v>
      </c>
      <c r="H4350" s="14"/>
      <c r="I4350" s="13"/>
      <c r="J4350" s="17" t="str">
        <f>IFERROR(__xludf.DUMMYFUNCTION("""COMPUTED_VALUE"""),"")</f>
        <v/>
      </c>
      <c r="K4350" s="13" t="str">
        <f>IFERROR(__xludf.DUMMYFUNCTION("""COMPUTED_VALUE"""),"BT atau SU Belum Valid")</f>
        <v>BT atau SU Belum Valid</v>
      </c>
      <c r="L4350" s="13" t="str">
        <f>IFERROR(__xludf.DUMMYFUNCTION("""COMPUTED_VALUE"""),"")</f>
        <v/>
      </c>
      <c r="M4350" s="13"/>
      <c r="N4350" s="13" t="str">
        <f>IFERROR(__xludf.DUMMYFUNCTION("""COMPUTED_VALUE"""),"")</f>
        <v/>
      </c>
      <c r="O4350" s="13" t="str">
        <f t="shared" si="1"/>
        <v/>
      </c>
    </row>
    <row r="4351" ht="22.5" customHeight="1">
      <c r="B4351" s="13">
        <f>IFERROR(__xludf.DUMMYFUNCTION("""COMPUTED_VALUE"""),4346.0)</f>
        <v>4346</v>
      </c>
      <c r="C4351" s="13" t="str">
        <f>IFERROR(__xludf.DUMMYFUNCTION("""COMPUTED_VALUE"""),"M. 332/BATU PUTU")</f>
        <v>M. 332/BATU PUTU</v>
      </c>
      <c r="D4351" s="13" t="str">
        <f>IFERROR(__xludf.DUMMYFUNCTION("""COMPUTED_VALUE"""),"L/16/171025/1")</f>
        <v>L/16/171025/1</v>
      </c>
      <c r="E4351" s="14" t="str">
        <f>IFERROR(__xludf.DUMMYFUNCTION("""COMPUTED_VALUE"""),"Heri (BT)")</f>
        <v>Heri (BT)</v>
      </c>
      <c r="F4351" s="14" t="str">
        <f>IFERROR(__xludf.DUMMYFUNCTION("""COMPUTED_VALUE"""),"SELESAI (VIA PERMOHONAN)")</f>
        <v>SELESAI (VIA PERMOHONAN)</v>
      </c>
      <c r="G4351" s="17">
        <f>IFERROR(__xludf.DUMMYFUNCTION("""COMPUTED_VALUE"""),45968.47753405092)</f>
        <v>45968.47753</v>
      </c>
      <c r="H4351" s="14"/>
      <c r="I4351" s="13"/>
      <c r="J4351" s="17" t="str">
        <f>IFERROR(__xludf.DUMMYFUNCTION("""COMPUTED_VALUE"""),"")</f>
        <v/>
      </c>
      <c r="K4351" s="13" t="str">
        <f>IFERROR(__xludf.DUMMYFUNCTION("""COMPUTED_VALUE"""),"BT atau SU Belum Valid")</f>
        <v>BT atau SU Belum Valid</v>
      </c>
      <c r="L4351" s="13" t="str">
        <f>IFERROR(__xludf.DUMMYFUNCTION("""COMPUTED_VALUE"""),"")</f>
        <v/>
      </c>
      <c r="M4351" s="13"/>
      <c r="N4351" s="13" t="str">
        <f>IFERROR(__xludf.DUMMYFUNCTION("""COMPUTED_VALUE"""),"")</f>
        <v/>
      </c>
      <c r="O4351" s="13" t="str">
        <f t="shared" si="1"/>
        <v/>
      </c>
    </row>
    <row r="4352" ht="22.5" customHeight="1">
      <c r="B4352" s="13">
        <f>IFERROR(__xludf.DUMMYFUNCTION("""COMPUTED_VALUE"""),4347.0)</f>
        <v>4347</v>
      </c>
      <c r="C4352" s="13" t="str">
        <f>IFERROR(__xludf.DUMMYFUNCTION("""COMPUTED_VALUE"""),"M.1396/LABUHAN DALAM")</f>
        <v>M.1396/LABUHAN DALAM</v>
      </c>
      <c r="D4352" s="13" t="str">
        <f>IFERROR(__xludf.DUMMYFUNCTION("""COMPUTED_VALUE"""),"L/3/161025/1")</f>
        <v>L/3/161025/1</v>
      </c>
      <c r="E4352" s="14" t="str">
        <f>IFERROR(__xludf.DUMMYFUNCTION("""COMPUTED_VALUE"""),"Heri (BT)")</f>
        <v>Heri (BT)</v>
      </c>
      <c r="F4352" s="14" t="str">
        <f>IFERROR(__xludf.DUMMYFUNCTION("""COMPUTED_VALUE"""),"SELESAI (VIA PERMOHONAN)")</f>
        <v>SELESAI (VIA PERMOHONAN)</v>
      </c>
      <c r="G4352" s="17">
        <f>IFERROR(__xludf.DUMMYFUNCTION("""COMPUTED_VALUE"""),45968.47781318287)</f>
        <v>45968.47781</v>
      </c>
      <c r="H4352" s="14"/>
      <c r="I4352" s="13"/>
      <c r="J4352" s="17" t="str">
        <f>IFERROR(__xludf.DUMMYFUNCTION("""COMPUTED_VALUE"""),"")</f>
        <v/>
      </c>
      <c r="K4352" s="13" t="str">
        <f>IFERROR(__xludf.DUMMYFUNCTION("""COMPUTED_VALUE"""),"BT atau SU Belum Valid")</f>
        <v>BT atau SU Belum Valid</v>
      </c>
      <c r="L4352" s="13" t="str">
        <f>IFERROR(__xludf.DUMMYFUNCTION("""COMPUTED_VALUE"""),"")</f>
        <v/>
      </c>
      <c r="M4352" s="13"/>
      <c r="N4352" s="13" t="str">
        <f>IFERROR(__xludf.DUMMYFUNCTION("""COMPUTED_VALUE"""),"")</f>
        <v/>
      </c>
      <c r="O4352" s="13" t="str">
        <f t="shared" si="1"/>
        <v/>
      </c>
    </row>
    <row r="4353" ht="22.5" customHeight="1">
      <c r="B4353" s="13">
        <f>IFERROR(__xludf.DUMMYFUNCTION("""COMPUTED_VALUE"""),4348.0)</f>
        <v>4348</v>
      </c>
      <c r="C4353" s="13" t="str">
        <f>IFERROR(__xludf.DUMMYFUNCTION("""COMPUTED_VALUE"""),"M. 52/JAGABAYA III")</f>
        <v>M. 52/JAGABAYA III</v>
      </c>
      <c r="D4353" s="13" t="str">
        <f>IFERROR(__xludf.DUMMYFUNCTION("""COMPUTED_VALUE"""),"")</f>
        <v/>
      </c>
      <c r="E4353" s="14" t="str">
        <f>IFERROR(__xludf.DUMMYFUNCTION("""COMPUTED_VALUE"""),"Heri (BT)")</f>
        <v>Heri (BT)</v>
      </c>
      <c r="F4353" s="14" t="str">
        <f>IFERROR(__xludf.DUMMYFUNCTION("""COMPUTED_VALUE"""),"SELESAI (VIA PERMOHONAN)")</f>
        <v>SELESAI (VIA PERMOHONAN)</v>
      </c>
      <c r="G4353" s="17">
        <f>IFERROR(__xludf.DUMMYFUNCTION("""COMPUTED_VALUE"""),45968.478185879634)</f>
        <v>45968.47819</v>
      </c>
      <c r="H4353" s="14"/>
      <c r="I4353" s="13"/>
      <c r="J4353" s="17" t="str">
        <f>IFERROR(__xludf.DUMMYFUNCTION("""COMPUTED_VALUE"""),"")</f>
        <v/>
      </c>
      <c r="K4353" s="13" t="str">
        <f>IFERROR(__xludf.DUMMYFUNCTION("""COMPUTED_VALUE"""),"")</f>
        <v/>
      </c>
      <c r="L4353" s="13" t="str">
        <f>IFERROR(__xludf.DUMMYFUNCTION("""COMPUTED_VALUE"""),"")</f>
        <v/>
      </c>
      <c r="M4353" s="13"/>
      <c r="N4353" s="13" t="str">
        <f>IFERROR(__xludf.DUMMYFUNCTION("""COMPUTED_VALUE"""),"")</f>
        <v/>
      </c>
      <c r="O4353" s="13" t="str">
        <f t="shared" si="1"/>
        <v/>
      </c>
    </row>
    <row r="4354" ht="22.5" customHeight="1">
      <c r="B4354" s="13">
        <f>IFERROR(__xludf.DUMMYFUNCTION("""COMPUTED_VALUE"""),4349.0)</f>
        <v>4349</v>
      </c>
      <c r="C4354" s="13" t="str">
        <f>IFERROR(__xludf.DUMMYFUNCTION("""COMPUTED_VALUE"""),"M. 4729/SUKADANA HAM")</f>
        <v>M. 4729/SUKADANA HAM</v>
      </c>
      <c r="D4354" s="13" t="str">
        <f>IFERROR(__xludf.DUMMYFUNCTION("""COMPUTED_VALUE"""),"K/5/120925/1")</f>
        <v>K/5/120925/1</v>
      </c>
      <c r="E4354" s="14" t="str">
        <f>IFERROR(__xludf.DUMMYFUNCTION("""COMPUTED_VALUE"""),"Heri (BT)")</f>
        <v>Heri (BT)</v>
      </c>
      <c r="F4354" s="14" t="str">
        <f>IFERROR(__xludf.DUMMYFUNCTION("""COMPUTED_VALUE"""),"SELESAI (VIA PERMOHONAN)")</f>
        <v>SELESAI (VIA PERMOHONAN)</v>
      </c>
      <c r="G4354" s="17">
        <f>IFERROR(__xludf.DUMMYFUNCTION("""COMPUTED_VALUE"""),45968.47845530092)</f>
        <v>45968.47846</v>
      </c>
      <c r="H4354" s="14"/>
      <c r="I4354" s="13"/>
      <c r="J4354" s="17" t="str">
        <f>IFERROR(__xludf.DUMMYFUNCTION("""COMPUTED_VALUE"""),"")</f>
        <v/>
      </c>
      <c r="K4354" s="13" t="str">
        <f>IFERROR(__xludf.DUMMYFUNCTION("""COMPUTED_VALUE"""),"BT atau SU Belum Valid")</f>
        <v>BT atau SU Belum Valid</v>
      </c>
      <c r="L4354" s="13" t="str">
        <f>IFERROR(__xludf.DUMMYFUNCTION("""COMPUTED_VALUE"""),"")</f>
        <v/>
      </c>
      <c r="M4354" s="13"/>
      <c r="N4354" s="13" t="str">
        <f>IFERROR(__xludf.DUMMYFUNCTION("""COMPUTED_VALUE"""),"")</f>
        <v/>
      </c>
      <c r="O4354" s="13" t="str">
        <f t="shared" si="1"/>
        <v/>
      </c>
    </row>
    <row r="4355" ht="22.5" customHeight="1">
      <c r="B4355" s="13">
        <f>IFERROR(__xludf.DUMMYFUNCTION("""COMPUTED_VALUE"""),4350.0)</f>
        <v>4350</v>
      </c>
      <c r="C4355" s="13" t="str">
        <f>IFERROR(__xludf.DUMMYFUNCTION("""COMPUTED_VALUE"""),"M 1547/ LABUHAN RATU RAYA")</f>
        <v>M 1547/ LABUHAN RATU RAYA</v>
      </c>
      <c r="D4355" s="13" t="str">
        <f>IFERROR(__xludf.DUMMYFUNCTION("""COMPUTED_VALUE"""),"K/39/101025/1")</f>
        <v>K/39/101025/1</v>
      </c>
      <c r="E4355" s="14" t="str">
        <f>IFERROR(__xludf.DUMMYFUNCTION("""COMPUTED_VALUE"""),"Heri (BT)")</f>
        <v>Heri (BT)</v>
      </c>
      <c r="F4355" s="14" t="str">
        <f>IFERROR(__xludf.DUMMYFUNCTION("""COMPUTED_VALUE"""),"SELESAI (VIA PERMOHONAN)")</f>
        <v>SELESAI (VIA PERMOHONAN)</v>
      </c>
      <c r="G4355" s="17">
        <f>IFERROR(__xludf.DUMMYFUNCTION("""COMPUTED_VALUE"""),45972.379014895836)</f>
        <v>45972.37901</v>
      </c>
      <c r="H4355" s="14"/>
      <c r="I4355" s="13"/>
      <c r="J4355" s="17" t="str">
        <f>IFERROR(__xludf.DUMMYFUNCTION("""COMPUTED_VALUE"""),"")</f>
        <v/>
      </c>
      <c r="K4355" s="13" t="str">
        <f>IFERROR(__xludf.DUMMYFUNCTION("""COMPUTED_VALUE"""),"BT atau SU Belum Valid")</f>
        <v>BT atau SU Belum Valid</v>
      </c>
      <c r="L4355" s="13" t="str">
        <f>IFERROR(__xludf.DUMMYFUNCTION("""COMPUTED_VALUE"""),"")</f>
        <v/>
      </c>
      <c r="M4355" s="13"/>
      <c r="N4355" s="13" t="str">
        <f>IFERROR(__xludf.DUMMYFUNCTION("""COMPUTED_VALUE"""),"")</f>
        <v/>
      </c>
      <c r="O4355" s="13" t="str">
        <f t="shared" si="1"/>
        <v/>
      </c>
    </row>
    <row r="4356" ht="22.5" customHeight="1">
      <c r="B4356" s="13">
        <f>IFERROR(__xludf.DUMMYFUNCTION("""COMPUTED_VALUE"""),4351.0)</f>
        <v>4351</v>
      </c>
      <c r="C4356" s="13" t="str">
        <f>IFERROR(__xludf.DUMMYFUNCTION("""COMPUTED_VALUE"""),"M. 131/Bilabong Jaya	")</f>
        <v>M. 131/Bilabong Jaya	</v>
      </c>
      <c r="D4356" s="13" t="str">
        <f>IFERROR(__xludf.DUMMYFUNCTION("""COMPUTED_VALUE"""),"K/13/011027/1")</f>
        <v>K/13/011027/1</v>
      </c>
      <c r="E4356" s="14" t="str">
        <f>IFERROR(__xludf.DUMMYFUNCTION("""COMPUTED_VALUE"""),"Heri (BT)")</f>
        <v>Heri (BT)</v>
      </c>
      <c r="F4356" s="14" t="str">
        <f>IFERROR(__xludf.DUMMYFUNCTION("""COMPUTED_VALUE"""),"SELESAI (VIA PERMOHONAN)")</f>
        <v>SELESAI (VIA PERMOHONAN)</v>
      </c>
      <c r="G4356" s="17">
        <f>IFERROR(__xludf.DUMMYFUNCTION("""COMPUTED_VALUE"""),45972.379589027776)</f>
        <v>45972.37959</v>
      </c>
      <c r="H4356" s="14"/>
      <c r="I4356" s="13"/>
      <c r="J4356" s="17" t="str">
        <f>IFERROR(__xludf.DUMMYFUNCTION("""COMPUTED_VALUE"""),"")</f>
        <v/>
      </c>
      <c r="K4356" s="13" t="str">
        <f>IFERROR(__xludf.DUMMYFUNCTION("""COMPUTED_VALUE"""),"BT atau SU Belum Valid")</f>
        <v>BT atau SU Belum Valid</v>
      </c>
      <c r="L4356" s="13" t="str">
        <f>IFERROR(__xludf.DUMMYFUNCTION("""COMPUTED_VALUE"""),"")</f>
        <v/>
      </c>
      <c r="M4356" s="13"/>
      <c r="N4356" s="13" t="str">
        <f>IFERROR(__xludf.DUMMYFUNCTION("""COMPUTED_VALUE"""),"")</f>
        <v/>
      </c>
      <c r="O4356" s="13" t="str">
        <f t="shared" si="1"/>
        <v/>
      </c>
    </row>
    <row r="4357" ht="22.5" customHeight="1">
      <c r="B4357" s="13">
        <f>IFERROR(__xludf.DUMMYFUNCTION("""COMPUTED_VALUE"""),4352.0)</f>
        <v>4352</v>
      </c>
      <c r="C4357" s="13" t="str">
        <f>IFERROR(__xludf.DUMMYFUNCTION("""COMPUTED_VALUE"""),"M. 5628/Langkapura	")</f>
        <v>M. 5628/Langkapura	</v>
      </c>
      <c r="D4357" s="13" t="str">
        <f>IFERROR(__xludf.DUMMYFUNCTION("""COMPUTED_VALUE"""),"K/30/011025/1")</f>
        <v>K/30/011025/1</v>
      </c>
      <c r="E4357" s="14" t="str">
        <f>IFERROR(__xludf.DUMMYFUNCTION("""COMPUTED_VALUE"""),"Heri (BT)")</f>
        <v>Heri (BT)</v>
      </c>
      <c r="F4357" s="14" t="str">
        <f>IFERROR(__xludf.DUMMYFUNCTION("""COMPUTED_VALUE"""),"SELESAI (VIA PERMOHONAN)")</f>
        <v>SELESAI (VIA PERMOHONAN)</v>
      </c>
      <c r="G4357" s="17">
        <f>IFERROR(__xludf.DUMMYFUNCTION("""COMPUTED_VALUE"""),45972.37977244213)</f>
        <v>45972.37977</v>
      </c>
      <c r="H4357" s="14"/>
      <c r="I4357" s="13"/>
      <c r="J4357" s="17" t="str">
        <f>IFERROR(__xludf.DUMMYFUNCTION("""COMPUTED_VALUE"""),"")</f>
        <v/>
      </c>
      <c r="K4357" s="13" t="str">
        <f>IFERROR(__xludf.DUMMYFUNCTION("""COMPUTED_VALUE"""),"BT atau SU Belum Valid")</f>
        <v>BT atau SU Belum Valid</v>
      </c>
      <c r="L4357" s="13" t="str">
        <f>IFERROR(__xludf.DUMMYFUNCTION("""COMPUTED_VALUE"""),"")</f>
        <v/>
      </c>
      <c r="M4357" s="13"/>
      <c r="N4357" s="13" t="str">
        <f>IFERROR(__xludf.DUMMYFUNCTION("""COMPUTED_VALUE"""),"")</f>
        <v/>
      </c>
      <c r="O4357" s="13" t="str">
        <f t="shared" si="1"/>
        <v/>
      </c>
    </row>
    <row r="4358" ht="22.5" customHeight="1">
      <c r="B4358" s="13">
        <f>IFERROR(__xludf.DUMMYFUNCTION("""COMPUTED_VALUE"""),4353.0)</f>
        <v>4353</v>
      </c>
      <c r="C4358" s="13" t="str">
        <f>IFERROR(__xludf.DUMMYFUNCTION("""COMPUTED_VALUE"""),"M 1226/ KALIAWI")</f>
        <v>M 1226/ KALIAWI</v>
      </c>
      <c r="D4358" s="13" t="str">
        <f>IFERROR(__xludf.DUMMYFUNCTION("""COMPUTED_VALUE"""),"K/31/250825/1")</f>
        <v>K/31/250825/1</v>
      </c>
      <c r="E4358" s="14" t="str">
        <f>IFERROR(__xludf.DUMMYFUNCTION("""COMPUTED_VALUE"""),"Heri (BT)")</f>
        <v>Heri (BT)</v>
      </c>
      <c r="F4358" s="14" t="str">
        <f>IFERROR(__xludf.DUMMYFUNCTION("""COMPUTED_VALUE"""),"SELESAI (VIA PERMOHONAN)")</f>
        <v>SELESAI (VIA PERMOHONAN)</v>
      </c>
      <c r="G4358" s="17">
        <f>IFERROR(__xludf.DUMMYFUNCTION("""COMPUTED_VALUE"""),45972.61854231481)</f>
        <v>45972.61854</v>
      </c>
      <c r="H4358" s="14"/>
      <c r="I4358" s="13"/>
      <c r="J4358" s="17" t="str">
        <f>IFERROR(__xludf.DUMMYFUNCTION("""COMPUTED_VALUE"""),"")</f>
        <v/>
      </c>
      <c r="K4358" s="13" t="str">
        <f>IFERROR(__xludf.DUMMYFUNCTION("""COMPUTED_VALUE"""),"BT atau SU Belum Valid")</f>
        <v>BT atau SU Belum Valid</v>
      </c>
      <c r="L4358" s="13" t="str">
        <f>IFERROR(__xludf.DUMMYFUNCTION("""COMPUTED_VALUE"""),"")</f>
        <v/>
      </c>
      <c r="M4358" s="13"/>
      <c r="N4358" s="13" t="str">
        <f>IFERROR(__xludf.DUMMYFUNCTION("""COMPUTED_VALUE"""),"")</f>
        <v/>
      </c>
      <c r="O4358" s="13" t="str">
        <f t="shared" si="1"/>
        <v/>
      </c>
    </row>
    <row r="4359" ht="22.5" customHeight="1">
      <c r="B4359" s="13">
        <f>IFERROR(__xludf.DUMMYFUNCTION("""COMPUTED_VALUE"""),4354.0)</f>
        <v>4354</v>
      </c>
      <c r="C4359" s="13" t="str">
        <f>IFERROR(__xludf.DUMMYFUNCTION("""COMPUTED_VALUE"""),"B. 156/BUMI WARAS")</f>
        <v>B. 156/BUMI WARAS</v>
      </c>
      <c r="D4359" s="13" t="str">
        <f>IFERROR(__xludf.DUMMYFUNCTION("""COMPUTED_VALUE"""),"")</f>
        <v/>
      </c>
      <c r="E4359" s="14" t="str">
        <f>IFERROR(__xludf.DUMMYFUNCTION("""COMPUTED_VALUE"""),"Heri (BT)")</f>
        <v>Heri (BT)</v>
      </c>
      <c r="F4359" s="14" t="str">
        <f>IFERROR(__xludf.DUMMYFUNCTION("""COMPUTED_VALUE"""),"SELESAI (VIA PERMOHONAN)")</f>
        <v>SELESAI (VIA PERMOHONAN)</v>
      </c>
      <c r="G4359" s="17">
        <f>IFERROR(__xludf.DUMMYFUNCTION("""COMPUTED_VALUE"""),45972.618918113425)</f>
        <v>45972.61892</v>
      </c>
      <c r="H4359" s="14"/>
      <c r="I4359" s="13"/>
      <c r="J4359" s="17" t="str">
        <f>IFERROR(__xludf.DUMMYFUNCTION("""COMPUTED_VALUE"""),"")</f>
        <v/>
      </c>
      <c r="K4359" s="13" t="str">
        <f>IFERROR(__xludf.DUMMYFUNCTION("""COMPUTED_VALUE"""),"")</f>
        <v/>
      </c>
      <c r="L4359" s="13" t="str">
        <f>IFERROR(__xludf.DUMMYFUNCTION("""COMPUTED_VALUE"""),"")</f>
        <v/>
      </c>
      <c r="M4359" s="13"/>
      <c r="N4359" s="13" t="str">
        <f>IFERROR(__xludf.DUMMYFUNCTION("""COMPUTED_VALUE"""),"")</f>
        <v/>
      </c>
      <c r="O4359" s="13" t="str">
        <f t="shared" si="1"/>
        <v/>
      </c>
    </row>
    <row r="4360" ht="22.5" customHeight="1">
      <c r="B4360" s="13">
        <f>IFERROR(__xludf.DUMMYFUNCTION("""COMPUTED_VALUE"""),4355.0)</f>
        <v>4355</v>
      </c>
      <c r="C4360" s="13" t="str">
        <f>IFERROR(__xludf.DUMMYFUNCTION("""COMPUTED_VALUE"""),"M. 69/TANJUNG AGUNG RAYA")</f>
        <v>M. 69/TANJUNG AGUNG RAYA</v>
      </c>
      <c r="D4360" s="13" t="str">
        <f>IFERROR(__xludf.DUMMYFUNCTION("""COMPUTED_VALUE"""),"L/3/101025/1")</f>
        <v>L/3/101025/1</v>
      </c>
      <c r="E4360" s="14" t="str">
        <f>IFERROR(__xludf.DUMMYFUNCTION("""COMPUTED_VALUE"""),"Heri (BT)")</f>
        <v>Heri (BT)</v>
      </c>
      <c r="F4360" s="14" t="str">
        <f>IFERROR(__xludf.DUMMYFUNCTION("""COMPUTED_VALUE"""),"SELESAI (VIA PERMOHONAN)")</f>
        <v>SELESAI (VIA PERMOHONAN)</v>
      </c>
      <c r="G4360" s="17">
        <f>IFERROR(__xludf.DUMMYFUNCTION("""COMPUTED_VALUE"""),45972.619098703704)</f>
        <v>45972.6191</v>
      </c>
      <c r="H4360" s="14"/>
      <c r="I4360" s="13"/>
      <c r="J4360" s="17" t="str">
        <f>IFERROR(__xludf.DUMMYFUNCTION("""COMPUTED_VALUE"""),"")</f>
        <v/>
      </c>
      <c r="K4360" s="13" t="str">
        <f>IFERROR(__xludf.DUMMYFUNCTION("""COMPUTED_VALUE"""),"BT atau SU Belum Valid")</f>
        <v>BT atau SU Belum Valid</v>
      </c>
      <c r="L4360" s="13" t="str">
        <f>IFERROR(__xludf.DUMMYFUNCTION("""COMPUTED_VALUE"""),"")</f>
        <v/>
      </c>
      <c r="M4360" s="13"/>
      <c r="N4360" s="13" t="str">
        <f>IFERROR(__xludf.DUMMYFUNCTION("""COMPUTED_VALUE"""),"")</f>
        <v/>
      </c>
      <c r="O4360" s="13" t="str">
        <f t="shared" si="1"/>
        <v/>
      </c>
    </row>
    <row r="4361" ht="22.5" customHeight="1">
      <c r="B4361" s="13">
        <f>IFERROR(__xludf.DUMMYFUNCTION("""COMPUTED_VALUE"""),4356.0)</f>
        <v>4356</v>
      </c>
      <c r="C4361" s="13" t="str">
        <f>IFERROR(__xludf.DUMMYFUNCTION("""COMPUTED_VALUE"""),"M 2116/Kupang Teba")</f>
        <v>M 2116/Kupang Teba</v>
      </c>
      <c r="D4361" s="13" t="str">
        <f>IFERROR(__xludf.DUMMYFUNCTION("""COMPUTED_VALUE"""),"")</f>
        <v/>
      </c>
      <c r="E4361" s="14" t="str">
        <f>IFERROR(__xludf.DUMMYFUNCTION("""COMPUTED_VALUE"""),"Heri (BT)")</f>
        <v>Heri (BT)</v>
      </c>
      <c r="F4361" s="14" t="str">
        <f>IFERROR(__xludf.DUMMYFUNCTION("""COMPUTED_VALUE"""),"SELESAI (VIA PERMOHONAN)")</f>
        <v>SELESAI (VIA PERMOHONAN)</v>
      </c>
      <c r="G4361" s="17">
        <f>IFERROR(__xludf.DUMMYFUNCTION("""COMPUTED_VALUE"""),45972.619345370375)</f>
        <v>45972.61935</v>
      </c>
      <c r="H4361" s="14"/>
      <c r="I4361" s="13"/>
      <c r="J4361" s="17" t="str">
        <f>IFERROR(__xludf.DUMMYFUNCTION("""COMPUTED_VALUE"""),"")</f>
        <v/>
      </c>
      <c r="K4361" s="13" t="str">
        <f>IFERROR(__xludf.DUMMYFUNCTION("""COMPUTED_VALUE"""),"")</f>
        <v/>
      </c>
      <c r="L4361" s="13" t="str">
        <f>IFERROR(__xludf.DUMMYFUNCTION("""COMPUTED_VALUE"""),"")</f>
        <v/>
      </c>
      <c r="M4361" s="13"/>
      <c r="N4361" s="13" t="str">
        <f>IFERROR(__xludf.DUMMYFUNCTION("""COMPUTED_VALUE"""),"")</f>
        <v/>
      </c>
      <c r="O4361" s="13" t="str">
        <f t="shared" si="1"/>
        <v/>
      </c>
    </row>
    <row r="4362" ht="22.5" customHeight="1">
      <c r="B4362" s="13">
        <f>IFERROR(__xludf.DUMMYFUNCTION("""COMPUTED_VALUE"""),4357.0)</f>
        <v>4357</v>
      </c>
      <c r="C4362" s="13" t="str">
        <f>IFERROR(__xludf.DUMMYFUNCTION("""COMPUTED_VALUE"""),"M. 9783/ Sukamenanti Baru")</f>
        <v>M. 9783/ Sukamenanti Baru</v>
      </c>
      <c r="D4362" s="13" t="str">
        <f>IFERROR(__xludf.DUMMYFUNCTION("""COMPUTED_VALUE"""),"K/28/280525/1")</f>
        <v>K/28/280525/1</v>
      </c>
      <c r="E4362" s="14" t="str">
        <f>IFERROR(__xludf.DUMMYFUNCTION("""COMPUTED_VALUE"""),"Heri (BT)")</f>
        <v>Heri (BT)</v>
      </c>
      <c r="F4362" s="14" t="str">
        <f>IFERROR(__xludf.DUMMYFUNCTION("""COMPUTED_VALUE"""),"SELESAI (VIA PERMOHONAN)")</f>
        <v>SELESAI (VIA PERMOHONAN)</v>
      </c>
      <c r="G4362" s="17">
        <f>IFERROR(__xludf.DUMMYFUNCTION("""COMPUTED_VALUE"""),45972.623074884264)</f>
        <v>45972.62307</v>
      </c>
      <c r="H4362" s="14"/>
      <c r="I4362" s="13"/>
      <c r="J4362" s="17" t="str">
        <f>IFERROR(__xludf.DUMMYFUNCTION("""COMPUTED_VALUE"""),"")</f>
        <v/>
      </c>
      <c r="K4362" s="13" t="str">
        <f>IFERROR(__xludf.DUMMYFUNCTION("""COMPUTED_VALUE"""),"BT atau SU Belum Valid")</f>
        <v>BT atau SU Belum Valid</v>
      </c>
      <c r="L4362" s="13" t="str">
        <f>IFERROR(__xludf.DUMMYFUNCTION("""COMPUTED_VALUE"""),"")</f>
        <v/>
      </c>
      <c r="M4362" s="13"/>
      <c r="N4362" s="13" t="str">
        <f>IFERROR(__xludf.DUMMYFUNCTION("""COMPUTED_VALUE"""),"")</f>
        <v/>
      </c>
      <c r="O4362" s="13" t="str">
        <f t="shared" si="1"/>
        <v/>
      </c>
    </row>
    <row r="4363" ht="22.5" customHeight="1">
      <c r="B4363" s="13">
        <f>IFERROR(__xludf.DUMMYFUNCTION("""COMPUTED_VALUE"""),4358.0)</f>
        <v>4358</v>
      </c>
      <c r="C4363" s="13" t="str">
        <f>IFERROR(__xludf.DUMMYFUNCTION("""COMPUTED_VALUE"""),"M 1117/ LABUHAN DALAM")</f>
        <v>M 1117/ LABUHAN DALAM</v>
      </c>
      <c r="D4363" s="13" t="str">
        <f>IFERROR(__xludf.DUMMYFUNCTION("""COMPUTED_VALUE"""),"K/28/250925/1")</f>
        <v>K/28/250925/1</v>
      </c>
      <c r="E4363" s="14" t="str">
        <f>IFERROR(__xludf.DUMMYFUNCTION("""COMPUTED_VALUE"""),"Heri (BT)")</f>
        <v>Heri (BT)</v>
      </c>
      <c r="F4363" s="14" t="str">
        <f>IFERROR(__xludf.DUMMYFUNCTION("""COMPUTED_VALUE"""),"SELESAI (VIA PERMOHONAN)")</f>
        <v>SELESAI (VIA PERMOHONAN)</v>
      </c>
      <c r="G4363" s="17">
        <f>IFERROR(__xludf.DUMMYFUNCTION("""COMPUTED_VALUE"""),45972.623254363425)</f>
        <v>45972.62325</v>
      </c>
      <c r="H4363" s="14"/>
      <c r="I4363" s="13"/>
      <c r="J4363" s="17" t="str">
        <f>IFERROR(__xludf.DUMMYFUNCTION("""COMPUTED_VALUE"""),"")</f>
        <v/>
      </c>
      <c r="K4363" s="13" t="str">
        <f>IFERROR(__xludf.DUMMYFUNCTION("""COMPUTED_VALUE"""),"BT atau SU Belum Valid")</f>
        <v>BT atau SU Belum Valid</v>
      </c>
      <c r="L4363" s="13" t="str">
        <f>IFERROR(__xludf.DUMMYFUNCTION("""COMPUTED_VALUE"""),"")</f>
        <v/>
      </c>
      <c r="M4363" s="13"/>
      <c r="N4363" s="13" t="str">
        <f>IFERROR(__xludf.DUMMYFUNCTION("""COMPUTED_VALUE"""),"")</f>
        <v/>
      </c>
      <c r="O4363" s="13" t="str">
        <f t="shared" si="1"/>
        <v/>
      </c>
    </row>
    <row r="4364" ht="22.5" customHeight="1">
      <c r="B4364" s="13">
        <f>IFERROR(__xludf.DUMMYFUNCTION("""COMPUTED_VALUE"""),4359.0)</f>
        <v>4359</v>
      </c>
      <c r="C4364" s="13" t="str">
        <f>IFERROR(__xludf.DUMMYFUNCTION("""COMPUTED_VALUE"""),"M 15730/ SUKABUMI")</f>
        <v>M 15730/ SUKABUMI</v>
      </c>
      <c r="D4364" s="13" t="str">
        <f>IFERROR(__xludf.DUMMYFUNCTION("""COMPUTED_VALUE"""),"K/19/230925/1")</f>
        <v>K/19/230925/1</v>
      </c>
      <c r="E4364" s="14" t="str">
        <f>IFERROR(__xludf.DUMMYFUNCTION("""COMPUTED_VALUE"""),"Heri (BT)")</f>
        <v>Heri (BT)</v>
      </c>
      <c r="F4364" s="14" t="str">
        <f>IFERROR(__xludf.DUMMYFUNCTION("""COMPUTED_VALUE"""),"SELESAI (VIA PERMOHONAN)")</f>
        <v>SELESAI (VIA PERMOHONAN)</v>
      </c>
      <c r="G4364" s="17">
        <f>IFERROR(__xludf.DUMMYFUNCTION("""COMPUTED_VALUE"""),45972.623423020836)</f>
        <v>45972.62342</v>
      </c>
      <c r="H4364" s="14"/>
      <c r="I4364" s="13"/>
      <c r="J4364" s="17" t="str">
        <f>IFERROR(__xludf.DUMMYFUNCTION("""COMPUTED_VALUE"""),"")</f>
        <v/>
      </c>
      <c r="K4364" s="13" t="str">
        <f>IFERROR(__xludf.DUMMYFUNCTION("""COMPUTED_VALUE"""),"BT atau SU Belum Valid")</f>
        <v>BT atau SU Belum Valid</v>
      </c>
      <c r="L4364" s="13" t="str">
        <f>IFERROR(__xludf.DUMMYFUNCTION("""COMPUTED_VALUE"""),"")</f>
        <v/>
      </c>
      <c r="M4364" s="13"/>
      <c r="N4364" s="13" t="str">
        <f>IFERROR(__xludf.DUMMYFUNCTION("""COMPUTED_VALUE"""),"")</f>
        <v/>
      </c>
      <c r="O4364" s="13" t="str">
        <f t="shared" si="1"/>
        <v/>
      </c>
    </row>
    <row r="4365" ht="22.5" customHeight="1">
      <c r="B4365" s="13">
        <f>IFERROR(__xludf.DUMMYFUNCTION("""COMPUTED_VALUE"""),4360.0)</f>
        <v>4360</v>
      </c>
      <c r="C4365" s="13" t="str">
        <f>IFERROR(__xludf.DUMMYFUNCTION("""COMPUTED_VALUE"""),"M 1640/ KEDAUNG")</f>
        <v>M 1640/ KEDAUNG</v>
      </c>
      <c r="D4365" s="13" t="str">
        <f>IFERROR(__xludf.DUMMYFUNCTION("""COMPUTED_VALUE"""),"K/3/230925/1")</f>
        <v>K/3/230925/1</v>
      </c>
      <c r="E4365" s="14" t="str">
        <f>IFERROR(__xludf.DUMMYFUNCTION("""COMPUTED_VALUE"""),"Heri (BT)")</f>
        <v>Heri (BT)</v>
      </c>
      <c r="F4365" s="14" t="str">
        <f>IFERROR(__xludf.DUMMYFUNCTION("""COMPUTED_VALUE"""),"SELESAI (VIA PERMOHONAN)")</f>
        <v>SELESAI (VIA PERMOHONAN)</v>
      </c>
      <c r="G4365" s="17">
        <f>IFERROR(__xludf.DUMMYFUNCTION("""COMPUTED_VALUE"""),45972.62362130787)</f>
        <v>45972.62362</v>
      </c>
      <c r="H4365" s="14"/>
      <c r="I4365" s="13"/>
      <c r="J4365" s="17" t="str">
        <f>IFERROR(__xludf.DUMMYFUNCTION("""COMPUTED_VALUE"""),"")</f>
        <v/>
      </c>
      <c r="K4365" s="13" t="str">
        <f>IFERROR(__xludf.DUMMYFUNCTION("""COMPUTED_VALUE"""),"BT atau SU Belum Valid")</f>
        <v>BT atau SU Belum Valid</v>
      </c>
      <c r="L4365" s="13" t="str">
        <f>IFERROR(__xludf.DUMMYFUNCTION("""COMPUTED_VALUE"""),"")</f>
        <v/>
      </c>
      <c r="M4365" s="13"/>
      <c r="N4365" s="13" t="str">
        <f>IFERROR(__xludf.DUMMYFUNCTION("""COMPUTED_VALUE"""),"")</f>
        <v/>
      </c>
      <c r="O4365" s="13" t="str">
        <f t="shared" si="1"/>
        <v/>
      </c>
    </row>
    <row r="4366" ht="22.5" customHeight="1">
      <c r="B4366" s="13">
        <f>IFERROR(__xludf.DUMMYFUNCTION("""COMPUTED_VALUE"""),4361.0)</f>
        <v>4361</v>
      </c>
      <c r="C4366" s="13" t="str">
        <f>IFERROR(__xludf.DUMMYFUNCTION("""COMPUTED_VALUE"""),"M. 2235/SEPANG JAYA")</f>
        <v>M. 2235/SEPANG JAYA</v>
      </c>
      <c r="D4366" s="13" t="str">
        <f>IFERROR(__xludf.DUMMYFUNCTION("""COMPUTED_VALUE"""),"K/24/220925/2")</f>
        <v>K/24/220925/2</v>
      </c>
      <c r="E4366" s="14" t="str">
        <f>IFERROR(__xludf.DUMMYFUNCTION("""COMPUTED_VALUE"""),"Heri (BT)")</f>
        <v>Heri (BT)</v>
      </c>
      <c r="F4366" s="14" t="str">
        <f>IFERROR(__xludf.DUMMYFUNCTION("""COMPUTED_VALUE"""),"SELESAI (VIA PERMOHONAN)")</f>
        <v>SELESAI (VIA PERMOHONAN)</v>
      </c>
      <c r="G4366" s="17">
        <f>IFERROR(__xludf.DUMMYFUNCTION("""COMPUTED_VALUE"""),45972.62375726852)</f>
        <v>45972.62376</v>
      </c>
      <c r="H4366" s="14"/>
      <c r="I4366" s="13"/>
      <c r="J4366" s="17" t="str">
        <f>IFERROR(__xludf.DUMMYFUNCTION("""COMPUTED_VALUE"""),"")</f>
        <v/>
      </c>
      <c r="K4366" s="13" t="str">
        <f>IFERROR(__xludf.DUMMYFUNCTION("""COMPUTED_VALUE"""),"BT atau SU Belum Valid")</f>
        <v>BT atau SU Belum Valid</v>
      </c>
      <c r="L4366" s="13" t="str">
        <f>IFERROR(__xludf.DUMMYFUNCTION("""COMPUTED_VALUE"""),"")</f>
        <v/>
      </c>
      <c r="M4366" s="13"/>
      <c r="N4366" s="13" t="str">
        <f>IFERROR(__xludf.DUMMYFUNCTION("""COMPUTED_VALUE"""),"")</f>
        <v/>
      </c>
      <c r="O4366" s="13" t="str">
        <f t="shared" si="1"/>
        <v/>
      </c>
    </row>
    <row r="4367" ht="22.5" customHeight="1">
      <c r="B4367" s="13">
        <f>IFERROR(__xludf.DUMMYFUNCTION("""COMPUTED_VALUE"""),4362.0)</f>
        <v>4362</v>
      </c>
      <c r="C4367" s="13" t="str">
        <f>IFERROR(__xludf.DUMMYFUNCTION("""COMPUTED_VALUE"""),"M. 307/RAJABASA RAYA")</f>
        <v>M. 307/RAJABASA RAYA</v>
      </c>
      <c r="D4367" s="13" t="str">
        <f>IFERROR(__xludf.DUMMYFUNCTION("""COMPUTED_VALUE"""),"K/17/190925/2")</f>
        <v>K/17/190925/2</v>
      </c>
      <c r="E4367" s="14" t="str">
        <f>IFERROR(__xludf.DUMMYFUNCTION("""COMPUTED_VALUE"""),"Heri (BT)")</f>
        <v>Heri (BT)</v>
      </c>
      <c r="F4367" s="14" t="str">
        <f>IFERROR(__xludf.DUMMYFUNCTION("""COMPUTED_VALUE"""),"SELESAI (VIA PERMOHONAN)")</f>
        <v>SELESAI (VIA PERMOHONAN)</v>
      </c>
      <c r="G4367" s="17">
        <f>IFERROR(__xludf.DUMMYFUNCTION("""COMPUTED_VALUE"""),45972.62389959491)</f>
        <v>45972.6239</v>
      </c>
      <c r="H4367" s="14"/>
      <c r="I4367" s="13"/>
      <c r="J4367" s="17" t="str">
        <f>IFERROR(__xludf.DUMMYFUNCTION("""COMPUTED_VALUE"""),"")</f>
        <v/>
      </c>
      <c r="K4367" s="13" t="str">
        <f>IFERROR(__xludf.DUMMYFUNCTION("""COMPUTED_VALUE"""),"BT atau SU Belum Valid")</f>
        <v>BT atau SU Belum Valid</v>
      </c>
      <c r="L4367" s="13" t="str">
        <f>IFERROR(__xludf.DUMMYFUNCTION("""COMPUTED_VALUE"""),"")</f>
        <v/>
      </c>
      <c r="M4367" s="13"/>
      <c r="N4367" s="13" t="str">
        <f>IFERROR(__xludf.DUMMYFUNCTION("""COMPUTED_VALUE"""),"")</f>
        <v/>
      </c>
      <c r="O4367" s="13" t="str">
        <f t="shared" si="1"/>
        <v/>
      </c>
    </row>
    <row r="4368" ht="22.5" customHeight="1">
      <c r="B4368" s="13">
        <f>IFERROR(__xludf.DUMMYFUNCTION("""COMPUTED_VALUE"""),4363.0)</f>
        <v>4363</v>
      </c>
      <c r="C4368" s="13" t="str">
        <f>IFERROR(__xludf.DUMMYFUNCTION("""COMPUTED_VALUE"""),"M 2784/ WAY KANDIS")</f>
        <v>M 2784/ WAY KANDIS</v>
      </c>
      <c r="D4368" s="13" t="str">
        <f>IFERROR(__xludf.DUMMYFUNCTION("""COMPUTED_VALUE"""),"K/2/011025/1")</f>
        <v>K/2/011025/1</v>
      </c>
      <c r="E4368" s="14" t="str">
        <f>IFERROR(__xludf.DUMMYFUNCTION("""COMPUTED_VALUE"""),"Heri (BT)")</f>
        <v>Heri (BT)</v>
      </c>
      <c r="F4368" s="14" t="str">
        <f>IFERROR(__xludf.DUMMYFUNCTION("""COMPUTED_VALUE"""),"SELESAI (VIA PERMOHONAN)")</f>
        <v>SELESAI (VIA PERMOHONAN)</v>
      </c>
      <c r="G4368" s="17">
        <f>IFERROR(__xludf.DUMMYFUNCTION("""COMPUTED_VALUE"""),45972.624058506946)</f>
        <v>45972.62406</v>
      </c>
      <c r="H4368" s="14"/>
      <c r="I4368" s="13"/>
      <c r="J4368" s="17" t="str">
        <f>IFERROR(__xludf.DUMMYFUNCTION("""COMPUTED_VALUE"""),"")</f>
        <v/>
      </c>
      <c r="K4368" s="13" t="str">
        <f>IFERROR(__xludf.DUMMYFUNCTION("""COMPUTED_VALUE"""),"BT atau SU Belum Valid")</f>
        <v>BT atau SU Belum Valid</v>
      </c>
      <c r="L4368" s="13" t="str">
        <f>IFERROR(__xludf.DUMMYFUNCTION("""COMPUTED_VALUE"""),"")</f>
        <v/>
      </c>
      <c r="M4368" s="13"/>
      <c r="N4368" s="13" t="str">
        <f>IFERROR(__xludf.DUMMYFUNCTION("""COMPUTED_VALUE"""),"")</f>
        <v/>
      </c>
      <c r="O4368" s="13" t="str">
        <f t="shared" si="1"/>
        <v/>
      </c>
    </row>
    <row r="4369" ht="22.5" customHeight="1">
      <c r="B4369" s="13">
        <f>IFERROR(__xludf.DUMMYFUNCTION("""COMPUTED_VALUE"""),4364.0)</f>
        <v>4364</v>
      </c>
      <c r="C4369" s="13" t="str">
        <f>IFERROR(__xludf.DUMMYFUNCTION("""COMPUTED_VALUE"""),"M 1078/ KORPRI JAYA")</f>
        <v>M 1078/ KORPRI JAYA</v>
      </c>
      <c r="D4369" s="13" t="str">
        <f>IFERROR(__xludf.DUMMYFUNCTION("""COMPUTED_VALUE"""),"K/29/101025/1")</f>
        <v>K/29/101025/1</v>
      </c>
      <c r="E4369" s="14" t="str">
        <f>IFERROR(__xludf.DUMMYFUNCTION("""COMPUTED_VALUE"""),"Heri (BT)")</f>
        <v>Heri (BT)</v>
      </c>
      <c r="F4369" s="14" t="str">
        <f>IFERROR(__xludf.DUMMYFUNCTION("""COMPUTED_VALUE"""),"SELESAI (VIA PERMOHONAN)")</f>
        <v>SELESAI (VIA PERMOHONAN)</v>
      </c>
      <c r="G4369" s="17">
        <f>IFERROR(__xludf.DUMMYFUNCTION("""COMPUTED_VALUE"""),45972.62457270833)</f>
        <v>45972.62457</v>
      </c>
      <c r="H4369" s="14"/>
      <c r="I4369" s="13"/>
      <c r="J4369" s="17" t="str">
        <f>IFERROR(__xludf.DUMMYFUNCTION("""COMPUTED_VALUE"""),"")</f>
        <v/>
      </c>
      <c r="K4369" s="13" t="str">
        <f>IFERROR(__xludf.DUMMYFUNCTION("""COMPUTED_VALUE"""),"BT atau SU Belum Valid")</f>
        <v>BT atau SU Belum Valid</v>
      </c>
      <c r="L4369" s="13" t="str">
        <f>IFERROR(__xludf.DUMMYFUNCTION("""COMPUTED_VALUE"""),"")</f>
        <v/>
      </c>
      <c r="M4369" s="13"/>
      <c r="N4369" s="13" t="str">
        <f>IFERROR(__xludf.DUMMYFUNCTION("""COMPUTED_VALUE"""),"")</f>
        <v/>
      </c>
      <c r="O4369" s="13" t="str">
        <f t="shared" si="1"/>
        <v/>
      </c>
    </row>
    <row r="4370" ht="22.5" customHeight="1">
      <c r="B4370" s="13">
        <f>IFERROR(__xludf.DUMMYFUNCTION("""COMPUTED_VALUE"""),4365.0)</f>
        <v>4365</v>
      </c>
      <c r="C4370" s="13" t="str">
        <f>IFERROR(__xludf.DUMMYFUNCTION("""COMPUTED_VALUE"""),"M 3274/ KOTA KARANG")</f>
        <v>M 3274/ KOTA KARANG</v>
      </c>
      <c r="D4370" s="13" t="str">
        <f>IFERROR(__xludf.DUMMYFUNCTION("""COMPUTED_VALUE"""),"K/ 37/011025/5")</f>
        <v>K/ 37/011025/5</v>
      </c>
      <c r="E4370" s="14" t="str">
        <f>IFERROR(__xludf.DUMMYFUNCTION("""COMPUTED_VALUE"""),"Heri (BT)")</f>
        <v>Heri (BT)</v>
      </c>
      <c r="F4370" s="14" t="str">
        <f>IFERROR(__xludf.DUMMYFUNCTION("""COMPUTED_VALUE"""),"SELESAI (VIA PERMOHONAN)")</f>
        <v>SELESAI (VIA PERMOHONAN)</v>
      </c>
      <c r="G4370" s="17">
        <f>IFERROR(__xludf.DUMMYFUNCTION("""COMPUTED_VALUE"""),45972.6248542824)</f>
        <v>45972.62485</v>
      </c>
      <c r="H4370" s="14"/>
      <c r="I4370" s="13"/>
      <c r="J4370" s="17" t="str">
        <f>IFERROR(__xludf.DUMMYFUNCTION("""COMPUTED_VALUE"""),"")</f>
        <v/>
      </c>
      <c r="K4370" s="13" t="str">
        <f>IFERROR(__xludf.DUMMYFUNCTION("""COMPUTED_VALUE"""),"BT atau SU Belum Valid")</f>
        <v>BT atau SU Belum Valid</v>
      </c>
      <c r="L4370" s="13" t="str">
        <f>IFERROR(__xludf.DUMMYFUNCTION("""COMPUTED_VALUE"""),"")</f>
        <v/>
      </c>
      <c r="M4370" s="13"/>
      <c r="N4370" s="13" t="str">
        <f>IFERROR(__xludf.DUMMYFUNCTION("""COMPUTED_VALUE"""),"")</f>
        <v/>
      </c>
      <c r="O4370" s="13" t="str">
        <f t="shared" si="1"/>
        <v/>
      </c>
    </row>
    <row r="4371" ht="22.5" customHeight="1">
      <c r="B4371" s="13">
        <f>IFERROR(__xludf.DUMMYFUNCTION("""COMPUTED_VALUE"""),4366.0)</f>
        <v>4366</v>
      </c>
      <c r="C4371" s="13" t="str">
        <f>IFERROR(__xludf.DUMMYFUNCTION("""COMPUTED_VALUE"""),"M 7/ BUMI KEDAMAIAN")</f>
        <v>M 7/ BUMI KEDAMAIAN</v>
      </c>
      <c r="D4371" s="13" t="str">
        <f>IFERROR(__xludf.DUMMYFUNCTION("""COMPUTED_VALUE"""),"K/36/011025/4")</f>
        <v>K/36/011025/4</v>
      </c>
      <c r="E4371" s="14" t="str">
        <f>IFERROR(__xludf.DUMMYFUNCTION("""COMPUTED_VALUE"""),"Heri (BT)")</f>
        <v>Heri (BT)</v>
      </c>
      <c r="F4371" s="14" t="str">
        <f>IFERROR(__xludf.DUMMYFUNCTION("""COMPUTED_VALUE"""),"SELESAI (VIA PERMOHONAN)")</f>
        <v>SELESAI (VIA PERMOHONAN)</v>
      </c>
      <c r="G4371" s="17">
        <f>IFERROR(__xludf.DUMMYFUNCTION("""COMPUTED_VALUE"""),45972.62503638889)</f>
        <v>45972.62504</v>
      </c>
      <c r="H4371" s="14"/>
      <c r="I4371" s="13"/>
      <c r="J4371" s="17" t="str">
        <f>IFERROR(__xludf.DUMMYFUNCTION("""COMPUTED_VALUE"""),"")</f>
        <v/>
      </c>
      <c r="K4371" s="13" t="str">
        <f>IFERROR(__xludf.DUMMYFUNCTION("""COMPUTED_VALUE"""),"BT atau SU Belum Valid")</f>
        <v>BT atau SU Belum Valid</v>
      </c>
      <c r="L4371" s="13" t="str">
        <f>IFERROR(__xludf.DUMMYFUNCTION("""COMPUTED_VALUE"""),"")</f>
        <v/>
      </c>
      <c r="M4371" s="13"/>
      <c r="N4371" s="13" t="str">
        <f>IFERROR(__xludf.DUMMYFUNCTION("""COMPUTED_VALUE"""),"")</f>
        <v/>
      </c>
      <c r="O4371" s="13" t="str">
        <f t="shared" si="1"/>
        <v/>
      </c>
    </row>
    <row r="4372" ht="22.5" customHeight="1">
      <c r="B4372" s="13">
        <f>IFERROR(__xludf.DUMMYFUNCTION("""COMPUTED_VALUE"""),4367.0)</f>
        <v>4367</v>
      </c>
      <c r="C4372" s="13" t="str">
        <f>IFERROR(__xludf.DUMMYFUNCTION("""COMPUTED_VALUE"""),"M 1017/ NOG")</f>
        <v>M 1017/ NOG</v>
      </c>
      <c r="D4372" s="13" t="str">
        <f>IFERROR(__xludf.DUMMYFUNCTION("""COMPUTED_VALUE"""),"K/19/040928/1")</f>
        <v>K/19/040928/1</v>
      </c>
      <c r="E4372" s="14" t="str">
        <f>IFERROR(__xludf.DUMMYFUNCTION("""COMPUTED_VALUE"""),"Heri (BT)")</f>
        <v>Heri (BT)</v>
      </c>
      <c r="F4372" s="14" t="str">
        <f>IFERROR(__xludf.DUMMYFUNCTION("""COMPUTED_VALUE"""),"SELESAI (VIA PERMOHONAN)")</f>
        <v>SELESAI (VIA PERMOHONAN)</v>
      </c>
      <c r="G4372" s="17">
        <f>IFERROR(__xludf.DUMMYFUNCTION("""COMPUTED_VALUE"""),45973.59894026621)</f>
        <v>45973.59894</v>
      </c>
      <c r="H4372" s="14"/>
      <c r="I4372" s="13"/>
      <c r="J4372" s="17" t="str">
        <f>IFERROR(__xludf.DUMMYFUNCTION("""COMPUTED_VALUE"""),"")</f>
        <v/>
      </c>
      <c r="K4372" s="13" t="str">
        <f>IFERROR(__xludf.DUMMYFUNCTION("""COMPUTED_VALUE"""),"BT atau SU Belum Valid")</f>
        <v>BT atau SU Belum Valid</v>
      </c>
      <c r="L4372" s="13" t="str">
        <f>IFERROR(__xludf.DUMMYFUNCTION("""COMPUTED_VALUE"""),"")</f>
        <v/>
      </c>
      <c r="M4372" s="13"/>
      <c r="N4372" s="13" t="str">
        <f>IFERROR(__xludf.DUMMYFUNCTION("""COMPUTED_VALUE"""),"")</f>
        <v/>
      </c>
      <c r="O4372" s="13" t="str">
        <f t="shared" si="1"/>
        <v/>
      </c>
    </row>
    <row r="4373" ht="22.5" customHeight="1">
      <c r="B4373" s="13">
        <f>IFERROR(__xludf.DUMMYFUNCTION("""COMPUTED_VALUE"""),4368.0)</f>
        <v>4368</v>
      </c>
      <c r="C4373" s="13" t="str">
        <f>IFERROR(__xludf.DUMMYFUNCTION("""COMPUTED_VALUE"""),"M. 16465/Sukabumi	")</f>
        <v>M. 16465/Sukabumi	</v>
      </c>
      <c r="D4373" s="13" t="str">
        <f>IFERROR(__xludf.DUMMYFUNCTION("""COMPUTED_VALUE"""),"K/26/110925/1")</f>
        <v>K/26/110925/1</v>
      </c>
      <c r="E4373" s="14" t="str">
        <f>IFERROR(__xludf.DUMMYFUNCTION("""COMPUTED_VALUE"""),"Heri (BT)")</f>
        <v>Heri (BT)</v>
      </c>
      <c r="F4373" s="14" t="str">
        <f>IFERROR(__xludf.DUMMYFUNCTION("""COMPUTED_VALUE"""),"SELESAI (VIA PERMOHONAN)")</f>
        <v>SELESAI (VIA PERMOHONAN)</v>
      </c>
      <c r="G4373" s="17">
        <f>IFERROR(__xludf.DUMMYFUNCTION("""COMPUTED_VALUE"""),45973.599092233795)</f>
        <v>45973.59909</v>
      </c>
      <c r="H4373" s="14"/>
      <c r="I4373" s="13"/>
      <c r="J4373" s="17" t="str">
        <f>IFERROR(__xludf.DUMMYFUNCTION("""COMPUTED_VALUE"""),"")</f>
        <v/>
      </c>
      <c r="K4373" s="13" t="str">
        <f>IFERROR(__xludf.DUMMYFUNCTION("""COMPUTED_VALUE"""),"BT atau SU Belum Valid")</f>
        <v>BT atau SU Belum Valid</v>
      </c>
      <c r="L4373" s="13" t="str">
        <f>IFERROR(__xludf.DUMMYFUNCTION("""COMPUTED_VALUE"""),"")</f>
        <v/>
      </c>
      <c r="M4373" s="13"/>
      <c r="N4373" s="13" t="str">
        <f>IFERROR(__xludf.DUMMYFUNCTION("""COMPUTED_VALUE"""),"")</f>
        <v/>
      </c>
      <c r="O4373" s="13" t="str">
        <f t="shared" si="1"/>
        <v/>
      </c>
    </row>
    <row r="4374" ht="22.5" customHeight="1">
      <c r="B4374" s="13">
        <f>IFERROR(__xludf.DUMMYFUNCTION("""COMPUTED_VALUE"""),4369.0)</f>
        <v>4369</v>
      </c>
      <c r="C4374" s="13" t="str">
        <f>IFERROR(__xludf.DUMMYFUNCTION("""COMPUTED_VALUE"""),"M. 1156/Sukarame II	")</f>
        <v>M. 1156/Sukarame II	</v>
      </c>
      <c r="D4374" s="13" t="str">
        <f>IFERROR(__xludf.DUMMYFUNCTION("""COMPUTED_VALUE"""),"K/27/110925/1")</f>
        <v>K/27/110925/1</v>
      </c>
      <c r="E4374" s="14" t="str">
        <f>IFERROR(__xludf.DUMMYFUNCTION("""COMPUTED_VALUE"""),"Heri (BT)")</f>
        <v>Heri (BT)</v>
      </c>
      <c r="F4374" s="14" t="str">
        <f>IFERROR(__xludf.DUMMYFUNCTION("""COMPUTED_VALUE"""),"SELESAI (VIA PERMOHONAN)")</f>
        <v>SELESAI (VIA PERMOHONAN)</v>
      </c>
      <c r="G4374" s="17">
        <f>IFERROR(__xludf.DUMMYFUNCTION("""COMPUTED_VALUE"""),45973.59924548611)</f>
        <v>45973.59925</v>
      </c>
      <c r="H4374" s="14"/>
      <c r="I4374" s="13"/>
      <c r="J4374" s="17" t="str">
        <f>IFERROR(__xludf.DUMMYFUNCTION("""COMPUTED_VALUE"""),"")</f>
        <v/>
      </c>
      <c r="K4374" s="13" t="str">
        <f>IFERROR(__xludf.DUMMYFUNCTION("""COMPUTED_VALUE"""),"BT atau SU Belum Valid")</f>
        <v>BT atau SU Belum Valid</v>
      </c>
      <c r="L4374" s="13" t="str">
        <f>IFERROR(__xludf.DUMMYFUNCTION("""COMPUTED_VALUE"""),"")</f>
        <v/>
      </c>
      <c r="M4374" s="13"/>
      <c r="N4374" s="13" t="str">
        <f>IFERROR(__xludf.DUMMYFUNCTION("""COMPUTED_VALUE"""),"")</f>
        <v/>
      </c>
      <c r="O4374" s="13" t="str">
        <f t="shared" si="1"/>
        <v/>
      </c>
    </row>
    <row r="4375" ht="22.5" customHeight="1">
      <c r="B4375" s="13">
        <f>IFERROR(__xludf.DUMMYFUNCTION("""COMPUTED_VALUE"""),4370.0)</f>
        <v>4370</v>
      </c>
      <c r="C4375" s="13" t="str">
        <f>IFERROR(__xludf.DUMMYFUNCTION("""COMPUTED_VALUE"""),"M. 1911/Beringin Raya	")</f>
        <v>M. 1911/Beringin Raya	</v>
      </c>
      <c r="D4375" s="13" t="str">
        <f>IFERROR(__xludf.DUMMYFUNCTION("""COMPUTED_VALUE"""),"K/19/120925/2")</f>
        <v>K/19/120925/2</v>
      </c>
      <c r="E4375" s="14" t="str">
        <f>IFERROR(__xludf.DUMMYFUNCTION("""COMPUTED_VALUE"""),"Heri (BT)")</f>
        <v>Heri (BT)</v>
      </c>
      <c r="F4375" s="14" t="str">
        <f>IFERROR(__xludf.DUMMYFUNCTION("""COMPUTED_VALUE"""),"SELESAI (VIA PERMOHONAN)")</f>
        <v>SELESAI (VIA PERMOHONAN)</v>
      </c>
      <c r="G4375" s="17">
        <f>IFERROR(__xludf.DUMMYFUNCTION("""COMPUTED_VALUE"""),45973.59944954861)</f>
        <v>45973.59945</v>
      </c>
      <c r="H4375" s="14"/>
      <c r="I4375" s="13"/>
      <c r="J4375" s="17" t="str">
        <f>IFERROR(__xludf.DUMMYFUNCTION("""COMPUTED_VALUE"""),"")</f>
        <v/>
      </c>
      <c r="K4375" s="13" t="str">
        <f>IFERROR(__xludf.DUMMYFUNCTION("""COMPUTED_VALUE"""),"BT atau SU Belum Valid")</f>
        <v>BT atau SU Belum Valid</v>
      </c>
      <c r="L4375" s="13" t="str">
        <f>IFERROR(__xludf.DUMMYFUNCTION("""COMPUTED_VALUE"""),"")</f>
        <v/>
      </c>
      <c r="M4375" s="13"/>
      <c r="N4375" s="13" t="str">
        <f>IFERROR(__xludf.DUMMYFUNCTION("""COMPUTED_VALUE"""),"")</f>
        <v/>
      </c>
      <c r="O4375" s="13" t="str">
        <f t="shared" si="1"/>
        <v/>
      </c>
    </row>
    <row r="4376" ht="22.5" customHeight="1">
      <c r="B4376" s="13">
        <f>IFERROR(__xludf.DUMMYFUNCTION("""COMPUTED_VALUE"""),4371.0)</f>
        <v>4371</v>
      </c>
      <c r="C4376" s="13" t="str">
        <f>IFERROR(__xludf.DUMMYFUNCTION("""COMPUTED_VALUE"""),"M. 1040/Pematang Wangi	")</f>
        <v>M. 1040/Pematang Wangi	</v>
      </c>
      <c r="D4376" s="13" t="str">
        <f>IFERROR(__xludf.DUMMYFUNCTION("""COMPUTED_VALUE"""),"K/1/081025/1")</f>
        <v>K/1/081025/1</v>
      </c>
      <c r="E4376" s="14" t="str">
        <f>IFERROR(__xludf.DUMMYFUNCTION("""COMPUTED_VALUE"""),"Heri (BT)")</f>
        <v>Heri (BT)</v>
      </c>
      <c r="F4376" s="14" t="str">
        <f>IFERROR(__xludf.DUMMYFUNCTION("""COMPUTED_VALUE"""),"SELESAI (VIA PERMOHONAN)")</f>
        <v>SELESAI (VIA PERMOHONAN)</v>
      </c>
      <c r="G4376" s="17">
        <f>IFERROR(__xludf.DUMMYFUNCTION("""COMPUTED_VALUE"""),45973.59960077546)</f>
        <v>45973.5996</v>
      </c>
      <c r="H4376" s="14"/>
      <c r="I4376" s="13"/>
      <c r="J4376" s="17" t="str">
        <f>IFERROR(__xludf.DUMMYFUNCTION("""COMPUTED_VALUE"""),"")</f>
        <v/>
      </c>
      <c r="K4376" s="13" t="str">
        <f>IFERROR(__xludf.DUMMYFUNCTION("""COMPUTED_VALUE"""),"BT atau SU Belum Valid")</f>
        <v>BT atau SU Belum Valid</v>
      </c>
      <c r="L4376" s="13" t="str">
        <f>IFERROR(__xludf.DUMMYFUNCTION("""COMPUTED_VALUE"""),"")</f>
        <v/>
      </c>
      <c r="M4376" s="13"/>
      <c r="N4376" s="13" t="str">
        <f>IFERROR(__xludf.DUMMYFUNCTION("""COMPUTED_VALUE"""),"")</f>
        <v/>
      </c>
      <c r="O4376" s="13" t="str">
        <f t="shared" si="1"/>
        <v/>
      </c>
    </row>
    <row r="4377" ht="22.5" customHeight="1">
      <c r="B4377" s="13">
        <f>IFERROR(__xludf.DUMMYFUNCTION("""COMPUTED_VALUE"""),4372.0)</f>
        <v>4372</v>
      </c>
      <c r="C4377" s="13" t="str">
        <f>IFERROR(__xludf.DUMMYFUNCTION("""COMPUTED_VALUE"""),"M. 1528/Kedaung	")</f>
        <v>M. 1528/Kedaung	</v>
      </c>
      <c r="D4377" s="13" t="str">
        <f>IFERROR(__xludf.DUMMYFUNCTION("""COMPUTED_VALUE"""),"K/5/061025/1")</f>
        <v>K/5/061025/1</v>
      </c>
      <c r="E4377" s="14" t="str">
        <f>IFERROR(__xludf.DUMMYFUNCTION("""COMPUTED_VALUE"""),"Heri (BT)")</f>
        <v>Heri (BT)</v>
      </c>
      <c r="F4377" s="14" t="str">
        <f>IFERROR(__xludf.DUMMYFUNCTION("""COMPUTED_VALUE"""),"SELESAI (VIA PERMOHONAN)")</f>
        <v>SELESAI (VIA PERMOHONAN)</v>
      </c>
      <c r="G4377" s="17">
        <f>IFERROR(__xludf.DUMMYFUNCTION("""COMPUTED_VALUE"""),45973.599749155095)</f>
        <v>45973.59975</v>
      </c>
      <c r="H4377" s="14"/>
      <c r="I4377" s="13"/>
      <c r="J4377" s="17" t="str">
        <f>IFERROR(__xludf.DUMMYFUNCTION("""COMPUTED_VALUE"""),"")</f>
        <v/>
      </c>
      <c r="K4377" s="13" t="str">
        <f>IFERROR(__xludf.DUMMYFUNCTION("""COMPUTED_VALUE"""),"BT atau SU Belum Valid")</f>
        <v>BT atau SU Belum Valid</v>
      </c>
      <c r="L4377" s="13" t="str">
        <f>IFERROR(__xludf.DUMMYFUNCTION("""COMPUTED_VALUE"""),"")</f>
        <v/>
      </c>
      <c r="M4377" s="13"/>
      <c r="N4377" s="13" t="str">
        <f>IFERROR(__xludf.DUMMYFUNCTION("""COMPUTED_VALUE"""),"")</f>
        <v/>
      </c>
      <c r="O4377" s="13" t="str">
        <f t="shared" si="1"/>
        <v/>
      </c>
    </row>
    <row r="4378" ht="22.5" customHeight="1">
      <c r="B4378" s="13">
        <f>IFERROR(__xludf.DUMMYFUNCTION("""COMPUTED_VALUE"""),4373.0)</f>
        <v>4373</v>
      </c>
      <c r="C4378" s="13" t="str">
        <f>IFERROR(__xludf.DUMMYFUNCTION("""COMPUTED_VALUE"""),"M. 1156/Sukarame II	")</f>
        <v>M. 1156/Sukarame II	</v>
      </c>
      <c r="D4378" s="13" t="str">
        <f>IFERROR(__xludf.DUMMYFUNCTION("""COMPUTED_VALUE"""),"K/27/110925/1")</f>
        <v>K/27/110925/1</v>
      </c>
      <c r="E4378" s="14" t="str">
        <f>IFERROR(__xludf.DUMMYFUNCTION("""COMPUTED_VALUE"""),"Heri (BT)")</f>
        <v>Heri (BT)</v>
      </c>
      <c r="F4378" s="14" t="str">
        <f>IFERROR(__xludf.DUMMYFUNCTION("""COMPUTED_VALUE"""),"SELESAI (VIA PERMOHONAN)")</f>
        <v>SELESAI (VIA PERMOHONAN)</v>
      </c>
      <c r="G4378" s="17">
        <f>IFERROR(__xludf.DUMMYFUNCTION("""COMPUTED_VALUE"""),45973.61828807871)</f>
        <v>45973.61829</v>
      </c>
      <c r="H4378" s="14"/>
      <c r="I4378" s="13"/>
      <c r="J4378" s="17" t="str">
        <f>IFERROR(__xludf.DUMMYFUNCTION("""COMPUTED_VALUE"""),"")</f>
        <v/>
      </c>
      <c r="K4378" s="13" t="str">
        <f>IFERROR(__xludf.DUMMYFUNCTION("""COMPUTED_VALUE"""),"BT atau SU Belum Valid")</f>
        <v>BT atau SU Belum Valid</v>
      </c>
      <c r="L4378" s="13" t="str">
        <f>IFERROR(__xludf.DUMMYFUNCTION("""COMPUTED_VALUE"""),"")</f>
        <v/>
      </c>
      <c r="M4378" s="13"/>
      <c r="N4378" s="13" t="str">
        <f>IFERROR(__xludf.DUMMYFUNCTION("""COMPUTED_VALUE"""),"")</f>
        <v/>
      </c>
      <c r="O4378" s="13" t="str">
        <f t="shared" si="1"/>
        <v/>
      </c>
    </row>
    <row r="4379" ht="22.5" customHeight="1">
      <c r="B4379" s="13">
        <f>IFERROR(__xludf.DUMMYFUNCTION("""COMPUTED_VALUE"""),4374.0)</f>
        <v>4374</v>
      </c>
      <c r="C4379" s="13" t="str">
        <f>IFERROR(__xludf.DUMMYFUNCTION("""COMPUTED_VALUE"""),"M. 4644/Sukadana Ham	")</f>
        <v>M. 4644/Sukadana Ham	</v>
      </c>
      <c r="D4379" s="13" t="str">
        <f>IFERROR(__xludf.DUMMYFUNCTION("""COMPUTED_VALUE"""),"K/15/031025/5	")</f>
        <v>K/15/031025/5	</v>
      </c>
      <c r="E4379" s="14" t="str">
        <f>IFERROR(__xludf.DUMMYFUNCTION("""COMPUTED_VALUE"""),"Heri (BT)")</f>
        <v>Heri (BT)</v>
      </c>
      <c r="F4379" s="14" t="str">
        <f>IFERROR(__xludf.DUMMYFUNCTION("""COMPUTED_VALUE"""),"SELESAI (VIA PERMOHONAN)")</f>
        <v>SELESAI (VIA PERMOHONAN)</v>
      </c>
      <c r="G4379" s="17">
        <f>IFERROR(__xludf.DUMMYFUNCTION("""COMPUTED_VALUE"""),45978.54717481481)</f>
        <v>45978.54717</v>
      </c>
      <c r="H4379" s="14"/>
      <c r="I4379" s="13"/>
      <c r="J4379" s="17" t="str">
        <f>IFERROR(__xludf.DUMMYFUNCTION("""COMPUTED_VALUE"""),"")</f>
        <v/>
      </c>
      <c r="K4379" s="13" t="str">
        <f>IFERROR(__xludf.DUMMYFUNCTION("""COMPUTED_VALUE"""),"BT atau SU Belum Valid")</f>
        <v>BT atau SU Belum Valid</v>
      </c>
      <c r="L4379" s="13" t="str">
        <f>IFERROR(__xludf.DUMMYFUNCTION("""COMPUTED_VALUE"""),"")</f>
        <v/>
      </c>
      <c r="M4379" s="13"/>
      <c r="N4379" s="13" t="str">
        <f>IFERROR(__xludf.DUMMYFUNCTION("""COMPUTED_VALUE"""),"")</f>
        <v/>
      </c>
      <c r="O4379" s="13" t="str">
        <f t="shared" si="1"/>
        <v/>
      </c>
    </row>
    <row r="4380" ht="22.5" customHeight="1">
      <c r="B4380" s="13">
        <f>IFERROR(__xludf.DUMMYFUNCTION("""COMPUTED_VALUE"""),4375.0)</f>
        <v>4375</v>
      </c>
      <c r="C4380" s="13" t="str">
        <f>IFERROR(__xludf.DUMMYFUNCTION("""COMPUTED_VALUE"""),"M. 593/Gunung Terang	")</f>
        <v>M. 593/Gunung Terang	</v>
      </c>
      <c r="D4380" s="13" t="str">
        <f>IFERROR(__xludf.DUMMYFUNCTION("""COMPUTED_VALUE"""),"K/7/300925/1")</f>
        <v>K/7/300925/1</v>
      </c>
      <c r="E4380" s="14" t="str">
        <f>IFERROR(__xludf.DUMMYFUNCTION("""COMPUTED_VALUE"""),"Heri (BT)")</f>
        <v>Heri (BT)</v>
      </c>
      <c r="F4380" s="14" t="str">
        <f>IFERROR(__xludf.DUMMYFUNCTION("""COMPUTED_VALUE"""),"SELESAI (VIA PERMOHONAN)")</f>
        <v>SELESAI (VIA PERMOHONAN)</v>
      </c>
      <c r="G4380" s="17">
        <f>IFERROR(__xludf.DUMMYFUNCTION("""COMPUTED_VALUE"""),45978.5473709838)</f>
        <v>45978.54737</v>
      </c>
      <c r="H4380" s="14"/>
      <c r="I4380" s="13"/>
      <c r="J4380" s="17" t="str">
        <f>IFERROR(__xludf.DUMMYFUNCTION("""COMPUTED_VALUE"""),"")</f>
        <v/>
      </c>
      <c r="K4380" s="13" t="str">
        <f>IFERROR(__xludf.DUMMYFUNCTION("""COMPUTED_VALUE"""),"BT atau SU Belum Valid")</f>
        <v>BT atau SU Belum Valid</v>
      </c>
      <c r="L4380" s="13" t="str">
        <f>IFERROR(__xludf.DUMMYFUNCTION("""COMPUTED_VALUE"""),"")</f>
        <v/>
      </c>
      <c r="M4380" s="13"/>
      <c r="N4380" s="13" t="str">
        <f>IFERROR(__xludf.DUMMYFUNCTION("""COMPUTED_VALUE"""),"")</f>
        <v/>
      </c>
      <c r="O4380" s="13" t="str">
        <f t="shared" si="1"/>
        <v/>
      </c>
    </row>
    <row r="4381" ht="22.5" customHeight="1">
      <c r="B4381" s="13">
        <f>IFERROR(__xludf.DUMMYFUNCTION("""COMPUTED_VALUE"""),4376.0)</f>
        <v>4376</v>
      </c>
      <c r="C4381" s="13" t="str">
        <f>IFERROR(__xludf.DUMMYFUNCTION("""COMPUTED_VALUE"""),"M. 02/Way Kandis")</f>
        <v>M. 02/Way Kandis</v>
      </c>
      <c r="D4381" s="13" t="str">
        <f>IFERROR(__xludf.DUMMYFUNCTION("""COMPUTED_VALUE"""),"K/1/021025/1")</f>
        <v>K/1/021025/1</v>
      </c>
      <c r="E4381" s="14" t="str">
        <f>IFERROR(__xludf.DUMMYFUNCTION("""COMPUTED_VALUE"""),"Heri (BT)")</f>
        <v>Heri (BT)</v>
      </c>
      <c r="F4381" s="14" t="str">
        <f>IFERROR(__xludf.DUMMYFUNCTION("""COMPUTED_VALUE"""),"SELESAI (VIA PERMOHONAN)")</f>
        <v>SELESAI (VIA PERMOHONAN)</v>
      </c>
      <c r="G4381" s="17">
        <f>IFERROR(__xludf.DUMMYFUNCTION("""COMPUTED_VALUE"""),45978.54754875)</f>
        <v>45978.54755</v>
      </c>
      <c r="H4381" s="14"/>
      <c r="I4381" s="13"/>
      <c r="J4381" s="17" t="str">
        <f>IFERROR(__xludf.DUMMYFUNCTION("""COMPUTED_VALUE"""),"")</f>
        <v/>
      </c>
      <c r="K4381" s="13" t="str">
        <f>IFERROR(__xludf.DUMMYFUNCTION("""COMPUTED_VALUE"""),"BT atau SU Belum Valid")</f>
        <v>BT atau SU Belum Valid</v>
      </c>
      <c r="L4381" s="13" t="str">
        <f>IFERROR(__xludf.DUMMYFUNCTION("""COMPUTED_VALUE"""),"")</f>
        <v/>
      </c>
      <c r="M4381" s="13"/>
      <c r="N4381" s="13" t="str">
        <f>IFERROR(__xludf.DUMMYFUNCTION("""COMPUTED_VALUE"""),"")</f>
        <v/>
      </c>
      <c r="O4381" s="13" t="str">
        <f t="shared" si="1"/>
        <v/>
      </c>
    </row>
    <row r="4382" ht="22.5" customHeight="1">
      <c r="B4382" s="13">
        <f>IFERROR(__xludf.DUMMYFUNCTION("""COMPUTED_VALUE"""),4377.0)</f>
        <v>4377</v>
      </c>
      <c r="C4382" s="13" t="str">
        <f>IFERROR(__xludf.DUMMYFUNCTION("""COMPUTED_VALUE"""),"M. 1179/RAJABASA PEMUKA")</f>
        <v>M. 1179/RAJABASA PEMUKA</v>
      </c>
      <c r="D4382" s="13" t="str">
        <f>IFERROR(__xludf.DUMMYFUNCTION("""COMPUTED_VALUE"""),"L/18/211025/1")</f>
        <v>L/18/211025/1</v>
      </c>
      <c r="E4382" s="14" t="str">
        <f>IFERROR(__xludf.DUMMYFUNCTION("""COMPUTED_VALUE"""),"Heri (BT)")</f>
        <v>Heri (BT)</v>
      </c>
      <c r="F4382" s="14" t="str">
        <f>IFERROR(__xludf.DUMMYFUNCTION("""COMPUTED_VALUE"""),"SELESAI (VIA PERMOHONAN)")</f>
        <v>SELESAI (VIA PERMOHONAN)</v>
      </c>
      <c r="G4382" s="17">
        <f>IFERROR(__xludf.DUMMYFUNCTION("""COMPUTED_VALUE"""),45979.4304408912)</f>
        <v>45979.43044</v>
      </c>
      <c r="H4382" s="14"/>
      <c r="I4382" s="13"/>
      <c r="J4382" s="17" t="str">
        <f>IFERROR(__xludf.DUMMYFUNCTION("""COMPUTED_VALUE"""),"")</f>
        <v/>
      </c>
      <c r="K4382" s="13" t="str">
        <f>IFERROR(__xludf.DUMMYFUNCTION("""COMPUTED_VALUE"""),"BT atau SU Belum Valid")</f>
        <v>BT atau SU Belum Valid</v>
      </c>
      <c r="L4382" s="13" t="str">
        <f>IFERROR(__xludf.DUMMYFUNCTION("""COMPUTED_VALUE"""),"")</f>
        <v/>
      </c>
      <c r="M4382" s="13"/>
      <c r="N4382" s="13" t="str">
        <f>IFERROR(__xludf.DUMMYFUNCTION("""COMPUTED_VALUE"""),"")</f>
        <v/>
      </c>
      <c r="O4382" s="13" t="str">
        <f t="shared" si="1"/>
        <v/>
      </c>
    </row>
    <row r="4383" ht="22.5" customHeight="1">
      <c r="B4383" s="13">
        <f>IFERROR(__xludf.DUMMYFUNCTION("""COMPUTED_VALUE"""),4378.0)</f>
        <v>4378</v>
      </c>
      <c r="C4383" s="13" t="str">
        <f>IFERROR(__xludf.DUMMYFUNCTION("""COMPUTED_VALUE"""),"M. 152/KUPANG RAYA")</f>
        <v>M. 152/KUPANG RAYA</v>
      </c>
      <c r="D4383" s="13" t="str">
        <f>IFERROR(__xludf.DUMMYFUNCTION("""COMPUTED_VALUE"""),"L/3/151025/1")</f>
        <v>L/3/151025/1</v>
      </c>
      <c r="E4383" s="14" t="str">
        <f>IFERROR(__xludf.DUMMYFUNCTION("""COMPUTED_VALUE"""),"Heri (BT)")</f>
        <v>Heri (BT)</v>
      </c>
      <c r="F4383" s="14" t="str">
        <f>IFERROR(__xludf.DUMMYFUNCTION("""COMPUTED_VALUE"""),"SELESAI (VIA PERMOHONAN)")</f>
        <v>SELESAI (VIA PERMOHONAN)</v>
      </c>
      <c r="G4383" s="17">
        <f>IFERROR(__xludf.DUMMYFUNCTION("""COMPUTED_VALUE"""),45979.43075208333)</f>
        <v>45979.43075</v>
      </c>
      <c r="H4383" s="14"/>
      <c r="I4383" s="13"/>
      <c r="J4383" s="17" t="str">
        <f>IFERROR(__xludf.DUMMYFUNCTION("""COMPUTED_VALUE"""),"")</f>
        <v/>
      </c>
      <c r="K4383" s="13" t="str">
        <f>IFERROR(__xludf.DUMMYFUNCTION("""COMPUTED_VALUE"""),"BT atau SU Belum Valid")</f>
        <v>BT atau SU Belum Valid</v>
      </c>
      <c r="L4383" s="13" t="str">
        <f>IFERROR(__xludf.DUMMYFUNCTION("""COMPUTED_VALUE"""),"")</f>
        <v/>
      </c>
      <c r="M4383" s="13"/>
      <c r="N4383" s="13" t="str">
        <f>IFERROR(__xludf.DUMMYFUNCTION("""COMPUTED_VALUE"""),"")</f>
        <v/>
      </c>
      <c r="O4383" s="13" t="str">
        <f t="shared" si="1"/>
        <v/>
      </c>
    </row>
    <row r="4384" ht="22.5" customHeight="1">
      <c r="B4384" s="13">
        <f>IFERROR(__xludf.DUMMYFUNCTION("""COMPUTED_VALUE"""),4379.0)</f>
        <v>4379</v>
      </c>
      <c r="C4384" s="13" t="str">
        <f>IFERROR(__xludf.DUMMYFUNCTION("""COMPUTED_VALUE"""),"SHGB 3081/SUKABUMI")</f>
        <v>SHGB 3081/SUKABUMI</v>
      </c>
      <c r="D4384" s="13" t="str">
        <f>IFERROR(__xludf.DUMMYFUNCTION("""COMPUTED_VALUE"""),"")</f>
        <v/>
      </c>
      <c r="E4384" s="14" t="str">
        <f>IFERROR(__xludf.DUMMYFUNCTION("""COMPUTED_VALUE"""),"Heri (BT)")</f>
        <v>Heri (BT)</v>
      </c>
      <c r="F4384" s="14" t="str">
        <f>IFERROR(__xludf.DUMMYFUNCTION("""COMPUTED_VALUE"""),"SELESAI (VIA PERMOHONAN)")</f>
        <v>SELESAI (VIA PERMOHONAN)</v>
      </c>
      <c r="G4384" s="17">
        <f>IFERROR(__xludf.DUMMYFUNCTION("""COMPUTED_VALUE"""),45979.43120748842)</f>
        <v>45979.43121</v>
      </c>
      <c r="H4384" s="14"/>
      <c r="I4384" s="13"/>
      <c r="J4384" s="17" t="str">
        <f>IFERROR(__xludf.DUMMYFUNCTION("""COMPUTED_VALUE"""),"")</f>
        <v/>
      </c>
      <c r="K4384" s="13" t="str">
        <f>IFERROR(__xludf.DUMMYFUNCTION("""COMPUTED_VALUE"""),"")</f>
        <v/>
      </c>
      <c r="L4384" s="13" t="str">
        <f>IFERROR(__xludf.DUMMYFUNCTION("""COMPUTED_VALUE"""),"")</f>
        <v/>
      </c>
      <c r="M4384" s="13"/>
      <c r="N4384" s="13" t="str">
        <f>IFERROR(__xludf.DUMMYFUNCTION("""COMPUTED_VALUE"""),"")</f>
        <v/>
      </c>
      <c r="O4384" s="13" t="str">
        <f t="shared" si="1"/>
        <v/>
      </c>
    </row>
    <row r="4385" ht="22.5" customHeight="1">
      <c r="B4385" s="13">
        <f>IFERROR(__xludf.DUMMYFUNCTION("""COMPUTED_VALUE"""),4380.0)</f>
        <v>4380</v>
      </c>
      <c r="C4385" s="13" t="str">
        <f>IFERROR(__xludf.DUMMYFUNCTION("""COMPUTED_VALUE"""),"M. 2372/TANJUNG SENANG")</f>
        <v>M. 2372/TANJUNG SENANG</v>
      </c>
      <c r="D4385" s="13" t="str">
        <f>IFERROR(__xludf.DUMMYFUNCTION("""COMPUTED_VALUE"""),"L/19/221025/1")</f>
        <v>L/19/221025/1</v>
      </c>
      <c r="E4385" s="14" t="str">
        <f>IFERROR(__xludf.DUMMYFUNCTION("""COMPUTED_VALUE"""),"Heri (BT)")</f>
        <v>Heri (BT)</v>
      </c>
      <c r="F4385" s="14" t="str">
        <f>IFERROR(__xludf.DUMMYFUNCTION("""COMPUTED_VALUE"""),"SELESAI (VIA PERMOHONAN)")</f>
        <v>SELESAI (VIA PERMOHONAN)</v>
      </c>
      <c r="G4385" s="17">
        <f>IFERROR(__xludf.DUMMYFUNCTION("""COMPUTED_VALUE"""),45979.431655127315)</f>
        <v>45979.43166</v>
      </c>
      <c r="H4385" s="14"/>
      <c r="I4385" s="13"/>
      <c r="J4385" s="17" t="str">
        <f>IFERROR(__xludf.DUMMYFUNCTION("""COMPUTED_VALUE"""),"")</f>
        <v/>
      </c>
      <c r="K4385" s="13" t="str">
        <f>IFERROR(__xludf.DUMMYFUNCTION("""COMPUTED_VALUE"""),"BT atau SU Belum Valid")</f>
        <v>BT atau SU Belum Valid</v>
      </c>
      <c r="L4385" s="13" t="str">
        <f>IFERROR(__xludf.DUMMYFUNCTION("""COMPUTED_VALUE"""),"")</f>
        <v/>
      </c>
      <c r="M4385" s="13"/>
      <c r="N4385" s="13" t="str">
        <f>IFERROR(__xludf.DUMMYFUNCTION("""COMPUTED_VALUE"""),"")</f>
        <v/>
      </c>
      <c r="O4385" s="13" t="str">
        <f t="shared" si="1"/>
        <v/>
      </c>
    </row>
    <row r="4386" ht="22.5" customHeight="1">
      <c r="B4386" s="13">
        <f>IFERROR(__xludf.DUMMYFUNCTION("""COMPUTED_VALUE"""),4381.0)</f>
        <v>4381</v>
      </c>
      <c r="C4386" s="13" t="str">
        <f>IFERROR(__xludf.DUMMYFUNCTION("""COMPUTED_VALUE"""),"B. 1361/WAY HALIM PERMAI")</f>
        <v>B. 1361/WAY HALIM PERMAI</v>
      </c>
      <c r="D4386" s="13" t="str">
        <f>IFERROR(__xludf.DUMMYFUNCTION("""COMPUTED_VALUE"""),"L/24/141025/1")</f>
        <v>L/24/141025/1</v>
      </c>
      <c r="E4386" s="14" t="str">
        <f>IFERROR(__xludf.DUMMYFUNCTION("""COMPUTED_VALUE"""),"Heri (BT)")</f>
        <v>Heri (BT)</v>
      </c>
      <c r="F4386" s="14" t="str">
        <f>IFERROR(__xludf.DUMMYFUNCTION("""COMPUTED_VALUE"""),"SELESAI (VIA PERMOHONAN)")</f>
        <v>SELESAI (VIA PERMOHONAN)</v>
      </c>
      <c r="G4386" s="17">
        <f>IFERROR(__xludf.DUMMYFUNCTION("""COMPUTED_VALUE"""),45979.43206782408)</f>
        <v>45979.43207</v>
      </c>
      <c r="H4386" s="14"/>
      <c r="I4386" s="13"/>
      <c r="J4386" s="17" t="str">
        <f>IFERROR(__xludf.DUMMYFUNCTION("""COMPUTED_VALUE"""),"")</f>
        <v/>
      </c>
      <c r="K4386" s="13" t="str">
        <f>IFERROR(__xludf.DUMMYFUNCTION("""COMPUTED_VALUE"""),"BT atau SU Belum Valid")</f>
        <v>BT atau SU Belum Valid</v>
      </c>
      <c r="L4386" s="13" t="str">
        <f>IFERROR(__xludf.DUMMYFUNCTION("""COMPUTED_VALUE"""),"")</f>
        <v/>
      </c>
      <c r="M4386" s="13"/>
      <c r="N4386" s="13" t="str">
        <f>IFERROR(__xludf.DUMMYFUNCTION("""COMPUTED_VALUE"""),"")</f>
        <v/>
      </c>
      <c r="O4386" s="13" t="str">
        <f t="shared" si="1"/>
        <v/>
      </c>
    </row>
    <row r="4387" ht="22.5" customHeight="1">
      <c r="B4387" s="13">
        <f>IFERROR(__xludf.DUMMYFUNCTION("""COMPUTED_VALUE"""),4382.0)</f>
        <v>4382</v>
      </c>
      <c r="C4387" s="13" t="str">
        <f>IFERROR(__xludf.DUMMYFUNCTION("""COMPUTED_VALUE"""),"B. 646/NUSANTARA PERMAI")</f>
        <v>B. 646/NUSANTARA PERMAI</v>
      </c>
      <c r="D4387" s="13" t="str">
        <f>IFERROR(__xludf.DUMMYFUNCTION("""COMPUTED_VALUE"""),"L/23/141025/1")</f>
        <v>L/23/141025/1</v>
      </c>
      <c r="E4387" s="14" t="str">
        <f>IFERROR(__xludf.DUMMYFUNCTION("""COMPUTED_VALUE"""),"Heri (BT)")</f>
        <v>Heri (BT)</v>
      </c>
      <c r="F4387" s="14" t="str">
        <f>IFERROR(__xludf.DUMMYFUNCTION("""COMPUTED_VALUE"""),"SELESAI (VIA PERMOHONAN)")</f>
        <v>SELESAI (VIA PERMOHONAN)</v>
      </c>
      <c r="G4387" s="17">
        <f>IFERROR(__xludf.DUMMYFUNCTION("""COMPUTED_VALUE"""),45979.43253297453)</f>
        <v>45979.43253</v>
      </c>
      <c r="H4387" s="14"/>
      <c r="I4387" s="13"/>
      <c r="J4387" s="17" t="str">
        <f>IFERROR(__xludf.DUMMYFUNCTION("""COMPUTED_VALUE"""),"")</f>
        <v/>
      </c>
      <c r="K4387" s="13" t="str">
        <f>IFERROR(__xludf.DUMMYFUNCTION("""COMPUTED_VALUE"""),"BT atau SU Belum Valid")</f>
        <v>BT atau SU Belum Valid</v>
      </c>
      <c r="L4387" s="13" t="str">
        <f>IFERROR(__xludf.DUMMYFUNCTION("""COMPUTED_VALUE"""),"")</f>
        <v/>
      </c>
      <c r="M4387" s="13"/>
      <c r="N4387" s="13" t="str">
        <f>IFERROR(__xludf.DUMMYFUNCTION("""COMPUTED_VALUE"""),"")</f>
        <v/>
      </c>
      <c r="O4387" s="13" t="str">
        <f t="shared" si="1"/>
        <v/>
      </c>
    </row>
    <row r="4388" ht="22.5" customHeight="1">
      <c r="B4388" s="13">
        <f>IFERROR(__xludf.DUMMYFUNCTION("""COMPUTED_VALUE"""),4383.0)</f>
        <v>4383</v>
      </c>
      <c r="C4388" s="13" t="str">
        <f>IFERROR(__xludf.DUMMYFUNCTION("""COMPUTED_VALUE"""),"M. 461 SUKABUMI INDAH")</f>
        <v>M. 461 SUKABUMI INDAH</v>
      </c>
      <c r="D4388" s="13" t="str">
        <f>IFERROR(__xludf.DUMMYFUNCTION("""COMPUTED_VALUE"""),"")</f>
        <v/>
      </c>
      <c r="E4388" s="14" t="str">
        <f>IFERROR(__xludf.DUMMYFUNCTION("""COMPUTED_VALUE"""),"Heri (BT)")</f>
        <v>Heri (BT)</v>
      </c>
      <c r="F4388" s="14" t="str">
        <f>IFERROR(__xludf.DUMMYFUNCTION("""COMPUTED_VALUE"""),"SELESAI (VIA PERMOHONAN)")</f>
        <v>SELESAI (VIA PERMOHONAN)</v>
      </c>
      <c r="G4388" s="17">
        <f>IFERROR(__xludf.DUMMYFUNCTION("""COMPUTED_VALUE"""),45979.43286798611)</f>
        <v>45979.43287</v>
      </c>
      <c r="H4388" s="14"/>
      <c r="I4388" s="13"/>
      <c r="J4388" s="17" t="str">
        <f>IFERROR(__xludf.DUMMYFUNCTION("""COMPUTED_VALUE"""),"")</f>
        <v/>
      </c>
      <c r="K4388" s="13" t="str">
        <f>IFERROR(__xludf.DUMMYFUNCTION("""COMPUTED_VALUE"""),"")</f>
        <v/>
      </c>
      <c r="L4388" s="13" t="str">
        <f>IFERROR(__xludf.DUMMYFUNCTION("""COMPUTED_VALUE"""),"")</f>
        <v/>
      </c>
      <c r="M4388" s="13"/>
      <c r="N4388" s="13" t="str">
        <f>IFERROR(__xludf.DUMMYFUNCTION("""COMPUTED_VALUE"""),"")</f>
        <v/>
      </c>
      <c r="O4388" s="13" t="str">
        <f t="shared" si="1"/>
        <v/>
      </c>
    </row>
    <row r="4389" ht="22.5" customHeight="1">
      <c r="B4389" s="13">
        <f>IFERROR(__xludf.DUMMYFUNCTION("""COMPUTED_VALUE"""),4384.0)</f>
        <v>4384</v>
      </c>
      <c r="C4389" s="13" t="str">
        <f>IFERROR(__xludf.DUMMYFUNCTION("""COMPUTED_VALUE"""),"B 5057/ SUKABUMI")</f>
        <v>B 5057/ SUKABUMI</v>
      </c>
      <c r="D4389" s="13" t="str">
        <f>IFERROR(__xludf.DUMMYFUNCTION("""COMPUTED_VALUE"""),"K/20/011027/3")</f>
        <v>K/20/011027/3</v>
      </c>
      <c r="E4389" s="14" t="str">
        <f>IFERROR(__xludf.DUMMYFUNCTION("""COMPUTED_VALUE"""),"Heri (BT)")</f>
        <v>Heri (BT)</v>
      </c>
      <c r="F4389" s="14" t="str">
        <f>IFERROR(__xludf.DUMMYFUNCTION("""COMPUTED_VALUE"""),"SELESAI (VIA PERMOHONAN)")</f>
        <v>SELESAI (VIA PERMOHONAN)</v>
      </c>
      <c r="G4389" s="17">
        <f>IFERROR(__xludf.DUMMYFUNCTION("""COMPUTED_VALUE"""),45979.43310623843)</f>
        <v>45979.43311</v>
      </c>
      <c r="H4389" s="14"/>
      <c r="I4389" s="13"/>
      <c r="J4389" s="17" t="str">
        <f>IFERROR(__xludf.DUMMYFUNCTION("""COMPUTED_VALUE"""),"")</f>
        <v/>
      </c>
      <c r="K4389" s="13" t="str">
        <f>IFERROR(__xludf.DUMMYFUNCTION("""COMPUTED_VALUE"""),"BT atau SU Belum Valid")</f>
        <v>BT atau SU Belum Valid</v>
      </c>
      <c r="L4389" s="13" t="str">
        <f>IFERROR(__xludf.DUMMYFUNCTION("""COMPUTED_VALUE"""),"")</f>
        <v/>
      </c>
      <c r="M4389" s="13"/>
      <c r="N4389" s="13" t="str">
        <f>IFERROR(__xludf.DUMMYFUNCTION("""COMPUTED_VALUE"""),"")</f>
        <v/>
      </c>
      <c r="O4389" s="13" t="str">
        <f t="shared" si="1"/>
        <v/>
      </c>
    </row>
    <row r="4390" ht="22.5" customHeight="1">
      <c r="B4390" s="13">
        <f>IFERROR(__xludf.DUMMYFUNCTION("""COMPUTED_VALUE"""),4385.0)</f>
        <v>4385</v>
      </c>
      <c r="C4390" s="13" t="str">
        <f>IFERROR(__xludf.DUMMYFUNCTION("""COMPUTED_VALUE"""),"M 376/LABUHAN DALAM")</f>
        <v>M 376/LABUHAN DALAM</v>
      </c>
      <c r="D4390" s="13" t="str">
        <f>IFERROR(__xludf.DUMMYFUNCTION("""COMPUTED_VALUE"""),"")</f>
        <v/>
      </c>
      <c r="E4390" s="14" t="str">
        <f>IFERROR(__xludf.DUMMYFUNCTION("""COMPUTED_VALUE"""),"Heri (BT)")</f>
        <v>Heri (BT)</v>
      </c>
      <c r="F4390" s="14" t="str">
        <f>IFERROR(__xludf.DUMMYFUNCTION("""COMPUTED_VALUE"""),"SELESAI (VIA PERMOHONAN)")</f>
        <v>SELESAI (VIA PERMOHONAN)</v>
      </c>
      <c r="G4390" s="17">
        <f>IFERROR(__xludf.DUMMYFUNCTION("""COMPUTED_VALUE"""),45979.43341403935)</f>
        <v>45979.43341</v>
      </c>
      <c r="H4390" s="14"/>
      <c r="I4390" s="13"/>
      <c r="J4390" s="17" t="str">
        <f>IFERROR(__xludf.DUMMYFUNCTION("""COMPUTED_VALUE"""),"")</f>
        <v/>
      </c>
      <c r="K4390" s="13" t="str">
        <f>IFERROR(__xludf.DUMMYFUNCTION("""COMPUTED_VALUE"""),"")</f>
        <v/>
      </c>
      <c r="L4390" s="13" t="str">
        <f>IFERROR(__xludf.DUMMYFUNCTION("""COMPUTED_VALUE"""),"")</f>
        <v/>
      </c>
      <c r="M4390" s="13"/>
      <c r="N4390" s="13" t="str">
        <f>IFERROR(__xludf.DUMMYFUNCTION("""COMPUTED_VALUE"""),"")</f>
        <v/>
      </c>
      <c r="O4390" s="13" t="str">
        <f t="shared" si="1"/>
        <v/>
      </c>
    </row>
    <row r="4391" ht="22.5" customHeight="1">
      <c r="B4391" s="13">
        <f>IFERROR(__xludf.DUMMYFUNCTION("""COMPUTED_VALUE"""),4386.0)</f>
        <v>4386</v>
      </c>
      <c r="C4391" s="13" t="str">
        <f>IFERROR(__xludf.DUMMYFUNCTION("""COMPUTED_VALUE"""),"M. 1919/SUKABUMI INDAH")</f>
        <v>M. 1919/SUKABUMI INDAH</v>
      </c>
      <c r="D4391" s="13" t="str">
        <f>IFERROR(__xludf.DUMMYFUNCTION("""COMPUTED_VALUE"""),"ABVSTPIB/AB045")</f>
        <v>ABVSTPIB/AB045</v>
      </c>
      <c r="E4391" s="14" t="str">
        <f>IFERROR(__xludf.DUMMYFUNCTION("""COMPUTED_VALUE"""),"Heri (BT)")</f>
        <v>Heri (BT)</v>
      </c>
      <c r="F4391" s="14" t="str">
        <f>IFERROR(__xludf.DUMMYFUNCTION("""COMPUTED_VALUE"""),"SELESAI (VIA PERMOHONAN)")</f>
        <v>SELESAI (VIA PERMOHONAN)</v>
      </c>
      <c r="G4391" s="17">
        <f>IFERROR(__xludf.DUMMYFUNCTION("""COMPUTED_VALUE"""),45979.43376866898)</f>
        <v>45979.43377</v>
      </c>
      <c r="H4391" s="14"/>
      <c r="I4391" s="13"/>
      <c r="J4391" s="17" t="str">
        <f>IFERROR(__xludf.DUMMYFUNCTION("""COMPUTED_VALUE"""),"")</f>
        <v/>
      </c>
      <c r="K4391" s="13" t="str">
        <f>IFERROR(__xludf.DUMMYFUNCTION("""COMPUTED_VALUE"""),"BT atau SU Belum Valid")</f>
        <v>BT atau SU Belum Valid</v>
      </c>
      <c r="L4391" s="13" t="str">
        <f>IFERROR(__xludf.DUMMYFUNCTION("""COMPUTED_VALUE"""),"")</f>
        <v/>
      </c>
      <c r="M4391" s="13"/>
      <c r="N4391" s="13" t="str">
        <f>IFERROR(__xludf.DUMMYFUNCTION("""COMPUTED_VALUE"""),"")</f>
        <v/>
      </c>
      <c r="O4391" s="13" t="str">
        <f t="shared" si="1"/>
        <v/>
      </c>
    </row>
    <row r="4392" ht="22.5" customHeight="1">
      <c r="B4392" s="13">
        <f>IFERROR(__xludf.DUMMYFUNCTION("""COMPUTED_VALUE"""),4387.0)</f>
        <v>4387</v>
      </c>
      <c r="C4392" s="13" t="str">
        <f>IFERROR(__xludf.DUMMYFUNCTION("""COMPUTED_VALUE"""),"M 305/ GEDONG AIR")</f>
        <v>M 305/ GEDONG AIR</v>
      </c>
      <c r="D4392" s="13" t="str">
        <f>IFERROR(__xludf.DUMMYFUNCTION("""COMPUTED_VALUE"""),"K/16/250925/1")</f>
        <v>K/16/250925/1</v>
      </c>
      <c r="E4392" s="14" t="str">
        <f>IFERROR(__xludf.DUMMYFUNCTION("""COMPUTED_VALUE"""),"Heri (BT)")</f>
        <v>Heri (BT)</v>
      </c>
      <c r="F4392" s="14" t="str">
        <f>IFERROR(__xludf.DUMMYFUNCTION("""COMPUTED_VALUE"""),"SELESAI (VIA PERMOHONAN)")</f>
        <v>SELESAI (VIA PERMOHONAN)</v>
      </c>
      <c r="G4392" s="17">
        <f>IFERROR(__xludf.DUMMYFUNCTION("""COMPUTED_VALUE"""),45979.43473771991)</f>
        <v>45979.43474</v>
      </c>
      <c r="H4392" s="14"/>
      <c r="I4392" s="13"/>
      <c r="J4392" s="17" t="str">
        <f>IFERROR(__xludf.DUMMYFUNCTION("""COMPUTED_VALUE"""),"")</f>
        <v/>
      </c>
      <c r="K4392" s="13" t="str">
        <f>IFERROR(__xludf.DUMMYFUNCTION("""COMPUTED_VALUE"""),"BT atau SU Belum Valid")</f>
        <v>BT atau SU Belum Valid</v>
      </c>
      <c r="L4392" s="13" t="str">
        <f>IFERROR(__xludf.DUMMYFUNCTION("""COMPUTED_VALUE"""),"")</f>
        <v/>
      </c>
      <c r="M4392" s="13"/>
      <c r="N4392" s="13" t="str">
        <f>IFERROR(__xludf.DUMMYFUNCTION("""COMPUTED_VALUE"""),"")</f>
        <v/>
      </c>
      <c r="O4392" s="13" t="str">
        <f t="shared" si="1"/>
        <v/>
      </c>
    </row>
    <row r="4393" ht="22.5" customHeight="1">
      <c r="B4393" s="13">
        <f>IFERROR(__xludf.DUMMYFUNCTION("""COMPUTED_VALUE"""),4388.0)</f>
        <v>4388</v>
      </c>
      <c r="C4393" s="13" t="str">
        <f>IFERROR(__xludf.DUMMYFUNCTION("""COMPUTED_VALUE"""),"M 1413/ KOTA BARU")</f>
        <v>M 1413/ KOTA BARU</v>
      </c>
      <c r="D4393" s="13" t="str">
        <f>IFERROR(__xludf.DUMMYFUNCTION("""COMPUTED_VALUE"""),"K/3/081025/1")</f>
        <v>K/3/081025/1</v>
      </c>
      <c r="E4393" s="14" t="str">
        <f>IFERROR(__xludf.DUMMYFUNCTION("""COMPUTED_VALUE"""),"Heri (BT)")</f>
        <v>Heri (BT)</v>
      </c>
      <c r="F4393" s="14" t="str">
        <f>IFERROR(__xludf.DUMMYFUNCTION("""COMPUTED_VALUE"""),"SELESAI (VIA PERMOHONAN)")</f>
        <v>SELESAI (VIA PERMOHONAN)</v>
      </c>
      <c r="G4393" s="17">
        <f>IFERROR(__xludf.DUMMYFUNCTION("""COMPUTED_VALUE"""),45979.43487769676)</f>
        <v>45979.43488</v>
      </c>
      <c r="H4393" s="14"/>
      <c r="I4393" s="13"/>
      <c r="J4393" s="17" t="str">
        <f>IFERROR(__xludf.DUMMYFUNCTION("""COMPUTED_VALUE"""),"")</f>
        <v/>
      </c>
      <c r="K4393" s="13" t="str">
        <f>IFERROR(__xludf.DUMMYFUNCTION("""COMPUTED_VALUE"""),"BT atau SU Belum Valid")</f>
        <v>BT atau SU Belum Valid</v>
      </c>
      <c r="L4393" s="13" t="str">
        <f>IFERROR(__xludf.DUMMYFUNCTION("""COMPUTED_VALUE"""),"")</f>
        <v/>
      </c>
      <c r="M4393" s="13"/>
      <c r="N4393" s="13" t="str">
        <f>IFERROR(__xludf.DUMMYFUNCTION("""COMPUTED_VALUE"""),"")</f>
        <v/>
      </c>
      <c r="O4393" s="13" t="str">
        <f t="shared" si="1"/>
        <v/>
      </c>
    </row>
    <row r="4394" ht="22.5" customHeight="1">
      <c r="B4394" s="13">
        <f>IFERROR(__xludf.DUMMYFUNCTION("""COMPUTED_VALUE"""),4389.0)</f>
        <v>4389</v>
      </c>
      <c r="C4394" s="13" t="str">
        <f>IFERROR(__xludf.DUMMYFUNCTION("""COMPUTED_VALUE"""),"M 1763/ JAGABAYA III")</f>
        <v>M 1763/ JAGABAYA III</v>
      </c>
      <c r="D4394" s="13" t="str">
        <f>IFERROR(__xludf.DUMMYFUNCTION("""COMPUTED_VALUE"""),"K/10/150925/1")</f>
        <v>K/10/150925/1</v>
      </c>
      <c r="E4394" s="14" t="str">
        <f>IFERROR(__xludf.DUMMYFUNCTION("""COMPUTED_VALUE"""),"Heri (BT)")</f>
        <v>Heri (BT)</v>
      </c>
      <c r="F4394" s="14" t="str">
        <f>IFERROR(__xludf.DUMMYFUNCTION("""COMPUTED_VALUE"""),"SELESAI (VIA PERMOHONAN)")</f>
        <v>SELESAI (VIA PERMOHONAN)</v>
      </c>
      <c r="G4394" s="17">
        <f>IFERROR(__xludf.DUMMYFUNCTION("""COMPUTED_VALUE"""),45979.4350193287)</f>
        <v>45979.43502</v>
      </c>
      <c r="H4394" s="14"/>
      <c r="I4394" s="13"/>
      <c r="J4394" s="17" t="str">
        <f>IFERROR(__xludf.DUMMYFUNCTION("""COMPUTED_VALUE"""),"")</f>
        <v/>
      </c>
      <c r="K4394" s="13" t="str">
        <f>IFERROR(__xludf.DUMMYFUNCTION("""COMPUTED_VALUE"""),"BT atau SU Belum Valid")</f>
        <v>BT atau SU Belum Valid</v>
      </c>
      <c r="L4394" s="13" t="str">
        <f>IFERROR(__xludf.DUMMYFUNCTION("""COMPUTED_VALUE"""),"")</f>
        <v/>
      </c>
      <c r="M4394" s="13"/>
      <c r="N4394" s="13" t="str">
        <f>IFERROR(__xludf.DUMMYFUNCTION("""COMPUTED_VALUE"""),"")</f>
        <v/>
      </c>
      <c r="O4394" s="13" t="str">
        <f t="shared" si="1"/>
        <v/>
      </c>
    </row>
    <row r="4395" ht="22.5" customHeight="1">
      <c r="B4395" s="13">
        <f>IFERROR(__xludf.DUMMYFUNCTION("""COMPUTED_VALUE"""),4390.0)</f>
        <v>4390</v>
      </c>
      <c r="C4395" s="13" t="str">
        <f>IFERROR(__xludf.DUMMYFUNCTION("""COMPUTED_VALUE"""),"M. 5374/Rajabasa Jaya	")</f>
        <v>M. 5374/Rajabasa Jaya	</v>
      </c>
      <c r="D4395" s="13" t="str">
        <f>IFERROR(__xludf.DUMMYFUNCTION("""COMPUTED_VALUE"""),"K/18/120925/1")</f>
        <v>K/18/120925/1</v>
      </c>
      <c r="E4395" s="14" t="str">
        <f>IFERROR(__xludf.DUMMYFUNCTION("""COMPUTED_VALUE"""),"Heri (BT)")</f>
        <v>Heri (BT)</v>
      </c>
      <c r="F4395" s="14" t="str">
        <f>IFERROR(__xludf.DUMMYFUNCTION("""COMPUTED_VALUE"""),"SELESAI (VIA PERMOHONAN)")</f>
        <v>SELESAI (VIA PERMOHONAN)</v>
      </c>
      <c r="G4395" s="17">
        <f>IFERROR(__xludf.DUMMYFUNCTION("""COMPUTED_VALUE"""),45979.435172453705)</f>
        <v>45979.43517</v>
      </c>
      <c r="H4395" s="14"/>
      <c r="I4395" s="13"/>
      <c r="J4395" s="17" t="str">
        <f>IFERROR(__xludf.DUMMYFUNCTION("""COMPUTED_VALUE"""),"")</f>
        <v/>
      </c>
      <c r="K4395" s="13" t="str">
        <f>IFERROR(__xludf.DUMMYFUNCTION("""COMPUTED_VALUE"""),"BT atau SU Belum Valid")</f>
        <v>BT atau SU Belum Valid</v>
      </c>
      <c r="L4395" s="13" t="str">
        <f>IFERROR(__xludf.DUMMYFUNCTION("""COMPUTED_VALUE"""),"")</f>
        <v/>
      </c>
      <c r="M4395" s="13"/>
      <c r="N4395" s="13" t="str">
        <f>IFERROR(__xludf.DUMMYFUNCTION("""COMPUTED_VALUE"""),"")</f>
        <v/>
      </c>
      <c r="O4395" s="13" t="str">
        <f t="shared" si="1"/>
        <v/>
      </c>
    </row>
    <row r="4396" ht="22.5" customHeight="1">
      <c r="B4396" s="13">
        <f>IFERROR(__xludf.DUMMYFUNCTION("""COMPUTED_VALUE"""),4391.0)</f>
        <v>4391</v>
      </c>
      <c r="C4396" s="13" t="str">
        <f>IFERROR(__xludf.DUMMYFUNCTION("""COMPUTED_VALUE"""),"B. 859/PWK")</f>
        <v>B. 859/PWK</v>
      </c>
      <c r="D4396" s="13" t="str">
        <f>IFERROR(__xludf.DUMMYFUNCTION("""COMPUTED_VALUE"""),"")</f>
        <v/>
      </c>
      <c r="E4396" s="14" t="str">
        <f>IFERROR(__xludf.DUMMYFUNCTION("""COMPUTED_VALUE"""),"Heri (BT)")</f>
        <v>Heri (BT)</v>
      </c>
      <c r="F4396" s="14" t="str">
        <f>IFERROR(__xludf.DUMMYFUNCTION("""COMPUTED_VALUE"""),"SELESAI (VIA PERMOHONAN)")</f>
        <v>SELESAI (VIA PERMOHONAN)</v>
      </c>
      <c r="G4396" s="17">
        <f>IFERROR(__xludf.DUMMYFUNCTION("""COMPUTED_VALUE"""),45979.435501087966)</f>
        <v>45979.4355</v>
      </c>
      <c r="H4396" s="14"/>
      <c r="I4396" s="13"/>
      <c r="J4396" s="17" t="str">
        <f>IFERROR(__xludf.DUMMYFUNCTION("""COMPUTED_VALUE"""),"")</f>
        <v/>
      </c>
      <c r="K4396" s="13" t="str">
        <f>IFERROR(__xludf.DUMMYFUNCTION("""COMPUTED_VALUE"""),"")</f>
        <v/>
      </c>
      <c r="L4396" s="13" t="str">
        <f>IFERROR(__xludf.DUMMYFUNCTION("""COMPUTED_VALUE"""),"")</f>
        <v/>
      </c>
      <c r="M4396" s="13"/>
      <c r="N4396" s="13" t="str">
        <f>IFERROR(__xludf.DUMMYFUNCTION("""COMPUTED_VALUE"""),"")</f>
        <v/>
      </c>
      <c r="O4396" s="13" t="str">
        <f t="shared" si="1"/>
        <v/>
      </c>
    </row>
    <row r="4397" ht="22.5" customHeight="1">
      <c r="B4397" s="13">
        <f>IFERROR(__xludf.DUMMYFUNCTION("""COMPUTED_VALUE"""),4392.0)</f>
        <v>4392</v>
      </c>
      <c r="C4397" s="13" t="str">
        <f>IFERROR(__xludf.DUMMYFUNCTION("""COMPUTED_VALUE"""),"M 6125/ WAY KANDIS")</f>
        <v>M 6125/ WAY KANDIS</v>
      </c>
      <c r="D4397" s="13" t="str">
        <f>IFERROR(__xludf.DUMMYFUNCTION("""COMPUTED_VALUE"""),"K/17/071025/1")</f>
        <v>K/17/071025/1</v>
      </c>
      <c r="E4397" s="14" t="str">
        <f>IFERROR(__xludf.DUMMYFUNCTION("""COMPUTED_VALUE"""),"Heri (BT)")</f>
        <v>Heri (BT)</v>
      </c>
      <c r="F4397" s="14" t="str">
        <f>IFERROR(__xludf.DUMMYFUNCTION("""COMPUTED_VALUE"""),"SELESAI (VIA PERMOHONAN)")</f>
        <v>SELESAI (VIA PERMOHONAN)</v>
      </c>
      <c r="G4397" s="17">
        <f>IFERROR(__xludf.DUMMYFUNCTION("""COMPUTED_VALUE"""),45979.435652245375)</f>
        <v>45979.43565</v>
      </c>
      <c r="H4397" s="14"/>
      <c r="I4397" s="13"/>
      <c r="J4397" s="17" t="str">
        <f>IFERROR(__xludf.DUMMYFUNCTION("""COMPUTED_VALUE"""),"")</f>
        <v/>
      </c>
      <c r="K4397" s="13" t="str">
        <f>IFERROR(__xludf.DUMMYFUNCTION("""COMPUTED_VALUE"""),"BT atau SU Belum Valid")</f>
        <v>BT atau SU Belum Valid</v>
      </c>
      <c r="L4397" s="13" t="str">
        <f>IFERROR(__xludf.DUMMYFUNCTION("""COMPUTED_VALUE"""),"")</f>
        <v/>
      </c>
      <c r="M4397" s="13"/>
      <c r="N4397" s="13" t="str">
        <f>IFERROR(__xludf.DUMMYFUNCTION("""COMPUTED_VALUE"""),"")</f>
        <v/>
      </c>
      <c r="O4397" s="13" t="str">
        <f t="shared" si="1"/>
        <v/>
      </c>
    </row>
    <row r="4398" ht="22.5" customHeight="1">
      <c r="B4398" s="13">
        <f>IFERROR(__xludf.DUMMYFUNCTION("""COMPUTED_VALUE"""),4393.0)</f>
        <v>4393</v>
      </c>
      <c r="C4398" s="13" t="str">
        <f>IFERROR(__xludf.DUMMYFUNCTION("""COMPUTED_VALUE"""),"M 3266/ KOTA BARU")</f>
        <v>M 3266/ KOTA BARU</v>
      </c>
      <c r="D4398" s="13" t="str">
        <f>IFERROR(__xludf.DUMMYFUNCTION("""COMPUTED_VALUE"""),"K/10/061025/1")</f>
        <v>K/10/061025/1</v>
      </c>
      <c r="E4398" s="14" t="str">
        <f>IFERROR(__xludf.DUMMYFUNCTION("""COMPUTED_VALUE"""),"Heri (BT)")</f>
        <v>Heri (BT)</v>
      </c>
      <c r="F4398" s="14" t="str">
        <f>IFERROR(__xludf.DUMMYFUNCTION("""COMPUTED_VALUE"""),"SELESAI (VIA PERMOHONAN)")</f>
        <v>SELESAI (VIA PERMOHONAN)</v>
      </c>
      <c r="G4398" s="17">
        <f>IFERROR(__xludf.DUMMYFUNCTION("""COMPUTED_VALUE"""),45979.435852106486)</f>
        <v>45979.43585</v>
      </c>
      <c r="H4398" s="14"/>
      <c r="I4398" s="13"/>
      <c r="J4398" s="17" t="str">
        <f>IFERROR(__xludf.DUMMYFUNCTION("""COMPUTED_VALUE"""),"")</f>
        <v/>
      </c>
      <c r="K4398" s="13" t="str">
        <f>IFERROR(__xludf.DUMMYFUNCTION("""COMPUTED_VALUE"""),"BT atau SU Belum Valid")</f>
        <v>BT atau SU Belum Valid</v>
      </c>
      <c r="L4398" s="13" t="str">
        <f>IFERROR(__xludf.DUMMYFUNCTION("""COMPUTED_VALUE"""),"")</f>
        <v/>
      </c>
      <c r="M4398" s="13"/>
      <c r="N4398" s="13" t="str">
        <f>IFERROR(__xludf.DUMMYFUNCTION("""COMPUTED_VALUE"""),"")</f>
        <v/>
      </c>
      <c r="O4398" s="13" t="str">
        <f t="shared" si="1"/>
        <v/>
      </c>
    </row>
    <row r="4399" ht="22.5" customHeight="1">
      <c r="B4399" s="13">
        <f>IFERROR(__xludf.DUMMYFUNCTION("""COMPUTED_VALUE"""),4394.0)</f>
        <v>4394</v>
      </c>
      <c r="C4399" s="13" t="str">
        <f>IFERROR(__xludf.DUMMYFUNCTION("""COMPUTED_VALUE"""),"M 82/KOTA SEPANG")</f>
        <v>M 82/KOTA SEPANG</v>
      </c>
      <c r="D4399" s="13" t="str">
        <f>IFERROR(__xludf.DUMMYFUNCTION("""COMPUTED_VALUE"""),"")</f>
        <v/>
      </c>
      <c r="E4399" s="14" t="str">
        <f>IFERROR(__xludf.DUMMYFUNCTION("""COMPUTED_VALUE"""),"Heri (BT)")</f>
        <v>Heri (BT)</v>
      </c>
      <c r="F4399" s="14" t="str">
        <f>IFERROR(__xludf.DUMMYFUNCTION("""COMPUTED_VALUE"""),"SELESAI (VIA PERMOHONAN)")</f>
        <v>SELESAI (VIA PERMOHONAN)</v>
      </c>
      <c r="G4399" s="17">
        <f>IFERROR(__xludf.DUMMYFUNCTION("""COMPUTED_VALUE"""),45979.43606494213)</f>
        <v>45979.43606</v>
      </c>
      <c r="H4399" s="14"/>
      <c r="I4399" s="13"/>
      <c r="J4399" s="17" t="str">
        <f>IFERROR(__xludf.DUMMYFUNCTION("""COMPUTED_VALUE"""),"")</f>
        <v/>
      </c>
      <c r="K4399" s="13" t="str">
        <f>IFERROR(__xludf.DUMMYFUNCTION("""COMPUTED_VALUE"""),"")</f>
        <v/>
      </c>
      <c r="L4399" s="13" t="str">
        <f>IFERROR(__xludf.DUMMYFUNCTION("""COMPUTED_VALUE"""),"")</f>
        <v/>
      </c>
      <c r="M4399" s="13"/>
      <c r="N4399" s="13" t="str">
        <f>IFERROR(__xludf.DUMMYFUNCTION("""COMPUTED_VALUE"""),"")</f>
        <v/>
      </c>
      <c r="O4399" s="13" t="str">
        <f t="shared" si="1"/>
        <v/>
      </c>
    </row>
    <row r="4400" ht="22.5" customHeight="1">
      <c r="B4400" s="13">
        <f>IFERROR(__xludf.DUMMYFUNCTION("""COMPUTED_VALUE"""),4395.0)</f>
        <v>4395</v>
      </c>
      <c r="C4400" s="13" t="str">
        <f>IFERROR(__xludf.DUMMYFUNCTION("""COMPUTED_VALUE"""),"M. 1836/Beringin Jaya	")</f>
        <v>M. 1836/Beringin Jaya	</v>
      </c>
      <c r="D4400" s="13" t="str">
        <f>IFERROR(__xludf.DUMMYFUNCTION("""COMPUTED_VALUE"""),"K/48/091025/1")</f>
        <v>K/48/091025/1</v>
      </c>
      <c r="E4400" s="14" t="str">
        <f>IFERROR(__xludf.DUMMYFUNCTION("""COMPUTED_VALUE"""),"Heri (BT)")</f>
        <v>Heri (BT)</v>
      </c>
      <c r="F4400" s="14" t="str">
        <f>IFERROR(__xludf.DUMMYFUNCTION("""COMPUTED_VALUE"""),"SELESAI (VIA PERMOHONAN)")</f>
        <v>SELESAI (VIA PERMOHONAN)</v>
      </c>
      <c r="G4400" s="17">
        <f>IFERROR(__xludf.DUMMYFUNCTION("""COMPUTED_VALUE"""),45980.689223043984)</f>
        <v>45980.68922</v>
      </c>
      <c r="H4400" s="14"/>
      <c r="I4400" s="13"/>
      <c r="J4400" s="17" t="str">
        <f>IFERROR(__xludf.DUMMYFUNCTION("""COMPUTED_VALUE"""),"")</f>
        <v/>
      </c>
      <c r="K4400" s="13" t="str">
        <f>IFERROR(__xludf.DUMMYFUNCTION("""COMPUTED_VALUE"""),"BT atau SU Belum Valid")</f>
        <v>BT atau SU Belum Valid</v>
      </c>
      <c r="L4400" s="13" t="str">
        <f>IFERROR(__xludf.DUMMYFUNCTION("""COMPUTED_VALUE"""),"")</f>
        <v/>
      </c>
      <c r="M4400" s="13"/>
      <c r="N4400" s="13" t="str">
        <f>IFERROR(__xludf.DUMMYFUNCTION("""COMPUTED_VALUE"""),"")</f>
        <v/>
      </c>
      <c r="O4400" s="13" t="str">
        <f t="shared" si="1"/>
        <v/>
      </c>
    </row>
    <row r="4401" ht="22.5" customHeight="1">
      <c r="B4401" s="13">
        <f>IFERROR(__xludf.DUMMYFUNCTION("""COMPUTED_VALUE"""),4396.0)</f>
        <v>4396</v>
      </c>
      <c r="C4401" s="13" t="str">
        <f>IFERROR(__xludf.DUMMYFUNCTION("""COMPUTED_VALUE"""),"M. 242/Pengajaran	")</f>
        <v>M. 242/Pengajaran	</v>
      </c>
      <c r="D4401" s="13" t="str">
        <f>IFERROR(__xludf.DUMMYFUNCTION("""COMPUTED_VALUE"""),"K/41/101025/1")</f>
        <v>K/41/101025/1</v>
      </c>
      <c r="E4401" s="14" t="str">
        <f>IFERROR(__xludf.DUMMYFUNCTION("""COMPUTED_VALUE"""),"Heri (BT)")</f>
        <v>Heri (BT)</v>
      </c>
      <c r="F4401" s="14" t="str">
        <f>IFERROR(__xludf.DUMMYFUNCTION("""COMPUTED_VALUE"""),"SELESAI (VIA PERMOHONAN)")</f>
        <v>SELESAI (VIA PERMOHONAN)</v>
      </c>
      <c r="G4401" s="17">
        <f>IFERROR(__xludf.DUMMYFUNCTION("""COMPUTED_VALUE"""),45980.689333981485)</f>
        <v>45980.68933</v>
      </c>
      <c r="H4401" s="14"/>
      <c r="I4401" s="13"/>
      <c r="J4401" s="17" t="str">
        <f>IFERROR(__xludf.DUMMYFUNCTION("""COMPUTED_VALUE"""),"")</f>
        <v/>
      </c>
      <c r="K4401" s="13" t="str">
        <f>IFERROR(__xludf.DUMMYFUNCTION("""COMPUTED_VALUE"""),"BT atau SU Belum Valid")</f>
        <v>BT atau SU Belum Valid</v>
      </c>
      <c r="L4401" s="13" t="str">
        <f>IFERROR(__xludf.DUMMYFUNCTION("""COMPUTED_VALUE"""),"")</f>
        <v/>
      </c>
      <c r="M4401" s="13"/>
      <c r="N4401" s="13" t="str">
        <f>IFERROR(__xludf.DUMMYFUNCTION("""COMPUTED_VALUE"""),"")</f>
        <v/>
      </c>
      <c r="O4401" s="13" t="str">
        <f t="shared" si="1"/>
        <v/>
      </c>
    </row>
    <row r="4402" ht="22.5" customHeight="1">
      <c r="B4402" s="13">
        <f>IFERROR(__xludf.DUMMYFUNCTION("""COMPUTED_VALUE"""),4397.0)</f>
        <v>4397</v>
      </c>
      <c r="C4402" s="13" t="str">
        <f>IFERROR(__xludf.DUMMYFUNCTION("""COMPUTED_VALUE"""),"M. 2672/Campang Raya	")</f>
        <v>M. 2672/Campang Raya	</v>
      </c>
      <c r="D4402" s="13" t="str">
        <f>IFERROR(__xludf.DUMMYFUNCTION("""COMPUTED_VALUE"""),"K/7/101025/2")</f>
        <v>K/7/101025/2</v>
      </c>
      <c r="E4402" s="14" t="str">
        <f>IFERROR(__xludf.DUMMYFUNCTION("""COMPUTED_VALUE"""),"Heri (BT)")</f>
        <v>Heri (BT)</v>
      </c>
      <c r="F4402" s="14" t="str">
        <f>IFERROR(__xludf.DUMMYFUNCTION("""COMPUTED_VALUE"""),"SELESAI (VIA PERMOHONAN)")</f>
        <v>SELESAI (VIA PERMOHONAN)</v>
      </c>
      <c r="G4402" s="17">
        <f>IFERROR(__xludf.DUMMYFUNCTION("""COMPUTED_VALUE"""),45980.68987957176)</f>
        <v>45980.68988</v>
      </c>
      <c r="H4402" s="14"/>
      <c r="I4402" s="13"/>
      <c r="J4402" s="17" t="str">
        <f>IFERROR(__xludf.DUMMYFUNCTION("""COMPUTED_VALUE"""),"")</f>
        <v/>
      </c>
      <c r="K4402" s="13" t="str">
        <f>IFERROR(__xludf.DUMMYFUNCTION("""COMPUTED_VALUE"""),"BT atau SU Belum Valid")</f>
        <v>BT atau SU Belum Valid</v>
      </c>
      <c r="L4402" s="13" t="str">
        <f>IFERROR(__xludf.DUMMYFUNCTION("""COMPUTED_VALUE"""),"")</f>
        <v/>
      </c>
      <c r="M4402" s="13"/>
      <c r="N4402" s="13" t="str">
        <f>IFERROR(__xludf.DUMMYFUNCTION("""COMPUTED_VALUE"""),"")</f>
        <v/>
      </c>
      <c r="O4402" s="13" t="str">
        <f t="shared" si="1"/>
        <v/>
      </c>
    </row>
    <row r="4403" ht="22.5" customHeight="1">
      <c r="B4403" s="13">
        <f>IFERROR(__xludf.DUMMYFUNCTION("""COMPUTED_VALUE"""),4398.0)</f>
        <v>4398</v>
      </c>
      <c r="C4403" s="13" t="str">
        <f>IFERROR(__xludf.DUMMYFUNCTION("""COMPUTED_VALUE"""),"M. 3130/Sukadana Ham	")</f>
        <v>M. 3130/Sukadana Ham	</v>
      </c>
      <c r="D4403" s="13" t="str">
        <f>IFERROR(__xludf.DUMMYFUNCTION("""COMPUTED_VALUE"""),"K/12/150925/2")</f>
        <v>K/12/150925/2</v>
      </c>
      <c r="E4403" s="14" t="str">
        <f>IFERROR(__xludf.DUMMYFUNCTION("""COMPUTED_VALUE"""),"Heri (BT)")</f>
        <v>Heri (BT)</v>
      </c>
      <c r="F4403" s="14" t="str">
        <f>IFERROR(__xludf.DUMMYFUNCTION("""COMPUTED_VALUE"""),"SELESAI (VIA PERMOHONAN)")</f>
        <v>SELESAI (VIA PERMOHONAN)</v>
      </c>
      <c r="G4403" s="17">
        <f>IFERROR(__xludf.DUMMYFUNCTION("""COMPUTED_VALUE"""),45980.69001755787)</f>
        <v>45980.69002</v>
      </c>
      <c r="H4403" s="14"/>
      <c r="I4403" s="13"/>
      <c r="J4403" s="17" t="str">
        <f>IFERROR(__xludf.DUMMYFUNCTION("""COMPUTED_VALUE"""),"")</f>
        <v/>
      </c>
      <c r="K4403" s="13" t="str">
        <f>IFERROR(__xludf.DUMMYFUNCTION("""COMPUTED_VALUE"""),"BT atau SU Belum Valid")</f>
        <v>BT atau SU Belum Valid</v>
      </c>
      <c r="L4403" s="13" t="str">
        <f>IFERROR(__xludf.DUMMYFUNCTION("""COMPUTED_VALUE"""),"")</f>
        <v/>
      </c>
      <c r="M4403" s="13"/>
      <c r="N4403" s="13" t="str">
        <f>IFERROR(__xludf.DUMMYFUNCTION("""COMPUTED_VALUE"""),"")</f>
        <v/>
      </c>
      <c r="O4403" s="13" t="str">
        <f t="shared" si="1"/>
        <v/>
      </c>
    </row>
    <row r="4404" ht="22.5" customHeight="1">
      <c r="B4404" s="13">
        <f>IFERROR(__xludf.DUMMYFUNCTION("""COMPUTED_VALUE"""),4399.0)</f>
        <v>4399</v>
      </c>
      <c r="C4404" s="13" t="str">
        <f>IFERROR(__xludf.DUMMYFUNCTION("""COMPUTED_VALUE"""),"M. 683/Sukaraja	")</f>
        <v>M. 683/Sukaraja	</v>
      </c>
      <c r="D4404" s="13" t="str">
        <f>IFERROR(__xludf.DUMMYFUNCTION("""COMPUTED_VALUE"""),"K/23/071025/3	")</f>
        <v>K/23/071025/3	</v>
      </c>
      <c r="E4404" s="14" t="str">
        <f>IFERROR(__xludf.DUMMYFUNCTION("""COMPUTED_VALUE"""),"Heri (BT)")</f>
        <v>Heri (BT)</v>
      </c>
      <c r="F4404" s="14" t="str">
        <f>IFERROR(__xludf.DUMMYFUNCTION("""COMPUTED_VALUE"""),"SELESAI (VIA PERMOHONAN)")</f>
        <v>SELESAI (VIA PERMOHONAN)</v>
      </c>
      <c r="G4404" s="17">
        <f>IFERROR(__xludf.DUMMYFUNCTION("""COMPUTED_VALUE"""),45980.690282407406)</f>
        <v>45980.69028</v>
      </c>
      <c r="H4404" s="14"/>
      <c r="I4404" s="13"/>
      <c r="J4404" s="17" t="str">
        <f>IFERROR(__xludf.DUMMYFUNCTION("""COMPUTED_VALUE"""),"")</f>
        <v/>
      </c>
      <c r="K4404" s="13" t="str">
        <f>IFERROR(__xludf.DUMMYFUNCTION("""COMPUTED_VALUE"""),"BT atau SU Belum Valid")</f>
        <v>BT atau SU Belum Valid</v>
      </c>
      <c r="L4404" s="13" t="str">
        <f>IFERROR(__xludf.DUMMYFUNCTION("""COMPUTED_VALUE"""),"")</f>
        <v/>
      </c>
      <c r="M4404" s="13"/>
      <c r="N4404" s="13" t="str">
        <f>IFERROR(__xludf.DUMMYFUNCTION("""COMPUTED_VALUE"""),"")</f>
        <v/>
      </c>
      <c r="O4404" s="13" t="str">
        <f t="shared" si="1"/>
        <v/>
      </c>
    </row>
    <row r="4405" ht="22.5" customHeight="1">
      <c r="B4405" s="13">
        <f>IFERROR(__xludf.DUMMYFUNCTION("""COMPUTED_VALUE"""),4400.0)</f>
        <v>4400</v>
      </c>
      <c r="C4405" s="13" t="str">
        <f>IFERROR(__xludf.DUMMYFUNCTION("""COMPUTED_VALUE"""),"M. 2314/Sukarame Baru	")</f>
        <v>M. 2314/Sukarame Baru	</v>
      </c>
      <c r="D4405" s="13" t="str">
        <f>IFERROR(__xludf.DUMMYFUNCTION("""COMPUTED_VALUE"""),"K/29/080925/1")</f>
        <v>K/29/080925/1</v>
      </c>
      <c r="E4405" s="14" t="str">
        <f>IFERROR(__xludf.DUMMYFUNCTION("""COMPUTED_VALUE"""),"Heri (BT)")</f>
        <v>Heri (BT)</v>
      </c>
      <c r="F4405" s="14" t="str">
        <f>IFERROR(__xludf.DUMMYFUNCTION("""COMPUTED_VALUE"""),"SELESAI (VIA PERMOHONAN)")</f>
        <v>SELESAI (VIA PERMOHONAN)</v>
      </c>
      <c r="G4405" s="17">
        <f>IFERROR(__xludf.DUMMYFUNCTION("""COMPUTED_VALUE"""),45980.69078574074)</f>
        <v>45980.69079</v>
      </c>
      <c r="H4405" s="14"/>
      <c r="I4405" s="13"/>
      <c r="J4405" s="17" t="str">
        <f>IFERROR(__xludf.DUMMYFUNCTION("""COMPUTED_VALUE"""),"")</f>
        <v/>
      </c>
      <c r="K4405" s="13" t="str">
        <f>IFERROR(__xludf.DUMMYFUNCTION("""COMPUTED_VALUE"""),"BT atau SU Belum Valid")</f>
        <v>BT atau SU Belum Valid</v>
      </c>
      <c r="L4405" s="13" t="str">
        <f>IFERROR(__xludf.DUMMYFUNCTION("""COMPUTED_VALUE"""),"")</f>
        <v/>
      </c>
      <c r="M4405" s="13"/>
      <c r="N4405" s="13" t="str">
        <f>IFERROR(__xludf.DUMMYFUNCTION("""COMPUTED_VALUE"""),"")</f>
        <v/>
      </c>
      <c r="O4405" s="13" t="str">
        <f t="shared" si="1"/>
        <v/>
      </c>
    </row>
    <row r="4406" ht="22.5" customHeight="1">
      <c r="B4406" s="13">
        <f>IFERROR(__xludf.DUMMYFUNCTION("""COMPUTED_VALUE"""),4401.0)</f>
        <v>4401</v>
      </c>
      <c r="C4406" s="13" t="str">
        <f>IFERROR(__xludf.DUMMYFUNCTION("""COMPUTED_VALUE"""),"M. 3440/Langkapura	")</f>
        <v>M. 3440/Langkapura	</v>
      </c>
      <c r="D4406" s="13" t="str">
        <f>IFERROR(__xludf.DUMMYFUNCTION("""COMPUTED_VALUE"""),"K/3/160925/1")</f>
        <v>K/3/160925/1</v>
      </c>
      <c r="E4406" s="14" t="str">
        <f>IFERROR(__xludf.DUMMYFUNCTION("""COMPUTED_VALUE"""),"Heri (BT)")</f>
        <v>Heri (BT)</v>
      </c>
      <c r="F4406" s="14" t="str">
        <f>IFERROR(__xludf.DUMMYFUNCTION("""COMPUTED_VALUE"""),"SELESAI (VIA PERMOHONAN)")</f>
        <v>SELESAI (VIA PERMOHONAN)</v>
      </c>
      <c r="G4406" s="17">
        <f>IFERROR(__xludf.DUMMYFUNCTION("""COMPUTED_VALUE"""),45980.690938125)</f>
        <v>45980.69094</v>
      </c>
      <c r="H4406" s="14"/>
      <c r="I4406" s="13"/>
      <c r="J4406" s="17" t="str">
        <f>IFERROR(__xludf.DUMMYFUNCTION("""COMPUTED_VALUE"""),"")</f>
        <v/>
      </c>
      <c r="K4406" s="13" t="str">
        <f>IFERROR(__xludf.DUMMYFUNCTION("""COMPUTED_VALUE"""),"BT atau SU Belum Valid")</f>
        <v>BT atau SU Belum Valid</v>
      </c>
      <c r="L4406" s="13" t="str">
        <f>IFERROR(__xludf.DUMMYFUNCTION("""COMPUTED_VALUE"""),"")</f>
        <v/>
      </c>
      <c r="M4406" s="13"/>
      <c r="N4406" s="13" t="str">
        <f>IFERROR(__xludf.DUMMYFUNCTION("""COMPUTED_VALUE"""),"")</f>
        <v/>
      </c>
      <c r="O4406" s="13" t="str">
        <f t="shared" si="1"/>
        <v/>
      </c>
    </row>
    <row r="4407" ht="22.5" customHeight="1">
      <c r="B4407" s="13">
        <f>IFERROR(__xludf.DUMMYFUNCTION("""COMPUTED_VALUE"""),4402.0)</f>
        <v>4402</v>
      </c>
      <c r="C4407" s="13" t="str">
        <f>IFERROR(__xludf.DUMMYFUNCTION("""COMPUTED_VALUE"""),"M. 434/Korpri Raya")</f>
        <v>M. 434/Korpri Raya</v>
      </c>
      <c r="D4407" s="13" t="str">
        <f>IFERROR(__xludf.DUMMYFUNCTION("""COMPUTED_VALUE"""),"K/11/011026/1")</f>
        <v>K/11/011026/1</v>
      </c>
      <c r="E4407" s="14" t="str">
        <f>IFERROR(__xludf.DUMMYFUNCTION("""COMPUTED_VALUE"""),"Heri (BT)")</f>
        <v>Heri (BT)</v>
      </c>
      <c r="F4407" s="14" t="str">
        <f>IFERROR(__xludf.DUMMYFUNCTION("""COMPUTED_VALUE"""),"SELESAI (VIA PERMOHONAN)")</f>
        <v>SELESAI (VIA PERMOHONAN)</v>
      </c>
      <c r="G4407" s="17">
        <f>IFERROR(__xludf.DUMMYFUNCTION("""COMPUTED_VALUE"""),45980.691093217596)</f>
        <v>45980.69109</v>
      </c>
      <c r="H4407" s="14"/>
      <c r="I4407" s="13"/>
      <c r="J4407" s="17" t="str">
        <f>IFERROR(__xludf.DUMMYFUNCTION("""COMPUTED_VALUE"""),"")</f>
        <v/>
      </c>
      <c r="K4407" s="13" t="str">
        <f>IFERROR(__xludf.DUMMYFUNCTION("""COMPUTED_VALUE"""),"BT atau SU Belum Valid")</f>
        <v>BT atau SU Belum Valid</v>
      </c>
      <c r="L4407" s="13" t="str">
        <f>IFERROR(__xludf.DUMMYFUNCTION("""COMPUTED_VALUE"""),"")</f>
        <v/>
      </c>
      <c r="M4407" s="13"/>
      <c r="N4407" s="13" t="str">
        <f>IFERROR(__xludf.DUMMYFUNCTION("""COMPUTED_VALUE"""),"")</f>
        <v/>
      </c>
      <c r="O4407" s="13" t="str">
        <f t="shared" si="1"/>
        <v/>
      </c>
    </row>
    <row r="4408" ht="22.5" customHeight="1">
      <c r="B4408" s="13">
        <f>IFERROR(__xludf.DUMMYFUNCTION("""COMPUTED_VALUE"""),4403.0)</f>
        <v>4403</v>
      </c>
      <c r="C4408" s="13" t="str">
        <f>IFERROR(__xludf.DUMMYFUNCTION("""COMPUTED_VALUE"""),"M.1155/KORPRI JAYA")</f>
        <v>M.1155/KORPRI JAYA</v>
      </c>
      <c r="D4408" s="13" t="str">
        <f>IFERROR(__xludf.DUMMYFUNCTION("""COMPUTED_VALUE"""),"K/31/300925/1")</f>
        <v>K/31/300925/1</v>
      </c>
      <c r="E4408" s="14" t="str">
        <f>IFERROR(__xludf.DUMMYFUNCTION("""COMPUTED_VALUE"""),"Heri (BT)")</f>
        <v>Heri (BT)</v>
      </c>
      <c r="F4408" s="14" t="str">
        <f>IFERROR(__xludf.DUMMYFUNCTION("""COMPUTED_VALUE"""),"SELESAI (VIA PERMOHONAN)")</f>
        <v>SELESAI (VIA PERMOHONAN)</v>
      </c>
      <c r="G4408" s="17">
        <f>IFERROR(__xludf.DUMMYFUNCTION("""COMPUTED_VALUE"""),45981.48630282407)</f>
        <v>45981.4863</v>
      </c>
      <c r="H4408" s="14"/>
      <c r="I4408" s="13"/>
      <c r="J4408" s="17" t="str">
        <f>IFERROR(__xludf.DUMMYFUNCTION("""COMPUTED_VALUE"""),"")</f>
        <v/>
      </c>
      <c r="K4408" s="13" t="str">
        <f>IFERROR(__xludf.DUMMYFUNCTION("""COMPUTED_VALUE"""),"BT atau SU Belum Valid")</f>
        <v>BT atau SU Belum Valid</v>
      </c>
      <c r="L4408" s="13" t="str">
        <f>IFERROR(__xludf.DUMMYFUNCTION("""COMPUTED_VALUE"""),"")</f>
        <v/>
      </c>
      <c r="M4408" s="13"/>
      <c r="N4408" s="13" t="str">
        <f>IFERROR(__xludf.DUMMYFUNCTION("""COMPUTED_VALUE"""),"")</f>
        <v/>
      </c>
      <c r="O4408" s="13" t="str">
        <f t="shared" si="1"/>
        <v/>
      </c>
    </row>
    <row r="4409" ht="22.5" customHeight="1">
      <c r="B4409" s="13">
        <f>IFERROR(__xludf.DUMMYFUNCTION("""COMPUTED_VALUE"""),4404.0)</f>
        <v>4404</v>
      </c>
      <c r="C4409" s="13" t="str">
        <f>IFERROR(__xludf.DUMMYFUNCTION("""COMPUTED_VALUE"""),"M. 1557/KALI BALAU KENCANA")</f>
        <v>M. 1557/KALI BALAU KENCANA</v>
      </c>
      <c r="D4409" s="13" t="str">
        <f>IFERROR(__xludf.DUMMYFUNCTION("""COMPUTED_VALUE"""),"L/4/260825/1")</f>
        <v>L/4/260825/1</v>
      </c>
      <c r="E4409" s="14" t="str">
        <f>IFERROR(__xludf.DUMMYFUNCTION("""COMPUTED_VALUE"""),"Heri (BT)")</f>
        <v>Heri (BT)</v>
      </c>
      <c r="F4409" s="14" t="str">
        <f>IFERROR(__xludf.DUMMYFUNCTION("""COMPUTED_VALUE"""),"SELESAI (VIA PERMOHONAN)")</f>
        <v>SELESAI (VIA PERMOHONAN)</v>
      </c>
      <c r="G4409" s="17">
        <f>IFERROR(__xludf.DUMMYFUNCTION("""COMPUTED_VALUE"""),45981.486425428244)</f>
        <v>45981.48643</v>
      </c>
      <c r="H4409" s="14"/>
      <c r="I4409" s="13"/>
      <c r="J4409" s="17" t="str">
        <f>IFERROR(__xludf.DUMMYFUNCTION("""COMPUTED_VALUE"""),"")</f>
        <v/>
      </c>
      <c r="K4409" s="13" t="str">
        <f>IFERROR(__xludf.DUMMYFUNCTION("""COMPUTED_VALUE"""),"BT atau SU Belum Valid")</f>
        <v>BT atau SU Belum Valid</v>
      </c>
      <c r="L4409" s="13" t="str">
        <f>IFERROR(__xludf.DUMMYFUNCTION("""COMPUTED_VALUE"""),"")</f>
        <v/>
      </c>
      <c r="M4409" s="13"/>
      <c r="N4409" s="13" t="str">
        <f>IFERROR(__xludf.DUMMYFUNCTION("""COMPUTED_VALUE"""),"")</f>
        <v/>
      </c>
      <c r="O4409" s="13" t="str">
        <f t="shared" si="1"/>
        <v/>
      </c>
    </row>
    <row r="4410" ht="22.5" customHeight="1">
      <c r="B4410" s="13">
        <f>IFERROR(__xludf.DUMMYFUNCTION("""COMPUTED_VALUE"""),4405.0)</f>
        <v>4405</v>
      </c>
      <c r="C4410" s="13" t="str">
        <f>IFERROR(__xludf.DUMMYFUNCTION("""COMPUTED_VALUE"""),"M. 2961/TANJUNG SENANG")</f>
        <v>M. 2961/TANJUNG SENANG</v>
      </c>
      <c r="D4410" s="13" t="str">
        <f>IFERROR(__xludf.DUMMYFUNCTION("""COMPUTED_VALUE"""),"")</f>
        <v/>
      </c>
      <c r="E4410" s="14" t="str">
        <f>IFERROR(__xludf.DUMMYFUNCTION("""COMPUTED_VALUE"""),"Heri (BT)")</f>
        <v>Heri (BT)</v>
      </c>
      <c r="F4410" s="14" t="str">
        <f>IFERROR(__xludf.DUMMYFUNCTION("""COMPUTED_VALUE"""),"SELESAI (VIA PERMOHONAN)")</f>
        <v>SELESAI (VIA PERMOHONAN)</v>
      </c>
      <c r="G4410" s="17">
        <f>IFERROR(__xludf.DUMMYFUNCTION("""COMPUTED_VALUE"""),45981.48687399305)</f>
        <v>45981.48687</v>
      </c>
      <c r="H4410" s="14"/>
      <c r="I4410" s="13"/>
      <c r="J4410" s="17" t="str">
        <f>IFERROR(__xludf.DUMMYFUNCTION("""COMPUTED_VALUE"""),"")</f>
        <v/>
      </c>
      <c r="K4410" s="13" t="str">
        <f>IFERROR(__xludf.DUMMYFUNCTION("""COMPUTED_VALUE"""),"")</f>
        <v/>
      </c>
      <c r="L4410" s="13" t="str">
        <f>IFERROR(__xludf.DUMMYFUNCTION("""COMPUTED_VALUE"""),"")</f>
        <v/>
      </c>
      <c r="M4410" s="13"/>
      <c r="N4410" s="13" t="str">
        <f>IFERROR(__xludf.DUMMYFUNCTION("""COMPUTED_VALUE"""),"")</f>
        <v/>
      </c>
      <c r="O4410" s="13" t="str">
        <f t="shared" si="1"/>
        <v/>
      </c>
    </row>
    <row r="4411" ht="22.5" customHeight="1">
      <c r="B4411" s="13">
        <f>IFERROR(__xludf.DUMMYFUNCTION("""COMPUTED_VALUE"""),4406.0)</f>
        <v>4406</v>
      </c>
      <c r="C4411" s="13" t="str">
        <f>IFERROR(__xludf.DUMMYFUNCTION("""COMPUTED_VALUE"""),"M. 455/KALIAWI PERSADA")</f>
        <v>M. 455/KALIAWI PERSADA</v>
      </c>
      <c r="D4411" s="13" t="str">
        <f>IFERROR(__xludf.DUMMYFUNCTION("""COMPUTED_VALUE"""),"L/6/171025/1")</f>
        <v>L/6/171025/1</v>
      </c>
      <c r="E4411" s="14" t="str">
        <f>IFERROR(__xludf.DUMMYFUNCTION("""COMPUTED_VALUE"""),"Heri (BT)")</f>
        <v>Heri (BT)</v>
      </c>
      <c r="F4411" s="14" t="str">
        <f>IFERROR(__xludf.DUMMYFUNCTION("""COMPUTED_VALUE"""),"SELESAI (VIA PERMOHONAN)")</f>
        <v>SELESAI (VIA PERMOHONAN)</v>
      </c>
      <c r="G4411" s="17">
        <f>IFERROR(__xludf.DUMMYFUNCTION("""COMPUTED_VALUE"""),45981.48722761574)</f>
        <v>45981.48723</v>
      </c>
      <c r="H4411" s="14"/>
      <c r="I4411" s="13"/>
      <c r="J4411" s="17" t="str">
        <f>IFERROR(__xludf.DUMMYFUNCTION("""COMPUTED_VALUE"""),"")</f>
        <v/>
      </c>
      <c r="K4411" s="13" t="str">
        <f>IFERROR(__xludf.DUMMYFUNCTION("""COMPUTED_VALUE"""),"BT atau SU Belum Valid")</f>
        <v>BT atau SU Belum Valid</v>
      </c>
      <c r="L4411" s="13" t="str">
        <f>IFERROR(__xludf.DUMMYFUNCTION("""COMPUTED_VALUE"""),"")</f>
        <v/>
      </c>
      <c r="M4411" s="13"/>
      <c r="N4411" s="13" t="str">
        <f>IFERROR(__xludf.DUMMYFUNCTION("""COMPUTED_VALUE"""),"")</f>
        <v/>
      </c>
      <c r="O4411" s="13" t="str">
        <f t="shared" si="1"/>
        <v/>
      </c>
    </row>
    <row r="4412" ht="22.5" customHeight="1">
      <c r="B4412" s="13">
        <f>IFERROR(__xludf.DUMMYFUNCTION("""COMPUTED_VALUE"""),4407.0)</f>
        <v>4407</v>
      </c>
      <c r="C4412" s="13" t="str">
        <f>IFERROR(__xludf.DUMMYFUNCTION("""COMPUTED_VALUE"""),"M. 1153/KANGKUNG")</f>
        <v>M. 1153/KANGKUNG</v>
      </c>
      <c r="D4412" s="13" t="str">
        <f>IFERROR(__xludf.DUMMYFUNCTION("""COMPUTED_VALUE"""),"L/1/111125/1")</f>
        <v>L/1/111125/1</v>
      </c>
      <c r="E4412" s="14" t="str">
        <f>IFERROR(__xludf.DUMMYFUNCTION("""COMPUTED_VALUE"""),"Heri (BT)")</f>
        <v>Heri (BT)</v>
      </c>
      <c r="F4412" s="14" t="str">
        <f>IFERROR(__xludf.DUMMYFUNCTION("""COMPUTED_VALUE"""),"SELESAI (VIA PERMOHONAN)")</f>
        <v>SELESAI (VIA PERMOHONAN)</v>
      </c>
      <c r="G4412" s="17">
        <f>IFERROR(__xludf.DUMMYFUNCTION("""COMPUTED_VALUE"""),45981.48768167824)</f>
        <v>45981.48768</v>
      </c>
      <c r="H4412" s="14"/>
      <c r="I4412" s="13"/>
      <c r="J4412" s="17" t="str">
        <f>IFERROR(__xludf.DUMMYFUNCTION("""COMPUTED_VALUE"""),"")</f>
        <v/>
      </c>
      <c r="K4412" s="13" t="str">
        <f>IFERROR(__xludf.DUMMYFUNCTION("""COMPUTED_VALUE"""),"BT atau SU Belum Valid")</f>
        <v>BT atau SU Belum Valid</v>
      </c>
      <c r="L4412" s="13" t="str">
        <f>IFERROR(__xludf.DUMMYFUNCTION("""COMPUTED_VALUE"""),"")</f>
        <v/>
      </c>
      <c r="M4412" s="13"/>
      <c r="N4412" s="13" t="str">
        <f>IFERROR(__xludf.DUMMYFUNCTION("""COMPUTED_VALUE"""),"")</f>
        <v/>
      </c>
      <c r="O4412" s="13" t="str">
        <f t="shared" si="1"/>
        <v/>
      </c>
    </row>
    <row r="4413" ht="22.5" customHeight="1">
      <c r="B4413" s="13">
        <f>IFERROR(__xludf.DUMMYFUNCTION("""COMPUTED_VALUE"""),4408.0)</f>
        <v>4408</v>
      </c>
      <c r="C4413" s="13" t="str">
        <f>IFERROR(__xludf.DUMMYFUNCTION("""COMPUTED_VALUE"""),"M. 10036/SUKABUMI")</f>
        <v>M. 10036/SUKABUMI</v>
      </c>
      <c r="D4413" s="13" t="str">
        <f>IFERROR(__xludf.DUMMYFUNCTION("""COMPUTED_VALUE"""),"K/22/141025/1")</f>
        <v>K/22/141025/1</v>
      </c>
      <c r="E4413" s="14" t="str">
        <f>IFERROR(__xludf.DUMMYFUNCTION("""COMPUTED_VALUE"""),"Heri (BT)")</f>
        <v>Heri (BT)</v>
      </c>
      <c r="F4413" s="14" t="str">
        <f>IFERROR(__xludf.DUMMYFUNCTION("""COMPUTED_VALUE"""),"SELESAI (VIA PERMOHONAN)")</f>
        <v>SELESAI (VIA PERMOHONAN)</v>
      </c>
      <c r="G4413" s="17">
        <f>IFERROR(__xludf.DUMMYFUNCTION("""COMPUTED_VALUE"""),45981.48839252315)</f>
        <v>45981.48839</v>
      </c>
      <c r="H4413" s="14"/>
      <c r="I4413" s="13"/>
      <c r="J4413" s="17" t="str">
        <f>IFERROR(__xludf.DUMMYFUNCTION("""COMPUTED_VALUE"""),"")</f>
        <v/>
      </c>
      <c r="K4413" s="13" t="str">
        <f>IFERROR(__xludf.DUMMYFUNCTION("""COMPUTED_VALUE"""),"BT atau SU Belum Valid")</f>
        <v>BT atau SU Belum Valid</v>
      </c>
      <c r="L4413" s="13" t="str">
        <f>IFERROR(__xludf.DUMMYFUNCTION("""COMPUTED_VALUE"""),"")</f>
        <v/>
      </c>
      <c r="M4413" s="13"/>
      <c r="N4413" s="13" t="str">
        <f>IFERROR(__xludf.DUMMYFUNCTION("""COMPUTED_VALUE"""),"")</f>
        <v/>
      </c>
      <c r="O4413" s="13" t="str">
        <f t="shared" si="1"/>
        <v/>
      </c>
    </row>
    <row r="4414" ht="22.5" customHeight="1">
      <c r="B4414" s="13">
        <f>IFERROR(__xludf.DUMMYFUNCTION("""COMPUTED_VALUE"""),4409.0)</f>
        <v>4409</v>
      </c>
      <c r="C4414" s="13" t="str">
        <f>IFERROR(__xludf.DUMMYFUNCTION("""COMPUTED_VALUE"""),"M. 804/BAKUNG")</f>
        <v>M. 804/BAKUNG</v>
      </c>
      <c r="D4414" s="13" t="str">
        <f>IFERROR(__xludf.DUMMYFUNCTION("""COMPUTED_VALUE"""),"K/24/071025/1")</f>
        <v>K/24/071025/1</v>
      </c>
      <c r="E4414" s="14" t="str">
        <f>IFERROR(__xludf.DUMMYFUNCTION("""COMPUTED_VALUE"""),"Heri (BT)")</f>
        <v>Heri (BT)</v>
      </c>
      <c r="F4414" s="14" t="str">
        <f>IFERROR(__xludf.DUMMYFUNCTION("""COMPUTED_VALUE"""),"SELESAI (VIA PERMOHONAN)")</f>
        <v>SELESAI (VIA PERMOHONAN)</v>
      </c>
      <c r="G4414" s="17">
        <f>IFERROR(__xludf.DUMMYFUNCTION("""COMPUTED_VALUE"""),45981.488960104165)</f>
        <v>45981.48896</v>
      </c>
      <c r="H4414" s="14"/>
      <c r="I4414" s="13"/>
      <c r="J4414" s="17" t="str">
        <f>IFERROR(__xludf.DUMMYFUNCTION("""COMPUTED_VALUE"""),"")</f>
        <v/>
      </c>
      <c r="K4414" s="13" t="str">
        <f>IFERROR(__xludf.DUMMYFUNCTION("""COMPUTED_VALUE"""),"BT atau SU Belum Valid")</f>
        <v>BT atau SU Belum Valid</v>
      </c>
      <c r="L4414" s="13" t="str">
        <f>IFERROR(__xludf.DUMMYFUNCTION("""COMPUTED_VALUE"""),"")</f>
        <v/>
      </c>
      <c r="M4414" s="13"/>
      <c r="N4414" s="13" t="str">
        <f>IFERROR(__xludf.DUMMYFUNCTION("""COMPUTED_VALUE"""),"")</f>
        <v/>
      </c>
      <c r="O4414" s="13" t="str">
        <f t="shared" si="1"/>
        <v/>
      </c>
    </row>
    <row r="4415" ht="22.5" customHeight="1">
      <c r="B4415" s="13">
        <f>IFERROR(__xludf.DUMMYFUNCTION("""COMPUTED_VALUE"""),4410.0)</f>
        <v>4410</v>
      </c>
      <c r="C4415" s="13" t="str">
        <f>IFERROR(__xludf.DUMMYFUNCTION("""COMPUTED_VALUE"""),"M. 1375/BATU PUTUK")</f>
        <v>M. 1375/BATU PUTUK</v>
      </c>
      <c r="D4415" s="13" t="str">
        <f>IFERROR(__xludf.DUMMYFUNCTION("""COMPUTED_VALUE"""),"K/27/210725/1")</f>
        <v>K/27/210725/1</v>
      </c>
      <c r="E4415" s="14" t="str">
        <f>IFERROR(__xludf.DUMMYFUNCTION("""COMPUTED_VALUE"""),"Heri (BT)")</f>
        <v>Heri (BT)</v>
      </c>
      <c r="F4415" s="14" t="str">
        <f>IFERROR(__xludf.DUMMYFUNCTION("""COMPUTED_VALUE"""),"SELESAI (VIA PERMOHONAN)")</f>
        <v>SELESAI (VIA PERMOHONAN)</v>
      </c>
      <c r="G4415" s="17">
        <f>IFERROR(__xludf.DUMMYFUNCTION("""COMPUTED_VALUE"""),45981.48961568287)</f>
        <v>45981.48962</v>
      </c>
      <c r="H4415" s="14"/>
      <c r="I4415" s="13"/>
      <c r="J4415" s="17" t="str">
        <f>IFERROR(__xludf.DUMMYFUNCTION("""COMPUTED_VALUE"""),"")</f>
        <v/>
      </c>
      <c r="K4415" s="13" t="str">
        <f>IFERROR(__xludf.DUMMYFUNCTION("""COMPUTED_VALUE"""),"BT atau SU Belum Valid")</f>
        <v>BT atau SU Belum Valid</v>
      </c>
      <c r="L4415" s="13" t="str">
        <f>IFERROR(__xludf.DUMMYFUNCTION("""COMPUTED_VALUE"""),"")</f>
        <v/>
      </c>
      <c r="M4415" s="13"/>
      <c r="N4415" s="13" t="str">
        <f>IFERROR(__xludf.DUMMYFUNCTION("""COMPUTED_VALUE"""),"")</f>
        <v/>
      </c>
      <c r="O4415" s="13" t="str">
        <f t="shared" si="1"/>
        <v/>
      </c>
    </row>
    <row r="4416" ht="22.5" customHeight="1">
      <c r="B4416" s="13">
        <f>IFERROR(__xludf.DUMMYFUNCTION("""COMPUTED_VALUE"""),4411.0)</f>
        <v>4411</v>
      </c>
      <c r="C4416" s="13" t="str">
        <f>IFERROR(__xludf.DUMMYFUNCTION("""COMPUTED_VALUE"""),"M. 450/PINANG JAYA")</f>
        <v>M. 450/PINANG JAYA</v>
      </c>
      <c r="D4416" s="13" t="str">
        <f>IFERROR(__xludf.DUMMYFUNCTION("""COMPUTED_VALUE"""),"L/17/221025/1")</f>
        <v>L/17/221025/1</v>
      </c>
      <c r="E4416" s="14" t="str">
        <f>IFERROR(__xludf.DUMMYFUNCTION("""COMPUTED_VALUE"""),"Heri (BT)")</f>
        <v>Heri (BT)</v>
      </c>
      <c r="F4416" s="14" t="str">
        <f>IFERROR(__xludf.DUMMYFUNCTION("""COMPUTED_VALUE"""),"SELESAI (VIA PERMOHONAN)")</f>
        <v>SELESAI (VIA PERMOHONAN)</v>
      </c>
      <c r="G4416" s="17">
        <f>IFERROR(__xludf.DUMMYFUNCTION("""COMPUTED_VALUE"""),45981.48985900463)</f>
        <v>45981.48986</v>
      </c>
      <c r="H4416" s="14"/>
      <c r="I4416" s="13"/>
      <c r="J4416" s="17" t="str">
        <f>IFERROR(__xludf.DUMMYFUNCTION("""COMPUTED_VALUE"""),"")</f>
        <v/>
      </c>
      <c r="K4416" s="13" t="str">
        <f>IFERROR(__xludf.DUMMYFUNCTION("""COMPUTED_VALUE"""),"BT atau SU Belum Valid")</f>
        <v>BT atau SU Belum Valid</v>
      </c>
      <c r="L4416" s="13" t="str">
        <f>IFERROR(__xludf.DUMMYFUNCTION("""COMPUTED_VALUE"""),"")</f>
        <v/>
      </c>
      <c r="M4416" s="13"/>
      <c r="N4416" s="13" t="str">
        <f>IFERROR(__xludf.DUMMYFUNCTION("""COMPUTED_VALUE"""),"")</f>
        <v/>
      </c>
      <c r="O4416" s="13" t="str">
        <f t="shared" si="1"/>
        <v/>
      </c>
    </row>
    <row r="4417" ht="22.5" customHeight="1">
      <c r="B4417" s="13">
        <f>IFERROR(__xludf.DUMMYFUNCTION("""COMPUTED_VALUE"""),4412.0)</f>
        <v>4412</v>
      </c>
      <c r="C4417" s="13" t="str">
        <f>IFERROR(__xludf.DUMMYFUNCTION("""COMPUTED_VALUE"""),"M. 602/PERUMNAS WAY HALIM")</f>
        <v>M. 602/PERUMNAS WAY HALIM</v>
      </c>
      <c r="D4417" s="13" t="str">
        <f>IFERROR(__xludf.DUMMYFUNCTION("""COMPUTED_VALUE"""),"L/9/051225/1")</f>
        <v>L/9/051225/1</v>
      </c>
      <c r="E4417" s="14" t="str">
        <f>IFERROR(__xludf.DUMMYFUNCTION("""COMPUTED_VALUE"""),"Heri (BT)")</f>
        <v>Heri (BT)</v>
      </c>
      <c r="F4417" s="14" t="str">
        <f>IFERROR(__xludf.DUMMYFUNCTION("""COMPUTED_VALUE"""),"SELESAI (VIA PERMOHONAN)")</f>
        <v>SELESAI (VIA PERMOHONAN)</v>
      </c>
      <c r="G4417" s="17">
        <f>IFERROR(__xludf.DUMMYFUNCTION("""COMPUTED_VALUE"""),45981.490217025465)</f>
        <v>45981.49022</v>
      </c>
      <c r="H4417" s="14"/>
      <c r="I4417" s="13"/>
      <c r="J4417" s="17" t="str">
        <f>IFERROR(__xludf.DUMMYFUNCTION("""COMPUTED_VALUE"""),"")</f>
        <v/>
      </c>
      <c r="K4417" s="13" t="str">
        <f>IFERROR(__xludf.DUMMYFUNCTION("""COMPUTED_VALUE"""),"BT atau SU Belum Valid")</f>
        <v>BT atau SU Belum Valid</v>
      </c>
      <c r="L4417" s="13" t="str">
        <f>IFERROR(__xludf.DUMMYFUNCTION("""COMPUTED_VALUE"""),"")</f>
        <v/>
      </c>
      <c r="M4417" s="13"/>
      <c r="N4417" s="13" t="str">
        <f>IFERROR(__xludf.DUMMYFUNCTION("""COMPUTED_VALUE"""),"")</f>
        <v/>
      </c>
      <c r="O4417" s="13" t="str">
        <f t="shared" si="1"/>
        <v/>
      </c>
    </row>
    <row r="4418" ht="22.5" customHeight="1">
      <c r="B4418" s="13">
        <f>IFERROR(__xludf.DUMMYFUNCTION("""COMPUTED_VALUE"""),4413.0)</f>
        <v>4413</v>
      </c>
      <c r="C4418" s="13" t="str">
        <f>IFERROR(__xludf.DUMMYFUNCTION("""COMPUTED_VALUE"""),"M.9351/SUKABUMI")</f>
        <v>M.9351/SUKABUMI</v>
      </c>
      <c r="D4418" s="13" t="str">
        <f>IFERROR(__xludf.DUMMYFUNCTION("""COMPUTED_VALUE"""),"K/19/220425/1")</f>
        <v>K/19/220425/1</v>
      </c>
      <c r="E4418" s="14" t="str">
        <f>IFERROR(__xludf.DUMMYFUNCTION("""COMPUTED_VALUE"""),"Heri (BT)")</f>
        <v>Heri (BT)</v>
      </c>
      <c r="F4418" s="14" t="str">
        <f>IFERROR(__xludf.DUMMYFUNCTION("""COMPUTED_VALUE"""),"SELESAI (VIA PERMOHONAN)")</f>
        <v>SELESAI (VIA PERMOHONAN)</v>
      </c>
      <c r="G4418" s="17">
        <f>IFERROR(__xludf.DUMMYFUNCTION("""COMPUTED_VALUE"""),45981.49040967593)</f>
        <v>45981.49041</v>
      </c>
      <c r="H4418" s="14"/>
      <c r="I4418" s="13"/>
      <c r="J4418" s="17" t="str">
        <f>IFERROR(__xludf.DUMMYFUNCTION("""COMPUTED_VALUE"""),"")</f>
        <v/>
      </c>
      <c r="K4418" s="13" t="str">
        <f>IFERROR(__xludf.DUMMYFUNCTION("""COMPUTED_VALUE"""),"BT atau SU Belum Valid")</f>
        <v>BT atau SU Belum Valid</v>
      </c>
      <c r="L4418" s="13" t="str">
        <f>IFERROR(__xludf.DUMMYFUNCTION("""COMPUTED_VALUE"""),"")</f>
        <v/>
      </c>
      <c r="M4418" s="13"/>
      <c r="N4418" s="13" t="str">
        <f>IFERROR(__xludf.DUMMYFUNCTION("""COMPUTED_VALUE"""),"")</f>
        <v/>
      </c>
      <c r="O4418" s="13" t="str">
        <f t="shared" si="1"/>
        <v/>
      </c>
    </row>
    <row r="4419" ht="22.5" customHeight="1">
      <c r="B4419" s="13">
        <f>IFERROR(__xludf.DUMMYFUNCTION("""COMPUTED_VALUE"""),4414.0)</f>
        <v>4414</v>
      </c>
      <c r="C4419" s="13" t="str">
        <f>IFERROR(__xludf.DUMMYFUNCTION("""COMPUTED_VALUE"""),"M. 181/KEMILING RAYA")</f>
        <v>M. 181/KEMILING RAYA</v>
      </c>
      <c r="D4419" s="13" t="str">
        <f>IFERROR(__xludf.DUMMYFUNCTION("""COMPUTED_VALUE"""),"")</f>
        <v/>
      </c>
      <c r="E4419" s="14" t="str">
        <f>IFERROR(__xludf.DUMMYFUNCTION("""COMPUTED_VALUE"""),"Heri (BT)")</f>
        <v>Heri (BT)</v>
      </c>
      <c r="F4419" s="14" t="str">
        <f>IFERROR(__xludf.DUMMYFUNCTION("""COMPUTED_VALUE"""),"SELESAI (VIA PERMOHONAN)")</f>
        <v>SELESAI (VIA PERMOHONAN)</v>
      </c>
      <c r="G4419" s="17">
        <f>IFERROR(__xludf.DUMMYFUNCTION("""COMPUTED_VALUE"""),45981.49067920139)</f>
        <v>45981.49068</v>
      </c>
      <c r="H4419" s="14"/>
      <c r="I4419" s="13"/>
      <c r="J4419" s="17" t="str">
        <f>IFERROR(__xludf.DUMMYFUNCTION("""COMPUTED_VALUE"""),"")</f>
        <v/>
      </c>
      <c r="K4419" s="13" t="str">
        <f>IFERROR(__xludf.DUMMYFUNCTION("""COMPUTED_VALUE"""),"")</f>
        <v/>
      </c>
      <c r="L4419" s="13" t="str">
        <f>IFERROR(__xludf.DUMMYFUNCTION("""COMPUTED_VALUE"""),"")</f>
        <v/>
      </c>
      <c r="M4419" s="13"/>
      <c r="N4419" s="13" t="str">
        <f>IFERROR(__xludf.DUMMYFUNCTION("""COMPUTED_VALUE"""),"")</f>
        <v/>
      </c>
      <c r="O4419" s="13" t="str">
        <f t="shared" si="1"/>
        <v/>
      </c>
    </row>
    <row r="4420" ht="22.5" customHeight="1">
      <c r="B4420" s="13">
        <f>IFERROR(__xludf.DUMMYFUNCTION("""COMPUTED_VALUE"""),4415.0)</f>
        <v>4415</v>
      </c>
      <c r="C4420" s="13" t="str">
        <f>IFERROR(__xludf.DUMMYFUNCTION("""COMPUTED_VALUE"""),"B. 1197/WAY HALIM PERMAI")</f>
        <v>B. 1197/WAY HALIM PERMAI</v>
      </c>
      <c r="D4420" s="13" t="str">
        <f>IFERROR(__xludf.DUMMYFUNCTION("""COMPUTED_VALUE"""),"")</f>
        <v/>
      </c>
      <c r="E4420" s="14" t="str">
        <f>IFERROR(__xludf.DUMMYFUNCTION("""COMPUTED_VALUE"""),"Heri (BT)")</f>
        <v>Heri (BT)</v>
      </c>
      <c r="F4420" s="14" t="str">
        <f>IFERROR(__xludf.DUMMYFUNCTION("""COMPUTED_VALUE"""),"SELESAI (VIA PERMOHONAN)")</f>
        <v>SELESAI (VIA PERMOHONAN)</v>
      </c>
      <c r="G4420" s="17">
        <f>IFERROR(__xludf.DUMMYFUNCTION("""COMPUTED_VALUE"""),45981.491067870375)</f>
        <v>45981.49107</v>
      </c>
      <c r="H4420" s="14"/>
      <c r="I4420" s="13"/>
      <c r="J4420" s="17" t="str">
        <f>IFERROR(__xludf.DUMMYFUNCTION("""COMPUTED_VALUE"""),"")</f>
        <v/>
      </c>
      <c r="K4420" s="13" t="str">
        <f>IFERROR(__xludf.DUMMYFUNCTION("""COMPUTED_VALUE"""),"")</f>
        <v/>
      </c>
      <c r="L4420" s="13" t="str">
        <f>IFERROR(__xludf.DUMMYFUNCTION("""COMPUTED_VALUE"""),"")</f>
        <v/>
      </c>
      <c r="M4420" s="13"/>
      <c r="N4420" s="13" t="str">
        <f>IFERROR(__xludf.DUMMYFUNCTION("""COMPUTED_VALUE"""),"")</f>
        <v/>
      </c>
      <c r="O4420" s="13" t="str">
        <f t="shared" si="1"/>
        <v/>
      </c>
    </row>
    <row r="4421" ht="22.5" customHeight="1">
      <c r="B4421" s="13">
        <f>IFERROR(__xludf.DUMMYFUNCTION("""COMPUTED_VALUE"""),4416.0)</f>
        <v>4416</v>
      </c>
      <c r="C4421" s="13" t="str">
        <f>IFERROR(__xludf.DUMMYFUNCTION("""COMPUTED_VALUE"""),"M. 23/BILABONG JAYA")</f>
        <v>M. 23/BILABONG JAYA</v>
      </c>
      <c r="D4421" s="13" t="str">
        <f>IFERROR(__xludf.DUMMYFUNCTION("""COMPUTED_VALUE"""),"K/24/091025/1")</f>
        <v>K/24/091025/1</v>
      </c>
      <c r="E4421" s="14" t="str">
        <f>IFERROR(__xludf.DUMMYFUNCTION("""COMPUTED_VALUE"""),"Heri (BT)")</f>
        <v>Heri (BT)</v>
      </c>
      <c r="F4421" s="14" t="str">
        <f>IFERROR(__xludf.DUMMYFUNCTION("""COMPUTED_VALUE"""),"SELESAI (VIA PERMOHONAN)")</f>
        <v>SELESAI (VIA PERMOHONAN)</v>
      </c>
      <c r="G4421" s="17">
        <f>IFERROR(__xludf.DUMMYFUNCTION("""COMPUTED_VALUE"""),45981.49132)</f>
        <v>45981.49132</v>
      </c>
      <c r="H4421" s="14"/>
      <c r="I4421" s="13"/>
      <c r="J4421" s="17" t="str">
        <f>IFERROR(__xludf.DUMMYFUNCTION("""COMPUTED_VALUE"""),"")</f>
        <v/>
      </c>
      <c r="K4421" s="13" t="str">
        <f>IFERROR(__xludf.DUMMYFUNCTION("""COMPUTED_VALUE"""),"BT atau SU Belum Valid")</f>
        <v>BT atau SU Belum Valid</v>
      </c>
      <c r="L4421" s="13" t="str">
        <f>IFERROR(__xludf.DUMMYFUNCTION("""COMPUTED_VALUE"""),"")</f>
        <v/>
      </c>
      <c r="M4421" s="13"/>
      <c r="N4421" s="13" t="str">
        <f>IFERROR(__xludf.DUMMYFUNCTION("""COMPUTED_VALUE"""),"")</f>
        <v/>
      </c>
      <c r="O4421" s="13" t="str">
        <f t="shared" si="1"/>
        <v/>
      </c>
    </row>
    <row r="4422" ht="22.5" customHeight="1">
      <c r="B4422" s="13">
        <f>IFERROR(__xludf.DUMMYFUNCTION("""COMPUTED_VALUE"""),4417.0)</f>
        <v>4417</v>
      </c>
      <c r="C4422" s="13" t="str">
        <f>IFERROR(__xludf.DUMMYFUNCTION("""COMPUTED_VALUE"""),"M. 472/KORPRI JAYA")</f>
        <v>M. 472/KORPRI JAYA</v>
      </c>
      <c r="D4422" s="13" t="str">
        <f>IFERROR(__xludf.DUMMYFUNCTION("""COMPUTED_VALUE"""),"K/7/150925/1")</f>
        <v>K/7/150925/1</v>
      </c>
      <c r="E4422" s="14" t="str">
        <f>IFERROR(__xludf.DUMMYFUNCTION("""COMPUTED_VALUE"""),"Heri (BT)")</f>
        <v>Heri (BT)</v>
      </c>
      <c r="F4422" s="14" t="str">
        <f>IFERROR(__xludf.DUMMYFUNCTION("""COMPUTED_VALUE"""),"SELESAI (VIA PERMOHONAN)")</f>
        <v>SELESAI (VIA PERMOHONAN)</v>
      </c>
      <c r="G4422" s="17">
        <f>IFERROR(__xludf.DUMMYFUNCTION("""COMPUTED_VALUE"""),45981.49145538194)</f>
        <v>45981.49146</v>
      </c>
      <c r="H4422" s="14"/>
      <c r="I4422" s="13"/>
      <c r="J4422" s="17" t="str">
        <f>IFERROR(__xludf.DUMMYFUNCTION("""COMPUTED_VALUE"""),"")</f>
        <v/>
      </c>
      <c r="K4422" s="13" t="str">
        <f>IFERROR(__xludf.DUMMYFUNCTION("""COMPUTED_VALUE"""),"BT atau SU Belum Valid")</f>
        <v>BT atau SU Belum Valid</v>
      </c>
      <c r="L4422" s="13" t="str">
        <f>IFERROR(__xludf.DUMMYFUNCTION("""COMPUTED_VALUE"""),"")</f>
        <v/>
      </c>
      <c r="M4422" s="13"/>
      <c r="N4422" s="13" t="str">
        <f>IFERROR(__xludf.DUMMYFUNCTION("""COMPUTED_VALUE"""),"")</f>
        <v/>
      </c>
      <c r="O4422" s="13" t="str">
        <f t="shared" si="1"/>
        <v/>
      </c>
    </row>
    <row r="4423" ht="22.5" customHeight="1">
      <c r="B4423" s="13">
        <f>IFERROR(__xludf.DUMMYFUNCTION("""COMPUTED_VALUE"""),4418.0)</f>
        <v>4418</v>
      </c>
      <c r="C4423" s="13" t="str">
        <f>IFERROR(__xludf.DUMMYFUNCTION("""COMPUTED_VALUE"""),"B. 647/NUSANTARA PERMAI")</f>
        <v>B. 647/NUSANTARA PERMAI</v>
      </c>
      <c r="D4423" s="13" t="str">
        <f>IFERROR(__xludf.DUMMYFUNCTION("""COMPUTED_VALUE"""),"K/9/161025/1")</f>
        <v>K/9/161025/1</v>
      </c>
      <c r="E4423" s="14" t="str">
        <f>IFERROR(__xludf.DUMMYFUNCTION("""COMPUTED_VALUE"""),"Heri (BT)")</f>
        <v>Heri (BT)</v>
      </c>
      <c r="F4423" s="14" t="str">
        <f>IFERROR(__xludf.DUMMYFUNCTION("""COMPUTED_VALUE"""),"SELESAI (VIA PERMOHONAN)")</f>
        <v>SELESAI (VIA PERMOHONAN)</v>
      </c>
      <c r="G4423" s="17">
        <f>IFERROR(__xludf.DUMMYFUNCTION("""COMPUTED_VALUE"""),45981.491752256945)</f>
        <v>45981.49175</v>
      </c>
      <c r="H4423" s="14"/>
      <c r="I4423" s="13"/>
      <c r="J4423" s="17" t="str">
        <f>IFERROR(__xludf.DUMMYFUNCTION("""COMPUTED_VALUE"""),"")</f>
        <v/>
      </c>
      <c r="K4423" s="13" t="str">
        <f>IFERROR(__xludf.DUMMYFUNCTION("""COMPUTED_VALUE"""),"BT atau SU Belum Valid")</f>
        <v>BT atau SU Belum Valid</v>
      </c>
      <c r="L4423" s="13" t="str">
        <f>IFERROR(__xludf.DUMMYFUNCTION("""COMPUTED_VALUE"""),"")</f>
        <v/>
      </c>
      <c r="M4423" s="13"/>
      <c r="N4423" s="13" t="str">
        <f>IFERROR(__xludf.DUMMYFUNCTION("""COMPUTED_VALUE"""),"")</f>
        <v/>
      </c>
      <c r="O4423" s="13" t="str">
        <f t="shared" si="1"/>
        <v/>
      </c>
    </row>
    <row r="4424" ht="22.5" customHeight="1">
      <c r="B4424" s="13">
        <f>IFERROR(__xludf.DUMMYFUNCTION("""COMPUTED_VALUE"""),4419.0)</f>
        <v>4419</v>
      </c>
      <c r="C4424" s="13" t="str">
        <f>IFERROR(__xludf.DUMMYFUNCTION("""COMPUTED_VALUE"""),"M. 133/WAY DADI BARU")</f>
        <v>M. 133/WAY DADI BARU</v>
      </c>
      <c r="D4424" s="13" t="str">
        <f>IFERROR(__xludf.DUMMYFUNCTION("""COMPUTED_VALUE"""),"K/16/011027/1")</f>
        <v>K/16/011027/1</v>
      </c>
      <c r="E4424" s="14" t="str">
        <f>IFERROR(__xludf.DUMMYFUNCTION("""COMPUTED_VALUE"""),"Heri (BT)")</f>
        <v>Heri (BT)</v>
      </c>
      <c r="F4424" s="14" t="str">
        <f>IFERROR(__xludf.DUMMYFUNCTION("""COMPUTED_VALUE"""),"SELESAI (VIA PERMOHONAN)")</f>
        <v>SELESAI (VIA PERMOHONAN)</v>
      </c>
      <c r="G4424" s="17">
        <f>IFERROR(__xludf.DUMMYFUNCTION("""COMPUTED_VALUE"""),45981.491974212964)</f>
        <v>45981.49197</v>
      </c>
      <c r="H4424" s="14"/>
      <c r="I4424" s="13"/>
      <c r="J4424" s="17" t="str">
        <f>IFERROR(__xludf.DUMMYFUNCTION("""COMPUTED_VALUE"""),"")</f>
        <v/>
      </c>
      <c r="K4424" s="13" t="str">
        <f>IFERROR(__xludf.DUMMYFUNCTION("""COMPUTED_VALUE"""),"BT atau SU Belum Valid")</f>
        <v>BT atau SU Belum Valid</v>
      </c>
      <c r="L4424" s="13" t="str">
        <f>IFERROR(__xludf.DUMMYFUNCTION("""COMPUTED_VALUE"""),"")</f>
        <v/>
      </c>
      <c r="M4424" s="13"/>
      <c r="N4424" s="13" t="str">
        <f>IFERROR(__xludf.DUMMYFUNCTION("""COMPUTED_VALUE"""),"")</f>
        <v/>
      </c>
      <c r="O4424" s="13" t="str">
        <f t="shared" si="1"/>
        <v/>
      </c>
    </row>
    <row r="4425" ht="22.5" customHeight="1">
      <c r="B4425" s="13">
        <f>IFERROR(__xludf.DUMMYFUNCTION("""COMPUTED_VALUE"""),4420.0)</f>
        <v>4420</v>
      </c>
      <c r="C4425" s="13" t="str">
        <f>IFERROR(__xludf.DUMMYFUNCTION("""COMPUTED_VALUE"""),"M. 13158/BERINGIN RAYA")</f>
        <v>M. 13158/BERINGIN RAYA</v>
      </c>
      <c r="D4425" s="13" t="str">
        <f>IFERROR(__xludf.DUMMYFUNCTION("""COMPUTED_VALUE"""),"")</f>
        <v/>
      </c>
      <c r="E4425" s="14" t="str">
        <f>IFERROR(__xludf.DUMMYFUNCTION("""COMPUTED_VALUE"""),"Heri (BT)")</f>
        <v>Heri (BT)</v>
      </c>
      <c r="F4425" s="14" t="str">
        <f>IFERROR(__xludf.DUMMYFUNCTION("""COMPUTED_VALUE"""),"SELESAI (VIA PERMOHONAN)")</f>
        <v>SELESAI (VIA PERMOHONAN)</v>
      </c>
      <c r="G4425" s="17">
        <f>IFERROR(__xludf.DUMMYFUNCTION("""COMPUTED_VALUE"""),45981.49237466435)</f>
        <v>45981.49237</v>
      </c>
      <c r="H4425" s="14"/>
      <c r="I4425" s="13"/>
      <c r="J4425" s="17" t="str">
        <f>IFERROR(__xludf.DUMMYFUNCTION("""COMPUTED_VALUE"""),"")</f>
        <v/>
      </c>
      <c r="K4425" s="13" t="str">
        <f>IFERROR(__xludf.DUMMYFUNCTION("""COMPUTED_VALUE"""),"")</f>
        <v/>
      </c>
      <c r="L4425" s="13" t="str">
        <f>IFERROR(__xludf.DUMMYFUNCTION("""COMPUTED_VALUE"""),"")</f>
        <v/>
      </c>
      <c r="M4425" s="13"/>
      <c r="N4425" s="13" t="str">
        <f>IFERROR(__xludf.DUMMYFUNCTION("""COMPUTED_VALUE"""),"")</f>
        <v/>
      </c>
      <c r="O4425" s="13" t="str">
        <f t="shared" si="1"/>
        <v/>
      </c>
    </row>
    <row r="4426" ht="22.5" customHeight="1">
      <c r="B4426" s="13">
        <f>IFERROR(__xludf.DUMMYFUNCTION("""COMPUTED_VALUE"""),4421.0)</f>
        <v>4421</v>
      </c>
      <c r="C4426" s="13" t="str">
        <f>IFERROR(__xludf.DUMMYFUNCTION("""COMPUTED_VALUE"""),"M. 497/PERUMNAS WAY KANDIS")</f>
        <v>M. 497/PERUMNAS WAY KANDIS</v>
      </c>
      <c r="D4426" s="13" t="str">
        <f>IFERROR(__xludf.DUMMYFUNCTION("""COMPUTED_VALUE"""),"L/13/171025/1")</f>
        <v>L/13/171025/1</v>
      </c>
      <c r="E4426" s="14" t="str">
        <f>IFERROR(__xludf.DUMMYFUNCTION("""COMPUTED_VALUE"""),"Heri (BT)")</f>
        <v>Heri (BT)</v>
      </c>
      <c r="F4426" s="14" t="str">
        <f>IFERROR(__xludf.DUMMYFUNCTION("""COMPUTED_VALUE"""),"SELESAI (VIA PERMOHONAN)")</f>
        <v>SELESAI (VIA PERMOHONAN)</v>
      </c>
      <c r="G4426" s="17">
        <f>IFERROR(__xludf.DUMMYFUNCTION("""COMPUTED_VALUE"""),45981.4928125463)</f>
        <v>45981.49281</v>
      </c>
      <c r="H4426" s="14"/>
      <c r="I4426" s="13"/>
      <c r="J4426" s="17" t="str">
        <f>IFERROR(__xludf.DUMMYFUNCTION("""COMPUTED_VALUE"""),"")</f>
        <v/>
      </c>
      <c r="K4426" s="13" t="str">
        <f>IFERROR(__xludf.DUMMYFUNCTION("""COMPUTED_VALUE"""),"BT atau SU Belum Valid")</f>
        <v>BT atau SU Belum Valid</v>
      </c>
      <c r="L4426" s="13" t="str">
        <f>IFERROR(__xludf.DUMMYFUNCTION("""COMPUTED_VALUE"""),"")</f>
        <v/>
      </c>
      <c r="M4426" s="13"/>
      <c r="N4426" s="13" t="str">
        <f>IFERROR(__xludf.DUMMYFUNCTION("""COMPUTED_VALUE"""),"")</f>
        <v/>
      </c>
      <c r="O4426" s="13" t="str">
        <f t="shared" si="1"/>
        <v/>
      </c>
    </row>
    <row r="4427" ht="22.5" customHeight="1">
      <c r="B4427" s="13">
        <f>IFERROR(__xludf.DUMMYFUNCTION("""COMPUTED_VALUE"""),4422.0)</f>
        <v>4422</v>
      </c>
      <c r="C4427" s="13" t="str">
        <f>IFERROR(__xludf.DUMMYFUNCTION("""COMPUTED_VALUE"""),"M. 37/PERWATA")</f>
        <v>M. 37/PERWATA</v>
      </c>
      <c r="D4427" s="13" t="str">
        <f>IFERROR(__xludf.DUMMYFUNCTION("""COMPUTED_VALUE"""),"L/1/151025/1")</f>
        <v>L/1/151025/1</v>
      </c>
      <c r="E4427" s="14" t="str">
        <f>IFERROR(__xludf.DUMMYFUNCTION("""COMPUTED_VALUE"""),"Heri (BT)")</f>
        <v>Heri (BT)</v>
      </c>
      <c r="F4427" s="14" t="str">
        <f>IFERROR(__xludf.DUMMYFUNCTION("""COMPUTED_VALUE"""),"SELESAI (VIA PERMOHONAN)")</f>
        <v>SELESAI (VIA PERMOHONAN)</v>
      </c>
      <c r="G4427" s="17">
        <f>IFERROR(__xludf.DUMMYFUNCTION("""COMPUTED_VALUE"""),45981.49328964121)</f>
        <v>45981.49329</v>
      </c>
      <c r="H4427" s="14"/>
      <c r="I4427" s="13"/>
      <c r="J4427" s="17" t="str">
        <f>IFERROR(__xludf.DUMMYFUNCTION("""COMPUTED_VALUE"""),"")</f>
        <v/>
      </c>
      <c r="K4427" s="13" t="str">
        <f>IFERROR(__xludf.DUMMYFUNCTION("""COMPUTED_VALUE"""),"BT atau SU Belum Valid")</f>
        <v>BT atau SU Belum Valid</v>
      </c>
      <c r="L4427" s="13" t="str">
        <f>IFERROR(__xludf.DUMMYFUNCTION("""COMPUTED_VALUE"""),"")</f>
        <v/>
      </c>
      <c r="M4427" s="13"/>
      <c r="N4427" s="13" t="str">
        <f>IFERROR(__xludf.DUMMYFUNCTION("""COMPUTED_VALUE"""),"")</f>
        <v/>
      </c>
      <c r="O4427" s="13" t="str">
        <f t="shared" si="1"/>
        <v/>
      </c>
    </row>
    <row r="4428" ht="22.5" customHeight="1">
      <c r="B4428" s="13">
        <f>IFERROR(__xludf.DUMMYFUNCTION("""COMPUTED_VALUE"""),4423.0)</f>
        <v>4423</v>
      </c>
      <c r="C4428" s="13" t="str">
        <f>IFERROR(__xludf.DUMMYFUNCTION("""COMPUTED_VALUE"""),"M. 1618/KALIAWI")</f>
        <v>M. 1618/KALIAWI</v>
      </c>
      <c r="D4428" s="13" t="str">
        <f>IFERROR(__xludf.DUMMYFUNCTION("""COMPUTED_VALUE"""),"")</f>
        <v/>
      </c>
      <c r="E4428" s="14" t="str">
        <f>IFERROR(__xludf.DUMMYFUNCTION("""COMPUTED_VALUE"""),"Heri (BT)")</f>
        <v>Heri (BT)</v>
      </c>
      <c r="F4428" s="14" t="str">
        <f>IFERROR(__xludf.DUMMYFUNCTION("""COMPUTED_VALUE"""),"SELESAI (VIA PERMOHONAN)")</f>
        <v>SELESAI (VIA PERMOHONAN)</v>
      </c>
      <c r="G4428" s="17">
        <f>IFERROR(__xludf.DUMMYFUNCTION("""COMPUTED_VALUE"""),45981.49365597223)</f>
        <v>45981.49366</v>
      </c>
      <c r="H4428" s="14"/>
      <c r="I4428" s="13"/>
      <c r="J4428" s="17" t="str">
        <f>IFERROR(__xludf.DUMMYFUNCTION("""COMPUTED_VALUE"""),"")</f>
        <v/>
      </c>
      <c r="K4428" s="13" t="str">
        <f>IFERROR(__xludf.DUMMYFUNCTION("""COMPUTED_VALUE"""),"")</f>
        <v/>
      </c>
      <c r="L4428" s="13" t="str">
        <f>IFERROR(__xludf.DUMMYFUNCTION("""COMPUTED_VALUE"""),"")</f>
        <v/>
      </c>
      <c r="M4428" s="13"/>
      <c r="N4428" s="13" t="str">
        <f>IFERROR(__xludf.DUMMYFUNCTION("""COMPUTED_VALUE"""),"")</f>
        <v/>
      </c>
      <c r="O4428" s="13" t="str">
        <f t="shared" si="1"/>
        <v/>
      </c>
    </row>
    <row r="4429" ht="22.5" customHeight="1">
      <c r="B4429" s="13">
        <f>IFERROR(__xludf.DUMMYFUNCTION("""COMPUTED_VALUE"""),4424.0)</f>
        <v>4424</v>
      </c>
      <c r="C4429" s="13" t="str">
        <f>IFERROR(__xludf.DUMMYFUNCTION("""COMPUTED_VALUE"""),"M. 1358/GEDONG AIR")</f>
        <v>M. 1358/GEDONG AIR</v>
      </c>
      <c r="D4429" s="13" t="str">
        <f>IFERROR(__xludf.DUMMYFUNCTION("""COMPUTED_VALUE"""),"L/4/221025/1")</f>
        <v>L/4/221025/1</v>
      </c>
      <c r="E4429" s="14" t="str">
        <f>IFERROR(__xludf.DUMMYFUNCTION("""COMPUTED_VALUE"""),"Heri (BT)")</f>
        <v>Heri (BT)</v>
      </c>
      <c r="F4429" s="14" t="str">
        <f>IFERROR(__xludf.DUMMYFUNCTION("""COMPUTED_VALUE"""),"SELESAI (VIA PERMOHONAN)")</f>
        <v>SELESAI (VIA PERMOHONAN)</v>
      </c>
      <c r="G4429" s="17">
        <f>IFERROR(__xludf.DUMMYFUNCTION("""COMPUTED_VALUE"""),45981.49393773148)</f>
        <v>45981.49394</v>
      </c>
      <c r="H4429" s="14"/>
      <c r="I4429" s="13"/>
      <c r="J4429" s="17" t="str">
        <f>IFERROR(__xludf.DUMMYFUNCTION("""COMPUTED_VALUE"""),"")</f>
        <v/>
      </c>
      <c r="K4429" s="13" t="str">
        <f>IFERROR(__xludf.DUMMYFUNCTION("""COMPUTED_VALUE"""),"BT atau SU Belum Valid")</f>
        <v>BT atau SU Belum Valid</v>
      </c>
      <c r="L4429" s="13" t="str">
        <f>IFERROR(__xludf.DUMMYFUNCTION("""COMPUTED_VALUE"""),"")</f>
        <v/>
      </c>
      <c r="M4429" s="13"/>
      <c r="N4429" s="13" t="str">
        <f>IFERROR(__xludf.DUMMYFUNCTION("""COMPUTED_VALUE"""),"")</f>
        <v/>
      </c>
      <c r="O4429" s="13" t="str">
        <f t="shared" si="1"/>
        <v/>
      </c>
    </row>
    <row r="4430" ht="22.5" customHeight="1">
      <c r="B4430" s="13">
        <f>IFERROR(__xludf.DUMMYFUNCTION("""COMPUTED_VALUE"""),4425.0)</f>
        <v>4425</v>
      </c>
      <c r="C4430" s="13" t="str">
        <f>IFERROR(__xludf.DUMMYFUNCTION("""COMPUTED_VALUE"""),"M. 5430/WAY KANDIS")</f>
        <v>M. 5430/WAY KANDIS</v>
      </c>
      <c r="D4430" s="13" t="str">
        <f>IFERROR(__xludf.DUMMYFUNCTION("""COMPUTED_VALUE"""),"K/3/031025/1")</f>
        <v>K/3/031025/1</v>
      </c>
      <c r="E4430" s="14" t="str">
        <f>IFERROR(__xludf.DUMMYFUNCTION("""COMPUTED_VALUE"""),"Heri (BT)")</f>
        <v>Heri (BT)</v>
      </c>
      <c r="F4430" s="14" t="str">
        <f>IFERROR(__xludf.DUMMYFUNCTION("""COMPUTED_VALUE"""),"SELESAI (VIA PERMOHONAN)")</f>
        <v>SELESAI (VIA PERMOHONAN)</v>
      </c>
      <c r="G4430" s="17">
        <f>IFERROR(__xludf.DUMMYFUNCTION("""COMPUTED_VALUE"""),45981.49467056713)</f>
        <v>45981.49467</v>
      </c>
      <c r="H4430" s="14"/>
      <c r="I4430" s="13"/>
      <c r="J4430" s="17" t="str">
        <f>IFERROR(__xludf.DUMMYFUNCTION("""COMPUTED_VALUE"""),"")</f>
        <v/>
      </c>
      <c r="K4430" s="13" t="str">
        <f>IFERROR(__xludf.DUMMYFUNCTION("""COMPUTED_VALUE"""),"BT atau SU Belum Valid")</f>
        <v>BT atau SU Belum Valid</v>
      </c>
      <c r="L4430" s="13" t="str">
        <f>IFERROR(__xludf.DUMMYFUNCTION("""COMPUTED_VALUE"""),"")</f>
        <v/>
      </c>
      <c r="M4430" s="13"/>
      <c r="N4430" s="13" t="str">
        <f>IFERROR(__xludf.DUMMYFUNCTION("""COMPUTED_VALUE"""),"")</f>
        <v/>
      </c>
      <c r="O4430" s="13" t="str">
        <f t="shared" si="1"/>
        <v/>
      </c>
    </row>
    <row r="4431" ht="22.5" customHeight="1">
      <c r="B4431" s="13">
        <f>IFERROR(__xludf.DUMMYFUNCTION("""COMPUTED_VALUE"""),4426.0)</f>
        <v>4426</v>
      </c>
      <c r="C4431" s="13" t="str">
        <f>IFERROR(__xludf.DUMMYFUNCTION("""COMPUTED_VALUE"""),"M. 281/RAWA LAUT")</f>
        <v>M. 281/RAWA LAUT</v>
      </c>
      <c r="D4431" s="13" t="str">
        <f>IFERROR(__xludf.DUMMYFUNCTION("""COMPUTED_VALUE"""),"L/17/191125/1")</f>
        <v>L/17/191125/1</v>
      </c>
      <c r="E4431" s="14" t="str">
        <f>IFERROR(__xludf.DUMMYFUNCTION("""COMPUTED_VALUE"""),"Heri (BT)")</f>
        <v>Heri (BT)</v>
      </c>
      <c r="F4431" s="14" t="str">
        <f>IFERROR(__xludf.DUMMYFUNCTION("""COMPUTED_VALUE"""),"SELESAI (VIA PERMOHONAN)")</f>
        <v>SELESAI (VIA PERMOHONAN)</v>
      </c>
      <c r="G4431" s="17">
        <f>IFERROR(__xludf.DUMMYFUNCTION("""COMPUTED_VALUE"""),45981.494951967594)</f>
        <v>45981.49495</v>
      </c>
      <c r="H4431" s="14"/>
      <c r="I4431" s="13"/>
      <c r="J4431" s="17" t="str">
        <f>IFERROR(__xludf.DUMMYFUNCTION("""COMPUTED_VALUE"""),"")</f>
        <v/>
      </c>
      <c r="K4431" s="13" t="str">
        <f>IFERROR(__xludf.DUMMYFUNCTION("""COMPUTED_VALUE"""),"BT atau SU Belum Valid")</f>
        <v>BT atau SU Belum Valid</v>
      </c>
      <c r="L4431" s="13" t="str">
        <f>IFERROR(__xludf.DUMMYFUNCTION("""COMPUTED_VALUE"""),"")</f>
        <v/>
      </c>
      <c r="M4431" s="13"/>
      <c r="N4431" s="13" t="str">
        <f>IFERROR(__xludf.DUMMYFUNCTION("""COMPUTED_VALUE"""),"")</f>
        <v/>
      </c>
      <c r="O4431" s="13" t="str">
        <f t="shared" si="1"/>
        <v/>
      </c>
    </row>
    <row r="4432" ht="22.5" customHeight="1">
      <c r="B4432" s="13">
        <f>IFERROR(__xludf.DUMMYFUNCTION("""COMPUTED_VALUE"""),4427.0)</f>
        <v>4427</v>
      </c>
      <c r="C4432" s="13" t="str">
        <f>IFERROR(__xludf.DUMMYFUNCTION("""COMPUTED_VALUE"""),"B. 854/ Perumnas way kandis")</f>
        <v>B. 854/ Perumnas way kandis</v>
      </c>
      <c r="D4432" s="13" t="str">
        <f>IFERROR(__xludf.DUMMYFUNCTION("""COMPUTED_VALUE"""),"K/5/300625/1")</f>
        <v>K/5/300625/1</v>
      </c>
      <c r="E4432" s="14" t="str">
        <f>IFERROR(__xludf.DUMMYFUNCTION("""COMPUTED_VALUE"""),"Heri (BT)")</f>
        <v>Heri (BT)</v>
      </c>
      <c r="F4432" s="14" t="str">
        <f>IFERROR(__xludf.DUMMYFUNCTION("""COMPUTED_VALUE"""),"SELESAI (VIA PERMOHONAN)")</f>
        <v>SELESAI (VIA PERMOHONAN)</v>
      </c>
      <c r="G4432" s="17">
        <f>IFERROR(__xludf.DUMMYFUNCTION("""COMPUTED_VALUE"""),45982.44895884259)</f>
        <v>45982.44896</v>
      </c>
      <c r="H4432" s="14"/>
      <c r="I4432" s="13"/>
      <c r="J4432" s="17" t="str">
        <f>IFERROR(__xludf.DUMMYFUNCTION("""COMPUTED_VALUE"""),"")</f>
        <v/>
      </c>
      <c r="K4432" s="13" t="str">
        <f>IFERROR(__xludf.DUMMYFUNCTION("""COMPUTED_VALUE"""),"BT atau SU Belum Valid")</f>
        <v>BT atau SU Belum Valid</v>
      </c>
      <c r="L4432" s="13" t="str">
        <f>IFERROR(__xludf.DUMMYFUNCTION("""COMPUTED_VALUE"""),"")</f>
        <v/>
      </c>
      <c r="M4432" s="13"/>
      <c r="N4432" s="13" t="str">
        <f>IFERROR(__xludf.DUMMYFUNCTION("""COMPUTED_VALUE"""),"")</f>
        <v/>
      </c>
      <c r="O4432" s="13" t="str">
        <f t="shared" si="1"/>
        <v/>
      </c>
    </row>
    <row r="4433" ht="22.5" customHeight="1">
      <c r="B4433" s="13">
        <f>IFERROR(__xludf.DUMMYFUNCTION("""COMPUTED_VALUE"""),4428.0)</f>
        <v>4428</v>
      </c>
      <c r="C4433" s="13" t="str">
        <f>IFERROR(__xludf.DUMMYFUNCTION("""COMPUTED_VALUE"""),"M. 2404/Labuhan Dalam	")</f>
        <v>M. 2404/Labuhan Dalam	</v>
      </c>
      <c r="D4433" s="13" t="str">
        <f>IFERROR(__xludf.DUMMYFUNCTION("""COMPUTED_VALUE"""),"K/53/081025/1")</f>
        <v>K/53/081025/1</v>
      </c>
      <c r="E4433" s="14" t="str">
        <f>IFERROR(__xludf.DUMMYFUNCTION("""COMPUTED_VALUE"""),"Heri (BT)")</f>
        <v>Heri (BT)</v>
      </c>
      <c r="F4433" s="14" t="str">
        <f>IFERROR(__xludf.DUMMYFUNCTION("""COMPUTED_VALUE"""),"SELESAI (VIA PERMOHONAN)")</f>
        <v>SELESAI (VIA PERMOHONAN)</v>
      </c>
      <c r="G4433" s="17">
        <f>IFERROR(__xludf.DUMMYFUNCTION("""COMPUTED_VALUE"""),45982.44911541667)</f>
        <v>45982.44912</v>
      </c>
      <c r="H4433" s="14"/>
      <c r="I4433" s="13"/>
      <c r="J4433" s="17" t="str">
        <f>IFERROR(__xludf.DUMMYFUNCTION("""COMPUTED_VALUE"""),"")</f>
        <v/>
      </c>
      <c r="K4433" s="13" t="str">
        <f>IFERROR(__xludf.DUMMYFUNCTION("""COMPUTED_VALUE"""),"BT atau SU Belum Valid")</f>
        <v>BT atau SU Belum Valid</v>
      </c>
      <c r="L4433" s="13" t="str">
        <f>IFERROR(__xludf.DUMMYFUNCTION("""COMPUTED_VALUE"""),"")</f>
        <v/>
      </c>
      <c r="M4433" s="13"/>
      <c r="N4433" s="13" t="str">
        <f>IFERROR(__xludf.DUMMYFUNCTION("""COMPUTED_VALUE"""),"")</f>
        <v/>
      </c>
      <c r="O4433" s="13" t="str">
        <f t="shared" si="1"/>
        <v/>
      </c>
    </row>
    <row r="4434" ht="22.5" customHeight="1">
      <c r="B4434" s="13">
        <f>IFERROR(__xludf.DUMMYFUNCTION("""COMPUTED_VALUE"""),4429.0)</f>
        <v>4429</v>
      </c>
      <c r="C4434" s="13" t="str">
        <f>IFERROR(__xludf.DUMMYFUNCTION("""COMPUTED_VALUE"""),"M. 1914/Beringin Jaya")</f>
        <v>M. 1914/Beringin Jaya</v>
      </c>
      <c r="D4434" s="13" t="str">
        <f>IFERROR(__xludf.DUMMYFUNCTION("""COMPUTED_VALUE"""),"K/3/250825/1")</f>
        <v>K/3/250825/1</v>
      </c>
      <c r="E4434" s="14" t="str">
        <f>IFERROR(__xludf.DUMMYFUNCTION("""COMPUTED_VALUE"""),"Heri (BT)")</f>
        <v>Heri (BT)</v>
      </c>
      <c r="F4434" s="14" t="str">
        <f>IFERROR(__xludf.DUMMYFUNCTION("""COMPUTED_VALUE"""),"SELESAI (VIA PERMOHONAN)")</f>
        <v>SELESAI (VIA PERMOHONAN)</v>
      </c>
      <c r="G4434" s="17">
        <f>IFERROR(__xludf.DUMMYFUNCTION("""COMPUTED_VALUE"""),45982.44927574074)</f>
        <v>45982.44928</v>
      </c>
      <c r="H4434" s="14"/>
      <c r="I4434" s="13"/>
      <c r="J4434" s="17" t="str">
        <f>IFERROR(__xludf.DUMMYFUNCTION("""COMPUTED_VALUE"""),"")</f>
        <v/>
      </c>
      <c r="K4434" s="13" t="str">
        <f>IFERROR(__xludf.DUMMYFUNCTION("""COMPUTED_VALUE"""),"BT atau SU Belum Valid")</f>
        <v>BT atau SU Belum Valid</v>
      </c>
      <c r="L4434" s="13" t="str">
        <f>IFERROR(__xludf.DUMMYFUNCTION("""COMPUTED_VALUE"""),"")</f>
        <v/>
      </c>
      <c r="M4434" s="13"/>
      <c r="N4434" s="13" t="str">
        <f>IFERROR(__xludf.DUMMYFUNCTION("""COMPUTED_VALUE"""),"")</f>
        <v/>
      </c>
      <c r="O4434" s="13" t="str">
        <f t="shared" si="1"/>
        <v/>
      </c>
    </row>
    <row r="4435" ht="22.5" customHeight="1">
      <c r="B4435" s="13">
        <f>IFERROR(__xludf.DUMMYFUNCTION("""COMPUTED_VALUE"""),4430.0)</f>
        <v>4430</v>
      </c>
      <c r="C4435" s="13" t="str">
        <f>IFERROR(__xludf.DUMMYFUNCTION("""COMPUTED_VALUE"""),"M. 3187/Sukarame Baru")</f>
        <v>M. 3187/Sukarame Baru</v>
      </c>
      <c r="D4435" s="13" t="str">
        <f>IFERROR(__xludf.DUMMYFUNCTION("""COMPUTED_VALUE"""),"K/31/290925/1")</f>
        <v>K/31/290925/1</v>
      </c>
      <c r="E4435" s="14" t="str">
        <f>IFERROR(__xludf.DUMMYFUNCTION("""COMPUTED_VALUE"""),"Heri (BT)")</f>
        <v>Heri (BT)</v>
      </c>
      <c r="F4435" s="14" t="str">
        <f>IFERROR(__xludf.DUMMYFUNCTION("""COMPUTED_VALUE"""),"SELESAI (VIA PERMOHONAN)")</f>
        <v>SELESAI (VIA PERMOHONAN)</v>
      </c>
      <c r="G4435" s="17">
        <f>IFERROR(__xludf.DUMMYFUNCTION("""COMPUTED_VALUE"""),45982.45007106481)</f>
        <v>45982.45007</v>
      </c>
      <c r="H4435" s="14"/>
      <c r="I4435" s="13"/>
      <c r="J4435" s="17" t="str">
        <f>IFERROR(__xludf.DUMMYFUNCTION("""COMPUTED_VALUE"""),"")</f>
        <v/>
      </c>
      <c r="K4435" s="13" t="str">
        <f>IFERROR(__xludf.DUMMYFUNCTION("""COMPUTED_VALUE"""),"BT atau SU Belum Valid")</f>
        <v>BT atau SU Belum Valid</v>
      </c>
      <c r="L4435" s="13" t="str">
        <f>IFERROR(__xludf.DUMMYFUNCTION("""COMPUTED_VALUE"""),"")</f>
        <v/>
      </c>
      <c r="M4435" s="13"/>
      <c r="N4435" s="13" t="str">
        <f>IFERROR(__xludf.DUMMYFUNCTION("""COMPUTED_VALUE"""),"")</f>
        <v/>
      </c>
      <c r="O4435" s="13" t="str">
        <f t="shared" si="1"/>
        <v/>
      </c>
    </row>
    <row r="4436" ht="22.5" customHeight="1">
      <c r="B4436" s="13">
        <f>IFERROR(__xludf.DUMMYFUNCTION("""COMPUTED_VALUE"""),4431.0)</f>
        <v>4431</v>
      </c>
      <c r="C4436" s="13" t="str">
        <f>IFERROR(__xludf.DUMMYFUNCTION("""COMPUTED_VALUE"""),"M. 1517/ Rajabasa Jaya")</f>
        <v>M. 1517/ Rajabasa Jaya</v>
      </c>
      <c r="D4436" s="13" t="str">
        <f>IFERROR(__xludf.DUMMYFUNCTION("""COMPUTED_VALUE"""),"K/25/210725/1")</f>
        <v>K/25/210725/1</v>
      </c>
      <c r="E4436" s="14" t="str">
        <f>IFERROR(__xludf.DUMMYFUNCTION("""COMPUTED_VALUE"""),"Heri (BT)")</f>
        <v>Heri (BT)</v>
      </c>
      <c r="F4436" s="14" t="str">
        <f>IFERROR(__xludf.DUMMYFUNCTION("""COMPUTED_VALUE"""),"SELESAI (VIA PERMOHONAN)")</f>
        <v>SELESAI (VIA PERMOHONAN)</v>
      </c>
      <c r="G4436" s="17">
        <f>IFERROR(__xludf.DUMMYFUNCTION("""COMPUTED_VALUE"""),45986.392914375)</f>
        <v>45986.39291</v>
      </c>
      <c r="H4436" s="14"/>
      <c r="I4436" s="13"/>
      <c r="J4436" s="17" t="str">
        <f>IFERROR(__xludf.DUMMYFUNCTION("""COMPUTED_VALUE"""),"")</f>
        <v/>
      </c>
      <c r="K4436" s="13" t="str">
        <f>IFERROR(__xludf.DUMMYFUNCTION("""COMPUTED_VALUE"""),"BT atau SU Belum Valid")</f>
        <v>BT atau SU Belum Valid</v>
      </c>
      <c r="L4436" s="13" t="str">
        <f>IFERROR(__xludf.DUMMYFUNCTION("""COMPUTED_VALUE"""),"")</f>
        <v/>
      </c>
      <c r="M4436" s="13"/>
      <c r="N4436" s="13" t="str">
        <f>IFERROR(__xludf.DUMMYFUNCTION("""COMPUTED_VALUE"""),"")</f>
        <v/>
      </c>
      <c r="O4436" s="13" t="str">
        <f t="shared" si="1"/>
        <v/>
      </c>
    </row>
    <row r="4437" ht="22.5" customHeight="1">
      <c r="B4437" s="13">
        <f>IFERROR(__xludf.DUMMYFUNCTION("""COMPUTED_VALUE"""),4432.0)</f>
        <v>4432</v>
      </c>
      <c r="C4437" s="13" t="str">
        <f>IFERROR(__xludf.DUMMYFUNCTION("""COMPUTED_VALUE"""),"M 1726/ KALIAWI")</f>
        <v>M 1726/ KALIAWI</v>
      </c>
      <c r="D4437" s="13" t="str">
        <f>IFERROR(__xludf.DUMMYFUNCTION("""COMPUTED_VALUE"""),"K/15/300925/1")</f>
        <v>K/15/300925/1</v>
      </c>
      <c r="E4437" s="14" t="str">
        <f>IFERROR(__xludf.DUMMYFUNCTION("""COMPUTED_VALUE"""),"Heri (BT)")</f>
        <v>Heri (BT)</v>
      </c>
      <c r="F4437" s="14" t="str">
        <f>IFERROR(__xludf.DUMMYFUNCTION("""COMPUTED_VALUE"""),"SELESAI (VIA PERMOHONAN)")</f>
        <v>SELESAI (VIA PERMOHONAN)</v>
      </c>
      <c r="G4437" s="17">
        <f>IFERROR(__xludf.DUMMYFUNCTION("""COMPUTED_VALUE"""),45986.392914375)</f>
        <v>45986.39291</v>
      </c>
      <c r="H4437" s="14"/>
      <c r="I4437" s="13"/>
      <c r="J4437" s="17" t="str">
        <f>IFERROR(__xludf.DUMMYFUNCTION("""COMPUTED_VALUE"""),"")</f>
        <v/>
      </c>
      <c r="K4437" s="13" t="str">
        <f>IFERROR(__xludf.DUMMYFUNCTION("""COMPUTED_VALUE"""),"BT atau SU Belum Valid")</f>
        <v>BT atau SU Belum Valid</v>
      </c>
      <c r="L4437" s="13" t="str">
        <f>IFERROR(__xludf.DUMMYFUNCTION("""COMPUTED_VALUE"""),"")</f>
        <v/>
      </c>
      <c r="M4437" s="13"/>
      <c r="N4437" s="13" t="str">
        <f>IFERROR(__xludf.DUMMYFUNCTION("""COMPUTED_VALUE"""),"")</f>
        <v/>
      </c>
      <c r="O4437" s="13" t="str">
        <f t="shared" si="1"/>
        <v/>
      </c>
    </row>
    <row r="4438" ht="22.5" customHeight="1">
      <c r="B4438" s="13">
        <f>IFERROR(__xludf.DUMMYFUNCTION("""COMPUTED_VALUE"""),4433.0)</f>
        <v>4433</v>
      </c>
      <c r="C4438" s="13" t="str">
        <f>IFERROR(__xludf.DUMMYFUNCTION("""COMPUTED_VALUE"""),"M 1357/ PERUMNAS WAY HALIM")</f>
        <v>M 1357/ PERUMNAS WAY HALIM</v>
      </c>
      <c r="D4438" s="13" t="str">
        <f>IFERROR(__xludf.DUMMYFUNCTION("""COMPUTED_VALUE"""),"K/11/061025/1")</f>
        <v>K/11/061025/1</v>
      </c>
      <c r="E4438" s="14" t="str">
        <f>IFERROR(__xludf.DUMMYFUNCTION("""COMPUTED_VALUE"""),"Heri (BT)")</f>
        <v>Heri (BT)</v>
      </c>
      <c r="F4438" s="14" t="str">
        <f>IFERROR(__xludf.DUMMYFUNCTION("""COMPUTED_VALUE"""),"SELESAI (VIA PERMOHONAN)")</f>
        <v>SELESAI (VIA PERMOHONAN)</v>
      </c>
      <c r="G4438" s="17">
        <f>IFERROR(__xludf.DUMMYFUNCTION("""COMPUTED_VALUE"""),45986.392914375)</f>
        <v>45986.39291</v>
      </c>
      <c r="H4438" s="14"/>
      <c r="I4438" s="13"/>
      <c r="J4438" s="17" t="str">
        <f>IFERROR(__xludf.DUMMYFUNCTION("""COMPUTED_VALUE"""),"")</f>
        <v/>
      </c>
      <c r="K4438" s="13" t="str">
        <f>IFERROR(__xludf.DUMMYFUNCTION("""COMPUTED_VALUE"""),"BT atau SU Belum Valid")</f>
        <v>BT atau SU Belum Valid</v>
      </c>
      <c r="L4438" s="13" t="str">
        <f>IFERROR(__xludf.DUMMYFUNCTION("""COMPUTED_VALUE"""),"")</f>
        <v/>
      </c>
      <c r="M4438" s="13"/>
      <c r="N4438" s="13" t="str">
        <f>IFERROR(__xludf.DUMMYFUNCTION("""COMPUTED_VALUE"""),"")</f>
        <v/>
      </c>
      <c r="O4438" s="13" t="str">
        <f t="shared" si="1"/>
        <v/>
      </c>
    </row>
    <row r="4439" ht="22.5" customHeight="1">
      <c r="B4439" s="13">
        <f>IFERROR(__xludf.DUMMYFUNCTION("""COMPUTED_VALUE"""),4434.0)</f>
        <v>4434</v>
      </c>
      <c r="C4439" s="13" t="str">
        <f>IFERROR(__xludf.DUMMYFUNCTION("""COMPUTED_VALUE"""),"M 1622/ TELUK BETUNG")</f>
        <v>M 1622/ TELUK BETUNG</v>
      </c>
      <c r="D4439" s="13" t="str">
        <f>IFERROR(__xludf.DUMMYFUNCTION("""COMPUTED_VALUE"""),"K/40/160925/1")</f>
        <v>K/40/160925/1</v>
      </c>
      <c r="E4439" s="14" t="str">
        <f>IFERROR(__xludf.DUMMYFUNCTION("""COMPUTED_VALUE"""),"Heri (BT)")</f>
        <v>Heri (BT)</v>
      </c>
      <c r="F4439" s="14" t="str">
        <f>IFERROR(__xludf.DUMMYFUNCTION("""COMPUTED_VALUE"""),"SELESAI (VIA PERMOHONAN)")</f>
        <v>SELESAI (VIA PERMOHONAN)</v>
      </c>
      <c r="G4439" s="17">
        <f>IFERROR(__xludf.DUMMYFUNCTION("""COMPUTED_VALUE"""),45986.392914375)</f>
        <v>45986.39291</v>
      </c>
      <c r="H4439" s="14"/>
      <c r="I4439" s="13"/>
      <c r="J4439" s="17" t="str">
        <f>IFERROR(__xludf.DUMMYFUNCTION("""COMPUTED_VALUE"""),"")</f>
        <v/>
      </c>
      <c r="K4439" s="13" t="str">
        <f>IFERROR(__xludf.DUMMYFUNCTION("""COMPUTED_VALUE"""),"BT atau SU Belum Valid")</f>
        <v>BT atau SU Belum Valid</v>
      </c>
      <c r="L4439" s="13" t="str">
        <f>IFERROR(__xludf.DUMMYFUNCTION("""COMPUTED_VALUE"""),"")</f>
        <v/>
      </c>
      <c r="M4439" s="13"/>
      <c r="N4439" s="13" t="str">
        <f>IFERROR(__xludf.DUMMYFUNCTION("""COMPUTED_VALUE"""),"")</f>
        <v/>
      </c>
      <c r="O4439" s="13" t="str">
        <f t="shared" si="1"/>
        <v/>
      </c>
    </row>
    <row r="4440" ht="22.5" customHeight="1">
      <c r="B4440" s="13">
        <f>IFERROR(__xludf.DUMMYFUNCTION("""COMPUTED_VALUE"""),4435.0)</f>
        <v>4435</v>
      </c>
      <c r="C4440" s="13" t="str">
        <f>IFERROR(__xludf.DUMMYFUNCTION("""COMPUTED_VALUE"""),"B 642/ SUMBER AGUNG")</f>
        <v>B 642/ SUMBER AGUNG</v>
      </c>
      <c r="D4440" s="13" t="str">
        <f>IFERROR(__xludf.DUMMYFUNCTION("""COMPUTED_VALUE"""),"K/56/091025/1")</f>
        <v>K/56/091025/1</v>
      </c>
      <c r="E4440" s="14" t="str">
        <f>IFERROR(__xludf.DUMMYFUNCTION("""COMPUTED_VALUE"""),"Heri (BT)")</f>
        <v>Heri (BT)</v>
      </c>
      <c r="F4440" s="14" t="str">
        <f>IFERROR(__xludf.DUMMYFUNCTION("""COMPUTED_VALUE"""),"SELESAI (VIA PERMOHONAN)")</f>
        <v>SELESAI (VIA PERMOHONAN)</v>
      </c>
      <c r="G4440" s="17">
        <f>IFERROR(__xludf.DUMMYFUNCTION("""COMPUTED_VALUE"""),45986.392914375)</f>
        <v>45986.39291</v>
      </c>
      <c r="H4440" s="14"/>
      <c r="I4440" s="13"/>
      <c r="J4440" s="17" t="str">
        <f>IFERROR(__xludf.DUMMYFUNCTION("""COMPUTED_VALUE"""),"")</f>
        <v/>
      </c>
      <c r="K4440" s="13" t="str">
        <f>IFERROR(__xludf.DUMMYFUNCTION("""COMPUTED_VALUE"""),"BT atau SU Belum Valid")</f>
        <v>BT atau SU Belum Valid</v>
      </c>
      <c r="L4440" s="13" t="str">
        <f>IFERROR(__xludf.DUMMYFUNCTION("""COMPUTED_VALUE"""),"")</f>
        <v/>
      </c>
      <c r="M4440" s="13"/>
      <c r="N4440" s="13" t="str">
        <f>IFERROR(__xludf.DUMMYFUNCTION("""COMPUTED_VALUE"""),"")</f>
        <v/>
      </c>
      <c r="O4440" s="13" t="str">
        <f t="shared" si="1"/>
        <v/>
      </c>
    </row>
    <row r="4441" ht="22.5" customHeight="1">
      <c r="B4441" s="13">
        <f>IFERROR(__xludf.DUMMYFUNCTION("""COMPUTED_VALUE"""),4436.0)</f>
        <v>4436</v>
      </c>
      <c r="C4441" s="13" t="str">
        <f>IFERROR(__xludf.DUMMYFUNCTION("""COMPUTED_VALUE"""),"M 2615/ SUKARAME BARU")</f>
        <v>M 2615/ SUKARAME BARU</v>
      </c>
      <c r="D4441" s="13" t="str">
        <f>IFERROR(__xludf.DUMMYFUNCTION("""COMPUTED_VALUE"""),"K/20/101025/1")</f>
        <v>K/20/101025/1</v>
      </c>
      <c r="E4441" s="14" t="str">
        <f>IFERROR(__xludf.DUMMYFUNCTION("""COMPUTED_VALUE"""),"Heri (BT)")</f>
        <v>Heri (BT)</v>
      </c>
      <c r="F4441" s="14" t="str">
        <f>IFERROR(__xludf.DUMMYFUNCTION("""COMPUTED_VALUE"""),"SELESAI (VIA PERMOHONAN)")</f>
        <v>SELESAI (VIA PERMOHONAN)</v>
      </c>
      <c r="G4441" s="17">
        <f>IFERROR(__xludf.DUMMYFUNCTION("""COMPUTED_VALUE"""),45986.392914375)</f>
        <v>45986.39291</v>
      </c>
      <c r="H4441" s="14"/>
      <c r="I4441" s="13"/>
      <c r="J4441" s="17" t="str">
        <f>IFERROR(__xludf.DUMMYFUNCTION("""COMPUTED_VALUE"""),"")</f>
        <v/>
      </c>
      <c r="K4441" s="13" t="str">
        <f>IFERROR(__xludf.DUMMYFUNCTION("""COMPUTED_VALUE"""),"BT atau SU Belum Valid")</f>
        <v>BT atau SU Belum Valid</v>
      </c>
      <c r="L4441" s="13" t="str">
        <f>IFERROR(__xludf.DUMMYFUNCTION("""COMPUTED_VALUE"""),"")</f>
        <v/>
      </c>
      <c r="M4441" s="13"/>
      <c r="N4441" s="13" t="str">
        <f>IFERROR(__xludf.DUMMYFUNCTION("""COMPUTED_VALUE"""),"")</f>
        <v/>
      </c>
      <c r="O4441" s="13" t="str">
        <f t="shared" si="1"/>
        <v/>
      </c>
    </row>
    <row r="4442" ht="22.5" customHeight="1">
      <c r="B4442" s="13">
        <f>IFERROR(__xludf.DUMMYFUNCTION("""COMPUTED_VALUE"""),4437.0)</f>
        <v>4437</v>
      </c>
      <c r="C4442" s="13" t="str">
        <f>IFERROR(__xludf.DUMMYFUNCTION("""COMPUTED_VALUE"""),"M 1394/ PANJANG SELATAN")</f>
        <v>M 1394/ PANJANG SELATAN</v>
      </c>
      <c r="D4442" s="13" t="str">
        <f>IFERROR(__xludf.DUMMYFUNCTION("""COMPUTED_VALUE"""),"K/21/101025/2")</f>
        <v>K/21/101025/2</v>
      </c>
      <c r="E4442" s="14" t="str">
        <f>IFERROR(__xludf.DUMMYFUNCTION("""COMPUTED_VALUE"""),"Heri (BT)")</f>
        <v>Heri (BT)</v>
      </c>
      <c r="F4442" s="14" t="str">
        <f>IFERROR(__xludf.DUMMYFUNCTION("""COMPUTED_VALUE"""),"SELESAI (VIA PERMOHONAN)")</f>
        <v>SELESAI (VIA PERMOHONAN)</v>
      </c>
      <c r="G4442" s="17">
        <f>IFERROR(__xludf.DUMMYFUNCTION("""COMPUTED_VALUE"""),45986.392914375)</f>
        <v>45986.39291</v>
      </c>
      <c r="H4442" s="14"/>
      <c r="I4442" s="13"/>
      <c r="J4442" s="17" t="str">
        <f>IFERROR(__xludf.DUMMYFUNCTION("""COMPUTED_VALUE"""),"")</f>
        <v/>
      </c>
      <c r="K4442" s="13" t="str">
        <f>IFERROR(__xludf.DUMMYFUNCTION("""COMPUTED_VALUE"""),"BT atau SU Belum Valid")</f>
        <v>BT atau SU Belum Valid</v>
      </c>
      <c r="L4442" s="13" t="str">
        <f>IFERROR(__xludf.DUMMYFUNCTION("""COMPUTED_VALUE"""),"")</f>
        <v/>
      </c>
      <c r="M4442" s="13"/>
      <c r="N4442" s="13" t="str">
        <f>IFERROR(__xludf.DUMMYFUNCTION("""COMPUTED_VALUE"""),"")</f>
        <v/>
      </c>
      <c r="O4442" s="13" t="str">
        <f t="shared" si="1"/>
        <v/>
      </c>
    </row>
    <row r="4443" ht="22.5" customHeight="1">
      <c r="B4443" s="13">
        <f>IFERROR(__xludf.DUMMYFUNCTION("""COMPUTED_VALUE"""),4438.0)</f>
        <v>4438</v>
      </c>
      <c r="C4443" s="13" t="str">
        <f>IFERROR(__xludf.DUMMYFUNCTION("""COMPUTED_VALUE"""),"M 1064/ GUNUNG AGUNG")</f>
        <v>M 1064/ GUNUNG AGUNG</v>
      </c>
      <c r="D4443" s="13" t="str">
        <f>IFERROR(__xludf.DUMMYFUNCTION("""COMPUTED_VALUE"""),"K/50/081025/1")</f>
        <v>K/50/081025/1</v>
      </c>
      <c r="E4443" s="14" t="str">
        <f>IFERROR(__xludf.DUMMYFUNCTION("""COMPUTED_VALUE"""),"Heri (BT)")</f>
        <v>Heri (BT)</v>
      </c>
      <c r="F4443" s="14" t="str">
        <f>IFERROR(__xludf.DUMMYFUNCTION("""COMPUTED_VALUE"""),"SELESAI (VIA PERMOHONAN)")</f>
        <v>SELESAI (VIA PERMOHONAN)</v>
      </c>
      <c r="G4443" s="17">
        <f>IFERROR(__xludf.DUMMYFUNCTION("""COMPUTED_VALUE"""),45986.392914375)</f>
        <v>45986.39291</v>
      </c>
      <c r="H4443" s="14"/>
      <c r="I4443" s="13"/>
      <c r="J4443" s="17" t="str">
        <f>IFERROR(__xludf.DUMMYFUNCTION("""COMPUTED_VALUE"""),"")</f>
        <v/>
      </c>
      <c r="K4443" s="13" t="str">
        <f>IFERROR(__xludf.DUMMYFUNCTION("""COMPUTED_VALUE"""),"BT atau SU Belum Valid")</f>
        <v>BT atau SU Belum Valid</v>
      </c>
      <c r="L4443" s="13" t="str">
        <f>IFERROR(__xludf.DUMMYFUNCTION("""COMPUTED_VALUE"""),"")</f>
        <v/>
      </c>
      <c r="M4443" s="13"/>
      <c r="N4443" s="13" t="str">
        <f>IFERROR(__xludf.DUMMYFUNCTION("""COMPUTED_VALUE"""),"")</f>
        <v/>
      </c>
      <c r="O4443" s="13" t="str">
        <f t="shared" si="1"/>
        <v/>
      </c>
    </row>
    <row r="4444" ht="22.5" customHeight="1">
      <c r="B4444" s="13">
        <f>IFERROR(__xludf.DUMMYFUNCTION("""COMPUTED_VALUE"""),4439.0)</f>
        <v>4439</v>
      </c>
      <c r="C4444" s="13" t="str">
        <f>IFERROR(__xludf.DUMMYFUNCTION("""COMPUTED_VALUE"""),"B 623/ SUKAMAJU")</f>
        <v>B 623/ SUKAMAJU</v>
      </c>
      <c r="D4444" s="13" t="str">
        <f>IFERROR(__xludf.DUMMYFUNCTION("""COMPUTED_VALUE"""),"K/51/081025/2")</f>
        <v>K/51/081025/2</v>
      </c>
      <c r="E4444" s="14" t="str">
        <f>IFERROR(__xludf.DUMMYFUNCTION("""COMPUTED_VALUE"""),"Heri (BT)")</f>
        <v>Heri (BT)</v>
      </c>
      <c r="F4444" s="14" t="str">
        <f>IFERROR(__xludf.DUMMYFUNCTION("""COMPUTED_VALUE"""),"SELESAI (VIA PERMOHONAN)")</f>
        <v>SELESAI (VIA PERMOHONAN)</v>
      </c>
      <c r="G4444" s="17">
        <f>IFERROR(__xludf.DUMMYFUNCTION("""COMPUTED_VALUE"""),45986.392914375)</f>
        <v>45986.39291</v>
      </c>
      <c r="H4444" s="14"/>
      <c r="I4444" s="13"/>
      <c r="J4444" s="17" t="str">
        <f>IFERROR(__xludf.DUMMYFUNCTION("""COMPUTED_VALUE"""),"")</f>
        <v/>
      </c>
      <c r="K4444" s="13" t="str">
        <f>IFERROR(__xludf.DUMMYFUNCTION("""COMPUTED_VALUE"""),"BT atau SU Belum Valid")</f>
        <v>BT atau SU Belum Valid</v>
      </c>
      <c r="L4444" s="13" t="str">
        <f>IFERROR(__xludf.DUMMYFUNCTION("""COMPUTED_VALUE"""),"")</f>
        <v/>
      </c>
      <c r="M4444" s="13"/>
      <c r="N4444" s="13" t="str">
        <f>IFERROR(__xludf.DUMMYFUNCTION("""COMPUTED_VALUE"""),"")</f>
        <v/>
      </c>
      <c r="O4444" s="13" t="str">
        <f t="shared" si="1"/>
        <v/>
      </c>
    </row>
    <row r="4445" ht="22.5" customHeight="1">
      <c r="B4445" s="13">
        <f>IFERROR(__xludf.DUMMYFUNCTION("""COMPUTED_VALUE"""),4440.0)</f>
        <v>4440</v>
      </c>
      <c r="C4445" s="13" t="str">
        <f>IFERROR(__xludf.DUMMYFUNCTION("""COMPUTED_VALUE"""),"M 6817/ TANJUNG SENANG")</f>
        <v>M 6817/ TANJUNG SENANG</v>
      </c>
      <c r="D4445" s="13" t="str">
        <f>IFERROR(__xludf.DUMMYFUNCTION("""COMPUTED_VALUE"""),"K/37/081025/2")</f>
        <v>K/37/081025/2</v>
      </c>
      <c r="E4445" s="14" t="str">
        <f>IFERROR(__xludf.DUMMYFUNCTION("""COMPUTED_VALUE"""),"Heri (BT)")</f>
        <v>Heri (BT)</v>
      </c>
      <c r="F4445" s="14" t="str">
        <f>IFERROR(__xludf.DUMMYFUNCTION("""COMPUTED_VALUE"""),"SELESAI (VIA PERMOHONAN)")</f>
        <v>SELESAI (VIA PERMOHONAN)</v>
      </c>
      <c r="G4445" s="17">
        <f>IFERROR(__xludf.DUMMYFUNCTION("""COMPUTED_VALUE"""),45986.392914375)</f>
        <v>45986.39291</v>
      </c>
      <c r="H4445" s="14"/>
      <c r="I4445" s="13"/>
      <c r="J4445" s="17" t="str">
        <f>IFERROR(__xludf.DUMMYFUNCTION("""COMPUTED_VALUE"""),"")</f>
        <v/>
      </c>
      <c r="K4445" s="13" t="str">
        <f>IFERROR(__xludf.DUMMYFUNCTION("""COMPUTED_VALUE"""),"BT atau SU Belum Valid")</f>
        <v>BT atau SU Belum Valid</v>
      </c>
      <c r="L4445" s="13" t="str">
        <f>IFERROR(__xludf.DUMMYFUNCTION("""COMPUTED_VALUE"""),"")</f>
        <v/>
      </c>
      <c r="M4445" s="13"/>
      <c r="N4445" s="13" t="str">
        <f>IFERROR(__xludf.DUMMYFUNCTION("""COMPUTED_VALUE"""),"")</f>
        <v/>
      </c>
      <c r="O4445" s="13" t="str">
        <f t="shared" si="1"/>
        <v/>
      </c>
    </row>
    <row r="4446" ht="22.5" customHeight="1">
      <c r="B4446" s="13">
        <f>IFERROR(__xludf.DUMMYFUNCTION("""COMPUTED_VALUE"""),4441.0)</f>
        <v>4441</v>
      </c>
      <c r="C4446" s="13" t="str">
        <f>IFERROR(__xludf.DUMMYFUNCTION("""COMPUTED_VALUE"""),"M 1630/ PESAWAHAN")</f>
        <v>M 1630/ PESAWAHAN</v>
      </c>
      <c r="D4446" s="13" t="str">
        <f>IFERROR(__xludf.DUMMYFUNCTION("""COMPUTED_VALUE"""),"K/11/091025/2")</f>
        <v>K/11/091025/2</v>
      </c>
      <c r="E4446" s="14" t="str">
        <f>IFERROR(__xludf.DUMMYFUNCTION("""COMPUTED_VALUE"""),"Heri (BT)")</f>
        <v>Heri (BT)</v>
      </c>
      <c r="F4446" s="14" t="str">
        <f>IFERROR(__xludf.DUMMYFUNCTION("""COMPUTED_VALUE"""),"SELESAI (VIA PERMOHONAN)")</f>
        <v>SELESAI (VIA PERMOHONAN)</v>
      </c>
      <c r="G4446" s="17">
        <f>IFERROR(__xludf.DUMMYFUNCTION("""COMPUTED_VALUE"""),45986.392914375)</f>
        <v>45986.39291</v>
      </c>
      <c r="H4446" s="14"/>
      <c r="I4446" s="13"/>
      <c r="J4446" s="17" t="str">
        <f>IFERROR(__xludf.DUMMYFUNCTION("""COMPUTED_VALUE"""),"")</f>
        <v/>
      </c>
      <c r="K4446" s="13" t="str">
        <f>IFERROR(__xludf.DUMMYFUNCTION("""COMPUTED_VALUE"""),"BT atau SU Belum Valid")</f>
        <v>BT atau SU Belum Valid</v>
      </c>
      <c r="L4446" s="13" t="str">
        <f>IFERROR(__xludf.DUMMYFUNCTION("""COMPUTED_VALUE"""),"")</f>
        <v/>
      </c>
      <c r="M4446" s="13"/>
      <c r="N4446" s="13" t="str">
        <f>IFERROR(__xludf.DUMMYFUNCTION("""COMPUTED_VALUE"""),"")</f>
        <v/>
      </c>
      <c r="O4446" s="13" t="str">
        <f t="shared" si="1"/>
        <v/>
      </c>
    </row>
    <row r="4447" ht="22.5" customHeight="1">
      <c r="B4447" s="13">
        <f>IFERROR(__xludf.DUMMYFUNCTION("""COMPUTED_VALUE"""),4442.0)</f>
        <v>4442</v>
      </c>
      <c r="C4447" s="13" t="str">
        <f>IFERROR(__xludf.DUMMYFUNCTION("""COMPUTED_VALUE"""),"M. 956/ Pengajaran")</f>
        <v>M. 956/ Pengajaran</v>
      </c>
      <c r="D4447" s="13" t="str">
        <f>IFERROR(__xludf.DUMMYFUNCTION("""COMPUTED_VALUE"""),"K/11/260625/1")</f>
        <v>K/11/260625/1</v>
      </c>
      <c r="E4447" s="14" t="str">
        <f>IFERROR(__xludf.DUMMYFUNCTION("""COMPUTED_VALUE"""),"Heri (BT)")</f>
        <v>Heri (BT)</v>
      </c>
      <c r="F4447" s="14" t="str">
        <f>IFERROR(__xludf.DUMMYFUNCTION("""COMPUTED_VALUE"""),"SELESAI (VIA PERMOHONAN)")</f>
        <v>SELESAI (VIA PERMOHONAN)</v>
      </c>
      <c r="G4447" s="17">
        <f>IFERROR(__xludf.DUMMYFUNCTION("""COMPUTED_VALUE"""),45986.392914375)</f>
        <v>45986.39291</v>
      </c>
      <c r="H4447" s="14"/>
      <c r="I4447" s="13"/>
      <c r="J4447" s="17" t="str">
        <f>IFERROR(__xludf.DUMMYFUNCTION("""COMPUTED_VALUE"""),"")</f>
        <v/>
      </c>
      <c r="K4447" s="13" t="str">
        <f>IFERROR(__xludf.DUMMYFUNCTION("""COMPUTED_VALUE"""),"BT atau SU Belum Valid")</f>
        <v>BT atau SU Belum Valid</v>
      </c>
      <c r="L4447" s="13" t="str">
        <f>IFERROR(__xludf.DUMMYFUNCTION("""COMPUTED_VALUE"""),"")</f>
        <v/>
      </c>
      <c r="M4447" s="13"/>
      <c r="N4447" s="13" t="str">
        <f>IFERROR(__xludf.DUMMYFUNCTION("""COMPUTED_VALUE"""),"")</f>
        <v/>
      </c>
      <c r="O4447" s="13" t="str">
        <f t="shared" si="1"/>
        <v/>
      </c>
    </row>
    <row r="4448" ht="22.5" customHeight="1">
      <c r="B4448" s="13">
        <f>IFERROR(__xludf.DUMMYFUNCTION("""COMPUTED_VALUE"""),4443.0)</f>
        <v>4443</v>
      </c>
      <c r="C4448" s="13" t="str">
        <f>IFERROR(__xludf.DUMMYFUNCTION("""COMPUTED_VALUE"""),"B 3688/ NUSANTARA PERMAI")</f>
        <v>B 3688/ NUSANTARA PERMAI</v>
      </c>
      <c r="D4448" s="13" t="str">
        <f>IFERROR(__xludf.DUMMYFUNCTION("""COMPUTED_VALUE"""),"K/53/091025/1")</f>
        <v>K/53/091025/1</v>
      </c>
      <c r="E4448" s="14" t="str">
        <f>IFERROR(__xludf.DUMMYFUNCTION("""COMPUTED_VALUE"""),"Heri (BT)")</f>
        <v>Heri (BT)</v>
      </c>
      <c r="F4448" s="14" t="str">
        <f>IFERROR(__xludf.DUMMYFUNCTION("""COMPUTED_VALUE"""),"SELESAI (VIA PERMOHONAN)")</f>
        <v>SELESAI (VIA PERMOHONAN)</v>
      </c>
      <c r="G4448" s="17">
        <f>IFERROR(__xludf.DUMMYFUNCTION("""COMPUTED_VALUE"""),45986.392914375)</f>
        <v>45986.39291</v>
      </c>
      <c r="H4448" s="14"/>
      <c r="I4448" s="13"/>
      <c r="J4448" s="17" t="str">
        <f>IFERROR(__xludf.DUMMYFUNCTION("""COMPUTED_VALUE"""),"")</f>
        <v/>
      </c>
      <c r="K4448" s="13" t="str">
        <f>IFERROR(__xludf.DUMMYFUNCTION("""COMPUTED_VALUE"""),"BT atau SU Belum Valid")</f>
        <v>BT atau SU Belum Valid</v>
      </c>
      <c r="L4448" s="13" t="str">
        <f>IFERROR(__xludf.DUMMYFUNCTION("""COMPUTED_VALUE"""),"")</f>
        <v/>
      </c>
      <c r="M4448" s="13"/>
      <c r="N4448" s="13" t="str">
        <f>IFERROR(__xludf.DUMMYFUNCTION("""COMPUTED_VALUE"""),"")</f>
        <v/>
      </c>
      <c r="O4448" s="13" t="str">
        <f t="shared" si="1"/>
        <v/>
      </c>
    </row>
    <row r="4449" ht="22.5" customHeight="1">
      <c r="B4449" s="13">
        <f>IFERROR(__xludf.DUMMYFUNCTION("""COMPUTED_VALUE"""),4444.0)</f>
        <v>4444</v>
      </c>
      <c r="C4449" s="13" t="str">
        <f>IFERROR(__xludf.DUMMYFUNCTION("""COMPUTED_VALUE"""),"M 9077/ SUKABUMI")</f>
        <v>M 9077/ SUKABUMI</v>
      </c>
      <c r="D4449" s="13" t="str">
        <f>IFERROR(__xludf.DUMMYFUNCTION("""COMPUTED_VALUE"""),"K/38/081025/3")</f>
        <v>K/38/081025/3</v>
      </c>
      <c r="E4449" s="14" t="str">
        <f>IFERROR(__xludf.DUMMYFUNCTION("""COMPUTED_VALUE"""),"Heri (BT)")</f>
        <v>Heri (BT)</v>
      </c>
      <c r="F4449" s="14" t="str">
        <f>IFERROR(__xludf.DUMMYFUNCTION("""COMPUTED_VALUE"""),"SELESAI (VIA PERMOHONAN)")</f>
        <v>SELESAI (VIA PERMOHONAN)</v>
      </c>
      <c r="G4449" s="17">
        <f>IFERROR(__xludf.DUMMYFUNCTION("""COMPUTED_VALUE"""),45986.392914375)</f>
        <v>45986.39291</v>
      </c>
      <c r="H4449" s="14"/>
      <c r="I4449" s="13"/>
      <c r="J4449" s="17" t="str">
        <f>IFERROR(__xludf.DUMMYFUNCTION("""COMPUTED_VALUE"""),"")</f>
        <v/>
      </c>
      <c r="K4449" s="13" t="str">
        <f>IFERROR(__xludf.DUMMYFUNCTION("""COMPUTED_VALUE"""),"BT atau SU Belum Valid")</f>
        <v>BT atau SU Belum Valid</v>
      </c>
      <c r="L4449" s="13" t="str">
        <f>IFERROR(__xludf.DUMMYFUNCTION("""COMPUTED_VALUE"""),"")</f>
        <v/>
      </c>
      <c r="M4449" s="13"/>
      <c r="N4449" s="13" t="str">
        <f>IFERROR(__xludf.DUMMYFUNCTION("""COMPUTED_VALUE"""),"")</f>
        <v/>
      </c>
      <c r="O4449" s="13" t="str">
        <f t="shared" si="1"/>
        <v/>
      </c>
    </row>
    <row r="4450" ht="22.5" customHeight="1">
      <c r="B4450" s="13">
        <f>IFERROR(__xludf.DUMMYFUNCTION("""COMPUTED_VALUE"""),4445.0)</f>
        <v>4445</v>
      </c>
      <c r="C4450" s="13" t="str">
        <f>IFERROR(__xludf.DUMMYFUNCTION("""COMPUTED_VALUE"""),"M 2932/ LABUHAN DALAM")</f>
        <v>M 2932/ LABUHAN DALAM</v>
      </c>
      <c r="D4450" s="13" t="str">
        <f>IFERROR(__xludf.DUMMYFUNCTION("""COMPUTED_VALUE"""),"K/44/091025/1")</f>
        <v>K/44/091025/1</v>
      </c>
      <c r="E4450" s="14" t="str">
        <f>IFERROR(__xludf.DUMMYFUNCTION("""COMPUTED_VALUE"""),"Heri (BT)")</f>
        <v>Heri (BT)</v>
      </c>
      <c r="F4450" s="14" t="str">
        <f>IFERROR(__xludf.DUMMYFUNCTION("""COMPUTED_VALUE"""),"SELESAI (VIA PERMOHONAN)")</f>
        <v>SELESAI (VIA PERMOHONAN)</v>
      </c>
      <c r="G4450" s="17">
        <f>IFERROR(__xludf.DUMMYFUNCTION("""COMPUTED_VALUE"""),45986.392914375)</f>
        <v>45986.39291</v>
      </c>
      <c r="H4450" s="14"/>
      <c r="I4450" s="13"/>
      <c r="J4450" s="17" t="str">
        <f>IFERROR(__xludf.DUMMYFUNCTION("""COMPUTED_VALUE"""),"")</f>
        <v/>
      </c>
      <c r="K4450" s="13" t="str">
        <f>IFERROR(__xludf.DUMMYFUNCTION("""COMPUTED_VALUE"""),"BT atau SU Belum Valid")</f>
        <v>BT atau SU Belum Valid</v>
      </c>
      <c r="L4450" s="13" t="str">
        <f>IFERROR(__xludf.DUMMYFUNCTION("""COMPUTED_VALUE"""),"")</f>
        <v/>
      </c>
      <c r="M4450" s="13"/>
      <c r="N4450" s="13" t="str">
        <f>IFERROR(__xludf.DUMMYFUNCTION("""COMPUTED_VALUE"""),"")</f>
        <v/>
      </c>
      <c r="O4450" s="13" t="str">
        <f t="shared" si="1"/>
        <v/>
      </c>
    </row>
    <row r="4451" ht="22.5" customHeight="1">
      <c r="B4451" s="13">
        <f>IFERROR(__xludf.DUMMYFUNCTION("""COMPUTED_VALUE"""),4446.0)</f>
        <v>4446</v>
      </c>
      <c r="C4451" s="13" t="str">
        <f>IFERROR(__xludf.DUMMYFUNCTION("""COMPUTED_VALUE"""),"M 2342/ SEPANG JAYA")</f>
        <v>M 2342/ SEPANG JAYA</v>
      </c>
      <c r="D4451" s="13" t="str">
        <f>IFERROR(__xludf.DUMMYFUNCTION("""COMPUTED_VALUE"""),"K/31/090925/1")</f>
        <v>K/31/090925/1</v>
      </c>
      <c r="E4451" s="14" t="str">
        <f>IFERROR(__xludf.DUMMYFUNCTION("""COMPUTED_VALUE"""),"Heri (BT)")</f>
        <v>Heri (BT)</v>
      </c>
      <c r="F4451" s="14" t="str">
        <f>IFERROR(__xludf.DUMMYFUNCTION("""COMPUTED_VALUE"""),"SELESAI (VIA PERMOHONAN)")</f>
        <v>SELESAI (VIA PERMOHONAN)</v>
      </c>
      <c r="G4451" s="17">
        <f>IFERROR(__xludf.DUMMYFUNCTION("""COMPUTED_VALUE"""),45986.392914375)</f>
        <v>45986.39291</v>
      </c>
      <c r="H4451" s="14"/>
      <c r="I4451" s="13"/>
      <c r="J4451" s="17" t="str">
        <f>IFERROR(__xludf.DUMMYFUNCTION("""COMPUTED_VALUE"""),"")</f>
        <v/>
      </c>
      <c r="K4451" s="13" t="str">
        <f>IFERROR(__xludf.DUMMYFUNCTION("""COMPUTED_VALUE"""),"BT atau SU Belum Valid")</f>
        <v>BT atau SU Belum Valid</v>
      </c>
      <c r="L4451" s="13" t="str">
        <f>IFERROR(__xludf.DUMMYFUNCTION("""COMPUTED_VALUE"""),"")</f>
        <v/>
      </c>
      <c r="M4451" s="13"/>
      <c r="N4451" s="13" t="str">
        <f>IFERROR(__xludf.DUMMYFUNCTION("""COMPUTED_VALUE"""),"")</f>
        <v/>
      </c>
      <c r="O4451" s="13" t="str">
        <f t="shared" si="1"/>
        <v/>
      </c>
    </row>
    <row r="4452" ht="22.5" customHeight="1">
      <c r="B4452" s="13">
        <f>IFERROR(__xludf.DUMMYFUNCTION("""COMPUTED_VALUE"""),4447.0)</f>
        <v>4447</v>
      </c>
      <c r="C4452" s="13" t="str">
        <f>IFERROR(__xludf.DUMMYFUNCTION("""COMPUTED_VALUE"""),"M 865/ PASIR GINTUNG")</f>
        <v>M 865/ PASIR GINTUNG</v>
      </c>
      <c r="D4452" s="13" t="str">
        <f>IFERROR(__xludf.DUMMYFUNCTION("""COMPUTED_VALUE"""),"K/26/021025/1")</f>
        <v>K/26/021025/1</v>
      </c>
      <c r="E4452" s="14" t="str">
        <f>IFERROR(__xludf.DUMMYFUNCTION("""COMPUTED_VALUE"""),"Heri (BT)")</f>
        <v>Heri (BT)</v>
      </c>
      <c r="F4452" s="14" t="str">
        <f>IFERROR(__xludf.DUMMYFUNCTION("""COMPUTED_VALUE"""),"SELESAI (VIA PERMOHONAN)")</f>
        <v>SELESAI (VIA PERMOHONAN)</v>
      </c>
      <c r="G4452" s="17">
        <f>IFERROR(__xludf.DUMMYFUNCTION("""COMPUTED_VALUE"""),45986.392914375)</f>
        <v>45986.39291</v>
      </c>
      <c r="H4452" s="14"/>
      <c r="I4452" s="13"/>
      <c r="J4452" s="17" t="str">
        <f>IFERROR(__xludf.DUMMYFUNCTION("""COMPUTED_VALUE"""),"")</f>
        <v/>
      </c>
      <c r="K4452" s="13" t="str">
        <f>IFERROR(__xludf.DUMMYFUNCTION("""COMPUTED_VALUE"""),"BT atau SU Belum Valid")</f>
        <v>BT atau SU Belum Valid</v>
      </c>
      <c r="L4452" s="13" t="str">
        <f>IFERROR(__xludf.DUMMYFUNCTION("""COMPUTED_VALUE"""),"")</f>
        <v/>
      </c>
      <c r="M4452" s="13"/>
      <c r="N4452" s="13" t="str">
        <f>IFERROR(__xludf.DUMMYFUNCTION("""COMPUTED_VALUE"""),"")</f>
        <v/>
      </c>
      <c r="O4452" s="13" t="str">
        <f t="shared" si="1"/>
        <v/>
      </c>
    </row>
    <row r="4453" ht="22.5" customHeight="1">
      <c r="B4453" s="13">
        <f>IFERROR(__xludf.DUMMYFUNCTION("""COMPUTED_VALUE"""),4448.0)</f>
        <v>4448</v>
      </c>
      <c r="C4453" s="13" t="str">
        <f>IFERROR(__xludf.DUMMYFUNCTION("""COMPUTED_VALUE"""),"M 510/ KEBON JERUK")</f>
        <v>M 510/ KEBON JERUK</v>
      </c>
      <c r="D4453" s="13" t="str">
        <f>IFERROR(__xludf.DUMMYFUNCTION("""COMPUTED_VALUE"""),"K/39/030925/1")</f>
        <v>K/39/030925/1</v>
      </c>
      <c r="E4453" s="14" t="str">
        <f>IFERROR(__xludf.DUMMYFUNCTION("""COMPUTED_VALUE"""),"Heri (BT)")</f>
        <v>Heri (BT)</v>
      </c>
      <c r="F4453" s="14" t="str">
        <f>IFERROR(__xludf.DUMMYFUNCTION("""COMPUTED_VALUE"""),"SELESAI (VIA PERMOHONAN)")</f>
        <v>SELESAI (VIA PERMOHONAN)</v>
      </c>
      <c r="G4453" s="17">
        <f>IFERROR(__xludf.DUMMYFUNCTION("""COMPUTED_VALUE"""),45986.392914375)</f>
        <v>45986.39291</v>
      </c>
      <c r="H4453" s="14"/>
      <c r="I4453" s="13"/>
      <c r="J4453" s="17" t="str">
        <f>IFERROR(__xludf.DUMMYFUNCTION("""COMPUTED_VALUE"""),"")</f>
        <v/>
      </c>
      <c r="K4453" s="13" t="str">
        <f>IFERROR(__xludf.DUMMYFUNCTION("""COMPUTED_VALUE"""),"BT atau SU Belum Valid")</f>
        <v>BT atau SU Belum Valid</v>
      </c>
      <c r="L4453" s="13" t="str">
        <f>IFERROR(__xludf.DUMMYFUNCTION("""COMPUTED_VALUE"""),"")</f>
        <v/>
      </c>
      <c r="M4453" s="13"/>
      <c r="N4453" s="13" t="str">
        <f>IFERROR(__xludf.DUMMYFUNCTION("""COMPUTED_VALUE"""),"")</f>
        <v/>
      </c>
      <c r="O4453" s="13" t="str">
        <f t="shared" si="1"/>
        <v/>
      </c>
    </row>
    <row r="4454" ht="22.5" customHeight="1">
      <c r="B4454" s="13">
        <f>IFERROR(__xludf.DUMMYFUNCTION("""COMPUTED_VALUE"""),4449.0)</f>
        <v>4449</v>
      </c>
      <c r="C4454" s="13" t="str">
        <f>IFERROR(__xludf.DUMMYFUNCTION("""COMPUTED_VALUE"""),"M 207/ BUMI RAYA")</f>
        <v>M 207/ BUMI RAYA</v>
      </c>
      <c r="D4454" s="13" t="str">
        <f>IFERROR(__xludf.DUMMYFUNCTION("""COMPUTED_VALUE"""),"K/26/031025/3")</f>
        <v>K/26/031025/3</v>
      </c>
      <c r="E4454" s="14" t="str">
        <f>IFERROR(__xludf.DUMMYFUNCTION("""COMPUTED_VALUE"""),"Heri (BT)")</f>
        <v>Heri (BT)</v>
      </c>
      <c r="F4454" s="14" t="str">
        <f>IFERROR(__xludf.DUMMYFUNCTION("""COMPUTED_VALUE"""),"SELESAI (VIA PERMOHONAN)")</f>
        <v>SELESAI (VIA PERMOHONAN)</v>
      </c>
      <c r="G4454" s="17">
        <f>IFERROR(__xludf.DUMMYFUNCTION("""COMPUTED_VALUE"""),45986.392914386575)</f>
        <v>45986.39291</v>
      </c>
      <c r="H4454" s="14"/>
      <c r="I4454" s="13"/>
      <c r="J4454" s="17" t="str">
        <f>IFERROR(__xludf.DUMMYFUNCTION("""COMPUTED_VALUE"""),"")</f>
        <v/>
      </c>
      <c r="K4454" s="13" t="str">
        <f>IFERROR(__xludf.DUMMYFUNCTION("""COMPUTED_VALUE"""),"BT atau SU Belum Valid")</f>
        <v>BT atau SU Belum Valid</v>
      </c>
      <c r="L4454" s="13" t="str">
        <f>IFERROR(__xludf.DUMMYFUNCTION("""COMPUTED_VALUE"""),"")</f>
        <v/>
      </c>
      <c r="M4454" s="13"/>
      <c r="N4454" s="13" t="str">
        <f>IFERROR(__xludf.DUMMYFUNCTION("""COMPUTED_VALUE"""),"")</f>
        <v/>
      </c>
      <c r="O4454" s="13" t="str">
        <f t="shared" si="1"/>
        <v/>
      </c>
    </row>
    <row r="4455" ht="22.5" customHeight="1">
      <c r="B4455" s="13">
        <f>IFERROR(__xludf.DUMMYFUNCTION("""COMPUTED_VALUE"""),4450.0)</f>
        <v>4450</v>
      </c>
      <c r="C4455" s="13" t="str">
        <f>IFERROR(__xludf.DUMMYFUNCTION("""COMPUTED_VALUE"""),"B 5053/ SUKABUMI")</f>
        <v>B 5053/ SUKABUMI</v>
      </c>
      <c r="D4455" s="13" t="str">
        <f>IFERROR(__xludf.DUMMYFUNCTION("""COMPUTED_VALUE"""),"K/21/011027/4")</f>
        <v>K/21/011027/4</v>
      </c>
      <c r="E4455" s="14" t="str">
        <f>IFERROR(__xludf.DUMMYFUNCTION("""COMPUTED_VALUE"""),"Heri (BT)")</f>
        <v>Heri (BT)</v>
      </c>
      <c r="F4455" s="14" t="str">
        <f>IFERROR(__xludf.DUMMYFUNCTION("""COMPUTED_VALUE"""),"SELESAI (VIA PERMOHONAN)")</f>
        <v>SELESAI (VIA PERMOHONAN)</v>
      </c>
      <c r="G4455" s="17">
        <f>IFERROR(__xludf.DUMMYFUNCTION("""COMPUTED_VALUE"""),45986.392914386575)</f>
        <v>45986.39291</v>
      </c>
      <c r="H4455" s="14"/>
      <c r="I4455" s="13"/>
      <c r="J4455" s="17" t="str">
        <f>IFERROR(__xludf.DUMMYFUNCTION("""COMPUTED_VALUE"""),"")</f>
        <v/>
      </c>
      <c r="K4455" s="13" t="str">
        <f>IFERROR(__xludf.DUMMYFUNCTION("""COMPUTED_VALUE"""),"BT atau SU Belum Valid")</f>
        <v>BT atau SU Belum Valid</v>
      </c>
      <c r="L4455" s="13" t="str">
        <f>IFERROR(__xludf.DUMMYFUNCTION("""COMPUTED_VALUE"""),"")</f>
        <v/>
      </c>
      <c r="M4455" s="13"/>
      <c r="N4455" s="13" t="str">
        <f>IFERROR(__xludf.DUMMYFUNCTION("""COMPUTED_VALUE"""),"")</f>
        <v/>
      </c>
      <c r="O4455" s="13" t="str">
        <f t="shared" si="1"/>
        <v/>
      </c>
    </row>
    <row r="4456" ht="22.5" customHeight="1">
      <c r="B4456" s="13">
        <f>IFERROR(__xludf.DUMMYFUNCTION("""COMPUTED_VALUE"""),4451.0)</f>
        <v>4451</v>
      </c>
      <c r="C4456" s="13" t="str">
        <f>IFERROR(__xludf.DUMMYFUNCTION("""COMPUTED_VALUE"""),"B 5060/ SUKABUMI")</f>
        <v>B 5060/ SUKABUMI</v>
      </c>
      <c r="D4456" s="13" t="str">
        <f>IFERROR(__xludf.DUMMYFUNCTION("""COMPUTED_VALUE"""),"K/19/011027/2")</f>
        <v>K/19/011027/2</v>
      </c>
      <c r="E4456" s="14" t="str">
        <f>IFERROR(__xludf.DUMMYFUNCTION("""COMPUTED_VALUE"""),"Heri (BT)")</f>
        <v>Heri (BT)</v>
      </c>
      <c r="F4456" s="14" t="str">
        <f>IFERROR(__xludf.DUMMYFUNCTION("""COMPUTED_VALUE"""),"SELESAI (VIA PERMOHONAN)")</f>
        <v>SELESAI (VIA PERMOHONAN)</v>
      </c>
      <c r="G4456" s="17">
        <f>IFERROR(__xludf.DUMMYFUNCTION("""COMPUTED_VALUE"""),45986.392914386575)</f>
        <v>45986.39291</v>
      </c>
      <c r="H4456" s="14"/>
      <c r="I4456" s="13"/>
      <c r="J4456" s="17" t="str">
        <f>IFERROR(__xludf.DUMMYFUNCTION("""COMPUTED_VALUE"""),"")</f>
        <v/>
      </c>
      <c r="K4456" s="13" t="str">
        <f>IFERROR(__xludf.DUMMYFUNCTION("""COMPUTED_VALUE"""),"BT atau SU Belum Valid")</f>
        <v>BT atau SU Belum Valid</v>
      </c>
      <c r="L4456" s="13" t="str">
        <f>IFERROR(__xludf.DUMMYFUNCTION("""COMPUTED_VALUE"""),"")</f>
        <v/>
      </c>
      <c r="M4456" s="13"/>
      <c r="N4456" s="13" t="str">
        <f>IFERROR(__xludf.DUMMYFUNCTION("""COMPUTED_VALUE"""),"")</f>
        <v/>
      </c>
      <c r="O4456" s="13" t="str">
        <f t="shared" si="1"/>
        <v/>
      </c>
    </row>
    <row r="4457" ht="22.5" customHeight="1">
      <c r="B4457" s="13">
        <f>IFERROR(__xludf.DUMMYFUNCTION("""COMPUTED_VALUE"""),4452.0)</f>
        <v>4452</v>
      </c>
      <c r="C4457" s="13" t="str">
        <f>IFERROR(__xludf.DUMMYFUNCTION("""COMPUTED_VALUE"""),"B 63/ RAJABASA NUNYAI")</f>
        <v>B 63/ RAJABASA NUNYAI</v>
      </c>
      <c r="D4457" s="13" t="str">
        <f>IFERROR(__xludf.DUMMYFUNCTION("""COMPUTED_VALUE"""),"K/15/250925/1")</f>
        <v>K/15/250925/1</v>
      </c>
      <c r="E4457" s="14" t="str">
        <f>IFERROR(__xludf.DUMMYFUNCTION("""COMPUTED_VALUE"""),"Heri (BT)")</f>
        <v>Heri (BT)</v>
      </c>
      <c r="F4457" s="14" t="str">
        <f>IFERROR(__xludf.DUMMYFUNCTION("""COMPUTED_VALUE"""),"SELESAI (VIA PERMOHONAN)")</f>
        <v>SELESAI (VIA PERMOHONAN)</v>
      </c>
      <c r="G4457" s="17">
        <f>IFERROR(__xludf.DUMMYFUNCTION("""COMPUTED_VALUE"""),45986.392914386575)</f>
        <v>45986.39291</v>
      </c>
      <c r="H4457" s="14"/>
      <c r="I4457" s="13"/>
      <c r="J4457" s="17" t="str">
        <f>IFERROR(__xludf.DUMMYFUNCTION("""COMPUTED_VALUE"""),"")</f>
        <v/>
      </c>
      <c r="K4457" s="13" t="str">
        <f>IFERROR(__xludf.DUMMYFUNCTION("""COMPUTED_VALUE"""),"BT atau SU Belum Valid")</f>
        <v>BT atau SU Belum Valid</v>
      </c>
      <c r="L4457" s="13" t="str">
        <f>IFERROR(__xludf.DUMMYFUNCTION("""COMPUTED_VALUE"""),"")</f>
        <v/>
      </c>
      <c r="M4457" s="13"/>
      <c r="N4457" s="13" t="str">
        <f>IFERROR(__xludf.DUMMYFUNCTION("""COMPUTED_VALUE"""),"")</f>
        <v/>
      </c>
      <c r="O4457" s="13" t="str">
        <f t="shared" si="1"/>
        <v/>
      </c>
    </row>
    <row r="4458" ht="22.5" customHeight="1">
      <c r="B4458" s="13">
        <f>IFERROR(__xludf.DUMMYFUNCTION("""COMPUTED_VALUE"""),4453.0)</f>
        <v>4453</v>
      </c>
      <c r="C4458" s="13" t="str">
        <f>IFERROR(__xludf.DUMMYFUNCTION("""COMPUTED_VALUE"""),"M 11957/ SEGALA MIDER")</f>
        <v>M 11957/ SEGALA MIDER</v>
      </c>
      <c r="D4458" s="13" t="str">
        <f>IFERROR(__xludf.DUMMYFUNCTION("""COMPUTED_VALUE"""),"K/13/080925/1")</f>
        <v>K/13/080925/1</v>
      </c>
      <c r="E4458" s="14" t="str">
        <f>IFERROR(__xludf.DUMMYFUNCTION("""COMPUTED_VALUE"""),"Heri (BT)")</f>
        <v>Heri (BT)</v>
      </c>
      <c r="F4458" s="14" t="str">
        <f>IFERROR(__xludf.DUMMYFUNCTION("""COMPUTED_VALUE"""),"SELESAI (VIA PERMOHONAN)")</f>
        <v>SELESAI (VIA PERMOHONAN)</v>
      </c>
      <c r="G4458" s="17">
        <f>IFERROR(__xludf.DUMMYFUNCTION("""COMPUTED_VALUE"""),45986.392914386575)</f>
        <v>45986.39291</v>
      </c>
      <c r="H4458" s="14"/>
      <c r="I4458" s="13"/>
      <c r="J4458" s="17" t="str">
        <f>IFERROR(__xludf.DUMMYFUNCTION("""COMPUTED_VALUE"""),"")</f>
        <v/>
      </c>
      <c r="K4458" s="13" t="str">
        <f>IFERROR(__xludf.DUMMYFUNCTION("""COMPUTED_VALUE"""),"BT atau SU Belum Valid")</f>
        <v>BT atau SU Belum Valid</v>
      </c>
      <c r="L4458" s="13" t="str">
        <f>IFERROR(__xludf.DUMMYFUNCTION("""COMPUTED_VALUE"""),"")</f>
        <v/>
      </c>
      <c r="M4458" s="13"/>
      <c r="N4458" s="13" t="str">
        <f>IFERROR(__xludf.DUMMYFUNCTION("""COMPUTED_VALUE"""),"")</f>
        <v/>
      </c>
      <c r="O4458" s="13" t="str">
        <f t="shared" si="1"/>
        <v/>
      </c>
    </row>
    <row r="4459" ht="22.5" customHeight="1">
      <c r="B4459" s="13">
        <f>IFERROR(__xludf.DUMMYFUNCTION("""COMPUTED_VALUE"""),4454.0)</f>
        <v>4454</v>
      </c>
      <c r="C4459" s="13" t="str">
        <f>IFERROR(__xludf.DUMMYFUNCTION("""COMPUTED_VALUE"""),"M. 3485/Way Kandis	")</f>
        <v>M. 3485/Way Kandis	</v>
      </c>
      <c r="D4459" s="13" t="str">
        <f>IFERROR(__xludf.DUMMYFUNCTION("""COMPUTED_VALUE"""),"K/39/290925/1")</f>
        <v>K/39/290925/1</v>
      </c>
      <c r="E4459" s="14" t="str">
        <f>IFERROR(__xludf.DUMMYFUNCTION("""COMPUTED_VALUE"""),"Heri (BT)")</f>
        <v>Heri (BT)</v>
      </c>
      <c r="F4459" s="14" t="str">
        <f>IFERROR(__xludf.DUMMYFUNCTION("""COMPUTED_VALUE"""),"SELESAI (VIA PERMOHONAN)")</f>
        <v>SELESAI (VIA PERMOHONAN)</v>
      </c>
      <c r="G4459" s="17">
        <f>IFERROR(__xludf.DUMMYFUNCTION("""COMPUTED_VALUE"""),45986.578080810184)</f>
        <v>45986.57808</v>
      </c>
      <c r="H4459" s="14"/>
      <c r="I4459" s="13"/>
      <c r="J4459" s="17" t="str">
        <f>IFERROR(__xludf.DUMMYFUNCTION("""COMPUTED_VALUE"""),"")</f>
        <v/>
      </c>
      <c r="K4459" s="13" t="str">
        <f>IFERROR(__xludf.DUMMYFUNCTION("""COMPUTED_VALUE"""),"BT atau SU Belum Valid")</f>
        <v>BT atau SU Belum Valid</v>
      </c>
      <c r="L4459" s="13" t="str">
        <f>IFERROR(__xludf.DUMMYFUNCTION("""COMPUTED_VALUE"""),"")</f>
        <v/>
      </c>
      <c r="M4459" s="13"/>
      <c r="N4459" s="13" t="str">
        <f>IFERROR(__xludf.DUMMYFUNCTION("""COMPUTED_VALUE"""),"")</f>
        <v/>
      </c>
      <c r="O4459" s="13" t="str">
        <f t="shared" si="1"/>
        <v/>
      </c>
    </row>
    <row r="4460" ht="22.5" customHeight="1">
      <c r="B4460" s="13">
        <f>IFERROR(__xludf.DUMMYFUNCTION("""COMPUTED_VALUE"""),4455.0)</f>
        <v>4455</v>
      </c>
      <c r="C4460" s="13" t="str">
        <f>IFERROR(__xludf.DUMMYFUNCTION("""COMPUTED_VALUE"""),"B. 2333/CAMPANG RAYA")</f>
        <v>B. 2333/CAMPANG RAYA</v>
      </c>
      <c r="D4460" s="13" t="str">
        <f>IFERROR(__xludf.DUMMYFUNCTION("""COMPUTED_VALUE"""),"K/43/230525/3")</f>
        <v>K/43/230525/3</v>
      </c>
      <c r="E4460" s="14" t="str">
        <f>IFERROR(__xludf.DUMMYFUNCTION("""COMPUTED_VALUE"""),"Heri (BT)")</f>
        <v>Heri (BT)</v>
      </c>
      <c r="F4460" s="14" t="str">
        <f>IFERROR(__xludf.DUMMYFUNCTION("""COMPUTED_VALUE"""),"SELESAI (VIA PERMOHONAN)")</f>
        <v>SELESAI (VIA PERMOHONAN)</v>
      </c>
      <c r="G4460" s="17">
        <f>IFERROR(__xludf.DUMMYFUNCTION("""COMPUTED_VALUE"""),45987.391439803236)</f>
        <v>45987.39144</v>
      </c>
      <c r="H4460" s="14"/>
      <c r="I4460" s="13"/>
      <c r="J4460" s="17" t="str">
        <f>IFERROR(__xludf.DUMMYFUNCTION("""COMPUTED_VALUE"""),"")</f>
        <v/>
      </c>
      <c r="K4460" s="13" t="str">
        <f>IFERROR(__xludf.DUMMYFUNCTION("""COMPUTED_VALUE"""),"BT atau SU Belum Valid")</f>
        <v>BT atau SU Belum Valid</v>
      </c>
      <c r="L4460" s="13" t="str">
        <f>IFERROR(__xludf.DUMMYFUNCTION("""COMPUTED_VALUE"""),"")</f>
        <v/>
      </c>
      <c r="M4460" s="13"/>
      <c r="N4460" s="13" t="str">
        <f>IFERROR(__xludf.DUMMYFUNCTION("""COMPUTED_VALUE"""),"")</f>
        <v/>
      </c>
      <c r="O4460" s="13" t="str">
        <f t="shared" si="1"/>
        <v/>
      </c>
    </row>
    <row r="4461" ht="22.5" customHeight="1">
      <c r="B4461" s="13">
        <f>IFERROR(__xludf.DUMMYFUNCTION("""COMPUTED_VALUE"""),4456.0)</f>
        <v>4456</v>
      </c>
      <c r="C4461" s="13" t="str">
        <f>IFERROR(__xludf.DUMMYFUNCTION("""COMPUTED_VALUE"""),"B 789/ SUMUR PUTRI")</f>
        <v>B 789/ SUMUR PUTRI</v>
      </c>
      <c r="D4461" s="13" t="str">
        <f>IFERROR(__xludf.DUMMYFUNCTION("""COMPUTED_VALUE"""),"K/30/081025/3")</f>
        <v>K/30/081025/3</v>
      </c>
      <c r="E4461" s="14" t="str">
        <f>IFERROR(__xludf.DUMMYFUNCTION("""COMPUTED_VALUE"""),"Heri (BT)")</f>
        <v>Heri (BT)</v>
      </c>
      <c r="F4461" s="14" t="str">
        <f>IFERROR(__xludf.DUMMYFUNCTION("""COMPUTED_VALUE"""),"SELESAI (VIA PERMOHONAN)")</f>
        <v>SELESAI (VIA PERMOHONAN)</v>
      </c>
      <c r="G4461" s="17">
        <f>IFERROR(__xludf.DUMMYFUNCTION("""COMPUTED_VALUE"""),45987.391612638894)</f>
        <v>45987.39161</v>
      </c>
      <c r="H4461" s="14"/>
      <c r="I4461" s="13"/>
      <c r="J4461" s="17" t="str">
        <f>IFERROR(__xludf.DUMMYFUNCTION("""COMPUTED_VALUE"""),"")</f>
        <v/>
      </c>
      <c r="K4461" s="13" t="str">
        <f>IFERROR(__xludf.DUMMYFUNCTION("""COMPUTED_VALUE"""),"BT atau SU Belum Valid")</f>
        <v>BT atau SU Belum Valid</v>
      </c>
      <c r="L4461" s="13" t="str">
        <f>IFERROR(__xludf.DUMMYFUNCTION("""COMPUTED_VALUE"""),"")</f>
        <v/>
      </c>
      <c r="M4461" s="13"/>
      <c r="N4461" s="13" t="str">
        <f>IFERROR(__xludf.DUMMYFUNCTION("""COMPUTED_VALUE"""),"")</f>
        <v/>
      </c>
      <c r="O4461" s="13" t="str">
        <f t="shared" si="1"/>
        <v/>
      </c>
    </row>
    <row r="4462" ht="22.5" customHeight="1">
      <c r="B4462" s="13">
        <f>IFERROR(__xludf.DUMMYFUNCTION("""COMPUTED_VALUE"""),4457.0)</f>
        <v>4457</v>
      </c>
      <c r="C4462" s="13" t="str">
        <f>IFERROR(__xludf.DUMMYFUNCTION("""COMPUTED_VALUE"""),"M 2651/ WAY KANDIS")</f>
        <v>M 2651/ WAY KANDIS</v>
      </c>
      <c r="D4462" s="13" t="str">
        <f>IFERROR(__xludf.DUMMYFUNCTION("""COMPUTED_VALUE"""),"K/9/180925/1")</f>
        <v>K/9/180925/1</v>
      </c>
      <c r="E4462" s="14" t="str">
        <f>IFERROR(__xludf.DUMMYFUNCTION("""COMPUTED_VALUE"""),"Heri (BT)")</f>
        <v>Heri (BT)</v>
      </c>
      <c r="F4462" s="14" t="str">
        <f>IFERROR(__xludf.DUMMYFUNCTION("""COMPUTED_VALUE"""),"SELESAI (VIA PERMOHONAN)")</f>
        <v>SELESAI (VIA PERMOHONAN)</v>
      </c>
      <c r="G4462" s="17">
        <f>IFERROR(__xludf.DUMMYFUNCTION("""COMPUTED_VALUE"""),45987.3917780787)</f>
        <v>45987.39178</v>
      </c>
      <c r="H4462" s="14"/>
      <c r="I4462" s="13"/>
      <c r="J4462" s="17" t="str">
        <f>IFERROR(__xludf.DUMMYFUNCTION("""COMPUTED_VALUE"""),"")</f>
        <v/>
      </c>
      <c r="K4462" s="13" t="str">
        <f>IFERROR(__xludf.DUMMYFUNCTION("""COMPUTED_VALUE"""),"BT atau SU Belum Valid")</f>
        <v>BT atau SU Belum Valid</v>
      </c>
      <c r="L4462" s="13" t="str">
        <f>IFERROR(__xludf.DUMMYFUNCTION("""COMPUTED_VALUE"""),"")</f>
        <v/>
      </c>
      <c r="M4462" s="13"/>
      <c r="N4462" s="13" t="str">
        <f>IFERROR(__xludf.DUMMYFUNCTION("""COMPUTED_VALUE"""),"")</f>
        <v/>
      </c>
      <c r="O4462" s="13" t="str">
        <f t="shared" si="1"/>
        <v/>
      </c>
    </row>
    <row r="4463" ht="22.5" customHeight="1">
      <c r="B4463" s="13">
        <f>IFERROR(__xludf.DUMMYFUNCTION("""COMPUTED_VALUE"""),4458.0)</f>
        <v>4458</v>
      </c>
      <c r="C4463" s="13" t="str">
        <f>IFERROR(__xludf.DUMMYFUNCTION("""COMPUTED_VALUE"""),"M 13717/ SEGALA MIDER")</f>
        <v>M 13717/ SEGALA MIDER</v>
      </c>
      <c r="D4463" s="13" t="str">
        <f>IFERROR(__xludf.DUMMYFUNCTION("""COMPUTED_VALUE"""),"K/38/091025/3")</f>
        <v>K/38/091025/3</v>
      </c>
      <c r="E4463" s="14" t="str">
        <f>IFERROR(__xludf.DUMMYFUNCTION("""COMPUTED_VALUE"""),"Heri (BT)")</f>
        <v>Heri (BT)</v>
      </c>
      <c r="F4463" s="14" t="str">
        <f>IFERROR(__xludf.DUMMYFUNCTION("""COMPUTED_VALUE"""),"SELESAI (VIA PERMOHONAN)")</f>
        <v>SELESAI (VIA PERMOHONAN)</v>
      </c>
      <c r="G4463" s="17">
        <f>IFERROR(__xludf.DUMMYFUNCTION("""COMPUTED_VALUE"""),45987.39194011574)</f>
        <v>45987.39194</v>
      </c>
      <c r="H4463" s="14"/>
      <c r="I4463" s="13"/>
      <c r="J4463" s="17" t="str">
        <f>IFERROR(__xludf.DUMMYFUNCTION("""COMPUTED_VALUE"""),"")</f>
        <v/>
      </c>
      <c r="K4463" s="13" t="str">
        <f>IFERROR(__xludf.DUMMYFUNCTION("""COMPUTED_VALUE"""),"BT atau SU Belum Valid")</f>
        <v>BT atau SU Belum Valid</v>
      </c>
      <c r="L4463" s="13" t="str">
        <f>IFERROR(__xludf.DUMMYFUNCTION("""COMPUTED_VALUE"""),"")</f>
        <v/>
      </c>
      <c r="M4463" s="13"/>
      <c r="N4463" s="13" t="str">
        <f>IFERROR(__xludf.DUMMYFUNCTION("""COMPUTED_VALUE"""),"")</f>
        <v/>
      </c>
      <c r="O4463" s="13" t="str">
        <f t="shared" si="1"/>
        <v/>
      </c>
    </row>
    <row r="4464" ht="22.5" customHeight="1">
      <c r="B4464" s="13">
        <f>IFERROR(__xludf.DUMMYFUNCTION("""COMPUTED_VALUE"""),4459.0)</f>
        <v>4459</v>
      </c>
      <c r="C4464" s="13" t="str">
        <f>IFERROR(__xludf.DUMMYFUNCTION("""COMPUTED_VALUE"""),"M 1055/ PENGAJARAN")</f>
        <v>M 1055/ PENGAJARAN</v>
      </c>
      <c r="D4464" s="13" t="str">
        <f>IFERROR(__xludf.DUMMYFUNCTION("""COMPUTED_VALUE"""),"K/40/091025/4")</f>
        <v>K/40/091025/4</v>
      </c>
      <c r="E4464" s="14" t="str">
        <f>IFERROR(__xludf.DUMMYFUNCTION("""COMPUTED_VALUE"""),"Heri (BT)")</f>
        <v>Heri (BT)</v>
      </c>
      <c r="F4464" s="14" t="str">
        <f>IFERROR(__xludf.DUMMYFUNCTION("""COMPUTED_VALUE"""),"SELESAI (VIA PERMOHONAN)")</f>
        <v>SELESAI (VIA PERMOHONAN)</v>
      </c>
      <c r="G4464" s="17">
        <f>IFERROR(__xludf.DUMMYFUNCTION("""COMPUTED_VALUE"""),45987.39208741898)</f>
        <v>45987.39209</v>
      </c>
      <c r="H4464" s="14"/>
      <c r="I4464" s="13"/>
      <c r="J4464" s="17" t="str">
        <f>IFERROR(__xludf.DUMMYFUNCTION("""COMPUTED_VALUE"""),"")</f>
        <v/>
      </c>
      <c r="K4464" s="13" t="str">
        <f>IFERROR(__xludf.DUMMYFUNCTION("""COMPUTED_VALUE"""),"BT atau SU Belum Valid")</f>
        <v>BT atau SU Belum Valid</v>
      </c>
      <c r="L4464" s="13" t="str">
        <f>IFERROR(__xludf.DUMMYFUNCTION("""COMPUTED_VALUE"""),"")</f>
        <v/>
      </c>
      <c r="M4464" s="13"/>
      <c r="N4464" s="13" t="str">
        <f>IFERROR(__xludf.DUMMYFUNCTION("""COMPUTED_VALUE"""),"")</f>
        <v/>
      </c>
      <c r="O4464" s="13" t="str">
        <f t="shared" si="1"/>
        <v/>
      </c>
    </row>
    <row r="4465" ht="22.5" customHeight="1">
      <c r="B4465" s="13">
        <f>IFERROR(__xludf.DUMMYFUNCTION("""COMPUTED_VALUE"""),4460.0)</f>
        <v>4460</v>
      </c>
      <c r="C4465" s="13" t="str">
        <f>IFERROR(__xludf.DUMMYFUNCTION("""COMPUTED_VALUE"""),"M 1629/ PESAWAHAN")</f>
        <v>M 1629/ PESAWAHAN</v>
      </c>
      <c r="D4465" s="13" t="str">
        <f>IFERROR(__xludf.DUMMYFUNCTION("""COMPUTED_VALUE"""),"K/10/091025/1")</f>
        <v>K/10/091025/1</v>
      </c>
      <c r="E4465" s="14" t="str">
        <f>IFERROR(__xludf.DUMMYFUNCTION("""COMPUTED_VALUE"""),"Heri (BT)")</f>
        <v>Heri (BT)</v>
      </c>
      <c r="F4465" s="14" t="str">
        <f>IFERROR(__xludf.DUMMYFUNCTION("""COMPUTED_VALUE"""),"SELESAI (VIA PERMOHONAN)")</f>
        <v>SELESAI (VIA PERMOHONAN)</v>
      </c>
      <c r="G4465" s="17">
        <f>IFERROR(__xludf.DUMMYFUNCTION("""COMPUTED_VALUE"""),45987.395953935185)</f>
        <v>45987.39595</v>
      </c>
      <c r="H4465" s="14"/>
      <c r="I4465" s="13"/>
      <c r="J4465" s="17" t="str">
        <f>IFERROR(__xludf.DUMMYFUNCTION("""COMPUTED_VALUE"""),"")</f>
        <v/>
      </c>
      <c r="K4465" s="13" t="str">
        <f>IFERROR(__xludf.DUMMYFUNCTION("""COMPUTED_VALUE"""),"BT atau SU Belum Valid")</f>
        <v>BT atau SU Belum Valid</v>
      </c>
      <c r="L4465" s="13" t="str">
        <f>IFERROR(__xludf.DUMMYFUNCTION("""COMPUTED_VALUE"""),"")</f>
        <v/>
      </c>
      <c r="M4465" s="13"/>
      <c r="N4465" s="13" t="str">
        <f>IFERROR(__xludf.DUMMYFUNCTION("""COMPUTED_VALUE"""),"")</f>
        <v/>
      </c>
      <c r="O4465" s="13" t="str">
        <f t="shared" si="1"/>
        <v/>
      </c>
    </row>
    <row r="4466" ht="22.5" customHeight="1">
      <c r="B4466" s="13">
        <f>IFERROR(__xludf.DUMMYFUNCTION("""COMPUTED_VALUE"""),4461.0)</f>
        <v>4461</v>
      </c>
      <c r="C4466" s="13" t="str">
        <f>IFERROR(__xludf.DUMMYFUNCTION("""COMPUTED_VALUE"""),"B. 2043/CAMPANG RAYA")</f>
        <v>B. 2043/CAMPANG RAYA</v>
      </c>
      <c r="D4466" s="13" t="str">
        <f>IFERROR(__xludf.DUMMYFUNCTION("""COMPUTED_VALUE"""),"K/36/270825/1")</f>
        <v>K/36/270825/1</v>
      </c>
      <c r="E4466" s="14" t="str">
        <f>IFERROR(__xludf.DUMMYFUNCTION("""COMPUTED_VALUE"""),"Heri (BT)")</f>
        <v>Heri (BT)</v>
      </c>
      <c r="F4466" s="14" t="str">
        <f>IFERROR(__xludf.DUMMYFUNCTION("""COMPUTED_VALUE"""),"SELESAI (VIA PERMOHONAN)")</f>
        <v>SELESAI (VIA PERMOHONAN)</v>
      </c>
      <c r="G4466" s="17">
        <f>IFERROR(__xludf.DUMMYFUNCTION("""COMPUTED_VALUE"""),45987.39641482639)</f>
        <v>45987.39641</v>
      </c>
      <c r="H4466" s="14"/>
      <c r="I4466" s="13"/>
      <c r="J4466" s="17" t="str">
        <f>IFERROR(__xludf.DUMMYFUNCTION("""COMPUTED_VALUE"""),"")</f>
        <v/>
      </c>
      <c r="K4466" s="13" t="str">
        <f>IFERROR(__xludf.DUMMYFUNCTION("""COMPUTED_VALUE"""),"BT atau SU Belum Valid")</f>
        <v>BT atau SU Belum Valid</v>
      </c>
      <c r="L4466" s="13" t="str">
        <f>IFERROR(__xludf.DUMMYFUNCTION("""COMPUTED_VALUE"""),"")</f>
        <v/>
      </c>
      <c r="M4466" s="13"/>
      <c r="N4466" s="13" t="str">
        <f>IFERROR(__xludf.DUMMYFUNCTION("""COMPUTED_VALUE"""),"")</f>
        <v/>
      </c>
      <c r="O4466" s="13" t="str">
        <f t="shared" si="1"/>
        <v/>
      </c>
    </row>
    <row r="4467" ht="22.5" customHeight="1">
      <c r="B4467" s="13">
        <f>IFERROR(__xludf.DUMMYFUNCTION("""COMPUTED_VALUE"""),4462.0)</f>
        <v>4462</v>
      </c>
      <c r="C4467" s="13" t="str">
        <f>IFERROR(__xludf.DUMMYFUNCTION("""COMPUTED_VALUE"""),"M.771/SUMBER AGUNG")</f>
        <v>M.771/SUMBER AGUNG</v>
      </c>
      <c r="D4467" s="13" t="str">
        <f>IFERROR(__xludf.DUMMYFUNCTION("""COMPUTED_VALUE"""),"K/22/260325/1")</f>
        <v>K/22/260325/1</v>
      </c>
      <c r="E4467" s="14" t="str">
        <f>IFERROR(__xludf.DUMMYFUNCTION("""COMPUTED_VALUE"""),"Heri (BT)")</f>
        <v>Heri (BT)</v>
      </c>
      <c r="F4467" s="14" t="str">
        <f>IFERROR(__xludf.DUMMYFUNCTION("""COMPUTED_VALUE"""),"SELESAI (VIA PERMOHONAN)")</f>
        <v>SELESAI (VIA PERMOHONAN)</v>
      </c>
      <c r="G4467" s="17">
        <f>IFERROR(__xludf.DUMMYFUNCTION("""COMPUTED_VALUE"""),45987.397450046294)</f>
        <v>45987.39745</v>
      </c>
      <c r="H4467" s="14"/>
      <c r="I4467" s="13"/>
      <c r="J4467" s="17" t="str">
        <f>IFERROR(__xludf.DUMMYFUNCTION("""COMPUTED_VALUE"""),"")</f>
        <v/>
      </c>
      <c r="K4467" s="13" t="str">
        <f>IFERROR(__xludf.DUMMYFUNCTION("""COMPUTED_VALUE"""),"BT atau SU Belum Valid")</f>
        <v>BT atau SU Belum Valid</v>
      </c>
      <c r="L4467" s="13" t="str">
        <f>IFERROR(__xludf.DUMMYFUNCTION("""COMPUTED_VALUE"""),"")</f>
        <v/>
      </c>
      <c r="M4467" s="13"/>
      <c r="N4467" s="13" t="str">
        <f>IFERROR(__xludf.DUMMYFUNCTION("""COMPUTED_VALUE"""),"")</f>
        <v/>
      </c>
      <c r="O4467" s="13" t="str">
        <f t="shared" si="1"/>
        <v/>
      </c>
    </row>
    <row r="4468" ht="22.5" customHeight="1">
      <c r="B4468" s="13">
        <f>IFERROR(__xludf.DUMMYFUNCTION("""COMPUTED_VALUE"""),4463.0)</f>
        <v>4463</v>
      </c>
      <c r="C4468" s="13" t="str">
        <f>IFERROR(__xludf.DUMMYFUNCTION("""COMPUTED_VALUE"""),"M 1059/ KUPANG KOTA")</f>
        <v>M 1059/ KUPANG KOTA</v>
      </c>
      <c r="D4468" s="13" t="str">
        <f>IFERROR(__xludf.DUMMYFUNCTION("""COMPUTED_VALUE"""),"K/2/090925/1")</f>
        <v>K/2/090925/1</v>
      </c>
      <c r="E4468" s="14" t="str">
        <f>IFERROR(__xludf.DUMMYFUNCTION("""COMPUTED_VALUE"""),"Heri (BT)")</f>
        <v>Heri (BT)</v>
      </c>
      <c r="F4468" s="14" t="str">
        <f>IFERROR(__xludf.DUMMYFUNCTION("""COMPUTED_VALUE"""),"SELESAI (VIA PERMOHONAN)")</f>
        <v>SELESAI (VIA PERMOHONAN)</v>
      </c>
      <c r="G4468" s="17">
        <f>IFERROR(__xludf.DUMMYFUNCTION("""COMPUTED_VALUE"""),45987.402062291665)</f>
        <v>45987.40206</v>
      </c>
      <c r="H4468" s="14"/>
      <c r="I4468" s="13"/>
      <c r="J4468" s="17" t="str">
        <f>IFERROR(__xludf.DUMMYFUNCTION("""COMPUTED_VALUE"""),"")</f>
        <v/>
      </c>
      <c r="K4468" s="13" t="str">
        <f>IFERROR(__xludf.DUMMYFUNCTION("""COMPUTED_VALUE"""),"BT atau SU Belum Valid")</f>
        <v>BT atau SU Belum Valid</v>
      </c>
      <c r="L4468" s="13" t="str">
        <f>IFERROR(__xludf.DUMMYFUNCTION("""COMPUTED_VALUE"""),"")</f>
        <v/>
      </c>
      <c r="M4468" s="13"/>
      <c r="N4468" s="13" t="str">
        <f>IFERROR(__xludf.DUMMYFUNCTION("""COMPUTED_VALUE"""),"")</f>
        <v/>
      </c>
      <c r="O4468" s="13" t="str">
        <f t="shared" si="1"/>
        <v/>
      </c>
    </row>
    <row r="4469" ht="22.5" customHeight="1">
      <c r="B4469" s="13">
        <f>IFERROR(__xludf.DUMMYFUNCTION("""COMPUTED_VALUE"""),4464.0)</f>
        <v>4464</v>
      </c>
      <c r="C4469" s="13" t="str">
        <f>IFERROR(__xludf.DUMMYFUNCTION("""COMPUTED_VALUE"""),"M 4929/ SUKADANA HAM")</f>
        <v>M 4929/ SUKADANA HAM</v>
      </c>
      <c r="D4469" s="13" t="str">
        <f>IFERROR(__xludf.DUMMYFUNCTION("""COMPUTED_VALUE"""),"K/35/290925/2")</f>
        <v>K/35/290925/2</v>
      </c>
      <c r="E4469" s="14" t="str">
        <f>IFERROR(__xludf.DUMMYFUNCTION("""COMPUTED_VALUE"""),"Heri (BT)")</f>
        <v>Heri (BT)</v>
      </c>
      <c r="F4469" s="14" t="str">
        <f>IFERROR(__xludf.DUMMYFUNCTION("""COMPUTED_VALUE"""),"SELESAI (VIA PERMOHONAN)")</f>
        <v>SELESAI (VIA PERMOHONAN)</v>
      </c>
      <c r="G4469" s="17">
        <f>IFERROR(__xludf.DUMMYFUNCTION("""COMPUTED_VALUE"""),45987.402200868055)</f>
        <v>45987.4022</v>
      </c>
      <c r="H4469" s="14"/>
      <c r="I4469" s="13"/>
      <c r="J4469" s="17" t="str">
        <f>IFERROR(__xludf.DUMMYFUNCTION("""COMPUTED_VALUE"""),"")</f>
        <v/>
      </c>
      <c r="K4469" s="13" t="str">
        <f>IFERROR(__xludf.DUMMYFUNCTION("""COMPUTED_VALUE"""),"BT atau SU Belum Valid")</f>
        <v>BT atau SU Belum Valid</v>
      </c>
      <c r="L4469" s="13" t="str">
        <f>IFERROR(__xludf.DUMMYFUNCTION("""COMPUTED_VALUE"""),"")</f>
        <v/>
      </c>
      <c r="M4469" s="13"/>
      <c r="N4469" s="13" t="str">
        <f>IFERROR(__xludf.DUMMYFUNCTION("""COMPUTED_VALUE"""),"")</f>
        <v/>
      </c>
      <c r="O4469" s="13" t="str">
        <f t="shared" si="1"/>
        <v/>
      </c>
    </row>
    <row r="4470" ht="22.5" customHeight="1">
      <c r="B4470" s="13">
        <f>IFERROR(__xludf.DUMMYFUNCTION("""COMPUTED_VALUE"""),4465.0)</f>
        <v>4465</v>
      </c>
      <c r="C4470" s="13" t="str">
        <f>IFERROR(__xludf.DUMMYFUNCTION("""COMPUTED_VALUE"""),"M 1237/ KANGKUNG")</f>
        <v>M 1237/ KANGKUNG</v>
      </c>
      <c r="D4470" s="13" t="str">
        <f>IFERROR(__xludf.DUMMYFUNCTION("""COMPUTED_VALUE"""),"K/32/081025/1")</f>
        <v>K/32/081025/1</v>
      </c>
      <c r="E4470" s="14" t="str">
        <f>IFERROR(__xludf.DUMMYFUNCTION("""COMPUTED_VALUE"""),"Heri (BT)")</f>
        <v>Heri (BT)</v>
      </c>
      <c r="F4470" s="14" t="str">
        <f>IFERROR(__xludf.DUMMYFUNCTION("""COMPUTED_VALUE"""),"SELESAI (VIA PERMOHONAN)")</f>
        <v>SELESAI (VIA PERMOHONAN)</v>
      </c>
      <c r="G4470" s="17">
        <f>IFERROR(__xludf.DUMMYFUNCTION("""COMPUTED_VALUE"""),45988.3503459375)</f>
        <v>45988.35035</v>
      </c>
      <c r="H4470" s="14"/>
      <c r="I4470" s="13"/>
      <c r="J4470" s="17" t="str">
        <f>IFERROR(__xludf.DUMMYFUNCTION("""COMPUTED_VALUE"""),"")</f>
        <v/>
      </c>
      <c r="K4470" s="13" t="str">
        <f>IFERROR(__xludf.DUMMYFUNCTION("""COMPUTED_VALUE"""),"BT atau SU Belum Valid")</f>
        <v>BT atau SU Belum Valid</v>
      </c>
      <c r="L4470" s="13" t="str">
        <f>IFERROR(__xludf.DUMMYFUNCTION("""COMPUTED_VALUE"""),"")</f>
        <v/>
      </c>
      <c r="M4470" s="13"/>
      <c r="N4470" s="13" t="str">
        <f>IFERROR(__xludf.DUMMYFUNCTION("""COMPUTED_VALUE"""),"")</f>
        <v/>
      </c>
      <c r="O4470" s="13" t="str">
        <f t="shared" si="1"/>
        <v/>
      </c>
    </row>
    <row r="4471" ht="22.5" customHeight="1">
      <c r="B4471" s="13">
        <f>IFERROR(__xludf.DUMMYFUNCTION("""COMPUTED_VALUE"""),4466.0)</f>
        <v>4466</v>
      </c>
      <c r="C4471" s="13" t="str">
        <f>IFERROR(__xludf.DUMMYFUNCTION("""COMPUTED_VALUE"""),"B 3517/ SUKARAME")</f>
        <v>B 3517/ SUKARAME</v>
      </c>
      <c r="D4471" s="13" t="str">
        <f>IFERROR(__xludf.DUMMYFUNCTION("""COMPUTED_VALUE"""),"K/38/040925/1")</f>
        <v>K/38/040925/1</v>
      </c>
      <c r="E4471" s="14" t="str">
        <f>IFERROR(__xludf.DUMMYFUNCTION("""COMPUTED_VALUE"""),"Heri (BT)")</f>
        <v>Heri (BT)</v>
      </c>
      <c r="F4471" s="14" t="str">
        <f>IFERROR(__xludf.DUMMYFUNCTION("""COMPUTED_VALUE"""),"SELESAI (VIA PERMOHONAN)")</f>
        <v>SELESAI (VIA PERMOHONAN)</v>
      </c>
      <c r="G4471" s="17">
        <f>IFERROR(__xludf.DUMMYFUNCTION("""COMPUTED_VALUE"""),45988.35264540509)</f>
        <v>45988.35265</v>
      </c>
      <c r="H4471" s="14"/>
      <c r="I4471" s="13"/>
      <c r="J4471" s="17" t="str">
        <f>IFERROR(__xludf.DUMMYFUNCTION("""COMPUTED_VALUE"""),"")</f>
        <v/>
      </c>
      <c r="K4471" s="13" t="str">
        <f>IFERROR(__xludf.DUMMYFUNCTION("""COMPUTED_VALUE"""),"BT atau SU Belum Valid")</f>
        <v>BT atau SU Belum Valid</v>
      </c>
      <c r="L4471" s="13" t="str">
        <f>IFERROR(__xludf.DUMMYFUNCTION("""COMPUTED_VALUE"""),"")</f>
        <v/>
      </c>
      <c r="M4471" s="13"/>
      <c r="N4471" s="13" t="str">
        <f>IFERROR(__xludf.DUMMYFUNCTION("""COMPUTED_VALUE"""),"")</f>
        <v/>
      </c>
      <c r="O4471" s="13" t="str">
        <f t="shared" si="1"/>
        <v/>
      </c>
    </row>
    <row r="4472" ht="22.5" customHeight="1">
      <c r="B4472" s="13">
        <f>IFERROR(__xludf.DUMMYFUNCTION("""COMPUTED_VALUE"""),4467.0)</f>
        <v>4467</v>
      </c>
      <c r="C4472" s="13" t="str">
        <f>IFERROR(__xludf.DUMMYFUNCTION("""COMPUTED_VALUE"""),"M. 1218/PERUMNAS WAY KANDIS")</f>
        <v>M. 1218/PERUMNAS WAY KANDIS</v>
      </c>
      <c r="D4472" s="13" t="str">
        <f>IFERROR(__xludf.DUMMYFUNCTION("""COMPUTED_VALUE"""),"K/13/071025/1")</f>
        <v>K/13/071025/1</v>
      </c>
      <c r="E4472" s="14" t="str">
        <f>IFERROR(__xludf.DUMMYFUNCTION("""COMPUTED_VALUE"""),"Heri (BT)")</f>
        <v>Heri (BT)</v>
      </c>
      <c r="F4472" s="14" t="str">
        <f>IFERROR(__xludf.DUMMYFUNCTION("""COMPUTED_VALUE"""),"SELESAI (VIA PERMOHONAN)")</f>
        <v>SELESAI (VIA PERMOHONAN)</v>
      </c>
      <c r="G4472" s="17">
        <f>IFERROR(__xludf.DUMMYFUNCTION("""COMPUTED_VALUE"""),45988.35438390046)</f>
        <v>45988.35438</v>
      </c>
      <c r="H4472" s="14"/>
      <c r="I4472" s="13"/>
      <c r="J4472" s="17" t="str">
        <f>IFERROR(__xludf.DUMMYFUNCTION("""COMPUTED_VALUE"""),"")</f>
        <v/>
      </c>
      <c r="K4472" s="13" t="str">
        <f>IFERROR(__xludf.DUMMYFUNCTION("""COMPUTED_VALUE"""),"BT atau SU Belum Valid")</f>
        <v>BT atau SU Belum Valid</v>
      </c>
      <c r="L4472" s="13" t="str">
        <f>IFERROR(__xludf.DUMMYFUNCTION("""COMPUTED_VALUE"""),"")</f>
        <v/>
      </c>
      <c r="M4472" s="13"/>
      <c r="N4472" s="13" t="str">
        <f>IFERROR(__xludf.DUMMYFUNCTION("""COMPUTED_VALUE"""),"")</f>
        <v/>
      </c>
      <c r="O4472" s="13" t="str">
        <f t="shared" si="1"/>
        <v/>
      </c>
    </row>
    <row r="4473" ht="22.5" customHeight="1">
      <c r="B4473" s="13">
        <f>IFERROR(__xludf.DUMMYFUNCTION("""COMPUTED_VALUE"""),4468.0)</f>
        <v>4468</v>
      </c>
      <c r="C4473" s="13" t="str">
        <f>IFERROR(__xludf.DUMMYFUNCTION("""COMPUTED_VALUE"""),"M 3274/ KOTA KARANG")</f>
        <v>M 3274/ KOTA KARANG</v>
      </c>
      <c r="D4473" s="13" t="str">
        <f>IFERROR(__xludf.DUMMYFUNCTION("""COMPUTED_VALUE"""),"K/ 37/011025/5")</f>
        <v>K/ 37/011025/5</v>
      </c>
      <c r="E4473" s="14" t="str">
        <f>IFERROR(__xludf.DUMMYFUNCTION("""COMPUTED_VALUE"""),"Heri (BT)")</f>
        <v>Heri (BT)</v>
      </c>
      <c r="F4473" s="14" t="str">
        <f>IFERROR(__xludf.DUMMYFUNCTION("""COMPUTED_VALUE"""),"SELESAI (VIA PERMOHONAN)")</f>
        <v>SELESAI (VIA PERMOHONAN)</v>
      </c>
      <c r="G4473" s="17">
        <f>IFERROR(__xludf.DUMMYFUNCTION("""COMPUTED_VALUE"""),45988.69559434028)</f>
        <v>45988.69559</v>
      </c>
      <c r="H4473" s="14"/>
      <c r="I4473" s="13"/>
      <c r="J4473" s="17" t="str">
        <f>IFERROR(__xludf.DUMMYFUNCTION("""COMPUTED_VALUE"""),"")</f>
        <v/>
      </c>
      <c r="K4473" s="13" t="str">
        <f>IFERROR(__xludf.DUMMYFUNCTION("""COMPUTED_VALUE"""),"BT atau SU Belum Valid")</f>
        <v>BT atau SU Belum Valid</v>
      </c>
      <c r="L4473" s="13" t="str">
        <f>IFERROR(__xludf.DUMMYFUNCTION("""COMPUTED_VALUE"""),"")</f>
        <v/>
      </c>
      <c r="M4473" s="13"/>
      <c r="N4473" s="13" t="str">
        <f>IFERROR(__xludf.DUMMYFUNCTION("""COMPUTED_VALUE"""),"")</f>
        <v/>
      </c>
      <c r="O4473" s="13" t="str">
        <f t="shared" si="1"/>
        <v/>
      </c>
    </row>
    <row r="4474" ht="22.5" customHeight="1">
      <c r="B4474" s="13">
        <f>IFERROR(__xludf.DUMMYFUNCTION("""COMPUTED_VALUE"""),4469.0)</f>
        <v>4469</v>
      </c>
      <c r="C4474" s="13" t="str">
        <f>IFERROR(__xludf.DUMMYFUNCTION("""COMPUTED_VALUE"""),"M. 9441/Bumi Kedamaian	")</f>
        <v>M. 9441/Bumi Kedamaian	</v>
      </c>
      <c r="D4474" s="13" t="str">
        <f>IFERROR(__xludf.DUMMYFUNCTION("""COMPUTED_VALUE"""),"K/14/071025/1")</f>
        <v>K/14/071025/1</v>
      </c>
      <c r="E4474" s="14" t="str">
        <f>IFERROR(__xludf.DUMMYFUNCTION("""COMPUTED_VALUE"""),"Heri (BT)")</f>
        <v>Heri (BT)</v>
      </c>
      <c r="F4474" s="14" t="str">
        <f>IFERROR(__xludf.DUMMYFUNCTION("""COMPUTED_VALUE"""),"SELESAI (VIA PERMOHONAN)")</f>
        <v>SELESAI (VIA PERMOHONAN)</v>
      </c>
      <c r="G4474" s="17">
        <f>IFERROR(__xludf.DUMMYFUNCTION("""COMPUTED_VALUE"""),45988.69574127315)</f>
        <v>45988.69574</v>
      </c>
      <c r="H4474" s="14"/>
      <c r="I4474" s="13"/>
      <c r="J4474" s="17" t="str">
        <f>IFERROR(__xludf.DUMMYFUNCTION("""COMPUTED_VALUE"""),"")</f>
        <v/>
      </c>
      <c r="K4474" s="13" t="str">
        <f>IFERROR(__xludf.DUMMYFUNCTION("""COMPUTED_VALUE"""),"BT atau SU Belum Valid")</f>
        <v>BT atau SU Belum Valid</v>
      </c>
      <c r="L4474" s="13" t="str">
        <f>IFERROR(__xludf.DUMMYFUNCTION("""COMPUTED_VALUE"""),"")</f>
        <v/>
      </c>
      <c r="M4474" s="13"/>
      <c r="N4474" s="13" t="str">
        <f>IFERROR(__xludf.DUMMYFUNCTION("""COMPUTED_VALUE"""),"")</f>
        <v/>
      </c>
      <c r="O4474" s="13" t="str">
        <f t="shared" si="1"/>
        <v/>
      </c>
    </row>
    <row r="4475" ht="22.5" customHeight="1">
      <c r="B4475" s="13">
        <f>IFERROR(__xludf.DUMMYFUNCTION("""COMPUTED_VALUE"""),4470.0)</f>
        <v>4470</v>
      </c>
      <c r="C4475" s="13" t="str">
        <f>IFERROR(__xludf.DUMMYFUNCTION("""COMPUTED_VALUE"""),"M 1842/ Kaliawi")</f>
        <v>M 1842/ Kaliawi</v>
      </c>
      <c r="D4475" s="13" t="str">
        <f>IFERROR(__xludf.DUMMYFUNCTION("""COMPUTED_VALUE"""),"ABYMONAD")</f>
        <v>ABYMONAD</v>
      </c>
      <c r="E4475" s="14" t="str">
        <f>IFERROR(__xludf.DUMMYFUNCTION("""COMPUTED_VALUE"""),"Heri (BT)")</f>
        <v>Heri (BT)</v>
      </c>
      <c r="F4475" s="14" t="str">
        <f>IFERROR(__xludf.DUMMYFUNCTION("""COMPUTED_VALUE"""),"SELESAI (VIA PERMOHONAN)")</f>
        <v>SELESAI (VIA PERMOHONAN)</v>
      </c>
      <c r="G4475" s="17">
        <f>IFERROR(__xludf.DUMMYFUNCTION("""COMPUTED_VALUE"""),45988.71539142361)</f>
        <v>45988.71539</v>
      </c>
      <c r="H4475" s="14"/>
      <c r="I4475" s="13"/>
      <c r="J4475" s="17" t="str">
        <f>IFERROR(__xludf.DUMMYFUNCTION("""COMPUTED_VALUE"""),"")</f>
        <v/>
      </c>
      <c r="K4475" s="13" t="str">
        <f>IFERROR(__xludf.DUMMYFUNCTION("""COMPUTED_VALUE"""),"BT atau SU Belum Valid")</f>
        <v>BT atau SU Belum Valid</v>
      </c>
      <c r="L4475" s="13" t="str">
        <f>IFERROR(__xludf.DUMMYFUNCTION("""COMPUTED_VALUE"""),"")</f>
        <v/>
      </c>
      <c r="M4475" s="13"/>
      <c r="N4475" s="13" t="str">
        <f>IFERROR(__xludf.DUMMYFUNCTION("""COMPUTED_VALUE"""),"")</f>
        <v/>
      </c>
      <c r="O4475" s="13" t="str">
        <f t="shared" si="1"/>
        <v/>
      </c>
    </row>
    <row r="4476" ht="22.5" customHeight="1">
      <c r="B4476" s="13">
        <f>IFERROR(__xludf.DUMMYFUNCTION("""COMPUTED_VALUE"""),4471.0)</f>
        <v>4471</v>
      </c>
      <c r="C4476" s="13" t="str">
        <f>IFERROR(__xludf.DUMMYFUNCTION("""COMPUTED_VALUE"""),"M 3288/ KUPANG TEBA")</f>
        <v>M 3288/ KUPANG TEBA</v>
      </c>
      <c r="D4476" s="13" t="str">
        <f>IFERROR(__xludf.DUMMYFUNCTION("""COMPUTED_VALUE"""),"K/32/021025/1")</f>
        <v>K/32/021025/1</v>
      </c>
      <c r="E4476" s="14" t="str">
        <f>IFERROR(__xludf.DUMMYFUNCTION("""COMPUTED_VALUE"""),"Heri (BT)")</f>
        <v>Heri (BT)</v>
      </c>
      <c r="F4476" s="14" t="str">
        <f>IFERROR(__xludf.DUMMYFUNCTION("""COMPUTED_VALUE"""),"SELESAI (VIA PERMOHONAN)")</f>
        <v>SELESAI (VIA PERMOHONAN)</v>
      </c>
      <c r="G4476" s="17">
        <f>IFERROR(__xludf.DUMMYFUNCTION("""COMPUTED_VALUE"""),45989.380124965275)</f>
        <v>45989.38012</v>
      </c>
      <c r="H4476" s="14"/>
      <c r="I4476" s="13"/>
      <c r="J4476" s="17" t="str">
        <f>IFERROR(__xludf.DUMMYFUNCTION("""COMPUTED_VALUE"""),"")</f>
        <v/>
      </c>
      <c r="K4476" s="13" t="str">
        <f>IFERROR(__xludf.DUMMYFUNCTION("""COMPUTED_VALUE"""),"BT atau SU Belum Valid")</f>
        <v>BT atau SU Belum Valid</v>
      </c>
      <c r="L4476" s="13" t="str">
        <f>IFERROR(__xludf.DUMMYFUNCTION("""COMPUTED_VALUE"""),"")</f>
        <v/>
      </c>
      <c r="M4476" s="13"/>
      <c r="N4476" s="13" t="str">
        <f>IFERROR(__xludf.DUMMYFUNCTION("""COMPUTED_VALUE"""),"")</f>
        <v/>
      </c>
      <c r="O4476" s="13" t="str">
        <f t="shared" si="1"/>
        <v/>
      </c>
    </row>
    <row r="4477" ht="22.5" customHeight="1">
      <c r="B4477" s="13">
        <f>IFERROR(__xludf.DUMMYFUNCTION("""COMPUTED_VALUE"""),4472.0)</f>
        <v>4472</v>
      </c>
      <c r="C4477" s="13" t="str">
        <f>IFERROR(__xludf.DUMMYFUNCTION("""COMPUTED_VALUE"""),"M.580/Langkapura Baru")</f>
        <v>M.580/Langkapura Baru</v>
      </c>
      <c r="D4477" s="13" t="str">
        <f>IFERROR(__xludf.DUMMYFUNCTION("""COMPUTED_VALUE"""),"ABFYCLRY")</f>
        <v>ABFYCLRY</v>
      </c>
      <c r="E4477" s="14" t="str">
        <f>IFERROR(__xludf.DUMMYFUNCTION("""COMPUTED_VALUE"""),"Heri (BT)")</f>
        <v>Heri (BT)</v>
      </c>
      <c r="F4477" s="14" t="str">
        <f>IFERROR(__xludf.DUMMYFUNCTION("""COMPUTED_VALUE"""),"SELESAI (VIA PERMOHONAN)")</f>
        <v>SELESAI (VIA PERMOHONAN)</v>
      </c>
      <c r="G4477" s="17">
        <f>IFERROR(__xludf.DUMMYFUNCTION("""COMPUTED_VALUE"""),45989.38033313658)</f>
        <v>45989.38033</v>
      </c>
      <c r="H4477" s="14"/>
      <c r="I4477" s="13"/>
      <c r="J4477" s="17" t="str">
        <f>IFERROR(__xludf.DUMMYFUNCTION("""COMPUTED_VALUE"""),"")</f>
        <v/>
      </c>
      <c r="K4477" s="13" t="str">
        <f>IFERROR(__xludf.DUMMYFUNCTION("""COMPUTED_VALUE"""),"BT atau SU Belum Valid")</f>
        <v>BT atau SU Belum Valid</v>
      </c>
      <c r="L4477" s="13" t="str">
        <f>IFERROR(__xludf.DUMMYFUNCTION("""COMPUTED_VALUE"""),"")</f>
        <v/>
      </c>
      <c r="M4477" s="13"/>
      <c r="N4477" s="13" t="str">
        <f>IFERROR(__xludf.DUMMYFUNCTION("""COMPUTED_VALUE"""),"")</f>
        <v/>
      </c>
      <c r="O4477" s="13" t="str">
        <f t="shared" si="1"/>
        <v/>
      </c>
    </row>
    <row r="4478" ht="22.5" customHeight="1">
      <c r="B4478" s="13">
        <f>IFERROR(__xludf.DUMMYFUNCTION("""COMPUTED_VALUE"""),4473.0)</f>
        <v>4473</v>
      </c>
      <c r="C4478" s="13" t="str">
        <f>IFERROR(__xludf.DUMMYFUNCTION("""COMPUTED_VALUE"""),"M 477/ SUKAMENANTI BARU")</f>
        <v>M 477/ SUKAMENANTI BARU</v>
      </c>
      <c r="D4478" s="13" t="str">
        <f>IFERROR(__xludf.DUMMYFUNCTION("""COMPUTED_VALUE"""),"K/22/150925/5")</f>
        <v>K/22/150925/5</v>
      </c>
      <c r="E4478" s="14" t="str">
        <f>IFERROR(__xludf.DUMMYFUNCTION("""COMPUTED_VALUE"""),"Heri (BT)")</f>
        <v>Heri (BT)</v>
      </c>
      <c r="F4478" s="14" t="str">
        <f>IFERROR(__xludf.DUMMYFUNCTION("""COMPUTED_VALUE"""),"SELESAI (VIA PERMOHONAN)")</f>
        <v>SELESAI (VIA PERMOHONAN)</v>
      </c>
      <c r="G4478" s="17">
        <f>IFERROR(__xludf.DUMMYFUNCTION("""COMPUTED_VALUE"""),45989.38053085648)</f>
        <v>45989.38053</v>
      </c>
      <c r="H4478" s="14"/>
      <c r="I4478" s="13"/>
      <c r="J4478" s="17" t="str">
        <f>IFERROR(__xludf.DUMMYFUNCTION("""COMPUTED_VALUE"""),"")</f>
        <v/>
      </c>
      <c r="K4478" s="13" t="str">
        <f>IFERROR(__xludf.DUMMYFUNCTION("""COMPUTED_VALUE"""),"BT atau SU Belum Valid")</f>
        <v>BT atau SU Belum Valid</v>
      </c>
      <c r="L4478" s="13" t="str">
        <f>IFERROR(__xludf.DUMMYFUNCTION("""COMPUTED_VALUE"""),"")</f>
        <v/>
      </c>
      <c r="M4478" s="13"/>
      <c r="N4478" s="13" t="str">
        <f>IFERROR(__xludf.DUMMYFUNCTION("""COMPUTED_VALUE"""),"")</f>
        <v/>
      </c>
      <c r="O4478" s="13" t="str">
        <f t="shared" si="1"/>
        <v/>
      </c>
    </row>
    <row r="4479" ht="22.5" customHeight="1">
      <c r="B4479" s="13">
        <f>IFERROR(__xludf.DUMMYFUNCTION("""COMPUTED_VALUE"""),4474.0)</f>
        <v>4474</v>
      </c>
      <c r="C4479" s="13" t="str">
        <f>IFERROR(__xludf.DUMMYFUNCTION("""COMPUTED_VALUE"""),"M 201/Jg.III")</f>
        <v>M 201/Jg.III</v>
      </c>
      <c r="D4479" s="13" t="str">
        <f>IFERROR(__xludf.DUMMYFUNCTION("""COMPUTED_VALUE"""),"ABPEKWOH/1")</f>
        <v>ABPEKWOH/1</v>
      </c>
      <c r="E4479" s="14" t="str">
        <f>IFERROR(__xludf.DUMMYFUNCTION("""COMPUTED_VALUE"""),"Heri (BT)")</f>
        <v>Heri (BT)</v>
      </c>
      <c r="F4479" s="14" t="str">
        <f>IFERROR(__xludf.DUMMYFUNCTION("""COMPUTED_VALUE"""),"SELESAI (VIA PERMOHONAN)")</f>
        <v>SELESAI (VIA PERMOHONAN)</v>
      </c>
      <c r="G4479" s="17">
        <f>IFERROR(__xludf.DUMMYFUNCTION("""COMPUTED_VALUE"""),45989.38133267361)</f>
        <v>45989.38133</v>
      </c>
      <c r="H4479" s="14"/>
      <c r="I4479" s="13"/>
      <c r="J4479" s="17" t="str">
        <f>IFERROR(__xludf.DUMMYFUNCTION("""COMPUTED_VALUE"""),"")</f>
        <v/>
      </c>
      <c r="K4479" s="13" t="str">
        <f>IFERROR(__xludf.DUMMYFUNCTION("""COMPUTED_VALUE"""),"BT atau SU Belum Valid")</f>
        <v>BT atau SU Belum Valid</v>
      </c>
      <c r="L4479" s="13" t="str">
        <f>IFERROR(__xludf.DUMMYFUNCTION("""COMPUTED_VALUE"""),"")</f>
        <v/>
      </c>
      <c r="M4479" s="13"/>
      <c r="N4479" s="13" t="str">
        <f>IFERROR(__xludf.DUMMYFUNCTION("""COMPUTED_VALUE"""),"")</f>
        <v/>
      </c>
      <c r="O4479" s="13" t="str">
        <f t="shared" si="1"/>
        <v/>
      </c>
    </row>
    <row r="4480" ht="22.5" customHeight="1">
      <c r="B4480" s="13">
        <f>IFERROR(__xludf.DUMMYFUNCTION("""COMPUTED_VALUE"""),4475.0)</f>
        <v>4475</v>
      </c>
      <c r="C4480" s="13" t="str">
        <f>IFERROR(__xludf.DUMMYFUNCTION("""COMPUTED_VALUE"""),"M.1336/Pesawahan")</f>
        <v>M.1336/Pesawahan</v>
      </c>
      <c r="D4480" s="13" t="str">
        <f>IFERROR(__xludf.DUMMYFUNCTION("""COMPUTED_VALUE"""),"ABSZPAEZ/020")</f>
        <v>ABSZPAEZ/020</v>
      </c>
      <c r="E4480" s="14" t="str">
        <f>IFERROR(__xludf.DUMMYFUNCTION("""COMPUTED_VALUE"""),"Heri (BT)")</f>
        <v>Heri (BT)</v>
      </c>
      <c r="F4480" s="14" t="str">
        <f>IFERROR(__xludf.DUMMYFUNCTION("""COMPUTED_VALUE"""),"SELESAI (VIA PERMOHONAN)")</f>
        <v>SELESAI (VIA PERMOHONAN)</v>
      </c>
      <c r="G4480" s="17">
        <f>IFERROR(__xludf.DUMMYFUNCTION("""COMPUTED_VALUE"""),45989.381524895834)</f>
        <v>45989.38152</v>
      </c>
      <c r="H4480" s="14"/>
      <c r="I4480" s="13"/>
      <c r="J4480" s="17" t="str">
        <f>IFERROR(__xludf.DUMMYFUNCTION("""COMPUTED_VALUE"""),"")</f>
        <v/>
      </c>
      <c r="K4480" s="13" t="str">
        <f>IFERROR(__xludf.DUMMYFUNCTION("""COMPUTED_VALUE"""),"BT atau SU Belum Valid")</f>
        <v>BT atau SU Belum Valid</v>
      </c>
      <c r="L4480" s="13" t="str">
        <f>IFERROR(__xludf.DUMMYFUNCTION("""COMPUTED_VALUE"""),"")</f>
        <v/>
      </c>
      <c r="M4480" s="13"/>
      <c r="N4480" s="13" t="str">
        <f>IFERROR(__xludf.DUMMYFUNCTION("""COMPUTED_VALUE"""),"")</f>
        <v/>
      </c>
      <c r="O4480" s="13" t="str">
        <f t="shared" si="1"/>
        <v/>
      </c>
    </row>
    <row r="4481" ht="22.5" customHeight="1">
      <c r="B4481" s="13">
        <f>IFERROR(__xludf.DUMMYFUNCTION("""COMPUTED_VALUE"""),4476.0)</f>
        <v>4476</v>
      </c>
      <c r="C4481" s="13" t="str">
        <f>IFERROR(__xludf.DUMMYFUNCTION("""COMPUTED_VALUE"""),"SHM 410/W.D")</f>
        <v>SHM 410/W.D</v>
      </c>
      <c r="D4481" s="13" t="str">
        <f>IFERROR(__xludf.DUMMYFUNCTION("""COMPUTED_VALUE"""),"AB023/ABGTDDHC")</f>
        <v>AB023/ABGTDDHC</v>
      </c>
      <c r="E4481" s="14" t="str">
        <f>IFERROR(__xludf.DUMMYFUNCTION("""COMPUTED_VALUE"""),"Heri (BT)")</f>
        <v>Heri (BT)</v>
      </c>
      <c r="F4481" s="14" t="str">
        <f>IFERROR(__xludf.DUMMYFUNCTION("""COMPUTED_VALUE"""),"SELESAI (VIA PERMOHONAN)")</f>
        <v>SELESAI (VIA PERMOHONAN)</v>
      </c>
      <c r="G4481" s="17">
        <f>IFERROR(__xludf.DUMMYFUNCTION("""COMPUTED_VALUE"""),45989.38182756944)</f>
        <v>45989.38183</v>
      </c>
      <c r="H4481" s="14"/>
      <c r="I4481" s="13"/>
      <c r="J4481" s="17" t="str">
        <f>IFERROR(__xludf.DUMMYFUNCTION("""COMPUTED_VALUE"""),"")</f>
        <v/>
      </c>
      <c r="K4481" s="13" t="str">
        <f>IFERROR(__xludf.DUMMYFUNCTION("""COMPUTED_VALUE"""),"BT atau SU Belum Valid")</f>
        <v>BT atau SU Belum Valid</v>
      </c>
      <c r="L4481" s="13" t="str">
        <f>IFERROR(__xludf.DUMMYFUNCTION("""COMPUTED_VALUE"""),"")</f>
        <v/>
      </c>
      <c r="M4481" s="13"/>
      <c r="N4481" s="13" t="str">
        <f>IFERROR(__xludf.DUMMYFUNCTION("""COMPUTED_VALUE"""),"")</f>
        <v/>
      </c>
      <c r="O4481" s="13" t="str">
        <f t="shared" si="1"/>
        <v/>
      </c>
    </row>
    <row r="4482" ht="22.5" customHeight="1">
      <c r="B4482" s="13">
        <f>IFERROR(__xludf.DUMMYFUNCTION("""COMPUTED_VALUE"""),4477.0)</f>
        <v>4477</v>
      </c>
      <c r="C4482" s="13" t="str">
        <f>IFERROR(__xludf.DUMMYFUNCTION("""COMPUTED_VALUE"""),"M 3383/ KEMILING PERMAI")</f>
        <v>M 3383/ KEMILING PERMAI</v>
      </c>
      <c r="D4482" s="13" t="str">
        <f>IFERROR(__xludf.DUMMYFUNCTION("""COMPUTED_VALUE"""),"ABHDEQIJ")</f>
        <v>ABHDEQIJ</v>
      </c>
      <c r="E4482" s="14" t="str">
        <f>IFERROR(__xludf.DUMMYFUNCTION("""COMPUTED_VALUE"""),"Heri (BT)")</f>
        <v>Heri (BT)</v>
      </c>
      <c r="F4482" s="14" t="str">
        <f>IFERROR(__xludf.DUMMYFUNCTION("""COMPUTED_VALUE"""),"SELESAI (VIA PERMOHONAN)")</f>
        <v>SELESAI (VIA PERMOHONAN)</v>
      </c>
      <c r="G4482" s="17">
        <f>IFERROR(__xludf.DUMMYFUNCTION("""COMPUTED_VALUE"""),45989.38203645834)</f>
        <v>45989.38204</v>
      </c>
      <c r="H4482" s="14"/>
      <c r="I4482" s="13"/>
      <c r="J4482" s="17" t="str">
        <f>IFERROR(__xludf.DUMMYFUNCTION("""COMPUTED_VALUE"""),"")</f>
        <v/>
      </c>
      <c r="K4482" s="13" t="str">
        <f>IFERROR(__xludf.DUMMYFUNCTION("""COMPUTED_VALUE"""),"BT atau SU Belum Valid")</f>
        <v>BT atau SU Belum Valid</v>
      </c>
      <c r="L4482" s="13" t="str">
        <f>IFERROR(__xludf.DUMMYFUNCTION("""COMPUTED_VALUE"""),"")</f>
        <v/>
      </c>
      <c r="M4482" s="13"/>
      <c r="N4482" s="13" t="str">
        <f>IFERROR(__xludf.DUMMYFUNCTION("""COMPUTED_VALUE"""),"")</f>
        <v/>
      </c>
      <c r="O4482" s="13" t="str">
        <f t="shared" si="1"/>
        <v/>
      </c>
    </row>
    <row r="4483" ht="22.5" customHeight="1">
      <c r="B4483" s="13">
        <f>IFERROR(__xludf.DUMMYFUNCTION("""COMPUTED_VALUE"""),4478.0)</f>
        <v>4478</v>
      </c>
      <c r="C4483" s="13" t="str">
        <f>IFERROR(__xludf.DUMMYFUNCTION("""COMPUTED_VALUE"""),"M.12403/ sukabumi")</f>
        <v>M.12403/ sukabumi</v>
      </c>
      <c r="D4483" s="13" t="str">
        <f>IFERROR(__xludf.DUMMYFUNCTION("""COMPUTED_VALUE"""),"ABPXKTEH")</f>
        <v>ABPXKTEH</v>
      </c>
      <c r="E4483" s="14" t="str">
        <f>IFERROR(__xludf.DUMMYFUNCTION("""COMPUTED_VALUE"""),"Heri (BT)")</f>
        <v>Heri (BT)</v>
      </c>
      <c r="F4483" s="14" t="str">
        <f>IFERROR(__xludf.DUMMYFUNCTION("""COMPUTED_VALUE"""),"SELESAI (VIA PERMOHONAN)")</f>
        <v>SELESAI (VIA PERMOHONAN)</v>
      </c>
      <c r="G4483" s="17">
        <f>IFERROR(__xludf.DUMMYFUNCTION("""COMPUTED_VALUE"""),45989.38227519676)</f>
        <v>45989.38228</v>
      </c>
      <c r="H4483" s="14"/>
      <c r="I4483" s="13"/>
      <c r="J4483" s="17" t="str">
        <f>IFERROR(__xludf.DUMMYFUNCTION("""COMPUTED_VALUE"""),"")</f>
        <v/>
      </c>
      <c r="K4483" s="13" t="str">
        <f>IFERROR(__xludf.DUMMYFUNCTION("""COMPUTED_VALUE"""),"BT atau SU Belum Valid")</f>
        <v>BT atau SU Belum Valid</v>
      </c>
      <c r="L4483" s="13" t="str">
        <f>IFERROR(__xludf.DUMMYFUNCTION("""COMPUTED_VALUE"""),"")</f>
        <v/>
      </c>
      <c r="M4483" s="13"/>
      <c r="N4483" s="13" t="str">
        <f>IFERROR(__xludf.DUMMYFUNCTION("""COMPUTED_VALUE"""),"")</f>
        <v/>
      </c>
      <c r="O4483" s="13" t="str">
        <f t="shared" si="1"/>
        <v/>
      </c>
    </row>
    <row r="4484" ht="22.5" customHeight="1">
      <c r="B4484" s="13">
        <f>IFERROR(__xludf.DUMMYFUNCTION("""COMPUTED_VALUE"""),4479.0)</f>
        <v>4479</v>
      </c>
      <c r="C4484" s="13" t="str">
        <f>IFERROR(__xludf.DUMMYFUNCTION("""COMPUTED_VALUE"""),"M.1889/Rajabasa Jaya")</f>
        <v>M.1889/Rajabasa Jaya</v>
      </c>
      <c r="D4484" s="13" t="str">
        <f>IFERROR(__xludf.DUMMYFUNCTION("""COMPUTED_VALUE"""),"ABJKEEKV/1")</f>
        <v>ABJKEEKV/1</v>
      </c>
      <c r="E4484" s="14" t="str">
        <f>IFERROR(__xludf.DUMMYFUNCTION("""COMPUTED_VALUE"""),"Heri (BT)")</f>
        <v>Heri (BT)</v>
      </c>
      <c r="F4484" s="14" t="str">
        <f>IFERROR(__xludf.DUMMYFUNCTION("""COMPUTED_VALUE"""),"SELESAI (VIA PERMOHONAN)")</f>
        <v>SELESAI (VIA PERMOHONAN)</v>
      </c>
      <c r="G4484" s="17">
        <f>IFERROR(__xludf.DUMMYFUNCTION("""COMPUTED_VALUE"""),45989.38293413194)</f>
        <v>45989.38293</v>
      </c>
      <c r="H4484" s="14"/>
      <c r="I4484" s="13"/>
      <c r="J4484" s="17" t="str">
        <f>IFERROR(__xludf.DUMMYFUNCTION("""COMPUTED_VALUE"""),"")</f>
        <v/>
      </c>
      <c r="K4484" s="13" t="str">
        <f>IFERROR(__xludf.DUMMYFUNCTION("""COMPUTED_VALUE"""),"BT atau SU Belum Valid")</f>
        <v>BT atau SU Belum Valid</v>
      </c>
      <c r="L4484" s="13" t="str">
        <f>IFERROR(__xludf.DUMMYFUNCTION("""COMPUTED_VALUE"""),"")</f>
        <v/>
      </c>
      <c r="M4484" s="13"/>
      <c r="N4484" s="13" t="str">
        <f>IFERROR(__xludf.DUMMYFUNCTION("""COMPUTED_VALUE"""),"")</f>
        <v/>
      </c>
      <c r="O4484" s="13" t="str">
        <f t="shared" si="1"/>
        <v/>
      </c>
    </row>
    <row r="4485" ht="22.5" customHeight="1">
      <c r="B4485" s="13">
        <f>IFERROR(__xludf.DUMMYFUNCTION("""COMPUTED_VALUE"""),4480.0)</f>
        <v>4480</v>
      </c>
      <c r="C4485" s="13" t="str">
        <f>IFERROR(__xludf.DUMMYFUNCTION("""COMPUTED_VALUE"""),"M 43/ KALIAWI")</f>
        <v>M 43/ KALIAWI</v>
      </c>
      <c r="D4485" s="13" t="str">
        <f>IFERROR(__xludf.DUMMYFUNCTION("""COMPUTED_VALUE"""),"K/45/081025/1")</f>
        <v>K/45/081025/1</v>
      </c>
      <c r="E4485" s="14" t="str">
        <f>IFERROR(__xludf.DUMMYFUNCTION("""COMPUTED_VALUE"""),"Heri (BT)")</f>
        <v>Heri (BT)</v>
      </c>
      <c r="F4485" s="14" t="str">
        <f>IFERROR(__xludf.DUMMYFUNCTION("""COMPUTED_VALUE"""),"SELESAI (VIA PERMOHONAN)")</f>
        <v>SELESAI (VIA PERMOHONAN)</v>
      </c>
      <c r="G4485" s="17">
        <f>IFERROR(__xludf.DUMMYFUNCTION("""COMPUTED_VALUE"""),45989.38327261574)</f>
        <v>45989.38327</v>
      </c>
      <c r="H4485" s="14"/>
      <c r="I4485" s="13"/>
      <c r="J4485" s="17" t="str">
        <f>IFERROR(__xludf.DUMMYFUNCTION("""COMPUTED_VALUE"""),"")</f>
        <v/>
      </c>
      <c r="K4485" s="13" t="str">
        <f>IFERROR(__xludf.DUMMYFUNCTION("""COMPUTED_VALUE"""),"BT atau SU Belum Valid")</f>
        <v>BT atau SU Belum Valid</v>
      </c>
      <c r="L4485" s="13" t="str">
        <f>IFERROR(__xludf.DUMMYFUNCTION("""COMPUTED_VALUE"""),"")</f>
        <v/>
      </c>
      <c r="M4485" s="13"/>
      <c r="N4485" s="13" t="str">
        <f>IFERROR(__xludf.DUMMYFUNCTION("""COMPUTED_VALUE"""),"")</f>
        <v/>
      </c>
      <c r="O4485" s="13" t="str">
        <f t="shared" si="1"/>
        <v/>
      </c>
    </row>
    <row r="4486" ht="22.5" customHeight="1">
      <c r="B4486" s="13">
        <f>IFERROR(__xludf.DUMMYFUNCTION("""COMPUTED_VALUE"""),4481.0)</f>
        <v>4481</v>
      </c>
      <c r="C4486" s="13" t="str">
        <f>IFERROR(__xludf.DUMMYFUNCTION("""COMPUTED_VALUE"""),"M 46/ KORPRI JAYA")</f>
        <v>M 46/ KORPRI JAYA</v>
      </c>
      <c r="D4486" s="13" t="str">
        <f>IFERROR(__xludf.DUMMYFUNCTION("""COMPUTED_VALUE"""),"ABAYGRDH")</f>
        <v>ABAYGRDH</v>
      </c>
      <c r="E4486" s="14" t="str">
        <f>IFERROR(__xludf.DUMMYFUNCTION("""COMPUTED_VALUE"""),"Heri (BT)")</f>
        <v>Heri (BT)</v>
      </c>
      <c r="F4486" s="14" t="str">
        <f>IFERROR(__xludf.DUMMYFUNCTION("""COMPUTED_VALUE"""),"SELESAI (VIA PERMOHONAN)")</f>
        <v>SELESAI (VIA PERMOHONAN)</v>
      </c>
      <c r="G4486" s="17">
        <f>IFERROR(__xludf.DUMMYFUNCTION("""COMPUTED_VALUE"""),45989.38343127315)</f>
        <v>45989.38343</v>
      </c>
      <c r="H4486" s="14"/>
      <c r="I4486" s="13"/>
      <c r="J4486" s="17" t="str">
        <f>IFERROR(__xludf.DUMMYFUNCTION("""COMPUTED_VALUE"""),"")</f>
        <v/>
      </c>
      <c r="K4486" s="13" t="str">
        <f>IFERROR(__xludf.DUMMYFUNCTION("""COMPUTED_VALUE"""),"BT atau SU Belum Valid")</f>
        <v>BT atau SU Belum Valid</v>
      </c>
      <c r="L4486" s="13" t="str">
        <f>IFERROR(__xludf.DUMMYFUNCTION("""COMPUTED_VALUE"""),"")</f>
        <v/>
      </c>
      <c r="M4486" s="13"/>
      <c r="N4486" s="13" t="str">
        <f>IFERROR(__xludf.DUMMYFUNCTION("""COMPUTED_VALUE"""),"")</f>
        <v/>
      </c>
      <c r="O4486" s="13" t="str">
        <f t="shared" si="1"/>
        <v/>
      </c>
    </row>
    <row r="4487" ht="22.5" customHeight="1">
      <c r="B4487" s="13">
        <f>IFERROR(__xludf.DUMMYFUNCTION("""COMPUTED_VALUE"""),4482.0)</f>
        <v>4482</v>
      </c>
      <c r="C4487" s="13" t="str">
        <f>IFERROR(__xludf.DUMMYFUNCTION("""COMPUTED_VALUE"""),"M 4969/ WAY KANDIS")</f>
        <v>M 4969/ WAY KANDIS</v>
      </c>
      <c r="D4487" s="13" t="str">
        <f>IFERROR(__xludf.DUMMYFUNCTION("""COMPUTED_VALUE"""),"ABQWRYEB")</f>
        <v>ABQWRYEB</v>
      </c>
      <c r="E4487" s="14" t="str">
        <f>IFERROR(__xludf.DUMMYFUNCTION("""COMPUTED_VALUE"""),"Heri (BT)")</f>
        <v>Heri (BT)</v>
      </c>
      <c r="F4487" s="14" t="str">
        <f>IFERROR(__xludf.DUMMYFUNCTION("""COMPUTED_VALUE"""),"SELESAI (VIA PERMOHONAN)")</f>
        <v>SELESAI (VIA PERMOHONAN)</v>
      </c>
      <c r="G4487" s="17">
        <f>IFERROR(__xludf.DUMMYFUNCTION("""COMPUTED_VALUE"""),45989.383573541665)</f>
        <v>45989.38357</v>
      </c>
      <c r="H4487" s="14"/>
      <c r="I4487" s="13"/>
      <c r="J4487" s="17" t="str">
        <f>IFERROR(__xludf.DUMMYFUNCTION("""COMPUTED_VALUE"""),"")</f>
        <v/>
      </c>
      <c r="K4487" s="13" t="str">
        <f>IFERROR(__xludf.DUMMYFUNCTION("""COMPUTED_VALUE"""),"BT atau SU Belum Valid")</f>
        <v>BT atau SU Belum Valid</v>
      </c>
      <c r="L4487" s="13" t="str">
        <f>IFERROR(__xludf.DUMMYFUNCTION("""COMPUTED_VALUE"""),"")</f>
        <v/>
      </c>
      <c r="M4487" s="13"/>
      <c r="N4487" s="13" t="str">
        <f>IFERROR(__xludf.DUMMYFUNCTION("""COMPUTED_VALUE"""),"")</f>
        <v/>
      </c>
      <c r="O4487" s="13" t="str">
        <f t="shared" si="1"/>
        <v/>
      </c>
    </row>
    <row r="4488" ht="22.5" customHeight="1">
      <c r="B4488" s="13">
        <f>IFERROR(__xludf.DUMMYFUNCTION("""COMPUTED_VALUE"""),4483.0)</f>
        <v>4483</v>
      </c>
      <c r="C4488" s="13" t="str">
        <f>IFERROR(__xludf.DUMMYFUNCTION("""COMPUTED_VALUE"""),"M.11228 sukabumi")</f>
        <v>M.11228 sukabumi</v>
      </c>
      <c r="D4488" s="13" t="str">
        <f>IFERROR(__xludf.DUMMYFUNCTION("""COMPUTED_VALUE"""),"ABITAGAK/1")</f>
        <v>ABITAGAK/1</v>
      </c>
      <c r="E4488" s="14" t="str">
        <f>IFERROR(__xludf.DUMMYFUNCTION("""COMPUTED_VALUE"""),"Heri (BT)")</f>
        <v>Heri (BT)</v>
      </c>
      <c r="F4488" s="14" t="str">
        <f>IFERROR(__xludf.DUMMYFUNCTION("""COMPUTED_VALUE"""),"SELESAI (VIA PERMOHONAN)")</f>
        <v>SELESAI (VIA PERMOHONAN)</v>
      </c>
      <c r="G4488" s="17">
        <f>IFERROR(__xludf.DUMMYFUNCTION("""COMPUTED_VALUE"""),45989.3838116088)</f>
        <v>45989.38381</v>
      </c>
      <c r="H4488" s="14"/>
      <c r="I4488" s="13"/>
      <c r="J4488" s="17" t="str">
        <f>IFERROR(__xludf.DUMMYFUNCTION("""COMPUTED_VALUE"""),"")</f>
        <v/>
      </c>
      <c r="K4488" s="13" t="str">
        <f>IFERROR(__xludf.DUMMYFUNCTION("""COMPUTED_VALUE"""),"BT atau SU Belum Valid")</f>
        <v>BT atau SU Belum Valid</v>
      </c>
      <c r="L4488" s="13" t="str">
        <f>IFERROR(__xludf.DUMMYFUNCTION("""COMPUTED_VALUE"""),"")</f>
        <v/>
      </c>
      <c r="M4488" s="13"/>
      <c r="N4488" s="13" t="str">
        <f>IFERROR(__xludf.DUMMYFUNCTION("""COMPUTED_VALUE"""),"")</f>
        <v/>
      </c>
      <c r="O4488" s="13" t="str">
        <f t="shared" si="1"/>
        <v/>
      </c>
    </row>
    <row r="4489" ht="22.5" customHeight="1">
      <c r="B4489" s="13">
        <f>IFERROR(__xludf.DUMMYFUNCTION("""COMPUTED_VALUE"""),4484.0)</f>
        <v>4484</v>
      </c>
      <c r="C4489" s="13" t="str">
        <f>IFERROR(__xludf.DUMMYFUNCTION("""COMPUTED_VALUE"""),"M. 247/KANGKUNG")</f>
        <v>M. 247/KANGKUNG</v>
      </c>
      <c r="D4489" s="13" t="str">
        <f>IFERROR(__xludf.DUMMYFUNCTION("""COMPUTED_VALUE"""),"K/13/180925/1")</f>
        <v>K/13/180925/1</v>
      </c>
      <c r="E4489" s="14" t="str">
        <f>IFERROR(__xludf.DUMMYFUNCTION("""COMPUTED_VALUE"""),"Heri (BT)")</f>
        <v>Heri (BT)</v>
      </c>
      <c r="F4489" s="14" t="str">
        <f>IFERROR(__xludf.DUMMYFUNCTION("""COMPUTED_VALUE"""),"SELESAI (VIA PERMOHONAN)")</f>
        <v>SELESAI (VIA PERMOHONAN)</v>
      </c>
      <c r="G4489" s="17">
        <f>IFERROR(__xludf.DUMMYFUNCTION("""COMPUTED_VALUE"""),45989.38395851852)</f>
        <v>45989.38396</v>
      </c>
      <c r="H4489" s="14"/>
      <c r="I4489" s="13"/>
      <c r="J4489" s="17" t="str">
        <f>IFERROR(__xludf.DUMMYFUNCTION("""COMPUTED_VALUE"""),"")</f>
        <v/>
      </c>
      <c r="K4489" s="13" t="str">
        <f>IFERROR(__xludf.DUMMYFUNCTION("""COMPUTED_VALUE"""),"BT atau SU Belum Valid")</f>
        <v>BT atau SU Belum Valid</v>
      </c>
      <c r="L4489" s="13" t="str">
        <f>IFERROR(__xludf.DUMMYFUNCTION("""COMPUTED_VALUE"""),"")</f>
        <v/>
      </c>
      <c r="M4489" s="13"/>
      <c r="N4489" s="13" t="str">
        <f>IFERROR(__xludf.DUMMYFUNCTION("""COMPUTED_VALUE"""),"")</f>
        <v/>
      </c>
      <c r="O4489" s="13" t="str">
        <f t="shared" si="1"/>
        <v/>
      </c>
    </row>
    <row r="4490" ht="22.5" customHeight="1">
      <c r="B4490" s="13">
        <f>IFERROR(__xludf.DUMMYFUNCTION("""COMPUTED_VALUE"""),4485.0)</f>
        <v>4485</v>
      </c>
      <c r="C4490" s="13" t="str">
        <f>IFERROR(__xludf.DUMMYFUNCTION("""COMPUTED_VALUE"""),"M.4040/GUNUNG TERANG")</f>
        <v>M.4040/GUNUNG TERANG</v>
      </c>
      <c r="D4490" s="13" t="str">
        <f>IFERROR(__xludf.DUMMYFUNCTION("""COMPUTED_VALUE"""),"K/56/100225/3")</f>
        <v>K/56/100225/3</v>
      </c>
      <c r="E4490" s="14" t="str">
        <f>IFERROR(__xludf.DUMMYFUNCTION("""COMPUTED_VALUE"""),"Heri (BT)")</f>
        <v>Heri (BT)</v>
      </c>
      <c r="F4490" s="14" t="str">
        <f>IFERROR(__xludf.DUMMYFUNCTION("""COMPUTED_VALUE"""),"SELESAI (VIA PERMOHONAN)")</f>
        <v>SELESAI (VIA PERMOHONAN)</v>
      </c>
      <c r="G4490" s="17">
        <f>IFERROR(__xludf.DUMMYFUNCTION("""COMPUTED_VALUE"""),45989.38414686343)</f>
        <v>45989.38415</v>
      </c>
      <c r="H4490" s="14"/>
      <c r="I4490" s="13"/>
      <c r="J4490" s="17" t="str">
        <f>IFERROR(__xludf.DUMMYFUNCTION("""COMPUTED_VALUE"""),"")</f>
        <v/>
      </c>
      <c r="K4490" s="13" t="str">
        <f>IFERROR(__xludf.DUMMYFUNCTION("""COMPUTED_VALUE"""),"BT atau SU Belum Valid")</f>
        <v>BT atau SU Belum Valid</v>
      </c>
      <c r="L4490" s="13" t="str">
        <f>IFERROR(__xludf.DUMMYFUNCTION("""COMPUTED_VALUE"""),"")</f>
        <v/>
      </c>
      <c r="M4490" s="13"/>
      <c r="N4490" s="13" t="str">
        <f>IFERROR(__xludf.DUMMYFUNCTION("""COMPUTED_VALUE"""),"")</f>
        <v/>
      </c>
      <c r="O4490" s="13" t="str">
        <f t="shared" si="1"/>
        <v/>
      </c>
    </row>
    <row r="4491" ht="22.5" customHeight="1">
      <c r="B4491" s="13">
        <f>IFERROR(__xludf.DUMMYFUNCTION("""COMPUTED_VALUE"""),4486.0)</f>
        <v>4486</v>
      </c>
      <c r="C4491" s="13" t="str">
        <f>IFERROR(__xludf.DUMMYFUNCTION("""COMPUTED_VALUE"""),"M. 3997/WAY KANDIS")</f>
        <v>M. 3997/WAY KANDIS</v>
      </c>
      <c r="D4491" s="13" t="str">
        <f>IFERROR(__xludf.DUMMYFUNCTION("""COMPUTED_VALUE"""),"K/22/041126/1")</f>
        <v>K/22/041126/1</v>
      </c>
      <c r="E4491" s="14" t="str">
        <f>IFERROR(__xludf.DUMMYFUNCTION("""COMPUTED_VALUE"""),"Heri (BT)")</f>
        <v>Heri (BT)</v>
      </c>
      <c r="F4491" s="14" t="str">
        <f>IFERROR(__xludf.DUMMYFUNCTION("""COMPUTED_VALUE"""),"SELESAI (VIA PERMOHONAN)")</f>
        <v>SELESAI (VIA PERMOHONAN)</v>
      </c>
      <c r="G4491" s="17">
        <f>IFERROR(__xludf.DUMMYFUNCTION("""COMPUTED_VALUE"""),45989.38498701389)</f>
        <v>45989.38499</v>
      </c>
      <c r="H4491" s="14"/>
      <c r="I4491" s="13"/>
      <c r="J4491" s="17" t="str">
        <f>IFERROR(__xludf.DUMMYFUNCTION("""COMPUTED_VALUE"""),"")</f>
        <v/>
      </c>
      <c r="K4491" s="13" t="str">
        <f>IFERROR(__xludf.DUMMYFUNCTION("""COMPUTED_VALUE"""),"BT atau SU Belum Valid")</f>
        <v>BT atau SU Belum Valid</v>
      </c>
      <c r="L4491" s="13" t="str">
        <f>IFERROR(__xludf.DUMMYFUNCTION("""COMPUTED_VALUE"""),"")</f>
        <v/>
      </c>
      <c r="M4491" s="13"/>
      <c r="N4491" s="13" t="str">
        <f>IFERROR(__xludf.DUMMYFUNCTION("""COMPUTED_VALUE"""),"")</f>
        <v/>
      </c>
      <c r="O4491" s="13" t="str">
        <f t="shared" si="1"/>
        <v/>
      </c>
    </row>
    <row r="4492" ht="22.5" customHeight="1">
      <c r="B4492" s="13">
        <f>IFERROR(__xludf.DUMMYFUNCTION("""COMPUTED_VALUE"""),4487.0)</f>
        <v>4487</v>
      </c>
      <c r="C4492" s="13" t="str">
        <f>IFERROR(__xludf.DUMMYFUNCTION("""COMPUTED_VALUE"""),"M. 2057/SUMBER AGUNG")</f>
        <v>M. 2057/SUMBER AGUNG</v>
      </c>
      <c r="D4492" s="13" t="str">
        <f>IFERROR(__xludf.DUMMYFUNCTION("""COMPUTED_VALUE"""),"K/7/241025/1")</f>
        <v>K/7/241025/1</v>
      </c>
      <c r="E4492" s="14" t="str">
        <f>IFERROR(__xludf.DUMMYFUNCTION("""COMPUTED_VALUE"""),"Heri (BT)")</f>
        <v>Heri (BT)</v>
      </c>
      <c r="F4492" s="14" t="str">
        <f>IFERROR(__xludf.DUMMYFUNCTION("""COMPUTED_VALUE"""),"SELESAI (VIA PERMOHONAN)")</f>
        <v>SELESAI (VIA PERMOHONAN)</v>
      </c>
      <c r="G4492" s="17">
        <f>IFERROR(__xludf.DUMMYFUNCTION("""COMPUTED_VALUE"""),45989.3857478125)</f>
        <v>45989.38575</v>
      </c>
      <c r="H4492" s="14"/>
      <c r="I4492" s="13"/>
      <c r="J4492" s="17" t="str">
        <f>IFERROR(__xludf.DUMMYFUNCTION("""COMPUTED_VALUE"""),"")</f>
        <v/>
      </c>
      <c r="K4492" s="13" t="str">
        <f>IFERROR(__xludf.DUMMYFUNCTION("""COMPUTED_VALUE"""),"BT atau SU Belum Valid")</f>
        <v>BT atau SU Belum Valid</v>
      </c>
      <c r="L4492" s="13" t="str">
        <f>IFERROR(__xludf.DUMMYFUNCTION("""COMPUTED_VALUE"""),"")</f>
        <v/>
      </c>
      <c r="M4492" s="13"/>
      <c r="N4492" s="13" t="str">
        <f>IFERROR(__xludf.DUMMYFUNCTION("""COMPUTED_VALUE"""),"")</f>
        <v/>
      </c>
      <c r="O4492" s="13" t="str">
        <f t="shared" si="1"/>
        <v/>
      </c>
    </row>
    <row r="4493" ht="22.5" customHeight="1">
      <c r="B4493" s="13">
        <f>IFERROR(__xludf.DUMMYFUNCTION("""COMPUTED_VALUE"""),4488.0)</f>
        <v>4488</v>
      </c>
      <c r="C4493" s="13" t="str">
        <f>IFERROR(__xludf.DUMMYFUNCTION("""COMPUTED_VALUE"""),"M.425/ sumber agung")</f>
        <v>M.425/ sumber agung</v>
      </c>
      <c r="D4493" s="13" t="str">
        <f>IFERROR(__xludf.DUMMYFUNCTION("""COMPUTED_VALUE"""),"ABUAISWV")</f>
        <v>ABUAISWV</v>
      </c>
      <c r="E4493" s="14" t="str">
        <f>IFERROR(__xludf.DUMMYFUNCTION("""COMPUTED_VALUE"""),"Heri (BT)")</f>
        <v>Heri (BT)</v>
      </c>
      <c r="F4493" s="14" t="str">
        <f>IFERROR(__xludf.DUMMYFUNCTION("""COMPUTED_VALUE"""),"SELESAI (VIA PERMOHONAN)")</f>
        <v>SELESAI (VIA PERMOHONAN)</v>
      </c>
      <c r="G4493" s="17">
        <f>IFERROR(__xludf.DUMMYFUNCTION("""COMPUTED_VALUE"""),45989.386257060185)</f>
        <v>45989.38626</v>
      </c>
      <c r="H4493" s="14"/>
      <c r="I4493" s="13"/>
      <c r="J4493" s="17" t="str">
        <f>IFERROR(__xludf.DUMMYFUNCTION("""COMPUTED_VALUE"""),"")</f>
        <v/>
      </c>
      <c r="K4493" s="13" t="str">
        <f>IFERROR(__xludf.DUMMYFUNCTION("""COMPUTED_VALUE"""),"BT atau SU Belum Valid")</f>
        <v>BT atau SU Belum Valid</v>
      </c>
      <c r="L4493" s="13" t="str">
        <f>IFERROR(__xludf.DUMMYFUNCTION("""COMPUTED_VALUE"""),"")</f>
        <v/>
      </c>
      <c r="M4493" s="13"/>
      <c r="N4493" s="13" t="str">
        <f>IFERROR(__xludf.DUMMYFUNCTION("""COMPUTED_VALUE"""),"")</f>
        <v/>
      </c>
      <c r="O4493" s="13" t="str">
        <f t="shared" si="1"/>
        <v/>
      </c>
    </row>
    <row r="4494" ht="22.5" customHeight="1">
      <c r="B4494" s="13">
        <f>IFERROR(__xludf.DUMMYFUNCTION("""COMPUTED_VALUE"""),4489.0)</f>
        <v>4489</v>
      </c>
      <c r="C4494" s="13" t="str">
        <f>IFERROR(__xludf.DUMMYFUNCTION("""COMPUTED_VALUE"""),"M. 1048/ GEDONG AIR")</f>
        <v>M. 1048/ GEDONG AIR</v>
      </c>
      <c r="D4494" s="13" t="str">
        <f>IFERROR(__xludf.DUMMYFUNCTION("""COMPUTED_VALUE"""),"K/53/210825/1")</f>
        <v>K/53/210825/1</v>
      </c>
      <c r="E4494" s="14" t="str">
        <f>IFERROR(__xludf.DUMMYFUNCTION("""COMPUTED_VALUE"""),"Heri (BT)")</f>
        <v>Heri (BT)</v>
      </c>
      <c r="F4494" s="14" t="str">
        <f>IFERROR(__xludf.DUMMYFUNCTION("""COMPUTED_VALUE"""),"SELESAI (VIA PERMOHONAN)")</f>
        <v>SELESAI (VIA PERMOHONAN)</v>
      </c>
      <c r="G4494" s="17">
        <f>IFERROR(__xludf.DUMMYFUNCTION("""COMPUTED_VALUE"""),45989.38645398148)</f>
        <v>45989.38645</v>
      </c>
      <c r="H4494" s="14"/>
      <c r="I4494" s="13"/>
      <c r="J4494" s="17" t="str">
        <f>IFERROR(__xludf.DUMMYFUNCTION("""COMPUTED_VALUE"""),"")</f>
        <v/>
      </c>
      <c r="K4494" s="13" t="str">
        <f>IFERROR(__xludf.DUMMYFUNCTION("""COMPUTED_VALUE"""),"BT atau SU Belum Valid")</f>
        <v>BT atau SU Belum Valid</v>
      </c>
      <c r="L4494" s="13" t="str">
        <f>IFERROR(__xludf.DUMMYFUNCTION("""COMPUTED_VALUE"""),"")</f>
        <v/>
      </c>
      <c r="M4494" s="13"/>
      <c r="N4494" s="13" t="str">
        <f>IFERROR(__xludf.DUMMYFUNCTION("""COMPUTED_VALUE"""),"")</f>
        <v/>
      </c>
      <c r="O4494" s="13" t="str">
        <f t="shared" si="1"/>
        <v/>
      </c>
    </row>
    <row r="4495" ht="22.5" customHeight="1">
      <c r="B4495" s="13">
        <f>IFERROR(__xludf.DUMMYFUNCTION("""COMPUTED_VALUE"""),4490.0)</f>
        <v>4490</v>
      </c>
      <c r="C4495" s="13" t="str">
        <f>IFERROR(__xludf.DUMMYFUNCTION("""COMPUTED_VALUE"""),"M 10148/ KAMPUNG BARU")</f>
        <v>M 10148/ KAMPUNG BARU</v>
      </c>
      <c r="D4495" s="13" t="str">
        <f>IFERROR(__xludf.DUMMYFUNCTION("""COMPUTED_VALUE"""),"ABOPMQEV")</f>
        <v>ABOPMQEV</v>
      </c>
      <c r="E4495" s="14" t="str">
        <f>IFERROR(__xludf.DUMMYFUNCTION("""COMPUTED_VALUE"""),"Heri (BT)")</f>
        <v>Heri (BT)</v>
      </c>
      <c r="F4495" s="14" t="str">
        <f>IFERROR(__xludf.DUMMYFUNCTION("""COMPUTED_VALUE"""),"SELESAI (VIA PERMOHONAN)")</f>
        <v>SELESAI (VIA PERMOHONAN)</v>
      </c>
      <c r="G4495" s="17">
        <f>IFERROR(__xludf.DUMMYFUNCTION("""COMPUTED_VALUE"""),45989.38659877315)</f>
        <v>45989.3866</v>
      </c>
      <c r="H4495" s="14"/>
      <c r="I4495" s="13"/>
      <c r="J4495" s="17" t="str">
        <f>IFERROR(__xludf.DUMMYFUNCTION("""COMPUTED_VALUE"""),"")</f>
        <v/>
      </c>
      <c r="K4495" s="13" t="str">
        <f>IFERROR(__xludf.DUMMYFUNCTION("""COMPUTED_VALUE"""),"BT atau SU Belum Valid")</f>
        <v>BT atau SU Belum Valid</v>
      </c>
      <c r="L4495" s="13" t="str">
        <f>IFERROR(__xludf.DUMMYFUNCTION("""COMPUTED_VALUE"""),"")</f>
        <v/>
      </c>
      <c r="M4495" s="13"/>
      <c r="N4495" s="13" t="str">
        <f>IFERROR(__xludf.DUMMYFUNCTION("""COMPUTED_VALUE"""),"")</f>
        <v/>
      </c>
      <c r="O4495" s="13" t="str">
        <f t="shared" si="1"/>
        <v/>
      </c>
    </row>
    <row r="4496" ht="22.5" customHeight="1">
      <c r="B4496" s="13">
        <f>IFERROR(__xludf.DUMMYFUNCTION("""COMPUTED_VALUE"""),4491.0)</f>
        <v>4491</v>
      </c>
      <c r="C4496" s="13" t="str">
        <f>IFERROR(__xludf.DUMMYFUNCTION("""COMPUTED_VALUE"""),"M 240/ SUKARAME II")</f>
        <v>M 240/ SUKARAME II</v>
      </c>
      <c r="D4496" s="13" t="str">
        <f>IFERROR(__xludf.DUMMYFUNCTION("""COMPUTED_VALUE"""),"ABKKUXOY")</f>
        <v>ABKKUXOY</v>
      </c>
      <c r="E4496" s="14" t="str">
        <f>IFERROR(__xludf.DUMMYFUNCTION("""COMPUTED_VALUE"""),"Heri (BT)")</f>
        <v>Heri (BT)</v>
      </c>
      <c r="F4496" s="14" t="str">
        <f>IFERROR(__xludf.DUMMYFUNCTION("""COMPUTED_VALUE"""),"SELESAI (VIA PERMOHONAN)")</f>
        <v>SELESAI (VIA PERMOHONAN)</v>
      </c>
      <c r="G4496" s="17">
        <f>IFERROR(__xludf.DUMMYFUNCTION("""COMPUTED_VALUE"""),45989.38681271991)</f>
        <v>45989.38681</v>
      </c>
      <c r="H4496" s="14"/>
      <c r="I4496" s="13"/>
      <c r="J4496" s="17" t="str">
        <f>IFERROR(__xludf.DUMMYFUNCTION("""COMPUTED_VALUE"""),"")</f>
        <v/>
      </c>
      <c r="K4496" s="13" t="str">
        <f>IFERROR(__xludf.DUMMYFUNCTION("""COMPUTED_VALUE"""),"BT atau SU Belum Valid")</f>
        <v>BT atau SU Belum Valid</v>
      </c>
      <c r="L4496" s="13" t="str">
        <f>IFERROR(__xludf.DUMMYFUNCTION("""COMPUTED_VALUE"""),"")</f>
        <v/>
      </c>
      <c r="M4496" s="13"/>
      <c r="N4496" s="13" t="str">
        <f>IFERROR(__xludf.DUMMYFUNCTION("""COMPUTED_VALUE"""),"")</f>
        <v/>
      </c>
      <c r="O4496" s="13" t="str">
        <f t="shared" si="1"/>
        <v/>
      </c>
    </row>
    <row r="4497" ht="22.5" customHeight="1">
      <c r="B4497" s="13">
        <f>IFERROR(__xludf.DUMMYFUNCTION("""COMPUTED_VALUE"""),4492.0)</f>
        <v>4492</v>
      </c>
      <c r="C4497" s="13" t="str">
        <f>IFERROR(__xludf.DUMMYFUNCTION("""COMPUTED_VALUE"""),"M 13499/ SUKABUMI")</f>
        <v>M 13499/ SUKABUMI</v>
      </c>
      <c r="D4497" s="13" t="str">
        <f>IFERROR(__xludf.DUMMYFUNCTION("""COMPUTED_VALUE"""),"ABXUJOZW")</f>
        <v>ABXUJOZW</v>
      </c>
      <c r="E4497" s="14" t="str">
        <f>IFERROR(__xludf.DUMMYFUNCTION("""COMPUTED_VALUE"""),"Heri (BT)")</f>
        <v>Heri (BT)</v>
      </c>
      <c r="F4497" s="14" t="str">
        <f>IFERROR(__xludf.DUMMYFUNCTION("""COMPUTED_VALUE"""),"SELESAI (VIA PERMOHONAN)")</f>
        <v>SELESAI (VIA PERMOHONAN)</v>
      </c>
      <c r="G4497" s="17">
        <f>IFERROR(__xludf.DUMMYFUNCTION("""COMPUTED_VALUE"""),45989.38697208333)</f>
        <v>45989.38697</v>
      </c>
      <c r="H4497" s="14"/>
      <c r="I4497" s="13"/>
      <c r="J4497" s="17" t="str">
        <f>IFERROR(__xludf.DUMMYFUNCTION("""COMPUTED_VALUE"""),"")</f>
        <v/>
      </c>
      <c r="K4497" s="13" t="str">
        <f>IFERROR(__xludf.DUMMYFUNCTION("""COMPUTED_VALUE"""),"BT atau SU Belum Valid")</f>
        <v>BT atau SU Belum Valid</v>
      </c>
      <c r="L4497" s="13" t="str">
        <f>IFERROR(__xludf.DUMMYFUNCTION("""COMPUTED_VALUE"""),"")</f>
        <v/>
      </c>
      <c r="M4497" s="13"/>
      <c r="N4497" s="13" t="str">
        <f>IFERROR(__xludf.DUMMYFUNCTION("""COMPUTED_VALUE"""),"")</f>
        <v/>
      </c>
      <c r="O4497" s="13" t="str">
        <f t="shared" si="1"/>
        <v/>
      </c>
    </row>
    <row r="4498" ht="22.5" customHeight="1">
      <c r="B4498" s="13">
        <f>IFERROR(__xludf.DUMMYFUNCTION("""COMPUTED_VALUE"""),4493.0)</f>
        <v>4493</v>
      </c>
      <c r="C4498" s="13" t="str">
        <f>IFERROR(__xludf.DUMMYFUNCTION("""COMPUTED_VALUE"""),"m 1663/ keteguhan")</f>
        <v>m 1663/ keteguhan</v>
      </c>
      <c r="D4498" s="13" t="str">
        <f>IFERROR(__xludf.DUMMYFUNCTION("""COMPUTED_VALUE"""),"ABSFRDUK")</f>
        <v>ABSFRDUK</v>
      </c>
      <c r="E4498" s="14" t="str">
        <f>IFERROR(__xludf.DUMMYFUNCTION("""COMPUTED_VALUE"""),"Heri (BT)")</f>
        <v>Heri (BT)</v>
      </c>
      <c r="F4498" s="14" t="str">
        <f>IFERROR(__xludf.DUMMYFUNCTION("""COMPUTED_VALUE"""),"SELESAI (VIA PERMOHONAN)")</f>
        <v>SELESAI (VIA PERMOHONAN)</v>
      </c>
      <c r="G4498" s="17">
        <f>IFERROR(__xludf.DUMMYFUNCTION("""COMPUTED_VALUE"""),45989.38720672454)</f>
        <v>45989.38721</v>
      </c>
      <c r="H4498" s="14"/>
      <c r="I4498" s="13"/>
      <c r="J4498" s="17" t="str">
        <f>IFERROR(__xludf.DUMMYFUNCTION("""COMPUTED_VALUE"""),"")</f>
        <v/>
      </c>
      <c r="K4498" s="13" t="str">
        <f>IFERROR(__xludf.DUMMYFUNCTION("""COMPUTED_VALUE"""),"BT atau SU Belum Valid")</f>
        <v>BT atau SU Belum Valid</v>
      </c>
      <c r="L4498" s="13" t="str">
        <f>IFERROR(__xludf.DUMMYFUNCTION("""COMPUTED_VALUE"""),"")</f>
        <v/>
      </c>
      <c r="M4498" s="13"/>
      <c r="N4498" s="13" t="str">
        <f>IFERROR(__xludf.DUMMYFUNCTION("""COMPUTED_VALUE"""),"")</f>
        <v/>
      </c>
      <c r="O4498" s="13" t="str">
        <f t="shared" si="1"/>
        <v/>
      </c>
    </row>
    <row r="4499" ht="22.5" customHeight="1">
      <c r="B4499" s="13">
        <f>IFERROR(__xludf.DUMMYFUNCTION("""COMPUTED_VALUE"""),4494.0)</f>
        <v>4494</v>
      </c>
      <c r="C4499" s="13" t="str">
        <f>IFERROR(__xludf.DUMMYFUNCTION("""COMPUTED_VALUE"""),"M. 10598/kedaton")</f>
        <v>M. 10598/kedaton</v>
      </c>
      <c r="D4499" s="13" t="str">
        <f>IFERROR(__xludf.DUMMYFUNCTION("""COMPUTED_VALUE"""),"ABWPQYAK")</f>
        <v>ABWPQYAK</v>
      </c>
      <c r="E4499" s="14" t="str">
        <f>IFERROR(__xludf.DUMMYFUNCTION("""COMPUTED_VALUE"""),"Heri (BT)")</f>
        <v>Heri (BT)</v>
      </c>
      <c r="F4499" s="14" t="str">
        <f>IFERROR(__xludf.DUMMYFUNCTION("""COMPUTED_VALUE"""),"SELESAI (VIA PERMOHONAN)")</f>
        <v>SELESAI (VIA PERMOHONAN)</v>
      </c>
      <c r="G4499" s="17">
        <f>IFERROR(__xludf.DUMMYFUNCTION("""COMPUTED_VALUE"""),45989.387355694445)</f>
        <v>45989.38736</v>
      </c>
      <c r="H4499" s="14"/>
      <c r="I4499" s="13"/>
      <c r="J4499" s="17" t="str">
        <f>IFERROR(__xludf.DUMMYFUNCTION("""COMPUTED_VALUE"""),"")</f>
        <v/>
      </c>
      <c r="K4499" s="13" t="str">
        <f>IFERROR(__xludf.DUMMYFUNCTION("""COMPUTED_VALUE"""),"BT atau SU Belum Valid")</f>
        <v>BT atau SU Belum Valid</v>
      </c>
      <c r="L4499" s="13" t="str">
        <f>IFERROR(__xludf.DUMMYFUNCTION("""COMPUTED_VALUE"""),"")</f>
        <v/>
      </c>
      <c r="M4499" s="13"/>
      <c r="N4499" s="13" t="str">
        <f>IFERROR(__xludf.DUMMYFUNCTION("""COMPUTED_VALUE"""),"")</f>
        <v/>
      </c>
      <c r="O4499" s="13" t="str">
        <f t="shared" si="1"/>
        <v/>
      </c>
    </row>
    <row r="4500" ht="22.5" customHeight="1">
      <c r="B4500" s="13">
        <f>IFERROR(__xludf.DUMMYFUNCTION("""COMPUTED_VALUE"""),4495.0)</f>
        <v>4495</v>
      </c>
      <c r="C4500" s="13" t="str">
        <f>IFERROR(__xludf.DUMMYFUNCTION("""COMPUTED_VALUE"""),"M.3225/Kupang Teba ")</f>
        <v>M.3225/Kupang Teba </v>
      </c>
      <c r="D4500" s="13" t="str">
        <f>IFERROR(__xludf.DUMMYFUNCTION("""COMPUTED_VALUE"""),"ABDTCKIP/AB027")</f>
        <v>ABDTCKIP/AB027</v>
      </c>
      <c r="E4500" s="14" t="str">
        <f>IFERROR(__xludf.DUMMYFUNCTION("""COMPUTED_VALUE"""),"Heri (BT)")</f>
        <v>Heri (BT)</v>
      </c>
      <c r="F4500" s="14" t="str">
        <f>IFERROR(__xludf.DUMMYFUNCTION("""COMPUTED_VALUE"""),"SELESAI (VIA PERMOHONAN)")</f>
        <v>SELESAI (VIA PERMOHONAN)</v>
      </c>
      <c r="G4500" s="17">
        <f>IFERROR(__xludf.DUMMYFUNCTION("""COMPUTED_VALUE"""),45989.387562986114)</f>
        <v>45989.38756</v>
      </c>
      <c r="H4500" s="14"/>
      <c r="I4500" s="13"/>
      <c r="J4500" s="17" t="str">
        <f>IFERROR(__xludf.DUMMYFUNCTION("""COMPUTED_VALUE"""),"")</f>
        <v/>
      </c>
      <c r="K4500" s="13" t="str">
        <f>IFERROR(__xludf.DUMMYFUNCTION("""COMPUTED_VALUE"""),"BT atau SU Belum Valid")</f>
        <v>BT atau SU Belum Valid</v>
      </c>
      <c r="L4500" s="13" t="str">
        <f>IFERROR(__xludf.DUMMYFUNCTION("""COMPUTED_VALUE"""),"")</f>
        <v/>
      </c>
      <c r="M4500" s="13"/>
      <c r="N4500" s="13" t="str">
        <f>IFERROR(__xludf.DUMMYFUNCTION("""COMPUTED_VALUE"""),"")</f>
        <v/>
      </c>
      <c r="O4500" s="13" t="str">
        <f t="shared" si="1"/>
        <v/>
      </c>
    </row>
    <row r="4501" ht="22.5" customHeight="1">
      <c r="B4501" s="13">
        <f>IFERROR(__xludf.DUMMYFUNCTION("""COMPUTED_VALUE"""),4496.0)</f>
        <v>4496</v>
      </c>
      <c r="C4501" s="13" t="str">
        <f>IFERROR(__xludf.DUMMYFUNCTION("""COMPUTED_VALUE"""),"M. 947 KALI BALAU KENCANA")</f>
        <v>M. 947 KALI BALAU KENCANA</v>
      </c>
      <c r="D4501" s="13" t="str">
        <f>IFERROR(__xludf.DUMMYFUNCTION("""COMPUTED_VALUE"""),"ABMBHXUR")</f>
        <v>ABMBHXUR</v>
      </c>
      <c r="E4501" s="14" t="str">
        <f>IFERROR(__xludf.DUMMYFUNCTION("""COMPUTED_VALUE"""),"Heri (BT)")</f>
        <v>Heri (BT)</v>
      </c>
      <c r="F4501" s="14" t="str">
        <f>IFERROR(__xludf.DUMMYFUNCTION("""COMPUTED_VALUE"""),"SELESAI (VIA PERMOHONAN)")</f>
        <v>SELESAI (VIA PERMOHONAN)</v>
      </c>
      <c r="G4501" s="17">
        <f>IFERROR(__xludf.DUMMYFUNCTION("""COMPUTED_VALUE"""),45989.3877703125)</f>
        <v>45989.38777</v>
      </c>
      <c r="H4501" s="14"/>
      <c r="I4501" s="13"/>
      <c r="J4501" s="17" t="str">
        <f>IFERROR(__xludf.DUMMYFUNCTION("""COMPUTED_VALUE"""),"")</f>
        <v/>
      </c>
      <c r="K4501" s="13" t="str">
        <f>IFERROR(__xludf.DUMMYFUNCTION("""COMPUTED_VALUE"""),"BT atau SU Belum Valid")</f>
        <v>BT atau SU Belum Valid</v>
      </c>
      <c r="L4501" s="13" t="str">
        <f>IFERROR(__xludf.DUMMYFUNCTION("""COMPUTED_VALUE"""),"")</f>
        <v/>
      </c>
      <c r="M4501" s="13"/>
      <c r="N4501" s="13" t="str">
        <f>IFERROR(__xludf.DUMMYFUNCTION("""COMPUTED_VALUE"""),"")</f>
        <v/>
      </c>
      <c r="O4501" s="13" t="str">
        <f t="shared" si="1"/>
        <v/>
      </c>
    </row>
    <row r="4502" ht="22.5" customHeight="1">
      <c r="B4502" s="13">
        <f>IFERROR(__xludf.DUMMYFUNCTION("""COMPUTED_VALUE"""),4497.0)</f>
        <v>4497</v>
      </c>
      <c r="C4502" s="13" t="str">
        <f>IFERROR(__xludf.DUMMYFUNCTION("""COMPUTED_VALUE"""),"M 5111/ TANJUNG SENANG")</f>
        <v>M 5111/ TANJUNG SENANG</v>
      </c>
      <c r="D4502" s="13" t="str">
        <f>IFERROR(__xludf.DUMMYFUNCTION("""COMPUTED_VALUE"""),"ABYAUMRI")</f>
        <v>ABYAUMRI</v>
      </c>
      <c r="E4502" s="14" t="str">
        <f>IFERROR(__xludf.DUMMYFUNCTION("""COMPUTED_VALUE"""),"Heri (BT)")</f>
        <v>Heri (BT)</v>
      </c>
      <c r="F4502" s="14" t="str">
        <f>IFERROR(__xludf.DUMMYFUNCTION("""COMPUTED_VALUE"""),"SELESAI (VIA PERMOHONAN)")</f>
        <v>SELESAI (VIA PERMOHONAN)</v>
      </c>
      <c r="G4502" s="17">
        <f>IFERROR(__xludf.DUMMYFUNCTION("""COMPUTED_VALUE"""),45989.38818538195)</f>
        <v>45989.38819</v>
      </c>
      <c r="H4502" s="14"/>
      <c r="I4502" s="13"/>
      <c r="J4502" s="17" t="str">
        <f>IFERROR(__xludf.DUMMYFUNCTION("""COMPUTED_VALUE"""),"")</f>
        <v/>
      </c>
      <c r="K4502" s="13" t="str">
        <f>IFERROR(__xludf.DUMMYFUNCTION("""COMPUTED_VALUE"""),"BT atau SU Belum Valid")</f>
        <v>BT atau SU Belum Valid</v>
      </c>
      <c r="L4502" s="13" t="str">
        <f>IFERROR(__xludf.DUMMYFUNCTION("""COMPUTED_VALUE"""),"")</f>
        <v/>
      </c>
      <c r="M4502" s="13"/>
      <c r="N4502" s="13" t="str">
        <f>IFERROR(__xludf.DUMMYFUNCTION("""COMPUTED_VALUE"""),"")</f>
        <v/>
      </c>
      <c r="O4502" s="13" t="str">
        <f t="shared" si="1"/>
        <v/>
      </c>
    </row>
    <row r="4503" ht="22.5" customHeight="1">
      <c r="B4503" s="13">
        <f>IFERROR(__xludf.DUMMYFUNCTION("""COMPUTED_VALUE"""),4498.0)</f>
        <v>4498</v>
      </c>
      <c r="C4503" s="13" t="str">
        <f>IFERROR(__xludf.DUMMYFUNCTION("""COMPUTED_VALUE"""),"M.16318, kelurahan Sukarame")</f>
        <v>M.16318, kelurahan Sukarame</v>
      </c>
      <c r="D4503" s="13" t="str">
        <f>IFERROR(__xludf.DUMMYFUNCTION("""COMPUTED_VALUE"""),"ABDJEJBO")</f>
        <v>ABDJEJBO</v>
      </c>
      <c r="E4503" s="14" t="str">
        <f>IFERROR(__xludf.DUMMYFUNCTION("""COMPUTED_VALUE"""),"Heri (BT)")</f>
        <v>Heri (BT)</v>
      </c>
      <c r="F4503" s="14" t="str">
        <f>IFERROR(__xludf.DUMMYFUNCTION("""COMPUTED_VALUE"""),"SELESAI (VIA PERMOHONAN)")</f>
        <v>SELESAI (VIA PERMOHONAN)</v>
      </c>
      <c r="G4503" s="17">
        <f>IFERROR(__xludf.DUMMYFUNCTION("""COMPUTED_VALUE"""),45989.38842667824)</f>
        <v>45989.38843</v>
      </c>
      <c r="H4503" s="14"/>
      <c r="I4503" s="13"/>
      <c r="J4503" s="17" t="str">
        <f>IFERROR(__xludf.DUMMYFUNCTION("""COMPUTED_VALUE"""),"")</f>
        <v/>
      </c>
      <c r="K4503" s="13" t="str">
        <f>IFERROR(__xludf.DUMMYFUNCTION("""COMPUTED_VALUE"""),"BT atau SU Belum Valid")</f>
        <v>BT atau SU Belum Valid</v>
      </c>
      <c r="L4503" s="13" t="str">
        <f>IFERROR(__xludf.DUMMYFUNCTION("""COMPUTED_VALUE"""),"")</f>
        <v/>
      </c>
      <c r="M4503" s="13"/>
      <c r="N4503" s="13" t="str">
        <f>IFERROR(__xludf.DUMMYFUNCTION("""COMPUTED_VALUE"""),"")</f>
        <v/>
      </c>
      <c r="O4503" s="13" t="str">
        <f t="shared" si="1"/>
        <v/>
      </c>
    </row>
    <row r="4504" ht="22.5" customHeight="1">
      <c r="B4504" s="13">
        <f>IFERROR(__xludf.DUMMYFUNCTION("""COMPUTED_VALUE"""),4499.0)</f>
        <v>4499</v>
      </c>
      <c r="C4504" s="13" t="str">
        <f>IFERROR(__xludf.DUMMYFUNCTION("""COMPUTED_VALUE"""),"B 04199/ KALI BALAU KENCANA")</f>
        <v>B 04199/ KALI BALAU KENCANA</v>
      </c>
      <c r="D4504" s="13" t="str">
        <f>IFERROR(__xludf.DUMMYFUNCTION("""COMPUTED_VALUE"""),"ABLFWXGE")</f>
        <v>ABLFWXGE</v>
      </c>
      <c r="E4504" s="14" t="str">
        <f>IFERROR(__xludf.DUMMYFUNCTION("""COMPUTED_VALUE"""),"Heri (BT)")</f>
        <v>Heri (BT)</v>
      </c>
      <c r="F4504" s="14" t="str">
        <f>IFERROR(__xludf.DUMMYFUNCTION("""COMPUTED_VALUE"""),"SELESAI (VIA PERMOHONAN)")</f>
        <v>SELESAI (VIA PERMOHONAN)</v>
      </c>
      <c r="G4504" s="17">
        <f>IFERROR(__xludf.DUMMYFUNCTION("""COMPUTED_VALUE"""),45989.38870149305)</f>
        <v>45989.3887</v>
      </c>
      <c r="H4504" s="14"/>
      <c r="I4504" s="13"/>
      <c r="J4504" s="17" t="str">
        <f>IFERROR(__xludf.DUMMYFUNCTION("""COMPUTED_VALUE"""),"")</f>
        <v/>
      </c>
      <c r="K4504" s="13" t="str">
        <f>IFERROR(__xludf.DUMMYFUNCTION("""COMPUTED_VALUE"""),"BT atau SU Belum Valid")</f>
        <v>BT atau SU Belum Valid</v>
      </c>
      <c r="L4504" s="13" t="str">
        <f>IFERROR(__xludf.DUMMYFUNCTION("""COMPUTED_VALUE"""),"")</f>
        <v/>
      </c>
      <c r="M4504" s="13"/>
      <c r="N4504" s="13" t="str">
        <f>IFERROR(__xludf.DUMMYFUNCTION("""COMPUTED_VALUE"""),"")</f>
        <v/>
      </c>
      <c r="O4504" s="13" t="str">
        <f t="shared" si="1"/>
        <v/>
      </c>
    </row>
    <row r="4505" ht="22.5" customHeight="1">
      <c r="B4505" s="13">
        <f>IFERROR(__xludf.DUMMYFUNCTION("""COMPUTED_VALUE"""),4500.0)</f>
        <v>4500</v>
      </c>
      <c r="C4505" s="13" t="str">
        <f>IFERROR(__xludf.DUMMYFUNCTION("""COMPUTED_VALUE"""),"M.01003/Korpri Jaya")</f>
        <v>M.01003/Korpri Jaya</v>
      </c>
      <c r="D4505" s="13" t="str">
        <f>IFERROR(__xludf.DUMMYFUNCTION("""COMPUTED_VALUE"""),"ABXPDWSI")</f>
        <v>ABXPDWSI</v>
      </c>
      <c r="E4505" s="14" t="str">
        <f>IFERROR(__xludf.DUMMYFUNCTION("""COMPUTED_VALUE"""),"Heri (BT)")</f>
        <v>Heri (BT)</v>
      </c>
      <c r="F4505" s="14" t="str">
        <f>IFERROR(__xludf.DUMMYFUNCTION("""COMPUTED_VALUE"""),"SELESAI (VIA PERMOHONAN)")</f>
        <v>SELESAI (VIA PERMOHONAN)</v>
      </c>
      <c r="G4505" s="17">
        <f>IFERROR(__xludf.DUMMYFUNCTION("""COMPUTED_VALUE"""),45989.38883130787)</f>
        <v>45989.38883</v>
      </c>
      <c r="H4505" s="14"/>
      <c r="I4505" s="13"/>
      <c r="J4505" s="17" t="str">
        <f>IFERROR(__xludf.DUMMYFUNCTION("""COMPUTED_VALUE"""),"")</f>
        <v/>
      </c>
      <c r="K4505" s="13" t="str">
        <f>IFERROR(__xludf.DUMMYFUNCTION("""COMPUTED_VALUE"""),"BT atau SU Belum Valid")</f>
        <v>BT atau SU Belum Valid</v>
      </c>
      <c r="L4505" s="13" t="str">
        <f>IFERROR(__xludf.DUMMYFUNCTION("""COMPUTED_VALUE"""),"")</f>
        <v/>
      </c>
      <c r="M4505" s="13"/>
      <c r="N4505" s="13" t="str">
        <f>IFERROR(__xludf.DUMMYFUNCTION("""COMPUTED_VALUE"""),"")</f>
        <v/>
      </c>
      <c r="O4505" s="13" t="str">
        <f t="shared" si="1"/>
        <v/>
      </c>
    </row>
    <row r="4506" ht="22.5" customHeight="1">
      <c r="B4506" s="13">
        <f>IFERROR(__xludf.DUMMYFUNCTION("""COMPUTED_VALUE"""),4501.0)</f>
        <v>4501</v>
      </c>
      <c r="C4506" s="13" t="str">
        <f>IFERROR(__xludf.DUMMYFUNCTION("""COMPUTED_VALUE"""),"B 1206/ SUKABUMI INDAH")</f>
        <v>B 1206/ SUKABUMI INDAH</v>
      </c>
      <c r="D4506" s="13" t="str">
        <f>IFERROR(__xludf.DUMMYFUNCTION("""COMPUTED_VALUE"""),"K/20/071025/2")</f>
        <v>K/20/071025/2</v>
      </c>
      <c r="E4506" s="14" t="str">
        <f>IFERROR(__xludf.DUMMYFUNCTION("""COMPUTED_VALUE"""),"Heri (BT)")</f>
        <v>Heri (BT)</v>
      </c>
      <c r="F4506" s="14" t="str">
        <f>IFERROR(__xludf.DUMMYFUNCTION("""COMPUTED_VALUE"""),"SELESAI (VIA PERMOHONAN)")</f>
        <v>SELESAI (VIA PERMOHONAN)</v>
      </c>
      <c r="G4506" s="17">
        <f>IFERROR(__xludf.DUMMYFUNCTION("""COMPUTED_VALUE"""),45989.38921057871)</f>
        <v>45989.38921</v>
      </c>
      <c r="H4506" s="14"/>
      <c r="I4506" s="13"/>
      <c r="J4506" s="17" t="str">
        <f>IFERROR(__xludf.DUMMYFUNCTION("""COMPUTED_VALUE"""),"")</f>
        <v/>
      </c>
      <c r="K4506" s="13" t="str">
        <f>IFERROR(__xludf.DUMMYFUNCTION("""COMPUTED_VALUE"""),"BT atau SU Belum Valid")</f>
        <v>BT atau SU Belum Valid</v>
      </c>
      <c r="L4506" s="13" t="str">
        <f>IFERROR(__xludf.DUMMYFUNCTION("""COMPUTED_VALUE"""),"")</f>
        <v/>
      </c>
      <c r="M4506" s="13"/>
      <c r="N4506" s="13" t="str">
        <f>IFERROR(__xludf.DUMMYFUNCTION("""COMPUTED_VALUE"""),"")</f>
        <v/>
      </c>
      <c r="O4506" s="13" t="str">
        <f t="shared" si="1"/>
        <v/>
      </c>
    </row>
    <row r="4507" ht="22.5" customHeight="1">
      <c r="B4507" s="13">
        <f>IFERROR(__xludf.DUMMYFUNCTION("""COMPUTED_VALUE"""),4502.0)</f>
        <v>4502</v>
      </c>
      <c r="C4507" s="13" t="str">
        <f>IFERROR(__xludf.DUMMYFUNCTION("""COMPUTED_VALUE"""),"HM 02148/  KETEGUHAN")</f>
        <v>HM 02148/  KETEGUHAN</v>
      </c>
      <c r="D4507" s="13" t="str">
        <f>IFERROR(__xludf.DUMMYFUNCTION("""COMPUTED_VALUE"""),"ABXJGTPI")</f>
        <v>ABXJGTPI</v>
      </c>
      <c r="E4507" s="14" t="str">
        <f>IFERROR(__xludf.DUMMYFUNCTION("""COMPUTED_VALUE"""),"Heri (BT)")</f>
        <v>Heri (BT)</v>
      </c>
      <c r="F4507" s="14" t="str">
        <f>IFERROR(__xludf.DUMMYFUNCTION("""COMPUTED_VALUE"""),"SELESAI (VIA PERMOHONAN)")</f>
        <v>SELESAI (VIA PERMOHONAN)</v>
      </c>
      <c r="G4507" s="17">
        <f>IFERROR(__xludf.DUMMYFUNCTION("""COMPUTED_VALUE"""),45989.38939141204)</f>
        <v>45989.38939</v>
      </c>
      <c r="H4507" s="14"/>
      <c r="I4507" s="13"/>
      <c r="J4507" s="17" t="str">
        <f>IFERROR(__xludf.DUMMYFUNCTION("""COMPUTED_VALUE"""),"")</f>
        <v/>
      </c>
      <c r="K4507" s="13" t="str">
        <f>IFERROR(__xludf.DUMMYFUNCTION("""COMPUTED_VALUE"""),"BT atau SU Belum Valid")</f>
        <v>BT atau SU Belum Valid</v>
      </c>
      <c r="L4507" s="13" t="str">
        <f>IFERROR(__xludf.DUMMYFUNCTION("""COMPUTED_VALUE"""),"")</f>
        <v/>
      </c>
      <c r="M4507" s="13"/>
      <c r="N4507" s="13" t="str">
        <f>IFERROR(__xludf.DUMMYFUNCTION("""COMPUTED_VALUE"""),"")</f>
        <v/>
      </c>
      <c r="O4507" s="13" t="str">
        <f t="shared" si="1"/>
        <v/>
      </c>
    </row>
    <row r="4508" ht="22.5" customHeight="1">
      <c r="B4508" s="13">
        <f>IFERROR(__xludf.DUMMYFUNCTION("""COMPUTED_VALUE"""),4503.0)</f>
        <v>4503</v>
      </c>
      <c r="C4508" s="13" t="str">
        <f>IFERROR(__xludf.DUMMYFUNCTION("""COMPUTED_VALUE"""),"M. 00058/kebon jeruk")</f>
        <v>M. 00058/kebon jeruk</v>
      </c>
      <c r="D4508" s="13" t="str">
        <f>IFERROR(__xludf.DUMMYFUNCTION("""COMPUTED_VALUE"""),"ABDDOSAQ")</f>
        <v>ABDDOSAQ</v>
      </c>
      <c r="E4508" s="14" t="str">
        <f>IFERROR(__xludf.DUMMYFUNCTION("""COMPUTED_VALUE"""),"Heri (BT)")</f>
        <v>Heri (BT)</v>
      </c>
      <c r="F4508" s="14" t="str">
        <f>IFERROR(__xludf.DUMMYFUNCTION("""COMPUTED_VALUE"""),"SELESAI (VIA PERMOHONAN)")</f>
        <v>SELESAI (VIA PERMOHONAN)</v>
      </c>
      <c r="G4508" s="17">
        <f>IFERROR(__xludf.DUMMYFUNCTION("""COMPUTED_VALUE"""),45989.432328993054)</f>
        <v>45989.43233</v>
      </c>
      <c r="H4508" s="14"/>
      <c r="I4508" s="13"/>
      <c r="J4508" s="17" t="str">
        <f>IFERROR(__xludf.DUMMYFUNCTION("""COMPUTED_VALUE"""),"")</f>
        <v/>
      </c>
      <c r="K4508" s="13" t="str">
        <f>IFERROR(__xludf.DUMMYFUNCTION("""COMPUTED_VALUE"""),"BT atau SU Belum Valid")</f>
        <v>BT atau SU Belum Valid</v>
      </c>
      <c r="L4508" s="13" t="str">
        <f>IFERROR(__xludf.DUMMYFUNCTION("""COMPUTED_VALUE"""),"")</f>
        <v/>
      </c>
      <c r="M4508" s="13"/>
      <c r="N4508" s="13" t="str">
        <f>IFERROR(__xludf.DUMMYFUNCTION("""COMPUTED_VALUE"""),"")</f>
        <v/>
      </c>
      <c r="O4508" s="13" t="str">
        <f t="shared" si="1"/>
        <v/>
      </c>
    </row>
    <row r="4509" ht="22.5" customHeight="1">
      <c r="B4509" s="13">
        <f>IFERROR(__xludf.DUMMYFUNCTION("""COMPUTED_VALUE"""),4504.0)</f>
        <v>4504</v>
      </c>
      <c r="C4509" s="13" t="str">
        <f>IFERROR(__xludf.DUMMYFUNCTION("""COMPUTED_VALUE"""),"M. 1386/GOTONG ROYONG")</f>
        <v>M. 1386/GOTONG ROYONG</v>
      </c>
      <c r="D4509" s="13" t="str">
        <f>IFERROR(__xludf.DUMMYFUNCTION("""COMPUTED_VALUE"""),"L/5/151025/1")</f>
        <v>L/5/151025/1</v>
      </c>
      <c r="E4509" s="14" t="str">
        <f>IFERROR(__xludf.DUMMYFUNCTION("""COMPUTED_VALUE"""),"Heri (BT)")</f>
        <v>Heri (BT)</v>
      </c>
      <c r="F4509" s="14" t="str">
        <f>IFERROR(__xludf.DUMMYFUNCTION("""COMPUTED_VALUE"""),"SELESAI (VIA PERMOHONAN)")</f>
        <v>SELESAI (VIA PERMOHONAN)</v>
      </c>
      <c r="G4509" s="17">
        <f>IFERROR(__xludf.DUMMYFUNCTION("""COMPUTED_VALUE"""),45989.43254476852)</f>
        <v>45989.43254</v>
      </c>
      <c r="H4509" s="14"/>
      <c r="I4509" s="13"/>
      <c r="J4509" s="17" t="str">
        <f>IFERROR(__xludf.DUMMYFUNCTION("""COMPUTED_VALUE"""),"")</f>
        <v/>
      </c>
      <c r="K4509" s="13" t="str">
        <f>IFERROR(__xludf.DUMMYFUNCTION("""COMPUTED_VALUE"""),"BT atau SU Belum Valid")</f>
        <v>BT atau SU Belum Valid</v>
      </c>
      <c r="L4509" s="13" t="str">
        <f>IFERROR(__xludf.DUMMYFUNCTION("""COMPUTED_VALUE"""),"")</f>
        <v/>
      </c>
      <c r="M4509" s="13"/>
      <c r="N4509" s="13" t="str">
        <f>IFERROR(__xludf.DUMMYFUNCTION("""COMPUTED_VALUE"""),"")</f>
        <v/>
      </c>
      <c r="O4509" s="13" t="str">
        <f t="shared" si="1"/>
        <v/>
      </c>
    </row>
    <row r="4510" ht="22.5" customHeight="1">
      <c r="B4510" s="13">
        <f>IFERROR(__xludf.DUMMYFUNCTION("""COMPUTED_VALUE"""),4505.0)</f>
        <v>4505</v>
      </c>
      <c r="C4510" s="13" t="str">
        <f>IFERROR(__xludf.DUMMYFUNCTION("""COMPUTED_VALUE"""),"B. 1381/PINANG JAYA")</f>
        <v>B. 1381/PINANG JAYA</v>
      </c>
      <c r="D4510" s="13" t="str">
        <f>IFERROR(__xludf.DUMMYFUNCTION("""COMPUTED_VALUE"""),"L/1/241025/1")</f>
        <v>L/1/241025/1</v>
      </c>
      <c r="E4510" s="14" t="str">
        <f>IFERROR(__xludf.DUMMYFUNCTION("""COMPUTED_VALUE"""),"Heri (BT)")</f>
        <v>Heri (BT)</v>
      </c>
      <c r="F4510" s="14" t="str">
        <f>IFERROR(__xludf.DUMMYFUNCTION("""COMPUTED_VALUE"""),"SELESAI (VIA PERMOHONAN)")</f>
        <v>SELESAI (VIA PERMOHONAN)</v>
      </c>
      <c r="G4510" s="17">
        <f>IFERROR(__xludf.DUMMYFUNCTION("""COMPUTED_VALUE"""),45989.432687719906)</f>
        <v>45989.43269</v>
      </c>
      <c r="H4510" s="14"/>
      <c r="I4510" s="13"/>
      <c r="J4510" s="17" t="str">
        <f>IFERROR(__xludf.DUMMYFUNCTION("""COMPUTED_VALUE"""),"")</f>
        <v/>
      </c>
      <c r="K4510" s="13" t="str">
        <f>IFERROR(__xludf.DUMMYFUNCTION("""COMPUTED_VALUE"""),"BT atau SU Belum Valid")</f>
        <v>BT atau SU Belum Valid</v>
      </c>
      <c r="L4510" s="13" t="str">
        <f>IFERROR(__xludf.DUMMYFUNCTION("""COMPUTED_VALUE"""),"")</f>
        <v/>
      </c>
      <c r="M4510" s="13"/>
      <c r="N4510" s="13" t="str">
        <f>IFERROR(__xludf.DUMMYFUNCTION("""COMPUTED_VALUE"""),"")</f>
        <v/>
      </c>
      <c r="O4510" s="13" t="str">
        <f t="shared" si="1"/>
        <v/>
      </c>
    </row>
    <row r="4511" ht="22.5" customHeight="1">
      <c r="B4511" s="13">
        <f>IFERROR(__xludf.DUMMYFUNCTION("""COMPUTED_VALUE"""),4506.0)</f>
        <v>4506</v>
      </c>
      <c r="C4511" s="13" t="str">
        <f>IFERROR(__xludf.DUMMYFUNCTION("""COMPUTED_VALUE"""),"M. 1583/SUKABUMI INDAH")</f>
        <v>M. 1583/SUKABUMI INDAH</v>
      </c>
      <c r="D4511" s="13" t="str">
        <f>IFERROR(__xludf.DUMMYFUNCTION("""COMPUTED_VALUE"""),"L/12/211025/1")</f>
        <v>L/12/211025/1</v>
      </c>
      <c r="E4511" s="14" t="str">
        <f>IFERROR(__xludf.DUMMYFUNCTION("""COMPUTED_VALUE"""),"Heri (BT)")</f>
        <v>Heri (BT)</v>
      </c>
      <c r="F4511" s="14" t="str">
        <f>IFERROR(__xludf.DUMMYFUNCTION("""COMPUTED_VALUE"""),"SELESAI (VIA PERMOHONAN)")</f>
        <v>SELESAI (VIA PERMOHONAN)</v>
      </c>
      <c r="G4511" s="17">
        <f>IFERROR(__xludf.DUMMYFUNCTION("""COMPUTED_VALUE"""),45989.43284324074)</f>
        <v>45989.43284</v>
      </c>
      <c r="H4511" s="14"/>
      <c r="I4511" s="13"/>
      <c r="J4511" s="17" t="str">
        <f>IFERROR(__xludf.DUMMYFUNCTION("""COMPUTED_VALUE"""),"")</f>
        <v/>
      </c>
      <c r="K4511" s="13" t="str">
        <f>IFERROR(__xludf.DUMMYFUNCTION("""COMPUTED_VALUE"""),"BT atau SU Belum Valid")</f>
        <v>BT atau SU Belum Valid</v>
      </c>
      <c r="L4511" s="13" t="str">
        <f>IFERROR(__xludf.DUMMYFUNCTION("""COMPUTED_VALUE"""),"")</f>
        <v/>
      </c>
      <c r="M4511" s="13"/>
      <c r="N4511" s="13" t="str">
        <f>IFERROR(__xludf.DUMMYFUNCTION("""COMPUTED_VALUE"""),"")</f>
        <v/>
      </c>
      <c r="O4511" s="13" t="str">
        <f t="shared" si="1"/>
        <v/>
      </c>
    </row>
    <row r="4512" ht="22.5" customHeight="1">
      <c r="B4512" s="13">
        <f>IFERROR(__xludf.DUMMYFUNCTION("""COMPUTED_VALUE"""),4507.0)</f>
        <v>4507</v>
      </c>
      <c r="C4512" s="13" t="str">
        <f>IFERROR(__xludf.DUMMYFUNCTION("""COMPUTED_VALUE"""),"M. 1153/SUKAJAWA")</f>
        <v>M. 1153/SUKAJAWA</v>
      </c>
      <c r="D4512" s="13" t="str">
        <f>IFERROR(__xludf.DUMMYFUNCTION("""COMPUTED_VALUE"""),"L/17/260925/1")</f>
        <v>L/17/260925/1</v>
      </c>
      <c r="E4512" s="14" t="str">
        <f>IFERROR(__xludf.DUMMYFUNCTION("""COMPUTED_VALUE"""),"Heri (BT)")</f>
        <v>Heri (BT)</v>
      </c>
      <c r="F4512" s="14" t="str">
        <f>IFERROR(__xludf.DUMMYFUNCTION("""COMPUTED_VALUE"""),"SELESAI (VIA PERMOHONAN)")</f>
        <v>SELESAI (VIA PERMOHONAN)</v>
      </c>
      <c r="G4512" s="17">
        <f>IFERROR(__xludf.DUMMYFUNCTION("""COMPUTED_VALUE"""),45989.43458714121)</f>
        <v>45989.43459</v>
      </c>
      <c r="H4512" s="14"/>
      <c r="I4512" s="13"/>
      <c r="J4512" s="17" t="str">
        <f>IFERROR(__xludf.DUMMYFUNCTION("""COMPUTED_VALUE"""),"")</f>
        <v/>
      </c>
      <c r="K4512" s="13" t="str">
        <f>IFERROR(__xludf.DUMMYFUNCTION("""COMPUTED_VALUE"""),"BT atau SU Belum Valid")</f>
        <v>BT atau SU Belum Valid</v>
      </c>
      <c r="L4512" s="13" t="str">
        <f>IFERROR(__xludf.DUMMYFUNCTION("""COMPUTED_VALUE"""),"")</f>
        <v/>
      </c>
      <c r="M4512" s="13"/>
      <c r="N4512" s="13" t="str">
        <f>IFERROR(__xludf.DUMMYFUNCTION("""COMPUTED_VALUE"""),"")</f>
        <v/>
      </c>
      <c r="O4512" s="13" t="str">
        <f t="shared" si="1"/>
        <v/>
      </c>
    </row>
    <row r="4513" ht="22.5" customHeight="1">
      <c r="B4513" s="13">
        <f>IFERROR(__xludf.DUMMYFUNCTION("""COMPUTED_VALUE"""),4508.0)</f>
        <v>4508</v>
      </c>
      <c r="C4513" s="13" t="str">
        <f>IFERROR(__xludf.DUMMYFUNCTION("""COMPUTED_VALUE"""),"M. 855 DAN M. 854/ SEPANG JAYA")</f>
        <v>M. 855 DAN M. 854/ SEPANG JAYA</v>
      </c>
      <c r="D4513" s="13" t="str">
        <f>IFERROR(__xludf.DUMMYFUNCTION("""COMPUTED_VALUE"""),"L/8/201025/1")</f>
        <v>L/8/201025/1</v>
      </c>
      <c r="E4513" s="14" t="str">
        <f>IFERROR(__xludf.DUMMYFUNCTION("""COMPUTED_VALUE"""),"Heri (BT)")</f>
        <v>Heri (BT)</v>
      </c>
      <c r="F4513" s="14" t="str">
        <f>IFERROR(__xludf.DUMMYFUNCTION("""COMPUTED_VALUE"""),"SELESAI (VIA PERMOHONAN)")</f>
        <v>SELESAI (VIA PERMOHONAN)</v>
      </c>
      <c r="G4513" s="17">
        <f>IFERROR(__xludf.DUMMYFUNCTION("""COMPUTED_VALUE"""),45989.440150752314)</f>
        <v>45989.44015</v>
      </c>
      <c r="H4513" s="14"/>
      <c r="I4513" s="13"/>
      <c r="J4513" s="17" t="str">
        <f>IFERROR(__xludf.DUMMYFUNCTION("""COMPUTED_VALUE"""),"")</f>
        <v/>
      </c>
      <c r="K4513" s="13" t="str">
        <f>IFERROR(__xludf.DUMMYFUNCTION("""COMPUTED_VALUE"""),"BT atau SU Belum Valid")</f>
        <v>BT atau SU Belum Valid</v>
      </c>
      <c r="L4513" s="13" t="str">
        <f>IFERROR(__xludf.DUMMYFUNCTION("""COMPUTED_VALUE"""),"")</f>
        <v/>
      </c>
      <c r="M4513" s="13"/>
      <c r="N4513" s="13" t="str">
        <f>IFERROR(__xludf.DUMMYFUNCTION("""COMPUTED_VALUE"""),"")</f>
        <v/>
      </c>
      <c r="O4513" s="13" t="str">
        <f t="shared" si="1"/>
        <v/>
      </c>
    </row>
    <row r="4514" ht="22.5" customHeight="1">
      <c r="B4514" s="13">
        <f>IFERROR(__xludf.DUMMYFUNCTION("""COMPUTED_VALUE"""),4509.0)</f>
        <v>4509</v>
      </c>
      <c r="C4514" s="13" t="str">
        <f>IFERROR(__xludf.DUMMYFUNCTION("""COMPUTED_VALUE"""),"M. 2381/pinang jaya")</f>
        <v>M. 2381/pinang jaya</v>
      </c>
      <c r="D4514" s="13" t="str">
        <f>IFERROR(__xludf.DUMMYFUNCTION("""COMPUTED_VALUE"""),"ABXERFTB/AB45")</f>
        <v>ABXERFTB/AB45</v>
      </c>
      <c r="E4514" s="14" t="str">
        <f>IFERROR(__xludf.DUMMYFUNCTION("""COMPUTED_VALUE"""),"Heri (BT)")</f>
        <v>Heri (BT)</v>
      </c>
      <c r="F4514" s="14" t="str">
        <f>IFERROR(__xludf.DUMMYFUNCTION("""COMPUTED_VALUE"""),"SELESAI (VIA PERMOHONAN)")</f>
        <v>SELESAI (VIA PERMOHONAN)</v>
      </c>
      <c r="G4514" s="17">
        <f>IFERROR(__xludf.DUMMYFUNCTION("""COMPUTED_VALUE"""),45993.3496690162)</f>
        <v>45993.34967</v>
      </c>
      <c r="H4514" s="14"/>
      <c r="I4514" s="13"/>
      <c r="J4514" s="17" t="str">
        <f>IFERROR(__xludf.DUMMYFUNCTION("""COMPUTED_VALUE"""),"")</f>
        <v/>
      </c>
      <c r="K4514" s="13" t="str">
        <f>IFERROR(__xludf.DUMMYFUNCTION("""COMPUTED_VALUE"""),"BT atau SU Belum Valid")</f>
        <v>BT atau SU Belum Valid</v>
      </c>
      <c r="L4514" s="13" t="str">
        <f>IFERROR(__xludf.DUMMYFUNCTION("""COMPUTED_VALUE"""),"")</f>
        <v/>
      </c>
      <c r="M4514" s="13"/>
      <c r="N4514" s="13" t="str">
        <f>IFERROR(__xludf.DUMMYFUNCTION("""COMPUTED_VALUE"""),"")</f>
        <v/>
      </c>
      <c r="O4514" s="13" t="str">
        <f t="shared" si="1"/>
        <v/>
      </c>
    </row>
    <row r="4515" ht="22.5" customHeight="1">
      <c r="B4515" s="13">
        <f>IFERROR(__xludf.DUMMYFUNCTION("""COMPUTED_VALUE"""),4510.0)</f>
        <v>4510</v>
      </c>
      <c r="C4515" s="13" t="str">
        <f>IFERROR(__xludf.DUMMYFUNCTION("""COMPUTED_VALUE"""),"M.02315/Sumber Agung")</f>
        <v>M.02315/Sumber Agung</v>
      </c>
      <c r="D4515" s="13" t="str">
        <f>IFERROR(__xludf.DUMMYFUNCTION("""COMPUTED_VALUE"""),"ABOJUYBK/AB010")</f>
        <v>ABOJUYBK/AB010</v>
      </c>
      <c r="E4515" s="14" t="str">
        <f>IFERROR(__xludf.DUMMYFUNCTION("""COMPUTED_VALUE"""),"Heri (BT)")</f>
        <v>Heri (BT)</v>
      </c>
      <c r="F4515" s="14" t="str">
        <f>IFERROR(__xludf.DUMMYFUNCTION("""COMPUTED_VALUE"""),"SELESAI (VIA PERMOHONAN)")</f>
        <v>SELESAI (VIA PERMOHONAN)</v>
      </c>
      <c r="G4515" s="17">
        <f>IFERROR(__xludf.DUMMYFUNCTION("""COMPUTED_VALUE"""),45993.35027494213)</f>
        <v>45993.35027</v>
      </c>
      <c r="H4515" s="14"/>
      <c r="I4515" s="13"/>
      <c r="J4515" s="17" t="str">
        <f>IFERROR(__xludf.DUMMYFUNCTION("""COMPUTED_VALUE"""),"")</f>
        <v/>
      </c>
      <c r="K4515" s="13" t="str">
        <f>IFERROR(__xludf.DUMMYFUNCTION("""COMPUTED_VALUE"""),"BT atau SU Belum Valid")</f>
        <v>BT atau SU Belum Valid</v>
      </c>
      <c r="L4515" s="13" t="str">
        <f>IFERROR(__xludf.DUMMYFUNCTION("""COMPUTED_VALUE"""),"")</f>
        <v/>
      </c>
      <c r="M4515" s="13"/>
      <c r="N4515" s="13" t="str">
        <f>IFERROR(__xludf.DUMMYFUNCTION("""COMPUTED_VALUE"""),"")</f>
        <v/>
      </c>
      <c r="O4515" s="13" t="str">
        <f t="shared" si="1"/>
        <v/>
      </c>
    </row>
    <row r="4516" ht="22.5" customHeight="1">
      <c r="B4516" s="13">
        <f>IFERROR(__xludf.DUMMYFUNCTION("""COMPUTED_VALUE"""),4511.0)</f>
        <v>4511</v>
      </c>
      <c r="C4516" s="13" t="str">
        <f>IFERROR(__xludf.DUMMYFUNCTION("""COMPUTED_VALUE"""),"SHM NO 2182/Labuhan Ratu Raya")</f>
        <v>SHM NO 2182/Labuhan Ratu Raya</v>
      </c>
      <c r="D4516" s="13" t="str">
        <f>IFERROR(__xludf.DUMMYFUNCTION("""COMPUTED_VALUE"""),"ABWAHYZT")</f>
        <v>ABWAHYZT</v>
      </c>
      <c r="E4516" s="14" t="str">
        <f>IFERROR(__xludf.DUMMYFUNCTION("""COMPUTED_VALUE"""),"Heri (BT)")</f>
        <v>Heri (BT)</v>
      </c>
      <c r="F4516" s="14" t="str">
        <f>IFERROR(__xludf.DUMMYFUNCTION("""COMPUTED_VALUE"""),"SELESAI (VIA PERMOHONAN)")</f>
        <v>SELESAI (VIA PERMOHONAN)</v>
      </c>
      <c r="G4516" s="17">
        <f>IFERROR(__xludf.DUMMYFUNCTION("""COMPUTED_VALUE"""),45993.35056641204)</f>
        <v>45993.35057</v>
      </c>
      <c r="H4516" s="14"/>
      <c r="I4516" s="13"/>
      <c r="J4516" s="17" t="str">
        <f>IFERROR(__xludf.DUMMYFUNCTION("""COMPUTED_VALUE"""),"")</f>
        <v/>
      </c>
      <c r="K4516" s="13" t="str">
        <f>IFERROR(__xludf.DUMMYFUNCTION("""COMPUTED_VALUE"""),"BT atau SU Belum Valid")</f>
        <v>BT atau SU Belum Valid</v>
      </c>
      <c r="L4516" s="13" t="str">
        <f>IFERROR(__xludf.DUMMYFUNCTION("""COMPUTED_VALUE"""),"")</f>
        <v/>
      </c>
      <c r="M4516" s="13"/>
      <c r="N4516" s="13" t="str">
        <f>IFERROR(__xludf.DUMMYFUNCTION("""COMPUTED_VALUE"""),"")</f>
        <v/>
      </c>
      <c r="O4516" s="13" t="str">
        <f t="shared" si="1"/>
        <v/>
      </c>
    </row>
    <row r="4517" ht="22.5" customHeight="1">
      <c r="B4517" s="13">
        <f>IFERROR(__xludf.DUMMYFUNCTION("""COMPUTED_VALUE"""),4512.0)</f>
        <v>4512</v>
      </c>
      <c r="C4517" s="13" t="str">
        <f>IFERROR(__xludf.DUMMYFUNCTION("""COMPUTED_VALUE"""),"M. 1129/Gunung Sulah ")</f>
        <v>M. 1129/Gunung Sulah </v>
      </c>
      <c r="D4517" s="13" t="str">
        <f>IFERROR(__xludf.DUMMYFUNCTION("""COMPUTED_VALUE"""),"ABCWYKP")</f>
        <v>ABCWYKP</v>
      </c>
      <c r="E4517" s="14" t="str">
        <f>IFERROR(__xludf.DUMMYFUNCTION("""COMPUTED_VALUE"""),"Heri (BT)")</f>
        <v>Heri (BT)</v>
      </c>
      <c r="F4517" s="14" t="str">
        <f>IFERROR(__xludf.DUMMYFUNCTION("""COMPUTED_VALUE"""),"SELESAI (VIA PERMOHONAN)")</f>
        <v>SELESAI (VIA PERMOHONAN)</v>
      </c>
      <c r="G4517" s="17">
        <f>IFERROR(__xludf.DUMMYFUNCTION("""COMPUTED_VALUE"""),45993.35091958333)</f>
        <v>45993.35092</v>
      </c>
      <c r="H4517" s="14"/>
      <c r="I4517" s="13"/>
      <c r="J4517" s="17" t="str">
        <f>IFERROR(__xludf.DUMMYFUNCTION("""COMPUTED_VALUE"""),"")</f>
        <v/>
      </c>
      <c r="K4517" s="13" t="str">
        <f>IFERROR(__xludf.DUMMYFUNCTION("""COMPUTED_VALUE"""),"BT atau SU Belum Valid")</f>
        <v>BT atau SU Belum Valid</v>
      </c>
      <c r="L4517" s="13" t="str">
        <f>IFERROR(__xludf.DUMMYFUNCTION("""COMPUTED_VALUE"""),"")</f>
        <v/>
      </c>
      <c r="M4517" s="13"/>
      <c r="N4517" s="13" t="str">
        <f>IFERROR(__xludf.DUMMYFUNCTION("""COMPUTED_VALUE"""),"")</f>
        <v/>
      </c>
      <c r="O4517" s="13" t="str">
        <f t="shared" si="1"/>
        <v/>
      </c>
    </row>
    <row r="4518" ht="22.5" customHeight="1">
      <c r="B4518" s="13">
        <f>IFERROR(__xludf.DUMMYFUNCTION("""COMPUTED_VALUE"""),4513.0)</f>
        <v>4513</v>
      </c>
      <c r="C4518" s="13" t="str">
        <f>IFERROR(__xludf.DUMMYFUNCTION("""COMPUTED_VALUE"""),"M. 2382/pinang jaya")</f>
        <v>M. 2382/pinang jaya</v>
      </c>
      <c r="D4518" s="13" t="str">
        <f>IFERROR(__xludf.DUMMYFUNCTION("""COMPUTED_VALUE"""),"ABNXPHGE/AB45")</f>
        <v>ABNXPHGE/AB45</v>
      </c>
      <c r="E4518" s="14" t="str">
        <f>IFERROR(__xludf.DUMMYFUNCTION("""COMPUTED_VALUE"""),"Heri (BT)")</f>
        <v>Heri (BT)</v>
      </c>
      <c r="F4518" s="14" t="str">
        <f>IFERROR(__xludf.DUMMYFUNCTION("""COMPUTED_VALUE"""),"SELESAI (VIA PERMOHONAN)")</f>
        <v>SELESAI (VIA PERMOHONAN)</v>
      </c>
      <c r="G4518" s="17">
        <f>IFERROR(__xludf.DUMMYFUNCTION("""COMPUTED_VALUE"""),45993.35120909722)</f>
        <v>45993.35121</v>
      </c>
      <c r="H4518" s="14"/>
      <c r="I4518" s="13"/>
      <c r="J4518" s="17" t="str">
        <f>IFERROR(__xludf.DUMMYFUNCTION("""COMPUTED_VALUE"""),"")</f>
        <v/>
      </c>
      <c r="K4518" s="13" t="str">
        <f>IFERROR(__xludf.DUMMYFUNCTION("""COMPUTED_VALUE"""),"BT atau SU Belum Valid")</f>
        <v>BT atau SU Belum Valid</v>
      </c>
      <c r="L4518" s="13" t="str">
        <f>IFERROR(__xludf.DUMMYFUNCTION("""COMPUTED_VALUE"""),"")</f>
        <v/>
      </c>
      <c r="M4518" s="13"/>
      <c r="N4518" s="13" t="str">
        <f>IFERROR(__xludf.DUMMYFUNCTION("""COMPUTED_VALUE"""),"")</f>
        <v/>
      </c>
      <c r="O4518" s="13" t="str">
        <f t="shared" si="1"/>
        <v/>
      </c>
    </row>
    <row r="4519" ht="22.5" customHeight="1">
      <c r="B4519" s="13">
        <f>IFERROR(__xludf.DUMMYFUNCTION("""COMPUTED_VALUE"""),4514.0)</f>
        <v>4514</v>
      </c>
      <c r="C4519" s="13" t="str">
        <f>IFERROR(__xludf.DUMMYFUNCTION("""COMPUTED_VALUE"""),"M. 402/ Enggal	")</f>
        <v>M. 402/ Enggal	</v>
      </c>
      <c r="D4519" s="13" t="str">
        <f>IFERROR(__xludf.DUMMYFUNCTION("""COMPUTED_VALUE"""),"K/8/061025/1")</f>
        <v>K/8/061025/1</v>
      </c>
      <c r="E4519" s="14" t="str">
        <f>IFERROR(__xludf.DUMMYFUNCTION("""COMPUTED_VALUE"""),"Heri (BT)")</f>
        <v>Heri (BT)</v>
      </c>
      <c r="F4519" s="14" t="str">
        <f>IFERROR(__xludf.DUMMYFUNCTION("""COMPUTED_VALUE"""),"SELESAI (VIA PERMOHONAN)")</f>
        <v>SELESAI (VIA PERMOHONAN)</v>
      </c>
      <c r="G4519" s="17">
        <f>IFERROR(__xludf.DUMMYFUNCTION("""COMPUTED_VALUE"""),45993.35152336805)</f>
        <v>45993.35152</v>
      </c>
      <c r="H4519" s="14"/>
      <c r="I4519" s="13"/>
      <c r="J4519" s="17" t="str">
        <f>IFERROR(__xludf.DUMMYFUNCTION("""COMPUTED_VALUE"""),"")</f>
        <v/>
      </c>
      <c r="K4519" s="13" t="str">
        <f>IFERROR(__xludf.DUMMYFUNCTION("""COMPUTED_VALUE"""),"BT atau SU Belum Valid")</f>
        <v>BT atau SU Belum Valid</v>
      </c>
      <c r="L4519" s="13" t="str">
        <f>IFERROR(__xludf.DUMMYFUNCTION("""COMPUTED_VALUE"""),"")</f>
        <v/>
      </c>
      <c r="M4519" s="13"/>
      <c r="N4519" s="13" t="str">
        <f>IFERROR(__xludf.DUMMYFUNCTION("""COMPUTED_VALUE"""),"")</f>
        <v/>
      </c>
      <c r="O4519" s="13" t="str">
        <f t="shared" si="1"/>
        <v/>
      </c>
    </row>
    <row r="4520" ht="22.5" customHeight="1">
      <c r="B4520" s="13">
        <f>IFERROR(__xludf.DUMMYFUNCTION("""COMPUTED_VALUE"""),4515.0)</f>
        <v>4515</v>
      </c>
      <c r="C4520" s="13" t="str">
        <f>IFERROR(__xludf.DUMMYFUNCTION("""COMPUTED_VALUE"""),"M 1357/ PERUMNAS WAY HALIM")</f>
        <v>M 1357/ PERUMNAS WAY HALIM</v>
      </c>
      <c r="D4520" s="13" t="str">
        <f>IFERROR(__xludf.DUMMYFUNCTION("""COMPUTED_VALUE"""),"K/11/061025/1")</f>
        <v>K/11/061025/1</v>
      </c>
      <c r="E4520" s="14" t="str">
        <f>IFERROR(__xludf.DUMMYFUNCTION("""COMPUTED_VALUE"""),"Heri (BT)")</f>
        <v>Heri (BT)</v>
      </c>
      <c r="F4520" s="14" t="str">
        <f>IFERROR(__xludf.DUMMYFUNCTION("""COMPUTED_VALUE"""),"SELESAI (VIA PERMOHONAN)")</f>
        <v>SELESAI (VIA PERMOHONAN)</v>
      </c>
      <c r="G4520" s="17">
        <f>IFERROR(__xludf.DUMMYFUNCTION("""COMPUTED_VALUE"""),45993.35185131944)</f>
        <v>45993.35185</v>
      </c>
      <c r="H4520" s="14"/>
      <c r="I4520" s="13"/>
      <c r="J4520" s="17" t="str">
        <f>IFERROR(__xludf.DUMMYFUNCTION("""COMPUTED_VALUE"""),"")</f>
        <v/>
      </c>
      <c r="K4520" s="13" t="str">
        <f>IFERROR(__xludf.DUMMYFUNCTION("""COMPUTED_VALUE"""),"BT atau SU Belum Valid")</f>
        <v>BT atau SU Belum Valid</v>
      </c>
      <c r="L4520" s="13" t="str">
        <f>IFERROR(__xludf.DUMMYFUNCTION("""COMPUTED_VALUE"""),"")</f>
        <v/>
      </c>
      <c r="M4520" s="13"/>
      <c r="N4520" s="13" t="str">
        <f>IFERROR(__xludf.DUMMYFUNCTION("""COMPUTED_VALUE"""),"")</f>
        <v/>
      </c>
      <c r="O4520" s="13" t="str">
        <f t="shared" si="1"/>
        <v/>
      </c>
    </row>
    <row r="4521" ht="22.5" customHeight="1">
      <c r="B4521" s="13">
        <f>IFERROR(__xludf.DUMMYFUNCTION("""COMPUTED_VALUE"""),4516.0)</f>
        <v>4516</v>
      </c>
      <c r="C4521" s="13" t="str">
        <f>IFERROR(__xludf.DUMMYFUNCTION("""COMPUTED_VALUE"""),"M.1618/KALIAWI ")</f>
        <v>M.1618/KALIAWI </v>
      </c>
      <c r="D4521" s="13" t="str">
        <f>IFERROR(__xludf.DUMMYFUNCTION("""COMPUTED_VALUE"""),"L/7/161025/1")</f>
        <v>L/7/161025/1</v>
      </c>
      <c r="E4521" s="14" t="str">
        <f>IFERROR(__xludf.DUMMYFUNCTION("""COMPUTED_VALUE"""),"Heri (BT)")</f>
        <v>Heri (BT)</v>
      </c>
      <c r="F4521" s="14" t="str">
        <f>IFERROR(__xludf.DUMMYFUNCTION("""COMPUTED_VALUE"""),"SELESAI (VIA PERMOHONAN)")</f>
        <v>SELESAI (VIA PERMOHONAN)</v>
      </c>
      <c r="G4521" s="17">
        <f>IFERROR(__xludf.DUMMYFUNCTION("""COMPUTED_VALUE"""),45993.35250763889)</f>
        <v>45993.35251</v>
      </c>
      <c r="H4521" s="14"/>
      <c r="I4521" s="13"/>
      <c r="J4521" s="17" t="str">
        <f>IFERROR(__xludf.DUMMYFUNCTION("""COMPUTED_VALUE"""),"")</f>
        <v/>
      </c>
      <c r="K4521" s="13" t="str">
        <f>IFERROR(__xludf.DUMMYFUNCTION("""COMPUTED_VALUE"""),"BT atau SU Belum Valid")</f>
        <v>BT atau SU Belum Valid</v>
      </c>
      <c r="L4521" s="13" t="str">
        <f>IFERROR(__xludf.DUMMYFUNCTION("""COMPUTED_VALUE"""),"")</f>
        <v/>
      </c>
      <c r="M4521" s="13"/>
      <c r="N4521" s="13" t="str">
        <f>IFERROR(__xludf.DUMMYFUNCTION("""COMPUTED_VALUE"""),"")</f>
        <v/>
      </c>
      <c r="O4521" s="13" t="str">
        <f t="shared" si="1"/>
        <v/>
      </c>
    </row>
    <row r="4522" ht="22.5" customHeight="1">
      <c r="B4522" s="13">
        <f>IFERROR(__xludf.DUMMYFUNCTION("""COMPUTED_VALUE"""),4517.0)</f>
        <v>4517</v>
      </c>
      <c r="C4522" s="13" t="str">
        <f>IFERROR(__xludf.DUMMYFUNCTION("""COMPUTED_VALUE"""),"M. 1727/ Bumi Kedamaian")</f>
        <v>M. 1727/ Bumi Kedamaian</v>
      </c>
      <c r="D4522" s="13" t="str">
        <f>IFERROR(__xludf.DUMMYFUNCTION("""COMPUTED_VALUE"""),"ABXFFQIZ/Ab071")</f>
        <v>ABXFFQIZ/Ab071</v>
      </c>
      <c r="E4522" s="14" t="str">
        <f>IFERROR(__xludf.DUMMYFUNCTION("""COMPUTED_VALUE"""),"Heri (BT)")</f>
        <v>Heri (BT)</v>
      </c>
      <c r="F4522" s="14" t="str">
        <f>IFERROR(__xludf.DUMMYFUNCTION("""COMPUTED_VALUE"""),"SELESAI (VIA PERMOHONAN)")</f>
        <v>SELESAI (VIA PERMOHONAN)</v>
      </c>
      <c r="G4522" s="17">
        <f>IFERROR(__xludf.DUMMYFUNCTION("""COMPUTED_VALUE"""),45993.35281511574)</f>
        <v>45993.35282</v>
      </c>
      <c r="H4522" s="14"/>
      <c r="I4522" s="13"/>
      <c r="J4522" s="17" t="str">
        <f>IFERROR(__xludf.DUMMYFUNCTION("""COMPUTED_VALUE"""),"")</f>
        <v/>
      </c>
      <c r="K4522" s="13" t="str">
        <f>IFERROR(__xludf.DUMMYFUNCTION("""COMPUTED_VALUE"""),"BT atau SU Belum Valid")</f>
        <v>BT atau SU Belum Valid</v>
      </c>
      <c r="L4522" s="13" t="str">
        <f>IFERROR(__xludf.DUMMYFUNCTION("""COMPUTED_VALUE"""),"")</f>
        <v/>
      </c>
      <c r="M4522" s="13"/>
      <c r="N4522" s="13" t="str">
        <f>IFERROR(__xludf.DUMMYFUNCTION("""COMPUTED_VALUE"""),"")</f>
        <v/>
      </c>
      <c r="O4522" s="13" t="str">
        <f t="shared" si="1"/>
        <v/>
      </c>
    </row>
    <row r="4523" ht="22.5" customHeight="1">
      <c r="B4523" s="13">
        <f>IFERROR(__xludf.DUMMYFUNCTION("""COMPUTED_VALUE"""),4518.0)</f>
        <v>4518</v>
      </c>
      <c r="C4523" s="13" t="str">
        <f>IFERROR(__xludf.DUMMYFUNCTION("""COMPUTED_VALUE"""),"M. 223/Sukarame Baru")</f>
        <v>M. 223/Sukarame Baru</v>
      </c>
      <c r="D4523" s="13" t="str">
        <f>IFERROR(__xludf.DUMMYFUNCTION("""COMPUTED_VALUE"""),"ABEVNACP/AB040")</f>
        <v>ABEVNACP/AB040</v>
      </c>
      <c r="E4523" s="14" t="str">
        <f>IFERROR(__xludf.DUMMYFUNCTION("""COMPUTED_VALUE"""),"Heri (BT)")</f>
        <v>Heri (BT)</v>
      </c>
      <c r="F4523" s="14" t="str">
        <f>IFERROR(__xludf.DUMMYFUNCTION("""COMPUTED_VALUE"""),"SELESAI (VIA PERMOHONAN)")</f>
        <v>SELESAI (VIA PERMOHONAN)</v>
      </c>
      <c r="G4523" s="17">
        <f>IFERROR(__xludf.DUMMYFUNCTION("""COMPUTED_VALUE"""),45993.353228321765)</f>
        <v>45993.35323</v>
      </c>
      <c r="H4523" s="14"/>
      <c r="I4523" s="13"/>
      <c r="J4523" s="17" t="str">
        <f>IFERROR(__xludf.DUMMYFUNCTION("""COMPUTED_VALUE"""),"")</f>
        <v/>
      </c>
      <c r="K4523" s="13" t="str">
        <f>IFERROR(__xludf.DUMMYFUNCTION("""COMPUTED_VALUE"""),"BT atau SU Belum Valid")</f>
        <v>BT atau SU Belum Valid</v>
      </c>
      <c r="L4523" s="13" t="str">
        <f>IFERROR(__xludf.DUMMYFUNCTION("""COMPUTED_VALUE"""),"")</f>
        <v/>
      </c>
      <c r="M4523" s="13"/>
      <c r="N4523" s="13" t="str">
        <f>IFERROR(__xludf.DUMMYFUNCTION("""COMPUTED_VALUE"""),"")</f>
        <v/>
      </c>
      <c r="O4523" s="13" t="str">
        <f t="shared" si="1"/>
        <v/>
      </c>
    </row>
    <row r="4524" ht="22.5" customHeight="1">
      <c r="B4524" s="13">
        <f>IFERROR(__xludf.DUMMYFUNCTION("""COMPUTED_VALUE"""),4519.0)</f>
        <v>4519</v>
      </c>
      <c r="C4524" s="13" t="str">
        <f>IFERROR(__xludf.DUMMYFUNCTION("""COMPUTED_VALUE"""),"M. 1711/keteguhan")</f>
        <v>M. 1711/keteguhan</v>
      </c>
      <c r="D4524" s="13" t="str">
        <f>IFERROR(__xludf.DUMMYFUNCTION("""COMPUTED_VALUE"""),"ABDGPEOO/AB03")</f>
        <v>ABDGPEOO/AB03</v>
      </c>
      <c r="E4524" s="14" t="str">
        <f>IFERROR(__xludf.DUMMYFUNCTION("""COMPUTED_VALUE"""),"Heri (BT)")</f>
        <v>Heri (BT)</v>
      </c>
      <c r="F4524" s="14" t="str">
        <f>IFERROR(__xludf.DUMMYFUNCTION("""COMPUTED_VALUE"""),"SELESAI (VIA PERMOHONAN)")</f>
        <v>SELESAI (VIA PERMOHONAN)</v>
      </c>
      <c r="G4524" s="17">
        <f>IFERROR(__xludf.DUMMYFUNCTION("""COMPUTED_VALUE"""),45993.35347078704)</f>
        <v>45993.35347</v>
      </c>
      <c r="H4524" s="14"/>
      <c r="I4524" s="13"/>
      <c r="J4524" s="17" t="str">
        <f>IFERROR(__xludf.DUMMYFUNCTION("""COMPUTED_VALUE"""),"")</f>
        <v/>
      </c>
      <c r="K4524" s="13" t="str">
        <f>IFERROR(__xludf.DUMMYFUNCTION("""COMPUTED_VALUE"""),"BT atau SU Belum Valid")</f>
        <v>BT atau SU Belum Valid</v>
      </c>
      <c r="L4524" s="13" t="str">
        <f>IFERROR(__xludf.DUMMYFUNCTION("""COMPUTED_VALUE"""),"")</f>
        <v/>
      </c>
      <c r="M4524" s="13"/>
      <c r="N4524" s="13" t="str">
        <f>IFERROR(__xludf.DUMMYFUNCTION("""COMPUTED_VALUE"""),"")</f>
        <v/>
      </c>
      <c r="O4524" s="13" t="str">
        <f t="shared" si="1"/>
        <v/>
      </c>
    </row>
    <row r="4525" ht="22.5" customHeight="1">
      <c r="B4525" s="13">
        <f>IFERROR(__xludf.DUMMYFUNCTION("""COMPUTED_VALUE"""),4520.0)</f>
        <v>4520</v>
      </c>
      <c r="C4525" s="13" t="str">
        <f>IFERROR(__xludf.DUMMYFUNCTION("""COMPUTED_VALUE"""),"M.1232/Kangkung")</f>
        <v>M.1232/Kangkung</v>
      </c>
      <c r="D4525" s="13" t="str">
        <f>IFERROR(__xludf.DUMMYFUNCTION("""COMPUTED_VALUE"""),"AB043/ABTUGDPL")</f>
        <v>AB043/ABTUGDPL</v>
      </c>
      <c r="E4525" s="14" t="str">
        <f>IFERROR(__xludf.DUMMYFUNCTION("""COMPUTED_VALUE"""),"Heri (BT)")</f>
        <v>Heri (BT)</v>
      </c>
      <c r="F4525" s="14" t="str">
        <f>IFERROR(__xludf.DUMMYFUNCTION("""COMPUTED_VALUE"""),"SELESAI (VIA PERMOHONAN)")</f>
        <v>SELESAI (VIA PERMOHONAN)</v>
      </c>
      <c r="G4525" s="17">
        <f>IFERROR(__xludf.DUMMYFUNCTION("""COMPUTED_VALUE"""),45993.35379277778)</f>
        <v>45993.35379</v>
      </c>
      <c r="H4525" s="14"/>
      <c r="I4525" s="13"/>
      <c r="J4525" s="17" t="str">
        <f>IFERROR(__xludf.DUMMYFUNCTION("""COMPUTED_VALUE"""),"")</f>
        <v/>
      </c>
      <c r="K4525" s="13" t="str">
        <f>IFERROR(__xludf.DUMMYFUNCTION("""COMPUTED_VALUE"""),"BT atau SU Belum Valid")</f>
        <v>BT atau SU Belum Valid</v>
      </c>
      <c r="L4525" s="13" t="str">
        <f>IFERROR(__xludf.DUMMYFUNCTION("""COMPUTED_VALUE"""),"")</f>
        <v/>
      </c>
      <c r="M4525" s="13"/>
      <c r="N4525" s="13" t="str">
        <f>IFERROR(__xludf.DUMMYFUNCTION("""COMPUTED_VALUE"""),"")</f>
        <v/>
      </c>
      <c r="O4525" s="13" t="str">
        <f t="shared" si="1"/>
        <v/>
      </c>
    </row>
    <row r="4526" ht="22.5" customHeight="1">
      <c r="B4526" s="13">
        <f>IFERROR(__xludf.DUMMYFUNCTION("""COMPUTED_VALUE"""),4521.0)</f>
        <v>4521</v>
      </c>
      <c r="C4526" s="13" t="str">
        <f>IFERROR(__xludf.DUMMYFUNCTION("""COMPUTED_VALUE"""),"M.1231/Kangkung")</f>
        <v>M.1231/Kangkung</v>
      </c>
      <c r="D4526" s="13" t="str">
        <f>IFERROR(__xludf.DUMMYFUNCTION("""COMPUTED_VALUE"""),"AB042/ABZKBYTZ")</f>
        <v>AB042/ABZKBYTZ</v>
      </c>
      <c r="E4526" s="14" t="str">
        <f>IFERROR(__xludf.DUMMYFUNCTION("""COMPUTED_VALUE"""),"Heri (BT)")</f>
        <v>Heri (BT)</v>
      </c>
      <c r="F4526" s="14" t="str">
        <f>IFERROR(__xludf.DUMMYFUNCTION("""COMPUTED_VALUE"""),"SELESAI (VIA PERMOHONAN)")</f>
        <v>SELESAI (VIA PERMOHONAN)</v>
      </c>
      <c r="G4526" s="17">
        <f>IFERROR(__xludf.DUMMYFUNCTION("""COMPUTED_VALUE"""),45993.35413412037)</f>
        <v>45993.35413</v>
      </c>
      <c r="H4526" s="14"/>
      <c r="I4526" s="13"/>
      <c r="J4526" s="17" t="str">
        <f>IFERROR(__xludf.DUMMYFUNCTION("""COMPUTED_VALUE"""),"")</f>
        <v/>
      </c>
      <c r="K4526" s="13" t="str">
        <f>IFERROR(__xludf.DUMMYFUNCTION("""COMPUTED_VALUE"""),"BT atau SU Belum Valid")</f>
        <v>BT atau SU Belum Valid</v>
      </c>
      <c r="L4526" s="13" t="str">
        <f>IFERROR(__xludf.DUMMYFUNCTION("""COMPUTED_VALUE"""),"")</f>
        <v/>
      </c>
      <c r="M4526" s="13"/>
      <c r="N4526" s="13" t="str">
        <f>IFERROR(__xludf.DUMMYFUNCTION("""COMPUTED_VALUE"""),"")</f>
        <v/>
      </c>
      <c r="O4526" s="13" t="str">
        <f t="shared" si="1"/>
        <v/>
      </c>
    </row>
    <row r="4527" ht="22.5" customHeight="1">
      <c r="B4527" s="13">
        <f>IFERROR(__xludf.DUMMYFUNCTION("""COMPUTED_VALUE"""),4522.0)</f>
        <v>4522</v>
      </c>
      <c r="C4527" s="13" t="str">
        <f>IFERROR(__xludf.DUMMYFUNCTION("""COMPUTED_VALUE"""),"M. 12711/SUKABUMI")</f>
        <v>M. 12711/SUKABUMI</v>
      </c>
      <c r="D4527" s="13" t="str">
        <f>IFERROR(__xludf.DUMMYFUNCTION("""COMPUTED_VALUE"""),"L/6/301025/1")</f>
        <v>L/6/301025/1</v>
      </c>
      <c r="E4527" s="14" t="str">
        <f>IFERROR(__xludf.DUMMYFUNCTION("""COMPUTED_VALUE"""),"Heri (BT)")</f>
        <v>Heri (BT)</v>
      </c>
      <c r="F4527" s="14" t="str">
        <f>IFERROR(__xludf.DUMMYFUNCTION("""COMPUTED_VALUE"""),"SELESAI (VIA PERMOHONAN)")</f>
        <v>SELESAI (VIA PERMOHONAN)</v>
      </c>
      <c r="G4527" s="17">
        <f>IFERROR(__xludf.DUMMYFUNCTION("""COMPUTED_VALUE"""),45994.34615832176)</f>
        <v>45994.34616</v>
      </c>
      <c r="H4527" s="14"/>
      <c r="I4527" s="13"/>
      <c r="J4527" s="17" t="str">
        <f>IFERROR(__xludf.DUMMYFUNCTION("""COMPUTED_VALUE"""),"")</f>
        <v/>
      </c>
      <c r="K4527" s="13" t="str">
        <f>IFERROR(__xludf.DUMMYFUNCTION("""COMPUTED_VALUE"""),"BT atau SU Belum Valid")</f>
        <v>BT atau SU Belum Valid</v>
      </c>
      <c r="L4527" s="13" t="str">
        <f>IFERROR(__xludf.DUMMYFUNCTION("""COMPUTED_VALUE"""),"")</f>
        <v/>
      </c>
      <c r="M4527" s="13"/>
      <c r="N4527" s="13" t="str">
        <f>IFERROR(__xludf.DUMMYFUNCTION("""COMPUTED_VALUE"""),"")</f>
        <v/>
      </c>
      <c r="O4527" s="13" t="str">
        <f t="shared" si="1"/>
        <v/>
      </c>
    </row>
    <row r="4528" ht="22.5" customHeight="1">
      <c r="B4528" s="13">
        <f>IFERROR(__xludf.DUMMYFUNCTION("""COMPUTED_VALUE"""),4523.0)</f>
        <v>4523</v>
      </c>
      <c r="C4528" s="13" t="str">
        <f>IFERROR(__xludf.DUMMYFUNCTION("""COMPUTED_VALUE"""),"M. 2330/KALIAWI")</f>
        <v>M. 2330/KALIAWI</v>
      </c>
      <c r="D4528" s="13" t="str">
        <f>IFERROR(__xludf.DUMMYFUNCTION("""COMPUTED_VALUE"""),"L/1/271025/1")</f>
        <v>L/1/271025/1</v>
      </c>
      <c r="E4528" s="14" t="str">
        <f>IFERROR(__xludf.DUMMYFUNCTION("""COMPUTED_VALUE"""),"Heri (BT)")</f>
        <v>Heri (BT)</v>
      </c>
      <c r="F4528" s="14" t="str">
        <f>IFERROR(__xludf.DUMMYFUNCTION("""COMPUTED_VALUE"""),"SELESAI (VIA PERMOHONAN)")</f>
        <v>SELESAI (VIA PERMOHONAN)</v>
      </c>
      <c r="G4528" s="17">
        <f>IFERROR(__xludf.DUMMYFUNCTION("""COMPUTED_VALUE"""),45994.34636483796)</f>
        <v>45994.34636</v>
      </c>
      <c r="H4528" s="14"/>
      <c r="I4528" s="13"/>
      <c r="J4528" s="17" t="str">
        <f>IFERROR(__xludf.DUMMYFUNCTION("""COMPUTED_VALUE"""),"")</f>
        <v/>
      </c>
      <c r="K4528" s="13" t="str">
        <f>IFERROR(__xludf.DUMMYFUNCTION("""COMPUTED_VALUE"""),"BT atau SU Belum Valid")</f>
        <v>BT atau SU Belum Valid</v>
      </c>
      <c r="L4528" s="13" t="str">
        <f>IFERROR(__xludf.DUMMYFUNCTION("""COMPUTED_VALUE"""),"")</f>
        <v/>
      </c>
      <c r="M4528" s="13"/>
      <c r="N4528" s="13" t="str">
        <f>IFERROR(__xludf.DUMMYFUNCTION("""COMPUTED_VALUE"""),"")</f>
        <v/>
      </c>
      <c r="O4528" s="13" t="str">
        <f t="shared" si="1"/>
        <v/>
      </c>
    </row>
    <row r="4529" ht="22.5" customHeight="1">
      <c r="B4529" s="13">
        <f>IFERROR(__xludf.DUMMYFUNCTION("""COMPUTED_VALUE"""),4524.0)</f>
        <v>4524</v>
      </c>
      <c r="C4529" s="13" t="str">
        <f>IFERROR(__xludf.DUMMYFUNCTION("""COMPUTED_VALUE"""),"M. 1696/SUKAMAJU")</f>
        <v>M. 1696/SUKAMAJU</v>
      </c>
      <c r="D4529" s="13" t="str">
        <f>IFERROR(__xludf.DUMMYFUNCTION("""COMPUTED_VALUE"""),"L/15/221025/1")</f>
        <v>L/15/221025/1</v>
      </c>
      <c r="E4529" s="14" t="str">
        <f>IFERROR(__xludf.DUMMYFUNCTION("""COMPUTED_VALUE"""),"Heri (BT)")</f>
        <v>Heri (BT)</v>
      </c>
      <c r="F4529" s="14" t="str">
        <f>IFERROR(__xludf.DUMMYFUNCTION("""COMPUTED_VALUE"""),"SELESAI (VIA PERMOHONAN)")</f>
        <v>SELESAI (VIA PERMOHONAN)</v>
      </c>
      <c r="G4529" s="17">
        <f>IFERROR(__xludf.DUMMYFUNCTION("""COMPUTED_VALUE"""),45994.34667076389)</f>
        <v>45994.34667</v>
      </c>
      <c r="H4529" s="14"/>
      <c r="I4529" s="13"/>
      <c r="J4529" s="17" t="str">
        <f>IFERROR(__xludf.DUMMYFUNCTION("""COMPUTED_VALUE"""),"")</f>
        <v/>
      </c>
      <c r="K4529" s="13" t="str">
        <f>IFERROR(__xludf.DUMMYFUNCTION("""COMPUTED_VALUE"""),"BT atau SU Belum Valid")</f>
        <v>BT atau SU Belum Valid</v>
      </c>
      <c r="L4529" s="13" t="str">
        <f>IFERROR(__xludf.DUMMYFUNCTION("""COMPUTED_VALUE"""),"")</f>
        <v/>
      </c>
      <c r="M4529" s="13"/>
      <c r="N4529" s="13" t="str">
        <f>IFERROR(__xludf.DUMMYFUNCTION("""COMPUTED_VALUE"""),"")</f>
        <v/>
      </c>
      <c r="O4529" s="13" t="str">
        <f t="shared" si="1"/>
        <v/>
      </c>
    </row>
    <row r="4530" ht="22.5" customHeight="1">
      <c r="B4530" s="13">
        <f>IFERROR(__xludf.DUMMYFUNCTION("""COMPUTED_VALUE"""),4525.0)</f>
        <v>4525</v>
      </c>
      <c r="C4530" s="13" t="str">
        <f>IFERROR(__xludf.DUMMYFUNCTION("""COMPUTED_VALUE"""),"M. 17083/SUKARAME I")</f>
        <v>M. 17083/SUKARAME I</v>
      </c>
      <c r="D4530" s="13" t="str">
        <f>IFERROR(__xludf.DUMMYFUNCTION("""COMPUTED_VALUE"""),"L/18/291025/1")</f>
        <v>L/18/291025/1</v>
      </c>
      <c r="E4530" s="14" t="str">
        <f>IFERROR(__xludf.DUMMYFUNCTION("""COMPUTED_VALUE"""),"Heri (BT)")</f>
        <v>Heri (BT)</v>
      </c>
      <c r="F4530" s="14" t="str">
        <f>IFERROR(__xludf.DUMMYFUNCTION("""COMPUTED_VALUE"""),"SELESAI (VIA PERMOHONAN)")</f>
        <v>SELESAI (VIA PERMOHONAN)</v>
      </c>
      <c r="G4530" s="17">
        <f>IFERROR(__xludf.DUMMYFUNCTION("""COMPUTED_VALUE"""),45994.346825879635)</f>
        <v>45994.34683</v>
      </c>
      <c r="H4530" s="14"/>
      <c r="I4530" s="13"/>
      <c r="J4530" s="17" t="str">
        <f>IFERROR(__xludf.DUMMYFUNCTION("""COMPUTED_VALUE"""),"")</f>
        <v/>
      </c>
      <c r="K4530" s="13" t="str">
        <f>IFERROR(__xludf.DUMMYFUNCTION("""COMPUTED_VALUE"""),"BT atau SU Belum Valid")</f>
        <v>BT atau SU Belum Valid</v>
      </c>
      <c r="L4530" s="13" t="str">
        <f>IFERROR(__xludf.DUMMYFUNCTION("""COMPUTED_VALUE"""),"")</f>
        <v/>
      </c>
      <c r="M4530" s="13"/>
      <c r="N4530" s="13" t="str">
        <f>IFERROR(__xludf.DUMMYFUNCTION("""COMPUTED_VALUE"""),"")</f>
        <v/>
      </c>
      <c r="O4530" s="13" t="str">
        <f t="shared" si="1"/>
        <v/>
      </c>
    </row>
    <row r="4531" ht="22.5" customHeight="1">
      <c r="B4531" s="13">
        <f>IFERROR(__xludf.DUMMYFUNCTION("""COMPUTED_VALUE"""),4526.0)</f>
        <v>4526</v>
      </c>
      <c r="C4531" s="13" t="str">
        <f>IFERROR(__xludf.DUMMYFUNCTION("""COMPUTED_VALUE"""),"M. 4112/BERINGIN RAYA")</f>
        <v>M. 4112/BERINGIN RAYA</v>
      </c>
      <c r="D4531" s="13" t="str">
        <f>IFERROR(__xludf.DUMMYFUNCTION("""COMPUTED_VALUE"""),"L/7/281025/1")</f>
        <v>L/7/281025/1</v>
      </c>
      <c r="E4531" s="14" t="str">
        <f>IFERROR(__xludf.DUMMYFUNCTION("""COMPUTED_VALUE"""),"Heri (BT)")</f>
        <v>Heri (BT)</v>
      </c>
      <c r="F4531" s="14" t="str">
        <f>IFERROR(__xludf.DUMMYFUNCTION("""COMPUTED_VALUE"""),"SELESAI (VIA PERMOHONAN)")</f>
        <v>SELESAI (VIA PERMOHONAN)</v>
      </c>
      <c r="G4531" s="17">
        <f>IFERROR(__xludf.DUMMYFUNCTION("""COMPUTED_VALUE"""),45994.3469622338)</f>
        <v>45994.34696</v>
      </c>
      <c r="H4531" s="14"/>
      <c r="I4531" s="13"/>
      <c r="J4531" s="17" t="str">
        <f>IFERROR(__xludf.DUMMYFUNCTION("""COMPUTED_VALUE"""),"")</f>
        <v/>
      </c>
      <c r="K4531" s="13" t="str">
        <f>IFERROR(__xludf.DUMMYFUNCTION("""COMPUTED_VALUE"""),"BT atau SU Belum Valid")</f>
        <v>BT atau SU Belum Valid</v>
      </c>
      <c r="L4531" s="13" t="str">
        <f>IFERROR(__xludf.DUMMYFUNCTION("""COMPUTED_VALUE"""),"")</f>
        <v/>
      </c>
      <c r="M4531" s="13"/>
      <c r="N4531" s="13" t="str">
        <f>IFERROR(__xludf.DUMMYFUNCTION("""COMPUTED_VALUE"""),"")</f>
        <v/>
      </c>
      <c r="O4531" s="13" t="str">
        <f t="shared" si="1"/>
        <v/>
      </c>
    </row>
    <row r="4532" ht="22.5" customHeight="1">
      <c r="B4532" s="13">
        <f>IFERROR(__xludf.DUMMYFUNCTION("""COMPUTED_VALUE"""),4527.0)</f>
        <v>4527</v>
      </c>
      <c r="C4532" s="13" t="str">
        <f>IFERROR(__xludf.DUMMYFUNCTION("""COMPUTED_VALUE"""),"B. 4136/SUKABUMI")</f>
        <v>B. 4136/SUKABUMI</v>
      </c>
      <c r="D4532" s="13" t="str">
        <f>IFERROR(__xludf.DUMMYFUNCTION("""COMPUTED_VALUE"""),"L/13/051125/2")</f>
        <v>L/13/051125/2</v>
      </c>
      <c r="E4532" s="14" t="str">
        <f>IFERROR(__xludf.DUMMYFUNCTION("""COMPUTED_VALUE"""),"Heri (BT)")</f>
        <v>Heri (BT)</v>
      </c>
      <c r="F4532" s="14" t="str">
        <f>IFERROR(__xludf.DUMMYFUNCTION("""COMPUTED_VALUE"""),"SELESAI (VIA PERMOHONAN)")</f>
        <v>SELESAI (VIA PERMOHONAN)</v>
      </c>
      <c r="G4532" s="17">
        <f>IFERROR(__xludf.DUMMYFUNCTION("""COMPUTED_VALUE"""),45994.34711952547)</f>
        <v>45994.34712</v>
      </c>
      <c r="H4532" s="14"/>
      <c r="I4532" s="13"/>
      <c r="J4532" s="17" t="str">
        <f>IFERROR(__xludf.DUMMYFUNCTION("""COMPUTED_VALUE"""),"")</f>
        <v/>
      </c>
      <c r="K4532" s="13" t="str">
        <f>IFERROR(__xludf.DUMMYFUNCTION("""COMPUTED_VALUE"""),"BT atau SU Belum Valid")</f>
        <v>BT atau SU Belum Valid</v>
      </c>
      <c r="L4532" s="13" t="str">
        <f>IFERROR(__xludf.DUMMYFUNCTION("""COMPUTED_VALUE"""),"")</f>
        <v/>
      </c>
      <c r="M4532" s="13"/>
      <c r="N4532" s="13" t="str">
        <f>IFERROR(__xludf.DUMMYFUNCTION("""COMPUTED_VALUE"""),"")</f>
        <v/>
      </c>
      <c r="O4532" s="13" t="str">
        <f t="shared" si="1"/>
        <v/>
      </c>
    </row>
    <row r="4533" ht="22.5" customHeight="1">
      <c r="B4533" s="13">
        <f>IFERROR(__xludf.DUMMYFUNCTION("""COMPUTED_VALUE"""),4528.0)</f>
        <v>4528</v>
      </c>
      <c r="C4533" s="13" t="str">
        <f>IFERROR(__xludf.DUMMYFUNCTION("""COMPUTED_VALUE"""),"B. 4518/BERINGIN RAYA")</f>
        <v>B. 4518/BERINGIN RAYA</v>
      </c>
      <c r="D4533" s="13" t="str">
        <f>IFERROR(__xludf.DUMMYFUNCTION("""COMPUTED_VALUE"""),"L/4/231025/1")</f>
        <v>L/4/231025/1</v>
      </c>
      <c r="E4533" s="14" t="str">
        <f>IFERROR(__xludf.DUMMYFUNCTION("""COMPUTED_VALUE"""),"Heri (BT)")</f>
        <v>Heri (BT)</v>
      </c>
      <c r="F4533" s="14" t="str">
        <f>IFERROR(__xludf.DUMMYFUNCTION("""COMPUTED_VALUE"""),"SELESAI (VIA PERMOHONAN)")</f>
        <v>SELESAI (VIA PERMOHONAN)</v>
      </c>
      <c r="G4533" s="17">
        <f>IFERROR(__xludf.DUMMYFUNCTION("""COMPUTED_VALUE"""),45994.3472346412)</f>
        <v>45994.34723</v>
      </c>
      <c r="H4533" s="14"/>
      <c r="I4533" s="13"/>
      <c r="J4533" s="17" t="str">
        <f>IFERROR(__xludf.DUMMYFUNCTION("""COMPUTED_VALUE"""),"")</f>
        <v/>
      </c>
      <c r="K4533" s="13" t="str">
        <f>IFERROR(__xludf.DUMMYFUNCTION("""COMPUTED_VALUE"""),"BT atau SU Belum Valid")</f>
        <v>BT atau SU Belum Valid</v>
      </c>
      <c r="L4533" s="13" t="str">
        <f>IFERROR(__xludf.DUMMYFUNCTION("""COMPUTED_VALUE"""),"")</f>
        <v/>
      </c>
      <c r="M4533" s="13"/>
      <c r="N4533" s="13" t="str">
        <f>IFERROR(__xludf.DUMMYFUNCTION("""COMPUTED_VALUE"""),"")</f>
        <v/>
      </c>
      <c r="O4533" s="13" t="str">
        <f t="shared" si="1"/>
        <v/>
      </c>
    </row>
    <row r="4534" ht="22.5" customHeight="1">
      <c r="B4534" s="13">
        <f>IFERROR(__xludf.DUMMYFUNCTION("""COMPUTED_VALUE"""),4529.0)</f>
        <v>4529</v>
      </c>
      <c r="C4534" s="13" t="str">
        <f>IFERROR(__xludf.DUMMYFUNCTION("""COMPUTED_VALUE"""),"SHM 3438/BERINGIN RAYA DAN SHGB 4149/BERINGIN RAYA")</f>
        <v>SHM 3438/BERINGIN RAYA DAN SHGB 4149/BERINGIN RAYA</v>
      </c>
      <c r="D4534" s="13" t="str">
        <f>IFERROR(__xludf.DUMMYFUNCTION("""COMPUTED_VALUE"""),"L/8/291025/1")</f>
        <v>L/8/291025/1</v>
      </c>
      <c r="E4534" s="14" t="str">
        <f>IFERROR(__xludf.DUMMYFUNCTION("""COMPUTED_VALUE"""),"Heri (BT)")</f>
        <v>Heri (BT)</v>
      </c>
      <c r="F4534" s="14" t="str">
        <f>IFERROR(__xludf.DUMMYFUNCTION("""COMPUTED_VALUE"""),"SELESAI (VIA PERMOHONAN)")</f>
        <v>SELESAI (VIA PERMOHONAN)</v>
      </c>
      <c r="G4534" s="17">
        <f>IFERROR(__xludf.DUMMYFUNCTION("""COMPUTED_VALUE"""),45994.34738299769)</f>
        <v>45994.34738</v>
      </c>
      <c r="H4534" s="14"/>
      <c r="I4534" s="13"/>
      <c r="J4534" s="17" t="str">
        <f>IFERROR(__xludf.DUMMYFUNCTION("""COMPUTED_VALUE"""),"")</f>
        <v/>
      </c>
      <c r="K4534" s="13" t="str">
        <f>IFERROR(__xludf.DUMMYFUNCTION("""COMPUTED_VALUE"""),"BT atau SU Belum Valid")</f>
        <v>BT atau SU Belum Valid</v>
      </c>
      <c r="L4534" s="13" t="str">
        <f>IFERROR(__xludf.DUMMYFUNCTION("""COMPUTED_VALUE"""),"")</f>
        <v/>
      </c>
      <c r="M4534" s="13"/>
      <c r="N4534" s="13" t="str">
        <f>IFERROR(__xludf.DUMMYFUNCTION("""COMPUTED_VALUE"""),"")</f>
        <v/>
      </c>
      <c r="O4534" s="13" t="str">
        <f t="shared" si="1"/>
        <v/>
      </c>
    </row>
    <row r="4535" ht="22.5" customHeight="1">
      <c r="B4535" s="13">
        <f>IFERROR(__xludf.DUMMYFUNCTION("""COMPUTED_VALUE"""),4530.0)</f>
        <v>4530</v>
      </c>
      <c r="C4535" s="13" t="str">
        <f>IFERROR(__xludf.DUMMYFUNCTION("""COMPUTED_VALUE"""),"M. 455/PERUMNAS WAY KANDIS")</f>
        <v>M. 455/PERUMNAS WAY KANDIS</v>
      </c>
      <c r="D4535" s="13" t="str">
        <f>IFERROR(__xludf.DUMMYFUNCTION("""COMPUTED_VALUE"""),"L/5/041126/1")</f>
        <v>L/5/041126/1</v>
      </c>
      <c r="E4535" s="14" t="str">
        <f>IFERROR(__xludf.DUMMYFUNCTION("""COMPUTED_VALUE"""),"Heri (BT)")</f>
        <v>Heri (BT)</v>
      </c>
      <c r="F4535" s="14" t="str">
        <f>IFERROR(__xludf.DUMMYFUNCTION("""COMPUTED_VALUE"""),"SELESAI (VIA PERMOHONAN)")</f>
        <v>SELESAI (VIA PERMOHONAN)</v>
      </c>
      <c r="G4535" s="17">
        <f>IFERROR(__xludf.DUMMYFUNCTION("""COMPUTED_VALUE"""),45994.347521550924)</f>
        <v>45994.34752</v>
      </c>
      <c r="H4535" s="14"/>
      <c r="I4535" s="13"/>
      <c r="J4535" s="17" t="str">
        <f>IFERROR(__xludf.DUMMYFUNCTION("""COMPUTED_VALUE"""),"")</f>
        <v/>
      </c>
      <c r="K4535" s="13" t="str">
        <f>IFERROR(__xludf.DUMMYFUNCTION("""COMPUTED_VALUE"""),"BT atau SU Belum Valid")</f>
        <v>BT atau SU Belum Valid</v>
      </c>
      <c r="L4535" s="13" t="str">
        <f>IFERROR(__xludf.DUMMYFUNCTION("""COMPUTED_VALUE"""),"")</f>
        <v/>
      </c>
      <c r="M4535" s="13"/>
      <c r="N4535" s="13" t="str">
        <f>IFERROR(__xludf.DUMMYFUNCTION("""COMPUTED_VALUE"""),"")</f>
        <v/>
      </c>
      <c r="O4535" s="13" t="str">
        <f t="shared" si="1"/>
        <v/>
      </c>
    </row>
    <row r="4536" ht="22.5" customHeight="1">
      <c r="B4536" s="13">
        <f>IFERROR(__xludf.DUMMYFUNCTION("""COMPUTED_VALUE"""),4531.0)</f>
        <v>4531</v>
      </c>
      <c r="C4536" s="13" t="str">
        <f>IFERROR(__xludf.DUMMYFUNCTION("""COMPUTED_VALUE"""),"M. 3361/WAY KANDIS")</f>
        <v>M. 3361/WAY KANDIS</v>
      </c>
      <c r="D4536" s="13" t="str">
        <f>IFERROR(__xludf.DUMMYFUNCTION("""COMPUTED_VALUE"""),"L/11/281025/1")</f>
        <v>L/11/281025/1</v>
      </c>
      <c r="E4536" s="14" t="str">
        <f>IFERROR(__xludf.DUMMYFUNCTION("""COMPUTED_VALUE"""),"Heri (BT)")</f>
        <v>Heri (BT)</v>
      </c>
      <c r="F4536" s="14" t="str">
        <f>IFERROR(__xludf.DUMMYFUNCTION("""COMPUTED_VALUE"""),"SELESAI (VIA PERMOHONAN)")</f>
        <v>SELESAI (VIA PERMOHONAN)</v>
      </c>
      <c r="G4536" s="17">
        <f>IFERROR(__xludf.DUMMYFUNCTION("""COMPUTED_VALUE"""),45994.34810344907)</f>
        <v>45994.3481</v>
      </c>
      <c r="H4536" s="14"/>
      <c r="I4536" s="13"/>
      <c r="J4536" s="17" t="str">
        <f>IFERROR(__xludf.DUMMYFUNCTION("""COMPUTED_VALUE"""),"")</f>
        <v/>
      </c>
      <c r="K4536" s="13" t="str">
        <f>IFERROR(__xludf.DUMMYFUNCTION("""COMPUTED_VALUE"""),"BT atau SU Belum Valid")</f>
        <v>BT atau SU Belum Valid</v>
      </c>
      <c r="L4536" s="13" t="str">
        <f>IFERROR(__xludf.DUMMYFUNCTION("""COMPUTED_VALUE"""),"")</f>
        <v/>
      </c>
      <c r="M4536" s="13"/>
      <c r="N4536" s="13" t="str">
        <f>IFERROR(__xludf.DUMMYFUNCTION("""COMPUTED_VALUE"""),"")</f>
        <v/>
      </c>
      <c r="O4536" s="13" t="str">
        <f t="shared" si="1"/>
        <v/>
      </c>
    </row>
    <row r="4537" ht="22.5" customHeight="1">
      <c r="B4537" s="13">
        <f>IFERROR(__xludf.DUMMYFUNCTION("""COMPUTED_VALUE"""),4532.0)</f>
        <v>4532</v>
      </c>
      <c r="C4537" s="13" t="str">
        <f>IFERROR(__xludf.DUMMYFUNCTION("""COMPUTED_VALUE"""),"M. 12091/JAGABAYA II")</f>
        <v>M. 12091/JAGABAYA II</v>
      </c>
      <c r="D4537" s="13" t="str">
        <f>IFERROR(__xludf.DUMMYFUNCTION("""COMPUTED_VALUE"""),"K/9/201025/1")</f>
        <v>K/9/201025/1</v>
      </c>
      <c r="E4537" s="14" t="str">
        <f>IFERROR(__xludf.DUMMYFUNCTION("""COMPUTED_VALUE"""),"Heri (BT)")</f>
        <v>Heri (BT)</v>
      </c>
      <c r="F4537" s="14" t="str">
        <f>IFERROR(__xludf.DUMMYFUNCTION("""COMPUTED_VALUE"""),"SELESAI (VIA PERMOHONAN)")</f>
        <v>SELESAI (VIA PERMOHONAN)</v>
      </c>
      <c r="G4537" s="17">
        <f>IFERROR(__xludf.DUMMYFUNCTION("""COMPUTED_VALUE"""),45994.38759675926)</f>
        <v>45994.3876</v>
      </c>
      <c r="H4537" s="14"/>
      <c r="I4537" s="13"/>
      <c r="J4537" s="17" t="str">
        <f>IFERROR(__xludf.DUMMYFUNCTION("""COMPUTED_VALUE"""),"")</f>
        <v/>
      </c>
      <c r="K4537" s="13" t="str">
        <f>IFERROR(__xludf.DUMMYFUNCTION("""COMPUTED_VALUE"""),"BT atau SU Belum Valid")</f>
        <v>BT atau SU Belum Valid</v>
      </c>
      <c r="L4537" s="13" t="str">
        <f>IFERROR(__xludf.DUMMYFUNCTION("""COMPUTED_VALUE"""),"")</f>
        <v/>
      </c>
      <c r="M4537" s="13"/>
      <c r="N4537" s="13" t="str">
        <f>IFERROR(__xludf.DUMMYFUNCTION("""COMPUTED_VALUE"""),"")</f>
        <v/>
      </c>
      <c r="O4537" s="13" t="str">
        <f t="shared" si="1"/>
        <v/>
      </c>
    </row>
    <row r="4538" ht="22.5" customHeight="1">
      <c r="B4538" s="13">
        <f>IFERROR(__xludf.DUMMYFUNCTION("""COMPUTED_VALUE"""),4533.0)</f>
        <v>4533</v>
      </c>
      <c r="C4538" s="13" t="str">
        <f>IFERROR(__xludf.DUMMYFUNCTION("""COMPUTED_VALUE"""),"B. 33/Campang Raya	")</f>
        <v>B. 33/Campang Raya	</v>
      </c>
      <c r="D4538" s="13" t="str">
        <f>IFERROR(__xludf.DUMMYFUNCTION("""COMPUTED_VALUE"""),"K/3/280825/1")</f>
        <v>K/3/280825/1</v>
      </c>
      <c r="E4538" s="14" t="str">
        <f>IFERROR(__xludf.DUMMYFUNCTION("""COMPUTED_VALUE"""),"Heri (BT)")</f>
        <v>Heri (BT)</v>
      </c>
      <c r="F4538" s="14" t="str">
        <f>IFERROR(__xludf.DUMMYFUNCTION("""COMPUTED_VALUE"""),"SELESAI (VIA PERMOHONAN)")</f>
        <v>SELESAI (VIA PERMOHONAN)</v>
      </c>
      <c r="G4538" s="17">
        <f>IFERROR(__xludf.DUMMYFUNCTION("""COMPUTED_VALUE"""),45994.38822659722)</f>
        <v>45994.38823</v>
      </c>
      <c r="H4538" s="14"/>
      <c r="I4538" s="13"/>
      <c r="J4538" s="17" t="str">
        <f>IFERROR(__xludf.DUMMYFUNCTION("""COMPUTED_VALUE"""),"")</f>
        <v/>
      </c>
      <c r="K4538" s="13" t="str">
        <f>IFERROR(__xludf.DUMMYFUNCTION("""COMPUTED_VALUE"""),"BT atau SU Belum Valid")</f>
        <v>BT atau SU Belum Valid</v>
      </c>
      <c r="L4538" s="13" t="str">
        <f>IFERROR(__xludf.DUMMYFUNCTION("""COMPUTED_VALUE"""),"")</f>
        <v/>
      </c>
      <c r="M4538" s="13"/>
      <c r="N4538" s="13" t="str">
        <f>IFERROR(__xludf.DUMMYFUNCTION("""COMPUTED_VALUE"""),"")</f>
        <v/>
      </c>
      <c r="O4538" s="13" t="str">
        <f t="shared" si="1"/>
        <v/>
      </c>
    </row>
    <row r="4539" ht="22.5" customHeight="1">
      <c r="B4539" s="13">
        <f>IFERROR(__xludf.DUMMYFUNCTION("""COMPUTED_VALUE"""),4534.0)</f>
        <v>4534</v>
      </c>
      <c r="C4539" s="13" t="str">
        <f>IFERROR(__xludf.DUMMYFUNCTION("""COMPUTED_VALUE"""),"M. 450/PERUMNAS WAY KANDIS")</f>
        <v>M. 450/PERUMNAS WAY KANDIS</v>
      </c>
      <c r="D4539" s="13" t="str">
        <f>IFERROR(__xludf.DUMMYFUNCTION("""COMPUTED_VALUE"""),"L/2/041126/1")</f>
        <v>L/2/041126/1</v>
      </c>
      <c r="E4539" s="14" t="str">
        <f>IFERROR(__xludf.DUMMYFUNCTION("""COMPUTED_VALUE"""),"Heri (BT)")</f>
        <v>Heri (BT)</v>
      </c>
      <c r="F4539" s="14" t="str">
        <f>IFERROR(__xludf.DUMMYFUNCTION("""COMPUTED_VALUE"""),"SELESAI (VIA PERMOHONAN)")</f>
        <v>SELESAI (VIA PERMOHONAN)</v>
      </c>
      <c r="G4539" s="17">
        <f>IFERROR(__xludf.DUMMYFUNCTION("""COMPUTED_VALUE"""),45994.38840283565)</f>
        <v>45994.3884</v>
      </c>
      <c r="H4539" s="14"/>
      <c r="I4539" s="13"/>
      <c r="J4539" s="17" t="str">
        <f>IFERROR(__xludf.DUMMYFUNCTION("""COMPUTED_VALUE"""),"")</f>
        <v/>
      </c>
      <c r="K4539" s="13" t="str">
        <f>IFERROR(__xludf.DUMMYFUNCTION("""COMPUTED_VALUE"""),"BT atau SU Belum Valid")</f>
        <v>BT atau SU Belum Valid</v>
      </c>
      <c r="L4539" s="13" t="str">
        <f>IFERROR(__xludf.DUMMYFUNCTION("""COMPUTED_VALUE"""),"")</f>
        <v/>
      </c>
      <c r="M4539" s="13"/>
      <c r="N4539" s="13" t="str">
        <f>IFERROR(__xludf.DUMMYFUNCTION("""COMPUTED_VALUE"""),"")</f>
        <v/>
      </c>
      <c r="O4539" s="13" t="str">
        <f t="shared" si="1"/>
        <v/>
      </c>
    </row>
    <row r="4540" ht="22.5" customHeight="1">
      <c r="B4540" s="13">
        <f>IFERROR(__xludf.DUMMYFUNCTION("""COMPUTED_VALUE"""),4535.0)</f>
        <v>4535</v>
      </c>
      <c r="C4540" s="13" t="str">
        <f>IFERROR(__xludf.DUMMYFUNCTION("""COMPUTED_VALUE"""),"SHM. 13321/RAJABASA")</f>
        <v>SHM. 13321/RAJABASA</v>
      </c>
      <c r="D4540" s="13" t="str">
        <f>IFERROR(__xludf.DUMMYFUNCTION("""COMPUTED_VALUE"""),"L/10/281025/1")</f>
        <v>L/10/281025/1</v>
      </c>
      <c r="E4540" s="14" t="str">
        <f>IFERROR(__xludf.DUMMYFUNCTION("""COMPUTED_VALUE"""),"Heri (BT)")</f>
        <v>Heri (BT)</v>
      </c>
      <c r="F4540" s="14" t="str">
        <f>IFERROR(__xludf.DUMMYFUNCTION("""COMPUTED_VALUE"""),"SELESAI (VIA PERMOHONAN)")</f>
        <v>SELESAI (VIA PERMOHONAN)</v>
      </c>
      <c r="G4540" s="17">
        <f>IFERROR(__xludf.DUMMYFUNCTION("""COMPUTED_VALUE"""),45994.3885278125)</f>
        <v>45994.38853</v>
      </c>
      <c r="H4540" s="14"/>
      <c r="I4540" s="13"/>
      <c r="J4540" s="17" t="str">
        <f>IFERROR(__xludf.DUMMYFUNCTION("""COMPUTED_VALUE"""),"")</f>
        <v/>
      </c>
      <c r="K4540" s="13" t="str">
        <f>IFERROR(__xludf.DUMMYFUNCTION("""COMPUTED_VALUE"""),"BT atau SU Belum Valid")</f>
        <v>BT atau SU Belum Valid</v>
      </c>
      <c r="L4540" s="13" t="str">
        <f>IFERROR(__xludf.DUMMYFUNCTION("""COMPUTED_VALUE"""),"")</f>
        <v/>
      </c>
      <c r="M4540" s="13"/>
      <c r="N4540" s="13" t="str">
        <f>IFERROR(__xludf.DUMMYFUNCTION("""COMPUTED_VALUE"""),"")</f>
        <v/>
      </c>
      <c r="O4540" s="13" t="str">
        <f t="shared" si="1"/>
        <v/>
      </c>
    </row>
    <row r="4541" ht="22.5" customHeight="1">
      <c r="B4541" s="13">
        <f>IFERROR(__xludf.DUMMYFUNCTION("""COMPUTED_VALUE"""),4536.0)</f>
        <v>4536</v>
      </c>
      <c r="C4541" s="13" t="str">
        <f>IFERROR(__xludf.DUMMYFUNCTION("""COMPUTED_VALUE"""),"M. 14010/SUKARAME 1 DAN 14008/WAY HALIM PERMAI")</f>
        <v>M. 14010/SUKARAME 1 DAN 14008/WAY HALIM PERMAI</v>
      </c>
      <c r="D4541" s="13" t="str">
        <f>IFERROR(__xludf.DUMMYFUNCTION("""COMPUTED_VALUE"""),"L/14/041126/1")</f>
        <v>L/14/041126/1</v>
      </c>
      <c r="E4541" s="14" t="str">
        <f>IFERROR(__xludf.DUMMYFUNCTION("""COMPUTED_VALUE"""),"Heri (BT)")</f>
        <v>Heri (BT)</v>
      </c>
      <c r="F4541" s="14" t="str">
        <f>IFERROR(__xludf.DUMMYFUNCTION("""COMPUTED_VALUE"""),"SELESAI (VIA PERMOHONAN)")</f>
        <v>SELESAI (VIA PERMOHONAN)</v>
      </c>
      <c r="G4541" s="17">
        <f>IFERROR(__xludf.DUMMYFUNCTION("""COMPUTED_VALUE"""),45994.38867962963)</f>
        <v>45994.38868</v>
      </c>
      <c r="H4541" s="14"/>
      <c r="I4541" s="13"/>
      <c r="J4541" s="17" t="str">
        <f>IFERROR(__xludf.DUMMYFUNCTION("""COMPUTED_VALUE"""),"")</f>
        <v/>
      </c>
      <c r="K4541" s="13" t="str">
        <f>IFERROR(__xludf.DUMMYFUNCTION("""COMPUTED_VALUE"""),"BT atau SU Belum Valid")</f>
        <v>BT atau SU Belum Valid</v>
      </c>
      <c r="L4541" s="13" t="str">
        <f>IFERROR(__xludf.DUMMYFUNCTION("""COMPUTED_VALUE"""),"")</f>
        <v/>
      </c>
      <c r="M4541" s="13"/>
      <c r="N4541" s="13" t="str">
        <f>IFERROR(__xludf.DUMMYFUNCTION("""COMPUTED_VALUE"""),"")</f>
        <v/>
      </c>
      <c r="O4541" s="13" t="str">
        <f t="shared" si="1"/>
        <v/>
      </c>
    </row>
    <row r="4542" ht="22.5" customHeight="1">
      <c r="B4542" s="13">
        <f>IFERROR(__xludf.DUMMYFUNCTION("""COMPUTED_VALUE"""),4537.0)</f>
        <v>4537</v>
      </c>
      <c r="C4542" s="13" t="str">
        <f>IFERROR(__xludf.DUMMYFUNCTION("""COMPUTED_VALUE"""),"M. 1069/NEGERI OLOK GADING")</f>
        <v>M. 1069/NEGERI OLOK GADING</v>
      </c>
      <c r="D4542" s="13" t="str">
        <f>IFERROR(__xludf.DUMMYFUNCTION("""COMPUTED_VALUE"""),"L/2/061125/1")</f>
        <v>L/2/061125/1</v>
      </c>
      <c r="E4542" s="14" t="str">
        <f>IFERROR(__xludf.DUMMYFUNCTION("""COMPUTED_VALUE"""),"Heri (BT)")</f>
        <v>Heri (BT)</v>
      </c>
      <c r="F4542" s="14" t="str">
        <f>IFERROR(__xludf.DUMMYFUNCTION("""COMPUTED_VALUE"""),"SELESAI (VIA PERMOHONAN)")</f>
        <v>SELESAI (VIA PERMOHONAN)</v>
      </c>
      <c r="G4542" s="17">
        <f>IFERROR(__xludf.DUMMYFUNCTION("""COMPUTED_VALUE"""),45994.389018657406)</f>
        <v>45994.38902</v>
      </c>
      <c r="H4542" s="14"/>
      <c r="I4542" s="13"/>
      <c r="J4542" s="17" t="str">
        <f>IFERROR(__xludf.DUMMYFUNCTION("""COMPUTED_VALUE"""),"")</f>
        <v/>
      </c>
      <c r="K4542" s="13" t="str">
        <f>IFERROR(__xludf.DUMMYFUNCTION("""COMPUTED_VALUE"""),"BT atau SU Belum Valid")</f>
        <v>BT atau SU Belum Valid</v>
      </c>
      <c r="L4542" s="13" t="str">
        <f>IFERROR(__xludf.DUMMYFUNCTION("""COMPUTED_VALUE"""),"")</f>
        <v/>
      </c>
      <c r="M4542" s="13"/>
      <c r="N4542" s="13" t="str">
        <f>IFERROR(__xludf.DUMMYFUNCTION("""COMPUTED_VALUE"""),"")</f>
        <v/>
      </c>
      <c r="O4542" s="13" t="str">
        <f t="shared" si="1"/>
        <v/>
      </c>
    </row>
    <row r="4543" ht="22.5" customHeight="1">
      <c r="B4543" s="13">
        <f>IFERROR(__xludf.DUMMYFUNCTION("""COMPUTED_VALUE"""),4538.0)</f>
        <v>4538</v>
      </c>
      <c r="C4543" s="13" t="str">
        <f>IFERROR(__xludf.DUMMYFUNCTION("""COMPUTED_VALUE"""),"M. 13871 , 13385, 13390/KEDAMAIAN")</f>
        <v>M. 13871 , 13385, 13390/KEDAMAIAN</v>
      </c>
      <c r="D4543" s="13" t="str">
        <f>IFERROR(__xludf.DUMMYFUNCTION("""COMPUTED_VALUE"""),"L/15/051125/4")</f>
        <v>L/15/051125/4</v>
      </c>
      <c r="E4543" s="14" t="str">
        <f>IFERROR(__xludf.DUMMYFUNCTION("""COMPUTED_VALUE"""),"Heri (BT)")</f>
        <v>Heri (BT)</v>
      </c>
      <c r="F4543" s="14" t="str">
        <f>IFERROR(__xludf.DUMMYFUNCTION("""COMPUTED_VALUE"""),"SELESAI (VIA PERMOHONAN)")</f>
        <v>SELESAI (VIA PERMOHONAN)</v>
      </c>
      <c r="G4543" s="17">
        <f>IFERROR(__xludf.DUMMYFUNCTION("""COMPUTED_VALUE"""),45994.389171620365)</f>
        <v>45994.38917</v>
      </c>
      <c r="H4543" s="14"/>
      <c r="I4543" s="13"/>
      <c r="J4543" s="17" t="str">
        <f>IFERROR(__xludf.DUMMYFUNCTION("""COMPUTED_VALUE"""),"")</f>
        <v/>
      </c>
      <c r="K4543" s="13" t="str">
        <f>IFERROR(__xludf.DUMMYFUNCTION("""COMPUTED_VALUE"""),"BT atau SU Belum Valid")</f>
        <v>BT atau SU Belum Valid</v>
      </c>
      <c r="L4543" s="13" t="str">
        <f>IFERROR(__xludf.DUMMYFUNCTION("""COMPUTED_VALUE"""),"")</f>
        <v/>
      </c>
      <c r="M4543" s="13"/>
      <c r="N4543" s="13" t="str">
        <f>IFERROR(__xludf.DUMMYFUNCTION("""COMPUTED_VALUE"""),"")</f>
        <v/>
      </c>
      <c r="O4543" s="13" t="str">
        <f t="shared" si="1"/>
        <v/>
      </c>
    </row>
    <row r="4544" ht="22.5" customHeight="1">
      <c r="B4544" s="13">
        <f>IFERROR(__xludf.DUMMYFUNCTION("""COMPUTED_VALUE"""),4539.0)</f>
        <v>4539</v>
      </c>
      <c r="C4544" s="13" t="str">
        <f>IFERROR(__xludf.DUMMYFUNCTION("""COMPUTED_VALUE"""),"B. 83/PINANG JAYA")</f>
        <v>B. 83/PINANG JAYA</v>
      </c>
      <c r="D4544" s="13" t="str">
        <f>IFERROR(__xludf.DUMMYFUNCTION("""COMPUTED_VALUE"""),"K/8/281025/1")</f>
        <v>K/8/281025/1</v>
      </c>
      <c r="E4544" s="14" t="str">
        <f>IFERROR(__xludf.DUMMYFUNCTION("""COMPUTED_VALUE"""),"Heri (BT)")</f>
        <v>Heri (BT)</v>
      </c>
      <c r="F4544" s="14" t="str">
        <f>IFERROR(__xludf.DUMMYFUNCTION("""COMPUTED_VALUE"""),"SELESAI (VIA PERMOHONAN)")</f>
        <v>SELESAI (VIA PERMOHONAN)</v>
      </c>
      <c r="G4544" s="17">
        <f>IFERROR(__xludf.DUMMYFUNCTION("""COMPUTED_VALUE"""),45994.38929126157)</f>
        <v>45994.38929</v>
      </c>
      <c r="H4544" s="14"/>
      <c r="I4544" s="13"/>
      <c r="J4544" s="17" t="str">
        <f>IFERROR(__xludf.DUMMYFUNCTION("""COMPUTED_VALUE"""),"")</f>
        <v/>
      </c>
      <c r="K4544" s="13" t="str">
        <f>IFERROR(__xludf.DUMMYFUNCTION("""COMPUTED_VALUE"""),"BT atau SU Belum Valid")</f>
        <v>BT atau SU Belum Valid</v>
      </c>
      <c r="L4544" s="13" t="str">
        <f>IFERROR(__xludf.DUMMYFUNCTION("""COMPUTED_VALUE"""),"")</f>
        <v/>
      </c>
      <c r="M4544" s="13"/>
      <c r="N4544" s="13" t="str">
        <f>IFERROR(__xludf.DUMMYFUNCTION("""COMPUTED_VALUE"""),"")</f>
        <v/>
      </c>
      <c r="O4544" s="13" t="str">
        <f t="shared" si="1"/>
        <v/>
      </c>
    </row>
    <row r="4545" ht="22.5" customHeight="1">
      <c r="B4545" s="13">
        <f>IFERROR(__xludf.DUMMYFUNCTION("""COMPUTED_VALUE"""),4540.0)</f>
        <v>4540</v>
      </c>
      <c r="C4545" s="13" t="str">
        <f>IFERROR(__xludf.DUMMYFUNCTION("""COMPUTED_VALUE"""),"M. 13213/KEDAMAIAN")</f>
        <v>M. 13213/KEDAMAIAN</v>
      </c>
      <c r="D4545" s="13" t="str">
        <f>IFERROR(__xludf.DUMMYFUNCTION("""COMPUTED_VALUE"""),"L/17/031125/1")</f>
        <v>L/17/031125/1</v>
      </c>
      <c r="E4545" s="14" t="str">
        <f>IFERROR(__xludf.DUMMYFUNCTION("""COMPUTED_VALUE"""),"Heri (BT)")</f>
        <v>Heri (BT)</v>
      </c>
      <c r="F4545" s="14" t="str">
        <f>IFERROR(__xludf.DUMMYFUNCTION("""COMPUTED_VALUE"""),"SELESAI (VIA PERMOHONAN)")</f>
        <v>SELESAI (VIA PERMOHONAN)</v>
      </c>
      <c r="G4545" s="17">
        <f>IFERROR(__xludf.DUMMYFUNCTION("""COMPUTED_VALUE"""),45994.38943413194)</f>
        <v>45994.38943</v>
      </c>
      <c r="H4545" s="14"/>
      <c r="I4545" s="13"/>
      <c r="J4545" s="17" t="str">
        <f>IFERROR(__xludf.DUMMYFUNCTION("""COMPUTED_VALUE"""),"")</f>
        <v/>
      </c>
      <c r="K4545" s="13" t="str">
        <f>IFERROR(__xludf.DUMMYFUNCTION("""COMPUTED_VALUE"""),"BT atau SU Belum Valid")</f>
        <v>BT atau SU Belum Valid</v>
      </c>
      <c r="L4545" s="13" t="str">
        <f>IFERROR(__xludf.DUMMYFUNCTION("""COMPUTED_VALUE"""),"")</f>
        <v/>
      </c>
      <c r="M4545" s="13"/>
      <c r="N4545" s="13" t="str">
        <f>IFERROR(__xludf.DUMMYFUNCTION("""COMPUTED_VALUE"""),"")</f>
        <v/>
      </c>
      <c r="O4545" s="13" t="str">
        <f t="shared" si="1"/>
        <v/>
      </c>
    </row>
    <row r="4546" ht="22.5" customHeight="1">
      <c r="B4546" s="13">
        <f>IFERROR(__xludf.DUMMYFUNCTION("""COMPUTED_VALUE"""),4541.0)</f>
        <v>4541</v>
      </c>
      <c r="C4546" s="13" t="str">
        <f>IFERROR(__xludf.DUMMYFUNCTION("""COMPUTED_VALUE"""),"B. 1232/SUKABUMI INDAH")</f>
        <v>B. 1232/SUKABUMI INDAH</v>
      </c>
      <c r="D4546" s="13" t="str">
        <f>IFERROR(__xludf.DUMMYFUNCTION("""COMPUTED_VALUE"""),"L/3/271025/1")</f>
        <v>L/3/271025/1</v>
      </c>
      <c r="E4546" s="14" t="str">
        <f>IFERROR(__xludf.DUMMYFUNCTION("""COMPUTED_VALUE"""),"Heri (BT)")</f>
        <v>Heri (BT)</v>
      </c>
      <c r="F4546" s="14" t="str">
        <f>IFERROR(__xludf.DUMMYFUNCTION("""COMPUTED_VALUE"""),"SELESAI (VIA PERMOHONAN)")</f>
        <v>SELESAI (VIA PERMOHONAN)</v>
      </c>
      <c r="G4546" s="17">
        <f>IFERROR(__xludf.DUMMYFUNCTION("""COMPUTED_VALUE"""),45994.38961246528)</f>
        <v>45994.38961</v>
      </c>
      <c r="H4546" s="14"/>
      <c r="I4546" s="13"/>
      <c r="J4546" s="17" t="str">
        <f>IFERROR(__xludf.DUMMYFUNCTION("""COMPUTED_VALUE"""),"")</f>
        <v/>
      </c>
      <c r="K4546" s="13" t="str">
        <f>IFERROR(__xludf.DUMMYFUNCTION("""COMPUTED_VALUE"""),"BT atau SU Belum Valid")</f>
        <v>BT atau SU Belum Valid</v>
      </c>
      <c r="L4546" s="13" t="str">
        <f>IFERROR(__xludf.DUMMYFUNCTION("""COMPUTED_VALUE"""),"")</f>
        <v/>
      </c>
      <c r="M4546" s="13"/>
      <c r="N4546" s="13" t="str">
        <f>IFERROR(__xludf.DUMMYFUNCTION("""COMPUTED_VALUE"""),"")</f>
        <v/>
      </c>
      <c r="O4546" s="13" t="str">
        <f t="shared" si="1"/>
        <v/>
      </c>
    </row>
    <row r="4547" ht="22.5" customHeight="1">
      <c r="B4547" s="13">
        <f>IFERROR(__xludf.DUMMYFUNCTION("""COMPUTED_VALUE"""),4542.0)</f>
        <v>4542</v>
      </c>
      <c r="C4547" s="13" t="str">
        <f>IFERROR(__xludf.DUMMYFUNCTION("""COMPUTED_VALUE"""),"M. 1212/LANGKAPURA")</f>
        <v>M. 1212/LANGKAPURA</v>
      </c>
      <c r="D4547" s="13" t="str">
        <f>IFERROR(__xludf.DUMMYFUNCTION("""COMPUTED_VALUE"""),"L/10/241025/1")</f>
        <v>L/10/241025/1</v>
      </c>
      <c r="E4547" s="14" t="str">
        <f>IFERROR(__xludf.DUMMYFUNCTION("""COMPUTED_VALUE"""),"Heri (BT)")</f>
        <v>Heri (BT)</v>
      </c>
      <c r="F4547" s="14" t="str">
        <f>IFERROR(__xludf.DUMMYFUNCTION("""COMPUTED_VALUE"""),"SELESAI (VIA PERMOHONAN)")</f>
        <v>SELESAI (VIA PERMOHONAN)</v>
      </c>
      <c r="G4547" s="17">
        <f>IFERROR(__xludf.DUMMYFUNCTION("""COMPUTED_VALUE"""),45994.389736365745)</f>
        <v>45994.38974</v>
      </c>
      <c r="H4547" s="14"/>
      <c r="I4547" s="13"/>
      <c r="J4547" s="17" t="str">
        <f>IFERROR(__xludf.DUMMYFUNCTION("""COMPUTED_VALUE"""),"")</f>
        <v/>
      </c>
      <c r="K4547" s="13" t="str">
        <f>IFERROR(__xludf.DUMMYFUNCTION("""COMPUTED_VALUE"""),"BT atau SU Belum Valid")</f>
        <v>BT atau SU Belum Valid</v>
      </c>
      <c r="L4547" s="13" t="str">
        <f>IFERROR(__xludf.DUMMYFUNCTION("""COMPUTED_VALUE"""),"")</f>
        <v/>
      </c>
      <c r="M4547" s="13"/>
      <c r="N4547" s="13" t="str">
        <f>IFERROR(__xludf.DUMMYFUNCTION("""COMPUTED_VALUE"""),"")</f>
        <v/>
      </c>
      <c r="O4547" s="13" t="str">
        <f t="shared" si="1"/>
        <v/>
      </c>
    </row>
    <row r="4548" ht="22.5" customHeight="1">
      <c r="B4548" s="13">
        <f>IFERROR(__xludf.DUMMYFUNCTION("""COMPUTED_VALUE"""),4543.0)</f>
        <v>4543</v>
      </c>
      <c r="C4548" s="13" t="str">
        <f>IFERROR(__xludf.DUMMYFUNCTION("""COMPUTED_VALUE"""),"B. 224/LABUHAN RATU")</f>
        <v>B. 224/LABUHAN RATU</v>
      </c>
      <c r="D4548" s="13" t="str">
        <f>IFERROR(__xludf.DUMMYFUNCTION("""COMPUTED_VALUE"""),"L/39/090925/1")</f>
        <v>L/39/090925/1</v>
      </c>
      <c r="E4548" s="14" t="str">
        <f>IFERROR(__xludf.DUMMYFUNCTION("""COMPUTED_VALUE"""),"Heri (BT)")</f>
        <v>Heri (BT)</v>
      </c>
      <c r="F4548" s="14" t="str">
        <f>IFERROR(__xludf.DUMMYFUNCTION("""COMPUTED_VALUE"""),"SELESAI (VIA PERMOHONAN)")</f>
        <v>SELESAI (VIA PERMOHONAN)</v>
      </c>
      <c r="G4548" s="17">
        <f>IFERROR(__xludf.DUMMYFUNCTION("""COMPUTED_VALUE"""),45994.38984318287)</f>
        <v>45994.38984</v>
      </c>
      <c r="H4548" s="14"/>
      <c r="I4548" s="13"/>
      <c r="J4548" s="17" t="str">
        <f>IFERROR(__xludf.DUMMYFUNCTION("""COMPUTED_VALUE"""),"")</f>
        <v/>
      </c>
      <c r="K4548" s="13" t="str">
        <f>IFERROR(__xludf.DUMMYFUNCTION("""COMPUTED_VALUE"""),"BT atau SU Belum Valid")</f>
        <v>BT atau SU Belum Valid</v>
      </c>
      <c r="L4548" s="13" t="str">
        <f>IFERROR(__xludf.DUMMYFUNCTION("""COMPUTED_VALUE"""),"")</f>
        <v/>
      </c>
      <c r="M4548" s="13"/>
      <c r="N4548" s="13" t="str">
        <f>IFERROR(__xludf.DUMMYFUNCTION("""COMPUTED_VALUE"""),"")</f>
        <v/>
      </c>
      <c r="O4548" s="13" t="str">
        <f t="shared" si="1"/>
        <v/>
      </c>
    </row>
    <row r="4549" ht="22.5" customHeight="1">
      <c r="B4549" s="13">
        <f>IFERROR(__xludf.DUMMYFUNCTION("""COMPUTED_VALUE"""),4544.0)</f>
        <v>4544</v>
      </c>
      <c r="C4549" s="13" t="str">
        <f>IFERROR(__xludf.DUMMYFUNCTION("""COMPUTED_VALUE"""),"SHM 1205/Panjang Selatan")</f>
        <v>SHM 1205/Panjang Selatan</v>
      </c>
      <c r="D4549" s="13" t="str">
        <f>IFERROR(__xludf.DUMMYFUNCTION("""COMPUTED_VALUE"""),"ABEAYMOV/AB008")</f>
        <v>ABEAYMOV/AB008</v>
      </c>
      <c r="E4549" s="14" t="str">
        <f>IFERROR(__xludf.DUMMYFUNCTION("""COMPUTED_VALUE"""),"Heri (BT)")</f>
        <v>Heri (BT)</v>
      </c>
      <c r="F4549" s="14" t="str">
        <f>IFERROR(__xludf.DUMMYFUNCTION("""COMPUTED_VALUE"""),"SELESAI (VIA PERMOHONAN)")</f>
        <v>SELESAI (VIA PERMOHONAN)</v>
      </c>
      <c r="G4549" s="17">
        <f>IFERROR(__xludf.DUMMYFUNCTION("""COMPUTED_VALUE"""),45994.39000204861)</f>
        <v>45994.39</v>
      </c>
      <c r="H4549" s="14"/>
      <c r="I4549" s="13"/>
      <c r="J4549" s="17" t="str">
        <f>IFERROR(__xludf.DUMMYFUNCTION("""COMPUTED_VALUE"""),"")</f>
        <v/>
      </c>
      <c r="K4549" s="13" t="str">
        <f>IFERROR(__xludf.DUMMYFUNCTION("""COMPUTED_VALUE"""),"BT atau SU Belum Valid")</f>
        <v>BT atau SU Belum Valid</v>
      </c>
      <c r="L4549" s="13" t="str">
        <f>IFERROR(__xludf.DUMMYFUNCTION("""COMPUTED_VALUE"""),"")</f>
        <v/>
      </c>
      <c r="M4549" s="13"/>
      <c r="N4549" s="13" t="str">
        <f>IFERROR(__xludf.DUMMYFUNCTION("""COMPUTED_VALUE"""),"")</f>
        <v/>
      </c>
      <c r="O4549" s="13" t="str">
        <f t="shared" si="1"/>
        <v/>
      </c>
    </row>
    <row r="4550" ht="22.5" customHeight="1">
      <c r="B4550" s="13">
        <f>IFERROR(__xludf.DUMMYFUNCTION("""COMPUTED_VALUE"""),4545.0)</f>
        <v>4545</v>
      </c>
      <c r="C4550" s="13" t="str">
        <f>IFERROR(__xludf.DUMMYFUNCTION("""COMPUTED_VALUE"""),"M. 18150/Sukarame I")</f>
        <v>M. 18150/Sukarame I</v>
      </c>
      <c r="D4550" s="13" t="str">
        <f>IFERROR(__xludf.DUMMYFUNCTION("""COMPUTED_VALUE"""),"ABKRREJF/Ab036")</f>
        <v>ABKRREJF/Ab036</v>
      </c>
      <c r="E4550" s="14" t="str">
        <f>IFERROR(__xludf.DUMMYFUNCTION("""COMPUTED_VALUE"""),"Heri (BT)")</f>
        <v>Heri (BT)</v>
      </c>
      <c r="F4550" s="14" t="str">
        <f>IFERROR(__xludf.DUMMYFUNCTION("""COMPUTED_VALUE"""),"SELESAI (VIA PERMOHONAN)")</f>
        <v>SELESAI (VIA PERMOHONAN)</v>
      </c>
      <c r="G4550" s="17">
        <f>IFERROR(__xludf.DUMMYFUNCTION("""COMPUTED_VALUE"""),45994.39013321759)</f>
        <v>45994.39013</v>
      </c>
      <c r="H4550" s="14"/>
      <c r="I4550" s="13"/>
      <c r="J4550" s="17" t="str">
        <f>IFERROR(__xludf.DUMMYFUNCTION("""COMPUTED_VALUE"""),"")</f>
        <v/>
      </c>
      <c r="K4550" s="13" t="str">
        <f>IFERROR(__xludf.DUMMYFUNCTION("""COMPUTED_VALUE"""),"BT atau SU Belum Valid")</f>
        <v>BT atau SU Belum Valid</v>
      </c>
      <c r="L4550" s="13" t="str">
        <f>IFERROR(__xludf.DUMMYFUNCTION("""COMPUTED_VALUE"""),"")</f>
        <v/>
      </c>
      <c r="M4550" s="13"/>
      <c r="N4550" s="13" t="str">
        <f>IFERROR(__xludf.DUMMYFUNCTION("""COMPUTED_VALUE"""),"")</f>
        <v/>
      </c>
      <c r="O4550" s="13" t="str">
        <f t="shared" si="1"/>
        <v/>
      </c>
    </row>
    <row r="4551" ht="22.5" customHeight="1">
      <c r="B4551" s="13">
        <f>IFERROR(__xludf.DUMMYFUNCTION("""COMPUTED_VALUE"""),4546.0)</f>
        <v>4546</v>
      </c>
      <c r="C4551" s="13" t="str">
        <f>IFERROR(__xludf.DUMMYFUNCTION("""COMPUTED_VALUE"""),"M. 84/Kaliawi Persada")</f>
        <v>M. 84/Kaliawi Persada</v>
      </c>
      <c r="D4551" s="13" t="str">
        <f>IFERROR(__xludf.DUMMYFUNCTION("""COMPUTED_VALUE"""),"ABDXQSWK/1 AB015")</f>
        <v>ABDXQSWK/1 AB015</v>
      </c>
      <c r="E4551" s="14" t="str">
        <f>IFERROR(__xludf.DUMMYFUNCTION("""COMPUTED_VALUE"""),"Heri (BT)")</f>
        <v>Heri (BT)</v>
      </c>
      <c r="F4551" s="14" t="str">
        <f>IFERROR(__xludf.DUMMYFUNCTION("""COMPUTED_VALUE"""),"SELESAI (VIA PERMOHONAN)")</f>
        <v>SELESAI (VIA PERMOHONAN)</v>
      </c>
      <c r="G4551" s="17">
        <f>IFERROR(__xludf.DUMMYFUNCTION("""COMPUTED_VALUE"""),45994.390269791664)</f>
        <v>45994.39027</v>
      </c>
      <c r="H4551" s="14"/>
      <c r="I4551" s="13"/>
      <c r="J4551" s="17" t="str">
        <f>IFERROR(__xludf.DUMMYFUNCTION("""COMPUTED_VALUE"""),"")</f>
        <v/>
      </c>
      <c r="K4551" s="13" t="str">
        <f>IFERROR(__xludf.DUMMYFUNCTION("""COMPUTED_VALUE"""),"BT atau SU Belum Valid")</f>
        <v>BT atau SU Belum Valid</v>
      </c>
      <c r="L4551" s="13" t="str">
        <f>IFERROR(__xludf.DUMMYFUNCTION("""COMPUTED_VALUE"""),"")</f>
        <v/>
      </c>
      <c r="M4551" s="13"/>
      <c r="N4551" s="13" t="str">
        <f>IFERROR(__xludf.DUMMYFUNCTION("""COMPUTED_VALUE"""),"")</f>
        <v/>
      </c>
      <c r="O4551" s="13" t="str">
        <f t="shared" si="1"/>
        <v/>
      </c>
    </row>
    <row r="4552" ht="22.5" customHeight="1">
      <c r="B4552" s="13">
        <f>IFERROR(__xludf.DUMMYFUNCTION("""COMPUTED_VALUE"""),4547.0)</f>
        <v>4547</v>
      </c>
      <c r="C4552" s="13" t="str">
        <f>IFERROR(__xludf.DUMMYFUNCTION("""COMPUTED_VALUE"""),"M 200/Jg.III")</f>
        <v>M 200/Jg.III</v>
      </c>
      <c r="D4552" s="13" t="str">
        <f>IFERROR(__xludf.DUMMYFUNCTION("""COMPUTED_VALUE"""),"ABSHCBEA/1")</f>
        <v>ABSHCBEA/1</v>
      </c>
      <c r="E4552" s="14" t="str">
        <f>IFERROR(__xludf.DUMMYFUNCTION("""COMPUTED_VALUE"""),"Heri (BT)")</f>
        <v>Heri (BT)</v>
      </c>
      <c r="F4552" s="14" t="str">
        <f>IFERROR(__xludf.DUMMYFUNCTION("""COMPUTED_VALUE"""),"SELESAI (VIA PERMOHONAN)")</f>
        <v>SELESAI (VIA PERMOHONAN)</v>
      </c>
      <c r="G4552" s="17">
        <f>IFERROR(__xludf.DUMMYFUNCTION("""COMPUTED_VALUE"""),45994.390557453706)</f>
        <v>45994.39056</v>
      </c>
      <c r="H4552" s="14"/>
      <c r="I4552" s="13"/>
      <c r="J4552" s="17" t="str">
        <f>IFERROR(__xludf.DUMMYFUNCTION("""COMPUTED_VALUE"""),"")</f>
        <v/>
      </c>
      <c r="K4552" s="13" t="str">
        <f>IFERROR(__xludf.DUMMYFUNCTION("""COMPUTED_VALUE"""),"BT atau SU Belum Valid")</f>
        <v>BT atau SU Belum Valid</v>
      </c>
      <c r="L4552" s="13" t="str">
        <f>IFERROR(__xludf.DUMMYFUNCTION("""COMPUTED_VALUE"""),"")</f>
        <v/>
      </c>
      <c r="M4552" s="13"/>
      <c r="N4552" s="13" t="str">
        <f>IFERROR(__xludf.DUMMYFUNCTION("""COMPUTED_VALUE"""),"")</f>
        <v/>
      </c>
      <c r="O4552" s="13" t="str">
        <f t="shared" si="1"/>
        <v/>
      </c>
    </row>
    <row r="4553" ht="22.5" customHeight="1">
      <c r="B4553" s="13">
        <f>IFERROR(__xludf.DUMMYFUNCTION("""COMPUTED_VALUE"""),4548.0)</f>
        <v>4548</v>
      </c>
      <c r="C4553" s="13" t="str">
        <f>IFERROR(__xludf.DUMMYFUNCTION("""COMPUTED_VALUE"""),"B. 284/TANJUNGKARANG")</f>
        <v>B. 284/TANJUNGKARANG</v>
      </c>
      <c r="D4553" s="13" t="str">
        <f>IFERROR(__xludf.DUMMYFUNCTION("""COMPUTED_VALUE"""),"K/2/230925/1")</f>
        <v>K/2/230925/1</v>
      </c>
      <c r="E4553" s="14" t="str">
        <f>IFERROR(__xludf.DUMMYFUNCTION("""COMPUTED_VALUE"""),"Heri (BT)")</f>
        <v>Heri (BT)</v>
      </c>
      <c r="F4553" s="14" t="str">
        <f>IFERROR(__xludf.DUMMYFUNCTION("""COMPUTED_VALUE"""),"SELESAI (VIA PERMOHONAN)")</f>
        <v>SELESAI (VIA PERMOHONAN)</v>
      </c>
      <c r="G4553" s="17">
        <f>IFERROR(__xludf.DUMMYFUNCTION("""COMPUTED_VALUE"""),45994.39107549768)</f>
        <v>45994.39108</v>
      </c>
      <c r="H4553" s="14"/>
      <c r="I4553" s="13"/>
      <c r="J4553" s="17" t="str">
        <f>IFERROR(__xludf.DUMMYFUNCTION("""COMPUTED_VALUE"""),"")</f>
        <v/>
      </c>
      <c r="K4553" s="13" t="str">
        <f>IFERROR(__xludf.DUMMYFUNCTION("""COMPUTED_VALUE"""),"BT atau SU Belum Valid")</f>
        <v>BT atau SU Belum Valid</v>
      </c>
      <c r="L4553" s="13" t="str">
        <f>IFERROR(__xludf.DUMMYFUNCTION("""COMPUTED_VALUE"""),"")</f>
        <v/>
      </c>
      <c r="M4553" s="13"/>
      <c r="N4553" s="13" t="str">
        <f>IFERROR(__xludf.DUMMYFUNCTION("""COMPUTED_VALUE"""),"")</f>
        <v/>
      </c>
      <c r="O4553" s="13" t="str">
        <f t="shared" si="1"/>
        <v/>
      </c>
    </row>
    <row r="4554" ht="22.5" customHeight="1">
      <c r="B4554" s="13">
        <f>IFERROR(__xludf.DUMMYFUNCTION("""COMPUTED_VALUE"""),4549.0)</f>
        <v>4549</v>
      </c>
      <c r="C4554" s="13" t="str">
        <f>IFERROR(__xludf.DUMMYFUNCTION("""COMPUTED_VALUE"""),"M. 580/PERUMNAS WAY HALIM")</f>
        <v>M. 580/PERUMNAS WAY HALIM</v>
      </c>
      <c r="D4554" s="13" t="str">
        <f>IFERROR(__xludf.DUMMYFUNCTION("""COMPUTED_VALUE"""),"K/35/210826/1")</f>
        <v>K/35/210826/1</v>
      </c>
      <c r="E4554" s="14" t="str">
        <f>IFERROR(__xludf.DUMMYFUNCTION("""COMPUTED_VALUE"""),"Heri (BT)")</f>
        <v>Heri (BT)</v>
      </c>
      <c r="F4554" s="14" t="str">
        <f>IFERROR(__xludf.DUMMYFUNCTION("""COMPUTED_VALUE"""),"SELESAI (VIA PERMOHONAN)")</f>
        <v>SELESAI (VIA PERMOHONAN)</v>
      </c>
      <c r="G4554" s="17">
        <f>IFERROR(__xludf.DUMMYFUNCTION("""COMPUTED_VALUE"""),45994.39131486111)</f>
        <v>45994.39131</v>
      </c>
      <c r="H4554" s="14"/>
      <c r="I4554" s="13"/>
      <c r="J4554" s="17" t="str">
        <f>IFERROR(__xludf.DUMMYFUNCTION("""COMPUTED_VALUE"""),"")</f>
        <v/>
      </c>
      <c r="K4554" s="13" t="str">
        <f>IFERROR(__xludf.DUMMYFUNCTION("""COMPUTED_VALUE"""),"BT atau SU Belum Valid")</f>
        <v>BT atau SU Belum Valid</v>
      </c>
      <c r="L4554" s="13" t="str">
        <f>IFERROR(__xludf.DUMMYFUNCTION("""COMPUTED_VALUE"""),"")</f>
        <v/>
      </c>
      <c r="M4554" s="13"/>
      <c r="N4554" s="13" t="str">
        <f>IFERROR(__xludf.DUMMYFUNCTION("""COMPUTED_VALUE"""),"")</f>
        <v/>
      </c>
      <c r="O4554" s="13" t="str">
        <f t="shared" si="1"/>
        <v/>
      </c>
    </row>
    <row r="4555" ht="22.5" customHeight="1">
      <c r="B4555" s="13">
        <f>IFERROR(__xludf.DUMMYFUNCTION("""COMPUTED_VALUE"""),4550.0)</f>
        <v>4550</v>
      </c>
      <c r="C4555" s="13" t="str">
        <f>IFERROR(__xludf.DUMMYFUNCTION("""COMPUTED_VALUE"""),"B. 761/SUMUR PUTRI")</f>
        <v>B. 761/SUMUR PUTRI</v>
      </c>
      <c r="D4555" s="13" t="str">
        <f>IFERROR(__xludf.DUMMYFUNCTION("""COMPUTED_VALUE"""),"K/28/070725/1")</f>
        <v>K/28/070725/1</v>
      </c>
      <c r="E4555" s="14" t="str">
        <f>IFERROR(__xludf.DUMMYFUNCTION("""COMPUTED_VALUE"""),"Heri (BT)")</f>
        <v>Heri (BT)</v>
      </c>
      <c r="F4555" s="14" t="str">
        <f>IFERROR(__xludf.DUMMYFUNCTION("""COMPUTED_VALUE"""),"SELESAI (VIA PERMOHONAN)")</f>
        <v>SELESAI (VIA PERMOHONAN)</v>
      </c>
      <c r="G4555" s="17">
        <f>IFERROR(__xludf.DUMMYFUNCTION("""COMPUTED_VALUE"""),45994.39147484954)</f>
        <v>45994.39147</v>
      </c>
      <c r="H4555" s="14"/>
      <c r="I4555" s="13"/>
      <c r="J4555" s="17" t="str">
        <f>IFERROR(__xludf.DUMMYFUNCTION("""COMPUTED_VALUE"""),"")</f>
        <v/>
      </c>
      <c r="K4555" s="13" t="str">
        <f>IFERROR(__xludf.DUMMYFUNCTION("""COMPUTED_VALUE"""),"BT atau SU Belum Valid")</f>
        <v>BT atau SU Belum Valid</v>
      </c>
      <c r="L4555" s="13" t="str">
        <f>IFERROR(__xludf.DUMMYFUNCTION("""COMPUTED_VALUE"""),"")</f>
        <v/>
      </c>
      <c r="M4555" s="13"/>
      <c r="N4555" s="13" t="str">
        <f>IFERROR(__xludf.DUMMYFUNCTION("""COMPUTED_VALUE"""),"")</f>
        <v/>
      </c>
      <c r="O4555" s="13" t="str">
        <f t="shared" si="1"/>
        <v/>
      </c>
    </row>
    <row r="4556" ht="22.5" customHeight="1">
      <c r="B4556" s="13">
        <f>IFERROR(__xludf.DUMMYFUNCTION("""COMPUTED_VALUE"""),4551.0)</f>
        <v>4551</v>
      </c>
      <c r="C4556" s="13" t="str">
        <f>IFERROR(__xludf.DUMMYFUNCTION("""COMPUTED_VALUE"""),"M 2838/ SUMBER REJO")</f>
        <v>M 2838/ SUMBER REJO</v>
      </c>
      <c r="D4556" s="13" t="str">
        <f>IFERROR(__xludf.DUMMYFUNCTION("""COMPUTED_VALUE"""),"K/10/101025/1")</f>
        <v>K/10/101025/1</v>
      </c>
      <c r="E4556" s="14" t="str">
        <f>IFERROR(__xludf.DUMMYFUNCTION("""COMPUTED_VALUE"""),"Heri (BT)")</f>
        <v>Heri (BT)</v>
      </c>
      <c r="F4556" s="14" t="str">
        <f>IFERROR(__xludf.DUMMYFUNCTION("""COMPUTED_VALUE"""),"SELESAI (VIA PERMOHONAN)")</f>
        <v>SELESAI (VIA PERMOHONAN)</v>
      </c>
      <c r="G4556" s="17">
        <f>IFERROR(__xludf.DUMMYFUNCTION("""COMPUTED_VALUE"""),45995.43648618055)</f>
        <v>45995.43649</v>
      </c>
      <c r="H4556" s="14"/>
      <c r="I4556" s="13"/>
      <c r="J4556" s="17" t="str">
        <f>IFERROR(__xludf.DUMMYFUNCTION("""COMPUTED_VALUE"""),"")</f>
        <v/>
      </c>
      <c r="K4556" s="13" t="str">
        <f>IFERROR(__xludf.DUMMYFUNCTION("""COMPUTED_VALUE"""),"BT atau SU Belum Valid")</f>
        <v>BT atau SU Belum Valid</v>
      </c>
      <c r="L4556" s="13" t="str">
        <f>IFERROR(__xludf.DUMMYFUNCTION("""COMPUTED_VALUE"""),"")</f>
        <v/>
      </c>
      <c r="M4556" s="13"/>
      <c r="N4556" s="13" t="str">
        <f>IFERROR(__xludf.DUMMYFUNCTION("""COMPUTED_VALUE"""),"")</f>
        <v/>
      </c>
      <c r="O4556" s="13" t="str">
        <f t="shared" si="1"/>
        <v/>
      </c>
    </row>
    <row r="4557" ht="22.5" customHeight="1">
      <c r="B4557" s="13">
        <f>IFERROR(__xludf.DUMMYFUNCTION("""COMPUTED_VALUE"""),4552.0)</f>
        <v>4552</v>
      </c>
      <c r="C4557" s="13" t="str">
        <f>IFERROR(__xludf.DUMMYFUNCTION("""COMPUTED_VALUE"""),"M. 13664/SUKABUMI")</f>
        <v>M. 13664/SUKABUMI</v>
      </c>
      <c r="D4557" s="13" t="str">
        <f>IFERROR(__xludf.DUMMYFUNCTION("""COMPUTED_VALUE"""),"K/1/211025/1")</f>
        <v>K/1/211025/1</v>
      </c>
      <c r="E4557" s="14" t="str">
        <f>IFERROR(__xludf.DUMMYFUNCTION("""COMPUTED_VALUE"""),"Heri (BT)")</f>
        <v>Heri (BT)</v>
      </c>
      <c r="F4557" s="14" t="str">
        <f>IFERROR(__xludf.DUMMYFUNCTION("""COMPUTED_VALUE"""),"SELESAI (VIA PERMOHONAN)")</f>
        <v>SELESAI (VIA PERMOHONAN)</v>
      </c>
      <c r="G4557" s="17">
        <f>IFERROR(__xludf.DUMMYFUNCTION("""COMPUTED_VALUE"""),45995.43698324074)</f>
        <v>45995.43698</v>
      </c>
      <c r="H4557" s="14"/>
      <c r="I4557" s="13"/>
      <c r="J4557" s="17" t="str">
        <f>IFERROR(__xludf.DUMMYFUNCTION("""COMPUTED_VALUE"""),"")</f>
        <v/>
      </c>
      <c r="K4557" s="13" t="str">
        <f>IFERROR(__xludf.DUMMYFUNCTION("""COMPUTED_VALUE"""),"BT atau SU Belum Valid")</f>
        <v>BT atau SU Belum Valid</v>
      </c>
      <c r="L4557" s="13" t="str">
        <f>IFERROR(__xludf.DUMMYFUNCTION("""COMPUTED_VALUE"""),"")</f>
        <v/>
      </c>
      <c r="M4557" s="13"/>
      <c r="N4557" s="13" t="str">
        <f>IFERROR(__xludf.DUMMYFUNCTION("""COMPUTED_VALUE"""),"")</f>
        <v/>
      </c>
      <c r="O4557" s="13" t="str">
        <f t="shared" si="1"/>
        <v/>
      </c>
    </row>
    <row r="4558" ht="22.5" customHeight="1">
      <c r="B4558" s="13">
        <f>IFERROR(__xludf.DUMMYFUNCTION("""COMPUTED_VALUE"""),4553.0)</f>
        <v>4553</v>
      </c>
      <c r="C4558" s="13" t="str">
        <f>IFERROR(__xludf.DUMMYFUNCTION("""COMPUTED_VALUE"""),"M 1839/ RAJABASA PEMUKA")</f>
        <v>M 1839/ RAJABASA PEMUKA</v>
      </c>
      <c r="D4558" s="13" t="str">
        <f>IFERROR(__xludf.DUMMYFUNCTION("""COMPUTED_VALUE"""),"K/26/170925/1")</f>
        <v>K/26/170925/1</v>
      </c>
      <c r="E4558" s="14" t="str">
        <f>IFERROR(__xludf.DUMMYFUNCTION("""COMPUTED_VALUE"""),"Heri (BT)")</f>
        <v>Heri (BT)</v>
      </c>
      <c r="F4558" s="14" t="str">
        <f>IFERROR(__xludf.DUMMYFUNCTION("""COMPUTED_VALUE"""),"SELESAI (VIA PERMOHONAN)")</f>
        <v>SELESAI (VIA PERMOHONAN)</v>
      </c>
      <c r="G4558" s="17">
        <f>IFERROR(__xludf.DUMMYFUNCTION("""COMPUTED_VALUE"""),45995.437574375)</f>
        <v>45995.43757</v>
      </c>
      <c r="H4558" s="14"/>
      <c r="I4558" s="13"/>
      <c r="J4558" s="17" t="str">
        <f>IFERROR(__xludf.DUMMYFUNCTION("""COMPUTED_VALUE"""),"")</f>
        <v/>
      </c>
      <c r="K4558" s="13" t="str">
        <f>IFERROR(__xludf.DUMMYFUNCTION("""COMPUTED_VALUE"""),"BT atau SU Belum Valid")</f>
        <v>BT atau SU Belum Valid</v>
      </c>
      <c r="L4558" s="13" t="str">
        <f>IFERROR(__xludf.DUMMYFUNCTION("""COMPUTED_VALUE"""),"")</f>
        <v/>
      </c>
      <c r="M4558" s="13"/>
      <c r="N4558" s="13" t="str">
        <f>IFERROR(__xludf.DUMMYFUNCTION("""COMPUTED_VALUE"""),"")</f>
        <v/>
      </c>
      <c r="O4558" s="13" t="str">
        <f t="shared" si="1"/>
        <v/>
      </c>
    </row>
    <row r="4559" ht="22.5" customHeight="1">
      <c r="B4559" s="13">
        <f>IFERROR(__xludf.DUMMYFUNCTION("""COMPUTED_VALUE"""),4554.0)</f>
        <v>4554</v>
      </c>
      <c r="C4559" s="13" t="str">
        <f>IFERROR(__xludf.DUMMYFUNCTION("""COMPUTED_VALUE"""),"M 1876/ LABUHAN DALAM")</f>
        <v>M 1876/ LABUHAN DALAM</v>
      </c>
      <c r="D4559" s="13" t="str">
        <f>IFERROR(__xludf.DUMMYFUNCTION("""COMPUTED_VALUE"""),"ABLZJGDS")</f>
        <v>ABLZJGDS</v>
      </c>
      <c r="E4559" s="14" t="str">
        <f>IFERROR(__xludf.DUMMYFUNCTION("""COMPUTED_VALUE"""),"Heri (BT)")</f>
        <v>Heri (BT)</v>
      </c>
      <c r="F4559" s="14" t="str">
        <f>IFERROR(__xludf.DUMMYFUNCTION("""COMPUTED_VALUE"""),"SELESAI (VIA PERMOHONAN)")</f>
        <v>SELESAI (VIA PERMOHONAN)</v>
      </c>
      <c r="G4559" s="17">
        <f>IFERROR(__xludf.DUMMYFUNCTION("""COMPUTED_VALUE"""),45995.43776700231)</f>
        <v>45995.43777</v>
      </c>
      <c r="H4559" s="14"/>
      <c r="I4559" s="13"/>
      <c r="J4559" s="17" t="str">
        <f>IFERROR(__xludf.DUMMYFUNCTION("""COMPUTED_VALUE"""),"")</f>
        <v/>
      </c>
      <c r="K4559" s="13" t="str">
        <f>IFERROR(__xludf.DUMMYFUNCTION("""COMPUTED_VALUE"""),"BT atau SU Belum Valid")</f>
        <v>BT atau SU Belum Valid</v>
      </c>
      <c r="L4559" s="13" t="str">
        <f>IFERROR(__xludf.DUMMYFUNCTION("""COMPUTED_VALUE"""),"")</f>
        <v/>
      </c>
      <c r="M4559" s="13"/>
      <c r="N4559" s="13" t="str">
        <f>IFERROR(__xludf.DUMMYFUNCTION("""COMPUTED_VALUE"""),"")</f>
        <v/>
      </c>
      <c r="O4559" s="13" t="str">
        <f t="shared" si="1"/>
        <v/>
      </c>
    </row>
    <row r="4560" ht="22.5" customHeight="1">
      <c r="B4560" s="13">
        <f>IFERROR(__xludf.DUMMYFUNCTION("""COMPUTED_VALUE"""),4555.0)</f>
        <v>4555</v>
      </c>
      <c r="C4560" s="13" t="str">
        <f>IFERROR(__xludf.DUMMYFUNCTION("""COMPUTED_VALUE"""),"M 1877/ LABUHAN DALAM")</f>
        <v>M 1877/ LABUHAN DALAM</v>
      </c>
      <c r="D4560" s="13" t="str">
        <f>IFERROR(__xludf.DUMMYFUNCTION("""COMPUTED_VALUE"""),"ABDLGASS")</f>
        <v>ABDLGASS</v>
      </c>
      <c r="E4560" s="14" t="str">
        <f>IFERROR(__xludf.DUMMYFUNCTION("""COMPUTED_VALUE"""),"Heri (BT)")</f>
        <v>Heri (BT)</v>
      </c>
      <c r="F4560" s="14" t="str">
        <f>IFERROR(__xludf.DUMMYFUNCTION("""COMPUTED_VALUE"""),"SELESAI (VIA PERMOHONAN)")</f>
        <v>SELESAI (VIA PERMOHONAN)</v>
      </c>
      <c r="G4560" s="17">
        <f>IFERROR(__xludf.DUMMYFUNCTION("""COMPUTED_VALUE"""),45995.43789667824)</f>
        <v>45995.4379</v>
      </c>
      <c r="H4560" s="14"/>
      <c r="I4560" s="13"/>
      <c r="J4560" s="17" t="str">
        <f>IFERROR(__xludf.DUMMYFUNCTION("""COMPUTED_VALUE"""),"")</f>
        <v/>
      </c>
      <c r="K4560" s="13" t="str">
        <f>IFERROR(__xludf.DUMMYFUNCTION("""COMPUTED_VALUE"""),"BT atau SU Belum Valid")</f>
        <v>BT atau SU Belum Valid</v>
      </c>
      <c r="L4560" s="13" t="str">
        <f>IFERROR(__xludf.DUMMYFUNCTION("""COMPUTED_VALUE"""),"")</f>
        <v/>
      </c>
      <c r="M4560" s="13"/>
      <c r="N4560" s="13" t="str">
        <f>IFERROR(__xludf.DUMMYFUNCTION("""COMPUTED_VALUE"""),"")</f>
        <v/>
      </c>
      <c r="O4560" s="13" t="str">
        <f t="shared" si="1"/>
        <v/>
      </c>
    </row>
    <row r="4561" ht="22.5" customHeight="1">
      <c r="B4561" s="13">
        <f>IFERROR(__xludf.DUMMYFUNCTION("""COMPUTED_VALUE"""),4556.0)</f>
        <v>4556</v>
      </c>
      <c r="C4561" s="13" t="str">
        <f>IFERROR(__xludf.DUMMYFUNCTION("""COMPUTED_VALUE"""),"M 1878/ LABUHAN DALAM")</f>
        <v>M 1878/ LABUHAN DALAM</v>
      </c>
      <c r="D4561" s="13" t="str">
        <f>IFERROR(__xludf.DUMMYFUNCTION("""COMPUTED_VALUE"""),"K/41/011025/1")</f>
        <v>K/41/011025/1</v>
      </c>
      <c r="E4561" s="14" t="str">
        <f>IFERROR(__xludf.DUMMYFUNCTION("""COMPUTED_VALUE"""),"Heri (BT)")</f>
        <v>Heri (BT)</v>
      </c>
      <c r="F4561" s="14" t="str">
        <f>IFERROR(__xludf.DUMMYFUNCTION("""COMPUTED_VALUE"""),"SELESAI (VIA PERMOHONAN)")</f>
        <v>SELESAI (VIA PERMOHONAN)</v>
      </c>
      <c r="G4561" s="17">
        <f>IFERROR(__xludf.DUMMYFUNCTION("""COMPUTED_VALUE"""),45995.43805005787)</f>
        <v>45995.43805</v>
      </c>
      <c r="H4561" s="14"/>
      <c r="I4561" s="13"/>
      <c r="J4561" s="17" t="str">
        <f>IFERROR(__xludf.DUMMYFUNCTION("""COMPUTED_VALUE"""),"")</f>
        <v/>
      </c>
      <c r="K4561" s="13" t="str">
        <f>IFERROR(__xludf.DUMMYFUNCTION("""COMPUTED_VALUE"""),"BT atau SU Belum Valid")</f>
        <v>BT atau SU Belum Valid</v>
      </c>
      <c r="L4561" s="13" t="str">
        <f>IFERROR(__xludf.DUMMYFUNCTION("""COMPUTED_VALUE"""),"")</f>
        <v/>
      </c>
      <c r="M4561" s="13"/>
      <c r="N4561" s="13" t="str">
        <f>IFERROR(__xludf.DUMMYFUNCTION("""COMPUTED_VALUE"""),"")</f>
        <v/>
      </c>
      <c r="O4561" s="13" t="str">
        <f t="shared" si="1"/>
        <v/>
      </c>
    </row>
    <row r="4562" ht="22.5" customHeight="1">
      <c r="B4562" s="13">
        <f>IFERROR(__xludf.DUMMYFUNCTION("""COMPUTED_VALUE"""),4557.0)</f>
        <v>4557</v>
      </c>
      <c r="C4562" s="13" t="str">
        <f>IFERROR(__xludf.DUMMYFUNCTION("""COMPUTED_VALUE"""),"B. 2640/ Sukarame ")</f>
        <v>B. 2640/ Sukarame </v>
      </c>
      <c r="D4562" s="13" t="str">
        <f>IFERROR(__xludf.DUMMYFUNCTION("""COMPUTED_VALUE"""),"K/38/160725/1")</f>
        <v>K/38/160725/1</v>
      </c>
      <c r="E4562" s="14" t="str">
        <f>IFERROR(__xludf.DUMMYFUNCTION("""COMPUTED_VALUE"""),"Heri (BT)")</f>
        <v>Heri (BT)</v>
      </c>
      <c r="F4562" s="14" t="str">
        <f>IFERROR(__xludf.DUMMYFUNCTION("""COMPUTED_VALUE"""),"SELESAI (VIA PERMOHONAN)")</f>
        <v>SELESAI (VIA PERMOHONAN)</v>
      </c>
      <c r="G4562" s="17">
        <f>IFERROR(__xludf.DUMMYFUNCTION("""COMPUTED_VALUE"""),45995.43936880787)</f>
        <v>45995.43937</v>
      </c>
      <c r="H4562" s="14"/>
      <c r="I4562" s="13"/>
      <c r="J4562" s="17" t="str">
        <f>IFERROR(__xludf.DUMMYFUNCTION("""COMPUTED_VALUE"""),"")</f>
        <v/>
      </c>
      <c r="K4562" s="13" t="str">
        <f>IFERROR(__xludf.DUMMYFUNCTION("""COMPUTED_VALUE"""),"BT atau SU Belum Valid")</f>
        <v>BT atau SU Belum Valid</v>
      </c>
      <c r="L4562" s="13" t="str">
        <f>IFERROR(__xludf.DUMMYFUNCTION("""COMPUTED_VALUE"""),"")</f>
        <v/>
      </c>
      <c r="M4562" s="13"/>
      <c r="N4562" s="13" t="str">
        <f>IFERROR(__xludf.DUMMYFUNCTION("""COMPUTED_VALUE"""),"")</f>
        <v/>
      </c>
      <c r="O4562" s="13" t="str">
        <f t="shared" si="1"/>
        <v/>
      </c>
    </row>
    <row r="4563" ht="22.5" customHeight="1">
      <c r="B4563" s="13">
        <f>IFERROR(__xludf.DUMMYFUNCTION("""COMPUTED_VALUE"""),4558.0)</f>
        <v>4558</v>
      </c>
      <c r="C4563" s="13" t="str">
        <f>IFERROR(__xludf.DUMMYFUNCTION("""COMPUTED_VALUE"""),"m 559/ sumur batu")</f>
        <v>m 559/ sumur batu</v>
      </c>
      <c r="D4563" s="13" t="str">
        <f>IFERROR(__xludf.DUMMYFUNCTION("""COMPUTED_VALUE"""),"ABKXKZQF")</f>
        <v>ABKXKZQF</v>
      </c>
      <c r="E4563" s="14" t="str">
        <f>IFERROR(__xludf.DUMMYFUNCTION("""COMPUTED_VALUE"""),"Heri (BT)")</f>
        <v>Heri (BT)</v>
      </c>
      <c r="F4563" s="14" t="str">
        <f>IFERROR(__xludf.DUMMYFUNCTION("""COMPUTED_VALUE"""),"SELESAI (VIA PERMOHONAN)")</f>
        <v>SELESAI (VIA PERMOHONAN)</v>
      </c>
      <c r="G4563" s="17">
        <f>IFERROR(__xludf.DUMMYFUNCTION("""COMPUTED_VALUE"""),45995.43954680556)</f>
        <v>45995.43955</v>
      </c>
      <c r="H4563" s="14"/>
      <c r="I4563" s="13"/>
      <c r="J4563" s="17" t="str">
        <f>IFERROR(__xludf.DUMMYFUNCTION("""COMPUTED_VALUE"""),"")</f>
        <v/>
      </c>
      <c r="K4563" s="13" t="str">
        <f>IFERROR(__xludf.DUMMYFUNCTION("""COMPUTED_VALUE"""),"BT atau SU Belum Valid")</f>
        <v>BT atau SU Belum Valid</v>
      </c>
      <c r="L4563" s="13" t="str">
        <f>IFERROR(__xludf.DUMMYFUNCTION("""COMPUTED_VALUE"""),"")</f>
        <v/>
      </c>
      <c r="M4563" s="13"/>
      <c r="N4563" s="13" t="str">
        <f>IFERROR(__xludf.DUMMYFUNCTION("""COMPUTED_VALUE"""),"")</f>
        <v/>
      </c>
      <c r="O4563" s="13" t="str">
        <f t="shared" si="1"/>
        <v/>
      </c>
    </row>
    <row r="4564" ht="22.5" customHeight="1">
      <c r="B4564" s="13">
        <f>IFERROR(__xludf.DUMMYFUNCTION("""COMPUTED_VALUE"""),4559.0)</f>
        <v>4559</v>
      </c>
      <c r="C4564" s="13" t="str">
        <f>IFERROR(__xludf.DUMMYFUNCTION("""COMPUTED_VALUE"""),"M 1028/ WAY GUBAK")</f>
        <v>M 1028/ WAY GUBAK</v>
      </c>
      <c r="D4564" s="13" t="str">
        <f>IFERROR(__xludf.DUMMYFUNCTION("""COMPUTED_VALUE"""),"K/34/220925/1")</f>
        <v>K/34/220925/1</v>
      </c>
      <c r="E4564" s="14" t="str">
        <f>IFERROR(__xludf.DUMMYFUNCTION("""COMPUTED_VALUE"""),"Heri (BT)")</f>
        <v>Heri (BT)</v>
      </c>
      <c r="F4564" s="14" t="str">
        <f>IFERROR(__xludf.DUMMYFUNCTION("""COMPUTED_VALUE"""),"SELESAI (VIA PERMOHONAN)")</f>
        <v>SELESAI (VIA PERMOHONAN)</v>
      </c>
      <c r="G4564" s="17">
        <f>IFERROR(__xludf.DUMMYFUNCTION("""COMPUTED_VALUE"""),45995.43970653936)</f>
        <v>45995.43971</v>
      </c>
      <c r="H4564" s="14"/>
      <c r="I4564" s="13"/>
      <c r="J4564" s="17" t="str">
        <f>IFERROR(__xludf.DUMMYFUNCTION("""COMPUTED_VALUE"""),"")</f>
        <v/>
      </c>
      <c r="K4564" s="13" t="str">
        <f>IFERROR(__xludf.DUMMYFUNCTION("""COMPUTED_VALUE"""),"BT atau SU Belum Valid")</f>
        <v>BT atau SU Belum Valid</v>
      </c>
      <c r="L4564" s="13" t="str">
        <f>IFERROR(__xludf.DUMMYFUNCTION("""COMPUTED_VALUE"""),"")</f>
        <v/>
      </c>
      <c r="M4564" s="13"/>
      <c r="N4564" s="13" t="str">
        <f>IFERROR(__xludf.DUMMYFUNCTION("""COMPUTED_VALUE"""),"")</f>
        <v/>
      </c>
      <c r="O4564" s="13" t="str">
        <f t="shared" si="1"/>
        <v/>
      </c>
    </row>
    <row r="4565" ht="22.5" customHeight="1">
      <c r="B4565" s="13">
        <f>IFERROR(__xludf.DUMMYFUNCTION("""COMPUTED_VALUE"""),4560.0)</f>
        <v>4560</v>
      </c>
      <c r="C4565" s="13" t="str">
        <f>IFERROR(__xludf.DUMMYFUNCTION("""COMPUTED_VALUE"""),"M. 1065/GUNUNG AGUNG")</f>
        <v>M. 1065/GUNUNG AGUNG</v>
      </c>
      <c r="D4565" s="13" t="str">
        <f>IFERROR(__xludf.DUMMYFUNCTION("""COMPUTED_VALUE"""),"L/7/011025/1")</f>
        <v>L/7/011025/1</v>
      </c>
      <c r="E4565" s="14" t="str">
        <f>IFERROR(__xludf.DUMMYFUNCTION("""COMPUTED_VALUE"""),"Heri (BT)")</f>
        <v>Heri (BT)</v>
      </c>
      <c r="F4565" s="14" t="str">
        <f>IFERROR(__xludf.DUMMYFUNCTION("""COMPUTED_VALUE"""),"SELESAI (VIA PERMOHONAN)")</f>
        <v>SELESAI (VIA PERMOHONAN)</v>
      </c>
      <c r="G4565" s="17">
        <f>IFERROR(__xludf.DUMMYFUNCTION("""COMPUTED_VALUE"""),45995.44018741898)</f>
        <v>45995.44019</v>
      </c>
      <c r="H4565" s="14"/>
      <c r="I4565" s="13"/>
      <c r="J4565" s="17" t="str">
        <f>IFERROR(__xludf.DUMMYFUNCTION("""COMPUTED_VALUE"""),"")</f>
        <v/>
      </c>
      <c r="K4565" s="13" t="str">
        <f>IFERROR(__xludf.DUMMYFUNCTION("""COMPUTED_VALUE"""),"BT atau SU Belum Valid")</f>
        <v>BT atau SU Belum Valid</v>
      </c>
      <c r="L4565" s="13" t="str">
        <f>IFERROR(__xludf.DUMMYFUNCTION("""COMPUTED_VALUE"""),"")</f>
        <v/>
      </c>
      <c r="M4565" s="13"/>
      <c r="N4565" s="13" t="str">
        <f>IFERROR(__xludf.DUMMYFUNCTION("""COMPUTED_VALUE"""),"")</f>
        <v/>
      </c>
      <c r="O4565" s="13" t="str">
        <f t="shared" si="1"/>
        <v/>
      </c>
    </row>
    <row r="4566" ht="22.5" customHeight="1">
      <c r="B4566" s="13">
        <f>IFERROR(__xludf.DUMMYFUNCTION("""COMPUTED_VALUE"""),4561.0)</f>
        <v>4561</v>
      </c>
      <c r="C4566" s="13" t="str">
        <f>IFERROR(__xludf.DUMMYFUNCTION("""COMPUTED_VALUE"""),"M. 707/PELITA")</f>
        <v>M. 707/PELITA</v>
      </c>
      <c r="D4566" s="13" t="str">
        <f>IFERROR(__xludf.DUMMYFUNCTION("""COMPUTED_VALUE"""),"L/17/161025/1")</f>
        <v>L/17/161025/1</v>
      </c>
      <c r="E4566" s="14" t="str">
        <f>IFERROR(__xludf.DUMMYFUNCTION("""COMPUTED_VALUE"""),"Heri (BT)")</f>
        <v>Heri (BT)</v>
      </c>
      <c r="F4566" s="14" t="str">
        <f>IFERROR(__xludf.DUMMYFUNCTION("""COMPUTED_VALUE"""),"SELESAI (VIA PERMOHONAN)")</f>
        <v>SELESAI (VIA PERMOHONAN)</v>
      </c>
      <c r="G4566" s="17">
        <f>IFERROR(__xludf.DUMMYFUNCTION("""COMPUTED_VALUE"""),45995.44033766203)</f>
        <v>45995.44034</v>
      </c>
      <c r="H4566" s="14"/>
      <c r="I4566" s="13"/>
      <c r="J4566" s="17" t="str">
        <f>IFERROR(__xludf.DUMMYFUNCTION("""COMPUTED_VALUE"""),"")</f>
        <v/>
      </c>
      <c r="K4566" s="13" t="str">
        <f>IFERROR(__xludf.DUMMYFUNCTION("""COMPUTED_VALUE"""),"BT atau SU Belum Valid")</f>
        <v>BT atau SU Belum Valid</v>
      </c>
      <c r="L4566" s="13" t="str">
        <f>IFERROR(__xludf.DUMMYFUNCTION("""COMPUTED_VALUE"""),"")</f>
        <v/>
      </c>
      <c r="M4566" s="13"/>
      <c r="N4566" s="13" t="str">
        <f>IFERROR(__xludf.DUMMYFUNCTION("""COMPUTED_VALUE"""),"")</f>
        <v/>
      </c>
      <c r="O4566" s="13" t="str">
        <f t="shared" si="1"/>
        <v/>
      </c>
    </row>
    <row r="4567" ht="22.5" customHeight="1">
      <c r="B4567" s="13">
        <f>IFERROR(__xludf.DUMMYFUNCTION("""COMPUTED_VALUE"""),4562.0)</f>
        <v>4562</v>
      </c>
      <c r="C4567" s="13" t="str">
        <f>IFERROR(__xludf.DUMMYFUNCTION("""COMPUTED_VALUE"""),"M. 265/DURIAN PAYUNG")</f>
        <v>M. 265/DURIAN PAYUNG</v>
      </c>
      <c r="D4567" s="13" t="str">
        <f>IFERROR(__xludf.DUMMYFUNCTION("""COMPUTED_VALUE"""),"L/2/021025/1")</f>
        <v>L/2/021025/1</v>
      </c>
      <c r="E4567" s="14" t="str">
        <f>IFERROR(__xludf.DUMMYFUNCTION("""COMPUTED_VALUE"""),"Heri (BT)")</f>
        <v>Heri (BT)</v>
      </c>
      <c r="F4567" s="14" t="str">
        <f>IFERROR(__xludf.DUMMYFUNCTION("""COMPUTED_VALUE"""),"SELESAI (VIA PERMOHONAN)")</f>
        <v>SELESAI (VIA PERMOHONAN)</v>
      </c>
      <c r="G4567" s="17">
        <f>IFERROR(__xludf.DUMMYFUNCTION("""COMPUTED_VALUE"""),45995.44053114583)</f>
        <v>45995.44053</v>
      </c>
      <c r="H4567" s="14"/>
      <c r="I4567" s="13"/>
      <c r="J4567" s="17" t="str">
        <f>IFERROR(__xludf.DUMMYFUNCTION("""COMPUTED_VALUE"""),"")</f>
        <v/>
      </c>
      <c r="K4567" s="13" t="str">
        <f>IFERROR(__xludf.DUMMYFUNCTION("""COMPUTED_VALUE"""),"BT atau SU Belum Valid")</f>
        <v>BT atau SU Belum Valid</v>
      </c>
      <c r="L4567" s="13" t="str">
        <f>IFERROR(__xludf.DUMMYFUNCTION("""COMPUTED_VALUE"""),"")</f>
        <v/>
      </c>
      <c r="M4567" s="13"/>
      <c r="N4567" s="13" t="str">
        <f>IFERROR(__xludf.DUMMYFUNCTION("""COMPUTED_VALUE"""),"")</f>
        <v/>
      </c>
      <c r="O4567" s="13" t="str">
        <f t="shared" si="1"/>
        <v/>
      </c>
    </row>
    <row r="4568" ht="22.5" customHeight="1">
      <c r="B4568" s="13">
        <f>IFERROR(__xludf.DUMMYFUNCTION("""COMPUTED_VALUE"""),4563.0)</f>
        <v>4563</v>
      </c>
      <c r="C4568" s="13" t="str">
        <f>IFERROR(__xludf.DUMMYFUNCTION("""COMPUTED_VALUE"""),"SHGB 5651/BERINGIN RAYA")</f>
        <v>SHGB 5651/BERINGIN RAYA</v>
      </c>
      <c r="D4568" s="13" t="str">
        <f>IFERROR(__xludf.DUMMYFUNCTION("""COMPUTED_VALUE"""),"L/15/141025/1")</f>
        <v>L/15/141025/1</v>
      </c>
      <c r="E4568" s="14" t="str">
        <f>IFERROR(__xludf.DUMMYFUNCTION("""COMPUTED_VALUE"""),"Heri (BT)")</f>
        <v>Heri (BT)</v>
      </c>
      <c r="F4568" s="14" t="str">
        <f>IFERROR(__xludf.DUMMYFUNCTION("""COMPUTED_VALUE"""),"SELESAI (VIA PERMOHONAN)")</f>
        <v>SELESAI (VIA PERMOHONAN)</v>
      </c>
      <c r="G4568" s="17">
        <f>IFERROR(__xludf.DUMMYFUNCTION("""COMPUTED_VALUE"""),45995.44085601852)</f>
        <v>45995.44086</v>
      </c>
      <c r="H4568" s="14"/>
      <c r="I4568" s="13"/>
      <c r="J4568" s="17" t="str">
        <f>IFERROR(__xludf.DUMMYFUNCTION("""COMPUTED_VALUE"""),"")</f>
        <v/>
      </c>
      <c r="K4568" s="13" t="str">
        <f>IFERROR(__xludf.DUMMYFUNCTION("""COMPUTED_VALUE"""),"BT atau SU Belum Valid")</f>
        <v>BT atau SU Belum Valid</v>
      </c>
      <c r="L4568" s="13" t="str">
        <f>IFERROR(__xludf.DUMMYFUNCTION("""COMPUTED_VALUE"""),"")</f>
        <v/>
      </c>
      <c r="M4568" s="13"/>
      <c r="N4568" s="13" t="str">
        <f>IFERROR(__xludf.DUMMYFUNCTION("""COMPUTED_VALUE"""),"")</f>
        <v/>
      </c>
      <c r="O4568" s="13" t="str">
        <f t="shared" si="1"/>
        <v/>
      </c>
    </row>
    <row r="4569" ht="22.5" customHeight="1">
      <c r="B4569" s="13">
        <f>IFERROR(__xludf.DUMMYFUNCTION("""COMPUTED_VALUE"""),4564.0)</f>
        <v>4564</v>
      </c>
      <c r="C4569" s="13" t="str">
        <f>IFERROR(__xludf.DUMMYFUNCTION("""COMPUTED_VALUE"""),"M. 9592/SUKABUMI")</f>
        <v>M. 9592/SUKABUMI</v>
      </c>
      <c r="D4569" s="13" t="str">
        <f>IFERROR(__xludf.DUMMYFUNCTION("""COMPUTED_VALUE"""),"L/4/151025/1")</f>
        <v>L/4/151025/1</v>
      </c>
      <c r="E4569" s="14" t="str">
        <f>IFERROR(__xludf.DUMMYFUNCTION("""COMPUTED_VALUE"""),"Heri (BT)")</f>
        <v>Heri (BT)</v>
      </c>
      <c r="F4569" s="14" t="str">
        <f>IFERROR(__xludf.DUMMYFUNCTION("""COMPUTED_VALUE"""),"SELESAI (VIA PERMOHONAN)")</f>
        <v>SELESAI (VIA PERMOHONAN)</v>
      </c>
      <c r="G4569" s="17">
        <f>IFERROR(__xludf.DUMMYFUNCTION("""COMPUTED_VALUE"""),45995.44108347222)</f>
        <v>45995.44108</v>
      </c>
      <c r="H4569" s="14"/>
      <c r="I4569" s="13"/>
      <c r="J4569" s="17" t="str">
        <f>IFERROR(__xludf.DUMMYFUNCTION("""COMPUTED_VALUE"""),"")</f>
        <v/>
      </c>
      <c r="K4569" s="13" t="str">
        <f>IFERROR(__xludf.DUMMYFUNCTION("""COMPUTED_VALUE"""),"BT atau SU Belum Valid")</f>
        <v>BT atau SU Belum Valid</v>
      </c>
      <c r="L4569" s="13" t="str">
        <f>IFERROR(__xludf.DUMMYFUNCTION("""COMPUTED_VALUE"""),"")</f>
        <v/>
      </c>
      <c r="M4569" s="13"/>
      <c r="N4569" s="13" t="str">
        <f>IFERROR(__xludf.DUMMYFUNCTION("""COMPUTED_VALUE"""),"")</f>
        <v/>
      </c>
      <c r="O4569" s="13" t="str">
        <f t="shared" si="1"/>
        <v/>
      </c>
    </row>
    <row r="4570" ht="22.5" customHeight="1">
      <c r="B4570" s="13">
        <f>IFERROR(__xludf.DUMMYFUNCTION("""COMPUTED_VALUE"""),4565.0)</f>
        <v>4565</v>
      </c>
      <c r="C4570" s="13" t="str">
        <f>IFERROR(__xludf.DUMMYFUNCTION("""COMPUTED_VALUE"""),"M. 503/SUMUR BATU")</f>
        <v>M. 503/SUMUR BATU</v>
      </c>
      <c r="D4570" s="13" t="str">
        <f>IFERROR(__xludf.DUMMYFUNCTION("""COMPUTED_VALUE"""),"K/4/041126/1")</f>
        <v>K/4/041126/1</v>
      </c>
      <c r="E4570" s="14" t="str">
        <f>IFERROR(__xludf.DUMMYFUNCTION("""COMPUTED_VALUE"""),"Heri (BT)")</f>
        <v>Heri (BT)</v>
      </c>
      <c r="F4570" s="14" t="str">
        <f>IFERROR(__xludf.DUMMYFUNCTION("""COMPUTED_VALUE"""),"SELESAI (VIA PERMOHONAN)")</f>
        <v>SELESAI (VIA PERMOHONAN)</v>
      </c>
      <c r="G4570" s="17">
        <f>IFERROR(__xludf.DUMMYFUNCTION("""COMPUTED_VALUE"""),45995.44133444445)</f>
        <v>45995.44133</v>
      </c>
      <c r="H4570" s="14"/>
      <c r="I4570" s="13"/>
      <c r="J4570" s="17" t="str">
        <f>IFERROR(__xludf.DUMMYFUNCTION("""COMPUTED_VALUE"""),"")</f>
        <v/>
      </c>
      <c r="K4570" s="13" t="str">
        <f>IFERROR(__xludf.DUMMYFUNCTION("""COMPUTED_VALUE"""),"BT atau SU Belum Valid")</f>
        <v>BT atau SU Belum Valid</v>
      </c>
      <c r="L4570" s="13" t="str">
        <f>IFERROR(__xludf.DUMMYFUNCTION("""COMPUTED_VALUE"""),"")</f>
        <v/>
      </c>
      <c r="M4570" s="13"/>
      <c r="N4570" s="13" t="str">
        <f>IFERROR(__xludf.DUMMYFUNCTION("""COMPUTED_VALUE"""),"")</f>
        <v/>
      </c>
      <c r="O4570" s="13" t="str">
        <f t="shared" si="1"/>
        <v/>
      </c>
    </row>
    <row r="4571" ht="22.5" customHeight="1">
      <c r="B4571" s="13">
        <f>IFERROR(__xludf.DUMMYFUNCTION("""COMPUTED_VALUE"""),4566.0)</f>
        <v>4566</v>
      </c>
      <c r="C4571" s="13" t="str">
        <f>IFERROR(__xludf.DUMMYFUNCTION("""COMPUTED_VALUE"""),"M.34/Bumi Kedamaian.")</f>
        <v>M.34/Bumi Kedamaian.</v>
      </c>
      <c r="D4571" s="13" t="str">
        <f>IFERROR(__xludf.DUMMYFUNCTION("""COMPUTED_VALUE"""),"ABSSXAAB/AB62")</f>
        <v>ABSSXAAB/AB62</v>
      </c>
      <c r="E4571" s="14" t="str">
        <f>IFERROR(__xludf.DUMMYFUNCTION("""COMPUTED_VALUE"""),"Heri (BT)")</f>
        <v>Heri (BT)</v>
      </c>
      <c r="F4571" s="14" t="str">
        <f>IFERROR(__xludf.DUMMYFUNCTION("""COMPUTED_VALUE"""),"SELESAI (VIA PERMOHONAN)")</f>
        <v>SELESAI (VIA PERMOHONAN)</v>
      </c>
      <c r="G4571" s="17">
        <f>IFERROR(__xludf.DUMMYFUNCTION("""COMPUTED_VALUE"""),45995.44207266204)</f>
        <v>45995.44207</v>
      </c>
      <c r="H4571" s="14"/>
      <c r="I4571" s="13"/>
      <c r="J4571" s="17" t="str">
        <f>IFERROR(__xludf.DUMMYFUNCTION("""COMPUTED_VALUE"""),"")</f>
        <v/>
      </c>
      <c r="K4571" s="13" t="str">
        <f>IFERROR(__xludf.DUMMYFUNCTION("""COMPUTED_VALUE"""),"BT atau SU Belum Valid")</f>
        <v>BT atau SU Belum Valid</v>
      </c>
      <c r="L4571" s="13" t="str">
        <f>IFERROR(__xludf.DUMMYFUNCTION("""COMPUTED_VALUE"""),"")</f>
        <v/>
      </c>
      <c r="M4571" s="13"/>
      <c r="N4571" s="13" t="str">
        <f>IFERROR(__xludf.DUMMYFUNCTION("""COMPUTED_VALUE"""),"")</f>
        <v/>
      </c>
      <c r="O4571" s="13" t="str">
        <f t="shared" si="1"/>
        <v/>
      </c>
    </row>
    <row r="4572" ht="22.5" customHeight="1">
      <c r="B4572" s="13">
        <f>IFERROR(__xludf.DUMMYFUNCTION("""COMPUTED_VALUE"""),4567.0)</f>
        <v>4567</v>
      </c>
      <c r="C4572" s="13" t="str">
        <f>IFERROR(__xludf.DUMMYFUNCTION("""COMPUTED_VALUE"""),"M. 489/SUKAMENANTI BARU")</f>
        <v>M. 489/SUKAMENANTI BARU</v>
      </c>
      <c r="D4572" s="13" t="str">
        <f>IFERROR(__xludf.DUMMYFUNCTION("""COMPUTED_VALUE"""),"K/10/041126/1")</f>
        <v>K/10/041126/1</v>
      </c>
      <c r="E4572" s="14" t="str">
        <f>IFERROR(__xludf.DUMMYFUNCTION("""COMPUTED_VALUE"""),"Heri (BT)")</f>
        <v>Heri (BT)</v>
      </c>
      <c r="F4572" s="14" t="str">
        <f>IFERROR(__xludf.DUMMYFUNCTION("""COMPUTED_VALUE"""),"SELESAI (VIA PERMOHONAN)")</f>
        <v>SELESAI (VIA PERMOHONAN)</v>
      </c>
      <c r="G4572" s="17">
        <f>IFERROR(__xludf.DUMMYFUNCTION("""COMPUTED_VALUE"""),45995.44328712963)</f>
        <v>45995.44329</v>
      </c>
      <c r="H4572" s="14"/>
      <c r="I4572" s="13"/>
      <c r="J4572" s="17" t="str">
        <f>IFERROR(__xludf.DUMMYFUNCTION("""COMPUTED_VALUE"""),"")</f>
        <v/>
      </c>
      <c r="K4572" s="13" t="str">
        <f>IFERROR(__xludf.DUMMYFUNCTION("""COMPUTED_VALUE"""),"BT atau SU Belum Valid")</f>
        <v>BT atau SU Belum Valid</v>
      </c>
      <c r="L4572" s="13" t="str">
        <f>IFERROR(__xludf.DUMMYFUNCTION("""COMPUTED_VALUE"""),"")</f>
        <v/>
      </c>
      <c r="M4572" s="13"/>
      <c r="N4572" s="13" t="str">
        <f>IFERROR(__xludf.DUMMYFUNCTION("""COMPUTED_VALUE"""),"")</f>
        <v/>
      </c>
      <c r="O4572" s="13" t="str">
        <f t="shared" si="1"/>
        <v/>
      </c>
    </row>
    <row r="4573" ht="22.5" customHeight="1">
      <c r="B4573" s="13">
        <f>IFERROR(__xludf.DUMMYFUNCTION("""COMPUTED_VALUE"""),4568.0)</f>
        <v>4568</v>
      </c>
      <c r="C4573" s="13" t="str">
        <f>IFERROR(__xludf.DUMMYFUNCTION("""COMPUTED_VALUE"""),"2551/pinang jaya")</f>
        <v>2551/pinang jaya</v>
      </c>
      <c r="D4573" s="13" t="str">
        <f>IFERROR(__xludf.DUMMYFUNCTION("""COMPUTED_VALUE"""),"ABGVOMPP/AB026")</f>
        <v>ABGVOMPP/AB026</v>
      </c>
      <c r="E4573" s="14" t="str">
        <f>IFERROR(__xludf.DUMMYFUNCTION("""COMPUTED_VALUE"""),"Heri (BT)")</f>
        <v>Heri (BT)</v>
      </c>
      <c r="F4573" s="14" t="str">
        <f>IFERROR(__xludf.DUMMYFUNCTION("""COMPUTED_VALUE"""),"SELESAI (VIA PERMOHONAN)")</f>
        <v>SELESAI (VIA PERMOHONAN)</v>
      </c>
      <c r="G4573" s="17">
        <f>IFERROR(__xludf.DUMMYFUNCTION("""COMPUTED_VALUE"""),45995.44348015046)</f>
        <v>45995.44348</v>
      </c>
      <c r="H4573" s="14"/>
      <c r="I4573" s="13"/>
      <c r="J4573" s="17" t="str">
        <f>IFERROR(__xludf.DUMMYFUNCTION("""COMPUTED_VALUE"""),"")</f>
        <v/>
      </c>
      <c r="K4573" s="13" t="str">
        <f>IFERROR(__xludf.DUMMYFUNCTION("""COMPUTED_VALUE"""),"BT atau SU Belum Valid")</f>
        <v>BT atau SU Belum Valid</v>
      </c>
      <c r="L4573" s="13" t="str">
        <f>IFERROR(__xludf.DUMMYFUNCTION("""COMPUTED_VALUE"""),"")</f>
        <v/>
      </c>
      <c r="M4573" s="13"/>
      <c r="N4573" s="13" t="str">
        <f>IFERROR(__xludf.DUMMYFUNCTION("""COMPUTED_VALUE"""),"")</f>
        <v/>
      </c>
      <c r="O4573" s="13" t="str">
        <f t="shared" si="1"/>
        <v/>
      </c>
    </row>
    <row r="4574" ht="22.5" customHeight="1">
      <c r="B4574" s="13">
        <f>IFERROR(__xludf.DUMMYFUNCTION("""COMPUTED_VALUE"""),4569.0)</f>
        <v>4569</v>
      </c>
      <c r="C4574" s="13" t="str">
        <f>IFERROR(__xludf.DUMMYFUNCTION("""COMPUTED_VALUE"""),"M. 2510/pinang jaya ")</f>
        <v>M. 2510/pinang jaya </v>
      </c>
      <c r="D4574" s="13" t="str">
        <f>IFERROR(__xludf.DUMMYFUNCTION("""COMPUTED_VALUE"""),"ABUONQEQ/AB034")</f>
        <v>ABUONQEQ/AB034</v>
      </c>
      <c r="E4574" s="14" t="str">
        <f>IFERROR(__xludf.DUMMYFUNCTION("""COMPUTED_VALUE"""),"Heri (BT)")</f>
        <v>Heri (BT)</v>
      </c>
      <c r="F4574" s="14" t="str">
        <f>IFERROR(__xludf.DUMMYFUNCTION("""COMPUTED_VALUE"""),"SELESAI (VIA PERMOHONAN)")</f>
        <v>SELESAI (VIA PERMOHONAN)</v>
      </c>
      <c r="G4574" s="17">
        <f>IFERROR(__xludf.DUMMYFUNCTION("""COMPUTED_VALUE"""),45995.44362799768)</f>
        <v>45995.44363</v>
      </c>
      <c r="H4574" s="14"/>
      <c r="I4574" s="13"/>
      <c r="J4574" s="17" t="str">
        <f>IFERROR(__xludf.DUMMYFUNCTION("""COMPUTED_VALUE"""),"")</f>
        <v/>
      </c>
      <c r="K4574" s="13" t="str">
        <f>IFERROR(__xludf.DUMMYFUNCTION("""COMPUTED_VALUE"""),"BT atau SU Belum Valid")</f>
        <v>BT atau SU Belum Valid</v>
      </c>
      <c r="L4574" s="13" t="str">
        <f>IFERROR(__xludf.DUMMYFUNCTION("""COMPUTED_VALUE"""),"")</f>
        <v/>
      </c>
      <c r="M4574" s="13"/>
      <c r="N4574" s="13" t="str">
        <f>IFERROR(__xludf.DUMMYFUNCTION("""COMPUTED_VALUE"""),"")</f>
        <v/>
      </c>
      <c r="O4574" s="13" t="str">
        <f t="shared" si="1"/>
        <v/>
      </c>
    </row>
    <row r="4575" ht="22.5" customHeight="1">
      <c r="B4575" s="13">
        <f>IFERROR(__xludf.DUMMYFUNCTION("""COMPUTED_VALUE"""),4570.0)</f>
        <v>4570</v>
      </c>
      <c r="C4575" s="13" t="str">
        <f>IFERROR(__xludf.DUMMYFUNCTION("""COMPUTED_VALUE"""),"Shm.8278/sukabumi")</f>
        <v>Shm.8278/sukabumi</v>
      </c>
      <c r="D4575" s="13" t="str">
        <f>IFERROR(__xludf.DUMMYFUNCTION("""COMPUTED_VALUE"""),"ABSEBACK")</f>
        <v>ABSEBACK</v>
      </c>
      <c r="E4575" s="14" t="str">
        <f>IFERROR(__xludf.DUMMYFUNCTION("""COMPUTED_VALUE"""),"Heri (BT)")</f>
        <v>Heri (BT)</v>
      </c>
      <c r="F4575" s="14" t="str">
        <f>IFERROR(__xludf.DUMMYFUNCTION("""COMPUTED_VALUE"""),"SELESAI (VIA PERMOHONAN)")</f>
        <v>SELESAI (VIA PERMOHONAN)</v>
      </c>
      <c r="G4575" s="17">
        <f>IFERROR(__xludf.DUMMYFUNCTION("""COMPUTED_VALUE"""),45995.44383010417)</f>
        <v>45995.44383</v>
      </c>
      <c r="H4575" s="14"/>
      <c r="I4575" s="13"/>
      <c r="J4575" s="17" t="str">
        <f>IFERROR(__xludf.DUMMYFUNCTION("""COMPUTED_VALUE"""),"")</f>
        <v/>
      </c>
      <c r="K4575" s="13" t="str">
        <f>IFERROR(__xludf.DUMMYFUNCTION("""COMPUTED_VALUE"""),"BT atau SU Belum Valid")</f>
        <v>BT atau SU Belum Valid</v>
      </c>
      <c r="L4575" s="13" t="str">
        <f>IFERROR(__xludf.DUMMYFUNCTION("""COMPUTED_VALUE"""),"")</f>
        <v/>
      </c>
      <c r="M4575" s="13"/>
      <c r="N4575" s="13" t="str">
        <f>IFERROR(__xludf.DUMMYFUNCTION("""COMPUTED_VALUE"""),"")</f>
        <v/>
      </c>
      <c r="O4575" s="13" t="str">
        <f t="shared" si="1"/>
        <v/>
      </c>
    </row>
    <row r="4576" ht="22.5" customHeight="1">
      <c r="B4576" s="13">
        <f>IFERROR(__xludf.DUMMYFUNCTION("""COMPUTED_VALUE"""),4571.0)</f>
        <v>4571</v>
      </c>
      <c r="C4576" s="13" t="str">
        <f>IFERROR(__xludf.DUMMYFUNCTION("""COMPUTED_VALUE"""),"M. 1961/Kali Balau Kencana")</f>
        <v>M. 1961/Kali Balau Kencana</v>
      </c>
      <c r="D4576" s="13" t="str">
        <f>IFERROR(__xludf.DUMMYFUNCTION("""COMPUTED_VALUE"""),"K/42/091025/1")</f>
        <v>K/42/091025/1</v>
      </c>
      <c r="E4576" s="14" t="str">
        <f>IFERROR(__xludf.DUMMYFUNCTION("""COMPUTED_VALUE"""),"Heri (BT)")</f>
        <v>Heri (BT)</v>
      </c>
      <c r="F4576" s="14" t="str">
        <f>IFERROR(__xludf.DUMMYFUNCTION("""COMPUTED_VALUE"""),"SELESAI (VIA PERMOHONAN)")</f>
        <v>SELESAI (VIA PERMOHONAN)</v>
      </c>
      <c r="G4576" s="17">
        <f>IFERROR(__xludf.DUMMYFUNCTION("""COMPUTED_VALUE"""),45995.44421393519)</f>
        <v>45995.44421</v>
      </c>
      <c r="H4576" s="14"/>
      <c r="I4576" s="13"/>
      <c r="J4576" s="17" t="str">
        <f>IFERROR(__xludf.DUMMYFUNCTION("""COMPUTED_VALUE"""),"")</f>
        <v/>
      </c>
      <c r="K4576" s="13" t="str">
        <f>IFERROR(__xludf.DUMMYFUNCTION("""COMPUTED_VALUE"""),"BT atau SU Belum Valid")</f>
        <v>BT atau SU Belum Valid</v>
      </c>
      <c r="L4576" s="13" t="str">
        <f>IFERROR(__xludf.DUMMYFUNCTION("""COMPUTED_VALUE"""),"")</f>
        <v/>
      </c>
      <c r="M4576" s="13"/>
      <c r="N4576" s="13" t="str">
        <f>IFERROR(__xludf.DUMMYFUNCTION("""COMPUTED_VALUE"""),"")</f>
        <v/>
      </c>
      <c r="O4576" s="13" t="str">
        <f t="shared" si="1"/>
        <v/>
      </c>
    </row>
    <row r="4577" ht="22.5" customHeight="1">
      <c r="B4577" s="13">
        <f>IFERROR(__xludf.DUMMYFUNCTION("""COMPUTED_VALUE"""),4572.0)</f>
        <v>4572</v>
      </c>
      <c r="C4577" s="13" t="str">
        <f>IFERROR(__xludf.DUMMYFUNCTION("""COMPUTED_VALUE"""),"M. 13767/Sukabumi")</f>
        <v>M. 13767/Sukabumi</v>
      </c>
      <c r="D4577" s="13" t="str">
        <f>IFERROR(__xludf.DUMMYFUNCTION("""COMPUTED_VALUE"""),"ABQWLUYK/AB033")</f>
        <v>ABQWLUYK/AB033</v>
      </c>
      <c r="E4577" s="14" t="str">
        <f>IFERROR(__xludf.DUMMYFUNCTION("""COMPUTED_VALUE"""),"Heri (BT)")</f>
        <v>Heri (BT)</v>
      </c>
      <c r="F4577" s="14" t="str">
        <f>IFERROR(__xludf.DUMMYFUNCTION("""COMPUTED_VALUE"""),"SELESAI (VIA PERMOHONAN)")</f>
        <v>SELESAI (VIA PERMOHONAN)</v>
      </c>
      <c r="G4577" s="17">
        <f>IFERROR(__xludf.DUMMYFUNCTION("""COMPUTED_VALUE"""),45995.444405856484)</f>
        <v>45995.44441</v>
      </c>
      <c r="H4577" s="14"/>
      <c r="I4577" s="13"/>
      <c r="J4577" s="17" t="str">
        <f>IFERROR(__xludf.DUMMYFUNCTION("""COMPUTED_VALUE"""),"")</f>
        <v/>
      </c>
      <c r="K4577" s="13" t="str">
        <f>IFERROR(__xludf.DUMMYFUNCTION("""COMPUTED_VALUE"""),"BT atau SU Belum Valid")</f>
        <v>BT atau SU Belum Valid</v>
      </c>
      <c r="L4577" s="13" t="str">
        <f>IFERROR(__xludf.DUMMYFUNCTION("""COMPUTED_VALUE"""),"")</f>
        <v/>
      </c>
      <c r="M4577" s="13"/>
      <c r="N4577" s="13" t="str">
        <f>IFERROR(__xludf.DUMMYFUNCTION("""COMPUTED_VALUE"""),"")</f>
        <v/>
      </c>
      <c r="O4577" s="13" t="str">
        <f t="shared" si="1"/>
        <v/>
      </c>
    </row>
    <row r="4578" ht="22.5" customHeight="1">
      <c r="B4578" s="13">
        <f>IFERROR(__xludf.DUMMYFUNCTION("""COMPUTED_VALUE"""),4573.0)</f>
        <v>4573</v>
      </c>
      <c r="C4578" s="13" t="str">
        <f>IFERROR(__xludf.DUMMYFUNCTION("""COMPUTED_VALUE"""),"M. 1694/beringin jaya")</f>
        <v>M. 1694/beringin jaya</v>
      </c>
      <c r="D4578" s="13" t="str">
        <f>IFERROR(__xludf.DUMMYFUNCTION("""COMPUTED_VALUE"""),"ABYBKMUN/AB069")</f>
        <v>ABYBKMUN/AB069</v>
      </c>
      <c r="E4578" s="14" t="str">
        <f>IFERROR(__xludf.DUMMYFUNCTION("""COMPUTED_VALUE"""),"Heri (BT)")</f>
        <v>Heri (BT)</v>
      </c>
      <c r="F4578" s="14" t="str">
        <f>IFERROR(__xludf.DUMMYFUNCTION("""COMPUTED_VALUE"""),"SELESAI (VIA PERMOHONAN)")</f>
        <v>SELESAI (VIA PERMOHONAN)</v>
      </c>
      <c r="G4578" s="17">
        <f>IFERROR(__xludf.DUMMYFUNCTION("""COMPUTED_VALUE"""),45995.444575636575)</f>
        <v>45995.44458</v>
      </c>
      <c r="H4578" s="14"/>
      <c r="I4578" s="13"/>
      <c r="J4578" s="17" t="str">
        <f>IFERROR(__xludf.DUMMYFUNCTION("""COMPUTED_VALUE"""),"")</f>
        <v/>
      </c>
      <c r="K4578" s="13" t="str">
        <f>IFERROR(__xludf.DUMMYFUNCTION("""COMPUTED_VALUE"""),"BT atau SU Belum Valid")</f>
        <v>BT atau SU Belum Valid</v>
      </c>
      <c r="L4578" s="13" t="str">
        <f>IFERROR(__xludf.DUMMYFUNCTION("""COMPUTED_VALUE"""),"")</f>
        <v/>
      </c>
      <c r="M4578" s="13"/>
      <c r="N4578" s="13" t="str">
        <f>IFERROR(__xludf.DUMMYFUNCTION("""COMPUTED_VALUE"""),"")</f>
        <v/>
      </c>
      <c r="O4578" s="13" t="str">
        <f t="shared" si="1"/>
        <v/>
      </c>
    </row>
    <row r="4579" ht="22.5" customHeight="1">
      <c r="B4579" s="13">
        <f>IFERROR(__xludf.DUMMYFUNCTION("""COMPUTED_VALUE"""),4574.0)</f>
        <v>4574</v>
      </c>
      <c r="C4579" s="13" t="str">
        <f>IFERROR(__xludf.DUMMYFUNCTION("""COMPUTED_VALUE"""),"SHM NO 06422")</f>
        <v>SHM NO 06422</v>
      </c>
      <c r="D4579" s="13" t="str">
        <f>IFERROR(__xludf.DUMMYFUNCTION("""COMPUTED_VALUE"""),"ABMLHWGZ/AB013")</f>
        <v>ABMLHWGZ/AB013</v>
      </c>
      <c r="E4579" s="14" t="str">
        <f>IFERROR(__xludf.DUMMYFUNCTION("""COMPUTED_VALUE"""),"Heri (BT)")</f>
        <v>Heri (BT)</v>
      </c>
      <c r="F4579" s="14" t="str">
        <f>IFERROR(__xludf.DUMMYFUNCTION("""COMPUTED_VALUE"""),"SELESAI (VIA PERMOHONAN)")</f>
        <v>SELESAI (VIA PERMOHONAN)</v>
      </c>
      <c r="G4579" s="17">
        <f>IFERROR(__xludf.DUMMYFUNCTION("""COMPUTED_VALUE"""),45995.4447915625)</f>
        <v>45995.44479</v>
      </c>
      <c r="H4579" s="14"/>
      <c r="I4579" s="13"/>
      <c r="J4579" s="17" t="str">
        <f>IFERROR(__xludf.DUMMYFUNCTION("""COMPUTED_VALUE"""),"")</f>
        <v/>
      </c>
      <c r="K4579" s="13" t="str">
        <f>IFERROR(__xludf.DUMMYFUNCTION("""COMPUTED_VALUE"""),"BT atau SU Belum Valid")</f>
        <v>BT atau SU Belum Valid</v>
      </c>
      <c r="L4579" s="13" t="str">
        <f>IFERROR(__xludf.DUMMYFUNCTION("""COMPUTED_VALUE"""),"")</f>
        <v/>
      </c>
      <c r="M4579" s="13"/>
      <c r="N4579" s="13" t="str">
        <f>IFERROR(__xludf.DUMMYFUNCTION("""COMPUTED_VALUE"""),"")</f>
        <v/>
      </c>
      <c r="O4579" s="13" t="str">
        <f t="shared" si="1"/>
        <v/>
      </c>
    </row>
    <row r="4580" ht="22.5" customHeight="1">
      <c r="B4580" s="13">
        <f>IFERROR(__xludf.DUMMYFUNCTION("""COMPUTED_VALUE"""),4575.0)</f>
        <v>4575</v>
      </c>
      <c r="C4580" s="13" t="str">
        <f>IFERROR(__xludf.DUMMYFUNCTION("""COMPUTED_VALUE"""),"SHM NO 07024")</f>
        <v>SHM NO 07024</v>
      </c>
      <c r="D4580" s="13" t="str">
        <f>IFERROR(__xludf.DUMMYFUNCTION("""COMPUTED_VALUE"""),"ABTIEIGI/AB013")</f>
        <v>ABTIEIGI/AB013</v>
      </c>
      <c r="E4580" s="14" t="str">
        <f>IFERROR(__xludf.DUMMYFUNCTION("""COMPUTED_VALUE"""),"Heri (BT)")</f>
        <v>Heri (BT)</v>
      </c>
      <c r="F4580" s="14" t="str">
        <f>IFERROR(__xludf.DUMMYFUNCTION("""COMPUTED_VALUE"""),"SELESAI (VIA PERMOHONAN)")</f>
        <v>SELESAI (VIA PERMOHONAN)</v>
      </c>
      <c r="G4580" s="17">
        <f>IFERROR(__xludf.DUMMYFUNCTION("""COMPUTED_VALUE"""),45995.44499157407)</f>
        <v>45995.44499</v>
      </c>
      <c r="H4580" s="14"/>
      <c r="I4580" s="13"/>
      <c r="J4580" s="17" t="str">
        <f>IFERROR(__xludf.DUMMYFUNCTION("""COMPUTED_VALUE"""),"")</f>
        <v/>
      </c>
      <c r="K4580" s="13" t="str">
        <f>IFERROR(__xludf.DUMMYFUNCTION("""COMPUTED_VALUE"""),"BT atau SU Belum Valid")</f>
        <v>BT atau SU Belum Valid</v>
      </c>
      <c r="L4580" s="13" t="str">
        <f>IFERROR(__xludf.DUMMYFUNCTION("""COMPUTED_VALUE"""),"")</f>
        <v/>
      </c>
      <c r="M4580" s="13"/>
      <c r="N4580" s="13" t="str">
        <f>IFERROR(__xludf.DUMMYFUNCTION("""COMPUTED_VALUE"""),"")</f>
        <v/>
      </c>
      <c r="O4580" s="13" t="str">
        <f t="shared" si="1"/>
        <v/>
      </c>
    </row>
    <row r="4581" ht="22.5" customHeight="1">
      <c r="B4581" s="13">
        <f>IFERROR(__xludf.DUMMYFUNCTION("""COMPUTED_VALUE"""),4576.0)</f>
        <v>4576</v>
      </c>
      <c r="C4581" s="13" t="str">
        <f>IFERROR(__xludf.DUMMYFUNCTION("""COMPUTED_VALUE"""),"M 10263/ KAMPUNG BARU")</f>
        <v>M 10263/ KAMPUNG BARU</v>
      </c>
      <c r="D4581" s="13" t="str">
        <f>IFERROR(__xludf.DUMMYFUNCTION("""COMPUTED_VALUE"""),"K/29/230925/3")</f>
        <v>K/29/230925/3</v>
      </c>
      <c r="E4581" s="14" t="str">
        <f>IFERROR(__xludf.DUMMYFUNCTION("""COMPUTED_VALUE"""),"Heri (BT)")</f>
        <v>Heri (BT)</v>
      </c>
      <c r="F4581" s="14" t="str">
        <f>IFERROR(__xludf.DUMMYFUNCTION("""COMPUTED_VALUE"""),"SELESAI (VIA PERMOHONAN)")</f>
        <v>SELESAI (VIA PERMOHONAN)</v>
      </c>
      <c r="G4581" s="17">
        <f>IFERROR(__xludf.DUMMYFUNCTION("""COMPUTED_VALUE"""),45995.44513707176)</f>
        <v>45995.44514</v>
      </c>
      <c r="H4581" s="14"/>
      <c r="I4581" s="13"/>
      <c r="J4581" s="17" t="str">
        <f>IFERROR(__xludf.DUMMYFUNCTION("""COMPUTED_VALUE"""),"")</f>
        <v/>
      </c>
      <c r="K4581" s="13" t="str">
        <f>IFERROR(__xludf.DUMMYFUNCTION("""COMPUTED_VALUE"""),"BT atau SU Belum Valid")</f>
        <v>BT atau SU Belum Valid</v>
      </c>
      <c r="L4581" s="13" t="str">
        <f>IFERROR(__xludf.DUMMYFUNCTION("""COMPUTED_VALUE"""),"")</f>
        <v/>
      </c>
      <c r="M4581" s="13"/>
      <c r="N4581" s="13" t="str">
        <f>IFERROR(__xludf.DUMMYFUNCTION("""COMPUTED_VALUE"""),"")</f>
        <v/>
      </c>
      <c r="O4581" s="13" t="str">
        <f t="shared" si="1"/>
        <v/>
      </c>
    </row>
    <row r="4582" ht="22.5" customHeight="1">
      <c r="B4582" s="13">
        <f>IFERROR(__xludf.DUMMYFUNCTION("""COMPUTED_VALUE"""),4577.0)</f>
        <v>4577</v>
      </c>
      <c r="C4582" s="13" t="str">
        <f>IFERROR(__xludf.DUMMYFUNCTION("""COMPUTED_VALUE"""),"M.1644/PANJANG SELATAN")</f>
        <v>M.1644/PANJANG SELATAN</v>
      </c>
      <c r="D4582" s="13" t="str">
        <f>IFERROR(__xludf.DUMMYFUNCTION("""COMPUTED_VALUE"""),"K/9/301025/1")</f>
        <v>K/9/301025/1</v>
      </c>
      <c r="E4582" s="14" t="str">
        <f>IFERROR(__xludf.DUMMYFUNCTION("""COMPUTED_VALUE"""),"Heri (BT)")</f>
        <v>Heri (BT)</v>
      </c>
      <c r="F4582" s="14" t="str">
        <f>IFERROR(__xludf.DUMMYFUNCTION("""COMPUTED_VALUE"""),"SELESAI (VIA PERMOHONAN)")</f>
        <v>SELESAI (VIA PERMOHONAN)</v>
      </c>
      <c r="G4582" s="17">
        <f>IFERROR(__xludf.DUMMYFUNCTION("""COMPUTED_VALUE"""),45995.445299513885)</f>
        <v>45995.4453</v>
      </c>
      <c r="H4582" s="14"/>
      <c r="I4582" s="13"/>
      <c r="J4582" s="17" t="str">
        <f>IFERROR(__xludf.DUMMYFUNCTION("""COMPUTED_VALUE"""),"")</f>
        <v/>
      </c>
      <c r="K4582" s="13" t="str">
        <f>IFERROR(__xludf.DUMMYFUNCTION("""COMPUTED_VALUE"""),"BT atau SU Belum Valid")</f>
        <v>BT atau SU Belum Valid</v>
      </c>
      <c r="L4582" s="13" t="str">
        <f>IFERROR(__xludf.DUMMYFUNCTION("""COMPUTED_VALUE"""),"")</f>
        <v/>
      </c>
      <c r="M4582" s="13"/>
      <c r="N4582" s="13" t="str">
        <f>IFERROR(__xludf.DUMMYFUNCTION("""COMPUTED_VALUE"""),"")</f>
        <v/>
      </c>
      <c r="O4582" s="13" t="str">
        <f t="shared" si="1"/>
        <v/>
      </c>
    </row>
    <row r="4583" ht="22.5" customHeight="1">
      <c r="B4583" s="13">
        <f>IFERROR(__xludf.DUMMYFUNCTION("""COMPUTED_VALUE"""),4578.0)</f>
        <v>4578</v>
      </c>
      <c r="C4583" s="13" t="str">
        <f>IFERROR(__xludf.DUMMYFUNCTION("""COMPUTED_VALUE"""),"B. 457/Nusantara Permai	")</f>
        <v>B. 457/Nusantara Permai	</v>
      </c>
      <c r="D4583" s="13" t="str">
        <f>IFERROR(__xludf.DUMMYFUNCTION("""COMPUTED_VALUE"""),"K/36/250925/1")</f>
        <v>K/36/250925/1</v>
      </c>
      <c r="E4583" s="14" t="str">
        <f>IFERROR(__xludf.DUMMYFUNCTION("""COMPUTED_VALUE"""),"Heri (BT)")</f>
        <v>Heri (BT)</v>
      </c>
      <c r="F4583" s="14" t="str">
        <f>IFERROR(__xludf.DUMMYFUNCTION("""COMPUTED_VALUE"""),"SELESAI (VIA PERMOHONAN)")</f>
        <v>SELESAI (VIA PERMOHONAN)</v>
      </c>
      <c r="G4583" s="17">
        <f>IFERROR(__xludf.DUMMYFUNCTION("""COMPUTED_VALUE"""),45995.44548715278)</f>
        <v>45995.44549</v>
      </c>
      <c r="H4583" s="14"/>
      <c r="I4583" s="13"/>
      <c r="J4583" s="17" t="str">
        <f>IFERROR(__xludf.DUMMYFUNCTION("""COMPUTED_VALUE"""),"")</f>
        <v/>
      </c>
      <c r="K4583" s="13" t="str">
        <f>IFERROR(__xludf.DUMMYFUNCTION("""COMPUTED_VALUE"""),"BT atau SU Belum Valid")</f>
        <v>BT atau SU Belum Valid</v>
      </c>
      <c r="L4583" s="13" t="str">
        <f>IFERROR(__xludf.DUMMYFUNCTION("""COMPUTED_VALUE"""),"")</f>
        <v/>
      </c>
      <c r="M4583" s="13"/>
      <c r="N4583" s="13" t="str">
        <f>IFERROR(__xludf.DUMMYFUNCTION("""COMPUTED_VALUE"""),"")</f>
        <v/>
      </c>
      <c r="O4583" s="13" t="str">
        <f t="shared" si="1"/>
        <v/>
      </c>
    </row>
    <row r="4584" ht="22.5" customHeight="1">
      <c r="B4584" s="13">
        <f>IFERROR(__xludf.DUMMYFUNCTION("""COMPUTED_VALUE"""),4579.0)</f>
        <v>4579</v>
      </c>
      <c r="C4584" s="13" t="str">
        <f>IFERROR(__xludf.DUMMYFUNCTION("""COMPUTED_VALUE"""),"M.1623/Teluk betung")</f>
        <v>M.1623/Teluk betung</v>
      </c>
      <c r="D4584" s="13" t="str">
        <f>IFERROR(__xludf.DUMMYFUNCTION("""COMPUTED_VALUE"""),"ABHLIWBI")</f>
        <v>ABHLIWBI</v>
      </c>
      <c r="E4584" s="14" t="str">
        <f>IFERROR(__xludf.DUMMYFUNCTION("""COMPUTED_VALUE"""),"Heri (BT)")</f>
        <v>Heri (BT)</v>
      </c>
      <c r="F4584" s="14" t="str">
        <f>IFERROR(__xludf.DUMMYFUNCTION("""COMPUTED_VALUE"""),"SELESAI (VIA PERMOHONAN)")</f>
        <v>SELESAI (VIA PERMOHONAN)</v>
      </c>
      <c r="G4584" s="17">
        <f>IFERROR(__xludf.DUMMYFUNCTION("""COMPUTED_VALUE"""),45995.445959143515)</f>
        <v>45995.44596</v>
      </c>
      <c r="H4584" s="14"/>
      <c r="I4584" s="13"/>
      <c r="J4584" s="17" t="str">
        <f>IFERROR(__xludf.DUMMYFUNCTION("""COMPUTED_VALUE"""),"")</f>
        <v/>
      </c>
      <c r="K4584" s="13" t="str">
        <f>IFERROR(__xludf.DUMMYFUNCTION("""COMPUTED_VALUE"""),"BT atau SU Belum Valid")</f>
        <v>BT atau SU Belum Valid</v>
      </c>
      <c r="L4584" s="13" t="str">
        <f>IFERROR(__xludf.DUMMYFUNCTION("""COMPUTED_VALUE"""),"")</f>
        <v/>
      </c>
      <c r="M4584" s="13"/>
      <c r="N4584" s="13" t="str">
        <f>IFERROR(__xludf.DUMMYFUNCTION("""COMPUTED_VALUE"""),"")</f>
        <v/>
      </c>
      <c r="O4584" s="13" t="str">
        <f t="shared" si="1"/>
        <v/>
      </c>
    </row>
    <row r="4585" ht="22.5" customHeight="1">
      <c r="B4585" s="13">
        <f>IFERROR(__xludf.DUMMYFUNCTION("""COMPUTED_VALUE"""),4580.0)</f>
        <v>4580</v>
      </c>
      <c r="C4585" s="13" t="str">
        <f>IFERROR(__xludf.DUMMYFUNCTION("""COMPUTED_VALUE"""),"1793 kep gedong air tanjung karang barat")</f>
        <v>1793 kep gedong air tanjung karang barat</v>
      </c>
      <c r="D4585" s="13" t="str">
        <f>IFERROR(__xludf.DUMMYFUNCTION("""COMPUTED_VALUE"""),"ABGRJQEO")</f>
        <v>ABGRJQEO</v>
      </c>
      <c r="E4585" s="14" t="str">
        <f>IFERROR(__xludf.DUMMYFUNCTION("""COMPUTED_VALUE"""),"Heri (BT)")</f>
        <v>Heri (BT)</v>
      </c>
      <c r="F4585" s="14" t="str">
        <f>IFERROR(__xludf.DUMMYFUNCTION("""COMPUTED_VALUE"""),"SELESAI (VIA PERMOHONAN)")</f>
        <v>SELESAI (VIA PERMOHONAN)</v>
      </c>
      <c r="G4585" s="17">
        <f>IFERROR(__xludf.DUMMYFUNCTION("""COMPUTED_VALUE"""),45995.44666872685)</f>
        <v>45995.44667</v>
      </c>
      <c r="H4585" s="14"/>
      <c r="I4585" s="13"/>
      <c r="J4585" s="17" t="str">
        <f>IFERROR(__xludf.DUMMYFUNCTION("""COMPUTED_VALUE"""),"")</f>
        <v/>
      </c>
      <c r="K4585" s="13" t="str">
        <f>IFERROR(__xludf.DUMMYFUNCTION("""COMPUTED_VALUE"""),"BT atau SU Belum Valid")</f>
        <v>BT atau SU Belum Valid</v>
      </c>
      <c r="L4585" s="13" t="str">
        <f>IFERROR(__xludf.DUMMYFUNCTION("""COMPUTED_VALUE"""),"")</f>
        <v/>
      </c>
      <c r="M4585" s="13"/>
      <c r="N4585" s="13" t="str">
        <f>IFERROR(__xludf.DUMMYFUNCTION("""COMPUTED_VALUE"""),"")</f>
        <v/>
      </c>
      <c r="O4585" s="13" t="str">
        <f t="shared" si="1"/>
        <v/>
      </c>
    </row>
    <row r="4586" ht="22.5" customHeight="1">
      <c r="B4586" s="13">
        <f>IFERROR(__xludf.DUMMYFUNCTION("""COMPUTED_VALUE"""),4581.0)</f>
        <v>4581</v>
      </c>
      <c r="C4586" s="13" t="str">
        <f>IFERROR(__xludf.DUMMYFUNCTION("""COMPUTED_VALUE"""),"SHM 453 ")</f>
        <v>SHM 453 </v>
      </c>
      <c r="D4586" s="13" t="str">
        <f>IFERROR(__xludf.DUMMYFUNCTION("""COMPUTED_VALUE"""),"ABTVSGXX")</f>
        <v>ABTVSGXX</v>
      </c>
      <c r="E4586" s="14" t="str">
        <f>IFERROR(__xludf.DUMMYFUNCTION("""COMPUTED_VALUE"""),"Heri (BT)")</f>
        <v>Heri (BT)</v>
      </c>
      <c r="F4586" s="14" t="str">
        <f>IFERROR(__xludf.DUMMYFUNCTION("""COMPUTED_VALUE"""),"SELESAI (VIA PERMOHONAN)")</f>
        <v>SELESAI (VIA PERMOHONAN)</v>
      </c>
      <c r="G4586" s="17">
        <f>IFERROR(__xludf.DUMMYFUNCTION("""COMPUTED_VALUE"""),45995.44761861111)</f>
        <v>45995.44762</v>
      </c>
      <c r="H4586" s="14"/>
      <c r="I4586" s="13"/>
      <c r="J4586" s="17" t="str">
        <f>IFERROR(__xludf.DUMMYFUNCTION("""COMPUTED_VALUE"""),"")</f>
        <v/>
      </c>
      <c r="K4586" s="13" t="str">
        <f>IFERROR(__xludf.DUMMYFUNCTION("""COMPUTED_VALUE"""),"BT atau SU Belum Valid")</f>
        <v>BT atau SU Belum Valid</v>
      </c>
      <c r="L4586" s="13" t="str">
        <f>IFERROR(__xludf.DUMMYFUNCTION("""COMPUTED_VALUE"""),"")</f>
        <v/>
      </c>
      <c r="M4586" s="13"/>
      <c r="N4586" s="13" t="str">
        <f>IFERROR(__xludf.DUMMYFUNCTION("""COMPUTED_VALUE"""),"")</f>
        <v/>
      </c>
      <c r="O4586" s="13" t="str">
        <f t="shared" si="1"/>
        <v/>
      </c>
    </row>
    <row r="4587" ht="22.5" customHeight="1">
      <c r="B4587" s="13">
        <f>IFERROR(__xludf.DUMMYFUNCTION("""COMPUTED_VALUE"""),4582.0)</f>
        <v>4582</v>
      </c>
      <c r="C4587" s="13" t="str">
        <f>IFERROR(__xludf.DUMMYFUNCTION("""COMPUTED_VALUE"""),"M. 2215")</f>
        <v>M. 2215</v>
      </c>
      <c r="D4587" s="13" t="str">
        <f>IFERROR(__xludf.DUMMYFUNCTION("""COMPUTED_VALUE"""),"ABMBOISF/14102025/AB069")</f>
        <v>ABMBOISF/14102025/AB069</v>
      </c>
      <c r="E4587" s="14" t="str">
        <f>IFERROR(__xludf.DUMMYFUNCTION("""COMPUTED_VALUE"""),"Heri (BT)")</f>
        <v>Heri (BT)</v>
      </c>
      <c r="F4587" s="14" t="str">
        <f>IFERROR(__xludf.DUMMYFUNCTION("""COMPUTED_VALUE"""),"SELESAI (VIA PERMOHONAN)")</f>
        <v>SELESAI (VIA PERMOHONAN)</v>
      </c>
      <c r="G4587" s="17">
        <f>IFERROR(__xludf.DUMMYFUNCTION("""COMPUTED_VALUE"""),45995.44880628472)</f>
        <v>45995.44881</v>
      </c>
      <c r="H4587" s="14"/>
      <c r="I4587" s="13"/>
      <c r="J4587" s="17" t="str">
        <f>IFERROR(__xludf.DUMMYFUNCTION("""COMPUTED_VALUE"""),"")</f>
        <v/>
      </c>
      <c r="K4587" s="13" t="str">
        <f>IFERROR(__xludf.DUMMYFUNCTION("""COMPUTED_VALUE"""),"BT atau SU Belum Valid")</f>
        <v>BT atau SU Belum Valid</v>
      </c>
      <c r="L4587" s="13" t="str">
        <f>IFERROR(__xludf.DUMMYFUNCTION("""COMPUTED_VALUE"""),"")</f>
        <v/>
      </c>
      <c r="M4587" s="13"/>
      <c r="N4587" s="13" t="str">
        <f>IFERROR(__xludf.DUMMYFUNCTION("""COMPUTED_VALUE"""),"")</f>
        <v/>
      </c>
      <c r="O4587" s="13" t="str">
        <f t="shared" si="1"/>
        <v/>
      </c>
    </row>
    <row r="4588" ht="22.5" customHeight="1">
      <c r="B4588" s="13">
        <f>IFERROR(__xludf.DUMMYFUNCTION("""COMPUTED_VALUE"""),4583.0)</f>
        <v>4583</v>
      </c>
      <c r="C4588" s="13" t="str">
        <f>IFERROR(__xludf.DUMMYFUNCTION("""COMPUTED_VALUE"""),"SHGB 5650/BERINGIN RAYA")</f>
        <v>SHGB 5650/BERINGIN RAYA</v>
      </c>
      <c r="D4588" s="13" t="str">
        <f>IFERROR(__xludf.DUMMYFUNCTION("""COMPUTED_VALUE"""),"L/16/141025/1")</f>
        <v>L/16/141025/1</v>
      </c>
      <c r="E4588" s="14" t="str">
        <f>IFERROR(__xludf.DUMMYFUNCTION("""COMPUTED_VALUE"""),"Heri (BT)")</f>
        <v>Heri (BT)</v>
      </c>
      <c r="F4588" s="14" t="str">
        <f>IFERROR(__xludf.DUMMYFUNCTION("""COMPUTED_VALUE"""),"SELESAI (VIA PERMOHONAN)")</f>
        <v>SELESAI (VIA PERMOHONAN)</v>
      </c>
      <c r="G4588" s="17">
        <f>IFERROR(__xludf.DUMMYFUNCTION("""COMPUTED_VALUE"""),45996.41246849537)</f>
        <v>45996.41247</v>
      </c>
      <c r="H4588" s="14"/>
      <c r="I4588" s="13"/>
      <c r="J4588" s="17" t="str">
        <f>IFERROR(__xludf.DUMMYFUNCTION("""COMPUTED_VALUE"""),"")</f>
        <v/>
      </c>
      <c r="K4588" s="13" t="str">
        <f>IFERROR(__xludf.DUMMYFUNCTION("""COMPUTED_VALUE"""),"BT atau SU Belum Valid")</f>
        <v>BT atau SU Belum Valid</v>
      </c>
      <c r="L4588" s="13" t="str">
        <f>IFERROR(__xludf.DUMMYFUNCTION("""COMPUTED_VALUE"""),"")</f>
        <v/>
      </c>
      <c r="M4588" s="13"/>
      <c r="N4588" s="13" t="str">
        <f>IFERROR(__xludf.DUMMYFUNCTION("""COMPUTED_VALUE"""),"")</f>
        <v/>
      </c>
      <c r="O4588" s="13" t="str">
        <f t="shared" si="1"/>
        <v/>
      </c>
    </row>
    <row r="4589" ht="22.5" customHeight="1">
      <c r="B4589" s="13">
        <f>IFERROR(__xludf.DUMMYFUNCTION("""COMPUTED_VALUE"""),4584.0)</f>
        <v>4584</v>
      </c>
      <c r="C4589" s="13" t="str">
        <f>IFERROR(__xludf.DUMMYFUNCTION("""COMPUTED_VALUE"""),"M.6812/Surabaya")</f>
        <v>M.6812/Surabaya</v>
      </c>
      <c r="D4589" s="13" t="str">
        <f>IFERROR(__xludf.DUMMYFUNCTION("""COMPUTED_VALUE"""),"ABAMYIAS/AB054")</f>
        <v>ABAMYIAS/AB054</v>
      </c>
      <c r="E4589" s="14" t="str">
        <f>IFERROR(__xludf.DUMMYFUNCTION("""COMPUTED_VALUE"""),"Heri (BT)")</f>
        <v>Heri (BT)</v>
      </c>
      <c r="F4589" s="14" t="str">
        <f>IFERROR(__xludf.DUMMYFUNCTION("""COMPUTED_VALUE"""),"SELESAI (VIA PERMOHONAN)")</f>
        <v>SELESAI (VIA PERMOHONAN)</v>
      </c>
      <c r="G4589" s="17">
        <f>IFERROR(__xludf.DUMMYFUNCTION("""COMPUTED_VALUE"""),45996.41300032407)</f>
        <v>45996.413</v>
      </c>
      <c r="H4589" s="14"/>
      <c r="I4589" s="13"/>
      <c r="J4589" s="17" t="str">
        <f>IFERROR(__xludf.DUMMYFUNCTION("""COMPUTED_VALUE"""),"")</f>
        <v/>
      </c>
      <c r="K4589" s="13" t="str">
        <f>IFERROR(__xludf.DUMMYFUNCTION("""COMPUTED_VALUE"""),"BT atau SU Belum Valid")</f>
        <v>BT atau SU Belum Valid</v>
      </c>
      <c r="L4589" s="13" t="str">
        <f>IFERROR(__xludf.DUMMYFUNCTION("""COMPUTED_VALUE"""),"")</f>
        <v/>
      </c>
      <c r="M4589" s="13"/>
      <c r="N4589" s="13" t="str">
        <f>IFERROR(__xludf.DUMMYFUNCTION("""COMPUTED_VALUE"""),"")</f>
        <v/>
      </c>
      <c r="O4589" s="13" t="str">
        <f t="shared" si="1"/>
        <v/>
      </c>
    </row>
    <row r="4590" ht="22.5" customHeight="1">
      <c r="B4590" s="13">
        <f>IFERROR(__xludf.DUMMYFUNCTION("""COMPUTED_VALUE"""),4585.0)</f>
        <v>4585</v>
      </c>
      <c r="C4590" s="13" t="str">
        <f>IFERROR(__xludf.DUMMYFUNCTION("""COMPUTED_VALUE"""),"M.9176/SIDODADI")</f>
        <v>M.9176/SIDODADI</v>
      </c>
      <c r="D4590" s="13" t="str">
        <f>IFERROR(__xludf.DUMMYFUNCTION("""COMPUTED_VALUE"""),"K/4/271025/1")</f>
        <v>K/4/271025/1</v>
      </c>
      <c r="E4590" s="14" t="str">
        <f>IFERROR(__xludf.DUMMYFUNCTION("""COMPUTED_VALUE"""),"Heri (BT)")</f>
        <v>Heri (BT)</v>
      </c>
      <c r="F4590" s="14" t="str">
        <f>IFERROR(__xludf.DUMMYFUNCTION("""COMPUTED_VALUE"""),"SELESAI (VIA PERMOHONAN)")</f>
        <v>SELESAI (VIA PERMOHONAN)</v>
      </c>
      <c r="G4590" s="17">
        <f>IFERROR(__xludf.DUMMYFUNCTION("""COMPUTED_VALUE"""),45996.41356435185)</f>
        <v>45996.41356</v>
      </c>
      <c r="H4590" s="14"/>
      <c r="I4590" s="13"/>
      <c r="J4590" s="17" t="str">
        <f>IFERROR(__xludf.DUMMYFUNCTION("""COMPUTED_VALUE"""),"")</f>
        <v/>
      </c>
      <c r="K4590" s="13" t="str">
        <f>IFERROR(__xludf.DUMMYFUNCTION("""COMPUTED_VALUE"""),"BT atau SU Belum Valid")</f>
        <v>BT atau SU Belum Valid</v>
      </c>
      <c r="L4590" s="13" t="str">
        <f>IFERROR(__xludf.DUMMYFUNCTION("""COMPUTED_VALUE"""),"")</f>
        <v/>
      </c>
      <c r="M4590" s="13"/>
      <c r="N4590" s="13" t="str">
        <f>IFERROR(__xludf.DUMMYFUNCTION("""COMPUTED_VALUE"""),"")</f>
        <v/>
      </c>
      <c r="O4590" s="13" t="str">
        <f t="shared" si="1"/>
        <v/>
      </c>
    </row>
    <row r="4591" ht="22.5" customHeight="1">
      <c r="B4591" s="13">
        <f>IFERROR(__xludf.DUMMYFUNCTION("""COMPUTED_VALUE"""),4586.0)</f>
        <v>4586</v>
      </c>
      <c r="C4591" s="13" t="str">
        <f>IFERROR(__xludf.DUMMYFUNCTION("""COMPUTED_VALUE"""),"M 2438/ KEDAUNG")</f>
        <v>M 2438/ KEDAUNG</v>
      </c>
      <c r="D4591" s="13" t="str">
        <f>IFERROR(__xludf.DUMMYFUNCTION("""COMPUTED_VALUE"""),"ABDKWFHI")</f>
        <v>ABDKWFHI</v>
      </c>
      <c r="E4591" s="14" t="str">
        <f>IFERROR(__xludf.DUMMYFUNCTION("""COMPUTED_VALUE"""),"Heri (BT)")</f>
        <v>Heri (BT)</v>
      </c>
      <c r="F4591" s="14" t="str">
        <f>IFERROR(__xludf.DUMMYFUNCTION("""COMPUTED_VALUE"""),"SELESAI (VIA PERMOHONAN)")</f>
        <v>SELESAI (VIA PERMOHONAN)</v>
      </c>
      <c r="G4591" s="17">
        <f>IFERROR(__xludf.DUMMYFUNCTION("""COMPUTED_VALUE"""),45996.41550365741)</f>
        <v>45996.4155</v>
      </c>
      <c r="H4591" s="14"/>
      <c r="I4591" s="13"/>
      <c r="J4591" s="17" t="str">
        <f>IFERROR(__xludf.DUMMYFUNCTION("""COMPUTED_VALUE"""),"")</f>
        <v/>
      </c>
      <c r="K4591" s="13" t="str">
        <f>IFERROR(__xludf.DUMMYFUNCTION("""COMPUTED_VALUE"""),"BT atau SU Belum Valid")</f>
        <v>BT atau SU Belum Valid</v>
      </c>
      <c r="L4591" s="13" t="str">
        <f>IFERROR(__xludf.DUMMYFUNCTION("""COMPUTED_VALUE"""),"")</f>
        <v/>
      </c>
      <c r="M4591" s="13"/>
      <c r="N4591" s="13" t="str">
        <f>IFERROR(__xludf.DUMMYFUNCTION("""COMPUTED_VALUE"""),"")</f>
        <v/>
      </c>
      <c r="O4591" s="13" t="str">
        <f t="shared" si="1"/>
        <v/>
      </c>
    </row>
    <row r="4592" ht="22.5" customHeight="1">
      <c r="B4592" s="13">
        <f>IFERROR(__xludf.DUMMYFUNCTION("""COMPUTED_VALUE"""),4587.0)</f>
        <v>4587</v>
      </c>
      <c r="C4592" s="13" t="str">
        <f>IFERROR(__xludf.DUMMYFUNCTION("""COMPUTED_VALUE"""),"M 2647/ SUKARAME BARU")</f>
        <v>M 2647/ SUKARAME BARU</v>
      </c>
      <c r="D4592" s="13" t="str">
        <f>IFERROR(__xludf.DUMMYFUNCTION("""COMPUTED_VALUE"""),"K/27/230925/1")</f>
        <v>K/27/230925/1</v>
      </c>
      <c r="E4592" s="14" t="str">
        <f>IFERROR(__xludf.DUMMYFUNCTION("""COMPUTED_VALUE"""),"Heri (BT)")</f>
        <v>Heri (BT)</v>
      </c>
      <c r="F4592" s="14" t="str">
        <f>IFERROR(__xludf.DUMMYFUNCTION("""COMPUTED_VALUE"""),"SELESAI (VIA PERMOHONAN)")</f>
        <v>SELESAI (VIA PERMOHONAN)</v>
      </c>
      <c r="G4592" s="17">
        <f>IFERROR(__xludf.DUMMYFUNCTION("""COMPUTED_VALUE"""),45996.415951365736)</f>
        <v>45996.41595</v>
      </c>
      <c r="H4592" s="14"/>
      <c r="I4592" s="13"/>
      <c r="J4592" s="17" t="str">
        <f>IFERROR(__xludf.DUMMYFUNCTION("""COMPUTED_VALUE"""),"")</f>
        <v/>
      </c>
      <c r="K4592" s="13" t="str">
        <f>IFERROR(__xludf.DUMMYFUNCTION("""COMPUTED_VALUE"""),"BT atau SU Belum Valid")</f>
        <v>BT atau SU Belum Valid</v>
      </c>
      <c r="L4592" s="13" t="str">
        <f>IFERROR(__xludf.DUMMYFUNCTION("""COMPUTED_VALUE"""),"")</f>
        <v/>
      </c>
      <c r="M4592" s="13"/>
      <c r="N4592" s="13" t="str">
        <f>IFERROR(__xludf.DUMMYFUNCTION("""COMPUTED_VALUE"""),"")</f>
        <v/>
      </c>
      <c r="O4592" s="13" t="str">
        <f t="shared" si="1"/>
        <v/>
      </c>
    </row>
    <row r="4593" ht="22.5" customHeight="1">
      <c r="B4593" s="13">
        <f>IFERROR(__xludf.DUMMYFUNCTION("""COMPUTED_VALUE"""),4588.0)</f>
        <v>4588</v>
      </c>
      <c r="C4593" s="13" t="str">
        <f>IFERROR(__xludf.DUMMYFUNCTION("""COMPUTED_VALUE"""),"B. 858/PERUMNAS WAY KANDIS")</f>
        <v>B. 858/PERUMNAS WAY KANDIS</v>
      </c>
      <c r="D4593" s="13" t="str">
        <f>IFERROR(__xludf.DUMMYFUNCTION("""COMPUTED_VALUE"""),"K/31/081025/1")</f>
        <v>K/31/081025/1</v>
      </c>
      <c r="E4593" s="14" t="str">
        <f>IFERROR(__xludf.DUMMYFUNCTION("""COMPUTED_VALUE"""),"Heri (BT)")</f>
        <v>Heri (BT)</v>
      </c>
      <c r="F4593" s="14" t="str">
        <f>IFERROR(__xludf.DUMMYFUNCTION("""COMPUTED_VALUE"""),"SELESAI (VIA PERMOHONAN)")</f>
        <v>SELESAI (VIA PERMOHONAN)</v>
      </c>
      <c r="G4593" s="17">
        <f>IFERROR(__xludf.DUMMYFUNCTION("""COMPUTED_VALUE"""),45996.4162025463)</f>
        <v>45996.4162</v>
      </c>
      <c r="H4593" s="14"/>
      <c r="I4593" s="13"/>
      <c r="J4593" s="17" t="str">
        <f>IFERROR(__xludf.DUMMYFUNCTION("""COMPUTED_VALUE"""),"")</f>
        <v/>
      </c>
      <c r="K4593" s="13" t="str">
        <f>IFERROR(__xludf.DUMMYFUNCTION("""COMPUTED_VALUE"""),"BT atau SU Belum Valid")</f>
        <v>BT atau SU Belum Valid</v>
      </c>
      <c r="L4593" s="13" t="str">
        <f>IFERROR(__xludf.DUMMYFUNCTION("""COMPUTED_VALUE"""),"")</f>
        <v/>
      </c>
      <c r="M4593" s="13"/>
      <c r="N4593" s="13" t="str">
        <f>IFERROR(__xludf.DUMMYFUNCTION("""COMPUTED_VALUE"""),"")</f>
        <v/>
      </c>
      <c r="O4593" s="13" t="str">
        <f t="shared" si="1"/>
        <v/>
      </c>
    </row>
    <row r="4594" ht="22.5" customHeight="1">
      <c r="B4594" s="13">
        <f>IFERROR(__xludf.DUMMYFUNCTION("""COMPUTED_VALUE"""),4589.0)</f>
        <v>4589</v>
      </c>
      <c r="C4594" s="13" t="str">
        <f>IFERROR(__xludf.DUMMYFUNCTION("""COMPUTED_VALUE"""),"1228/Sukabumi Indah")</f>
        <v>1228/Sukabumi Indah</v>
      </c>
      <c r="D4594" s="13" t="str">
        <f>IFERROR(__xludf.DUMMYFUNCTION("""COMPUTED_VALUE"""),"ABCTVLGO")</f>
        <v>ABCTVLGO</v>
      </c>
      <c r="E4594" s="14" t="str">
        <f>IFERROR(__xludf.DUMMYFUNCTION("""COMPUTED_VALUE"""),"Heri (BT)")</f>
        <v>Heri (BT)</v>
      </c>
      <c r="F4594" s="14" t="str">
        <f>IFERROR(__xludf.DUMMYFUNCTION("""COMPUTED_VALUE"""),"SELESAI (VIA PERMOHONAN)")</f>
        <v>SELESAI (VIA PERMOHONAN)</v>
      </c>
      <c r="G4594" s="17">
        <f>IFERROR(__xludf.DUMMYFUNCTION("""COMPUTED_VALUE"""),45996.41675096065)</f>
        <v>45996.41675</v>
      </c>
      <c r="H4594" s="14"/>
      <c r="I4594" s="13"/>
      <c r="J4594" s="17" t="str">
        <f>IFERROR(__xludf.DUMMYFUNCTION("""COMPUTED_VALUE"""),"")</f>
        <v/>
      </c>
      <c r="K4594" s="13" t="str">
        <f>IFERROR(__xludf.DUMMYFUNCTION("""COMPUTED_VALUE"""),"BT atau SU Belum Valid")</f>
        <v>BT atau SU Belum Valid</v>
      </c>
      <c r="L4594" s="13" t="str">
        <f>IFERROR(__xludf.DUMMYFUNCTION("""COMPUTED_VALUE"""),"")</f>
        <v/>
      </c>
      <c r="M4594" s="13"/>
      <c r="N4594" s="13" t="str">
        <f>IFERROR(__xludf.DUMMYFUNCTION("""COMPUTED_VALUE"""),"")</f>
        <v/>
      </c>
      <c r="O4594" s="13" t="str">
        <f t="shared" si="1"/>
        <v/>
      </c>
    </row>
    <row r="4595" ht="22.5" customHeight="1">
      <c r="B4595" s="13">
        <f>IFERROR(__xludf.DUMMYFUNCTION("""COMPUTED_VALUE"""),4590.0)</f>
        <v>4590</v>
      </c>
      <c r="C4595" s="13" t="str">
        <f>IFERROR(__xludf.DUMMYFUNCTION("""COMPUTED_VALUE"""),"M. 1162/PERUMNAS WAY KANDIS")</f>
        <v>M. 1162/PERUMNAS WAY KANDIS</v>
      </c>
      <c r="D4595" s="13" t="str">
        <f>IFERROR(__xludf.DUMMYFUNCTION("""COMPUTED_VALUE"""),"L/1/291025/1")</f>
        <v>L/1/291025/1</v>
      </c>
      <c r="E4595" s="14" t="str">
        <f>IFERROR(__xludf.DUMMYFUNCTION("""COMPUTED_VALUE"""),"Heri (BT)")</f>
        <v>Heri (BT)</v>
      </c>
      <c r="F4595" s="14" t="str">
        <f>IFERROR(__xludf.DUMMYFUNCTION("""COMPUTED_VALUE"""),"SELESAI (VIA PERMOHONAN)")</f>
        <v>SELESAI (VIA PERMOHONAN)</v>
      </c>
      <c r="G4595" s="17">
        <f>IFERROR(__xludf.DUMMYFUNCTION("""COMPUTED_VALUE"""),46000.43846943287)</f>
        <v>46000.43847</v>
      </c>
      <c r="H4595" s="14"/>
      <c r="I4595" s="13"/>
      <c r="J4595" s="17" t="str">
        <f>IFERROR(__xludf.DUMMYFUNCTION("""COMPUTED_VALUE"""),"")</f>
        <v/>
      </c>
      <c r="K4595" s="13" t="str">
        <f>IFERROR(__xludf.DUMMYFUNCTION("""COMPUTED_VALUE"""),"BT atau SU Belum Valid")</f>
        <v>BT atau SU Belum Valid</v>
      </c>
      <c r="L4595" s="13" t="str">
        <f>IFERROR(__xludf.DUMMYFUNCTION("""COMPUTED_VALUE"""),"")</f>
        <v/>
      </c>
      <c r="M4595" s="13"/>
      <c r="N4595" s="13" t="str">
        <f>IFERROR(__xludf.DUMMYFUNCTION("""COMPUTED_VALUE"""),"")</f>
        <v/>
      </c>
      <c r="O4595" s="13" t="str">
        <f t="shared" si="1"/>
        <v/>
      </c>
    </row>
    <row r="4596" ht="22.5" customHeight="1">
      <c r="B4596" s="13">
        <f>IFERROR(__xludf.DUMMYFUNCTION("""COMPUTED_VALUE"""),4591.0)</f>
        <v>4591</v>
      </c>
      <c r="C4596" s="13" t="str">
        <f>IFERROR(__xludf.DUMMYFUNCTION("""COMPUTED_VALUE"""),"M. 13193/TANJUNG BARU")</f>
        <v>M. 13193/TANJUNG BARU</v>
      </c>
      <c r="D4596" s="13" t="str">
        <f>IFERROR(__xludf.DUMMYFUNCTION("""COMPUTED_VALUE"""),"L/7/051125/1")</f>
        <v>L/7/051125/1</v>
      </c>
      <c r="E4596" s="14" t="str">
        <f>IFERROR(__xludf.DUMMYFUNCTION("""COMPUTED_VALUE"""),"Heri (BT)")</f>
        <v>Heri (BT)</v>
      </c>
      <c r="F4596" s="14" t="str">
        <f>IFERROR(__xludf.DUMMYFUNCTION("""COMPUTED_VALUE"""),"SELESAI (VIA PERMOHONAN)")</f>
        <v>SELESAI (VIA PERMOHONAN)</v>
      </c>
      <c r="G4596" s="17">
        <f>IFERROR(__xludf.DUMMYFUNCTION("""COMPUTED_VALUE"""),46000.44320487269)</f>
        <v>46000.4432</v>
      </c>
      <c r="H4596" s="14"/>
      <c r="I4596" s="13"/>
      <c r="J4596" s="17" t="str">
        <f>IFERROR(__xludf.DUMMYFUNCTION("""COMPUTED_VALUE"""),"")</f>
        <v/>
      </c>
      <c r="K4596" s="13" t="str">
        <f>IFERROR(__xludf.DUMMYFUNCTION("""COMPUTED_VALUE"""),"BT atau SU Belum Valid")</f>
        <v>BT atau SU Belum Valid</v>
      </c>
      <c r="L4596" s="13" t="str">
        <f>IFERROR(__xludf.DUMMYFUNCTION("""COMPUTED_VALUE"""),"")</f>
        <v/>
      </c>
      <c r="M4596" s="13"/>
      <c r="N4596" s="13" t="str">
        <f>IFERROR(__xludf.DUMMYFUNCTION("""COMPUTED_VALUE"""),"")</f>
        <v/>
      </c>
      <c r="O4596" s="13" t="str">
        <f t="shared" si="1"/>
        <v/>
      </c>
    </row>
    <row r="4597" ht="22.5" customHeight="1">
      <c r="B4597" s="13">
        <f>IFERROR(__xludf.DUMMYFUNCTION("""COMPUTED_VALUE"""),4592.0)</f>
        <v>4592</v>
      </c>
      <c r="C4597" s="13" t="str">
        <f>IFERROR(__xludf.DUMMYFUNCTION("""COMPUTED_VALUE"""),"M.1396/Su.H/Sukadana Ham")</f>
        <v>M.1396/Su.H/Sukadana Ham</v>
      </c>
      <c r="D4597" s="13" t="str">
        <f>IFERROR(__xludf.DUMMYFUNCTION("""COMPUTED_VALUE"""),"ABUGWVNL/AB027")</f>
        <v>ABUGWVNL/AB027</v>
      </c>
      <c r="E4597" s="14" t="str">
        <f>IFERROR(__xludf.DUMMYFUNCTION("""COMPUTED_VALUE"""),"Heri (BT)")</f>
        <v>Heri (BT)</v>
      </c>
      <c r="F4597" s="14" t="str">
        <f>IFERROR(__xludf.DUMMYFUNCTION("""COMPUTED_VALUE"""),"SELESAI (VIA PERMOHONAN)")</f>
        <v>SELESAI (VIA PERMOHONAN)</v>
      </c>
      <c r="G4597" s="17">
        <f>IFERROR(__xludf.DUMMYFUNCTION("""COMPUTED_VALUE"""),46000.443424282406)</f>
        <v>46000.44342</v>
      </c>
      <c r="H4597" s="14"/>
      <c r="I4597" s="13"/>
      <c r="J4597" s="17" t="str">
        <f>IFERROR(__xludf.DUMMYFUNCTION("""COMPUTED_VALUE"""),"")</f>
        <v/>
      </c>
      <c r="K4597" s="13" t="str">
        <f>IFERROR(__xludf.DUMMYFUNCTION("""COMPUTED_VALUE"""),"BT atau SU Belum Valid")</f>
        <v>BT atau SU Belum Valid</v>
      </c>
      <c r="L4597" s="13" t="str">
        <f>IFERROR(__xludf.DUMMYFUNCTION("""COMPUTED_VALUE"""),"")</f>
        <v/>
      </c>
      <c r="M4597" s="13"/>
      <c r="N4597" s="13" t="str">
        <f>IFERROR(__xludf.DUMMYFUNCTION("""COMPUTED_VALUE"""),"")</f>
        <v/>
      </c>
      <c r="O4597" s="13" t="str">
        <f t="shared" si="1"/>
        <v/>
      </c>
    </row>
    <row r="4598" ht="22.5" customHeight="1">
      <c r="B4598" s="13">
        <f>IFERROR(__xludf.DUMMYFUNCTION("""COMPUTED_VALUE"""),4593.0)</f>
        <v>4593</v>
      </c>
      <c r="C4598" s="13" t="str">
        <f>IFERROR(__xludf.DUMMYFUNCTION("""COMPUTED_VALUE"""),"M.7561/Surabaya")</f>
        <v>M.7561/Surabaya</v>
      </c>
      <c r="D4598" s="13" t="str">
        <f>IFERROR(__xludf.DUMMYFUNCTION("""COMPUTED_VALUE"""),"ABDKZGLX/AB036")</f>
        <v>ABDKZGLX/AB036</v>
      </c>
      <c r="E4598" s="14" t="str">
        <f>IFERROR(__xludf.DUMMYFUNCTION("""COMPUTED_VALUE"""),"Heri (BT)")</f>
        <v>Heri (BT)</v>
      </c>
      <c r="F4598" s="14" t="str">
        <f>IFERROR(__xludf.DUMMYFUNCTION("""COMPUTED_VALUE"""),"SELESAI (VIA PERMOHONAN)")</f>
        <v>SELESAI (VIA PERMOHONAN)</v>
      </c>
      <c r="G4598" s="17">
        <f>IFERROR(__xludf.DUMMYFUNCTION("""COMPUTED_VALUE"""),46000.44457684028)</f>
        <v>46000.44458</v>
      </c>
      <c r="H4598" s="14"/>
      <c r="I4598" s="13"/>
      <c r="J4598" s="17" t="str">
        <f>IFERROR(__xludf.DUMMYFUNCTION("""COMPUTED_VALUE"""),"")</f>
        <v/>
      </c>
      <c r="K4598" s="13" t="str">
        <f>IFERROR(__xludf.DUMMYFUNCTION("""COMPUTED_VALUE"""),"BT atau SU Belum Valid")</f>
        <v>BT atau SU Belum Valid</v>
      </c>
      <c r="L4598" s="13" t="str">
        <f>IFERROR(__xludf.DUMMYFUNCTION("""COMPUTED_VALUE"""),"")</f>
        <v/>
      </c>
      <c r="M4598" s="13"/>
      <c r="N4598" s="13" t="str">
        <f>IFERROR(__xludf.DUMMYFUNCTION("""COMPUTED_VALUE"""),"")</f>
        <v/>
      </c>
      <c r="O4598" s="13" t="str">
        <f t="shared" si="1"/>
        <v/>
      </c>
    </row>
    <row r="4599" ht="22.5" customHeight="1">
      <c r="B4599" s="13">
        <f>IFERROR(__xludf.DUMMYFUNCTION("""COMPUTED_VALUE"""),4594.0)</f>
        <v>4594</v>
      </c>
      <c r="C4599" s="13" t="str">
        <f>IFERROR(__xludf.DUMMYFUNCTION("""COMPUTED_VALUE"""),"B. 1383/PINANG JAYA")</f>
        <v>B. 1383/PINANG JAYA</v>
      </c>
      <c r="D4599" s="13" t="str">
        <f>IFERROR(__xludf.DUMMYFUNCTION("""COMPUTED_VALUE"""),"K/14/031125/1")</f>
        <v>K/14/031125/1</v>
      </c>
      <c r="E4599" s="14" t="str">
        <f>IFERROR(__xludf.DUMMYFUNCTION("""COMPUTED_VALUE"""),"Heri (BT)")</f>
        <v>Heri (BT)</v>
      </c>
      <c r="F4599" s="14" t="str">
        <f>IFERROR(__xludf.DUMMYFUNCTION("""COMPUTED_VALUE"""),"SELESAI (VIA PERMOHONAN)")</f>
        <v>SELESAI (VIA PERMOHONAN)</v>
      </c>
      <c r="G4599" s="17">
        <f>IFERROR(__xludf.DUMMYFUNCTION("""COMPUTED_VALUE"""),46000.44487944445)</f>
        <v>46000.44488</v>
      </c>
      <c r="H4599" s="14"/>
      <c r="I4599" s="13"/>
      <c r="J4599" s="17" t="str">
        <f>IFERROR(__xludf.DUMMYFUNCTION("""COMPUTED_VALUE"""),"")</f>
        <v/>
      </c>
      <c r="K4599" s="13" t="str">
        <f>IFERROR(__xludf.DUMMYFUNCTION("""COMPUTED_VALUE"""),"BT atau SU Belum Valid")</f>
        <v>BT atau SU Belum Valid</v>
      </c>
      <c r="L4599" s="13" t="str">
        <f>IFERROR(__xludf.DUMMYFUNCTION("""COMPUTED_VALUE"""),"")</f>
        <v/>
      </c>
      <c r="M4599" s="13"/>
      <c r="N4599" s="13" t="str">
        <f>IFERROR(__xludf.DUMMYFUNCTION("""COMPUTED_VALUE"""),"")</f>
        <v/>
      </c>
      <c r="O4599" s="13" t="str">
        <f t="shared" si="1"/>
        <v/>
      </c>
    </row>
    <row r="4600" ht="22.5" customHeight="1">
      <c r="B4600" s="13">
        <f>IFERROR(__xludf.DUMMYFUNCTION("""COMPUTED_VALUE"""),4595.0)</f>
        <v>4595</v>
      </c>
      <c r="C4600" s="13" t="str">
        <f>IFERROR(__xludf.DUMMYFUNCTION("""COMPUTED_VALUE"""),"SHM no 2775/Beringin Raya")</f>
        <v>SHM no 2775/Beringin Raya</v>
      </c>
      <c r="D4600" s="13" t="str">
        <f>IFERROR(__xludf.DUMMYFUNCTION("""COMPUTED_VALUE"""),"Ab021/ABXCYQRP")</f>
        <v>Ab021/ABXCYQRP</v>
      </c>
      <c r="E4600" s="14" t="str">
        <f>IFERROR(__xludf.DUMMYFUNCTION("""COMPUTED_VALUE"""),"Heri (BT)")</f>
        <v>Heri (BT)</v>
      </c>
      <c r="F4600" s="14" t="str">
        <f>IFERROR(__xludf.DUMMYFUNCTION("""COMPUTED_VALUE"""),"SELESAI (VIA PERMOHONAN)")</f>
        <v>SELESAI (VIA PERMOHONAN)</v>
      </c>
      <c r="G4600" s="17">
        <f>IFERROR(__xludf.DUMMYFUNCTION("""COMPUTED_VALUE"""),46000.4450422338)</f>
        <v>46000.44504</v>
      </c>
      <c r="H4600" s="14"/>
      <c r="I4600" s="13"/>
      <c r="J4600" s="17" t="str">
        <f>IFERROR(__xludf.DUMMYFUNCTION("""COMPUTED_VALUE"""),"")</f>
        <v/>
      </c>
      <c r="K4600" s="13" t="str">
        <f>IFERROR(__xludf.DUMMYFUNCTION("""COMPUTED_VALUE"""),"BT atau SU Belum Valid")</f>
        <v>BT atau SU Belum Valid</v>
      </c>
      <c r="L4600" s="13" t="str">
        <f>IFERROR(__xludf.DUMMYFUNCTION("""COMPUTED_VALUE"""),"")</f>
        <v/>
      </c>
      <c r="M4600" s="13"/>
      <c r="N4600" s="13" t="str">
        <f>IFERROR(__xludf.DUMMYFUNCTION("""COMPUTED_VALUE"""),"")</f>
        <v/>
      </c>
      <c r="O4600" s="13" t="str">
        <f t="shared" si="1"/>
        <v/>
      </c>
    </row>
    <row r="4601" ht="22.5" customHeight="1">
      <c r="B4601" s="13">
        <f>IFERROR(__xludf.DUMMYFUNCTION("""COMPUTED_VALUE"""),4596.0)</f>
        <v>4596</v>
      </c>
      <c r="C4601" s="13" t="str">
        <f>IFERROR(__xludf.DUMMYFUNCTION("""COMPUTED_VALUE"""),"M.12403/ sukabumi")</f>
        <v>M.12403/ sukabumi</v>
      </c>
      <c r="D4601" s="13" t="str">
        <f>IFERROR(__xludf.DUMMYFUNCTION("""COMPUTED_VALUE"""),"ABPXKTEH")</f>
        <v>ABPXKTEH</v>
      </c>
      <c r="E4601" s="14" t="str">
        <f>IFERROR(__xludf.DUMMYFUNCTION("""COMPUTED_VALUE"""),"Heri (BT)")</f>
        <v>Heri (BT)</v>
      </c>
      <c r="F4601" s="14" t="str">
        <f>IFERROR(__xludf.DUMMYFUNCTION("""COMPUTED_VALUE"""),"SELESAI (VIA PERMOHONAN)")</f>
        <v>SELESAI (VIA PERMOHONAN)</v>
      </c>
      <c r="G4601" s="17">
        <f>IFERROR(__xludf.DUMMYFUNCTION("""COMPUTED_VALUE"""),46000.70951082176)</f>
        <v>46000.70951</v>
      </c>
      <c r="H4601" s="14"/>
      <c r="I4601" s="13"/>
      <c r="J4601" s="17" t="str">
        <f>IFERROR(__xludf.DUMMYFUNCTION("""COMPUTED_VALUE"""),"")</f>
        <v/>
      </c>
      <c r="K4601" s="13" t="str">
        <f>IFERROR(__xludf.DUMMYFUNCTION("""COMPUTED_VALUE"""),"BT atau SU Belum Valid")</f>
        <v>BT atau SU Belum Valid</v>
      </c>
      <c r="L4601" s="13" t="str">
        <f>IFERROR(__xludf.DUMMYFUNCTION("""COMPUTED_VALUE"""),"")</f>
        <v/>
      </c>
      <c r="M4601" s="13"/>
      <c r="N4601" s="13" t="str">
        <f>IFERROR(__xludf.DUMMYFUNCTION("""COMPUTED_VALUE"""),"")</f>
        <v/>
      </c>
      <c r="O4601" s="13" t="str">
        <f t="shared" si="1"/>
        <v/>
      </c>
    </row>
    <row r="4602" ht="22.5" customHeight="1">
      <c r="B4602" s="13">
        <f>IFERROR(__xludf.DUMMYFUNCTION("""COMPUTED_VALUE"""),4597.0)</f>
        <v>4597</v>
      </c>
      <c r="C4602" s="13" t="str">
        <f>IFERROR(__xludf.DUMMYFUNCTION("""COMPUTED_VALUE"""),"M  279/ GUNUNG SULAH")</f>
        <v>M  279/ GUNUNG SULAH</v>
      </c>
      <c r="D4602" s="13" t="str">
        <f>IFERROR(__xludf.DUMMYFUNCTION("""COMPUTED_VALUE"""),"ABRFQKIS")</f>
        <v>ABRFQKIS</v>
      </c>
      <c r="E4602" s="14" t="str">
        <f>IFERROR(__xludf.DUMMYFUNCTION("""COMPUTED_VALUE"""),"Heri (BT)")</f>
        <v>Heri (BT)</v>
      </c>
      <c r="F4602" s="14" t="str">
        <f>IFERROR(__xludf.DUMMYFUNCTION("""COMPUTED_VALUE"""),"SELESAI (VIA PERMOHONAN)")</f>
        <v>SELESAI (VIA PERMOHONAN)</v>
      </c>
      <c r="G4602" s="17">
        <f>IFERROR(__xludf.DUMMYFUNCTION("""COMPUTED_VALUE"""),46000.70951082176)</f>
        <v>46000.70951</v>
      </c>
      <c r="H4602" s="14"/>
      <c r="I4602" s="13"/>
      <c r="J4602" s="17" t="str">
        <f>IFERROR(__xludf.DUMMYFUNCTION("""COMPUTED_VALUE"""),"")</f>
        <v/>
      </c>
      <c r="K4602" s="13" t="str">
        <f>IFERROR(__xludf.DUMMYFUNCTION("""COMPUTED_VALUE"""),"BT atau SU Belum Valid")</f>
        <v>BT atau SU Belum Valid</v>
      </c>
      <c r="L4602" s="13" t="str">
        <f>IFERROR(__xludf.DUMMYFUNCTION("""COMPUTED_VALUE"""),"")</f>
        <v/>
      </c>
      <c r="M4602" s="13"/>
      <c r="N4602" s="13" t="str">
        <f>IFERROR(__xludf.DUMMYFUNCTION("""COMPUTED_VALUE"""),"")</f>
        <v/>
      </c>
      <c r="O4602" s="13" t="str">
        <f t="shared" si="1"/>
        <v/>
      </c>
    </row>
    <row r="4603" ht="22.5" customHeight="1">
      <c r="B4603" s="13">
        <f>IFERROR(__xludf.DUMMYFUNCTION("""COMPUTED_VALUE"""),4598.0)</f>
        <v>4598</v>
      </c>
      <c r="C4603" s="13" t="str">
        <f>IFERROR(__xludf.DUMMYFUNCTION("""COMPUTED_VALUE"""),"M. 02237/Way Laga")</f>
        <v>M. 02237/Way Laga</v>
      </c>
      <c r="D4603" s="13" t="str">
        <f>IFERROR(__xludf.DUMMYFUNCTION("""COMPUTED_VALUE"""),"ABNZHLSC/AB073")</f>
        <v>ABNZHLSC/AB073</v>
      </c>
      <c r="E4603" s="14" t="str">
        <f>IFERROR(__xludf.DUMMYFUNCTION("""COMPUTED_VALUE"""),"Heri (BT)")</f>
        <v>Heri (BT)</v>
      </c>
      <c r="F4603" s="14" t="str">
        <f>IFERROR(__xludf.DUMMYFUNCTION("""COMPUTED_VALUE"""),"SELESAI (VIA PERMOHONAN)")</f>
        <v>SELESAI (VIA PERMOHONAN)</v>
      </c>
      <c r="G4603" s="17">
        <f>IFERROR(__xludf.DUMMYFUNCTION("""COMPUTED_VALUE"""),46000.70951082176)</f>
        <v>46000.70951</v>
      </c>
      <c r="H4603" s="14"/>
      <c r="I4603" s="13"/>
      <c r="J4603" s="17" t="str">
        <f>IFERROR(__xludf.DUMMYFUNCTION("""COMPUTED_VALUE"""),"")</f>
        <v/>
      </c>
      <c r="K4603" s="13" t="str">
        <f>IFERROR(__xludf.DUMMYFUNCTION("""COMPUTED_VALUE"""),"BT atau SU Belum Valid")</f>
        <v>BT atau SU Belum Valid</v>
      </c>
      <c r="L4603" s="13" t="str">
        <f>IFERROR(__xludf.DUMMYFUNCTION("""COMPUTED_VALUE"""),"")</f>
        <v/>
      </c>
      <c r="M4603" s="13"/>
      <c r="N4603" s="13" t="str">
        <f>IFERROR(__xludf.DUMMYFUNCTION("""COMPUTED_VALUE"""),"")</f>
        <v/>
      </c>
      <c r="O4603" s="13" t="str">
        <f t="shared" si="1"/>
        <v/>
      </c>
    </row>
    <row r="4604" ht="22.5" customHeight="1">
      <c r="B4604" s="13">
        <f>IFERROR(__xludf.DUMMYFUNCTION("""COMPUTED_VALUE"""),4599.0)</f>
        <v>4599</v>
      </c>
      <c r="C4604" s="13" t="str">
        <f>IFERROR(__xludf.DUMMYFUNCTION("""COMPUTED_VALUE"""),"M.1644/Sumur Putri")</f>
        <v>M.1644/Sumur Putri</v>
      </c>
      <c r="D4604" s="13" t="str">
        <f>IFERROR(__xludf.DUMMYFUNCTION("""COMPUTED_VALUE"""),"ABDYPSEI/AB025")</f>
        <v>ABDYPSEI/AB025</v>
      </c>
      <c r="E4604" s="14" t="str">
        <f>IFERROR(__xludf.DUMMYFUNCTION("""COMPUTED_VALUE"""),"Heri (BT)")</f>
        <v>Heri (BT)</v>
      </c>
      <c r="F4604" s="14" t="str">
        <f>IFERROR(__xludf.DUMMYFUNCTION("""COMPUTED_VALUE"""),"SELESAI (VIA PERMOHONAN)")</f>
        <v>SELESAI (VIA PERMOHONAN)</v>
      </c>
      <c r="G4604" s="17">
        <f>IFERROR(__xludf.DUMMYFUNCTION("""COMPUTED_VALUE"""),46000.70951082176)</f>
        <v>46000.70951</v>
      </c>
      <c r="H4604" s="14"/>
      <c r="I4604" s="13"/>
      <c r="J4604" s="17" t="str">
        <f>IFERROR(__xludf.DUMMYFUNCTION("""COMPUTED_VALUE"""),"")</f>
        <v/>
      </c>
      <c r="K4604" s="13" t="str">
        <f>IFERROR(__xludf.DUMMYFUNCTION("""COMPUTED_VALUE"""),"BT atau SU Belum Valid")</f>
        <v>BT atau SU Belum Valid</v>
      </c>
      <c r="L4604" s="13" t="str">
        <f>IFERROR(__xludf.DUMMYFUNCTION("""COMPUTED_VALUE"""),"")</f>
        <v/>
      </c>
      <c r="M4604" s="13"/>
      <c r="N4604" s="13" t="str">
        <f>IFERROR(__xludf.DUMMYFUNCTION("""COMPUTED_VALUE"""),"")</f>
        <v/>
      </c>
      <c r="O4604" s="13" t="str">
        <f t="shared" si="1"/>
        <v/>
      </c>
    </row>
    <row r="4605" ht="22.5" customHeight="1">
      <c r="B4605" s="13">
        <f>IFERROR(__xludf.DUMMYFUNCTION("""COMPUTED_VALUE"""),4600.0)</f>
        <v>4600</v>
      </c>
      <c r="C4605" s="13" t="str">
        <f>IFERROR(__xludf.DUMMYFUNCTION("""COMPUTED_VALUE"""),"M. 1622/TANJUNG SENANG")</f>
        <v>M. 1622/TANJUNG SENANG</v>
      </c>
      <c r="D4605" s="13" t="str">
        <f>IFERROR(__xludf.DUMMYFUNCTION("""COMPUTED_VALUE"""),"L/10/201025/1")</f>
        <v>L/10/201025/1</v>
      </c>
      <c r="E4605" s="14" t="str">
        <f>IFERROR(__xludf.DUMMYFUNCTION("""COMPUTED_VALUE"""),"Heri (BT)")</f>
        <v>Heri (BT)</v>
      </c>
      <c r="F4605" s="14" t="str">
        <f>IFERROR(__xludf.DUMMYFUNCTION("""COMPUTED_VALUE"""),"SELESAI (VIA PERMOHONAN)")</f>
        <v>SELESAI (VIA PERMOHONAN)</v>
      </c>
      <c r="G4605" s="17">
        <f>IFERROR(__xludf.DUMMYFUNCTION("""COMPUTED_VALUE"""),46000.70951082176)</f>
        <v>46000.70951</v>
      </c>
      <c r="H4605" s="14"/>
      <c r="I4605" s="13"/>
      <c r="J4605" s="17" t="str">
        <f>IFERROR(__xludf.DUMMYFUNCTION("""COMPUTED_VALUE"""),"")</f>
        <v/>
      </c>
      <c r="K4605" s="13" t="str">
        <f>IFERROR(__xludf.DUMMYFUNCTION("""COMPUTED_VALUE"""),"BT atau SU Belum Valid")</f>
        <v>BT atau SU Belum Valid</v>
      </c>
      <c r="L4605" s="13" t="str">
        <f>IFERROR(__xludf.DUMMYFUNCTION("""COMPUTED_VALUE"""),"")</f>
        <v/>
      </c>
      <c r="M4605" s="13"/>
      <c r="N4605" s="13" t="str">
        <f>IFERROR(__xludf.DUMMYFUNCTION("""COMPUTED_VALUE"""),"")</f>
        <v/>
      </c>
      <c r="O4605" s="13" t="str">
        <f t="shared" si="1"/>
        <v/>
      </c>
    </row>
    <row r="4606" ht="22.5" customHeight="1">
      <c r="B4606" s="13">
        <f>IFERROR(__xludf.DUMMYFUNCTION("""COMPUTED_VALUE"""),4601.0)</f>
        <v>4601</v>
      </c>
      <c r="C4606" s="13" t="str">
        <f>IFERROR(__xludf.DUMMYFUNCTION("""COMPUTED_VALUE"""),"M 19314/Sukarame")</f>
        <v>M 19314/Sukarame</v>
      </c>
      <c r="D4606" s="13" t="str">
        <f>IFERROR(__xludf.DUMMYFUNCTION("""COMPUTED_VALUE"""),"AB049/ABERCQSO")</f>
        <v>AB049/ABERCQSO</v>
      </c>
      <c r="E4606" s="14" t="str">
        <f>IFERROR(__xludf.DUMMYFUNCTION("""COMPUTED_VALUE"""),"Heri (BT)")</f>
        <v>Heri (BT)</v>
      </c>
      <c r="F4606" s="14" t="str">
        <f>IFERROR(__xludf.DUMMYFUNCTION("""COMPUTED_VALUE"""),"SELESAI (VIA PERMOHONAN)")</f>
        <v>SELESAI (VIA PERMOHONAN)</v>
      </c>
      <c r="G4606" s="17">
        <f>IFERROR(__xludf.DUMMYFUNCTION("""COMPUTED_VALUE"""),46000.70951082176)</f>
        <v>46000.70951</v>
      </c>
      <c r="H4606" s="14"/>
      <c r="I4606" s="13"/>
      <c r="J4606" s="17" t="str">
        <f>IFERROR(__xludf.DUMMYFUNCTION("""COMPUTED_VALUE"""),"")</f>
        <v/>
      </c>
      <c r="K4606" s="13" t="str">
        <f>IFERROR(__xludf.DUMMYFUNCTION("""COMPUTED_VALUE"""),"BT atau SU Belum Valid")</f>
        <v>BT atau SU Belum Valid</v>
      </c>
      <c r="L4606" s="13" t="str">
        <f>IFERROR(__xludf.DUMMYFUNCTION("""COMPUTED_VALUE"""),"")</f>
        <v/>
      </c>
      <c r="M4606" s="13"/>
      <c r="N4606" s="13" t="str">
        <f>IFERROR(__xludf.DUMMYFUNCTION("""COMPUTED_VALUE"""),"")</f>
        <v/>
      </c>
      <c r="O4606" s="13" t="str">
        <f t="shared" si="1"/>
        <v/>
      </c>
    </row>
    <row r="4607" ht="22.5" customHeight="1">
      <c r="B4607" s="13">
        <f>IFERROR(__xludf.DUMMYFUNCTION("""COMPUTED_VALUE"""),4602.0)</f>
        <v>4602</v>
      </c>
      <c r="C4607" s="13" t="str">
        <f>IFERROR(__xludf.DUMMYFUNCTION("""COMPUTED_VALUE"""),"M. 2530/sukarame baru")</f>
        <v>M. 2530/sukarame baru</v>
      </c>
      <c r="D4607" s="13" t="str">
        <f>IFERROR(__xludf.DUMMYFUNCTION("""COMPUTED_VALUE"""),"ABAHSDSD/AB069")</f>
        <v>ABAHSDSD/AB069</v>
      </c>
      <c r="E4607" s="14" t="str">
        <f>IFERROR(__xludf.DUMMYFUNCTION("""COMPUTED_VALUE"""),"Heri (BT)")</f>
        <v>Heri (BT)</v>
      </c>
      <c r="F4607" s="14" t="str">
        <f>IFERROR(__xludf.DUMMYFUNCTION("""COMPUTED_VALUE"""),"SELESAI (VIA PERMOHONAN)")</f>
        <v>SELESAI (VIA PERMOHONAN)</v>
      </c>
      <c r="G4607" s="17">
        <f>IFERROR(__xludf.DUMMYFUNCTION("""COMPUTED_VALUE"""),46000.70954806713)</f>
        <v>46000.70955</v>
      </c>
      <c r="H4607" s="14"/>
      <c r="I4607" s="13"/>
      <c r="J4607" s="17" t="str">
        <f>IFERROR(__xludf.DUMMYFUNCTION("""COMPUTED_VALUE"""),"")</f>
        <v/>
      </c>
      <c r="K4607" s="13" t="str">
        <f>IFERROR(__xludf.DUMMYFUNCTION("""COMPUTED_VALUE"""),"BT atau SU Belum Valid")</f>
        <v>BT atau SU Belum Valid</v>
      </c>
      <c r="L4607" s="13" t="str">
        <f>IFERROR(__xludf.DUMMYFUNCTION("""COMPUTED_VALUE"""),"")</f>
        <v/>
      </c>
      <c r="M4607" s="13"/>
      <c r="N4607" s="13" t="str">
        <f>IFERROR(__xludf.DUMMYFUNCTION("""COMPUTED_VALUE"""),"")</f>
        <v/>
      </c>
      <c r="O4607" s="13" t="str">
        <f t="shared" si="1"/>
        <v/>
      </c>
    </row>
    <row r="4608" ht="22.5" customHeight="1">
      <c r="B4608" s="13">
        <f>IFERROR(__xludf.DUMMYFUNCTION("""COMPUTED_VALUE"""),4603.0)</f>
        <v>4603</v>
      </c>
      <c r="C4608" s="13" t="str">
        <f>IFERROR(__xludf.DUMMYFUNCTION("""COMPUTED_VALUE"""),"M. 10278/SUKABUMI")</f>
        <v>M. 10278/SUKABUMI</v>
      </c>
      <c r="D4608" s="13" t="str">
        <f>IFERROR(__xludf.DUMMYFUNCTION("""COMPUTED_VALUE"""),"K/4/241025/1")</f>
        <v>K/4/241025/1</v>
      </c>
      <c r="E4608" s="14" t="str">
        <f>IFERROR(__xludf.DUMMYFUNCTION("""COMPUTED_VALUE"""),"Heri (BT)")</f>
        <v>Heri (BT)</v>
      </c>
      <c r="F4608" s="14" t="str">
        <f>IFERROR(__xludf.DUMMYFUNCTION("""COMPUTED_VALUE"""),"SELESAI (VIA PERMOHONAN)")</f>
        <v>SELESAI (VIA PERMOHONAN)</v>
      </c>
      <c r="G4608" s="17">
        <f>IFERROR(__xludf.DUMMYFUNCTION("""COMPUTED_VALUE"""),46000.709705057874)</f>
        <v>46000.70971</v>
      </c>
      <c r="H4608" s="14"/>
      <c r="I4608" s="13"/>
      <c r="J4608" s="17" t="str">
        <f>IFERROR(__xludf.DUMMYFUNCTION("""COMPUTED_VALUE"""),"")</f>
        <v/>
      </c>
      <c r="K4608" s="13" t="str">
        <f>IFERROR(__xludf.DUMMYFUNCTION("""COMPUTED_VALUE"""),"BT atau SU Belum Valid")</f>
        <v>BT atau SU Belum Valid</v>
      </c>
      <c r="L4608" s="13" t="str">
        <f>IFERROR(__xludf.DUMMYFUNCTION("""COMPUTED_VALUE"""),"")</f>
        <v/>
      </c>
      <c r="M4608" s="13"/>
      <c r="N4608" s="13" t="str">
        <f>IFERROR(__xludf.DUMMYFUNCTION("""COMPUTED_VALUE"""),"")</f>
        <v/>
      </c>
      <c r="O4608" s="13" t="str">
        <f t="shared" si="1"/>
        <v/>
      </c>
    </row>
    <row r="4609" ht="22.5" customHeight="1">
      <c r="B4609" s="13">
        <f>IFERROR(__xludf.DUMMYFUNCTION("""COMPUTED_VALUE"""),4604.0)</f>
        <v>4604</v>
      </c>
      <c r="C4609" s="13" t="str">
        <f>IFERROR(__xludf.DUMMYFUNCTION("""COMPUTED_VALUE"""),"M 3381/ KEMILING PERMAI")</f>
        <v>M 3381/ KEMILING PERMAI</v>
      </c>
      <c r="D4609" s="13" t="str">
        <f>IFERROR(__xludf.DUMMYFUNCTION("""COMPUTED_VALUE"""),"ABVEXZCL  . Nomor tiket AB013")</f>
        <v>ABVEXZCL  . Nomor tiket AB013</v>
      </c>
      <c r="E4609" s="14" t="str">
        <f>IFERROR(__xludf.DUMMYFUNCTION("""COMPUTED_VALUE"""),"Heri (BT)")</f>
        <v>Heri (BT)</v>
      </c>
      <c r="F4609" s="14" t="str">
        <f>IFERROR(__xludf.DUMMYFUNCTION("""COMPUTED_VALUE"""),"SELESAI (VIA PERMOHONAN)")</f>
        <v>SELESAI (VIA PERMOHONAN)</v>
      </c>
      <c r="G4609" s="17">
        <f>IFERROR(__xludf.DUMMYFUNCTION("""COMPUTED_VALUE"""),46000.70982662037)</f>
        <v>46000.70983</v>
      </c>
      <c r="H4609" s="14"/>
      <c r="I4609" s="13"/>
      <c r="J4609" s="17" t="str">
        <f>IFERROR(__xludf.DUMMYFUNCTION("""COMPUTED_VALUE"""),"")</f>
        <v/>
      </c>
      <c r="K4609" s="13" t="str">
        <f>IFERROR(__xludf.DUMMYFUNCTION("""COMPUTED_VALUE"""),"BT atau SU Belum Valid")</f>
        <v>BT atau SU Belum Valid</v>
      </c>
      <c r="L4609" s="13" t="str">
        <f>IFERROR(__xludf.DUMMYFUNCTION("""COMPUTED_VALUE"""),"")</f>
        <v/>
      </c>
      <c r="M4609" s="13"/>
      <c r="N4609" s="13" t="str">
        <f>IFERROR(__xludf.DUMMYFUNCTION("""COMPUTED_VALUE"""),"")</f>
        <v/>
      </c>
      <c r="O4609" s="13" t="str">
        <f t="shared" si="1"/>
        <v/>
      </c>
    </row>
    <row r="4610" ht="22.5" customHeight="1">
      <c r="B4610" s="13">
        <f>IFERROR(__xludf.DUMMYFUNCTION("""COMPUTED_VALUE"""),4605.0)</f>
        <v>4605</v>
      </c>
      <c r="C4610" s="13" t="str">
        <f>IFERROR(__xludf.DUMMYFUNCTION("""COMPUTED_VALUE"""),"M.2446/Sukadana Ham")</f>
        <v>M.2446/Sukadana Ham</v>
      </c>
      <c r="D4610" s="13" t="str">
        <f>IFERROR(__xludf.DUMMYFUNCTION("""COMPUTED_VALUE"""),"ABGRVLKV")</f>
        <v>ABGRVLKV</v>
      </c>
      <c r="E4610" s="14" t="str">
        <f>IFERROR(__xludf.DUMMYFUNCTION("""COMPUTED_VALUE"""),"Heri (BT)")</f>
        <v>Heri (BT)</v>
      </c>
      <c r="F4610" s="14" t="str">
        <f>IFERROR(__xludf.DUMMYFUNCTION("""COMPUTED_VALUE"""),"SELESAI (VIA PERMOHONAN)")</f>
        <v>SELESAI (VIA PERMOHONAN)</v>
      </c>
      <c r="G4610" s="17">
        <f>IFERROR(__xludf.DUMMYFUNCTION("""COMPUTED_VALUE"""),46000.70999238426)</f>
        <v>46000.70999</v>
      </c>
      <c r="H4610" s="14"/>
      <c r="I4610" s="13"/>
      <c r="J4610" s="17" t="str">
        <f>IFERROR(__xludf.DUMMYFUNCTION("""COMPUTED_VALUE"""),"")</f>
        <v/>
      </c>
      <c r="K4610" s="13" t="str">
        <f>IFERROR(__xludf.DUMMYFUNCTION("""COMPUTED_VALUE"""),"BT atau SU Belum Valid")</f>
        <v>BT atau SU Belum Valid</v>
      </c>
      <c r="L4610" s="13" t="str">
        <f>IFERROR(__xludf.DUMMYFUNCTION("""COMPUTED_VALUE"""),"")</f>
        <v/>
      </c>
      <c r="M4610" s="13"/>
      <c r="N4610" s="13" t="str">
        <f>IFERROR(__xludf.DUMMYFUNCTION("""COMPUTED_VALUE"""),"")</f>
        <v/>
      </c>
      <c r="O4610" s="13" t="str">
        <f t="shared" si="1"/>
        <v/>
      </c>
    </row>
    <row r="4611" ht="22.5" customHeight="1">
      <c r="B4611" s="13">
        <f>IFERROR(__xludf.DUMMYFUNCTION("""COMPUTED_VALUE"""),4606.0)</f>
        <v>4606</v>
      </c>
      <c r="C4611" s="13" t="str">
        <f>IFERROR(__xludf.DUMMYFUNCTION("""COMPUTED_VALUE"""),"M. 19153/SUKARAME I")</f>
        <v>M. 19153/SUKARAME I</v>
      </c>
      <c r="D4611" s="13" t="str">
        <f>IFERROR(__xludf.DUMMYFUNCTION("""COMPUTED_VALUE"""),"L/10/221025/1")</f>
        <v>L/10/221025/1</v>
      </c>
      <c r="E4611" s="14" t="str">
        <f>IFERROR(__xludf.DUMMYFUNCTION("""COMPUTED_VALUE"""),"Heri (BT)")</f>
        <v>Heri (BT)</v>
      </c>
      <c r="F4611" s="14" t="str">
        <f>IFERROR(__xludf.DUMMYFUNCTION("""COMPUTED_VALUE"""),"SELESAI (VIA PERMOHONAN)")</f>
        <v>SELESAI (VIA PERMOHONAN)</v>
      </c>
      <c r="G4611" s="17">
        <f>IFERROR(__xludf.DUMMYFUNCTION("""COMPUTED_VALUE"""),46000.87945699074)</f>
        <v>46000.87946</v>
      </c>
      <c r="H4611" s="14"/>
      <c r="I4611" s="13"/>
      <c r="J4611" s="17" t="str">
        <f>IFERROR(__xludf.DUMMYFUNCTION("""COMPUTED_VALUE"""),"")</f>
        <v/>
      </c>
      <c r="K4611" s="13" t="str">
        <f>IFERROR(__xludf.DUMMYFUNCTION("""COMPUTED_VALUE"""),"BT atau SU Belum Valid")</f>
        <v>BT atau SU Belum Valid</v>
      </c>
      <c r="L4611" s="13" t="str">
        <f>IFERROR(__xludf.DUMMYFUNCTION("""COMPUTED_VALUE"""),"")</f>
        <v/>
      </c>
      <c r="M4611" s="13"/>
      <c r="N4611" s="13" t="str">
        <f>IFERROR(__xludf.DUMMYFUNCTION("""COMPUTED_VALUE"""),"")</f>
        <v/>
      </c>
      <c r="O4611" s="13" t="str">
        <f t="shared" si="1"/>
        <v/>
      </c>
    </row>
    <row r="4612" ht="22.5" customHeight="1">
      <c r="B4612" s="13">
        <f>IFERROR(__xludf.DUMMYFUNCTION("""COMPUTED_VALUE"""),4607.0)</f>
        <v>4607</v>
      </c>
      <c r="C4612" s="13" t="str">
        <f>IFERROR(__xludf.DUMMYFUNCTION("""COMPUTED_VALUE"""),"M. 233/WAY TATAAN")</f>
        <v>M. 233/WAY TATAAN</v>
      </c>
      <c r="D4612" s="13" t="str">
        <f>IFERROR(__xludf.DUMMYFUNCTION("""COMPUTED_VALUE"""),"L/11/301025/1")</f>
        <v>L/11/301025/1</v>
      </c>
      <c r="E4612" s="14" t="str">
        <f>IFERROR(__xludf.DUMMYFUNCTION("""COMPUTED_VALUE"""),"Heri (BT)")</f>
        <v>Heri (BT)</v>
      </c>
      <c r="F4612" s="14" t="str">
        <f>IFERROR(__xludf.DUMMYFUNCTION("""COMPUTED_VALUE"""),"SELESAI (VIA PERMOHONAN)")</f>
        <v>SELESAI (VIA PERMOHONAN)</v>
      </c>
      <c r="G4612" s="17">
        <f>IFERROR(__xludf.DUMMYFUNCTION("""COMPUTED_VALUE"""),46000.88261199074)</f>
        <v>46000.88261</v>
      </c>
      <c r="H4612" s="14"/>
      <c r="I4612" s="13"/>
      <c r="J4612" s="17" t="str">
        <f>IFERROR(__xludf.DUMMYFUNCTION("""COMPUTED_VALUE"""),"")</f>
        <v/>
      </c>
      <c r="K4612" s="13" t="str">
        <f>IFERROR(__xludf.DUMMYFUNCTION("""COMPUTED_VALUE"""),"BT atau SU Belum Valid")</f>
        <v>BT atau SU Belum Valid</v>
      </c>
      <c r="L4612" s="13" t="str">
        <f>IFERROR(__xludf.DUMMYFUNCTION("""COMPUTED_VALUE"""),"")</f>
        <v/>
      </c>
      <c r="M4612" s="13"/>
      <c r="N4612" s="13" t="str">
        <f>IFERROR(__xludf.DUMMYFUNCTION("""COMPUTED_VALUE"""),"")</f>
        <v/>
      </c>
      <c r="O4612" s="13" t="str">
        <f t="shared" si="1"/>
        <v/>
      </c>
    </row>
    <row r="4613" ht="22.5" customHeight="1">
      <c r="B4613" s="13">
        <f>IFERROR(__xludf.DUMMYFUNCTION("""COMPUTED_VALUE"""),4608.0)</f>
        <v>4608</v>
      </c>
      <c r="C4613" s="13" t="str">
        <f>IFERROR(__xludf.DUMMYFUNCTION("""COMPUTED_VALUE"""),"SHM. 2666/ SUMBERREJO")</f>
        <v>SHM. 2666/ SUMBERREJO</v>
      </c>
      <c r="D4613" s="13" t="str">
        <f>IFERROR(__xludf.DUMMYFUNCTION("""COMPUTED_VALUE"""),"L/4/311025/1")</f>
        <v>L/4/311025/1</v>
      </c>
      <c r="E4613" s="14" t="str">
        <f>IFERROR(__xludf.DUMMYFUNCTION("""COMPUTED_VALUE"""),"Heri (BT)")</f>
        <v>Heri (BT)</v>
      </c>
      <c r="F4613" s="14" t="str">
        <f>IFERROR(__xludf.DUMMYFUNCTION("""COMPUTED_VALUE"""),"SELESAI (VIA PERMOHONAN)")</f>
        <v>SELESAI (VIA PERMOHONAN)</v>
      </c>
      <c r="G4613" s="17">
        <f>IFERROR(__xludf.DUMMYFUNCTION("""COMPUTED_VALUE"""),46000.883119375)</f>
        <v>46000.88312</v>
      </c>
      <c r="H4613" s="14"/>
      <c r="I4613" s="13"/>
      <c r="J4613" s="17" t="str">
        <f>IFERROR(__xludf.DUMMYFUNCTION("""COMPUTED_VALUE"""),"")</f>
        <v/>
      </c>
      <c r="K4613" s="13" t="str">
        <f>IFERROR(__xludf.DUMMYFUNCTION("""COMPUTED_VALUE"""),"BT atau SU Belum Valid")</f>
        <v>BT atau SU Belum Valid</v>
      </c>
      <c r="L4613" s="13" t="str">
        <f>IFERROR(__xludf.DUMMYFUNCTION("""COMPUTED_VALUE"""),"")</f>
        <v/>
      </c>
      <c r="M4613" s="13"/>
      <c r="N4613" s="13" t="str">
        <f>IFERROR(__xludf.DUMMYFUNCTION("""COMPUTED_VALUE"""),"")</f>
        <v/>
      </c>
      <c r="O4613" s="13" t="str">
        <f t="shared" si="1"/>
        <v/>
      </c>
    </row>
    <row r="4614" ht="22.5" customHeight="1">
      <c r="B4614" s="13">
        <f>IFERROR(__xludf.DUMMYFUNCTION("""COMPUTED_VALUE"""),4609.0)</f>
        <v>4609</v>
      </c>
      <c r="C4614" s="13" t="str">
        <f>IFERROR(__xludf.DUMMYFUNCTION("""COMPUTED_VALUE"""),"B. 648/NUSANTARA PERMAI")</f>
        <v>B. 648/NUSANTARA PERMAI</v>
      </c>
      <c r="D4614" s="13" t="str">
        <f>IFERROR(__xludf.DUMMYFUNCTION("""COMPUTED_VALUE"""),"K/2/031125/1")</f>
        <v>K/2/031125/1</v>
      </c>
      <c r="E4614" s="14" t="str">
        <f>IFERROR(__xludf.DUMMYFUNCTION("""COMPUTED_VALUE"""),"Heri (BT)")</f>
        <v>Heri (BT)</v>
      </c>
      <c r="F4614" s="14" t="str">
        <f>IFERROR(__xludf.DUMMYFUNCTION("""COMPUTED_VALUE"""),"SELESAI (VIA PERMOHONAN)")</f>
        <v>SELESAI (VIA PERMOHONAN)</v>
      </c>
      <c r="G4614" s="17">
        <f>IFERROR(__xludf.DUMMYFUNCTION("""COMPUTED_VALUE"""),46000.88400377315)</f>
        <v>46000.884</v>
      </c>
      <c r="H4614" s="14"/>
      <c r="I4614" s="13"/>
      <c r="J4614" s="17" t="str">
        <f>IFERROR(__xludf.DUMMYFUNCTION("""COMPUTED_VALUE"""),"")</f>
        <v/>
      </c>
      <c r="K4614" s="13" t="str">
        <f>IFERROR(__xludf.DUMMYFUNCTION("""COMPUTED_VALUE"""),"BT atau SU Belum Valid")</f>
        <v>BT atau SU Belum Valid</v>
      </c>
      <c r="L4614" s="13" t="str">
        <f>IFERROR(__xludf.DUMMYFUNCTION("""COMPUTED_VALUE"""),"")</f>
        <v/>
      </c>
      <c r="M4614" s="13"/>
      <c r="N4614" s="13" t="str">
        <f>IFERROR(__xludf.DUMMYFUNCTION("""COMPUTED_VALUE"""),"")</f>
        <v/>
      </c>
      <c r="O4614" s="13" t="str">
        <f t="shared" si="1"/>
        <v/>
      </c>
    </row>
    <row r="4615" ht="22.5" customHeight="1">
      <c r="B4615" s="13">
        <f>IFERROR(__xludf.DUMMYFUNCTION("""COMPUTED_VALUE"""),4610.0)</f>
        <v>4610</v>
      </c>
      <c r="C4615" s="13" t="str">
        <f>IFERROR(__xludf.DUMMYFUNCTION("""COMPUTED_VALUE"""),"M. 9389/ SURABAYA")</f>
        <v>M. 9389/ SURABAYA</v>
      </c>
      <c r="D4615" s="13" t="str">
        <f>IFERROR(__xludf.DUMMYFUNCTION("""COMPUTED_VALUE"""),"K/27/280825/1")</f>
        <v>K/27/280825/1</v>
      </c>
      <c r="E4615" s="14" t="str">
        <f>IFERROR(__xludf.DUMMYFUNCTION("""COMPUTED_VALUE"""),"Heri (BT)")</f>
        <v>Heri (BT)</v>
      </c>
      <c r="F4615" s="14" t="str">
        <f>IFERROR(__xludf.DUMMYFUNCTION("""COMPUTED_VALUE"""),"SELESAI (VIA PERMOHONAN)")</f>
        <v>SELESAI (VIA PERMOHONAN)</v>
      </c>
      <c r="G4615" s="17">
        <f>IFERROR(__xludf.DUMMYFUNCTION("""COMPUTED_VALUE"""),46000.88460671296)</f>
        <v>46000.88461</v>
      </c>
      <c r="H4615" s="14"/>
      <c r="I4615" s="13"/>
      <c r="J4615" s="17" t="str">
        <f>IFERROR(__xludf.DUMMYFUNCTION("""COMPUTED_VALUE"""),"")</f>
        <v/>
      </c>
      <c r="K4615" s="13" t="str">
        <f>IFERROR(__xludf.DUMMYFUNCTION("""COMPUTED_VALUE"""),"BT atau SU Belum Valid")</f>
        <v>BT atau SU Belum Valid</v>
      </c>
      <c r="L4615" s="13" t="str">
        <f>IFERROR(__xludf.DUMMYFUNCTION("""COMPUTED_VALUE"""),"")</f>
        <v/>
      </c>
      <c r="M4615" s="13"/>
      <c r="N4615" s="13" t="str">
        <f>IFERROR(__xludf.DUMMYFUNCTION("""COMPUTED_VALUE"""),"")</f>
        <v/>
      </c>
      <c r="O4615" s="13" t="str">
        <f t="shared" si="1"/>
        <v/>
      </c>
    </row>
    <row r="4616" ht="22.5" customHeight="1">
      <c r="B4616" s="13">
        <f>IFERROR(__xludf.DUMMYFUNCTION("""COMPUTED_VALUE"""),4611.0)</f>
        <v>4611</v>
      </c>
      <c r="C4616" s="13" t="str">
        <f>IFERROR(__xludf.DUMMYFUNCTION("""COMPUTED_VALUE"""),"M. 10550/SUKAMENANTI")</f>
        <v>M. 10550/SUKAMENANTI</v>
      </c>
      <c r="D4616" s="13" t="str">
        <f>IFERROR(__xludf.DUMMYFUNCTION("""COMPUTED_VALUE"""),"K/1/221025/1")</f>
        <v>K/1/221025/1</v>
      </c>
      <c r="E4616" s="14" t="str">
        <f>IFERROR(__xludf.DUMMYFUNCTION("""COMPUTED_VALUE"""),"Heri (BT)")</f>
        <v>Heri (BT)</v>
      </c>
      <c r="F4616" s="14" t="str">
        <f>IFERROR(__xludf.DUMMYFUNCTION("""COMPUTED_VALUE"""),"SELESAI (VIA PERMOHONAN)")</f>
        <v>SELESAI (VIA PERMOHONAN)</v>
      </c>
      <c r="G4616" s="17">
        <f>IFERROR(__xludf.DUMMYFUNCTION("""COMPUTED_VALUE"""),46000.88788844907)</f>
        <v>46000.88789</v>
      </c>
      <c r="H4616" s="14"/>
      <c r="I4616" s="13"/>
      <c r="J4616" s="17" t="str">
        <f>IFERROR(__xludf.DUMMYFUNCTION("""COMPUTED_VALUE"""),"")</f>
        <v/>
      </c>
      <c r="K4616" s="13" t="str">
        <f>IFERROR(__xludf.DUMMYFUNCTION("""COMPUTED_VALUE"""),"BT atau SU Belum Valid")</f>
        <v>BT atau SU Belum Valid</v>
      </c>
      <c r="L4616" s="13" t="str">
        <f>IFERROR(__xludf.DUMMYFUNCTION("""COMPUTED_VALUE"""),"")</f>
        <v/>
      </c>
      <c r="M4616" s="13"/>
      <c r="N4616" s="13" t="str">
        <f>IFERROR(__xludf.DUMMYFUNCTION("""COMPUTED_VALUE"""),"")</f>
        <v/>
      </c>
      <c r="O4616" s="13" t="str">
        <f t="shared" si="1"/>
        <v/>
      </c>
    </row>
    <row r="4617" ht="22.5" customHeight="1">
      <c r="B4617" s="13">
        <f>IFERROR(__xludf.DUMMYFUNCTION("""COMPUTED_VALUE"""),4612.0)</f>
        <v>4612</v>
      </c>
      <c r="C4617" s="13" t="str">
        <f>IFERROR(__xludf.DUMMYFUNCTION("""COMPUTED_VALUE"""),"B.1384/PINANG JAYA")</f>
        <v>B.1384/PINANG JAYA</v>
      </c>
      <c r="D4617" s="13" t="str">
        <f>IFERROR(__xludf.DUMMYFUNCTION("""COMPUTED_VALUE"""),"K/15/031125/2")</f>
        <v>K/15/031125/2</v>
      </c>
      <c r="E4617" s="14" t="str">
        <f>IFERROR(__xludf.DUMMYFUNCTION("""COMPUTED_VALUE"""),"Heri (BT)")</f>
        <v>Heri (BT)</v>
      </c>
      <c r="F4617" s="14" t="str">
        <f>IFERROR(__xludf.DUMMYFUNCTION("""COMPUTED_VALUE"""),"SELESAI (VIA PERMOHONAN)")</f>
        <v>SELESAI (VIA PERMOHONAN)</v>
      </c>
      <c r="G4617" s="17">
        <f>IFERROR(__xludf.DUMMYFUNCTION("""COMPUTED_VALUE"""),46000.90532116898)</f>
        <v>46000.90532</v>
      </c>
      <c r="H4617" s="14"/>
      <c r="I4617" s="13"/>
      <c r="J4617" s="17" t="str">
        <f>IFERROR(__xludf.DUMMYFUNCTION("""COMPUTED_VALUE"""),"")</f>
        <v/>
      </c>
      <c r="K4617" s="13" t="str">
        <f>IFERROR(__xludf.DUMMYFUNCTION("""COMPUTED_VALUE"""),"BT atau SU Belum Valid")</f>
        <v>BT atau SU Belum Valid</v>
      </c>
      <c r="L4617" s="13" t="str">
        <f>IFERROR(__xludf.DUMMYFUNCTION("""COMPUTED_VALUE"""),"")</f>
        <v/>
      </c>
      <c r="M4617" s="13"/>
      <c r="N4617" s="13" t="str">
        <f>IFERROR(__xludf.DUMMYFUNCTION("""COMPUTED_VALUE"""),"")</f>
        <v/>
      </c>
      <c r="O4617" s="13" t="str">
        <f t="shared" si="1"/>
        <v/>
      </c>
    </row>
    <row r="4618" ht="22.5" customHeight="1">
      <c r="B4618" s="13">
        <f>IFERROR(__xludf.DUMMYFUNCTION("""COMPUTED_VALUE"""),4613.0)</f>
        <v>4613</v>
      </c>
      <c r="C4618" s="13" t="str">
        <f>IFERROR(__xludf.DUMMYFUNCTION("""COMPUTED_VALUE"""),"SHM. 02294")</f>
        <v>SHM. 02294</v>
      </c>
      <c r="D4618" s="13" t="str">
        <f>IFERROR(__xludf.DUMMYFUNCTION("""COMPUTED_VALUE"""),"ABKPPEG")</f>
        <v>ABKPPEG</v>
      </c>
      <c r="E4618" s="14" t="str">
        <f>IFERROR(__xludf.DUMMYFUNCTION("""COMPUTED_VALUE"""),"Heri (BT)")</f>
        <v>Heri (BT)</v>
      </c>
      <c r="F4618" s="14" t="str">
        <f>IFERROR(__xludf.DUMMYFUNCTION("""COMPUTED_VALUE"""),"SELESAI (VIA PERMOHONAN)")</f>
        <v>SELESAI (VIA PERMOHONAN)</v>
      </c>
      <c r="G4618" s="17">
        <f>IFERROR(__xludf.DUMMYFUNCTION("""COMPUTED_VALUE"""),46000.92388427083)</f>
        <v>46000.92388</v>
      </c>
      <c r="H4618" s="14"/>
      <c r="I4618" s="13"/>
      <c r="J4618" s="17" t="str">
        <f>IFERROR(__xludf.DUMMYFUNCTION("""COMPUTED_VALUE"""),"")</f>
        <v/>
      </c>
      <c r="K4618" s="13" t="str">
        <f>IFERROR(__xludf.DUMMYFUNCTION("""COMPUTED_VALUE"""),"BT atau SU Belum Valid")</f>
        <v>BT atau SU Belum Valid</v>
      </c>
      <c r="L4618" s="13" t="str">
        <f>IFERROR(__xludf.DUMMYFUNCTION("""COMPUTED_VALUE"""),"")</f>
        <v/>
      </c>
      <c r="M4618" s="13"/>
      <c r="N4618" s="13" t="str">
        <f>IFERROR(__xludf.DUMMYFUNCTION("""COMPUTED_VALUE"""),"")</f>
        <v/>
      </c>
      <c r="O4618" s="13" t="str">
        <f t="shared" si="1"/>
        <v/>
      </c>
    </row>
    <row r="4619" ht="22.5" customHeight="1">
      <c r="B4619" s="13">
        <f>IFERROR(__xludf.DUMMYFUNCTION("""COMPUTED_VALUE"""),4614.0)</f>
        <v>4614</v>
      </c>
      <c r="C4619" s="13" t="str">
        <f>IFERROR(__xludf.DUMMYFUNCTION("""COMPUTED_VALUE"""),"M 2447/ KEDAUNG")</f>
        <v>M 2447/ KEDAUNG</v>
      </c>
      <c r="D4619" s="13" t="str">
        <f>IFERROR(__xludf.DUMMYFUNCTION("""COMPUTED_VALUE"""),"ABUPXVUY")</f>
        <v>ABUPXVUY</v>
      </c>
      <c r="E4619" s="14" t="str">
        <f>IFERROR(__xludf.DUMMYFUNCTION("""COMPUTED_VALUE"""),"Heri (BT)")</f>
        <v>Heri (BT)</v>
      </c>
      <c r="F4619" s="14" t="str">
        <f>IFERROR(__xludf.DUMMYFUNCTION("""COMPUTED_VALUE"""),"SELESAI (VIA PERMOHONAN)")</f>
        <v>SELESAI (VIA PERMOHONAN)</v>
      </c>
      <c r="G4619" s="17">
        <f>IFERROR(__xludf.DUMMYFUNCTION("""COMPUTED_VALUE"""),46000.924149583334)</f>
        <v>46000.92415</v>
      </c>
      <c r="H4619" s="14"/>
      <c r="I4619" s="13"/>
      <c r="J4619" s="17" t="str">
        <f>IFERROR(__xludf.DUMMYFUNCTION("""COMPUTED_VALUE"""),"")</f>
        <v/>
      </c>
      <c r="K4619" s="13" t="str">
        <f>IFERROR(__xludf.DUMMYFUNCTION("""COMPUTED_VALUE"""),"BT atau SU Belum Valid")</f>
        <v>BT atau SU Belum Valid</v>
      </c>
      <c r="L4619" s="13" t="str">
        <f>IFERROR(__xludf.DUMMYFUNCTION("""COMPUTED_VALUE"""),"")</f>
        <v/>
      </c>
      <c r="M4619" s="13"/>
      <c r="N4619" s="13" t="str">
        <f>IFERROR(__xludf.DUMMYFUNCTION("""COMPUTED_VALUE"""),"")</f>
        <v/>
      </c>
      <c r="O4619" s="13" t="str">
        <f t="shared" si="1"/>
        <v/>
      </c>
    </row>
    <row r="4620" ht="22.5" customHeight="1">
      <c r="B4620" s="13">
        <f>IFERROR(__xludf.DUMMYFUNCTION("""COMPUTED_VALUE"""),4615.0)</f>
        <v>4615</v>
      </c>
      <c r="C4620" s="13" t="str">
        <f>IFERROR(__xludf.DUMMYFUNCTION("""COMPUTED_VALUE"""),"M.01004/Korpri Jaya")</f>
        <v>M.01004/Korpri Jaya</v>
      </c>
      <c r="D4620" s="13" t="str">
        <f>IFERROR(__xludf.DUMMYFUNCTION("""COMPUTED_VALUE"""),"ABPAMLHR")</f>
        <v>ABPAMLHR</v>
      </c>
      <c r="E4620" s="14" t="str">
        <f>IFERROR(__xludf.DUMMYFUNCTION("""COMPUTED_VALUE"""),"Heri (BT)")</f>
        <v>Heri (BT)</v>
      </c>
      <c r="F4620" s="14" t="str">
        <f>IFERROR(__xludf.DUMMYFUNCTION("""COMPUTED_VALUE"""),"SELESAI (VIA PERMOHONAN)")</f>
        <v>SELESAI (VIA PERMOHONAN)</v>
      </c>
      <c r="G4620" s="17">
        <f>IFERROR(__xludf.DUMMYFUNCTION("""COMPUTED_VALUE"""),46002.348049583336)</f>
        <v>46002.34805</v>
      </c>
      <c r="H4620" s="14"/>
      <c r="I4620" s="13"/>
      <c r="J4620" s="17" t="str">
        <f>IFERROR(__xludf.DUMMYFUNCTION("""COMPUTED_VALUE"""),"")</f>
        <v/>
      </c>
      <c r="K4620" s="13" t="str">
        <f>IFERROR(__xludf.DUMMYFUNCTION("""COMPUTED_VALUE"""),"BT atau SU Belum Valid")</f>
        <v>BT atau SU Belum Valid</v>
      </c>
      <c r="L4620" s="13" t="str">
        <f>IFERROR(__xludf.DUMMYFUNCTION("""COMPUTED_VALUE"""),"")</f>
        <v/>
      </c>
      <c r="M4620" s="13"/>
      <c r="N4620" s="13" t="str">
        <f>IFERROR(__xludf.DUMMYFUNCTION("""COMPUTED_VALUE"""),"")</f>
        <v/>
      </c>
      <c r="O4620" s="13" t="str">
        <f t="shared" si="1"/>
        <v/>
      </c>
    </row>
    <row r="4621" ht="22.5" customHeight="1">
      <c r="B4621" s="13">
        <f>IFERROR(__xludf.DUMMYFUNCTION("""COMPUTED_VALUE"""),4616.0)</f>
        <v>4616</v>
      </c>
      <c r="C4621" s="13" t="str">
        <f>IFERROR(__xludf.DUMMYFUNCTION("""COMPUTED_VALUE"""),"M 2721/ SUKAJAWA")</f>
        <v>M 2721/ SUKAJAWA</v>
      </c>
      <c r="D4621" s="13" t="str">
        <f>IFERROR(__xludf.DUMMYFUNCTION("""COMPUTED_VALUE"""),"K/8/091025/1")</f>
        <v>K/8/091025/1</v>
      </c>
      <c r="E4621" s="14" t="str">
        <f>IFERROR(__xludf.DUMMYFUNCTION("""COMPUTED_VALUE"""),"Heri (BT)")</f>
        <v>Heri (BT)</v>
      </c>
      <c r="F4621" s="14" t="str">
        <f>IFERROR(__xludf.DUMMYFUNCTION("""COMPUTED_VALUE"""),"SELESAI (VIA PERMOHONAN)")</f>
        <v>SELESAI (VIA PERMOHONAN)</v>
      </c>
      <c r="G4621" s="17">
        <f>IFERROR(__xludf.DUMMYFUNCTION("""COMPUTED_VALUE"""),46002.348316006945)</f>
        <v>46002.34832</v>
      </c>
      <c r="H4621" s="14"/>
      <c r="I4621" s="13"/>
      <c r="J4621" s="17" t="str">
        <f>IFERROR(__xludf.DUMMYFUNCTION("""COMPUTED_VALUE"""),"")</f>
        <v/>
      </c>
      <c r="K4621" s="13" t="str">
        <f>IFERROR(__xludf.DUMMYFUNCTION("""COMPUTED_VALUE"""),"BT atau SU Belum Valid")</f>
        <v>BT atau SU Belum Valid</v>
      </c>
      <c r="L4621" s="13" t="str">
        <f>IFERROR(__xludf.DUMMYFUNCTION("""COMPUTED_VALUE"""),"")</f>
        <v/>
      </c>
      <c r="M4621" s="13"/>
      <c r="N4621" s="13" t="str">
        <f>IFERROR(__xludf.DUMMYFUNCTION("""COMPUTED_VALUE"""),"")</f>
        <v/>
      </c>
      <c r="O4621" s="13" t="str">
        <f t="shared" si="1"/>
        <v/>
      </c>
    </row>
    <row r="4622" ht="22.5" customHeight="1">
      <c r="B4622" s="13">
        <f>IFERROR(__xludf.DUMMYFUNCTION("""COMPUTED_VALUE"""),4617.0)</f>
        <v>4617</v>
      </c>
      <c r="C4622" s="13" t="str">
        <f>IFERROR(__xludf.DUMMYFUNCTION("""COMPUTED_VALUE"""),"B 30/ PALAPA")</f>
        <v>B 30/ PALAPA</v>
      </c>
      <c r="D4622" s="13" t="str">
        <f>IFERROR(__xludf.DUMMYFUNCTION("""COMPUTED_VALUE"""),"ABQMFYWG/1")</f>
        <v>ABQMFYWG/1</v>
      </c>
      <c r="E4622" s="14" t="str">
        <f>IFERROR(__xludf.DUMMYFUNCTION("""COMPUTED_VALUE"""),"Heri (BT)")</f>
        <v>Heri (BT)</v>
      </c>
      <c r="F4622" s="14" t="str">
        <f>IFERROR(__xludf.DUMMYFUNCTION("""COMPUTED_VALUE"""),"SELESAI (VIA PERMOHONAN)")</f>
        <v>SELESAI (VIA PERMOHONAN)</v>
      </c>
      <c r="G4622" s="17">
        <f>IFERROR(__xludf.DUMMYFUNCTION("""COMPUTED_VALUE"""),46002.34850761574)</f>
        <v>46002.34851</v>
      </c>
      <c r="H4622" s="14"/>
      <c r="I4622" s="13"/>
      <c r="J4622" s="17" t="str">
        <f>IFERROR(__xludf.DUMMYFUNCTION("""COMPUTED_VALUE"""),"")</f>
        <v/>
      </c>
      <c r="K4622" s="13" t="str">
        <f>IFERROR(__xludf.DUMMYFUNCTION("""COMPUTED_VALUE"""),"BT atau SU Belum Valid")</f>
        <v>BT atau SU Belum Valid</v>
      </c>
      <c r="L4622" s="13" t="str">
        <f>IFERROR(__xludf.DUMMYFUNCTION("""COMPUTED_VALUE"""),"")</f>
        <v/>
      </c>
      <c r="M4622" s="13"/>
      <c r="N4622" s="13" t="str">
        <f>IFERROR(__xludf.DUMMYFUNCTION("""COMPUTED_VALUE"""),"")</f>
        <v/>
      </c>
      <c r="O4622" s="13" t="str">
        <f t="shared" si="1"/>
        <v/>
      </c>
    </row>
    <row r="4623" ht="22.5" customHeight="1">
      <c r="B4623" s="13">
        <f>IFERROR(__xludf.DUMMYFUNCTION("""COMPUTED_VALUE"""),4618.0)</f>
        <v>4618</v>
      </c>
      <c r="C4623" s="13" t="str">
        <f>IFERROR(__xludf.DUMMYFUNCTION("""COMPUTED_VALUE"""),"M 1253/ LANGKUPARA BARU")</f>
        <v>M 1253/ LANGKUPARA BARU</v>
      </c>
      <c r="D4623" s="13" t="str">
        <f>IFERROR(__xludf.DUMMYFUNCTION("""COMPUTED_VALUE"""),"ABUJKLEA")</f>
        <v>ABUJKLEA</v>
      </c>
      <c r="E4623" s="14" t="str">
        <f>IFERROR(__xludf.DUMMYFUNCTION("""COMPUTED_VALUE"""),"Heri (BT)")</f>
        <v>Heri (BT)</v>
      </c>
      <c r="F4623" s="14" t="str">
        <f>IFERROR(__xludf.DUMMYFUNCTION("""COMPUTED_VALUE"""),"SELESAI (VIA PERMOHONAN)")</f>
        <v>SELESAI (VIA PERMOHONAN)</v>
      </c>
      <c r="G4623" s="17">
        <f>IFERROR(__xludf.DUMMYFUNCTION("""COMPUTED_VALUE"""),46002.34874627314)</f>
        <v>46002.34875</v>
      </c>
      <c r="H4623" s="14"/>
      <c r="I4623" s="13"/>
      <c r="J4623" s="17" t="str">
        <f>IFERROR(__xludf.DUMMYFUNCTION("""COMPUTED_VALUE"""),"")</f>
        <v/>
      </c>
      <c r="K4623" s="13" t="str">
        <f>IFERROR(__xludf.DUMMYFUNCTION("""COMPUTED_VALUE"""),"BT atau SU Belum Valid")</f>
        <v>BT atau SU Belum Valid</v>
      </c>
      <c r="L4623" s="13" t="str">
        <f>IFERROR(__xludf.DUMMYFUNCTION("""COMPUTED_VALUE"""),"")</f>
        <v/>
      </c>
      <c r="M4623" s="13"/>
      <c r="N4623" s="13" t="str">
        <f>IFERROR(__xludf.DUMMYFUNCTION("""COMPUTED_VALUE"""),"")</f>
        <v/>
      </c>
      <c r="O4623" s="13" t="str">
        <f t="shared" si="1"/>
        <v/>
      </c>
    </row>
    <row r="4624" ht="22.5" customHeight="1">
      <c r="B4624" s="13">
        <f>IFERROR(__xludf.DUMMYFUNCTION("""COMPUTED_VALUE"""),4619.0)</f>
        <v>4619</v>
      </c>
      <c r="C4624" s="13" t="str">
        <f>IFERROR(__xludf.DUMMYFUNCTION("""COMPUTED_VALUE"""),"2514/Kemiling Permai")</f>
        <v>2514/Kemiling Permai</v>
      </c>
      <c r="D4624" s="13" t="str">
        <f>IFERROR(__xludf.DUMMYFUNCTION("""COMPUTED_VALUE"""),"ABRLLZBS")</f>
        <v>ABRLLZBS</v>
      </c>
      <c r="E4624" s="14" t="str">
        <f>IFERROR(__xludf.DUMMYFUNCTION("""COMPUTED_VALUE"""),"Heri (BT)")</f>
        <v>Heri (BT)</v>
      </c>
      <c r="F4624" s="14" t="str">
        <f>IFERROR(__xludf.DUMMYFUNCTION("""COMPUTED_VALUE"""),"SELESAI (VIA PERMOHONAN)")</f>
        <v>SELESAI (VIA PERMOHONAN)</v>
      </c>
      <c r="G4624" s="17">
        <f>IFERROR(__xludf.DUMMYFUNCTION("""COMPUTED_VALUE"""),46002.34904188657)</f>
        <v>46002.34904</v>
      </c>
      <c r="H4624" s="14"/>
      <c r="I4624" s="13"/>
      <c r="J4624" s="17" t="str">
        <f>IFERROR(__xludf.DUMMYFUNCTION("""COMPUTED_VALUE"""),"")</f>
        <v/>
      </c>
      <c r="K4624" s="13" t="str">
        <f>IFERROR(__xludf.DUMMYFUNCTION("""COMPUTED_VALUE"""),"BT atau SU Belum Valid")</f>
        <v>BT atau SU Belum Valid</v>
      </c>
      <c r="L4624" s="13" t="str">
        <f>IFERROR(__xludf.DUMMYFUNCTION("""COMPUTED_VALUE"""),"")</f>
        <v/>
      </c>
      <c r="M4624" s="13"/>
      <c r="N4624" s="13" t="str">
        <f>IFERROR(__xludf.DUMMYFUNCTION("""COMPUTED_VALUE"""),"")</f>
        <v/>
      </c>
      <c r="O4624" s="13" t="str">
        <f t="shared" si="1"/>
        <v/>
      </c>
    </row>
    <row r="4625" ht="22.5" customHeight="1">
      <c r="B4625" s="13">
        <f>IFERROR(__xludf.DUMMYFUNCTION("""COMPUTED_VALUE"""),4620.0)</f>
        <v>4620</v>
      </c>
      <c r="C4625" s="13" t="str">
        <f>IFERROR(__xludf.DUMMYFUNCTION("""COMPUTED_VALUE"""),"M. 1717/BATU PUTUK")</f>
        <v>M. 1717/BATU PUTUK</v>
      </c>
      <c r="D4625" s="13" t="str">
        <f>IFERROR(__xludf.DUMMYFUNCTION("""COMPUTED_VALUE"""),"K/24/051125/1")</f>
        <v>K/24/051125/1</v>
      </c>
      <c r="E4625" s="14" t="str">
        <f>IFERROR(__xludf.DUMMYFUNCTION("""COMPUTED_VALUE"""),"Heri (BT)")</f>
        <v>Heri (BT)</v>
      </c>
      <c r="F4625" s="14" t="str">
        <f>IFERROR(__xludf.DUMMYFUNCTION("""COMPUTED_VALUE"""),"SELESAI (VIA PERMOHONAN)")</f>
        <v>SELESAI (VIA PERMOHONAN)</v>
      </c>
      <c r="G4625" s="17">
        <f>IFERROR(__xludf.DUMMYFUNCTION("""COMPUTED_VALUE"""),46002.35289278935)</f>
        <v>46002.35289</v>
      </c>
      <c r="H4625" s="14"/>
      <c r="I4625" s="13"/>
      <c r="J4625" s="17" t="str">
        <f>IFERROR(__xludf.DUMMYFUNCTION("""COMPUTED_VALUE"""),"")</f>
        <v/>
      </c>
      <c r="K4625" s="13" t="str">
        <f>IFERROR(__xludf.DUMMYFUNCTION("""COMPUTED_VALUE"""),"BT atau SU Belum Valid")</f>
        <v>BT atau SU Belum Valid</v>
      </c>
      <c r="L4625" s="13" t="str">
        <f>IFERROR(__xludf.DUMMYFUNCTION("""COMPUTED_VALUE"""),"")</f>
        <v/>
      </c>
      <c r="M4625" s="13"/>
      <c r="N4625" s="13" t="str">
        <f>IFERROR(__xludf.DUMMYFUNCTION("""COMPUTED_VALUE"""),"")</f>
        <v/>
      </c>
      <c r="O4625" s="13" t="str">
        <f t="shared" si="1"/>
        <v/>
      </c>
    </row>
    <row r="4626" ht="22.5" customHeight="1">
      <c r="B4626" s="13">
        <f>IFERROR(__xludf.DUMMYFUNCTION("""COMPUTED_VALUE"""),4621.0)</f>
        <v>4621</v>
      </c>
      <c r="C4626" s="13" t="str">
        <f>IFERROR(__xludf.DUMMYFUNCTION("""COMPUTED_VALUE"""),"B. 1380/PINANG JAYA")</f>
        <v>B. 1380/PINANG JAYA</v>
      </c>
      <c r="D4626" s="13" t="str">
        <f>IFERROR(__xludf.DUMMYFUNCTION("""COMPUTED_VALUE"""),"K/7/301025/1")</f>
        <v>K/7/301025/1</v>
      </c>
      <c r="E4626" s="14" t="str">
        <f>IFERROR(__xludf.DUMMYFUNCTION("""COMPUTED_VALUE"""),"Heri (BT)")</f>
        <v>Heri (BT)</v>
      </c>
      <c r="F4626" s="14" t="str">
        <f>IFERROR(__xludf.DUMMYFUNCTION("""COMPUTED_VALUE"""),"SELESAI (VIA PERMOHONAN)")</f>
        <v>SELESAI (VIA PERMOHONAN)</v>
      </c>
      <c r="G4626" s="17">
        <f>IFERROR(__xludf.DUMMYFUNCTION("""COMPUTED_VALUE"""),46002.354099895834)</f>
        <v>46002.3541</v>
      </c>
      <c r="H4626" s="14"/>
      <c r="I4626" s="13"/>
      <c r="J4626" s="17" t="str">
        <f>IFERROR(__xludf.DUMMYFUNCTION("""COMPUTED_VALUE"""),"")</f>
        <v/>
      </c>
      <c r="K4626" s="13" t="str">
        <f>IFERROR(__xludf.DUMMYFUNCTION("""COMPUTED_VALUE"""),"BT atau SU Belum Valid")</f>
        <v>BT atau SU Belum Valid</v>
      </c>
      <c r="L4626" s="13" t="str">
        <f>IFERROR(__xludf.DUMMYFUNCTION("""COMPUTED_VALUE"""),"")</f>
        <v/>
      </c>
      <c r="M4626" s="13"/>
      <c r="N4626" s="13" t="str">
        <f>IFERROR(__xludf.DUMMYFUNCTION("""COMPUTED_VALUE"""),"")</f>
        <v/>
      </c>
      <c r="O4626" s="13" t="str">
        <f t="shared" si="1"/>
        <v/>
      </c>
    </row>
    <row r="4627" ht="22.5" customHeight="1">
      <c r="B4627" s="13">
        <f>IFERROR(__xludf.DUMMYFUNCTION("""COMPUTED_VALUE"""),4622.0)</f>
        <v>4622</v>
      </c>
      <c r="C4627" s="13" t="str">
        <f>IFERROR(__xludf.DUMMYFUNCTION("""COMPUTED_VALUE"""),"B. 1501/KEMILING PERMAI")</f>
        <v>B. 1501/KEMILING PERMAI</v>
      </c>
      <c r="D4627" s="13" t="str">
        <f>IFERROR(__xludf.DUMMYFUNCTION("""COMPUTED_VALUE"""),"L/24/031125/1")</f>
        <v>L/24/031125/1</v>
      </c>
      <c r="E4627" s="14" t="str">
        <f>IFERROR(__xludf.DUMMYFUNCTION("""COMPUTED_VALUE"""),"Heri (BT)")</f>
        <v>Heri (BT)</v>
      </c>
      <c r="F4627" s="14" t="str">
        <f>IFERROR(__xludf.DUMMYFUNCTION("""COMPUTED_VALUE"""),"SELESAI (VIA PERMOHONAN)")</f>
        <v>SELESAI (VIA PERMOHONAN)</v>
      </c>
      <c r="G4627" s="17">
        <f>IFERROR(__xludf.DUMMYFUNCTION("""COMPUTED_VALUE"""),46002.35730863426)</f>
        <v>46002.35731</v>
      </c>
      <c r="H4627" s="14"/>
      <c r="I4627" s="13"/>
      <c r="J4627" s="17" t="str">
        <f>IFERROR(__xludf.DUMMYFUNCTION("""COMPUTED_VALUE"""),"")</f>
        <v/>
      </c>
      <c r="K4627" s="13" t="str">
        <f>IFERROR(__xludf.DUMMYFUNCTION("""COMPUTED_VALUE"""),"BT atau SU Belum Valid")</f>
        <v>BT atau SU Belum Valid</v>
      </c>
      <c r="L4627" s="13" t="str">
        <f>IFERROR(__xludf.DUMMYFUNCTION("""COMPUTED_VALUE"""),"")</f>
        <v/>
      </c>
      <c r="M4627" s="13"/>
      <c r="N4627" s="13" t="str">
        <f>IFERROR(__xludf.DUMMYFUNCTION("""COMPUTED_VALUE"""),"")</f>
        <v/>
      </c>
      <c r="O4627" s="13" t="str">
        <f t="shared" si="1"/>
        <v/>
      </c>
    </row>
    <row r="4628" ht="22.5" customHeight="1">
      <c r="B4628" s="13">
        <f>IFERROR(__xludf.DUMMYFUNCTION("""COMPUTED_VALUE"""),4623.0)</f>
        <v>4623</v>
      </c>
      <c r="C4628" s="13" t="str">
        <f>IFERROR(__xludf.DUMMYFUNCTION("""COMPUTED_VALUE"""),"M. 2172/Way Halim Permai")</f>
        <v>M. 2172/Way Halim Permai</v>
      </c>
      <c r="D4628" s="13" t="str">
        <f>IFERROR(__xludf.DUMMYFUNCTION("""COMPUTED_VALUE"""),"K/54/091025/1")</f>
        <v>K/54/091025/1</v>
      </c>
      <c r="E4628" s="14" t="str">
        <f>IFERROR(__xludf.DUMMYFUNCTION("""COMPUTED_VALUE"""),"Heri (BT)")</f>
        <v>Heri (BT)</v>
      </c>
      <c r="F4628" s="14" t="str">
        <f>IFERROR(__xludf.DUMMYFUNCTION("""COMPUTED_VALUE"""),"SELESAI (VIA PERMOHONAN)")</f>
        <v>SELESAI (VIA PERMOHONAN)</v>
      </c>
      <c r="G4628" s="17">
        <f>IFERROR(__xludf.DUMMYFUNCTION("""COMPUTED_VALUE"""),46002.36089633102)</f>
        <v>46002.3609</v>
      </c>
      <c r="H4628" s="14"/>
      <c r="I4628" s="13"/>
      <c r="J4628" s="17" t="str">
        <f>IFERROR(__xludf.DUMMYFUNCTION("""COMPUTED_VALUE"""),"")</f>
        <v/>
      </c>
      <c r="K4628" s="13" t="str">
        <f>IFERROR(__xludf.DUMMYFUNCTION("""COMPUTED_VALUE"""),"BT atau SU Belum Valid")</f>
        <v>BT atau SU Belum Valid</v>
      </c>
      <c r="L4628" s="13" t="str">
        <f>IFERROR(__xludf.DUMMYFUNCTION("""COMPUTED_VALUE"""),"")</f>
        <v/>
      </c>
      <c r="M4628" s="13"/>
      <c r="N4628" s="13" t="str">
        <f>IFERROR(__xludf.DUMMYFUNCTION("""COMPUTED_VALUE"""),"")</f>
        <v/>
      </c>
      <c r="O4628" s="13" t="str">
        <f t="shared" si="1"/>
        <v/>
      </c>
    </row>
    <row r="4629" ht="22.5" customHeight="1">
      <c r="B4629" s="13">
        <f>IFERROR(__xludf.DUMMYFUNCTION("""COMPUTED_VALUE"""),4624.0)</f>
        <v>4624</v>
      </c>
      <c r="C4629" s="13" t="str">
        <f>IFERROR(__xludf.DUMMYFUNCTION("""COMPUTED_VALUE"""),"SHM 11642/kedamain")</f>
        <v>SHM 11642/kedamain</v>
      </c>
      <c r="D4629" s="13" t="str">
        <f>IFERROR(__xludf.DUMMYFUNCTION("""COMPUTED_VALUE"""),"ABQLDPQX")</f>
        <v>ABQLDPQX</v>
      </c>
      <c r="E4629" s="14" t="str">
        <f>IFERROR(__xludf.DUMMYFUNCTION("""COMPUTED_VALUE"""),"Heri (BT)")</f>
        <v>Heri (BT)</v>
      </c>
      <c r="F4629" s="14" t="str">
        <f>IFERROR(__xludf.DUMMYFUNCTION("""COMPUTED_VALUE"""),"SELESAI (VIA PERMOHONAN)")</f>
        <v>SELESAI (VIA PERMOHONAN)</v>
      </c>
      <c r="G4629" s="17">
        <f>IFERROR(__xludf.DUMMYFUNCTION("""COMPUTED_VALUE"""),46002.583768067125)</f>
        <v>46002.58377</v>
      </c>
      <c r="H4629" s="14"/>
      <c r="I4629" s="13"/>
      <c r="J4629" s="17" t="str">
        <f>IFERROR(__xludf.DUMMYFUNCTION("""COMPUTED_VALUE"""),"")</f>
        <v/>
      </c>
      <c r="K4629" s="13" t="str">
        <f>IFERROR(__xludf.DUMMYFUNCTION("""COMPUTED_VALUE"""),"BT atau SU Belum Valid")</f>
        <v>BT atau SU Belum Valid</v>
      </c>
      <c r="L4629" s="13" t="str">
        <f>IFERROR(__xludf.DUMMYFUNCTION("""COMPUTED_VALUE"""),"")</f>
        <v/>
      </c>
      <c r="M4629" s="13"/>
      <c r="N4629" s="13" t="str">
        <f>IFERROR(__xludf.DUMMYFUNCTION("""COMPUTED_VALUE"""),"")</f>
        <v/>
      </c>
      <c r="O4629" s="13" t="str">
        <f t="shared" si="1"/>
        <v/>
      </c>
    </row>
    <row r="4630" ht="22.5" customHeight="1">
      <c r="B4630" s="13">
        <f>IFERROR(__xludf.DUMMYFUNCTION("""COMPUTED_VALUE"""),4625.0)</f>
        <v>4625</v>
      </c>
      <c r="C4630" s="13" t="str">
        <f>IFERROR(__xludf.DUMMYFUNCTION("""COMPUTED_VALUE"""),"M 588 campang jaya")</f>
        <v>M 588 campang jaya</v>
      </c>
      <c r="D4630" s="13" t="str">
        <f>IFERROR(__xludf.DUMMYFUNCTION("""COMPUTED_VALUE"""),"ABMBOJFG")</f>
        <v>ABMBOJFG</v>
      </c>
      <c r="E4630" s="14" t="str">
        <f>IFERROR(__xludf.DUMMYFUNCTION("""COMPUTED_VALUE"""),"Heri (BT)")</f>
        <v>Heri (BT)</v>
      </c>
      <c r="F4630" s="14" t="str">
        <f>IFERROR(__xludf.DUMMYFUNCTION("""COMPUTED_VALUE"""),"SELESAI (VIA PERMOHONAN)")</f>
        <v>SELESAI (VIA PERMOHONAN)</v>
      </c>
      <c r="G4630" s="17">
        <f>IFERROR(__xludf.DUMMYFUNCTION("""COMPUTED_VALUE"""),46002.58410465278)</f>
        <v>46002.5841</v>
      </c>
      <c r="H4630" s="14"/>
      <c r="I4630" s="13"/>
      <c r="J4630" s="17" t="str">
        <f>IFERROR(__xludf.DUMMYFUNCTION("""COMPUTED_VALUE"""),"")</f>
        <v/>
      </c>
      <c r="K4630" s="13" t="str">
        <f>IFERROR(__xludf.DUMMYFUNCTION("""COMPUTED_VALUE"""),"BT atau SU Belum Valid")</f>
        <v>BT atau SU Belum Valid</v>
      </c>
      <c r="L4630" s="13" t="str">
        <f>IFERROR(__xludf.DUMMYFUNCTION("""COMPUTED_VALUE"""),"")</f>
        <v/>
      </c>
      <c r="M4630" s="13"/>
      <c r="N4630" s="13" t="str">
        <f>IFERROR(__xludf.DUMMYFUNCTION("""COMPUTED_VALUE"""),"")</f>
        <v/>
      </c>
      <c r="O4630" s="13" t="str">
        <f t="shared" si="1"/>
        <v/>
      </c>
    </row>
    <row r="4631" ht="22.5" customHeight="1">
      <c r="B4631" s="13">
        <f>IFERROR(__xludf.DUMMYFUNCTION("""COMPUTED_VALUE"""),4626.0)</f>
        <v>4626</v>
      </c>
      <c r="C4631" s="13" t="str">
        <f>IFERROR(__xludf.DUMMYFUNCTION("""COMPUTED_VALUE"""),"M 13774/Sukabumi")</f>
        <v>M 13774/Sukabumi</v>
      </c>
      <c r="D4631" s="13" t="str">
        <f>IFERROR(__xludf.DUMMYFUNCTION("""COMPUTED_VALUE"""),"ABCQUIYR/AB053")</f>
        <v>ABCQUIYR/AB053</v>
      </c>
      <c r="E4631" s="14" t="str">
        <f>IFERROR(__xludf.DUMMYFUNCTION("""COMPUTED_VALUE"""),"Heri (BT)")</f>
        <v>Heri (BT)</v>
      </c>
      <c r="F4631" s="14" t="str">
        <f>IFERROR(__xludf.DUMMYFUNCTION("""COMPUTED_VALUE"""),"SELESAI (VIA PERMOHONAN)")</f>
        <v>SELESAI (VIA PERMOHONAN)</v>
      </c>
      <c r="G4631" s="17">
        <f>IFERROR(__xludf.DUMMYFUNCTION("""COMPUTED_VALUE"""),46002.58433790509)</f>
        <v>46002.58434</v>
      </c>
      <c r="H4631" s="14"/>
      <c r="I4631" s="13"/>
      <c r="J4631" s="17" t="str">
        <f>IFERROR(__xludf.DUMMYFUNCTION("""COMPUTED_VALUE"""),"")</f>
        <v/>
      </c>
      <c r="K4631" s="13" t="str">
        <f>IFERROR(__xludf.DUMMYFUNCTION("""COMPUTED_VALUE"""),"BT atau SU Belum Valid")</f>
        <v>BT atau SU Belum Valid</v>
      </c>
      <c r="L4631" s="13" t="str">
        <f>IFERROR(__xludf.DUMMYFUNCTION("""COMPUTED_VALUE"""),"")</f>
        <v/>
      </c>
      <c r="M4631" s="13"/>
      <c r="N4631" s="13" t="str">
        <f>IFERROR(__xludf.DUMMYFUNCTION("""COMPUTED_VALUE"""),"")</f>
        <v/>
      </c>
      <c r="O4631" s="13" t="str">
        <f t="shared" si="1"/>
        <v/>
      </c>
    </row>
    <row r="4632" ht="22.5" customHeight="1">
      <c r="B4632" s="13">
        <f>IFERROR(__xludf.DUMMYFUNCTION("""COMPUTED_VALUE"""),4627.0)</f>
        <v>4627</v>
      </c>
      <c r="C4632" s="13" t="str">
        <f>IFERROR(__xludf.DUMMYFUNCTION("""COMPUTED_VALUE"""),"SHM 00980/Pematang Wangi")</f>
        <v>SHM 00980/Pematang Wangi</v>
      </c>
      <c r="D4632" s="13" t="str">
        <f>IFERROR(__xludf.DUMMYFUNCTION("""COMPUTED_VALUE"""),"Ab044/ABKIBXEU")</f>
        <v>Ab044/ABKIBXEU</v>
      </c>
      <c r="E4632" s="14" t="str">
        <f>IFERROR(__xludf.DUMMYFUNCTION("""COMPUTED_VALUE"""),"Heri (BT)")</f>
        <v>Heri (BT)</v>
      </c>
      <c r="F4632" s="14" t="str">
        <f>IFERROR(__xludf.DUMMYFUNCTION("""COMPUTED_VALUE"""),"SELESAI (VIA PERMOHONAN)")</f>
        <v>SELESAI (VIA PERMOHONAN)</v>
      </c>
      <c r="G4632" s="17">
        <f>IFERROR(__xludf.DUMMYFUNCTION("""COMPUTED_VALUE"""),46002.58453065972)</f>
        <v>46002.58453</v>
      </c>
      <c r="H4632" s="14"/>
      <c r="I4632" s="13"/>
      <c r="J4632" s="17" t="str">
        <f>IFERROR(__xludf.DUMMYFUNCTION("""COMPUTED_VALUE"""),"")</f>
        <v/>
      </c>
      <c r="K4632" s="13" t="str">
        <f>IFERROR(__xludf.DUMMYFUNCTION("""COMPUTED_VALUE"""),"BT atau SU Belum Valid")</f>
        <v>BT atau SU Belum Valid</v>
      </c>
      <c r="L4632" s="13" t="str">
        <f>IFERROR(__xludf.DUMMYFUNCTION("""COMPUTED_VALUE"""),"")</f>
        <v/>
      </c>
      <c r="M4632" s="13"/>
      <c r="N4632" s="13" t="str">
        <f>IFERROR(__xludf.DUMMYFUNCTION("""COMPUTED_VALUE"""),"")</f>
        <v/>
      </c>
      <c r="O4632" s="13" t="str">
        <f t="shared" si="1"/>
        <v/>
      </c>
    </row>
    <row r="4633" ht="22.5" customHeight="1">
      <c r="B4633" s="13">
        <f>IFERROR(__xludf.DUMMYFUNCTION("""COMPUTED_VALUE"""),4628.0)</f>
        <v>4628</v>
      </c>
      <c r="C4633" s="13" t="str">
        <f>IFERROR(__xludf.DUMMYFUNCTION("""COMPUTED_VALUE"""),"M. 1873/Sumber Rejo")</f>
        <v>M. 1873/Sumber Rejo</v>
      </c>
      <c r="D4633" s="13" t="str">
        <f>IFERROR(__xludf.DUMMYFUNCTION("""COMPUTED_VALUE"""),"ABNBPMAE/AB041")</f>
        <v>ABNBPMAE/AB041</v>
      </c>
      <c r="E4633" s="14" t="str">
        <f>IFERROR(__xludf.DUMMYFUNCTION("""COMPUTED_VALUE"""),"Heri (BT)")</f>
        <v>Heri (BT)</v>
      </c>
      <c r="F4633" s="14" t="str">
        <f>IFERROR(__xludf.DUMMYFUNCTION("""COMPUTED_VALUE"""),"SELESAI (VIA PERMOHONAN)")</f>
        <v>SELESAI (VIA PERMOHONAN)</v>
      </c>
      <c r="G4633" s="17">
        <f>IFERROR(__xludf.DUMMYFUNCTION("""COMPUTED_VALUE"""),46002.58483893519)</f>
        <v>46002.58484</v>
      </c>
      <c r="H4633" s="14"/>
      <c r="I4633" s="13"/>
      <c r="J4633" s="17" t="str">
        <f>IFERROR(__xludf.DUMMYFUNCTION("""COMPUTED_VALUE"""),"")</f>
        <v/>
      </c>
      <c r="K4633" s="13" t="str">
        <f>IFERROR(__xludf.DUMMYFUNCTION("""COMPUTED_VALUE"""),"BT atau SU Belum Valid")</f>
        <v>BT atau SU Belum Valid</v>
      </c>
      <c r="L4633" s="13" t="str">
        <f>IFERROR(__xludf.DUMMYFUNCTION("""COMPUTED_VALUE"""),"")</f>
        <v/>
      </c>
      <c r="M4633" s="13"/>
      <c r="N4633" s="13" t="str">
        <f>IFERROR(__xludf.DUMMYFUNCTION("""COMPUTED_VALUE"""),"")</f>
        <v/>
      </c>
      <c r="O4633" s="13" t="str">
        <f t="shared" si="1"/>
        <v/>
      </c>
    </row>
    <row r="4634" ht="22.5" customHeight="1">
      <c r="B4634" s="13">
        <f>IFERROR(__xludf.DUMMYFUNCTION("""COMPUTED_VALUE"""),4629.0)</f>
        <v>4629</v>
      </c>
      <c r="C4634" s="13" t="str">
        <f>IFERROR(__xludf.DUMMYFUNCTION("""COMPUTED_VALUE"""),"M. 11019/JAGABAYA II")</f>
        <v>M. 11019/JAGABAYA II</v>
      </c>
      <c r="D4634" s="13" t="str">
        <f>IFERROR(__xludf.DUMMYFUNCTION("""COMPUTED_VALUE"""),"L/16/051125/1")</f>
        <v>L/16/051125/1</v>
      </c>
      <c r="E4634" s="14" t="str">
        <f>IFERROR(__xludf.DUMMYFUNCTION("""COMPUTED_VALUE"""),"Heri (BT)")</f>
        <v>Heri (BT)</v>
      </c>
      <c r="F4634" s="14" t="str">
        <f>IFERROR(__xludf.DUMMYFUNCTION("""COMPUTED_VALUE"""),"SELESAI (VIA PERMOHONAN)")</f>
        <v>SELESAI (VIA PERMOHONAN)</v>
      </c>
      <c r="G4634" s="17">
        <f>IFERROR(__xludf.DUMMYFUNCTION("""COMPUTED_VALUE"""),46003.45809685186)</f>
        <v>46003.4581</v>
      </c>
      <c r="H4634" s="14"/>
      <c r="I4634" s="13"/>
      <c r="J4634" s="17" t="str">
        <f>IFERROR(__xludf.DUMMYFUNCTION("""COMPUTED_VALUE"""),"")</f>
        <v/>
      </c>
      <c r="K4634" s="13" t="str">
        <f>IFERROR(__xludf.DUMMYFUNCTION("""COMPUTED_VALUE"""),"BT atau SU Belum Valid")</f>
        <v>BT atau SU Belum Valid</v>
      </c>
      <c r="L4634" s="13" t="str">
        <f>IFERROR(__xludf.DUMMYFUNCTION("""COMPUTED_VALUE"""),"")</f>
        <v/>
      </c>
      <c r="M4634" s="13"/>
      <c r="N4634" s="13" t="str">
        <f>IFERROR(__xludf.DUMMYFUNCTION("""COMPUTED_VALUE"""),"")</f>
        <v/>
      </c>
      <c r="O4634" s="13" t="str">
        <f t="shared" si="1"/>
        <v/>
      </c>
    </row>
    <row r="4635" ht="22.5" customHeight="1">
      <c r="B4635" s="13">
        <f>IFERROR(__xludf.DUMMYFUNCTION("""COMPUTED_VALUE"""),4630.0)</f>
        <v>4630</v>
      </c>
      <c r="C4635" s="13" t="str">
        <f>IFERROR(__xludf.DUMMYFUNCTION("""COMPUTED_VALUE"""),"M 7747/Segala Mider")</f>
        <v>M 7747/Segala Mider</v>
      </c>
      <c r="D4635" s="13" t="str">
        <f>IFERROR(__xludf.DUMMYFUNCTION("""COMPUTED_VALUE"""),"ABNYZKVR/Ab079")</f>
        <v>ABNYZKVR/Ab079</v>
      </c>
      <c r="E4635" s="14" t="str">
        <f>IFERROR(__xludf.DUMMYFUNCTION("""COMPUTED_VALUE"""),"Heri (BT)")</f>
        <v>Heri (BT)</v>
      </c>
      <c r="F4635" s="14" t="str">
        <f>IFERROR(__xludf.DUMMYFUNCTION("""COMPUTED_VALUE"""),"SELESAI (VIA PERMOHONAN)")</f>
        <v>SELESAI (VIA PERMOHONAN)</v>
      </c>
      <c r="G4635" s="17">
        <f>IFERROR(__xludf.DUMMYFUNCTION("""COMPUTED_VALUE"""),46003.459072488426)</f>
        <v>46003.45907</v>
      </c>
      <c r="H4635" s="14"/>
      <c r="I4635" s="13"/>
      <c r="J4635" s="17" t="str">
        <f>IFERROR(__xludf.DUMMYFUNCTION("""COMPUTED_VALUE"""),"")</f>
        <v/>
      </c>
      <c r="K4635" s="13" t="str">
        <f>IFERROR(__xludf.DUMMYFUNCTION("""COMPUTED_VALUE"""),"BT atau SU Belum Valid")</f>
        <v>BT atau SU Belum Valid</v>
      </c>
      <c r="L4635" s="13" t="str">
        <f>IFERROR(__xludf.DUMMYFUNCTION("""COMPUTED_VALUE"""),"")</f>
        <v/>
      </c>
      <c r="M4635" s="13"/>
      <c r="N4635" s="13" t="str">
        <f>IFERROR(__xludf.DUMMYFUNCTION("""COMPUTED_VALUE"""),"")</f>
        <v/>
      </c>
      <c r="O4635" s="13" t="str">
        <f t="shared" si="1"/>
        <v/>
      </c>
    </row>
    <row r="4636" ht="22.5" customHeight="1">
      <c r="B4636" s="13">
        <f>IFERROR(__xludf.DUMMYFUNCTION("""COMPUTED_VALUE"""),4631.0)</f>
        <v>4631</v>
      </c>
      <c r="C4636" s="13" t="str">
        <f>IFERROR(__xludf.DUMMYFUNCTION("""COMPUTED_VALUE"""),"M 2217/ KETEGUHAN")</f>
        <v>M 2217/ KETEGUHAN</v>
      </c>
      <c r="D4636" s="13" t="str">
        <f>IFERROR(__xludf.DUMMYFUNCTION("""COMPUTED_VALUE"""),"K/13/170925/1")</f>
        <v>K/13/170925/1</v>
      </c>
      <c r="E4636" s="14" t="str">
        <f>IFERROR(__xludf.DUMMYFUNCTION("""COMPUTED_VALUE"""),"Heri (BT)")</f>
        <v>Heri (BT)</v>
      </c>
      <c r="F4636" s="14" t="str">
        <f>IFERROR(__xludf.DUMMYFUNCTION("""COMPUTED_VALUE"""),"SELESAI (VIA PERMOHONAN)")</f>
        <v>SELESAI (VIA PERMOHONAN)</v>
      </c>
      <c r="G4636" s="17">
        <f>IFERROR(__xludf.DUMMYFUNCTION("""COMPUTED_VALUE"""),46003.459281759264)</f>
        <v>46003.45928</v>
      </c>
      <c r="H4636" s="14"/>
      <c r="I4636" s="13"/>
      <c r="J4636" s="17" t="str">
        <f>IFERROR(__xludf.DUMMYFUNCTION("""COMPUTED_VALUE"""),"")</f>
        <v/>
      </c>
      <c r="K4636" s="13" t="str">
        <f>IFERROR(__xludf.DUMMYFUNCTION("""COMPUTED_VALUE"""),"BT atau SU Belum Valid")</f>
        <v>BT atau SU Belum Valid</v>
      </c>
      <c r="L4636" s="13" t="str">
        <f>IFERROR(__xludf.DUMMYFUNCTION("""COMPUTED_VALUE"""),"")</f>
        <v/>
      </c>
      <c r="M4636" s="13"/>
      <c r="N4636" s="13" t="str">
        <f>IFERROR(__xludf.DUMMYFUNCTION("""COMPUTED_VALUE"""),"")</f>
        <v/>
      </c>
      <c r="O4636" s="13" t="str">
        <f t="shared" si="1"/>
        <v/>
      </c>
    </row>
    <row r="4637" ht="22.5" customHeight="1">
      <c r="B4637" s="13">
        <f>IFERROR(__xludf.DUMMYFUNCTION("""COMPUTED_VALUE"""),4632.0)</f>
        <v>4632</v>
      </c>
      <c r="C4637" s="13" t="str">
        <f>IFERROR(__xludf.DUMMYFUNCTION("""COMPUTED_VALUE"""),"M 2334/ KEDAUNG")</f>
        <v>M 2334/ KEDAUNG</v>
      </c>
      <c r="D4637" s="13" t="str">
        <f>IFERROR(__xludf.DUMMYFUNCTION("""COMPUTED_VALUE"""),"ABLOOJPF")</f>
        <v>ABLOOJPF</v>
      </c>
      <c r="E4637" s="14" t="str">
        <f>IFERROR(__xludf.DUMMYFUNCTION("""COMPUTED_VALUE"""),"Heri (BT)")</f>
        <v>Heri (BT)</v>
      </c>
      <c r="F4637" s="14" t="str">
        <f>IFERROR(__xludf.DUMMYFUNCTION("""COMPUTED_VALUE"""),"SELESAI (VIA PERMOHONAN)")</f>
        <v>SELESAI (VIA PERMOHONAN)</v>
      </c>
      <c r="G4637" s="17">
        <f>IFERROR(__xludf.DUMMYFUNCTION("""COMPUTED_VALUE"""),46003.45950758102)</f>
        <v>46003.45951</v>
      </c>
      <c r="H4637" s="14"/>
      <c r="I4637" s="13"/>
      <c r="J4637" s="17" t="str">
        <f>IFERROR(__xludf.DUMMYFUNCTION("""COMPUTED_VALUE"""),"")</f>
        <v/>
      </c>
      <c r="K4637" s="13" t="str">
        <f>IFERROR(__xludf.DUMMYFUNCTION("""COMPUTED_VALUE"""),"BT atau SU Belum Valid")</f>
        <v>BT atau SU Belum Valid</v>
      </c>
      <c r="L4637" s="13" t="str">
        <f>IFERROR(__xludf.DUMMYFUNCTION("""COMPUTED_VALUE"""),"")</f>
        <v/>
      </c>
      <c r="M4637" s="13"/>
      <c r="N4637" s="13" t="str">
        <f>IFERROR(__xludf.DUMMYFUNCTION("""COMPUTED_VALUE"""),"")</f>
        <v/>
      </c>
      <c r="O4637" s="13" t="str">
        <f t="shared" si="1"/>
        <v/>
      </c>
    </row>
    <row r="4638" ht="22.5" customHeight="1">
      <c r="B4638" s="13">
        <f>IFERROR(__xludf.DUMMYFUNCTION("""COMPUTED_VALUE"""),4633.0)</f>
        <v>4633</v>
      </c>
      <c r="C4638" s="13" t="str">
        <f>IFERROR(__xludf.DUMMYFUNCTION("""COMPUTED_VALUE"""),"B. 33/ Campang Raya")</f>
        <v>B. 33/ Campang Raya</v>
      </c>
      <c r="D4638" s="13" t="str">
        <f>IFERROR(__xludf.DUMMYFUNCTION("""COMPUTED_VALUE"""),"K/13/050625/2")</f>
        <v>K/13/050625/2</v>
      </c>
      <c r="E4638" s="14" t="str">
        <f>IFERROR(__xludf.DUMMYFUNCTION("""COMPUTED_VALUE"""),"Heri (BT)")</f>
        <v>Heri (BT)</v>
      </c>
      <c r="F4638" s="14" t="str">
        <f>IFERROR(__xludf.DUMMYFUNCTION("""COMPUTED_VALUE"""),"SELESAI (VIA PERMOHONAN)")</f>
        <v>SELESAI (VIA PERMOHONAN)</v>
      </c>
      <c r="G4638" s="17">
        <f>IFERROR(__xludf.DUMMYFUNCTION("""COMPUTED_VALUE"""),46003.46390112268)</f>
        <v>46003.4639</v>
      </c>
      <c r="H4638" s="14"/>
      <c r="I4638" s="13"/>
      <c r="J4638" s="17" t="str">
        <f>IFERROR(__xludf.DUMMYFUNCTION("""COMPUTED_VALUE"""),"")</f>
        <v/>
      </c>
      <c r="K4638" s="13" t="str">
        <f>IFERROR(__xludf.DUMMYFUNCTION("""COMPUTED_VALUE"""),"BT atau SU Belum Valid")</f>
        <v>BT atau SU Belum Valid</v>
      </c>
      <c r="L4638" s="13" t="str">
        <f>IFERROR(__xludf.DUMMYFUNCTION("""COMPUTED_VALUE"""),"")</f>
        <v/>
      </c>
      <c r="M4638" s="13"/>
      <c r="N4638" s="13" t="str">
        <f>IFERROR(__xludf.DUMMYFUNCTION("""COMPUTED_VALUE"""),"")</f>
        <v/>
      </c>
      <c r="O4638" s="13" t="str">
        <f t="shared" si="1"/>
        <v/>
      </c>
    </row>
    <row r="4639" ht="22.5" customHeight="1">
      <c r="B4639" s="13">
        <f>IFERROR(__xludf.DUMMYFUNCTION("""COMPUTED_VALUE"""),4634.0)</f>
        <v>4634</v>
      </c>
      <c r="C4639" s="13" t="str">
        <f>IFERROR(__xludf.DUMMYFUNCTION("""COMPUTED_VALUE"""),"M.00771/Sumber Agung")</f>
        <v>M.00771/Sumber Agung</v>
      </c>
      <c r="D4639" s="13" t="str">
        <f>IFERROR(__xludf.DUMMYFUNCTION("""COMPUTED_VALUE"""),"ABNUIAOQ/AB025")</f>
        <v>ABNUIAOQ/AB025</v>
      </c>
      <c r="E4639" s="14" t="str">
        <f>IFERROR(__xludf.DUMMYFUNCTION("""COMPUTED_VALUE"""),"Heri (BT)")</f>
        <v>Heri (BT)</v>
      </c>
      <c r="F4639" s="14" t="str">
        <f>IFERROR(__xludf.DUMMYFUNCTION("""COMPUTED_VALUE"""),"SELESAI (VIA PERMOHONAN)")</f>
        <v>SELESAI (VIA PERMOHONAN)</v>
      </c>
      <c r="G4639" s="17">
        <f>IFERROR(__xludf.DUMMYFUNCTION("""COMPUTED_VALUE"""),46003.4707954051)</f>
        <v>46003.4708</v>
      </c>
      <c r="H4639" s="14"/>
      <c r="I4639" s="13"/>
      <c r="J4639" s="17" t="str">
        <f>IFERROR(__xludf.DUMMYFUNCTION("""COMPUTED_VALUE"""),"")</f>
        <v/>
      </c>
      <c r="K4639" s="13" t="str">
        <f>IFERROR(__xludf.DUMMYFUNCTION("""COMPUTED_VALUE"""),"BT atau SU Belum Valid")</f>
        <v>BT atau SU Belum Valid</v>
      </c>
      <c r="L4639" s="13" t="str">
        <f>IFERROR(__xludf.DUMMYFUNCTION("""COMPUTED_VALUE"""),"")</f>
        <v/>
      </c>
      <c r="M4639" s="13"/>
      <c r="N4639" s="13" t="str">
        <f>IFERROR(__xludf.DUMMYFUNCTION("""COMPUTED_VALUE"""),"")</f>
        <v/>
      </c>
      <c r="O4639" s="13" t="str">
        <f t="shared" si="1"/>
        <v/>
      </c>
    </row>
    <row r="4640" ht="22.5" customHeight="1">
      <c r="B4640" s="13">
        <f>IFERROR(__xludf.DUMMYFUNCTION("""COMPUTED_VALUE"""),4635.0)</f>
        <v>4635</v>
      </c>
      <c r="C4640" s="13" t="str">
        <f>IFERROR(__xludf.DUMMYFUNCTION("""COMPUTED_VALUE"""),"SHM 1520/Keteguhan")</f>
        <v>SHM 1520/Keteguhan</v>
      </c>
      <c r="D4640" s="13" t="str">
        <f>IFERROR(__xludf.DUMMYFUNCTION("""COMPUTED_VALUE"""),"ABMRNTFW/AB03")</f>
        <v>ABMRNTFW/AB03</v>
      </c>
      <c r="E4640" s="14" t="str">
        <f>IFERROR(__xludf.DUMMYFUNCTION("""COMPUTED_VALUE"""),"Heri (BT)")</f>
        <v>Heri (BT)</v>
      </c>
      <c r="F4640" s="14" t="str">
        <f>IFERROR(__xludf.DUMMYFUNCTION("""COMPUTED_VALUE"""),"SELESAI (VIA PERMOHONAN)")</f>
        <v>SELESAI (VIA PERMOHONAN)</v>
      </c>
      <c r="G4640" s="17">
        <f>IFERROR(__xludf.DUMMYFUNCTION("""COMPUTED_VALUE"""),46003.47113883102)</f>
        <v>46003.47114</v>
      </c>
      <c r="H4640" s="14"/>
      <c r="I4640" s="13"/>
      <c r="J4640" s="17" t="str">
        <f>IFERROR(__xludf.DUMMYFUNCTION("""COMPUTED_VALUE"""),"")</f>
        <v/>
      </c>
      <c r="K4640" s="13" t="str">
        <f>IFERROR(__xludf.DUMMYFUNCTION("""COMPUTED_VALUE"""),"BT atau SU Belum Valid")</f>
        <v>BT atau SU Belum Valid</v>
      </c>
      <c r="L4640" s="13" t="str">
        <f>IFERROR(__xludf.DUMMYFUNCTION("""COMPUTED_VALUE"""),"")</f>
        <v/>
      </c>
      <c r="M4640" s="13"/>
      <c r="N4640" s="13" t="str">
        <f>IFERROR(__xludf.DUMMYFUNCTION("""COMPUTED_VALUE"""),"")</f>
        <v/>
      </c>
      <c r="O4640" s="13" t="str">
        <f t="shared" si="1"/>
        <v/>
      </c>
    </row>
    <row r="4641" ht="22.5" customHeight="1">
      <c r="B4641" s="13">
        <f>IFERROR(__xludf.DUMMYFUNCTION("""COMPUTED_VALUE"""),4636.0)</f>
        <v>4636</v>
      </c>
      <c r="C4641" s="13" t="str">
        <f>IFERROR(__xludf.DUMMYFUNCTION("""COMPUTED_VALUE"""),"B. 650/NUSANTARA PERMAI")</f>
        <v>B. 650/NUSANTARA PERMAI</v>
      </c>
      <c r="D4641" s="13" t="str">
        <f>IFERROR(__xludf.DUMMYFUNCTION("""COMPUTED_VALUE"""),"K/8/041126/1")</f>
        <v>K/8/041126/1</v>
      </c>
      <c r="E4641" s="14" t="str">
        <f>IFERROR(__xludf.DUMMYFUNCTION("""COMPUTED_VALUE"""),"Heri (BT)")</f>
        <v>Heri (BT)</v>
      </c>
      <c r="F4641" s="14" t="str">
        <f>IFERROR(__xludf.DUMMYFUNCTION("""COMPUTED_VALUE"""),"SELESAI (VIA PERMOHONAN)")</f>
        <v>SELESAI (VIA PERMOHONAN)</v>
      </c>
      <c r="G4641" s="17">
        <f>IFERROR(__xludf.DUMMYFUNCTION("""COMPUTED_VALUE"""),46003.47242446759)</f>
        <v>46003.47242</v>
      </c>
      <c r="H4641" s="14"/>
      <c r="I4641" s="13"/>
      <c r="J4641" s="17" t="str">
        <f>IFERROR(__xludf.DUMMYFUNCTION("""COMPUTED_VALUE"""),"")</f>
        <v/>
      </c>
      <c r="K4641" s="13" t="str">
        <f>IFERROR(__xludf.DUMMYFUNCTION("""COMPUTED_VALUE"""),"BT atau SU Belum Valid")</f>
        <v>BT atau SU Belum Valid</v>
      </c>
      <c r="L4641" s="13" t="str">
        <f>IFERROR(__xludf.DUMMYFUNCTION("""COMPUTED_VALUE"""),"")</f>
        <v/>
      </c>
      <c r="M4641" s="13"/>
      <c r="N4641" s="13" t="str">
        <f>IFERROR(__xludf.DUMMYFUNCTION("""COMPUTED_VALUE"""),"")</f>
        <v/>
      </c>
      <c r="O4641" s="13" t="str">
        <f t="shared" si="1"/>
        <v/>
      </c>
    </row>
    <row r="4642" ht="22.5" customHeight="1">
      <c r="B4642" s="13">
        <f>IFERROR(__xludf.DUMMYFUNCTION("""COMPUTED_VALUE"""),4637.0)</f>
        <v>4637</v>
      </c>
      <c r="C4642" s="13" t="str">
        <f>IFERROR(__xludf.DUMMYFUNCTION("""COMPUTED_VALUE"""),"m 3106/ gunung terang")</f>
        <v>m 3106/ gunung terang</v>
      </c>
      <c r="D4642" s="13" t="str">
        <f>IFERROR(__xludf.DUMMYFUNCTION("""COMPUTED_VALUE"""),"ABBYFRLD")</f>
        <v>ABBYFRLD</v>
      </c>
      <c r="E4642" s="14" t="str">
        <f>IFERROR(__xludf.DUMMYFUNCTION("""COMPUTED_VALUE"""),"Heri (BT)")</f>
        <v>Heri (BT)</v>
      </c>
      <c r="F4642" s="14" t="str">
        <f>IFERROR(__xludf.DUMMYFUNCTION("""COMPUTED_VALUE"""),"SELESAI (VIA PERMOHONAN)")</f>
        <v>SELESAI (VIA PERMOHONAN)</v>
      </c>
      <c r="G4642" s="17">
        <f>IFERROR(__xludf.DUMMYFUNCTION("""COMPUTED_VALUE"""),46004.43475510417)</f>
        <v>46004.43476</v>
      </c>
      <c r="H4642" s="14"/>
      <c r="I4642" s="13"/>
      <c r="J4642" s="17" t="str">
        <f>IFERROR(__xludf.DUMMYFUNCTION("""COMPUTED_VALUE"""),"")</f>
        <v/>
      </c>
      <c r="K4642" s="13" t="str">
        <f>IFERROR(__xludf.DUMMYFUNCTION("""COMPUTED_VALUE"""),"BT atau SU Belum Valid")</f>
        <v>BT atau SU Belum Valid</v>
      </c>
      <c r="L4642" s="13" t="str">
        <f>IFERROR(__xludf.DUMMYFUNCTION("""COMPUTED_VALUE"""),"")</f>
        <v/>
      </c>
      <c r="M4642" s="13"/>
      <c r="N4642" s="13" t="str">
        <f>IFERROR(__xludf.DUMMYFUNCTION("""COMPUTED_VALUE"""),"")</f>
        <v/>
      </c>
      <c r="O4642" s="13" t="str">
        <f t="shared" si="1"/>
        <v/>
      </c>
    </row>
    <row r="4643" ht="22.5" customHeight="1">
      <c r="B4643" s="13">
        <f>IFERROR(__xludf.DUMMYFUNCTION("""COMPUTED_VALUE"""),4638.0)</f>
        <v>4638</v>
      </c>
      <c r="C4643" s="13" t="str">
        <f>IFERROR(__xludf.DUMMYFUNCTION("""COMPUTED_VALUE"""),"1282/Prm")</f>
        <v>1282/Prm</v>
      </c>
      <c r="D4643" s="13" t="str">
        <f>IFERROR(__xludf.DUMMYFUNCTION("""COMPUTED_VALUE"""),"ABMQLZIV")</f>
        <v>ABMQLZIV</v>
      </c>
      <c r="E4643" s="14" t="str">
        <f>IFERROR(__xludf.DUMMYFUNCTION("""COMPUTED_VALUE"""),"Heri (BT)")</f>
        <v>Heri (BT)</v>
      </c>
      <c r="F4643" s="14" t="str">
        <f>IFERROR(__xludf.DUMMYFUNCTION("""COMPUTED_VALUE"""),"SELESAI (VIA PERMOHONAN)")</f>
        <v>SELESAI (VIA PERMOHONAN)</v>
      </c>
      <c r="G4643" s="17">
        <f>IFERROR(__xludf.DUMMYFUNCTION("""COMPUTED_VALUE"""),46004.44048439815)</f>
        <v>46004.44048</v>
      </c>
      <c r="H4643" s="14"/>
      <c r="I4643" s="13"/>
      <c r="J4643" s="17" t="str">
        <f>IFERROR(__xludf.DUMMYFUNCTION("""COMPUTED_VALUE"""),"")</f>
        <v/>
      </c>
      <c r="K4643" s="13" t="str">
        <f>IFERROR(__xludf.DUMMYFUNCTION("""COMPUTED_VALUE"""),"BT atau SU Belum Valid")</f>
        <v>BT atau SU Belum Valid</v>
      </c>
      <c r="L4643" s="13" t="str">
        <f>IFERROR(__xludf.DUMMYFUNCTION("""COMPUTED_VALUE"""),"")</f>
        <v/>
      </c>
      <c r="M4643" s="13"/>
      <c r="N4643" s="13" t="str">
        <f>IFERROR(__xludf.DUMMYFUNCTION("""COMPUTED_VALUE"""),"")</f>
        <v/>
      </c>
      <c r="O4643" s="13" t="str">
        <f t="shared" si="1"/>
        <v/>
      </c>
    </row>
    <row r="4644" ht="22.5" customHeight="1">
      <c r="B4644" s="13">
        <f>IFERROR(__xludf.DUMMYFUNCTION("""COMPUTED_VALUE"""),4639.0)</f>
        <v>4639</v>
      </c>
      <c r="C4644" s="13" t="str">
        <f>IFERROR(__xludf.DUMMYFUNCTION("""COMPUTED_VALUE"""),"603/K.B.K")</f>
        <v>603/K.B.K</v>
      </c>
      <c r="D4644" s="13" t="str">
        <f>IFERROR(__xludf.DUMMYFUNCTION("""COMPUTED_VALUE"""),"ABLGFNKD")</f>
        <v>ABLGFNKD</v>
      </c>
      <c r="E4644" s="14" t="str">
        <f>IFERROR(__xludf.DUMMYFUNCTION("""COMPUTED_VALUE"""),"Heri (BT)")</f>
        <v>Heri (BT)</v>
      </c>
      <c r="F4644" s="14" t="str">
        <f>IFERROR(__xludf.DUMMYFUNCTION("""COMPUTED_VALUE"""),"SELESAI (VIA PERMOHONAN)")</f>
        <v>SELESAI (VIA PERMOHONAN)</v>
      </c>
      <c r="G4644" s="17">
        <f>IFERROR(__xludf.DUMMYFUNCTION("""COMPUTED_VALUE"""),46004.44082824074)</f>
        <v>46004.44083</v>
      </c>
      <c r="H4644" s="14"/>
      <c r="I4644" s="13"/>
      <c r="J4644" s="17" t="str">
        <f>IFERROR(__xludf.DUMMYFUNCTION("""COMPUTED_VALUE"""),"")</f>
        <v/>
      </c>
      <c r="K4644" s="13" t="str">
        <f>IFERROR(__xludf.DUMMYFUNCTION("""COMPUTED_VALUE"""),"BT atau SU Belum Valid")</f>
        <v>BT atau SU Belum Valid</v>
      </c>
      <c r="L4644" s="13" t="str">
        <f>IFERROR(__xludf.DUMMYFUNCTION("""COMPUTED_VALUE"""),"")</f>
        <v/>
      </c>
      <c r="M4644" s="13"/>
      <c r="N4644" s="13" t="str">
        <f>IFERROR(__xludf.DUMMYFUNCTION("""COMPUTED_VALUE"""),"")</f>
        <v/>
      </c>
      <c r="O4644" s="13" t="str">
        <f t="shared" si="1"/>
        <v/>
      </c>
    </row>
    <row r="4645" ht="22.5" customHeight="1">
      <c r="B4645" s="13">
        <f>IFERROR(__xludf.DUMMYFUNCTION("""COMPUTED_VALUE"""),4640.0)</f>
        <v>4640</v>
      </c>
      <c r="C4645" s="13" t="str">
        <f>IFERROR(__xludf.DUMMYFUNCTION("""COMPUTED_VALUE"""),"M 1428/ LABUHAN RATU RAYA")</f>
        <v>M 1428/ LABUHAN RATU RAYA</v>
      </c>
      <c r="D4645" s="13" t="str">
        <f>IFERROR(__xludf.DUMMYFUNCTION("""COMPUTED_VALUE"""),"K/10/031025/1")</f>
        <v>K/10/031025/1</v>
      </c>
      <c r="E4645" s="14" t="str">
        <f>IFERROR(__xludf.DUMMYFUNCTION("""COMPUTED_VALUE"""),"Heri (BT)")</f>
        <v>Heri (BT)</v>
      </c>
      <c r="F4645" s="14" t="str">
        <f>IFERROR(__xludf.DUMMYFUNCTION("""COMPUTED_VALUE"""),"SELESAI (VIA PERMOHONAN)")</f>
        <v>SELESAI (VIA PERMOHONAN)</v>
      </c>
      <c r="G4645" s="17">
        <f>IFERROR(__xludf.DUMMYFUNCTION("""COMPUTED_VALUE"""),46004.44147875)</f>
        <v>46004.44148</v>
      </c>
      <c r="H4645" s="14"/>
      <c r="I4645" s="13"/>
      <c r="J4645" s="17" t="str">
        <f>IFERROR(__xludf.DUMMYFUNCTION("""COMPUTED_VALUE"""),"")</f>
        <v/>
      </c>
      <c r="K4645" s="13" t="str">
        <f>IFERROR(__xludf.DUMMYFUNCTION("""COMPUTED_VALUE"""),"BT atau SU Belum Valid")</f>
        <v>BT atau SU Belum Valid</v>
      </c>
      <c r="L4645" s="13" t="str">
        <f>IFERROR(__xludf.DUMMYFUNCTION("""COMPUTED_VALUE"""),"")</f>
        <v/>
      </c>
      <c r="M4645" s="13"/>
      <c r="N4645" s="13" t="str">
        <f>IFERROR(__xludf.DUMMYFUNCTION("""COMPUTED_VALUE"""),"")</f>
        <v/>
      </c>
      <c r="O4645" s="13" t="str">
        <f t="shared" si="1"/>
        <v/>
      </c>
    </row>
    <row r="4646" ht="22.5" customHeight="1">
      <c r="B4646" s="13">
        <f>IFERROR(__xludf.DUMMYFUNCTION("""COMPUTED_VALUE"""),4641.0)</f>
        <v>4641</v>
      </c>
      <c r="C4646" s="13" t="str">
        <f>IFERROR(__xludf.DUMMYFUNCTION("""COMPUTED_VALUE"""),"M 3695/nusantara permai")</f>
        <v>M 3695/nusantara permai</v>
      </c>
      <c r="D4646" s="13" t="str">
        <f>IFERROR(__xludf.DUMMYFUNCTION("""COMPUTED_VALUE"""),"ABKZRMOY")</f>
        <v>ABKZRMOY</v>
      </c>
      <c r="E4646" s="14" t="str">
        <f>IFERROR(__xludf.DUMMYFUNCTION("""COMPUTED_VALUE"""),"Heri (BT)")</f>
        <v>Heri (BT)</v>
      </c>
      <c r="F4646" s="14" t="str">
        <f>IFERROR(__xludf.DUMMYFUNCTION("""COMPUTED_VALUE"""),"SELESAI (VIA PERMOHONAN)")</f>
        <v>SELESAI (VIA PERMOHONAN)</v>
      </c>
      <c r="G4646" s="17">
        <f>IFERROR(__xludf.DUMMYFUNCTION("""COMPUTED_VALUE"""),46004.44187260416)</f>
        <v>46004.44187</v>
      </c>
      <c r="H4646" s="14"/>
      <c r="I4646" s="13"/>
      <c r="J4646" s="17" t="str">
        <f>IFERROR(__xludf.DUMMYFUNCTION("""COMPUTED_VALUE"""),"")</f>
        <v/>
      </c>
      <c r="K4646" s="13" t="str">
        <f>IFERROR(__xludf.DUMMYFUNCTION("""COMPUTED_VALUE"""),"BT atau SU Belum Valid")</f>
        <v>BT atau SU Belum Valid</v>
      </c>
      <c r="L4646" s="13" t="str">
        <f>IFERROR(__xludf.DUMMYFUNCTION("""COMPUTED_VALUE"""),"")</f>
        <v/>
      </c>
      <c r="M4646" s="13"/>
      <c r="N4646" s="13" t="str">
        <f>IFERROR(__xludf.DUMMYFUNCTION("""COMPUTED_VALUE"""),"")</f>
        <v/>
      </c>
      <c r="O4646" s="13" t="str">
        <f t="shared" si="1"/>
        <v/>
      </c>
    </row>
    <row r="4647" ht="22.5" customHeight="1">
      <c r="B4647" s="13">
        <f>IFERROR(__xludf.DUMMYFUNCTION("""COMPUTED_VALUE"""),4642.0)</f>
        <v>4642</v>
      </c>
      <c r="C4647" s="13" t="str">
        <f>IFERROR(__xludf.DUMMYFUNCTION("""COMPUTED_VALUE"""),"M 11935/ RAJABASA ")</f>
        <v>M 11935/ RAJABASA </v>
      </c>
      <c r="D4647" s="13" t="str">
        <f>IFERROR(__xludf.DUMMYFUNCTION("""COMPUTED_VALUE"""),"ABKZDEFH")</f>
        <v>ABKZDEFH</v>
      </c>
      <c r="E4647" s="14" t="str">
        <f>IFERROR(__xludf.DUMMYFUNCTION("""COMPUTED_VALUE"""),"Heri (BT)")</f>
        <v>Heri (BT)</v>
      </c>
      <c r="F4647" s="14" t="str">
        <f>IFERROR(__xludf.DUMMYFUNCTION("""COMPUTED_VALUE"""),"SELESAI (VIA PERMOHONAN)")</f>
        <v>SELESAI (VIA PERMOHONAN)</v>
      </c>
      <c r="G4647" s="17">
        <f>IFERROR(__xludf.DUMMYFUNCTION("""COMPUTED_VALUE"""),46004.44213350695)</f>
        <v>46004.44213</v>
      </c>
      <c r="H4647" s="14"/>
      <c r="I4647" s="13"/>
      <c r="J4647" s="17" t="str">
        <f>IFERROR(__xludf.DUMMYFUNCTION("""COMPUTED_VALUE"""),"")</f>
        <v/>
      </c>
      <c r="K4647" s="13" t="str">
        <f>IFERROR(__xludf.DUMMYFUNCTION("""COMPUTED_VALUE"""),"BT atau SU Belum Valid")</f>
        <v>BT atau SU Belum Valid</v>
      </c>
      <c r="L4647" s="13" t="str">
        <f>IFERROR(__xludf.DUMMYFUNCTION("""COMPUTED_VALUE"""),"")</f>
        <v/>
      </c>
      <c r="M4647" s="13"/>
      <c r="N4647" s="13" t="str">
        <f>IFERROR(__xludf.DUMMYFUNCTION("""COMPUTED_VALUE"""),"")</f>
        <v/>
      </c>
      <c r="O4647" s="13" t="str">
        <f t="shared" si="1"/>
        <v/>
      </c>
    </row>
    <row r="4648" ht="22.5" customHeight="1">
      <c r="B4648" s="13">
        <f>IFERROR(__xludf.DUMMYFUNCTION("""COMPUTED_VALUE"""),4643.0)</f>
        <v>4643</v>
      </c>
      <c r="C4648" s="13" t="str">
        <f>IFERROR(__xludf.DUMMYFUNCTION("""COMPUTED_VALUE"""),"M 5291/ langkapura ")</f>
        <v>M 5291/ langkapura </v>
      </c>
      <c r="D4648" s="13" t="str">
        <f>IFERROR(__xludf.DUMMYFUNCTION("""COMPUTED_VALUE"""),"ABTQDUPR")</f>
        <v>ABTQDUPR</v>
      </c>
      <c r="E4648" s="14" t="str">
        <f>IFERROR(__xludf.DUMMYFUNCTION("""COMPUTED_VALUE"""),"Heri (BT)")</f>
        <v>Heri (BT)</v>
      </c>
      <c r="F4648" s="14" t="str">
        <f>IFERROR(__xludf.DUMMYFUNCTION("""COMPUTED_VALUE"""),"SELESAI (VIA PERMOHONAN)")</f>
        <v>SELESAI (VIA PERMOHONAN)</v>
      </c>
      <c r="G4648" s="17">
        <f>IFERROR(__xludf.DUMMYFUNCTION("""COMPUTED_VALUE"""),46004.44239650463)</f>
        <v>46004.4424</v>
      </c>
      <c r="H4648" s="14"/>
      <c r="I4648" s="13"/>
      <c r="J4648" s="17" t="str">
        <f>IFERROR(__xludf.DUMMYFUNCTION("""COMPUTED_VALUE"""),"")</f>
        <v/>
      </c>
      <c r="K4648" s="13" t="str">
        <f>IFERROR(__xludf.DUMMYFUNCTION("""COMPUTED_VALUE"""),"BT atau SU Belum Valid")</f>
        <v>BT atau SU Belum Valid</v>
      </c>
      <c r="L4648" s="13" t="str">
        <f>IFERROR(__xludf.DUMMYFUNCTION("""COMPUTED_VALUE"""),"")</f>
        <v/>
      </c>
      <c r="M4648" s="13"/>
      <c r="N4648" s="13" t="str">
        <f>IFERROR(__xludf.DUMMYFUNCTION("""COMPUTED_VALUE"""),"")</f>
        <v/>
      </c>
      <c r="O4648" s="13" t="str">
        <f t="shared" si="1"/>
        <v/>
      </c>
    </row>
    <row r="4649" ht="22.5" customHeight="1">
      <c r="B4649" s="13">
        <f>IFERROR(__xludf.DUMMYFUNCTION("""COMPUTED_VALUE"""),4644.0)</f>
        <v>4644</v>
      </c>
      <c r="C4649" s="13" t="str">
        <f>IFERROR(__xludf.DUMMYFUNCTION("""COMPUTED_VALUE"""),"M 1883/ RAJABASA NUNYAI")</f>
        <v>M 1883/ RAJABASA NUNYAI</v>
      </c>
      <c r="D4649" s="13" t="str">
        <f>IFERROR(__xludf.DUMMYFUNCTION("""COMPUTED_VALUE"""),"ABHKIJKL")</f>
        <v>ABHKIJKL</v>
      </c>
      <c r="E4649" s="14" t="str">
        <f>IFERROR(__xludf.DUMMYFUNCTION("""COMPUTED_VALUE"""),"Heri (BT)")</f>
        <v>Heri (BT)</v>
      </c>
      <c r="F4649" s="14" t="str">
        <f>IFERROR(__xludf.DUMMYFUNCTION("""COMPUTED_VALUE"""),"SELESAI (VIA PERMOHONAN)")</f>
        <v>SELESAI (VIA PERMOHONAN)</v>
      </c>
      <c r="G4649" s="17">
        <f>IFERROR(__xludf.DUMMYFUNCTION("""COMPUTED_VALUE"""),46004.442681643515)</f>
        <v>46004.44268</v>
      </c>
      <c r="H4649" s="14"/>
      <c r="I4649" s="13"/>
      <c r="J4649" s="17" t="str">
        <f>IFERROR(__xludf.DUMMYFUNCTION("""COMPUTED_VALUE"""),"")</f>
        <v/>
      </c>
      <c r="K4649" s="13" t="str">
        <f>IFERROR(__xludf.DUMMYFUNCTION("""COMPUTED_VALUE"""),"BT atau SU Belum Valid")</f>
        <v>BT atau SU Belum Valid</v>
      </c>
      <c r="L4649" s="13" t="str">
        <f>IFERROR(__xludf.DUMMYFUNCTION("""COMPUTED_VALUE"""),"")</f>
        <v/>
      </c>
      <c r="M4649" s="13"/>
      <c r="N4649" s="13" t="str">
        <f>IFERROR(__xludf.DUMMYFUNCTION("""COMPUTED_VALUE"""),"")</f>
        <v/>
      </c>
      <c r="O4649" s="13" t="str">
        <f t="shared" si="1"/>
        <v/>
      </c>
    </row>
    <row r="4650" ht="22.5" customHeight="1">
      <c r="B4650" s="13">
        <f>IFERROR(__xludf.DUMMYFUNCTION("""COMPUTED_VALUE"""),4645.0)</f>
        <v>4645</v>
      </c>
      <c r="C4650" s="13" t="str">
        <f>IFERROR(__xludf.DUMMYFUNCTION("""COMPUTED_VALUE"""),"M 2014/Jagabaya III")</f>
        <v>M 2014/Jagabaya III</v>
      </c>
      <c r="D4650" s="13" t="str">
        <f>IFERROR(__xludf.DUMMYFUNCTION("""COMPUTED_VALUE"""),"ABEIFFDL/1")</f>
        <v>ABEIFFDL/1</v>
      </c>
      <c r="E4650" s="14" t="str">
        <f>IFERROR(__xludf.DUMMYFUNCTION("""COMPUTED_VALUE"""),"Heri (BT)")</f>
        <v>Heri (BT)</v>
      </c>
      <c r="F4650" s="14" t="str">
        <f>IFERROR(__xludf.DUMMYFUNCTION("""COMPUTED_VALUE"""),"SELESAI (VIA PERMOHONAN)")</f>
        <v>SELESAI (VIA PERMOHONAN)</v>
      </c>
      <c r="G4650" s="17">
        <f>IFERROR(__xludf.DUMMYFUNCTION("""COMPUTED_VALUE"""),46004.44303267361)</f>
        <v>46004.44303</v>
      </c>
      <c r="H4650" s="14"/>
      <c r="I4650" s="13"/>
      <c r="J4650" s="17" t="str">
        <f>IFERROR(__xludf.DUMMYFUNCTION("""COMPUTED_VALUE"""),"")</f>
        <v/>
      </c>
      <c r="K4650" s="13" t="str">
        <f>IFERROR(__xludf.DUMMYFUNCTION("""COMPUTED_VALUE"""),"BT atau SU Belum Valid")</f>
        <v>BT atau SU Belum Valid</v>
      </c>
      <c r="L4650" s="13" t="str">
        <f>IFERROR(__xludf.DUMMYFUNCTION("""COMPUTED_VALUE"""),"")</f>
        <v/>
      </c>
      <c r="M4650" s="13"/>
      <c r="N4650" s="13" t="str">
        <f>IFERROR(__xludf.DUMMYFUNCTION("""COMPUTED_VALUE"""),"")</f>
        <v/>
      </c>
      <c r="O4650" s="13" t="str">
        <f t="shared" si="1"/>
        <v/>
      </c>
    </row>
    <row r="4651" ht="22.5" customHeight="1">
      <c r="B4651" s="13">
        <f>IFERROR(__xludf.DUMMYFUNCTION("""COMPUTED_VALUE"""),4646.0)</f>
        <v>4646</v>
      </c>
      <c r="C4651" s="13" t="str">
        <f>IFERROR(__xludf.DUMMYFUNCTION("""COMPUTED_VALUE"""),"M.18384/Sukarame")</f>
        <v>M.18384/Sukarame</v>
      </c>
      <c r="D4651" s="13" t="str">
        <f>IFERROR(__xludf.DUMMYFUNCTION("""COMPUTED_VALUE"""),"ABXIPTES")</f>
        <v>ABXIPTES</v>
      </c>
      <c r="E4651" s="14" t="str">
        <f>IFERROR(__xludf.DUMMYFUNCTION("""COMPUTED_VALUE"""),"Heri (BT)")</f>
        <v>Heri (BT)</v>
      </c>
      <c r="F4651" s="14" t="str">
        <f>IFERROR(__xludf.DUMMYFUNCTION("""COMPUTED_VALUE"""),"SELESAI (VIA PERMOHONAN)")</f>
        <v>SELESAI (VIA PERMOHONAN)</v>
      </c>
      <c r="G4651" s="17">
        <f>IFERROR(__xludf.DUMMYFUNCTION("""COMPUTED_VALUE"""),46004.44335929398)</f>
        <v>46004.44336</v>
      </c>
      <c r="H4651" s="14"/>
      <c r="I4651" s="13"/>
      <c r="J4651" s="17" t="str">
        <f>IFERROR(__xludf.DUMMYFUNCTION("""COMPUTED_VALUE"""),"")</f>
        <v/>
      </c>
      <c r="K4651" s="13" t="str">
        <f>IFERROR(__xludf.DUMMYFUNCTION("""COMPUTED_VALUE"""),"BT atau SU Belum Valid")</f>
        <v>BT atau SU Belum Valid</v>
      </c>
      <c r="L4651" s="13" t="str">
        <f>IFERROR(__xludf.DUMMYFUNCTION("""COMPUTED_VALUE"""),"")</f>
        <v/>
      </c>
      <c r="M4651" s="13"/>
      <c r="N4651" s="13" t="str">
        <f>IFERROR(__xludf.DUMMYFUNCTION("""COMPUTED_VALUE"""),"")</f>
        <v/>
      </c>
      <c r="O4651" s="13" t="str">
        <f t="shared" si="1"/>
        <v/>
      </c>
    </row>
    <row r="4652" ht="22.5" customHeight="1">
      <c r="B4652" s="13">
        <f>IFERROR(__xludf.DUMMYFUNCTION("""COMPUTED_VALUE"""),4647.0)</f>
        <v>4647</v>
      </c>
      <c r="C4652" s="13" t="str">
        <f>IFERROR(__xludf.DUMMYFUNCTION("""COMPUTED_VALUE"""),"M 1549/ rajabasa nunyai")</f>
        <v>M 1549/ rajabasa nunyai</v>
      </c>
      <c r="D4652" s="13" t="str">
        <f>IFERROR(__xludf.DUMMYFUNCTION("""COMPUTED_VALUE"""),"ABLHOPIB")</f>
        <v>ABLHOPIB</v>
      </c>
      <c r="E4652" s="14" t="str">
        <f>IFERROR(__xludf.DUMMYFUNCTION("""COMPUTED_VALUE"""),"Heri (BT)")</f>
        <v>Heri (BT)</v>
      </c>
      <c r="F4652" s="14" t="str">
        <f>IFERROR(__xludf.DUMMYFUNCTION("""COMPUTED_VALUE"""),"SELESAI (VIA PERMOHONAN)")</f>
        <v>SELESAI (VIA PERMOHONAN)</v>
      </c>
      <c r="G4652" s="17">
        <f>IFERROR(__xludf.DUMMYFUNCTION("""COMPUTED_VALUE"""),46004.44503670139)</f>
        <v>46004.44504</v>
      </c>
      <c r="H4652" s="14"/>
      <c r="I4652" s="13"/>
      <c r="J4652" s="17" t="str">
        <f>IFERROR(__xludf.DUMMYFUNCTION("""COMPUTED_VALUE"""),"")</f>
        <v/>
      </c>
      <c r="K4652" s="13" t="str">
        <f>IFERROR(__xludf.DUMMYFUNCTION("""COMPUTED_VALUE"""),"BT atau SU Belum Valid")</f>
        <v>BT atau SU Belum Valid</v>
      </c>
      <c r="L4652" s="13" t="str">
        <f>IFERROR(__xludf.DUMMYFUNCTION("""COMPUTED_VALUE"""),"")</f>
        <v/>
      </c>
      <c r="M4652" s="13"/>
      <c r="N4652" s="13" t="str">
        <f>IFERROR(__xludf.DUMMYFUNCTION("""COMPUTED_VALUE"""),"")</f>
        <v/>
      </c>
      <c r="O4652" s="13" t="str">
        <f t="shared" si="1"/>
        <v/>
      </c>
    </row>
    <row r="4653" ht="22.5" customHeight="1">
      <c r="B4653" s="13">
        <f>IFERROR(__xludf.DUMMYFUNCTION("""COMPUTED_VALUE"""),4648.0)</f>
        <v>4648</v>
      </c>
      <c r="C4653" s="13" t="str">
        <f>IFERROR(__xludf.DUMMYFUNCTION("""COMPUTED_VALUE"""),"M. 12324/KEDAMAIAN")</f>
        <v>M. 12324/KEDAMAIAN</v>
      </c>
      <c r="D4653" s="13" t="str">
        <f>IFERROR(__xludf.DUMMYFUNCTION("""COMPUTED_VALUE"""),"L/12/051125/1")</f>
        <v>L/12/051125/1</v>
      </c>
      <c r="E4653" s="14" t="str">
        <f>IFERROR(__xludf.DUMMYFUNCTION("""COMPUTED_VALUE"""),"Heri (BT)")</f>
        <v>Heri (BT)</v>
      </c>
      <c r="F4653" s="14" t="str">
        <f>IFERROR(__xludf.DUMMYFUNCTION("""COMPUTED_VALUE"""),"SELESAI (VIA PERMOHONAN)")</f>
        <v>SELESAI (VIA PERMOHONAN)</v>
      </c>
      <c r="G4653" s="17">
        <f>IFERROR(__xludf.DUMMYFUNCTION("""COMPUTED_VALUE"""),46004.44574002315)</f>
        <v>46004.44574</v>
      </c>
      <c r="H4653" s="14"/>
      <c r="I4653" s="13"/>
      <c r="J4653" s="17" t="str">
        <f>IFERROR(__xludf.DUMMYFUNCTION("""COMPUTED_VALUE"""),"")</f>
        <v/>
      </c>
      <c r="K4653" s="13" t="str">
        <f>IFERROR(__xludf.DUMMYFUNCTION("""COMPUTED_VALUE"""),"BT atau SU Belum Valid")</f>
        <v>BT atau SU Belum Valid</v>
      </c>
      <c r="L4653" s="13" t="str">
        <f>IFERROR(__xludf.DUMMYFUNCTION("""COMPUTED_VALUE"""),"")</f>
        <v/>
      </c>
      <c r="M4653" s="13"/>
      <c r="N4653" s="13" t="str">
        <f>IFERROR(__xludf.DUMMYFUNCTION("""COMPUTED_VALUE"""),"")</f>
        <v/>
      </c>
      <c r="O4653" s="13" t="str">
        <f t="shared" si="1"/>
        <v/>
      </c>
    </row>
    <row r="4654" ht="22.5" customHeight="1">
      <c r="B4654" s="13">
        <f>IFERROR(__xludf.DUMMYFUNCTION("""COMPUTED_VALUE"""),4649.0)</f>
        <v>4649</v>
      </c>
      <c r="C4654" s="13" t="str">
        <f>IFERROR(__xludf.DUMMYFUNCTION("""COMPUTED_VALUE"""),"M. 12323/KEDAMAIAN")</f>
        <v>M. 12323/KEDAMAIAN</v>
      </c>
      <c r="D4654" s="13" t="str">
        <f>IFERROR(__xludf.DUMMYFUNCTION("""COMPUTED_VALUE"""),"L/14/051125/3")</f>
        <v>L/14/051125/3</v>
      </c>
      <c r="E4654" s="14" t="str">
        <f>IFERROR(__xludf.DUMMYFUNCTION("""COMPUTED_VALUE"""),"Heri (BT)")</f>
        <v>Heri (BT)</v>
      </c>
      <c r="F4654" s="14" t="str">
        <f>IFERROR(__xludf.DUMMYFUNCTION("""COMPUTED_VALUE"""),"SELESAI (VIA PERMOHONAN)")</f>
        <v>SELESAI (VIA PERMOHONAN)</v>
      </c>
      <c r="G4654" s="17">
        <f>IFERROR(__xludf.DUMMYFUNCTION("""COMPUTED_VALUE"""),46004.445991597226)</f>
        <v>46004.44599</v>
      </c>
      <c r="H4654" s="14"/>
      <c r="I4654" s="13"/>
      <c r="J4654" s="17" t="str">
        <f>IFERROR(__xludf.DUMMYFUNCTION("""COMPUTED_VALUE"""),"")</f>
        <v/>
      </c>
      <c r="K4654" s="13" t="str">
        <f>IFERROR(__xludf.DUMMYFUNCTION("""COMPUTED_VALUE"""),"BT atau SU Belum Valid")</f>
        <v>BT atau SU Belum Valid</v>
      </c>
      <c r="L4654" s="13" t="str">
        <f>IFERROR(__xludf.DUMMYFUNCTION("""COMPUTED_VALUE"""),"")</f>
        <v/>
      </c>
      <c r="M4654" s="13"/>
      <c r="N4654" s="13" t="str">
        <f>IFERROR(__xludf.DUMMYFUNCTION("""COMPUTED_VALUE"""),"")</f>
        <v/>
      </c>
      <c r="O4654" s="13" t="str">
        <f t="shared" si="1"/>
        <v/>
      </c>
    </row>
    <row r="4655" ht="22.5" customHeight="1">
      <c r="B4655" s="13">
        <f>IFERROR(__xludf.DUMMYFUNCTION("""COMPUTED_VALUE"""),4650.0)</f>
        <v>4650</v>
      </c>
      <c r="C4655" s="13" t="str">
        <f>IFERROR(__xludf.DUMMYFUNCTION("""COMPUTED_VALUE"""),"M 292/ CAMPANG JAYA")</f>
        <v>M 292/ CAMPANG JAYA</v>
      </c>
      <c r="D4655" s="13" t="str">
        <f>IFERROR(__xludf.DUMMYFUNCTION("""COMPUTED_VALUE"""),"ABZYIVOR")</f>
        <v>ABZYIVOR</v>
      </c>
      <c r="E4655" s="14" t="str">
        <f>IFERROR(__xludf.DUMMYFUNCTION("""COMPUTED_VALUE"""),"Heri (BT)")</f>
        <v>Heri (BT)</v>
      </c>
      <c r="F4655" s="14" t="str">
        <f>IFERROR(__xludf.DUMMYFUNCTION("""COMPUTED_VALUE"""),"SELESAI (VIA PERMOHONAN)")</f>
        <v>SELESAI (VIA PERMOHONAN)</v>
      </c>
      <c r="G4655" s="17">
        <f>IFERROR(__xludf.DUMMYFUNCTION("""COMPUTED_VALUE"""),46006.36829546296)</f>
        <v>46006.3683</v>
      </c>
      <c r="H4655" s="14"/>
      <c r="I4655" s="13"/>
      <c r="J4655" s="17" t="str">
        <f>IFERROR(__xludf.DUMMYFUNCTION("""COMPUTED_VALUE"""),"")</f>
        <v/>
      </c>
      <c r="K4655" s="13" t="str">
        <f>IFERROR(__xludf.DUMMYFUNCTION("""COMPUTED_VALUE"""),"BT atau SU Belum Valid")</f>
        <v>BT atau SU Belum Valid</v>
      </c>
      <c r="L4655" s="13" t="str">
        <f>IFERROR(__xludf.DUMMYFUNCTION("""COMPUTED_VALUE"""),"")</f>
        <v/>
      </c>
      <c r="M4655" s="13"/>
      <c r="N4655" s="13" t="str">
        <f>IFERROR(__xludf.DUMMYFUNCTION("""COMPUTED_VALUE"""),"")</f>
        <v/>
      </c>
      <c r="O4655" s="13" t="str">
        <f t="shared" si="1"/>
        <v/>
      </c>
    </row>
    <row r="4656" ht="22.5" customHeight="1">
      <c r="B4656" s="13">
        <f>IFERROR(__xludf.DUMMYFUNCTION("""COMPUTED_VALUE"""),4651.0)</f>
        <v>4651</v>
      </c>
      <c r="C4656" s="13" t="str">
        <f>IFERROR(__xludf.DUMMYFUNCTION("""COMPUTED_VALUE"""),"M.11351 TANJUNG BARU")</f>
        <v>M.11351 TANJUNG BARU</v>
      </c>
      <c r="D4656" s="13" t="str">
        <f>IFERROR(__xludf.DUMMYFUNCTION("""COMPUTED_VALUE"""),"ABXHEECJ")</f>
        <v>ABXHEECJ</v>
      </c>
      <c r="E4656" s="14" t="str">
        <f>IFERROR(__xludf.DUMMYFUNCTION("""COMPUTED_VALUE"""),"Heri (BT)")</f>
        <v>Heri (BT)</v>
      </c>
      <c r="F4656" s="14" t="str">
        <f>IFERROR(__xludf.DUMMYFUNCTION("""COMPUTED_VALUE"""),"SELESAI (VIA PERMOHONAN)")</f>
        <v>SELESAI (VIA PERMOHONAN)</v>
      </c>
      <c r="G4656" s="17">
        <f>IFERROR(__xludf.DUMMYFUNCTION("""COMPUTED_VALUE"""),46006.36960201389)</f>
        <v>46006.3696</v>
      </c>
      <c r="H4656" s="14"/>
      <c r="I4656" s="13"/>
      <c r="J4656" s="17" t="str">
        <f>IFERROR(__xludf.DUMMYFUNCTION("""COMPUTED_VALUE"""),"")</f>
        <v/>
      </c>
      <c r="K4656" s="13" t="str">
        <f>IFERROR(__xludf.DUMMYFUNCTION("""COMPUTED_VALUE"""),"BT atau SU Belum Valid")</f>
        <v>BT atau SU Belum Valid</v>
      </c>
      <c r="L4656" s="13" t="str">
        <f>IFERROR(__xludf.DUMMYFUNCTION("""COMPUTED_VALUE"""),"")</f>
        <v/>
      </c>
      <c r="M4656" s="13"/>
      <c r="N4656" s="13" t="str">
        <f>IFERROR(__xludf.DUMMYFUNCTION("""COMPUTED_VALUE"""),"")</f>
        <v/>
      </c>
      <c r="O4656" s="13" t="str">
        <f t="shared" si="1"/>
        <v/>
      </c>
    </row>
    <row r="4657" ht="22.5" customHeight="1">
      <c r="B4657" s="13">
        <f>IFERROR(__xludf.DUMMYFUNCTION("""COMPUTED_VALUE"""),4652.0)</f>
        <v>4652</v>
      </c>
      <c r="C4657" s="13" t="str">
        <f>IFERROR(__xludf.DUMMYFUNCTION("""COMPUTED_VALUE"""),"M.89/sbr")</f>
        <v>M.89/sbr</v>
      </c>
      <c r="D4657" s="13" t="str">
        <f>IFERROR(__xludf.DUMMYFUNCTION("""COMPUTED_VALUE"""),"ABAFXZHA")</f>
        <v>ABAFXZHA</v>
      </c>
      <c r="E4657" s="14" t="str">
        <f>IFERROR(__xludf.DUMMYFUNCTION("""COMPUTED_VALUE"""),"Heri (BT)")</f>
        <v>Heri (BT)</v>
      </c>
      <c r="F4657" s="14" t="str">
        <f>IFERROR(__xludf.DUMMYFUNCTION("""COMPUTED_VALUE"""),"SELESAI (VIA PERMOHONAN)")</f>
        <v>SELESAI (VIA PERMOHONAN)</v>
      </c>
      <c r="G4657" s="17">
        <f>IFERROR(__xludf.DUMMYFUNCTION("""COMPUTED_VALUE"""),46006.3699962963)</f>
        <v>46006.37</v>
      </c>
      <c r="H4657" s="14"/>
      <c r="I4657" s="13"/>
      <c r="J4657" s="17" t="str">
        <f>IFERROR(__xludf.DUMMYFUNCTION("""COMPUTED_VALUE"""),"")</f>
        <v/>
      </c>
      <c r="K4657" s="13" t="str">
        <f>IFERROR(__xludf.DUMMYFUNCTION("""COMPUTED_VALUE"""),"BT atau SU Belum Valid")</f>
        <v>BT atau SU Belum Valid</v>
      </c>
      <c r="L4657" s="13" t="str">
        <f>IFERROR(__xludf.DUMMYFUNCTION("""COMPUTED_VALUE"""),"")</f>
        <v/>
      </c>
      <c r="M4657" s="13"/>
      <c r="N4657" s="13" t="str">
        <f>IFERROR(__xludf.DUMMYFUNCTION("""COMPUTED_VALUE"""),"")</f>
        <v/>
      </c>
      <c r="O4657" s="13" t="str">
        <f t="shared" si="1"/>
        <v/>
      </c>
    </row>
    <row r="4658" ht="22.5" customHeight="1">
      <c r="B4658" s="13">
        <f>IFERROR(__xludf.DUMMYFUNCTION("""COMPUTED_VALUE"""),4653.0)</f>
        <v>4653</v>
      </c>
      <c r="C4658" s="13" t="str">
        <f>IFERROR(__xludf.DUMMYFUNCTION("""COMPUTED_VALUE"""),"M 9423/ KAMPUNG BARU")</f>
        <v>M 9423/ KAMPUNG BARU</v>
      </c>
      <c r="D4658" s="13" t="str">
        <f>IFERROR(__xludf.DUMMYFUNCTION("""COMPUTED_VALUE"""),"ABIDHAPP/1")</f>
        <v>ABIDHAPP/1</v>
      </c>
      <c r="E4658" s="14" t="str">
        <f>IFERROR(__xludf.DUMMYFUNCTION("""COMPUTED_VALUE"""),"Heri (BT)")</f>
        <v>Heri (BT)</v>
      </c>
      <c r="F4658" s="14" t="str">
        <f>IFERROR(__xludf.DUMMYFUNCTION("""COMPUTED_VALUE"""),"SELESAI (VIA PERMOHONAN)")</f>
        <v>SELESAI (VIA PERMOHONAN)</v>
      </c>
      <c r="G4658" s="17">
        <f>IFERROR(__xludf.DUMMYFUNCTION("""COMPUTED_VALUE"""),46006.37047429398)</f>
        <v>46006.37047</v>
      </c>
      <c r="H4658" s="14"/>
      <c r="I4658" s="13"/>
      <c r="J4658" s="17" t="str">
        <f>IFERROR(__xludf.DUMMYFUNCTION("""COMPUTED_VALUE"""),"")</f>
        <v/>
      </c>
      <c r="K4658" s="13" t="str">
        <f>IFERROR(__xludf.DUMMYFUNCTION("""COMPUTED_VALUE"""),"BT atau SU Belum Valid")</f>
        <v>BT atau SU Belum Valid</v>
      </c>
      <c r="L4658" s="13" t="str">
        <f>IFERROR(__xludf.DUMMYFUNCTION("""COMPUTED_VALUE"""),"")</f>
        <v/>
      </c>
      <c r="M4658" s="13"/>
      <c r="N4658" s="13" t="str">
        <f>IFERROR(__xludf.DUMMYFUNCTION("""COMPUTED_VALUE"""),"")</f>
        <v/>
      </c>
      <c r="O4658" s="13" t="str">
        <f t="shared" si="1"/>
        <v/>
      </c>
    </row>
    <row r="4659" ht="22.5" customHeight="1">
      <c r="B4659" s="13">
        <f>IFERROR(__xludf.DUMMYFUNCTION("""COMPUTED_VALUE"""),4654.0)</f>
        <v>4654</v>
      </c>
      <c r="C4659" s="13" t="str">
        <f>IFERROR(__xludf.DUMMYFUNCTION("""COMPUTED_VALUE"""),"M. 587/Korpri Raya")</f>
        <v>M. 587/Korpri Raya</v>
      </c>
      <c r="D4659" s="13" t="str">
        <f>IFERROR(__xludf.DUMMYFUNCTION("""COMPUTED_VALUE"""),"ABVWPKOS")</f>
        <v>ABVWPKOS</v>
      </c>
      <c r="E4659" s="14" t="str">
        <f>IFERROR(__xludf.DUMMYFUNCTION("""COMPUTED_VALUE"""),"Heri (BT)")</f>
        <v>Heri (BT)</v>
      </c>
      <c r="F4659" s="14" t="str">
        <f>IFERROR(__xludf.DUMMYFUNCTION("""COMPUTED_VALUE"""),"SELESAI (VIA PERMOHONAN)")</f>
        <v>SELESAI (VIA PERMOHONAN)</v>
      </c>
      <c r="G4659" s="17">
        <f>IFERROR(__xludf.DUMMYFUNCTION("""COMPUTED_VALUE"""),46006.37071556713)</f>
        <v>46006.37072</v>
      </c>
      <c r="H4659" s="14"/>
      <c r="I4659" s="13"/>
      <c r="J4659" s="17" t="str">
        <f>IFERROR(__xludf.DUMMYFUNCTION("""COMPUTED_VALUE"""),"")</f>
        <v/>
      </c>
      <c r="K4659" s="13" t="str">
        <f>IFERROR(__xludf.DUMMYFUNCTION("""COMPUTED_VALUE"""),"BT atau SU Belum Valid")</f>
        <v>BT atau SU Belum Valid</v>
      </c>
      <c r="L4659" s="13" t="str">
        <f>IFERROR(__xludf.DUMMYFUNCTION("""COMPUTED_VALUE"""),"")</f>
        <v/>
      </c>
      <c r="M4659" s="13"/>
      <c r="N4659" s="13" t="str">
        <f>IFERROR(__xludf.DUMMYFUNCTION("""COMPUTED_VALUE"""),"")</f>
        <v/>
      </c>
      <c r="O4659" s="13" t="str">
        <f t="shared" si="1"/>
        <v/>
      </c>
    </row>
    <row r="4660" ht="22.5" customHeight="1">
      <c r="B4660" s="13">
        <f>IFERROR(__xludf.DUMMYFUNCTION("""COMPUTED_VALUE"""),4655.0)</f>
        <v>4655</v>
      </c>
      <c r="C4660" s="13" t="str">
        <f>IFERROR(__xludf.DUMMYFUNCTION("""COMPUTED_VALUE"""),"M 6051/ Tanjung senang")</f>
        <v>M 6051/ Tanjung senang</v>
      </c>
      <c r="D4660" s="13" t="str">
        <f>IFERROR(__xludf.DUMMYFUNCTION("""COMPUTED_VALUE"""),"ABYUOEGM")</f>
        <v>ABYUOEGM</v>
      </c>
      <c r="E4660" s="14" t="str">
        <f>IFERROR(__xludf.DUMMYFUNCTION("""COMPUTED_VALUE"""),"Heri (BT)")</f>
        <v>Heri (BT)</v>
      </c>
      <c r="F4660" s="14" t="str">
        <f>IFERROR(__xludf.DUMMYFUNCTION("""COMPUTED_VALUE"""),"SELESAI (VIA PERMOHONAN)")</f>
        <v>SELESAI (VIA PERMOHONAN)</v>
      </c>
      <c r="G4660" s="17">
        <f>IFERROR(__xludf.DUMMYFUNCTION("""COMPUTED_VALUE"""),46006.37092342593)</f>
        <v>46006.37092</v>
      </c>
      <c r="H4660" s="14"/>
      <c r="I4660" s="13"/>
      <c r="J4660" s="17" t="str">
        <f>IFERROR(__xludf.DUMMYFUNCTION("""COMPUTED_VALUE"""),"")</f>
        <v/>
      </c>
      <c r="K4660" s="13" t="str">
        <f>IFERROR(__xludf.DUMMYFUNCTION("""COMPUTED_VALUE"""),"BT atau SU Belum Valid")</f>
        <v>BT atau SU Belum Valid</v>
      </c>
      <c r="L4660" s="13" t="str">
        <f>IFERROR(__xludf.DUMMYFUNCTION("""COMPUTED_VALUE"""),"")</f>
        <v/>
      </c>
      <c r="M4660" s="13"/>
      <c r="N4660" s="13" t="str">
        <f>IFERROR(__xludf.DUMMYFUNCTION("""COMPUTED_VALUE"""),"")</f>
        <v/>
      </c>
      <c r="O4660" s="13" t="str">
        <f t="shared" si="1"/>
        <v/>
      </c>
    </row>
    <row r="4661" ht="22.5" customHeight="1">
      <c r="B4661" s="13">
        <f>IFERROR(__xludf.DUMMYFUNCTION("""COMPUTED_VALUE"""),4656.0)</f>
        <v>4656</v>
      </c>
      <c r="C4661" s="13" t="str">
        <f>IFERROR(__xludf.DUMMYFUNCTION("""COMPUTED_VALUE"""),"M. 12765/Kdm")</f>
        <v>M. 12765/Kdm</v>
      </c>
      <c r="D4661" s="13" t="str">
        <f>IFERROR(__xludf.DUMMYFUNCTION("""COMPUTED_VALUE"""),"ABCAAHND")</f>
        <v>ABCAAHND</v>
      </c>
      <c r="E4661" s="14" t="str">
        <f>IFERROR(__xludf.DUMMYFUNCTION("""COMPUTED_VALUE"""),"Heri (BT)")</f>
        <v>Heri (BT)</v>
      </c>
      <c r="F4661" s="14" t="str">
        <f>IFERROR(__xludf.DUMMYFUNCTION("""COMPUTED_VALUE"""),"SELESAI (VIA PERMOHONAN)")</f>
        <v>SELESAI (VIA PERMOHONAN)</v>
      </c>
      <c r="G4661" s="17">
        <f>IFERROR(__xludf.DUMMYFUNCTION("""COMPUTED_VALUE"""),46006.37116993056)</f>
        <v>46006.37117</v>
      </c>
      <c r="H4661" s="14"/>
      <c r="I4661" s="13"/>
      <c r="J4661" s="17" t="str">
        <f>IFERROR(__xludf.DUMMYFUNCTION("""COMPUTED_VALUE"""),"")</f>
        <v/>
      </c>
      <c r="K4661" s="13" t="str">
        <f>IFERROR(__xludf.DUMMYFUNCTION("""COMPUTED_VALUE"""),"BT atau SU Belum Valid")</f>
        <v>BT atau SU Belum Valid</v>
      </c>
      <c r="L4661" s="13" t="str">
        <f>IFERROR(__xludf.DUMMYFUNCTION("""COMPUTED_VALUE"""),"")</f>
        <v/>
      </c>
      <c r="M4661" s="13"/>
      <c r="N4661" s="13" t="str">
        <f>IFERROR(__xludf.DUMMYFUNCTION("""COMPUTED_VALUE"""),"")</f>
        <v/>
      </c>
      <c r="O4661" s="13" t="str">
        <f t="shared" si="1"/>
        <v/>
      </c>
    </row>
    <row r="4662" ht="22.5" customHeight="1">
      <c r="B4662" s="13">
        <f>IFERROR(__xludf.DUMMYFUNCTION("""COMPUTED_VALUE"""),4657.0)</f>
        <v>4657</v>
      </c>
      <c r="C4662" s="13" t="str">
        <f>IFERROR(__xludf.DUMMYFUNCTION("""COMPUTED_VALUE"""),"M 508/ TANJUNG AGUNG")</f>
        <v>M 508/ TANJUNG AGUNG</v>
      </c>
      <c r="D4662" s="13" t="str">
        <f>IFERROR(__xludf.DUMMYFUNCTION("""COMPUTED_VALUE"""),"K/23/020925/2")</f>
        <v>K/23/020925/2</v>
      </c>
      <c r="E4662" s="14" t="str">
        <f>IFERROR(__xludf.DUMMYFUNCTION("""COMPUTED_VALUE"""),"Heri (BT)")</f>
        <v>Heri (BT)</v>
      </c>
      <c r="F4662" s="14" t="str">
        <f>IFERROR(__xludf.DUMMYFUNCTION("""COMPUTED_VALUE"""),"SELESAI (VIA PERMOHONAN)")</f>
        <v>SELESAI (VIA PERMOHONAN)</v>
      </c>
      <c r="G4662" s="17">
        <f>IFERROR(__xludf.DUMMYFUNCTION("""COMPUTED_VALUE"""),46006.37904809028)</f>
        <v>46006.37905</v>
      </c>
      <c r="H4662" s="14"/>
      <c r="I4662" s="13"/>
      <c r="J4662" s="17" t="str">
        <f>IFERROR(__xludf.DUMMYFUNCTION("""COMPUTED_VALUE"""),"")</f>
        <v/>
      </c>
      <c r="K4662" s="13" t="str">
        <f>IFERROR(__xludf.DUMMYFUNCTION("""COMPUTED_VALUE"""),"BT atau SU Belum Valid")</f>
        <v>BT atau SU Belum Valid</v>
      </c>
      <c r="L4662" s="13" t="str">
        <f>IFERROR(__xludf.DUMMYFUNCTION("""COMPUTED_VALUE"""),"")</f>
        <v/>
      </c>
      <c r="M4662" s="13"/>
      <c r="N4662" s="13" t="str">
        <f>IFERROR(__xludf.DUMMYFUNCTION("""COMPUTED_VALUE"""),"")</f>
        <v/>
      </c>
      <c r="O4662" s="13" t="str">
        <f t="shared" si="1"/>
        <v/>
      </c>
    </row>
    <row r="4663" ht="22.5" customHeight="1">
      <c r="B4663" s="13">
        <f>IFERROR(__xludf.DUMMYFUNCTION("""COMPUTED_VALUE"""),4658.0)</f>
        <v>4658</v>
      </c>
      <c r="C4663" s="13" t="str">
        <f>IFERROR(__xludf.DUMMYFUNCTION("""COMPUTED_VALUE"""),"M 3304/ BERINGIN RAYA")</f>
        <v>M 3304/ BERINGIN RAYA</v>
      </c>
      <c r="D4663" s="13" t="str">
        <f>IFERROR(__xludf.DUMMYFUNCTION("""COMPUTED_VALUE"""),"ABHUKLII")</f>
        <v>ABHUKLII</v>
      </c>
      <c r="E4663" s="14" t="str">
        <f>IFERROR(__xludf.DUMMYFUNCTION("""COMPUTED_VALUE"""),"Heri (BT)")</f>
        <v>Heri (BT)</v>
      </c>
      <c r="F4663" s="14" t="str">
        <f>IFERROR(__xludf.DUMMYFUNCTION("""COMPUTED_VALUE"""),"SELESAI (VIA PERMOHONAN)")</f>
        <v>SELESAI (VIA PERMOHONAN)</v>
      </c>
      <c r="G4663" s="17">
        <f>IFERROR(__xludf.DUMMYFUNCTION("""COMPUTED_VALUE"""),46006.37921951389)</f>
        <v>46006.37922</v>
      </c>
      <c r="H4663" s="14"/>
      <c r="I4663" s="13"/>
      <c r="J4663" s="17" t="str">
        <f>IFERROR(__xludf.DUMMYFUNCTION("""COMPUTED_VALUE"""),"")</f>
        <v/>
      </c>
      <c r="K4663" s="13" t="str">
        <f>IFERROR(__xludf.DUMMYFUNCTION("""COMPUTED_VALUE"""),"BT atau SU Belum Valid")</f>
        <v>BT atau SU Belum Valid</v>
      </c>
      <c r="L4663" s="13" t="str">
        <f>IFERROR(__xludf.DUMMYFUNCTION("""COMPUTED_VALUE"""),"")</f>
        <v/>
      </c>
      <c r="M4663" s="13"/>
      <c r="N4663" s="13" t="str">
        <f>IFERROR(__xludf.DUMMYFUNCTION("""COMPUTED_VALUE"""),"")</f>
        <v/>
      </c>
      <c r="O4663" s="13" t="str">
        <f t="shared" si="1"/>
        <v/>
      </c>
    </row>
    <row r="4664" ht="22.5" customHeight="1">
      <c r="B4664" s="13">
        <f>IFERROR(__xludf.DUMMYFUNCTION("""COMPUTED_VALUE"""),4659.0)</f>
        <v>4659</v>
      </c>
      <c r="C4664" s="13" t="str">
        <f>IFERROR(__xludf.DUMMYFUNCTION("""COMPUTED_VALUE"""),"M 85/ gedong meneng baru")</f>
        <v>M 85/ gedong meneng baru</v>
      </c>
      <c r="D4664" s="13" t="str">
        <f>IFERROR(__xludf.DUMMYFUNCTION("""COMPUTED_VALUE"""),"ABRBXZDM/1")</f>
        <v>ABRBXZDM/1</v>
      </c>
      <c r="E4664" s="14" t="str">
        <f>IFERROR(__xludf.DUMMYFUNCTION("""COMPUTED_VALUE"""),"Heri (BT)")</f>
        <v>Heri (BT)</v>
      </c>
      <c r="F4664" s="14" t="str">
        <f>IFERROR(__xludf.DUMMYFUNCTION("""COMPUTED_VALUE"""),"SELESAI (VIA PERMOHONAN)")</f>
        <v>SELESAI (VIA PERMOHONAN)</v>
      </c>
      <c r="G4664" s="17">
        <f>IFERROR(__xludf.DUMMYFUNCTION("""COMPUTED_VALUE"""),46006.37940356482)</f>
        <v>46006.3794</v>
      </c>
      <c r="H4664" s="14"/>
      <c r="I4664" s="13"/>
      <c r="J4664" s="17" t="str">
        <f>IFERROR(__xludf.DUMMYFUNCTION("""COMPUTED_VALUE"""),"")</f>
        <v/>
      </c>
      <c r="K4664" s="13" t="str">
        <f>IFERROR(__xludf.DUMMYFUNCTION("""COMPUTED_VALUE"""),"BT atau SU Belum Valid")</f>
        <v>BT atau SU Belum Valid</v>
      </c>
      <c r="L4664" s="13" t="str">
        <f>IFERROR(__xludf.DUMMYFUNCTION("""COMPUTED_VALUE"""),"")</f>
        <v/>
      </c>
      <c r="M4664" s="13"/>
      <c r="N4664" s="13" t="str">
        <f>IFERROR(__xludf.DUMMYFUNCTION("""COMPUTED_VALUE"""),"")</f>
        <v/>
      </c>
      <c r="O4664" s="13" t="str">
        <f t="shared" si="1"/>
        <v/>
      </c>
    </row>
    <row r="4665" ht="22.5" customHeight="1">
      <c r="B4665" s="13">
        <f>IFERROR(__xludf.DUMMYFUNCTION("""COMPUTED_VALUE"""),4660.0)</f>
        <v>4660</v>
      </c>
      <c r="C4665" s="13" t="str">
        <f>IFERROR(__xludf.DUMMYFUNCTION("""COMPUTED_VALUE"""),"SHM 1746/Beringin Jaya")</f>
        <v>SHM 1746/Beringin Jaya</v>
      </c>
      <c r="D4665" s="13" t="str">
        <f>IFERROR(__xludf.DUMMYFUNCTION("""COMPUTED_VALUE"""),"K/2/220825/1")</f>
        <v>K/2/220825/1</v>
      </c>
      <c r="E4665" s="14" t="str">
        <f>IFERROR(__xludf.DUMMYFUNCTION("""COMPUTED_VALUE"""),"Heri (BT)")</f>
        <v>Heri (BT)</v>
      </c>
      <c r="F4665" s="14" t="str">
        <f>IFERROR(__xludf.DUMMYFUNCTION("""COMPUTED_VALUE"""),"SELESAI (VIA PERMOHONAN)")</f>
        <v>SELESAI (VIA PERMOHONAN)</v>
      </c>
      <c r="G4665" s="17">
        <f>IFERROR(__xludf.DUMMYFUNCTION("""COMPUTED_VALUE"""),46006.37960425926)</f>
        <v>46006.3796</v>
      </c>
      <c r="H4665" s="14"/>
      <c r="I4665" s="13"/>
      <c r="J4665" s="17" t="str">
        <f>IFERROR(__xludf.DUMMYFUNCTION("""COMPUTED_VALUE"""),"")</f>
        <v/>
      </c>
      <c r="K4665" s="13" t="str">
        <f>IFERROR(__xludf.DUMMYFUNCTION("""COMPUTED_VALUE"""),"BT atau SU Belum Valid")</f>
        <v>BT atau SU Belum Valid</v>
      </c>
      <c r="L4665" s="13" t="str">
        <f>IFERROR(__xludf.DUMMYFUNCTION("""COMPUTED_VALUE"""),"")</f>
        <v/>
      </c>
      <c r="M4665" s="13"/>
      <c r="N4665" s="13" t="str">
        <f>IFERROR(__xludf.DUMMYFUNCTION("""COMPUTED_VALUE"""),"")</f>
        <v/>
      </c>
      <c r="O4665" s="13" t="str">
        <f t="shared" si="1"/>
        <v/>
      </c>
    </row>
    <row r="4666" ht="22.5" customHeight="1">
      <c r="B4666" s="13">
        <f>IFERROR(__xludf.DUMMYFUNCTION("""COMPUTED_VALUE"""),4661.0)</f>
        <v>4661</v>
      </c>
      <c r="C4666" s="13" t="str">
        <f>IFERROR(__xludf.DUMMYFUNCTION("""COMPUTED_VALUE"""),"M 5148/ rajabasa jaya")</f>
        <v>M 5148/ rajabasa jaya</v>
      </c>
      <c r="D4666" s="13" t="str">
        <f>IFERROR(__xludf.DUMMYFUNCTION("""COMPUTED_VALUE"""),"ABDYLYEG")</f>
        <v>ABDYLYEG</v>
      </c>
      <c r="E4666" s="14" t="str">
        <f>IFERROR(__xludf.DUMMYFUNCTION("""COMPUTED_VALUE"""),"Heri (BT)")</f>
        <v>Heri (BT)</v>
      </c>
      <c r="F4666" s="14" t="str">
        <f>IFERROR(__xludf.DUMMYFUNCTION("""COMPUTED_VALUE"""),"SELESAI (VIA PERMOHONAN)")</f>
        <v>SELESAI (VIA PERMOHONAN)</v>
      </c>
      <c r="G4666" s="17">
        <f>IFERROR(__xludf.DUMMYFUNCTION("""COMPUTED_VALUE"""),46006.37978243055)</f>
        <v>46006.37978</v>
      </c>
      <c r="H4666" s="14"/>
      <c r="I4666" s="13"/>
      <c r="J4666" s="17" t="str">
        <f>IFERROR(__xludf.DUMMYFUNCTION("""COMPUTED_VALUE"""),"")</f>
        <v/>
      </c>
      <c r="K4666" s="13" t="str">
        <f>IFERROR(__xludf.DUMMYFUNCTION("""COMPUTED_VALUE"""),"BT atau SU Belum Valid")</f>
        <v>BT atau SU Belum Valid</v>
      </c>
      <c r="L4666" s="13" t="str">
        <f>IFERROR(__xludf.DUMMYFUNCTION("""COMPUTED_VALUE"""),"")</f>
        <v/>
      </c>
      <c r="M4666" s="13"/>
      <c r="N4666" s="13" t="str">
        <f>IFERROR(__xludf.DUMMYFUNCTION("""COMPUTED_VALUE"""),"")</f>
        <v/>
      </c>
      <c r="O4666" s="13" t="str">
        <f t="shared" si="1"/>
        <v/>
      </c>
    </row>
    <row r="4667" ht="22.5" customHeight="1">
      <c r="B4667" s="13">
        <f>IFERROR(__xludf.DUMMYFUNCTION("""COMPUTED_VALUE"""),4662.0)</f>
        <v>4662</v>
      </c>
      <c r="C4667" s="13" t="str">
        <f>IFERROR(__xludf.DUMMYFUNCTION("""COMPUTED_VALUE"""),"m 13167/ segala mider")</f>
        <v>m 13167/ segala mider</v>
      </c>
      <c r="D4667" s="13" t="str">
        <f>IFERROR(__xludf.DUMMYFUNCTION("""COMPUTED_VALUE"""),"ABFHGHAA")</f>
        <v>ABFHGHAA</v>
      </c>
      <c r="E4667" s="14" t="str">
        <f>IFERROR(__xludf.DUMMYFUNCTION("""COMPUTED_VALUE"""),"Heri (BT)")</f>
        <v>Heri (BT)</v>
      </c>
      <c r="F4667" s="14" t="str">
        <f>IFERROR(__xludf.DUMMYFUNCTION("""COMPUTED_VALUE"""),"SELESAI (VIA PERMOHONAN)")</f>
        <v>SELESAI (VIA PERMOHONAN)</v>
      </c>
      <c r="G4667" s="17">
        <f>IFERROR(__xludf.DUMMYFUNCTION("""COMPUTED_VALUE"""),46006.379943148146)</f>
        <v>46006.37994</v>
      </c>
      <c r="H4667" s="14"/>
      <c r="I4667" s="13"/>
      <c r="J4667" s="17" t="str">
        <f>IFERROR(__xludf.DUMMYFUNCTION("""COMPUTED_VALUE"""),"")</f>
        <v/>
      </c>
      <c r="K4667" s="13" t="str">
        <f>IFERROR(__xludf.DUMMYFUNCTION("""COMPUTED_VALUE"""),"BT atau SU Belum Valid")</f>
        <v>BT atau SU Belum Valid</v>
      </c>
      <c r="L4667" s="13" t="str">
        <f>IFERROR(__xludf.DUMMYFUNCTION("""COMPUTED_VALUE"""),"")</f>
        <v/>
      </c>
      <c r="M4667" s="13"/>
      <c r="N4667" s="13" t="str">
        <f>IFERROR(__xludf.DUMMYFUNCTION("""COMPUTED_VALUE"""),"")</f>
        <v/>
      </c>
      <c r="O4667" s="13" t="str">
        <f t="shared" si="1"/>
        <v/>
      </c>
    </row>
    <row r="4668" ht="22.5" customHeight="1">
      <c r="B4668" s="13">
        <f>IFERROR(__xludf.DUMMYFUNCTION("""COMPUTED_VALUE"""),4663.0)</f>
        <v>4663</v>
      </c>
      <c r="C4668" s="13" t="str">
        <f>IFERROR(__xludf.DUMMYFUNCTION("""COMPUTED_VALUE"""),"M 6646/ TANJUNG SENANG")</f>
        <v>M 6646/ TANJUNG SENANG</v>
      </c>
      <c r="D4668" s="13" t="str">
        <f>IFERROR(__xludf.DUMMYFUNCTION("""COMPUTED_VALUE"""),"Abmlfdwp")</f>
        <v>Abmlfdwp</v>
      </c>
      <c r="E4668" s="14" t="str">
        <f>IFERROR(__xludf.DUMMYFUNCTION("""COMPUTED_VALUE"""),"Heri (BT)")</f>
        <v>Heri (BT)</v>
      </c>
      <c r="F4668" s="14" t="str">
        <f>IFERROR(__xludf.DUMMYFUNCTION("""COMPUTED_VALUE"""),"SELESAI (VIA PERMOHONAN)")</f>
        <v>SELESAI (VIA PERMOHONAN)</v>
      </c>
      <c r="G4668" s="17">
        <f>IFERROR(__xludf.DUMMYFUNCTION("""COMPUTED_VALUE"""),46006.38013829861)</f>
        <v>46006.38014</v>
      </c>
      <c r="H4668" s="14"/>
      <c r="I4668" s="13"/>
      <c r="J4668" s="17" t="str">
        <f>IFERROR(__xludf.DUMMYFUNCTION("""COMPUTED_VALUE"""),"")</f>
        <v/>
      </c>
      <c r="K4668" s="13" t="str">
        <f>IFERROR(__xludf.DUMMYFUNCTION("""COMPUTED_VALUE"""),"BT atau SU Belum Valid")</f>
        <v>BT atau SU Belum Valid</v>
      </c>
      <c r="L4668" s="13" t="str">
        <f>IFERROR(__xludf.DUMMYFUNCTION("""COMPUTED_VALUE"""),"")</f>
        <v/>
      </c>
      <c r="M4668" s="13"/>
      <c r="N4668" s="13" t="str">
        <f>IFERROR(__xludf.DUMMYFUNCTION("""COMPUTED_VALUE"""),"")</f>
        <v/>
      </c>
      <c r="O4668" s="13" t="str">
        <f t="shared" si="1"/>
        <v/>
      </c>
    </row>
    <row r="4669" ht="22.5" customHeight="1">
      <c r="B4669" s="13">
        <f>IFERROR(__xludf.DUMMYFUNCTION("""COMPUTED_VALUE"""),4664.0)</f>
        <v>4664</v>
      </c>
      <c r="C4669" s="13" t="str">
        <f>IFERROR(__xludf.DUMMYFUNCTION("""COMPUTED_VALUE"""),"B 350/ PERUMNAS WAY HALIM")</f>
        <v>B 350/ PERUMNAS WAY HALIM</v>
      </c>
      <c r="D4669" s="13" t="str">
        <f>IFERROR(__xludf.DUMMYFUNCTION("""COMPUTED_VALUE"""),"ABDGHUII")</f>
        <v>ABDGHUII</v>
      </c>
      <c r="E4669" s="14" t="str">
        <f>IFERROR(__xludf.DUMMYFUNCTION("""COMPUTED_VALUE"""),"Heri (BT)")</f>
        <v>Heri (BT)</v>
      </c>
      <c r="F4669" s="14" t="str">
        <f>IFERROR(__xludf.DUMMYFUNCTION("""COMPUTED_VALUE"""),"SELESAI (VIA PERMOHONAN)")</f>
        <v>SELESAI (VIA PERMOHONAN)</v>
      </c>
      <c r="G4669" s="17">
        <f>IFERROR(__xludf.DUMMYFUNCTION("""COMPUTED_VALUE"""),46006.38028576389)</f>
        <v>46006.38029</v>
      </c>
      <c r="H4669" s="14"/>
      <c r="I4669" s="13"/>
      <c r="J4669" s="17" t="str">
        <f>IFERROR(__xludf.DUMMYFUNCTION("""COMPUTED_VALUE"""),"")</f>
        <v/>
      </c>
      <c r="K4669" s="13" t="str">
        <f>IFERROR(__xludf.DUMMYFUNCTION("""COMPUTED_VALUE"""),"BT atau SU Belum Valid")</f>
        <v>BT atau SU Belum Valid</v>
      </c>
      <c r="L4669" s="13" t="str">
        <f>IFERROR(__xludf.DUMMYFUNCTION("""COMPUTED_VALUE"""),"")</f>
        <v/>
      </c>
      <c r="M4669" s="13"/>
      <c r="N4669" s="13" t="str">
        <f>IFERROR(__xludf.DUMMYFUNCTION("""COMPUTED_VALUE"""),"")</f>
        <v/>
      </c>
      <c r="O4669" s="13" t="str">
        <f t="shared" si="1"/>
        <v/>
      </c>
    </row>
    <row r="4670" ht="22.5" customHeight="1">
      <c r="B4670" s="13">
        <f>IFERROR(__xludf.DUMMYFUNCTION("""COMPUTED_VALUE"""),4665.0)</f>
        <v>4665</v>
      </c>
      <c r="C4670" s="13" t="str">
        <f>IFERROR(__xludf.DUMMYFUNCTION("""COMPUTED_VALUE"""),"M 853/ PERUMNAS WAY HALIM")</f>
        <v>M 853/ PERUMNAS WAY HALIM</v>
      </c>
      <c r="D4670" s="13" t="str">
        <f>IFERROR(__xludf.DUMMYFUNCTION("""COMPUTED_VALUE"""),"ABGETGHO")</f>
        <v>ABGETGHO</v>
      </c>
      <c r="E4670" s="14" t="str">
        <f>IFERROR(__xludf.DUMMYFUNCTION("""COMPUTED_VALUE"""),"Heri (BT)")</f>
        <v>Heri (BT)</v>
      </c>
      <c r="F4670" s="14" t="str">
        <f>IFERROR(__xludf.DUMMYFUNCTION("""COMPUTED_VALUE"""),"SELESAI (VIA PERMOHONAN)")</f>
        <v>SELESAI (VIA PERMOHONAN)</v>
      </c>
      <c r="G4670" s="17">
        <f>IFERROR(__xludf.DUMMYFUNCTION("""COMPUTED_VALUE"""),46006.38529523148)</f>
        <v>46006.3853</v>
      </c>
      <c r="H4670" s="14"/>
      <c r="I4670" s="13"/>
      <c r="J4670" s="17" t="str">
        <f>IFERROR(__xludf.DUMMYFUNCTION("""COMPUTED_VALUE"""),"")</f>
        <v/>
      </c>
      <c r="K4670" s="13" t="str">
        <f>IFERROR(__xludf.DUMMYFUNCTION("""COMPUTED_VALUE"""),"BT atau SU Belum Valid")</f>
        <v>BT atau SU Belum Valid</v>
      </c>
      <c r="L4670" s="13" t="str">
        <f>IFERROR(__xludf.DUMMYFUNCTION("""COMPUTED_VALUE"""),"")</f>
        <v/>
      </c>
      <c r="M4670" s="13"/>
      <c r="N4670" s="13" t="str">
        <f>IFERROR(__xludf.DUMMYFUNCTION("""COMPUTED_VALUE"""),"")</f>
        <v/>
      </c>
      <c r="O4670" s="13" t="str">
        <f t="shared" si="1"/>
        <v/>
      </c>
    </row>
    <row r="4671" ht="22.5" customHeight="1">
      <c r="B4671" s="13">
        <f>IFERROR(__xludf.DUMMYFUNCTION("""COMPUTED_VALUE"""),4666.0)</f>
        <v>4666</v>
      </c>
      <c r="C4671" s="13" t="str">
        <f>IFERROR(__xludf.DUMMYFUNCTION("""COMPUTED_VALUE"""),"Hm 1729/ Bumi Kedamaian")</f>
        <v>Hm 1729/ Bumi Kedamaian</v>
      </c>
      <c r="D4671" s="13" t="str">
        <f>IFERROR(__xludf.DUMMYFUNCTION("""COMPUTED_VALUE"""),"ABOWLGQZ")</f>
        <v>ABOWLGQZ</v>
      </c>
      <c r="E4671" s="14" t="str">
        <f>IFERROR(__xludf.DUMMYFUNCTION("""COMPUTED_VALUE"""),"Heri (BT)")</f>
        <v>Heri (BT)</v>
      </c>
      <c r="F4671" s="14" t="str">
        <f>IFERROR(__xludf.DUMMYFUNCTION("""COMPUTED_VALUE"""),"SELESAI (VIA PERMOHONAN)")</f>
        <v>SELESAI (VIA PERMOHONAN)</v>
      </c>
      <c r="G4671" s="17">
        <f>IFERROR(__xludf.DUMMYFUNCTION("""COMPUTED_VALUE"""),46006.385922824076)</f>
        <v>46006.38592</v>
      </c>
      <c r="H4671" s="14"/>
      <c r="I4671" s="13"/>
      <c r="J4671" s="17" t="str">
        <f>IFERROR(__xludf.DUMMYFUNCTION("""COMPUTED_VALUE"""),"")</f>
        <v/>
      </c>
      <c r="K4671" s="13" t="str">
        <f>IFERROR(__xludf.DUMMYFUNCTION("""COMPUTED_VALUE"""),"BT atau SU Belum Valid")</f>
        <v>BT atau SU Belum Valid</v>
      </c>
      <c r="L4671" s="13" t="str">
        <f>IFERROR(__xludf.DUMMYFUNCTION("""COMPUTED_VALUE"""),"")</f>
        <v/>
      </c>
      <c r="M4671" s="13"/>
      <c r="N4671" s="13" t="str">
        <f>IFERROR(__xludf.DUMMYFUNCTION("""COMPUTED_VALUE"""),"")</f>
        <v/>
      </c>
      <c r="O4671" s="13" t="str">
        <f t="shared" si="1"/>
        <v/>
      </c>
    </row>
    <row r="4672" ht="22.5" customHeight="1">
      <c r="B4672" s="13">
        <f>IFERROR(__xludf.DUMMYFUNCTION("""COMPUTED_VALUE"""),4667.0)</f>
        <v>4667</v>
      </c>
      <c r="C4672" s="13" t="str">
        <f>IFERROR(__xludf.DUMMYFUNCTION("""COMPUTED_VALUE"""),"B 139/ Gunung terang")</f>
        <v>B 139/ Gunung terang</v>
      </c>
      <c r="D4672" s="13" t="str">
        <f>IFERROR(__xludf.DUMMYFUNCTION("""COMPUTED_VALUE"""),"ABMNMUQV/1")</f>
        <v>ABMNMUQV/1</v>
      </c>
      <c r="E4672" s="14" t="str">
        <f>IFERROR(__xludf.DUMMYFUNCTION("""COMPUTED_VALUE"""),"Heri (BT)")</f>
        <v>Heri (BT)</v>
      </c>
      <c r="F4672" s="14" t="str">
        <f>IFERROR(__xludf.DUMMYFUNCTION("""COMPUTED_VALUE"""),"SELESAI (VIA PERMOHONAN)")</f>
        <v>SELESAI (VIA PERMOHONAN)</v>
      </c>
      <c r="G4672" s="17">
        <f>IFERROR(__xludf.DUMMYFUNCTION("""COMPUTED_VALUE"""),46006.386498148146)</f>
        <v>46006.3865</v>
      </c>
      <c r="H4672" s="14"/>
      <c r="I4672" s="13"/>
      <c r="J4672" s="17" t="str">
        <f>IFERROR(__xludf.DUMMYFUNCTION("""COMPUTED_VALUE"""),"")</f>
        <v/>
      </c>
      <c r="K4672" s="13" t="str">
        <f>IFERROR(__xludf.DUMMYFUNCTION("""COMPUTED_VALUE"""),"BT atau SU Belum Valid")</f>
        <v>BT atau SU Belum Valid</v>
      </c>
      <c r="L4672" s="13" t="str">
        <f>IFERROR(__xludf.DUMMYFUNCTION("""COMPUTED_VALUE"""),"")</f>
        <v/>
      </c>
      <c r="M4672" s="13"/>
      <c r="N4672" s="13" t="str">
        <f>IFERROR(__xludf.DUMMYFUNCTION("""COMPUTED_VALUE"""),"")</f>
        <v/>
      </c>
      <c r="O4672" s="13" t="str">
        <f t="shared" si="1"/>
        <v/>
      </c>
    </row>
    <row r="4673" ht="22.5" customHeight="1">
      <c r="B4673" s="13">
        <f>IFERROR(__xludf.DUMMYFUNCTION("""COMPUTED_VALUE"""),4668.0)</f>
        <v>4668</v>
      </c>
      <c r="C4673" s="13" t="str">
        <f>IFERROR(__xludf.DUMMYFUNCTION("""COMPUTED_VALUE"""),"M.1382/Pengajaran")</f>
        <v>M.1382/Pengajaran</v>
      </c>
      <c r="D4673" s="13" t="str">
        <f>IFERROR(__xludf.DUMMYFUNCTION("""COMPUTED_VALUE"""),"ABJTZRUT/AB005")</f>
        <v>ABJTZRUT/AB005</v>
      </c>
      <c r="E4673" s="14" t="str">
        <f>IFERROR(__xludf.DUMMYFUNCTION("""COMPUTED_VALUE"""),"Heri (BT)")</f>
        <v>Heri (BT)</v>
      </c>
      <c r="F4673" s="14" t="str">
        <f>IFERROR(__xludf.DUMMYFUNCTION("""COMPUTED_VALUE"""),"SELESAI (VIA PERMOHONAN)")</f>
        <v>SELESAI (VIA PERMOHONAN)</v>
      </c>
      <c r="G4673" s="17">
        <f>IFERROR(__xludf.DUMMYFUNCTION("""COMPUTED_VALUE"""),46006.386675625)</f>
        <v>46006.38668</v>
      </c>
      <c r="H4673" s="14"/>
      <c r="I4673" s="13"/>
      <c r="J4673" s="17" t="str">
        <f>IFERROR(__xludf.DUMMYFUNCTION("""COMPUTED_VALUE"""),"")</f>
        <v/>
      </c>
      <c r="K4673" s="13" t="str">
        <f>IFERROR(__xludf.DUMMYFUNCTION("""COMPUTED_VALUE"""),"BT atau SU Belum Valid")</f>
        <v>BT atau SU Belum Valid</v>
      </c>
      <c r="L4673" s="13" t="str">
        <f>IFERROR(__xludf.DUMMYFUNCTION("""COMPUTED_VALUE"""),"")</f>
        <v/>
      </c>
      <c r="M4673" s="13"/>
      <c r="N4673" s="13" t="str">
        <f>IFERROR(__xludf.DUMMYFUNCTION("""COMPUTED_VALUE"""),"")</f>
        <v/>
      </c>
      <c r="O4673" s="13" t="str">
        <f t="shared" si="1"/>
        <v/>
      </c>
    </row>
    <row r="4674" ht="22.5" customHeight="1">
      <c r="B4674" s="13">
        <f>IFERROR(__xludf.DUMMYFUNCTION("""COMPUTED_VALUE"""),4669.0)</f>
        <v>4669</v>
      </c>
      <c r="C4674" s="13" t="str">
        <f>IFERROR(__xludf.DUMMYFUNCTION("""COMPUTED_VALUE"""),"M. 4311/SUKADANA HAM")</f>
        <v>M. 4311/SUKADANA HAM</v>
      </c>
      <c r="D4674" s="13" t="str">
        <f>IFERROR(__xludf.DUMMYFUNCTION("""COMPUTED_VALUE"""),"ABIOTVMQ/AB005")</f>
        <v>ABIOTVMQ/AB005</v>
      </c>
      <c r="E4674" s="14" t="str">
        <f>IFERROR(__xludf.DUMMYFUNCTION("""COMPUTED_VALUE"""),"Heri (BT)")</f>
        <v>Heri (BT)</v>
      </c>
      <c r="F4674" s="14" t="str">
        <f>IFERROR(__xludf.DUMMYFUNCTION("""COMPUTED_VALUE"""),"SELESAI (VIA PERMOHONAN)")</f>
        <v>SELESAI (VIA PERMOHONAN)</v>
      </c>
      <c r="G4674" s="17">
        <f>IFERROR(__xludf.DUMMYFUNCTION("""COMPUTED_VALUE"""),46006.38733548611)</f>
        <v>46006.38734</v>
      </c>
      <c r="H4674" s="14"/>
      <c r="I4674" s="13"/>
      <c r="J4674" s="17" t="str">
        <f>IFERROR(__xludf.DUMMYFUNCTION("""COMPUTED_VALUE"""),"")</f>
        <v/>
      </c>
      <c r="K4674" s="13" t="str">
        <f>IFERROR(__xludf.DUMMYFUNCTION("""COMPUTED_VALUE"""),"BT atau SU Belum Valid")</f>
        <v>BT atau SU Belum Valid</v>
      </c>
      <c r="L4674" s="13" t="str">
        <f>IFERROR(__xludf.DUMMYFUNCTION("""COMPUTED_VALUE"""),"")</f>
        <v/>
      </c>
      <c r="M4674" s="13"/>
      <c r="N4674" s="13" t="str">
        <f>IFERROR(__xludf.DUMMYFUNCTION("""COMPUTED_VALUE"""),"")</f>
        <v/>
      </c>
      <c r="O4674" s="13" t="str">
        <f t="shared" si="1"/>
        <v/>
      </c>
    </row>
    <row r="4675" ht="22.5" customHeight="1">
      <c r="B4675" s="13">
        <f>IFERROR(__xludf.DUMMYFUNCTION("""COMPUTED_VALUE"""),4670.0)</f>
        <v>4670</v>
      </c>
      <c r="C4675" s="13" t="str">
        <f>IFERROR(__xludf.DUMMYFUNCTION("""COMPUTED_VALUE"""),"HGB 525/Rajabasa Nunyai")</f>
        <v>HGB 525/Rajabasa Nunyai</v>
      </c>
      <c r="D4675" s="13" t="str">
        <f>IFERROR(__xludf.DUMMYFUNCTION("""COMPUTED_VALUE"""),"Ab044/ABUFURCL")</f>
        <v>Ab044/ABUFURCL</v>
      </c>
      <c r="E4675" s="14" t="str">
        <f>IFERROR(__xludf.DUMMYFUNCTION("""COMPUTED_VALUE"""),"Heri (BT)")</f>
        <v>Heri (BT)</v>
      </c>
      <c r="F4675" s="14" t="str">
        <f>IFERROR(__xludf.DUMMYFUNCTION("""COMPUTED_VALUE"""),"SELESAI (VIA PERMOHONAN)")</f>
        <v>SELESAI (VIA PERMOHONAN)</v>
      </c>
      <c r="G4675" s="17">
        <f>IFERROR(__xludf.DUMMYFUNCTION("""COMPUTED_VALUE"""),46006.38778121528)</f>
        <v>46006.38778</v>
      </c>
      <c r="H4675" s="14"/>
      <c r="I4675" s="13"/>
      <c r="J4675" s="17" t="str">
        <f>IFERROR(__xludf.DUMMYFUNCTION("""COMPUTED_VALUE"""),"")</f>
        <v/>
      </c>
      <c r="K4675" s="13" t="str">
        <f>IFERROR(__xludf.DUMMYFUNCTION("""COMPUTED_VALUE"""),"BT atau SU Belum Valid")</f>
        <v>BT atau SU Belum Valid</v>
      </c>
      <c r="L4675" s="13" t="str">
        <f>IFERROR(__xludf.DUMMYFUNCTION("""COMPUTED_VALUE"""),"")</f>
        <v/>
      </c>
      <c r="M4675" s="13"/>
      <c r="N4675" s="13" t="str">
        <f>IFERROR(__xludf.DUMMYFUNCTION("""COMPUTED_VALUE"""),"")</f>
        <v/>
      </c>
      <c r="O4675" s="13" t="str">
        <f t="shared" si="1"/>
        <v/>
      </c>
    </row>
    <row r="4676" ht="22.5" customHeight="1">
      <c r="B4676" s="13">
        <f>IFERROR(__xludf.DUMMYFUNCTION("""COMPUTED_VALUE"""),4671.0)</f>
        <v>4671</v>
      </c>
      <c r="C4676" s="13" t="str">
        <f>IFERROR(__xludf.DUMMYFUNCTION("""COMPUTED_VALUE"""),"m 8255/ sukabumi")</f>
        <v>m 8255/ sukabumi</v>
      </c>
      <c r="D4676" s="13" t="str">
        <f>IFERROR(__xludf.DUMMYFUNCTION("""COMPUTED_VALUE"""),"ABQDVJOG")</f>
        <v>ABQDVJOG</v>
      </c>
      <c r="E4676" s="14" t="str">
        <f>IFERROR(__xludf.DUMMYFUNCTION("""COMPUTED_VALUE"""),"Heri (BT)")</f>
        <v>Heri (BT)</v>
      </c>
      <c r="F4676" s="14" t="str">
        <f>IFERROR(__xludf.DUMMYFUNCTION("""COMPUTED_VALUE"""),"SELESAI (VIA PERMOHONAN)")</f>
        <v>SELESAI (VIA PERMOHONAN)</v>
      </c>
      <c r="G4676" s="17">
        <f>IFERROR(__xludf.DUMMYFUNCTION("""COMPUTED_VALUE"""),46006.390882974534)</f>
        <v>46006.39088</v>
      </c>
      <c r="H4676" s="14"/>
      <c r="I4676" s="13"/>
      <c r="J4676" s="17" t="str">
        <f>IFERROR(__xludf.DUMMYFUNCTION("""COMPUTED_VALUE"""),"")</f>
        <v/>
      </c>
      <c r="K4676" s="13" t="str">
        <f>IFERROR(__xludf.DUMMYFUNCTION("""COMPUTED_VALUE"""),"BT atau SU Belum Valid")</f>
        <v>BT atau SU Belum Valid</v>
      </c>
      <c r="L4676" s="13" t="str">
        <f>IFERROR(__xludf.DUMMYFUNCTION("""COMPUTED_VALUE"""),"")</f>
        <v/>
      </c>
      <c r="M4676" s="13"/>
      <c r="N4676" s="13" t="str">
        <f>IFERROR(__xludf.DUMMYFUNCTION("""COMPUTED_VALUE"""),"")</f>
        <v/>
      </c>
      <c r="O4676" s="13" t="str">
        <f t="shared" si="1"/>
        <v/>
      </c>
    </row>
    <row r="4677" ht="22.5" customHeight="1">
      <c r="B4677" s="13">
        <f>IFERROR(__xludf.DUMMYFUNCTION("""COMPUTED_VALUE"""),4672.0)</f>
        <v>4672</v>
      </c>
      <c r="C4677" s="13" t="str">
        <f>IFERROR(__xludf.DUMMYFUNCTION("""COMPUTED_VALUE"""),"M 1880/ RAJABASA JAYA")</f>
        <v>M 1880/ RAJABASA JAYA</v>
      </c>
      <c r="D4677" s="13" t="str">
        <f>IFERROR(__xludf.DUMMYFUNCTION("""COMPUTED_VALUE"""),"Abeafump")</f>
        <v>Abeafump</v>
      </c>
      <c r="E4677" s="14" t="str">
        <f>IFERROR(__xludf.DUMMYFUNCTION("""COMPUTED_VALUE"""),"Heri (BT)")</f>
        <v>Heri (BT)</v>
      </c>
      <c r="F4677" s="14" t="str">
        <f>IFERROR(__xludf.DUMMYFUNCTION("""COMPUTED_VALUE"""),"SELESAI (VIA PERMOHONAN)")</f>
        <v>SELESAI (VIA PERMOHONAN)</v>
      </c>
      <c r="G4677" s="17">
        <f>IFERROR(__xludf.DUMMYFUNCTION("""COMPUTED_VALUE"""),46006.391850995366)</f>
        <v>46006.39185</v>
      </c>
      <c r="H4677" s="14"/>
      <c r="I4677" s="13"/>
      <c r="J4677" s="17" t="str">
        <f>IFERROR(__xludf.DUMMYFUNCTION("""COMPUTED_VALUE"""),"")</f>
        <v/>
      </c>
      <c r="K4677" s="13" t="str">
        <f>IFERROR(__xludf.DUMMYFUNCTION("""COMPUTED_VALUE"""),"BT atau SU Belum Valid")</f>
        <v>BT atau SU Belum Valid</v>
      </c>
      <c r="L4677" s="13" t="str">
        <f>IFERROR(__xludf.DUMMYFUNCTION("""COMPUTED_VALUE"""),"")</f>
        <v/>
      </c>
      <c r="M4677" s="13"/>
      <c r="N4677" s="13" t="str">
        <f>IFERROR(__xludf.DUMMYFUNCTION("""COMPUTED_VALUE"""),"")</f>
        <v/>
      </c>
      <c r="O4677" s="13" t="str">
        <f t="shared" si="1"/>
        <v/>
      </c>
    </row>
    <row r="4678" ht="22.5" customHeight="1">
      <c r="B4678" s="13">
        <f>IFERROR(__xludf.DUMMYFUNCTION("""COMPUTED_VALUE"""),4673.0)</f>
        <v>4673</v>
      </c>
      <c r="C4678" s="13" t="str">
        <f>IFERROR(__xludf.DUMMYFUNCTION("""COMPUTED_VALUE"""),"M 612/ korpri raya")</f>
        <v>M 612/ korpri raya</v>
      </c>
      <c r="D4678" s="13" t="str">
        <f>IFERROR(__xludf.DUMMYFUNCTION("""COMPUTED_VALUE"""),"ABFHDGML")</f>
        <v>ABFHDGML</v>
      </c>
      <c r="E4678" s="14" t="str">
        <f>IFERROR(__xludf.DUMMYFUNCTION("""COMPUTED_VALUE"""),"Heri (BT)")</f>
        <v>Heri (BT)</v>
      </c>
      <c r="F4678" s="14" t="str">
        <f>IFERROR(__xludf.DUMMYFUNCTION("""COMPUTED_VALUE"""),"SELESAI (VIA PERMOHONAN)")</f>
        <v>SELESAI (VIA PERMOHONAN)</v>
      </c>
      <c r="G4678" s="17">
        <f>IFERROR(__xludf.DUMMYFUNCTION("""COMPUTED_VALUE"""),46006.39213467593)</f>
        <v>46006.39213</v>
      </c>
      <c r="H4678" s="14"/>
      <c r="I4678" s="13"/>
      <c r="J4678" s="17" t="str">
        <f>IFERROR(__xludf.DUMMYFUNCTION("""COMPUTED_VALUE"""),"")</f>
        <v/>
      </c>
      <c r="K4678" s="13" t="str">
        <f>IFERROR(__xludf.DUMMYFUNCTION("""COMPUTED_VALUE"""),"BT atau SU Belum Valid")</f>
        <v>BT atau SU Belum Valid</v>
      </c>
      <c r="L4678" s="13" t="str">
        <f>IFERROR(__xludf.DUMMYFUNCTION("""COMPUTED_VALUE"""),"")</f>
        <v/>
      </c>
      <c r="M4678" s="13"/>
      <c r="N4678" s="13" t="str">
        <f>IFERROR(__xludf.DUMMYFUNCTION("""COMPUTED_VALUE"""),"")</f>
        <v/>
      </c>
      <c r="O4678" s="13" t="str">
        <f t="shared" si="1"/>
        <v/>
      </c>
    </row>
    <row r="4679" ht="22.5" customHeight="1">
      <c r="B4679" s="13">
        <f>IFERROR(__xludf.DUMMYFUNCTION("""COMPUTED_VALUE"""),4674.0)</f>
        <v>4674</v>
      </c>
      <c r="C4679" s="13" t="str">
        <f>IFERROR(__xludf.DUMMYFUNCTION("""COMPUTED_VALUE"""),"M.237/Ps")</f>
        <v>M.237/Ps</v>
      </c>
      <c r="D4679" s="13" t="str">
        <f>IFERROR(__xludf.DUMMYFUNCTION("""COMPUTED_VALUE"""),"ZGRMUCU")</f>
        <v>ZGRMUCU</v>
      </c>
      <c r="E4679" s="14" t="str">
        <f>IFERROR(__xludf.DUMMYFUNCTION("""COMPUTED_VALUE"""),"Heri (BT)")</f>
        <v>Heri (BT)</v>
      </c>
      <c r="F4679" s="14" t="str">
        <f>IFERROR(__xludf.DUMMYFUNCTION("""COMPUTED_VALUE"""),"SELESAI (VIA PERMOHONAN)")</f>
        <v>SELESAI (VIA PERMOHONAN)</v>
      </c>
      <c r="G4679" s="17">
        <f>IFERROR(__xludf.DUMMYFUNCTION("""COMPUTED_VALUE"""),46006.39239114583)</f>
        <v>46006.39239</v>
      </c>
      <c r="H4679" s="14"/>
      <c r="I4679" s="13"/>
      <c r="J4679" s="17" t="str">
        <f>IFERROR(__xludf.DUMMYFUNCTION("""COMPUTED_VALUE"""),"")</f>
        <v/>
      </c>
      <c r="K4679" s="13" t="str">
        <f>IFERROR(__xludf.DUMMYFUNCTION("""COMPUTED_VALUE"""),"BT atau SU Belum Valid")</f>
        <v>BT atau SU Belum Valid</v>
      </c>
      <c r="L4679" s="13" t="str">
        <f>IFERROR(__xludf.DUMMYFUNCTION("""COMPUTED_VALUE"""),"")</f>
        <v/>
      </c>
      <c r="M4679" s="13"/>
      <c r="N4679" s="13" t="str">
        <f>IFERROR(__xludf.DUMMYFUNCTION("""COMPUTED_VALUE"""),"")</f>
        <v/>
      </c>
      <c r="O4679" s="13" t="str">
        <f t="shared" si="1"/>
        <v/>
      </c>
    </row>
    <row r="4680" ht="22.5" customHeight="1">
      <c r="B4680" s="13">
        <f>IFERROR(__xludf.DUMMYFUNCTION("""COMPUTED_VALUE"""),4675.0)</f>
        <v>4675</v>
      </c>
      <c r="C4680" s="13" t="str">
        <f>IFERROR(__xludf.DUMMYFUNCTION("""COMPUTED_VALUE"""),"M.7561/Surabaya")</f>
        <v>M.7561/Surabaya</v>
      </c>
      <c r="D4680" s="13" t="str">
        <f>IFERROR(__xludf.DUMMYFUNCTION("""COMPUTED_VALUE"""),"ABDKZGLX/AB036")</f>
        <v>ABDKZGLX/AB036</v>
      </c>
      <c r="E4680" s="14" t="str">
        <f>IFERROR(__xludf.DUMMYFUNCTION("""COMPUTED_VALUE"""),"Heri (BT)")</f>
        <v>Heri (BT)</v>
      </c>
      <c r="F4680" s="14" t="str">
        <f>IFERROR(__xludf.DUMMYFUNCTION("""COMPUTED_VALUE"""),"SELESAI (VIA PERMOHONAN)")</f>
        <v>SELESAI (VIA PERMOHONAN)</v>
      </c>
      <c r="G4680" s="17">
        <f>IFERROR(__xludf.DUMMYFUNCTION("""COMPUTED_VALUE"""),46006.39266769676)</f>
        <v>46006.39267</v>
      </c>
      <c r="H4680" s="14"/>
      <c r="I4680" s="13"/>
      <c r="J4680" s="17" t="str">
        <f>IFERROR(__xludf.DUMMYFUNCTION("""COMPUTED_VALUE"""),"")</f>
        <v/>
      </c>
      <c r="K4680" s="13" t="str">
        <f>IFERROR(__xludf.DUMMYFUNCTION("""COMPUTED_VALUE"""),"BT atau SU Belum Valid")</f>
        <v>BT atau SU Belum Valid</v>
      </c>
      <c r="L4680" s="13" t="str">
        <f>IFERROR(__xludf.DUMMYFUNCTION("""COMPUTED_VALUE"""),"")</f>
        <v/>
      </c>
      <c r="M4680" s="13"/>
      <c r="N4680" s="13" t="str">
        <f>IFERROR(__xludf.DUMMYFUNCTION("""COMPUTED_VALUE"""),"")</f>
        <v/>
      </c>
      <c r="O4680" s="13" t="str">
        <f t="shared" si="1"/>
        <v/>
      </c>
    </row>
    <row r="4681" ht="22.5" customHeight="1">
      <c r="B4681" s="13">
        <f>IFERROR(__xludf.DUMMYFUNCTION("""COMPUTED_VALUE"""),4676.0)</f>
        <v>4676</v>
      </c>
      <c r="C4681" s="13" t="str">
        <f>IFERROR(__xludf.DUMMYFUNCTION("""COMPUTED_VALUE"""),"B. 355/ Negeri Olok Gading")</f>
        <v>B. 355/ Negeri Olok Gading</v>
      </c>
      <c r="D4681" s="13" t="str">
        <f>IFERROR(__xludf.DUMMYFUNCTION("""COMPUTED_VALUE"""),"K/12/220725/1")</f>
        <v>K/12/220725/1</v>
      </c>
      <c r="E4681" s="14" t="str">
        <f>IFERROR(__xludf.DUMMYFUNCTION("""COMPUTED_VALUE"""),"Heri (BT)")</f>
        <v>Heri (BT)</v>
      </c>
      <c r="F4681" s="14" t="str">
        <f>IFERROR(__xludf.DUMMYFUNCTION("""COMPUTED_VALUE"""),"SELESAI (VIA PERMOHONAN)")</f>
        <v>SELESAI (VIA PERMOHONAN)</v>
      </c>
      <c r="G4681" s="17">
        <f>IFERROR(__xludf.DUMMYFUNCTION("""COMPUTED_VALUE"""),46007.422687071754)</f>
        <v>46007.42269</v>
      </c>
      <c r="H4681" s="14"/>
      <c r="I4681" s="13"/>
      <c r="J4681" s="17" t="str">
        <f>IFERROR(__xludf.DUMMYFUNCTION("""COMPUTED_VALUE"""),"")</f>
        <v/>
      </c>
      <c r="K4681" s="13" t="str">
        <f>IFERROR(__xludf.DUMMYFUNCTION("""COMPUTED_VALUE"""),"BT atau SU Belum Valid")</f>
        <v>BT atau SU Belum Valid</v>
      </c>
      <c r="L4681" s="13" t="str">
        <f>IFERROR(__xludf.DUMMYFUNCTION("""COMPUTED_VALUE"""),"")</f>
        <v/>
      </c>
      <c r="M4681" s="13"/>
      <c r="N4681" s="13" t="str">
        <f>IFERROR(__xludf.DUMMYFUNCTION("""COMPUTED_VALUE"""),"")</f>
        <v/>
      </c>
      <c r="O4681" s="13" t="str">
        <f t="shared" si="1"/>
        <v/>
      </c>
    </row>
    <row r="4682" ht="22.5" customHeight="1">
      <c r="B4682" s="13">
        <f>IFERROR(__xludf.DUMMYFUNCTION("""COMPUTED_VALUE"""),4677.0)</f>
        <v>4677</v>
      </c>
      <c r="C4682" s="13" t="str">
        <f>IFERROR(__xludf.DUMMYFUNCTION("""COMPUTED_VALUE"""),"M 96/Rj.j dan 149/Rj.j")</f>
        <v>M 96/Rj.j dan 149/Rj.j</v>
      </c>
      <c r="D4682" s="13" t="str">
        <f>IFERROR(__xludf.DUMMYFUNCTION("""COMPUTED_VALUE"""),"ABEAIURB")</f>
        <v>ABEAIURB</v>
      </c>
      <c r="E4682" s="14" t="str">
        <f>IFERROR(__xludf.DUMMYFUNCTION("""COMPUTED_VALUE"""),"Heri (BT)")</f>
        <v>Heri (BT)</v>
      </c>
      <c r="F4682" s="14" t="str">
        <f>IFERROR(__xludf.DUMMYFUNCTION("""COMPUTED_VALUE"""),"SELESAI (VIA PERMOHONAN)")</f>
        <v>SELESAI (VIA PERMOHONAN)</v>
      </c>
      <c r="G4682" s="17">
        <f>IFERROR(__xludf.DUMMYFUNCTION("""COMPUTED_VALUE"""),46007.422700034724)</f>
        <v>46007.4227</v>
      </c>
      <c r="H4682" s="14"/>
      <c r="I4682" s="13"/>
      <c r="J4682" s="17" t="str">
        <f>IFERROR(__xludf.DUMMYFUNCTION("""COMPUTED_VALUE"""),"")</f>
        <v/>
      </c>
      <c r="K4682" s="13" t="str">
        <f>IFERROR(__xludf.DUMMYFUNCTION("""COMPUTED_VALUE"""),"BT atau SU Belum Valid")</f>
        <v>BT atau SU Belum Valid</v>
      </c>
      <c r="L4682" s="13" t="str">
        <f>IFERROR(__xludf.DUMMYFUNCTION("""COMPUTED_VALUE"""),"")</f>
        <v/>
      </c>
      <c r="M4682" s="13"/>
      <c r="N4682" s="13" t="str">
        <f>IFERROR(__xludf.DUMMYFUNCTION("""COMPUTED_VALUE"""),"")</f>
        <v/>
      </c>
      <c r="O4682" s="13" t="str">
        <f t="shared" si="1"/>
        <v/>
      </c>
    </row>
    <row r="4683" ht="22.5" customHeight="1">
      <c r="B4683" s="13">
        <f>IFERROR(__xludf.DUMMYFUNCTION("""COMPUTED_VALUE"""),4678.0)</f>
        <v>4678</v>
      </c>
      <c r="C4683" s="13" t="str">
        <f>IFERROR(__xludf.DUMMYFUNCTION("""COMPUTED_VALUE"""),"M. 10070/JAGABAYA II")</f>
        <v>M. 10070/JAGABAYA II</v>
      </c>
      <c r="D4683" s="13" t="str">
        <f>IFERROR(__xludf.DUMMYFUNCTION("""COMPUTED_VALUE"""),"K/32/200825/1")</f>
        <v>K/32/200825/1</v>
      </c>
      <c r="E4683" s="14" t="str">
        <f>IFERROR(__xludf.DUMMYFUNCTION("""COMPUTED_VALUE"""),"Heri (BT)")</f>
        <v>Heri (BT)</v>
      </c>
      <c r="F4683" s="14" t="str">
        <f>IFERROR(__xludf.DUMMYFUNCTION("""COMPUTED_VALUE"""),"SELESAI (VIA PERMOHONAN)")</f>
        <v>SELESAI (VIA PERMOHONAN)</v>
      </c>
      <c r="G4683" s="17">
        <f>IFERROR(__xludf.DUMMYFUNCTION("""COMPUTED_VALUE"""),46007.42272287037)</f>
        <v>46007.42272</v>
      </c>
      <c r="H4683" s="14"/>
      <c r="I4683" s="13"/>
      <c r="J4683" s="17" t="str">
        <f>IFERROR(__xludf.DUMMYFUNCTION("""COMPUTED_VALUE"""),"")</f>
        <v/>
      </c>
      <c r="K4683" s="13" t="str">
        <f>IFERROR(__xludf.DUMMYFUNCTION("""COMPUTED_VALUE"""),"BT atau SU Belum Valid")</f>
        <v>BT atau SU Belum Valid</v>
      </c>
      <c r="L4683" s="13" t="str">
        <f>IFERROR(__xludf.DUMMYFUNCTION("""COMPUTED_VALUE"""),"")</f>
        <v/>
      </c>
      <c r="M4683" s="13"/>
      <c r="N4683" s="13" t="str">
        <f>IFERROR(__xludf.DUMMYFUNCTION("""COMPUTED_VALUE"""),"")</f>
        <v/>
      </c>
      <c r="O4683" s="13" t="str">
        <f t="shared" si="1"/>
        <v/>
      </c>
    </row>
    <row r="4684" ht="22.5" customHeight="1">
      <c r="B4684" s="13">
        <f>IFERROR(__xludf.DUMMYFUNCTION("""COMPUTED_VALUE"""),4679.0)</f>
        <v>4679</v>
      </c>
      <c r="C4684" s="13" t="str">
        <f>IFERROR(__xludf.DUMMYFUNCTION("""COMPUTED_VALUE"""),"M 236/ GUNUNG TERANG")</f>
        <v>M 236/ GUNUNG TERANG</v>
      </c>
      <c r="D4684" s="13" t="str">
        <f>IFERROR(__xludf.DUMMYFUNCTION("""COMPUTED_VALUE"""),"K/28/081025/1")</f>
        <v>K/28/081025/1</v>
      </c>
      <c r="E4684" s="14" t="str">
        <f>IFERROR(__xludf.DUMMYFUNCTION("""COMPUTED_VALUE"""),"Heri (BT)")</f>
        <v>Heri (BT)</v>
      </c>
      <c r="F4684" s="14" t="str">
        <f>IFERROR(__xludf.DUMMYFUNCTION("""COMPUTED_VALUE"""),"SELESAI (VIA PERMOHONAN)")</f>
        <v>SELESAI (VIA PERMOHONAN)</v>
      </c>
      <c r="G4684" s="17">
        <f>IFERROR(__xludf.DUMMYFUNCTION("""COMPUTED_VALUE"""),46007.42300189815)</f>
        <v>46007.423</v>
      </c>
      <c r="H4684" s="14"/>
      <c r="I4684" s="13"/>
      <c r="J4684" s="17" t="str">
        <f>IFERROR(__xludf.DUMMYFUNCTION("""COMPUTED_VALUE"""),"")</f>
        <v/>
      </c>
      <c r="K4684" s="13" t="str">
        <f>IFERROR(__xludf.DUMMYFUNCTION("""COMPUTED_VALUE"""),"BT atau SU Belum Valid")</f>
        <v>BT atau SU Belum Valid</v>
      </c>
      <c r="L4684" s="13" t="str">
        <f>IFERROR(__xludf.DUMMYFUNCTION("""COMPUTED_VALUE"""),"")</f>
        <v/>
      </c>
      <c r="M4684" s="13"/>
      <c r="N4684" s="13" t="str">
        <f>IFERROR(__xludf.DUMMYFUNCTION("""COMPUTED_VALUE"""),"")</f>
        <v/>
      </c>
      <c r="O4684" s="13" t="str">
        <f t="shared" si="1"/>
        <v/>
      </c>
    </row>
    <row r="4685" ht="22.5" customHeight="1">
      <c r="B4685" s="13">
        <f>IFERROR(__xludf.DUMMYFUNCTION("""COMPUTED_VALUE"""),4680.0)</f>
        <v>4680</v>
      </c>
      <c r="C4685" s="13" t="str">
        <f>IFERROR(__xludf.DUMMYFUNCTION("""COMPUTED_VALUE"""),"M. 2980/KUPANG TEBA")</f>
        <v>M. 2980/KUPANG TEBA</v>
      </c>
      <c r="D4685" s="13" t="str">
        <f>IFERROR(__xludf.DUMMYFUNCTION("""COMPUTED_VALUE"""),"K/19/101025/1")</f>
        <v>K/19/101025/1</v>
      </c>
      <c r="E4685" s="14" t="str">
        <f>IFERROR(__xludf.DUMMYFUNCTION("""COMPUTED_VALUE"""),"Heri (BT)")</f>
        <v>Heri (BT)</v>
      </c>
      <c r="F4685" s="14" t="str">
        <f>IFERROR(__xludf.DUMMYFUNCTION("""COMPUTED_VALUE"""),"SELESAI (VIA PERMOHONAN)")</f>
        <v>SELESAI (VIA PERMOHONAN)</v>
      </c>
      <c r="G4685" s="17">
        <f>IFERROR(__xludf.DUMMYFUNCTION("""COMPUTED_VALUE"""),46007.42473585648)</f>
        <v>46007.42474</v>
      </c>
      <c r="H4685" s="14"/>
      <c r="I4685" s="13"/>
      <c r="J4685" s="17" t="str">
        <f>IFERROR(__xludf.DUMMYFUNCTION("""COMPUTED_VALUE"""),"")</f>
        <v/>
      </c>
      <c r="K4685" s="13" t="str">
        <f>IFERROR(__xludf.DUMMYFUNCTION("""COMPUTED_VALUE"""),"BT atau SU Belum Valid")</f>
        <v>BT atau SU Belum Valid</v>
      </c>
      <c r="L4685" s="13" t="str">
        <f>IFERROR(__xludf.DUMMYFUNCTION("""COMPUTED_VALUE"""),"")</f>
        <v/>
      </c>
      <c r="M4685" s="13"/>
      <c r="N4685" s="13" t="str">
        <f>IFERROR(__xludf.DUMMYFUNCTION("""COMPUTED_VALUE"""),"")</f>
        <v/>
      </c>
      <c r="O4685" s="13" t="str">
        <f t="shared" si="1"/>
        <v/>
      </c>
    </row>
    <row r="4686" ht="22.5" customHeight="1">
      <c r="B4686" s="13">
        <f>IFERROR(__xludf.DUMMYFUNCTION("""COMPUTED_VALUE"""),4681.0)</f>
        <v>4681</v>
      </c>
      <c r="C4686" s="13" t="str">
        <f>IFERROR(__xludf.DUMMYFUNCTION("""COMPUTED_VALUE"""),"M. 1152/korpri Jaya")</f>
        <v>M. 1152/korpri Jaya</v>
      </c>
      <c r="D4686" s="13" t="str">
        <f>IFERROR(__xludf.DUMMYFUNCTION("""COMPUTED_VALUE"""),"ABZFMLQIL/AB030")</f>
        <v>ABZFMLQIL/AB030</v>
      </c>
      <c r="E4686" s="14" t="str">
        <f>IFERROR(__xludf.DUMMYFUNCTION("""COMPUTED_VALUE"""),"Heri (BT)")</f>
        <v>Heri (BT)</v>
      </c>
      <c r="F4686" s="14" t="str">
        <f>IFERROR(__xludf.DUMMYFUNCTION("""COMPUTED_VALUE"""),"SELESAI (VIA PERMOHONAN)")</f>
        <v>SELESAI (VIA PERMOHONAN)</v>
      </c>
      <c r="G4686" s="17">
        <f>IFERROR(__xludf.DUMMYFUNCTION("""COMPUTED_VALUE"""),46008.454621122684)</f>
        <v>46008.45462</v>
      </c>
      <c r="H4686" s="14"/>
      <c r="I4686" s="13"/>
      <c r="J4686" s="17" t="str">
        <f>IFERROR(__xludf.DUMMYFUNCTION("""COMPUTED_VALUE"""),"")</f>
        <v/>
      </c>
      <c r="K4686" s="13" t="str">
        <f>IFERROR(__xludf.DUMMYFUNCTION("""COMPUTED_VALUE"""),"BT atau SU Belum Valid")</f>
        <v>BT atau SU Belum Valid</v>
      </c>
      <c r="L4686" s="13" t="str">
        <f>IFERROR(__xludf.DUMMYFUNCTION("""COMPUTED_VALUE"""),"")</f>
        <v/>
      </c>
      <c r="M4686" s="13"/>
      <c r="N4686" s="13" t="str">
        <f>IFERROR(__xludf.DUMMYFUNCTION("""COMPUTED_VALUE"""),"")</f>
        <v/>
      </c>
      <c r="O4686" s="13" t="str">
        <f t="shared" si="1"/>
        <v/>
      </c>
    </row>
    <row r="4687" ht="22.5" customHeight="1">
      <c r="B4687" s="13">
        <f>IFERROR(__xludf.DUMMYFUNCTION("""COMPUTED_VALUE"""),4682.0)</f>
        <v>4682</v>
      </c>
      <c r="C4687" s="13" t="str">
        <f>IFERROR(__xludf.DUMMYFUNCTION("""COMPUTED_VALUE"""),"M. 311/Gunung Sulah")</f>
        <v>M. 311/Gunung Sulah</v>
      </c>
      <c r="D4687" s="13" t="str">
        <f>IFERROR(__xludf.DUMMYFUNCTION("""COMPUTED_VALUE"""),"ABJSCYMQ/AB023")</f>
        <v>ABJSCYMQ/AB023</v>
      </c>
      <c r="E4687" s="14" t="str">
        <f>IFERROR(__xludf.DUMMYFUNCTION("""COMPUTED_VALUE"""),"Heri (BT)")</f>
        <v>Heri (BT)</v>
      </c>
      <c r="F4687" s="14" t="str">
        <f>IFERROR(__xludf.DUMMYFUNCTION("""COMPUTED_VALUE"""),"SELESAI (VIA PERMOHONAN)")</f>
        <v>SELESAI (VIA PERMOHONAN)</v>
      </c>
      <c r="G4687" s="17">
        <f>IFERROR(__xludf.DUMMYFUNCTION("""COMPUTED_VALUE"""),46008.454621122684)</f>
        <v>46008.45462</v>
      </c>
      <c r="H4687" s="14"/>
      <c r="I4687" s="13"/>
      <c r="J4687" s="17" t="str">
        <f>IFERROR(__xludf.DUMMYFUNCTION("""COMPUTED_VALUE"""),"")</f>
        <v/>
      </c>
      <c r="K4687" s="13" t="str">
        <f>IFERROR(__xludf.DUMMYFUNCTION("""COMPUTED_VALUE"""),"BT atau SU Belum Valid")</f>
        <v>BT atau SU Belum Valid</v>
      </c>
      <c r="L4687" s="13" t="str">
        <f>IFERROR(__xludf.DUMMYFUNCTION("""COMPUTED_VALUE"""),"")</f>
        <v/>
      </c>
      <c r="M4687" s="13"/>
      <c r="N4687" s="13" t="str">
        <f>IFERROR(__xludf.DUMMYFUNCTION("""COMPUTED_VALUE"""),"")</f>
        <v/>
      </c>
      <c r="O4687" s="13" t="str">
        <f t="shared" si="1"/>
        <v/>
      </c>
    </row>
    <row r="4688" ht="22.5" customHeight="1">
      <c r="B4688" s="13">
        <f>IFERROR(__xludf.DUMMYFUNCTION("""COMPUTED_VALUE"""),4683.0)</f>
        <v>4683</v>
      </c>
      <c r="C4688" s="13" t="str">
        <f>IFERROR(__xludf.DUMMYFUNCTION("""COMPUTED_VALUE"""),"M. 968/Pelita")</f>
        <v>M. 968/Pelita</v>
      </c>
      <c r="D4688" s="13" t="str">
        <f>IFERROR(__xludf.DUMMYFUNCTION("""COMPUTED_VALUE"""),"ABBVJGBZ/AB049")</f>
        <v>ABBVJGBZ/AB049</v>
      </c>
      <c r="E4688" s="14" t="str">
        <f>IFERROR(__xludf.DUMMYFUNCTION("""COMPUTED_VALUE"""),"Heri (BT)")</f>
        <v>Heri (BT)</v>
      </c>
      <c r="F4688" s="14" t="str">
        <f>IFERROR(__xludf.DUMMYFUNCTION("""COMPUTED_VALUE"""),"SELESAI (VIA PERMOHONAN)")</f>
        <v>SELESAI (VIA PERMOHONAN)</v>
      </c>
      <c r="G4688" s="17">
        <f>IFERROR(__xludf.DUMMYFUNCTION("""COMPUTED_VALUE"""),46008.454621122684)</f>
        <v>46008.45462</v>
      </c>
      <c r="H4688" s="14"/>
      <c r="I4688" s="13"/>
      <c r="J4688" s="17" t="str">
        <f>IFERROR(__xludf.DUMMYFUNCTION("""COMPUTED_VALUE"""),"")</f>
        <v/>
      </c>
      <c r="K4688" s="13" t="str">
        <f>IFERROR(__xludf.DUMMYFUNCTION("""COMPUTED_VALUE"""),"BT atau SU Belum Valid")</f>
        <v>BT atau SU Belum Valid</v>
      </c>
      <c r="L4688" s="13" t="str">
        <f>IFERROR(__xludf.DUMMYFUNCTION("""COMPUTED_VALUE"""),"")</f>
        <v/>
      </c>
      <c r="M4688" s="13"/>
      <c r="N4688" s="13" t="str">
        <f>IFERROR(__xludf.DUMMYFUNCTION("""COMPUTED_VALUE"""),"")</f>
        <v/>
      </c>
      <c r="O4688" s="13" t="str">
        <f t="shared" si="1"/>
        <v/>
      </c>
    </row>
    <row r="4689" ht="22.5" customHeight="1">
      <c r="B4689" s="13">
        <f>IFERROR(__xludf.DUMMYFUNCTION("""COMPUTED_VALUE"""),4684.0)</f>
        <v>4684</v>
      </c>
      <c r="C4689" s="13" t="str">
        <f>IFERROR(__xludf.DUMMYFUNCTION("""COMPUTED_VALUE"""),"M 2627/Sukarame II")</f>
        <v>M 2627/Sukarame II</v>
      </c>
      <c r="D4689" s="13" t="str">
        <f>IFERROR(__xludf.DUMMYFUNCTION("""COMPUTED_VALUE"""),"ABJJTFES/AB078")</f>
        <v>ABJJTFES/AB078</v>
      </c>
      <c r="E4689" s="14" t="str">
        <f>IFERROR(__xludf.DUMMYFUNCTION("""COMPUTED_VALUE"""),"Heri (BT)")</f>
        <v>Heri (BT)</v>
      </c>
      <c r="F4689" s="14" t="str">
        <f>IFERROR(__xludf.DUMMYFUNCTION("""COMPUTED_VALUE"""),"SELESAI (VIA PERMOHONAN)")</f>
        <v>SELESAI (VIA PERMOHONAN)</v>
      </c>
      <c r="G4689" s="17">
        <f>IFERROR(__xludf.DUMMYFUNCTION("""COMPUTED_VALUE"""),46008.454621122684)</f>
        <v>46008.45462</v>
      </c>
      <c r="H4689" s="14"/>
      <c r="I4689" s="13"/>
      <c r="J4689" s="17" t="str">
        <f>IFERROR(__xludf.DUMMYFUNCTION("""COMPUTED_VALUE"""),"")</f>
        <v/>
      </c>
      <c r="K4689" s="13" t="str">
        <f>IFERROR(__xludf.DUMMYFUNCTION("""COMPUTED_VALUE"""),"BT atau SU Belum Valid")</f>
        <v>BT atau SU Belum Valid</v>
      </c>
      <c r="L4689" s="13" t="str">
        <f>IFERROR(__xludf.DUMMYFUNCTION("""COMPUTED_VALUE"""),"")</f>
        <v/>
      </c>
      <c r="M4689" s="13"/>
      <c r="N4689" s="13" t="str">
        <f>IFERROR(__xludf.DUMMYFUNCTION("""COMPUTED_VALUE"""),"")</f>
        <v/>
      </c>
      <c r="O4689" s="13" t="str">
        <f t="shared" si="1"/>
        <v/>
      </c>
    </row>
    <row r="4690" ht="22.5" customHeight="1">
      <c r="B4690" s="13">
        <f>IFERROR(__xludf.DUMMYFUNCTION("""COMPUTED_VALUE"""),4685.0)</f>
        <v>4685</v>
      </c>
      <c r="C4690" s="13" t="str">
        <f>IFERROR(__xludf.DUMMYFUNCTION("""COMPUTED_VALUE"""),"M. 259/Penengahan Raya")</f>
        <v>M. 259/Penengahan Raya</v>
      </c>
      <c r="D4690" s="13" t="str">
        <f>IFERROR(__xludf.DUMMYFUNCTION("""COMPUTED_VALUE"""),"ABHUBLHV/AB048")</f>
        <v>ABHUBLHV/AB048</v>
      </c>
      <c r="E4690" s="14" t="str">
        <f>IFERROR(__xludf.DUMMYFUNCTION("""COMPUTED_VALUE"""),"Heri (BT)")</f>
        <v>Heri (BT)</v>
      </c>
      <c r="F4690" s="14" t="str">
        <f>IFERROR(__xludf.DUMMYFUNCTION("""COMPUTED_VALUE"""),"SELESAI (VIA PERMOHONAN)")</f>
        <v>SELESAI (VIA PERMOHONAN)</v>
      </c>
      <c r="G4690" s="17">
        <f>IFERROR(__xludf.DUMMYFUNCTION("""COMPUTED_VALUE"""),46008.45462113426)</f>
        <v>46008.45462</v>
      </c>
      <c r="H4690" s="14"/>
      <c r="I4690" s="13"/>
      <c r="J4690" s="17" t="str">
        <f>IFERROR(__xludf.DUMMYFUNCTION("""COMPUTED_VALUE"""),"")</f>
        <v/>
      </c>
      <c r="K4690" s="13" t="str">
        <f>IFERROR(__xludf.DUMMYFUNCTION("""COMPUTED_VALUE"""),"BT atau SU Belum Valid")</f>
        <v>BT atau SU Belum Valid</v>
      </c>
      <c r="L4690" s="13" t="str">
        <f>IFERROR(__xludf.DUMMYFUNCTION("""COMPUTED_VALUE"""),"")</f>
        <v/>
      </c>
      <c r="M4690" s="13"/>
      <c r="N4690" s="13" t="str">
        <f>IFERROR(__xludf.DUMMYFUNCTION("""COMPUTED_VALUE"""),"")</f>
        <v/>
      </c>
      <c r="O4690" s="13" t="str">
        <f t="shared" si="1"/>
        <v/>
      </c>
    </row>
    <row r="4691" ht="22.5" customHeight="1">
      <c r="B4691" s="13">
        <f>IFERROR(__xludf.DUMMYFUNCTION("""COMPUTED_VALUE"""),4686.0)</f>
        <v>4686</v>
      </c>
      <c r="C4691" s="13" t="str">
        <f>IFERROR(__xludf.DUMMYFUNCTION("""COMPUTED_VALUE"""),"M 3836 gunung terang ")</f>
        <v>M 3836 gunung terang </v>
      </c>
      <c r="D4691" s="13" t="str">
        <f>IFERROR(__xludf.DUMMYFUNCTION("""COMPUTED_VALUE"""),"ABNNEDZA")</f>
        <v>ABNNEDZA</v>
      </c>
      <c r="E4691" s="14" t="str">
        <f>IFERROR(__xludf.DUMMYFUNCTION("""COMPUTED_VALUE"""),"Heri (BT)")</f>
        <v>Heri (BT)</v>
      </c>
      <c r="F4691" s="14" t="str">
        <f>IFERROR(__xludf.DUMMYFUNCTION("""COMPUTED_VALUE"""),"SELESAI (VIA PERMOHONAN)")</f>
        <v>SELESAI (VIA PERMOHONAN)</v>
      </c>
      <c r="G4691" s="17">
        <f>IFERROR(__xludf.DUMMYFUNCTION("""COMPUTED_VALUE"""),46008.45462113426)</f>
        <v>46008.45462</v>
      </c>
      <c r="H4691" s="14"/>
      <c r="I4691" s="13"/>
      <c r="J4691" s="17" t="str">
        <f>IFERROR(__xludf.DUMMYFUNCTION("""COMPUTED_VALUE"""),"")</f>
        <v/>
      </c>
      <c r="K4691" s="13" t="str">
        <f>IFERROR(__xludf.DUMMYFUNCTION("""COMPUTED_VALUE"""),"BT atau SU Belum Valid")</f>
        <v>BT atau SU Belum Valid</v>
      </c>
      <c r="L4691" s="13" t="str">
        <f>IFERROR(__xludf.DUMMYFUNCTION("""COMPUTED_VALUE"""),"")</f>
        <v/>
      </c>
      <c r="M4691" s="13"/>
      <c r="N4691" s="13" t="str">
        <f>IFERROR(__xludf.DUMMYFUNCTION("""COMPUTED_VALUE"""),"")</f>
        <v/>
      </c>
      <c r="O4691" s="13" t="str">
        <f t="shared" si="1"/>
        <v/>
      </c>
    </row>
    <row r="4692" ht="22.5" customHeight="1">
      <c r="B4692" s="13">
        <f>IFERROR(__xludf.DUMMYFUNCTION("""COMPUTED_VALUE"""),4687.0)</f>
        <v>4687</v>
      </c>
      <c r="C4692" s="13" t="str">
        <f>IFERROR(__xludf.DUMMYFUNCTION("""COMPUTED_VALUE"""),"350/E")</f>
        <v>350/E</v>
      </c>
      <c r="D4692" s="13" t="str">
        <f>IFERROR(__xludf.DUMMYFUNCTION("""COMPUTED_VALUE"""),"AB39")</f>
        <v>AB39</v>
      </c>
      <c r="E4692" s="14" t="str">
        <f>IFERROR(__xludf.DUMMYFUNCTION("""COMPUTED_VALUE"""),"Heri (BT)")</f>
        <v>Heri (BT)</v>
      </c>
      <c r="F4692" s="14" t="str">
        <f>IFERROR(__xludf.DUMMYFUNCTION("""COMPUTED_VALUE"""),"SELESAI (VIA PERMOHONAN)")</f>
        <v>SELESAI (VIA PERMOHONAN)</v>
      </c>
      <c r="G4692" s="17">
        <f>IFERROR(__xludf.DUMMYFUNCTION("""COMPUTED_VALUE"""),46008.45462113426)</f>
        <v>46008.45462</v>
      </c>
      <c r="H4692" s="14"/>
      <c r="I4692" s="13"/>
      <c r="J4692" s="17" t="str">
        <f>IFERROR(__xludf.DUMMYFUNCTION("""COMPUTED_VALUE"""),"")</f>
        <v/>
      </c>
      <c r="K4692" s="13" t="str">
        <f>IFERROR(__xludf.DUMMYFUNCTION("""COMPUTED_VALUE"""),"BT atau SU Belum Valid")</f>
        <v>BT atau SU Belum Valid</v>
      </c>
      <c r="L4692" s="13" t="str">
        <f>IFERROR(__xludf.DUMMYFUNCTION("""COMPUTED_VALUE"""),"")</f>
        <v/>
      </c>
      <c r="M4692" s="13"/>
      <c r="N4692" s="13" t="str">
        <f>IFERROR(__xludf.DUMMYFUNCTION("""COMPUTED_VALUE"""),"")</f>
        <v/>
      </c>
      <c r="O4692" s="13" t="str">
        <f t="shared" si="1"/>
        <v/>
      </c>
    </row>
    <row r="4693" ht="22.5" customHeight="1">
      <c r="B4693" s="13">
        <f>IFERROR(__xludf.DUMMYFUNCTION("""COMPUTED_VALUE"""),4688.0)</f>
        <v>4688</v>
      </c>
      <c r="C4693" s="13" t="str">
        <f>IFERROR(__xludf.DUMMYFUNCTION("""COMPUTED_VALUE"""),"M. 1017/campang jaya")</f>
        <v>M. 1017/campang jaya</v>
      </c>
      <c r="D4693" s="13" t="str">
        <f>IFERROR(__xludf.DUMMYFUNCTION("""COMPUTED_VALUE"""),"ABYBHWNP/AB056")</f>
        <v>ABYBHWNP/AB056</v>
      </c>
      <c r="E4693" s="14" t="str">
        <f>IFERROR(__xludf.DUMMYFUNCTION("""COMPUTED_VALUE"""),"Heri (BT)")</f>
        <v>Heri (BT)</v>
      </c>
      <c r="F4693" s="14"/>
      <c r="G4693" s="17" t="str">
        <f>IFERROR(__xludf.DUMMYFUNCTION("""COMPUTED_VALUE"""),"")</f>
        <v/>
      </c>
      <c r="H4693" s="14"/>
      <c r="I4693" s="13"/>
      <c r="J4693" s="17" t="str">
        <f>IFERROR(__xludf.DUMMYFUNCTION("""COMPUTED_VALUE"""),"")</f>
        <v/>
      </c>
      <c r="K4693" s="13" t="str">
        <f>IFERROR(__xludf.DUMMYFUNCTION("""COMPUTED_VALUE"""),"BT atau SU Belum Valid")</f>
        <v>BT atau SU Belum Valid</v>
      </c>
      <c r="L4693" s="13" t="str">
        <f>IFERROR(__xludf.DUMMYFUNCTION("""COMPUTED_VALUE"""),"")</f>
        <v/>
      </c>
      <c r="M4693" s="13"/>
      <c r="N4693" s="13" t="str">
        <f>IFERROR(__xludf.DUMMYFUNCTION("""COMPUTED_VALUE"""),"")</f>
        <v/>
      </c>
      <c r="O4693" s="13" t="str">
        <f t="shared" si="1"/>
        <v/>
      </c>
    </row>
    <row r="4694" ht="22.5" customHeight="1">
      <c r="B4694" s="13">
        <f>IFERROR(__xludf.DUMMYFUNCTION("""COMPUTED_VALUE"""),4689.0)</f>
        <v>4689</v>
      </c>
      <c r="C4694" s="13" t="str">
        <f>IFERROR(__xludf.DUMMYFUNCTION("""COMPUTED_VALUE"""),"M. 1057/KURIPAN")</f>
        <v>M. 1057/KURIPAN</v>
      </c>
      <c r="D4694" s="13" t="str">
        <f>IFERROR(__xludf.DUMMYFUNCTION("""COMPUTED_VALUE"""),"L/10/301025/1")</f>
        <v>L/10/301025/1</v>
      </c>
      <c r="E4694" s="14" t="str">
        <f>IFERROR(__xludf.DUMMYFUNCTION("""COMPUTED_VALUE"""),"Heri (BT)")</f>
        <v>Heri (BT)</v>
      </c>
      <c r="F4694" s="14"/>
      <c r="G4694" s="17" t="str">
        <f>IFERROR(__xludf.DUMMYFUNCTION("""COMPUTED_VALUE"""),"")</f>
        <v/>
      </c>
      <c r="H4694" s="14"/>
      <c r="I4694" s="13"/>
      <c r="J4694" s="17" t="str">
        <f>IFERROR(__xludf.DUMMYFUNCTION("""COMPUTED_VALUE"""),"")</f>
        <v/>
      </c>
      <c r="K4694" s="13" t="str">
        <f>IFERROR(__xludf.DUMMYFUNCTION("""COMPUTED_VALUE"""),"BT atau SU Belum Valid")</f>
        <v>BT atau SU Belum Valid</v>
      </c>
      <c r="L4694" s="13" t="str">
        <f>IFERROR(__xludf.DUMMYFUNCTION("""COMPUTED_VALUE"""),"")</f>
        <v/>
      </c>
      <c r="M4694" s="13"/>
      <c r="N4694" s="13" t="str">
        <f>IFERROR(__xludf.DUMMYFUNCTION("""COMPUTED_VALUE"""),"")</f>
        <v/>
      </c>
      <c r="O4694" s="13" t="str">
        <f t="shared" si="1"/>
        <v/>
      </c>
    </row>
    <row r="4695" ht="22.5" customHeight="1">
      <c r="B4695" s="13">
        <f>IFERROR(__xludf.DUMMYFUNCTION("""COMPUTED_VALUE"""),4690.0)</f>
        <v>4690</v>
      </c>
      <c r="C4695" s="13" t="str">
        <f>IFERROR(__xludf.DUMMYFUNCTION("""COMPUTED_VALUE"""),"M. 13894/TANJUNG BARU")</f>
        <v>M. 13894/TANJUNG BARU</v>
      </c>
      <c r="D4695" s="13" t="str">
        <f>IFERROR(__xludf.DUMMYFUNCTION("""COMPUTED_VALUE"""),"L/3/251025/1")</f>
        <v>L/3/251025/1</v>
      </c>
      <c r="E4695" s="14" t="str">
        <f>IFERROR(__xludf.DUMMYFUNCTION("""COMPUTED_VALUE"""),"Heri (BT)")</f>
        <v>Heri (BT)</v>
      </c>
      <c r="F4695" s="14"/>
      <c r="G4695" s="17" t="str">
        <f>IFERROR(__xludf.DUMMYFUNCTION("""COMPUTED_VALUE"""),"")</f>
        <v/>
      </c>
      <c r="H4695" s="14"/>
      <c r="I4695" s="13"/>
      <c r="J4695" s="17" t="str">
        <f>IFERROR(__xludf.DUMMYFUNCTION("""COMPUTED_VALUE"""),"")</f>
        <v/>
      </c>
      <c r="K4695" s="13" t="str">
        <f>IFERROR(__xludf.DUMMYFUNCTION("""COMPUTED_VALUE"""),"BT atau SU Belum Valid")</f>
        <v>BT atau SU Belum Valid</v>
      </c>
      <c r="L4695" s="13" t="str">
        <f>IFERROR(__xludf.DUMMYFUNCTION("""COMPUTED_VALUE"""),"")</f>
        <v/>
      </c>
      <c r="M4695" s="13"/>
      <c r="N4695" s="13" t="str">
        <f>IFERROR(__xludf.DUMMYFUNCTION("""COMPUTED_VALUE"""),"")</f>
        <v/>
      </c>
      <c r="O4695" s="13" t="str">
        <f t="shared" si="1"/>
        <v/>
      </c>
    </row>
    <row r="4696" ht="22.5" customHeight="1">
      <c r="B4696" s="13">
        <f>IFERROR(__xludf.DUMMYFUNCTION("""COMPUTED_VALUE"""),4691.0)</f>
        <v>4691</v>
      </c>
      <c r="C4696" s="13" t="str">
        <f>IFERROR(__xludf.DUMMYFUNCTION("""COMPUTED_VALUE"""),"88/I/MASRS/T")</f>
        <v>88/I/MASRS/T</v>
      </c>
      <c r="D4696" s="13" t="str">
        <f>IFERROR(__xludf.DUMMYFUNCTION("""COMPUTED_VALUE"""),"K/12/031125/2")</f>
        <v>K/12/031125/2</v>
      </c>
      <c r="E4696" s="14" t="str">
        <f>IFERROR(__xludf.DUMMYFUNCTION("""COMPUTED_VALUE"""),"Heri (BT)")</f>
        <v>Heri (BT)</v>
      </c>
      <c r="F4696" s="14"/>
      <c r="G4696" s="17" t="str">
        <f>IFERROR(__xludf.DUMMYFUNCTION("""COMPUTED_VALUE"""),"")</f>
        <v/>
      </c>
      <c r="H4696" s="14"/>
      <c r="I4696" s="13"/>
      <c r="J4696" s="17" t="str">
        <f>IFERROR(__xludf.DUMMYFUNCTION("""COMPUTED_VALUE"""),"")</f>
        <v/>
      </c>
      <c r="K4696" s="13" t="str">
        <f>IFERROR(__xludf.DUMMYFUNCTION("""COMPUTED_VALUE"""),"BT atau SU Belum Valid")</f>
        <v>BT atau SU Belum Valid</v>
      </c>
      <c r="L4696" s="13" t="str">
        <f>IFERROR(__xludf.DUMMYFUNCTION("""COMPUTED_VALUE"""),"")</f>
        <v/>
      </c>
      <c r="M4696" s="13"/>
      <c r="N4696" s="13" t="str">
        <f>IFERROR(__xludf.DUMMYFUNCTION("""COMPUTED_VALUE"""),"")</f>
        <v/>
      </c>
      <c r="O4696" s="13" t="str">
        <f t="shared" si="1"/>
        <v/>
      </c>
    </row>
    <row r="4697" ht="22.5" customHeight="1">
      <c r="B4697" s="13">
        <f>IFERROR(__xludf.DUMMYFUNCTION("""COMPUTED_VALUE"""),4692.0)</f>
        <v>4692</v>
      </c>
      <c r="C4697" s="13" t="str">
        <f>IFERROR(__xludf.DUMMYFUNCTION("""COMPUTED_VALUE"""),"87/I/MASRS/T")</f>
        <v>87/I/MASRS/T</v>
      </c>
      <c r="D4697" s="13" t="str">
        <f>IFERROR(__xludf.DUMMYFUNCTION("""COMPUTED_VALUE"""),"K/11/031125/1")</f>
        <v>K/11/031125/1</v>
      </c>
      <c r="E4697" s="14" t="str">
        <f>IFERROR(__xludf.DUMMYFUNCTION("""COMPUTED_VALUE"""),"Heri (BT)")</f>
        <v>Heri (BT)</v>
      </c>
      <c r="F4697" s="14"/>
      <c r="G4697" s="17" t="str">
        <f>IFERROR(__xludf.DUMMYFUNCTION("""COMPUTED_VALUE"""),"")</f>
        <v/>
      </c>
      <c r="H4697" s="14"/>
      <c r="I4697" s="13"/>
      <c r="J4697" s="17" t="str">
        <f>IFERROR(__xludf.DUMMYFUNCTION("""COMPUTED_VALUE"""),"")</f>
        <v/>
      </c>
      <c r="K4697" s="13" t="str">
        <f>IFERROR(__xludf.DUMMYFUNCTION("""COMPUTED_VALUE"""),"BT atau SU Belum Valid")</f>
        <v>BT atau SU Belum Valid</v>
      </c>
      <c r="L4697" s="13" t="str">
        <f>IFERROR(__xludf.DUMMYFUNCTION("""COMPUTED_VALUE"""),"")</f>
        <v/>
      </c>
      <c r="M4697" s="13"/>
      <c r="N4697" s="13" t="str">
        <f>IFERROR(__xludf.DUMMYFUNCTION("""COMPUTED_VALUE"""),"")</f>
        <v/>
      </c>
      <c r="O4697" s="13" t="str">
        <f t="shared" si="1"/>
        <v/>
      </c>
    </row>
    <row r="4698" ht="22.5" customHeight="1">
      <c r="B4698" s="13">
        <f>IFERROR(__xludf.DUMMYFUNCTION("""COMPUTED_VALUE"""),4693.0)</f>
        <v>4693</v>
      </c>
      <c r="C4698" s="13" t="str">
        <f>IFERROR(__xludf.DUMMYFUNCTION("""COMPUTED_VALUE"""),"M. 1836/SUSUNAN  BARU")</f>
        <v>M. 1836/SUSUNAN  BARU</v>
      </c>
      <c r="D4698" s="13" t="str">
        <f>IFERROR(__xludf.DUMMYFUNCTION("""COMPUTED_VALUE"""),"L/16/221025/1")</f>
        <v>L/16/221025/1</v>
      </c>
      <c r="E4698" s="14" t="str">
        <f>IFERROR(__xludf.DUMMYFUNCTION("""COMPUTED_VALUE"""),"Heri (BT)")</f>
        <v>Heri (BT)</v>
      </c>
      <c r="F4698" s="14"/>
      <c r="G4698" s="17" t="str">
        <f>IFERROR(__xludf.DUMMYFUNCTION("""COMPUTED_VALUE"""),"")</f>
        <v/>
      </c>
      <c r="H4698" s="14"/>
      <c r="I4698" s="13"/>
      <c r="J4698" s="17" t="str">
        <f>IFERROR(__xludf.DUMMYFUNCTION("""COMPUTED_VALUE"""),"")</f>
        <v/>
      </c>
      <c r="K4698" s="13" t="str">
        <f>IFERROR(__xludf.DUMMYFUNCTION("""COMPUTED_VALUE"""),"BT atau SU Belum Valid")</f>
        <v>BT atau SU Belum Valid</v>
      </c>
      <c r="L4698" s="13" t="str">
        <f>IFERROR(__xludf.DUMMYFUNCTION("""COMPUTED_VALUE"""),"")</f>
        <v/>
      </c>
      <c r="M4698" s="13"/>
      <c r="N4698" s="13" t="str">
        <f>IFERROR(__xludf.DUMMYFUNCTION("""COMPUTED_VALUE"""),"")</f>
        <v/>
      </c>
      <c r="O4698" s="13" t="str">
        <f t="shared" si="1"/>
        <v/>
      </c>
    </row>
    <row r="4699" ht="22.5" customHeight="1">
      <c r="B4699" s="13">
        <f>IFERROR(__xludf.DUMMYFUNCTION("""COMPUTED_VALUE"""),4694.0)</f>
        <v>4694</v>
      </c>
      <c r="C4699" s="13" t="str">
        <f>IFERROR(__xludf.DUMMYFUNCTION("""COMPUTED_VALUE"""),"SHGB 00791/ SUMUR PUTRI")</f>
        <v>SHGB 00791/ SUMUR PUTRI</v>
      </c>
      <c r="D4699" s="13" t="str">
        <f>IFERROR(__xludf.DUMMYFUNCTION("""COMPUTED_VALUE"""),"ABYRTEDF")</f>
        <v>ABYRTEDF</v>
      </c>
      <c r="E4699" s="14"/>
      <c r="F4699" s="14"/>
      <c r="G4699" s="17" t="str">
        <f>IFERROR(__xludf.DUMMYFUNCTION("""COMPUTED_VALUE"""),"")</f>
        <v/>
      </c>
      <c r="H4699" s="14"/>
      <c r="I4699" s="13"/>
      <c r="J4699" s="17" t="str">
        <f>IFERROR(__xludf.DUMMYFUNCTION("""COMPUTED_VALUE"""),"")</f>
        <v/>
      </c>
      <c r="K4699" s="13" t="str">
        <f>IFERROR(__xludf.DUMMYFUNCTION("""COMPUTED_VALUE"""),"BT atau SU Belum Valid")</f>
        <v>BT atau SU Belum Valid</v>
      </c>
      <c r="L4699" s="13" t="str">
        <f>IFERROR(__xludf.DUMMYFUNCTION("""COMPUTED_VALUE"""),"")</f>
        <v/>
      </c>
      <c r="M4699" s="13"/>
      <c r="N4699" s="13" t="str">
        <f>IFERROR(__xludf.DUMMYFUNCTION("""COMPUTED_VALUE"""),"")</f>
        <v/>
      </c>
      <c r="O4699" s="13" t="str">
        <f t="shared" si="1"/>
        <v/>
      </c>
    </row>
    <row r="4700" ht="22.5" customHeight="1">
      <c r="B4700" s="13">
        <f>IFERROR(__xludf.DUMMYFUNCTION("""COMPUTED_VALUE"""),4695.0)</f>
        <v>4695</v>
      </c>
      <c r="C4700" s="13" t="str">
        <f>IFERROR(__xludf.DUMMYFUNCTION("""COMPUTED_VALUE"""),"SHM 1040 KORPRI JAYA")</f>
        <v>SHM 1040 KORPRI JAYA</v>
      </c>
      <c r="D4700" s="13"/>
      <c r="E4700" s="14" t="str">
        <f>IFERROR(__xludf.DUMMYFUNCTION("""COMPUTED_VALUE"""),"Heri (BT)")</f>
        <v>Heri (BT)</v>
      </c>
      <c r="F4700" s="14" t="str">
        <f>IFERROR(__xludf.DUMMYFUNCTION("""COMPUTED_VALUE"""),"SELESAI (VIA PERMOHONAN)")</f>
        <v>SELESAI (VIA PERMOHONAN)</v>
      </c>
      <c r="G4700" s="17">
        <f>IFERROR(__xludf.DUMMYFUNCTION("""COMPUTED_VALUE"""),46010.39939236111)</f>
        <v>46010.39939</v>
      </c>
      <c r="H4700" s="14"/>
      <c r="I4700" s="13"/>
      <c r="J4700" s="17" t="str">
        <f>IFERROR(__xludf.DUMMYFUNCTION("""COMPUTED_VALUE"""),"")</f>
        <v/>
      </c>
      <c r="K4700" s="13" t="str">
        <f>IFERROR(__xludf.DUMMYFUNCTION("""COMPUTED_VALUE"""),"")</f>
        <v/>
      </c>
      <c r="L4700" s="13" t="str">
        <f>IFERROR(__xludf.DUMMYFUNCTION("""COMPUTED_VALUE"""),"")</f>
        <v/>
      </c>
      <c r="M4700" s="13"/>
      <c r="N4700" s="13" t="str">
        <f>IFERROR(__xludf.DUMMYFUNCTION("""COMPUTED_VALUE"""),"")</f>
        <v/>
      </c>
      <c r="O4700" s="13" t="str">
        <f t="shared" si="1"/>
        <v/>
      </c>
    </row>
    <row r="4701" ht="22.5" customHeight="1">
      <c r="B4701" s="13">
        <f>IFERROR(__xludf.DUMMYFUNCTION("""COMPUTED_VALUE"""),4696.0)</f>
        <v>4696</v>
      </c>
      <c r="C4701" s="13" t="str">
        <f>IFERROR(__xludf.DUMMYFUNCTION("""COMPUTED_VALUE"""),"M 970/ KEDAUNG")</f>
        <v>M 970/ KEDAUNG</v>
      </c>
      <c r="D4701" s="13" t="str">
        <f>IFERROR(__xludf.DUMMYFUNCTION("""COMPUTED_VALUE"""),"K/44/101025/2")</f>
        <v>K/44/101025/2</v>
      </c>
      <c r="E4701" s="14" t="str">
        <f>IFERROR(__xludf.DUMMYFUNCTION("""COMPUTED_VALUE"""),"Heri (BT)")</f>
        <v>Heri (BT)</v>
      </c>
      <c r="F4701" s="14" t="str">
        <f>IFERROR(__xludf.DUMMYFUNCTION("""COMPUTED_VALUE"""),"SELESAI (VIA PERMOHONAN)")</f>
        <v>SELESAI (VIA PERMOHONAN)</v>
      </c>
      <c r="G4701" s="17">
        <f>IFERROR(__xludf.DUMMYFUNCTION("""COMPUTED_VALUE"""),46010.40066702546)</f>
        <v>46010.40067</v>
      </c>
      <c r="H4701" s="14"/>
      <c r="I4701" s="13"/>
      <c r="J4701" s="17" t="str">
        <f>IFERROR(__xludf.DUMMYFUNCTION("""COMPUTED_VALUE"""),"")</f>
        <v/>
      </c>
      <c r="K4701" s="13" t="str">
        <f>IFERROR(__xludf.DUMMYFUNCTION("""COMPUTED_VALUE"""),"BT atau SU Belum Valid")</f>
        <v>BT atau SU Belum Valid</v>
      </c>
      <c r="L4701" s="13" t="str">
        <f>IFERROR(__xludf.DUMMYFUNCTION("""COMPUTED_VALUE"""),"")</f>
        <v/>
      </c>
      <c r="M4701" s="13"/>
      <c r="N4701" s="13" t="str">
        <f>IFERROR(__xludf.DUMMYFUNCTION("""COMPUTED_VALUE"""),"")</f>
        <v/>
      </c>
      <c r="O4701" s="13" t="str">
        <f t="shared" si="1"/>
        <v/>
      </c>
    </row>
    <row r="4702" ht="22.5" customHeight="1">
      <c r="B4702" s="13">
        <f>IFERROR(__xludf.DUMMYFUNCTION("""COMPUTED_VALUE"""),4697.0)</f>
        <v>4697</v>
      </c>
      <c r="C4702" s="13" t="str">
        <f>IFERROR(__xludf.DUMMYFUNCTION("""COMPUTED_VALUE"""),"M 82/ RAJABASA JAYA")</f>
        <v>M 82/ RAJABASA JAYA</v>
      </c>
      <c r="D4702" s="13" t="str">
        <f>IFERROR(__xludf.DUMMYFUNCTION("""COMPUTED_VALUE"""),"ABCKJHAF")</f>
        <v>ABCKJHAF</v>
      </c>
      <c r="E4702" s="14" t="str">
        <f>IFERROR(__xludf.DUMMYFUNCTION("""COMPUTED_VALUE"""),"Heri (BT)")</f>
        <v>Heri (BT)</v>
      </c>
      <c r="F4702" s="14" t="str">
        <f>IFERROR(__xludf.DUMMYFUNCTION("""COMPUTED_VALUE"""),"SELESAI (VIA PERMOHONAN)")</f>
        <v>SELESAI (VIA PERMOHONAN)</v>
      </c>
      <c r="G4702" s="17">
        <f>IFERROR(__xludf.DUMMYFUNCTION("""COMPUTED_VALUE"""),46010.40140956019)</f>
        <v>46010.40141</v>
      </c>
      <c r="H4702" s="14"/>
      <c r="I4702" s="13"/>
      <c r="J4702" s="17" t="str">
        <f>IFERROR(__xludf.DUMMYFUNCTION("""COMPUTED_VALUE"""),"")</f>
        <v/>
      </c>
      <c r="K4702" s="13" t="str">
        <f>IFERROR(__xludf.DUMMYFUNCTION("""COMPUTED_VALUE"""),"BT atau SU Belum Valid")</f>
        <v>BT atau SU Belum Valid</v>
      </c>
      <c r="L4702" s="13" t="str">
        <f>IFERROR(__xludf.DUMMYFUNCTION("""COMPUTED_VALUE"""),"")</f>
        <v/>
      </c>
      <c r="M4702" s="13"/>
      <c r="N4702" s="13" t="str">
        <f>IFERROR(__xludf.DUMMYFUNCTION("""COMPUTED_VALUE"""),"")</f>
        <v/>
      </c>
      <c r="O4702" s="13" t="str">
        <f t="shared" si="1"/>
        <v/>
      </c>
    </row>
    <row r="4703" ht="22.5" customHeight="1">
      <c r="B4703" s="13">
        <f>IFERROR(__xludf.DUMMYFUNCTION("""COMPUTED_VALUE"""),4698.0)</f>
        <v>4698</v>
      </c>
      <c r="C4703" s="13" t="str">
        <f>IFERROR(__xludf.DUMMYFUNCTION("""COMPUTED_VALUE"""),"M 16497/sukabumi")</f>
        <v>M 16497/sukabumi</v>
      </c>
      <c r="D4703" s="13" t="str">
        <f>IFERROR(__xludf.DUMMYFUNCTION("""COMPUTED_VALUE"""),"ABLJWMPU/AB076")</f>
        <v>ABLJWMPU/AB076</v>
      </c>
      <c r="E4703" s="14" t="str">
        <f>IFERROR(__xludf.DUMMYFUNCTION("""COMPUTED_VALUE"""),"Heri (BT)")</f>
        <v>Heri (BT)</v>
      </c>
      <c r="F4703" s="14" t="str">
        <f>IFERROR(__xludf.DUMMYFUNCTION("""COMPUTED_VALUE"""),"SELESAI (VIA PERMOHONAN)")</f>
        <v>SELESAI (VIA PERMOHONAN)</v>
      </c>
      <c r="G4703" s="17">
        <f>IFERROR(__xludf.DUMMYFUNCTION("""COMPUTED_VALUE"""),46010.40159620371)</f>
        <v>46010.4016</v>
      </c>
      <c r="H4703" s="14"/>
      <c r="I4703" s="13"/>
      <c r="J4703" s="17" t="str">
        <f>IFERROR(__xludf.DUMMYFUNCTION("""COMPUTED_VALUE"""),"")</f>
        <v/>
      </c>
      <c r="K4703" s="13" t="str">
        <f>IFERROR(__xludf.DUMMYFUNCTION("""COMPUTED_VALUE"""),"BT atau SU Belum Valid")</f>
        <v>BT atau SU Belum Valid</v>
      </c>
      <c r="L4703" s="13" t="str">
        <f>IFERROR(__xludf.DUMMYFUNCTION("""COMPUTED_VALUE"""),"")</f>
        <v/>
      </c>
      <c r="M4703" s="13"/>
      <c r="N4703" s="13" t="str">
        <f>IFERROR(__xludf.DUMMYFUNCTION("""COMPUTED_VALUE"""),"")</f>
        <v/>
      </c>
      <c r="O4703" s="13" t="str">
        <f t="shared" si="1"/>
        <v/>
      </c>
    </row>
    <row r="4704" ht="22.5" customHeight="1">
      <c r="B4704" s="13">
        <f>IFERROR(__xludf.DUMMYFUNCTION("""COMPUTED_VALUE"""),4699.0)</f>
        <v>4699</v>
      </c>
      <c r="C4704" s="13" t="str">
        <f>IFERROR(__xludf.DUMMYFUNCTION("""COMPUTED_VALUE"""),"SHM 01052/Pematang Wangi")</f>
        <v>SHM 01052/Pematang Wangi</v>
      </c>
      <c r="D4704" s="13" t="str">
        <f>IFERROR(__xludf.DUMMYFUNCTION("""COMPUTED_VALUE"""),"Ab044/ABKUJYAP")</f>
        <v>Ab044/ABKUJYAP</v>
      </c>
      <c r="E4704" s="14" t="str">
        <f>IFERROR(__xludf.DUMMYFUNCTION("""COMPUTED_VALUE"""),"Heri (BT)")</f>
        <v>Heri (BT)</v>
      </c>
      <c r="F4704" s="14" t="str">
        <f>IFERROR(__xludf.DUMMYFUNCTION("""COMPUTED_VALUE"""),"SELESAI (VIA PERMOHONAN)")</f>
        <v>SELESAI (VIA PERMOHONAN)</v>
      </c>
      <c r="G4704" s="17">
        <f>IFERROR(__xludf.DUMMYFUNCTION("""COMPUTED_VALUE"""),46010.40245167824)</f>
        <v>46010.40245</v>
      </c>
      <c r="H4704" s="14"/>
      <c r="I4704" s="13"/>
      <c r="J4704" s="17" t="str">
        <f>IFERROR(__xludf.DUMMYFUNCTION("""COMPUTED_VALUE"""),"")</f>
        <v/>
      </c>
      <c r="K4704" s="13" t="str">
        <f>IFERROR(__xludf.DUMMYFUNCTION("""COMPUTED_VALUE"""),"BT atau SU Belum Valid")</f>
        <v>BT atau SU Belum Valid</v>
      </c>
      <c r="L4704" s="13" t="str">
        <f>IFERROR(__xludf.DUMMYFUNCTION("""COMPUTED_VALUE"""),"")</f>
        <v/>
      </c>
      <c r="M4704" s="13"/>
      <c r="N4704" s="13" t="str">
        <f>IFERROR(__xludf.DUMMYFUNCTION("""COMPUTED_VALUE"""),"")</f>
        <v/>
      </c>
      <c r="O4704" s="13" t="str">
        <f t="shared" si="1"/>
        <v/>
      </c>
    </row>
    <row r="4705" ht="22.5" customHeight="1">
      <c r="B4705" s="13">
        <f>IFERROR(__xludf.DUMMYFUNCTION("""COMPUTED_VALUE"""),4700.0)</f>
        <v>4700</v>
      </c>
      <c r="C4705" s="13" t="str">
        <f>IFERROR(__xludf.DUMMYFUNCTION("""COMPUTED_VALUE"""),"M.5146/TANJUNG SENANG")</f>
        <v>M.5146/TANJUNG SENANG</v>
      </c>
      <c r="D4705" s="13" t="str">
        <f>IFERROR(__xludf.DUMMYFUNCTION("""COMPUTED_VALUE"""),"ABWXLCKQ")</f>
        <v>ABWXLCKQ</v>
      </c>
      <c r="E4705" s="14" t="str">
        <f>IFERROR(__xludf.DUMMYFUNCTION("""COMPUTED_VALUE"""),"Heri (BT)")</f>
        <v>Heri (BT)</v>
      </c>
      <c r="F4705" s="14" t="str">
        <f>IFERROR(__xludf.DUMMYFUNCTION("""COMPUTED_VALUE"""),"SELESAI (VIA PERMOHONAN)")</f>
        <v>SELESAI (VIA PERMOHONAN)</v>
      </c>
      <c r="G4705" s="17">
        <f>IFERROR(__xludf.DUMMYFUNCTION("""COMPUTED_VALUE"""),46010.67908746528)</f>
        <v>46010.67909</v>
      </c>
      <c r="H4705" s="14"/>
      <c r="I4705" s="13"/>
      <c r="J4705" s="17" t="str">
        <f>IFERROR(__xludf.DUMMYFUNCTION("""COMPUTED_VALUE"""),"")</f>
        <v/>
      </c>
      <c r="K4705" s="13" t="str">
        <f>IFERROR(__xludf.DUMMYFUNCTION("""COMPUTED_VALUE"""),"BT atau SU Belum Valid")</f>
        <v>BT atau SU Belum Valid</v>
      </c>
      <c r="L4705" s="13" t="str">
        <f>IFERROR(__xludf.DUMMYFUNCTION("""COMPUTED_VALUE"""),"")</f>
        <v/>
      </c>
      <c r="M4705" s="13"/>
      <c r="N4705" s="13" t="str">
        <f>IFERROR(__xludf.DUMMYFUNCTION("""COMPUTED_VALUE"""),"")</f>
        <v/>
      </c>
      <c r="O4705" s="13" t="str">
        <f t="shared" si="1"/>
        <v/>
      </c>
    </row>
    <row r="4706" ht="22.5" customHeight="1">
      <c r="B4706" s="13">
        <f>IFERROR(__xludf.DUMMYFUNCTION("""COMPUTED_VALUE"""),4701.0)</f>
        <v>4701</v>
      </c>
      <c r="C4706" s="13" t="str">
        <f>IFERROR(__xludf.DUMMYFUNCTION("""COMPUTED_VALUE"""),"M.5145/TANJUNG SENANG")</f>
        <v>M.5145/TANJUNG SENANG</v>
      </c>
      <c r="D4706" s="13" t="str">
        <f>IFERROR(__xludf.DUMMYFUNCTION("""COMPUTED_VALUE"""),"ABJHUIJH")</f>
        <v>ABJHUIJH</v>
      </c>
      <c r="E4706" s="14" t="str">
        <f>IFERROR(__xludf.DUMMYFUNCTION("""COMPUTED_VALUE"""),"Heri (BT)")</f>
        <v>Heri (BT)</v>
      </c>
      <c r="F4706" s="14" t="str">
        <f>IFERROR(__xludf.DUMMYFUNCTION("""COMPUTED_VALUE"""),"SELESAI (VIA PERMOHONAN)")</f>
        <v>SELESAI (VIA PERMOHONAN)</v>
      </c>
      <c r="G4706" s="17">
        <f>IFERROR(__xludf.DUMMYFUNCTION("""COMPUTED_VALUE"""),46010.67921732639)</f>
        <v>46010.67922</v>
      </c>
      <c r="H4706" s="14"/>
      <c r="I4706" s="13"/>
      <c r="J4706" s="17" t="str">
        <f>IFERROR(__xludf.DUMMYFUNCTION("""COMPUTED_VALUE"""),"")</f>
        <v/>
      </c>
      <c r="K4706" s="13" t="str">
        <f>IFERROR(__xludf.DUMMYFUNCTION("""COMPUTED_VALUE"""),"BT atau SU Belum Valid")</f>
        <v>BT atau SU Belum Valid</v>
      </c>
      <c r="L4706" s="13" t="str">
        <f>IFERROR(__xludf.DUMMYFUNCTION("""COMPUTED_VALUE"""),"")</f>
        <v/>
      </c>
      <c r="M4706" s="13"/>
      <c r="N4706" s="13" t="str">
        <f>IFERROR(__xludf.DUMMYFUNCTION("""COMPUTED_VALUE"""),"")</f>
        <v/>
      </c>
      <c r="O4706" s="13" t="str">
        <f t="shared" si="1"/>
        <v/>
      </c>
    </row>
    <row r="4707" ht="22.5" customHeight="1">
      <c r="B4707" s="13">
        <f>IFERROR(__xludf.DUMMYFUNCTION("""COMPUTED_VALUE"""),4702.0)</f>
        <v>4702</v>
      </c>
      <c r="C4707" s="13" t="str">
        <f>IFERROR(__xludf.DUMMYFUNCTION("""COMPUTED_VALUE"""),"M 978/ LABUHAN RATU RAYA")</f>
        <v>M 978/ LABUHAN RATU RAYA</v>
      </c>
      <c r="D4707" s="13" t="str">
        <f>IFERROR(__xludf.DUMMYFUNCTION("""COMPUTED_VALUE"""),"ABEAXTPG")</f>
        <v>ABEAXTPG</v>
      </c>
      <c r="E4707" s="14" t="str">
        <f>IFERROR(__xludf.DUMMYFUNCTION("""COMPUTED_VALUE"""),"Heri (BT)")</f>
        <v>Heri (BT)</v>
      </c>
      <c r="F4707" s="14" t="str">
        <f>IFERROR(__xludf.DUMMYFUNCTION("""COMPUTED_VALUE"""),"SELESAI (VIA PERMOHONAN)")</f>
        <v>SELESAI (VIA PERMOHONAN)</v>
      </c>
      <c r="G4707" s="17">
        <f>IFERROR(__xludf.DUMMYFUNCTION("""COMPUTED_VALUE"""),46010.67934652777)</f>
        <v>46010.67935</v>
      </c>
      <c r="H4707" s="14"/>
      <c r="I4707" s="13"/>
      <c r="J4707" s="17" t="str">
        <f>IFERROR(__xludf.DUMMYFUNCTION("""COMPUTED_VALUE"""),"")</f>
        <v/>
      </c>
      <c r="K4707" s="13" t="str">
        <f>IFERROR(__xludf.DUMMYFUNCTION("""COMPUTED_VALUE"""),"BT atau SU Belum Valid")</f>
        <v>BT atau SU Belum Valid</v>
      </c>
      <c r="L4707" s="13" t="str">
        <f>IFERROR(__xludf.DUMMYFUNCTION("""COMPUTED_VALUE"""),"")</f>
        <v/>
      </c>
      <c r="M4707" s="13"/>
      <c r="N4707" s="13" t="str">
        <f>IFERROR(__xludf.DUMMYFUNCTION("""COMPUTED_VALUE"""),"")</f>
        <v/>
      </c>
      <c r="O4707" s="13" t="str">
        <f t="shared" si="1"/>
        <v/>
      </c>
    </row>
    <row r="4708" ht="22.5" customHeight="1">
      <c r="B4708" s="13">
        <f>IFERROR(__xludf.DUMMYFUNCTION("""COMPUTED_VALUE"""),4703.0)</f>
        <v>4703</v>
      </c>
      <c r="C4708" s="13" t="str">
        <f>IFERROR(__xludf.DUMMYFUNCTION("""COMPUTED_VALUE"""),"M 2185/ LABUHAN RATU RAYA")</f>
        <v>M 2185/ LABUHAN RATU RAYA</v>
      </c>
      <c r="D4708" s="13" t="str">
        <f>IFERROR(__xludf.DUMMYFUNCTION("""COMPUTED_VALUE"""),"ABBWULWP")</f>
        <v>ABBWULWP</v>
      </c>
      <c r="E4708" s="14" t="str">
        <f>IFERROR(__xludf.DUMMYFUNCTION("""COMPUTED_VALUE"""),"Heri (BT)")</f>
        <v>Heri (BT)</v>
      </c>
      <c r="F4708" s="14" t="str">
        <f>IFERROR(__xludf.DUMMYFUNCTION("""COMPUTED_VALUE"""),"SELESAI (VIA PERMOHONAN)")</f>
        <v>SELESAI (VIA PERMOHONAN)</v>
      </c>
      <c r="G4708" s="17">
        <f>IFERROR(__xludf.DUMMYFUNCTION("""COMPUTED_VALUE"""),46010.67948395833)</f>
        <v>46010.67948</v>
      </c>
      <c r="H4708" s="14"/>
      <c r="I4708" s="13"/>
      <c r="J4708" s="17" t="str">
        <f>IFERROR(__xludf.DUMMYFUNCTION("""COMPUTED_VALUE"""),"")</f>
        <v/>
      </c>
      <c r="K4708" s="13" t="str">
        <f>IFERROR(__xludf.DUMMYFUNCTION("""COMPUTED_VALUE"""),"BT atau SU Belum Valid")</f>
        <v>BT atau SU Belum Valid</v>
      </c>
      <c r="L4708" s="13" t="str">
        <f>IFERROR(__xludf.DUMMYFUNCTION("""COMPUTED_VALUE"""),"")</f>
        <v/>
      </c>
      <c r="M4708" s="13"/>
      <c r="N4708" s="13" t="str">
        <f>IFERROR(__xludf.DUMMYFUNCTION("""COMPUTED_VALUE"""),"")</f>
        <v/>
      </c>
      <c r="O4708" s="13" t="str">
        <f t="shared" si="1"/>
        <v/>
      </c>
    </row>
    <row r="4709" ht="22.5" customHeight="1">
      <c r="B4709" s="13">
        <f>IFERROR(__xludf.DUMMYFUNCTION("""COMPUTED_VALUE"""),4704.0)</f>
        <v>4704</v>
      </c>
      <c r="C4709" s="13" t="str">
        <f>IFERROR(__xludf.DUMMYFUNCTION("""COMPUTED_VALUE"""),"M 1162/ SUKARAME II")</f>
        <v>M 1162/ SUKARAME II</v>
      </c>
      <c r="D4709" s="13" t="str">
        <f>IFERROR(__xludf.DUMMYFUNCTION("""COMPUTED_VALUE"""),"ABSQZBMO")</f>
        <v>ABSQZBMO</v>
      </c>
      <c r="E4709" s="14" t="str">
        <f>IFERROR(__xludf.DUMMYFUNCTION("""COMPUTED_VALUE"""),"Heri (BT)")</f>
        <v>Heri (BT)</v>
      </c>
      <c r="F4709" s="14" t="str">
        <f>IFERROR(__xludf.DUMMYFUNCTION("""COMPUTED_VALUE"""),"SELESAI (VIA PERMOHONAN)")</f>
        <v>SELESAI (VIA PERMOHONAN)</v>
      </c>
      <c r="G4709" s="17">
        <f>IFERROR(__xludf.DUMMYFUNCTION("""COMPUTED_VALUE"""),46010.68055827546)</f>
        <v>46010.68056</v>
      </c>
      <c r="H4709" s="14"/>
      <c r="I4709" s="13"/>
      <c r="J4709" s="17" t="str">
        <f>IFERROR(__xludf.DUMMYFUNCTION("""COMPUTED_VALUE"""),"")</f>
        <v/>
      </c>
      <c r="K4709" s="13" t="str">
        <f>IFERROR(__xludf.DUMMYFUNCTION("""COMPUTED_VALUE"""),"BT atau SU Belum Valid")</f>
        <v>BT atau SU Belum Valid</v>
      </c>
      <c r="L4709" s="13" t="str">
        <f>IFERROR(__xludf.DUMMYFUNCTION("""COMPUTED_VALUE"""),"")</f>
        <v/>
      </c>
      <c r="M4709" s="13"/>
      <c r="N4709" s="13" t="str">
        <f>IFERROR(__xludf.DUMMYFUNCTION("""COMPUTED_VALUE"""),"")</f>
        <v/>
      </c>
      <c r="O4709" s="13" t="str">
        <f t="shared" si="1"/>
        <v/>
      </c>
    </row>
    <row r="4710" ht="22.5" customHeight="1">
      <c r="B4710" s="13">
        <f>IFERROR(__xludf.DUMMYFUNCTION("""COMPUTED_VALUE"""),4705.0)</f>
        <v>4705</v>
      </c>
      <c r="C4710" s="13" t="str">
        <f>IFERROR(__xludf.DUMMYFUNCTION("""COMPUTED_VALUE"""),"M 2331/ KEDAUNG")</f>
        <v>M 2331/ KEDAUNG</v>
      </c>
      <c r="D4710" s="13" t="str">
        <f>IFERROR(__xludf.DUMMYFUNCTION("""COMPUTED_VALUE"""),"ABTIVQWW")</f>
        <v>ABTIVQWW</v>
      </c>
      <c r="E4710" s="14" t="str">
        <f>IFERROR(__xludf.DUMMYFUNCTION("""COMPUTED_VALUE"""),"Heri (BT)")</f>
        <v>Heri (BT)</v>
      </c>
      <c r="F4710" s="14" t="str">
        <f>IFERROR(__xludf.DUMMYFUNCTION("""COMPUTED_VALUE"""),"SELESAI (VIA PERMOHONAN)")</f>
        <v>SELESAI (VIA PERMOHONAN)</v>
      </c>
      <c r="G4710" s="17">
        <f>IFERROR(__xludf.DUMMYFUNCTION("""COMPUTED_VALUE"""),46010.68121190972)</f>
        <v>46010.68121</v>
      </c>
      <c r="H4710" s="14"/>
      <c r="I4710" s="13"/>
      <c r="J4710" s="17" t="str">
        <f>IFERROR(__xludf.DUMMYFUNCTION("""COMPUTED_VALUE"""),"")</f>
        <v/>
      </c>
      <c r="K4710" s="13" t="str">
        <f>IFERROR(__xludf.DUMMYFUNCTION("""COMPUTED_VALUE"""),"BT atau SU Belum Valid")</f>
        <v>BT atau SU Belum Valid</v>
      </c>
      <c r="L4710" s="13" t="str">
        <f>IFERROR(__xludf.DUMMYFUNCTION("""COMPUTED_VALUE"""),"")</f>
        <v/>
      </c>
      <c r="M4710" s="13"/>
      <c r="N4710" s="13" t="str">
        <f>IFERROR(__xludf.DUMMYFUNCTION("""COMPUTED_VALUE"""),"")</f>
        <v/>
      </c>
      <c r="O4710" s="13" t="str">
        <f t="shared" si="1"/>
        <v/>
      </c>
    </row>
    <row r="4711" ht="22.5" customHeight="1">
      <c r="B4711" s="13">
        <f>IFERROR(__xludf.DUMMYFUNCTION("""COMPUTED_VALUE"""),4706.0)</f>
        <v>4706</v>
      </c>
      <c r="C4711" s="13" t="str">
        <f>IFERROR(__xludf.DUMMYFUNCTION("""COMPUTED_VALUE"""),"M 323/ Sawah brebes")</f>
        <v>M 323/ Sawah brebes</v>
      </c>
      <c r="D4711" s="13" t="str">
        <f>IFERROR(__xludf.DUMMYFUNCTION("""COMPUTED_VALUE"""),"ABFRJENS/1")</f>
        <v>ABFRJENS/1</v>
      </c>
      <c r="E4711" s="14" t="str">
        <f>IFERROR(__xludf.DUMMYFUNCTION("""COMPUTED_VALUE"""),"Heri (BT)")</f>
        <v>Heri (BT)</v>
      </c>
      <c r="F4711" s="14" t="str">
        <f>IFERROR(__xludf.DUMMYFUNCTION("""COMPUTED_VALUE"""),"SELESAI (VIA PERMOHONAN)")</f>
        <v>SELESAI (VIA PERMOHONAN)</v>
      </c>
      <c r="G4711" s="17">
        <f>IFERROR(__xludf.DUMMYFUNCTION("""COMPUTED_VALUE"""),46010.68134364583)</f>
        <v>46010.68134</v>
      </c>
      <c r="H4711" s="14"/>
      <c r="I4711" s="13"/>
      <c r="J4711" s="17" t="str">
        <f>IFERROR(__xludf.DUMMYFUNCTION("""COMPUTED_VALUE"""),"")</f>
        <v/>
      </c>
      <c r="K4711" s="13" t="str">
        <f>IFERROR(__xludf.DUMMYFUNCTION("""COMPUTED_VALUE"""),"BT atau SU Belum Valid")</f>
        <v>BT atau SU Belum Valid</v>
      </c>
      <c r="L4711" s="13" t="str">
        <f>IFERROR(__xludf.DUMMYFUNCTION("""COMPUTED_VALUE"""),"")</f>
        <v/>
      </c>
      <c r="M4711" s="13"/>
      <c r="N4711" s="13" t="str">
        <f>IFERROR(__xludf.DUMMYFUNCTION("""COMPUTED_VALUE"""),"")</f>
        <v/>
      </c>
      <c r="O4711" s="13" t="str">
        <f t="shared" si="1"/>
        <v/>
      </c>
    </row>
    <row r="4712" ht="22.5" customHeight="1">
      <c r="B4712" s="13">
        <f>IFERROR(__xludf.DUMMYFUNCTION("""COMPUTED_VALUE"""),4707.0)</f>
        <v>4707</v>
      </c>
      <c r="C4712" s="13" t="str">
        <f>IFERROR(__xludf.DUMMYFUNCTION("""COMPUTED_VALUE"""),"B 357/ TANJUNG GADING")</f>
        <v>B 357/ TANJUNG GADING</v>
      </c>
      <c r="D4712" s="13" t="str">
        <f>IFERROR(__xludf.DUMMYFUNCTION("""COMPUTED_VALUE"""),"ABYYWIMF")</f>
        <v>ABYYWIMF</v>
      </c>
      <c r="E4712" s="14" t="str">
        <f>IFERROR(__xludf.DUMMYFUNCTION("""COMPUTED_VALUE"""),"Heri (BT)")</f>
        <v>Heri (BT)</v>
      </c>
      <c r="F4712" s="14" t="str">
        <f>IFERROR(__xludf.DUMMYFUNCTION("""COMPUTED_VALUE"""),"SELESAI (VIA PERMOHONAN)")</f>
        <v>SELESAI (VIA PERMOHONAN)</v>
      </c>
      <c r="G4712" s="17">
        <f>IFERROR(__xludf.DUMMYFUNCTION("""COMPUTED_VALUE"""),46010.68147782407)</f>
        <v>46010.68148</v>
      </c>
      <c r="H4712" s="14"/>
      <c r="I4712" s="13"/>
      <c r="J4712" s="17" t="str">
        <f>IFERROR(__xludf.DUMMYFUNCTION("""COMPUTED_VALUE"""),"")</f>
        <v/>
      </c>
      <c r="K4712" s="13" t="str">
        <f>IFERROR(__xludf.DUMMYFUNCTION("""COMPUTED_VALUE"""),"BT atau SU Belum Valid")</f>
        <v>BT atau SU Belum Valid</v>
      </c>
      <c r="L4712" s="13" t="str">
        <f>IFERROR(__xludf.DUMMYFUNCTION("""COMPUTED_VALUE"""),"")</f>
        <v/>
      </c>
      <c r="M4712" s="13"/>
      <c r="N4712" s="13" t="str">
        <f>IFERROR(__xludf.DUMMYFUNCTION("""COMPUTED_VALUE"""),"")</f>
        <v/>
      </c>
      <c r="O4712" s="13" t="str">
        <f t="shared" si="1"/>
        <v/>
      </c>
    </row>
    <row r="4713" ht="22.5" customHeight="1">
      <c r="B4713" s="13">
        <f>IFERROR(__xludf.DUMMYFUNCTION("""COMPUTED_VALUE"""),4708.0)</f>
        <v>4708</v>
      </c>
      <c r="C4713" s="13" t="str">
        <f>IFERROR(__xludf.DUMMYFUNCTION("""COMPUTED_VALUE"""),"Shm 11062/Jg.II")</f>
        <v>Shm 11062/Jg.II</v>
      </c>
      <c r="D4713" s="13" t="str">
        <f>IFERROR(__xludf.DUMMYFUNCTION("""COMPUTED_VALUE"""),"ABULBSIL")</f>
        <v>ABULBSIL</v>
      </c>
      <c r="E4713" s="14" t="str">
        <f>IFERROR(__xludf.DUMMYFUNCTION("""COMPUTED_VALUE"""),"Heri (BT)")</f>
        <v>Heri (BT)</v>
      </c>
      <c r="F4713" s="14" t="str">
        <f>IFERROR(__xludf.DUMMYFUNCTION("""COMPUTED_VALUE"""),"SELESAI (VIA PERMOHONAN)")</f>
        <v>SELESAI (VIA PERMOHONAN)</v>
      </c>
      <c r="G4713" s="17">
        <f>IFERROR(__xludf.DUMMYFUNCTION("""COMPUTED_VALUE"""),46014.442305613426)</f>
        <v>46014.44231</v>
      </c>
      <c r="H4713" s="14"/>
      <c r="I4713" s="13"/>
      <c r="J4713" s="17" t="str">
        <f>IFERROR(__xludf.DUMMYFUNCTION("""COMPUTED_VALUE"""),"")</f>
        <v/>
      </c>
      <c r="K4713" s="13" t="str">
        <f>IFERROR(__xludf.DUMMYFUNCTION("""COMPUTED_VALUE"""),"BT atau SU Belum Valid")</f>
        <v>BT atau SU Belum Valid</v>
      </c>
      <c r="L4713" s="13" t="str">
        <f>IFERROR(__xludf.DUMMYFUNCTION("""COMPUTED_VALUE"""),"")</f>
        <v/>
      </c>
      <c r="M4713" s="13"/>
      <c r="N4713" s="13" t="str">
        <f>IFERROR(__xludf.DUMMYFUNCTION("""COMPUTED_VALUE"""),"")</f>
        <v/>
      </c>
      <c r="O4713" s="13" t="str">
        <f t="shared" si="1"/>
        <v/>
      </c>
    </row>
    <row r="4714" ht="22.5" customHeight="1">
      <c r="B4714" s="13">
        <f>IFERROR(__xludf.DUMMYFUNCTION("""COMPUTED_VALUE"""),4709.0)</f>
        <v>4709</v>
      </c>
      <c r="C4714" s="13" t="str">
        <f>IFERROR(__xludf.DUMMYFUNCTION("""COMPUTED_VALUE"""),"B.888/ps")</f>
        <v>B.888/ps</v>
      </c>
      <c r="D4714" s="13" t="str">
        <f>IFERROR(__xludf.DUMMYFUNCTION("""COMPUTED_VALUE"""),"ABYLKVAC")</f>
        <v>ABYLKVAC</v>
      </c>
      <c r="E4714" s="14" t="str">
        <f>IFERROR(__xludf.DUMMYFUNCTION("""COMPUTED_VALUE"""),"Heri (BT)")</f>
        <v>Heri (BT)</v>
      </c>
      <c r="F4714" s="14" t="str">
        <f>IFERROR(__xludf.DUMMYFUNCTION("""COMPUTED_VALUE"""),"SELESAI (VIA PERMOHONAN)")</f>
        <v>SELESAI (VIA PERMOHONAN)</v>
      </c>
      <c r="G4714" s="17">
        <f>IFERROR(__xludf.DUMMYFUNCTION("""COMPUTED_VALUE"""),46014.44243207176)</f>
        <v>46014.44243</v>
      </c>
      <c r="H4714" s="14"/>
      <c r="I4714" s="13"/>
      <c r="J4714" s="17" t="str">
        <f>IFERROR(__xludf.DUMMYFUNCTION("""COMPUTED_VALUE"""),"")</f>
        <v/>
      </c>
      <c r="K4714" s="13" t="str">
        <f>IFERROR(__xludf.DUMMYFUNCTION("""COMPUTED_VALUE"""),"BT atau SU Belum Valid")</f>
        <v>BT atau SU Belum Valid</v>
      </c>
      <c r="L4714" s="13" t="str">
        <f>IFERROR(__xludf.DUMMYFUNCTION("""COMPUTED_VALUE"""),"")</f>
        <v/>
      </c>
      <c r="M4714" s="13"/>
      <c r="N4714" s="13" t="str">
        <f>IFERROR(__xludf.DUMMYFUNCTION("""COMPUTED_VALUE"""),"")</f>
        <v/>
      </c>
      <c r="O4714" s="13" t="str">
        <f t="shared" si="1"/>
        <v/>
      </c>
    </row>
    <row r="4715" ht="22.5" customHeight="1">
      <c r="B4715" s="13">
        <f>IFERROR(__xludf.DUMMYFUNCTION("""COMPUTED_VALUE"""),4710.0)</f>
        <v>4710</v>
      </c>
      <c r="C4715" s="13" t="str">
        <f>IFERROR(__xludf.DUMMYFUNCTION("""COMPUTED_VALUE"""),"Shm 50/Kupang Teba")</f>
        <v>Shm 50/Kupang Teba</v>
      </c>
      <c r="D4715" s="13" t="str">
        <f>IFERROR(__xludf.DUMMYFUNCTION("""COMPUTED_VALUE"""),"ABVDANRN/AB102")</f>
        <v>ABVDANRN/AB102</v>
      </c>
      <c r="E4715" s="14" t="str">
        <f>IFERROR(__xludf.DUMMYFUNCTION("""COMPUTED_VALUE"""),"Heri (BT)")</f>
        <v>Heri (BT)</v>
      </c>
      <c r="F4715" s="14" t="str">
        <f>IFERROR(__xludf.DUMMYFUNCTION("""COMPUTED_VALUE"""),"SELESAI (VIA PERMOHONAN)")</f>
        <v>SELESAI (VIA PERMOHONAN)</v>
      </c>
      <c r="G4715" s="17">
        <f>IFERROR(__xludf.DUMMYFUNCTION("""COMPUTED_VALUE"""),46014.44246547454)</f>
        <v>46014.44247</v>
      </c>
      <c r="H4715" s="14"/>
      <c r="I4715" s="13"/>
      <c r="J4715" s="17" t="str">
        <f>IFERROR(__xludf.DUMMYFUNCTION("""COMPUTED_VALUE"""),"")</f>
        <v/>
      </c>
      <c r="K4715" s="13" t="str">
        <f>IFERROR(__xludf.DUMMYFUNCTION("""COMPUTED_VALUE"""),"BT atau SU Belum Valid")</f>
        <v>BT atau SU Belum Valid</v>
      </c>
      <c r="L4715" s="13" t="str">
        <f>IFERROR(__xludf.DUMMYFUNCTION("""COMPUTED_VALUE"""),"")</f>
        <v/>
      </c>
      <c r="M4715" s="13"/>
      <c r="N4715" s="13" t="str">
        <f>IFERROR(__xludf.DUMMYFUNCTION("""COMPUTED_VALUE"""),"")</f>
        <v/>
      </c>
      <c r="O4715" s="13" t="str">
        <f t="shared" si="1"/>
        <v/>
      </c>
    </row>
    <row r="4716" ht="22.5" customHeight="1">
      <c r="B4716" s="13">
        <f>IFERROR(__xludf.DUMMYFUNCTION("""COMPUTED_VALUE"""),4711.0)</f>
        <v>4711</v>
      </c>
      <c r="C4716" s="13" t="str">
        <f>IFERROR(__xludf.DUMMYFUNCTION("""COMPUTED_VALUE"""),"M. 398/PERUMNAS WAY KANDIS")</f>
        <v>M. 398/PERUMNAS WAY KANDIS</v>
      </c>
      <c r="D4716" s="13" t="str">
        <f>IFERROR(__xludf.DUMMYFUNCTION("""COMPUTED_VALUE"""),"L/11/191125/1")</f>
        <v>L/11/191125/1</v>
      </c>
      <c r="E4716" s="14" t="str">
        <f>IFERROR(__xludf.DUMMYFUNCTION("""COMPUTED_VALUE"""),"Heri (BT)")</f>
        <v>Heri (BT)</v>
      </c>
      <c r="F4716" s="14" t="str">
        <f>IFERROR(__xludf.DUMMYFUNCTION("""COMPUTED_VALUE"""),"SELESAI (VIA PERMOHONAN)")</f>
        <v>SELESAI (VIA PERMOHONAN)</v>
      </c>
      <c r="G4716" s="17">
        <f>IFERROR(__xludf.DUMMYFUNCTION("""COMPUTED_VALUE"""),46014.44248138889)</f>
        <v>46014.44248</v>
      </c>
      <c r="H4716" s="14"/>
      <c r="I4716" s="13"/>
      <c r="J4716" s="17" t="str">
        <f>IFERROR(__xludf.DUMMYFUNCTION("""COMPUTED_VALUE"""),"")</f>
        <v/>
      </c>
      <c r="K4716" s="13" t="str">
        <f>IFERROR(__xludf.DUMMYFUNCTION("""COMPUTED_VALUE"""),"BT atau SU Belum Valid")</f>
        <v>BT atau SU Belum Valid</v>
      </c>
      <c r="L4716" s="13" t="str">
        <f>IFERROR(__xludf.DUMMYFUNCTION("""COMPUTED_VALUE"""),"")</f>
        <v/>
      </c>
      <c r="M4716" s="13"/>
      <c r="N4716" s="13" t="str">
        <f>IFERROR(__xludf.DUMMYFUNCTION("""COMPUTED_VALUE"""),"")</f>
        <v/>
      </c>
      <c r="O4716" s="13" t="str">
        <f t="shared" si="1"/>
        <v/>
      </c>
    </row>
    <row r="4717" ht="22.5" customHeight="1">
      <c r="B4717" s="13">
        <f>IFERROR(__xludf.DUMMYFUNCTION("""COMPUTED_VALUE"""),4712.0)</f>
        <v>4712</v>
      </c>
      <c r="C4717" s="13" t="str">
        <f>IFERROR(__xludf.DUMMYFUNCTION("""COMPUTED_VALUE"""),"B. 2091/SUKARAME I")</f>
        <v>B. 2091/SUKARAME I</v>
      </c>
      <c r="D4717" s="13" t="str">
        <f>IFERROR(__xludf.DUMMYFUNCTION("""COMPUTED_VALUE"""),"L/6/061125/1")</f>
        <v>L/6/061125/1</v>
      </c>
      <c r="E4717" s="14" t="str">
        <f>IFERROR(__xludf.DUMMYFUNCTION("""COMPUTED_VALUE"""),"Heri (BT)")</f>
        <v>Heri (BT)</v>
      </c>
      <c r="F4717" s="14" t="str">
        <f>IFERROR(__xludf.DUMMYFUNCTION("""COMPUTED_VALUE"""),"SELESAI (VIA PERMOHONAN)")</f>
        <v>SELESAI (VIA PERMOHONAN)</v>
      </c>
      <c r="G4717" s="17">
        <f>IFERROR(__xludf.DUMMYFUNCTION("""COMPUTED_VALUE"""),46014.44249565972)</f>
        <v>46014.4425</v>
      </c>
      <c r="H4717" s="14"/>
      <c r="I4717" s="13"/>
      <c r="J4717" s="17" t="str">
        <f>IFERROR(__xludf.DUMMYFUNCTION("""COMPUTED_VALUE"""),"")</f>
        <v/>
      </c>
      <c r="K4717" s="13" t="str">
        <f>IFERROR(__xludf.DUMMYFUNCTION("""COMPUTED_VALUE"""),"BT atau SU Belum Valid")</f>
        <v>BT atau SU Belum Valid</v>
      </c>
      <c r="L4717" s="13" t="str">
        <f>IFERROR(__xludf.DUMMYFUNCTION("""COMPUTED_VALUE"""),"")</f>
        <v/>
      </c>
      <c r="M4717" s="13"/>
      <c r="N4717" s="13" t="str">
        <f>IFERROR(__xludf.DUMMYFUNCTION("""COMPUTED_VALUE"""),"")</f>
        <v/>
      </c>
      <c r="O4717" s="13" t="str">
        <f t="shared" si="1"/>
        <v/>
      </c>
    </row>
    <row r="4718" ht="22.5" customHeight="1">
      <c r="B4718" s="13">
        <f>IFERROR(__xludf.DUMMYFUNCTION("""COMPUTED_VALUE"""),4713.0)</f>
        <v>4713</v>
      </c>
      <c r="C4718" s="13" t="str">
        <f>IFERROR(__xludf.DUMMYFUNCTION("""COMPUTED_VALUE"""),"M. 173/NEGERI OLOK GADING")</f>
        <v>M. 173/NEGERI OLOK GADING</v>
      </c>
      <c r="D4718" s="13" t="str">
        <f>IFERROR(__xludf.DUMMYFUNCTION("""COMPUTED_VALUE"""),"L/16/211125/1")</f>
        <v>L/16/211125/1</v>
      </c>
      <c r="E4718" s="14" t="str">
        <f>IFERROR(__xludf.DUMMYFUNCTION("""COMPUTED_VALUE"""),"Heri (BT)")</f>
        <v>Heri (BT)</v>
      </c>
      <c r="F4718" s="14" t="str">
        <f>IFERROR(__xludf.DUMMYFUNCTION("""COMPUTED_VALUE"""),"SELESAI (VIA PERMOHONAN)")</f>
        <v>SELESAI (VIA PERMOHONAN)</v>
      </c>
      <c r="G4718" s="17">
        <f>IFERROR(__xludf.DUMMYFUNCTION("""COMPUTED_VALUE"""),46014.442512037036)</f>
        <v>46014.44251</v>
      </c>
      <c r="H4718" s="14"/>
      <c r="I4718" s="13"/>
      <c r="J4718" s="17" t="str">
        <f>IFERROR(__xludf.DUMMYFUNCTION("""COMPUTED_VALUE"""),"")</f>
        <v/>
      </c>
      <c r="K4718" s="13" t="str">
        <f>IFERROR(__xludf.DUMMYFUNCTION("""COMPUTED_VALUE"""),"BT atau SU Belum Valid")</f>
        <v>BT atau SU Belum Valid</v>
      </c>
      <c r="L4718" s="13" t="str">
        <f>IFERROR(__xludf.DUMMYFUNCTION("""COMPUTED_VALUE"""),"")</f>
        <v/>
      </c>
      <c r="M4718" s="13"/>
      <c r="N4718" s="13" t="str">
        <f>IFERROR(__xludf.DUMMYFUNCTION("""COMPUTED_VALUE"""),"")</f>
        <v/>
      </c>
      <c r="O4718" s="13" t="str">
        <f t="shared" si="1"/>
        <v/>
      </c>
    </row>
    <row r="4719" ht="22.5" customHeight="1">
      <c r="B4719" s="13">
        <f>IFERROR(__xludf.DUMMYFUNCTION("""COMPUTED_VALUE"""),4714.0)</f>
        <v>4714</v>
      </c>
      <c r="C4719" s="13" t="str">
        <f>IFERROR(__xludf.DUMMYFUNCTION("""COMPUTED_VALUE"""),"M. 809/ KORPRI JAYA")</f>
        <v>M. 809/ KORPRI JAYA</v>
      </c>
      <c r="D4719" s="13" t="str">
        <f>IFERROR(__xludf.DUMMYFUNCTION("""COMPUTED_VALUE"""),"K/39/150825/1")</f>
        <v>K/39/150825/1</v>
      </c>
      <c r="E4719" s="14" t="str">
        <f>IFERROR(__xludf.DUMMYFUNCTION("""COMPUTED_VALUE"""),"Heri (BT)")</f>
        <v>Heri (BT)</v>
      </c>
      <c r="F4719" s="14" t="str">
        <f>IFERROR(__xludf.DUMMYFUNCTION("""COMPUTED_VALUE"""),"SELESAI (VIA PERMOHONAN)")</f>
        <v>SELESAI (VIA PERMOHONAN)</v>
      </c>
      <c r="G4719" s="17">
        <f>IFERROR(__xludf.DUMMYFUNCTION("""COMPUTED_VALUE"""),46014.44252575231)</f>
        <v>46014.44253</v>
      </c>
      <c r="H4719" s="14"/>
      <c r="I4719" s="13"/>
      <c r="J4719" s="17" t="str">
        <f>IFERROR(__xludf.DUMMYFUNCTION("""COMPUTED_VALUE"""),"")</f>
        <v/>
      </c>
      <c r="K4719" s="13" t="str">
        <f>IFERROR(__xludf.DUMMYFUNCTION("""COMPUTED_VALUE"""),"BT atau SU Belum Valid")</f>
        <v>BT atau SU Belum Valid</v>
      </c>
      <c r="L4719" s="13" t="str">
        <f>IFERROR(__xludf.DUMMYFUNCTION("""COMPUTED_VALUE"""),"")</f>
        <v/>
      </c>
      <c r="M4719" s="13"/>
      <c r="N4719" s="13" t="str">
        <f>IFERROR(__xludf.DUMMYFUNCTION("""COMPUTED_VALUE"""),"")</f>
        <v/>
      </c>
      <c r="O4719" s="13" t="str">
        <f t="shared" si="1"/>
        <v/>
      </c>
    </row>
    <row r="4720" ht="22.5" customHeight="1">
      <c r="B4720" s="13">
        <f>IFERROR(__xludf.DUMMYFUNCTION("""COMPUTED_VALUE"""),4715.0)</f>
        <v>4715</v>
      </c>
      <c r="C4720" s="13" t="str">
        <f>IFERROR(__xludf.DUMMYFUNCTION("""COMPUTED_VALUE"""),"M. 1320/sumur batu")</f>
        <v>M. 1320/sumur batu</v>
      </c>
      <c r="D4720" s="13" t="str">
        <f>IFERROR(__xludf.DUMMYFUNCTION("""COMPUTED_VALUE"""),"ABFUVCIT")</f>
        <v>ABFUVCIT</v>
      </c>
      <c r="E4720" s="14" t="str">
        <f>IFERROR(__xludf.DUMMYFUNCTION("""COMPUTED_VALUE"""),"Heri (BT)")</f>
        <v>Heri (BT)</v>
      </c>
      <c r="F4720" s="14" t="str">
        <f>IFERROR(__xludf.DUMMYFUNCTION("""COMPUTED_VALUE"""),"SELESAI (VIA PERMOHONAN)")</f>
        <v>SELESAI (VIA PERMOHONAN)</v>
      </c>
      <c r="G4720" s="17">
        <f>IFERROR(__xludf.DUMMYFUNCTION("""COMPUTED_VALUE"""),46014.44326909722)</f>
        <v>46014.44327</v>
      </c>
      <c r="H4720" s="14"/>
      <c r="I4720" s="13"/>
      <c r="J4720" s="17" t="str">
        <f>IFERROR(__xludf.DUMMYFUNCTION("""COMPUTED_VALUE"""),"")</f>
        <v/>
      </c>
      <c r="K4720" s="13" t="str">
        <f>IFERROR(__xludf.DUMMYFUNCTION("""COMPUTED_VALUE"""),"BT atau SU Belum Valid")</f>
        <v>BT atau SU Belum Valid</v>
      </c>
      <c r="L4720" s="13" t="str">
        <f>IFERROR(__xludf.DUMMYFUNCTION("""COMPUTED_VALUE"""),"")</f>
        <v/>
      </c>
      <c r="M4720" s="13"/>
      <c r="N4720" s="13" t="str">
        <f>IFERROR(__xludf.DUMMYFUNCTION("""COMPUTED_VALUE"""),"")</f>
        <v/>
      </c>
      <c r="O4720" s="13" t="str">
        <f t="shared" si="1"/>
        <v/>
      </c>
    </row>
    <row r="4721" ht="22.5" customHeight="1">
      <c r="B4721" s="13">
        <f>IFERROR(__xludf.DUMMYFUNCTION("""COMPUTED_VALUE"""),4716.0)</f>
        <v>4716</v>
      </c>
      <c r="C4721" s="13" t="str">
        <f>IFERROR(__xludf.DUMMYFUNCTION("""COMPUTED_VALUE"""),"M.1034/WAY HALIM HALIM")</f>
        <v>M.1034/WAY HALIM HALIM</v>
      </c>
      <c r="D4721" s="13" t="str">
        <f>IFERROR(__xludf.DUMMYFUNCTION("""COMPUTED_VALUE"""),"AB017")</f>
        <v>AB017</v>
      </c>
      <c r="E4721" s="14" t="str">
        <f>IFERROR(__xludf.DUMMYFUNCTION("""COMPUTED_VALUE"""),"Heri (BT)")</f>
        <v>Heri (BT)</v>
      </c>
      <c r="F4721" s="14" t="str">
        <f>IFERROR(__xludf.DUMMYFUNCTION("""COMPUTED_VALUE"""),"SELESAI (VIA PERMOHONAN)")</f>
        <v>SELESAI (VIA PERMOHONAN)</v>
      </c>
      <c r="G4721" s="17">
        <f>IFERROR(__xludf.DUMMYFUNCTION("""COMPUTED_VALUE"""),46014.4432799537)</f>
        <v>46014.44328</v>
      </c>
      <c r="H4721" s="14"/>
      <c r="I4721" s="13"/>
      <c r="J4721" s="17" t="str">
        <f>IFERROR(__xludf.DUMMYFUNCTION("""COMPUTED_VALUE"""),"")</f>
        <v/>
      </c>
      <c r="K4721" s="13" t="str">
        <f>IFERROR(__xludf.DUMMYFUNCTION("""COMPUTED_VALUE"""),"BT atau SU Belum Valid")</f>
        <v>BT atau SU Belum Valid</v>
      </c>
      <c r="L4721" s="13" t="str">
        <f>IFERROR(__xludf.DUMMYFUNCTION("""COMPUTED_VALUE"""),"")</f>
        <v/>
      </c>
      <c r="M4721" s="13"/>
      <c r="N4721" s="13" t="str">
        <f>IFERROR(__xludf.DUMMYFUNCTION("""COMPUTED_VALUE"""),"")</f>
        <v/>
      </c>
      <c r="O4721" s="13" t="str">
        <f t="shared" si="1"/>
        <v/>
      </c>
    </row>
    <row r="4722" ht="22.5" customHeight="1">
      <c r="B4722" s="13">
        <f>IFERROR(__xludf.DUMMYFUNCTION("""COMPUTED_VALUE"""),4717.0)</f>
        <v>4717</v>
      </c>
      <c r="C4722" s="13" t="str">
        <f>IFERROR(__xludf.DUMMYFUNCTION("""COMPUTED_VALUE"""),"M 1072/ Kedaung")</f>
        <v>M 1072/ Kedaung</v>
      </c>
      <c r="D4722" s="13" t="str">
        <f>IFERROR(__xludf.DUMMYFUNCTION("""COMPUTED_VALUE"""),"ABBFSIEK/1")</f>
        <v>ABBFSIEK/1</v>
      </c>
      <c r="E4722" s="14" t="str">
        <f>IFERROR(__xludf.DUMMYFUNCTION("""COMPUTED_VALUE"""),"Heri (BT)")</f>
        <v>Heri (BT)</v>
      </c>
      <c r="F4722" s="14" t="str">
        <f>IFERROR(__xludf.DUMMYFUNCTION("""COMPUTED_VALUE"""),"SELESAI (VIA PERMOHONAN)")</f>
        <v>SELESAI (VIA PERMOHONAN)</v>
      </c>
      <c r="G4722" s="17">
        <f>IFERROR(__xludf.DUMMYFUNCTION("""COMPUTED_VALUE"""),46014.44352349537)</f>
        <v>46014.44352</v>
      </c>
      <c r="H4722" s="14"/>
      <c r="I4722" s="13"/>
      <c r="J4722" s="17" t="str">
        <f>IFERROR(__xludf.DUMMYFUNCTION("""COMPUTED_VALUE"""),"")</f>
        <v/>
      </c>
      <c r="K4722" s="13" t="str">
        <f>IFERROR(__xludf.DUMMYFUNCTION("""COMPUTED_VALUE"""),"BT atau SU Belum Valid")</f>
        <v>BT atau SU Belum Valid</v>
      </c>
      <c r="L4722" s="13" t="str">
        <f>IFERROR(__xludf.DUMMYFUNCTION("""COMPUTED_VALUE"""),"")</f>
        <v/>
      </c>
      <c r="M4722" s="13"/>
      <c r="N4722" s="13" t="str">
        <f>IFERROR(__xludf.DUMMYFUNCTION("""COMPUTED_VALUE"""),"")</f>
        <v/>
      </c>
      <c r="O4722" s="13" t="str">
        <f t="shared" si="1"/>
        <v/>
      </c>
    </row>
    <row r="4723" ht="22.5" customHeight="1">
      <c r="B4723" s="13">
        <f>IFERROR(__xludf.DUMMYFUNCTION("""COMPUTED_VALUE"""),4718.0)</f>
        <v>4718</v>
      </c>
      <c r="C4723" s="13" t="str">
        <f>IFERROR(__xludf.DUMMYFUNCTION("""COMPUTED_VALUE"""),"1411/Gu.T")</f>
        <v>1411/Gu.T</v>
      </c>
      <c r="D4723" s="13" t="str">
        <f>IFERROR(__xludf.DUMMYFUNCTION("""COMPUTED_VALUE"""),"ABICVECD")</f>
        <v>ABICVECD</v>
      </c>
      <c r="E4723" s="14" t="str">
        <f>IFERROR(__xludf.DUMMYFUNCTION("""COMPUTED_VALUE"""),"Heri (BT)")</f>
        <v>Heri (BT)</v>
      </c>
      <c r="F4723" s="14" t="str">
        <f>IFERROR(__xludf.DUMMYFUNCTION("""COMPUTED_VALUE"""),"SELESAI (VIA PERMOHONAN)")</f>
        <v>SELESAI (VIA PERMOHONAN)</v>
      </c>
      <c r="G4723" s="17">
        <f>IFERROR(__xludf.DUMMYFUNCTION("""COMPUTED_VALUE"""),46014.44369439815)</f>
        <v>46014.44369</v>
      </c>
      <c r="H4723" s="14"/>
      <c r="I4723" s="13"/>
      <c r="J4723" s="17" t="str">
        <f>IFERROR(__xludf.DUMMYFUNCTION("""COMPUTED_VALUE"""),"")</f>
        <v/>
      </c>
      <c r="K4723" s="13" t="str">
        <f>IFERROR(__xludf.DUMMYFUNCTION("""COMPUTED_VALUE"""),"BT atau SU Belum Valid")</f>
        <v>BT atau SU Belum Valid</v>
      </c>
      <c r="L4723" s="13" t="str">
        <f>IFERROR(__xludf.DUMMYFUNCTION("""COMPUTED_VALUE"""),"")</f>
        <v/>
      </c>
      <c r="M4723" s="13"/>
      <c r="N4723" s="13" t="str">
        <f>IFERROR(__xludf.DUMMYFUNCTION("""COMPUTED_VALUE"""),"")</f>
        <v/>
      </c>
      <c r="O4723" s="13" t="str">
        <f t="shared" si="1"/>
        <v/>
      </c>
    </row>
    <row r="4724" ht="22.5" customHeight="1">
      <c r="B4724" s="13">
        <f>IFERROR(__xludf.DUMMYFUNCTION("""COMPUTED_VALUE"""),4719.0)</f>
        <v>4719</v>
      </c>
      <c r="C4724" s="13" t="str">
        <f>IFERROR(__xludf.DUMMYFUNCTION("""COMPUTED_VALUE"""),"M 4456/ GUNUNG TERANG")</f>
        <v>M 4456/ GUNUNG TERANG</v>
      </c>
      <c r="D4724" s="13" t="str">
        <f>IFERROR(__xludf.DUMMYFUNCTION("""COMPUTED_VALUE"""),"ABQRLTXW")</f>
        <v>ABQRLTXW</v>
      </c>
      <c r="E4724" s="14" t="str">
        <f>IFERROR(__xludf.DUMMYFUNCTION("""COMPUTED_VALUE"""),"Heri (BT)")</f>
        <v>Heri (BT)</v>
      </c>
      <c r="F4724" s="14" t="str">
        <f>IFERROR(__xludf.DUMMYFUNCTION("""COMPUTED_VALUE"""),"SELESAI (VIA PERMOHONAN)")</f>
        <v>SELESAI (VIA PERMOHONAN)</v>
      </c>
      <c r="G4724" s="17">
        <f>IFERROR(__xludf.DUMMYFUNCTION("""COMPUTED_VALUE"""),46014.44399501158)</f>
        <v>46014.444</v>
      </c>
      <c r="H4724" s="14"/>
      <c r="I4724" s="13"/>
      <c r="J4724" s="17" t="str">
        <f>IFERROR(__xludf.DUMMYFUNCTION("""COMPUTED_VALUE"""),"")</f>
        <v/>
      </c>
      <c r="K4724" s="13" t="str">
        <f>IFERROR(__xludf.DUMMYFUNCTION("""COMPUTED_VALUE"""),"BT atau SU Belum Valid")</f>
        <v>BT atau SU Belum Valid</v>
      </c>
      <c r="L4724" s="13" t="str">
        <f>IFERROR(__xludf.DUMMYFUNCTION("""COMPUTED_VALUE"""),"")</f>
        <v/>
      </c>
      <c r="M4724" s="13"/>
      <c r="N4724" s="13" t="str">
        <f>IFERROR(__xludf.DUMMYFUNCTION("""COMPUTED_VALUE"""),"")</f>
        <v/>
      </c>
      <c r="O4724" s="13" t="str">
        <f t="shared" si="1"/>
        <v/>
      </c>
    </row>
    <row r="4725" ht="22.5" customHeight="1">
      <c r="B4725" s="13">
        <f>IFERROR(__xludf.DUMMYFUNCTION("""COMPUTED_VALUE"""),4720.0)</f>
        <v>4720</v>
      </c>
      <c r="C4725" s="13" t="str">
        <f>IFERROR(__xludf.DUMMYFUNCTION("""COMPUTED_VALUE"""),"M. 481/Rajabasa Jaya	")</f>
        <v>M. 481/Rajabasa Jaya	</v>
      </c>
      <c r="D4725" s="13" t="str">
        <f>IFERROR(__xludf.DUMMYFUNCTION("""COMPUTED_VALUE"""),"K/18/071025/1")</f>
        <v>K/18/071025/1</v>
      </c>
      <c r="E4725" s="14" t="str">
        <f>IFERROR(__xludf.DUMMYFUNCTION("""COMPUTED_VALUE"""),"Heri (BT)")</f>
        <v>Heri (BT)</v>
      </c>
      <c r="F4725" s="14" t="str">
        <f>IFERROR(__xludf.DUMMYFUNCTION("""COMPUTED_VALUE"""),"SELESAI (VIA PERMOHONAN)")</f>
        <v>SELESAI (VIA PERMOHONAN)</v>
      </c>
      <c r="G4725" s="17">
        <f>IFERROR(__xludf.DUMMYFUNCTION("""COMPUTED_VALUE"""),46014.44421888889)</f>
        <v>46014.44422</v>
      </c>
      <c r="H4725" s="14"/>
      <c r="I4725" s="13"/>
      <c r="J4725" s="17" t="str">
        <f>IFERROR(__xludf.DUMMYFUNCTION("""COMPUTED_VALUE"""),"")</f>
        <v/>
      </c>
      <c r="K4725" s="13" t="str">
        <f>IFERROR(__xludf.DUMMYFUNCTION("""COMPUTED_VALUE"""),"BT atau SU Belum Valid")</f>
        <v>BT atau SU Belum Valid</v>
      </c>
      <c r="L4725" s="13" t="str">
        <f>IFERROR(__xludf.DUMMYFUNCTION("""COMPUTED_VALUE"""),"")</f>
        <v/>
      </c>
      <c r="M4725" s="13"/>
      <c r="N4725" s="13" t="str">
        <f>IFERROR(__xludf.DUMMYFUNCTION("""COMPUTED_VALUE"""),"")</f>
        <v/>
      </c>
      <c r="O4725" s="13" t="str">
        <f t="shared" si="1"/>
        <v/>
      </c>
    </row>
    <row r="4726" ht="22.5" customHeight="1">
      <c r="B4726" s="13">
        <f>IFERROR(__xludf.DUMMYFUNCTION("""COMPUTED_VALUE"""),4721.0)</f>
        <v>4721</v>
      </c>
      <c r="C4726" s="13" t="str">
        <f>IFERROR(__xludf.DUMMYFUNCTION("""COMPUTED_VALUE"""),"M. 2047/JAGABAYA III")</f>
        <v>M. 2047/JAGABAYA III</v>
      </c>
      <c r="D4726" s="13" t="str">
        <f>IFERROR(__xludf.DUMMYFUNCTION("""COMPUTED_VALUE"""),"AB034/ABBYNAOT")</f>
        <v>AB034/ABBYNAOT</v>
      </c>
      <c r="E4726" s="14" t="str">
        <f>IFERROR(__xludf.DUMMYFUNCTION("""COMPUTED_VALUE"""),"Heri (BT)")</f>
        <v>Heri (BT)</v>
      </c>
      <c r="F4726" s="14" t="str">
        <f>IFERROR(__xludf.DUMMYFUNCTION("""COMPUTED_VALUE"""),"SELESAI (VIA PERMOHONAN)")</f>
        <v>SELESAI (VIA PERMOHONAN)</v>
      </c>
      <c r="G4726" s="17">
        <f>IFERROR(__xludf.DUMMYFUNCTION("""COMPUTED_VALUE"""),46014.44451353009)</f>
        <v>46014.44451</v>
      </c>
      <c r="H4726" s="14"/>
      <c r="I4726" s="13"/>
      <c r="J4726" s="17" t="str">
        <f>IFERROR(__xludf.DUMMYFUNCTION("""COMPUTED_VALUE"""),"")</f>
        <v/>
      </c>
      <c r="K4726" s="13" t="str">
        <f>IFERROR(__xludf.DUMMYFUNCTION("""COMPUTED_VALUE"""),"BT atau SU Belum Valid")</f>
        <v>BT atau SU Belum Valid</v>
      </c>
      <c r="L4726" s="13" t="str">
        <f>IFERROR(__xludf.DUMMYFUNCTION("""COMPUTED_VALUE"""),"")</f>
        <v/>
      </c>
      <c r="M4726" s="13"/>
      <c r="N4726" s="13" t="str">
        <f>IFERROR(__xludf.DUMMYFUNCTION("""COMPUTED_VALUE"""),"")</f>
        <v/>
      </c>
      <c r="O4726" s="13" t="str">
        <f t="shared" si="1"/>
        <v/>
      </c>
    </row>
    <row r="4727" ht="22.5" customHeight="1">
      <c r="B4727" s="13">
        <f>IFERROR(__xludf.DUMMYFUNCTION("""COMPUTED_VALUE"""),4722.0)</f>
        <v>4722</v>
      </c>
      <c r="C4727" s="13" t="str">
        <f>IFERROR(__xludf.DUMMYFUNCTION("""COMPUTED_VALUE"""),"M. 500/Kupang Kota")</f>
        <v>M. 500/Kupang Kota</v>
      </c>
      <c r="D4727" s="13" t="str">
        <f>IFERROR(__xludf.DUMMYFUNCTION("""COMPUTED_VALUE"""),"ABBIELRD/AB062")</f>
        <v>ABBIELRD/AB062</v>
      </c>
      <c r="E4727" s="14" t="str">
        <f>IFERROR(__xludf.DUMMYFUNCTION("""COMPUTED_VALUE"""),"Heri (BT)")</f>
        <v>Heri (BT)</v>
      </c>
      <c r="F4727" s="14" t="str">
        <f>IFERROR(__xludf.DUMMYFUNCTION("""COMPUTED_VALUE"""),"SELESAI (VIA PERMOHONAN)")</f>
        <v>SELESAI (VIA PERMOHONAN)</v>
      </c>
      <c r="G4727" s="17">
        <f>IFERROR(__xludf.DUMMYFUNCTION("""COMPUTED_VALUE"""),46014.44481935185)</f>
        <v>46014.44482</v>
      </c>
      <c r="H4727" s="14"/>
      <c r="I4727" s="13"/>
      <c r="J4727" s="17" t="str">
        <f>IFERROR(__xludf.DUMMYFUNCTION("""COMPUTED_VALUE"""),"")</f>
        <v/>
      </c>
      <c r="K4727" s="13" t="str">
        <f>IFERROR(__xludf.DUMMYFUNCTION("""COMPUTED_VALUE"""),"BT atau SU Belum Valid")</f>
        <v>BT atau SU Belum Valid</v>
      </c>
      <c r="L4727" s="13" t="str">
        <f>IFERROR(__xludf.DUMMYFUNCTION("""COMPUTED_VALUE"""),"")</f>
        <v/>
      </c>
      <c r="M4727" s="13"/>
      <c r="N4727" s="13" t="str">
        <f>IFERROR(__xludf.DUMMYFUNCTION("""COMPUTED_VALUE"""),"")</f>
        <v/>
      </c>
      <c r="O4727" s="13" t="str">
        <f t="shared" si="1"/>
        <v/>
      </c>
    </row>
    <row r="4728" ht="22.5" customHeight="1">
      <c r="B4728" s="13">
        <f>IFERROR(__xludf.DUMMYFUNCTION("""COMPUTED_VALUE"""),4723.0)</f>
        <v>4723</v>
      </c>
      <c r="C4728" s="13" t="str">
        <f>IFERROR(__xludf.DUMMYFUNCTION("""COMPUTED_VALUE"""),"M 13499/ SUKABUMI")</f>
        <v>M 13499/ SUKABUMI</v>
      </c>
      <c r="D4728" s="13" t="str">
        <f>IFERROR(__xludf.DUMMYFUNCTION("""COMPUTED_VALUE"""),"ABXUJOZW")</f>
        <v>ABXUJOZW</v>
      </c>
      <c r="E4728" s="14" t="str">
        <f>IFERROR(__xludf.DUMMYFUNCTION("""COMPUTED_VALUE"""),"Heri (BT)")</f>
        <v>Heri (BT)</v>
      </c>
      <c r="F4728" s="14" t="str">
        <f>IFERROR(__xludf.DUMMYFUNCTION("""COMPUTED_VALUE"""),"SELESAI (VIA PERMOHONAN)")</f>
        <v>SELESAI (VIA PERMOHONAN)</v>
      </c>
      <c r="G4728" s="17">
        <f>IFERROR(__xludf.DUMMYFUNCTION("""COMPUTED_VALUE"""),46014.44503446759)</f>
        <v>46014.44503</v>
      </c>
      <c r="H4728" s="14"/>
      <c r="I4728" s="13"/>
      <c r="J4728" s="17" t="str">
        <f>IFERROR(__xludf.DUMMYFUNCTION("""COMPUTED_VALUE"""),"")</f>
        <v/>
      </c>
      <c r="K4728" s="13" t="str">
        <f>IFERROR(__xludf.DUMMYFUNCTION("""COMPUTED_VALUE"""),"BT atau SU Belum Valid")</f>
        <v>BT atau SU Belum Valid</v>
      </c>
      <c r="L4728" s="13" t="str">
        <f>IFERROR(__xludf.DUMMYFUNCTION("""COMPUTED_VALUE"""),"")</f>
        <v/>
      </c>
      <c r="M4728" s="13"/>
      <c r="N4728" s="13" t="str">
        <f>IFERROR(__xludf.DUMMYFUNCTION("""COMPUTED_VALUE"""),"")</f>
        <v/>
      </c>
      <c r="O4728" s="13" t="str">
        <f t="shared" si="1"/>
        <v/>
      </c>
    </row>
    <row r="4729" ht="22.5" customHeight="1">
      <c r="B4729" s="13">
        <f>IFERROR(__xludf.DUMMYFUNCTION("""COMPUTED_VALUE"""),4724.0)</f>
        <v>4724</v>
      </c>
      <c r="C4729" s="13" t="str">
        <f>IFERROR(__xludf.DUMMYFUNCTION("""COMPUTED_VALUE"""),"M. 15110/SUKABUMI")</f>
        <v>M. 15110/SUKABUMI</v>
      </c>
      <c r="D4729" s="13" t="str">
        <f>IFERROR(__xludf.DUMMYFUNCTION("""COMPUTED_VALUE"""),"K/1/301025/1")</f>
        <v>K/1/301025/1</v>
      </c>
      <c r="E4729" s="14" t="str">
        <f>IFERROR(__xludf.DUMMYFUNCTION("""COMPUTED_VALUE"""),"Heri (BT)")</f>
        <v>Heri (BT)</v>
      </c>
      <c r="F4729" s="14" t="str">
        <f>IFERROR(__xludf.DUMMYFUNCTION("""COMPUTED_VALUE"""),"SELESAI (VIA PERMOHONAN)")</f>
        <v>SELESAI (VIA PERMOHONAN)</v>
      </c>
      <c r="G4729" s="17">
        <f>IFERROR(__xludf.DUMMYFUNCTION("""COMPUTED_VALUE"""),46014.59028371528)</f>
        <v>46014.59028</v>
      </c>
      <c r="H4729" s="14"/>
      <c r="I4729" s="13"/>
      <c r="J4729" s="17" t="str">
        <f>IFERROR(__xludf.DUMMYFUNCTION("""COMPUTED_VALUE"""),"")</f>
        <v/>
      </c>
      <c r="K4729" s="13" t="str">
        <f>IFERROR(__xludf.DUMMYFUNCTION("""COMPUTED_VALUE"""),"BT atau SU Belum Valid")</f>
        <v>BT atau SU Belum Valid</v>
      </c>
      <c r="L4729" s="13" t="str">
        <f>IFERROR(__xludf.DUMMYFUNCTION("""COMPUTED_VALUE"""),"")</f>
        <v/>
      </c>
      <c r="M4729" s="13"/>
      <c r="N4729" s="13" t="str">
        <f>IFERROR(__xludf.DUMMYFUNCTION("""COMPUTED_VALUE"""),"")</f>
        <v/>
      </c>
      <c r="O4729" s="13" t="str">
        <f t="shared" si="1"/>
        <v/>
      </c>
    </row>
    <row r="4730" ht="22.5" customHeight="1">
      <c r="B4730" s="13">
        <f>IFERROR(__xludf.DUMMYFUNCTION("""COMPUTED_VALUE"""),4725.0)</f>
        <v>4725</v>
      </c>
      <c r="C4730" s="13" t="str">
        <f>IFERROR(__xludf.DUMMYFUNCTION("""COMPUTED_VALUE"""),"M 499/ kaliawi")</f>
        <v>M 499/ kaliawi</v>
      </c>
      <c r="D4730" s="13" t="str">
        <f>IFERROR(__xludf.DUMMYFUNCTION("""COMPUTED_VALUE"""),"ABWQEWPY/AB071")</f>
        <v>ABWQEWPY/AB071</v>
      </c>
      <c r="E4730" s="14" t="str">
        <f>IFERROR(__xludf.DUMMYFUNCTION("""COMPUTED_VALUE"""),"Heri (BT)")</f>
        <v>Heri (BT)</v>
      </c>
      <c r="F4730" s="14" t="str">
        <f>IFERROR(__xludf.DUMMYFUNCTION("""COMPUTED_VALUE"""),"SELESAI (VIA PERMOHONAN)")</f>
        <v>SELESAI (VIA PERMOHONAN)</v>
      </c>
      <c r="G4730" s="17">
        <f>IFERROR(__xludf.DUMMYFUNCTION("""COMPUTED_VALUE"""),46014.591381481485)</f>
        <v>46014.59138</v>
      </c>
      <c r="H4730" s="14"/>
      <c r="I4730" s="13"/>
      <c r="J4730" s="17" t="str">
        <f>IFERROR(__xludf.DUMMYFUNCTION("""COMPUTED_VALUE"""),"")</f>
        <v/>
      </c>
      <c r="K4730" s="13" t="str">
        <f>IFERROR(__xludf.DUMMYFUNCTION("""COMPUTED_VALUE"""),"BT atau SU Belum Valid")</f>
        <v>BT atau SU Belum Valid</v>
      </c>
      <c r="L4730" s="13" t="str">
        <f>IFERROR(__xludf.DUMMYFUNCTION("""COMPUTED_VALUE"""),"")</f>
        <v/>
      </c>
      <c r="M4730" s="13"/>
      <c r="N4730" s="13" t="str">
        <f>IFERROR(__xludf.DUMMYFUNCTION("""COMPUTED_VALUE"""),"")</f>
        <v/>
      </c>
      <c r="O4730" s="13" t="str">
        <f t="shared" si="1"/>
        <v/>
      </c>
    </row>
    <row r="4731" ht="22.5" customHeight="1">
      <c r="B4731" s="13">
        <f>IFERROR(__xludf.DUMMYFUNCTION("""COMPUTED_VALUE"""),4726.0)</f>
        <v>4726</v>
      </c>
      <c r="C4731" s="13" t="str">
        <f>IFERROR(__xludf.DUMMYFUNCTION("""COMPUTED_VALUE"""),"M. 1969/Sukabumi Indah")</f>
        <v>M. 1969/Sukabumi Indah</v>
      </c>
      <c r="D4731" s="13" t="str">
        <f>IFERROR(__xludf.DUMMYFUNCTION("""COMPUTED_VALUE"""),"ABZSARNT/AB016")</f>
        <v>ABZSARNT/AB016</v>
      </c>
      <c r="E4731" s="14" t="str">
        <f>IFERROR(__xludf.DUMMYFUNCTION("""COMPUTED_VALUE"""),"Heri (BT)")</f>
        <v>Heri (BT)</v>
      </c>
      <c r="F4731" s="14" t="str">
        <f>IFERROR(__xludf.DUMMYFUNCTION("""COMPUTED_VALUE"""),"SELESAI (VIA PERMOHONAN)")</f>
        <v>SELESAI (VIA PERMOHONAN)</v>
      </c>
      <c r="G4731" s="17">
        <f>IFERROR(__xludf.DUMMYFUNCTION("""COMPUTED_VALUE"""),46014.591600590276)</f>
        <v>46014.5916</v>
      </c>
      <c r="H4731" s="14"/>
      <c r="I4731" s="13"/>
      <c r="J4731" s="17" t="str">
        <f>IFERROR(__xludf.DUMMYFUNCTION("""COMPUTED_VALUE"""),"")</f>
        <v/>
      </c>
      <c r="K4731" s="13" t="str">
        <f>IFERROR(__xludf.DUMMYFUNCTION("""COMPUTED_VALUE"""),"BT atau SU Belum Valid")</f>
        <v>BT atau SU Belum Valid</v>
      </c>
      <c r="L4731" s="13" t="str">
        <f>IFERROR(__xludf.DUMMYFUNCTION("""COMPUTED_VALUE"""),"")</f>
        <v/>
      </c>
      <c r="M4731" s="13"/>
      <c r="N4731" s="13" t="str">
        <f>IFERROR(__xludf.DUMMYFUNCTION("""COMPUTED_VALUE"""),"")</f>
        <v/>
      </c>
      <c r="O4731" s="13" t="str">
        <f t="shared" si="1"/>
        <v/>
      </c>
    </row>
    <row r="4732" ht="22.5" customHeight="1">
      <c r="B4732" s="13">
        <f>IFERROR(__xludf.DUMMYFUNCTION("""COMPUTED_VALUE"""),4727.0)</f>
        <v>4727</v>
      </c>
      <c r="C4732" s="13" t="str">
        <f>IFERROR(__xludf.DUMMYFUNCTION("""COMPUTED_VALUE"""),"M.3081/Kemiling Permai")</f>
        <v>M.3081/Kemiling Permai</v>
      </c>
      <c r="D4732" s="13" t="str">
        <f>IFERROR(__xludf.DUMMYFUNCTION("""COMPUTED_VALUE"""),"ABCQEFKQ/AB031")</f>
        <v>ABCQEFKQ/AB031</v>
      </c>
      <c r="E4732" s="14" t="str">
        <f>IFERROR(__xludf.DUMMYFUNCTION("""COMPUTED_VALUE"""),"Heri (BT)")</f>
        <v>Heri (BT)</v>
      </c>
      <c r="F4732" s="14" t="str">
        <f>IFERROR(__xludf.DUMMYFUNCTION("""COMPUTED_VALUE"""),"SELESAI (VIA PERMOHONAN)")</f>
        <v>SELESAI (VIA PERMOHONAN)</v>
      </c>
      <c r="G4732" s="17">
        <f>IFERROR(__xludf.DUMMYFUNCTION("""COMPUTED_VALUE"""),46020.43789077546)</f>
        <v>46020.43789</v>
      </c>
      <c r="H4732" s="14"/>
      <c r="I4732" s="13"/>
      <c r="J4732" s="17" t="str">
        <f>IFERROR(__xludf.DUMMYFUNCTION("""COMPUTED_VALUE"""),"")</f>
        <v/>
      </c>
      <c r="K4732" s="13" t="str">
        <f>IFERROR(__xludf.DUMMYFUNCTION("""COMPUTED_VALUE"""),"BT atau SU Belum Valid")</f>
        <v>BT atau SU Belum Valid</v>
      </c>
      <c r="L4732" s="13" t="str">
        <f>IFERROR(__xludf.DUMMYFUNCTION("""COMPUTED_VALUE"""),"")</f>
        <v/>
      </c>
      <c r="M4732" s="13"/>
      <c r="N4732" s="13" t="str">
        <f>IFERROR(__xludf.DUMMYFUNCTION("""COMPUTED_VALUE"""),"")</f>
        <v/>
      </c>
      <c r="O4732" s="13" t="str">
        <f t="shared" si="1"/>
        <v/>
      </c>
    </row>
    <row r="4733" ht="22.5" customHeight="1">
      <c r="B4733" s="13">
        <f>IFERROR(__xludf.DUMMYFUNCTION("""COMPUTED_VALUE"""),4728.0)</f>
        <v>4728</v>
      </c>
      <c r="C4733" s="13" t="str">
        <f>IFERROR(__xludf.DUMMYFUNCTION("""COMPUTED_VALUE"""),"HGB.4989/Campang Raya")</f>
        <v>HGB.4989/Campang Raya</v>
      </c>
      <c r="D4733" s="13" t="str">
        <f>IFERROR(__xludf.DUMMYFUNCTION("""COMPUTED_VALUE"""),"ABRRPFST/AB010")</f>
        <v>ABRRPFST/AB010</v>
      </c>
      <c r="E4733" s="14" t="str">
        <f>IFERROR(__xludf.DUMMYFUNCTION("""COMPUTED_VALUE"""),"Heri (BT)")</f>
        <v>Heri (BT)</v>
      </c>
      <c r="F4733" s="14" t="str">
        <f>IFERROR(__xludf.DUMMYFUNCTION("""COMPUTED_VALUE"""),"SELESAI (VIA PERMOHONAN)")</f>
        <v>SELESAI (VIA PERMOHONAN)</v>
      </c>
      <c r="G4733" s="17">
        <f>IFERROR(__xludf.DUMMYFUNCTION("""COMPUTED_VALUE"""),46020.438152268514)</f>
        <v>46020.43815</v>
      </c>
      <c r="H4733" s="14"/>
      <c r="I4733" s="13"/>
      <c r="J4733" s="17" t="str">
        <f>IFERROR(__xludf.DUMMYFUNCTION("""COMPUTED_VALUE"""),"")</f>
        <v/>
      </c>
      <c r="K4733" s="13" t="str">
        <f>IFERROR(__xludf.DUMMYFUNCTION("""COMPUTED_VALUE"""),"BT atau SU Belum Valid")</f>
        <v>BT atau SU Belum Valid</v>
      </c>
      <c r="L4733" s="13" t="str">
        <f>IFERROR(__xludf.DUMMYFUNCTION("""COMPUTED_VALUE"""),"")</f>
        <v/>
      </c>
      <c r="M4733" s="13"/>
      <c r="N4733" s="13" t="str">
        <f>IFERROR(__xludf.DUMMYFUNCTION("""COMPUTED_VALUE"""),"")</f>
        <v/>
      </c>
      <c r="O4733" s="13" t="str">
        <f t="shared" si="1"/>
        <v/>
      </c>
    </row>
    <row r="4734" ht="22.5" customHeight="1">
      <c r="B4734" s="13">
        <f>IFERROR(__xludf.DUMMYFUNCTION("""COMPUTED_VALUE"""),4729.0)</f>
        <v>4729</v>
      </c>
      <c r="C4734" s="13" t="str">
        <f>IFERROR(__xludf.DUMMYFUNCTION("""COMPUTED_VALUE"""),"M. 265/DURIAN PAYUNG")</f>
        <v>M. 265/DURIAN PAYUNG</v>
      </c>
      <c r="D4734" s="13" t="str">
        <f>IFERROR(__xludf.DUMMYFUNCTION("""COMPUTED_VALUE"""),"L/2/021025/1")</f>
        <v>L/2/021025/1</v>
      </c>
      <c r="E4734" s="14" t="str">
        <f>IFERROR(__xludf.DUMMYFUNCTION("""COMPUTED_VALUE"""),"Heri (BT)")</f>
        <v>Heri (BT)</v>
      </c>
      <c r="F4734" s="14" t="str">
        <f>IFERROR(__xludf.DUMMYFUNCTION("""COMPUTED_VALUE"""),"SELESAI (VIA PERMOHONAN)")</f>
        <v>SELESAI (VIA PERMOHONAN)</v>
      </c>
      <c r="G4734" s="17">
        <f>IFERROR(__xludf.DUMMYFUNCTION("""COMPUTED_VALUE"""),46020.4384691088)</f>
        <v>46020.43847</v>
      </c>
      <c r="H4734" s="14"/>
      <c r="I4734" s="13"/>
      <c r="J4734" s="17" t="str">
        <f>IFERROR(__xludf.DUMMYFUNCTION("""COMPUTED_VALUE"""),"")</f>
        <v/>
      </c>
      <c r="K4734" s="13" t="str">
        <f>IFERROR(__xludf.DUMMYFUNCTION("""COMPUTED_VALUE"""),"BT atau SU Belum Valid")</f>
        <v>BT atau SU Belum Valid</v>
      </c>
      <c r="L4734" s="13" t="str">
        <f>IFERROR(__xludf.DUMMYFUNCTION("""COMPUTED_VALUE"""),"")</f>
        <v/>
      </c>
      <c r="M4734" s="13"/>
      <c r="N4734" s="13" t="str">
        <f>IFERROR(__xludf.DUMMYFUNCTION("""COMPUTED_VALUE"""),"")</f>
        <v/>
      </c>
      <c r="O4734" s="13" t="str">
        <f t="shared" si="1"/>
        <v/>
      </c>
    </row>
    <row r="4735" ht="22.5" customHeight="1">
      <c r="B4735" s="13">
        <f>IFERROR(__xludf.DUMMYFUNCTION("""COMPUTED_VALUE"""),4730.0)</f>
        <v>4730</v>
      </c>
      <c r="C4735" s="13" t="str">
        <f>IFERROR(__xludf.DUMMYFUNCTION("""COMPUTED_VALUE"""),"SHGB 00613")</f>
        <v>SHGB 00613</v>
      </c>
      <c r="D4735" s="13" t="str">
        <f>IFERROR(__xludf.DUMMYFUNCTION("""COMPUTED_VALUE"""),"ABLUIMZM")</f>
        <v>ABLUIMZM</v>
      </c>
      <c r="E4735" s="14" t="str">
        <f>IFERROR(__xludf.DUMMYFUNCTION("""COMPUTED_VALUE"""),"Heri (BT)")</f>
        <v>Heri (BT)</v>
      </c>
      <c r="F4735" s="14" t="str">
        <f>IFERROR(__xludf.DUMMYFUNCTION("""COMPUTED_VALUE"""),"SELESAI (VIA PERMOHONAN)")</f>
        <v>SELESAI (VIA PERMOHONAN)</v>
      </c>
      <c r="G4735" s="17">
        <f>IFERROR(__xludf.DUMMYFUNCTION("""COMPUTED_VALUE"""),46020.43933040509)</f>
        <v>46020.43933</v>
      </c>
      <c r="H4735" s="14"/>
      <c r="I4735" s="13"/>
      <c r="J4735" s="17" t="str">
        <f>IFERROR(__xludf.DUMMYFUNCTION("""COMPUTED_VALUE"""),"")</f>
        <v/>
      </c>
      <c r="K4735" s="13" t="str">
        <f>IFERROR(__xludf.DUMMYFUNCTION("""COMPUTED_VALUE"""),"BT atau SU Belum Valid")</f>
        <v>BT atau SU Belum Valid</v>
      </c>
      <c r="L4735" s="13" t="str">
        <f>IFERROR(__xludf.DUMMYFUNCTION("""COMPUTED_VALUE"""),"")</f>
        <v/>
      </c>
      <c r="M4735" s="13"/>
      <c r="N4735" s="13" t="str">
        <f>IFERROR(__xludf.DUMMYFUNCTION("""COMPUTED_VALUE"""),"")</f>
        <v/>
      </c>
      <c r="O4735" s="13" t="str">
        <f t="shared" si="1"/>
        <v/>
      </c>
    </row>
    <row r="4736" ht="22.5" customHeight="1">
      <c r="B4736" s="13">
        <f>IFERROR(__xludf.DUMMYFUNCTION("""COMPUTED_VALUE"""),4731.0)</f>
        <v>4731</v>
      </c>
      <c r="C4736" s="13" t="str">
        <f>IFERROR(__xludf.DUMMYFUNCTION("""COMPUTED_VALUE"""),"M.2015/Rajabasa Raya")</f>
        <v>M.2015/Rajabasa Raya</v>
      </c>
      <c r="D4736" s="13" t="str">
        <f>IFERROR(__xludf.DUMMYFUNCTION("""COMPUTED_VALUE"""),"ABTJVWIA/AB073")</f>
        <v>ABTJVWIA/AB073</v>
      </c>
      <c r="E4736" s="14" t="str">
        <f>IFERROR(__xludf.DUMMYFUNCTION("""COMPUTED_VALUE"""),"Heri (BT)")</f>
        <v>Heri (BT)</v>
      </c>
      <c r="F4736" s="14" t="str">
        <f>IFERROR(__xludf.DUMMYFUNCTION("""COMPUTED_VALUE"""),"SELESAI (VIA PERMOHONAN)")</f>
        <v>SELESAI (VIA PERMOHONAN)</v>
      </c>
      <c r="G4736" s="17">
        <f>IFERROR(__xludf.DUMMYFUNCTION("""COMPUTED_VALUE"""),46020.43973078704)</f>
        <v>46020.43973</v>
      </c>
      <c r="H4736" s="14"/>
      <c r="I4736" s="13"/>
      <c r="J4736" s="17" t="str">
        <f>IFERROR(__xludf.DUMMYFUNCTION("""COMPUTED_VALUE"""),"")</f>
        <v/>
      </c>
      <c r="K4736" s="13" t="str">
        <f>IFERROR(__xludf.DUMMYFUNCTION("""COMPUTED_VALUE"""),"BT atau SU Belum Valid")</f>
        <v>BT atau SU Belum Valid</v>
      </c>
      <c r="L4736" s="13" t="str">
        <f>IFERROR(__xludf.DUMMYFUNCTION("""COMPUTED_VALUE"""),"")</f>
        <v/>
      </c>
      <c r="M4736" s="13"/>
      <c r="N4736" s="13" t="str">
        <f>IFERROR(__xludf.DUMMYFUNCTION("""COMPUTED_VALUE"""),"")</f>
        <v/>
      </c>
      <c r="O4736" s="13" t="str">
        <f t="shared" si="1"/>
        <v/>
      </c>
    </row>
    <row r="4737" ht="22.5" customHeight="1">
      <c r="B4737" s="13">
        <f>IFERROR(__xludf.DUMMYFUNCTION("""COMPUTED_VALUE"""),4732.0)</f>
        <v>4732</v>
      </c>
      <c r="C4737" s="13" t="str">
        <f>IFERROR(__xludf.DUMMYFUNCTION("""COMPUTED_VALUE"""),"Shm 376/E")</f>
        <v>Shm 376/E</v>
      </c>
      <c r="D4737" s="13" t="str">
        <f>IFERROR(__xludf.DUMMYFUNCTION("""COMPUTED_VALUE"""),"AB32")</f>
        <v>AB32</v>
      </c>
      <c r="E4737" s="14" t="str">
        <f>IFERROR(__xludf.DUMMYFUNCTION("""COMPUTED_VALUE"""),"Heri (BT)")</f>
        <v>Heri (BT)</v>
      </c>
      <c r="F4737" s="14" t="str">
        <f>IFERROR(__xludf.DUMMYFUNCTION("""COMPUTED_VALUE"""),"SELESAI (VIA PERMOHONAN)")</f>
        <v>SELESAI (VIA PERMOHONAN)</v>
      </c>
      <c r="G4737" s="17">
        <f>IFERROR(__xludf.DUMMYFUNCTION("""COMPUTED_VALUE"""),46020.440998935184)</f>
        <v>46020.441</v>
      </c>
      <c r="H4737" s="14"/>
      <c r="I4737" s="13"/>
      <c r="J4737" s="17" t="str">
        <f>IFERROR(__xludf.DUMMYFUNCTION("""COMPUTED_VALUE"""),"")</f>
        <v/>
      </c>
      <c r="K4737" s="13" t="str">
        <f>IFERROR(__xludf.DUMMYFUNCTION("""COMPUTED_VALUE"""),"BT atau SU Belum Valid")</f>
        <v>BT atau SU Belum Valid</v>
      </c>
      <c r="L4737" s="13" t="str">
        <f>IFERROR(__xludf.DUMMYFUNCTION("""COMPUTED_VALUE"""),"")</f>
        <v/>
      </c>
      <c r="M4737" s="13"/>
      <c r="N4737" s="13" t="str">
        <f>IFERROR(__xludf.DUMMYFUNCTION("""COMPUTED_VALUE"""),"")</f>
        <v/>
      </c>
      <c r="O4737" s="13" t="str">
        <f t="shared" si="1"/>
        <v/>
      </c>
    </row>
    <row r="4738" ht="22.5" customHeight="1">
      <c r="B4738" s="13">
        <f>IFERROR(__xludf.DUMMYFUNCTION("""COMPUTED_VALUE"""),4733.0)</f>
        <v>4733</v>
      </c>
      <c r="C4738" s="13" t="str">
        <f>IFERROR(__xludf.DUMMYFUNCTION("""COMPUTED_VALUE"""),"M.812/Way Dadi")</f>
        <v>M.812/Way Dadi</v>
      </c>
      <c r="D4738" s="13" t="str">
        <f>IFERROR(__xludf.DUMMYFUNCTION("""COMPUTED_VALUE"""),"ABFWKFBI")</f>
        <v>ABFWKFBI</v>
      </c>
      <c r="E4738" s="14" t="str">
        <f>IFERROR(__xludf.DUMMYFUNCTION("""COMPUTED_VALUE"""),"Heri (BT)")</f>
        <v>Heri (BT)</v>
      </c>
      <c r="F4738" s="14" t="str">
        <f>IFERROR(__xludf.DUMMYFUNCTION("""COMPUTED_VALUE"""),"SELESAI (VIA PERMOHONAN)")</f>
        <v>SELESAI (VIA PERMOHONAN)</v>
      </c>
      <c r="G4738" s="17">
        <f>IFERROR(__xludf.DUMMYFUNCTION("""COMPUTED_VALUE"""),46020.44119170139)</f>
        <v>46020.44119</v>
      </c>
      <c r="H4738" s="14"/>
      <c r="I4738" s="13"/>
      <c r="J4738" s="17" t="str">
        <f>IFERROR(__xludf.DUMMYFUNCTION("""COMPUTED_VALUE"""),"")</f>
        <v/>
      </c>
      <c r="K4738" s="13" t="str">
        <f>IFERROR(__xludf.DUMMYFUNCTION("""COMPUTED_VALUE"""),"BT atau SU Belum Valid")</f>
        <v>BT atau SU Belum Valid</v>
      </c>
      <c r="L4738" s="13" t="str">
        <f>IFERROR(__xludf.DUMMYFUNCTION("""COMPUTED_VALUE"""),"")</f>
        <v/>
      </c>
      <c r="M4738" s="13"/>
      <c r="N4738" s="13" t="str">
        <f>IFERROR(__xludf.DUMMYFUNCTION("""COMPUTED_VALUE"""),"")</f>
        <v/>
      </c>
      <c r="O4738" s="13" t="str">
        <f t="shared" si="1"/>
        <v/>
      </c>
    </row>
    <row r="4739" ht="22.5" customHeight="1">
      <c r="B4739" s="13">
        <f>IFERROR(__xludf.DUMMYFUNCTION("""COMPUTED_VALUE"""),4734.0)</f>
        <v>4734</v>
      </c>
      <c r="C4739" s="13" t="str">
        <f>IFERROR(__xludf.DUMMYFUNCTION("""COMPUTED_VALUE"""),"102/KBJ")</f>
        <v>102/KBJ</v>
      </c>
      <c r="D4739" s="13" t="str">
        <f>IFERROR(__xludf.DUMMYFUNCTION("""COMPUTED_VALUE"""),"ABQITYYN")</f>
        <v>ABQITYYN</v>
      </c>
      <c r="E4739" s="14" t="str">
        <f>IFERROR(__xludf.DUMMYFUNCTION("""COMPUTED_VALUE"""),"Heri (BT)")</f>
        <v>Heri (BT)</v>
      </c>
      <c r="F4739" s="14" t="str">
        <f>IFERROR(__xludf.DUMMYFUNCTION("""COMPUTED_VALUE"""),"SELESAI (VIA PERMOHONAN)")</f>
        <v>SELESAI (VIA PERMOHONAN)</v>
      </c>
      <c r="G4739" s="17">
        <f>IFERROR(__xludf.DUMMYFUNCTION("""COMPUTED_VALUE"""),46021.3554941551)</f>
        <v>46021.35549</v>
      </c>
      <c r="H4739" s="14"/>
      <c r="I4739" s="13"/>
      <c r="J4739" s="17" t="str">
        <f>IFERROR(__xludf.DUMMYFUNCTION("""COMPUTED_VALUE"""),"")</f>
        <v/>
      </c>
      <c r="K4739" s="13" t="str">
        <f>IFERROR(__xludf.DUMMYFUNCTION("""COMPUTED_VALUE"""),"BT atau SU Belum Valid")</f>
        <v>BT atau SU Belum Valid</v>
      </c>
      <c r="L4739" s="13" t="str">
        <f>IFERROR(__xludf.DUMMYFUNCTION("""COMPUTED_VALUE"""),"")</f>
        <v/>
      </c>
      <c r="M4739" s="13"/>
      <c r="N4739" s="13" t="str">
        <f>IFERROR(__xludf.DUMMYFUNCTION("""COMPUTED_VALUE"""),"")</f>
        <v/>
      </c>
      <c r="O4739" s="13" t="str">
        <f t="shared" si="1"/>
        <v/>
      </c>
    </row>
    <row r="4740" ht="22.5" customHeight="1">
      <c r="B4740" s="13">
        <f>IFERROR(__xludf.DUMMYFUNCTION("""COMPUTED_VALUE"""),4735.0)</f>
        <v>4735</v>
      </c>
      <c r="C4740" s="13" t="str">
        <f>IFERROR(__xludf.DUMMYFUNCTION("""COMPUTED_VALUE"""),"M 607/ korpri raya")</f>
        <v>M 607/ korpri raya</v>
      </c>
      <c r="D4740" s="13" t="str">
        <f>IFERROR(__xludf.DUMMYFUNCTION("""COMPUTED_VALUE"""),"ABCYMTZC")</f>
        <v>ABCYMTZC</v>
      </c>
      <c r="E4740" s="14" t="str">
        <f>IFERROR(__xludf.DUMMYFUNCTION("""COMPUTED_VALUE"""),"Heri (BT)")</f>
        <v>Heri (BT)</v>
      </c>
      <c r="F4740" s="14" t="str">
        <f>IFERROR(__xludf.DUMMYFUNCTION("""COMPUTED_VALUE"""),"SELESAI (VIA PERMOHONAN)")</f>
        <v>SELESAI (VIA PERMOHONAN)</v>
      </c>
      <c r="G4740" s="17">
        <f>IFERROR(__xludf.DUMMYFUNCTION("""COMPUTED_VALUE"""),46021.35715422453)</f>
        <v>46021.35715</v>
      </c>
      <c r="H4740" s="14"/>
      <c r="I4740" s="13"/>
      <c r="J4740" s="17" t="str">
        <f>IFERROR(__xludf.DUMMYFUNCTION("""COMPUTED_VALUE"""),"")</f>
        <v/>
      </c>
      <c r="K4740" s="13" t="str">
        <f>IFERROR(__xludf.DUMMYFUNCTION("""COMPUTED_VALUE"""),"BT atau SU Belum Valid")</f>
        <v>BT atau SU Belum Valid</v>
      </c>
      <c r="L4740" s="13" t="str">
        <f>IFERROR(__xludf.DUMMYFUNCTION("""COMPUTED_VALUE"""),"")</f>
        <v/>
      </c>
      <c r="M4740" s="13"/>
      <c r="N4740" s="13" t="str">
        <f>IFERROR(__xludf.DUMMYFUNCTION("""COMPUTED_VALUE"""),"")</f>
        <v/>
      </c>
      <c r="O4740" s="13" t="str">
        <f t="shared" si="1"/>
        <v/>
      </c>
    </row>
    <row r="4741" ht="22.5" customHeight="1">
      <c r="B4741" s="13">
        <f>IFERROR(__xludf.DUMMYFUNCTION("""COMPUTED_VALUE"""),4736.0)</f>
        <v>4736</v>
      </c>
      <c r="C4741" s="13" t="str">
        <f>IFERROR(__xludf.DUMMYFUNCTION("""COMPUTED_VALUE"""),"M. 1902/BERINGIN JAYA")</f>
        <v>M. 1902/BERINGIN JAYA</v>
      </c>
      <c r="D4741" s="13" t="str">
        <f>IFERROR(__xludf.DUMMYFUNCTION("""COMPUTED_VALUE"""),"K/22/031125/1")</f>
        <v>K/22/031125/1</v>
      </c>
      <c r="E4741" s="14" t="str">
        <f>IFERROR(__xludf.DUMMYFUNCTION("""COMPUTED_VALUE"""),"Heri (BT)")</f>
        <v>Heri (BT)</v>
      </c>
      <c r="F4741" s="14" t="str">
        <f>IFERROR(__xludf.DUMMYFUNCTION("""COMPUTED_VALUE"""),"SELESAI (VIA PERMOHONAN)")</f>
        <v>SELESAI (VIA PERMOHONAN)</v>
      </c>
      <c r="G4741" s="17">
        <f>IFERROR(__xludf.DUMMYFUNCTION("""COMPUTED_VALUE"""),46021.36427501157)</f>
        <v>46021.36428</v>
      </c>
      <c r="H4741" s="14"/>
      <c r="I4741" s="13"/>
      <c r="J4741" s="17" t="str">
        <f>IFERROR(__xludf.DUMMYFUNCTION("""COMPUTED_VALUE"""),"")</f>
        <v/>
      </c>
      <c r="K4741" s="13" t="str">
        <f>IFERROR(__xludf.DUMMYFUNCTION("""COMPUTED_VALUE"""),"BT atau SU Belum Valid")</f>
        <v>BT atau SU Belum Valid</v>
      </c>
      <c r="L4741" s="13" t="str">
        <f>IFERROR(__xludf.DUMMYFUNCTION("""COMPUTED_VALUE"""),"")</f>
        <v/>
      </c>
      <c r="M4741" s="13"/>
      <c r="N4741" s="13" t="str">
        <f>IFERROR(__xludf.DUMMYFUNCTION("""COMPUTED_VALUE"""),"")</f>
        <v/>
      </c>
      <c r="O4741" s="13" t="str">
        <f t="shared" si="1"/>
        <v/>
      </c>
    </row>
    <row r="4742" ht="22.5" customHeight="1">
      <c r="B4742" s="13">
        <f>IFERROR(__xludf.DUMMYFUNCTION("""COMPUTED_VALUE"""),4737.0)</f>
        <v>4737</v>
      </c>
      <c r="C4742" s="13" t="str">
        <f>IFERROR(__xludf.DUMMYFUNCTION("""COMPUTED_VALUE"""),"M. 1834/KANGKUNG")</f>
        <v>M. 1834/KANGKUNG</v>
      </c>
      <c r="D4742" s="13" t="str">
        <f>IFERROR(__xludf.DUMMYFUNCTION("""COMPUTED_VALUE"""),"K/11/201125/1")</f>
        <v>K/11/201125/1</v>
      </c>
      <c r="E4742" s="14" t="str">
        <f>IFERROR(__xludf.DUMMYFUNCTION("""COMPUTED_VALUE"""),"Heri (BT)")</f>
        <v>Heri (BT)</v>
      </c>
      <c r="F4742" s="14" t="str">
        <f>IFERROR(__xludf.DUMMYFUNCTION("""COMPUTED_VALUE"""),"SELESAI (VIA PERMOHONAN)")</f>
        <v>SELESAI (VIA PERMOHONAN)</v>
      </c>
      <c r="G4742" s="17">
        <f>IFERROR(__xludf.DUMMYFUNCTION("""COMPUTED_VALUE"""),46021.36618210648)</f>
        <v>46021.36618</v>
      </c>
      <c r="H4742" s="14"/>
      <c r="I4742" s="13"/>
      <c r="J4742" s="17" t="str">
        <f>IFERROR(__xludf.DUMMYFUNCTION("""COMPUTED_VALUE"""),"")</f>
        <v/>
      </c>
      <c r="K4742" s="13" t="str">
        <f>IFERROR(__xludf.DUMMYFUNCTION("""COMPUTED_VALUE"""),"BT atau SU Belum Valid")</f>
        <v>BT atau SU Belum Valid</v>
      </c>
      <c r="L4742" s="13" t="str">
        <f>IFERROR(__xludf.DUMMYFUNCTION("""COMPUTED_VALUE"""),"")</f>
        <v/>
      </c>
      <c r="M4742" s="13"/>
      <c r="N4742" s="13" t="str">
        <f>IFERROR(__xludf.DUMMYFUNCTION("""COMPUTED_VALUE"""),"")</f>
        <v/>
      </c>
      <c r="O4742" s="13" t="str">
        <f t="shared" si="1"/>
        <v/>
      </c>
    </row>
    <row r="4743" ht="22.5" customHeight="1">
      <c r="B4743" s="13">
        <f>IFERROR(__xludf.DUMMYFUNCTION("""COMPUTED_VALUE"""),4738.0)</f>
        <v>4738</v>
      </c>
      <c r="C4743" s="13" t="str">
        <f>IFERROR(__xludf.DUMMYFUNCTION("""COMPUTED_VALUE"""),"M. 971/RAWA LAUT")</f>
        <v>M. 971/RAWA LAUT</v>
      </c>
      <c r="D4743" s="13" t="str">
        <f>IFERROR(__xludf.DUMMYFUNCTION("""COMPUTED_VALUE"""),"L/8/101125/1")</f>
        <v>L/8/101125/1</v>
      </c>
      <c r="E4743" s="14" t="str">
        <f>IFERROR(__xludf.DUMMYFUNCTION("""COMPUTED_VALUE"""),"Heri (BT)")</f>
        <v>Heri (BT)</v>
      </c>
      <c r="F4743" s="14" t="str">
        <f>IFERROR(__xludf.DUMMYFUNCTION("""COMPUTED_VALUE"""),"SELESAI (VIA PERMOHONAN)")</f>
        <v>SELESAI (VIA PERMOHONAN)</v>
      </c>
      <c r="G4743" s="17">
        <f>IFERROR(__xludf.DUMMYFUNCTION("""COMPUTED_VALUE"""),46021.36653965278)</f>
        <v>46021.36654</v>
      </c>
      <c r="H4743" s="14"/>
      <c r="I4743" s="13"/>
      <c r="J4743" s="17" t="str">
        <f>IFERROR(__xludf.DUMMYFUNCTION("""COMPUTED_VALUE"""),"")</f>
        <v/>
      </c>
      <c r="K4743" s="13" t="str">
        <f>IFERROR(__xludf.DUMMYFUNCTION("""COMPUTED_VALUE"""),"BT atau SU Belum Valid")</f>
        <v>BT atau SU Belum Valid</v>
      </c>
      <c r="L4743" s="13" t="str">
        <f>IFERROR(__xludf.DUMMYFUNCTION("""COMPUTED_VALUE"""),"")</f>
        <v/>
      </c>
      <c r="M4743" s="13"/>
      <c r="N4743" s="13" t="str">
        <f>IFERROR(__xludf.DUMMYFUNCTION("""COMPUTED_VALUE"""),"")</f>
        <v/>
      </c>
      <c r="O4743" s="13" t="str">
        <f t="shared" si="1"/>
        <v/>
      </c>
    </row>
    <row r="4744" ht="22.5" customHeight="1">
      <c r="B4744" s="13">
        <f>IFERROR(__xludf.DUMMYFUNCTION("""COMPUTED_VALUE"""),4739.0)</f>
        <v>4739</v>
      </c>
      <c r="C4744" s="13" t="str">
        <f>IFERROR(__xludf.DUMMYFUNCTION("""COMPUTED_VALUE"""),"M  2511/ LANGKAPURA")</f>
        <v>M  2511/ LANGKAPURA</v>
      </c>
      <c r="D4744" s="13" t="str">
        <f>IFERROR(__xludf.DUMMYFUNCTION("""COMPUTED_VALUE"""),"ABSNUVZK")</f>
        <v>ABSNUVZK</v>
      </c>
      <c r="E4744" s="14" t="str">
        <f>IFERROR(__xludf.DUMMYFUNCTION("""COMPUTED_VALUE"""),"Heri (BT)")</f>
        <v>Heri (BT)</v>
      </c>
      <c r="F4744" s="14" t="str">
        <f>IFERROR(__xludf.DUMMYFUNCTION("""COMPUTED_VALUE"""),"SELESAI (VIA PERMOHONAN)")</f>
        <v>SELESAI (VIA PERMOHONAN)</v>
      </c>
      <c r="G4744" s="17">
        <f>IFERROR(__xludf.DUMMYFUNCTION("""COMPUTED_VALUE"""),46021.37302788194)</f>
        <v>46021.37303</v>
      </c>
      <c r="H4744" s="14"/>
      <c r="I4744" s="13"/>
      <c r="J4744" s="17" t="str">
        <f>IFERROR(__xludf.DUMMYFUNCTION("""COMPUTED_VALUE"""),"")</f>
        <v/>
      </c>
      <c r="K4744" s="13" t="str">
        <f>IFERROR(__xludf.DUMMYFUNCTION("""COMPUTED_VALUE"""),"BT atau SU Belum Valid")</f>
        <v>BT atau SU Belum Valid</v>
      </c>
      <c r="L4744" s="13" t="str">
        <f>IFERROR(__xludf.DUMMYFUNCTION("""COMPUTED_VALUE"""),"")</f>
        <v/>
      </c>
      <c r="M4744" s="13"/>
      <c r="N4744" s="13" t="str">
        <f>IFERROR(__xludf.DUMMYFUNCTION("""COMPUTED_VALUE"""),"")</f>
        <v/>
      </c>
      <c r="O4744" s="13" t="str">
        <f t="shared" si="1"/>
        <v/>
      </c>
    </row>
    <row r="4745" ht="22.5" customHeight="1">
      <c r="B4745" s="13">
        <f>IFERROR(__xludf.DUMMYFUNCTION("""COMPUTED_VALUE"""),4740.0)</f>
        <v>4740</v>
      </c>
      <c r="C4745" s="13" t="str">
        <f>IFERROR(__xludf.DUMMYFUNCTION("""COMPUTED_VALUE"""),"M 1160 korpri jaya")</f>
        <v>M 1160 korpri jaya</v>
      </c>
      <c r="D4745" s="13" t="str">
        <f>IFERROR(__xludf.DUMMYFUNCTION("""COMPUTED_VALUE"""),"ABGDOWHZ")</f>
        <v>ABGDOWHZ</v>
      </c>
      <c r="E4745" s="14" t="str">
        <f>IFERROR(__xludf.DUMMYFUNCTION("""COMPUTED_VALUE"""),"Heri (BT)")</f>
        <v>Heri (BT)</v>
      </c>
      <c r="F4745" s="14" t="str">
        <f>IFERROR(__xludf.DUMMYFUNCTION("""COMPUTED_VALUE"""),"SELESAI (VIA PERMOHONAN)")</f>
        <v>SELESAI (VIA PERMOHONAN)</v>
      </c>
      <c r="G4745" s="17">
        <f>IFERROR(__xludf.DUMMYFUNCTION("""COMPUTED_VALUE"""),46021.375374780095)</f>
        <v>46021.37537</v>
      </c>
      <c r="H4745" s="14"/>
      <c r="I4745" s="13"/>
      <c r="J4745" s="17" t="str">
        <f>IFERROR(__xludf.DUMMYFUNCTION("""COMPUTED_VALUE"""),"")</f>
        <v/>
      </c>
      <c r="K4745" s="13" t="str">
        <f>IFERROR(__xludf.DUMMYFUNCTION("""COMPUTED_VALUE"""),"BT atau SU Belum Valid")</f>
        <v>BT atau SU Belum Valid</v>
      </c>
      <c r="L4745" s="13" t="str">
        <f>IFERROR(__xludf.DUMMYFUNCTION("""COMPUTED_VALUE"""),"")</f>
        <v/>
      </c>
      <c r="M4745" s="13"/>
      <c r="N4745" s="13" t="str">
        <f>IFERROR(__xludf.DUMMYFUNCTION("""COMPUTED_VALUE"""),"")</f>
        <v/>
      </c>
      <c r="O4745" s="13" t="str">
        <f t="shared" si="1"/>
        <v/>
      </c>
    </row>
    <row r="4746" ht="22.5" customHeight="1">
      <c r="B4746" s="13">
        <f>IFERROR(__xludf.DUMMYFUNCTION("""COMPUTED_VALUE"""),4741.0)</f>
        <v>4741</v>
      </c>
      <c r="C4746" s="13" t="str">
        <f>IFERROR(__xludf.DUMMYFUNCTION("""COMPUTED_VALUE"""),"M. 5430/WAY KANDIS")</f>
        <v>M. 5430/WAY KANDIS</v>
      </c>
      <c r="D4746" s="13" t="str">
        <f>IFERROR(__xludf.DUMMYFUNCTION("""COMPUTED_VALUE"""),"K/3/031025/1")</f>
        <v>K/3/031025/1</v>
      </c>
      <c r="E4746" s="14" t="str">
        <f>IFERROR(__xludf.DUMMYFUNCTION("""COMPUTED_VALUE"""),"Heri (BT)")</f>
        <v>Heri (BT)</v>
      </c>
      <c r="F4746" s="14" t="str">
        <f>IFERROR(__xludf.DUMMYFUNCTION("""COMPUTED_VALUE"""),"SELESAI (VIA PERMOHONAN)")</f>
        <v>SELESAI (VIA PERMOHONAN)</v>
      </c>
      <c r="G4746" s="17">
        <f>IFERROR(__xludf.DUMMYFUNCTION("""COMPUTED_VALUE"""),46021.376581122684)</f>
        <v>46021.37658</v>
      </c>
      <c r="H4746" s="14"/>
      <c r="I4746" s="13"/>
      <c r="J4746" s="17" t="str">
        <f>IFERROR(__xludf.DUMMYFUNCTION("""COMPUTED_VALUE"""),"")</f>
        <v/>
      </c>
      <c r="K4746" s="13" t="str">
        <f>IFERROR(__xludf.DUMMYFUNCTION("""COMPUTED_VALUE"""),"BT atau SU Belum Valid")</f>
        <v>BT atau SU Belum Valid</v>
      </c>
      <c r="L4746" s="13" t="str">
        <f>IFERROR(__xludf.DUMMYFUNCTION("""COMPUTED_VALUE"""),"")</f>
        <v/>
      </c>
      <c r="M4746" s="13"/>
      <c r="N4746" s="13" t="str">
        <f>IFERROR(__xludf.DUMMYFUNCTION("""COMPUTED_VALUE"""),"")</f>
        <v/>
      </c>
      <c r="O4746" s="13" t="str">
        <f t="shared" si="1"/>
        <v/>
      </c>
    </row>
    <row r="4747" ht="22.5" customHeight="1">
      <c r="B4747" s="13">
        <f>IFERROR(__xludf.DUMMYFUNCTION("""COMPUTED_VALUE"""),4742.0)</f>
        <v>4742</v>
      </c>
      <c r="C4747" s="13" t="str">
        <f>IFERROR(__xludf.DUMMYFUNCTION("""COMPUTED_VALUE"""),"M 2947/way kandis")</f>
        <v>M 2947/way kandis</v>
      </c>
      <c r="D4747" s="13" t="str">
        <f>IFERROR(__xludf.DUMMYFUNCTION("""COMPUTED_VALUE"""),"ABZKQJRE/AB080")</f>
        <v>ABZKQJRE/AB080</v>
      </c>
      <c r="E4747" s="14" t="str">
        <f>IFERROR(__xludf.DUMMYFUNCTION("""COMPUTED_VALUE"""),"Heri (BT)")</f>
        <v>Heri (BT)</v>
      </c>
      <c r="F4747" s="14" t="str">
        <f>IFERROR(__xludf.DUMMYFUNCTION("""COMPUTED_VALUE"""),"SELESAI (VIA PERMOHONAN)")</f>
        <v>SELESAI (VIA PERMOHONAN)</v>
      </c>
      <c r="G4747" s="17">
        <f>IFERROR(__xludf.DUMMYFUNCTION("""COMPUTED_VALUE"""),46021.376859930555)</f>
        <v>46021.37686</v>
      </c>
      <c r="H4747" s="14"/>
      <c r="I4747" s="13"/>
      <c r="J4747" s="17" t="str">
        <f>IFERROR(__xludf.DUMMYFUNCTION("""COMPUTED_VALUE"""),"")</f>
        <v/>
      </c>
      <c r="K4747" s="13" t="str">
        <f>IFERROR(__xludf.DUMMYFUNCTION("""COMPUTED_VALUE"""),"BT atau SU Belum Valid")</f>
        <v>BT atau SU Belum Valid</v>
      </c>
      <c r="L4747" s="13" t="str">
        <f>IFERROR(__xludf.DUMMYFUNCTION("""COMPUTED_VALUE"""),"")</f>
        <v/>
      </c>
      <c r="M4747" s="13"/>
      <c r="N4747" s="13" t="str">
        <f>IFERROR(__xludf.DUMMYFUNCTION("""COMPUTED_VALUE"""),"")</f>
        <v/>
      </c>
      <c r="O4747" s="13" t="str">
        <f t="shared" si="1"/>
        <v/>
      </c>
    </row>
    <row r="4748" ht="22.5" customHeight="1">
      <c r="B4748" s="13">
        <f>IFERROR(__xludf.DUMMYFUNCTION("""COMPUTED_VALUE"""),4743.0)</f>
        <v>4743</v>
      </c>
      <c r="C4748" s="13" t="str">
        <f>IFERROR(__xludf.DUMMYFUNCTION("""COMPUTED_VALUE"""),"M.3199/ Sukrame Baru")</f>
        <v>M.3199/ Sukrame Baru</v>
      </c>
      <c r="D4748" s="13" t="str">
        <f>IFERROR(__xludf.DUMMYFUNCTION("""COMPUTED_VALUE"""),"AB089/ABUZRNGG")</f>
        <v>AB089/ABUZRNGG</v>
      </c>
      <c r="E4748" s="14" t="str">
        <f>IFERROR(__xludf.DUMMYFUNCTION("""COMPUTED_VALUE"""),"Heri (BT)")</f>
        <v>Heri (BT)</v>
      </c>
      <c r="F4748" s="14" t="str">
        <f>IFERROR(__xludf.DUMMYFUNCTION("""COMPUTED_VALUE"""),"SELESAI (VIA PERMOHONAN)")</f>
        <v>SELESAI (VIA PERMOHONAN)</v>
      </c>
      <c r="G4748" s="17">
        <f>IFERROR(__xludf.DUMMYFUNCTION("""COMPUTED_VALUE"""),46021.59663925926)</f>
        <v>46021.59664</v>
      </c>
      <c r="H4748" s="14"/>
      <c r="I4748" s="13"/>
      <c r="J4748" s="17" t="str">
        <f>IFERROR(__xludf.DUMMYFUNCTION("""COMPUTED_VALUE"""),"")</f>
        <v/>
      </c>
      <c r="K4748" s="13" t="str">
        <f>IFERROR(__xludf.DUMMYFUNCTION("""COMPUTED_VALUE"""),"BT atau SU Belum Valid")</f>
        <v>BT atau SU Belum Valid</v>
      </c>
      <c r="L4748" s="13" t="str">
        <f>IFERROR(__xludf.DUMMYFUNCTION("""COMPUTED_VALUE"""),"")</f>
        <v/>
      </c>
      <c r="M4748" s="13"/>
      <c r="N4748" s="13" t="str">
        <f>IFERROR(__xludf.DUMMYFUNCTION("""COMPUTED_VALUE"""),"")</f>
        <v/>
      </c>
      <c r="O4748" s="13" t="str">
        <f t="shared" si="1"/>
        <v/>
      </c>
    </row>
    <row r="4749" ht="22.5" customHeight="1">
      <c r="B4749" s="13">
        <f>IFERROR(__xludf.DUMMYFUNCTION("""COMPUTED_VALUE"""),4744.0)</f>
        <v>4744</v>
      </c>
      <c r="C4749" s="13" t="str">
        <f>IFERROR(__xludf.DUMMYFUNCTION("""COMPUTED_VALUE"""),"M.9982/Sidodadi ")</f>
        <v>M.9982/Sidodadi </v>
      </c>
      <c r="D4749" s="13" t="str">
        <f>IFERROR(__xludf.DUMMYFUNCTION("""COMPUTED_VALUE"""),"ABO80/1")</f>
        <v>ABO80/1</v>
      </c>
      <c r="E4749" s="14" t="str">
        <f>IFERROR(__xludf.DUMMYFUNCTION("""COMPUTED_VALUE"""),"Heri (BT)")</f>
        <v>Heri (BT)</v>
      </c>
      <c r="F4749" s="14" t="str">
        <f>IFERROR(__xludf.DUMMYFUNCTION("""COMPUTED_VALUE"""),"SELESAI (VIA PERMOHONAN)")</f>
        <v>SELESAI (VIA PERMOHONAN)</v>
      </c>
      <c r="G4749" s="17">
        <f>IFERROR(__xludf.DUMMYFUNCTION("""COMPUTED_VALUE"""),46021.60050638889)</f>
        <v>46021.60051</v>
      </c>
      <c r="H4749" s="14"/>
      <c r="I4749" s="13"/>
      <c r="J4749" s="17" t="str">
        <f>IFERROR(__xludf.DUMMYFUNCTION("""COMPUTED_VALUE"""),"")</f>
        <v/>
      </c>
      <c r="K4749" s="13" t="str">
        <f>IFERROR(__xludf.DUMMYFUNCTION("""COMPUTED_VALUE"""),"BT atau SU Belum Valid")</f>
        <v>BT atau SU Belum Valid</v>
      </c>
      <c r="L4749" s="13" t="str">
        <f>IFERROR(__xludf.DUMMYFUNCTION("""COMPUTED_VALUE"""),"")</f>
        <v/>
      </c>
      <c r="M4749" s="13"/>
      <c r="N4749" s="13" t="str">
        <f>IFERROR(__xludf.DUMMYFUNCTION("""COMPUTED_VALUE"""),"")</f>
        <v/>
      </c>
      <c r="O4749" s="13" t="str">
        <f t="shared" si="1"/>
        <v/>
      </c>
    </row>
    <row r="4750" ht="22.5" customHeight="1">
      <c r="B4750" s="13">
        <f>IFERROR(__xludf.DUMMYFUNCTION("""COMPUTED_VALUE"""),4745.0)</f>
        <v>4745</v>
      </c>
      <c r="C4750" s="13" t="str">
        <f>IFERROR(__xludf.DUMMYFUNCTION("""COMPUTED_VALUE"""),"M. 602/KORPRI RAYA")</f>
        <v>M. 602/KORPRI RAYA</v>
      </c>
      <c r="D4750" s="13" t="str">
        <f>IFERROR(__xludf.DUMMYFUNCTION("""COMPUTED_VALUE"""),"K/31/160925/1")</f>
        <v>K/31/160925/1</v>
      </c>
      <c r="E4750" s="14" t="str">
        <f>IFERROR(__xludf.DUMMYFUNCTION("""COMPUTED_VALUE"""),"Heri (BT)")</f>
        <v>Heri (BT)</v>
      </c>
      <c r="F4750" s="14" t="str">
        <f>IFERROR(__xludf.DUMMYFUNCTION("""COMPUTED_VALUE"""),"SELESAI (VIA PERMOHONAN)")</f>
        <v>SELESAI (VIA PERMOHONAN)</v>
      </c>
      <c r="G4750" s="17">
        <f>IFERROR(__xludf.DUMMYFUNCTION("""COMPUTED_VALUE"""),46022.43178481481)</f>
        <v>46022.43178</v>
      </c>
      <c r="H4750" s="14"/>
      <c r="I4750" s="13"/>
      <c r="J4750" s="17" t="str">
        <f>IFERROR(__xludf.DUMMYFUNCTION("""COMPUTED_VALUE"""),"")</f>
        <v/>
      </c>
      <c r="K4750" s="13" t="str">
        <f>IFERROR(__xludf.DUMMYFUNCTION("""COMPUTED_VALUE"""),"BT atau SU Belum Valid")</f>
        <v>BT atau SU Belum Valid</v>
      </c>
      <c r="L4750" s="13" t="str">
        <f>IFERROR(__xludf.DUMMYFUNCTION("""COMPUTED_VALUE"""),"")</f>
        <v/>
      </c>
      <c r="M4750" s="13"/>
      <c r="N4750" s="13" t="str">
        <f>IFERROR(__xludf.DUMMYFUNCTION("""COMPUTED_VALUE"""),"")</f>
        <v/>
      </c>
      <c r="O4750" s="13" t="str">
        <f t="shared" si="1"/>
        <v/>
      </c>
    </row>
    <row r="4751" ht="22.5" customHeight="1">
      <c r="B4751" s="13">
        <f>IFERROR(__xludf.DUMMYFUNCTION("""COMPUTED_VALUE"""),4746.0)</f>
        <v>4746</v>
      </c>
      <c r="C4751" s="13" t="str">
        <f>IFERROR(__xludf.DUMMYFUNCTION("""COMPUTED_VALUE"""),"M. 1278/LANGKAPURA BARU")</f>
        <v>M. 1278/LANGKAPURA BARU</v>
      </c>
      <c r="D4751" s="13" t="str">
        <f>IFERROR(__xludf.DUMMYFUNCTION("""COMPUTED_VALUE"""),"L/18/171125/1")</f>
        <v>L/18/171125/1</v>
      </c>
      <c r="E4751" s="14" t="str">
        <f>IFERROR(__xludf.DUMMYFUNCTION("""COMPUTED_VALUE"""),"Heri (BT)")</f>
        <v>Heri (BT)</v>
      </c>
      <c r="F4751" s="14" t="str">
        <f>IFERROR(__xludf.DUMMYFUNCTION("""COMPUTED_VALUE"""),"SELESAI (VIA PERMOHONAN)")</f>
        <v>SELESAI (VIA PERMOHONAN)</v>
      </c>
      <c r="G4751" s="17">
        <f>IFERROR(__xludf.DUMMYFUNCTION("""COMPUTED_VALUE"""),46022.470115358796)</f>
        <v>46022.47012</v>
      </c>
      <c r="H4751" s="14"/>
      <c r="I4751" s="13"/>
      <c r="J4751" s="17" t="str">
        <f>IFERROR(__xludf.DUMMYFUNCTION("""COMPUTED_VALUE"""),"")</f>
        <v/>
      </c>
      <c r="K4751" s="13" t="str">
        <f>IFERROR(__xludf.DUMMYFUNCTION("""COMPUTED_VALUE"""),"BT atau SU Belum Valid")</f>
        <v>BT atau SU Belum Valid</v>
      </c>
      <c r="L4751" s="13" t="str">
        <f>IFERROR(__xludf.DUMMYFUNCTION("""COMPUTED_VALUE"""),"")</f>
        <v/>
      </c>
      <c r="M4751" s="13"/>
      <c r="N4751" s="13" t="str">
        <f>IFERROR(__xludf.DUMMYFUNCTION("""COMPUTED_VALUE"""),"")</f>
        <v/>
      </c>
      <c r="O4751" s="13" t="str">
        <f t="shared" si="1"/>
        <v/>
      </c>
    </row>
    <row r="4752" ht="22.5" customHeight="1">
      <c r="B4752" s="13">
        <f>IFERROR(__xludf.DUMMYFUNCTION("""COMPUTED_VALUE"""),4747.0)</f>
        <v>4747</v>
      </c>
      <c r="C4752" s="13" t="str">
        <f>IFERROR(__xludf.DUMMYFUNCTION("""COMPUTED_VALUE"""),"M. 10878/SUKABUMI")</f>
        <v>M. 10878/SUKABUMI</v>
      </c>
      <c r="D4752" s="13" t="str">
        <f>IFERROR(__xludf.DUMMYFUNCTION("""COMPUTED_VALUE"""),"L/4/141125/1")</f>
        <v>L/4/141125/1</v>
      </c>
      <c r="E4752" s="14" t="str">
        <f>IFERROR(__xludf.DUMMYFUNCTION("""COMPUTED_VALUE"""),"Heri (BT)")</f>
        <v>Heri (BT)</v>
      </c>
      <c r="F4752" s="14" t="str">
        <f>IFERROR(__xludf.DUMMYFUNCTION("""COMPUTED_VALUE"""),"SELESAI (VIA PERMOHONAN)")</f>
        <v>SELESAI (VIA PERMOHONAN)</v>
      </c>
      <c r="G4752" s="17">
        <f>IFERROR(__xludf.DUMMYFUNCTION("""COMPUTED_VALUE"""),46022.470321030094)</f>
        <v>46022.47032</v>
      </c>
      <c r="H4752" s="14"/>
      <c r="I4752" s="13"/>
      <c r="J4752" s="17" t="str">
        <f>IFERROR(__xludf.DUMMYFUNCTION("""COMPUTED_VALUE"""),"")</f>
        <v/>
      </c>
      <c r="K4752" s="13" t="str">
        <f>IFERROR(__xludf.DUMMYFUNCTION("""COMPUTED_VALUE"""),"BT atau SU Belum Valid")</f>
        <v>BT atau SU Belum Valid</v>
      </c>
      <c r="L4752" s="13" t="str">
        <f>IFERROR(__xludf.DUMMYFUNCTION("""COMPUTED_VALUE"""),"")</f>
        <v/>
      </c>
      <c r="M4752" s="13"/>
      <c r="N4752" s="13" t="str">
        <f>IFERROR(__xludf.DUMMYFUNCTION("""COMPUTED_VALUE"""),"")</f>
        <v/>
      </c>
      <c r="O4752" s="13" t="str">
        <f t="shared" si="1"/>
        <v/>
      </c>
    </row>
    <row r="4753" ht="22.5" customHeight="1">
      <c r="B4753" s="13">
        <f>IFERROR(__xludf.DUMMYFUNCTION("""COMPUTED_VALUE"""),4748.0)</f>
        <v>4748</v>
      </c>
      <c r="C4753" s="13" t="str">
        <f>IFERROR(__xludf.DUMMYFUNCTION("""COMPUTED_VALUE"""),"M 380/ SAWAH BREBES")</f>
        <v>M 380/ SAWAH BREBES</v>
      </c>
      <c r="D4753" s="13" t="str">
        <f>IFERROR(__xludf.DUMMYFUNCTION("""COMPUTED_VALUE"""),"K/33/220825/2")</f>
        <v>K/33/220825/2</v>
      </c>
      <c r="E4753" s="14" t="str">
        <f>IFERROR(__xludf.DUMMYFUNCTION("""COMPUTED_VALUE"""),"Heri (BT)")</f>
        <v>Heri (BT)</v>
      </c>
      <c r="F4753" s="14" t="str">
        <f>IFERROR(__xludf.DUMMYFUNCTION("""COMPUTED_VALUE"""),"SELESAI (VIA PERMOHONAN)")</f>
        <v>SELESAI (VIA PERMOHONAN)</v>
      </c>
      <c r="G4753" s="17">
        <f>IFERROR(__xludf.DUMMYFUNCTION("""COMPUTED_VALUE"""),46022.476961238426)</f>
        <v>46022.47696</v>
      </c>
      <c r="H4753" s="14"/>
      <c r="I4753" s="13"/>
      <c r="J4753" s="17" t="str">
        <f>IFERROR(__xludf.DUMMYFUNCTION("""COMPUTED_VALUE"""),"")</f>
        <v/>
      </c>
      <c r="K4753" s="13" t="str">
        <f>IFERROR(__xludf.DUMMYFUNCTION("""COMPUTED_VALUE"""),"BT atau SU Belum Valid")</f>
        <v>BT atau SU Belum Valid</v>
      </c>
      <c r="L4753" s="13" t="str">
        <f>IFERROR(__xludf.DUMMYFUNCTION("""COMPUTED_VALUE"""),"")</f>
        <v/>
      </c>
      <c r="M4753" s="13"/>
      <c r="N4753" s="13" t="str">
        <f>IFERROR(__xludf.DUMMYFUNCTION("""COMPUTED_VALUE"""),"")</f>
        <v/>
      </c>
      <c r="O4753" s="13" t="str">
        <f t="shared" si="1"/>
        <v/>
      </c>
    </row>
    <row r="4754" ht="22.5" customHeight="1">
      <c r="B4754" s="13">
        <f>IFERROR(__xludf.DUMMYFUNCTION("""COMPUTED_VALUE"""),4749.0)</f>
        <v>4749</v>
      </c>
      <c r="C4754" s="13" t="str">
        <f>IFERROR(__xludf.DUMMYFUNCTION("""COMPUTED_VALUE"""),"M. 1578/CAMPANG JAYA")</f>
        <v>M. 1578/CAMPANG JAYA</v>
      </c>
      <c r="D4754" s="13" t="str">
        <f>IFERROR(__xludf.DUMMYFUNCTION("""COMPUTED_VALUE"""),"K/1/141025/1")</f>
        <v>K/1/141025/1</v>
      </c>
      <c r="E4754" s="14" t="str">
        <f>IFERROR(__xludf.DUMMYFUNCTION("""COMPUTED_VALUE"""),"Heri (BT)")</f>
        <v>Heri (BT)</v>
      </c>
      <c r="F4754" s="14" t="str">
        <f>IFERROR(__xludf.DUMMYFUNCTION("""COMPUTED_VALUE"""),"SELESAI (VIA PERMOHONAN)")</f>
        <v>SELESAI (VIA PERMOHONAN)</v>
      </c>
      <c r="G4754" s="17">
        <f>IFERROR(__xludf.DUMMYFUNCTION("""COMPUTED_VALUE"""),46024.44838983796)</f>
        <v>46024.44839</v>
      </c>
      <c r="H4754" s="14"/>
      <c r="I4754" s="13"/>
      <c r="J4754" s="17" t="str">
        <f>IFERROR(__xludf.DUMMYFUNCTION("""COMPUTED_VALUE"""),"")</f>
        <v/>
      </c>
      <c r="K4754" s="13" t="str">
        <f>IFERROR(__xludf.DUMMYFUNCTION("""COMPUTED_VALUE"""),"BT atau SU Belum Valid")</f>
        <v>BT atau SU Belum Valid</v>
      </c>
      <c r="L4754" s="13" t="str">
        <f>IFERROR(__xludf.DUMMYFUNCTION("""COMPUTED_VALUE"""),"")</f>
        <v/>
      </c>
      <c r="M4754" s="13"/>
      <c r="N4754" s="13" t="str">
        <f>IFERROR(__xludf.DUMMYFUNCTION("""COMPUTED_VALUE"""),"")</f>
        <v/>
      </c>
      <c r="O4754" s="13" t="str">
        <f t="shared" si="1"/>
        <v/>
      </c>
    </row>
    <row r="4755" ht="22.5" customHeight="1">
      <c r="B4755" s="13">
        <f>IFERROR(__xludf.DUMMYFUNCTION("""COMPUTED_VALUE"""),4750.0)</f>
        <v>4750</v>
      </c>
      <c r="C4755" s="13" t="str">
        <f>IFERROR(__xludf.DUMMYFUNCTION("""COMPUTED_VALUE"""),"12472/Rajabasa")</f>
        <v>12472/Rajabasa</v>
      </c>
      <c r="D4755" s="13" t="str">
        <f>IFERROR(__xludf.DUMMYFUNCTION("""COMPUTED_VALUE"""),"ABTVLVOS/1")</f>
        <v>ABTVLVOS/1</v>
      </c>
      <c r="E4755" s="14" t="str">
        <f>IFERROR(__xludf.DUMMYFUNCTION("""COMPUTED_VALUE"""),"Heri (BT)")</f>
        <v>Heri (BT)</v>
      </c>
      <c r="F4755" s="14" t="str">
        <f>IFERROR(__xludf.DUMMYFUNCTION("""COMPUTED_VALUE"""),"SELESAI (VIA PERMOHONAN)")</f>
        <v>SELESAI (VIA PERMOHONAN)</v>
      </c>
      <c r="G4755" s="17">
        <f>IFERROR(__xludf.DUMMYFUNCTION("""COMPUTED_VALUE"""),46024.450407592594)</f>
        <v>46024.45041</v>
      </c>
      <c r="H4755" s="14"/>
      <c r="I4755" s="13"/>
      <c r="J4755" s="17" t="str">
        <f>IFERROR(__xludf.DUMMYFUNCTION("""COMPUTED_VALUE"""),"")</f>
        <v/>
      </c>
      <c r="K4755" s="13" t="str">
        <f>IFERROR(__xludf.DUMMYFUNCTION("""COMPUTED_VALUE"""),"BT atau SU Belum Valid")</f>
        <v>BT atau SU Belum Valid</v>
      </c>
      <c r="L4755" s="13" t="str">
        <f>IFERROR(__xludf.DUMMYFUNCTION("""COMPUTED_VALUE"""),"")</f>
        <v/>
      </c>
      <c r="M4755" s="13"/>
      <c r="N4755" s="13" t="str">
        <f>IFERROR(__xludf.DUMMYFUNCTION("""COMPUTED_VALUE"""),"")</f>
        <v/>
      </c>
      <c r="O4755" s="13" t="str">
        <f t="shared" si="1"/>
        <v/>
      </c>
    </row>
    <row r="4756" ht="22.5" customHeight="1">
      <c r="B4756" s="13">
        <f>IFERROR(__xludf.DUMMYFUNCTION("""COMPUTED_VALUE"""),4751.0)</f>
        <v>4751</v>
      </c>
      <c r="C4756" s="13" t="str">
        <f>IFERROR(__xludf.DUMMYFUNCTION("""COMPUTED_VALUE"""),"315/SUKAJAWA")</f>
        <v>315/SUKAJAWA</v>
      </c>
      <c r="D4756" s="13" t="str">
        <f>IFERROR(__xludf.DUMMYFUNCTION("""COMPUTED_VALUE"""),"ABRBRYEZ")</f>
        <v>ABRBRYEZ</v>
      </c>
      <c r="E4756" s="14" t="str">
        <f>IFERROR(__xludf.DUMMYFUNCTION("""COMPUTED_VALUE"""),"Heri (BT)")</f>
        <v>Heri (BT)</v>
      </c>
      <c r="F4756" s="14" t="str">
        <f>IFERROR(__xludf.DUMMYFUNCTION("""COMPUTED_VALUE"""),"SELESAI (VIA PERMOHONAN)")</f>
        <v>SELESAI (VIA PERMOHONAN)</v>
      </c>
      <c r="G4756" s="17">
        <f>IFERROR(__xludf.DUMMYFUNCTION("""COMPUTED_VALUE"""),46024.450759583335)</f>
        <v>46024.45076</v>
      </c>
      <c r="H4756" s="14"/>
      <c r="I4756" s="13"/>
      <c r="J4756" s="17" t="str">
        <f>IFERROR(__xludf.DUMMYFUNCTION("""COMPUTED_VALUE"""),"")</f>
        <v/>
      </c>
      <c r="K4756" s="13" t="str">
        <f>IFERROR(__xludf.DUMMYFUNCTION("""COMPUTED_VALUE"""),"BT atau SU Belum Valid")</f>
        <v>BT atau SU Belum Valid</v>
      </c>
      <c r="L4756" s="13" t="str">
        <f>IFERROR(__xludf.DUMMYFUNCTION("""COMPUTED_VALUE"""),"")</f>
        <v/>
      </c>
      <c r="M4756" s="13"/>
      <c r="N4756" s="13" t="str">
        <f>IFERROR(__xludf.DUMMYFUNCTION("""COMPUTED_VALUE"""),"")</f>
        <v/>
      </c>
      <c r="O4756" s="13" t="str">
        <f t="shared" si="1"/>
        <v/>
      </c>
    </row>
    <row r="4757" ht="22.5" customHeight="1">
      <c r="B4757" s="13">
        <f>IFERROR(__xludf.DUMMYFUNCTION("""COMPUTED_VALUE"""),4752.0)</f>
        <v>4752</v>
      </c>
      <c r="C4757" s="13" t="str">
        <f>IFERROR(__xludf.DUMMYFUNCTION("""COMPUTED_VALUE"""),"12471/Rajabasa")</f>
        <v>12471/Rajabasa</v>
      </c>
      <c r="D4757" s="13" t="str">
        <f>IFERROR(__xludf.DUMMYFUNCTION("""COMPUTED_VALUE"""),"ABAKJVNR/1")</f>
        <v>ABAKJVNR/1</v>
      </c>
      <c r="E4757" s="14" t="str">
        <f>IFERROR(__xludf.DUMMYFUNCTION("""COMPUTED_VALUE"""),"Heri (BT)")</f>
        <v>Heri (BT)</v>
      </c>
      <c r="F4757" s="14" t="str">
        <f>IFERROR(__xludf.DUMMYFUNCTION("""COMPUTED_VALUE"""),"SELESAI (VIA PERMOHONAN)")</f>
        <v>SELESAI (VIA PERMOHONAN)</v>
      </c>
      <c r="G4757" s="17">
        <f>IFERROR(__xludf.DUMMYFUNCTION("""COMPUTED_VALUE"""),46024.450914120374)</f>
        <v>46024.45091</v>
      </c>
      <c r="H4757" s="14"/>
      <c r="I4757" s="13"/>
      <c r="J4757" s="17" t="str">
        <f>IFERROR(__xludf.DUMMYFUNCTION("""COMPUTED_VALUE"""),"")</f>
        <v/>
      </c>
      <c r="K4757" s="13" t="str">
        <f>IFERROR(__xludf.DUMMYFUNCTION("""COMPUTED_VALUE"""),"BT atau SU Belum Valid")</f>
        <v>BT atau SU Belum Valid</v>
      </c>
      <c r="L4757" s="13" t="str">
        <f>IFERROR(__xludf.DUMMYFUNCTION("""COMPUTED_VALUE"""),"")</f>
        <v/>
      </c>
      <c r="M4757" s="13"/>
      <c r="N4757" s="13" t="str">
        <f>IFERROR(__xludf.DUMMYFUNCTION("""COMPUTED_VALUE"""),"")</f>
        <v/>
      </c>
      <c r="O4757" s="13" t="str">
        <f t="shared" si="1"/>
        <v/>
      </c>
    </row>
    <row r="4758" ht="22.5" customHeight="1">
      <c r="B4758" s="13">
        <f>IFERROR(__xludf.DUMMYFUNCTION("""COMPUTED_VALUE"""),4753.0)</f>
        <v>4753</v>
      </c>
      <c r="C4758" s="13" t="str">
        <f>IFERROR(__xludf.DUMMYFUNCTION("""COMPUTED_VALUE"""),"M. 1935/ sukarame baru")</f>
        <v>M. 1935/ sukarame baru</v>
      </c>
      <c r="D4758" s="13" t="str">
        <f>IFERROR(__xludf.DUMMYFUNCTION("""COMPUTED_VALUE"""),"ABGYDUUL/ABO46")</f>
        <v>ABGYDUUL/ABO46</v>
      </c>
      <c r="E4758" s="14" t="str">
        <f>IFERROR(__xludf.DUMMYFUNCTION("""COMPUTED_VALUE"""),"Heri (BT)")</f>
        <v>Heri (BT)</v>
      </c>
      <c r="F4758" s="14" t="str">
        <f>IFERROR(__xludf.DUMMYFUNCTION("""COMPUTED_VALUE"""),"SELESAI (VIA PERMOHONAN)")</f>
        <v>SELESAI (VIA PERMOHONAN)</v>
      </c>
      <c r="G4758" s="17">
        <f>IFERROR(__xludf.DUMMYFUNCTION("""COMPUTED_VALUE"""),46024.45580546296)</f>
        <v>46024.45581</v>
      </c>
      <c r="H4758" s="14"/>
      <c r="I4758" s="13"/>
      <c r="J4758" s="17" t="str">
        <f>IFERROR(__xludf.DUMMYFUNCTION("""COMPUTED_VALUE"""),"")</f>
        <v/>
      </c>
      <c r="K4758" s="13" t="str">
        <f>IFERROR(__xludf.DUMMYFUNCTION("""COMPUTED_VALUE"""),"BT atau SU Belum Valid")</f>
        <v>BT atau SU Belum Valid</v>
      </c>
      <c r="L4758" s="13" t="str">
        <f>IFERROR(__xludf.DUMMYFUNCTION("""COMPUTED_VALUE"""),"")</f>
        <v/>
      </c>
      <c r="M4758" s="13"/>
      <c r="N4758" s="13" t="str">
        <f>IFERROR(__xludf.DUMMYFUNCTION("""COMPUTED_VALUE"""),"")</f>
        <v/>
      </c>
      <c r="O4758" s="13" t="str">
        <f t="shared" si="1"/>
        <v/>
      </c>
    </row>
    <row r="4759" ht="22.5" customHeight="1">
      <c r="B4759" s="13">
        <f>IFERROR(__xludf.DUMMYFUNCTION("""COMPUTED_VALUE"""),4754.0)</f>
        <v>4754</v>
      </c>
      <c r="C4759" s="13" t="str">
        <f>IFERROR(__xludf.DUMMYFUNCTION("""COMPUTED_VALUE"""),"SHGB 859/PERUMNAS WAY KANDIS")</f>
        <v>SHGB 859/PERUMNAS WAY KANDIS</v>
      </c>
      <c r="D4759" s="13" t="str">
        <f>IFERROR(__xludf.DUMMYFUNCTION("""COMPUTED_VALUE"""),"L/29/141025/1")</f>
        <v>L/29/141025/1</v>
      </c>
      <c r="E4759" s="14" t="str">
        <f>IFERROR(__xludf.DUMMYFUNCTION("""COMPUTED_VALUE"""),"Heri (BT)")</f>
        <v>Heri (BT)</v>
      </c>
      <c r="F4759" s="14" t="str">
        <f>IFERROR(__xludf.DUMMYFUNCTION("""COMPUTED_VALUE"""),"SELESAI (VIA PERMOHONAN)")</f>
        <v>SELESAI (VIA PERMOHONAN)</v>
      </c>
      <c r="G4759" s="17">
        <f>IFERROR(__xludf.DUMMYFUNCTION("""COMPUTED_VALUE"""),46028.43081653935)</f>
        <v>46028.43082</v>
      </c>
      <c r="H4759" s="14"/>
      <c r="I4759" s="13"/>
      <c r="J4759" s="17" t="str">
        <f>IFERROR(__xludf.DUMMYFUNCTION("""COMPUTED_VALUE"""),"")</f>
        <v/>
      </c>
      <c r="K4759" s="13" t="str">
        <f>IFERROR(__xludf.DUMMYFUNCTION("""COMPUTED_VALUE"""),"BT atau SU Belum Valid")</f>
        <v>BT atau SU Belum Valid</v>
      </c>
      <c r="L4759" s="13" t="str">
        <f>IFERROR(__xludf.DUMMYFUNCTION("""COMPUTED_VALUE"""),"")</f>
        <v/>
      </c>
      <c r="M4759" s="13"/>
      <c r="N4759" s="13" t="str">
        <f>IFERROR(__xludf.DUMMYFUNCTION("""COMPUTED_VALUE"""),"")</f>
        <v/>
      </c>
      <c r="O4759" s="13" t="str">
        <f t="shared" si="1"/>
        <v/>
      </c>
    </row>
    <row r="4760" ht="22.5" customHeight="1">
      <c r="B4760" s="13">
        <f>IFERROR(__xludf.DUMMYFUNCTION("""COMPUTED_VALUE"""),4755.0)</f>
        <v>4755</v>
      </c>
      <c r="C4760" s="13" t="str">
        <f>IFERROR(__xludf.DUMMYFUNCTION("""COMPUTED_VALUE"""),"2116/kupang teba")</f>
        <v>2116/kupang teba</v>
      </c>
      <c r="D4760" s="13" t="str">
        <f>IFERROR(__xludf.DUMMYFUNCTION("""COMPUTED_VALUE"""),"ABPASPVE")</f>
        <v>ABPASPVE</v>
      </c>
      <c r="E4760" s="14" t="str">
        <f>IFERROR(__xludf.DUMMYFUNCTION("""COMPUTED_VALUE"""),"Heri (BT)")</f>
        <v>Heri (BT)</v>
      </c>
      <c r="F4760" s="14" t="str">
        <f>IFERROR(__xludf.DUMMYFUNCTION("""COMPUTED_VALUE"""),"SELESAI (VIA PERMOHONAN)")</f>
        <v>SELESAI (VIA PERMOHONAN)</v>
      </c>
      <c r="G4760" s="17">
        <f>IFERROR(__xludf.DUMMYFUNCTION("""COMPUTED_VALUE"""),46028.4311491088)</f>
        <v>46028.43115</v>
      </c>
      <c r="H4760" s="14"/>
      <c r="I4760" s="13"/>
      <c r="J4760" s="17" t="str">
        <f>IFERROR(__xludf.DUMMYFUNCTION("""COMPUTED_VALUE"""),"")</f>
        <v/>
      </c>
      <c r="K4760" s="13" t="str">
        <f>IFERROR(__xludf.DUMMYFUNCTION("""COMPUTED_VALUE"""),"BT atau SU Belum Valid")</f>
        <v>BT atau SU Belum Valid</v>
      </c>
      <c r="L4760" s="13" t="str">
        <f>IFERROR(__xludf.DUMMYFUNCTION("""COMPUTED_VALUE"""),"")</f>
        <v/>
      </c>
      <c r="M4760" s="13"/>
      <c r="N4760" s="13" t="str">
        <f>IFERROR(__xludf.DUMMYFUNCTION("""COMPUTED_VALUE"""),"")</f>
        <v/>
      </c>
      <c r="O4760" s="13" t="str">
        <f t="shared" si="1"/>
        <v/>
      </c>
    </row>
    <row r="4761" ht="22.5" customHeight="1">
      <c r="B4761" s="13">
        <f>IFERROR(__xludf.DUMMYFUNCTION("""COMPUTED_VALUE"""),4756.0)</f>
        <v>4756</v>
      </c>
      <c r="C4761" s="13" t="str">
        <f>IFERROR(__xludf.DUMMYFUNCTION("""COMPUTED_VALUE"""),"M. 11668/Segala Mider")</f>
        <v>M. 11668/Segala Mider</v>
      </c>
      <c r="D4761" s="13" t="str">
        <f>IFERROR(__xludf.DUMMYFUNCTION("""COMPUTED_VALUE"""),"ABABPVFG/AB034")</f>
        <v>ABABPVFG/AB034</v>
      </c>
      <c r="E4761" s="14" t="str">
        <f>IFERROR(__xludf.DUMMYFUNCTION("""COMPUTED_VALUE"""),"Heri (BT)")</f>
        <v>Heri (BT)</v>
      </c>
      <c r="F4761" s="14" t="str">
        <f>IFERROR(__xludf.DUMMYFUNCTION("""COMPUTED_VALUE"""),"SELESAI (VIA PERMOHONAN)")</f>
        <v>SELESAI (VIA PERMOHONAN)</v>
      </c>
      <c r="G4761" s="17">
        <f>IFERROR(__xludf.DUMMYFUNCTION("""COMPUTED_VALUE"""),46029.394688263885)</f>
        <v>46029.39469</v>
      </c>
      <c r="H4761" s="14"/>
      <c r="I4761" s="13"/>
      <c r="J4761" s="17" t="str">
        <f>IFERROR(__xludf.DUMMYFUNCTION("""COMPUTED_VALUE"""),"")</f>
        <v/>
      </c>
      <c r="K4761" s="13" t="str">
        <f>IFERROR(__xludf.DUMMYFUNCTION("""COMPUTED_VALUE"""),"BT atau SU Belum Valid")</f>
        <v>BT atau SU Belum Valid</v>
      </c>
      <c r="L4761" s="13" t="str">
        <f>IFERROR(__xludf.DUMMYFUNCTION("""COMPUTED_VALUE"""),"")</f>
        <v/>
      </c>
      <c r="M4761" s="13"/>
      <c r="N4761" s="13" t="str">
        <f>IFERROR(__xludf.DUMMYFUNCTION("""COMPUTED_VALUE"""),"")</f>
        <v/>
      </c>
      <c r="O4761" s="13" t="str">
        <f t="shared" si="1"/>
        <v/>
      </c>
    </row>
    <row r="4762" ht="22.5" customHeight="1">
      <c r="B4762" s="13">
        <f>IFERROR(__xludf.DUMMYFUNCTION("""COMPUTED_VALUE"""),4757.0)</f>
        <v>4757</v>
      </c>
      <c r="C4762" s="13" t="str">
        <f>IFERROR(__xludf.DUMMYFUNCTION("""COMPUTED_VALUE"""),"M. 2093/Sukadana Ham	")</f>
        <v>M. 2093/Sukadana Ham	</v>
      </c>
      <c r="D4762" s="13" t="str">
        <f>IFERROR(__xludf.DUMMYFUNCTION("""COMPUTED_VALUE"""),"K/25/240925/1")</f>
        <v>K/25/240925/1</v>
      </c>
      <c r="E4762" s="14" t="str">
        <f>IFERROR(__xludf.DUMMYFUNCTION("""COMPUTED_VALUE"""),"Heri (BT)")</f>
        <v>Heri (BT)</v>
      </c>
      <c r="F4762" s="14" t="str">
        <f>IFERROR(__xludf.DUMMYFUNCTION("""COMPUTED_VALUE"""),"SELESAI (VIA PERMOHONAN)")</f>
        <v>SELESAI (VIA PERMOHONAN)</v>
      </c>
      <c r="G4762" s="17">
        <f>IFERROR(__xludf.DUMMYFUNCTION("""COMPUTED_VALUE"""),46029.39602300926)</f>
        <v>46029.39602</v>
      </c>
      <c r="H4762" s="14"/>
      <c r="I4762" s="13"/>
      <c r="J4762" s="17" t="str">
        <f>IFERROR(__xludf.DUMMYFUNCTION("""COMPUTED_VALUE"""),"")</f>
        <v/>
      </c>
      <c r="K4762" s="13" t="str">
        <f>IFERROR(__xludf.DUMMYFUNCTION("""COMPUTED_VALUE"""),"BT atau SU Belum Valid")</f>
        <v>BT atau SU Belum Valid</v>
      </c>
      <c r="L4762" s="13" t="str">
        <f>IFERROR(__xludf.DUMMYFUNCTION("""COMPUTED_VALUE"""),"")</f>
        <v/>
      </c>
      <c r="M4762" s="13"/>
      <c r="N4762" s="13" t="str">
        <f>IFERROR(__xludf.DUMMYFUNCTION("""COMPUTED_VALUE"""),"")</f>
        <v/>
      </c>
      <c r="O4762" s="13" t="str">
        <f t="shared" si="1"/>
        <v/>
      </c>
    </row>
    <row r="4763" ht="22.5" customHeight="1">
      <c r="B4763" s="13">
        <f>IFERROR(__xludf.DUMMYFUNCTION("""COMPUTED_VALUE"""),4758.0)</f>
        <v>4758</v>
      </c>
      <c r="C4763" s="13" t="str">
        <f>IFERROR(__xludf.DUMMYFUNCTION("""COMPUTED_VALUE"""),"M. 03196/ KEMILING PERMAI")</f>
        <v>M. 03196/ KEMILING PERMAI</v>
      </c>
      <c r="D4763" s="13" t="str">
        <f>IFERROR(__xludf.DUMMYFUNCTION("""COMPUTED_VALUE"""),"ABVKGFFH")</f>
        <v>ABVKGFFH</v>
      </c>
      <c r="E4763" s="14" t="str">
        <f>IFERROR(__xludf.DUMMYFUNCTION("""COMPUTED_VALUE"""),"Heri (BT)")</f>
        <v>Heri (BT)</v>
      </c>
      <c r="F4763" s="14" t="str">
        <f>IFERROR(__xludf.DUMMYFUNCTION("""COMPUTED_VALUE"""),"SELESAI (VIA PERMOHONAN)")</f>
        <v>SELESAI (VIA PERMOHONAN)</v>
      </c>
      <c r="G4763" s="17">
        <f>IFERROR(__xludf.DUMMYFUNCTION("""COMPUTED_VALUE"""),46029.67523792824)</f>
        <v>46029.67524</v>
      </c>
      <c r="H4763" s="14"/>
      <c r="I4763" s="13"/>
      <c r="J4763" s="17" t="str">
        <f>IFERROR(__xludf.DUMMYFUNCTION("""COMPUTED_VALUE"""),"")</f>
        <v/>
      </c>
      <c r="K4763" s="13" t="str">
        <f>IFERROR(__xludf.DUMMYFUNCTION("""COMPUTED_VALUE"""),"BT atau SU Belum Valid")</f>
        <v>BT atau SU Belum Valid</v>
      </c>
      <c r="L4763" s="13" t="str">
        <f>IFERROR(__xludf.DUMMYFUNCTION("""COMPUTED_VALUE"""),"")</f>
        <v/>
      </c>
      <c r="M4763" s="13"/>
      <c r="N4763" s="13" t="str">
        <f>IFERROR(__xludf.DUMMYFUNCTION("""COMPUTED_VALUE"""),"")</f>
        <v/>
      </c>
      <c r="O4763" s="13" t="str">
        <f t="shared" si="1"/>
        <v/>
      </c>
    </row>
    <row r="4764" ht="22.5" customHeight="1">
      <c r="B4764" s="13">
        <f>IFERROR(__xludf.DUMMYFUNCTION("""COMPUTED_VALUE"""),4759.0)</f>
        <v>4759</v>
      </c>
      <c r="C4764" s="13" t="str">
        <f>IFERROR(__xludf.DUMMYFUNCTION("""COMPUTED_VALUE"""),"HGB 91/BILABONG JAYA")</f>
        <v>HGB 91/BILABONG JAYA</v>
      </c>
      <c r="D4764" s="13" t="str">
        <f>IFERROR(__xludf.DUMMYFUNCTION("""COMPUTED_VALUE"""),"L/16/230525/1")</f>
        <v>L/16/230525/1</v>
      </c>
      <c r="E4764" s="14" t="str">
        <f>IFERROR(__xludf.DUMMYFUNCTION("""COMPUTED_VALUE"""),"Heri (BT)")</f>
        <v>Heri (BT)</v>
      </c>
      <c r="F4764" s="14" t="str">
        <f>IFERROR(__xludf.DUMMYFUNCTION("""COMPUTED_VALUE"""),"SELESAI (VIA PERMOHONAN)")</f>
        <v>SELESAI (VIA PERMOHONAN)</v>
      </c>
      <c r="G4764" s="17">
        <f>IFERROR(__xludf.DUMMYFUNCTION("""COMPUTED_VALUE"""),46029.67761434028)</f>
        <v>46029.67761</v>
      </c>
      <c r="H4764" s="14"/>
      <c r="I4764" s="13"/>
      <c r="J4764" s="17" t="str">
        <f>IFERROR(__xludf.DUMMYFUNCTION("""COMPUTED_VALUE"""),"")</f>
        <v/>
      </c>
      <c r="K4764" s="13" t="str">
        <f>IFERROR(__xludf.DUMMYFUNCTION("""COMPUTED_VALUE"""),"BT atau SU Belum Valid")</f>
        <v>BT atau SU Belum Valid</v>
      </c>
      <c r="L4764" s="13" t="str">
        <f>IFERROR(__xludf.DUMMYFUNCTION("""COMPUTED_VALUE"""),"")</f>
        <v/>
      </c>
      <c r="M4764" s="13"/>
      <c r="N4764" s="13" t="str">
        <f>IFERROR(__xludf.DUMMYFUNCTION("""COMPUTED_VALUE"""),"")</f>
        <v/>
      </c>
      <c r="O4764" s="13" t="str">
        <f t="shared" si="1"/>
        <v/>
      </c>
    </row>
    <row r="4765" ht="22.5" customHeight="1">
      <c r="B4765" s="13">
        <f>IFERROR(__xludf.DUMMYFUNCTION("""COMPUTED_VALUE"""),4760.0)</f>
        <v>4760</v>
      </c>
      <c r="C4765" s="13" t="str">
        <f>IFERROR(__xludf.DUMMYFUNCTION("""COMPUTED_VALUE"""),"M. 70/KEBON JERUK")</f>
        <v>M. 70/KEBON JERUK</v>
      </c>
      <c r="D4765" s="13" t="str">
        <f>IFERROR(__xludf.DUMMYFUNCTION("""COMPUTED_VALUE"""),"L/11/221025/1")</f>
        <v>L/11/221025/1</v>
      </c>
      <c r="E4765" s="14" t="str">
        <f>IFERROR(__xludf.DUMMYFUNCTION("""COMPUTED_VALUE"""),"Heri (BT)")</f>
        <v>Heri (BT)</v>
      </c>
      <c r="F4765" s="14" t="str">
        <f>IFERROR(__xludf.DUMMYFUNCTION("""COMPUTED_VALUE"""),"SELESAI (VIA PERMOHONAN)")</f>
        <v>SELESAI (VIA PERMOHONAN)</v>
      </c>
      <c r="G4765" s="17">
        <f>IFERROR(__xludf.DUMMYFUNCTION("""COMPUTED_VALUE"""),46029.6782755787)</f>
        <v>46029.67828</v>
      </c>
      <c r="H4765" s="14"/>
      <c r="I4765" s="13"/>
      <c r="J4765" s="17" t="str">
        <f>IFERROR(__xludf.DUMMYFUNCTION("""COMPUTED_VALUE"""),"")</f>
        <v/>
      </c>
      <c r="K4765" s="13" t="str">
        <f>IFERROR(__xludf.DUMMYFUNCTION("""COMPUTED_VALUE"""),"BT atau SU Belum Valid")</f>
        <v>BT atau SU Belum Valid</v>
      </c>
      <c r="L4765" s="13" t="str">
        <f>IFERROR(__xludf.DUMMYFUNCTION("""COMPUTED_VALUE"""),"")</f>
        <v/>
      </c>
      <c r="M4765" s="13"/>
      <c r="N4765" s="13" t="str">
        <f>IFERROR(__xludf.DUMMYFUNCTION("""COMPUTED_VALUE"""),"")</f>
        <v/>
      </c>
      <c r="O4765" s="13" t="str">
        <f t="shared" si="1"/>
        <v/>
      </c>
    </row>
    <row r="4766" ht="22.5" customHeight="1">
      <c r="B4766" s="13">
        <f>IFERROR(__xludf.DUMMYFUNCTION("""COMPUTED_VALUE"""),4761.0)</f>
        <v>4761</v>
      </c>
      <c r="C4766" s="13" t="str">
        <f>IFERROR(__xludf.DUMMYFUNCTION("""COMPUTED_VALUE"""),"M 479/ Sumur putri ")</f>
        <v>M 479/ Sumur putri </v>
      </c>
      <c r="D4766" s="13" t="str">
        <f>IFERROR(__xludf.DUMMYFUNCTION("""COMPUTED_VALUE"""),"ABKEQERV")</f>
        <v>ABKEQERV</v>
      </c>
      <c r="E4766" s="14" t="str">
        <f>IFERROR(__xludf.DUMMYFUNCTION("""COMPUTED_VALUE"""),"Heri (BT)")</f>
        <v>Heri (BT)</v>
      </c>
      <c r="F4766" s="14" t="str">
        <f>IFERROR(__xludf.DUMMYFUNCTION("""COMPUTED_VALUE"""),"SELESAI (VIA PERMOHONAN)")</f>
        <v>SELESAI (VIA PERMOHONAN)</v>
      </c>
      <c r="G4766" s="17">
        <f>IFERROR(__xludf.DUMMYFUNCTION("""COMPUTED_VALUE"""),46029.67850037037)</f>
        <v>46029.6785</v>
      </c>
      <c r="H4766" s="14"/>
      <c r="I4766" s="13"/>
      <c r="J4766" s="17" t="str">
        <f>IFERROR(__xludf.DUMMYFUNCTION("""COMPUTED_VALUE"""),"")</f>
        <v/>
      </c>
      <c r="K4766" s="13" t="str">
        <f>IFERROR(__xludf.DUMMYFUNCTION("""COMPUTED_VALUE"""),"BT atau SU Belum Valid")</f>
        <v>BT atau SU Belum Valid</v>
      </c>
      <c r="L4766" s="13" t="str">
        <f>IFERROR(__xludf.DUMMYFUNCTION("""COMPUTED_VALUE"""),"")</f>
        <v/>
      </c>
      <c r="M4766" s="13"/>
      <c r="N4766" s="13" t="str">
        <f>IFERROR(__xludf.DUMMYFUNCTION("""COMPUTED_VALUE"""),"")</f>
        <v/>
      </c>
      <c r="O4766" s="13" t="str">
        <f t="shared" si="1"/>
        <v/>
      </c>
    </row>
    <row r="4767" ht="22.5" customHeight="1">
      <c r="B4767" s="13">
        <f>IFERROR(__xludf.DUMMYFUNCTION("""COMPUTED_VALUE"""),4762.0)</f>
        <v>4762</v>
      </c>
      <c r="C4767" s="13" t="str">
        <f>IFERROR(__xludf.DUMMYFUNCTION("""COMPUTED_VALUE"""),"1562/panjang selatan")</f>
        <v>1562/panjang selatan</v>
      </c>
      <c r="D4767" s="13" t="str">
        <f>IFERROR(__xludf.DUMMYFUNCTION("""COMPUTED_VALUE"""),"ABTQQNVK/ABO60")</f>
        <v>ABTQQNVK/ABO60</v>
      </c>
      <c r="E4767" s="14" t="str">
        <f>IFERROR(__xludf.DUMMYFUNCTION("""COMPUTED_VALUE"""),"Heri (BT)")</f>
        <v>Heri (BT)</v>
      </c>
      <c r="F4767" s="14" t="str">
        <f>IFERROR(__xludf.DUMMYFUNCTION("""COMPUTED_VALUE"""),"SELESAI (VIA PERMOHONAN)")</f>
        <v>SELESAI (VIA PERMOHONAN)</v>
      </c>
      <c r="G4767" s="17">
        <f>IFERROR(__xludf.DUMMYFUNCTION("""COMPUTED_VALUE"""),46030.46639822917)</f>
        <v>46030.4664</v>
      </c>
      <c r="H4767" s="14"/>
      <c r="I4767" s="13"/>
      <c r="J4767" s="17" t="str">
        <f>IFERROR(__xludf.DUMMYFUNCTION("""COMPUTED_VALUE"""),"")</f>
        <v/>
      </c>
      <c r="K4767" s="13" t="str">
        <f>IFERROR(__xludf.DUMMYFUNCTION("""COMPUTED_VALUE"""),"BT atau SU Belum Valid")</f>
        <v>BT atau SU Belum Valid</v>
      </c>
      <c r="L4767" s="13" t="str">
        <f>IFERROR(__xludf.DUMMYFUNCTION("""COMPUTED_VALUE"""),"")</f>
        <v/>
      </c>
      <c r="M4767" s="13"/>
      <c r="N4767" s="13" t="str">
        <f>IFERROR(__xludf.DUMMYFUNCTION("""COMPUTED_VALUE"""),"")</f>
        <v/>
      </c>
      <c r="O4767" s="13" t="str">
        <f t="shared" si="1"/>
        <v/>
      </c>
    </row>
    <row r="4768" ht="22.5" customHeight="1">
      <c r="B4768" s="13">
        <f>IFERROR(__xludf.DUMMYFUNCTION("""COMPUTED_VALUE"""),4763.0)</f>
        <v>4763</v>
      </c>
      <c r="C4768" s="13" t="str">
        <f>IFERROR(__xludf.DUMMYFUNCTION("""COMPUTED_VALUE"""),"M. 312/ ketapang")</f>
        <v>M. 312/ ketapang</v>
      </c>
      <c r="D4768" s="13" t="str">
        <f>IFERROR(__xludf.DUMMYFUNCTION("""COMPUTED_VALUE"""),"ABKUPHGE")</f>
        <v>ABKUPHGE</v>
      </c>
      <c r="E4768" s="14" t="str">
        <f>IFERROR(__xludf.DUMMYFUNCTION("""COMPUTED_VALUE"""),"Heri (BT)")</f>
        <v>Heri (BT)</v>
      </c>
      <c r="F4768" s="14" t="str">
        <f>IFERROR(__xludf.DUMMYFUNCTION("""COMPUTED_VALUE"""),"SELESAI (VIA PERMOHONAN)")</f>
        <v>SELESAI (VIA PERMOHONAN)</v>
      </c>
      <c r="G4768" s="17">
        <f>IFERROR(__xludf.DUMMYFUNCTION("""COMPUTED_VALUE"""),46030.46733322917)</f>
        <v>46030.46733</v>
      </c>
      <c r="H4768" s="14"/>
      <c r="I4768" s="13"/>
      <c r="J4768" s="17" t="str">
        <f>IFERROR(__xludf.DUMMYFUNCTION("""COMPUTED_VALUE"""),"")</f>
        <v/>
      </c>
      <c r="K4768" s="13" t="str">
        <f>IFERROR(__xludf.DUMMYFUNCTION("""COMPUTED_VALUE"""),"BT atau SU Belum Valid")</f>
        <v>BT atau SU Belum Valid</v>
      </c>
      <c r="L4768" s="13" t="str">
        <f>IFERROR(__xludf.DUMMYFUNCTION("""COMPUTED_VALUE"""),"")</f>
        <v/>
      </c>
      <c r="M4768" s="13"/>
      <c r="N4768" s="13" t="str">
        <f>IFERROR(__xludf.DUMMYFUNCTION("""COMPUTED_VALUE"""),"")</f>
        <v/>
      </c>
      <c r="O4768" s="13" t="str">
        <f t="shared" si="1"/>
        <v/>
      </c>
    </row>
    <row r="4769" ht="22.5" customHeight="1">
      <c r="B4769" s="13">
        <f>IFERROR(__xludf.DUMMYFUNCTION("""COMPUTED_VALUE"""),4764.0)</f>
        <v>4764</v>
      </c>
      <c r="C4769" s="13" t="str">
        <f>IFERROR(__xludf.DUMMYFUNCTION("""COMPUTED_VALUE"""),"M . 1876/RAJABASA NUNYAI")</f>
        <v>M . 1876/RAJABASA NUNYAI</v>
      </c>
      <c r="D4769" s="13" t="str">
        <f>IFERROR(__xludf.DUMMYFUNCTION("""COMPUTED_VALUE"""),"K/12/020925/1")</f>
        <v>K/12/020925/1</v>
      </c>
      <c r="E4769" s="14" t="str">
        <f>IFERROR(__xludf.DUMMYFUNCTION("""COMPUTED_VALUE"""),"Heri (BT)")</f>
        <v>Heri (BT)</v>
      </c>
      <c r="F4769" s="14" t="str">
        <f>IFERROR(__xludf.DUMMYFUNCTION("""COMPUTED_VALUE"""),"SELESAI (VIA PERMOHONAN)")</f>
        <v>SELESAI (VIA PERMOHONAN)</v>
      </c>
      <c r="G4769" s="17">
        <f>IFERROR(__xludf.DUMMYFUNCTION("""COMPUTED_VALUE"""),46030.46770199074)</f>
        <v>46030.4677</v>
      </c>
      <c r="H4769" s="14"/>
      <c r="I4769" s="13"/>
      <c r="J4769" s="17" t="str">
        <f>IFERROR(__xludf.DUMMYFUNCTION("""COMPUTED_VALUE"""),"")</f>
        <v/>
      </c>
      <c r="K4769" s="13" t="str">
        <f>IFERROR(__xludf.DUMMYFUNCTION("""COMPUTED_VALUE"""),"BT atau SU Belum Valid")</f>
        <v>BT atau SU Belum Valid</v>
      </c>
      <c r="L4769" s="13" t="str">
        <f>IFERROR(__xludf.DUMMYFUNCTION("""COMPUTED_VALUE"""),"")</f>
        <v/>
      </c>
      <c r="M4769" s="13"/>
      <c r="N4769" s="13" t="str">
        <f>IFERROR(__xludf.DUMMYFUNCTION("""COMPUTED_VALUE"""),"")</f>
        <v/>
      </c>
      <c r="O4769" s="13" t="str">
        <f t="shared" si="1"/>
        <v/>
      </c>
    </row>
    <row r="4770" ht="22.5" customHeight="1">
      <c r="B4770" s="13">
        <f>IFERROR(__xludf.DUMMYFUNCTION("""COMPUTED_VALUE"""),4765.0)</f>
        <v>4765</v>
      </c>
      <c r="C4770" s="13" t="str">
        <f>IFERROR(__xludf.DUMMYFUNCTION("""COMPUTED_VALUE"""),"M 1624/ TELUK BETUNG")</f>
        <v>M 1624/ TELUK BETUNG</v>
      </c>
      <c r="D4770" s="13" t="str">
        <f>IFERROR(__xludf.DUMMYFUNCTION("""COMPUTED_VALUE"""),"ABUIIABJ")</f>
        <v>ABUIIABJ</v>
      </c>
      <c r="E4770" s="14" t="str">
        <f>IFERROR(__xludf.DUMMYFUNCTION("""COMPUTED_VALUE"""),"Heri (BT)")</f>
        <v>Heri (BT)</v>
      </c>
      <c r="F4770" s="14" t="str">
        <f>IFERROR(__xludf.DUMMYFUNCTION("""COMPUTED_VALUE"""),"SELESAI (VIA PERMOHONAN)")</f>
        <v>SELESAI (VIA PERMOHONAN)</v>
      </c>
      <c r="G4770" s="17">
        <f>IFERROR(__xludf.DUMMYFUNCTION("""COMPUTED_VALUE"""),46030.46811741898)</f>
        <v>46030.46812</v>
      </c>
      <c r="H4770" s="14"/>
      <c r="I4770" s="13"/>
      <c r="J4770" s="17" t="str">
        <f>IFERROR(__xludf.DUMMYFUNCTION("""COMPUTED_VALUE"""),"")</f>
        <v/>
      </c>
      <c r="K4770" s="13" t="str">
        <f>IFERROR(__xludf.DUMMYFUNCTION("""COMPUTED_VALUE"""),"BT atau SU Belum Valid")</f>
        <v>BT atau SU Belum Valid</v>
      </c>
      <c r="L4770" s="13" t="str">
        <f>IFERROR(__xludf.DUMMYFUNCTION("""COMPUTED_VALUE"""),"")</f>
        <v/>
      </c>
      <c r="M4770" s="13"/>
      <c r="N4770" s="13" t="str">
        <f>IFERROR(__xludf.DUMMYFUNCTION("""COMPUTED_VALUE"""),"")</f>
        <v/>
      </c>
      <c r="O4770" s="13" t="str">
        <f t="shared" si="1"/>
        <v/>
      </c>
    </row>
    <row r="4771" ht="22.5" customHeight="1">
      <c r="B4771" s="13">
        <f>IFERROR(__xludf.DUMMYFUNCTION("""COMPUTED_VALUE"""),4766.0)</f>
        <v>4766</v>
      </c>
      <c r="C4771" s="13" t="str">
        <f>IFERROR(__xludf.DUMMYFUNCTION("""COMPUTED_VALUE"""),"M 1878/ LABUHAN DALAM")</f>
        <v>M 1878/ LABUHAN DALAM</v>
      </c>
      <c r="D4771" s="13" t="str">
        <f>IFERROR(__xludf.DUMMYFUNCTION("""COMPUTED_VALUE"""),"K/41/011025/1")</f>
        <v>K/41/011025/1</v>
      </c>
      <c r="E4771" s="14" t="str">
        <f>IFERROR(__xludf.DUMMYFUNCTION("""COMPUTED_VALUE"""),"Heri (BT)")</f>
        <v>Heri (BT)</v>
      </c>
      <c r="F4771" s="14" t="str">
        <f>IFERROR(__xludf.DUMMYFUNCTION("""COMPUTED_VALUE"""),"SELESAI (VIA PERMOHONAN)")</f>
        <v>SELESAI (VIA PERMOHONAN)</v>
      </c>
      <c r="G4771" s="17">
        <f>IFERROR(__xludf.DUMMYFUNCTION("""COMPUTED_VALUE"""),46030.46840466435)</f>
        <v>46030.4684</v>
      </c>
      <c r="H4771" s="14"/>
      <c r="I4771" s="13"/>
      <c r="J4771" s="17" t="str">
        <f>IFERROR(__xludf.DUMMYFUNCTION("""COMPUTED_VALUE"""),"")</f>
        <v/>
      </c>
      <c r="K4771" s="13" t="str">
        <f>IFERROR(__xludf.DUMMYFUNCTION("""COMPUTED_VALUE"""),"BT atau SU Belum Valid")</f>
        <v>BT atau SU Belum Valid</v>
      </c>
      <c r="L4771" s="13" t="str">
        <f>IFERROR(__xludf.DUMMYFUNCTION("""COMPUTED_VALUE"""),"")</f>
        <v/>
      </c>
      <c r="M4771" s="13"/>
      <c r="N4771" s="13" t="str">
        <f>IFERROR(__xludf.DUMMYFUNCTION("""COMPUTED_VALUE"""),"")</f>
        <v/>
      </c>
      <c r="O4771" s="13" t="str">
        <f t="shared" si="1"/>
        <v/>
      </c>
    </row>
    <row r="4772" ht="22.5" customHeight="1">
      <c r="B4772" s="13">
        <f>IFERROR(__xludf.DUMMYFUNCTION("""COMPUTED_VALUE"""),4767.0)</f>
        <v>4767</v>
      </c>
      <c r="C4772" s="13" t="str">
        <f>IFERROR(__xludf.DUMMYFUNCTION("""COMPUTED_VALUE"""),"M 1010/ WAY HALIM PERMAI")</f>
        <v>M 1010/ WAY HALIM PERMAI</v>
      </c>
      <c r="D4772" s="13" t="str">
        <f>IFERROR(__xludf.DUMMYFUNCTION("""COMPUTED_VALUE"""),"K/20/230925/2")</f>
        <v>K/20/230925/2</v>
      </c>
      <c r="E4772" s="14" t="str">
        <f>IFERROR(__xludf.DUMMYFUNCTION("""COMPUTED_VALUE"""),"Heri (BT)")</f>
        <v>Heri (BT)</v>
      </c>
      <c r="F4772" s="14" t="str">
        <f>IFERROR(__xludf.DUMMYFUNCTION("""COMPUTED_VALUE"""),"SELESAI (VIA PERMOHONAN)")</f>
        <v>SELESAI (VIA PERMOHONAN)</v>
      </c>
      <c r="G4772" s="17">
        <f>IFERROR(__xludf.DUMMYFUNCTION("""COMPUTED_VALUE"""),46031.61645130787)</f>
        <v>46031.61645</v>
      </c>
      <c r="H4772" s="14"/>
      <c r="I4772" s="13"/>
      <c r="J4772" s="17" t="str">
        <f>IFERROR(__xludf.DUMMYFUNCTION("""COMPUTED_VALUE"""),"")</f>
        <v/>
      </c>
      <c r="K4772" s="13" t="str">
        <f>IFERROR(__xludf.DUMMYFUNCTION("""COMPUTED_VALUE"""),"BT atau SU Belum Valid")</f>
        <v>BT atau SU Belum Valid</v>
      </c>
      <c r="L4772" s="13" t="str">
        <f>IFERROR(__xludf.DUMMYFUNCTION("""COMPUTED_VALUE"""),"")</f>
        <v/>
      </c>
      <c r="M4772" s="13"/>
      <c r="N4772" s="13" t="str">
        <f>IFERROR(__xludf.DUMMYFUNCTION("""COMPUTED_VALUE"""),"")</f>
        <v/>
      </c>
      <c r="O4772" s="13" t="str">
        <f t="shared" si="1"/>
        <v/>
      </c>
    </row>
    <row r="4773" ht="22.5" customHeight="1">
      <c r="B4773" s="13">
        <f>IFERROR(__xludf.DUMMYFUNCTION("""COMPUTED_VALUE"""),4768.0)</f>
        <v>4768</v>
      </c>
      <c r="C4773" s="13" t="str">
        <f>IFERROR(__xludf.DUMMYFUNCTION("""COMPUTED_VALUE"""),"M. 725/SAWAH LAMA")</f>
        <v>M. 725/SAWAH LAMA</v>
      </c>
      <c r="D4773" s="13" t="str">
        <f>IFERROR(__xludf.DUMMYFUNCTION("""COMPUTED_VALUE"""),"K/14/121125/1")</f>
        <v>K/14/121125/1</v>
      </c>
      <c r="E4773" s="14" t="str">
        <f>IFERROR(__xludf.DUMMYFUNCTION("""COMPUTED_VALUE"""),"Heri (BT)")</f>
        <v>Heri (BT)</v>
      </c>
      <c r="F4773" s="14" t="str">
        <f>IFERROR(__xludf.DUMMYFUNCTION("""COMPUTED_VALUE"""),"SELESAI (VIA PERMOHONAN)")</f>
        <v>SELESAI (VIA PERMOHONAN)</v>
      </c>
      <c r="G4773" s="17">
        <f>IFERROR(__xludf.DUMMYFUNCTION("""COMPUTED_VALUE"""),46031.61681929398)</f>
        <v>46031.61682</v>
      </c>
      <c r="H4773" s="14"/>
      <c r="I4773" s="13"/>
      <c r="J4773" s="17" t="str">
        <f>IFERROR(__xludf.DUMMYFUNCTION("""COMPUTED_VALUE"""),"")</f>
        <v/>
      </c>
      <c r="K4773" s="13" t="str">
        <f>IFERROR(__xludf.DUMMYFUNCTION("""COMPUTED_VALUE"""),"BT atau SU Belum Valid")</f>
        <v>BT atau SU Belum Valid</v>
      </c>
      <c r="L4773" s="13" t="str">
        <f>IFERROR(__xludf.DUMMYFUNCTION("""COMPUTED_VALUE"""),"")</f>
        <v/>
      </c>
      <c r="M4773" s="13"/>
      <c r="N4773" s="13" t="str">
        <f>IFERROR(__xludf.DUMMYFUNCTION("""COMPUTED_VALUE"""),"")</f>
        <v/>
      </c>
      <c r="O4773" s="13" t="str">
        <f t="shared" si="1"/>
        <v/>
      </c>
    </row>
    <row r="4774" ht="22.5" customHeight="1">
      <c r="B4774" s="13">
        <f>IFERROR(__xludf.DUMMYFUNCTION("""COMPUTED_VALUE"""),4769.0)</f>
        <v>4769</v>
      </c>
      <c r="C4774" s="13" t="str">
        <f>IFERROR(__xludf.DUMMYFUNCTION("""COMPUTED_VALUE"""),"M. 196/KORPRI RAYA")</f>
        <v>M. 196/KORPRI RAYA</v>
      </c>
      <c r="D4774" s="13" t="str">
        <f>IFERROR(__xludf.DUMMYFUNCTION("""COMPUTED_VALUE"""),"L/31/021025/1")</f>
        <v>L/31/021025/1</v>
      </c>
      <c r="E4774" s="14" t="str">
        <f>IFERROR(__xludf.DUMMYFUNCTION("""COMPUTED_VALUE"""),"Heri (BT)")</f>
        <v>Heri (BT)</v>
      </c>
      <c r="F4774" s="14" t="str">
        <f>IFERROR(__xludf.DUMMYFUNCTION("""COMPUTED_VALUE"""),"SELESAI (VIA PERMOHONAN)")</f>
        <v>SELESAI (VIA PERMOHONAN)</v>
      </c>
      <c r="G4774" s="17">
        <f>IFERROR(__xludf.DUMMYFUNCTION("""COMPUTED_VALUE"""),46031.616967106485)</f>
        <v>46031.61697</v>
      </c>
      <c r="H4774" s="14"/>
      <c r="I4774" s="13"/>
      <c r="J4774" s="17" t="str">
        <f>IFERROR(__xludf.DUMMYFUNCTION("""COMPUTED_VALUE"""),"")</f>
        <v/>
      </c>
      <c r="K4774" s="13" t="str">
        <f>IFERROR(__xludf.DUMMYFUNCTION("""COMPUTED_VALUE"""),"BT atau SU Belum Valid")</f>
        <v>BT atau SU Belum Valid</v>
      </c>
      <c r="L4774" s="13" t="str">
        <f>IFERROR(__xludf.DUMMYFUNCTION("""COMPUTED_VALUE"""),"")</f>
        <v/>
      </c>
      <c r="M4774" s="13"/>
      <c r="N4774" s="13" t="str">
        <f>IFERROR(__xludf.DUMMYFUNCTION("""COMPUTED_VALUE"""),"")</f>
        <v/>
      </c>
      <c r="O4774" s="13" t="str">
        <f t="shared" si="1"/>
        <v/>
      </c>
    </row>
    <row r="4775" ht="22.5" customHeight="1">
      <c r="B4775" s="13">
        <f>IFERROR(__xludf.DUMMYFUNCTION("""COMPUTED_VALUE"""),4770.0)</f>
        <v>4770</v>
      </c>
      <c r="C4775" s="13" t="str">
        <f>IFERROR(__xludf.DUMMYFUNCTION("""COMPUTED_VALUE"""),"M 291/ SUKARAME II")</f>
        <v>M 291/ SUKARAME II</v>
      </c>
      <c r="D4775" s="13" t="str">
        <f>IFERROR(__xludf.DUMMYFUNCTION("""COMPUTED_VALUE"""),"ABVSYPZV")</f>
        <v>ABVSYPZV</v>
      </c>
      <c r="E4775" s="14" t="str">
        <f>IFERROR(__xludf.DUMMYFUNCTION("""COMPUTED_VALUE"""),"Heri (BT)")</f>
        <v>Heri (BT)</v>
      </c>
      <c r="F4775" s="14" t="str">
        <f>IFERROR(__xludf.DUMMYFUNCTION("""COMPUTED_VALUE"""),"SELESAI (VIA PERMOHONAN)")</f>
        <v>SELESAI (VIA PERMOHONAN)</v>
      </c>
      <c r="G4775" s="17">
        <f>IFERROR(__xludf.DUMMYFUNCTION("""COMPUTED_VALUE"""),46031.61863457176)</f>
        <v>46031.61863</v>
      </c>
      <c r="H4775" s="14"/>
      <c r="I4775" s="13"/>
      <c r="J4775" s="17" t="str">
        <f>IFERROR(__xludf.DUMMYFUNCTION("""COMPUTED_VALUE"""),"")</f>
        <v/>
      </c>
      <c r="K4775" s="13" t="str">
        <f>IFERROR(__xludf.DUMMYFUNCTION("""COMPUTED_VALUE"""),"BT atau SU Belum Valid")</f>
        <v>BT atau SU Belum Valid</v>
      </c>
      <c r="L4775" s="13" t="str">
        <f>IFERROR(__xludf.DUMMYFUNCTION("""COMPUTED_VALUE"""),"")</f>
        <v/>
      </c>
      <c r="M4775" s="13"/>
      <c r="N4775" s="13" t="str">
        <f>IFERROR(__xludf.DUMMYFUNCTION("""COMPUTED_VALUE"""),"")</f>
        <v/>
      </c>
      <c r="O4775" s="13" t="str">
        <f t="shared" si="1"/>
        <v/>
      </c>
    </row>
    <row r="4776" ht="22.5" customHeight="1">
      <c r="B4776" s="13">
        <f>IFERROR(__xludf.DUMMYFUNCTION("""COMPUTED_VALUE"""),4771.0)</f>
        <v>4771</v>
      </c>
      <c r="C4776" s="13" t="str">
        <f>IFERROR(__xludf.DUMMYFUNCTION("""COMPUTED_VALUE"""),"M 10266/ kedaton")</f>
        <v>M 10266/ kedaton</v>
      </c>
      <c r="D4776" s="13" t="str">
        <f>IFERROR(__xludf.DUMMYFUNCTION("""COMPUTED_VALUE"""),"ABXMWTIF/1")</f>
        <v>ABXMWTIF/1</v>
      </c>
      <c r="E4776" s="14" t="str">
        <f>IFERROR(__xludf.DUMMYFUNCTION("""COMPUTED_VALUE"""),"Heri (BT)")</f>
        <v>Heri (BT)</v>
      </c>
      <c r="F4776" s="14" t="str">
        <f>IFERROR(__xludf.DUMMYFUNCTION("""COMPUTED_VALUE"""),"SELESAI (VIA PERMOHONAN)")</f>
        <v>SELESAI (VIA PERMOHONAN)</v>
      </c>
      <c r="G4776" s="17">
        <f>IFERROR(__xludf.DUMMYFUNCTION("""COMPUTED_VALUE"""),46031.619025555556)</f>
        <v>46031.61903</v>
      </c>
      <c r="H4776" s="14"/>
      <c r="I4776" s="13"/>
      <c r="J4776" s="17" t="str">
        <f>IFERROR(__xludf.DUMMYFUNCTION("""COMPUTED_VALUE"""),"")</f>
        <v/>
      </c>
      <c r="K4776" s="13" t="str">
        <f>IFERROR(__xludf.DUMMYFUNCTION("""COMPUTED_VALUE"""),"BT atau SU Belum Valid")</f>
        <v>BT atau SU Belum Valid</v>
      </c>
      <c r="L4776" s="13" t="str">
        <f>IFERROR(__xludf.DUMMYFUNCTION("""COMPUTED_VALUE"""),"")</f>
        <v/>
      </c>
      <c r="M4776" s="13"/>
      <c r="N4776" s="13" t="str">
        <f>IFERROR(__xludf.DUMMYFUNCTION("""COMPUTED_VALUE"""),"")</f>
        <v/>
      </c>
      <c r="O4776" s="13" t="str">
        <f t="shared" si="1"/>
        <v/>
      </c>
    </row>
    <row r="4777" ht="22.5" customHeight="1">
      <c r="B4777" s="13">
        <f>IFERROR(__xludf.DUMMYFUNCTION("""COMPUTED_VALUE"""),4772.0)</f>
        <v>4772</v>
      </c>
      <c r="C4777" s="13" t="str">
        <f>IFERROR(__xludf.DUMMYFUNCTION("""COMPUTED_VALUE"""),"M. 2006/ Rajabasa Raya")</f>
        <v>M. 2006/ Rajabasa Raya</v>
      </c>
      <c r="D4777" s="13" t="str">
        <f>IFERROR(__xludf.DUMMYFUNCTION("""COMPUTED_VALUE"""),"K/17/100725/2")</f>
        <v>K/17/100725/2</v>
      </c>
      <c r="E4777" s="14" t="str">
        <f>IFERROR(__xludf.DUMMYFUNCTION("""COMPUTED_VALUE"""),"Heri (BT)")</f>
        <v>Heri (BT)</v>
      </c>
      <c r="F4777" s="14" t="str">
        <f>IFERROR(__xludf.DUMMYFUNCTION("""COMPUTED_VALUE"""),"SELESAI (VIA PERMOHONAN)")</f>
        <v>SELESAI (VIA PERMOHONAN)</v>
      </c>
      <c r="G4777" s="17">
        <f>IFERROR(__xludf.DUMMYFUNCTION("""COMPUTED_VALUE"""),46031.6383512037)</f>
        <v>46031.63835</v>
      </c>
      <c r="H4777" s="14"/>
      <c r="I4777" s="13"/>
      <c r="J4777" s="17" t="str">
        <f>IFERROR(__xludf.DUMMYFUNCTION("""COMPUTED_VALUE"""),"")</f>
        <v/>
      </c>
      <c r="K4777" s="13" t="str">
        <f>IFERROR(__xludf.DUMMYFUNCTION("""COMPUTED_VALUE"""),"BT atau SU Belum Valid")</f>
        <v>BT atau SU Belum Valid</v>
      </c>
      <c r="L4777" s="13" t="str">
        <f>IFERROR(__xludf.DUMMYFUNCTION("""COMPUTED_VALUE"""),"")</f>
        <v/>
      </c>
      <c r="M4777" s="13"/>
      <c r="N4777" s="13" t="str">
        <f>IFERROR(__xludf.DUMMYFUNCTION("""COMPUTED_VALUE"""),"")</f>
        <v/>
      </c>
      <c r="O4777" s="13" t="str">
        <f t="shared" si="1"/>
        <v/>
      </c>
    </row>
    <row r="4778" ht="22.5" customHeight="1">
      <c r="B4778" s="13">
        <f>IFERROR(__xludf.DUMMYFUNCTION("""COMPUTED_VALUE"""),4773.0)</f>
        <v>4773</v>
      </c>
      <c r="C4778" s="13" t="str">
        <f>IFERROR(__xludf.DUMMYFUNCTION("""COMPUTED_VALUE"""),"M. 5472/Way Kandis")</f>
        <v>M. 5472/Way Kandis</v>
      </c>
      <c r="D4778" s="13" t="str">
        <f>IFERROR(__xludf.DUMMYFUNCTION("""COMPUTED_VALUE"""),"ABEQKPTV/AB017")</f>
        <v>ABEQKPTV/AB017</v>
      </c>
      <c r="E4778" s="14" t="str">
        <f>IFERROR(__xludf.DUMMYFUNCTION("""COMPUTED_VALUE"""),"Heri (BT)")</f>
        <v>Heri (BT)</v>
      </c>
      <c r="F4778" s="14" t="str">
        <f>IFERROR(__xludf.DUMMYFUNCTION("""COMPUTED_VALUE"""),"SELESAI (VIA PERMOHONAN)")</f>
        <v>SELESAI (VIA PERMOHONAN)</v>
      </c>
      <c r="G4778" s="17">
        <f>IFERROR(__xludf.DUMMYFUNCTION("""COMPUTED_VALUE"""),46031.638513287035)</f>
        <v>46031.63851</v>
      </c>
      <c r="H4778" s="14"/>
      <c r="I4778" s="13"/>
      <c r="J4778" s="17" t="str">
        <f>IFERROR(__xludf.DUMMYFUNCTION("""COMPUTED_VALUE"""),"")</f>
        <v/>
      </c>
      <c r="K4778" s="13" t="str">
        <f>IFERROR(__xludf.DUMMYFUNCTION("""COMPUTED_VALUE"""),"BT atau SU Belum Valid")</f>
        <v>BT atau SU Belum Valid</v>
      </c>
      <c r="L4778" s="13" t="str">
        <f>IFERROR(__xludf.DUMMYFUNCTION("""COMPUTED_VALUE"""),"")</f>
        <v/>
      </c>
      <c r="M4778" s="13"/>
      <c r="N4778" s="13" t="str">
        <f>IFERROR(__xludf.DUMMYFUNCTION("""COMPUTED_VALUE"""),"")</f>
        <v/>
      </c>
      <c r="O4778" s="13" t="str">
        <f t="shared" si="1"/>
        <v/>
      </c>
    </row>
    <row r="4779" ht="22.5" customHeight="1">
      <c r="B4779" s="13">
        <f>IFERROR(__xludf.DUMMYFUNCTION("""COMPUTED_VALUE"""),4774.0)</f>
        <v>4774</v>
      </c>
      <c r="C4779" s="13" t="str">
        <f>IFERROR(__xludf.DUMMYFUNCTION("""COMPUTED_VALUE"""),"SHM No.417/SKB.I")</f>
        <v>SHM No.417/SKB.I</v>
      </c>
      <c r="D4779" s="13" t="str">
        <f>IFERROR(__xludf.DUMMYFUNCTION("""COMPUTED_VALUE"""),"AB027/ABGSWEGN")</f>
        <v>AB027/ABGSWEGN</v>
      </c>
      <c r="E4779" s="14" t="str">
        <f>IFERROR(__xludf.DUMMYFUNCTION("""COMPUTED_VALUE"""),"Heri (BT)")</f>
        <v>Heri (BT)</v>
      </c>
      <c r="F4779" s="14" t="str">
        <f>IFERROR(__xludf.DUMMYFUNCTION("""COMPUTED_VALUE"""),"SELESAI (VIA PERMOHONAN)")</f>
        <v>SELESAI (VIA PERMOHONAN)</v>
      </c>
      <c r="G4779" s="17">
        <f>IFERROR(__xludf.DUMMYFUNCTION("""COMPUTED_VALUE"""),46031.63931358796)</f>
        <v>46031.63931</v>
      </c>
      <c r="H4779" s="14"/>
      <c r="I4779" s="13"/>
      <c r="J4779" s="17" t="str">
        <f>IFERROR(__xludf.DUMMYFUNCTION("""COMPUTED_VALUE"""),"")</f>
        <v/>
      </c>
      <c r="K4779" s="13" t="str">
        <f>IFERROR(__xludf.DUMMYFUNCTION("""COMPUTED_VALUE"""),"BT atau SU Belum Valid")</f>
        <v>BT atau SU Belum Valid</v>
      </c>
      <c r="L4779" s="13" t="str">
        <f>IFERROR(__xludf.DUMMYFUNCTION("""COMPUTED_VALUE"""),"")</f>
        <v/>
      </c>
      <c r="M4779" s="13"/>
      <c r="N4779" s="13" t="str">
        <f>IFERROR(__xludf.DUMMYFUNCTION("""COMPUTED_VALUE"""),"")</f>
        <v/>
      </c>
      <c r="O4779" s="13" t="str">
        <f t="shared" si="1"/>
        <v/>
      </c>
    </row>
    <row r="4780" ht="22.5" customHeight="1">
      <c r="B4780" s="13">
        <f>IFERROR(__xludf.DUMMYFUNCTION("""COMPUTED_VALUE"""),4775.0)</f>
        <v>4775</v>
      </c>
      <c r="C4780" s="13" t="str">
        <f>IFERROR(__xludf.DUMMYFUNCTION("""COMPUTED_VALUE"""),"M 13541/ SUKABUMI")</f>
        <v>M 13541/ SUKABUMI</v>
      </c>
      <c r="D4780" s="13" t="str">
        <f>IFERROR(__xludf.DUMMYFUNCTION("""COMPUTED_VALUE"""),"K/3/180925/1")</f>
        <v>K/3/180925/1</v>
      </c>
      <c r="E4780" s="14" t="str">
        <f>IFERROR(__xludf.DUMMYFUNCTION("""COMPUTED_VALUE"""),"Heri (BT)")</f>
        <v>Heri (BT)</v>
      </c>
      <c r="F4780" s="14" t="str">
        <f>IFERROR(__xludf.DUMMYFUNCTION("""COMPUTED_VALUE"""),"SELESAI (VIA PERMOHONAN)")</f>
        <v>SELESAI (VIA PERMOHONAN)</v>
      </c>
      <c r="G4780" s="17">
        <f>IFERROR(__xludf.DUMMYFUNCTION("""COMPUTED_VALUE"""),46034.41949630787)</f>
        <v>46034.4195</v>
      </c>
      <c r="H4780" s="14"/>
      <c r="I4780" s="13"/>
      <c r="J4780" s="17" t="str">
        <f>IFERROR(__xludf.DUMMYFUNCTION("""COMPUTED_VALUE"""),"")</f>
        <v/>
      </c>
      <c r="K4780" s="13" t="str">
        <f>IFERROR(__xludf.DUMMYFUNCTION("""COMPUTED_VALUE"""),"BT atau SU Belum Valid")</f>
        <v>BT atau SU Belum Valid</v>
      </c>
      <c r="L4780" s="13" t="str">
        <f>IFERROR(__xludf.DUMMYFUNCTION("""COMPUTED_VALUE"""),"")</f>
        <v/>
      </c>
      <c r="M4780" s="13"/>
      <c r="N4780" s="13" t="str">
        <f>IFERROR(__xludf.DUMMYFUNCTION("""COMPUTED_VALUE"""),"")</f>
        <v/>
      </c>
      <c r="O4780" s="13" t="str">
        <f t="shared" si="1"/>
        <v/>
      </c>
    </row>
    <row r="4781" ht="22.5" customHeight="1">
      <c r="B4781" s="13">
        <f>IFERROR(__xludf.DUMMYFUNCTION("""COMPUTED_VALUE"""),4776.0)</f>
        <v>4776</v>
      </c>
      <c r="C4781" s="13" t="str">
        <f>IFERROR(__xludf.DUMMYFUNCTION("""COMPUTED_VALUE"""),"Shm 4850 langkapura")</f>
        <v>Shm 4850 langkapura</v>
      </c>
      <c r="D4781" s="13" t="str">
        <f>IFERROR(__xludf.DUMMYFUNCTION("""COMPUTED_VALUE"""),"ABLZDDQI")</f>
        <v>ABLZDDQI</v>
      </c>
      <c r="E4781" s="14" t="str">
        <f>IFERROR(__xludf.DUMMYFUNCTION("""COMPUTED_VALUE"""),"Heri (BT)")</f>
        <v>Heri (BT)</v>
      </c>
      <c r="F4781" s="14" t="str">
        <f>IFERROR(__xludf.DUMMYFUNCTION("""COMPUTED_VALUE"""),"SELESAI (VIA PERMOHONAN)")</f>
        <v>SELESAI (VIA PERMOHONAN)</v>
      </c>
      <c r="G4781" s="17">
        <f>IFERROR(__xludf.DUMMYFUNCTION("""COMPUTED_VALUE"""),46034.41972607639)</f>
        <v>46034.41973</v>
      </c>
      <c r="H4781" s="14"/>
      <c r="I4781" s="13"/>
      <c r="J4781" s="17" t="str">
        <f>IFERROR(__xludf.DUMMYFUNCTION("""COMPUTED_VALUE"""),"")</f>
        <v/>
      </c>
      <c r="K4781" s="13" t="str">
        <f>IFERROR(__xludf.DUMMYFUNCTION("""COMPUTED_VALUE"""),"BT atau SU Belum Valid")</f>
        <v>BT atau SU Belum Valid</v>
      </c>
      <c r="L4781" s="13" t="str">
        <f>IFERROR(__xludf.DUMMYFUNCTION("""COMPUTED_VALUE"""),"")</f>
        <v/>
      </c>
      <c r="M4781" s="13"/>
      <c r="N4781" s="13" t="str">
        <f>IFERROR(__xludf.DUMMYFUNCTION("""COMPUTED_VALUE"""),"")</f>
        <v/>
      </c>
      <c r="O4781" s="13" t="str">
        <f t="shared" si="1"/>
        <v/>
      </c>
    </row>
    <row r="4782" ht="22.5" customHeight="1">
      <c r="B4782" s="13">
        <f>IFERROR(__xludf.DUMMYFUNCTION("""COMPUTED_VALUE"""),4777.0)</f>
        <v>4777</v>
      </c>
      <c r="C4782" s="13" t="str">
        <f>IFERROR(__xludf.DUMMYFUNCTION("""COMPUTED_VALUE"""),"M 16367/ SUKABUMI")</f>
        <v>M 16367/ SUKABUMI</v>
      </c>
      <c r="D4782" s="13" t="str">
        <f>IFERROR(__xludf.DUMMYFUNCTION("""COMPUTED_VALUE"""),"K/15/061025/5")</f>
        <v>K/15/061025/5</v>
      </c>
      <c r="E4782" s="14" t="str">
        <f>IFERROR(__xludf.DUMMYFUNCTION("""COMPUTED_VALUE"""),"Heri (BT)")</f>
        <v>Heri (BT)</v>
      </c>
      <c r="F4782" s="14" t="str">
        <f>IFERROR(__xludf.DUMMYFUNCTION("""COMPUTED_VALUE"""),"SELESAI (VIA PERMOHONAN)")</f>
        <v>SELESAI (VIA PERMOHONAN)</v>
      </c>
      <c r="G4782" s="17">
        <f>IFERROR(__xludf.DUMMYFUNCTION("""COMPUTED_VALUE"""),46034.42067177083)</f>
        <v>46034.42067</v>
      </c>
      <c r="H4782" s="14"/>
      <c r="I4782" s="13"/>
      <c r="J4782" s="17" t="str">
        <f>IFERROR(__xludf.DUMMYFUNCTION("""COMPUTED_VALUE"""),"")</f>
        <v/>
      </c>
      <c r="K4782" s="13" t="str">
        <f>IFERROR(__xludf.DUMMYFUNCTION("""COMPUTED_VALUE"""),"BT atau SU Belum Valid")</f>
        <v>BT atau SU Belum Valid</v>
      </c>
      <c r="L4782" s="13" t="str">
        <f>IFERROR(__xludf.DUMMYFUNCTION("""COMPUTED_VALUE"""),"")</f>
        <v/>
      </c>
      <c r="M4782" s="13"/>
      <c r="N4782" s="13" t="str">
        <f>IFERROR(__xludf.DUMMYFUNCTION("""COMPUTED_VALUE"""),"")</f>
        <v/>
      </c>
      <c r="O4782" s="13" t="str">
        <f t="shared" si="1"/>
        <v/>
      </c>
    </row>
    <row r="4783" ht="22.5" customHeight="1">
      <c r="B4783" s="13">
        <f>IFERROR(__xludf.DUMMYFUNCTION("""COMPUTED_VALUE"""),4778.0)</f>
        <v>4778</v>
      </c>
      <c r="C4783" s="13" t="str">
        <f>IFERROR(__xludf.DUMMYFUNCTION("""COMPUTED_VALUE"""),"M 76/ penengahan")</f>
        <v>M 76/ penengahan</v>
      </c>
      <c r="D4783" s="13" t="str">
        <f>IFERROR(__xludf.DUMMYFUNCTION("""COMPUTED_VALUE"""),"ABRBHVIC")</f>
        <v>ABRBHVIC</v>
      </c>
      <c r="E4783" s="14" t="str">
        <f>IFERROR(__xludf.DUMMYFUNCTION("""COMPUTED_VALUE"""),"Heri (BT)")</f>
        <v>Heri (BT)</v>
      </c>
      <c r="F4783" s="14" t="str">
        <f>IFERROR(__xludf.DUMMYFUNCTION("""COMPUTED_VALUE"""),"SELESAI (VIA PERMOHONAN)")</f>
        <v>SELESAI (VIA PERMOHONAN)</v>
      </c>
      <c r="G4783" s="17">
        <f>IFERROR(__xludf.DUMMYFUNCTION("""COMPUTED_VALUE"""),46034.421026111115)</f>
        <v>46034.42103</v>
      </c>
      <c r="H4783" s="14"/>
      <c r="I4783" s="13"/>
      <c r="J4783" s="17" t="str">
        <f>IFERROR(__xludf.DUMMYFUNCTION("""COMPUTED_VALUE"""),"")</f>
        <v/>
      </c>
      <c r="K4783" s="13" t="str">
        <f>IFERROR(__xludf.DUMMYFUNCTION("""COMPUTED_VALUE"""),"BT atau SU Belum Valid")</f>
        <v>BT atau SU Belum Valid</v>
      </c>
      <c r="L4783" s="13" t="str">
        <f>IFERROR(__xludf.DUMMYFUNCTION("""COMPUTED_VALUE"""),"")</f>
        <v/>
      </c>
      <c r="M4783" s="13"/>
      <c r="N4783" s="13" t="str">
        <f>IFERROR(__xludf.DUMMYFUNCTION("""COMPUTED_VALUE"""),"")</f>
        <v/>
      </c>
      <c r="O4783" s="13" t="str">
        <f t="shared" si="1"/>
        <v/>
      </c>
    </row>
    <row r="4784" ht="22.5" customHeight="1">
      <c r="B4784" s="13">
        <f>IFERROR(__xludf.DUMMYFUNCTION("""COMPUTED_VALUE"""),4779.0)</f>
        <v>4779</v>
      </c>
      <c r="C4784" s="13" t="str">
        <f>IFERROR(__xludf.DUMMYFUNCTION("""COMPUTED_VALUE"""),"SHM 1027 / ENGGAL")</f>
        <v>SHM 1027 / ENGGAL</v>
      </c>
      <c r="D4784" s="13" t="str">
        <f>IFERROR(__xludf.DUMMYFUNCTION("""COMPUTED_VALUE"""),"ABTRKWN")</f>
        <v>ABTRKWN</v>
      </c>
      <c r="E4784" s="14" t="str">
        <f>IFERROR(__xludf.DUMMYFUNCTION("""COMPUTED_VALUE"""),"Heri (BT)")</f>
        <v>Heri (BT)</v>
      </c>
      <c r="F4784" s="14" t="str">
        <f>IFERROR(__xludf.DUMMYFUNCTION("""COMPUTED_VALUE"""),"SELESAI (VIA PERMOHONAN)")</f>
        <v>SELESAI (VIA PERMOHONAN)</v>
      </c>
      <c r="G4784" s="17">
        <f>IFERROR(__xludf.DUMMYFUNCTION("""COMPUTED_VALUE"""),46034.42182554398)</f>
        <v>46034.42183</v>
      </c>
      <c r="H4784" s="14"/>
      <c r="I4784" s="13"/>
      <c r="J4784" s="17" t="str">
        <f>IFERROR(__xludf.DUMMYFUNCTION("""COMPUTED_VALUE"""),"")</f>
        <v/>
      </c>
      <c r="K4784" s="13" t="str">
        <f>IFERROR(__xludf.DUMMYFUNCTION("""COMPUTED_VALUE"""),"BT atau SU Belum Valid")</f>
        <v>BT atau SU Belum Valid</v>
      </c>
      <c r="L4784" s="13" t="str">
        <f>IFERROR(__xludf.DUMMYFUNCTION("""COMPUTED_VALUE"""),"")</f>
        <v/>
      </c>
      <c r="M4784" s="13"/>
      <c r="N4784" s="13" t="str">
        <f>IFERROR(__xludf.DUMMYFUNCTION("""COMPUTED_VALUE"""),"")</f>
        <v/>
      </c>
      <c r="O4784" s="13" t="str">
        <f t="shared" si="1"/>
        <v/>
      </c>
    </row>
    <row r="4785" ht="22.5" customHeight="1">
      <c r="B4785" s="13">
        <f>IFERROR(__xludf.DUMMYFUNCTION("""COMPUTED_VALUE"""),4780.0)</f>
        <v>4780</v>
      </c>
      <c r="C4785" s="13" t="str">
        <f>IFERROR(__xludf.DUMMYFUNCTION("""COMPUTED_VALUE"""),"M.197/Jg.III")</f>
        <v>M.197/Jg.III</v>
      </c>
      <c r="D4785" s="13" t="str">
        <f>IFERROR(__xludf.DUMMYFUNCTION("""COMPUTED_VALUE"""),"ABBKQZLP/1")</f>
        <v>ABBKQZLP/1</v>
      </c>
      <c r="E4785" s="14" t="str">
        <f>IFERROR(__xludf.DUMMYFUNCTION("""COMPUTED_VALUE"""),"Heri (BT)")</f>
        <v>Heri (BT)</v>
      </c>
      <c r="F4785" s="14" t="str">
        <f>IFERROR(__xludf.DUMMYFUNCTION("""COMPUTED_VALUE"""),"SELESAI (VIA PERMOHONAN)")</f>
        <v>SELESAI (VIA PERMOHONAN)</v>
      </c>
      <c r="G4785" s="17">
        <f>IFERROR(__xludf.DUMMYFUNCTION("""COMPUTED_VALUE"""),46034.43764753472)</f>
        <v>46034.43765</v>
      </c>
      <c r="H4785" s="14"/>
      <c r="I4785" s="13"/>
      <c r="J4785" s="17" t="str">
        <f>IFERROR(__xludf.DUMMYFUNCTION("""COMPUTED_VALUE"""),"")</f>
        <v/>
      </c>
      <c r="K4785" s="13" t="str">
        <f>IFERROR(__xludf.DUMMYFUNCTION("""COMPUTED_VALUE"""),"BT atau SU Belum Valid")</f>
        <v>BT atau SU Belum Valid</v>
      </c>
      <c r="L4785" s="13" t="str">
        <f>IFERROR(__xludf.DUMMYFUNCTION("""COMPUTED_VALUE"""),"")</f>
        <v/>
      </c>
      <c r="M4785" s="13"/>
      <c r="N4785" s="13" t="str">
        <f>IFERROR(__xludf.DUMMYFUNCTION("""COMPUTED_VALUE"""),"")</f>
        <v/>
      </c>
      <c r="O4785" s="13" t="str">
        <f t="shared" si="1"/>
        <v/>
      </c>
    </row>
    <row r="4786" ht="22.5" customHeight="1">
      <c r="B4786" s="13">
        <f>IFERROR(__xludf.DUMMYFUNCTION("""COMPUTED_VALUE"""),4781.0)</f>
        <v>4781</v>
      </c>
      <c r="C4786" s="13" t="str">
        <f>IFERROR(__xludf.DUMMYFUNCTION("""COMPUTED_VALUE"""),"M 444/ sawah lama")</f>
        <v>M 444/ sawah lama</v>
      </c>
      <c r="D4786" s="13" t="str">
        <f>IFERROR(__xludf.DUMMYFUNCTION("""COMPUTED_VALUE"""),"ABENCNUE")</f>
        <v>ABENCNUE</v>
      </c>
      <c r="E4786" s="14" t="str">
        <f>IFERROR(__xludf.DUMMYFUNCTION("""COMPUTED_VALUE"""),"Heri (BT)")</f>
        <v>Heri (BT)</v>
      </c>
      <c r="F4786" s="14" t="str">
        <f>IFERROR(__xludf.DUMMYFUNCTION("""COMPUTED_VALUE"""),"SELESAI (VIA PERMOHONAN)")</f>
        <v>SELESAI (VIA PERMOHONAN)</v>
      </c>
      <c r="G4786" s="17">
        <f>IFERROR(__xludf.DUMMYFUNCTION("""COMPUTED_VALUE"""),46034.444618379624)</f>
        <v>46034.44462</v>
      </c>
      <c r="H4786" s="14"/>
      <c r="I4786" s="13"/>
      <c r="J4786" s="17" t="str">
        <f>IFERROR(__xludf.DUMMYFUNCTION("""COMPUTED_VALUE"""),"")</f>
        <v/>
      </c>
      <c r="K4786" s="13" t="str">
        <f>IFERROR(__xludf.DUMMYFUNCTION("""COMPUTED_VALUE"""),"BT atau SU Belum Valid")</f>
        <v>BT atau SU Belum Valid</v>
      </c>
      <c r="L4786" s="13" t="str">
        <f>IFERROR(__xludf.DUMMYFUNCTION("""COMPUTED_VALUE"""),"")</f>
        <v/>
      </c>
      <c r="M4786" s="13"/>
      <c r="N4786" s="13" t="str">
        <f>IFERROR(__xludf.DUMMYFUNCTION("""COMPUTED_VALUE"""),"")</f>
        <v/>
      </c>
      <c r="O4786" s="13" t="str">
        <f t="shared" si="1"/>
        <v/>
      </c>
    </row>
    <row r="4787" ht="22.5" customHeight="1">
      <c r="B4787" s="13">
        <f>IFERROR(__xludf.DUMMYFUNCTION("""COMPUTED_VALUE"""),4782.0)</f>
        <v>4782</v>
      </c>
      <c r="C4787" s="13" t="str">
        <f>IFERROR(__xludf.DUMMYFUNCTION("""COMPUTED_VALUE"""),"M 1447/ LABUHAN DALAM")</f>
        <v>M 1447/ LABUHAN DALAM</v>
      </c>
      <c r="D4787" s="13" t="str">
        <f>IFERROR(__xludf.DUMMYFUNCTION("""COMPUTED_VALUE"""),"ABPRKTEJ")</f>
        <v>ABPRKTEJ</v>
      </c>
      <c r="E4787" s="14" t="str">
        <f>IFERROR(__xludf.DUMMYFUNCTION("""COMPUTED_VALUE"""),"Heri (BT)")</f>
        <v>Heri (BT)</v>
      </c>
      <c r="F4787" s="14" t="str">
        <f>IFERROR(__xludf.DUMMYFUNCTION("""COMPUTED_VALUE"""),"SELESAI (VIA PERMOHONAN)")</f>
        <v>SELESAI (VIA PERMOHONAN)</v>
      </c>
      <c r="G4787" s="17">
        <f>IFERROR(__xludf.DUMMYFUNCTION("""COMPUTED_VALUE"""),46034.45493290509)</f>
        <v>46034.45493</v>
      </c>
      <c r="H4787" s="14"/>
      <c r="I4787" s="13"/>
      <c r="J4787" s="17" t="str">
        <f>IFERROR(__xludf.DUMMYFUNCTION("""COMPUTED_VALUE"""),"")</f>
        <v/>
      </c>
      <c r="K4787" s="13" t="str">
        <f>IFERROR(__xludf.DUMMYFUNCTION("""COMPUTED_VALUE"""),"BT atau SU Belum Valid")</f>
        <v>BT atau SU Belum Valid</v>
      </c>
      <c r="L4787" s="13" t="str">
        <f>IFERROR(__xludf.DUMMYFUNCTION("""COMPUTED_VALUE"""),"")</f>
        <v/>
      </c>
      <c r="M4787" s="13"/>
      <c r="N4787" s="13" t="str">
        <f>IFERROR(__xludf.DUMMYFUNCTION("""COMPUTED_VALUE"""),"")</f>
        <v/>
      </c>
      <c r="O4787" s="13" t="str">
        <f t="shared" si="1"/>
        <v/>
      </c>
    </row>
    <row r="4788" ht="22.5" customHeight="1">
      <c r="B4788" s="13">
        <f>IFERROR(__xludf.DUMMYFUNCTION("""COMPUTED_VALUE"""),4783.0)</f>
        <v>4783</v>
      </c>
      <c r="C4788" s="13" t="str">
        <f>IFERROR(__xludf.DUMMYFUNCTION("""COMPUTED_VALUE"""),"M 5774/ TANJUNG SENANG")</f>
        <v>M 5774/ TANJUNG SENANG</v>
      </c>
      <c r="D4788" s="13" t="str">
        <f>IFERROR(__xludf.DUMMYFUNCTION("""COMPUTED_VALUE"""),"ABGJPTGO")</f>
        <v>ABGJPTGO</v>
      </c>
      <c r="E4788" s="14" t="str">
        <f>IFERROR(__xludf.DUMMYFUNCTION("""COMPUTED_VALUE"""),"Heri (BT)")</f>
        <v>Heri (BT)</v>
      </c>
      <c r="F4788" s="14" t="str">
        <f>IFERROR(__xludf.DUMMYFUNCTION("""COMPUTED_VALUE"""),"SELESAI (VIA PERMOHONAN)")</f>
        <v>SELESAI (VIA PERMOHONAN)</v>
      </c>
      <c r="G4788" s="17">
        <f>IFERROR(__xludf.DUMMYFUNCTION("""COMPUTED_VALUE"""),46034.45516376157)</f>
        <v>46034.45516</v>
      </c>
      <c r="H4788" s="14"/>
      <c r="I4788" s="13"/>
      <c r="J4788" s="17" t="str">
        <f>IFERROR(__xludf.DUMMYFUNCTION("""COMPUTED_VALUE"""),"")</f>
        <v/>
      </c>
      <c r="K4788" s="13" t="str">
        <f>IFERROR(__xludf.DUMMYFUNCTION("""COMPUTED_VALUE"""),"BT atau SU Belum Valid")</f>
        <v>BT atau SU Belum Valid</v>
      </c>
      <c r="L4788" s="13" t="str">
        <f>IFERROR(__xludf.DUMMYFUNCTION("""COMPUTED_VALUE"""),"")</f>
        <v/>
      </c>
      <c r="M4788" s="13"/>
      <c r="N4788" s="13" t="str">
        <f>IFERROR(__xludf.DUMMYFUNCTION("""COMPUTED_VALUE"""),"")</f>
        <v/>
      </c>
      <c r="O4788" s="13" t="str">
        <f t="shared" si="1"/>
        <v/>
      </c>
    </row>
    <row r="4789" ht="22.5" customHeight="1">
      <c r="B4789" s="13">
        <f>IFERROR(__xludf.DUMMYFUNCTION("""COMPUTED_VALUE"""),4784.0)</f>
        <v>4784</v>
      </c>
      <c r="C4789" s="13" t="str">
        <f>IFERROR(__xludf.DUMMYFUNCTION("""COMPUTED_VALUE"""),"M 13790")</f>
        <v>M 13790</v>
      </c>
      <c r="D4789" s="13" t="str">
        <f>IFERROR(__xludf.DUMMYFUNCTION("""COMPUTED_VALUE"""),"Ab 13 (ABVRLPOA)")</f>
        <v>Ab 13 (ABVRLPOA)</v>
      </c>
      <c r="E4789" s="14" t="str">
        <f>IFERROR(__xludf.DUMMYFUNCTION("""COMPUTED_VALUE"""),"Heri (BT)")</f>
        <v>Heri (BT)</v>
      </c>
      <c r="F4789" s="14" t="str">
        <f>IFERROR(__xludf.DUMMYFUNCTION("""COMPUTED_VALUE"""),"SELESAI (VIA PERMOHONAN)")</f>
        <v>SELESAI (VIA PERMOHONAN)</v>
      </c>
      <c r="G4789" s="17">
        <f>IFERROR(__xludf.DUMMYFUNCTION("""COMPUTED_VALUE"""),46034.455430925926)</f>
        <v>46034.45543</v>
      </c>
      <c r="H4789" s="14"/>
      <c r="I4789" s="13"/>
      <c r="J4789" s="17" t="str">
        <f>IFERROR(__xludf.DUMMYFUNCTION("""COMPUTED_VALUE"""),"")</f>
        <v/>
      </c>
      <c r="K4789" s="13" t="str">
        <f>IFERROR(__xludf.DUMMYFUNCTION("""COMPUTED_VALUE"""),"BT atau SU Belum Valid")</f>
        <v>BT atau SU Belum Valid</v>
      </c>
      <c r="L4789" s="13" t="str">
        <f>IFERROR(__xludf.DUMMYFUNCTION("""COMPUTED_VALUE"""),"")</f>
        <v/>
      </c>
      <c r="M4789" s="13"/>
      <c r="N4789" s="13" t="str">
        <f>IFERROR(__xludf.DUMMYFUNCTION("""COMPUTED_VALUE"""),"")</f>
        <v/>
      </c>
      <c r="O4789" s="13" t="str">
        <f t="shared" si="1"/>
        <v/>
      </c>
    </row>
    <row r="4790" ht="22.5" customHeight="1">
      <c r="B4790" s="13">
        <f>IFERROR(__xludf.DUMMYFUNCTION("""COMPUTED_VALUE"""),4785.0)</f>
        <v>4785</v>
      </c>
      <c r="C4790" s="13" t="str">
        <f>IFERROR(__xludf.DUMMYFUNCTION("""COMPUTED_VALUE"""),"M 10829/ GEDONG MENENG")</f>
        <v>M 10829/ GEDONG MENENG</v>
      </c>
      <c r="D4790" s="13" t="str">
        <f>IFERROR(__xludf.DUMMYFUNCTION("""COMPUTED_VALUE"""),"ABGYTIIF")</f>
        <v>ABGYTIIF</v>
      </c>
      <c r="E4790" s="14" t="str">
        <f>IFERROR(__xludf.DUMMYFUNCTION("""COMPUTED_VALUE"""),"Heri (BT)")</f>
        <v>Heri (BT)</v>
      </c>
      <c r="F4790" s="14" t="str">
        <f>IFERROR(__xludf.DUMMYFUNCTION("""COMPUTED_VALUE"""),"SELESAI (VIA PERMOHONAN)")</f>
        <v>SELESAI (VIA PERMOHONAN)</v>
      </c>
      <c r="G4790" s="17">
        <f>IFERROR(__xludf.DUMMYFUNCTION("""COMPUTED_VALUE"""),46034.45639806713)</f>
        <v>46034.4564</v>
      </c>
      <c r="H4790" s="14"/>
      <c r="I4790" s="13"/>
      <c r="J4790" s="17" t="str">
        <f>IFERROR(__xludf.DUMMYFUNCTION("""COMPUTED_VALUE"""),"")</f>
        <v/>
      </c>
      <c r="K4790" s="13" t="str">
        <f>IFERROR(__xludf.DUMMYFUNCTION("""COMPUTED_VALUE"""),"BT atau SU Belum Valid")</f>
        <v>BT atau SU Belum Valid</v>
      </c>
      <c r="L4790" s="13" t="str">
        <f>IFERROR(__xludf.DUMMYFUNCTION("""COMPUTED_VALUE"""),"")</f>
        <v/>
      </c>
      <c r="M4790" s="13"/>
      <c r="N4790" s="13" t="str">
        <f>IFERROR(__xludf.DUMMYFUNCTION("""COMPUTED_VALUE"""),"")</f>
        <v/>
      </c>
      <c r="O4790" s="13" t="str">
        <f t="shared" si="1"/>
        <v/>
      </c>
    </row>
    <row r="4791" ht="22.5" customHeight="1">
      <c r="B4791" s="13">
        <f>IFERROR(__xludf.DUMMYFUNCTION("""COMPUTED_VALUE"""),4786.0)</f>
        <v>4786</v>
      </c>
      <c r="C4791" s="13" t="str">
        <f>IFERROR(__xludf.DUMMYFUNCTION("""COMPUTED_VALUE"""),"M. 1110/pinang jaya")</f>
        <v>M. 1110/pinang jaya</v>
      </c>
      <c r="D4791" s="13" t="str">
        <f>IFERROR(__xludf.DUMMYFUNCTION("""COMPUTED_VALUE"""),"ABPPSBZO")</f>
        <v>ABPPSBZO</v>
      </c>
      <c r="E4791" s="14" t="str">
        <f>IFERROR(__xludf.DUMMYFUNCTION("""COMPUTED_VALUE"""),"Heri (BT)")</f>
        <v>Heri (BT)</v>
      </c>
      <c r="F4791" s="14" t="str">
        <f>IFERROR(__xludf.DUMMYFUNCTION("""COMPUTED_VALUE"""),"SELESAI (VIA PERMOHONAN)")</f>
        <v>SELESAI (VIA PERMOHONAN)</v>
      </c>
      <c r="G4791" s="17">
        <f>IFERROR(__xludf.DUMMYFUNCTION("""COMPUTED_VALUE"""),46034.45694434027)</f>
        <v>46034.45694</v>
      </c>
      <c r="H4791" s="14"/>
      <c r="I4791" s="13"/>
      <c r="J4791" s="17" t="str">
        <f>IFERROR(__xludf.DUMMYFUNCTION("""COMPUTED_VALUE"""),"")</f>
        <v/>
      </c>
      <c r="K4791" s="13" t="str">
        <f>IFERROR(__xludf.DUMMYFUNCTION("""COMPUTED_VALUE"""),"BT atau SU Belum Valid")</f>
        <v>BT atau SU Belum Valid</v>
      </c>
      <c r="L4791" s="13" t="str">
        <f>IFERROR(__xludf.DUMMYFUNCTION("""COMPUTED_VALUE"""),"")</f>
        <v/>
      </c>
      <c r="M4791" s="13"/>
      <c r="N4791" s="13" t="str">
        <f>IFERROR(__xludf.DUMMYFUNCTION("""COMPUTED_VALUE"""),"")</f>
        <v/>
      </c>
      <c r="O4791" s="13" t="str">
        <f t="shared" si="1"/>
        <v/>
      </c>
    </row>
    <row r="4792" ht="22.5" customHeight="1">
      <c r="B4792" s="13">
        <f>IFERROR(__xludf.DUMMYFUNCTION("""COMPUTED_VALUE"""),4787.0)</f>
        <v>4787</v>
      </c>
      <c r="C4792" s="13" t="str">
        <f>IFERROR(__xludf.DUMMYFUNCTION("""COMPUTED_VALUE"""),"2514/Kemiling Permai")</f>
        <v>2514/Kemiling Permai</v>
      </c>
      <c r="D4792" s="13" t="str">
        <f>IFERROR(__xludf.DUMMYFUNCTION("""COMPUTED_VALUE"""),"ABRLLZBS")</f>
        <v>ABRLLZBS</v>
      </c>
      <c r="E4792" s="14" t="str">
        <f>IFERROR(__xludf.DUMMYFUNCTION("""COMPUTED_VALUE"""),"Heri (BT)")</f>
        <v>Heri (BT)</v>
      </c>
      <c r="F4792" s="14" t="str">
        <f>IFERROR(__xludf.DUMMYFUNCTION("""COMPUTED_VALUE"""),"SELESAI (VIA PERMOHONAN)")</f>
        <v>SELESAI (VIA PERMOHONAN)</v>
      </c>
      <c r="G4792" s="17">
        <f>IFERROR(__xludf.DUMMYFUNCTION("""COMPUTED_VALUE"""),46034.563817835646)</f>
        <v>46034.56382</v>
      </c>
      <c r="H4792" s="14"/>
      <c r="I4792" s="13"/>
      <c r="J4792" s="17" t="str">
        <f>IFERROR(__xludf.DUMMYFUNCTION("""COMPUTED_VALUE"""),"")</f>
        <v/>
      </c>
      <c r="K4792" s="13" t="str">
        <f>IFERROR(__xludf.DUMMYFUNCTION("""COMPUTED_VALUE"""),"BT atau SU Belum Valid")</f>
        <v>BT atau SU Belum Valid</v>
      </c>
      <c r="L4792" s="13" t="str">
        <f>IFERROR(__xludf.DUMMYFUNCTION("""COMPUTED_VALUE"""),"")</f>
        <v/>
      </c>
      <c r="M4792" s="13"/>
      <c r="N4792" s="13" t="str">
        <f>IFERROR(__xludf.DUMMYFUNCTION("""COMPUTED_VALUE"""),"")</f>
        <v/>
      </c>
      <c r="O4792" s="13" t="str">
        <f t="shared" si="1"/>
        <v/>
      </c>
    </row>
    <row r="4793" ht="22.5" customHeight="1">
      <c r="B4793" s="13">
        <f>IFERROR(__xludf.DUMMYFUNCTION("""COMPUTED_VALUE"""),4788.0)</f>
        <v>4788</v>
      </c>
      <c r="C4793" s="13" t="str">
        <f>IFERROR(__xludf.DUMMYFUNCTION("""COMPUTED_VALUE"""),"B. 497/Sukamaju")</f>
        <v>B. 497/Sukamaju</v>
      </c>
      <c r="D4793" s="13" t="str">
        <f>IFERROR(__xludf.DUMMYFUNCTION("""COMPUTED_VALUE"""),"ABIFCJYI")</f>
        <v>ABIFCJYI</v>
      </c>
      <c r="E4793" s="14" t="str">
        <f>IFERROR(__xludf.DUMMYFUNCTION("""COMPUTED_VALUE"""),"Heri (BT)")</f>
        <v>Heri (BT)</v>
      </c>
      <c r="F4793" s="14" t="str">
        <f>IFERROR(__xludf.DUMMYFUNCTION("""COMPUTED_VALUE"""),"SELESAI (VIA PERMOHONAN)")</f>
        <v>SELESAI (VIA PERMOHONAN)</v>
      </c>
      <c r="G4793" s="17">
        <f>IFERROR(__xludf.DUMMYFUNCTION("""COMPUTED_VALUE"""),46034.564870393515)</f>
        <v>46034.56487</v>
      </c>
      <c r="H4793" s="14"/>
      <c r="I4793" s="13"/>
      <c r="J4793" s="17" t="str">
        <f>IFERROR(__xludf.DUMMYFUNCTION("""COMPUTED_VALUE"""),"")</f>
        <v/>
      </c>
      <c r="K4793" s="13" t="str">
        <f>IFERROR(__xludf.DUMMYFUNCTION("""COMPUTED_VALUE"""),"BT atau SU Belum Valid")</f>
        <v>BT atau SU Belum Valid</v>
      </c>
      <c r="L4793" s="13" t="str">
        <f>IFERROR(__xludf.DUMMYFUNCTION("""COMPUTED_VALUE"""),"")</f>
        <v/>
      </c>
      <c r="M4793" s="13"/>
      <c r="N4793" s="13" t="str">
        <f>IFERROR(__xludf.DUMMYFUNCTION("""COMPUTED_VALUE"""),"")</f>
        <v/>
      </c>
      <c r="O4793" s="13" t="str">
        <f t="shared" si="1"/>
        <v/>
      </c>
    </row>
    <row r="4794" ht="22.5" customHeight="1">
      <c r="B4794" s="13">
        <f>IFERROR(__xludf.DUMMYFUNCTION("""COMPUTED_VALUE"""),4789.0)</f>
        <v>4789</v>
      </c>
      <c r="C4794" s="13" t="str">
        <f>IFERROR(__xludf.DUMMYFUNCTION("""COMPUTED_VALUE"""),"M 9831/ TANJUNG BARU")</f>
        <v>M 9831/ TANJUNG BARU</v>
      </c>
      <c r="D4794" s="13" t="str">
        <f>IFERROR(__xludf.DUMMYFUNCTION("""COMPUTED_VALUE"""),"K/50/260825/1")</f>
        <v>K/50/260825/1</v>
      </c>
      <c r="E4794" s="14" t="str">
        <f>IFERROR(__xludf.DUMMYFUNCTION("""COMPUTED_VALUE"""),"Heri (BT)")</f>
        <v>Heri (BT)</v>
      </c>
      <c r="F4794" s="14" t="str">
        <f>IFERROR(__xludf.DUMMYFUNCTION("""COMPUTED_VALUE"""),"SELESAI (VIA PERMOHONAN)")</f>
        <v>SELESAI (VIA PERMOHONAN)</v>
      </c>
      <c r="G4794" s="17">
        <f>IFERROR(__xludf.DUMMYFUNCTION("""COMPUTED_VALUE"""),46034.566264050925)</f>
        <v>46034.56626</v>
      </c>
      <c r="H4794" s="14"/>
      <c r="I4794" s="13"/>
      <c r="J4794" s="17" t="str">
        <f>IFERROR(__xludf.DUMMYFUNCTION("""COMPUTED_VALUE"""),"")</f>
        <v/>
      </c>
      <c r="K4794" s="13" t="str">
        <f>IFERROR(__xludf.DUMMYFUNCTION("""COMPUTED_VALUE"""),"BT atau SU Belum Valid")</f>
        <v>BT atau SU Belum Valid</v>
      </c>
      <c r="L4794" s="13" t="str">
        <f>IFERROR(__xludf.DUMMYFUNCTION("""COMPUTED_VALUE"""),"")</f>
        <v/>
      </c>
      <c r="M4794" s="13"/>
      <c r="N4794" s="13" t="str">
        <f>IFERROR(__xludf.DUMMYFUNCTION("""COMPUTED_VALUE"""),"")</f>
        <v/>
      </c>
      <c r="O4794" s="13" t="str">
        <f t="shared" si="1"/>
        <v/>
      </c>
    </row>
    <row r="4795" ht="22.5" customHeight="1">
      <c r="B4795" s="13">
        <f>IFERROR(__xludf.DUMMYFUNCTION("""COMPUTED_VALUE"""),4790.0)</f>
        <v>4790</v>
      </c>
      <c r="C4795" s="13" t="str">
        <f>IFERROR(__xludf.DUMMYFUNCTION("""COMPUTED_VALUE"""),"M. 1006/ GEDONG AIR")</f>
        <v>M. 1006/ GEDONG AIR</v>
      </c>
      <c r="D4795" s="13" t="str">
        <f>IFERROR(__xludf.DUMMYFUNCTION("""COMPUTED_VALUE"""),"K/8/120825/1")</f>
        <v>K/8/120825/1</v>
      </c>
      <c r="E4795" s="14" t="str">
        <f>IFERROR(__xludf.DUMMYFUNCTION("""COMPUTED_VALUE"""),"Heri (BT)")</f>
        <v>Heri (BT)</v>
      </c>
      <c r="F4795" s="14" t="str">
        <f>IFERROR(__xludf.DUMMYFUNCTION("""COMPUTED_VALUE"""),"SELESAI (VIA PERMOHONAN)")</f>
        <v>SELESAI (VIA PERMOHONAN)</v>
      </c>
      <c r="G4795" s="17">
        <f>IFERROR(__xludf.DUMMYFUNCTION("""COMPUTED_VALUE"""),46035.54741677083)</f>
        <v>46035.54742</v>
      </c>
      <c r="H4795" s="14"/>
      <c r="I4795" s="13"/>
      <c r="J4795" s="17" t="str">
        <f>IFERROR(__xludf.DUMMYFUNCTION("""COMPUTED_VALUE"""),"")</f>
        <v/>
      </c>
      <c r="K4795" s="13" t="str">
        <f>IFERROR(__xludf.DUMMYFUNCTION("""COMPUTED_VALUE"""),"BT atau SU Belum Valid")</f>
        <v>BT atau SU Belum Valid</v>
      </c>
      <c r="L4795" s="13" t="str">
        <f>IFERROR(__xludf.DUMMYFUNCTION("""COMPUTED_VALUE"""),"")</f>
        <v/>
      </c>
      <c r="M4795" s="13"/>
      <c r="N4795" s="13" t="str">
        <f>IFERROR(__xludf.DUMMYFUNCTION("""COMPUTED_VALUE"""),"")</f>
        <v/>
      </c>
      <c r="O4795" s="13" t="str">
        <f t="shared" si="1"/>
        <v/>
      </c>
    </row>
    <row r="4796" ht="22.5" customHeight="1">
      <c r="B4796" s="13">
        <f>IFERROR(__xludf.DUMMYFUNCTION("""COMPUTED_VALUE"""),4791.0)</f>
        <v>4791</v>
      </c>
      <c r="C4796" s="13" t="str">
        <f>IFERROR(__xludf.DUMMYFUNCTION("""COMPUTED_VALUE"""),"M 797/ SUKAJAWA")</f>
        <v>M 797/ SUKAJAWA</v>
      </c>
      <c r="D4796" s="13" t="str">
        <f>IFERROR(__xludf.DUMMYFUNCTION("""COMPUTED_VALUE"""),"ABDERTHU")</f>
        <v>ABDERTHU</v>
      </c>
      <c r="E4796" s="14" t="str">
        <f>IFERROR(__xludf.DUMMYFUNCTION("""COMPUTED_VALUE"""),"Heri (BT)")</f>
        <v>Heri (BT)</v>
      </c>
      <c r="F4796" s="14" t="str">
        <f>IFERROR(__xludf.DUMMYFUNCTION("""COMPUTED_VALUE"""),"SELESAI (VIA PERMOHONAN)")</f>
        <v>SELESAI (VIA PERMOHONAN)</v>
      </c>
      <c r="G4796" s="17">
        <f>IFERROR(__xludf.DUMMYFUNCTION("""COMPUTED_VALUE"""),46035.54757613426)</f>
        <v>46035.54758</v>
      </c>
      <c r="H4796" s="14"/>
      <c r="I4796" s="13"/>
      <c r="J4796" s="17" t="str">
        <f>IFERROR(__xludf.DUMMYFUNCTION("""COMPUTED_VALUE"""),"")</f>
        <v/>
      </c>
      <c r="K4796" s="13" t="str">
        <f>IFERROR(__xludf.DUMMYFUNCTION("""COMPUTED_VALUE"""),"BT atau SU Belum Valid")</f>
        <v>BT atau SU Belum Valid</v>
      </c>
      <c r="L4796" s="13" t="str">
        <f>IFERROR(__xludf.DUMMYFUNCTION("""COMPUTED_VALUE"""),"")</f>
        <v/>
      </c>
      <c r="M4796" s="13"/>
      <c r="N4796" s="13" t="str">
        <f>IFERROR(__xludf.DUMMYFUNCTION("""COMPUTED_VALUE"""),"")</f>
        <v/>
      </c>
      <c r="O4796" s="13" t="str">
        <f t="shared" si="1"/>
        <v/>
      </c>
    </row>
    <row r="4797" ht="22.5" customHeight="1">
      <c r="B4797" s="13">
        <f>IFERROR(__xludf.DUMMYFUNCTION("""COMPUTED_VALUE"""),4792.0)</f>
        <v>4792</v>
      </c>
      <c r="C4797" s="13" t="str">
        <f>IFERROR(__xludf.DUMMYFUNCTION("""COMPUTED_VALUE"""),"M 10360/ RAJABASA")</f>
        <v>M 10360/ RAJABASA</v>
      </c>
      <c r="D4797" s="13" t="str">
        <f>IFERROR(__xludf.DUMMYFUNCTION("""COMPUTED_VALUE"""),"ABHMJFSJ")</f>
        <v>ABHMJFSJ</v>
      </c>
      <c r="E4797" s="14" t="str">
        <f>IFERROR(__xludf.DUMMYFUNCTION("""COMPUTED_VALUE"""),"Heri (BT)")</f>
        <v>Heri (BT)</v>
      </c>
      <c r="F4797" s="14" t="str">
        <f>IFERROR(__xludf.DUMMYFUNCTION("""COMPUTED_VALUE"""),"SELESAI (VIA PERMOHONAN)")</f>
        <v>SELESAI (VIA PERMOHONAN)</v>
      </c>
      <c r="G4797" s="17">
        <f>IFERROR(__xludf.DUMMYFUNCTION("""COMPUTED_VALUE"""),46035.54772877315)</f>
        <v>46035.54773</v>
      </c>
      <c r="H4797" s="14"/>
      <c r="I4797" s="13"/>
      <c r="J4797" s="17" t="str">
        <f>IFERROR(__xludf.DUMMYFUNCTION("""COMPUTED_VALUE"""),"")</f>
        <v/>
      </c>
      <c r="K4797" s="13" t="str">
        <f>IFERROR(__xludf.DUMMYFUNCTION("""COMPUTED_VALUE"""),"BT atau SU Belum Valid")</f>
        <v>BT atau SU Belum Valid</v>
      </c>
      <c r="L4797" s="13" t="str">
        <f>IFERROR(__xludf.DUMMYFUNCTION("""COMPUTED_VALUE"""),"")</f>
        <v/>
      </c>
      <c r="M4797" s="13"/>
      <c r="N4797" s="13" t="str">
        <f>IFERROR(__xludf.DUMMYFUNCTION("""COMPUTED_VALUE"""),"")</f>
        <v/>
      </c>
      <c r="O4797" s="13" t="str">
        <f t="shared" si="1"/>
        <v/>
      </c>
    </row>
    <row r="4798" ht="22.5" customHeight="1">
      <c r="B4798" s="13">
        <f>IFERROR(__xludf.DUMMYFUNCTION("""COMPUTED_VALUE"""),4793.0)</f>
        <v>4793</v>
      </c>
      <c r="C4798" s="13" t="str">
        <f>IFERROR(__xludf.DUMMYFUNCTION("""COMPUTED_VALUE"""),"M. 12061/SEGALA MIDER")</f>
        <v>M. 12061/SEGALA MIDER</v>
      </c>
      <c r="D4798" s="13" t="str">
        <f>IFERROR(__xludf.DUMMYFUNCTION("""COMPUTED_VALUE"""),"L/5/211125/1")</f>
        <v>L/5/211125/1</v>
      </c>
      <c r="E4798" s="14" t="str">
        <f>IFERROR(__xludf.DUMMYFUNCTION("""COMPUTED_VALUE"""),"Heri (BT)")</f>
        <v>Heri (BT)</v>
      </c>
      <c r="F4798" s="14" t="str">
        <f>IFERROR(__xludf.DUMMYFUNCTION("""COMPUTED_VALUE"""),"SELESAI (VIA PERMOHONAN)")</f>
        <v>SELESAI (VIA PERMOHONAN)</v>
      </c>
      <c r="G4798" s="17">
        <f>IFERROR(__xludf.DUMMYFUNCTION("""COMPUTED_VALUE"""),46035.54837234954)</f>
        <v>46035.54837</v>
      </c>
      <c r="H4798" s="14"/>
      <c r="I4798" s="13"/>
      <c r="J4798" s="17" t="str">
        <f>IFERROR(__xludf.DUMMYFUNCTION("""COMPUTED_VALUE"""),"")</f>
        <v/>
      </c>
      <c r="K4798" s="13" t="str">
        <f>IFERROR(__xludf.DUMMYFUNCTION("""COMPUTED_VALUE"""),"BT atau SU Belum Valid")</f>
        <v>BT atau SU Belum Valid</v>
      </c>
      <c r="L4798" s="13" t="str">
        <f>IFERROR(__xludf.DUMMYFUNCTION("""COMPUTED_VALUE"""),"")</f>
        <v/>
      </c>
      <c r="M4798" s="13"/>
      <c r="N4798" s="13" t="str">
        <f>IFERROR(__xludf.DUMMYFUNCTION("""COMPUTED_VALUE"""),"")</f>
        <v/>
      </c>
      <c r="O4798" s="13" t="str">
        <f t="shared" si="1"/>
        <v/>
      </c>
    </row>
    <row r="4799" ht="22.5" customHeight="1">
      <c r="B4799" s="13">
        <f>IFERROR(__xludf.DUMMYFUNCTION("""COMPUTED_VALUE"""),4794.0)</f>
        <v>4794</v>
      </c>
      <c r="C4799" s="13" t="str">
        <f>IFERROR(__xludf.DUMMYFUNCTION("""COMPUTED_VALUE"""),"B. 181/SUMUR PUTRI")</f>
        <v>B. 181/SUMUR PUTRI</v>
      </c>
      <c r="D4799" s="13" t="str">
        <f>IFERROR(__xludf.DUMMYFUNCTION("""COMPUTED_VALUE"""),"K/29/160925/1")</f>
        <v>K/29/160925/1</v>
      </c>
      <c r="E4799" s="14" t="str">
        <f>IFERROR(__xludf.DUMMYFUNCTION("""COMPUTED_VALUE"""),"Heri (BT)")</f>
        <v>Heri (BT)</v>
      </c>
      <c r="F4799" s="14" t="str">
        <f>IFERROR(__xludf.DUMMYFUNCTION("""COMPUTED_VALUE"""),"SELESAI (VIA PERMOHONAN)")</f>
        <v>SELESAI (VIA PERMOHONAN)</v>
      </c>
      <c r="G4799" s="17">
        <f>IFERROR(__xludf.DUMMYFUNCTION("""COMPUTED_VALUE"""),46036.40924043981)</f>
        <v>46036.40924</v>
      </c>
      <c r="H4799" s="14"/>
      <c r="I4799" s="13"/>
      <c r="J4799" s="17" t="str">
        <f>IFERROR(__xludf.DUMMYFUNCTION("""COMPUTED_VALUE"""),"")</f>
        <v/>
      </c>
      <c r="K4799" s="13" t="str">
        <f>IFERROR(__xludf.DUMMYFUNCTION("""COMPUTED_VALUE"""),"BT atau SU Belum Valid")</f>
        <v>BT atau SU Belum Valid</v>
      </c>
      <c r="L4799" s="13" t="str">
        <f>IFERROR(__xludf.DUMMYFUNCTION("""COMPUTED_VALUE"""),"")</f>
        <v/>
      </c>
      <c r="M4799" s="13"/>
      <c r="N4799" s="13" t="str">
        <f>IFERROR(__xludf.DUMMYFUNCTION("""COMPUTED_VALUE"""),"")</f>
        <v/>
      </c>
      <c r="O4799" s="13" t="str">
        <f t="shared" si="1"/>
        <v/>
      </c>
    </row>
    <row r="4800" ht="22.5" customHeight="1">
      <c r="B4800" s="13">
        <f>IFERROR(__xludf.DUMMYFUNCTION("""COMPUTED_VALUE"""),4795.0)</f>
        <v>4795</v>
      </c>
      <c r="C4800" s="13" t="str">
        <f>IFERROR(__xludf.DUMMYFUNCTION("""COMPUTED_VALUE"""),"M.1309/Kemiling raya")</f>
        <v>M.1309/Kemiling raya</v>
      </c>
      <c r="D4800" s="13" t="str">
        <f>IFERROR(__xludf.DUMMYFUNCTION("""COMPUTED_VALUE"""),"ABUJYLNT")</f>
        <v>ABUJYLNT</v>
      </c>
      <c r="E4800" s="14" t="str">
        <f>IFERROR(__xludf.DUMMYFUNCTION("""COMPUTED_VALUE"""),"Heri (BT)")</f>
        <v>Heri (BT)</v>
      </c>
      <c r="F4800" s="14" t="str">
        <f>IFERROR(__xludf.DUMMYFUNCTION("""COMPUTED_VALUE"""),"SELESAI (VIA PERMOHONAN)")</f>
        <v>SELESAI (VIA PERMOHONAN)</v>
      </c>
      <c r="G4800" s="17">
        <f>IFERROR(__xludf.DUMMYFUNCTION("""COMPUTED_VALUE"""),46036.670443229166)</f>
        <v>46036.67044</v>
      </c>
      <c r="H4800" s="14"/>
      <c r="I4800" s="13"/>
      <c r="J4800" s="17" t="str">
        <f>IFERROR(__xludf.DUMMYFUNCTION("""COMPUTED_VALUE"""),"")</f>
        <v/>
      </c>
      <c r="K4800" s="13" t="str">
        <f>IFERROR(__xludf.DUMMYFUNCTION("""COMPUTED_VALUE"""),"BT atau SU Belum Valid")</f>
        <v>BT atau SU Belum Valid</v>
      </c>
      <c r="L4800" s="13" t="str">
        <f>IFERROR(__xludf.DUMMYFUNCTION("""COMPUTED_VALUE"""),"")</f>
        <v/>
      </c>
      <c r="M4800" s="13"/>
      <c r="N4800" s="13" t="str">
        <f>IFERROR(__xludf.DUMMYFUNCTION("""COMPUTED_VALUE"""),"")</f>
        <v/>
      </c>
      <c r="O4800" s="13" t="str">
        <f t="shared" si="1"/>
        <v/>
      </c>
    </row>
    <row r="4801" ht="22.5" customHeight="1">
      <c r="B4801" s="13">
        <f>IFERROR(__xludf.DUMMYFUNCTION("""COMPUTED_VALUE"""),4796.0)</f>
        <v>4796</v>
      </c>
      <c r="C4801" s="13" t="str">
        <f>IFERROR(__xludf.DUMMYFUNCTION("""COMPUTED_VALUE"""),"M.1080/Pematang Wangi")</f>
        <v>M.1080/Pematang Wangi</v>
      </c>
      <c r="D4801" s="13" t="str">
        <f>IFERROR(__xludf.DUMMYFUNCTION("""COMPUTED_VALUE"""),"AB068/ABDUXIDT")</f>
        <v>AB068/ABDUXIDT</v>
      </c>
      <c r="E4801" s="14" t="str">
        <f>IFERROR(__xludf.DUMMYFUNCTION("""COMPUTED_VALUE"""),"Heri (BT)")</f>
        <v>Heri (BT)</v>
      </c>
      <c r="F4801" s="14" t="str">
        <f>IFERROR(__xludf.DUMMYFUNCTION("""COMPUTED_VALUE"""),"SELESAI (VIA PERMOHONAN)")</f>
        <v>SELESAI (VIA PERMOHONAN)</v>
      </c>
      <c r="G4801" s="17">
        <f>IFERROR(__xludf.DUMMYFUNCTION("""COMPUTED_VALUE"""),46036.67056791666)</f>
        <v>46036.67057</v>
      </c>
      <c r="H4801" s="14"/>
      <c r="I4801" s="13"/>
      <c r="J4801" s="17" t="str">
        <f>IFERROR(__xludf.DUMMYFUNCTION("""COMPUTED_VALUE"""),"")</f>
        <v/>
      </c>
      <c r="K4801" s="13" t="str">
        <f>IFERROR(__xludf.DUMMYFUNCTION("""COMPUTED_VALUE"""),"BT atau SU Belum Valid")</f>
        <v>BT atau SU Belum Valid</v>
      </c>
      <c r="L4801" s="13" t="str">
        <f>IFERROR(__xludf.DUMMYFUNCTION("""COMPUTED_VALUE"""),"")</f>
        <v/>
      </c>
      <c r="M4801" s="13"/>
      <c r="N4801" s="13" t="str">
        <f>IFERROR(__xludf.DUMMYFUNCTION("""COMPUTED_VALUE"""),"")</f>
        <v/>
      </c>
      <c r="O4801" s="13" t="str">
        <f t="shared" si="1"/>
        <v/>
      </c>
    </row>
    <row r="4802" ht="22.5" customHeight="1">
      <c r="B4802" s="13">
        <f>IFERROR(__xludf.DUMMYFUNCTION("""COMPUTED_VALUE"""),4797.0)</f>
        <v>4797</v>
      </c>
      <c r="C4802" s="13" t="str">
        <f>IFERROR(__xludf.DUMMYFUNCTION("""COMPUTED_VALUE"""),"m.6460/tjs")</f>
        <v>m.6460/tjs</v>
      </c>
      <c r="D4802" s="13" t="str">
        <f>IFERROR(__xludf.DUMMYFUNCTION("""COMPUTED_VALUE"""),"ABAWIWAG/AB085")</f>
        <v>ABAWIWAG/AB085</v>
      </c>
      <c r="E4802" s="14" t="str">
        <f>IFERROR(__xludf.DUMMYFUNCTION("""COMPUTED_VALUE"""),"Heri (BT)")</f>
        <v>Heri (BT)</v>
      </c>
      <c r="F4802" s="14" t="str">
        <f>IFERROR(__xludf.DUMMYFUNCTION("""COMPUTED_VALUE"""),"SELESAI (VIA PERMOHONAN)")</f>
        <v>SELESAI (VIA PERMOHONAN)</v>
      </c>
      <c r="G4802" s="17">
        <f>IFERROR(__xludf.DUMMYFUNCTION("""COMPUTED_VALUE"""),46036.67084788195)</f>
        <v>46036.67085</v>
      </c>
      <c r="H4802" s="14"/>
      <c r="I4802" s="13"/>
      <c r="J4802" s="17" t="str">
        <f>IFERROR(__xludf.DUMMYFUNCTION("""COMPUTED_VALUE"""),"")</f>
        <v/>
      </c>
      <c r="K4802" s="13" t="str">
        <f>IFERROR(__xludf.DUMMYFUNCTION("""COMPUTED_VALUE"""),"BT atau SU Belum Valid")</f>
        <v>BT atau SU Belum Valid</v>
      </c>
      <c r="L4802" s="13" t="str">
        <f>IFERROR(__xludf.DUMMYFUNCTION("""COMPUTED_VALUE"""),"")</f>
        <v/>
      </c>
      <c r="M4802" s="13"/>
      <c r="N4802" s="13" t="str">
        <f>IFERROR(__xludf.DUMMYFUNCTION("""COMPUTED_VALUE"""),"")</f>
        <v/>
      </c>
      <c r="O4802" s="13" t="str">
        <f t="shared" si="1"/>
        <v/>
      </c>
    </row>
    <row r="4803" ht="22.5" customHeight="1">
      <c r="B4803" s="13">
        <f>IFERROR(__xludf.DUMMYFUNCTION("""COMPUTED_VALUE"""),4798.0)</f>
        <v>4798</v>
      </c>
      <c r="C4803" s="13" t="str">
        <f>IFERROR(__xludf.DUMMYFUNCTION("""COMPUTED_VALUE"""),"M.1338/Tanjung Senang")</f>
        <v>M.1338/Tanjung Senang</v>
      </c>
      <c r="D4803" s="13" t="str">
        <f>IFERROR(__xludf.DUMMYFUNCTION("""COMPUTED_VALUE"""),"AB029/ABUHFWJW")</f>
        <v>AB029/ABUHFWJW</v>
      </c>
      <c r="E4803" s="14" t="str">
        <f>IFERROR(__xludf.DUMMYFUNCTION("""COMPUTED_VALUE"""),"Heri (BT)")</f>
        <v>Heri (BT)</v>
      </c>
      <c r="F4803" s="14" t="str">
        <f>IFERROR(__xludf.DUMMYFUNCTION("""COMPUTED_VALUE"""),"SELESAI (VIA PERMOHONAN)")</f>
        <v>SELESAI (VIA PERMOHONAN)</v>
      </c>
      <c r="G4803" s="17">
        <f>IFERROR(__xludf.DUMMYFUNCTION("""COMPUTED_VALUE"""),46036.671058078704)</f>
        <v>46036.67106</v>
      </c>
      <c r="H4803" s="14"/>
      <c r="I4803" s="13"/>
      <c r="J4803" s="17" t="str">
        <f>IFERROR(__xludf.DUMMYFUNCTION("""COMPUTED_VALUE"""),"")</f>
        <v/>
      </c>
      <c r="K4803" s="13" t="str">
        <f>IFERROR(__xludf.DUMMYFUNCTION("""COMPUTED_VALUE"""),"BT atau SU Belum Valid")</f>
        <v>BT atau SU Belum Valid</v>
      </c>
      <c r="L4803" s="13" t="str">
        <f>IFERROR(__xludf.DUMMYFUNCTION("""COMPUTED_VALUE"""),"")</f>
        <v/>
      </c>
      <c r="M4803" s="13"/>
      <c r="N4803" s="13" t="str">
        <f>IFERROR(__xludf.DUMMYFUNCTION("""COMPUTED_VALUE"""),"")</f>
        <v/>
      </c>
      <c r="O4803" s="13" t="str">
        <f t="shared" si="1"/>
        <v/>
      </c>
    </row>
    <row r="4804" ht="22.5" customHeight="1">
      <c r="B4804" s="13">
        <f>IFERROR(__xludf.DUMMYFUNCTION("""COMPUTED_VALUE"""),4799.0)</f>
        <v>4799</v>
      </c>
      <c r="C4804" s="13" t="str">
        <f>IFERROR(__xludf.DUMMYFUNCTION("""COMPUTED_VALUE"""),"M. 2005/ Rajabasa Raya")</f>
        <v>M. 2005/ Rajabasa Raya</v>
      </c>
      <c r="D4804" s="13" t="str">
        <f>IFERROR(__xludf.DUMMYFUNCTION("""COMPUTED_VALUE"""),"K/16/100725/1")</f>
        <v>K/16/100725/1</v>
      </c>
      <c r="E4804" s="14" t="str">
        <f>IFERROR(__xludf.DUMMYFUNCTION("""COMPUTED_VALUE"""),"Heri (BT)")</f>
        <v>Heri (BT)</v>
      </c>
      <c r="F4804" s="14" t="str">
        <f>IFERROR(__xludf.DUMMYFUNCTION("""COMPUTED_VALUE"""),"SELESAI (VIA PERMOHONAN)")</f>
        <v>SELESAI (VIA PERMOHONAN)</v>
      </c>
      <c r="G4804" s="17">
        <f>IFERROR(__xludf.DUMMYFUNCTION("""COMPUTED_VALUE"""),46036.67128098379)</f>
        <v>46036.67128</v>
      </c>
      <c r="H4804" s="14"/>
      <c r="I4804" s="13"/>
      <c r="J4804" s="17" t="str">
        <f>IFERROR(__xludf.DUMMYFUNCTION("""COMPUTED_VALUE"""),"")</f>
        <v/>
      </c>
      <c r="K4804" s="13" t="str">
        <f>IFERROR(__xludf.DUMMYFUNCTION("""COMPUTED_VALUE"""),"BT atau SU Belum Valid")</f>
        <v>BT atau SU Belum Valid</v>
      </c>
      <c r="L4804" s="13" t="str">
        <f>IFERROR(__xludf.DUMMYFUNCTION("""COMPUTED_VALUE"""),"")</f>
        <v/>
      </c>
      <c r="M4804" s="13"/>
      <c r="N4804" s="13" t="str">
        <f>IFERROR(__xludf.DUMMYFUNCTION("""COMPUTED_VALUE"""),"")</f>
        <v/>
      </c>
      <c r="O4804" s="13" t="str">
        <f t="shared" si="1"/>
        <v/>
      </c>
    </row>
    <row r="4805" ht="22.5" customHeight="1">
      <c r="B4805" s="13">
        <f>IFERROR(__xludf.DUMMYFUNCTION("""COMPUTED_VALUE"""),4800.0)</f>
        <v>4800</v>
      </c>
      <c r="C4805" s="13" t="str">
        <f>IFERROR(__xludf.DUMMYFUNCTION("""COMPUTED_VALUE"""),"M. 1330/Beringin Raya")</f>
        <v>M. 1330/Beringin Raya</v>
      </c>
      <c r="D4805" s="13" t="str">
        <f>IFERROR(__xludf.DUMMYFUNCTION("""COMPUTED_VALUE"""),"ABFPVBRB/Ab020")</f>
        <v>ABFPVBRB/Ab020</v>
      </c>
      <c r="E4805" s="14" t="str">
        <f>IFERROR(__xludf.DUMMYFUNCTION("""COMPUTED_VALUE"""),"Heri (BT)")</f>
        <v>Heri (BT)</v>
      </c>
      <c r="F4805" s="14" t="str">
        <f>IFERROR(__xludf.DUMMYFUNCTION("""COMPUTED_VALUE"""),"SELESAI (VIA PERMOHONAN)")</f>
        <v>SELESAI (VIA PERMOHONAN)</v>
      </c>
      <c r="G4805" s="17">
        <f>IFERROR(__xludf.DUMMYFUNCTION("""COMPUTED_VALUE"""),46036.67175105324)</f>
        <v>46036.67175</v>
      </c>
      <c r="H4805" s="14"/>
      <c r="I4805" s="13"/>
      <c r="J4805" s="17" t="str">
        <f>IFERROR(__xludf.DUMMYFUNCTION("""COMPUTED_VALUE"""),"")</f>
        <v/>
      </c>
      <c r="K4805" s="13" t="str">
        <f>IFERROR(__xludf.DUMMYFUNCTION("""COMPUTED_VALUE"""),"BT atau SU Belum Valid")</f>
        <v>BT atau SU Belum Valid</v>
      </c>
      <c r="L4805" s="13" t="str">
        <f>IFERROR(__xludf.DUMMYFUNCTION("""COMPUTED_VALUE"""),"")</f>
        <v/>
      </c>
      <c r="M4805" s="13"/>
      <c r="N4805" s="13" t="str">
        <f>IFERROR(__xludf.DUMMYFUNCTION("""COMPUTED_VALUE"""),"")</f>
        <v/>
      </c>
      <c r="O4805" s="13" t="str">
        <f t="shared" si="1"/>
        <v/>
      </c>
    </row>
    <row r="4806" ht="22.5" customHeight="1">
      <c r="B4806" s="13">
        <f>IFERROR(__xludf.DUMMYFUNCTION("""COMPUTED_VALUE"""),4801.0)</f>
        <v>4801</v>
      </c>
      <c r="C4806" s="13" t="str">
        <f>IFERROR(__xludf.DUMMYFUNCTION("""COMPUTED_VALUE"""),"HGB 613/Sukarame Baru")</f>
        <v>HGB 613/Sukarame Baru</v>
      </c>
      <c r="D4806" s="13" t="str">
        <f>IFERROR(__xludf.DUMMYFUNCTION("""COMPUTED_VALUE"""),"Ab021/ABMRIKAQ")</f>
        <v>Ab021/ABMRIKAQ</v>
      </c>
      <c r="E4806" s="14" t="str">
        <f>IFERROR(__xludf.DUMMYFUNCTION("""COMPUTED_VALUE"""),"Heri (BT)")</f>
        <v>Heri (BT)</v>
      </c>
      <c r="F4806" s="14" t="str">
        <f>IFERROR(__xludf.DUMMYFUNCTION("""COMPUTED_VALUE"""),"SELESAI (VIA PERMOHONAN)")</f>
        <v>SELESAI (VIA PERMOHONAN)</v>
      </c>
      <c r="G4806" s="17">
        <f>IFERROR(__xludf.DUMMYFUNCTION("""COMPUTED_VALUE"""),46036.672107349536)</f>
        <v>46036.67211</v>
      </c>
      <c r="H4806" s="14"/>
      <c r="I4806" s="13"/>
      <c r="J4806" s="17" t="str">
        <f>IFERROR(__xludf.DUMMYFUNCTION("""COMPUTED_VALUE"""),"")</f>
        <v/>
      </c>
      <c r="K4806" s="13" t="str">
        <f>IFERROR(__xludf.DUMMYFUNCTION("""COMPUTED_VALUE"""),"BT atau SU Belum Valid")</f>
        <v>BT atau SU Belum Valid</v>
      </c>
      <c r="L4806" s="13" t="str">
        <f>IFERROR(__xludf.DUMMYFUNCTION("""COMPUTED_VALUE"""),"")</f>
        <v/>
      </c>
      <c r="M4806" s="13"/>
      <c r="N4806" s="13" t="str">
        <f>IFERROR(__xludf.DUMMYFUNCTION("""COMPUTED_VALUE"""),"")</f>
        <v/>
      </c>
      <c r="O4806" s="13" t="str">
        <f t="shared" si="1"/>
        <v/>
      </c>
    </row>
    <row r="4807" ht="22.5" customHeight="1">
      <c r="B4807" s="13">
        <f>IFERROR(__xludf.DUMMYFUNCTION("""COMPUTED_VALUE"""),4802.0)</f>
        <v>4802</v>
      </c>
      <c r="C4807" s="13" t="str">
        <f>IFERROR(__xludf.DUMMYFUNCTION("""COMPUTED_VALUE"""),"6812/SURABAYA")</f>
        <v>6812/SURABAYA</v>
      </c>
      <c r="D4807" s="13" t="str">
        <f>IFERROR(__xludf.DUMMYFUNCTION("""COMPUTED_VALUE"""),"ABGPFFCQ/AB011")</f>
        <v>ABGPFFCQ/AB011</v>
      </c>
      <c r="E4807" s="14" t="str">
        <f>IFERROR(__xludf.DUMMYFUNCTION("""COMPUTED_VALUE"""),"Heri (BT)")</f>
        <v>Heri (BT)</v>
      </c>
      <c r="F4807" s="14" t="str">
        <f>IFERROR(__xludf.DUMMYFUNCTION("""COMPUTED_VALUE"""),"SELESAI (VIA PERMOHONAN)")</f>
        <v>SELESAI (VIA PERMOHONAN)</v>
      </c>
      <c r="G4807" s="17">
        <f>IFERROR(__xludf.DUMMYFUNCTION("""COMPUTED_VALUE"""),46036.67275734954)</f>
        <v>46036.67276</v>
      </c>
      <c r="H4807" s="14"/>
      <c r="I4807" s="13"/>
      <c r="J4807" s="17" t="str">
        <f>IFERROR(__xludf.DUMMYFUNCTION("""COMPUTED_VALUE"""),"")</f>
        <v/>
      </c>
      <c r="K4807" s="13" t="str">
        <f>IFERROR(__xludf.DUMMYFUNCTION("""COMPUTED_VALUE"""),"BT atau SU Belum Valid")</f>
        <v>BT atau SU Belum Valid</v>
      </c>
      <c r="L4807" s="13" t="str">
        <f>IFERROR(__xludf.DUMMYFUNCTION("""COMPUTED_VALUE"""),"")</f>
        <v/>
      </c>
      <c r="M4807" s="13"/>
      <c r="N4807" s="13" t="str">
        <f>IFERROR(__xludf.DUMMYFUNCTION("""COMPUTED_VALUE"""),"")</f>
        <v/>
      </c>
      <c r="O4807" s="13" t="str">
        <f t="shared" si="1"/>
        <v/>
      </c>
    </row>
    <row r="4808" ht="22.5" customHeight="1">
      <c r="B4808" s="13">
        <f>IFERROR(__xludf.DUMMYFUNCTION("""COMPUTED_VALUE"""),4803.0)</f>
        <v>4803</v>
      </c>
      <c r="C4808" s="13" t="str">
        <f>IFERROR(__xludf.DUMMYFUNCTION("""COMPUTED_VALUE"""),"M 1247/ BERINGIN RAYA")</f>
        <v>M 1247/ BERINGIN RAYA</v>
      </c>
      <c r="D4808" s="13" t="str">
        <f>IFERROR(__xludf.DUMMYFUNCTION("""COMPUTED_VALUE"""),"K/28/101025/2")</f>
        <v>K/28/101025/2</v>
      </c>
      <c r="E4808" s="14" t="str">
        <f>IFERROR(__xludf.DUMMYFUNCTION("""COMPUTED_VALUE"""),"Heri (BT)")</f>
        <v>Heri (BT)</v>
      </c>
      <c r="F4808" s="14" t="str">
        <f>IFERROR(__xludf.DUMMYFUNCTION("""COMPUTED_VALUE"""),"SELESAI (VIA PERMOHONAN)")</f>
        <v>SELESAI (VIA PERMOHONAN)</v>
      </c>
      <c r="G4808" s="17">
        <f>IFERROR(__xludf.DUMMYFUNCTION("""COMPUTED_VALUE"""),46036.67295261574)</f>
        <v>46036.67295</v>
      </c>
      <c r="H4808" s="14"/>
      <c r="I4808" s="13"/>
      <c r="J4808" s="17" t="str">
        <f>IFERROR(__xludf.DUMMYFUNCTION("""COMPUTED_VALUE"""),"")</f>
        <v/>
      </c>
      <c r="K4808" s="13" t="str">
        <f>IFERROR(__xludf.DUMMYFUNCTION("""COMPUTED_VALUE"""),"BT atau SU Belum Valid")</f>
        <v>BT atau SU Belum Valid</v>
      </c>
      <c r="L4808" s="13" t="str">
        <f>IFERROR(__xludf.DUMMYFUNCTION("""COMPUTED_VALUE"""),"")</f>
        <v/>
      </c>
      <c r="M4808" s="13"/>
      <c r="N4808" s="13" t="str">
        <f>IFERROR(__xludf.DUMMYFUNCTION("""COMPUTED_VALUE"""),"")</f>
        <v/>
      </c>
      <c r="O4808" s="13" t="str">
        <f t="shared" si="1"/>
        <v/>
      </c>
    </row>
    <row r="4809" ht="22.5" customHeight="1">
      <c r="B4809" s="13">
        <f>IFERROR(__xludf.DUMMYFUNCTION("""COMPUTED_VALUE"""),4804.0)</f>
        <v>4804</v>
      </c>
      <c r="C4809" s="13" t="str">
        <f>IFERROR(__xludf.DUMMYFUNCTION("""COMPUTED_VALUE"""),"M 6647/ TANJUNG SENANG")</f>
        <v>M 6647/ TANJUNG SENANG</v>
      </c>
      <c r="D4809" s="13" t="str">
        <f>IFERROR(__xludf.DUMMYFUNCTION("""COMPUTED_VALUE"""),"Abobtfnu")</f>
        <v>Abobtfnu</v>
      </c>
      <c r="E4809" s="14" t="str">
        <f>IFERROR(__xludf.DUMMYFUNCTION("""COMPUTED_VALUE"""),"Heri (BT)")</f>
        <v>Heri (BT)</v>
      </c>
      <c r="F4809" s="14" t="str">
        <f>IFERROR(__xludf.DUMMYFUNCTION("""COMPUTED_VALUE"""),"SELESAI (VIA PERMOHONAN)")</f>
        <v>SELESAI (VIA PERMOHONAN)</v>
      </c>
      <c r="G4809" s="17">
        <f>IFERROR(__xludf.DUMMYFUNCTION("""COMPUTED_VALUE"""),46036.6758253125)</f>
        <v>46036.67583</v>
      </c>
      <c r="H4809" s="14"/>
      <c r="I4809" s="13"/>
      <c r="J4809" s="17" t="str">
        <f>IFERROR(__xludf.DUMMYFUNCTION("""COMPUTED_VALUE"""),"")</f>
        <v/>
      </c>
      <c r="K4809" s="13" t="str">
        <f>IFERROR(__xludf.DUMMYFUNCTION("""COMPUTED_VALUE"""),"BT atau SU Belum Valid")</f>
        <v>BT atau SU Belum Valid</v>
      </c>
      <c r="L4809" s="13" t="str">
        <f>IFERROR(__xludf.DUMMYFUNCTION("""COMPUTED_VALUE"""),"")</f>
        <v/>
      </c>
      <c r="M4809" s="13"/>
      <c r="N4809" s="13" t="str">
        <f>IFERROR(__xludf.DUMMYFUNCTION("""COMPUTED_VALUE"""),"")</f>
        <v/>
      </c>
      <c r="O4809" s="13" t="str">
        <f t="shared" si="1"/>
        <v/>
      </c>
    </row>
    <row r="4810" ht="22.5" customHeight="1">
      <c r="B4810" s="13">
        <f>IFERROR(__xludf.DUMMYFUNCTION("""COMPUTED_VALUE"""),4805.0)</f>
        <v>4805</v>
      </c>
      <c r="C4810" s="13" t="str">
        <f>IFERROR(__xludf.DUMMYFUNCTION("""COMPUTED_VALUE"""),"B 304/ sukarame baru")</f>
        <v>B 304/ sukarame baru</v>
      </c>
      <c r="D4810" s="13" t="str">
        <f>IFERROR(__xludf.DUMMYFUNCTION("""COMPUTED_VALUE"""),"Ab 21 (abylpefk)")</f>
        <v>Ab 21 (abylpefk)</v>
      </c>
      <c r="E4810" s="14" t="str">
        <f>IFERROR(__xludf.DUMMYFUNCTION("""COMPUTED_VALUE"""),"Heri (BT)")</f>
        <v>Heri (BT)</v>
      </c>
      <c r="F4810" s="14" t="str">
        <f>IFERROR(__xludf.DUMMYFUNCTION("""COMPUTED_VALUE"""),"SELESAI (VIA PERMOHONAN)")</f>
        <v>SELESAI (VIA PERMOHONAN)</v>
      </c>
      <c r="G4810" s="17">
        <f>IFERROR(__xludf.DUMMYFUNCTION("""COMPUTED_VALUE"""),46036.67610063657)</f>
        <v>46036.6761</v>
      </c>
      <c r="H4810" s="14"/>
      <c r="I4810" s="13"/>
      <c r="J4810" s="17" t="str">
        <f>IFERROR(__xludf.DUMMYFUNCTION("""COMPUTED_VALUE"""),"")</f>
        <v/>
      </c>
      <c r="K4810" s="13" t="str">
        <f>IFERROR(__xludf.DUMMYFUNCTION("""COMPUTED_VALUE"""),"BT atau SU Belum Valid")</f>
        <v>BT atau SU Belum Valid</v>
      </c>
      <c r="L4810" s="13" t="str">
        <f>IFERROR(__xludf.DUMMYFUNCTION("""COMPUTED_VALUE"""),"")</f>
        <v/>
      </c>
      <c r="M4810" s="13"/>
      <c r="N4810" s="13" t="str">
        <f>IFERROR(__xludf.DUMMYFUNCTION("""COMPUTED_VALUE"""),"")</f>
        <v/>
      </c>
      <c r="O4810" s="13" t="str">
        <f t="shared" si="1"/>
        <v/>
      </c>
    </row>
    <row r="4811" ht="22.5" customHeight="1">
      <c r="B4811" s="13">
        <f>IFERROR(__xludf.DUMMYFUNCTION("""COMPUTED_VALUE"""),4806.0)</f>
        <v>4806</v>
      </c>
      <c r="C4811" s="13" t="str">
        <f>IFERROR(__xludf.DUMMYFUNCTION("""COMPUTED_VALUE"""),"SHM 1331/Durian payung ")</f>
        <v>SHM 1331/Durian payung </v>
      </c>
      <c r="D4811" s="13" t="str">
        <f>IFERROR(__xludf.DUMMYFUNCTION("""COMPUTED_VALUE"""),"ABZXOZDX/AB048")</f>
        <v>ABZXOZDX/AB048</v>
      </c>
      <c r="E4811" s="14" t="str">
        <f>IFERROR(__xludf.DUMMYFUNCTION("""COMPUTED_VALUE"""),"Heri (BT)")</f>
        <v>Heri (BT)</v>
      </c>
      <c r="F4811" s="14" t="str">
        <f>IFERROR(__xludf.DUMMYFUNCTION("""COMPUTED_VALUE"""),"SELESAI (VIA PERMOHONAN)")</f>
        <v>SELESAI (VIA PERMOHONAN)</v>
      </c>
      <c r="G4811" s="17">
        <f>IFERROR(__xludf.DUMMYFUNCTION("""COMPUTED_VALUE"""),46037.556266053245)</f>
        <v>46037.55627</v>
      </c>
      <c r="H4811" s="14"/>
      <c r="I4811" s="13"/>
      <c r="J4811" s="17" t="str">
        <f>IFERROR(__xludf.DUMMYFUNCTION("""COMPUTED_VALUE"""),"")</f>
        <v/>
      </c>
      <c r="K4811" s="13" t="str">
        <f>IFERROR(__xludf.DUMMYFUNCTION("""COMPUTED_VALUE"""),"BT atau SU Belum Valid")</f>
        <v>BT atau SU Belum Valid</v>
      </c>
      <c r="L4811" s="13" t="str">
        <f>IFERROR(__xludf.DUMMYFUNCTION("""COMPUTED_VALUE"""),"")</f>
        <v/>
      </c>
      <c r="M4811" s="13"/>
      <c r="N4811" s="13" t="str">
        <f>IFERROR(__xludf.DUMMYFUNCTION("""COMPUTED_VALUE"""),"")</f>
        <v/>
      </c>
      <c r="O4811" s="13" t="str">
        <f t="shared" si="1"/>
        <v/>
      </c>
    </row>
    <row r="4812" ht="22.5" customHeight="1">
      <c r="B4812" s="13">
        <f>IFERROR(__xludf.DUMMYFUNCTION("""COMPUTED_VALUE"""),4807.0)</f>
        <v>4807</v>
      </c>
      <c r="C4812" s="13" t="str">
        <f>IFERROR(__xludf.DUMMYFUNCTION("""COMPUTED_VALUE"""),"M. 2302/pinang jaya")</f>
        <v>M. 2302/pinang jaya</v>
      </c>
      <c r="D4812" s="13" t="str">
        <f>IFERROR(__xludf.DUMMYFUNCTION("""COMPUTED_VALUE"""),"ABBJFNKN/AB012")</f>
        <v>ABBJFNKN/AB012</v>
      </c>
      <c r="E4812" s="14" t="str">
        <f>IFERROR(__xludf.DUMMYFUNCTION("""COMPUTED_VALUE"""),"Heri (BT)")</f>
        <v>Heri (BT)</v>
      </c>
      <c r="F4812" s="14" t="str">
        <f>IFERROR(__xludf.DUMMYFUNCTION("""COMPUTED_VALUE"""),"SELESAI (VIA PERMOHONAN)")</f>
        <v>SELESAI (VIA PERMOHONAN)</v>
      </c>
      <c r="G4812" s="17">
        <f>IFERROR(__xludf.DUMMYFUNCTION("""COMPUTED_VALUE"""),46037.55643325231)</f>
        <v>46037.55643</v>
      </c>
      <c r="H4812" s="14"/>
      <c r="I4812" s="13"/>
      <c r="J4812" s="17" t="str">
        <f>IFERROR(__xludf.DUMMYFUNCTION("""COMPUTED_VALUE"""),"")</f>
        <v/>
      </c>
      <c r="K4812" s="13" t="str">
        <f>IFERROR(__xludf.DUMMYFUNCTION("""COMPUTED_VALUE"""),"BT atau SU Belum Valid")</f>
        <v>BT atau SU Belum Valid</v>
      </c>
      <c r="L4812" s="13" t="str">
        <f>IFERROR(__xludf.DUMMYFUNCTION("""COMPUTED_VALUE"""),"")</f>
        <v/>
      </c>
      <c r="M4812" s="13"/>
      <c r="N4812" s="13" t="str">
        <f>IFERROR(__xludf.DUMMYFUNCTION("""COMPUTED_VALUE"""),"")</f>
        <v/>
      </c>
      <c r="O4812" s="13" t="str">
        <f t="shared" si="1"/>
        <v/>
      </c>
    </row>
    <row r="4813" ht="22.5" customHeight="1">
      <c r="B4813" s="13">
        <f>IFERROR(__xludf.DUMMYFUNCTION("""COMPUTED_VALUE"""),4808.0)</f>
        <v>4808</v>
      </c>
      <c r="C4813" s="13" t="str">
        <f>IFERROR(__xludf.DUMMYFUNCTION("""COMPUTED_VALUE"""),"SHGB 317 sumur putri")</f>
        <v>SHGB 317 sumur putri</v>
      </c>
      <c r="D4813" s="13" t="str">
        <f>IFERROR(__xludf.DUMMYFUNCTION("""COMPUTED_VALUE"""),"ABUABLCO")</f>
        <v>ABUABLCO</v>
      </c>
      <c r="E4813" s="14" t="str">
        <f>IFERROR(__xludf.DUMMYFUNCTION("""COMPUTED_VALUE"""),"Heri (BT)")</f>
        <v>Heri (BT)</v>
      </c>
      <c r="F4813" s="14" t="str">
        <f>IFERROR(__xludf.DUMMYFUNCTION("""COMPUTED_VALUE"""),"SELESAI (VIA PERMOHONAN)")</f>
        <v>SELESAI (VIA PERMOHONAN)</v>
      </c>
      <c r="G4813" s="17">
        <f>IFERROR(__xludf.DUMMYFUNCTION("""COMPUTED_VALUE"""),46037.55677417824)</f>
        <v>46037.55677</v>
      </c>
      <c r="H4813" s="14"/>
      <c r="I4813" s="13"/>
      <c r="J4813" s="17" t="str">
        <f>IFERROR(__xludf.DUMMYFUNCTION("""COMPUTED_VALUE"""),"")</f>
        <v/>
      </c>
      <c r="K4813" s="13" t="str">
        <f>IFERROR(__xludf.DUMMYFUNCTION("""COMPUTED_VALUE"""),"BT atau SU Belum Valid")</f>
        <v>BT atau SU Belum Valid</v>
      </c>
      <c r="L4813" s="13" t="str">
        <f>IFERROR(__xludf.DUMMYFUNCTION("""COMPUTED_VALUE"""),"")</f>
        <v/>
      </c>
      <c r="M4813" s="13"/>
      <c r="N4813" s="13" t="str">
        <f>IFERROR(__xludf.DUMMYFUNCTION("""COMPUTED_VALUE"""),"")</f>
        <v/>
      </c>
      <c r="O4813" s="13" t="str">
        <f t="shared" si="1"/>
        <v/>
      </c>
    </row>
    <row r="4814" ht="22.5" customHeight="1">
      <c r="B4814" s="13">
        <f>IFERROR(__xludf.DUMMYFUNCTION("""COMPUTED_VALUE"""),4809.0)</f>
        <v>4809</v>
      </c>
      <c r="C4814" s="13" t="str">
        <f>IFERROR(__xludf.DUMMYFUNCTION("""COMPUTED_VALUE"""),"M 30/ kampung baru raya")</f>
        <v>M 30/ kampung baru raya</v>
      </c>
      <c r="D4814" s="13" t="str">
        <f>IFERROR(__xludf.DUMMYFUNCTION("""COMPUTED_VALUE"""),"ABXTSFQQ")</f>
        <v>ABXTSFQQ</v>
      </c>
      <c r="E4814" s="14" t="str">
        <f>IFERROR(__xludf.DUMMYFUNCTION("""COMPUTED_VALUE"""),"Heri (BT)")</f>
        <v>Heri (BT)</v>
      </c>
      <c r="F4814" s="14" t="str">
        <f>IFERROR(__xludf.DUMMYFUNCTION("""COMPUTED_VALUE"""),"SELESAI (VIA PERMOHONAN)")</f>
        <v>SELESAI (VIA PERMOHONAN)</v>
      </c>
      <c r="G4814" s="17">
        <f>IFERROR(__xludf.DUMMYFUNCTION("""COMPUTED_VALUE"""),46037.55708859954)</f>
        <v>46037.55709</v>
      </c>
      <c r="H4814" s="14"/>
      <c r="I4814" s="13"/>
      <c r="J4814" s="17" t="str">
        <f>IFERROR(__xludf.DUMMYFUNCTION("""COMPUTED_VALUE"""),"")</f>
        <v/>
      </c>
      <c r="K4814" s="13" t="str">
        <f>IFERROR(__xludf.DUMMYFUNCTION("""COMPUTED_VALUE"""),"BT atau SU Belum Valid")</f>
        <v>BT atau SU Belum Valid</v>
      </c>
      <c r="L4814" s="13" t="str">
        <f>IFERROR(__xludf.DUMMYFUNCTION("""COMPUTED_VALUE"""),"")</f>
        <v/>
      </c>
      <c r="M4814" s="13"/>
      <c r="N4814" s="13" t="str">
        <f>IFERROR(__xludf.DUMMYFUNCTION("""COMPUTED_VALUE"""),"")</f>
        <v/>
      </c>
      <c r="O4814" s="13" t="str">
        <f t="shared" si="1"/>
        <v/>
      </c>
    </row>
    <row r="4815" ht="22.5" customHeight="1">
      <c r="B4815" s="13">
        <f>IFERROR(__xludf.DUMMYFUNCTION("""COMPUTED_VALUE"""),4810.0)</f>
        <v>4810</v>
      </c>
      <c r="C4815" s="13" t="str">
        <f>IFERROR(__xludf.DUMMYFUNCTION("""COMPUTED_VALUE"""),"M 320/ TALANG")</f>
        <v>M 320/ TALANG</v>
      </c>
      <c r="D4815" s="13" t="str">
        <f>IFERROR(__xludf.DUMMYFUNCTION("""COMPUTED_VALUE"""),"ABDEBSAF")</f>
        <v>ABDEBSAF</v>
      </c>
      <c r="E4815" s="14" t="str">
        <f>IFERROR(__xludf.DUMMYFUNCTION("""COMPUTED_VALUE"""),"Heri (BT)")</f>
        <v>Heri (BT)</v>
      </c>
      <c r="F4815" s="14" t="str">
        <f>IFERROR(__xludf.DUMMYFUNCTION("""COMPUTED_VALUE"""),"SELESAI (VIA PERMOHONAN)")</f>
        <v>SELESAI (VIA PERMOHONAN)</v>
      </c>
      <c r="G4815" s="17">
        <f>IFERROR(__xludf.DUMMYFUNCTION("""COMPUTED_VALUE"""),46037.56918634259)</f>
        <v>46037.56919</v>
      </c>
      <c r="H4815" s="14"/>
      <c r="I4815" s="13"/>
      <c r="J4815" s="17" t="str">
        <f>IFERROR(__xludf.DUMMYFUNCTION("""COMPUTED_VALUE"""),"")</f>
        <v/>
      </c>
      <c r="K4815" s="13" t="str">
        <f>IFERROR(__xludf.DUMMYFUNCTION("""COMPUTED_VALUE"""),"BT atau SU Belum Valid")</f>
        <v>BT atau SU Belum Valid</v>
      </c>
      <c r="L4815" s="13" t="str">
        <f>IFERROR(__xludf.DUMMYFUNCTION("""COMPUTED_VALUE"""),"")</f>
        <v/>
      </c>
      <c r="M4815" s="13"/>
      <c r="N4815" s="13" t="str">
        <f>IFERROR(__xludf.DUMMYFUNCTION("""COMPUTED_VALUE"""),"")</f>
        <v/>
      </c>
      <c r="O4815" s="13" t="str">
        <f t="shared" si="1"/>
        <v/>
      </c>
    </row>
    <row r="4816" ht="22.5" customHeight="1">
      <c r="B4816" s="13">
        <f>IFERROR(__xludf.DUMMYFUNCTION("""COMPUTED_VALUE"""),4811.0)</f>
        <v>4811</v>
      </c>
      <c r="C4816" s="13" t="str">
        <f>IFERROR(__xludf.DUMMYFUNCTION("""COMPUTED_VALUE"""),"B.567/Kemiling Permai")</f>
        <v>B.567/Kemiling Permai</v>
      </c>
      <c r="D4816" s="13" t="str">
        <f>IFERROR(__xludf.DUMMYFUNCTION("""COMPUTED_VALUE"""),"ABALNBNV")</f>
        <v>ABALNBNV</v>
      </c>
      <c r="E4816" s="14" t="str">
        <f>IFERROR(__xludf.DUMMYFUNCTION("""COMPUTED_VALUE"""),"Heri (BT)")</f>
        <v>Heri (BT)</v>
      </c>
      <c r="F4816" s="14" t="str">
        <f>IFERROR(__xludf.DUMMYFUNCTION("""COMPUTED_VALUE"""),"SELESAI (VIA PERMOHONAN)")</f>
        <v>SELESAI (VIA PERMOHONAN)</v>
      </c>
      <c r="G4816" s="17">
        <f>IFERROR(__xludf.DUMMYFUNCTION("""COMPUTED_VALUE"""),46041.43655442129)</f>
        <v>46041.43655</v>
      </c>
      <c r="H4816" s="14"/>
      <c r="I4816" s="13"/>
      <c r="J4816" s="17" t="str">
        <f>IFERROR(__xludf.DUMMYFUNCTION("""COMPUTED_VALUE"""),"")</f>
        <v/>
      </c>
      <c r="K4816" s="13" t="str">
        <f>IFERROR(__xludf.DUMMYFUNCTION("""COMPUTED_VALUE"""),"BT atau SU Belum Valid")</f>
        <v>BT atau SU Belum Valid</v>
      </c>
      <c r="L4816" s="13" t="str">
        <f>IFERROR(__xludf.DUMMYFUNCTION("""COMPUTED_VALUE"""),"")</f>
        <v/>
      </c>
      <c r="M4816" s="13"/>
      <c r="N4816" s="13" t="str">
        <f>IFERROR(__xludf.DUMMYFUNCTION("""COMPUTED_VALUE"""),"")</f>
        <v/>
      </c>
      <c r="O4816" s="13" t="str">
        <f t="shared" si="1"/>
        <v/>
      </c>
    </row>
    <row r="4817" ht="22.5" customHeight="1">
      <c r="B4817" s="13">
        <f>IFERROR(__xludf.DUMMYFUNCTION("""COMPUTED_VALUE"""),4812.0)</f>
        <v>4812</v>
      </c>
      <c r="C4817" s="13" t="str">
        <f>IFERROR(__xludf.DUMMYFUNCTION("""COMPUTED_VALUE"""),"M 2305/ BUMI WARAS")</f>
        <v>M 2305/ BUMI WARAS</v>
      </c>
      <c r="D4817" s="13" t="str">
        <f>IFERROR(__xludf.DUMMYFUNCTION("""COMPUTED_VALUE"""),"ABPFHPIC")</f>
        <v>ABPFHPIC</v>
      </c>
      <c r="E4817" s="14" t="str">
        <f>IFERROR(__xludf.DUMMYFUNCTION("""COMPUTED_VALUE"""),"Heri (BT)")</f>
        <v>Heri (BT)</v>
      </c>
      <c r="F4817" s="14" t="str">
        <f>IFERROR(__xludf.DUMMYFUNCTION("""COMPUTED_VALUE"""),"SELESAI (VIA PERMOHONAN)")</f>
        <v>SELESAI (VIA PERMOHONAN)</v>
      </c>
      <c r="G4817" s="17">
        <f>IFERROR(__xludf.DUMMYFUNCTION("""COMPUTED_VALUE"""),46041.43723275463)</f>
        <v>46041.43723</v>
      </c>
      <c r="H4817" s="14"/>
      <c r="I4817" s="13"/>
      <c r="J4817" s="17" t="str">
        <f>IFERROR(__xludf.DUMMYFUNCTION("""COMPUTED_VALUE"""),"")</f>
        <v/>
      </c>
      <c r="K4817" s="13" t="str">
        <f>IFERROR(__xludf.DUMMYFUNCTION("""COMPUTED_VALUE"""),"BT atau SU Belum Valid")</f>
        <v>BT atau SU Belum Valid</v>
      </c>
      <c r="L4817" s="13" t="str">
        <f>IFERROR(__xludf.DUMMYFUNCTION("""COMPUTED_VALUE"""),"")</f>
        <v/>
      </c>
      <c r="M4817" s="13"/>
      <c r="N4817" s="13" t="str">
        <f>IFERROR(__xludf.DUMMYFUNCTION("""COMPUTED_VALUE"""),"")</f>
        <v/>
      </c>
      <c r="O4817" s="13" t="str">
        <f t="shared" si="1"/>
        <v/>
      </c>
    </row>
    <row r="4818" ht="22.5" customHeight="1">
      <c r="B4818" s="13">
        <f>IFERROR(__xludf.DUMMYFUNCTION("""COMPUTED_VALUE"""),4813.0)</f>
        <v>4813</v>
      </c>
      <c r="C4818" s="13" t="str">
        <f>IFERROR(__xludf.DUMMYFUNCTION("""COMPUTED_VALUE"""),"Shm 1247/Sukarame Baru")</f>
        <v>Shm 1247/Sukarame Baru</v>
      </c>
      <c r="D4818" s="13" t="str">
        <f>IFERROR(__xludf.DUMMYFUNCTION("""COMPUTED_VALUE"""),"ABCNDOPD/AB080")</f>
        <v>ABCNDOPD/AB080</v>
      </c>
      <c r="E4818" s="14" t="str">
        <f>IFERROR(__xludf.DUMMYFUNCTION("""COMPUTED_VALUE"""),"Heri (BT)")</f>
        <v>Heri (BT)</v>
      </c>
      <c r="F4818" s="14" t="str">
        <f>IFERROR(__xludf.DUMMYFUNCTION("""COMPUTED_VALUE"""),"SELESAI (VIA PERMOHONAN)")</f>
        <v>SELESAI (VIA PERMOHONAN)</v>
      </c>
      <c r="G4818" s="17">
        <f>IFERROR(__xludf.DUMMYFUNCTION("""COMPUTED_VALUE"""),46041.44852607639)</f>
        <v>46041.44853</v>
      </c>
      <c r="H4818" s="14"/>
      <c r="I4818" s="13"/>
      <c r="J4818" s="17" t="str">
        <f>IFERROR(__xludf.DUMMYFUNCTION("""COMPUTED_VALUE"""),"")</f>
        <v/>
      </c>
      <c r="K4818" s="13" t="str">
        <f>IFERROR(__xludf.DUMMYFUNCTION("""COMPUTED_VALUE"""),"BT atau SU Belum Valid")</f>
        <v>BT atau SU Belum Valid</v>
      </c>
      <c r="L4818" s="13" t="str">
        <f>IFERROR(__xludf.DUMMYFUNCTION("""COMPUTED_VALUE"""),"")</f>
        <v/>
      </c>
      <c r="M4818" s="13"/>
      <c r="N4818" s="13" t="str">
        <f>IFERROR(__xludf.DUMMYFUNCTION("""COMPUTED_VALUE"""),"")</f>
        <v/>
      </c>
      <c r="O4818" s="13" t="str">
        <f t="shared" si="1"/>
        <v/>
      </c>
    </row>
    <row r="4819" ht="22.5" customHeight="1">
      <c r="B4819" s="13">
        <f>IFERROR(__xludf.DUMMYFUNCTION("""COMPUTED_VALUE"""),4814.0)</f>
        <v>4814</v>
      </c>
      <c r="C4819" s="13" t="str">
        <f>IFERROR(__xludf.DUMMYFUNCTION("""COMPUTED_VALUE"""),"Shm 1246/Sukarame Baru")</f>
        <v>Shm 1246/Sukarame Baru</v>
      </c>
      <c r="D4819" s="13" t="str">
        <f>IFERROR(__xludf.DUMMYFUNCTION("""COMPUTED_VALUE"""),"ABLFLORMC/ABO80")</f>
        <v>ABLFLORMC/ABO80</v>
      </c>
      <c r="E4819" s="14" t="str">
        <f>IFERROR(__xludf.DUMMYFUNCTION("""COMPUTED_VALUE"""),"Heri (BT)")</f>
        <v>Heri (BT)</v>
      </c>
      <c r="F4819" s="14" t="str">
        <f>IFERROR(__xludf.DUMMYFUNCTION("""COMPUTED_VALUE"""),"SELESAI (VIA PERMOHONAN)")</f>
        <v>SELESAI (VIA PERMOHONAN)</v>
      </c>
      <c r="G4819" s="17">
        <f>IFERROR(__xludf.DUMMYFUNCTION("""COMPUTED_VALUE"""),46041.44883980324)</f>
        <v>46041.44884</v>
      </c>
      <c r="H4819" s="14"/>
      <c r="I4819" s="13"/>
      <c r="J4819" s="17" t="str">
        <f>IFERROR(__xludf.DUMMYFUNCTION("""COMPUTED_VALUE"""),"")</f>
        <v/>
      </c>
      <c r="K4819" s="13" t="str">
        <f>IFERROR(__xludf.DUMMYFUNCTION("""COMPUTED_VALUE"""),"BT atau SU Belum Valid")</f>
        <v>BT atau SU Belum Valid</v>
      </c>
      <c r="L4819" s="13" t="str">
        <f>IFERROR(__xludf.DUMMYFUNCTION("""COMPUTED_VALUE"""),"")</f>
        <v/>
      </c>
      <c r="M4819" s="13"/>
      <c r="N4819" s="13" t="str">
        <f>IFERROR(__xludf.DUMMYFUNCTION("""COMPUTED_VALUE"""),"")</f>
        <v/>
      </c>
      <c r="O4819" s="13" t="str">
        <f t="shared" si="1"/>
        <v/>
      </c>
    </row>
    <row r="4820" ht="22.5" customHeight="1">
      <c r="B4820" s="13">
        <f>IFERROR(__xludf.DUMMYFUNCTION("""COMPUTED_VALUE"""),4815.0)</f>
        <v>4815</v>
      </c>
      <c r="C4820" s="13" t="str">
        <f>IFERROR(__xludf.DUMMYFUNCTION("""COMPUTED_VALUE"""),"SHGB 0688/Sumber Agung")</f>
        <v>SHGB 0688/Sumber Agung</v>
      </c>
      <c r="D4820" s="13" t="str">
        <f>IFERROR(__xludf.DUMMYFUNCTION("""COMPUTED_VALUE"""),"AB032/ABGCQQFG")</f>
        <v>AB032/ABGCQQFG</v>
      </c>
      <c r="E4820" s="14" t="str">
        <f>IFERROR(__xludf.DUMMYFUNCTION("""COMPUTED_VALUE"""),"Heri (BT)")</f>
        <v>Heri (BT)</v>
      </c>
      <c r="F4820" s="14" t="str">
        <f>IFERROR(__xludf.DUMMYFUNCTION("""COMPUTED_VALUE"""),"SELESAI (VIA PERMOHONAN)")</f>
        <v>SELESAI (VIA PERMOHONAN)</v>
      </c>
      <c r="G4820" s="17">
        <f>IFERROR(__xludf.DUMMYFUNCTION("""COMPUTED_VALUE"""),46041.45152387732)</f>
        <v>46041.45152</v>
      </c>
      <c r="H4820" s="14"/>
      <c r="I4820" s="13"/>
      <c r="J4820" s="17" t="str">
        <f>IFERROR(__xludf.DUMMYFUNCTION("""COMPUTED_VALUE"""),"")</f>
        <v/>
      </c>
      <c r="K4820" s="13" t="str">
        <f>IFERROR(__xludf.DUMMYFUNCTION("""COMPUTED_VALUE"""),"BT atau SU Belum Valid")</f>
        <v>BT atau SU Belum Valid</v>
      </c>
      <c r="L4820" s="13" t="str">
        <f>IFERROR(__xludf.DUMMYFUNCTION("""COMPUTED_VALUE"""),"")</f>
        <v/>
      </c>
      <c r="M4820" s="13"/>
      <c r="N4820" s="13" t="str">
        <f>IFERROR(__xludf.DUMMYFUNCTION("""COMPUTED_VALUE"""),"")</f>
        <v/>
      </c>
      <c r="O4820" s="13" t="str">
        <f t="shared" si="1"/>
        <v/>
      </c>
    </row>
    <row r="4821" ht="22.5" customHeight="1">
      <c r="B4821" s="13">
        <f>IFERROR(__xludf.DUMMYFUNCTION("""COMPUTED_VALUE"""),4816.0)</f>
        <v>4816</v>
      </c>
      <c r="C4821" s="13" t="str">
        <f>IFERROR(__xludf.DUMMYFUNCTION("""COMPUTED_VALUE"""),"SHGB 0676/Sumber Agung")</f>
        <v>SHGB 0676/Sumber Agung</v>
      </c>
      <c r="D4821" s="13" t="str">
        <f>IFERROR(__xludf.DUMMYFUNCTION("""COMPUTED_VALUE"""),"AB032/ABLYKILT")</f>
        <v>AB032/ABLYKILT</v>
      </c>
      <c r="E4821" s="14" t="str">
        <f>IFERROR(__xludf.DUMMYFUNCTION("""COMPUTED_VALUE"""),"Heri (BT)")</f>
        <v>Heri (BT)</v>
      </c>
      <c r="F4821" s="14" t="str">
        <f>IFERROR(__xludf.DUMMYFUNCTION("""COMPUTED_VALUE"""),"SELESAI (VIA PERMOHONAN)")</f>
        <v>SELESAI (VIA PERMOHONAN)</v>
      </c>
      <c r="G4821" s="17">
        <f>IFERROR(__xludf.DUMMYFUNCTION("""COMPUTED_VALUE"""),46041.451549375)</f>
        <v>46041.45155</v>
      </c>
      <c r="H4821" s="14"/>
      <c r="I4821" s="13"/>
      <c r="J4821" s="17" t="str">
        <f>IFERROR(__xludf.DUMMYFUNCTION("""COMPUTED_VALUE"""),"")</f>
        <v/>
      </c>
      <c r="K4821" s="13" t="str">
        <f>IFERROR(__xludf.DUMMYFUNCTION("""COMPUTED_VALUE"""),"BT atau SU Belum Valid")</f>
        <v>BT atau SU Belum Valid</v>
      </c>
      <c r="L4821" s="13" t="str">
        <f>IFERROR(__xludf.DUMMYFUNCTION("""COMPUTED_VALUE"""),"")</f>
        <v/>
      </c>
      <c r="M4821" s="13"/>
      <c r="N4821" s="13" t="str">
        <f>IFERROR(__xludf.DUMMYFUNCTION("""COMPUTED_VALUE"""),"")</f>
        <v/>
      </c>
      <c r="O4821" s="13" t="str">
        <f t="shared" si="1"/>
        <v/>
      </c>
    </row>
    <row r="4822" ht="22.5" customHeight="1">
      <c r="B4822" s="13">
        <f>IFERROR(__xludf.DUMMYFUNCTION("""COMPUTED_VALUE"""),4817.0)</f>
        <v>4817</v>
      </c>
      <c r="C4822" s="13" t="str">
        <f>IFERROR(__xludf.DUMMYFUNCTION("""COMPUTED_VALUE"""),"M 01134/RAJABASA PEMUKA")</f>
        <v>M 01134/RAJABASA PEMUKA</v>
      </c>
      <c r="D4822" s="13" t="str">
        <f>IFERROR(__xludf.DUMMYFUNCTION("""COMPUTED_VALUE"""),"ABXVHIMB")</f>
        <v>ABXVHIMB</v>
      </c>
      <c r="E4822" s="14" t="str">
        <f>IFERROR(__xludf.DUMMYFUNCTION("""COMPUTED_VALUE"""),"Heri (BT)")</f>
        <v>Heri (BT)</v>
      </c>
      <c r="F4822" s="14" t="str">
        <f>IFERROR(__xludf.DUMMYFUNCTION("""COMPUTED_VALUE"""),"SELESAI (VIA PERMOHONAN)")</f>
        <v>SELESAI (VIA PERMOHONAN)</v>
      </c>
      <c r="G4822" s="17">
        <f>IFERROR(__xludf.DUMMYFUNCTION("""COMPUTED_VALUE"""),46041.45212076389)</f>
        <v>46041.45212</v>
      </c>
      <c r="H4822" s="14"/>
      <c r="I4822" s="13"/>
      <c r="J4822" s="17" t="str">
        <f>IFERROR(__xludf.DUMMYFUNCTION("""COMPUTED_VALUE"""),"")</f>
        <v/>
      </c>
      <c r="K4822" s="13" t="str">
        <f>IFERROR(__xludf.DUMMYFUNCTION("""COMPUTED_VALUE"""),"BT atau SU Belum Valid")</f>
        <v>BT atau SU Belum Valid</v>
      </c>
      <c r="L4822" s="13" t="str">
        <f>IFERROR(__xludf.DUMMYFUNCTION("""COMPUTED_VALUE"""),"")</f>
        <v/>
      </c>
      <c r="M4822" s="13"/>
      <c r="N4822" s="13" t="str">
        <f>IFERROR(__xludf.DUMMYFUNCTION("""COMPUTED_VALUE"""),"")</f>
        <v/>
      </c>
      <c r="O4822" s="13" t="str">
        <f t="shared" si="1"/>
        <v/>
      </c>
    </row>
    <row r="4823" ht="22.5" customHeight="1">
      <c r="B4823" s="13">
        <f>IFERROR(__xludf.DUMMYFUNCTION("""COMPUTED_VALUE"""),4818.0)</f>
        <v>4818</v>
      </c>
      <c r="C4823" s="13" t="str">
        <f>IFERROR(__xludf.DUMMYFUNCTION("""COMPUTED_VALUE"""),"M. 18136/SUKARAME")</f>
        <v>M. 18136/SUKARAME</v>
      </c>
      <c r="D4823" s="13" t="str">
        <f>IFERROR(__xludf.DUMMYFUNCTION("""COMPUTED_VALUE"""),"K/32/160925/2")</f>
        <v>K/32/160925/2</v>
      </c>
      <c r="E4823" s="14" t="str">
        <f>IFERROR(__xludf.DUMMYFUNCTION("""COMPUTED_VALUE"""),"Heri (BT)")</f>
        <v>Heri (BT)</v>
      </c>
      <c r="F4823" s="14" t="str">
        <f>IFERROR(__xludf.DUMMYFUNCTION("""COMPUTED_VALUE"""),"SELESAI (VIA PERMOHONAN)")</f>
        <v>SELESAI (VIA PERMOHONAN)</v>
      </c>
      <c r="G4823" s="17">
        <f>IFERROR(__xludf.DUMMYFUNCTION("""COMPUTED_VALUE"""),46042.6797599537)</f>
        <v>46042.67976</v>
      </c>
      <c r="H4823" s="14"/>
      <c r="I4823" s="13"/>
      <c r="J4823" s="17" t="str">
        <f>IFERROR(__xludf.DUMMYFUNCTION("""COMPUTED_VALUE"""),"")</f>
        <v/>
      </c>
      <c r="K4823" s="13" t="str">
        <f>IFERROR(__xludf.DUMMYFUNCTION("""COMPUTED_VALUE"""),"BT atau SU Belum Valid")</f>
        <v>BT atau SU Belum Valid</v>
      </c>
      <c r="L4823" s="13" t="str">
        <f>IFERROR(__xludf.DUMMYFUNCTION("""COMPUTED_VALUE"""),"")</f>
        <v/>
      </c>
      <c r="M4823" s="13"/>
      <c r="N4823" s="13" t="str">
        <f>IFERROR(__xludf.DUMMYFUNCTION("""COMPUTED_VALUE"""),"")</f>
        <v/>
      </c>
      <c r="O4823" s="13" t="str">
        <f t="shared" si="1"/>
        <v/>
      </c>
    </row>
    <row r="4824" ht="22.5" customHeight="1">
      <c r="B4824" s="13">
        <f>IFERROR(__xludf.DUMMYFUNCTION("""COMPUTED_VALUE"""),4819.0)</f>
        <v>4819</v>
      </c>
      <c r="C4824" s="13" t="str">
        <f>IFERROR(__xludf.DUMMYFUNCTION("""COMPUTED_VALUE"""),"M. 408 &amp; 409 / SUKARAME BARU")</f>
        <v>M. 408 &amp; 409 / SUKARAME BARU</v>
      </c>
      <c r="D4824" s="13" t="str">
        <f>IFERROR(__xludf.DUMMYFUNCTION("""COMPUTED_VALUE"""),"K/25/101025/1")</f>
        <v>K/25/101025/1</v>
      </c>
      <c r="E4824" s="14" t="str">
        <f>IFERROR(__xludf.DUMMYFUNCTION("""COMPUTED_VALUE"""),"Heri (BT)")</f>
        <v>Heri (BT)</v>
      </c>
      <c r="F4824" s="14" t="str">
        <f>IFERROR(__xludf.DUMMYFUNCTION("""COMPUTED_VALUE"""),"SELESAI (VIA PERMOHONAN)")</f>
        <v>SELESAI (VIA PERMOHONAN)</v>
      </c>
      <c r="G4824" s="17">
        <f>IFERROR(__xludf.DUMMYFUNCTION("""COMPUTED_VALUE"""),46042.682421840276)</f>
        <v>46042.68242</v>
      </c>
      <c r="H4824" s="14"/>
      <c r="I4824" s="13"/>
      <c r="J4824" s="17" t="str">
        <f>IFERROR(__xludf.DUMMYFUNCTION("""COMPUTED_VALUE"""),"")</f>
        <v/>
      </c>
      <c r="K4824" s="13" t="str">
        <f>IFERROR(__xludf.DUMMYFUNCTION("""COMPUTED_VALUE"""),"BT atau SU Belum Valid")</f>
        <v>BT atau SU Belum Valid</v>
      </c>
      <c r="L4824" s="13" t="str">
        <f>IFERROR(__xludf.DUMMYFUNCTION("""COMPUTED_VALUE"""),"")</f>
        <v/>
      </c>
      <c r="M4824" s="13"/>
      <c r="N4824" s="13" t="str">
        <f>IFERROR(__xludf.DUMMYFUNCTION("""COMPUTED_VALUE"""),"")</f>
        <v/>
      </c>
      <c r="O4824" s="13" t="str">
        <f t="shared" si="1"/>
        <v/>
      </c>
    </row>
    <row r="4825" ht="22.5" customHeight="1">
      <c r="B4825" s="13">
        <f>IFERROR(__xludf.DUMMYFUNCTION("""COMPUTED_VALUE"""),4820.0)</f>
        <v>4820</v>
      </c>
      <c r="C4825" s="13" t="str">
        <f>IFERROR(__xludf.DUMMYFUNCTION("""COMPUTED_VALUE"""),"M. 1873/ Gedong AIr")</f>
        <v>M. 1873/ Gedong AIr</v>
      </c>
      <c r="D4825" s="13" t="str">
        <f>IFERROR(__xludf.DUMMYFUNCTION("""COMPUTED_VALUE"""),"K/24/180325/1")</f>
        <v>K/24/180325/1</v>
      </c>
      <c r="E4825" s="14" t="str">
        <f>IFERROR(__xludf.DUMMYFUNCTION("""COMPUTED_VALUE"""),"Heri (BT)")</f>
        <v>Heri (BT)</v>
      </c>
      <c r="F4825" s="14" t="str">
        <f>IFERROR(__xludf.DUMMYFUNCTION("""COMPUTED_VALUE"""),"SELESAI (VIA PERMOHONAN)")</f>
        <v>SELESAI (VIA PERMOHONAN)</v>
      </c>
      <c r="G4825" s="17">
        <f>IFERROR(__xludf.DUMMYFUNCTION("""COMPUTED_VALUE"""),46042.68265162037)</f>
        <v>46042.68265</v>
      </c>
      <c r="H4825" s="14"/>
      <c r="I4825" s="13"/>
      <c r="J4825" s="17" t="str">
        <f>IFERROR(__xludf.DUMMYFUNCTION("""COMPUTED_VALUE"""),"")</f>
        <v/>
      </c>
      <c r="K4825" s="13" t="str">
        <f>IFERROR(__xludf.DUMMYFUNCTION("""COMPUTED_VALUE"""),"BT atau SU Belum Valid")</f>
        <v>BT atau SU Belum Valid</v>
      </c>
      <c r="L4825" s="13" t="str">
        <f>IFERROR(__xludf.DUMMYFUNCTION("""COMPUTED_VALUE"""),"")</f>
        <v/>
      </c>
      <c r="M4825" s="13"/>
      <c r="N4825" s="13" t="str">
        <f>IFERROR(__xludf.DUMMYFUNCTION("""COMPUTED_VALUE"""),"")</f>
        <v/>
      </c>
      <c r="O4825" s="13" t="str">
        <f t="shared" si="1"/>
        <v/>
      </c>
    </row>
    <row r="4826" ht="22.5" customHeight="1">
      <c r="B4826" s="13">
        <f>IFERROR(__xludf.DUMMYFUNCTION("""COMPUTED_VALUE"""),4821.0)</f>
        <v>4821</v>
      </c>
      <c r="C4826" s="13" t="str">
        <f>IFERROR(__xludf.DUMMYFUNCTION("""COMPUTED_VALUE"""),"M 9272/ SIDODADI")</f>
        <v>M 9272/ SIDODADI</v>
      </c>
      <c r="D4826" s="13" t="str">
        <f>IFERROR(__xludf.DUMMYFUNCTION("""COMPUTED_VALUE"""),"K/21/230925/3")</f>
        <v>K/21/230925/3</v>
      </c>
      <c r="E4826" s="14" t="str">
        <f>IFERROR(__xludf.DUMMYFUNCTION("""COMPUTED_VALUE"""),"Heri (BT)")</f>
        <v>Heri (BT)</v>
      </c>
      <c r="F4826" s="14" t="str">
        <f>IFERROR(__xludf.DUMMYFUNCTION("""COMPUTED_VALUE"""),"SELESAI (VIA PERMOHONAN)")</f>
        <v>SELESAI (VIA PERMOHONAN)</v>
      </c>
      <c r="G4826" s="17">
        <f>IFERROR(__xludf.DUMMYFUNCTION("""COMPUTED_VALUE"""),46043.49450659722)</f>
        <v>46043.49451</v>
      </c>
      <c r="H4826" s="14"/>
      <c r="I4826" s="13"/>
      <c r="J4826" s="17" t="str">
        <f>IFERROR(__xludf.DUMMYFUNCTION("""COMPUTED_VALUE"""),"")</f>
        <v/>
      </c>
      <c r="K4826" s="13" t="str">
        <f>IFERROR(__xludf.DUMMYFUNCTION("""COMPUTED_VALUE"""),"BT atau SU Belum Valid")</f>
        <v>BT atau SU Belum Valid</v>
      </c>
      <c r="L4826" s="13" t="str">
        <f>IFERROR(__xludf.DUMMYFUNCTION("""COMPUTED_VALUE"""),"")</f>
        <v/>
      </c>
      <c r="M4826" s="13"/>
      <c r="N4826" s="13" t="str">
        <f>IFERROR(__xludf.DUMMYFUNCTION("""COMPUTED_VALUE"""),"")</f>
        <v/>
      </c>
      <c r="O4826" s="13" t="str">
        <f t="shared" si="1"/>
        <v/>
      </c>
    </row>
    <row r="4827" ht="22.5" customHeight="1">
      <c r="B4827" s="13">
        <f>IFERROR(__xludf.DUMMYFUNCTION("""COMPUTED_VALUE"""),4822.0)</f>
        <v>4822</v>
      </c>
      <c r="C4827" s="13" t="str">
        <f>IFERROR(__xludf.DUMMYFUNCTION("""COMPUTED_VALUE"""),"14438/ Sukarame")</f>
        <v>14438/ Sukarame</v>
      </c>
      <c r="D4827" s="13" t="str">
        <f>IFERROR(__xludf.DUMMYFUNCTION("""COMPUTED_VALUE"""),"ABWNXLVG/1")</f>
        <v>ABWNXLVG/1</v>
      </c>
      <c r="E4827" s="14" t="str">
        <f>IFERROR(__xludf.DUMMYFUNCTION("""COMPUTED_VALUE"""),"Heri (BT)")</f>
        <v>Heri (BT)</v>
      </c>
      <c r="F4827" s="14" t="str">
        <f>IFERROR(__xludf.DUMMYFUNCTION("""COMPUTED_VALUE"""),"SELESAI (VIA PERMOHONAN)")</f>
        <v>SELESAI (VIA PERMOHONAN)</v>
      </c>
      <c r="G4827" s="17">
        <f>IFERROR(__xludf.DUMMYFUNCTION("""COMPUTED_VALUE"""),46044.45515599537)</f>
        <v>46044.45516</v>
      </c>
      <c r="H4827" s="14"/>
      <c r="I4827" s="13"/>
      <c r="J4827" s="17" t="str">
        <f>IFERROR(__xludf.DUMMYFUNCTION("""COMPUTED_VALUE"""),"")</f>
        <v/>
      </c>
      <c r="K4827" s="13" t="str">
        <f>IFERROR(__xludf.DUMMYFUNCTION("""COMPUTED_VALUE"""),"BT atau SU Belum Valid")</f>
        <v>BT atau SU Belum Valid</v>
      </c>
      <c r="L4827" s="13" t="str">
        <f>IFERROR(__xludf.DUMMYFUNCTION("""COMPUTED_VALUE"""),"")</f>
        <v/>
      </c>
      <c r="M4827" s="13"/>
      <c r="N4827" s="13" t="str">
        <f>IFERROR(__xludf.DUMMYFUNCTION("""COMPUTED_VALUE"""),"")</f>
        <v/>
      </c>
      <c r="O4827" s="13" t="str">
        <f t="shared" si="1"/>
        <v/>
      </c>
    </row>
    <row r="4828" ht="22.5" customHeight="1">
      <c r="B4828" s="13">
        <f>IFERROR(__xludf.DUMMYFUNCTION("""COMPUTED_VALUE"""),4823.0)</f>
        <v>4823</v>
      </c>
      <c r="C4828" s="13">
        <f>IFERROR(__xludf.DUMMYFUNCTION("""COMPUTED_VALUE"""),6636.0)</f>
        <v>6636</v>
      </c>
      <c r="D4828" s="13" t="str">
        <f>IFERROR(__xludf.DUMMYFUNCTION("""COMPUTED_VALUE"""),"Abcyiadj")</f>
        <v>Abcyiadj</v>
      </c>
      <c r="E4828" s="14" t="str">
        <f>IFERROR(__xludf.DUMMYFUNCTION("""COMPUTED_VALUE"""),"Heri (BT)")</f>
        <v>Heri (BT)</v>
      </c>
      <c r="F4828" s="14" t="str">
        <f>IFERROR(__xludf.DUMMYFUNCTION("""COMPUTED_VALUE"""),"SELESAI (VIA PERMOHONAN)")</f>
        <v>SELESAI (VIA PERMOHONAN)</v>
      </c>
      <c r="G4828" s="17">
        <f>IFERROR(__xludf.DUMMYFUNCTION("""COMPUTED_VALUE"""),46044.45769502315)</f>
        <v>46044.4577</v>
      </c>
      <c r="H4828" s="14"/>
      <c r="I4828" s="13"/>
      <c r="J4828" s="17" t="str">
        <f>IFERROR(__xludf.DUMMYFUNCTION("""COMPUTED_VALUE"""),"")</f>
        <v/>
      </c>
      <c r="K4828" s="13" t="str">
        <f>IFERROR(__xludf.DUMMYFUNCTION("""COMPUTED_VALUE"""),"BT atau SU Belum Valid")</f>
        <v>BT atau SU Belum Valid</v>
      </c>
      <c r="L4828" s="13" t="str">
        <f>IFERROR(__xludf.DUMMYFUNCTION("""COMPUTED_VALUE"""),"")</f>
        <v/>
      </c>
      <c r="M4828" s="13"/>
      <c r="N4828" s="13" t="str">
        <f>IFERROR(__xludf.DUMMYFUNCTION("""COMPUTED_VALUE"""),"")</f>
        <v/>
      </c>
      <c r="O4828" s="13" t="str">
        <f t="shared" si="1"/>
        <v/>
      </c>
    </row>
    <row r="4829" ht="22.5" customHeight="1">
      <c r="B4829" s="13">
        <f>IFERROR(__xludf.DUMMYFUNCTION("""COMPUTED_VALUE"""),4824.0)</f>
        <v>4824</v>
      </c>
      <c r="C4829" s="13">
        <f>IFERROR(__xludf.DUMMYFUNCTION("""COMPUTED_VALUE"""),6645.0)</f>
        <v>6645</v>
      </c>
      <c r="D4829" s="13" t="str">
        <f>IFERROR(__xludf.DUMMYFUNCTION("""COMPUTED_VALUE"""),"Ablhveky")</f>
        <v>Ablhveky</v>
      </c>
      <c r="E4829" s="14" t="str">
        <f>IFERROR(__xludf.DUMMYFUNCTION("""COMPUTED_VALUE"""),"Heri (BT)")</f>
        <v>Heri (BT)</v>
      </c>
      <c r="F4829" s="14" t="str">
        <f>IFERROR(__xludf.DUMMYFUNCTION("""COMPUTED_VALUE"""),"SELESAI (VIA PERMOHONAN)")</f>
        <v>SELESAI (VIA PERMOHONAN)</v>
      </c>
      <c r="G4829" s="17">
        <f>IFERROR(__xludf.DUMMYFUNCTION("""COMPUTED_VALUE"""),46044.46374011574)</f>
        <v>46044.46374</v>
      </c>
      <c r="H4829" s="14"/>
      <c r="I4829" s="13"/>
      <c r="J4829" s="17" t="str">
        <f>IFERROR(__xludf.DUMMYFUNCTION("""COMPUTED_VALUE"""),"")</f>
        <v/>
      </c>
      <c r="K4829" s="13" t="str">
        <f>IFERROR(__xludf.DUMMYFUNCTION("""COMPUTED_VALUE"""),"BT atau SU Belum Valid")</f>
        <v>BT atau SU Belum Valid</v>
      </c>
      <c r="L4829" s="13" t="str">
        <f>IFERROR(__xludf.DUMMYFUNCTION("""COMPUTED_VALUE"""),"")</f>
        <v/>
      </c>
      <c r="M4829" s="13"/>
      <c r="N4829" s="13" t="str">
        <f>IFERROR(__xludf.DUMMYFUNCTION("""COMPUTED_VALUE"""),"")</f>
        <v/>
      </c>
      <c r="O4829" s="13" t="str">
        <f t="shared" si="1"/>
        <v/>
      </c>
    </row>
    <row r="4830" ht="22.5" customHeight="1">
      <c r="B4830" s="13">
        <f>IFERROR(__xludf.DUMMYFUNCTION("""COMPUTED_VALUE"""),4825.0)</f>
        <v>4825</v>
      </c>
      <c r="C4830" s="13" t="str">
        <f>IFERROR(__xludf.DUMMYFUNCTION("""COMPUTED_VALUE"""),"450/Nusantara Permai")</f>
        <v>450/Nusantara Permai</v>
      </c>
      <c r="D4830" s="13" t="str">
        <f>IFERROR(__xludf.DUMMYFUNCTION("""COMPUTED_VALUE"""),"ABXWJBMO")</f>
        <v>ABXWJBMO</v>
      </c>
      <c r="E4830" s="14" t="str">
        <f>IFERROR(__xludf.DUMMYFUNCTION("""COMPUTED_VALUE"""),"Heri (BT)")</f>
        <v>Heri (BT)</v>
      </c>
      <c r="F4830" s="14" t="str">
        <f>IFERROR(__xludf.DUMMYFUNCTION("""COMPUTED_VALUE"""),"SELESAI (VIA PERMOHONAN)")</f>
        <v>SELESAI (VIA PERMOHONAN)</v>
      </c>
      <c r="G4830" s="17">
        <f>IFERROR(__xludf.DUMMYFUNCTION("""COMPUTED_VALUE"""),46044.4637522338)</f>
        <v>46044.46375</v>
      </c>
      <c r="H4830" s="14"/>
      <c r="I4830" s="13"/>
      <c r="J4830" s="17" t="str">
        <f>IFERROR(__xludf.DUMMYFUNCTION("""COMPUTED_VALUE"""),"")</f>
        <v/>
      </c>
      <c r="K4830" s="13" t="str">
        <f>IFERROR(__xludf.DUMMYFUNCTION("""COMPUTED_VALUE"""),"BT atau SU Belum Valid")</f>
        <v>BT atau SU Belum Valid</v>
      </c>
      <c r="L4830" s="13" t="str">
        <f>IFERROR(__xludf.DUMMYFUNCTION("""COMPUTED_VALUE"""),"")</f>
        <v/>
      </c>
      <c r="M4830" s="13"/>
      <c r="N4830" s="13" t="str">
        <f>IFERROR(__xludf.DUMMYFUNCTION("""COMPUTED_VALUE"""),"")</f>
        <v/>
      </c>
      <c r="O4830" s="13" t="str">
        <f t="shared" si="1"/>
        <v/>
      </c>
    </row>
    <row r="4831" ht="22.5" customHeight="1">
      <c r="B4831" s="13">
        <f>IFERROR(__xludf.DUMMYFUNCTION("""COMPUTED_VALUE"""),4826.0)</f>
        <v>4826</v>
      </c>
      <c r="C4831" s="13" t="str">
        <f>IFERROR(__xludf.DUMMYFUNCTION("""COMPUTED_VALUE"""),"M. 1122/sumber agung")</f>
        <v>M. 1122/sumber agung</v>
      </c>
      <c r="D4831" s="13" t="str">
        <f>IFERROR(__xludf.DUMMYFUNCTION("""COMPUTED_VALUE"""),"AB088/ABYPMGQQ")</f>
        <v>AB088/ABYPMGQQ</v>
      </c>
      <c r="E4831" s="14" t="str">
        <f>IFERROR(__xludf.DUMMYFUNCTION("""COMPUTED_VALUE"""),"Heri (BT)")</f>
        <v>Heri (BT)</v>
      </c>
      <c r="F4831" s="14" t="str">
        <f>IFERROR(__xludf.DUMMYFUNCTION("""COMPUTED_VALUE"""),"SELESAI (VIA PERMOHONAN)")</f>
        <v>SELESAI (VIA PERMOHONAN)</v>
      </c>
      <c r="G4831" s="17">
        <f>IFERROR(__xludf.DUMMYFUNCTION("""COMPUTED_VALUE"""),46044.46376478009)</f>
        <v>46044.46376</v>
      </c>
      <c r="H4831" s="14"/>
      <c r="I4831" s="13"/>
      <c r="J4831" s="17" t="str">
        <f>IFERROR(__xludf.DUMMYFUNCTION("""COMPUTED_VALUE"""),"")</f>
        <v/>
      </c>
      <c r="K4831" s="13" t="str">
        <f>IFERROR(__xludf.DUMMYFUNCTION("""COMPUTED_VALUE"""),"BT atau SU Belum Valid")</f>
        <v>BT atau SU Belum Valid</v>
      </c>
      <c r="L4831" s="13" t="str">
        <f>IFERROR(__xludf.DUMMYFUNCTION("""COMPUTED_VALUE"""),"")</f>
        <v/>
      </c>
      <c r="M4831" s="13"/>
      <c r="N4831" s="13" t="str">
        <f>IFERROR(__xludf.DUMMYFUNCTION("""COMPUTED_VALUE"""),"")</f>
        <v/>
      </c>
      <c r="O4831" s="13" t="str">
        <f t="shared" si="1"/>
        <v/>
      </c>
    </row>
    <row r="4832" ht="22.5" customHeight="1">
      <c r="B4832" s="13">
        <f>IFERROR(__xludf.DUMMYFUNCTION("""COMPUTED_VALUE"""),4827.0)</f>
        <v>4827</v>
      </c>
      <c r="C4832" s="13" t="str">
        <f>IFERROR(__xludf.DUMMYFUNCTION("""COMPUTED_VALUE"""),"m 1767/ sumber agung")</f>
        <v>m 1767/ sumber agung</v>
      </c>
      <c r="D4832" s="13" t="str">
        <f>IFERROR(__xludf.DUMMYFUNCTION("""COMPUTED_VALUE"""),"ABYXVJAS")</f>
        <v>ABYXVJAS</v>
      </c>
      <c r="E4832" s="14" t="str">
        <f>IFERROR(__xludf.DUMMYFUNCTION("""COMPUTED_VALUE"""),"Heri (BT)")</f>
        <v>Heri (BT)</v>
      </c>
      <c r="F4832" s="14" t="str">
        <f>IFERROR(__xludf.DUMMYFUNCTION("""COMPUTED_VALUE"""),"SELESAI (VIA PERMOHONAN)")</f>
        <v>SELESAI (VIA PERMOHONAN)</v>
      </c>
      <c r="G4832" s="17">
        <f>IFERROR(__xludf.DUMMYFUNCTION("""COMPUTED_VALUE"""),46044.46377769676)</f>
        <v>46044.46378</v>
      </c>
      <c r="H4832" s="14"/>
      <c r="I4832" s="13"/>
      <c r="J4832" s="17" t="str">
        <f>IFERROR(__xludf.DUMMYFUNCTION("""COMPUTED_VALUE"""),"")</f>
        <v/>
      </c>
      <c r="K4832" s="13" t="str">
        <f>IFERROR(__xludf.DUMMYFUNCTION("""COMPUTED_VALUE"""),"BT atau SU Belum Valid")</f>
        <v>BT atau SU Belum Valid</v>
      </c>
      <c r="L4832" s="13" t="str">
        <f>IFERROR(__xludf.DUMMYFUNCTION("""COMPUTED_VALUE"""),"")</f>
        <v/>
      </c>
      <c r="M4832" s="13"/>
      <c r="N4832" s="13" t="str">
        <f>IFERROR(__xludf.DUMMYFUNCTION("""COMPUTED_VALUE"""),"")</f>
        <v/>
      </c>
      <c r="O4832" s="13" t="str">
        <f t="shared" si="1"/>
        <v/>
      </c>
    </row>
    <row r="4833" ht="22.5" customHeight="1">
      <c r="B4833" s="13">
        <f>IFERROR(__xludf.DUMMYFUNCTION("""COMPUTED_VALUE"""),4828.0)</f>
        <v>4828</v>
      </c>
      <c r="C4833" s="13" t="str">
        <f>IFERROR(__xludf.DUMMYFUNCTION("""COMPUTED_VALUE"""),"M.10272/Kampung Baru")</f>
        <v>M.10272/Kampung Baru</v>
      </c>
      <c r="D4833" s="13" t="str">
        <f>IFERROR(__xludf.DUMMYFUNCTION("""COMPUTED_VALUE"""),"AB078/ABEYNAJD")</f>
        <v>AB078/ABEYNAJD</v>
      </c>
      <c r="E4833" s="14" t="str">
        <f>IFERROR(__xludf.DUMMYFUNCTION("""COMPUTED_VALUE"""),"Heri (BT)")</f>
        <v>Heri (BT)</v>
      </c>
      <c r="F4833" s="14" t="str">
        <f>IFERROR(__xludf.DUMMYFUNCTION("""COMPUTED_VALUE"""),"SELESAI (VIA PERMOHONAN)")</f>
        <v>SELESAI (VIA PERMOHONAN)</v>
      </c>
      <c r="G4833" s="17">
        <f>IFERROR(__xludf.DUMMYFUNCTION("""COMPUTED_VALUE"""),46044.463794282405)</f>
        <v>46044.46379</v>
      </c>
      <c r="H4833" s="14"/>
      <c r="I4833" s="13"/>
      <c r="J4833" s="17" t="str">
        <f>IFERROR(__xludf.DUMMYFUNCTION("""COMPUTED_VALUE"""),"")</f>
        <v/>
      </c>
      <c r="K4833" s="13" t="str">
        <f>IFERROR(__xludf.DUMMYFUNCTION("""COMPUTED_VALUE"""),"BT atau SU Belum Valid")</f>
        <v>BT atau SU Belum Valid</v>
      </c>
      <c r="L4833" s="13" t="str">
        <f>IFERROR(__xludf.DUMMYFUNCTION("""COMPUTED_VALUE"""),"")</f>
        <v/>
      </c>
      <c r="M4833" s="13"/>
      <c r="N4833" s="13" t="str">
        <f>IFERROR(__xludf.DUMMYFUNCTION("""COMPUTED_VALUE"""),"")</f>
        <v/>
      </c>
      <c r="O4833" s="13" t="str">
        <f t="shared" si="1"/>
        <v/>
      </c>
    </row>
    <row r="4834" ht="22.5" customHeight="1">
      <c r="B4834" s="13">
        <f>IFERROR(__xludf.DUMMYFUNCTION("""COMPUTED_VALUE"""),4829.0)</f>
        <v>4829</v>
      </c>
      <c r="C4834" s="13" t="str">
        <f>IFERROR(__xludf.DUMMYFUNCTION("""COMPUTED_VALUE"""),"M. 1422/SEPANG JAYA")</f>
        <v>M. 1422/SEPANG JAYA</v>
      </c>
      <c r="D4834" s="13" t="str">
        <f>IFERROR(__xludf.DUMMYFUNCTION("""COMPUTED_VALUE"""),"K/21/120625/1")</f>
        <v>K/21/120625/1</v>
      </c>
      <c r="E4834" s="14" t="str">
        <f>IFERROR(__xludf.DUMMYFUNCTION("""COMPUTED_VALUE"""),"Heri (BT)")</f>
        <v>Heri (BT)</v>
      </c>
      <c r="F4834" s="14" t="str">
        <f>IFERROR(__xludf.DUMMYFUNCTION("""COMPUTED_VALUE"""),"SELESAI (VIA PERMOHONAN)")</f>
        <v>SELESAI (VIA PERMOHONAN)</v>
      </c>
      <c r="G4834" s="17">
        <f>IFERROR(__xludf.DUMMYFUNCTION("""COMPUTED_VALUE"""),46048.432329884265)</f>
        <v>46048.43233</v>
      </c>
      <c r="H4834" s="14"/>
      <c r="I4834" s="13"/>
      <c r="J4834" s="17" t="str">
        <f>IFERROR(__xludf.DUMMYFUNCTION("""COMPUTED_VALUE"""),"")</f>
        <v/>
      </c>
      <c r="K4834" s="13" t="str">
        <f>IFERROR(__xludf.DUMMYFUNCTION("""COMPUTED_VALUE"""),"BT atau SU Belum Valid")</f>
        <v>BT atau SU Belum Valid</v>
      </c>
      <c r="L4834" s="13" t="str">
        <f>IFERROR(__xludf.DUMMYFUNCTION("""COMPUTED_VALUE"""),"")</f>
        <v/>
      </c>
      <c r="M4834" s="13"/>
      <c r="N4834" s="13" t="str">
        <f>IFERROR(__xludf.DUMMYFUNCTION("""COMPUTED_VALUE"""),"")</f>
        <v/>
      </c>
      <c r="O4834" s="13" t="str">
        <f t="shared" si="1"/>
        <v/>
      </c>
    </row>
    <row r="4835" ht="22.5" customHeight="1">
      <c r="B4835" s="13">
        <f>IFERROR(__xludf.DUMMYFUNCTION("""COMPUTED_VALUE"""),4830.0)</f>
        <v>4830</v>
      </c>
      <c r="C4835" s="13" t="str">
        <f>IFERROR(__xludf.DUMMYFUNCTION("""COMPUTED_VALUE"""),"M. 1778/LABUHAN RATU RAYA")</f>
        <v>M. 1778/LABUHAN RATU RAYA</v>
      </c>
      <c r="D4835" s="13" t="str">
        <f>IFERROR(__xludf.DUMMYFUNCTION("""COMPUTED_VALUE"""),"L/14/101125/1")</f>
        <v>L/14/101125/1</v>
      </c>
      <c r="E4835" s="14" t="str">
        <f>IFERROR(__xludf.DUMMYFUNCTION("""COMPUTED_VALUE"""),"Heri (BT)")</f>
        <v>Heri (BT)</v>
      </c>
      <c r="F4835" s="14" t="str">
        <f>IFERROR(__xludf.DUMMYFUNCTION("""COMPUTED_VALUE"""),"SELESAI (VIA PERMOHONAN)")</f>
        <v>SELESAI (VIA PERMOHONAN)</v>
      </c>
      <c r="G4835" s="17">
        <f>IFERROR(__xludf.DUMMYFUNCTION("""COMPUTED_VALUE"""),46048.433969143516)</f>
        <v>46048.43397</v>
      </c>
      <c r="H4835" s="14"/>
      <c r="I4835" s="13"/>
      <c r="J4835" s="17" t="str">
        <f>IFERROR(__xludf.DUMMYFUNCTION("""COMPUTED_VALUE"""),"")</f>
        <v/>
      </c>
      <c r="K4835" s="13" t="str">
        <f>IFERROR(__xludf.DUMMYFUNCTION("""COMPUTED_VALUE"""),"BT atau SU Belum Valid")</f>
        <v>BT atau SU Belum Valid</v>
      </c>
      <c r="L4835" s="13" t="str">
        <f>IFERROR(__xludf.DUMMYFUNCTION("""COMPUTED_VALUE"""),"")</f>
        <v/>
      </c>
      <c r="M4835" s="13"/>
      <c r="N4835" s="13" t="str">
        <f>IFERROR(__xludf.DUMMYFUNCTION("""COMPUTED_VALUE"""),"")</f>
        <v/>
      </c>
      <c r="O4835" s="13" t="str">
        <f t="shared" si="1"/>
        <v/>
      </c>
    </row>
    <row r="4836" ht="22.5" customHeight="1">
      <c r="B4836" s="13">
        <f>IFERROR(__xludf.DUMMYFUNCTION("""COMPUTED_VALUE"""),4831.0)</f>
        <v>4831</v>
      </c>
      <c r="C4836" s="13" t="str">
        <f>IFERROR(__xludf.DUMMYFUNCTION("""COMPUTED_VALUE"""),"2514/Kemiling Permai")</f>
        <v>2514/Kemiling Permai</v>
      </c>
      <c r="D4836" s="13" t="str">
        <f>IFERROR(__xludf.DUMMYFUNCTION("""COMPUTED_VALUE"""),"ABRLLZBS")</f>
        <v>ABRLLZBS</v>
      </c>
      <c r="E4836" s="14" t="str">
        <f>IFERROR(__xludf.DUMMYFUNCTION("""COMPUTED_VALUE"""),"Heri (BT)")</f>
        <v>Heri (BT)</v>
      </c>
      <c r="F4836" s="14" t="str">
        <f>IFERROR(__xludf.DUMMYFUNCTION("""COMPUTED_VALUE"""),"SELESAI (VIA PERMOHONAN)")</f>
        <v>SELESAI (VIA PERMOHONAN)</v>
      </c>
      <c r="G4836" s="17">
        <f>IFERROR(__xludf.DUMMYFUNCTION("""COMPUTED_VALUE"""),46049.465920358794)</f>
        <v>46049.46592</v>
      </c>
      <c r="H4836" s="14"/>
      <c r="I4836" s="13"/>
      <c r="J4836" s="17" t="str">
        <f>IFERROR(__xludf.DUMMYFUNCTION("""COMPUTED_VALUE"""),"")</f>
        <v/>
      </c>
      <c r="K4836" s="13" t="str">
        <f>IFERROR(__xludf.DUMMYFUNCTION("""COMPUTED_VALUE"""),"BT atau SU Belum Valid")</f>
        <v>BT atau SU Belum Valid</v>
      </c>
      <c r="L4836" s="13" t="str">
        <f>IFERROR(__xludf.DUMMYFUNCTION("""COMPUTED_VALUE"""),"")</f>
        <v/>
      </c>
      <c r="M4836" s="13"/>
      <c r="N4836" s="13" t="str">
        <f>IFERROR(__xludf.DUMMYFUNCTION("""COMPUTED_VALUE"""),"")</f>
        <v/>
      </c>
      <c r="O4836" s="13" t="str">
        <f t="shared" si="1"/>
        <v/>
      </c>
    </row>
    <row r="4837" ht="22.5" customHeight="1">
      <c r="B4837" s="13">
        <f>IFERROR(__xludf.DUMMYFUNCTION("""COMPUTED_VALUE"""),4832.0)</f>
        <v>4832</v>
      </c>
      <c r="C4837" s="13" t="str">
        <f>IFERROR(__xludf.DUMMYFUNCTION("""COMPUTED_VALUE"""),"M 2010/ sumber rejo sejahtera")</f>
        <v>M 2010/ sumber rejo sejahtera</v>
      </c>
      <c r="D4837" s="13" t="str">
        <f>IFERROR(__xludf.DUMMYFUNCTION("""COMPUTED_VALUE"""),"ABXBCZQH")</f>
        <v>ABXBCZQH</v>
      </c>
      <c r="E4837" s="14" t="str">
        <f>IFERROR(__xludf.DUMMYFUNCTION("""COMPUTED_VALUE"""),"Heri (BT)")</f>
        <v>Heri (BT)</v>
      </c>
      <c r="F4837" s="14" t="str">
        <f>IFERROR(__xludf.DUMMYFUNCTION("""COMPUTED_VALUE"""),"SELESAI (VIA PERMOHONAN)")</f>
        <v>SELESAI (VIA PERMOHONAN)</v>
      </c>
      <c r="G4837" s="17">
        <f>IFERROR(__xludf.DUMMYFUNCTION("""COMPUTED_VALUE"""),46049.46724650463)</f>
        <v>46049.46725</v>
      </c>
      <c r="H4837" s="14"/>
      <c r="I4837" s="13"/>
      <c r="J4837" s="17" t="str">
        <f>IFERROR(__xludf.DUMMYFUNCTION("""COMPUTED_VALUE"""),"")</f>
        <v/>
      </c>
      <c r="K4837" s="13" t="str">
        <f>IFERROR(__xludf.DUMMYFUNCTION("""COMPUTED_VALUE"""),"BT atau SU Belum Valid")</f>
        <v>BT atau SU Belum Valid</v>
      </c>
      <c r="L4837" s="13" t="str">
        <f>IFERROR(__xludf.DUMMYFUNCTION("""COMPUTED_VALUE"""),"")</f>
        <v/>
      </c>
      <c r="M4837" s="13"/>
      <c r="N4837" s="13" t="str">
        <f>IFERROR(__xludf.DUMMYFUNCTION("""COMPUTED_VALUE"""),"")</f>
        <v/>
      </c>
      <c r="O4837" s="13" t="str">
        <f t="shared" si="1"/>
        <v/>
      </c>
    </row>
    <row r="4838" ht="22.5" customHeight="1">
      <c r="B4838" s="13">
        <f>IFERROR(__xludf.DUMMYFUNCTION("""COMPUTED_VALUE"""),4833.0)</f>
        <v>4833</v>
      </c>
      <c r="C4838" s="13" t="str">
        <f>IFERROR(__xludf.DUMMYFUNCTION("""COMPUTED_VALUE"""),"m 2009/ sumber rejo sejahtera")</f>
        <v>m 2009/ sumber rejo sejahtera</v>
      </c>
      <c r="D4838" s="13" t="str">
        <f>IFERROR(__xludf.DUMMYFUNCTION("""COMPUTED_VALUE"""),"ABUOTLDF")</f>
        <v>ABUOTLDF</v>
      </c>
      <c r="E4838" s="14" t="str">
        <f>IFERROR(__xludf.DUMMYFUNCTION("""COMPUTED_VALUE"""),"Heri (BT)")</f>
        <v>Heri (BT)</v>
      </c>
      <c r="F4838" s="14" t="str">
        <f>IFERROR(__xludf.DUMMYFUNCTION("""COMPUTED_VALUE"""),"SELESAI (VIA PERMOHONAN)")</f>
        <v>SELESAI (VIA PERMOHONAN)</v>
      </c>
      <c r="G4838" s="17">
        <f>IFERROR(__xludf.DUMMYFUNCTION("""COMPUTED_VALUE"""),46049.46741363426)</f>
        <v>46049.46741</v>
      </c>
      <c r="H4838" s="14"/>
      <c r="I4838" s="13"/>
      <c r="J4838" s="17" t="str">
        <f>IFERROR(__xludf.DUMMYFUNCTION("""COMPUTED_VALUE"""),"")</f>
        <v/>
      </c>
      <c r="K4838" s="13" t="str">
        <f>IFERROR(__xludf.DUMMYFUNCTION("""COMPUTED_VALUE"""),"BT atau SU Belum Valid")</f>
        <v>BT atau SU Belum Valid</v>
      </c>
      <c r="L4838" s="13" t="str">
        <f>IFERROR(__xludf.DUMMYFUNCTION("""COMPUTED_VALUE"""),"")</f>
        <v/>
      </c>
      <c r="M4838" s="13"/>
      <c r="N4838" s="13" t="str">
        <f>IFERROR(__xludf.DUMMYFUNCTION("""COMPUTED_VALUE"""),"")</f>
        <v/>
      </c>
      <c r="O4838" s="13" t="str">
        <f t="shared" si="1"/>
        <v/>
      </c>
    </row>
    <row r="4839" ht="22.5" customHeight="1">
      <c r="B4839" s="13">
        <f>IFERROR(__xludf.DUMMYFUNCTION("""COMPUTED_VALUE"""),4834.0)</f>
        <v>4834</v>
      </c>
      <c r="C4839" s="13" t="str">
        <f>IFERROR(__xludf.DUMMYFUNCTION("""COMPUTED_VALUE"""),"M. 7028/TANJUNG SENANG")</f>
        <v>M. 7028/TANJUNG SENANG</v>
      </c>
      <c r="D4839" s="13" t="str">
        <f>IFERROR(__xludf.DUMMYFUNCTION("""COMPUTED_VALUE"""),"K/2/281025/1")</f>
        <v>K/2/281025/1</v>
      </c>
      <c r="E4839" s="14" t="str">
        <f>IFERROR(__xludf.DUMMYFUNCTION("""COMPUTED_VALUE"""),"Heri (BT)")</f>
        <v>Heri (BT)</v>
      </c>
      <c r="F4839" s="14" t="str">
        <f>IFERROR(__xludf.DUMMYFUNCTION("""COMPUTED_VALUE"""),"SELESAI (VIA PERMOHONAN)")</f>
        <v>SELESAI (VIA PERMOHONAN)</v>
      </c>
      <c r="G4839" s="17">
        <f>IFERROR(__xludf.DUMMYFUNCTION("""COMPUTED_VALUE"""),46050.33000644676)</f>
        <v>46050.33001</v>
      </c>
      <c r="H4839" s="14"/>
      <c r="I4839" s="13"/>
      <c r="J4839" s="17" t="str">
        <f>IFERROR(__xludf.DUMMYFUNCTION("""COMPUTED_VALUE"""),"")</f>
        <v/>
      </c>
      <c r="K4839" s="13" t="str">
        <f>IFERROR(__xludf.DUMMYFUNCTION("""COMPUTED_VALUE"""),"BT atau SU Belum Valid")</f>
        <v>BT atau SU Belum Valid</v>
      </c>
      <c r="L4839" s="13" t="str">
        <f>IFERROR(__xludf.DUMMYFUNCTION("""COMPUTED_VALUE"""),"")</f>
        <v/>
      </c>
      <c r="M4839" s="13"/>
      <c r="N4839" s="13" t="str">
        <f>IFERROR(__xludf.DUMMYFUNCTION("""COMPUTED_VALUE"""),"")</f>
        <v/>
      </c>
      <c r="O4839" s="13" t="str">
        <f t="shared" si="1"/>
        <v/>
      </c>
    </row>
    <row r="4840" ht="22.5" customHeight="1">
      <c r="B4840" s="13">
        <f>IFERROR(__xludf.DUMMYFUNCTION("""COMPUTED_VALUE"""),4835.0)</f>
        <v>4835</v>
      </c>
      <c r="C4840" s="13" t="str">
        <f>IFERROR(__xludf.DUMMYFUNCTION("""COMPUTED_VALUE"""),"M 1979/ KURIPAN")</f>
        <v>M 1979/ KURIPAN</v>
      </c>
      <c r="D4840" s="13" t="str">
        <f>IFERROR(__xludf.DUMMYFUNCTION("""COMPUTED_VALUE"""),"ABPDDVFA")</f>
        <v>ABPDDVFA</v>
      </c>
      <c r="E4840" s="14" t="str">
        <f>IFERROR(__xludf.DUMMYFUNCTION("""COMPUTED_VALUE"""),"Heri (BT)")</f>
        <v>Heri (BT)</v>
      </c>
      <c r="F4840" s="14" t="str">
        <f>IFERROR(__xludf.DUMMYFUNCTION("""COMPUTED_VALUE"""),"SELESAI (VIA PERMOHONAN)")</f>
        <v>SELESAI (VIA PERMOHONAN)</v>
      </c>
      <c r="G4840" s="17">
        <f>IFERROR(__xludf.DUMMYFUNCTION("""COMPUTED_VALUE"""),46052.43184225695)</f>
        <v>46052.43184</v>
      </c>
      <c r="H4840" s="14"/>
      <c r="I4840" s="13"/>
      <c r="J4840" s="17" t="str">
        <f>IFERROR(__xludf.DUMMYFUNCTION("""COMPUTED_VALUE"""),"")</f>
        <v/>
      </c>
      <c r="K4840" s="13" t="str">
        <f>IFERROR(__xludf.DUMMYFUNCTION("""COMPUTED_VALUE"""),"BT atau SU Belum Valid")</f>
        <v>BT atau SU Belum Valid</v>
      </c>
      <c r="L4840" s="13" t="str">
        <f>IFERROR(__xludf.DUMMYFUNCTION("""COMPUTED_VALUE"""),"")</f>
        <v/>
      </c>
      <c r="M4840" s="13"/>
      <c r="N4840" s="13" t="str">
        <f>IFERROR(__xludf.DUMMYFUNCTION("""COMPUTED_VALUE"""),"")</f>
        <v/>
      </c>
      <c r="O4840" s="13" t="str">
        <f t="shared" si="1"/>
        <v/>
      </c>
    </row>
    <row r="4841" ht="22.5" customHeight="1">
      <c r="B4841" s="13">
        <f>IFERROR(__xludf.DUMMYFUNCTION("""COMPUTED_VALUE"""),4836.0)</f>
        <v>4836</v>
      </c>
      <c r="C4841" s="13" t="str">
        <f>IFERROR(__xludf.DUMMYFUNCTION("""COMPUTED_VALUE"""),"M.86/Gedong meneng baru")</f>
        <v>M.86/Gedong meneng baru</v>
      </c>
      <c r="D4841" s="13" t="str">
        <f>IFERROR(__xludf.DUMMYFUNCTION("""COMPUTED_VALUE"""),"AB047 /ABTHEEXE")</f>
        <v>AB047 /ABTHEEXE</v>
      </c>
      <c r="E4841" s="14" t="str">
        <f>IFERROR(__xludf.DUMMYFUNCTION("""COMPUTED_VALUE"""),"Heri (BT)")</f>
        <v>Heri (BT)</v>
      </c>
      <c r="F4841" s="14" t="str">
        <f>IFERROR(__xludf.DUMMYFUNCTION("""COMPUTED_VALUE"""),"SELESAI (VIA PERMOHONAN)")</f>
        <v>SELESAI (VIA PERMOHONAN)</v>
      </c>
      <c r="G4841" s="17">
        <f>IFERROR(__xludf.DUMMYFUNCTION("""COMPUTED_VALUE"""),46052.43223805555)</f>
        <v>46052.43224</v>
      </c>
      <c r="H4841" s="14"/>
      <c r="I4841" s="13"/>
      <c r="J4841" s="17" t="str">
        <f>IFERROR(__xludf.DUMMYFUNCTION("""COMPUTED_VALUE"""),"")</f>
        <v/>
      </c>
      <c r="K4841" s="13" t="str">
        <f>IFERROR(__xludf.DUMMYFUNCTION("""COMPUTED_VALUE"""),"BT atau SU Belum Valid")</f>
        <v>BT atau SU Belum Valid</v>
      </c>
      <c r="L4841" s="13" t="str">
        <f>IFERROR(__xludf.DUMMYFUNCTION("""COMPUTED_VALUE"""),"")</f>
        <v/>
      </c>
      <c r="M4841" s="13"/>
      <c r="N4841" s="13" t="str">
        <f>IFERROR(__xludf.DUMMYFUNCTION("""COMPUTED_VALUE"""),"")</f>
        <v/>
      </c>
      <c r="O4841" s="13" t="str">
        <f t="shared" si="1"/>
        <v/>
      </c>
    </row>
    <row r="4842" ht="22.5" customHeight="1">
      <c r="B4842" s="13">
        <f>IFERROR(__xludf.DUMMYFUNCTION("""COMPUTED_VALUE"""),4837.0)</f>
        <v>4837</v>
      </c>
      <c r="C4842" s="13" t="str">
        <f>IFERROR(__xludf.DUMMYFUNCTION("""COMPUTED_VALUE"""),"SHM. 2422")</f>
        <v>SHM. 2422</v>
      </c>
      <c r="D4842" s="13" t="str">
        <f>IFERROR(__xludf.DUMMYFUNCTION("""COMPUTED_VALUE"""),"AB042/ABXSTSAU")</f>
        <v>AB042/ABXSTSAU</v>
      </c>
      <c r="E4842" s="14" t="str">
        <f>IFERROR(__xludf.DUMMYFUNCTION("""COMPUTED_VALUE"""),"Heri (BT)")</f>
        <v>Heri (BT)</v>
      </c>
      <c r="F4842" s="14" t="str">
        <f>IFERROR(__xludf.DUMMYFUNCTION("""COMPUTED_VALUE"""),"SELESAI (VIA PERMOHONAN)")</f>
        <v>SELESAI (VIA PERMOHONAN)</v>
      </c>
      <c r="G4842" s="17">
        <f>IFERROR(__xludf.DUMMYFUNCTION("""COMPUTED_VALUE"""),46052.43251460648)</f>
        <v>46052.43251</v>
      </c>
      <c r="H4842" s="14"/>
      <c r="I4842" s="13"/>
      <c r="J4842" s="17" t="str">
        <f>IFERROR(__xludf.DUMMYFUNCTION("""COMPUTED_VALUE"""),"")</f>
        <v/>
      </c>
      <c r="K4842" s="13" t="str">
        <f>IFERROR(__xludf.DUMMYFUNCTION("""COMPUTED_VALUE"""),"BT atau SU Belum Valid")</f>
        <v>BT atau SU Belum Valid</v>
      </c>
      <c r="L4842" s="13" t="str">
        <f>IFERROR(__xludf.DUMMYFUNCTION("""COMPUTED_VALUE"""),"")</f>
        <v/>
      </c>
      <c r="M4842" s="13"/>
      <c r="N4842" s="13" t="str">
        <f>IFERROR(__xludf.DUMMYFUNCTION("""COMPUTED_VALUE"""),"")</f>
        <v/>
      </c>
      <c r="O4842" s="13" t="str">
        <f t="shared" si="1"/>
        <v/>
      </c>
    </row>
    <row r="4843" ht="22.5" customHeight="1">
      <c r="B4843" s="13">
        <f>IFERROR(__xludf.DUMMYFUNCTION("""COMPUTED_VALUE"""),4838.0)</f>
        <v>4838</v>
      </c>
      <c r="C4843" s="13" t="str">
        <f>IFERROR(__xludf.DUMMYFUNCTION("""COMPUTED_VALUE"""),"M.1897/K.Kg/Kota Karang ")</f>
        <v>M.1897/K.Kg/Kota Karang </v>
      </c>
      <c r="D4843" s="13" t="str">
        <f>IFERROR(__xludf.DUMMYFUNCTION("""COMPUTED_VALUE"""),"ABOKUTKV/AB025")</f>
        <v>ABOKUTKV/AB025</v>
      </c>
      <c r="E4843" s="14" t="str">
        <f>IFERROR(__xludf.DUMMYFUNCTION("""COMPUTED_VALUE"""),"Heri (BT)")</f>
        <v>Heri (BT)</v>
      </c>
      <c r="F4843" s="14" t="str">
        <f>IFERROR(__xludf.DUMMYFUNCTION("""COMPUTED_VALUE"""),"SELESAI (VIA PERMOHONAN)")</f>
        <v>SELESAI (VIA PERMOHONAN)</v>
      </c>
      <c r="G4843" s="17">
        <f>IFERROR(__xludf.DUMMYFUNCTION("""COMPUTED_VALUE"""),46052.43406813657)</f>
        <v>46052.43407</v>
      </c>
      <c r="H4843" s="14"/>
      <c r="I4843" s="13"/>
      <c r="J4843" s="17" t="str">
        <f>IFERROR(__xludf.DUMMYFUNCTION("""COMPUTED_VALUE"""),"")</f>
        <v/>
      </c>
      <c r="K4843" s="13" t="str">
        <f>IFERROR(__xludf.DUMMYFUNCTION("""COMPUTED_VALUE"""),"BT atau SU Belum Valid")</f>
        <v>BT atau SU Belum Valid</v>
      </c>
      <c r="L4843" s="13" t="str">
        <f>IFERROR(__xludf.DUMMYFUNCTION("""COMPUTED_VALUE"""),"")</f>
        <v/>
      </c>
      <c r="M4843" s="13"/>
      <c r="N4843" s="13" t="str">
        <f>IFERROR(__xludf.DUMMYFUNCTION("""COMPUTED_VALUE"""),"")</f>
        <v/>
      </c>
      <c r="O4843" s="13" t="str">
        <f t="shared" si="1"/>
        <v/>
      </c>
    </row>
    <row r="4844" ht="22.5" customHeight="1">
      <c r="B4844" s="13">
        <f>IFERROR(__xludf.DUMMYFUNCTION("""COMPUTED_VALUE"""),4839.0)</f>
        <v>4839</v>
      </c>
      <c r="C4844" s="13" t="str">
        <f>IFERROR(__xludf.DUMMYFUNCTION("""COMPUTED_VALUE"""),"M.1343/TanjungKarang")</f>
        <v>M.1343/TanjungKarang</v>
      </c>
      <c r="D4844" s="13" t="str">
        <f>IFERROR(__xludf.DUMMYFUNCTION("""COMPUTED_VALUE"""),"AB026/ABOWFLHK")</f>
        <v>AB026/ABOWFLHK</v>
      </c>
      <c r="E4844" s="14" t="str">
        <f>IFERROR(__xludf.DUMMYFUNCTION("""COMPUTED_VALUE"""),"Heri (BT)")</f>
        <v>Heri (BT)</v>
      </c>
      <c r="F4844" s="14" t="str">
        <f>IFERROR(__xludf.DUMMYFUNCTION("""COMPUTED_VALUE"""),"SELESAI (VIA PERMOHONAN)")</f>
        <v>SELESAI (VIA PERMOHONAN)</v>
      </c>
      <c r="G4844" s="17">
        <f>IFERROR(__xludf.DUMMYFUNCTION("""COMPUTED_VALUE"""),46052.4348859375)</f>
        <v>46052.43489</v>
      </c>
      <c r="H4844" s="14"/>
      <c r="I4844" s="13"/>
      <c r="J4844" s="17" t="str">
        <f>IFERROR(__xludf.DUMMYFUNCTION("""COMPUTED_VALUE"""),"")</f>
        <v/>
      </c>
      <c r="K4844" s="13" t="str">
        <f>IFERROR(__xludf.DUMMYFUNCTION("""COMPUTED_VALUE"""),"BT atau SU Belum Valid")</f>
        <v>BT atau SU Belum Valid</v>
      </c>
      <c r="L4844" s="13" t="str">
        <f>IFERROR(__xludf.DUMMYFUNCTION("""COMPUTED_VALUE"""),"")</f>
        <v/>
      </c>
      <c r="M4844" s="13"/>
      <c r="N4844" s="13" t="str">
        <f>IFERROR(__xludf.DUMMYFUNCTION("""COMPUTED_VALUE"""),"")</f>
        <v/>
      </c>
      <c r="O4844" s="13" t="str">
        <f t="shared" si="1"/>
        <v/>
      </c>
    </row>
    <row r="4845" ht="22.5" customHeight="1">
      <c r="B4845" s="13">
        <f>IFERROR(__xludf.DUMMYFUNCTION("""COMPUTED_VALUE"""),4840.0)</f>
        <v>4840</v>
      </c>
      <c r="C4845" s="13" t="str">
        <f>IFERROR(__xludf.DUMMYFUNCTION("""COMPUTED_VALUE"""),"M.1998/Sumberrejo Sejahtera")</f>
        <v>M.1998/Sumberrejo Sejahtera</v>
      </c>
      <c r="D4845" s="13" t="str">
        <f>IFERROR(__xludf.DUMMYFUNCTION("""COMPUTED_VALUE"""),"ABUETDGN")</f>
        <v>ABUETDGN</v>
      </c>
      <c r="E4845" s="14" t="str">
        <f>IFERROR(__xludf.DUMMYFUNCTION("""COMPUTED_VALUE"""),"Heri (BT)")</f>
        <v>Heri (BT)</v>
      </c>
      <c r="F4845" s="14" t="str">
        <f>IFERROR(__xludf.DUMMYFUNCTION("""COMPUTED_VALUE"""),"SELESAI (VIA PERMOHONAN)")</f>
        <v>SELESAI (VIA PERMOHONAN)</v>
      </c>
      <c r="G4845" s="17">
        <f>IFERROR(__xludf.DUMMYFUNCTION("""COMPUTED_VALUE"""),46052.43510956019)</f>
        <v>46052.43511</v>
      </c>
      <c r="H4845" s="14"/>
      <c r="I4845" s="13"/>
      <c r="J4845" s="17" t="str">
        <f>IFERROR(__xludf.DUMMYFUNCTION("""COMPUTED_VALUE"""),"")</f>
        <v/>
      </c>
      <c r="K4845" s="13" t="str">
        <f>IFERROR(__xludf.DUMMYFUNCTION("""COMPUTED_VALUE"""),"BT atau SU Belum Valid")</f>
        <v>BT atau SU Belum Valid</v>
      </c>
      <c r="L4845" s="13" t="str">
        <f>IFERROR(__xludf.DUMMYFUNCTION("""COMPUTED_VALUE"""),"")</f>
        <v/>
      </c>
      <c r="M4845" s="13"/>
      <c r="N4845" s="13" t="str">
        <f>IFERROR(__xludf.DUMMYFUNCTION("""COMPUTED_VALUE"""),"")</f>
        <v/>
      </c>
      <c r="O4845" s="13" t="str">
        <f t="shared" si="1"/>
        <v/>
      </c>
    </row>
    <row r="4846" ht="22.5" customHeight="1">
      <c r="B4846" s="13">
        <f>IFERROR(__xludf.DUMMYFUNCTION("""COMPUTED_VALUE"""),4841.0)</f>
        <v>4841</v>
      </c>
      <c r="C4846" s="13" t="str">
        <f>IFERROR(__xludf.DUMMYFUNCTION("""COMPUTED_VALUE"""),"M 4225  / rajabasa jaya")</f>
        <v>M 4225  / rajabasa jaya</v>
      </c>
      <c r="D4846" s="13" t="str">
        <f>IFERROR(__xludf.DUMMYFUNCTION("""COMPUTED_VALUE"""),"AB032/ABPPFEEA")</f>
        <v>AB032/ABPPFEEA</v>
      </c>
      <c r="E4846" s="14" t="str">
        <f>IFERROR(__xludf.DUMMYFUNCTION("""COMPUTED_VALUE"""),"Heri (BT)")</f>
        <v>Heri (BT)</v>
      </c>
      <c r="F4846" s="14" t="str">
        <f>IFERROR(__xludf.DUMMYFUNCTION("""COMPUTED_VALUE"""),"SELESAI (VIA PERMOHONAN)")</f>
        <v>SELESAI (VIA PERMOHONAN)</v>
      </c>
      <c r="G4846" s="17">
        <f>IFERROR(__xludf.DUMMYFUNCTION("""COMPUTED_VALUE"""),46052.43545535879)</f>
        <v>46052.43546</v>
      </c>
      <c r="H4846" s="14"/>
      <c r="I4846" s="13"/>
      <c r="J4846" s="17" t="str">
        <f>IFERROR(__xludf.DUMMYFUNCTION("""COMPUTED_VALUE"""),"")</f>
        <v/>
      </c>
      <c r="K4846" s="13" t="str">
        <f>IFERROR(__xludf.DUMMYFUNCTION("""COMPUTED_VALUE"""),"BT atau SU Belum Valid")</f>
        <v>BT atau SU Belum Valid</v>
      </c>
      <c r="L4846" s="13" t="str">
        <f>IFERROR(__xludf.DUMMYFUNCTION("""COMPUTED_VALUE"""),"")</f>
        <v/>
      </c>
      <c r="M4846" s="13"/>
      <c r="N4846" s="13" t="str">
        <f>IFERROR(__xludf.DUMMYFUNCTION("""COMPUTED_VALUE"""),"")</f>
        <v/>
      </c>
      <c r="O4846" s="13" t="str">
        <f t="shared" si="1"/>
        <v/>
      </c>
    </row>
    <row r="4847" ht="22.5" customHeight="1">
      <c r="B4847" s="13">
        <f>IFERROR(__xludf.DUMMYFUNCTION("""COMPUTED_VALUE"""),4842.0)</f>
        <v>4842</v>
      </c>
      <c r="C4847" s="13" t="str">
        <f>IFERROR(__xludf.DUMMYFUNCTION("""COMPUTED_VALUE"""),"M.2827/Gunung Terang")</f>
        <v>M.2827/Gunung Terang</v>
      </c>
      <c r="D4847" s="13" t="str">
        <f>IFERROR(__xludf.DUMMYFUNCTION("""COMPUTED_VALUE"""),"AB029/ABQIFVOB")</f>
        <v>AB029/ABQIFVOB</v>
      </c>
      <c r="E4847" s="14" t="str">
        <f>IFERROR(__xludf.DUMMYFUNCTION("""COMPUTED_VALUE"""),"Heri (BT)")</f>
        <v>Heri (BT)</v>
      </c>
      <c r="F4847" s="14" t="str">
        <f>IFERROR(__xludf.DUMMYFUNCTION("""COMPUTED_VALUE"""),"SELESAI (VIA PERMOHONAN)")</f>
        <v>SELESAI (VIA PERMOHONAN)</v>
      </c>
      <c r="G4847" s="17">
        <f>IFERROR(__xludf.DUMMYFUNCTION("""COMPUTED_VALUE"""),46052.438936226856)</f>
        <v>46052.43894</v>
      </c>
      <c r="H4847" s="14"/>
      <c r="I4847" s="13"/>
      <c r="J4847" s="17" t="str">
        <f>IFERROR(__xludf.DUMMYFUNCTION("""COMPUTED_VALUE"""),"")</f>
        <v/>
      </c>
      <c r="K4847" s="13" t="str">
        <f>IFERROR(__xludf.DUMMYFUNCTION("""COMPUTED_VALUE"""),"BT atau SU Belum Valid")</f>
        <v>BT atau SU Belum Valid</v>
      </c>
      <c r="L4847" s="13" t="str">
        <f>IFERROR(__xludf.DUMMYFUNCTION("""COMPUTED_VALUE"""),"")</f>
        <v/>
      </c>
      <c r="M4847" s="13"/>
      <c r="N4847" s="13" t="str">
        <f>IFERROR(__xludf.DUMMYFUNCTION("""COMPUTED_VALUE"""),"")</f>
        <v/>
      </c>
      <c r="O4847" s="13" t="str">
        <f t="shared" si="1"/>
        <v/>
      </c>
    </row>
    <row r="4848" ht="22.5" customHeight="1">
      <c r="B4848" s="13">
        <f>IFERROR(__xludf.DUMMYFUNCTION("""COMPUTED_VALUE"""),4843.0)</f>
        <v>4843</v>
      </c>
      <c r="C4848" s="13" t="str">
        <f>IFERROR(__xludf.DUMMYFUNCTION("""COMPUTED_VALUE"""),"B. 592/Sukarame Baru")</f>
        <v>B. 592/Sukarame Baru</v>
      </c>
      <c r="D4848" s="13" t="str">
        <f>IFERROR(__xludf.DUMMYFUNCTION("""COMPUTED_VALUE"""),"ABMAZDDZ/AB02")</f>
        <v>ABMAZDDZ/AB02</v>
      </c>
      <c r="E4848" s="14" t="str">
        <f>IFERROR(__xludf.DUMMYFUNCTION("""COMPUTED_VALUE"""),"Heri (BT)")</f>
        <v>Heri (BT)</v>
      </c>
      <c r="F4848" s="14" t="str">
        <f>IFERROR(__xludf.DUMMYFUNCTION("""COMPUTED_VALUE"""),"SELESAI (VIA PERMOHONAN)")</f>
        <v>SELESAI (VIA PERMOHONAN)</v>
      </c>
      <c r="G4848" s="17">
        <f>IFERROR(__xludf.DUMMYFUNCTION("""COMPUTED_VALUE"""),46055.6186571412)</f>
        <v>46055.61866</v>
      </c>
      <c r="H4848" s="14"/>
      <c r="I4848" s="13"/>
      <c r="J4848" s="17" t="str">
        <f>IFERROR(__xludf.DUMMYFUNCTION("""COMPUTED_VALUE"""),"")</f>
        <v/>
      </c>
      <c r="K4848" s="13" t="str">
        <f>IFERROR(__xludf.DUMMYFUNCTION("""COMPUTED_VALUE"""),"BT atau SU Belum Valid")</f>
        <v>BT atau SU Belum Valid</v>
      </c>
      <c r="L4848" s="13" t="str">
        <f>IFERROR(__xludf.DUMMYFUNCTION("""COMPUTED_VALUE"""),"")</f>
        <v/>
      </c>
      <c r="M4848" s="13"/>
      <c r="N4848" s="13" t="str">
        <f>IFERROR(__xludf.DUMMYFUNCTION("""COMPUTED_VALUE"""),"")</f>
        <v/>
      </c>
      <c r="O4848" s="13" t="str">
        <f t="shared" si="1"/>
        <v/>
      </c>
    </row>
    <row r="4849" ht="22.5" customHeight="1">
      <c r="B4849" s="13">
        <f>IFERROR(__xludf.DUMMYFUNCTION("""COMPUTED_VALUE"""),4844.0)</f>
        <v>4844</v>
      </c>
      <c r="C4849" s="13" t="str">
        <f>IFERROR(__xludf.DUMMYFUNCTION("""COMPUTED_VALUE"""),"M. 1127/SUKARAME BARU")</f>
        <v>M. 1127/SUKARAME BARU</v>
      </c>
      <c r="D4849" s="13" t="str">
        <f>IFERROR(__xludf.DUMMYFUNCTION("""COMPUTED_VALUE"""),"K/9/191125/1")</f>
        <v>K/9/191125/1</v>
      </c>
      <c r="E4849" s="14" t="str">
        <f>IFERROR(__xludf.DUMMYFUNCTION("""COMPUTED_VALUE"""),"Heri (BT)")</f>
        <v>Heri (BT)</v>
      </c>
      <c r="F4849" s="14" t="str">
        <f>IFERROR(__xludf.DUMMYFUNCTION("""COMPUTED_VALUE"""),"SELESAI (VIA PERMOHONAN)")</f>
        <v>SELESAI (VIA PERMOHONAN)</v>
      </c>
      <c r="G4849" s="17">
        <f>IFERROR(__xludf.DUMMYFUNCTION("""COMPUTED_VALUE"""),46055.62153773148)</f>
        <v>46055.62154</v>
      </c>
      <c r="H4849" s="14"/>
      <c r="I4849" s="13"/>
      <c r="J4849" s="17" t="str">
        <f>IFERROR(__xludf.DUMMYFUNCTION("""COMPUTED_VALUE"""),"")</f>
        <v/>
      </c>
      <c r="K4849" s="13" t="str">
        <f>IFERROR(__xludf.DUMMYFUNCTION("""COMPUTED_VALUE"""),"BT atau SU Belum Valid")</f>
        <v>BT atau SU Belum Valid</v>
      </c>
      <c r="L4849" s="13" t="str">
        <f>IFERROR(__xludf.DUMMYFUNCTION("""COMPUTED_VALUE"""),"")</f>
        <v/>
      </c>
      <c r="M4849" s="13"/>
      <c r="N4849" s="13" t="str">
        <f>IFERROR(__xludf.DUMMYFUNCTION("""COMPUTED_VALUE"""),"")</f>
        <v/>
      </c>
      <c r="O4849" s="13" t="str">
        <f t="shared" si="1"/>
        <v/>
      </c>
    </row>
    <row r="4850" ht="22.5" customHeight="1">
      <c r="B4850" s="13">
        <f>IFERROR(__xludf.DUMMYFUNCTION("""COMPUTED_VALUE"""),4845.0)</f>
        <v>4845</v>
      </c>
      <c r="C4850" s="13" t="str">
        <f>IFERROR(__xludf.DUMMYFUNCTION("""COMPUTED_VALUE"""),"M 12875/ BERINGIN RAYA")</f>
        <v>M 12875/ BERINGIN RAYA</v>
      </c>
      <c r="D4850" s="13" t="str">
        <f>IFERROR(__xludf.DUMMYFUNCTION("""COMPUTED_VALUE"""),"ABXXOJJH")</f>
        <v>ABXXOJJH</v>
      </c>
      <c r="E4850" s="14" t="str">
        <f>IFERROR(__xludf.DUMMYFUNCTION("""COMPUTED_VALUE"""),"Heri (BT)")</f>
        <v>Heri (BT)</v>
      </c>
      <c r="F4850" s="14" t="str">
        <f>IFERROR(__xludf.DUMMYFUNCTION("""COMPUTED_VALUE"""),"SELESAI (VIA PERMOHONAN)")</f>
        <v>SELESAI (VIA PERMOHONAN)</v>
      </c>
      <c r="G4850" s="17">
        <f>IFERROR(__xludf.DUMMYFUNCTION("""COMPUTED_VALUE"""),46055.62154921296)</f>
        <v>46055.62155</v>
      </c>
      <c r="H4850" s="14"/>
      <c r="I4850" s="13"/>
      <c r="J4850" s="17" t="str">
        <f>IFERROR(__xludf.DUMMYFUNCTION("""COMPUTED_VALUE"""),"")</f>
        <v/>
      </c>
      <c r="K4850" s="13" t="str">
        <f>IFERROR(__xludf.DUMMYFUNCTION("""COMPUTED_VALUE"""),"BT atau SU Belum Valid")</f>
        <v>BT atau SU Belum Valid</v>
      </c>
      <c r="L4850" s="13" t="str">
        <f>IFERROR(__xludf.DUMMYFUNCTION("""COMPUTED_VALUE"""),"")</f>
        <v/>
      </c>
      <c r="M4850" s="13"/>
      <c r="N4850" s="13" t="str">
        <f>IFERROR(__xludf.DUMMYFUNCTION("""COMPUTED_VALUE"""),"")</f>
        <v/>
      </c>
      <c r="O4850" s="13" t="str">
        <f t="shared" si="1"/>
        <v/>
      </c>
    </row>
    <row r="4851" ht="22.5" customHeight="1">
      <c r="B4851" s="13">
        <f>IFERROR(__xludf.DUMMYFUNCTION("""COMPUTED_VALUE"""),4846.0)</f>
        <v>4846</v>
      </c>
      <c r="C4851" s="13" t="str">
        <f>IFERROR(__xludf.DUMMYFUNCTION("""COMPUTED_VALUE"""),"HM 3286/KETEGUHAN")</f>
        <v>HM 3286/KETEGUHAN</v>
      </c>
      <c r="D4851" s="13" t="str">
        <f>IFERROR(__xludf.DUMMYFUNCTION("""COMPUTED_VALUE"""),"L/25/230625/1")</f>
        <v>L/25/230625/1</v>
      </c>
      <c r="E4851" s="14" t="str">
        <f>IFERROR(__xludf.DUMMYFUNCTION("""COMPUTED_VALUE"""),"Heri (BT)")</f>
        <v>Heri (BT)</v>
      </c>
      <c r="F4851" s="14" t="str">
        <f>IFERROR(__xludf.DUMMYFUNCTION("""COMPUTED_VALUE"""),"SELESAI (VIA PERMOHONAN)")</f>
        <v>SELESAI (VIA PERMOHONAN)</v>
      </c>
      <c r="G4851" s="17">
        <f>IFERROR(__xludf.DUMMYFUNCTION("""COMPUTED_VALUE"""),46055.76275628472)</f>
        <v>46055.76276</v>
      </c>
      <c r="H4851" s="14"/>
      <c r="I4851" s="13"/>
      <c r="J4851" s="17" t="str">
        <f>IFERROR(__xludf.DUMMYFUNCTION("""COMPUTED_VALUE"""),"")</f>
        <v/>
      </c>
      <c r="K4851" s="13" t="str">
        <f>IFERROR(__xludf.DUMMYFUNCTION("""COMPUTED_VALUE"""),"BT atau SU Belum Valid")</f>
        <v>BT atau SU Belum Valid</v>
      </c>
      <c r="L4851" s="13" t="str">
        <f>IFERROR(__xludf.DUMMYFUNCTION("""COMPUTED_VALUE"""),"")</f>
        <v/>
      </c>
      <c r="M4851" s="13"/>
      <c r="N4851" s="13" t="str">
        <f>IFERROR(__xludf.DUMMYFUNCTION("""COMPUTED_VALUE"""),"")</f>
        <v/>
      </c>
      <c r="O4851" s="13" t="str">
        <f t="shared" si="1"/>
        <v/>
      </c>
    </row>
    <row r="4852" ht="22.5" customHeight="1">
      <c r="B4852" s="13">
        <f>IFERROR(__xludf.DUMMYFUNCTION("""COMPUTED_VALUE"""),4847.0)</f>
        <v>4847</v>
      </c>
      <c r="C4852" s="13" t="str">
        <f>IFERROR(__xludf.DUMMYFUNCTION("""COMPUTED_VALUE"""),"B 294/ BAKUNG")</f>
        <v>B 294/ BAKUNG</v>
      </c>
      <c r="D4852" s="13" t="str">
        <f>IFERROR(__xludf.DUMMYFUNCTION("""COMPUTED_VALUE"""),"K/45/091025/2")</f>
        <v>K/45/091025/2</v>
      </c>
      <c r="E4852" s="14" t="str">
        <f>IFERROR(__xludf.DUMMYFUNCTION("""COMPUTED_VALUE"""),"Heri (BT)")</f>
        <v>Heri (BT)</v>
      </c>
      <c r="F4852" s="14" t="str">
        <f>IFERROR(__xludf.DUMMYFUNCTION("""COMPUTED_VALUE"""),"SELESAI (VIA PERMOHONAN)")</f>
        <v>SELESAI (VIA PERMOHONAN)</v>
      </c>
      <c r="G4852" s="17">
        <f>IFERROR(__xludf.DUMMYFUNCTION("""COMPUTED_VALUE"""),46056.671927372685)</f>
        <v>46056.67193</v>
      </c>
      <c r="H4852" s="14"/>
      <c r="I4852" s="13"/>
      <c r="J4852" s="17" t="str">
        <f>IFERROR(__xludf.DUMMYFUNCTION("""COMPUTED_VALUE"""),"")</f>
        <v/>
      </c>
      <c r="K4852" s="13" t="str">
        <f>IFERROR(__xludf.DUMMYFUNCTION("""COMPUTED_VALUE"""),"BT atau SU Belum Valid")</f>
        <v>BT atau SU Belum Valid</v>
      </c>
      <c r="L4852" s="13" t="str">
        <f>IFERROR(__xludf.DUMMYFUNCTION("""COMPUTED_VALUE"""),"")</f>
        <v/>
      </c>
      <c r="M4852" s="13"/>
      <c r="N4852" s="13" t="str">
        <f>IFERROR(__xludf.DUMMYFUNCTION("""COMPUTED_VALUE"""),"")</f>
        <v/>
      </c>
      <c r="O4852" s="13" t="str">
        <f t="shared" si="1"/>
        <v/>
      </c>
    </row>
    <row r="4853" ht="22.5" customHeight="1">
      <c r="B4853" s="13">
        <f>IFERROR(__xludf.DUMMYFUNCTION("""COMPUTED_VALUE"""),4848.0)</f>
        <v>4848</v>
      </c>
      <c r="C4853" s="13" t="str">
        <f>IFERROR(__xludf.DUMMYFUNCTION("""COMPUTED_VALUE"""),"M 1229/pematang wangi")</f>
        <v>M 1229/pematang wangi</v>
      </c>
      <c r="D4853" s="13" t="str">
        <f>IFERROR(__xludf.DUMMYFUNCTION("""COMPUTED_VALUE"""),"ABAMXCLG/1")</f>
        <v>ABAMXCLG/1</v>
      </c>
      <c r="E4853" s="14" t="str">
        <f>IFERROR(__xludf.DUMMYFUNCTION("""COMPUTED_VALUE"""),"Heri (BT)")</f>
        <v>Heri (BT)</v>
      </c>
      <c r="F4853" s="14" t="str">
        <f>IFERROR(__xludf.DUMMYFUNCTION("""COMPUTED_VALUE"""),"SELESAI (VIA PERMOHONAN)")</f>
        <v>SELESAI (VIA PERMOHONAN)</v>
      </c>
      <c r="G4853" s="17">
        <f>IFERROR(__xludf.DUMMYFUNCTION("""COMPUTED_VALUE"""),46056.672117326394)</f>
        <v>46056.67212</v>
      </c>
      <c r="H4853" s="14"/>
      <c r="I4853" s="13"/>
      <c r="J4853" s="17" t="str">
        <f>IFERROR(__xludf.DUMMYFUNCTION("""COMPUTED_VALUE"""),"")</f>
        <v/>
      </c>
      <c r="K4853" s="13" t="str">
        <f>IFERROR(__xludf.DUMMYFUNCTION("""COMPUTED_VALUE"""),"BT atau SU Belum Valid")</f>
        <v>BT atau SU Belum Valid</v>
      </c>
      <c r="L4853" s="13" t="str">
        <f>IFERROR(__xludf.DUMMYFUNCTION("""COMPUTED_VALUE"""),"")</f>
        <v/>
      </c>
      <c r="M4853" s="13"/>
      <c r="N4853" s="13" t="str">
        <f>IFERROR(__xludf.DUMMYFUNCTION("""COMPUTED_VALUE"""),"")</f>
        <v/>
      </c>
      <c r="O4853" s="13" t="str">
        <f t="shared" si="1"/>
        <v/>
      </c>
    </row>
    <row r="4854" ht="22.5" customHeight="1">
      <c r="B4854" s="13">
        <f>IFERROR(__xludf.DUMMYFUNCTION("""COMPUTED_VALUE"""),4849.0)</f>
        <v>4849</v>
      </c>
      <c r="C4854" s="13" t="str">
        <f>IFERROR(__xludf.DUMMYFUNCTION("""COMPUTED_VALUE"""),"M 3200/ sukarame baru")</f>
        <v>M 3200/ sukarame baru</v>
      </c>
      <c r="D4854" s="13" t="str">
        <f>IFERROR(__xludf.DUMMYFUNCTION("""COMPUTED_VALUE"""),"Ab 34 (ABRLUHEK)")</f>
        <v>Ab 34 (ABRLUHEK)</v>
      </c>
      <c r="E4854" s="14" t="str">
        <f>IFERROR(__xludf.DUMMYFUNCTION("""COMPUTED_VALUE"""),"Heri (BT)")</f>
        <v>Heri (BT)</v>
      </c>
      <c r="F4854" s="14" t="str">
        <f>IFERROR(__xludf.DUMMYFUNCTION("""COMPUTED_VALUE"""),"SELESAI (VIA PERMOHONAN)")</f>
        <v>SELESAI (VIA PERMOHONAN)</v>
      </c>
      <c r="G4854" s="17">
        <f>IFERROR(__xludf.DUMMYFUNCTION("""COMPUTED_VALUE"""),46056.672263368055)</f>
        <v>46056.67226</v>
      </c>
      <c r="H4854" s="14"/>
      <c r="I4854" s="13"/>
      <c r="J4854" s="17" t="str">
        <f>IFERROR(__xludf.DUMMYFUNCTION("""COMPUTED_VALUE"""),"")</f>
        <v/>
      </c>
      <c r="K4854" s="13" t="str">
        <f>IFERROR(__xludf.DUMMYFUNCTION("""COMPUTED_VALUE"""),"BT atau SU Belum Valid")</f>
        <v>BT atau SU Belum Valid</v>
      </c>
      <c r="L4854" s="13" t="str">
        <f>IFERROR(__xludf.DUMMYFUNCTION("""COMPUTED_VALUE"""),"")</f>
        <v/>
      </c>
      <c r="M4854" s="13"/>
      <c r="N4854" s="13" t="str">
        <f>IFERROR(__xludf.DUMMYFUNCTION("""COMPUTED_VALUE"""),"")</f>
        <v/>
      </c>
      <c r="O4854" s="13" t="str">
        <f t="shared" si="1"/>
        <v/>
      </c>
    </row>
    <row r="4855" ht="22.5" customHeight="1">
      <c r="B4855" s="13">
        <f>IFERROR(__xludf.DUMMYFUNCTION("""COMPUTED_VALUE"""),4850.0)</f>
        <v>4850</v>
      </c>
      <c r="C4855" s="13" t="str">
        <f>IFERROR(__xludf.DUMMYFUNCTION("""COMPUTED_VALUE"""),"SHGB 00700/Sumber Agung")</f>
        <v>SHGB 00700/Sumber Agung</v>
      </c>
      <c r="D4855" s="13" t="str">
        <f>IFERROR(__xludf.DUMMYFUNCTION("""COMPUTED_VALUE"""),"AB015/ABXHNOZN")</f>
        <v>AB015/ABXHNOZN</v>
      </c>
      <c r="E4855" s="14" t="str">
        <f>IFERROR(__xludf.DUMMYFUNCTION("""COMPUTED_VALUE"""),"Heri (BT)")</f>
        <v>Heri (BT)</v>
      </c>
      <c r="F4855" s="14" t="str">
        <f>IFERROR(__xludf.DUMMYFUNCTION("""COMPUTED_VALUE"""),"SELESAI (VIA PERMOHONAN)")</f>
        <v>SELESAI (VIA PERMOHONAN)</v>
      </c>
      <c r="G4855" s="17">
        <f>IFERROR(__xludf.DUMMYFUNCTION("""COMPUTED_VALUE"""),46056.672993182874)</f>
        <v>46056.67299</v>
      </c>
      <c r="H4855" s="14"/>
      <c r="I4855" s="13"/>
      <c r="J4855" s="17" t="str">
        <f>IFERROR(__xludf.DUMMYFUNCTION("""COMPUTED_VALUE"""),"")</f>
        <v/>
      </c>
      <c r="K4855" s="13" t="str">
        <f>IFERROR(__xludf.DUMMYFUNCTION("""COMPUTED_VALUE"""),"BT atau SU Belum Valid")</f>
        <v>BT atau SU Belum Valid</v>
      </c>
      <c r="L4855" s="13" t="str">
        <f>IFERROR(__xludf.DUMMYFUNCTION("""COMPUTED_VALUE"""),"")</f>
        <v/>
      </c>
      <c r="M4855" s="13"/>
      <c r="N4855" s="13" t="str">
        <f>IFERROR(__xludf.DUMMYFUNCTION("""COMPUTED_VALUE"""),"")</f>
        <v/>
      </c>
      <c r="O4855" s="13" t="str">
        <f t="shared" si="1"/>
        <v/>
      </c>
    </row>
    <row r="4856" ht="22.5" customHeight="1">
      <c r="B4856" s="13">
        <f>IFERROR(__xludf.DUMMYFUNCTION("""COMPUTED_VALUE"""),4851.0)</f>
        <v>4851</v>
      </c>
      <c r="C4856" s="13" t="str">
        <f>IFERROR(__xludf.DUMMYFUNCTION("""COMPUTED_VALUE"""),"M. 4660/Sukadana Ham")</f>
        <v>M. 4660/Sukadana Ham</v>
      </c>
      <c r="D4856" s="13" t="str">
        <f>IFERROR(__xludf.DUMMYFUNCTION("""COMPUTED_VALUE"""),"ABGHINHC/AB019")</f>
        <v>ABGHINHC/AB019</v>
      </c>
      <c r="E4856" s="14" t="str">
        <f>IFERROR(__xludf.DUMMYFUNCTION("""COMPUTED_VALUE"""),"Heri (BT)")</f>
        <v>Heri (BT)</v>
      </c>
      <c r="F4856" s="14" t="str">
        <f>IFERROR(__xludf.DUMMYFUNCTION("""COMPUTED_VALUE"""),"SELESAI (VIA PERMOHONAN)")</f>
        <v>SELESAI (VIA PERMOHONAN)</v>
      </c>
      <c r="G4856" s="17">
        <f>IFERROR(__xludf.DUMMYFUNCTION("""COMPUTED_VALUE"""),46056.67322697917)</f>
        <v>46056.67323</v>
      </c>
      <c r="H4856" s="14"/>
      <c r="I4856" s="13"/>
      <c r="J4856" s="17" t="str">
        <f>IFERROR(__xludf.DUMMYFUNCTION("""COMPUTED_VALUE"""),"")</f>
        <v/>
      </c>
      <c r="K4856" s="13" t="str">
        <f>IFERROR(__xludf.DUMMYFUNCTION("""COMPUTED_VALUE"""),"BT atau SU Belum Valid")</f>
        <v>BT atau SU Belum Valid</v>
      </c>
      <c r="L4856" s="13" t="str">
        <f>IFERROR(__xludf.DUMMYFUNCTION("""COMPUTED_VALUE"""),"")</f>
        <v/>
      </c>
      <c r="M4856" s="13"/>
      <c r="N4856" s="13" t="str">
        <f>IFERROR(__xludf.DUMMYFUNCTION("""COMPUTED_VALUE"""),"")</f>
        <v/>
      </c>
      <c r="O4856" s="13" t="str">
        <f t="shared" si="1"/>
        <v/>
      </c>
    </row>
    <row r="4857" ht="22.5" customHeight="1">
      <c r="B4857" s="13">
        <f>IFERROR(__xludf.DUMMYFUNCTION("""COMPUTED_VALUE"""),4852.0)</f>
        <v>4852</v>
      </c>
      <c r="C4857" s="13" t="str">
        <f>IFERROR(__xludf.DUMMYFUNCTION("""COMPUTED_VALUE"""),"M. 1274/Pinang Jaya")</f>
        <v>M. 1274/Pinang Jaya</v>
      </c>
      <c r="D4857" s="13" t="str">
        <f>IFERROR(__xludf.DUMMYFUNCTION("""COMPUTED_VALUE"""),"ABEGLIZF/AB019")</f>
        <v>ABEGLIZF/AB019</v>
      </c>
      <c r="E4857" s="14" t="str">
        <f>IFERROR(__xludf.DUMMYFUNCTION("""COMPUTED_VALUE"""),"Heri (BT)")</f>
        <v>Heri (BT)</v>
      </c>
      <c r="F4857" s="14" t="str">
        <f>IFERROR(__xludf.DUMMYFUNCTION("""COMPUTED_VALUE"""),"SELESAI (VIA PERMOHONAN)")</f>
        <v>SELESAI (VIA PERMOHONAN)</v>
      </c>
      <c r="G4857" s="17">
        <f>IFERROR(__xludf.DUMMYFUNCTION("""COMPUTED_VALUE"""),46056.67338578704)</f>
        <v>46056.67339</v>
      </c>
      <c r="H4857" s="14"/>
      <c r="I4857" s="13"/>
      <c r="J4857" s="17" t="str">
        <f>IFERROR(__xludf.DUMMYFUNCTION("""COMPUTED_VALUE"""),"")</f>
        <v/>
      </c>
      <c r="K4857" s="13" t="str">
        <f>IFERROR(__xludf.DUMMYFUNCTION("""COMPUTED_VALUE"""),"BT atau SU Belum Valid")</f>
        <v>BT atau SU Belum Valid</v>
      </c>
      <c r="L4857" s="13" t="str">
        <f>IFERROR(__xludf.DUMMYFUNCTION("""COMPUTED_VALUE"""),"")</f>
        <v/>
      </c>
      <c r="M4857" s="13"/>
      <c r="N4857" s="13" t="str">
        <f>IFERROR(__xludf.DUMMYFUNCTION("""COMPUTED_VALUE"""),"")</f>
        <v/>
      </c>
      <c r="O4857" s="13" t="str">
        <f t="shared" si="1"/>
        <v/>
      </c>
    </row>
    <row r="4858" ht="22.5" customHeight="1">
      <c r="B4858" s="13">
        <f>IFERROR(__xludf.DUMMYFUNCTION("""COMPUTED_VALUE"""),4853.0)</f>
        <v>4853</v>
      </c>
      <c r="C4858" s="13" t="str">
        <f>IFERROR(__xludf.DUMMYFUNCTION("""COMPUTED_VALUE"""),"SHM NO. 03769/Sukadana HAM")</f>
        <v>SHM NO. 03769/Sukadana HAM</v>
      </c>
      <c r="D4858" s="13" t="str">
        <f>IFERROR(__xludf.DUMMYFUNCTION("""COMPUTED_VALUE"""),"ABGVYSWN/AB031")</f>
        <v>ABGVYSWN/AB031</v>
      </c>
      <c r="E4858" s="14" t="str">
        <f>IFERROR(__xludf.DUMMYFUNCTION("""COMPUTED_VALUE"""),"Heri (BT)")</f>
        <v>Heri (BT)</v>
      </c>
      <c r="F4858" s="14" t="str">
        <f>IFERROR(__xludf.DUMMYFUNCTION("""COMPUTED_VALUE"""),"SELESAI (VIA PERMOHONAN)")</f>
        <v>SELESAI (VIA PERMOHONAN)</v>
      </c>
      <c r="G4858" s="17">
        <f>IFERROR(__xludf.DUMMYFUNCTION("""COMPUTED_VALUE"""),46058.43105413194)</f>
        <v>46058.43105</v>
      </c>
      <c r="H4858" s="14"/>
      <c r="I4858" s="13"/>
      <c r="J4858" s="17" t="str">
        <f>IFERROR(__xludf.DUMMYFUNCTION("""COMPUTED_VALUE"""),"")</f>
        <v/>
      </c>
      <c r="K4858" s="13" t="str">
        <f>IFERROR(__xludf.DUMMYFUNCTION("""COMPUTED_VALUE"""),"BT atau SU Belum Valid")</f>
        <v>BT atau SU Belum Valid</v>
      </c>
      <c r="L4858" s="13" t="str">
        <f>IFERROR(__xludf.DUMMYFUNCTION("""COMPUTED_VALUE"""),"")</f>
        <v/>
      </c>
      <c r="M4858" s="13"/>
      <c r="N4858" s="13" t="str">
        <f>IFERROR(__xludf.DUMMYFUNCTION("""COMPUTED_VALUE"""),"")</f>
        <v/>
      </c>
      <c r="O4858" s="13" t="str">
        <f t="shared" si="1"/>
        <v/>
      </c>
    </row>
    <row r="4859" ht="22.5" customHeight="1">
      <c r="B4859" s="13">
        <f>IFERROR(__xludf.DUMMYFUNCTION("""COMPUTED_VALUE"""),4854.0)</f>
        <v>4854</v>
      </c>
      <c r="C4859" s="13" t="str">
        <f>IFERROR(__xludf.DUMMYFUNCTION("""COMPUTED_VALUE"""),"M.472/SUKABUMI INDAH")</f>
        <v>M.472/SUKABUMI INDAH</v>
      </c>
      <c r="D4859" s="13" t="str">
        <f>IFERROR(__xludf.DUMMYFUNCTION("""COMPUTED_VALUE"""),"K/13/270525/1")</f>
        <v>K/13/270525/1</v>
      </c>
      <c r="E4859" s="14"/>
      <c r="F4859" s="14"/>
      <c r="G4859" s="17" t="str">
        <f>IFERROR(__xludf.DUMMYFUNCTION("""COMPUTED_VALUE"""),"")</f>
        <v/>
      </c>
      <c r="H4859" s="14"/>
      <c r="I4859" s="13"/>
      <c r="J4859" s="17" t="str">
        <f>IFERROR(__xludf.DUMMYFUNCTION("""COMPUTED_VALUE"""),"")</f>
        <v/>
      </c>
      <c r="K4859" s="13" t="str">
        <f>IFERROR(__xludf.DUMMYFUNCTION("""COMPUTED_VALUE"""),"BT atau SU Belum Valid")</f>
        <v>BT atau SU Belum Valid</v>
      </c>
      <c r="L4859" s="13" t="str">
        <f>IFERROR(__xludf.DUMMYFUNCTION("""COMPUTED_VALUE"""),"")</f>
        <v/>
      </c>
      <c r="M4859" s="13"/>
      <c r="N4859" s="13" t="str">
        <f>IFERROR(__xludf.DUMMYFUNCTION("""COMPUTED_VALUE"""),"")</f>
        <v/>
      </c>
      <c r="O4859" s="13" t="str">
        <f t="shared" si="1"/>
        <v/>
      </c>
    </row>
    <row r="4860" ht="22.5" customHeight="1">
      <c r="B4860" s="13">
        <f>IFERROR(__xludf.DUMMYFUNCTION("""COMPUTED_VALUE"""),4855.0)</f>
        <v>4855</v>
      </c>
      <c r="C4860" s="13" t="str">
        <f>IFERROR(__xludf.DUMMYFUNCTION("""COMPUTED_VALUE"""),"M 1105/Pematang Wangi")</f>
        <v>M 1105/Pematang Wangi</v>
      </c>
      <c r="D4860" s="13" t="str">
        <f>IFERROR(__xludf.DUMMYFUNCTION("""COMPUTED_VALUE"""),"Ab072/ABYSHJZC")</f>
        <v>Ab072/ABYSHJZC</v>
      </c>
      <c r="E4860" s="14" t="str">
        <f>IFERROR(__xludf.DUMMYFUNCTION("""COMPUTED_VALUE"""),"Heri (BT)")</f>
        <v>Heri (BT)</v>
      </c>
      <c r="F4860" s="14" t="str">
        <f>IFERROR(__xludf.DUMMYFUNCTION("""COMPUTED_VALUE"""),"SELESAI (VIA PERMOHONAN)")</f>
        <v>SELESAI (VIA PERMOHONAN)</v>
      </c>
      <c r="G4860" s="17">
        <f>IFERROR(__xludf.DUMMYFUNCTION("""COMPUTED_VALUE"""),46059.62548032407)</f>
        <v>46059.62548</v>
      </c>
      <c r="H4860" s="14"/>
      <c r="I4860" s="13"/>
      <c r="J4860" s="17" t="str">
        <f>IFERROR(__xludf.DUMMYFUNCTION("""COMPUTED_VALUE"""),"")</f>
        <v/>
      </c>
      <c r="K4860" s="13" t="str">
        <f>IFERROR(__xludf.DUMMYFUNCTION("""COMPUTED_VALUE"""),"BT atau SU Belum Valid")</f>
        <v>BT atau SU Belum Valid</v>
      </c>
      <c r="L4860" s="13" t="str">
        <f>IFERROR(__xludf.DUMMYFUNCTION("""COMPUTED_VALUE"""),"")</f>
        <v/>
      </c>
      <c r="M4860" s="13"/>
      <c r="N4860" s="13" t="str">
        <f>IFERROR(__xludf.DUMMYFUNCTION("""COMPUTED_VALUE"""),"")</f>
        <v/>
      </c>
      <c r="O4860" s="13" t="str">
        <f t="shared" si="1"/>
        <v/>
      </c>
    </row>
    <row r="4861" ht="22.5" customHeight="1">
      <c r="B4861" s="13">
        <f>IFERROR(__xludf.DUMMYFUNCTION("""COMPUTED_VALUE"""),4856.0)</f>
        <v>4856</v>
      </c>
      <c r="C4861" s="13" t="str">
        <f>IFERROR(__xludf.DUMMYFUNCTION("""COMPUTED_VALUE"""),"M.598/korpri raya")</f>
        <v>M.598/korpri raya</v>
      </c>
      <c r="D4861" s="13" t="str">
        <f>IFERROR(__xludf.DUMMYFUNCTION("""COMPUTED_VALUE"""),"AB044/ABNCLACN")</f>
        <v>AB044/ABNCLACN</v>
      </c>
      <c r="E4861" s="14" t="str">
        <f>IFERROR(__xludf.DUMMYFUNCTION("""COMPUTED_VALUE"""),"Heri (BT)")</f>
        <v>Heri (BT)</v>
      </c>
      <c r="F4861" s="14" t="str">
        <f>IFERROR(__xludf.DUMMYFUNCTION("""COMPUTED_VALUE"""),"SELESAI (VIA PERMOHONAN)")</f>
        <v>SELESAI (VIA PERMOHONAN)</v>
      </c>
      <c r="G4861" s="17">
        <f>IFERROR(__xludf.DUMMYFUNCTION("""COMPUTED_VALUE"""),46059.62646828704)</f>
        <v>46059.62647</v>
      </c>
      <c r="H4861" s="14"/>
      <c r="I4861" s="13"/>
      <c r="J4861" s="17" t="str">
        <f>IFERROR(__xludf.DUMMYFUNCTION("""COMPUTED_VALUE"""),"")</f>
        <v/>
      </c>
      <c r="K4861" s="13" t="str">
        <f>IFERROR(__xludf.DUMMYFUNCTION("""COMPUTED_VALUE"""),"BT atau SU Belum Valid")</f>
        <v>BT atau SU Belum Valid</v>
      </c>
      <c r="L4861" s="13" t="str">
        <f>IFERROR(__xludf.DUMMYFUNCTION("""COMPUTED_VALUE"""),"")</f>
        <v/>
      </c>
      <c r="M4861" s="13"/>
      <c r="N4861" s="13" t="str">
        <f>IFERROR(__xludf.DUMMYFUNCTION("""COMPUTED_VALUE"""),"")</f>
        <v/>
      </c>
      <c r="O4861" s="13" t="str">
        <f t="shared" si="1"/>
        <v/>
      </c>
    </row>
    <row r="4862" ht="22.5" customHeight="1">
      <c r="B4862" s="13">
        <f>IFERROR(__xludf.DUMMYFUNCTION("""COMPUTED_VALUE"""),4857.0)</f>
        <v>4857</v>
      </c>
      <c r="C4862" s="13" t="str">
        <f>IFERROR(__xludf.DUMMYFUNCTION("""COMPUTED_VALUE"""),"M.00425/Kelapa Tiga Permai")</f>
        <v>M.00425/Kelapa Tiga Permai</v>
      </c>
      <c r="D4862" s="13" t="str">
        <f>IFERROR(__xludf.DUMMYFUNCTION("""COMPUTED_VALUE"""),"ABGKRBAB/AB073")</f>
        <v>ABGKRBAB/AB073</v>
      </c>
      <c r="E4862" s="14" t="str">
        <f>IFERROR(__xludf.DUMMYFUNCTION("""COMPUTED_VALUE"""),"Heri (BT)")</f>
        <v>Heri (BT)</v>
      </c>
      <c r="F4862" s="14" t="str">
        <f>IFERROR(__xludf.DUMMYFUNCTION("""COMPUTED_VALUE"""),"SELESAI (VIA PERMOHONAN)")</f>
        <v>SELESAI (VIA PERMOHONAN)</v>
      </c>
      <c r="G4862" s="17">
        <f>IFERROR(__xludf.DUMMYFUNCTION("""COMPUTED_VALUE"""),46062.486792615746)</f>
        <v>46062.48679</v>
      </c>
      <c r="H4862" s="14"/>
      <c r="I4862" s="13"/>
      <c r="J4862" s="17" t="str">
        <f>IFERROR(__xludf.DUMMYFUNCTION("""COMPUTED_VALUE"""),"")</f>
        <v/>
      </c>
      <c r="K4862" s="13" t="str">
        <f>IFERROR(__xludf.DUMMYFUNCTION("""COMPUTED_VALUE"""),"BT atau SU Belum Valid")</f>
        <v>BT atau SU Belum Valid</v>
      </c>
      <c r="L4862" s="13" t="str">
        <f>IFERROR(__xludf.DUMMYFUNCTION("""COMPUTED_VALUE"""),"")</f>
        <v/>
      </c>
      <c r="M4862" s="13"/>
      <c r="N4862" s="13" t="str">
        <f>IFERROR(__xludf.DUMMYFUNCTION("""COMPUTED_VALUE"""),"")</f>
        <v/>
      </c>
      <c r="O4862" s="13" t="str">
        <f t="shared" si="1"/>
        <v/>
      </c>
    </row>
    <row r="4863" ht="22.5" customHeight="1">
      <c r="B4863" s="13">
        <f>IFERROR(__xludf.DUMMYFUNCTION("""COMPUTED_VALUE"""),4858.0)</f>
        <v>4858</v>
      </c>
      <c r="C4863" s="13" t="str">
        <f>IFERROR(__xludf.DUMMYFUNCTION("""COMPUTED_VALUE"""),"B 5652/ BERINGIN RAYA")</f>
        <v>B 5652/ BERINGIN RAYA</v>
      </c>
      <c r="D4863" s="13" t="str">
        <f>IFERROR(__xludf.DUMMYFUNCTION("""COMPUTED_VALUE"""),"ABRUVFSE")</f>
        <v>ABRUVFSE</v>
      </c>
      <c r="E4863" s="14" t="str">
        <f>IFERROR(__xludf.DUMMYFUNCTION("""COMPUTED_VALUE"""),"Heri (BT)")</f>
        <v>Heri (BT)</v>
      </c>
      <c r="F4863" s="14" t="str">
        <f>IFERROR(__xludf.DUMMYFUNCTION("""COMPUTED_VALUE"""),"SELESAI (VIA PERMOHONAN)")</f>
        <v>SELESAI (VIA PERMOHONAN)</v>
      </c>
      <c r="G4863" s="17">
        <f>IFERROR(__xludf.DUMMYFUNCTION("""COMPUTED_VALUE"""),46062.486911087966)</f>
        <v>46062.48691</v>
      </c>
      <c r="H4863" s="14"/>
      <c r="I4863" s="13"/>
      <c r="J4863" s="17" t="str">
        <f>IFERROR(__xludf.DUMMYFUNCTION("""COMPUTED_VALUE"""),"")</f>
        <v/>
      </c>
      <c r="K4863" s="13" t="str">
        <f>IFERROR(__xludf.DUMMYFUNCTION("""COMPUTED_VALUE"""),"BT atau SU Belum Valid")</f>
        <v>BT atau SU Belum Valid</v>
      </c>
      <c r="L4863" s="13" t="str">
        <f>IFERROR(__xludf.DUMMYFUNCTION("""COMPUTED_VALUE"""),"")</f>
        <v/>
      </c>
      <c r="M4863" s="13"/>
      <c r="N4863" s="13" t="str">
        <f>IFERROR(__xludf.DUMMYFUNCTION("""COMPUTED_VALUE"""),"")</f>
        <v/>
      </c>
      <c r="O4863" s="13" t="str">
        <f t="shared" si="1"/>
        <v/>
      </c>
    </row>
    <row r="4864" ht="22.5" customHeight="1">
      <c r="B4864" s="13">
        <f>IFERROR(__xludf.DUMMYFUNCTION("""COMPUTED_VALUE"""),4859.0)</f>
        <v>4859</v>
      </c>
      <c r="C4864" s="13" t="str">
        <f>IFERROR(__xludf.DUMMYFUNCTION("""COMPUTED_VALUE"""),"11994/Jg.II")</f>
        <v>11994/Jg.II</v>
      </c>
      <c r="D4864" s="13" t="str">
        <f>IFERROR(__xludf.DUMMYFUNCTION("""COMPUTED_VALUE"""),"ABBYUSDM/AB058")</f>
        <v>ABBYUSDM/AB058</v>
      </c>
      <c r="E4864" s="14" t="str">
        <f>IFERROR(__xludf.DUMMYFUNCTION("""COMPUTED_VALUE"""),"Heri (BT)")</f>
        <v>Heri (BT)</v>
      </c>
      <c r="F4864" s="14" t="str">
        <f>IFERROR(__xludf.DUMMYFUNCTION("""COMPUTED_VALUE"""),"SELESAI (VIA PERMOHONAN)")</f>
        <v>SELESAI (VIA PERMOHONAN)</v>
      </c>
      <c r="G4864" s="17">
        <f>IFERROR(__xludf.DUMMYFUNCTION("""COMPUTED_VALUE"""),46062.48725298611)</f>
        <v>46062.48725</v>
      </c>
      <c r="H4864" s="14"/>
      <c r="I4864" s="13"/>
      <c r="J4864" s="17" t="str">
        <f>IFERROR(__xludf.DUMMYFUNCTION("""COMPUTED_VALUE"""),"")</f>
        <v/>
      </c>
      <c r="K4864" s="13" t="str">
        <f>IFERROR(__xludf.DUMMYFUNCTION("""COMPUTED_VALUE"""),"BT atau SU Belum Valid")</f>
        <v>BT atau SU Belum Valid</v>
      </c>
      <c r="L4864" s="13" t="str">
        <f>IFERROR(__xludf.DUMMYFUNCTION("""COMPUTED_VALUE"""),"")</f>
        <v/>
      </c>
      <c r="M4864" s="13"/>
      <c r="N4864" s="13" t="str">
        <f>IFERROR(__xludf.DUMMYFUNCTION("""COMPUTED_VALUE"""),"")</f>
        <v/>
      </c>
      <c r="O4864" s="13" t="str">
        <f t="shared" si="1"/>
        <v/>
      </c>
    </row>
    <row r="4865" ht="22.5" customHeight="1">
      <c r="B4865" s="13">
        <f>IFERROR(__xludf.DUMMYFUNCTION("""COMPUTED_VALUE"""),4860.0)</f>
        <v>4860</v>
      </c>
      <c r="C4865" s="13" t="str">
        <f>IFERROR(__xludf.DUMMYFUNCTION("""COMPUTED_VALUE"""),"B 582/ Sumber Agung")</f>
        <v>B 582/ Sumber Agung</v>
      </c>
      <c r="D4865" s="13" t="str">
        <f>IFERROR(__xludf.DUMMYFUNCTION("""COMPUTED_VALUE"""),"ABVQIDYN")</f>
        <v>ABVQIDYN</v>
      </c>
      <c r="E4865" s="14" t="str">
        <f>IFERROR(__xludf.DUMMYFUNCTION("""COMPUTED_VALUE"""),"Heri (BT)")</f>
        <v>Heri (BT)</v>
      </c>
      <c r="F4865" s="14" t="str">
        <f>IFERROR(__xludf.DUMMYFUNCTION("""COMPUTED_VALUE"""),"SELESAI (VIA PERMOHONAN)")</f>
        <v>SELESAI (VIA PERMOHONAN)</v>
      </c>
      <c r="G4865" s="17">
        <f>IFERROR(__xludf.DUMMYFUNCTION("""COMPUTED_VALUE"""),46062.78872768518)</f>
        <v>46062.78873</v>
      </c>
      <c r="H4865" s="14"/>
      <c r="I4865" s="13"/>
      <c r="J4865" s="17" t="str">
        <f>IFERROR(__xludf.DUMMYFUNCTION("""COMPUTED_VALUE"""),"")</f>
        <v/>
      </c>
      <c r="K4865" s="13" t="str">
        <f>IFERROR(__xludf.DUMMYFUNCTION("""COMPUTED_VALUE"""),"BT atau SU Belum Valid")</f>
        <v>BT atau SU Belum Valid</v>
      </c>
      <c r="L4865" s="13" t="str">
        <f>IFERROR(__xludf.DUMMYFUNCTION("""COMPUTED_VALUE"""),"")</f>
        <v/>
      </c>
      <c r="M4865" s="13"/>
      <c r="N4865" s="13" t="str">
        <f>IFERROR(__xludf.DUMMYFUNCTION("""COMPUTED_VALUE"""),"")</f>
        <v/>
      </c>
      <c r="O4865" s="13" t="str">
        <f t="shared" si="1"/>
        <v/>
      </c>
    </row>
    <row r="4866" ht="22.5" customHeight="1">
      <c r="B4866" s="13">
        <f>IFERROR(__xludf.DUMMYFUNCTION("""COMPUTED_VALUE"""),4861.0)</f>
        <v>4861</v>
      </c>
      <c r="C4866" s="13" t="str">
        <f>IFERROR(__xludf.DUMMYFUNCTION("""COMPUTED_VALUE"""),"M.14580/Sukarame")</f>
        <v>M.14580/Sukarame</v>
      </c>
      <c r="D4866" s="13" t="str">
        <f>IFERROR(__xludf.DUMMYFUNCTION("""COMPUTED_VALUE"""),"Abevyfvy")</f>
        <v>Abevyfvy</v>
      </c>
      <c r="E4866" s="14" t="str">
        <f>IFERROR(__xludf.DUMMYFUNCTION("""COMPUTED_VALUE"""),"Heri (BT)")</f>
        <v>Heri (BT)</v>
      </c>
      <c r="F4866" s="14" t="str">
        <f>IFERROR(__xludf.DUMMYFUNCTION("""COMPUTED_VALUE"""),"SELESAI (VIA PERMOHONAN)")</f>
        <v>SELESAI (VIA PERMOHONAN)</v>
      </c>
      <c r="G4866" s="17">
        <f>IFERROR(__xludf.DUMMYFUNCTION("""COMPUTED_VALUE"""),46063.450715300925)</f>
        <v>46063.45072</v>
      </c>
      <c r="H4866" s="14"/>
      <c r="I4866" s="13"/>
      <c r="J4866" s="17" t="str">
        <f>IFERROR(__xludf.DUMMYFUNCTION("""COMPUTED_VALUE"""),"")</f>
        <v/>
      </c>
      <c r="K4866" s="13" t="str">
        <f>IFERROR(__xludf.DUMMYFUNCTION("""COMPUTED_VALUE"""),"BT atau SU Belum Valid")</f>
        <v>BT atau SU Belum Valid</v>
      </c>
      <c r="L4866" s="13" t="str">
        <f>IFERROR(__xludf.DUMMYFUNCTION("""COMPUTED_VALUE"""),"")</f>
        <v/>
      </c>
      <c r="M4866" s="13"/>
      <c r="N4866" s="13" t="str">
        <f>IFERROR(__xludf.DUMMYFUNCTION("""COMPUTED_VALUE"""),"")</f>
        <v/>
      </c>
      <c r="O4866" s="13" t="str">
        <f t="shared" si="1"/>
        <v/>
      </c>
    </row>
    <row r="4867" ht="22.5" customHeight="1">
      <c r="B4867" s="13">
        <f>IFERROR(__xludf.DUMMYFUNCTION("""COMPUTED_VALUE"""),4862.0)</f>
        <v>4862</v>
      </c>
      <c r="C4867" s="13" t="str">
        <f>IFERROR(__xludf.DUMMYFUNCTION("""COMPUTED_VALUE"""),"M 479/ Sumur putri ")</f>
        <v>M 479/ Sumur putri </v>
      </c>
      <c r="D4867" s="13" t="str">
        <f>IFERROR(__xludf.DUMMYFUNCTION("""COMPUTED_VALUE"""),"ABKEQERV")</f>
        <v>ABKEQERV</v>
      </c>
      <c r="E4867" s="14" t="str">
        <f>IFERROR(__xludf.DUMMYFUNCTION("""COMPUTED_VALUE"""),"Heri (BT)")</f>
        <v>Heri (BT)</v>
      </c>
      <c r="F4867" s="14" t="str">
        <f>IFERROR(__xludf.DUMMYFUNCTION("""COMPUTED_VALUE"""),"SELESAI (VIA PERMOHONAN)")</f>
        <v>SELESAI (VIA PERMOHONAN)</v>
      </c>
      <c r="G4867" s="17">
        <f>IFERROR(__xludf.DUMMYFUNCTION("""COMPUTED_VALUE"""),46063.45462495371)</f>
        <v>46063.45462</v>
      </c>
      <c r="H4867" s="14"/>
      <c r="I4867" s="13"/>
      <c r="J4867" s="17" t="str">
        <f>IFERROR(__xludf.DUMMYFUNCTION("""COMPUTED_VALUE"""),"")</f>
        <v/>
      </c>
      <c r="K4867" s="13" t="str">
        <f>IFERROR(__xludf.DUMMYFUNCTION("""COMPUTED_VALUE"""),"BT atau SU Belum Valid")</f>
        <v>BT atau SU Belum Valid</v>
      </c>
      <c r="L4867" s="13" t="str">
        <f>IFERROR(__xludf.DUMMYFUNCTION("""COMPUTED_VALUE"""),"")</f>
        <v/>
      </c>
      <c r="M4867" s="13"/>
      <c r="N4867" s="13" t="str">
        <f>IFERROR(__xludf.DUMMYFUNCTION("""COMPUTED_VALUE"""),"")</f>
        <v/>
      </c>
      <c r="O4867" s="13" t="str">
        <f t="shared" si="1"/>
        <v/>
      </c>
    </row>
    <row r="4868" ht="22.5" customHeight="1">
      <c r="B4868" s="13">
        <f>IFERROR(__xludf.DUMMYFUNCTION("""COMPUTED_VALUE"""),4863.0)</f>
        <v>4863</v>
      </c>
      <c r="C4868" s="13" t="str">
        <f>IFERROR(__xludf.DUMMYFUNCTION("""COMPUTED_VALUE"""),"Shm 2056 JAGABAYA III")</f>
        <v>Shm 2056 JAGABAYA III</v>
      </c>
      <c r="D4868" s="13" t="str">
        <f>IFERROR(__xludf.DUMMYFUNCTION("""COMPUTED_VALUE"""),"ABTNBUYM")</f>
        <v>ABTNBUYM</v>
      </c>
      <c r="E4868" s="14" t="str">
        <f>IFERROR(__xludf.DUMMYFUNCTION("""COMPUTED_VALUE"""),"Heri (BT)")</f>
        <v>Heri (BT)</v>
      </c>
      <c r="F4868" s="14" t="str">
        <f>IFERROR(__xludf.DUMMYFUNCTION("""COMPUTED_VALUE"""),"SELESAI (VIA PERMOHONAN)")</f>
        <v>SELESAI (VIA PERMOHONAN)</v>
      </c>
      <c r="G4868" s="17">
        <f>IFERROR(__xludf.DUMMYFUNCTION("""COMPUTED_VALUE"""),46064.395774351855)</f>
        <v>46064.39577</v>
      </c>
      <c r="H4868" s="14"/>
      <c r="I4868" s="13"/>
      <c r="J4868" s="17" t="str">
        <f>IFERROR(__xludf.DUMMYFUNCTION("""COMPUTED_VALUE"""),"")</f>
        <v/>
      </c>
      <c r="K4868" s="13" t="str">
        <f>IFERROR(__xludf.DUMMYFUNCTION("""COMPUTED_VALUE"""),"BT atau SU Belum Valid")</f>
        <v>BT atau SU Belum Valid</v>
      </c>
      <c r="L4868" s="13" t="str">
        <f>IFERROR(__xludf.DUMMYFUNCTION("""COMPUTED_VALUE"""),"")</f>
        <v/>
      </c>
      <c r="M4868" s="13"/>
      <c r="N4868" s="13" t="str">
        <f>IFERROR(__xludf.DUMMYFUNCTION("""COMPUTED_VALUE"""),"")</f>
        <v/>
      </c>
      <c r="O4868" s="13" t="str">
        <f t="shared" si="1"/>
        <v/>
      </c>
    </row>
    <row r="4869" ht="22.5" customHeight="1">
      <c r="B4869" s="13">
        <f>IFERROR(__xludf.DUMMYFUNCTION("""COMPUTED_VALUE"""),4864.0)</f>
        <v>4864</v>
      </c>
      <c r="C4869" s="13" t="str">
        <f>IFERROR(__xludf.DUMMYFUNCTION("""COMPUTED_VALUE"""),"1584/TB")</f>
        <v>1584/TB</v>
      </c>
      <c r="D4869" s="13" t="str">
        <f>IFERROR(__xludf.DUMMYFUNCTION("""COMPUTED_VALUE"""),"AB058/ABCXEKSN")</f>
        <v>AB058/ABCXEKSN</v>
      </c>
      <c r="E4869" s="14" t="str">
        <f>IFERROR(__xludf.DUMMYFUNCTION("""COMPUTED_VALUE"""),"Heri (BT)")</f>
        <v>Heri (BT)</v>
      </c>
      <c r="F4869" s="14" t="str">
        <f>IFERROR(__xludf.DUMMYFUNCTION("""COMPUTED_VALUE"""),"SELESAI (VIA PERMOHONAN)")</f>
        <v>SELESAI (VIA PERMOHONAN)</v>
      </c>
      <c r="G4869" s="17">
        <f>IFERROR(__xludf.DUMMYFUNCTION("""COMPUTED_VALUE"""),46064.39630108797)</f>
        <v>46064.3963</v>
      </c>
      <c r="H4869" s="14"/>
      <c r="I4869" s="13"/>
      <c r="J4869" s="17" t="str">
        <f>IFERROR(__xludf.DUMMYFUNCTION("""COMPUTED_VALUE"""),"")</f>
        <v/>
      </c>
      <c r="K4869" s="13" t="str">
        <f>IFERROR(__xludf.DUMMYFUNCTION("""COMPUTED_VALUE"""),"BT atau SU Belum Valid")</f>
        <v>BT atau SU Belum Valid</v>
      </c>
      <c r="L4869" s="13" t="str">
        <f>IFERROR(__xludf.DUMMYFUNCTION("""COMPUTED_VALUE"""),"")</f>
        <v/>
      </c>
      <c r="M4869" s="13"/>
      <c r="N4869" s="13" t="str">
        <f>IFERROR(__xludf.DUMMYFUNCTION("""COMPUTED_VALUE"""),"")</f>
        <v/>
      </c>
      <c r="O4869" s="13" t="str">
        <f t="shared" si="1"/>
        <v/>
      </c>
    </row>
    <row r="4870" ht="22.5" customHeight="1">
      <c r="B4870" s="13">
        <f>IFERROR(__xludf.DUMMYFUNCTION("""COMPUTED_VALUE"""),4865.0)</f>
        <v>4865</v>
      </c>
      <c r="C4870" s="13" t="str">
        <f>IFERROR(__xludf.DUMMYFUNCTION("""COMPUTED_VALUE"""),"M. 2187/Labuhan Ratu")</f>
        <v>M. 2187/Labuhan Ratu</v>
      </c>
      <c r="D4870" s="13" t="str">
        <f>IFERROR(__xludf.DUMMYFUNCTION("""COMPUTED_VALUE"""),"ABFTEVKB")</f>
        <v>ABFTEVKB</v>
      </c>
      <c r="E4870" s="14" t="str">
        <f>IFERROR(__xludf.DUMMYFUNCTION("""COMPUTED_VALUE"""),"Heri (BT)")</f>
        <v>Heri (BT)</v>
      </c>
      <c r="F4870" s="14" t="str">
        <f>IFERROR(__xludf.DUMMYFUNCTION("""COMPUTED_VALUE"""),"SELESAI (VIA PERMOHONAN)")</f>
        <v>SELESAI (VIA PERMOHONAN)</v>
      </c>
      <c r="G4870" s="17">
        <f>IFERROR(__xludf.DUMMYFUNCTION("""COMPUTED_VALUE"""),46064.3973262963)</f>
        <v>46064.39733</v>
      </c>
      <c r="H4870" s="14"/>
      <c r="I4870" s="13"/>
      <c r="J4870" s="17" t="str">
        <f>IFERROR(__xludf.DUMMYFUNCTION("""COMPUTED_VALUE"""),"")</f>
        <v/>
      </c>
      <c r="K4870" s="13" t="str">
        <f>IFERROR(__xludf.DUMMYFUNCTION("""COMPUTED_VALUE"""),"BT atau SU Belum Valid")</f>
        <v>BT atau SU Belum Valid</v>
      </c>
      <c r="L4870" s="13" t="str">
        <f>IFERROR(__xludf.DUMMYFUNCTION("""COMPUTED_VALUE"""),"")</f>
        <v/>
      </c>
      <c r="M4870" s="13"/>
      <c r="N4870" s="13" t="str">
        <f>IFERROR(__xludf.DUMMYFUNCTION("""COMPUTED_VALUE"""),"")</f>
        <v/>
      </c>
      <c r="O4870" s="13" t="str">
        <f t="shared" si="1"/>
        <v/>
      </c>
    </row>
    <row r="4871" ht="22.5" customHeight="1">
      <c r="B4871" s="13">
        <f>IFERROR(__xludf.DUMMYFUNCTION("""COMPUTED_VALUE"""),4866.0)</f>
        <v>4866</v>
      </c>
      <c r="C4871" s="13" t="str">
        <f>IFERROR(__xludf.DUMMYFUNCTION("""COMPUTED_VALUE"""),"M.4412 RAJABASA JAYA")</f>
        <v>M.4412 RAJABASA JAYA</v>
      </c>
      <c r="D4871" s="13" t="str">
        <f>IFERROR(__xludf.DUMMYFUNCTION("""COMPUTED_VALUE"""),"AB059/ABORMXKV")</f>
        <v>AB059/ABORMXKV</v>
      </c>
      <c r="E4871" s="14" t="str">
        <f>IFERROR(__xludf.DUMMYFUNCTION("""COMPUTED_VALUE"""),"Heri (BT)")</f>
        <v>Heri (BT)</v>
      </c>
      <c r="F4871" s="14" t="str">
        <f>IFERROR(__xludf.DUMMYFUNCTION("""COMPUTED_VALUE"""),"SELESAI (VIA PERMOHONAN)")</f>
        <v>SELESAI (VIA PERMOHONAN)</v>
      </c>
      <c r="G4871" s="17">
        <f>IFERROR(__xludf.DUMMYFUNCTION("""COMPUTED_VALUE"""),46064.39770094908)</f>
        <v>46064.3977</v>
      </c>
      <c r="H4871" s="14"/>
      <c r="I4871" s="13"/>
      <c r="J4871" s="17" t="str">
        <f>IFERROR(__xludf.DUMMYFUNCTION("""COMPUTED_VALUE"""),"")</f>
        <v/>
      </c>
      <c r="K4871" s="13" t="str">
        <f>IFERROR(__xludf.DUMMYFUNCTION("""COMPUTED_VALUE"""),"BT atau SU Belum Valid")</f>
        <v>BT atau SU Belum Valid</v>
      </c>
      <c r="L4871" s="13" t="str">
        <f>IFERROR(__xludf.DUMMYFUNCTION("""COMPUTED_VALUE"""),"")</f>
        <v/>
      </c>
      <c r="M4871" s="13"/>
      <c r="N4871" s="13" t="str">
        <f>IFERROR(__xludf.DUMMYFUNCTION("""COMPUTED_VALUE"""),"")</f>
        <v/>
      </c>
      <c r="O4871" s="13" t="str">
        <f t="shared" si="1"/>
        <v/>
      </c>
    </row>
    <row r="4872" ht="22.5" customHeight="1">
      <c r="B4872" s="13">
        <f>IFERROR(__xludf.DUMMYFUNCTION("""COMPUTED_VALUE"""),4867.0)</f>
        <v>4867</v>
      </c>
      <c r="C4872" s="13" t="str">
        <f>IFERROR(__xludf.DUMMYFUNCTION("""COMPUTED_VALUE"""),"M. 780/GEDONG AIR")</f>
        <v>M. 780/GEDONG AIR</v>
      </c>
      <c r="D4872" s="13" t="str">
        <f>IFERROR(__xludf.DUMMYFUNCTION("""COMPUTED_VALUE"""),"L/1/120126/1")</f>
        <v>L/1/120126/1</v>
      </c>
      <c r="E4872" s="14" t="str">
        <f>IFERROR(__xludf.DUMMYFUNCTION("""COMPUTED_VALUE"""),"Heri (BT)")</f>
        <v>Heri (BT)</v>
      </c>
      <c r="F4872" s="14" t="str">
        <f>IFERROR(__xludf.DUMMYFUNCTION("""COMPUTED_VALUE"""),"SELESAI (VIA PERMOHONAN)")</f>
        <v>SELESAI (VIA PERMOHONAN)</v>
      </c>
      <c r="G4872" s="17">
        <f>IFERROR(__xludf.DUMMYFUNCTION("""COMPUTED_VALUE"""),46064.39809949074)</f>
        <v>46064.3981</v>
      </c>
      <c r="H4872" s="14"/>
      <c r="I4872" s="13"/>
      <c r="J4872" s="17" t="str">
        <f>IFERROR(__xludf.DUMMYFUNCTION("""COMPUTED_VALUE"""),"")</f>
        <v/>
      </c>
      <c r="K4872" s="13" t="str">
        <f>IFERROR(__xludf.DUMMYFUNCTION("""COMPUTED_VALUE"""),"BT atau SU Belum Valid")</f>
        <v>BT atau SU Belum Valid</v>
      </c>
      <c r="L4872" s="13" t="str">
        <f>IFERROR(__xludf.DUMMYFUNCTION("""COMPUTED_VALUE"""),"")</f>
        <v/>
      </c>
      <c r="M4872" s="13"/>
      <c r="N4872" s="13" t="str">
        <f>IFERROR(__xludf.DUMMYFUNCTION("""COMPUTED_VALUE"""),"")</f>
        <v/>
      </c>
      <c r="O4872" s="13" t="str">
        <f t="shared" si="1"/>
        <v/>
      </c>
    </row>
    <row r="4873" ht="22.5" customHeight="1">
      <c r="B4873" s="13">
        <f>IFERROR(__xludf.DUMMYFUNCTION("""COMPUTED_VALUE"""),4868.0)</f>
        <v>4868</v>
      </c>
      <c r="C4873" s="13" t="str">
        <f>IFERROR(__xludf.DUMMYFUNCTION("""COMPUTED_VALUE"""),"M.1293./Kangkung")</f>
        <v>M.1293./Kangkung</v>
      </c>
      <c r="D4873" s="13" t="str">
        <f>IFERROR(__xludf.DUMMYFUNCTION("""COMPUTED_VALUE"""),"ABKOACDR/AB078/AB079")</f>
        <v>ABKOACDR/AB078/AB079</v>
      </c>
      <c r="E4873" s="14" t="str">
        <f>IFERROR(__xludf.DUMMYFUNCTION("""COMPUTED_VALUE"""),"Heri (BT)")</f>
        <v>Heri (BT)</v>
      </c>
      <c r="F4873" s="14" t="str">
        <f>IFERROR(__xludf.DUMMYFUNCTION("""COMPUTED_VALUE"""),"SELESAI (VIA PERMOHONAN)")</f>
        <v>SELESAI (VIA PERMOHONAN)</v>
      </c>
      <c r="G4873" s="17">
        <f>IFERROR(__xludf.DUMMYFUNCTION("""COMPUTED_VALUE"""),46064.398346608796)</f>
        <v>46064.39835</v>
      </c>
      <c r="H4873" s="14"/>
      <c r="I4873" s="13"/>
      <c r="J4873" s="17" t="str">
        <f>IFERROR(__xludf.DUMMYFUNCTION("""COMPUTED_VALUE"""),"")</f>
        <v/>
      </c>
      <c r="K4873" s="13" t="str">
        <f>IFERROR(__xludf.DUMMYFUNCTION("""COMPUTED_VALUE"""),"BT atau SU Belum Valid")</f>
        <v>BT atau SU Belum Valid</v>
      </c>
      <c r="L4873" s="13" t="str">
        <f>IFERROR(__xludf.DUMMYFUNCTION("""COMPUTED_VALUE"""),"")</f>
        <v/>
      </c>
      <c r="M4873" s="13"/>
      <c r="N4873" s="13" t="str">
        <f>IFERROR(__xludf.DUMMYFUNCTION("""COMPUTED_VALUE"""),"")</f>
        <v/>
      </c>
      <c r="O4873" s="13" t="str">
        <f t="shared" si="1"/>
        <v/>
      </c>
    </row>
    <row r="4874" ht="22.5" customHeight="1">
      <c r="B4874" s="13">
        <f>IFERROR(__xludf.DUMMYFUNCTION("""COMPUTED_VALUE"""),4869.0)</f>
        <v>4869</v>
      </c>
      <c r="C4874" s="13" t="str">
        <f>IFERROR(__xludf.DUMMYFUNCTION("""COMPUTED_VALUE"""),"M. 260/penengahan raya")</f>
        <v>M. 260/penengahan raya</v>
      </c>
      <c r="D4874" s="13" t="str">
        <f>IFERROR(__xludf.DUMMYFUNCTION("""COMPUTED_VALUE"""),"ABGNNKWE/AB070")</f>
        <v>ABGNNKWE/AB070</v>
      </c>
      <c r="E4874" s="14" t="str">
        <f>IFERROR(__xludf.DUMMYFUNCTION("""COMPUTED_VALUE"""),"Heri (BT)")</f>
        <v>Heri (BT)</v>
      </c>
      <c r="F4874" s="14" t="str">
        <f>IFERROR(__xludf.DUMMYFUNCTION("""COMPUTED_VALUE"""),"SELESAI (VIA PERMOHONAN)")</f>
        <v>SELESAI (VIA PERMOHONAN)</v>
      </c>
      <c r="G4874" s="17">
        <f>IFERROR(__xludf.DUMMYFUNCTION("""COMPUTED_VALUE"""),46064.398710208334)</f>
        <v>46064.39871</v>
      </c>
      <c r="H4874" s="14"/>
      <c r="I4874" s="13"/>
      <c r="J4874" s="17" t="str">
        <f>IFERROR(__xludf.DUMMYFUNCTION("""COMPUTED_VALUE"""),"")</f>
        <v/>
      </c>
      <c r="K4874" s="13" t="str">
        <f>IFERROR(__xludf.DUMMYFUNCTION("""COMPUTED_VALUE"""),"BT atau SU Belum Valid")</f>
        <v>BT atau SU Belum Valid</v>
      </c>
      <c r="L4874" s="13" t="str">
        <f>IFERROR(__xludf.DUMMYFUNCTION("""COMPUTED_VALUE"""),"")</f>
        <v/>
      </c>
      <c r="M4874" s="13"/>
      <c r="N4874" s="13" t="str">
        <f>IFERROR(__xludf.DUMMYFUNCTION("""COMPUTED_VALUE"""),"")</f>
        <v/>
      </c>
      <c r="O4874" s="13" t="str">
        <f t="shared" si="1"/>
        <v/>
      </c>
    </row>
    <row r="4875" ht="22.5" customHeight="1">
      <c r="B4875" s="13">
        <f>IFERROR(__xludf.DUMMYFUNCTION("""COMPUTED_VALUE"""),4870.0)</f>
        <v>4870</v>
      </c>
      <c r="C4875" s="13" t="str">
        <f>IFERROR(__xludf.DUMMYFUNCTION("""COMPUTED_VALUE"""),"M 6648/ tanjung senang")</f>
        <v>M 6648/ tanjung senang</v>
      </c>
      <c r="D4875" s="13" t="str">
        <f>IFERROR(__xludf.DUMMYFUNCTION("""COMPUTED_VALUE"""),"Abnocaja")</f>
        <v>Abnocaja</v>
      </c>
      <c r="E4875" s="14" t="str">
        <f>IFERROR(__xludf.DUMMYFUNCTION("""COMPUTED_VALUE"""),"Heri (BT)")</f>
        <v>Heri (BT)</v>
      </c>
      <c r="F4875" s="14" t="str">
        <f>IFERROR(__xludf.DUMMYFUNCTION("""COMPUTED_VALUE"""),"SELESAI (VIA PERMOHONAN)")</f>
        <v>SELESAI (VIA PERMOHONAN)</v>
      </c>
      <c r="G4875" s="17">
        <f>IFERROR(__xludf.DUMMYFUNCTION("""COMPUTED_VALUE"""),46064.39890951389)</f>
        <v>46064.39891</v>
      </c>
      <c r="H4875" s="14"/>
      <c r="I4875" s="13"/>
      <c r="J4875" s="17" t="str">
        <f>IFERROR(__xludf.DUMMYFUNCTION("""COMPUTED_VALUE"""),"")</f>
        <v/>
      </c>
      <c r="K4875" s="13" t="str">
        <f>IFERROR(__xludf.DUMMYFUNCTION("""COMPUTED_VALUE"""),"BT atau SU Belum Valid")</f>
        <v>BT atau SU Belum Valid</v>
      </c>
      <c r="L4875" s="13" t="str">
        <f>IFERROR(__xludf.DUMMYFUNCTION("""COMPUTED_VALUE"""),"")</f>
        <v/>
      </c>
      <c r="M4875" s="13"/>
      <c r="N4875" s="13" t="str">
        <f>IFERROR(__xludf.DUMMYFUNCTION("""COMPUTED_VALUE"""),"")</f>
        <v/>
      </c>
      <c r="O4875" s="13" t="str">
        <f t="shared" si="1"/>
        <v/>
      </c>
    </row>
    <row r="4876" ht="22.5" customHeight="1">
      <c r="B4876" s="13">
        <f>IFERROR(__xludf.DUMMYFUNCTION("""COMPUTED_VALUE"""),4871.0)</f>
        <v>4871</v>
      </c>
      <c r="C4876" s="13" t="str">
        <f>IFERROR(__xludf.DUMMYFUNCTION("""COMPUTED_VALUE"""),"m 222/ pesawahan")</f>
        <v>m 222/ pesawahan</v>
      </c>
      <c r="D4876" s="13" t="str">
        <f>IFERROR(__xludf.DUMMYFUNCTION("""COMPUTED_VALUE"""),"ABXZEGTL")</f>
        <v>ABXZEGTL</v>
      </c>
      <c r="E4876" s="14" t="str">
        <f>IFERROR(__xludf.DUMMYFUNCTION("""COMPUTED_VALUE"""),"Heri (BT)")</f>
        <v>Heri (BT)</v>
      </c>
      <c r="F4876" s="14" t="str">
        <f>IFERROR(__xludf.DUMMYFUNCTION("""COMPUTED_VALUE"""),"SELESAI (VIA PERMOHONAN)")</f>
        <v>SELESAI (VIA PERMOHONAN)</v>
      </c>
      <c r="G4876" s="17">
        <f>IFERROR(__xludf.DUMMYFUNCTION("""COMPUTED_VALUE"""),46064.39931606481)</f>
        <v>46064.39932</v>
      </c>
      <c r="H4876" s="14"/>
      <c r="I4876" s="13"/>
      <c r="J4876" s="17" t="str">
        <f>IFERROR(__xludf.DUMMYFUNCTION("""COMPUTED_VALUE"""),"")</f>
        <v/>
      </c>
      <c r="K4876" s="13" t="str">
        <f>IFERROR(__xludf.DUMMYFUNCTION("""COMPUTED_VALUE"""),"BT atau SU Belum Valid")</f>
        <v>BT atau SU Belum Valid</v>
      </c>
      <c r="L4876" s="13" t="str">
        <f>IFERROR(__xludf.DUMMYFUNCTION("""COMPUTED_VALUE"""),"")</f>
        <v/>
      </c>
      <c r="M4876" s="13"/>
      <c r="N4876" s="13" t="str">
        <f>IFERROR(__xludf.DUMMYFUNCTION("""COMPUTED_VALUE"""),"")</f>
        <v/>
      </c>
      <c r="O4876" s="13" t="str">
        <f t="shared" si="1"/>
        <v/>
      </c>
    </row>
    <row r="4877" ht="22.5" customHeight="1">
      <c r="B4877" s="13">
        <f>IFERROR(__xludf.DUMMYFUNCTION("""COMPUTED_VALUE"""),4872.0)</f>
        <v>4872</v>
      </c>
      <c r="C4877" s="13" t="str">
        <f>IFERROR(__xludf.DUMMYFUNCTION("""COMPUTED_VALUE"""),"m 61/ pesawahan")</f>
        <v>m 61/ pesawahan</v>
      </c>
      <c r="D4877" s="13" t="str">
        <f>IFERROR(__xludf.DUMMYFUNCTION("""COMPUTED_VALUE"""),"ABADOPTV")</f>
        <v>ABADOPTV</v>
      </c>
      <c r="E4877" s="14" t="str">
        <f>IFERROR(__xludf.DUMMYFUNCTION("""COMPUTED_VALUE"""),"Heri (BT)")</f>
        <v>Heri (BT)</v>
      </c>
      <c r="F4877" s="14" t="str">
        <f>IFERROR(__xludf.DUMMYFUNCTION("""COMPUTED_VALUE"""),"SELESAI (VIA PERMOHONAN)")</f>
        <v>SELESAI (VIA PERMOHONAN)</v>
      </c>
      <c r="G4877" s="17">
        <f>IFERROR(__xludf.DUMMYFUNCTION("""COMPUTED_VALUE"""),46064.3996653588)</f>
        <v>46064.39967</v>
      </c>
      <c r="H4877" s="14"/>
      <c r="I4877" s="13"/>
      <c r="J4877" s="17" t="str">
        <f>IFERROR(__xludf.DUMMYFUNCTION("""COMPUTED_VALUE"""),"")</f>
        <v/>
      </c>
      <c r="K4877" s="13" t="str">
        <f>IFERROR(__xludf.DUMMYFUNCTION("""COMPUTED_VALUE"""),"BT atau SU Belum Valid")</f>
        <v>BT atau SU Belum Valid</v>
      </c>
      <c r="L4877" s="13" t="str">
        <f>IFERROR(__xludf.DUMMYFUNCTION("""COMPUTED_VALUE"""),"")</f>
        <v/>
      </c>
      <c r="M4877" s="13"/>
      <c r="N4877" s="13" t="str">
        <f>IFERROR(__xludf.DUMMYFUNCTION("""COMPUTED_VALUE"""),"")</f>
        <v/>
      </c>
      <c r="O4877" s="13" t="str">
        <f t="shared" si="1"/>
        <v/>
      </c>
    </row>
    <row r="4878" ht="22.5" customHeight="1">
      <c r="B4878" s="13">
        <f>IFERROR(__xludf.DUMMYFUNCTION("""COMPUTED_VALUE"""),4873.0)</f>
        <v>4873</v>
      </c>
      <c r="C4878" s="13" t="str">
        <f>IFERROR(__xludf.DUMMYFUNCTION("""COMPUTED_VALUE"""),"B. 805/ Sukarame Baru")</f>
        <v>B. 805/ Sukarame Baru</v>
      </c>
      <c r="D4878" s="13" t="str">
        <f>IFERROR(__xludf.DUMMYFUNCTION("""COMPUTED_VALUE"""),"ABOPVFBI")</f>
        <v>ABOPVFBI</v>
      </c>
      <c r="E4878" s="14" t="str">
        <f>IFERROR(__xludf.DUMMYFUNCTION("""COMPUTED_VALUE"""),"Heri (BT)")</f>
        <v>Heri (BT)</v>
      </c>
      <c r="F4878" s="14" t="str">
        <f>IFERROR(__xludf.DUMMYFUNCTION("""COMPUTED_VALUE"""),"SELESAI (VIA PERMOHONAN)")</f>
        <v>SELESAI (VIA PERMOHONAN)</v>
      </c>
      <c r="G4878" s="17">
        <f>IFERROR(__xludf.DUMMYFUNCTION("""COMPUTED_VALUE"""),46064.39998002315)</f>
        <v>46064.39998</v>
      </c>
      <c r="H4878" s="14"/>
      <c r="I4878" s="13"/>
      <c r="J4878" s="17" t="str">
        <f>IFERROR(__xludf.DUMMYFUNCTION("""COMPUTED_VALUE"""),"")</f>
        <v/>
      </c>
      <c r="K4878" s="13" t="str">
        <f>IFERROR(__xludf.DUMMYFUNCTION("""COMPUTED_VALUE"""),"BT atau SU Belum Valid")</f>
        <v>BT atau SU Belum Valid</v>
      </c>
      <c r="L4878" s="13" t="str">
        <f>IFERROR(__xludf.DUMMYFUNCTION("""COMPUTED_VALUE"""),"")</f>
        <v/>
      </c>
      <c r="M4878" s="13"/>
      <c r="N4878" s="13" t="str">
        <f>IFERROR(__xludf.DUMMYFUNCTION("""COMPUTED_VALUE"""),"")</f>
        <v/>
      </c>
      <c r="O4878" s="13" t="str">
        <f t="shared" si="1"/>
        <v/>
      </c>
    </row>
    <row r="4879" ht="22.5" customHeight="1">
      <c r="B4879" s="13">
        <f>IFERROR(__xludf.DUMMYFUNCTION("""COMPUTED_VALUE"""),4874.0)</f>
        <v>4874</v>
      </c>
      <c r="C4879" s="13" t="str">
        <f>IFERROR(__xludf.DUMMYFUNCTION("""COMPUTED_VALUE"""),"B. 804/ Sukarame Baru")</f>
        <v>B. 804/ Sukarame Baru</v>
      </c>
      <c r="D4879" s="13" t="str">
        <f>IFERROR(__xludf.DUMMYFUNCTION("""COMPUTED_VALUE"""),"ABHRQKYW")</f>
        <v>ABHRQKYW</v>
      </c>
      <c r="E4879" s="14" t="str">
        <f>IFERROR(__xludf.DUMMYFUNCTION("""COMPUTED_VALUE"""),"Heri (BT)")</f>
        <v>Heri (BT)</v>
      </c>
      <c r="F4879" s="14" t="str">
        <f>IFERROR(__xludf.DUMMYFUNCTION("""COMPUTED_VALUE"""),"SELESAI (VIA PERMOHONAN)")</f>
        <v>SELESAI (VIA PERMOHONAN)</v>
      </c>
      <c r="G4879" s="17">
        <f>IFERROR(__xludf.DUMMYFUNCTION("""COMPUTED_VALUE"""),46064.40024427083)</f>
        <v>46064.40024</v>
      </c>
      <c r="H4879" s="14"/>
      <c r="I4879" s="13"/>
      <c r="J4879" s="17" t="str">
        <f>IFERROR(__xludf.DUMMYFUNCTION("""COMPUTED_VALUE"""),"")</f>
        <v/>
      </c>
      <c r="K4879" s="13" t="str">
        <f>IFERROR(__xludf.DUMMYFUNCTION("""COMPUTED_VALUE"""),"BT atau SU Belum Valid")</f>
        <v>BT atau SU Belum Valid</v>
      </c>
      <c r="L4879" s="13" t="str">
        <f>IFERROR(__xludf.DUMMYFUNCTION("""COMPUTED_VALUE"""),"")</f>
        <v/>
      </c>
      <c r="M4879" s="13"/>
      <c r="N4879" s="13" t="str">
        <f>IFERROR(__xludf.DUMMYFUNCTION("""COMPUTED_VALUE"""),"")</f>
        <v/>
      </c>
      <c r="O4879" s="13" t="str">
        <f t="shared" si="1"/>
        <v/>
      </c>
    </row>
    <row r="4880" ht="22.5" customHeight="1">
      <c r="B4880" s="13">
        <f>IFERROR(__xludf.DUMMYFUNCTION("""COMPUTED_VALUE"""),4875.0)</f>
        <v>4875</v>
      </c>
      <c r="C4880" s="13" t="str">
        <f>IFERROR(__xludf.DUMMYFUNCTION("""COMPUTED_VALUE"""),"B. 807/ sukarame baru")</f>
        <v>B. 807/ sukarame baru</v>
      </c>
      <c r="D4880" s="13" t="str">
        <f>IFERROR(__xludf.DUMMYFUNCTION("""COMPUTED_VALUE"""),"ABJJQDSB")</f>
        <v>ABJJQDSB</v>
      </c>
      <c r="E4880" s="14" t="str">
        <f>IFERROR(__xludf.DUMMYFUNCTION("""COMPUTED_VALUE"""),"Heri (BT)")</f>
        <v>Heri (BT)</v>
      </c>
      <c r="F4880" s="14" t="str">
        <f>IFERROR(__xludf.DUMMYFUNCTION("""COMPUTED_VALUE"""),"SELESAI (VIA PERMOHONAN)")</f>
        <v>SELESAI (VIA PERMOHONAN)</v>
      </c>
      <c r="G4880" s="17">
        <f>IFERROR(__xludf.DUMMYFUNCTION("""COMPUTED_VALUE"""),46064.40056616898)</f>
        <v>46064.40057</v>
      </c>
      <c r="H4880" s="14"/>
      <c r="I4880" s="13"/>
      <c r="J4880" s="17" t="str">
        <f>IFERROR(__xludf.DUMMYFUNCTION("""COMPUTED_VALUE"""),"")</f>
        <v/>
      </c>
      <c r="K4880" s="13" t="str">
        <f>IFERROR(__xludf.DUMMYFUNCTION("""COMPUTED_VALUE"""),"BT atau SU Belum Valid")</f>
        <v>BT atau SU Belum Valid</v>
      </c>
      <c r="L4880" s="13" t="str">
        <f>IFERROR(__xludf.DUMMYFUNCTION("""COMPUTED_VALUE"""),"")</f>
        <v/>
      </c>
      <c r="M4880" s="13"/>
      <c r="N4880" s="13" t="str">
        <f>IFERROR(__xludf.DUMMYFUNCTION("""COMPUTED_VALUE"""),"")</f>
        <v/>
      </c>
      <c r="O4880" s="13" t="str">
        <f t="shared" si="1"/>
        <v/>
      </c>
    </row>
    <row r="4881" ht="22.5" customHeight="1">
      <c r="B4881" s="13">
        <f>IFERROR(__xludf.DUMMYFUNCTION("""COMPUTED_VALUE"""),4876.0)</f>
        <v>4876</v>
      </c>
      <c r="C4881" s="13" t="str">
        <f>IFERROR(__xludf.DUMMYFUNCTION("""COMPUTED_VALUE"""),"B. 810/ Sukarame Baru")</f>
        <v>B. 810/ Sukarame Baru</v>
      </c>
      <c r="D4881" s="13" t="str">
        <f>IFERROR(__xludf.DUMMYFUNCTION("""COMPUTED_VALUE"""),"ABFAJEJO")</f>
        <v>ABFAJEJO</v>
      </c>
      <c r="E4881" s="14" t="str">
        <f>IFERROR(__xludf.DUMMYFUNCTION("""COMPUTED_VALUE"""),"Heri (BT)")</f>
        <v>Heri (BT)</v>
      </c>
      <c r="F4881" s="14" t="str">
        <f>IFERROR(__xludf.DUMMYFUNCTION("""COMPUTED_VALUE"""),"SELESAI (VIA PERMOHONAN)")</f>
        <v>SELESAI (VIA PERMOHONAN)</v>
      </c>
      <c r="G4881" s="17">
        <f>IFERROR(__xludf.DUMMYFUNCTION("""COMPUTED_VALUE"""),46064.40089496528)</f>
        <v>46064.40089</v>
      </c>
      <c r="H4881" s="14"/>
      <c r="I4881" s="13"/>
      <c r="J4881" s="17" t="str">
        <f>IFERROR(__xludf.DUMMYFUNCTION("""COMPUTED_VALUE"""),"")</f>
        <v/>
      </c>
      <c r="K4881" s="13" t="str">
        <f>IFERROR(__xludf.DUMMYFUNCTION("""COMPUTED_VALUE"""),"BT atau SU Belum Valid")</f>
        <v>BT atau SU Belum Valid</v>
      </c>
      <c r="L4881" s="13" t="str">
        <f>IFERROR(__xludf.DUMMYFUNCTION("""COMPUTED_VALUE"""),"")</f>
        <v/>
      </c>
      <c r="M4881" s="13"/>
      <c r="N4881" s="13" t="str">
        <f>IFERROR(__xludf.DUMMYFUNCTION("""COMPUTED_VALUE"""),"")</f>
        <v/>
      </c>
      <c r="O4881" s="13" t="str">
        <f t="shared" si="1"/>
        <v/>
      </c>
    </row>
    <row r="4882" ht="22.5" customHeight="1">
      <c r="B4882" s="13">
        <f>IFERROR(__xludf.DUMMYFUNCTION("""COMPUTED_VALUE"""),4877.0)</f>
        <v>4877</v>
      </c>
      <c r="C4882" s="13" t="str">
        <f>IFERROR(__xludf.DUMMYFUNCTION("""COMPUTED_VALUE"""),"B 816/ SUKARAME BARU")</f>
        <v>B 816/ SUKARAME BARU</v>
      </c>
      <c r="D4882" s="13" t="str">
        <f>IFERROR(__xludf.DUMMYFUNCTION("""COMPUTED_VALUE"""),"ABMIBPHC")</f>
        <v>ABMIBPHC</v>
      </c>
      <c r="E4882" s="14" t="str">
        <f>IFERROR(__xludf.DUMMYFUNCTION("""COMPUTED_VALUE"""),"Heri (BT)")</f>
        <v>Heri (BT)</v>
      </c>
      <c r="F4882" s="14" t="str">
        <f>IFERROR(__xludf.DUMMYFUNCTION("""COMPUTED_VALUE"""),"SELESAI (VIA PERMOHONAN)")</f>
        <v>SELESAI (VIA PERMOHONAN)</v>
      </c>
      <c r="G4882" s="17">
        <f>IFERROR(__xludf.DUMMYFUNCTION("""COMPUTED_VALUE"""),46064.40114045139)</f>
        <v>46064.40114</v>
      </c>
      <c r="H4882" s="14"/>
      <c r="I4882" s="13"/>
      <c r="J4882" s="17" t="str">
        <f>IFERROR(__xludf.DUMMYFUNCTION("""COMPUTED_VALUE"""),"")</f>
        <v/>
      </c>
      <c r="K4882" s="13" t="str">
        <f>IFERROR(__xludf.DUMMYFUNCTION("""COMPUTED_VALUE"""),"BT atau SU Belum Valid")</f>
        <v>BT atau SU Belum Valid</v>
      </c>
      <c r="L4882" s="13" t="str">
        <f>IFERROR(__xludf.DUMMYFUNCTION("""COMPUTED_VALUE"""),"")</f>
        <v/>
      </c>
      <c r="M4882" s="13"/>
      <c r="N4882" s="13" t="str">
        <f>IFERROR(__xludf.DUMMYFUNCTION("""COMPUTED_VALUE"""),"")</f>
        <v/>
      </c>
      <c r="O4882" s="13" t="str">
        <f t="shared" si="1"/>
        <v/>
      </c>
    </row>
    <row r="4883" ht="22.5" customHeight="1">
      <c r="B4883" s="13">
        <f>IFERROR(__xludf.DUMMYFUNCTION("""COMPUTED_VALUE"""),4878.0)</f>
        <v>4878</v>
      </c>
      <c r="C4883" s="13" t="str">
        <f>IFERROR(__xludf.DUMMYFUNCTION("""COMPUTED_VALUE"""),"B 815/ SUKARAME BARU")</f>
        <v>B 815/ SUKARAME BARU</v>
      </c>
      <c r="D4883" s="13" t="str">
        <f>IFERROR(__xludf.DUMMYFUNCTION("""COMPUTED_VALUE"""),"ABVOGHPV")</f>
        <v>ABVOGHPV</v>
      </c>
      <c r="E4883" s="14" t="str">
        <f>IFERROR(__xludf.DUMMYFUNCTION("""COMPUTED_VALUE"""),"Heri (BT)")</f>
        <v>Heri (BT)</v>
      </c>
      <c r="F4883" s="14" t="str">
        <f>IFERROR(__xludf.DUMMYFUNCTION("""COMPUTED_VALUE"""),"SELESAI (VIA PERMOHONAN)")</f>
        <v>SELESAI (VIA PERMOHONAN)</v>
      </c>
      <c r="G4883" s="17">
        <f>IFERROR(__xludf.DUMMYFUNCTION("""COMPUTED_VALUE"""),46064.401582719904)</f>
        <v>46064.40158</v>
      </c>
      <c r="H4883" s="14"/>
      <c r="I4883" s="13"/>
      <c r="J4883" s="17" t="str">
        <f>IFERROR(__xludf.DUMMYFUNCTION("""COMPUTED_VALUE"""),"")</f>
        <v/>
      </c>
      <c r="K4883" s="13" t="str">
        <f>IFERROR(__xludf.DUMMYFUNCTION("""COMPUTED_VALUE"""),"BT atau SU Belum Valid")</f>
        <v>BT atau SU Belum Valid</v>
      </c>
      <c r="L4883" s="13" t="str">
        <f>IFERROR(__xludf.DUMMYFUNCTION("""COMPUTED_VALUE"""),"")</f>
        <v/>
      </c>
      <c r="M4883" s="13"/>
      <c r="N4883" s="13" t="str">
        <f>IFERROR(__xludf.DUMMYFUNCTION("""COMPUTED_VALUE"""),"")</f>
        <v/>
      </c>
      <c r="O4883" s="13" t="str">
        <f t="shared" si="1"/>
        <v/>
      </c>
    </row>
    <row r="4884" ht="22.5" customHeight="1">
      <c r="B4884" s="13">
        <f>IFERROR(__xludf.DUMMYFUNCTION("""COMPUTED_VALUE"""),4879.0)</f>
        <v>4879</v>
      </c>
      <c r="C4884" s="13" t="str">
        <f>IFERROR(__xludf.DUMMYFUNCTION("""COMPUTED_VALUE"""),"B. 811/ Sukarame Baru")</f>
        <v>B. 811/ Sukarame Baru</v>
      </c>
      <c r="D4884" s="13" t="str">
        <f>IFERROR(__xludf.DUMMYFUNCTION("""COMPUTED_VALUE"""),"ABDZAQIE")</f>
        <v>ABDZAQIE</v>
      </c>
      <c r="E4884" s="14" t="str">
        <f>IFERROR(__xludf.DUMMYFUNCTION("""COMPUTED_VALUE"""),"Heri (BT)")</f>
        <v>Heri (BT)</v>
      </c>
      <c r="F4884" s="14" t="str">
        <f>IFERROR(__xludf.DUMMYFUNCTION("""COMPUTED_VALUE"""),"SELESAI (VIA PERMOHONAN)")</f>
        <v>SELESAI (VIA PERMOHONAN)</v>
      </c>
      <c r="G4884" s="17">
        <f>IFERROR(__xludf.DUMMYFUNCTION("""COMPUTED_VALUE"""),46064.40193762731)</f>
        <v>46064.40194</v>
      </c>
      <c r="H4884" s="14"/>
      <c r="I4884" s="13"/>
      <c r="J4884" s="17" t="str">
        <f>IFERROR(__xludf.DUMMYFUNCTION("""COMPUTED_VALUE"""),"")</f>
        <v/>
      </c>
      <c r="K4884" s="13" t="str">
        <f>IFERROR(__xludf.DUMMYFUNCTION("""COMPUTED_VALUE"""),"BT atau SU Belum Valid")</f>
        <v>BT atau SU Belum Valid</v>
      </c>
      <c r="L4884" s="13" t="str">
        <f>IFERROR(__xludf.DUMMYFUNCTION("""COMPUTED_VALUE"""),"")</f>
        <v/>
      </c>
      <c r="M4884" s="13"/>
      <c r="N4884" s="13" t="str">
        <f>IFERROR(__xludf.DUMMYFUNCTION("""COMPUTED_VALUE"""),"")</f>
        <v/>
      </c>
      <c r="O4884" s="13" t="str">
        <f t="shared" si="1"/>
        <v/>
      </c>
    </row>
    <row r="4885" ht="22.5" customHeight="1">
      <c r="B4885" s="13">
        <f>IFERROR(__xludf.DUMMYFUNCTION("""COMPUTED_VALUE"""),4880.0)</f>
        <v>4880</v>
      </c>
      <c r="C4885" s="13" t="str">
        <f>IFERROR(__xludf.DUMMYFUNCTION("""COMPUTED_VALUE"""),"B. 808/ Sukarame Baru")</f>
        <v>B. 808/ Sukarame Baru</v>
      </c>
      <c r="D4885" s="13" t="str">
        <f>IFERROR(__xludf.DUMMYFUNCTION("""COMPUTED_VALUE"""),"ABYYLEBX")</f>
        <v>ABYYLEBX</v>
      </c>
      <c r="E4885" s="14" t="str">
        <f>IFERROR(__xludf.DUMMYFUNCTION("""COMPUTED_VALUE"""),"Heri (BT)")</f>
        <v>Heri (BT)</v>
      </c>
      <c r="F4885" s="14" t="str">
        <f>IFERROR(__xludf.DUMMYFUNCTION("""COMPUTED_VALUE"""),"SELESAI (VIA PERMOHONAN)")</f>
        <v>SELESAI (VIA PERMOHONAN)</v>
      </c>
      <c r="G4885" s="17">
        <f>IFERROR(__xludf.DUMMYFUNCTION("""COMPUTED_VALUE"""),46064.40223847222)</f>
        <v>46064.40224</v>
      </c>
      <c r="H4885" s="14"/>
      <c r="I4885" s="13"/>
      <c r="J4885" s="17" t="str">
        <f>IFERROR(__xludf.DUMMYFUNCTION("""COMPUTED_VALUE"""),"")</f>
        <v/>
      </c>
      <c r="K4885" s="13" t="str">
        <f>IFERROR(__xludf.DUMMYFUNCTION("""COMPUTED_VALUE"""),"BT atau SU Belum Valid")</f>
        <v>BT atau SU Belum Valid</v>
      </c>
      <c r="L4885" s="13" t="str">
        <f>IFERROR(__xludf.DUMMYFUNCTION("""COMPUTED_VALUE"""),"")</f>
        <v/>
      </c>
      <c r="M4885" s="13"/>
      <c r="N4885" s="13" t="str">
        <f>IFERROR(__xludf.DUMMYFUNCTION("""COMPUTED_VALUE"""),"")</f>
        <v/>
      </c>
      <c r="O4885" s="13" t="str">
        <f t="shared" si="1"/>
        <v/>
      </c>
    </row>
    <row r="4886" ht="22.5" customHeight="1">
      <c r="B4886" s="13">
        <f>IFERROR(__xludf.DUMMYFUNCTION("""COMPUTED_VALUE"""),4881.0)</f>
        <v>4881</v>
      </c>
      <c r="C4886" s="13" t="str">
        <f>IFERROR(__xludf.DUMMYFUNCTION("""COMPUTED_VALUE"""),"B. 801/ Sukarame Baru")</f>
        <v>B. 801/ Sukarame Baru</v>
      </c>
      <c r="D4886" s="13" t="str">
        <f>IFERROR(__xludf.DUMMYFUNCTION("""COMPUTED_VALUE"""),"ABFCHNZD")</f>
        <v>ABFCHNZD</v>
      </c>
      <c r="E4886" s="14" t="str">
        <f>IFERROR(__xludf.DUMMYFUNCTION("""COMPUTED_VALUE"""),"Heri (BT)")</f>
        <v>Heri (BT)</v>
      </c>
      <c r="F4886" s="14" t="str">
        <f>IFERROR(__xludf.DUMMYFUNCTION("""COMPUTED_VALUE"""),"SELESAI (VIA PERMOHONAN)")</f>
        <v>SELESAI (VIA PERMOHONAN)</v>
      </c>
      <c r="G4886" s="17">
        <f>IFERROR(__xludf.DUMMYFUNCTION("""COMPUTED_VALUE"""),46064.402516145834)</f>
        <v>46064.40252</v>
      </c>
      <c r="H4886" s="14"/>
      <c r="I4886" s="13"/>
      <c r="J4886" s="17" t="str">
        <f>IFERROR(__xludf.DUMMYFUNCTION("""COMPUTED_VALUE"""),"")</f>
        <v/>
      </c>
      <c r="K4886" s="13" t="str">
        <f>IFERROR(__xludf.DUMMYFUNCTION("""COMPUTED_VALUE"""),"BT atau SU Belum Valid")</f>
        <v>BT atau SU Belum Valid</v>
      </c>
      <c r="L4886" s="13" t="str">
        <f>IFERROR(__xludf.DUMMYFUNCTION("""COMPUTED_VALUE"""),"")</f>
        <v/>
      </c>
      <c r="M4886" s="13"/>
      <c r="N4886" s="13" t="str">
        <f>IFERROR(__xludf.DUMMYFUNCTION("""COMPUTED_VALUE"""),"")</f>
        <v/>
      </c>
      <c r="O4886" s="13" t="str">
        <f t="shared" si="1"/>
        <v/>
      </c>
    </row>
    <row r="4887" ht="22.5" customHeight="1">
      <c r="B4887" s="13">
        <f>IFERROR(__xludf.DUMMYFUNCTION("""COMPUTED_VALUE"""),4882.0)</f>
        <v>4882</v>
      </c>
      <c r="C4887" s="13" t="str">
        <f>IFERROR(__xludf.DUMMYFUNCTION("""COMPUTED_VALUE"""),"B. 806/ Sukarame Baru")</f>
        <v>B. 806/ Sukarame Baru</v>
      </c>
      <c r="D4887" s="13" t="str">
        <f>IFERROR(__xludf.DUMMYFUNCTION("""COMPUTED_VALUE"""),"ABVEADHZ")</f>
        <v>ABVEADHZ</v>
      </c>
      <c r="E4887" s="14" t="str">
        <f>IFERROR(__xludf.DUMMYFUNCTION("""COMPUTED_VALUE"""),"Heri (BT)")</f>
        <v>Heri (BT)</v>
      </c>
      <c r="F4887" s="14" t="str">
        <f>IFERROR(__xludf.DUMMYFUNCTION("""COMPUTED_VALUE"""),"SELESAI (VIA PERMOHONAN)")</f>
        <v>SELESAI (VIA PERMOHONAN)</v>
      </c>
      <c r="G4887" s="17">
        <f>IFERROR(__xludf.DUMMYFUNCTION("""COMPUTED_VALUE"""),46064.402835092595)</f>
        <v>46064.40284</v>
      </c>
      <c r="H4887" s="14"/>
      <c r="I4887" s="13"/>
      <c r="J4887" s="17" t="str">
        <f>IFERROR(__xludf.DUMMYFUNCTION("""COMPUTED_VALUE"""),"")</f>
        <v/>
      </c>
      <c r="K4887" s="13" t="str">
        <f>IFERROR(__xludf.DUMMYFUNCTION("""COMPUTED_VALUE"""),"BT atau SU Belum Valid")</f>
        <v>BT atau SU Belum Valid</v>
      </c>
      <c r="L4887" s="13" t="str">
        <f>IFERROR(__xludf.DUMMYFUNCTION("""COMPUTED_VALUE"""),"")</f>
        <v/>
      </c>
      <c r="M4887" s="13"/>
      <c r="N4887" s="13" t="str">
        <f>IFERROR(__xludf.DUMMYFUNCTION("""COMPUTED_VALUE"""),"")</f>
        <v/>
      </c>
      <c r="O4887" s="13" t="str">
        <f t="shared" si="1"/>
        <v/>
      </c>
    </row>
    <row r="4888" ht="22.5" customHeight="1">
      <c r="B4888" s="13">
        <f>IFERROR(__xludf.DUMMYFUNCTION("""COMPUTED_VALUE"""),4883.0)</f>
        <v>4883</v>
      </c>
      <c r="C4888" s="13" t="str">
        <f>IFERROR(__xludf.DUMMYFUNCTION("""COMPUTED_VALUE"""),"B. 802/ Sukarame Baru")</f>
        <v>B. 802/ Sukarame Baru</v>
      </c>
      <c r="D4888" s="13" t="str">
        <f>IFERROR(__xludf.DUMMYFUNCTION("""COMPUTED_VALUE"""),"ABBWSASX")</f>
        <v>ABBWSASX</v>
      </c>
      <c r="E4888" s="14" t="str">
        <f>IFERROR(__xludf.DUMMYFUNCTION("""COMPUTED_VALUE"""),"Heri (BT)")</f>
        <v>Heri (BT)</v>
      </c>
      <c r="F4888" s="14" t="str">
        <f>IFERROR(__xludf.DUMMYFUNCTION("""COMPUTED_VALUE"""),"SELESAI (VIA PERMOHONAN)")</f>
        <v>SELESAI (VIA PERMOHONAN)</v>
      </c>
      <c r="G4888" s="17">
        <f>IFERROR(__xludf.DUMMYFUNCTION("""COMPUTED_VALUE"""),46064.403129432874)</f>
        <v>46064.40313</v>
      </c>
      <c r="H4888" s="14"/>
      <c r="I4888" s="13"/>
      <c r="J4888" s="17" t="str">
        <f>IFERROR(__xludf.DUMMYFUNCTION("""COMPUTED_VALUE"""),"")</f>
        <v/>
      </c>
      <c r="K4888" s="13" t="str">
        <f>IFERROR(__xludf.DUMMYFUNCTION("""COMPUTED_VALUE"""),"BT atau SU Belum Valid")</f>
        <v>BT atau SU Belum Valid</v>
      </c>
      <c r="L4888" s="13" t="str">
        <f>IFERROR(__xludf.DUMMYFUNCTION("""COMPUTED_VALUE"""),"")</f>
        <v/>
      </c>
      <c r="M4888" s="13"/>
      <c r="N4888" s="13" t="str">
        <f>IFERROR(__xludf.DUMMYFUNCTION("""COMPUTED_VALUE"""),"")</f>
        <v/>
      </c>
      <c r="O4888" s="13" t="str">
        <f t="shared" si="1"/>
        <v/>
      </c>
    </row>
    <row r="4889" ht="22.5" customHeight="1">
      <c r="B4889" s="13">
        <f>IFERROR(__xludf.DUMMYFUNCTION("""COMPUTED_VALUE"""),4884.0)</f>
        <v>4884</v>
      </c>
      <c r="C4889" s="13" t="str">
        <f>IFERROR(__xludf.DUMMYFUNCTION("""COMPUTED_VALUE"""),"B. 803/ Sukarame Baru")</f>
        <v>B. 803/ Sukarame Baru</v>
      </c>
      <c r="D4889" s="13" t="str">
        <f>IFERROR(__xludf.DUMMYFUNCTION("""COMPUTED_VALUE"""),"ABQGAMZC")</f>
        <v>ABQGAMZC</v>
      </c>
      <c r="E4889" s="14" t="str">
        <f>IFERROR(__xludf.DUMMYFUNCTION("""COMPUTED_VALUE"""),"Heri (BT)")</f>
        <v>Heri (BT)</v>
      </c>
      <c r="F4889" s="14" t="str">
        <f>IFERROR(__xludf.DUMMYFUNCTION("""COMPUTED_VALUE"""),"SELESAI (VIA PERMOHONAN)")</f>
        <v>SELESAI (VIA PERMOHONAN)</v>
      </c>
      <c r="G4889" s="17">
        <f>IFERROR(__xludf.DUMMYFUNCTION("""COMPUTED_VALUE"""),46064.40344996528)</f>
        <v>46064.40345</v>
      </c>
      <c r="H4889" s="14"/>
      <c r="I4889" s="13"/>
      <c r="J4889" s="17" t="str">
        <f>IFERROR(__xludf.DUMMYFUNCTION("""COMPUTED_VALUE"""),"")</f>
        <v/>
      </c>
      <c r="K4889" s="13" t="str">
        <f>IFERROR(__xludf.DUMMYFUNCTION("""COMPUTED_VALUE"""),"BT atau SU Belum Valid")</f>
        <v>BT atau SU Belum Valid</v>
      </c>
      <c r="L4889" s="13" t="str">
        <f>IFERROR(__xludf.DUMMYFUNCTION("""COMPUTED_VALUE"""),"")</f>
        <v/>
      </c>
      <c r="M4889" s="13"/>
      <c r="N4889" s="13" t="str">
        <f>IFERROR(__xludf.DUMMYFUNCTION("""COMPUTED_VALUE"""),"")</f>
        <v/>
      </c>
      <c r="O4889" s="13" t="str">
        <f t="shared" si="1"/>
        <v/>
      </c>
    </row>
    <row r="4890" ht="22.5" customHeight="1">
      <c r="B4890" s="13">
        <f>IFERROR(__xludf.DUMMYFUNCTION("""COMPUTED_VALUE"""),4885.0)</f>
        <v>4885</v>
      </c>
      <c r="C4890" s="13" t="str">
        <f>IFERROR(__xludf.DUMMYFUNCTION("""COMPUTED_VALUE"""),"M.1253/WHP/Way Halim Permai")</f>
        <v>M.1253/WHP/Way Halim Permai</v>
      </c>
      <c r="D4890" s="13" t="str">
        <f>IFERROR(__xludf.DUMMYFUNCTION("""COMPUTED_VALUE"""),"ABFHIDKZ/AB027")</f>
        <v>ABFHIDKZ/AB027</v>
      </c>
      <c r="E4890" s="14" t="str">
        <f>IFERROR(__xludf.DUMMYFUNCTION("""COMPUTED_VALUE"""),"Heri (BT)")</f>
        <v>Heri (BT)</v>
      </c>
      <c r="F4890" s="14" t="str">
        <f>IFERROR(__xludf.DUMMYFUNCTION("""COMPUTED_VALUE"""),"SELESAI (VIA PERMOHONAN)")</f>
        <v>SELESAI (VIA PERMOHONAN)</v>
      </c>
      <c r="G4890" s="17">
        <f>IFERROR(__xludf.DUMMYFUNCTION("""COMPUTED_VALUE"""),46065.38983951389)</f>
        <v>46065.38984</v>
      </c>
      <c r="H4890" s="14"/>
      <c r="I4890" s="13"/>
      <c r="J4890" s="17" t="str">
        <f>IFERROR(__xludf.DUMMYFUNCTION("""COMPUTED_VALUE"""),"")</f>
        <v/>
      </c>
      <c r="K4890" s="13" t="str">
        <f>IFERROR(__xludf.DUMMYFUNCTION("""COMPUTED_VALUE"""),"BT atau SU Belum Valid")</f>
        <v>BT atau SU Belum Valid</v>
      </c>
      <c r="L4890" s="13" t="str">
        <f>IFERROR(__xludf.DUMMYFUNCTION("""COMPUTED_VALUE"""),"")</f>
        <v/>
      </c>
      <c r="M4890" s="13"/>
      <c r="N4890" s="13" t="str">
        <f>IFERROR(__xludf.DUMMYFUNCTION("""COMPUTED_VALUE"""),"")</f>
        <v/>
      </c>
      <c r="O4890" s="13" t="str">
        <f t="shared" si="1"/>
        <v/>
      </c>
    </row>
    <row r="4891" ht="22.5" customHeight="1">
      <c r="B4891" s="13">
        <f>IFERROR(__xludf.DUMMYFUNCTION("""COMPUTED_VALUE"""),4886.0)</f>
        <v>4886</v>
      </c>
      <c r="C4891" s="13">
        <f>IFERROR(__xludf.DUMMYFUNCTION("""COMPUTED_VALUE"""),4431.0)</f>
        <v>4431</v>
      </c>
      <c r="D4891" s="13" t="str">
        <f>IFERROR(__xludf.DUMMYFUNCTION("""COMPUTED_VALUE"""),"ABXJJERG")</f>
        <v>ABXJJERG</v>
      </c>
      <c r="E4891" s="14" t="str">
        <f>IFERROR(__xludf.DUMMYFUNCTION("""COMPUTED_VALUE"""),"Heri (BT)")</f>
        <v>Heri (BT)</v>
      </c>
      <c r="F4891" s="14" t="str">
        <f>IFERROR(__xludf.DUMMYFUNCTION("""COMPUTED_VALUE"""),"SELESAI (VIA PERMOHONAN)")</f>
        <v>SELESAI (VIA PERMOHONAN)</v>
      </c>
      <c r="G4891" s="17">
        <f>IFERROR(__xludf.DUMMYFUNCTION("""COMPUTED_VALUE"""),46065.39079755787)</f>
        <v>46065.3908</v>
      </c>
      <c r="H4891" s="14"/>
      <c r="I4891" s="13"/>
      <c r="J4891" s="17" t="str">
        <f>IFERROR(__xludf.DUMMYFUNCTION("""COMPUTED_VALUE"""),"")</f>
        <v/>
      </c>
      <c r="K4891" s="13" t="str">
        <f>IFERROR(__xludf.DUMMYFUNCTION("""COMPUTED_VALUE"""),"BT atau SU Belum Valid")</f>
        <v>BT atau SU Belum Valid</v>
      </c>
      <c r="L4891" s="13" t="str">
        <f>IFERROR(__xludf.DUMMYFUNCTION("""COMPUTED_VALUE"""),"")</f>
        <v/>
      </c>
      <c r="M4891" s="13"/>
      <c r="N4891" s="13" t="str">
        <f>IFERROR(__xludf.DUMMYFUNCTION("""COMPUTED_VALUE"""),"")</f>
        <v/>
      </c>
      <c r="O4891" s="13" t="str">
        <f t="shared" si="1"/>
        <v/>
      </c>
    </row>
    <row r="4892" ht="22.5" customHeight="1">
      <c r="B4892" s="13">
        <f>IFERROR(__xludf.DUMMYFUNCTION("""COMPUTED_VALUE"""),4887.0)</f>
        <v>4887</v>
      </c>
      <c r="C4892" s="13" t="str">
        <f>IFERROR(__xludf.DUMMYFUNCTION("""COMPUTED_VALUE"""),"ShGb 831 Bakung")</f>
        <v>ShGb 831 Bakung</v>
      </c>
      <c r="D4892" s="13" t="str">
        <f>IFERROR(__xludf.DUMMYFUNCTION("""COMPUTED_VALUE"""),"ABSKXBVE/038")</f>
        <v>ABSKXBVE/038</v>
      </c>
      <c r="E4892" s="14" t="str">
        <f>IFERROR(__xludf.DUMMYFUNCTION("""COMPUTED_VALUE"""),"Heri (BT)")</f>
        <v>Heri (BT)</v>
      </c>
      <c r="F4892" s="14" t="str">
        <f>IFERROR(__xludf.DUMMYFUNCTION("""COMPUTED_VALUE"""),"SELESAI (VIA PERMOHONAN)")</f>
        <v>SELESAI (VIA PERMOHONAN)</v>
      </c>
      <c r="G4892" s="17">
        <f>IFERROR(__xludf.DUMMYFUNCTION("""COMPUTED_VALUE"""),46065.39108265046)</f>
        <v>46065.39108</v>
      </c>
      <c r="H4892" s="14"/>
      <c r="I4892" s="13"/>
      <c r="J4892" s="17" t="str">
        <f>IFERROR(__xludf.DUMMYFUNCTION("""COMPUTED_VALUE"""),"")</f>
        <v/>
      </c>
      <c r="K4892" s="13" t="str">
        <f>IFERROR(__xludf.DUMMYFUNCTION("""COMPUTED_VALUE"""),"BT atau SU Belum Valid")</f>
        <v>BT atau SU Belum Valid</v>
      </c>
      <c r="L4892" s="13" t="str">
        <f>IFERROR(__xludf.DUMMYFUNCTION("""COMPUTED_VALUE"""),"")</f>
        <v/>
      </c>
      <c r="M4892" s="13"/>
      <c r="N4892" s="13" t="str">
        <f>IFERROR(__xludf.DUMMYFUNCTION("""COMPUTED_VALUE"""),"")</f>
        <v/>
      </c>
      <c r="O4892" s="13" t="str">
        <f t="shared" si="1"/>
        <v/>
      </c>
    </row>
    <row r="4893" ht="22.5" customHeight="1">
      <c r="B4893" s="13">
        <f>IFERROR(__xludf.DUMMYFUNCTION("""COMPUTED_VALUE"""),4888.0)</f>
        <v>4888</v>
      </c>
      <c r="C4893" s="13" t="str">
        <f>IFERROR(__xludf.DUMMYFUNCTION("""COMPUTED_VALUE"""),"m.2037/Kalibalau Kencana")</f>
        <v>m.2037/Kalibalau Kencana</v>
      </c>
      <c r="D4893" s="13" t="str">
        <f>IFERROR(__xludf.DUMMYFUNCTION("""COMPUTED_VALUE"""),"ABCYYGDW/1")</f>
        <v>ABCYYGDW/1</v>
      </c>
      <c r="E4893" s="14" t="str">
        <f>IFERROR(__xludf.DUMMYFUNCTION("""COMPUTED_VALUE"""),"Heri (BT)")</f>
        <v>Heri (BT)</v>
      </c>
      <c r="F4893" s="14" t="str">
        <f>IFERROR(__xludf.DUMMYFUNCTION("""COMPUTED_VALUE"""),"SELESAI (VIA PERMOHONAN)")</f>
        <v>SELESAI (VIA PERMOHONAN)</v>
      </c>
      <c r="G4893" s="17">
        <f>IFERROR(__xludf.DUMMYFUNCTION("""COMPUTED_VALUE"""),46065.39176690972)</f>
        <v>46065.39177</v>
      </c>
      <c r="H4893" s="14"/>
      <c r="I4893" s="13"/>
      <c r="J4893" s="17" t="str">
        <f>IFERROR(__xludf.DUMMYFUNCTION("""COMPUTED_VALUE"""),"")</f>
        <v/>
      </c>
      <c r="K4893" s="13" t="str">
        <f>IFERROR(__xludf.DUMMYFUNCTION("""COMPUTED_VALUE"""),"BT atau SU Belum Valid")</f>
        <v>BT atau SU Belum Valid</v>
      </c>
      <c r="L4893" s="13" t="str">
        <f>IFERROR(__xludf.DUMMYFUNCTION("""COMPUTED_VALUE"""),"")</f>
        <v/>
      </c>
      <c r="M4893" s="13"/>
      <c r="N4893" s="13" t="str">
        <f>IFERROR(__xludf.DUMMYFUNCTION("""COMPUTED_VALUE"""),"")</f>
        <v/>
      </c>
      <c r="O4893" s="13" t="str">
        <f t="shared" si="1"/>
        <v/>
      </c>
    </row>
    <row r="4894" ht="22.5" customHeight="1">
      <c r="B4894" s="13">
        <f>IFERROR(__xludf.DUMMYFUNCTION("""COMPUTED_VALUE"""),4889.0)</f>
        <v>4889</v>
      </c>
      <c r="C4894" s="13" t="str">
        <f>IFERROR(__xludf.DUMMYFUNCTION("""COMPUTED_VALUE"""),"m.2202/Labuhan Ratu Raya")</f>
        <v>m.2202/Labuhan Ratu Raya</v>
      </c>
      <c r="D4894" s="13" t="str">
        <f>IFERROR(__xludf.DUMMYFUNCTION("""COMPUTED_VALUE"""),"ABCOPTFN/1")</f>
        <v>ABCOPTFN/1</v>
      </c>
      <c r="E4894" s="14" t="str">
        <f>IFERROR(__xludf.DUMMYFUNCTION("""COMPUTED_VALUE"""),"Heri (BT)")</f>
        <v>Heri (BT)</v>
      </c>
      <c r="F4894" s="14" t="str">
        <f>IFERROR(__xludf.DUMMYFUNCTION("""COMPUTED_VALUE"""),"SELESAI (VIA PERMOHONAN)")</f>
        <v>SELESAI (VIA PERMOHONAN)</v>
      </c>
      <c r="G4894" s="17">
        <f>IFERROR(__xludf.DUMMYFUNCTION("""COMPUTED_VALUE"""),46065.39201877315)</f>
        <v>46065.39202</v>
      </c>
      <c r="H4894" s="14"/>
      <c r="I4894" s="13"/>
      <c r="J4894" s="17" t="str">
        <f>IFERROR(__xludf.DUMMYFUNCTION("""COMPUTED_VALUE"""),"")</f>
        <v/>
      </c>
      <c r="K4894" s="13" t="str">
        <f>IFERROR(__xludf.DUMMYFUNCTION("""COMPUTED_VALUE"""),"BT atau SU Belum Valid")</f>
        <v>BT atau SU Belum Valid</v>
      </c>
      <c r="L4894" s="13" t="str">
        <f>IFERROR(__xludf.DUMMYFUNCTION("""COMPUTED_VALUE"""),"")</f>
        <v/>
      </c>
      <c r="M4894" s="13"/>
      <c r="N4894" s="13" t="str">
        <f>IFERROR(__xludf.DUMMYFUNCTION("""COMPUTED_VALUE"""),"")</f>
        <v/>
      </c>
      <c r="O4894" s="13" t="str">
        <f t="shared" si="1"/>
        <v/>
      </c>
    </row>
    <row r="4895" ht="22.5" customHeight="1">
      <c r="B4895" s="13">
        <f>IFERROR(__xludf.DUMMYFUNCTION("""COMPUTED_VALUE"""),4890.0)</f>
        <v>4890</v>
      </c>
      <c r="C4895" s="13" t="str">
        <f>IFERROR(__xludf.DUMMYFUNCTION("""COMPUTED_VALUE"""),"M 2710 Way kandis")</f>
        <v>M 2710 Way kandis</v>
      </c>
      <c r="D4895" s="13" t="str">
        <f>IFERROR(__xludf.DUMMYFUNCTION("""COMPUTED_VALUE"""),"ABBLJQLP")</f>
        <v>ABBLJQLP</v>
      </c>
      <c r="E4895" s="14" t="str">
        <f>IFERROR(__xludf.DUMMYFUNCTION("""COMPUTED_VALUE"""),"Heri (BT)")</f>
        <v>Heri (BT)</v>
      </c>
      <c r="F4895" s="14" t="str">
        <f>IFERROR(__xludf.DUMMYFUNCTION("""COMPUTED_VALUE"""),"SELESAI (VIA PERMOHONAN)")</f>
        <v>SELESAI (VIA PERMOHONAN)</v>
      </c>
      <c r="G4895" s="17">
        <f>IFERROR(__xludf.DUMMYFUNCTION("""COMPUTED_VALUE"""),46065.392235543986)</f>
        <v>46065.39224</v>
      </c>
      <c r="H4895" s="14"/>
      <c r="I4895" s="13"/>
      <c r="J4895" s="17" t="str">
        <f>IFERROR(__xludf.DUMMYFUNCTION("""COMPUTED_VALUE"""),"")</f>
        <v/>
      </c>
      <c r="K4895" s="13" t="str">
        <f>IFERROR(__xludf.DUMMYFUNCTION("""COMPUTED_VALUE"""),"BT atau SU Belum Valid")</f>
        <v>BT atau SU Belum Valid</v>
      </c>
      <c r="L4895" s="13" t="str">
        <f>IFERROR(__xludf.DUMMYFUNCTION("""COMPUTED_VALUE"""),"")</f>
        <v/>
      </c>
      <c r="M4895" s="13"/>
      <c r="N4895" s="13" t="str">
        <f>IFERROR(__xludf.DUMMYFUNCTION("""COMPUTED_VALUE"""),"")</f>
        <v/>
      </c>
      <c r="O4895" s="13" t="str">
        <f t="shared" si="1"/>
        <v/>
      </c>
    </row>
    <row r="4896" ht="22.5" customHeight="1">
      <c r="B4896" s="13">
        <f>IFERROR(__xludf.DUMMYFUNCTION("""COMPUTED_VALUE"""),4891.0)</f>
        <v>4891</v>
      </c>
      <c r="C4896" s="13" t="str">
        <f>IFERROR(__xludf.DUMMYFUNCTION("""COMPUTED_VALUE"""),"M.14073 KEDAMAIAN")</f>
        <v>M.14073 KEDAMAIAN</v>
      </c>
      <c r="D4896" s="13" t="str">
        <f>IFERROR(__xludf.DUMMYFUNCTION("""COMPUTED_VALUE"""),"ABMXXELR")</f>
        <v>ABMXXELR</v>
      </c>
      <c r="E4896" s="14" t="str">
        <f>IFERROR(__xludf.DUMMYFUNCTION("""COMPUTED_VALUE"""),"Heri (BT)")</f>
        <v>Heri (BT)</v>
      </c>
      <c r="F4896" s="14" t="str">
        <f>IFERROR(__xludf.DUMMYFUNCTION("""COMPUTED_VALUE"""),"SELESAI (VIA PERMOHONAN)")</f>
        <v>SELESAI (VIA PERMOHONAN)</v>
      </c>
      <c r="G4896" s="17">
        <f>IFERROR(__xludf.DUMMYFUNCTION("""COMPUTED_VALUE"""),46065.41045773149)</f>
        <v>46065.41046</v>
      </c>
      <c r="H4896" s="14"/>
      <c r="I4896" s="13"/>
      <c r="J4896" s="17" t="str">
        <f>IFERROR(__xludf.DUMMYFUNCTION("""COMPUTED_VALUE"""),"")</f>
        <v/>
      </c>
      <c r="K4896" s="13" t="str">
        <f>IFERROR(__xludf.DUMMYFUNCTION("""COMPUTED_VALUE"""),"BT atau SU Belum Valid")</f>
        <v>BT atau SU Belum Valid</v>
      </c>
      <c r="L4896" s="13" t="str">
        <f>IFERROR(__xludf.DUMMYFUNCTION("""COMPUTED_VALUE"""),"")</f>
        <v/>
      </c>
      <c r="M4896" s="13"/>
      <c r="N4896" s="13" t="str">
        <f>IFERROR(__xludf.DUMMYFUNCTION("""COMPUTED_VALUE"""),"")</f>
        <v/>
      </c>
      <c r="O4896" s="13" t="str">
        <f t="shared" si="1"/>
        <v/>
      </c>
    </row>
    <row r="4897" ht="22.5" customHeight="1">
      <c r="B4897" s="13">
        <f>IFERROR(__xludf.DUMMYFUNCTION("""COMPUTED_VALUE"""),4892.0)</f>
        <v>4892</v>
      </c>
      <c r="C4897" s="13" t="str">
        <f>IFERROR(__xludf.DUMMYFUNCTION("""COMPUTED_VALUE"""),"B. 43/GEDONG MENENG")</f>
        <v>B. 43/GEDONG MENENG</v>
      </c>
      <c r="D4897" s="13" t="str">
        <f>IFERROR(__xludf.DUMMYFUNCTION("""COMPUTED_VALUE"""),"L/4/091225/1")</f>
        <v>L/4/091225/1</v>
      </c>
      <c r="E4897" s="14" t="str">
        <f>IFERROR(__xludf.DUMMYFUNCTION("""COMPUTED_VALUE"""),"Heri (BT)")</f>
        <v>Heri (BT)</v>
      </c>
      <c r="F4897" s="14" t="str">
        <f>IFERROR(__xludf.DUMMYFUNCTION("""COMPUTED_VALUE"""),"SELESAI (VIA PERMOHONAN)")</f>
        <v>SELESAI (VIA PERMOHONAN)</v>
      </c>
      <c r="G4897" s="17">
        <f>IFERROR(__xludf.DUMMYFUNCTION("""COMPUTED_VALUE"""),46065.43969215278)</f>
        <v>46065.43969</v>
      </c>
      <c r="H4897" s="14"/>
      <c r="I4897" s="13"/>
      <c r="J4897" s="17" t="str">
        <f>IFERROR(__xludf.DUMMYFUNCTION("""COMPUTED_VALUE"""),"")</f>
        <v/>
      </c>
      <c r="K4897" s="13" t="str">
        <f>IFERROR(__xludf.DUMMYFUNCTION("""COMPUTED_VALUE"""),"BT atau SU Belum Valid")</f>
        <v>BT atau SU Belum Valid</v>
      </c>
      <c r="L4897" s="13" t="str">
        <f>IFERROR(__xludf.DUMMYFUNCTION("""COMPUTED_VALUE"""),"")</f>
        <v/>
      </c>
      <c r="M4897" s="13"/>
      <c r="N4897" s="13" t="str">
        <f>IFERROR(__xludf.DUMMYFUNCTION("""COMPUTED_VALUE"""),"")</f>
        <v/>
      </c>
      <c r="O4897" s="13" t="str">
        <f t="shared" si="1"/>
        <v/>
      </c>
    </row>
    <row r="4898" ht="22.5" customHeight="1">
      <c r="B4898" s="13">
        <f>IFERROR(__xludf.DUMMYFUNCTION("""COMPUTED_VALUE"""),4893.0)</f>
        <v>4893</v>
      </c>
      <c r="C4898" s="13" t="str">
        <f>IFERROR(__xludf.DUMMYFUNCTION("""COMPUTED_VALUE"""),"B.1382 PINANG JAYA")</f>
        <v>B.1382 PINANG JAYA</v>
      </c>
      <c r="D4898" s="13" t="str">
        <f>IFERROR(__xludf.DUMMYFUNCTION("""COMPUTED_VALUE"""),"AB033/ABCRDEHL")</f>
        <v>AB033/ABCRDEHL</v>
      </c>
      <c r="E4898" s="14" t="str">
        <f>IFERROR(__xludf.DUMMYFUNCTION("""COMPUTED_VALUE"""),"Heri (BT)")</f>
        <v>Heri (BT)</v>
      </c>
      <c r="F4898" s="14" t="str">
        <f>IFERROR(__xludf.DUMMYFUNCTION("""COMPUTED_VALUE"""),"SELESAI (VIA PERMOHONAN)")</f>
        <v>SELESAI (VIA PERMOHONAN)</v>
      </c>
      <c r="G4898" s="17">
        <f>IFERROR(__xludf.DUMMYFUNCTION("""COMPUTED_VALUE"""),46065.44050643519)</f>
        <v>46065.44051</v>
      </c>
      <c r="H4898" s="14"/>
      <c r="I4898" s="13"/>
      <c r="J4898" s="17" t="str">
        <f>IFERROR(__xludf.DUMMYFUNCTION("""COMPUTED_VALUE"""),"")</f>
        <v/>
      </c>
      <c r="K4898" s="13" t="str">
        <f>IFERROR(__xludf.DUMMYFUNCTION("""COMPUTED_VALUE"""),"BT atau SU Belum Valid")</f>
        <v>BT atau SU Belum Valid</v>
      </c>
      <c r="L4898" s="13" t="str">
        <f>IFERROR(__xludf.DUMMYFUNCTION("""COMPUTED_VALUE"""),"")</f>
        <v/>
      </c>
      <c r="M4898" s="13"/>
      <c r="N4898" s="13" t="str">
        <f>IFERROR(__xludf.DUMMYFUNCTION("""COMPUTED_VALUE"""),"")</f>
        <v/>
      </c>
      <c r="O4898" s="13" t="str">
        <f t="shared" si="1"/>
        <v/>
      </c>
    </row>
    <row r="4899" ht="22.5" customHeight="1">
      <c r="B4899" s="13">
        <f>IFERROR(__xludf.DUMMYFUNCTION("""COMPUTED_VALUE"""),4894.0)</f>
        <v>4894</v>
      </c>
      <c r="C4899" s="13" t="str">
        <f>IFERROR(__xludf.DUMMYFUNCTION("""COMPUTED_VALUE"""),"M.3305/Kota Karang")</f>
        <v>M.3305/Kota Karang</v>
      </c>
      <c r="D4899" s="13" t="str">
        <f>IFERROR(__xludf.DUMMYFUNCTION("""COMPUTED_VALUE"""),"AB028/ABJAXDRZ")</f>
        <v>AB028/ABJAXDRZ</v>
      </c>
      <c r="E4899" s="14" t="str">
        <f>IFERROR(__xludf.DUMMYFUNCTION("""COMPUTED_VALUE"""),"Heri (BT)")</f>
        <v>Heri (BT)</v>
      </c>
      <c r="F4899" s="14" t="str">
        <f>IFERROR(__xludf.DUMMYFUNCTION("""COMPUTED_VALUE"""),"SELESAI (VIA PERMOHONAN)")</f>
        <v>SELESAI (VIA PERMOHONAN)</v>
      </c>
      <c r="G4899" s="17">
        <f>IFERROR(__xludf.DUMMYFUNCTION("""COMPUTED_VALUE"""),46065.44081777778)</f>
        <v>46065.44082</v>
      </c>
      <c r="H4899" s="14"/>
      <c r="I4899" s="13"/>
      <c r="J4899" s="17" t="str">
        <f>IFERROR(__xludf.DUMMYFUNCTION("""COMPUTED_VALUE"""),"")</f>
        <v/>
      </c>
      <c r="K4899" s="13" t="str">
        <f>IFERROR(__xludf.DUMMYFUNCTION("""COMPUTED_VALUE"""),"BT atau SU Belum Valid")</f>
        <v>BT atau SU Belum Valid</v>
      </c>
      <c r="L4899" s="13" t="str">
        <f>IFERROR(__xludf.DUMMYFUNCTION("""COMPUTED_VALUE"""),"")</f>
        <v/>
      </c>
      <c r="M4899" s="13"/>
      <c r="N4899" s="13" t="str">
        <f>IFERROR(__xludf.DUMMYFUNCTION("""COMPUTED_VALUE"""),"")</f>
        <v/>
      </c>
      <c r="O4899" s="13" t="str">
        <f t="shared" si="1"/>
        <v/>
      </c>
    </row>
    <row r="4900" ht="22.5" customHeight="1">
      <c r="B4900" s="13">
        <f>IFERROR(__xludf.DUMMYFUNCTION("""COMPUTED_VALUE"""),4895.0)</f>
        <v>4895</v>
      </c>
      <c r="C4900" s="13" t="str">
        <f>IFERROR(__xludf.DUMMYFUNCTION("""COMPUTED_VALUE"""),"M.1089 KELAPA TIGA")</f>
        <v>M.1089 KELAPA TIGA</v>
      </c>
      <c r="D4900" s="13" t="str">
        <f>IFERROR(__xludf.DUMMYFUNCTION("""COMPUTED_VALUE"""),"AMDANWU")</f>
        <v>AMDANWU</v>
      </c>
      <c r="E4900" s="14" t="str">
        <f>IFERROR(__xludf.DUMMYFUNCTION("""COMPUTED_VALUE"""),"Heri (BT)")</f>
        <v>Heri (BT)</v>
      </c>
      <c r="F4900" s="14" t="str">
        <f>IFERROR(__xludf.DUMMYFUNCTION("""COMPUTED_VALUE"""),"SELESAI (VIA PERMOHONAN)")</f>
        <v>SELESAI (VIA PERMOHONAN)</v>
      </c>
      <c r="G4900" s="17">
        <f>IFERROR(__xludf.DUMMYFUNCTION("""COMPUTED_VALUE"""),46065.45611961806)</f>
        <v>46065.45612</v>
      </c>
      <c r="H4900" s="14"/>
      <c r="I4900" s="13"/>
      <c r="J4900" s="17" t="str">
        <f>IFERROR(__xludf.DUMMYFUNCTION("""COMPUTED_VALUE"""),"")</f>
        <v/>
      </c>
      <c r="K4900" s="13" t="str">
        <f>IFERROR(__xludf.DUMMYFUNCTION("""COMPUTED_VALUE"""),"BT atau SU Belum Valid")</f>
        <v>BT atau SU Belum Valid</v>
      </c>
      <c r="L4900" s="13" t="str">
        <f>IFERROR(__xludf.DUMMYFUNCTION("""COMPUTED_VALUE"""),"")</f>
        <v/>
      </c>
      <c r="M4900" s="13"/>
      <c r="N4900" s="13" t="str">
        <f>IFERROR(__xludf.DUMMYFUNCTION("""COMPUTED_VALUE"""),"")</f>
        <v/>
      </c>
      <c r="O4900" s="13" t="str">
        <f t="shared" si="1"/>
        <v/>
      </c>
    </row>
    <row r="4901" ht="22.5" customHeight="1">
      <c r="B4901" s="13">
        <f>IFERROR(__xludf.DUMMYFUNCTION("""COMPUTED_VALUE"""),4896.0)</f>
        <v>4896</v>
      </c>
      <c r="C4901" s="13" t="str">
        <f>IFERROR(__xludf.DUMMYFUNCTION("""COMPUTED_VALUE"""),"M. 118/kampung baru raya")</f>
        <v>M. 118/kampung baru raya</v>
      </c>
      <c r="D4901" s="13" t="str">
        <f>IFERROR(__xludf.DUMMYFUNCTION("""COMPUTED_VALUE"""),"ABWOZPMU")</f>
        <v>ABWOZPMU</v>
      </c>
      <c r="E4901" s="14" t="str">
        <f>IFERROR(__xludf.DUMMYFUNCTION("""COMPUTED_VALUE"""),"Heri (BT)")</f>
        <v>Heri (BT)</v>
      </c>
      <c r="F4901" s="14" t="str">
        <f>IFERROR(__xludf.DUMMYFUNCTION("""COMPUTED_VALUE"""),"SELESAI (VIA PERMOHONAN)")</f>
        <v>SELESAI (VIA PERMOHONAN)</v>
      </c>
      <c r="G4901" s="17">
        <f>IFERROR(__xludf.DUMMYFUNCTION("""COMPUTED_VALUE"""),46065.464152361106)</f>
        <v>46065.46415</v>
      </c>
      <c r="H4901" s="14"/>
      <c r="I4901" s="13"/>
      <c r="J4901" s="17" t="str">
        <f>IFERROR(__xludf.DUMMYFUNCTION("""COMPUTED_VALUE"""),"")</f>
        <v/>
      </c>
      <c r="K4901" s="13" t="str">
        <f>IFERROR(__xludf.DUMMYFUNCTION("""COMPUTED_VALUE"""),"BT atau SU Belum Valid")</f>
        <v>BT atau SU Belum Valid</v>
      </c>
      <c r="L4901" s="13" t="str">
        <f>IFERROR(__xludf.DUMMYFUNCTION("""COMPUTED_VALUE"""),"")</f>
        <v/>
      </c>
      <c r="M4901" s="13"/>
      <c r="N4901" s="13" t="str">
        <f>IFERROR(__xludf.DUMMYFUNCTION("""COMPUTED_VALUE"""),"")</f>
        <v/>
      </c>
      <c r="O4901" s="13" t="str">
        <f t="shared" si="1"/>
        <v/>
      </c>
    </row>
    <row r="4902" ht="22.5" customHeight="1">
      <c r="B4902" s="13">
        <f>IFERROR(__xludf.DUMMYFUNCTION("""COMPUTED_VALUE"""),4897.0)</f>
        <v>4897</v>
      </c>
      <c r="C4902" s="13" t="str">
        <f>IFERROR(__xludf.DUMMYFUNCTION("""COMPUTED_VALUE"""),"M.10292/KAMPUNG BARU")</f>
        <v>M.10292/KAMPUNG BARU</v>
      </c>
      <c r="D4902" s="13" t="str">
        <f>IFERROR(__xludf.DUMMYFUNCTION("""COMPUTED_VALUE"""),"L/18/200126/1")</f>
        <v>L/18/200126/1</v>
      </c>
      <c r="E4902" s="14" t="str">
        <f>IFERROR(__xludf.DUMMYFUNCTION("""COMPUTED_VALUE"""),"Heri (BT)")</f>
        <v>Heri (BT)</v>
      </c>
      <c r="F4902" s="14" t="str">
        <f>IFERROR(__xludf.DUMMYFUNCTION("""COMPUTED_VALUE"""),"SELESAI (VIA PERMOHONAN)")</f>
        <v>SELESAI (VIA PERMOHONAN)</v>
      </c>
      <c r="G4902" s="17">
        <f>IFERROR(__xludf.DUMMYFUNCTION("""COMPUTED_VALUE"""),46066.39682579861)</f>
        <v>46066.39683</v>
      </c>
      <c r="H4902" s="14"/>
      <c r="I4902" s="13"/>
      <c r="J4902" s="17" t="str">
        <f>IFERROR(__xludf.DUMMYFUNCTION("""COMPUTED_VALUE"""),"")</f>
        <v/>
      </c>
      <c r="K4902" s="13" t="str">
        <f>IFERROR(__xludf.DUMMYFUNCTION("""COMPUTED_VALUE"""),"BT atau SU Belum Valid")</f>
        <v>BT atau SU Belum Valid</v>
      </c>
      <c r="L4902" s="13" t="str">
        <f>IFERROR(__xludf.DUMMYFUNCTION("""COMPUTED_VALUE"""),"")</f>
        <v/>
      </c>
      <c r="M4902" s="13"/>
      <c r="N4902" s="13" t="str">
        <f>IFERROR(__xludf.DUMMYFUNCTION("""COMPUTED_VALUE"""),"")</f>
        <v/>
      </c>
      <c r="O4902" s="13" t="str">
        <f t="shared" si="1"/>
        <v/>
      </c>
    </row>
    <row r="4903" ht="22.5" customHeight="1">
      <c r="B4903" s="13">
        <f>IFERROR(__xludf.DUMMYFUNCTION("""COMPUTED_VALUE"""),4898.0)</f>
        <v>4898</v>
      </c>
      <c r="C4903" s="13" t="str">
        <f>IFERROR(__xludf.DUMMYFUNCTION("""COMPUTED_VALUE"""),"M. 9341/SURABAYA")</f>
        <v>M. 9341/SURABAYA</v>
      </c>
      <c r="D4903" s="13" t="str">
        <f>IFERROR(__xludf.DUMMYFUNCTION("""COMPUTED_VALUE"""),"L/1/050126/1")</f>
        <v>L/1/050126/1</v>
      </c>
      <c r="E4903" s="14" t="str">
        <f>IFERROR(__xludf.DUMMYFUNCTION("""COMPUTED_VALUE"""),"Heri (BT)")</f>
        <v>Heri (BT)</v>
      </c>
      <c r="F4903" s="14" t="str">
        <f>IFERROR(__xludf.DUMMYFUNCTION("""COMPUTED_VALUE"""),"SELESAI (VIA PERMOHONAN)")</f>
        <v>SELESAI (VIA PERMOHONAN)</v>
      </c>
      <c r="G4903" s="17">
        <f>IFERROR(__xludf.DUMMYFUNCTION("""COMPUTED_VALUE"""),46066.39725121528)</f>
        <v>46066.39725</v>
      </c>
      <c r="H4903" s="14"/>
      <c r="I4903" s="13"/>
      <c r="J4903" s="17" t="str">
        <f>IFERROR(__xludf.DUMMYFUNCTION("""COMPUTED_VALUE"""),"")</f>
        <v/>
      </c>
      <c r="K4903" s="13" t="str">
        <f>IFERROR(__xludf.DUMMYFUNCTION("""COMPUTED_VALUE"""),"BT atau SU Belum Valid")</f>
        <v>BT atau SU Belum Valid</v>
      </c>
      <c r="L4903" s="13" t="str">
        <f>IFERROR(__xludf.DUMMYFUNCTION("""COMPUTED_VALUE"""),"")</f>
        <v/>
      </c>
      <c r="M4903" s="13"/>
      <c r="N4903" s="13" t="str">
        <f>IFERROR(__xludf.DUMMYFUNCTION("""COMPUTED_VALUE"""),"")</f>
        <v/>
      </c>
      <c r="O4903" s="13" t="str">
        <f t="shared" si="1"/>
        <v/>
      </c>
    </row>
    <row r="4904" ht="22.5" customHeight="1">
      <c r="B4904" s="13">
        <f>IFERROR(__xludf.DUMMYFUNCTION("""COMPUTED_VALUE"""),4899.0)</f>
        <v>4899</v>
      </c>
      <c r="C4904" s="13" t="str">
        <f>IFERROR(__xludf.DUMMYFUNCTION("""COMPUTED_VALUE"""),"M 1247/ PERUMNAS WAY KANDIS")</f>
        <v>M 1247/ PERUMNAS WAY KANDIS</v>
      </c>
      <c r="D4904" s="13" t="str">
        <f>IFERROR(__xludf.DUMMYFUNCTION("""COMPUTED_VALUE"""),"ABTYNDQC")</f>
        <v>ABTYNDQC</v>
      </c>
      <c r="E4904" s="14" t="str">
        <f>IFERROR(__xludf.DUMMYFUNCTION("""COMPUTED_VALUE"""),"Heri (BT)")</f>
        <v>Heri (BT)</v>
      </c>
      <c r="F4904" s="14" t="str">
        <f>IFERROR(__xludf.DUMMYFUNCTION("""COMPUTED_VALUE"""),"SELESAI (VIA PERMOHONAN)")</f>
        <v>SELESAI (VIA PERMOHONAN)</v>
      </c>
      <c r="G4904" s="17">
        <f>IFERROR(__xludf.DUMMYFUNCTION("""COMPUTED_VALUE"""),46066.39756542824)</f>
        <v>46066.39757</v>
      </c>
      <c r="H4904" s="14"/>
      <c r="I4904" s="13"/>
      <c r="J4904" s="17" t="str">
        <f>IFERROR(__xludf.DUMMYFUNCTION("""COMPUTED_VALUE"""),"")</f>
        <v/>
      </c>
      <c r="K4904" s="13" t="str">
        <f>IFERROR(__xludf.DUMMYFUNCTION("""COMPUTED_VALUE"""),"BT atau SU Belum Valid")</f>
        <v>BT atau SU Belum Valid</v>
      </c>
      <c r="L4904" s="13" t="str">
        <f>IFERROR(__xludf.DUMMYFUNCTION("""COMPUTED_VALUE"""),"")</f>
        <v/>
      </c>
      <c r="M4904" s="13"/>
      <c r="N4904" s="13" t="str">
        <f>IFERROR(__xludf.DUMMYFUNCTION("""COMPUTED_VALUE"""),"")</f>
        <v/>
      </c>
      <c r="O4904" s="13" t="str">
        <f t="shared" si="1"/>
        <v/>
      </c>
    </row>
    <row r="4905" ht="22.5" customHeight="1">
      <c r="B4905" s="13">
        <f>IFERROR(__xludf.DUMMYFUNCTION("""COMPUTED_VALUE"""),4900.0)</f>
        <v>4900</v>
      </c>
      <c r="C4905" s="13" t="str">
        <f>IFERROR(__xludf.DUMMYFUNCTION("""COMPUTED_VALUE"""),"M.689/Pahoman")</f>
        <v>M.689/Pahoman</v>
      </c>
      <c r="D4905" s="13" t="str">
        <f>IFERROR(__xludf.DUMMYFUNCTION("""COMPUTED_VALUE"""),"ABLRZJWB")</f>
        <v>ABLRZJWB</v>
      </c>
      <c r="E4905" s="14" t="str">
        <f>IFERROR(__xludf.DUMMYFUNCTION("""COMPUTED_VALUE"""),"Heri (BT)")</f>
        <v>Heri (BT)</v>
      </c>
      <c r="F4905" s="14" t="str">
        <f>IFERROR(__xludf.DUMMYFUNCTION("""COMPUTED_VALUE"""),"SELESAI (VIA PERMOHONAN)")</f>
        <v>SELESAI (VIA PERMOHONAN)</v>
      </c>
      <c r="G4905" s="17">
        <f>IFERROR(__xludf.DUMMYFUNCTION("""COMPUTED_VALUE"""),46066.397972928244)</f>
        <v>46066.39797</v>
      </c>
      <c r="H4905" s="14"/>
      <c r="I4905" s="13"/>
      <c r="J4905" s="17" t="str">
        <f>IFERROR(__xludf.DUMMYFUNCTION("""COMPUTED_VALUE"""),"")</f>
        <v/>
      </c>
      <c r="K4905" s="13" t="str">
        <f>IFERROR(__xludf.DUMMYFUNCTION("""COMPUTED_VALUE"""),"BT atau SU Belum Valid")</f>
        <v>BT atau SU Belum Valid</v>
      </c>
      <c r="L4905" s="13" t="str">
        <f>IFERROR(__xludf.DUMMYFUNCTION("""COMPUTED_VALUE"""),"")</f>
        <v/>
      </c>
      <c r="M4905" s="13"/>
      <c r="N4905" s="13" t="str">
        <f>IFERROR(__xludf.DUMMYFUNCTION("""COMPUTED_VALUE"""),"")</f>
        <v/>
      </c>
      <c r="O4905" s="13" t="str">
        <f t="shared" si="1"/>
        <v/>
      </c>
    </row>
    <row r="4906" ht="22.5" customHeight="1">
      <c r="B4906" s="13">
        <f>IFERROR(__xludf.DUMMYFUNCTION("""COMPUTED_VALUE"""),4901.0)</f>
        <v>4901</v>
      </c>
      <c r="C4906" s="13">
        <f>IFERROR(__xludf.DUMMYFUNCTION("""COMPUTED_VALUE"""),2738.0)</f>
        <v>2738</v>
      </c>
      <c r="D4906" s="13" t="str">
        <f>IFERROR(__xludf.DUMMYFUNCTION("""COMPUTED_VALUE"""),"ABXYBOXL")</f>
        <v>ABXYBOXL</v>
      </c>
      <c r="E4906" s="14" t="str">
        <f>IFERROR(__xludf.DUMMYFUNCTION("""COMPUTED_VALUE"""),"Heri (BT)")</f>
        <v>Heri (BT)</v>
      </c>
      <c r="F4906" s="14" t="str">
        <f>IFERROR(__xludf.DUMMYFUNCTION("""COMPUTED_VALUE"""),"SELESAI (VIA PERMOHONAN)")</f>
        <v>SELESAI (VIA PERMOHONAN)</v>
      </c>
      <c r="G4906" s="17">
        <f>IFERROR(__xludf.DUMMYFUNCTION("""COMPUTED_VALUE"""),46066.398359548606)</f>
        <v>46066.39836</v>
      </c>
      <c r="H4906" s="14"/>
      <c r="I4906" s="13"/>
      <c r="J4906" s="17" t="str">
        <f>IFERROR(__xludf.DUMMYFUNCTION("""COMPUTED_VALUE"""),"")</f>
        <v/>
      </c>
      <c r="K4906" s="13" t="str">
        <f>IFERROR(__xludf.DUMMYFUNCTION("""COMPUTED_VALUE"""),"BT atau SU Belum Valid")</f>
        <v>BT atau SU Belum Valid</v>
      </c>
      <c r="L4906" s="13" t="str">
        <f>IFERROR(__xludf.DUMMYFUNCTION("""COMPUTED_VALUE"""),"")</f>
        <v/>
      </c>
      <c r="M4906" s="13"/>
      <c r="N4906" s="13" t="str">
        <f>IFERROR(__xludf.DUMMYFUNCTION("""COMPUTED_VALUE"""),"")</f>
        <v/>
      </c>
      <c r="O4906" s="13" t="str">
        <f t="shared" si="1"/>
        <v/>
      </c>
    </row>
    <row r="4907" ht="22.5" customHeight="1">
      <c r="B4907" s="13">
        <f>IFERROR(__xludf.DUMMYFUNCTION("""COMPUTED_VALUE"""),4902.0)</f>
        <v>4902</v>
      </c>
      <c r="C4907" s="13" t="str">
        <f>IFERROR(__xludf.DUMMYFUNCTION("""COMPUTED_VALUE"""),"M.2451 SUKADANA HAM")</f>
        <v>M.2451 SUKADANA HAM</v>
      </c>
      <c r="D4907" s="13" t="str">
        <f>IFERROR(__xludf.DUMMYFUNCTION("""COMPUTED_VALUE"""),"AKEWRHP")</f>
        <v>AKEWRHP</v>
      </c>
      <c r="E4907" s="14" t="str">
        <f>IFERROR(__xludf.DUMMYFUNCTION("""COMPUTED_VALUE"""),"Heri (BT)")</f>
        <v>Heri (BT)</v>
      </c>
      <c r="F4907" s="14" t="str">
        <f>IFERROR(__xludf.DUMMYFUNCTION("""COMPUTED_VALUE"""),"SELESAI (VIA PERMOHONAN)")</f>
        <v>SELESAI (VIA PERMOHONAN)</v>
      </c>
      <c r="G4907" s="17">
        <f>IFERROR(__xludf.DUMMYFUNCTION("""COMPUTED_VALUE"""),46066.39906938658)</f>
        <v>46066.39907</v>
      </c>
      <c r="H4907" s="14"/>
      <c r="I4907" s="13"/>
      <c r="J4907" s="17" t="str">
        <f>IFERROR(__xludf.DUMMYFUNCTION("""COMPUTED_VALUE"""),"")</f>
        <v/>
      </c>
      <c r="K4907" s="13" t="str">
        <f>IFERROR(__xludf.DUMMYFUNCTION("""COMPUTED_VALUE"""),"BT atau SU Belum Valid")</f>
        <v>BT atau SU Belum Valid</v>
      </c>
      <c r="L4907" s="13" t="str">
        <f>IFERROR(__xludf.DUMMYFUNCTION("""COMPUTED_VALUE"""),"")</f>
        <v/>
      </c>
      <c r="M4907" s="13"/>
      <c r="N4907" s="13" t="str">
        <f>IFERROR(__xludf.DUMMYFUNCTION("""COMPUTED_VALUE"""),"")</f>
        <v/>
      </c>
      <c r="O4907" s="13" t="str">
        <f t="shared" si="1"/>
        <v/>
      </c>
    </row>
    <row r="4908" ht="22.5" customHeight="1">
      <c r="B4908" s="13">
        <f>IFERROR(__xludf.DUMMYFUNCTION("""COMPUTED_VALUE"""),4903.0)</f>
        <v>4903</v>
      </c>
      <c r="C4908" s="13" t="str">
        <f>IFERROR(__xludf.DUMMYFUNCTION("""COMPUTED_VALUE"""),"M. 2983/Labuhan Dalam")</f>
        <v>M. 2983/Labuhan Dalam</v>
      </c>
      <c r="D4908" s="13" t="str">
        <f>IFERROR(__xludf.DUMMYFUNCTION("""COMPUTED_VALUE"""),"ABIEJWIG/AB064")</f>
        <v>ABIEJWIG/AB064</v>
      </c>
      <c r="E4908" s="14" t="str">
        <f>IFERROR(__xludf.DUMMYFUNCTION("""COMPUTED_VALUE"""),"Heri (BT)")</f>
        <v>Heri (BT)</v>
      </c>
      <c r="F4908" s="14" t="str">
        <f>IFERROR(__xludf.DUMMYFUNCTION("""COMPUTED_VALUE"""),"SELESAI (VIA PERMOHONAN)")</f>
        <v>SELESAI (VIA PERMOHONAN)</v>
      </c>
      <c r="G4908" s="17">
        <f>IFERROR(__xludf.DUMMYFUNCTION("""COMPUTED_VALUE"""),46066.39947263889)</f>
        <v>46066.39947</v>
      </c>
      <c r="H4908" s="14"/>
      <c r="I4908" s="13"/>
      <c r="J4908" s="17" t="str">
        <f>IFERROR(__xludf.DUMMYFUNCTION("""COMPUTED_VALUE"""),"")</f>
        <v/>
      </c>
      <c r="K4908" s="13" t="str">
        <f>IFERROR(__xludf.DUMMYFUNCTION("""COMPUTED_VALUE"""),"BT atau SU Belum Valid")</f>
        <v>BT atau SU Belum Valid</v>
      </c>
      <c r="L4908" s="13" t="str">
        <f>IFERROR(__xludf.DUMMYFUNCTION("""COMPUTED_VALUE"""),"")</f>
        <v/>
      </c>
      <c r="M4908" s="13"/>
      <c r="N4908" s="13" t="str">
        <f>IFERROR(__xludf.DUMMYFUNCTION("""COMPUTED_VALUE"""),"")</f>
        <v/>
      </c>
      <c r="O4908" s="13" t="str">
        <f t="shared" si="1"/>
        <v/>
      </c>
    </row>
    <row r="4909" ht="22.5" customHeight="1">
      <c r="B4909" s="13">
        <f>IFERROR(__xludf.DUMMYFUNCTION("""COMPUTED_VALUE"""),4904.0)</f>
        <v>4904</v>
      </c>
      <c r="C4909" s="13" t="str">
        <f>IFERROR(__xludf.DUMMYFUNCTION("""COMPUTED_VALUE"""),"M.3243 SUKARAME BARU")</f>
        <v>M.3243 SUKARAME BARU</v>
      </c>
      <c r="D4909" s="13" t="str">
        <f>IFERROR(__xludf.DUMMYFUNCTION("""COMPUTED_VALUE"""),"ABXEKRDB")</f>
        <v>ABXEKRDB</v>
      </c>
      <c r="E4909" s="14" t="str">
        <f>IFERROR(__xludf.DUMMYFUNCTION("""COMPUTED_VALUE"""),"Heri (BT)")</f>
        <v>Heri (BT)</v>
      </c>
      <c r="F4909" s="14" t="str">
        <f>IFERROR(__xludf.DUMMYFUNCTION("""COMPUTED_VALUE"""),"SELESAI (VIA PERMOHONAN)")</f>
        <v>SELESAI (VIA PERMOHONAN)</v>
      </c>
      <c r="G4909" s="17">
        <f>IFERROR(__xludf.DUMMYFUNCTION("""COMPUTED_VALUE"""),46066.401088900464)</f>
        <v>46066.40109</v>
      </c>
      <c r="H4909" s="14"/>
      <c r="I4909" s="13"/>
      <c r="J4909" s="17" t="str">
        <f>IFERROR(__xludf.DUMMYFUNCTION("""COMPUTED_VALUE"""),"")</f>
        <v/>
      </c>
      <c r="K4909" s="13" t="str">
        <f>IFERROR(__xludf.DUMMYFUNCTION("""COMPUTED_VALUE"""),"BT atau SU Belum Valid")</f>
        <v>BT atau SU Belum Valid</v>
      </c>
      <c r="L4909" s="13" t="str">
        <f>IFERROR(__xludf.DUMMYFUNCTION("""COMPUTED_VALUE"""),"")</f>
        <v/>
      </c>
      <c r="M4909" s="13"/>
      <c r="N4909" s="13" t="str">
        <f>IFERROR(__xludf.DUMMYFUNCTION("""COMPUTED_VALUE"""),"")</f>
        <v/>
      </c>
      <c r="O4909" s="13" t="str">
        <f t="shared" si="1"/>
        <v/>
      </c>
    </row>
    <row r="4910" ht="22.5" customHeight="1">
      <c r="B4910" s="13">
        <f>IFERROR(__xludf.DUMMYFUNCTION("""COMPUTED_VALUE"""),4905.0)</f>
        <v>4905</v>
      </c>
      <c r="C4910" s="13" t="str">
        <f>IFERROR(__xludf.DUMMYFUNCTION("""COMPUTED_VALUE"""),"M 1503/sumberejo sejahtera")</f>
        <v>M 1503/sumberejo sejahtera</v>
      </c>
      <c r="D4910" s="13" t="str">
        <f>IFERROR(__xludf.DUMMYFUNCTION("""COMPUTED_VALUE"""),"AB068-ABWGDLSV")</f>
        <v>AB068-ABWGDLSV</v>
      </c>
      <c r="E4910" s="14" t="str">
        <f>IFERROR(__xludf.DUMMYFUNCTION("""COMPUTED_VALUE"""),"Heri (BT)")</f>
        <v>Heri (BT)</v>
      </c>
      <c r="F4910" s="14" t="str">
        <f>IFERROR(__xludf.DUMMYFUNCTION("""COMPUTED_VALUE"""),"SELESAI (VIA PERMOHONAN)")</f>
        <v>SELESAI (VIA PERMOHONAN)</v>
      </c>
      <c r="G4910" s="17">
        <f>IFERROR(__xludf.DUMMYFUNCTION("""COMPUTED_VALUE"""),46066.401741435184)</f>
        <v>46066.40174</v>
      </c>
      <c r="H4910" s="14"/>
      <c r="I4910" s="13"/>
      <c r="J4910" s="17" t="str">
        <f>IFERROR(__xludf.DUMMYFUNCTION("""COMPUTED_VALUE"""),"")</f>
        <v/>
      </c>
      <c r="K4910" s="13" t="str">
        <f>IFERROR(__xludf.DUMMYFUNCTION("""COMPUTED_VALUE"""),"BT atau SU Belum Valid")</f>
        <v>BT atau SU Belum Valid</v>
      </c>
      <c r="L4910" s="13" t="str">
        <f>IFERROR(__xludf.DUMMYFUNCTION("""COMPUTED_VALUE"""),"")</f>
        <v/>
      </c>
      <c r="M4910" s="13"/>
      <c r="N4910" s="13" t="str">
        <f>IFERROR(__xludf.DUMMYFUNCTION("""COMPUTED_VALUE"""),"")</f>
        <v/>
      </c>
      <c r="O4910" s="13" t="str">
        <f t="shared" si="1"/>
        <v/>
      </c>
    </row>
    <row r="4911" ht="22.5" customHeight="1">
      <c r="B4911" s="13">
        <f>IFERROR(__xludf.DUMMYFUNCTION("""COMPUTED_VALUE"""),4906.0)</f>
        <v>4906</v>
      </c>
      <c r="C4911" s="13" t="str">
        <f>IFERROR(__xludf.DUMMYFUNCTION("""COMPUTED_VALUE"""),"M 1131 / Bumi Waras")</f>
        <v>M 1131 / Bumi Waras</v>
      </c>
      <c r="D4911" s="13" t="str">
        <f>IFERROR(__xludf.DUMMYFUNCTION("""COMPUTED_VALUE"""),"AB024/ABLOIRJE")</f>
        <v>AB024/ABLOIRJE</v>
      </c>
      <c r="E4911" s="14" t="str">
        <f>IFERROR(__xludf.DUMMYFUNCTION("""COMPUTED_VALUE"""),"Heri (BT)")</f>
        <v>Heri (BT)</v>
      </c>
      <c r="F4911" s="14" t="str">
        <f>IFERROR(__xludf.DUMMYFUNCTION("""COMPUTED_VALUE"""),"SELESAI (VIA PERMOHONAN)")</f>
        <v>SELESAI (VIA PERMOHONAN)</v>
      </c>
      <c r="G4911" s="17">
        <f>IFERROR(__xludf.DUMMYFUNCTION("""COMPUTED_VALUE"""),46071.57653481481)</f>
        <v>46071.57653</v>
      </c>
      <c r="H4911" s="14"/>
      <c r="I4911" s="13"/>
      <c r="J4911" s="17" t="str">
        <f>IFERROR(__xludf.DUMMYFUNCTION("""COMPUTED_VALUE"""),"")</f>
        <v/>
      </c>
      <c r="K4911" s="13" t="str">
        <f>IFERROR(__xludf.DUMMYFUNCTION("""COMPUTED_VALUE"""),"BT atau SU Belum Valid")</f>
        <v>BT atau SU Belum Valid</v>
      </c>
      <c r="L4911" s="13" t="str">
        <f>IFERROR(__xludf.DUMMYFUNCTION("""COMPUTED_VALUE"""),"")</f>
        <v/>
      </c>
      <c r="M4911" s="13"/>
      <c r="N4911" s="13" t="str">
        <f>IFERROR(__xludf.DUMMYFUNCTION("""COMPUTED_VALUE"""),"")</f>
        <v/>
      </c>
      <c r="O4911" s="13" t="str">
        <f t="shared" si="1"/>
        <v/>
      </c>
    </row>
    <row r="4912" ht="22.5" customHeight="1">
      <c r="B4912" s="13">
        <f>IFERROR(__xludf.DUMMYFUNCTION("""COMPUTED_VALUE"""),4907.0)</f>
        <v>4907</v>
      </c>
      <c r="C4912" s="13" t="str">
        <f>IFERROR(__xludf.DUMMYFUNCTION("""COMPUTED_VALUE"""),"M. 3430 Gunung Terang")</f>
        <v>M. 3430 Gunung Terang</v>
      </c>
      <c r="D4912" s="13" t="str">
        <f>IFERROR(__xludf.DUMMYFUNCTION("""COMPUTED_VALUE"""),"AB026/ABTPKOSZ")</f>
        <v>AB026/ABTPKOSZ</v>
      </c>
      <c r="E4912" s="14" t="str">
        <f>IFERROR(__xludf.DUMMYFUNCTION("""COMPUTED_VALUE"""),"Heri (BT)")</f>
        <v>Heri (BT)</v>
      </c>
      <c r="F4912" s="14" t="str">
        <f>IFERROR(__xludf.DUMMYFUNCTION("""COMPUTED_VALUE"""),"SELESAI (VIA PERMOHONAN)")</f>
        <v>SELESAI (VIA PERMOHONAN)</v>
      </c>
      <c r="G4912" s="17">
        <f>IFERROR(__xludf.DUMMYFUNCTION("""COMPUTED_VALUE"""),46071.57668295139)</f>
        <v>46071.57668</v>
      </c>
      <c r="H4912" s="14"/>
      <c r="I4912" s="13"/>
      <c r="J4912" s="17" t="str">
        <f>IFERROR(__xludf.DUMMYFUNCTION("""COMPUTED_VALUE"""),"")</f>
        <v/>
      </c>
      <c r="K4912" s="13" t="str">
        <f>IFERROR(__xludf.DUMMYFUNCTION("""COMPUTED_VALUE"""),"BT atau SU Belum Valid")</f>
        <v>BT atau SU Belum Valid</v>
      </c>
      <c r="L4912" s="13" t="str">
        <f>IFERROR(__xludf.DUMMYFUNCTION("""COMPUTED_VALUE"""),"")</f>
        <v/>
      </c>
      <c r="M4912" s="13"/>
      <c r="N4912" s="13" t="str">
        <f>IFERROR(__xludf.DUMMYFUNCTION("""COMPUTED_VALUE"""),"")</f>
        <v/>
      </c>
      <c r="O4912" s="13" t="str">
        <f t="shared" si="1"/>
        <v/>
      </c>
    </row>
    <row r="4913" ht="22.5" customHeight="1">
      <c r="B4913" s="13">
        <f>IFERROR(__xludf.DUMMYFUNCTION("""COMPUTED_VALUE"""),4908.0)</f>
        <v>4908</v>
      </c>
      <c r="C4913" s="13" t="str">
        <f>IFERROR(__xludf.DUMMYFUNCTION("""COMPUTED_VALUE"""),"M.4835 SUKADANA HAM")</f>
        <v>M.4835 SUKADANA HAM</v>
      </c>
      <c r="D4913" s="13" t="str">
        <f>IFERROR(__xludf.DUMMYFUNCTION("""COMPUTED_VALUE"""),"ABYCHHUJ/AB045")</f>
        <v>ABYCHHUJ/AB045</v>
      </c>
      <c r="E4913" s="14" t="str">
        <f>IFERROR(__xludf.DUMMYFUNCTION("""COMPUTED_VALUE"""),"Heri (BT)")</f>
        <v>Heri (BT)</v>
      </c>
      <c r="F4913" s="14" t="str">
        <f>IFERROR(__xludf.DUMMYFUNCTION("""COMPUTED_VALUE"""),"SELESAI (VIA PERMOHONAN)")</f>
        <v>SELESAI (VIA PERMOHONAN)</v>
      </c>
      <c r="G4913" s="17">
        <f>IFERROR(__xludf.DUMMYFUNCTION("""COMPUTED_VALUE"""),46071.576890324075)</f>
        <v>46071.57689</v>
      </c>
      <c r="H4913" s="14"/>
      <c r="I4913" s="13"/>
      <c r="J4913" s="17" t="str">
        <f>IFERROR(__xludf.DUMMYFUNCTION("""COMPUTED_VALUE"""),"")</f>
        <v/>
      </c>
      <c r="K4913" s="13" t="str">
        <f>IFERROR(__xludf.DUMMYFUNCTION("""COMPUTED_VALUE"""),"BT atau SU Belum Valid")</f>
        <v>BT atau SU Belum Valid</v>
      </c>
      <c r="L4913" s="13" t="str">
        <f>IFERROR(__xludf.DUMMYFUNCTION("""COMPUTED_VALUE"""),"")</f>
        <v/>
      </c>
      <c r="M4913" s="13"/>
      <c r="N4913" s="13" t="str">
        <f>IFERROR(__xludf.DUMMYFUNCTION("""COMPUTED_VALUE"""),"")</f>
        <v/>
      </c>
      <c r="O4913" s="13" t="str">
        <f t="shared" si="1"/>
        <v/>
      </c>
    </row>
    <row r="4914" ht="22.5" customHeight="1">
      <c r="B4914" s="13">
        <f>IFERROR(__xludf.DUMMYFUNCTION("""COMPUTED_VALUE"""),4909.0)</f>
        <v>4909</v>
      </c>
      <c r="C4914" s="13" t="str">
        <f>IFERROR(__xludf.DUMMYFUNCTION("""COMPUTED_VALUE"""),"M.4647/Sukadana Ham")</f>
        <v>M.4647/Sukadana Ham</v>
      </c>
      <c r="D4914" s="13" t="str">
        <f>IFERROR(__xludf.DUMMYFUNCTION("""COMPUTED_VALUE"""),"AB037/ABMTXSIV")</f>
        <v>AB037/ABMTXSIV</v>
      </c>
      <c r="E4914" s="14" t="str">
        <f>IFERROR(__xludf.DUMMYFUNCTION("""COMPUTED_VALUE"""),"Heri (BT)")</f>
        <v>Heri (BT)</v>
      </c>
      <c r="F4914" s="14" t="str">
        <f>IFERROR(__xludf.DUMMYFUNCTION("""COMPUTED_VALUE"""),"SELESAI (VIA PERMOHONAN)")</f>
        <v>SELESAI (VIA PERMOHONAN)</v>
      </c>
      <c r="G4914" s="17">
        <f>IFERROR(__xludf.DUMMYFUNCTION("""COMPUTED_VALUE"""),46071.57704157407)</f>
        <v>46071.57704</v>
      </c>
      <c r="H4914" s="14"/>
      <c r="I4914" s="13"/>
      <c r="J4914" s="17" t="str">
        <f>IFERROR(__xludf.DUMMYFUNCTION("""COMPUTED_VALUE"""),"")</f>
        <v/>
      </c>
      <c r="K4914" s="13" t="str">
        <f>IFERROR(__xludf.DUMMYFUNCTION("""COMPUTED_VALUE"""),"BT atau SU Belum Valid")</f>
        <v>BT atau SU Belum Valid</v>
      </c>
      <c r="L4914" s="13" t="str">
        <f>IFERROR(__xludf.DUMMYFUNCTION("""COMPUTED_VALUE"""),"")</f>
        <v/>
      </c>
      <c r="M4914" s="13"/>
      <c r="N4914" s="13" t="str">
        <f>IFERROR(__xludf.DUMMYFUNCTION("""COMPUTED_VALUE"""),"")</f>
        <v/>
      </c>
      <c r="O4914" s="13" t="str">
        <f t="shared" si="1"/>
        <v/>
      </c>
    </row>
    <row r="4915" ht="22.5" customHeight="1">
      <c r="B4915" s="13">
        <f>IFERROR(__xludf.DUMMYFUNCTION("""COMPUTED_VALUE"""),4910.0)</f>
        <v>4910</v>
      </c>
      <c r="C4915" s="13" t="str">
        <f>IFERROR(__xludf.DUMMYFUNCTION("""COMPUTED_VALUE"""),"02151/Labuhan Dalam")</f>
        <v>02151/Labuhan Dalam</v>
      </c>
      <c r="D4915" s="13" t="str">
        <f>IFERROR(__xludf.DUMMYFUNCTION("""COMPUTED_VALUE"""),"ABGPOFDF/AB047")</f>
        <v>ABGPOFDF/AB047</v>
      </c>
      <c r="E4915" s="14" t="str">
        <f>IFERROR(__xludf.DUMMYFUNCTION("""COMPUTED_VALUE"""),"Heri (BT)")</f>
        <v>Heri (BT)</v>
      </c>
      <c r="F4915" s="14" t="str">
        <f>IFERROR(__xludf.DUMMYFUNCTION("""COMPUTED_VALUE"""),"SELESAI (VIA PERMOHONAN)")</f>
        <v>SELESAI (VIA PERMOHONAN)</v>
      </c>
      <c r="G4915" s="17">
        <f>IFERROR(__xludf.DUMMYFUNCTION("""COMPUTED_VALUE"""),46071.577505497684)</f>
        <v>46071.57751</v>
      </c>
      <c r="H4915" s="14"/>
      <c r="I4915" s="13"/>
      <c r="J4915" s="17" t="str">
        <f>IFERROR(__xludf.DUMMYFUNCTION("""COMPUTED_VALUE"""),"")</f>
        <v/>
      </c>
      <c r="K4915" s="13" t="str">
        <f>IFERROR(__xludf.DUMMYFUNCTION("""COMPUTED_VALUE"""),"BT atau SU Belum Valid")</f>
        <v>BT atau SU Belum Valid</v>
      </c>
      <c r="L4915" s="13" t="str">
        <f>IFERROR(__xludf.DUMMYFUNCTION("""COMPUTED_VALUE"""),"")</f>
        <v/>
      </c>
      <c r="M4915" s="13"/>
      <c r="N4915" s="13" t="str">
        <f>IFERROR(__xludf.DUMMYFUNCTION("""COMPUTED_VALUE"""),"")</f>
        <v/>
      </c>
      <c r="O4915" s="13" t="str">
        <f t="shared" si="1"/>
        <v/>
      </c>
    </row>
    <row r="4916" ht="22.5" customHeight="1">
      <c r="B4916" s="13">
        <f>IFERROR(__xludf.DUMMYFUNCTION("""COMPUTED_VALUE"""),4911.0)</f>
        <v>4911</v>
      </c>
      <c r="C4916" s="13" t="str">
        <f>IFERROR(__xludf.DUMMYFUNCTION("""COMPUTED_VALUE"""),"m.5197/rajabasa jaya")</f>
        <v>m.5197/rajabasa jaya</v>
      </c>
      <c r="D4916" s="13" t="str">
        <f>IFERROR(__xludf.DUMMYFUNCTION("""COMPUTED_VALUE"""),"ABPXUSQK")</f>
        <v>ABPXUSQK</v>
      </c>
      <c r="E4916" s="14" t="str">
        <f>IFERROR(__xludf.DUMMYFUNCTION("""COMPUTED_VALUE"""),"Heri (BT)")</f>
        <v>Heri (BT)</v>
      </c>
      <c r="F4916" s="14" t="str">
        <f>IFERROR(__xludf.DUMMYFUNCTION("""COMPUTED_VALUE"""),"SELESAI (VIA PERMOHONAN)")</f>
        <v>SELESAI (VIA PERMOHONAN)</v>
      </c>
      <c r="G4916" s="17">
        <f>IFERROR(__xludf.DUMMYFUNCTION("""COMPUTED_VALUE"""),46071.5777269213)</f>
        <v>46071.57773</v>
      </c>
      <c r="H4916" s="14"/>
      <c r="I4916" s="13"/>
      <c r="J4916" s="17" t="str">
        <f>IFERROR(__xludf.DUMMYFUNCTION("""COMPUTED_VALUE"""),"")</f>
        <v/>
      </c>
      <c r="K4916" s="13" t="str">
        <f>IFERROR(__xludf.DUMMYFUNCTION("""COMPUTED_VALUE"""),"BT atau SU Belum Valid")</f>
        <v>BT atau SU Belum Valid</v>
      </c>
      <c r="L4916" s="13" t="str">
        <f>IFERROR(__xludf.DUMMYFUNCTION("""COMPUTED_VALUE"""),"")</f>
        <v/>
      </c>
      <c r="M4916" s="13"/>
      <c r="N4916" s="13" t="str">
        <f>IFERROR(__xludf.DUMMYFUNCTION("""COMPUTED_VALUE"""),"")</f>
        <v/>
      </c>
      <c r="O4916" s="13" t="str">
        <f t="shared" si="1"/>
        <v/>
      </c>
    </row>
    <row r="4917" ht="22.5" customHeight="1">
      <c r="B4917" s="13">
        <f>IFERROR(__xludf.DUMMYFUNCTION("""COMPUTED_VALUE"""),4912.0)</f>
        <v>4912</v>
      </c>
      <c r="C4917" s="13" t="str">
        <f>IFERROR(__xludf.DUMMYFUNCTION("""COMPUTED_VALUE"""),"M. 1948/BERINGIN JAYA")</f>
        <v>M. 1948/BERINGIN JAYA</v>
      </c>
      <c r="D4917" s="13" t="str">
        <f>IFERROR(__xludf.DUMMYFUNCTION("""COMPUTED_VALUE"""),"K/12/140126/1")</f>
        <v>K/12/140126/1</v>
      </c>
      <c r="E4917" s="14" t="str">
        <f>IFERROR(__xludf.DUMMYFUNCTION("""COMPUTED_VALUE"""),"Heri (BT)")</f>
        <v>Heri (BT)</v>
      </c>
      <c r="F4917" s="14" t="str">
        <f>IFERROR(__xludf.DUMMYFUNCTION("""COMPUTED_VALUE"""),"SELESAI (VIA PERMOHONAN)")</f>
        <v>SELESAI (VIA PERMOHONAN)</v>
      </c>
      <c r="G4917" s="17">
        <f>IFERROR(__xludf.DUMMYFUNCTION("""COMPUTED_VALUE"""),46071.579000682876)</f>
        <v>46071.579</v>
      </c>
      <c r="H4917" s="14"/>
      <c r="I4917" s="13"/>
      <c r="J4917" s="17" t="str">
        <f>IFERROR(__xludf.DUMMYFUNCTION("""COMPUTED_VALUE"""),"")</f>
        <v/>
      </c>
      <c r="K4917" s="13" t="str">
        <f>IFERROR(__xludf.DUMMYFUNCTION("""COMPUTED_VALUE"""),"BT atau SU Belum Valid")</f>
        <v>BT atau SU Belum Valid</v>
      </c>
      <c r="L4917" s="13" t="str">
        <f>IFERROR(__xludf.DUMMYFUNCTION("""COMPUTED_VALUE"""),"")</f>
        <v/>
      </c>
      <c r="M4917" s="13"/>
      <c r="N4917" s="13" t="str">
        <f>IFERROR(__xludf.DUMMYFUNCTION("""COMPUTED_VALUE"""),"")</f>
        <v/>
      </c>
      <c r="O4917" s="13" t="str">
        <f t="shared" si="1"/>
        <v/>
      </c>
    </row>
    <row r="4918" ht="22.5" customHeight="1">
      <c r="B4918" s="13">
        <f>IFERROR(__xludf.DUMMYFUNCTION("""COMPUTED_VALUE"""),4913.0)</f>
        <v>4913</v>
      </c>
      <c r="C4918" s="13" t="str">
        <f>IFERROR(__xludf.DUMMYFUNCTION("""COMPUTED_VALUE"""),"B. 34/GEDUNG MENENG")</f>
        <v>B. 34/GEDUNG MENENG</v>
      </c>
      <c r="D4918" s="13" t="str">
        <f>IFERROR(__xludf.DUMMYFUNCTION("""COMPUTED_VALUE"""),"L/7/171225/1")</f>
        <v>L/7/171225/1</v>
      </c>
      <c r="E4918" s="14" t="str">
        <f>IFERROR(__xludf.DUMMYFUNCTION("""COMPUTED_VALUE"""),"Heri (BT)")</f>
        <v>Heri (BT)</v>
      </c>
      <c r="F4918" s="14" t="str">
        <f>IFERROR(__xludf.DUMMYFUNCTION("""COMPUTED_VALUE"""),"SELESAI (VIA PERMOHONAN)")</f>
        <v>SELESAI (VIA PERMOHONAN)</v>
      </c>
      <c r="G4918" s="17">
        <f>IFERROR(__xludf.DUMMYFUNCTION("""COMPUTED_VALUE"""),46071.579204699075)</f>
        <v>46071.5792</v>
      </c>
      <c r="H4918" s="14"/>
      <c r="I4918" s="13"/>
      <c r="J4918" s="17" t="str">
        <f>IFERROR(__xludf.DUMMYFUNCTION("""COMPUTED_VALUE"""),"")</f>
        <v/>
      </c>
      <c r="K4918" s="13" t="str">
        <f>IFERROR(__xludf.DUMMYFUNCTION("""COMPUTED_VALUE"""),"BT atau SU Belum Valid")</f>
        <v>BT atau SU Belum Valid</v>
      </c>
      <c r="L4918" s="13" t="str">
        <f>IFERROR(__xludf.DUMMYFUNCTION("""COMPUTED_VALUE"""),"")</f>
        <v/>
      </c>
      <c r="M4918" s="13"/>
      <c r="N4918" s="13" t="str">
        <f>IFERROR(__xludf.DUMMYFUNCTION("""COMPUTED_VALUE"""),"")</f>
        <v/>
      </c>
      <c r="O4918" s="13" t="str">
        <f t="shared" si="1"/>
        <v/>
      </c>
    </row>
    <row r="4919" ht="22.5" customHeight="1">
      <c r="B4919" s="13">
        <f>IFERROR(__xludf.DUMMYFUNCTION("""COMPUTED_VALUE"""),4914.0)</f>
        <v>4914</v>
      </c>
      <c r="C4919" s="13" t="str">
        <f>IFERROR(__xludf.DUMMYFUNCTION("""COMPUTED_VALUE"""),"M. 247/Lr.R")</f>
        <v>M. 247/Lr.R</v>
      </c>
      <c r="D4919" s="13" t="str">
        <f>IFERROR(__xludf.DUMMYFUNCTION("""COMPUTED_VALUE"""),"
ABHBSVDY")</f>
        <v>
ABHBSVDY</v>
      </c>
      <c r="E4919" s="14" t="str">
        <f>IFERROR(__xludf.DUMMYFUNCTION("""COMPUTED_VALUE"""),"Heri (BT)")</f>
        <v>Heri (BT)</v>
      </c>
      <c r="F4919" s="14" t="str">
        <f>IFERROR(__xludf.DUMMYFUNCTION("""COMPUTED_VALUE"""),"SELESAI (VIA PERMOHONAN)")</f>
        <v>SELESAI (VIA PERMOHONAN)</v>
      </c>
      <c r="G4919" s="17">
        <f>IFERROR(__xludf.DUMMYFUNCTION("""COMPUTED_VALUE"""),46072.466460752315)</f>
        <v>46072.46646</v>
      </c>
      <c r="H4919" s="14"/>
      <c r="I4919" s="13"/>
      <c r="J4919" s="17" t="str">
        <f>IFERROR(__xludf.DUMMYFUNCTION("""COMPUTED_VALUE"""),"")</f>
        <v/>
      </c>
      <c r="K4919" s="13" t="str">
        <f>IFERROR(__xludf.DUMMYFUNCTION("""COMPUTED_VALUE"""),"BT atau SU Belum Valid")</f>
        <v>BT atau SU Belum Valid</v>
      </c>
      <c r="L4919" s="13" t="str">
        <f>IFERROR(__xludf.DUMMYFUNCTION("""COMPUTED_VALUE"""),"")</f>
        <v/>
      </c>
      <c r="M4919" s="13"/>
      <c r="N4919" s="13" t="str">
        <f>IFERROR(__xludf.DUMMYFUNCTION("""COMPUTED_VALUE"""),"")</f>
        <v/>
      </c>
      <c r="O4919" s="13" t="str">
        <f t="shared" si="1"/>
        <v/>
      </c>
    </row>
    <row r="4920" ht="22.5" customHeight="1">
      <c r="B4920" s="13">
        <f>IFERROR(__xludf.DUMMYFUNCTION("""COMPUTED_VALUE"""),4915.0)</f>
        <v>4915</v>
      </c>
      <c r="C4920" s="13" t="str">
        <f>IFERROR(__xludf.DUMMYFUNCTION("""COMPUTED_VALUE"""),"m.4488")</f>
        <v>m.4488</v>
      </c>
      <c r="D4920" s="13" t="str">
        <f>IFERROR(__xludf.DUMMYFUNCTION("""COMPUTED_VALUE"""),"AB051/ABYQQCLR")</f>
        <v>AB051/ABYQQCLR</v>
      </c>
      <c r="E4920" s="14" t="str">
        <f>IFERROR(__xludf.DUMMYFUNCTION("""COMPUTED_VALUE"""),"Heri (BT)")</f>
        <v>Heri (BT)</v>
      </c>
      <c r="F4920" s="14" t="str">
        <f>IFERROR(__xludf.DUMMYFUNCTION("""COMPUTED_VALUE"""),"SELESAI (VIA PERMOHONAN)")</f>
        <v>SELESAI (VIA PERMOHONAN)</v>
      </c>
      <c r="G4920" s="17">
        <f>IFERROR(__xludf.DUMMYFUNCTION("""COMPUTED_VALUE"""),46072.467126759264)</f>
        <v>46072.46713</v>
      </c>
      <c r="H4920" s="14"/>
      <c r="I4920" s="13"/>
      <c r="J4920" s="17" t="str">
        <f>IFERROR(__xludf.DUMMYFUNCTION("""COMPUTED_VALUE"""),"")</f>
        <v/>
      </c>
      <c r="K4920" s="13" t="str">
        <f>IFERROR(__xludf.DUMMYFUNCTION("""COMPUTED_VALUE"""),"BT atau SU Belum Valid")</f>
        <v>BT atau SU Belum Valid</v>
      </c>
      <c r="L4920" s="13" t="str">
        <f>IFERROR(__xludf.DUMMYFUNCTION("""COMPUTED_VALUE"""),"")</f>
        <v/>
      </c>
      <c r="M4920" s="13"/>
      <c r="N4920" s="13" t="str">
        <f>IFERROR(__xludf.DUMMYFUNCTION("""COMPUTED_VALUE"""),"")</f>
        <v/>
      </c>
      <c r="O4920" s="13" t="str">
        <f t="shared" si="1"/>
        <v/>
      </c>
    </row>
    <row r="4921" ht="22.5" customHeight="1">
      <c r="B4921" s="13">
        <f>IFERROR(__xludf.DUMMYFUNCTION("""COMPUTED_VALUE"""),4916.0)</f>
        <v>4916</v>
      </c>
      <c r="C4921" s="13" t="str">
        <f>IFERROR(__xludf.DUMMYFUNCTION("""COMPUTED_VALUE"""),"M.182/Rajabasa Pemuka")</f>
        <v>M.182/Rajabasa Pemuka</v>
      </c>
      <c r="D4921" s="13" t="str">
        <f>IFERROR(__xludf.DUMMYFUNCTION("""COMPUTED_VALUE"""),"ABODESHA")</f>
        <v>ABODESHA</v>
      </c>
      <c r="E4921" s="14" t="str">
        <f>IFERROR(__xludf.DUMMYFUNCTION("""COMPUTED_VALUE"""),"Heri (BT)")</f>
        <v>Heri (BT)</v>
      </c>
      <c r="F4921" s="14" t="str">
        <f>IFERROR(__xludf.DUMMYFUNCTION("""COMPUTED_VALUE"""),"SELESAI (VIA PERMOHONAN)")</f>
        <v>SELESAI (VIA PERMOHONAN)</v>
      </c>
      <c r="G4921" s="17">
        <f>IFERROR(__xludf.DUMMYFUNCTION("""COMPUTED_VALUE"""),46072.467645613426)</f>
        <v>46072.46765</v>
      </c>
      <c r="H4921" s="14"/>
      <c r="I4921" s="13"/>
      <c r="J4921" s="17" t="str">
        <f>IFERROR(__xludf.DUMMYFUNCTION("""COMPUTED_VALUE"""),"")</f>
        <v/>
      </c>
      <c r="K4921" s="13" t="str">
        <f>IFERROR(__xludf.DUMMYFUNCTION("""COMPUTED_VALUE"""),"BT atau SU Belum Valid")</f>
        <v>BT atau SU Belum Valid</v>
      </c>
      <c r="L4921" s="13" t="str">
        <f>IFERROR(__xludf.DUMMYFUNCTION("""COMPUTED_VALUE"""),"")</f>
        <v/>
      </c>
      <c r="M4921" s="13"/>
      <c r="N4921" s="13" t="str">
        <f>IFERROR(__xludf.DUMMYFUNCTION("""COMPUTED_VALUE"""),"")</f>
        <v/>
      </c>
      <c r="O4921" s="13" t="str">
        <f t="shared" si="1"/>
        <v/>
      </c>
    </row>
    <row r="4922" ht="22.5" customHeight="1">
      <c r="B4922" s="13">
        <f>IFERROR(__xludf.DUMMYFUNCTION("""COMPUTED_VALUE"""),4917.0)</f>
        <v>4917</v>
      </c>
      <c r="C4922" s="13" t="str">
        <f>IFERROR(__xludf.DUMMYFUNCTION("""COMPUTED_VALUE"""),"B. 89/KEMILING PERMAI")</f>
        <v>B. 89/KEMILING PERMAI</v>
      </c>
      <c r="D4922" s="13" t="str">
        <f>IFERROR(__xludf.DUMMYFUNCTION("""COMPUTED_VALUE"""),"L/9/300126/1")</f>
        <v>L/9/300126/1</v>
      </c>
      <c r="E4922" s="14" t="str">
        <f>IFERROR(__xludf.DUMMYFUNCTION("""COMPUTED_VALUE"""),"Heri (BT)")</f>
        <v>Heri (BT)</v>
      </c>
      <c r="F4922" s="14" t="str">
        <f>IFERROR(__xludf.DUMMYFUNCTION("""COMPUTED_VALUE"""),"SELESAI (VIA PERMOHONAN)")</f>
        <v>SELESAI (VIA PERMOHONAN)</v>
      </c>
      <c r="G4922" s="17">
        <f>IFERROR(__xludf.DUMMYFUNCTION("""COMPUTED_VALUE"""),46072.469321655095)</f>
        <v>46072.46932</v>
      </c>
      <c r="H4922" s="14"/>
      <c r="I4922" s="13"/>
      <c r="J4922" s="17" t="str">
        <f>IFERROR(__xludf.DUMMYFUNCTION("""COMPUTED_VALUE"""),"")</f>
        <v/>
      </c>
      <c r="K4922" s="13" t="str">
        <f>IFERROR(__xludf.DUMMYFUNCTION("""COMPUTED_VALUE"""),"BT atau SU Belum Valid")</f>
        <v>BT atau SU Belum Valid</v>
      </c>
      <c r="L4922" s="13" t="str">
        <f>IFERROR(__xludf.DUMMYFUNCTION("""COMPUTED_VALUE"""),"")</f>
        <v/>
      </c>
      <c r="M4922" s="13"/>
      <c r="N4922" s="13" t="str">
        <f>IFERROR(__xludf.DUMMYFUNCTION("""COMPUTED_VALUE"""),"")</f>
        <v/>
      </c>
      <c r="O4922" s="13" t="str">
        <f t="shared" si="1"/>
        <v/>
      </c>
    </row>
    <row r="4923" ht="22.5" customHeight="1">
      <c r="B4923" s="13">
        <f>IFERROR(__xludf.DUMMYFUNCTION("""COMPUTED_VALUE"""),4918.0)</f>
        <v>4918</v>
      </c>
      <c r="C4923" s="13" t="str">
        <f>IFERROR(__xludf.DUMMYFUNCTION("""COMPUTED_VALUE"""),"M. 2721/GUNUNG TERANG")</f>
        <v>M. 2721/GUNUNG TERANG</v>
      </c>
      <c r="D4923" s="13" t="str">
        <f>IFERROR(__xludf.DUMMYFUNCTION("""COMPUTED_VALUE"""),"L/12/241225/1")</f>
        <v>L/12/241225/1</v>
      </c>
      <c r="E4923" s="14" t="str">
        <f>IFERROR(__xludf.DUMMYFUNCTION("""COMPUTED_VALUE"""),"Heri (BT)")</f>
        <v>Heri (BT)</v>
      </c>
      <c r="F4923" s="14" t="str">
        <f>IFERROR(__xludf.DUMMYFUNCTION("""COMPUTED_VALUE"""),"SELESAI (VIA PERMOHONAN)")</f>
        <v>SELESAI (VIA PERMOHONAN)</v>
      </c>
      <c r="G4923" s="17">
        <f>IFERROR(__xludf.DUMMYFUNCTION("""COMPUTED_VALUE"""),46072.46990953704)</f>
        <v>46072.46991</v>
      </c>
      <c r="H4923" s="14"/>
      <c r="I4923" s="13"/>
      <c r="J4923" s="17" t="str">
        <f>IFERROR(__xludf.DUMMYFUNCTION("""COMPUTED_VALUE"""),"")</f>
        <v/>
      </c>
      <c r="K4923" s="13" t="str">
        <f>IFERROR(__xludf.DUMMYFUNCTION("""COMPUTED_VALUE"""),"BT atau SU Belum Valid")</f>
        <v>BT atau SU Belum Valid</v>
      </c>
      <c r="L4923" s="13" t="str">
        <f>IFERROR(__xludf.DUMMYFUNCTION("""COMPUTED_VALUE"""),"")</f>
        <v/>
      </c>
      <c r="M4923" s="13"/>
      <c r="N4923" s="13" t="str">
        <f>IFERROR(__xludf.DUMMYFUNCTION("""COMPUTED_VALUE"""),"")</f>
        <v/>
      </c>
      <c r="O4923" s="13" t="str">
        <f t="shared" si="1"/>
        <v/>
      </c>
    </row>
    <row r="4924" ht="22.5" customHeight="1">
      <c r="B4924" s="13">
        <f>IFERROR(__xludf.DUMMYFUNCTION("""COMPUTED_VALUE"""),4919.0)</f>
        <v>4919</v>
      </c>
      <c r="C4924" s="13" t="str">
        <f>IFERROR(__xludf.DUMMYFUNCTION("""COMPUTED_VALUE"""),"B. 2087/SUKABUMI")</f>
        <v>B. 2087/SUKABUMI</v>
      </c>
      <c r="D4924" s="13" t="str">
        <f>IFERROR(__xludf.DUMMYFUNCTION("""COMPUTED_VALUE"""),"L/2/020126/1")</f>
        <v>L/2/020126/1</v>
      </c>
      <c r="E4924" s="14" t="str">
        <f>IFERROR(__xludf.DUMMYFUNCTION("""COMPUTED_VALUE"""),"Heri (BT)")</f>
        <v>Heri (BT)</v>
      </c>
      <c r="F4924" s="14" t="str">
        <f>IFERROR(__xludf.DUMMYFUNCTION("""COMPUTED_VALUE"""),"SELESAI (VIA PERMOHONAN)")</f>
        <v>SELESAI (VIA PERMOHONAN)</v>
      </c>
      <c r="G4924" s="17">
        <f>IFERROR(__xludf.DUMMYFUNCTION("""COMPUTED_VALUE"""),46072.471190543976)</f>
        <v>46072.47119</v>
      </c>
      <c r="H4924" s="14"/>
      <c r="I4924" s="13"/>
      <c r="J4924" s="17" t="str">
        <f>IFERROR(__xludf.DUMMYFUNCTION("""COMPUTED_VALUE"""),"")</f>
        <v/>
      </c>
      <c r="K4924" s="13" t="str">
        <f>IFERROR(__xludf.DUMMYFUNCTION("""COMPUTED_VALUE"""),"BT atau SU Belum Valid")</f>
        <v>BT atau SU Belum Valid</v>
      </c>
      <c r="L4924" s="13" t="str">
        <f>IFERROR(__xludf.DUMMYFUNCTION("""COMPUTED_VALUE"""),"")</f>
        <v/>
      </c>
      <c r="M4924" s="13"/>
      <c r="N4924" s="13" t="str">
        <f>IFERROR(__xludf.DUMMYFUNCTION("""COMPUTED_VALUE"""),"")</f>
        <v/>
      </c>
      <c r="O4924" s="13" t="str">
        <f t="shared" si="1"/>
        <v/>
      </c>
    </row>
    <row r="4925" ht="22.5" customHeight="1">
      <c r="B4925" s="13">
        <f>IFERROR(__xludf.DUMMYFUNCTION("""COMPUTED_VALUE"""),4920.0)</f>
        <v>4920</v>
      </c>
      <c r="C4925" s="13" t="str">
        <f>IFERROR(__xludf.DUMMYFUNCTION("""COMPUTED_VALUE"""),"M. 172/Perumnas Way Kandis")</f>
        <v>M. 172/Perumnas Way Kandis</v>
      </c>
      <c r="D4925" s="13" t="str">
        <f>IFERROR(__xludf.DUMMYFUNCTION("""COMPUTED_VALUE"""),"ABGDSRDX/AB028")</f>
        <v>ABGDSRDX/AB028</v>
      </c>
      <c r="E4925" s="14" t="str">
        <f>IFERROR(__xludf.DUMMYFUNCTION("""COMPUTED_VALUE"""),"Heri (BT)")</f>
        <v>Heri (BT)</v>
      </c>
      <c r="F4925" s="14" t="str">
        <f>IFERROR(__xludf.DUMMYFUNCTION("""COMPUTED_VALUE"""),"SELESAI (VIA PERMOHONAN)")</f>
        <v>SELESAI (VIA PERMOHONAN)</v>
      </c>
      <c r="G4925" s="17">
        <f>IFERROR(__xludf.DUMMYFUNCTION("""COMPUTED_VALUE"""),46072.472688090274)</f>
        <v>46072.47269</v>
      </c>
      <c r="H4925" s="14"/>
      <c r="I4925" s="13"/>
      <c r="J4925" s="17" t="str">
        <f>IFERROR(__xludf.DUMMYFUNCTION("""COMPUTED_VALUE"""),"")</f>
        <v/>
      </c>
      <c r="K4925" s="13" t="str">
        <f>IFERROR(__xludf.DUMMYFUNCTION("""COMPUTED_VALUE"""),"BT atau SU Belum Valid")</f>
        <v>BT atau SU Belum Valid</v>
      </c>
      <c r="L4925" s="13" t="str">
        <f>IFERROR(__xludf.DUMMYFUNCTION("""COMPUTED_VALUE"""),"")</f>
        <v/>
      </c>
      <c r="M4925" s="13"/>
      <c r="N4925" s="13" t="str">
        <f>IFERROR(__xludf.DUMMYFUNCTION("""COMPUTED_VALUE"""),"")</f>
        <v/>
      </c>
      <c r="O4925" s="13" t="str">
        <f t="shared" si="1"/>
        <v/>
      </c>
    </row>
    <row r="4926" ht="22.5" customHeight="1">
      <c r="B4926" s="13">
        <f>IFERROR(__xludf.DUMMYFUNCTION("""COMPUTED_VALUE"""),4921.0)</f>
        <v>4921</v>
      </c>
      <c r="C4926" s="13" t="str">
        <f>IFERROR(__xludf.DUMMYFUNCTION("""COMPUTED_VALUE"""),"M. 2040/sukarame baru")</f>
        <v>M. 2040/sukarame baru</v>
      </c>
      <c r="D4926" s="13" t="str">
        <f>IFERROR(__xludf.DUMMYFUNCTION("""COMPUTED_VALUE"""),"ABCPRKSS/AB047")</f>
        <v>ABCPRKSS/AB047</v>
      </c>
      <c r="E4926" s="14" t="str">
        <f>IFERROR(__xludf.DUMMYFUNCTION("""COMPUTED_VALUE"""),"Heri (BT)")</f>
        <v>Heri (BT)</v>
      </c>
      <c r="F4926" s="14" t="str">
        <f>IFERROR(__xludf.DUMMYFUNCTION("""COMPUTED_VALUE"""),"SELESAI (VIA PERMOHONAN)")</f>
        <v>SELESAI (VIA PERMOHONAN)</v>
      </c>
      <c r="G4926" s="17">
        <f>IFERROR(__xludf.DUMMYFUNCTION("""COMPUTED_VALUE"""),46072.48476158565)</f>
        <v>46072.48476</v>
      </c>
      <c r="H4926" s="14"/>
      <c r="I4926" s="13"/>
      <c r="J4926" s="17" t="str">
        <f>IFERROR(__xludf.DUMMYFUNCTION("""COMPUTED_VALUE"""),"")</f>
        <v/>
      </c>
      <c r="K4926" s="13" t="str">
        <f>IFERROR(__xludf.DUMMYFUNCTION("""COMPUTED_VALUE"""),"BT atau SU Belum Valid")</f>
        <v>BT atau SU Belum Valid</v>
      </c>
      <c r="L4926" s="13" t="str">
        <f>IFERROR(__xludf.DUMMYFUNCTION("""COMPUTED_VALUE"""),"")</f>
        <v/>
      </c>
      <c r="M4926" s="13"/>
      <c r="N4926" s="13" t="str">
        <f>IFERROR(__xludf.DUMMYFUNCTION("""COMPUTED_VALUE"""),"")</f>
        <v/>
      </c>
      <c r="O4926" s="13" t="str">
        <f t="shared" si="1"/>
        <v/>
      </c>
    </row>
    <row r="4927" ht="22.5" customHeight="1">
      <c r="B4927" s="13">
        <f>IFERROR(__xludf.DUMMYFUNCTION("""COMPUTED_VALUE"""),4922.0)</f>
        <v>4922</v>
      </c>
      <c r="C4927" s="13" t="str">
        <f>IFERROR(__xludf.DUMMYFUNCTION("""COMPUTED_VALUE"""),"M. 4706/Rajabasa jaya")</f>
        <v>M. 4706/Rajabasa jaya</v>
      </c>
      <c r="D4927" s="13" t="str">
        <f>IFERROR(__xludf.DUMMYFUNCTION("""COMPUTED_VALUE"""),"ABWWMBUK/AB075")</f>
        <v>ABWWMBUK/AB075</v>
      </c>
      <c r="E4927" s="14" t="str">
        <f>IFERROR(__xludf.DUMMYFUNCTION("""COMPUTED_VALUE"""),"Heri (BT)")</f>
        <v>Heri (BT)</v>
      </c>
      <c r="F4927" s="14" t="str">
        <f>IFERROR(__xludf.DUMMYFUNCTION("""COMPUTED_VALUE"""),"SELESAI (VIA PERMOHONAN)")</f>
        <v>SELESAI (VIA PERMOHONAN)</v>
      </c>
      <c r="G4927" s="17">
        <f>IFERROR(__xludf.DUMMYFUNCTION("""COMPUTED_VALUE"""),46072.4849755787)</f>
        <v>46072.48498</v>
      </c>
      <c r="H4927" s="14"/>
      <c r="I4927" s="13"/>
      <c r="J4927" s="17" t="str">
        <f>IFERROR(__xludf.DUMMYFUNCTION("""COMPUTED_VALUE"""),"")</f>
        <v/>
      </c>
      <c r="K4927" s="13" t="str">
        <f>IFERROR(__xludf.DUMMYFUNCTION("""COMPUTED_VALUE"""),"BT atau SU Belum Valid")</f>
        <v>BT atau SU Belum Valid</v>
      </c>
      <c r="L4927" s="13" t="str">
        <f>IFERROR(__xludf.DUMMYFUNCTION("""COMPUTED_VALUE"""),"")</f>
        <v/>
      </c>
      <c r="M4927" s="13"/>
      <c r="N4927" s="13" t="str">
        <f>IFERROR(__xludf.DUMMYFUNCTION("""COMPUTED_VALUE"""),"")</f>
        <v/>
      </c>
      <c r="O4927" s="13" t="str">
        <f t="shared" si="1"/>
        <v/>
      </c>
    </row>
    <row r="4928" ht="22.5" customHeight="1">
      <c r="B4928" s="13">
        <f>IFERROR(__xludf.DUMMYFUNCTION("""COMPUTED_VALUE"""),4923.0)</f>
        <v>4923</v>
      </c>
      <c r="C4928" s="13" t="str">
        <f>IFERROR(__xludf.DUMMYFUNCTION("""COMPUTED_VALUE"""),"M.2130/ keteguhan")</f>
        <v>M.2130/ keteguhan</v>
      </c>
      <c r="D4928" s="13" t="str">
        <f>IFERROR(__xludf.DUMMYFUNCTION("""COMPUTED_VALUE"""),"ABESDGZG")</f>
        <v>ABESDGZG</v>
      </c>
      <c r="E4928" s="14" t="str">
        <f>IFERROR(__xludf.DUMMYFUNCTION("""COMPUTED_VALUE"""),"Heri (BT)")</f>
        <v>Heri (BT)</v>
      </c>
      <c r="F4928" s="14" t="str">
        <f>IFERROR(__xludf.DUMMYFUNCTION("""COMPUTED_VALUE"""),"SELESAI (VIA PERMOHONAN)")</f>
        <v>SELESAI (VIA PERMOHONAN)</v>
      </c>
      <c r="G4928" s="17">
        <f>IFERROR(__xludf.DUMMYFUNCTION("""COMPUTED_VALUE"""),46072.48510016204)</f>
        <v>46072.4851</v>
      </c>
      <c r="H4928" s="14"/>
      <c r="I4928" s="13"/>
      <c r="J4928" s="17" t="str">
        <f>IFERROR(__xludf.DUMMYFUNCTION("""COMPUTED_VALUE"""),"")</f>
        <v/>
      </c>
      <c r="K4928" s="13" t="str">
        <f>IFERROR(__xludf.DUMMYFUNCTION("""COMPUTED_VALUE"""),"BT atau SU Belum Valid")</f>
        <v>BT atau SU Belum Valid</v>
      </c>
      <c r="L4928" s="13" t="str">
        <f>IFERROR(__xludf.DUMMYFUNCTION("""COMPUTED_VALUE"""),"")</f>
        <v/>
      </c>
      <c r="M4928" s="13"/>
      <c r="N4928" s="13" t="str">
        <f>IFERROR(__xludf.DUMMYFUNCTION("""COMPUTED_VALUE"""),"")</f>
        <v/>
      </c>
      <c r="O4928" s="13" t="str">
        <f t="shared" si="1"/>
        <v/>
      </c>
    </row>
    <row r="4929" ht="22.5" customHeight="1">
      <c r="B4929" s="13">
        <f>IFERROR(__xludf.DUMMYFUNCTION("""COMPUTED_VALUE"""),4924.0)</f>
        <v>4924</v>
      </c>
      <c r="C4929" s="13" t="str">
        <f>IFERROR(__xludf.DUMMYFUNCTION("""COMPUTED_VALUE"""),"M 3583/ BERINGIN RAYA")</f>
        <v>M 3583/ BERINGIN RAYA</v>
      </c>
      <c r="D4929" s="13" t="str">
        <f>IFERROR(__xludf.DUMMYFUNCTION("""COMPUTED_VALUE"""),"ABGHIKEW")</f>
        <v>ABGHIKEW</v>
      </c>
      <c r="E4929" s="14" t="str">
        <f>IFERROR(__xludf.DUMMYFUNCTION("""COMPUTED_VALUE"""),"Heri (BT)")</f>
        <v>Heri (BT)</v>
      </c>
      <c r="F4929" s="14" t="str">
        <f>IFERROR(__xludf.DUMMYFUNCTION("""COMPUTED_VALUE"""),"SELESAI (VIA PERMOHONAN)")</f>
        <v>SELESAI (VIA PERMOHONAN)</v>
      </c>
      <c r="G4929" s="17">
        <f>IFERROR(__xludf.DUMMYFUNCTION("""COMPUTED_VALUE"""),46072.485374236116)</f>
        <v>46072.48537</v>
      </c>
      <c r="H4929" s="14"/>
      <c r="I4929" s="13"/>
      <c r="J4929" s="17" t="str">
        <f>IFERROR(__xludf.DUMMYFUNCTION("""COMPUTED_VALUE"""),"")</f>
        <v/>
      </c>
      <c r="K4929" s="13" t="str">
        <f>IFERROR(__xludf.DUMMYFUNCTION("""COMPUTED_VALUE"""),"BT atau SU Belum Valid")</f>
        <v>BT atau SU Belum Valid</v>
      </c>
      <c r="L4929" s="13" t="str">
        <f>IFERROR(__xludf.DUMMYFUNCTION("""COMPUTED_VALUE"""),"")</f>
        <v/>
      </c>
      <c r="M4929" s="13"/>
      <c r="N4929" s="13" t="str">
        <f>IFERROR(__xludf.DUMMYFUNCTION("""COMPUTED_VALUE"""),"")</f>
        <v/>
      </c>
      <c r="O4929" s="13" t="str">
        <f t="shared" si="1"/>
        <v/>
      </c>
    </row>
    <row r="4930" ht="22.5" customHeight="1">
      <c r="B4930" s="13">
        <f>IFERROR(__xludf.DUMMYFUNCTION("""COMPUTED_VALUE"""),4925.0)</f>
        <v>4925</v>
      </c>
      <c r="C4930" s="13" t="str">
        <f>IFERROR(__xludf.DUMMYFUNCTION("""COMPUTED_VALUE"""),"B 812/ SUKARAME BARU")</f>
        <v>B 812/ SUKARAME BARU</v>
      </c>
      <c r="D4930" s="13" t="str">
        <f>IFERROR(__xludf.DUMMYFUNCTION("""COMPUTED_VALUE"""),"ABSPKCKX")</f>
        <v>ABSPKCKX</v>
      </c>
      <c r="E4930" s="14" t="str">
        <f>IFERROR(__xludf.DUMMYFUNCTION("""COMPUTED_VALUE"""),"Heri (BT)")</f>
        <v>Heri (BT)</v>
      </c>
      <c r="F4930" s="14" t="str">
        <f>IFERROR(__xludf.DUMMYFUNCTION("""COMPUTED_VALUE"""),"SELESAI (VIA PERMOHONAN)")</f>
        <v>SELESAI (VIA PERMOHONAN)</v>
      </c>
      <c r="G4930" s="17">
        <f>IFERROR(__xludf.DUMMYFUNCTION("""COMPUTED_VALUE"""),46072.485551157406)</f>
        <v>46072.48555</v>
      </c>
      <c r="H4930" s="14"/>
      <c r="I4930" s="13"/>
      <c r="J4930" s="17" t="str">
        <f>IFERROR(__xludf.DUMMYFUNCTION("""COMPUTED_VALUE"""),"")</f>
        <v/>
      </c>
      <c r="K4930" s="13" t="str">
        <f>IFERROR(__xludf.DUMMYFUNCTION("""COMPUTED_VALUE"""),"BT atau SU Belum Valid")</f>
        <v>BT atau SU Belum Valid</v>
      </c>
      <c r="L4930" s="13" t="str">
        <f>IFERROR(__xludf.DUMMYFUNCTION("""COMPUTED_VALUE"""),"")</f>
        <v/>
      </c>
      <c r="M4930" s="13"/>
      <c r="N4930" s="13" t="str">
        <f>IFERROR(__xludf.DUMMYFUNCTION("""COMPUTED_VALUE"""),"")</f>
        <v/>
      </c>
      <c r="O4930" s="13" t="str">
        <f t="shared" si="1"/>
        <v/>
      </c>
    </row>
    <row r="4931" ht="22.5" customHeight="1">
      <c r="B4931" s="13">
        <f>IFERROR(__xludf.DUMMYFUNCTION("""COMPUTED_VALUE"""),4926.0)</f>
        <v>4926</v>
      </c>
      <c r="C4931" s="13" t="str">
        <f>IFERROR(__xludf.DUMMYFUNCTION("""COMPUTED_VALUE"""),"B 814/ SUKARAME BARU")</f>
        <v>B 814/ SUKARAME BARU</v>
      </c>
      <c r="D4931" s="13" t="str">
        <f>IFERROR(__xludf.DUMMYFUNCTION("""COMPUTED_VALUE"""),"ABNYCCGW")</f>
        <v>ABNYCCGW</v>
      </c>
      <c r="E4931" s="14" t="str">
        <f>IFERROR(__xludf.DUMMYFUNCTION("""COMPUTED_VALUE"""),"Heri (BT)")</f>
        <v>Heri (BT)</v>
      </c>
      <c r="F4931" s="14" t="str">
        <f>IFERROR(__xludf.DUMMYFUNCTION("""COMPUTED_VALUE"""),"SELESAI (VIA PERMOHONAN)")</f>
        <v>SELESAI (VIA PERMOHONAN)</v>
      </c>
      <c r="G4931" s="17">
        <f>IFERROR(__xludf.DUMMYFUNCTION("""COMPUTED_VALUE"""),46072.485754814814)</f>
        <v>46072.48575</v>
      </c>
      <c r="H4931" s="14"/>
      <c r="I4931" s="13"/>
      <c r="J4931" s="17" t="str">
        <f>IFERROR(__xludf.DUMMYFUNCTION("""COMPUTED_VALUE"""),"")</f>
        <v/>
      </c>
      <c r="K4931" s="13" t="str">
        <f>IFERROR(__xludf.DUMMYFUNCTION("""COMPUTED_VALUE"""),"BT atau SU Belum Valid")</f>
        <v>BT atau SU Belum Valid</v>
      </c>
      <c r="L4931" s="13" t="str">
        <f>IFERROR(__xludf.DUMMYFUNCTION("""COMPUTED_VALUE"""),"")</f>
        <v/>
      </c>
      <c r="M4931" s="13"/>
      <c r="N4931" s="13" t="str">
        <f>IFERROR(__xludf.DUMMYFUNCTION("""COMPUTED_VALUE"""),"")</f>
        <v/>
      </c>
      <c r="O4931" s="13" t="str">
        <f t="shared" si="1"/>
        <v/>
      </c>
    </row>
    <row r="4932" ht="22.5" customHeight="1">
      <c r="B4932" s="13">
        <f>IFERROR(__xludf.DUMMYFUNCTION("""COMPUTED_VALUE"""),4927.0)</f>
        <v>4927</v>
      </c>
      <c r="C4932" s="13" t="str">
        <f>IFERROR(__xludf.DUMMYFUNCTION("""COMPUTED_VALUE"""),"Shgb 00813")</f>
        <v>Shgb 00813</v>
      </c>
      <c r="D4932" s="13" t="str">
        <f>IFERROR(__xludf.DUMMYFUNCTION("""COMPUTED_VALUE"""),"ABKACDQG")</f>
        <v>ABKACDQG</v>
      </c>
      <c r="E4932" s="14" t="str">
        <f>IFERROR(__xludf.DUMMYFUNCTION("""COMPUTED_VALUE"""),"Heri (BT)")</f>
        <v>Heri (BT)</v>
      </c>
      <c r="F4932" s="14" t="str">
        <f>IFERROR(__xludf.DUMMYFUNCTION("""COMPUTED_VALUE"""),"SELESAI (VIA PERMOHONAN)")</f>
        <v>SELESAI (VIA PERMOHONAN)</v>
      </c>
      <c r="G4932" s="17">
        <f>IFERROR(__xludf.DUMMYFUNCTION("""COMPUTED_VALUE"""),46072.48733484954)</f>
        <v>46072.48733</v>
      </c>
      <c r="H4932" s="14"/>
      <c r="I4932" s="13"/>
      <c r="J4932" s="17" t="str">
        <f>IFERROR(__xludf.DUMMYFUNCTION("""COMPUTED_VALUE"""),"")</f>
        <v/>
      </c>
      <c r="K4932" s="13" t="str">
        <f>IFERROR(__xludf.DUMMYFUNCTION("""COMPUTED_VALUE"""),"BT atau SU Belum Valid")</f>
        <v>BT atau SU Belum Valid</v>
      </c>
      <c r="L4932" s="13" t="str">
        <f>IFERROR(__xludf.DUMMYFUNCTION("""COMPUTED_VALUE"""),"")</f>
        <v/>
      </c>
      <c r="M4932" s="13"/>
      <c r="N4932" s="13" t="str">
        <f>IFERROR(__xludf.DUMMYFUNCTION("""COMPUTED_VALUE"""),"")</f>
        <v/>
      </c>
      <c r="O4932" s="13" t="str">
        <f t="shared" si="1"/>
        <v/>
      </c>
    </row>
    <row r="4933" ht="22.5" customHeight="1">
      <c r="B4933" s="13">
        <f>IFERROR(__xludf.DUMMYFUNCTION("""COMPUTED_VALUE"""),4928.0)</f>
        <v>4928</v>
      </c>
      <c r="C4933" s="13" t="str">
        <f>IFERROR(__xludf.DUMMYFUNCTION("""COMPUTED_VALUE"""),"M 321/ tanjung gading")</f>
        <v>M 321/ tanjung gading</v>
      </c>
      <c r="D4933" s="13" t="str">
        <f>IFERROR(__xludf.DUMMYFUNCTION("""COMPUTED_VALUE"""),"ABLJVRYK")</f>
        <v>ABLJVRYK</v>
      </c>
      <c r="E4933" s="14" t="str">
        <f>IFERROR(__xludf.DUMMYFUNCTION("""COMPUTED_VALUE"""),"Heri (BT)")</f>
        <v>Heri (BT)</v>
      </c>
      <c r="F4933" s="14" t="str">
        <f>IFERROR(__xludf.DUMMYFUNCTION("""COMPUTED_VALUE"""),"SELESAI (VIA PERMOHONAN)")</f>
        <v>SELESAI (VIA PERMOHONAN)</v>
      </c>
      <c r="G4933" s="17">
        <f>IFERROR(__xludf.DUMMYFUNCTION("""COMPUTED_VALUE"""),46072.487560925925)</f>
        <v>46072.48756</v>
      </c>
      <c r="H4933" s="14"/>
      <c r="I4933" s="13"/>
      <c r="J4933" s="17" t="str">
        <f>IFERROR(__xludf.DUMMYFUNCTION("""COMPUTED_VALUE"""),"")</f>
        <v/>
      </c>
      <c r="K4933" s="13" t="str">
        <f>IFERROR(__xludf.DUMMYFUNCTION("""COMPUTED_VALUE"""),"BT atau SU Belum Valid")</f>
        <v>BT atau SU Belum Valid</v>
      </c>
      <c r="L4933" s="13" t="str">
        <f>IFERROR(__xludf.DUMMYFUNCTION("""COMPUTED_VALUE"""),"")</f>
        <v/>
      </c>
      <c r="M4933" s="13"/>
      <c r="N4933" s="13" t="str">
        <f>IFERROR(__xludf.DUMMYFUNCTION("""COMPUTED_VALUE"""),"")</f>
        <v/>
      </c>
      <c r="O4933" s="13" t="str">
        <f t="shared" si="1"/>
        <v/>
      </c>
    </row>
    <row r="4934" ht="22.5" customHeight="1">
      <c r="B4934" s="13">
        <f>IFERROR(__xludf.DUMMYFUNCTION("""COMPUTED_VALUE"""),4929.0)</f>
        <v>4929</v>
      </c>
      <c r="C4934" s="13">
        <f>IFERROR(__xludf.DUMMYFUNCTION("""COMPUTED_VALUE"""),14007.0)</f>
        <v>14007</v>
      </c>
      <c r="D4934" s="13" t="str">
        <f>IFERROR(__xludf.DUMMYFUNCTION("""COMPUTED_VALUE"""),"ABJQJZQA")</f>
        <v>ABJQJZQA</v>
      </c>
      <c r="E4934" s="14" t="str">
        <f>IFERROR(__xludf.DUMMYFUNCTION("""COMPUTED_VALUE"""),"Heri (BT)")</f>
        <v>Heri (BT)</v>
      </c>
      <c r="F4934" s="14" t="str">
        <f>IFERROR(__xludf.DUMMYFUNCTION("""COMPUTED_VALUE"""),"SELESAI (VIA PERMOHONAN)")</f>
        <v>SELESAI (VIA PERMOHONAN)</v>
      </c>
      <c r="G4934" s="17">
        <f>IFERROR(__xludf.DUMMYFUNCTION("""COMPUTED_VALUE"""),46072.48783648148)</f>
        <v>46072.48784</v>
      </c>
      <c r="H4934" s="14"/>
      <c r="I4934" s="13"/>
      <c r="J4934" s="17" t="str">
        <f>IFERROR(__xludf.DUMMYFUNCTION("""COMPUTED_VALUE"""),"")</f>
        <v/>
      </c>
      <c r="K4934" s="13" t="str">
        <f>IFERROR(__xludf.DUMMYFUNCTION("""COMPUTED_VALUE"""),"BT atau SU Belum Valid")</f>
        <v>BT atau SU Belum Valid</v>
      </c>
      <c r="L4934" s="13" t="str">
        <f>IFERROR(__xludf.DUMMYFUNCTION("""COMPUTED_VALUE"""),"")</f>
        <v/>
      </c>
      <c r="M4934" s="13"/>
      <c r="N4934" s="13" t="str">
        <f>IFERROR(__xludf.DUMMYFUNCTION("""COMPUTED_VALUE"""),"")</f>
        <v/>
      </c>
      <c r="O4934" s="13" t="str">
        <f t="shared" si="1"/>
        <v/>
      </c>
    </row>
    <row r="4935" ht="22.5" customHeight="1">
      <c r="B4935" s="13">
        <f>IFERROR(__xludf.DUMMYFUNCTION("""COMPUTED_VALUE"""),4930.0)</f>
        <v>4930</v>
      </c>
      <c r="C4935" s="13" t="str">
        <f>IFERROR(__xludf.DUMMYFUNCTION("""COMPUTED_VALUE"""),"M.11567/Jagabaya III")</f>
        <v>M.11567/Jagabaya III</v>
      </c>
      <c r="D4935" s="13" t="str">
        <f>IFERROR(__xludf.DUMMYFUNCTION("""COMPUTED_VALUE"""),"ABGFBSCX")</f>
        <v>ABGFBSCX</v>
      </c>
      <c r="E4935" s="14" t="str">
        <f>IFERROR(__xludf.DUMMYFUNCTION("""COMPUTED_VALUE"""),"Heri (BT)")</f>
        <v>Heri (BT)</v>
      </c>
      <c r="F4935" s="14" t="str">
        <f>IFERROR(__xludf.DUMMYFUNCTION("""COMPUTED_VALUE"""),"SELESAI (VIA PERMOHONAN)")</f>
        <v>SELESAI (VIA PERMOHONAN)</v>
      </c>
      <c r="G4935" s="17">
        <f>IFERROR(__xludf.DUMMYFUNCTION("""COMPUTED_VALUE"""),46072.48806582176)</f>
        <v>46072.48807</v>
      </c>
      <c r="H4935" s="14"/>
      <c r="I4935" s="13"/>
      <c r="J4935" s="17" t="str">
        <f>IFERROR(__xludf.DUMMYFUNCTION("""COMPUTED_VALUE"""),"")</f>
        <v/>
      </c>
      <c r="K4935" s="13" t="str">
        <f>IFERROR(__xludf.DUMMYFUNCTION("""COMPUTED_VALUE"""),"BT atau SU Belum Valid")</f>
        <v>BT atau SU Belum Valid</v>
      </c>
      <c r="L4935" s="13" t="str">
        <f>IFERROR(__xludf.DUMMYFUNCTION("""COMPUTED_VALUE"""),"")</f>
        <v/>
      </c>
      <c r="M4935" s="13"/>
      <c r="N4935" s="13" t="str">
        <f>IFERROR(__xludf.DUMMYFUNCTION("""COMPUTED_VALUE"""),"")</f>
        <v/>
      </c>
      <c r="O4935" s="13" t="str">
        <f t="shared" si="1"/>
        <v/>
      </c>
    </row>
    <row r="4936" ht="22.5" customHeight="1">
      <c r="B4936" s="13">
        <f>IFERROR(__xludf.DUMMYFUNCTION("""COMPUTED_VALUE"""),4931.0)</f>
        <v>4931</v>
      </c>
      <c r="C4936" s="13" t="str">
        <f>IFERROR(__xludf.DUMMYFUNCTION("""COMPUTED_VALUE"""),"M. 1275/Sukarame Baru")</f>
        <v>M. 1275/Sukarame Baru</v>
      </c>
      <c r="D4936" s="13" t="str">
        <f>IFERROR(__xludf.DUMMYFUNCTION("""COMPUTED_VALUE"""),"ABTQEBEY")</f>
        <v>ABTQEBEY</v>
      </c>
      <c r="E4936" s="14" t="str">
        <f>IFERROR(__xludf.DUMMYFUNCTION("""COMPUTED_VALUE"""),"Heri (BT)")</f>
        <v>Heri (BT)</v>
      </c>
      <c r="F4936" s="14" t="str">
        <f>IFERROR(__xludf.DUMMYFUNCTION("""COMPUTED_VALUE"""),"SELESAI (VIA PERMOHONAN)")</f>
        <v>SELESAI (VIA PERMOHONAN)</v>
      </c>
      <c r="G4936" s="17">
        <f>IFERROR(__xludf.DUMMYFUNCTION("""COMPUTED_VALUE"""),46072.48829278935)</f>
        <v>46072.48829</v>
      </c>
      <c r="H4936" s="14"/>
      <c r="I4936" s="13"/>
      <c r="J4936" s="17" t="str">
        <f>IFERROR(__xludf.DUMMYFUNCTION("""COMPUTED_VALUE"""),"")</f>
        <v/>
      </c>
      <c r="K4936" s="13" t="str">
        <f>IFERROR(__xludf.DUMMYFUNCTION("""COMPUTED_VALUE"""),"BT atau SU Belum Valid")</f>
        <v>BT atau SU Belum Valid</v>
      </c>
      <c r="L4936" s="13" t="str">
        <f>IFERROR(__xludf.DUMMYFUNCTION("""COMPUTED_VALUE"""),"")</f>
        <v/>
      </c>
      <c r="M4936" s="13"/>
      <c r="N4936" s="13" t="str">
        <f>IFERROR(__xludf.DUMMYFUNCTION("""COMPUTED_VALUE"""),"")</f>
        <v/>
      </c>
      <c r="O4936" s="13" t="str">
        <f t="shared" si="1"/>
        <v/>
      </c>
    </row>
    <row r="4937" ht="22.5" customHeight="1">
      <c r="B4937" s="13">
        <f>IFERROR(__xludf.DUMMYFUNCTION("""COMPUTED_VALUE"""),4932.0)</f>
        <v>4932</v>
      </c>
      <c r="C4937" s="13" t="str">
        <f>IFERROR(__xludf.DUMMYFUNCTION("""COMPUTED_VALUE"""),"Shm 16468/Sukabumi")</f>
        <v>Shm 16468/Sukabumi</v>
      </c>
      <c r="D4937" s="13" t="str">
        <f>IFERROR(__xludf.DUMMYFUNCTION("""COMPUTED_VALUE"""),"ABFTDZNC/AB075")</f>
        <v>ABFTDZNC/AB075</v>
      </c>
      <c r="E4937" s="14" t="str">
        <f>IFERROR(__xludf.DUMMYFUNCTION("""COMPUTED_VALUE"""),"Heri (BT)")</f>
        <v>Heri (BT)</v>
      </c>
      <c r="F4937" s="14" t="str">
        <f>IFERROR(__xludf.DUMMYFUNCTION("""COMPUTED_VALUE"""),"SELESAI (VIA PERMOHONAN)")</f>
        <v>SELESAI (VIA PERMOHONAN)</v>
      </c>
      <c r="G4937" s="17">
        <f>IFERROR(__xludf.DUMMYFUNCTION("""COMPUTED_VALUE"""),46073.57245591436)</f>
        <v>46073.57246</v>
      </c>
      <c r="H4937" s="14"/>
      <c r="I4937" s="13"/>
      <c r="J4937" s="17" t="str">
        <f>IFERROR(__xludf.DUMMYFUNCTION("""COMPUTED_VALUE"""),"")</f>
        <v/>
      </c>
      <c r="K4937" s="13" t="str">
        <f>IFERROR(__xludf.DUMMYFUNCTION("""COMPUTED_VALUE"""),"BT atau SU Belum Valid")</f>
        <v>BT atau SU Belum Valid</v>
      </c>
      <c r="L4937" s="13" t="str">
        <f>IFERROR(__xludf.DUMMYFUNCTION("""COMPUTED_VALUE"""),"")</f>
        <v/>
      </c>
      <c r="M4937" s="13"/>
      <c r="N4937" s="13" t="str">
        <f>IFERROR(__xludf.DUMMYFUNCTION("""COMPUTED_VALUE"""),"")</f>
        <v/>
      </c>
      <c r="O4937" s="13" t="str">
        <f t="shared" si="1"/>
        <v/>
      </c>
    </row>
    <row r="4938" ht="22.5" customHeight="1">
      <c r="B4938" s="13">
        <f>IFERROR(__xludf.DUMMYFUNCTION("""COMPUTED_VALUE"""),4933.0)</f>
        <v>4933</v>
      </c>
      <c r="C4938" s="13" t="str">
        <f>IFERROR(__xludf.DUMMYFUNCTION("""COMPUTED_VALUE"""),"M. 2212/Susunan Baru")</f>
        <v>M. 2212/Susunan Baru</v>
      </c>
      <c r="D4938" s="13" t="str">
        <f>IFERROR(__xludf.DUMMYFUNCTION("""COMPUTED_VALUE"""),"ABIESFRP/AB059")</f>
        <v>ABIESFRP/AB059</v>
      </c>
      <c r="E4938" s="14" t="str">
        <f>IFERROR(__xludf.DUMMYFUNCTION("""COMPUTED_VALUE"""),"Heri (BT)")</f>
        <v>Heri (BT)</v>
      </c>
      <c r="F4938" s="14" t="str">
        <f>IFERROR(__xludf.DUMMYFUNCTION("""COMPUTED_VALUE"""),"SELESAI (VIA PERMOHONAN)")</f>
        <v>SELESAI (VIA PERMOHONAN)</v>
      </c>
      <c r="G4938" s="17">
        <f>IFERROR(__xludf.DUMMYFUNCTION("""COMPUTED_VALUE"""),46073.57264670139)</f>
        <v>46073.57265</v>
      </c>
      <c r="H4938" s="14"/>
      <c r="I4938" s="13"/>
      <c r="J4938" s="17" t="str">
        <f>IFERROR(__xludf.DUMMYFUNCTION("""COMPUTED_VALUE"""),"")</f>
        <v/>
      </c>
      <c r="K4938" s="13" t="str">
        <f>IFERROR(__xludf.DUMMYFUNCTION("""COMPUTED_VALUE"""),"BT atau SU Belum Valid")</f>
        <v>BT atau SU Belum Valid</v>
      </c>
      <c r="L4938" s="13" t="str">
        <f>IFERROR(__xludf.DUMMYFUNCTION("""COMPUTED_VALUE"""),"")</f>
        <v/>
      </c>
      <c r="M4938" s="13"/>
      <c r="N4938" s="13" t="str">
        <f>IFERROR(__xludf.DUMMYFUNCTION("""COMPUTED_VALUE"""),"")</f>
        <v/>
      </c>
      <c r="O4938" s="13" t="str">
        <f t="shared" si="1"/>
        <v/>
      </c>
    </row>
    <row r="4939" ht="22.5" customHeight="1">
      <c r="B4939" s="13">
        <f>IFERROR(__xludf.DUMMYFUNCTION("""COMPUTED_VALUE"""),4934.0)</f>
        <v>4934</v>
      </c>
      <c r="C4939" s="13" t="str">
        <f>IFERROR(__xludf.DUMMYFUNCTION("""COMPUTED_VALUE"""),"M. 01852/Rajabasa Pemuka")</f>
        <v>M. 01852/Rajabasa Pemuka</v>
      </c>
      <c r="D4939" s="13" t="str">
        <f>IFERROR(__xludf.DUMMYFUNCTION("""COMPUTED_VALUE"""),"ABLXDZYK/AB06")</f>
        <v>ABLXDZYK/AB06</v>
      </c>
      <c r="E4939" s="14" t="str">
        <f>IFERROR(__xludf.DUMMYFUNCTION("""COMPUTED_VALUE"""),"Heri (BT)")</f>
        <v>Heri (BT)</v>
      </c>
      <c r="F4939" s="14" t="str">
        <f>IFERROR(__xludf.DUMMYFUNCTION("""COMPUTED_VALUE"""),"SELESAI (VIA PERMOHONAN)")</f>
        <v>SELESAI (VIA PERMOHONAN)</v>
      </c>
      <c r="G4939" s="17">
        <f>IFERROR(__xludf.DUMMYFUNCTION("""COMPUTED_VALUE"""),46073.5731240625)</f>
        <v>46073.57312</v>
      </c>
      <c r="H4939" s="14"/>
      <c r="I4939" s="13"/>
      <c r="J4939" s="17" t="str">
        <f>IFERROR(__xludf.DUMMYFUNCTION("""COMPUTED_VALUE"""),"")</f>
        <v/>
      </c>
      <c r="K4939" s="13" t="str">
        <f>IFERROR(__xludf.DUMMYFUNCTION("""COMPUTED_VALUE"""),"BT atau SU Belum Valid")</f>
        <v>BT atau SU Belum Valid</v>
      </c>
      <c r="L4939" s="13" t="str">
        <f>IFERROR(__xludf.DUMMYFUNCTION("""COMPUTED_VALUE"""),"")</f>
        <v/>
      </c>
      <c r="M4939" s="13"/>
      <c r="N4939" s="13" t="str">
        <f>IFERROR(__xludf.DUMMYFUNCTION("""COMPUTED_VALUE"""),"")</f>
        <v/>
      </c>
      <c r="O4939" s="13" t="str">
        <f t="shared" si="1"/>
        <v/>
      </c>
    </row>
    <row r="4940" ht="22.5" customHeight="1">
      <c r="B4940" s="13">
        <f>IFERROR(__xludf.DUMMYFUNCTION("""COMPUTED_VALUE"""),4935.0)</f>
        <v>4935</v>
      </c>
      <c r="C4940" s="13" t="str">
        <f>IFERROR(__xludf.DUMMYFUNCTION("""COMPUTED_VALUE"""),"Hak Bangunan No. 07")</f>
        <v>Hak Bangunan No. 07</v>
      </c>
      <c r="D4940" s="13" t="str">
        <f>IFERROR(__xludf.DUMMYFUNCTION("""COMPUTED_VALUE"""),"ABXVPUAS/1")</f>
        <v>ABXVPUAS/1</v>
      </c>
      <c r="E4940" s="14" t="str">
        <f>IFERROR(__xludf.DUMMYFUNCTION("""COMPUTED_VALUE"""),"Heri (BT)")</f>
        <v>Heri (BT)</v>
      </c>
      <c r="F4940" s="14" t="str">
        <f>IFERROR(__xludf.DUMMYFUNCTION("""COMPUTED_VALUE"""),"SELESAI (VIA PERMOHONAN)")</f>
        <v>SELESAI (VIA PERMOHONAN)</v>
      </c>
      <c r="G4940" s="17">
        <f>IFERROR(__xludf.DUMMYFUNCTION("""COMPUTED_VALUE"""),46073.57379202546)</f>
        <v>46073.57379</v>
      </c>
      <c r="H4940" s="14"/>
      <c r="I4940" s="13"/>
      <c r="J4940" s="17" t="str">
        <f>IFERROR(__xludf.DUMMYFUNCTION("""COMPUTED_VALUE"""),"")</f>
        <v/>
      </c>
      <c r="K4940" s="13" t="str">
        <f>IFERROR(__xludf.DUMMYFUNCTION("""COMPUTED_VALUE"""),"BT atau SU Belum Valid")</f>
        <v>BT atau SU Belum Valid</v>
      </c>
      <c r="L4940" s="13" t="str">
        <f>IFERROR(__xludf.DUMMYFUNCTION("""COMPUTED_VALUE"""),"")</f>
        <v/>
      </c>
      <c r="M4940" s="13"/>
      <c r="N4940" s="13" t="str">
        <f>IFERROR(__xludf.DUMMYFUNCTION("""COMPUTED_VALUE"""),"")</f>
        <v/>
      </c>
      <c r="O4940" s="13" t="str">
        <f t="shared" si="1"/>
        <v/>
      </c>
    </row>
    <row r="4941" ht="22.5" customHeight="1">
      <c r="B4941" s="13">
        <f>IFERROR(__xludf.DUMMYFUNCTION("""COMPUTED_VALUE"""),4936.0)</f>
        <v>4936</v>
      </c>
      <c r="C4941" s="13" t="str">
        <f>IFERROR(__xludf.DUMMYFUNCTION("""COMPUTED_VALUE"""),"Shm 16483 Sukabumi")</f>
        <v>Shm 16483 Sukabumi</v>
      </c>
      <c r="D4941" s="13" t="str">
        <f>IFERROR(__xludf.DUMMYFUNCTION("""COMPUTED_VALUE"""),"AB038/ABKDEIJA")</f>
        <v>AB038/ABKDEIJA</v>
      </c>
      <c r="E4941" s="14" t="str">
        <f>IFERROR(__xludf.DUMMYFUNCTION("""COMPUTED_VALUE"""),"Heri (BT)")</f>
        <v>Heri (BT)</v>
      </c>
      <c r="F4941" s="14" t="str">
        <f>IFERROR(__xludf.DUMMYFUNCTION("""COMPUTED_VALUE"""),"SELESAI (VIA PERMOHONAN)")</f>
        <v>SELESAI (VIA PERMOHONAN)</v>
      </c>
      <c r="G4941" s="17">
        <f>IFERROR(__xludf.DUMMYFUNCTION("""COMPUTED_VALUE"""),46073.574008483796)</f>
        <v>46073.57401</v>
      </c>
      <c r="H4941" s="14"/>
      <c r="I4941" s="13"/>
      <c r="J4941" s="17" t="str">
        <f>IFERROR(__xludf.DUMMYFUNCTION("""COMPUTED_VALUE"""),"")</f>
        <v/>
      </c>
      <c r="K4941" s="13" t="str">
        <f>IFERROR(__xludf.DUMMYFUNCTION("""COMPUTED_VALUE"""),"BT atau SU Belum Valid")</f>
        <v>BT atau SU Belum Valid</v>
      </c>
      <c r="L4941" s="13" t="str">
        <f>IFERROR(__xludf.DUMMYFUNCTION("""COMPUTED_VALUE"""),"")</f>
        <v/>
      </c>
      <c r="M4941" s="13"/>
      <c r="N4941" s="13" t="str">
        <f>IFERROR(__xludf.DUMMYFUNCTION("""COMPUTED_VALUE"""),"")</f>
        <v/>
      </c>
      <c r="O4941" s="13" t="str">
        <f t="shared" si="1"/>
        <v/>
      </c>
    </row>
    <row r="4942" ht="22.5" customHeight="1">
      <c r="B4942" s="13">
        <f>IFERROR(__xludf.DUMMYFUNCTION("""COMPUTED_VALUE"""),4937.0)</f>
        <v>4937</v>
      </c>
      <c r="C4942" s="13" t="str">
        <f>IFERROR(__xludf.DUMMYFUNCTION("""COMPUTED_VALUE"""),"M.1657 PENGAJARAN")</f>
        <v>M.1657 PENGAJARAN</v>
      </c>
      <c r="D4942" s="13" t="str">
        <f>IFERROR(__xludf.DUMMYFUNCTION("""COMPUTED_VALUE"""),"K/9/030226/1")</f>
        <v>K/9/030226/1</v>
      </c>
      <c r="E4942" s="14" t="str">
        <f>IFERROR(__xludf.DUMMYFUNCTION("""COMPUTED_VALUE"""),"Heri (BT)")</f>
        <v>Heri (BT)</v>
      </c>
      <c r="F4942" s="14" t="str">
        <f>IFERROR(__xludf.DUMMYFUNCTION("""COMPUTED_VALUE"""),"SELESAI (VIA PERMOHONAN)")</f>
        <v>SELESAI (VIA PERMOHONAN)</v>
      </c>
      <c r="G4942" s="17">
        <f>IFERROR(__xludf.DUMMYFUNCTION("""COMPUTED_VALUE"""),46076.47517939815)</f>
        <v>46076.47518</v>
      </c>
      <c r="H4942" s="14"/>
      <c r="I4942" s="13"/>
      <c r="J4942" s="17" t="str">
        <f>IFERROR(__xludf.DUMMYFUNCTION("""COMPUTED_VALUE"""),"")</f>
        <v/>
      </c>
      <c r="K4942" s="13" t="str">
        <f>IFERROR(__xludf.DUMMYFUNCTION("""COMPUTED_VALUE"""),"BT atau SU Belum Valid")</f>
        <v>BT atau SU Belum Valid</v>
      </c>
      <c r="L4942" s="13" t="str">
        <f>IFERROR(__xludf.DUMMYFUNCTION("""COMPUTED_VALUE"""),"")</f>
        <v/>
      </c>
      <c r="M4942" s="13"/>
      <c r="N4942" s="13" t="str">
        <f>IFERROR(__xludf.DUMMYFUNCTION("""COMPUTED_VALUE"""),"")</f>
        <v/>
      </c>
      <c r="O4942" s="13" t="str">
        <f t="shared" si="1"/>
        <v/>
      </c>
    </row>
    <row r="4943" ht="22.5" customHeight="1">
      <c r="B4943" s="13">
        <f>IFERROR(__xludf.DUMMYFUNCTION("""COMPUTED_VALUE"""),4938.0)</f>
        <v>4938</v>
      </c>
      <c r="C4943" s="13" t="str">
        <f>IFERROR(__xludf.DUMMYFUNCTION("""COMPUTED_VALUE"""),"M.8969/SUKARAME")</f>
        <v>M.8969/SUKARAME</v>
      </c>
      <c r="D4943" s="13" t="str">
        <f>IFERROR(__xludf.DUMMYFUNCTION("""COMPUTED_VALUE"""),"K/9/050226/1")</f>
        <v>K/9/050226/1</v>
      </c>
      <c r="E4943" s="14" t="str">
        <f>IFERROR(__xludf.DUMMYFUNCTION("""COMPUTED_VALUE"""),"Heri (BT)")</f>
        <v>Heri (BT)</v>
      </c>
      <c r="F4943" s="14" t="str">
        <f>IFERROR(__xludf.DUMMYFUNCTION("""COMPUTED_VALUE"""),"SELESAI (VIA PERMOHONAN)")</f>
        <v>SELESAI (VIA PERMOHONAN)</v>
      </c>
      <c r="G4943" s="17">
        <f>IFERROR(__xludf.DUMMYFUNCTION("""COMPUTED_VALUE"""),46076.47597721065)</f>
        <v>46076.47598</v>
      </c>
      <c r="H4943" s="14"/>
      <c r="I4943" s="13"/>
      <c r="J4943" s="17" t="str">
        <f>IFERROR(__xludf.DUMMYFUNCTION("""COMPUTED_VALUE"""),"")</f>
        <v/>
      </c>
      <c r="K4943" s="13" t="str">
        <f>IFERROR(__xludf.DUMMYFUNCTION("""COMPUTED_VALUE"""),"BT atau SU Belum Valid")</f>
        <v>BT atau SU Belum Valid</v>
      </c>
      <c r="L4943" s="13" t="str">
        <f>IFERROR(__xludf.DUMMYFUNCTION("""COMPUTED_VALUE"""),"")</f>
        <v/>
      </c>
      <c r="M4943" s="13"/>
      <c r="N4943" s="13" t="str">
        <f>IFERROR(__xludf.DUMMYFUNCTION("""COMPUTED_VALUE"""),"")</f>
        <v/>
      </c>
      <c r="O4943" s="13" t="str">
        <f t="shared" si="1"/>
        <v/>
      </c>
    </row>
    <row r="4944" ht="22.5" customHeight="1">
      <c r="B4944" s="13">
        <f>IFERROR(__xludf.DUMMYFUNCTION("""COMPUTED_VALUE"""),4939.0)</f>
        <v>4939</v>
      </c>
      <c r="C4944" s="13" t="str">
        <f>IFERROR(__xludf.DUMMYFUNCTION("""COMPUTED_VALUE"""),"SHM 783/Ps")</f>
        <v>SHM 783/Ps</v>
      </c>
      <c r="D4944" s="13" t="str">
        <f>IFERROR(__xludf.DUMMYFUNCTION("""COMPUTED_VALUE"""),"ABSIHZVE")</f>
        <v>ABSIHZVE</v>
      </c>
      <c r="E4944" s="14" t="str">
        <f>IFERROR(__xludf.DUMMYFUNCTION("""COMPUTED_VALUE"""),"Heri (BT)")</f>
        <v>Heri (BT)</v>
      </c>
      <c r="F4944" s="14" t="str">
        <f>IFERROR(__xludf.DUMMYFUNCTION("""COMPUTED_VALUE"""),"SELESAI (VIA PERMOHONAN)")</f>
        <v>SELESAI (VIA PERMOHONAN)</v>
      </c>
      <c r="G4944" s="17">
        <f>IFERROR(__xludf.DUMMYFUNCTION("""COMPUTED_VALUE"""),46076.476274189816)</f>
        <v>46076.47627</v>
      </c>
      <c r="H4944" s="14"/>
      <c r="I4944" s="13"/>
      <c r="J4944" s="17" t="str">
        <f>IFERROR(__xludf.DUMMYFUNCTION("""COMPUTED_VALUE"""),"")</f>
        <v/>
      </c>
      <c r="K4944" s="13" t="str">
        <f>IFERROR(__xludf.DUMMYFUNCTION("""COMPUTED_VALUE"""),"BT atau SU Belum Valid")</f>
        <v>BT atau SU Belum Valid</v>
      </c>
      <c r="L4944" s="13" t="str">
        <f>IFERROR(__xludf.DUMMYFUNCTION("""COMPUTED_VALUE"""),"")</f>
        <v/>
      </c>
      <c r="M4944" s="13"/>
      <c r="N4944" s="13" t="str">
        <f>IFERROR(__xludf.DUMMYFUNCTION("""COMPUTED_VALUE"""),"")</f>
        <v/>
      </c>
      <c r="O4944" s="13" t="str">
        <f t="shared" si="1"/>
        <v/>
      </c>
    </row>
    <row r="4945" ht="22.5" customHeight="1">
      <c r="B4945" s="13">
        <f>IFERROR(__xludf.DUMMYFUNCTION("""COMPUTED_VALUE"""),4940.0)</f>
        <v>4940</v>
      </c>
      <c r="C4945" s="13" t="str">
        <f>IFERROR(__xludf.DUMMYFUNCTION("""COMPUTED_VALUE"""),"M. 10101/Sukamenanti")</f>
        <v>M. 10101/Sukamenanti</v>
      </c>
      <c r="D4945" s="13" t="str">
        <f>IFERROR(__xludf.DUMMYFUNCTION("""COMPUTED_VALUE"""),"ABSZKWAU/AB057")</f>
        <v>ABSZKWAU/AB057</v>
      </c>
      <c r="E4945" s="14" t="str">
        <f>IFERROR(__xludf.DUMMYFUNCTION("""COMPUTED_VALUE"""),"Heri (BT)")</f>
        <v>Heri (BT)</v>
      </c>
      <c r="F4945" s="14" t="str">
        <f>IFERROR(__xludf.DUMMYFUNCTION("""COMPUTED_VALUE"""),"SELESAI (VIA PERMOHONAN)")</f>
        <v>SELESAI (VIA PERMOHONAN)</v>
      </c>
      <c r="G4945" s="17">
        <f>IFERROR(__xludf.DUMMYFUNCTION("""COMPUTED_VALUE"""),46076.47646081018)</f>
        <v>46076.47646</v>
      </c>
      <c r="H4945" s="14"/>
      <c r="I4945" s="13"/>
      <c r="J4945" s="17" t="str">
        <f>IFERROR(__xludf.DUMMYFUNCTION("""COMPUTED_VALUE"""),"")</f>
        <v/>
      </c>
      <c r="K4945" s="13" t="str">
        <f>IFERROR(__xludf.DUMMYFUNCTION("""COMPUTED_VALUE"""),"BT atau SU Belum Valid")</f>
        <v>BT atau SU Belum Valid</v>
      </c>
      <c r="L4945" s="13" t="str">
        <f>IFERROR(__xludf.DUMMYFUNCTION("""COMPUTED_VALUE"""),"")</f>
        <v/>
      </c>
      <c r="M4945" s="13"/>
      <c r="N4945" s="13" t="str">
        <f>IFERROR(__xludf.DUMMYFUNCTION("""COMPUTED_VALUE"""),"")</f>
        <v/>
      </c>
      <c r="O4945" s="13" t="str">
        <f t="shared" si="1"/>
        <v/>
      </c>
    </row>
    <row r="4946" ht="22.5" customHeight="1">
      <c r="B4946" s="13">
        <f>IFERROR(__xludf.DUMMYFUNCTION("""COMPUTED_VALUE"""),4941.0)</f>
        <v>4941</v>
      </c>
      <c r="C4946" s="13" t="str">
        <f>IFERROR(__xludf.DUMMYFUNCTION("""COMPUTED_VALUE"""),"M 2020/ KEDAUNG")</f>
        <v>M 2020/ KEDAUNG</v>
      </c>
      <c r="D4946" s="13" t="str">
        <f>IFERROR(__xludf.DUMMYFUNCTION("""COMPUTED_VALUE"""),"ABBDUEEX")</f>
        <v>ABBDUEEX</v>
      </c>
      <c r="E4946" s="14" t="str">
        <f>IFERROR(__xludf.DUMMYFUNCTION("""COMPUTED_VALUE"""),"Heri (BT)")</f>
        <v>Heri (BT)</v>
      </c>
      <c r="F4946" s="14" t="str">
        <f>IFERROR(__xludf.DUMMYFUNCTION("""COMPUTED_VALUE"""),"SELESAI (VIA PERMOHONAN)")</f>
        <v>SELESAI (VIA PERMOHONAN)</v>
      </c>
      <c r="G4946" s="17">
        <f>IFERROR(__xludf.DUMMYFUNCTION("""COMPUTED_VALUE"""),46076.47785195602)</f>
        <v>46076.47785</v>
      </c>
      <c r="H4946" s="14"/>
      <c r="I4946" s="13"/>
      <c r="J4946" s="17" t="str">
        <f>IFERROR(__xludf.DUMMYFUNCTION("""COMPUTED_VALUE"""),"")</f>
        <v/>
      </c>
      <c r="K4946" s="13" t="str">
        <f>IFERROR(__xludf.DUMMYFUNCTION("""COMPUTED_VALUE"""),"BT atau SU Belum Valid")</f>
        <v>BT atau SU Belum Valid</v>
      </c>
      <c r="L4946" s="13" t="str">
        <f>IFERROR(__xludf.DUMMYFUNCTION("""COMPUTED_VALUE"""),"")</f>
        <v/>
      </c>
      <c r="M4946" s="13"/>
      <c r="N4946" s="13" t="str">
        <f>IFERROR(__xludf.DUMMYFUNCTION("""COMPUTED_VALUE"""),"")</f>
        <v/>
      </c>
      <c r="O4946" s="13" t="str">
        <f t="shared" si="1"/>
        <v/>
      </c>
    </row>
    <row r="4947" ht="22.5" customHeight="1">
      <c r="B4947" s="13">
        <f>IFERROR(__xludf.DUMMYFUNCTION("""COMPUTED_VALUE"""),4942.0)</f>
        <v>4942</v>
      </c>
      <c r="C4947" s="13" t="str">
        <f>IFERROR(__xludf.DUMMYFUNCTION("""COMPUTED_VALUE"""),"M. 3882/GUNUNG TERANG")</f>
        <v>M. 3882/GUNUNG TERANG</v>
      </c>
      <c r="D4947" s="13" t="str">
        <f>IFERROR(__xludf.DUMMYFUNCTION("""COMPUTED_VALUE"""),"L/4/260126/1")</f>
        <v>L/4/260126/1</v>
      </c>
      <c r="E4947" s="14" t="str">
        <f>IFERROR(__xludf.DUMMYFUNCTION("""COMPUTED_VALUE"""),"Heri (BT)")</f>
        <v>Heri (BT)</v>
      </c>
      <c r="F4947" s="14" t="str">
        <f>IFERROR(__xludf.DUMMYFUNCTION("""COMPUTED_VALUE"""),"SELESAI (VIA PERMOHONAN)")</f>
        <v>SELESAI (VIA PERMOHONAN)</v>
      </c>
      <c r="G4947" s="17">
        <f>IFERROR(__xludf.DUMMYFUNCTION("""COMPUTED_VALUE"""),46076.479657337964)</f>
        <v>46076.47966</v>
      </c>
      <c r="H4947" s="14"/>
      <c r="I4947" s="13"/>
      <c r="J4947" s="17" t="str">
        <f>IFERROR(__xludf.DUMMYFUNCTION("""COMPUTED_VALUE"""),"")</f>
        <v/>
      </c>
      <c r="K4947" s="13" t="str">
        <f>IFERROR(__xludf.DUMMYFUNCTION("""COMPUTED_VALUE"""),"BT atau SU Belum Valid")</f>
        <v>BT atau SU Belum Valid</v>
      </c>
      <c r="L4947" s="13" t="str">
        <f>IFERROR(__xludf.DUMMYFUNCTION("""COMPUTED_VALUE"""),"")</f>
        <v/>
      </c>
      <c r="M4947" s="13"/>
      <c r="N4947" s="13" t="str">
        <f>IFERROR(__xludf.DUMMYFUNCTION("""COMPUTED_VALUE"""),"")</f>
        <v/>
      </c>
      <c r="O4947" s="13" t="str">
        <f t="shared" si="1"/>
        <v/>
      </c>
    </row>
    <row r="4948" ht="22.5" customHeight="1">
      <c r="B4948" s="13">
        <f>IFERROR(__xludf.DUMMYFUNCTION("""COMPUTED_VALUE"""),4943.0)</f>
        <v>4943</v>
      </c>
      <c r="C4948" s="13" t="str">
        <f>IFERROR(__xludf.DUMMYFUNCTION("""COMPUTED_VALUE"""),"M 1190/ RAJABASA RAYA")</f>
        <v>M 1190/ RAJABASA RAYA</v>
      </c>
      <c r="D4948" s="13" t="str">
        <f>IFERROR(__xludf.DUMMYFUNCTION("""COMPUTED_VALUE"""),"ABGERHWG")</f>
        <v>ABGERHWG</v>
      </c>
      <c r="E4948" s="14" t="str">
        <f>IFERROR(__xludf.DUMMYFUNCTION("""COMPUTED_VALUE"""),"Heri (BT)")</f>
        <v>Heri (BT)</v>
      </c>
      <c r="F4948" s="14" t="str">
        <f>IFERROR(__xludf.DUMMYFUNCTION("""COMPUTED_VALUE"""),"SELESAI (VIA PERMOHONAN)")</f>
        <v>SELESAI (VIA PERMOHONAN)</v>
      </c>
      <c r="G4948" s="17">
        <f>IFERROR(__xludf.DUMMYFUNCTION("""COMPUTED_VALUE"""),46076.48132600695)</f>
        <v>46076.48133</v>
      </c>
      <c r="H4948" s="14"/>
      <c r="I4948" s="13"/>
      <c r="J4948" s="17" t="str">
        <f>IFERROR(__xludf.DUMMYFUNCTION("""COMPUTED_VALUE"""),"")</f>
        <v/>
      </c>
      <c r="K4948" s="13" t="str">
        <f>IFERROR(__xludf.DUMMYFUNCTION("""COMPUTED_VALUE"""),"BT atau SU Belum Valid")</f>
        <v>BT atau SU Belum Valid</v>
      </c>
      <c r="L4948" s="13" t="str">
        <f>IFERROR(__xludf.DUMMYFUNCTION("""COMPUTED_VALUE"""),"")</f>
        <v/>
      </c>
      <c r="M4948" s="13"/>
      <c r="N4948" s="13" t="str">
        <f>IFERROR(__xludf.DUMMYFUNCTION("""COMPUTED_VALUE"""),"")</f>
        <v/>
      </c>
      <c r="O4948" s="13" t="str">
        <f t="shared" si="1"/>
        <v/>
      </c>
    </row>
    <row r="4949" ht="22.5" customHeight="1">
      <c r="B4949" s="13">
        <f>IFERROR(__xludf.DUMMYFUNCTION("""COMPUTED_VALUE"""),4944.0)</f>
        <v>4944</v>
      </c>
      <c r="C4949" s="13" t="str">
        <f>IFERROR(__xludf.DUMMYFUNCTION("""COMPUTED_VALUE"""),"M. 408/Labuhan Dalam")</f>
        <v>M. 408/Labuhan Dalam</v>
      </c>
      <c r="D4949" s="13" t="str">
        <f>IFERROR(__xludf.DUMMYFUNCTION("""COMPUTED_VALUE"""),"ABWHUCHZ/AB044")</f>
        <v>ABWHUCHZ/AB044</v>
      </c>
      <c r="E4949" s="14" t="str">
        <f>IFERROR(__xludf.DUMMYFUNCTION("""COMPUTED_VALUE"""),"Heri (BT)")</f>
        <v>Heri (BT)</v>
      </c>
      <c r="F4949" s="14" t="str">
        <f>IFERROR(__xludf.DUMMYFUNCTION("""COMPUTED_VALUE"""),"SELESAI (VIA PERMOHONAN)")</f>
        <v>SELESAI (VIA PERMOHONAN)</v>
      </c>
      <c r="G4949" s="17">
        <f>IFERROR(__xludf.DUMMYFUNCTION("""COMPUTED_VALUE"""),46076.48151491898)</f>
        <v>46076.48151</v>
      </c>
      <c r="H4949" s="14"/>
      <c r="I4949" s="13"/>
      <c r="J4949" s="17" t="str">
        <f>IFERROR(__xludf.DUMMYFUNCTION("""COMPUTED_VALUE"""),"")</f>
        <v/>
      </c>
      <c r="K4949" s="13" t="str">
        <f>IFERROR(__xludf.DUMMYFUNCTION("""COMPUTED_VALUE"""),"BT atau SU Belum Valid")</f>
        <v>BT atau SU Belum Valid</v>
      </c>
      <c r="L4949" s="13" t="str">
        <f>IFERROR(__xludf.DUMMYFUNCTION("""COMPUTED_VALUE"""),"")</f>
        <v/>
      </c>
      <c r="M4949" s="13"/>
      <c r="N4949" s="13" t="str">
        <f>IFERROR(__xludf.DUMMYFUNCTION("""COMPUTED_VALUE"""),"")</f>
        <v/>
      </c>
      <c r="O4949" s="13" t="str">
        <f t="shared" si="1"/>
        <v/>
      </c>
    </row>
    <row r="4950" ht="22.5" customHeight="1">
      <c r="B4950" s="13">
        <f>IFERROR(__xludf.DUMMYFUNCTION("""COMPUTED_VALUE"""),4945.0)</f>
        <v>4945</v>
      </c>
      <c r="C4950" s="13" t="str">
        <f>IFERROR(__xludf.DUMMYFUNCTION("""COMPUTED_VALUE"""),"M.1182/GA")</f>
        <v>M.1182/GA</v>
      </c>
      <c r="D4950" s="13" t="str">
        <f>IFERROR(__xludf.DUMMYFUNCTION("""COMPUTED_VALUE"""),"AB037/ABQLPPUU")</f>
        <v>AB037/ABQLPPUU</v>
      </c>
      <c r="E4950" s="14" t="str">
        <f>IFERROR(__xludf.DUMMYFUNCTION("""COMPUTED_VALUE"""),"Heri (BT)")</f>
        <v>Heri (BT)</v>
      </c>
      <c r="F4950" s="14" t="str">
        <f>IFERROR(__xludf.DUMMYFUNCTION("""COMPUTED_VALUE"""),"SELESAI (VIA PERMOHONAN)")</f>
        <v>SELESAI (VIA PERMOHONAN)</v>
      </c>
      <c r="G4950" s="17">
        <f>IFERROR(__xludf.DUMMYFUNCTION("""COMPUTED_VALUE"""),46076.48182188657)</f>
        <v>46076.48182</v>
      </c>
      <c r="H4950" s="14"/>
      <c r="I4950" s="13"/>
      <c r="J4950" s="17" t="str">
        <f>IFERROR(__xludf.DUMMYFUNCTION("""COMPUTED_VALUE"""),"")</f>
        <v/>
      </c>
      <c r="K4950" s="13" t="str">
        <f>IFERROR(__xludf.DUMMYFUNCTION("""COMPUTED_VALUE"""),"BT atau SU Belum Valid")</f>
        <v>BT atau SU Belum Valid</v>
      </c>
      <c r="L4950" s="13" t="str">
        <f>IFERROR(__xludf.DUMMYFUNCTION("""COMPUTED_VALUE"""),"")</f>
        <v/>
      </c>
      <c r="M4950" s="13"/>
      <c r="N4950" s="13" t="str">
        <f>IFERROR(__xludf.DUMMYFUNCTION("""COMPUTED_VALUE"""),"")</f>
        <v/>
      </c>
      <c r="O4950" s="13" t="str">
        <f t="shared" si="1"/>
        <v/>
      </c>
    </row>
    <row r="4951" ht="22.5" customHeight="1">
      <c r="B4951" s="13">
        <f>IFERROR(__xludf.DUMMYFUNCTION("""COMPUTED_VALUE"""),4946.0)</f>
        <v>4946</v>
      </c>
      <c r="C4951" s="13" t="str">
        <f>IFERROR(__xludf.DUMMYFUNCTION("""COMPUTED_VALUE"""),"B. 612/Sumber Agung")</f>
        <v>B. 612/Sumber Agung</v>
      </c>
      <c r="D4951" s="13" t="str">
        <f>IFERROR(__xludf.DUMMYFUNCTION("""COMPUTED_VALUE"""),"ABWWEVWB")</f>
        <v>ABWWEVWB</v>
      </c>
      <c r="E4951" s="14" t="str">
        <f>IFERROR(__xludf.DUMMYFUNCTION("""COMPUTED_VALUE"""),"Heri (BT)")</f>
        <v>Heri (BT)</v>
      </c>
      <c r="F4951" s="14" t="str">
        <f>IFERROR(__xludf.DUMMYFUNCTION("""COMPUTED_VALUE"""),"SELESAI (VIA PERMOHONAN)")</f>
        <v>SELESAI (VIA PERMOHONAN)</v>
      </c>
      <c r="G4951" s="17">
        <f>IFERROR(__xludf.DUMMYFUNCTION("""COMPUTED_VALUE"""),46076.48205189814)</f>
        <v>46076.48205</v>
      </c>
      <c r="H4951" s="14"/>
      <c r="I4951" s="13"/>
      <c r="J4951" s="17" t="str">
        <f>IFERROR(__xludf.DUMMYFUNCTION("""COMPUTED_VALUE"""),"")</f>
        <v/>
      </c>
      <c r="K4951" s="13" t="str">
        <f>IFERROR(__xludf.DUMMYFUNCTION("""COMPUTED_VALUE"""),"BT atau SU Belum Valid")</f>
        <v>BT atau SU Belum Valid</v>
      </c>
      <c r="L4951" s="13" t="str">
        <f>IFERROR(__xludf.DUMMYFUNCTION("""COMPUTED_VALUE"""),"")</f>
        <v/>
      </c>
      <c r="M4951" s="13"/>
      <c r="N4951" s="13" t="str">
        <f>IFERROR(__xludf.DUMMYFUNCTION("""COMPUTED_VALUE"""),"")</f>
        <v/>
      </c>
      <c r="O4951" s="13" t="str">
        <f t="shared" si="1"/>
        <v/>
      </c>
    </row>
    <row r="4952" ht="22.5" customHeight="1">
      <c r="B4952" s="13">
        <f>IFERROR(__xludf.DUMMYFUNCTION("""COMPUTED_VALUE"""),4947.0)</f>
        <v>4947</v>
      </c>
      <c r="C4952" s="13" t="str">
        <f>IFERROR(__xludf.DUMMYFUNCTION("""COMPUTED_VALUE"""),"853 sukarame baru")</f>
        <v>853 sukarame baru</v>
      </c>
      <c r="D4952" s="13" t="str">
        <f>IFERROR(__xludf.DUMMYFUNCTION("""COMPUTED_VALUE"""),"ABWJAPPA")</f>
        <v>ABWJAPPA</v>
      </c>
      <c r="E4952" s="14" t="str">
        <f>IFERROR(__xludf.DUMMYFUNCTION("""COMPUTED_VALUE"""),"Heri (BT)")</f>
        <v>Heri (BT)</v>
      </c>
      <c r="F4952" s="14" t="str">
        <f>IFERROR(__xludf.DUMMYFUNCTION("""COMPUTED_VALUE"""),"SELESAI (VIA PERMOHONAN)")</f>
        <v>SELESAI (VIA PERMOHONAN)</v>
      </c>
      <c r="G4952" s="17">
        <f>IFERROR(__xludf.DUMMYFUNCTION("""COMPUTED_VALUE"""),46076.48234015046)</f>
        <v>46076.48234</v>
      </c>
      <c r="H4952" s="14"/>
      <c r="I4952" s="13"/>
      <c r="J4952" s="17" t="str">
        <f>IFERROR(__xludf.DUMMYFUNCTION("""COMPUTED_VALUE"""),"")</f>
        <v/>
      </c>
      <c r="K4952" s="13" t="str">
        <f>IFERROR(__xludf.DUMMYFUNCTION("""COMPUTED_VALUE"""),"BT atau SU Belum Valid")</f>
        <v>BT atau SU Belum Valid</v>
      </c>
      <c r="L4952" s="13" t="str">
        <f>IFERROR(__xludf.DUMMYFUNCTION("""COMPUTED_VALUE"""),"")</f>
        <v/>
      </c>
      <c r="M4952" s="13"/>
      <c r="N4952" s="13" t="str">
        <f>IFERROR(__xludf.DUMMYFUNCTION("""COMPUTED_VALUE"""),"")</f>
        <v/>
      </c>
      <c r="O4952" s="13" t="str">
        <f t="shared" si="1"/>
        <v/>
      </c>
    </row>
    <row r="4953" ht="22.5" customHeight="1">
      <c r="B4953" s="13">
        <f>IFERROR(__xludf.DUMMYFUNCTION("""COMPUTED_VALUE"""),4948.0)</f>
        <v>4948</v>
      </c>
      <c r="C4953" s="13" t="str">
        <f>IFERROR(__xludf.DUMMYFUNCTION("""COMPUTED_VALUE"""),"M 6072 Rajabasa Jaya")</f>
        <v>M 6072 Rajabasa Jaya</v>
      </c>
      <c r="D4953" s="13" t="str">
        <f>IFERROR(__xludf.DUMMYFUNCTION("""COMPUTED_VALUE"""),"ABNVXHFU")</f>
        <v>ABNVXHFU</v>
      </c>
      <c r="E4953" s="14" t="str">
        <f>IFERROR(__xludf.DUMMYFUNCTION("""COMPUTED_VALUE"""),"Heri (BT)")</f>
        <v>Heri (BT)</v>
      </c>
      <c r="F4953" s="14" t="str">
        <f>IFERROR(__xludf.DUMMYFUNCTION("""COMPUTED_VALUE"""),"SELESAI (VIA PERMOHONAN)")</f>
        <v>SELESAI (VIA PERMOHONAN)</v>
      </c>
      <c r="G4953" s="17">
        <f>IFERROR(__xludf.DUMMYFUNCTION("""COMPUTED_VALUE"""),46076.482555208335)</f>
        <v>46076.48256</v>
      </c>
      <c r="H4953" s="14"/>
      <c r="I4953" s="13"/>
      <c r="J4953" s="17" t="str">
        <f>IFERROR(__xludf.DUMMYFUNCTION("""COMPUTED_VALUE"""),"")</f>
        <v/>
      </c>
      <c r="K4953" s="13" t="str">
        <f>IFERROR(__xludf.DUMMYFUNCTION("""COMPUTED_VALUE"""),"BT atau SU Belum Valid")</f>
        <v>BT atau SU Belum Valid</v>
      </c>
      <c r="L4953" s="13" t="str">
        <f>IFERROR(__xludf.DUMMYFUNCTION("""COMPUTED_VALUE"""),"")</f>
        <v/>
      </c>
      <c r="M4953" s="13"/>
      <c r="N4953" s="13" t="str">
        <f>IFERROR(__xludf.DUMMYFUNCTION("""COMPUTED_VALUE"""),"")</f>
        <v/>
      </c>
      <c r="O4953" s="13" t="str">
        <f t="shared" si="1"/>
        <v/>
      </c>
    </row>
    <row r="4954" ht="22.5" customHeight="1">
      <c r="B4954" s="13">
        <f>IFERROR(__xludf.DUMMYFUNCTION("""COMPUTED_VALUE"""),4949.0)</f>
        <v>4949</v>
      </c>
      <c r="C4954" s="13" t="str">
        <f>IFERROR(__xludf.DUMMYFUNCTION("""COMPUTED_VALUE"""),"SHM 721/sumur batu")</f>
        <v>SHM 721/sumur batu</v>
      </c>
      <c r="D4954" s="13" t="str">
        <f>IFERROR(__xludf.DUMMYFUNCTION("""COMPUTED_VALUE"""),"AB005/ABCSPVVI")</f>
        <v>AB005/ABCSPVVI</v>
      </c>
      <c r="E4954" s="14" t="str">
        <f>IFERROR(__xludf.DUMMYFUNCTION("""COMPUTED_VALUE"""),"Heri (BT)")</f>
        <v>Heri (BT)</v>
      </c>
      <c r="F4954" s="14" t="str">
        <f>IFERROR(__xludf.DUMMYFUNCTION("""COMPUTED_VALUE"""),"SELESAI (VIA PERMOHONAN)")</f>
        <v>SELESAI (VIA PERMOHONAN)</v>
      </c>
      <c r="G4954" s="17">
        <f>IFERROR(__xludf.DUMMYFUNCTION("""COMPUTED_VALUE"""),46076.48272813657)</f>
        <v>46076.48273</v>
      </c>
      <c r="H4954" s="14"/>
      <c r="I4954" s="13"/>
      <c r="J4954" s="17" t="str">
        <f>IFERROR(__xludf.DUMMYFUNCTION("""COMPUTED_VALUE"""),"")</f>
        <v/>
      </c>
      <c r="K4954" s="13" t="str">
        <f>IFERROR(__xludf.DUMMYFUNCTION("""COMPUTED_VALUE"""),"BT atau SU Belum Valid")</f>
        <v>BT atau SU Belum Valid</v>
      </c>
      <c r="L4954" s="13" t="str">
        <f>IFERROR(__xludf.DUMMYFUNCTION("""COMPUTED_VALUE"""),"")</f>
        <v/>
      </c>
      <c r="M4954" s="13"/>
      <c r="N4954" s="13" t="str">
        <f>IFERROR(__xludf.DUMMYFUNCTION("""COMPUTED_VALUE"""),"")</f>
        <v/>
      </c>
      <c r="O4954" s="13" t="str">
        <f t="shared" si="1"/>
        <v/>
      </c>
    </row>
    <row r="4955" ht="22.5" customHeight="1">
      <c r="B4955" s="13">
        <f>IFERROR(__xludf.DUMMYFUNCTION("""COMPUTED_VALUE"""),4950.0)</f>
        <v>4950</v>
      </c>
      <c r="C4955" s="13" t="str">
        <f>IFERROR(__xludf.DUMMYFUNCTION("""COMPUTED_VALUE"""),"M. 1153/GUNUNG TERANG")</f>
        <v>M. 1153/GUNUNG TERANG</v>
      </c>
      <c r="D4955" s="13" t="str">
        <f>IFERROR(__xludf.DUMMYFUNCTION("""COMPUTED_VALUE"""),"K/3/040226/1")</f>
        <v>K/3/040226/1</v>
      </c>
      <c r="E4955" s="14" t="str">
        <f>IFERROR(__xludf.DUMMYFUNCTION("""COMPUTED_VALUE"""),"Heri (BT)")</f>
        <v>Heri (BT)</v>
      </c>
      <c r="F4955" s="14" t="str">
        <f>IFERROR(__xludf.DUMMYFUNCTION("""COMPUTED_VALUE"""),"SELESAI (VIA PERMOHONAN)")</f>
        <v>SELESAI (VIA PERMOHONAN)</v>
      </c>
      <c r="G4955" s="17">
        <f>IFERROR(__xludf.DUMMYFUNCTION("""COMPUTED_VALUE"""),46076.4829790625)</f>
        <v>46076.48298</v>
      </c>
      <c r="H4955" s="14"/>
      <c r="I4955" s="13"/>
      <c r="J4955" s="17" t="str">
        <f>IFERROR(__xludf.DUMMYFUNCTION("""COMPUTED_VALUE"""),"")</f>
        <v/>
      </c>
      <c r="K4955" s="13" t="str">
        <f>IFERROR(__xludf.DUMMYFUNCTION("""COMPUTED_VALUE"""),"BT atau SU Belum Valid")</f>
        <v>BT atau SU Belum Valid</v>
      </c>
      <c r="L4955" s="13" t="str">
        <f>IFERROR(__xludf.DUMMYFUNCTION("""COMPUTED_VALUE"""),"")</f>
        <v/>
      </c>
      <c r="M4955" s="13"/>
      <c r="N4955" s="13" t="str">
        <f>IFERROR(__xludf.DUMMYFUNCTION("""COMPUTED_VALUE"""),"")</f>
        <v/>
      </c>
      <c r="O4955" s="13" t="str">
        <f t="shared" si="1"/>
        <v/>
      </c>
    </row>
    <row r="4956" ht="22.5" customHeight="1">
      <c r="B4956" s="13">
        <f>IFERROR(__xludf.DUMMYFUNCTION("""COMPUTED_VALUE"""),4951.0)</f>
        <v>4951</v>
      </c>
      <c r="C4956" s="13" t="str">
        <f>IFERROR(__xludf.DUMMYFUNCTION("""COMPUTED_VALUE"""),"M.10464/gedung meneng")</f>
        <v>M.10464/gedung meneng</v>
      </c>
      <c r="D4956" s="13" t="str">
        <f>IFERROR(__xludf.DUMMYFUNCTION("""COMPUTED_VALUE"""),"AB029/ABBASBBD")</f>
        <v>AB029/ABBASBBD</v>
      </c>
      <c r="E4956" s="14" t="str">
        <f>IFERROR(__xludf.DUMMYFUNCTION("""COMPUTED_VALUE"""),"Heri (BT)")</f>
        <v>Heri (BT)</v>
      </c>
      <c r="F4956" s="14" t="str">
        <f>IFERROR(__xludf.DUMMYFUNCTION("""COMPUTED_VALUE"""),"SELESAI (VIA PERMOHONAN)")</f>
        <v>SELESAI (VIA PERMOHONAN)</v>
      </c>
      <c r="G4956" s="17">
        <f>IFERROR(__xludf.DUMMYFUNCTION("""COMPUTED_VALUE"""),46077.610317708335)</f>
        <v>46077.61032</v>
      </c>
      <c r="H4956" s="14"/>
      <c r="I4956" s="13"/>
      <c r="J4956" s="17" t="str">
        <f>IFERROR(__xludf.DUMMYFUNCTION("""COMPUTED_VALUE"""),"")</f>
        <v/>
      </c>
      <c r="K4956" s="13" t="str">
        <f>IFERROR(__xludf.DUMMYFUNCTION("""COMPUTED_VALUE"""),"BT atau SU Belum Valid")</f>
        <v>BT atau SU Belum Valid</v>
      </c>
      <c r="L4956" s="13" t="str">
        <f>IFERROR(__xludf.DUMMYFUNCTION("""COMPUTED_VALUE"""),"")</f>
        <v/>
      </c>
      <c r="M4956" s="13"/>
      <c r="N4956" s="13" t="str">
        <f>IFERROR(__xludf.DUMMYFUNCTION("""COMPUTED_VALUE"""),"")</f>
        <v/>
      </c>
      <c r="O4956" s="13" t="str">
        <f t="shared" si="1"/>
        <v/>
      </c>
    </row>
    <row r="4957" ht="22.5" customHeight="1">
      <c r="B4957" s="13">
        <f>IFERROR(__xludf.DUMMYFUNCTION("""COMPUTED_VALUE"""),4952.0)</f>
        <v>4952</v>
      </c>
      <c r="C4957" s="13" t="str">
        <f>IFERROR(__xludf.DUMMYFUNCTION("""COMPUTED_VALUE"""),"M.5245/tanjung senang")</f>
        <v>M.5245/tanjung senang</v>
      </c>
      <c r="D4957" s="13" t="str">
        <f>IFERROR(__xludf.DUMMYFUNCTION("""COMPUTED_VALUE"""),"AB082/ABVSGLDP")</f>
        <v>AB082/ABVSGLDP</v>
      </c>
      <c r="E4957" s="14" t="str">
        <f>IFERROR(__xludf.DUMMYFUNCTION("""COMPUTED_VALUE"""),"Heri (BT)")</f>
        <v>Heri (BT)</v>
      </c>
      <c r="F4957" s="14" t="str">
        <f>IFERROR(__xludf.DUMMYFUNCTION("""COMPUTED_VALUE"""),"SELESAI (VIA PERMOHONAN)")</f>
        <v>SELESAI (VIA PERMOHONAN)</v>
      </c>
      <c r="G4957" s="17">
        <f>IFERROR(__xludf.DUMMYFUNCTION("""COMPUTED_VALUE"""),46077.6104610301)</f>
        <v>46077.61046</v>
      </c>
      <c r="H4957" s="14"/>
      <c r="I4957" s="13"/>
      <c r="J4957" s="17" t="str">
        <f>IFERROR(__xludf.DUMMYFUNCTION("""COMPUTED_VALUE"""),"")</f>
        <v/>
      </c>
      <c r="K4957" s="13" t="str">
        <f>IFERROR(__xludf.DUMMYFUNCTION("""COMPUTED_VALUE"""),"BT atau SU Belum Valid")</f>
        <v>BT atau SU Belum Valid</v>
      </c>
      <c r="L4957" s="13" t="str">
        <f>IFERROR(__xludf.DUMMYFUNCTION("""COMPUTED_VALUE"""),"")</f>
        <v/>
      </c>
      <c r="M4957" s="13"/>
      <c r="N4957" s="13" t="str">
        <f>IFERROR(__xludf.DUMMYFUNCTION("""COMPUTED_VALUE"""),"")</f>
        <v/>
      </c>
      <c r="O4957" s="13" t="str">
        <f t="shared" si="1"/>
        <v/>
      </c>
    </row>
    <row r="4958" ht="22.5" customHeight="1">
      <c r="B4958" s="13">
        <f>IFERROR(__xludf.DUMMYFUNCTION("""COMPUTED_VALUE"""),4953.0)</f>
        <v>4953</v>
      </c>
      <c r="C4958" s="13" t="str">
        <f>IFERROR(__xludf.DUMMYFUNCTION("""COMPUTED_VALUE"""),"M.2534/Pinang Jaya")</f>
        <v>M.2534/Pinang Jaya</v>
      </c>
      <c r="D4958" s="13" t="str">
        <f>IFERROR(__xludf.DUMMYFUNCTION("""COMPUTED_VALUE"""),"AB037/ABYWGZQW")</f>
        <v>AB037/ABYWGZQW</v>
      </c>
      <c r="E4958" s="14" t="str">
        <f>IFERROR(__xludf.DUMMYFUNCTION("""COMPUTED_VALUE"""),"Heri (BT)")</f>
        <v>Heri (BT)</v>
      </c>
      <c r="F4958" s="14" t="str">
        <f>IFERROR(__xludf.DUMMYFUNCTION("""COMPUTED_VALUE"""),"SELESAI (VIA PERMOHONAN)")</f>
        <v>SELESAI (VIA PERMOHONAN)</v>
      </c>
      <c r="G4958" s="17">
        <f>IFERROR(__xludf.DUMMYFUNCTION("""COMPUTED_VALUE"""),46077.61067439815)</f>
        <v>46077.61067</v>
      </c>
      <c r="H4958" s="14"/>
      <c r="I4958" s="13"/>
      <c r="J4958" s="17" t="str">
        <f>IFERROR(__xludf.DUMMYFUNCTION("""COMPUTED_VALUE"""),"")</f>
        <v/>
      </c>
      <c r="K4958" s="13" t="str">
        <f>IFERROR(__xludf.DUMMYFUNCTION("""COMPUTED_VALUE"""),"BT atau SU Belum Valid")</f>
        <v>BT atau SU Belum Valid</v>
      </c>
      <c r="L4958" s="13" t="str">
        <f>IFERROR(__xludf.DUMMYFUNCTION("""COMPUTED_VALUE"""),"")</f>
        <v/>
      </c>
      <c r="M4958" s="13"/>
      <c r="N4958" s="13" t="str">
        <f>IFERROR(__xludf.DUMMYFUNCTION("""COMPUTED_VALUE"""),"")</f>
        <v/>
      </c>
      <c r="O4958" s="13" t="str">
        <f t="shared" si="1"/>
        <v/>
      </c>
    </row>
    <row r="4959" ht="22.5" customHeight="1">
      <c r="B4959" s="13">
        <f>IFERROR(__xludf.DUMMYFUNCTION("""COMPUTED_VALUE"""),4954.0)</f>
        <v>4954</v>
      </c>
      <c r="C4959" s="13" t="str">
        <f>IFERROR(__xludf.DUMMYFUNCTION("""COMPUTED_VALUE"""),"M.2533/Pinang Jaya")</f>
        <v>M.2533/Pinang Jaya</v>
      </c>
      <c r="D4959" s="13" t="str">
        <f>IFERROR(__xludf.DUMMYFUNCTION("""COMPUTED_VALUE"""),"AB037ABNSNMNQ")</f>
        <v>AB037ABNSNMNQ</v>
      </c>
      <c r="E4959" s="14" t="str">
        <f>IFERROR(__xludf.DUMMYFUNCTION("""COMPUTED_VALUE"""),"Heri (BT)")</f>
        <v>Heri (BT)</v>
      </c>
      <c r="F4959" s="14" t="str">
        <f>IFERROR(__xludf.DUMMYFUNCTION("""COMPUTED_VALUE"""),"SELESAI (VIA PERMOHONAN)")</f>
        <v>SELESAI (VIA PERMOHONAN)</v>
      </c>
      <c r="G4959" s="17">
        <f>IFERROR(__xludf.DUMMYFUNCTION("""COMPUTED_VALUE"""),46077.610888333336)</f>
        <v>46077.61089</v>
      </c>
      <c r="H4959" s="14"/>
      <c r="I4959" s="13"/>
      <c r="J4959" s="17" t="str">
        <f>IFERROR(__xludf.DUMMYFUNCTION("""COMPUTED_VALUE"""),"")</f>
        <v/>
      </c>
      <c r="K4959" s="13" t="str">
        <f>IFERROR(__xludf.DUMMYFUNCTION("""COMPUTED_VALUE"""),"BT atau SU Belum Valid")</f>
        <v>BT atau SU Belum Valid</v>
      </c>
      <c r="L4959" s="13" t="str">
        <f>IFERROR(__xludf.DUMMYFUNCTION("""COMPUTED_VALUE"""),"")</f>
        <v/>
      </c>
      <c r="M4959" s="13"/>
      <c r="N4959" s="13" t="str">
        <f>IFERROR(__xludf.DUMMYFUNCTION("""COMPUTED_VALUE"""),"")</f>
        <v/>
      </c>
      <c r="O4959" s="13" t="str">
        <f t="shared" si="1"/>
        <v/>
      </c>
    </row>
    <row r="4960" ht="22.5" customHeight="1">
      <c r="B4960" s="13">
        <f>IFERROR(__xludf.DUMMYFUNCTION("""COMPUTED_VALUE"""),4955.0)</f>
        <v>4955</v>
      </c>
      <c r="C4960" s="13" t="str">
        <f>IFERROR(__xludf.DUMMYFUNCTION("""COMPUTED_VALUE"""),"M.4744/Sukadana Ham")</f>
        <v>M.4744/Sukadana Ham</v>
      </c>
      <c r="D4960" s="13" t="str">
        <f>IFERROR(__xludf.DUMMYFUNCTION("""COMPUTED_VALUE"""),"AB037/ABVBJZLC")</f>
        <v>AB037/ABVBJZLC</v>
      </c>
      <c r="E4960" s="14" t="str">
        <f>IFERROR(__xludf.DUMMYFUNCTION("""COMPUTED_VALUE"""),"Heri (BT)")</f>
        <v>Heri (BT)</v>
      </c>
      <c r="F4960" s="14" t="str">
        <f>IFERROR(__xludf.DUMMYFUNCTION("""COMPUTED_VALUE"""),"SELESAI (VIA PERMOHONAN)")</f>
        <v>SELESAI (VIA PERMOHONAN)</v>
      </c>
      <c r="G4960" s="17">
        <f>IFERROR(__xludf.DUMMYFUNCTION("""COMPUTED_VALUE"""),46077.61110163195)</f>
        <v>46077.6111</v>
      </c>
      <c r="H4960" s="14"/>
      <c r="I4960" s="13"/>
      <c r="J4960" s="17" t="str">
        <f>IFERROR(__xludf.DUMMYFUNCTION("""COMPUTED_VALUE"""),"")</f>
        <v/>
      </c>
      <c r="K4960" s="13" t="str">
        <f>IFERROR(__xludf.DUMMYFUNCTION("""COMPUTED_VALUE"""),"BT atau SU Belum Valid")</f>
        <v>BT atau SU Belum Valid</v>
      </c>
      <c r="L4960" s="13" t="str">
        <f>IFERROR(__xludf.DUMMYFUNCTION("""COMPUTED_VALUE"""),"")</f>
        <v/>
      </c>
      <c r="M4960" s="13"/>
      <c r="N4960" s="13" t="str">
        <f>IFERROR(__xludf.DUMMYFUNCTION("""COMPUTED_VALUE"""),"")</f>
        <v/>
      </c>
      <c r="O4960" s="13" t="str">
        <f t="shared" si="1"/>
        <v/>
      </c>
    </row>
    <row r="4961" ht="22.5" customHeight="1">
      <c r="B4961" s="13">
        <f>IFERROR(__xludf.DUMMYFUNCTION("""COMPUTED_VALUE"""),4956.0)</f>
        <v>4956</v>
      </c>
      <c r="C4961" s="13" t="str">
        <f>IFERROR(__xludf.DUMMYFUNCTION("""COMPUTED_VALUE"""),"M.14551/sukabumi")</f>
        <v>M.14551/sukabumi</v>
      </c>
      <c r="D4961" s="13" t="str">
        <f>IFERROR(__xludf.DUMMYFUNCTION("""COMPUTED_VALUE"""),"ABSEOENN")</f>
        <v>ABSEOENN</v>
      </c>
      <c r="E4961" s="14" t="str">
        <f>IFERROR(__xludf.DUMMYFUNCTION("""COMPUTED_VALUE"""),"Heri (BT)")</f>
        <v>Heri (BT)</v>
      </c>
      <c r="F4961" s="14" t="str">
        <f>IFERROR(__xludf.DUMMYFUNCTION("""COMPUTED_VALUE"""),"SELESAI (VIA PERMOHONAN)")</f>
        <v>SELESAI (VIA PERMOHONAN)</v>
      </c>
      <c r="G4961" s="17">
        <f>IFERROR(__xludf.DUMMYFUNCTION("""COMPUTED_VALUE"""),46077.61141633102)</f>
        <v>46077.61142</v>
      </c>
      <c r="H4961" s="14"/>
      <c r="I4961" s="13"/>
      <c r="J4961" s="17" t="str">
        <f>IFERROR(__xludf.DUMMYFUNCTION("""COMPUTED_VALUE"""),"")</f>
        <v/>
      </c>
      <c r="K4961" s="13" t="str">
        <f>IFERROR(__xludf.DUMMYFUNCTION("""COMPUTED_VALUE"""),"BT atau SU Belum Valid")</f>
        <v>BT atau SU Belum Valid</v>
      </c>
      <c r="L4961" s="13" t="str">
        <f>IFERROR(__xludf.DUMMYFUNCTION("""COMPUTED_VALUE"""),"")</f>
        <v/>
      </c>
      <c r="M4961" s="13"/>
      <c r="N4961" s="13" t="str">
        <f>IFERROR(__xludf.DUMMYFUNCTION("""COMPUTED_VALUE"""),"")</f>
        <v/>
      </c>
      <c r="O4961" s="13" t="str">
        <f t="shared" si="1"/>
        <v/>
      </c>
    </row>
    <row r="4962" ht="22.5" customHeight="1">
      <c r="B4962" s="13">
        <f>IFERROR(__xludf.DUMMYFUNCTION("""COMPUTED_VALUE"""),4957.0)</f>
        <v>4957</v>
      </c>
      <c r="C4962" s="13" t="str">
        <f>IFERROR(__xludf.DUMMYFUNCTION("""COMPUTED_VALUE"""),"M. 220/KOTA KARANG RAYA")</f>
        <v>M. 220/KOTA KARANG RAYA</v>
      </c>
      <c r="D4962" s="13" t="str">
        <f>IFERROR(__xludf.DUMMYFUNCTION("""COMPUTED_VALUE"""),"K/8/260126/1")</f>
        <v>K/8/260126/1</v>
      </c>
      <c r="E4962" s="14" t="str">
        <f>IFERROR(__xludf.DUMMYFUNCTION("""COMPUTED_VALUE"""),"Heri (BT)")</f>
        <v>Heri (BT)</v>
      </c>
      <c r="F4962" s="14" t="str">
        <f>IFERROR(__xludf.DUMMYFUNCTION("""COMPUTED_VALUE"""),"SELESAI (VIA PERMOHONAN)")</f>
        <v>SELESAI (VIA PERMOHONAN)</v>
      </c>
      <c r="G4962" s="17">
        <f>IFERROR(__xludf.DUMMYFUNCTION("""COMPUTED_VALUE"""),46077.61160561343)</f>
        <v>46077.61161</v>
      </c>
      <c r="H4962" s="14"/>
      <c r="I4962" s="13"/>
      <c r="J4962" s="17" t="str">
        <f>IFERROR(__xludf.DUMMYFUNCTION("""COMPUTED_VALUE"""),"")</f>
        <v/>
      </c>
      <c r="K4962" s="13" t="str">
        <f>IFERROR(__xludf.DUMMYFUNCTION("""COMPUTED_VALUE"""),"BT atau SU Belum Valid")</f>
        <v>BT atau SU Belum Valid</v>
      </c>
      <c r="L4962" s="13" t="str">
        <f>IFERROR(__xludf.DUMMYFUNCTION("""COMPUTED_VALUE"""),"")</f>
        <v/>
      </c>
      <c r="M4962" s="13"/>
      <c r="N4962" s="13" t="str">
        <f>IFERROR(__xludf.DUMMYFUNCTION("""COMPUTED_VALUE"""),"")</f>
        <v/>
      </c>
      <c r="O4962" s="13" t="str">
        <f t="shared" si="1"/>
        <v/>
      </c>
    </row>
    <row r="4963" ht="22.5" customHeight="1">
      <c r="B4963" s="13">
        <f>IFERROR(__xludf.DUMMYFUNCTION("""COMPUTED_VALUE"""),4958.0)</f>
        <v>4958</v>
      </c>
      <c r="C4963" s="13" t="str">
        <f>IFERROR(__xludf.DUMMYFUNCTION("""COMPUTED_VALUE"""),"M.264/RAJABASA JAYA")</f>
        <v>M.264/RAJABASA JAYA</v>
      </c>
      <c r="D4963" s="13" t="str">
        <f>IFERROR(__xludf.DUMMYFUNCTION("""COMPUTED_VALUE"""),"L/6/280126/1")</f>
        <v>L/6/280126/1</v>
      </c>
      <c r="E4963" s="14" t="str">
        <f>IFERROR(__xludf.DUMMYFUNCTION("""COMPUTED_VALUE"""),"Heri (BT)")</f>
        <v>Heri (BT)</v>
      </c>
      <c r="F4963" s="14" t="str">
        <f>IFERROR(__xludf.DUMMYFUNCTION("""COMPUTED_VALUE"""),"SELESAI (VIA PERMOHONAN)")</f>
        <v>SELESAI (VIA PERMOHONAN)</v>
      </c>
      <c r="G4963" s="17">
        <f>IFERROR(__xludf.DUMMYFUNCTION("""COMPUTED_VALUE"""),46077.61182655093)</f>
        <v>46077.61183</v>
      </c>
      <c r="H4963" s="14"/>
      <c r="I4963" s="13"/>
      <c r="J4963" s="17" t="str">
        <f>IFERROR(__xludf.DUMMYFUNCTION("""COMPUTED_VALUE"""),"")</f>
        <v/>
      </c>
      <c r="K4963" s="13" t="str">
        <f>IFERROR(__xludf.DUMMYFUNCTION("""COMPUTED_VALUE"""),"BT atau SU Belum Valid")</f>
        <v>BT atau SU Belum Valid</v>
      </c>
      <c r="L4963" s="13" t="str">
        <f>IFERROR(__xludf.DUMMYFUNCTION("""COMPUTED_VALUE"""),"")</f>
        <v/>
      </c>
      <c r="M4963" s="13"/>
      <c r="N4963" s="13" t="str">
        <f>IFERROR(__xludf.DUMMYFUNCTION("""COMPUTED_VALUE"""),"")</f>
        <v/>
      </c>
      <c r="O4963" s="13" t="str">
        <f t="shared" si="1"/>
        <v/>
      </c>
    </row>
    <row r="4964" ht="22.5" customHeight="1">
      <c r="B4964" s="13">
        <f>IFERROR(__xludf.DUMMYFUNCTION("""COMPUTED_VALUE"""),4959.0)</f>
        <v>4959</v>
      </c>
      <c r="C4964" s="13" t="str">
        <f>IFERROR(__xludf.DUMMYFUNCTION("""COMPUTED_VALUE"""),"M. 603/KEMILING RAYA")</f>
        <v>M. 603/KEMILING RAYA</v>
      </c>
      <c r="D4964" s="13" t="str">
        <f>IFERROR(__xludf.DUMMYFUNCTION("""COMPUTED_VALUE"""),"L/39/091025/1")</f>
        <v>L/39/091025/1</v>
      </c>
      <c r="E4964" s="14" t="str">
        <f>IFERROR(__xludf.DUMMYFUNCTION("""COMPUTED_VALUE"""),"Heri (BT)")</f>
        <v>Heri (BT)</v>
      </c>
      <c r="F4964" s="14" t="str">
        <f>IFERROR(__xludf.DUMMYFUNCTION("""COMPUTED_VALUE"""),"SELESAI (VIA PERMOHONAN)")</f>
        <v>SELESAI (VIA PERMOHONAN)</v>
      </c>
      <c r="G4964" s="17">
        <f>IFERROR(__xludf.DUMMYFUNCTION("""COMPUTED_VALUE"""),46077.61206008102)</f>
        <v>46077.61206</v>
      </c>
      <c r="H4964" s="14"/>
      <c r="I4964" s="13"/>
      <c r="J4964" s="17" t="str">
        <f>IFERROR(__xludf.DUMMYFUNCTION("""COMPUTED_VALUE"""),"")</f>
        <v/>
      </c>
      <c r="K4964" s="13" t="str">
        <f>IFERROR(__xludf.DUMMYFUNCTION("""COMPUTED_VALUE"""),"BT atau SU Belum Valid")</f>
        <v>BT atau SU Belum Valid</v>
      </c>
      <c r="L4964" s="13" t="str">
        <f>IFERROR(__xludf.DUMMYFUNCTION("""COMPUTED_VALUE"""),"")</f>
        <v/>
      </c>
      <c r="M4964" s="13"/>
      <c r="N4964" s="13" t="str">
        <f>IFERROR(__xludf.DUMMYFUNCTION("""COMPUTED_VALUE"""),"")</f>
        <v/>
      </c>
      <c r="O4964" s="13" t="str">
        <f t="shared" si="1"/>
        <v/>
      </c>
    </row>
    <row r="4965" ht="22.5" customHeight="1">
      <c r="B4965" s="13">
        <f>IFERROR(__xludf.DUMMYFUNCTION("""COMPUTED_VALUE"""),4960.0)</f>
        <v>4960</v>
      </c>
      <c r="C4965" s="13" t="str">
        <f>IFERROR(__xludf.DUMMYFUNCTION("""COMPUTED_VALUE"""),"M. 6583/GEDUNG MENENG")</f>
        <v>M. 6583/GEDUNG MENENG</v>
      </c>
      <c r="D4965" s="13" t="str">
        <f>IFERROR(__xludf.DUMMYFUNCTION("""COMPUTED_VALUE"""),"L/8/220126/1")</f>
        <v>L/8/220126/1</v>
      </c>
      <c r="E4965" s="14" t="str">
        <f>IFERROR(__xludf.DUMMYFUNCTION("""COMPUTED_VALUE"""),"Heri (BT)")</f>
        <v>Heri (BT)</v>
      </c>
      <c r="F4965" s="14" t="str">
        <f>IFERROR(__xludf.DUMMYFUNCTION("""COMPUTED_VALUE"""),"SELESAI (VIA PERMOHONAN)")</f>
        <v>SELESAI (VIA PERMOHONAN)</v>
      </c>
      <c r="G4965" s="17">
        <f>IFERROR(__xludf.DUMMYFUNCTION("""COMPUTED_VALUE"""),46078.498968368054)</f>
        <v>46078.49897</v>
      </c>
      <c r="H4965" s="14"/>
      <c r="I4965" s="13"/>
      <c r="J4965" s="17" t="str">
        <f>IFERROR(__xludf.DUMMYFUNCTION("""COMPUTED_VALUE"""),"")</f>
        <v/>
      </c>
      <c r="K4965" s="13" t="str">
        <f>IFERROR(__xludf.DUMMYFUNCTION("""COMPUTED_VALUE"""),"BT atau SU Belum Valid")</f>
        <v>BT atau SU Belum Valid</v>
      </c>
      <c r="L4965" s="13" t="str">
        <f>IFERROR(__xludf.DUMMYFUNCTION("""COMPUTED_VALUE"""),"")</f>
        <v/>
      </c>
      <c r="M4965" s="13"/>
      <c r="N4965" s="13" t="str">
        <f>IFERROR(__xludf.DUMMYFUNCTION("""COMPUTED_VALUE"""),"")</f>
        <v/>
      </c>
      <c r="O4965" s="13" t="str">
        <f t="shared" si="1"/>
        <v/>
      </c>
    </row>
    <row r="4966" ht="22.5" customHeight="1">
      <c r="B4966" s="13">
        <f>IFERROR(__xludf.DUMMYFUNCTION("""COMPUTED_VALUE"""),4961.0)</f>
        <v>4961</v>
      </c>
      <c r="C4966" s="13" t="str">
        <f>IFERROR(__xludf.DUMMYFUNCTION("""COMPUTED_VALUE"""),"M. 284/PERUMNAS WAY HALIM")</f>
        <v>M. 284/PERUMNAS WAY HALIM</v>
      </c>
      <c r="D4966" s="13" t="str">
        <f>IFERROR(__xludf.DUMMYFUNCTION("""COMPUTED_VALUE"""),"L/11/031225/1")</f>
        <v>L/11/031225/1</v>
      </c>
      <c r="E4966" s="14" t="str">
        <f>IFERROR(__xludf.DUMMYFUNCTION("""COMPUTED_VALUE"""),"Heri (BT)")</f>
        <v>Heri (BT)</v>
      </c>
      <c r="F4966" s="14" t="str">
        <f>IFERROR(__xludf.DUMMYFUNCTION("""COMPUTED_VALUE"""),"SELESAI (VIA PERMOHONAN)")</f>
        <v>SELESAI (VIA PERMOHONAN)</v>
      </c>
      <c r="G4966" s="17">
        <f>IFERROR(__xludf.DUMMYFUNCTION("""COMPUTED_VALUE"""),46078.4993699537)</f>
        <v>46078.49937</v>
      </c>
      <c r="H4966" s="14"/>
      <c r="I4966" s="13"/>
      <c r="J4966" s="17" t="str">
        <f>IFERROR(__xludf.DUMMYFUNCTION("""COMPUTED_VALUE"""),"")</f>
        <v/>
      </c>
      <c r="K4966" s="13" t="str">
        <f>IFERROR(__xludf.DUMMYFUNCTION("""COMPUTED_VALUE"""),"BT atau SU Belum Valid")</f>
        <v>BT atau SU Belum Valid</v>
      </c>
      <c r="L4966" s="13" t="str">
        <f>IFERROR(__xludf.DUMMYFUNCTION("""COMPUTED_VALUE"""),"")</f>
        <v/>
      </c>
      <c r="M4966" s="13"/>
      <c r="N4966" s="13" t="str">
        <f>IFERROR(__xludf.DUMMYFUNCTION("""COMPUTED_VALUE"""),"")</f>
        <v/>
      </c>
      <c r="O4966" s="13" t="str">
        <f t="shared" si="1"/>
        <v/>
      </c>
    </row>
    <row r="4967" ht="22.5" customHeight="1">
      <c r="B4967" s="13">
        <f>IFERROR(__xludf.DUMMYFUNCTION("""COMPUTED_VALUE"""),4962.0)</f>
        <v>4962</v>
      </c>
      <c r="C4967" s="13" t="str">
        <f>IFERROR(__xludf.DUMMYFUNCTION("""COMPUTED_VALUE"""),"M. 6582/GEDUNG MENENG")</f>
        <v>M. 6582/GEDUNG MENENG</v>
      </c>
      <c r="D4967" s="13" t="str">
        <f>IFERROR(__xludf.DUMMYFUNCTION("""COMPUTED_VALUE"""),"L/7/220126/1")</f>
        <v>L/7/220126/1</v>
      </c>
      <c r="E4967" s="14" t="str">
        <f>IFERROR(__xludf.DUMMYFUNCTION("""COMPUTED_VALUE"""),"Heri (BT)")</f>
        <v>Heri (BT)</v>
      </c>
      <c r="F4967" s="14" t="str">
        <f>IFERROR(__xludf.DUMMYFUNCTION("""COMPUTED_VALUE"""),"SELESAI (VIA PERMOHONAN)")</f>
        <v>SELESAI (VIA PERMOHONAN)</v>
      </c>
      <c r="G4967" s="17">
        <f>IFERROR(__xludf.DUMMYFUNCTION("""COMPUTED_VALUE"""),46078.499562627316)</f>
        <v>46078.49956</v>
      </c>
      <c r="H4967" s="14"/>
      <c r="I4967" s="13"/>
      <c r="J4967" s="17" t="str">
        <f>IFERROR(__xludf.DUMMYFUNCTION("""COMPUTED_VALUE"""),"")</f>
        <v/>
      </c>
      <c r="K4967" s="13" t="str">
        <f>IFERROR(__xludf.DUMMYFUNCTION("""COMPUTED_VALUE"""),"BT atau SU Belum Valid")</f>
        <v>BT atau SU Belum Valid</v>
      </c>
      <c r="L4967" s="13" t="str">
        <f>IFERROR(__xludf.DUMMYFUNCTION("""COMPUTED_VALUE"""),"")</f>
        <v/>
      </c>
      <c r="M4967" s="13"/>
      <c r="N4967" s="13" t="str">
        <f>IFERROR(__xludf.DUMMYFUNCTION("""COMPUTED_VALUE"""),"")</f>
        <v/>
      </c>
      <c r="O4967" s="13" t="str">
        <f t="shared" si="1"/>
        <v/>
      </c>
    </row>
    <row r="4968" ht="22.5" customHeight="1">
      <c r="B4968" s="13">
        <f>IFERROR(__xludf.DUMMYFUNCTION("""COMPUTED_VALUE"""),4963.0)</f>
        <v>4963</v>
      </c>
      <c r="C4968" s="13" t="str">
        <f>IFERROR(__xludf.DUMMYFUNCTION("""COMPUTED_VALUE"""),"M. 152/PAHOMAN")</f>
        <v>M. 152/PAHOMAN</v>
      </c>
      <c r="D4968" s="13" t="str">
        <f>IFERROR(__xludf.DUMMYFUNCTION("""COMPUTED_VALUE"""),"L/6/040226/1")</f>
        <v>L/6/040226/1</v>
      </c>
      <c r="E4968" s="14" t="str">
        <f>IFERROR(__xludf.DUMMYFUNCTION("""COMPUTED_VALUE"""),"Heri (BT)")</f>
        <v>Heri (BT)</v>
      </c>
      <c r="F4968" s="14" t="str">
        <f>IFERROR(__xludf.DUMMYFUNCTION("""COMPUTED_VALUE"""),"SELESAI (VIA PERMOHONAN)")</f>
        <v>SELESAI (VIA PERMOHONAN)</v>
      </c>
      <c r="G4968" s="17">
        <f>IFERROR(__xludf.DUMMYFUNCTION("""COMPUTED_VALUE"""),46078.50094405093)</f>
        <v>46078.50094</v>
      </c>
      <c r="H4968" s="14"/>
      <c r="I4968" s="13"/>
      <c r="J4968" s="17" t="str">
        <f>IFERROR(__xludf.DUMMYFUNCTION("""COMPUTED_VALUE"""),"")</f>
        <v/>
      </c>
      <c r="K4968" s="13" t="str">
        <f>IFERROR(__xludf.DUMMYFUNCTION("""COMPUTED_VALUE"""),"BT atau SU Belum Valid")</f>
        <v>BT atau SU Belum Valid</v>
      </c>
      <c r="L4968" s="13" t="str">
        <f>IFERROR(__xludf.DUMMYFUNCTION("""COMPUTED_VALUE"""),"")</f>
        <v/>
      </c>
      <c r="M4968" s="13"/>
      <c r="N4968" s="13" t="str">
        <f>IFERROR(__xludf.DUMMYFUNCTION("""COMPUTED_VALUE"""),"")</f>
        <v/>
      </c>
      <c r="O4968" s="13" t="str">
        <f t="shared" si="1"/>
        <v/>
      </c>
    </row>
    <row r="4969" ht="22.5" customHeight="1">
      <c r="B4969" s="13">
        <f>IFERROR(__xludf.DUMMYFUNCTION("""COMPUTED_VALUE"""),4964.0)</f>
        <v>4964</v>
      </c>
      <c r="C4969" s="13" t="str">
        <f>IFERROR(__xludf.DUMMYFUNCTION("""COMPUTED_VALUE"""),"M. 457/KALIAWI PERSADA")</f>
        <v>M. 457/KALIAWI PERSADA</v>
      </c>
      <c r="D4969" s="13" t="str">
        <f>IFERROR(__xludf.DUMMYFUNCTION("""COMPUTED_VALUE"""),"L/1/020226/1")</f>
        <v>L/1/020226/1</v>
      </c>
      <c r="E4969" s="14" t="str">
        <f>IFERROR(__xludf.DUMMYFUNCTION("""COMPUTED_VALUE"""),"Heri (BT)")</f>
        <v>Heri (BT)</v>
      </c>
      <c r="F4969" s="14" t="str">
        <f>IFERROR(__xludf.DUMMYFUNCTION("""COMPUTED_VALUE"""),"SELESAI (VIA PERMOHONAN)")</f>
        <v>SELESAI (VIA PERMOHONAN)</v>
      </c>
      <c r="G4969" s="17">
        <f>IFERROR(__xludf.DUMMYFUNCTION("""COMPUTED_VALUE"""),46078.50155310185)</f>
        <v>46078.50155</v>
      </c>
      <c r="H4969" s="14"/>
      <c r="I4969" s="13"/>
      <c r="J4969" s="17" t="str">
        <f>IFERROR(__xludf.DUMMYFUNCTION("""COMPUTED_VALUE"""),"")</f>
        <v/>
      </c>
      <c r="K4969" s="13" t="str">
        <f>IFERROR(__xludf.DUMMYFUNCTION("""COMPUTED_VALUE"""),"BT atau SU Belum Valid")</f>
        <v>BT atau SU Belum Valid</v>
      </c>
      <c r="L4969" s="13" t="str">
        <f>IFERROR(__xludf.DUMMYFUNCTION("""COMPUTED_VALUE"""),"")</f>
        <v/>
      </c>
      <c r="M4969" s="13"/>
      <c r="N4969" s="13" t="str">
        <f>IFERROR(__xludf.DUMMYFUNCTION("""COMPUTED_VALUE"""),"")</f>
        <v/>
      </c>
      <c r="O4969" s="13" t="str">
        <f t="shared" si="1"/>
        <v/>
      </c>
    </row>
    <row r="4970" ht="22.5" customHeight="1">
      <c r="B4970" s="13">
        <f>IFERROR(__xludf.DUMMYFUNCTION("""COMPUTED_VALUE"""),4965.0)</f>
        <v>4965</v>
      </c>
      <c r="C4970" s="13" t="str">
        <f>IFERROR(__xludf.DUMMYFUNCTION("""COMPUTED_VALUE"""),"M. 1030/SUKARAJA")</f>
        <v>M. 1030/SUKARAJA</v>
      </c>
      <c r="D4970" s="13" t="str">
        <f>IFERROR(__xludf.DUMMYFUNCTION("""COMPUTED_VALUE"""),"L/10/040226/1")</f>
        <v>L/10/040226/1</v>
      </c>
      <c r="E4970" s="14" t="str">
        <f>IFERROR(__xludf.DUMMYFUNCTION("""COMPUTED_VALUE"""),"Heri (BT)")</f>
        <v>Heri (BT)</v>
      </c>
      <c r="F4970" s="14" t="str">
        <f>IFERROR(__xludf.DUMMYFUNCTION("""COMPUTED_VALUE"""),"SELESAI (VIA PERMOHONAN)")</f>
        <v>SELESAI (VIA PERMOHONAN)</v>
      </c>
      <c r="G4970" s="17">
        <f>IFERROR(__xludf.DUMMYFUNCTION("""COMPUTED_VALUE"""),46078.50384958333)</f>
        <v>46078.50385</v>
      </c>
      <c r="H4970" s="14"/>
      <c r="I4970" s="13"/>
      <c r="J4970" s="17" t="str">
        <f>IFERROR(__xludf.DUMMYFUNCTION("""COMPUTED_VALUE"""),"")</f>
        <v/>
      </c>
      <c r="K4970" s="13" t="str">
        <f>IFERROR(__xludf.DUMMYFUNCTION("""COMPUTED_VALUE"""),"BT atau SU Belum Valid")</f>
        <v>BT atau SU Belum Valid</v>
      </c>
      <c r="L4970" s="13" t="str">
        <f>IFERROR(__xludf.DUMMYFUNCTION("""COMPUTED_VALUE"""),"")</f>
        <v/>
      </c>
      <c r="M4970" s="13"/>
      <c r="N4970" s="13" t="str">
        <f>IFERROR(__xludf.DUMMYFUNCTION("""COMPUTED_VALUE"""),"")</f>
        <v/>
      </c>
      <c r="O4970" s="13" t="str">
        <f t="shared" si="1"/>
        <v/>
      </c>
    </row>
    <row r="4971" ht="22.5" customHeight="1">
      <c r="B4971" s="13">
        <f>IFERROR(__xludf.DUMMYFUNCTION("""COMPUTED_VALUE"""),4966.0)</f>
        <v>4966</v>
      </c>
      <c r="C4971" s="13" t="str">
        <f>IFERROR(__xludf.DUMMYFUNCTION("""COMPUTED_VALUE"""),"M. 798/Kedaung")</f>
        <v>M. 798/Kedaung</v>
      </c>
      <c r="D4971" s="13" t="str">
        <f>IFERROR(__xludf.DUMMYFUNCTION("""COMPUTED_VALUE"""),"ABGKHTNQ/AB014")</f>
        <v>ABGKHTNQ/AB014</v>
      </c>
      <c r="E4971" s="14" t="str">
        <f>IFERROR(__xludf.DUMMYFUNCTION("""COMPUTED_VALUE"""),"Heri (BT)")</f>
        <v>Heri (BT)</v>
      </c>
      <c r="F4971" s="14" t="str">
        <f>IFERROR(__xludf.DUMMYFUNCTION("""COMPUTED_VALUE"""),"SELESAI (VIA PERMOHONAN)")</f>
        <v>SELESAI (VIA PERMOHONAN)</v>
      </c>
      <c r="G4971" s="17">
        <f>IFERROR(__xludf.DUMMYFUNCTION("""COMPUTED_VALUE"""),46078.617491516205)</f>
        <v>46078.61749</v>
      </c>
      <c r="H4971" s="14"/>
      <c r="I4971" s="13"/>
      <c r="J4971" s="17" t="str">
        <f>IFERROR(__xludf.DUMMYFUNCTION("""COMPUTED_VALUE"""),"")</f>
        <v/>
      </c>
      <c r="K4971" s="13" t="str">
        <f>IFERROR(__xludf.DUMMYFUNCTION("""COMPUTED_VALUE"""),"BT atau SU Belum Valid")</f>
        <v>BT atau SU Belum Valid</v>
      </c>
      <c r="L4971" s="13" t="str">
        <f>IFERROR(__xludf.DUMMYFUNCTION("""COMPUTED_VALUE"""),"")</f>
        <v/>
      </c>
      <c r="M4971" s="13"/>
      <c r="N4971" s="13" t="str">
        <f>IFERROR(__xludf.DUMMYFUNCTION("""COMPUTED_VALUE"""),"")</f>
        <v/>
      </c>
      <c r="O4971" s="13" t="str">
        <f t="shared" si="1"/>
        <v/>
      </c>
    </row>
    <row r="4972" ht="22.5" customHeight="1">
      <c r="B4972" s="13">
        <f>IFERROR(__xludf.DUMMYFUNCTION("""COMPUTED_VALUE"""),4967.0)</f>
        <v>4967</v>
      </c>
      <c r="C4972" s="13" t="str">
        <f>IFERROR(__xludf.DUMMYFUNCTION("""COMPUTED_VALUE"""),"M. 9951/Sidodadi")</f>
        <v>M. 9951/Sidodadi</v>
      </c>
      <c r="D4972" s="13" t="str">
        <f>IFERROR(__xludf.DUMMYFUNCTION("""COMPUTED_VALUE"""),"ABIDGGBY/Ab043")</f>
        <v>ABIDGGBY/Ab043</v>
      </c>
      <c r="E4972" s="14" t="str">
        <f>IFERROR(__xludf.DUMMYFUNCTION("""COMPUTED_VALUE"""),"Heri (BT)")</f>
        <v>Heri (BT)</v>
      </c>
      <c r="F4972" s="14" t="str">
        <f>IFERROR(__xludf.DUMMYFUNCTION("""COMPUTED_VALUE"""),"SELESAI (VIA PERMOHONAN)")</f>
        <v>SELESAI (VIA PERMOHONAN)</v>
      </c>
      <c r="G4972" s="17">
        <f>IFERROR(__xludf.DUMMYFUNCTION("""COMPUTED_VALUE"""),46078.617743090275)</f>
        <v>46078.61774</v>
      </c>
      <c r="H4972" s="14"/>
      <c r="I4972" s="13"/>
      <c r="J4972" s="17" t="str">
        <f>IFERROR(__xludf.DUMMYFUNCTION("""COMPUTED_VALUE"""),"")</f>
        <v/>
      </c>
      <c r="K4972" s="13" t="str">
        <f>IFERROR(__xludf.DUMMYFUNCTION("""COMPUTED_VALUE"""),"BT atau SU Belum Valid")</f>
        <v>BT atau SU Belum Valid</v>
      </c>
      <c r="L4972" s="13" t="str">
        <f>IFERROR(__xludf.DUMMYFUNCTION("""COMPUTED_VALUE"""),"")</f>
        <v/>
      </c>
      <c r="M4972" s="13"/>
      <c r="N4972" s="13" t="str">
        <f>IFERROR(__xludf.DUMMYFUNCTION("""COMPUTED_VALUE"""),"")</f>
        <v/>
      </c>
      <c r="O4972" s="13" t="str">
        <f t="shared" si="1"/>
        <v/>
      </c>
    </row>
    <row r="4973" ht="22.5" customHeight="1">
      <c r="B4973" s="13">
        <f>IFERROR(__xludf.DUMMYFUNCTION("""COMPUTED_VALUE"""),4968.0)</f>
        <v>4968</v>
      </c>
      <c r="C4973" s="13" t="str">
        <f>IFERROR(__xludf.DUMMYFUNCTION("""COMPUTED_VALUE"""),"M.1089 KELAPA TIGA")</f>
        <v>M.1089 KELAPA TIGA</v>
      </c>
      <c r="D4973" s="13" t="str">
        <f>IFERROR(__xludf.DUMMYFUNCTION("""COMPUTED_VALUE"""),"AMDANWU")</f>
        <v>AMDANWU</v>
      </c>
      <c r="E4973" s="14" t="str">
        <f>IFERROR(__xludf.DUMMYFUNCTION("""COMPUTED_VALUE"""),"Heri (BT)")</f>
        <v>Heri (BT)</v>
      </c>
      <c r="F4973" s="14" t="str">
        <f>IFERROR(__xludf.DUMMYFUNCTION("""COMPUTED_VALUE"""),"SELESAI (VIA PERMOHONAN)")</f>
        <v>SELESAI (VIA PERMOHONAN)</v>
      </c>
      <c r="G4973" s="17">
        <f>IFERROR(__xludf.DUMMYFUNCTION("""COMPUTED_VALUE"""),46078.61845130787)</f>
        <v>46078.61845</v>
      </c>
      <c r="H4973" s="14"/>
      <c r="I4973" s="13"/>
      <c r="J4973" s="17" t="str">
        <f>IFERROR(__xludf.DUMMYFUNCTION("""COMPUTED_VALUE"""),"")</f>
        <v/>
      </c>
      <c r="K4973" s="13" t="str">
        <f>IFERROR(__xludf.DUMMYFUNCTION("""COMPUTED_VALUE"""),"BT atau SU Belum Valid")</f>
        <v>BT atau SU Belum Valid</v>
      </c>
      <c r="L4973" s="13" t="str">
        <f>IFERROR(__xludf.DUMMYFUNCTION("""COMPUTED_VALUE"""),"")</f>
        <v/>
      </c>
      <c r="M4973" s="13"/>
      <c r="N4973" s="13" t="str">
        <f>IFERROR(__xludf.DUMMYFUNCTION("""COMPUTED_VALUE"""),"")</f>
        <v/>
      </c>
      <c r="O4973" s="13" t="str">
        <f t="shared" si="1"/>
        <v/>
      </c>
    </row>
    <row r="4974" ht="22.5" customHeight="1">
      <c r="B4974" s="13">
        <f>IFERROR(__xludf.DUMMYFUNCTION("""COMPUTED_VALUE"""),4969.0)</f>
        <v>4969</v>
      </c>
      <c r="C4974" s="13" t="str">
        <f>IFERROR(__xludf.DUMMYFUNCTION("""COMPUTED_VALUE"""),"m.2202/Labuhan Ratu Raya")</f>
        <v>m.2202/Labuhan Ratu Raya</v>
      </c>
      <c r="D4974" s="13" t="str">
        <f>IFERROR(__xludf.DUMMYFUNCTION("""COMPUTED_VALUE"""),"ABCOPTFN/1")</f>
        <v>ABCOPTFN/1</v>
      </c>
      <c r="E4974" s="14" t="str">
        <f>IFERROR(__xludf.DUMMYFUNCTION("""COMPUTED_VALUE"""),"Heri (BT)")</f>
        <v>Heri (BT)</v>
      </c>
      <c r="F4974" s="14" t="str">
        <f>IFERROR(__xludf.DUMMYFUNCTION("""COMPUTED_VALUE"""),"SELESAI (VIA PERMOHONAN)")</f>
        <v>SELESAI (VIA PERMOHONAN)</v>
      </c>
      <c r="G4974" s="17">
        <f>IFERROR(__xludf.DUMMYFUNCTION("""COMPUTED_VALUE"""),46078.61876378472)</f>
        <v>46078.61876</v>
      </c>
      <c r="H4974" s="14"/>
      <c r="I4974" s="13"/>
      <c r="J4974" s="17" t="str">
        <f>IFERROR(__xludf.DUMMYFUNCTION("""COMPUTED_VALUE"""),"")</f>
        <v/>
      </c>
      <c r="K4974" s="13" t="str">
        <f>IFERROR(__xludf.DUMMYFUNCTION("""COMPUTED_VALUE"""),"BT atau SU Belum Valid")</f>
        <v>BT atau SU Belum Valid</v>
      </c>
      <c r="L4974" s="13" t="str">
        <f>IFERROR(__xludf.DUMMYFUNCTION("""COMPUTED_VALUE"""),"")</f>
        <v/>
      </c>
      <c r="M4974" s="13"/>
      <c r="N4974" s="13" t="str">
        <f>IFERROR(__xludf.DUMMYFUNCTION("""COMPUTED_VALUE"""),"")</f>
        <v/>
      </c>
      <c r="O4974" s="13" t="str">
        <f t="shared" si="1"/>
        <v/>
      </c>
    </row>
    <row r="4975" ht="22.5" customHeight="1">
      <c r="B4975" s="13">
        <f>IFERROR(__xludf.DUMMYFUNCTION("""COMPUTED_VALUE"""),4970.0)</f>
        <v>4970</v>
      </c>
      <c r="C4975" s="13" t="str">
        <f>IFERROR(__xludf.DUMMYFUNCTION("""COMPUTED_VALUE"""),"m.2037/Kalibalau Kencana")</f>
        <v>m.2037/Kalibalau Kencana</v>
      </c>
      <c r="D4975" s="13" t="str">
        <f>IFERROR(__xludf.DUMMYFUNCTION("""COMPUTED_VALUE"""),"ABCYYGDW/1")</f>
        <v>ABCYYGDW/1</v>
      </c>
      <c r="E4975" s="14" t="str">
        <f>IFERROR(__xludf.DUMMYFUNCTION("""COMPUTED_VALUE"""),"Heri (BT)")</f>
        <v>Heri (BT)</v>
      </c>
      <c r="F4975" s="14" t="str">
        <f>IFERROR(__xludf.DUMMYFUNCTION("""COMPUTED_VALUE"""),"SELESAI (VIA PERMOHONAN)")</f>
        <v>SELESAI (VIA PERMOHONAN)</v>
      </c>
      <c r="G4975" s="17">
        <f>IFERROR(__xludf.DUMMYFUNCTION("""COMPUTED_VALUE"""),46078.61899321759)</f>
        <v>46078.61899</v>
      </c>
      <c r="H4975" s="14"/>
      <c r="I4975" s="13"/>
      <c r="J4975" s="17" t="str">
        <f>IFERROR(__xludf.DUMMYFUNCTION("""COMPUTED_VALUE"""),"")</f>
        <v/>
      </c>
      <c r="K4975" s="13" t="str">
        <f>IFERROR(__xludf.DUMMYFUNCTION("""COMPUTED_VALUE"""),"BT atau SU Belum Valid")</f>
        <v>BT atau SU Belum Valid</v>
      </c>
      <c r="L4975" s="13" t="str">
        <f>IFERROR(__xludf.DUMMYFUNCTION("""COMPUTED_VALUE"""),"")</f>
        <v/>
      </c>
      <c r="M4975" s="13"/>
      <c r="N4975" s="13" t="str">
        <f>IFERROR(__xludf.DUMMYFUNCTION("""COMPUTED_VALUE"""),"")</f>
        <v/>
      </c>
      <c r="O4975" s="13" t="str">
        <f t="shared" si="1"/>
        <v/>
      </c>
    </row>
    <row r="4976" ht="22.5" customHeight="1">
      <c r="B4976" s="13">
        <f>IFERROR(__xludf.DUMMYFUNCTION("""COMPUTED_VALUE"""),4971.0)</f>
        <v>4971</v>
      </c>
      <c r="C4976" s="13" t="str">
        <f>IFERROR(__xludf.DUMMYFUNCTION("""COMPUTED_VALUE"""),"SHM 13895/Kedamaian")</f>
        <v>SHM 13895/Kedamaian</v>
      </c>
      <c r="D4976" s="13" t="str">
        <f>IFERROR(__xludf.DUMMYFUNCTION("""COMPUTED_VALUE"""),"AB004/ABIHHAGW")</f>
        <v>AB004/ABIHHAGW</v>
      </c>
      <c r="E4976" s="14" t="str">
        <f>IFERROR(__xludf.DUMMYFUNCTION("""COMPUTED_VALUE"""),"Heri (BT)")</f>
        <v>Heri (BT)</v>
      </c>
      <c r="F4976" s="14" t="str">
        <f>IFERROR(__xludf.DUMMYFUNCTION("""COMPUTED_VALUE"""),"SELESAI (VIA PERMOHONAN)")</f>
        <v>SELESAI (VIA PERMOHONAN)</v>
      </c>
      <c r="G4976" s="17">
        <f>IFERROR(__xludf.DUMMYFUNCTION("""COMPUTED_VALUE"""),46078.619303541665)</f>
        <v>46078.6193</v>
      </c>
      <c r="H4976" s="14"/>
      <c r="I4976" s="13"/>
      <c r="J4976" s="17" t="str">
        <f>IFERROR(__xludf.DUMMYFUNCTION("""COMPUTED_VALUE"""),"")</f>
        <v/>
      </c>
      <c r="K4976" s="13" t="str">
        <f>IFERROR(__xludf.DUMMYFUNCTION("""COMPUTED_VALUE"""),"BT atau SU Belum Valid")</f>
        <v>BT atau SU Belum Valid</v>
      </c>
      <c r="L4976" s="13" t="str">
        <f>IFERROR(__xludf.DUMMYFUNCTION("""COMPUTED_VALUE"""),"")</f>
        <v/>
      </c>
      <c r="M4976" s="13"/>
      <c r="N4976" s="13" t="str">
        <f>IFERROR(__xludf.DUMMYFUNCTION("""COMPUTED_VALUE"""),"")</f>
        <v/>
      </c>
      <c r="O4976" s="13" t="str">
        <f t="shared" si="1"/>
        <v/>
      </c>
    </row>
    <row r="4977" ht="22.5" customHeight="1">
      <c r="B4977" s="13">
        <f>IFERROR(__xludf.DUMMYFUNCTION("""COMPUTED_VALUE"""),4972.0)</f>
        <v>4972</v>
      </c>
      <c r="C4977" s="13" t="str">
        <f>IFERROR(__xludf.DUMMYFUNCTION("""COMPUTED_VALUE"""),"M. 207/Pn / Penengahan")</f>
        <v>M. 207/Pn / Penengahan</v>
      </c>
      <c r="D4977" s="13" t="str">
        <f>IFERROR(__xludf.DUMMYFUNCTION("""COMPUTED_VALUE"""),"ABPQFDFV/AB062")</f>
        <v>ABPQFDFV/AB062</v>
      </c>
      <c r="E4977" s="14" t="str">
        <f>IFERROR(__xludf.DUMMYFUNCTION("""COMPUTED_VALUE"""),"Heri (BT)")</f>
        <v>Heri (BT)</v>
      </c>
      <c r="F4977" s="14" t="str">
        <f>IFERROR(__xludf.DUMMYFUNCTION("""COMPUTED_VALUE"""),"SELESAI (VIA PERMOHONAN)")</f>
        <v>SELESAI (VIA PERMOHONAN)</v>
      </c>
      <c r="G4977" s="17">
        <f>IFERROR(__xludf.DUMMYFUNCTION("""COMPUTED_VALUE"""),46079.57429689815)</f>
        <v>46079.5743</v>
      </c>
      <c r="H4977" s="14"/>
      <c r="I4977" s="13"/>
      <c r="J4977" s="17" t="str">
        <f>IFERROR(__xludf.DUMMYFUNCTION("""COMPUTED_VALUE"""),"")</f>
        <v/>
      </c>
      <c r="K4977" s="13" t="str">
        <f>IFERROR(__xludf.DUMMYFUNCTION("""COMPUTED_VALUE"""),"BT atau SU Belum Valid")</f>
        <v>BT atau SU Belum Valid</v>
      </c>
      <c r="L4977" s="13" t="str">
        <f>IFERROR(__xludf.DUMMYFUNCTION("""COMPUTED_VALUE"""),"")</f>
        <v/>
      </c>
      <c r="M4977" s="13"/>
      <c r="N4977" s="13" t="str">
        <f>IFERROR(__xludf.DUMMYFUNCTION("""COMPUTED_VALUE"""),"")</f>
        <v/>
      </c>
      <c r="O4977" s="13" t="str">
        <f t="shared" si="1"/>
        <v/>
      </c>
    </row>
    <row r="4978" ht="22.5" customHeight="1">
      <c r="B4978" s="13">
        <f>IFERROR(__xludf.DUMMYFUNCTION("""COMPUTED_VALUE"""),4973.0)</f>
        <v>4973</v>
      </c>
      <c r="C4978" s="13" t="str">
        <f>IFERROR(__xludf.DUMMYFUNCTION("""COMPUTED_VALUE"""),"M.2972")</f>
        <v>M.2972</v>
      </c>
      <c r="D4978" s="13" t="str">
        <f>IFERROR(__xludf.DUMMYFUNCTION("""COMPUTED_VALUE"""),"ABDNBQSW")</f>
        <v>ABDNBQSW</v>
      </c>
      <c r="E4978" s="14" t="str">
        <f>IFERROR(__xludf.DUMMYFUNCTION("""COMPUTED_VALUE"""),"Heri (BT)")</f>
        <v>Heri (BT)</v>
      </c>
      <c r="F4978" s="14" t="str">
        <f>IFERROR(__xludf.DUMMYFUNCTION("""COMPUTED_VALUE"""),"SELESAI (VIA PERMOHONAN)")</f>
        <v>SELESAI (VIA PERMOHONAN)</v>
      </c>
      <c r="G4978" s="17">
        <f>IFERROR(__xludf.DUMMYFUNCTION("""COMPUTED_VALUE"""),46079.57459395833)</f>
        <v>46079.57459</v>
      </c>
      <c r="H4978" s="14"/>
      <c r="I4978" s="13"/>
      <c r="J4978" s="17" t="str">
        <f>IFERROR(__xludf.DUMMYFUNCTION("""COMPUTED_VALUE"""),"")</f>
        <v/>
      </c>
      <c r="K4978" s="13" t="str">
        <f>IFERROR(__xludf.DUMMYFUNCTION("""COMPUTED_VALUE"""),"BT atau SU Belum Valid")</f>
        <v>BT atau SU Belum Valid</v>
      </c>
      <c r="L4978" s="13" t="str">
        <f>IFERROR(__xludf.DUMMYFUNCTION("""COMPUTED_VALUE"""),"")</f>
        <v/>
      </c>
      <c r="M4978" s="13"/>
      <c r="N4978" s="13" t="str">
        <f>IFERROR(__xludf.DUMMYFUNCTION("""COMPUTED_VALUE"""),"")</f>
        <v/>
      </c>
      <c r="O4978" s="13" t="str">
        <f t="shared" si="1"/>
        <v/>
      </c>
    </row>
    <row r="4979" ht="22.5" customHeight="1">
      <c r="B4979" s="13">
        <f>IFERROR(__xludf.DUMMYFUNCTION("""COMPUTED_VALUE"""),4974.0)</f>
        <v>4974</v>
      </c>
      <c r="C4979" s="13" t="str">
        <f>IFERROR(__xludf.DUMMYFUNCTION("""COMPUTED_VALUE"""),"M. 145/ KUPANG KOTA")</f>
        <v>M. 145/ KUPANG KOTA</v>
      </c>
      <c r="D4979" s="13" t="str">
        <f>IFERROR(__xludf.DUMMYFUNCTION("""COMPUTED_VALUE"""),"ABLHZFAP")</f>
        <v>ABLHZFAP</v>
      </c>
      <c r="E4979" s="14" t="str">
        <f>IFERROR(__xludf.DUMMYFUNCTION("""COMPUTED_VALUE"""),"Heri (BT)")</f>
        <v>Heri (BT)</v>
      </c>
      <c r="F4979" s="14" t="str">
        <f>IFERROR(__xludf.DUMMYFUNCTION("""COMPUTED_VALUE"""),"SELESAI (VIA PERMOHONAN)")</f>
        <v>SELESAI (VIA PERMOHONAN)</v>
      </c>
      <c r="G4979" s="17">
        <f>IFERROR(__xludf.DUMMYFUNCTION("""COMPUTED_VALUE"""),46079.57489596065)</f>
        <v>46079.5749</v>
      </c>
      <c r="H4979" s="14"/>
      <c r="I4979" s="13"/>
      <c r="J4979" s="17" t="str">
        <f>IFERROR(__xludf.DUMMYFUNCTION("""COMPUTED_VALUE"""),"")</f>
        <v/>
      </c>
      <c r="K4979" s="13" t="str">
        <f>IFERROR(__xludf.DUMMYFUNCTION("""COMPUTED_VALUE"""),"BT atau SU Belum Valid")</f>
        <v>BT atau SU Belum Valid</v>
      </c>
      <c r="L4979" s="13" t="str">
        <f>IFERROR(__xludf.DUMMYFUNCTION("""COMPUTED_VALUE"""),"")</f>
        <v/>
      </c>
      <c r="M4979" s="13"/>
      <c r="N4979" s="13" t="str">
        <f>IFERROR(__xludf.DUMMYFUNCTION("""COMPUTED_VALUE"""),"")</f>
        <v/>
      </c>
      <c r="O4979" s="13" t="str">
        <f t="shared" si="1"/>
        <v/>
      </c>
    </row>
    <row r="4980" ht="22.5" customHeight="1">
      <c r="B4980" s="13">
        <f>IFERROR(__xludf.DUMMYFUNCTION("""COMPUTED_VALUE"""),4975.0)</f>
        <v>4975</v>
      </c>
      <c r="C4980" s="13" t="str">
        <f>IFERROR(__xludf.DUMMYFUNCTION("""COMPUTED_VALUE"""),"m 2925/ labuhan dalam")</f>
        <v>m 2925/ labuhan dalam</v>
      </c>
      <c r="D4980" s="13" t="str">
        <f>IFERROR(__xludf.DUMMYFUNCTION("""COMPUTED_VALUE"""),"ABNSVJVH")</f>
        <v>ABNSVJVH</v>
      </c>
      <c r="E4980" s="14" t="str">
        <f>IFERROR(__xludf.DUMMYFUNCTION("""COMPUTED_VALUE"""),"Heri (BT)")</f>
        <v>Heri (BT)</v>
      </c>
      <c r="F4980" s="14" t="str">
        <f>IFERROR(__xludf.DUMMYFUNCTION("""COMPUTED_VALUE"""),"SELESAI (VIA PERMOHONAN)")</f>
        <v>SELESAI (VIA PERMOHONAN)</v>
      </c>
      <c r="G4980" s="17">
        <f>IFERROR(__xludf.DUMMYFUNCTION("""COMPUTED_VALUE"""),46079.57524715278)</f>
        <v>46079.57525</v>
      </c>
      <c r="H4980" s="14"/>
      <c r="I4980" s="13"/>
      <c r="J4980" s="17" t="str">
        <f>IFERROR(__xludf.DUMMYFUNCTION("""COMPUTED_VALUE"""),"")</f>
        <v/>
      </c>
      <c r="K4980" s="13" t="str">
        <f>IFERROR(__xludf.DUMMYFUNCTION("""COMPUTED_VALUE"""),"BT atau SU Belum Valid")</f>
        <v>BT atau SU Belum Valid</v>
      </c>
      <c r="L4980" s="13" t="str">
        <f>IFERROR(__xludf.DUMMYFUNCTION("""COMPUTED_VALUE"""),"")</f>
        <v/>
      </c>
      <c r="M4980" s="13"/>
      <c r="N4980" s="13" t="str">
        <f>IFERROR(__xludf.DUMMYFUNCTION("""COMPUTED_VALUE"""),"")</f>
        <v/>
      </c>
      <c r="O4980" s="13" t="str">
        <f t="shared" si="1"/>
        <v/>
      </c>
    </row>
    <row r="4981" ht="22.5" customHeight="1">
      <c r="B4981" s="13">
        <f>IFERROR(__xludf.DUMMYFUNCTION("""COMPUTED_VALUE"""),4976.0)</f>
        <v>4976</v>
      </c>
      <c r="C4981" s="13" t="str">
        <f>IFERROR(__xludf.DUMMYFUNCTION("""COMPUTED_VALUE"""),"M.2974")</f>
        <v>M.2974</v>
      </c>
      <c r="D4981" s="13" t="str">
        <f>IFERROR(__xludf.DUMMYFUNCTION("""COMPUTED_VALUE"""),"ABSNZTQK")</f>
        <v>ABSNZTQK</v>
      </c>
      <c r="E4981" s="14" t="str">
        <f>IFERROR(__xludf.DUMMYFUNCTION("""COMPUTED_VALUE"""),"Heri (BT)")</f>
        <v>Heri (BT)</v>
      </c>
      <c r="F4981" s="14" t="str">
        <f>IFERROR(__xludf.DUMMYFUNCTION("""COMPUTED_VALUE"""),"SELESAI (VIA PERMOHONAN)")</f>
        <v>SELESAI (VIA PERMOHONAN)</v>
      </c>
      <c r="G4981" s="17">
        <f>IFERROR(__xludf.DUMMYFUNCTION("""COMPUTED_VALUE"""),46079.5754891088)</f>
        <v>46079.57549</v>
      </c>
      <c r="H4981" s="14"/>
      <c r="I4981" s="13"/>
      <c r="J4981" s="17" t="str">
        <f>IFERROR(__xludf.DUMMYFUNCTION("""COMPUTED_VALUE"""),"")</f>
        <v/>
      </c>
      <c r="K4981" s="13" t="str">
        <f>IFERROR(__xludf.DUMMYFUNCTION("""COMPUTED_VALUE"""),"BT atau SU Belum Valid")</f>
        <v>BT atau SU Belum Valid</v>
      </c>
      <c r="L4981" s="13" t="str">
        <f>IFERROR(__xludf.DUMMYFUNCTION("""COMPUTED_VALUE"""),"")</f>
        <v/>
      </c>
      <c r="M4981" s="13"/>
      <c r="N4981" s="13" t="str">
        <f>IFERROR(__xludf.DUMMYFUNCTION("""COMPUTED_VALUE"""),"")</f>
        <v/>
      </c>
      <c r="O4981" s="13" t="str">
        <f t="shared" si="1"/>
        <v/>
      </c>
    </row>
    <row r="4982" ht="22.5" customHeight="1">
      <c r="B4982" s="13">
        <f>IFERROR(__xludf.DUMMYFUNCTION("""COMPUTED_VALUE"""),4977.0)</f>
        <v>4977</v>
      </c>
      <c r="C4982" s="13" t="str">
        <f>IFERROR(__xludf.DUMMYFUNCTION("""COMPUTED_VALUE"""),"M.2973")</f>
        <v>M.2973</v>
      </c>
      <c r="D4982" s="13" t="str">
        <f>IFERROR(__xludf.DUMMYFUNCTION("""COMPUTED_VALUE"""),"ABBJHBTQ")</f>
        <v>ABBJHBTQ</v>
      </c>
      <c r="E4982" s="14" t="str">
        <f>IFERROR(__xludf.DUMMYFUNCTION("""COMPUTED_VALUE"""),"Heri (BT)")</f>
        <v>Heri (BT)</v>
      </c>
      <c r="F4982" s="14" t="str">
        <f>IFERROR(__xludf.DUMMYFUNCTION("""COMPUTED_VALUE"""),"SELESAI (VIA PERMOHONAN)")</f>
        <v>SELESAI (VIA PERMOHONAN)</v>
      </c>
      <c r="G4982" s="17">
        <f>IFERROR(__xludf.DUMMYFUNCTION("""COMPUTED_VALUE"""),46079.57579108796)</f>
        <v>46079.57579</v>
      </c>
      <c r="H4982" s="14"/>
      <c r="I4982" s="13"/>
      <c r="J4982" s="17" t="str">
        <f>IFERROR(__xludf.DUMMYFUNCTION("""COMPUTED_VALUE"""),"")</f>
        <v/>
      </c>
      <c r="K4982" s="13" t="str">
        <f>IFERROR(__xludf.DUMMYFUNCTION("""COMPUTED_VALUE"""),"BT atau SU Belum Valid")</f>
        <v>BT atau SU Belum Valid</v>
      </c>
      <c r="L4982" s="13" t="str">
        <f>IFERROR(__xludf.DUMMYFUNCTION("""COMPUTED_VALUE"""),"")</f>
        <v/>
      </c>
      <c r="M4982" s="13"/>
      <c r="N4982" s="13" t="str">
        <f>IFERROR(__xludf.DUMMYFUNCTION("""COMPUTED_VALUE"""),"")</f>
        <v/>
      </c>
      <c r="O4982" s="13" t="str">
        <f t="shared" si="1"/>
        <v/>
      </c>
    </row>
    <row r="4983" ht="22.5" customHeight="1">
      <c r="B4983" s="13">
        <f>IFERROR(__xludf.DUMMYFUNCTION("""COMPUTED_VALUE"""),4978.0)</f>
        <v>4978</v>
      </c>
      <c r="C4983" s="13" t="str">
        <f>IFERROR(__xludf.DUMMYFUNCTION("""COMPUTED_VALUE"""),"B 153/ SUMBER AGUNG")</f>
        <v>B 153/ SUMBER AGUNG</v>
      </c>
      <c r="D4983" s="13" t="str">
        <f>IFERROR(__xludf.DUMMYFUNCTION("""COMPUTED_VALUE"""),"ABGHUJIU")</f>
        <v>ABGHUJIU</v>
      </c>
      <c r="E4983" s="14" t="str">
        <f>IFERROR(__xludf.DUMMYFUNCTION("""COMPUTED_VALUE"""),"Heri (BT)")</f>
        <v>Heri (BT)</v>
      </c>
      <c r="F4983" s="14" t="str">
        <f>IFERROR(__xludf.DUMMYFUNCTION("""COMPUTED_VALUE"""),"SELESAI (VIA PERMOHONAN)")</f>
        <v>SELESAI (VIA PERMOHONAN)</v>
      </c>
      <c r="G4983" s="17">
        <f>IFERROR(__xludf.DUMMYFUNCTION("""COMPUTED_VALUE"""),46079.57612949074)</f>
        <v>46079.57613</v>
      </c>
      <c r="H4983" s="14"/>
      <c r="I4983" s="13"/>
      <c r="J4983" s="17" t="str">
        <f>IFERROR(__xludf.DUMMYFUNCTION("""COMPUTED_VALUE"""),"")</f>
        <v/>
      </c>
      <c r="K4983" s="13" t="str">
        <f>IFERROR(__xludf.DUMMYFUNCTION("""COMPUTED_VALUE"""),"BT atau SU Belum Valid")</f>
        <v>BT atau SU Belum Valid</v>
      </c>
      <c r="L4983" s="13" t="str">
        <f>IFERROR(__xludf.DUMMYFUNCTION("""COMPUTED_VALUE"""),"")</f>
        <v/>
      </c>
      <c r="M4983" s="13"/>
      <c r="N4983" s="13" t="str">
        <f>IFERROR(__xludf.DUMMYFUNCTION("""COMPUTED_VALUE"""),"")</f>
        <v/>
      </c>
      <c r="O4983" s="13" t="str">
        <f t="shared" si="1"/>
        <v/>
      </c>
    </row>
    <row r="4984" ht="22.5" customHeight="1">
      <c r="B4984" s="13">
        <f>IFERROR(__xludf.DUMMYFUNCTION("""COMPUTED_VALUE"""),4979.0)</f>
        <v>4979</v>
      </c>
      <c r="C4984" s="13" t="str">
        <f>IFERROR(__xludf.DUMMYFUNCTION("""COMPUTED_VALUE"""),"M 1963/ SUMBER AGUNG")</f>
        <v>M 1963/ SUMBER AGUNG</v>
      </c>
      <c r="D4984" s="13" t="str">
        <f>IFERROR(__xludf.DUMMYFUNCTION("""COMPUTED_VALUE"""),"ABXHOZVM")</f>
        <v>ABXHOZVM</v>
      </c>
      <c r="E4984" s="14" t="str">
        <f>IFERROR(__xludf.DUMMYFUNCTION("""COMPUTED_VALUE"""),"Heri (BT)")</f>
        <v>Heri (BT)</v>
      </c>
      <c r="F4984" s="14" t="str">
        <f>IFERROR(__xludf.DUMMYFUNCTION("""COMPUTED_VALUE"""),"SELESAI (VIA PERMOHONAN)")</f>
        <v>SELESAI (VIA PERMOHONAN)</v>
      </c>
      <c r="G4984" s="17">
        <f>IFERROR(__xludf.DUMMYFUNCTION("""COMPUTED_VALUE"""),46079.57648665509)</f>
        <v>46079.57649</v>
      </c>
      <c r="H4984" s="14"/>
      <c r="I4984" s="13"/>
      <c r="J4984" s="17" t="str">
        <f>IFERROR(__xludf.DUMMYFUNCTION("""COMPUTED_VALUE"""),"")</f>
        <v/>
      </c>
      <c r="K4984" s="13" t="str">
        <f>IFERROR(__xludf.DUMMYFUNCTION("""COMPUTED_VALUE"""),"BT atau SU Belum Valid")</f>
        <v>BT atau SU Belum Valid</v>
      </c>
      <c r="L4984" s="13" t="str">
        <f>IFERROR(__xludf.DUMMYFUNCTION("""COMPUTED_VALUE"""),"")</f>
        <v/>
      </c>
      <c r="M4984" s="13"/>
      <c r="N4984" s="13" t="str">
        <f>IFERROR(__xludf.DUMMYFUNCTION("""COMPUTED_VALUE"""),"")</f>
        <v/>
      </c>
      <c r="O4984" s="13" t="str">
        <f t="shared" si="1"/>
        <v/>
      </c>
    </row>
    <row r="4985" ht="22.5" customHeight="1">
      <c r="B4985" s="13">
        <f>IFERROR(__xludf.DUMMYFUNCTION("""COMPUTED_VALUE"""),4980.0)</f>
        <v>4980</v>
      </c>
      <c r="C4985" s="13">
        <f>IFERROR(__xludf.DUMMYFUNCTION("""COMPUTED_VALUE"""),2529.0)</f>
        <v>2529</v>
      </c>
      <c r="D4985" s="13" t="str">
        <f>IFERROR(__xludf.DUMMYFUNCTION("""COMPUTED_VALUE"""),"ABYGHQWT")</f>
        <v>ABYGHQWT</v>
      </c>
      <c r="E4985" s="14" t="str">
        <f>IFERROR(__xludf.DUMMYFUNCTION("""COMPUTED_VALUE"""),"Heri (BT)")</f>
        <v>Heri (BT)</v>
      </c>
      <c r="F4985" s="14" t="str">
        <f>IFERROR(__xludf.DUMMYFUNCTION("""COMPUTED_VALUE"""),"SELESAI (VIA PERMOHONAN)")</f>
        <v>SELESAI (VIA PERMOHONAN)</v>
      </c>
      <c r="G4985" s="17">
        <f>IFERROR(__xludf.DUMMYFUNCTION("""COMPUTED_VALUE"""),46079.57686269676)</f>
        <v>46079.57686</v>
      </c>
      <c r="H4985" s="14"/>
      <c r="I4985" s="13"/>
      <c r="J4985" s="17" t="str">
        <f>IFERROR(__xludf.DUMMYFUNCTION("""COMPUTED_VALUE"""),"")</f>
        <v/>
      </c>
      <c r="K4985" s="13" t="str">
        <f>IFERROR(__xludf.DUMMYFUNCTION("""COMPUTED_VALUE"""),"BT atau SU Belum Valid")</f>
        <v>BT atau SU Belum Valid</v>
      </c>
      <c r="L4985" s="13" t="str">
        <f>IFERROR(__xludf.DUMMYFUNCTION("""COMPUTED_VALUE"""),"")</f>
        <v/>
      </c>
      <c r="M4985" s="13"/>
      <c r="N4985" s="13" t="str">
        <f>IFERROR(__xludf.DUMMYFUNCTION("""COMPUTED_VALUE"""),"")</f>
        <v/>
      </c>
      <c r="O4985" s="13" t="str">
        <f t="shared" si="1"/>
        <v/>
      </c>
    </row>
    <row r="4986" ht="22.5" customHeight="1">
      <c r="B4986" s="13">
        <f>IFERROR(__xludf.DUMMYFUNCTION("""COMPUTED_VALUE"""),4981.0)</f>
        <v>4981</v>
      </c>
      <c r="C4986" s="13" t="str">
        <f>IFERROR(__xludf.DUMMYFUNCTION("""COMPUTED_VALUE"""),"Shgb 00809")</f>
        <v>Shgb 00809</v>
      </c>
      <c r="D4986" s="13" t="str">
        <f>IFERROR(__xludf.DUMMYFUNCTION("""COMPUTED_VALUE"""),"ABSGWWBW")</f>
        <v>ABSGWWBW</v>
      </c>
      <c r="E4986" s="14" t="str">
        <f>IFERROR(__xludf.DUMMYFUNCTION("""COMPUTED_VALUE"""),"Heri (BT)")</f>
        <v>Heri (BT)</v>
      </c>
      <c r="F4986" s="14" t="str">
        <f>IFERROR(__xludf.DUMMYFUNCTION("""COMPUTED_VALUE"""),"SELESAI (VIA PERMOHONAN)")</f>
        <v>SELESAI (VIA PERMOHONAN)</v>
      </c>
      <c r="G4986" s="17">
        <f>IFERROR(__xludf.DUMMYFUNCTION("""COMPUTED_VALUE"""),46079.57735245371)</f>
        <v>46079.57735</v>
      </c>
      <c r="H4986" s="14"/>
      <c r="I4986" s="13"/>
      <c r="J4986" s="17" t="str">
        <f>IFERROR(__xludf.DUMMYFUNCTION("""COMPUTED_VALUE"""),"")</f>
        <v/>
      </c>
      <c r="K4986" s="13" t="str">
        <f>IFERROR(__xludf.DUMMYFUNCTION("""COMPUTED_VALUE"""),"BT atau SU Belum Valid")</f>
        <v>BT atau SU Belum Valid</v>
      </c>
      <c r="L4986" s="13" t="str">
        <f>IFERROR(__xludf.DUMMYFUNCTION("""COMPUTED_VALUE"""),"")</f>
        <v/>
      </c>
      <c r="M4986" s="13"/>
      <c r="N4986" s="13" t="str">
        <f>IFERROR(__xludf.DUMMYFUNCTION("""COMPUTED_VALUE"""),"")</f>
        <v/>
      </c>
      <c r="O4986" s="13" t="str">
        <f t="shared" si="1"/>
        <v/>
      </c>
    </row>
    <row r="4987" ht="22.5" customHeight="1">
      <c r="B4987" s="13">
        <f>IFERROR(__xludf.DUMMYFUNCTION("""COMPUTED_VALUE"""),4982.0)</f>
        <v>4982</v>
      </c>
      <c r="C4987" s="13" t="str">
        <f>IFERROR(__xludf.DUMMYFUNCTION("""COMPUTED_VALUE"""),"B 817/ SUKARAME BARU")</f>
        <v>B 817/ SUKARAME BARU</v>
      </c>
      <c r="D4987" s="13" t="str">
        <f>IFERROR(__xludf.DUMMYFUNCTION("""COMPUTED_VALUE"""),"ABCGKTYA")</f>
        <v>ABCGKTYA</v>
      </c>
      <c r="E4987" s="14" t="str">
        <f>IFERROR(__xludf.DUMMYFUNCTION("""COMPUTED_VALUE"""),"Heri (BT)")</f>
        <v>Heri (BT)</v>
      </c>
      <c r="F4987" s="14" t="str">
        <f>IFERROR(__xludf.DUMMYFUNCTION("""COMPUTED_VALUE"""),"SELESAI (VIA PERMOHONAN)")</f>
        <v>SELESAI (VIA PERMOHONAN)</v>
      </c>
      <c r="G4987" s="17">
        <f>IFERROR(__xludf.DUMMYFUNCTION("""COMPUTED_VALUE"""),46079.577753935184)</f>
        <v>46079.57775</v>
      </c>
      <c r="H4987" s="14"/>
      <c r="I4987" s="13"/>
      <c r="J4987" s="17" t="str">
        <f>IFERROR(__xludf.DUMMYFUNCTION("""COMPUTED_VALUE"""),"")</f>
        <v/>
      </c>
      <c r="K4987" s="13" t="str">
        <f>IFERROR(__xludf.DUMMYFUNCTION("""COMPUTED_VALUE"""),"BT atau SU Belum Valid")</f>
        <v>BT atau SU Belum Valid</v>
      </c>
      <c r="L4987" s="13" t="str">
        <f>IFERROR(__xludf.DUMMYFUNCTION("""COMPUTED_VALUE"""),"")</f>
        <v/>
      </c>
      <c r="M4987" s="13"/>
      <c r="N4987" s="13" t="str">
        <f>IFERROR(__xludf.DUMMYFUNCTION("""COMPUTED_VALUE"""),"")</f>
        <v/>
      </c>
      <c r="O4987" s="13" t="str">
        <f t="shared" si="1"/>
        <v/>
      </c>
    </row>
    <row r="4988" ht="22.5" customHeight="1">
      <c r="B4988" s="13">
        <f>IFERROR(__xludf.DUMMYFUNCTION("""COMPUTED_VALUE"""),4983.0)</f>
        <v>4983</v>
      </c>
      <c r="C4988" s="13" t="str">
        <f>IFERROR(__xludf.DUMMYFUNCTION("""COMPUTED_VALUE"""),"SHM no :2569")</f>
        <v>SHM no :2569</v>
      </c>
      <c r="D4988" s="13" t="str">
        <f>IFERROR(__xludf.DUMMYFUNCTION("""COMPUTED_VALUE"""),"ABCVZQIN")</f>
        <v>ABCVZQIN</v>
      </c>
      <c r="E4988" s="14" t="str">
        <f>IFERROR(__xludf.DUMMYFUNCTION("""COMPUTED_VALUE"""),"Heri (BT)")</f>
        <v>Heri (BT)</v>
      </c>
      <c r="F4988" s="14" t="str">
        <f>IFERROR(__xludf.DUMMYFUNCTION("""COMPUTED_VALUE"""),"SELESAI (VIA PERMOHONAN)")</f>
        <v>SELESAI (VIA PERMOHONAN)</v>
      </c>
      <c r="G4988" s="17">
        <f>IFERROR(__xludf.DUMMYFUNCTION("""COMPUTED_VALUE"""),46079.57819256945)</f>
        <v>46079.57819</v>
      </c>
      <c r="H4988" s="14"/>
      <c r="I4988" s="13"/>
      <c r="J4988" s="17" t="str">
        <f>IFERROR(__xludf.DUMMYFUNCTION("""COMPUTED_VALUE"""),"")</f>
        <v/>
      </c>
      <c r="K4988" s="13" t="str">
        <f>IFERROR(__xludf.DUMMYFUNCTION("""COMPUTED_VALUE"""),"BT atau SU Belum Valid")</f>
        <v>BT atau SU Belum Valid</v>
      </c>
      <c r="L4988" s="13" t="str">
        <f>IFERROR(__xludf.DUMMYFUNCTION("""COMPUTED_VALUE"""),"")</f>
        <v/>
      </c>
      <c r="M4988" s="13"/>
      <c r="N4988" s="13" t="str">
        <f>IFERROR(__xludf.DUMMYFUNCTION("""COMPUTED_VALUE"""),"")</f>
        <v/>
      </c>
      <c r="O4988" s="13" t="str">
        <f t="shared" si="1"/>
        <v/>
      </c>
    </row>
    <row r="4989" ht="22.5" customHeight="1">
      <c r="B4989" s="13">
        <f>IFERROR(__xludf.DUMMYFUNCTION("""COMPUTED_VALUE"""),4984.0)</f>
        <v>4984</v>
      </c>
      <c r="C4989" s="13" t="str">
        <f>IFERROR(__xludf.DUMMYFUNCTION("""COMPUTED_VALUE"""),"M.5178 RAJABASA JAYA")</f>
        <v>M.5178 RAJABASA JAYA</v>
      </c>
      <c r="D4989" s="13" t="str">
        <f>IFERROR(__xludf.DUMMYFUNCTION("""COMPUTED_VALUE"""),"AB026-ABKTAXJE")</f>
        <v>AB026-ABKTAXJE</v>
      </c>
      <c r="E4989" s="14" t="str">
        <f>IFERROR(__xludf.DUMMYFUNCTION("""COMPUTED_VALUE"""),"Heri (BT)")</f>
        <v>Heri (BT)</v>
      </c>
      <c r="F4989" s="14" t="str">
        <f>IFERROR(__xludf.DUMMYFUNCTION("""COMPUTED_VALUE"""),"SELESAI (VIA PERMOHONAN)")</f>
        <v>SELESAI (VIA PERMOHONAN)</v>
      </c>
      <c r="G4989" s="17">
        <f>IFERROR(__xludf.DUMMYFUNCTION("""COMPUTED_VALUE"""),46079.57849410879)</f>
        <v>46079.57849</v>
      </c>
      <c r="H4989" s="14"/>
      <c r="I4989" s="13"/>
      <c r="J4989" s="17" t="str">
        <f>IFERROR(__xludf.DUMMYFUNCTION("""COMPUTED_VALUE"""),"")</f>
        <v/>
      </c>
      <c r="K4989" s="13" t="str">
        <f>IFERROR(__xludf.DUMMYFUNCTION("""COMPUTED_VALUE"""),"BT atau SU Belum Valid")</f>
        <v>BT atau SU Belum Valid</v>
      </c>
      <c r="L4989" s="13" t="str">
        <f>IFERROR(__xludf.DUMMYFUNCTION("""COMPUTED_VALUE"""),"")</f>
        <v/>
      </c>
      <c r="M4989" s="13"/>
      <c r="N4989" s="13" t="str">
        <f>IFERROR(__xludf.DUMMYFUNCTION("""COMPUTED_VALUE"""),"")</f>
        <v/>
      </c>
      <c r="O4989" s="13" t="str">
        <f t="shared" si="1"/>
        <v/>
      </c>
    </row>
    <row r="4990" ht="22.5" customHeight="1">
      <c r="B4990" s="13">
        <f>IFERROR(__xludf.DUMMYFUNCTION("""COMPUTED_VALUE"""),4985.0)</f>
        <v>4985</v>
      </c>
      <c r="C4990" s="13" t="str">
        <f>IFERROR(__xludf.DUMMYFUNCTION("""COMPUTED_VALUE"""),"M.3008  SUKARAME II")</f>
        <v>M.3008  SUKARAME II</v>
      </c>
      <c r="D4990" s="13" t="str">
        <f>IFERROR(__xludf.DUMMYFUNCTION("""COMPUTED_VALUE"""),"ABAOQUPT")</f>
        <v>ABAOQUPT</v>
      </c>
      <c r="E4990" s="14" t="str">
        <f>IFERROR(__xludf.DUMMYFUNCTION("""COMPUTED_VALUE"""),"Heri (BT)")</f>
        <v>Heri (BT)</v>
      </c>
      <c r="F4990" s="14" t="str">
        <f>IFERROR(__xludf.DUMMYFUNCTION("""COMPUTED_VALUE"""),"SELESAI (VIA PERMOHONAN)")</f>
        <v>SELESAI (VIA PERMOHONAN)</v>
      </c>
      <c r="G4990" s="17">
        <f>IFERROR(__xludf.DUMMYFUNCTION("""COMPUTED_VALUE"""),46079.57881537037)</f>
        <v>46079.57882</v>
      </c>
      <c r="H4990" s="14"/>
      <c r="I4990" s="13"/>
      <c r="J4990" s="17" t="str">
        <f>IFERROR(__xludf.DUMMYFUNCTION("""COMPUTED_VALUE"""),"")</f>
        <v/>
      </c>
      <c r="K4990" s="13" t="str">
        <f>IFERROR(__xludf.DUMMYFUNCTION("""COMPUTED_VALUE"""),"BT atau SU Belum Valid")</f>
        <v>BT atau SU Belum Valid</v>
      </c>
      <c r="L4990" s="13" t="str">
        <f>IFERROR(__xludf.DUMMYFUNCTION("""COMPUTED_VALUE"""),"")</f>
        <v/>
      </c>
      <c r="M4990" s="13"/>
      <c r="N4990" s="13" t="str">
        <f>IFERROR(__xludf.DUMMYFUNCTION("""COMPUTED_VALUE"""),"")</f>
        <v/>
      </c>
      <c r="O4990" s="13" t="str">
        <f t="shared" si="1"/>
        <v/>
      </c>
    </row>
    <row r="4991" ht="22.5" customHeight="1">
      <c r="B4991" s="13">
        <f>IFERROR(__xludf.DUMMYFUNCTION("""COMPUTED_VALUE"""),4986.0)</f>
        <v>4986</v>
      </c>
      <c r="C4991" s="13" t="str">
        <f>IFERROR(__xludf.DUMMYFUNCTION("""COMPUTED_VALUE"""),"HM.16979/Sukarame ")</f>
        <v>HM.16979/Sukarame </v>
      </c>
      <c r="D4991" s="13" t="str">
        <f>IFERROR(__xludf.DUMMYFUNCTION("""COMPUTED_VALUE"""),"ABQOYCQX/AB042")</f>
        <v>ABQOYCQX/AB042</v>
      </c>
      <c r="E4991" s="14" t="str">
        <f>IFERROR(__xludf.DUMMYFUNCTION("""COMPUTED_VALUE"""),"Heri (BT)")</f>
        <v>Heri (BT)</v>
      </c>
      <c r="F4991" s="14" t="str">
        <f>IFERROR(__xludf.DUMMYFUNCTION("""COMPUTED_VALUE"""),"SELESAI (VIA PERMOHONAN)")</f>
        <v>SELESAI (VIA PERMOHONAN)</v>
      </c>
      <c r="G4991" s="17">
        <f>IFERROR(__xludf.DUMMYFUNCTION("""COMPUTED_VALUE"""),46079.57920552083)</f>
        <v>46079.57921</v>
      </c>
      <c r="H4991" s="14"/>
      <c r="I4991" s="13"/>
      <c r="J4991" s="17" t="str">
        <f>IFERROR(__xludf.DUMMYFUNCTION("""COMPUTED_VALUE"""),"")</f>
        <v/>
      </c>
      <c r="K4991" s="13" t="str">
        <f>IFERROR(__xludf.DUMMYFUNCTION("""COMPUTED_VALUE"""),"BT atau SU Belum Valid")</f>
        <v>BT atau SU Belum Valid</v>
      </c>
      <c r="L4991" s="13" t="str">
        <f>IFERROR(__xludf.DUMMYFUNCTION("""COMPUTED_VALUE"""),"")</f>
        <v/>
      </c>
      <c r="M4991" s="13"/>
      <c r="N4991" s="13" t="str">
        <f>IFERROR(__xludf.DUMMYFUNCTION("""COMPUTED_VALUE"""),"")</f>
        <v/>
      </c>
      <c r="O4991" s="13" t="str">
        <f t="shared" si="1"/>
        <v/>
      </c>
    </row>
    <row r="4992" ht="22.5" customHeight="1">
      <c r="B4992" s="13">
        <f>IFERROR(__xludf.DUMMYFUNCTION("""COMPUTED_VALUE"""),4987.0)</f>
        <v>4987</v>
      </c>
      <c r="C4992" s="13" t="str">
        <f>IFERROR(__xludf.DUMMYFUNCTION("""COMPUTED_VALUE"""),"M 5170/Way Kandis")</f>
        <v>M 5170/Way Kandis</v>
      </c>
      <c r="D4992" s="13" t="str">
        <f>IFERROR(__xludf.DUMMYFUNCTION("""COMPUTED_VALUE"""),"AB089/ABWIWLAS")</f>
        <v>AB089/ABWIWLAS</v>
      </c>
      <c r="E4992" s="14" t="str">
        <f>IFERROR(__xludf.DUMMYFUNCTION("""COMPUTED_VALUE"""),"Heri (BT)")</f>
        <v>Heri (BT)</v>
      </c>
      <c r="F4992" s="14" t="str">
        <f>IFERROR(__xludf.DUMMYFUNCTION("""COMPUTED_VALUE"""),"SELESAI (VIA PERMOHONAN)")</f>
        <v>SELESAI (VIA PERMOHONAN)</v>
      </c>
      <c r="G4992" s="17">
        <f>IFERROR(__xludf.DUMMYFUNCTION("""COMPUTED_VALUE"""),46079.57954005787)</f>
        <v>46079.57954</v>
      </c>
      <c r="H4992" s="14"/>
      <c r="I4992" s="13"/>
      <c r="J4992" s="17" t="str">
        <f>IFERROR(__xludf.DUMMYFUNCTION("""COMPUTED_VALUE"""),"")</f>
        <v/>
      </c>
      <c r="K4992" s="13" t="str">
        <f>IFERROR(__xludf.DUMMYFUNCTION("""COMPUTED_VALUE"""),"BT atau SU Belum Valid")</f>
        <v>BT atau SU Belum Valid</v>
      </c>
      <c r="L4992" s="13" t="str">
        <f>IFERROR(__xludf.DUMMYFUNCTION("""COMPUTED_VALUE"""),"")</f>
        <v/>
      </c>
      <c r="M4992" s="13"/>
      <c r="N4992" s="13" t="str">
        <f>IFERROR(__xludf.DUMMYFUNCTION("""COMPUTED_VALUE"""),"")</f>
        <v/>
      </c>
      <c r="O4992" s="13" t="str">
        <f t="shared" si="1"/>
        <v/>
      </c>
    </row>
    <row r="4993" ht="22.5" customHeight="1">
      <c r="B4993" s="13">
        <f>IFERROR(__xludf.DUMMYFUNCTION("""COMPUTED_VALUE"""),4988.0)</f>
        <v>4988</v>
      </c>
      <c r="C4993" s="13" t="str">
        <f>IFERROR(__xludf.DUMMYFUNCTION("""COMPUTED_VALUE"""),"M. 1025/WK")</f>
        <v>M. 1025/WK</v>
      </c>
      <c r="D4993" s="13" t="str">
        <f>IFERROR(__xludf.DUMMYFUNCTION("""COMPUTED_VALUE"""),"ABETNNXK")</f>
        <v>ABETNNXK</v>
      </c>
      <c r="E4993" s="14" t="str">
        <f>IFERROR(__xludf.DUMMYFUNCTION("""COMPUTED_VALUE"""),"Heri (BT)")</f>
        <v>Heri (BT)</v>
      </c>
      <c r="F4993" s="14" t="str">
        <f>IFERROR(__xludf.DUMMYFUNCTION("""COMPUTED_VALUE"""),"SELESAI (VIA PERMOHONAN)")</f>
        <v>SELESAI (VIA PERMOHONAN)</v>
      </c>
      <c r="G4993" s="17">
        <f>IFERROR(__xludf.DUMMYFUNCTION("""COMPUTED_VALUE"""),46079.57992158565)</f>
        <v>46079.57992</v>
      </c>
      <c r="H4993" s="14"/>
      <c r="I4993" s="13"/>
      <c r="J4993" s="17" t="str">
        <f>IFERROR(__xludf.DUMMYFUNCTION("""COMPUTED_VALUE"""),"")</f>
        <v/>
      </c>
      <c r="K4993" s="13" t="str">
        <f>IFERROR(__xludf.DUMMYFUNCTION("""COMPUTED_VALUE"""),"BT atau SU Belum Valid")</f>
        <v>BT atau SU Belum Valid</v>
      </c>
      <c r="L4993" s="13" t="str">
        <f>IFERROR(__xludf.DUMMYFUNCTION("""COMPUTED_VALUE"""),"")</f>
        <v/>
      </c>
      <c r="M4993" s="13"/>
      <c r="N4993" s="13" t="str">
        <f>IFERROR(__xludf.DUMMYFUNCTION("""COMPUTED_VALUE"""),"")</f>
        <v/>
      </c>
      <c r="O4993" s="13" t="str">
        <f t="shared" si="1"/>
        <v/>
      </c>
    </row>
    <row r="4994" ht="22.5" customHeight="1">
      <c r="B4994" s="13">
        <f>IFERROR(__xludf.DUMMYFUNCTION("""COMPUTED_VALUE"""),4989.0)</f>
        <v>4989</v>
      </c>
      <c r="C4994" s="13" t="str">
        <f>IFERROR(__xludf.DUMMYFUNCTION("""COMPUTED_VALUE"""),"M.617/Sukarame Baru")</f>
        <v>M.617/Sukarame Baru</v>
      </c>
      <c r="D4994" s="13" t="str">
        <f>IFERROR(__xludf.DUMMYFUNCTION("""COMPUTED_VALUE"""),"ABUJHLGL/AB028")</f>
        <v>ABUJHLGL/AB028</v>
      </c>
      <c r="E4994" s="14" t="str">
        <f>IFERROR(__xludf.DUMMYFUNCTION("""COMPUTED_VALUE"""),"Heri (BT)")</f>
        <v>Heri (BT)</v>
      </c>
      <c r="F4994" s="14" t="str">
        <f>IFERROR(__xludf.DUMMYFUNCTION("""COMPUTED_VALUE"""),"SELESAI (VIA PERMOHONAN)")</f>
        <v>SELESAI (VIA PERMOHONAN)</v>
      </c>
      <c r="G4994" s="17">
        <f>IFERROR(__xludf.DUMMYFUNCTION("""COMPUTED_VALUE"""),46079.58024355324)</f>
        <v>46079.58024</v>
      </c>
      <c r="H4994" s="14"/>
      <c r="I4994" s="13"/>
      <c r="J4994" s="17" t="str">
        <f>IFERROR(__xludf.DUMMYFUNCTION("""COMPUTED_VALUE"""),"")</f>
        <v/>
      </c>
      <c r="K4994" s="13" t="str">
        <f>IFERROR(__xludf.DUMMYFUNCTION("""COMPUTED_VALUE"""),"BT atau SU Belum Valid")</f>
        <v>BT atau SU Belum Valid</v>
      </c>
      <c r="L4994" s="13" t="str">
        <f>IFERROR(__xludf.DUMMYFUNCTION("""COMPUTED_VALUE"""),"")</f>
        <v/>
      </c>
      <c r="M4994" s="13"/>
      <c r="N4994" s="13" t="str">
        <f>IFERROR(__xludf.DUMMYFUNCTION("""COMPUTED_VALUE"""),"")</f>
        <v/>
      </c>
      <c r="O4994" s="13" t="str">
        <f t="shared" si="1"/>
        <v/>
      </c>
    </row>
    <row r="4995" ht="22.5" customHeight="1">
      <c r="B4995" s="13">
        <f>IFERROR(__xludf.DUMMYFUNCTION("""COMPUTED_VALUE"""),4990.0)</f>
        <v>4990</v>
      </c>
      <c r="C4995" s="13" t="str">
        <f>IFERROR(__xludf.DUMMYFUNCTION("""COMPUTED_VALUE"""),"M.9770 GEDONG MENENG")</f>
        <v>M.9770 GEDONG MENENG</v>
      </c>
      <c r="D4995" s="13" t="str">
        <f>IFERROR(__xludf.DUMMYFUNCTION("""COMPUTED_VALUE"""),"ASAXGRX")</f>
        <v>ASAXGRX</v>
      </c>
      <c r="E4995" s="14" t="str">
        <f>IFERROR(__xludf.DUMMYFUNCTION("""COMPUTED_VALUE"""),"Heri (BT)")</f>
        <v>Heri (BT)</v>
      </c>
      <c r="F4995" s="14" t="str">
        <f>IFERROR(__xludf.DUMMYFUNCTION("""COMPUTED_VALUE"""),"SELESAI (VIA PERMOHONAN)")</f>
        <v>SELESAI (VIA PERMOHONAN)</v>
      </c>
      <c r="G4995" s="17">
        <f>IFERROR(__xludf.DUMMYFUNCTION("""COMPUTED_VALUE"""),46079.65857680555)</f>
        <v>46079.65858</v>
      </c>
      <c r="H4995" s="14"/>
      <c r="I4995" s="13"/>
      <c r="J4995" s="17" t="str">
        <f>IFERROR(__xludf.DUMMYFUNCTION("""COMPUTED_VALUE"""),"")</f>
        <v/>
      </c>
      <c r="K4995" s="13" t="str">
        <f>IFERROR(__xludf.DUMMYFUNCTION("""COMPUTED_VALUE"""),"BT atau SU Belum Valid")</f>
        <v>BT atau SU Belum Valid</v>
      </c>
      <c r="L4995" s="13" t="str">
        <f>IFERROR(__xludf.DUMMYFUNCTION("""COMPUTED_VALUE"""),"")</f>
        <v/>
      </c>
      <c r="M4995" s="13"/>
      <c r="N4995" s="13" t="str">
        <f>IFERROR(__xludf.DUMMYFUNCTION("""COMPUTED_VALUE"""),"")</f>
        <v/>
      </c>
      <c r="O4995" s="13" t="str">
        <f t="shared" si="1"/>
        <v/>
      </c>
    </row>
    <row r="4996" ht="22.5" customHeight="1">
      <c r="B4996" s="13">
        <f>IFERROR(__xludf.DUMMYFUNCTION("""COMPUTED_VALUE"""),4991.0)</f>
        <v>4991</v>
      </c>
      <c r="C4996" s="13" t="str">
        <f>IFERROR(__xludf.DUMMYFUNCTION("""COMPUTED_VALUE"""),"M.9824/sidodadi")</f>
        <v>M.9824/sidodadi</v>
      </c>
      <c r="D4996" s="13" t="str">
        <f>IFERROR(__xludf.DUMMYFUNCTION("""COMPUTED_VALUE"""),"ABZRGWNQ")</f>
        <v>ABZRGWNQ</v>
      </c>
      <c r="E4996" s="14" t="str">
        <f>IFERROR(__xludf.DUMMYFUNCTION("""COMPUTED_VALUE"""),"Heri (BT)")</f>
        <v>Heri (BT)</v>
      </c>
      <c r="F4996" s="14" t="str">
        <f>IFERROR(__xludf.DUMMYFUNCTION("""COMPUTED_VALUE"""),"SELESAI (VIA PERMOHONAN)")</f>
        <v>SELESAI (VIA PERMOHONAN)</v>
      </c>
      <c r="G4996" s="17">
        <f>IFERROR(__xludf.DUMMYFUNCTION("""COMPUTED_VALUE"""),46083.394992650465)</f>
        <v>46083.39499</v>
      </c>
      <c r="H4996" s="14"/>
      <c r="I4996" s="13"/>
      <c r="J4996" s="17" t="str">
        <f>IFERROR(__xludf.DUMMYFUNCTION("""COMPUTED_VALUE"""),"")</f>
        <v/>
      </c>
      <c r="K4996" s="13" t="str">
        <f>IFERROR(__xludf.DUMMYFUNCTION("""COMPUTED_VALUE"""),"BT atau SU Belum Valid")</f>
        <v>BT atau SU Belum Valid</v>
      </c>
      <c r="L4996" s="13" t="str">
        <f>IFERROR(__xludf.DUMMYFUNCTION("""COMPUTED_VALUE"""),"")</f>
        <v/>
      </c>
      <c r="M4996" s="13"/>
      <c r="N4996" s="13" t="str">
        <f>IFERROR(__xludf.DUMMYFUNCTION("""COMPUTED_VALUE"""),"")</f>
        <v/>
      </c>
      <c r="O4996" s="13" t="str">
        <f t="shared" si="1"/>
        <v/>
      </c>
    </row>
    <row r="4997" ht="22.5" customHeight="1">
      <c r="B4997" s="13">
        <f>IFERROR(__xludf.DUMMYFUNCTION("""COMPUTED_VALUE"""),4992.0)</f>
        <v>4992</v>
      </c>
      <c r="C4997" s="13" t="str">
        <f>IFERROR(__xludf.DUMMYFUNCTION("""COMPUTED_VALUE"""),"M.2447/ B.W")</f>
        <v>M.2447/ B.W</v>
      </c>
      <c r="D4997" s="13" t="str">
        <f>IFERROR(__xludf.DUMMYFUNCTION("""COMPUTED_VALUE"""),"ABMDASLL")</f>
        <v>ABMDASLL</v>
      </c>
      <c r="E4997" s="14" t="str">
        <f>IFERROR(__xludf.DUMMYFUNCTION("""COMPUTED_VALUE"""),"Heri (BT)")</f>
        <v>Heri (BT)</v>
      </c>
      <c r="F4997" s="14" t="str">
        <f>IFERROR(__xludf.DUMMYFUNCTION("""COMPUTED_VALUE"""),"SELESAI (VIA PERMOHONAN)")</f>
        <v>SELESAI (VIA PERMOHONAN)</v>
      </c>
      <c r="G4997" s="17">
        <f>IFERROR(__xludf.DUMMYFUNCTION("""COMPUTED_VALUE"""),46083.39560019676)</f>
        <v>46083.3956</v>
      </c>
      <c r="H4997" s="14"/>
      <c r="I4997" s="13"/>
      <c r="J4997" s="17" t="str">
        <f>IFERROR(__xludf.DUMMYFUNCTION("""COMPUTED_VALUE"""),"")</f>
        <v/>
      </c>
      <c r="K4997" s="13" t="str">
        <f>IFERROR(__xludf.DUMMYFUNCTION("""COMPUTED_VALUE"""),"BT atau SU Belum Valid")</f>
        <v>BT atau SU Belum Valid</v>
      </c>
      <c r="L4997" s="13" t="str">
        <f>IFERROR(__xludf.DUMMYFUNCTION("""COMPUTED_VALUE"""),"")</f>
        <v/>
      </c>
      <c r="M4997" s="13"/>
      <c r="N4997" s="13" t="str">
        <f>IFERROR(__xludf.DUMMYFUNCTION("""COMPUTED_VALUE"""),"")</f>
        <v/>
      </c>
      <c r="O4997" s="13" t="str">
        <f t="shared" si="1"/>
        <v/>
      </c>
    </row>
    <row r="4998" ht="22.5" customHeight="1">
      <c r="B4998" s="13">
        <f>IFERROR(__xludf.DUMMYFUNCTION("""COMPUTED_VALUE"""),4993.0)</f>
        <v>4993</v>
      </c>
      <c r="C4998" s="13" t="str">
        <f>IFERROR(__xludf.DUMMYFUNCTION("""COMPUTED_VALUE"""),"M.10658/sukamenanti")</f>
        <v>M.10658/sukamenanti</v>
      </c>
      <c r="D4998" s="13" t="str">
        <f>IFERROR(__xludf.DUMMYFUNCTION("""COMPUTED_VALUE"""),"AB037/ABNUSSRU")</f>
        <v>AB037/ABNUSSRU</v>
      </c>
      <c r="E4998" s="14" t="str">
        <f>IFERROR(__xludf.DUMMYFUNCTION("""COMPUTED_VALUE"""),"Heri (BT)")</f>
        <v>Heri (BT)</v>
      </c>
      <c r="F4998" s="14" t="str">
        <f>IFERROR(__xludf.DUMMYFUNCTION("""COMPUTED_VALUE"""),"SELESAI (VIA PERMOHONAN)")</f>
        <v>SELESAI (VIA PERMOHONAN)</v>
      </c>
      <c r="G4998" s="17">
        <f>IFERROR(__xludf.DUMMYFUNCTION("""COMPUTED_VALUE"""),46083.395874548616)</f>
        <v>46083.39587</v>
      </c>
      <c r="H4998" s="14"/>
      <c r="I4998" s="13"/>
      <c r="J4998" s="17" t="str">
        <f>IFERROR(__xludf.DUMMYFUNCTION("""COMPUTED_VALUE"""),"")</f>
        <v/>
      </c>
      <c r="K4998" s="13" t="str">
        <f>IFERROR(__xludf.DUMMYFUNCTION("""COMPUTED_VALUE"""),"BT atau SU Belum Valid")</f>
        <v>BT atau SU Belum Valid</v>
      </c>
      <c r="L4998" s="13" t="str">
        <f>IFERROR(__xludf.DUMMYFUNCTION("""COMPUTED_VALUE"""),"")</f>
        <v/>
      </c>
      <c r="M4998" s="13"/>
      <c r="N4998" s="13" t="str">
        <f>IFERROR(__xludf.DUMMYFUNCTION("""COMPUTED_VALUE"""),"")</f>
        <v/>
      </c>
      <c r="O4998" s="13" t="str">
        <f t="shared" si="1"/>
        <v/>
      </c>
    </row>
    <row r="4999" ht="22.5" customHeight="1">
      <c r="B4999" s="13">
        <f>IFERROR(__xludf.DUMMYFUNCTION("""COMPUTED_VALUE"""),4994.0)</f>
        <v>4994</v>
      </c>
      <c r="C4999" s="13" t="str">
        <f>IFERROR(__xludf.DUMMYFUNCTION("""COMPUTED_VALUE"""),"M.3087/ gedong air")</f>
        <v>M.3087/ gedong air</v>
      </c>
      <c r="D4999" s="13" t="str">
        <f>IFERROR(__xludf.DUMMYFUNCTION("""COMPUTED_VALUE"""),"AB042/ABYAHHDT")</f>
        <v>AB042/ABYAHHDT</v>
      </c>
      <c r="E4999" s="14" t="str">
        <f>IFERROR(__xludf.DUMMYFUNCTION("""COMPUTED_VALUE"""),"Heri (BT)")</f>
        <v>Heri (BT)</v>
      </c>
      <c r="F4999" s="14" t="str">
        <f>IFERROR(__xludf.DUMMYFUNCTION("""COMPUTED_VALUE"""),"SELESAI (VIA PERMOHONAN)")</f>
        <v>SELESAI (VIA PERMOHONAN)</v>
      </c>
      <c r="G4999" s="17">
        <f>IFERROR(__xludf.DUMMYFUNCTION("""COMPUTED_VALUE"""),46083.39605685185)</f>
        <v>46083.39606</v>
      </c>
      <c r="H4999" s="14"/>
      <c r="I4999" s="13"/>
      <c r="J4999" s="17" t="str">
        <f>IFERROR(__xludf.DUMMYFUNCTION("""COMPUTED_VALUE"""),"")</f>
        <v/>
      </c>
      <c r="K4999" s="13" t="str">
        <f>IFERROR(__xludf.DUMMYFUNCTION("""COMPUTED_VALUE"""),"BT atau SU Belum Valid")</f>
        <v>BT atau SU Belum Valid</v>
      </c>
      <c r="L4999" s="13" t="str">
        <f>IFERROR(__xludf.DUMMYFUNCTION("""COMPUTED_VALUE"""),"")</f>
        <v/>
      </c>
      <c r="M4999" s="13"/>
      <c r="N4999" s="13" t="str">
        <f>IFERROR(__xludf.DUMMYFUNCTION("""COMPUTED_VALUE"""),"")</f>
        <v/>
      </c>
      <c r="O4999" s="13" t="str">
        <f t="shared" si="1"/>
        <v/>
      </c>
    </row>
    <row r="5000" ht="22.5" customHeight="1">
      <c r="B5000" s="13">
        <f>IFERROR(__xludf.DUMMYFUNCTION("""COMPUTED_VALUE"""),4995.0)</f>
        <v>4995</v>
      </c>
      <c r="C5000" s="13" t="str">
        <f>IFERROR(__xludf.DUMMYFUNCTION("""COMPUTED_VALUE"""),"M. 1426/sumur puteri")</f>
        <v>M. 1426/sumur puteri</v>
      </c>
      <c r="D5000" s="13" t="str">
        <f>IFERROR(__xludf.DUMMYFUNCTION("""COMPUTED_VALUE"""),"ABQXLASF/Ab013")</f>
        <v>ABQXLASF/Ab013</v>
      </c>
      <c r="E5000" s="14" t="str">
        <f>IFERROR(__xludf.DUMMYFUNCTION("""COMPUTED_VALUE"""),"Heri (BT)")</f>
        <v>Heri (BT)</v>
      </c>
      <c r="F5000" s="14" t="str">
        <f>IFERROR(__xludf.DUMMYFUNCTION("""COMPUTED_VALUE"""),"SELESAI (VIA PERMOHONAN)")</f>
        <v>SELESAI (VIA PERMOHONAN)</v>
      </c>
      <c r="G5000" s="17">
        <f>IFERROR(__xludf.DUMMYFUNCTION("""COMPUTED_VALUE"""),46083.39682917824)</f>
        <v>46083.39683</v>
      </c>
      <c r="H5000" s="14"/>
      <c r="I5000" s="13"/>
      <c r="J5000" s="17" t="str">
        <f>IFERROR(__xludf.DUMMYFUNCTION("""COMPUTED_VALUE"""),"")</f>
        <v/>
      </c>
      <c r="K5000" s="13" t="str">
        <f>IFERROR(__xludf.DUMMYFUNCTION("""COMPUTED_VALUE"""),"BT atau SU Belum Valid")</f>
        <v>BT atau SU Belum Valid</v>
      </c>
      <c r="L5000" s="13" t="str">
        <f>IFERROR(__xludf.DUMMYFUNCTION("""COMPUTED_VALUE"""),"")</f>
        <v/>
      </c>
      <c r="M5000" s="13"/>
      <c r="N5000" s="13" t="str">
        <f>IFERROR(__xludf.DUMMYFUNCTION("""COMPUTED_VALUE"""),"")</f>
        <v/>
      </c>
      <c r="O5000" s="13" t="str">
        <f t="shared" si="1"/>
        <v/>
      </c>
    </row>
    <row r="5001" ht="22.5" customHeight="1">
      <c r="B5001" s="13">
        <f>IFERROR(__xludf.DUMMYFUNCTION("""COMPUTED_VALUE"""),4996.0)</f>
        <v>4996</v>
      </c>
      <c r="C5001" s="13" t="str">
        <f>IFERROR(__xludf.DUMMYFUNCTION("""COMPUTED_VALUE"""),"M.496/Beringin Raya")</f>
        <v>M.496/Beringin Raya</v>
      </c>
      <c r="D5001" s="13" t="str">
        <f>IFERROR(__xludf.DUMMYFUNCTION("""COMPUTED_VALUE"""),"ABUMWIMK/AB042")</f>
        <v>ABUMWIMK/AB042</v>
      </c>
      <c r="E5001" s="14" t="str">
        <f>IFERROR(__xludf.DUMMYFUNCTION("""COMPUTED_VALUE"""),"Heri (BT)")</f>
        <v>Heri (BT)</v>
      </c>
      <c r="F5001" s="14" t="str">
        <f>IFERROR(__xludf.DUMMYFUNCTION("""COMPUTED_VALUE"""),"SELESAI (VIA PERMOHONAN)")</f>
        <v>SELESAI (VIA PERMOHONAN)</v>
      </c>
      <c r="G5001" s="17">
        <f>IFERROR(__xludf.DUMMYFUNCTION("""COMPUTED_VALUE"""),46083.39721019676)</f>
        <v>46083.39721</v>
      </c>
      <c r="H5001" s="14"/>
      <c r="I5001" s="13"/>
      <c r="J5001" s="17" t="str">
        <f>IFERROR(__xludf.DUMMYFUNCTION("""COMPUTED_VALUE"""),"")</f>
        <v/>
      </c>
      <c r="K5001" s="13" t="str">
        <f>IFERROR(__xludf.DUMMYFUNCTION("""COMPUTED_VALUE"""),"BT atau SU Belum Valid")</f>
        <v>BT atau SU Belum Valid</v>
      </c>
      <c r="L5001" s="13" t="str">
        <f>IFERROR(__xludf.DUMMYFUNCTION("""COMPUTED_VALUE"""),"")</f>
        <v/>
      </c>
      <c r="M5001" s="13"/>
      <c r="N5001" s="13" t="str">
        <f>IFERROR(__xludf.DUMMYFUNCTION("""COMPUTED_VALUE"""),"")</f>
        <v/>
      </c>
      <c r="O5001" s="13" t="str">
        <f t="shared" si="1"/>
        <v/>
      </c>
    </row>
    <row r="5002" ht="22.5" customHeight="1">
      <c r="B5002" s="13">
        <f>IFERROR(__xludf.DUMMYFUNCTION("""COMPUTED_VALUE"""),4997.0)</f>
        <v>4997</v>
      </c>
      <c r="C5002" s="13" t="str">
        <f>IFERROR(__xludf.DUMMYFUNCTION("""COMPUTED_VALUE"""),"SHM.12402/jagabaya II ")</f>
        <v>SHM.12402/jagabaya II </v>
      </c>
      <c r="D5002" s="13" t="str">
        <f>IFERROR(__xludf.DUMMYFUNCTION("""COMPUTED_VALUE"""),"ABFQPXFI/AB030")</f>
        <v>ABFQPXFI/AB030</v>
      </c>
      <c r="E5002" s="14" t="str">
        <f>IFERROR(__xludf.DUMMYFUNCTION("""COMPUTED_VALUE"""),"Heri (BT)")</f>
        <v>Heri (BT)</v>
      </c>
      <c r="F5002" s="14" t="str">
        <f>IFERROR(__xludf.DUMMYFUNCTION("""COMPUTED_VALUE"""),"SELESAI (VIA PERMOHONAN)")</f>
        <v>SELESAI (VIA PERMOHONAN)</v>
      </c>
      <c r="G5002" s="17">
        <f>IFERROR(__xludf.DUMMYFUNCTION("""COMPUTED_VALUE"""),46083.39746744213)</f>
        <v>46083.39747</v>
      </c>
      <c r="H5002" s="14"/>
      <c r="I5002" s="13"/>
      <c r="J5002" s="17" t="str">
        <f>IFERROR(__xludf.DUMMYFUNCTION("""COMPUTED_VALUE"""),"")</f>
        <v/>
      </c>
      <c r="K5002" s="13" t="str">
        <f>IFERROR(__xludf.DUMMYFUNCTION("""COMPUTED_VALUE"""),"BT atau SU Belum Valid")</f>
        <v>BT atau SU Belum Valid</v>
      </c>
      <c r="L5002" s="13" t="str">
        <f>IFERROR(__xludf.DUMMYFUNCTION("""COMPUTED_VALUE"""),"")</f>
        <v/>
      </c>
      <c r="M5002" s="13"/>
      <c r="N5002" s="13" t="str">
        <f>IFERROR(__xludf.DUMMYFUNCTION("""COMPUTED_VALUE"""),"")</f>
        <v/>
      </c>
      <c r="O5002" s="13" t="str">
        <f t="shared" si="1"/>
        <v/>
      </c>
    </row>
    <row r="5003" ht="22.5" customHeight="1">
      <c r="B5003" s="13">
        <f>IFERROR(__xludf.DUMMYFUNCTION("""COMPUTED_VALUE"""),4998.0)</f>
        <v>4998</v>
      </c>
      <c r="C5003" s="13" t="str">
        <f>IFERROR(__xludf.DUMMYFUNCTION("""COMPUTED_VALUE"""),"M.10573 KEDATON")</f>
        <v>M.10573 KEDATON</v>
      </c>
      <c r="D5003" s="13" t="str">
        <f>IFERROR(__xludf.DUMMYFUNCTION("""COMPUTED_VALUE"""),"AB076")</f>
        <v>AB076</v>
      </c>
      <c r="E5003" s="14" t="str">
        <f>IFERROR(__xludf.DUMMYFUNCTION("""COMPUTED_VALUE"""),"Heri (BT)")</f>
        <v>Heri (BT)</v>
      </c>
      <c r="F5003" s="14" t="str">
        <f>IFERROR(__xludf.DUMMYFUNCTION("""COMPUTED_VALUE"""),"SELESAI (VIA PERMOHONAN)")</f>
        <v>SELESAI (VIA PERMOHONAN)</v>
      </c>
      <c r="G5003" s="17">
        <f>IFERROR(__xludf.DUMMYFUNCTION("""COMPUTED_VALUE"""),46083.397705138894)</f>
        <v>46083.39771</v>
      </c>
      <c r="H5003" s="14"/>
      <c r="I5003" s="13"/>
      <c r="J5003" s="17" t="str">
        <f>IFERROR(__xludf.DUMMYFUNCTION("""COMPUTED_VALUE"""),"")</f>
        <v/>
      </c>
      <c r="K5003" s="13" t="str">
        <f>IFERROR(__xludf.DUMMYFUNCTION("""COMPUTED_VALUE"""),"BT atau SU Belum Valid")</f>
        <v>BT atau SU Belum Valid</v>
      </c>
      <c r="L5003" s="13" t="str">
        <f>IFERROR(__xludf.DUMMYFUNCTION("""COMPUTED_VALUE"""),"")</f>
        <v/>
      </c>
      <c r="M5003" s="13"/>
      <c r="N5003" s="13" t="str">
        <f>IFERROR(__xludf.DUMMYFUNCTION("""COMPUTED_VALUE"""),"")</f>
        <v/>
      </c>
      <c r="O5003" s="13" t="str">
        <f t="shared" si="1"/>
        <v/>
      </c>
    </row>
    <row r="5004" ht="22.5" customHeight="1">
      <c r="B5004" s="13">
        <f>IFERROR(__xludf.DUMMYFUNCTION("""COMPUTED_VALUE"""),4999.0)</f>
        <v>4999</v>
      </c>
      <c r="C5004" s="13" t="str">
        <f>IFERROR(__xludf.DUMMYFUNCTION("""COMPUTED_VALUE"""),"M 1617 sumberejo sejahtera ")</f>
        <v>M 1617 sumberejo sejahtera </v>
      </c>
      <c r="D5004" s="13" t="str">
        <f>IFERROR(__xludf.DUMMYFUNCTION("""COMPUTED_VALUE"""),"AB029/ABMWYGTK")</f>
        <v>AB029/ABMWYGTK</v>
      </c>
      <c r="E5004" s="14" t="str">
        <f>IFERROR(__xludf.DUMMYFUNCTION("""COMPUTED_VALUE"""),"Heri (BT)")</f>
        <v>Heri (BT)</v>
      </c>
      <c r="F5004" s="14" t="str">
        <f>IFERROR(__xludf.DUMMYFUNCTION("""COMPUTED_VALUE"""),"SELESAI (VIA PERMOHONAN)")</f>
        <v>SELESAI (VIA PERMOHONAN)</v>
      </c>
      <c r="G5004" s="17">
        <f>IFERROR(__xludf.DUMMYFUNCTION("""COMPUTED_VALUE"""),46083.39790981481)</f>
        <v>46083.39791</v>
      </c>
      <c r="H5004" s="14"/>
      <c r="I5004" s="13"/>
      <c r="J5004" s="17" t="str">
        <f>IFERROR(__xludf.DUMMYFUNCTION("""COMPUTED_VALUE"""),"")</f>
        <v/>
      </c>
      <c r="K5004" s="13" t="str">
        <f>IFERROR(__xludf.DUMMYFUNCTION("""COMPUTED_VALUE"""),"BT atau SU Belum Valid")</f>
        <v>BT atau SU Belum Valid</v>
      </c>
      <c r="L5004" s="13" t="str">
        <f>IFERROR(__xludf.DUMMYFUNCTION("""COMPUTED_VALUE"""),"")</f>
        <v/>
      </c>
      <c r="M5004" s="13"/>
      <c r="N5004" s="13" t="str">
        <f>IFERROR(__xludf.DUMMYFUNCTION("""COMPUTED_VALUE"""),"")</f>
        <v/>
      </c>
      <c r="O5004" s="13" t="str">
        <f t="shared" si="1"/>
        <v/>
      </c>
    </row>
    <row r="5005" ht="22.5" customHeight="1">
      <c r="B5005" s="13">
        <f>IFERROR(__xludf.DUMMYFUNCTION("""COMPUTED_VALUE"""),5000.0)</f>
        <v>5000</v>
      </c>
      <c r="C5005" s="13" t="str">
        <f>IFERROR(__xludf.DUMMYFUNCTION("""COMPUTED_VALUE"""),"M.6637, Tanjung senang")</f>
        <v>M.6637, Tanjung senang</v>
      </c>
      <c r="D5005" s="13" t="str">
        <f>IFERROR(__xludf.DUMMYFUNCTION("""COMPUTED_VALUE"""),"AB055/ABTTVBCV")</f>
        <v>AB055/ABTTVBCV</v>
      </c>
      <c r="E5005" s="14" t="str">
        <f>IFERROR(__xludf.DUMMYFUNCTION("""COMPUTED_VALUE"""),"Heri (BT)")</f>
        <v>Heri (BT)</v>
      </c>
      <c r="F5005" s="14" t="str">
        <f>IFERROR(__xludf.DUMMYFUNCTION("""COMPUTED_VALUE"""),"SELESAI (VIA PERMOHONAN)")</f>
        <v>SELESAI (VIA PERMOHONAN)</v>
      </c>
      <c r="G5005" s="17">
        <f>IFERROR(__xludf.DUMMYFUNCTION("""COMPUTED_VALUE"""),46083.39808443287)</f>
        <v>46083.39808</v>
      </c>
      <c r="H5005" s="14"/>
      <c r="I5005" s="13"/>
      <c r="J5005" s="17" t="str">
        <f>IFERROR(__xludf.DUMMYFUNCTION("""COMPUTED_VALUE"""),"")</f>
        <v/>
      </c>
      <c r="K5005" s="13" t="str">
        <f>IFERROR(__xludf.DUMMYFUNCTION("""COMPUTED_VALUE"""),"BT atau SU Belum Valid")</f>
        <v>BT atau SU Belum Valid</v>
      </c>
      <c r="L5005" s="13" t="str">
        <f>IFERROR(__xludf.DUMMYFUNCTION("""COMPUTED_VALUE"""),"")</f>
        <v/>
      </c>
      <c r="M5005" s="13"/>
      <c r="N5005" s="13" t="str">
        <f>IFERROR(__xludf.DUMMYFUNCTION("""COMPUTED_VALUE"""),"")</f>
        <v/>
      </c>
      <c r="O5005" s="13" t="str">
        <f t="shared" si="1"/>
        <v/>
      </c>
    </row>
    <row r="5006" ht="22.5" customHeight="1">
      <c r="B5006" s="13">
        <f>IFERROR(__xludf.DUMMYFUNCTION("""COMPUTED_VALUE"""),5001.0)</f>
        <v>5001</v>
      </c>
      <c r="C5006" s="13" t="str">
        <f>IFERROR(__xludf.DUMMYFUNCTION("""COMPUTED_VALUE"""),"M.6638-tanjung senang")</f>
        <v>M.6638-tanjung senang</v>
      </c>
      <c r="D5006" s="13" t="str">
        <f>IFERROR(__xludf.DUMMYFUNCTION("""COMPUTED_VALUE"""),"Abqntauk")</f>
        <v>Abqntauk</v>
      </c>
      <c r="E5006" s="14" t="str">
        <f>IFERROR(__xludf.DUMMYFUNCTION("""COMPUTED_VALUE"""),"Heri (BT)")</f>
        <v>Heri (BT)</v>
      </c>
      <c r="F5006" s="14" t="str">
        <f>IFERROR(__xludf.DUMMYFUNCTION("""COMPUTED_VALUE"""),"SELESAI (VIA PERMOHONAN)")</f>
        <v>SELESAI (VIA PERMOHONAN)</v>
      </c>
      <c r="G5006" s="17">
        <f>IFERROR(__xludf.DUMMYFUNCTION("""COMPUTED_VALUE"""),46083.39826427083)</f>
        <v>46083.39826</v>
      </c>
      <c r="H5006" s="14"/>
      <c r="I5006" s="13"/>
      <c r="J5006" s="17" t="str">
        <f>IFERROR(__xludf.DUMMYFUNCTION("""COMPUTED_VALUE"""),"")</f>
        <v/>
      </c>
      <c r="K5006" s="13" t="str">
        <f>IFERROR(__xludf.DUMMYFUNCTION("""COMPUTED_VALUE"""),"BT atau SU Belum Valid")</f>
        <v>BT atau SU Belum Valid</v>
      </c>
      <c r="L5006" s="13" t="str">
        <f>IFERROR(__xludf.DUMMYFUNCTION("""COMPUTED_VALUE"""),"")</f>
        <v/>
      </c>
      <c r="M5006" s="13"/>
      <c r="N5006" s="13" t="str">
        <f>IFERROR(__xludf.DUMMYFUNCTION("""COMPUTED_VALUE"""),"")</f>
        <v/>
      </c>
      <c r="O5006" s="13" t="str">
        <f t="shared" si="1"/>
        <v/>
      </c>
    </row>
    <row r="5007" ht="22.5" customHeight="1">
      <c r="B5007" s="13">
        <f>IFERROR(__xludf.DUMMYFUNCTION("""COMPUTED_VALUE"""),5002.0)</f>
        <v>5002</v>
      </c>
      <c r="C5007" s="13" t="str">
        <f>IFERROR(__xludf.DUMMYFUNCTION("""COMPUTED_VALUE"""),"12958/kedamaian")</f>
        <v>12958/kedamaian</v>
      </c>
      <c r="D5007" s="13" t="str">
        <f>IFERROR(__xludf.DUMMYFUNCTION("""COMPUTED_VALUE"""),"Abtmgcbo")</f>
        <v>Abtmgcbo</v>
      </c>
      <c r="E5007" s="14" t="str">
        <f>IFERROR(__xludf.DUMMYFUNCTION("""COMPUTED_VALUE"""),"Heri (BT)")</f>
        <v>Heri (BT)</v>
      </c>
      <c r="F5007" s="14" t="str">
        <f>IFERROR(__xludf.DUMMYFUNCTION("""COMPUTED_VALUE"""),"SELESAI (VIA PERMOHONAN)")</f>
        <v>SELESAI (VIA PERMOHONAN)</v>
      </c>
      <c r="G5007" s="17">
        <f>IFERROR(__xludf.DUMMYFUNCTION("""COMPUTED_VALUE"""),46083.39855966435)</f>
        <v>46083.39856</v>
      </c>
      <c r="H5007" s="14"/>
      <c r="I5007" s="13"/>
      <c r="J5007" s="17" t="str">
        <f>IFERROR(__xludf.DUMMYFUNCTION("""COMPUTED_VALUE"""),"")</f>
        <v/>
      </c>
      <c r="K5007" s="13" t="str">
        <f>IFERROR(__xludf.DUMMYFUNCTION("""COMPUTED_VALUE"""),"BT atau SU Belum Valid")</f>
        <v>BT atau SU Belum Valid</v>
      </c>
      <c r="L5007" s="13" t="str">
        <f>IFERROR(__xludf.DUMMYFUNCTION("""COMPUTED_VALUE"""),"")</f>
        <v/>
      </c>
      <c r="M5007" s="13"/>
      <c r="N5007" s="13" t="str">
        <f>IFERROR(__xludf.DUMMYFUNCTION("""COMPUTED_VALUE"""),"")</f>
        <v/>
      </c>
      <c r="O5007" s="13" t="str">
        <f t="shared" si="1"/>
        <v/>
      </c>
    </row>
    <row r="5008" ht="22.5" customHeight="1">
      <c r="B5008" s="13">
        <f>IFERROR(__xludf.DUMMYFUNCTION("""COMPUTED_VALUE"""),5003.0)</f>
        <v>5003</v>
      </c>
      <c r="C5008" s="13" t="str">
        <f>IFERROR(__xludf.DUMMYFUNCTION("""COMPUTED_VALUE"""),"M.3008  SUKARAME II")</f>
        <v>M.3008  SUKARAME II</v>
      </c>
      <c r="D5008" s="13" t="str">
        <f>IFERROR(__xludf.DUMMYFUNCTION("""COMPUTED_VALUE"""),"ABAOQUPT")</f>
        <v>ABAOQUPT</v>
      </c>
      <c r="E5008" s="14" t="str">
        <f>IFERROR(__xludf.DUMMYFUNCTION("""COMPUTED_VALUE"""),"Heri (BT)")</f>
        <v>Heri (BT)</v>
      </c>
      <c r="F5008" s="14" t="str">
        <f>IFERROR(__xludf.DUMMYFUNCTION("""COMPUTED_VALUE"""),"SELESAI (VIA PERMOHONAN)")</f>
        <v>SELESAI (VIA PERMOHONAN)</v>
      </c>
      <c r="G5008" s="17">
        <f>IFERROR(__xludf.DUMMYFUNCTION("""COMPUTED_VALUE"""),46083.398700000005)</f>
        <v>46083.3987</v>
      </c>
      <c r="H5008" s="14"/>
      <c r="I5008" s="13"/>
      <c r="J5008" s="17" t="str">
        <f>IFERROR(__xludf.DUMMYFUNCTION("""COMPUTED_VALUE"""),"")</f>
        <v/>
      </c>
      <c r="K5008" s="13" t="str">
        <f>IFERROR(__xludf.DUMMYFUNCTION("""COMPUTED_VALUE"""),"BT atau SU Belum Valid")</f>
        <v>BT atau SU Belum Valid</v>
      </c>
      <c r="L5008" s="13" t="str">
        <f>IFERROR(__xludf.DUMMYFUNCTION("""COMPUTED_VALUE"""),"")</f>
        <v/>
      </c>
      <c r="M5008" s="13"/>
      <c r="N5008" s="13" t="str">
        <f>IFERROR(__xludf.DUMMYFUNCTION("""COMPUTED_VALUE"""),"")</f>
        <v/>
      </c>
      <c r="O5008" s="13" t="str">
        <f t="shared" si="1"/>
        <v/>
      </c>
    </row>
    <row r="5009" ht="22.5" customHeight="1">
      <c r="B5009" s="13">
        <f>IFERROR(__xludf.DUMMYFUNCTION("""COMPUTED_VALUE"""),5004.0)</f>
        <v>5004</v>
      </c>
      <c r="C5009" s="13" t="str">
        <f>IFERROR(__xludf.DUMMYFUNCTION("""COMPUTED_VALUE"""),"HM.16979/Sukarame ")</f>
        <v>HM.16979/Sukarame </v>
      </c>
      <c r="D5009" s="13" t="str">
        <f>IFERROR(__xludf.DUMMYFUNCTION("""COMPUTED_VALUE"""),"ABQOYCQX/AB042")</f>
        <v>ABQOYCQX/AB042</v>
      </c>
      <c r="E5009" s="14" t="str">
        <f>IFERROR(__xludf.DUMMYFUNCTION("""COMPUTED_VALUE"""),"Heri (BT)")</f>
        <v>Heri (BT)</v>
      </c>
      <c r="F5009" s="14" t="str">
        <f>IFERROR(__xludf.DUMMYFUNCTION("""COMPUTED_VALUE"""),"SELESAI (VIA PERMOHONAN)")</f>
        <v>SELESAI (VIA PERMOHONAN)</v>
      </c>
      <c r="G5009" s="17">
        <f>IFERROR(__xludf.DUMMYFUNCTION("""COMPUTED_VALUE"""),46083.39893159722)</f>
        <v>46083.39893</v>
      </c>
      <c r="H5009" s="14"/>
      <c r="I5009" s="13"/>
      <c r="J5009" s="17" t="str">
        <f>IFERROR(__xludf.DUMMYFUNCTION("""COMPUTED_VALUE"""),"")</f>
        <v/>
      </c>
      <c r="K5009" s="13" t="str">
        <f>IFERROR(__xludf.DUMMYFUNCTION("""COMPUTED_VALUE"""),"BT atau SU Belum Valid")</f>
        <v>BT atau SU Belum Valid</v>
      </c>
      <c r="L5009" s="13" t="str">
        <f>IFERROR(__xludf.DUMMYFUNCTION("""COMPUTED_VALUE"""),"")</f>
        <v/>
      </c>
      <c r="M5009" s="13"/>
      <c r="N5009" s="13" t="str">
        <f>IFERROR(__xludf.DUMMYFUNCTION("""COMPUTED_VALUE"""),"")</f>
        <v/>
      </c>
      <c r="O5009" s="13" t="str">
        <f t="shared" si="1"/>
        <v/>
      </c>
    </row>
    <row r="5010" ht="22.5" customHeight="1">
      <c r="B5010" s="13">
        <f>IFERROR(__xludf.DUMMYFUNCTION("""COMPUTED_VALUE"""),5005.0)</f>
        <v>5005</v>
      </c>
      <c r="C5010" s="13" t="str">
        <f>IFERROR(__xludf.DUMMYFUNCTION("""COMPUTED_VALUE"""),"B 200/Rajabasa Nunyai")</f>
        <v>B 200/Rajabasa Nunyai</v>
      </c>
      <c r="D5010" s="13" t="str">
        <f>IFERROR(__xludf.DUMMYFUNCTION("""COMPUTED_VALUE"""),"ABLCYCPH/AB049")</f>
        <v>ABLCYCPH/AB049</v>
      </c>
      <c r="E5010" s="14" t="str">
        <f>IFERROR(__xludf.DUMMYFUNCTION("""COMPUTED_VALUE"""),"Heri (BT)")</f>
        <v>Heri (BT)</v>
      </c>
      <c r="F5010" s="14" t="str">
        <f>IFERROR(__xludf.DUMMYFUNCTION("""COMPUTED_VALUE"""),"SELESAI (VIA PERMOHONAN)")</f>
        <v>SELESAI (VIA PERMOHONAN)</v>
      </c>
      <c r="G5010" s="17">
        <f>IFERROR(__xludf.DUMMYFUNCTION("""COMPUTED_VALUE"""),46083.399200451386)</f>
        <v>46083.3992</v>
      </c>
      <c r="H5010" s="14"/>
      <c r="I5010" s="13"/>
      <c r="J5010" s="17" t="str">
        <f>IFERROR(__xludf.DUMMYFUNCTION("""COMPUTED_VALUE"""),"")</f>
        <v/>
      </c>
      <c r="K5010" s="13" t="str">
        <f>IFERROR(__xludf.DUMMYFUNCTION("""COMPUTED_VALUE"""),"BT atau SU Belum Valid")</f>
        <v>BT atau SU Belum Valid</v>
      </c>
      <c r="L5010" s="13" t="str">
        <f>IFERROR(__xludf.DUMMYFUNCTION("""COMPUTED_VALUE"""),"")</f>
        <v/>
      </c>
      <c r="M5010" s="13"/>
      <c r="N5010" s="13" t="str">
        <f>IFERROR(__xludf.DUMMYFUNCTION("""COMPUTED_VALUE"""),"")</f>
        <v/>
      </c>
      <c r="O5010" s="13" t="str">
        <f t="shared" si="1"/>
        <v/>
      </c>
    </row>
    <row r="5011" ht="22.5" customHeight="1">
      <c r="B5011" s="13">
        <f>IFERROR(__xludf.DUMMYFUNCTION("""COMPUTED_VALUE"""),5006.0)</f>
        <v>5006</v>
      </c>
      <c r="C5011" s="13" t="str">
        <f>IFERROR(__xludf.DUMMYFUNCTION("""COMPUTED_VALUE"""),"B 2418/campang jaya")</f>
        <v>B 2418/campang jaya</v>
      </c>
      <c r="D5011" s="13" t="str">
        <f>IFERROR(__xludf.DUMMYFUNCTION("""COMPUTED_VALUE"""),"ABZSROLB/AB034")</f>
        <v>ABZSROLB/AB034</v>
      </c>
      <c r="E5011" s="14" t="str">
        <f>IFERROR(__xludf.DUMMYFUNCTION("""COMPUTED_VALUE"""),"Heri (BT)")</f>
        <v>Heri (BT)</v>
      </c>
      <c r="F5011" s="14" t="str">
        <f>IFERROR(__xludf.DUMMYFUNCTION("""COMPUTED_VALUE"""),"SELESAI (VIA PERMOHONAN)")</f>
        <v>SELESAI (VIA PERMOHONAN)</v>
      </c>
      <c r="G5011" s="17">
        <f>IFERROR(__xludf.DUMMYFUNCTION("""COMPUTED_VALUE"""),46083.39939549769)</f>
        <v>46083.3994</v>
      </c>
      <c r="H5011" s="14"/>
      <c r="I5011" s="13"/>
      <c r="J5011" s="17" t="str">
        <f>IFERROR(__xludf.DUMMYFUNCTION("""COMPUTED_VALUE"""),"")</f>
        <v/>
      </c>
      <c r="K5011" s="13" t="str">
        <f>IFERROR(__xludf.DUMMYFUNCTION("""COMPUTED_VALUE"""),"BT atau SU Belum Valid")</f>
        <v>BT atau SU Belum Valid</v>
      </c>
      <c r="L5011" s="13" t="str">
        <f>IFERROR(__xludf.DUMMYFUNCTION("""COMPUTED_VALUE"""),"")</f>
        <v/>
      </c>
      <c r="M5011" s="13"/>
      <c r="N5011" s="13" t="str">
        <f>IFERROR(__xludf.DUMMYFUNCTION("""COMPUTED_VALUE"""),"")</f>
        <v/>
      </c>
      <c r="O5011" s="13" t="str">
        <f t="shared" si="1"/>
        <v/>
      </c>
    </row>
    <row r="5012" ht="22.5" customHeight="1">
      <c r="B5012" s="13">
        <f>IFERROR(__xludf.DUMMYFUNCTION("""COMPUTED_VALUE"""),5007.0)</f>
        <v>5007</v>
      </c>
      <c r="C5012" s="13" t="str">
        <f>IFERROR(__xludf.DUMMYFUNCTION("""COMPUTED_VALUE"""),"M. 364/Gunung Agung")</f>
        <v>M. 364/Gunung Agung</v>
      </c>
      <c r="D5012" s="13" t="str">
        <f>IFERROR(__xludf.DUMMYFUNCTION("""COMPUTED_VALUE"""),"ABWSUHGH/AB086")</f>
        <v>ABWSUHGH/AB086</v>
      </c>
      <c r="E5012" s="14" t="str">
        <f>IFERROR(__xludf.DUMMYFUNCTION("""COMPUTED_VALUE"""),"Heri (BT)")</f>
        <v>Heri (BT)</v>
      </c>
      <c r="F5012" s="14" t="str">
        <f>IFERROR(__xludf.DUMMYFUNCTION("""COMPUTED_VALUE"""),"SELESAI (VIA PERMOHONAN)")</f>
        <v>SELESAI (VIA PERMOHONAN)</v>
      </c>
      <c r="G5012" s="17">
        <f>IFERROR(__xludf.DUMMYFUNCTION("""COMPUTED_VALUE"""),46083.39964184028)</f>
        <v>46083.39964</v>
      </c>
      <c r="H5012" s="14"/>
      <c r="I5012" s="13"/>
      <c r="J5012" s="17" t="str">
        <f>IFERROR(__xludf.DUMMYFUNCTION("""COMPUTED_VALUE"""),"")</f>
        <v/>
      </c>
      <c r="K5012" s="13" t="str">
        <f>IFERROR(__xludf.DUMMYFUNCTION("""COMPUTED_VALUE"""),"BT atau SU Belum Valid")</f>
        <v>BT atau SU Belum Valid</v>
      </c>
      <c r="L5012" s="13" t="str">
        <f>IFERROR(__xludf.DUMMYFUNCTION("""COMPUTED_VALUE"""),"")</f>
        <v/>
      </c>
      <c r="M5012" s="13"/>
      <c r="N5012" s="13" t="str">
        <f>IFERROR(__xludf.DUMMYFUNCTION("""COMPUTED_VALUE"""),"")</f>
        <v/>
      </c>
      <c r="O5012" s="13" t="str">
        <f t="shared" si="1"/>
        <v/>
      </c>
    </row>
    <row r="5013" ht="22.5" customHeight="1">
      <c r="B5013" s="13">
        <f>IFERROR(__xludf.DUMMYFUNCTION("""COMPUTED_VALUE"""),5008.0)</f>
        <v>5008</v>
      </c>
      <c r="C5013" s="13" t="str">
        <f>IFERROR(__xludf.DUMMYFUNCTION("""COMPUTED_VALUE"""),"258/ Penengahan Raya")</f>
        <v>258/ Penengahan Raya</v>
      </c>
      <c r="D5013" s="13" t="str">
        <f>IFERROR(__xludf.DUMMYFUNCTION("""COMPUTED_VALUE"""),"ABTUBXAF/AB062")</f>
        <v>ABTUBXAF/AB062</v>
      </c>
      <c r="E5013" s="14" t="str">
        <f>IFERROR(__xludf.DUMMYFUNCTION("""COMPUTED_VALUE"""),"Heri (BT)")</f>
        <v>Heri (BT)</v>
      </c>
      <c r="F5013" s="14" t="str">
        <f>IFERROR(__xludf.DUMMYFUNCTION("""COMPUTED_VALUE"""),"SELESAI (VIA PERMOHONAN)")</f>
        <v>SELESAI (VIA PERMOHONAN)</v>
      </c>
      <c r="G5013" s="17">
        <f>IFERROR(__xludf.DUMMYFUNCTION("""COMPUTED_VALUE"""),46083.400031944446)</f>
        <v>46083.40003</v>
      </c>
      <c r="H5013" s="14"/>
      <c r="I5013" s="13"/>
      <c r="J5013" s="17" t="str">
        <f>IFERROR(__xludf.DUMMYFUNCTION("""COMPUTED_VALUE"""),"")</f>
        <v/>
      </c>
      <c r="K5013" s="13" t="str">
        <f>IFERROR(__xludf.DUMMYFUNCTION("""COMPUTED_VALUE"""),"BT atau SU Belum Valid")</f>
        <v>BT atau SU Belum Valid</v>
      </c>
      <c r="L5013" s="13" t="str">
        <f>IFERROR(__xludf.DUMMYFUNCTION("""COMPUTED_VALUE"""),"")</f>
        <v/>
      </c>
      <c r="M5013" s="13"/>
      <c r="N5013" s="13" t="str">
        <f>IFERROR(__xludf.DUMMYFUNCTION("""COMPUTED_VALUE"""),"")</f>
        <v/>
      </c>
      <c r="O5013" s="13" t="str">
        <f t="shared" si="1"/>
        <v/>
      </c>
    </row>
    <row r="5014" ht="22.5" customHeight="1">
      <c r="B5014" s="13">
        <f>IFERROR(__xludf.DUMMYFUNCTION("""COMPUTED_VALUE"""),5009.0)</f>
        <v>5009</v>
      </c>
      <c r="C5014" s="13" t="str">
        <f>IFERROR(__xludf.DUMMYFUNCTION("""COMPUTED_VALUE"""),"B 966/Kemiling Permai")</f>
        <v>B 966/Kemiling Permai</v>
      </c>
      <c r="D5014" s="13" t="str">
        <f>IFERROR(__xludf.DUMMYFUNCTION("""COMPUTED_VALUE"""),"AB0FTURB")</f>
        <v>AB0FTURB</v>
      </c>
      <c r="E5014" s="14" t="str">
        <f>IFERROR(__xludf.DUMMYFUNCTION("""COMPUTED_VALUE"""),"Heri (BT)")</f>
        <v>Heri (BT)</v>
      </c>
      <c r="F5014" s="14" t="str">
        <f>IFERROR(__xludf.DUMMYFUNCTION("""COMPUTED_VALUE"""),"SELESAI (VIA PERMOHONAN)")</f>
        <v>SELESAI (VIA PERMOHONAN)</v>
      </c>
      <c r="G5014" s="17">
        <f>IFERROR(__xludf.DUMMYFUNCTION("""COMPUTED_VALUE"""),46083.40075244213)</f>
        <v>46083.40075</v>
      </c>
      <c r="H5014" s="14"/>
      <c r="I5014" s="13"/>
      <c r="J5014" s="17" t="str">
        <f>IFERROR(__xludf.DUMMYFUNCTION("""COMPUTED_VALUE"""),"")</f>
        <v/>
      </c>
      <c r="K5014" s="13" t="str">
        <f>IFERROR(__xludf.DUMMYFUNCTION("""COMPUTED_VALUE"""),"BT atau SU Belum Valid")</f>
        <v>BT atau SU Belum Valid</v>
      </c>
      <c r="L5014" s="13" t="str">
        <f>IFERROR(__xludf.DUMMYFUNCTION("""COMPUTED_VALUE"""),"")</f>
        <v/>
      </c>
      <c r="M5014" s="13"/>
      <c r="N5014" s="13" t="str">
        <f>IFERROR(__xludf.DUMMYFUNCTION("""COMPUTED_VALUE"""),"")</f>
        <v/>
      </c>
      <c r="O5014" s="13" t="str">
        <f t="shared" si="1"/>
        <v/>
      </c>
    </row>
    <row r="5015" ht="22.5" customHeight="1">
      <c r="B5015" s="13">
        <f>IFERROR(__xludf.DUMMYFUNCTION("""COMPUTED_VALUE"""),5010.0)</f>
        <v>5010</v>
      </c>
      <c r="C5015" s="13" t="str">
        <f>IFERROR(__xludf.DUMMYFUNCTION("""COMPUTED_VALUE"""),"M 890/ durian payung")</f>
        <v>M 890/ durian payung</v>
      </c>
      <c r="D5015" s="13" t="str">
        <f>IFERROR(__xludf.DUMMYFUNCTION("""COMPUTED_VALUE"""),"ABDZFKTT")</f>
        <v>ABDZFKTT</v>
      </c>
      <c r="E5015" s="14" t="str">
        <f>IFERROR(__xludf.DUMMYFUNCTION("""COMPUTED_VALUE"""),"Heri (BT)")</f>
        <v>Heri (BT)</v>
      </c>
      <c r="F5015" s="14" t="str">
        <f>IFERROR(__xludf.DUMMYFUNCTION("""COMPUTED_VALUE"""),"SELESAI (VIA PERMOHONAN)")</f>
        <v>SELESAI (VIA PERMOHONAN)</v>
      </c>
      <c r="G5015" s="17">
        <f>IFERROR(__xludf.DUMMYFUNCTION("""COMPUTED_VALUE"""),46083.40074597222)</f>
        <v>46083.40075</v>
      </c>
      <c r="H5015" s="14"/>
      <c r="I5015" s="13"/>
      <c r="J5015" s="17" t="str">
        <f>IFERROR(__xludf.DUMMYFUNCTION("""COMPUTED_VALUE"""),"")</f>
        <v/>
      </c>
      <c r="K5015" s="13" t="str">
        <f>IFERROR(__xludf.DUMMYFUNCTION("""COMPUTED_VALUE"""),"BT atau SU Belum Valid")</f>
        <v>BT atau SU Belum Valid</v>
      </c>
      <c r="L5015" s="13" t="str">
        <f>IFERROR(__xludf.DUMMYFUNCTION("""COMPUTED_VALUE"""),"")</f>
        <v/>
      </c>
      <c r="M5015" s="13"/>
      <c r="N5015" s="13" t="str">
        <f>IFERROR(__xludf.DUMMYFUNCTION("""COMPUTED_VALUE"""),"")</f>
        <v/>
      </c>
      <c r="O5015" s="13" t="str">
        <f t="shared" si="1"/>
        <v/>
      </c>
    </row>
    <row r="5016" ht="22.5" customHeight="1">
      <c r="B5016" s="13">
        <f>IFERROR(__xludf.DUMMYFUNCTION("""COMPUTED_VALUE"""),5011.0)</f>
        <v>5011</v>
      </c>
      <c r="C5016" s="13" t="str">
        <f>IFERROR(__xludf.DUMMYFUNCTION("""COMPUTED_VALUE"""),"M 1402 semberrejo sejahtera")</f>
        <v>M 1402 semberrejo sejahtera</v>
      </c>
      <c r="D5016" s="13" t="str">
        <f>IFERROR(__xludf.DUMMYFUNCTION("""COMPUTED_VALUE"""),"ABQSODYB")</f>
        <v>ABQSODYB</v>
      </c>
      <c r="E5016" s="14" t="str">
        <f>IFERROR(__xludf.DUMMYFUNCTION("""COMPUTED_VALUE"""),"Heri (BT)")</f>
        <v>Heri (BT)</v>
      </c>
      <c r="F5016" s="14" t="str">
        <f>IFERROR(__xludf.DUMMYFUNCTION("""COMPUTED_VALUE"""),"SELESAI (VIA PERMOHONAN)")</f>
        <v>SELESAI (VIA PERMOHONAN)</v>
      </c>
      <c r="G5016" s="17">
        <f>IFERROR(__xludf.DUMMYFUNCTION("""COMPUTED_VALUE"""),46083.403864548614)</f>
        <v>46083.40386</v>
      </c>
      <c r="H5016" s="14"/>
      <c r="I5016" s="13"/>
      <c r="J5016" s="17" t="str">
        <f>IFERROR(__xludf.DUMMYFUNCTION("""COMPUTED_VALUE"""),"")</f>
        <v/>
      </c>
      <c r="K5016" s="13" t="str">
        <f>IFERROR(__xludf.DUMMYFUNCTION("""COMPUTED_VALUE"""),"BT atau SU Belum Valid")</f>
        <v>BT atau SU Belum Valid</v>
      </c>
      <c r="L5016" s="13" t="str">
        <f>IFERROR(__xludf.DUMMYFUNCTION("""COMPUTED_VALUE"""),"")</f>
        <v/>
      </c>
      <c r="M5016" s="13"/>
      <c r="N5016" s="13" t="str">
        <f>IFERROR(__xludf.DUMMYFUNCTION("""COMPUTED_VALUE"""),"")</f>
        <v/>
      </c>
      <c r="O5016" s="13" t="str">
        <f t="shared" si="1"/>
        <v/>
      </c>
    </row>
    <row r="5017" ht="22.5" customHeight="1">
      <c r="B5017" s="13">
        <f>IFERROR(__xludf.DUMMYFUNCTION("""COMPUTED_VALUE"""),5012.0)</f>
        <v>5012</v>
      </c>
      <c r="C5017" s="13" t="str">
        <f>IFERROR(__xludf.DUMMYFUNCTION("""COMPUTED_VALUE"""),"M.1403")</f>
        <v>M.1403</v>
      </c>
      <c r="D5017" s="13" t="str">
        <f>IFERROR(__xludf.DUMMYFUNCTION("""COMPUTED_VALUE"""),"ABXGEILK")</f>
        <v>ABXGEILK</v>
      </c>
      <c r="E5017" s="14" t="str">
        <f>IFERROR(__xludf.DUMMYFUNCTION("""COMPUTED_VALUE"""),"Heri (BT)")</f>
        <v>Heri (BT)</v>
      </c>
      <c r="F5017" s="14" t="str">
        <f>IFERROR(__xludf.DUMMYFUNCTION("""COMPUTED_VALUE"""),"SELESAI (VIA PERMOHONAN)")</f>
        <v>SELESAI (VIA PERMOHONAN)</v>
      </c>
      <c r="G5017" s="17">
        <f>IFERROR(__xludf.DUMMYFUNCTION("""COMPUTED_VALUE"""),46083.40403319444)</f>
        <v>46083.40403</v>
      </c>
      <c r="H5017" s="14"/>
      <c r="I5017" s="13"/>
      <c r="J5017" s="17" t="str">
        <f>IFERROR(__xludf.DUMMYFUNCTION("""COMPUTED_VALUE"""),"")</f>
        <v/>
      </c>
      <c r="K5017" s="13" t="str">
        <f>IFERROR(__xludf.DUMMYFUNCTION("""COMPUTED_VALUE"""),"BT atau SU Belum Valid")</f>
        <v>BT atau SU Belum Valid</v>
      </c>
      <c r="L5017" s="13" t="str">
        <f>IFERROR(__xludf.DUMMYFUNCTION("""COMPUTED_VALUE"""),"")</f>
        <v/>
      </c>
      <c r="M5017" s="13"/>
      <c r="N5017" s="13" t="str">
        <f>IFERROR(__xludf.DUMMYFUNCTION("""COMPUTED_VALUE"""),"")</f>
        <v/>
      </c>
      <c r="O5017" s="13" t="str">
        <f t="shared" si="1"/>
        <v/>
      </c>
    </row>
    <row r="5018" ht="22.5" customHeight="1">
      <c r="B5018" s="13">
        <f>IFERROR(__xludf.DUMMYFUNCTION("""COMPUTED_VALUE"""),5013.0)</f>
        <v>5013</v>
      </c>
      <c r="C5018" s="13" t="str">
        <f>IFERROR(__xludf.DUMMYFUNCTION("""COMPUTED_VALUE"""),"B 198/ rajabasa nunyai")</f>
        <v>B 198/ rajabasa nunyai</v>
      </c>
      <c r="D5018" s="13" t="str">
        <f>IFERROR(__xludf.DUMMYFUNCTION("""COMPUTED_VALUE"""),"Ab 30 ( abndskxe)")</f>
        <v>Ab 30 ( abndskxe)</v>
      </c>
      <c r="E5018" s="14" t="str">
        <f>IFERROR(__xludf.DUMMYFUNCTION("""COMPUTED_VALUE"""),"Heri (BT)")</f>
        <v>Heri (BT)</v>
      </c>
      <c r="F5018" s="14" t="str">
        <f>IFERROR(__xludf.DUMMYFUNCTION("""COMPUTED_VALUE"""),"SELESAI (VIA PERMOHONAN)")</f>
        <v>SELESAI (VIA PERMOHONAN)</v>
      </c>
      <c r="G5018" s="17">
        <f>IFERROR(__xludf.DUMMYFUNCTION("""COMPUTED_VALUE"""),46083.404258055554)</f>
        <v>46083.40426</v>
      </c>
      <c r="H5018" s="14"/>
      <c r="I5018" s="13"/>
      <c r="J5018" s="17" t="str">
        <f>IFERROR(__xludf.DUMMYFUNCTION("""COMPUTED_VALUE"""),"")</f>
        <v/>
      </c>
      <c r="K5018" s="13" t="str">
        <f>IFERROR(__xludf.DUMMYFUNCTION("""COMPUTED_VALUE"""),"BT atau SU Belum Valid")</f>
        <v>BT atau SU Belum Valid</v>
      </c>
      <c r="L5018" s="13" t="str">
        <f>IFERROR(__xludf.DUMMYFUNCTION("""COMPUTED_VALUE"""),"")</f>
        <v/>
      </c>
      <c r="M5018" s="13"/>
      <c r="N5018" s="13" t="str">
        <f>IFERROR(__xludf.DUMMYFUNCTION("""COMPUTED_VALUE"""),"")</f>
        <v/>
      </c>
      <c r="O5018" s="13" t="str">
        <f t="shared" si="1"/>
        <v/>
      </c>
    </row>
    <row r="5019" ht="22.5" customHeight="1">
      <c r="B5019" s="13">
        <f>IFERROR(__xludf.DUMMYFUNCTION("""COMPUTED_VALUE"""),5014.0)</f>
        <v>5014</v>
      </c>
      <c r="C5019" s="13" t="str">
        <f>IFERROR(__xludf.DUMMYFUNCTION("""COMPUTED_VALUE"""),"M 2136/ BAKUNG")</f>
        <v>M 2136/ BAKUNG</v>
      </c>
      <c r="D5019" s="13" t="str">
        <f>IFERROR(__xludf.DUMMYFUNCTION("""COMPUTED_VALUE"""),"ABTUAXKY")</f>
        <v>ABTUAXKY</v>
      </c>
      <c r="E5019" s="14" t="str">
        <f>IFERROR(__xludf.DUMMYFUNCTION("""COMPUTED_VALUE"""),"Heri (BT)")</f>
        <v>Heri (BT)</v>
      </c>
      <c r="F5019" s="14" t="str">
        <f>IFERROR(__xludf.DUMMYFUNCTION("""COMPUTED_VALUE"""),"SELESAI (VIA PERMOHONAN)")</f>
        <v>SELESAI (VIA PERMOHONAN)</v>
      </c>
      <c r="G5019" s="17">
        <f>IFERROR(__xludf.DUMMYFUNCTION("""COMPUTED_VALUE"""),46083.404455358796)</f>
        <v>46083.40446</v>
      </c>
      <c r="H5019" s="14"/>
      <c r="I5019" s="13"/>
      <c r="J5019" s="17" t="str">
        <f>IFERROR(__xludf.DUMMYFUNCTION("""COMPUTED_VALUE"""),"")</f>
        <v/>
      </c>
      <c r="K5019" s="13" t="str">
        <f>IFERROR(__xludf.DUMMYFUNCTION("""COMPUTED_VALUE"""),"BT atau SU Belum Valid")</f>
        <v>BT atau SU Belum Valid</v>
      </c>
      <c r="L5019" s="13" t="str">
        <f>IFERROR(__xludf.DUMMYFUNCTION("""COMPUTED_VALUE"""),"")</f>
        <v/>
      </c>
      <c r="M5019" s="13"/>
      <c r="N5019" s="13" t="str">
        <f>IFERROR(__xludf.DUMMYFUNCTION("""COMPUTED_VALUE"""),"")</f>
        <v/>
      </c>
      <c r="O5019" s="13" t="str">
        <f t="shared" si="1"/>
        <v/>
      </c>
    </row>
    <row r="5020" ht="22.5" customHeight="1">
      <c r="B5020" s="13">
        <f>IFERROR(__xludf.DUMMYFUNCTION("""COMPUTED_VALUE"""),5015.0)</f>
        <v>5015</v>
      </c>
      <c r="C5020" s="13" t="str">
        <f>IFERROR(__xludf.DUMMYFUNCTION("""COMPUTED_VALUE"""),"M. 4265/ TANJUNG SENANG")</f>
        <v>M. 4265/ TANJUNG SENANG</v>
      </c>
      <c r="D5020" s="13" t="str">
        <f>IFERROR(__xludf.DUMMYFUNCTION("""COMPUTED_VALUE"""),"ABJOBEUG")</f>
        <v>ABJOBEUG</v>
      </c>
      <c r="E5020" s="14" t="str">
        <f>IFERROR(__xludf.DUMMYFUNCTION("""COMPUTED_VALUE"""),"Heri (BT)")</f>
        <v>Heri (BT)</v>
      </c>
      <c r="F5020" s="14" t="str">
        <f>IFERROR(__xludf.DUMMYFUNCTION("""COMPUTED_VALUE"""),"SELESAI (VIA PERMOHONAN)")</f>
        <v>SELESAI (VIA PERMOHONAN)</v>
      </c>
      <c r="G5020" s="17">
        <f>IFERROR(__xludf.DUMMYFUNCTION("""COMPUTED_VALUE"""),46083.40505100694)</f>
        <v>46083.40505</v>
      </c>
      <c r="H5020" s="14"/>
      <c r="I5020" s="13"/>
      <c r="J5020" s="17" t="str">
        <f>IFERROR(__xludf.DUMMYFUNCTION("""COMPUTED_VALUE"""),"")</f>
        <v/>
      </c>
      <c r="K5020" s="13" t="str">
        <f>IFERROR(__xludf.DUMMYFUNCTION("""COMPUTED_VALUE"""),"BT atau SU Belum Valid")</f>
        <v>BT atau SU Belum Valid</v>
      </c>
      <c r="L5020" s="13" t="str">
        <f>IFERROR(__xludf.DUMMYFUNCTION("""COMPUTED_VALUE"""),"")</f>
        <v/>
      </c>
      <c r="M5020" s="13"/>
      <c r="N5020" s="13" t="str">
        <f>IFERROR(__xludf.DUMMYFUNCTION("""COMPUTED_VALUE"""),"")</f>
        <v/>
      </c>
      <c r="O5020" s="13" t="str">
        <f t="shared" si="1"/>
        <v/>
      </c>
    </row>
    <row r="5021" ht="22.5" customHeight="1">
      <c r="B5021" s="13">
        <f>IFERROR(__xludf.DUMMYFUNCTION("""COMPUTED_VALUE"""),5016.0)</f>
        <v>5016</v>
      </c>
      <c r="C5021" s="13" t="str">
        <f>IFERROR(__xludf.DUMMYFUNCTION("""COMPUTED_VALUE"""),"03489/Sukadana ham")</f>
        <v>03489/Sukadana ham</v>
      </c>
      <c r="D5021" s="13" t="str">
        <f>IFERROR(__xludf.DUMMYFUNCTION("""COMPUTED_VALUE"""),"ABGDMCLN")</f>
        <v>ABGDMCLN</v>
      </c>
      <c r="E5021" s="14" t="str">
        <f>IFERROR(__xludf.DUMMYFUNCTION("""COMPUTED_VALUE"""),"Heri (BT)")</f>
        <v>Heri (BT)</v>
      </c>
      <c r="F5021" s="14" t="str">
        <f>IFERROR(__xludf.DUMMYFUNCTION("""COMPUTED_VALUE"""),"SELESAI (VIA PERMOHONAN)")</f>
        <v>SELESAI (VIA PERMOHONAN)</v>
      </c>
      <c r="G5021" s="17">
        <f>IFERROR(__xludf.DUMMYFUNCTION("""COMPUTED_VALUE"""),46083.405289386574)</f>
        <v>46083.40529</v>
      </c>
      <c r="H5021" s="14"/>
      <c r="I5021" s="13"/>
      <c r="J5021" s="17" t="str">
        <f>IFERROR(__xludf.DUMMYFUNCTION("""COMPUTED_VALUE"""),"")</f>
        <v/>
      </c>
      <c r="K5021" s="13" t="str">
        <f>IFERROR(__xludf.DUMMYFUNCTION("""COMPUTED_VALUE"""),"BT atau SU Belum Valid")</f>
        <v>BT atau SU Belum Valid</v>
      </c>
      <c r="L5021" s="13" t="str">
        <f>IFERROR(__xludf.DUMMYFUNCTION("""COMPUTED_VALUE"""),"")</f>
        <v/>
      </c>
      <c r="M5021" s="13"/>
      <c r="N5021" s="13" t="str">
        <f>IFERROR(__xludf.DUMMYFUNCTION("""COMPUTED_VALUE"""),"")</f>
        <v/>
      </c>
      <c r="O5021" s="13" t="str">
        <f t="shared" si="1"/>
        <v/>
      </c>
    </row>
    <row r="5022" ht="22.5" customHeight="1">
      <c r="B5022" s="13">
        <f>IFERROR(__xludf.DUMMYFUNCTION("""COMPUTED_VALUE"""),5017.0)</f>
        <v>5017</v>
      </c>
      <c r="C5022" s="13" t="str">
        <f>IFERROR(__xludf.DUMMYFUNCTION("""COMPUTED_VALUE"""),"SHM 2711 way kandis")</f>
        <v>SHM 2711 way kandis</v>
      </c>
      <c r="D5022" s="13" t="str">
        <f>IFERROR(__xludf.DUMMYFUNCTION("""COMPUTED_VALUE"""),"ABOFOZVP")</f>
        <v>ABOFOZVP</v>
      </c>
      <c r="E5022" s="14" t="str">
        <f>IFERROR(__xludf.DUMMYFUNCTION("""COMPUTED_VALUE"""),"Heri (BT)")</f>
        <v>Heri (BT)</v>
      </c>
      <c r="F5022" s="14" t="str">
        <f>IFERROR(__xludf.DUMMYFUNCTION("""COMPUTED_VALUE"""),"SELESAI (VIA PERMOHONAN)")</f>
        <v>SELESAI (VIA PERMOHONAN)</v>
      </c>
      <c r="G5022" s="17">
        <f>IFERROR(__xludf.DUMMYFUNCTION("""COMPUTED_VALUE"""),46083.405467696764)</f>
        <v>46083.40547</v>
      </c>
      <c r="H5022" s="14"/>
      <c r="I5022" s="13"/>
      <c r="J5022" s="17" t="str">
        <f>IFERROR(__xludf.DUMMYFUNCTION("""COMPUTED_VALUE"""),"")</f>
        <v/>
      </c>
      <c r="K5022" s="13" t="str">
        <f>IFERROR(__xludf.DUMMYFUNCTION("""COMPUTED_VALUE"""),"BT atau SU Belum Valid")</f>
        <v>BT atau SU Belum Valid</v>
      </c>
      <c r="L5022" s="13" t="str">
        <f>IFERROR(__xludf.DUMMYFUNCTION("""COMPUTED_VALUE"""),"")</f>
        <v/>
      </c>
      <c r="M5022" s="13"/>
      <c r="N5022" s="13" t="str">
        <f>IFERROR(__xludf.DUMMYFUNCTION("""COMPUTED_VALUE"""),"")</f>
        <v/>
      </c>
      <c r="O5022" s="13" t="str">
        <f t="shared" si="1"/>
        <v/>
      </c>
    </row>
    <row r="5023" ht="22.5" customHeight="1">
      <c r="B5023" s="13">
        <f>IFERROR(__xludf.DUMMYFUNCTION("""COMPUTED_VALUE"""),5018.0)</f>
        <v>5018</v>
      </c>
      <c r="C5023" s="13" t="str">
        <f>IFERROR(__xludf.DUMMYFUNCTION("""COMPUTED_VALUE"""),"M 1140/ sukabumi indah")</f>
        <v>M 1140/ sukabumi indah</v>
      </c>
      <c r="D5023" s="13" t="str">
        <f>IFERROR(__xludf.DUMMYFUNCTION("""COMPUTED_VALUE"""),"ABEAIACI")</f>
        <v>ABEAIACI</v>
      </c>
      <c r="E5023" s="14" t="str">
        <f>IFERROR(__xludf.DUMMYFUNCTION("""COMPUTED_VALUE"""),"Heri (BT)")</f>
        <v>Heri (BT)</v>
      </c>
      <c r="F5023" s="14" t="str">
        <f>IFERROR(__xludf.DUMMYFUNCTION("""COMPUTED_VALUE"""),"SELESAI (VIA PERMOHONAN)")</f>
        <v>SELESAI (VIA PERMOHONAN)</v>
      </c>
      <c r="G5023" s="17">
        <f>IFERROR(__xludf.DUMMYFUNCTION("""COMPUTED_VALUE"""),46083.40563774305)</f>
        <v>46083.40564</v>
      </c>
      <c r="H5023" s="14"/>
      <c r="I5023" s="13"/>
      <c r="J5023" s="17" t="str">
        <f>IFERROR(__xludf.DUMMYFUNCTION("""COMPUTED_VALUE"""),"")</f>
        <v/>
      </c>
      <c r="K5023" s="13" t="str">
        <f>IFERROR(__xludf.DUMMYFUNCTION("""COMPUTED_VALUE"""),"BT atau SU Belum Valid")</f>
        <v>BT atau SU Belum Valid</v>
      </c>
      <c r="L5023" s="13" t="str">
        <f>IFERROR(__xludf.DUMMYFUNCTION("""COMPUTED_VALUE"""),"")</f>
        <v/>
      </c>
      <c r="M5023" s="13"/>
      <c r="N5023" s="13" t="str">
        <f>IFERROR(__xludf.DUMMYFUNCTION("""COMPUTED_VALUE"""),"")</f>
        <v/>
      </c>
      <c r="O5023" s="13" t="str">
        <f t="shared" si="1"/>
        <v/>
      </c>
    </row>
    <row r="5024" ht="22.5" customHeight="1">
      <c r="B5024" s="13">
        <f>IFERROR(__xludf.DUMMYFUNCTION("""COMPUTED_VALUE"""),5019.0)</f>
        <v>5019</v>
      </c>
      <c r="C5024" s="13" t="str">
        <f>IFERROR(__xludf.DUMMYFUNCTION("""COMPUTED_VALUE"""),"m 1294/ pinang jaya")</f>
        <v>m 1294/ pinang jaya</v>
      </c>
      <c r="D5024" s="13" t="str">
        <f>IFERROR(__xludf.DUMMYFUNCTION("""COMPUTED_VALUE"""),"ABQCCYCI")</f>
        <v>ABQCCYCI</v>
      </c>
      <c r="E5024" s="14" t="str">
        <f>IFERROR(__xludf.DUMMYFUNCTION("""COMPUTED_VALUE"""),"Heri (BT)")</f>
        <v>Heri (BT)</v>
      </c>
      <c r="F5024" s="14" t="str">
        <f>IFERROR(__xludf.DUMMYFUNCTION("""COMPUTED_VALUE"""),"SELESAI (VIA PERMOHONAN)")</f>
        <v>SELESAI (VIA PERMOHONAN)</v>
      </c>
      <c r="G5024" s="17">
        <f>IFERROR(__xludf.DUMMYFUNCTION("""COMPUTED_VALUE"""),46083.405849421295)</f>
        <v>46083.40585</v>
      </c>
      <c r="H5024" s="14"/>
      <c r="I5024" s="13"/>
      <c r="J5024" s="17" t="str">
        <f>IFERROR(__xludf.DUMMYFUNCTION("""COMPUTED_VALUE"""),"")</f>
        <v/>
      </c>
      <c r="K5024" s="13" t="str">
        <f>IFERROR(__xludf.DUMMYFUNCTION("""COMPUTED_VALUE"""),"BT atau SU Belum Valid")</f>
        <v>BT atau SU Belum Valid</v>
      </c>
      <c r="L5024" s="13" t="str">
        <f>IFERROR(__xludf.DUMMYFUNCTION("""COMPUTED_VALUE"""),"")</f>
        <v/>
      </c>
      <c r="M5024" s="13"/>
      <c r="N5024" s="13" t="str">
        <f>IFERROR(__xludf.DUMMYFUNCTION("""COMPUTED_VALUE"""),"")</f>
        <v/>
      </c>
      <c r="O5024" s="13" t="str">
        <f t="shared" si="1"/>
        <v/>
      </c>
    </row>
    <row r="5025" ht="22.5" customHeight="1">
      <c r="B5025" s="13">
        <f>IFERROR(__xludf.DUMMYFUNCTION("""COMPUTED_VALUE"""),5020.0)</f>
        <v>5020</v>
      </c>
      <c r="C5025" s="13" t="str">
        <f>IFERROR(__xludf.DUMMYFUNCTION("""COMPUTED_VALUE"""),"M 1542/ TELUK BETUNG")</f>
        <v>M 1542/ TELUK BETUNG</v>
      </c>
      <c r="D5025" s="13" t="str">
        <f>IFERROR(__xludf.DUMMYFUNCTION("""COMPUTED_VALUE"""),"AB047/ABGIPIWJ")</f>
        <v>AB047/ABGIPIWJ</v>
      </c>
      <c r="E5025" s="14" t="str">
        <f>IFERROR(__xludf.DUMMYFUNCTION("""COMPUTED_VALUE"""),"Heri (BT)")</f>
        <v>Heri (BT)</v>
      </c>
      <c r="F5025" s="14" t="str">
        <f>IFERROR(__xludf.DUMMYFUNCTION("""COMPUTED_VALUE"""),"SELESAI (VIA PERMOHONAN)")</f>
        <v>SELESAI (VIA PERMOHONAN)</v>
      </c>
      <c r="G5025" s="17">
        <f>IFERROR(__xludf.DUMMYFUNCTION("""COMPUTED_VALUE"""),46083.4062928125)</f>
        <v>46083.40629</v>
      </c>
      <c r="H5025" s="14"/>
      <c r="I5025" s="13"/>
      <c r="J5025" s="17" t="str">
        <f>IFERROR(__xludf.DUMMYFUNCTION("""COMPUTED_VALUE"""),"")</f>
        <v/>
      </c>
      <c r="K5025" s="13" t="str">
        <f>IFERROR(__xludf.DUMMYFUNCTION("""COMPUTED_VALUE"""),"BT atau SU Belum Valid")</f>
        <v>BT atau SU Belum Valid</v>
      </c>
      <c r="L5025" s="13" t="str">
        <f>IFERROR(__xludf.DUMMYFUNCTION("""COMPUTED_VALUE"""),"")</f>
        <v/>
      </c>
      <c r="M5025" s="13"/>
      <c r="N5025" s="13" t="str">
        <f>IFERROR(__xludf.DUMMYFUNCTION("""COMPUTED_VALUE"""),"")</f>
        <v/>
      </c>
      <c r="O5025" s="13" t="str">
        <f t="shared" si="1"/>
        <v/>
      </c>
    </row>
    <row r="5026" ht="22.5" customHeight="1">
      <c r="B5026" s="13">
        <f>IFERROR(__xludf.DUMMYFUNCTION("""COMPUTED_VALUE"""),5021.0)</f>
        <v>5021</v>
      </c>
      <c r="C5026" s="13" t="str">
        <f>IFERROR(__xludf.DUMMYFUNCTION("""COMPUTED_VALUE"""),"M. 1679/WAY KANDIS")</f>
        <v>M. 1679/WAY KANDIS</v>
      </c>
      <c r="D5026" s="13" t="str">
        <f>IFERROR(__xludf.DUMMYFUNCTION("""COMPUTED_VALUE"""),"L/1/080126/1")</f>
        <v>L/1/080126/1</v>
      </c>
      <c r="E5026" s="14" t="str">
        <f>IFERROR(__xludf.DUMMYFUNCTION("""COMPUTED_VALUE"""),"Heri (BT)")</f>
        <v>Heri (BT)</v>
      </c>
      <c r="F5026" s="14" t="str">
        <f>IFERROR(__xludf.DUMMYFUNCTION("""COMPUTED_VALUE"""),"SELESAI (VIA PERMOHONAN)")</f>
        <v>SELESAI (VIA PERMOHONAN)</v>
      </c>
      <c r="G5026" s="17">
        <f>IFERROR(__xludf.DUMMYFUNCTION("""COMPUTED_VALUE"""),46084.6377444213)</f>
        <v>46084.63774</v>
      </c>
      <c r="H5026" s="14"/>
      <c r="I5026" s="13"/>
      <c r="J5026" s="17" t="str">
        <f>IFERROR(__xludf.DUMMYFUNCTION("""COMPUTED_VALUE"""),"")</f>
        <v/>
      </c>
      <c r="K5026" s="13" t="str">
        <f>IFERROR(__xludf.DUMMYFUNCTION("""COMPUTED_VALUE"""),"BT atau SU Belum Valid")</f>
        <v>BT atau SU Belum Valid</v>
      </c>
      <c r="L5026" s="13" t="str">
        <f>IFERROR(__xludf.DUMMYFUNCTION("""COMPUTED_VALUE"""),"")</f>
        <v/>
      </c>
      <c r="M5026" s="13"/>
      <c r="N5026" s="13" t="str">
        <f>IFERROR(__xludf.DUMMYFUNCTION("""COMPUTED_VALUE"""),"")</f>
        <v/>
      </c>
      <c r="O5026" s="13" t="str">
        <f t="shared" si="1"/>
        <v/>
      </c>
    </row>
    <row r="5027" ht="22.5" customHeight="1">
      <c r="B5027" s="13">
        <f>IFERROR(__xludf.DUMMYFUNCTION("""COMPUTED_VALUE"""),5022.0)</f>
        <v>5022</v>
      </c>
      <c r="C5027" s="13" t="str">
        <f>IFERROR(__xludf.DUMMYFUNCTION("""COMPUTED_VALUE"""),"M 3489/ kota baru")</f>
        <v>M 3489/ kota baru</v>
      </c>
      <c r="D5027" s="13" t="str">
        <f>IFERROR(__xludf.DUMMYFUNCTION("""COMPUTED_VALUE"""),"ABEFXIFP/006")</f>
        <v>ABEFXIFP/006</v>
      </c>
      <c r="E5027" s="14" t="str">
        <f>IFERROR(__xludf.DUMMYFUNCTION("""COMPUTED_VALUE"""),"Heri (BT)")</f>
        <v>Heri (BT)</v>
      </c>
      <c r="F5027" s="14" t="str">
        <f>IFERROR(__xludf.DUMMYFUNCTION("""COMPUTED_VALUE"""),"SELESAI (VIA PERMOHONAN)")</f>
        <v>SELESAI (VIA PERMOHONAN)</v>
      </c>
      <c r="G5027" s="17">
        <f>IFERROR(__xludf.DUMMYFUNCTION("""COMPUTED_VALUE"""),46084.64946140046)</f>
        <v>46084.64946</v>
      </c>
      <c r="H5027" s="14"/>
      <c r="I5027" s="13"/>
      <c r="J5027" s="17" t="str">
        <f>IFERROR(__xludf.DUMMYFUNCTION("""COMPUTED_VALUE"""),"")</f>
        <v/>
      </c>
      <c r="K5027" s="13" t="str">
        <f>IFERROR(__xludf.DUMMYFUNCTION("""COMPUTED_VALUE"""),"BT atau SU Belum Valid")</f>
        <v>BT atau SU Belum Valid</v>
      </c>
      <c r="L5027" s="13" t="str">
        <f>IFERROR(__xludf.DUMMYFUNCTION("""COMPUTED_VALUE"""),"")</f>
        <v/>
      </c>
      <c r="M5027" s="13"/>
      <c r="N5027" s="13" t="str">
        <f>IFERROR(__xludf.DUMMYFUNCTION("""COMPUTED_VALUE"""),"")</f>
        <v/>
      </c>
      <c r="O5027" s="13" t="str">
        <f t="shared" si="1"/>
        <v/>
      </c>
    </row>
    <row r="5028" ht="22.5" customHeight="1">
      <c r="B5028" s="13">
        <f>IFERROR(__xludf.DUMMYFUNCTION("""COMPUTED_VALUE"""),5023.0)</f>
        <v>5023</v>
      </c>
      <c r="C5028" s="13" t="str">
        <f>IFERROR(__xludf.DUMMYFUNCTION("""COMPUTED_VALUE"""),"M 1434/ BUMI KEDAMAIAN")</f>
        <v>M 1434/ BUMI KEDAMAIAN</v>
      </c>
      <c r="D5028" s="13" t="str">
        <f>IFERROR(__xludf.DUMMYFUNCTION("""COMPUTED_VALUE"""),"ABZHHIUZ")</f>
        <v>ABZHHIUZ</v>
      </c>
      <c r="E5028" s="14" t="str">
        <f>IFERROR(__xludf.DUMMYFUNCTION("""COMPUTED_VALUE"""),"Heri (BT)")</f>
        <v>Heri (BT)</v>
      </c>
      <c r="F5028" s="14" t="str">
        <f>IFERROR(__xludf.DUMMYFUNCTION("""COMPUTED_VALUE"""),"SELESAI (VIA PERMOHONAN)")</f>
        <v>SELESAI (VIA PERMOHONAN)</v>
      </c>
      <c r="G5028" s="17">
        <f>IFERROR(__xludf.DUMMYFUNCTION("""COMPUTED_VALUE"""),46084.64978930556)</f>
        <v>46084.64979</v>
      </c>
      <c r="H5028" s="14"/>
      <c r="I5028" s="13"/>
      <c r="J5028" s="17" t="str">
        <f>IFERROR(__xludf.DUMMYFUNCTION("""COMPUTED_VALUE"""),"")</f>
        <v/>
      </c>
      <c r="K5028" s="13" t="str">
        <f>IFERROR(__xludf.DUMMYFUNCTION("""COMPUTED_VALUE"""),"BT atau SU Belum Valid")</f>
        <v>BT atau SU Belum Valid</v>
      </c>
      <c r="L5028" s="13" t="str">
        <f>IFERROR(__xludf.DUMMYFUNCTION("""COMPUTED_VALUE"""),"")</f>
        <v/>
      </c>
      <c r="M5028" s="13"/>
      <c r="N5028" s="13" t="str">
        <f>IFERROR(__xludf.DUMMYFUNCTION("""COMPUTED_VALUE"""),"")</f>
        <v/>
      </c>
      <c r="O5028" s="13" t="str">
        <f t="shared" si="1"/>
        <v/>
      </c>
    </row>
    <row r="5029" ht="22.5" customHeight="1">
      <c r="B5029" s="13">
        <f>IFERROR(__xludf.DUMMYFUNCTION("""COMPUTED_VALUE"""),5024.0)</f>
        <v>5024</v>
      </c>
      <c r="C5029" s="13" t="str">
        <f>IFERROR(__xludf.DUMMYFUNCTION("""COMPUTED_VALUE"""),"M 239/ BILABONG JAYA")</f>
        <v>M 239/ BILABONG JAYA</v>
      </c>
      <c r="D5029" s="13" t="str">
        <f>IFERROR(__xludf.DUMMYFUNCTION("""COMPUTED_VALUE"""),"AB0024 ABGEAXFQ")</f>
        <v>AB0024 ABGEAXFQ</v>
      </c>
      <c r="E5029" s="14" t="str">
        <f>IFERROR(__xludf.DUMMYFUNCTION("""COMPUTED_VALUE"""),"Heri (BT)")</f>
        <v>Heri (BT)</v>
      </c>
      <c r="F5029" s="14" t="str">
        <f>IFERROR(__xludf.DUMMYFUNCTION("""COMPUTED_VALUE"""),"SELESAI (VIA PERMOHONAN)")</f>
        <v>SELESAI (VIA PERMOHONAN)</v>
      </c>
      <c r="G5029" s="17">
        <f>IFERROR(__xludf.DUMMYFUNCTION("""COMPUTED_VALUE"""),46084.65001680556)</f>
        <v>46084.65002</v>
      </c>
      <c r="H5029" s="14"/>
      <c r="I5029" s="13"/>
      <c r="J5029" s="17" t="str">
        <f>IFERROR(__xludf.DUMMYFUNCTION("""COMPUTED_VALUE"""),"")</f>
        <v/>
      </c>
      <c r="K5029" s="13" t="str">
        <f>IFERROR(__xludf.DUMMYFUNCTION("""COMPUTED_VALUE"""),"BT atau SU Belum Valid")</f>
        <v>BT atau SU Belum Valid</v>
      </c>
      <c r="L5029" s="13" t="str">
        <f>IFERROR(__xludf.DUMMYFUNCTION("""COMPUTED_VALUE"""),"")</f>
        <v/>
      </c>
      <c r="M5029" s="13"/>
      <c r="N5029" s="13" t="str">
        <f>IFERROR(__xludf.DUMMYFUNCTION("""COMPUTED_VALUE"""),"")</f>
        <v/>
      </c>
      <c r="O5029" s="13" t="str">
        <f t="shared" si="1"/>
        <v/>
      </c>
    </row>
    <row r="5030" ht="22.5" customHeight="1">
      <c r="B5030" s="13">
        <f>IFERROR(__xludf.DUMMYFUNCTION("""COMPUTED_VALUE"""),5025.0)</f>
        <v>5025</v>
      </c>
      <c r="C5030" s="13" t="str">
        <f>IFERROR(__xludf.DUMMYFUNCTION("""COMPUTED_VALUE"""),"M 2044/ Gedong Air")</f>
        <v>M 2044/ Gedong Air</v>
      </c>
      <c r="D5030" s="13" t="str">
        <f>IFERROR(__xludf.DUMMYFUNCTION("""COMPUTED_VALUE"""),"AB023/ABWYXECQ")</f>
        <v>AB023/ABWYXECQ</v>
      </c>
      <c r="E5030" s="14" t="str">
        <f>IFERROR(__xludf.DUMMYFUNCTION("""COMPUTED_VALUE"""),"Heri (BT)")</f>
        <v>Heri (BT)</v>
      </c>
      <c r="F5030" s="14" t="str">
        <f>IFERROR(__xludf.DUMMYFUNCTION("""COMPUTED_VALUE"""),"SELESAI (VIA PERMOHONAN)")</f>
        <v>SELESAI (VIA PERMOHONAN)</v>
      </c>
      <c r="G5030" s="17">
        <f>IFERROR(__xludf.DUMMYFUNCTION("""COMPUTED_VALUE"""),46084.65020333334)</f>
        <v>46084.6502</v>
      </c>
      <c r="H5030" s="14"/>
      <c r="I5030" s="13"/>
      <c r="J5030" s="17" t="str">
        <f>IFERROR(__xludf.DUMMYFUNCTION("""COMPUTED_VALUE"""),"")</f>
        <v/>
      </c>
      <c r="K5030" s="13" t="str">
        <f>IFERROR(__xludf.DUMMYFUNCTION("""COMPUTED_VALUE"""),"BT atau SU Belum Valid")</f>
        <v>BT atau SU Belum Valid</v>
      </c>
      <c r="L5030" s="13" t="str">
        <f>IFERROR(__xludf.DUMMYFUNCTION("""COMPUTED_VALUE"""),"")</f>
        <v/>
      </c>
      <c r="M5030" s="13"/>
      <c r="N5030" s="13" t="str">
        <f>IFERROR(__xludf.DUMMYFUNCTION("""COMPUTED_VALUE"""),"")</f>
        <v/>
      </c>
      <c r="O5030" s="13" t="str">
        <f t="shared" si="1"/>
        <v/>
      </c>
    </row>
    <row r="5031" ht="22.5" customHeight="1">
      <c r="B5031" s="13">
        <f>IFERROR(__xludf.DUMMYFUNCTION("""COMPUTED_VALUE"""),5026.0)</f>
        <v>5026</v>
      </c>
      <c r="C5031" s="13" t="str">
        <f>IFERROR(__xludf.DUMMYFUNCTION("""COMPUTED_VALUE"""),"M. 1571/Kuripan")</f>
        <v>M. 1571/Kuripan</v>
      </c>
      <c r="D5031" s="13" t="str">
        <f>IFERROR(__xludf.DUMMYFUNCTION("""COMPUTED_VALUE"""),"ABVVLNWS/AB016")</f>
        <v>ABVVLNWS/AB016</v>
      </c>
      <c r="E5031" s="14" t="str">
        <f>IFERROR(__xludf.DUMMYFUNCTION("""COMPUTED_VALUE"""),"Heri (BT)")</f>
        <v>Heri (BT)</v>
      </c>
      <c r="F5031" s="14" t="str">
        <f>IFERROR(__xludf.DUMMYFUNCTION("""COMPUTED_VALUE"""),"SELESAI (VIA PERMOHONAN)")</f>
        <v>SELESAI (VIA PERMOHONAN)</v>
      </c>
      <c r="G5031" s="17">
        <f>IFERROR(__xludf.DUMMYFUNCTION("""COMPUTED_VALUE"""),46084.65031388889)</f>
        <v>46084.65031</v>
      </c>
      <c r="H5031" s="14"/>
      <c r="I5031" s="13"/>
      <c r="J5031" s="17" t="str">
        <f>IFERROR(__xludf.DUMMYFUNCTION("""COMPUTED_VALUE"""),"")</f>
        <v/>
      </c>
      <c r="K5031" s="13" t="str">
        <f>IFERROR(__xludf.DUMMYFUNCTION("""COMPUTED_VALUE"""),"BT atau SU Belum Valid")</f>
        <v>BT atau SU Belum Valid</v>
      </c>
      <c r="L5031" s="13" t="str">
        <f>IFERROR(__xludf.DUMMYFUNCTION("""COMPUTED_VALUE"""),"")</f>
        <v/>
      </c>
      <c r="M5031" s="13"/>
      <c r="N5031" s="13" t="str">
        <f>IFERROR(__xludf.DUMMYFUNCTION("""COMPUTED_VALUE"""),"")</f>
        <v/>
      </c>
      <c r="O5031" s="13" t="str">
        <f t="shared" si="1"/>
        <v/>
      </c>
    </row>
    <row r="5032" ht="22.5" customHeight="1">
      <c r="B5032" s="13">
        <f>IFERROR(__xludf.DUMMYFUNCTION("""COMPUTED_VALUE"""),5027.0)</f>
        <v>5027</v>
      </c>
      <c r="C5032" s="13" t="str">
        <f>IFERROR(__xludf.DUMMYFUNCTION("""COMPUTED_VALUE"""),"M 2191/LABUHAN RATU RAYA")</f>
        <v>M 2191/LABUHAN RATU RAYA</v>
      </c>
      <c r="D5032" s="13" t="str">
        <f>IFERROR(__xludf.DUMMYFUNCTION("""COMPUTED_VALUE"""),"ABYUGBNW/AB028")</f>
        <v>ABYUGBNW/AB028</v>
      </c>
      <c r="E5032" s="14" t="str">
        <f>IFERROR(__xludf.DUMMYFUNCTION("""COMPUTED_VALUE"""),"Heri (BT)")</f>
        <v>Heri (BT)</v>
      </c>
      <c r="F5032" s="14" t="str">
        <f>IFERROR(__xludf.DUMMYFUNCTION("""COMPUTED_VALUE"""),"SELESAI (VIA PERMOHONAN)")</f>
        <v>SELESAI (VIA PERMOHONAN)</v>
      </c>
      <c r="G5032" s="17">
        <f>IFERROR(__xludf.DUMMYFUNCTION("""COMPUTED_VALUE"""),46084.65156457176)</f>
        <v>46084.65156</v>
      </c>
      <c r="H5032" s="14"/>
      <c r="I5032" s="13"/>
      <c r="J5032" s="17" t="str">
        <f>IFERROR(__xludf.DUMMYFUNCTION("""COMPUTED_VALUE"""),"")</f>
        <v/>
      </c>
      <c r="K5032" s="13" t="str">
        <f>IFERROR(__xludf.DUMMYFUNCTION("""COMPUTED_VALUE"""),"BT atau SU Belum Valid")</f>
        <v>BT atau SU Belum Valid</v>
      </c>
      <c r="L5032" s="13" t="str">
        <f>IFERROR(__xludf.DUMMYFUNCTION("""COMPUTED_VALUE"""),"")</f>
        <v/>
      </c>
      <c r="M5032" s="13"/>
      <c r="N5032" s="13" t="str">
        <f>IFERROR(__xludf.DUMMYFUNCTION("""COMPUTED_VALUE"""),"")</f>
        <v/>
      </c>
      <c r="O5032" s="13" t="str">
        <f t="shared" si="1"/>
        <v/>
      </c>
    </row>
    <row r="5033" ht="22.5" customHeight="1">
      <c r="B5033" s="13">
        <f>IFERROR(__xludf.DUMMYFUNCTION("""COMPUTED_VALUE"""),5028.0)</f>
        <v>5028</v>
      </c>
      <c r="C5033" s="13" t="str">
        <f>IFERROR(__xludf.DUMMYFUNCTION("""COMPUTED_VALUE"""),"Hak Milik Nomor 1329/Way Lunik")</f>
        <v>Hak Milik Nomor 1329/Way Lunik</v>
      </c>
      <c r="D5033" s="13" t="str">
        <f>IFERROR(__xludf.DUMMYFUNCTION("""COMPUTED_VALUE"""),"ABAOLUWF")</f>
        <v>ABAOLUWF</v>
      </c>
      <c r="E5033" s="14" t="str">
        <f>IFERROR(__xludf.DUMMYFUNCTION("""COMPUTED_VALUE"""),"Heri (BT)")</f>
        <v>Heri (BT)</v>
      </c>
      <c r="F5033" s="14" t="str">
        <f>IFERROR(__xludf.DUMMYFUNCTION("""COMPUTED_VALUE"""),"SELESAI (VIA PERMOHONAN)")</f>
        <v>SELESAI (VIA PERMOHONAN)</v>
      </c>
      <c r="G5033" s="17">
        <f>IFERROR(__xludf.DUMMYFUNCTION("""COMPUTED_VALUE"""),46084.65151606481)</f>
        <v>46084.65152</v>
      </c>
      <c r="H5033" s="14"/>
      <c r="I5033" s="13"/>
      <c r="J5033" s="17" t="str">
        <f>IFERROR(__xludf.DUMMYFUNCTION("""COMPUTED_VALUE"""),"")</f>
        <v/>
      </c>
      <c r="K5033" s="13" t="str">
        <f>IFERROR(__xludf.DUMMYFUNCTION("""COMPUTED_VALUE"""),"BT atau SU Belum Valid")</f>
        <v>BT atau SU Belum Valid</v>
      </c>
      <c r="L5033" s="13" t="str">
        <f>IFERROR(__xludf.DUMMYFUNCTION("""COMPUTED_VALUE"""),"")</f>
        <v/>
      </c>
      <c r="M5033" s="13"/>
      <c r="N5033" s="13" t="str">
        <f>IFERROR(__xludf.DUMMYFUNCTION("""COMPUTED_VALUE"""),"")</f>
        <v/>
      </c>
      <c r="O5033" s="13" t="str">
        <f t="shared" si="1"/>
        <v/>
      </c>
    </row>
    <row r="5034" ht="22.5" customHeight="1">
      <c r="B5034" s="13">
        <f>IFERROR(__xludf.DUMMYFUNCTION("""COMPUTED_VALUE"""),5029.0)</f>
        <v>5029</v>
      </c>
      <c r="C5034" s="13" t="str">
        <f>IFERROR(__xludf.DUMMYFUNCTION("""COMPUTED_VALUE"""),"366/ Tj.R")</f>
        <v>366/ Tj.R</v>
      </c>
      <c r="D5034" s="13" t="str">
        <f>IFERROR(__xludf.DUMMYFUNCTION("""COMPUTED_VALUE"""),"ABYWDFIO")</f>
        <v>ABYWDFIO</v>
      </c>
      <c r="E5034" s="14" t="str">
        <f>IFERROR(__xludf.DUMMYFUNCTION("""COMPUTED_VALUE"""),"Heri (BT)")</f>
        <v>Heri (BT)</v>
      </c>
      <c r="F5034" s="14" t="str">
        <f>IFERROR(__xludf.DUMMYFUNCTION("""COMPUTED_VALUE"""),"SELESAI (VIA PERMOHONAN)")</f>
        <v>SELESAI (VIA PERMOHONAN)</v>
      </c>
      <c r="G5034" s="17">
        <f>IFERROR(__xludf.DUMMYFUNCTION("""COMPUTED_VALUE"""),46084.65179753472)</f>
        <v>46084.6518</v>
      </c>
      <c r="H5034" s="14"/>
      <c r="I5034" s="13"/>
      <c r="J5034" s="17" t="str">
        <f>IFERROR(__xludf.DUMMYFUNCTION("""COMPUTED_VALUE"""),"")</f>
        <v/>
      </c>
      <c r="K5034" s="13" t="str">
        <f>IFERROR(__xludf.DUMMYFUNCTION("""COMPUTED_VALUE"""),"BT atau SU Belum Valid")</f>
        <v>BT atau SU Belum Valid</v>
      </c>
      <c r="L5034" s="13" t="str">
        <f>IFERROR(__xludf.DUMMYFUNCTION("""COMPUTED_VALUE"""),"")</f>
        <v/>
      </c>
      <c r="M5034" s="13"/>
      <c r="N5034" s="13" t="str">
        <f>IFERROR(__xludf.DUMMYFUNCTION("""COMPUTED_VALUE"""),"")</f>
        <v/>
      </c>
      <c r="O5034" s="13" t="str">
        <f t="shared" si="1"/>
        <v/>
      </c>
    </row>
    <row r="5035" ht="22.5" customHeight="1">
      <c r="B5035" s="13">
        <f>IFERROR(__xludf.DUMMYFUNCTION("""COMPUTED_VALUE"""),5030.0)</f>
        <v>5030</v>
      </c>
      <c r="C5035" s="13" t="str">
        <f>IFERROR(__xludf.DUMMYFUNCTION("""COMPUTED_VALUE"""),"04631/Keteguhan")</f>
        <v>04631/Keteguhan</v>
      </c>
      <c r="D5035" s="13" t="str">
        <f>IFERROR(__xludf.DUMMYFUNCTION("""COMPUTED_VALUE"""),"ABXQTOTL")</f>
        <v>ABXQTOTL</v>
      </c>
      <c r="E5035" s="14" t="str">
        <f>IFERROR(__xludf.DUMMYFUNCTION("""COMPUTED_VALUE"""),"Heri (BT)")</f>
        <v>Heri (BT)</v>
      </c>
      <c r="F5035" s="14" t="str">
        <f>IFERROR(__xludf.DUMMYFUNCTION("""COMPUTED_VALUE"""),"SELESAI (VIA PERMOHONAN)")</f>
        <v>SELESAI (VIA PERMOHONAN)</v>
      </c>
      <c r="G5035" s="17">
        <f>IFERROR(__xludf.DUMMYFUNCTION("""COMPUTED_VALUE"""),46084.652045925926)</f>
        <v>46084.65205</v>
      </c>
      <c r="H5035" s="14"/>
      <c r="I5035" s="13"/>
      <c r="J5035" s="17" t="str">
        <f>IFERROR(__xludf.DUMMYFUNCTION("""COMPUTED_VALUE"""),"")</f>
        <v/>
      </c>
      <c r="K5035" s="13" t="str">
        <f>IFERROR(__xludf.DUMMYFUNCTION("""COMPUTED_VALUE"""),"BT atau SU Belum Valid")</f>
        <v>BT atau SU Belum Valid</v>
      </c>
      <c r="L5035" s="13" t="str">
        <f>IFERROR(__xludf.DUMMYFUNCTION("""COMPUTED_VALUE"""),"")</f>
        <v/>
      </c>
      <c r="M5035" s="13"/>
      <c r="N5035" s="13" t="str">
        <f>IFERROR(__xludf.DUMMYFUNCTION("""COMPUTED_VALUE"""),"")</f>
        <v/>
      </c>
      <c r="O5035" s="13" t="str">
        <f t="shared" si="1"/>
        <v/>
      </c>
    </row>
    <row r="5036" ht="22.5" customHeight="1">
      <c r="B5036" s="13">
        <f>IFERROR(__xludf.DUMMYFUNCTION("""COMPUTED_VALUE"""),5031.0)</f>
        <v>5031</v>
      </c>
      <c r="C5036" s="13" t="str">
        <f>IFERROR(__xludf.DUMMYFUNCTION("""COMPUTED_VALUE"""),"M 1102/ PENGAJARAN")</f>
        <v>M 1102/ PENGAJARAN</v>
      </c>
      <c r="D5036" s="13" t="str">
        <f>IFERROR(__xludf.DUMMYFUNCTION("""COMPUTED_VALUE"""),"K/37/091025/2")</f>
        <v>K/37/091025/2</v>
      </c>
      <c r="E5036" s="14" t="str">
        <f>IFERROR(__xludf.DUMMYFUNCTION("""COMPUTED_VALUE"""),"Heri (BT)")</f>
        <v>Heri (BT)</v>
      </c>
      <c r="F5036" s="14" t="str">
        <f>IFERROR(__xludf.DUMMYFUNCTION("""COMPUTED_VALUE"""),"SELESAI (VIA PERMOHONAN)")</f>
        <v>SELESAI (VIA PERMOHONAN)</v>
      </c>
      <c r="G5036" s="17">
        <f>IFERROR(__xludf.DUMMYFUNCTION("""COMPUTED_VALUE"""),46084.65218746528)</f>
        <v>46084.65219</v>
      </c>
      <c r="H5036" s="14"/>
      <c r="I5036" s="13"/>
      <c r="J5036" s="17" t="str">
        <f>IFERROR(__xludf.DUMMYFUNCTION("""COMPUTED_VALUE"""),"")</f>
        <v/>
      </c>
      <c r="K5036" s="13" t="str">
        <f>IFERROR(__xludf.DUMMYFUNCTION("""COMPUTED_VALUE"""),"BT atau SU Belum Valid")</f>
        <v>BT atau SU Belum Valid</v>
      </c>
      <c r="L5036" s="13" t="str">
        <f>IFERROR(__xludf.DUMMYFUNCTION("""COMPUTED_VALUE"""),"")</f>
        <v/>
      </c>
      <c r="M5036" s="13"/>
      <c r="N5036" s="13" t="str">
        <f>IFERROR(__xludf.DUMMYFUNCTION("""COMPUTED_VALUE"""),"")</f>
        <v/>
      </c>
      <c r="O5036" s="13" t="str">
        <f t="shared" si="1"/>
        <v/>
      </c>
    </row>
    <row r="5037" ht="22.5" customHeight="1">
      <c r="B5037" s="13">
        <f>IFERROR(__xludf.DUMMYFUNCTION("""COMPUTED_VALUE"""),5032.0)</f>
        <v>5032</v>
      </c>
      <c r="C5037" s="13" t="str">
        <f>IFERROR(__xludf.DUMMYFUNCTION("""COMPUTED_VALUE"""),"M 1454")</f>
        <v>M 1454</v>
      </c>
      <c r="D5037" s="13" t="str">
        <f>IFERROR(__xludf.DUMMYFUNCTION("""COMPUTED_VALUE"""),"ABBUWDSY")</f>
        <v>ABBUWDSY</v>
      </c>
      <c r="E5037" s="14" t="str">
        <f>IFERROR(__xludf.DUMMYFUNCTION("""COMPUTED_VALUE"""),"Heri (BT)")</f>
        <v>Heri (BT)</v>
      </c>
      <c r="F5037" s="14" t="str">
        <f>IFERROR(__xludf.DUMMYFUNCTION("""COMPUTED_VALUE"""),"SELESAI (VIA PERMOHONAN)")</f>
        <v>SELESAI (VIA PERMOHONAN)</v>
      </c>
      <c r="G5037" s="17">
        <f>IFERROR(__xludf.DUMMYFUNCTION("""COMPUTED_VALUE"""),46084.652533125)</f>
        <v>46084.65253</v>
      </c>
      <c r="H5037" s="14"/>
      <c r="I5037" s="13"/>
      <c r="J5037" s="17" t="str">
        <f>IFERROR(__xludf.DUMMYFUNCTION("""COMPUTED_VALUE"""),"")</f>
        <v/>
      </c>
      <c r="K5037" s="13" t="str">
        <f>IFERROR(__xludf.DUMMYFUNCTION("""COMPUTED_VALUE"""),"BT atau SU Belum Valid")</f>
        <v>BT atau SU Belum Valid</v>
      </c>
      <c r="L5037" s="13" t="str">
        <f>IFERROR(__xludf.DUMMYFUNCTION("""COMPUTED_VALUE"""),"")</f>
        <v/>
      </c>
      <c r="M5037" s="13"/>
      <c r="N5037" s="13" t="str">
        <f>IFERROR(__xludf.DUMMYFUNCTION("""COMPUTED_VALUE"""),"")</f>
        <v/>
      </c>
      <c r="O5037" s="13" t="str">
        <f t="shared" si="1"/>
        <v/>
      </c>
    </row>
    <row r="5038" ht="22.5" customHeight="1">
      <c r="B5038" s="13">
        <f>IFERROR(__xludf.DUMMYFUNCTION("""COMPUTED_VALUE"""),5033.0)</f>
        <v>5033</v>
      </c>
      <c r="C5038" s="13" t="str">
        <f>IFERROR(__xludf.DUMMYFUNCTION("""COMPUTED_VALUE"""),"M 2165 way halim permai")</f>
        <v>M 2165 way halim permai</v>
      </c>
      <c r="D5038" s="13" t="str">
        <f>IFERROR(__xludf.DUMMYFUNCTION("""COMPUTED_VALUE"""),"ABITZLKK/1")</f>
        <v>ABITZLKK/1</v>
      </c>
      <c r="E5038" s="14" t="str">
        <f>IFERROR(__xludf.DUMMYFUNCTION("""COMPUTED_VALUE"""),"Heri (BT)")</f>
        <v>Heri (BT)</v>
      </c>
      <c r="F5038" s="14" t="str">
        <f>IFERROR(__xludf.DUMMYFUNCTION("""COMPUTED_VALUE"""),"SELESAI (VIA PERMOHONAN)")</f>
        <v>SELESAI (VIA PERMOHONAN)</v>
      </c>
      <c r="G5038" s="17">
        <f>IFERROR(__xludf.DUMMYFUNCTION("""COMPUTED_VALUE"""),46084.652807708335)</f>
        <v>46084.65281</v>
      </c>
      <c r="H5038" s="14"/>
      <c r="I5038" s="13"/>
      <c r="J5038" s="17" t="str">
        <f>IFERROR(__xludf.DUMMYFUNCTION("""COMPUTED_VALUE"""),"")</f>
        <v/>
      </c>
      <c r="K5038" s="13" t="str">
        <f>IFERROR(__xludf.DUMMYFUNCTION("""COMPUTED_VALUE"""),"BT atau SU Belum Valid")</f>
        <v>BT atau SU Belum Valid</v>
      </c>
      <c r="L5038" s="13" t="str">
        <f>IFERROR(__xludf.DUMMYFUNCTION("""COMPUTED_VALUE"""),"")</f>
        <v/>
      </c>
      <c r="M5038" s="13"/>
      <c r="N5038" s="13" t="str">
        <f>IFERROR(__xludf.DUMMYFUNCTION("""COMPUTED_VALUE"""),"")</f>
        <v/>
      </c>
      <c r="O5038" s="13" t="str">
        <f t="shared" si="1"/>
        <v/>
      </c>
    </row>
    <row r="5039" ht="22.5" customHeight="1">
      <c r="B5039" s="13">
        <f>IFERROR(__xludf.DUMMYFUNCTION("""COMPUTED_VALUE"""),5034.0)</f>
        <v>5034</v>
      </c>
      <c r="C5039" s="13" t="str">
        <f>IFERROR(__xludf.DUMMYFUNCTION("""COMPUTED_VALUE"""),"SHM.2458/panjang utara")</f>
        <v>SHM.2458/panjang utara</v>
      </c>
      <c r="D5039" s="13" t="str">
        <f>IFERROR(__xludf.DUMMYFUNCTION("""COMPUTED_VALUE"""),"ABEILPZG/1")</f>
        <v>ABEILPZG/1</v>
      </c>
      <c r="E5039" s="14" t="str">
        <f>IFERROR(__xludf.DUMMYFUNCTION("""COMPUTED_VALUE"""),"Heri (BT)")</f>
        <v>Heri (BT)</v>
      </c>
      <c r="F5039" s="14" t="str">
        <f>IFERROR(__xludf.DUMMYFUNCTION("""COMPUTED_VALUE"""),"SELESAI (VIA PERMOHONAN)")</f>
        <v>SELESAI (VIA PERMOHONAN)</v>
      </c>
      <c r="G5039" s="17">
        <f>IFERROR(__xludf.DUMMYFUNCTION("""COMPUTED_VALUE"""),46084.65292729167)</f>
        <v>46084.65293</v>
      </c>
      <c r="H5039" s="14"/>
      <c r="I5039" s="13"/>
      <c r="J5039" s="17" t="str">
        <f>IFERROR(__xludf.DUMMYFUNCTION("""COMPUTED_VALUE"""),"")</f>
        <v/>
      </c>
      <c r="K5039" s="13" t="str">
        <f>IFERROR(__xludf.DUMMYFUNCTION("""COMPUTED_VALUE"""),"BT atau SU Belum Valid")</f>
        <v>BT atau SU Belum Valid</v>
      </c>
      <c r="L5039" s="13" t="str">
        <f>IFERROR(__xludf.DUMMYFUNCTION("""COMPUTED_VALUE"""),"")</f>
        <v/>
      </c>
      <c r="M5039" s="13"/>
      <c r="N5039" s="13" t="str">
        <f>IFERROR(__xludf.DUMMYFUNCTION("""COMPUTED_VALUE"""),"")</f>
        <v/>
      </c>
      <c r="O5039" s="13" t="str">
        <f t="shared" si="1"/>
        <v/>
      </c>
    </row>
    <row r="5040" ht="22.5" customHeight="1">
      <c r="B5040" s="13">
        <f>IFERROR(__xludf.DUMMYFUNCTION("""COMPUTED_VALUE"""),5035.0)</f>
        <v>5035</v>
      </c>
      <c r="C5040" s="13" t="str">
        <f>IFERROR(__xludf.DUMMYFUNCTION("""COMPUTED_VALUE"""),"M.02710/Bumi Waras")</f>
        <v>M.02710/Bumi Waras</v>
      </c>
      <c r="D5040" s="13" t="str">
        <f>IFERROR(__xludf.DUMMYFUNCTION("""COMPUTED_VALUE"""),"ABTITOBG/AB054")</f>
        <v>ABTITOBG/AB054</v>
      </c>
      <c r="E5040" s="14" t="str">
        <f>IFERROR(__xludf.DUMMYFUNCTION("""COMPUTED_VALUE"""),"Heri (BT)")</f>
        <v>Heri (BT)</v>
      </c>
      <c r="F5040" s="14" t="str">
        <f>IFERROR(__xludf.DUMMYFUNCTION("""COMPUTED_VALUE"""),"SELESAI (VIA PERMOHONAN)")</f>
        <v>SELESAI (VIA PERMOHONAN)</v>
      </c>
      <c r="G5040" s="17">
        <f>IFERROR(__xludf.DUMMYFUNCTION("""COMPUTED_VALUE"""),46085.5117853125)</f>
        <v>46085.51179</v>
      </c>
      <c r="H5040" s="14"/>
      <c r="I5040" s="13"/>
      <c r="J5040" s="17" t="str">
        <f>IFERROR(__xludf.DUMMYFUNCTION("""COMPUTED_VALUE"""),"")</f>
        <v/>
      </c>
      <c r="K5040" s="13" t="str">
        <f>IFERROR(__xludf.DUMMYFUNCTION("""COMPUTED_VALUE"""),"BT atau SU Belum Valid")</f>
        <v>BT atau SU Belum Valid</v>
      </c>
      <c r="L5040" s="13" t="str">
        <f>IFERROR(__xludf.DUMMYFUNCTION("""COMPUTED_VALUE"""),"")</f>
        <v/>
      </c>
      <c r="M5040" s="13"/>
      <c r="N5040" s="13" t="str">
        <f>IFERROR(__xludf.DUMMYFUNCTION("""COMPUTED_VALUE"""),"")</f>
        <v/>
      </c>
      <c r="O5040" s="13" t="str">
        <f t="shared" si="1"/>
        <v/>
      </c>
    </row>
    <row r="5041" ht="22.5" customHeight="1">
      <c r="B5041" s="13">
        <f>IFERROR(__xludf.DUMMYFUNCTION("""COMPUTED_VALUE"""),5036.0)</f>
        <v>5036</v>
      </c>
      <c r="C5041" s="13" t="str">
        <f>IFERROR(__xludf.DUMMYFUNCTION("""COMPUTED_VALUE"""),"M. 1355/BAKUNG")</f>
        <v>M. 1355/BAKUNG</v>
      </c>
      <c r="D5041" s="13" t="str">
        <f>IFERROR(__xludf.DUMMYFUNCTION("""COMPUTED_VALUE"""),"ABPCYKUY/AB039")</f>
        <v>ABPCYKUY/AB039</v>
      </c>
      <c r="E5041" s="14" t="str">
        <f>IFERROR(__xludf.DUMMYFUNCTION("""COMPUTED_VALUE"""),"Heri (BT)")</f>
        <v>Heri (BT)</v>
      </c>
      <c r="F5041" s="14" t="str">
        <f>IFERROR(__xludf.DUMMYFUNCTION("""COMPUTED_VALUE"""),"SELESAI (VIA PERMOHONAN)")</f>
        <v>SELESAI (VIA PERMOHONAN)</v>
      </c>
      <c r="G5041" s="17">
        <f>IFERROR(__xludf.DUMMYFUNCTION("""COMPUTED_VALUE"""),46085.51205818287)</f>
        <v>46085.51206</v>
      </c>
      <c r="H5041" s="14"/>
      <c r="I5041" s="13"/>
      <c r="J5041" s="17" t="str">
        <f>IFERROR(__xludf.DUMMYFUNCTION("""COMPUTED_VALUE"""),"")</f>
        <v/>
      </c>
      <c r="K5041" s="13" t="str">
        <f>IFERROR(__xludf.DUMMYFUNCTION("""COMPUTED_VALUE"""),"BT atau SU Belum Valid")</f>
        <v>BT atau SU Belum Valid</v>
      </c>
      <c r="L5041" s="13" t="str">
        <f>IFERROR(__xludf.DUMMYFUNCTION("""COMPUTED_VALUE"""),"")</f>
        <v/>
      </c>
      <c r="M5041" s="13"/>
      <c r="N5041" s="13" t="str">
        <f>IFERROR(__xludf.DUMMYFUNCTION("""COMPUTED_VALUE"""),"")</f>
        <v/>
      </c>
      <c r="O5041" s="13" t="str">
        <f t="shared" si="1"/>
        <v/>
      </c>
    </row>
    <row r="5042" ht="22.5" customHeight="1">
      <c r="B5042" s="13">
        <f>IFERROR(__xludf.DUMMYFUNCTION("""COMPUTED_VALUE"""),5037.0)</f>
        <v>5037</v>
      </c>
      <c r="C5042" s="13" t="str">
        <f>IFERROR(__xludf.DUMMYFUNCTION("""COMPUTED_VALUE"""),"M. 1137/BAKUNG")</f>
        <v>M. 1137/BAKUNG</v>
      </c>
      <c r="D5042" s="13" t="str">
        <f>IFERROR(__xludf.DUMMYFUNCTION("""COMPUTED_VALUE"""),"ABSROFLD/AB039")</f>
        <v>ABSROFLD/AB039</v>
      </c>
      <c r="E5042" s="14" t="str">
        <f>IFERROR(__xludf.DUMMYFUNCTION("""COMPUTED_VALUE"""),"Heri (BT)")</f>
        <v>Heri (BT)</v>
      </c>
      <c r="F5042" s="14" t="str">
        <f>IFERROR(__xludf.DUMMYFUNCTION("""COMPUTED_VALUE"""),"SELESAI (VIA PERMOHONAN)")</f>
        <v>SELESAI (VIA PERMOHONAN)</v>
      </c>
      <c r="G5042" s="17">
        <f>IFERROR(__xludf.DUMMYFUNCTION("""COMPUTED_VALUE"""),46085.51306517361)</f>
        <v>46085.51307</v>
      </c>
      <c r="H5042" s="14"/>
      <c r="I5042" s="13"/>
      <c r="J5042" s="17" t="str">
        <f>IFERROR(__xludf.DUMMYFUNCTION("""COMPUTED_VALUE"""),"")</f>
        <v/>
      </c>
      <c r="K5042" s="13" t="str">
        <f>IFERROR(__xludf.DUMMYFUNCTION("""COMPUTED_VALUE"""),"BT atau SU Belum Valid")</f>
        <v>BT atau SU Belum Valid</v>
      </c>
      <c r="L5042" s="13" t="str">
        <f>IFERROR(__xludf.DUMMYFUNCTION("""COMPUTED_VALUE"""),"")</f>
        <v/>
      </c>
      <c r="M5042" s="13"/>
      <c r="N5042" s="13" t="str">
        <f>IFERROR(__xludf.DUMMYFUNCTION("""COMPUTED_VALUE"""),"")</f>
        <v/>
      </c>
      <c r="O5042" s="13" t="str">
        <f t="shared" si="1"/>
        <v/>
      </c>
    </row>
    <row r="5043" ht="22.5" customHeight="1">
      <c r="B5043" s="13">
        <f>IFERROR(__xludf.DUMMYFUNCTION("""COMPUTED_VALUE"""),5038.0)</f>
        <v>5038</v>
      </c>
      <c r="C5043" s="13" t="str">
        <f>IFERROR(__xludf.DUMMYFUNCTION("""COMPUTED_VALUE"""),"Shm.2042/Jagabaya III")</f>
        <v>Shm.2042/Jagabaya III</v>
      </c>
      <c r="D5043" s="13" t="str">
        <f>IFERROR(__xludf.DUMMYFUNCTION("""COMPUTED_VALUE"""),"AB069/ABVKKBHS")</f>
        <v>AB069/ABVKKBHS</v>
      </c>
      <c r="E5043" s="14" t="str">
        <f>IFERROR(__xludf.DUMMYFUNCTION("""COMPUTED_VALUE"""),"Heri (BT)")</f>
        <v>Heri (BT)</v>
      </c>
      <c r="F5043" s="14" t="str">
        <f>IFERROR(__xludf.DUMMYFUNCTION("""COMPUTED_VALUE"""),"SELESAI (VIA PERMOHONAN)")</f>
        <v>SELESAI (VIA PERMOHONAN)</v>
      </c>
      <c r="G5043" s="17">
        <f>IFERROR(__xludf.DUMMYFUNCTION("""COMPUTED_VALUE"""),46085.51388293982)</f>
        <v>46085.51388</v>
      </c>
      <c r="H5043" s="14"/>
      <c r="I5043" s="13"/>
      <c r="J5043" s="17" t="str">
        <f>IFERROR(__xludf.DUMMYFUNCTION("""COMPUTED_VALUE"""),"")</f>
        <v/>
      </c>
      <c r="K5043" s="13" t="str">
        <f>IFERROR(__xludf.DUMMYFUNCTION("""COMPUTED_VALUE"""),"BT atau SU Belum Valid")</f>
        <v>BT atau SU Belum Valid</v>
      </c>
      <c r="L5043" s="13" t="str">
        <f>IFERROR(__xludf.DUMMYFUNCTION("""COMPUTED_VALUE"""),"")</f>
        <v/>
      </c>
      <c r="M5043" s="13"/>
      <c r="N5043" s="13" t="str">
        <f>IFERROR(__xludf.DUMMYFUNCTION("""COMPUTED_VALUE"""),"")</f>
        <v/>
      </c>
      <c r="O5043" s="13" t="str">
        <f t="shared" si="1"/>
        <v/>
      </c>
    </row>
    <row r="5044" ht="22.5" customHeight="1">
      <c r="B5044" s="13">
        <f>IFERROR(__xludf.DUMMYFUNCTION("""COMPUTED_VALUE"""),5039.0)</f>
        <v>5039</v>
      </c>
      <c r="C5044" s="13" t="str">
        <f>IFERROR(__xludf.DUMMYFUNCTION("""COMPUTED_VALUE"""),"B 10/ gotong royong")</f>
        <v>B 10/ gotong royong</v>
      </c>
      <c r="D5044" s="13" t="str">
        <f>IFERROR(__xludf.DUMMYFUNCTION("""COMPUTED_VALUE"""),"ABTELJNY")</f>
        <v>ABTELJNY</v>
      </c>
      <c r="E5044" s="14" t="str">
        <f>IFERROR(__xludf.DUMMYFUNCTION("""COMPUTED_VALUE"""),"Heri (BT)")</f>
        <v>Heri (BT)</v>
      </c>
      <c r="F5044" s="14" t="str">
        <f>IFERROR(__xludf.DUMMYFUNCTION("""COMPUTED_VALUE"""),"SELESAI (VIA PERMOHONAN)")</f>
        <v>SELESAI (VIA PERMOHONAN)</v>
      </c>
      <c r="G5044" s="17">
        <f>IFERROR(__xludf.DUMMYFUNCTION("""COMPUTED_VALUE"""),46086.385936990744)</f>
        <v>46086.38594</v>
      </c>
      <c r="H5044" s="14"/>
      <c r="I5044" s="13"/>
      <c r="J5044" s="17" t="str">
        <f>IFERROR(__xludf.DUMMYFUNCTION("""COMPUTED_VALUE"""),"")</f>
        <v/>
      </c>
      <c r="K5044" s="13" t="str">
        <f>IFERROR(__xludf.DUMMYFUNCTION("""COMPUTED_VALUE"""),"BT atau SU Belum Valid")</f>
        <v>BT atau SU Belum Valid</v>
      </c>
      <c r="L5044" s="13" t="str">
        <f>IFERROR(__xludf.DUMMYFUNCTION("""COMPUTED_VALUE"""),"")</f>
        <v/>
      </c>
      <c r="M5044" s="13"/>
      <c r="N5044" s="13" t="str">
        <f>IFERROR(__xludf.DUMMYFUNCTION("""COMPUTED_VALUE"""),"")</f>
        <v/>
      </c>
      <c r="O5044" s="13" t="str">
        <f t="shared" si="1"/>
        <v/>
      </c>
    </row>
    <row r="5045" ht="22.5" customHeight="1">
      <c r="B5045" s="13">
        <f>IFERROR(__xludf.DUMMYFUNCTION("""COMPUTED_VALUE"""),5040.0)</f>
        <v>5040</v>
      </c>
      <c r="C5045" s="13" t="str">
        <f>IFERROR(__xludf.DUMMYFUNCTION("""COMPUTED_VALUE"""),"B 43/ gotong royong")</f>
        <v>B 43/ gotong royong</v>
      </c>
      <c r="D5045" s="13" t="str">
        <f>IFERROR(__xludf.DUMMYFUNCTION("""COMPUTED_VALUE"""),"ABTXJGIB")</f>
        <v>ABTXJGIB</v>
      </c>
      <c r="E5045" s="14" t="str">
        <f>IFERROR(__xludf.DUMMYFUNCTION("""COMPUTED_VALUE"""),"Heri (BT)")</f>
        <v>Heri (BT)</v>
      </c>
      <c r="F5045" s="14" t="str">
        <f>IFERROR(__xludf.DUMMYFUNCTION("""COMPUTED_VALUE"""),"SELESAI (VIA PERMOHONAN)")</f>
        <v>SELESAI (VIA PERMOHONAN)</v>
      </c>
      <c r="G5045" s="17">
        <f>IFERROR(__xludf.DUMMYFUNCTION("""COMPUTED_VALUE"""),46086.38660967593)</f>
        <v>46086.38661</v>
      </c>
      <c r="H5045" s="14"/>
      <c r="I5045" s="13"/>
      <c r="J5045" s="17" t="str">
        <f>IFERROR(__xludf.DUMMYFUNCTION("""COMPUTED_VALUE"""),"")</f>
        <v/>
      </c>
      <c r="K5045" s="13" t="str">
        <f>IFERROR(__xludf.DUMMYFUNCTION("""COMPUTED_VALUE"""),"BT atau SU Belum Valid")</f>
        <v>BT atau SU Belum Valid</v>
      </c>
      <c r="L5045" s="13" t="str">
        <f>IFERROR(__xludf.DUMMYFUNCTION("""COMPUTED_VALUE"""),"")</f>
        <v/>
      </c>
      <c r="M5045" s="13"/>
      <c r="N5045" s="13" t="str">
        <f>IFERROR(__xludf.DUMMYFUNCTION("""COMPUTED_VALUE"""),"")</f>
        <v/>
      </c>
      <c r="O5045" s="13" t="str">
        <f t="shared" si="1"/>
        <v/>
      </c>
    </row>
    <row r="5046" ht="22.5" customHeight="1">
      <c r="B5046" s="13">
        <f>IFERROR(__xludf.DUMMYFUNCTION("""COMPUTED_VALUE"""),5041.0)</f>
        <v>5041</v>
      </c>
      <c r="C5046" s="13" t="str">
        <f>IFERROR(__xludf.DUMMYFUNCTION("""COMPUTED_VALUE"""),"B. 864/perumnas way kandis")</f>
        <v>B. 864/perumnas way kandis</v>
      </c>
      <c r="D5046" s="13" t="str">
        <f>IFERROR(__xludf.DUMMYFUNCTION("""COMPUTED_VALUE"""),"Abpfpiiu")</f>
        <v>Abpfpiiu</v>
      </c>
      <c r="E5046" s="14" t="str">
        <f>IFERROR(__xludf.DUMMYFUNCTION("""COMPUTED_VALUE"""),"Heri (BT)")</f>
        <v>Heri (BT)</v>
      </c>
      <c r="F5046" s="14" t="str">
        <f>IFERROR(__xludf.DUMMYFUNCTION("""COMPUTED_VALUE"""),"SELESAI (VIA PERMOHONAN)")</f>
        <v>SELESAI (VIA PERMOHONAN)</v>
      </c>
      <c r="G5046" s="17">
        <f>IFERROR(__xludf.DUMMYFUNCTION("""COMPUTED_VALUE"""),46086.38800273148)</f>
        <v>46086.388</v>
      </c>
      <c r="H5046" s="14"/>
      <c r="I5046" s="13"/>
      <c r="J5046" s="17" t="str">
        <f>IFERROR(__xludf.DUMMYFUNCTION("""COMPUTED_VALUE"""),"")</f>
        <v/>
      </c>
      <c r="K5046" s="13" t="str">
        <f>IFERROR(__xludf.DUMMYFUNCTION("""COMPUTED_VALUE"""),"BT atau SU Belum Valid")</f>
        <v>BT atau SU Belum Valid</v>
      </c>
      <c r="L5046" s="13" t="str">
        <f>IFERROR(__xludf.DUMMYFUNCTION("""COMPUTED_VALUE"""),"")</f>
        <v/>
      </c>
      <c r="M5046" s="13"/>
      <c r="N5046" s="13" t="str">
        <f>IFERROR(__xludf.DUMMYFUNCTION("""COMPUTED_VALUE"""),"")</f>
        <v/>
      </c>
      <c r="O5046" s="13" t="str">
        <f t="shared" si="1"/>
        <v/>
      </c>
    </row>
    <row r="5047" ht="22.5" customHeight="1">
      <c r="B5047" s="13">
        <f>IFERROR(__xludf.DUMMYFUNCTION("""COMPUTED_VALUE"""),5042.0)</f>
        <v>5042</v>
      </c>
      <c r="C5047" s="13" t="str">
        <f>IFERROR(__xludf.DUMMYFUNCTION("""COMPUTED_VALUE"""),"HM 878/KOTA BARU")</f>
        <v>HM 878/KOTA BARU</v>
      </c>
      <c r="D5047" s="13" t="str">
        <f>IFERROR(__xludf.DUMMYFUNCTION("""COMPUTED_VALUE"""),"L/21/240625/1")</f>
        <v>L/21/240625/1</v>
      </c>
      <c r="E5047" s="14" t="str">
        <f>IFERROR(__xludf.DUMMYFUNCTION("""COMPUTED_VALUE"""),"Heri (BT)")</f>
        <v>Heri (BT)</v>
      </c>
      <c r="F5047" s="14" t="str">
        <f>IFERROR(__xludf.DUMMYFUNCTION("""COMPUTED_VALUE"""),"SELESAI (VIA PERMOHONAN)")</f>
        <v>SELESAI (VIA PERMOHONAN)</v>
      </c>
      <c r="G5047" s="17">
        <f>IFERROR(__xludf.DUMMYFUNCTION("""COMPUTED_VALUE"""),46086.39015346065)</f>
        <v>46086.39015</v>
      </c>
      <c r="H5047" s="14"/>
      <c r="I5047" s="13"/>
      <c r="J5047" s="17" t="str">
        <f>IFERROR(__xludf.DUMMYFUNCTION("""COMPUTED_VALUE"""),"")</f>
        <v/>
      </c>
      <c r="K5047" s="13" t="str">
        <f>IFERROR(__xludf.DUMMYFUNCTION("""COMPUTED_VALUE"""),"BT atau SU Belum Valid")</f>
        <v>BT atau SU Belum Valid</v>
      </c>
      <c r="L5047" s="13" t="str">
        <f>IFERROR(__xludf.DUMMYFUNCTION("""COMPUTED_VALUE"""),"")</f>
        <v/>
      </c>
      <c r="M5047" s="13"/>
      <c r="N5047" s="13" t="str">
        <f>IFERROR(__xludf.DUMMYFUNCTION("""COMPUTED_VALUE"""),"")</f>
        <v/>
      </c>
      <c r="O5047" s="13" t="str">
        <f t="shared" si="1"/>
        <v/>
      </c>
    </row>
    <row r="5048" ht="22.5" customHeight="1">
      <c r="B5048" s="13">
        <f>IFERROR(__xludf.DUMMYFUNCTION("""COMPUTED_VALUE"""),5043.0)</f>
        <v>5043</v>
      </c>
      <c r="C5048" s="13" t="str">
        <f>IFERROR(__xludf.DUMMYFUNCTION("""COMPUTED_VALUE"""),"M. 13335/RAJABASA")</f>
        <v>M. 13335/RAJABASA</v>
      </c>
      <c r="D5048" s="13" t="str">
        <f>IFERROR(__xludf.DUMMYFUNCTION("""COMPUTED_VALUE"""),"L/6/300126/1")</f>
        <v>L/6/300126/1</v>
      </c>
      <c r="E5048" s="14" t="str">
        <f>IFERROR(__xludf.DUMMYFUNCTION("""COMPUTED_VALUE"""),"Heri (BT)")</f>
        <v>Heri (BT)</v>
      </c>
      <c r="F5048" s="14" t="str">
        <f>IFERROR(__xludf.DUMMYFUNCTION("""COMPUTED_VALUE"""),"SELESAI (VIA PERMOHONAN)")</f>
        <v>SELESAI (VIA PERMOHONAN)</v>
      </c>
      <c r="G5048" s="17">
        <f>IFERROR(__xludf.DUMMYFUNCTION("""COMPUTED_VALUE"""),46086.39125375)</f>
        <v>46086.39125</v>
      </c>
      <c r="H5048" s="14"/>
      <c r="I5048" s="13"/>
      <c r="J5048" s="17" t="str">
        <f>IFERROR(__xludf.DUMMYFUNCTION("""COMPUTED_VALUE"""),"")</f>
        <v/>
      </c>
      <c r="K5048" s="13" t="str">
        <f>IFERROR(__xludf.DUMMYFUNCTION("""COMPUTED_VALUE"""),"BT atau SU Belum Valid")</f>
        <v>BT atau SU Belum Valid</v>
      </c>
      <c r="L5048" s="13" t="str">
        <f>IFERROR(__xludf.DUMMYFUNCTION("""COMPUTED_VALUE"""),"")</f>
        <v/>
      </c>
      <c r="M5048" s="13"/>
      <c r="N5048" s="13" t="str">
        <f>IFERROR(__xludf.DUMMYFUNCTION("""COMPUTED_VALUE"""),"")</f>
        <v/>
      </c>
      <c r="O5048" s="13" t="str">
        <f t="shared" si="1"/>
        <v/>
      </c>
    </row>
    <row r="5049" ht="22.5" customHeight="1">
      <c r="B5049" s="13">
        <f>IFERROR(__xludf.DUMMYFUNCTION("""COMPUTED_VALUE"""),5044.0)</f>
        <v>5044</v>
      </c>
      <c r="C5049" s="13" t="str">
        <f>IFERROR(__xludf.DUMMYFUNCTION("""COMPUTED_VALUE"""),"M. 3682/TANJUNG SENENG")</f>
        <v>M. 3682/TANJUNG SENENG</v>
      </c>
      <c r="D5049" s="13" t="str">
        <f>IFERROR(__xludf.DUMMYFUNCTION("""COMPUTED_VALUE"""),"L/8/150126/1")</f>
        <v>L/8/150126/1</v>
      </c>
      <c r="E5049" s="14" t="str">
        <f>IFERROR(__xludf.DUMMYFUNCTION("""COMPUTED_VALUE"""),"Heri (BT)")</f>
        <v>Heri (BT)</v>
      </c>
      <c r="F5049" s="14" t="str">
        <f>IFERROR(__xludf.DUMMYFUNCTION("""COMPUTED_VALUE"""),"SELESAI (VIA PERMOHONAN)")</f>
        <v>SELESAI (VIA PERMOHONAN)</v>
      </c>
      <c r="G5049" s="17">
        <f>IFERROR(__xludf.DUMMYFUNCTION("""COMPUTED_VALUE"""),46086.39183936342)</f>
        <v>46086.39184</v>
      </c>
      <c r="H5049" s="14"/>
      <c r="I5049" s="13"/>
      <c r="J5049" s="17" t="str">
        <f>IFERROR(__xludf.DUMMYFUNCTION("""COMPUTED_VALUE"""),"")</f>
        <v/>
      </c>
      <c r="K5049" s="13" t="str">
        <f>IFERROR(__xludf.DUMMYFUNCTION("""COMPUTED_VALUE"""),"BT atau SU Belum Valid")</f>
        <v>BT atau SU Belum Valid</v>
      </c>
      <c r="L5049" s="13" t="str">
        <f>IFERROR(__xludf.DUMMYFUNCTION("""COMPUTED_VALUE"""),"")</f>
        <v/>
      </c>
      <c r="M5049" s="13"/>
      <c r="N5049" s="13" t="str">
        <f>IFERROR(__xludf.DUMMYFUNCTION("""COMPUTED_VALUE"""),"")</f>
        <v/>
      </c>
      <c r="O5049" s="13" t="str">
        <f t="shared" si="1"/>
        <v/>
      </c>
    </row>
    <row r="5050" ht="22.5" customHeight="1">
      <c r="B5050" s="13">
        <f>IFERROR(__xludf.DUMMYFUNCTION("""COMPUTED_VALUE"""),5045.0)</f>
        <v>5045</v>
      </c>
      <c r="C5050" s="13" t="str">
        <f>IFERROR(__xludf.DUMMYFUNCTION("""COMPUTED_VALUE"""),"M. 13097/SUKARAME")</f>
        <v>M. 13097/SUKARAME</v>
      </c>
      <c r="D5050" s="13" t="str">
        <f>IFERROR(__xludf.DUMMYFUNCTION("""COMPUTED_VALUE"""),"K/5/050226/1")</f>
        <v>K/5/050226/1</v>
      </c>
      <c r="E5050" s="14" t="str">
        <f>IFERROR(__xludf.DUMMYFUNCTION("""COMPUTED_VALUE"""),"Heri (BT)")</f>
        <v>Heri (BT)</v>
      </c>
      <c r="F5050" s="14" t="str">
        <f>IFERROR(__xludf.DUMMYFUNCTION("""COMPUTED_VALUE"""),"SELESAI (VIA PERMOHONAN)")</f>
        <v>SELESAI (VIA PERMOHONAN)</v>
      </c>
      <c r="G5050" s="17">
        <f>IFERROR(__xludf.DUMMYFUNCTION("""COMPUTED_VALUE"""),46086.39236748843)</f>
        <v>46086.39237</v>
      </c>
      <c r="H5050" s="14"/>
      <c r="I5050" s="13"/>
      <c r="J5050" s="17" t="str">
        <f>IFERROR(__xludf.DUMMYFUNCTION("""COMPUTED_VALUE"""),"")</f>
        <v/>
      </c>
      <c r="K5050" s="13" t="str">
        <f>IFERROR(__xludf.DUMMYFUNCTION("""COMPUTED_VALUE"""),"BT atau SU Belum Valid")</f>
        <v>BT atau SU Belum Valid</v>
      </c>
      <c r="L5050" s="13" t="str">
        <f>IFERROR(__xludf.DUMMYFUNCTION("""COMPUTED_VALUE"""),"")</f>
        <v/>
      </c>
      <c r="M5050" s="13"/>
      <c r="N5050" s="13" t="str">
        <f>IFERROR(__xludf.DUMMYFUNCTION("""COMPUTED_VALUE"""),"")</f>
        <v/>
      </c>
      <c r="O5050" s="13" t="str">
        <f t="shared" si="1"/>
        <v/>
      </c>
    </row>
    <row r="5051" ht="22.5" customHeight="1">
      <c r="B5051" s="13">
        <f>IFERROR(__xludf.DUMMYFUNCTION("""COMPUTED_VALUE"""),5046.0)</f>
        <v>5046</v>
      </c>
      <c r="C5051" s="13" t="str">
        <f>IFERROR(__xludf.DUMMYFUNCTION("""COMPUTED_VALUE"""),"M 1404 sumberejo sejahtera ")</f>
        <v>M 1404 sumberejo sejahtera </v>
      </c>
      <c r="D5051" s="13" t="str">
        <f>IFERROR(__xludf.DUMMYFUNCTION("""COMPUTED_VALUE"""),"ABIYUFUK")</f>
        <v>ABIYUFUK</v>
      </c>
      <c r="E5051" s="14" t="str">
        <f>IFERROR(__xludf.DUMMYFUNCTION("""COMPUTED_VALUE"""),"Heri (BT)")</f>
        <v>Heri (BT)</v>
      </c>
      <c r="F5051" s="14" t="str">
        <f>IFERROR(__xludf.DUMMYFUNCTION("""COMPUTED_VALUE"""),"SELESAI (VIA PERMOHONAN)")</f>
        <v>SELESAI (VIA PERMOHONAN)</v>
      </c>
      <c r="G5051" s="17">
        <f>IFERROR(__xludf.DUMMYFUNCTION("""COMPUTED_VALUE"""),46086.52721457176)</f>
        <v>46086.52721</v>
      </c>
      <c r="H5051" s="14"/>
      <c r="I5051" s="13"/>
      <c r="J5051" s="17" t="str">
        <f>IFERROR(__xludf.DUMMYFUNCTION("""COMPUTED_VALUE"""),"")</f>
        <v/>
      </c>
      <c r="K5051" s="13" t="str">
        <f>IFERROR(__xludf.DUMMYFUNCTION("""COMPUTED_VALUE"""),"BT atau SU Belum Valid")</f>
        <v>BT atau SU Belum Valid</v>
      </c>
      <c r="L5051" s="13" t="str">
        <f>IFERROR(__xludf.DUMMYFUNCTION("""COMPUTED_VALUE"""),"")</f>
        <v/>
      </c>
      <c r="M5051" s="13"/>
      <c r="N5051" s="13" t="str">
        <f>IFERROR(__xludf.DUMMYFUNCTION("""COMPUTED_VALUE"""),"")</f>
        <v/>
      </c>
      <c r="O5051" s="13" t="str">
        <f t="shared" si="1"/>
        <v/>
      </c>
    </row>
    <row r="5052" ht="22.5" customHeight="1">
      <c r="B5052" s="13">
        <f>IFERROR(__xludf.DUMMYFUNCTION("""COMPUTED_VALUE"""),5047.0)</f>
        <v>5047</v>
      </c>
      <c r="C5052" s="13" t="str">
        <f>IFERROR(__xludf.DUMMYFUNCTION("""COMPUTED_VALUE"""),"M 1664 sumberejo sejahtera ")</f>
        <v>M 1664 sumberejo sejahtera </v>
      </c>
      <c r="D5052" s="13" t="str">
        <f>IFERROR(__xludf.DUMMYFUNCTION("""COMPUTED_VALUE"""),"ABOYZBAA")</f>
        <v>ABOYZBAA</v>
      </c>
      <c r="E5052" s="14" t="str">
        <f>IFERROR(__xludf.DUMMYFUNCTION("""COMPUTED_VALUE"""),"Heri (BT)")</f>
        <v>Heri (BT)</v>
      </c>
      <c r="F5052" s="14" t="str">
        <f>IFERROR(__xludf.DUMMYFUNCTION("""COMPUTED_VALUE"""),"SELESAI (VIA PERMOHONAN)")</f>
        <v>SELESAI (VIA PERMOHONAN)</v>
      </c>
      <c r="G5052" s="17">
        <f>IFERROR(__xludf.DUMMYFUNCTION("""COMPUTED_VALUE"""),46086.52743751157)</f>
        <v>46086.52744</v>
      </c>
      <c r="H5052" s="14"/>
      <c r="I5052" s="13"/>
      <c r="J5052" s="17" t="str">
        <f>IFERROR(__xludf.DUMMYFUNCTION("""COMPUTED_VALUE"""),"")</f>
        <v/>
      </c>
      <c r="K5052" s="13" t="str">
        <f>IFERROR(__xludf.DUMMYFUNCTION("""COMPUTED_VALUE"""),"BT atau SU Belum Valid")</f>
        <v>BT atau SU Belum Valid</v>
      </c>
      <c r="L5052" s="13" t="str">
        <f>IFERROR(__xludf.DUMMYFUNCTION("""COMPUTED_VALUE"""),"")</f>
        <v/>
      </c>
      <c r="M5052" s="13"/>
      <c r="N5052" s="13" t="str">
        <f>IFERROR(__xludf.DUMMYFUNCTION("""COMPUTED_VALUE"""),"")</f>
        <v/>
      </c>
      <c r="O5052" s="13" t="str">
        <f t="shared" si="1"/>
        <v/>
      </c>
    </row>
    <row r="5053" ht="22.5" customHeight="1">
      <c r="B5053" s="13">
        <f>IFERROR(__xludf.DUMMYFUNCTION("""COMPUTED_VALUE"""),5048.0)</f>
        <v>5048</v>
      </c>
      <c r="C5053" s="13" t="str">
        <f>IFERROR(__xludf.DUMMYFUNCTION("""COMPUTED_VALUE"""),"M.3031/BR")</f>
        <v>M.3031/BR</v>
      </c>
      <c r="D5053" s="13" t="str">
        <f>IFERROR(__xludf.DUMMYFUNCTION("""COMPUTED_VALUE"""),"ABVGATFH")</f>
        <v>ABVGATFH</v>
      </c>
      <c r="E5053" s="14" t="str">
        <f>IFERROR(__xludf.DUMMYFUNCTION("""COMPUTED_VALUE"""),"Heri (BT)")</f>
        <v>Heri (BT)</v>
      </c>
      <c r="F5053" s="14" t="str">
        <f>IFERROR(__xludf.DUMMYFUNCTION("""COMPUTED_VALUE"""),"SELESAI (VIA PERMOHONAN)")</f>
        <v>SELESAI (VIA PERMOHONAN)</v>
      </c>
      <c r="G5053" s="17">
        <f>IFERROR(__xludf.DUMMYFUNCTION("""COMPUTED_VALUE"""),46086.527692187505)</f>
        <v>46086.52769</v>
      </c>
      <c r="H5053" s="14"/>
      <c r="I5053" s="13"/>
      <c r="J5053" s="17" t="str">
        <f>IFERROR(__xludf.DUMMYFUNCTION("""COMPUTED_VALUE"""),"")</f>
        <v/>
      </c>
      <c r="K5053" s="13" t="str">
        <f>IFERROR(__xludf.DUMMYFUNCTION("""COMPUTED_VALUE"""),"BT atau SU Belum Valid")</f>
        <v>BT atau SU Belum Valid</v>
      </c>
      <c r="L5053" s="13" t="str">
        <f>IFERROR(__xludf.DUMMYFUNCTION("""COMPUTED_VALUE"""),"")</f>
        <v/>
      </c>
      <c r="M5053" s="13"/>
      <c r="N5053" s="13" t="str">
        <f>IFERROR(__xludf.DUMMYFUNCTION("""COMPUTED_VALUE"""),"")</f>
        <v/>
      </c>
      <c r="O5053" s="13" t="str">
        <f t="shared" si="1"/>
        <v/>
      </c>
    </row>
    <row r="5054" ht="22.5" customHeight="1">
      <c r="B5054" s="13">
        <f>IFERROR(__xludf.DUMMYFUNCTION("""COMPUTED_VALUE"""),5049.0)</f>
        <v>5049</v>
      </c>
      <c r="C5054" s="13" t="str">
        <f>IFERROR(__xludf.DUMMYFUNCTION("""COMPUTED_VALUE"""),"Hm. 1149 RAJABASA RAYA")</f>
        <v>Hm. 1149 RAJABASA RAYA</v>
      </c>
      <c r="D5054" s="13" t="str">
        <f>IFERROR(__xludf.DUMMYFUNCTION("""COMPUTED_VALUE"""),"ABYNNMYN")</f>
        <v>ABYNNMYN</v>
      </c>
      <c r="E5054" s="14" t="str">
        <f>IFERROR(__xludf.DUMMYFUNCTION("""COMPUTED_VALUE"""),"Heri (BT)")</f>
        <v>Heri (BT)</v>
      </c>
      <c r="F5054" s="14" t="str">
        <f>IFERROR(__xludf.DUMMYFUNCTION("""COMPUTED_VALUE"""),"SELESAI (VIA PERMOHONAN)")</f>
        <v>SELESAI (VIA PERMOHONAN)</v>
      </c>
      <c r="G5054" s="17">
        <f>IFERROR(__xludf.DUMMYFUNCTION("""COMPUTED_VALUE"""),46086.52849789352)</f>
        <v>46086.5285</v>
      </c>
      <c r="H5054" s="14"/>
      <c r="I5054" s="13"/>
      <c r="J5054" s="17" t="str">
        <f>IFERROR(__xludf.DUMMYFUNCTION("""COMPUTED_VALUE"""),"")</f>
        <v/>
      </c>
      <c r="K5054" s="13" t="str">
        <f>IFERROR(__xludf.DUMMYFUNCTION("""COMPUTED_VALUE"""),"BT atau SU Belum Valid")</f>
        <v>BT atau SU Belum Valid</v>
      </c>
      <c r="L5054" s="13" t="str">
        <f>IFERROR(__xludf.DUMMYFUNCTION("""COMPUTED_VALUE"""),"")</f>
        <v/>
      </c>
      <c r="M5054" s="13"/>
      <c r="N5054" s="13" t="str">
        <f>IFERROR(__xludf.DUMMYFUNCTION("""COMPUTED_VALUE"""),"")</f>
        <v/>
      </c>
      <c r="O5054" s="13" t="str">
        <f t="shared" si="1"/>
        <v/>
      </c>
    </row>
    <row r="5055" ht="22.5" customHeight="1">
      <c r="B5055" s="13">
        <f>IFERROR(__xludf.DUMMYFUNCTION("""COMPUTED_VALUE"""),5050.0)</f>
        <v>5050</v>
      </c>
      <c r="C5055" s="13" t="str">
        <f>IFERROR(__xludf.DUMMYFUNCTION("""COMPUTED_VALUE"""),"M.182/Rajabasa Pemuka")</f>
        <v>M.182/Rajabasa Pemuka</v>
      </c>
      <c r="D5055" s="13" t="str">
        <f>IFERROR(__xludf.DUMMYFUNCTION("""COMPUTED_VALUE"""),"ABODESHA")</f>
        <v>ABODESHA</v>
      </c>
      <c r="E5055" s="14" t="str">
        <f>IFERROR(__xludf.DUMMYFUNCTION("""COMPUTED_VALUE"""),"Heri (BT)")</f>
        <v>Heri (BT)</v>
      </c>
      <c r="F5055" s="14" t="str">
        <f>IFERROR(__xludf.DUMMYFUNCTION("""COMPUTED_VALUE"""),"SELESAI (VIA PERMOHONAN)")</f>
        <v>SELESAI (VIA PERMOHONAN)</v>
      </c>
      <c r="G5055" s="17">
        <f>IFERROR(__xludf.DUMMYFUNCTION("""COMPUTED_VALUE"""),46086.5293337037)</f>
        <v>46086.52933</v>
      </c>
      <c r="H5055" s="14"/>
      <c r="I5055" s="13"/>
      <c r="J5055" s="17" t="str">
        <f>IFERROR(__xludf.DUMMYFUNCTION("""COMPUTED_VALUE"""),"")</f>
        <v/>
      </c>
      <c r="K5055" s="13" t="str">
        <f>IFERROR(__xludf.DUMMYFUNCTION("""COMPUTED_VALUE"""),"BT atau SU Belum Valid")</f>
        <v>BT atau SU Belum Valid</v>
      </c>
      <c r="L5055" s="13" t="str">
        <f>IFERROR(__xludf.DUMMYFUNCTION("""COMPUTED_VALUE"""),"")</f>
        <v/>
      </c>
      <c r="M5055" s="13"/>
      <c r="N5055" s="13" t="str">
        <f>IFERROR(__xludf.DUMMYFUNCTION("""COMPUTED_VALUE"""),"")</f>
        <v/>
      </c>
      <c r="O5055" s="13" t="str">
        <f t="shared" si="1"/>
        <v/>
      </c>
    </row>
    <row r="5056" ht="22.5" customHeight="1">
      <c r="B5056" s="13">
        <f>IFERROR(__xludf.DUMMYFUNCTION("""COMPUTED_VALUE"""),5051.0)</f>
        <v>5051</v>
      </c>
      <c r="C5056" s="13" t="str">
        <f>IFERROR(__xludf.DUMMYFUNCTION("""COMPUTED_VALUE"""),"M.4626/KETEGUHAN")</f>
        <v>M.4626/KETEGUHAN</v>
      </c>
      <c r="D5056" s="13" t="str">
        <f>IFERROR(__xludf.DUMMYFUNCTION("""COMPUTED_VALUE"""),"AB037/ABXIAAKI")</f>
        <v>AB037/ABXIAAKI</v>
      </c>
      <c r="E5056" s="14" t="str">
        <f>IFERROR(__xludf.DUMMYFUNCTION("""COMPUTED_VALUE"""),"Heri (BT)")</f>
        <v>Heri (BT)</v>
      </c>
      <c r="F5056" s="14" t="str">
        <f>IFERROR(__xludf.DUMMYFUNCTION("""COMPUTED_VALUE"""),"SELESAI (VIA PERMOHONAN)")</f>
        <v>SELESAI (VIA PERMOHONAN)</v>
      </c>
      <c r="G5056" s="17">
        <f>IFERROR(__xludf.DUMMYFUNCTION("""COMPUTED_VALUE"""),46086.52953546296)</f>
        <v>46086.52954</v>
      </c>
      <c r="H5056" s="14"/>
      <c r="I5056" s="13"/>
      <c r="J5056" s="17" t="str">
        <f>IFERROR(__xludf.DUMMYFUNCTION("""COMPUTED_VALUE"""),"")</f>
        <v/>
      </c>
      <c r="K5056" s="13" t="str">
        <f>IFERROR(__xludf.DUMMYFUNCTION("""COMPUTED_VALUE"""),"BT atau SU Belum Valid")</f>
        <v>BT atau SU Belum Valid</v>
      </c>
      <c r="L5056" s="13" t="str">
        <f>IFERROR(__xludf.DUMMYFUNCTION("""COMPUTED_VALUE"""),"")</f>
        <v/>
      </c>
      <c r="M5056" s="13"/>
      <c r="N5056" s="13" t="str">
        <f>IFERROR(__xludf.DUMMYFUNCTION("""COMPUTED_VALUE"""),"")</f>
        <v/>
      </c>
      <c r="O5056" s="13" t="str">
        <f t="shared" si="1"/>
        <v/>
      </c>
    </row>
    <row r="5057" ht="22.5" customHeight="1">
      <c r="B5057" s="13">
        <f>IFERROR(__xludf.DUMMYFUNCTION("""COMPUTED_VALUE"""),5052.0)</f>
        <v>5052</v>
      </c>
      <c r="C5057" s="13" t="str">
        <f>IFERROR(__xludf.DUMMYFUNCTION("""COMPUTED_VALUE"""),"M 1806/ BUMI WARAS")</f>
        <v>M 1806/ BUMI WARAS</v>
      </c>
      <c r="D5057" s="13" t="str">
        <f>IFERROR(__xludf.DUMMYFUNCTION("""COMPUTED_VALUE"""),"ABEWQDAA")</f>
        <v>ABEWQDAA</v>
      </c>
      <c r="E5057" s="14" t="str">
        <f>IFERROR(__xludf.DUMMYFUNCTION("""COMPUTED_VALUE"""),"Heri (BT)")</f>
        <v>Heri (BT)</v>
      </c>
      <c r="F5057" s="14" t="str">
        <f>IFERROR(__xludf.DUMMYFUNCTION("""COMPUTED_VALUE"""),"SELESAI (VIA PERMOHONAN)")</f>
        <v>SELESAI (VIA PERMOHONAN)</v>
      </c>
      <c r="G5057" s="17">
        <f>IFERROR(__xludf.DUMMYFUNCTION("""COMPUTED_VALUE"""),46090.3918175463)</f>
        <v>46090.39182</v>
      </c>
      <c r="H5057" s="14"/>
      <c r="I5057" s="13"/>
      <c r="J5057" s="17" t="str">
        <f>IFERROR(__xludf.DUMMYFUNCTION("""COMPUTED_VALUE"""),"")</f>
        <v/>
      </c>
      <c r="K5057" s="13" t="str">
        <f>IFERROR(__xludf.DUMMYFUNCTION("""COMPUTED_VALUE"""),"BT atau SU Belum Valid")</f>
        <v>BT atau SU Belum Valid</v>
      </c>
      <c r="L5057" s="13" t="str">
        <f>IFERROR(__xludf.DUMMYFUNCTION("""COMPUTED_VALUE"""),"")</f>
        <v/>
      </c>
      <c r="M5057" s="13"/>
      <c r="N5057" s="13" t="str">
        <f>IFERROR(__xludf.DUMMYFUNCTION("""COMPUTED_VALUE"""),"")</f>
        <v/>
      </c>
      <c r="O5057" s="13" t="str">
        <f t="shared" si="1"/>
        <v/>
      </c>
    </row>
    <row r="5058" ht="22.5" customHeight="1">
      <c r="B5058" s="13">
        <f>IFERROR(__xludf.DUMMYFUNCTION("""COMPUTED_VALUE"""),5053.0)</f>
        <v>5053</v>
      </c>
      <c r="C5058" s="13" t="str">
        <f>IFERROR(__xludf.DUMMYFUNCTION("""COMPUTED_VALUE"""),"M 2019/ KEDAUNG")</f>
        <v>M 2019/ KEDAUNG</v>
      </c>
      <c r="D5058" s="13" t="str">
        <f>IFERROR(__xludf.DUMMYFUNCTION("""COMPUTED_VALUE"""),"ABABYMVJ")</f>
        <v>ABABYMVJ</v>
      </c>
      <c r="E5058" s="14" t="str">
        <f>IFERROR(__xludf.DUMMYFUNCTION("""COMPUTED_VALUE"""),"Heri (BT)")</f>
        <v>Heri (BT)</v>
      </c>
      <c r="F5058" s="14" t="str">
        <f>IFERROR(__xludf.DUMMYFUNCTION("""COMPUTED_VALUE"""),"SELESAI (VIA PERMOHONAN)")</f>
        <v>SELESAI (VIA PERMOHONAN)</v>
      </c>
      <c r="G5058" s="17">
        <f>IFERROR(__xludf.DUMMYFUNCTION("""COMPUTED_VALUE"""),46090.39480649306)</f>
        <v>46090.39481</v>
      </c>
      <c r="H5058" s="14"/>
      <c r="I5058" s="13"/>
      <c r="J5058" s="17" t="str">
        <f>IFERROR(__xludf.DUMMYFUNCTION("""COMPUTED_VALUE"""),"")</f>
        <v/>
      </c>
      <c r="K5058" s="13" t="str">
        <f>IFERROR(__xludf.DUMMYFUNCTION("""COMPUTED_VALUE"""),"BT atau SU Belum Valid")</f>
        <v>BT atau SU Belum Valid</v>
      </c>
      <c r="L5058" s="13" t="str">
        <f>IFERROR(__xludf.DUMMYFUNCTION("""COMPUTED_VALUE"""),"")</f>
        <v/>
      </c>
      <c r="M5058" s="13"/>
      <c r="N5058" s="13" t="str">
        <f>IFERROR(__xludf.DUMMYFUNCTION("""COMPUTED_VALUE"""),"")</f>
        <v/>
      </c>
      <c r="O5058" s="13" t="str">
        <f t="shared" si="1"/>
        <v/>
      </c>
    </row>
    <row r="5059" ht="22.5" customHeight="1">
      <c r="B5059" s="13">
        <f>IFERROR(__xludf.DUMMYFUNCTION("""COMPUTED_VALUE"""),5054.0)</f>
        <v>5054</v>
      </c>
      <c r="C5059" s="13" t="str">
        <f>IFERROR(__xludf.DUMMYFUNCTION("""COMPUTED_VALUE"""),"M. 1221/GOTONG ROYONG")</f>
        <v>M. 1221/GOTONG ROYONG</v>
      </c>
      <c r="D5059" s="13" t="str">
        <f>IFERROR(__xludf.DUMMYFUNCTION("""COMPUTED_VALUE"""),"L/3/260126/1")</f>
        <v>L/3/260126/1</v>
      </c>
      <c r="E5059" s="14" t="str">
        <f>IFERROR(__xludf.DUMMYFUNCTION("""COMPUTED_VALUE"""),"Heri (BT)")</f>
        <v>Heri (BT)</v>
      </c>
      <c r="F5059" s="14" t="str">
        <f>IFERROR(__xludf.DUMMYFUNCTION("""COMPUTED_VALUE"""),"SELESAI (VIA PERMOHONAN)")</f>
        <v>SELESAI (VIA PERMOHONAN)</v>
      </c>
      <c r="G5059" s="17">
        <f>IFERROR(__xludf.DUMMYFUNCTION("""COMPUTED_VALUE"""),46090.39647208333)</f>
        <v>46090.39647</v>
      </c>
      <c r="H5059" s="14"/>
      <c r="I5059" s="13"/>
      <c r="J5059" s="17" t="str">
        <f>IFERROR(__xludf.DUMMYFUNCTION("""COMPUTED_VALUE"""),"")</f>
        <v/>
      </c>
      <c r="K5059" s="13" t="str">
        <f>IFERROR(__xludf.DUMMYFUNCTION("""COMPUTED_VALUE"""),"BT atau SU Belum Valid")</f>
        <v>BT atau SU Belum Valid</v>
      </c>
      <c r="L5059" s="13" t="str">
        <f>IFERROR(__xludf.DUMMYFUNCTION("""COMPUTED_VALUE"""),"")</f>
        <v/>
      </c>
      <c r="M5059" s="13"/>
      <c r="N5059" s="13" t="str">
        <f>IFERROR(__xludf.DUMMYFUNCTION("""COMPUTED_VALUE"""),"")</f>
        <v/>
      </c>
      <c r="O5059" s="13" t="str">
        <f t="shared" si="1"/>
        <v/>
      </c>
    </row>
    <row r="5060" ht="22.5" customHeight="1">
      <c r="B5060" s="13">
        <f>IFERROR(__xludf.DUMMYFUNCTION("""COMPUTED_VALUE"""),5055.0)</f>
        <v>5055</v>
      </c>
      <c r="C5060" s="13" t="str">
        <f>IFERROR(__xludf.DUMMYFUNCTION("""COMPUTED_VALUE"""),"m.6959, tanjung senang")</f>
        <v>m.6959, tanjung senang</v>
      </c>
      <c r="D5060" s="13" t="str">
        <f>IFERROR(__xludf.DUMMYFUNCTION("""COMPUTED_VALUE"""),"Abcfojvv")</f>
        <v>Abcfojvv</v>
      </c>
      <c r="E5060" s="14" t="str">
        <f>IFERROR(__xludf.DUMMYFUNCTION("""COMPUTED_VALUE"""),"Heri (BT)")</f>
        <v>Heri (BT)</v>
      </c>
      <c r="F5060" s="14" t="str">
        <f>IFERROR(__xludf.DUMMYFUNCTION("""COMPUTED_VALUE"""),"SELESAI (VIA PERMOHONAN)")</f>
        <v>SELESAI (VIA PERMOHONAN)</v>
      </c>
      <c r="G5060" s="17">
        <f>IFERROR(__xludf.DUMMYFUNCTION("""COMPUTED_VALUE"""),46090.468966354165)</f>
        <v>46090.46897</v>
      </c>
      <c r="H5060" s="14"/>
      <c r="I5060" s="13"/>
      <c r="J5060" s="17" t="str">
        <f>IFERROR(__xludf.DUMMYFUNCTION("""COMPUTED_VALUE"""),"")</f>
        <v/>
      </c>
      <c r="K5060" s="13" t="str">
        <f>IFERROR(__xludf.DUMMYFUNCTION("""COMPUTED_VALUE"""),"BT atau SU Belum Valid")</f>
        <v>BT atau SU Belum Valid</v>
      </c>
      <c r="L5060" s="13" t="str">
        <f>IFERROR(__xludf.DUMMYFUNCTION("""COMPUTED_VALUE"""),"")</f>
        <v/>
      </c>
      <c r="M5060" s="13"/>
      <c r="N5060" s="13" t="str">
        <f>IFERROR(__xludf.DUMMYFUNCTION("""COMPUTED_VALUE"""),"")</f>
        <v/>
      </c>
      <c r="O5060" s="13" t="str">
        <f t="shared" si="1"/>
        <v/>
      </c>
    </row>
    <row r="5061" ht="22.5" customHeight="1">
      <c r="B5061" s="13">
        <f>IFERROR(__xludf.DUMMYFUNCTION("""COMPUTED_VALUE"""),5056.0)</f>
        <v>5056</v>
      </c>
      <c r="C5061" s="13" t="str">
        <f>IFERROR(__xludf.DUMMYFUNCTION("""COMPUTED_VALUE"""),"m.6643/tanjung senang")</f>
        <v>m.6643/tanjung senang</v>
      </c>
      <c r="D5061" s="13" t="str">
        <f>IFERROR(__xludf.DUMMYFUNCTION("""COMPUTED_VALUE"""),"AB066/ABHCRBPL")</f>
        <v>AB066/ABHCRBPL</v>
      </c>
      <c r="E5061" s="14" t="str">
        <f>IFERROR(__xludf.DUMMYFUNCTION("""COMPUTED_VALUE"""),"Heri (BT)")</f>
        <v>Heri (BT)</v>
      </c>
      <c r="F5061" s="14" t="str">
        <f>IFERROR(__xludf.DUMMYFUNCTION("""COMPUTED_VALUE"""),"SELESAI (VIA PERMOHONAN)")</f>
        <v>SELESAI (VIA PERMOHONAN)</v>
      </c>
      <c r="G5061" s="17">
        <f>IFERROR(__xludf.DUMMYFUNCTION("""COMPUTED_VALUE"""),46090.46972543982)</f>
        <v>46090.46973</v>
      </c>
      <c r="H5061" s="14"/>
      <c r="I5061" s="13"/>
      <c r="J5061" s="17" t="str">
        <f>IFERROR(__xludf.DUMMYFUNCTION("""COMPUTED_VALUE"""),"")</f>
        <v/>
      </c>
      <c r="K5061" s="13" t="str">
        <f>IFERROR(__xludf.DUMMYFUNCTION("""COMPUTED_VALUE"""),"BT atau SU Belum Valid")</f>
        <v>BT atau SU Belum Valid</v>
      </c>
      <c r="L5061" s="13" t="str">
        <f>IFERROR(__xludf.DUMMYFUNCTION("""COMPUTED_VALUE"""),"")</f>
        <v/>
      </c>
      <c r="M5061" s="13"/>
      <c r="N5061" s="13" t="str">
        <f>IFERROR(__xludf.DUMMYFUNCTION("""COMPUTED_VALUE"""),"")</f>
        <v/>
      </c>
      <c r="O5061" s="13" t="str">
        <f t="shared" si="1"/>
        <v/>
      </c>
    </row>
    <row r="5062" ht="22.5" customHeight="1">
      <c r="B5062" s="13">
        <f>IFERROR(__xludf.DUMMYFUNCTION("""COMPUTED_VALUE"""),5057.0)</f>
        <v>5057</v>
      </c>
      <c r="C5062" s="13">
        <f>IFERROR(__xludf.DUMMYFUNCTION("""COMPUTED_VALUE"""),1819.0)</f>
        <v>1819</v>
      </c>
      <c r="D5062" s="13" t="str">
        <f>IFERROR(__xludf.DUMMYFUNCTION("""COMPUTED_VALUE"""),"ABZOYYFP")</f>
        <v>ABZOYYFP</v>
      </c>
      <c r="E5062" s="14" t="str">
        <f>IFERROR(__xludf.DUMMYFUNCTION("""COMPUTED_VALUE"""),"Heri (BT)")</f>
        <v>Heri (BT)</v>
      </c>
      <c r="F5062" s="14" t="str">
        <f>IFERROR(__xludf.DUMMYFUNCTION("""COMPUTED_VALUE"""),"SELESAI (VIA PERMOHONAN)")</f>
        <v>SELESAI (VIA PERMOHONAN)</v>
      </c>
      <c r="G5062" s="17">
        <f>IFERROR(__xludf.DUMMYFUNCTION("""COMPUTED_VALUE"""),46090.47022664352)</f>
        <v>46090.47023</v>
      </c>
      <c r="H5062" s="14"/>
      <c r="I5062" s="13"/>
      <c r="J5062" s="17" t="str">
        <f>IFERROR(__xludf.DUMMYFUNCTION("""COMPUTED_VALUE"""),"")</f>
        <v/>
      </c>
      <c r="K5062" s="13" t="str">
        <f>IFERROR(__xludf.DUMMYFUNCTION("""COMPUTED_VALUE"""),"BT atau SU Belum Valid")</f>
        <v>BT atau SU Belum Valid</v>
      </c>
      <c r="L5062" s="13" t="str">
        <f>IFERROR(__xludf.DUMMYFUNCTION("""COMPUTED_VALUE"""),"")</f>
        <v/>
      </c>
      <c r="M5062" s="13"/>
      <c r="N5062" s="13" t="str">
        <f>IFERROR(__xludf.DUMMYFUNCTION("""COMPUTED_VALUE"""),"")</f>
        <v/>
      </c>
      <c r="O5062" s="13" t="str">
        <f t="shared" si="1"/>
        <v/>
      </c>
    </row>
    <row r="5063" ht="22.5" customHeight="1">
      <c r="B5063" s="13">
        <f>IFERROR(__xludf.DUMMYFUNCTION("""COMPUTED_VALUE"""),5058.0)</f>
        <v>5058</v>
      </c>
      <c r="C5063" s="13" t="str">
        <f>IFERROR(__xludf.DUMMYFUNCTION("""COMPUTED_VALUE"""),"M.1076/sumur putri")</f>
        <v>M.1076/sumur putri</v>
      </c>
      <c r="D5063" s="13" t="str">
        <f>IFERROR(__xludf.DUMMYFUNCTION("""COMPUTED_VALUE"""),"AB041-ABIVAPQS")</f>
        <v>AB041-ABIVAPQS</v>
      </c>
      <c r="E5063" s="14" t="str">
        <f>IFERROR(__xludf.DUMMYFUNCTION("""COMPUTED_VALUE"""),"Heri (BT)")</f>
        <v>Heri (BT)</v>
      </c>
      <c r="F5063" s="14" t="str">
        <f>IFERROR(__xludf.DUMMYFUNCTION("""COMPUTED_VALUE"""),"SELESAI (VIA PERMOHONAN)")</f>
        <v>SELESAI (VIA PERMOHONAN)</v>
      </c>
      <c r="G5063" s="17">
        <f>IFERROR(__xludf.DUMMYFUNCTION("""COMPUTED_VALUE"""),46090.47052495371)</f>
        <v>46090.47052</v>
      </c>
      <c r="H5063" s="14"/>
      <c r="I5063" s="13"/>
      <c r="J5063" s="17" t="str">
        <f>IFERROR(__xludf.DUMMYFUNCTION("""COMPUTED_VALUE"""),"")</f>
        <v/>
      </c>
      <c r="K5063" s="13" t="str">
        <f>IFERROR(__xludf.DUMMYFUNCTION("""COMPUTED_VALUE"""),"BT atau SU Belum Valid")</f>
        <v>BT atau SU Belum Valid</v>
      </c>
      <c r="L5063" s="13" t="str">
        <f>IFERROR(__xludf.DUMMYFUNCTION("""COMPUTED_VALUE"""),"")</f>
        <v/>
      </c>
      <c r="M5063" s="13"/>
      <c r="N5063" s="13" t="str">
        <f>IFERROR(__xludf.DUMMYFUNCTION("""COMPUTED_VALUE"""),"")</f>
        <v/>
      </c>
      <c r="O5063" s="13" t="str">
        <f t="shared" si="1"/>
        <v/>
      </c>
    </row>
    <row r="5064" ht="22.5" customHeight="1">
      <c r="B5064" s="13">
        <f>IFERROR(__xludf.DUMMYFUNCTION("""COMPUTED_VALUE"""),5059.0)</f>
        <v>5059</v>
      </c>
      <c r="C5064" s="13" t="str">
        <f>IFERROR(__xludf.DUMMYFUNCTION("""COMPUTED_VALUE"""),"Shm no 205/B.Pu")</f>
        <v>Shm no 205/B.Pu</v>
      </c>
      <c r="D5064" s="13" t="str">
        <f>IFERROR(__xludf.DUMMYFUNCTION("""COMPUTED_VALUE"""),"AB078-ABSMRVJV")</f>
        <v>AB078-ABSMRVJV</v>
      </c>
      <c r="E5064" s="14" t="str">
        <f>IFERROR(__xludf.DUMMYFUNCTION("""COMPUTED_VALUE"""),"Heri (BT)")</f>
        <v>Heri (BT)</v>
      </c>
      <c r="F5064" s="14" t="str">
        <f>IFERROR(__xludf.DUMMYFUNCTION("""COMPUTED_VALUE"""),"SELESAI (VIA PERMOHONAN)")</f>
        <v>SELESAI (VIA PERMOHONAN)</v>
      </c>
      <c r="G5064" s="17">
        <f>IFERROR(__xludf.DUMMYFUNCTION("""COMPUTED_VALUE"""),46090.470859849534)</f>
        <v>46090.47086</v>
      </c>
      <c r="H5064" s="14"/>
      <c r="I5064" s="13"/>
      <c r="J5064" s="17" t="str">
        <f>IFERROR(__xludf.DUMMYFUNCTION("""COMPUTED_VALUE"""),"")</f>
        <v/>
      </c>
      <c r="K5064" s="13" t="str">
        <f>IFERROR(__xludf.DUMMYFUNCTION("""COMPUTED_VALUE"""),"BT atau SU Belum Valid")</f>
        <v>BT atau SU Belum Valid</v>
      </c>
      <c r="L5064" s="13" t="str">
        <f>IFERROR(__xludf.DUMMYFUNCTION("""COMPUTED_VALUE"""),"")</f>
        <v/>
      </c>
      <c r="M5064" s="13"/>
      <c r="N5064" s="13" t="str">
        <f>IFERROR(__xludf.DUMMYFUNCTION("""COMPUTED_VALUE"""),"")</f>
        <v/>
      </c>
      <c r="O5064" s="13" t="str">
        <f t="shared" si="1"/>
        <v/>
      </c>
    </row>
    <row r="5065" ht="22.5" customHeight="1">
      <c r="B5065" s="13">
        <f>IFERROR(__xludf.DUMMYFUNCTION("""COMPUTED_VALUE"""),5060.0)</f>
        <v>5060</v>
      </c>
      <c r="C5065" s="13" t="str">
        <f>IFERROR(__xludf.DUMMYFUNCTION("""COMPUTED_VALUE"""),"M 3627/ way kandis")</f>
        <v>M 3627/ way kandis</v>
      </c>
      <c r="D5065" s="13" t="str">
        <f>IFERROR(__xludf.DUMMYFUNCTION("""COMPUTED_VALUE"""),"Abmiguqd")</f>
        <v>Abmiguqd</v>
      </c>
      <c r="E5065" s="14" t="str">
        <f>IFERROR(__xludf.DUMMYFUNCTION("""COMPUTED_VALUE"""),"Heri (BT)")</f>
        <v>Heri (BT)</v>
      </c>
      <c r="F5065" s="14" t="str">
        <f>IFERROR(__xludf.DUMMYFUNCTION("""COMPUTED_VALUE"""),"SELESAI (VIA PERMOHONAN)")</f>
        <v>SELESAI (VIA PERMOHONAN)</v>
      </c>
      <c r="G5065" s="17">
        <f>IFERROR(__xludf.DUMMYFUNCTION("""COMPUTED_VALUE"""),46090.4718424537)</f>
        <v>46090.47184</v>
      </c>
      <c r="H5065" s="14"/>
      <c r="I5065" s="13"/>
      <c r="J5065" s="17" t="str">
        <f>IFERROR(__xludf.DUMMYFUNCTION("""COMPUTED_VALUE"""),"")</f>
        <v/>
      </c>
      <c r="K5065" s="13" t="str">
        <f>IFERROR(__xludf.DUMMYFUNCTION("""COMPUTED_VALUE"""),"BT atau SU Belum Valid")</f>
        <v>BT atau SU Belum Valid</v>
      </c>
      <c r="L5065" s="13" t="str">
        <f>IFERROR(__xludf.DUMMYFUNCTION("""COMPUTED_VALUE"""),"")</f>
        <v/>
      </c>
      <c r="M5065" s="13"/>
      <c r="N5065" s="13" t="str">
        <f>IFERROR(__xludf.DUMMYFUNCTION("""COMPUTED_VALUE"""),"")</f>
        <v/>
      </c>
      <c r="O5065" s="13" t="str">
        <f t="shared" si="1"/>
        <v/>
      </c>
    </row>
    <row r="5066" ht="22.5" customHeight="1">
      <c r="B5066" s="13">
        <f>IFERROR(__xludf.DUMMYFUNCTION("""COMPUTED_VALUE"""),5061.0)</f>
        <v>5061</v>
      </c>
      <c r="C5066" s="13" t="str">
        <f>IFERROR(__xludf.DUMMYFUNCTION("""COMPUTED_VALUE"""),"B 322/ rajabasa nunyai")</f>
        <v>B 322/ rajabasa nunyai</v>
      </c>
      <c r="D5066" s="13" t="str">
        <f>IFERROR(__xludf.DUMMYFUNCTION("""COMPUTED_VALUE"""),"Ab 30 ( abwbmosc )")</f>
        <v>Ab 30 ( abwbmosc )</v>
      </c>
      <c r="E5066" s="14" t="str">
        <f>IFERROR(__xludf.DUMMYFUNCTION("""COMPUTED_VALUE"""),"Heri (BT)")</f>
        <v>Heri (BT)</v>
      </c>
      <c r="F5066" s="14" t="str">
        <f>IFERROR(__xludf.DUMMYFUNCTION("""COMPUTED_VALUE"""),"SELESAI (VIA PERMOHONAN)")</f>
        <v>SELESAI (VIA PERMOHONAN)</v>
      </c>
      <c r="G5066" s="17">
        <f>IFERROR(__xludf.DUMMYFUNCTION("""COMPUTED_VALUE"""),46090.472268819445)</f>
        <v>46090.47227</v>
      </c>
      <c r="H5066" s="14"/>
      <c r="I5066" s="13"/>
      <c r="J5066" s="17" t="str">
        <f>IFERROR(__xludf.DUMMYFUNCTION("""COMPUTED_VALUE"""),"")</f>
        <v/>
      </c>
      <c r="K5066" s="13" t="str">
        <f>IFERROR(__xludf.DUMMYFUNCTION("""COMPUTED_VALUE"""),"BT atau SU Belum Valid")</f>
        <v>BT atau SU Belum Valid</v>
      </c>
      <c r="L5066" s="13" t="str">
        <f>IFERROR(__xludf.DUMMYFUNCTION("""COMPUTED_VALUE"""),"")</f>
        <v/>
      </c>
      <c r="M5066" s="13"/>
      <c r="N5066" s="13" t="str">
        <f>IFERROR(__xludf.DUMMYFUNCTION("""COMPUTED_VALUE"""),"")</f>
        <v/>
      </c>
      <c r="O5066" s="13" t="str">
        <f t="shared" si="1"/>
        <v/>
      </c>
    </row>
    <row r="5067" ht="22.5" customHeight="1">
      <c r="B5067" s="13">
        <f>IFERROR(__xludf.DUMMYFUNCTION("""COMPUTED_VALUE"""),5062.0)</f>
        <v>5062</v>
      </c>
      <c r="C5067" s="13" t="str">
        <f>IFERROR(__xludf.DUMMYFUNCTION("""COMPUTED_VALUE"""),"M 5084/ TANJUNG SENNAG")</f>
        <v>M 5084/ TANJUNG SENNAG</v>
      </c>
      <c r="D5067" s="13" t="str">
        <f>IFERROR(__xludf.DUMMYFUNCTION("""COMPUTED_VALUE"""),"ABGWZWLT")</f>
        <v>ABGWZWLT</v>
      </c>
      <c r="E5067" s="14" t="str">
        <f>IFERROR(__xludf.DUMMYFUNCTION("""COMPUTED_VALUE"""),"Heri (BT)")</f>
        <v>Heri (BT)</v>
      </c>
      <c r="F5067" s="14" t="str">
        <f>IFERROR(__xludf.DUMMYFUNCTION("""COMPUTED_VALUE"""),"SELESAI (VIA PERMOHONAN)")</f>
        <v>SELESAI (VIA PERMOHONAN)</v>
      </c>
      <c r="G5067" s="17">
        <f>IFERROR(__xludf.DUMMYFUNCTION("""COMPUTED_VALUE"""),46090.47334914352)</f>
        <v>46090.47335</v>
      </c>
      <c r="H5067" s="14"/>
      <c r="I5067" s="13"/>
      <c r="J5067" s="17" t="str">
        <f>IFERROR(__xludf.DUMMYFUNCTION("""COMPUTED_VALUE"""),"")</f>
        <v/>
      </c>
      <c r="K5067" s="13" t="str">
        <f>IFERROR(__xludf.DUMMYFUNCTION("""COMPUTED_VALUE"""),"BT atau SU Belum Valid")</f>
        <v>BT atau SU Belum Valid</v>
      </c>
      <c r="L5067" s="13" t="str">
        <f>IFERROR(__xludf.DUMMYFUNCTION("""COMPUTED_VALUE"""),"")</f>
        <v/>
      </c>
      <c r="M5067" s="13"/>
      <c r="N5067" s="13" t="str">
        <f>IFERROR(__xludf.DUMMYFUNCTION("""COMPUTED_VALUE"""),"")</f>
        <v/>
      </c>
      <c r="O5067" s="13" t="str">
        <f t="shared" si="1"/>
        <v/>
      </c>
    </row>
    <row r="5068" ht="22.5" customHeight="1">
      <c r="B5068" s="13">
        <f>IFERROR(__xludf.DUMMYFUNCTION("""COMPUTED_VALUE"""),5063.0)</f>
        <v>5063</v>
      </c>
      <c r="C5068" s="13" t="str">
        <f>IFERROR(__xludf.DUMMYFUNCTION("""COMPUTED_VALUE"""),"M Nibel 01181/Sukarame Baru")</f>
        <v>M Nibel 01181/Sukarame Baru</v>
      </c>
      <c r="D5068" s="13" t="str">
        <f>IFERROR(__xludf.DUMMYFUNCTION("""COMPUTED_VALUE"""),"ABRYWMVM/Ab018")</f>
        <v>ABRYWMVM/Ab018</v>
      </c>
      <c r="E5068" s="14" t="str">
        <f>IFERROR(__xludf.DUMMYFUNCTION("""COMPUTED_VALUE"""),"Heri (BT)")</f>
        <v>Heri (BT)</v>
      </c>
      <c r="F5068" s="14" t="str">
        <f>IFERROR(__xludf.DUMMYFUNCTION("""COMPUTED_VALUE"""),"SELESAI (VIA PERMOHONAN)")</f>
        <v>SELESAI (VIA PERMOHONAN)</v>
      </c>
      <c r="G5068" s="17">
        <f>IFERROR(__xludf.DUMMYFUNCTION("""COMPUTED_VALUE"""),46090.475650312495)</f>
        <v>46090.47565</v>
      </c>
      <c r="H5068" s="14"/>
      <c r="I5068" s="13"/>
      <c r="J5068" s="17" t="str">
        <f>IFERROR(__xludf.DUMMYFUNCTION("""COMPUTED_VALUE"""),"")</f>
        <v/>
      </c>
      <c r="K5068" s="13" t="str">
        <f>IFERROR(__xludf.DUMMYFUNCTION("""COMPUTED_VALUE"""),"BT atau SU Belum Valid")</f>
        <v>BT atau SU Belum Valid</v>
      </c>
      <c r="L5068" s="13" t="str">
        <f>IFERROR(__xludf.DUMMYFUNCTION("""COMPUTED_VALUE"""),"")</f>
        <v/>
      </c>
      <c r="M5068" s="13"/>
      <c r="N5068" s="13" t="str">
        <f>IFERROR(__xludf.DUMMYFUNCTION("""COMPUTED_VALUE"""),"")</f>
        <v/>
      </c>
      <c r="O5068" s="13" t="str">
        <f t="shared" si="1"/>
        <v/>
      </c>
    </row>
    <row r="5069" ht="22.5" customHeight="1">
      <c r="B5069" s="13">
        <f>IFERROR(__xludf.DUMMYFUNCTION("""COMPUTED_VALUE"""),5064.0)</f>
        <v>5064</v>
      </c>
      <c r="C5069" s="13" t="str">
        <f>IFERROR(__xludf.DUMMYFUNCTION("""COMPUTED_VALUE"""),"M.14989/ rajabasa")</f>
        <v>M.14989/ rajabasa</v>
      </c>
      <c r="D5069" s="13" t="str">
        <f>IFERROR(__xludf.DUMMYFUNCTION("""COMPUTED_VALUE"""),"ABBJBRBJ/AB046")</f>
        <v>ABBJBRBJ/AB046</v>
      </c>
      <c r="E5069" s="14" t="str">
        <f>IFERROR(__xludf.DUMMYFUNCTION("""COMPUTED_VALUE"""),"Heri (BT)")</f>
        <v>Heri (BT)</v>
      </c>
      <c r="F5069" s="14" t="str">
        <f>IFERROR(__xludf.DUMMYFUNCTION("""COMPUTED_VALUE"""),"SELESAI (VIA PERMOHONAN)")</f>
        <v>SELESAI (VIA PERMOHONAN)</v>
      </c>
      <c r="G5069" s="17">
        <f>IFERROR(__xludf.DUMMYFUNCTION("""COMPUTED_VALUE"""),46090.47594321759)</f>
        <v>46090.47594</v>
      </c>
      <c r="H5069" s="14"/>
      <c r="I5069" s="13"/>
      <c r="J5069" s="17" t="str">
        <f>IFERROR(__xludf.DUMMYFUNCTION("""COMPUTED_VALUE"""),"")</f>
        <v/>
      </c>
      <c r="K5069" s="13" t="str">
        <f>IFERROR(__xludf.DUMMYFUNCTION("""COMPUTED_VALUE"""),"BT atau SU Belum Valid")</f>
        <v>BT atau SU Belum Valid</v>
      </c>
      <c r="L5069" s="13" t="str">
        <f>IFERROR(__xludf.DUMMYFUNCTION("""COMPUTED_VALUE"""),"")</f>
        <v/>
      </c>
      <c r="M5069" s="13"/>
      <c r="N5069" s="13" t="str">
        <f>IFERROR(__xludf.DUMMYFUNCTION("""COMPUTED_VALUE"""),"")</f>
        <v/>
      </c>
      <c r="O5069" s="13" t="str">
        <f t="shared" si="1"/>
        <v/>
      </c>
    </row>
    <row r="5070" ht="22.5" customHeight="1">
      <c r="B5070" s="13">
        <f>IFERROR(__xludf.DUMMYFUNCTION("""COMPUTED_VALUE"""),5065.0)</f>
        <v>5065</v>
      </c>
      <c r="C5070" s="13" t="str">
        <f>IFERROR(__xludf.DUMMYFUNCTION("""COMPUTED_VALUE"""),"M. 1184/BAKUNG")</f>
        <v>M. 1184/BAKUNG</v>
      </c>
      <c r="D5070" s="13" t="str">
        <f>IFERROR(__xludf.DUMMYFUNCTION("""COMPUTED_VALUE"""),"ABHRBBAN/AB039")</f>
        <v>ABHRBBAN/AB039</v>
      </c>
      <c r="E5070" s="14" t="str">
        <f>IFERROR(__xludf.DUMMYFUNCTION("""COMPUTED_VALUE"""),"Heri (BT)")</f>
        <v>Heri (BT)</v>
      </c>
      <c r="F5070" s="14" t="str">
        <f>IFERROR(__xludf.DUMMYFUNCTION("""COMPUTED_VALUE"""),"SELESAI (VIA PERMOHONAN)")</f>
        <v>SELESAI (VIA PERMOHONAN)</v>
      </c>
      <c r="G5070" s="17">
        <f>IFERROR(__xludf.DUMMYFUNCTION("""COMPUTED_VALUE"""),46091.526639386575)</f>
        <v>46091.52664</v>
      </c>
      <c r="H5070" s="14"/>
      <c r="I5070" s="13"/>
      <c r="J5070" s="17" t="str">
        <f>IFERROR(__xludf.DUMMYFUNCTION("""COMPUTED_VALUE"""),"")</f>
        <v/>
      </c>
      <c r="K5070" s="13" t="str">
        <f>IFERROR(__xludf.DUMMYFUNCTION("""COMPUTED_VALUE"""),"BT atau SU Belum Valid")</f>
        <v>BT atau SU Belum Valid</v>
      </c>
      <c r="L5070" s="13" t="str">
        <f>IFERROR(__xludf.DUMMYFUNCTION("""COMPUTED_VALUE"""),"")</f>
        <v/>
      </c>
      <c r="M5070" s="13"/>
      <c r="N5070" s="13" t="str">
        <f>IFERROR(__xludf.DUMMYFUNCTION("""COMPUTED_VALUE"""),"")</f>
        <v/>
      </c>
      <c r="O5070" s="13" t="str">
        <f t="shared" si="1"/>
        <v/>
      </c>
    </row>
    <row r="5071" ht="22.5" customHeight="1">
      <c r="B5071" s="13">
        <f>IFERROR(__xludf.DUMMYFUNCTION("""COMPUTED_VALUE"""),5066.0)</f>
        <v>5066</v>
      </c>
      <c r="C5071" s="13" t="str">
        <f>IFERROR(__xludf.DUMMYFUNCTION("""COMPUTED_VALUE"""),"M. 1359/BAKUNG")</f>
        <v>M. 1359/BAKUNG</v>
      </c>
      <c r="D5071" s="13" t="str">
        <f>IFERROR(__xludf.DUMMYFUNCTION("""COMPUTED_VALUE"""),"ABVBUHZB/AB039")</f>
        <v>ABVBUHZB/AB039</v>
      </c>
      <c r="E5071" s="14" t="str">
        <f>IFERROR(__xludf.DUMMYFUNCTION("""COMPUTED_VALUE"""),"Heri (BT)")</f>
        <v>Heri (BT)</v>
      </c>
      <c r="F5071" s="14" t="str">
        <f>IFERROR(__xludf.DUMMYFUNCTION("""COMPUTED_VALUE"""),"SELESAI (VIA PERMOHONAN)")</f>
        <v>SELESAI (VIA PERMOHONAN)</v>
      </c>
      <c r="G5071" s="17">
        <f>IFERROR(__xludf.DUMMYFUNCTION("""COMPUTED_VALUE"""),46091.526833958334)</f>
        <v>46091.52683</v>
      </c>
      <c r="H5071" s="14"/>
      <c r="I5071" s="13"/>
      <c r="J5071" s="17" t="str">
        <f>IFERROR(__xludf.DUMMYFUNCTION("""COMPUTED_VALUE"""),"")</f>
        <v/>
      </c>
      <c r="K5071" s="13" t="str">
        <f>IFERROR(__xludf.DUMMYFUNCTION("""COMPUTED_VALUE"""),"BT atau SU Belum Valid")</f>
        <v>BT atau SU Belum Valid</v>
      </c>
      <c r="L5071" s="13" t="str">
        <f>IFERROR(__xludf.DUMMYFUNCTION("""COMPUTED_VALUE"""),"")</f>
        <v/>
      </c>
      <c r="M5071" s="13"/>
      <c r="N5071" s="13" t="str">
        <f>IFERROR(__xludf.DUMMYFUNCTION("""COMPUTED_VALUE"""),"")</f>
        <v/>
      </c>
      <c r="O5071" s="13" t="str">
        <f t="shared" si="1"/>
        <v/>
      </c>
    </row>
    <row r="5072" ht="22.5" customHeight="1">
      <c r="B5072" s="13">
        <f>IFERROR(__xludf.DUMMYFUNCTION("""COMPUTED_VALUE"""),5067.0)</f>
        <v>5067</v>
      </c>
      <c r="C5072" s="13" t="str">
        <f>IFERROR(__xludf.DUMMYFUNCTION("""COMPUTED_VALUE"""),"B 610/Sukarame Baru")</f>
        <v>B 610/Sukarame Baru</v>
      </c>
      <c r="D5072" s="13" t="str">
        <f>IFERROR(__xludf.DUMMYFUNCTION("""COMPUTED_VALUE"""),"ABGDUKYS/AB049")</f>
        <v>ABGDUKYS/AB049</v>
      </c>
      <c r="E5072" s="14" t="str">
        <f>IFERROR(__xludf.DUMMYFUNCTION("""COMPUTED_VALUE"""),"Heri (BT)")</f>
        <v>Heri (BT)</v>
      </c>
      <c r="F5072" s="14" t="str">
        <f>IFERROR(__xludf.DUMMYFUNCTION("""COMPUTED_VALUE"""),"SELESAI (VIA PERMOHONAN)")</f>
        <v>SELESAI (VIA PERMOHONAN)</v>
      </c>
      <c r="G5072" s="17">
        <f>IFERROR(__xludf.DUMMYFUNCTION("""COMPUTED_VALUE"""),46091.52749626157)</f>
        <v>46091.5275</v>
      </c>
      <c r="H5072" s="14"/>
      <c r="I5072" s="13"/>
      <c r="J5072" s="17" t="str">
        <f>IFERROR(__xludf.DUMMYFUNCTION("""COMPUTED_VALUE"""),"")</f>
        <v/>
      </c>
      <c r="K5072" s="13" t="str">
        <f>IFERROR(__xludf.DUMMYFUNCTION("""COMPUTED_VALUE"""),"BT atau SU Belum Valid")</f>
        <v>BT atau SU Belum Valid</v>
      </c>
      <c r="L5072" s="13" t="str">
        <f>IFERROR(__xludf.DUMMYFUNCTION("""COMPUTED_VALUE"""),"")</f>
        <v/>
      </c>
      <c r="M5072" s="13"/>
      <c r="N5072" s="13" t="str">
        <f>IFERROR(__xludf.DUMMYFUNCTION("""COMPUTED_VALUE"""),"")</f>
        <v/>
      </c>
      <c r="O5072" s="13" t="str">
        <f t="shared" si="1"/>
        <v/>
      </c>
    </row>
    <row r="5073" ht="22.5" customHeight="1">
      <c r="B5073" s="13">
        <f>IFERROR(__xludf.DUMMYFUNCTION("""COMPUTED_VALUE"""),5068.0)</f>
        <v>5068</v>
      </c>
      <c r="C5073" s="13" t="str">
        <f>IFERROR(__xludf.DUMMYFUNCTION("""COMPUTED_VALUE"""),"SHM 1928/Susunan Baru")</f>
        <v>SHM 1928/Susunan Baru</v>
      </c>
      <c r="D5073" s="13" t="str">
        <f>IFERROR(__xludf.DUMMYFUNCTION("""COMPUTED_VALUE"""),"AB089/ABWUQJP")</f>
        <v>AB089/ABWUQJP</v>
      </c>
      <c r="E5073" s="14" t="str">
        <f>IFERROR(__xludf.DUMMYFUNCTION("""COMPUTED_VALUE"""),"Heri (BT)")</f>
        <v>Heri (BT)</v>
      </c>
      <c r="F5073" s="14" t="str">
        <f>IFERROR(__xludf.DUMMYFUNCTION("""COMPUTED_VALUE"""),"SELESAI (VIA PERMOHONAN)")</f>
        <v>SELESAI (VIA PERMOHONAN)</v>
      </c>
      <c r="G5073" s="17">
        <f>IFERROR(__xludf.DUMMYFUNCTION("""COMPUTED_VALUE"""),46091.52767652778)</f>
        <v>46091.52768</v>
      </c>
      <c r="H5073" s="14"/>
      <c r="I5073" s="13"/>
      <c r="J5073" s="17" t="str">
        <f>IFERROR(__xludf.DUMMYFUNCTION("""COMPUTED_VALUE"""),"")</f>
        <v/>
      </c>
      <c r="K5073" s="13" t="str">
        <f>IFERROR(__xludf.DUMMYFUNCTION("""COMPUTED_VALUE"""),"BT atau SU Belum Valid")</f>
        <v>BT atau SU Belum Valid</v>
      </c>
      <c r="L5073" s="13" t="str">
        <f>IFERROR(__xludf.DUMMYFUNCTION("""COMPUTED_VALUE"""),"")</f>
        <v/>
      </c>
      <c r="M5073" s="13"/>
      <c r="N5073" s="13" t="str">
        <f>IFERROR(__xludf.DUMMYFUNCTION("""COMPUTED_VALUE"""),"")</f>
        <v/>
      </c>
      <c r="O5073" s="13" t="str">
        <f t="shared" si="1"/>
        <v/>
      </c>
    </row>
    <row r="5074" ht="22.5" customHeight="1">
      <c r="B5074" s="13">
        <f>IFERROR(__xludf.DUMMYFUNCTION("""COMPUTED_VALUE"""),5069.0)</f>
        <v>5069</v>
      </c>
      <c r="C5074" s="13" t="str">
        <f>IFERROR(__xludf.DUMMYFUNCTION("""COMPUTED_VALUE"""),"M. 16449/Sukabumi")</f>
        <v>M. 16449/Sukabumi</v>
      </c>
      <c r="D5074" s="13" t="str">
        <f>IFERROR(__xludf.DUMMYFUNCTION("""COMPUTED_VALUE"""),"ABLCLHGE/AB088")</f>
        <v>ABLCLHGE/AB088</v>
      </c>
      <c r="E5074" s="14" t="str">
        <f>IFERROR(__xludf.DUMMYFUNCTION("""COMPUTED_VALUE"""),"Heri (BT)")</f>
        <v>Heri (BT)</v>
      </c>
      <c r="F5074" s="14" t="str">
        <f>IFERROR(__xludf.DUMMYFUNCTION("""COMPUTED_VALUE"""),"SELESAI (VIA PERMOHONAN)")</f>
        <v>SELESAI (VIA PERMOHONAN)</v>
      </c>
      <c r="G5074" s="17">
        <f>IFERROR(__xludf.DUMMYFUNCTION("""COMPUTED_VALUE"""),46091.527900138884)</f>
        <v>46091.5279</v>
      </c>
      <c r="H5074" s="14"/>
      <c r="I5074" s="13"/>
      <c r="J5074" s="17" t="str">
        <f>IFERROR(__xludf.DUMMYFUNCTION("""COMPUTED_VALUE"""),"")</f>
        <v/>
      </c>
      <c r="K5074" s="13" t="str">
        <f>IFERROR(__xludf.DUMMYFUNCTION("""COMPUTED_VALUE"""),"BT atau SU Belum Valid")</f>
        <v>BT atau SU Belum Valid</v>
      </c>
      <c r="L5074" s="13" t="str">
        <f>IFERROR(__xludf.DUMMYFUNCTION("""COMPUTED_VALUE"""),"")</f>
        <v/>
      </c>
      <c r="M5074" s="13"/>
      <c r="N5074" s="13" t="str">
        <f>IFERROR(__xludf.DUMMYFUNCTION("""COMPUTED_VALUE"""),"")</f>
        <v/>
      </c>
      <c r="O5074" s="13" t="str">
        <f t="shared" si="1"/>
        <v/>
      </c>
    </row>
    <row r="5075" ht="22.5" customHeight="1">
      <c r="B5075" s="13">
        <f>IFERROR(__xludf.DUMMYFUNCTION("""COMPUTED_VALUE"""),5070.0)</f>
        <v>5070</v>
      </c>
      <c r="C5075" s="13" t="str">
        <f>IFERROR(__xludf.DUMMYFUNCTION("""COMPUTED_VALUE"""),"M 2359/ KEDAUNG")</f>
        <v>M 2359/ KEDAUNG</v>
      </c>
      <c r="D5075" s="13" t="str">
        <f>IFERROR(__xludf.DUMMYFUNCTION("""COMPUTED_VALUE"""),"ABGHEEXW")</f>
        <v>ABGHEEXW</v>
      </c>
      <c r="E5075" s="14" t="str">
        <f>IFERROR(__xludf.DUMMYFUNCTION("""COMPUTED_VALUE"""),"Heri (BT)")</f>
        <v>Heri (BT)</v>
      </c>
      <c r="F5075" s="14" t="str">
        <f>IFERROR(__xludf.DUMMYFUNCTION("""COMPUTED_VALUE"""),"SELESAI (VIA PERMOHONAN)")</f>
        <v>SELESAI (VIA PERMOHONAN)</v>
      </c>
      <c r="G5075" s="17">
        <f>IFERROR(__xludf.DUMMYFUNCTION("""COMPUTED_VALUE"""),46091.528074988426)</f>
        <v>46091.52807</v>
      </c>
      <c r="H5075" s="14"/>
      <c r="I5075" s="13"/>
      <c r="J5075" s="17" t="str">
        <f>IFERROR(__xludf.DUMMYFUNCTION("""COMPUTED_VALUE"""),"")</f>
        <v/>
      </c>
      <c r="K5075" s="13" t="str">
        <f>IFERROR(__xludf.DUMMYFUNCTION("""COMPUTED_VALUE"""),"BT atau SU Belum Valid")</f>
        <v>BT atau SU Belum Valid</v>
      </c>
      <c r="L5075" s="13" t="str">
        <f>IFERROR(__xludf.DUMMYFUNCTION("""COMPUTED_VALUE"""),"")</f>
        <v/>
      </c>
      <c r="M5075" s="13"/>
      <c r="N5075" s="13" t="str">
        <f>IFERROR(__xludf.DUMMYFUNCTION("""COMPUTED_VALUE"""),"")</f>
        <v/>
      </c>
      <c r="O5075" s="13" t="str">
        <f t="shared" si="1"/>
        <v/>
      </c>
    </row>
    <row r="5076" ht="22.5" customHeight="1">
      <c r="B5076" s="13">
        <f>IFERROR(__xludf.DUMMYFUNCTION("""COMPUTED_VALUE"""),5071.0)</f>
        <v>5071</v>
      </c>
      <c r="C5076" s="13" t="str">
        <f>IFERROR(__xludf.DUMMYFUNCTION("""COMPUTED_VALUE"""),"B 199/ rajabasa nunyai")</f>
        <v>B 199/ rajabasa nunyai</v>
      </c>
      <c r="D5076" s="13" t="str">
        <f>IFERROR(__xludf.DUMMYFUNCTION("""COMPUTED_VALUE"""),"Ab 30 ( abbgrrjw) ")</f>
        <v>Ab 30 ( abbgrrjw) </v>
      </c>
      <c r="E5076" s="14" t="str">
        <f>IFERROR(__xludf.DUMMYFUNCTION("""COMPUTED_VALUE"""),"Heri (BT)")</f>
        <v>Heri (BT)</v>
      </c>
      <c r="F5076" s="14" t="str">
        <f>IFERROR(__xludf.DUMMYFUNCTION("""COMPUTED_VALUE"""),"SELESAI (VIA PERMOHONAN)")</f>
        <v>SELESAI (VIA PERMOHONAN)</v>
      </c>
      <c r="G5076" s="17">
        <f>IFERROR(__xludf.DUMMYFUNCTION("""COMPUTED_VALUE"""),46091.52834204861)</f>
        <v>46091.52834</v>
      </c>
      <c r="H5076" s="14"/>
      <c r="I5076" s="13"/>
      <c r="J5076" s="17" t="str">
        <f>IFERROR(__xludf.DUMMYFUNCTION("""COMPUTED_VALUE"""),"")</f>
        <v/>
      </c>
      <c r="K5076" s="13" t="str">
        <f>IFERROR(__xludf.DUMMYFUNCTION("""COMPUTED_VALUE"""),"BT atau SU Belum Valid")</f>
        <v>BT atau SU Belum Valid</v>
      </c>
      <c r="L5076" s="13" t="str">
        <f>IFERROR(__xludf.DUMMYFUNCTION("""COMPUTED_VALUE"""),"")</f>
        <v/>
      </c>
      <c r="M5076" s="13"/>
      <c r="N5076" s="13" t="str">
        <f>IFERROR(__xludf.DUMMYFUNCTION("""COMPUTED_VALUE"""),"")</f>
        <v/>
      </c>
      <c r="O5076" s="13" t="str">
        <f t="shared" si="1"/>
        <v/>
      </c>
    </row>
    <row r="5077" ht="22.5" customHeight="1">
      <c r="B5077" s="13">
        <f>IFERROR(__xludf.DUMMYFUNCTION("""COMPUTED_VALUE"""),5072.0)</f>
        <v>5072</v>
      </c>
      <c r="C5077" s="13" t="str">
        <f>IFERROR(__xludf.DUMMYFUNCTION("""COMPUTED_VALUE"""),"M 1199/ BAKUNG")</f>
        <v>M 1199/ BAKUNG</v>
      </c>
      <c r="D5077" s="13" t="str">
        <f>IFERROR(__xludf.DUMMYFUNCTION("""COMPUTED_VALUE"""),"ABYPZMET")</f>
        <v>ABYPZMET</v>
      </c>
      <c r="E5077" s="14" t="str">
        <f>IFERROR(__xludf.DUMMYFUNCTION("""COMPUTED_VALUE"""),"Heri (BT)")</f>
        <v>Heri (BT)</v>
      </c>
      <c r="F5077" s="14" t="str">
        <f>IFERROR(__xludf.DUMMYFUNCTION("""COMPUTED_VALUE"""),"SELESAI (VIA PERMOHONAN)")</f>
        <v>SELESAI (VIA PERMOHONAN)</v>
      </c>
      <c r="G5077" s="17">
        <f>IFERROR(__xludf.DUMMYFUNCTION("""COMPUTED_VALUE"""),46091.52869607639)</f>
        <v>46091.5287</v>
      </c>
      <c r="H5077" s="14"/>
      <c r="I5077" s="13"/>
      <c r="J5077" s="17" t="str">
        <f>IFERROR(__xludf.DUMMYFUNCTION("""COMPUTED_VALUE"""),"")</f>
        <v/>
      </c>
      <c r="K5077" s="13" t="str">
        <f>IFERROR(__xludf.DUMMYFUNCTION("""COMPUTED_VALUE"""),"BT atau SU Belum Valid")</f>
        <v>BT atau SU Belum Valid</v>
      </c>
      <c r="L5077" s="13" t="str">
        <f>IFERROR(__xludf.DUMMYFUNCTION("""COMPUTED_VALUE"""),"")</f>
        <v/>
      </c>
      <c r="M5077" s="13"/>
      <c r="N5077" s="13" t="str">
        <f>IFERROR(__xludf.DUMMYFUNCTION("""COMPUTED_VALUE"""),"")</f>
        <v/>
      </c>
      <c r="O5077" s="13" t="str">
        <f t="shared" si="1"/>
        <v/>
      </c>
    </row>
    <row r="5078" ht="22.5" customHeight="1">
      <c r="B5078" s="13">
        <f>IFERROR(__xludf.DUMMYFUNCTION("""COMPUTED_VALUE"""),5073.0)</f>
        <v>5073</v>
      </c>
      <c r="C5078" s="13" t="str">
        <f>IFERROR(__xludf.DUMMYFUNCTION("""COMPUTED_VALUE"""),"M.11500/kedaton")</f>
        <v>M.11500/kedaton</v>
      </c>
      <c r="D5078" s="13" t="str">
        <f>IFERROR(__xludf.DUMMYFUNCTION("""COMPUTED_VALUE"""),"ABLRTXSE")</f>
        <v>ABLRTXSE</v>
      </c>
      <c r="E5078" s="14" t="str">
        <f>IFERROR(__xludf.DUMMYFUNCTION("""COMPUTED_VALUE"""),"Heri (BT)")</f>
        <v>Heri (BT)</v>
      </c>
      <c r="F5078" s="14" t="str">
        <f>IFERROR(__xludf.DUMMYFUNCTION("""COMPUTED_VALUE"""),"SELESAI (VIA PERMOHONAN)")</f>
        <v>SELESAI (VIA PERMOHONAN)</v>
      </c>
      <c r="G5078" s="17">
        <f>IFERROR(__xludf.DUMMYFUNCTION("""COMPUTED_VALUE"""),46091.52890372685)</f>
        <v>46091.5289</v>
      </c>
      <c r="H5078" s="14"/>
      <c r="I5078" s="13"/>
      <c r="J5078" s="17" t="str">
        <f>IFERROR(__xludf.DUMMYFUNCTION("""COMPUTED_VALUE"""),"")</f>
        <v/>
      </c>
      <c r="K5078" s="13" t="str">
        <f>IFERROR(__xludf.DUMMYFUNCTION("""COMPUTED_VALUE"""),"BT atau SU Belum Valid")</f>
        <v>BT atau SU Belum Valid</v>
      </c>
      <c r="L5078" s="13" t="str">
        <f>IFERROR(__xludf.DUMMYFUNCTION("""COMPUTED_VALUE"""),"")</f>
        <v/>
      </c>
      <c r="M5078" s="13"/>
      <c r="N5078" s="13" t="str">
        <f>IFERROR(__xludf.DUMMYFUNCTION("""COMPUTED_VALUE"""),"")</f>
        <v/>
      </c>
      <c r="O5078" s="13" t="str">
        <f t="shared" si="1"/>
        <v/>
      </c>
    </row>
    <row r="5079" ht="22.5" customHeight="1">
      <c r="B5079" s="13">
        <f>IFERROR(__xludf.DUMMYFUNCTION("""COMPUTED_VALUE"""),5074.0)</f>
        <v>5074</v>
      </c>
      <c r="C5079" s="13" t="str">
        <f>IFERROR(__xludf.DUMMYFUNCTION("""COMPUTED_VALUE"""),"M 5117 rajabasa jaya")</f>
        <v>M 5117 rajabasa jaya</v>
      </c>
      <c r="D5079" s="13" t="str">
        <f>IFERROR(__xludf.DUMMYFUNCTION("""COMPUTED_VALUE"""),"ABUQEWQF")</f>
        <v>ABUQEWQF</v>
      </c>
      <c r="E5079" s="14" t="str">
        <f>IFERROR(__xludf.DUMMYFUNCTION("""COMPUTED_VALUE"""),"Heri (BT)")</f>
        <v>Heri (BT)</v>
      </c>
      <c r="F5079" s="14" t="str">
        <f>IFERROR(__xludf.DUMMYFUNCTION("""COMPUTED_VALUE"""),"SELESAI (VIA PERMOHONAN)")</f>
        <v>SELESAI (VIA PERMOHONAN)</v>
      </c>
      <c r="G5079" s="17">
        <f>IFERROR(__xludf.DUMMYFUNCTION("""COMPUTED_VALUE"""),46092.406254953705)</f>
        <v>46092.40625</v>
      </c>
      <c r="H5079" s="14"/>
      <c r="I5079" s="13"/>
      <c r="J5079" s="17" t="str">
        <f>IFERROR(__xludf.DUMMYFUNCTION("""COMPUTED_VALUE"""),"")</f>
        <v/>
      </c>
      <c r="K5079" s="13" t="str">
        <f>IFERROR(__xludf.DUMMYFUNCTION("""COMPUTED_VALUE"""),"BT atau SU Belum Valid")</f>
        <v>BT atau SU Belum Valid</v>
      </c>
      <c r="L5079" s="13" t="str">
        <f>IFERROR(__xludf.DUMMYFUNCTION("""COMPUTED_VALUE"""),"")</f>
        <v/>
      </c>
      <c r="M5079" s="13"/>
      <c r="N5079" s="13" t="str">
        <f>IFERROR(__xludf.DUMMYFUNCTION("""COMPUTED_VALUE"""),"")</f>
        <v/>
      </c>
      <c r="O5079" s="13" t="str">
        <f t="shared" si="1"/>
        <v/>
      </c>
    </row>
    <row r="5080" ht="22.5" customHeight="1">
      <c r="B5080" s="13">
        <f>IFERROR(__xludf.DUMMYFUNCTION("""COMPUTED_VALUE"""),5075.0)</f>
        <v>5075</v>
      </c>
      <c r="C5080" s="13" t="str">
        <f>IFERROR(__xludf.DUMMYFUNCTION("""COMPUTED_VALUE"""),"M.951 PWH")</f>
        <v>M.951 PWH</v>
      </c>
      <c r="D5080" s="13" t="str">
        <f>IFERROR(__xludf.DUMMYFUNCTION("""COMPUTED_VALUE"""),"AB024/ABUYVJCL")</f>
        <v>AB024/ABUYVJCL</v>
      </c>
      <c r="E5080" s="14" t="str">
        <f>IFERROR(__xludf.DUMMYFUNCTION("""COMPUTED_VALUE"""),"Heri (BT)")</f>
        <v>Heri (BT)</v>
      </c>
      <c r="F5080" s="14" t="str">
        <f>IFERROR(__xludf.DUMMYFUNCTION("""COMPUTED_VALUE"""),"SELESAI (VIA PERMOHONAN)")</f>
        <v>SELESAI (VIA PERMOHONAN)</v>
      </c>
      <c r="G5080" s="17">
        <f>IFERROR(__xludf.DUMMYFUNCTION("""COMPUTED_VALUE"""),46092.40746498843)</f>
        <v>46092.40746</v>
      </c>
      <c r="H5080" s="14"/>
      <c r="I5080" s="13"/>
      <c r="J5080" s="17" t="str">
        <f>IFERROR(__xludf.DUMMYFUNCTION("""COMPUTED_VALUE"""),"")</f>
        <v/>
      </c>
      <c r="K5080" s="13" t="str">
        <f>IFERROR(__xludf.DUMMYFUNCTION("""COMPUTED_VALUE"""),"BT atau SU Belum Valid")</f>
        <v>BT atau SU Belum Valid</v>
      </c>
      <c r="L5080" s="13" t="str">
        <f>IFERROR(__xludf.DUMMYFUNCTION("""COMPUTED_VALUE"""),"")</f>
        <v/>
      </c>
      <c r="M5080" s="13"/>
      <c r="N5080" s="13" t="str">
        <f>IFERROR(__xludf.DUMMYFUNCTION("""COMPUTED_VALUE"""),"")</f>
        <v/>
      </c>
      <c r="O5080" s="13" t="str">
        <f t="shared" si="1"/>
        <v/>
      </c>
    </row>
    <row r="5081" ht="22.5" customHeight="1">
      <c r="B5081" s="13">
        <f>IFERROR(__xludf.DUMMYFUNCTION("""COMPUTED_VALUE"""),5076.0)</f>
        <v>5076</v>
      </c>
      <c r="C5081" s="13" t="str">
        <f>IFERROR(__xludf.DUMMYFUNCTION("""COMPUTED_VALUE"""),"M. 2482/SUSUNAN BARU")</f>
        <v>M. 2482/SUSUNAN BARU</v>
      </c>
      <c r="D5081" s="13" t="str">
        <f>IFERROR(__xludf.DUMMYFUNCTION("""COMPUTED_VALUE"""),"K/11/080126/2")</f>
        <v>K/11/080126/2</v>
      </c>
      <c r="E5081" s="14" t="str">
        <f>IFERROR(__xludf.DUMMYFUNCTION("""COMPUTED_VALUE"""),"Heri (BT)")</f>
        <v>Heri (BT)</v>
      </c>
      <c r="F5081" s="14" t="str">
        <f>IFERROR(__xludf.DUMMYFUNCTION("""COMPUTED_VALUE"""),"SELESAI (VIA PERMOHONAN)")</f>
        <v>SELESAI (VIA PERMOHONAN)</v>
      </c>
      <c r="G5081" s="17">
        <f>IFERROR(__xludf.DUMMYFUNCTION("""COMPUTED_VALUE"""),46092.40793777778)</f>
        <v>46092.40794</v>
      </c>
      <c r="H5081" s="14"/>
      <c r="I5081" s="13"/>
      <c r="J5081" s="17" t="str">
        <f>IFERROR(__xludf.DUMMYFUNCTION("""COMPUTED_VALUE"""),"")</f>
        <v/>
      </c>
      <c r="K5081" s="13" t="str">
        <f>IFERROR(__xludf.DUMMYFUNCTION("""COMPUTED_VALUE"""),"BT atau SU Belum Valid")</f>
        <v>BT atau SU Belum Valid</v>
      </c>
      <c r="L5081" s="13" t="str">
        <f>IFERROR(__xludf.DUMMYFUNCTION("""COMPUTED_VALUE"""),"")</f>
        <v/>
      </c>
      <c r="M5081" s="13"/>
      <c r="N5081" s="13" t="str">
        <f>IFERROR(__xludf.DUMMYFUNCTION("""COMPUTED_VALUE"""),"")</f>
        <v/>
      </c>
      <c r="O5081" s="13" t="str">
        <f t="shared" si="1"/>
        <v/>
      </c>
    </row>
    <row r="5082" ht="22.5" customHeight="1">
      <c r="B5082" s="13">
        <f>IFERROR(__xludf.DUMMYFUNCTION("""COMPUTED_VALUE"""),5077.0)</f>
        <v>5077</v>
      </c>
      <c r="C5082" s="13" t="str">
        <f>IFERROR(__xludf.DUMMYFUNCTION("""COMPUTED_VALUE"""),"M. 2632/ GEDONG AIR")</f>
        <v>M. 2632/ GEDONG AIR</v>
      </c>
      <c r="D5082" s="13" t="str">
        <f>IFERROR(__xludf.DUMMYFUNCTION("""COMPUTED_VALUE"""),"K/5/090126/2")</f>
        <v>K/5/090126/2</v>
      </c>
      <c r="E5082" s="14" t="str">
        <f>IFERROR(__xludf.DUMMYFUNCTION("""COMPUTED_VALUE"""),"Heri (BT)")</f>
        <v>Heri (BT)</v>
      </c>
      <c r="F5082" s="14" t="str">
        <f>IFERROR(__xludf.DUMMYFUNCTION("""COMPUTED_VALUE"""),"SELESAI (VIA PERMOHONAN)")</f>
        <v>SELESAI (VIA PERMOHONAN)</v>
      </c>
      <c r="G5082" s="17">
        <f>IFERROR(__xludf.DUMMYFUNCTION("""COMPUTED_VALUE"""),46092.42735831019)</f>
        <v>46092.42736</v>
      </c>
      <c r="H5082" s="14"/>
      <c r="I5082" s="13"/>
      <c r="J5082" s="17" t="str">
        <f>IFERROR(__xludf.DUMMYFUNCTION("""COMPUTED_VALUE"""),"")</f>
        <v/>
      </c>
      <c r="K5082" s="13" t="str">
        <f>IFERROR(__xludf.DUMMYFUNCTION("""COMPUTED_VALUE"""),"BT atau SU Belum Valid")</f>
        <v>BT atau SU Belum Valid</v>
      </c>
      <c r="L5082" s="13" t="str">
        <f>IFERROR(__xludf.DUMMYFUNCTION("""COMPUTED_VALUE"""),"")</f>
        <v/>
      </c>
      <c r="M5082" s="13"/>
      <c r="N5082" s="13" t="str">
        <f>IFERROR(__xludf.DUMMYFUNCTION("""COMPUTED_VALUE"""),"")</f>
        <v/>
      </c>
      <c r="O5082" s="13" t="str">
        <f t="shared" si="1"/>
        <v/>
      </c>
    </row>
    <row r="5083" ht="22.5" customHeight="1">
      <c r="B5083" s="13">
        <f>IFERROR(__xludf.DUMMYFUNCTION("""COMPUTED_VALUE"""),5078.0)</f>
        <v>5078</v>
      </c>
      <c r="C5083" s="13" t="str">
        <f>IFERROR(__xludf.DUMMYFUNCTION("""COMPUTED_VALUE"""),"M. 2633/GEDONG AIR")</f>
        <v>M. 2633/GEDONG AIR</v>
      </c>
      <c r="D5083" s="13" t="str">
        <f>IFERROR(__xludf.DUMMYFUNCTION("""COMPUTED_VALUE"""),"K/4/090126/1")</f>
        <v>K/4/090126/1</v>
      </c>
      <c r="E5083" s="14" t="str">
        <f>IFERROR(__xludf.DUMMYFUNCTION("""COMPUTED_VALUE"""),"Heri (BT)")</f>
        <v>Heri (BT)</v>
      </c>
      <c r="F5083" s="14" t="str">
        <f>IFERROR(__xludf.DUMMYFUNCTION("""COMPUTED_VALUE"""),"SELESAI (VIA PERMOHONAN)")</f>
        <v>SELESAI (VIA PERMOHONAN)</v>
      </c>
      <c r="G5083" s="17">
        <f>IFERROR(__xludf.DUMMYFUNCTION("""COMPUTED_VALUE"""),46092.42825378472)</f>
        <v>46092.42825</v>
      </c>
      <c r="H5083" s="14"/>
      <c r="I5083" s="13"/>
      <c r="J5083" s="17" t="str">
        <f>IFERROR(__xludf.DUMMYFUNCTION("""COMPUTED_VALUE"""),"")</f>
        <v/>
      </c>
      <c r="K5083" s="13" t="str">
        <f>IFERROR(__xludf.DUMMYFUNCTION("""COMPUTED_VALUE"""),"BT atau SU Belum Valid")</f>
        <v>BT atau SU Belum Valid</v>
      </c>
      <c r="L5083" s="13" t="str">
        <f>IFERROR(__xludf.DUMMYFUNCTION("""COMPUTED_VALUE"""),"")</f>
        <v/>
      </c>
      <c r="M5083" s="13"/>
      <c r="N5083" s="13" t="str">
        <f>IFERROR(__xludf.DUMMYFUNCTION("""COMPUTED_VALUE"""),"")</f>
        <v/>
      </c>
      <c r="O5083" s="13" t="str">
        <f t="shared" si="1"/>
        <v/>
      </c>
    </row>
    <row r="5084" ht="22.5" customHeight="1">
      <c r="B5084" s="13">
        <f>IFERROR(__xludf.DUMMYFUNCTION("""COMPUTED_VALUE"""),5079.0)</f>
        <v>5079</v>
      </c>
      <c r="C5084" s="13" t="str">
        <f>IFERROR(__xludf.DUMMYFUNCTION("""COMPUTED_VALUE"""),"M. 3003/GEDONG AIR")</f>
        <v>M. 3003/GEDONG AIR</v>
      </c>
      <c r="D5084" s="13" t="str">
        <f>IFERROR(__xludf.DUMMYFUNCTION("""COMPUTED_VALUE"""),"K/1/111225/1")</f>
        <v>K/1/111225/1</v>
      </c>
      <c r="E5084" s="14" t="str">
        <f>IFERROR(__xludf.DUMMYFUNCTION("""COMPUTED_VALUE"""),"Heri (BT)")</f>
        <v>Heri (BT)</v>
      </c>
      <c r="F5084" s="14" t="str">
        <f>IFERROR(__xludf.DUMMYFUNCTION("""COMPUTED_VALUE"""),"SELESAI (VIA PERMOHONAN)")</f>
        <v>SELESAI (VIA PERMOHONAN)</v>
      </c>
      <c r="G5084" s="17">
        <f>IFERROR(__xludf.DUMMYFUNCTION("""COMPUTED_VALUE"""),46092.428279976855)</f>
        <v>46092.42828</v>
      </c>
      <c r="H5084" s="14"/>
      <c r="I5084" s="13"/>
      <c r="J5084" s="17" t="str">
        <f>IFERROR(__xludf.DUMMYFUNCTION("""COMPUTED_VALUE"""),"")</f>
        <v/>
      </c>
      <c r="K5084" s="13" t="str">
        <f>IFERROR(__xludf.DUMMYFUNCTION("""COMPUTED_VALUE"""),"BT atau SU Belum Valid")</f>
        <v>BT atau SU Belum Valid</v>
      </c>
      <c r="L5084" s="13" t="str">
        <f>IFERROR(__xludf.DUMMYFUNCTION("""COMPUTED_VALUE"""),"")</f>
        <v/>
      </c>
      <c r="M5084" s="13"/>
      <c r="N5084" s="13" t="str">
        <f>IFERROR(__xludf.DUMMYFUNCTION("""COMPUTED_VALUE"""),"")</f>
        <v/>
      </c>
      <c r="O5084" s="13" t="str">
        <f t="shared" si="1"/>
        <v/>
      </c>
    </row>
    <row r="5085" ht="22.5" customHeight="1">
      <c r="B5085" s="13">
        <f>IFERROR(__xludf.DUMMYFUNCTION("""COMPUTED_VALUE"""),5080.0)</f>
        <v>5080</v>
      </c>
      <c r="C5085" s="13" t="str">
        <f>IFERROR(__xludf.DUMMYFUNCTION("""COMPUTED_VALUE"""),"M. 16580/Skb")</f>
        <v>M. 16580/Skb</v>
      </c>
      <c r="D5085" s="13" t="str">
        <f>IFERROR(__xludf.DUMMYFUNCTION("""COMPUTED_VALUE"""),"ABCOWQTQ")</f>
        <v>ABCOWQTQ</v>
      </c>
      <c r="E5085" s="14" t="str">
        <f>IFERROR(__xludf.DUMMYFUNCTION("""COMPUTED_VALUE"""),"Heri (BT)")</f>
        <v>Heri (BT)</v>
      </c>
      <c r="F5085" s="14" t="str">
        <f>IFERROR(__xludf.DUMMYFUNCTION("""COMPUTED_VALUE"""),"SELESAI (VIA PERMOHONAN)")</f>
        <v>SELESAI (VIA PERMOHONAN)</v>
      </c>
      <c r="G5085" s="17">
        <f>IFERROR(__xludf.DUMMYFUNCTION("""COMPUTED_VALUE"""),46092.53056197916)</f>
        <v>46092.53056</v>
      </c>
      <c r="H5085" s="14"/>
      <c r="I5085" s="13"/>
      <c r="J5085" s="17" t="str">
        <f>IFERROR(__xludf.DUMMYFUNCTION("""COMPUTED_VALUE"""),"")</f>
        <v/>
      </c>
      <c r="K5085" s="13" t="str">
        <f>IFERROR(__xludf.DUMMYFUNCTION("""COMPUTED_VALUE"""),"BT atau SU Belum Valid")</f>
        <v>BT atau SU Belum Valid</v>
      </c>
      <c r="L5085" s="13" t="str">
        <f>IFERROR(__xludf.DUMMYFUNCTION("""COMPUTED_VALUE"""),"")</f>
        <v/>
      </c>
      <c r="M5085" s="13"/>
      <c r="N5085" s="13" t="str">
        <f>IFERROR(__xludf.DUMMYFUNCTION("""COMPUTED_VALUE"""),"")</f>
        <v/>
      </c>
      <c r="O5085" s="13" t="str">
        <f t="shared" si="1"/>
        <v/>
      </c>
    </row>
    <row r="5086" ht="22.5" customHeight="1">
      <c r="B5086" s="13">
        <f>IFERROR(__xludf.DUMMYFUNCTION("""COMPUTED_VALUE"""),5081.0)</f>
        <v>5081</v>
      </c>
      <c r="C5086" s="13" t="str">
        <f>IFERROR(__xludf.DUMMYFUNCTION("""COMPUTED_VALUE"""),"Shm 1275")</f>
        <v>Shm 1275</v>
      </c>
      <c r="D5086" s="13" t="str">
        <f>IFERROR(__xludf.DUMMYFUNCTION("""COMPUTED_VALUE"""),"ABTSKYVF/AB019")</f>
        <v>ABTSKYVF/AB019</v>
      </c>
      <c r="E5086" s="14" t="str">
        <f>IFERROR(__xludf.DUMMYFUNCTION("""COMPUTED_VALUE"""),"Heri (BT)")</f>
        <v>Heri (BT)</v>
      </c>
      <c r="F5086" s="14" t="str">
        <f>IFERROR(__xludf.DUMMYFUNCTION("""COMPUTED_VALUE"""),"SELESAI (VIA PERMOHONAN)")</f>
        <v>SELESAI (VIA PERMOHONAN)</v>
      </c>
      <c r="G5086" s="17">
        <f>IFERROR(__xludf.DUMMYFUNCTION("""COMPUTED_VALUE"""),46092.531802673606)</f>
        <v>46092.5318</v>
      </c>
      <c r="H5086" s="14"/>
      <c r="I5086" s="13"/>
      <c r="J5086" s="17" t="str">
        <f>IFERROR(__xludf.DUMMYFUNCTION("""COMPUTED_VALUE"""),"")</f>
        <v/>
      </c>
      <c r="K5086" s="13" t="str">
        <f>IFERROR(__xludf.DUMMYFUNCTION("""COMPUTED_VALUE"""),"BT atau SU Belum Valid")</f>
        <v>BT atau SU Belum Valid</v>
      </c>
      <c r="L5086" s="13" t="str">
        <f>IFERROR(__xludf.DUMMYFUNCTION("""COMPUTED_VALUE"""),"")</f>
        <v/>
      </c>
      <c r="M5086" s="13"/>
      <c r="N5086" s="13" t="str">
        <f>IFERROR(__xludf.DUMMYFUNCTION("""COMPUTED_VALUE"""),"")</f>
        <v/>
      </c>
      <c r="O5086" s="13" t="str">
        <f t="shared" si="1"/>
        <v/>
      </c>
    </row>
    <row r="5087" ht="22.5" customHeight="1">
      <c r="B5087" s="13">
        <f>IFERROR(__xludf.DUMMYFUNCTION("""COMPUTED_VALUE"""),5082.0)</f>
        <v>5082</v>
      </c>
      <c r="C5087" s="13" t="str">
        <f>IFERROR(__xludf.DUMMYFUNCTION("""COMPUTED_VALUE"""),"03481/RajabasaJaya")</f>
        <v>03481/RajabasaJaya</v>
      </c>
      <c r="D5087" s="13" t="str">
        <f>IFERROR(__xludf.DUMMYFUNCTION("""COMPUTED_VALUE"""),"ABPGZVZO")</f>
        <v>ABPGZVZO</v>
      </c>
      <c r="E5087" s="14" t="str">
        <f>IFERROR(__xludf.DUMMYFUNCTION("""COMPUTED_VALUE"""),"Heri (BT)")</f>
        <v>Heri (BT)</v>
      </c>
      <c r="F5087" s="14" t="str">
        <f>IFERROR(__xludf.DUMMYFUNCTION("""COMPUTED_VALUE"""),"SELESAI (VIA PERMOHONAN)")</f>
        <v>SELESAI (VIA PERMOHONAN)</v>
      </c>
      <c r="G5087" s="17">
        <f>IFERROR(__xludf.DUMMYFUNCTION("""COMPUTED_VALUE"""),46092.53203761574)</f>
        <v>46092.53204</v>
      </c>
      <c r="H5087" s="14"/>
      <c r="I5087" s="13"/>
      <c r="J5087" s="17" t="str">
        <f>IFERROR(__xludf.DUMMYFUNCTION("""COMPUTED_VALUE"""),"")</f>
        <v/>
      </c>
      <c r="K5087" s="13" t="str">
        <f>IFERROR(__xludf.DUMMYFUNCTION("""COMPUTED_VALUE"""),"BT atau SU Belum Valid")</f>
        <v>BT atau SU Belum Valid</v>
      </c>
      <c r="L5087" s="13" t="str">
        <f>IFERROR(__xludf.DUMMYFUNCTION("""COMPUTED_VALUE"""),"")</f>
        <v/>
      </c>
      <c r="M5087" s="13"/>
      <c r="N5087" s="13" t="str">
        <f>IFERROR(__xludf.DUMMYFUNCTION("""COMPUTED_VALUE"""),"")</f>
        <v/>
      </c>
      <c r="O5087" s="13" t="str">
        <f t="shared" si="1"/>
        <v/>
      </c>
    </row>
    <row r="5088" ht="22.5" customHeight="1">
      <c r="B5088" s="13">
        <f>IFERROR(__xludf.DUMMYFUNCTION("""COMPUTED_VALUE"""),5083.0)</f>
        <v>5083</v>
      </c>
      <c r="C5088" s="13" t="str">
        <f>IFERROR(__xludf.DUMMYFUNCTION("""COMPUTED_VALUE"""),"M.2069 CAMPANG JAYA")</f>
        <v>M.2069 CAMPANG JAYA</v>
      </c>
      <c r="D5088" s="13" t="str">
        <f>IFERROR(__xludf.DUMMYFUNCTION("""COMPUTED_VALUE"""),"AB074/ABYSLAUO")</f>
        <v>AB074/ABYSLAUO</v>
      </c>
      <c r="E5088" s="14" t="str">
        <f>IFERROR(__xludf.DUMMYFUNCTION("""COMPUTED_VALUE"""),"Heri (BT)")</f>
        <v>Heri (BT)</v>
      </c>
      <c r="F5088" s="14" t="str">
        <f>IFERROR(__xludf.DUMMYFUNCTION("""COMPUTED_VALUE"""),"SELESAI (VIA PERMOHONAN)")</f>
        <v>SELESAI (VIA PERMOHONAN)</v>
      </c>
      <c r="G5088" s="17">
        <f>IFERROR(__xludf.DUMMYFUNCTION("""COMPUTED_VALUE"""),46092.53250472222)</f>
        <v>46092.5325</v>
      </c>
      <c r="H5088" s="14"/>
      <c r="I5088" s="13"/>
      <c r="J5088" s="17" t="str">
        <f>IFERROR(__xludf.DUMMYFUNCTION("""COMPUTED_VALUE"""),"")</f>
        <v/>
      </c>
      <c r="K5088" s="13" t="str">
        <f>IFERROR(__xludf.DUMMYFUNCTION("""COMPUTED_VALUE"""),"BT atau SU Belum Valid")</f>
        <v>BT atau SU Belum Valid</v>
      </c>
      <c r="L5088" s="13" t="str">
        <f>IFERROR(__xludf.DUMMYFUNCTION("""COMPUTED_VALUE"""),"")</f>
        <v/>
      </c>
      <c r="M5088" s="13"/>
      <c r="N5088" s="13" t="str">
        <f>IFERROR(__xludf.DUMMYFUNCTION("""COMPUTED_VALUE"""),"")</f>
        <v/>
      </c>
      <c r="O5088" s="13" t="str">
        <f t="shared" si="1"/>
        <v/>
      </c>
    </row>
    <row r="5089" ht="22.5" customHeight="1">
      <c r="B5089" s="13">
        <f>IFERROR(__xludf.DUMMYFUNCTION("""COMPUTED_VALUE"""),5084.0)</f>
        <v>5084</v>
      </c>
      <c r="C5089" s="13" t="str">
        <f>IFERROR(__xludf.DUMMYFUNCTION("""COMPUTED_VALUE"""),"M.2271 SEPANG JAYA")</f>
        <v>M.2271 SEPANG JAYA</v>
      </c>
      <c r="D5089" s="13" t="str">
        <f>IFERROR(__xludf.DUMMYFUNCTION("""COMPUTED_VALUE"""),"AB072-ABUHWRFG")</f>
        <v>AB072-ABUHWRFG</v>
      </c>
      <c r="E5089" s="14" t="str">
        <f>IFERROR(__xludf.DUMMYFUNCTION("""COMPUTED_VALUE"""),"Heri (BT)")</f>
        <v>Heri (BT)</v>
      </c>
      <c r="F5089" s="14" t="str">
        <f>IFERROR(__xludf.DUMMYFUNCTION("""COMPUTED_VALUE"""),"SELESAI (VIA PERMOHONAN)")</f>
        <v>SELESAI (VIA PERMOHONAN)</v>
      </c>
      <c r="G5089" s="17">
        <f>IFERROR(__xludf.DUMMYFUNCTION("""COMPUTED_VALUE"""),46092.532769722224)</f>
        <v>46092.53277</v>
      </c>
      <c r="H5089" s="14"/>
      <c r="I5089" s="13"/>
      <c r="J5089" s="17" t="str">
        <f>IFERROR(__xludf.DUMMYFUNCTION("""COMPUTED_VALUE"""),"")</f>
        <v/>
      </c>
      <c r="K5089" s="13" t="str">
        <f>IFERROR(__xludf.DUMMYFUNCTION("""COMPUTED_VALUE"""),"BT atau SU Belum Valid")</f>
        <v>BT atau SU Belum Valid</v>
      </c>
      <c r="L5089" s="13" t="str">
        <f>IFERROR(__xludf.DUMMYFUNCTION("""COMPUTED_VALUE"""),"")</f>
        <v/>
      </c>
      <c r="M5089" s="13"/>
      <c r="N5089" s="13" t="str">
        <f>IFERROR(__xludf.DUMMYFUNCTION("""COMPUTED_VALUE"""),"")</f>
        <v/>
      </c>
      <c r="O5089" s="13" t="str">
        <f t="shared" si="1"/>
        <v/>
      </c>
    </row>
    <row r="5090" ht="22.5" customHeight="1">
      <c r="B5090" s="13">
        <f>IFERROR(__xludf.DUMMYFUNCTION("""COMPUTED_VALUE"""),5085.0)</f>
        <v>5085</v>
      </c>
      <c r="C5090" s="13" t="str">
        <f>IFERROR(__xludf.DUMMYFUNCTION("""COMPUTED_VALUE"""),"m.1330/sj")</f>
        <v>m.1330/sj</v>
      </c>
      <c r="D5090" s="13" t="str">
        <f>IFERROR(__xludf.DUMMYFUNCTION("""COMPUTED_VALUE"""),"AB065/ABEMNVYT")</f>
        <v>AB065/ABEMNVYT</v>
      </c>
      <c r="E5090" s="14" t="str">
        <f>IFERROR(__xludf.DUMMYFUNCTION("""COMPUTED_VALUE"""),"Heri (BT)")</f>
        <v>Heri (BT)</v>
      </c>
      <c r="F5090" s="14" t="str">
        <f>IFERROR(__xludf.DUMMYFUNCTION("""COMPUTED_VALUE"""),"SELESAI (VIA PERMOHONAN)")</f>
        <v>SELESAI (VIA PERMOHONAN)</v>
      </c>
      <c r="G5090" s="17">
        <f>IFERROR(__xludf.DUMMYFUNCTION("""COMPUTED_VALUE"""),46092.53304299769)</f>
        <v>46092.53304</v>
      </c>
      <c r="H5090" s="14"/>
      <c r="I5090" s="13"/>
      <c r="J5090" s="17" t="str">
        <f>IFERROR(__xludf.DUMMYFUNCTION("""COMPUTED_VALUE"""),"")</f>
        <v/>
      </c>
      <c r="K5090" s="13" t="str">
        <f>IFERROR(__xludf.DUMMYFUNCTION("""COMPUTED_VALUE"""),"BT atau SU Belum Valid")</f>
        <v>BT atau SU Belum Valid</v>
      </c>
      <c r="L5090" s="13" t="str">
        <f>IFERROR(__xludf.DUMMYFUNCTION("""COMPUTED_VALUE"""),"")</f>
        <v/>
      </c>
      <c r="M5090" s="13"/>
      <c r="N5090" s="13" t="str">
        <f>IFERROR(__xludf.DUMMYFUNCTION("""COMPUTED_VALUE"""),"")</f>
        <v/>
      </c>
      <c r="O5090" s="13" t="str">
        <f t="shared" si="1"/>
        <v/>
      </c>
    </row>
    <row r="5091" ht="22.5" customHeight="1">
      <c r="B5091" s="13">
        <f>IFERROR(__xludf.DUMMYFUNCTION("""COMPUTED_VALUE"""),5086.0)</f>
        <v>5086</v>
      </c>
      <c r="C5091" s="13" t="str">
        <f>IFERROR(__xludf.DUMMYFUNCTION("""COMPUTED_VALUE"""),"1042/ kemiling permai")</f>
        <v>1042/ kemiling permai</v>
      </c>
      <c r="D5091" s="13" t="str">
        <f>IFERROR(__xludf.DUMMYFUNCTION("""COMPUTED_VALUE"""),"AB057/ABLQKTYM")</f>
        <v>AB057/ABLQKTYM</v>
      </c>
      <c r="E5091" s="14" t="str">
        <f>IFERROR(__xludf.DUMMYFUNCTION("""COMPUTED_VALUE"""),"Heri (BT)")</f>
        <v>Heri (BT)</v>
      </c>
      <c r="F5091" s="14" t="str">
        <f>IFERROR(__xludf.DUMMYFUNCTION("""COMPUTED_VALUE"""),"SELESAI (VIA PERMOHONAN)")</f>
        <v>SELESAI (VIA PERMOHONAN)</v>
      </c>
      <c r="G5091" s="17">
        <f>IFERROR(__xludf.DUMMYFUNCTION("""COMPUTED_VALUE"""),46093.59728891204)</f>
        <v>46093.59729</v>
      </c>
      <c r="H5091" s="14"/>
      <c r="I5091" s="13"/>
      <c r="J5091" s="17" t="str">
        <f>IFERROR(__xludf.DUMMYFUNCTION("""COMPUTED_VALUE"""),"")</f>
        <v/>
      </c>
      <c r="K5091" s="13" t="str">
        <f>IFERROR(__xludf.DUMMYFUNCTION("""COMPUTED_VALUE"""),"BT atau SU Belum Valid")</f>
        <v>BT atau SU Belum Valid</v>
      </c>
      <c r="L5091" s="13" t="str">
        <f>IFERROR(__xludf.DUMMYFUNCTION("""COMPUTED_VALUE"""),"")</f>
        <v/>
      </c>
      <c r="M5091" s="13"/>
      <c r="N5091" s="13" t="str">
        <f>IFERROR(__xludf.DUMMYFUNCTION("""COMPUTED_VALUE"""),"")</f>
        <v/>
      </c>
      <c r="O5091" s="13" t="str">
        <f t="shared" si="1"/>
        <v/>
      </c>
    </row>
    <row r="5092" ht="22.5" customHeight="1">
      <c r="B5092" s="13">
        <f>IFERROR(__xludf.DUMMYFUNCTION("""COMPUTED_VALUE"""),5087.0)</f>
        <v>5087</v>
      </c>
      <c r="C5092" s="13" t="str">
        <f>IFERROR(__xludf.DUMMYFUNCTION("""COMPUTED_VALUE"""),"M 14147/ SUKABUMI")</f>
        <v>M 14147/ SUKABUMI</v>
      </c>
      <c r="D5092" s="13" t="str">
        <f>IFERROR(__xludf.DUMMYFUNCTION("""COMPUTED_VALUE"""),"ABVSIEAQ")</f>
        <v>ABVSIEAQ</v>
      </c>
      <c r="E5092" s="14" t="str">
        <f>IFERROR(__xludf.DUMMYFUNCTION("""COMPUTED_VALUE"""),"Heri (BT)")</f>
        <v>Heri (BT)</v>
      </c>
      <c r="F5092" s="14" t="str">
        <f>IFERROR(__xludf.DUMMYFUNCTION("""COMPUTED_VALUE"""),"SELESAI (VIA PERMOHONAN)")</f>
        <v>SELESAI (VIA PERMOHONAN)</v>
      </c>
      <c r="G5092" s="17">
        <f>IFERROR(__xludf.DUMMYFUNCTION("""COMPUTED_VALUE"""),46093.59788107639)</f>
        <v>46093.59788</v>
      </c>
      <c r="H5092" s="14"/>
      <c r="I5092" s="13"/>
      <c r="J5092" s="17" t="str">
        <f>IFERROR(__xludf.DUMMYFUNCTION("""COMPUTED_VALUE"""),"")</f>
        <v/>
      </c>
      <c r="K5092" s="13" t="str">
        <f>IFERROR(__xludf.DUMMYFUNCTION("""COMPUTED_VALUE"""),"BT atau SU Belum Valid")</f>
        <v>BT atau SU Belum Valid</v>
      </c>
      <c r="L5092" s="13" t="str">
        <f>IFERROR(__xludf.DUMMYFUNCTION("""COMPUTED_VALUE"""),"")</f>
        <v/>
      </c>
      <c r="M5092" s="13"/>
      <c r="N5092" s="13" t="str">
        <f>IFERROR(__xludf.DUMMYFUNCTION("""COMPUTED_VALUE"""),"")</f>
        <v/>
      </c>
      <c r="O5092" s="13" t="str">
        <f t="shared" si="1"/>
        <v/>
      </c>
    </row>
    <row r="5093" ht="22.5" customHeight="1">
      <c r="B5093" s="13">
        <f>IFERROR(__xludf.DUMMYFUNCTION("""COMPUTED_VALUE"""),5088.0)</f>
        <v>5088</v>
      </c>
      <c r="C5093" s="13" t="str">
        <f>IFERROR(__xludf.DUMMYFUNCTION("""COMPUTED_VALUE"""),"m 972/ perumnas way kandis")</f>
        <v>m 972/ perumnas way kandis</v>
      </c>
      <c r="D5093" s="13" t="str">
        <f>IFERROR(__xludf.DUMMYFUNCTION("""COMPUTED_VALUE"""),"ABLNYIDD")</f>
        <v>ABLNYIDD</v>
      </c>
      <c r="E5093" s="14" t="str">
        <f>IFERROR(__xludf.DUMMYFUNCTION("""COMPUTED_VALUE"""),"Heri (BT)")</f>
        <v>Heri (BT)</v>
      </c>
      <c r="F5093" s="14" t="str">
        <f>IFERROR(__xludf.DUMMYFUNCTION("""COMPUTED_VALUE"""),"SELESAI (VIA PERMOHONAN)")</f>
        <v>SELESAI (VIA PERMOHONAN)</v>
      </c>
      <c r="G5093" s="17">
        <f>IFERROR(__xludf.DUMMYFUNCTION("""COMPUTED_VALUE"""),46093.5984647338)</f>
        <v>46093.59846</v>
      </c>
      <c r="H5093" s="14"/>
      <c r="I5093" s="13"/>
      <c r="J5093" s="17" t="str">
        <f>IFERROR(__xludf.DUMMYFUNCTION("""COMPUTED_VALUE"""),"")</f>
        <v/>
      </c>
      <c r="K5093" s="13" t="str">
        <f>IFERROR(__xludf.DUMMYFUNCTION("""COMPUTED_VALUE"""),"BT atau SU Belum Valid")</f>
        <v>BT atau SU Belum Valid</v>
      </c>
      <c r="L5093" s="13" t="str">
        <f>IFERROR(__xludf.DUMMYFUNCTION("""COMPUTED_VALUE"""),"")</f>
        <v/>
      </c>
      <c r="M5093" s="13"/>
      <c r="N5093" s="13" t="str">
        <f>IFERROR(__xludf.DUMMYFUNCTION("""COMPUTED_VALUE"""),"")</f>
        <v/>
      </c>
      <c r="O5093" s="13" t="str">
        <f t="shared" si="1"/>
        <v/>
      </c>
    </row>
    <row r="5094" ht="22.5" customHeight="1">
      <c r="B5094" s="13">
        <f>IFERROR(__xludf.DUMMYFUNCTION("""COMPUTED_VALUE"""),5089.0)</f>
        <v>5089</v>
      </c>
      <c r="C5094" s="13" t="str">
        <f>IFERROR(__xludf.DUMMYFUNCTION("""COMPUTED_VALUE"""),"M. 460/BERINGIN JAYA")</f>
        <v>M. 460/BERINGIN JAYA</v>
      </c>
      <c r="D5094" s="13" t="str">
        <f>IFERROR(__xludf.DUMMYFUNCTION("""COMPUTED_VALUE"""),"L/2/241225/1")</f>
        <v>L/2/241225/1</v>
      </c>
      <c r="E5094" s="14" t="str">
        <f>IFERROR(__xludf.DUMMYFUNCTION("""COMPUTED_VALUE"""),"Heri (BT)")</f>
        <v>Heri (BT)</v>
      </c>
      <c r="F5094" s="14" t="str">
        <f>IFERROR(__xludf.DUMMYFUNCTION("""COMPUTED_VALUE"""),"SELESAI (VIA PERMOHONAN)")</f>
        <v>SELESAI (VIA PERMOHONAN)</v>
      </c>
      <c r="G5094" s="17">
        <f>IFERROR(__xludf.DUMMYFUNCTION("""COMPUTED_VALUE"""),46094.37288833334)</f>
        <v>46094.37289</v>
      </c>
      <c r="H5094" s="14"/>
      <c r="I5094" s="13"/>
      <c r="J5094" s="17" t="str">
        <f>IFERROR(__xludf.DUMMYFUNCTION("""COMPUTED_VALUE"""),"")</f>
        <v/>
      </c>
      <c r="K5094" s="13" t="str">
        <f>IFERROR(__xludf.DUMMYFUNCTION("""COMPUTED_VALUE"""),"BT atau SU Belum Valid")</f>
        <v>BT atau SU Belum Valid</v>
      </c>
      <c r="L5094" s="13" t="str">
        <f>IFERROR(__xludf.DUMMYFUNCTION("""COMPUTED_VALUE"""),"")</f>
        <v/>
      </c>
      <c r="M5094" s="13"/>
      <c r="N5094" s="13" t="str">
        <f>IFERROR(__xludf.DUMMYFUNCTION("""COMPUTED_VALUE"""),"")</f>
        <v/>
      </c>
      <c r="O5094" s="13" t="str">
        <f t="shared" si="1"/>
        <v/>
      </c>
    </row>
    <row r="5095" ht="22.5" customHeight="1">
      <c r="B5095" s="13">
        <f>IFERROR(__xludf.DUMMYFUNCTION("""COMPUTED_VALUE"""),5090.0)</f>
        <v>5090</v>
      </c>
      <c r="C5095" s="13" t="str">
        <f>IFERROR(__xludf.DUMMYFUNCTION("""COMPUTED_VALUE"""),"SHGB 4610 sukabumi")</f>
        <v>SHGB 4610 sukabumi</v>
      </c>
      <c r="D5095" s="13" t="str">
        <f>IFERROR(__xludf.DUMMYFUNCTION("""COMPUTED_VALUE"""),"ABADPHKJ/ AB12")</f>
        <v>ABADPHKJ/ AB12</v>
      </c>
      <c r="E5095" s="14" t="str">
        <f>IFERROR(__xludf.DUMMYFUNCTION("""COMPUTED_VALUE"""),"Heri (BT)")</f>
        <v>Heri (BT)</v>
      </c>
      <c r="F5095" s="14" t="str">
        <f>IFERROR(__xludf.DUMMYFUNCTION("""COMPUTED_VALUE"""),"SELESAI (VIA PERMOHONAN)")</f>
        <v>SELESAI (VIA PERMOHONAN)</v>
      </c>
      <c r="G5095" s="17">
        <f>IFERROR(__xludf.DUMMYFUNCTION("""COMPUTED_VALUE"""),46094.55142959491)</f>
        <v>46094.55143</v>
      </c>
      <c r="H5095" s="14"/>
      <c r="I5095" s="13"/>
      <c r="J5095" s="17" t="str">
        <f>IFERROR(__xludf.DUMMYFUNCTION("""COMPUTED_VALUE"""),"")</f>
        <v/>
      </c>
      <c r="K5095" s="13" t="str">
        <f>IFERROR(__xludf.DUMMYFUNCTION("""COMPUTED_VALUE"""),"BT atau SU Belum Valid")</f>
        <v>BT atau SU Belum Valid</v>
      </c>
      <c r="L5095" s="13" t="str">
        <f>IFERROR(__xludf.DUMMYFUNCTION("""COMPUTED_VALUE"""),"")</f>
        <v/>
      </c>
      <c r="M5095" s="13"/>
      <c r="N5095" s="13" t="str">
        <f>IFERROR(__xludf.DUMMYFUNCTION("""COMPUTED_VALUE"""),"")</f>
        <v/>
      </c>
      <c r="O5095" s="13" t="str">
        <f t="shared" si="1"/>
        <v/>
      </c>
    </row>
    <row r="5096" ht="22.5" customHeight="1">
      <c r="B5096" s="13">
        <f>IFERROR(__xludf.DUMMYFUNCTION("""COMPUTED_VALUE"""),5091.0)</f>
        <v>5091</v>
      </c>
      <c r="C5096" s="13" t="str">
        <f>IFERROR(__xludf.DUMMYFUNCTION("""COMPUTED_VALUE"""),"M. 2429/Labuhan Dalam")</f>
        <v>M. 2429/Labuhan Dalam</v>
      </c>
      <c r="D5096" s="13" t="str">
        <f>IFERROR(__xludf.DUMMYFUNCTION("""COMPUTED_VALUE"""),"ABSWFRDP/AB042")</f>
        <v>ABSWFRDP/AB042</v>
      </c>
      <c r="E5096" s="14" t="str">
        <f>IFERROR(__xludf.DUMMYFUNCTION("""COMPUTED_VALUE"""),"Heri (BT)")</f>
        <v>Heri (BT)</v>
      </c>
      <c r="F5096" s="14" t="str">
        <f>IFERROR(__xludf.DUMMYFUNCTION("""COMPUTED_VALUE"""),"SELESAI (VIA PERMOHONAN)")</f>
        <v>SELESAI (VIA PERMOHONAN)</v>
      </c>
      <c r="G5096" s="17">
        <f>IFERROR(__xludf.DUMMYFUNCTION("""COMPUTED_VALUE"""),46094.552519351855)</f>
        <v>46094.55252</v>
      </c>
      <c r="H5096" s="14"/>
      <c r="I5096" s="13"/>
      <c r="J5096" s="17" t="str">
        <f>IFERROR(__xludf.DUMMYFUNCTION("""COMPUTED_VALUE"""),"")</f>
        <v/>
      </c>
      <c r="K5096" s="13" t="str">
        <f>IFERROR(__xludf.DUMMYFUNCTION("""COMPUTED_VALUE"""),"BT atau SU Belum Valid")</f>
        <v>BT atau SU Belum Valid</v>
      </c>
      <c r="L5096" s="13" t="str">
        <f>IFERROR(__xludf.DUMMYFUNCTION("""COMPUTED_VALUE"""),"")</f>
        <v/>
      </c>
      <c r="M5096" s="13"/>
      <c r="N5096" s="13" t="str">
        <f>IFERROR(__xludf.DUMMYFUNCTION("""COMPUTED_VALUE"""),"")</f>
        <v/>
      </c>
      <c r="O5096" s="13" t="str">
        <f t="shared" si="1"/>
        <v/>
      </c>
    </row>
    <row r="5097" ht="22.5" customHeight="1">
      <c r="B5097" s="13">
        <f>IFERROR(__xludf.DUMMYFUNCTION("""COMPUTED_VALUE"""),5092.0)</f>
        <v>5092</v>
      </c>
      <c r="C5097" s="13" t="str">
        <f>IFERROR(__xludf.DUMMYFUNCTION("""COMPUTED_VALUE"""),"SHM 4735 rajabasa jaya")</f>
        <v>SHM 4735 rajabasa jaya</v>
      </c>
      <c r="D5097" s="13" t="str">
        <f>IFERROR(__xludf.DUMMYFUNCTION("""COMPUTED_VALUE"""),"ABRHOOLK/ AB035")</f>
        <v>ABRHOOLK/ AB035</v>
      </c>
      <c r="E5097" s="14" t="str">
        <f>IFERROR(__xludf.DUMMYFUNCTION("""COMPUTED_VALUE"""),"Heri (BT)")</f>
        <v>Heri (BT)</v>
      </c>
      <c r="F5097" s="14" t="str">
        <f>IFERROR(__xludf.DUMMYFUNCTION("""COMPUTED_VALUE"""),"SELESAI (VIA PERMOHONAN)")</f>
        <v>SELESAI (VIA PERMOHONAN)</v>
      </c>
      <c r="G5097" s="17">
        <f>IFERROR(__xludf.DUMMYFUNCTION("""COMPUTED_VALUE"""),46094.55269898148)</f>
        <v>46094.5527</v>
      </c>
      <c r="H5097" s="14"/>
      <c r="I5097" s="13"/>
      <c r="J5097" s="17" t="str">
        <f>IFERROR(__xludf.DUMMYFUNCTION("""COMPUTED_VALUE"""),"")</f>
        <v/>
      </c>
      <c r="K5097" s="13" t="str">
        <f>IFERROR(__xludf.DUMMYFUNCTION("""COMPUTED_VALUE"""),"BT atau SU Belum Valid")</f>
        <v>BT atau SU Belum Valid</v>
      </c>
      <c r="L5097" s="13" t="str">
        <f>IFERROR(__xludf.DUMMYFUNCTION("""COMPUTED_VALUE"""),"")</f>
        <v/>
      </c>
      <c r="M5097" s="13"/>
      <c r="N5097" s="13" t="str">
        <f>IFERROR(__xludf.DUMMYFUNCTION("""COMPUTED_VALUE"""),"")</f>
        <v/>
      </c>
      <c r="O5097" s="13" t="str">
        <f t="shared" si="1"/>
        <v/>
      </c>
    </row>
    <row r="5098" ht="22.5" customHeight="1">
      <c r="B5098" s="13">
        <f>IFERROR(__xludf.DUMMYFUNCTION("""COMPUTED_VALUE"""),5093.0)</f>
        <v>5093</v>
      </c>
      <c r="C5098" s="13" t="str">
        <f>IFERROR(__xludf.DUMMYFUNCTION("""COMPUTED_VALUE"""),"B. 783/Sup")</f>
        <v>B. 783/Sup</v>
      </c>
      <c r="D5098" s="13" t="str">
        <f>IFERROR(__xludf.DUMMYFUNCTION("""COMPUTED_VALUE"""),"AB039/ABEHZAAC")</f>
        <v>AB039/ABEHZAAC</v>
      </c>
      <c r="E5098" s="14" t="str">
        <f>IFERROR(__xludf.DUMMYFUNCTION("""COMPUTED_VALUE"""),"Heri (BT)")</f>
        <v>Heri (BT)</v>
      </c>
      <c r="F5098" s="14" t="str">
        <f>IFERROR(__xludf.DUMMYFUNCTION("""COMPUTED_VALUE"""),"SELESAI (VIA PERMOHONAN)")</f>
        <v>SELESAI (VIA PERMOHONAN)</v>
      </c>
      <c r="G5098" s="17">
        <f>IFERROR(__xludf.DUMMYFUNCTION("""COMPUTED_VALUE"""),46094.55308550926)</f>
        <v>46094.55309</v>
      </c>
      <c r="H5098" s="14"/>
      <c r="I5098" s="13"/>
      <c r="J5098" s="17" t="str">
        <f>IFERROR(__xludf.DUMMYFUNCTION("""COMPUTED_VALUE"""),"")</f>
        <v/>
      </c>
      <c r="K5098" s="13" t="str">
        <f>IFERROR(__xludf.DUMMYFUNCTION("""COMPUTED_VALUE"""),"BT atau SU Belum Valid")</f>
        <v>BT atau SU Belum Valid</v>
      </c>
      <c r="L5098" s="13" t="str">
        <f>IFERROR(__xludf.DUMMYFUNCTION("""COMPUTED_VALUE"""),"")</f>
        <v/>
      </c>
      <c r="M5098" s="13"/>
      <c r="N5098" s="13" t="str">
        <f>IFERROR(__xludf.DUMMYFUNCTION("""COMPUTED_VALUE"""),"")</f>
        <v/>
      </c>
      <c r="O5098" s="13" t="str">
        <f t="shared" si="1"/>
        <v/>
      </c>
    </row>
    <row r="5099" ht="22.5" customHeight="1">
      <c r="B5099" s="13">
        <f>IFERROR(__xludf.DUMMYFUNCTION("""COMPUTED_VALUE"""),5094.0)</f>
        <v>5094</v>
      </c>
      <c r="C5099" s="13" t="str">
        <f>IFERROR(__xludf.DUMMYFUNCTION("""COMPUTED_VALUE"""),"B.5034 SUKABUMI")</f>
        <v>B.5034 SUKABUMI</v>
      </c>
      <c r="D5099" s="13" t="str">
        <f>IFERROR(__xludf.DUMMYFUNCTION("""COMPUTED_VALUE"""),"AB065/ABGMRMPA")</f>
        <v>AB065/ABGMRMPA</v>
      </c>
      <c r="E5099" s="14" t="str">
        <f>IFERROR(__xludf.DUMMYFUNCTION("""COMPUTED_VALUE"""),"Heri (BT)")</f>
        <v>Heri (BT)</v>
      </c>
      <c r="F5099" s="14" t="str">
        <f>IFERROR(__xludf.DUMMYFUNCTION("""COMPUTED_VALUE"""),"SELESAI (VIA PERMOHONAN)")</f>
        <v>SELESAI (VIA PERMOHONAN)</v>
      </c>
      <c r="G5099" s="17">
        <f>IFERROR(__xludf.DUMMYFUNCTION("""COMPUTED_VALUE"""),46094.55327175926)</f>
        <v>46094.55327</v>
      </c>
      <c r="H5099" s="14"/>
      <c r="I5099" s="13"/>
      <c r="J5099" s="17" t="str">
        <f>IFERROR(__xludf.DUMMYFUNCTION("""COMPUTED_VALUE"""),"")</f>
        <v/>
      </c>
      <c r="K5099" s="13" t="str">
        <f>IFERROR(__xludf.DUMMYFUNCTION("""COMPUTED_VALUE"""),"BT atau SU Belum Valid")</f>
        <v>BT atau SU Belum Valid</v>
      </c>
      <c r="L5099" s="13" t="str">
        <f>IFERROR(__xludf.DUMMYFUNCTION("""COMPUTED_VALUE"""),"")</f>
        <v/>
      </c>
      <c r="M5099" s="13"/>
      <c r="N5099" s="13" t="str">
        <f>IFERROR(__xludf.DUMMYFUNCTION("""COMPUTED_VALUE"""),"")</f>
        <v/>
      </c>
      <c r="O5099" s="13" t="str">
        <f t="shared" si="1"/>
        <v/>
      </c>
    </row>
    <row r="5100" ht="22.5" customHeight="1">
      <c r="B5100" s="13">
        <f>IFERROR(__xludf.DUMMYFUNCTION("""COMPUTED_VALUE"""),5095.0)</f>
        <v>5095</v>
      </c>
      <c r="C5100" s="13" t="str">
        <f>IFERROR(__xludf.DUMMYFUNCTION("""COMPUTED_VALUE"""),"B 323/ rajabasa nunyai")</f>
        <v>B 323/ rajabasa nunyai</v>
      </c>
      <c r="D5100" s="13" t="str">
        <f>IFERROR(__xludf.DUMMYFUNCTION("""COMPUTED_VALUE"""),"Ab 30 ( abgsnliu)")</f>
        <v>Ab 30 ( abgsnliu)</v>
      </c>
      <c r="E5100" s="14" t="str">
        <f>IFERROR(__xludf.DUMMYFUNCTION("""COMPUTED_VALUE"""),"Heri (BT)")</f>
        <v>Heri (BT)</v>
      </c>
      <c r="F5100" s="14" t="str">
        <f>IFERROR(__xludf.DUMMYFUNCTION("""COMPUTED_VALUE"""),"SELESAI (VIA PERMOHONAN)")</f>
        <v>SELESAI (VIA PERMOHONAN)</v>
      </c>
      <c r="G5100" s="17">
        <f>IFERROR(__xludf.DUMMYFUNCTION("""COMPUTED_VALUE"""),46094.55391523148)</f>
        <v>46094.55392</v>
      </c>
      <c r="H5100" s="14"/>
      <c r="I5100" s="13"/>
      <c r="J5100" s="17" t="str">
        <f>IFERROR(__xludf.DUMMYFUNCTION("""COMPUTED_VALUE"""),"")</f>
        <v/>
      </c>
      <c r="K5100" s="13" t="str">
        <f>IFERROR(__xludf.DUMMYFUNCTION("""COMPUTED_VALUE"""),"BT atau SU Belum Valid")</f>
        <v>BT atau SU Belum Valid</v>
      </c>
      <c r="L5100" s="13" t="str">
        <f>IFERROR(__xludf.DUMMYFUNCTION("""COMPUTED_VALUE"""),"")</f>
        <v/>
      </c>
      <c r="M5100" s="13"/>
      <c r="N5100" s="13" t="str">
        <f>IFERROR(__xludf.DUMMYFUNCTION("""COMPUTED_VALUE"""),"")</f>
        <v/>
      </c>
      <c r="O5100" s="13" t="str">
        <f t="shared" si="1"/>
        <v/>
      </c>
    </row>
    <row r="5101" ht="22.5" customHeight="1">
      <c r="B5101" s="13">
        <f>IFERROR(__xludf.DUMMYFUNCTION("""COMPUTED_VALUE"""),5096.0)</f>
        <v>5096</v>
      </c>
      <c r="C5101" s="13" t="str">
        <f>IFERROR(__xludf.DUMMYFUNCTION("""COMPUTED_VALUE"""),"M 14051/ TANJUNG BARU")</f>
        <v>M 14051/ TANJUNG BARU</v>
      </c>
      <c r="D5101" s="13" t="str">
        <f>IFERROR(__xludf.DUMMYFUNCTION("""COMPUTED_VALUE"""),"ABUFHBJV")</f>
        <v>ABUFHBJV</v>
      </c>
      <c r="E5101" s="14" t="str">
        <f>IFERROR(__xludf.DUMMYFUNCTION("""COMPUTED_VALUE"""),"Heri (BT)")</f>
        <v>Heri (BT)</v>
      </c>
      <c r="F5101" s="14" t="str">
        <f>IFERROR(__xludf.DUMMYFUNCTION("""COMPUTED_VALUE"""),"SELESAI (VIA PERMOHONAN)")</f>
        <v>SELESAI (VIA PERMOHONAN)</v>
      </c>
      <c r="G5101" s="17">
        <f>IFERROR(__xludf.DUMMYFUNCTION("""COMPUTED_VALUE"""),46094.554103125)</f>
        <v>46094.5541</v>
      </c>
      <c r="H5101" s="14"/>
      <c r="I5101" s="13"/>
      <c r="J5101" s="17" t="str">
        <f>IFERROR(__xludf.DUMMYFUNCTION("""COMPUTED_VALUE"""),"")</f>
        <v/>
      </c>
      <c r="K5101" s="13" t="str">
        <f>IFERROR(__xludf.DUMMYFUNCTION("""COMPUTED_VALUE"""),"BT atau SU Belum Valid")</f>
        <v>BT atau SU Belum Valid</v>
      </c>
      <c r="L5101" s="13" t="str">
        <f>IFERROR(__xludf.DUMMYFUNCTION("""COMPUTED_VALUE"""),"")</f>
        <v/>
      </c>
      <c r="M5101" s="13"/>
      <c r="N5101" s="13" t="str">
        <f>IFERROR(__xludf.DUMMYFUNCTION("""COMPUTED_VALUE"""),"")</f>
        <v/>
      </c>
      <c r="O5101" s="13" t="str">
        <f t="shared" si="1"/>
        <v/>
      </c>
    </row>
    <row r="5102" ht="22.5" customHeight="1">
      <c r="B5102" s="13">
        <f>IFERROR(__xludf.DUMMYFUNCTION("""COMPUTED_VALUE"""),5097.0)</f>
        <v>5097</v>
      </c>
      <c r="C5102" s="13" t="str">
        <f>IFERROR(__xludf.DUMMYFUNCTION("""COMPUTED_VALUE"""),"M.04889 WAY KANDIS")</f>
        <v>M.04889 WAY KANDIS</v>
      </c>
      <c r="D5102" s="13" t="str">
        <f>IFERROR(__xludf.DUMMYFUNCTION("""COMPUTED_VALUE"""),"AB065/ABVOGPMR")</f>
        <v>AB065/ABVOGPMR</v>
      </c>
      <c r="E5102" s="14" t="str">
        <f>IFERROR(__xludf.DUMMYFUNCTION("""COMPUTED_VALUE"""),"Heri (BT)")</f>
        <v>Heri (BT)</v>
      </c>
      <c r="F5102" s="14" t="str">
        <f>IFERROR(__xludf.DUMMYFUNCTION("""COMPUTED_VALUE"""),"SELESAI (VIA PERMOHONAN)")</f>
        <v>SELESAI (VIA PERMOHONAN)</v>
      </c>
      <c r="G5102" s="17">
        <f>IFERROR(__xludf.DUMMYFUNCTION("""COMPUTED_VALUE"""),46094.55455127315)</f>
        <v>46094.55455</v>
      </c>
      <c r="H5102" s="14"/>
      <c r="I5102" s="13"/>
      <c r="J5102" s="17" t="str">
        <f>IFERROR(__xludf.DUMMYFUNCTION("""COMPUTED_VALUE"""),"")</f>
        <v/>
      </c>
      <c r="K5102" s="13" t="str">
        <f>IFERROR(__xludf.DUMMYFUNCTION("""COMPUTED_VALUE"""),"BT atau SU Belum Valid")</f>
        <v>BT atau SU Belum Valid</v>
      </c>
      <c r="L5102" s="13" t="str">
        <f>IFERROR(__xludf.DUMMYFUNCTION("""COMPUTED_VALUE"""),"")</f>
        <v/>
      </c>
      <c r="M5102" s="13"/>
      <c r="N5102" s="13" t="str">
        <f>IFERROR(__xludf.DUMMYFUNCTION("""COMPUTED_VALUE"""),"")</f>
        <v/>
      </c>
      <c r="O5102" s="13" t="str">
        <f t="shared" si="1"/>
        <v/>
      </c>
    </row>
    <row r="5103" ht="22.5" customHeight="1">
      <c r="B5103" s="13">
        <f>IFERROR(__xludf.DUMMYFUNCTION("""COMPUTED_VALUE"""),5098.0)</f>
        <v>5098</v>
      </c>
      <c r="C5103" s="13" t="str">
        <f>IFERROR(__xludf.DUMMYFUNCTION("""COMPUTED_VALUE"""),"M. 1036/Rajabasa Jaya")</f>
        <v>M. 1036/Rajabasa Jaya</v>
      </c>
      <c r="D5103" s="13" t="str">
        <f>IFERROR(__xludf.DUMMYFUNCTION("""COMPUTED_VALUE"""),"ABIJGWJC/AB025")</f>
        <v>ABIJGWJC/AB025</v>
      </c>
      <c r="E5103" s="14" t="str">
        <f>IFERROR(__xludf.DUMMYFUNCTION("""COMPUTED_VALUE"""),"Heri (BT)")</f>
        <v>Heri (BT)</v>
      </c>
      <c r="F5103" s="14" t="str">
        <f>IFERROR(__xludf.DUMMYFUNCTION("""COMPUTED_VALUE"""),"SELESAI (VIA PERMOHONAN)")</f>
        <v>SELESAI (VIA PERMOHONAN)</v>
      </c>
      <c r="G5103" s="17">
        <f>IFERROR(__xludf.DUMMYFUNCTION("""COMPUTED_VALUE"""),46097.39079438658)</f>
        <v>46097.39079</v>
      </c>
      <c r="H5103" s="14"/>
      <c r="I5103" s="13"/>
      <c r="J5103" s="17" t="str">
        <f>IFERROR(__xludf.DUMMYFUNCTION("""COMPUTED_VALUE"""),"")</f>
        <v/>
      </c>
      <c r="K5103" s="13" t="str">
        <f>IFERROR(__xludf.DUMMYFUNCTION("""COMPUTED_VALUE"""),"BT atau SU Belum Valid")</f>
        <v>BT atau SU Belum Valid</v>
      </c>
      <c r="L5103" s="13" t="str">
        <f>IFERROR(__xludf.DUMMYFUNCTION("""COMPUTED_VALUE"""),"")</f>
        <v/>
      </c>
      <c r="M5103" s="13"/>
      <c r="N5103" s="13" t="str">
        <f>IFERROR(__xludf.DUMMYFUNCTION("""COMPUTED_VALUE"""),"")</f>
        <v/>
      </c>
      <c r="O5103" s="13" t="str">
        <f t="shared" si="1"/>
        <v/>
      </c>
    </row>
    <row r="5104" ht="22.5" customHeight="1">
      <c r="B5104" s="13">
        <f>IFERROR(__xludf.DUMMYFUNCTION("""COMPUTED_VALUE"""),5099.0)</f>
        <v>5099</v>
      </c>
      <c r="C5104" s="13" t="str">
        <f>IFERROR(__xludf.DUMMYFUNCTION("""COMPUTED_VALUE"""),"m. 5520/langkapura")</f>
        <v>m. 5520/langkapura</v>
      </c>
      <c r="D5104" s="13" t="str">
        <f>IFERROR(__xludf.DUMMYFUNCTION("""COMPUTED_VALUE"""),"ABQLXYZV/AB019 ")</f>
        <v>ABQLXYZV/AB019 </v>
      </c>
      <c r="E5104" s="14" t="str">
        <f>IFERROR(__xludf.DUMMYFUNCTION("""COMPUTED_VALUE"""),"Heri (BT)")</f>
        <v>Heri (BT)</v>
      </c>
      <c r="F5104" s="14" t="str">
        <f>IFERROR(__xludf.DUMMYFUNCTION("""COMPUTED_VALUE"""),"SELESAI (VIA PERMOHONAN)")</f>
        <v>SELESAI (VIA PERMOHONAN)</v>
      </c>
      <c r="G5104" s="17">
        <f>IFERROR(__xludf.DUMMYFUNCTION("""COMPUTED_VALUE"""),46097.39102358796)</f>
        <v>46097.39102</v>
      </c>
      <c r="H5104" s="14"/>
      <c r="I5104" s="13"/>
      <c r="J5104" s="17" t="str">
        <f>IFERROR(__xludf.DUMMYFUNCTION("""COMPUTED_VALUE"""),"")</f>
        <v/>
      </c>
      <c r="K5104" s="13" t="str">
        <f>IFERROR(__xludf.DUMMYFUNCTION("""COMPUTED_VALUE"""),"BT atau SU Belum Valid")</f>
        <v>BT atau SU Belum Valid</v>
      </c>
      <c r="L5104" s="13" t="str">
        <f>IFERROR(__xludf.DUMMYFUNCTION("""COMPUTED_VALUE"""),"")</f>
        <v/>
      </c>
      <c r="M5104" s="13"/>
      <c r="N5104" s="13" t="str">
        <f>IFERROR(__xludf.DUMMYFUNCTION("""COMPUTED_VALUE"""),"")</f>
        <v/>
      </c>
      <c r="O5104" s="13" t="str">
        <f t="shared" si="1"/>
        <v/>
      </c>
    </row>
    <row r="5105" ht="22.5" customHeight="1">
      <c r="B5105" s="13">
        <f>IFERROR(__xludf.DUMMYFUNCTION("""COMPUTED_VALUE"""),5100.0)</f>
        <v>5100</v>
      </c>
      <c r="C5105" s="13" t="str">
        <f>IFERROR(__xludf.DUMMYFUNCTION("""COMPUTED_VALUE"""),"M. 3137/Langkapura")</f>
        <v>M. 3137/Langkapura</v>
      </c>
      <c r="D5105" s="13" t="str">
        <f>IFERROR(__xludf.DUMMYFUNCTION("""COMPUTED_VALUE"""),"ABCIDBGK/AB057")</f>
        <v>ABCIDBGK/AB057</v>
      </c>
      <c r="E5105" s="14" t="str">
        <f>IFERROR(__xludf.DUMMYFUNCTION("""COMPUTED_VALUE"""),"Heri (BT)")</f>
        <v>Heri (BT)</v>
      </c>
      <c r="F5105" s="14" t="str">
        <f>IFERROR(__xludf.DUMMYFUNCTION("""COMPUTED_VALUE"""),"SELESAI (VIA PERMOHONAN)")</f>
        <v>SELESAI (VIA PERMOHONAN)</v>
      </c>
      <c r="G5105" s="17">
        <f>IFERROR(__xludf.DUMMYFUNCTION("""COMPUTED_VALUE"""),46097.39144842593)</f>
        <v>46097.39145</v>
      </c>
      <c r="H5105" s="14"/>
      <c r="I5105" s="13"/>
      <c r="J5105" s="17" t="str">
        <f>IFERROR(__xludf.DUMMYFUNCTION("""COMPUTED_VALUE"""),"")</f>
        <v/>
      </c>
      <c r="K5105" s="13" t="str">
        <f>IFERROR(__xludf.DUMMYFUNCTION("""COMPUTED_VALUE"""),"BT atau SU Belum Valid")</f>
        <v>BT atau SU Belum Valid</v>
      </c>
      <c r="L5105" s="13" t="str">
        <f>IFERROR(__xludf.DUMMYFUNCTION("""COMPUTED_VALUE"""),"")</f>
        <v/>
      </c>
      <c r="M5105" s="13"/>
      <c r="N5105" s="13" t="str">
        <f>IFERROR(__xludf.DUMMYFUNCTION("""COMPUTED_VALUE"""),"")</f>
        <v/>
      </c>
      <c r="O5105" s="13" t="str">
        <f t="shared" si="1"/>
        <v/>
      </c>
    </row>
    <row r="5106" ht="22.5" customHeight="1">
      <c r="B5106" s="13">
        <f>IFERROR(__xludf.DUMMYFUNCTION("""COMPUTED_VALUE"""),5101.0)</f>
        <v>5101</v>
      </c>
      <c r="C5106" s="13" t="str">
        <f>IFERROR(__xludf.DUMMYFUNCTION("""COMPUTED_VALUE"""),"M 2019/ KEDAUNG")</f>
        <v>M 2019/ KEDAUNG</v>
      </c>
      <c r="D5106" s="13" t="str">
        <f>IFERROR(__xludf.DUMMYFUNCTION("""COMPUTED_VALUE"""),"ABABYMVJ")</f>
        <v>ABABYMVJ</v>
      </c>
      <c r="E5106" s="14" t="str">
        <f>IFERROR(__xludf.DUMMYFUNCTION("""COMPUTED_VALUE"""),"Heri (BT)")</f>
        <v>Heri (BT)</v>
      </c>
      <c r="F5106" s="14" t="str">
        <f>IFERROR(__xludf.DUMMYFUNCTION("""COMPUTED_VALUE"""),"SELESAI (VIA PERMOHONAN)")</f>
        <v>SELESAI (VIA PERMOHONAN)</v>
      </c>
      <c r="G5106" s="17">
        <f>IFERROR(__xludf.DUMMYFUNCTION("""COMPUTED_VALUE"""),46097.39170086806)</f>
        <v>46097.3917</v>
      </c>
      <c r="H5106" s="14"/>
      <c r="I5106" s="13"/>
      <c r="J5106" s="17" t="str">
        <f>IFERROR(__xludf.DUMMYFUNCTION("""COMPUTED_VALUE"""),"")</f>
        <v/>
      </c>
      <c r="K5106" s="13" t="str">
        <f>IFERROR(__xludf.DUMMYFUNCTION("""COMPUTED_VALUE"""),"BT atau SU Belum Valid")</f>
        <v>BT atau SU Belum Valid</v>
      </c>
      <c r="L5106" s="13" t="str">
        <f>IFERROR(__xludf.DUMMYFUNCTION("""COMPUTED_VALUE"""),"")</f>
        <v/>
      </c>
      <c r="M5106" s="13"/>
      <c r="N5106" s="13" t="str">
        <f>IFERROR(__xludf.DUMMYFUNCTION("""COMPUTED_VALUE"""),"")</f>
        <v/>
      </c>
      <c r="O5106" s="13" t="str">
        <f t="shared" si="1"/>
        <v/>
      </c>
    </row>
    <row r="5107" ht="22.5" customHeight="1">
      <c r="B5107" s="13">
        <f>IFERROR(__xludf.DUMMYFUNCTION("""COMPUTED_VALUE"""),5102.0)</f>
        <v>5102</v>
      </c>
      <c r="C5107" s="13" t="str">
        <f>IFERROR(__xludf.DUMMYFUNCTION("""COMPUTED_VALUE"""),"M.459/Kaliawi Persada")</f>
        <v>M.459/Kaliawi Persada</v>
      </c>
      <c r="D5107" s="13" t="str">
        <f>IFERROR(__xludf.DUMMYFUNCTION("""COMPUTED_VALUE"""),"ABESVOKE")</f>
        <v>ABESVOKE</v>
      </c>
      <c r="E5107" s="14" t="str">
        <f>IFERROR(__xludf.DUMMYFUNCTION("""COMPUTED_VALUE"""),"Heri (BT)")</f>
        <v>Heri (BT)</v>
      </c>
      <c r="F5107" s="14" t="str">
        <f>IFERROR(__xludf.DUMMYFUNCTION("""COMPUTED_VALUE"""),"SELESAI (VIA PERMOHONAN)")</f>
        <v>SELESAI (VIA PERMOHONAN)</v>
      </c>
      <c r="G5107" s="17">
        <f>IFERROR(__xludf.DUMMYFUNCTION("""COMPUTED_VALUE"""),46097.392016666665)</f>
        <v>46097.39202</v>
      </c>
      <c r="H5107" s="14"/>
      <c r="I5107" s="13"/>
      <c r="J5107" s="17" t="str">
        <f>IFERROR(__xludf.DUMMYFUNCTION("""COMPUTED_VALUE"""),"")</f>
        <v/>
      </c>
      <c r="K5107" s="13" t="str">
        <f>IFERROR(__xludf.DUMMYFUNCTION("""COMPUTED_VALUE"""),"BT atau SU Belum Valid")</f>
        <v>BT atau SU Belum Valid</v>
      </c>
      <c r="L5107" s="13" t="str">
        <f>IFERROR(__xludf.DUMMYFUNCTION("""COMPUTED_VALUE"""),"")</f>
        <v/>
      </c>
      <c r="M5107" s="13"/>
      <c r="N5107" s="13" t="str">
        <f>IFERROR(__xludf.DUMMYFUNCTION("""COMPUTED_VALUE"""),"")</f>
        <v/>
      </c>
      <c r="O5107" s="13" t="str">
        <f t="shared" si="1"/>
        <v/>
      </c>
    </row>
    <row r="5108" ht="22.5" customHeight="1">
      <c r="B5108" s="13">
        <f>IFERROR(__xludf.DUMMYFUNCTION("""COMPUTED_VALUE"""),5103.0)</f>
        <v>5103</v>
      </c>
      <c r="C5108" s="13" t="str">
        <f>IFERROR(__xludf.DUMMYFUNCTION("""COMPUTED_VALUE"""),"M.1360/Bumi Kedamaian")</f>
        <v>M.1360/Bumi Kedamaian</v>
      </c>
      <c r="D5108" s="13" t="str">
        <f>IFERROR(__xludf.DUMMYFUNCTION("""COMPUTED_VALUE"""),"ABXVJNTW")</f>
        <v>ABXVJNTW</v>
      </c>
      <c r="E5108" s="14" t="str">
        <f>IFERROR(__xludf.DUMMYFUNCTION("""COMPUTED_VALUE"""),"Heri (BT)")</f>
        <v>Heri (BT)</v>
      </c>
      <c r="F5108" s="14" t="str">
        <f>IFERROR(__xludf.DUMMYFUNCTION("""COMPUTED_VALUE"""),"SELESAI (VIA PERMOHONAN)")</f>
        <v>SELESAI (VIA PERMOHONAN)</v>
      </c>
      <c r="G5108" s="17">
        <f>IFERROR(__xludf.DUMMYFUNCTION("""COMPUTED_VALUE"""),46097.392184930555)</f>
        <v>46097.39218</v>
      </c>
      <c r="H5108" s="14"/>
      <c r="I5108" s="13"/>
      <c r="J5108" s="17" t="str">
        <f>IFERROR(__xludf.DUMMYFUNCTION("""COMPUTED_VALUE"""),"")</f>
        <v/>
      </c>
      <c r="K5108" s="13" t="str">
        <f>IFERROR(__xludf.DUMMYFUNCTION("""COMPUTED_VALUE"""),"BT atau SU Belum Valid")</f>
        <v>BT atau SU Belum Valid</v>
      </c>
      <c r="L5108" s="13" t="str">
        <f>IFERROR(__xludf.DUMMYFUNCTION("""COMPUTED_VALUE"""),"")</f>
        <v/>
      </c>
      <c r="M5108" s="13"/>
      <c r="N5108" s="13" t="str">
        <f>IFERROR(__xludf.DUMMYFUNCTION("""COMPUTED_VALUE"""),"")</f>
        <v/>
      </c>
      <c r="O5108" s="13" t="str">
        <f t="shared" si="1"/>
        <v/>
      </c>
    </row>
    <row r="5109" ht="22.5" customHeight="1">
      <c r="B5109" s="13">
        <f>IFERROR(__xludf.DUMMYFUNCTION("""COMPUTED_VALUE"""),5104.0)</f>
        <v>5104</v>
      </c>
      <c r="C5109" s="13" t="str">
        <f>IFERROR(__xludf.DUMMYFUNCTION("""COMPUTED_VALUE"""),"B.1022/kemiling permain")</f>
        <v>B.1022/kemiling permain</v>
      </c>
      <c r="D5109" s="13" t="str">
        <f>IFERROR(__xludf.DUMMYFUNCTION("""COMPUTED_VALUE"""),"ABFPNFWU")</f>
        <v>ABFPNFWU</v>
      </c>
      <c r="E5109" s="14" t="str">
        <f>IFERROR(__xludf.DUMMYFUNCTION("""COMPUTED_VALUE"""),"Heri (BT)")</f>
        <v>Heri (BT)</v>
      </c>
      <c r="F5109" s="14" t="str">
        <f>IFERROR(__xludf.DUMMYFUNCTION("""COMPUTED_VALUE"""),"SELESAI (VIA PERMOHONAN)")</f>
        <v>SELESAI (VIA PERMOHONAN)</v>
      </c>
      <c r="G5109" s="17">
        <f>IFERROR(__xludf.DUMMYFUNCTION("""COMPUTED_VALUE"""),46097.39236939815)</f>
        <v>46097.39237</v>
      </c>
      <c r="H5109" s="14"/>
      <c r="I5109" s="13"/>
      <c r="J5109" s="17" t="str">
        <f>IFERROR(__xludf.DUMMYFUNCTION("""COMPUTED_VALUE"""),"")</f>
        <v/>
      </c>
      <c r="K5109" s="13" t="str">
        <f>IFERROR(__xludf.DUMMYFUNCTION("""COMPUTED_VALUE"""),"BT atau SU Belum Valid")</f>
        <v>BT atau SU Belum Valid</v>
      </c>
      <c r="L5109" s="13" t="str">
        <f>IFERROR(__xludf.DUMMYFUNCTION("""COMPUTED_VALUE"""),"")</f>
        <v/>
      </c>
      <c r="M5109" s="13"/>
      <c r="N5109" s="13" t="str">
        <f>IFERROR(__xludf.DUMMYFUNCTION("""COMPUTED_VALUE"""),"")</f>
        <v/>
      </c>
      <c r="O5109" s="13" t="str">
        <f t="shared" si="1"/>
        <v/>
      </c>
    </row>
    <row r="5110" ht="22.5" customHeight="1">
      <c r="B5110" s="13">
        <f>IFERROR(__xludf.DUMMYFUNCTION("""COMPUTED_VALUE"""),5105.0)</f>
        <v>5105</v>
      </c>
      <c r="C5110" s="13" t="str">
        <f>IFERROR(__xludf.DUMMYFUNCTION("""COMPUTED_VALUE"""),"B.1021")</f>
        <v>B.1021</v>
      </c>
      <c r="D5110" s="13" t="str">
        <f>IFERROR(__xludf.DUMMYFUNCTION("""COMPUTED_VALUE"""),"ABEWYVVZ")</f>
        <v>ABEWYVVZ</v>
      </c>
      <c r="E5110" s="14" t="str">
        <f>IFERROR(__xludf.DUMMYFUNCTION("""COMPUTED_VALUE"""),"Heri (BT)")</f>
        <v>Heri (BT)</v>
      </c>
      <c r="F5110" s="14" t="str">
        <f>IFERROR(__xludf.DUMMYFUNCTION("""COMPUTED_VALUE"""),"SELESAI (VIA PERMOHONAN)")</f>
        <v>SELESAI (VIA PERMOHONAN)</v>
      </c>
      <c r="G5110" s="17">
        <f>IFERROR(__xludf.DUMMYFUNCTION("""COMPUTED_VALUE"""),46097.39360207176)</f>
        <v>46097.3936</v>
      </c>
      <c r="H5110" s="14"/>
      <c r="I5110" s="13"/>
      <c r="J5110" s="17" t="str">
        <f>IFERROR(__xludf.DUMMYFUNCTION("""COMPUTED_VALUE"""),"")</f>
        <v/>
      </c>
      <c r="K5110" s="13" t="str">
        <f>IFERROR(__xludf.DUMMYFUNCTION("""COMPUTED_VALUE"""),"BT atau SU Belum Valid")</f>
        <v>BT atau SU Belum Valid</v>
      </c>
      <c r="L5110" s="13" t="str">
        <f>IFERROR(__xludf.DUMMYFUNCTION("""COMPUTED_VALUE"""),"")</f>
        <v/>
      </c>
      <c r="M5110" s="13"/>
      <c r="N5110" s="13" t="str">
        <f>IFERROR(__xludf.DUMMYFUNCTION("""COMPUTED_VALUE"""),"")</f>
        <v/>
      </c>
      <c r="O5110" s="13" t="str">
        <f t="shared" si="1"/>
        <v/>
      </c>
    </row>
    <row r="5111" ht="22.5" customHeight="1">
      <c r="B5111" s="13">
        <f>IFERROR(__xludf.DUMMYFUNCTION("""COMPUTED_VALUE"""),5106.0)</f>
        <v>5106</v>
      </c>
      <c r="C5111" s="13" t="str">
        <f>IFERROR(__xludf.DUMMYFUNCTION("""COMPUTED_VALUE"""),"M.01513/Serengsem")</f>
        <v>M.01513/Serengsem</v>
      </c>
      <c r="D5111" s="13" t="str">
        <f>IFERROR(__xludf.DUMMYFUNCTION("""COMPUTED_VALUE"""),"AB035/ABTXHCKN")</f>
        <v>AB035/ABTXHCKN</v>
      </c>
      <c r="E5111" s="14" t="str">
        <f>IFERROR(__xludf.DUMMYFUNCTION("""COMPUTED_VALUE"""),"Heri (BT)")</f>
        <v>Heri (BT)</v>
      </c>
      <c r="F5111" s="14" t="str">
        <f>IFERROR(__xludf.DUMMYFUNCTION("""COMPUTED_VALUE"""),"SELESAI (VIA PERMOHONAN)")</f>
        <v>SELESAI (VIA PERMOHONAN)</v>
      </c>
      <c r="G5111" s="17">
        <f>IFERROR(__xludf.DUMMYFUNCTION("""COMPUTED_VALUE"""),46097.39383027778)</f>
        <v>46097.39383</v>
      </c>
      <c r="H5111" s="14"/>
      <c r="I5111" s="13"/>
      <c r="J5111" s="17" t="str">
        <f>IFERROR(__xludf.DUMMYFUNCTION("""COMPUTED_VALUE"""),"")</f>
        <v/>
      </c>
      <c r="K5111" s="13" t="str">
        <f>IFERROR(__xludf.DUMMYFUNCTION("""COMPUTED_VALUE"""),"BT atau SU Belum Valid")</f>
        <v>BT atau SU Belum Valid</v>
      </c>
      <c r="L5111" s="13" t="str">
        <f>IFERROR(__xludf.DUMMYFUNCTION("""COMPUTED_VALUE"""),"")</f>
        <v/>
      </c>
      <c r="M5111" s="13"/>
      <c r="N5111" s="13" t="str">
        <f>IFERROR(__xludf.DUMMYFUNCTION("""COMPUTED_VALUE"""),"")</f>
        <v/>
      </c>
      <c r="O5111" s="13" t="str">
        <f t="shared" si="1"/>
        <v/>
      </c>
    </row>
    <row r="5112" ht="22.5" customHeight="1">
      <c r="B5112" s="13">
        <f>IFERROR(__xludf.DUMMYFUNCTION("""COMPUTED_VALUE"""),5107.0)</f>
        <v>5107</v>
      </c>
      <c r="C5112" s="13" t="str">
        <f>IFERROR(__xludf.DUMMYFUNCTION("""COMPUTED_VALUE"""),"2298 langkapura")</f>
        <v>2298 langkapura</v>
      </c>
      <c r="D5112" s="13" t="str">
        <f>IFERROR(__xludf.DUMMYFUNCTION("""COMPUTED_VALUE"""),"ABSUQBHQ")</f>
        <v>ABSUQBHQ</v>
      </c>
      <c r="E5112" s="14" t="str">
        <f>IFERROR(__xludf.DUMMYFUNCTION("""COMPUTED_VALUE"""),"Heri (BT)")</f>
        <v>Heri (BT)</v>
      </c>
      <c r="F5112" s="14" t="str">
        <f>IFERROR(__xludf.DUMMYFUNCTION("""COMPUTED_VALUE"""),"SELESAI (VIA PERMOHONAN)")</f>
        <v>SELESAI (VIA PERMOHONAN)</v>
      </c>
      <c r="G5112" s="17">
        <f>IFERROR(__xludf.DUMMYFUNCTION("""COMPUTED_VALUE"""),46097.39455484954)</f>
        <v>46097.39455</v>
      </c>
      <c r="H5112" s="14"/>
      <c r="I5112" s="13"/>
      <c r="J5112" s="17" t="str">
        <f>IFERROR(__xludf.DUMMYFUNCTION("""COMPUTED_VALUE"""),"")</f>
        <v/>
      </c>
      <c r="K5112" s="13" t="str">
        <f>IFERROR(__xludf.DUMMYFUNCTION("""COMPUTED_VALUE"""),"BT atau SU Belum Valid")</f>
        <v>BT atau SU Belum Valid</v>
      </c>
      <c r="L5112" s="13" t="str">
        <f>IFERROR(__xludf.DUMMYFUNCTION("""COMPUTED_VALUE"""),"")</f>
        <v/>
      </c>
      <c r="M5112" s="13"/>
      <c r="N5112" s="13" t="str">
        <f>IFERROR(__xludf.DUMMYFUNCTION("""COMPUTED_VALUE"""),"")</f>
        <v/>
      </c>
      <c r="O5112" s="13" t="str">
        <f t="shared" si="1"/>
        <v/>
      </c>
    </row>
    <row r="5113" ht="22.5" customHeight="1">
      <c r="B5113" s="13">
        <f>IFERROR(__xludf.DUMMYFUNCTION("""COMPUTED_VALUE"""),5108.0)</f>
        <v>5108</v>
      </c>
      <c r="C5113" s="13" t="str">
        <f>IFERROR(__xludf.DUMMYFUNCTION("""COMPUTED_VALUE"""),"M.695/ GULAK GALIK")</f>
        <v>M.695/ GULAK GALIK</v>
      </c>
      <c r="D5113" s="13" t="str">
        <f>IFERROR(__xludf.DUMMYFUNCTION("""COMPUTED_VALUE"""),"AB014/ABWKMVPQ")</f>
        <v>AB014/ABWKMVPQ</v>
      </c>
      <c r="E5113" s="14" t="str">
        <f>IFERROR(__xludf.DUMMYFUNCTION("""COMPUTED_VALUE"""),"Heri (BT)")</f>
        <v>Heri (BT)</v>
      </c>
      <c r="F5113" s="14" t="str">
        <f>IFERROR(__xludf.DUMMYFUNCTION("""COMPUTED_VALUE"""),"SELESAI (VIA PERMOHONAN)")</f>
        <v>SELESAI (VIA PERMOHONAN)</v>
      </c>
      <c r="G5113" s="17">
        <f>IFERROR(__xludf.DUMMYFUNCTION("""COMPUTED_VALUE"""),46097.394737407405)</f>
        <v>46097.39474</v>
      </c>
      <c r="H5113" s="14"/>
      <c r="I5113" s="13"/>
      <c r="J5113" s="17" t="str">
        <f>IFERROR(__xludf.DUMMYFUNCTION("""COMPUTED_VALUE"""),"")</f>
        <v/>
      </c>
      <c r="K5113" s="13" t="str">
        <f>IFERROR(__xludf.DUMMYFUNCTION("""COMPUTED_VALUE"""),"BT atau SU Belum Valid")</f>
        <v>BT atau SU Belum Valid</v>
      </c>
      <c r="L5113" s="13" t="str">
        <f>IFERROR(__xludf.DUMMYFUNCTION("""COMPUTED_VALUE"""),"")</f>
        <v/>
      </c>
      <c r="M5113" s="13"/>
      <c r="N5113" s="13" t="str">
        <f>IFERROR(__xludf.DUMMYFUNCTION("""COMPUTED_VALUE"""),"")</f>
        <v/>
      </c>
      <c r="O5113" s="13" t="str">
        <f t="shared" si="1"/>
        <v/>
      </c>
    </row>
    <row r="5114" ht="22.5" customHeight="1">
      <c r="B5114" s="13">
        <f>IFERROR(__xludf.DUMMYFUNCTION("""COMPUTED_VALUE"""),5109.0)</f>
        <v>5109</v>
      </c>
      <c r="C5114" s="13" t="str">
        <f>IFERROR(__xludf.DUMMYFUNCTION("""COMPUTED_VALUE"""),"M. 3510/CR")</f>
        <v>M. 3510/CR</v>
      </c>
      <c r="D5114" s="13" t="str">
        <f>IFERROR(__xludf.DUMMYFUNCTION("""COMPUTED_VALUE"""),"ABSQKTKE")</f>
        <v>ABSQKTKE</v>
      </c>
      <c r="E5114" s="14" t="str">
        <f>IFERROR(__xludf.DUMMYFUNCTION("""COMPUTED_VALUE"""),"Heri (BT)")</f>
        <v>Heri (BT)</v>
      </c>
      <c r="F5114" s="14" t="str">
        <f>IFERROR(__xludf.DUMMYFUNCTION("""COMPUTED_VALUE"""),"SELESAI (VIA PERMOHONAN)")</f>
        <v>SELESAI (VIA PERMOHONAN)</v>
      </c>
      <c r="G5114" s="17">
        <f>IFERROR(__xludf.DUMMYFUNCTION("""COMPUTED_VALUE"""),46097.39492814815)</f>
        <v>46097.39493</v>
      </c>
      <c r="H5114" s="14"/>
      <c r="I5114" s="13"/>
      <c r="J5114" s="17" t="str">
        <f>IFERROR(__xludf.DUMMYFUNCTION("""COMPUTED_VALUE"""),"")</f>
        <v/>
      </c>
      <c r="K5114" s="13" t="str">
        <f>IFERROR(__xludf.DUMMYFUNCTION("""COMPUTED_VALUE"""),"BT atau SU Belum Valid")</f>
        <v>BT atau SU Belum Valid</v>
      </c>
      <c r="L5114" s="13" t="str">
        <f>IFERROR(__xludf.DUMMYFUNCTION("""COMPUTED_VALUE"""),"")</f>
        <v/>
      </c>
      <c r="M5114" s="13"/>
      <c r="N5114" s="13" t="str">
        <f>IFERROR(__xludf.DUMMYFUNCTION("""COMPUTED_VALUE"""),"")</f>
        <v/>
      </c>
      <c r="O5114" s="13" t="str">
        <f t="shared" si="1"/>
        <v/>
      </c>
    </row>
    <row r="5115" ht="22.5" customHeight="1">
      <c r="B5115" s="13">
        <f>IFERROR(__xludf.DUMMYFUNCTION("""COMPUTED_VALUE"""),5110.0)</f>
        <v>5110</v>
      </c>
      <c r="C5115" s="13" t="str">
        <f>IFERROR(__xludf.DUMMYFUNCTION("""COMPUTED_VALUE"""),"M. 177/CJ")</f>
        <v>M. 177/CJ</v>
      </c>
      <c r="D5115" s="13" t="str">
        <f>IFERROR(__xludf.DUMMYFUNCTION("""COMPUTED_VALUE"""),"ABKGQIRG")</f>
        <v>ABKGQIRG</v>
      </c>
      <c r="E5115" s="14" t="str">
        <f>IFERROR(__xludf.DUMMYFUNCTION("""COMPUTED_VALUE"""),"Heri (BT)")</f>
        <v>Heri (BT)</v>
      </c>
      <c r="F5115" s="14" t="str">
        <f>IFERROR(__xludf.DUMMYFUNCTION("""COMPUTED_VALUE"""),"SELESAI (VIA PERMOHONAN)")</f>
        <v>SELESAI (VIA PERMOHONAN)</v>
      </c>
      <c r="G5115" s="17">
        <f>IFERROR(__xludf.DUMMYFUNCTION("""COMPUTED_VALUE"""),46097.39517591435)</f>
        <v>46097.39518</v>
      </c>
      <c r="H5115" s="14"/>
      <c r="I5115" s="13"/>
      <c r="J5115" s="17" t="str">
        <f>IFERROR(__xludf.DUMMYFUNCTION("""COMPUTED_VALUE"""),"")</f>
        <v/>
      </c>
      <c r="K5115" s="13" t="str">
        <f>IFERROR(__xludf.DUMMYFUNCTION("""COMPUTED_VALUE"""),"BT atau SU Belum Valid")</f>
        <v>BT atau SU Belum Valid</v>
      </c>
      <c r="L5115" s="13" t="str">
        <f>IFERROR(__xludf.DUMMYFUNCTION("""COMPUTED_VALUE"""),"")</f>
        <v/>
      </c>
      <c r="M5115" s="13"/>
      <c r="N5115" s="13" t="str">
        <f>IFERROR(__xludf.DUMMYFUNCTION("""COMPUTED_VALUE"""),"")</f>
        <v/>
      </c>
      <c r="O5115" s="13" t="str">
        <f t="shared" si="1"/>
        <v/>
      </c>
    </row>
    <row r="5116" ht="22.5" customHeight="1">
      <c r="B5116" s="13">
        <f>IFERROR(__xludf.DUMMYFUNCTION("""COMPUTED_VALUE"""),5111.0)</f>
        <v>5111</v>
      </c>
      <c r="C5116" s="13" t="str">
        <f>IFERROR(__xludf.DUMMYFUNCTION("""COMPUTED_VALUE"""),"M. 13554/SUKABUMI")</f>
        <v>M. 13554/SUKABUMI</v>
      </c>
      <c r="D5116" s="13" t="str">
        <f>IFERROR(__xludf.DUMMYFUNCTION("""COMPUTED_VALUE"""),"L/3/230126/1")</f>
        <v>L/3/230126/1</v>
      </c>
      <c r="E5116" s="14" t="str">
        <f>IFERROR(__xludf.DUMMYFUNCTION("""COMPUTED_VALUE"""),"Heri (BT)")</f>
        <v>Heri (BT)</v>
      </c>
      <c r="F5116" s="14" t="str">
        <f>IFERROR(__xludf.DUMMYFUNCTION("""COMPUTED_VALUE"""),"SELESAI (VIA PERMOHONAN)")</f>
        <v>SELESAI (VIA PERMOHONAN)</v>
      </c>
      <c r="G5116" s="17">
        <f>IFERROR(__xludf.DUMMYFUNCTION("""COMPUTED_VALUE"""),46107.39158405093)</f>
        <v>46107.39158</v>
      </c>
      <c r="H5116" s="14"/>
      <c r="I5116" s="13"/>
      <c r="J5116" s="17" t="str">
        <f>IFERROR(__xludf.DUMMYFUNCTION("""COMPUTED_VALUE"""),"")</f>
        <v/>
      </c>
      <c r="K5116" s="13" t="str">
        <f>IFERROR(__xludf.DUMMYFUNCTION("""COMPUTED_VALUE"""),"BT atau SU Belum Valid")</f>
        <v>BT atau SU Belum Valid</v>
      </c>
      <c r="L5116" s="13" t="str">
        <f>IFERROR(__xludf.DUMMYFUNCTION("""COMPUTED_VALUE"""),"")</f>
        <v/>
      </c>
      <c r="M5116" s="13"/>
      <c r="N5116" s="13" t="str">
        <f>IFERROR(__xludf.DUMMYFUNCTION("""COMPUTED_VALUE"""),"")</f>
        <v/>
      </c>
      <c r="O5116" s="13" t="str">
        <f t="shared" si="1"/>
        <v/>
      </c>
    </row>
    <row r="5117" ht="22.5" customHeight="1">
      <c r="B5117" s="13">
        <f>IFERROR(__xludf.DUMMYFUNCTION("""COMPUTED_VALUE"""),5112.0)</f>
        <v>5112</v>
      </c>
      <c r="C5117" s="13" t="str">
        <f>IFERROR(__xludf.DUMMYFUNCTION("""COMPUTED_VALUE"""),"HM 13013/RAJABASA")</f>
        <v>HM 13013/RAJABASA</v>
      </c>
      <c r="D5117" s="13" t="str">
        <f>IFERROR(__xludf.DUMMYFUNCTION("""COMPUTED_VALUE"""),"L/27/060825/1")</f>
        <v>L/27/060825/1</v>
      </c>
      <c r="E5117" s="14" t="str">
        <f>IFERROR(__xludf.DUMMYFUNCTION("""COMPUTED_VALUE"""),"Heri (BT)")</f>
        <v>Heri (BT)</v>
      </c>
      <c r="F5117" s="14" t="str">
        <f>IFERROR(__xludf.DUMMYFUNCTION("""COMPUTED_VALUE"""),"SELESAI (VIA PERMOHONAN)")</f>
        <v>SELESAI (VIA PERMOHONAN)</v>
      </c>
      <c r="G5117" s="17">
        <f>IFERROR(__xludf.DUMMYFUNCTION("""COMPUTED_VALUE"""),46107.39285534722)</f>
        <v>46107.39286</v>
      </c>
      <c r="H5117" s="14"/>
      <c r="I5117" s="13"/>
      <c r="J5117" s="17" t="str">
        <f>IFERROR(__xludf.DUMMYFUNCTION("""COMPUTED_VALUE"""),"")</f>
        <v/>
      </c>
      <c r="K5117" s="13" t="str">
        <f>IFERROR(__xludf.DUMMYFUNCTION("""COMPUTED_VALUE"""),"BT atau SU Belum Valid")</f>
        <v>BT atau SU Belum Valid</v>
      </c>
      <c r="L5117" s="13" t="str">
        <f>IFERROR(__xludf.DUMMYFUNCTION("""COMPUTED_VALUE"""),"")</f>
        <v/>
      </c>
      <c r="M5117" s="13"/>
      <c r="N5117" s="13" t="str">
        <f>IFERROR(__xludf.DUMMYFUNCTION("""COMPUTED_VALUE"""),"")</f>
        <v/>
      </c>
      <c r="O5117" s="13" t="str">
        <f t="shared" si="1"/>
        <v/>
      </c>
    </row>
    <row r="5118" ht="22.5" customHeight="1">
      <c r="B5118" s="13">
        <f>IFERROR(__xludf.DUMMYFUNCTION("""COMPUTED_VALUE"""),5113.0)</f>
        <v>5113</v>
      </c>
      <c r="C5118" s="13" t="str">
        <f>IFERROR(__xludf.DUMMYFUNCTION("""COMPUTED_VALUE"""),"M. 1216/SRENGSEM")</f>
        <v>M. 1216/SRENGSEM</v>
      </c>
      <c r="D5118" s="13" t="str">
        <f>IFERROR(__xludf.DUMMYFUNCTION("""COMPUTED_VALUE"""),"K/11/050226/1")</f>
        <v>K/11/050226/1</v>
      </c>
      <c r="E5118" s="14" t="str">
        <f>IFERROR(__xludf.DUMMYFUNCTION("""COMPUTED_VALUE"""),"Heri (BT)")</f>
        <v>Heri (BT)</v>
      </c>
      <c r="F5118" s="14" t="str">
        <f>IFERROR(__xludf.DUMMYFUNCTION("""COMPUTED_VALUE"""),"SELESAI (VIA PERMOHONAN)")</f>
        <v>SELESAI (VIA PERMOHONAN)</v>
      </c>
      <c r="G5118" s="17">
        <f>IFERROR(__xludf.DUMMYFUNCTION("""COMPUTED_VALUE"""),46107.393180520834)</f>
        <v>46107.39318</v>
      </c>
      <c r="H5118" s="14"/>
      <c r="I5118" s="13"/>
      <c r="J5118" s="17" t="str">
        <f>IFERROR(__xludf.DUMMYFUNCTION("""COMPUTED_VALUE"""),"")</f>
        <v/>
      </c>
      <c r="K5118" s="13" t="str">
        <f>IFERROR(__xludf.DUMMYFUNCTION("""COMPUTED_VALUE"""),"BT atau SU Belum Valid")</f>
        <v>BT atau SU Belum Valid</v>
      </c>
      <c r="L5118" s="13" t="str">
        <f>IFERROR(__xludf.DUMMYFUNCTION("""COMPUTED_VALUE"""),"")</f>
        <v/>
      </c>
      <c r="M5118" s="13"/>
      <c r="N5118" s="13" t="str">
        <f>IFERROR(__xludf.DUMMYFUNCTION("""COMPUTED_VALUE"""),"")</f>
        <v/>
      </c>
      <c r="O5118" s="13" t="str">
        <f t="shared" si="1"/>
        <v/>
      </c>
    </row>
    <row r="5119" ht="22.5" customHeight="1">
      <c r="B5119" s="13">
        <f>IFERROR(__xludf.DUMMYFUNCTION("""COMPUTED_VALUE"""),5114.0)</f>
        <v>5114</v>
      </c>
      <c r="C5119" s="13" t="str">
        <f>IFERROR(__xludf.DUMMYFUNCTION("""COMPUTED_VALUE"""),"M. 13554/SUKABUMI")</f>
        <v>M. 13554/SUKABUMI</v>
      </c>
      <c r="D5119" s="13" t="str">
        <f>IFERROR(__xludf.DUMMYFUNCTION("""COMPUTED_VALUE"""),"L/3/230126/1")</f>
        <v>L/3/230126/1</v>
      </c>
      <c r="E5119" s="14" t="str">
        <f>IFERROR(__xludf.DUMMYFUNCTION("""COMPUTED_VALUE"""),"Heri (BT)")</f>
        <v>Heri (BT)</v>
      </c>
      <c r="F5119" s="14" t="str">
        <f>IFERROR(__xludf.DUMMYFUNCTION("""COMPUTED_VALUE"""),"SELESAI (VIA PERMOHONAN)")</f>
        <v>SELESAI (VIA PERMOHONAN)</v>
      </c>
      <c r="G5119" s="17">
        <f>IFERROR(__xludf.DUMMYFUNCTION("""COMPUTED_VALUE"""),46107.39572635417)</f>
        <v>46107.39573</v>
      </c>
      <c r="H5119" s="14"/>
      <c r="I5119" s="13"/>
      <c r="J5119" s="17" t="str">
        <f>IFERROR(__xludf.DUMMYFUNCTION("""COMPUTED_VALUE"""),"")</f>
        <v/>
      </c>
      <c r="K5119" s="13" t="str">
        <f>IFERROR(__xludf.DUMMYFUNCTION("""COMPUTED_VALUE"""),"BT atau SU Belum Valid")</f>
        <v>BT atau SU Belum Valid</v>
      </c>
      <c r="L5119" s="13" t="str">
        <f>IFERROR(__xludf.DUMMYFUNCTION("""COMPUTED_VALUE"""),"")</f>
        <v/>
      </c>
      <c r="M5119" s="13"/>
      <c r="N5119" s="13" t="str">
        <f>IFERROR(__xludf.DUMMYFUNCTION("""COMPUTED_VALUE"""),"")</f>
        <v/>
      </c>
      <c r="O5119" s="13" t="str">
        <f t="shared" si="1"/>
        <v/>
      </c>
    </row>
    <row r="5120" ht="22.5" customHeight="1">
      <c r="B5120" s="13">
        <f>IFERROR(__xludf.DUMMYFUNCTION("""COMPUTED_VALUE"""),5115.0)</f>
        <v>5115</v>
      </c>
      <c r="C5120" s="13" t="str">
        <f>IFERROR(__xludf.DUMMYFUNCTION("""COMPUTED_VALUE"""),"M. 3784/CAMPANG RAYA")</f>
        <v>M. 3784/CAMPANG RAYA</v>
      </c>
      <c r="D5120" s="13" t="str">
        <f>IFERROR(__xludf.DUMMYFUNCTION("""COMPUTED_VALUE"""),"K/7/130126/2")</f>
        <v>K/7/130126/2</v>
      </c>
      <c r="E5120" s="14"/>
      <c r="F5120" s="14"/>
      <c r="G5120" s="17" t="str">
        <f>IFERROR(__xludf.DUMMYFUNCTION("""COMPUTED_VALUE"""),"")</f>
        <v/>
      </c>
      <c r="H5120" s="14"/>
      <c r="I5120" s="13"/>
      <c r="J5120" s="17" t="str">
        <f>IFERROR(__xludf.DUMMYFUNCTION("""COMPUTED_VALUE"""),"")</f>
        <v/>
      </c>
      <c r="K5120" s="13" t="str">
        <f>IFERROR(__xludf.DUMMYFUNCTION("""COMPUTED_VALUE"""),"BT atau SU Belum Valid")</f>
        <v>BT atau SU Belum Valid</v>
      </c>
      <c r="L5120" s="13" t="str">
        <f>IFERROR(__xludf.DUMMYFUNCTION("""COMPUTED_VALUE"""),"")</f>
        <v/>
      </c>
      <c r="M5120" s="13"/>
      <c r="N5120" s="13" t="str">
        <f>IFERROR(__xludf.DUMMYFUNCTION("""COMPUTED_VALUE"""),"")</f>
        <v/>
      </c>
      <c r="O5120" s="13" t="str">
        <f t="shared" si="1"/>
        <v/>
      </c>
    </row>
    <row r="5121" ht="22.5" customHeight="1">
      <c r="B5121" s="13">
        <f>IFERROR(__xludf.DUMMYFUNCTION("""COMPUTED_VALUE"""),5116.0)</f>
        <v>5116</v>
      </c>
      <c r="C5121" s="13"/>
      <c r="D5121" s="13" t="str">
        <f>IFERROR(__xludf.DUMMYFUNCTION("""COMPUTED_VALUE"""),"AB036/ABSOLDWS")</f>
        <v>AB036/ABSOLDWS</v>
      </c>
      <c r="E5121" s="14"/>
      <c r="F5121" s="14"/>
      <c r="G5121" s="17" t="str">
        <f>IFERROR(__xludf.DUMMYFUNCTION("""COMPUTED_VALUE"""),"")</f>
        <v/>
      </c>
      <c r="H5121" s="14"/>
      <c r="I5121" s="13"/>
      <c r="J5121" s="17" t="str">
        <f>IFERROR(__xludf.DUMMYFUNCTION("""COMPUTED_VALUE"""),"")</f>
        <v/>
      </c>
      <c r="K5121" s="13" t="str">
        <f>IFERROR(__xludf.DUMMYFUNCTION("""COMPUTED_VALUE"""),"BT atau SU Belum Valid")</f>
        <v>BT atau SU Belum Valid</v>
      </c>
      <c r="L5121" s="13" t="str">
        <f>IFERROR(__xludf.DUMMYFUNCTION("""COMPUTED_VALUE"""),"")</f>
        <v/>
      </c>
      <c r="M5121" s="13"/>
      <c r="N5121" s="13" t="str">
        <f>IFERROR(__xludf.DUMMYFUNCTION("""COMPUTED_VALUE"""),"")</f>
        <v/>
      </c>
      <c r="O5121" s="13" t="str">
        <f t="shared" si="1"/>
        <v/>
      </c>
    </row>
    <row r="5122" ht="22.5" customHeight="1">
      <c r="B5122" s="13">
        <f>IFERROR(__xludf.DUMMYFUNCTION("""COMPUTED_VALUE"""),5117.0)</f>
        <v>5117</v>
      </c>
      <c r="C5122" s="13"/>
      <c r="D5122" s="13" t="str">
        <f>IFERROR(__xludf.DUMMYFUNCTION("""COMPUTED_VALUE"""),"AB036/ABSOLDWS")</f>
        <v>AB036/ABSOLDWS</v>
      </c>
      <c r="E5122" s="14"/>
      <c r="F5122" s="14"/>
      <c r="G5122" s="17" t="str">
        <f>IFERROR(__xludf.DUMMYFUNCTION("""COMPUTED_VALUE"""),"")</f>
        <v/>
      </c>
      <c r="H5122" s="14"/>
      <c r="I5122" s="13"/>
      <c r="J5122" s="17" t="str">
        <f>IFERROR(__xludf.DUMMYFUNCTION("""COMPUTED_VALUE"""),"")</f>
        <v/>
      </c>
      <c r="K5122" s="13" t="str">
        <f>IFERROR(__xludf.DUMMYFUNCTION("""COMPUTED_VALUE"""),"BT atau SU Belum Valid")</f>
        <v>BT atau SU Belum Valid</v>
      </c>
      <c r="L5122" s="13" t="str">
        <f>IFERROR(__xludf.DUMMYFUNCTION("""COMPUTED_VALUE"""),"")</f>
        <v/>
      </c>
      <c r="M5122" s="13"/>
      <c r="N5122" s="13" t="str">
        <f>IFERROR(__xludf.DUMMYFUNCTION("""COMPUTED_VALUE"""),"")</f>
        <v/>
      </c>
      <c r="O5122" s="13" t="str">
        <f t="shared" si="1"/>
        <v/>
      </c>
    </row>
    <row r="5123" ht="22.5" customHeight="1">
      <c r="B5123" s="13">
        <f>IFERROR(__xludf.DUMMYFUNCTION("""COMPUTED_VALUE"""),5118.0)</f>
        <v>5118</v>
      </c>
      <c r="C5123" s="13"/>
      <c r="D5123" s="13" t="str">
        <f>IFERROR(__xludf.DUMMYFUNCTION("""COMPUTED_VALUE"""),"AB036/ABSOLDWS")</f>
        <v>AB036/ABSOLDWS</v>
      </c>
      <c r="E5123" s="14"/>
      <c r="F5123" s="14"/>
      <c r="G5123" s="17" t="str">
        <f>IFERROR(__xludf.DUMMYFUNCTION("""COMPUTED_VALUE"""),"")</f>
        <v/>
      </c>
      <c r="H5123" s="14"/>
      <c r="I5123" s="13"/>
      <c r="J5123" s="17" t="str">
        <f>IFERROR(__xludf.DUMMYFUNCTION("""COMPUTED_VALUE"""),"")</f>
        <v/>
      </c>
      <c r="K5123" s="13" t="str">
        <f>IFERROR(__xludf.DUMMYFUNCTION("""COMPUTED_VALUE"""),"BT atau SU Belum Valid")</f>
        <v>BT atau SU Belum Valid</v>
      </c>
      <c r="L5123" s="13" t="str">
        <f>IFERROR(__xludf.DUMMYFUNCTION("""COMPUTED_VALUE"""),"")</f>
        <v/>
      </c>
      <c r="M5123" s="13"/>
      <c r="N5123" s="13" t="str">
        <f>IFERROR(__xludf.DUMMYFUNCTION("""COMPUTED_VALUE"""),"")</f>
        <v/>
      </c>
      <c r="O5123" s="13" t="str">
        <f t="shared" si="1"/>
        <v/>
      </c>
    </row>
    <row r="5124" ht="22.5" customHeight="1">
      <c r="B5124" s="13">
        <f>IFERROR(__xludf.DUMMYFUNCTION("""COMPUTED_VALUE"""),5119.0)</f>
        <v>5119</v>
      </c>
      <c r="C5124" s="13"/>
      <c r="D5124" s="13" t="str">
        <f>IFERROR(__xludf.DUMMYFUNCTION("""COMPUTED_VALUE"""),"AB036/ABSOLDWS")</f>
        <v>AB036/ABSOLDWS</v>
      </c>
      <c r="E5124" s="14"/>
      <c r="F5124" s="14"/>
      <c r="G5124" s="17" t="str">
        <f>IFERROR(__xludf.DUMMYFUNCTION("""COMPUTED_VALUE"""),"")</f>
        <v/>
      </c>
      <c r="H5124" s="14"/>
      <c r="I5124" s="13"/>
      <c r="J5124" s="17" t="str">
        <f>IFERROR(__xludf.DUMMYFUNCTION("""COMPUTED_VALUE"""),"")</f>
        <v/>
      </c>
      <c r="K5124" s="13" t="str">
        <f>IFERROR(__xludf.DUMMYFUNCTION("""COMPUTED_VALUE"""),"BT atau SU Belum Valid")</f>
        <v>BT atau SU Belum Valid</v>
      </c>
      <c r="L5124" s="13" t="str">
        <f>IFERROR(__xludf.DUMMYFUNCTION("""COMPUTED_VALUE"""),"")</f>
        <v/>
      </c>
      <c r="M5124" s="13"/>
      <c r="N5124" s="13" t="str">
        <f>IFERROR(__xludf.DUMMYFUNCTION("""COMPUTED_VALUE"""),"")</f>
        <v/>
      </c>
      <c r="O5124" s="13" t="str">
        <f t="shared" si="1"/>
        <v/>
      </c>
    </row>
    <row r="5125" ht="22.5" customHeight="1">
      <c r="B5125" s="13">
        <f>IFERROR(__xludf.DUMMYFUNCTION("""COMPUTED_VALUE"""),5120.0)</f>
        <v>5120</v>
      </c>
      <c r="C5125" s="13"/>
      <c r="D5125" s="13" t="str">
        <f>IFERROR(__xludf.DUMMYFUNCTION("""COMPUTED_VALUE"""),"AB036/ABSOLDWS")</f>
        <v>AB036/ABSOLDWS</v>
      </c>
      <c r="E5125" s="14"/>
      <c r="F5125" s="14"/>
      <c r="G5125" s="17" t="str">
        <f>IFERROR(__xludf.DUMMYFUNCTION("""COMPUTED_VALUE"""),"")</f>
        <v/>
      </c>
      <c r="H5125" s="14"/>
      <c r="I5125" s="13"/>
      <c r="J5125" s="17" t="str">
        <f>IFERROR(__xludf.DUMMYFUNCTION("""COMPUTED_VALUE"""),"")</f>
        <v/>
      </c>
      <c r="K5125" s="13" t="str">
        <f>IFERROR(__xludf.DUMMYFUNCTION("""COMPUTED_VALUE"""),"BT atau SU Belum Valid")</f>
        <v>BT atau SU Belum Valid</v>
      </c>
      <c r="L5125" s="13" t="str">
        <f>IFERROR(__xludf.DUMMYFUNCTION("""COMPUTED_VALUE"""),"")</f>
        <v/>
      </c>
      <c r="M5125" s="13"/>
      <c r="N5125" s="13" t="str">
        <f>IFERROR(__xludf.DUMMYFUNCTION("""COMPUTED_VALUE"""),"")</f>
        <v/>
      </c>
      <c r="O5125" s="13" t="str">
        <f t="shared" si="1"/>
        <v/>
      </c>
    </row>
    <row r="5126" ht="22.5" customHeight="1">
      <c r="B5126" s="13">
        <f>IFERROR(__xludf.DUMMYFUNCTION("""COMPUTED_VALUE"""),5121.0)</f>
        <v>5121</v>
      </c>
      <c r="C5126" s="13"/>
      <c r="D5126" s="13" t="str">
        <f>IFERROR(__xludf.DUMMYFUNCTION("""COMPUTED_VALUE"""),"AB036/ABSOLDWS")</f>
        <v>AB036/ABSOLDWS</v>
      </c>
      <c r="E5126" s="14"/>
      <c r="F5126" s="14"/>
      <c r="G5126" s="17" t="str">
        <f>IFERROR(__xludf.DUMMYFUNCTION("""COMPUTED_VALUE"""),"")</f>
        <v/>
      </c>
      <c r="H5126" s="14"/>
      <c r="I5126" s="13"/>
      <c r="J5126" s="17" t="str">
        <f>IFERROR(__xludf.DUMMYFUNCTION("""COMPUTED_VALUE"""),"")</f>
        <v/>
      </c>
      <c r="K5126" s="13" t="str">
        <f>IFERROR(__xludf.DUMMYFUNCTION("""COMPUTED_VALUE"""),"BT atau SU Belum Valid")</f>
        <v>BT atau SU Belum Valid</v>
      </c>
      <c r="L5126" s="13" t="str">
        <f>IFERROR(__xludf.DUMMYFUNCTION("""COMPUTED_VALUE"""),"")</f>
        <v/>
      </c>
      <c r="M5126" s="13"/>
      <c r="N5126" s="13" t="str">
        <f>IFERROR(__xludf.DUMMYFUNCTION("""COMPUTED_VALUE"""),"")</f>
        <v/>
      </c>
      <c r="O5126" s="13" t="str">
        <f t="shared" si="1"/>
        <v/>
      </c>
    </row>
    <row r="5127" ht="22.5" customHeight="1">
      <c r="B5127" s="13">
        <f>IFERROR(__xludf.DUMMYFUNCTION("""COMPUTED_VALUE"""),5122.0)</f>
        <v>5122</v>
      </c>
      <c r="C5127" s="13"/>
      <c r="D5127" s="13" t="str">
        <f>IFERROR(__xludf.DUMMYFUNCTION("""COMPUTED_VALUE"""),"AB036/ABSOLDWS")</f>
        <v>AB036/ABSOLDWS</v>
      </c>
      <c r="E5127" s="14"/>
      <c r="F5127" s="14"/>
      <c r="G5127" s="17" t="str">
        <f>IFERROR(__xludf.DUMMYFUNCTION("""COMPUTED_VALUE"""),"")</f>
        <v/>
      </c>
      <c r="H5127" s="14"/>
      <c r="I5127" s="13"/>
      <c r="J5127" s="17" t="str">
        <f>IFERROR(__xludf.DUMMYFUNCTION("""COMPUTED_VALUE"""),"")</f>
        <v/>
      </c>
      <c r="K5127" s="13" t="str">
        <f>IFERROR(__xludf.DUMMYFUNCTION("""COMPUTED_VALUE"""),"BT atau SU Belum Valid")</f>
        <v>BT atau SU Belum Valid</v>
      </c>
      <c r="L5127" s="13" t="str">
        <f>IFERROR(__xludf.DUMMYFUNCTION("""COMPUTED_VALUE"""),"")</f>
        <v/>
      </c>
      <c r="M5127" s="13"/>
      <c r="N5127" s="13" t="str">
        <f>IFERROR(__xludf.DUMMYFUNCTION("""COMPUTED_VALUE"""),"")</f>
        <v/>
      </c>
      <c r="O5127" s="13" t="str">
        <f t="shared" si="1"/>
        <v/>
      </c>
    </row>
    <row r="5128" ht="22.5" customHeight="1">
      <c r="B5128" s="13">
        <f>IFERROR(__xludf.DUMMYFUNCTION("""COMPUTED_VALUE"""),5123.0)</f>
        <v>5123</v>
      </c>
      <c r="C5128" s="13"/>
      <c r="D5128" s="13" t="str">
        <f>IFERROR(__xludf.DUMMYFUNCTION("""COMPUTED_VALUE"""),"AB036/ABSOLDWS")</f>
        <v>AB036/ABSOLDWS</v>
      </c>
      <c r="E5128" s="14"/>
      <c r="F5128" s="14"/>
      <c r="G5128" s="17" t="str">
        <f>IFERROR(__xludf.DUMMYFUNCTION("""COMPUTED_VALUE"""),"")</f>
        <v/>
      </c>
      <c r="H5128" s="14"/>
      <c r="I5128" s="13"/>
      <c r="J5128" s="17" t="str">
        <f>IFERROR(__xludf.DUMMYFUNCTION("""COMPUTED_VALUE"""),"")</f>
        <v/>
      </c>
      <c r="K5128" s="13" t="str">
        <f>IFERROR(__xludf.DUMMYFUNCTION("""COMPUTED_VALUE"""),"BT atau SU Belum Valid")</f>
        <v>BT atau SU Belum Valid</v>
      </c>
      <c r="L5128" s="13" t="str">
        <f>IFERROR(__xludf.DUMMYFUNCTION("""COMPUTED_VALUE"""),"")</f>
        <v/>
      </c>
      <c r="M5128" s="13"/>
      <c r="N5128" s="13" t="str">
        <f>IFERROR(__xludf.DUMMYFUNCTION("""COMPUTED_VALUE"""),"")</f>
        <v/>
      </c>
      <c r="O5128" s="13" t="str">
        <f t="shared" si="1"/>
        <v/>
      </c>
    </row>
    <row r="5129" ht="22.5" customHeight="1">
      <c r="B5129" s="13">
        <f>IFERROR(__xludf.DUMMYFUNCTION("""COMPUTED_VALUE"""),5124.0)</f>
        <v>5124</v>
      </c>
      <c r="C5129" s="13"/>
      <c r="D5129" s="13" t="str">
        <f>IFERROR(__xludf.DUMMYFUNCTION("""COMPUTED_VALUE"""),"AB036/ABSOLDWS")</f>
        <v>AB036/ABSOLDWS</v>
      </c>
      <c r="E5129" s="14"/>
      <c r="F5129" s="14"/>
      <c r="G5129" s="17" t="str">
        <f>IFERROR(__xludf.DUMMYFUNCTION("""COMPUTED_VALUE"""),"")</f>
        <v/>
      </c>
      <c r="H5129" s="14"/>
      <c r="I5129" s="13"/>
      <c r="J5129" s="17" t="str">
        <f>IFERROR(__xludf.DUMMYFUNCTION("""COMPUTED_VALUE"""),"")</f>
        <v/>
      </c>
      <c r="K5129" s="13" t="str">
        <f>IFERROR(__xludf.DUMMYFUNCTION("""COMPUTED_VALUE"""),"BT atau SU Belum Valid")</f>
        <v>BT atau SU Belum Valid</v>
      </c>
      <c r="L5129" s="13" t="str">
        <f>IFERROR(__xludf.DUMMYFUNCTION("""COMPUTED_VALUE"""),"")</f>
        <v/>
      </c>
      <c r="M5129" s="13"/>
      <c r="N5129" s="13" t="str">
        <f>IFERROR(__xludf.DUMMYFUNCTION("""COMPUTED_VALUE"""),"")</f>
        <v/>
      </c>
      <c r="O5129" s="13" t="str">
        <f t="shared" si="1"/>
        <v/>
      </c>
    </row>
    <row r="5130" ht="22.5" customHeight="1">
      <c r="B5130" s="13">
        <f>IFERROR(__xludf.DUMMYFUNCTION("""COMPUTED_VALUE"""),5125.0)</f>
        <v>5125</v>
      </c>
      <c r="C5130" s="13"/>
      <c r="D5130" s="13" t="str">
        <f>IFERROR(__xludf.DUMMYFUNCTION("""COMPUTED_VALUE"""),"AB036/ABSOLDWS")</f>
        <v>AB036/ABSOLDWS</v>
      </c>
      <c r="E5130" s="14"/>
      <c r="F5130" s="14"/>
      <c r="G5130" s="17" t="str">
        <f>IFERROR(__xludf.DUMMYFUNCTION("""COMPUTED_VALUE"""),"")</f>
        <v/>
      </c>
      <c r="H5130" s="14"/>
      <c r="I5130" s="13"/>
      <c r="J5130" s="17" t="str">
        <f>IFERROR(__xludf.DUMMYFUNCTION("""COMPUTED_VALUE"""),"")</f>
        <v/>
      </c>
      <c r="K5130" s="13" t="str">
        <f>IFERROR(__xludf.DUMMYFUNCTION("""COMPUTED_VALUE"""),"BT atau SU Belum Valid")</f>
        <v>BT atau SU Belum Valid</v>
      </c>
      <c r="L5130" s="13" t="str">
        <f>IFERROR(__xludf.DUMMYFUNCTION("""COMPUTED_VALUE"""),"")</f>
        <v/>
      </c>
      <c r="M5130" s="13"/>
      <c r="N5130" s="13" t="str">
        <f>IFERROR(__xludf.DUMMYFUNCTION("""COMPUTED_VALUE"""),"")</f>
        <v/>
      </c>
      <c r="O5130" s="13" t="str">
        <f t="shared" si="1"/>
        <v/>
      </c>
    </row>
    <row r="5131" ht="22.5" customHeight="1">
      <c r="B5131" s="13">
        <f>IFERROR(__xludf.DUMMYFUNCTION("""COMPUTED_VALUE"""),5126.0)</f>
        <v>5126</v>
      </c>
      <c r="C5131" s="13"/>
      <c r="D5131" s="13" t="str">
        <f>IFERROR(__xludf.DUMMYFUNCTION("""COMPUTED_VALUE"""),"AB036/ABSOLDWS")</f>
        <v>AB036/ABSOLDWS</v>
      </c>
      <c r="E5131" s="14"/>
      <c r="F5131" s="14"/>
      <c r="G5131" s="17" t="str">
        <f>IFERROR(__xludf.DUMMYFUNCTION("""COMPUTED_VALUE"""),"")</f>
        <v/>
      </c>
      <c r="H5131" s="14"/>
      <c r="I5131" s="13"/>
      <c r="J5131" s="17" t="str">
        <f>IFERROR(__xludf.DUMMYFUNCTION("""COMPUTED_VALUE"""),"")</f>
        <v/>
      </c>
      <c r="K5131" s="13" t="str">
        <f>IFERROR(__xludf.DUMMYFUNCTION("""COMPUTED_VALUE"""),"BT atau SU Belum Valid")</f>
        <v>BT atau SU Belum Valid</v>
      </c>
      <c r="L5131" s="13" t="str">
        <f>IFERROR(__xludf.DUMMYFUNCTION("""COMPUTED_VALUE"""),"")</f>
        <v/>
      </c>
      <c r="M5131" s="13"/>
      <c r="N5131" s="13" t="str">
        <f>IFERROR(__xludf.DUMMYFUNCTION("""COMPUTED_VALUE"""),"")</f>
        <v/>
      </c>
      <c r="O5131" s="13" t="str">
        <f t="shared" si="1"/>
        <v/>
      </c>
    </row>
    <row r="5132" ht="22.5" customHeight="1">
      <c r="B5132" s="13">
        <f>IFERROR(__xludf.DUMMYFUNCTION("""COMPUTED_VALUE"""),5127.0)</f>
        <v>5127</v>
      </c>
      <c r="C5132" s="13"/>
      <c r="D5132" s="13" t="str">
        <f>IFERROR(__xludf.DUMMYFUNCTION("""COMPUTED_VALUE"""),"AB036/ABSOLDWS")</f>
        <v>AB036/ABSOLDWS</v>
      </c>
      <c r="E5132" s="14"/>
      <c r="F5132" s="14"/>
      <c r="G5132" s="17" t="str">
        <f>IFERROR(__xludf.DUMMYFUNCTION("""COMPUTED_VALUE"""),"")</f>
        <v/>
      </c>
      <c r="H5132" s="14"/>
      <c r="I5132" s="13"/>
      <c r="J5132" s="17" t="str">
        <f>IFERROR(__xludf.DUMMYFUNCTION("""COMPUTED_VALUE"""),"")</f>
        <v/>
      </c>
      <c r="K5132" s="13" t="str">
        <f>IFERROR(__xludf.DUMMYFUNCTION("""COMPUTED_VALUE"""),"BT atau SU Belum Valid")</f>
        <v>BT atau SU Belum Valid</v>
      </c>
      <c r="L5132" s="13" t="str">
        <f>IFERROR(__xludf.DUMMYFUNCTION("""COMPUTED_VALUE"""),"")</f>
        <v/>
      </c>
      <c r="M5132" s="13"/>
      <c r="N5132" s="13" t="str">
        <f>IFERROR(__xludf.DUMMYFUNCTION("""COMPUTED_VALUE"""),"")</f>
        <v/>
      </c>
      <c r="O5132" s="13" t="str">
        <f t="shared" si="1"/>
        <v/>
      </c>
    </row>
    <row r="5133" ht="22.5" customHeight="1">
      <c r="B5133" s="13">
        <f>IFERROR(__xludf.DUMMYFUNCTION("""COMPUTED_VALUE"""),5128.0)</f>
        <v>5128</v>
      </c>
      <c r="C5133" s="13"/>
      <c r="D5133" s="13" t="str">
        <f>IFERROR(__xludf.DUMMYFUNCTION("""COMPUTED_VALUE"""),"AB036/ABSOLDWS")</f>
        <v>AB036/ABSOLDWS</v>
      </c>
      <c r="E5133" s="14"/>
      <c r="F5133" s="14"/>
      <c r="G5133" s="17" t="str">
        <f>IFERROR(__xludf.DUMMYFUNCTION("""COMPUTED_VALUE"""),"")</f>
        <v/>
      </c>
      <c r="H5133" s="14"/>
      <c r="I5133" s="13"/>
      <c r="J5133" s="17" t="str">
        <f>IFERROR(__xludf.DUMMYFUNCTION("""COMPUTED_VALUE"""),"")</f>
        <v/>
      </c>
      <c r="K5133" s="13" t="str">
        <f>IFERROR(__xludf.DUMMYFUNCTION("""COMPUTED_VALUE"""),"BT atau SU Belum Valid")</f>
        <v>BT atau SU Belum Valid</v>
      </c>
      <c r="L5133" s="13" t="str">
        <f>IFERROR(__xludf.DUMMYFUNCTION("""COMPUTED_VALUE"""),"")</f>
        <v/>
      </c>
      <c r="M5133" s="13"/>
      <c r="N5133" s="13" t="str">
        <f>IFERROR(__xludf.DUMMYFUNCTION("""COMPUTED_VALUE"""),"")</f>
        <v/>
      </c>
      <c r="O5133" s="13" t="str">
        <f t="shared" si="1"/>
        <v/>
      </c>
    </row>
    <row r="5134" ht="22.5" customHeight="1">
      <c r="B5134" s="13">
        <f>IFERROR(__xludf.DUMMYFUNCTION("""COMPUTED_VALUE"""),5129.0)</f>
        <v>5129</v>
      </c>
      <c r="C5134" s="13"/>
      <c r="D5134" s="13" t="str">
        <f>IFERROR(__xludf.DUMMYFUNCTION("""COMPUTED_VALUE"""),"AB036/ABSOLDWS")</f>
        <v>AB036/ABSOLDWS</v>
      </c>
      <c r="E5134" s="14"/>
      <c r="F5134" s="14"/>
      <c r="G5134" s="17" t="str">
        <f>IFERROR(__xludf.DUMMYFUNCTION("""COMPUTED_VALUE"""),"")</f>
        <v/>
      </c>
      <c r="H5134" s="14"/>
      <c r="I5134" s="13"/>
      <c r="J5134" s="17" t="str">
        <f>IFERROR(__xludf.DUMMYFUNCTION("""COMPUTED_VALUE"""),"")</f>
        <v/>
      </c>
      <c r="K5134" s="13" t="str">
        <f>IFERROR(__xludf.DUMMYFUNCTION("""COMPUTED_VALUE"""),"BT atau SU Belum Valid")</f>
        <v>BT atau SU Belum Valid</v>
      </c>
      <c r="L5134" s="13" t="str">
        <f>IFERROR(__xludf.DUMMYFUNCTION("""COMPUTED_VALUE"""),"")</f>
        <v/>
      </c>
      <c r="M5134" s="13"/>
      <c r="N5134" s="13" t="str">
        <f>IFERROR(__xludf.DUMMYFUNCTION("""COMPUTED_VALUE"""),"")</f>
        <v/>
      </c>
      <c r="O5134" s="13" t="str">
        <f t="shared" si="1"/>
        <v/>
      </c>
    </row>
    <row r="5135" ht="22.5" customHeight="1">
      <c r="B5135" s="13">
        <f>IFERROR(__xludf.DUMMYFUNCTION("""COMPUTED_VALUE"""),5130.0)</f>
        <v>5130</v>
      </c>
      <c r="C5135" s="13"/>
      <c r="D5135" s="13" t="str">
        <f>IFERROR(__xludf.DUMMYFUNCTION("""COMPUTED_VALUE"""),"AB036/ABSOLDWS")</f>
        <v>AB036/ABSOLDWS</v>
      </c>
      <c r="E5135" s="14"/>
      <c r="F5135" s="14"/>
      <c r="G5135" s="17" t="str">
        <f>IFERROR(__xludf.DUMMYFUNCTION("""COMPUTED_VALUE"""),"")</f>
        <v/>
      </c>
      <c r="H5135" s="14"/>
      <c r="I5135" s="13"/>
      <c r="J5135" s="17" t="str">
        <f>IFERROR(__xludf.DUMMYFUNCTION("""COMPUTED_VALUE"""),"")</f>
        <v/>
      </c>
      <c r="K5135" s="13" t="str">
        <f>IFERROR(__xludf.DUMMYFUNCTION("""COMPUTED_VALUE"""),"BT atau SU Belum Valid")</f>
        <v>BT atau SU Belum Valid</v>
      </c>
      <c r="L5135" s="13" t="str">
        <f>IFERROR(__xludf.DUMMYFUNCTION("""COMPUTED_VALUE"""),"")</f>
        <v/>
      </c>
      <c r="M5135" s="13"/>
      <c r="N5135" s="13" t="str">
        <f>IFERROR(__xludf.DUMMYFUNCTION("""COMPUTED_VALUE"""),"")</f>
        <v/>
      </c>
      <c r="O5135" s="13" t="str">
        <f t="shared" si="1"/>
        <v/>
      </c>
    </row>
    <row r="5136" ht="22.5" customHeight="1">
      <c r="B5136" s="13">
        <f>IFERROR(__xludf.DUMMYFUNCTION("""COMPUTED_VALUE"""),5131.0)</f>
        <v>5131</v>
      </c>
      <c r="C5136" s="13"/>
      <c r="D5136" s="13" t="str">
        <f>IFERROR(__xludf.DUMMYFUNCTION("""COMPUTED_VALUE"""),"AB036/ABSOLDWS")</f>
        <v>AB036/ABSOLDWS</v>
      </c>
      <c r="E5136" s="14"/>
      <c r="F5136" s="14"/>
      <c r="G5136" s="17" t="str">
        <f>IFERROR(__xludf.DUMMYFUNCTION("""COMPUTED_VALUE"""),"")</f>
        <v/>
      </c>
      <c r="H5136" s="14"/>
      <c r="I5136" s="13"/>
      <c r="J5136" s="17" t="str">
        <f>IFERROR(__xludf.DUMMYFUNCTION("""COMPUTED_VALUE"""),"")</f>
        <v/>
      </c>
      <c r="K5136" s="13" t="str">
        <f>IFERROR(__xludf.DUMMYFUNCTION("""COMPUTED_VALUE"""),"BT atau SU Belum Valid")</f>
        <v>BT atau SU Belum Valid</v>
      </c>
      <c r="L5136" s="13" t="str">
        <f>IFERROR(__xludf.DUMMYFUNCTION("""COMPUTED_VALUE"""),"")</f>
        <v/>
      </c>
      <c r="M5136" s="13"/>
      <c r="N5136" s="13" t="str">
        <f>IFERROR(__xludf.DUMMYFUNCTION("""COMPUTED_VALUE"""),"")</f>
        <v/>
      </c>
      <c r="O5136" s="13" t="str">
        <f t="shared" si="1"/>
        <v/>
      </c>
    </row>
    <row r="5137" ht="22.5" customHeight="1">
      <c r="B5137" s="13">
        <f>IFERROR(__xludf.DUMMYFUNCTION("""COMPUTED_VALUE"""),5132.0)</f>
        <v>5132</v>
      </c>
      <c r="C5137" s="13"/>
      <c r="D5137" s="13" t="str">
        <f>IFERROR(__xludf.DUMMYFUNCTION("""COMPUTED_VALUE"""),"AB036/ABSOLDWS")</f>
        <v>AB036/ABSOLDWS</v>
      </c>
      <c r="E5137" s="14"/>
      <c r="F5137" s="14"/>
      <c r="G5137" s="17" t="str">
        <f>IFERROR(__xludf.DUMMYFUNCTION("""COMPUTED_VALUE"""),"")</f>
        <v/>
      </c>
      <c r="H5137" s="14"/>
      <c r="I5137" s="13"/>
      <c r="J5137" s="17" t="str">
        <f>IFERROR(__xludf.DUMMYFUNCTION("""COMPUTED_VALUE"""),"")</f>
        <v/>
      </c>
      <c r="K5137" s="13" t="str">
        <f>IFERROR(__xludf.DUMMYFUNCTION("""COMPUTED_VALUE"""),"BT atau SU Belum Valid")</f>
        <v>BT atau SU Belum Valid</v>
      </c>
      <c r="L5137" s="13" t="str">
        <f>IFERROR(__xludf.DUMMYFUNCTION("""COMPUTED_VALUE"""),"")</f>
        <v/>
      </c>
      <c r="M5137" s="13"/>
      <c r="N5137" s="13" t="str">
        <f>IFERROR(__xludf.DUMMYFUNCTION("""COMPUTED_VALUE"""),"")</f>
        <v/>
      </c>
      <c r="O5137" s="13" t="str">
        <f t="shared" si="1"/>
        <v/>
      </c>
    </row>
    <row r="5138" ht="22.5" customHeight="1">
      <c r="B5138" s="13">
        <f>IFERROR(__xludf.DUMMYFUNCTION("""COMPUTED_VALUE"""),5133.0)</f>
        <v>5133</v>
      </c>
      <c r="C5138" s="13"/>
      <c r="D5138" s="13" t="str">
        <f>IFERROR(__xludf.DUMMYFUNCTION("""COMPUTED_VALUE"""),"AB036/ABSOLDWS")</f>
        <v>AB036/ABSOLDWS</v>
      </c>
      <c r="E5138" s="14"/>
      <c r="F5138" s="14"/>
      <c r="G5138" s="17" t="str">
        <f>IFERROR(__xludf.DUMMYFUNCTION("""COMPUTED_VALUE"""),"")</f>
        <v/>
      </c>
      <c r="H5138" s="14"/>
      <c r="I5138" s="13"/>
      <c r="J5138" s="17" t="str">
        <f>IFERROR(__xludf.DUMMYFUNCTION("""COMPUTED_VALUE"""),"")</f>
        <v/>
      </c>
      <c r="K5138" s="13" t="str">
        <f>IFERROR(__xludf.DUMMYFUNCTION("""COMPUTED_VALUE"""),"BT atau SU Belum Valid")</f>
        <v>BT atau SU Belum Valid</v>
      </c>
      <c r="L5138" s="13" t="str">
        <f>IFERROR(__xludf.DUMMYFUNCTION("""COMPUTED_VALUE"""),"")</f>
        <v/>
      </c>
      <c r="M5138" s="13"/>
      <c r="N5138" s="13" t="str">
        <f>IFERROR(__xludf.DUMMYFUNCTION("""COMPUTED_VALUE"""),"")</f>
        <v/>
      </c>
      <c r="O5138" s="13" t="str">
        <f t="shared" si="1"/>
        <v/>
      </c>
    </row>
    <row r="5139" ht="22.5" customHeight="1">
      <c r="B5139" s="13">
        <f>IFERROR(__xludf.DUMMYFUNCTION("""COMPUTED_VALUE"""),5134.0)</f>
        <v>5134</v>
      </c>
      <c r="C5139" s="13"/>
      <c r="D5139" s="13" t="str">
        <f>IFERROR(__xludf.DUMMYFUNCTION("""COMPUTED_VALUE"""),"AB036/ABSOLDWS")</f>
        <v>AB036/ABSOLDWS</v>
      </c>
      <c r="E5139" s="14"/>
      <c r="F5139" s="14"/>
      <c r="G5139" s="17" t="str">
        <f>IFERROR(__xludf.DUMMYFUNCTION("""COMPUTED_VALUE"""),"")</f>
        <v/>
      </c>
      <c r="H5139" s="14"/>
      <c r="I5139" s="13"/>
      <c r="J5139" s="17" t="str">
        <f>IFERROR(__xludf.DUMMYFUNCTION("""COMPUTED_VALUE"""),"")</f>
        <v/>
      </c>
      <c r="K5139" s="13" t="str">
        <f>IFERROR(__xludf.DUMMYFUNCTION("""COMPUTED_VALUE"""),"BT atau SU Belum Valid")</f>
        <v>BT atau SU Belum Valid</v>
      </c>
      <c r="L5139" s="13" t="str">
        <f>IFERROR(__xludf.DUMMYFUNCTION("""COMPUTED_VALUE"""),"")</f>
        <v/>
      </c>
      <c r="M5139" s="13"/>
      <c r="N5139" s="13" t="str">
        <f>IFERROR(__xludf.DUMMYFUNCTION("""COMPUTED_VALUE"""),"")</f>
        <v/>
      </c>
      <c r="O5139" s="13" t="str">
        <f t="shared" si="1"/>
        <v/>
      </c>
    </row>
    <row r="5140" ht="22.5" customHeight="1">
      <c r="B5140" s="13">
        <f>IFERROR(__xludf.DUMMYFUNCTION("""COMPUTED_VALUE"""),5135.0)</f>
        <v>5135</v>
      </c>
      <c r="C5140" s="13"/>
      <c r="D5140" s="13" t="str">
        <f>IFERROR(__xludf.DUMMYFUNCTION("""COMPUTED_VALUE"""),"AB036/ABSOLDWS")</f>
        <v>AB036/ABSOLDWS</v>
      </c>
      <c r="E5140" s="14"/>
      <c r="F5140" s="14"/>
      <c r="G5140" s="17" t="str">
        <f>IFERROR(__xludf.DUMMYFUNCTION("""COMPUTED_VALUE"""),"")</f>
        <v/>
      </c>
      <c r="H5140" s="14"/>
      <c r="I5140" s="13"/>
      <c r="J5140" s="17" t="str">
        <f>IFERROR(__xludf.DUMMYFUNCTION("""COMPUTED_VALUE"""),"")</f>
        <v/>
      </c>
      <c r="K5140" s="13" t="str">
        <f>IFERROR(__xludf.DUMMYFUNCTION("""COMPUTED_VALUE"""),"BT atau SU Belum Valid")</f>
        <v>BT atau SU Belum Valid</v>
      </c>
      <c r="L5140" s="13" t="str">
        <f>IFERROR(__xludf.DUMMYFUNCTION("""COMPUTED_VALUE"""),"")</f>
        <v/>
      </c>
      <c r="M5140" s="13"/>
      <c r="N5140" s="13" t="str">
        <f>IFERROR(__xludf.DUMMYFUNCTION("""COMPUTED_VALUE"""),"")</f>
        <v/>
      </c>
      <c r="O5140" s="13" t="str">
        <f t="shared" si="1"/>
        <v/>
      </c>
    </row>
    <row r="5141" ht="22.5" customHeight="1">
      <c r="B5141" s="13">
        <f>IFERROR(__xludf.DUMMYFUNCTION("""COMPUTED_VALUE"""),5136.0)</f>
        <v>5136</v>
      </c>
      <c r="C5141" s="13"/>
      <c r="D5141" s="13" t="str">
        <f>IFERROR(__xludf.DUMMYFUNCTION("""COMPUTED_VALUE"""),"AB036/ABSOLDWS")</f>
        <v>AB036/ABSOLDWS</v>
      </c>
      <c r="E5141" s="14"/>
      <c r="F5141" s="14"/>
      <c r="G5141" s="17" t="str">
        <f>IFERROR(__xludf.DUMMYFUNCTION("""COMPUTED_VALUE"""),"")</f>
        <v/>
      </c>
      <c r="H5141" s="14"/>
      <c r="I5141" s="13"/>
      <c r="J5141" s="17" t="str">
        <f>IFERROR(__xludf.DUMMYFUNCTION("""COMPUTED_VALUE"""),"")</f>
        <v/>
      </c>
      <c r="K5141" s="13" t="str">
        <f>IFERROR(__xludf.DUMMYFUNCTION("""COMPUTED_VALUE"""),"BT atau SU Belum Valid")</f>
        <v>BT atau SU Belum Valid</v>
      </c>
      <c r="L5141" s="13" t="str">
        <f>IFERROR(__xludf.DUMMYFUNCTION("""COMPUTED_VALUE"""),"")</f>
        <v/>
      </c>
      <c r="M5141" s="13"/>
      <c r="N5141" s="13" t="str">
        <f>IFERROR(__xludf.DUMMYFUNCTION("""COMPUTED_VALUE"""),"")</f>
        <v/>
      </c>
      <c r="O5141" s="13" t="str">
        <f t="shared" si="1"/>
        <v/>
      </c>
    </row>
    <row r="5142" ht="22.5" customHeight="1">
      <c r="B5142" s="13">
        <f>IFERROR(__xludf.DUMMYFUNCTION("""COMPUTED_VALUE"""),5137.0)</f>
        <v>5137</v>
      </c>
      <c r="C5142" s="13"/>
      <c r="D5142" s="13" t="str">
        <f>IFERROR(__xludf.DUMMYFUNCTION("""COMPUTED_VALUE"""),"AB036/ABSOLDWS")</f>
        <v>AB036/ABSOLDWS</v>
      </c>
      <c r="E5142" s="14"/>
      <c r="F5142" s="14"/>
      <c r="G5142" s="17" t="str">
        <f>IFERROR(__xludf.DUMMYFUNCTION("""COMPUTED_VALUE"""),"")</f>
        <v/>
      </c>
      <c r="H5142" s="14"/>
      <c r="I5142" s="13"/>
      <c r="J5142" s="17" t="str">
        <f>IFERROR(__xludf.DUMMYFUNCTION("""COMPUTED_VALUE"""),"")</f>
        <v/>
      </c>
      <c r="K5142" s="13" t="str">
        <f>IFERROR(__xludf.DUMMYFUNCTION("""COMPUTED_VALUE"""),"BT atau SU Belum Valid")</f>
        <v>BT atau SU Belum Valid</v>
      </c>
      <c r="L5142" s="13" t="str">
        <f>IFERROR(__xludf.DUMMYFUNCTION("""COMPUTED_VALUE"""),"")</f>
        <v/>
      </c>
      <c r="M5142" s="13"/>
      <c r="N5142" s="13" t="str">
        <f>IFERROR(__xludf.DUMMYFUNCTION("""COMPUTED_VALUE"""),"")</f>
        <v/>
      </c>
      <c r="O5142" s="13" t="str">
        <f t="shared" si="1"/>
        <v/>
      </c>
    </row>
    <row r="5143" ht="22.5" customHeight="1">
      <c r="B5143" s="13">
        <f>IFERROR(__xludf.DUMMYFUNCTION("""COMPUTED_VALUE"""),5138.0)</f>
        <v>5138</v>
      </c>
      <c r="C5143" s="13"/>
      <c r="D5143" s="13" t="str">
        <f>IFERROR(__xludf.DUMMYFUNCTION("""COMPUTED_VALUE"""),"AB036/ABSOLDWS")</f>
        <v>AB036/ABSOLDWS</v>
      </c>
      <c r="E5143" s="14"/>
      <c r="F5143" s="14"/>
      <c r="G5143" s="17" t="str">
        <f>IFERROR(__xludf.DUMMYFUNCTION("""COMPUTED_VALUE"""),"")</f>
        <v/>
      </c>
      <c r="H5143" s="14"/>
      <c r="I5143" s="13"/>
      <c r="J5143" s="17" t="str">
        <f>IFERROR(__xludf.DUMMYFUNCTION("""COMPUTED_VALUE"""),"")</f>
        <v/>
      </c>
      <c r="K5143" s="13" t="str">
        <f>IFERROR(__xludf.DUMMYFUNCTION("""COMPUTED_VALUE"""),"BT atau SU Belum Valid")</f>
        <v>BT atau SU Belum Valid</v>
      </c>
      <c r="L5143" s="13" t="str">
        <f>IFERROR(__xludf.DUMMYFUNCTION("""COMPUTED_VALUE"""),"")</f>
        <v/>
      </c>
      <c r="M5143" s="13"/>
      <c r="N5143" s="13" t="str">
        <f>IFERROR(__xludf.DUMMYFUNCTION("""COMPUTED_VALUE"""),"")</f>
        <v/>
      </c>
      <c r="O5143" s="13" t="str">
        <f t="shared" si="1"/>
        <v/>
      </c>
    </row>
    <row r="5144" ht="22.5" customHeight="1">
      <c r="B5144" s="13">
        <f>IFERROR(__xludf.DUMMYFUNCTION("""COMPUTED_VALUE"""),5139.0)</f>
        <v>5139</v>
      </c>
      <c r="C5144" s="13"/>
      <c r="D5144" s="13" t="str">
        <f>IFERROR(__xludf.DUMMYFUNCTION("""COMPUTED_VALUE"""),"AB036/ABSOLDWS")</f>
        <v>AB036/ABSOLDWS</v>
      </c>
      <c r="E5144" s="14"/>
      <c r="F5144" s="14"/>
      <c r="G5144" s="17" t="str">
        <f>IFERROR(__xludf.DUMMYFUNCTION("""COMPUTED_VALUE"""),"")</f>
        <v/>
      </c>
      <c r="H5144" s="14"/>
      <c r="I5144" s="13"/>
      <c r="J5144" s="17" t="str">
        <f>IFERROR(__xludf.DUMMYFUNCTION("""COMPUTED_VALUE"""),"")</f>
        <v/>
      </c>
      <c r="K5144" s="13" t="str">
        <f>IFERROR(__xludf.DUMMYFUNCTION("""COMPUTED_VALUE"""),"BT atau SU Belum Valid")</f>
        <v>BT atau SU Belum Valid</v>
      </c>
      <c r="L5144" s="13" t="str">
        <f>IFERROR(__xludf.DUMMYFUNCTION("""COMPUTED_VALUE"""),"")</f>
        <v/>
      </c>
      <c r="M5144" s="13"/>
      <c r="N5144" s="13" t="str">
        <f>IFERROR(__xludf.DUMMYFUNCTION("""COMPUTED_VALUE"""),"")</f>
        <v/>
      </c>
      <c r="O5144" s="13" t="str">
        <f t="shared" si="1"/>
        <v/>
      </c>
    </row>
    <row r="5145" ht="22.5" customHeight="1">
      <c r="B5145" s="13">
        <f>IFERROR(__xludf.DUMMYFUNCTION("""COMPUTED_VALUE"""),5140.0)</f>
        <v>5140</v>
      </c>
      <c r="C5145" s="13"/>
      <c r="D5145" s="13" t="str">
        <f>IFERROR(__xludf.DUMMYFUNCTION("""COMPUTED_VALUE"""),"AB036/ABSOLDWS")</f>
        <v>AB036/ABSOLDWS</v>
      </c>
      <c r="E5145" s="14"/>
      <c r="F5145" s="14"/>
      <c r="G5145" s="17" t="str">
        <f>IFERROR(__xludf.DUMMYFUNCTION("""COMPUTED_VALUE"""),"")</f>
        <v/>
      </c>
      <c r="H5145" s="14"/>
      <c r="I5145" s="13"/>
      <c r="J5145" s="17" t="str">
        <f>IFERROR(__xludf.DUMMYFUNCTION("""COMPUTED_VALUE"""),"")</f>
        <v/>
      </c>
      <c r="K5145" s="13" t="str">
        <f>IFERROR(__xludf.DUMMYFUNCTION("""COMPUTED_VALUE"""),"BT atau SU Belum Valid")</f>
        <v>BT atau SU Belum Valid</v>
      </c>
      <c r="L5145" s="13" t="str">
        <f>IFERROR(__xludf.DUMMYFUNCTION("""COMPUTED_VALUE"""),"")</f>
        <v/>
      </c>
      <c r="M5145" s="13"/>
      <c r="N5145" s="13" t="str">
        <f>IFERROR(__xludf.DUMMYFUNCTION("""COMPUTED_VALUE"""),"")</f>
        <v/>
      </c>
      <c r="O5145" s="13" t="str">
        <f t="shared" si="1"/>
        <v/>
      </c>
    </row>
    <row r="5146" ht="22.5" customHeight="1">
      <c r="B5146" s="13">
        <f>IFERROR(__xludf.DUMMYFUNCTION("""COMPUTED_VALUE"""),5141.0)</f>
        <v>5141</v>
      </c>
      <c r="C5146" s="13"/>
      <c r="D5146" s="13" t="str">
        <f>IFERROR(__xludf.DUMMYFUNCTION("""COMPUTED_VALUE"""),"AB036/ABSOLDWS")</f>
        <v>AB036/ABSOLDWS</v>
      </c>
      <c r="E5146" s="14"/>
      <c r="F5146" s="14"/>
      <c r="G5146" s="17" t="str">
        <f>IFERROR(__xludf.DUMMYFUNCTION("""COMPUTED_VALUE"""),"")</f>
        <v/>
      </c>
      <c r="H5146" s="14"/>
      <c r="I5146" s="13"/>
      <c r="J5146" s="17" t="str">
        <f>IFERROR(__xludf.DUMMYFUNCTION("""COMPUTED_VALUE"""),"")</f>
        <v/>
      </c>
      <c r="K5146" s="13" t="str">
        <f>IFERROR(__xludf.DUMMYFUNCTION("""COMPUTED_VALUE"""),"BT atau SU Belum Valid")</f>
        <v>BT atau SU Belum Valid</v>
      </c>
      <c r="L5146" s="13" t="str">
        <f>IFERROR(__xludf.DUMMYFUNCTION("""COMPUTED_VALUE"""),"")</f>
        <v/>
      </c>
      <c r="M5146" s="13"/>
      <c r="N5146" s="13" t="str">
        <f>IFERROR(__xludf.DUMMYFUNCTION("""COMPUTED_VALUE"""),"")</f>
        <v/>
      </c>
      <c r="O5146" s="13" t="str">
        <f t="shared" si="1"/>
        <v/>
      </c>
    </row>
    <row r="5147" ht="22.5" customHeight="1">
      <c r="B5147" s="13">
        <f>IFERROR(__xludf.DUMMYFUNCTION("""COMPUTED_VALUE"""),5142.0)</f>
        <v>5142</v>
      </c>
      <c r="C5147" s="13"/>
      <c r="D5147" s="13" t="str">
        <f>IFERROR(__xludf.DUMMYFUNCTION("""COMPUTED_VALUE"""),"AB036/ABSOLDWS")</f>
        <v>AB036/ABSOLDWS</v>
      </c>
      <c r="E5147" s="14"/>
      <c r="F5147" s="14"/>
      <c r="G5147" s="17" t="str">
        <f>IFERROR(__xludf.DUMMYFUNCTION("""COMPUTED_VALUE"""),"")</f>
        <v/>
      </c>
      <c r="H5147" s="14"/>
      <c r="I5147" s="13"/>
      <c r="J5147" s="17" t="str">
        <f>IFERROR(__xludf.DUMMYFUNCTION("""COMPUTED_VALUE"""),"")</f>
        <v/>
      </c>
      <c r="K5147" s="13" t="str">
        <f>IFERROR(__xludf.DUMMYFUNCTION("""COMPUTED_VALUE"""),"BT atau SU Belum Valid")</f>
        <v>BT atau SU Belum Valid</v>
      </c>
      <c r="L5147" s="13" t="str">
        <f>IFERROR(__xludf.DUMMYFUNCTION("""COMPUTED_VALUE"""),"")</f>
        <v/>
      </c>
      <c r="M5147" s="13"/>
      <c r="N5147" s="13" t="str">
        <f>IFERROR(__xludf.DUMMYFUNCTION("""COMPUTED_VALUE"""),"")</f>
        <v/>
      </c>
      <c r="O5147" s="13" t="str">
        <f t="shared" si="1"/>
        <v/>
      </c>
    </row>
    <row r="5148" ht="22.5" customHeight="1">
      <c r="B5148" s="13">
        <f>IFERROR(__xludf.DUMMYFUNCTION("""COMPUTED_VALUE"""),5143.0)</f>
        <v>5143</v>
      </c>
      <c r="C5148" s="13"/>
      <c r="D5148" s="13" t="str">
        <f>IFERROR(__xludf.DUMMYFUNCTION("""COMPUTED_VALUE"""),"AB036/ABSOLDWS")</f>
        <v>AB036/ABSOLDWS</v>
      </c>
      <c r="E5148" s="14"/>
      <c r="F5148" s="14"/>
      <c r="G5148" s="17" t="str">
        <f>IFERROR(__xludf.DUMMYFUNCTION("""COMPUTED_VALUE"""),"")</f>
        <v/>
      </c>
      <c r="H5148" s="14"/>
      <c r="I5148" s="13"/>
      <c r="J5148" s="17" t="str">
        <f>IFERROR(__xludf.DUMMYFUNCTION("""COMPUTED_VALUE"""),"")</f>
        <v/>
      </c>
      <c r="K5148" s="13" t="str">
        <f>IFERROR(__xludf.DUMMYFUNCTION("""COMPUTED_VALUE"""),"BT atau SU Belum Valid")</f>
        <v>BT atau SU Belum Valid</v>
      </c>
      <c r="L5148" s="13" t="str">
        <f>IFERROR(__xludf.DUMMYFUNCTION("""COMPUTED_VALUE"""),"")</f>
        <v/>
      </c>
      <c r="M5148" s="13"/>
      <c r="N5148" s="13" t="str">
        <f>IFERROR(__xludf.DUMMYFUNCTION("""COMPUTED_VALUE"""),"")</f>
        <v/>
      </c>
      <c r="O5148" s="13" t="str">
        <f t="shared" si="1"/>
        <v/>
      </c>
    </row>
    <row r="5149" ht="22.5" customHeight="1">
      <c r="B5149" s="13">
        <f>IFERROR(__xludf.DUMMYFUNCTION("""COMPUTED_VALUE"""),5144.0)</f>
        <v>5144</v>
      </c>
      <c r="C5149" s="13"/>
      <c r="D5149" s="13" t="str">
        <f>IFERROR(__xludf.DUMMYFUNCTION("""COMPUTED_VALUE"""),"AB036/ABSOLDWS")</f>
        <v>AB036/ABSOLDWS</v>
      </c>
      <c r="E5149" s="14"/>
      <c r="F5149" s="14"/>
      <c r="G5149" s="17" t="str">
        <f>IFERROR(__xludf.DUMMYFUNCTION("""COMPUTED_VALUE"""),"")</f>
        <v/>
      </c>
      <c r="H5149" s="14"/>
      <c r="I5149" s="13"/>
      <c r="J5149" s="17" t="str">
        <f>IFERROR(__xludf.DUMMYFUNCTION("""COMPUTED_VALUE"""),"")</f>
        <v/>
      </c>
      <c r="K5149" s="13" t="str">
        <f>IFERROR(__xludf.DUMMYFUNCTION("""COMPUTED_VALUE"""),"BT atau SU Belum Valid")</f>
        <v>BT atau SU Belum Valid</v>
      </c>
      <c r="L5149" s="13" t="str">
        <f>IFERROR(__xludf.DUMMYFUNCTION("""COMPUTED_VALUE"""),"")</f>
        <v/>
      </c>
      <c r="M5149" s="13"/>
      <c r="N5149" s="13" t="str">
        <f>IFERROR(__xludf.DUMMYFUNCTION("""COMPUTED_VALUE"""),"")</f>
        <v/>
      </c>
      <c r="O5149" s="13" t="str">
        <f t="shared" si="1"/>
        <v/>
      </c>
    </row>
    <row r="5150" ht="22.5" customHeight="1">
      <c r="B5150" s="13">
        <f>IFERROR(__xludf.DUMMYFUNCTION("""COMPUTED_VALUE"""),5145.0)</f>
        <v>5145</v>
      </c>
      <c r="C5150" s="13"/>
      <c r="D5150" s="13" t="str">
        <f>IFERROR(__xludf.DUMMYFUNCTION("""COMPUTED_VALUE"""),"AB036/ABSOLDWS")</f>
        <v>AB036/ABSOLDWS</v>
      </c>
      <c r="E5150" s="14"/>
      <c r="F5150" s="14"/>
      <c r="G5150" s="17" t="str">
        <f>IFERROR(__xludf.DUMMYFUNCTION("""COMPUTED_VALUE"""),"")</f>
        <v/>
      </c>
      <c r="H5150" s="14"/>
      <c r="I5150" s="13"/>
      <c r="J5150" s="17" t="str">
        <f>IFERROR(__xludf.DUMMYFUNCTION("""COMPUTED_VALUE"""),"")</f>
        <v/>
      </c>
      <c r="K5150" s="13" t="str">
        <f>IFERROR(__xludf.DUMMYFUNCTION("""COMPUTED_VALUE"""),"BT atau SU Belum Valid")</f>
        <v>BT atau SU Belum Valid</v>
      </c>
      <c r="L5150" s="13" t="str">
        <f>IFERROR(__xludf.DUMMYFUNCTION("""COMPUTED_VALUE"""),"")</f>
        <v/>
      </c>
      <c r="M5150" s="13"/>
      <c r="N5150" s="13" t="str">
        <f>IFERROR(__xludf.DUMMYFUNCTION("""COMPUTED_VALUE"""),"")</f>
        <v/>
      </c>
      <c r="O5150" s="13" t="str">
        <f t="shared" si="1"/>
        <v/>
      </c>
    </row>
    <row r="5151" ht="22.5" customHeight="1">
      <c r="B5151" s="13">
        <f>IFERROR(__xludf.DUMMYFUNCTION("""COMPUTED_VALUE"""),5146.0)</f>
        <v>5146</v>
      </c>
      <c r="C5151" s="13"/>
      <c r="D5151" s="13" t="str">
        <f>IFERROR(__xludf.DUMMYFUNCTION("""COMPUTED_VALUE"""),"AB036/ABSOLDWS")</f>
        <v>AB036/ABSOLDWS</v>
      </c>
      <c r="E5151" s="14"/>
      <c r="F5151" s="14"/>
      <c r="G5151" s="17" t="str">
        <f>IFERROR(__xludf.DUMMYFUNCTION("""COMPUTED_VALUE"""),"")</f>
        <v/>
      </c>
      <c r="H5151" s="14"/>
      <c r="I5151" s="13"/>
      <c r="J5151" s="17" t="str">
        <f>IFERROR(__xludf.DUMMYFUNCTION("""COMPUTED_VALUE"""),"")</f>
        <v/>
      </c>
      <c r="K5151" s="13" t="str">
        <f>IFERROR(__xludf.DUMMYFUNCTION("""COMPUTED_VALUE"""),"BT atau SU Belum Valid")</f>
        <v>BT atau SU Belum Valid</v>
      </c>
      <c r="L5151" s="13" t="str">
        <f>IFERROR(__xludf.DUMMYFUNCTION("""COMPUTED_VALUE"""),"")</f>
        <v/>
      </c>
      <c r="M5151" s="13"/>
      <c r="N5151" s="13" t="str">
        <f>IFERROR(__xludf.DUMMYFUNCTION("""COMPUTED_VALUE"""),"")</f>
        <v/>
      </c>
      <c r="O5151" s="13" t="str">
        <f t="shared" si="1"/>
        <v/>
      </c>
    </row>
    <row r="5152" ht="22.5" customHeight="1">
      <c r="B5152" s="13">
        <f>IFERROR(__xludf.DUMMYFUNCTION("""COMPUTED_VALUE"""),5147.0)</f>
        <v>5147</v>
      </c>
      <c r="C5152" s="13"/>
      <c r="D5152" s="13" t="str">
        <f>IFERROR(__xludf.DUMMYFUNCTION("""COMPUTED_VALUE"""),"AB036/ABSOLDWS")</f>
        <v>AB036/ABSOLDWS</v>
      </c>
      <c r="E5152" s="14"/>
      <c r="F5152" s="14"/>
      <c r="G5152" s="17" t="str">
        <f>IFERROR(__xludf.DUMMYFUNCTION("""COMPUTED_VALUE"""),"")</f>
        <v/>
      </c>
      <c r="H5152" s="14"/>
      <c r="I5152" s="13"/>
      <c r="J5152" s="17" t="str">
        <f>IFERROR(__xludf.DUMMYFUNCTION("""COMPUTED_VALUE"""),"")</f>
        <v/>
      </c>
      <c r="K5152" s="13" t="str">
        <f>IFERROR(__xludf.DUMMYFUNCTION("""COMPUTED_VALUE"""),"BT atau SU Belum Valid")</f>
        <v>BT atau SU Belum Valid</v>
      </c>
      <c r="L5152" s="13" t="str">
        <f>IFERROR(__xludf.DUMMYFUNCTION("""COMPUTED_VALUE"""),"")</f>
        <v/>
      </c>
      <c r="M5152" s="13"/>
      <c r="N5152" s="13" t="str">
        <f>IFERROR(__xludf.DUMMYFUNCTION("""COMPUTED_VALUE"""),"")</f>
        <v/>
      </c>
      <c r="O5152" s="13" t="str">
        <f t="shared" si="1"/>
        <v/>
      </c>
    </row>
    <row r="5153" ht="22.5" customHeight="1">
      <c r="B5153" s="13">
        <f>IFERROR(__xludf.DUMMYFUNCTION("""COMPUTED_VALUE"""),5148.0)</f>
        <v>5148</v>
      </c>
      <c r="C5153" s="13"/>
      <c r="D5153" s="13" t="str">
        <f>IFERROR(__xludf.DUMMYFUNCTION("""COMPUTED_VALUE"""),"AB036/ABSOLDWS")</f>
        <v>AB036/ABSOLDWS</v>
      </c>
      <c r="E5153" s="14"/>
      <c r="F5153" s="14"/>
      <c r="G5153" s="17" t="str">
        <f>IFERROR(__xludf.DUMMYFUNCTION("""COMPUTED_VALUE"""),"")</f>
        <v/>
      </c>
      <c r="H5153" s="14"/>
      <c r="I5153" s="13"/>
      <c r="J5153" s="17" t="str">
        <f>IFERROR(__xludf.DUMMYFUNCTION("""COMPUTED_VALUE"""),"")</f>
        <v/>
      </c>
      <c r="K5153" s="13" t="str">
        <f>IFERROR(__xludf.DUMMYFUNCTION("""COMPUTED_VALUE"""),"BT atau SU Belum Valid")</f>
        <v>BT atau SU Belum Valid</v>
      </c>
      <c r="L5153" s="13" t="str">
        <f>IFERROR(__xludf.DUMMYFUNCTION("""COMPUTED_VALUE"""),"")</f>
        <v/>
      </c>
      <c r="M5153" s="13"/>
      <c r="N5153" s="13" t="str">
        <f>IFERROR(__xludf.DUMMYFUNCTION("""COMPUTED_VALUE"""),"")</f>
        <v/>
      </c>
      <c r="O5153" s="13" t="str">
        <f t="shared" si="1"/>
        <v/>
      </c>
    </row>
    <row r="5154" ht="22.5" customHeight="1">
      <c r="B5154" s="13">
        <f>IFERROR(__xludf.DUMMYFUNCTION("""COMPUTED_VALUE"""),5149.0)</f>
        <v>5149</v>
      </c>
      <c r="C5154" s="13"/>
      <c r="D5154" s="13" t="str">
        <f>IFERROR(__xludf.DUMMYFUNCTION("""COMPUTED_VALUE"""),"AB036/ABSOLDWS")</f>
        <v>AB036/ABSOLDWS</v>
      </c>
      <c r="E5154" s="14"/>
      <c r="F5154" s="14"/>
      <c r="G5154" s="17" t="str">
        <f>IFERROR(__xludf.DUMMYFUNCTION("""COMPUTED_VALUE"""),"")</f>
        <v/>
      </c>
      <c r="H5154" s="14"/>
      <c r="I5154" s="13"/>
      <c r="J5154" s="17" t="str">
        <f>IFERROR(__xludf.DUMMYFUNCTION("""COMPUTED_VALUE"""),"")</f>
        <v/>
      </c>
      <c r="K5154" s="13" t="str">
        <f>IFERROR(__xludf.DUMMYFUNCTION("""COMPUTED_VALUE"""),"BT atau SU Belum Valid")</f>
        <v>BT atau SU Belum Valid</v>
      </c>
      <c r="L5154" s="13" t="str">
        <f>IFERROR(__xludf.DUMMYFUNCTION("""COMPUTED_VALUE"""),"")</f>
        <v/>
      </c>
      <c r="M5154" s="13"/>
      <c r="N5154" s="13" t="str">
        <f>IFERROR(__xludf.DUMMYFUNCTION("""COMPUTED_VALUE"""),"")</f>
        <v/>
      </c>
      <c r="O5154" s="13" t="str">
        <f t="shared" si="1"/>
        <v/>
      </c>
    </row>
    <row r="5155" ht="22.5" customHeight="1">
      <c r="B5155" s="13">
        <f>IFERROR(__xludf.DUMMYFUNCTION("""COMPUTED_VALUE"""),5150.0)</f>
        <v>5150</v>
      </c>
      <c r="C5155" s="13"/>
      <c r="D5155" s="13" t="str">
        <f>IFERROR(__xludf.DUMMYFUNCTION("""COMPUTED_VALUE"""),"AB036/ABSOLDWS")</f>
        <v>AB036/ABSOLDWS</v>
      </c>
      <c r="E5155" s="14"/>
      <c r="F5155" s="14"/>
      <c r="G5155" s="17" t="str">
        <f>IFERROR(__xludf.DUMMYFUNCTION("""COMPUTED_VALUE"""),"")</f>
        <v/>
      </c>
      <c r="H5155" s="14"/>
      <c r="I5155" s="13"/>
      <c r="J5155" s="17" t="str">
        <f>IFERROR(__xludf.DUMMYFUNCTION("""COMPUTED_VALUE"""),"")</f>
        <v/>
      </c>
      <c r="K5155" s="13" t="str">
        <f>IFERROR(__xludf.DUMMYFUNCTION("""COMPUTED_VALUE"""),"BT atau SU Belum Valid")</f>
        <v>BT atau SU Belum Valid</v>
      </c>
      <c r="L5155" s="13" t="str">
        <f>IFERROR(__xludf.DUMMYFUNCTION("""COMPUTED_VALUE"""),"")</f>
        <v/>
      </c>
      <c r="M5155" s="13"/>
      <c r="N5155" s="13" t="str">
        <f>IFERROR(__xludf.DUMMYFUNCTION("""COMPUTED_VALUE"""),"")</f>
        <v/>
      </c>
      <c r="O5155" s="13" t="str">
        <f t="shared" si="1"/>
        <v/>
      </c>
    </row>
    <row r="5156" ht="22.5" customHeight="1">
      <c r="B5156" s="13">
        <f>IFERROR(__xludf.DUMMYFUNCTION("""COMPUTED_VALUE"""),5151.0)</f>
        <v>5151</v>
      </c>
      <c r="C5156" s="13"/>
      <c r="D5156" s="13" t="str">
        <f>IFERROR(__xludf.DUMMYFUNCTION("""COMPUTED_VALUE"""),"AB036/ABSOLDWS")</f>
        <v>AB036/ABSOLDWS</v>
      </c>
      <c r="E5156" s="14"/>
      <c r="F5156" s="14"/>
      <c r="G5156" s="17" t="str">
        <f>IFERROR(__xludf.DUMMYFUNCTION("""COMPUTED_VALUE"""),"")</f>
        <v/>
      </c>
      <c r="H5156" s="14"/>
      <c r="I5156" s="13"/>
      <c r="J5156" s="17" t="str">
        <f>IFERROR(__xludf.DUMMYFUNCTION("""COMPUTED_VALUE"""),"")</f>
        <v/>
      </c>
      <c r="K5156" s="13" t="str">
        <f>IFERROR(__xludf.DUMMYFUNCTION("""COMPUTED_VALUE"""),"BT atau SU Belum Valid")</f>
        <v>BT atau SU Belum Valid</v>
      </c>
      <c r="L5156" s="13" t="str">
        <f>IFERROR(__xludf.DUMMYFUNCTION("""COMPUTED_VALUE"""),"")</f>
        <v/>
      </c>
      <c r="M5156" s="13"/>
      <c r="N5156" s="13" t="str">
        <f>IFERROR(__xludf.DUMMYFUNCTION("""COMPUTED_VALUE"""),"")</f>
        <v/>
      </c>
      <c r="O5156" s="13" t="str">
        <f t="shared" si="1"/>
        <v/>
      </c>
    </row>
    <row r="5157" ht="22.5" customHeight="1">
      <c r="B5157" s="13">
        <f>IFERROR(__xludf.DUMMYFUNCTION("""COMPUTED_VALUE"""),5152.0)</f>
        <v>5152</v>
      </c>
      <c r="C5157" s="13"/>
      <c r="D5157" s="13" t="str">
        <f>IFERROR(__xludf.DUMMYFUNCTION("""COMPUTED_VALUE"""),"AB036/ABSOLDWS")</f>
        <v>AB036/ABSOLDWS</v>
      </c>
      <c r="E5157" s="14"/>
      <c r="F5157" s="14"/>
      <c r="G5157" s="17" t="str">
        <f>IFERROR(__xludf.DUMMYFUNCTION("""COMPUTED_VALUE"""),"")</f>
        <v/>
      </c>
      <c r="H5157" s="14"/>
      <c r="I5157" s="13"/>
      <c r="J5157" s="17" t="str">
        <f>IFERROR(__xludf.DUMMYFUNCTION("""COMPUTED_VALUE"""),"")</f>
        <v/>
      </c>
      <c r="K5157" s="13" t="str">
        <f>IFERROR(__xludf.DUMMYFUNCTION("""COMPUTED_VALUE"""),"BT atau SU Belum Valid")</f>
        <v>BT atau SU Belum Valid</v>
      </c>
      <c r="L5157" s="13" t="str">
        <f>IFERROR(__xludf.DUMMYFUNCTION("""COMPUTED_VALUE"""),"")</f>
        <v/>
      </c>
      <c r="M5157" s="13"/>
      <c r="N5157" s="13" t="str">
        <f>IFERROR(__xludf.DUMMYFUNCTION("""COMPUTED_VALUE"""),"")</f>
        <v/>
      </c>
      <c r="O5157" s="13" t="str">
        <f t="shared" si="1"/>
        <v/>
      </c>
    </row>
    <row r="5158" ht="22.5" customHeight="1">
      <c r="B5158" s="13">
        <f>IFERROR(__xludf.DUMMYFUNCTION("""COMPUTED_VALUE"""),5153.0)</f>
        <v>5153</v>
      </c>
      <c r="C5158" s="13"/>
      <c r="D5158" s="13" t="str">
        <f>IFERROR(__xludf.DUMMYFUNCTION("""COMPUTED_VALUE"""),"AB036/ABSOLDWS")</f>
        <v>AB036/ABSOLDWS</v>
      </c>
      <c r="E5158" s="14"/>
      <c r="F5158" s="14"/>
      <c r="G5158" s="17" t="str">
        <f>IFERROR(__xludf.DUMMYFUNCTION("""COMPUTED_VALUE"""),"")</f>
        <v/>
      </c>
      <c r="H5158" s="14"/>
      <c r="I5158" s="13"/>
      <c r="J5158" s="17" t="str">
        <f>IFERROR(__xludf.DUMMYFUNCTION("""COMPUTED_VALUE"""),"")</f>
        <v/>
      </c>
      <c r="K5158" s="13" t="str">
        <f>IFERROR(__xludf.DUMMYFUNCTION("""COMPUTED_VALUE"""),"BT atau SU Belum Valid")</f>
        <v>BT atau SU Belum Valid</v>
      </c>
      <c r="L5158" s="13" t="str">
        <f>IFERROR(__xludf.DUMMYFUNCTION("""COMPUTED_VALUE"""),"")</f>
        <v/>
      </c>
      <c r="M5158" s="13"/>
      <c r="N5158" s="13" t="str">
        <f>IFERROR(__xludf.DUMMYFUNCTION("""COMPUTED_VALUE"""),"")</f>
        <v/>
      </c>
      <c r="O5158" s="13" t="str">
        <f t="shared" si="1"/>
        <v/>
      </c>
    </row>
    <row r="5159" ht="22.5" customHeight="1">
      <c r="B5159" s="13">
        <f>IFERROR(__xludf.DUMMYFUNCTION("""COMPUTED_VALUE"""),5154.0)</f>
        <v>5154</v>
      </c>
      <c r="C5159" s="13"/>
      <c r="D5159" s="13" t="str">
        <f>IFERROR(__xludf.DUMMYFUNCTION("""COMPUTED_VALUE"""),"AB036/ABSOLDWS")</f>
        <v>AB036/ABSOLDWS</v>
      </c>
      <c r="E5159" s="14"/>
      <c r="F5159" s="14"/>
      <c r="G5159" s="17" t="str">
        <f>IFERROR(__xludf.DUMMYFUNCTION("""COMPUTED_VALUE"""),"")</f>
        <v/>
      </c>
      <c r="H5159" s="14"/>
      <c r="I5159" s="13"/>
      <c r="J5159" s="17" t="str">
        <f>IFERROR(__xludf.DUMMYFUNCTION("""COMPUTED_VALUE"""),"")</f>
        <v/>
      </c>
      <c r="K5159" s="13" t="str">
        <f>IFERROR(__xludf.DUMMYFUNCTION("""COMPUTED_VALUE"""),"BT atau SU Belum Valid")</f>
        <v>BT atau SU Belum Valid</v>
      </c>
      <c r="L5159" s="13" t="str">
        <f>IFERROR(__xludf.DUMMYFUNCTION("""COMPUTED_VALUE"""),"")</f>
        <v/>
      </c>
      <c r="M5159" s="13"/>
      <c r="N5159" s="13" t="str">
        <f>IFERROR(__xludf.DUMMYFUNCTION("""COMPUTED_VALUE"""),"")</f>
        <v/>
      </c>
      <c r="O5159" s="13" t="str">
        <f t="shared" si="1"/>
        <v/>
      </c>
    </row>
    <row r="5160" ht="22.5" customHeight="1">
      <c r="B5160" s="13">
        <f>IFERROR(__xludf.DUMMYFUNCTION("""COMPUTED_VALUE"""),5155.0)</f>
        <v>5155</v>
      </c>
      <c r="C5160" s="13"/>
      <c r="D5160" s="13" t="str">
        <f>IFERROR(__xludf.DUMMYFUNCTION("""COMPUTED_VALUE"""),"AB036/ABSOLDWS")</f>
        <v>AB036/ABSOLDWS</v>
      </c>
      <c r="E5160" s="14"/>
      <c r="F5160" s="14"/>
      <c r="G5160" s="17" t="str">
        <f>IFERROR(__xludf.DUMMYFUNCTION("""COMPUTED_VALUE"""),"")</f>
        <v/>
      </c>
      <c r="H5160" s="14"/>
      <c r="I5160" s="13"/>
      <c r="J5160" s="17" t="str">
        <f>IFERROR(__xludf.DUMMYFUNCTION("""COMPUTED_VALUE"""),"")</f>
        <v/>
      </c>
      <c r="K5160" s="13" t="str">
        <f>IFERROR(__xludf.DUMMYFUNCTION("""COMPUTED_VALUE"""),"BT atau SU Belum Valid")</f>
        <v>BT atau SU Belum Valid</v>
      </c>
      <c r="L5160" s="13" t="str">
        <f>IFERROR(__xludf.DUMMYFUNCTION("""COMPUTED_VALUE"""),"")</f>
        <v/>
      </c>
      <c r="M5160" s="13"/>
      <c r="N5160" s="13" t="str">
        <f>IFERROR(__xludf.DUMMYFUNCTION("""COMPUTED_VALUE"""),"")</f>
        <v/>
      </c>
      <c r="O5160" s="13" t="str">
        <f t="shared" si="1"/>
        <v/>
      </c>
    </row>
    <row r="5161" ht="22.5" customHeight="1">
      <c r="B5161" s="13">
        <f>IFERROR(__xludf.DUMMYFUNCTION("""COMPUTED_VALUE"""),5156.0)</f>
        <v>5156</v>
      </c>
      <c r="C5161" s="13"/>
      <c r="D5161" s="13" t="str">
        <f>IFERROR(__xludf.DUMMYFUNCTION("""COMPUTED_VALUE"""),"AB036/ABSOLDWS")</f>
        <v>AB036/ABSOLDWS</v>
      </c>
      <c r="E5161" s="14"/>
      <c r="F5161" s="14"/>
      <c r="G5161" s="17" t="str">
        <f>IFERROR(__xludf.DUMMYFUNCTION("""COMPUTED_VALUE"""),"")</f>
        <v/>
      </c>
      <c r="H5161" s="14"/>
      <c r="I5161" s="13"/>
      <c r="J5161" s="17" t="str">
        <f>IFERROR(__xludf.DUMMYFUNCTION("""COMPUTED_VALUE"""),"")</f>
        <v/>
      </c>
      <c r="K5161" s="13" t="str">
        <f>IFERROR(__xludf.DUMMYFUNCTION("""COMPUTED_VALUE"""),"BT atau SU Belum Valid")</f>
        <v>BT atau SU Belum Valid</v>
      </c>
      <c r="L5161" s="13" t="str">
        <f>IFERROR(__xludf.DUMMYFUNCTION("""COMPUTED_VALUE"""),"")</f>
        <v/>
      </c>
      <c r="M5161" s="13"/>
      <c r="N5161" s="13" t="str">
        <f>IFERROR(__xludf.DUMMYFUNCTION("""COMPUTED_VALUE"""),"")</f>
        <v/>
      </c>
      <c r="O5161" s="13" t="str">
        <f t="shared" si="1"/>
        <v/>
      </c>
    </row>
    <row r="5162" ht="22.5" customHeight="1">
      <c r="B5162" s="13">
        <f>IFERROR(__xludf.DUMMYFUNCTION("""COMPUTED_VALUE"""),5157.0)</f>
        <v>5157</v>
      </c>
      <c r="C5162" s="13"/>
      <c r="D5162" s="13" t="str">
        <f>IFERROR(__xludf.DUMMYFUNCTION("""COMPUTED_VALUE"""),"AB036/ABSOLDWS")</f>
        <v>AB036/ABSOLDWS</v>
      </c>
      <c r="E5162" s="14"/>
      <c r="F5162" s="14"/>
      <c r="G5162" s="17" t="str">
        <f>IFERROR(__xludf.DUMMYFUNCTION("""COMPUTED_VALUE"""),"")</f>
        <v/>
      </c>
      <c r="H5162" s="14"/>
      <c r="I5162" s="13"/>
      <c r="J5162" s="17" t="str">
        <f>IFERROR(__xludf.DUMMYFUNCTION("""COMPUTED_VALUE"""),"")</f>
        <v/>
      </c>
      <c r="K5162" s="13" t="str">
        <f>IFERROR(__xludf.DUMMYFUNCTION("""COMPUTED_VALUE"""),"BT atau SU Belum Valid")</f>
        <v>BT atau SU Belum Valid</v>
      </c>
      <c r="L5162" s="13" t="str">
        <f>IFERROR(__xludf.DUMMYFUNCTION("""COMPUTED_VALUE"""),"")</f>
        <v/>
      </c>
      <c r="M5162" s="13"/>
      <c r="N5162" s="13" t="str">
        <f>IFERROR(__xludf.DUMMYFUNCTION("""COMPUTED_VALUE"""),"")</f>
        <v/>
      </c>
      <c r="O5162" s="13" t="str">
        <f t="shared" si="1"/>
        <v/>
      </c>
    </row>
    <row r="5163" ht="22.5" customHeight="1">
      <c r="B5163" s="13">
        <f>IFERROR(__xludf.DUMMYFUNCTION("""COMPUTED_VALUE"""),5158.0)</f>
        <v>5158</v>
      </c>
      <c r="C5163" s="13"/>
      <c r="D5163" s="13" t="str">
        <f>IFERROR(__xludf.DUMMYFUNCTION("""COMPUTED_VALUE"""),"AB036/ABSOLDWS")</f>
        <v>AB036/ABSOLDWS</v>
      </c>
      <c r="E5163" s="14"/>
      <c r="F5163" s="14"/>
      <c r="G5163" s="17" t="str">
        <f>IFERROR(__xludf.DUMMYFUNCTION("""COMPUTED_VALUE"""),"")</f>
        <v/>
      </c>
      <c r="H5163" s="14"/>
      <c r="I5163" s="13"/>
      <c r="J5163" s="17" t="str">
        <f>IFERROR(__xludf.DUMMYFUNCTION("""COMPUTED_VALUE"""),"")</f>
        <v/>
      </c>
      <c r="K5163" s="13" t="str">
        <f>IFERROR(__xludf.DUMMYFUNCTION("""COMPUTED_VALUE"""),"BT atau SU Belum Valid")</f>
        <v>BT atau SU Belum Valid</v>
      </c>
      <c r="L5163" s="13" t="str">
        <f>IFERROR(__xludf.DUMMYFUNCTION("""COMPUTED_VALUE"""),"")</f>
        <v/>
      </c>
      <c r="M5163" s="13"/>
      <c r="N5163" s="13" t="str">
        <f>IFERROR(__xludf.DUMMYFUNCTION("""COMPUTED_VALUE"""),"")</f>
        <v/>
      </c>
      <c r="O5163" s="13" t="str">
        <f t="shared" si="1"/>
        <v/>
      </c>
    </row>
    <row r="5164" ht="22.5" customHeight="1">
      <c r="B5164" s="13">
        <f>IFERROR(__xludf.DUMMYFUNCTION("""COMPUTED_VALUE"""),5159.0)</f>
        <v>5159</v>
      </c>
      <c r="C5164" s="13"/>
      <c r="D5164" s="13" t="str">
        <f>IFERROR(__xludf.DUMMYFUNCTION("""COMPUTED_VALUE"""),"AB036/ABSOLDWS")</f>
        <v>AB036/ABSOLDWS</v>
      </c>
      <c r="E5164" s="14"/>
      <c r="F5164" s="14"/>
      <c r="G5164" s="17" t="str">
        <f>IFERROR(__xludf.DUMMYFUNCTION("""COMPUTED_VALUE"""),"")</f>
        <v/>
      </c>
      <c r="H5164" s="14"/>
      <c r="I5164" s="13"/>
      <c r="J5164" s="17" t="str">
        <f>IFERROR(__xludf.DUMMYFUNCTION("""COMPUTED_VALUE"""),"")</f>
        <v/>
      </c>
      <c r="K5164" s="13" t="str">
        <f>IFERROR(__xludf.DUMMYFUNCTION("""COMPUTED_VALUE"""),"BT atau SU Belum Valid")</f>
        <v>BT atau SU Belum Valid</v>
      </c>
      <c r="L5164" s="13" t="str">
        <f>IFERROR(__xludf.DUMMYFUNCTION("""COMPUTED_VALUE"""),"")</f>
        <v/>
      </c>
      <c r="M5164" s="13"/>
      <c r="N5164" s="13" t="str">
        <f>IFERROR(__xludf.DUMMYFUNCTION("""COMPUTED_VALUE"""),"")</f>
        <v/>
      </c>
      <c r="O5164" s="13" t="str">
        <f t="shared" si="1"/>
        <v/>
      </c>
    </row>
    <row r="5165" ht="22.5" customHeight="1">
      <c r="B5165" s="13">
        <f>IFERROR(__xludf.DUMMYFUNCTION("""COMPUTED_VALUE"""),5160.0)</f>
        <v>5160</v>
      </c>
      <c r="C5165" s="13"/>
      <c r="D5165" s="13" t="str">
        <f>IFERROR(__xludf.DUMMYFUNCTION("""COMPUTED_VALUE"""),"AB036/ABSOLDWS")</f>
        <v>AB036/ABSOLDWS</v>
      </c>
      <c r="E5165" s="14"/>
      <c r="F5165" s="14"/>
      <c r="G5165" s="17" t="str">
        <f>IFERROR(__xludf.DUMMYFUNCTION("""COMPUTED_VALUE"""),"")</f>
        <v/>
      </c>
      <c r="H5165" s="14"/>
      <c r="I5165" s="13"/>
      <c r="J5165" s="17" t="str">
        <f>IFERROR(__xludf.DUMMYFUNCTION("""COMPUTED_VALUE"""),"")</f>
        <v/>
      </c>
      <c r="K5165" s="13" t="str">
        <f>IFERROR(__xludf.DUMMYFUNCTION("""COMPUTED_VALUE"""),"BT atau SU Belum Valid")</f>
        <v>BT atau SU Belum Valid</v>
      </c>
      <c r="L5165" s="13" t="str">
        <f>IFERROR(__xludf.DUMMYFUNCTION("""COMPUTED_VALUE"""),"")</f>
        <v/>
      </c>
      <c r="M5165" s="13"/>
      <c r="N5165" s="13" t="str">
        <f>IFERROR(__xludf.DUMMYFUNCTION("""COMPUTED_VALUE"""),"")</f>
        <v/>
      </c>
      <c r="O5165" s="13" t="str">
        <f t="shared" si="1"/>
        <v/>
      </c>
    </row>
    <row r="5166" ht="22.5" customHeight="1">
      <c r="B5166" s="13">
        <f>IFERROR(__xludf.DUMMYFUNCTION("""COMPUTED_VALUE"""),5161.0)</f>
        <v>5161</v>
      </c>
      <c r="C5166" s="13"/>
      <c r="D5166" s="13" t="str">
        <f>IFERROR(__xludf.DUMMYFUNCTION("""COMPUTED_VALUE"""),"AB036/ABSOLDWS")</f>
        <v>AB036/ABSOLDWS</v>
      </c>
      <c r="E5166" s="14"/>
      <c r="F5166" s="14"/>
      <c r="G5166" s="17" t="str">
        <f>IFERROR(__xludf.DUMMYFUNCTION("""COMPUTED_VALUE"""),"")</f>
        <v/>
      </c>
      <c r="H5166" s="14"/>
      <c r="I5166" s="13"/>
      <c r="J5166" s="17" t="str">
        <f>IFERROR(__xludf.DUMMYFUNCTION("""COMPUTED_VALUE"""),"")</f>
        <v/>
      </c>
      <c r="K5166" s="13" t="str">
        <f>IFERROR(__xludf.DUMMYFUNCTION("""COMPUTED_VALUE"""),"BT atau SU Belum Valid")</f>
        <v>BT atau SU Belum Valid</v>
      </c>
      <c r="L5166" s="13" t="str">
        <f>IFERROR(__xludf.DUMMYFUNCTION("""COMPUTED_VALUE"""),"")</f>
        <v/>
      </c>
      <c r="M5166" s="13"/>
      <c r="N5166" s="13" t="str">
        <f>IFERROR(__xludf.DUMMYFUNCTION("""COMPUTED_VALUE"""),"")</f>
        <v/>
      </c>
      <c r="O5166" s="13" t="str">
        <f t="shared" si="1"/>
        <v/>
      </c>
    </row>
    <row r="5167" ht="22.5" customHeight="1">
      <c r="B5167" s="13">
        <f>IFERROR(__xludf.DUMMYFUNCTION("""COMPUTED_VALUE"""),5162.0)</f>
        <v>5162</v>
      </c>
      <c r="C5167" s="13"/>
      <c r="D5167" s="13" t="str">
        <f>IFERROR(__xludf.DUMMYFUNCTION("""COMPUTED_VALUE"""),"AB036/ABSOLDWS")</f>
        <v>AB036/ABSOLDWS</v>
      </c>
      <c r="E5167" s="14"/>
      <c r="F5167" s="14"/>
      <c r="G5167" s="17" t="str">
        <f>IFERROR(__xludf.DUMMYFUNCTION("""COMPUTED_VALUE"""),"")</f>
        <v/>
      </c>
      <c r="H5167" s="14"/>
      <c r="I5167" s="13"/>
      <c r="J5167" s="17" t="str">
        <f>IFERROR(__xludf.DUMMYFUNCTION("""COMPUTED_VALUE"""),"")</f>
        <v/>
      </c>
      <c r="K5167" s="13" t="str">
        <f>IFERROR(__xludf.DUMMYFUNCTION("""COMPUTED_VALUE"""),"BT atau SU Belum Valid")</f>
        <v>BT atau SU Belum Valid</v>
      </c>
      <c r="L5167" s="13" t="str">
        <f>IFERROR(__xludf.DUMMYFUNCTION("""COMPUTED_VALUE"""),"")</f>
        <v/>
      </c>
      <c r="M5167" s="13"/>
      <c r="N5167" s="13" t="str">
        <f>IFERROR(__xludf.DUMMYFUNCTION("""COMPUTED_VALUE"""),"")</f>
        <v/>
      </c>
      <c r="O5167" s="13" t="str">
        <f t="shared" si="1"/>
        <v/>
      </c>
    </row>
    <row r="5168" ht="22.5" customHeight="1">
      <c r="B5168" s="13">
        <f>IFERROR(__xludf.DUMMYFUNCTION("""COMPUTED_VALUE"""),5163.0)</f>
        <v>5163</v>
      </c>
      <c r="C5168" s="13"/>
      <c r="D5168" s="13" t="str">
        <f>IFERROR(__xludf.DUMMYFUNCTION("""COMPUTED_VALUE"""),"AB036/ABSOLDWS")</f>
        <v>AB036/ABSOLDWS</v>
      </c>
      <c r="E5168" s="14"/>
      <c r="F5168" s="14"/>
      <c r="G5168" s="17" t="str">
        <f>IFERROR(__xludf.DUMMYFUNCTION("""COMPUTED_VALUE"""),"")</f>
        <v/>
      </c>
      <c r="H5168" s="14"/>
      <c r="I5168" s="13"/>
      <c r="J5168" s="17" t="str">
        <f>IFERROR(__xludf.DUMMYFUNCTION("""COMPUTED_VALUE"""),"")</f>
        <v/>
      </c>
      <c r="K5168" s="13" t="str">
        <f>IFERROR(__xludf.DUMMYFUNCTION("""COMPUTED_VALUE"""),"BT atau SU Belum Valid")</f>
        <v>BT atau SU Belum Valid</v>
      </c>
      <c r="L5168" s="13" t="str">
        <f>IFERROR(__xludf.DUMMYFUNCTION("""COMPUTED_VALUE"""),"")</f>
        <v/>
      </c>
      <c r="M5168" s="13"/>
      <c r="N5168" s="13" t="str">
        <f>IFERROR(__xludf.DUMMYFUNCTION("""COMPUTED_VALUE"""),"")</f>
        <v/>
      </c>
      <c r="O5168" s="13" t="str">
        <f t="shared" si="1"/>
        <v/>
      </c>
    </row>
    <row r="5169" ht="22.5" customHeight="1">
      <c r="B5169" s="13">
        <f>IFERROR(__xludf.DUMMYFUNCTION("""COMPUTED_VALUE"""),5164.0)</f>
        <v>5164</v>
      </c>
      <c r="C5169" s="13"/>
      <c r="D5169" s="13" t="str">
        <f>IFERROR(__xludf.DUMMYFUNCTION("""COMPUTED_VALUE"""),"AB036/ABSOLDWS")</f>
        <v>AB036/ABSOLDWS</v>
      </c>
      <c r="E5169" s="14"/>
      <c r="F5169" s="14"/>
      <c r="G5169" s="17" t="str">
        <f>IFERROR(__xludf.DUMMYFUNCTION("""COMPUTED_VALUE"""),"")</f>
        <v/>
      </c>
      <c r="H5169" s="14"/>
      <c r="I5169" s="13"/>
      <c r="J5169" s="17" t="str">
        <f>IFERROR(__xludf.DUMMYFUNCTION("""COMPUTED_VALUE"""),"")</f>
        <v/>
      </c>
      <c r="K5169" s="13" t="str">
        <f>IFERROR(__xludf.DUMMYFUNCTION("""COMPUTED_VALUE"""),"BT atau SU Belum Valid")</f>
        <v>BT atau SU Belum Valid</v>
      </c>
      <c r="L5169" s="13" t="str">
        <f>IFERROR(__xludf.DUMMYFUNCTION("""COMPUTED_VALUE"""),"")</f>
        <v/>
      </c>
      <c r="M5169" s="13"/>
      <c r="N5169" s="13" t="str">
        <f>IFERROR(__xludf.DUMMYFUNCTION("""COMPUTED_VALUE"""),"")</f>
        <v/>
      </c>
      <c r="O5169" s="13" t="str">
        <f t="shared" si="1"/>
        <v/>
      </c>
    </row>
    <row r="5170" ht="22.5" customHeight="1">
      <c r="B5170" s="13">
        <f>IFERROR(__xludf.DUMMYFUNCTION("""COMPUTED_VALUE"""),5165.0)</f>
        <v>5165</v>
      </c>
      <c r="C5170" s="13"/>
      <c r="D5170" s="13" t="str">
        <f>IFERROR(__xludf.DUMMYFUNCTION("""COMPUTED_VALUE"""),"AB036/ABSOLDWS")</f>
        <v>AB036/ABSOLDWS</v>
      </c>
      <c r="E5170" s="14"/>
      <c r="F5170" s="14"/>
      <c r="G5170" s="17" t="str">
        <f>IFERROR(__xludf.DUMMYFUNCTION("""COMPUTED_VALUE"""),"")</f>
        <v/>
      </c>
      <c r="H5170" s="14"/>
      <c r="I5170" s="13"/>
      <c r="J5170" s="17" t="str">
        <f>IFERROR(__xludf.DUMMYFUNCTION("""COMPUTED_VALUE"""),"")</f>
        <v/>
      </c>
      <c r="K5170" s="13" t="str">
        <f>IFERROR(__xludf.DUMMYFUNCTION("""COMPUTED_VALUE"""),"BT atau SU Belum Valid")</f>
        <v>BT atau SU Belum Valid</v>
      </c>
      <c r="L5170" s="13" t="str">
        <f>IFERROR(__xludf.DUMMYFUNCTION("""COMPUTED_VALUE"""),"")</f>
        <v/>
      </c>
      <c r="M5170" s="13"/>
      <c r="N5170" s="13" t="str">
        <f>IFERROR(__xludf.DUMMYFUNCTION("""COMPUTED_VALUE"""),"")</f>
        <v/>
      </c>
      <c r="O5170" s="13" t="str">
        <f t="shared" si="1"/>
        <v/>
      </c>
    </row>
    <row r="5171" ht="22.5" customHeight="1">
      <c r="B5171" s="13">
        <f>IFERROR(__xludf.DUMMYFUNCTION("""COMPUTED_VALUE"""),5166.0)</f>
        <v>5166</v>
      </c>
      <c r="C5171" s="13"/>
      <c r="D5171" s="13" t="str">
        <f>IFERROR(__xludf.DUMMYFUNCTION("""COMPUTED_VALUE"""),"AB036/ABSOLDWS")</f>
        <v>AB036/ABSOLDWS</v>
      </c>
      <c r="E5171" s="14"/>
      <c r="F5171" s="14"/>
      <c r="G5171" s="17" t="str">
        <f>IFERROR(__xludf.DUMMYFUNCTION("""COMPUTED_VALUE"""),"")</f>
        <v/>
      </c>
      <c r="H5171" s="14"/>
      <c r="I5171" s="13"/>
      <c r="J5171" s="17" t="str">
        <f>IFERROR(__xludf.DUMMYFUNCTION("""COMPUTED_VALUE"""),"")</f>
        <v/>
      </c>
      <c r="K5171" s="13" t="str">
        <f>IFERROR(__xludf.DUMMYFUNCTION("""COMPUTED_VALUE"""),"BT atau SU Belum Valid")</f>
        <v>BT atau SU Belum Valid</v>
      </c>
      <c r="L5171" s="13" t="str">
        <f>IFERROR(__xludf.DUMMYFUNCTION("""COMPUTED_VALUE"""),"")</f>
        <v/>
      </c>
      <c r="M5171" s="13"/>
      <c r="N5171" s="13" t="str">
        <f>IFERROR(__xludf.DUMMYFUNCTION("""COMPUTED_VALUE"""),"")</f>
        <v/>
      </c>
      <c r="O5171" s="13" t="str">
        <f t="shared" si="1"/>
        <v/>
      </c>
    </row>
    <row r="5172" ht="22.5" customHeight="1">
      <c r="B5172" s="13">
        <f>IFERROR(__xludf.DUMMYFUNCTION("""COMPUTED_VALUE"""),5167.0)</f>
        <v>5167</v>
      </c>
      <c r="C5172" s="13"/>
      <c r="D5172" s="13" t="str">
        <f>IFERROR(__xludf.DUMMYFUNCTION("""COMPUTED_VALUE"""),"AB036/ABSOLDWS")</f>
        <v>AB036/ABSOLDWS</v>
      </c>
      <c r="E5172" s="14"/>
      <c r="F5172" s="14"/>
      <c r="G5172" s="17" t="str">
        <f>IFERROR(__xludf.DUMMYFUNCTION("""COMPUTED_VALUE"""),"")</f>
        <v/>
      </c>
      <c r="H5172" s="14"/>
      <c r="I5172" s="13"/>
      <c r="J5172" s="17" t="str">
        <f>IFERROR(__xludf.DUMMYFUNCTION("""COMPUTED_VALUE"""),"")</f>
        <v/>
      </c>
      <c r="K5172" s="13" t="str">
        <f>IFERROR(__xludf.DUMMYFUNCTION("""COMPUTED_VALUE"""),"BT atau SU Belum Valid")</f>
        <v>BT atau SU Belum Valid</v>
      </c>
      <c r="L5172" s="13" t="str">
        <f>IFERROR(__xludf.DUMMYFUNCTION("""COMPUTED_VALUE"""),"")</f>
        <v/>
      </c>
      <c r="M5172" s="13"/>
      <c r="N5172" s="13" t="str">
        <f>IFERROR(__xludf.DUMMYFUNCTION("""COMPUTED_VALUE"""),"")</f>
        <v/>
      </c>
      <c r="O5172" s="13" t="str">
        <f t="shared" si="1"/>
        <v/>
      </c>
    </row>
    <row r="5173" ht="22.5" customHeight="1">
      <c r="B5173" s="13">
        <f>IFERROR(__xludf.DUMMYFUNCTION("""COMPUTED_VALUE"""),5168.0)</f>
        <v>5168</v>
      </c>
      <c r="C5173" s="13"/>
      <c r="D5173" s="13" t="str">
        <f>IFERROR(__xludf.DUMMYFUNCTION("""COMPUTED_VALUE"""),"AB036/ABSOLDWS")</f>
        <v>AB036/ABSOLDWS</v>
      </c>
      <c r="E5173" s="14"/>
      <c r="F5173" s="14"/>
      <c r="G5173" s="17" t="str">
        <f>IFERROR(__xludf.DUMMYFUNCTION("""COMPUTED_VALUE"""),"")</f>
        <v/>
      </c>
      <c r="H5173" s="14"/>
      <c r="I5173" s="13"/>
      <c r="J5173" s="17" t="str">
        <f>IFERROR(__xludf.DUMMYFUNCTION("""COMPUTED_VALUE"""),"")</f>
        <v/>
      </c>
      <c r="K5173" s="13" t="str">
        <f>IFERROR(__xludf.DUMMYFUNCTION("""COMPUTED_VALUE"""),"BT atau SU Belum Valid")</f>
        <v>BT atau SU Belum Valid</v>
      </c>
      <c r="L5173" s="13" t="str">
        <f>IFERROR(__xludf.DUMMYFUNCTION("""COMPUTED_VALUE"""),"")</f>
        <v/>
      </c>
      <c r="M5173" s="13"/>
      <c r="N5173" s="13" t="str">
        <f>IFERROR(__xludf.DUMMYFUNCTION("""COMPUTED_VALUE"""),"")</f>
        <v/>
      </c>
      <c r="O5173" s="13" t="str">
        <f t="shared" si="1"/>
        <v/>
      </c>
    </row>
    <row r="5174" ht="22.5" customHeight="1">
      <c r="B5174" s="13">
        <f>IFERROR(__xludf.DUMMYFUNCTION("""COMPUTED_VALUE"""),5169.0)</f>
        <v>5169</v>
      </c>
      <c r="C5174" s="13"/>
      <c r="D5174" s="13" t="str">
        <f>IFERROR(__xludf.DUMMYFUNCTION("""COMPUTED_VALUE"""),"AB036/ABSOLDWS")</f>
        <v>AB036/ABSOLDWS</v>
      </c>
      <c r="E5174" s="14"/>
      <c r="F5174" s="14"/>
      <c r="G5174" s="17" t="str">
        <f>IFERROR(__xludf.DUMMYFUNCTION("""COMPUTED_VALUE"""),"")</f>
        <v/>
      </c>
      <c r="H5174" s="14"/>
      <c r="I5174" s="13"/>
      <c r="J5174" s="17" t="str">
        <f>IFERROR(__xludf.DUMMYFUNCTION("""COMPUTED_VALUE"""),"")</f>
        <v/>
      </c>
      <c r="K5174" s="13" t="str">
        <f>IFERROR(__xludf.DUMMYFUNCTION("""COMPUTED_VALUE"""),"BT atau SU Belum Valid")</f>
        <v>BT atau SU Belum Valid</v>
      </c>
      <c r="L5174" s="13" t="str">
        <f>IFERROR(__xludf.DUMMYFUNCTION("""COMPUTED_VALUE"""),"")</f>
        <v/>
      </c>
      <c r="M5174" s="13"/>
      <c r="N5174" s="13" t="str">
        <f>IFERROR(__xludf.DUMMYFUNCTION("""COMPUTED_VALUE"""),"")</f>
        <v/>
      </c>
      <c r="O5174" s="13" t="str">
        <f t="shared" si="1"/>
        <v/>
      </c>
    </row>
    <row r="5175" ht="22.5" customHeight="1">
      <c r="B5175" s="13">
        <f>IFERROR(__xludf.DUMMYFUNCTION("""COMPUTED_VALUE"""),5170.0)</f>
        <v>5170</v>
      </c>
      <c r="C5175" s="13"/>
      <c r="D5175" s="13" t="str">
        <f>IFERROR(__xludf.DUMMYFUNCTION("""COMPUTED_VALUE"""),"AB036/ABSOLDWS")</f>
        <v>AB036/ABSOLDWS</v>
      </c>
      <c r="E5175" s="14"/>
      <c r="F5175" s="14"/>
      <c r="G5175" s="17" t="str">
        <f>IFERROR(__xludf.DUMMYFUNCTION("""COMPUTED_VALUE"""),"")</f>
        <v/>
      </c>
      <c r="H5175" s="14"/>
      <c r="I5175" s="13"/>
      <c r="J5175" s="17" t="str">
        <f>IFERROR(__xludf.DUMMYFUNCTION("""COMPUTED_VALUE"""),"")</f>
        <v/>
      </c>
      <c r="K5175" s="13" t="str">
        <f>IFERROR(__xludf.DUMMYFUNCTION("""COMPUTED_VALUE"""),"BT atau SU Belum Valid")</f>
        <v>BT atau SU Belum Valid</v>
      </c>
      <c r="L5175" s="13" t="str">
        <f>IFERROR(__xludf.DUMMYFUNCTION("""COMPUTED_VALUE"""),"")</f>
        <v/>
      </c>
      <c r="M5175" s="13"/>
      <c r="N5175" s="13" t="str">
        <f>IFERROR(__xludf.DUMMYFUNCTION("""COMPUTED_VALUE"""),"")</f>
        <v/>
      </c>
      <c r="O5175" s="13" t="str">
        <f t="shared" si="1"/>
        <v/>
      </c>
    </row>
    <row r="5176" ht="22.5" customHeight="1">
      <c r="B5176" s="13">
        <f>IFERROR(__xludf.DUMMYFUNCTION("""COMPUTED_VALUE"""),5171.0)</f>
        <v>5171</v>
      </c>
      <c r="C5176" s="13"/>
      <c r="D5176" s="13" t="str">
        <f>IFERROR(__xludf.DUMMYFUNCTION("""COMPUTED_VALUE"""),"AB036/ABSOLDWS")</f>
        <v>AB036/ABSOLDWS</v>
      </c>
      <c r="E5176" s="14"/>
      <c r="F5176" s="14"/>
      <c r="G5176" s="17" t="str">
        <f>IFERROR(__xludf.DUMMYFUNCTION("""COMPUTED_VALUE"""),"")</f>
        <v/>
      </c>
      <c r="H5176" s="14"/>
      <c r="I5176" s="13"/>
      <c r="J5176" s="17" t="str">
        <f>IFERROR(__xludf.DUMMYFUNCTION("""COMPUTED_VALUE"""),"")</f>
        <v/>
      </c>
      <c r="K5176" s="13" t="str">
        <f>IFERROR(__xludf.DUMMYFUNCTION("""COMPUTED_VALUE"""),"BT atau SU Belum Valid")</f>
        <v>BT atau SU Belum Valid</v>
      </c>
      <c r="L5176" s="13" t="str">
        <f>IFERROR(__xludf.DUMMYFUNCTION("""COMPUTED_VALUE"""),"")</f>
        <v/>
      </c>
      <c r="M5176" s="13"/>
      <c r="N5176" s="13" t="str">
        <f>IFERROR(__xludf.DUMMYFUNCTION("""COMPUTED_VALUE"""),"")</f>
        <v/>
      </c>
      <c r="O5176" s="13" t="str">
        <f t="shared" si="1"/>
        <v/>
      </c>
    </row>
    <row r="5177" ht="22.5" customHeight="1">
      <c r="B5177" s="13">
        <f>IFERROR(__xludf.DUMMYFUNCTION("""COMPUTED_VALUE"""),5172.0)</f>
        <v>5172</v>
      </c>
      <c r="C5177" s="13"/>
      <c r="D5177" s="13" t="str">
        <f>IFERROR(__xludf.DUMMYFUNCTION("""COMPUTED_VALUE"""),"AB036/ABSOLDWS")</f>
        <v>AB036/ABSOLDWS</v>
      </c>
      <c r="E5177" s="14"/>
      <c r="F5177" s="14"/>
      <c r="G5177" s="17" t="str">
        <f>IFERROR(__xludf.DUMMYFUNCTION("""COMPUTED_VALUE"""),"")</f>
        <v/>
      </c>
      <c r="H5177" s="14"/>
      <c r="I5177" s="13"/>
      <c r="J5177" s="17" t="str">
        <f>IFERROR(__xludf.DUMMYFUNCTION("""COMPUTED_VALUE"""),"")</f>
        <v/>
      </c>
      <c r="K5177" s="13" t="str">
        <f>IFERROR(__xludf.DUMMYFUNCTION("""COMPUTED_VALUE"""),"BT atau SU Belum Valid")</f>
        <v>BT atau SU Belum Valid</v>
      </c>
      <c r="L5177" s="13" t="str">
        <f>IFERROR(__xludf.DUMMYFUNCTION("""COMPUTED_VALUE"""),"")</f>
        <v/>
      </c>
      <c r="M5177" s="13"/>
      <c r="N5177" s="13" t="str">
        <f>IFERROR(__xludf.DUMMYFUNCTION("""COMPUTED_VALUE"""),"")</f>
        <v/>
      </c>
      <c r="O5177" s="13" t="str">
        <f t="shared" si="1"/>
        <v/>
      </c>
    </row>
    <row r="5178" ht="22.5" customHeight="1">
      <c r="B5178" s="13">
        <f>IFERROR(__xludf.DUMMYFUNCTION("""COMPUTED_VALUE"""),5173.0)</f>
        <v>5173</v>
      </c>
      <c r="C5178" s="13"/>
      <c r="D5178" s="13" t="str">
        <f>IFERROR(__xludf.DUMMYFUNCTION("""COMPUTED_VALUE"""),"AB036/ABSOLDWS")</f>
        <v>AB036/ABSOLDWS</v>
      </c>
      <c r="E5178" s="14"/>
      <c r="F5178" s="14"/>
      <c r="G5178" s="17" t="str">
        <f>IFERROR(__xludf.DUMMYFUNCTION("""COMPUTED_VALUE"""),"")</f>
        <v/>
      </c>
      <c r="H5178" s="14"/>
      <c r="I5178" s="13"/>
      <c r="J5178" s="17" t="str">
        <f>IFERROR(__xludf.DUMMYFUNCTION("""COMPUTED_VALUE"""),"")</f>
        <v/>
      </c>
      <c r="K5178" s="13" t="str">
        <f>IFERROR(__xludf.DUMMYFUNCTION("""COMPUTED_VALUE"""),"BT atau SU Belum Valid")</f>
        <v>BT atau SU Belum Valid</v>
      </c>
      <c r="L5178" s="13" t="str">
        <f>IFERROR(__xludf.DUMMYFUNCTION("""COMPUTED_VALUE"""),"")</f>
        <v/>
      </c>
      <c r="M5178" s="13"/>
      <c r="N5178" s="13" t="str">
        <f>IFERROR(__xludf.DUMMYFUNCTION("""COMPUTED_VALUE"""),"")</f>
        <v/>
      </c>
      <c r="O5178" s="13" t="str">
        <f t="shared" si="1"/>
        <v/>
      </c>
    </row>
    <row r="5179" ht="22.5" customHeight="1">
      <c r="B5179" s="13">
        <f>IFERROR(__xludf.DUMMYFUNCTION("""COMPUTED_VALUE"""),5174.0)</f>
        <v>5174</v>
      </c>
      <c r="C5179" s="13"/>
      <c r="D5179" s="13" t="str">
        <f>IFERROR(__xludf.DUMMYFUNCTION("""COMPUTED_VALUE"""),"AB036/ABSOLDWS")</f>
        <v>AB036/ABSOLDWS</v>
      </c>
      <c r="E5179" s="14"/>
      <c r="F5179" s="14"/>
      <c r="G5179" s="17" t="str">
        <f>IFERROR(__xludf.DUMMYFUNCTION("""COMPUTED_VALUE"""),"")</f>
        <v/>
      </c>
      <c r="H5179" s="14"/>
      <c r="I5179" s="13"/>
      <c r="J5179" s="17" t="str">
        <f>IFERROR(__xludf.DUMMYFUNCTION("""COMPUTED_VALUE"""),"")</f>
        <v/>
      </c>
      <c r="K5179" s="13" t="str">
        <f>IFERROR(__xludf.DUMMYFUNCTION("""COMPUTED_VALUE"""),"BT atau SU Belum Valid")</f>
        <v>BT atau SU Belum Valid</v>
      </c>
      <c r="L5179" s="13" t="str">
        <f>IFERROR(__xludf.DUMMYFUNCTION("""COMPUTED_VALUE"""),"")</f>
        <v/>
      </c>
      <c r="M5179" s="13"/>
      <c r="N5179" s="13" t="str">
        <f>IFERROR(__xludf.DUMMYFUNCTION("""COMPUTED_VALUE"""),"")</f>
        <v/>
      </c>
      <c r="O5179" s="13" t="str">
        <f t="shared" si="1"/>
        <v/>
      </c>
    </row>
    <row r="5180" ht="22.5" customHeight="1">
      <c r="B5180" s="13">
        <f>IFERROR(__xludf.DUMMYFUNCTION("""COMPUTED_VALUE"""),5175.0)</f>
        <v>5175</v>
      </c>
      <c r="C5180" s="13"/>
      <c r="D5180" s="13" t="str">
        <f>IFERROR(__xludf.DUMMYFUNCTION("""COMPUTED_VALUE"""),"AB036/ABSOLDWS")</f>
        <v>AB036/ABSOLDWS</v>
      </c>
      <c r="E5180" s="14"/>
      <c r="F5180" s="14"/>
      <c r="G5180" s="17" t="str">
        <f>IFERROR(__xludf.DUMMYFUNCTION("""COMPUTED_VALUE"""),"")</f>
        <v/>
      </c>
      <c r="H5180" s="14"/>
      <c r="I5180" s="13"/>
      <c r="J5180" s="17" t="str">
        <f>IFERROR(__xludf.DUMMYFUNCTION("""COMPUTED_VALUE"""),"")</f>
        <v/>
      </c>
      <c r="K5180" s="13" t="str">
        <f>IFERROR(__xludf.DUMMYFUNCTION("""COMPUTED_VALUE"""),"BT atau SU Belum Valid")</f>
        <v>BT atau SU Belum Valid</v>
      </c>
      <c r="L5180" s="13" t="str">
        <f>IFERROR(__xludf.DUMMYFUNCTION("""COMPUTED_VALUE"""),"")</f>
        <v/>
      </c>
      <c r="M5180" s="13"/>
      <c r="N5180" s="13" t="str">
        <f>IFERROR(__xludf.DUMMYFUNCTION("""COMPUTED_VALUE"""),"")</f>
        <v/>
      </c>
      <c r="O5180" s="13" t="str">
        <f t="shared" si="1"/>
        <v/>
      </c>
    </row>
    <row r="5181" ht="22.5" customHeight="1">
      <c r="B5181" s="13">
        <f>IFERROR(__xludf.DUMMYFUNCTION("""COMPUTED_VALUE"""),5176.0)</f>
        <v>5176</v>
      </c>
      <c r="C5181" s="13"/>
      <c r="D5181" s="13" t="str">
        <f>IFERROR(__xludf.DUMMYFUNCTION("""COMPUTED_VALUE"""),"AB036/ABSOLDWS")</f>
        <v>AB036/ABSOLDWS</v>
      </c>
      <c r="E5181" s="14"/>
      <c r="F5181" s="14"/>
      <c r="G5181" s="17" t="str">
        <f>IFERROR(__xludf.DUMMYFUNCTION("""COMPUTED_VALUE"""),"")</f>
        <v/>
      </c>
      <c r="H5181" s="14"/>
      <c r="I5181" s="13"/>
      <c r="J5181" s="17" t="str">
        <f>IFERROR(__xludf.DUMMYFUNCTION("""COMPUTED_VALUE"""),"")</f>
        <v/>
      </c>
      <c r="K5181" s="13" t="str">
        <f>IFERROR(__xludf.DUMMYFUNCTION("""COMPUTED_VALUE"""),"BT atau SU Belum Valid")</f>
        <v>BT atau SU Belum Valid</v>
      </c>
      <c r="L5181" s="13" t="str">
        <f>IFERROR(__xludf.DUMMYFUNCTION("""COMPUTED_VALUE"""),"")</f>
        <v/>
      </c>
      <c r="M5181" s="13"/>
      <c r="N5181" s="13" t="str">
        <f>IFERROR(__xludf.DUMMYFUNCTION("""COMPUTED_VALUE"""),"")</f>
        <v/>
      </c>
      <c r="O5181" s="13" t="str">
        <f t="shared" si="1"/>
        <v/>
      </c>
    </row>
    <row r="5182" ht="22.5" customHeight="1">
      <c r="B5182" s="13">
        <f>IFERROR(__xludf.DUMMYFUNCTION("""COMPUTED_VALUE"""),5177.0)</f>
        <v>5177</v>
      </c>
      <c r="C5182" s="13"/>
      <c r="D5182" s="13" t="str">
        <f>IFERROR(__xludf.DUMMYFUNCTION("""COMPUTED_VALUE"""),"AB036/ABSOLDWS")</f>
        <v>AB036/ABSOLDWS</v>
      </c>
      <c r="E5182" s="14"/>
      <c r="F5182" s="14"/>
      <c r="G5182" s="17" t="str">
        <f>IFERROR(__xludf.DUMMYFUNCTION("""COMPUTED_VALUE"""),"")</f>
        <v/>
      </c>
      <c r="H5182" s="14"/>
      <c r="I5182" s="13"/>
      <c r="J5182" s="17" t="str">
        <f>IFERROR(__xludf.DUMMYFUNCTION("""COMPUTED_VALUE"""),"")</f>
        <v/>
      </c>
      <c r="K5182" s="13" t="str">
        <f>IFERROR(__xludf.DUMMYFUNCTION("""COMPUTED_VALUE"""),"BT atau SU Belum Valid")</f>
        <v>BT atau SU Belum Valid</v>
      </c>
      <c r="L5182" s="13" t="str">
        <f>IFERROR(__xludf.DUMMYFUNCTION("""COMPUTED_VALUE"""),"")</f>
        <v/>
      </c>
      <c r="M5182" s="13"/>
      <c r="N5182" s="13" t="str">
        <f>IFERROR(__xludf.DUMMYFUNCTION("""COMPUTED_VALUE"""),"")</f>
        <v/>
      </c>
      <c r="O5182" s="13" t="str">
        <f t="shared" si="1"/>
        <v/>
      </c>
    </row>
    <row r="5183" ht="22.5" customHeight="1">
      <c r="B5183" s="13">
        <f>IFERROR(__xludf.DUMMYFUNCTION("""COMPUTED_VALUE"""),5178.0)</f>
        <v>5178</v>
      </c>
      <c r="C5183" s="13"/>
      <c r="D5183" s="13" t="str">
        <f>IFERROR(__xludf.DUMMYFUNCTION("""COMPUTED_VALUE"""),"AB036/ABSOLDWS")</f>
        <v>AB036/ABSOLDWS</v>
      </c>
      <c r="E5183" s="14"/>
      <c r="F5183" s="14"/>
      <c r="G5183" s="17" t="str">
        <f>IFERROR(__xludf.DUMMYFUNCTION("""COMPUTED_VALUE"""),"")</f>
        <v/>
      </c>
      <c r="H5183" s="14"/>
      <c r="I5183" s="13"/>
      <c r="J5183" s="17" t="str">
        <f>IFERROR(__xludf.DUMMYFUNCTION("""COMPUTED_VALUE"""),"")</f>
        <v/>
      </c>
      <c r="K5183" s="13" t="str">
        <f>IFERROR(__xludf.DUMMYFUNCTION("""COMPUTED_VALUE"""),"BT atau SU Belum Valid")</f>
        <v>BT atau SU Belum Valid</v>
      </c>
      <c r="L5183" s="13" t="str">
        <f>IFERROR(__xludf.DUMMYFUNCTION("""COMPUTED_VALUE"""),"")</f>
        <v/>
      </c>
      <c r="M5183" s="13"/>
      <c r="N5183" s="13" t="str">
        <f>IFERROR(__xludf.DUMMYFUNCTION("""COMPUTED_VALUE"""),"")</f>
        <v/>
      </c>
      <c r="O5183" s="13" t="str">
        <f t="shared" si="1"/>
        <v/>
      </c>
    </row>
    <row r="5184" ht="22.5" customHeight="1">
      <c r="B5184" s="13">
        <f>IFERROR(__xludf.DUMMYFUNCTION("""COMPUTED_VALUE"""),5179.0)</f>
        <v>5179</v>
      </c>
      <c r="C5184" s="13"/>
      <c r="D5184" s="13" t="str">
        <f>IFERROR(__xludf.DUMMYFUNCTION("""COMPUTED_VALUE"""),"AB036/ABSOLDWS")</f>
        <v>AB036/ABSOLDWS</v>
      </c>
      <c r="E5184" s="14"/>
      <c r="F5184" s="14"/>
      <c r="G5184" s="17" t="str">
        <f>IFERROR(__xludf.DUMMYFUNCTION("""COMPUTED_VALUE"""),"")</f>
        <v/>
      </c>
      <c r="H5184" s="14"/>
      <c r="I5184" s="13"/>
      <c r="J5184" s="17" t="str">
        <f>IFERROR(__xludf.DUMMYFUNCTION("""COMPUTED_VALUE"""),"")</f>
        <v/>
      </c>
      <c r="K5184" s="13" t="str">
        <f>IFERROR(__xludf.DUMMYFUNCTION("""COMPUTED_VALUE"""),"BT atau SU Belum Valid")</f>
        <v>BT atau SU Belum Valid</v>
      </c>
      <c r="L5184" s="13" t="str">
        <f>IFERROR(__xludf.DUMMYFUNCTION("""COMPUTED_VALUE"""),"")</f>
        <v/>
      </c>
      <c r="M5184" s="13"/>
      <c r="N5184" s="13" t="str">
        <f>IFERROR(__xludf.DUMMYFUNCTION("""COMPUTED_VALUE"""),"")</f>
        <v/>
      </c>
      <c r="O5184" s="13" t="str">
        <f t="shared" si="1"/>
        <v/>
      </c>
    </row>
    <row r="5185" ht="22.5" customHeight="1">
      <c r="B5185" s="13">
        <f>IFERROR(__xludf.DUMMYFUNCTION("""COMPUTED_VALUE"""),5180.0)</f>
        <v>5180</v>
      </c>
      <c r="C5185" s="13"/>
      <c r="D5185" s="13" t="str">
        <f>IFERROR(__xludf.DUMMYFUNCTION("""COMPUTED_VALUE"""),"AB036/ABSOLDWS")</f>
        <v>AB036/ABSOLDWS</v>
      </c>
      <c r="E5185" s="14"/>
      <c r="F5185" s="14"/>
      <c r="G5185" s="17" t="str">
        <f>IFERROR(__xludf.DUMMYFUNCTION("""COMPUTED_VALUE"""),"")</f>
        <v/>
      </c>
      <c r="H5185" s="14"/>
      <c r="I5185" s="13"/>
      <c r="J5185" s="17" t="str">
        <f>IFERROR(__xludf.DUMMYFUNCTION("""COMPUTED_VALUE"""),"")</f>
        <v/>
      </c>
      <c r="K5185" s="13" t="str">
        <f>IFERROR(__xludf.DUMMYFUNCTION("""COMPUTED_VALUE"""),"BT atau SU Belum Valid")</f>
        <v>BT atau SU Belum Valid</v>
      </c>
      <c r="L5185" s="13" t="str">
        <f>IFERROR(__xludf.DUMMYFUNCTION("""COMPUTED_VALUE"""),"")</f>
        <v/>
      </c>
      <c r="M5185" s="13"/>
      <c r="N5185" s="13" t="str">
        <f>IFERROR(__xludf.DUMMYFUNCTION("""COMPUTED_VALUE"""),"")</f>
        <v/>
      </c>
      <c r="O5185" s="13" t="str">
        <f t="shared" si="1"/>
        <v/>
      </c>
    </row>
    <row r="5186" ht="22.5" customHeight="1">
      <c r="B5186" s="13">
        <f>IFERROR(__xludf.DUMMYFUNCTION("""COMPUTED_VALUE"""),5181.0)</f>
        <v>5181</v>
      </c>
      <c r="C5186" s="13"/>
      <c r="D5186" s="13" t="str">
        <f>IFERROR(__xludf.DUMMYFUNCTION("""COMPUTED_VALUE"""),"AB036/ABSOLDWS")</f>
        <v>AB036/ABSOLDWS</v>
      </c>
      <c r="E5186" s="14"/>
      <c r="F5186" s="14"/>
      <c r="G5186" s="17" t="str">
        <f>IFERROR(__xludf.DUMMYFUNCTION("""COMPUTED_VALUE"""),"")</f>
        <v/>
      </c>
      <c r="H5186" s="14"/>
      <c r="I5186" s="13"/>
      <c r="J5186" s="17" t="str">
        <f>IFERROR(__xludf.DUMMYFUNCTION("""COMPUTED_VALUE"""),"")</f>
        <v/>
      </c>
      <c r="K5186" s="13" t="str">
        <f>IFERROR(__xludf.DUMMYFUNCTION("""COMPUTED_VALUE"""),"BT atau SU Belum Valid")</f>
        <v>BT atau SU Belum Valid</v>
      </c>
      <c r="L5186" s="13" t="str">
        <f>IFERROR(__xludf.DUMMYFUNCTION("""COMPUTED_VALUE"""),"")</f>
        <v/>
      </c>
      <c r="M5186" s="13"/>
      <c r="N5186" s="13" t="str">
        <f>IFERROR(__xludf.DUMMYFUNCTION("""COMPUTED_VALUE"""),"")</f>
        <v/>
      </c>
      <c r="O5186" s="13" t="str">
        <f t="shared" si="1"/>
        <v/>
      </c>
    </row>
    <row r="5187" ht="22.5" customHeight="1">
      <c r="B5187" s="13">
        <f>IFERROR(__xludf.DUMMYFUNCTION("""COMPUTED_VALUE"""),5182.0)</f>
        <v>5182</v>
      </c>
      <c r="C5187" s="13"/>
      <c r="D5187" s="13" t="str">
        <f>IFERROR(__xludf.DUMMYFUNCTION("""COMPUTED_VALUE"""),"AB036/ABSOLDWS")</f>
        <v>AB036/ABSOLDWS</v>
      </c>
      <c r="E5187" s="14"/>
      <c r="F5187" s="14"/>
      <c r="G5187" s="17" t="str">
        <f>IFERROR(__xludf.DUMMYFUNCTION("""COMPUTED_VALUE"""),"")</f>
        <v/>
      </c>
      <c r="H5187" s="14"/>
      <c r="I5187" s="13"/>
      <c r="J5187" s="17" t="str">
        <f>IFERROR(__xludf.DUMMYFUNCTION("""COMPUTED_VALUE"""),"")</f>
        <v/>
      </c>
      <c r="K5187" s="13" t="str">
        <f>IFERROR(__xludf.DUMMYFUNCTION("""COMPUTED_VALUE"""),"BT atau SU Belum Valid")</f>
        <v>BT atau SU Belum Valid</v>
      </c>
      <c r="L5187" s="13" t="str">
        <f>IFERROR(__xludf.DUMMYFUNCTION("""COMPUTED_VALUE"""),"")</f>
        <v/>
      </c>
      <c r="M5187" s="13"/>
      <c r="N5187" s="13" t="str">
        <f>IFERROR(__xludf.DUMMYFUNCTION("""COMPUTED_VALUE"""),"")</f>
        <v/>
      </c>
      <c r="O5187" s="13" t="str">
        <f t="shared" si="1"/>
        <v/>
      </c>
    </row>
    <row r="5188" ht="22.5" customHeight="1">
      <c r="B5188" s="13">
        <f>IFERROR(__xludf.DUMMYFUNCTION("""COMPUTED_VALUE"""),5183.0)</f>
        <v>5183</v>
      </c>
      <c r="C5188" s="13"/>
      <c r="D5188" s="13" t="str">
        <f>IFERROR(__xludf.DUMMYFUNCTION("""COMPUTED_VALUE"""),"AB036/ABSOLDWS")</f>
        <v>AB036/ABSOLDWS</v>
      </c>
      <c r="E5188" s="14"/>
      <c r="F5188" s="14"/>
      <c r="G5188" s="17" t="str">
        <f>IFERROR(__xludf.DUMMYFUNCTION("""COMPUTED_VALUE"""),"")</f>
        <v/>
      </c>
      <c r="H5188" s="14"/>
      <c r="I5188" s="13"/>
      <c r="J5188" s="17" t="str">
        <f>IFERROR(__xludf.DUMMYFUNCTION("""COMPUTED_VALUE"""),"")</f>
        <v/>
      </c>
      <c r="K5188" s="13" t="str">
        <f>IFERROR(__xludf.DUMMYFUNCTION("""COMPUTED_VALUE"""),"BT atau SU Belum Valid")</f>
        <v>BT atau SU Belum Valid</v>
      </c>
      <c r="L5188" s="13" t="str">
        <f>IFERROR(__xludf.DUMMYFUNCTION("""COMPUTED_VALUE"""),"")</f>
        <v/>
      </c>
      <c r="M5188" s="13"/>
      <c r="N5188" s="13" t="str">
        <f>IFERROR(__xludf.DUMMYFUNCTION("""COMPUTED_VALUE"""),"")</f>
        <v/>
      </c>
      <c r="O5188" s="13" t="str">
        <f t="shared" si="1"/>
        <v/>
      </c>
    </row>
    <row r="5189" ht="22.5" customHeight="1">
      <c r="B5189" s="13">
        <f>IFERROR(__xludf.DUMMYFUNCTION("""COMPUTED_VALUE"""),5184.0)</f>
        <v>5184</v>
      </c>
      <c r="C5189" s="13"/>
      <c r="D5189" s="13" t="str">
        <f>IFERROR(__xludf.DUMMYFUNCTION("""COMPUTED_VALUE"""),"AB036/ABSOLDWS")</f>
        <v>AB036/ABSOLDWS</v>
      </c>
      <c r="E5189" s="14"/>
      <c r="F5189" s="14"/>
      <c r="G5189" s="17" t="str">
        <f>IFERROR(__xludf.DUMMYFUNCTION("""COMPUTED_VALUE"""),"")</f>
        <v/>
      </c>
      <c r="H5189" s="14"/>
      <c r="I5189" s="13"/>
      <c r="J5189" s="17" t="str">
        <f>IFERROR(__xludf.DUMMYFUNCTION("""COMPUTED_VALUE"""),"")</f>
        <v/>
      </c>
      <c r="K5189" s="13" t="str">
        <f>IFERROR(__xludf.DUMMYFUNCTION("""COMPUTED_VALUE"""),"BT atau SU Belum Valid")</f>
        <v>BT atau SU Belum Valid</v>
      </c>
      <c r="L5189" s="13" t="str">
        <f>IFERROR(__xludf.DUMMYFUNCTION("""COMPUTED_VALUE"""),"")</f>
        <v/>
      </c>
      <c r="M5189" s="13"/>
      <c r="N5189" s="13" t="str">
        <f>IFERROR(__xludf.DUMMYFUNCTION("""COMPUTED_VALUE"""),"")</f>
        <v/>
      </c>
      <c r="O5189" s="13" t="str">
        <f t="shared" si="1"/>
        <v/>
      </c>
    </row>
    <row r="5190" ht="22.5" customHeight="1">
      <c r="B5190" s="13">
        <f>IFERROR(__xludf.DUMMYFUNCTION("""COMPUTED_VALUE"""),5185.0)</f>
        <v>5185</v>
      </c>
      <c r="C5190" s="13"/>
      <c r="D5190" s="13" t="str">
        <f>IFERROR(__xludf.DUMMYFUNCTION("""COMPUTED_VALUE"""),"AB036/ABSOLDWS")</f>
        <v>AB036/ABSOLDWS</v>
      </c>
      <c r="E5190" s="14"/>
      <c r="F5190" s="14"/>
      <c r="G5190" s="17" t="str">
        <f>IFERROR(__xludf.DUMMYFUNCTION("""COMPUTED_VALUE"""),"")</f>
        <v/>
      </c>
      <c r="H5190" s="14"/>
      <c r="I5190" s="13"/>
      <c r="J5190" s="17" t="str">
        <f>IFERROR(__xludf.DUMMYFUNCTION("""COMPUTED_VALUE"""),"")</f>
        <v/>
      </c>
      <c r="K5190" s="13" t="str">
        <f>IFERROR(__xludf.DUMMYFUNCTION("""COMPUTED_VALUE"""),"BT atau SU Belum Valid")</f>
        <v>BT atau SU Belum Valid</v>
      </c>
      <c r="L5190" s="13" t="str">
        <f>IFERROR(__xludf.DUMMYFUNCTION("""COMPUTED_VALUE"""),"")</f>
        <v/>
      </c>
      <c r="M5190" s="13"/>
      <c r="N5190" s="13" t="str">
        <f>IFERROR(__xludf.DUMMYFUNCTION("""COMPUTED_VALUE"""),"")</f>
        <v/>
      </c>
      <c r="O5190" s="13" t="str">
        <f t="shared" si="1"/>
        <v/>
      </c>
    </row>
    <row r="5191" ht="22.5" customHeight="1">
      <c r="B5191" s="13">
        <f>IFERROR(__xludf.DUMMYFUNCTION("""COMPUTED_VALUE"""),5186.0)</f>
        <v>5186</v>
      </c>
      <c r="C5191" s="13"/>
      <c r="D5191" s="13" t="str">
        <f>IFERROR(__xludf.DUMMYFUNCTION("""COMPUTED_VALUE"""),"AB036/ABSOLDWS")</f>
        <v>AB036/ABSOLDWS</v>
      </c>
      <c r="E5191" s="14"/>
      <c r="F5191" s="14"/>
      <c r="G5191" s="17" t="str">
        <f>IFERROR(__xludf.DUMMYFUNCTION("""COMPUTED_VALUE"""),"")</f>
        <v/>
      </c>
      <c r="H5191" s="14"/>
      <c r="I5191" s="13"/>
      <c r="J5191" s="17" t="str">
        <f>IFERROR(__xludf.DUMMYFUNCTION("""COMPUTED_VALUE"""),"")</f>
        <v/>
      </c>
      <c r="K5191" s="13" t="str">
        <f>IFERROR(__xludf.DUMMYFUNCTION("""COMPUTED_VALUE"""),"BT atau SU Belum Valid")</f>
        <v>BT atau SU Belum Valid</v>
      </c>
      <c r="L5191" s="13" t="str">
        <f>IFERROR(__xludf.DUMMYFUNCTION("""COMPUTED_VALUE"""),"")</f>
        <v/>
      </c>
      <c r="M5191" s="13"/>
      <c r="N5191" s="13" t="str">
        <f>IFERROR(__xludf.DUMMYFUNCTION("""COMPUTED_VALUE"""),"")</f>
        <v/>
      </c>
      <c r="O5191" s="13" t="str">
        <f t="shared" si="1"/>
        <v/>
      </c>
    </row>
    <row r="5192" ht="22.5" customHeight="1">
      <c r="B5192" s="13">
        <f>IFERROR(__xludf.DUMMYFUNCTION("""COMPUTED_VALUE"""),5187.0)</f>
        <v>5187</v>
      </c>
      <c r="C5192" s="13"/>
      <c r="D5192" s="13" t="str">
        <f>IFERROR(__xludf.DUMMYFUNCTION("""COMPUTED_VALUE"""),"AB036/ABSOLDWS")</f>
        <v>AB036/ABSOLDWS</v>
      </c>
      <c r="E5192" s="14"/>
      <c r="F5192" s="14"/>
      <c r="G5192" s="17" t="str">
        <f>IFERROR(__xludf.DUMMYFUNCTION("""COMPUTED_VALUE"""),"")</f>
        <v/>
      </c>
      <c r="H5192" s="14"/>
      <c r="I5192" s="13"/>
      <c r="J5192" s="17" t="str">
        <f>IFERROR(__xludf.DUMMYFUNCTION("""COMPUTED_VALUE"""),"")</f>
        <v/>
      </c>
      <c r="K5192" s="13" t="str">
        <f>IFERROR(__xludf.DUMMYFUNCTION("""COMPUTED_VALUE"""),"BT atau SU Belum Valid")</f>
        <v>BT atau SU Belum Valid</v>
      </c>
      <c r="L5192" s="13" t="str">
        <f>IFERROR(__xludf.DUMMYFUNCTION("""COMPUTED_VALUE"""),"")</f>
        <v/>
      </c>
      <c r="M5192" s="13"/>
      <c r="N5192" s="13" t="str">
        <f>IFERROR(__xludf.DUMMYFUNCTION("""COMPUTED_VALUE"""),"")</f>
        <v/>
      </c>
      <c r="O5192" s="13" t="str">
        <f t="shared" si="1"/>
        <v/>
      </c>
    </row>
    <row r="5193" ht="22.5" customHeight="1">
      <c r="B5193" s="13">
        <f>IFERROR(__xludf.DUMMYFUNCTION("""COMPUTED_VALUE"""),5188.0)</f>
        <v>5188</v>
      </c>
      <c r="C5193" s="13"/>
      <c r="D5193" s="13" t="str">
        <f>IFERROR(__xludf.DUMMYFUNCTION("""COMPUTED_VALUE"""),"AB036/ABSOLDWS")</f>
        <v>AB036/ABSOLDWS</v>
      </c>
      <c r="E5193" s="14"/>
      <c r="F5193" s="14"/>
      <c r="G5193" s="17" t="str">
        <f>IFERROR(__xludf.DUMMYFUNCTION("""COMPUTED_VALUE"""),"")</f>
        <v/>
      </c>
      <c r="H5193" s="14"/>
      <c r="I5193" s="13"/>
      <c r="J5193" s="17" t="str">
        <f>IFERROR(__xludf.DUMMYFUNCTION("""COMPUTED_VALUE"""),"")</f>
        <v/>
      </c>
      <c r="K5193" s="13" t="str">
        <f>IFERROR(__xludf.DUMMYFUNCTION("""COMPUTED_VALUE"""),"BT atau SU Belum Valid")</f>
        <v>BT atau SU Belum Valid</v>
      </c>
      <c r="L5193" s="13" t="str">
        <f>IFERROR(__xludf.DUMMYFUNCTION("""COMPUTED_VALUE"""),"")</f>
        <v/>
      </c>
      <c r="M5193" s="13"/>
      <c r="N5193" s="13" t="str">
        <f>IFERROR(__xludf.DUMMYFUNCTION("""COMPUTED_VALUE"""),"")</f>
        <v/>
      </c>
      <c r="O5193" s="13" t="str">
        <f t="shared" si="1"/>
        <v/>
      </c>
    </row>
    <row r="5194" ht="22.5" customHeight="1">
      <c r="B5194" s="13">
        <f>IFERROR(__xludf.DUMMYFUNCTION("""COMPUTED_VALUE"""),5189.0)</f>
        <v>5189</v>
      </c>
      <c r="C5194" s="13"/>
      <c r="D5194" s="13" t="str">
        <f>IFERROR(__xludf.DUMMYFUNCTION("""COMPUTED_VALUE"""),"AB036/ABSOLDWS")</f>
        <v>AB036/ABSOLDWS</v>
      </c>
      <c r="E5194" s="14"/>
      <c r="F5194" s="14"/>
      <c r="G5194" s="17" t="str">
        <f>IFERROR(__xludf.DUMMYFUNCTION("""COMPUTED_VALUE"""),"")</f>
        <v/>
      </c>
      <c r="H5194" s="14"/>
      <c r="I5194" s="13"/>
      <c r="J5194" s="17" t="str">
        <f>IFERROR(__xludf.DUMMYFUNCTION("""COMPUTED_VALUE"""),"")</f>
        <v/>
      </c>
      <c r="K5194" s="13" t="str">
        <f>IFERROR(__xludf.DUMMYFUNCTION("""COMPUTED_VALUE"""),"BT atau SU Belum Valid")</f>
        <v>BT atau SU Belum Valid</v>
      </c>
      <c r="L5194" s="13" t="str">
        <f>IFERROR(__xludf.DUMMYFUNCTION("""COMPUTED_VALUE"""),"")</f>
        <v/>
      </c>
      <c r="M5194" s="13"/>
      <c r="N5194" s="13" t="str">
        <f>IFERROR(__xludf.DUMMYFUNCTION("""COMPUTED_VALUE"""),"")</f>
        <v/>
      </c>
      <c r="O5194" s="13" t="str">
        <f t="shared" si="1"/>
        <v/>
      </c>
    </row>
    <row r="5195" ht="22.5" customHeight="1">
      <c r="B5195" s="13">
        <f>IFERROR(__xludf.DUMMYFUNCTION("""COMPUTED_VALUE"""),5190.0)</f>
        <v>5190</v>
      </c>
      <c r="C5195" s="13"/>
      <c r="D5195" s="13" t="str">
        <f>IFERROR(__xludf.DUMMYFUNCTION("""COMPUTED_VALUE"""),"AB036/ABSOLDWS")</f>
        <v>AB036/ABSOLDWS</v>
      </c>
      <c r="E5195" s="14"/>
      <c r="F5195" s="14"/>
      <c r="G5195" s="17" t="str">
        <f>IFERROR(__xludf.DUMMYFUNCTION("""COMPUTED_VALUE"""),"")</f>
        <v/>
      </c>
      <c r="H5195" s="14"/>
      <c r="I5195" s="13"/>
      <c r="J5195" s="17" t="str">
        <f>IFERROR(__xludf.DUMMYFUNCTION("""COMPUTED_VALUE"""),"")</f>
        <v/>
      </c>
      <c r="K5195" s="13" t="str">
        <f>IFERROR(__xludf.DUMMYFUNCTION("""COMPUTED_VALUE"""),"BT atau SU Belum Valid")</f>
        <v>BT atau SU Belum Valid</v>
      </c>
      <c r="L5195" s="13" t="str">
        <f>IFERROR(__xludf.DUMMYFUNCTION("""COMPUTED_VALUE"""),"")</f>
        <v/>
      </c>
      <c r="M5195" s="13"/>
      <c r="N5195" s="13" t="str">
        <f>IFERROR(__xludf.DUMMYFUNCTION("""COMPUTED_VALUE"""),"")</f>
        <v/>
      </c>
      <c r="O5195" s="13" t="str">
        <f t="shared" si="1"/>
        <v/>
      </c>
    </row>
    <row r="5196" ht="22.5" customHeight="1">
      <c r="B5196" s="13">
        <f>IFERROR(__xludf.DUMMYFUNCTION("""COMPUTED_VALUE"""),5191.0)</f>
        <v>5191</v>
      </c>
      <c r="C5196" s="13"/>
      <c r="D5196" s="13" t="str">
        <f>IFERROR(__xludf.DUMMYFUNCTION("""COMPUTED_VALUE"""),"AB036/ABSOLDWS")</f>
        <v>AB036/ABSOLDWS</v>
      </c>
      <c r="E5196" s="14"/>
      <c r="F5196" s="14"/>
      <c r="G5196" s="17" t="str">
        <f>IFERROR(__xludf.DUMMYFUNCTION("""COMPUTED_VALUE"""),"")</f>
        <v/>
      </c>
      <c r="H5196" s="14"/>
      <c r="I5196" s="13"/>
      <c r="J5196" s="17" t="str">
        <f>IFERROR(__xludf.DUMMYFUNCTION("""COMPUTED_VALUE"""),"")</f>
        <v/>
      </c>
      <c r="K5196" s="13" t="str">
        <f>IFERROR(__xludf.DUMMYFUNCTION("""COMPUTED_VALUE"""),"BT atau SU Belum Valid")</f>
        <v>BT atau SU Belum Valid</v>
      </c>
      <c r="L5196" s="13" t="str">
        <f>IFERROR(__xludf.DUMMYFUNCTION("""COMPUTED_VALUE"""),"")</f>
        <v/>
      </c>
      <c r="M5196" s="13"/>
      <c r="N5196" s="13" t="str">
        <f>IFERROR(__xludf.DUMMYFUNCTION("""COMPUTED_VALUE"""),"")</f>
        <v/>
      </c>
      <c r="O5196" s="13" t="str">
        <f t="shared" si="1"/>
        <v/>
      </c>
    </row>
    <row r="5197" ht="22.5" customHeight="1">
      <c r="B5197" s="13">
        <f>IFERROR(__xludf.DUMMYFUNCTION("""COMPUTED_VALUE"""),5192.0)</f>
        <v>5192</v>
      </c>
      <c r="C5197" s="13"/>
      <c r="D5197" s="13" t="str">
        <f>IFERROR(__xludf.DUMMYFUNCTION("""COMPUTED_VALUE"""),"AB036/ABSOLDWS")</f>
        <v>AB036/ABSOLDWS</v>
      </c>
      <c r="E5197" s="14"/>
      <c r="F5197" s="14"/>
      <c r="G5197" s="17" t="str">
        <f>IFERROR(__xludf.DUMMYFUNCTION("""COMPUTED_VALUE"""),"")</f>
        <v/>
      </c>
      <c r="H5197" s="14"/>
      <c r="I5197" s="13"/>
      <c r="J5197" s="17" t="str">
        <f>IFERROR(__xludf.DUMMYFUNCTION("""COMPUTED_VALUE"""),"")</f>
        <v/>
      </c>
      <c r="K5197" s="13" t="str">
        <f>IFERROR(__xludf.DUMMYFUNCTION("""COMPUTED_VALUE"""),"BT atau SU Belum Valid")</f>
        <v>BT atau SU Belum Valid</v>
      </c>
      <c r="L5197" s="13" t="str">
        <f>IFERROR(__xludf.DUMMYFUNCTION("""COMPUTED_VALUE"""),"")</f>
        <v/>
      </c>
      <c r="M5197" s="13"/>
      <c r="N5197" s="13" t="str">
        <f>IFERROR(__xludf.DUMMYFUNCTION("""COMPUTED_VALUE"""),"")</f>
        <v/>
      </c>
      <c r="O5197" s="13" t="str">
        <f t="shared" si="1"/>
        <v/>
      </c>
    </row>
    <row r="5198" ht="22.5" customHeight="1">
      <c r="B5198" s="13">
        <f>IFERROR(__xludf.DUMMYFUNCTION("""COMPUTED_VALUE"""),5193.0)</f>
        <v>5193</v>
      </c>
      <c r="C5198" s="13"/>
      <c r="D5198" s="13" t="str">
        <f>IFERROR(__xludf.DUMMYFUNCTION("""COMPUTED_VALUE"""),"AB036/ABSOLDWS")</f>
        <v>AB036/ABSOLDWS</v>
      </c>
      <c r="E5198" s="14"/>
      <c r="F5198" s="14"/>
      <c r="G5198" s="17" t="str">
        <f>IFERROR(__xludf.DUMMYFUNCTION("""COMPUTED_VALUE"""),"")</f>
        <v/>
      </c>
      <c r="H5198" s="14"/>
      <c r="I5198" s="13"/>
      <c r="J5198" s="17" t="str">
        <f>IFERROR(__xludf.DUMMYFUNCTION("""COMPUTED_VALUE"""),"")</f>
        <v/>
      </c>
      <c r="K5198" s="13" t="str">
        <f>IFERROR(__xludf.DUMMYFUNCTION("""COMPUTED_VALUE"""),"BT atau SU Belum Valid")</f>
        <v>BT atau SU Belum Valid</v>
      </c>
      <c r="L5198" s="13" t="str">
        <f>IFERROR(__xludf.DUMMYFUNCTION("""COMPUTED_VALUE"""),"")</f>
        <v/>
      </c>
      <c r="M5198" s="13"/>
      <c r="N5198" s="13" t="str">
        <f>IFERROR(__xludf.DUMMYFUNCTION("""COMPUTED_VALUE"""),"")</f>
        <v/>
      </c>
      <c r="O5198" s="13" t="str">
        <f t="shared" si="1"/>
        <v/>
      </c>
    </row>
    <row r="5199" ht="22.5" customHeight="1">
      <c r="B5199" s="13">
        <f>IFERROR(__xludf.DUMMYFUNCTION("""COMPUTED_VALUE"""),5194.0)</f>
        <v>5194</v>
      </c>
      <c r="C5199" s="13"/>
      <c r="D5199" s="13" t="str">
        <f>IFERROR(__xludf.DUMMYFUNCTION("""COMPUTED_VALUE"""),"AB036/ABSOLDWS")</f>
        <v>AB036/ABSOLDWS</v>
      </c>
      <c r="E5199" s="14"/>
      <c r="F5199" s="14"/>
      <c r="G5199" s="17" t="str">
        <f>IFERROR(__xludf.DUMMYFUNCTION("""COMPUTED_VALUE"""),"")</f>
        <v/>
      </c>
      <c r="H5199" s="14"/>
      <c r="I5199" s="13"/>
      <c r="J5199" s="17" t="str">
        <f>IFERROR(__xludf.DUMMYFUNCTION("""COMPUTED_VALUE"""),"")</f>
        <v/>
      </c>
      <c r="K5199" s="13" t="str">
        <f>IFERROR(__xludf.DUMMYFUNCTION("""COMPUTED_VALUE"""),"BT atau SU Belum Valid")</f>
        <v>BT atau SU Belum Valid</v>
      </c>
      <c r="L5199" s="13" t="str">
        <f>IFERROR(__xludf.DUMMYFUNCTION("""COMPUTED_VALUE"""),"")</f>
        <v/>
      </c>
      <c r="M5199" s="13"/>
      <c r="N5199" s="13" t="str">
        <f>IFERROR(__xludf.DUMMYFUNCTION("""COMPUTED_VALUE"""),"")</f>
        <v/>
      </c>
      <c r="O5199" s="13" t="str">
        <f t="shared" si="1"/>
        <v/>
      </c>
    </row>
    <row r="5200" ht="22.5" customHeight="1">
      <c r="B5200" s="13">
        <f>IFERROR(__xludf.DUMMYFUNCTION("""COMPUTED_VALUE"""),5195.0)</f>
        <v>5195</v>
      </c>
      <c r="C5200" s="13"/>
      <c r="D5200" s="13" t="str">
        <f>IFERROR(__xludf.DUMMYFUNCTION("""COMPUTED_VALUE"""),"AB036/ABSOLDWS")</f>
        <v>AB036/ABSOLDWS</v>
      </c>
      <c r="E5200" s="14"/>
      <c r="F5200" s="14"/>
      <c r="G5200" s="17" t="str">
        <f>IFERROR(__xludf.DUMMYFUNCTION("""COMPUTED_VALUE"""),"")</f>
        <v/>
      </c>
      <c r="H5200" s="14"/>
      <c r="I5200" s="13"/>
      <c r="J5200" s="17" t="str">
        <f>IFERROR(__xludf.DUMMYFUNCTION("""COMPUTED_VALUE"""),"")</f>
        <v/>
      </c>
      <c r="K5200" s="13" t="str">
        <f>IFERROR(__xludf.DUMMYFUNCTION("""COMPUTED_VALUE"""),"BT atau SU Belum Valid")</f>
        <v>BT atau SU Belum Valid</v>
      </c>
      <c r="L5200" s="13" t="str">
        <f>IFERROR(__xludf.DUMMYFUNCTION("""COMPUTED_VALUE"""),"")</f>
        <v/>
      </c>
      <c r="M5200" s="13"/>
      <c r="N5200" s="13" t="str">
        <f>IFERROR(__xludf.DUMMYFUNCTION("""COMPUTED_VALUE"""),"")</f>
        <v/>
      </c>
      <c r="O5200" s="13" t="str">
        <f t="shared" si="1"/>
        <v/>
      </c>
    </row>
    <row r="5201" ht="22.5" customHeight="1">
      <c r="B5201" s="13">
        <f>IFERROR(__xludf.DUMMYFUNCTION("""COMPUTED_VALUE"""),5196.0)</f>
        <v>5196</v>
      </c>
      <c r="C5201" s="13"/>
      <c r="D5201" s="13" t="str">
        <f>IFERROR(__xludf.DUMMYFUNCTION("""COMPUTED_VALUE"""),"AB036/ABSOLDWS")</f>
        <v>AB036/ABSOLDWS</v>
      </c>
      <c r="E5201" s="14"/>
      <c r="F5201" s="14"/>
      <c r="G5201" s="17" t="str">
        <f>IFERROR(__xludf.DUMMYFUNCTION("""COMPUTED_VALUE"""),"")</f>
        <v/>
      </c>
      <c r="H5201" s="14"/>
      <c r="I5201" s="13"/>
      <c r="J5201" s="17" t="str">
        <f>IFERROR(__xludf.DUMMYFUNCTION("""COMPUTED_VALUE"""),"")</f>
        <v/>
      </c>
      <c r="K5201" s="13" t="str">
        <f>IFERROR(__xludf.DUMMYFUNCTION("""COMPUTED_VALUE"""),"BT atau SU Belum Valid")</f>
        <v>BT atau SU Belum Valid</v>
      </c>
      <c r="L5201" s="13" t="str">
        <f>IFERROR(__xludf.DUMMYFUNCTION("""COMPUTED_VALUE"""),"")</f>
        <v/>
      </c>
      <c r="M5201" s="13"/>
      <c r="N5201" s="13" t="str">
        <f>IFERROR(__xludf.DUMMYFUNCTION("""COMPUTED_VALUE"""),"")</f>
        <v/>
      </c>
      <c r="O5201" s="13" t="str">
        <f t="shared" si="1"/>
        <v/>
      </c>
    </row>
    <row r="5202" ht="22.5" customHeight="1">
      <c r="B5202" s="13">
        <f>IFERROR(__xludf.DUMMYFUNCTION("""COMPUTED_VALUE"""),5197.0)</f>
        <v>5197</v>
      </c>
      <c r="C5202" s="13"/>
      <c r="D5202" s="13" t="str">
        <f>IFERROR(__xludf.DUMMYFUNCTION("""COMPUTED_VALUE"""),"AB036/ABSOLDWS")</f>
        <v>AB036/ABSOLDWS</v>
      </c>
      <c r="E5202" s="14"/>
      <c r="F5202" s="14"/>
      <c r="G5202" s="17" t="str">
        <f>IFERROR(__xludf.DUMMYFUNCTION("""COMPUTED_VALUE"""),"")</f>
        <v/>
      </c>
      <c r="H5202" s="14"/>
      <c r="I5202" s="13"/>
      <c r="J5202" s="17" t="str">
        <f>IFERROR(__xludf.DUMMYFUNCTION("""COMPUTED_VALUE"""),"")</f>
        <v/>
      </c>
      <c r="K5202" s="13" t="str">
        <f>IFERROR(__xludf.DUMMYFUNCTION("""COMPUTED_VALUE"""),"BT atau SU Belum Valid")</f>
        <v>BT atau SU Belum Valid</v>
      </c>
      <c r="L5202" s="13" t="str">
        <f>IFERROR(__xludf.DUMMYFUNCTION("""COMPUTED_VALUE"""),"")</f>
        <v/>
      </c>
      <c r="M5202" s="13"/>
      <c r="N5202" s="13" t="str">
        <f>IFERROR(__xludf.DUMMYFUNCTION("""COMPUTED_VALUE"""),"")</f>
        <v/>
      </c>
      <c r="O5202" s="13" t="str">
        <f t="shared" si="1"/>
        <v/>
      </c>
    </row>
    <row r="5203" ht="22.5" customHeight="1">
      <c r="B5203" s="13">
        <f>IFERROR(__xludf.DUMMYFUNCTION("""COMPUTED_VALUE"""),5198.0)</f>
        <v>5198</v>
      </c>
      <c r="C5203" s="13"/>
      <c r="D5203" s="13" t="str">
        <f>IFERROR(__xludf.DUMMYFUNCTION("""COMPUTED_VALUE"""),"AB036/ABSOLDWS")</f>
        <v>AB036/ABSOLDWS</v>
      </c>
      <c r="E5203" s="14"/>
      <c r="F5203" s="14"/>
      <c r="G5203" s="17" t="str">
        <f>IFERROR(__xludf.DUMMYFUNCTION("""COMPUTED_VALUE"""),"")</f>
        <v/>
      </c>
      <c r="H5203" s="14"/>
      <c r="I5203" s="13"/>
      <c r="J5203" s="17" t="str">
        <f>IFERROR(__xludf.DUMMYFUNCTION("""COMPUTED_VALUE"""),"")</f>
        <v/>
      </c>
      <c r="K5203" s="13" t="str">
        <f>IFERROR(__xludf.DUMMYFUNCTION("""COMPUTED_VALUE"""),"BT atau SU Belum Valid")</f>
        <v>BT atau SU Belum Valid</v>
      </c>
      <c r="L5203" s="13" t="str">
        <f>IFERROR(__xludf.DUMMYFUNCTION("""COMPUTED_VALUE"""),"")</f>
        <v/>
      </c>
      <c r="M5203" s="13"/>
      <c r="N5203" s="13" t="str">
        <f>IFERROR(__xludf.DUMMYFUNCTION("""COMPUTED_VALUE"""),"")</f>
        <v/>
      </c>
      <c r="O5203" s="13" t="str">
        <f t="shared" si="1"/>
        <v/>
      </c>
    </row>
    <row r="5204" ht="22.5" customHeight="1">
      <c r="B5204" s="13">
        <f>IFERROR(__xludf.DUMMYFUNCTION("""COMPUTED_VALUE"""),5199.0)</f>
        <v>5199</v>
      </c>
      <c r="C5204" s="13"/>
      <c r="D5204" s="13" t="str">
        <f>IFERROR(__xludf.DUMMYFUNCTION("""COMPUTED_VALUE"""),"AB036/ABSOLDWS")</f>
        <v>AB036/ABSOLDWS</v>
      </c>
      <c r="E5204" s="14"/>
      <c r="F5204" s="14"/>
      <c r="G5204" s="17" t="str">
        <f>IFERROR(__xludf.DUMMYFUNCTION("""COMPUTED_VALUE"""),"")</f>
        <v/>
      </c>
      <c r="H5204" s="14"/>
      <c r="I5204" s="13"/>
      <c r="J5204" s="17" t="str">
        <f>IFERROR(__xludf.DUMMYFUNCTION("""COMPUTED_VALUE"""),"")</f>
        <v/>
      </c>
      <c r="K5204" s="13" t="str">
        <f>IFERROR(__xludf.DUMMYFUNCTION("""COMPUTED_VALUE"""),"BT atau SU Belum Valid")</f>
        <v>BT atau SU Belum Valid</v>
      </c>
      <c r="L5204" s="13" t="str">
        <f>IFERROR(__xludf.DUMMYFUNCTION("""COMPUTED_VALUE"""),"")</f>
        <v/>
      </c>
      <c r="M5204" s="13"/>
      <c r="N5204" s="13" t="str">
        <f>IFERROR(__xludf.DUMMYFUNCTION("""COMPUTED_VALUE"""),"")</f>
        <v/>
      </c>
      <c r="O5204" s="13" t="str">
        <f t="shared" si="1"/>
        <v/>
      </c>
    </row>
    <row r="5205" ht="22.5" customHeight="1">
      <c r="B5205" s="13">
        <f>IFERROR(__xludf.DUMMYFUNCTION("""COMPUTED_VALUE"""),5200.0)</f>
        <v>5200</v>
      </c>
      <c r="C5205" s="13"/>
      <c r="D5205" s="13" t="str">
        <f>IFERROR(__xludf.DUMMYFUNCTION("""COMPUTED_VALUE"""),"AB036/ABSOLDWS")</f>
        <v>AB036/ABSOLDWS</v>
      </c>
      <c r="E5205" s="14"/>
      <c r="F5205" s="14"/>
      <c r="G5205" s="17" t="str">
        <f>IFERROR(__xludf.DUMMYFUNCTION("""COMPUTED_VALUE"""),"")</f>
        <v/>
      </c>
      <c r="H5205" s="14"/>
      <c r="I5205" s="13"/>
      <c r="J5205" s="17" t="str">
        <f>IFERROR(__xludf.DUMMYFUNCTION("""COMPUTED_VALUE"""),"")</f>
        <v/>
      </c>
      <c r="K5205" s="13" t="str">
        <f>IFERROR(__xludf.DUMMYFUNCTION("""COMPUTED_VALUE"""),"BT atau SU Belum Valid")</f>
        <v>BT atau SU Belum Valid</v>
      </c>
      <c r="L5205" s="13" t="str">
        <f>IFERROR(__xludf.DUMMYFUNCTION("""COMPUTED_VALUE"""),"")</f>
        <v/>
      </c>
      <c r="M5205" s="13"/>
      <c r="N5205" s="13" t="str">
        <f>IFERROR(__xludf.DUMMYFUNCTION("""COMPUTED_VALUE"""),"")</f>
        <v/>
      </c>
      <c r="O5205" s="13" t="str">
        <f t="shared" si="1"/>
        <v/>
      </c>
    </row>
    <row r="5206" ht="22.5" customHeight="1">
      <c r="B5206" s="13">
        <f>IFERROR(__xludf.DUMMYFUNCTION("""COMPUTED_VALUE"""),5201.0)</f>
        <v>5201</v>
      </c>
      <c r="C5206" s="13"/>
      <c r="D5206" s="13" t="str">
        <f>IFERROR(__xludf.DUMMYFUNCTION("""COMPUTED_VALUE"""),"AB036/ABSOLDWS")</f>
        <v>AB036/ABSOLDWS</v>
      </c>
      <c r="E5206" s="14"/>
      <c r="F5206" s="14"/>
      <c r="G5206" s="17" t="str">
        <f>IFERROR(__xludf.DUMMYFUNCTION("""COMPUTED_VALUE"""),"")</f>
        <v/>
      </c>
      <c r="H5206" s="14"/>
      <c r="I5206" s="13"/>
      <c r="J5206" s="17" t="str">
        <f>IFERROR(__xludf.DUMMYFUNCTION("""COMPUTED_VALUE"""),"")</f>
        <v/>
      </c>
      <c r="K5206" s="13" t="str">
        <f>IFERROR(__xludf.DUMMYFUNCTION("""COMPUTED_VALUE"""),"BT atau SU Belum Valid")</f>
        <v>BT atau SU Belum Valid</v>
      </c>
      <c r="L5206" s="13" t="str">
        <f>IFERROR(__xludf.DUMMYFUNCTION("""COMPUTED_VALUE"""),"")</f>
        <v/>
      </c>
      <c r="M5206" s="13"/>
      <c r="N5206" s="13" t="str">
        <f>IFERROR(__xludf.DUMMYFUNCTION("""COMPUTED_VALUE"""),"")</f>
        <v/>
      </c>
      <c r="O5206" s="13" t="str">
        <f t="shared" si="1"/>
        <v/>
      </c>
    </row>
    <row r="5207" ht="22.5" customHeight="1">
      <c r="B5207" s="13">
        <f>IFERROR(__xludf.DUMMYFUNCTION("""COMPUTED_VALUE"""),5202.0)</f>
        <v>5202</v>
      </c>
      <c r="C5207" s="13"/>
      <c r="D5207" s="13" t="str">
        <f>IFERROR(__xludf.DUMMYFUNCTION("""COMPUTED_VALUE"""),"AB036/ABSOLDWS")</f>
        <v>AB036/ABSOLDWS</v>
      </c>
      <c r="E5207" s="14"/>
      <c r="F5207" s="14"/>
      <c r="G5207" s="17" t="str">
        <f>IFERROR(__xludf.DUMMYFUNCTION("""COMPUTED_VALUE"""),"")</f>
        <v/>
      </c>
      <c r="H5207" s="14"/>
      <c r="I5207" s="13"/>
      <c r="J5207" s="17" t="str">
        <f>IFERROR(__xludf.DUMMYFUNCTION("""COMPUTED_VALUE"""),"")</f>
        <v/>
      </c>
      <c r="K5207" s="13" t="str">
        <f>IFERROR(__xludf.DUMMYFUNCTION("""COMPUTED_VALUE"""),"BT atau SU Belum Valid")</f>
        <v>BT atau SU Belum Valid</v>
      </c>
      <c r="L5207" s="13" t="str">
        <f>IFERROR(__xludf.DUMMYFUNCTION("""COMPUTED_VALUE"""),"")</f>
        <v/>
      </c>
      <c r="M5207" s="13"/>
      <c r="N5207" s="13" t="str">
        <f>IFERROR(__xludf.DUMMYFUNCTION("""COMPUTED_VALUE"""),"")</f>
        <v/>
      </c>
      <c r="O5207" s="13" t="str">
        <f t="shared" si="1"/>
        <v/>
      </c>
    </row>
    <row r="5208" ht="22.5" customHeight="1">
      <c r="B5208" s="13">
        <f>IFERROR(__xludf.DUMMYFUNCTION("""COMPUTED_VALUE"""),5203.0)</f>
        <v>5203</v>
      </c>
      <c r="C5208" s="13"/>
      <c r="D5208" s="13" t="str">
        <f>IFERROR(__xludf.DUMMYFUNCTION("""COMPUTED_VALUE"""),"AB036/ABSOLDWS")</f>
        <v>AB036/ABSOLDWS</v>
      </c>
      <c r="E5208" s="14"/>
      <c r="F5208" s="14"/>
      <c r="G5208" s="17" t="str">
        <f>IFERROR(__xludf.DUMMYFUNCTION("""COMPUTED_VALUE"""),"")</f>
        <v/>
      </c>
      <c r="H5208" s="14"/>
      <c r="I5208" s="13"/>
      <c r="J5208" s="17" t="str">
        <f>IFERROR(__xludf.DUMMYFUNCTION("""COMPUTED_VALUE"""),"")</f>
        <v/>
      </c>
      <c r="K5208" s="13" t="str">
        <f>IFERROR(__xludf.DUMMYFUNCTION("""COMPUTED_VALUE"""),"BT atau SU Belum Valid")</f>
        <v>BT atau SU Belum Valid</v>
      </c>
      <c r="L5208" s="13" t="str">
        <f>IFERROR(__xludf.DUMMYFUNCTION("""COMPUTED_VALUE"""),"")</f>
        <v/>
      </c>
      <c r="M5208" s="13"/>
      <c r="N5208" s="13" t="str">
        <f>IFERROR(__xludf.DUMMYFUNCTION("""COMPUTED_VALUE"""),"")</f>
        <v/>
      </c>
      <c r="O5208" s="13" t="str">
        <f t="shared" si="1"/>
        <v/>
      </c>
    </row>
    <row r="5209" ht="22.5" customHeight="1">
      <c r="B5209" s="13">
        <f>IFERROR(__xludf.DUMMYFUNCTION("""COMPUTED_VALUE"""),5204.0)</f>
        <v>5204</v>
      </c>
      <c r="C5209" s="13"/>
      <c r="D5209" s="13" t="str">
        <f>IFERROR(__xludf.DUMMYFUNCTION("""COMPUTED_VALUE"""),"AB036/ABSOLDWS")</f>
        <v>AB036/ABSOLDWS</v>
      </c>
      <c r="E5209" s="14"/>
      <c r="F5209" s="14"/>
      <c r="G5209" s="17" t="str">
        <f>IFERROR(__xludf.DUMMYFUNCTION("""COMPUTED_VALUE"""),"")</f>
        <v/>
      </c>
      <c r="H5209" s="14"/>
      <c r="I5209" s="13"/>
      <c r="J5209" s="17" t="str">
        <f>IFERROR(__xludf.DUMMYFUNCTION("""COMPUTED_VALUE"""),"")</f>
        <v/>
      </c>
      <c r="K5209" s="13" t="str">
        <f>IFERROR(__xludf.DUMMYFUNCTION("""COMPUTED_VALUE"""),"BT atau SU Belum Valid")</f>
        <v>BT atau SU Belum Valid</v>
      </c>
      <c r="L5209" s="13" t="str">
        <f>IFERROR(__xludf.DUMMYFUNCTION("""COMPUTED_VALUE"""),"")</f>
        <v/>
      </c>
      <c r="M5209" s="13"/>
      <c r="N5209" s="13" t="str">
        <f>IFERROR(__xludf.DUMMYFUNCTION("""COMPUTED_VALUE"""),"")</f>
        <v/>
      </c>
      <c r="O5209" s="13" t="str">
        <f t="shared" si="1"/>
        <v/>
      </c>
    </row>
    <row r="5210" ht="22.5" customHeight="1">
      <c r="B5210" s="13">
        <f>IFERROR(__xludf.DUMMYFUNCTION("""COMPUTED_VALUE"""),5205.0)</f>
        <v>5205</v>
      </c>
      <c r="C5210" s="13"/>
      <c r="D5210" s="13" t="str">
        <f>IFERROR(__xludf.DUMMYFUNCTION("""COMPUTED_VALUE"""),"AB036/ABSOLDWS")</f>
        <v>AB036/ABSOLDWS</v>
      </c>
      <c r="E5210" s="14"/>
      <c r="F5210" s="14"/>
      <c r="G5210" s="17" t="str">
        <f>IFERROR(__xludf.DUMMYFUNCTION("""COMPUTED_VALUE"""),"")</f>
        <v/>
      </c>
      <c r="H5210" s="14"/>
      <c r="I5210" s="13"/>
      <c r="J5210" s="17" t="str">
        <f>IFERROR(__xludf.DUMMYFUNCTION("""COMPUTED_VALUE"""),"")</f>
        <v/>
      </c>
      <c r="K5210" s="13" t="str">
        <f>IFERROR(__xludf.DUMMYFUNCTION("""COMPUTED_VALUE"""),"BT atau SU Belum Valid")</f>
        <v>BT atau SU Belum Valid</v>
      </c>
      <c r="L5210" s="13" t="str">
        <f>IFERROR(__xludf.DUMMYFUNCTION("""COMPUTED_VALUE"""),"")</f>
        <v/>
      </c>
      <c r="M5210" s="13"/>
      <c r="N5210" s="13" t="str">
        <f>IFERROR(__xludf.DUMMYFUNCTION("""COMPUTED_VALUE"""),"")</f>
        <v/>
      </c>
      <c r="O5210" s="13" t="str">
        <f t="shared" si="1"/>
        <v/>
      </c>
    </row>
    <row r="5211" ht="22.5" customHeight="1">
      <c r="B5211" s="13">
        <f>IFERROR(__xludf.DUMMYFUNCTION("""COMPUTED_VALUE"""),5206.0)</f>
        <v>5206</v>
      </c>
      <c r="C5211" s="13"/>
      <c r="D5211" s="13" t="str">
        <f>IFERROR(__xludf.DUMMYFUNCTION("""COMPUTED_VALUE"""),"AB036/ABSOLDWS")</f>
        <v>AB036/ABSOLDWS</v>
      </c>
      <c r="E5211" s="14"/>
      <c r="F5211" s="14"/>
      <c r="G5211" s="17" t="str">
        <f>IFERROR(__xludf.DUMMYFUNCTION("""COMPUTED_VALUE"""),"")</f>
        <v/>
      </c>
      <c r="H5211" s="14"/>
      <c r="I5211" s="13"/>
      <c r="J5211" s="17" t="str">
        <f>IFERROR(__xludf.DUMMYFUNCTION("""COMPUTED_VALUE"""),"")</f>
        <v/>
      </c>
      <c r="K5211" s="13" t="str">
        <f>IFERROR(__xludf.DUMMYFUNCTION("""COMPUTED_VALUE"""),"BT atau SU Belum Valid")</f>
        <v>BT atau SU Belum Valid</v>
      </c>
      <c r="L5211" s="13" t="str">
        <f>IFERROR(__xludf.DUMMYFUNCTION("""COMPUTED_VALUE"""),"")</f>
        <v/>
      </c>
      <c r="M5211" s="13"/>
      <c r="N5211" s="13" t="str">
        <f>IFERROR(__xludf.DUMMYFUNCTION("""COMPUTED_VALUE"""),"")</f>
        <v/>
      </c>
      <c r="O5211" s="13" t="str">
        <f t="shared" si="1"/>
        <v/>
      </c>
    </row>
    <row r="5212" ht="22.5" customHeight="1">
      <c r="B5212" s="13">
        <f>IFERROR(__xludf.DUMMYFUNCTION("""COMPUTED_VALUE"""),5207.0)</f>
        <v>5207</v>
      </c>
      <c r="C5212" s="13"/>
      <c r="D5212" s="13" t="str">
        <f>IFERROR(__xludf.DUMMYFUNCTION("""COMPUTED_VALUE"""),"AB036/ABSOLDWS")</f>
        <v>AB036/ABSOLDWS</v>
      </c>
      <c r="E5212" s="14"/>
      <c r="F5212" s="14"/>
      <c r="G5212" s="17" t="str">
        <f>IFERROR(__xludf.DUMMYFUNCTION("""COMPUTED_VALUE"""),"")</f>
        <v/>
      </c>
      <c r="H5212" s="14"/>
      <c r="I5212" s="13"/>
      <c r="J5212" s="17" t="str">
        <f>IFERROR(__xludf.DUMMYFUNCTION("""COMPUTED_VALUE"""),"")</f>
        <v/>
      </c>
      <c r="K5212" s="13" t="str">
        <f>IFERROR(__xludf.DUMMYFUNCTION("""COMPUTED_VALUE"""),"BT atau SU Belum Valid")</f>
        <v>BT atau SU Belum Valid</v>
      </c>
      <c r="L5212" s="13" t="str">
        <f>IFERROR(__xludf.DUMMYFUNCTION("""COMPUTED_VALUE"""),"")</f>
        <v/>
      </c>
      <c r="M5212" s="13"/>
      <c r="N5212" s="13" t="str">
        <f>IFERROR(__xludf.DUMMYFUNCTION("""COMPUTED_VALUE"""),"")</f>
        <v/>
      </c>
      <c r="O5212" s="13" t="str">
        <f t="shared" si="1"/>
        <v/>
      </c>
    </row>
    <row r="5213" ht="22.5" customHeight="1">
      <c r="B5213" s="13">
        <f>IFERROR(__xludf.DUMMYFUNCTION("""COMPUTED_VALUE"""),5208.0)</f>
        <v>5208</v>
      </c>
      <c r="C5213" s="13"/>
      <c r="D5213" s="13" t="str">
        <f>IFERROR(__xludf.DUMMYFUNCTION("""COMPUTED_VALUE"""),"AB036/ABSOLDWS")</f>
        <v>AB036/ABSOLDWS</v>
      </c>
      <c r="E5213" s="14"/>
      <c r="F5213" s="14"/>
      <c r="G5213" s="17" t="str">
        <f>IFERROR(__xludf.DUMMYFUNCTION("""COMPUTED_VALUE"""),"")</f>
        <v/>
      </c>
      <c r="H5213" s="14"/>
      <c r="I5213" s="13"/>
      <c r="J5213" s="17" t="str">
        <f>IFERROR(__xludf.DUMMYFUNCTION("""COMPUTED_VALUE"""),"")</f>
        <v/>
      </c>
      <c r="K5213" s="13" t="str">
        <f>IFERROR(__xludf.DUMMYFUNCTION("""COMPUTED_VALUE"""),"BT atau SU Belum Valid")</f>
        <v>BT atau SU Belum Valid</v>
      </c>
      <c r="L5213" s="13" t="str">
        <f>IFERROR(__xludf.DUMMYFUNCTION("""COMPUTED_VALUE"""),"")</f>
        <v/>
      </c>
      <c r="M5213" s="13"/>
      <c r="N5213" s="13" t="str">
        <f>IFERROR(__xludf.DUMMYFUNCTION("""COMPUTED_VALUE"""),"")</f>
        <v/>
      </c>
      <c r="O5213" s="13" t="str">
        <f t="shared" si="1"/>
        <v/>
      </c>
    </row>
    <row r="5214" ht="22.5" customHeight="1">
      <c r="B5214" s="13">
        <f>IFERROR(__xludf.DUMMYFUNCTION("""COMPUTED_VALUE"""),5209.0)</f>
        <v>5209</v>
      </c>
      <c r="C5214" s="13"/>
      <c r="D5214" s="13" t="str">
        <f>IFERROR(__xludf.DUMMYFUNCTION("""COMPUTED_VALUE"""),"AB036/ABSOLDWS")</f>
        <v>AB036/ABSOLDWS</v>
      </c>
      <c r="E5214" s="14"/>
      <c r="F5214" s="14"/>
      <c r="G5214" s="17" t="str">
        <f>IFERROR(__xludf.DUMMYFUNCTION("""COMPUTED_VALUE"""),"")</f>
        <v/>
      </c>
      <c r="H5214" s="14"/>
      <c r="I5214" s="13"/>
      <c r="J5214" s="17" t="str">
        <f>IFERROR(__xludf.DUMMYFUNCTION("""COMPUTED_VALUE"""),"")</f>
        <v/>
      </c>
      <c r="K5214" s="13" t="str">
        <f>IFERROR(__xludf.DUMMYFUNCTION("""COMPUTED_VALUE"""),"BT atau SU Belum Valid")</f>
        <v>BT atau SU Belum Valid</v>
      </c>
      <c r="L5214" s="13" t="str">
        <f>IFERROR(__xludf.DUMMYFUNCTION("""COMPUTED_VALUE"""),"")</f>
        <v/>
      </c>
      <c r="M5214" s="13"/>
      <c r="N5214" s="13" t="str">
        <f>IFERROR(__xludf.DUMMYFUNCTION("""COMPUTED_VALUE"""),"")</f>
        <v/>
      </c>
      <c r="O5214" s="13" t="str">
        <f t="shared" si="1"/>
        <v/>
      </c>
    </row>
    <row r="5215" ht="22.5" customHeight="1">
      <c r="B5215" s="13">
        <f>IFERROR(__xludf.DUMMYFUNCTION("""COMPUTED_VALUE"""),5210.0)</f>
        <v>5210</v>
      </c>
      <c r="C5215" s="13"/>
      <c r="D5215" s="13" t="str">
        <f>IFERROR(__xludf.DUMMYFUNCTION("""COMPUTED_VALUE"""),"AB036/ABSOLDWS")</f>
        <v>AB036/ABSOLDWS</v>
      </c>
      <c r="E5215" s="14"/>
      <c r="F5215" s="14"/>
      <c r="G5215" s="17" t="str">
        <f>IFERROR(__xludf.DUMMYFUNCTION("""COMPUTED_VALUE"""),"")</f>
        <v/>
      </c>
      <c r="H5215" s="14"/>
      <c r="I5215" s="13"/>
      <c r="J5215" s="17" t="str">
        <f>IFERROR(__xludf.DUMMYFUNCTION("""COMPUTED_VALUE"""),"")</f>
        <v/>
      </c>
      <c r="K5215" s="13" t="str">
        <f>IFERROR(__xludf.DUMMYFUNCTION("""COMPUTED_VALUE"""),"BT atau SU Belum Valid")</f>
        <v>BT atau SU Belum Valid</v>
      </c>
      <c r="L5215" s="13" t="str">
        <f>IFERROR(__xludf.DUMMYFUNCTION("""COMPUTED_VALUE"""),"")</f>
        <v/>
      </c>
      <c r="M5215" s="13"/>
      <c r="N5215" s="13" t="str">
        <f>IFERROR(__xludf.DUMMYFUNCTION("""COMPUTED_VALUE"""),"")</f>
        <v/>
      </c>
      <c r="O5215" s="13" t="str">
        <f t="shared" si="1"/>
        <v/>
      </c>
    </row>
    <row r="5216" ht="22.5" customHeight="1">
      <c r="B5216" s="13">
        <f>IFERROR(__xludf.DUMMYFUNCTION("""COMPUTED_VALUE"""),5211.0)</f>
        <v>5211</v>
      </c>
      <c r="C5216" s="13"/>
      <c r="D5216" s="13" t="str">
        <f>IFERROR(__xludf.DUMMYFUNCTION("""COMPUTED_VALUE"""),"AB036/ABSOLDWS")</f>
        <v>AB036/ABSOLDWS</v>
      </c>
      <c r="E5216" s="14"/>
      <c r="F5216" s="14"/>
      <c r="G5216" s="17" t="str">
        <f>IFERROR(__xludf.DUMMYFUNCTION("""COMPUTED_VALUE"""),"")</f>
        <v/>
      </c>
      <c r="H5216" s="14"/>
      <c r="I5216" s="13"/>
      <c r="J5216" s="17" t="str">
        <f>IFERROR(__xludf.DUMMYFUNCTION("""COMPUTED_VALUE"""),"")</f>
        <v/>
      </c>
      <c r="K5216" s="13" t="str">
        <f>IFERROR(__xludf.DUMMYFUNCTION("""COMPUTED_VALUE"""),"BT atau SU Belum Valid")</f>
        <v>BT atau SU Belum Valid</v>
      </c>
      <c r="L5216" s="13" t="str">
        <f>IFERROR(__xludf.DUMMYFUNCTION("""COMPUTED_VALUE"""),"")</f>
        <v/>
      </c>
      <c r="M5216" s="13"/>
      <c r="N5216" s="13" t="str">
        <f>IFERROR(__xludf.DUMMYFUNCTION("""COMPUTED_VALUE"""),"")</f>
        <v/>
      </c>
      <c r="O5216" s="13" t="str">
        <f t="shared" si="1"/>
        <v/>
      </c>
    </row>
    <row r="5217" ht="22.5" customHeight="1">
      <c r="B5217" s="13">
        <f>IFERROR(__xludf.DUMMYFUNCTION("""COMPUTED_VALUE"""),5212.0)</f>
        <v>5212</v>
      </c>
      <c r="C5217" s="13"/>
      <c r="D5217" s="13" t="str">
        <f>IFERROR(__xludf.DUMMYFUNCTION("""COMPUTED_VALUE"""),"AB036/ABSOLDWS")</f>
        <v>AB036/ABSOLDWS</v>
      </c>
      <c r="E5217" s="14"/>
      <c r="F5217" s="14"/>
      <c r="G5217" s="17" t="str">
        <f>IFERROR(__xludf.DUMMYFUNCTION("""COMPUTED_VALUE"""),"")</f>
        <v/>
      </c>
      <c r="H5217" s="14"/>
      <c r="I5217" s="13"/>
      <c r="J5217" s="17" t="str">
        <f>IFERROR(__xludf.DUMMYFUNCTION("""COMPUTED_VALUE"""),"")</f>
        <v/>
      </c>
      <c r="K5217" s="13" t="str">
        <f>IFERROR(__xludf.DUMMYFUNCTION("""COMPUTED_VALUE"""),"BT atau SU Belum Valid")</f>
        <v>BT atau SU Belum Valid</v>
      </c>
      <c r="L5217" s="13" t="str">
        <f>IFERROR(__xludf.DUMMYFUNCTION("""COMPUTED_VALUE"""),"")</f>
        <v/>
      </c>
      <c r="M5217" s="13"/>
      <c r="N5217" s="13" t="str">
        <f>IFERROR(__xludf.DUMMYFUNCTION("""COMPUTED_VALUE"""),"")</f>
        <v/>
      </c>
      <c r="O5217" s="13" t="str">
        <f t="shared" si="1"/>
        <v/>
      </c>
    </row>
    <row r="5218" ht="22.5" customHeight="1">
      <c r="B5218" s="13">
        <f>IFERROR(__xludf.DUMMYFUNCTION("""COMPUTED_VALUE"""),5213.0)</f>
        <v>5213</v>
      </c>
      <c r="C5218" s="13"/>
      <c r="D5218" s="13" t="str">
        <f>IFERROR(__xludf.DUMMYFUNCTION("""COMPUTED_VALUE"""),"AB036/ABSOLDWS")</f>
        <v>AB036/ABSOLDWS</v>
      </c>
      <c r="E5218" s="14"/>
      <c r="F5218" s="14"/>
      <c r="G5218" s="17" t="str">
        <f>IFERROR(__xludf.DUMMYFUNCTION("""COMPUTED_VALUE"""),"")</f>
        <v/>
      </c>
      <c r="H5218" s="14"/>
      <c r="I5218" s="13"/>
      <c r="J5218" s="17" t="str">
        <f>IFERROR(__xludf.DUMMYFUNCTION("""COMPUTED_VALUE"""),"")</f>
        <v/>
      </c>
      <c r="K5218" s="13" t="str">
        <f>IFERROR(__xludf.DUMMYFUNCTION("""COMPUTED_VALUE"""),"BT atau SU Belum Valid")</f>
        <v>BT atau SU Belum Valid</v>
      </c>
      <c r="L5218" s="13" t="str">
        <f>IFERROR(__xludf.DUMMYFUNCTION("""COMPUTED_VALUE"""),"")</f>
        <v/>
      </c>
      <c r="M5218" s="13"/>
      <c r="N5218" s="13" t="str">
        <f>IFERROR(__xludf.DUMMYFUNCTION("""COMPUTED_VALUE"""),"")</f>
        <v/>
      </c>
      <c r="O5218" s="13" t="str">
        <f t="shared" si="1"/>
        <v/>
      </c>
    </row>
    <row r="5219" ht="22.5" customHeight="1">
      <c r="B5219" s="13">
        <f>IFERROR(__xludf.DUMMYFUNCTION("""COMPUTED_VALUE"""),5214.0)</f>
        <v>5214</v>
      </c>
      <c r="C5219" s="13"/>
      <c r="D5219" s="13" t="str">
        <f>IFERROR(__xludf.DUMMYFUNCTION("""COMPUTED_VALUE"""),"AB036/ABSOLDWS")</f>
        <v>AB036/ABSOLDWS</v>
      </c>
      <c r="E5219" s="14"/>
      <c r="F5219" s="14"/>
      <c r="G5219" s="17" t="str">
        <f>IFERROR(__xludf.DUMMYFUNCTION("""COMPUTED_VALUE"""),"")</f>
        <v/>
      </c>
      <c r="H5219" s="14"/>
      <c r="I5219" s="13"/>
      <c r="J5219" s="17" t="str">
        <f>IFERROR(__xludf.DUMMYFUNCTION("""COMPUTED_VALUE"""),"")</f>
        <v/>
      </c>
      <c r="K5219" s="13" t="str">
        <f>IFERROR(__xludf.DUMMYFUNCTION("""COMPUTED_VALUE"""),"BT atau SU Belum Valid")</f>
        <v>BT atau SU Belum Valid</v>
      </c>
      <c r="L5219" s="13" t="str">
        <f>IFERROR(__xludf.DUMMYFUNCTION("""COMPUTED_VALUE"""),"")</f>
        <v/>
      </c>
      <c r="M5219" s="13"/>
      <c r="N5219" s="13" t="str">
        <f>IFERROR(__xludf.DUMMYFUNCTION("""COMPUTED_VALUE"""),"")</f>
        <v/>
      </c>
      <c r="O5219" s="13" t="str">
        <f t="shared" si="1"/>
        <v/>
      </c>
    </row>
    <row r="5220" ht="22.5" customHeight="1">
      <c r="B5220" s="13">
        <f>IFERROR(__xludf.DUMMYFUNCTION("""COMPUTED_VALUE"""),5215.0)</f>
        <v>5215</v>
      </c>
      <c r="C5220" s="13"/>
      <c r="D5220" s="13" t="str">
        <f>IFERROR(__xludf.DUMMYFUNCTION("""COMPUTED_VALUE"""),"AB036/ABSOLDWS")</f>
        <v>AB036/ABSOLDWS</v>
      </c>
      <c r="E5220" s="14"/>
      <c r="F5220" s="14"/>
      <c r="G5220" s="17" t="str">
        <f>IFERROR(__xludf.DUMMYFUNCTION("""COMPUTED_VALUE"""),"")</f>
        <v/>
      </c>
      <c r="H5220" s="14"/>
      <c r="I5220" s="13"/>
      <c r="J5220" s="17" t="str">
        <f>IFERROR(__xludf.DUMMYFUNCTION("""COMPUTED_VALUE"""),"")</f>
        <v/>
      </c>
      <c r="K5220" s="13" t="str">
        <f>IFERROR(__xludf.DUMMYFUNCTION("""COMPUTED_VALUE"""),"BT atau SU Belum Valid")</f>
        <v>BT atau SU Belum Valid</v>
      </c>
      <c r="L5220" s="13" t="str">
        <f>IFERROR(__xludf.DUMMYFUNCTION("""COMPUTED_VALUE"""),"")</f>
        <v/>
      </c>
      <c r="M5220" s="13"/>
      <c r="N5220" s="13" t="str">
        <f>IFERROR(__xludf.DUMMYFUNCTION("""COMPUTED_VALUE"""),"")</f>
        <v/>
      </c>
      <c r="O5220" s="13" t="str">
        <f t="shared" si="1"/>
        <v/>
      </c>
    </row>
    <row r="5221" ht="22.5" customHeight="1">
      <c r="B5221" s="13">
        <f>IFERROR(__xludf.DUMMYFUNCTION("""COMPUTED_VALUE"""),5216.0)</f>
        <v>5216</v>
      </c>
      <c r="C5221" s="13"/>
      <c r="D5221" s="13" t="str">
        <f>IFERROR(__xludf.DUMMYFUNCTION("""COMPUTED_VALUE"""),"AB036/ABSOLDWS")</f>
        <v>AB036/ABSOLDWS</v>
      </c>
      <c r="E5221" s="14"/>
      <c r="F5221" s="14"/>
      <c r="G5221" s="17" t="str">
        <f>IFERROR(__xludf.DUMMYFUNCTION("""COMPUTED_VALUE"""),"")</f>
        <v/>
      </c>
      <c r="H5221" s="14"/>
      <c r="I5221" s="13"/>
      <c r="J5221" s="17" t="str">
        <f>IFERROR(__xludf.DUMMYFUNCTION("""COMPUTED_VALUE"""),"")</f>
        <v/>
      </c>
      <c r="K5221" s="13" t="str">
        <f>IFERROR(__xludf.DUMMYFUNCTION("""COMPUTED_VALUE"""),"BT atau SU Belum Valid")</f>
        <v>BT atau SU Belum Valid</v>
      </c>
      <c r="L5221" s="13" t="str">
        <f>IFERROR(__xludf.DUMMYFUNCTION("""COMPUTED_VALUE"""),"")</f>
        <v/>
      </c>
      <c r="M5221" s="13"/>
      <c r="N5221" s="13" t="str">
        <f>IFERROR(__xludf.DUMMYFUNCTION("""COMPUTED_VALUE"""),"")</f>
        <v/>
      </c>
      <c r="O5221" s="13" t="str">
        <f t="shared" si="1"/>
        <v/>
      </c>
    </row>
    <row r="5222" ht="22.5" customHeight="1">
      <c r="B5222" s="13">
        <f>IFERROR(__xludf.DUMMYFUNCTION("""COMPUTED_VALUE"""),5217.0)</f>
        <v>5217</v>
      </c>
      <c r="C5222" s="13"/>
      <c r="D5222" s="13" t="str">
        <f>IFERROR(__xludf.DUMMYFUNCTION("""COMPUTED_VALUE"""),"AB036/ABSOLDWS")</f>
        <v>AB036/ABSOLDWS</v>
      </c>
      <c r="E5222" s="14"/>
      <c r="F5222" s="14"/>
      <c r="G5222" s="17" t="str">
        <f>IFERROR(__xludf.DUMMYFUNCTION("""COMPUTED_VALUE"""),"")</f>
        <v/>
      </c>
      <c r="H5222" s="14"/>
      <c r="I5222" s="13"/>
      <c r="J5222" s="17" t="str">
        <f>IFERROR(__xludf.DUMMYFUNCTION("""COMPUTED_VALUE"""),"")</f>
        <v/>
      </c>
      <c r="K5222" s="13" t="str">
        <f>IFERROR(__xludf.DUMMYFUNCTION("""COMPUTED_VALUE"""),"BT atau SU Belum Valid")</f>
        <v>BT atau SU Belum Valid</v>
      </c>
      <c r="L5222" s="13" t="str">
        <f>IFERROR(__xludf.DUMMYFUNCTION("""COMPUTED_VALUE"""),"")</f>
        <v/>
      </c>
      <c r="M5222" s="13"/>
      <c r="N5222" s="13" t="str">
        <f>IFERROR(__xludf.DUMMYFUNCTION("""COMPUTED_VALUE"""),"")</f>
        <v/>
      </c>
      <c r="O5222" s="13" t="str">
        <f t="shared" si="1"/>
        <v/>
      </c>
    </row>
    <row r="5223" ht="22.5" customHeight="1">
      <c r="B5223" s="13">
        <f>IFERROR(__xludf.DUMMYFUNCTION("""COMPUTED_VALUE"""),5218.0)</f>
        <v>5218</v>
      </c>
      <c r="C5223" s="13"/>
      <c r="D5223" s="13" t="str">
        <f>IFERROR(__xludf.DUMMYFUNCTION("""COMPUTED_VALUE"""),"AB036/ABSOLDWS")</f>
        <v>AB036/ABSOLDWS</v>
      </c>
      <c r="E5223" s="14"/>
      <c r="F5223" s="14"/>
      <c r="G5223" s="17" t="str">
        <f>IFERROR(__xludf.DUMMYFUNCTION("""COMPUTED_VALUE"""),"")</f>
        <v/>
      </c>
      <c r="H5223" s="14"/>
      <c r="I5223" s="13"/>
      <c r="J5223" s="17" t="str">
        <f>IFERROR(__xludf.DUMMYFUNCTION("""COMPUTED_VALUE"""),"")</f>
        <v/>
      </c>
      <c r="K5223" s="13" t="str">
        <f>IFERROR(__xludf.DUMMYFUNCTION("""COMPUTED_VALUE"""),"BT atau SU Belum Valid")</f>
        <v>BT atau SU Belum Valid</v>
      </c>
      <c r="L5223" s="13" t="str">
        <f>IFERROR(__xludf.DUMMYFUNCTION("""COMPUTED_VALUE"""),"")</f>
        <v/>
      </c>
      <c r="M5223" s="13"/>
      <c r="N5223" s="13" t="str">
        <f>IFERROR(__xludf.DUMMYFUNCTION("""COMPUTED_VALUE"""),"")</f>
        <v/>
      </c>
      <c r="O5223" s="13" t="str">
        <f t="shared" si="1"/>
        <v/>
      </c>
    </row>
    <row r="5224" ht="22.5" customHeight="1">
      <c r="B5224" s="13">
        <f>IFERROR(__xludf.DUMMYFUNCTION("""COMPUTED_VALUE"""),5219.0)</f>
        <v>5219</v>
      </c>
      <c r="C5224" s="13"/>
      <c r="D5224" s="13" t="str">
        <f>IFERROR(__xludf.DUMMYFUNCTION("""COMPUTED_VALUE"""),"AB036/ABSOLDWS")</f>
        <v>AB036/ABSOLDWS</v>
      </c>
      <c r="E5224" s="14"/>
      <c r="F5224" s="14"/>
      <c r="G5224" s="17" t="str">
        <f>IFERROR(__xludf.DUMMYFUNCTION("""COMPUTED_VALUE"""),"")</f>
        <v/>
      </c>
      <c r="H5224" s="14"/>
      <c r="I5224" s="13"/>
      <c r="J5224" s="17" t="str">
        <f>IFERROR(__xludf.DUMMYFUNCTION("""COMPUTED_VALUE"""),"")</f>
        <v/>
      </c>
      <c r="K5224" s="13" t="str">
        <f>IFERROR(__xludf.DUMMYFUNCTION("""COMPUTED_VALUE"""),"BT atau SU Belum Valid")</f>
        <v>BT atau SU Belum Valid</v>
      </c>
      <c r="L5224" s="13" t="str">
        <f>IFERROR(__xludf.DUMMYFUNCTION("""COMPUTED_VALUE"""),"")</f>
        <v/>
      </c>
      <c r="M5224" s="13"/>
      <c r="N5224" s="13" t="str">
        <f>IFERROR(__xludf.DUMMYFUNCTION("""COMPUTED_VALUE"""),"")</f>
        <v/>
      </c>
      <c r="O5224" s="13" t="str">
        <f t="shared" si="1"/>
        <v/>
      </c>
    </row>
    <row r="5225" ht="22.5" customHeight="1">
      <c r="B5225" s="13">
        <f>IFERROR(__xludf.DUMMYFUNCTION("""COMPUTED_VALUE"""),5220.0)</f>
        <v>5220</v>
      </c>
      <c r="C5225" s="13"/>
      <c r="D5225" s="13" t="str">
        <f>IFERROR(__xludf.DUMMYFUNCTION("""COMPUTED_VALUE"""),"AB036/ABSOLDWS")</f>
        <v>AB036/ABSOLDWS</v>
      </c>
      <c r="E5225" s="14"/>
      <c r="F5225" s="14"/>
      <c r="G5225" s="17" t="str">
        <f>IFERROR(__xludf.DUMMYFUNCTION("""COMPUTED_VALUE"""),"")</f>
        <v/>
      </c>
      <c r="H5225" s="14"/>
      <c r="I5225" s="13"/>
      <c r="J5225" s="17" t="str">
        <f>IFERROR(__xludf.DUMMYFUNCTION("""COMPUTED_VALUE"""),"")</f>
        <v/>
      </c>
      <c r="K5225" s="13" t="str">
        <f>IFERROR(__xludf.DUMMYFUNCTION("""COMPUTED_VALUE"""),"BT atau SU Belum Valid")</f>
        <v>BT atau SU Belum Valid</v>
      </c>
      <c r="L5225" s="13" t="str">
        <f>IFERROR(__xludf.DUMMYFUNCTION("""COMPUTED_VALUE"""),"")</f>
        <v/>
      </c>
      <c r="M5225" s="13"/>
      <c r="N5225" s="13" t="str">
        <f>IFERROR(__xludf.DUMMYFUNCTION("""COMPUTED_VALUE"""),"")</f>
        <v/>
      </c>
      <c r="O5225" s="13" t="str">
        <f t="shared" si="1"/>
        <v/>
      </c>
    </row>
    <row r="5226" ht="22.5" customHeight="1">
      <c r="B5226" s="13">
        <f>IFERROR(__xludf.DUMMYFUNCTION("""COMPUTED_VALUE"""),5221.0)</f>
        <v>5221</v>
      </c>
      <c r="C5226" s="13"/>
      <c r="D5226" s="13" t="str">
        <f>IFERROR(__xludf.DUMMYFUNCTION("""COMPUTED_VALUE"""),"AB036/ABSOLDWS")</f>
        <v>AB036/ABSOLDWS</v>
      </c>
      <c r="E5226" s="14"/>
      <c r="F5226" s="14"/>
      <c r="G5226" s="17" t="str">
        <f>IFERROR(__xludf.DUMMYFUNCTION("""COMPUTED_VALUE"""),"")</f>
        <v/>
      </c>
      <c r="H5226" s="14"/>
      <c r="I5226" s="13"/>
      <c r="J5226" s="17" t="str">
        <f>IFERROR(__xludf.DUMMYFUNCTION("""COMPUTED_VALUE"""),"")</f>
        <v/>
      </c>
      <c r="K5226" s="13" t="str">
        <f>IFERROR(__xludf.DUMMYFUNCTION("""COMPUTED_VALUE"""),"BT atau SU Belum Valid")</f>
        <v>BT atau SU Belum Valid</v>
      </c>
      <c r="L5226" s="13" t="str">
        <f>IFERROR(__xludf.DUMMYFUNCTION("""COMPUTED_VALUE"""),"")</f>
        <v/>
      </c>
      <c r="M5226" s="13"/>
      <c r="N5226" s="13" t="str">
        <f>IFERROR(__xludf.DUMMYFUNCTION("""COMPUTED_VALUE"""),"")</f>
        <v/>
      </c>
      <c r="O5226" s="13" t="str">
        <f t="shared" si="1"/>
        <v/>
      </c>
    </row>
    <row r="5227" ht="22.5" customHeight="1">
      <c r="B5227" s="13">
        <f>IFERROR(__xludf.DUMMYFUNCTION("""COMPUTED_VALUE"""),5222.0)</f>
        <v>5222</v>
      </c>
      <c r="C5227" s="13"/>
      <c r="D5227" s="13" t="str">
        <f>IFERROR(__xludf.DUMMYFUNCTION("""COMPUTED_VALUE"""),"AB036/ABSOLDWS")</f>
        <v>AB036/ABSOLDWS</v>
      </c>
      <c r="E5227" s="14"/>
      <c r="F5227" s="14"/>
      <c r="G5227" s="17" t="str">
        <f>IFERROR(__xludf.DUMMYFUNCTION("""COMPUTED_VALUE"""),"")</f>
        <v/>
      </c>
      <c r="H5227" s="14"/>
      <c r="I5227" s="13"/>
      <c r="J5227" s="17" t="str">
        <f>IFERROR(__xludf.DUMMYFUNCTION("""COMPUTED_VALUE"""),"")</f>
        <v/>
      </c>
      <c r="K5227" s="13" t="str">
        <f>IFERROR(__xludf.DUMMYFUNCTION("""COMPUTED_VALUE"""),"BT atau SU Belum Valid")</f>
        <v>BT atau SU Belum Valid</v>
      </c>
      <c r="L5227" s="13" t="str">
        <f>IFERROR(__xludf.DUMMYFUNCTION("""COMPUTED_VALUE"""),"")</f>
        <v/>
      </c>
      <c r="M5227" s="13"/>
      <c r="N5227" s="13" t="str">
        <f>IFERROR(__xludf.DUMMYFUNCTION("""COMPUTED_VALUE"""),"")</f>
        <v/>
      </c>
      <c r="O5227" s="13" t="str">
        <f t="shared" si="1"/>
        <v/>
      </c>
    </row>
    <row r="5228" ht="22.5" customHeight="1">
      <c r="B5228" s="13">
        <f>IFERROR(__xludf.DUMMYFUNCTION("""COMPUTED_VALUE"""),5223.0)</f>
        <v>5223</v>
      </c>
      <c r="C5228" s="13"/>
      <c r="D5228" s="13" t="str">
        <f>IFERROR(__xludf.DUMMYFUNCTION("""COMPUTED_VALUE"""),"AB036/ABSOLDWS")</f>
        <v>AB036/ABSOLDWS</v>
      </c>
      <c r="E5228" s="14"/>
      <c r="F5228" s="14"/>
      <c r="G5228" s="17" t="str">
        <f>IFERROR(__xludf.DUMMYFUNCTION("""COMPUTED_VALUE"""),"")</f>
        <v/>
      </c>
      <c r="H5228" s="14"/>
      <c r="I5228" s="13"/>
      <c r="J5228" s="17" t="str">
        <f>IFERROR(__xludf.DUMMYFUNCTION("""COMPUTED_VALUE"""),"")</f>
        <v/>
      </c>
      <c r="K5228" s="13" t="str">
        <f>IFERROR(__xludf.DUMMYFUNCTION("""COMPUTED_VALUE"""),"BT atau SU Belum Valid")</f>
        <v>BT atau SU Belum Valid</v>
      </c>
      <c r="L5228" s="13" t="str">
        <f>IFERROR(__xludf.DUMMYFUNCTION("""COMPUTED_VALUE"""),"")</f>
        <v/>
      </c>
      <c r="M5228" s="13"/>
      <c r="N5228" s="13" t="str">
        <f>IFERROR(__xludf.DUMMYFUNCTION("""COMPUTED_VALUE"""),"")</f>
        <v/>
      </c>
      <c r="O5228" s="13" t="str">
        <f t="shared" si="1"/>
        <v/>
      </c>
    </row>
    <row r="5229" ht="22.5" customHeight="1">
      <c r="B5229" s="13">
        <f>IFERROR(__xludf.DUMMYFUNCTION("""COMPUTED_VALUE"""),5224.0)</f>
        <v>5224</v>
      </c>
      <c r="C5229" s="13"/>
      <c r="D5229" s="13" t="str">
        <f>IFERROR(__xludf.DUMMYFUNCTION("""COMPUTED_VALUE"""),"AB036/ABSOLDWS")</f>
        <v>AB036/ABSOLDWS</v>
      </c>
      <c r="E5229" s="14"/>
      <c r="F5229" s="14"/>
      <c r="G5229" s="17" t="str">
        <f>IFERROR(__xludf.DUMMYFUNCTION("""COMPUTED_VALUE"""),"")</f>
        <v/>
      </c>
      <c r="H5229" s="14"/>
      <c r="I5229" s="13"/>
      <c r="J5229" s="17" t="str">
        <f>IFERROR(__xludf.DUMMYFUNCTION("""COMPUTED_VALUE"""),"")</f>
        <v/>
      </c>
      <c r="K5229" s="13" t="str">
        <f>IFERROR(__xludf.DUMMYFUNCTION("""COMPUTED_VALUE"""),"BT atau SU Belum Valid")</f>
        <v>BT atau SU Belum Valid</v>
      </c>
      <c r="L5229" s="13" t="str">
        <f>IFERROR(__xludf.DUMMYFUNCTION("""COMPUTED_VALUE"""),"")</f>
        <v/>
      </c>
      <c r="M5229" s="13"/>
      <c r="N5229" s="13" t="str">
        <f>IFERROR(__xludf.DUMMYFUNCTION("""COMPUTED_VALUE"""),"")</f>
        <v/>
      </c>
      <c r="O5229" s="13" t="str">
        <f t="shared" si="1"/>
        <v/>
      </c>
    </row>
    <row r="5230" ht="22.5" customHeight="1">
      <c r="B5230" s="13">
        <f>IFERROR(__xludf.DUMMYFUNCTION("""COMPUTED_VALUE"""),5225.0)</f>
        <v>5225</v>
      </c>
      <c r="C5230" s="13"/>
      <c r="D5230" s="13" t="str">
        <f>IFERROR(__xludf.DUMMYFUNCTION("""COMPUTED_VALUE"""),"AB036/ABSOLDWS")</f>
        <v>AB036/ABSOLDWS</v>
      </c>
      <c r="E5230" s="14"/>
      <c r="F5230" s="14"/>
      <c r="G5230" s="17" t="str">
        <f>IFERROR(__xludf.DUMMYFUNCTION("""COMPUTED_VALUE"""),"")</f>
        <v/>
      </c>
      <c r="H5230" s="14"/>
      <c r="I5230" s="13"/>
      <c r="J5230" s="17" t="str">
        <f>IFERROR(__xludf.DUMMYFUNCTION("""COMPUTED_VALUE"""),"")</f>
        <v/>
      </c>
      <c r="K5230" s="13" t="str">
        <f>IFERROR(__xludf.DUMMYFUNCTION("""COMPUTED_VALUE"""),"BT atau SU Belum Valid")</f>
        <v>BT atau SU Belum Valid</v>
      </c>
      <c r="L5230" s="13" t="str">
        <f>IFERROR(__xludf.DUMMYFUNCTION("""COMPUTED_VALUE"""),"")</f>
        <v/>
      </c>
      <c r="M5230" s="13"/>
      <c r="N5230" s="13" t="str">
        <f>IFERROR(__xludf.DUMMYFUNCTION("""COMPUTED_VALUE"""),"")</f>
        <v/>
      </c>
      <c r="O5230" s="13" t="str">
        <f t="shared" si="1"/>
        <v/>
      </c>
    </row>
    <row r="5231" ht="22.5" customHeight="1">
      <c r="B5231" s="13">
        <f>IFERROR(__xludf.DUMMYFUNCTION("""COMPUTED_VALUE"""),5226.0)</f>
        <v>5226</v>
      </c>
      <c r="C5231" s="13"/>
      <c r="D5231" s="13" t="str">
        <f>IFERROR(__xludf.DUMMYFUNCTION("""COMPUTED_VALUE"""),"AB036/ABSOLDWS")</f>
        <v>AB036/ABSOLDWS</v>
      </c>
      <c r="E5231" s="14"/>
      <c r="F5231" s="14"/>
      <c r="G5231" s="17" t="str">
        <f>IFERROR(__xludf.DUMMYFUNCTION("""COMPUTED_VALUE"""),"")</f>
        <v/>
      </c>
      <c r="H5231" s="14"/>
      <c r="I5231" s="13"/>
      <c r="J5231" s="17" t="str">
        <f>IFERROR(__xludf.DUMMYFUNCTION("""COMPUTED_VALUE"""),"")</f>
        <v/>
      </c>
      <c r="K5231" s="13" t="str">
        <f>IFERROR(__xludf.DUMMYFUNCTION("""COMPUTED_VALUE"""),"BT atau SU Belum Valid")</f>
        <v>BT atau SU Belum Valid</v>
      </c>
      <c r="L5231" s="13" t="str">
        <f>IFERROR(__xludf.DUMMYFUNCTION("""COMPUTED_VALUE"""),"")</f>
        <v/>
      </c>
      <c r="M5231" s="13"/>
      <c r="N5231" s="13" t="str">
        <f>IFERROR(__xludf.DUMMYFUNCTION("""COMPUTED_VALUE"""),"")</f>
        <v/>
      </c>
      <c r="O5231" s="13" t="str">
        <f t="shared" si="1"/>
        <v/>
      </c>
    </row>
    <row r="5232" ht="22.5" customHeight="1">
      <c r="B5232" s="13">
        <f>IFERROR(__xludf.DUMMYFUNCTION("""COMPUTED_VALUE"""),5227.0)</f>
        <v>5227</v>
      </c>
      <c r="C5232" s="13"/>
      <c r="D5232" s="13" t="str">
        <f>IFERROR(__xludf.DUMMYFUNCTION("""COMPUTED_VALUE"""),"AB036/ABSOLDWS")</f>
        <v>AB036/ABSOLDWS</v>
      </c>
      <c r="E5232" s="14"/>
      <c r="F5232" s="14"/>
      <c r="G5232" s="17" t="str">
        <f>IFERROR(__xludf.DUMMYFUNCTION("""COMPUTED_VALUE"""),"")</f>
        <v/>
      </c>
      <c r="H5232" s="14"/>
      <c r="I5232" s="13"/>
      <c r="J5232" s="17" t="str">
        <f>IFERROR(__xludf.DUMMYFUNCTION("""COMPUTED_VALUE"""),"")</f>
        <v/>
      </c>
      <c r="K5232" s="13" t="str">
        <f>IFERROR(__xludf.DUMMYFUNCTION("""COMPUTED_VALUE"""),"BT atau SU Belum Valid")</f>
        <v>BT atau SU Belum Valid</v>
      </c>
      <c r="L5232" s="13" t="str">
        <f>IFERROR(__xludf.DUMMYFUNCTION("""COMPUTED_VALUE"""),"")</f>
        <v/>
      </c>
      <c r="M5232" s="13"/>
      <c r="N5232" s="13" t="str">
        <f>IFERROR(__xludf.DUMMYFUNCTION("""COMPUTED_VALUE"""),"")</f>
        <v/>
      </c>
      <c r="O5232" s="13" t="str">
        <f t="shared" si="1"/>
        <v/>
      </c>
    </row>
    <row r="5233" ht="22.5" customHeight="1">
      <c r="B5233" s="13">
        <f>IFERROR(__xludf.DUMMYFUNCTION("""COMPUTED_VALUE"""),5228.0)</f>
        <v>5228</v>
      </c>
      <c r="C5233" s="13"/>
      <c r="D5233" s="13" t="str">
        <f>IFERROR(__xludf.DUMMYFUNCTION("""COMPUTED_VALUE"""),"AB036/ABSOLDWS")</f>
        <v>AB036/ABSOLDWS</v>
      </c>
      <c r="E5233" s="14"/>
      <c r="F5233" s="14"/>
      <c r="G5233" s="17" t="str">
        <f>IFERROR(__xludf.DUMMYFUNCTION("""COMPUTED_VALUE"""),"")</f>
        <v/>
      </c>
      <c r="H5233" s="14"/>
      <c r="I5233" s="13"/>
      <c r="J5233" s="17" t="str">
        <f>IFERROR(__xludf.DUMMYFUNCTION("""COMPUTED_VALUE"""),"")</f>
        <v/>
      </c>
      <c r="K5233" s="13" t="str">
        <f>IFERROR(__xludf.DUMMYFUNCTION("""COMPUTED_VALUE"""),"BT atau SU Belum Valid")</f>
        <v>BT atau SU Belum Valid</v>
      </c>
      <c r="L5233" s="13" t="str">
        <f>IFERROR(__xludf.DUMMYFUNCTION("""COMPUTED_VALUE"""),"")</f>
        <v/>
      </c>
      <c r="M5233" s="13"/>
      <c r="N5233" s="13" t="str">
        <f>IFERROR(__xludf.DUMMYFUNCTION("""COMPUTED_VALUE"""),"")</f>
        <v/>
      </c>
      <c r="O5233" s="13" t="str">
        <f t="shared" si="1"/>
        <v/>
      </c>
    </row>
    <row r="5234" ht="22.5" customHeight="1">
      <c r="B5234" s="13">
        <f>IFERROR(__xludf.DUMMYFUNCTION("""COMPUTED_VALUE"""),5229.0)</f>
        <v>5229</v>
      </c>
      <c r="C5234" s="13"/>
      <c r="D5234" s="13" t="str">
        <f>IFERROR(__xludf.DUMMYFUNCTION("""COMPUTED_VALUE"""),"AB036/ABSOLDWS")</f>
        <v>AB036/ABSOLDWS</v>
      </c>
      <c r="E5234" s="14"/>
      <c r="F5234" s="14"/>
      <c r="G5234" s="17" t="str">
        <f>IFERROR(__xludf.DUMMYFUNCTION("""COMPUTED_VALUE"""),"")</f>
        <v/>
      </c>
      <c r="H5234" s="14"/>
      <c r="I5234" s="13"/>
      <c r="J5234" s="17" t="str">
        <f>IFERROR(__xludf.DUMMYFUNCTION("""COMPUTED_VALUE"""),"")</f>
        <v/>
      </c>
      <c r="K5234" s="13" t="str">
        <f>IFERROR(__xludf.DUMMYFUNCTION("""COMPUTED_VALUE"""),"BT atau SU Belum Valid")</f>
        <v>BT atau SU Belum Valid</v>
      </c>
      <c r="L5234" s="13" t="str">
        <f>IFERROR(__xludf.DUMMYFUNCTION("""COMPUTED_VALUE"""),"")</f>
        <v/>
      </c>
      <c r="M5234" s="13"/>
      <c r="N5234" s="13" t="str">
        <f>IFERROR(__xludf.DUMMYFUNCTION("""COMPUTED_VALUE"""),"")</f>
        <v/>
      </c>
      <c r="O5234" s="13" t="str">
        <f t="shared" si="1"/>
        <v/>
      </c>
    </row>
    <row r="5235" ht="22.5" customHeight="1">
      <c r="B5235" s="13">
        <f>IFERROR(__xludf.DUMMYFUNCTION("""COMPUTED_VALUE"""),5230.0)</f>
        <v>5230</v>
      </c>
      <c r="C5235" s="13"/>
      <c r="D5235" s="13" t="str">
        <f>IFERROR(__xludf.DUMMYFUNCTION("""COMPUTED_VALUE"""),"AB036/ABSOLDWS")</f>
        <v>AB036/ABSOLDWS</v>
      </c>
      <c r="E5235" s="14"/>
      <c r="F5235" s="14"/>
      <c r="G5235" s="17" t="str">
        <f>IFERROR(__xludf.DUMMYFUNCTION("""COMPUTED_VALUE"""),"")</f>
        <v/>
      </c>
      <c r="H5235" s="14"/>
      <c r="I5235" s="13"/>
      <c r="J5235" s="17" t="str">
        <f>IFERROR(__xludf.DUMMYFUNCTION("""COMPUTED_VALUE"""),"")</f>
        <v/>
      </c>
      <c r="K5235" s="13" t="str">
        <f>IFERROR(__xludf.DUMMYFUNCTION("""COMPUTED_VALUE"""),"BT atau SU Belum Valid")</f>
        <v>BT atau SU Belum Valid</v>
      </c>
      <c r="L5235" s="13" t="str">
        <f>IFERROR(__xludf.DUMMYFUNCTION("""COMPUTED_VALUE"""),"")</f>
        <v/>
      </c>
      <c r="M5235" s="13"/>
      <c r="N5235" s="13" t="str">
        <f>IFERROR(__xludf.DUMMYFUNCTION("""COMPUTED_VALUE"""),"")</f>
        <v/>
      </c>
      <c r="O5235" s="13" t="str">
        <f t="shared" si="1"/>
        <v/>
      </c>
    </row>
    <row r="5236" ht="22.5" customHeight="1">
      <c r="B5236" s="13">
        <f>IFERROR(__xludf.DUMMYFUNCTION("""COMPUTED_VALUE"""),5231.0)</f>
        <v>5231</v>
      </c>
      <c r="C5236" s="13"/>
      <c r="D5236" s="13" t="str">
        <f>IFERROR(__xludf.DUMMYFUNCTION("""COMPUTED_VALUE"""),"AB036/ABSOLDWS")</f>
        <v>AB036/ABSOLDWS</v>
      </c>
      <c r="E5236" s="14"/>
      <c r="F5236" s="14"/>
      <c r="G5236" s="17" t="str">
        <f>IFERROR(__xludf.DUMMYFUNCTION("""COMPUTED_VALUE"""),"")</f>
        <v/>
      </c>
      <c r="H5236" s="14"/>
      <c r="I5236" s="13"/>
      <c r="J5236" s="17" t="str">
        <f>IFERROR(__xludf.DUMMYFUNCTION("""COMPUTED_VALUE"""),"")</f>
        <v/>
      </c>
      <c r="K5236" s="13" t="str">
        <f>IFERROR(__xludf.DUMMYFUNCTION("""COMPUTED_VALUE"""),"BT atau SU Belum Valid")</f>
        <v>BT atau SU Belum Valid</v>
      </c>
      <c r="L5236" s="13" t="str">
        <f>IFERROR(__xludf.DUMMYFUNCTION("""COMPUTED_VALUE"""),"")</f>
        <v/>
      </c>
      <c r="M5236" s="13"/>
      <c r="N5236" s="13" t="str">
        <f>IFERROR(__xludf.DUMMYFUNCTION("""COMPUTED_VALUE"""),"")</f>
        <v/>
      </c>
      <c r="O5236" s="13" t="str">
        <f t="shared" si="1"/>
        <v/>
      </c>
    </row>
    <row r="5237" ht="22.5" customHeight="1">
      <c r="B5237" s="13">
        <f>IFERROR(__xludf.DUMMYFUNCTION("""COMPUTED_VALUE"""),5232.0)</f>
        <v>5232</v>
      </c>
      <c r="C5237" s="13"/>
      <c r="D5237" s="13" t="str">
        <f>IFERROR(__xludf.DUMMYFUNCTION("""COMPUTED_VALUE"""),"AB036/ABSOLDWS")</f>
        <v>AB036/ABSOLDWS</v>
      </c>
      <c r="E5237" s="14"/>
      <c r="F5237" s="14"/>
      <c r="G5237" s="17" t="str">
        <f>IFERROR(__xludf.DUMMYFUNCTION("""COMPUTED_VALUE"""),"")</f>
        <v/>
      </c>
      <c r="H5237" s="14"/>
      <c r="I5237" s="13"/>
      <c r="J5237" s="17" t="str">
        <f>IFERROR(__xludf.DUMMYFUNCTION("""COMPUTED_VALUE"""),"")</f>
        <v/>
      </c>
      <c r="K5237" s="13" t="str">
        <f>IFERROR(__xludf.DUMMYFUNCTION("""COMPUTED_VALUE"""),"BT atau SU Belum Valid")</f>
        <v>BT atau SU Belum Valid</v>
      </c>
      <c r="L5237" s="13" t="str">
        <f>IFERROR(__xludf.DUMMYFUNCTION("""COMPUTED_VALUE"""),"")</f>
        <v/>
      </c>
      <c r="M5237" s="13"/>
      <c r="N5237" s="13" t="str">
        <f>IFERROR(__xludf.DUMMYFUNCTION("""COMPUTED_VALUE"""),"")</f>
        <v/>
      </c>
      <c r="O5237" s="13" t="str">
        <f t="shared" si="1"/>
        <v/>
      </c>
    </row>
    <row r="5238" ht="22.5" customHeight="1">
      <c r="B5238" s="13">
        <f>IFERROR(__xludf.DUMMYFUNCTION("""COMPUTED_VALUE"""),5233.0)</f>
        <v>5233</v>
      </c>
      <c r="C5238" s="13"/>
      <c r="D5238" s="13" t="str">
        <f>IFERROR(__xludf.DUMMYFUNCTION("""COMPUTED_VALUE"""),"AB036/ABSOLDWS")</f>
        <v>AB036/ABSOLDWS</v>
      </c>
      <c r="E5238" s="14"/>
      <c r="F5238" s="14"/>
      <c r="G5238" s="17" t="str">
        <f>IFERROR(__xludf.DUMMYFUNCTION("""COMPUTED_VALUE"""),"")</f>
        <v/>
      </c>
      <c r="H5238" s="14"/>
      <c r="I5238" s="13"/>
      <c r="J5238" s="17" t="str">
        <f>IFERROR(__xludf.DUMMYFUNCTION("""COMPUTED_VALUE"""),"")</f>
        <v/>
      </c>
      <c r="K5238" s="13" t="str">
        <f>IFERROR(__xludf.DUMMYFUNCTION("""COMPUTED_VALUE"""),"BT atau SU Belum Valid")</f>
        <v>BT atau SU Belum Valid</v>
      </c>
      <c r="L5238" s="13" t="str">
        <f>IFERROR(__xludf.DUMMYFUNCTION("""COMPUTED_VALUE"""),"")</f>
        <v/>
      </c>
      <c r="M5238" s="13"/>
      <c r="N5238" s="13" t="str">
        <f>IFERROR(__xludf.DUMMYFUNCTION("""COMPUTED_VALUE"""),"")</f>
        <v/>
      </c>
      <c r="O5238" s="13" t="str">
        <f t="shared" si="1"/>
        <v/>
      </c>
    </row>
    <row r="5239" ht="22.5" customHeight="1">
      <c r="B5239" s="13">
        <f>IFERROR(__xludf.DUMMYFUNCTION("""COMPUTED_VALUE"""),5234.0)</f>
        <v>5234</v>
      </c>
      <c r="C5239" s="13"/>
      <c r="D5239" s="13" t="str">
        <f>IFERROR(__xludf.DUMMYFUNCTION("""COMPUTED_VALUE"""),"AB036/ABSOLDWS")</f>
        <v>AB036/ABSOLDWS</v>
      </c>
      <c r="E5239" s="14"/>
      <c r="F5239" s="14"/>
      <c r="G5239" s="17" t="str">
        <f>IFERROR(__xludf.DUMMYFUNCTION("""COMPUTED_VALUE"""),"")</f>
        <v/>
      </c>
      <c r="H5239" s="14"/>
      <c r="I5239" s="13"/>
      <c r="J5239" s="17" t="str">
        <f>IFERROR(__xludf.DUMMYFUNCTION("""COMPUTED_VALUE"""),"")</f>
        <v/>
      </c>
      <c r="K5239" s="13" t="str">
        <f>IFERROR(__xludf.DUMMYFUNCTION("""COMPUTED_VALUE"""),"BT atau SU Belum Valid")</f>
        <v>BT atau SU Belum Valid</v>
      </c>
      <c r="L5239" s="13" t="str">
        <f>IFERROR(__xludf.DUMMYFUNCTION("""COMPUTED_VALUE"""),"")</f>
        <v/>
      </c>
      <c r="M5239" s="13"/>
      <c r="N5239" s="13" t="str">
        <f>IFERROR(__xludf.DUMMYFUNCTION("""COMPUTED_VALUE"""),"")</f>
        <v/>
      </c>
      <c r="O5239" s="13" t="str">
        <f t="shared" si="1"/>
        <v/>
      </c>
    </row>
    <row r="5240" ht="22.5" customHeight="1">
      <c r="B5240" s="13">
        <f>IFERROR(__xludf.DUMMYFUNCTION("""COMPUTED_VALUE"""),5235.0)</f>
        <v>5235</v>
      </c>
      <c r="C5240" s="13"/>
      <c r="D5240" s="13" t="str">
        <f>IFERROR(__xludf.DUMMYFUNCTION("""COMPUTED_VALUE"""),"AB036/ABSOLDWS")</f>
        <v>AB036/ABSOLDWS</v>
      </c>
      <c r="E5240" s="14"/>
      <c r="F5240" s="14"/>
      <c r="G5240" s="17" t="str">
        <f>IFERROR(__xludf.DUMMYFUNCTION("""COMPUTED_VALUE"""),"")</f>
        <v/>
      </c>
      <c r="H5240" s="14"/>
      <c r="I5240" s="13"/>
      <c r="J5240" s="17" t="str">
        <f>IFERROR(__xludf.DUMMYFUNCTION("""COMPUTED_VALUE"""),"")</f>
        <v/>
      </c>
      <c r="K5240" s="13" t="str">
        <f>IFERROR(__xludf.DUMMYFUNCTION("""COMPUTED_VALUE"""),"BT atau SU Belum Valid")</f>
        <v>BT atau SU Belum Valid</v>
      </c>
      <c r="L5240" s="13" t="str">
        <f>IFERROR(__xludf.DUMMYFUNCTION("""COMPUTED_VALUE"""),"")</f>
        <v/>
      </c>
      <c r="M5240" s="13"/>
      <c r="N5240" s="13" t="str">
        <f>IFERROR(__xludf.DUMMYFUNCTION("""COMPUTED_VALUE"""),"")</f>
        <v/>
      </c>
      <c r="O5240" s="13" t="str">
        <f t="shared" si="1"/>
        <v/>
      </c>
    </row>
    <row r="5241" ht="22.5" customHeight="1">
      <c r="B5241" s="13"/>
      <c r="C5241" s="13"/>
      <c r="D5241" s="13"/>
      <c r="E5241" s="14"/>
      <c r="F5241" s="14"/>
      <c r="G5241" s="13"/>
      <c r="H5241" s="14"/>
      <c r="I5241" s="13"/>
      <c r="J5241" s="13"/>
      <c r="K5241" s="13"/>
      <c r="L5241" s="13"/>
      <c r="M5241" s="13"/>
      <c r="N5241" s="13"/>
      <c r="O5241" s="13" t="str">
        <f t="shared" si="1"/>
        <v/>
      </c>
    </row>
    <row r="5242" ht="22.5" customHeight="1">
      <c r="B5242" s="13"/>
      <c r="C5242" s="13"/>
      <c r="D5242" s="13"/>
      <c r="E5242" s="14"/>
      <c r="F5242" s="14"/>
      <c r="G5242" s="13"/>
      <c r="H5242" s="14"/>
      <c r="I5242" s="13"/>
      <c r="J5242" s="13"/>
      <c r="K5242" s="13"/>
      <c r="L5242" s="13"/>
      <c r="M5242" s="13"/>
      <c r="N5242" s="13"/>
      <c r="O5242" s="13" t="str">
        <f t="shared" si="1"/>
        <v/>
      </c>
    </row>
    <row r="5243" ht="22.5" customHeight="1">
      <c r="B5243" s="13"/>
      <c r="C5243" s="13"/>
      <c r="D5243" s="13"/>
      <c r="E5243" s="14"/>
      <c r="F5243" s="14"/>
      <c r="G5243" s="13"/>
      <c r="H5243" s="14"/>
      <c r="I5243" s="13"/>
      <c r="J5243" s="13"/>
      <c r="K5243" s="13"/>
      <c r="L5243" s="13"/>
      <c r="M5243" s="13"/>
      <c r="N5243" s="13"/>
      <c r="O5243" s="13" t="str">
        <f t="shared" si="1"/>
        <v/>
      </c>
    </row>
    <row r="5244" ht="22.5" customHeight="1">
      <c r="B5244" s="13"/>
      <c r="C5244" s="13"/>
      <c r="D5244" s="13"/>
      <c r="E5244" s="14"/>
      <c r="F5244" s="14"/>
      <c r="G5244" s="13"/>
      <c r="H5244" s="14"/>
      <c r="I5244" s="13"/>
      <c r="J5244" s="13"/>
      <c r="K5244" s="13"/>
      <c r="L5244" s="13"/>
      <c r="M5244" s="13"/>
      <c r="N5244" s="13"/>
      <c r="O5244" s="13" t="str">
        <f t="shared" si="1"/>
        <v/>
      </c>
    </row>
    <row r="5245" ht="22.5" customHeight="1">
      <c r="B5245" s="13"/>
      <c r="C5245" s="13"/>
      <c r="D5245" s="13"/>
      <c r="E5245" s="14"/>
      <c r="F5245" s="14"/>
      <c r="G5245" s="13"/>
      <c r="H5245" s="14"/>
      <c r="I5245" s="13"/>
      <c r="J5245" s="13"/>
      <c r="K5245" s="13"/>
      <c r="L5245" s="13"/>
      <c r="M5245" s="13"/>
      <c r="N5245" s="13"/>
      <c r="O5245" s="13" t="str">
        <f t="shared" si="1"/>
        <v/>
      </c>
    </row>
    <row r="5246" ht="22.5" customHeight="1">
      <c r="B5246" s="13"/>
      <c r="C5246" s="13"/>
      <c r="D5246" s="13"/>
      <c r="E5246" s="14"/>
      <c r="F5246" s="14"/>
      <c r="G5246" s="13"/>
      <c r="H5246" s="14"/>
      <c r="I5246" s="13"/>
      <c r="J5246" s="13"/>
      <c r="K5246" s="13"/>
      <c r="L5246" s="13"/>
      <c r="M5246" s="13"/>
      <c r="N5246" s="13"/>
      <c r="O5246" s="13" t="str">
        <f t="shared" si="1"/>
        <v/>
      </c>
    </row>
    <row r="5247" ht="22.5" customHeight="1">
      <c r="B5247" s="13"/>
      <c r="C5247" s="13"/>
      <c r="D5247" s="13"/>
      <c r="E5247" s="14"/>
      <c r="F5247" s="14"/>
      <c r="G5247" s="13"/>
      <c r="H5247" s="14"/>
      <c r="I5247" s="13"/>
      <c r="J5247" s="13"/>
      <c r="K5247" s="13"/>
      <c r="L5247" s="13"/>
      <c r="M5247" s="13"/>
      <c r="N5247" s="13"/>
      <c r="O5247" s="13" t="str">
        <f t="shared" si="1"/>
        <v/>
      </c>
    </row>
    <row r="5248" ht="22.5" customHeight="1">
      <c r="B5248" s="13"/>
      <c r="C5248" s="13"/>
      <c r="D5248" s="13"/>
      <c r="E5248" s="14"/>
      <c r="F5248" s="14"/>
      <c r="G5248" s="13"/>
      <c r="H5248" s="14"/>
      <c r="I5248" s="13"/>
      <c r="J5248" s="13"/>
      <c r="K5248" s="13"/>
      <c r="L5248" s="13"/>
      <c r="M5248" s="13"/>
      <c r="N5248" s="13"/>
      <c r="O5248" s="13" t="str">
        <f t="shared" si="1"/>
        <v/>
      </c>
    </row>
    <row r="5249" ht="22.5" customHeight="1">
      <c r="B5249" s="13"/>
      <c r="C5249" s="13"/>
      <c r="D5249" s="13"/>
      <c r="E5249" s="14"/>
      <c r="F5249" s="14"/>
      <c r="G5249" s="13"/>
      <c r="H5249" s="14"/>
      <c r="I5249" s="13"/>
      <c r="J5249" s="13"/>
      <c r="K5249" s="13"/>
      <c r="L5249" s="13"/>
      <c r="M5249" s="13"/>
      <c r="N5249" s="13"/>
      <c r="O5249" s="13" t="str">
        <f t="shared" si="1"/>
        <v/>
      </c>
    </row>
    <row r="5250" ht="22.5" customHeight="1">
      <c r="B5250" s="13"/>
      <c r="C5250" s="13"/>
      <c r="D5250" s="13"/>
      <c r="E5250" s="14"/>
      <c r="F5250" s="14"/>
      <c r="G5250" s="13"/>
      <c r="H5250" s="14"/>
      <c r="I5250" s="13"/>
      <c r="J5250" s="13"/>
      <c r="K5250" s="13"/>
      <c r="L5250" s="13"/>
      <c r="M5250" s="13"/>
      <c r="N5250" s="13"/>
      <c r="O5250" s="13" t="str">
        <f t="shared" si="1"/>
        <v/>
      </c>
    </row>
    <row r="5251" ht="22.5" customHeight="1">
      <c r="B5251" s="13"/>
      <c r="C5251" s="13"/>
      <c r="D5251" s="13"/>
      <c r="E5251" s="14"/>
      <c r="F5251" s="14"/>
      <c r="G5251" s="13"/>
      <c r="H5251" s="14"/>
      <c r="I5251" s="13"/>
      <c r="J5251" s="13"/>
      <c r="K5251" s="13"/>
      <c r="L5251" s="13"/>
      <c r="M5251" s="13"/>
      <c r="N5251" s="13"/>
      <c r="O5251" s="13" t="str">
        <f t="shared" si="1"/>
        <v/>
      </c>
    </row>
    <row r="5252" ht="22.5" customHeight="1">
      <c r="B5252" s="13"/>
      <c r="C5252" s="13"/>
      <c r="D5252" s="13"/>
      <c r="E5252" s="14"/>
      <c r="F5252" s="14"/>
      <c r="G5252" s="13"/>
      <c r="H5252" s="14"/>
      <c r="I5252" s="13"/>
      <c r="J5252" s="13"/>
      <c r="K5252" s="13"/>
      <c r="L5252" s="13"/>
      <c r="M5252" s="13"/>
      <c r="N5252" s="13"/>
      <c r="O5252" s="13" t="str">
        <f t="shared" si="1"/>
        <v/>
      </c>
    </row>
    <row r="5253" ht="22.5" customHeight="1">
      <c r="B5253" s="13"/>
      <c r="C5253" s="13"/>
      <c r="D5253" s="13"/>
      <c r="E5253" s="14"/>
      <c r="F5253" s="14"/>
      <c r="G5253" s="13"/>
      <c r="H5253" s="14"/>
      <c r="I5253" s="13"/>
      <c r="J5253" s="13"/>
      <c r="K5253" s="13"/>
      <c r="L5253" s="13"/>
      <c r="M5253" s="13"/>
      <c r="N5253" s="13"/>
      <c r="O5253" s="13" t="str">
        <f t="shared" si="1"/>
        <v/>
      </c>
    </row>
    <row r="5254" ht="22.5" customHeight="1">
      <c r="B5254" s="13"/>
      <c r="C5254" s="13"/>
      <c r="D5254" s="13"/>
      <c r="E5254" s="14"/>
      <c r="F5254" s="14"/>
      <c r="G5254" s="13"/>
      <c r="H5254" s="14"/>
      <c r="I5254" s="13"/>
      <c r="J5254" s="13"/>
      <c r="K5254" s="13"/>
      <c r="L5254" s="13"/>
      <c r="M5254" s="13"/>
      <c r="N5254" s="13"/>
      <c r="O5254" s="13" t="str">
        <f t="shared" si="1"/>
        <v/>
      </c>
    </row>
    <row r="5255" ht="22.5" customHeight="1">
      <c r="B5255" s="13"/>
      <c r="C5255" s="13"/>
      <c r="D5255" s="13"/>
      <c r="E5255" s="14"/>
      <c r="F5255" s="14"/>
      <c r="G5255" s="13"/>
      <c r="H5255" s="14"/>
      <c r="I5255" s="13"/>
      <c r="J5255" s="13"/>
      <c r="K5255" s="13"/>
      <c r="L5255" s="13"/>
      <c r="M5255" s="13"/>
      <c r="N5255" s="13"/>
      <c r="O5255" s="13" t="str">
        <f t="shared" si="1"/>
        <v/>
      </c>
    </row>
    <row r="5256" ht="22.5" customHeight="1">
      <c r="B5256" s="13"/>
      <c r="C5256" s="13"/>
      <c r="D5256" s="13"/>
      <c r="E5256" s="14"/>
      <c r="F5256" s="14"/>
      <c r="G5256" s="13"/>
      <c r="H5256" s="14"/>
      <c r="I5256" s="13"/>
      <c r="J5256" s="13"/>
      <c r="K5256" s="13"/>
      <c r="L5256" s="13"/>
      <c r="M5256" s="13"/>
      <c r="N5256" s="13"/>
      <c r="O5256" s="13" t="str">
        <f t="shared" si="1"/>
        <v/>
      </c>
    </row>
    <row r="5257" ht="22.5" customHeight="1">
      <c r="B5257" s="13"/>
      <c r="C5257" s="13"/>
      <c r="D5257" s="13"/>
      <c r="E5257" s="14"/>
      <c r="F5257" s="14"/>
      <c r="G5257" s="13"/>
      <c r="H5257" s="14"/>
      <c r="I5257" s="13"/>
      <c r="J5257" s="13"/>
      <c r="K5257" s="13"/>
      <c r="L5257" s="13"/>
      <c r="M5257" s="13"/>
      <c r="N5257" s="13"/>
      <c r="O5257" s="13" t="str">
        <f t="shared" si="1"/>
        <v/>
      </c>
    </row>
    <row r="5258" ht="22.5" customHeight="1">
      <c r="B5258" s="13"/>
      <c r="C5258" s="13"/>
      <c r="D5258" s="13"/>
      <c r="E5258" s="14"/>
      <c r="F5258" s="14"/>
      <c r="G5258" s="13"/>
      <c r="H5258" s="14"/>
      <c r="I5258" s="13"/>
      <c r="J5258" s="13"/>
      <c r="K5258" s="13"/>
      <c r="L5258" s="13"/>
      <c r="M5258" s="13"/>
      <c r="N5258" s="13"/>
      <c r="O5258" s="13" t="str">
        <f t="shared" si="1"/>
        <v/>
      </c>
    </row>
    <row r="5259" ht="22.5" customHeight="1">
      <c r="B5259" s="13"/>
      <c r="C5259" s="13"/>
      <c r="D5259" s="13"/>
      <c r="E5259" s="14"/>
      <c r="F5259" s="14"/>
      <c r="G5259" s="13"/>
      <c r="H5259" s="14"/>
      <c r="I5259" s="13"/>
      <c r="J5259" s="13"/>
      <c r="K5259" s="13"/>
      <c r="L5259" s="13"/>
      <c r="M5259" s="13"/>
      <c r="N5259" s="13"/>
      <c r="O5259" s="13" t="str">
        <f t="shared" si="1"/>
        <v/>
      </c>
    </row>
    <row r="5260" ht="22.5" customHeight="1">
      <c r="B5260" s="13"/>
      <c r="C5260" s="13"/>
      <c r="D5260" s="13"/>
      <c r="E5260" s="14"/>
      <c r="F5260" s="14"/>
      <c r="G5260" s="13"/>
      <c r="H5260" s="14"/>
      <c r="I5260" s="13"/>
      <c r="J5260" s="13"/>
      <c r="K5260" s="13"/>
      <c r="L5260" s="13"/>
      <c r="M5260" s="13"/>
      <c r="N5260" s="13"/>
      <c r="O5260" s="13" t="str">
        <f t="shared" si="1"/>
        <v/>
      </c>
    </row>
    <row r="5261" ht="22.5" customHeight="1">
      <c r="B5261" s="13"/>
      <c r="C5261" s="13"/>
      <c r="D5261" s="13"/>
      <c r="E5261" s="14"/>
      <c r="F5261" s="14"/>
      <c r="G5261" s="13"/>
      <c r="H5261" s="14"/>
      <c r="I5261" s="13"/>
      <c r="J5261" s="13"/>
      <c r="K5261" s="13"/>
      <c r="L5261" s="13"/>
      <c r="M5261" s="13"/>
      <c r="N5261" s="13"/>
      <c r="O5261" s="13" t="str">
        <f t="shared" si="1"/>
        <v/>
      </c>
    </row>
    <row r="5262" ht="22.5" customHeight="1">
      <c r="B5262" s="13"/>
      <c r="C5262" s="13"/>
      <c r="D5262" s="13"/>
      <c r="E5262" s="14"/>
      <c r="F5262" s="14"/>
      <c r="G5262" s="13"/>
      <c r="H5262" s="14"/>
      <c r="I5262" s="13"/>
      <c r="J5262" s="13"/>
      <c r="K5262" s="13"/>
      <c r="L5262" s="13"/>
      <c r="M5262" s="13"/>
      <c r="N5262" s="13"/>
      <c r="O5262" s="13" t="str">
        <f t="shared" si="1"/>
        <v/>
      </c>
    </row>
    <row r="5263" ht="22.5" customHeight="1">
      <c r="B5263" s="13"/>
      <c r="C5263" s="13"/>
      <c r="D5263" s="13"/>
      <c r="E5263" s="14"/>
      <c r="F5263" s="14"/>
      <c r="G5263" s="13"/>
      <c r="H5263" s="14"/>
      <c r="I5263" s="13"/>
      <c r="J5263" s="13"/>
      <c r="K5263" s="13"/>
      <c r="L5263" s="13"/>
      <c r="M5263" s="13"/>
      <c r="N5263" s="13"/>
      <c r="O5263" s="13" t="str">
        <f t="shared" si="1"/>
        <v/>
      </c>
    </row>
    <row r="5264" ht="22.5" customHeight="1">
      <c r="B5264" s="13"/>
      <c r="C5264" s="13"/>
      <c r="D5264" s="13"/>
      <c r="E5264" s="14"/>
      <c r="F5264" s="14"/>
      <c r="G5264" s="13"/>
      <c r="H5264" s="14"/>
      <c r="I5264" s="13"/>
      <c r="J5264" s="13"/>
      <c r="K5264" s="13"/>
      <c r="L5264" s="13"/>
      <c r="M5264" s="13"/>
      <c r="N5264" s="13"/>
      <c r="O5264" s="13" t="str">
        <f t="shared" si="1"/>
        <v/>
      </c>
    </row>
    <row r="5265" ht="22.5" customHeight="1">
      <c r="B5265" s="13"/>
      <c r="C5265" s="13"/>
      <c r="D5265" s="13"/>
      <c r="E5265" s="14"/>
      <c r="F5265" s="14"/>
      <c r="G5265" s="13"/>
      <c r="H5265" s="14"/>
      <c r="I5265" s="13"/>
      <c r="J5265" s="13"/>
      <c r="K5265" s="13"/>
      <c r="L5265" s="13"/>
      <c r="M5265" s="13"/>
      <c r="N5265" s="13"/>
      <c r="O5265" s="13" t="str">
        <f t="shared" si="1"/>
        <v/>
      </c>
    </row>
    <row r="5266" ht="22.5" customHeight="1">
      <c r="B5266" s="13"/>
      <c r="C5266" s="13"/>
      <c r="D5266" s="13"/>
      <c r="E5266" s="14"/>
      <c r="F5266" s="14"/>
      <c r="G5266" s="13"/>
      <c r="H5266" s="14"/>
      <c r="I5266" s="13"/>
      <c r="J5266" s="13"/>
      <c r="K5266" s="13"/>
      <c r="L5266" s="13"/>
      <c r="M5266" s="13"/>
      <c r="N5266" s="13"/>
      <c r="O5266" s="13" t="str">
        <f t="shared" si="1"/>
        <v/>
      </c>
    </row>
    <row r="5267" ht="22.5" customHeight="1">
      <c r="B5267" s="13"/>
      <c r="C5267" s="13"/>
      <c r="D5267" s="13"/>
      <c r="E5267" s="14"/>
      <c r="F5267" s="14"/>
      <c r="G5267" s="13"/>
      <c r="H5267" s="14"/>
      <c r="I5267" s="13"/>
      <c r="J5267" s="13"/>
      <c r="K5267" s="13"/>
      <c r="L5267" s="13"/>
      <c r="M5267" s="13"/>
      <c r="N5267" s="13"/>
      <c r="O5267" s="13" t="str">
        <f t="shared" si="1"/>
        <v/>
      </c>
    </row>
    <row r="5268" ht="22.5" customHeight="1">
      <c r="B5268" s="13"/>
      <c r="C5268" s="13"/>
      <c r="D5268" s="13"/>
      <c r="E5268" s="14"/>
      <c r="F5268" s="14"/>
      <c r="G5268" s="13"/>
      <c r="H5268" s="14"/>
      <c r="I5268" s="13"/>
      <c r="J5268" s="13"/>
      <c r="K5268" s="13"/>
      <c r="L5268" s="13"/>
      <c r="M5268" s="13"/>
      <c r="N5268" s="13"/>
      <c r="O5268" s="13" t="str">
        <f t="shared" si="1"/>
        <v/>
      </c>
    </row>
    <row r="5269" ht="22.5" customHeight="1">
      <c r="B5269" s="13"/>
      <c r="C5269" s="13"/>
      <c r="D5269" s="13"/>
      <c r="E5269" s="14"/>
      <c r="F5269" s="14"/>
      <c r="G5269" s="13"/>
      <c r="H5269" s="14"/>
      <c r="I5269" s="13"/>
      <c r="J5269" s="13"/>
      <c r="K5269" s="13"/>
      <c r="L5269" s="13"/>
      <c r="M5269" s="13"/>
      <c r="N5269" s="13"/>
      <c r="O5269" s="13" t="str">
        <f t="shared" si="1"/>
        <v/>
      </c>
    </row>
    <row r="5270" ht="22.5" customHeight="1">
      <c r="B5270" s="13"/>
      <c r="C5270" s="13"/>
      <c r="D5270" s="13"/>
      <c r="E5270" s="14"/>
      <c r="F5270" s="14"/>
      <c r="G5270" s="13"/>
      <c r="H5270" s="14"/>
      <c r="I5270" s="13"/>
      <c r="J5270" s="13"/>
      <c r="K5270" s="13"/>
      <c r="L5270" s="13"/>
      <c r="M5270" s="13"/>
      <c r="N5270" s="13"/>
      <c r="O5270" s="13" t="str">
        <f t="shared" si="1"/>
        <v/>
      </c>
    </row>
    <row r="5271" ht="22.5" customHeight="1">
      <c r="B5271" s="13"/>
      <c r="C5271" s="13"/>
      <c r="D5271" s="13"/>
      <c r="E5271" s="14"/>
      <c r="F5271" s="14"/>
      <c r="G5271" s="13"/>
      <c r="H5271" s="14"/>
      <c r="I5271" s="13"/>
      <c r="J5271" s="13"/>
      <c r="K5271" s="13"/>
      <c r="L5271" s="13"/>
      <c r="M5271" s="13"/>
      <c r="N5271" s="13"/>
      <c r="O5271" s="13" t="str">
        <f t="shared" si="1"/>
        <v/>
      </c>
    </row>
    <row r="5272" ht="22.5" customHeight="1">
      <c r="B5272" s="13"/>
      <c r="C5272" s="13"/>
      <c r="D5272" s="13"/>
      <c r="E5272" s="14"/>
      <c r="F5272" s="14"/>
      <c r="G5272" s="13"/>
      <c r="H5272" s="14"/>
      <c r="I5272" s="13"/>
      <c r="J5272" s="13"/>
      <c r="K5272" s="13"/>
      <c r="L5272" s="13"/>
      <c r="M5272" s="13"/>
      <c r="N5272" s="13"/>
      <c r="O5272" s="13" t="str">
        <f t="shared" si="1"/>
        <v/>
      </c>
    </row>
    <row r="5273" ht="22.5" customHeight="1">
      <c r="B5273" s="13"/>
      <c r="C5273" s="13"/>
      <c r="D5273" s="13"/>
      <c r="E5273" s="14"/>
      <c r="F5273" s="14"/>
      <c r="G5273" s="13"/>
      <c r="H5273" s="14"/>
      <c r="I5273" s="13"/>
      <c r="J5273" s="13"/>
      <c r="K5273" s="13"/>
      <c r="L5273" s="13"/>
      <c r="M5273" s="13"/>
      <c r="N5273" s="13"/>
      <c r="O5273" s="13" t="str">
        <f t="shared" si="1"/>
        <v/>
      </c>
    </row>
    <row r="5274" ht="22.5" customHeight="1">
      <c r="B5274" s="13"/>
      <c r="C5274" s="13"/>
      <c r="D5274" s="13"/>
      <c r="E5274" s="14"/>
      <c r="F5274" s="14"/>
      <c r="G5274" s="13"/>
      <c r="H5274" s="14"/>
      <c r="I5274" s="13"/>
      <c r="J5274" s="13"/>
      <c r="K5274" s="13"/>
      <c r="L5274" s="13"/>
      <c r="M5274" s="13"/>
      <c r="N5274" s="13"/>
      <c r="O5274" s="13" t="str">
        <f t="shared" si="1"/>
        <v/>
      </c>
    </row>
    <row r="5275" ht="22.5" customHeight="1">
      <c r="B5275" s="13"/>
      <c r="C5275" s="13"/>
      <c r="D5275" s="13"/>
      <c r="E5275" s="14"/>
      <c r="F5275" s="14"/>
      <c r="G5275" s="13"/>
      <c r="H5275" s="14"/>
      <c r="I5275" s="13"/>
      <c r="J5275" s="13"/>
      <c r="K5275" s="13"/>
      <c r="L5275" s="13"/>
      <c r="M5275" s="13"/>
      <c r="N5275" s="13"/>
      <c r="O5275" s="13" t="str">
        <f t="shared" si="1"/>
        <v/>
      </c>
    </row>
    <row r="5276" ht="22.5" customHeight="1">
      <c r="B5276" s="13"/>
      <c r="C5276" s="13"/>
      <c r="D5276" s="13"/>
      <c r="E5276" s="14"/>
      <c r="F5276" s="14"/>
      <c r="G5276" s="13"/>
      <c r="H5276" s="14"/>
      <c r="I5276" s="13"/>
      <c r="J5276" s="13"/>
      <c r="K5276" s="13"/>
      <c r="L5276" s="13"/>
      <c r="M5276" s="13"/>
      <c r="N5276" s="13"/>
      <c r="O5276" s="13" t="str">
        <f t="shared" si="1"/>
        <v/>
      </c>
    </row>
    <row r="5277" ht="22.5" customHeight="1">
      <c r="B5277" s="13"/>
      <c r="C5277" s="13"/>
      <c r="D5277" s="13"/>
      <c r="E5277" s="14"/>
      <c r="F5277" s="14"/>
      <c r="G5277" s="13"/>
      <c r="H5277" s="14"/>
      <c r="I5277" s="13"/>
      <c r="J5277" s="13"/>
      <c r="K5277" s="13"/>
      <c r="L5277" s="13"/>
      <c r="M5277" s="13"/>
      <c r="N5277" s="13"/>
      <c r="O5277" s="13" t="str">
        <f t="shared" si="1"/>
        <v/>
      </c>
    </row>
    <row r="5278" ht="22.5" customHeight="1">
      <c r="B5278" s="13"/>
      <c r="C5278" s="13"/>
      <c r="D5278" s="13"/>
      <c r="E5278" s="14"/>
      <c r="F5278" s="14"/>
      <c r="G5278" s="13"/>
      <c r="H5278" s="14"/>
      <c r="I5278" s="13"/>
      <c r="J5278" s="13"/>
      <c r="K5278" s="13"/>
      <c r="L5278" s="13"/>
      <c r="M5278" s="13"/>
      <c r="N5278" s="13"/>
      <c r="O5278" s="13" t="str">
        <f t="shared" si="1"/>
        <v/>
      </c>
    </row>
    <row r="5279" ht="22.5" customHeight="1">
      <c r="B5279" s="13"/>
      <c r="C5279" s="13"/>
      <c r="D5279" s="13"/>
      <c r="E5279" s="14"/>
      <c r="F5279" s="14"/>
      <c r="G5279" s="13"/>
      <c r="H5279" s="14"/>
      <c r="I5279" s="13"/>
      <c r="J5279" s="13"/>
      <c r="K5279" s="13"/>
      <c r="L5279" s="13"/>
      <c r="M5279" s="13"/>
      <c r="N5279" s="13"/>
      <c r="O5279" s="13" t="str">
        <f t="shared" si="1"/>
        <v/>
      </c>
    </row>
    <row r="5280" ht="22.5" customHeight="1">
      <c r="B5280" s="13"/>
      <c r="C5280" s="13"/>
      <c r="D5280" s="13"/>
      <c r="E5280" s="14"/>
      <c r="F5280" s="14"/>
      <c r="G5280" s="13"/>
      <c r="H5280" s="14"/>
      <c r="I5280" s="13"/>
      <c r="J5280" s="13"/>
      <c r="K5280" s="13"/>
      <c r="L5280" s="13"/>
      <c r="M5280" s="13"/>
      <c r="N5280" s="13"/>
      <c r="O5280" s="13" t="str">
        <f t="shared" si="1"/>
        <v/>
      </c>
    </row>
    <row r="5281" ht="22.5" customHeight="1">
      <c r="B5281" s="13"/>
      <c r="C5281" s="13"/>
      <c r="D5281" s="13"/>
      <c r="E5281" s="14"/>
      <c r="F5281" s="14"/>
      <c r="G5281" s="13"/>
      <c r="H5281" s="14"/>
      <c r="I5281" s="13"/>
      <c r="J5281" s="13"/>
      <c r="K5281" s="13"/>
      <c r="L5281" s="13"/>
      <c r="M5281" s="13"/>
      <c r="N5281" s="13"/>
      <c r="O5281" s="13" t="str">
        <f t="shared" si="1"/>
        <v/>
      </c>
    </row>
    <row r="5282" ht="22.5" customHeight="1">
      <c r="B5282" s="13"/>
      <c r="C5282" s="13"/>
      <c r="D5282" s="13"/>
      <c r="E5282" s="14"/>
      <c r="F5282" s="14"/>
      <c r="G5282" s="13"/>
      <c r="H5282" s="14"/>
      <c r="I5282" s="13"/>
      <c r="J5282" s="13"/>
      <c r="K5282" s="13"/>
      <c r="L5282" s="13"/>
      <c r="M5282" s="13"/>
      <c r="N5282" s="13"/>
      <c r="O5282" s="13" t="str">
        <f t="shared" si="1"/>
        <v/>
      </c>
    </row>
    <row r="5283" ht="22.5" customHeight="1">
      <c r="B5283" s="13"/>
      <c r="C5283" s="13"/>
      <c r="D5283" s="13"/>
      <c r="E5283" s="14"/>
      <c r="F5283" s="14"/>
      <c r="G5283" s="13"/>
      <c r="H5283" s="14"/>
      <c r="I5283" s="13"/>
      <c r="J5283" s="13"/>
      <c r="K5283" s="13"/>
      <c r="L5283" s="13"/>
      <c r="M5283" s="13"/>
      <c r="N5283" s="13"/>
      <c r="O5283" s="13" t="str">
        <f t="shared" si="1"/>
        <v/>
      </c>
    </row>
    <row r="5284" ht="22.5" customHeight="1">
      <c r="B5284" s="13"/>
      <c r="C5284" s="13"/>
      <c r="D5284" s="13"/>
      <c r="E5284" s="14"/>
      <c r="F5284" s="14"/>
      <c r="G5284" s="13"/>
      <c r="H5284" s="14"/>
      <c r="I5284" s="13"/>
      <c r="J5284" s="13"/>
      <c r="K5284" s="13"/>
      <c r="L5284" s="13"/>
      <c r="M5284" s="13"/>
      <c r="N5284" s="13"/>
      <c r="O5284" s="13" t="str">
        <f t="shared" si="1"/>
        <v/>
      </c>
    </row>
    <row r="5285" ht="22.5" customHeight="1">
      <c r="B5285" s="13"/>
      <c r="C5285" s="13"/>
      <c r="D5285" s="13"/>
      <c r="E5285" s="14"/>
      <c r="F5285" s="14"/>
      <c r="G5285" s="13"/>
      <c r="H5285" s="14"/>
      <c r="I5285" s="13"/>
      <c r="J5285" s="13"/>
      <c r="K5285" s="13"/>
      <c r="L5285" s="13"/>
      <c r="M5285" s="13"/>
      <c r="N5285" s="13"/>
      <c r="O5285" s="13" t="str">
        <f t="shared" si="1"/>
        <v/>
      </c>
    </row>
    <row r="5286" ht="22.5" customHeight="1">
      <c r="B5286" s="13"/>
      <c r="C5286" s="13"/>
      <c r="D5286" s="13"/>
      <c r="E5286" s="14"/>
      <c r="F5286" s="14"/>
      <c r="G5286" s="13"/>
      <c r="H5286" s="14"/>
      <c r="I5286" s="13"/>
      <c r="J5286" s="13"/>
      <c r="K5286" s="13"/>
      <c r="L5286" s="13"/>
      <c r="M5286" s="13"/>
      <c r="N5286" s="13"/>
      <c r="O5286" s="13" t="str">
        <f t="shared" si="1"/>
        <v/>
      </c>
    </row>
    <row r="5287" ht="22.5" customHeight="1">
      <c r="B5287" s="13"/>
      <c r="C5287" s="13"/>
      <c r="D5287" s="13"/>
      <c r="E5287" s="14"/>
      <c r="F5287" s="14"/>
      <c r="G5287" s="13"/>
      <c r="H5287" s="14"/>
      <c r="I5287" s="13"/>
      <c r="J5287" s="13"/>
      <c r="K5287" s="13"/>
      <c r="L5287" s="13"/>
      <c r="M5287" s="13"/>
      <c r="N5287" s="13"/>
      <c r="O5287" s="13" t="str">
        <f t="shared" si="1"/>
        <v/>
      </c>
    </row>
    <row r="5288" ht="22.5" customHeight="1">
      <c r="B5288" s="13"/>
      <c r="C5288" s="13"/>
      <c r="D5288" s="13"/>
      <c r="E5288" s="14"/>
      <c r="F5288" s="14"/>
      <c r="G5288" s="13"/>
      <c r="H5288" s="14"/>
      <c r="I5288" s="13"/>
      <c r="J5288" s="13"/>
      <c r="K5288" s="13"/>
      <c r="L5288" s="13"/>
      <c r="M5288" s="13"/>
      <c r="N5288" s="13"/>
      <c r="O5288" s="13" t="str">
        <f t="shared" si="1"/>
        <v/>
      </c>
    </row>
    <row r="5289" ht="22.5" customHeight="1">
      <c r="B5289" s="13"/>
      <c r="C5289" s="13"/>
      <c r="D5289" s="13"/>
      <c r="E5289" s="14"/>
      <c r="F5289" s="14"/>
      <c r="G5289" s="13"/>
      <c r="H5289" s="14"/>
      <c r="I5289" s="13"/>
      <c r="J5289" s="13"/>
      <c r="K5289" s="13"/>
      <c r="L5289" s="13"/>
      <c r="M5289" s="13"/>
      <c r="N5289" s="13"/>
      <c r="O5289" s="13" t="str">
        <f t="shared" si="1"/>
        <v/>
      </c>
    </row>
    <row r="5290" ht="22.5" customHeight="1">
      <c r="B5290" s="13"/>
      <c r="C5290" s="13"/>
      <c r="D5290" s="13"/>
      <c r="E5290" s="14"/>
      <c r="F5290" s="14"/>
      <c r="G5290" s="13"/>
      <c r="H5290" s="14"/>
      <c r="I5290" s="13"/>
      <c r="J5290" s="13"/>
      <c r="K5290" s="13"/>
      <c r="L5290" s="13"/>
      <c r="M5290" s="13"/>
      <c r="N5290" s="13"/>
      <c r="O5290" s="13" t="str">
        <f t="shared" si="1"/>
        <v/>
      </c>
    </row>
    <row r="5291" ht="22.5" customHeight="1">
      <c r="B5291" s="13"/>
      <c r="C5291" s="13"/>
      <c r="D5291" s="13"/>
      <c r="E5291" s="14"/>
      <c r="F5291" s="14"/>
      <c r="G5291" s="13"/>
      <c r="H5291" s="14"/>
      <c r="I5291" s="13"/>
      <c r="J5291" s="13"/>
      <c r="K5291" s="13"/>
      <c r="L5291" s="13"/>
      <c r="M5291" s="13"/>
      <c r="N5291" s="13"/>
      <c r="O5291" s="13" t="str">
        <f t="shared" si="1"/>
        <v/>
      </c>
    </row>
    <row r="5292" ht="22.5" customHeight="1">
      <c r="B5292" s="13"/>
      <c r="C5292" s="13"/>
      <c r="D5292" s="13"/>
      <c r="E5292" s="14"/>
      <c r="F5292" s="14"/>
      <c r="G5292" s="13"/>
      <c r="H5292" s="14"/>
      <c r="I5292" s="13"/>
      <c r="J5292" s="13"/>
      <c r="K5292" s="13"/>
      <c r="L5292" s="13"/>
      <c r="M5292" s="13"/>
      <c r="N5292" s="13"/>
      <c r="O5292" s="13" t="str">
        <f t="shared" si="1"/>
        <v/>
      </c>
    </row>
    <row r="5293" ht="22.5" customHeight="1">
      <c r="B5293" s="13"/>
      <c r="C5293" s="13"/>
      <c r="D5293" s="13"/>
      <c r="E5293" s="14"/>
      <c r="F5293" s="14"/>
      <c r="G5293" s="13"/>
      <c r="H5293" s="14"/>
      <c r="I5293" s="13"/>
      <c r="J5293" s="13"/>
      <c r="K5293" s="13"/>
      <c r="L5293" s="13"/>
      <c r="M5293" s="13"/>
      <c r="N5293" s="13"/>
      <c r="O5293" s="13" t="str">
        <f t="shared" si="1"/>
        <v/>
      </c>
    </row>
    <row r="5294" ht="22.5" customHeight="1">
      <c r="B5294" s="13"/>
      <c r="C5294" s="13"/>
      <c r="D5294" s="13"/>
      <c r="E5294" s="14"/>
      <c r="F5294" s="14"/>
      <c r="G5294" s="13"/>
      <c r="H5294" s="14"/>
      <c r="I5294" s="13"/>
      <c r="J5294" s="13"/>
      <c r="K5294" s="13"/>
      <c r="L5294" s="13"/>
      <c r="M5294" s="13"/>
      <c r="N5294" s="13"/>
      <c r="O5294" s="13" t="str">
        <f t="shared" si="1"/>
        <v/>
      </c>
    </row>
    <row r="5295" ht="22.5" customHeight="1">
      <c r="B5295" s="13"/>
      <c r="C5295" s="13"/>
      <c r="D5295" s="13"/>
      <c r="E5295" s="14"/>
      <c r="F5295" s="14"/>
      <c r="G5295" s="13"/>
      <c r="H5295" s="14"/>
      <c r="I5295" s="13"/>
      <c r="J5295" s="13"/>
      <c r="K5295" s="13"/>
      <c r="L5295" s="13"/>
      <c r="M5295" s="13"/>
      <c r="N5295" s="13"/>
      <c r="O5295" s="13" t="str">
        <f t="shared" si="1"/>
        <v/>
      </c>
    </row>
    <row r="5296" ht="22.5" customHeight="1">
      <c r="B5296" s="13"/>
      <c r="C5296" s="13"/>
      <c r="D5296" s="13"/>
      <c r="E5296" s="14"/>
      <c r="F5296" s="14"/>
      <c r="G5296" s="13"/>
      <c r="H5296" s="14"/>
      <c r="I5296" s="13"/>
      <c r="J5296" s="13"/>
      <c r="K5296" s="13"/>
      <c r="L5296" s="13"/>
      <c r="M5296" s="13"/>
      <c r="N5296" s="13"/>
      <c r="O5296" s="13" t="str">
        <f t="shared" si="1"/>
        <v/>
      </c>
    </row>
    <row r="5297" ht="22.5" customHeight="1">
      <c r="B5297" s="13"/>
      <c r="C5297" s="13"/>
      <c r="D5297" s="13"/>
      <c r="E5297" s="14"/>
      <c r="F5297" s="14"/>
      <c r="G5297" s="13"/>
      <c r="H5297" s="14"/>
      <c r="I5297" s="13"/>
      <c r="J5297" s="13"/>
      <c r="K5297" s="13"/>
      <c r="L5297" s="13"/>
      <c r="M5297" s="13"/>
      <c r="N5297" s="13"/>
      <c r="O5297" s="13" t="str">
        <f t="shared" si="1"/>
        <v/>
      </c>
    </row>
    <row r="5298" ht="22.5" customHeight="1">
      <c r="B5298" s="13"/>
      <c r="C5298" s="13"/>
      <c r="D5298" s="13"/>
      <c r="E5298" s="14"/>
      <c r="F5298" s="14"/>
      <c r="G5298" s="13"/>
      <c r="H5298" s="14"/>
      <c r="I5298" s="13"/>
      <c r="J5298" s="13"/>
      <c r="K5298" s="13"/>
      <c r="L5298" s="13"/>
      <c r="M5298" s="13"/>
      <c r="N5298" s="13"/>
      <c r="O5298" s="13" t="str">
        <f t="shared" si="1"/>
        <v/>
      </c>
    </row>
    <row r="5299" ht="22.5" customHeight="1">
      <c r="B5299" s="13"/>
      <c r="C5299" s="13"/>
      <c r="D5299" s="13"/>
      <c r="E5299" s="14"/>
      <c r="F5299" s="14"/>
      <c r="G5299" s="13"/>
      <c r="H5299" s="14"/>
      <c r="I5299" s="13"/>
      <c r="J5299" s="13"/>
      <c r="K5299" s="13"/>
      <c r="L5299" s="13"/>
      <c r="M5299" s="13"/>
      <c r="N5299" s="13"/>
      <c r="O5299" s="13" t="str">
        <f t="shared" si="1"/>
        <v/>
      </c>
    </row>
    <row r="5300" ht="22.5" customHeight="1">
      <c r="B5300" s="13"/>
      <c r="C5300" s="13"/>
      <c r="D5300" s="13"/>
      <c r="E5300" s="14"/>
      <c r="F5300" s="14"/>
      <c r="G5300" s="13"/>
      <c r="H5300" s="14"/>
      <c r="I5300" s="13"/>
      <c r="J5300" s="13"/>
      <c r="K5300" s="13"/>
      <c r="L5300" s="13"/>
      <c r="M5300" s="13"/>
      <c r="N5300" s="13"/>
      <c r="O5300" s="13" t="str">
        <f t="shared" si="1"/>
        <v/>
      </c>
    </row>
    <row r="5301" ht="22.5" customHeight="1">
      <c r="B5301" s="13"/>
      <c r="C5301" s="13"/>
      <c r="D5301" s="13"/>
      <c r="E5301" s="14"/>
      <c r="F5301" s="14"/>
      <c r="G5301" s="13"/>
      <c r="H5301" s="14"/>
      <c r="I5301" s="13"/>
      <c r="J5301" s="13"/>
      <c r="K5301" s="13"/>
      <c r="L5301" s="13"/>
      <c r="M5301" s="13"/>
      <c r="N5301" s="13"/>
      <c r="O5301" s="13" t="str">
        <f t="shared" si="1"/>
        <v/>
      </c>
    </row>
    <row r="5302" ht="22.5" customHeight="1">
      <c r="B5302" s="13"/>
      <c r="C5302" s="13"/>
      <c r="D5302" s="13"/>
      <c r="E5302" s="14"/>
      <c r="F5302" s="14"/>
      <c r="G5302" s="13"/>
      <c r="H5302" s="14"/>
      <c r="I5302" s="13"/>
      <c r="J5302" s="13"/>
      <c r="K5302" s="13"/>
      <c r="L5302" s="13"/>
      <c r="M5302" s="13"/>
      <c r="N5302" s="13"/>
      <c r="O5302" s="13" t="str">
        <f t="shared" si="1"/>
        <v/>
      </c>
    </row>
    <row r="5303" ht="22.5" customHeight="1">
      <c r="B5303" s="13"/>
      <c r="C5303" s="13"/>
      <c r="D5303" s="13"/>
      <c r="E5303" s="14"/>
      <c r="F5303" s="14"/>
      <c r="G5303" s="13"/>
      <c r="H5303" s="14"/>
      <c r="I5303" s="13"/>
      <c r="J5303" s="13"/>
      <c r="K5303" s="13"/>
      <c r="L5303" s="13"/>
      <c r="M5303" s="13"/>
      <c r="N5303" s="13"/>
      <c r="O5303" s="13" t="str">
        <f t="shared" si="1"/>
        <v/>
      </c>
    </row>
    <row r="5304" ht="22.5" customHeight="1">
      <c r="B5304" s="13"/>
      <c r="C5304" s="13"/>
      <c r="D5304" s="13"/>
      <c r="E5304" s="14"/>
      <c r="F5304" s="14"/>
      <c r="G5304" s="13"/>
      <c r="H5304" s="14"/>
      <c r="I5304" s="13"/>
      <c r="J5304" s="13"/>
      <c r="K5304" s="13"/>
      <c r="L5304" s="13"/>
      <c r="M5304" s="13"/>
      <c r="N5304" s="13"/>
      <c r="O5304" s="13" t="str">
        <f t="shared" si="1"/>
        <v/>
      </c>
    </row>
    <row r="5305" ht="22.5" customHeight="1">
      <c r="B5305" s="13"/>
      <c r="C5305" s="13"/>
      <c r="D5305" s="13"/>
      <c r="E5305" s="14"/>
      <c r="F5305" s="14"/>
      <c r="G5305" s="13"/>
      <c r="H5305" s="14"/>
      <c r="I5305" s="13"/>
      <c r="J5305" s="13"/>
      <c r="K5305" s="13"/>
      <c r="L5305" s="13"/>
      <c r="M5305" s="13"/>
      <c r="N5305" s="13"/>
      <c r="O5305" s="13" t="str">
        <f t="shared" si="1"/>
        <v/>
      </c>
    </row>
    <row r="5306" ht="22.5" customHeight="1">
      <c r="B5306" s="13"/>
      <c r="C5306" s="13"/>
      <c r="D5306" s="13"/>
      <c r="E5306" s="14"/>
      <c r="F5306" s="14"/>
      <c r="G5306" s="13"/>
      <c r="H5306" s="14"/>
      <c r="I5306" s="13"/>
      <c r="J5306" s="13"/>
      <c r="K5306" s="13"/>
      <c r="L5306" s="13"/>
      <c r="M5306" s="13"/>
      <c r="N5306" s="13"/>
      <c r="O5306" s="13" t="str">
        <f t="shared" si="1"/>
        <v/>
      </c>
    </row>
    <row r="5307" ht="22.5" customHeight="1">
      <c r="B5307" s="13"/>
      <c r="C5307" s="13"/>
      <c r="D5307" s="13"/>
      <c r="E5307" s="14"/>
      <c r="F5307" s="14"/>
      <c r="G5307" s="13"/>
      <c r="H5307" s="14"/>
      <c r="I5307" s="13"/>
      <c r="J5307" s="13"/>
      <c r="K5307" s="13"/>
      <c r="L5307" s="13"/>
      <c r="M5307" s="13"/>
      <c r="N5307" s="13"/>
      <c r="O5307" s="13" t="str">
        <f t="shared" si="1"/>
        <v/>
      </c>
    </row>
    <row r="5308" ht="22.5" customHeight="1">
      <c r="B5308" s="13"/>
      <c r="C5308" s="13"/>
      <c r="D5308" s="13"/>
      <c r="E5308" s="14"/>
      <c r="F5308" s="14"/>
      <c r="G5308" s="13"/>
      <c r="H5308" s="14"/>
      <c r="I5308" s="13"/>
      <c r="J5308" s="13"/>
      <c r="K5308" s="13"/>
      <c r="L5308" s="13"/>
      <c r="M5308" s="13"/>
      <c r="N5308" s="13"/>
      <c r="O5308" s="13" t="str">
        <f t="shared" si="1"/>
        <v/>
      </c>
    </row>
    <row r="5309" ht="22.5" customHeight="1">
      <c r="B5309" s="13"/>
      <c r="C5309" s="13"/>
      <c r="D5309" s="13"/>
      <c r="E5309" s="14"/>
      <c r="F5309" s="14"/>
      <c r="G5309" s="13"/>
      <c r="H5309" s="14"/>
      <c r="I5309" s="13"/>
      <c r="J5309" s="13"/>
      <c r="K5309" s="13"/>
      <c r="L5309" s="13"/>
      <c r="M5309" s="13"/>
      <c r="N5309" s="13"/>
      <c r="O5309" s="13" t="str">
        <f t="shared" si="1"/>
        <v/>
      </c>
    </row>
    <row r="5310" ht="22.5" customHeight="1">
      <c r="B5310" s="13"/>
      <c r="C5310" s="13"/>
      <c r="D5310" s="13"/>
      <c r="E5310" s="14"/>
      <c r="F5310" s="14"/>
      <c r="G5310" s="13"/>
      <c r="H5310" s="14"/>
      <c r="I5310" s="13"/>
      <c r="J5310" s="13"/>
      <c r="K5310" s="13"/>
      <c r="L5310" s="13"/>
      <c r="M5310" s="13"/>
      <c r="N5310" s="13"/>
      <c r="O5310" s="13" t="str">
        <f t="shared" si="1"/>
        <v/>
      </c>
    </row>
    <row r="5311" ht="22.5" customHeight="1">
      <c r="B5311" s="13"/>
      <c r="C5311" s="13"/>
      <c r="D5311" s="13"/>
      <c r="E5311" s="14"/>
      <c r="F5311" s="14"/>
      <c r="G5311" s="13"/>
      <c r="H5311" s="14"/>
      <c r="I5311" s="13"/>
      <c r="J5311" s="13"/>
      <c r="K5311" s="13"/>
      <c r="L5311" s="13"/>
      <c r="M5311" s="13"/>
      <c r="N5311" s="13"/>
      <c r="O5311" s="13" t="str">
        <f t="shared" si="1"/>
        <v/>
      </c>
    </row>
    <row r="5312" ht="22.5" customHeight="1">
      <c r="B5312" s="13"/>
      <c r="C5312" s="13"/>
      <c r="D5312" s="13"/>
      <c r="E5312" s="14"/>
      <c r="F5312" s="14"/>
      <c r="G5312" s="13"/>
      <c r="H5312" s="14"/>
      <c r="I5312" s="13"/>
      <c r="J5312" s="13"/>
      <c r="K5312" s="13"/>
      <c r="L5312" s="13"/>
      <c r="M5312" s="13"/>
      <c r="N5312" s="13"/>
      <c r="O5312" s="13" t="str">
        <f t="shared" si="1"/>
        <v/>
      </c>
    </row>
    <row r="5313" ht="22.5" customHeight="1">
      <c r="B5313" s="13"/>
      <c r="C5313" s="13"/>
      <c r="D5313" s="13"/>
      <c r="E5313" s="14"/>
      <c r="F5313" s="14"/>
      <c r="G5313" s="13"/>
      <c r="H5313" s="14"/>
      <c r="I5313" s="13"/>
      <c r="J5313" s="13"/>
      <c r="K5313" s="13"/>
      <c r="L5313" s="13"/>
      <c r="M5313" s="13"/>
      <c r="N5313" s="13"/>
      <c r="O5313" s="13" t="str">
        <f t="shared" si="1"/>
        <v/>
      </c>
    </row>
    <row r="5314" ht="22.5" customHeight="1">
      <c r="B5314" s="13"/>
      <c r="C5314" s="13"/>
      <c r="D5314" s="13"/>
      <c r="E5314" s="14"/>
      <c r="F5314" s="14"/>
      <c r="G5314" s="13"/>
      <c r="H5314" s="14"/>
      <c r="I5314" s="13"/>
      <c r="J5314" s="13"/>
      <c r="K5314" s="13"/>
      <c r="L5314" s="13"/>
      <c r="M5314" s="13"/>
      <c r="N5314" s="13"/>
      <c r="O5314" s="13" t="str">
        <f t="shared" si="1"/>
        <v/>
      </c>
    </row>
    <row r="5315" ht="22.5" customHeight="1">
      <c r="B5315" s="13"/>
      <c r="C5315" s="13"/>
      <c r="D5315" s="13"/>
      <c r="E5315" s="14"/>
      <c r="F5315" s="14"/>
      <c r="G5315" s="13"/>
      <c r="H5315" s="14"/>
      <c r="I5315" s="13"/>
      <c r="J5315" s="13"/>
      <c r="K5315" s="13"/>
      <c r="L5315" s="13"/>
      <c r="M5315" s="13"/>
      <c r="N5315" s="13"/>
      <c r="O5315" s="13" t="str">
        <f t="shared" si="1"/>
        <v/>
      </c>
    </row>
    <row r="5316" ht="22.5" customHeight="1">
      <c r="B5316" s="13"/>
      <c r="C5316" s="13"/>
      <c r="D5316" s="13"/>
      <c r="E5316" s="14"/>
      <c r="F5316" s="14"/>
      <c r="G5316" s="13"/>
      <c r="H5316" s="14"/>
      <c r="I5316" s="13"/>
      <c r="J5316" s="13"/>
      <c r="K5316" s="13"/>
      <c r="L5316" s="13"/>
      <c r="M5316" s="13"/>
      <c r="N5316" s="13"/>
      <c r="O5316" s="13" t="str">
        <f t="shared" si="1"/>
        <v/>
      </c>
    </row>
    <row r="5317" ht="22.5" customHeight="1">
      <c r="B5317" s="13"/>
      <c r="C5317" s="13"/>
      <c r="D5317" s="13"/>
      <c r="E5317" s="14"/>
      <c r="F5317" s="14"/>
      <c r="G5317" s="13"/>
      <c r="H5317" s="14"/>
      <c r="I5317" s="13"/>
      <c r="J5317" s="13"/>
      <c r="K5317" s="13"/>
      <c r="L5317" s="13"/>
      <c r="M5317" s="13"/>
      <c r="N5317" s="13"/>
      <c r="O5317" s="13" t="str">
        <f t="shared" si="1"/>
        <v/>
      </c>
    </row>
    <row r="5318" ht="22.5" customHeight="1">
      <c r="B5318" s="13"/>
      <c r="C5318" s="13"/>
      <c r="D5318" s="13"/>
      <c r="E5318" s="14"/>
      <c r="F5318" s="14"/>
      <c r="G5318" s="13"/>
      <c r="H5318" s="14"/>
      <c r="I5318" s="13"/>
      <c r="J5318" s="13"/>
      <c r="K5318" s="13"/>
      <c r="L5318" s="13"/>
      <c r="M5318" s="13"/>
      <c r="N5318" s="13"/>
      <c r="O5318" s="13" t="str">
        <f t="shared" si="1"/>
        <v/>
      </c>
    </row>
    <row r="5319" ht="22.5" customHeight="1">
      <c r="B5319" s="13"/>
      <c r="C5319" s="13"/>
      <c r="D5319" s="13"/>
      <c r="E5319" s="14"/>
      <c r="F5319" s="14"/>
      <c r="G5319" s="13"/>
      <c r="H5319" s="14"/>
      <c r="I5319" s="13"/>
      <c r="J5319" s="13"/>
      <c r="K5319" s="13"/>
      <c r="L5319" s="13"/>
      <c r="M5319" s="13"/>
      <c r="N5319" s="13"/>
      <c r="O5319" s="13" t="str">
        <f t="shared" si="1"/>
        <v/>
      </c>
    </row>
    <row r="5320" ht="22.5" customHeight="1">
      <c r="B5320" s="13"/>
      <c r="C5320" s="13"/>
      <c r="D5320" s="13"/>
      <c r="E5320" s="14"/>
      <c r="F5320" s="14"/>
      <c r="G5320" s="13"/>
      <c r="H5320" s="14"/>
      <c r="I5320" s="13"/>
      <c r="J5320" s="13"/>
      <c r="K5320" s="13"/>
      <c r="L5320" s="13"/>
      <c r="M5320" s="13"/>
      <c r="N5320" s="13"/>
      <c r="O5320" s="13" t="str">
        <f t="shared" si="1"/>
        <v/>
      </c>
    </row>
    <row r="5321" ht="22.5" customHeight="1">
      <c r="B5321" s="13"/>
      <c r="C5321" s="13"/>
      <c r="D5321" s="13"/>
      <c r="E5321" s="14"/>
      <c r="F5321" s="14"/>
      <c r="G5321" s="13"/>
      <c r="H5321" s="14"/>
      <c r="I5321" s="13"/>
      <c r="J5321" s="13"/>
      <c r="K5321" s="13"/>
      <c r="L5321" s="13"/>
      <c r="M5321" s="13"/>
      <c r="N5321" s="13"/>
      <c r="O5321" s="13" t="str">
        <f t="shared" si="1"/>
        <v/>
      </c>
    </row>
    <row r="5322" ht="22.5" customHeight="1">
      <c r="B5322" s="13"/>
      <c r="C5322" s="13"/>
      <c r="D5322" s="13"/>
      <c r="E5322" s="14"/>
      <c r="F5322" s="14"/>
      <c r="G5322" s="13"/>
      <c r="H5322" s="14"/>
      <c r="I5322" s="13"/>
      <c r="J5322" s="13"/>
      <c r="K5322" s="13"/>
      <c r="L5322" s="13"/>
      <c r="M5322" s="13"/>
      <c r="N5322" s="13"/>
      <c r="O5322" s="13" t="str">
        <f t="shared" si="1"/>
        <v/>
      </c>
    </row>
    <row r="5323" ht="22.5" customHeight="1">
      <c r="B5323" s="13"/>
      <c r="C5323" s="13"/>
      <c r="D5323" s="13"/>
      <c r="E5323" s="14"/>
      <c r="F5323" s="14"/>
      <c r="G5323" s="13"/>
      <c r="H5323" s="14"/>
      <c r="I5323" s="13"/>
      <c r="J5323" s="13"/>
      <c r="K5323" s="13"/>
      <c r="L5323" s="13"/>
      <c r="M5323" s="13"/>
      <c r="N5323" s="13"/>
      <c r="O5323" s="13" t="str">
        <f t="shared" si="1"/>
        <v/>
      </c>
    </row>
    <row r="5324" ht="22.5" customHeight="1">
      <c r="B5324" s="13"/>
      <c r="C5324" s="13"/>
      <c r="D5324" s="13"/>
      <c r="E5324" s="14"/>
      <c r="F5324" s="14"/>
      <c r="G5324" s="13"/>
      <c r="H5324" s="14"/>
      <c r="I5324" s="13"/>
      <c r="J5324" s="13"/>
      <c r="K5324" s="13"/>
      <c r="L5324" s="13"/>
      <c r="M5324" s="13"/>
      <c r="N5324" s="13"/>
      <c r="O5324" s="13" t="str">
        <f t="shared" si="1"/>
        <v/>
      </c>
    </row>
    <row r="5325" ht="22.5" customHeight="1">
      <c r="B5325" s="13"/>
      <c r="C5325" s="13"/>
      <c r="D5325" s="13"/>
      <c r="E5325" s="14"/>
      <c r="F5325" s="14"/>
      <c r="G5325" s="13"/>
      <c r="H5325" s="14"/>
      <c r="I5325" s="13"/>
      <c r="J5325" s="13"/>
      <c r="K5325" s="13"/>
      <c r="L5325" s="13"/>
      <c r="M5325" s="13"/>
      <c r="N5325" s="13"/>
      <c r="O5325" s="13" t="str">
        <f t="shared" si="1"/>
        <v/>
      </c>
    </row>
    <row r="5326" ht="22.5" customHeight="1">
      <c r="B5326" s="13"/>
      <c r="C5326" s="13"/>
      <c r="D5326" s="13"/>
      <c r="E5326" s="14"/>
      <c r="F5326" s="14"/>
      <c r="G5326" s="13"/>
      <c r="H5326" s="14"/>
      <c r="I5326" s="13"/>
      <c r="J5326" s="13"/>
      <c r="K5326" s="13"/>
      <c r="L5326" s="13"/>
      <c r="M5326" s="13"/>
      <c r="N5326" s="13"/>
      <c r="O5326" s="13" t="str">
        <f t="shared" si="1"/>
        <v/>
      </c>
    </row>
    <row r="5327" ht="22.5" customHeight="1">
      <c r="B5327" s="13"/>
      <c r="C5327" s="13"/>
      <c r="D5327" s="13"/>
      <c r="E5327" s="14"/>
      <c r="F5327" s="14"/>
      <c r="G5327" s="13"/>
      <c r="H5327" s="14"/>
      <c r="I5327" s="13"/>
      <c r="J5327" s="13"/>
      <c r="K5327" s="13"/>
      <c r="L5327" s="13"/>
      <c r="M5327" s="13"/>
      <c r="N5327" s="13"/>
      <c r="O5327" s="13" t="str">
        <f t="shared" si="1"/>
        <v/>
      </c>
    </row>
    <row r="5328" ht="22.5" customHeight="1">
      <c r="B5328" s="13"/>
      <c r="C5328" s="13"/>
      <c r="D5328" s="13"/>
      <c r="E5328" s="14"/>
      <c r="F5328" s="14"/>
      <c r="G5328" s="13"/>
      <c r="H5328" s="14"/>
      <c r="I5328" s="13"/>
      <c r="J5328" s="13"/>
      <c r="K5328" s="13"/>
      <c r="L5328" s="13"/>
      <c r="M5328" s="13"/>
      <c r="N5328" s="13"/>
      <c r="O5328" s="13" t="str">
        <f t="shared" si="1"/>
        <v/>
      </c>
    </row>
    <row r="5329" ht="22.5" customHeight="1">
      <c r="B5329" s="13"/>
      <c r="C5329" s="13"/>
      <c r="D5329" s="13"/>
      <c r="E5329" s="14"/>
      <c r="F5329" s="14"/>
      <c r="G5329" s="13"/>
      <c r="H5329" s="14"/>
      <c r="I5329" s="13"/>
      <c r="J5329" s="13"/>
      <c r="K5329" s="13"/>
      <c r="L5329" s="13"/>
      <c r="M5329" s="13"/>
      <c r="N5329" s="13"/>
      <c r="O5329" s="13" t="str">
        <f t="shared" si="1"/>
        <v/>
      </c>
    </row>
    <row r="5330" ht="22.5" customHeight="1">
      <c r="B5330" s="13"/>
      <c r="C5330" s="13"/>
      <c r="D5330" s="13"/>
      <c r="E5330" s="14"/>
      <c r="F5330" s="14"/>
      <c r="G5330" s="13"/>
      <c r="H5330" s="14"/>
      <c r="I5330" s="13"/>
      <c r="J5330" s="13"/>
      <c r="K5330" s="13"/>
      <c r="L5330" s="13"/>
      <c r="M5330" s="13"/>
      <c r="N5330" s="13"/>
      <c r="O5330" s="13" t="str">
        <f t="shared" si="1"/>
        <v/>
      </c>
    </row>
    <row r="5331" ht="22.5" customHeight="1">
      <c r="B5331" s="13"/>
      <c r="C5331" s="13"/>
      <c r="D5331" s="13"/>
      <c r="E5331" s="14"/>
      <c r="F5331" s="14"/>
      <c r="G5331" s="13"/>
      <c r="H5331" s="14"/>
      <c r="I5331" s="13"/>
      <c r="J5331" s="13"/>
      <c r="K5331" s="13"/>
      <c r="L5331" s="13"/>
      <c r="M5331" s="13"/>
      <c r="N5331" s="13"/>
      <c r="O5331" s="13" t="str">
        <f t="shared" si="1"/>
        <v/>
      </c>
    </row>
    <row r="5332" ht="22.5" customHeight="1">
      <c r="B5332" s="13"/>
      <c r="C5332" s="13"/>
      <c r="D5332" s="13"/>
      <c r="E5332" s="14"/>
      <c r="F5332" s="14"/>
      <c r="G5332" s="13"/>
      <c r="H5332" s="14"/>
      <c r="I5332" s="13"/>
      <c r="J5332" s="13"/>
      <c r="K5332" s="13"/>
      <c r="L5332" s="13"/>
      <c r="M5332" s="13"/>
      <c r="N5332" s="13"/>
      <c r="O5332" s="13" t="str">
        <f t="shared" si="1"/>
        <v/>
      </c>
    </row>
    <row r="5333" ht="22.5" customHeight="1">
      <c r="B5333" s="13"/>
      <c r="C5333" s="13"/>
      <c r="D5333" s="13"/>
      <c r="E5333" s="14"/>
      <c r="F5333" s="14"/>
      <c r="G5333" s="13"/>
      <c r="H5333" s="14"/>
      <c r="I5333" s="13"/>
      <c r="J5333" s="13"/>
      <c r="K5333" s="13"/>
      <c r="L5333" s="13"/>
      <c r="M5333" s="13"/>
      <c r="N5333" s="13"/>
      <c r="O5333" s="13" t="str">
        <f t="shared" si="1"/>
        <v/>
      </c>
    </row>
    <row r="5334" ht="22.5" customHeight="1">
      <c r="B5334" s="13"/>
      <c r="C5334" s="13"/>
      <c r="D5334" s="13"/>
      <c r="E5334" s="14"/>
      <c r="F5334" s="14"/>
      <c r="G5334" s="13"/>
      <c r="H5334" s="14"/>
      <c r="I5334" s="13"/>
      <c r="J5334" s="13"/>
      <c r="K5334" s="13"/>
      <c r="L5334" s="13"/>
      <c r="M5334" s="13"/>
      <c r="N5334" s="13"/>
      <c r="O5334" s="13" t="str">
        <f t="shared" si="1"/>
        <v/>
      </c>
    </row>
    <row r="5335" ht="22.5" customHeight="1">
      <c r="B5335" s="13"/>
      <c r="C5335" s="13"/>
      <c r="D5335" s="13"/>
      <c r="E5335" s="14"/>
      <c r="F5335" s="14"/>
      <c r="G5335" s="13"/>
      <c r="H5335" s="14"/>
      <c r="I5335" s="13"/>
      <c r="J5335" s="13"/>
      <c r="K5335" s="13"/>
      <c r="L5335" s="13"/>
      <c r="M5335" s="13"/>
      <c r="N5335" s="13"/>
      <c r="O5335" s="13" t="str">
        <f t="shared" si="1"/>
        <v/>
      </c>
    </row>
    <row r="5336" ht="22.5" customHeight="1">
      <c r="B5336" s="13"/>
      <c r="C5336" s="13"/>
      <c r="D5336" s="13"/>
      <c r="E5336" s="14"/>
      <c r="F5336" s="14"/>
      <c r="G5336" s="13"/>
      <c r="H5336" s="14"/>
      <c r="I5336" s="13"/>
      <c r="J5336" s="13"/>
      <c r="K5336" s="13"/>
      <c r="L5336" s="13"/>
      <c r="M5336" s="13"/>
      <c r="N5336" s="13"/>
      <c r="O5336" s="13" t="str">
        <f t="shared" si="1"/>
        <v/>
      </c>
    </row>
    <row r="5337" ht="22.5" customHeight="1">
      <c r="B5337" s="13"/>
      <c r="C5337" s="13"/>
      <c r="D5337" s="13"/>
      <c r="E5337" s="14"/>
      <c r="F5337" s="14"/>
      <c r="G5337" s="13"/>
      <c r="H5337" s="14"/>
      <c r="I5337" s="13"/>
      <c r="J5337" s="13"/>
      <c r="K5337" s="13"/>
      <c r="L5337" s="13"/>
      <c r="M5337" s="13"/>
      <c r="N5337" s="13"/>
      <c r="O5337" s="13" t="str">
        <f t="shared" si="1"/>
        <v/>
      </c>
    </row>
    <row r="5338" ht="22.5" customHeight="1">
      <c r="B5338" s="13"/>
      <c r="C5338" s="13"/>
      <c r="D5338" s="13"/>
      <c r="E5338" s="14"/>
      <c r="F5338" s="14"/>
      <c r="G5338" s="13"/>
      <c r="H5338" s="14"/>
      <c r="I5338" s="13"/>
      <c r="J5338" s="13"/>
      <c r="K5338" s="13"/>
      <c r="L5338" s="13"/>
      <c r="M5338" s="13"/>
      <c r="N5338" s="13"/>
      <c r="O5338" s="13" t="str">
        <f t="shared" si="1"/>
        <v/>
      </c>
    </row>
    <row r="5339" ht="22.5" customHeight="1">
      <c r="B5339" s="13"/>
      <c r="C5339" s="13"/>
      <c r="D5339" s="13"/>
      <c r="E5339" s="14"/>
      <c r="F5339" s="14"/>
      <c r="G5339" s="13"/>
      <c r="H5339" s="14"/>
      <c r="I5339" s="13"/>
      <c r="J5339" s="13"/>
      <c r="K5339" s="13"/>
      <c r="L5339" s="13"/>
      <c r="M5339" s="13"/>
      <c r="N5339" s="13"/>
      <c r="O5339" s="13" t="str">
        <f t="shared" si="1"/>
        <v/>
      </c>
    </row>
    <row r="5340" ht="22.5" customHeight="1">
      <c r="B5340" s="13"/>
      <c r="C5340" s="13"/>
      <c r="D5340" s="13"/>
      <c r="E5340" s="14"/>
      <c r="F5340" s="14"/>
      <c r="G5340" s="13"/>
      <c r="H5340" s="14"/>
      <c r="I5340" s="13"/>
      <c r="J5340" s="13"/>
      <c r="K5340" s="13"/>
      <c r="L5340" s="13"/>
      <c r="M5340" s="13"/>
      <c r="N5340" s="13"/>
      <c r="O5340" s="13" t="str">
        <f t="shared" si="1"/>
        <v/>
      </c>
    </row>
    <row r="5341" ht="22.5" customHeight="1">
      <c r="B5341" s="13"/>
      <c r="C5341" s="13"/>
      <c r="D5341" s="13"/>
      <c r="E5341" s="14"/>
      <c r="F5341" s="14"/>
      <c r="G5341" s="13"/>
      <c r="H5341" s="14"/>
      <c r="I5341" s="13"/>
      <c r="J5341" s="13"/>
      <c r="K5341" s="13"/>
      <c r="L5341" s="13"/>
      <c r="M5341" s="13"/>
      <c r="N5341" s="13"/>
      <c r="O5341" s="13" t="str">
        <f t="shared" si="1"/>
        <v/>
      </c>
    </row>
    <row r="5342" ht="22.5" customHeight="1">
      <c r="B5342" s="13"/>
      <c r="C5342" s="13"/>
      <c r="D5342" s="13"/>
      <c r="E5342" s="14"/>
      <c r="F5342" s="14"/>
      <c r="G5342" s="13"/>
      <c r="H5342" s="14"/>
      <c r="I5342" s="13"/>
      <c r="J5342" s="13"/>
      <c r="K5342" s="13"/>
      <c r="L5342" s="13"/>
      <c r="M5342" s="13"/>
      <c r="N5342" s="13"/>
      <c r="O5342" s="13" t="str">
        <f t="shared" si="1"/>
        <v/>
      </c>
    </row>
    <row r="5343" ht="22.5" customHeight="1">
      <c r="B5343" s="13"/>
      <c r="C5343" s="13"/>
      <c r="D5343" s="13"/>
      <c r="E5343" s="14"/>
      <c r="F5343" s="14"/>
      <c r="G5343" s="13"/>
      <c r="H5343" s="14"/>
      <c r="I5343" s="13"/>
      <c r="J5343" s="13"/>
      <c r="K5343" s="13"/>
      <c r="L5343" s="13"/>
      <c r="M5343" s="13"/>
      <c r="N5343" s="13"/>
      <c r="O5343" s="13" t="str">
        <f t="shared" si="1"/>
        <v/>
      </c>
    </row>
    <row r="5344" ht="22.5" customHeight="1">
      <c r="B5344" s="13"/>
      <c r="C5344" s="13"/>
      <c r="D5344" s="13"/>
      <c r="E5344" s="14"/>
      <c r="F5344" s="14"/>
      <c r="G5344" s="13"/>
      <c r="H5344" s="14"/>
      <c r="I5344" s="13"/>
      <c r="J5344" s="13"/>
      <c r="K5344" s="13"/>
      <c r="L5344" s="13"/>
      <c r="M5344" s="13"/>
      <c r="N5344" s="13"/>
      <c r="O5344" s="13" t="str">
        <f t="shared" si="1"/>
        <v/>
      </c>
    </row>
    <row r="5345" ht="22.5" customHeight="1">
      <c r="B5345" s="13"/>
      <c r="C5345" s="13"/>
      <c r="D5345" s="13"/>
      <c r="E5345" s="14"/>
      <c r="F5345" s="14"/>
      <c r="G5345" s="13"/>
      <c r="H5345" s="14"/>
      <c r="I5345" s="13"/>
      <c r="J5345" s="13"/>
      <c r="K5345" s="13"/>
      <c r="L5345" s="13"/>
      <c r="M5345" s="13"/>
      <c r="N5345" s="13"/>
      <c r="O5345" s="13" t="str">
        <f t="shared" si="1"/>
        <v/>
      </c>
    </row>
    <row r="5346" ht="22.5" customHeight="1">
      <c r="B5346" s="13"/>
      <c r="C5346" s="13"/>
      <c r="D5346" s="13"/>
      <c r="E5346" s="14"/>
      <c r="F5346" s="14"/>
      <c r="G5346" s="13"/>
      <c r="H5346" s="14"/>
      <c r="I5346" s="13"/>
      <c r="J5346" s="13"/>
      <c r="K5346" s="13"/>
      <c r="L5346" s="13"/>
      <c r="M5346" s="13"/>
      <c r="N5346" s="13"/>
      <c r="O5346" s="13" t="str">
        <f t="shared" si="1"/>
        <v/>
      </c>
    </row>
    <row r="5347" ht="22.5" customHeight="1">
      <c r="B5347" s="13"/>
      <c r="C5347" s="13"/>
      <c r="D5347" s="13"/>
      <c r="E5347" s="14"/>
      <c r="F5347" s="14"/>
      <c r="G5347" s="13"/>
      <c r="H5347" s="14"/>
      <c r="I5347" s="13"/>
      <c r="J5347" s="13"/>
      <c r="K5347" s="13"/>
      <c r="L5347" s="13"/>
      <c r="M5347" s="13"/>
      <c r="N5347" s="13"/>
      <c r="O5347" s="13" t="str">
        <f t="shared" si="1"/>
        <v/>
      </c>
    </row>
    <row r="5348" ht="22.5" customHeight="1">
      <c r="B5348" s="13"/>
      <c r="C5348" s="13"/>
      <c r="D5348" s="13"/>
      <c r="E5348" s="14"/>
      <c r="F5348" s="14"/>
      <c r="G5348" s="13"/>
      <c r="H5348" s="14"/>
      <c r="I5348" s="13"/>
      <c r="J5348" s="13"/>
      <c r="K5348" s="13"/>
      <c r="L5348" s="13"/>
      <c r="M5348" s="13"/>
      <c r="N5348" s="13"/>
      <c r="O5348" s="13" t="str">
        <f t="shared" si="1"/>
        <v/>
      </c>
    </row>
    <row r="5349" ht="22.5" customHeight="1">
      <c r="B5349" s="13"/>
      <c r="C5349" s="13"/>
      <c r="D5349" s="13"/>
      <c r="E5349" s="14"/>
      <c r="F5349" s="14"/>
      <c r="G5349" s="13"/>
      <c r="H5349" s="14"/>
      <c r="I5349" s="13"/>
      <c r="J5349" s="13"/>
      <c r="K5349" s="13"/>
      <c r="L5349" s="13"/>
      <c r="M5349" s="13"/>
      <c r="N5349" s="13"/>
      <c r="O5349" s="13" t="str">
        <f t="shared" si="1"/>
        <v/>
      </c>
    </row>
    <row r="5350" ht="22.5" customHeight="1">
      <c r="B5350" s="13"/>
      <c r="C5350" s="13"/>
      <c r="D5350" s="13"/>
      <c r="E5350" s="14"/>
      <c r="F5350" s="14"/>
      <c r="G5350" s="13"/>
      <c r="H5350" s="14"/>
      <c r="I5350" s="13"/>
      <c r="J5350" s="13"/>
      <c r="K5350" s="13"/>
      <c r="L5350" s="13"/>
      <c r="M5350" s="13"/>
      <c r="N5350" s="13"/>
      <c r="O5350" s="13" t="str">
        <f t="shared" si="1"/>
        <v/>
      </c>
    </row>
    <row r="5351" ht="22.5" customHeight="1">
      <c r="B5351" s="13"/>
      <c r="C5351" s="13"/>
      <c r="D5351" s="13"/>
      <c r="E5351" s="14"/>
      <c r="F5351" s="14"/>
      <c r="G5351" s="13"/>
      <c r="H5351" s="14"/>
      <c r="I5351" s="13"/>
      <c r="J5351" s="13"/>
      <c r="K5351" s="13"/>
      <c r="L5351" s="13"/>
      <c r="M5351" s="13"/>
      <c r="N5351" s="13"/>
      <c r="O5351" s="13" t="str">
        <f t="shared" si="1"/>
        <v/>
      </c>
    </row>
    <row r="5352" ht="22.5" customHeight="1">
      <c r="B5352" s="13"/>
      <c r="C5352" s="13"/>
      <c r="D5352" s="13"/>
      <c r="E5352" s="14"/>
      <c r="F5352" s="14"/>
      <c r="G5352" s="13"/>
      <c r="H5352" s="14"/>
      <c r="I5352" s="13"/>
      <c r="J5352" s="13"/>
      <c r="K5352" s="13"/>
      <c r="L5352" s="13"/>
      <c r="M5352" s="13"/>
      <c r="N5352" s="13"/>
      <c r="O5352" s="13" t="str">
        <f t="shared" si="1"/>
        <v/>
      </c>
    </row>
    <row r="5353" ht="22.5" customHeight="1">
      <c r="B5353" s="13"/>
      <c r="C5353" s="13"/>
      <c r="D5353" s="13"/>
      <c r="E5353" s="14"/>
      <c r="F5353" s="14"/>
      <c r="G5353" s="13"/>
      <c r="H5353" s="14"/>
      <c r="I5353" s="13"/>
      <c r="J5353" s="13"/>
      <c r="K5353" s="13"/>
      <c r="L5353" s="13"/>
      <c r="M5353" s="13"/>
      <c r="N5353" s="13"/>
      <c r="O5353" s="13" t="str">
        <f t="shared" si="1"/>
        <v/>
      </c>
    </row>
    <row r="5354" ht="22.5" customHeight="1">
      <c r="B5354" s="13"/>
      <c r="C5354" s="13"/>
      <c r="D5354" s="13"/>
      <c r="E5354" s="14"/>
      <c r="F5354" s="14"/>
      <c r="G5354" s="13"/>
      <c r="H5354" s="14"/>
      <c r="I5354" s="13"/>
      <c r="J5354" s="13"/>
      <c r="K5354" s="13"/>
      <c r="L5354" s="13"/>
      <c r="M5354" s="13"/>
      <c r="N5354" s="13"/>
      <c r="O5354" s="13" t="str">
        <f t="shared" si="1"/>
        <v/>
      </c>
    </row>
    <row r="5355" ht="22.5" customHeight="1">
      <c r="B5355" s="13"/>
      <c r="C5355" s="13"/>
      <c r="D5355" s="13"/>
      <c r="E5355" s="14"/>
      <c r="F5355" s="14"/>
      <c r="G5355" s="13"/>
      <c r="H5355" s="14"/>
      <c r="I5355" s="13"/>
      <c r="J5355" s="13"/>
      <c r="K5355" s="13"/>
      <c r="L5355" s="13"/>
      <c r="M5355" s="13"/>
      <c r="N5355" s="13"/>
      <c r="O5355" s="13" t="str">
        <f t="shared" si="1"/>
        <v/>
      </c>
    </row>
    <row r="5356" ht="22.5" customHeight="1">
      <c r="B5356" s="13"/>
      <c r="C5356" s="13"/>
      <c r="D5356" s="13"/>
      <c r="E5356" s="14"/>
      <c r="F5356" s="14"/>
      <c r="G5356" s="13"/>
      <c r="H5356" s="14"/>
      <c r="I5356" s="13"/>
      <c r="J5356" s="13"/>
      <c r="K5356" s="13"/>
      <c r="L5356" s="13"/>
      <c r="M5356" s="13"/>
      <c r="N5356" s="13"/>
      <c r="O5356" s="13" t="str">
        <f t="shared" si="1"/>
        <v/>
      </c>
    </row>
    <row r="5357" ht="22.5" customHeight="1">
      <c r="B5357" s="13"/>
      <c r="C5357" s="13"/>
      <c r="D5357" s="13"/>
      <c r="E5357" s="14"/>
      <c r="F5357" s="14"/>
      <c r="G5357" s="13"/>
      <c r="H5357" s="14"/>
      <c r="I5357" s="13"/>
      <c r="J5357" s="13"/>
      <c r="K5357" s="13"/>
      <c r="L5357" s="13"/>
      <c r="M5357" s="13"/>
      <c r="N5357" s="13"/>
      <c r="O5357" s="13" t="str">
        <f t="shared" si="1"/>
        <v/>
      </c>
    </row>
    <row r="5358" ht="22.5" customHeight="1">
      <c r="B5358" s="13"/>
      <c r="C5358" s="13"/>
      <c r="D5358" s="13"/>
      <c r="E5358" s="14"/>
      <c r="F5358" s="14"/>
      <c r="G5358" s="13"/>
      <c r="H5358" s="14"/>
      <c r="I5358" s="13"/>
      <c r="J5358" s="13"/>
      <c r="K5358" s="13"/>
      <c r="L5358" s="13"/>
      <c r="M5358" s="13"/>
      <c r="N5358" s="13"/>
      <c r="O5358" s="13" t="str">
        <f t="shared" si="1"/>
        <v/>
      </c>
    </row>
    <row r="5359" ht="22.5" customHeight="1">
      <c r="B5359" s="13"/>
      <c r="C5359" s="13"/>
      <c r="D5359" s="13"/>
      <c r="E5359" s="14"/>
      <c r="F5359" s="14"/>
      <c r="G5359" s="13"/>
      <c r="H5359" s="14"/>
      <c r="I5359" s="13"/>
      <c r="J5359" s="13"/>
      <c r="K5359" s="13"/>
      <c r="L5359" s="13"/>
      <c r="M5359" s="13"/>
      <c r="N5359" s="13"/>
      <c r="O5359" s="13" t="str">
        <f t="shared" si="1"/>
        <v/>
      </c>
    </row>
    <row r="5360" ht="22.5" customHeight="1">
      <c r="B5360" s="13"/>
      <c r="C5360" s="13"/>
      <c r="D5360" s="13"/>
      <c r="E5360" s="14"/>
      <c r="F5360" s="14"/>
      <c r="G5360" s="13"/>
      <c r="H5360" s="14"/>
      <c r="I5360" s="13"/>
      <c r="J5360" s="13"/>
      <c r="K5360" s="13"/>
      <c r="L5360" s="13"/>
      <c r="M5360" s="13"/>
      <c r="N5360" s="13"/>
      <c r="O5360" s="13" t="str">
        <f t="shared" si="1"/>
        <v/>
      </c>
    </row>
    <row r="5361" ht="22.5" customHeight="1">
      <c r="B5361" s="13"/>
      <c r="C5361" s="13"/>
      <c r="D5361" s="13"/>
      <c r="E5361" s="14"/>
      <c r="F5361" s="14"/>
      <c r="G5361" s="13"/>
      <c r="H5361" s="14"/>
      <c r="I5361" s="13"/>
      <c r="J5361" s="13"/>
      <c r="K5361" s="13"/>
      <c r="L5361" s="13"/>
      <c r="M5361" s="13"/>
      <c r="N5361" s="13"/>
      <c r="O5361" s="13" t="str">
        <f t="shared" si="1"/>
        <v/>
      </c>
    </row>
    <row r="5362" ht="22.5" customHeight="1">
      <c r="B5362" s="13"/>
      <c r="C5362" s="13"/>
      <c r="D5362" s="13"/>
      <c r="E5362" s="14"/>
      <c r="F5362" s="14"/>
      <c r="G5362" s="13"/>
      <c r="H5362" s="14"/>
      <c r="I5362" s="13"/>
      <c r="J5362" s="13"/>
      <c r="K5362" s="13"/>
      <c r="L5362" s="13"/>
      <c r="M5362" s="13"/>
      <c r="N5362" s="13"/>
      <c r="O5362" s="13" t="str">
        <f t="shared" si="1"/>
        <v/>
      </c>
    </row>
    <row r="5363" ht="22.5" customHeight="1">
      <c r="B5363" s="13"/>
      <c r="C5363" s="13"/>
      <c r="D5363" s="13"/>
      <c r="E5363" s="14"/>
      <c r="F5363" s="14"/>
      <c r="G5363" s="13"/>
      <c r="H5363" s="14"/>
      <c r="I5363" s="13"/>
      <c r="J5363" s="13"/>
      <c r="K5363" s="13"/>
      <c r="L5363" s="13"/>
      <c r="M5363" s="13"/>
      <c r="N5363" s="13"/>
      <c r="O5363" s="13" t="str">
        <f t="shared" si="1"/>
        <v/>
      </c>
    </row>
    <row r="5364" ht="22.5" customHeight="1">
      <c r="B5364" s="13"/>
      <c r="C5364" s="13"/>
      <c r="D5364" s="13"/>
      <c r="E5364" s="14"/>
      <c r="F5364" s="14"/>
      <c r="G5364" s="13"/>
      <c r="H5364" s="14"/>
      <c r="I5364" s="13"/>
      <c r="J5364" s="13"/>
      <c r="K5364" s="13"/>
      <c r="L5364" s="13"/>
      <c r="M5364" s="13"/>
      <c r="N5364" s="13"/>
      <c r="O5364" s="13" t="str">
        <f t="shared" si="1"/>
        <v/>
      </c>
    </row>
    <row r="5365" ht="22.5" customHeight="1">
      <c r="B5365" s="13"/>
      <c r="C5365" s="13"/>
      <c r="D5365" s="13"/>
      <c r="E5365" s="14"/>
      <c r="F5365" s="14"/>
      <c r="G5365" s="13"/>
      <c r="H5365" s="14"/>
      <c r="I5365" s="13"/>
      <c r="J5365" s="13"/>
      <c r="K5365" s="13"/>
      <c r="L5365" s="13"/>
      <c r="M5365" s="13"/>
      <c r="N5365" s="13"/>
      <c r="O5365" s="13" t="str">
        <f t="shared" si="1"/>
        <v/>
      </c>
    </row>
    <row r="5366" ht="22.5" customHeight="1">
      <c r="B5366" s="13"/>
      <c r="C5366" s="13"/>
      <c r="D5366" s="13"/>
      <c r="E5366" s="14"/>
      <c r="F5366" s="14"/>
      <c r="G5366" s="13"/>
      <c r="H5366" s="14"/>
      <c r="I5366" s="13"/>
      <c r="J5366" s="13"/>
      <c r="K5366" s="13"/>
      <c r="L5366" s="13"/>
      <c r="M5366" s="13"/>
      <c r="N5366" s="13"/>
      <c r="O5366" s="13" t="str">
        <f t="shared" si="1"/>
        <v/>
      </c>
    </row>
    <row r="5367" ht="22.5" customHeight="1">
      <c r="B5367" s="13"/>
      <c r="C5367" s="13"/>
      <c r="D5367" s="13"/>
      <c r="E5367" s="14"/>
      <c r="F5367" s="14"/>
      <c r="G5367" s="13"/>
      <c r="H5367" s="14"/>
      <c r="I5367" s="13"/>
      <c r="J5367" s="13"/>
      <c r="K5367" s="13"/>
      <c r="L5367" s="13"/>
      <c r="M5367" s="13"/>
      <c r="N5367" s="13"/>
      <c r="O5367" s="13" t="str">
        <f t="shared" si="1"/>
        <v/>
      </c>
    </row>
    <row r="5368" ht="22.5" customHeight="1">
      <c r="B5368" s="13"/>
      <c r="C5368" s="13"/>
      <c r="D5368" s="13"/>
      <c r="E5368" s="14"/>
      <c r="F5368" s="14"/>
      <c r="G5368" s="13"/>
      <c r="H5368" s="14"/>
      <c r="I5368" s="13"/>
      <c r="J5368" s="13"/>
      <c r="K5368" s="13"/>
      <c r="L5368" s="13"/>
      <c r="M5368" s="13"/>
      <c r="N5368" s="13"/>
      <c r="O5368" s="13" t="str">
        <f t="shared" si="1"/>
        <v/>
      </c>
    </row>
    <row r="5369" ht="22.5" customHeight="1">
      <c r="B5369" s="13"/>
      <c r="C5369" s="13"/>
      <c r="D5369" s="13"/>
      <c r="E5369" s="14"/>
      <c r="F5369" s="14"/>
      <c r="G5369" s="13"/>
      <c r="H5369" s="14"/>
      <c r="I5369" s="13"/>
      <c r="J5369" s="13"/>
      <c r="K5369" s="13"/>
      <c r="L5369" s="13"/>
      <c r="M5369" s="13"/>
      <c r="N5369" s="13"/>
      <c r="O5369" s="13" t="str">
        <f t="shared" si="1"/>
        <v/>
      </c>
    </row>
    <row r="5370" ht="22.5" customHeight="1">
      <c r="B5370" s="13"/>
      <c r="C5370" s="13"/>
      <c r="D5370" s="13"/>
      <c r="E5370" s="14"/>
      <c r="F5370" s="14"/>
      <c r="G5370" s="13"/>
      <c r="H5370" s="14"/>
      <c r="I5370" s="13"/>
      <c r="J5370" s="13"/>
      <c r="K5370" s="13"/>
      <c r="L5370" s="13"/>
      <c r="M5370" s="13"/>
      <c r="N5370" s="13"/>
      <c r="O5370" s="13" t="str">
        <f t="shared" si="1"/>
        <v/>
      </c>
    </row>
    <row r="5371" ht="22.5" customHeight="1">
      <c r="B5371" s="13"/>
      <c r="C5371" s="13"/>
      <c r="D5371" s="13"/>
      <c r="E5371" s="14"/>
      <c r="F5371" s="14"/>
      <c r="G5371" s="13"/>
      <c r="H5371" s="14"/>
      <c r="I5371" s="13"/>
      <c r="J5371" s="13"/>
      <c r="K5371" s="13"/>
      <c r="L5371" s="13"/>
      <c r="M5371" s="13"/>
      <c r="N5371" s="13"/>
      <c r="O5371" s="13" t="str">
        <f t="shared" si="1"/>
        <v/>
      </c>
    </row>
    <row r="5372" ht="22.5" customHeight="1">
      <c r="B5372" s="13"/>
      <c r="C5372" s="13"/>
      <c r="D5372" s="13"/>
      <c r="E5372" s="14"/>
      <c r="F5372" s="14"/>
      <c r="G5372" s="13"/>
      <c r="H5372" s="14"/>
      <c r="I5372" s="13"/>
      <c r="J5372" s="13"/>
      <c r="K5372" s="13"/>
      <c r="L5372" s="13"/>
      <c r="M5372" s="13"/>
      <c r="N5372" s="13"/>
      <c r="O5372" s="13" t="str">
        <f t="shared" si="1"/>
        <v/>
      </c>
    </row>
    <row r="5373" ht="22.5" customHeight="1">
      <c r="B5373" s="13"/>
      <c r="C5373" s="13"/>
      <c r="D5373" s="13"/>
      <c r="E5373" s="14"/>
      <c r="F5373" s="14"/>
      <c r="G5373" s="13"/>
      <c r="H5373" s="14"/>
      <c r="I5373" s="13"/>
      <c r="J5373" s="13"/>
      <c r="K5373" s="13"/>
      <c r="L5373" s="13"/>
      <c r="M5373" s="13"/>
      <c r="N5373" s="13"/>
      <c r="O5373" s="13" t="str">
        <f t="shared" si="1"/>
        <v/>
      </c>
    </row>
    <row r="5374" ht="22.5" customHeight="1">
      <c r="B5374" s="13"/>
      <c r="C5374" s="13"/>
      <c r="D5374" s="13"/>
      <c r="E5374" s="14"/>
      <c r="F5374" s="14"/>
      <c r="G5374" s="13"/>
      <c r="H5374" s="14"/>
      <c r="I5374" s="13"/>
      <c r="J5374" s="13"/>
      <c r="K5374" s="13"/>
      <c r="L5374" s="13"/>
      <c r="M5374" s="13"/>
      <c r="N5374" s="13"/>
      <c r="O5374" s="13" t="str">
        <f t="shared" si="1"/>
        <v/>
      </c>
    </row>
    <row r="5375" ht="22.5" customHeight="1">
      <c r="B5375" s="13"/>
      <c r="C5375" s="13"/>
      <c r="D5375" s="13"/>
      <c r="E5375" s="14"/>
      <c r="F5375" s="14"/>
      <c r="G5375" s="13"/>
      <c r="H5375" s="14"/>
      <c r="I5375" s="13"/>
      <c r="J5375" s="13"/>
      <c r="K5375" s="13"/>
      <c r="L5375" s="13"/>
      <c r="M5375" s="13"/>
      <c r="N5375" s="13"/>
      <c r="O5375" s="13" t="str">
        <f t="shared" si="1"/>
        <v/>
      </c>
    </row>
    <row r="5376" ht="22.5" customHeight="1">
      <c r="B5376" s="13"/>
      <c r="C5376" s="13"/>
      <c r="D5376" s="13"/>
      <c r="E5376" s="14"/>
      <c r="F5376" s="14"/>
      <c r="G5376" s="13"/>
      <c r="H5376" s="14"/>
      <c r="I5376" s="13"/>
      <c r="J5376" s="13"/>
      <c r="K5376" s="13"/>
      <c r="L5376" s="13"/>
      <c r="M5376" s="13"/>
      <c r="N5376" s="13"/>
      <c r="O5376" s="13" t="str">
        <f t="shared" si="1"/>
        <v/>
      </c>
    </row>
    <row r="5377" ht="22.5" customHeight="1">
      <c r="B5377" s="13"/>
      <c r="C5377" s="13"/>
      <c r="D5377" s="13"/>
      <c r="E5377" s="14"/>
      <c r="F5377" s="14"/>
      <c r="G5377" s="13"/>
      <c r="H5377" s="14"/>
      <c r="I5377" s="13"/>
      <c r="J5377" s="13"/>
      <c r="K5377" s="13"/>
      <c r="L5377" s="13"/>
      <c r="M5377" s="13"/>
      <c r="N5377" s="13"/>
      <c r="O5377" s="13" t="str">
        <f t="shared" si="1"/>
        <v/>
      </c>
    </row>
    <row r="5378" ht="22.5" customHeight="1">
      <c r="B5378" s="13"/>
      <c r="C5378" s="13"/>
      <c r="D5378" s="13"/>
      <c r="E5378" s="14"/>
      <c r="F5378" s="14"/>
      <c r="G5378" s="13"/>
      <c r="H5378" s="14"/>
      <c r="I5378" s="13"/>
      <c r="J5378" s="13"/>
      <c r="K5378" s="13"/>
      <c r="L5378" s="13"/>
      <c r="M5378" s="13"/>
      <c r="N5378" s="13"/>
      <c r="O5378" s="13" t="str">
        <f t="shared" si="1"/>
        <v/>
      </c>
    </row>
    <row r="5379" ht="22.5" customHeight="1">
      <c r="B5379" s="13"/>
      <c r="C5379" s="13"/>
      <c r="D5379" s="13"/>
      <c r="E5379" s="14"/>
      <c r="F5379" s="14"/>
      <c r="G5379" s="13"/>
      <c r="H5379" s="14"/>
      <c r="I5379" s="13"/>
      <c r="J5379" s="13"/>
      <c r="K5379" s="13"/>
      <c r="L5379" s="13"/>
      <c r="M5379" s="13"/>
      <c r="N5379" s="13"/>
      <c r="O5379" s="13" t="str">
        <f t="shared" si="1"/>
        <v/>
      </c>
    </row>
    <row r="5380" ht="22.5" customHeight="1">
      <c r="B5380" s="13"/>
      <c r="C5380" s="13"/>
      <c r="D5380" s="13"/>
      <c r="E5380" s="14"/>
      <c r="F5380" s="14"/>
      <c r="G5380" s="13"/>
      <c r="H5380" s="14"/>
      <c r="I5380" s="13"/>
      <c r="J5380" s="13"/>
      <c r="K5380" s="13"/>
      <c r="L5380" s="13"/>
      <c r="M5380" s="13"/>
      <c r="N5380" s="13"/>
      <c r="O5380" s="13" t="str">
        <f t="shared" si="1"/>
        <v/>
      </c>
    </row>
    <row r="5381" ht="22.5" customHeight="1">
      <c r="B5381" s="13"/>
      <c r="C5381" s="13"/>
      <c r="D5381" s="13"/>
      <c r="E5381" s="14"/>
      <c r="F5381" s="14"/>
      <c r="G5381" s="13"/>
      <c r="H5381" s="14"/>
      <c r="I5381" s="13"/>
      <c r="J5381" s="13"/>
      <c r="K5381" s="13"/>
      <c r="L5381" s="13"/>
      <c r="M5381" s="13"/>
      <c r="N5381" s="13"/>
      <c r="O5381" s="13" t="str">
        <f t="shared" si="1"/>
        <v/>
      </c>
    </row>
    <row r="5382" ht="22.5" customHeight="1">
      <c r="B5382" s="13"/>
      <c r="C5382" s="13"/>
      <c r="D5382" s="13"/>
      <c r="E5382" s="14"/>
      <c r="F5382" s="14"/>
      <c r="G5382" s="13"/>
      <c r="H5382" s="14"/>
      <c r="I5382" s="13"/>
      <c r="J5382" s="13"/>
      <c r="K5382" s="13"/>
      <c r="L5382" s="13"/>
      <c r="M5382" s="13"/>
      <c r="N5382" s="13"/>
      <c r="O5382" s="13" t="str">
        <f t="shared" si="1"/>
        <v/>
      </c>
    </row>
    <row r="5383" ht="22.5" customHeight="1">
      <c r="B5383" s="13"/>
      <c r="C5383" s="13"/>
      <c r="D5383" s="13"/>
      <c r="E5383" s="14"/>
      <c r="F5383" s="14"/>
      <c r="G5383" s="13"/>
      <c r="H5383" s="14"/>
      <c r="I5383" s="13"/>
      <c r="J5383" s="13"/>
      <c r="K5383" s="13"/>
      <c r="L5383" s="13"/>
      <c r="M5383" s="13"/>
      <c r="N5383" s="13"/>
      <c r="O5383" s="13" t="str">
        <f t="shared" si="1"/>
        <v/>
      </c>
    </row>
    <row r="5384" ht="22.5" customHeight="1">
      <c r="B5384" s="13"/>
      <c r="C5384" s="13"/>
      <c r="D5384" s="13"/>
      <c r="E5384" s="14"/>
      <c r="F5384" s="14"/>
      <c r="G5384" s="13"/>
      <c r="H5384" s="14"/>
      <c r="I5384" s="13"/>
      <c r="J5384" s="13"/>
      <c r="K5384" s="13"/>
      <c r="L5384" s="13"/>
      <c r="M5384" s="13"/>
      <c r="N5384" s="13"/>
      <c r="O5384" s="13" t="str">
        <f t="shared" si="1"/>
        <v/>
      </c>
    </row>
    <row r="5385" ht="22.5" customHeight="1">
      <c r="B5385" s="13"/>
      <c r="C5385" s="13"/>
      <c r="D5385" s="13"/>
      <c r="E5385" s="14"/>
      <c r="F5385" s="14"/>
      <c r="G5385" s="13"/>
      <c r="H5385" s="14"/>
      <c r="I5385" s="13"/>
      <c r="J5385" s="13"/>
      <c r="K5385" s="13"/>
      <c r="L5385" s="13"/>
      <c r="M5385" s="13"/>
      <c r="N5385" s="13"/>
      <c r="O5385" s="13" t="str">
        <f t="shared" si="1"/>
        <v/>
      </c>
    </row>
    <row r="5386" ht="22.5" customHeight="1">
      <c r="B5386" s="13"/>
      <c r="C5386" s="13"/>
      <c r="D5386" s="13"/>
      <c r="E5386" s="14"/>
      <c r="F5386" s="14"/>
      <c r="G5386" s="13"/>
      <c r="H5386" s="14"/>
      <c r="I5386" s="13"/>
      <c r="J5386" s="13"/>
      <c r="K5386" s="13"/>
      <c r="L5386" s="13"/>
      <c r="M5386" s="13"/>
      <c r="N5386" s="13"/>
      <c r="O5386" s="13" t="str">
        <f t="shared" si="1"/>
        <v/>
      </c>
    </row>
    <row r="5387" ht="22.5" customHeight="1">
      <c r="B5387" s="13"/>
      <c r="C5387" s="13"/>
      <c r="D5387" s="13"/>
      <c r="E5387" s="14"/>
      <c r="F5387" s="14"/>
      <c r="G5387" s="13"/>
      <c r="H5387" s="14"/>
      <c r="I5387" s="13"/>
      <c r="J5387" s="13"/>
      <c r="K5387" s="13"/>
      <c r="L5387" s="13"/>
      <c r="M5387" s="13"/>
      <c r="N5387" s="13"/>
      <c r="O5387" s="13" t="str">
        <f t="shared" si="1"/>
        <v/>
      </c>
    </row>
    <row r="5388" ht="22.5" customHeight="1">
      <c r="B5388" s="13"/>
      <c r="C5388" s="13"/>
      <c r="D5388" s="13"/>
      <c r="E5388" s="14"/>
      <c r="F5388" s="14"/>
      <c r="G5388" s="13"/>
      <c r="H5388" s="14"/>
      <c r="I5388" s="13"/>
      <c r="J5388" s="13"/>
      <c r="K5388" s="13"/>
      <c r="L5388" s="13"/>
      <c r="M5388" s="13"/>
      <c r="N5388" s="13"/>
      <c r="O5388" s="13" t="str">
        <f t="shared" si="1"/>
        <v/>
      </c>
    </row>
    <row r="5389" ht="22.5" customHeight="1">
      <c r="B5389" s="13"/>
      <c r="C5389" s="13"/>
      <c r="D5389" s="13"/>
      <c r="E5389" s="14"/>
      <c r="F5389" s="14"/>
      <c r="G5389" s="13"/>
      <c r="H5389" s="14"/>
      <c r="I5389" s="13"/>
      <c r="J5389" s="13"/>
      <c r="K5389" s="13"/>
      <c r="L5389" s="13"/>
      <c r="M5389" s="13"/>
      <c r="N5389" s="13"/>
      <c r="O5389" s="13" t="str">
        <f t="shared" si="1"/>
        <v/>
      </c>
    </row>
    <row r="5390" ht="22.5" customHeight="1">
      <c r="B5390" s="13"/>
      <c r="C5390" s="13"/>
      <c r="D5390" s="13"/>
      <c r="E5390" s="14"/>
      <c r="F5390" s="14"/>
      <c r="G5390" s="13"/>
      <c r="H5390" s="14"/>
      <c r="I5390" s="13"/>
      <c r="J5390" s="13"/>
      <c r="K5390" s="13"/>
      <c r="L5390" s="13"/>
      <c r="M5390" s="13"/>
      <c r="N5390" s="13"/>
      <c r="O5390" s="13" t="str">
        <f t="shared" si="1"/>
        <v/>
      </c>
    </row>
    <row r="5391" ht="22.5" customHeight="1">
      <c r="B5391" s="13"/>
      <c r="C5391" s="13"/>
      <c r="D5391" s="13"/>
      <c r="E5391" s="14"/>
      <c r="F5391" s="14"/>
      <c r="G5391" s="13"/>
      <c r="H5391" s="14"/>
      <c r="I5391" s="13"/>
      <c r="J5391" s="13"/>
      <c r="K5391" s="13"/>
      <c r="L5391" s="13"/>
      <c r="M5391" s="13"/>
      <c r="N5391" s="13"/>
      <c r="O5391" s="13" t="str">
        <f t="shared" si="1"/>
        <v/>
      </c>
    </row>
    <row r="5392" ht="22.5" customHeight="1">
      <c r="B5392" s="13"/>
      <c r="C5392" s="13"/>
      <c r="D5392" s="13"/>
      <c r="E5392" s="14"/>
      <c r="F5392" s="14"/>
      <c r="G5392" s="13"/>
      <c r="H5392" s="14"/>
      <c r="I5392" s="13"/>
      <c r="J5392" s="13"/>
      <c r="K5392" s="13"/>
      <c r="L5392" s="13"/>
      <c r="M5392" s="13"/>
      <c r="N5392" s="13"/>
      <c r="O5392" s="13" t="str">
        <f t="shared" si="1"/>
        <v/>
      </c>
    </row>
    <row r="5393" ht="22.5" customHeight="1">
      <c r="B5393" s="13"/>
      <c r="C5393" s="13"/>
      <c r="D5393" s="13"/>
      <c r="E5393" s="14"/>
      <c r="F5393" s="14"/>
      <c r="G5393" s="13"/>
      <c r="H5393" s="14"/>
      <c r="I5393" s="13"/>
      <c r="J5393" s="13"/>
      <c r="K5393" s="13"/>
      <c r="L5393" s="13"/>
      <c r="M5393" s="13"/>
      <c r="N5393" s="13"/>
      <c r="O5393" s="13" t="str">
        <f t="shared" si="1"/>
        <v/>
      </c>
    </row>
    <row r="5394" ht="22.5" customHeight="1">
      <c r="B5394" s="13"/>
      <c r="C5394" s="13"/>
      <c r="D5394" s="13"/>
      <c r="E5394" s="14"/>
      <c r="F5394" s="14"/>
      <c r="G5394" s="13"/>
      <c r="H5394" s="14"/>
      <c r="I5394" s="13"/>
      <c r="J5394" s="13"/>
      <c r="K5394" s="13"/>
      <c r="L5394" s="13"/>
      <c r="M5394" s="13"/>
      <c r="N5394" s="13"/>
      <c r="O5394" s="13" t="str">
        <f t="shared" si="1"/>
        <v/>
      </c>
    </row>
    <row r="5395" ht="22.5" customHeight="1">
      <c r="B5395" s="13"/>
      <c r="C5395" s="13"/>
      <c r="D5395" s="13"/>
      <c r="E5395" s="14"/>
      <c r="F5395" s="14"/>
      <c r="G5395" s="13"/>
      <c r="H5395" s="14"/>
      <c r="I5395" s="13"/>
      <c r="J5395" s="13"/>
      <c r="K5395" s="13"/>
      <c r="L5395" s="13"/>
      <c r="M5395" s="13"/>
      <c r="N5395" s="13"/>
      <c r="O5395" s="13" t="str">
        <f t="shared" si="1"/>
        <v/>
      </c>
    </row>
    <row r="5396" ht="22.5" customHeight="1">
      <c r="B5396" s="13"/>
      <c r="C5396" s="13"/>
      <c r="D5396" s="13"/>
      <c r="E5396" s="14"/>
      <c r="F5396" s="14"/>
      <c r="G5396" s="13"/>
      <c r="H5396" s="14"/>
      <c r="I5396" s="13"/>
      <c r="J5396" s="13"/>
      <c r="K5396" s="13"/>
      <c r="L5396" s="13"/>
      <c r="M5396" s="13"/>
      <c r="N5396" s="13"/>
      <c r="O5396" s="13" t="str">
        <f t="shared" si="1"/>
        <v/>
      </c>
    </row>
    <row r="5397" ht="22.5" customHeight="1">
      <c r="B5397" s="13"/>
      <c r="C5397" s="13"/>
      <c r="D5397" s="13"/>
      <c r="E5397" s="14"/>
      <c r="F5397" s="14"/>
      <c r="G5397" s="13"/>
      <c r="H5397" s="14"/>
      <c r="I5397" s="13"/>
      <c r="J5397" s="13"/>
      <c r="K5397" s="13"/>
      <c r="L5397" s="13"/>
      <c r="M5397" s="13"/>
      <c r="N5397" s="13"/>
      <c r="O5397" s="13" t="str">
        <f t="shared" si="1"/>
        <v/>
      </c>
    </row>
    <row r="5398" ht="22.5" customHeight="1">
      <c r="B5398" s="13"/>
      <c r="C5398" s="13"/>
      <c r="D5398" s="13"/>
      <c r="E5398" s="14"/>
      <c r="F5398" s="14"/>
      <c r="G5398" s="13"/>
      <c r="H5398" s="14"/>
      <c r="I5398" s="13"/>
      <c r="J5398" s="13"/>
      <c r="K5398" s="13"/>
      <c r="L5398" s="13"/>
      <c r="M5398" s="13"/>
      <c r="N5398" s="13"/>
      <c r="O5398" s="13" t="str">
        <f t="shared" si="1"/>
        <v/>
      </c>
    </row>
    <row r="5399" ht="22.5" customHeight="1">
      <c r="B5399" s="13"/>
      <c r="C5399" s="13"/>
      <c r="D5399" s="13"/>
      <c r="E5399" s="14"/>
      <c r="F5399" s="14"/>
      <c r="G5399" s="13"/>
      <c r="H5399" s="14"/>
      <c r="I5399" s="13"/>
      <c r="J5399" s="13"/>
      <c r="K5399" s="13"/>
      <c r="L5399" s="13"/>
      <c r="M5399" s="13"/>
      <c r="N5399" s="13"/>
      <c r="O5399" s="13" t="str">
        <f t="shared" si="1"/>
        <v/>
      </c>
    </row>
    <row r="5400" ht="22.5" customHeight="1">
      <c r="B5400" s="13"/>
      <c r="C5400" s="13"/>
      <c r="D5400" s="13"/>
      <c r="E5400" s="14"/>
      <c r="F5400" s="14"/>
      <c r="G5400" s="13"/>
      <c r="H5400" s="14"/>
      <c r="I5400" s="13"/>
      <c r="J5400" s="13"/>
      <c r="K5400" s="13"/>
      <c r="L5400" s="13"/>
      <c r="M5400" s="13"/>
      <c r="N5400" s="13"/>
      <c r="O5400" s="13" t="str">
        <f t="shared" si="1"/>
        <v/>
      </c>
    </row>
    <row r="5401" ht="22.5" customHeight="1">
      <c r="B5401" s="13"/>
      <c r="C5401" s="13"/>
      <c r="D5401" s="13"/>
      <c r="E5401" s="14"/>
      <c r="F5401" s="14"/>
      <c r="G5401" s="13"/>
      <c r="H5401" s="14"/>
      <c r="I5401" s="13"/>
      <c r="J5401" s="13"/>
      <c r="K5401" s="13"/>
      <c r="L5401" s="13"/>
      <c r="M5401" s="13"/>
      <c r="N5401" s="13"/>
      <c r="O5401" s="13" t="str">
        <f t="shared" si="1"/>
        <v/>
      </c>
    </row>
    <row r="5402" ht="22.5" customHeight="1">
      <c r="B5402" s="13"/>
      <c r="C5402" s="13"/>
      <c r="D5402" s="13"/>
      <c r="E5402" s="14"/>
      <c r="F5402" s="14"/>
      <c r="G5402" s="13"/>
      <c r="H5402" s="14"/>
      <c r="I5402" s="13"/>
      <c r="J5402" s="13"/>
      <c r="K5402" s="13"/>
      <c r="L5402" s="13"/>
      <c r="M5402" s="13"/>
      <c r="N5402" s="13"/>
      <c r="O5402" s="13" t="str">
        <f t="shared" si="1"/>
        <v/>
      </c>
    </row>
    <row r="5403" ht="22.5" customHeight="1">
      <c r="B5403" s="13"/>
      <c r="C5403" s="13"/>
      <c r="D5403" s="13"/>
      <c r="E5403" s="14"/>
      <c r="F5403" s="14"/>
      <c r="G5403" s="13"/>
      <c r="H5403" s="14"/>
      <c r="I5403" s="13"/>
      <c r="J5403" s="13"/>
      <c r="K5403" s="13"/>
      <c r="L5403" s="13"/>
      <c r="M5403" s="13"/>
      <c r="N5403" s="13"/>
      <c r="O5403" s="13" t="str">
        <f t="shared" si="1"/>
        <v/>
      </c>
    </row>
    <row r="5404" ht="22.5" customHeight="1">
      <c r="B5404" s="13"/>
      <c r="C5404" s="13"/>
      <c r="D5404" s="13"/>
      <c r="E5404" s="14"/>
      <c r="F5404" s="14"/>
      <c r="G5404" s="13"/>
      <c r="H5404" s="14"/>
      <c r="I5404" s="13"/>
      <c r="J5404" s="13"/>
      <c r="K5404" s="13"/>
      <c r="L5404" s="13"/>
      <c r="M5404" s="13"/>
      <c r="N5404" s="13"/>
      <c r="O5404" s="13" t="str">
        <f t="shared" si="1"/>
        <v/>
      </c>
    </row>
    <row r="5405" ht="22.5" customHeight="1">
      <c r="B5405" s="13"/>
      <c r="C5405" s="13"/>
      <c r="D5405" s="13"/>
      <c r="E5405" s="14"/>
      <c r="F5405" s="14"/>
      <c r="G5405" s="13"/>
      <c r="H5405" s="14"/>
      <c r="I5405" s="13"/>
      <c r="J5405" s="13"/>
      <c r="K5405" s="13"/>
      <c r="L5405" s="13"/>
      <c r="M5405" s="13"/>
      <c r="N5405" s="13"/>
      <c r="O5405" s="13" t="str">
        <f t="shared" si="1"/>
        <v/>
      </c>
    </row>
    <row r="5406" ht="22.5" customHeight="1">
      <c r="B5406" s="13"/>
      <c r="C5406" s="13"/>
      <c r="D5406" s="13"/>
      <c r="E5406" s="14"/>
      <c r="F5406" s="14"/>
      <c r="G5406" s="13"/>
      <c r="H5406" s="14"/>
      <c r="I5406" s="13"/>
      <c r="J5406" s="13"/>
      <c r="K5406" s="13"/>
      <c r="L5406" s="13"/>
      <c r="M5406" s="13"/>
      <c r="N5406" s="13"/>
      <c r="O5406" s="13" t="str">
        <f t="shared" si="1"/>
        <v/>
      </c>
    </row>
    <row r="5407" ht="22.5" customHeight="1">
      <c r="B5407" s="13"/>
      <c r="C5407" s="13"/>
      <c r="D5407" s="13"/>
      <c r="E5407" s="14"/>
      <c r="F5407" s="14"/>
      <c r="G5407" s="13"/>
      <c r="H5407" s="14"/>
      <c r="I5407" s="13"/>
      <c r="J5407" s="13"/>
      <c r="K5407" s="13"/>
      <c r="L5407" s="13"/>
      <c r="M5407" s="13"/>
      <c r="N5407" s="13"/>
      <c r="O5407" s="13" t="str">
        <f t="shared" si="1"/>
        <v/>
      </c>
    </row>
    <row r="5408" ht="22.5" customHeight="1">
      <c r="B5408" s="13"/>
      <c r="C5408" s="13"/>
      <c r="D5408" s="13"/>
      <c r="E5408" s="14"/>
      <c r="F5408" s="14"/>
      <c r="G5408" s="13"/>
      <c r="H5408" s="14"/>
      <c r="I5408" s="13"/>
      <c r="J5408" s="13"/>
      <c r="K5408" s="13"/>
      <c r="L5408" s="13"/>
      <c r="M5408" s="13"/>
      <c r="N5408" s="13"/>
      <c r="O5408" s="13" t="str">
        <f t="shared" si="1"/>
        <v/>
      </c>
    </row>
    <row r="5409" ht="22.5" customHeight="1">
      <c r="B5409" s="13"/>
      <c r="C5409" s="13"/>
      <c r="D5409" s="13"/>
      <c r="E5409" s="14"/>
      <c r="F5409" s="14"/>
      <c r="G5409" s="13"/>
      <c r="H5409" s="14"/>
      <c r="I5409" s="13"/>
      <c r="J5409" s="13"/>
      <c r="K5409" s="13"/>
      <c r="L5409" s="13"/>
      <c r="M5409" s="13"/>
      <c r="N5409" s="13"/>
      <c r="O5409" s="13" t="str">
        <f t="shared" si="1"/>
        <v/>
      </c>
    </row>
    <row r="5410" ht="22.5" customHeight="1">
      <c r="B5410" s="13"/>
      <c r="C5410" s="13"/>
      <c r="D5410" s="13"/>
      <c r="E5410" s="14"/>
      <c r="F5410" s="14"/>
      <c r="G5410" s="13"/>
      <c r="H5410" s="14"/>
      <c r="I5410" s="13"/>
      <c r="J5410" s="13"/>
      <c r="K5410" s="13"/>
      <c r="L5410" s="13"/>
      <c r="M5410" s="13"/>
      <c r="N5410" s="13"/>
      <c r="O5410" s="13" t="str">
        <f t="shared" si="1"/>
        <v/>
      </c>
    </row>
    <row r="5411" ht="22.5" customHeight="1">
      <c r="B5411" s="13"/>
      <c r="C5411" s="13"/>
      <c r="D5411" s="13"/>
      <c r="E5411" s="14"/>
      <c r="F5411" s="14"/>
      <c r="G5411" s="13"/>
      <c r="H5411" s="14"/>
      <c r="I5411" s="13"/>
      <c r="J5411" s="13"/>
      <c r="K5411" s="13"/>
      <c r="L5411" s="13"/>
      <c r="M5411" s="13"/>
      <c r="N5411" s="13"/>
      <c r="O5411" s="13" t="str">
        <f t="shared" si="1"/>
        <v/>
      </c>
    </row>
    <row r="5412" ht="22.5" customHeight="1">
      <c r="B5412" s="13"/>
      <c r="C5412" s="13"/>
      <c r="D5412" s="13"/>
      <c r="E5412" s="14"/>
      <c r="F5412" s="14"/>
      <c r="G5412" s="13"/>
      <c r="H5412" s="14"/>
      <c r="I5412" s="13"/>
      <c r="J5412" s="13"/>
      <c r="K5412" s="13"/>
      <c r="L5412" s="13"/>
      <c r="M5412" s="13"/>
      <c r="N5412" s="13"/>
      <c r="O5412" s="13" t="str">
        <f t="shared" si="1"/>
        <v/>
      </c>
    </row>
    <row r="5413" ht="22.5" customHeight="1">
      <c r="B5413" s="13"/>
      <c r="C5413" s="13"/>
      <c r="D5413" s="13"/>
      <c r="E5413" s="14"/>
      <c r="F5413" s="14"/>
      <c r="G5413" s="13"/>
      <c r="H5413" s="14"/>
      <c r="I5413" s="13"/>
      <c r="J5413" s="13"/>
      <c r="K5413" s="13"/>
      <c r="L5413" s="13"/>
      <c r="M5413" s="13"/>
      <c r="N5413" s="13"/>
      <c r="O5413" s="13" t="str">
        <f t="shared" si="1"/>
        <v/>
      </c>
    </row>
    <row r="5414" ht="22.5" customHeight="1">
      <c r="B5414" s="13"/>
      <c r="C5414" s="13"/>
      <c r="D5414" s="13"/>
      <c r="E5414" s="14"/>
      <c r="F5414" s="14"/>
      <c r="G5414" s="13"/>
      <c r="H5414" s="14"/>
      <c r="I5414" s="13"/>
      <c r="J5414" s="13"/>
      <c r="K5414" s="13"/>
      <c r="L5414" s="13"/>
      <c r="M5414" s="13"/>
      <c r="N5414" s="13"/>
      <c r="O5414" s="13" t="str">
        <f t="shared" si="1"/>
        <v/>
      </c>
    </row>
    <row r="5415" ht="22.5" customHeight="1">
      <c r="B5415" s="13"/>
      <c r="C5415" s="13"/>
      <c r="D5415" s="13"/>
      <c r="E5415" s="14"/>
      <c r="F5415" s="14"/>
      <c r="G5415" s="13"/>
      <c r="H5415" s="14"/>
      <c r="I5415" s="13"/>
      <c r="J5415" s="13"/>
      <c r="K5415" s="13"/>
      <c r="L5415" s="13"/>
      <c r="M5415" s="13"/>
      <c r="N5415" s="13"/>
      <c r="O5415" s="13" t="str">
        <f t="shared" si="1"/>
        <v/>
      </c>
    </row>
    <row r="5416" ht="22.5" customHeight="1">
      <c r="B5416" s="13"/>
      <c r="C5416" s="13"/>
      <c r="D5416" s="13"/>
      <c r="E5416" s="14"/>
      <c r="F5416" s="14"/>
      <c r="G5416" s="13"/>
      <c r="H5416" s="14"/>
      <c r="I5416" s="13"/>
      <c r="J5416" s="13"/>
      <c r="K5416" s="13"/>
      <c r="L5416" s="13"/>
      <c r="M5416" s="13"/>
      <c r="N5416" s="13"/>
      <c r="O5416" s="13" t="str">
        <f t="shared" si="1"/>
        <v/>
      </c>
    </row>
    <row r="5417" ht="22.5" customHeight="1">
      <c r="B5417" s="13"/>
      <c r="C5417" s="13"/>
      <c r="D5417" s="13"/>
      <c r="E5417" s="14"/>
      <c r="F5417" s="14"/>
      <c r="G5417" s="13"/>
      <c r="H5417" s="14"/>
      <c r="I5417" s="13"/>
      <c r="J5417" s="13"/>
      <c r="K5417" s="13"/>
      <c r="L5417" s="13"/>
      <c r="M5417" s="13"/>
      <c r="N5417" s="13"/>
      <c r="O5417" s="13" t="str">
        <f t="shared" si="1"/>
        <v/>
      </c>
    </row>
    <row r="5418" ht="22.5" customHeight="1">
      <c r="B5418" s="13"/>
      <c r="C5418" s="13"/>
      <c r="D5418" s="13"/>
      <c r="E5418" s="14"/>
      <c r="F5418" s="14"/>
      <c r="G5418" s="13"/>
      <c r="H5418" s="14"/>
      <c r="I5418" s="13"/>
      <c r="J5418" s="13"/>
      <c r="K5418" s="13"/>
      <c r="L5418" s="13"/>
      <c r="M5418" s="13"/>
      <c r="N5418" s="13"/>
      <c r="O5418" s="13" t="str">
        <f t="shared" si="1"/>
        <v/>
      </c>
    </row>
    <row r="5419" ht="22.5" customHeight="1">
      <c r="B5419" s="13"/>
      <c r="C5419" s="13"/>
      <c r="D5419" s="13"/>
      <c r="E5419" s="14"/>
      <c r="F5419" s="14"/>
      <c r="G5419" s="13"/>
      <c r="H5419" s="14"/>
      <c r="I5419" s="13"/>
      <c r="J5419" s="13"/>
      <c r="K5419" s="13"/>
      <c r="L5419" s="13"/>
      <c r="M5419" s="13"/>
      <c r="N5419" s="13"/>
      <c r="O5419" s="13" t="str">
        <f t="shared" si="1"/>
        <v/>
      </c>
    </row>
    <row r="5420" ht="22.5" customHeight="1">
      <c r="B5420" s="13"/>
      <c r="C5420" s="13"/>
      <c r="D5420" s="13"/>
      <c r="E5420" s="14"/>
      <c r="F5420" s="14"/>
      <c r="G5420" s="13"/>
      <c r="H5420" s="14"/>
      <c r="I5420" s="13"/>
      <c r="J5420" s="13"/>
      <c r="K5420" s="13"/>
      <c r="L5420" s="13"/>
      <c r="M5420" s="13"/>
      <c r="N5420" s="13"/>
      <c r="O5420" s="13" t="str">
        <f t="shared" si="1"/>
        <v/>
      </c>
    </row>
    <row r="5421" ht="22.5" customHeight="1">
      <c r="B5421" s="13"/>
      <c r="C5421" s="13"/>
      <c r="D5421" s="13"/>
      <c r="E5421" s="14"/>
      <c r="F5421" s="14"/>
      <c r="G5421" s="13"/>
      <c r="H5421" s="14"/>
      <c r="I5421" s="13"/>
      <c r="J5421" s="13"/>
      <c r="K5421" s="13"/>
      <c r="L5421" s="13"/>
      <c r="M5421" s="13"/>
      <c r="N5421" s="13"/>
      <c r="O5421" s="13" t="str">
        <f t="shared" si="1"/>
        <v/>
      </c>
    </row>
    <row r="5422" ht="22.5" customHeight="1">
      <c r="B5422" s="13"/>
      <c r="C5422" s="13"/>
      <c r="D5422" s="13"/>
      <c r="E5422" s="14"/>
      <c r="F5422" s="14"/>
      <c r="G5422" s="13"/>
      <c r="H5422" s="14"/>
      <c r="I5422" s="13"/>
      <c r="J5422" s="13"/>
      <c r="K5422" s="13"/>
      <c r="L5422" s="13"/>
      <c r="M5422" s="13"/>
      <c r="N5422" s="13"/>
      <c r="O5422" s="13" t="str">
        <f t="shared" si="1"/>
        <v/>
      </c>
    </row>
    <row r="5423" ht="22.5" customHeight="1">
      <c r="B5423" s="13"/>
      <c r="C5423" s="13"/>
      <c r="D5423" s="13"/>
      <c r="E5423" s="14"/>
      <c r="F5423" s="14"/>
      <c r="G5423" s="13"/>
      <c r="H5423" s="14"/>
      <c r="I5423" s="13"/>
      <c r="J5423" s="13"/>
      <c r="K5423" s="13"/>
      <c r="L5423" s="13"/>
      <c r="M5423" s="13"/>
      <c r="N5423" s="13"/>
      <c r="O5423" s="13" t="str">
        <f t="shared" si="1"/>
        <v/>
      </c>
    </row>
    <row r="5424" ht="22.5" customHeight="1">
      <c r="B5424" s="13"/>
      <c r="C5424" s="13"/>
      <c r="D5424" s="13"/>
      <c r="E5424" s="14"/>
      <c r="F5424" s="14"/>
      <c r="G5424" s="13"/>
      <c r="H5424" s="14"/>
      <c r="I5424" s="13"/>
      <c r="J5424" s="13"/>
      <c r="K5424" s="13"/>
      <c r="L5424" s="13"/>
      <c r="M5424" s="13"/>
      <c r="N5424" s="13"/>
      <c r="O5424" s="13" t="str">
        <f t="shared" si="1"/>
        <v/>
      </c>
    </row>
    <row r="5425" ht="22.5" customHeight="1">
      <c r="B5425" s="13"/>
      <c r="C5425" s="13"/>
      <c r="D5425" s="13"/>
      <c r="E5425" s="14"/>
      <c r="F5425" s="14"/>
      <c r="G5425" s="13"/>
      <c r="H5425" s="14"/>
      <c r="I5425" s="13"/>
      <c r="J5425" s="13"/>
      <c r="K5425" s="13"/>
      <c r="L5425" s="13"/>
      <c r="M5425" s="13"/>
      <c r="N5425" s="13"/>
      <c r="O5425" s="13" t="str">
        <f t="shared" si="1"/>
        <v/>
      </c>
    </row>
    <row r="5426" ht="22.5" customHeight="1">
      <c r="B5426" s="13"/>
      <c r="C5426" s="13"/>
      <c r="D5426" s="13"/>
      <c r="E5426" s="14"/>
      <c r="F5426" s="14"/>
      <c r="G5426" s="13"/>
      <c r="H5426" s="14"/>
      <c r="I5426" s="13"/>
      <c r="J5426" s="13"/>
      <c r="K5426" s="13"/>
      <c r="L5426" s="13"/>
      <c r="M5426" s="13"/>
      <c r="N5426" s="13"/>
      <c r="O5426" s="13" t="str">
        <f t="shared" si="1"/>
        <v/>
      </c>
    </row>
    <row r="5427" ht="22.5" customHeight="1">
      <c r="B5427" s="13"/>
      <c r="C5427" s="13"/>
      <c r="D5427" s="13"/>
      <c r="E5427" s="14"/>
      <c r="F5427" s="14"/>
      <c r="G5427" s="13"/>
      <c r="H5427" s="14"/>
      <c r="I5427" s="13"/>
      <c r="J5427" s="13"/>
      <c r="K5427" s="13"/>
      <c r="L5427" s="13"/>
      <c r="M5427" s="13"/>
      <c r="N5427" s="13"/>
      <c r="O5427" s="13" t="str">
        <f t="shared" si="1"/>
        <v/>
      </c>
    </row>
    <row r="5428" ht="22.5" customHeight="1">
      <c r="B5428" s="13"/>
      <c r="C5428" s="13"/>
      <c r="D5428" s="13"/>
      <c r="E5428" s="14"/>
      <c r="F5428" s="14"/>
      <c r="G5428" s="13"/>
      <c r="H5428" s="14"/>
      <c r="I5428" s="13"/>
      <c r="J5428" s="13"/>
      <c r="K5428" s="13"/>
      <c r="L5428" s="13"/>
      <c r="M5428" s="13"/>
      <c r="N5428" s="13"/>
      <c r="O5428" s="13" t="str">
        <f t="shared" si="1"/>
        <v/>
      </c>
    </row>
    <row r="5429" ht="22.5" customHeight="1">
      <c r="B5429" s="13"/>
      <c r="C5429" s="13"/>
      <c r="D5429" s="13"/>
      <c r="E5429" s="14"/>
      <c r="F5429" s="14"/>
      <c r="G5429" s="13"/>
      <c r="H5429" s="14"/>
      <c r="I5429" s="13"/>
      <c r="J5429" s="13"/>
      <c r="K5429" s="13"/>
      <c r="L5429" s="13"/>
      <c r="M5429" s="13"/>
      <c r="N5429" s="13"/>
      <c r="O5429" s="13" t="str">
        <f t="shared" si="1"/>
        <v/>
      </c>
    </row>
    <row r="5430" ht="22.5" customHeight="1">
      <c r="B5430" s="13"/>
      <c r="C5430" s="13"/>
      <c r="D5430" s="13"/>
      <c r="E5430" s="14"/>
      <c r="F5430" s="14"/>
      <c r="G5430" s="13"/>
      <c r="H5430" s="14"/>
      <c r="I5430" s="13"/>
      <c r="J5430" s="13"/>
      <c r="K5430" s="13"/>
      <c r="L5430" s="13"/>
      <c r="M5430" s="13"/>
      <c r="N5430" s="13"/>
      <c r="O5430" s="13" t="str">
        <f t="shared" si="1"/>
        <v/>
      </c>
    </row>
    <row r="5431" ht="22.5" customHeight="1">
      <c r="B5431" s="13"/>
      <c r="C5431" s="13"/>
      <c r="D5431" s="13"/>
      <c r="E5431" s="14"/>
      <c r="F5431" s="14"/>
      <c r="G5431" s="13"/>
      <c r="H5431" s="14"/>
      <c r="I5431" s="13"/>
      <c r="J5431" s="13"/>
      <c r="K5431" s="13"/>
      <c r="L5431" s="13"/>
      <c r="M5431" s="13"/>
      <c r="N5431" s="13"/>
      <c r="O5431" s="13" t="str">
        <f t="shared" si="1"/>
        <v/>
      </c>
    </row>
    <row r="5432" ht="22.5" customHeight="1">
      <c r="B5432" s="13"/>
      <c r="C5432" s="13"/>
      <c r="D5432" s="13"/>
      <c r="E5432" s="14"/>
      <c r="F5432" s="14"/>
      <c r="G5432" s="13"/>
      <c r="H5432" s="14"/>
      <c r="I5432" s="13"/>
      <c r="J5432" s="13"/>
      <c r="K5432" s="13"/>
      <c r="L5432" s="13"/>
      <c r="M5432" s="13"/>
      <c r="N5432" s="13"/>
      <c r="O5432" s="13" t="str">
        <f t="shared" si="1"/>
        <v/>
      </c>
    </row>
    <row r="5433" ht="22.5" customHeight="1">
      <c r="B5433" s="13"/>
      <c r="C5433" s="13"/>
      <c r="D5433" s="13"/>
      <c r="E5433" s="14"/>
      <c r="F5433" s="14"/>
      <c r="G5433" s="13"/>
      <c r="H5433" s="14"/>
      <c r="I5433" s="13"/>
      <c r="J5433" s="13"/>
      <c r="K5433" s="13"/>
      <c r="L5433" s="13"/>
      <c r="M5433" s="13"/>
      <c r="N5433" s="13"/>
      <c r="O5433" s="13" t="str">
        <f t="shared" si="1"/>
        <v/>
      </c>
    </row>
    <row r="5434" ht="22.5" customHeight="1">
      <c r="B5434" s="13"/>
      <c r="C5434" s="13"/>
      <c r="D5434" s="13"/>
      <c r="E5434" s="14"/>
      <c r="F5434" s="14"/>
      <c r="G5434" s="13"/>
      <c r="H5434" s="14"/>
      <c r="I5434" s="13"/>
      <c r="J5434" s="13"/>
      <c r="K5434" s="13"/>
      <c r="L5434" s="13"/>
      <c r="M5434" s="13"/>
      <c r="N5434" s="13"/>
      <c r="O5434" s="13" t="str">
        <f t="shared" si="1"/>
        <v/>
      </c>
    </row>
    <row r="5435" ht="22.5" customHeight="1">
      <c r="B5435" s="13"/>
      <c r="C5435" s="13"/>
      <c r="D5435" s="13"/>
      <c r="E5435" s="14"/>
      <c r="F5435" s="14"/>
      <c r="G5435" s="13"/>
      <c r="H5435" s="14"/>
      <c r="I5435" s="13"/>
      <c r="J5435" s="13"/>
      <c r="K5435" s="13"/>
      <c r="L5435" s="13"/>
      <c r="M5435" s="13"/>
      <c r="N5435" s="13"/>
      <c r="O5435" s="13" t="str">
        <f t="shared" si="1"/>
        <v/>
      </c>
    </row>
    <row r="5436" ht="22.5" customHeight="1">
      <c r="B5436" s="13"/>
      <c r="C5436" s="13"/>
      <c r="D5436" s="13"/>
      <c r="E5436" s="14"/>
      <c r="F5436" s="14"/>
      <c r="G5436" s="13"/>
      <c r="H5436" s="14"/>
      <c r="I5436" s="13"/>
      <c r="J5436" s="13"/>
      <c r="K5436" s="13"/>
      <c r="L5436" s="13"/>
      <c r="M5436" s="13"/>
      <c r="N5436" s="13"/>
      <c r="O5436" s="13" t="str">
        <f t="shared" si="1"/>
        <v/>
      </c>
    </row>
    <row r="5437" ht="22.5" customHeight="1">
      <c r="B5437" s="13"/>
      <c r="C5437" s="13"/>
      <c r="D5437" s="13"/>
      <c r="E5437" s="14"/>
      <c r="F5437" s="14"/>
      <c r="G5437" s="13"/>
      <c r="H5437" s="14"/>
      <c r="I5437" s="13"/>
      <c r="J5437" s="13"/>
      <c r="K5437" s="13"/>
      <c r="L5437" s="13"/>
      <c r="M5437" s="13"/>
      <c r="N5437" s="13"/>
      <c r="O5437" s="13" t="str">
        <f t="shared" si="1"/>
        <v/>
      </c>
    </row>
    <row r="5438" ht="22.5" customHeight="1">
      <c r="B5438" s="13"/>
      <c r="C5438" s="13"/>
      <c r="D5438" s="13"/>
      <c r="E5438" s="14"/>
      <c r="F5438" s="14"/>
      <c r="G5438" s="13"/>
      <c r="H5438" s="14"/>
      <c r="I5438" s="13"/>
      <c r="J5438" s="13"/>
      <c r="K5438" s="13"/>
      <c r="L5438" s="13"/>
      <c r="M5438" s="13"/>
      <c r="N5438" s="13"/>
      <c r="O5438" s="13" t="str">
        <f t="shared" si="1"/>
        <v/>
      </c>
    </row>
    <row r="5439" ht="22.5" customHeight="1">
      <c r="B5439" s="13"/>
      <c r="C5439" s="13"/>
      <c r="D5439" s="13"/>
      <c r="E5439" s="14"/>
      <c r="F5439" s="14"/>
      <c r="G5439" s="13"/>
      <c r="H5439" s="14"/>
      <c r="I5439" s="13"/>
      <c r="J5439" s="13"/>
      <c r="K5439" s="13"/>
      <c r="L5439" s="13"/>
      <c r="M5439" s="13"/>
      <c r="N5439" s="13"/>
      <c r="O5439" s="13" t="str">
        <f t="shared" si="1"/>
        <v/>
      </c>
    </row>
    <row r="5440" ht="22.5" customHeight="1">
      <c r="B5440" s="13"/>
      <c r="C5440" s="13"/>
      <c r="D5440" s="13"/>
      <c r="E5440" s="14"/>
      <c r="F5440" s="14"/>
      <c r="G5440" s="13"/>
      <c r="H5440" s="14"/>
      <c r="I5440" s="13"/>
      <c r="J5440" s="13"/>
      <c r="K5440" s="13"/>
      <c r="L5440" s="13"/>
      <c r="M5440" s="13"/>
      <c r="N5440" s="13"/>
      <c r="O5440" s="13" t="str">
        <f t="shared" si="1"/>
        <v/>
      </c>
    </row>
    <row r="5441" ht="22.5" customHeight="1">
      <c r="B5441" s="13"/>
      <c r="C5441" s="13"/>
      <c r="D5441" s="13"/>
      <c r="E5441" s="14"/>
      <c r="F5441" s="14"/>
      <c r="G5441" s="13"/>
      <c r="H5441" s="14"/>
      <c r="I5441" s="13"/>
      <c r="J5441" s="13"/>
      <c r="K5441" s="13"/>
      <c r="L5441" s="13"/>
      <c r="M5441" s="13"/>
      <c r="N5441" s="13"/>
      <c r="O5441" s="13" t="str">
        <f t="shared" si="1"/>
        <v/>
      </c>
    </row>
    <row r="5442" ht="22.5" customHeight="1">
      <c r="B5442" s="13"/>
      <c r="C5442" s="13"/>
      <c r="D5442" s="13"/>
      <c r="E5442" s="14"/>
      <c r="F5442" s="14"/>
      <c r="G5442" s="13"/>
      <c r="H5442" s="14"/>
      <c r="I5442" s="13"/>
      <c r="J5442" s="13"/>
      <c r="K5442" s="13"/>
      <c r="L5442" s="13"/>
      <c r="M5442" s="13"/>
      <c r="N5442" s="13"/>
      <c r="O5442" s="13" t="str">
        <f t="shared" si="1"/>
        <v/>
      </c>
    </row>
    <row r="5443" ht="22.5" customHeight="1">
      <c r="B5443" s="13"/>
      <c r="C5443" s="13"/>
      <c r="D5443" s="13"/>
      <c r="E5443" s="14"/>
      <c r="F5443" s="14"/>
      <c r="G5443" s="13"/>
      <c r="H5443" s="14"/>
      <c r="I5443" s="13"/>
      <c r="J5443" s="13"/>
      <c r="K5443" s="13"/>
      <c r="L5443" s="13"/>
      <c r="M5443" s="13"/>
      <c r="N5443" s="13"/>
      <c r="O5443" s="13" t="str">
        <f t="shared" si="1"/>
        <v/>
      </c>
    </row>
    <row r="5444" ht="22.5" customHeight="1">
      <c r="B5444" s="13"/>
      <c r="C5444" s="13"/>
      <c r="D5444" s="13"/>
      <c r="E5444" s="14"/>
      <c r="F5444" s="14"/>
      <c r="G5444" s="13"/>
      <c r="H5444" s="14"/>
      <c r="I5444" s="13"/>
      <c r="J5444" s="13"/>
      <c r="K5444" s="13"/>
      <c r="L5444" s="13"/>
      <c r="M5444" s="13"/>
      <c r="N5444" s="13"/>
      <c r="O5444" s="13" t="str">
        <f t="shared" si="1"/>
        <v/>
      </c>
    </row>
    <row r="5445" ht="22.5" customHeight="1">
      <c r="B5445" s="13"/>
      <c r="C5445" s="13"/>
      <c r="D5445" s="13"/>
      <c r="E5445" s="14"/>
      <c r="F5445" s="14"/>
      <c r="G5445" s="13"/>
      <c r="H5445" s="14"/>
      <c r="I5445" s="13"/>
      <c r="J5445" s="13"/>
      <c r="K5445" s="13"/>
      <c r="L5445" s="13"/>
      <c r="M5445" s="13"/>
      <c r="N5445" s="13"/>
      <c r="O5445" s="13" t="str">
        <f t="shared" si="1"/>
        <v/>
      </c>
    </row>
    <row r="5446" ht="22.5" customHeight="1">
      <c r="B5446" s="13"/>
      <c r="C5446" s="13"/>
      <c r="D5446" s="13"/>
      <c r="E5446" s="14"/>
      <c r="F5446" s="14"/>
      <c r="G5446" s="13"/>
      <c r="H5446" s="14"/>
      <c r="I5446" s="13"/>
      <c r="J5446" s="13"/>
      <c r="K5446" s="13"/>
      <c r="L5446" s="13"/>
      <c r="M5446" s="13"/>
      <c r="N5446" s="13"/>
      <c r="O5446" s="13" t="str">
        <f t="shared" si="1"/>
        <v/>
      </c>
    </row>
    <row r="5447" ht="22.5" customHeight="1">
      <c r="B5447" s="13"/>
      <c r="C5447" s="13"/>
      <c r="D5447" s="13"/>
      <c r="E5447" s="14"/>
      <c r="F5447" s="14"/>
      <c r="G5447" s="13"/>
      <c r="H5447" s="14"/>
      <c r="I5447" s="13"/>
      <c r="J5447" s="13"/>
      <c r="K5447" s="13"/>
      <c r="L5447" s="13"/>
      <c r="M5447" s="13"/>
      <c r="N5447" s="13"/>
      <c r="O5447" s="13" t="str">
        <f t="shared" si="1"/>
        <v/>
      </c>
    </row>
    <row r="5448" ht="22.5" customHeight="1">
      <c r="B5448" s="13"/>
      <c r="C5448" s="13"/>
      <c r="D5448" s="13"/>
      <c r="E5448" s="14"/>
      <c r="F5448" s="14"/>
      <c r="G5448" s="13"/>
      <c r="H5448" s="14"/>
      <c r="I5448" s="13"/>
      <c r="J5448" s="13"/>
      <c r="K5448" s="13"/>
      <c r="L5448" s="13"/>
      <c r="M5448" s="13"/>
      <c r="N5448" s="13"/>
      <c r="O5448" s="13" t="str">
        <f t="shared" si="1"/>
        <v/>
      </c>
    </row>
    <row r="5449" ht="22.5" customHeight="1">
      <c r="B5449" s="13"/>
      <c r="C5449" s="13"/>
      <c r="D5449" s="13"/>
      <c r="E5449" s="14"/>
      <c r="F5449" s="14"/>
      <c r="G5449" s="13"/>
      <c r="H5449" s="14"/>
      <c r="I5449" s="13"/>
      <c r="J5449" s="13"/>
      <c r="K5449" s="13"/>
      <c r="L5449" s="13"/>
      <c r="M5449" s="13"/>
      <c r="N5449" s="13"/>
      <c r="O5449" s="13" t="str">
        <f t="shared" si="1"/>
        <v/>
      </c>
    </row>
    <row r="5450" ht="22.5" customHeight="1">
      <c r="B5450" s="13"/>
      <c r="C5450" s="13"/>
      <c r="D5450" s="13"/>
      <c r="E5450" s="14"/>
      <c r="F5450" s="14"/>
      <c r="G5450" s="13"/>
      <c r="H5450" s="14"/>
      <c r="I5450" s="13"/>
      <c r="J5450" s="13"/>
      <c r="K5450" s="13"/>
      <c r="L5450" s="13"/>
      <c r="M5450" s="13"/>
      <c r="N5450" s="13"/>
      <c r="O5450" s="13" t="str">
        <f t="shared" si="1"/>
        <v/>
      </c>
    </row>
    <row r="5451" ht="22.5" customHeight="1">
      <c r="B5451" s="13"/>
      <c r="C5451" s="13"/>
      <c r="D5451" s="13"/>
      <c r="E5451" s="14"/>
      <c r="F5451" s="14"/>
      <c r="G5451" s="13"/>
      <c r="H5451" s="14"/>
      <c r="I5451" s="13"/>
      <c r="J5451" s="13"/>
      <c r="K5451" s="13"/>
      <c r="L5451" s="13"/>
      <c r="M5451" s="13"/>
      <c r="N5451" s="13"/>
      <c r="O5451" s="13" t="str">
        <f t="shared" si="1"/>
        <v/>
      </c>
    </row>
    <row r="5452" ht="22.5" customHeight="1">
      <c r="B5452" s="13"/>
      <c r="C5452" s="13"/>
      <c r="D5452" s="13"/>
      <c r="E5452" s="14"/>
      <c r="F5452" s="14"/>
      <c r="G5452" s="13"/>
      <c r="H5452" s="14"/>
      <c r="I5452" s="13"/>
      <c r="J5452" s="13"/>
      <c r="K5452" s="13"/>
      <c r="L5452" s="13"/>
      <c r="M5452" s="13"/>
      <c r="N5452" s="13"/>
      <c r="O5452" s="13" t="str">
        <f t="shared" si="1"/>
        <v/>
      </c>
    </row>
    <row r="5453" ht="22.5" customHeight="1">
      <c r="B5453" s="13"/>
      <c r="C5453" s="13"/>
      <c r="D5453" s="13"/>
      <c r="E5453" s="14"/>
      <c r="F5453" s="14"/>
      <c r="G5453" s="13"/>
      <c r="H5453" s="14"/>
      <c r="I5453" s="13"/>
      <c r="J5453" s="13"/>
      <c r="K5453" s="13"/>
      <c r="L5453" s="13"/>
      <c r="M5453" s="13"/>
      <c r="N5453" s="13"/>
      <c r="O5453" s="13" t="str">
        <f t="shared" si="1"/>
        <v/>
      </c>
    </row>
    <row r="5454" ht="22.5" customHeight="1">
      <c r="B5454" s="13"/>
      <c r="C5454" s="13"/>
      <c r="D5454" s="13"/>
      <c r="E5454" s="14"/>
      <c r="F5454" s="14"/>
      <c r="G5454" s="13"/>
      <c r="H5454" s="14"/>
      <c r="I5454" s="13"/>
      <c r="J5454" s="13"/>
      <c r="K5454" s="13"/>
      <c r="L5454" s="13"/>
      <c r="M5454" s="13"/>
      <c r="N5454" s="13"/>
      <c r="O5454" s="13" t="str">
        <f t="shared" si="1"/>
        <v/>
      </c>
    </row>
    <row r="5455" ht="22.5" customHeight="1">
      <c r="B5455" s="13"/>
      <c r="C5455" s="13"/>
      <c r="D5455" s="13"/>
      <c r="E5455" s="14"/>
      <c r="F5455" s="14"/>
      <c r="G5455" s="13"/>
      <c r="H5455" s="14"/>
      <c r="I5455" s="13"/>
      <c r="J5455" s="13"/>
      <c r="K5455" s="13"/>
      <c r="L5455" s="13"/>
      <c r="M5455" s="13"/>
      <c r="N5455" s="13"/>
      <c r="O5455" s="13" t="str">
        <f t="shared" si="1"/>
        <v/>
      </c>
    </row>
    <row r="5456" ht="22.5" customHeight="1">
      <c r="B5456" s="13"/>
      <c r="C5456" s="13"/>
      <c r="D5456" s="13"/>
      <c r="E5456" s="14"/>
      <c r="F5456" s="14"/>
      <c r="G5456" s="13"/>
      <c r="H5456" s="14"/>
      <c r="I5456" s="13"/>
      <c r="J5456" s="13"/>
      <c r="K5456" s="13"/>
      <c r="L5456" s="13"/>
      <c r="M5456" s="13"/>
      <c r="N5456" s="13"/>
      <c r="O5456" s="13" t="str">
        <f t="shared" si="1"/>
        <v/>
      </c>
    </row>
    <row r="5457" ht="22.5" customHeight="1">
      <c r="B5457" s="13"/>
      <c r="C5457" s="13"/>
      <c r="D5457" s="13"/>
      <c r="E5457" s="14"/>
      <c r="F5457" s="14"/>
      <c r="G5457" s="13"/>
      <c r="H5457" s="14"/>
      <c r="I5457" s="13"/>
      <c r="J5457" s="13"/>
      <c r="K5457" s="13"/>
      <c r="L5457" s="13"/>
      <c r="M5457" s="13"/>
      <c r="N5457" s="13"/>
      <c r="O5457" s="13" t="str">
        <f t="shared" si="1"/>
        <v/>
      </c>
    </row>
    <row r="5458" ht="22.5" customHeight="1">
      <c r="B5458" s="13"/>
      <c r="C5458" s="13"/>
      <c r="D5458" s="13"/>
      <c r="E5458" s="14"/>
      <c r="F5458" s="14"/>
      <c r="G5458" s="13"/>
      <c r="H5458" s="14"/>
      <c r="I5458" s="13"/>
      <c r="J5458" s="13"/>
      <c r="K5458" s="13"/>
      <c r="L5458" s="13"/>
      <c r="M5458" s="13"/>
      <c r="N5458" s="13"/>
      <c r="O5458" s="13" t="str">
        <f t="shared" si="1"/>
        <v/>
      </c>
    </row>
    <row r="5459" ht="22.5" customHeight="1">
      <c r="B5459" s="13"/>
      <c r="C5459" s="13"/>
      <c r="D5459" s="13"/>
      <c r="E5459" s="14"/>
      <c r="F5459" s="14"/>
      <c r="G5459" s="13"/>
      <c r="H5459" s="14"/>
      <c r="I5459" s="13"/>
      <c r="J5459" s="13"/>
      <c r="K5459" s="13"/>
      <c r="L5459" s="13"/>
      <c r="M5459" s="13"/>
      <c r="N5459" s="13"/>
      <c r="O5459" s="13" t="str">
        <f t="shared" si="1"/>
        <v/>
      </c>
    </row>
    <row r="5460" ht="22.5" customHeight="1">
      <c r="B5460" s="13"/>
      <c r="C5460" s="13"/>
      <c r="D5460" s="13"/>
      <c r="E5460" s="14"/>
      <c r="F5460" s="14"/>
      <c r="G5460" s="13"/>
      <c r="H5460" s="14"/>
      <c r="I5460" s="13"/>
      <c r="J5460" s="13"/>
      <c r="K5460" s="13"/>
      <c r="L5460" s="13"/>
      <c r="M5460" s="13"/>
      <c r="N5460" s="13"/>
      <c r="O5460" s="13" t="str">
        <f t="shared" si="1"/>
        <v/>
      </c>
    </row>
    <row r="5461" ht="22.5" customHeight="1">
      <c r="B5461" s="13"/>
      <c r="C5461" s="13"/>
      <c r="D5461" s="13"/>
      <c r="E5461" s="14"/>
      <c r="F5461" s="14"/>
      <c r="G5461" s="13"/>
      <c r="H5461" s="14"/>
      <c r="I5461" s="13"/>
      <c r="J5461" s="13"/>
      <c r="K5461" s="13"/>
      <c r="L5461" s="13"/>
      <c r="M5461" s="13"/>
      <c r="N5461" s="13"/>
      <c r="O5461" s="13" t="str">
        <f t="shared" si="1"/>
        <v/>
      </c>
    </row>
    <row r="5462" ht="22.5" customHeight="1">
      <c r="B5462" s="13"/>
      <c r="C5462" s="13"/>
      <c r="D5462" s="13"/>
      <c r="E5462" s="14"/>
      <c r="F5462" s="14"/>
      <c r="G5462" s="13"/>
      <c r="H5462" s="14"/>
      <c r="I5462" s="13"/>
      <c r="J5462" s="13"/>
      <c r="K5462" s="13"/>
      <c r="L5462" s="13"/>
      <c r="M5462" s="13"/>
      <c r="N5462" s="13"/>
      <c r="O5462" s="13" t="str">
        <f t="shared" si="1"/>
        <v/>
      </c>
    </row>
    <row r="5463" ht="22.5" customHeight="1">
      <c r="B5463" s="13"/>
      <c r="C5463" s="13"/>
      <c r="D5463" s="13"/>
      <c r="E5463" s="14"/>
      <c r="F5463" s="14"/>
      <c r="G5463" s="13"/>
      <c r="H5463" s="14"/>
      <c r="I5463" s="13"/>
      <c r="J5463" s="13"/>
      <c r="K5463" s="13"/>
      <c r="L5463" s="13"/>
      <c r="M5463" s="13"/>
      <c r="N5463" s="13"/>
      <c r="O5463" s="13" t="str">
        <f t="shared" si="1"/>
        <v/>
      </c>
    </row>
    <row r="5464" ht="22.5" customHeight="1">
      <c r="B5464" s="13"/>
      <c r="C5464" s="13"/>
      <c r="D5464" s="13"/>
      <c r="E5464" s="14"/>
      <c r="F5464" s="14"/>
      <c r="G5464" s="13"/>
      <c r="H5464" s="14"/>
      <c r="I5464" s="13"/>
      <c r="J5464" s="13"/>
      <c r="K5464" s="13"/>
      <c r="L5464" s="13"/>
      <c r="M5464" s="13"/>
      <c r="N5464" s="13"/>
      <c r="O5464" s="13" t="str">
        <f t="shared" si="1"/>
        <v/>
      </c>
    </row>
    <row r="5465" ht="22.5" customHeight="1">
      <c r="B5465" s="13"/>
      <c r="C5465" s="13"/>
      <c r="D5465" s="13"/>
      <c r="E5465" s="14"/>
      <c r="F5465" s="14"/>
      <c r="G5465" s="13"/>
      <c r="H5465" s="14"/>
      <c r="I5465" s="13"/>
      <c r="J5465" s="13"/>
      <c r="K5465" s="13"/>
      <c r="L5465" s="13"/>
      <c r="M5465" s="13"/>
      <c r="N5465" s="13"/>
      <c r="O5465" s="13" t="str">
        <f t="shared" si="1"/>
        <v/>
      </c>
    </row>
    <row r="5466" ht="22.5" customHeight="1">
      <c r="B5466" s="13"/>
      <c r="C5466" s="13"/>
      <c r="D5466" s="13"/>
      <c r="E5466" s="14"/>
      <c r="F5466" s="14"/>
      <c r="G5466" s="13"/>
      <c r="H5466" s="14"/>
      <c r="I5466" s="13"/>
      <c r="J5466" s="13"/>
      <c r="K5466" s="13"/>
      <c r="L5466" s="13"/>
      <c r="M5466" s="13"/>
      <c r="N5466" s="13"/>
      <c r="O5466" s="13" t="str">
        <f t="shared" si="1"/>
        <v/>
      </c>
    </row>
    <row r="5467" ht="22.5" customHeight="1">
      <c r="B5467" s="13"/>
      <c r="C5467" s="13"/>
      <c r="D5467" s="13"/>
      <c r="E5467" s="14"/>
      <c r="F5467" s="14"/>
      <c r="G5467" s="13"/>
      <c r="H5467" s="14"/>
      <c r="I5467" s="13"/>
      <c r="J5467" s="13"/>
      <c r="K5467" s="13"/>
      <c r="L5467" s="13"/>
      <c r="M5467" s="13"/>
      <c r="N5467" s="13"/>
      <c r="O5467" s="13" t="str">
        <f t="shared" si="1"/>
        <v/>
      </c>
    </row>
    <row r="5468" ht="22.5" customHeight="1">
      <c r="B5468" s="13"/>
      <c r="C5468" s="13"/>
      <c r="D5468" s="13"/>
      <c r="E5468" s="14"/>
      <c r="F5468" s="14"/>
      <c r="G5468" s="13"/>
      <c r="H5468" s="14"/>
      <c r="I5468" s="13"/>
      <c r="J5468" s="13"/>
      <c r="K5468" s="13"/>
      <c r="L5468" s="13"/>
      <c r="M5468" s="13"/>
      <c r="N5468" s="13"/>
      <c r="O5468" s="13" t="str">
        <f t="shared" si="1"/>
        <v/>
      </c>
    </row>
    <row r="5469" ht="22.5" customHeight="1">
      <c r="B5469" s="13"/>
      <c r="C5469" s="13"/>
      <c r="D5469" s="13"/>
      <c r="E5469" s="14"/>
      <c r="F5469" s="14"/>
      <c r="G5469" s="13"/>
      <c r="H5469" s="14"/>
      <c r="I5469" s="13"/>
      <c r="J5469" s="13"/>
      <c r="K5469" s="13"/>
      <c r="L5469" s="13"/>
      <c r="M5469" s="13"/>
      <c r="N5469" s="13"/>
      <c r="O5469" s="13" t="str">
        <f t="shared" si="1"/>
        <v/>
      </c>
    </row>
    <row r="5470" ht="22.5" customHeight="1">
      <c r="B5470" s="13"/>
      <c r="C5470" s="13"/>
      <c r="D5470" s="13"/>
      <c r="E5470" s="14"/>
      <c r="F5470" s="14"/>
      <c r="G5470" s="13"/>
      <c r="H5470" s="14"/>
      <c r="I5470" s="13"/>
      <c r="J5470" s="13"/>
      <c r="K5470" s="13"/>
      <c r="L5470" s="13"/>
      <c r="M5470" s="13"/>
      <c r="N5470" s="13"/>
      <c r="O5470" s="13" t="str">
        <f t="shared" si="1"/>
        <v/>
      </c>
    </row>
    <row r="5471" ht="22.5" customHeight="1">
      <c r="B5471" s="13"/>
      <c r="C5471" s="13"/>
      <c r="D5471" s="13"/>
      <c r="E5471" s="14"/>
      <c r="F5471" s="14"/>
      <c r="G5471" s="13"/>
      <c r="H5471" s="14"/>
      <c r="I5471" s="13"/>
      <c r="J5471" s="13"/>
      <c r="K5471" s="13"/>
      <c r="L5471" s="13"/>
      <c r="M5471" s="13"/>
      <c r="N5471" s="13"/>
      <c r="O5471" s="13" t="str">
        <f t="shared" si="1"/>
        <v/>
      </c>
    </row>
    <row r="5472" ht="22.5" customHeight="1">
      <c r="B5472" s="13"/>
      <c r="C5472" s="13"/>
      <c r="D5472" s="13"/>
      <c r="E5472" s="14"/>
      <c r="F5472" s="14"/>
      <c r="G5472" s="13"/>
      <c r="H5472" s="14"/>
      <c r="I5472" s="13"/>
      <c r="J5472" s="13"/>
      <c r="K5472" s="13"/>
      <c r="L5472" s="13"/>
      <c r="M5472" s="13"/>
      <c r="N5472" s="13"/>
      <c r="O5472" s="13" t="str">
        <f t="shared" si="1"/>
        <v/>
      </c>
    </row>
    <row r="5473" ht="22.5" customHeight="1">
      <c r="B5473" s="13"/>
      <c r="C5473" s="13"/>
      <c r="D5473" s="13"/>
      <c r="E5473" s="14"/>
      <c r="F5473" s="14"/>
      <c r="G5473" s="13"/>
      <c r="H5473" s="14"/>
      <c r="I5473" s="13"/>
      <c r="J5473" s="13"/>
      <c r="K5473" s="13"/>
      <c r="L5473" s="13"/>
      <c r="M5473" s="13"/>
      <c r="N5473" s="13"/>
      <c r="O5473" s="13" t="str">
        <f t="shared" si="1"/>
        <v/>
      </c>
    </row>
    <row r="5474" ht="22.5" customHeight="1">
      <c r="B5474" s="13"/>
      <c r="C5474" s="13"/>
      <c r="D5474" s="13"/>
      <c r="E5474" s="14"/>
      <c r="F5474" s="14"/>
      <c r="G5474" s="13"/>
      <c r="H5474" s="14"/>
      <c r="I5474" s="13"/>
      <c r="J5474" s="13"/>
      <c r="K5474" s="13"/>
      <c r="L5474" s="13"/>
      <c r="M5474" s="13"/>
      <c r="N5474" s="13"/>
      <c r="O5474" s="13" t="str">
        <f t="shared" si="1"/>
        <v/>
      </c>
    </row>
    <row r="5475" ht="22.5" customHeight="1">
      <c r="B5475" s="13"/>
      <c r="C5475" s="13"/>
      <c r="D5475" s="13"/>
      <c r="E5475" s="14"/>
      <c r="F5475" s="14"/>
      <c r="G5475" s="13"/>
      <c r="H5475" s="14"/>
      <c r="I5475" s="13"/>
      <c r="J5475" s="13"/>
      <c r="K5475" s="13"/>
      <c r="L5475" s="13"/>
      <c r="M5475" s="13"/>
      <c r="N5475" s="13"/>
      <c r="O5475" s="13" t="str">
        <f t="shared" si="1"/>
        <v/>
      </c>
    </row>
    <row r="5476" ht="22.5" customHeight="1">
      <c r="B5476" s="13"/>
      <c r="C5476" s="13"/>
      <c r="D5476" s="13"/>
      <c r="E5476" s="14"/>
      <c r="F5476" s="14"/>
      <c r="G5476" s="13"/>
      <c r="H5476" s="14"/>
      <c r="I5476" s="13"/>
      <c r="J5476" s="13"/>
      <c r="K5476" s="13"/>
      <c r="L5476" s="13"/>
      <c r="M5476" s="13"/>
      <c r="N5476" s="13"/>
      <c r="O5476" s="13" t="str">
        <f t="shared" si="1"/>
        <v/>
      </c>
    </row>
    <row r="5477" ht="22.5" customHeight="1">
      <c r="B5477" s="13"/>
      <c r="C5477" s="13"/>
      <c r="D5477" s="13"/>
      <c r="E5477" s="14"/>
      <c r="F5477" s="14"/>
      <c r="G5477" s="13"/>
      <c r="H5477" s="14"/>
      <c r="I5477" s="13"/>
      <c r="J5477" s="13"/>
      <c r="K5477" s="13"/>
      <c r="L5477" s="13"/>
      <c r="M5477" s="13"/>
      <c r="N5477" s="13"/>
      <c r="O5477" s="13" t="str">
        <f t="shared" si="1"/>
        <v/>
      </c>
    </row>
    <row r="5478" ht="22.5" customHeight="1">
      <c r="B5478" s="13"/>
      <c r="C5478" s="13"/>
      <c r="D5478" s="13"/>
      <c r="E5478" s="14"/>
      <c r="F5478" s="14"/>
      <c r="G5478" s="13"/>
      <c r="H5478" s="14"/>
      <c r="I5478" s="13"/>
      <c r="J5478" s="13"/>
      <c r="K5478" s="13"/>
      <c r="L5478" s="13"/>
      <c r="M5478" s="13"/>
      <c r="N5478" s="13"/>
      <c r="O5478" s="13" t="str">
        <f t="shared" si="1"/>
        <v/>
      </c>
    </row>
    <row r="5479" ht="22.5" customHeight="1">
      <c r="B5479" s="13"/>
      <c r="C5479" s="13"/>
      <c r="D5479" s="13"/>
      <c r="E5479" s="14"/>
      <c r="F5479" s="14"/>
      <c r="G5479" s="13"/>
      <c r="H5479" s="14"/>
      <c r="I5479" s="13"/>
      <c r="J5479" s="13"/>
      <c r="K5479" s="13"/>
      <c r="L5479" s="13"/>
      <c r="M5479" s="13"/>
      <c r="N5479" s="13"/>
      <c r="O5479" s="13" t="str">
        <f t="shared" si="1"/>
        <v/>
      </c>
    </row>
    <row r="5480" ht="22.5" customHeight="1">
      <c r="B5480" s="13"/>
      <c r="C5480" s="13"/>
      <c r="D5480" s="13"/>
      <c r="E5480" s="14"/>
      <c r="F5480" s="14"/>
      <c r="G5480" s="13"/>
      <c r="H5480" s="14"/>
      <c r="I5480" s="13"/>
      <c r="J5480" s="13"/>
      <c r="K5480" s="13"/>
      <c r="L5480" s="13"/>
      <c r="M5480" s="13"/>
      <c r="N5480" s="13"/>
      <c r="O5480" s="13" t="str">
        <f t="shared" si="1"/>
        <v/>
      </c>
    </row>
    <row r="5481" ht="22.5" customHeight="1">
      <c r="B5481" s="13"/>
      <c r="C5481" s="13"/>
      <c r="D5481" s="13"/>
      <c r="E5481" s="14"/>
      <c r="F5481" s="14"/>
      <c r="G5481" s="13"/>
      <c r="H5481" s="14"/>
      <c r="I5481" s="13"/>
      <c r="J5481" s="13"/>
      <c r="K5481" s="13"/>
      <c r="L5481" s="13"/>
      <c r="M5481" s="13"/>
      <c r="N5481" s="13"/>
      <c r="O5481" s="13" t="str">
        <f t="shared" si="1"/>
        <v/>
      </c>
    </row>
    <row r="5482" ht="22.5" customHeight="1">
      <c r="B5482" s="13"/>
      <c r="C5482" s="13"/>
      <c r="D5482" s="13"/>
      <c r="E5482" s="14"/>
      <c r="F5482" s="14"/>
      <c r="G5482" s="13"/>
      <c r="H5482" s="14"/>
      <c r="I5482" s="13"/>
      <c r="J5482" s="13"/>
      <c r="K5482" s="13"/>
      <c r="L5482" s="13"/>
      <c r="M5482" s="13"/>
      <c r="N5482" s="13"/>
      <c r="O5482" s="13" t="str">
        <f t="shared" si="1"/>
        <v/>
      </c>
    </row>
    <row r="5483" ht="22.5" customHeight="1">
      <c r="B5483" s="13"/>
      <c r="C5483" s="13"/>
      <c r="D5483" s="13"/>
      <c r="E5483" s="14"/>
      <c r="F5483" s="14"/>
      <c r="G5483" s="13"/>
      <c r="H5483" s="14"/>
      <c r="I5483" s="13"/>
      <c r="J5483" s="13"/>
      <c r="K5483" s="13"/>
      <c r="L5483" s="13"/>
      <c r="M5483" s="13"/>
      <c r="N5483" s="13"/>
      <c r="O5483" s="13" t="str">
        <f t="shared" si="1"/>
        <v/>
      </c>
    </row>
    <row r="5484" ht="22.5" customHeight="1">
      <c r="B5484" s="13"/>
      <c r="C5484" s="13"/>
      <c r="D5484" s="13"/>
      <c r="E5484" s="14"/>
      <c r="F5484" s="14"/>
      <c r="G5484" s="13"/>
      <c r="H5484" s="14"/>
      <c r="I5484" s="13"/>
      <c r="J5484" s="13"/>
      <c r="K5484" s="13"/>
      <c r="L5484" s="13"/>
      <c r="M5484" s="13"/>
      <c r="N5484" s="13"/>
      <c r="O5484" s="13" t="str">
        <f t="shared" si="1"/>
        <v/>
      </c>
    </row>
    <row r="5485" ht="22.5" customHeight="1">
      <c r="B5485" s="13"/>
      <c r="C5485" s="13"/>
      <c r="D5485" s="13"/>
      <c r="E5485" s="14"/>
      <c r="F5485" s="14"/>
      <c r="G5485" s="13"/>
      <c r="H5485" s="14"/>
      <c r="I5485" s="13"/>
      <c r="J5485" s="13"/>
      <c r="K5485" s="13"/>
      <c r="L5485" s="13"/>
      <c r="M5485" s="13"/>
      <c r="N5485" s="13"/>
      <c r="O5485" s="13" t="str">
        <f t="shared" si="1"/>
        <v/>
      </c>
    </row>
    <row r="5486" ht="22.5" customHeight="1">
      <c r="B5486" s="13"/>
      <c r="C5486" s="13"/>
      <c r="D5486" s="13"/>
      <c r="E5486" s="14"/>
      <c r="F5486" s="14"/>
      <c r="G5486" s="13"/>
      <c r="H5486" s="14"/>
      <c r="I5486" s="13"/>
      <c r="J5486" s="13"/>
      <c r="K5486" s="13"/>
      <c r="L5486" s="13"/>
      <c r="M5486" s="13"/>
      <c r="N5486" s="13"/>
      <c r="O5486" s="13" t="str">
        <f t="shared" si="1"/>
        <v/>
      </c>
    </row>
    <row r="5487" ht="22.5" customHeight="1">
      <c r="B5487" s="13"/>
      <c r="C5487" s="13"/>
      <c r="D5487" s="13"/>
      <c r="E5487" s="14"/>
      <c r="F5487" s="14"/>
      <c r="G5487" s="13"/>
      <c r="H5487" s="14"/>
      <c r="I5487" s="13"/>
      <c r="J5487" s="13"/>
      <c r="K5487" s="13"/>
      <c r="L5487" s="13"/>
      <c r="M5487" s="13"/>
      <c r="N5487" s="13"/>
      <c r="O5487" s="13" t="str">
        <f t="shared" si="1"/>
        <v/>
      </c>
    </row>
    <row r="5488" ht="22.5" customHeight="1">
      <c r="B5488" s="13"/>
      <c r="C5488" s="13"/>
      <c r="D5488" s="13"/>
      <c r="E5488" s="14"/>
      <c r="F5488" s="14"/>
      <c r="G5488" s="13"/>
      <c r="H5488" s="14"/>
      <c r="I5488" s="13"/>
      <c r="J5488" s="13"/>
      <c r="K5488" s="13"/>
      <c r="L5488" s="13"/>
      <c r="M5488" s="13"/>
      <c r="N5488" s="13"/>
      <c r="O5488" s="13" t="str">
        <f t="shared" si="1"/>
        <v/>
      </c>
    </row>
    <row r="5489" ht="22.5" customHeight="1">
      <c r="B5489" s="13"/>
      <c r="C5489" s="13"/>
      <c r="D5489" s="13"/>
      <c r="E5489" s="14"/>
      <c r="F5489" s="14"/>
      <c r="G5489" s="13"/>
      <c r="H5489" s="14"/>
      <c r="I5489" s="13"/>
      <c r="J5489" s="13"/>
      <c r="K5489" s="13"/>
      <c r="L5489" s="13"/>
      <c r="M5489" s="13"/>
      <c r="N5489" s="13"/>
      <c r="O5489" s="13" t="str">
        <f t="shared" si="1"/>
        <v/>
      </c>
    </row>
    <row r="5490" ht="22.5" customHeight="1">
      <c r="B5490" s="13"/>
      <c r="C5490" s="13"/>
      <c r="D5490" s="13"/>
      <c r="E5490" s="14"/>
      <c r="F5490" s="14"/>
      <c r="G5490" s="13"/>
      <c r="H5490" s="14"/>
      <c r="I5490" s="13"/>
      <c r="J5490" s="13"/>
      <c r="K5490" s="13"/>
      <c r="L5490" s="13"/>
      <c r="M5490" s="13"/>
      <c r="N5490" s="13"/>
      <c r="O5490" s="13" t="str">
        <f t="shared" si="1"/>
        <v/>
      </c>
    </row>
    <row r="5491" ht="22.5" customHeight="1">
      <c r="B5491" s="13"/>
      <c r="C5491" s="13"/>
      <c r="D5491" s="13"/>
      <c r="E5491" s="14"/>
      <c r="F5491" s="14"/>
      <c r="G5491" s="13"/>
      <c r="H5491" s="14"/>
      <c r="I5491" s="13"/>
      <c r="J5491" s="13"/>
      <c r="K5491" s="13"/>
      <c r="L5491" s="13"/>
      <c r="M5491" s="13"/>
      <c r="N5491" s="13"/>
      <c r="O5491" s="13" t="str">
        <f t="shared" si="1"/>
        <v/>
      </c>
    </row>
    <row r="5492" ht="22.5" customHeight="1">
      <c r="B5492" s="13"/>
      <c r="C5492" s="13"/>
      <c r="D5492" s="13"/>
      <c r="E5492" s="14"/>
      <c r="F5492" s="14"/>
      <c r="G5492" s="13"/>
      <c r="H5492" s="14"/>
      <c r="I5492" s="13"/>
      <c r="J5492" s="13"/>
      <c r="K5492" s="13"/>
      <c r="L5492" s="13"/>
      <c r="M5492" s="13"/>
      <c r="N5492" s="13"/>
      <c r="O5492" s="13" t="str">
        <f t="shared" si="1"/>
        <v/>
      </c>
    </row>
    <row r="5493" ht="22.5" customHeight="1">
      <c r="B5493" s="13"/>
      <c r="C5493" s="13"/>
      <c r="D5493" s="13"/>
      <c r="E5493" s="14"/>
      <c r="F5493" s="14"/>
      <c r="G5493" s="13"/>
      <c r="H5493" s="14"/>
      <c r="I5493" s="13"/>
      <c r="J5493" s="13"/>
      <c r="K5493" s="13"/>
      <c r="L5493" s="13"/>
      <c r="M5493" s="13"/>
      <c r="N5493" s="13"/>
      <c r="O5493" s="13" t="str">
        <f t="shared" si="1"/>
        <v/>
      </c>
    </row>
    <row r="5494" ht="22.5" customHeight="1">
      <c r="B5494" s="13"/>
      <c r="C5494" s="13"/>
      <c r="D5494" s="13"/>
      <c r="E5494" s="14"/>
      <c r="F5494" s="14"/>
      <c r="G5494" s="13"/>
      <c r="H5494" s="14"/>
      <c r="I5494" s="13"/>
      <c r="J5494" s="13"/>
      <c r="K5494" s="13"/>
      <c r="L5494" s="13"/>
      <c r="M5494" s="13"/>
      <c r="N5494" s="13"/>
      <c r="O5494" s="13" t="str">
        <f t="shared" si="1"/>
        <v/>
      </c>
    </row>
    <row r="5495" ht="22.5" customHeight="1">
      <c r="B5495" s="13"/>
      <c r="C5495" s="13"/>
      <c r="D5495" s="13"/>
      <c r="E5495" s="14"/>
      <c r="F5495" s="14"/>
      <c r="G5495" s="13"/>
      <c r="H5495" s="14"/>
      <c r="I5495" s="13"/>
      <c r="J5495" s="13"/>
      <c r="K5495" s="13"/>
      <c r="L5495" s="13"/>
      <c r="M5495" s="13"/>
      <c r="N5495" s="13"/>
      <c r="O5495" s="13" t="str">
        <f t="shared" si="1"/>
        <v/>
      </c>
    </row>
    <row r="5496" ht="22.5" customHeight="1">
      <c r="B5496" s="13"/>
      <c r="C5496" s="13"/>
      <c r="D5496" s="13"/>
      <c r="E5496" s="14"/>
      <c r="F5496" s="14"/>
      <c r="G5496" s="13"/>
      <c r="H5496" s="14"/>
      <c r="I5496" s="13"/>
      <c r="J5496" s="13"/>
      <c r="K5496" s="13"/>
      <c r="L5496" s="13"/>
      <c r="M5496" s="13"/>
      <c r="N5496" s="13"/>
      <c r="O5496" s="13" t="str">
        <f t="shared" si="1"/>
        <v/>
      </c>
    </row>
    <row r="5497" ht="22.5" customHeight="1">
      <c r="B5497" s="13"/>
      <c r="C5497" s="13"/>
      <c r="D5497" s="13"/>
      <c r="E5497" s="14"/>
      <c r="F5497" s="14"/>
      <c r="G5497" s="13"/>
      <c r="H5497" s="14"/>
      <c r="I5497" s="13"/>
      <c r="J5497" s="13"/>
      <c r="K5497" s="13"/>
      <c r="L5497" s="13"/>
      <c r="M5497" s="13"/>
      <c r="N5497" s="13"/>
      <c r="O5497" s="13" t="str">
        <f t="shared" si="1"/>
        <v/>
      </c>
    </row>
    <row r="5498" ht="22.5" customHeight="1">
      <c r="B5498" s="13"/>
      <c r="C5498" s="13"/>
      <c r="D5498" s="13"/>
      <c r="E5498" s="14"/>
      <c r="F5498" s="14"/>
      <c r="G5498" s="13"/>
      <c r="H5498" s="14"/>
      <c r="I5498" s="13"/>
      <c r="J5498" s="13"/>
      <c r="K5498" s="13"/>
      <c r="L5498" s="13"/>
      <c r="M5498" s="13"/>
      <c r="N5498" s="13"/>
      <c r="O5498" s="13" t="str">
        <f t="shared" si="1"/>
        <v/>
      </c>
    </row>
    <row r="5499" ht="22.5" customHeight="1">
      <c r="B5499" s="13"/>
      <c r="C5499" s="13"/>
      <c r="D5499" s="13"/>
      <c r="E5499" s="14"/>
      <c r="F5499" s="14"/>
      <c r="G5499" s="13"/>
      <c r="H5499" s="14"/>
      <c r="I5499" s="13"/>
      <c r="J5499" s="13"/>
      <c r="K5499" s="13"/>
      <c r="L5499" s="13"/>
      <c r="M5499" s="13"/>
      <c r="N5499" s="13"/>
      <c r="O5499" s="13" t="str">
        <f t="shared" si="1"/>
        <v/>
      </c>
    </row>
    <row r="5500" ht="22.5" customHeight="1">
      <c r="B5500" s="13"/>
      <c r="C5500" s="13"/>
      <c r="D5500" s="13"/>
      <c r="E5500" s="14"/>
      <c r="F5500" s="14"/>
      <c r="G5500" s="13"/>
      <c r="H5500" s="14"/>
      <c r="I5500" s="13"/>
      <c r="J5500" s="13"/>
      <c r="K5500" s="13"/>
      <c r="L5500" s="13"/>
      <c r="M5500" s="13"/>
      <c r="N5500" s="13"/>
      <c r="O5500" s="13" t="str">
        <f t="shared" si="1"/>
        <v/>
      </c>
    </row>
    <row r="5501" ht="22.5" customHeight="1">
      <c r="B5501" s="13"/>
      <c r="C5501" s="13"/>
      <c r="D5501" s="13"/>
      <c r="E5501" s="14"/>
      <c r="F5501" s="14"/>
      <c r="G5501" s="13"/>
      <c r="H5501" s="14"/>
      <c r="I5501" s="13"/>
      <c r="J5501" s="13"/>
      <c r="K5501" s="13"/>
      <c r="L5501" s="13"/>
      <c r="M5501" s="13"/>
      <c r="N5501" s="13"/>
      <c r="O5501" s="13" t="str">
        <f t="shared" si="1"/>
        <v/>
      </c>
    </row>
    <row r="5502" ht="22.5" customHeight="1">
      <c r="B5502" s="13"/>
      <c r="C5502" s="13"/>
      <c r="D5502" s="13"/>
      <c r="E5502" s="14"/>
      <c r="F5502" s="14"/>
      <c r="G5502" s="13"/>
      <c r="H5502" s="14"/>
      <c r="I5502" s="13"/>
      <c r="J5502" s="13"/>
      <c r="K5502" s="13"/>
      <c r="L5502" s="13"/>
      <c r="M5502" s="13"/>
      <c r="N5502" s="13"/>
      <c r="O5502" s="13" t="str">
        <f t="shared" si="1"/>
        <v/>
      </c>
    </row>
    <row r="5503" ht="22.5" customHeight="1">
      <c r="B5503" s="13"/>
      <c r="C5503" s="13"/>
      <c r="D5503" s="13"/>
      <c r="E5503" s="14"/>
      <c r="F5503" s="14"/>
      <c r="G5503" s="13"/>
      <c r="H5503" s="14"/>
      <c r="I5503" s="13"/>
      <c r="J5503" s="13"/>
      <c r="K5503" s="13"/>
      <c r="L5503" s="13"/>
      <c r="M5503" s="13"/>
      <c r="N5503" s="13"/>
      <c r="O5503" s="13" t="str">
        <f t="shared" si="1"/>
        <v/>
      </c>
    </row>
    <row r="5504" ht="22.5" customHeight="1">
      <c r="B5504" s="13"/>
      <c r="C5504" s="13"/>
      <c r="D5504" s="13"/>
      <c r="E5504" s="14"/>
      <c r="F5504" s="14"/>
      <c r="G5504" s="13"/>
      <c r="H5504" s="14"/>
      <c r="I5504" s="13"/>
      <c r="J5504" s="13"/>
      <c r="K5504" s="13"/>
      <c r="L5504" s="13"/>
      <c r="M5504" s="13"/>
      <c r="N5504" s="13"/>
      <c r="O5504" s="13" t="str">
        <f t="shared" si="1"/>
        <v/>
      </c>
    </row>
    <row r="5505" ht="22.5" customHeight="1">
      <c r="B5505" s="13"/>
      <c r="C5505" s="13"/>
      <c r="D5505" s="13"/>
      <c r="E5505" s="14"/>
      <c r="F5505" s="14"/>
      <c r="G5505" s="13"/>
      <c r="H5505" s="14"/>
      <c r="I5505" s="13"/>
      <c r="J5505" s="13"/>
      <c r="K5505" s="13"/>
      <c r="L5505" s="13"/>
      <c r="M5505" s="13"/>
      <c r="N5505" s="13"/>
      <c r="O5505" s="13" t="str">
        <f t="shared" si="1"/>
        <v/>
      </c>
    </row>
    <row r="5506" ht="22.5" customHeight="1">
      <c r="B5506" s="13"/>
      <c r="C5506" s="13"/>
      <c r="D5506" s="13"/>
      <c r="E5506" s="14"/>
      <c r="F5506" s="14"/>
      <c r="G5506" s="13"/>
      <c r="H5506" s="14"/>
      <c r="I5506" s="13"/>
      <c r="J5506" s="13"/>
      <c r="K5506" s="13"/>
      <c r="L5506" s="13"/>
      <c r="M5506" s="13"/>
      <c r="N5506" s="13"/>
      <c r="O5506" s="13" t="str">
        <f t="shared" si="1"/>
        <v/>
      </c>
    </row>
    <row r="5507" ht="22.5" customHeight="1">
      <c r="B5507" s="13"/>
      <c r="C5507" s="13"/>
      <c r="D5507" s="13"/>
      <c r="E5507" s="14"/>
      <c r="F5507" s="14"/>
      <c r="G5507" s="13"/>
      <c r="H5507" s="14"/>
      <c r="I5507" s="13"/>
      <c r="J5507" s="13"/>
      <c r="K5507" s="13"/>
      <c r="L5507" s="13"/>
      <c r="M5507" s="13"/>
      <c r="N5507" s="13"/>
      <c r="O5507" s="13" t="str">
        <f t="shared" si="1"/>
        <v/>
      </c>
    </row>
    <row r="5508" ht="22.5" customHeight="1">
      <c r="B5508" s="13"/>
      <c r="C5508" s="13"/>
      <c r="D5508" s="13"/>
      <c r="E5508" s="14"/>
      <c r="F5508" s="14"/>
      <c r="G5508" s="13"/>
      <c r="H5508" s="14"/>
      <c r="I5508" s="13"/>
      <c r="J5508" s="13"/>
      <c r="K5508" s="13"/>
      <c r="L5508" s="13"/>
      <c r="M5508" s="13"/>
      <c r="N5508" s="13"/>
      <c r="O5508" s="13" t="str">
        <f t="shared" si="1"/>
        <v/>
      </c>
    </row>
    <row r="5509" ht="22.5" customHeight="1">
      <c r="B5509" s="13"/>
      <c r="C5509" s="13"/>
      <c r="D5509" s="13"/>
      <c r="E5509" s="14"/>
      <c r="F5509" s="14"/>
      <c r="G5509" s="13"/>
      <c r="H5509" s="14"/>
      <c r="I5509" s="13"/>
      <c r="J5509" s="13"/>
      <c r="K5509" s="13"/>
      <c r="L5509" s="13"/>
      <c r="M5509" s="13"/>
      <c r="N5509" s="13"/>
      <c r="O5509" s="13" t="str">
        <f t="shared" si="1"/>
        <v/>
      </c>
    </row>
    <row r="5510" ht="22.5" customHeight="1">
      <c r="B5510" s="13"/>
      <c r="C5510" s="13"/>
      <c r="D5510" s="13"/>
      <c r="E5510" s="14"/>
      <c r="F5510" s="14"/>
      <c r="G5510" s="13"/>
      <c r="H5510" s="14"/>
      <c r="I5510" s="13"/>
      <c r="J5510" s="13"/>
      <c r="K5510" s="13"/>
      <c r="L5510" s="13"/>
      <c r="M5510" s="13"/>
      <c r="N5510" s="13"/>
      <c r="O5510" s="13" t="str">
        <f t="shared" si="1"/>
        <v/>
      </c>
    </row>
    <row r="5511" ht="22.5" customHeight="1">
      <c r="B5511" s="13"/>
      <c r="C5511" s="13"/>
      <c r="D5511" s="13"/>
      <c r="E5511" s="14"/>
      <c r="F5511" s="14"/>
      <c r="G5511" s="13"/>
      <c r="H5511" s="14"/>
      <c r="I5511" s="13"/>
      <c r="J5511" s="13"/>
      <c r="K5511" s="13"/>
      <c r="L5511" s="13"/>
      <c r="M5511" s="13"/>
      <c r="N5511" s="13"/>
      <c r="O5511" s="13" t="str">
        <f t="shared" si="1"/>
        <v/>
      </c>
    </row>
    <row r="5512" ht="22.5" customHeight="1">
      <c r="B5512" s="13"/>
      <c r="C5512" s="13"/>
      <c r="D5512" s="13"/>
      <c r="E5512" s="14"/>
      <c r="F5512" s="14"/>
      <c r="G5512" s="13"/>
      <c r="H5512" s="14"/>
      <c r="I5512" s="13"/>
      <c r="J5512" s="13"/>
      <c r="K5512" s="13"/>
      <c r="L5512" s="13"/>
      <c r="M5512" s="13"/>
      <c r="N5512" s="13"/>
      <c r="O5512" s="13" t="str">
        <f t="shared" si="1"/>
        <v/>
      </c>
    </row>
    <row r="5513" ht="22.5" customHeight="1">
      <c r="B5513" s="13"/>
      <c r="C5513" s="13"/>
      <c r="D5513" s="13"/>
      <c r="E5513" s="14"/>
      <c r="F5513" s="14"/>
      <c r="G5513" s="13"/>
      <c r="H5513" s="14"/>
      <c r="I5513" s="13"/>
      <c r="J5513" s="13"/>
      <c r="K5513" s="13"/>
      <c r="L5513" s="13"/>
      <c r="M5513" s="13"/>
      <c r="N5513" s="13"/>
      <c r="O5513" s="13" t="str">
        <f t="shared" si="1"/>
        <v/>
      </c>
    </row>
    <row r="5514" ht="22.5" customHeight="1">
      <c r="B5514" s="13"/>
      <c r="C5514" s="13"/>
      <c r="D5514" s="13"/>
      <c r="E5514" s="14"/>
      <c r="F5514" s="14"/>
      <c r="G5514" s="13"/>
      <c r="H5514" s="14"/>
      <c r="I5514" s="13"/>
      <c r="J5514" s="13"/>
      <c r="K5514" s="13"/>
      <c r="L5514" s="13"/>
      <c r="M5514" s="13"/>
      <c r="N5514" s="13"/>
      <c r="O5514" s="13" t="str">
        <f t="shared" si="1"/>
        <v/>
      </c>
    </row>
    <row r="5515" ht="22.5" customHeight="1">
      <c r="B5515" s="13"/>
      <c r="C5515" s="13"/>
      <c r="D5515" s="13"/>
      <c r="E5515" s="14"/>
      <c r="F5515" s="14"/>
      <c r="G5515" s="13"/>
      <c r="H5515" s="14"/>
      <c r="I5515" s="13"/>
      <c r="J5515" s="13"/>
      <c r="K5515" s="13"/>
      <c r="L5515" s="13"/>
      <c r="M5515" s="13"/>
      <c r="N5515" s="13"/>
      <c r="O5515" s="13" t="str">
        <f t="shared" si="1"/>
        <v/>
      </c>
    </row>
    <row r="5516" ht="22.5" customHeight="1">
      <c r="B5516" s="13"/>
      <c r="C5516" s="13"/>
      <c r="D5516" s="13"/>
      <c r="E5516" s="14"/>
      <c r="F5516" s="14"/>
      <c r="G5516" s="13"/>
      <c r="H5516" s="14"/>
      <c r="I5516" s="13"/>
      <c r="J5516" s="13"/>
      <c r="K5516" s="13"/>
      <c r="L5516" s="13"/>
      <c r="M5516" s="13"/>
      <c r="N5516" s="13"/>
      <c r="O5516" s="13" t="str">
        <f t="shared" si="1"/>
        <v/>
      </c>
    </row>
    <row r="5517" ht="22.5" customHeight="1">
      <c r="B5517" s="13"/>
      <c r="C5517" s="13"/>
      <c r="D5517" s="13"/>
      <c r="E5517" s="14"/>
      <c r="F5517" s="14"/>
      <c r="G5517" s="13"/>
      <c r="H5517" s="14"/>
      <c r="I5517" s="13"/>
      <c r="J5517" s="13"/>
      <c r="K5517" s="13"/>
      <c r="L5517" s="13"/>
      <c r="M5517" s="13"/>
      <c r="N5517" s="13"/>
      <c r="O5517" s="13" t="str">
        <f t="shared" si="1"/>
        <v/>
      </c>
    </row>
    <row r="5518" ht="22.5" customHeight="1">
      <c r="B5518" s="13"/>
      <c r="C5518" s="13"/>
      <c r="D5518" s="13"/>
      <c r="E5518" s="14"/>
      <c r="F5518" s="14"/>
      <c r="G5518" s="13"/>
      <c r="H5518" s="14"/>
      <c r="I5518" s="13"/>
      <c r="J5518" s="13"/>
      <c r="K5518" s="13"/>
      <c r="L5518" s="13"/>
      <c r="M5518" s="13"/>
      <c r="N5518" s="13"/>
      <c r="O5518" s="13" t="str">
        <f t="shared" si="1"/>
        <v/>
      </c>
    </row>
    <row r="5519" ht="22.5" customHeight="1">
      <c r="B5519" s="13"/>
      <c r="C5519" s="13"/>
      <c r="D5519" s="13"/>
      <c r="E5519" s="14"/>
      <c r="F5519" s="14"/>
      <c r="G5519" s="13"/>
      <c r="H5519" s="14"/>
      <c r="I5519" s="13"/>
      <c r="J5519" s="13"/>
      <c r="K5519" s="13"/>
      <c r="L5519" s="13"/>
      <c r="M5519" s="13"/>
      <c r="N5519" s="13"/>
      <c r="O5519" s="13" t="str">
        <f t="shared" si="1"/>
        <v/>
      </c>
    </row>
    <row r="5520" ht="22.5" customHeight="1">
      <c r="B5520" s="13"/>
      <c r="C5520" s="13"/>
      <c r="D5520" s="13"/>
      <c r="E5520" s="14"/>
      <c r="F5520" s="14"/>
      <c r="G5520" s="13"/>
      <c r="H5520" s="14"/>
      <c r="I5520" s="13"/>
      <c r="J5520" s="13"/>
      <c r="K5520" s="13"/>
      <c r="L5520" s="13"/>
      <c r="M5520" s="13"/>
      <c r="N5520" s="13"/>
      <c r="O5520" s="13" t="str">
        <f t="shared" si="1"/>
        <v/>
      </c>
    </row>
    <row r="5521" ht="22.5" customHeight="1">
      <c r="B5521" s="13"/>
      <c r="C5521" s="13"/>
      <c r="D5521" s="13"/>
      <c r="E5521" s="14"/>
      <c r="F5521" s="14"/>
      <c r="G5521" s="13"/>
      <c r="H5521" s="14"/>
      <c r="I5521" s="13"/>
      <c r="J5521" s="13"/>
      <c r="K5521" s="13"/>
      <c r="L5521" s="13"/>
      <c r="M5521" s="13"/>
      <c r="N5521" s="13"/>
      <c r="O5521" s="13" t="str">
        <f t="shared" si="1"/>
        <v/>
      </c>
    </row>
    <row r="5522" ht="22.5" customHeight="1">
      <c r="B5522" s="13"/>
      <c r="C5522" s="13"/>
      <c r="D5522" s="13"/>
      <c r="E5522" s="14"/>
      <c r="F5522" s="14"/>
      <c r="G5522" s="13"/>
      <c r="H5522" s="14"/>
      <c r="I5522" s="13"/>
      <c r="J5522" s="13"/>
      <c r="K5522" s="13"/>
      <c r="L5522" s="13"/>
      <c r="M5522" s="13"/>
      <c r="N5522" s="13"/>
      <c r="O5522" s="13" t="str">
        <f t="shared" si="1"/>
        <v/>
      </c>
    </row>
    <row r="5523" ht="22.5" customHeight="1">
      <c r="B5523" s="13"/>
      <c r="C5523" s="13"/>
      <c r="D5523" s="13"/>
      <c r="E5523" s="14"/>
      <c r="F5523" s="14"/>
      <c r="G5523" s="13"/>
      <c r="H5523" s="14"/>
      <c r="I5523" s="13"/>
      <c r="J5523" s="13"/>
      <c r="K5523" s="13"/>
      <c r="L5523" s="13"/>
      <c r="M5523" s="13"/>
      <c r="N5523" s="13"/>
      <c r="O5523" s="13" t="str">
        <f t="shared" si="1"/>
        <v/>
      </c>
    </row>
    <row r="5524" ht="22.5" customHeight="1">
      <c r="B5524" s="13"/>
      <c r="C5524" s="13"/>
      <c r="D5524" s="13"/>
      <c r="E5524" s="14"/>
      <c r="F5524" s="14"/>
      <c r="G5524" s="13"/>
      <c r="H5524" s="14"/>
      <c r="I5524" s="13"/>
      <c r="J5524" s="13"/>
      <c r="K5524" s="13"/>
      <c r="L5524" s="13"/>
      <c r="M5524" s="13"/>
      <c r="N5524" s="13"/>
      <c r="O5524" s="13" t="str">
        <f t="shared" si="1"/>
        <v/>
      </c>
    </row>
    <row r="5525" ht="22.5" customHeight="1">
      <c r="B5525" s="13"/>
      <c r="C5525" s="13"/>
      <c r="D5525" s="13"/>
      <c r="E5525" s="14"/>
      <c r="F5525" s="14"/>
      <c r="G5525" s="13"/>
      <c r="H5525" s="14"/>
      <c r="I5525" s="13"/>
      <c r="J5525" s="13"/>
      <c r="K5525" s="13"/>
      <c r="L5525" s="13"/>
      <c r="M5525" s="13"/>
      <c r="N5525" s="13"/>
      <c r="O5525" s="13" t="str">
        <f t="shared" si="1"/>
        <v/>
      </c>
    </row>
    <row r="5526" ht="22.5" customHeight="1">
      <c r="B5526" s="13"/>
      <c r="C5526" s="13"/>
      <c r="D5526" s="13"/>
      <c r="E5526" s="14"/>
      <c r="F5526" s="14"/>
      <c r="G5526" s="13"/>
      <c r="H5526" s="14"/>
      <c r="I5526" s="13"/>
      <c r="J5526" s="13"/>
      <c r="K5526" s="13"/>
      <c r="L5526" s="13"/>
      <c r="M5526" s="13"/>
      <c r="N5526" s="13"/>
      <c r="O5526" s="13" t="str">
        <f t="shared" si="1"/>
        <v/>
      </c>
    </row>
    <row r="5527" ht="22.5" customHeight="1">
      <c r="B5527" s="13"/>
      <c r="C5527" s="13"/>
      <c r="D5527" s="13"/>
      <c r="E5527" s="14"/>
      <c r="F5527" s="14"/>
      <c r="G5527" s="13"/>
      <c r="H5527" s="14"/>
      <c r="I5527" s="13"/>
      <c r="J5527" s="13"/>
      <c r="K5527" s="13"/>
      <c r="L5527" s="13"/>
      <c r="M5527" s="13"/>
      <c r="N5527" s="13"/>
      <c r="O5527" s="13" t="str">
        <f t="shared" si="1"/>
        <v/>
      </c>
    </row>
    <row r="5528" ht="22.5" customHeight="1">
      <c r="B5528" s="13"/>
      <c r="C5528" s="13"/>
      <c r="D5528" s="13"/>
      <c r="E5528" s="14"/>
      <c r="F5528" s="14"/>
      <c r="G5528" s="13"/>
      <c r="H5528" s="14"/>
      <c r="I5528" s="13"/>
      <c r="J5528" s="13"/>
      <c r="K5528" s="13"/>
      <c r="L5528" s="13"/>
      <c r="M5528" s="13"/>
      <c r="N5528" s="13"/>
      <c r="O5528" s="13" t="str">
        <f t="shared" si="1"/>
        <v/>
      </c>
    </row>
    <row r="5529" ht="22.5" customHeight="1">
      <c r="B5529" s="13"/>
      <c r="C5529" s="13"/>
      <c r="D5529" s="13"/>
      <c r="E5529" s="14"/>
      <c r="F5529" s="14"/>
      <c r="G5529" s="13"/>
      <c r="H5529" s="14"/>
      <c r="I5529" s="13"/>
      <c r="J5529" s="13"/>
      <c r="K5529" s="13"/>
      <c r="L5529" s="13"/>
      <c r="M5529" s="13"/>
      <c r="N5529" s="13"/>
      <c r="O5529" s="13" t="str">
        <f t="shared" si="1"/>
        <v/>
      </c>
    </row>
    <row r="5530" ht="22.5" customHeight="1">
      <c r="B5530" s="13"/>
      <c r="C5530" s="13"/>
      <c r="D5530" s="13"/>
      <c r="E5530" s="14"/>
      <c r="F5530" s="14"/>
      <c r="G5530" s="13"/>
      <c r="H5530" s="14"/>
      <c r="I5530" s="13"/>
      <c r="J5530" s="13"/>
      <c r="K5530" s="13"/>
      <c r="L5530" s="13"/>
      <c r="M5530" s="13"/>
      <c r="N5530" s="13"/>
      <c r="O5530" s="13" t="str">
        <f t="shared" si="1"/>
        <v/>
      </c>
    </row>
    <row r="5531" ht="22.5" customHeight="1">
      <c r="B5531" s="13"/>
      <c r="C5531" s="13"/>
      <c r="D5531" s="13"/>
      <c r="E5531" s="14"/>
      <c r="F5531" s="14"/>
      <c r="G5531" s="13"/>
      <c r="H5531" s="14"/>
      <c r="I5531" s="13"/>
      <c r="J5531" s="13"/>
      <c r="K5531" s="13"/>
      <c r="L5531" s="13"/>
      <c r="M5531" s="13"/>
      <c r="N5531" s="13"/>
      <c r="O5531" s="13" t="str">
        <f t="shared" si="1"/>
        <v/>
      </c>
    </row>
    <row r="5532" ht="22.5" customHeight="1">
      <c r="B5532" s="13"/>
      <c r="C5532" s="13"/>
      <c r="D5532" s="13"/>
      <c r="E5532" s="14"/>
      <c r="F5532" s="14"/>
      <c r="G5532" s="13"/>
      <c r="H5532" s="14"/>
      <c r="I5532" s="13"/>
      <c r="J5532" s="13"/>
      <c r="K5532" s="13"/>
      <c r="L5532" s="13"/>
      <c r="M5532" s="13"/>
      <c r="N5532" s="13"/>
      <c r="O5532" s="13" t="str">
        <f t="shared" si="1"/>
        <v/>
      </c>
    </row>
    <row r="5533" ht="22.5" customHeight="1">
      <c r="B5533" s="13"/>
      <c r="C5533" s="13"/>
      <c r="D5533" s="13"/>
      <c r="E5533" s="14"/>
      <c r="F5533" s="14"/>
      <c r="G5533" s="13"/>
      <c r="H5533" s="14"/>
      <c r="I5533" s="13"/>
      <c r="J5533" s="13"/>
      <c r="K5533" s="13"/>
      <c r="L5533" s="13"/>
      <c r="M5533" s="13"/>
      <c r="N5533" s="13"/>
      <c r="O5533" s="13" t="str">
        <f t="shared" si="1"/>
        <v/>
      </c>
    </row>
    <row r="5534" ht="22.5" customHeight="1">
      <c r="B5534" s="13"/>
      <c r="C5534" s="13"/>
      <c r="D5534" s="13"/>
      <c r="E5534" s="14"/>
      <c r="F5534" s="14"/>
      <c r="G5534" s="13"/>
      <c r="H5534" s="14"/>
      <c r="I5534" s="13"/>
      <c r="J5534" s="13"/>
      <c r="K5534" s="13"/>
      <c r="L5534" s="13"/>
      <c r="M5534" s="13"/>
      <c r="N5534" s="13"/>
      <c r="O5534" s="13" t="str">
        <f t="shared" si="1"/>
        <v/>
      </c>
    </row>
    <row r="5535" ht="22.5" customHeight="1">
      <c r="B5535" s="13"/>
      <c r="C5535" s="13"/>
      <c r="D5535" s="13"/>
      <c r="E5535" s="14"/>
      <c r="F5535" s="14"/>
      <c r="G5535" s="13"/>
      <c r="H5535" s="14"/>
      <c r="I5535" s="13"/>
      <c r="J5535" s="13"/>
      <c r="K5535" s="13"/>
      <c r="L5535" s="13"/>
      <c r="M5535" s="13"/>
      <c r="N5535" s="13"/>
      <c r="O5535" s="13" t="str">
        <f t="shared" si="1"/>
        <v/>
      </c>
    </row>
    <row r="5536" ht="22.5" customHeight="1">
      <c r="B5536" s="13"/>
      <c r="C5536" s="13"/>
      <c r="D5536" s="13"/>
      <c r="E5536" s="14"/>
      <c r="F5536" s="14"/>
      <c r="G5536" s="13"/>
      <c r="H5536" s="14"/>
      <c r="I5536" s="13"/>
      <c r="J5536" s="13"/>
      <c r="K5536" s="13"/>
      <c r="L5536" s="13"/>
      <c r="M5536" s="13"/>
      <c r="N5536" s="13"/>
      <c r="O5536" s="13" t="str">
        <f t="shared" si="1"/>
        <v/>
      </c>
    </row>
    <row r="5537" ht="22.5" customHeight="1">
      <c r="B5537" s="13"/>
      <c r="C5537" s="13"/>
      <c r="D5537" s="13"/>
      <c r="E5537" s="14"/>
      <c r="F5537" s="14"/>
      <c r="G5537" s="13"/>
      <c r="H5537" s="14"/>
      <c r="I5537" s="13"/>
      <c r="J5537" s="13"/>
      <c r="K5537" s="13"/>
      <c r="L5537" s="13"/>
      <c r="M5537" s="13"/>
      <c r="N5537" s="13"/>
      <c r="O5537" s="13" t="str">
        <f t="shared" si="1"/>
        <v/>
      </c>
    </row>
    <row r="5538" ht="22.5" customHeight="1">
      <c r="B5538" s="13"/>
      <c r="C5538" s="13"/>
      <c r="D5538" s="13"/>
      <c r="E5538" s="14"/>
      <c r="F5538" s="14"/>
      <c r="G5538" s="13"/>
      <c r="H5538" s="14"/>
      <c r="I5538" s="13"/>
      <c r="J5538" s="13"/>
      <c r="K5538" s="13"/>
      <c r="L5538" s="13"/>
      <c r="M5538" s="13"/>
      <c r="N5538" s="13"/>
      <c r="O5538" s="13" t="str">
        <f t="shared" si="1"/>
        <v/>
      </c>
    </row>
    <row r="5539" ht="22.5" customHeight="1">
      <c r="B5539" s="13"/>
      <c r="C5539" s="13"/>
      <c r="D5539" s="13"/>
      <c r="E5539" s="14"/>
      <c r="F5539" s="14"/>
      <c r="G5539" s="13"/>
      <c r="H5539" s="14"/>
      <c r="I5539" s="13"/>
      <c r="J5539" s="13"/>
      <c r="K5539" s="13"/>
      <c r="L5539" s="13"/>
      <c r="M5539" s="13"/>
      <c r="N5539" s="13"/>
      <c r="O5539" s="13" t="str">
        <f t="shared" si="1"/>
        <v/>
      </c>
    </row>
    <row r="5540" ht="22.5" customHeight="1">
      <c r="B5540" s="13"/>
      <c r="C5540" s="13"/>
      <c r="D5540" s="13"/>
      <c r="E5540" s="14"/>
      <c r="F5540" s="14"/>
      <c r="G5540" s="13"/>
      <c r="H5540" s="14"/>
      <c r="I5540" s="13"/>
      <c r="J5540" s="13"/>
      <c r="K5540" s="13"/>
      <c r="L5540" s="13"/>
      <c r="M5540" s="13"/>
      <c r="N5540" s="13"/>
      <c r="O5540" s="13" t="str">
        <f t="shared" si="1"/>
        <v/>
      </c>
    </row>
    <row r="5541" ht="22.5" customHeight="1">
      <c r="B5541" s="13"/>
      <c r="C5541" s="13"/>
      <c r="D5541" s="13"/>
      <c r="E5541" s="14"/>
      <c r="F5541" s="14"/>
      <c r="G5541" s="13"/>
      <c r="H5541" s="14"/>
      <c r="I5541" s="13"/>
      <c r="J5541" s="13"/>
      <c r="K5541" s="13"/>
      <c r="L5541" s="13"/>
      <c r="M5541" s="13"/>
      <c r="N5541" s="13"/>
      <c r="O5541" s="13" t="str">
        <f t="shared" si="1"/>
        <v/>
      </c>
    </row>
    <row r="5542" ht="22.5" customHeight="1">
      <c r="B5542" s="13"/>
      <c r="C5542" s="13"/>
      <c r="D5542" s="13"/>
      <c r="E5542" s="14"/>
      <c r="F5542" s="14"/>
      <c r="G5542" s="13"/>
      <c r="H5542" s="14"/>
      <c r="I5542" s="13"/>
      <c r="J5542" s="13"/>
      <c r="K5542" s="13"/>
      <c r="L5542" s="13"/>
      <c r="M5542" s="13"/>
      <c r="N5542" s="13"/>
      <c r="O5542" s="13" t="str">
        <f t="shared" si="1"/>
        <v/>
      </c>
    </row>
    <row r="5543" ht="22.5" customHeight="1">
      <c r="B5543" s="13"/>
      <c r="C5543" s="13"/>
      <c r="D5543" s="13"/>
      <c r="E5543" s="14"/>
      <c r="F5543" s="14"/>
      <c r="G5543" s="13"/>
      <c r="H5543" s="14"/>
      <c r="I5543" s="13"/>
      <c r="J5543" s="13"/>
      <c r="K5543" s="13"/>
      <c r="L5543" s="13"/>
      <c r="M5543" s="13"/>
      <c r="N5543" s="13"/>
      <c r="O5543" s="13" t="str">
        <f t="shared" si="1"/>
        <v/>
      </c>
    </row>
    <row r="5544" ht="22.5" customHeight="1">
      <c r="B5544" s="13"/>
      <c r="C5544" s="13"/>
      <c r="D5544" s="13"/>
      <c r="E5544" s="14"/>
      <c r="F5544" s="14"/>
      <c r="G5544" s="13"/>
      <c r="H5544" s="14"/>
      <c r="I5544" s="13"/>
      <c r="J5544" s="13"/>
      <c r="K5544" s="13"/>
      <c r="L5544" s="13"/>
      <c r="M5544" s="13"/>
      <c r="N5544" s="13"/>
      <c r="O5544" s="13" t="str">
        <f t="shared" si="1"/>
        <v/>
      </c>
    </row>
    <row r="5545" ht="22.5" customHeight="1">
      <c r="B5545" s="13"/>
      <c r="C5545" s="13"/>
      <c r="D5545" s="13"/>
      <c r="E5545" s="14"/>
      <c r="F5545" s="14"/>
      <c r="G5545" s="13"/>
      <c r="H5545" s="14"/>
      <c r="I5545" s="13"/>
      <c r="J5545" s="13"/>
      <c r="K5545" s="13"/>
      <c r="L5545" s="13"/>
      <c r="M5545" s="13"/>
      <c r="N5545" s="13"/>
      <c r="O5545" s="13" t="str">
        <f t="shared" si="1"/>
        <v/>
      </c>
    </row>
    <row r="5546" ht="22.5" customHeight="1">
      <c r="B5546" s="13"/>
      <c r="C5546" s="13"/>
      <c r="D5546" s="13"/>
      <c r="E5546" s="14"/>
      <c r="F5546" s="14"/>
      <c r="G5546" s="13"/>
      <c r="H5546" s="14"/>
      <c r="I5546" s="13"/>
      <c r="J5546" s="13"/>
      <c r="K5546" s="13"/>
      <c r="L5546" s="13"/>
      <c r="M5546" s="13"/>
      <c r="N5546" s="13"/>
      <c r="O5546" s="13" t="str">
        <f t="shared" si="1"/>
        <v/>
      </c>
    </row>
    <row r="5547" ht="22.5" customHeight="1">
      <c r="B5547" s="13"/>
      <c r="C5547" s="13"/>
      <c r="D5547" s="13"/>
      <c r="E5547" s="14"/>
      <c r="F5547" s="14"/>
      <c r="G5547" s="13"/>
      <c r="H5547" s="14"/>
      <c r="I5547" s="13"/>
      <c r="J5547" s="13"/>
      <c r="K5547" s="13"/>
      <c r="L5547" s="13"/>
      <c r="M5547" s="13"/>
      <c r="N5547" s="13"/>
      <c r="O5547" s="13" t="str">
        <f t="shared" si="1"/>
        <v/>
      </c>
    </row>
    <row r="5548" ht="22.5" customHeight="1">
      <c r="B5548" s="13"/>
      <c r="C5548" s="13"/>
      <c r="D5548" s="13"/>
      <c r="E5548" s="14"/>
      <c r="F5548" s="14"/>
      <c r="G5548" s="13"/>
      <c r="H5548" s="14"/>
      <c r="I5548" s="13"/>
      <c r="J5548" s="13"/>
      <c r="K5548" s="13"/>
      <c r="L5548" s="13"/>
      <c r="M5548" s="13"/>
      <c r="N5548" s="13"/>
      <c r="O5548" s="13" t="str">
        <f t="shared" si="1"/>
        <v/>
      </c>
    </row>
    <row r="5549" ht="22.5" customHeight="1">
      <c r="B5549" s="13"/>
      <c r="C5549" s="13"/>
      <c r="D5549" s="13"/>
      <c r="E5549" s="14"/>
      <c r="F5549" s="14"/>
      <c r="G5549" s="13"/>
      <c r="H5549" s="14"/>
      <c r="I5549" s="13"/>
      <c r="J5549" s="13"/>
      <c r="K5549" s="13"/>
      <c r="L5549" s="13"/>
      <c r="M5549" s="13"/>
      <c r="N5549" s="13"/>
      <c r="O5549" s="13" t="str">
        <f t="shared" si="1"/>
        <v/>
      </c>
    </row>
    <row r="5550" ht="22.5" customHeight="1">
      <c r="B5550" s="13"/>
      <c r="C5550" s="13"/>
      <c r="D5550" s="13"/>
      <c r="E5550" s="14"/>
      <c r="F5550" s="14"/>
      <c r="G5550" s="13"/>
      <c r="H5550" s="14"/>
      <c r="I5550" s="13"/>
      <c r="J5550" s="13"/>
      <c r="K5550" s="13"/>
      <c r="L5550" s="13"/>
      <c r="M5550" s="13"/>
      <c r="N5550" s="13"/>
      <c r="O5550" s="13" t="str">
        <f t="shared" si="1"/>
        <v/>
      </c>
    </row>
    <row r="5551" ht="22.5" customHeight="1">
      <c r="B5551" s="13"/>
      <c r="C5551" s="13"/>
      <c r="D5551" s="13"/>
      <c r="E5551" s="14"/>
      <c r="F5551" s="14"/>
      <c r="G5551" s="13"/>
      <c r="H5551" s="14"/>
      <c r="I5551" s="13"/>
      <c r="J5551" s="13"/>
      <c r="K5551" s="13"/>
      <c r="L5551" s="13"/>
      <c r="M5551" s="13"/>
      <c r="N5551" s="13"/>
      <c r="O5551" s="13" t="str">
        <f t="shared" si="1"/>
        <v/>
      </c>
    </row>
    <row r="5552" ht="22.5" customHeight="1">
      <c r="B5552" s="13"/>
      <c r="C5552" s="13"/>
      <c r="D5552" s="13"/>
      <c r="E5552" s="14"/>
      <c r="F5552" s="14"/>
      <c r="G5552" s="13"/>
      <c r="H5552" s="14"/>
      <c r="I5552" s="13"/>
      <c r="J5552" s="13"/>
      <c r="K5552" s="13"/>
      <c r="L5552" s="13"/>
      <c r="M5552" s="13"/>
      <c r="N5552" s="13"/>
      <c r="O5552" s="13" t="str">
        <f t="shared" si="1"/>
        <v/>
      </c>
    </row>
    <row r="5553" ht="22.5" customHeight="1">
      <c r="B5553" s="13"/>
      <c r="C5553" s="13"/>
      <c r="D5553" s="13"/>
      <c r="E5553" s="14"/>
      <c r="F5553" s="14"/>
      <c r="G5553" s="13"/>
      <c r="H5553" s="14"/>
      <c r="I5553" s="13"/>
      <c r="J5553" s="13"/>
      <c r="K5553" s="13"/>
      <c r="L5553" s="13"/>
      <c r="M5553" s="13"/>
      <c r="N5553" s="13"/>
      <c r="O5553" s="13" t="str">
        <f t="shared" si="1"/>
        <v/>
      </c>
    </row>
    <row r="5554" ht="22.5" customHeight="1">
      <c r="B5554" s="13"/>
      <c r="C5554" s="13"/>
      <c r="D5554" s="13"/>
      <c r="E5554" s="14"/>
      <c r="F5554" s="14"/>
      <c r="G5554" s="13"/>
      <c r="H5554" s="14"/>
      <c r="I5554" s="13"/>
      <c r="J5554" s="13"/>
      <c r="K5554" s="13"/>
      <c r="L5554" s="13"/>
      <c r="M5554" s="13"/>
      <c r="N5554" s="13"/>
      <c r="O5554" s="13" t="str">
        <f t="shared" si="1"/>
        <v/>
      </c>
    </row>
    <row r="5555" ht="22.5" customHeight="1">
      <c r="B5555" s="13"/>
      <c r="C5555" s="13"/>
      <c r="D5555" s="13"/>
      <c r="E5555" s="14"/>
      <c r="F5555" s="14"/>
      <c r="G5555" s="13"/>
      <c r="H5555" s="14"/>
      <c r="I5555" s="13"/>
      <c r="J5555" s="13"/>
      <c r="K5555" s="13"/>
      <c r="L5555" s="13"/>
      <c r="M5555" s="13"/>
      <c r="N5555" s="13"/>
      <c r="O5555" s="13" t="str">
        <f t="shared" si="1"/>
        <v/>
      </c>
    </row>
    <row r="5556" ht="22.5" customHeight="1">
      <c r="B5556" s="13"/>
      <c r="C5556" s="13"/>
      <c r="D5556" s="13"/>
      <c r="E5556" s="14"/>
      <c r="F5556" s="14"/>
      <c r="G5556" s="13"/>
      <c r="H5556" s="14"/>
      <c r="I5556" s="13"/>
      <c r="J5556" s="13"/>
      <c r="K5556" s="13"/>
      <c r="L5556" s="13"/>
      <c r="M5556" s="13"/>
      <c r="N5556" s="13"/>
      <c r="O5556" s="13" t="str">
        <f t="shared" si="1"/>
        <v/>
      </c>
    </row>
    <row r="5557" ht="22.5" customHeight="1">
      <c r="B5557" s="13"/>
      <c r="C5557" s="13"/>
      <c r="D5557" s="13"/>
      <c r="E5557" s="14"/>
      <c r="F5557" s="14"/>
      <c r="G5557" s="13"/>
      <c r="H5557" s="14"/>
      <c r="I5557" s="13"/>
      <c r="J5557" s="13"/>
      <c r="K5557" s="13"/>
      <c r="L5557" s="13"/>
      <c r="M5557" s="13"/>
      <c r="N5557" s="13"/>
      <c r="O5557" s="13" t="str">
        <f t="shared" si="1"/>
        <v/>
      </c>
    </row>
    <row r="5558" ht="22.5" customHeight="1">
      <c r="B5558" s="13"/>
      <c r="C5558" s="13"/>
      <c r="D5558" s="13"/>
      <c r="E5558" s="14"/>
      <c r="F5558" s="14"/>
      <c r="G5558" s="13"/>
      <c r="H5558" s="14"/>
      <c r="I5558" s="13"/>
      <c r="J5558" s="13"/>
      <c r="K5558" s="13"/>
      <c r="L5558" s="13"/>
      <c r="M5558" s="13"/>
      <c r="N5558" s="13"/>
      <c r="O5558" s="13" t="str">
        <f t="shared" si="1"/>
        <v/>
      </c>
    </row>
    <row r="5559" ht="22.5" customHeight="1">
      <c r="B5559" s="13"/>
      <c r="C5559" s="13"/>
      <c r="D5559" s="13"/>
      <c r="E5559" s="14"/>
      <c r="F5559" s="14"/>
      <c r="G5559" s="13"/>
      <c r="H5559" s="14"/>
      <c r="I5559" s="13"/>
      <c r="J5559" s="13"/>
      <c r="K5559" s="13"/>
      <c r="L5559" s="13"/>
      <c r="M5559" s="13"/>
      <c r="N5559" s="13"/>
      <c r="O5559" s="13" t="str">
        <f t="shared" si="1"/>
        <v/>
      </c>
    </row>
    <row r="5560" ht="22.5" customHeight="1">
      <c r="B5560" s="13"/>
      <c r="C5560" s="13"/>
      <c r="D5560" s="13"/>
      <c r="E5560" s="14"/>
      <c r="F5560" s="14"/>
      <c r="G5560" s="13"/>
      <c r="H5560" s="14"/>
      <c r="I5560" s="13"/>
      <c r="J5560" s="13"/>
      <c r="K5560" s="13"/>
      <c r="L5560" s="13"/>
      <c r="M5560" s="13"/>
      <c r="N5560" s="13"/>
      <c r="O5560" s="13" t="str">
        <f t="shared" si="1"/>
        <v/>
      </c>
    </row>
    <row r="5561" ht="22.5" customHeight="1">
      <c r="B5561" s="13"/>
      <c r="C5561" s="13"/>
      <c r="D5561" s="13"/>
      <c r="E5561" s="14"/>
      <c r="F5561" s="14"/>
      <c r="G5561" s="13"/>
      <c r="H5561" s="14"/>
      <c r="I5561" s="13"/>
      <c r="J5561" s="13"/>
      <c r="K5561" s="13"/>
      <c r="L5561" s="13"/>
      <c r="M5561" s="13"/>
      <c r="N5561" s="13"/>
      <c r="O5561" s="13" t="str">
        <f t="shared" si="1"/>
        <v/>
      </c>
    </row>
    <row r="5562" ht="22.5" customHeight="1">
      <c r="B5562" s="13"/>
      <c r="C5562" s="13"/>
      <c r="D5562" s="13"/>
      <c r="E5562" s="14"/>
      <c r="F5562" s="14"/>
      <c r="G5562" s="13"/>
      <c r="H5562" s="14"/>
      <c r="I5562" s="13"/>
      <c r="J5562" s="13"/>
      <c r="K5562" s="13"/>
      <c r="L5562" s="13"/>
      <c r="M5562" s="13"/>
      <c r="N5562" s="13"/>
      <c r="O5562" s="13" t="str">
        <f t="shared" si="1"/>
        <v/>
      </c>
    </row>
    <row r="5563" ht="22.5" customHeight="1">
      <c r="B5563" s="13"/>
      <c r="C5563" s="13"/>
      <c r="D5563" s="13"/>
      <c r="E5563" s="14"/>
      <c r="F5563" s="14"/>
      <c r="G5563" s="13"/>
      <c r="H5563" s="14"/>
      <c r="I5563" s="13"/>
      <c r="J5563" s="13"/>
      <c r="K5563" s="13"/>
      <c r="L5563" s="13"/>
      <c r="M5563" s="13"/>
      <c r="N5563" s="13"/>
      <c r="O5563" s="13" t="str">
        <f t="shared" si="1"/>
        <v/>
      </c>
    </row>
    <row r="5564" ht="22.5" customHeight="1">
      <c r="B5564" s="13"/>
      <c r="C5564" s="13"/>
      <c r="D5564" s="13"/>
      <c r="E5564" s="14"/>
      <c r="F5564" s="14"/>
      <c r="G5564" s="13"/>
      <c r="H5564" s="14"/>
      <c r="I5564" s="13"/>
      <c r="J5564" s="13"/>
      <c r="K5564" s="13"/>
      <c r="L5564" s="13"/>
      <c r="M5564" s="13"/>
      <c r="N5564" s="13"/>
      <c r="O5564" s="13" t="str">
        <f t="shared" si="1"/>
        <v/>
      </c>
    </row>
    <row r="5565" ht="22.5" customHeight="1">
      <c r="B5565" s="13"/>
      <c r="C5565" s="13"/>
      <c r="D5565" s="13"/>
      <c r="E5565" s="14"/>
      <c r="F5565" s="14"/>
      <c r="G5565" s="13"/>
      <c r="H5565" s="14"/>
      <c r="I5565" s="13"/>
      <c r="J5565" s="13"/>
      <c r="K5565" s="13"/>
      <c r="L5565" s="13"/>
      <c r="M5565" s="13"/>
      <c r="N5565" s="13"/>
      <c r="O5565" s="13" t="str">
        <f t="shared" si="1"/>
        <v/>
      </c>
    </row>
    <row r="5566" ht="22.5" customHeight="1">
      <c r="B5566" s="13"/>
      <c r="C5566" s="13"/>
      <c r="D5566" s="13"/>
      <c r="E5566" s="14"/>
      <c r="F5566" s="14"/>
      <c r="G5566" s="13"/>
      <c r="H5566" s="14"/>
      <c r="I5566" s="13"/>
      <c r="J5566" s="13"/>
      <c r="K5566" s="13"/>
      <c r="L5566" s="13"/>
      <c r="M5566" s="13"/>
      <c r="N5566" s="13"/>
      <c r="O5566" s="13" t="str">
        <f t="shared" si="1"/>
        <v/>
      </c>
    </row>
    <row r="5567" ht="22.5" customHeight="1">
      <c r="B5567" s="13"/>
      <c r="C5567" s="13"/>
      <c r="D5567" s="13"/>
      <c r="E5567" s="14"/>
      <c r="F5567" s="14"/>
      <c r="G5567" s="13"/>
      <c r="H5567" s="14"/>
      <c r="I5567" s="13"/>
      <c r="J5567" s="13"/>
      <c r="K5567" s="13"/>
      <c r="L5567" s="13"/>
      <c r="M5567" s="13"/>
      <c r="N5567" s="13"/>
      <c r="O5567" s="13" t="str">
        <f t="shared" si="1"/>
        <v/>
      </c>
    </row>
    <row r="5568" ht="22.5" customHeight="1">
      <c r="B5568" s="13"/>
      <c r="C5568" s="13"/>
      <c r="D5568" s="13"/>
      <c r="E5568" s="14"/>
      <c r="F5568" s="14"/>
      <c r="G5568" s="13"/>
      <c r="H5568" s="14"/>
      <c r="I5568" s="13"/>
      <c r="J5568" s="13"/>
      <c r="K5568" s="13"/>
      <c r="L5568" s="13"/>
      <c r="M5568" s="13"/>
      <c r="N5568" s="13"/>
      <c r="O5568" s="13" t="str">
        <f t="shared" si="1"/>
        <v/>
      </c>
    </row>
    <row r="5569" ht="22.5" customHeight="1">
      <c r="B5569" s="13"/>
      <c r="C5569" s="13"/>
      <c r="D5569" s="13"/>
      <c r="E5569" s="14"/>
      <c r="F5569" s="14"/>
      <c r="G5569" s="13"/>
      <c r="H5569" s="14"/>
      <c r="I5569" s="13"/>
      <c r="J5569" s="13"/>
      <c r="K5569" s="13"/>
      <c r="L5569" s="13"/>
      <c r="M5569" s="13"/>
      <c r="N5569" s="13"/>
      <c r="O5569" s="13" t="str">
        <f t="shared" si="1"/>
        <v/>
      </c>
    </row>
    <row r="5570" ht="22.5" customHeight="1">
      <c r="B5570" s="13"/>
      <c r="C5570" s="13"/>
      <c r="D5570" s="13"/>
      <c r="E5570" s="14"/>
      <c r="F5570" s="14"/>
      <c r="G5570" s="13"/>
      <c r="H5570" s="14"/>
      <c r="I5570" s="13"/>
      <c r="J5570" s="13"/>
      <c r="K5570" s="13"/>
      <c r="L5570" s="13"/>
      <c r="M5570" s="13"/>
      <c r="N5570" s="13"/>
      <c r="O5570" s="13" t="str">
        <f t="shared" si="1"/>
        <v/>
      </c>
    </row>
    <row r="5571" ht="22.5" customHeight="1">
      <c r="B5571" s="13"/>
      <c r="C5571" s="13"/>
      <c r="D5571" s="13"/>
      <c r="E5571" s="14"/>
      <c r="F5571" s="14"/>
      <c r="G5571" s="13"/>
      <c r="H5571" s="14"/>
      <c r="I5571" s="13"/>
      <c r="J5571" s="13"/>
      <c r="K5571" s="13"/>
      <c r="L5571" s="13"/>
      <c r="M5571" s="13"/>
      <c r="N5571" s="13"/>
      <c r="O5571" s="13" t="str">
        <f t="shared" si="1"/>
        <v/>
      </c>
    </row>
    <row r="5572" ht="22.5" customHeight="1">
      <c r="B5572" s="13"/>
      <c r="C5572" s="13"/>
      <c r="D5572" s="13"/>
      <c r="E5572" s="14"/>
      <c r="F5572" s="14"/>
      <c r="G5572" s="13"/>
      <c r="H5572" s="14"/>
      <c r="I5572" s="13"/>
      <c r="J5572" s="13"/>
      <c r="K5572" s="13"/>
      <c r="L5572" s="13"/>
      <c r="M5572" s="13"/>
      <c r="N5572" s="13"/>
      <c r="O5572" s="13" t="str">
        <f t="shared" si="1"/>
        <v/>
      </c>
    </row>
    <row r="5573" ht="22.5" customHeight="1">
      <c r="B5573" s="13"/>
      <c r="C5573" s="13"/>
      <c r="D5573" s="13"/>
      <c r="E5573" s="14"/>
      <c r="F5573" s="14"/>
      <c r="G5573" s="13"/>
      <c r="H5573" s="14"/>
      <c r="I5573" s="13"/>
      <c r="J5573" s="13"/>
      <c r="K5573" s="13"/>
      <c r="L5573" s="13"/>
      <c r="M5573" s="13"/>
      <c r="N5573" s="13"/>
      <c r="O5573" s="13" t="str">
        <f t="shared" si="1"/>
        <v/>
      </c>
    </row>
    <row r="5574" ht="22.5" customHeight="1">
      <c r="B5574" s="13"/>
      <c r="C5574" s="13"/>
      <c r="D5574" s="13"/>
      <c r="E5574" s="14"/>
      <c r="F5574" s="14"/>
      <c r="G5574" s="13"/>
      <c r="H5574" s="14"/>
      <c r="I5574" s="13"/>
      <c r="J5574" s="13"/>
      <c r="K5574" s="13"/>
      <c r="L5574" s="13"/>
      <c r="M5574" s="13"/>
      <c r="N5574" s="13"/>
      <c r="O5574" s="13" t="str">
        <f t="shared" si="1"/>
        <v/>
      </c>
    </row>
    <row r="5575" ht="22.5" customHeight="1">
      <c r="B5575" s="13"/>
      <c r="C5575" s="13"/>
      <c r="D5575" s="13"/>
      <c r="E5575" s="14"/>
      <c r="F5575" s="14"/>
      <c r="G5575" s="13"/>
      <c r="H5575" s="14"/>
      <c r="I5575" s="13"/>
      <c r="J5575" s="13"/>
      <c r="K5575" s="13"/>
      <c r="L5575" s="13"/>
      <c r="M5575" s="13"/>
      <c r="N5575" s="13"/>
      <c r="O5575" s="13" t="str">
        <f t="shared" si="1"/>
        <v/>
      </c>
    </row>
    <row r="5576" ht="22.5" customHeight="1">
      <c r="B5576" s="13"/>
      <c r="C5576" s="13"/>
      <c r="D5576" s="13"/>
      <c r="E5576" s="14"/>
      <c r="F5576" s="14"/>
      <c r="G5576" s="13"/>
      <c r="H5576" s="14"/>
      <c r="I5576" s="13"/>
      <c r="J5576" s="13"/>
      <c r="K5576" s="13"/>
      <c r="L5576" s="13"/>
      <c r="M5576" s="13"/>
      <c r="N5576" s="13"/>
      <c r="O5576" s="13" t="str">
        <f t="shared" si="1"/>
        <v/>
      </c>
    </row>
    <row r="5577" ht="22.5" customHeight="1">
      <c r="B5577" s="13"/>
      <c r="C5577" s="13"/>
      <c r="D5577" s="13"/>
      <c r="E5577" s="14"/>
      <c r="F5577" s="14"/>
      <c r="G5577" s="13"/>
      <c r="H5577" s="14"/>
      <c r="I5577" s="13"/>
      <c r="J5577" s="13"/>
      <c r="K5577" s="13"/>
      <c r="L5577" s="13"/>
      <c r="M5577" s="13"/>
      <c r="N5577" s="13"/>
      <c r="O5577" s="13" t="str">
        <f t="shared" si="1"/>
        <v/>
      </c>
    </row>
    <row r="5578" ht="22.5" customHeight="1">
      <c r="B5578" s="13"/>
      <c r="C5578" s="13"/>
      <c r="D5578" s="13"/>
      <c r="E5578" s="14"/>
      <c r="F5578" s="14"/>
      <c r="G5578" s="13"/>
      <c r="H5578" s="14"/>
      <c r="I5578" s="13"/>
      <c r="J5578" s="13"/>
      <c r="K5578" s="13"/>
      <c r="L5578" s="13"/>
      <c r="M5578" s="13"/>
      <c r="N5578" s="13"/>
      <c r="O5578" s="13" t="str">
        <f t="shared" si="1"/>
        <v/>
      </c>
    </row>
    <row r="5579" ht="22.5" customHeight="1">
      <c r="B5579" s="13"/>
      <c r="C5579" s="13"/>
      <c r="D5579" s="13"/>
      <c r="E5579" s="14"/>
      <c r="F5579" s="14"/>
      <c r="G5579" s="13"/>
      <c r="H5579" s="14"/>
      <c r="I5579" s="13"/>
      <c r="J5579" s="13"/>
      <c r="K5579" s="13"/>
      <c r="L5579" s="13"/>
      <c r="M5579" s="13"/>
      <c r="N5579" s="13"/>
      <c r="O5579" s="13" t="str">
        <f t="shared" si="1"/>
        <v/>
      </c>
    </row>
    <row r="5580" ht="22.5" customHeight="1">
      <c r="B5580" s="13"/>
      <c r="C5580" s="13"/>
      <c r="D5580" s="13"/>
      <c r="E5580" s="14"/>
      <c r="F5580" s="14"/>
      <c r="G5580" s="13"/>
      <c r="H5580" s="14"/>
      <c r="I5580" s="13"/>
      <c r="J5580" s="13"/>
      <c r="K5580" s="13"/>
      <c r="L5580" s="13"/>
      <c r="M5580" s="13"/>
      <c r="N5580" s="13"/>
      <c r="O5580" s="13" t="str">
        <f t="shared" si="1"/>
        <v/>
      </c>
    </row>
    <row r="5581" ht="22.5" customHeight="1">
      <c r="B5581" s="13"/>
      <c r="C5581" s="13"/>
      <c r="D5581" s="13"/>
      <c r="E5581" s="14"/>
      <c r="F5581" s="14"/>
      <c r="G5581" s="13"/>
      <c r="H5581" s="14"/>
      <c r="I5581" s="13"/>
      <c r="J5581" s="13"/>
      <c r="K5581" s="13"/>
      <c r="L5581" s="13"/>
      <c r="M5581" s="13"/>
      <c r="N5581" s="13"/>
      <c r="O5581" s="13" t="str">
        <f t="shared" si="1"/>
        <v/>
      </c>
    </row>
    <row r="5582" ht="22.5" customHeight="1">
      <c r="B5582" s="13"/>
      <c r="C5582" s="13"/>
      <c r="D5582" s="13"/>
      <c r="E5582" s="14"/>
      <c r="F5582" s="14"/>
      <c r="G5582" s="13"/>
      <c r="H5582" s="14"/>
      <c r="I5582" s="13"/>
      <c r="J5582" s="13"/>
      <c r="K5582" s="13"/>
      <c r="L5582" s="13"/>
      <c r="M5582" s="13"/>
      <c r="N5582" s="13"/>
      <c r="O5582" s="13" t="str">
        <f t="shared" si="1"/>
        <v/>
      </c>
    </row>
    <row r="5583" ht="22.5" customHeight="1">
      <c r="B5583" s="13"/>
      <c r="C5583" s="13"/>
      <c r="D5583" s="13"/>
      <c r="E5583" s="14"/>
      <c r="F5583" s="14"/>
      <c r="G5583" s="13"/>
      <c r="H5583" s="14"/>
      <c r="I5583" s="13"/>
      <c r="J5583" s="13"/>
      <c r="K5583" s="13"/>
      <c r="L5583" s="13"/>
      <c r="M5583" s="13"/>
      <c r="N5583" s="13"/>
      <c r="O5583" s="13" t="str">
        <f t="shared" si="1"/>
        <v/>
      </c>
    </row>
    <row r="5584" ht="22.5" customHeight="1">
      <c r="B5584" s="13"/>
      <c r="C5584" s="13"/>
      <c r="D5584" s="13"/>
      <c r="E5584" s="14"/>
      <c r="F5584" s="14"/>
      <c r="G5584" s="13"/>
      <c r="H5584" s="14"/>
      <c r="I5584" s="13"/>
      <c r="J5584" s="13"/>
      <c r="K5584" s="13"/>
      <c r="L5584" s="13"/>
      <c r="M5584" s="13"/>
      <c r="N5584" s="13"/>
      <c r="O5584" s="13" t="str">
        <f t="shared" si="1"/>
        <v/>
      </c>
    </row>
    <row r="5585" ht="22.5" customHeight="1">
      <c r="B5585" s="13"/>
      <c r="C5585" s="13"/>
      <c r="D5585" s="13"/>
      <c r="E5585" s="14"/>
      <c r="F5585" s="14"/>
      <c r="G5585" s="13"/>
      <c r="H5585" s="14"/>
      <c r="I5585" s="13"/>
      <c r="J5585" s="13"/>
      <c r="K5585" s="13"/>
      <c r="L5585" s="13"/>
      <c r="M5585" s="13"/>
      <c r="N5585" s="13"/>
      <c r="O5585" s="13" t="str">
        <f t="shared" si="1"/>
        <v/>
      </c>
    </row>
    <row r="5586" ht="22.5" customHeight="1">
      <c r="B5586" s="13"/>
      <c r="C5586" s="13"/>
      <c r="D5586" s="13"/>
      <c r="E5586" s="14"/>
      <c r="F5586" s="14"/>
      <c r="G5586" s="13"/>
      <c r="H5586" s="14"/>
      <c r="I5586" s="13"/>
      <c r="J5586" s="13"/>
      <c r="K5586" s="13"/>
      <c r="L5586" s="13"/>
      <c r="M5586" s="13"/>
      <c r="N5586" s="13"/>
      <c r="O5586" s="13" t="str">
        <f t="shared" si="1"/>
        <v/>
      </c>
    </row>
    <row r="5587" ht="22.5" customHeight="1">
      <c r="B5587" s="13"/>
      <c r="C5587" s="13"/>
      <c r="D5587" s="13"/>
      <c r="E5587" s="14"/>
      <c r="F5587" s="14"/>
      <c r="G5587" s="13"/>
      <c r="H5587" s="14"/>
      <c r="I5587" s="13"/>
      <c r="J5587" s="13"/>
      <c r="K5587" s="13"/>
      <c r="L5587" s="13"/>
      <c r="M5587" s="13"/>
      <c r="N5587" s="13"/>
      <c r="O5587" s="13" t="str">
        <f t="shared" si="1"/>
        <v/>
      </c>
    </row>
    <row r="5588" ht="22.5" customHeight="1">
      <c r="B5588" s="13"/>
      <c r="C5588" s="13"/>
      <c r="D5588" s="13"/>
      <c r="E5588" s="14"/>
      <c r="F5588" s="14"/>
      <c r="G5588" s="13"/>
      <c r="H5588" s="14"/>
      <c r="I5588" s="13"/>
      <c r="J5588" s="13"/>
      <c r="K5588" s="13"/>
      <c r="L5588" s="13"/>
      <c r="M5588" s="13"/>
      <c r="N5588" s="13"/>
      <c r="O5588" s="13" t="str">
        <f t="shared" si="1"/>
        <v/>
      </c>
    </row>
    <row r="5589" ht="22.5" customHeight="1">
      <c r="B5589" s="13"/>
      <c r="C5589" s="13"/>
      <c r="D5589" s="13"/>
      <c r="E5589" s="14"/>
      <c r="F5589" s="14"/>
      <c r="G5589" s="13"/>
      <c r="H5589" s="14"/>
      <c r="I5589" s="13"/>
      <c r="J5589" s="13"/>
      <c r="K5589" s="13"/>
      <c r="L5589" s="13"/>
      <c r="M5589" s="13"/>
      <c r="N5589" s="13"/>
      <c r="O5589" s="13" t="str">
        <f t="shared" si="1"/>
        <v/>
      </c>
    </row>
    <row r="5590" ht="22.5" customHeight="1">
      <c r="B5590" s="13"/>
      <c r="C5590" s="13"/>
      <c r="D5590" s="13"/>
      <c r="E5590" s="14"/>
      <c r="F5590" s="14"/>
      <c r="G5590" s="13"/>
      <c r="H5590" s="14"/>
      <c r="I5590" s="13"/>
      <c r="J5590" s="13"/>
      <c r="K5590" s="13"/>
      <c r="L5590" s="13"/>
      <c r="M5590" s="13"/>
      <c r="N5590" s="13"/>
      <c r="O5590" s="13" t="str">
        <f t="shared" si="1"/>
        <v/>
      </c>
    </row>
    <row r="5591" ht="22.5" customHeight="1">
      <c r="B5591" s="13"/>
      <c r="C5591" s="13"/>
      <c r="D5591" s="13"/>
      <c r="E5591" s="14"/>
      <c r="F5591" s="14"/>
      <c r="G5591" s="13"/>
      <c r="H5591" s="14"/>
      <c r="I5591" s="13"/>
      <c r="J5591" s="13"/>
      <c r="K5591" s="13"/>
      <c r="L5591" s="13"/>
      <c r="M5591" s="13"/>
      <c r="N5591" s="13"/>
      <c r="O5591" s="13" t="str">
        <f t="shared" si="1"/>
        <v/>
      </c>
    </row>
    <row r="5592" ht="22.5" customHeight="1">
      <c r="B5592" s="13"/>
      <c r="C5592" s="13"/>
      <c r="D5592" s="13"/>
      <c r="E5592" s="14"/>
      <c r="F5592" s="14"/>
      <c r="G5592" s="13"/>
      <c r="H5592" s="14"/>
      <c r="I5592" s="13"/>
      <c r="J5592" s="13"/>
      <c r="K5592" s="13"/>
      <c r="L5592" s="13"/>
      <c r="M5592" s="13"/>
      <c r="N5592" s="13"/>
      <c r="O5592" s="13" t="str">
        <f t="shared" si="1"/>
        <v/>
      </c>
    </row>
    <row r="5593" ht="22.5" customHeight="1">
      <c r="B5593" s="13"/>
      <c r="C5593" s="13"/>
      <c r="D5593" s="13"/>
      <c r="E5593" s="14"/>
      <c r="F5593" s="14"/>
      <c r="G5593" s="13"/>
      <c r="H5593" s="14"/>
      <c r="I5593" s="13"/>
      <c r="J5593" s="13"/>
      <c r="K5593" s="13"/>
      <c r="L5593" s="13"/>
      <c r="M5593" s="13"/>
      <c r="N5593" s="13"/>
      <c r="O5593" s="13" t="str">
        <f t="shared" si="1"/>
        <v/>
      </c>
    </row>
    <row r="5594" ht="22.5" customHeight="1">
      <c r="B5594" s="13"/>
      <c r="C5594" s="13"/>
      <c r="D5594" s="13"/>
      <c r="E5594" s="14"/>
      <c r="F5594" s="14"/>
      <c r="G5594" s="13"/>
      <c r="H5594" s="14"/>
      <c r="I5594" s="13"/>
      <c r="J5594" s="13"/>
      <c r="K5594" s="13"/>
      <c r="L5594" s="13"/>
      <c r="M5594" s="13"/>
      <c r="N5594" s="13"/>
      <c r="O5594" s="13" t="str">
        <f t="shared" si="1"/>
        <v/>
      </c>
    </row>
    <row r="5595" ht="22.5" customHeight="1">
      <c r="B5595" s="13"/>
      <c r="C5595" s="13"/>
      <c r="D5595" s="13"/>
      <c r="E5595" s="14"/>
      <c r="F5595" s="14"/>
      <c r="G5595" s="13"/>
      <c r="H5595" s="14"/>
      <c r="I5595" s="13"/>
      <c r="J5595" s="13"/>
      <c r="K5595" s="13"/>
      <c r="L5595" s="13"/>
      <c r="M5595" s="13"/>
      <c r="N5595" s="13"/>
      <c r="O5595" s="13" t="str">
        <f t="shared" si="1"/>
        <v/>
      </c>
    </row>
    <row r="5596" ht="22.5" customHeight="1">
      <c r="B5596" s="13"/>
      <c r="C5596" s="13"/>
      <c r="D5596" s="13"/>
      <c r="E5596" s="14"/>
      <c r="F5596" s="14"/>
      <c r="G5596" s="13"/>
      <c r="H5596" s="14"/>
      <c r="I5596" s="13"/>
      <c r="J5596" s="13"/>
      <c r="K5596" s="13"/>
      <c r="L5596" s="13"/>
      <c r="M5596" s="13"/>
      <c r="N5596" s="13"/>
      <c r="O5596" s="13" t="str">
        <f t="shared" si="1"/>
        <v/>
      </c>
    </row>
    <row r="5597" ht="22.5" customHeight="1">
      <c r="B5597" s="13"/>
      <c r="C5597" s="13"/>
      <c r="D5597" s="13"/>
      <c r="E5597" s="14"/>
      <c r="F5597" s="14"/>
      <c r="G5597" s="13"/>
      <c r="H5597" s="14"/>
      <c r="I5597" s="13"/>
      <c r="J5597" s="13"/>
      <c r="K5597" s="13"/>
      <c r="L5597" s="13"/>
      <c r="M5597" s="13"/>
      <c r="N5597" s="13"/>
      <c r="O5597" s="13" t="str">
        <f t="shared" si="1"/>
        <v/>
      </c>
    </row>
    <row r="5598" ht="22.5" customHeight="1">
      <c r="B5598" s="13"/>
      <c r="C5598" s="13"/>
      <c r="D5598" s="13"/>
      <c r="E5598" s="14"/>
      <c r="F5598" s="14"/>
      <c r="G5598" s="13"/>
      <c r="H5598" s="14"/>
      <c r="I5598" s="13"/>
      <c r="J5598" s="13"/>
      <c r="K5598" s="13"/>
      <c r="L5598" s="13"/>
      <c r="M5598" s="13"/>
      <c r="N5598" s="13"/>
      <c r="O5598" s="13" t="str">
        <f t="shared" si="1"/>
        <v/>
      </c>
    </row>
    <row r="5599" ht="22.5" customHeight="1">
      <c r="B5599" s="13"/>
      <c r="C5599" s="13"/>
      <c r="D5599" s="13"/>
      <c r="E5599" s="14"/>
      <c r="F5599" s="14"/>
      <c r="G5599" s="13"/>
      <c r="H5599" s="14"/>
      <c r="I5599" s="13"/>
      <c r="J5599" s="13"/>
      <c r="K5599" s="13"/>
      <c r="L5599" s="13"/>
      <c r="M5599" s="13"/>
      <c r="N5599" s="13"/>
      <c r="O5599" s="13" t="str">
        <f t="shared" si="1"/>
        <v/>
      </c>
    </row>
    <row r="5600" ht="22.5" customHeight="1">
      <c r="B5600" s="13"/>
      <c r="C5600" s="13"/>
      <c r="D5600" s="13"/>
      <c r="E5600" s="14"/>
      <c r="F5600" s="14"/>
      <c r="G5600" s="13"/>
      <c r="H5600" s="14"/>
      <c r="I5600" s="13"/>
      <c r="J5600" s="13"/>
      <c r="K5600" s="13"/>
      <c r="L5600" s="13"/>
      <c r="M5600" s="13"/>
      <c r="N5600" s="13"/>
      <c r="O5600" s="13" t="str">
        <f t="shared" si="1"/>
        <v/>
      </c>
    </row>
    <row r="5601" ht="22.5" customHeight="1">
      <c r="B5601" s="13"/>
      <c r="C5601" s="13"/>
      <c r="D5601" s="13"/>
      <c r="E5601" s="14"/>
      <c r="F5601" s="14"/>
      <c r="G5601" s="13"/>
      <c r="H5601" s="14"/>
      <c r="I5601" s="13"/>
      <c r="J5601" s="13"/>
      <c r="K5601" s="13"/>
      <c r="L5601" s="13"/>
      <c r="M5601" s="13"/>
      <c r="N5601" s="13"/>
      <c r="O5601" s="13" t="str">
        <f t="shared" si="1"/>
        <v/>
      </c>
    </row>
    <row r="5602" ht="22.5" customHeight="1">
      <c r="B5602" s="13"/>
      <c r="C5602" s="13"/>
      <c r="D5602" s="13"/>
      <c r="E5602" s="14"/>
      <c r="F5602" s="14"/>
      <c r="G5602" s="13"/>
      <c r="H5602" s="14"/>
      <c r="I5602" s="13"/>
      <c r="J5602" s="13"/>
      <c r="K5602" s="13"/>
      <c r="L5602" s="13"/>
      <c r="M5602" s="13"/>
      <c r="N5602" s="13"/>
      <c r="O5602" s="13" t="str">
        <f t="shared" si="1"/>
        <v/>
      </c>
    </row>
    <row r="5603" ht="22.5" customHeight="1">
      <c r="B5603" s="13"/>
      <c r="C5603" s="13"/>
      <c r="D5603" s="13"/>
      <c r="E5603" s="14"/>
      <c r="F5603" s="14"/>
      <c r="G5603" s="13"/>
      <c r="H5603" s="14"/>
      <c r="I5603" s="13"/>
      <c r="J5603" s="13"/>
      <c r="K5603" s="13"/>
      <c r="L5603" s="13"/>
      <c r="M5603" s="13"/>
      <c r="N5603" s="13"/>
      <c r="O5603" s="13" t="str">
        <f t="shared" si="1"/>
        <v/>
      </c>
    </row>
    <row r="5604" ht="22.5" customHeight="1">
      <c r="B5604" s="13"/>
      <c r="C5604" s="13"/>
      <c r="D5604" s="13"/>
      <c r="E5604" s="14"/>
      <c r="F5604" s="14"/>
      <c r="G5604" s="13"/>
      <c r="H5604" s="14"/>
      <c r="I5604" s="13"/>
      <c r="J5604" s="13"/>
      <c r="K5604" s="13"/>
      <c r="L5604" s="13"/>
      <c r="M5604" s="13"/>
      <c r="N5604" s="13"/>
      <c r="O5604" s="13" t="str">
        <f t="shared" si="1"/>
        <v/>
      </c>
    </row>
    <row r="5605" ht="22.5" customHeight="1">
      <c r="B5605" s="13"/>
      <c r="C5605" s="13"/>
      <c r="D5605" s="13"/>
      <c r="E5605" s="14"/>
      <c r="F5605" s="14"/>
      <c r="G5605" s="13"/>
      <c r="H5605" s="14"/>
      <c r="I5605" s="13"/>
      <c r="J5605" s="13"/>
      <c r="K5605" s="13"/>
      <c r="L5605" s="13"/>
      <c r="M5605" s="13"/>
      <c r="N5605" s="13"/>
      <c r="O5605" s="13" t="str">
        <f t="shared" si="1"/>
        <v/>
      </c>
    </row>
    <row r="5606" ht="22.5" customHeight="1">
      <c r="B5606" s="13"/>
      <c r="C5606" s="13"/>
      <c r="D5606" s="13"/>
      <c r="E5606" s="14"/>
      <c r="F5606" s="14"/>
      <c r="G5606" s="13"/>
      <c r="H5606" s="14"/>
      <c r="I5606" s="13"/>
      <c r="J5606" s="13"/>
      <c r="K5606" s="13"/>
      <c r="L5606" s="13"/>
      <c r="M5606" s="13"/>
      <c r="N5606" s="13"/>
      <c r="O5606" s="13" t="str">
        <f t="shared" si="1"/>
        <v/>
      </c>
    </row>
    <row r="5607" ht="22.5" customHeight="1">
      <c r="B5607" s="13"/>
      <c r="C5607" s="13"/>
      <c r="D5607" s="13"/>
      <c r="E5607" s="14"/>
      <c r="F5607" s="14"/>
      <c r="G5607" s="13"/>
      <c r="H5607" s="14"/>
      <c r="I5607" s="13"/>
      <c r="J5607" s="13"/>
      <c r="K5607" s="13"/>
      <c r="L5607" s="13"/>
      <c r="M5607" s="13"/>
      <c r="N5607" s="13"/>
      <c r="O5607" s="13" t="str">
        <f t="shared" si="1"/>
        <v/>
      </c>
    </row>
    <row r="5608" ht="22.5" customHeight="1">
      <c r="B5608" s="13"/>
      <c r="C5608" s="13"/>
      <c r="D5608" s="13"/>
      <c r="E5608" s="14"/>
      <c r="F5608" s="14"/>
      <c r="G5608" s="13"/>
      <c r="H5608" s="14"/>
      <c r="I5608" s="13"/>
      <c r="J5608" s="13"/>
      <c r="K5608" s="13"/>
      <c r="L5608" s="13"/>
      <c r="M5608" s="13"/>
      <c r="N5608" s="13"/>
      <c r="O5608" s="13" t="str">
        <f t="shared" si="1"/>
        <v/>
      </c>
    </row>
    <row r="5609" ht="22.5" customHeight="1">
      <c r="B5609" s="13"/>
      <c r="C5609" s="13"/>
      <c r="D5609" s="13"/>
      <c r="E5609" s="14"/>
      <c r="F5609" s="14"/>
      <c r="G5609" s="13"/>
      <c r="H5609" s="14"/>
      <c r="I5609" s="13"/>
      <c r="J5609" s="13"/>
      <c r="K5609" s="13"/>
      <c r="L5609" s="13"/>
      <c r="M5609" s="13"/>
      <c r="N5609" s="13"/>
      <c r="O5609" s="13" t="str">
        <f t="shared" si="1"/>
        <v/>
      </c>
    </row>
    <row r="5610" ht="22.5" customHeight="1">
      <c r="B5610" s="13"/>
      <c r="C5610" s="13"/>
      <c r="D5610" s="13"/>
      <c r="E5610" s="14"/>
      <c r="F5610" s="14"/>
      <c r="G5610" s="13"/>
      <c r="H5610" s="14"/>
      <c r="I5610" s="13"/>
      <c r="J5610" s="13"/>
      <c r="K5610" s="13"/>
      <c r="L5610" s="13"/>
      <c r="M5610" s="13"/>
      <c r="N5610" s="13"/>
      <c r="O5610" s="13" t="str">
        <f t="shared" si="1"/>
        <v/>
      </c>
    </row>
    <row r="5611" ht="22.5" customHeight="1">
      <c r="B5611" s="13"/>
      <c r="C5611" s="13"/>
      <c r="D5611" s="13"/>
      <c r="E5611" s="14"/>
      <c r="F5611" s="14"/>
      <c r="G5611" s="13"/>
      <c r="H5611" s="14"/>
      <c r="I5611" s="13"/>
      <c r="J5611" s="13"/>
      <c r="K5611" s="13"/>
      <c r="L5611" s="13"/>
      <c r="M5611" s="13"/>
      <c r="N5611" s="13"/>
      <c r="O5611" s="13" t="str">
        <f t="shared" si="1"/>
        <v/>
      </c>
    </row>
    <row r="5612" ht="22.5" customHeight="1">
      <c r="B5612" s="13"/>
      <c r="C5612" s="13"/>
      <c r="D5612" s="13"/>
      <c r="E5612" s="14"/>
      <c r="F5612" s="14"/>
      <c r="G5612" s="13"/>
      <c r="H5612" s="14"/>
      <c r="I5612" s="13"/>
      <c r="J5612" s="13"/>
      <c r="K5612" s="13"/>
      <c r="L5612" s="13"/>
      <c r="M5612" s="13"/>
      <c r="N5612" s="13"/>
      <c r="O5612" s="13" t="str">
        <f t="shared" si="1"/>
        <v/>
      </c>
    </row>
    <row r="5613" ht="22.5" customHeight="1">
      <c r="B5613" s="13"/>
      <c r="C5613" s="13"/>
      <c r="D5613" s="13"/>
      <c r="E5613" s="14"/>
      <c r="F5613" s="14"/>
      <c r="G5613" s="13"/>
      <c r="H5613" s="14"/>
      <c r="I5613" s="13"/>
      <c r="J5613" s="13"/>
      <c r="K5613" s="13"/>
      <c r="L5613" s="13"/>
      <c r="M5613" s="13"/>
      <c r="N5613" s="13"/>
      <c r="O5613" s="13" t="str">
        <f t="shared" si="1"/>
        <v/>
      </c>
    </row>
    <row r="5614" ht="22.5" customHeight="1">
      <c r="B5614" s="13"/>
      <c r="C5614" s="13"/>
      <c r="D5614" s="13"/>
      <c r="E5614" s="14"/>
      <c r="F5614" s="14"/>
      <c r="G5614" s="13"/>
      <c r="H5614" s="14"/>
      <c r="I5614" s="13"/>
      <c r="J5614" s="13"/>
      <c r="K5614" s="13"/>
      <c r="L5614" s="13"/>
      <c r="M5614" s="13"/>
      <c r="N5614" s="13"/>
      <c r="O5614" s="13" t="str">
        <f t="shared" si="1"/>
        <v/>
      </c>
    </row>
    <row r="5615" ht="22.5" customHeight="1">
      <c r="B5615" s="13"/>
      <c r="C5615" s="13"/>
      <c r="D5615" s="13"/>
      <c r="E5615" s="14"/>
      <c r="F5615" s="14"/>
      <c r="G5615" s="13"/>
      <c r="H5615" s="14"/>
      <c r="I5615" s="13"/>
      <c r="J5615" s="13"/>
      <c r="K5615" s="13"/>
      <c r="L5615" s="13"/>
      <c r="M5615" s="13"/>
      <c r="N5615" s="13"/>
      <c r="O5615" s="13" t="str">
        <f t="shared" si="1"/>
        <v/>
      </c>
    </row>
    <row r="5616" ht="22.5" customHeight="1">
      <c r="B5616" s="13"/>
      <c r="C5616" s="13"/>
      <c r="D5616" s="13"/>
      <c r="E5616" s="14"/>
      <c r="F5616" s="14"/>
      <c r="G5616" s="13"/>
      <c r="H5616" s="14"/>
      <c r="I5616" s="13"/>
      <c r="J5616" s="13"/>
      <c r="K5616" s="13"/>
      <c r="L5616" s="13"/>
      <c r="M5616" s="13"/>
      <c r="N5616" s="13"/>
      <c r="O5616" s="13" t="str">
        <f t="shared" si="1"/>
        <v/>
      </c>
    </row>
    <row r="5617" ht="22.5" customHeight="1">
      <c r="B5617" s="13"/>
      <c r="C5617" s="13"/>
      <c r="D5617" s="13"/>
      <c r="E5617" s="14"/>
      <c r="F5617" s="14"/>
      <c r="G5617" s="13"/>
      <c r="H5617" s="14"/>
      <c r="I5617" s="13"/>
      <c r="J5617" s="13"/>
      <c r="K5617" s="13"/>
      <c r="L5617" s="13"/>
      <c r="M5617" s="13"/>
      <c r="N5617" s="13"/>
      <c r="O5617" s="13" t="str">
        <f t="shared" si="1"/>
        <v/>
      </c>
    </row>
    <row r="5618" ht="22.5" customHeight="1">
      <c r="B5618" s="13"/>
      <c r="C5618" s="13"/>
      <c r="D5618" s="13"/>
      <c r="E5618" s="14"/>
      <c r="F5618" s="14"/>
      <c r="G5618" s="13"/>
      <c r="H5618" s="14"/>
      <c r="I5618" s="13"/>
      <c r="J5618" s="13"/>
      <c r="K5618" s="13"/>
      <c r="L5618" s="13"/>
      <c r="M5618" s="13"/>
      <c r="N5618" s="13"/>
      <c r="O5618" s="13" t="str">
        <f t="shared" si="1"/>
        <v/>
      </c>
    </row>
    <row r="5619" ht="22.5" customHeight="1">
      <c r="B5619" s="13"/>
      <c r="C5619" s="13"/>
      <c r="D5619" s="13"/>
      <c r="E5619" s="14"/>
      <c r="F5619" s="14"/>
      <c r="G5619" s="13"/>
      <c r="H5619" s="14"/>
      <c r="I5619" s="13"/>
      <c r="J5619" s="13"/>
      <c r="K5619" s="13"/>
      <c r="L5619" s="13"/>
      <c r="M5619" s="13"/>
      <c r="N5619" s="13"/>
      <c r="O5619" s="13" t="str">
        <f t="shared" si="1"/>
        <v/>
      </c>
    </row>
    <row r="5620" ht="22.5" customHeight="1">
      <c r="B5620" s="13"/>
      <c r="C5620" s="13"/>
      <c r="D5620" s="13"/>
      <c r="E5620" s="14"/>
      <c r="F5620" s="14"/>
      <c r="G5620" s="13"/>
      <c r="H5620" s="14"/>
      <c r="I5620" s="13"/>
      <c r="J5620" s="13"/>
      <c r="K5620" s="13"/>
      <c r="L5620" s="13"/>
      <c r="M5620" s="13"/>
      <c r="N5620" s="13"/>
      <c r="O5620" s="13" t="str">
        <f t="shared" si="1"/>
        <v/>
      </c>
    </row>
    <row r="5621" ht="22.5" customHeight="1">
      <c r="B5621" s="13"/>
      <c r="C5621" s="13"/>
      <c r="D5621" s="13"/>
      <c r="E5621" s="14"/>
      <c r="F5621" s="14"/>
      <c r="G5621" s="13"/>
      <c r="H5621" s="14"/>
      <c r="I5621" s="13"/>
      <c r="J5621" s="13"/>
      <c r="K5621" s="13"/>
      <c r="L5621" s="13"/>
      <c r="M5621" s="13"/>
      <c r="N5621" s="13"/>
      <c r="O5621" s="13" t="str">
        <f t="shared" si="1"/>
        <v/>
      </c>
    </row>
    <row r="5622" ht="22.5" customHeight="1">
      <c r="B5622" s="13"/>
      <c r="C5622" s="13"/>
      <c r="D5622" s="13"/>
      <c r="E5622" s="14"/>
      <c r="F5622" s="14"/>
      <c r="G5622" s="13"/>
      <c r="H5622" s="14"/>
      <c r="I5622" s="13"/>
      <c r="J5622" s="13"/>
      <c r="K5622" s="13"/>
      <c r="L5622" s="13"/>
      <c r="M5622" s="13"/>
      <c r="N5622" s="13"/>
      <c r="O5622" s="13" t="str">
        <f t="shared" si="1"/>
        <v/>
      </c>
    </row>
    <row r="5623" ht="22.5" customHeight="1">
      <c r="B5623" s="13"/>
      <c r="C5623" s="13"/>
      <c r="D5623" s="13"/>
      <c r="E5623" s="14"/>
      <c r="F5623" s="14"/>
      <c r="G5623" s="13"/>
      <c r="H5623" s="14"/>
      <c r="I5623" s="13"/>
      <c r="J5623" s="13"/>
      <c r="K5623" s="13"/>
      <c r="L5623" s="13"/>
      <c r="M5623" s="13"/>
      <c r="N5623" s="13"/>
      <c r="O5623" s="13" t="str">
        <f t="shared" si="1"/>
        <v/>
      </c>
    </row>
    <row r="5624" ht="22.5" customHeight="1">
      <c r="B5624" s="13"/>
      <c r="C5624" s="13"/>
      <c r="D5624" s="13"/>
      <c r="E5624" s="14"/>
      <c r="F5624" s="14"/>
      <c r="G5624" s="13"/>
      <c r="H5624" s="14"/>
      <c r="I5624" s="13"/>
      <c r="J5624" s="13"/>
      <c r="K5624" s="13"/>
      <c r="L5624" s="13"/>
      <c r="M5624" s="13"/>
      <c r="N5624" s="13"/>
      <c r="O5624" s="13" t="str">
        <f t="shared" si="1"/>
        <v/>
      </c>
    </row>
    <row r="5625" ht="22.5" customHeight="1">
      <c r="B5625" s="13"/>
      <c r="C5625" s="13"/>
      <c r="D5625" s="13"/>
      <c r="E5625" s="14"/>
      <c r="F5625" s="14"/>
      <c r="G5625" s="13"/>
      <c r="H5625" s="14"/>
      <c r="I5625" s="13"/>
      <c r="J5625" s="13"/>
      <c r="K5625" s="13"/>
      <c r="L5625" s="13"/>
      <c r="M5625" s="13"/>
      <c r="N5625" s="13"/>
      <c r="O5625" s="13" t="str">
        <f t="shared" si="1"/>
        <v/>
      </c>
    </row>
    <row r="5626" ht="22.5" customHeight="1">
      <c r="B5626" s="13"/>
      <c r="C5626" s="13"/>
      <c r="D5626" s="13"/>
      <c r="E5626" s="14"/>
      <c r="F5626" s="14"/>
      <c r="G5626" s="13"/>
      <c r="H5626" s="14"/>
      <c r="I5626" s="13"/>
      <c r="J5626" s="13"/>
      <c r="K5626" s="13"/>
      <c r="L5626" s="13"/>
      <c r="M5626" s="13"/>
      <c r="N5626" s="13"/>
      <c r="O5626" s="13" t="str">
        <f t="shared" si="1"/>
        <v/>
      </c>
    </row>
    <row r="5627" ht="22.5" customHeight="1">
      <c r="B5627" s="13"/>
      <c r="C5627" s="13"/>
      <c r="D5627" s="13"/>
      <c r="E5627" s="14"/>
      <c r="F5627" s="14"/>
      <c r="G5627" s="13"/>
      <c r="H5627" s="14"/>
      <c r="I5627" s="13"/>
      <c r="J5627" s="13"/>
      <c r="K5627" s="13"/>
      <c r="L5627" s="13"/>
      <c r="M5627" s="13"/>
      <c r="N5627" s="13"/>
      <c r="O5627" s="13" t="str">
        <f t="shared" si="1"/>
        <v/>
      </c>
    </row>
    <row r="5628" ht="22.5" customHeight="1">
      <c r="B5628" s="13"/>
      <c r="C5628" s="13"/>
      <c r="D5628" s="13"/>
      <c r="E5628" s="14"/>
      <c r="F5628" s="14"/>
      <c r="G5628" s="13"/>
      <c r="H5628" s="14"/>
      <c r="I5628" s="13"/>
      <c r="J5628" s="13"/>
      <c r="K5628" s="13"/>
      <c r="L5628" s="13"/>
      <c r="M5628" s="13"/>
      <c r="N5628" s="13"/>
      <c r="O5628" s="13" t="str">
        <f t="shared" si="1"/>
        <v/>
      </c>
    </row>
    <row r="5629" ht="22.5" customHeight="1">
      <c r="B5629" s="13"/>
      <c r="C5629" s="13"/>
      <c r="D5629" s="13"/>
      <c r="E5629" s="14"/>
      <c r="F5629" s="14"/>
      <c r="G5629" s="13"/>
      <c r="H5629" s="14"/>
      <c r="I5629" s="13"/>
      <c r="J5629" s="13"/>
      <c r="K5629" s="13"/>
      <c r="L5629" s="13"/>
      <c r="M5629" s="13"/>
      <c r="N5629" s="13"/>
      <c r="O5629" s="13" t="str">
        <f t="shared" si="1"/>
        <v/>
      </c>
    </row>
    <row r="5630" ht="22.5" customHeight="1">
      <c r="B5630" s="13"/>
      <c r="C5630" s="13"/>
      <c r="D5630" s="13"/>
      <c r="E5630" s="14"/>
      <c r="F5630" s="14"/>
      <c r="G5630" s="13"/>
      <c r="H5630" s="14"/>
      <c r="I5630" s="13"/>
      <c r="J5630" s="13"/>
      <c r="K5630" s="13"/>
      <c r="L5630" s="13"/>
      <c r="M5630" s="13"/>
      <c r="N5630" s="13"/>
      <c r="O5630" s="13" t="str">
        <f t="shared" si="1"/>
        <v/>
      </c>
    </row>
    <row r="5631" ht="22.5" customHeight="1">
      <c r="B5631" s="13"/>
      <c r="C5631" s="13"/>
      <c r="D5631" s="13"/>
      <c r="E5631" s="14"/>
      <c r="F5631" s="14"/>
      <c r="G5631" s="13"/>
      <c r="H5631" s="14"/>
      <c r="I5631" s="13"/>
      <c r="J5631" s="13"/>
      <c r="K5631" s="13"/>
      <c r="L5631" s="13"/>
      <c r="M5631" s="13"/>
      <c r="N5631" s="13"/>
      <c r="O5631" s="13" t="str">
        <f t="shared" si="1"/>
        <v/>
      </c>
    </row>
    <row r="5632" ht="22.5" customHeight="1">
      <c r="B5632" s="13"/>
      <c r="C5632" s="13"/>
      <c r="D5632" s="13"/>
      <c r="E5632" s="14"/>
      <c r="F5632" s="14"/>
      <c r="G5632" s="13"/>
      <c r="H5632" s="14"/>
      <c r="I5632" s="13"/>
      <c r="J5632" s="13"/>
      <c r="K5632" s="13"/>
      <c r="L5632" s="13"/>
      <c r="M5632" s="13"/>
      <c r="N5632" s="13"/>
      <c r="O5632" s="13" t="str">
        <f t="shared" si="1"/>
        <v/>
      </c>
    </row>
    <row r="5633" ht="22.5" customHeight="1">
      <c r="B5633" s="13"/>
      <c r="C5633" s="13"/>
      <c r="D5633" s="13"/>
      <c r="E5633" s="14"/>
      <c r="F5633" s="14"/>
      <c r="G5633" s="13"/>
      <c r="H5633" s="14"/>
      <c r="I5633" s="13"/>
      <c r="J5633" s="13"/>
      <c r="K5633" s="13"/>
      <c r="L5633" s="13"/>
      <c r="M5633" s="13"/>
      <c r="N5633" s="13"/>
      <c r="O5633" s="13" t="str">
        <f t="shared" si="1"/>
        <v/>
      </c>
    </row>
    <row r="5634" ht="22.5" customHeight="1">
      <c r="B5634" s="13"/>
      <c r="C5634" s="13"/>
      <c r="D5634" s="13"/>
      <c r="E5634" s="14"/>
      <c r="F5634" s="14"/>
      <c r="G5634" s="13"/>
      <c r="H5634" s="14"/>
      <c r="I5634" s="13"/>
      <c r="J5634" s="13"/>
      <c r="K5634" s="13"/>
      <c r="L5634" s="13"/>
      <c r="M5634" s="13"/>
      <c r="N5634" s="13"/>
      <c r="O5634" s="13" t="str">
        <f t="shared" si="1"/>
        <v/>
      </c>
    </row>
    <row r="5635" ht="22.5" customHeight="1">
      <c r="B5635" s="13"/>
      <c r="C5635" s="13"/>
      <c r="D5635" s="13"/>
      <c r="E5635" s="14"/>
      <c r="F5635" s="14"/>
      <c r="G5635" s="13"/>
      <c r="H5635" s="14"/>
      <c r="I5635" s="13"/>
      <c r="J5635" s="13"/>
      <c r="K5635" s="13"/>
      <c r="L5635" s="13"/>
      <c r="M5635" s="13"/>
      <c r="N5635" s="13"/>
      <c r="O5635" s="13" t="str">
        <f t="shared" si="1"/>
        <v/>
      </c>
    </row>
    <row r="5636" ht="22.5" customHeight="1">
      <c r="B5636" s="13"/>
      <c r="C5636" s="13"/>
      <c r="D5636" s="13"/>
      <c r="E5636" s="14"/>
      <c r="F5636" s="14"/>
      <c r="G5636" s="13"/>
      <c r="H5636" s="14"/>
      <c r="I5636" s="13"/>
      <c r="J5636" s="13"/>
      <c r="K5636" s="13"/>
      <c r="L5636" s="13"/>
      <c r="M5636" s="13"/>
      <c r="N5636" s="13"/>
      <c r="O5636" s="13" t="str">
        <f t="shared" si="1"/>
        <v/>
      </c>
    </row>
    <row r="5637" ht="22.5" customHeight="1">
      <c r="B5637" s="13"/>
      <c r="C5637" s="13"/>
      <c r="D5637" s="13"/>
      <c r="E5637" s="14"/>
      <c r="F5637" s="14"/>
      <c r="G5637" s="13"/>
      <c r="H5637" s="14"/>
      <c r="I5637" s="13"/>
      <c r="J5637" s="13"/>
      <c r="K5637" s="13"/>
      <c r="L5637" s="13"/>
      <c r="M5637" s="13"/>
      <c r="N5637" s="13"/>
      <c r="O5637" s="13" t="str">
        <f t="shared" si="1"/>
        <v/>
      </c>
    </row>
    <row r="5638" ht="22.5" customHeight="1">
      <c r="B5638" s="13"/>
      <c r="C5638" s="13"/>
      <c r="D5638" s="13"/>
      <c r="E5638" s="14"/>
      <c r="F5638" s="14"/>
      <c r="G5638" s="13"/>
      <c r="H5638" s="14"/>
      <c r="I5638" s="13"/>
      <c r="J5638" s="13"/>
      <c r="K5638" s="13"/>
      <c r="L5638" s="13"/>
      <c r="M5638" s="13"/>
      <c r="N5638" s="13"/>
      <c r="O5638" s="13" t="str">
        <f t="shared" si="1"/>
        <v/>
      </c>
    </row>
    <row r="5639" ht="22.5" customHeight="1">
      <c r="B5639" s="13"/>
      <c r="C5639" s="13"/>
      <c r="D5639" s="13"/>
      <c r="E5639" s="14"/>
      <c r="F5639" s="14"/>
      <c r="G5639" s="13"/>
      <c r="H5639" s="14"/>
      <c r="I5639" s="13"/>
      <c r="J5639" s="13"/>
      <c r="K5639" s="13"/>
      <c r="L5639" s="13"/>
      <c r="M5639" s="13"/>
      <c r="N5639" s="13"/>
      <c r="O5639" s="13" t="str">
        <f t="shared" si="1"/>
        <v/>
      </c>
    </row>
    <row r="5640" ht="22.5" customHeight="1">
      <c r="B5640" s="13"/>
      <c r="C5640" s="13"/>
      <c r="D5640" s="13"/>
      <c r="E5640" s="14"/>
      <c r="F5640" s="14"/>
      <c r="G5640" s="13"/>
      <c r="H5640" s="14"/>
      <c r="I5640" s="13"/>
      <c r="J5640" s="13"/>
      <c r="K5640" s="13"/>
      <c r="L5640" s="13"/>
      <c r="M5640" s="13"/>
      <c r="N5640" s="13"/>
      <c r="O5640" s="13" t="str">
        <f t="shared" si="1"/>
        <v/>
      </c>
    </row>
    <row r="5641" ht="22.5" customHeight="1">
      <c r="B5641" s="13"/>
      <c r="C5641" s="13"/>
      <c r="D5641" s="13"/>
      <c r="E5641" s="14"/>
      <c r="F5641" s="14"/>
      <c r="G5641" s="13"/>
      <c r="H5641" s="14"/>
      <c r="I5641" s="13"/>
      <c r="J5641" s="13"/>
      <c r="K5641" s="13"/>
      <c r="L5641" s="13"/>
      <c r="M5641" s="13"/>
      <c r="N5641" s="13"/>
      <c r="O5641" s="13" t="str">
        <f t="shared" si="1"/>
        <v/>
      </c>
    </row>
    <row r="5642" ht="22.5" customHeight="1">
      <c r="B5642" s="13"/>
      <c r="C5642" s="13"/>
      <c r="D5642" s="13"/>
      <c r="E5642" s="14"/>
      <c r="F5642" s="14"/>
      <c r="G5642" s="13"/>
      <c r="H5642" s="14"/>
      <c r="I5642" s="13"/>
      <c r="J5642" s="13"/>
      <c r="K5642" s="13"/>
      <c r="L5642" s="13"/>
      <c r="M5642" s="13"/>
      <c r="N5642" s="13"/>
      <c r="O5642" s="13" t="str">
        <f t="shared" si="1"/>
        <v/>
      </c>
    </row>
    <row r="5643" ht="22.5" customHeight="1">
      <c r="B5643" s="13"/>
      <c r="C5643" s="13"/>
      <c r="D5643" s="13"/>
      <c r="E5643" s="14"/>
      <c r="F5643" s="14"/>
      <c r="G5643" s="13"/>
      <c r="H5643" s="14"/>
      <c r="I5643" s="13"/>
      <c r="J5643" s="13"/>
      <c r="K5643" s="13"/>
      <c r="L5643" s="13"/>
      <c r="M5643" s="13"/>
      <c r="N5643" s="13"/>
      <c r="O5643" s="13" t="str">
        <f t="shared" si="1"/>
        <v/>
      </c>
    </row>
    <row r="5644" ht="22.5" customHeight="1">
      <c r="B5644" s="13"/>
      <c r="C5644" s="13"/>
      <c r="D5644" s="13"/>
      <c r="E5644" s="14"/>
      <c r="F5644" s="14"/>
      <c r="G5644" s="13"/>
      <c r="H5644" s="14"/>
      <c r="I5644" s="13"/>
      <c r="J5644" s="13"/>
      <c r="K5644" s="13"/>
      <c r="L5644" s="13"/>
      <c r="M5644" s="13"/>
      <c r="N5644" s="13"/>
      <c r="O5644" s="13" t="str">
        <f t="shared" si="1"/>
        <v/>
      </c>
    </row>
    <row r="5645" ht="22.5" customHeight="1">
      <c r="B5645" s="13"/>
      <c r="C5645" s="13"/>
      <c r="D5645" s="13"/>
      <c r="E5645" s="14"/>
      <c r="F5645" s="14"/>
      <c r="G5645" s="13"/>
      <c r="H5645" s="14"/>
      <c r="I5645" s="13"/>
      <c r="J5645" s="13"/>
      <c r="K5645" s="13"/>
      <c r="L5645" s="13"/>
      <c r="M5645" s="13"/>
      <c r="N5645" s="13"/>
      <c r="O5645" s="13" t="str">
        <f t="shared" si="1"/>
        <v/>
      </c>
    </row>
    <row r="5646" ht="22.5" customHeight="1">
      <c r="B5646" s="13"/>
      <c r="C5646" s="13"/>
      <c r="D5646" s="13"/>
      <c r="E5646" s="14"/>
      <c r="F5646" s="14"/>
      <c r="G5646" s="13"/>
      <c r="H5646" s="14"/>
      <c r="I5646" s="13"/>
      <c r="J5646" s="13"/>
      <c r="K5646" s="13"/>
      <c r="L5646" s="13"/>
      <c r="M5646" s="13"/>
      <c r="N5646" s="13"/>
      <c r="O5646" s="13" t="str">
        <f t="shared" si="1"/>
        <v/>
      </c>
    </row>
    <row r="5647" ht="22.5" customHeight="1">
      <c r="B5647" s="13"/>
      <c r="C5647" s="13"/>
      <c r="D5647" s="13"/>
      <c r="E5647" s="14"/>
      <c r="F5647" s="14"/>
      <c r="G5647" s="13"/>
      <c r="H5647" s="14"/>
      <c r="I5647" s="13"/>
      <c r="J5647" s="13"/>
      <c r="K5647" s="13"/>
      <c r="L5647" s="13"/>
      <c r="M5647" s="13"/>
      <c r="N5647" s="13"/>
      <c r="O5647" s="13" t="str">
        <f t="shared" si="1"/>
        <v/>
      </c>
    </row>
    <row r="5648" ht="22.5" customHeight="1">
      <c r="B5648" s="13"/>
      <c r="C5648" s="13"/>
      <c r="D5648" s="13"/>
      <c r="E5648" s="14"/>
      <c r="F5648" s="14"/>
      <c r="G5648" s="13"/>
      <c r="H5648" s="14"/>
      <c r="I5648" s="13"/>
      <c r="J5648" s="13"/>
      <c r="K5648" s="13"/>
      <c r="L5648" s="13"/>
      <c r="M5648" s="13"/>
      <c r="N5648" s="13"/>
      <c r="O5648" s="13" t="str">
        <f t="shared" si="1"/>
        <v/>
      </c>
    </row>
    <row r="5649" ht="22.5" customHeight="1">
      <c r="B5649" s="13"/>
      <c r="C5649" s="13"/>
      <c r="D5649" s="13"/>
      <c r="E5649" s="14"/>
      <c r="F5649" s="14"/>
      <c r="G5649" s="13"/>
      <c r="H5649" s="14"/>
      <c r="I5649" s="13"/>
      <c r="J5649" s="13"/>
      <c r="K5649" s="13"/>
      <c r="L5649" s="13"/>
      <c r="M5649" s="13"/>
      <c r="N5649" s="13"/>
      <c r="O5649" s="13" t="str">
        <f t="shared" si="1"/>
        <v/>
      </c>
    </row>
    <row r="5650" ht="22.5" customHeight="1">
      <c r="B5650" s="13"/>
      <c r="C5650" s="13"/>
      <c r="D5650" s="13"/>
      <c r="E5650" s="14"/>
      <c r="F5650" s="14"/>
      <c r="G5650" s="13"/>
      <c r="H5650" s="14"/>
      <c r="I5650" s="13"/>
      <c r="J5650" s="13"/>
      <c r="K5650" s="13"/>
      <c r="L5650" s="13"/>
      <c r="M5650" s="13"/>
      <c r="N5650" s="13"/>
      <c r="O5650" s="13" t="str">
        <f t="shared" si="1"/>
        <v/>
      </c>
    </row>
    <row r="5651" ht="22.5" customHeight="1">
      <c r="B5651" s="13"/>
      <c r="C5651" s="13"/>
      <c r="D5651" s="13"/>
      <c r="E5651" s="14"/>
      <c r="F5651" s="14"/>
      <c r="G5651" s="13"/>
      <c r="H5651" s="14"/>
      <c r="I5651" s="13"/>
      <c r="J5651" s="13"/>
      <c r="K5651" s="13"/>
      <c r="L5651" s="13"/>
      <c r="M5651" s="13"/>
      <c r="N5651" s="13"/>
      <c r="O5651" s="13" t="str">
        <f t="shared" si="1"/>
        <v/>
      </c>
    </row>
    <row r="5652" ht="22.5" customHeight="1">
      <c r="B5652" s="13"/>
      <c r="C5652" s="13"/>
      <c r="D5652" s="13"/>
      <c r="E5652" s="14"/>
      <c r="F5652" s="14"/>
      <c r="G5652" s="13"/>
      <c r="H5652" s="14"/>
      <c r="I5652" s="13"/>
      <c r="J5652" s="13"/>
      <c r="K5652" s="13"/>
      <c r="L5652" s="13"/>
      <c r="M5652" s="13"/>
      <c r="N5652" s="13"/>
      <c r="O5652" s="13" t="str">
        <f t="shared" si="1"/>
        <v/>
      </c>
    </row>
    <row r="5653" ht="22.5" customHeight="1">
      <c r="B5653" s="13"/>
      <c r="C5653" s="13"/>
      <c r="D5653" s="13"/>
      <c r="E5653" s="14"/>
      <c r="F5653" s="14"/>
      <c r="G5653" s="13"/>
      <c r="H5653" s="14"/>
      <c r="I5653" s="13"/>
      <c r="J5653" s="13"/>
      <c r="K5653" s="13"/>
      <c r="L5653" s="13"/>
      <c r="M5653" s="13"/>
      <c r="N5653" s="13"/>
      <c r="O5653" s="13" t="str">
        <f t="shared" si="1"/>
        <v/>
      </c>
    </row>
    <row r="5654" ht="22.5" customHeight="1">
      <c r="B5654" s="13"/>
      <c r="C5654" s="13"/>
      <c r="D5654" s="13"/>
      <c r="E5654" s="14"/>
      <c r="F5654" s="14"/>
      <c r="G5654" s="13"/>
      <c r="H5654" s="14"/>
      <c r="I5654" s="13"/>
      <c r="J5654" s="13"/>
      <c r="K5654" s="13"/>
      <c r="L5654" s="13"/>
      <c r="M5654" s="13"/>
      <c r="N5654" s="13"/>
      <c r="O5654" s="13" t="str">
        <f t="shared" si="1"/>
        <v/>
      </c>
    </row>
    <row r="5655" ht="22.5" customHeight="1">
      <c r="B5655" s="13"/>
      <c r="C5655" s="13"/>
      <c r="D5655" s="13"/>
      <c r="E5655" s="14"/>
      <c r="F5655" s="14"/>
      <c r="G5655" s="13"/>
      <c r="H5655" s="14"/>
      <c r="I5655" s="13"/>
      <c r="J5655" s="13"/>
      <c r="K5655" s="13"/>
      <c r="L5655" s="13"/>
      <c r="M5655" s="13"/>
      <c r="N5655" s="13"/>
      <c r="O5655" s="13" t="str">
        <f t="shared" si="1"/>
        <v/>
      </c>
    </row>
    <row r="5656" ht="22.5" customHeight="1">
      <c r="B5656" s="13"/>
      <c r="C5656" s="13"/>
      <c r="D5656" s="13"/>
      <c r="E5656" s="14"/>
      <c r="F5656" s="14"/>
      <c r="G5656" s="13"/>
      <c r="H5656" s="14"/>
      <c r="I5656" s="13"/>
      <c r="J5656" s="13"/>
      <c r="K5656" s="13"/>
      <c r="L5656" s="13"/>
      <c r="M5656" s="13"/>
      <c r="N5656" s="13"/>
      <c r="O5656" s="13" t="str">
        <f t="shared" si="1"/>
        <v/>
      </c>
    </row>
    <row r="5657" ht="22.5" customHeight="1">
      <c r="B5657" s="13"/>
      <c r="C5657" s="13"/>
      <c r="D5657" s="13"/>
      <c r="E5657" s="14"/>
      <c r="F5657" s="14"/>
      <c r="G5657" s="13"/>
      <c r="H5657" s="14"/>
      <c r="I5657" s="13"/>
      <c r="J5657" s="13"/>
      <c r="K5657" s="13"/>
      <c r="L5657" s="13"/>
      <c r="M5657" s="13"/>
      <c r="N5657" s="13"/>
      <c r="O5657" s="13" t="str">
        <f t="shared" si="1"/>
        <v/>
      </c>
    </row>
    <row r="5658" ht="22.5" customHeight="1">
      <c r="B5658" s="13"/>
      <c r="C5658" s="13"/>
      <c r="D5658" s="13"/>
      <c r="E5658" s="14"/>
      <c r="F5658" s="14"/>
      <c r="G5658" s="13"/>
      <c r="H5658" s="14"/>
      <c r="I5658" s="13"/>
      <c r="J5658" s="13"/>
      <c r="K5658" s="13"/>
      <c r="L5658" s="13"/>
      <c r="M5658" s="13"/>
      <c r="N5658" s="13"/>
      <c r="O5658" s="13" t="str">
        <f t="shared" si="1"/>
        <v/>
      </c>
    </row>
    <row r="5659" ht="22.5" customHeight="1">
      <c r="B5659" s="13"/>
      <c r="C5659" s="13"/>
      <c r="D5659" s="13"/>
      <c r="E5659" s="14"/>
      <c r="F5659" s="14"/>
      <c r="G5659" s="13"/>
      <c r="H5659" s="14"/>
      <c r="I5659" s="13"/>
      <c r="J5659" s="13"/>
      <c r="K5659" s="13"/>
      <c r="L5659" s="13"/>
      <c r="M5659" s="13"/>
      <c r="N5659" s="13"/>
      <c r="O5659" s="13" t="str">
        <f t="shared" si="1"/>
        <v/>
      </c>
    </row>
    <row r="5660" ht="22.5" customHeight="1">
      <c r="B5660" s="13"/>
      <c r="C5660" s="13"/>
      <c r="D5660" s="13"/>
      <c r="E5660" s="14"/>
      <c r="F5660" s="14"/>
      <c r="G5660" s="13"/>
      <c r="H5660" s="14"/>
      <c r="I5660" s="13"/>
      <c r="J5660" s="13"/>
      <c r="K5660" s="13"/>
      <c r="L5660" s="13"/>
      <c r="M5660" s="13"/>
      <c r="N5660" s="13"/>
      <c r="O5660" s="13" t="str">
        <f t="shared" si="1"/>
        <v/>
      </c>
    </row>
    <row r="5661" ht="22.5" customHeight="1">
      <c r="B5661" s="13"/>
      <c r="C5661" s="13"/>
      <c r="D5661" s="13"/>
      <c r="E5661" s="14"/>
      <c r="F5661" s="14"/>
      <c r="G5661" s="13"/>
      <c r="H5661" s="14"/>
      <c r="I5661" s="13"/>
      <c r="J5661" s="13"/>
      <c r="K5661" s="13"/>
      <c r="L5661" s="13"/>
      <c r="M5661" s="13"/>
      <c r="N5661" s="13"/>
      <c r="O5661" s="13" t="str">
        <f t="shared" si="1"/>
        <v/>
      </c>
    </row>
    <row r="5662" ht="22.5" customHeight="1">
      <c r="B5662" s="13"/>
      <c r="C5662" s="13"/>
      <c r="D5662" s="13"/>
      <c r="E5662" s="14"/>
      <c r="F5662" s="14"/>
      <c r="G5662" s="13"/>
      <c r="H5662" s="14"/>
      <c r="I5662" s="13"/>
      <c r="J5662" s="13"/>
      <c r="K5662" s="13"/>
      <c r="L5662" s="13"/>
      <c r="M5662" s="13"/>
      <c r="N5662" s="13"/>
      <c r="O5662" s="13" t="str">
        <f t="shared" si="1"/>
        <v/>
      </c>
    </row>
    <row r="5663" ht="22.5" customHeight="1">
      <c r="B5663" s="13"/>
      <c r="C5663" s="13"/>
      <c r="D5663" s="13"/>
      <c r="E5663" s="14"/>
      <c r="F5663" s="14"/>
      <c r="G5663" s="13"/>
      <c r="H5663" s="14"/>
      <c r="I5663" s="13"/>
      <c r="J5663" s="13"/>
      <c r="K5663" s="13"/>
      <c r="L5663" s="13"/>
      <c r="M5663" s="13"/>
      <c r="N5663" s="13"/>
      <c r="O5663" s="13" t="str">
        <f t="shared" si="1"/>
        <v/>
      </c>
    </row>
    <row r="5664" ht="22.5" customHeight="1">
      <c r="B5664" s="13"/>
      <c r="C5664" s="13"/>
      <c r="D5664" s="13"/>
      <c r="E5664" s="14"/>
      <c r="F5664" s="14"/>
      <c r="G5664" s="13"/>
      <c r="H5664" s="14"/>
      <c r="I5664" s="13"/>
      <c r="J5664" s="13"/>
      <c r="K5664" s="13"/>
      <c r="L5664" s="13"/>
      <c r="M5664" s="13"/>
      <c r="N5664" s="13"/>
      <c r="O5664" s="13" t="str">
        <f t="shared" si="1"/>
        <v/>
      </c>
    </row>
    <row r="5665" ht="22.5" customHeight="1">
      <c r="B5665" s="13"/>
      <c r="C5665" s="13"/>
      <c r="D5665" s="13"/>
      <c r="E5665" s="14"/>
      <c r="F5665" s="14"/>
      <c r="G5665" s="13"/>
      <c r="H5665" s="14"/>
      <c r="I5665" s="13"/>
      <c r="J5665" s="13"/>
      <c r="K5665" s="13"/>
      <c r="L5665" s="13"/>
      <c r="M5665" s="13"/>
      <c r="N5665" s="13"/>
      <c r="O5665" s="13" t="str">
        <f t="shared" si="1"/>
        <v/>
      </c>
    </row>
    <row r="5666" ht="22.5" customHeight="1">
      <c r="B5666" s="13"/>
      <c r="C5666" s="13"/>
      <c r="D5666" s="13"/>
      <c r="E5666" s="14"/>
      <c r="F5666" s="14"/>
      <c r="G5666" s="13"/>
      <c r="H5666" s="14"/>
      <c r="I5666" s="13"/>
      <c r="J5666" s="13"/>
      <c r="K5666" s="13"/>
      <c r="L5666" s="13"/>
      <c r="M5666" s="13"/>
      <c r="N5666" s="13"/>
      <c r="O5666" s="13" t="str">
        <f t="shared" si="1"/>
        <v/>
      </c>
    </row>
    <row r="5667" ht="22.5" customHeight="1">
      <c r="B5667" s="13"/>
      <c r="C5667" s="13"/>
      <c r="D5667" s="13"/>
      <c r="E5667" s="14"/>
      <c r="F5667" s="14"/>
      <c r="G5667" s="13"/>
      <c r="H5667" s="14"/>
      <c r="I5667" s="13"/>
      <c r="J5667" s="13"/>
      <c r="K5667" s="13"/>
      <c r="L5667" s="13"/>
      <c r="M5667" s="13"/>
      <c r="N5667" s="13"/>
      <c r="O5667" s="13" t="str">
        <f t="shared" si="1"/>
        <v/>
      </c>
    </row>
    <row r="5668" ht="22.5" customHeight="1">
      <c r="B5668" s="13"/>
      <c r="C5668" s="13"/>
      <c r="D5668" s="13"/>
      <c r="E5668" s="14"/>
      <c r="F5668" s="14"/>
      <c r="G5668" s="13"/>
      <c r="H5668" s="14"/>
      <c r="I5668" s="13"/>
      <c r="J5668" s="13"/>
      <c r="K5668" s="13"/>
      <c r="L5668" s="13"/>
      <c r="M5668" s="13"/>
      <c r="N5668" s="13"/>
      <c r="O5668" s="13" t="str">
        <f t="shared" si="1"/>
        <v/>
      </c>
    </row>
    <row r="5669" ht="22.5" customHeight="1">
      <c r="B5669" s="13"/>
      <c r="C5669" s="13"/>
      <c r="D5669" s="13"/>
      <c r="E5669" s="14"/>
      <c r="F5669" s="14"/>
      <c r="G5669" s="13"/>
      <c r="H5669" s="14"/>
      <c r="I5669" s="13"/>
      <c r="J5669" s="13"/>
      <c r="K5669" s="13"/>
      <c r="L5669" s="13"/>
      <c r="M5669" s="13"/>
      <c r="N5669" s="13"/>
      <c r="O5669" s="13" t="str">
        <f t="shared" si="1"/>
        <v/>
      </c>
    </row>
    <row r="5670" ht="22.5" customHeight="1">
      <c r="B5670" s="13"/>
      <c r="C5670" s="13"/>
      <c r="D5670" s="13"/>
      <c r="E5670" s="14"/>
      <c r="F5670" s="14"/>
      <c r="G5670" s="13"/>
      <c r="H5670" s="14"/>
      <c r="I5670" s="13"/>
      <c r="J5670" s="13"/>
      <c r="K5670" s="13"/>
      <c r="L5670" s="13"/>
      <c r="M5670" s="13"/>
      <c r="N5670" s="13"/>
      <c r="O5670" s="13" t="str">
        <f t="shared" si="1"/>
        <v/>
      </c>
    </row>
    <row r="5671" ht="22.5" customHeight="1">
      <c r="B5671" s="13"/>
      <c r="C5671" s="13"/>
      <c r="D5671" s="13"/>
      <c r="E5671" s="14"/>
      <c r="F5671" s="14"/>
      <c r="G5671" s="13"/>
      <c r="H5671" s="14"/>
      <c r="I5671" s="13"/>
      <c r="J5671" s="13"/>
      <c r="K5671" s="13"/>
      <c r="L5671" s="13"/>
      <c r="M5671" s="13"/>
      <c r="N5671" s="13"/>
      <c r="O5671" s="13" t="str">
        <f t="shared" si="1"/>
        <v/>
      </c>
    </row>
    <row r="5672" ht="22.5" customHeight="1">
      <c r="B5672" s="13"/>
      <c r="C5672" s="13"/>
      <c r="D5672" s="13"/>
      <c r="E5672" s="14"/>
      <c r="F5672" s="14"/>
      <c r="G5672" s="13"/>
      <c r="H5672" s="14"/>
      <c r="I5672" s="13"/>
      <c r="J5672" s="13"/>
      <c r="K5672" s="13"/>
      <c r="L5672" s="13"/>
      <c r="M5672" s="13"/>
      <c r="N5672" s="13"/>
      <c r="O5672" s="13" t="str">
        <f t="shared" si="1"/>
        <v/>
      </c>
    </row>
    <row r="5673" ht="22.5" customHeight="1">
      <c r="B5673" s="13"/>
      <c r="C5673" s="13"/>
      <c r="D5673" s="13"/>
      <c r="E5673" s="14"/>
      <c r="F5673" s="14"/>
      <c r="G5673" s="13"/>
      <c r="H5673" s="14"/>
      <c r="I5673" s="13"/>
      <c r="J5673" s="13"/>
      <c r="K5673" s="13"/>
      <c r="L5673" s="13"/>
      <c r="M5673" s="13"/>
      <c r="N5673" s="13"/>
      <c r="O5673" s="13" t="str">
        <f t="shared" si="1"/>
        <v/>
      </c>
    </row>
    <row r="5674" ht="22.5" customHeight="1">
      <c r="B5674" s="13"/>
      <c r="C5674" s="13"/>
      <c r="D5674" s="13"/>
      <c r="E5674" s="14"/>
      <c r="F5674" s="14"/>
      <c r="G5674" s="13"/>
      <c r="H5674" s="14"/>
      <c r="I5674" s="13"/>
      <c r="J5674" s="13"/>
      <c r="K5674" s="13"/>
      <c r="L5674" s="13"/>
      <c r="M5674" s="13"/>
      <c r="N5674" s="13"/>
      <c r="O5674" s="13" t="str">
        <f t="shared" si="1"/>
        <v/>
      </c>
    </row>
    <row r="5675" ht="22.5" customHeight="1">
      <c r="B5675" s="13"/>
      <c r="C5675" s="13"/>
      <c r="D5675" s="13"/>
      <c r="E5675" s="14"/>
      <c r="F5675" s="14"/>
      <c r="G5675" s="13"/>
      <c r="H5675" s="14"/>
      <c r="I5675" s="13"/>
      <c r="J5675" s="13"/>
      <c r="K5675" s="13"/>
      <c r="L5675" s="13"/>
      <c r="M5675" s="13"/>
      <c r="N5675" s="13"/>
      <c r="O5675" s="13" t="str">
        <f t="shared" si="1"/>
        <v/>
      </c>
    </row>
    <row r="5676" ht="22.5" customHeight="1">
      <c r="B5676" s="13"/>
      <c r="C5676" s="13"/>
      <c r="D5676" s="13"/>
      <c r="E5676" s="14"/>
      <c r="F5676" s="14"/>
      <c r="G5676" s="13"/>
      <c r="H5676" s="14"/>
      <c r="I5676" s="13"/>
      <c r="J5676" s="13"/>
      <c r="K5676" s="13"/>
      <c r="L5676" s="13"/>
      <c r="M5676" s="13"/>
      <c r="N5676" s="13"/>
      <c r="O5676" s="13" t="str">
        <f t="shared" si="1"/>
        <v/>
      </c>
    </row>
    <row r="5677" ht="22.5" customHeight="1">
      <c r="B5677" s="13"/>
      <c r="C5677" s="13"/>
      <c r="D5677" s="13"/>
      <c r="E5677" s="14"/>
      <c r="F5677" s="14"/>
      <c r="G5677" s="13"/>
      <c r="H5677" s="14"/>
      <c r="I5677" s="13"/>
      <c r="J5677" s="13"/>
      <c r="K5677" s="13"/>
      <c r="L5677" s="13"/>
      <c r="M5677" s="13"/>
      <c r="N5677" s="13"/>
      <c r="O5677" s="13" t="str">
        <f t="shared" si="1"/>
        <v/>
      </c>
    </row>
    <row r="5678" ht="22.5" customHeight="1">
      <c r="B5678" s="13"/>
      <c r="C5678" s="13"/>
      <c r="D5678" s="13"/>
      <c r="E5678" s="14"/>
      <c r="F5678" s="14"/>
      <c r="G5678" s="13"/>
      <c r="H5678" s="14"/>
      <c r="I5678" s="13"/>
      <c r="J5678" s="13"/>
      <c r="K5678" s="13"/>
      <c r="L5678" s="13"/>
      <c r="M5678" s="13"/>
      <c r="N5678" s="13"/>
      <c r="O5678" s="13" t="str">
        <f t="shared" si="1"/>
        <v/>
      </c>
    </row>
    <row r="5679" ht="22.5" customHeight="1">
      <c r="B5679" s="13"/>
      <c r="C5679" s="13"/>
      <c r="D5679" s="13"/>
      <c r="E5679" s="14"/>
      <c r="F5679" s="14"/>
      <c r="G5679" s="13"/>
      <c r="H5679" s="14"/>
      <c r="I5679" s="13"/>
      <c r="J5679" s="13"/>
      <c r="K5679" s="13"/>
      <c r="L5679" s="13"/>
      <c r="M5679" s="13"/>
      <c r="N5679" s="13"/>
      <c r="O5679" s="13" t="str">
        <f t="shared" si="1"/>
        <v/>
      </c>
    </row>
    <row r="5680" ht="22.5" customHeight="1">
      <c r="B5680" s="13"/>
      <c r="C5680" s="13"/>
      <c r="D5680" s="13"/>
      <c r="E5680" s="14"/>
      <c r="F5680" s="14"/>
      <c r="G5680" s="13"/>
      <c r="H5680" s="14"/>
      <c r="I5680" s="13"/>
      <c r="J5680" s="13"/>
      <c r="K5680" s="13"/>
      <c r="L5680" s="13"/>
      <c r="M5680" s="13"/>
      <c r="N5680" s="13"/>
      <c r="O5680" s="13" t="str">
        <f t="shared" si="1"/>
        <v/>
      </c>
    </row>
    <row r="5681" ht="22.5" customHeight="1">
      <c r="B5681" s="13"/>
      <c r="C5681" s="13"/>
      <c r="D5681" s="13"/>
      <c r="E5681" s="14"/>
      <c r="F5681" s="14"/>
      <c r="G5681" s="13"/>
      <c r="H5681" s="14"/>
      <c r="I5681" s="13"/>
      <c r="J5681" s="13"/>
      <c r="K5681" s="13"/>
      <c r="L5681" s="13"/>
      <c r="M5681" s="13"/>
      <c r="N5681" s="13"/>
      <c r="O5681" s="13" t="str">
        <f t="shared" si="1"/>
        <v/>
      </c>
    </row>
    <row r="5682" ht="22.5" customHeight="1">
      <c r="B5682" s="13"/>
      <c r="C5682" s="13"/>
      <c r="D5682" s="13"/>
      <c r="E5682" s="14"/>
      <c r="F5682" s="14"/>
      <c r="G5682" s="13"/>
      <c r="H5682" s="14"/>
      <c r="I5682" s="13"/>
      <c r="J5682" s="13"/>
      <c r="K5682" s="13"/>
      <c r="L5682" s="13"/>
      <c r="M5682" s="13"/>
      <c r="N5682" s="13"/>
      <c r="O5682" s="13" t="str">
        <f t="shared" si="1"/>
        <v/>
      </c>
    </row>
    <row r="5683" ht="22.5" customHeight="1">
      <c r="B5683" s="13"/>
      <c r="C5683" s="13"/>
      <c r="D5683" s="13"/>
      <c r="E5683" s="14"/>
      <c r="F5683" s="14"/>
      <c r="G5683" s="13"/>
      <c r="H5683" s="14"/>
      <c r="I5683" s="13"/>
      <c r="J5683" s="13"/>
      <c r="K5683" s="13"/>
      <c r="L5683" s="13"/>
      <c r="M5683" s="13"/>
      <c r="N5683" s="13"/>
      <c r="O5683" s="13" t="str">
        <f t="shared" si="1"/>
        <v/>
      </c>
    </row>
    <row r="5684" ht="22.5" customHeight="1">
      <c r="B5684" s="13"/>
      <c r="C5684" s="13"/>
      <c r="D5684" s="13"/>
      <c r="E5684" s="14"/>
      <c r="F5684" s="14"/>
      <c r="G5684" s="13"/>
      <c r="H5684" s="14"/>
      <c r="I5684" s="13"/>
      <c r="J5684" s="13"/>
      <c r="K5684" s="13"/>
      <c r="L5684" s="13"/>
      <c r="M5684" s="13"/>
      <c r="N5684" s="13"/>
      <c r="O5684" s="13" t="str">
        <f t="shared" si="1"/>
        <v/>
      </c>
    </row>
    <row r="5685" ht="22.5" customHeight="1">
      <c r="B5685" s="13"/>
      <c r="C5685" s="13"/>
      <c r="D5685" s="13"/>
      <c r="E5685" s="14"/>
      <c r="F5685" s="14"/>
      <c r="G5685" s="13"/>
      <c r="H5685" s="14"/>
      <c r="I5685" s="13"/>
      <c r="J5685" s="13"/>
      <c r="K5685" s="13"/>
      <c r="L5685" s="13"/>
      <c r="M5685" s="13"/>
      <c r="N5685" s="13"/>
      <c r="O5685" s="13" t="str">
        <f t="shared" si="1"/>
        <v/>
      </c>
    </row>
    <row r="5686" ht="22.5" customHeight="1">
      <c r="B5686" s="13"/>
      <c r="C5686" s="13"/>
      <c r="D5686" s="13"/>
      <c r="E5686" s="14"/>
      <c r="F5686" s="14"/>
      <c r="G5686" s="13"/>
      <c r="H5686" s="14"/>
      <c r="I5686" s="13"/>
      <c r="J5686" s="13"/>
      <c r="K5686" s="13"/>
      <c r="L5686" s="13"/>
      <c r="M5686" s="13"/>
      <c r="N5686" s="13"/>
      <c r="O5686" s="13" t="str">
        <f t="shared" si="1"/>
        <v/>
      </c>
    </row>
    <row r="5687" ht="22.5" customHeight="1">
      <c r="B5687" s="13"/>
      <c r="C5687" s="13"/>
      <c r="D5687" s="13"/>
      <c r="E5687" s="14"/>
      <c r="F5687" s="14"/>
      <c r="G5687" s="13"/>
      <c r="H5687" s="14"/>
      <c r="I5687" s="13"/>
      <c r="J5687" s="13"/>
      <c r="K5687" s="13"/>
      <c r="L5687" s="13"/>
      <c r="M5687" s="13"/>
      <c r="N5687" s="13"/>
      <c r="O5687" s="13" t="str">
        <f t="shared" si="1"/>
        <v/>
      </c>
    </row>
    <row r="5688" ht="22.5" customHeight="1">
      <c r="B5688" s="13"/>
      <c r="C5688" s="13"/>
      <c r="D5688" s="13"/>
      <c r="E5688" s="14"/>
      <c r="F5688" s="14"/>
      <c r="G5688" s="13"/>
      <c r="H5688" s="14"/>
      <c r="I5688" s="13"/>
      <c r="J5688" s="13"/>
      <c r="K5688" s="13"/>
      <c r="L5688" s="13"/>
      <c r="M5688" s="13"/>
      <c r="N5688" s="13"/>
      <c r="O5688" s="13" t="str">
        <f t="shared" si="1"/>
        <v/>
      </c>
    </row>
    <row r="5689" ht="22.5" customHeight="1">
      <c r="B5689" s="13"/>
      <c r="C5689" s="13"/>
      <c r="D5689" s="13"/>
      <c r="E5689" s="14"/>
      <c r="F5689" s="14"/>
      <c r="G5689" s="13"/>
      <c r="H5689" s="14"/>
      <c r="I5689" s="13"/>
      <c r="J5689" s="13"/>
      <c r="K5689" s="13"/>
      <c r="L5689" s="13"/>
      <c r="M5689" s="13"/>
      <c r="N5689" s="13"/>
      <c r="O5689" s="13" t="str">
        <f t="shared" si="1"/>
        <v/>
      </c>
    </row>
    <row r="5690" ht="22.5" customHeight="1">
      <c r="B5690" s="13"/>
      <c r="C5690" s="13"/>
      <c r="D5690" s="13"/>
      <c r="E5690" s="14"/>
      <c r="F5690" s="14"/>
      <c r="G5690" s="13"/>
      <c r="H5690" s="14"/>
      <c r="I5690" s="13"/>
      <c r="J5690" s="13"/>
      <c r="K5690" s="13"/>
      <c r="L5690" s="13"/>
      <c r="M5690" s="13"/>
      <c r="N5690" s="13"/>
      <c r="O5690" s="13" t="str">
        <f t="shared" si="1"/>
        <v/>
      </c>
    </row>
    <row r="5691" ht="22.5" customHeight="1">
      <c r="B5691" s="13"/>
      <c r="C5691" s="13"/>
      <c r="D5691" s="13"/>
      <c r="E5691" s="14"/>
      <c r="F5691" s="14"/>
      <c r="G5691" s="13"/>
      <c r="H5691" s="14"/>
      <c r="I5691" s="13"/>
      <c r="J5691" s="13"/>
      <c r="K5691" s="13"/>
      <c r="L5691" s="13"/>
      <c r="M5691" s="13"/>
      <c r="N5691" s="13"/>
      <c r="O5691" s="13" t="str">
        <f t="shared" si="1"/>
        <v/>
      </c>
    </row>
    <row r="5692" ht="22.5" customHeight="1">
      <c r="B5692" s="13"/>
      <c r="C5692" s="13"/>
      <c r="D5692" s="13"/>
      <c r="E5692" s="14"/>
      <c r="F5692" s="14"/>
      <c r="G5692" s="13"/>
      <c r="H5692" s="14"/>
      <c r="I5692" s="13"/>
      <c r="J5692" s="13"/>
      <c r="K5692" s="13"/>
      <c r="L5692" s="13"/>
      <c r="M5692" s="13"/>
      <c r="N5692" s="13"/>
      <c r="O5692" s="13" t="str">
        <f t="shared" si="1"/>
        <v/>
      </c>
    </row>
    <row r="5693" ht="22.5" customHeight="1">
      <c r="B5693" s="13"/>
      <c r="C5693" s="13"/>
      <c r="D5693" s="13"/>
      <c r="E5693" s="14"/>
      <c r="F5693" s="14"/>
      <c r="G5693" s="13"/>
      <c r="H5693" s="14"/>
      <c r="I5693" s="13"/>
      <c r="J5693" s="13"/>
      <c r="K5693" s="13"/>
      <c r="L5693" s="13"/>
      <c r="M5693" s="13"/>
      <c r="N5693" s="13"/>
      <c r="O5693" s="13" t="str">
        <f t="shared" si="1"/>
        <v/>
      </c>
    </row>
    <row r="5694" ht="22.5" customHeight="1">
      <c r="B5694" s="13"/>
      <c r="C5694" s="13"/>
      <c r="D5694" s="13"/>
      <c r="E5694" s="14"/>
      <c r="F5694" s="14"/>
      <c r="G5694" s="13"/>
      <c r="H5694" s="14"/>
      <c r="I5694" s="13"/>
      <c r="J5694" s="13"/>
      <c r="K5694" s="13"/>
      <c r="L5694" s="13"/>
      <c r="M5694" s="13"/>
      <c r="N5694" s="13"/>
      <c r="O5694" s="13" t="str">
        <f t="shared" si="1"/>
        <v/>
      </c>
    </row>
    <row r="5695" ht="22.5" customHeight="1">
      <c r="B5695" s="13"/>
      <c r="C5695" s="13"/>
      <c r="D5695" s="13"/>
      <c r="E5695" s="14"/>
      <c r="F5695" s="14"/>
      <c r="G5695" s="13"/>
      <c r="H5695" s="14"/>
      <c r="I5695" s="13"/>
      <c r="J5695" s="13"/>
      <c r="K5695" s="13"/>
      <c r="L5695" s="13"/>
      <c r="M5695" s="13"/>
      <c r="N5695" s="13"/>
      <c r="O5695" s="13" t="str">
        <f t="shared" si="1"/>
        <v/>
      </c>
    </row>
    <row r="5696" ht="22.5" customHeight="1">
      <c r="B5696" s="13"/>
      <c r="C5696" s="13"/>
      <c r="D5696" s="13"/>
      <c r="E5696" s="14"/>
      <c r="F5696" s="14"/>
      <c r="G5696" s="13"/>
      <c r="H5696" s="14"/>
      <c r="I5696" s="13"/>
      <c r="J5696" s="13"/>
      <c r="K5696" s="13"/>
      <c r="L5696" s="13"/>
      <c r="M5696" s="13"/>
      <c r="N5696" s="13"/>
      <c r="O5696" s="13" t="str">
        <f t="shared" si="1"/>
        <v/>
      </c>
    </row>
    <row r="5697" ht="22.5" customHeight="1">
      <c r="B5697" s="13"/>
      <c r="C5697" s="13"/>
      <c r="D5697" s="13"/>
      <c r="E5697" s="14"/>
      <c r="F5697" s="14"/>
      <c r="G5697" s="13"/>
      <c r="H5697" s="14"/>
      <c r="I5697" s="13"/>
      <c r="J5697" s="13"/>
      <c r="K5697" s="13"/>
      <c r="L5697" s="13"/>
      <c r="M5697" s="13"/>
      <c r="N5697" s="13"/>
      <c r="O5697" s="13" t="str">
        <f t="shared" si="1"/>
        <v/>
      </c>
    </row>
    <row r="5698" ht="22.5" customHeight="1">
      <c r="B5698" s="13"/>
      <c r="C5698" s="13"/>
      <c r="D5698" s="13"/>
      <c r="E5698" s="14"/>
      <c r="F5698" s="14"/>
      <c r="G5698" s="13"/>
      <c r="H5698" s="14"/>
      <c r="I5698" s="13"/>
      <c r="J5698" s="13"/>
      <c r="K5698" s="13"/>
      <c r="L5698" s="13"/>
      <c r="M5698" s="13"/>
      <c r="N5698" s="13"/>
      <c r="O5698" s="13" t="str">
        <f t="shared" si="1"/>
        <v/>
      </c>
    </row>
    <row r="5699" ht="22.5" customHeight="1">
      <c r="B5699" s="13"/>
      <c r="C5699" s="13"/>
      <c r="D5699" s="13"/>
      <c r="E5699" s="14"/>
      <c r="F5699" s="14"/>
      <c r="G5699" s="13"/>
      <c r="H5699" s="14"/>
      <c r="I5699" s="13"/>
      <c r="J5699" s="13"/>
      <c r="K5699" s="13"/>
      <c r="L5699" s="13"/>
      <c r="M5699" s="13"/>
      <c r="N5699" s="13"/>
      <c r="O5699" s="13" t="str">
        <f t="shared" si="1"/>
        <v/>
      </c>
    </row>
    <row r="5700" ht="22.5" customHeight="1">
      <c r="B5700" s="13"/>
      <c r="C5700" s="13"/>
      <c r="D5700" s="13"/>
      <c r="E5700" s="14"/>
      <c r="F5700" s="14"/>
      <c r="G5700" s="13"/>
      <c r="H5700" s="14"/>
      <c r="I5700" s="13"/>
      <c r="J5700" s="13"/>
      <c r="K5700" s="13"/>
      <c r="L5700" s="13"/>
      <c r="M5700" s="13"/>
      <c r="N5700" s="13"/>
      <c r="O5700" s="13" t="str">
        <f t="shared" si="1"/>
        <v/>
      </c>
    </row>
    <row r="5701" ht="22.5" customHeight="1">
      <c r="B5701" s="13"/>
      <c r="C5701" s="13"/>
      <c r="D5701" s="13"/>
      <c r="E5701" s="14"/>
      <c r="F5701" s="14"/>
      <c r="G5701" s="13"/>
      <c r="H5701" s="14"/>
      <c r="I5701" s="13"/>
      <c r="J5701" s="13"/>
      <c r="K5701" s="13"/>
      <c r="L5701" s="13"/>
      <c r="M5701" s="13"/>
      <c r="N5701" s="13"/>
      <c r="O5701" s="13" t="str">
        <f t="shared" si="1"/>
        <v/>
      </c>
    </row>
    <row r="5702" ht="22.5" customHeight="1">
      <c r="B5702" s="13"/>
      <c r="C5702" s="13"/>
      <c r="D5702" s="13"/>
      <c r="E5702" s="14"/>
      <c r="F5702" s="14"/>
      <c r="G5702" s="13"/>
      <c r="H5702" s="14"/>
      <c r="I5702" s="13"/>
      <c r="J5702" s="13"/>
      <c r="K5702" s="13"/>
      <c r="L5702" s="13"/>
      <c r="M5702" s="13"/>
      <c r="N5702" s="13"/>
      <c r="O5702" s="13" t="str">
        <f t="shared" si="1"/>
        <v/>
      </c>
    </row>
    <row r="5703" ht="22.5" customHeight="1">
      <c r="B5703" s="13"/>
      <c r="C5703" s="13"/>
      <c r="D5703" s="13"/>
      <c r="E5703" s="14"/>
      <c r="F5703" s="14"/>
      <c r="G5703" s="13"/>
      <c r="H5703" s="14"/>
      <c r="I5703" s="13"/>
      <c r="J5703" s="13"/>
      <c r="K5703" s="13"/>
      <c r="L5703" s="13"/>
      <c r="M5703" s="13"/>
      <c r="N5703" s="13"/>
      <c r="O5703" s="13" t="str">
        <f t="shared" si="1"/>
        <v/>
      </c>
    </row>
    <row r="5704" ht="22.5" customHeight="1">
      <c r="B5704" s="13"/>
      <c r="C5704" s="13"/>
      <c r="D5704" s="13"/>
      <c r="E5704" s="14"/>
      <c r="F5704" s="14"/>
      <c r="G5704" s="13"/>
      <c r="H5704" s="14"/>
      <c r="I5704" s="13"/>
      <c r="J5704" s="13"/>
      <c r="K5704" s="13"/>
      <c r="L5704" s="13"/>
      <c r="M5704" s="13"/>
      <c r="N5704" s="13"/>
      <c r="O5704" s="13" t="str">
        <f t="shared" si="1"/>
        <v/>
      </c>
    </row>
    <row r="5705" ht="22.5" customHeight="1">
      <c r="B5705" s="13"/>
      <c r="C5705" s="13"/>
      <c r="D5705" s="13"/>
      <c r="E5705" s="14"/>
      <c r="F5705" s="14"/>
      <c r="G5705" s="13"/>
      <c r="H5705" s="14"/>
      <c r="I5705" s="13"/>
      <c r="J5705" s="13"/>
      <c r="K5705" s="13"/>
      <c r="L5705" s="13"/>
      <c r="M5705" s="13"/>
      <c r="N5705" s="13"/>
      <c r="O5705" s="13" t="str">
        <f t="shared" si="1"/>
        <v/>
      </c>
    </row>
    <row r="5706" ht="22.5" customHeight="1">
      <c r="B5706" s="13"/>
      <c r="C5706" s="13"/>
      <c r="D5706" s="13"/>
      <c r="E5706" s="14"/>
      <c r="F5706" s="14"/>
      <c r="G5706" s="13"/>
      <c r="H5706" s="14"/>
      <c r="I5706" s="13"/>
      <c r="J5706" s="13"/>
      <c r="K5706" s="13"/>
      <c r="L5706" s="13"/>
      <c r="M5706" s="13"/>
      <c r="N5706" s="13"/>
      <c r="O5706" s="13" t="str">
        <f t="shared" si="1"/>
        <v/>
      </c>
    </row>
    <row r="5707" ht="22.5" customHeight="1">
      <c r="B5707" s="13"/>
      <c r="C5707" s="13"/>
      <c r="D5707" s="13"/>
      <c r="E5707" s="14"/>
      <c r="F5707" s="14"/>
      <c r="G5707" s="13"/>
      <c r="H5707" s="14"/>
      <c r="I5707" s="13"/>
      <c r="J5707" s="13"/>
      <c r="K5707" s="13"/>
      <c r="L5707" s="13"/>
      <c r="M5707" s="13"/>
      <c r="N5707" s="13"/>
      <c r="O5707" s="13" t="str">
        <f t="shared" si="1"/>
        <v/>
      </c>
    </row>
    <row r="5708" ht="22.5" customHeight="1">
      <c r="B5708" s="13"/>
      <c r="C5708" s="13"/>
      <c r="D5708" s="13"/>
      <c r="E5708" s="14"/>
      <c r="F5708" s="14"/>
      <c r="G5708" s="13"/>
      <c r="H5708" s="14"/>
      <c r="I5708" s="13"/>
      <c r="J5708" s="13"/>
      <c r="K5708" s="13"/>
      <c r="L5708" s="13"/>
      <c r="M5708" s="13"/>
      <c r="N5708" s="13"/>
      <c r="O5708" s="13" t="str">
        <f t="shared" si="1"/>
        <v/>
      </c>
    </row>
    <row r="5709" ht="22.5" customHeight="1">
      <c r="B5709" s="13"/>
      <c r="C5709" s="13"/>
      <c r="D5709" s="13"/>
      <c r="E5709" s="14"/>
      <c r="F5709" s="14"/>
      <c r="G5709" s="13"/>
      <c r="H5709" s="14"/>
      <c r="I5709" s="13"/>
      <c r="J5709" s="13"/>
      <c r="K5709" s="13"/>
      <c r="L5709" s="13"/>
      <c r="M5709" s="13"/>
      <c r="N5709" s="13"/>
      <c r="O5709" s="13" t="str">
        <f t="shared" si="1"/>
        <v/>
      </c>
    </row>
    <row r="5710" ht="22.5" customHeight="1">
      <c r="B5710" s="13"/>
      <c r="C5710" s="13"/>
      <c r="D5710" s="13"/>
      <c r="E5710" s="14"/>
      <c r="F5710" s="14"/>
      <c r="G5710" s="13"/>
      <c r="H5710" s="14"/>
      <c r="I5710" s="13"/>
      <c r="J5710" s="13"/>
      <c r="K5710" s="13"/>
      <c r="L5710" s="13"/>
      <c r="M5710" s="13"/>
      <c r="N5710" s="13"/>
      <c r="O5710" s="13" t="str">
        <f t="shared" si="1"/>
        <v/>
      </c>
    </row>
    <row r="5711" ht="22.5" customHeight="1">
      <c r="B5711" s="13"/>
      <c r="C5711" s="13"/>
      <c r="D5711" s="13"/>
      <c r="E5711" s="14"/>
      <c r="F5711" s="14"/>
      <c r="G5711" s="13"/>
      <c r="H5711" s="14"/>
      <c r="I5711" s="13"/>
      <c r="J5711" s="13"/>
      <c r="K5711" s="13"/>
      <c r="L5711" s="13"/>
      <c r="M5711" s="13"/>
      <c r="N5711" s="13"/>
      <c r="O5711" s="13" t="str">
        <f t="shared" si="1"/>
        <v/>
      </c>
    </row>
    <row r="5712" ht="22.5" customHeight="1">
      <c r="B5712" s="13"/>
      <c r="C5712" s="13"/>
      <c r="D5712" s="13"/>
      <c r="E5712" s="14"/>
      <c r="F5712" s="14"/>
      <c r="G5712" s="13"/>
      <c r="H5712" s="14"/>
      <c r="I5712" s="13"/>
      <c r="J5712" s="13"/>
      <c r="K5712" s="13"/>
      <c r="L5712" s="13"/>
      <c r="M5712" s="13"/>
      <c r="N5712" s="13"/>
      <c r="O5712" s="13" t="str">
        <f t="shared" si="1"/>
        <v/>
      </c>
    </row>
    <row r="5713" ht="22.5" customHeight="1">
      <c r="B5713" s="13"/>
      <c r="C5713" s="13"/>
      <c r="D5713" s="13"/>
      <c r="E5713" s="14"/>
      <c r="F5713" s="14"/>
      <c r="G5713" s="13"/>
      <c r="H5713" s="14"/>
      <c r="I5713" s="13"/>
      <c r="J5713" s="13"/>
      <c r="K5713" s="13"/>
      <c r="L5713" s="13"/>
      <c r="M5713" s="13"/>
      <c r="N5713" s="13"/>
      <c r="O5713" s="13" t="str">
        <f t="shared" si="1"/>
        <v/>
      </c>
    </row>
    <row r="5714" ht="22.5" customHeight="1">
      <c r="B5714" s="13"/>
      <c r="C5714" s="13"/>
      <c r="D5714" s="13"/>
      <c r="E5714" s="14"/>
      <c r="F5714" s="14"/>
      <c r="G5714" s="13"/>
      <c r="H5714" s="14"/>
      <c r="I5714" s="13"/>
      <c r="J5714" s="13"/>
      <c r="K5714" s="13"/>
      <c r="L5714" s="13"/>
      <c r="M5714" s="13"/>
      <c r="N5714" s="13"/>
      <c r="O5714" s="13" t="str">
        <f t="shared" si="1"/>
        <v/>
      </c>
    </row>
    <row r="5715" ht="22.5" customHeight="1">
      <c r="B5715" s="13"/>
      <c r="C5715" s="13"/>
      <c r="D5715" s="13"/>
      <c r="E5715" s="14"/>
      <c r="F5715" s="14"/>
      <c r="G5715" s="13"/>
      <c r="H5715" s="14"/>
      <c r="I5715" s="13"/>
      <c r="J5715" s="13"/>
      <c r="K5715" s="13"/>
      <c r="L5715" s="13"/>
      <c r="M5715" s="13"/>
      <c r="N5715" s="13"/>
      <c r="O5715" s="13" t="str">
        <f t="shared" si="1"/>
        <v/>
      </c>
    </row>
    <row r="5716" ht="22.5" customHeight="1">
      <c r="B5716" s="13"/>
      <c r="C5716" s="13"/>
      <c r="D5716" s="13"/>
      <c r="E5716" s="14"/>
      <c r="F5716" s="14"/>
      <c r="G5716" s="13"/>
      <c r="H5716" s="14"/>
      <c r="I5716" s="13"/>
      <c r="J5716" s="13"/>
      <c r="K5716" s="13"/>
      <c r="L5716" s="13"/>
      <c r="M5716" s="13"/>
      <c r="N5716" s="13"/>
      <c r="O5716" s="13" t="str">
        <f t="shared" si="1"/>
        <v/>
      </c>
    </row>
    <row r="5717" ht="22.5" customHeight="1">
      <c r="B5717" s="13"/>
      <c r="C5717" s="13"/>
      <c r="D5717" s="13"/>
      <c r="E5717" s="14"/>
      <c r="F5717" s="14"/>
      <c r="G5717" s="13"/>
      <c r="H5717" s="14"/>
      <c r="I5717" s="13"/>
      <c r="J5717" s="13"/>
      <c r="K5717" s="13"/>
      <c r="L5717" s="13"/>
      <c r="M5717" s="13"/>
      <c r="N5717" s="13"/>
      <c r="O5717" s="13" t="str">
        <f t="shared" si="1"/>
        <v/>
      </c>
    </row>
    <row r="5718" ht="22.5" customHeight="1">
      <c r="B5718" s="13"/>
      <c r="C5718" s="13"/>
      <c r="D5718" s="13"/>
      <c r="E5718" s="14"/>
      <c r="F5718" s="14"/>
      <c r="G5718" s="13"/>
      <c r="H5718" s="14"/>
      <c r="I5718" s="13"/>
      <c r="J5718" s="13"/>
      <c r="K5718" s="13"/>
      <c r="L5718" s="13"/>
      <c r="M5718" s="13"/>
      <c r="N5718" s="13"/>
      <c r="O5718" s="13" t="str">
        <f t="shared" si="1"/>
        <v/>
      </c>
    </row>
    <row r="5719" ht="22.5" customHeight="1">
      <c r="B5719" s="13"/>
      <c r="C5719" s="13"/>
      <c r="D5719" s="13"/>
      <c r="E5719" s="14"/>
      <c r="F5719" s="14"/>
      <c r="G5719" s="13"/>
      <c r="H5719" s="14"/>
      <c r="I5719" s="13"/>
      <c r="J5719" s="13"/>
      <c r="K5719" s="13"/>
      <c r="L5719" s="13"/>
      <c r="M5719" s="13"/>
      <c r="N5719" s="13"/>
      <c r="O5719" s="13" t="str">
        <f t="shared" si="1"/>
        <v/>
      </c>
    </row>
    <row r="5720" ht="22.5" customHeight="1">
      <c r="B5720" s="13"/>
      <c r="C5720" s="13"/>
      <c r="D5720" s="13"/>
      <c r="E5720" s="14"/>
      <c r="F5720" s="14"/>
      <c r="G5720" s="13"/>
      <c r="H5720" s="14"/>
      <c r="I5720" s="13"/>
      <c r="J5720" s="13"/>
      <c r="K5720" s="13"/>
      <c r="L5720" s="13"/>
      <c r="M5720" s="13"/>
      <c r="N5720" s="13"/>
      <c r="O5720" s="13" t="str">
        <f t="shared" si="1"/>
        <v/>
      </c>
    </row>
    <row r="5721" ht="22.5" customHeight="1">
      <c r="B5721" s="13"/>
      <c r="C5721" s="13"/>
      <c r="D5721" s="13"/>
      <c r="E5721" s="14"/>
      <c r="F5721" s="14"/>
      <c r="G5721" s="13"/>
      <c r="H5721" s="14"/>
      <c r="I5721" s="13"/>
      <c r="J5721" s="13"/>
      <c r="K5721" s="13"/>
      <c r="L5721" s="13"/>
      <c r="M5721" s="13"/>
      <c r="N5721" s="13"/>
      <c r="O5721" s="13" t="str">
        <f t="shared" si="1"/>
        <v/>
      </c>
    </row>
    <row r="5722" ht="22.5" customHeight="1">
      <c r="B5722" s="13"/>
      <c r="C5722" s="13"/>
      <c r="D5722" s="13"/>
      <c r="E5722" s="14"/>
      <c r="F5722" s="14"/>
      <c r="G5722" s="13"/>
      <c r="H5722" s="14"/>
      <c r="I5722" s="13"/>
      <c r="J5722" s="13"/>
      <c r="K5722" s="13"/>
      <c r="L5722" s="13"/>
      <c r="M5722" s="13"/>
      <c r="N5722" s="13"/>
      <c r="O5722" s="13" t="str">
        <f t="shared" si="1"/>
        <v/>
      </c>
    </row>
    <row r="5723" ht="22.5" customHeight="1">
      <c r="B5723" s="13"/>
      <c r="C5723" s="13"/>
      <c r="D5723" s="13"/>
      <c r="E5723" s="14"/>
      <c r="F5723" s="14"/>
      <c r="G5723" s="13"/>
      <c r="H5723" s="14"/>
      <c r="I5723" s="13"/>
      <c r="J5723" s="13"/>
      <c r="K5723" s="13"/>
      <c r="L5723" s="13"/>
      <c r="M5723" s="13"/>
      <c r="N5723" s="13"/>
      <c r="O5723" s="13" t="str">
        <f t="shared" si="1"/>
        <v/>
      </c>
    </row>
    <row r="5724" ht="22.5" customHeight="1">
      <c r="B5724" s="13"/>
      <c r="C5724" s="13"/>
      <c r="D5724" s="13"/>
      <c r="E5724" s="14"/>
      <c r="F5724" s="14"/>
      <c r="G5724" s="13"/>
      <c r="H5724" s="14"/>
      <c r="I5724" s="13"/>
      <c r="J5724" s="13"/>
      <c r="K5724" s="13"/>
      <c r="L5724" s="13"/>
      <c r="M5724" s="13"/>
      <c r="N5724" s="13"/>
      <c r="O5724" s="13" t="str">
        <f t="shared" si="1"/>
        <v/>
      </c>
    </row>
    <row r="5725" ht="22.5" customHeight="1">
      <c r="B5725" s="13"/>
      <c r="C5725" s="13"/>
      <c r="D5725" s="13"/>
      <c r="E5725" s="14"/>
      <c r="F5725" s="14"/>
      <c r="G5725" s="13"/>
      <c r="H5725" s="14"/>
      <c r="I5725" s="13"/>
      <c r="J5725" s="13"/>
      <c r="K5725" s="13"/>
      <c r="L5725" s="13"/>
      <c r="M5725" s="13"/>
      <c r="N5725" s="13"/>
      <c r="O5725" s="13" t="str">
        <f t="shared" si="1"/>
        <v/>
      </c>
    </row>
    <row r="5726" ht="22.5" customHeight="1">
      <c r="B5726" s="13"/>
      <c r="C5726" s="13"/>
      <c r="D5726" s="13"/>
      <c r="E5726" s="14"/>
      <c r="F5726" s="14"/>
      <c r="G5726" s="13"/>
      <c r="H5726" s="14"/>
      <c r="I5726" s="13"/>
      <c r="J5726" s="13"/>
      <c r="K5726" s="13"/>
      <c r="L5726" s="13"/>
      <c r="M5726" s="13"/>
      <c r="N5726" s="13"/>
      <c r="O5726" s="13" t="str">
        <f t="shared" si="1"/>
        <v/>
      </c>
    </row>
    <row r="5727" ht="22.5" customHeight="1">
      <c r="B5727" s="13"/>
      <c r="C5727" s="13"/>
      <c r="D5727" s="13"/>
      <c r="E5727" s="14"/>
      <c r="F5727" s="14"/>
      <c r="G5727" s="13"/>
      <c r="H5727" s="14"/>
      <c r="I5727" s="13"/>
      <c r="J5727" s="13"/>
      <c r="K5727" s="13"/>
      <c r="L5727" s="13"/>
      <c r="M5727" s="13"/>
      <c r="N5727" s="13"/>
      <c r="O5727" s="13" t="str">
        <f t="shared" si="1"/>
        <v/>
      </c>
    </row>
    <row r="5728" ht="22.5" customHeight="1">
      <c r="B5728" s="13"/>
      <c r="C5728" s="13"/>
      <c r="D5728" s="13"/>
      <c r="E5728" s="14"/>
      <c r="F5728" s="14"/>
      <c r="G5728" s="13"/>
      <c r="H5728" s="14"/>
      <c r="I5728" s="13"/>
      <c r="J5728" s="13"/>
      <c r="K5728" s="13"/>
      <c r="L5728" s="13"/>
      <c r="M5728" s="13"/>
      <c r="N5728" s="13"/>
      <c r="O5728" s="13" t="str">
        <f t="shared" si="1"/>
        <v/>
      </c>
    </row>
    <row r="5729" ht="22.5" customHeight="1">
      <c r="B5729" s="13"/>
      <c r="C5729" s="13"/>
      <c r="D5729" s="13"/>
      <c r="E5729" s="14"/>
      <c r="F5729" s="14"/>
      <c r="G5729" s="13"/>
      <c r="H5729" s="14"/>
      <c r="I5729" s="13"/>
      <c r="J5729" s="13"/>
      <c r="K5729" s="13"/>
      <c r="L5729" s="13"/>
      <c r="M5729" s="13"/>
      <c r="N5729" s="13"/>
      <c r="O5729" s="13" t="str">
        <f t="shared" si="1"/>
        <v/>
      </c>
    </row>
    <row r="5730" ht="22.5" customHeight="1">
      <c r="B5730" s="13"/>
      <c r="C5730" s="13"/>
      <c r="D5730" s="13"/>
      <c r="E5730" s="14"/>
      <c r="F5730" s="14"/>
      <c r="G5730" s="13"/>
      <c r="H5730" s="14"/>
      <c r="I5730" s="13"/>
      <c r="J5730" s="13"/>
      <c r="K5730" s="13"/>
      <c r="L5730" s="13"/>
      <c r="M5730" s="13"/>
      <c r="N5730" s="13"/>
      <c r="O5730" s="13" t="str">
        <f t="shared" si="1"/>
        <v/>
      </c>
    </row>
    <row r="5731" ht="22.5" customHeight="1">
      <c r="B5731" s="13"/>
      <c r="C5731" s="13"/>
      <c r="D5731" s="13"/>
      <c r="E5731" s="14"/>
      <c r="F5731" s="14"/>
      <c r="G5731" s="13"/>
      <c r="H5731" s="14"/>
      <c r="I5731" s="13"/>
      <c r="J5731" s="13"/>
      <c r="K5731" s="13"/>
      <c r="L5731" s="13"/>
      <c r="M5731" s="13"/>
      <c r="N5731" s="13"/>
      <c r="O5731" s="13" t="str">
        <f t="shared" si="1"/>
        <v/>
      </c>
    </row>
    <row r="5732" ht="22.5" customHeight="1">
      <c r="B5732" s="13"/>
      <c r="C5732" s="13"/>
      <c r="D5732" s="13"/>
      <c r="E5732" s="14"/>
      <c r="F5732" s="14"/>
      <c r="G5732" s="13"/>
      <c r="H5732" s="14"/>
      <c r="I5732" s="13"/>
      <c r="J5732" s="13"/>
      <c r="K5732" s="13"/>
      <c r="L5732" s="13"/>
      <c r="M5732" s="13"/>
      <c r="N5732" s="13"/>
      <c r="O5732" s="13" t="str">
        <f t="shared" si="1"/>
        <v/>
      </c>
    </row>
    <row r="5733" ht="22.5" customHeight="1">
      <c r="B5733" s="13"/>
      <c r="C5733" s="13"/>
      <c r="D5733" s="13"/>
      <c r="E5733" s="14"/>
      <c r="F5733" s="14"/>
      <c r="G5733" s="13"/>
      <c r="H5733" s="14"/>
      <c r="I5733" s="13"/>
      <c r="J5733" s="13"/>
      <c r="K5733" s="13"/>
      <c r="L5733" s="13"/>
      <c r="M5733" s="13"/>
      <c r="N5733" s="13"/>
      <c r="O5733" s="13" t="str">
        <f t="shared" si="1"/>
        <v/>
      </c>
    </row>
    <row r="5734" ht="22.5" customHeight="1">
      <c r="B5734" s="13"/>
      <c r="C5734" s="13"/>
      <c r="D5734" s="13"/>
      <c r="E5734" s="14"/>
      <c r="F5734" s="14"/>
      <c r="G5734" s="13"/>
      <c r="H5734" s="14"/>
      <c r="I5734" s="13"/>
      <c r="J5734" s="13"/>
      <c r="K5734" s="13"/>
      <c r="L5734" s="13"/>
      <c r="M5734" s="13"/>
      <c r="N5734" s="13"/>
      <c r="O5734" s="13" t="str">
        <f t="shared" si="1"/>
        <v/>
      </c>
    </row>
    <row r="5735" ht="22.5" customHeight="1">
      <c r="B5735" s="13"/>
      <c r="C5735" s="13"/>
      <c r="D5735" s="13"/>
      <c r="E5735" s="14"/>
      <c r="F5735" s="14"/>
      <c r="G5735" s="13"/>
      <c r="H5735" s="14"/>
      <c r="I5735" s="13"/>
      <c r="J5735" s="13"/>
      <c r="K5735" s="13"/>
      <c r="L5735" s="13"/>
      <c r="M5735" s="13"/>
      <c r="N5735" s="13"/>
      <c r="O5735" s="13" t="str">
        <f t="shared" si="1"/>
        <v/>
      </c>
    </row>
    <row r="5736" ht="22.5" customHeight="1">
      <c r="B5736" s="13"/>
      <c r="C5736" s="13"/>
      <c r="D5736" s="13"/>
      <c r="E5736" s="14"/>
      <c r="F5736" s="14"/>
      <c r="G5736" s="13"/>
      <c r="H5736" s="14"/>
      <c r="I5736" s="13"/>
      <c r="J5736" s="13"/>
      <c r="K5736" s="13"/>
      <c r="L5736" s="13"/>
      <c r="M5736" s="13"/>
      <c r="N5736" s="13"/>
      <c r="O5736" s="13" t="str">
        <f t="shared" si="1"/>
        <v/>
      </c>
    </row>
    <row r="5737" ht="22.5" customHeight="1">
      <c r="B5737" s="13"/>
      <c r="C5737" s="13"/>
      <c r="D5737" s="13"/>
      <c r="E5737" s="14"/>
      <c r="F5737" s="14"/>
      <c r="G5737" s="13"/>
      <c r="H5737" s="14"/>
      <c r="I5737" s="13"/>
      <c r="J5737" s="13"/>
      <c r="K5737" s="13"/>
      <c r="L5737" s="13"/>
      <c r="M5737" s="13"/>
      <c r="N5737" s="13"/>
      <c r="O5737" s="13" t="str">
        <f t="shared" si="1"/>
        <v/>
      </c>
    </row>
    <row r="5738" ht="22.5" customHeight="1">
      <c r="B5738" s="13"/>
      <c r="C5738" s="13"/>
      <c r="D5738" s="13"/>
      <c r="E5738" s="14"/>
      <c r="F5738" s="14"/>
      <c r="G5738" s="13"/>
      <c r="H5738" s="14"/>
      <c r="I5738" s="13"/>
      <c r="J5738" s="13"/>
      <c r="K5738" s="13"/>
      <c r="L5738" s="13"/>
      <c r="M5738" s="13"/>
      <c r="N5738" s="13"/>
      <c r="O5738" s="13" t="str">
        <f t="shared" si="1"/>
        <v/>
      </c>
    </row>
    <row r="5739" ht="22.5" customHeight="1">
      <c r="B5739" s="13"/>
      <c r="C5739" s="13"/>
      <c r="D5739" s="13"/>
      <c r="E5739" s="14"/>
      <c r="F5739" s="14"/>
      <c r="G5739" s="13"/>
      <c r="H5739" s="14"/>
      <c r="I5739" s="13"/>
      <c r="J5739" s="13"/>
      <c r="K5739" s="13"/>
      <c r="L5739" s="13"/>
      <c r="M5739" s="13"/>
      <c r="N5739" s="13"/>
      <c r="O5739" s="13" t="str">
        <f t="shared" si="1"/>
        <v/>
      </c>
    </row>
    <row r="5740" ht="22.5" customHeight="1">
      <c r="B5740" s="13"/>
      <c r="C5740" s="13"/>
      <c r="D5740" s="13"/>
      <c r="E5740" s="14"/>
      <c r="F5740" s="14"/>
      <c r="G5740" s="13"/>
      <c r="H5740" s="14"/>
      <c r="I5740" s="13"/>
      <c r="J5740" s="13"/>
      <c r="K5740" s="13"/>
      <c r="L5740" s="13"/>
      <c r="M5740" s="13"/>
      <c r="N5740" s="13"/>
      <c r="O5740" s="13" t="str">
        <f t="shared" si="1"/>
        <v/>
      </c>
    </row>
    <row r="5741" ht="22.5" customHeight="1">
      <c r="B5741" s="13"/>
      <c r="C5741" s="13"/>
      <c r="D5741" s="13"/>
      <c r="E5741" s="14"/>
      <c r="F5741" s="14"/>
      <c r="G5741" s="13"/>
      <c r="H5741" s="14"/>
      <c r="I5741" s="13"/>
      <c r="J5741" s="13"/>
      <c r="K5741" s="13"/>
      <c r="L5741" s="13"/>
      <c r="M5741" s="13"/>
      <c r="N5741" s="13"/>
      <c r="O5741" s="13" t="str">
        <f t="shared" si="1"/>
        <v/>
      </c>
    </row>
    <row r="5742" ht="22.5" customHeight="1">
      <c r="B5742" s="13"/>
      <c r="C5742" s="13"/>
      <c r="D5742" s="13"/>
      <c r="E5742" s="14"/>
      <c r="F5742" s="14"/>
      <c r="G5742" s="13"/>
      <c r="H5742" s="14"/>
      <c r="I5742" s="13"/>
      <c r="J5742" s="13"/>
      <c r="K5742" s="13"/>
      <c r="L5742" s="13"/>
      <c r="M5742" s="13"/>
      <c r="N5742" s="13"/>
      <c r="O5742" s="13" t="str">
        <f t="shared" si="1"/>
        <v/>
      </c>
    </row>
    <row r="5743" ht="22.5" customHeight="1">
      <c r="B5743" s="13"/>
      <c r="C5743" s="13"/>
      <c r="D5743" s="13"/>
      <c r="E5743" s="14"/>
      <c r="F5743" s="14"/>
      <c r="G5743" s="13"/>
      <c r="H5743" s="14"/>
      <c r="I5743" s="13"/>
      <c r="J5743" s="13"/>
      <c r="K5743" s="13"/>
      <c r="L5743" s="13"/>
      <c r="M5743" s="13"/>
      <c r="N5743" s="13"/>
      <c r="O5743" s="13" t="str">
        <f t="shared" si="1"/>
        <v/>
      </c>
    </row>
    <row r="5744" ht="22.5" customHeight="1">
      <c r="B5744" s="13"/>
      <c r="C5744" s="13"/>
      <c r="D5744" s="13"/>
      <c r="E5744" s="14"/>
      <c r="F5744" s="14"/>
      <c r="G5744" s="13"/>
      <c r="H5744" s="14"/>
      <c r="I5744" s="13"/>
      <c r="J5744" s="13"/>
      <c r="K5744" s="13"/>
      <c r="L5744" s="13"/>
      <c r="M5744" s="13"/>
      <c r="N5744" s="13"/>
      <c r="O5744" s="13" t="str">
        <f t="shared" si="1"/>
        <v/>
      </c>
    </row>
    <row r="5745" ht="22.5" customHeight="1">
      <c r="B5745" s="13"/>
      <c r="C5745" s="13"/>
      <c r="D5745" s="13"/>
      <c r="E5745" s="14"/>
      <c r="F5745" s="14"/>
      <c r="G5745" s="13"/>
      <c r="H5745" s="14"/>
      <c r="I5745" s="13"/>
      <c r="J5745" s="13"/>
      <c r="K5745" s="13"/>
      <c r="L5745" s="13"/>
      <c r="M5745" s="13"/>
      <c r="N5745" s="13"/>
      <c r="O5745" s="13" t="str">
        <f t="shared" si="1"/>
        <v/>
      </c>
    </row>
    <row r="5746" ht="22.5" customHeight="1">
      <c r="B5746" s="13"/>
      <c r="C5746" s="13"/>
      <c r="D5746" s="13"/>
      <c r="E5746" s="14"/>
      <c r="F5746" s="14"/>
      <c r="G5746" s="13"/>
      <c r="H5746" s="14"/>
      <c r="I5746" s="13"/>
      <c r="J5746" s="13"/>
      <c r="K5746" s="13"/>
      <c r="L5746" s="13"/>
      <c r="M5746" s="13"/>
      <c r="N5746" s="13"/>
      <c r="O5746" s="13" t="str">
        <f t="shared" si="1"/>
        <v/>
      </c>
    </row>
    <row r="5747" ht="22.5" customHeight="1">
      <c r="B5747" s="13"/>
      <c r="C5747" s="13"/>
      <c r="D5747" s="13"/>
      <c r="E5747" s="14"/>
      <c r="F5747" s="14"/>
      <c r="G5747" s="13"/>
      <c r="H5747" s="14"/>
      <c r="I5747" s="13"/>
      <c r="J5747" s="13"/>
      <c r="K5747" s="13"/>
      <c r="L5747" s="13"/>
      <c r="M5747" s="13"/>
      <c r="N5747" s="13"/>
      <c r="O5747" s="13" t="str">
        <f t="shared" si="1"/>
        <v/>
      </c>
    </row>
    <row r="5748" ht="22.5" customHeight="1">
      <c r="B5748" s="13"/>
      <c r="C5748" s="13"/>
      <c r="D5748" s="13"/>
      <c r="E5748" s="14"/>
      <c r="F5748" s="14"/>
      <c r="G5748" s="13"/>
      <c r="H5748" s="14"/>
      <c r="I5748" s="13"/>
      <c r="J5748" s="13"/>
      <c r="K5748" s="13"/>
      <c r="L5748" s="13"/>
      <c r="M5748" s="13"/>
      <c r="N5748" s="13"/>
      <c r="O5748" s="13" t="str">
        <f t="shared" si="1"/>
        <v/>
      </c>
    </row>
    <row r="5749" ht="22.5" customHeight="1">
      <c r="B5749" s="13"/>
      <c r="C5749" s="13"/>
      <c r="D5749" s="13"/>
      <c r="E5749" s="14"/>
      <c r="F5749" s="14"/>
      <c r="G5749" s="13"/>
      <c r="H5749" s="14"/>
      <c r="I5749" s="13"/>
      <c r="J5749" s="13"/>
      <c r="K5749" s="13"/>
      <c r="L5749" s="13"/>
      <c r="M5749" s="13"/>
      <c r="N5749" s="13"/>
      <c r="O5749" s="13" t="str">
        <f t="shared" si="1"/>
        <v/>
      </c>
    </row>
    <row r="5750" ht="22.5" customHeight="1">
      <c r="B5750" s="13"/>
      <c r="C5750" s="13"/>
      <c r="D5750" s="13"/>
      <c r="E5750" s="14"/>
      <c r="F5750" s="14"/>
      <c r="G5750" s="13"/>
      <c r="H5750" s="14"/>
      <c r="I5750" s="13"/>
      <c r="J5750" s="13"/>
      <c r="K5750" s="13"/>
      <c r="L5750" s="13"/>
      <c r="M5750" s="13"/>
      <c r="N5750" s="13"/>
      <c r="O5750" s="13" t="str">
        <f t="shared" si="1"/>
        <v/>
      </c>
    </row>
    <row r="5751" ht="22.5" customHeight="1">
      <c r="B5751" s="13"/>
      <c r="C5751" s="13"/>
      <c r="D5751" s="13"/>
      <c r="E5751" s="14"/>
      <c r="F5751" s="14"/>
      <c r="G5751" s="13"/>
      <c r="H5751" s="14"/>
      <c r="I5751" s="13"/>
      <c r="J5751" s="13"/>
      <c r="K5751" s="13"/>
      <c r="L5751" s="13"/>
      <c r="M5751" s="13"/>
      <c r="N5751" s="13"/>
      <c r="O5751" s="13" t="str">
        <f t="shared" si="1"/>
        <v/>
      </c>
    </row>
    <row r="5752" ht="22.5" customHeight="1">
      <c r="B5752" s="13"/>
      <c r="C5752" s="13"/>
      <c r="D5752" s="13"/>
      <c r="E5752" s="14"/>
      <c r="F5752" s="14"/>
      <c r="G5752" s="13"/>
      <c r="H5752" s="14"/>
      <c r="I5752" s="13"/>
      <c r="J5752" s="13"/>
      <c r="K5752" s="13"/>
      <c r="L5752" s="13"/>
      <c r="M5752" s="13"/>
      <c r="N5752" s="13"/>
      <c r="O5752" s="13" t="str">
        <f t="shared" si="1"/>
        <v/>
      </c>
    </row>
    <row r="5753" ht="22.5" customHeight="1">
      <c r="B5753" s="13"/>
      <c r="C5753" s="13"/>
      <c r="D5753" s="13"/>
      <c r="E5753" s="14"/>
      <c r="F5753" s="14"/>
      <c r="G5753" s="13"/>
      <c r="H5753" s="14"/>
      <c r="I5753" s="13"/>
      <c r="J5753" s="13"/>
      <c r="K5753" s="13"/>
      <c r="L5753" s="13"/>
      <c r="M5753" s="13"/>
      <c r="N5753" s="13"/>
      <c r="O5753" s="13" t="str">
        <f t="shared" si="1"/>
        <v/>
      </c>
    </row>
    <row r="5754" ht="22.5" customHeight="1">
      <c r="B5754" s="13"/>
      <c r="C5754" s="13"/>
      <c r="D5754" s="13"/>
      <c r="E5754" s="14"/>
      <c r="F5754" s="14"/>
      <c r="G5754" s="13"/>
      <c r="H5754" s="14"/>
      <c r="I5754" s="13"/>
      <c r="J5754" s="13"/>
      <c r="K5754" s="13"/>
      <c r="L5754" s="13"/>
      <c r="M5754" s="13"/>
      <c r="N5754" s="13"/>
      <c r="O5754" s="13" t="str">
        <f t="shared" si="1"/>
        <v/>
      </c>
    </row>
    <row r="5755" ht="22.5" customHeight="1">
      <c r="B5755" s="13"/>
      <c r="C5755" s="13"/>
      <c r="D5755" s="13"/>
      <c r="E5755" s="14"/>
      <c r="F5755" s="14"/>
      <c r="G5755" s="13"/>
      <c r="H5755" s="14"/>
      <c r="I5755" s="13"/>
      <c r="J5755" s="13"/>
      <c r="K5755" s="13"/>
      <c r="L5755" s="13"/>
      <c r="M5755" s="13"/>
      <c r="N5755" s="13"/>
      <c r="O5755" s="13" t="str">
        <f t="shared" si="1"/>
        <v/>
      </c>
    </row>
    <row r="5756" ht="22.5" customHeight="1">
      <c r="B5756" s="13"/>
      <c r="C5756" s="13"/>
      <c r="D5756" s="13"/>
      <c r="E5756" s="14"/>
      <c r="F5756" s="14"/>
      <c r="G5756" s="13"/>
      <c r="H5756" s="14"/>
      <c r="I5756" s="13"/>
      <c r="J5756" s="13"/>
      <c r="K5756" s="13"/>
      <c r="L5756" s="13"/>
      <c r="M5756" s="13"/>
      <c r="N5756" s="13"/>
      <c r="O5756" s="13" t="str">
        <f t="shared" si="1"/>
        <v/>
      </c>
    </row>
    <row r="5757" ht="22.5" customHeight="1">
      <c r="B5757" s="13"/>
      <c r="C5757" s="13"/>
      <c r="D5757" s="13"/>
      <c r="E5757" s="14"/>
      <c r="F5757" s="14"/>
      <c r="G5757" s="13"/>
      <c r="H5757" s="14"/>
      <c r="I5757" s="13"/>
      <c r="J5757" s="13"/>
      <c r="K5757" s="13"/>
      <c r="L5757" s="13"/>
      <c r="M5757" s="13"/>
      <c r="N5757" s="13"/>
      <c r="O5757" s="13" t="str">
        <f t="shared" si="1"/>
        <v/>
      </c>
    </row>
    <row r="5758" ht="22.5" customHeight="1">
      <c r="B5758" s="13"/>
      <c r="C5758" s="13"/>
      <c r="D5758" s="13"/>
      <c r="E5758" s="14"/>
      <c r="F5758" s="14"/>
      <c r="G5758" s="13"/>
      <c r="H5758" s="14"/>
      <c r="I5758" s="13"/>
      <c r="J5758" s="13"/>
      <c r="K5758" s="13"/>
      <c r="L5758" s="13"/>
      <c r="M5758" s="13"/>
      <c r="N5758" s="13"/>
      <c r="O5758" s="13" t="str">
        <f t="shared" si="1"/>
        <v/>
      </c>
    </row>
    <row r="5759" ht="22.5" customHeight="1">
      <c r="B5759" s="13"/>
      <c r="C5759" s="13"/>
      <c r="D5759" s="13"/>
      <c r="E5759" s="14"/>
      <c r="F5759" s="14"/>
      <c r="G5759" s="13"/>
      <c r="H5759" s="14"/>
      <c r="I5759" s="13"/>
      <c r="J5759" s="13"/>
      <c r="K5759" s="13"/>
      <c r="L5759" s="13"/>
      <c r="M5759" s="13"/>
      <c r="N5759" s="13"/>
      <c r="O5759" s="13" t="str">
        <f t="shared" si="1"/>
        <v/>
      </c>
    </row>
    <row r="5760" ht="22.5" customHeight="1">
      <c r="B5760" s="13"/>
      <c r="C5760" s="13"/>
      <c r="D5760" s="13"/>
      <c r="E5760" s="14"/>
      <c r="F5760" s="14"/>
      <c r="G5760" s="13"/>
      <c r="H5760" s="14"/>
      <c r="I5760" s="13"/>
      <c r="J5760" s="13"/>
      <c r="K5760" s="13"/>
      <c r="L5760" s="13"/>
      <c r="M5760" s="13"/>
      <c r="N5760" s="13"/>
      <c r="O5760" s="13" t="str">
        <f t="shared" si="1"/>
        <v/>
      </c>
    </row>
    <row r="5761" ht="22.5" customHeight="1">
      <c r="B5761" s="13"/>
      <c r="C5761" s="13"/>
      <c r="D5761" s="13"/>
      <c r="E5761" s="14"/>
      <c r="F5761" s="14"/>
      <c r="G5761" s="13"/>
      <c r="H5761" s="14"/>
      <c r="I5761" s="13"/>
      <c r="J5761" s="13"/>
      <c r="K5761" s="13"/>
      <c r="L5761" s="13"/>
      <c r="M5761" s="13"/>
      <c r="N5761" s="13"/>
      <c r="O5761" s="13" t="str">
        <f t="shared" si="1"/>
        <v/>
      </c>
    </row>
    <row r="5762" ht="22.5" customHeight="1">
      <c r="B5762" s="13"/>
      <c r="C5762" s="13"/>
      <c r="D5762" s="13"/>
      <c r="E5762" s="14"/>
      <c r="F5762" s="14"/>
      <c r="G5762" s="13"/>
      <c r="H5762" s="14"/>
      <c r="I5762" s="13"/>
      <c r="J5762" s="13"/>
      <c r="K5762" s="13"/>
      <c r="L5762" s="13"/>
      <c r="M5762" s="13"/>
      <c r="N5762" s="13"/>
      <c r="O5762" s="13" t="str">
        <f t="shared" si="1"/>
        <v/>
      </c>
    </row>
    <row r="5763" ht="22.5" customHeight="1">
      <c r="B5763" s="13"/>
      <c r="C5763" s="13"/>
      <c r="D5763" s="13"/>
      <c r="E5763" s="14"/>
      <c r="F5763" s="14"/>
      <c r="G5763" s="13"/>
      <c r="H5763" s="14"/>
      <c r="I5763" s="13"/>
      <c r="J5763" s="13"/>
      <c r="K5763" s="13"/>
      <c r="L5763" s="13"/>
      <c r="M5763" s="13"/>
      <c r="N5763" s="13"/>
      <c r="O5763" s="13" t="str">
        <f t="shared" si="1"/>
        <v/>
      </c>
    </row>
    <row r="5764" ht="22.5" customHeight="1">
      <c r="B5764" s="13"/>
      <c r="C5764" s="13"/>
      <c r="D5764" s="13"/>
      <c r="E5764" s="14"/>
      <c r="F5764" s="14"/>
      <c r="G5764" s="13"/>
      <c r="H5764" s="14"/>
      <c r="I5764" s="13"/>
      <c r="J5764" s="13"/>
      <c r="K5764" s="13"/>
      <c r="L5764" s="13"/>
      <c r="M5764" s="13"/>
      <c r="N5764" s="13"/>
      <c r="O5764" s="13" t="str">
        <f t="shared" si="1"/>
        <v/>
      </c>
    </row>
    <row r="5765" ht="22.5" customHeight="1">
      <c r="B5765" s="13"/>
      <c r="C5765" s="13"/>
      <c r="D5765" s="13"/>
      <c r="E5765" s="14"/>
      <c r="F5765" s="14"/>
      <c r="G5765" s="13"/>
      <c r="H5765" s="14"/>
      <c r="I5765" s="13"/>
      <c r="J5765" s="13"/>
      <c r="K5765" s="13"/>
      <c r="L5765" s="13"/>
      <c r="M5765" s="13"/>
      <c r="N5765" s="13"/>
      <c r="O5765" s="13" t="str">
        <f t="shared" si="1"/>
        <v/>
      </c>
    </row>
    <row r="5766" ht="22.5" customHeight="1">
      <c r="B5766" s="13"/>
      <c r="C5766" s="13"/>
      <c r="D5766" s="13"/>
      <c r="E5766" s="14"/>
      <c r="F5766" s="14"/>
      <c r="G5766" s="13"/>
      <c r="H5766" s="14"/>
      <c r="I5766" s="13"/>
      <c r="J5766" s="13"/>
      <c r="K5766" s="13"/>
      <c r="L5766" s="13"/>
      <c r="M5766" s="13"/>
      <c r="N5766" s="13"/>
      <c r="O5766" s="13" t="str">
        <f t="shared" si="1"/>
        <v/>
      </c>
    </row>
    <row r="5767" ht="22.5" customHeight="1">
      <c r="B5767" s="13"/>
      <c r="C5767" s="13"/>
      <c r="D5767" s="13"/>
      <c r="E5767" s="14"/>
      <c r="F5767" s="14"/>
      <c r="G5767" s="13"/>
      <c r="H5767" s="14"/>
      <c r="I5767" s="13"/>
      <c r="J5767" s="13"/>
      <c r="K5767" s="13"/>
      <c r="L5767" s="13"/>
      <c r="M5767" s="13"/>
      <c r="N5767" s="13"/>
      <c r="O5767" s="13" t="str">
        <f t="shared" si="1"/>
        <v/>
      </c>
    </row>
    <row r="5768" ht="22.5" customHeight="1">
      <c r="B5768" s="13"/>
      <c r="C5768" s="13"/>
      <c r="D5768" s="13"/>
      <c r="E5768" s="14"/>
      <c r="F5768" s="14"/>
      <c r="G5768" s="13"/>
      <c r="H5768" s="14"/>
      <c r="I5768" s="13"/>
      <c r="J5768" s="13"/>
      <c r="K5768" s="13"/>
      <c r="L5768" s="13"/>
      <c r="M5768" s="13"/>
      <c r="N5768" s="13"/>
      <c r="O5768" s="13" t="str">
        <f t="shared" si="1"/>
        <v/>
      </c>
    </row>
    <row r="5769" ht="22.5" customHeight="1">
      <c r="B5769" s="13"/>
      <c r="C5769" s="13"/>
      <c r="D5769" s="13"/>
      <c r="E5769" s="14"/>
      <c r="F5769" s="14"/>
      <c r="G5769" s="13"/>
      <c r="H5769" s="14"/>
      <c r="I5769" s="13"/>
      <c r="J5769" s="13"/>
      <c r="K5769" s="13"/>
      <c r="L5769" s="13"/>
      <c r="M5769" s="13"/>
      <c r="N5769" s="13"/>
      <c r="O5769" s="13" t="str">
        <f t="shared" si="1"/>
        <v/>
      </c>
    </row>
    <row r="5770" ht="22.5" customHeight="1">
      <c r="B5770" s="13"/>
      <c r="C5770" s="13"/>
      <c r="D5770" s="13"/>
      <c r="E5770" s="14"/>
      <c r="F5770" s="14"/>
      <c r="G5770" s="13"/>
      <c r="H5770" s="14"/>
      <c r="I5770" s="13"/>
      <c r="J5770" s="13"/>
      <c r="K5770" s="13"/>
      <c r="L5770" s="13"/>
      <c r="M5770" s="13"/>
      <c r="N5770" s="13"/>
      <c r="O5770" s="13" t="str">
        <f t="shared" si="1"/>
        <v/>
      </c>
    </row>
    <row r="5771" ht="22.5" customHeight="1">
      <c r="B5771" s="13"/>
      <c r="C5771" s="13"/>
      <c r="D5771" s="13"/>
      <c r="E5771" s="14"/>
      <c r="F5771" s="14"/>
      <c r="G5771" s="13"/>
      <c r="H5771" s="14"/>
      <c r="I5771" s="13"/>
      <c r="J5771" s="13"/>
      <c r="K5771" s="13"/>
      <c r="L5771" s="13"/>
      <c r="M5771" s="13"/>
      <c r="N5771" s="13"/>
      <c r="O5771" s="13" t="str">
        <f t="shared" si="1"/>
        <v/>
      </c>
    </row>
    <row r="5772" ht="22.5" customHeight="1">
      <c r="B5772" s="13"/>
      <c r="C5772" s="13"/>
      <c r="D5772" s="13"/>
      <c r="E5772" s="14"/>
      <c r="F5772" s="14"/>
      <c r="G5772" s="13"/>
      <c r="H5772" s="14"/>
      <c r="I5772" s="13"/>
      <c r="J5772" s="13"/>
      <c r="K5772" s="13"/>
      <c r="L5772" s="13"/>
      <c r="M5772" s="13"/>
      <c r="N5772" s="13"/>
      <c r="O5772" s="13" t="str">
        <f t="shared" si="1"/>
        <v/>
      </c>
    </row>
    <row r="5773" ht="22.5" customHeight="1">
      <c r="B5773" s="13"/>
      <c r="C5773" s="13"/>
      <c r="D5773" s="13"/>
      <c r="E5773" s="14"/>
      <c r="F5773" s="14"/>
      <c r="G5773" s="13"/>
      <c r="H5773" s="14"/>
      <c r="I5773" s="13"/>
      <c r="J5773" s="13"/>
      <c r="K5773" s="13"/>
      <c r="L5773" s="13"/>
      <c r="M5773" s="13"/>
      <c r="N5773" s="13"/>
      <c r="O5773" s="13" t="str">
        <f t="shared" si="1"/>
        <v/>
      </c>
    </row>
    <row r="5774" ht="22.5" customHeight="1">
      <c r="B5774" s="13"/>
      <c r="C5774" s="13"/>
      <c r="D5774" s="13"/>
      <c r="E5774" s="14"/>
      <c r="F5774" s="14"/>
      <c r="G5774" s="13"/>
      <c r="H5774" s="14"/>
      <c r="I5774" s="13"/>
      <c r="J5774" s="13"/>
      <c r="K5774" s="13"/>
      <c r="L5774" s="13"/>
      <c r="M5774" s="13"/>
      <c r="N5774" s="13"/>
      <c r="O5774" s="13" t="str">
        <f t="shared" si="1"/>
        <v/>
      </c>
    </row>
    <row r="5775" ht="22.5" customHeight="1">
      <c r="B5775" s="13"/>
      <c r="C5775" s="13"/>
      <c r="D5775" s="13"/>
      <c r="E5775" s="14"/>
      <c r="F5775" s="14"/>
      <c r="G5775" s="13"/>
      <c r="H5775" s="14"/>
      <c r="I5775" s="13"/>
      <c r="J5775" s="13"/>
      <c r="K5775" s="13"/>
      <c r="L5775" s="13"/>
      <c r="M5775" s="13"/>
      <c r="N5775" s="13"/>
      <c r="O5775" s="13" t="str">
        <f t="shared" si="1"/>
        <v/>
      </c>
    </row>
    <row r="5776" ht="22.5" customHeight="1">
      <c r="B5776" s="13"/>
      <c r="C5776" s="13"/>
      <c r="D5776" s="13"/>
      <c r="E5776" s="14"/>
      <c r="F5776" s="14"/>
      <c r="G5776" s="13"/>
      <c r="H5776" s="14"/>
      <c r="I5776" s="13"/>
      <c r="J5776" s="13"/>
      <c r="K5776" s="13"/>
      <c r="L5776" s="13"/>
      <c r="M5776" s="13"/>
      <c r="N5776" s="13"/>
      <c r="O5776" s="13" t="str">
        <f t="shared" si="1"/>
        <v/>
      </c>
    </row>
    <row r="5777" ht="22.5" customHeight="1">
      <c r="B5777" s="13"/>
      <c r="C5777" s="13"/>
      <c r="D5777" s="13"/>
      <c r="E5777" s="14"/>
      <c r="F5777" s="14"/>
      <c r="G5777" s="13"/>
      <c r="H5777" s="14"/>
      <c r="I5777" s="13"/>
      <c r="J5777" s="13"/>
      <c r="K5777" s="13"/>
      <c r="L5777" s="13"/>
      <c r="M5777" s="13"/>
      <c r="N5777" s="13"/>
      <c r="O5777" s="13" t="str">
        <f t="shared" si="1"/>
        <v/>
      </c>
    </row>
    <row r="5778" ht="22.5" customHeight="1">
      <c r="B5778" s="13"/>
      <c r="C5778" s="13"/>
      <c r="D5778" s="13"/>
      <c r="E5778" s="14"/>
      <c r="F5778" s="14"/>
      <c r="G5778" s="13"/>
      <c r="H5778" s="14"/>
      <c r="I5778" s="13"/>
      <c r="J5778" s="13"/>
      <c r="K5778" s="13"/>
      <c r="L5778" s="13"/>
      <c r="M5778" s="13"/>
      <c r="N5778" s="13"/>
      <c r="O5778" s="13" t="str">
        <f t="shared" si="1"/>
        <v/>
      </c>
    </row>
    <row r="5779" ht="22.5" customHeight="1">
      <c r="B5779" s="13"/>
      <c r="C5779" s="13"/>
      <c r="D5779" s="13"/>
      <c r="E5779" s="14"/>
      <c r="F5779" s="14"/>
      <c r="G5779" s="13"/>
      <c r="H5779" s="14"/>
      <c r="I5779" s="13"/>
      <c r="J5779" s="13"/>
      <c r="K5779" s="13"/>
      <c r="L5779" s="13"/>
      <c r="M5779" s="13"/>
      <c r="N5779" s="13"/>
      <c r="O5779" s="13" t="str">
        <f t="shared" si="1"/>
        <v/>
      </c>
    </row>
    <row r="5780" ht="22.5" customHeight="1">
      <c r="B5780" s="13"/>
      <c r="C5780" s="13"/>
      <c r="D5780" s="13"/>
      <c r="E5780" s="14"/>
      <c r="F5780" s="14"/>
      <c r="G5780" s="13"/>
      <c r="H5780" s="14"/>
      <c r="I5780" s="13"/>
      <c r="J5780" s="13"/>
      <c r="K5780" s="13"/>
      <c r="L5780" s="13"/>
      <c r="M5780" s="13"/>
      <c r="N5780" s="13"/>
      <c r="O5780" s="13" t="str">
        <f t="shared" si="1"/>
        <v/>
      </c>
    </row>
    <row r="5781" ht="22.5" customHeight="1">
      <c r="B5781" s="13"/>
      <c r="C5781" s="13"/>
      <c r="D5781" s="13"/>
      <c r="E5781" s="14"/>
      <c r="F5781" s="14"/>
      <c r="G5781" s="13"/>
      <c r="H5781" s="14"/>
      <c r="I5781" s="13"/>
      <c r="J5781" s="13"/>
      <c r="K5781" s="13"/>
      <c r="L5781" s="13"/>
      <c r="M5781" s="13"/>
      <c r="N5781" s="13"/>
      <c r="O5781" s="13" t="str">
        <f t="shared" si="1"/>
        <v/>
      </c>
    </row>
    <row r="5782" ht="22.5" customHeight="1">
      <c r="B5782" s="13"/>
      <c r="C5782" s="13"/>
      <c r="D5782" s="13"/>
      <c r="E5782" s="14"/>
      <c r="F5782" s="14"/>
      <c r="G5782" s="13"/>
      <c r="H5782" s="14"/>
      <c r="I5782" s="13"/>
      <c r="J5782" s="13"/>
      <c r="K5782" s="13"/>
      <c r="L5782" s="13"/>
      <c r="M5782" s="13"/>
      <c r="N5782" s="13"/>
      <c r="O5782" s="13" t="str">
        <f t="shared" si="1"/>
        <v/>
      </c>
    </row>
    <row r="5783" ht="22.5" customHeight="1">
      <c r="B5783" s="13"/>
      <c r="C5783" s="13"/>
      <c r="D5783" s="13"/>
      <c r="E5783" s="14"/>
      <c r="F5783" s="14"/>
      <c r="G5783" s="13"/>
      <c r="H5783" s="14"/>
      <c r="I5783" s="13"/>
      <c r="J5783" s="13"/>
      <c r="K5783" s="13"/>
      <c r="L5783" s="13"/>
      <c r="M5783" s="13"/>
      <c r="N5783" s="13"/>
      <c r="O5783" s="13" t="str">
        <f t="shared" si="1"/>
        <v/>
      </c>
    </row>
    <row r="5784" ht="22.5" customHeight="1">
      <c r="B5784" s="13"/>
      <c r="C5784" s="13"/>
      <c r="D5784" s="13"/>
      <c r="E5784" s="14"/>
      <c r="F5784" s="14"/>
      <c r="G5784" s="13"/>
      <c r="H5784" s="14"/>
      <c r="I5784" s="13"/>
      <c r="J5784" s="13"/>
      <c r="K5784" s="13"/>
      <c r="L5784" s="13"/>
      <c r="M5784" s="13"/>
      <c r="N5784" s="13"/>
      <c r="O5784" s="13" t="str">
        <f t="shared" si="1"/>
        <v/>
      </c>
    </row>
    <row r="5785" ht="22.5" customHeight="1">
      <c r="B5785" s="13"/>
      <c r="C5785" s="13"/>
      <c r="D5785" s="13"/>
      <c r="E5785" s="14"/>
      <c r="F5785" s="14"/>
      <c r="G5785" s="13"/>
      <c r="H5785" s="14"/>
      <c r="I5785" s="13"/>
      <c r="J5785" s="13"/>
      <c r="K5785" s="13"/>
      <c r="L5785" s="13"/>
      <c r="M5785" s="13"/>
      <c r="N5785" s="13"/>
      <c r="O5785" s="13" t="str">
        <f t="shared" si="1"/>
        <v/>
      </c>
    </row>
    <row r="5786" ht="22.5" customHeight="1">
      <c r="B5786" s="13"/>
      <c r="C5786" s="13"/>
      <c r="D5786" s="13"/>
      <c r="E5786" s="14"/>
      <c r="F5786" s="14"/>
      <c r="G5786" s="13"/>
      <c r="H5786" s="14"/>
      <c r="I5786" s="13"/>
      <c r="J5786" s="13"/>
      <c r="K5786" s="13"/>
      <c r="L5786" s="13"/>
      <c r="M5786" s="13"/>
      <c r="N5786" s="13"/>
      <c r="O5786" s="13" t="str">
        <f t="shared" si="1"/>
        <v/>
      </c>
    </row>
    <row r="5787" ht="22.5" customHeight="1">
      <c r="B5787" s="13"/>
      <c r="C5787" s="13"/>
      <c r="D5787" s="13"/>
      <c r="E5787" s="14"/>
      <c r="F5787" s="14"/>
      <c r="G5787" s="13"/>
      <c r="H5787" s="14"/>
      <c r="I5787" s="13"/>
      <c r="J5787" s="13"/>
      <c r="K5787" s="13"/>
      <c r="L5787" s="13"/>
      <c r="M5787" s="13"/>
      <c r="N5787" s="13"/>
      <c r="O5787" s="13" t="str">
        <f t="shared" si="1"/>
        <v/>
      </c>
    </row>
    <row r="5788" ht="22.5" customHeight="1">
      <c r="B5788" s="13"/>
      <c r="C5788" s="13"/>
      <c r="D5788" s="13"/>
      <c r="E5788" s="14"/>
      <c r="F5788" s="14"/>
      <c r="G5788" s="13"/>
      <c r="H5788" s="14"/>
      <c r="I5788" s="13"/>
      <c r="J5788" s="13"/>
      <c r="K5788" s="13"/>
      <c r="L5788" s="13"/>
      <c r="M5788" s="13"/>
      <c r="N5788" s="13"/>
      <c r="O5788" s="13" t="str">
        <f t="shared" si="1"/>
        <v/>
      </c>
    </row>
    <row r="5789" ht="22.5" customHeight="1">
      <c r="B5789" s="13"/>
      <c r="C5789" s="13"/>
      <c r="D5789" s="13"/>
      <c r="E5789" s="14"/>
      <c r="F5789" s="14"/>
      <c r="G5789" s="13"/>
      <c r="H5789" s="14"/>
      <c r="I5789" s="13"/>
      <c r="J5789" s="13"/>
      <c r="K5789" s="13"/>
      <c r="L5789" s="13"/>
      <c r="M5789" s="13"/>
      <c r="N5789" s="13"/>
      <c r="O5789" s="13" t="str">
        <f t="shared" si="1"/>
        <v/>
      </c>
    </row>
    <row r="5790" ht="22.5" customHeight="1">
      <c r="B5790" s="13"/>
      <c r="C5790" s="13"/>
      <c r="D5790" s="13"/>
      <c r="E5790" s="14"/>
      <c r="F5790" s="14"/>
      <c r="G5790" s="13"/>
      <c r="H5790" s="14"/>
      <c r="I5790" s="13"/>
      <c r="J5790" s="13"/>
      <c r="K5790" s="13"/>
      <c r="L5790" s="13"/>
      <c r="M5790" s="13"/>
      <c r="N5790" s="13"/>
      <c r="O5790" s="13" t="str">
        <f t="shared" si="1"/>
        <v/>
      </c>
    </row>
    <row r="5791" ht="22.5" customHeight="1">
      <c r="B5791" s="13"/>
      <c r="C5791" s="13"/>
      <c r="D5791" s="13"/>
      <c r="E5791" s="14"/>
      <c r="F5791" s="14"/>
      <c r="G5791" s="13"/>
      <c r="H5791" s="14"/>
      <c r="I5791" s="13"/>
      <c r="J5791" s="13"/>
      <c r="K5791" s="13"/>
      <c r="L5791" s="13"/>
      <c r="M5791" s="13"/>
      <c r="N5791" s="13"/>
      <c r="O5791" s="13" t="str">
        <f t="shared" si="1"/>
        <v/>
      </c>
    </row>
    <row r="5792" ht="22.5" customHeight="1">
      <c r="B5792" s="13"/>
      <c r="C5792" s="13"/>
      <c r="D5792" s="13"/>
      <c r="E5792" s="14"/>
      <c r="F5792" s="14"/>
      <c r="G5792" s="13"/>
      <c r="H5792" s="14"/>
      <c r="I5792" s="13"/>
      <c r="J5792" s="13"/>
      <c r="K5792" s="13"/>
      <c r="L5792" s="13"/>
      <c r="M5792" s="13"/>
      <c r="N5792" s="13"/>
      <c r="O5792" s="13" t="str">
        <f t="shared" si="1"/>
        <v/>
      </c>
    </row>
    <row r="5793" ht="22.5" customHeight="1">
      <c r="B5793" s="13"/>
      <c r="C5793" s="13"/>
      <c r="D5793" s="13"/>
      <c r="E5793" s="14"/>
      <c r="F5793" s="14"/>
      <c r="G5793" s="13"/>
      <c r="H5793" s="14"/>
      <c r="I5793" s="13"/>
      <c r="J5793" s="13"/>
      <c r="K5793" s="13"/>
      <c r="L5793" s="13"/>
      <c r="M5793" s="13"/>
      <c r="N5793" s="13"/>
      <c r="O5793" s="13" t="str">
        <f t="shared" si="1"/>
        <v/>
      </c>
    </row>
    <row r="5794" ht="22.5" customHeight="1">
      <c r="B5794" s="13"/>
      <c r="C5794" s="13"/>
      <c r="D5794" s="13"/>
      <c r="E5794" s="14"/>
      <c r="F5794" s="14"/>
      <c r="G5794" s="13"/>
      <c r="H5794" s="14"/>
      <c r="I5794" s="13"/>
      <c r="J5794" s="13"/>
      <c r="K5794" s="13"/>
      <c r="L5794" s="13"/>
      <c r="M5794" s="13"/>
      <c r="N5794" s="13"/>
      <c r="O5794" s="13" t="str">
        <f t="shared" si="1"/>
        <v/>
      </c>
    </row>
    <row r="5795" ht="22.5" customHeight="1">
      <c r="B5795" s="13"/>
      <c r="C5795" s="13"/>
      <c r="D5795" s="13"/>
      <c r="E5795" s="14"/>
      <c r="F5795" s="14"/>
      <c r="G5795" s="13"/>
      <c r="H5795" s="14"/>
      <c r="I5795" s="13"/>
      <c r="J5795" s="13"/>
      <c r="K5795" s="13"/>
      <c r="L5795" s="13"/>
      <c r="M5795" s="13"/>
      <c r="N5795" s="13"/>
      <c r="O5795" s="13" t="str">
        <f t="shared" si="1"/>
        <v/>
      </c>
    </row>
    <row r="5796" ht="22.5" customHeight="1">
      <c r="B5796" s="13"/>
      <c r="C5796" s="13"/>
      <c r="D5796" s="13"/>
      <c r="E5796" s="14"/>
      <c r="F5796" s="14"/>
      <c r="G5796" s="13"/>
      <c r="H5796" s="14"/>
      <c r="I5796" s="13"/>
      <c r="J5796" s="13"/>
      <c r="K5796" s="13"/>
      <c r="L5796" s="13"/>
      <c r="M5796" s="13"/>
      <c r="N5796" s="13"/>
      <c r="O5796" s="13" t="str">
        <f t="shared" si="1"/>
        <v/>
      </c>
    </row>
    <row r="5797" ht="22.5" customHeight="1">
      <c r="B5797" s="13"/>
      <c r="C5797" s="13"/>
      <c r="D5797" s="13"/>
      <c r="E5797" s="14"/>
      <c r="F5797" s="14"/>
      <c r="G5797" s="13"/>
      <c r="H5797" s="14"/>
      <c r="I5797" s="13"/>
      <c r="J5797" s="13"/>
      <c r="K5797" s="13"/>
      <c r="L5797" s="13"/>
      <c r="M5797" s="13"/>
      <c r="N5797" s="13"/>
      <c r="O5797" s="13" t="str">
        <f t="shared" si="1"/>
        <v/>
      </c>
    </row>
    <row r="5798" ht="22.5" customHeight="1">
      <c r="B5798" s="13"/>
      <c r="C5798" s="13"/>
      <c r="D5798" s="13"/>
      <c r="E5798" s="14"/>
      <c r="F5798" s="14"/>
      <c r="G5798" s="13"/>
      <c r="H5798" s="14"/>
      <c r="I5798" s="13"/>
      <c r="J5798" s="13"/>
      <c r="K5798" s="13"/>
      <c r="L5798" s="13"/>
      <c r="M5798" s="13"/>
      <c r="N5798" s="13"/>
      <c r="O5798" s="13" t="str">
        <f t="shared" si="1"/>
        <v/>
      </c>
    </row>
    <row r="5799" ht="22.5" customHeight="1">
      <c r="B5799" s="13"/>
      <c r="C5799" s="13"/>
      <c r="D5799" s="13"/>
      <c r="E5799" s="14"/>
      <c r="F5799" s="14"/>
      <c r="G5799" s="13"/>
      <c r="H5799" s="14"/>
      <c r="I5799" s="13"/>
      <c r="J5799" s="13"/>
      <c r="K5799" s="13"/>
      <c r="L5799" s="13"/>
      <c r="M5799" s="13"/>
      <c r="N5799" s="13"/>
      <c r="O5799" s="13" t="str">
        <f t="shared" si="1"/>
        <v/>
      </c>
    </row>
    <row r="5800" ht="22.5" customHeight="1">
      <c r="B5800" s="13"/>
      <c r="C5800" s="13"/>
      <c r="D5800" s="13"/>
      <c r="E5800" s="14"/>
      <c r="F5800" s="14"/>
      <c r="G5800" s="13"/>
      <c r="H5800" s="14"/>
      <c r="I5800" s="13"/>
      <c r="J5800" s="13"/>
      <c r="K5800" s="13"/>
      <c r="L5800" s="13"/>
      <c r="M5800" s="13"/>
      <c r="N5800" s="13"/>
      <c r="O5800" s="13" t="str">
        <f t="shared" si="1"/>
        <v/>
      </c>
    </row>
    <row r="5801" ht="22.5" customHeight="1">
      <c r="B5801" s="13"/>
      <c r="C5801" s="13"/>
      <c r="D5801" s="13"/>
      <c r="E5801" s="14"/>
      <c r="F5801" s="14"/>
      <c r="G5801" s="13"/>
      <c r="H5801" s="14"/>
      <c r="I5801" s="13"/>
      <c r="J5801" s="13"/>
      <c r="K5801" s="13"/>
      <c r="L5801" s="13"/>
      <c r="M5801" s="13"/>
      <c r="N5801" s="13"/>
      <c r="O5801" s="13" t="str">
        <f t="shared" si="1"/>
        <v/>
      </c>
    </row>
    <row r="5802" ht="22.5" customHeight="1">
      <c r="B5802" s="13"/>
      <c r="C5802" s="13"/>
      <c r="D5802" s="13"/>
      <c r="E5802" s="14"/>
      <c r="F5802" s="14"/>
      <c r="G5802" s="13"/>
      <c r="H5802" s="14"/>
      <c r="I5802" s="13"/>
      <c r="J5802" s="13"/>
      <c r="K5802" s="13"/>
      <c r="L5802" s="13"/>
      <c r="M5802" s="13"/>
      <c r="N5802" s="13"/>
      <c r="O5802" s="13" t="str">
        <f t="shared" si="1"/>
        <v/>
      </c>
    </row>
    <row r="5803" ht="22.5" customHeight="1">
      <c r="B5803" s="13"/>
      <c r="C5803" s="13"/>
      <c r="D5803" s="13"/>
      <c r="E5803" s="14"/>
      <c r="F5803" s="14"/>
      <c r="G5803" s="13"/>
      <c r="H5803" s="14"/>
      <c r="I5803" s="13"/>
      <c r="J5803" s="13"/>
      <c r="K5803" s="13"/>
      <c r="L5803" s="13"/>
      <c r="M5803" s="13"/>
      <c r="N5803" s="13"/>
      <c r="O5803" s="13" t="str">
        <f t="shared" si="1"/>
        <v/>
      </c>
    </row>
    <row r="5804" ht="22.5" customHeight="1">
      <c r="B5804" s="13"/>
      <c r="C5804" s="13"/>
      <c r="D5804" s="13"/>
      <c r="E5804" s="14"/>
      <c r="F5804" s="14"/>
      <c r="G5804" s="13"/>
      <c r="H5804" s="14"/>
      <c r="I5804" s="13"/>
      <c r="J5804" s="13"/>
      <c r="K5804" s="13"/>
      <c r="L5804" s="13"/>
      <c r="M5804" s="13"/>
      <c r="N5804" s="13"/>
      <c r="O5804" s="13" t="str">
        <f t="shared" si="1"/>
        <v/>
      </c>
    </row>
    <row r="5805" ht="22.5" customHeight="1">
      <c r="B5805" s="13"/>
      <c r="C5805" s="13"/>
      <c r="D5805" s="13"/>
      <c r="E5805" s="14"/>
      <c r="F5805" s="14"/>
      <c r="G5805" s="13"/>
      <c r="H5805" s="14"/>
      <c r="I5805" s="13"/>
      <c r="J5805" s="13"/>
      <c r="K5805" s="13"/>
      <c r="L5805" s="13"/>
      <c r="M5805" s="13"/>
      <c r="N5805" s="13"/>
      <c r="O5805" s="13" t="str">
        <f t="shared" si="1"/>
        <v/>
      </c>
    </row>
    <row r="5806" ht="22.5" customHeight="1">
      <c r="B5806" s="13"/>
      <c r="C5806" s="13"/>
      <c r="D5806" s="13"/>
      <c r="E5806" s="14"/>
      <c r="F5806" s="14"/>
      <c r="G5806" s="13"/>
      <c r="H5806" s="14"/>
      <c r="I5806" s="13"/>
      <c r="J5806" s="13"/>
      <c r="K5806" s="13"/>
      <c r="L5806" s="13"/>
      <c r="M5806" s="13"/>
      <c r="N5806" s="13"/>
      <c r="O5806" s="13" t="str">
        <f t="shared" si="1"/>
        <v/>
      </c>
    </row>
    <row r="5807" ht="22.5" customHeight="1">
      <c r="B5807" s="13"/>
      <c r="C5807" s="13"/>
      <c r="D5807" s="13"/>
      <c r="E5807" s="14"/>
      <c r="F5807" s="14"/>
      <c r="G5807" s="13"/>
      <c r="H5807" s="14"/>
      <c r="I5807" s="13"/>
      <c r="J5807" s="13"/>
      <c r="K5807" s="13"/>
      <c r="L5807" s="13"/>
      <c r="M5807" s="13"/>
      <c r="N5807" s="13"/>
      <c r="O5807" s="13" t="str">
        <f t="shared" si="1"/>
        <v/>
      </c>
    </row>
    <row r="5808" ht="22.5" customHeight="1">
      <c r="B5808" s="13"/>
      <c r="C5808" s="13"/>
      <c r="D5808" s="13"/>
      <c r="E5808" s="14"/>
      <c r="F5808" s="14"/>
      <c r="G5808" s="13"/>
      <c r="H5808" s="14"/>
      <c r="I5808" s="13"/>
      <c r="J5808" s="13"/>
      <c r="K5808" s="13"/>
      <c r="L5808" s="13"/>
      <c r="M5808" s="13"/>
      <c r="N5808" s="13"/>
      <c r="O5808" s="13" t="str">
        <f t="shared" si="1"/>
        <v/>
      </c>
    </row>
    <row r="5809" ht="22.5" customHeight="1">
      <c r="B5809" s="13"/>
      <c r="C5809" s="13"/>
      <c r="D5809" s="13"/>
      <c r="E5809" s="14"/>
      <c r="F5809" s="14"/>
      <c r="G5809" s="13"/>
      <c r="H5809" s="14"/>
      <c r="I5809" s="13"/>
      <c r="J5809" s="13"/>
      <c r="K5809" s="13"/>
      <c r="L5809" s="13"/>
      <c r="M5809" s="13"/>
      <c r="N5809" s="13"/>
      <c r="O5809" s="13" t="str">
        <f t="shared" si="1"/>
        <v/>
      </c>
    </row>
    <row r="5810" ht="22.5" customHeight="1">
      <c r="B5810" s="13"/>
      <c r="C5810" s="13"/>
      <c r="D5810" s="13"/>
      <c r="E5810" s="14"/>
      <c r="F5810" s="14"/>
      <c r="G5810" s="13"/>
      <c r="H5810" s="14"/>
      <c r="I5810" s="13"/>
      <c r="J5810" s="13"/>
      <c r="K5810" s="13"/>
      <c r="L5810" s="13"/>
      <c r="M5810" s="13"/>
      <c r="N5810" s="13"/>
      <c r="O5810" s="13" t="str">
        <f t="shared" si="1"/>
        <v/>
      </c>
    </row>
    <row r="5811" ht="22.5" customHeight="1">
      <c r="B5811" s="13"/>
      <c r="C5811" s="13"/>
      <c r="D5811" s="13"/>
      <c r="E5811" s="14"/>
      <c r="F5811" s="14"/>
      <c r="G5811" s="13"/>
      <c r="H5811" s="14"/>
      <c r="I5811" s="13"/>
      <c r="J5811" s="13"/>
      <c r="K5811" s="13"/>
      <c r="L5811" s="13"/>
      <c r="M5811" s="13"/>
      <c r="N5811" s="13"/>
      <c r="O5811" s="13" t="str">
        <f t="shared" si="1"/>
        <v/>
      </c>
    </row>
    <row r="5812" ht="22.5" customHeight="1">
      <c r="B5812" s="13"/>
      <c r="C5812" s="13"/>
      <c r="D5812" s="13"/>
      <c r="E5812" s="14"/>
      <c r="F5812" s="14"/>
      <c r="G5812" s="13"/>
      <c r="H5812" s="14"/>
      <c r="I5812" s="13"/>
      <c r="J5812" s="13"/>
      <c r="K5812" s="13"/>
      <c r="L5812" s="13"/>
      <c r="M5812" s="13"/>
      <c r="N5812" s="13"/>
      <c r="O5812" s="13" t="str">
        <f t="shared" si="1"/>
        <v/>
      </c>
    </row>
    <row r="5813" ht="22.5" customHeight="1">
      <c r="B5813" s="13"/>
      <c r="C5813" s="13"/>
      <c r="D5813" s="13"/>
      <c r="E5813" s="14"/>
      <c r="F5813" s="14"/>
      <c r="G5813" s="13"/>
      <c r="H5813" s="14"/>
      <c r="I5813" s="13"/>
      <c r="J5813" s="13"/>
      <c r="K5813" s="13"/>
      <c r="L5813" s="13"/>
      <c r="M5813" s="13"/>
      <c r="N5813" s="13"/>
      <c r="O5813" s="13" t="str">
        <f t="shared" si="1"/>
        <v/>
      </c>
    </row>
    <row r="5814" ht="22.5" customHeight="1">
      <c r="B5814" s="13"/>
      <c r="C5814" s="13"/>
      <c r="D5814" s="13"/>
      <c r="E5814" s="14"/>
      <c r="F5814" s="14"/>
      <c r="G5814" s="13"/>
      <c r="H5814" s="14"/>
      <c r="I5814" s="13"/>
      <c r="J5814" s="13"/>
      <c r="K5814" s="13"/>
      <c r="L5814" s="13"/>
      <c r="M5814" s="13"/>
      <c r="N5814" s="13"/>
      <c r="O5814" s="13" t="str">
        <f t="shared" si="1"/>
        <v/>
      </c>
    </row>
    <row r="5815" ht="22.5" customHeight="1">
      <c r="B5815" s="13"/>
      <c r="C5815" s="13"/>
      <c r="D5815" s="13"/>
      <c r="E5815" s="14"/>
      <c r="F5815" s="14"/>
      <c r="G5815" s="13"/>
      <c r="H5815" s="14"/>
      <c r="I5815" s="13"/>
      <c r="J5815" s="13"/>
      <c r="K5815" s="13"/>
      <c r="L5815" s="13"/>
      <c r="M5815" s="13"/>
      <c r="N5815" s="13"/>
      <c r="O5815" s="13" t="str">
        <f t="shared" si="1"/>
        <v/>
      </c>
    </row>
    <row r="5816" ht="22.5" customHeight="1">
      <c r="B5816" s="13"/>
      <c r="C5816" s="13"/>
      <c r="D5816" s="13"/>
      <c r="E5816" s="14"/>
      <c r="F5816" s="14"/>
      <c r="G5816" s="13"/>
      <c r="H5816" s="14"/>
      <c r="I5816" s="13"/>
      <c r="J5816" s="13"/>
      <c r="K5816" s="13"/>
      <c r="L5816" s="13"/>
      <c r="M5816" s="13"/>
      <c r="N5816" s="13"/>
      <c r="O5816" s="13" t="str">
        <f t="shared" si="1"/>
        <v/>
      </c>
    </row>
    <row r="5817" ht="22.5" customHeight="1">
      <c r="B5817" s="13"/>
      <c r="C5817" s="13"/>
      <c r="D5817" s="13"/>
      <c r="E5817" s="14"/>
      <c r="F5817" s="14"/>
      <c r="G5817" s="13"/>
      <c r="H5817" s="14"/>
      <c r="I5817" s="13"/>
      <c r="J5817" s="13"/>
      <c r="K5817" s="13"/>
      <c r="L5817" s="13"/>
      <c r="M5817" s="13"/>
      <c r="N5817" s="13"/>
      <c r="O5817" s="13" t="str">
        <f t="shared" si="1"/>
        <v/>
      </c>
    </row>
    <row r="5818" ht="22.5" customHeight="1">
      <c r="B5818" s="13"/>
      <c r="C5818" s="13"/>
      <c r="D5818" s="13"/>
      <c r="E5818" s="14"/>
      <c r="F5818" s="14"/>
      <c r="G5818" s="13"/>
      <c r="H5818" s="14"/>
      <c r="I5818" s="13"/>
      <c r="J5818" s="13"/>
      <c r="K5818" s="13"/>
      <c r="L5818" s="13"/>
      <c r="M5818" s="13"/>
      <c r="N5818" s="13"/>
      <c r="O5818" s="13" t="str">
        <f t="shared" si="1"/>
        <v/>
      </c>
    </row>
    <row r="5819" ht="22.5" customHeight="1">
      <c r="B5819" s="13"/>
      <c r="C5819" s="13"/>
      <c r="D5819" s="13"/>
      <c r="E5819" s="14"/>
      <c r="F5819" s="14"/>
      <c r="G5819" s="13"/>
      <c r="H5819" s="14"/>
      <c r="I5819" s="13"/>
      <c r="J5819" s="13"/>
      <c r="K5819" s="13"/>
      <c r="L5819" s="13"/>
      <c r="M5819" s="13"/>
      <c r="N5819" s="13"/>
      <c r="O5819" s="13" t="str">
        <f t="shared" si="1"/>
        <v/>
      </c>
    </row>
    <row r="5820" ht="22.5" customHeight="1">
      <c r="B5820" s="13"/>
      <c r="C5820" s="13"/>
      <c r="D5820" s="13"/>
      <c r="E5820" s="14"/>
      <c r="F5820" s="14"/>
      <c r="G5820" s="13"/>
      <c r="H5820" s="14"/>
      <c r="I5820" s="13"/>
      <c r="J5820" s="13"/>
      <c r="K5820" s="13"/>
      <c r="L5820" s="13"/>
      <c r="M5820" s="13"/>
      <c r="N5820" s="13"/>
      <c r="O5820" s="13" t="str">
        <f t="shared" si="1"/>
        <v/>
      </c>
    </row>
    <row r="5821" ht="22.5" customHeight="1">
      <c r="B5821" s="13"/>
      <c r="C5821" s="13"/>
      <c r="D5821" s="13"/>
      <c r="E5821" s="14"/>
      <c r="F5821" s="14"/>
      <c r="G5821" s="13"/>
      <c r="H5821" s="14"/>
      <c r="I5821" s="13"/>
      <c r="J5821" s="13"/>
      <c r="K5821" s="13"/>
      <c r="L5821" s="13"/>
      <c r="M5821" s="13"/>
      <c r="N5821" s="13"/>
      <c r="O5821" s="13" t="str">
        <f t="shared" si="1"/>
        <v/>
      </c>
    </row>
    <row r="5822" ht="22.5" customHeight="1">
      <c r="B5822" s="13"/>
      <c r="C5822" s="13"/>
      <c r="D5822" s="13"/>
      <c r="E5822" s="14"/>
      <c r="F5822" s="14"/>
      <c r="G5822" s="13"/>
      <c r="H5822" s="14"/>
      <c r="I5822" s="13"/>
      <c r="J5822" s="13"/>
      <c r="K5822" s="13"/>
      <c r="L5822" s="13"/>
      <c r="M5822" s="13"/>
      <c r="N5822" s="13"/>
      <c r="O5822" s="13" t="str">
        <f t="shared" si="1"/>
        <v/>
      </c>
    </row>
    <row r="5823" ht="22.5" customHeight="1">
      <c r="B5823" s="13"/>
      <c r="C5823" s="13"/>
      <c r="D5823" s="13"/>
      <c r="E5823" s="14"/>
      <c r="F5823" s="14"/>
      <c r="G5823" s="13"/>
      <c r="H5823" s="14"/>
      <c r="I5823" s="13"/>
      <c r="J5823" s="13"/>
      <c r="K5823" s="13"/>
      <c r="L5823" s="13"/>
      <c r="M5823" s="13"/>
      <c r="N5823" s="13"/>
      <c r="O5823" s="13" t="str">
        <f t="shared" si="1"/>
        <v/>
      </c>
    </row>
    <row r="5824" ht="22.5" customHeight="1">
      <c r="B5824" s="13"/>
      <c r="C5824" s="13"/>
      <c r="D5824" s="13"/>
      <c r="E5824" s="14"/>
      <c r="F5824" s="14"/>
      <c r="G5824" s="13"/>
      <c r="H5824" s="14"/>
      <c r="I5824" s="13"/>
      <c r="J5824" s="13"/>
      <c r="K5824" s="13"/>
      <c r="L5824" s="13"/>
      <c r="M5824" s="13"/>
      <c r="N5824" s="13"/>
      <c r="O5824" s="13" t="str">
        <f t="shared" si="1"/>
        <v/>
      </c>
    </row>
    <row r="5825" ht="22.5" customHeight="1">
      <c r="B5825" s="13"/>
      <c r="C5825" s="13"/>
      <c r="D5825" s="13"/>
      <c r="E5825" s="14"/>
      <c r="F5825" s="14"/>
      <c r="G5825" s="13"/>
      <c r="H5825" s="14"/>
      <c r="I5825" s="13"/>
      <c r="J5825" s="13"/>
      <c r="K5825" s="13"/>
      <c r="L5825" s="13"/>
      <c r="M5825" s="13"/>
      <c r="N5825" s="13"/>
      <c r="O5825" s="13" t="str">
        <f t="shared" si="1"/>
        <v/>
      </c>
    </row>
    <row r="5826" ht="22.5" customHeight="1">
      <c r="B5826" s="13"/>
      <c r="C5826" s="13"/>
      <c r="D5826" s="13"/>
      <c r="E5826" s="14"/>
      <c r="F5826" s="14"/>
      <c r="G5826" s="13"/>
      <c r="H5826" s="14"/>
      <c r="I5826" s="13"/>
      <c r="J5826" s="13"/>
      <c r="K5826" s="13"/>
      <c r="L5826" s="13"/>
      <c r="M5826" s="13"/>
      <c r="N5826" s="13"/>
      <c r="O5826" s="13" t="str">
        <f t="shared" si="1"/>
        <v/>
      </c>
    </row>
    <row r="5827" ht="22.5" customHeight="1">
      <c r="B5827" s="13"/>
      <c r="C5827" s="13"/>
      <c r="D5827" s="13"/>
      <c r="E5827" s="14"/>
      <c r="F5827" s="14"/>
      <c r="G5827" s="13"/>
      <c r="H5827" s="14"/>
      <c r="I5827" s="13"/>
      <c r="J5827" s="13"/>
      <c r="K5827" s="13"/>
      <c r="L5827" s="13"/>
      <c r="M5827" s="13"/>
      <c r="N5827" s="13"/>
      <c r="O5827" s="13" t="str">
        <f t="shared" si="1"/>
        <v/>
      </c>
    </row>
    <row r="5828" ht="22.5" customHeight="1">
      <c r="B5828" s="13"/>
      <c r="C5828" s="13"/>
      <c r="D5828" s="13"/>
      <c r="E5828" s="14"/>
      <c r="F5828" s="14"/>
      <c r="G5828" s="13"/>
      <c r="H5828" s="14"/>
      <c r="I5828" s="13"/>
      <c r="J5828" s="13"/>
      <c r="K5828" s="13"/>
      <c r="L5828" s="13"/>
      <c r="M5828" s="13"/>
      <c r="N5828" s="13"/>
      <c r="O5828" s="13" t="str">
        <f t="shared" si="1"/>
        <v/>
      </c>
    </row>
    <row r="5829" ht="22.5" customHeight="1">
      <c r="B5829" s="13"/>
      <c r="C5829" s="13"/>
      <c r="D5829" s="13"/>
      <c r="E5829" s="14"/>
      <c r="F5829" s="14"/>
      <c r="G5829" s="13"/>
      <c r="H5829" s="14"/>
      <c r="I5829" s="13"/>
      <c r="J5829" s="13"/>
      <c r="K5829" s="13"/>
      <c r="L5829" s="13"/>
      <c r="M5829" s="13"/>
      <c r="N5829" s="13"/>
      <c r="O5829" s="13" t="str">
        <f t="shared" si="1"/>
        <v/>
      </c>
    </row>
    <row r="5830" ht="22.5" customHeight="1">
      <c r="B5830" s="13"/>
      <c r="C5830" s="13"/>
      <c r="D5830" s="13"/>
      <c r="E5830" s="14"/>
      <c r="F5830" s="14"/>
      <c r="G5830" s="13"/>
      <c r="H5830" s="14"/>
      <c r="I5830" s="13"/>
      <c r="J5830" s="13"/>
      <c r="K5830" s="13"/>
      <c r="L5830" s="13"/>
      <c r="M5830" s="13"/>
      <c r="N5830" s="13"/>
      <c r="O5830" s="13" t="str">
        <f t="shared" si="1"/>
        <v/>
      </c>
    </row>
    <row r="5831" ht="22.5" customHeight="1">
      <c r="B5831" s="13"/>
      <c r="C5831" s="13"/>
      <c r="D5831" s="13"/>
      <c r="E5831" s="14"/>
      <c r="F5831" s="14"/>
      <c r="G5831" s="13"/>
      <c r="H5831" s="14"/>
      <c r="I5831" s="13"/>
      <c r="J5831" s="13"/>
      <c r="K5831" s="13"/>
      <c r="L5831" s="13"/>
      <c r="M5831" s="13"/>
      <c r="N5831" s="13"/>
      <c r="O5831" s="13" t="str">
        <f t="shared" si="1"/>
        <v/>
      </c>
    </row>
    <row r="5832" ht="22.5" customHeight="1">
      <c r="B5832" s="13"/>
      <c r="C5832" s="13"/>
      <c r="D5832" s="13"/>
      <c r="E5832" s="14"/>
      <c r="F5832" s="14"/>
      <c r="G5832" s="13"/>
      <c r="H5832" s="14"/>
      <c r="I5832" s="13"/>
      <c r="J5832" s="13"/>
      <c r="K5832" s="13"/>
      <c r="L5832" s="13"/>
      <c r="M5832" s="13"/>
      <c r="N5832" s="13"/>
      <c r="O5832" s="13" t="str">
        <f t="shared" si="1"/>
        <v/>
      </c>
    </row>
    <row r="5833" ht="22.5" customHeight="1">
      <c r="B5833" s="13"/>
      <c r="C5833" s="13"/>
      <c r="D5833" s="13"/>
      <c r="E5833" s="14"/>
      <c r="F5833" s="14"/>
      <c r="G5833" s="13"/>
      <c r="H5833" s="14"/>
      <c r="I5833" s="13"/>
      <c r="J5833" s="13"/>
      <c r="K5833" s="13"/>
      <c r="L5833" s="13"/>
      <c r="M5833" s="13"/>
      <c r="N5833" s="13"/>
      <c r="O5833" s="13" t="str">
        <f t="shared" si="1"/>
        <v/>
      </c>
    </row>
    <row r="5834" ht="22.5" customHeight="1">
      <c r="B5834" s="13"/>
      <c r="C5834" s="13"/>
      <c r="D5834" s="13"/>
      <c r="E5834" s="14"/>
      <c r="F5834" s="14"/>
      <c r="G5834" s="13"/>
      <c r="H5834" s="14"/>
      <c r="I5834" s="13"/>
      <c r="J5834" s="13"/>
      <c r="K5834" s="13"/>
      <c r="L5834" s="13"/>
      <c r="M5834" s="13"/>
      <c r="N5834" s="13"/>
      <c r="O5834" s="13" t="str">
        <f t="shared" si="1"/>
        <v/>
      </c>
    </row>
    <row r="5835" ht="22.5" customHeight="1">
      <c r="B5835" s="13"/>
      <c r="C5835" s="13"/>
      <c r="D5835" s="13"/>
      <c r="E5835" s="14"/>
      <c r="F5835" s="14"/>
      <c r="G5835" s="13"/>
      <c r="H5835" s="14"/>
      <c r="I5835" s="13"/>
      <c r="J5835" s="13"/>
      <c r="K5835" s="13"/>
      <c r="L5835" s="13"/>
      <c r="M5835" s="13"/>
      <c r="N5835" s="13"/>
      <c r="O5835" s="13" t="str">
        <f t="shared" si="1"/>
        <v/>
      </c>
    </row>
    <row r="5836" ht="22.5" customHeight="1">
      <c r="B5836" s="13"/>
      <c r="C5836" s="13"/>
      <c r="D5836" s="13"/>
      <c r="E5836" s="14"/>
      <c r="F5836" s="14"/>
      <c r="G5836" s="13"/>
      <c r="H5836" s="14"/>
      <c r="I5836" s="13"/>
      <c r="J5836" s="13"/>
      <c r="K5836" s="13"/>
      <c r="L5836" s="13"/>
      <c r="M5836" s="13"/>
      <c r="N5836" s="13"/>
      <c r="O5836" s="13" t="str">
        <f t="shared" si="1"/>
        <v/>
      </c>
    </row>
    <row r="5837" ht="22.5" customHeight="1">
      <c r="B5837" s="13"/>
      <c r="C5837" s="13"/>
      <c r="D5837" s="13"/>
      <c r="E5837" s="14"/>
      <c r="F5837" s="14"/>
      <c r="G5837" s="13"/>
      <c r="H5837" s="14"/>
      <c r="I5837" s="13"/>
      <c r="J5837" s="13"/>
      <c r="K5837" s="13"/>
      <c r="L5837" s="13"/>
      <c r="M5837" s="13"/>
      <c r="N5837" s="13"/>
      <c r="O5837" s="13" t="str">
        <f t="shared" si="1"/>
        <v/>
      </c>
    </row>
    <row r="5838" ht="22.5" customHeight="1">
      <c r="B5838" s="13"/>
      <c r="C5838" s="13"/>
      <c r="D5838" s="13"/>
      <c r="E5838" s="14"/>
      <c r="F5838" s="14"/>
      <c r="G5838" s="13"/>
      <c r="H5838" s="14"/>
      <c r="I5838" s="13"/>
      <c r="J5838" s="13"/>
      <c r="K5838" s="13"/>
      <c r="L5838" s="13"/>
      <c r="M5838" s="13"/>
      <c r="N5838" s="13"/>
      <c r="O5838" s="13" t="str">
        <f t="shared" si="1"/>
        <v/>
      </c>
    </row>
    <row r="5839" ht="22.5" customHeight="1">
      <c r="B5839" s="13"/>
      <c r="C5839" s="13"/>
      <c r="D5839" s="13"/>
      <c r="E5839" s="14"/>
      <c r="F5839" s="14"/>
      <c r="G5839" s="13"/>
      <c r="H5839" s="14"/>
      <c r="I5839" s="13"/>
      <c r="J5839" s="13"/>
      <c r="K5839" s="13"/>
      <c r="L5839" s="13"/>
      <c r="M5839" s="13"/>
      <c r="N5839" s="13"/>
      <c r="O5839" s="13" t="str">
        <f t="shared" si="1"/>
        <v/>
      </c>
    </row>
    <row r="5840" ht="22.5" customHeight="1">
      <c r="B5840" s="13"/>
      <c r="C5840" s="13"/>
      <c r="D5840" s="13"/>
      <c r="E5840" s="14"/>
      <c r="F5840" s="14"/>
      <c r="G5840" s="13"/>
      <c r="H5840" s="14"/>
      <c r="I5840" s="13"/>
      <c r="J5840" s="13"/>
      <c r="K5840" s="13"/>
      <c r="L5840" s="13"/>
      <c r="M5840" s="13"/>
      <c r="N5840" s="13"/>
      <c r="O5840" s="13" t="str">
        <f t="shared" si="1"/>
        <v/>
      </c>
    </row>
    <row r="5841" ht="22.5" customHeight="1">
      <c r="B5841" s="13"/>
      <c r="C5841" s="13"/>
      <c r="D5841" s="13"/>
      <c r="E5841" s="14"/>
      <c r="F5841" s="14"/>
      <c r="G5841" s="13"/>
      <c r="H5841" s="14"/>
      <c r="I5841" s="13"/>
      <c r="J5841" s="13"/>
      <c r="K5841" s="13"/>
      <c r="L5841" s="13"/>
      <c r="M5841" s="13"/>
      <c r="N5841" s="13"/>
      <c r="O5841" s="13" t="str">
        <f t="shared" si="1"/>
        <v/>
      </c>
    </row>
    <row r="5842" ht="22.5" customHeight="1">
      <c r="B5842" s="13"/>
      <c r="C5842" s="13"/>
      <c r="D5842" s="13"/>
      <c r="E5842" s="14"/>
      <c r="F5842" s="14"/>
      <c r="G5842" s="13"/>
      <c r="H5842" s="14"/>
      <c r="I5842" s="13"/>
      <c r="J5842" s="13"/>
      <c r="K5842" s="13"/>
      <c r="L5842" s="13"/>
      <c r="M5842" s="13"/>
      <c r="N5842" s="13"/>
      <c r="O5842" s="13" t="str">
        <f t="shared" si="1"/>
        <v/>
      </c>
    </row>
    <row r="5843" ht="22.5" customHeight="1">
      <c r="B5843" s="13"/>
      <c r="C5843" s="13"/>
      <c r="D5843" s="13"/>
      <c r="E5843" s="14"/>
      <c r="F5843" s="14"/>
      <c r="G5843" s="13"/>
      <c r="H5843" s="14"/>
      <c r="I5843" s="13"/>
      <c r="J5843" s="13"/>
      <c r="K5843" s="13"/>
      <c r="L5843" s="13"/>
      <c r="M5843" s="13"/>
      <c r="N5843" s="13"/>
      <c r="O5843" s="13" t="str">
        <f t="shared" si="1"/>
        <v/>
      </c>
    </row>
    <row r="5844" ht="22.5" customHeight="1">
      <c r="B5844" s="13"/>
      <c r="C5844" s="13"/>
      <c r="D5844" s="13"/>
      <c r="E5844" s="14"/>
      <c r="F5844" s="14"/>
      <c r="G5844" s="13"/>
      <c r="H5844" s="14"/>
      <c r="I5844" s="13"/>
      <c r="J5844" s="13"/>
      <c r="K5844" s="13"/>
      <c r="L5844" s="13"/>
      <c r="M5844" s="13"/>
      <c r="N5844" s="13"/>
      <c r="O5844" s="13" t="str">
        <f t="shared" si="1"/>
        <v/>
      </c>
    </row>
    <row r="5845" ht="22.5" customHeight="1">
      <c r="B5845" s="13"/>
      <c r="C5845" s="13"/>
      <c r="D5845" s="13"/>
      <c r="E5845" s="14"/>
      <c r="F5845" s="14"/>
      <c r="G5845" s="13"/>
      <c r="H5845" s="14"/>
      <c r="I5845" s="13"/>
      <c r="J5845" s="13"/>
      <c r="K5845" s="13"/>
      <c r="L5845" s="13"/>
      <c r="M5845" s="13"/>
      <c r="N5845" s="13"/>
      <c r="O5845" s="13" t="str">
        <f t="shared" si="1"/>
        <v/>
      </c>
    </row>
    <row r="5846" ht="22.5" customHeight="1">
      <c r="B5846" s="13"/>
      <c r="C5846" s="13"/>
      <c r="D5846" s="13"/>
      <c r="E5846" s="14"/>
      <c r="F5846" s="14"/>
      <c r="G5846" s="13"/>
      <c r="H5846" s="14"/>
      <c r="I5846" s="13"/>
      <c r="J5846" s="13"/>
      <c r="K5846" s="13"/>
      <c r="L5846" s="13"/>
      <c r="M5846" s="13"/>
      <c r="N5846" s="13"/>
      <c r="O5846" s="13" t="str">
        <f t="shared" si="1"/>
        <v/>
      </c>
    </row>
    <row r="5847" ht="22.5" customHeight="1">
      <c r="B5847" s="13"/>
      <c r="C5847" s="13"/>
      <c r="D5847" s="13"/>
      <c r="E5847" s="14"/>
      <c r="F5847" s="14"/>
      <c r="G5847" s="13"/>
      <c r="H5847" s="14"/>
      <c r="I5847" s="13"/>
      <c r="J5847" s="13"/>
      <c r="K5847" s="13"/>
      <c r="L5847" s="13"/>
      <c r="M5847" s="13"/>
      <c r="N5847" s="13"/>
      <c r="O5847" s="13" t="str">
        <f t="shared" si="1"/>
        <v/>
      </c>
    </row>
    <row r="5848" ht="22.5" customHeight="1">
      <c r="B5848" s="13"/>
      <c r="C5848" s="13"/>
      <c r="D5848" s="13"/>
      <c r="E5848" s="14"/>
      <c r="F5848" s="14"/>
      <c r="G5848" s="13"/>
      <c r="H5848" s="14"/>
      <c r="I5848" s="13"/>
      <c r="J5848" s="13"/>
      <c r="K5848" s="13"/>
      <c r="L5848" s="13"/>
      <c r="M5848" s="13"/>
      <c r="N5848" s="13"/>
      <c r="O5848" s="13" t="str">
        <f t="shared" si="1"/>
        <v/>
      </c>
    </row>
    <row r="5849" ht="22.5" customHeight="1">
      <c r="B5849" s="13"/>
      <c r="C5849" s="13"/>
      <c r="D5849" s="13"/>
      <c r="E5849" s="14"/>
      <c r="F5849" s="14"/>
      <c r="G5849" s="13"/>
      <c r="H5849" s="14"/>
      <c r="I5849" s="13"/>
      <c r="J5849" s="13"/>
      <c r="K5849" s="13"/>
      <c r="L5849" s="13"/>
      <c r="M5849" s="13"/>
      <c r="N5849" s="13"/>
      <c r="O5849" s="13" t="str">
        <f t="shared" si="1"/>
        <v/>
      </c>
    </row>
    <row r="5850" ht="22.5" customHeight="1">
      <c r="B5850" s="13"/>
      <c r="C5850" s="13"/>
      <c r="D5850" s="13"/>
      <c r="E5850" s="14"/>
      <c r="F5850" s="14"/>
      <c r="G5850" s="13"/>
      <c r="H5850" s="14"/>
      <c r="I5850" s="13"/>
      <c r="J5850" s="13"/>
      <c r="K5850" s="13"/>
      <c r="L5850" s="13"/>
      <c r="M5850" s="13"/>
      <c r="N5850" s="13"/>
      <c r="O5850" s="13" t="str">
        <f t="shared" si="1"/>
        <v/>
      </c>
    </row>
    <row r="5851" ht="22.5" customHeight="1">
      <c r="B5851" s="13"/>
      <c r="C5851" s="13"/>
      <c r="D5851" s="13"/>
      <c r="E5851" s="14"/>
      <c r="F5851" s="14"/>
      <c r="G5851" s="13"/>
      <c r="H5851" s="14"/>
      <c r="I5851" s="13"/>
      <c r="J5851" s="13"/>
      <c r="K5851" s="13"/>
      <c r="L5851" s="13"/>
      <c r="M5851" s="13"/>
      <c r="N5851" s="13"/>
      <c r="O5851" s="13" t="str">
        <f t="shared" si="1"/>
        <v/>
      </c>
    </row>
    <row r="5852" ht="22.5" customHeight="1">
      <c r="B5852" s="13"/>
      <c r="C5852" s="13"/>
      <c r="D5852" s="13"/>
      <c r="E5852" s="14"/>
      <c r="F5852" s="14"/>
      <c r="G5852" s="13"/>
      <c r="H5852" s="14"/>
      <c r="I5852" s="13"/>
      <c r="J5852" s="13"/>
      <c r="K5852" s="13"/>
      <c r="L5852" s="13"/>
      <c r="M5852" s="13"/>
      <c r="N5852" s="13"/>
      <c r="O5852" s="13" t="str">
        <f t="shared" si="1"/>
        <v/>
      </c>
    </row>
    <row r="5853" ht="22.5" customHeight="1">
      <c r="B5853" s="13"/>
      <c r="C5853" s="13"/>
      <c r="D5853" s="13"/>
      <c r="E5853" s="14"/>
      <c r="F5853" s="14"/>
      <c r="G5853" s="13"/>
      <c r="H5853" s="14"/>
      <c r="I5853" s="13"/>
      <c r="J5853" s="13"/>
      <c r="K5853" s="13"/>
      <c r="L5853" s="13"/>
      <c r="M5853" s="13"/>
      <c r="N5853" s="13"/>
      <c r="O5853" s="13" t="str">
        <f t="shared" si="1"/>
        <v/>
      </c>
    </row>
    <row r="5854" ht="22.5" customHeight="1">
      <c r="B5854" s="13"/>
      <c r="C5854" s="13"/>
      <c r="D5854" s="13"/>
      <c r="E5854" s="14"/>
      <c r="F5854" s="14"/>
      <c r="G5854" s="13"/>
      <c r="H5854" s="14"/>
      <c r="I5854" s="13"/>
      <c r="J5854" s="13"/>
      <c r="K5854" s="13"/>
      <c r="L5854" s="13"/>
      <c r="M5854" s="13"/>
      <c r="N5854" s="13"/>
      <c r="O5854" s="13" t="str">
        <f t="shared" si="1"/>
        <v/>
      </c>
    </row>
    <row r="5855" ht="22.5" customHeight="1">
      <c r="B5855" s="13"/>
      <c r="C5855" s="13"/>
      <c r="D5855" s="13"/>
      <c r="E5855" s="14"/>
      <c r="F5855" s="14"/>
      <c r="G5855" s="13"/>
      <c r="H5855" s="14"/>
      <c r="I5855" s="13"/>
      <c r="J5855" s="13"/>
      <c r="K5855" s="13"/>
      <c r="L5855" s="13"/>
      <c r="M5855" s="13"/>
      <c r="N5855" s="13"/>
      <c r="O5855" s="13" t="str">
        <f t="shared" si="1"/>
        <v/>
      </c>
    </row>
    <row r="5856" ht="22.5" customHeight="1">
      <c r="B5856" s="13"/>
      <c r="C5856" s="13"/>
      <c r="D5856" s="13"/>
      <c r="E5856" s="14"/>
      <c r="F5856" s="14"/>
      <c r="G5856" s="13"/>
      <c r="H5856" s="14"/>
      <c r="I5856" s="13"/>
      <c r="J5856" s="13"/>
      <c r="K5856" s="13"/>
      <c r="L5856" s="13"/>
      <c r="M5856" s="13"/>
      <c r="N5856" s="13"/>
      <c r="O5856" s="13" t="str">
        <f t="shared" si="1"/>
        <v/>
      </c>
    </row>
    <row r="5857" ht="22.5" customHeight="1">
      <c r="B5857" s="13"/>
      <c r="C5857" s="13"/>
      <c r="D5857" s="13"/>
      <c r="E5857" s="14"/>
      <c r="F5857" s="14"/>
      <c r="G5857" s="13"/>
      <c r="H5857" s="14"/>
      <c r="I5857" s="13"/>
      <c r="J5857" s="13"/>
      <c r="K5857" s="13"/>
      <c r="L5857" s="13"/>
      <c r="M5857" s="13"/>
      <c r="N5857" s="13"/>
      <c r="O5857" s="13" t="str">
        <f t="shared" si="1"/>
        <v/>
      </c>
    </row>
    <row r="5858" ht="22.5" customHeight="1">
      <c r="B5858" s="13"/>
      <c r="C5858" s="13"/>
      <c r="D5858" s="13"/>
      <c r="E5858" s="14"/>
      <c r="F5858" s="14"/>
      <c r="G5858" s="13"/>
      <c r="H5858" s="14"/>
      <c r="I5858" s="13"/>
      <c r="J5858" s="13"/>
      <c r="K5858" s="13"/>
      <c r="L5858" s="13"/>
      <c r="M5858" s="13"/>
      <c r="N5858" s="13"/>
      <c r="O5858" s="13" t="str">
        <f t="shared" si="1"/>
        <v/>
      </c>
    </row>
    <row r="5859" ht="22.5" customHeight="1">
      <c r="B5859" s="13"/>
      <c r="C5859" s="13"/>
      <c r="D5859" s="13"/>
      <c r="E5859" s="14"/>
      <c r="F5859" s="14"/>
      <c r="G5859" s="13"/>
      <c r="H5859" s="14"/>
      <c r="I5859" s="13"/>
      <c r="J5859" s="13"/>
      <c r="K5859" s="13"/>
      <c r="L5859" s="13"/>
      <c r="M5859" s="13"/>
      <c r="N5859" s="13"/>
      <c r="O5859" s="13" t="str">
        <f t="shared" si="1"/>
        <v/>
      </c>
    </row>
    <row r="5860" ht="22.5" customHeight="1">
      <c r="B5860" s="13"/>
      <c r="C5860" s="13"/>
      <c r="D5860" s="13"/>
      <c r="E5860" s="14"/>
      <c r="F5860" s="14"/>
      <c r="G5860" s="13"/>
      <c r="H5860" s="14"/>
      <c r="I5860" s="13"/>
      <c r="J5860" s="13"/>
      <c r="K5860" s="13"/>
      <c r="L5860" s="13"/>
      <c r="M5860" s="13"/>
      <c r="N5860" s="13"/>
      <c r="O5860" s="13" t="str">
        <f t="shared" si="1"/>
        <v/>
      </c>
    </row>
    <row r="5861" ht="22.5" customHeight="1">
      <c r="B5861" s="13"/>
      <c r="C5861" s="13"/>
      <c r="D5861" s="13"/>
      <c r="E5861" s="14"/>
      <c r="F5861" s="14"/>
      <c r="G5861" s="13"/>
      <c r="H5861" s="14"/>
      <c r="I5861" s="13"/>
      <c r="J5861" s="13"/>
      <c r="K5861" s="13"/>
      <c r="L5861" s="13"/>
      <c r="M5861" s="13"/>
      <c r="N5861" s="13"/>
      <c r="O5861" s="13" t="str">
        <f t="shared" si="1"/>
        <v/>
      </c>
    </row>
    <row r="5862" ht="22.5" customHeight="1">
      <c r="B5862" s="13"/>
      <c r="C5862" s="13"/>
      <c r="D5862" s="13"/>
      <c r="E5862" s="14"/>
      <c r="F5862" s="14"/>
      <c r="G5862" s="13"/>
      <c r="H5862" s="14"/>
      <c r="I5862" s="13"/>
      <c r="J5862" s="13"/>
      <c r="K5862" s="13"/>
      <c r="L5862" s="13"/>
      <c r="M5862" s="13"/>
      <c r="N5862" s="13"/>
      <c r="O5862" s="13" t="str">
        <f t="shared" si="1"/>
        <v/>
      </c>
    </row>
    <row r="5863" ht="22.5" customHeight="1">
      <c r="B5863" s="13"/>
      <c r="C5863" s="13"/>
      <c r="D5863" s="13"/>
      <c r="E5863" s="14"/>
      <c r="F5863" s="14"/>
      <c r="G5863" s="13"/>
      <c r="H5863" s="14"/>
      <c r="I5863" s="13"/>
      <c r="J5863" s="13"/>
      <c r="K5863" s="13"/>
      <c r="L5863" s="13"/>
      <c r="M5863" s="13"/>
      <c r="N5863" s="13"/>
      <c r="O5863" s="13" t="str">
        <f t="shared" si="1"/>
        <v/>
      </c>
    </row>
    <row r="5864" ht="22.5" customHeight="1">
      <c r="B5864" s="13"/>
      <c r="C5864" s="13"/>
      <c r="D5864" s="13"/>
      <c r="E5864" s="14"/>
      <c r="F5864" s="14"/>
      <c r="G5864" s="13"/>
      <c r="H5864" s="14"/>
      <c r="I5864" s="13"/>
      <c r="J5864" s="13"/>
      <c r="K5864" s="13"/>
      <c r="L5864" s="13"/>
      <c r="M5864" s="13"/>
      <c r="N5864" s="13"/>
      <c r="O5864" s="13" t="str">
        <f t="shared" si="1"/>
        <v/>
      </c>
    </row>
    <row r="5865" ht="22.5" customHeight="1">
      <c r="B5865" s="13"/>
      <c r="C5865" s="13"/>
      <c r="D5865" s="13"/>
      <c r="E5865" s="14"/>
      <c r="F5865" s="14"/>
      <c r="G5865" s="13"/>
      <c r="H5865" s="14"/>
      <c r="I5865" s="13"/>
      <c r="J5865" s="13"/>
      <c r="K5865" s="13"/>
      <c r="L5865" s="13"/>
      <c r="M5865" s="13"/>
      <c r="N5865" s="13"/>
      <c r="O5865" s="13" t="str">
        <f t="shared" si="1"/>
        <v/>
      </c>
    </row>
    <row r="5866" ht="22.5" customHeight="1">
      <c r="B5866" s="13"/>
      <c r="C5866" s="13"/>
      <c r="D5866" s="13"/>
      <c r="E5866" s="14"/>
      <c r="F5866" s="14"/>
      <c r="G5866" s="13"/>
      <c r="H5866" s="14"/>
      <c r="I5866" s="13"/>
      <c r="J5866" s="13"/>
      <c r="K5866" s="13"/>
      <c r="L5866" s="13"/>
      <c r="M5866" s="13"/>
      <c r="N5866" s="13"/>
      <c r="O5866" s="13" t="str">
        <f t="shared" si="1"/>
        <v/>
      </c>
    </row>
    <row r="5867" ht="22.5" customHeight="1">
      <c r="B5867" s="13"/>
      <c r="C5867" s="13"/>
      <c r="D5867" s="13"/>
      <c r="E5867" s="14"/>
      <c r="F5867" s="14"/>
      <c r="G5867" s="13"/>
      <c r="H5867" s="14"/>
      <c r="I5867" s="13"/>
      <c r="J5867" s="13"/>
      <c r="K5867" s="13"/>
      <c r="L5867" s="13"/>
      <c r="M5867" s="13"/>
      <c r="N5867" s="13"/>
      <c r="O5867" s="13" t="str">
        <f t="shared" si="1"/>
        <v/>
      </c>
    </row>
    <row r="5868" ht="22.5" customHeight="1">
      <c r="B5868" s="13"/>
      <c r="C5868" s="13"/>
      <c r="D5868" s="13"/>
      <c r="E5868" s="14"/>
      <c r="F5868" s="14"/>
      <c r="G5868" s="13"/>
      <c r="H5868" s="14"/>
      <c r="I5868" s="13"/>
      <c r="J5868" s="13"/>
      <c r="K5868" s="13"/>
      <c r="L5868" s="13"/>
      <c r="M5868" s="13"/>
      <c r="N5868" s="13"/>
      <c r="O5868" s="13" t="str">
        <f t="shared" si="1"/>
        <v/>
      </c>
    </row>
    <row r="5869" ht="22.5" customHeight="1">
      <c r="B5869" s="13"/>
      <c r="C5869" s="13"/>
      <c r="D5869" s="13"/>
      <c r="E5869" s="14"/>
      <c r="F5869" s="14"/>
      <c r="G5869" s="13"/>
      <c r="H5869" s="14"/>
      <c r="I5869" s="13"/>
      <c r="J5869" s="13"/>
      <c r="K5869" s="13"/>
      <c r="L5869" s="13"/>
      <c r="M5869" s="13"/>
      <c r="N5869" s="13"/>
      <c r="O5869" s="13" t="str">
        <f t="shared" si="1"/>
        <v/>
      </c>
    </row>
    <row r="5870" ht="22.5" customHeight="1">
      <c r="B5870" s="13"/>
      <c r="C5870" s="13"/>
      <c r="D5870" s="13"/>
      <c r="E5870" s="14"/>
      <c r="F5870" s="14"/>
      <c r="G5870" s="13"/>
      <c r="H5870" s="14"/>
      <c r="I5870" s="13"/>
      <c r="J5870" s="13"/>
      <c r="K5870" s="13"/>
      <c r="L5870" s="13"/>
      <c r="M5870" s="13"/>
      <c r="N5870" s="13"/>
      <c r="O5870" s="13" t="str">
        <f t="shared" si="1"/>
        <v/>
      </c>
    </row>
    <row r="5871" ht="22.5" customHeight="1">
      <c r="B5871" s="13"/>
      <c r="C5871" s="13"/>
      <c r="D5871" s="13"/>
      <c r="E5871" s="14"/>
      <c r="F5871" s="14"/>
      <c r="G5871" s="13"/>
      <c r="H5871" s="14"/>
      <c r="I5871" s="13"/>
      <c r="J5871" s="13"/>
      <c r="K5871" s="13"/>
      <c r="L5871" s="13"/>
      <c r="M5871" s="13"/>
      <c r="N5871" s="13"/>
      <c r="O5871" s="13" t="str">
        <f t="shared" si="1"/>
        <v/>
      </c>
    </row>
    <row r="5872" ht="22.5" customHeight="1">
      <c r="B5872" s="13"/>
      <c r="C5872" s="13"/>
      <c r="D5872" s="13"/>
      <c r="E5872" s="14"/>
      <c r="F5872" s="14"/>
      <c r="G5872" s="13"/>
      <c r="H5872" s="14"/>
      <c r="I5872" s="13"/>
      <c r="J5872" s="13"/>
      <c r="K5872" s="13"/>
      <c r="L5872" s="13"/>
      <c r="M5872" s="13"/>
      <c r="N5872" s="13"/>
      <c r="O5872" s="13" t="str">
        <f t="shared" si="1"/>
        <v/>
      </c>
    </row>
    <row r="5873" ht="22.5" customHeight="1">
      <c r="B5873" s="13"/>
      <c r="C5873" s="13"/>
      <c r="D5873" s="13"/>
      <c r="E5873" s="14"/>
      <c r="F5873" s="14"/>
      <c r="G5873" s="13"/>
      <c r="H5873" s="14"/>
      <c r="I5873" s="13"/>
      <c r="J5873" s="13"/>
      <c r="K5873" s="13"/>
      <c r="L5873" s="13"/>
      <c r="M5873" s="13"/>
      <c r="N5873" s="13"/>
      <c r="O5873" s="13" t="str">
        <f t="shared" si="1"/>
        <v/>
      </c>
    </row>
    <row r="5874" ht="22.5" customHeight="1">
      <c r="B5874" s="13"/>
      <c r="C5874" s="13"/>
      <c r="D5874" s="13"/>
      <c r="E5874" s="14"/>
      <c r="F5874" s="14"/>
      <c r="G5874" s="13"/>
      <c r="H5874" s="14"/>
      <c r="I5874" s="13"/>
      <c r="J5874" s="13"/>
      <c r="K5874" s="13"/>
      <c r="L5874" s="13"/>
      <c r="M5874" s="13"/>
      <c r="N5874" s="13"/>
      <c r="O5874" s="13" t="str">
        <f t="shared" si="1"/>
        <v/>
      </c>
    </row>
    <row r="5875" ht="22.5" customHeight="1">
      <c r="B5875" s="13"/>
      <c r="C5875" s="13"/>
      <c r="D5875" s="13"/>
      <c r="E5875" s="14"/>
      <c r="F5875" s="14"/>
      <c r="G5875" s="13"/>
      <c r="H5875" s="14"/>
      <c r="I5875" s="13"/>
      <c r="J5875" s="13"/>
      <c r="K5875" s="13"/>
      <c r="L5875" s="13"/>
      <c r="M5875" s="13"/>
      <c r="N5875" s="13"/>
      <c r="O5875" s="13" t="str">
        <f t="shared" si="1"/>
        <v/>
      </c>
    </row>
    <row r="5876" ht="22.5" customHeight="1">
      <c r="B5876" s="13"/>
      <c r="C5876" s="13"/>
      <c r="D5876" s="13"/>
      <c r="E5876" s="14"/>
      <c r="F5876" s="14"/>
      <c r="G5876" s="13"/>
      <c r="H5876" s="14"/>
      <c r="I5876" s="13"/>
      <c r="J5876" s="13"/>
      <c r="K5876" s="13"/>
      <c r="L5876" s="13"/>
      <c r="M5876" s="13"/>
      <c r="N5876" s="13"/>
      <c r="O5876" s="13" t="str">
        <f t="shared" si="1"/>
        <v/>
      </c>
    </row>
    <row r="5877" ht="22.5" customHeight="1">
      <c r="B5877" s="13"/>
      <c r="C5877" s="13"/>
      <c r="D5877" s="13"/>
      <c r="E5877" s="14"/>
      <c r="F5877" s="14"/>
      <c r="G5877" s="13"/>
      <c r="H5877" s="14"/>
      <c r="I5877" s="13"/>
      <c r="J5877" s="13"/>
      <c r="K5877" s="13"/>
      <c r="L5877" s="13"/>
      <c r="M5877" s="13"/>
      <c r="N5877" s="13"/>
      <c r="O5877" s="13" t="str">
        <f t="shared" si="1"/>
        <v/>
      </c>
    </row>
    <row r="5878" ht="22.5" customHeight="1">
      <c r="B5878" s="13"/>
      <c r="C5878" s="13"/>
      <c r="D5878" s="13"/>
      <c r="E5878" s="14"/>
      <c r="F5878" s="14"/>
      <c r="G5878" s="13"/>
      <c r="H5878" s="14"/>
      <c r="I5878" s="13"/>
      <c r="J5878" s="13"/>
      <c r="K5878" s="13"/>
      <c r="L5878" s="13"/>
      <c r="M5878" s="13"/>
      <c r="N5878" s="13"/>
      <c r="O5878" s="13" t="str">
        <f t="shared" si="1"/>
        <v/>
      </c>
    </row>
    <row r="5879" ht="22.5" customHeight="1">
      <c r="B5879" s="13"/>
      <c r="C5879" s="13"/>
      <c r="D5879" s="13"/>
      <c r="E5879" s="14"/>
      <c r="F5879" s="14"/>
      <c r="G5879" s="13"/>
      <c r="H5879" s="14"/>
      <c r="I5879" s="13"/>
      <c r="J5879" s="13"/>
      <c r="K5879" s="13"/>
      <c r="L5879" s="13"/>
      <c r="M5879" s="13"/>
      <c r="N5879" s="13"/>
      <c r="O5879" s="13" t="str">
        <f t="shared" si="1"/>
        <v/>
      </c>
    </row>
    <row r="5880" ht="22.5" customHeight="1">
      <c r="B5880" s="13"/>
      <c r="C5880" s="13"/>
      <c r="D5880" s="13"/>
      <c r="E5880" s="14"/>
      <c r="F5880" s="14"/>
      <c r="G5880" s="13"/>
      <c r="H5880" s="14"/>
      <c r="I5880" s="13"/>
      <c r="J5880" s="13"/>
      <c r="K5880" s="13"/>
      <c r="L5880" s="13"/>
      <c r="M5880" s="13"/>
      <c r="N5880" s="13"/>
      <c r="O5880" s="13" t="str">
        <f t="shared" si="1"/>
        <v/>
      </c>
    </row>
    <row r="5881" ht="22.5" customHeight="1">
      <c r="B5881" s="13"/>
      <c r="C5881" s="13"/>
      <c r="D5881" s="13"/>
      <c r="E5881" s="14"/>
      <c r="F5881" s="14"/>
      <c r="G5881" s="13"/>
      <c r="H5881" s="14"/>
      <c r="I5881" s="13"/>
      <c r="J5881" s="13"/>
      <c r="K5881" s="13"/>
      <c r="L5881" s="13"/>
      <c r="M5881" s="13"/>
      <c r="N5881" s="13"/>
      <c r="O5881" s="13" t="str">
        <f t="shared" si="1"/>
        <v/>
      </c>
    </row>
    <row r="5882" ht="22.5" customHeight="1">
      <c r="B5882" s="13"/>
      <c r="C5882" s="13"/>
      <c r="D5882" s="13"/>
      <c r="E5882" s="14"/>
      <c r="F5882" s="14"/>
      <c r="G5882" s="13"/>
      <c r="H5882" s="14"/>
      <c r="I5882" s="13"/>
      <c r="J5882" s="13"/>
      <c r="K5882" s="13"/>
      <c r="L5882" s="13"/>
      <c r="M5882" s="13"/>
      <c r="N5882" s="13"/>
      <c r="O5882" s="13" t="str">
        <f t="shared" si="1"/>
        <v/>
      </c>
    </row>
    <row r="5883" ht="22.5" customHeight="1">
      <c r="B5883" s="13"/>
      <c r="C5883" s="13"/>
      <c r="D5883" s="13"/>
      <c r="E5883" s="14"/>
      <c r="F5883" s="14"/>
      <c r="G5883" s="13"/>
      <c r="H5883" s="14"/>
      <c r="I5883" s="13"/>
      <c r="J5883" s="13"/>
      <c r="K5883" s="13"/>
      <c r="L5883" s="13"/>
      <c r="M5883" s="13"/>
      <c r="N5883" s="13"/>
      <c r="O5883" s="13" t="str">
        <f t="shared" si="1"/>
        <v/>
      </c>
    </row>
    <row r="5884" ht="22.5" customHeight="1">
      <c r="B5884" s="13"/>
      <c r="C5884" s="13"/>
      <c r="D5884" s="13"/>
      <c r="E5884" s="14"/>
      <c r="F5884" s="14"/>
      <c r="G5884" s="13"/>
      <c r="H5884" s="14"/>
      <c r="I5884" s="13"/>
      <c r="J5884" s="13"/>
      <c r="K5884" s="13"/>
      <c r="L5884" s="13"/>
      <c r="M5884" s="13"/>
      <c r="N5884" s="13"/>
      <c r="O5884" s="13" t="str">
        <f t="shared" si="1"/>
        <v/>
      </c>
    </row>
    <row r="5885" ht="22.5" customHeight="1">
      <c r="B5885" s="13"/>
      <c r="C5885" s="13"/>
      <c r="D5885" s="13"/>
      <c r="E5885" s="14"/>
      <c r="F5885" s="14"/>
      <c r="G5885" s="13"/>
      <c r="H5885" s="14"/>
      <c r="I5885" s="13"/>
      <c r="J5885" s="13"/>
      <c r="K5885" s="13"/>
      <c r="L5885" s="13"/>
      <c r="M5885" s="13"/>
      <c r="N5885" s="13"/>
      <c r="O5885" s="13" t="str">
        <f t="shared" si="1"/>
        <v/>
      </c>
    </row>
    <row r="5886" ht="22.5" customHeight="1">
      <c r="B5886" s="13"/>
      <c r="C5886" s="13"/>
      <c r="D5886" s="13"/>
      <c r="E5886" s="14"/>
      <c r="F5886" s="14"/>
      <c r="G5886" s="13"/>
      <c r="H5886" s="14"/>
      <c r="I5886" s="13"/>
      <c r="J5886" s="13"/>
      <c r="K5886" s="13"/>
      <c r="L5886" s="13"/>
      <c r="M5886" s="13"/>
      <c r="N5886" s="13"/>
      <c r="O5886" s="13" t="str">
        <f t="shared" si="1"/>
        <v/>
      </c>
    </row>
    <row r="5887" ht="22.5" customHeight="1">
      <c r="B5887" s="13"/>
      <c r="C5887" s="13"/>
      <c r="D5887" s="13"/>
      <c r="E5887" s="14"/>
      <c r="F5887" s="14"/>
      <c r="G5887" s="13"/>
      <c r="H5887" s="14"/>
      <c r="I5887" s="13"/>
      <c r="J5887" s="13"/>
      <c r="K5887" s="13"/>
      <c r="L5887" s="13"/>
      <c r="M5887" s="13"/>
      <c r="N5887" s="13"/>
      <c r="O5887" s="13" t="str">
        <f t="shared" si="1"/>
        <v/>
      </c>
    </row>
    <row r="5888" ht="22.5" customHeight="1">
      <c r="B5888" s="13"/>
      <c r="C5888" s="13"/>
      <c r="D5888" s="13"/>
      <c r="E5888" s="14"/>
      <c r="F5888" s="14"/>
      <c r="G5888" s="13"/>
      <c r="H5888" s="14"/>
      <c r="I5888" s="13"/>
      <c r="J5888" s="13"/>
      <c r="K5888" s="13"/>
      <c r="L5888" s="13"/>
      <c r="M5888" s="13"/>
      <c r="N5888" s="13"/>
      <c r="O5888" s="13" t="str">
        <f t="shared" si="1"/>
        <v/>
      </c>
    </row>
    <row r="5889" ht="22.5" customHeight="1">
      <c r="B5889" s="13"/>
      <c r="C5889" s="13"/>
      <c r="D5889" s="13"/>
      <c r="E5889" s="14"/>
      <c r="F5889" s="14"/>
      <c r="G5889" s="13"/>
      <c r="H5889" s="14"/>
      <c r="I5889" s="13"/>
      <c r="J5889" s="13"/>
      <c r="K5889" s="13"/>
      <c r="L5889" s="13"/>
      <c r="M5889" s="13"/>
      <c r="N5889" s="13"/>
      <c r="O5889" s="13" t="str">
        <f t="shared" si="1"/>
        <v/>
      </c>
    </row>
    <row r="5890" ht="22.5" customHeight="1">
      <c r="B5890" s="13"/>
      <c r="C5890" s="13"/>
      <c r="D5890" s="13"/>
      <c r="E5890" s="14"/>
      <c r="F5890" s="14"/>
      <c r="G5890" s="13"/>
      <c r="H5890" s="14"/>
      <c r="I5890" s="13"/>
      <c r="J5890" s="13"/>
      <c r="K5890" s="13"/>
      <c r="L5890" s="13"/>
      <c r="M5890" s="13"/>
      <c r="N5890" s="13"/>
      <c r="O5890" s="13" t="str">
        <f t="shared" si="1"/>
        <v/>
      </c>
    </row>
    <row r="5891" ht="22.5" customHeight="1">
      <c r="B5891" s="13"/>
      <c r="C5891" s="13"/>
      <c r="D5891" s="13"/>
      <c r="E5891" s="14"/>
      <c r="F5891" s="14"/>
      <c r="G5891" s="13"/>
      <c r="H5891" s="14"/>
      <c r="I5891" s="13"/>
      <c r="J5891" s="13"/>
      <c r="K5891" s="13"/>
      <c r="L5891" s="13"/>
      <c r="M5891" s="13"/>
      <c r="N5891" s="13"/>
      <c r="O5891" s="13" t="str">
        <f t="shared" si="1"/>
        <v/>
      </c>
    </row>
    <row r="5892" ht="22.5" customHeight="1">
      <c r="B5892" s="13"/>
      <c r="C5892" s="13"/>
      <c r="D5892" s="13"/>
      <c r="E5892" s="14"/>
      <c r="F5892" s="14"/>
      <c r="G5892" s="13"/>
      <c r="H5892" s="14"/>
      <c r="I5892" s="13"/>
      <c r="J5892" s="13"/>
      <c r="K5892" s="13"/>
      <c r="L5892" s="13"/>
      <c r="M5892" s="13"/>
      <c r="N5892" s="13"/>
      <c r="O5892" s="13" t="str">
        <f t="shared" si="1"/>
        <v/>
      </c>
    </row>
    <row r="5893" ht="22.5" customHeight="1">
      <c r="B5893" s="13"/>
      <c r="C5893" s="13"/>
      <c r="D5893" s="13"/>
      <c r="E5893" s="14"/>
      <c r="F5893" s="14"/>
      <c r="G5893" s="13"/>
      <c r="H5893" s="14"/>
      <c r="I5893" s="13"/>
      <c r="J5893" s="13"/>
      <c r="K5893" s="13"/>
      <c r="L5893" s="13"/>
      <c r="M5893" s="13"/>
      <c r="N5893" s="13"/>
      <c r="O5893" s="13" t="str">
        <f t="shared" si="1"/>
        <v/>
      </c>
    </row>
    <row r="5894" ht="22.5" customHeight="1">
      <c r="B5894" s="13"/>
      <c r="C5894" s="13"/>
      <c r="D5894" s="13"/>
      <c r="E5894" s="14"/>
      <c r="F5894" s="14"/>
      <c r="G5894" s="13"/>
      <c r="H5894" s="14"/>
      <c r="I5894" s="13"/>
      <c r="J5894" s="13"/>
      <c r="K5894" s="13"/>
      <c r="L5894" s="13"/>
      <c r="M5894" s="13"/>
      <c r="N5894" s="13"/>
      <c r="O5894" s="13" t="str">
        <f t="shared" si="1"/>
        <v/>
      </c>
    </row>
    <row r="5895" ht="22.5" customHeight="1">
      <c r="B5895" s="13"/>
      <c r="C5895" s="13"/>
      <c r="D5895" s="13"/>
      <c r="E5895" s="14"/>
      <c r="F5895" s="14"/>
      <c r="G5895" s="13"/>
      <c r="H5895" s="14"/>
      <c r="I5895" s="13"/>
      <c r="J5895" s="13"/>
      <c r="K5895" s="13"/>
      <c r="L5895" s="13"/>
      <c r="M5895" s="13"/>
      <c r="N5895" s="13"/>
      <c r="O5895" s="13" t="str">
        <f t="shared" si="1"/>
        <v/>
      </c>
    </row>
    <row r="5896" ht="22.5" customHeight="1">
      <c r="B5896" s="13"/>
      <c r="C5896" s="13"/>
      <c r="D5896" s="13"/>
      <c r="E5896" s="14"/>
      <c r="F5896" s="14"/>
      <c r="G5896" s="13"/>
      <c r="H5896" s="14"/>
      <c r="I5896" s="13"/>
      <c r="J5896" s="13"/>
      <c r="K5896" s="13"/>
      <c r="L5896" s="13"/>
      <c r="M5896" s="13"/>
      <c r="N5896" s="13"/>
      <c r="O5896" s="13" t="str">
        <f t="shared" si="1"/>
        <v/>
      </c>
    </row>
    <row r="5897" ht="22.5" customHeight="1">
      <c r="B5897" s="13"/>
      <c r="C5897" s="13"/>
      <c r="D5897" s="13"/>
      <c r="E5897" s="14"/>
      <c r="F5897" s="14"/>
      <c r="G5897" s="13"/>
      <c r="H5897" s="14"/>
      <c r="I5897" s="13"/>
      <c r="J5897" s="13"/>
      <c r="K5897" s="13"/>
      <c r="L5897" s="13"/>
      <c r="M5897" s="13"/>
      <c r="N5897" s="13"/>
      <c r="O5897" s="13" t="str">
        <f t="shared" si="1"/>
        <v/>
      </c>
    </row>
    <row r="5898" ht="22.5" customHeight="1">
      <c r="B5898" s="13"/>
      <c r="C5898" s="13"/>
      <c r="D5898" s="13"/>
      <c r="E5898" s="14"/>
      <c r="F5898" s="14"/>
      <c r="G5898" s="13"/>
      <c r="H5898" s="14"/>
      <c r="I5898" s="13"/>
      <c r="J5898" s="13"/>
      <c r="K5898" s="13"/>
      <c r="L5898" s="13"/>
      <c r="M5898" s="13"/>
      <c r="N5898" s="13"/>
      <c r="O5898" s="13" t="str">
        <f t="shared" si="1"/>
        <v/>
      </c>
    </row>
    <row r="5899" ht="22.5" customHeight="1">
      <c r="B5899" s="13"/>
      <c r="C5899" s="13"/>
      <c r="D5899" s="13"/>
      <c r="E5899" s="14"/>
      <c r="F5899" s="14"/>
      <c r="G5899" s="13"/>
      <c r="H5899" s="14"/>
      <c r="I5899" s="13"/>
      <c r="J5899" s="13"/>
      <c r="K5899" s="13"/>
      <c r="L5899" s="13"/>
      <c r="M5899" s="13"/>
      <c r="N5899" s="13"/>
      <c r="O5899" s="13" t="str">
        <f t="shared" si="1"/>
        <v/>
      </c>
    </row>
    <row r="5900" ht="22.5" customHeight="1">
      <c r="B5900" s="13"/>
      <c r="C5900" s="13"/>
      <c r="D5900" s="13"/>
      <c r="E5900" s="14"/>
      <c r="F5900" s="14"/>
      <c r="G5900" s="13"/>
      <c r="H5900" s="14"/>
      <c r="I5900" s="13"/>
      <c r="J5900" s="13"/>
      <c r="K5900" s="13"/>
      <c r="L5900" s="13"/>
      <c r="M5900" s="13"/>
      <c r="N5900" s="13"/>
      <c r="O5900" s="13" t="str">
        <f t="shared" si="1"/>
        <v/>
      </c>
    </row>
    <row r="5901" ht="22.5" customHeight="1">
      <c r="B5901" s="13"/>
      <c r="C5901" s="13"/>
      <c r="D5901" s="13"/>
      <c r="E5901" s="14"/>
      <c r="F5901" s="14"/>
      <c r="G5901" s="13"/>
      <c r="H5901" s="14"/>
      <c r="I5901" s="13"/>
      <c r="J5901" s="13"/>
      <c r="K5901" s="13"/>
      <c r="L5901" s="13"/>
      <c r="M5901" s="13"/>
      <c r="N5901" s="13"/>
      <c r="O5901" s="13" t="str">
        <f t="shared" si="1"/>
        <v/>
      </c>
    </row>
    <row r="5902" ht="22.5" customHeight="1">
      <c r="B5902" s="13"/>
      <c r="C5902" s="13"/>
      <c r="D5902" s="13"/>
      <c r="E5902" s="14"/>
      <c r="F5902" s="14"/>
      <c r="G5902" s="13"/>
      <c r="H5902" s="14"/>
      <c r="I5902" s="13"/>
      <c r="J5902" s="13"/>
      <c r="K5902" s="13"/>
      <c r="L5902" s="13"/>
      <c r="M5902" s="13"/>
      <c r="N5902" s="13"/>
      <c r="O5902" s="13" t="str">
        <f t="shared" si="1"/>
        <v/>
      </c>
    </row>
    <row r="5903" ht="22.5" customHeight="1">
      <c r="B5903" s="13"/>
      <c r="C5903" s="13"/>
      <c r="D5903" s="13"/>
      <c r="E5903" s="14"/>
      <c r="F5903" s="14"/>
      <c r="G5903" s="13"/>
      <c r="H5903" s="14"/>
      <c r="I5903" s="13"/>
      <c r="J5903" s="13"/>
      <c r="K5903" s="13"/>
      <c r="L5903" s="13"/>
      <c r="M5903" s="13"/>
      <c r="N5903" s="13"/>
      <c r="O5903" s="13" t="str">
        <f t="shared" si="1"/>
        <v/>
      </c>
    </row>
    <row r="5904" ht="22.5" customHeight="1">
      <c r="B5904" s="13"/>
      <c r="C5904" s="13"/>
      <c r="D5904" s="13"/>
      <c r="E5904" s="14"/>
      <c r="F5904" s="14"/>
      <c r="G5904" s="13"/>
      <c r="H5904" s="14"/>
      <c r="I5904" s="13"/>
      <c r="J5904" s="13"/>
      <c r="K5904" s="13"/>
      <c r="L5904" s="13"/>
      <c r="M5904" s="13"/>
      <c r="N5904" s="13"/>
      <c r="O5904" s="13" t="str">
        <f t="shared" si="1"/>
        <v/>
      </c>
    </row>
    <row r="5905" ht="22.5" customHeight="1">
      <c r="B5905" s="13"/>
      <c r="C5905" s="13"/>
      <c r="D5905" s="13"/>
      <c r="E5905" s="14"/>
      <c r="F5905" s="14"/>
      <c r="G5905" s="13"/>
      <c r="H5905" s="14"/>
      <c r="I5905" s="13"/>
      <c r="J5905" s="13"/>
      <c r="K5905" s="13"/>
      <c r="L5905" s="13"/>
      <c r="M5905" s="13"/>
      <c r="N5905" s="13"/>
      <c r="O5905" s="13" t="str">
        <f t="shared" si="1"/>
        <v/>
      </c>
    </row>
    <row r="5906" ht="22.5" customHeight="1">
      <c r="B5906" s="13"/>
      <c r="C5906" s="13"/>
      <c r="D5906" s="13"/>
      <c r="E5906" s="14"/>
      <c r="F5906" s="14"/>
      <c r="G5906" s="13"/>
      <c r="H5906" s="14"/>
      <c r="I5906" s="13"/>
      <c r="J5906" s="13"/>
      <c r="K5906" s="13"/>
      <c r="L5906" s="13"/>
      <c r="M5906" s="13"/>
      <c r="N5906" s="13"/>
      <c r="O5906" s="13" t="str">
        <f t="shared" si="1"/>
        <v/>
      </c>
    </row>
    <row r="5907" ht="22.5" customHeight="1">
      <c r="B5907" s="13"/>
      <c r="C5907" s="13"/>
      <c r="D5907" s="13"/>
      <c r="E5907" s="14"/>
      <c r="F5907" s="14"/>
      <c r="G5907" s="13"/>
      <c r="H5907" s="14"/>
      <c r="I5907" s="13"/>
      <c r="J5907" s="13"/>
      <c r="K5907" s="13"/>
      <c r="L5907" s="13"/>
      <c r="M5907" s="13"/>
      <c r="N5907" s="13"/>
      <c r="O5907" s="13" t="str">
        <f t="shared" si="1"/>
        <v/>
      </c>
    </row>
    <row r="5908" ht="22.5" customHeight="1">
      <c r="B5908" s="13"/>
      <c r="C5908" s="13"/>
      <c r="D5908" s="13"/>
      <c r="E5908" s="14"/>
      <c r="F5908" s="14"/>
      <c r="G5908" s="13"/>
      <c r="H5908" s="14"/>
      <c r="I5908" s="13"/>
      <c r="J5908" s="13"/>
      <c r="K5908" s="13"/>
      <c r="L5908" s="13"/>
      <c r="M5908" s="13"/>
      <c r="N5908" s="13"/>
      <c r="O5908" s="13" t="str">
        <f t="shared" si="1"/>
        <v/>
      </c>
    </row>
    <row r="5909" ht="22.5" customHeight="1">
      <c r="B5909" s="13"/>
      <c r="C5909" s="13"/>
      <c r="D5909" s="13"/>
      <c r="E5909" s="14"/>
      <c r="F5909" s="14"/>
      <c r="G5909" s="13"/>
      <c r="H5909" s="14"/>
      <c r="I5909" s="13"/>
      <c r="J5909" s="13"/>
      <c r="K5909" s="13"/>
      <c r="L5909" s="13"/>
      <c r="M5909" s="13"/>
      <c r="N5909" s="13"/>
      <c r="O5909" s="13" t="str">
        <f t="shared" si="1"/>
        <v/>
      </c>
    </row>
    <row r="5910" ht="22.5" customHeight="1">
      <c r="B5910" s="13"/>
      <c r="C5910" s="13"/>
      <c r="D5910" s="13"/>
      <c r="E5910" s="14"/>
      <c r="F5910" s="14"/>
      <c r="G5910" s="13"/>
      <c r="H5910" s="14"/>
      <c r="I5910" s="13"/>
      <c r="J5910" s="13"/>
      <c r="K5910" s="13"/>
      <c r="L5910" s="13"/>
      <c r="M5910" s="13"/>
      <c r="N5910" s="13"/>
      <c r="O5910" s="13" t="str">
        <f t="shared" si="1"/>
        <v/>
      </c>
    </row>
    <row r="5911" ht="22.5" customHeight="1">
      <c r="B5911" s="13"/>
      <c r="C5911" s="13"/>
      <c r="D5911" s="13"/>
      <c r="E5911" s="14"/>
      <c r="F5911" s="14"/>
      <c r="G5911" s="13"/>
      <c r="H5911" s="14"/>
      <c r="I5911" s="13"/>
      <c r="J5911" s="13"/>
      <c r="K5911" s="13"/>
      <c r="L5911" s="13"/>
      <c r="M5911" s="13"/>
      <c r="N5911" s="13"/>
      <c r="O5911" s="13" t="str">
        <f t="shared" si="1"/>
        <v/>
      </c>
    </row>
    <row r="5912" ht="22.5" customHeight="1">
      <c r="B5912" s="13"/>
      <c r="C5912" s="13"/>
      <c r="D5912" s="13"/>
      <c r="E5912" s="14"/>
      <c r="F5912" s="14"/>
      <c r="G5912" s="13"/>
      <c r="H5912" s="14"/>
      <c r="I5912" s="13"/>
      <c r="J5912" s="13"/>
      <c r="K5912" s="13"/>
      <c r="L5912" s="13"/>
      <c r="M5912" s="13"/>
      <c r="N5912" s="13"/>
      <c r="O5912" s="13" t="str">
        <f t="shared" si="1"/>
        <v/>
      </c>
    </row>
    <row r="5913" ht="22.5" customHeight="1">
      <c r="B5913" s="13"/>
      <c r="C5913" s="13"/>
      <c r="D5913" s="13"/>
      <c r="E5913" s="14"/>
      <c r="F5913" s="14"/>
      <c r="G5913" s="13"/>
      <c r="H5913" s="14"/>
      <c r="I5913" s="13"/>
      <c r="J5913" s="13"/>
      <c r="K5913" s="13"/>
      <c r="L5913" s="13"/>
      <c r="M5913" s="13"/>
      <c r="N5913" s="13"/>
      <c r="O5913" s="13" t="str">
        <f t="shared" si="1"/>
        <v/>
      </c>
    </row>
    <row r="5914" ht="22.5" customHeight="1">
      <c r="B5914" s="13"/>
      <c r="C5914" s="13"/>
      <c r="D5914" s="13"/>
      <c r="E5914" s="14"/>
      <c r="F5914" s="14"/>
      <c r="G5914" s="13"/>
      <c r="H5914" s="14"/>
      <c r="I5914" s="13"/>
      <c r="J5914" s="13"/>
      <c r="K5914" s="13"/>
      <c r="L5914" s="13"/>
      <c r="M5914" s="13"/>
      <c r="N5914" s="13"/>
      <c r="O5914" s="13" t="str">
        <f t="shared" si="1"/>
        <v/>
      </c>
    </row>
    <row r="5915" ht="22.5" customHeight="1">
      <c r="B5915" s="13"/>
      <c r="C5915" s="13"/>
      <c r="D5915" s="13"/>
      <c r="E5915" s="14"/>
      <c r="F5915" s="14"/>
      <c r="G5915" s="13"/>
      <c r="H5915" s="14"/>
      <c r="I5915" s="13"/>
      <c r="J5915" s="13"/>
      <c r="K5915" s="13"/>
      <c r="L5915" s="13"/>
      <c r="M5915" s="13"/>
      <c r="N5915" s="13"/>
      <c r="O5915" s="13" t="str">
        <f t="shared" si="1"/>
        <v/>
      </c>
    </row>
    <row r="5916" ht="22.5" customHeight="1">
      <c r="B5916" s="13"/>
      <c r="C5916" s="13"/>
      <c r="D5916" s="13"/>
      <c r="E5916" s="14"/>
      <c r="F5916" s="14"/>
      <c r="G5916" s="13"/>
      <c r="H5916" s="14"/>
      <c r="I5916" s="13"/>
      <c r="J5916" s="13"/>
      <c r="K5916" s="13"/>
      <c r="L5916" s="13"/>
      <c r="M5916" s="13"/>
      <c r="N5916" s="13"/>
      <c r="O5916" s="13" t="str">
        <f t="shared" si="1"/>
        <v/>
      </c>
    </row>
    <row r="5917" ht="22.5" customHeight="1">
      <c r="B5917" s="13"/>
      <c r="C5917" s="13"/>
      <c r="D5917" s="13"/>
      <c r="E5917" s="14"/>
      <c r="F5917" s="14"/>
      <c r="G5917" s="13"/>
      <c r="H5917" s="14"/>
      <c r="I5917" s="13"/>
      <c r="J5917" s="13"/>
      <c r="K5917" s="13"/>
      <c r="L5917" s="13"/>
      <c r="M5917" s="13"/>
      <c r="N5917" s="13"/>
      <c r="O5917" s="13" t="str">
        <f t="shared" si="1"/>
        <v/>
      </c>
    </row>
    <row r="5918" ht="22.5" customHeight="1">
      <c r="B5918" s="13"/>
      <c r="C5918" s="13"/>
      <c r="D5918" s="13"/>
      <c r="E5918" s="14"/>
      <c r="F5918" s="14"/>
      <c r="G5918" s="13"/>
      <c r="H5918" s="14"/>
      <c r="I5918" s="13"/>
      <c r="J5918" s="13"/>
      <c r="K5918" s="13"/>
      <c r="L5918" s="13"/>
      <c r="M5918" s="13"/>
      <c r="N5918" s="13"/>
      <c r="O5918" s="13" t="str">
        <f t="shared" si="1"/>
        <v/>
      </c>
    </row>
    <row r="5919" ht="22.5" customHeight="1">
      <c r="B5919" s="13"/>
      <c r="C5919" s="13"/>
      <c r="D5919" s="13"/>
      <c r="E5919" s="14"/>
      <c r="F5919" s="14"/>
      <c r="G5919" s="13"/>
      <c r="H5919" s="14"/>
      <c r="I5919" s="13"/>
      <c r="J5919" s="13"/>
      <c r="K5919" s="13"/>
      <c r="L5919" s="13"/>
      <c r="M5919" s="13"/>
      <c r="N5919" s="13"/>
      <c r="O5919" s="13" t="str">
        <f t="shared" si="1"/>
        <v/>
      </c>
    </row>
    <row r="5920" ht="22.5" customHeight="1">
      <c r="B5920" s="13"/>
      <c r="C5920" s="13"/>
      <c r="D5920" s="13"/>
      <c r="E5920" s="14"/>
      <c r="F5920" s="14"/>
      <c r="G5920" s="13"/>
      <c r="H5920" s="14"/>
      <c r="I5920" s="13"/>
      <c r="J5920" s="13"/>
      <c r="K5920" s="13"/>
      <c r="L5920" s="13"/>
      <c r="M5920" s="13"/>
      <c r="N5920" s="13"/>
      <c r="O5920" s="13" t="str">
        <f t="shared" si="1"/>
        <v/>
      </c>
    </row>
    <row r="5921" ht="22.5" customHeight="1">
      <c r="B5921" s="13"/>
      <c r="C5921" s="13"/>
      <c r="D5921" s="13"/>
      <c r="E5921" s="14"/>
      <c r="F5921" s="14"/>
      <c r="G5921" s="13"/>
      <c r="H5921" s="14"/>
      <c r="I5921" s="13"/>
      <c r="J5921" s="13"/>
      <c r="K5921" s="13"/>
      <c r="L5921" s="13"/>
      <c r="M5921" s="13"/>
      <c r="N5921" s="13"/>
      <c r="O5921" s="13" t="str">
        <f t="shared" si="1"/>
        <v/>
      </c>
    </row>
    <row r="5922" ht="22.5" customHeight="1">
      <c r="B5922" s="13"/>
      <c r="C5922" s="13"/>
      <c r="D5922" s="13"/>
      <c r="E5922" s="14"/>
      <c r="F5922" s="14"/>
      <c r="G5922" s="13"/>
      <c r="H5922" s="14"/>
      <c r="I5922" s="13"/>
      <c r="J5922" s="13"/>
      <c r="K5922" s="13"/>
      <c r="L5922" s="13"/>
      <c r="M5922" s="13"/>
      <c r="N5922" s="13"/>
      <c r="O5922" s="13" t="str">
        <f t="shared" si="1"/>
        <v/>
      </c>
    </row>
    <row r="5923" ht="22.5" customHeight="1">
      <c r="B5923" s="13"/>
      <c r="C5923" s="13"/>
      <c r="D5923" s="13"/>
      <c r="E5923" s="14"/>
      <c r="F5923" s="14"/>
      <c r="G5923" s="13"/>
      <c r="H5923" s="14"/>
      <c r="I5923" s="13"/>
      <c r="J5923" s="13"/>
      <c r="K5923" s="13"/>
      <c r="L5923" s="13"/>
      <c r="M5923" s="13"/>
      <c r="N5923" s="13"/>
      <c r="O5923" s="13" t="str">
        <f t="shared" si="1"/>
        <v/>
      </c>
    </row>
    <row r="5924" ht="22.5" customHeight="1">
      <c r="B5924" s="13"/>
      <c r="C5924" s="13"/>
      <c r="D5924" s="13"/>
      <c r="E5924" s="14"/>
      <c r="F5924" s="14"/>
      <c r="G5924" s="13"/>
      <c r="H5924" s="14"/>
      <c r="I5924" s="13"/>
      <c r="J5924" s="13"/>
      <c r="K5924" s="13"/>
      <c r="L5924" s="13"/>
      <c r="M5924" s="13"/>
      <c r="N5924" s="13"/>
      <c r="O5924" s="13" t="str">
        <f t="shared" si="1"/>
        <v/>
      </c>
    </row>
    <row r="5925" ht="22.5" customHeight="1">
      <c r="B5925" s="13"/>
      <c r="C5925" s="13"/>
      <c r="D5925" s="13"/>
      <c r="E5925" s="14"/>
      <c r="F5925" s="14"/>
      <c r="G5925" s="13"/>
      <c r="H5925" s="14"/>
      <c r="I5925" s="13"/>
      <c r="J5925" s="13"/>
      <c r="K5925" s="13"/>
      <c r="L5925" s="13"/>
      <c r="M5925" s="13"/>
      <c r="N5925" s="13"/>
      <c r="O5925" s="13" t="str">
        <f t="shared" si="1"/>
        <v/>
      </c>
    </row>
    <row r="5926" ht="22.5" customHeight="1">
      <c r="B5926" s="13"/>
      <c r="C5926" s="13"/>
      <c r="D5926" s="13"/>
      <c r="E5926" s="14"/>
      <c r="F5926" s="14"/>
      <c r="G5926" s="13"/>
      <c r="H5926" s="14"/>
      <c r="I5926" s="13"/>
      <c r="J5926" s="13"/>
      <c r="K5926" s="13"/>
      <c r="L5926" s="13"/>
      <c r="M5926" s="13"/>
      <c r="N5926" s="13"/>
      <c r="O5926" s="13" t="str">
        <f t="shared" si="1"/>
        <v/>
      </c>
    </row>
    <row r="5927" ht="22.5" customHeight="1">
      <c r="B5927" s="13"/>
      <c r="C5927" s="13"/>
      <c r="D5927" s="13"/>
      <c r="E5927" s="14"/>
      <c r="F5927" s="14"/>
      <c r="G5927" s="13"/>
      <c r="H5927" s="14"/>
      <c r="I5927" s="13"/>
      <c r="J5927" s="13"/>
      <c r="K5927" s="13"/>
      <c r="L5927" s="13"/>
      <c r="M5927" s="13"/>
      <c r="N5927" s="13"/>
      <c r="O5927" s="13" t="str">
        <f t="shared" si="1"/>
        <v/>
      </c>
    </row>
    <row r="5928" ht="22.5" customHeight="1">
      <c r="B5928" s="13"/>
      <c r="C5928" s="13"/>
      <c r="D5928" s="13"/>
      <c r="E5928" s="14"/>
      <c r="F5928" s="14"/>
      <c r="G5928" s="13"/>
      <c r="H5928" s="14"/>
      <c r="I5928" s="13"/>
      <c r="J5928" s="13"/>
      <c r="K5928" s="13"/>
      <c r="L5928" s="13"/>
      <c r="M5928" s="13"/>
      <c r="N5928" s="13"/>
      <c r="O5928" s="13" t="str">
        <f t="shared" si="1"/>
        <v/>
      </c>
    </row>
    <row r="5929" ht="22.5" customHeight="1">
      <c r="B5929" s="13"/>
      <c r="C5929" s="13"/>
      <c r="D5929" s="13"/>
      <c r="E5929" s="14"/>
      <c r="F5929" s="14"/>
      <c r="G5929" s="13"/>
      <c r="H5929" s="14"/>
      <c r="I5929" s="13"/>
      <c r="J5929" s="13"/>
      <c r="K5929" s="13"/>
      <c r="L5929" s="13"/>
      <c r="M5929" s="13"/>
      <c r="N5929" s="13"/>
      <c r="O5929" s="13" t="str">
        <f t="shared" si="1"/>
        <v/>
      </c>
    </row>
    <row r="5930" ht="22.5" customHeight="1">
      <c r="B5930" s="13"/>
      <c r="C5930" s="13"/>
      <c r="D5930" s="13"/>
      <c r="E5930" s="14"/>
      <c r="F5930" s="14"/>
      <c r="G5930" s="13"/>
      <c r="H5930" s="14"/>
      <c r="I5930" s="13"/>
      <c r="J5930" s="13"/>
      <c r="K5930" s="13"/>
      <c r="L5930" s="13"/>
      <c r="M5930" s="13"/>
      <c r="N5930" s="13"/>
      <c r="O5930" s="13" t="str">
        <f t="shared" si="1"/>
        <v/>
      </c>
    </row>
    <row r="5931" ht="22.5" customHeight="1">
      <c r="B5931" s="13"/>
      <c r="C5931" s="13"/>
      <c r="D5931" s="13"/>
      <c r="E5931" s="14"/>
      <c r="F5931" s="14"/>
      <c r="G5931" s="13"/>
      <c r="H5931" s="14"/>
      <c r="I5931" s="13"/>
      <c r="J5931" s="13"/>
      <c r="K5931" s="13"/>
      <c r="L5931" s="13"/>
      <c r="M5931" s="13"/>
      <c r="N5931" s="13"/>
      <c r="O5931" s="13" t="str">
        <f t="shared" si="1"/>
        <v/>
      </c>
    </row>
    <row r="5932" ht="22.5" customHeight="1">
      <c r="B5932" s="13"/>
      <c r="C5932" s="13"/>
      <c r="D5932" s="13"/>
      <c r="E5932" s="14"/>
      <c r="F5932" s="14"/>
      <c r="G5932" s="13"/>
      <c r="H5932" s="14"/>
      <c r="I5932" s="13"/>
      <c r="J5932" s="13"/>
      <c r="K5932" s="13"/>
      <c r="L5932" s="13"/>
      <c r="M5932" s="13"/>
      <c r="N5932" s="13"/>
      <c r="O5932" s="13" t="str">
        <f t="shared" si="1"/>
        <v/>
      </c>
    </row>
    <row r="5933" ht="22.5" customHeight="1">
      <c r="B5933" s="13"/>
      <c r="C5933" s="13"/>
      <c r="D5933" s="13"/>
      <c r="E5933" s="14"/>
      <c r="F5933" s="14"/>
      <c r="G5933" s="13"/>
      <c r="H5933" s="14"/>
      <c r="I5933" s="13"/>
      <c r="J5933" s="13"/>
      <c r="K5933" s="13"/>
      <c r="L5933" s="13"/>
      <c r="M5933" s="13"/>
      <c r="N5933" s="13"/>
      <c r="O5933" s="13" t="str">
        <f t="shared" si="1"/>
        <v/>
      </c>
    </row>
    <row r="5934" ht="22.5" customHeight="1">
      <c r="B5934" s="13"/>
      <c r="C5934" s="13"/>
      <c r="D5934" s="13"/>
      <c r="E5934" s="14"/>
      <c r="F5934" s="14"/>
      <c r="G5934" s="13"/>
      <c r="H5934" s="14"/>
      <c r="I5934" s="13"/>
      <c r="J5934" s="13"/>
      <c r="K5934" s="13"/>
      <c r="L5934" s="13"/>
      <c r="M5934" s="13"/>
      <c r="N5934" s="13"/>
      <c r="O5934" s="13" t="str">
        <f t="shared" si="1"/>
        <v/>
      </c>
    </row>
    <row r="5935" ht="22.5" customHeight="1">
      <c r="B5935" s="13"/>
      <c r="C5935" s="13"/>
      <c r="D5935" s="13"/>
      <c r="E5935" s="14"/>
      <c r="F5935" s="14"/>
      <c r="G5935" s="13"/>
      <c r="H5935" s="14"/>
      <c r="I5935" s="13"/>
      <c r="J5935" s="13"/>
      <c r="K5935" s="13"/>
      <c r="L5935" s="13"/>
      <c r="M5935" s="13"/>
      <c r="N5935" s="13"/>
      <c r="O5935" s="13" t="str">
        <f t="shared" si="1"/>
        <v/>
      </c>
    </row>
    <row r="5936" ht="22.5" customHeight="1">
      <c r="B5936" s="13"/>
      <c r="C5936" s="13"/>
      <c r="D5936" s="13"/>
      <c r="E5936" s="14"/>
      <c r="F5936" s="14"/>
      <c r="G5936" s="13"/>
      <c r="H5936" s="14"/>
      <c r="I5936" s="13"/>
      <c r="J5936" s="13"/>
      <c r="K5936" s="13"/>
      <c r="L5936" s="13"/>
      <c r="M5936" s="13"/>
      <c r="N5936" s="13"/>
      <c r="O5936" s="13" t="str">
        <f t="shared" si="1"/>
        <v/>
      </c>
    </row>
    <row r="5937" ht="22.5" customHeight="1">
      <c r="B5937" s="13"/>
      <c r="C5937" s="13"/>
      <c r="D5937" s="13"/>
      <c r="E5937" s="14"/>
      <c r="F5937" s="14"/>
      <c r="G5937" s="13"/>
      <c r="H5937" s="14"/>
      <c r="I5937" s="13"/>
      <c r="J5937" s="13"/>
      <c r="K5937" s="13"/>
      <c r="L5937" s="13"/>
      <c r="M5937" s="13"/>
      <c r="N5937" s="13"/>
      <c r="O5937" s="13" t="str">
        <f t="shared" si="1"/>
        <v/>
      </c>
    </row>
    <row r="5938" ht="22.5" customHeight="1">
      <c r="B5938" s="13"/>
      <c r="C5938" s="13"/>
      <c r="D5938" s="13"/>
      <c r="E5938" s="14"/>
      <c r="F5938" s="14"/>
      <c r="G5938" s="13"/>
      <c r="H5938" s="14"/>
      <c r="I5938" s="13"/>
      <c r="J5938" s="13"/>
      <c r="K5938" s="13"/>
      <c r="L5938" s="13"/>
      <c r="M5938" s="13"/>
      <c r="N5938" s="13"/>
      <c r="O5938" s="13" t="str">
        <f t="shared" si="1"/>
        <v/>
      </c>
    </row>
    <row r="5939" ht="22.5" customHeight="1">
      <c r="B5939" s="13"/>
      <c r="C5939" s="13"/>
      <c r="D5939" s="13"/>
      <c r="E5939" s="14"/>
      <c r="F5939" s="14"/>
      <c r="G5939" s="13"/>
      <c r="H5939" s="14"/>
      <c r="I5939" s="13"/>
      <c r="J5939" s="13"/>
      <c r="K5939" s="13"/>
      <c r="L5939" s="13"/>
      <c r="M5939" s="13"/>
      <c r="N5939" s="13"/>
      <c r="O5939" s="13" t="str">
        <f t="shared" si="1"/>
        <v/>
      </c>
    </row>
    <row r="5940" ht="22.5" customHeight="1">
      <c r="B5940" s="13"/>
      <c r="C5940" s="13"/>
      <c r="D5940" s="13"/>
      <c r="E5940" s="14"/>
      <c r="F5940" s="14"/>
      <c r="G5940" s="13"/>
      <c r="H5940" s="14"/>
      <c r="I5940" s="13"/>
      <c r="J5940" s="13"/>
      <c r="K5940" s="13"/>
      <c r="L5940" s="13"/>
      <c r="M5940" s="13"/>
      <c r="N5940" s="13"/>
      <c r="O5940" s="13" t="str">
        <f t="shared" si="1"/>
        <v/>
      </c>
    </row>
    <row r="5941" ht="22.5" customHeight="1">
      <c r="B5941" s="13"/>
      <c r="C5941" s="13"/>
      <c r="D5941" s="13"/>
      <c r="E5941" s="14"/>
      <c r="F5941" s="14"/>
      <c r="G5941" s="13"/>
      <c r="H5941" s="14"/>
      <c r="I5941" s="13"/>
      <c r="J5941" s="13"/>
      <c r="K5941" s="13"/>
      <c r="L5941" s="13"/>
      <c r="M5941" s="13"/>
      <c r="N5941" s="13"/>
      <c r="O5941" s="13" t="str">
        <f t="shared" si="1"/>
        <v/>
      </c>
    </row>
    <row r="5942" ht="22.5" customHeight="1">
      <c r="B5942" s="13"/>
      <c r="C5942" s="13"/>
      <c r="D5942" s="13"/>
      <c r="E5942" s="14"/>
      <c r="F5942" s="14"/>
      <c r="G5942" s="13"/>
      <c r="H5942" s="14"/>
      <c r="I5942" s="13"/>
      <c r="J5942" s="13"/>
      <c r="K5942" s="13"/>
      <c r="L5942" s="13"/>
      <c r="M5942" s="13"/>
      <c r="N5942" s="13"/>
      <c r="O5942" s="13" t="str">
        <f t="shared" si="1"/>
        <v/>
      </c>
    </row>
    <row r="5943" ht="22.5" customHeight="1">
      <c r="B5943" s="13"/>
      <c r="C5943" s="13"/>
      <c r="D5943" s="13"/>
      <c r="E5943" s="14"/>
      <c r="F5943" s="14"/>
      <c r="G5943" s="13"/>
      <c r="H5943" s="14"/>
      <c r="I5943" s="13"/>
      <c r="J5943" s="13"/>
      <c r="K5943" s="13"/>
      <c r="L5943" s="13"/>
      <c r="M5943" s="13"/>
      <c r="N5943" s="13"/>
      <c r="O5943" s="13" t="str">
        <f t="shared" si="1"/>
        <v/>
      </c>
    </row>
    <row r="5944" ht="22.5" customHeight="1">
      <c r="B5944" s="13"/>
      <c r="C5944" s="13"/>
      <c r="D5944" s="13"/>
      <c r="E5944" s="14"/>
      <c r="F5944" s="14"/>
      <c r="G5944" s="13"/>
      <c r="H5944" s="14"/>
      <c r="I5944" s="13"/>
      <c r="J5944" s="13"/>
      <c r="K5944" s="13"/>
      <c r="L5944" s="13"/>
      <c r="M5944" s="13"/>
      <c r="N5944" s="13"/>
      <c r="O5944" s="13" t="str">
        <f t="shared" si="1"/>
        <v/>
      </c>
    </row>
    <row r="5945" ht="22.5" customHeight="1">
      <c r="B5945" s="13"/>
      <c r="C5945" s="13"/>
      <c r="D5945" s="13"/>
      <c r="E5945" s="14"/>
      <c r="F5945" s="14"/>
      <c r="G5945" s="13"/>
      <c r="H5945" s="14"/>
      <c r="I5945" s="13"/>
      <c r="J5945" s="13"/>
      <c r="K5945" s="13"/>
      <c r="L5945" s="13"/>
      <c r="M5945" s="13"/>
      <c r="N5945" s="13"/>
      <c r="O5945" s="13" t="str">
        <f t="shared" si="1"/>
        <v/>
      </c>
    </row>
    <row r="5946" ht="22.5" customHeight="1">
      <c r="B5946" s="13"/>
      <c r="C5946" s="13"/>
      <c r="D5946" s="13"/>
      <c r="E5946" s="14"/>
      <c r="F5946" s="14"/>
      <c r="G5946" s="13"/>
      <c r="H5946" s="14"/>
      <c r="I5946" s="13"/>
      <c r="J5946" s="13"/>
      <c r="K5946" s="13"/>
      <c r="L5946" s="13"/>
      <c r="M5946" s="13"/>
      <c r="N5946" s="13"/>
      <c r="O5946" s="13" t="str">
        <f t="shared" si="1"/>
        <v/>
      </c>
    </row>
    <row r="5947" ht="22.5" customHeight="1">
      <c r="B5947" s="13"/>
      <c r="C5947" s="13"/>
      <c r="D5947" s="13"/>
      <c r="E5947" s="14"/>
      <c r="F5947" s="14"/>
      <c r="G5947" s="13"/>
      <c r="H5947" s="14"/>
      <c r="I5947" s="13"/>
      <c r="J5947" s="13"/>
      <c r="K5947" s="13"/>
      <c r="L5947" s="13"/>
      <c r="M5947" s="13"/>
      <c r="N5947" s="13"/>
      <c r="O5947" s="13" t="str">
        <f t="shared" si="1"/>
        <v/>
      </c>
    </row>
    <row r="5948" ht="22.5" customHeight="1">
      <c r="B5948" s="13"/>
      <c r="C5948" s="13"/>
      <c r="D5948" s="13"/>
      <c r="E5948" s="14"/>
      <c r="F5948" s="14"/>
      <c r="G5948" s="13"/>
      <c r="H5948" s="14"/>
      <c r="I5948" s="13"/>
      <c r="J5948" s="13"/>
      <c r="K5948" s="13"/>
      <c r="L5948" s="13"/>
      <c r="M5948" s="13"/>
      <c r="N5948" s="13"/>
      <c r="O5948" s="13" t="str">
        <f t="shared" si="1"/>
        <v/>
      </c>
    </row>
    <row r="5949" ht="22.5" customHeight="1">
      <c r="B5949" s="13"/>
      <c r="C5949" s="13"/>
      <c r="D5949" s="13"/>
      <c r="E5949" s="14"/>
      <c r="F5949" s="14"/>
      <c r="G5949" s="13"/>
      <c r="H5949" s="14"/>
      <c r="I5949" s="13"/>
      <c r="J5949" s="13"/>
      <c r="K5949" s="13"/>
      <c r="L5949" s="13"/>
      <c r="M5949" s="13"/>
      <c r="N5949" s="13"/>
      <c r="O5949" s="13" t="str">
        <f t="shared" si="1"/>
        <v/>
      </c>
    </row>
    <row r="5950" ht="22.5" customHeight="1">
      <c r="B5950" s="13"/>
      <c r="C5950" s="13"/>
      <c r="D5950" s="13"/>
      <c r="E5950" s="14"/>
      <c r="F5950" s="14"/>
      <c r="G5950" s="13"/>
      <c r="H5950" s="14"/>
      <c r="I5950" s="13"/>
      <c r="J5950" s="13"/>
      <c r="K5950" s="13"/>
      <c r="L5950" s="13"/>
      <c r="M5950" s="13"/>
      <c r="N5950" s="13"/>
      <c r="O5950" s="13" t="str">
        <f t="shared" si="1"/>
        <v/>
      </c>
    </row>
    <row r="5951" ht="22.5" customHeight="1">
      <c r="B5951" s="13"/>
      <c r="C5951" s="13"/>
      <c r="D5951" s="13"/>
      <c r="E5951" s="14"/>
      <c r="F5951" s="14"/>
      <c r="G5951" s="13"/>
      <c r="H5951" s="14"/>
      <c r="I5951" s="13"/>
      <c r="J5951" s="13"/>
      <c r="K5951" s="13"/>
      <c r="L5951" s="13"/>
      <c r="M5951" s="13"/>
      <c r="N5951" s="13"/>
      <c r="O5951" s="13" t="str">
        <f t="shared" si="1"/>
        <v/>
      </c>
    </row>
    <row r="5952" ht="22.5" customHeight="1">
      <c r="B5952" s="13"/>
      <c r="C5952" s="13"/>
      <c r="D5952" s="13"/>
      <c r="E5952" s="14"/>
      <c r="F5952" s="14"/>
      <c r="G5952" s="13"/>
      <c r="H5952" s="14"/>
      <c r="I5952" s="13"/>
      <c r="J5952" s="13"/>
      <c r="K5952" s="13"/>
      <c r="L5952" s="13"/>
      <c r="M5952" s="13"/>
      <c r="N5952" s="13"/>
      <c r="O5952" s="13" t="str">
        <f t="shared" si="1"/>
        <v/>
      </c>
    </row>
    <row r="5953" ht="22.5" customHeight="1">
      <c r="B5953" s="13"/>
      <c r="C5953" s="13"/>
      <c r="D5953" s="13"/>
      <c r="E5953" s="14"/>
      <c r="F5953" s="14"/>
      <c r="G5953" s="13"/>
      <c r="H5953" s="14"/>
      <c r="I5953" s="13"/>
      <c r="J5953" s="13"/>
      <c r="K5953" s="13"/>
      <c r="L5953" s="13"/>
      <c r="M5953" s="13"/>
      <c r="N5953" s="13"/>
      <c r="O5953" s="13" t="str">
        <f t="shared" si="1"/>
        <v/>
      </c>
    </row>
    <row r="5954" ht="22.5" customHeight="1">
      <c r="B5954" s="13"/>
      <c r="C5954" s="13"/>
      <c r="D5954" s="13"/>
      <c r="E5954" s="14"/>
      <c r="F5954" s="14"/>
      <c r="G5954" s="13"/>
      <c r="H5954" s="14"/>
      <c r="I5954" s="13"/>
      <c r="J5954" s="13"/>
      <c r="K5954" s="13"/>
      <c r="L5954" s="13"/>
      <c r="M5954" s="13"/>
      <c r="N5954" s="13"/>
      <c r="O5954" s="13" t="str">
        <f t="shared" si="1"/>
        <v/>
      </c>
    </row>
    <row r="5955" ht="22.5" customHeight="1">
      <c r="B5955" s="13"/>
      <c r="C5955" s="13"/>
      <c r="D5955" s="13"/>
      <c r="E5955" s="14"/>
      <c r="F5955" s="14"/>
      <c r="G5955" s="13"/>
      <c r="H5955" s="14"/>
      <c r="I5955" s="13"/>
      <c r="J5955" s="13"/>
      <c r="K5955" s="13"/>
      <c r="L5955" s="13"/>
      <c r="M5955" s="13"/>
      <c r="N5955" s="13"/>
      <c r="O5955" s="13" t="str">
        <f t="shared" si="1"/>
        <v/>
      </c>
    </row>
    <row r="5956" ht="22.5" customHeight="1">
      <c r="B5956" s="13"/>
      <c r="C5956" s="13"/>
      <c r="D5956" s="13"/>
      <c r="E5956" s="14"/>
      <c r="F5956" s="14"/>
      <c r="G5956" s="13"/>
      <c r="H5956" s="14"/>
      <c r="I5956" s="13"/>
      <c r="J5956" s="13"/>
      <c r="K5956" s="13"/>
      <c r="L5956" s="13"/>
      <c r="M5956" s="13"/>
      <c r="N5956" s="13"/>
      <c r="O5956" s="13" t="str">
        <f t="shared" si="1"/>
        <v/>
      </c>
    </row>
    <row r="5957" ht="22.5" customHeight="1">
      <c r="B5957" s="13"/>
      <c r="C5957" s="13"/>
      <c r="D5957" s="13"/>
      <c r="E5957" s="14"/>
      <c r="F5957" s="14"/>
      <c r="G5957" s="13"/>
      <c r="H5957" s="14"/>
      <c r="I5957" s="13"/>
      <c r="J5957" s="13"/>
      <c r="K5957" s="13"/>
      <c r="L5957" s="13"/>
      <c r="M5957" s="13"/>
      <c r="N5957" s="13"/>
      <c r="O5957" s="13" t="str">
        <f t="shared" si="1"/>
        <v/>
      </c>
    </row>
    <row r="5958" ht="22.5" customHeight="1">
      <c r="B5958" s="13"/>
      <c r="C5958" s="13"/>
      <c r="D5958" s="13"/>
      <c r="E5958" s="14"/>
      <c r="F5958" s="14"/>
      <c r="G5958" s="13"/>
      <c r="H5958" s="14"/>
      <c r="I5958" s="13"/>
      <c r="J5958" s="13"/>
      <c r="K5958" s="13"/>
      <c r="L5958" s="13"/>
      <c r="M5958" s="13"/>
      <c r="N5958" s="13"/>
      <c r="O5958" s="13" t="str">
        <f t="shared" si="1"/>
        <v/>
      </c>
    </row>
    <row r="5959" ht="22.5" customHeight="1">
      <c r="B5959" s="13"/>
      <c r="C5959" s="13"/>
      <c r="D5959" s="13"/>
      <c r="E5959" s="14"/>
      <c r="F5959" s="14"/>
      <c r="G5959" s="13"/>
      <c r="H5959" s="14"/>
      <c r="I5959" s="13"/>
      <c r="J5959" s="13"/>
      <c r="K5959" s="13"/>
      <c r="L5959" s="13"/>
      <c r="M5959" s="13"/>
      <c r="N5959" s="13"/>
      <c r="O5959" s="13" t="str">
        <f t="shared" si="1"/>
        <v/>
      </c>
    </row>
    <row r="5960" ht="22.5" customHeight="1">
      <c r="B5960" s="13"/>
      <c r="C5960" s="13"/>
      <c r="D5960" s="13"/>
      <c r="E5960" s="14"/>
      <c r="F5960" s="14"/>
      <c r="G5960" s="13"/>
      <c r="H5960" s="14"/>
      <c r="I5960" s="13"/>
      <c r="J5960" s="13"/>
      <c r="K5960" s="13"/>
      <c r="L5960" s="13"/>
      <c r="M5960" s="13"/>
      <c r="N5960" s="13"/>
      <c r="O5960" s="13" t="str">
        <f t="shared" si="1"/>
        <v/>
      </c>
    </row>
    <row r="5961" ht="22.5" customHeight="1">
      <c r="B5961" s="13"/>
      <c r="C5961" s="13"/>
      <c r="D5961" s="13"/>
      <c r="E5961" s="14"/>
      <c r="F5961" s="14"/>
      <c r="G5961" s="13"/>
      <c r="H5961" s="14"/>
      <c r="I5961" s="13"/>
      <c r="J5961" s="13"/>
      <c r="K5961" s="13"/>
      <c r="L5961" s="13"/>
      <c r="M5961" s="13"/>
      <c r="N5961" s="13"/>
      <c r="O5961" s="13" t="str">
        <f t="shared" si="1"/>
        <v/>
      </c>
    </row>
    <row r="5962" ht="22.5" customHeight="1">
      <c r="B5962" s="13"/>
      <c r="C5962" s="13"/>
      <c r="D5962" s="13"/>
      <c r="E5962" s="14"/>
      <c r="F5962" s="14"/>
      <c r="G5962" s="13"/>
      <c r="H5962" s="14"/>
      <c r="I5962" s="13"/>
      <c r="J5962" s="13"/>
      <c r="K5962" s="13"/>
      <c r="L5962" s="13"/>
      <c r="M5962" s="13"/>
      <c r="N5962" s="13"/>
      <c r="O5962" s="13" t="str">
        <f t="shared" si="1"/>
        <v/>
      </c>
    </row>
    <row r="5963" ht="22.5" customHeight="1">
      <c r="B5963" s="13"/>
      <c r="C5963" s="13"/>
      <c r="D5963" s="13"/>
      <c r="E5963" s="14"/>
      <c r="F5963" s="14"/>
      <c r="G5963" s="13"/>
      <c r="H5963" s="14"/>
      <c r="I5963" s="13"/>
      <c r="J5963" s="13"/>
      <c r="K5963" s="13"/>
      <c r="L5963" s="13"/>
      <c r="M5963" s="13"/>
      <c r="N5963" s="13"/>
      <c r="O5963" s="13" t="str">
        <f t="shared" si="1"/>
        <v/>
      </c>
    </row>
    <row r="5964" ht="22.5" customHeight="1">
      <c r="B5964" s="13"/>
      <c r="C5964" s="13"/>
      <c r="D5964" s="13"/>
      <c r="E5964" s="14"/>
      <c r="F5964" s="14"/>
      <c r="G5964" s="13"/>
      <c r="H5964" s="14"/>
      <c r="I5964" s="13"/>
      <c r="J5964" s="13"/>
      <c r="K5964" s="13"/>
      <c r="L5964" s="13"/>
      <c r="M5964" s="13"/>
      <c r="N5964" s="13"/>
      <c r="O5964" s="13" t="str">
        <f t="shared" si="1"/>
        <v/>
      </c>
    </row>
    <row r="5965" ht="22.5" customHeight="1">
      <c r="B5965" s="13"/>
      <c r="C5965" s="13"/>
      <c r="D5965" s="13"/>
      <c r="E5965" s="14"/>
      <c r="F5965" s="14"/>
      <c r="G5965" s="13"/>
      <c r="H5965" s="14"/>
      <c r="I5965" s="13"/>
      <c r="J5965" s="13"/>
      <c r="K5965" s="13"/>
      <c r="L5965" s="13"/>
      <c r="M5965" s="13"/>
      <c r="N5965" s="13"/>
      <c r="O5965" s="13" t="str">
        <f t="shared" si="1"/>
        <v/>
      </c>
    </row>
    <row r="5966" ht="22.5" customHeight="1">
      <c r="B5966" s="13"/>
      <c r="C5966" s="13"/>
      <c r="D5966" s="13"/>
      <c r="E5966" s="14"/>
      <c r="F5966" s="14"/>
      <c r="G5966" s="13"/>
      <c r="H5966" s="14"/>
      <c r="I5966" s="13"/>
      <c r="J5966" s="13"/>
      <c r="K5966" s="13"/>
      <c r="L5966" s="13"/>
      <c r="M5966" s="13"/>
      <c r="N5966" s="13"/>
      <c r="O5966" s="13" t="str">
        <f t="shared" si="1"/>
        <v/>
      </c>
    </row>
    <row r="5967" ht="22.5" customHeight="1">
      <c r="B5967" s="13"/>
      <c r="C5967" s="13"/>
      <c r="D5967" s="13"/>
      <c r="E5967" s="14"/>
      <c r="F5967" s="14"/>
      <c r="G5967" s="13"/>
      <c r="H5967" s="14"/>
      <c r="I5967" s="13"/>
      <c r="J5967" s="13"/>
      <c r="K5967" s="13"/>
      <c r="L5967" s="13"/>
      <c r="M5967" s="13"/>
      <c r="N5967" s="13"/>
      <c r="O5967" s="13" t="str">
        <f t="shared" si="1"/>
        <v/>
      </c>
    </row>
    <row r="5968" ht="22.5" customHeight="1">
      <c r="B5968" s="13"/>
      <c r="C5968" s="13"/>
      <c r="D5968" s="13"/>
      <c r="E5968" s="14"/>
      <c r="F5968" s="14"/>
      <c r="G5968" s="13"/>
      <c r="H5968" s="14"/>
      <c r="I5968" s="13"/>
      <c r="J5968" s="13"/>
      <c r="K5968" s="13"/>
      <c r="L5968" s="13"/>
      <c r="M5968" s="13"/>
      <c r="N5968" s="13"/>
      <c r="O5968" s="13" t="str">
        <f t="shared" si="1"/>
        <v/>
      </c>
    </row>
    <row r="5969" ht="22.5" customHeight="1">
      <c r="B5969" s="13"/>
      <c r="C5969" s="13"/>
      <c r="D5969" s="13"/>
      <c r="E5969" s="14"/>
      <c r="F5969" s="14"/>
      <c r="G5969" s="13"/>
      <c r="H5969" s="14"/>
      <c r="I5969" s="13"/>
      <c r="J5969" s="13"/>
      <c r="K5969" s="13"/>
      <c r="L5969" s="13"/>
      <c r="M5969" s="13"/>
      <c r="N5969" s="13"/>
      <c r="O5969" s="13" t="str">
        <f t="shared" si="1"/>
        <v/>
      </c>
    </row>
    <row r="5970" ht="22.5" customHeight="1">
      <c r="B5970" s="13"/>
      <c r="C5970" s="13"/>
      <c r="D5970" s="13"/>
      <c r="E5970" s="14"/>
      <c r="F5970" s="14"/>
      <c r="G5970" s="13"/>
      <c r="H5970" s="14"/>
      <c r="I5970" s="13"/>
      <c r="J5970" s="13"/>
      <c r="K5970" s="13"/>
      <c r="L5970" s="13"/>
      <c r="M5970" s="13"/>
      <c r="N5970" s="13"/>
      <c r="O5970" s="13" t="str">
        <f t="shared" si="1"/>
        <v/>
      </c>
    </row>
    <row r="5971" ht="22.5" customHeight="1">
      <c r="B5971" s="13"/>
      <c r="C5971" s="13"/>
      <c r="D5971" s="13"/>
      <c r="E5971" s="14"/>
      <c r="F5971" s="14"/>
      <c r="G5971" s="13"/>
      <c r="H5971" s="14"/>
      <c r="I5971" s="13"/>
      <c r="J5971" s="13"/>
      <c r="K5971" s="13"/>
      <c r="L5971" s="13"/>
      <c r="M5971" s="13"/>
      <c r="N5971" s="13"/>
      <c r="O5971" s="13" t="str">
        <f t="shared" si="1"/>
        <v/>
      </c>
    </row>
    <row r="5972" ht="22.5" customHeight="1">
      <c r="B5972" s="13"/>
      <c r="C5972" s="13"/>
      <c r="D5972" s="13"/>
      <c r="E5972" s="14"/>
      <c r="F5972" s="14"/>
      <c r="G5972" s="13"/>
      <c r="H5972" s="14"/>
      <c r="I5972" s="13"/>
      <c r="J5972" s="13"/>
      <c r="K5972" s="13"/>
      <c r="L5972" s="13"/>
      <c r="M5972" s="13"/>
      <c r="N5972" s="13"/>
      <c r="O5972" s="13" t="str">
        <f t="shared" si="1"/>
        <v/>
      </c>
    </row>
    <row r="5973" ht="22.5" customHeight="1">
      <c r="B5973" s="13"/>
      <c r="C5973" s="13"/>
      <c r="D5973" s="13"/>
      <c r="E5973" s="14"/>
      <c r="F5973" s="14"/>
      <c r="G5973" s="13"/>
      <c r="H5973" s="14"/>
      <c r="I5973" s="13"/>
      <c r="J5973" s="13"/>
      <c r="K5973" s="13"/>
      <c r="L5973" s="13"/>
      <c r="M5973" s="13"/>
      <c r="N5973" s="13"/>
      <c r="O5973" s="13" t="str">
        <f t="shared" si="1"/>
        <v/>
      </c>
    </row>
    <row r="5974" ht="22.5" customHeight="1">
      <c r="B5974" s="13"/>
      <c r="C5974" s="13"/>
      <c r="D5974" s="13"/>
      <c r="E5974" s="14"/>
      <c r="F5974" s="14"/>
      <c r="G5974" s="13"/>
      <c r="H5974" s="14"/>
      <c r="I5974" s="13"/>
      <c r="J5974" s="13"/>
      <c r="K5974" s="13"/>
      <c r="L5974" s="13"/>
      <c r="M5974" s="13"/>
      <c r="N5974" s="13"/>
      <c r="O5974" s="13" t="str">
        <f t="shared" si="1"/>
        <v/>
      </c>
    </row>
    <row r="5975" ht="22.5" customHeight="1">
      <c r="B5975" s="13"/>
      <c r="C5975" s="13"/>
      <c r="D5975" s="13"/>
      <c r="E5975" s="14"/>
      <c r="F5975" s="14"/>
      <c r="G5975" s="13"/>
      <c r="H5975" s="14"/>
      <c r="I5975" s="13"/>
      <c r="J5975" s="13"/>
      <c r="K5975" s="13"/>
      <c r="L5975" s="13"/>
      <c r="M5975" s="13"/>
      <c r="N5975" s="13"/>
      <c r="O5975" s="13" t="str">
        <f t="shared" si="1"/>
        <v/>
      </c>
    </row>
    <row r="5976" ht="22.5" customHeight="1">
      <c r="B5976" s="13"/>
      <c r="C5976" s="13"/>
      <c r="D5976" s="13"/>
      <c r="E5976" s="14"/>
      <c r="F5976" s="14"/>
      <c r="G5976" s="13"/>
      <c r="H5976" s="14"/>
      <c r="I5976" s="13"/>
      <c r="J5976" s="13"/>
      <c r="K5976" s="13"/>
      <c r="L5976" s="13"/>
      <c r="M5976" s="13"/>
      <c r="N5976" s="13"/>
      <c r="O5976" s="13" t="str">
        <f t="shared" si="1"/>
        <v/>
      </c>
    </row>
    <row r="5977" ht="22.5" customHeight="1">
      <c r="B5977" s="13"/>
      <c r="C5977" s="13"/>
      <c r="D5977" s="13"/>
      <c r="E5977" s="14"/>
      <c r="F5977" s="14"/>
      <c r="G5977" s="13"/>
      <c r="H5977" s="14"/>
      <c r="I5977" s="13"/>
      <c r="J5977" s="13"/>
      <c r="K5977" s="13"/>
      <c r="L5977" s="13"/>
      <c r="M5977" s="13"/>
      <c r="N5977" s="13"/>
      <c r="O5977" s="13" t="str">
        <f t="shared" si="1"/>
        <v/>
      </c>
    </row>
    <row r="5978" ht="22.5" customHeight="1">
      <c r="B5978" s="13"/>
      <c r="C5978" s="13"/>
      <c r="D5978" s="13"/>
      <c r="E5978" s="14"/>
      <c r="F5978" s="14"/>
      <c r="G5978" s="13"/>
      <c r="H5978" s="14"/>
      <c r="I5978" s="13"/>
      <c r="J5978" s="13"/>
      <c r="K5978" s="13"/>
      <c r="L5978" s="13"/>
      <c r="M5978" s="13"/>
      <c r="N5978" s="13"/>
      <c r="O5978" s="13" t="str">
        <f t="shared" si="1"/>
        <v/>
      </c>
    </row>
    <row r="5979" ht="22.5" customHeight="1">
      <c r="B5979" s="13"/>
      <c r="C5979" s="13"/>
      <c r="D5979" s="13"/>
      <c r="E5979" s="14"/>
      <c r="F5979" s="14"/>
      <c r="G5979" s="13"/>
      <c r="H5979" s="14"/>
      <c r="I5979" s="13"/>
      <c r="J5979" s="13"/>
      <c r="K5979" s="13"/>
      <c r="L5979" s="13"/>
      <c r="M5979" s="13"/>
      <c r="N5979" s="13"/>
      <c r="O5979" s="13" t="str">
        <f t="shared" si="1"/>
        <v/>
      </c>
    </row>
    <row r="5980" ht="22.5" customHeight="1">
      <c r="B5980" s="13"/>
      <c r="C5980" s="13"/>
      <c r="D5980" s="13"/>
      <c r="E5980" s="14"/>
      <c r="F5980" s="14"/>
      <c r="G5980" s="13"/>
      <c r="H5980" s="14"/>
      <c r="I5980" s="13"/>
      <c r="J5980" s="13"/>
      <c r="K5980" s="13"/>
      <c r="L5980" s="13"/>
      <c r="M5980" s="13"/>
      <c r="N5980" s="13"/>
      <c r="O5980" s="13" t="str">
        <f t="shared" si="1"/>
        <v/>
      </c>
    </row>
    <row r="5981" ht="22.5" customHeight="1">
      <c r="B5981" s="13"/>
      <c r="C5981" s="13"/>
      <c r="D5981" s="13"/>
      <c r="E5981" s="14"/>
      <c r="F5981" s="14"/>
      <c r="G5981" s="13"/>
      <c r="H5981" s="14"/>
      <c r="I5981" s="13"/>
      <c r="J5981" s="13"/>
      <c r="K5981" s="13"/>
      <c r="L5981" s="13"/>
      <c r="M5981" s="13"/>
      <c r="N5981" s="13"/>
      <c r="O5981" s="13" t="str">
        <f t="shared" si="1"/>
        <v/>
      </c>
    </row>
    <row r="5982" ht="22.5" customHeight="1">
      <c r="B5982" s="13"/>
      <c r="C5982" s="13"/>
      <c r="D5982" s="13"/>
      <c r="E5982" s="14"/>
      <c r="F5982" s="14"/>
      <c r="G5982" s="13"/>
      <c r="H5982" s="14"/>
      <c r="I5982" s="13"/>
      <c r="J5982" s="13"/>
      <c r="K5982" s="13"/>
      <c r="L5982" s="13"/>
      <c r="M5982" s="13"/>
      <c r="N5982" s="13"/>
      <c r="O5982" s="13" t="str">
        <f t="shared" si="1"/>
        <v/>
      </c>
    </row>
    <row r="5983" ht="22.5" customHeight="1">
      <c r="B5983" s="13"/>
      <c r="C5983" s="13"/>
      <c r="D5983" s="13"/>
      <c r="E5983" s="14"/>
      <c r="F5983" s="14"/>
      <c r="G5983" s="13"/>
      <c r="H5983" s="14"/>
      <c r="I5983" s="13"/>
      <c r="J5983" s="13"/>
      <c r="K5983" s="13"/>
      <c r="L5983" s="13"/>
      <c r="M5983" s="13"/>
      <c r="N5983" s="13"/>
      <c r="O5983" s="13" t="str">
        <f t="shared" si="1"/>
        <v/>
      </c>
    </row>
    <row r="5984" ht="22.5" customHeight="1">
      <c r="B5984" s="13"/>
      <c r="C5984" s="13"/>
      <c r="D5984" s="13"/>
      <c r="E5984" s="14"/>
      <c r="F5984" s="14"/>
      <c r="G5984" s="13"/>
      <c r="H5984" s="14"/>
      <c r="I5984" s="13"/>
      <c r="J5984" s="13"/>
      <c r="K5984" s="13"/>
      <c r="L5984" s="13"/>
      <c r="M5984" s="13"/>
      <c r="N5984" s="13"/>
      <c r="O5984" s="13" t="str">
        <f t="shared" si="1"/>
        <v/>
      </c>
    </row>
    <row r="5985" ht="22.5" customHeight="1">
      <c r="B5985" s="13"/>
      <c r="C5985" s="13"/>
      <c r="D5985" s="13"/>
      <c r="E5985" s="14"/>
      <c r="F5985" s="14"/>
      <c r="G5985" s="13"/>
      <c r="H5985" s="14"/>
      <c r="I5985" s="13"/>
      <c r="J5985" s="13"/>
      <c r="K5985" s="13"/>
      <c r="L5985" s="13"/>
      <c r="M5985" s="13"/>
      <c r="N5985" s="13"/>
      <c r="O5985" s="13" t="str">
        <f t="shared" si="1"/>
        <v/>
      </c>
    </row>
    <row r="5986" ht="22.5" customHeight="1">
      <c r="B5986" s="13"/>
      <c r="C5986" s="13"/>
      <c r="D5986" s="13"/>
      <c r="E5986" s="14"/>
      <c r="F5986" s="14"/>
      <c r="G5986" s="13"/>
      <c r="H5986" s="14"/>
      <c r="I5986" s="13"/>
      <c r="J5986" s="13"/>
      <c r="K5986" s="13"/>
      <c r="L5986" s="13"/>
      <c r="M5986" s="13"/>
      <c r="N5986" s="13"/>
      <c r="O5986" s="13" t="str">
        <f t="shared" si="1"/>
        <v/>
      </c>
    </row>
    <row r="5987" ht="22.5" customHeight="1">
      <c r="B5987" s="13"/>
      <c r="C5987" s="13"/>
      <c r="D5987" s="13"/>
      <c r="E5987" s="14"/>
      <c r="F5987" s="14"/>
      <c r="G5987" s="13"/>
      <c r="H5987" s="14"/>
      <c r="I5987" s="13"/>
      <c r="J5987" s="13"/>
      <c r="K5987" s="13"/>
      <c r="L5987" s="13"/>
      <c r="M5987" s="13"/>
      <c r="N5987" s="13"/>
      <c r="O5987" s="13" t="str">
        <f t="shared" si="1"/>
        <v/>
      </c>
    </row>
    <row r="5988" ht="22.5" customHeight="1">
      <c r="B5988" s="13"/>
      <c r="C5988" s="13"/>
      <c r="D5988" s="13"/>
      <c r="E5988" s="14"/>
      <c r="F5988" s="14"/>
      <c r="G5988" s="13"/>
      <c r="H5988" s="14"/>
      <c r="I5988" s="13"/>
      <c r="J5988" s="13"/>
      <c r="K5988" s="13"/>
      <c r="L5988" s="13"/>
      <c r="M5988" s="13"/>
      <c r="N5988" s="13"/>
      <c r="O5988" s="13" t="str">
        <f t="shared" si="1"/>
        <v/>
      </c>
    </row>
    <row r="5989" ht="22.5" customHeight="1">
      <c r="B5989" s="13"/>
      <c r="C5989" s="13"/>
      <c r="D5989" s="13"/>
      <c r="E5989" s="14"/>
      <c r="F5989" s="14"/>
      <c r="G5989" s="13"/>
      <c r="H5989" s="14"/>
      <c r="I5989" s="13"/>
      <c r="J5989" s="13"/>
      <c r="K5989" s="13"/>
      <c r="L5989" s="13"/>
      <c r="M5989" s="13"/>
      <c r="N5989" s="13"/>
      <c r="O5989" s="13" t="str">
        <f t="shared" si="1"/>
        <v/>
      </c>
    </row>
    <row r="5990" ht="22.5" customHeight="1">
      <c r="B5990" s="13"/>
      <c r="C5990" s="13"/>
      <c r="D5990" s="13"/>
      <c r="E5990" s="14"/>
      <c r="F5990" s="14"/>
      <c r="G5990" s="13"/>
      <c r="H5990" s="14"/>
      <c r="I5990" s="13"/>
      <c r="J5990" s="13"/>
      <c r="K5990" s="13"/>
      <c r="L5990" s="13"/>
      <c r="M5990" s="13"/>
      <c r="N5990" s="13"/>
      <c r="O5990" s="13" t="str">
        <f t="shared" si="1"/>
        <v/>
      </c>
    </row>
    <row r="5991" ht="22.5" customHeight="1">
      <c r="B5991" s="13"/>
      <c r="C5991" s="13"/>
      <c r="D5991" s="13"/>
      <c r="E5991" s="14"/>
      <c r="F5991" s="14"/>
      <c r="G5991" s="13"/>
      <c r="H5991" s="14"/>
      <c r="I5991" s="13"/>
      <c r="J5991" s="13"/>
      <c r="K5991" s="13"/>
      <c r="L5991" s="13"/>
      <c r="M5991" s="13"/>
      <c r="N5991" s="13"/>
      <c r="O5991" s="13" t="str">
        <f t="shared" si="1"/>
        <v/>
      </c>
    </row>
    <row r="5992" ht="22.5" customHeight="1">
      <c r="B5992" s="13"/>
      <c r="C5992" s="13"/>
      <c r="D5992" s="13"/>
      <c r="E5992" s="14"/>
      <c r="F5992" s="14"/>
      <c r="G5992" s="13"/>
      <c r="H5992" s="14"/>
      <c r="I5992" s="13"/>
      <c r="J5992" s="13"/>
      <c r="K5992" s="13"/>
      <c r="L5992" s="13"/>
      <c r="M5992" s="13"/>
      <c r="N5992" s="13"/>
      <c r="O5992" s="13" t="str">
        <f t="shared" si="1"/>
        <v/>
      </c>
    </row>
    <row r="5993" ht="22.5" customHeight="1">
      <c r="B5993" s="13"/>
      <c r="C5993" s="13"/>
      <c r="D5993" s="13"/>
      <c r="E5993" s="14"/>
      <c r="F5993" s="14"/>
      <c r="G5993" s="13"/>
      <c r="H5993" s="14"/>
      <c r="I5993" s="13"/>
      <c r="J5993" s="13"/>
      <c r="K5993" s="13"/>
      <c r="L5993" s="13"/>
      <c r="M5993" s="13"/>
      <c r="N5993" s="13"/>
      <c r="O5993" s="13" t="str">
        <f t="shared" si="1"/>
        <v/>
      </c>
    </row>
    <row r="5994" ht="22.5" customHeight="1">
      <c r="B5994" s="13"/>
      <c r="C5994" s="13"/>
      <c r="D5994" s="13"/>
      <c r="E5994" s="14"/>
      <c r="F5994" s="14"/>
      <c r="G5994" s="13"/>
      <c r="H5994" s="14"/>
      <c r="I5994" s="13"/>
      <c r="J5994" s="13"/>
      <c r="K5994" s="13"/>
      <c r="L5994" s="13"/>
      <c r="M5994" s="13"/>
      <c r="N5994" s="13"/>
      <c r="O5994" s="13" t="str">
        <f t="shared" si="1"/>
        <v/>
      </c>
    </row>
    <row r="5995" ht="22.5" customHeight="1">
      <c r="B5995" s="13"/>
      <c r="C5995" s="13"/>
      <c r="D5995" s="13"/>
      <c r="E5995" s="14"/>
      <c r="F5995" s="14"/>
      <c r="G5995" s="13"/>
      <c r="H5995" s="14"/>
      <c r="I5995" s="13"/>
      <c r="J5995" s="13"/>
      <c r="K5995" s="13"/>
      <c r="L5995" s="13"/>
      <c r="M5995" s="13"/>
      <c r="N5995" s="13"/>
      <c r="O5995" s="13" t="str">
        <f t="shared" si="1"/>
        <v/>
      </c>
    </row>
    <row r="5996" ht="22.5" customHeight="1">
      <c r="B5996" s="13"/>
      <c r="C5996" s="13"/>
      <c r="D5996" s="13"/>
      <c r="E5996" s="14"/>
      <c r="F5996" s="14"/>
      <c r="G5996" s="13"/>
      <c r="H5996" s="14"/>
      <c r="I5996" s="13"/>
      <c r="J5996" s="13"/>
      <c r="K5996" s="13"/>
      <c r="L5996" s="13"/>
      <c r="M5996" s="13"/>
      <c r="N5996" s="13"/>
      <c r="O5996" s="13" t="str">
        <f t="shared" si="1"/>
        <v/>
      </c>
    </row>
    <row r="5997" ht="22.5" customHeight="1">
      <c r="B5997" s="13"/>
      <c r="C5997" s="13"/>
      <c r="D5997" s="13"/>
      <c r="E5997" s="14"/>
      <c r="F5997" s="14"/>
      <c r="G5997" s="13"/>
      <c r="H5997" s="14"/>
      <c r="I5997" s="13"/>
      <c r="J5997" s="13"/>
      <c r="K5997" s="13"/>
      <c r="L5997" s="13"/>
      <c r="M5997" s="13"/>
      <c r="N5997" s="13"/>
      <c r="O5997" s="13" t="str">
        <f t="shared" si="1"/>
        <v/>
      </c>
    </row>
    <row r="5998" ht="22.5" customHeight="1">
      <c r="B5998" s="13"/>
      <c r="C5998" s="13"/>
      <c r="D5998" s="13"/>
      <c r="E5998" s="14"/>
      <c r="F5998" s="14"/>
      <c r="G5998" s="13"/>
      <c r="H5998" s="14"/>
      <c r="I5998" s="13"/>
      <c r="J5998" s="13"/>
      <c r="K5998" s="13"/>
      <c r="L5998" s="13"/>
      <c r="M5998" s="13"/>
      <c r="N5998" s="13"/>
      <c r="O5998" s="13" t="str">
        <f t="shared" si="1"/>
        <v/>
      </c>
    </row>
    <row r="5999" ht="22.5" customHeight="1">
      <c r="B5999" s="13"/>
      <c r="C5999" s="13"/>
      <c r="D5999" s="13"/>
      <c r="E5999" s="14"/>
      <c r="F5999" s="14"/>
      <c r="G5999" s="13"/>
      <c r="H5999" s="14"/>
      <c r="I5999" s="13"/>
      <c r="J5999" s="13"/>
      <c r="K5999" s="13"/>
      <c r="L5999" s="13"/>
      <c r="M5999" s="13"/>
      <c r="N5999" s="13"/>
      <c r="O5999" s="13" t="str">
        <f t="shared" si="1"/>
        <v/>
      </c>
    </row>
    <row r="6000" ht="22.5" customHeight="1">
      <c r="B6000" s="13"/>
      <c r="C6000" s="13"/>
      <c r="D6000" s="13"/>
      <c r="E6000" s="14"/>
      <c r="F6000" s="14"/>
      <c r="G6000" s="13"/>
      <c r="H6000" s="14"/>
      <c r="I6000" s="13"/>
      <c r="J6000" s="13"/>
      <c r="K6000" s="13"/>
      <c r="L6000" s="13"/>
      <c r="M6000" s="13"/>
      <c r="N6000" s="13"/>
      <c r="O6000" s="13" t="str">
        <f t="shared" si="1"/>
        <v/>
      </c>
    </row>
    <row r="6001" ht="22.5" customHeight="1">
      <c r="B6001" s="13"/>
      <c r="C6001" s="13"/>
      <c r="D6001" s="13"/>
      <c r="E6001" s="14"/>
      <c r="F6001" s="14"/>
      <c r="G6001" s="13"/>
      <c r="H6001" s="14"/>
      <c r="I6001" s="13"/>
      <c r="J6001" s="13"/>
      <c r="K6001" s="13"/>
      <c r="L6001" s="13"/>
      <c r="M6001" s="13"/>
      <c r="N6001" s="13"/>
      <c r="O6001" s="13" t="str">
        <f t="shared" si="1"/>
        <v/>
      </c>
    </row>
    <row r="6002" ht="22.5" customHeight="1">
      <c r="B6002" s="13"/>
      <c r="C6002" s="13"/>
      <c r="D6002" s="13"/>
      <c r="E6002" s="14"/>
      <c r="F6002" s="14"/>
      <c r="G6002" s="13"/>
      <c r="H6002" s="14"/>
      <c r="I6002" s="13"/>
      <c r="J6002" s="13"/>
      <c r="K6002" s="13"/>
      <c r="L6002" s="13"/>
      <c r="M6002" s="13"/>
      <c r="N6002" s="13"/>
      <c r="O6002" s="13" t="str">
        <f t="shared" si="1"/>
        <v/>
      </c>
    </row>
    <row r="6003" ht="22.5" customHeight="1">
      <c r="B6003" s="13"/>
      <c r="C6003" s="13"/>
      <c r="D6003" s="13"/>
      <c r="E6003" s="14"/>
      <c r="F6003" s="14"/>
      <c r="G6003" s="13"/>
      <c r="H6003" s="14"/>
      <c r="I6003" s="13"/>
      <c r="J6003" s="13"/>
      <c r="K6003" s="13"/>
      <c r="L6003" s="13"/>
      <c r="M6003" s="13"/>
      <c r="N6003" s="13"/>
      <c r="O6003" s="13" t="str">
        <f t="shared" si="1"/>
        <v/>
      </c>
    </row>
    <row r="6004" ht="22.5" customHeight="1">
      <c r="B6004" s="13"/>
      <c r="C6004" s="13"/>
      <c r="D6004" s="13"/>
      <c r="E6004" s="14"/>
      <c r="F6004" s="14"/>
      <c r="G6004" s="13"/>
      <c r="H6004" s="14"/>
      <c r="I6004" s="13"/>
      <c r="J6004" s="13"/>
      <c r="K6004" s="13"/>
      <c r="L6004" s="13"/>
      <c r="M6004" s="13"/>
      <c r="N6004" s="13"/>
      <c r="O6004" s="13" t="str">
        <f t="shared" si="1"/>
        <v/>
      </c>
    </row>
    <row r="6005" ht="22.5" customHeight="1">
      <c r="B6005" s="13"/>
      <c r="C6005" s="13"/>
      <c r="D6005" s="13"/>
      <c r="E6005" s="14"/>
      <c r="F6005" s="14"/>
      <c r="G6005" s="13"/>
      <c r="H6005" s="14"/>
      <c r="I6005" s="13"/>
      <c r="J6005" s="13"/>
      <c r="K6005" s="13"/>
      <c r="L6005" s="13"/>
      <c r="M6005" s="13"/>
      <c r="N6005" s="13"/>
      <c r="O6005" s="13" t="str">
        <f t="shared" si="1"/>
        <v/>
      </c>
    </row>
    <row r="6006" ht="22.5" customHeight="1">
      <c r="B6006" s="13"/>
      <c r="C6006" s="13"/>
      <c r="D6006" s="13"/>
      <c r="E6006" s="14"/>
      <c r="F6006" s="14"/>
      <c r="G6006" s="13"/>
      <c r="H6006" s="14"/>
      <c r="I6006" s="13"/>
      <c r="J6006" s="13"/>
      <c r="K6006" s="13"/>
      <c r="L6006" s="13"/>
      <c r="M6006" s="13"/>
      <c r="N6006" s="13"/>
      <c r="O6006" s="13" t="str">
        <f t="shared" si="1"/>
        <v/>
      </c>
    </row>
    <row r="6007" ht="22.5" customHeight="1">
      <c r="B6007" s="13"/>
      <c r="C6007" s="13"/>
      <c r="D6007" s="13"/>
      <c r="E6007" s="14"/>
      <c r="F6007" s="14"/>
      <c r="G6007" s="13"/>
      <c r="H6007" s="14"/>
      <c r="I6007" s="13"/>
      <c r="J6007" s="13"/>
      <c r="K6007" s="13"/>
      <c r="L6007" s="13"/>
      <c r="M6007" s="13"/>
      <c r="N6007" s="13"/>
      <c r="O6007" s="13" t="str">
        <f t="shared" si="1"/>
        <v/>
      </c>
    </row>
    <row r="6008" ht="22.5" customHeight="1">
      <c r="B6008" s="13"/>
      <c r="C6008" s="13"/>
      <c r="D6008" s="13"/>
      <c r="E6008" s="14"/>
      <c r="F6008" s="14"/>
      <c r="G6008" s="13"/>
      <c r="H6008" s="14"/>
      <c r="I6008" s="13"/>
      <c r="J6008" s="13"/>
      <c r="K6008" s="13"/>
      <c r="L6008" s="13"/>
      <c r="M6008" s="13"/>
      <c r="N6008" s="13"/>
      <c r="O6008" s="13" t="str">
        <f t="shared" si="1"/>
        <v/>
      </c>
    </row>
    <row r="6009" ht="22.5" customHeight="1">
      <c r="B6009" s="13"/>
      <c r="C6009" s="13"/>
      <c r="D6009" s="13"/>
      <c r="E6009" s="14"/>
      <c r="F6009" s="14"/>
      <c r="G6009" s="13"/>
      <c r="H6009" s="14"/>
      <c r="I6009" s="13"/>
      <c r="J6009" s="13"/>
      <c r="K6009" s="13"/>
      <c r="L6009" s="13"/>
      <c r="M6009" s="13"/>
      <c r="N6009" s="13"/>
      <c r="O6009" s="13" t="str">
        <f t="shared" si="1"/>
        <v/>
      </c>
    </row>
    <row r="6010" ht="22.5" customHeight="1">
      <c r="B6010" s="13"/>
      <c r="C6010" s="13"/>
      <c r="D6010" s="13"/>
      <c r="E6010" s="14"/>
      <c r="F6010" s="14"/>
      <c r="G6010" s="13"/>
      <c r="H6010" s="14"/>
      <c r="I6010" s="13"/>
      <c r="J6010" s="13"/>
      <c r="K6010" s="13"/>
      <c r="L6010" s="13"/>
      <c r="M6010" s="13"/>
      <c r="N6010" s="13"/>
      <c r="O6010" s="13" t="str">
        <f t="shared" si="1"/>
        <v/>
      </c>
    </row>
    <row r="6011" ht="22.5" customHeight="1">
      <c r="B6011" s="13"/>
      <c r="C6011" s="13"/>
      <c r="D6011" s="13"/>
      <c r="E6011" s="14"/>
      <c r="F6011" s="14"/>
      <c r="G6011" s="13"/>
      <c r="H6011" s="14"/>
      <c r="I6011" s="13"/>
      <c r="J6011" s="13"/>
      <c r="K6011" s="13"/>
      <c r="L6011" s="13"/>
      <c r="M6011" s="13"/>
      <c r="N6011" s="13"/>
      <c r="O6011" s="13" t="str">
        <f t="shared" si="1"/>
        <v/>
      </c>
    </row>
    <row r="6012" ht="22.5" customHeight="1">
      <c r="B6012" s="13"/>
      <c r="C6012" s="13"/>
      <c r="D6012" s="13"/>
      <c r="E6012" s="14"/>
      <c r="F6012" s="14"/>
      <c r="G6012" s="13"/>
      <c r="H6012" s="14"/>
      <c r="I6012" s="13"/>
      <c r="J6012" s="13"/>
      <c r="K6012" s="13"/>
      <c r="L6012" s="13"/>
      <c r="M6012" s="13"/>
      <c r="N6012" s="13"/>
      <c r="O6012" s="13" t="str">
        <f t="shared" si="1"/>
        <v/>
      </c>
    </row>
    <row r="6013" ht="22.5" customHeight="1">
      <c r="B6013" s="13"/>
      <c r="C6013" s="13"/>
      <c r="D6013" s="13"/>
      <c r="E6013" s="14"/>
      <c r="F6013" s="14"/>
      <c r="G6013" s="13"/>
      <c r="H6013" s="14"/>
      <c r="I6013" s="13"/>
      <c r="J6013" s="13"/>
      <c r="K6013" s="13"/>
      <c r="L6013" s="13"/>
      <c r="M6013" s="13"/>
      <c r="N6013" s="13"/>
      <c r="O6013" s="13" t="str">
        <f t="shared" si="1"/>
        <v/>
      </c>
    </row>
    <row r="6014" ht="22.5" customHeight="1">
      <c r="B6014" s="13"/>
      <c r="C6014" s="13"/>
      <c r="D6014" s="13"/>
      <c r="E6014" s="14"/>
      <c r="F6014" s="14"/>
      <c r="G6014" s="13"/>
      <c r="H6014" s="14"/>
      <c r="I6014" s="13"/>
      <c r="J6014" s="13"/>
      <c r="K6014" s="13"/>
      <c r="L6014" s="13"/>
      <c r="M6014" s="13"/>
      <c r="N6014" s="13"/>
      <c r="O6014" s="13" t="str">
        <f t="shared" si="1"/>
        <v/>
      </c>
    </row>
    <row r="6015" ht="22.5" customHeight="1">
      <c r="B6015" s="13"/>
      <c r="C6015" s="13"/>
      <c r="D6015" s="13"/>
      <c r="E6015" s="14"/>
      <c r="F6015" s="14"/>
      <c r="G6015" s="13"/>
      <c r="H6015" s="14"/>
      <c r="I6015" s="13"/>
      <c r="J6015" s="13"/>
      <c r="K6015" s="13"/>
      <c r="L6015" s="13"/>
      <c r="M6015" s="13"/>
      <c r="N6015" s="13"/>
      <c r="O6015" s="13" t="str">
        <f t="shared" si="1"/>
        <v/>
      </c>
    </row>
    <row r="6016" ht="22.5" customHeight="1">
      <c r="B6016" s="13"/>
      <c r="C6016" s="13"/>
      <c r="D6016" s="13"/>
      <c r="E6016" s="14"/>
      <c r="F6016" s="14"/>
      <c r="G6016" s="13"/>
      <c r="H6016" s="14"/>
      <c r="I6016" s="13"/>
      <c r="J6016" s="13"/>
      <c r="K6016" s="13"/>
      <c r="L6016" s="13"/>
      <c r="M6016" s="13"/>
      <c r="N6016" s="13"/>
      <c r="O6016" s="13" t="str">
        <f t="shared" si="1"/>
        <v/>
      </c>
    </row>
    <row r="6017" ht="22.5" customHeight="1">
      <c r="B6017" s="13"/>
      <c r="C6017" s="13"/>
      <c r="D6017" s="13"/>
      <c r="E6017" s="14"/>
      <c r="F6017" s="14"/>
      <c r="G6017" s="13"/>
      <c r="H6017" s="14"/>
      <c r="I6017" s="13"/>
      <c r="J6017" s="13"/>
      <c r="K6017" s="13"/>
      <c r="L6017" s="13"/>
      <c r="M6017" s="13"/>
      <c r="N6017" s="13"/>
      <c r="O6017" s="13" t="str">
        <f t="shared" si="1"/>
        <v/>
      </c>
    </row>
    <row r="6018" ht="22.5" customHeight="1">
      <c r="B6018" s="13"/>
      <c r="C6018" s="13"/>
      <c r="D6018" s="13"/>
      <c r="E6018" s="14"/>
      <c r="F6018" s="14"/>
      <c r="G6018" s="13"/>
      <c r="H6018" s="14"/>
      <c r="I6018" s="13"/>
      <c r="J6018" s="13"/>
      <c r="K6018" s="13"/>
      <c r="L6018" s="13"/>
      <c r="M6018" s="13"/>
      <c r="N6018" s="13"/>
      <c r="O6018" s="13" t="str">
        <f t="shared" si="1"/>
        <v/>
      </c>
    </row>
    <row r="6019" ht="22.5" customHeight="1">
      <c r="B6019" s="13"/>
      <c r="C6019" s="13"/>
      <c r="D6019" s="13"/>
      <c r="E6019" s="14"/>
      <c r="F6019" s="14"/>
      <c r="G6019" s="13"/>
      <c r="H6019" s="14"/>
      <c r="I6019" s="13"/>
      <c r="J6019" s="13"/>
      <c r="K6019" s="13"/>
      <c r="L6019" s="13"/>
      <c r="M6019" s="13"/>
      <c r="N6019" s="13"/>
      <c r="O6019" s="13" t="str">
        <f t="shared" si="1"/>
        <v/>
      </c>
    </row>
    <row r="6020" ht="22.5" customHeight="1">
      <c r="B6020" s="13"/>
      <c r="C6020" s="13"/>
      <c r="D6020" s="13"/>
      <c r="E6020" s="14"/>
      <c r="F6020" s="14"/>
      <c r="G6020" s="13"/>
      <c r="H6020" s="14"/>
      <c r="I6020" s="13"/>
      <c r="J6020" s="13"/>
      <c r="K6020" s="13"/>
      <c r="L6020" s="13"/>
      <c r="M6020" s="13"/>
      <c r="N6020" s="13"/>
      <c r="O6020" s="13" t="str">
        <f t="shared" si="1"/>
        <v/>
      </c>
    </row>
    <row r="6021" ht="22.5" customHeight="1">
      <c r="B6021" s="13"/>
      <c r="C6021" s="13"/>
      <c r="D6021" s="13"/>
      <c r="E6021" s="14"/>
      <c r="F6021" s="14"/>
      <c r="G6021" s="13"/>
      <c r="H6021" s="14"/>
      <c r="I6021" s="13"/>
      <c r="J6021" s="13"/>
      <c r="K6021" s="13"/>
      <c r="L6021" s="13"/>
      <c r="M6021" s="13"/>
      <c r="N6021" s="13"/>
      <c r="O6021" s="13" t="str">
        <f t="shared" si="1"/>
        <v/>
      </c>
    </row>
    <row r="6022" ht="22.5" customHeight="1">
      <c r="B6022" s="13"/>
      <c r="C6022" s="13"/>
      <c r="D6022" s="13"/>
      <c r="E6022" s="14"/>
      <c r="F6022" s="14"/>
      <c r="G6022" s="13"/>
      <c r="H6022" s="14"/>
      <c r="I6022" s="13"/>
      <c r="J6022" s="13"/>
      <c r="K6022" s="13"/>
      <c r="L6022" s="13"/>
      <c r="M6022" s="13"/>
      <c r="N6022" s="13"/>
      <c r="O6022" s="13" t="str">
        <f t="shared" si="1"/>
        <v/>
      </c>
    </row>
    <row r="6023" ht="22.5" customHeight="1">
      <c r="B6023" s="13"/>
      <c r="C6023" s="13"/>
      <c r="D6023" s="13"/>
      <c r="E6023" s="14"/>
      <c r="F6023" s="14"/>
      <c r="G6023" s="13"/>
      <c r="H6023" s="14"/>
      <c r="I6023" s="13"/>
      <c r="J6023" s="13"/>
      <c r="K6023" s="13"/>
      <c r="L6023" s="13"/>
      <c r="M6023" s="13"/>
      <c r="N6023" s="13"/>
      <c r="O6023" s="13" t="str">
        <f t="shared" si="1"/>
        <v/>
      </c>
    </row>
    <row r="6024" ht="22.5" customHeight="1">
      <c r="B6024" s="13"/>
      <c r="C6024" s="13"/>
      <c r="D6024" s="13"/>
      <c r="E6024" s="14"/>
      <c r="F6024" s="14"/>
      <c r="G6024" s="13"/>
      <c r="H6024" s="14"/>
      <c r="I6024" s="13"/>
      <c r="J6024" s="13"/>
      <c r="K6024" s="13"/>
      <c r="L6024" s="13"/>
      <c r="M6024" s="13"/>
      <c r="N6024" s="13"/>
      <c r="O6024" s="13" t="str">
        <f t="shared" si="1"/>
        <v/>
      </c>
    </row>
    <row r="6025" ht="22.5" customHeight="1">
      <c r="B6025" s="13"/>
      <c r="C6025" s="13"/>
      <c r="D6025" s="13"/>
      <c r="E6025" s="14"/>
      <c r="F6025" s="14"/>
      <c r="G6025" s="13"/>
      <c r="H6025" s="14"/>
      <c r="I6025" s="13"/>
      <c r="J6025" s="13"/>
      <c r="K6025" s="13"/>
      <c r="L6025" s="13"/>
      <c r="M6025" s="13"/>
      <c r="N6025" s="13"/>
      <c r="O6025" s="13" t="str">
        <f t="shared" si="1"/>
        <v/>
      </c>
    </row>
    <row r="6026" ht="22.5" customHeight="1">
      <c r="B6026" s="13"/>
      <c r="C6026" s="13"/>
      <c r="D6026" s="13"/>
      <c r="E6026" s="14"/>
      <c r="F6026" s="14"/>
      <c r="G6026" s="13"/>
      <c r="H6026" s="14"/>
      <c r="I6026" s="13"/>
      <c r="J6026" s="13"/>
      <c r="K6026" s="13"/>
      <c r="L6026" s="13"/>
      <c r="M6026" s="13"/>
      <c r="N6026" s="13"/>
      <c r="O6026" s="13" t="str">
        <f t="shared" si="1"/>
        <v/>
      </c>
    </row>
    <row r="6027" ht="22.5" customHeight="1">
      <c r="B6027" s="13"/>
      <c r="C6027" s="13"/>
      <c r="D6027" s="13"/>
      <c r="E6027" s="14"/>
      <c r="F6027" s="14"/>
      <c r="G6027" s="13"/>
      <c r="H6027" s="14"/>
      <c r="I6027" s="13"/>
      <c r="J6027" s="13"/>
      <c r="K6027" s="13"/>
      <c r="L6027" s="13"/>
      <c r="M6027" s="13"/>
      <c r="N6027" s="13"/>
      <c r="O6027" s="13" t="str">
        <f t="shared" si="1"/>
        <v/>
      </c>
    </row>
    <row r="6028" ht="22.5" customHeight="1">
      <c r="B6028" s="13"/>
      <c r="C6028" s="13"/>
      <c r="D6028" s="13"/>
      <c r="E6028" s="14"/>
      <c r="F6028" s="14"/>
      <c r="G6028" s="13"/>
      <c r="H6028" s="14"/>
      <c r="I6028" s="13"/>
      <c r="J6028" s="13"/>
      <c r="K6028" s="13"/>
      <c r="L6028" s="13"/>
      <c r="M6028" s="13"/>
      <c r="N6028" s="13"/>
      <c r="O6028" s="13" t="str">
        <f t="shared" si="1"/>
        <v/>
      </c>
    </row>
    <row r="6029" ht="22.5" customHeight="1">
      <c r="B6029" s="13"/>
      <c r="C6029" s="13"/>
      <c r="D6029" s="13"/>
      <c r="E6029" s="14"/>
      <c r="F6029" s="14"/>
      <c r="G6029" s="13"/>
      <c r="H6029" s="14"/>
      <c r="I6029" s="13"/>
      <c r="J6029" s="13"/>
      <c r="K6029" s="13"/>
      <c r="L6029" s="13"/>
      <c r="M6029" s="13"/>
      <c r="N6029" s="13"/>
      <c r="O6029" s="13" t="str">
        <f t="shared" si="1"/>
        <v/>
      </c>
    </row>
    <row r="6030" ht="22.5" customHeight="1">
      <c r="B6030" s="13"/>
      <c r="C6030" s="13"/>
      <c r="D6030" s="13"/>
      <c r="E6030" s="14"/>
      <c r="F6030" s="14"/>
      <c r="G6030" s="13"/>
      <c r="H6030" s="14"/>
      <c r="I6030" s="13"/>
      <c r="J6030" s="13"/>
      <c r="K6030" s="13"/>
      <c r="L6030" s="13"/>
      <c r="M6030" s="13"/>
      <c r="N6030" s="13"/>
      <c r="O6030" s="13" t="str">
        <f t="shared" si="1"/>
        <v/>
      </c>
    </row>
    <row r="6031" ht="22.5" customHeight="1">
      <c r="B6031" s="13"/>
      <c r="C6031" s="13"/>
      <c r="D6031" s="13"/>
      <c r="E6031" s="14"/>
      <c r="F6031" s="14"/>
      <c r="G6031" s="13"/>
      <c r="H6031" s="14"/>
      <c r="I6031" s="13"/>
      <c r="J6031" s="13"/>
      <c r="K6031" s="13"/>
      <c r="L6031" s="13"/>
      <c r="M6031" s="13"/>
      <c r="N6031" s="13"/>
      <c r="O6031" s="13" t="str">
        <f t="shared" si="1"/>
        <v/>
      </c>
    </row>
    <row r="6032" ht="22.5" customHeight="1">
      <c r="B6032" s="13"/>
      <c r="C6032" s="13"/>
      <c r="D6032" s="13"/>
      <c r="E6032" s="14"/>
      <c r="F6032" s="14"/>
      <c r="G6032" s="13"/>
      <c r="H6032" s="14"/>
      <c r="I6032" s="13"/>
      <c r="J6032" s="13"/>
      <c r="K6032" s="13"/>
      <c r="L6032" s="13"/>
      <c r="M6032" s="13"/>
      <c r="N6032" s="13"/>
      <c r="O6032" s="13" t="str">
        <f t="shared" si="1"/>
        <v/>
      </c>
    </row>
    <row r="6033" ht="22.5" customHeight="1">
      <c r="B6033" s="13"/>
      <c r="C6033" s="13"/>
      <c r="D6033" s="13"/>
      <c r="E6033" s="14"/>
      <c r="F6033" s="14"/>
      <c r="G6033" s="13"/>
      <c r="H6033" s="14"/>
      <c r="I6033" s="13"/>
      <c r="J6033" s="13"/>
      <c r="K6033" s="13"/>
      <c r="L6033" s="13"/>
      <c r="M6033" s="13"/>
      <c r="N6033" s="13"/>
      <c r="O6033" s="13" t="str">
        <f t="shared" si="1"/>
        <v/>
      </c>
    </row>
    <row r="6034" ht="22.5" customHeight="1">
      <c r="B6034" s="13"/>
      <c r="C6034" s="13"/>
      <c r="D6034" s="13"/>
      <c r="E6034" s="14"/>
      <c r="F6034" s="14"/>
      <c r="G6034" s="13"/>
      <c r="H6034" s="14"/>
      <c r="I6034" s="13"/>
      <c r="J6034" s="13"/>
      <c r="K6034" s="13"/>
      <c r="L6034" s="13"/>
      <c r="M6034" s="13"/>
      <c r="N6034" s="13"/>
      <c r="O6034" s="13" t="str">
        <f t="shared" si="1"/>
        <v/>
      </c>
    </row>
    <row r="6035" ht="22.5" customHeight="1">
      <c r="B6035" s="13"/>
      <c r="C6035" s="13"/>
      <c r="D6035" s="13"/>
      <c r="E6035" s="14"/>
      <c r="F6035" s="14"/>
      <c r="G6035" s="13"/>
      <c r="H6035" s="14"/>
      <c r="I6035" s="13"/>
      <c r="J6035" s="13"/>
      <c r="K6035" s="13"/>
      <c r="L6035" s="13"/>
      <c r="M6035" s="13"/>
      <c r="N6035" s="13"/>
      <c r="O6035" s="13" t="str">
        <f t="shared" si="1"/>
        <v/>
      </c>
    </row>
    <row r="6036" ht="22.5" customHeight="1">
      <c r="B6036" s="13"/>
      <c r="C6036" s="13"/>
      <c r="D6036" s="13"/>
      <c r="E6036" s="14"/>
      <c r="F6036" s="14"/>
      <c r="G6036" s="13"/>
      <c r="H6036" s="14"/>
      <c r="I6036" s="13"/>
      <c r="J6036" s="13"/>
      <c r="K6036" s="13"/>
      <c r="L6036" s="13"/>
      <c r="M6036" s="13"/>
      <c r="N6036" s="13"/>
      <c r="O6036" s="13" t="str">
        <f t="shared" si="1"/>
        <v/>
      </c>
    </row>
    <row r="6037" ht="22.5" customHeight="1">
      <c r="B6037" s="13"/>
      <c r="C6037" s="13"/>
      <c r="D6037" s="13"/>
      <c r="E6037" s="14"/>
      <c r="F6037" s="14"/>
      <c r="G6037" s="13"/>
      <c r="H6037" s="14"/>
      <c r="I6037" s="13"/>
      <c r="J6037" s="13"/>
      <c r="K6037" s="13"/>
      <c r="L6037" s="13"/>
      <c r="M6037" s="13"/>
      <c r="N6037" s="13"/>
      <c r="O6037" s="13" t="str">
        <f t="shared" si="1"/>
        <v/>
      </c>
    </row>
    <row r="6038" ht="22.5" customHeight="1">
      <c r="B6038" s="13"/>
      <c r="C6038" s="13"/>
      <c r="D6038" s="13"/>
      <c r="E6038" s="14"/>
      <c r="F6038" s="14"/>
      <c r="G6038" s="13"/>
      <c r="H6038" s="14"/>
      <c r="I6038" s="13"/>
      <c r="J6038" s="13"/>
      <c r="K6038" s="13"/>
      <c r="L6038" s="13"/>
      <c r="M6038" s="13"/>
      <c r="N6038" s="13"/>
      <c r="O6038" s="13" t="str">
        <f t="shared" si="1"/>
        <v/>
      </c>
    </row>
    <row r="6039" ht="22.5" customHeight="1">
      <c r="B6039" s="13"/>
      <c r="C6039" s="13"/>
      <c r="D6039" s="13"/>
      <c r="E6039" s="14"/>
      <c r="F6039" s="14"/>
      <c r="G6039" s="13"/>
      <c r="H6039" s="14"/>
      <c r="I6039" s="13"/>
      <c r="J6039" s="13"/>
      <c r="K6039" s="13"/>
      <c r="L6039" s="13"/>
      <c r="M6039" s="13"/>
      <c r="N6039" s="13"/>
      <c r="O6039" s="13" t="str">
        <f t="shared" si="1"/>
        <v/>
      </c>
    </row>
    <row r="6040" ht="22.5" customHeight="1">
      <c r="B6040" s="13"/>
      <c r="C6040" s="13"/>
      <c r="D6040" s="13"/>
      <c r="E6040" s="14"/>
      <c r="F6040" s="14"/>
      <c r="G6040" s="13"/>
      <c r="H6040" s="14"/>
      <c r="I6040" s="13"/>
      <c r="J6040" s="13"/>
      <c r="K6040" s="13"/>
      <c r="L6040" s="13"/>
      <c r="M6040" s="13"/>
      <c r="N6040" s="13"/>
      <c r="O6040" s="13" t="str">
        <f t="shared" si="1"/>
        <v/>
      </c>
    </row>
    <row r="6041" ht="22.5" customHeight="1">
      <c r="B6041" s="13"/>
      <c r="C6041" s="13"/>
      <c r="D6041" s="13"/>
      <c r="E6041" s="14"/>
      <c r="F6041" s="14"/>
      <c r="G6041" s="13"/>
      <c r="H6041" s="14"/>
      <c r="I6041" s="13"/>
      <c r="J6041" s="13"/>
      <c r="K6041" s="13"/>
      <c r="L6041" s="13"/>
      <c r="M6041" s="13"/>
      <c r="N6041" s="13"/>
      <c r="O6041" s="13" t="str">
        <f t="shared" si="1"/>
        <v/>
      </c>
    </row>
    <row r="6042" ht="22.5" customHeight="1">
      <c r="B6042" s="13"/>
      <c r="C6042" s="13"/>
      <c r="D6042" s="13"/>
      <c r="E6042" s="14"/>
      <c r="F6042" s="14"/>
      <c r="G6042" s="13"/>
      <c r="H6042" s="14"/>
      <c r="I6042" s="13"/>
      <c r="J6042" s="13"/>
      <c r="K6042" s="13"/>
      <c r="L6042" s="13"/>
      <c r="M6042" s="13"/>
      <c r="N6042" s="13"/>
      <c r="O6042" s="13" t="str">
        <f t="shared" si="1"/>
        <v/>
      </c>
    </row>
    <row r="6043" ht="22.5" customHeight="1">
      <c r="B6043" s="13"/>
      <c r="C6043" s="13"/>
      <c r="D6043" s="13"/>
      <c r="E6043" s="14"/>
      <c r="F6043" s="14"/>
      <c r="G6043" s="13"/>
      <c r="H6043" s="14"/>
      <c r="I6043" s="13"/>
      <c r="J6043" s="13"/>
      <c r="K6043" s="13"/>
      <c r="L6043" s="13"/>
      <c r="M6043" s="13"/>
      <c r="N6043" s="13"/>
      <c r="O6043" s="13" t="str">
        <f t="shared" si="1"/>
        <v/>
      </c>
    </row>
    <row r="6044" ht="22.5" customHeight="1">
      <c r="B6044" s="13"/>
      <c r="C6044" s="13"/>
      <c r="D6044" s="13"/>
      <c r="E6044" s="14"/>
      <c r="F6044" s="14"/>
      <c r="G6044" s="13"/>
      <c r="H6044" s="14"/>
      <c r="I6044" s="13"/>
      <c r="J6044" s="13"/>
      <c r="K6044" s="13"/>
      <c r="L6044" s="13"/>
      <c r="M6044" s="13"/>
      <c r="N6044" s="13"/>
      <c r="O6044" s="13" t="str">
        <f t="shared" si="1"/>
        <v/>
      </c>
    </row>
    <row r="6045" ht="22.5" customHeight="1">
      <c r="B6045" s="13"/>
      <c r="C6045" s="13"/>
      <c r="D6045" s="13"/>
      <c r="E6045" s="14"/>
      <c r="F6045" s="14"/>
      <c r="G6045" s="13"/>
      <c r="H6045" s="14"/>
      <c r="I6045" s="13"/>
      <c r="J6045" s="13"/>
      <c r="K6045" s="13"/>
      <c r="L6045" s="13"/>
      <c r="M6045" s="13"/>
      <c r="N6045" s="13"/>
      <c r="O6045" s="13" t="str">
        <f t="shared" si="1"/>
        <v/>
      </c>
    </row>
    <row r="6046" ht="22.5" customHeight="1">
      <c r="B6046" s="13"/>
      <c r="C6046" s="13"/>
      <c r="D6046" s="13"/>
      <c r="E6046" s="14"/>
      <c r="F6046" s="14"/>
      <c r="G6046" s="13"/>
      <c r="H6046" s="14"/>
      <c r="I6046" s="13"/>
      <c r="J6046" s="13"/>
      <c r="K6046" s="13"/>
      <c r="L6046" s="13"/>
      <c r="M6046" s="13"/>
      <c r="N6046" s="13"/>
      <c r="O6046" s="13" t="str">
        <f t="shared" si="1"/>
        <v/>
      </c>
    </row>
    <row r="6047" ht="22.5" customHeight="1">
      <c r="B6047" s="13"/>
      <c r="C6047" s="13"/>
      <c r="D6047" s="13"/>
      <c r="E6047" s="14"/>
      <c r="F6047" s="14"/>
      <c r="G6047" s="13"/>
      <c r="H6047" s="14"/>
      <c r="I6047" s="13"/>
      <c r="J6047" s="13"/>
      <c r="K6047" s="13"/>
      <c r="L6047" s="13"/>
      <c r="M6047" s="13"/>
      <c r="N6047" s="13"/>
      <c r="O6047" s="13" t="str">
        <f t="shared" si="1"/>
        <v/>
      </c>
    </row>
    <row r="6048" ht="22.5" customHeight="1">
      <c r="B6048" s="13"/>
      <c r="C6048" s="13"/>
      <c r="D6048" s="13"/>
      <c r="E6048" s="14"/>
      <c r="F6048" s="14"/>
      <c r="G6048" s="13"/>
      <c r="H6048" s="14"/>
      <c r="I6048" s="13"/>
      <c r="J6048" s="13"/>
      <c r="K6048" s="13"/>
      <c r="L6048" s="13"/>
      <c r="M6048" s="13"/>
      <c r="N6048" s="13"/>
      <c r="O6048" s="13" t="str">
        <f t="shared" si="1"/>
        <v/>
      </c>
    </row>
    <row r="6049" ht="22.5" customHeight="1">
      <c r="B6049" s="13"/>
      <c r="C6049" s="13"/>
      <c r="D6049" s="13"/>
      <c r="E6049" s="14"/>
      <c r="F6049" s="14"/>
      <c r="G6049" s="13"/>
      <c r="H6049" s="14"/>
      <c r="I6049" s="13"/>
      <c r="J6049" s="13"/>
      <c r="K6049" s="13"/>
      <c r="L6049" s="13"/>
      <c r="M6049" s="13"/>
      <c r="N6049" s="13"/>
      <c r="O6049" s="13" t="str">
        <f t="shared" si="1"/>
        <v/>
      </c>
    </row>
    <row r="6050" ht="22.5" customHeight="1">
      <c r="B6050" s="13"/>
      <c r="C6050" s="13"/>
      <c r="D6050" s="13"/>
      <c r="E6050" s="14"/>
      <c r="F6050" s="14"/>
      <c r="G6050" s="13"/>
      <c r="H6050" s="14"/>
      <c r="I6050" s="13"/>
      <c r="J6050" s="13"/>
      <c r="K6050" s="13"/>
      <c r="L6050" s="13"/>
      <c r="M6050" s="13"/>
      <c r="N6050" s="13"/>
      <c r="O6050" s="13" t="str">
        <f t="shared" si="1"/>
        <v/>
      </c>
    </row>
    <row r="6051" ht="22.5" customHeight="1">
      <c r="B6051" s="13"/>
      <c r="C6051" s="13"/>
      <c r="D6051" s="13"/>
      <c r="E6051" s="14"/>
      <c r="F6051" s="14"/>
      <c r="G6051" s="13"/>
      <c r="H6051" s="14"/>
      <c r="I6051" s="13"/>
      <c r="J6051" s="13"/>
      <c r="K6051" s="13"/>
      <c r="L6051" s="13"/>
      <c r="M6051" s="13"/>
      <c r="N6051" s="13"/>
      <c r="O6051" s="13" t="str">
        <f t="shared" si="1"/>
        <v/>
      </c>
    </row>
    <row r="6052" ht="22.5" customHeight="1">
      <c r="B6052" s="13"/>
      <c r="C6052" s="13"/>
      <c r="D6052" s="13"/>
      <c r="E6052" s="14"/>
      <c r="F6052" s="14"/>
      <c r="G6052" s="13"/>
      <c r="H6052" s="14"/>
      <c r="I6052" s="13"/>
      <c r="J6052" s="13"/>
      <c r="K6052" s="13"/>
      <c r="L6052" s="13"/>
      <c r="M6052" s="13"/>
      <c r="N6052" s="13"/>
      <c r="O6052" s="13" t="str">
        <f t="shared" si="1"/>
        <v/>
      </c>
    </row>
    <row r="6053" ht="22.5" customHeight="1">
      <c r="B6053" s="13"/>
      <c r="C6053" s="13"/>
      <c r="D6053" s="13"/>
      <c r="E6053" s="14"/>
      <c r="F6053" s="14"/>
      <c r="G6053" s="13"/>
      <c r="H6053" s="14"/>
      <c r="I6053" s="13"/>
      <c r="J6053" s="13"/>
      <c r="K6053" s="13"/>
      <c r="L6053" s="13"/>
      <c r="M6053" s="13"/>
      <c r="N6053" s="13"/>
      <c r="O6053" s="13" t="str">
        <f t="shared" si="1"/>
        <v/>
      </c>
    </row>
    <row r="6054" ht="22.5" customHeight="1">
      <c r="B6054" s="13"/>
      <c r="C6054" s="13"/>
      <c r="D6054" s="13"/>
      <c r="E6054" s="14"/>
      <c r="F6054" s="14"/>
      <c r="G6054" s="13"/>
      <c r="H6054" s="14"/>
      <c r="I6054" s="13"/>
      <c r="J6054" s="13"/>
      <c r="K6054" s="13"/>
      <c r="L6054" s="13"/>
      <c r="M6054" s="13"/>
      <c r="N6054" s="13"/>
      <c r="O6054" s="13" t="str">
        <f t="shared" si="1"/>
        <v/>
      </c>
    </row>
    <row r="6055" ht="22.5" customHeight="1">
      <c r="B6055" s="13"/>
      <c r="C6055" s="13"/>
      <c r="D6055" s="13"/>
      <c r="E6055" s="14"/>
      <c r="F6055" s="14"/>
      <c r="G6055" s="13"/>
      <c r="H6055" s="14"/>
      <c r="I6055" s="13"/>
      <c r="J6055" s="13"/>
      <c r="K6055" s="13"/>
      <c r="L6055" s="13"/>
      <c r="M6055" s="13"/>
      <c r="N6055" s="13"/>
      <c r="O6055" s="13" t="str">
        <f t="shared" si="1"/>
        <v/>
      </c>
    </row>
    <row r="6056" ht="22.5" customHeight="1">
      <c r="B6056" s="13"/>
      <c r="C6056" s="13"/>
      <c r="D6056" s="13"/>
      <c r="E6056" s="14"/>
      <c r="F6056" s="14"/>
      <c r="G6056" s="13"/>
      <c r="H6056" s="14"/>
      <c r="I6056" s="13"/>
      <c r="J6056" s="13"/>
      <c r="K6056" s="13"/>
      <c r="L6056" s="13"/>
      <c r="M6056" s="13"/>
      <c r="N6056" s="13"/>
      <c r="O6056" s="13" t="str">
        <f t="shared" si="1"/>
        <v/>
      </c>
    </row>
    <row r="6057" ht="22.5" customHeight="1">
      <c r="B6057" s="13"/>
      <c r="C6057" s="13"/>
      <c r="D6057" s="13"/>
      <c r="E6057" s="14"/>
      <c r="F6057" s="14"/>
      <c r="G6057" s="13"/>
      <c r="H6057" s="14"/>
      <c r="I6057" s="13"/>
      <c r="J6057" s="13"/>
      <c r="K6057" s="13"/>
      <c r="L6057" s="13"/>
      <c r="M6057" s="13"/>
      <c r="N6057" s="13"/>
      <c r="O6057" s="13" t="str">
        <f t="shared" si="1"/>
        <v/>
      </c>
    </row>
    <row r="6058" ht="22.5" customHeight="1">
      <c r="B6058" s="13"/>
      <c r="C6058" s="13"/>
      <c r="D6058" s="13"/>
      <c r="E6058" s="14"/>
      <c r="F6058" s="14"/>
      <c r="G6058" s="13"/>
      <c r="H6058" s="14"/>
      <c r="I6058" s="13"/>
      <c r="J6058" s="13"/>
      <c r="K6058" s="13"/>
      <c r="L6058" s="13"/>
      <c r="M6058" s="13"/>
      <c r="N6058" s="13"/>
      <c r="O6058" s="13" t="str">
        <f t="shared" si="1"/>
        <v/>
      </c>
    </row>
    <row r="6059" ht="22.5" customHeight="1">
      <c r="B6059" s="13"/>
      <c r="C6059" s="13"/>
      <c r="D6059" s="13"/>
      <c r="E6059" s="14"/>
      <c r="F6059" s="14"/>
      <c r="G6059" s="13"/>
      <c r="H6059" s="14"/>
      <c r="I6059" s="13"/>
      <c r="J6059" s="13"/>
      <c r="K6059" s="13"/>
      <c r="L6059" s="13"/>
      <c r="M6059" s="13"/>
      <c r="N6059" s="13"/>
      <c r="O6059" s="13" t="str">
        <f t="shared" si="1"/>
        <v/>
      </c>
    </row>
    <row r="6060" ht="22.5" customHeight="1">
      <c r="B6060" s="13"/>
      <c r="C6060" s="13"/>
      <c r="D6060" s="13"/>
      <c r="E6060" s="14"/>
      <c r="F6060" s="14"/>
      <c r="G6060" s="13"/>
      <c r="H6060" s="14"/>
      <c r="I6060" s="13"/>
      <c r="J6060" s="13"/>
      <c r="K6060" s="13"/>
      <c r="L6060" s="13"/>
      <c r="M6060" s="13"/>
      <c r="N6060" s="13"/>
      <c r="O6060" s="13" t="str">
        <f t="shared" si="1"/>
        <v/>
      </c>
    </row>
    <row r="6061" ht="22.5" customHeight="1">
      <c r="B6061" s="13"/>
      <c r="C6061" s="13"/>
      <c r="D6061" s="13"/>
      <c r="E6061" s="14"/>
      <c r="F6061" s="14"/>
      <c r="G6061" s="13"/>
      <c r="H6061" s="14"/>
      <c r="I6061" s="13"/>
      <c r="J6061" s="13"/>
      <c r="K6061" s="13"/>
      <c r="L6061" s="13"/>
      <c r="M6061" s="13"/>
      <c r="N6061" s="13"/>
      <c r="O6061" s="13" t="str">
        <f t="shared" si="1"/>
        <v/>
      </c>
    </row>
    <row r="6062" ht="22.5" customHeight="1">
      <c r="B6062" s="13"/>
      <c r="C6062" s="13"/>
      <c r="D6062" s="13"/>
      <c r="E6062" s="14"/>
      <c r="F6062" s="14"/>
      <c r="G6062" s="13"/>
      <c r="H6062" s="14"/>
      <c r="I6062" s="13"/>
      <c r="J6062" s="13"/>
      <c r="K6062" s="13"/>
      <c r="L6062" s="13"/>
      <c r="M6062" s="13"/>
      <c r="N6062" s="13"/>
      <c r="O6062" s="13" t="str">
        <f t="shared" si="1"/>
        <v/>
      </c>
    </row>
    <row r="6063" ht="22.5" customHeight="1">
      <c r="B6063" s="13"/>
      <c r="C6063" s="13"/>
      <c r="D6063" s="13"/>
      <c r="E6063" s="14"/>
      <c r="F6063" s="14"/>
      <c r="G6063" s="13"/>
      <c r="H6063" s="14"/>
      <c r="I6063" s="13"/>
      <c r="J6063" s="13"/>
      <c r="K6063" s="13"/>
      <c r="L6063" s="13"/>
      <c r="M6063" s="13"/>
      <c r="N6063" s="13"/>
      <c r="O6063" s="13" t="str">
        <f t="shared" si="1"/>
        <v/>
      </c>
    </row>
    <row r="6064" ht="22.5" customHeight="1">
      <c r="B6064" s="13"/>
      <c r="C6064" s="13"/>
      <c r="D6064" s="13"/>
      <c r="E6064" s="14"/>
      <c r="F6064" s="14"/>
      <c r="G6064" s="13"/>
      <c r="H6064" s="14"/>
      <c r="I6064" s="13"/>
      <c r="J6064" s="13"/>
      <c r="K6064" s="13"/>
      <c r="L6064" s="13"/>
      <c r="M6064" s="13"/>
      <c r="N6064" s="13"/>
      <c r="O6064" s="13" t="str">
        <f t="shared" si="1"/>
        <v/>
      </c>
    </row>
    <row r="6065" ht="22.5" customHeight="1">
      <c r="B6065" s="13"/>
      <c r="C6065" s="13"/>
      <c r="D6065" s="13"/>
      <c r="E6065" s="14"/>
      <c r="F6065" s="14"/>
      <c r="G6065" s="13"/>
      <c r="H6065" s="14"/>
      <c r="I6065" s="13"/>
      <c r="J6065" s="13"/>
      <c r="K6065" s="13"/>
      <c r="L6065" s="13"/>
      <c r="M6065" s="13"/>
      <c r="N6065" s="13"/>
      <c r="O6065" s="13" t="str">
        <f t="shared" si="1"/>
        <v/>
      </c>
    </row>
    <row r="6066" ht="22.5" customHeight="1">
      <c r="B6066" s="13"/>
      <c r="C6066" s="13"/>
      <c r="D6066" s="13"/>
      <c r="E6066" s="14"/>
      <c r="F6066" s="14"/>
      <c r="G6066" s="13"/>
      <c r="H6066" s="14"/>
      <c r="I6066" s="13"/>
      <c r="J6066" s="13"/>
      <c r="K6066" s="13"/>
      <c r="L6066" s="13"/>
      <c r="M6066" s="13"/>
      <c r="N6066" s="13"/>
      <c r="O6066" s="13" t="str">
        <f t="shared" si="1"/>
        <v/>
      </c>
    </row>
    <row r="6067" ht="22.5" customHeight="1">
      <c r="B6067" s="13"/>
      <c r="C6067" s="13"/>
      <c r="D6067" s="13"/>
      <c r="E6067" s="14"/>
      <c r="F6067" s="14"/>
      <c r="G6067" s="13"/>
      <c r="H6067" s="14"/>
      <c r="I6067" s="13"/>
      <c r="J6067" s="13"/>
      <c r="K6067" s="13"/>
      <c r="L6067" s="13"/>
      <c r="M6067" s="13"/>
      <c r="N6067" s="13"/>
      <c r="O6067" s="13" t="str">
        <f t="shared" si="1"/>
        <v/>
      </c>
    </row>
    <row r="6068" ht="22.5" customHeight="1">
      <c r="B6068" s="13"/>
      <c r="C6068" s="13"/>
      <c r="D6068" s="13"/>
      <c r="E6068" s="14"/>
      <c r="F6068" s="14"/>
      <c r="G6068" s="13"/>
      <c r="H6068" s="14"/>
      <c r="I6068" s="13"/>
      <c r="J6068" s="13"/>
      <c r="K6068" s="13"/>
      <c r="L6068" s="13"/>
      <c r="M6068" s="13"/>
      <c r="N6068" s="13"/>
      <c r="O6068" s="13" t="str">
        <f t="shared" si="1"/>
        <v/>
      </c>
    </row>
    <row r="6069" ht="22.5" customHeight="1">
      <c r="B6069" s="13"/>
      <c r="C6069" s="13"/>
      <c r="D6069" s="13"/>
      <c r="E6069" s="14"/>
      <c r="F6069" s="14"/>
      <c r="G6069" s="13"/>
      <c r="H6069" s="14"/>
      <c r="I6069" s="13"/>
      <c r="J6069" s="13"/>
      <c r="K6069" s="13"/>
      <c r="L6069" s="13"/>
      <c r="M6069" s="13"/>
      <c r="N6069" s="13"/>
      <c r="O6069" s="13" t="str">
        <f t="shared" si="1"/>
        <v/>
      </c>
    </row>
    <row r="6070" ht="22.5" customHeight="1">
      <c r="B6070" s="13"/>
      <c r="C6070" s="13"/>
      <c r="D6070" s="13"/>
      <c r="E6070" s="14"/>
      <c r="F6070" s="14"/>
      <c r="G6070" s="13"/>
      <c r="H6070" s="14"/>
      <c r="I6070" s="13"/>
      <c r="J6070" s="13"/>
      <c r="K6070" s="13"/>
      <c r="L6070" s="13"/>
      <c r="M6070" s="13"/>
      <c r="N6070" s="13"/>
      <c r="O6070" s="13" t="str">
        <f t="shared" si="1"/>
        <v/>
      </c>
    </row>
    <row r="6071" ht="22.5" customHeight="1">
      <c r="B6071" s="13"/>
      <c r="C6071" s="13"/>
      <c r="D6071" s="13"/>
      <c r="E6071" s="14"/>
      <c r="F6071" s="14"/>
      <c r="G6071" s="13"/>
      <c r="H6071" s="14"/>
      <c r="I6071" s="13"/>
      <c r="J6071" s="13"/>
      <c r="K6071" s="13"/>
      <c r="L6071" s="13"/>
      <c r="M6071" s="13"/>
      <c r="N6071" s="13"/>
      <c r="O6071" s="13" t="str">
        <f t="shared" si="1"/>
        <v/>
      </c>
    </row>
    <row r="6072" ht="22.5" customHeight="1">
      <c r="B6072" s="13"/>
      <c r="C6072" s="13"/>
      <c r="D6072" s="13"/>
      <c r="E6072" s="14"/>
      <c r="F6072" s="14"/>
      <c r="G6072" s="13"/>
      <c r="H6072" s="14"/>
      <c r="I6072" s="13"/>
      <c r="J6072" s="13"/>
      <c r="K6072" s="13"/>
      <c r="L6072" s="13"/>
      <c r="M6072" s="13"/>
      <c r="N6072" s="13"/>
      <c r="O6072" s="13" t="str">
        <f t="shared" si="1"/>
        <v/>
      </c>
    </row>
    <row r="6073" ht="22.5" customHeight="1">
      <c r="B6073" s="13"/>
      <c r="C6073" s="13"/>
      <c r="D6073" s="13"/>
      <c r="E6073" s="14"/>
      <c r="F6073" s="14"/>
      <c r="G6073" s="13"/>
      <c r="H6073" s="14"/>
      <c r="I6073" s="13"/>
      <c r="J6073" s="13"/>
      <c r="K6073" s="13"/>
      <c r="L6073" s="13"/>
      <c r="M6073" s="13"/>
      <c r="N6073" s="13"/>
      <c r="O6073" s="13" t="str">
        <f t="shared" si="1"/>
        <v/>
      </c>
    </row>
    <row r="6074" ht="22.5" customHeight="1">
      <c r="B6074" s="13"/>
      <c r="C6074" s="13"/>
      <c r="D6074" s="13"/>
      <c r="E6074" s="14"/>
      <c r="F6074" s="14"/>
      <c r="G6074" s="13"/>
      <c r="H6074" s="14"/>
      <c r="I6074" s="13"/>
      <c r="J6074" s="13"/>
      <c r="K6074" s="13"/>
      <c r="L6074" s="13"/>
      <c r="M6074" s="13"/>
      <c r="N6074" s="13"/>
      <c r="O6074" s="13" t="str">
        <f t="shared" si="1"/>
        <v/>
      </c>
    </row>
    <row r="6075" ht="22.5" customHeight="1">
      <c r="B6075" s="13"/>
      <c r="C6075" s="13"/>
      <c r="D6075" s="13"/>
      <c r="E6075" s="14"/>
      <c r="F6075" s="14"/>
      <c r="G6075" s="13"/>
      <c r="H6075" s="14"/>
      <c r="I6075" s="13"/>
      <c r="J6075" s="13"/>
      <c r="K6075" s="13"/>
      <c r="L6075" s="13"/>
      <c r="M6075" s="13"/>
      <c r="N6075" s="13"/>
      <c r="O6075" s="13" t="str">
        <f t="shared" si="1"/>
        <v/>
      </c>
    </row>
    <row r="6076" ht="22.5" customHeight="1">
      <c r="B6076" s="13"/>
      <c r="C6076" s="13"/>
      <c r="D6076" s="13"/>
      <c r="E6076" s="14"/>
      <c r="F6076" s="14"/>
      <c r="G6076" s="13"/>
      <c r="H6076" s="14"/>
      <c r="I6076" s="13"/>
      <c r="J6076" s="13"/>
      <c r="K6076" s="13"/>
      <c r="L6076" s="13"/>
      <c r="M6076" s="13"/>
      <c r="N6076" s="13"/>
      <c r="O6076" s="13" t="str">
        <f t="shared" si="1"/>
        <v/>
      </c>
    </row>
    <row r="6077" ht="22.5" customHeight="1">
      <c r="B6077" s="13"/>
      <c r="C6077" s="13"/>
      <c r="D6077" s="13"/>
      <c r="E6077" s="14"/>
      <c r="F6077" s="14"/>
      <c r="G6077" s="13"/>
      <c r="H6077" s="14"/>
      <c r="I6077" s="13"/>
      <c r="J6077" s="13"/>
      <c r="K6077" s="13"/>
      <c r="L6077" s="13"/>
      <c r="M6077" s="13"/>
      <c r="N6077" s="13"/>
      <c r="O6077" s="13" t="str">
        <f t="shared" si="1"/>
        <v/>
      </c>
    </row>
    <row r="6078" ht="22.5" customHeight="1">
      <c r="B6078" s="13"/>
      <c r="C6078" s="13"/>
      <c r="D6078" s="13"/>
      <c r="E6078" s="14"/>
      <c r="F6078" s="14"/>
      <c r="G6078" s="13"/>
      <c r="H6078" s="14"/>
      <c r="I6078" s="13"/>
      <c r="J6078" s="13"/>
      <c r="K6078" s="13"/>
      <c r="L6078" s="13"/>
      <c r="M6078" s="13"/>
      <c r="N6078" s="13"/>
      <c r="O6078" s="13" t="str">
        <f t="shared" si="1"/>
        <v/>
      </c>
    </row>
    <row r="6079" ht="22.5" customHeight="1">
      <c r="B6079" s="13"/>
      <c r="C6079" s="13"/>
      <c r="D6079" s="13"/>
      <c r="E6079" s="14"/>
      <c r="F6079" s="14"/>
      <c r="G6079" s="13"/>
      <c r="H6079" s="14"/>
      <c r="I6079" s="13"/>
      <c r="J6079" s="13"/>
      <c r="K6079" s="13"/>
      <c r="L6079" s="13"/>
      <c r="M6079" s="13"/>
      <c r="N6079" s="13"/>
      <c r="O6079" s="13" t="str">
        <f t="shared" si="1"/>
        <v/>
      </c>
    </row>
    <row r="6080" ht="22.5" customHeight="1">
      <c r="B6080" s="13"/>
      <c r="C6080" s="13"/>
      <c r="D6080" s="13"/>
      <c r="E6080" s="14"/>
      <c r="F6080" s="14"/>
      <c r="G6080" s="13"/>
      <c r="H6080" s="14"/>
      <c r="I6080" s="13"/>
      <c r="J6080" s="13"/>
      <c r="K6080" s="13"/>
      <c r="L6080" s="13"/>
      <c r="M6080" s="13"/>
      <c r="N6080" s="13"/>
      <c r="O6080" s="13" t="str">
        <f t="shared" si="1"/>
        <v/>
      </c>
    </row>
    <row r="6081" ht="22.5" customHeight="1">
      <c r="B6081" s="13"/>
      <c r="C6081" s="13"/>
      <c r="D6081" s="13"/>
      <c r="E6081" s="14"/>
      <c r="F6081" s="14"/>
      <c r="G6081" s="13"/>
      <c r="H6081" s="14"/>
      <c r="I6081" s="13"/>
      <c r="J6081" s="13"/>
      <c r="K6081" s="13"/>
      <c r="L6081" s="13"/>
      <c r="M6081" s="13"/>
      <c r="N6081" s="13"/>
      <c r="O6081" s="13" t="str">
        <f t="shared" si="1"/>
        <v/>
      </c>
    </row>
    <row r="6082" ht="22.5" customHeight="1">
      <c r="B6082" s="13"/>
      <c r="C6082" s="13"/>
      <c r="D6082" s="13"/>
      <c r="E6082" s="14"/>
      <c r="F6082" s="14"/>
      <c r="G6082" s="13"/>
      <c r="H6082" s="14"/>
      <c r="I6082" s="13"/>
      <c r="J6082" s="13"/>
      <c r="K6082" s="13"/>
      <c r="L6082" s="13"/>
      <c r="M6082" s="13"/>
      <c r="N6082" s="13"/>
      <c r="O6082" s="13" t="str">
        <f t="shared" si="1"/>
        <v/>
      </c>
    </row>
    <row r="6083" ht="22.5" customHeight="1">
      <c r="B6083" s="13"/>
      <c r="C6083" s="13"/>
      <c r="D6083" s="13"/>
      <c r="E6083" s="14"/>
      <c r="F6083" s="14"/>
      <c r="G6083" s="13"/>
      <c r="H6083" s="14"/>
      <c r="I6083" s="13"/>
      <c r="J6083" s="13"/>
      <c r="K6083" s="13"/>
      <c r="L6083" s="13"/>
      <c r="M6083" s="13"/>
      <c r="N6083" s="13"/>
      <c r="O6083" s="13" t="str">
        <f t="shared" si="1"/>
        <v/>
      </c>
    </row>
    <row r="6084" ht="22.5" customHeight="1">
      <c r="B6084" s="13"/>
      <c r="C6084" s="13"/>
      <c r="D6084" s="13"/>
      <c r="E6084" s="14"/>
      <c r="F6084" s="14"/>
      <c r="G6084" s="13"/>
      <c r="H6084" s="14"/>
      <c r="I6084" s="13"/>
      <c r="J6084" s="13"/>
      <c r="K6084" s="13"/>
      <c r="L6084" s="13"/>
      <c r="M6084" s="13"/>
      <c r="N6084" s="13"/>
      <c r="O6084" s="13" t="str">
        <f t="shared" si="1"/>
        <v/>
      </c>
    </row>
    <row r="6085" ht="22.5" customHeight="1">
      <c r="B6085" s="13"/>
      <c r="C6085" s="13"/>
      <c r="D6085" s="13"/>
      <c r="E6085" s="14"/>
      <c r="F6085" s="14"/>
      <c r="G6085" s="13"/>
      <c r="H6085" s="14"/>
      <c r="I6085" s="13"/>
      <c r="J6085" s="13"/>
      <c r="K6085" s="13"/>
      <c r="L6085" s="13"/>
      <c r="M6085" s="13"/>
      <c r="N6085" s="13"/>
      <c r="O6085" s="13" t="str">
        <f t="shared" si="1"/>
        <v/>
      </c>
    </row>
    <row r="6086" ht="22.5" customHeight="1">
      <c r="B6086" s="13"/>
      <c r="C6086" s="13"/>
      <c r="D6086" s="13"/>
      <c r="E6086" s="14"/>
      <c r="F6086" s="14"/>
      <c r="G6086" s="13"/>
      <c r="H6086" s="14"/>
      <c r="I6086" s="13"/>
      <c r="J6086" s="13"/>
      <c r="K6086" s="13"/>
      <c r="L6086" s="13"/>
      <c r="M6086" s="13"/>
      <c r="N6086" s="13"/>
      <c r="O6086" s="13" t="str">
        <f t="shared" si="1"/>
        <v/>
      </c>
    </row>
    <row r="6087" ht="22.5" customHeight="1">
      <c r="B6087" s="13"/>
      <c r="C6087" s="13"/>
      <c r="D6087" s="13"/>
      <c r="E6087" s="14"/>
      <c r="F6087" s="14"/>
      <c r="G6087" s="13"/>
      <c r="H6087" s="14"/>
      <c r="I6087" s="13"/>
      <c r="J6087" s="13"/>
      <c r="K6087" s="13"/>
      <c r="L6087" s="13"/>
      <c r="M6087" s="13"/>
      <c r="N6087" s="13"/>
      <c r="O6087" s="13" t="str">
        <f t="shared" si="1"/>
        <v/>
      </c>
    </row>
    <row r="6088" ht="22.5" customHeight="1">
      <c r="B6088" s="13"/>
      <c r="C6088" s="13"/>
      <c r="D6088" s="13"/>
      <c r="E6088" s="14"/>
      <c r="F6088" s="14"/>
      <c r="G6088" s="13"/>
      <c r="H6088" s="14"/>
      <c r="I6088" s="13"/>
      <c r="J6088" s="13"/>
      <c r="K6088" s="13"/>
      <c r="L6088" s="13"/>
      <c r="M6088" s="13"/>
      <c r="N6088" s="13"/>
      <c r="O6088" s="13" t="str">
        <f t="shared" si="1"/>
        <v/>
      </c>
    </row>
    <row r="6089" ht="22.5" customHeight="1">
      <c r="B6089" s="13"/>
      <c r="C6089" s="13"/>
      <c r="D6089" s="13"/>
      <c r="E6089" s="14"/>
      <c r="F6089" s="14"/>
      <c r="G6089" s="13"/>
      <c r="H6089" s="14"/>
      <c r="I6089" s="13"/>
      <c r="J6089" s="13"/>
      <c r="K6089" s="13"/>
      <c r="L6089" s="13"/>
      <c r="M6089" s="13"/>
      <c r="N6089" s="13"/>
      <c r="O6089" s="13" t="str">
        <f t="shared" si="1"/>
        <v/>
      </c>
    </row>
    <row r="6090" ht="22.5" customHeight="1">
      <c r="B6090" s="13"/>
      <c r="C6090" s="13"/>
      <c r="D6090" s="13"/>
      <c r="E6090" s="14"/>
      <c r="F6090" s="14"/>
      <c r="G6090" s="13"/>
      <c r="H6090" s="14"/>
      <c r="I6090" s="13"/>
      <c r="J6090" s="13"/>
      <c r="K6090" s="13"/>
      <c r="L6090" s="13"/>
      <c r="M6090" s="13"/>
      <c r="N6090" s="13"/>
      <c r="O6090" s="13" t="str">
        <f t="shared" si="1"/>
        <v/>
      </c>
    </row>
    <row r="6091" ht="22.5" customHeight="1">
      <c r="B6091" s="13"/>
      <c r="C6091" s="13"/>
      <c r="D6091" s="13"/>
      <c r="E6091" s="14"/>
      <c r="F6091" s="14"/>
      <c r="G6091" s="13"/>
      <c r="H6091" s="14"/>
      <c r="I6091" s="13"/>
      <c r="J6091" s="13"/>
      <c r="K6091" s="13"/>
      <c r="L6091" s="13"/>
      <c r="M6091" s="13"/>
      <c r="N6091" s="13"/>
      <c r="O6091" s="13" t="str">
        <f t="shared" si="1"/>
        <v/>
      </c>
    </row>
    <row r="6092" ht="22.5" customHeight="1">
      <c r="B6092" s="13"/>
      <c r="C6092" s="13"/>
      <c r="D6092" s="13"/>
      <c r="E6092" s="14"/>
      <c r="F6092" s="14"/>
      <c r="G6092" s="13"/>
      <c r="H6092" s="14"/>
      <c r="I6092" s="13"/>
      <c r="J6092" s="13"/>
      <c r="K6092" s="13"/>
      <c r="L6092" s="13"/>
      <c r="M6092" s="13"/>
      <c r="N6092" s="13"/>
      <c r="O6092" s="13" t="str">
        <f t="shared" si="1"/>
        <v/>
      </c>
    </row>
    <row r="6093" ht="22.5" customHeight="1">
      <c r="B6093" s="13"/>
      <c r="C6093" s="13"/>
      <c r="D6093" s="13"/>
      <c r="E6093" s="14"/>
      <c r="F6093" s="14"/>
      <c r="G6093" s="13"/>
      <c r="H6093" s="14"/>
      <c r="I6093" s="13"/>
      <c r="J6093" s="13"/>
      <c r="K6093" s="13"/>
      <c r="L6093" s="13"/>
      <c r="M6093" s="13"/>
      <c r="N6093" s="13"/>
      <c r="O6093" s="13" t="str">
        <f t="shared" si="1"/>
        <v/>
      </c>
    </row>
    <row r="6094" ht="22.5" customHeight="1">
      <c r="B6094" s="13"/>
      <c r="C6094" s="13"/>
      <c r="D6094" s="13"/>
      <c r="E6094" s="14"/>
      <c r="F6094" s="14"/>
      <c r="G6094" s="13"/>
      <c r="H6094" s="14"/>
      <c r="I6094" s="13"/>
      <c r="J6094" s="13"/>
      <c r="K6094" s="13"/>
      <c r="L6094" s="13"/>
      <c r="M6094" s="13"/>
      <c r="N6094" s="13"/>
      <c r="O6094" s="13" t="str">
        <f t="shared" si="1"/>
        <v/>
      </c>
    </row>
    <row r="6095" ht="22.5" customHeight="1">
      <c r="B6095" s="13"/>
      <c r="C6095" s="13"/>
      <c r="D6095" s="13"/>
      <c r="E6095" s="14"/>
      <c r="F6095" s="14"/>
      <c r="G6095" s="13"/>
      <c r="H6095" s="14"/>
      <c r="I6095" s="13"/>
      <c r="J6095" s="13"/>
      <c r="K6095" s="13"/>
      <c r="L6095" s="13"/>
      <c r="M6095" s="13"/>
      <c r="N6095" s="13"/>
      <c r="O6095" s="13" t="str">
        <f t="shared" si="1"/>
        <v/>
      </c>
    </row>
    <row r="6096" ht="22.5" customHeight="1">
      <c r="B6096" s="13"/>
      <c r="C6096" s="13"/>
      <c r="D6096" s="13"/>
      <c r="E6096" s="14"/>
      <c r="F6096" s="14"/>
      <c r="G6096" s="13"/>
      <c r="H6096" s="14"/>
      <c r="I6096" s="13"/>
      <c r="J6096" s="13"/>
      <c r="K6096" s="13"/>
      <c r="L6096" s="13"/>
      <c r="M6096" s="13"/>
      <c r="N6096" s="13"/>
      <c r="O6096" s="13" t="str">
        <f t="shared" si="1"/>
        <v/>
      </c>
    </row>
    <row r="6097" ht="22.5" customHeight="1">
      <c r="B6097" s="13"/>
      <c r="C6097" s="13"/>
      <c r="D6097" s="13"/>
      <c r="E6097" s="14"/>
      <c r="F6097" s="14"/>
      <c r="G6097" s="13"/>
      <c r="H6097" s="14"/>
      <c r="I6097" s="13"/>
      <c r="J6097" s="13"/>
      <c r="K6097" s="13"/>
      <c r="L6097" s="13"/>
      <c r="M6097" s="13"/>
      <c r="N6097" s="13"/>
      <c r="O6097" s="13" t="str">
        <f t="shared" si="1"/>
        <v/>
      </c>
    </row>
    <row r="6098" ht="22.5" customHeight="1">
      <c r="B6098" s="13"/>
      <c r="C6098" s="13"/>
      <c r="D6098" s="13"/>
      <c r="E6098" s="14"/>
      <c r="F6098" s="14"/>
      <c r="G6098" s="13"/>
      <c r="H6098" s="14"/>
      <c r="I6098" s="13"/>
      <c r="J6098" s="13"/>
      <c r="K6098" s="13"/>
      <c r="L6098" s="13"/>
      <c r="M6098" s="13"/>
      <c r="N6098" s="13"/>
      <c r="O6098" s="13" t="str">
        <f t="shared" si="1"/>
        <v/>
      </c>
    </row>
    <row r="6099" ht="22.5" customHeight="1">
      <c r="B6099" s="13"/>
      <c r="C6099" s="13"/>
      <c r="D6099" s="13"/>
      <c r="E6099" s="14"/>
      <c r="F6099" s="14"/>
      <c r="G6099" s="13"/>
      <c r="H6099" s="14"/>
      <c r="I6099" s="13"/>
      <c r="J6099" s="13"/>
      <c r="K6099" s="13"/>
      <c r="L6099" s="13"/>
      <c r="M6099" s="13"/>
      <c r="N6099" s="13"/>
      <c r="O6099" s="13" t="str">
        <f t="shared" si="1"/>
        <v/>
      </c>
    </row>
    <row r="6100" ht="22.5" customHeight="1">
      <c r="B6100" s="13"/>
      <c r="C6100" s="13"/>
      <c r="D6100" s="13"/>
      <c r="E6100" s="14"/>
      <c r="F6100" s="14"/>
      <c r="G6100" s="13"/>
      <c r="H6100" s="14"/>
      <c r="I6100" s="13"/>
      <c r="J6100" s="13"/>
      <c r="K6100" s="13"/>
      <c r="L6100" s="13"/>
      <c r="M6100" s="13"/>
      <c r="N6100" s="13"/>
      <c r="O6100" s="13" t="str">
        <f t="shared" si="1"/>
        <v/>
      </c>
    </row>
    <row r="6101" ht="22.5" customHeight="1">
      <c r="B6101" s="13"/>
      <c r="C6101" s="13"/>
      <c r="D6101" s="13"/>
      <c r="E6101" s="14"/>
      <c r="F6101" s="14"/>
      <c r="G6101" s="13"/>
      <c r="H6101" s="14"/>
      <c r="I6101" s="13"/>
      <c r="J6101" s="13"/>
      <c r="K6101" s="13"/>
      <c r="L6101" s="13"/>
      <c r="M6101" s="13"/>
      <c r="N6101" s="13"/>
      <c r="O6101" s="13" t="str">
        <f t="shared" si="1"/>
        <v/>
      </c>
    </row>
    <row r="6102" ht="22.5" customHeight="1">
      <c r="B6102" s="13"/>
      <c r="C6102" s="13"/>
      <c r="D6102" s="13"/>
      <c r="E6102" s="14"/>
      <c r="F6102" s="14"/>
      <c r="G6102" s="13"/>
      <c r="H6102" s="14"/>
      <c r="I6102" s="13"/>
      <c r="J6102" s="13"/>
      <c r="K6102" s="13"/>
      <c r="L6102" s="13"/>
      <c r="M6102" s="13"/>
      <c r="N6102" s="13"/>
      <c r="O6102" s="13" t="str">
        <f t="shared" si="1"/>
        <v/>
      </c>
    </row>
    <row r="6103" ht="22.5" customHeight="1">
      <c r="B6103" s="13"/>
      <c r="C6103" s="13"/>
      <c r="D6103" s="13"/>
      <c r="E6103" s="14"/>
      <c r="F6103" s="14"/>
      <c r="G6103" s="13"/>
      <c r="H6103" s="14"/>
      <c r="I6103" s="13"/>
      <c r="J6103" s="13"/>
      <c r="K6103" s="13"/>
      <c r="L6103" s="13"/>
      <c r="M6103" s="13"/>
      <c r="N6103" s="13"/>
      <c r="O6103" s="13" t="str">
        <f t="shared" si="1"/>
        <v/>
      </c>
    </row>
    <row r="6104" ht="22.5" customHeight="1">
      <c r="B6104" s="13"/>
      <c r="C6104" s="13"/>
      <c r="D6104" s="13"/>
      <c r="E6104" s="14"/>
      <c r="F6104" s="14"/>
      <c r="G6104" s="13"/>
      <c r="H6104" s="14"/>
      <c r="I6104" s="13"/>
      <c r="J6104" s="13"/>
      <c r="K6104" s="13"/>
      <c r="L6104" s="13"/>
      <c r="M6104" s="13"/>
      <c r="N6104" s="13"/>
      <c r="O6104" s="13" t="str">
        <f t="shared" si="1"/>
        <v/>
      </c>
    </row>
    <row r="6105" ht="22.5" customHeight="1">
      <c r="B6105" s="13"/>
      <c r="C6105" s="13"/>
      <c r="D6105" s="13"/>
      <c r="E6105" s="14"/>
      <c r="F6105" s="14"/>
      <c r="G6105" s="13"/>
      <c r="H6105" s="14"/>
      <c r="I6105" s="13"/>
      <c r="J6105" s="13"/>
      <c r="K6105" s="13"/>
      <c r="L6105" s="13"/>
      <c r="M6105" s="13"/>
      <c r="N6105" s="13"/>
      <c r="O6105" s="13" t="str">
        <f t="shared" si="1"/>
        <v/>
      </c>
    </row>
    <row r="6106" ht="22.5" customHeight="1">
      <c r="B6106" s="13"/>
      <c r="C6106" s="13"/>
      <c r="D6106" s="13"/>
      <c r="E6106" s="14"/>
      <c r="F6106" s="14"/>
      <c r="G6106" s="13"/>
      <c r="H6106" s="14"/>
      <c r="I6106" s="13"/>
      <c r="J6106" s="13"/>
      <c r="K6106" s="13"/>
      <c r="L6106" s="13"/>
      <c r="M6106" s="13"/>
      <c r="N6106" s="13"/>
      <c r="O6106" s="13" t="str">
        <f t="shared" si="1"/>
        <v/>
      </c>
    </row>
    <row r="6107" ht="22.5" customHeight="1">
      <c r="B6107" s="13"/>
      <c r="C6107" s="13"/>
      <c r="D6107" s="13"/>
      <c r="E6107" s="14"/>
      <c r="F6107" s="14"/>
      <c r="G6107" s="13"/>
      <c r="H6107" s="14"/>
      <c r="I6107" s="13"/>
      <c r="J6107" s="13"/>
      <c r="K6107" s="13"/>
      <c r="L6107" s="13"/>
      <c r="M6107" s="13"/>
      <c r="N6107" s="13"/>
      <c r="O6107" s="13" t="str">
        <f t="shared" si="1"/>
        <v/>
      </c>
    </row>
    <row r="6108" ht="22.5" customHeight="1">
      <c r="B6108" s="13"/>
      <c r="C6108" s="13"/>
      <c r="D6108" s="13"/>
      <c r="E6108" s="14"/>
      <c r="F6108" s="14"/>
      <c r="G6108" s="13"/>
      <c r="H6108" s="14"/>
      <c r="I6108" s="13"/>
      <c r="J6108" s="13"/>
      <c r="K6108" s="13"/>
      <c r="L6108" s="13"/>
      <c r="M6108" s="13"/>
      <c r="N6108" s="13"/>
      <c r="O6108" s="13" t="str">
        <f t="shared" si="1"/>
        <v/>
      </c>
    </row>
    <row r="6109" ht="22.5" customHeight="1">
      <c r="B6109" s="13"/>
      <c r="C6109" s="13"/>
      <c r="D6109" s="13"/>
      <c r="E6109" s="14"/>
      <c r="F6109" s="14"/>
      <c r="G6109" s="13"/>
      <c r="H6109" s="14"/>
      <c r="I6109" s="13"/>
      <c r="J6109" s="13"/>
      <c r="K6109" s="13"/>
      <c r="L6109" s="13"/>
      <c r="M6109" s="13"/>
      <c r="N6109" s="13"/>
      <c r="O6109" s="13" t="str">
        <f t="shared" si="1"/>
        <v/>
      </c>
    </row>
    <row r="6110" ht="22.5" customHeight="1">
      <c r="B6110" s="13"/>
      <c r="C6110" s="13"/>
      <c r="D6110" s="13"/>
      <c r="E6110" s="14"/>
      <c r="F6110" s="14"/>
      <c r="G6110" s="13"/>
      <c r="H6110" s="14"/>
      <c r="I6110" s="13"/>
      <c r="J6110" s="13"/>
      <c r="K6110" s="13"/>
      <c r="L6110" s="13"/>
      <c r="M6110" s="13"/>
      <c r="N6110" s="13"/>
      <c r="O6110" s="13" t="str">
        <f t="shared" si="1"/>
        <v/>
      </c>
    </row>
    <row r="6111" ht="22.5" customHeight="1">
      <c r="B6111" s="13"/>
      <c r="C6111" s="13"/>
      <c r="D6111" s="13"/>
      <c r="E6111" s="14"/>
      <c r="F6111" s="14"/>
      <c r="G6111" s="13"/>
      <c r="H6111" s="14"/>
      <c r="I6111" s="13"/>
      <c r="J6111" s="13"/>
      <c r="K6111" s="13"/>
      <c r="L6111" s="13"/>
      <c r="M6111" s="13"/>
      <c r="N6111" s="13"/>
      <c r="O6111" s="13" t="str">
        <f t="shared" si="1"/>
        <v/>
      </c>
    </row>
    <row r="6112" ht="22.5" customHeight="1">
      <c r="B6112" s="13"/>
      <c r="C6112" s="13"/>
      <c r="D6112" s="13"/>
      <c r="E6112" s="14"/>
      <c r="F6112" s="14"/>
      <c r="G6112" s="13"/>
      <c r="H6112" s="14"/>
      <c r="I6112" s="13"/>
      <c r="J6112" s="13"/>
      <c r="K6112" s="13"/>
      <c r="L6112" s="13"/>
      <c r="M6112" s="13"/>
      <c r="N6112" s="13"/>
      <c r="O6112" s="13" t="str">
        <f t="shared" si="1"/>
        <v/>
      </c>
    </row>
    <row r="6113" ht="22.5" customHeight="1">
      <c r="B6113" s="13"/>
      <c r="C6113" s="13"/>
      <c r="D6113" s="13"/>
      <c r="E6113" s="14"/>
      <c r="F6113" s="14"/>
      <c r="G6113" s="13"/>
      <c r="H6113" s="14"/>
      <c r="I6113" s="13"/>
      <c r="J6113" s="13"/>
      <c r="K6113" s="13"/>
      <c r="L6113" s="13"/>
      <c r="M6113" s="13"/>
      <c r="N6113" s="13"/>
      <c r="O6113" s="13" t="str">
        <f t="shared" si="1"/>
        <v/>
      </c>
    </row>
    <row r="6114" ht="22.5" customHeight="1">
      <c r="B6114" s="13"/>
      <c r="C6114" s="13"/>
      <c r="D6114" s="13"/>
      <c r="E6114" s="14"/>
      <c r="F6114" s="14"/>
      <c r="G6114" s="13"/>
      <c r="H6114" s="14"/>
      <c r="I6114" s="13"/>
      <c r="J6114" s="13"/>
      <c r="K6114" s="13"/>
      <c r="L6114" s="13"/>
      <c r="M6114" s="13"/>
      <c r="N6114" s="13"/>
      <c r="O6114" s="13" t="str">
        <f t="shared" si="1"/>
        <v/>
      </c>
    </row>
    <row r="6115" ht="22.5" customHeight="1">
      <c r="B6115" s="13"/>
      <c r="C6115" s="13"/>
      <c r="D6115" s="13"/>
      <c r="E6115" s="14"/>
      <c r="F6115" s="14"/>
      <c r="G6115" s="13"/>
      <c r="H6115" s="14"/>
      <c r="I6115" s="13"/>
      <c r="J6115" s="13"/>
      <c r="K6115" s="13"/>
      <c r="L6115" s="13"/>
      <c r="M6115" s="13"/>
      <c r="N6115" s="13"/>
      <c r="O6115" s="13" t="str">
        <f t="shared" si="1"/>
        <v/>
      </c>
    </row>
    <row r="6116" ht="22.5" customHeight="1">
      <c r="B6116" s="13"/>
      <c r="C6116" s="13"/>
      <c r="D6116" s="13"/>
      <c r="E6116" s="14"/>
      <c r="F6116" s="14"/>
      <c r="G6116" s="13"/>
      <c r="H6116" s="14"/>
      <c r="I6116" s="13"/>
      <c r="J6116" s="13"/>
      <c r="K6116" s="13"/>
      <c r="L6116" s="13"/>
      <c r="M6116" s="13"/>
      <c r="N6116" s="13"/>
      <c r="O6116" s="13" t="str">
        <f t="shared" si="1"/>
        <v/>
      </c>
    </row>
    <row r="6117" ht="22.5" customHeight="1">
      <c r="B6117" s="13"/>
      <c r="C6117" s="13"/>
      <c r="D6117" s="13"/>
      <c r="E6117" s="14"/>
      <c r="F6117" s="14"/>
      <c r="G6117" s="13"/>
      <c r="H6117" s="14"/>
      <c r="I6117" s="13"/>
      <c r="J6117" s="13"/>
      <c r="K6117" s="13"/>
      <c r="L6117" s="13"/>
      <c r="M6117" s="13"/>
      <c r="N6117" s="13"/>
      <c r="O6117" s="13" t="str">
        <f t="shared" si="1"/>
        <v/>
      </c>
    </row>
    <row r="6118" ht="22.5" customHeight="1">
      <c r="B6118" s="13"/>
      <c r="C6118" s="13"/>
      <c r="D6118" s="13"/>
      <c r="E6118" s="14"/>
      <c r="F6118" s="14"/>
      <c r="G6118" s="13"/>
      <c r="H6118" s="14"/>
      <c r="I6118" s="13"/>
      <c r="J6118" s="13"/>
      <c r="K6118" s="13"/>
      <c r="L6118" s="13"/>
      <c r="M6118" s="13"/>
      <c r="N6118" s="13"/>
      <c r="O6118" s="13" t="str">
        <f t="shared" si="1"/>
        <v/>
      </c>
    </row>
    <row r="6119" ht="22.5" customHeight="1">
      <c r="B6119" s="13"/>
      <c r="C6119" s="13"/>
      <c r="D6119" s="13"/>
      <c r="E6119" s="14"/>
      <c r="F6119" s="14"/>
      <c r="G6119" s="13"/>
      <c r="H6119" s="14"/>
      <c r="I6119" s="13"/>
      <c r="J6119" s="13"/>
      <c r="K6119" s="13"/>
      <c r="L6119" s="13"/>
      <c r="M6119" s="13"/>
      <c r="N6119" s="13"/>
      <c r="O6119" s="13" t="str">
        <f t="shared" si="1"/>
        <v/>
      </c>
    </row>
    <row r="6120" ht="22.5" customHeight="1">
      <c r="B6120" s="13"/>
      <c r="C6120" s="13"/>
      <c r="D6120" s="13"/>
      <c r="E6120" s="14"/>
      <c r="F6120" s="14"/>
      <c r="G6120" s="13"/>
      <c r="H6120" s="14"/>
      <c r="I6120" s="13"/>
      <c r="J6120" s="13"/>
      <c r="K6120" s="13"/>
      <c r="L6120" s="13"/>
      <c r="M6120" s="13"/>
      <c r="N6120" s="13"/>
      <c r="O6120" s="13" t="str">
        <f t="shared" si="1"/>
        <v/>
      </c>
    </row>
    <row r="6121" ht="22.5" customHeight="1">
      <c r="B6121" s="13"/>
      <c r="C6121" s="13"/>
      <c r="D6121" s="13"/>
      <c r="E6121" s="14"/>
      <c r="F6121" s="14"/>
      <c r="G6121" s="13"/>
      <c r="H6121" s="14"/>
      <c r="I6121" s="13"/>
      <c r="J6121" s="13"/>
      <c r="K6121" s="13"/>
      <c r="L6121" s="13"/>
      <c r="M6121" s="13"/>
      <c r="N6121" s="13"/>
      <c r="O6121" s="13" t="str">
        <f t="shared" si="1"/>
        <v/>
      </c>
    </row>
    <row r="6122" ht="22.5" customHeight="1">
      <c r="B6122" s="13"/>
      <c r="C6122" s="13"/>
      <c r="D6122" s="13"/>
      <c r="E6122" s="14"/>
      <c r="F6122" s="14"/>
      <c r="G6122" s="13"/>
      <c r="H6122" s="14"/>
      <c r="I6122" s="13"/>
      <c r="J6122" s="13"/>
      <c r="K6122" s="13"/>
      <c r="L6122" s="13"/>
      <c r="M6122" s="13"/>
      <c r="N6122" s="13"/>
      <c r="O6122" s="13" t="str">
        <f t="shared" si="1"/>
        <v/>
      </c>
    </row>
    <row r="6123" ht="22.5" customHeight="1">
      <c r="B6123" s="13"/>
      <c r="C6123" s="13"/>
      <c r="D6123" s="13"/>
      <c r="E6123" s="14"/>
      <c r="F6123" s="14"/>
      <c r="G6123" s="13"/>
      <c r="H6123" s="14"/>
      <c r="I6123" s="13"/>
      <c r="J6123" s="13"/>
      <c r="K6123" s="13"/>
      <c r="L6123" s="13"/>
      <c r="M6123" s="13"/>
      <c r="N6123" s="13"/>
      <c r="O6123" s="13" t="str">
        <f t="shared" si="1"/>
        <v/>
      </c>
    </row>
    <row r="6124" ht="22.5" customHeight="1">
      <c r="B6124" s="13"/>
      <c r="C6124" s="13"/>
      <c r="D6124" s="13"/>
      <c r="E6124" s="14"/>
      <c r="F6124" s="14"/>
      <c r="G6124" s="13"/>
      <c r="H6124" s="14"/>
      <c r="I6124" s="13"/>
      <c r="J6124" s="13"/>
      <c r="K6124" s="13"/>
      <c r="L6124" s="13"/>
      <c r="M6124" s="13"/>
      <c r="N6124" s="13"/>
      <c r="O6124" s="13" t="str">
        <f t="shared" si="1"/>
        <v/>
      </c>
    </row>
    <row r="6125" ht="22.5" customHeight="1">
      <c r="B6125" s="13"/>
      <c r="C6125" s="13"/>
      <c r="D6125" s="13"/>
      <c r="E6125" s="14"/>
      <c r="F6125" s="14"/>
      <c r="G6125" s="13"/>
      <c r="H6125" s="14"/>
      <c r="I6125" s="13"/>
      <c r="J6125" s="13"/>
      <c r="K6125" s="13"/>
      <c r="L6125" s="13"/>
      <c r="M6125" s="13"/>
      <c r="N6125" s="13"/>
      <c r="O6125" s="13" t="str">
        <f t="shared" si="1"/>
        <v/>
      </c>
    </row>
    <row r="6126" ht="22.5" customHeight="1">
      <c r="B6126" s="13"/>
      <c r="C6126" s="13"/>
      <c r="D6126" s="13"/>
      <c r="E6126" s="14"/>
      <c r="F6126" s="14"/>
      <c r="G6126" s="13"/>
      <c r="H6126" s="14"/>
      <c r="I6126" s="13"/>
      <c r="J6126" s="13"/>
      <c r="K6126" s="13"/>
      <c r="L6126" s="13"/>
      <c r="M6126" s="13"/>
      <c r="N6126" s="13"/>
      <c r="O6126" s="13" t="str">
        <f t="shared" si="1"/>
        <v/>
      </c>
    </row>
    <row r="6127" ht="22.5" customHeight="1">
      <c r="B6127" s="13"/>
      <c r="C6127" s="13"/>
      <c r="D6127" s="13"/>
      <c r="E6127" s="14"/>
      <c r="F6127" s="14"/>
      <c r="G6127" s="13"/>
      <c r="H6127" s="14"/>
      <c r="I6127" s="13"/>
      <c r="J6127" s="13"/>
      <c r="K6127" s="13"/>
      <c r="L6127" s="13"/>
      <c r="M6127" s="13"/>
      <c r="N6127" s="13"/>
      <c r="O6127" s="13" t="str">
        <f t="shared" si="1"/>
        <v/>
      </c>
    </row>
    <row r="6128" ht="22.5" customHeight="1">
      <c r="B6128" s="13"/>
      <c r="C6128" s="13"/>
      <c r="D6128" s="13"/>
      <c r="E6128" s="14"/>
      <c r="F6128" s="14"/>
      <c r="G6128" s="13"/>
      <c r="H6128" s="14"/>
      <c r="I6128" s="13"/>
      <c r="J6128" s="13"/>
      <c r="K6128" s="13"/>
      <c r="L6128" s="13"/>
      <c r="M6128" s="13"/>
      <c r="N6128" s="13"/>
      <c r="O6128" s="13" t="str">
        <f t="shared" si="1"/>
        <v/>
      </c>
    </row>
    <row r="6129" ht="22.5" customHeight="1">
      <c r="B6129" s="13"/>
      <c r="C6129" s="13"/>
      <c r="D6129" s="13"/>
      <c r="E6129" s="14"/>
      <c r="F6129" s="14"/>
      <c r="G6129" s="13"/>
      <c r="H6129" s="14"/>
      <c r="I6129" s="13"/>
      <c r="J6129" s="13"/>
      <c r="K6129" s="13"/>
      <c r="L6129" s="13"/>
      <c r="M6129" s="13"/>
      <c r="N6129" s="13"/>
      <c r="O6129" s="13" t="str">
        <f t="shared" si="1"/>
        <v/>
      </c>
    </row>
    <row r="6130" ht="22.5" customHeight="1">
      <c r="B6130" s="13"/>
      <c r="C6130" s="13"/>
      <c r="D6130" s="13"/>
      <c r="E6130" s="14"/>
      <c r="F6130" s="14"/>
      <c r="G6130" s="13"/>
      <c r="H6130" s="14"/>
      <c r="I6130" s="13"/>
      <c r="J6130" s="13"/>
      <c r="K6130" s="13"/>
      <c r="L6130" s="13"/>
      <c r="M6130" s="13"/>
      <c r="N6130" s="13"/>
      <c r="O6130" s="13" t="str">
        <f t="shared" si="1"/>
        <v/>
      </c>
    </row>
    <row r="6131" ht="22.5" customHeight="1">
      <c r="B6131" s="13"/>
      <c r="C6131" s="13"/>
      <c r="D6131" s="13"/>
      <c r="E6131" s="14"/>
      <c r="F6131" s="14"/>
      <c r="G6131" s="13"/>
      <c r="H6131" s="14"/>
      <c r="I6131" s="13"/>
      <c r="J6131" s="13"/>
      <c r="K6131" s="13"/>
      <c r="L6131" s="13"/>
      <c r="M6131" s="13"/>
      <c r="N6131" s="13"/>
      <c r="O6131" s="13" t="str">
        <f t="shared" si="1"/>
        <v/>
      </c>
    </row>
    <row r="6132" ht="22.5" customHeight="1">
      <c r="B6132" s="13"/>
      <c r="C6132" s="13"/>
      <c r="D6132" s="13"/>
      <c r="E6132" s="14"/>
      <c r="F6132" s="14"/>
      <c r="G6132" s="13"/>
      <c r="H6132" s="14"/>
      <c r="I6132" s="13"/>
      <c r="J6132" s="13"/>
      <c r="K6132" s="13"/>
      <c r="L6132" s="13"/>
      <c r="M6132" s="13"/>
      <c r="N6132" s="13"/>
      <c r="O6132" s="13" t="str">
        <f t="shared" si="1"/>
        <v/>
      </c>
    </row>
    <row r="6133" ht="22.5" customHeight="1">
      <c r="B6133" s="13"/>
      <c r="C6133" s="13"/>
      <c r="D6133" s="13"/>
      <c r="E6133" s="14"/>
      <c r="F6133" s="14"/>
      <c r="G6133" s="13"/>
      <c r="H6133" s="14"/>
      <c r="I6133" s="13"/>
      <c r="J6133" s="13"/>
      <c r="K6133" s="13"/>
      <c r="L6133" s="13"/>
      <c r="M6133" s="13"/>
      <c r="N6133" s="13"/>
      <c r="O6133" s="13" t="str">
        <f t="shared" si="1"/>
        <v/>
      </c>
    </row>
    <row r="6134" ht="22.5" customHeight="1">
      <c r="B6134" s="13"/>
      <c r="C6134" s="13"/>
      <c r="D6134" s="13"/>
      <c r="E6134" s="14"/>
      <c r="F6134" s="14"/>
      <c r="G6134" s="13"/>
      <c r="H6134" s="14"/>
      <c r="I6134" s="13"/>
      <c r="J6134" s="13"/>
      <c r="K6134" s="13"/>
      <c r="L6134" s="13"/>
      <c r="M6134" s="13"/>
      <c r="N6134" s="13"/>
      <c r="O6134" s="13" t="str">
        <f t="shared" si="1"/>
        <v/>
      </c>
    </row>
    <row r="6135" ht="22.5" customHeight="1">
      <c r="B6135" s="13"/>
      <c r="C6135" s="13"/>
      <c r="D6135" s="13"/>
      <c r="E6135" s="14"/>
      <c r="F6135" s="14"/>
      <c r="G6135" s="13"/>
      <c r="H6135" s="14"/>
      <c r="I6135" s="13"/>
      <c r="J6135" s="13"/>
      <c r="K6135" s="13"/>
      <c r="L6135" s="13"/>
      <c r="M6135" s="13"/>
      <c r="N6135" s="13"/>
      <c r="O6135" s="13" t="str">
        <f t="shared" si="1"/>
        <v/>
      </c>
    </row>
    <row r="6136" ht="22.5" customHeight="1">
      <c r="B6136" s="13"/>
      <c r="C6136" s="13"/>
      <c r="D6136" s="13"/>
      <c r="E6136" s="14"/>
      <c r="F6136" s="14"/>
      <c r="G6136" s="13"/>
      <c r="H6136" s="14"/>
      <c r="I6136" s="13"/>
      <c r="J6136" s="13"/>
      <c r="K6136" s="13"/>
      <c r="L6136" s="13"/>
      <c r="M6136" s="13"/>
      <c r="N6136" s="13"/>
      <c r="O6136" s="13" t="str">
        <f t="shared" si="1"/>
        <v/>
      </c>
    </row>
    <row r="6137" ht="22.5" customHeight="1">
      <c r="B6137" s="13"/>
      <c r="C6137" s="13"/>
      <c r="D6137" s="13"/>
      <c r="E6137" s="14"/>
      <c r="F6137" s="14"/>
      <c r="G6137" s="13"/>
      <c r="H6137" s="14"/>
      <c r="I6137" s="13"/>
      <c r="J6137" s="13"/>
      <c r="K6137" s="13"/>
      <c r="L6137" s="13"/>
      <c r="M6137" s="13"/>
      <c r="N6137" s="13"/>
      <c r="O6137" s="13" t="str">
        <f t="shared" si="1"/>
        <v/>
      </c>
    </row>
    <row r="6138" ht="22.5" customHeight="1">
      <c r="B6138" s="13"/>
      <c r="C6138" s="13"/>
      <c r="D6138" s="13"/>
      <c r="E6138" s="14"/>
      <c r="F6138" s="14"/>
      <c r="G6138" s="13"/>
      <c r="H6138" s="14"/>
      <c r="I6138" s="13"/>
      <c r="J6138" s="13"/>
      <c r="K6138" s="13"/>
      <c r="L6138" s="13"/>
      <c r="M6138" s="13"/>
      <c r="N6138" s="13"/>
      <c r="O6138" s="13" t="str">
        <f t="shared" si="1"/>
        <v/>
      </c>
    </row>
    <row r="6139" ht="22.5" customHeight="1">
      <c r="B6139" s="13"/>
      <c r="C6139" s="13"/>
      <c r="D6139" s="13"/>
      <c r="E6139" s="14"/>
      <c r="F6139" s="14"/>
      <c r="G6139" s="13"/>
      <c r="H6139" s="14"/>
      <c r="I6139" s="13"/>
      <c r="J6139" s="13"/>
      <c r="K6139" s="13"/>
      <c r="L6139" s="13"/>
      <c r="M6139" s="13"/>
      <c r="N6139" s="13"/>
      <c r="O6139" s="13" t="str">
        <f t="shared" si="1"/>
        <v/>
      </c>
    </row>
    <row r="6140" ht="22.5" customHeight="1">
      <c r="B6140" s="13"/>
      <c r="C6140" s="13"/>
      <c r="D6140" s="13"/>
      <c r="E6140" s="14"/>
      <c r="F6140" s="14"/>
      <c r="G6140" s="13"/>
      <c r="H6140" s="14"/>
      <c r="I6140" s="13"/>
      <c r="J6140" s="13"/>
      <c r="K6140" s="13"/>
      <c r="L6140" s="13"/>
      <c r="M6140" s="13"/>
      <c r="N6140" s="13"/>
      <c r="O6140" s="13" t="str">
        <f t="shared" si="1"/>
        <v/>
      </c>
    </row>
    <row r="6141" ht="22.5" customHeight="1">
      <c r="B6141" s="13"/>
      <c r="C6141" s="13"/>
      <c r="D6141" s="13"/>
      <c r="E6141" s="14"/>
      <c r="F6141" s="14"/>
      <c r="G6141" s="13"/>
      <c r="H6141" s="14"/>
      <c r="I6141" s="13"/>
      <c r="J6141" s="13"/>
      <c r="K6141" s="13"/>
      <c r="L6141" s="13"/>
      <c r="M6141" s="13"/>
      <c r="N6141" s="13"/>
      <c r="O6141" s="13" t="str">
        <f t="shared" si="1"/>
        <v/>
      </c>
    </row>
    <row r="6142" ht="22.5" customHeight="1">
      <c r="B6142" s="13"/>
      <c r="C6142" s="13"/>
      <c r="D6142" s="13"/>
      <c r="E6142" s="14"/>
      <c r="F6142" s="14"/>
      <c r="G6142" s="13"/>
      <c r="H6142" s="14"/>
      <c r="I6142" s="13"/>
      <c r="J6142" s="13"/>
      <c r="K6142" s="13"/>
      <c r="L6142" s="13"/>
      <c r="M6142" s="13"/>
      <c r="N6142" s="13"/>
      <c r="O6142" s="13" t="str">
        <f t="shared" si="1"/>
        <v/>
      </c>
    </row>
    <row r="6143" ht="22.5" customHeight="1">
      <c r="B6143" s="13"/>
      <c r="C6143" s="13"/>
      <c r="D6143" s="13"/>
      <c r="E6143" s="14"/>
      <c r="F6143" s="14"/>
      <c r="G6143" s="13"/>
      <c r="H6143" s="14"/>
      <c r="I6143" s="13"/>
      <c r="J6143" s="13"/>
      <c r="K6143" s="13"/>
      <c r="L6143" s="13"/>
      <c r="M6143" s="13"/>
      <c r="N6143" s="13"/>
      <c r="O6143" s="13" t="str">
        <f t="shared" si="1"/>
        <v/>
      </c>
    </row>
    <row r="6144" ht="22.5" customHeight="1">
      <c r="B6144" s="13"/>
      <c r="C6144" s="13"/>
      <c r="D6144" s="13"/>
      <c r="E6144" s="14"/>
      <c r="F6144" s="14"/>
      <c r="G6144" s="13"/>
      <c r="H6144" s="14"/>
      <c r="I6144" s="13"/>
      <c r="J6144" s="13"/>
      <c r="K6144" s="13"/>
      <c r="L6144" s="13"/>
      <c r="M6144" s="13"/>
      <c r="N6144" s="13"/>
      <c r="O6144" s="13" t="str">
        <f t="shared" si="1"/>
        <v/>
      </c>
    </row>
    <row r="6145" ht="22.5" customHeight="1">
      <c r="B6145" s="13"/>
      <c r="C6145" s="13"/>
      <c r="D6145" s="13"/>
      <c r="E6145" s="14"/>
      <c r="F6145" s="14"/>
      <c r="G6145" s="13"/>
      <c r="H6145" s="14"/>
      <c r="I6145" s="13"/>
      <c r="J6145" s="13"/>
      <c r="K6145" s="13"/>
      <c r="L6145" s="13"/>
      <c r="M6145" s="13"/>
      <c r="N6145" s="13"/>
      <c r="O6145" s="13" t="str">
        <f t="shared" si="1"/>
        <v/>
      </c>
    </row>
    <row r="6146" ht="22.5" customHeight="1">
      <c r="B6146" s="13"/>
      <c r="C6146" s="13"/>
      <c r="D6146" s="13"/>
      <c r="E6146" s="14"/>
      <c r="F6146" s="14"/>
      <c r="G6146" s="13"/>
      <c r="H6146" s="14"/>
      <c r="I6146" s="13"/>
      <c r="J6146" s="13"/>
      <c r="K6146" s="13"/>
      <c r="L6146" s="13"/>
      <c r="M6146" s="13"/>
      <c r="N6146" s="13"/>
      <c r="O6146" s="13" t="str">
        <f t="shared" si="1"/>
        <v/>
      </c>
    </row>
    <row r="6147" ht="22.5" customHeight="1">
      <c r="B6147" s="13"/>
      <c r="C6147" s="13"/>
      <c r="D6147" s="13"/>
      <c r="E6147" s="14"/>
      <c r="F6147" s="14"/>
      <c r="G6147" s="13"/>
      <c r="H6147" s="14"/>
      <c r="I6147" s="13"/>
      <c r="J6147" s="13"/>
      <c r="K6147" s="13"/>
      <c r="L6147" s="13"/>
      <c r="M6147" s="13"/>
      <c r="N6147" s="13"/>
      <c r="O6147" s="13" t="str">
        <f t="shared" si="1"/>
        <v/>
      </c>
    </row>
    <row r="6148" ht="22.5" customHeight="1">
      <c r="B6148" s="13"/>
      <c r="C6148" s="13"/>
      <c r="D6148" s="13"/>
      <c r="E6148" s="14"/>
      <c r="F6148" s="14"/>
      <c r="G6148" s="13"/>
      <c r="H6148" s="14"/>
      <c r="I6148" s="13"/>
      <c r="J6148" s="13"/>
      <c r="K6148" s="13"/>
      <c r="L6148" s="13"/>
      <c r="M6148" s="13"/>
      <c r="N6148" s="13"/>
      <c r="O6148" s="13" t="str">
        <f t="shared" si="1"/>
        <v/>
      </c>
    </row>
    <row r="6149" ht="22.5" customHeight="1">
      <c r="B6149" s="13"/>
      <c r="C6149" s="13"/>
      <c r="D6149" s="13"/>
      <c r="E6149" s="14"/>
      <c r="F6149" s="14"/>
      <c r="G6149" s="13"/>
      <c r="H6149" s="14"/>
      <c r="I6149" s="13"/>
      <c r="J6149" s="13"/>
      <c r="K6149" s="13"/>
      <c r="L6149" s="13"/>
      <c r="M6149" s="13"/>
      <c r="N6149" s="13"/>
      <c r="O6149" s="13" t="str">
        <f t="shared" si="1"/>
        <v/>
      </c>
    </row>
    <row r="6150" ht="22.5" customHeight="1">
      <c r="B6150" s="13"/>
      <c r="C6150" s="13"/>
      <c r="D6150" s="13"/>
      <c r="E6150" s="14"/>
      <c r="F6150" s="14"/>
      <c r="G6150" s="13"/>
      <c r="H6150" s="14"/>
      <c r="I6150" s="13"/>
      <c r="J6150" s="13"/>
      <c r="K6150" s="13"/>
      <c r="L6150" s="13"/>
      <c r="M6150" s="13"/>
      <c r="N6150" s="13"/>
      <c r="O6150" s="13" t="str">
        <f t="shared" si="1"/>
        <v/>
      </c>
    </row>
    <row r="6151" ht="22.5" customHeight="1">
      <c r="B6151" s="13"/>
      <c r="C6151" s="13"/>
      <c r="D6151" s="13"/>
      <c r="E6151" s="14"/>
      <c r="F6151" s="14"/>
      <c r="G6151" s="13"/>
      <c r="H6151" s="14"/>
      <c r="I6151" s="13"/>
      <c r="J6151" s="13"/>
      <c r="K6151" s="13"/>
      <c r="L6151" s="13"/>
      <c r="M6151" s="13"/>
      <c r="N6151" s="13"/>
      <c r="O6151" s="13" t="str">
        <f t="shared" si="1"/>
        <v/>
      </c>
    </row>
    <row r="6152" ht="22.5" customHeight="1">
      <c r="B6152" s="13"/>
      <c r="C6152" s="13"/>
      <c r="D6152" s="13"/>
      <c r="E6152" s="14"/>
      <c r="F6152" s="14"/>
      <c r="G6152" s="13"/>
      <c r="H6152" s="14"/>
      <c r="I6152" s="13"/>
      <c r="J6152" s="13"/>
      <c r="K6152" s="13"/>
      <c r="L6152" s="13"/>
      <c r="M6152" s="13"/>
      <c r="N6152" s="13"/>
      <c r="O6152" s="13" t="str">
        <f t="shared" si="1"/>
        <v/>
      </c>
    </row>
    <row r="6153" ht="22.5" customHeight="1">
      <c r="B6153" s="13"/>
      <c r="C6153" s="13"/>
      <c r="D6153" s="13"/>
      <c r="E6153" s="14"/>
      <c r="F6153" s="14"/>
      <c r="G6153" s="13"/>
      <c r="H6153" s="14"/>
      <c r="I6153" s="13"/>
      <c r="J6153" s="13"/>
      <c r="K6153" s="13"/>
      <c r="L6153" s="13"/>
      <c r="M6153" s="13"/>
      <c r="N6153" s="13"/>
      <c r="O6153" s="13" t="str">
        <f t="shared" si="1"/>
        <v/>
      </c>
    </row>
    <row r="6154" ht="22.5" customHeight="1">
      <c r="B6154" s="13"/>
      <c r="C6154" s="13"/>
      <c r="D6154" s="13"/>
      <c r="E6154" s="14"/>
      <c r="F6154" s="14"/>
      <c r="G6154" s="13"/>
      <c r="H6154" s="14"/>
      <c r="I6154" s="13"/>
      <c r="J6154" s="13"/>
      <c r="K6154" s="13"/>
      <c r="L6154" s="13"/>
      <c r="M6154" s="13"/>
      <c r="N6154" s="13"/>
      <c r="O6154" s="13" t="str">
        <f t="shared" si="1"/>
        <v/>
      </c>
    </row>
    <row r="6155" ht="22.5" customHeight="1">
      <c r="B6155" s="13"/>
      <c r="C6155" s="13"/>
      <c r="D6155" s="13"/>
      <c r="E6155" s="14"/>
      <c r="F6155" s="14"/>
      <c r="G6155" s="13"/>
      <c r="H6155" s="14"/>
      <c r="I6155" s="13"/>
      <c r="J6155" s="13"/>
      <c r="K6155" s="13"/>
      <c r="L6155" s="13"/>
      <c r="M6155" s="13"/>
      <c r="N6155" s="13"/>
      <c r="O6155" s="13" t="str">
        <f t="shared" si="1"/>
        <v/>
      </c>
    </row>
    <row r="6156" ht="22.5" customHeight="1">
      <c r="B6156" s="13"/>
      <c r="C6156" s="13"/>
      <c r="D6156" s="13"/>
      <c r="E6156" s="14"/>
      <c r="F6156" s="14"/>
      <c r="G6156" s="13"/>
      <c r="H6156" s="14"/>
      <c r="I6156" s="13"/>
      <c r="J6156" s="13"/>
      <c r="K6156" s="13"/>
      <c r="L6156" s="13"/>
      <c r="M6156" s="13"/>
      <c r="N6156" s="13"/>
      <c r="O6156" s="13" t="str">
        <f t="shared" si="1"/>
        <v/>
      </c>
    </row>
    <row r="6157" ht="22.5" customHeight="1">
      <c r="B6157" s="13"/>
      <c r="C6157" s="13"/>
      <c r="D6157" s="13"/>
      <c r="E6157" s="14"/>
      <c r="F6157" s="14"/>
      <c r="G6157" s="13"/>
      <c r="H6157" s="14"/>
      <c r="I6157" s="13"/>
      <c r="J6157" s="13"/>
      <c r="K6157" s="13"/>
      <c r="L6157" s="13"/>
      <c r="M6157" s="13"/>
      <c r="N6157" s="13"/>
      <c r="O6157" s="13" t="str">
        <f t="shared" si="1"/>
        <v/>
      </c>
    </row>
    <row r="6158" ht="22.5" customHeight="1">
      <c r="B6158" s="13"/>
      <c r="C6158" s="13"/>
      <c r="D6158" s="13"/>
      <c r="E6158" s="14"/>
      <c r="F6158" s="14"/>
      <c r="G6158" s="13"/>
      <c r="H6158" s="14"/>
      <c r="I6158" s="13"/>
      <c r="J6158" s="13"/>
      <c r="K6158" s="13"/>
      <c r="L6158" s="13"/>
      <c r="M6158" s="13"/>
      <c r="N6158" s="13"/>
      <c r="O6158" s="13" t="str">
        <f t="shared" si="1"/>
        <v/>
      </c>
    </row>
    <row r="6159" ht="22.5" customHeight="1">
      <c r="B6159" s="13"/>
      <c r="C6159" s="13"/>
      <c r="D6159" s="13"/>
      <c r="E6159" s="14"/>
      <c r="F6159" s="14"/>
      <c r="G6159" s="13"/>
      <c r="H6159" s="14"/>
      <c r="I6159" s="13"/>
      <c r="J6159" s="13"/>
      <c r="K6159" s="13"/>
      <c r="L6159" s="13"/>
      <c r="M6159" s="13"/>
      <c r="N6159" s="13"/>
      <c r="O6159" s="13" t="str">
        <f t="shared" si="1"/>
        <v/>
      </c>
    </row>
    <row r="6160" ht="22.5" customHeight="1">
      <c r="B6160" s="13"/>
      <c r="C6160" s="13"/>
      <c r="D6160" s="13"/>
      <c r="E6160" s="14"/>
      <c r="F6160" s="14"/>
      <c r="G6160" s="13"/>
      <c r="H6160" s="14"/>
      <c r="I6160" s="13"/>
      <c r="J6160" s="13"/>
      <c r="K6160" s="13"/>
      <c r="L6160" s="13"/>
      <c r="M6160" s="13"/>
      <c r="N6160" s="13"/>
      <c r="O6160" s="13" t="str">
        <f t="shared" si="1"/>
        <v/>
      </c>
    </row>
    <row r="6161" ht="22.5" customHeight="1">
      <c r="B6161" s="13"/>
      <c r="C6161" s="13"/>
      <c r="D6161" s="13"/>
      <c r="E6161" s="14"/>
      <c r="F6161" s="14"/>
      <c r="G6161" s="13"/>
      <c r="H6161" s="14"/>
      <c r="I6161" s="13"/>
      <c r="J6161" s="13"/>
      <c r="K6161" s="13"/>
      <c r="L6161" s="13"/>
      <c r="M6161" s="13"/>
      <c r="N6161" s="13"/>
      <c r="O6161" s="13" t="str">
        <f t="shared" si="1"/>
        <v/>
      </c>
    </row>
    <row r="6162" ht="22.5" customHeight="1">
      <c r="B6162" s="13"/>
      <c r="C6162" s="13"/>
      <c r="D6162" s="13"/>
      <c r="E6162" s="14"/>
      <c r="F6162" s="14"/>
      <c r="G6162" s="13"/>
      <c r="H6162" s="14"/>
      <c r="I6162" s="13"/>
      <c r="J6162" s="13"/>
      <c r="K6162" s="13"/>
      <c r="L6162" s="13"/>
      <c r="M6162" s="13"/>
      <c r="N6162" s="13"/>
      <c r="O6162" s="13" t="str">
        <f t="shared" si="1"/>
        <v/>
      </c>
    </row>
    <row r="6163" ht="22.5" customHeight="1">
      <c r="B6163" s="13"/>
      <c r="C6163" s="13"/>
      <c r="D6163" s="13"/>
      <c r="E6163" s="14"/>
      <c r="F6163" s="14"/>
      <c r="G6163" s="13"/>
      <c r="H6163" s="14"/>
      <c r="I6163" s="13"/>
      <c r="J6163" s="13"/>
      <c r="K6163" s="13"/>
      <c r="L6163" s="13"/>
      <c r="M6163" s="13"/>
      <c r="N6163" s="13"/>
      <c r="O6163" s="13" t="str">
        <f t="shared" si="1"/>
        <v/>
      </c>
    </row>
    <row r="6164" ht="22.5" customHeight="1">
      <c r="B6164" s="13"/>
      <c r="C6164" s="13"/>
      <c r="D6164" s="13"/>
      <c r="E6164" s="14"/>
      <c r="F6164" s="14"/>
      <c r="G6164" s="13"/>
      <c r="H6164" s="14"/>
      <c r="I6164" s="13"/>
      <c r="J6164" s="13"/>
      <c r="K6164" s="13"/>
      <c r="L6164" s="13"/>
      <c r="M6164" s="13"/>
      <c r="N6164" s="13"/>
      <c r="O6164" s="13" t="str">
        <f t="shared" si="1"/>
        <v/>
      </c>
    </row>
    <row r="6165" ht="22.5" customHeight="1">
      <c r="B6165" s="13"/>
      <c r="C6165" s="13"/>
      <c r="D6165" s="13"/>
      <c r="E6165" s="14"/>
      <c r="F6165" s="14"/>
      <c r="G6165" s="13"/>
      <c r="H6165" s="14"/>
      <c r="I6165" s="13"/>
      <c r="J6165" s="13"/>
      <c r="K6165" s="13"/>
      <c r="L6165" s="13"/>
      <c r="M6165" s="13"/>
      <c r="N6165" s="13"/>
      <c r="O6165" s="13" t="str">
        <f t="shared" si="1"/>
        <v/>
      </c>
    </row>
    <row r="6166" ht="22.5" customHeight="1">
      <c r="B6166" s="13"/>
      <c r="C6166" s="13"/>
      <c r="D6166" s="13"/>
      <c r="E6166" s="14"/>
      <c r="F6166" s="14"/>
      <c r="G6166" s="13"/>
      <c r="H6166" s="14"/>
      <c r="I6166" s="13"/>
      <c r="J6166" s="13"/>
      <c r="K6166" s="13"/>
      <c r="L6166" s="13"/>
      <c r="M6166" s="13"/>
      <c r="N6166" s="13"/>
      <c r="O6166" s="13" t="str">
        <f t="shared" si="1"/>
        <v/>
      </c>
    </row>
    <row r="6167" ht="22.5" customHeight="1">
      <c r="B6167" s="13"/>
      <c r="C6167" s="13"/>
      <c r="D6167" s="13"/>
      <c r="E6167" s="14"/>
      <c r="F6167" s="14"/>
      <c r="G6167" s="13"/>
      <c r="H6167" s="14"/>
      <c r="I6167" s="13"/>
      <c r="J6167" s="13"/>
      <c r="K6167" s="13"/>
      <c r="L6167" s="13"/>
      <c r="M6167" s="13"/>
      <c r="N6167" s="13"/>
      <c r="O6167" s="13" t="str">
        <f t="shared" si="1"/>
        <v/>
      </c>
    </row>
    <row r="6168" ht="22.5" customHeight="1">
      <c r="B6168" s="13"/>
      <c r="C6168" s="13"/>
      <c r="D6168" s="13"/>
      <c r="E6168" s="14"/>
      <c r="F6168" s="14"/>
      <c r="G6168" s="13"/>
      <c r="H6168" s="14"/>
      <c r="I6168" s="13"/>
      <c r="J6168" s="13"/>
      <c r="K6168" s="13"/>
      <c r="L6168" s="13"/>
      <c r="M6168" s="13"/>
      <c r="N6168" s="13"/>
      <c r="O6168" s="13" t="str">
        <f t="shared" si="1"/>
        <v/>
      </c>
    </row>
    <row r="6169" ht="22.5" customHeight="1">
      <c r="B6169" s="13"/>
      <c r="C6169" s="13"/>
      <c r="D6169" s="13"/>
      <c r="E6169" s="14"/>
      <c r="F6169" s="14"/>
      <c r="G6169" s="13"/>
      <c r="H6169" s="14"/>
      <c r="I6169" s="13"/>
      <c r="J6169" s="13"/>
      <c r="K6169" s="13"/>
      <c r="L6169" s="13"/>
      <c r="M6169" s="13"/>
      <c r="N6169" s="13"/>
      <c r="O6169" s="13" t="str">
        <f t="shared" si="1"/>
        <v/>
      </c>
    </row>
    <row r="6170" ht="22.5" customHeight="1">
      <c r="B6170" s="13"/>
      <c r="C6170" s="13"/>
      <c r="D6170" s="13"/>
      <c r="E6170" s="14"/>
      <c r="F6170" s="14"/>
      <c r="G6170" s="13"/>
      <c r="H6170" s="14"/>
      <c r="I6170" s="13"/>
      <c r="J6170" s="13"/>
      <c r="K6170" s="13"/>
      <c r="L6170" s="13"/>
      <c r="M6170" s="13"/>
      <c r="N6170" s="13"/>
      <c r="O6170" s="13" t="str">
        <f t="shared" si="1"/>
        <v/>
      </c>
    </row>
    <row r="6171" ht="22.5" customHeight="1">
      <c r="B6171" s="13"/>
      <c r="C6171" s="13"/>
      <c r="D6171" s="13"/>
      <c r="E6171" s="14"/>
      <c r="F6171" s="14"/>
      <c r="G6171" s="13"/>
      <c r="H6171" s="14"/>
      <c r="I6171" s="13"/>
      <c r="J6171" s="13"/>
      <c r="K6171" s="13"/>
      <c r="L6171" s="13"/>
      <c r="M6171" s="13"/>
      <c r="N6171" s="13"/>
      <c r="O6171" s="13" t="str">
        <f t="shared" si="1"/>
        <v/>
      </c>
    </row>
    <row r="6172" ht="22.5" customHeight="1">
      <c r="B6172" s="13"/>
      <c r="C6172" s="13"/>
      <c r="D6172" s="13"/>
      <c r="E6172" s="14"/>
      <c r="F6172" s="14"/>
      <c r="G6172" s="13"/>
      <c r="H6172" s="14"/>
      <c r="I6172" s="13"/>
      <c r="J6172" s="13"/>
      <c r="K6172" s="13"/>
      <c r="L6172" s="13"/>
      <c r="M6172" s="13"/>
      <c r="N6172" s="13"/>
      <c r="O6172" s="13" t="str">
        <f t="shared" si="1"/>
        <v/>
      </c>
    </row>
    <row r="6173" ht="22.5" customHeight="1">
      <c r="B6173" s="13"/>
      <c r="C6173" s="13"/>
      <c r="D6173" s="13"/>
      <c r="E6173" s="14"/>
      <c r="F6173" s="14"/>
      <c r="G6173" s="13"/>
      <c r="H6173" s="14"/>
      <c r="I6173" s="13"/>
      <c r="J6173" s="13"/>
      <c r="K6173" s="13"/>
      <c r="L6173" s="13"/>
      <c r="M6173" s="13"/>
      <c r="N6173" s="13"/>
      <c r="O6173" s="13" t="str">
        <f t="shared" si="1"/>
        <v/>
      </c>
    </row>
    <row r="6174" ht="22.5" customHeight="1">
      <c r="B6174" s="13"/>
      <c r="C6174" s="13"/>
      <c r="D6174" s="13"/>
      <c r="E6174" s="14"/>
      <c r="F6174" s="14"/>
      <c r="G6174" s="13"/>
      <c r="H6174" s="14"/>
      <c r="I6174" s="13"/>
      <c r="J6174" s="13"/>
      <c r="K6174" s="13"/>
      <c r="L6174" s="13"/>
      <c r="M6174" s="13"/>
      <c r="N6174" s="13"/>
      <c r="O6174" s="13" t="str">
        <f t="shared" si="1"/>
        <v/>
      </c>
    </row>
    <row r="6175" ht="22.5" customHeight="1">
      <c r="B6175" s="13"/>
      <c r="C6175" s="13"/>
      <c r="D6175" s="13"/>
      <c r="E6175" s="14"/>
      <c r="F6175" s="14"/>
      <c r="G6175" s="13"/>
      <c r="H6175" s="14"/>
      <c r="I6175" s="13"/>
      <c r="J6175" s="13"/>
      <c r="K6175" s="13"/>
      <c r="L6175" s="13"/>
      <c r="M6175" s="13"/>
      <c r="N6175" s="13"/>
      <c r="O6175" s="13" t="str">
        <f t="shared" si="1"/>
        <v/>
      </c>
    </row>
    <row r="6176" ht="22.5" customHeight="1">
      <c r="B6176" s="13"/>
      <c r="C6176" s="13"/>
      <c r="D6176" s="13"/>
      <c r="E6176" s="14"/>
      <c r="F6176" s="14"/>
      <c r="G6176" s="13"/>
      <c r="H6176" s="14"/>
      <c r="I6176" s="13"/>
      <c r="J6176" s="13"/>
      <c r="K6176" s="13"/>
      <c r="L6176" s="13"/>
      <c r="M6176" s="13"/>
      <c r="N6176" s="13"/>
      <c r="O6176" s="13" t="str">
        <f t="shared" si="1"/>
        <v/>
      </c>
    </row>
    <row r="6177" ht="22.5" customHeight="1">
      <c r="B6177" s="13"/>
      <c r="C6177" s="13"/>
      <c r="D6177" s="13"/>
      <c r="E6177" s="14"/>
      <c r="F6177" s="14"/>
      <c r="G6177" s="13"/>
      <c r="H6177" s="14"/>
      <c r="I6177" s="13"/>
      <c r="J6177" s="13"/>
      <c r="K6177" s="13"/>
      <c r="L6177" s="13"/>
      <c r="M6177" s="13"/>
      <c r="N6177" s="13"/>
      <c r="O6177" s="13" t="str">
        <f t="shared" si="1"/>
        <v/>
      </c>
    </row>
    <row r="6178" ht="22.5" customHeight="1">
      <c r="B6178" s="13"/>
      <c r="C6178" s="13"/>
      <c r="D6178" s="13"/>
      <c r="E6178" s="14"/>
      <c r="F6178" s="14"/>
      <c r="G6178" s="13"/>
      <c r="H6178" s="14"/>
      <c r="I6178" s="13"/>
      <c r="J6178" s="13"/>
      <c r="K6178" s="13"/>
      <c r="L6178" s="13"/>
      <c r="M6178" s="13"/>
      <c r="N6178" s="13"/>
      <c r="O6178" s="13" t="str">
        <f t="shared" si="1"/>
        <v/>
      </c>
    </row>
    <row r="6179" ht="22.5" customHeight="1">
      <c r="B6179" s="13"/>
      <c r="C6179" s="13"/>
      <c r="D6179" s="13"/>
      <c r="E6179" s="14"/>
      <c r="F6179" s="14"/>
      <c r="G6179" s="13"/>
      <c r="H6179" s="14"/>
      <c r="I6179" s="13"/>
      <c r="J6179" s="13"/>
      <c r="K6179" s="13"/>
      <c r="L6179" s="13"/>
      <c r="M6179" s="13"/>
      <c r="N6179" s="13"/>
      <c r="O6179" s="13" t="str">
        <f t="shared" si="1"/>
        <v/>
      </c>
    </row>
    <row r="6180" ht="22.5" customHeight="1">
      <c r="B6180" s="13"/>
      <c r="C6180" s="13"/>
      <c r="D6180" s="13"/>
      <c r="E6180" s="14"/>
      <c r="F6180" s="14"/>
      <c r="G6180" s="13"/>
      <c r="H6180" s="14"/>
      <c r="I6180" s="13"/>
      <c r="J6180" s="13"/>
      <c r="K6180" s="13"/>
      <c r="L6180" s="13"/>
      <c r="M6180" s="13"/>
      <c r="N6180" s="13"/>
      <c r="O6180" s="13" t="str">
        <f t="shared" si="1"/>
        <v/>
      </c>
    </row>
    <row r="6181" ht="22.5" customHeight="1">
      <c r="B6181" s="13"/>
      <c r="C6181" s="13"/>
      <c r="D6181" s="13"/>
      <c r="E6181" s="14"/>
      <c r="F6181" s="14"/>
      <c r="G6181" s="13"/>
      <c r="H6181" s="14"/>
      <c r="I6181" s="13"/>
      <c r="J6181" s="13"/>
      <c r="K6181" s="13"/>
      <c r="L6181" s="13"/>
      <c r="M6181" s="13"/>
      <c r="N6181" s="13"/>
      <c r="O6181" s="13" t="str">
        <f t="shared" si="1"/>
        <v/>
      </c>
    </row>
    <row r="6182" ht="22.5" customHeight="1">
      <c r="B6182" s="13"/>
      <c r="C6182" s="13"/>
      <c r="D6182" s="13"/>
      <c r="E6182" s="14"/>
      <c r="F6182" s="14"/>
      <c r="G6182" s="13"/>
      <c r="H6182" s="14"/>
      <c r="I6182" s="13"/>
      <c r="J6182" s="13"/>
      <c r="K6182" s="13"/>
      <c r="L6182" s="13"/>
      <c r="M6182" s="13"/>
      <c r="N6182" s="13"/>
      <c r="O6182" s="13" t="str">
        <f t="shared" si="1"/>
        <v/>
      </c>
    </row>
    <row r="6183" ht="22.5" customHeight="1">
      <c r="B6183" s="13"/>
      <c r="C6183" s="13"/>
      <c r="D6183" s="13"/>
      <c r="E6183" s="14"/>
      <c r="F6183" s="14"/>
      <c r="G6183" s="13"/>
      <c r="H6183" s="14"/>
      <c r="I6183" s="13"/>
      <c r="J6183" s="13"/>
      <c r="K6183" s="13"/>
      <c r="L6183" s="13"/>
      <c r="M6183" s="13"/>
      <c r="N6183" s="13"/>
      <c r="O6183" s="13" t="str">
        <f t="shared" si="1"/>
        <v/>
      </c>
    </row>
    <row r="6184" ht="22.5" customHeight="1">
      <c r="B6184" s="13"/>
      <c r="C6184" s="13"/>
      <c r="D6184" s="13"/>
      <c r="E6184" s="14"/>
      <c r="F6184" s="14"/>
      <c r="G6184" s="13"/>
      <c r="H6184" s="14"/>
      <c r="I6184" s="13"/>
      <c r="J6184" s="13"/>
      <c r="K6184" s="13"/>
      <c r="L6184" s="13"/>
      <c r="M6184" s="13"/>
      <c r="N6184" s="13"/>
      <c r="O6184" s="13" t="str">
        <f t="shared" si="1"/>
        <v/>
      </c>
    </row>
    <row r="6185" ht="22.5" customHeight="1">
      <c r="B6185" s="13"/>
      <c r="C6185" s="13"/>
      <c r="D6185" s="13"/>
      <c r="E6185" s="14"/>
      <c r="F6185" s="14"/>
      <c r="G6185" s="13"/>
      <c r="H6185" s="14"/>
      <c r="I6185" s="13"/>
      <c r="J6185" s="13"/>
      <c r="K6185" s="13"/>
      <c r="L6185" s="13"/>
      <c r="M6185" s="13"/>
      <c r="N6185" s="13"/>
      <c r="O6185" s="13" t="str">
        <f t="shared" si="1"/>
        <v/>
      </c>
    </row>
    <row r="6186" ht="22.5" customHeight="1">
      <c r="B6186" s="13"/>
      <c r="C6186" s="13"/>
      <c r="D6186" s="13"/>
      <c r="E6186" s="14"/>
      <c r="F6186" s="14"/>
      <c r="G6186" s="13"/>
      <c r="H6186" s="14"/>
      <c r="I6186" s="13"/>
      <c r="J6186" s="13"/>
      <c r="K6186" s="13"/>
      <c r="L6186" s="13"/>
      <c r="M6186" s="13"/>
      <c r="N6186" s="13"/>
      <c r="O6186" s="13" t="str">
        <f t="shared" si="1"/>
        <v/>
      </c>
    </row>
    <row r="6187" ht="22.5" customHeight="1">
      <c r="B6187" s="13"/>
      <c r="C6187" s="13"/>
      <c r="D6187" s="13"/>
      <c r="E6187" s="14"/>
      <c r="F6187" s="14"/>
      <c r="G6187" s="13"/>
      <c r="H6187" s="14"/>
      <c r="I6187" s="13"/>
      <c r="J6187" s="13"/>
      <c r="K6187" s="13"/>
      <c r="L6187" s="13"/>
      <c r="M6187" s="13"/>
      <c r="N6187" s="13"/>
      <c r="O6187" s="13" t="str">
        <f t="shared" si="1"/>
        <v/>
      </c>
    </row>
    <row r="6188" ht="22.5" customHeight="1">
      <c r="B6188" s="13"/>
      <c r="C6188" s="13"/>
      <c r="D6188" s="13"/>
      <c r="E6188" s="14"/>
      <c r="F6188" s="14"/>
      <c r="G6188" s="13"/>
      <c r="H6188" s="14"/>
      <c r="I6188" s="13"/>
      <c r="J6188" s="13"/>
      <c r="K6188" s="13"/>
      <c r="L6188" s="13"/>
      <c r="M6188" s="13"/>
      <c r="N6188" s="13"/>
      <c r="O6188" s="13" t="str">
        <f t="shared" si="1"/>
        <v/>
      </c>
    </row>
    <row r="6189" ht="22.5" customHeight="1">
      <c r="B6189" s="13"/>
      <c r="C6189" s="13"/>
      <c r="D6189" s="13"/>
      <c r="E6189" s="14"/>
      <c r="F6189" s="14"/>
      <c r="G6189" s="13"/>
      <c r="H6189" s="14"/>
      <c r="I6189" s="13"/>
      <c r="J6189" s="13"/>
      <c r="K6189" s="13"/>
      <c r="L6189" s="13"/>
      <c r="M6189" s="13"/>
      <c r="N6189" s="13"/>
      <c r="O6189" s="13" t="str">
        <f t="shared" si="1"/>
        <v/>
      </c>
    </row>
    <row r="6190" ht="22.5" customHeight="1">
      <c r="B6190" s="13"/>
      <c r="C6190" s="13"/>
      <c r="D6190" s="13"/>
      <c r="E6190" s="14"/>
      <c r="F6190" s="14"/>
      <c r="G6190" s="13"/>
      <c r="H6190" s="14"/>
      <c r="I6190" s="13"/>
      <c r="J6190" s="13"/>
      <c r="K6190" s="13"/>
      <c r="L6190" s="13"/>
      <c r="M6190" s="13"/>
      <c r="N6190" s="13"/>
      <c r="O6190" s="13" t="str">
        <f t="shared" si="1"/>
        <v/>
      </c>
    </row>
    <row r="6191" ht="22.5" customHeight="1">
      <c r="B6191" s="13"/>
      <c r="C6191" s="13"/>
      <c r="D6191" s="13"/>
      <c r="E6191" s="14"/>
      <c r="F6191" s="14"/>
      <c r="G6191" s="13"/>
      <c r="H6191" s="14"/>
      <c r="I6191" s="13"/>
      <c r="J6191" s="13"/>
      <c r="K6191" s="13"/>
      <c r="L6191" s="13"/>
      <c r="M6191" s="13"/>
      <c r="N6191" s="13"/>
      <c r="O6191" s="13" t="str">
        <f t="shared" si="1"/>
        <v/>
      </c>
    </row>
    <row r="6192" ht="22.5" customHeight="1">
      <c r="B6192" s="13"/>
      <c r="C6192" s="13"/>
      <c r="D6192" s="13"/>
      <c r="E6192" s="14"/>
      <c r="F6192" s="14"/>
      <c r="G6192" s="13"/>
      <c r="H6192" s="14"/>
      <c r="I6192" s="13"/>
      <c r="J6192" s="13"/>
      <c r="K6192" s="13"/>
      <c r="L6192" s="13"/>
      <c r="M6192" s="13"/>
      <c r="N6192" s="13"/>
      <c r="O6192" s="13" t="str">
        <f t="shared" si="1"/>
        <v/>
      </c>
    </row>
    <row r="6193" ht="22.5" customHeight="1">
      <c r="B6193" s="13"/>
      <c r="C6193" s="13"/>
      <c r="D6193" s="13"/>
      <c r="E6193" s="14"/>
      <c r="F6193" s="14"/>
      <c r="G6193" s="13"/>
      <c r="H6193" s="14"/>
      <c r="I6193" s="13"/>
      <c r="J6193" s="13"/>
      <c r="K6193" s="13"/>
      <c r="L6193" s="13"/>
      <c r="M6193" s="13"/>
      <c r="N6193" s="13"/>
      <c r="O6193" s="13" t="str">
        <f t="shared" si="1"/>
        <v/>
      </c>
    </row>
    <row r="6194" ht="22.5" customHeight="1">
      <c r="B6194" s="13"/>
      <c r="C6194" s="13"/>
      <c r="D6194" s="13"/>
      <c r="E6194" s="14"/>
      <c r="F6194" s="14"/>
      <c r="G6194" s="13"/>
      <c r="H6194" s="14"/>
      <c r="I6194" s="13"/>
      <c r="J6194" s="13"/>
      <c r="K6194" s="13"/>
      <c r="L6194" s="13"/>
      <c r="M6194" s="13"/>
      <c r="N6194" s="13"/>
      <c r="O6194" s="13" t="str">
        <f t="shared" si="1"/>
        <v/>
      </c>
    </row>
    <row r="6195" ht="22.5" customHeight="1">
      <c r="B6195" s="13"/>
      <c r="C6195" s="13"/>
      <c r="D6195" s="13"/>
      <c r="E6195" s="14"/>
      <c r="F6195" s="14"/>
      <c r="G6195" s="13"/>
      <c r="H6195" s="14"/>
      <c r="I6195" s="13"/>
      <c r="J6195" s="13"/>
      <c r="K6195" s="13"/>
      <c r="L6195" s="13"/>
      <c r="M6195" s="13"/>
      <c r="N6195" s="13"/>
      <c r="O6195" s="13" t="str">
        <f t="shared" si="1"/>
        <v/>
      </c>
    </row>
    <row r="6196" ht="22.5" customHeight="1">
      <c r="B6196" s="13"/>
      <c r="C6196" s="13"/>
      <c r="D6196" s="13"/>
      <c r="E6196" s="14"/>
      <c r="F6196" s="14"/>
      <c r="G6196" s="13"/>
      <c r="H6196" s="14"/>
      <c r="I6196" s="13"/>
      <c r="J6196" s="13"/>
      <c r="K6196" s="13"/>
      <c r="L6196" s="13"/>
      <c r="M6196" s="13"/>
      <c r="N6196" s="13"/>
      <c r="O6196" s="13" t="str">
        <f t="shared" si="1"/>
        <v/>
      </c>
    </row>
    <row r="6197" ht="22.5" customHeight="1">
      <c r="B6197" s="13"/>
      <c r="C6197" s="13"/>
      <c r="D6197" s="13"/>
      <c r="E6197" s="14"/>
      <c r="F6197" s="14"/>
      <c r="G6197" s="13"/>
      <c r="H6197" s="14"/>
      <c r="I6197" s="13"/>
      <c r="J6197" s="13"/>
      <c r="K6197" s="13"/>
      <c r="L6197" s="13"/>
      <c r="M6197" s="13"/>
      <c r="N6197" s="13"/>
      <c r="O6197" s="13" t="str">
        <f t="shared" si="1"/>
        <v/>
      </c>
    </row>
    <row r="6198" ht="22.5" customHeight="1">
      <c r="B6198" s="13"/>
      <c r="C6198" s="13"/>
      <c r="D6198" s="13"/>
      <c r="E6198" s="14"/>
      <c r="F6198" s="14"/>
      <c r="G6198" s="13"/>
      <c r="H6198" s="14"/>
      <c r="I6198" s="13"/>
      <c r="J6198" s="13"/>
      <c r="K6198" s="13"/>
      <c r="L6198" s="13"/>
      <c r="M6198" s="13"/>
      <c r="N6198" s="13"/>
      <c r="O6198" s="13" t="str">
        <f t="shared" si="1"/>
        <v/>
      </c>
    </row>
    <row r="6199" ht="22.5" customHeight="1">
      <c r="B6199" s="13"/>
      <c r="C6199" s="13"/>
      <c r="D6199" s="13"/>
      <c r="E6199" s="14"/>
      <c r="F6199" s="14"/>
      <c r="G6199" s="13"/>
      <c r="H6199" s="14"/>
      <c r="I6199" s="13"/>
      <c r="J6199" s="13"/>
      <c r="K6199" s="13"/>
      <c r="L6199" s="13"/>
      <c r="M6199" s="13"/>
      <c r="N6199" s="13"/>
      <c r="O6199" s="13" t="str">
        <f t="shared" si="1"/>
        <v/>
      </c>
    </row>
    <row r="6200" ht="22.5" customHeight="1">
      <c r="B6200" s="13"/>
      <c r="C6200" s="13"/>
      <c r="D6200" s="13"/>
      <c r="E6200" s="14"/>
      <c r="F6200" s="14"/>
      <c r="G6200" s="13"/>
      <c r="H6200" s="14"/>
      <c r="I6200" s="13"/>
      <c r="J6200" s="13"/>
      <c r="K6200" s="13"/>
      <c r="L6200" s="13"/>
      <c r="M6200" s="13"/>
      <c r="N6200" s="13"/>
      <c r="O6200" s="13" t="str">
        <f t="shared" si="1"/>
        <v/>
      </c>
    </row>
    <row r="6201" ht="22.5" customHeight="1">
      <c r="B6201" s="13"/>
      <c r="C6201" s="13"/>
      <c r="D6201" s="13"/>
      <c r="E6201" s="14"/>
      <c r="F6201" s="14"/>
      <c r="G6201" s="13"/>
      <c r="H6201" s="14"/>
      <c r="I6201" s="13"/>
      <c r="J6201" s="13"/>
      <c r="K6201" s="13"/>
      <c r="L6201" s="13"/>
      <c r="M6201" s="13"/>
      <c r="N6201" s="13"/>
      <c r="O6201" s="13" t="str">
        <f t="shared" si="1"/>
        <v/>
      </c>
    </row>
    <row r="6202" ht="22.5" customHeight="1">
      <c r="B6202" s="13"/>
      <c r="C6202" s="13"/>
      <c r="D6202" s="13"/>
      <c r="E6202" s="14"/>
      <c r="F6202" s="14"/>
      <c r="G6202" s="13"/>
      <c r="H6202" s="14"/>
      <c r="I6202" s="13"/>
      <c r="J6202" s="13"/>
      <c r="K6202" s="13"/>
      <c r="L6202" s="13"/>
      <c r="M6202" s="13"/>
      <c r="N6202" s="13"/>
      <c r="O6202" s="13" t="str">
        <f t="shared" si="1"/>
        <v/>
      </c>
    </row>
    <row r="6203" ht="22.5" customHeight="1">
      <c r="B6203" s="13"/>
      <c r="C6203" s="13"/>
      <c r="D6203" s="13"/>
      <c r="E6203" s="14"/>
      <c r="F6203" s="14"/>
      <c r="G6203" s="13"/>
      <c r="H6203" s="14"/>
      <c r="I6203" s="13"/>
      <c r="J6203" s="13"/>
      <c r="K6203" s="13"/>
      <c r="L6203" s="13"/>
      <c r="M6203" s="13"/>
      <c r="N6203" s="13"/>
      <c r="O6203" s="13" t="str">
        <f t="shared" si="1"/>
        <v/>
      </c>
    </row>
    <row r="6204" ht="22.5" customHeight="1">
      <c r="B6204" s="13"/>
      <c r="C6204" s="13"/>
      <c r="D6204" s="13"/>
      <c r="E6204" s="14"/>
      <c r="F6204" s="14"/>
      <c r="G6204" s="13"/>
      <c r="H6204" s="14"/>
      <c r="I6204" s="13"/>
      <c r="J6204" s="13"/>
      <c r="K6204" s="13"/>
      <c r="L6204" s="13"/>
      <c r="M6204" s="13"/>
      <c r="N6204" s="13"/>
      <c r="O6204" s="13" t="str">
        <f t="shared" si="1"/>
        <v/>
      </c>
    </row>
    <row r="6205" ht="22.5" customHeight="1">
      <c r="B6205" s="13"/>
      <c r="C6205" s="13"/>
      <c r="D6205" s="13"/>
      <c r="E6205" s="14"/>
      <c r="F6205" s="14"/>
      <c r="G6205" s="13"/>
      <c r="H6205" s="14"/>
      <c r="I6205" s="13"/>
      <c r="J6205" s="13"/>
      <c r="K6205" s="13"/>
      <c r="L6205" s="13"/>
      <c r="M6205" s="13"/>
      <c r="N6205" s="13"/>
      <c r="O6205" s="13" t="str">
        <f t="shared" si="1"/>
        <v/>
      </c>
    </row>
    <row r="6206" ht="22.5" customHeight="1">
      <c r="B6206" s="13"/>
      <c r="C6206" s="13"/>
      <c r="D6206" s="13"/>
      <c r="E6206" s="14"/>
      <c r="F6206" s="14"/>
      <c r="G6206" s="13"/>
      <c r="H6206" s="14"/>
      <c r="I6206" s="13"/>
      <c r="J6206" s="13"/>
      <c r="K6206" s="13"/>
      <c r="L6206" s="13"/>
      <c r="M6206" s="13"/>
      <c r="N6206" s="13"/>
      <c r="O6206" s="13" t="str">
        <f t="shared" si="1"/>
        <v/>
      </c>
    </row>
    <row r="6207" ht="22.5" customHeight="1">
      <c r="B6207" s="13"/>
      <c r="C6207" s="13"/>
      <c r="D6207" s="13"/>
      <c r="E6207" s="14"/>
      <c r="F6207" s="14"/>
      <c r="G6207" s="13"/>
      <c r="H6207" s="14"/>
      <c r="I6207" s="13"/>
      <c r="J6207" s="13"/>
      <c r="K6207" s="13"/>
      <c r="L6207" s="13"/>
      <c r="M6207" s="13"/>
      <c r="N6207" s="13"/>
      <c r="O6207" s="13" t="str">
        <f t="shared" si="1"/>
        <v/>
      </c>
    </row>
    <row r="6208" ht="22.5" customHeight="1">
      <c r="B6208" s="13"/>
      <c r="C6208" s="13"/>
      <c r="D6208" s="13"/>
      <c r="E6208" s="14"/>
      <c r="F6208" s="14"/>
      <c r="G6208" s="13"/>
      <c r="H6208" s="14"/>
      <c r="I6208" s="13"/>
      <c r="J6208" s="13"/>
      <c r="K6208" s="13"/>
      <c r="L6208" s="13"/>
      <c r="M6208" s="13"/>
      <c r="N6208" s="13"/>
      <c r="O6208" s="13" t="str">
        <f t="shared" si="1"/>
        <v/>
      </c>
    </row>
    <row r="6209" ht="22.5" customHeight="1">
      <c r="B6209" s="13"/>
      <c r="C6209" s="13"/>
      <c r="D6209" s="13"/>
      <c r="E6209" s="14"/>
      <c r="F6209" s="14"/>
      <c r="G6209" s="13"/>
      <c r="H6209" s="14"/>
      <c r="I6209" s="13"/>
      <c r="J6209" s="13"/>
      <c r="K6209" s="13"/>
      <c r="L6209" s="13"/>
      <c r="M6209" s="13"/>
      <c r="N6209" s="13"/>
      <c r="O6209" s="13" t="str">
        <f t="shared" si="1"/>
        <v/>
      </c>
    </row>
    <row r="6210" ht="22.5" customHeight="1">
      <c r="B6210" s="13"/>
      <c r="C6210" s="13"/>
      <c r="D6210" s="13"/>
      <c r="E6210" s="14"/>
      <c r="F6210" s="14"/>
      <c r="G6210" s="13"/>
      <c r="H6210" s="14"/>
      <c r="I6210" s="13"/>
      <c r="J6210" s="13"/>
      <c r="K6210" s="13"/>
      <c r="L6210" s="13"/>
      <c r="M6210" s="13"/>
      <c r="N6210" s="13"/>
      <c r="O6210" s="13" t="str">
        <f t="shared" si="1"/>
        <v/>
      </c>
    </row>
    <row r="6211" ht="22.5" customHeight="1">
      <c r="B6211" s="13"/>
      <c r="C6211" s="13"/>
      <c r="D6211" s="13"/>
      <c r="E6211" s="14"/>
      <c r="F6211" s="14"/>
      <c r="G6211" s="13"/>
      <c r="H6211" s="14"/>
      <c r="I6211" s="13"/>
      <c r="J6211" s="13"/>
      <c r="K6211" s="13"/>
      <c r="L6211" s="13"/>
      <c r="M6211" s="13"/>
      <c r="N6211" s="13"/>
      <c r="O6211" s="13" t="str">
        <f t="shared" si="1"/>
        <v/>
      </c>
    </row>
    <row r="6212" ht="22.5" customHeight="1">
      <c r="B6212" s="13"/>
      <c r="C6212" s="13"/>
      <c r="D6212" s="13"/>
      <c r="E6212" s="14"/>
      <c r="F6212" s="14"/>
      <c r="G6212" s="13"/>
      <c r="H6212" s="14"/>
      <c r="I6212" s="13"/>
      <c r="J6212" s="13"/>
      <c r="K6212" s="13"/>
      <c r="L6212" s="13"/>
      <c r="M6212" s="13"/>
      <c r="N6212" s="13"/>
      <c r="O6212" s="13" t="str">
        <f t="shared" si="1"/>
        <v/>
      </c>
    </row>
    <row r="6213" ht="22.5" customHeight="1">
      <c r="B6213" s="13"/>
      <c r="C6213" s="13"/>
      <c r="D6213" s="13"/>
      <c r="E6213" s="14"/>
      <c r="F6213" s="14"/>
      <c r="G6213" s="13"/>
      <c r="H6213" s="14"/>
      <c r="I6213" s="13"/>
      <c r="J6213" s="13"/>
      <c r="K6213" s="13"/>
      <c r="L6213" s="13"/>
      <c r="M6213" s="13"/>
      <c r="N6213" s="13"/>
      <c r="O6213" s="13" t="str">
        <f t="shared" si="1"/>
        <v/>
      </c>
    </row>
    <row r="6214" ht="22.5" customHeight="1">
      <c r="B6214" s="13"/>
      <c r="C6214" s="13"/>
      <c r="D6214" s="13"/>
      <c r="E6214" s="14"/>
      <c r="F6214" s="14"/>
      <c r="G6214" s="13"/>
      <c r="H6214" s="14"/>
      <c r="I6214" s="13"/>
      <c r="J6214" s="13"/>
      <c r="K6214" s="13"/>
      <c r="L6214" s="13"/>
      <c r="M6214" s="13"/>
      <c r="N6214" s="13"/>
      <c r="O6214" s="13" t="str">
        <f t="shared" si="1"/>
        <v/>
      </c>
    </row>
    <row r="6215" ht="22.5" customHeight="1">
      <c r="B6215" s="13"/>
      <c r="C6215" s="13"/>
      <c r="D6215" s="13"/>
      <c r="E6215" s="14"/>
      <c r="F6215" s="14"/>
      <c r="G6215" s="13"/>
      <c r="H6215" s="14"/>
      <c r="I6215" s="13"/>
      <c r="J6215" s="13"/>
      <c r="K6215" s="13"/>
      <c r="L6215" s="13"/>
      <c r="M6215" s="13"/>
      <c r="N6215" s="13"/>
      <c r="O6215" s="13" t="str">
        <f t="shared" si="1"/>
        <v/>
      </c>
    </row>
    <row r="6216" ht="22.5" customHeight="1">
      <c r="B6216" s="13"/>
      <c r="C6216" s="13"/>
      <c r="D6216" s="13"/>
      <c r="E6216" s="14"/>
      <c r="F6216" s="14"/>
      <c r="G6216" s="13"/>
      <c r="H6216" s="14"/>
      <c r="I6216" s="13"/>
      <c r="J6216" s="13"/>
      <c r="K6216" s="13"/>
      <c r="L6216" s="13"/>
      <c r="M6216" s="13"/>
      <c r="N6216" s="13"/>
      <c r="O6216" s="13" t="str">
        <f t="shared" si="1"/>
        <v/>
      </c>
    </row>
    <row r="6217" ht="22.5" customHeight="1">
      <c r="B6217" s="13"/>
      <c r="C6217" s="13"/>
      <c r="D6217" s="13"/>
      <c r="E6217" s="14"/>
      <c r="F6217" s="14"/>
      <c r="G6217" s="13"/>
      <c r="H6217" s="14"/>
      <c r="I6217" s="13"/>
      <c r="J6217" s="13"/>
      <c r="K6217" s="13"/>
      <c r="L6217" s="13"/>
      <c r="M6217" s="13"/>
      <c r="N6217" s="13"/>
      <c r="O6217" s="13" t="str">
        <f t="shared" si="1"/>
        <v/>
      </c>
    </row>
    <row r="6218" ht="22.5" customHeight="1">
      <c r="B6218" s="13"/>
      <c r="C6218" s="13"/>
      <c r="D6218" s="13"/>
      <c r="E6218" s="14"/>
      <c r="F6218" s="14"/>
      <c r="G6218" s="13"/>
      <c r="H6218" s="14"/>
      <c r="I6218" s="13"/>
      <c r="J6218" s="13"/>
      <c r="K6218" s="13"/>
      <c r="L6218" s="13"/>
      <c r="M6218" s="13"/>
      <c r="N6218" s="13"/>
      <c r="O6218" s="13" t="str">
        <f t="shared" si="1"/>
        <v/>
      </c>
    </row>
    <row r="6219" ht="22.5" customHeight="1">
      <c r="B6219" s="13"/>
      <c r="C6219" s="13"/>
      <c r="D6219" s="13"/>
      <c r="E6219" s="14"/>
      <c r="F6219" s="14"/>
      <c r="G6219" s="13"/>
      <c r="H6219" s="14"/>
      <c r="I6219" s="13"/>
      <c r="J6219" s="13"/>
      <c r="K6219" s="13"/>
      <c r="L6219" s="13"/>
      <c r="M6219" s="13"/>
      <c r="N6219" s="13"/>
      <c r="O6219" s="13" t="str">
        <f t="shared" si="1"/>
        <v/>
      </c>
    </row>
    <row r="6220" ht="22.5" customHeight="1">
      <c r="B6220" s="13"/>
      <c r="C6220" s="13"/>
      <c r="D6220" s="13"/>
      <c r="E6220" s="14"/>
      <c r="F6220" s="14"/>
      <c r="G6220" s="13"/>
      <c r="H6220" s="14"/>
      <c r="I6220" s="13"/>
      <c r="J6220" s="13"/>
      <c r="K6220" s="13"/>
      <c r="L6220" s="13"/>
      <c r="M6220" s="13"/>
      <c r="N6220" s="13"/>
      <c r="O6220" s="13" t="str">
        <f t="shared" si="1"/>
        <v/>
      </c>
    </row>
    <row r="6221" ht="22.5" customHeight="1">
      <c r="B6221" s="13"/>
      <c r="C6221" s="13"/>
      <c r="D6221" s="13"/>
      <c r="E6221" s="14"/>
      <c r="F6221" s="14"/>
      <c r="G6221" s="13"/>
      <c r="H6221" s="14"/>
      <c r="I6221" s="13"/>
      <c r="J6221" s="13"/>
      <c r="K6221" s="13"/>
      <c r="L6221" s="13"/>
      <c r="M6221" s="13"/>
      <c r="N6221" s="13"/>
      <c r="O6221" s="13" t="str">
        <f t="shared" si="1"/>
        <v/>
      </c>
    </row>
    <row r="6222" ht="22.5" customHeight="1">
      <c r="B6222" s="13"/>
      <c r="C6222" s="13"/>
      <c r="D6222" s="13"/>
      <c r="E6222" s="14"/>
      <c r="F6222" s="14"/>
      <c r="G6222" s="13"/>
      <c r="H6222" s="14"/>
      <c r="I6222" s="13"/>
      <c r="J6222" s="13"/>
      <c r="K6222" s="13"/>
      <c r="L6222" s="13"/>
      <c r="M6222" s="13"/>
      <c r="N6222" s="13"/>
      <c r="O6222" s="13" t="str">
        <f t="shared" si="1"/>
        <v/>
      </c>
    </row>
    <row r="6223" ht="22.5" customHeight="1">
      <c r="B6223" s="13"/>
      <c r="C6223" s="13"/>
      <c r="D6223" s="13"/>
      <c r="E6223" s="14"/>
      <c r="F6223" s="14"/>
      <c r="G6223" s="13"/>
      <c r="H6223" s="14"/>
      <c r="I6223" s="13"/>
      <c r="J6223" s="13"/>
      <c r="K6223" s="13"/>
      <c r="L6223" s="13"/>
      <c r="M6223" s="13"/>
      <c r="N6223" s="13"/>
      <c r="O6223" s="13" t="str">
        <f t="shared" si="1"/>
        <v/>
      </c>
    </row>
    <row r="6224" ht="22.5" customHeight="1">
      <c r="B6224" s="13"/>
      <c r="C6224" s="13"/>
      <c r="D6224" s="13"/>
      <c r="E6224" s="14"/>
      <c r="F6224" s="14"/>
      <c r="G6224" s="13"/>
      <c r="H6224" s="14"/>
      <c r="I6224" s="13"/>
      <c r="J6224" s="13"/>
      <c r="K6224" s="13"/>
      <c r="L6224" s="13"/>
      <c r="M6224" s="13"/>
      <c r="N6224" s="13"/>
      <c r="O6224" s="13" t="str">
        <f t="shared" si="1"/>
        <v/>
      </c>
    </row>
    <row r="6225" ht="22.5" customHeight="1">
      <c r="B6225" s="13"/>
      <c r="C6225" s="13"/>
      <c r="D6225" s="13"/>
      <c r="E6225" s="14"/>
      <c r="F6225" s="14"/>
      <c r="G6225" s="13"/>
      <c r="H6225" s="14"/>
      <c r="I6225" s="13"/>
      <c r="J6225" s="13"/>
      <c r="K6225" s="13"/>
      <c r="L6225" s="13"/>
      <c r="M6225" s="13"/>
      <c r="N6225" s="13"/>
      <c r="O6225" s="13" t="str">
        <f t="shared" si="1"/>
        <v/>
      </c>
    </row>
    <row r="6226" ht="22.5" customHeight="1">
      <c r="B6226" s="13"/>
      <c r="C6226" s="13"/>
      <c r="D6226" s="13"/>
      <c r="E6226" s="14"/>
      <c r="F6226" s="14"/>
      <c r="G6226" s="13"/>
      <c r="H6226" s="14"/>
      <c r="I6226" s="13"/>
      <c r="J6226" s="13"/>
      <c r="K6226" s="13"/>
      <c r="L6226" s="13"/>
      <c r="M6226" s="13"/>
      <c r="N6226" s="13"/>
      <c r="O6226" s="13" t="str">
        <f t="shared" si="1"/>
        <v/>
      </c>
    </row>
    <row r="6227" ht="22.5" customHeight="1">
      <c r="B6227" s="13"/>
      <c r="C6227" s="13"/>
      <c r="D6227" s="13"/>
      <c r="E6227" s="14"/>
      <c r="F6227" s="14"/>
      <c r="G6227" s="13"/>
      <c r="H6227" s="14"/>
      <c r="I6227" s="13"/>
      <c r="J6227" s="13"/>
      <c r="K6227" s="13"/>
      <c r="L6227" s="13"/>
      <c r="M6227" s="13"/>
      <c r="N6227" s="13"/>
      <c r="O6227" s="13" t="str">
        <f t="shared" si="1"/>
        <v/>
      </c>
    </row>
    <row r="6228" ht="22.5" customHeight="1">
      <c r="B6228" s="13"/>
      <c r="C6228" s="13"/>
      <c r="D6228" s="13"/>
      <c r="E6228" s="14"/>
      <c r="F6228" s="14"/>
      <c r="G6228" s="13"/>
      <c r="H6228" s="14"/>
      <c r="I6228" s="13"/>
      <c r="J6228" s="13"/>
      <c r="K6228" s="13"/>
      <c r="L6228" s="13"/>
      <c r="M6228" s="13"/>
      <c r="N6228" s="13"/>
      <c r="O6228" s="13" t="str">
        <f t="shared" si="1"/>
        <v/>
      </c>
    </row>
    <row r="6229" ht="22.5" customHeight="1">
      <c r="B6229" s="13"/>
      <c r="C6229" s="13"/>
      <c r="D6229" s="13"/>
      <c r="E6229" s="14"/>
      <c r="F6229" s="14"/>
      <c r="G6229" s="13"/>
      <c r="H6229" s="14"/>
      <c r="I6229" s="13"/>
      <c r="J6229" s="13"/>
      <c r="K6229" s="13"/>
      <c r="L6229" s="13"/>
      <c r="M6229" s="13"/>
      <c r="N6229" s="13"/>
      <c r="O6229" s="13" t="str">
        <f t="shared" si="1"/>
        <v/>
      </c>
    </row>
    <row r="6230" ht="22.5" customHeight="1">
      <c r="B6230" s="13"/>
      <c r="C6230" s="13"/>
      <c r="D6230" s="13"/>
      <c r="E6230" s="14"/>
      <c r="F6230" s="14"/>
      <c r="G6230" s="13"/>
      <c r="H6230" s="14"/>
      <c r="I6230" s="13"/>
      <c r="J6230" s="13"/>
      <c r="K6230" s="13"/>
      <c r="L6230" s="13"/>
      <c r="M6230" s="13"/>
      <c r="N6230" s="13"/>
      <c r="O6230" s="13" t="str">
        <f t="shared" si="1"/>
        <v/>
      </c>
    </row>
    <row r="6231" ht="22.5" customHeight="1">
      <c r="B6231" s="13"/>
      <c r="C6231" s="13"/>
      <c r="D6231" s="13"/>
      <c r="E6231" s="14"/>
      <c r="F6231" s="14"/>
      <c r="G6231" s="13"/>
      <c r="H6231" s="14"/>
      <c r="I6231" s="13"/>
      <c r="J6231" s="13"/>
      <c r="K6231" s="13"/>
      <c r="L6231" s="13"/>
      <c r="M6231" s="13"/>
      <c r="N6231" s="13"/>
      <c r="O6231" s="13" t="str">
        <f t="shared" si="1"/>
        <v/>
      </c>
    </row>
    <row r="6232" ht="22.5" customHeight="1">
      <c r="B6232" s="13"/>
      <c r="C6232" s="13"/>
      <c r="D6232" s="13"/>
      <c r="E6232" s="14"/>
      <c r="F6232" s="14"/>
      <c r="G6232" s="13"/>
      <c r="H6232" s="14"/>
      <c r="I6232" s="13"/>
      <c r="J6232" s="13"/>
      <c r="K6232" s="13"/>
      <c r="L6232" s="13"/>
      <c r="M6232" s="13"/>
      <c r="N6232" s="13"/>
      <c r="O6232" s="13" t="str">
        <f t="shared" si="1"/>
        <v/>
      </c>
    </row>
    <row r="6233" ht="22.5" customHeight="1">
      <c r="B6233" s="13"/>
      <c r="C6233" s="13"/>
      <c r="D6233" s="13"/>
      <c r="E6233" s="14"/>
      <c r="F6233" s="14"/>
      <c r="G6233" s="13"/>
      <c r="H6233" s="14"/>
      <c r="I6233" s="13"/>
      <c r="J6233" s="13"/>
      <c r="K6233" s="13"/>
      <c r="L6233" s="13"/>
      <c r="M6233" s="13"/>
      <c r="N6233" s="13"/>
      <c r="O6233" s="13" t="str">
        <f t="shared" si="1"/>
        <v/>
      </c>
    </row>
    <row r="6234" ht="22.5" customHeight="1">
      <c r="B6234" s="13"/>
      <c r="C6234" s="13"/>
      <c r="D6234" s="13"/>
      <c r="E6234" s="14"/>
      <c r="F6234" s="14"/>
      <c r="G6234" s="13"/>
      <c r="H6234" s="14"/>
      <c r="I6234" s="13"/>
      <c r="J6234" s="13"/>
      <c r="K6234" s="13"/>
      <c r="L6234" s="13"/>
      <c r="M6234" s="13"/>
      <c r="N6234" s="13"/>
      <c r="O6234" s="13" t="str">
        <f t="shared" si="1"/>
        <v/>
      </c>
    </row>
    <row r="6235" ht="22.5" customHeight="1">
      <c r="B6235" s="13"/>
      <c r="C6235" s="13"/>
      <c r="D6235" s="13"/>
      <c r="E6235" s="14"/>
      <c r="F6235" s="14"/>
      <c r="G6235" s="13"/>
      <c r="H6235" s="14"/>
      <c r="I6235" s="13"/>
      <c r="J6235" s="13"/>
      <c r="K6235" s="13"/>
      <c r="L6235" s="13"/>
      <c r="M6235" s="13"/>
      <c r="N6235" s="13"/>
      <c r="O6235" s="13" t="str">
        <f t="shared" si="1"/>
        <v/>
      </c>
    </row>
    <row r="6236" ht="22.5" customHeight="1">
      <c r="B6236" s="13"/>
      <c r="C6236" s="13"/>
      <c r="D6236" s="13"/>
      <c r="E6236" s="14"/>
      <c r="F6236" s="14"/>
      <c r="G6236" s="13"/>
      <c r="H6236" s="14"/>
      <c r="I6236" s="13"/>
      <c r="J6236" s="13"/>
      <c r="K6236" s="13"/>
      <c r="L6236" s="13"/>
      <c r="M6236" s="13"/>
      <c r="N6236" s="13"/>
      <c r="O6236" s="13" t="str">
        <f t="shared" si="1"/>
        <v/>
      </c>
    </row>
    <row r="6237" ht="22.5" customHeight="1">
      <c r="B6237" s="13"/>
      <c r="C6237" s="13"/>
      <c r="D6237" s="13"/>
      <c r="E6237" s="14"/>
      <c r="F6237" s="14"/>
      <c r="G6237" s="13"/>
      <c r="H6237" s="14"/>
      <c r="I6237" s="13"/>
      <c r="J6237" s="13"/>
      <c r="K6237" s="13"/>
      <c r="L6237" s="13"/>
      <c r="M6237" s="13"/>
      <c r="N6237" s="13"/>
      <c r="O6237" s="13" t="str">
        <f t="shared" si="1"/>
        <v/>
      </c>
    </row>
    <row r="6238" ht="22.5" customHeight="1">
      <c r="B6238" s="13"/>
      <c r="C6238" s="13"/>
      <c r="D6238" s="13"/>
      <c r="E6238" s="14"/>
      <c r="F6238" s="14"/>
      <c r="G6238" s="13"/>
      <c r="H6238" s="14"/>
      <c r="I6238" s="13"/>
      <c r="J6238" s="13"/>
      <c r="K6238" s="13"/>
      <c r="L6238" s="13"/>
      <c r="M6238" s="13"/>
      <c r="N6238" s="13"/>
      <c r="O6238" s="13" t="str">
        <f t="shared" si="1"/>
        <v/>
      </c>
    </row>
    <row r="6239" ht="22.5" customHeight="1">
      <c r="B6239" s="13"/>
      <c r="C6239" s="13"/>
      <c r="D6239" s="13"/>
      <c r="E6239" s="14"/>
      <c r="F6239" s="14"/>
      <c r="G6239" s="13"/>
      <c r="H6239" s="14"/>
      <c r="I6239" s="13"/>
      <c r="J6239" s="13"/>
      <c r="K6239" s="13"/>
      <c r="L6239" s="13"/>
      <c r="M6239" s="13"/>
      <c r="N6239" s="13"/>
      <c r="O6239" s="13" t="str">
        <f t="shared" si="1"/>
        <v/>
      </c>
    </row>
    <row r="6240" ht="22.5" customHeight="1">
      <c r="B6240" s="13"/>
      <c r="C6240" s="13"/>
      <c r="D6240" s="13"/>
      <c r="E6240" s="14"/>
      <c r="F6240" s="14"/>
      <c r="G6240" s="13"/>
      <c r="H6240" s="14"/>
      <c r="I6240" s="13"/>
      <c r="J6240" s="13"/>
      <c r="K6240" s="13"/>
      <c r="L6240" s="13"/>
      <c r="M6240" s="13"/>
      <c r="N6240" s="13"/>
      <c r="O6240" s="13" t="str">
        <f t="shared" si="1"/>
        <v/>
      </c>
    </row>
    <row r="6241" ht="22.5" customHeight="1">
      <c r="B6241" s="13"/>
      <c r="C6241" s="13"/>
      <c r="D6241" s="13"/>
      <c r="E6241" s="14"/>
      <c r="F6241" s="14"/>
      <c r="G6241" s="13"/>
      <c r="H6241" s="14"/>
      <c r="I6241" s="13"/>
      <c r="J6241" s="13"/>
      <c r="K6241" s="13"/>
      <c r="L6241" s="13"/>
      <c r="M6241" s="13"/>
      <c r="N6241" s="13"/>
      <c r="O6241" s="13" t="str">
        <f t="shared" si="1"/>
        <v/>
      </c>
    </row>
    <row r="6242" ht="22.5" customHeight="1">
      <c r="B6242" s="13"/>
      <c r="C6242" s="13"/>
      <c r="D6242" s="13"/>
      <c r="E6242" s="14"/>
      <c r="F6242" s="14"/>
      <c r="G6242" s="13"/>
      <c r="H6242" s="14"/>
      <c r="I6242" s="13"/>
      <c r="J6242" s="13"/>
      <c r="K6242" s="13"/>
      <c r="L6242" s="13"/>
      <c r="M6242" s="13"/>
      <c r="N6242" s="13"/>
      <c r="O6242" s="13" t="str">
        <f t="shared" si="1"/>
        <v/>
      </c>
    </row>
    <row r="6243" ht="22.5" customHeight="1">
      <c r="B6243" s="13"/>
      <c r="C6243" s="13"/>
      <c r="D6243" s="13"/>
      <c r="E6243" s="14"/>
      <c r="F6243" s="14"/>
      <c r="G6243" s="13"/>
      <c r="H6243" s="14"/>
      <c r="I6243" s="13"/>
      <c r="J6243" s="13"/>
      <c r="K6243" s="13"/>
      <c r="L6243" s="13"/>
      <c r="M6243" s="13"/>
      <c r="N6243" s="13"/>
      <c r="O6243" s="13" t="str">
        <f t="shared" si="1"/>
        <v/>
      </c>
    </row>
    <row r="6244" ht="22.5" customHeight="1">
      <c r="B6244" s="13"/>
      <c r="C6244" s="13"/>
      <c r="D6244" s="13"/>
      <c r="E6244" s="14"/>
      <c r="F6244" s="14"/>
      <c r="G6244" s="13"/>
      <c r="H6244" s="14"/>
      <c r="I6244" s="13"/>
      <c r="J6244" s="13"/>
      <c r="K6244" s="13"/>
      <c r="L6244" s="13"/>
      <c r="M6244" s="13"/>
      <c r="N6244" s="13"/>
      <c r="O6244" s="13" t="str">
        <f t="shared" si="1"/>
        <v/>
      </c>
    </row>
    <row r="6245" ht="22.5" customHeight="1">
      <c r="B6245" s="13"/>
      <c r="C6245" s="13"/>
      <c r="D6245" s="13"/>
      <c r="E6245" s="14"/>
      <c r="F6245" s="14"/>
      <c r="G6245" s="13"/>
      <c r="H6245" s="14"/>
      <c r="I6245" s="13"/>
      <c r="J6245" s="13"/>
      <c r="K6245" s="13"/>
      <c r="L6245" s="13"/>
      <c r="M6245" s="13"/>
      <c r="N6245" s="13"/>
      <c r="O6245" s="13" t="str">
        <f t="shared" si="1"/>
        <v/>
      </c>
    </row>
    <row r="6246" ht="22.5" customHeight="1">
      <c r="B6246" s="13"/>
      <c r="C6246" s="13"/>
      <c r="D6246" s="13"/>
      <c r="E6246" s="14"/>
      <c r="F6246" s="14"/>
      <c r="G6246" s="13"/>
      <c r="H6246" s="14"/>
      <c r="I6246" s="13"/>
      <c r="J6246" s="13"/>
      <c r="K6246" s="13"/>
      <c r="L6246" s="13"/>
      <c r="M6246" s="13"/>
      <c r="N6246" s="13"/>
      <c r="O6246" s="13" t="str">
        <f t="shared" si="1"/>
        <v/>
      </c>
    </row>
    <row r="6247" ht="22.5" customHeight="1">
      <c r="B6247" s="13"/>
      <c r="C6247" s="13"/>
      <c r="D6247" s="13"/>
      <c r="E6247" s="14"/>
      <c r="F6247" s="14"/>
      <c r="G6247" s="13"/>
      <c r="H6247" s="14"/>
      <c r="I6247" s="13"/>
      <c r="J6247" s="13"/>
      <c r="K6247" s="13"/>
      <c r="L6247" s="13"/>
      <c r="M6247" s="13"/>
      <c r="N6247" s="13"/>
      <c r="O6247" s="13" t="str">
        <f t="shared" si="1"/>
        <v/>
      </c>
    </row>
    <row r="6248" ht="22.5" customHeight="1">
      <c r="B6248" s="13"/>
      <c r="C6248" s="13"/>
      <c r="D6248" s="13"/>
      <c r="E6248" s="14"/>
      <c r="F6248" s="14"/>
      <c r="G6248" s="13"/>
      <c r="H6248" s="14"/>
      <c r="I6248" s="13"/>
      <c r="J6248" s="13"/>
      <c r="K6248" s="13"/>
      <c r="L6248" s="13"/>
      <c r="M6248" s="13"/>
      <c r="N6248" s="13"/>
      <c r="O6248" s="13" t="str">
        <f t="shared" si="1"/>
        <v/>
      </c>
    </row>
    <row r="6249" ht="22.5" customHeight="1">
      <c r="B6249" s="13"/>
      <c r="C6249" s="13"/>
      <c r="D6249" s="13"/>
      <c r="E6249" s="14"/>
      <c r="F6249" s="14"/>
      <c r="G6249" s="13"/>
      <c r="H6249" s="14"/>
      <c r="I6249" s="13"/>
      <c r="J6249" s="13"/>
      <c r="K6249" s="13"/>
      <c r="L6249" s="13"/>
      <c r="M6249" s="13"/>
      <c r="N6249" s="13"/>
      <c r="O6249" s="13" t="str">
        <f t="shared" si="1"/>
        <v/>
      </c>
    </row>
    <row r="6250" ht="22.5" customHeight="1">
      <c r="B6250" s="13"/>
      <c r="C6250" s="13"/>
      <c r="D6250" s="13"/>
      <c r="E6250" s="14"/>
      <c r="F6250" s="14"/>
      <c r="G6250" s="13"/>
      <c r="H6250" s="14"/>
      <c r="I6250" s="13"/>
      <c r="J6250" s="13"/>
      <c r="K6250" s="13"/>
      <c r="L6250" s="13"/>
      <c r="M6250" s="13"/>
      <c r="N6250" s="13"/>
      <c r="O6250" s="13" t="str">
        <f t="shared" si="1"/>
        <v/>
      </c>
    </row>
    <row r="6251" ht="22.5" customHeight="1">
      <c r="B6251" s="13"/>
      <c r="C6251" s="13"/>
      <c r="D6251" s="13"/>
      <c r="E6251" s="14"/>
      <c r="F6251" s="14"/>
      <c r="G6251" s="13"/>
      <c r="H6251" s="14"/>
      <c r="I6251" s="13"/>
      <c r="J6251" s="13"/>
      <c r="K6251" s="13"/>
      <c r="L6251" s="13"/>
      <c r="M6251" s="13"/>
      <c r="N6251" s="13"/>
      <c r="O6251" s="13" t="str">
        <f t="shared" si="1"/>
        <v/>
      </c>
    </row>
    <row r="6252" ht="22.5" customHeight="1">
      <c r="B6252" s="13"/>
      <c r="C6252" s="13"/>
      <c r="D6252" s="13"/>
      <c r="E6252" s="14"/>
      <c r="F6252" s="14"/>
      <c r="G6252" s="13"/>
      <c r="H6252" s="14"/>
      <c r="I6252" s="13"/>
      <c r="J6252" s="13"/>
      <c r="K6252" s="13"/>
      <c r="L6252" s="13"/>
      <c r="M6252" s="13"/>
      <c r="N6252" s="13"/>
      <c r="O6252" s="13" t="str">
        <f t="shared" si="1"/>
        <v/>
      </c>
    </row>
    <row r="6253" ht="22.5" customHeight="1">
      <c r="B6253" s="13"/>
      <c r="C6253" s="13"/>
      <c r="D6253" s="13"/>
      <c r="E6253" s="14"/>
      <c r="F6253" s="14"/>
      <c r="G6253" s="13"/>
      <c r="H6253" s="14"/>
      <c r="I6253" s="13"/>
      <c r="J6253" s="13"/>
      <c r="K6253" s="13"/>
      <c r="L6253" s="13"/>
      <c r="M6253" s="13"/>
      <c r="N6253" s="13"/>
      <c r="O6253" s="13" t="str">
        <f t="shared" si="1"/>
        <v/>
      </c>
    </row>
    <row r="6254" ht="22.5" customHeight="1">
      <c r="B6254" s="13"/>
      <c r="C6254" s="13"/>
      <c r="D6254" s="13"/>
      <c r="E6254" s="14"/>
      <c r="F6254" s="14"/>
      <c r="G6254" s="13"/>
      <c r="H6254" s="14"/>
      <c r="I6254" s="13"/>
      <c r="J6254" s="13"/>
      <c r="K6254" s="13"/>
      <c r="L6254" s="13"/>
      <c r="M6254" s="13"/>
      <c r="N6254" s="13"/>
      <c r="O6254" s="13" t="str">
        <f t="shared" si="1"/>
        <v/>
      </c>
    </row>
    <row r="6255" ht="22.5" customHeight="1">
      <c r="B6255" s="13"/>
      <c r="C6255" s="13"/>
      <c r="D6255" s="13"/>
      <c r="E6255" s="14"/>
      <c r="F6255" s="14"/>
      <c r="G6255" s="13"/>
      <c r="H6255" s="14"/>
      <c r="I6255" s="13"/>
      <c r="J6255" s="13"/>
      <c r="K6255" s="13"/>
      <c r="L6255" s="13"/>
      <c r="M6255" s="13"/>
      <c r="N6255" s="13"/>
      <c r="O6255" s="13" t="str">
        <f t="shared" si="1"/>
        <v/>
      </c>
    </row>
    <row r="6256" ht="22.5" customHeight="1">
      <c r="B6256" s="13"/>
      <c r="C6256" s="13"/>
      <c r="D6256" s="13"/>
      <c r="E6256" s="14"/>
      <c r="F6256" s="14"/>
      <c r="G6256" s="13"/>
      <c r="H6256" s="14"/>
      <c r="I6256" s="13"/>
      <c r="J6256" s="13"/>
      <c r="K6256" s="13"/>
      <c r="L6256" s="13"/>
      <c r="M6256" s="13"/>
      <c r="N6256" s="13"/>
      <c r="O6256" s="13" t="str">
        <f t="shared" si="1"/>
        <v/>
      </c>
    </row>
    <row r="6257" ht="22.5" customHeight="1">
      <c r="B6257" s="13"/>
      <c r="C6257" s="13"/>
      <c r="D6257" s="13"/>
      <c r="E6257" s="14"/>
      <c r="F6257" s="14"/>
      <c r="G6257" s="13"/>
      <c r="H6257" s="14"/>
      <c r="I6257" s="13"/>
      <c r="J6257" s="13"/>
      <c r="K6257" s="13"/>
      <c r="L6257" s="13"/>
      <c r="M6257" s="13"/>
      <c r="N6257" s="13"/>
      <c r="O6257" s="13" t="str">
        <f t="shared" si="1"/>
        <v/>
      </c>
    </row>
    <row r="6258" ht="22.5" customHeight="1">
      <c r="B6258" s="13"/>
      <c r="C6258" s="13"/>
      <c r="D6258" s="13"/>
      <c r="E6258" s="14"/>
      <c r="F6258" s="14"/>
      <c r="G6258" s="13"/>
      <c r="H6258" s="14"/>
      <c r="I6258" s="13"/>
      <c r="J6258" s="13"/>
      <c r="K6258" s="13"/>
      <c r="L6258" s="13"/>
      <c r="M6258" s="13"/>
      <c r="N6258" s="13"/>
      <c r="O6258" s="13" t="str">
        <f t="shared" si="1"/>
        <v/>
      </c>
    </row>
    <row r="6259" ht="22.5" customHeight="1">
      <c r="B6259" s="13"/>
      <c r="C6259" s="13"/>
      <c r="D6259" s="13"/>
      <c r="E6259" s="14"/>
      <c r="F6259" s="14"/>
      <c r="G6259" s="13"/>
      <c r="H6259" s="14"/>
      <c r="I6259" s="13"/>
      <c r="J6259" s="13"/>
      <c r="K6259" s="13"/>
      <c r="L6259" s="13"/>
      <c r="M6259" s="13"/>
      <c r="N6259" s="13"/>
      <c r="O6259" s="13" t="str">
        <f t="shared" si="1"/>
        <v/>
      </c>
    </row>
    <row r="6260" ht="22.5" customHeight="1">
      <c r="B6260" s="13"/>
      <c r="C6260" s="13"/>
      <c r="D6260" s="13"/>
      <c r="E6260" s="14"/>
      <c r="F6260" s="14"/>
      <c r="G6260" s="13"/>
      <c r="H6260" s="14"/>
      <c r="I6260" s="13"/>
      <c r="J6260" s="13"/>
      <c r="K6260" s="13"/>
      <c r="L6260" s="13"/>
      <c r="M6260" s="13"/>
      <c r="N6260" s="13"/>
      <c r="O6260" s="13" t="str">
        <f t="shared" si="1"/>
        <v/>
      </c>
    </row>
    <row r="6261" ht="22.5" customHeight="1">
      <c r="B6261" s="13"/>
      <c r="C6261" s="13"/>
      <c r="D6261" s="13"/>
      <c r="E6261" s="14"/>
      <c r="F6261" s="14"/>
      <c r="G6261" s="13"/>
      <c r="H6261" s="14"/>
      <c r="I6261" s="13"/>
      <c r="J6261" s="13"/>
      <c r="K6261" s="13"/>
      <c r="L6261" s="13"/>
      <c r="M6261" s="13"/>
      <c r="N6261" s="13"/>
      <c r="O6261" s="13" t="str">
        <f t="shared" si="1"/>
        <v/>
      </c>
    </row>
    <row r="6262" ht="22.5" customHeight="1">
      <c r="B6262" s="13"/>
      <c r="C6262" s="13"/>
      <c r="D6262" s="13"/>
      <c r="E6262" s="14"/>
      <c r="F6262" s="14"/>
      <c r="G6262" s="13"/>
      <c r="H6262" s="14"/>
      <c r="I6262" s="13"/>
      <c r="J6262" s="13"/>
      <c r="K6262" s="13"/>
      <c r="L6262" s="13"/>
      <c r="M6262" s="13"/>
      <c r="N6262" s="13"/>
      <c r="O6262" s="13" t="str">
        <f t="shared" si="1"/>
        <v/>
      </c>
    </row>
    <row r="6263" ht="22.5" customHeight="1">
      <c r="B6263" s="13"/>
      <c r="C6263" s="13"/>
      <c r="D6263" s="13"/>
      <c r="E6263" s="14"/>
      <c r="F6263" s="14"/>
      <c r="G6263" s="13"/>
      <c r="H6263" s="14"/>
      <c r="I6263" s="13"/>
      <c r="J6263" s="13"/>
      <c r="K6263" s="13"/>
      <c r="L6263" s="13"/>
      <c r="M6263" s="13"/>
      <c r="N6263" s="13"/>
      <c r="O6263" s="13" t="str">
        <f t="shared" si="1"/>
        <v/>
      </c>
    </row>
    <row r="6264" ht="22.5" customHeight="1">
      <c r="B6264" s="13"/>
      <c r="C6264" s="13"/>
      <c r="D6264" s="13"/>
      <c r="E6264" s="14"/>
      <c r="F6264" s="14"/>
      <c r="G6264" s="13"/>
      <c r="H6264" s="14"/>
      <c r="I6264" s="13"/>
      <c r="J6264" s="13"/>
      <c r="K6264" s="13"/>
      <c r="L6264" s="13"/>
      <c r="M6264" s="13"/>
      <c r="N6264" s="13"/>
      <c r="O6264" s="13" t="str">
        <f t="shared" si="1"/>
        <v/>
      </c>
    </row>
    <row r="6265" ht="22.5" customHeight="1">
      <c r="B6265" s="13"/>
      <c r="C6265" s="13"/>
      <c r="D6265" s="13"/>
      <c r="E6265" s="14"/>
      <c r="F6265" s="14"/>
      <c r="G6265" s="13"/>
      <c r="H6265" s="14"/>
      <c r="I6265" s="13"/>
      <c r="J6265" s="13"/>
      <c r="K6265" s="13"/>
      <c r="L6265" s="13"/>
      <c r="M6265" s="13"/>
      <c r="N6265" s="13"/>
      <c r="O6265" s="13" t="str">
        <f t="shared" si="1"/>
        <v/>
      </c>
    </row>
    <row r="6266" ht="22.5" customHeight="1">
      <c r="B6266" s="13"/>
      <c r="C6266" s="13"/>
      <c r="D6266" s="13"/>
      <c r="E6266" s="14"/>
      <c r="F6266" s="14"/>
      <c r="G6266" s="13"/>
      <c r="H6266" s="14"/>
      <c r="I6266" s="13"/>
      <c r="J6266" s="13"/>
      <c r="K6266" s="13"/>
      <c r="L6266" s="13"/>
      <c r="M6266" s="13"/>
      <c r="N6266" s="13"/>
      <c r="O6266" s="13" t="str">
        <f t="shared" si="1"/>
        <v/>
      </c>
    </row>
    <row r="6267" ht="22.5" customHeight="1">
      <c r="B6267" s="13"/>
      <c r="C6267" s="13"/>
      <c r="D6267" s="13"/>
      <c r="E6267" s="14"/>
      <c r="F6267" s="14"/>
      <c r="G6267" s="13"/>
      <c r="H6267" s="14"/>
      <c r="I6267" s="13"/>
      <c r="J6267" s="13"/>
      <c r="K6267" s="13"/>
      <c r="L6267" s="13"/>
      <c r="M6267" s="13"/>
      <c r="N6267" s="13"/>
      <c r="O6267" s="13" t="str">
        <f t="shared" si="1"/>
        <v/>
      </c>
    </row>
    <row r="6268" ht="22.5" customHeight="1">
      <c r="B6268" s="13"/>
      <c r="C6268" s="13"/>
      <c r="D6268" s="13"/>
      <c r="E6268" s="14"/>
      <c r="F6268" s="14"/>
      <c r="G6268" s="13"/>
      <c r="H6268" s="14"/>
      <c r="I6268" s="13"/>
      <c r="J6268" s="13"/>
      <c r="K6268" s="13"/>
      <c r="L6268" s="13"/>
      <c r="M6268" s="13"/>
      <c r="N6268" s="13"/>
      <c r="O6268" s="13" t="str">
        <f t="shared" si="1"/>
        <v/>
      </c>
    </row>
    <row r="6269" ht="22.5" customHeight="1">
      <c r="B6269" s="13"/>
      <c r="C6269" s="13"/>
      <c r="D6269" s="13"/>
      <c r="E6269" s="14"/>
      <c r="F6269" s="14"/>
      <c r="G6269" s="13"/>
      <c r="H6269" s="14"/>
      <c r="I6269" s="13"/>
      <c r="J6269" s="13"/>
      <c r="K6269" s="13"/>
      <c r="L6269" s="13"/>
      <c r="M6269" s="13"/>
      <c r="N6269" s="13"/>
      <c r="O6269" s="13" t="str">
        <f t="shared" si="1"/>
        <v/>
      </c>
    </row>
    <row r="6270" ht="22.5" customHeight="1">
      <c r="B6270" s="13"/>
      <c r="C6270" s="13"/>
      <c r="D6270" s="13"/>
      <c r="E6270" s="14"/>
      <c r="F6270" s="14"/>
      <c r="G6270" s="13"/>
      <c r="H6270" s="14"/>
      <c r="I6270" s="13"/>
      <c r="J6270" s="13"/>
      <c r="K6270" s="13"/>
      <c r="L6270" s="13"/>
      <c r="M6270" s="13"/>
      <c r="N6270" s="13"/>
      <c r="O6270" s="13" t="str">
        <f t="shared" si="1"/>
        <v/>
      </c>
    </row>
    <row r="6271" ht="22.5" customHeight="1">
      <c r="B6271" s="13"/>
      <c r="C6271" s="13"/>
      <c r="D6271" s="13"/>
      <c r="E6271" s="14"/>
      <c r="F6271" s="14"/>
      <c r="G6271" s="13"/>
      <c r="H6271" s="14"/>
      <c r="I6271" s="13"/>
      <c r="J6271" s="13"/>
      <c r="K6271" s="13"/>
      <c r="L6271" s="13"/>
      <c r="M6271" s="13"/>
      <c r="N6271" s="13"/>
      <c r="O6271" s="13" t="str">
        <f t="shared" si="1"/>
        <v/>
      </c>
    </row>
    <row r="6272" ht="22.5" customHeight="1">
      <c r="B6272" s="13"/>
      <c r="C6272" s="13"/>
      <c r="D6272" s="13"/>
      <c r="E6272" s="14"/>
      <c r="F6272" s="14"/>
      <c r="G6272" s="13"/>
      <c r="H6272" s="14"/>
      <c r="I6272" s="13"/>
      <c r="J6272" s="13"/>
      <c r="K6272" s="13"/>
      <c r="L6272" s="13"/>
      <c r="M6272" s="13"/>
      <c r="N6272" s="13"/>
      <c r="O6272" s="13" t="str">
        <f t="shared" si="1"/>
        <v/>
      </c>
    </row>
    <row r="6273" ht="22.5" customHeight="1">
      <c r="B6273" s="13"/>
      <c r="C6273" s="13"/>
      <c r="D6273" s="13"/>
      <c r="E6273" s="14"/>
      <c r="F6273" s="14"/>
      <c r="G6273" s="13"/>
      <c r="H6273" s="14"/>
      <c r="I6273" s="13"/>
      <c r="J6273" s="13"/>
      <c r="K6273" s="13"/>
      <c r="L6273" s="13"/>
      <c r="M6273" s="13"/>
      <c r="N6273" s="13"/>
      <c r="O6273" s="13" t="str">
        <f t="shared" si="1"/>
        <v/>
      </c>
    </row>
    <row r="6274" ht="22.5" customHeight="1">
      <c r="B6274" s="13"/>
      <c r="C6274" s="13"/>
      <c r="D6274" s="13"/>
      <c r="E6274" s="14"/>
      <c r="F6274" s="14"/>
      <c r="G6274" s="13"/>
      <c r="H6274" s="14"/>
      <c r="I6274" s="13"/>
      <c r="J6274" s="13"/>
      <c r="K6274" s="13"/>
      <c r="L6274" s="13"/>
      <c r="M6274" s="13"/>
      <c r="N6274" s="13"/>
      <c r="O6274" s="13" t="str">
        <f t="shared" si="1"/>
        <v/>
      </c>
    </row>
    <row r="6275" ht="22.5" customHeight="1">
      <c r="B6275" s="13"/>
      <c r="C6275" s="13"/>
      <c r="D6275" s="13"/>
      <c r="E6275" s="14"/>
      <c r="F6275" s="14"/>
      <c r="G6275" s="13"/>
      <c r="H6275" s="14"/>
      <c r="I6275" s="13"/>
      <c r="J6275" s="13"/>
      <c r="K6275" s="13"/>
      <c r="L6275" s="13"/>
      <c r="M6275" s="13"/>
      <c r="N6275" s="13"/>
      <c r="O6275" s="13" t="str">
        <f t="shared" si="1"/>
        <v/>
      </c>
    </row>
    <row r="6276" ht="22.5" customHeight="1">
      <c r="B6276" s="13"/>
      <c r="C6276" s="13"/>
      <c r="D6276" s="13"/>
      <c r="E6276" s="14"/>
      <c r="F6276" s="14"/>
      <c r="G6276" s="13"/>
      <c r="H6276" s="14"/>
      <c r="I6276" s="13"/>
      <c r="J6276" s="13"/>
      <c r="K6276" s="13"/>
      <c r="L6276" s="13"/>
      <c r="M6276" s="13"/>
      <c r="N6276" s="13"/>
      <c r="O6276" s="13" t="str">
        <f t="shared" si="1"/>
        <v/>
      </c>
    </row>
    <row r="6277" ht="22.5" customHeight="1">
      <c r="B6277" s="13"/>
      <c r="C6277" s="13"/>
      <c r="D6277" s="13"/>
      <c r="E6277" s="14"/>
      <c r="F6277" s="14"/>
      <c r="G6277" s="13"/>
      <c r="H6277" s="14"/>
      <c r="I6277" s="13"/>
      <c r="J6277" s="13"/>
      <c r="K6277" s="13"/>
      <c r="L6277" s="13"/>
      <c r="M6277" s="13"/>
      <c r="N6277" s="13"/>
      <c r="O6277" s="13" t="str">
        <f t="shared" si="1"/>
        <v/>
      </c>
    </row>
    <row r="6278" ht="22.5" customHeight="1">
      <c r="B6278" s="13"/>
      <c r="C6278" s="13"/>
      <c r="D6278" s="13"/>
      <c r="E6278" s="14"/>
      <c r="F6278" s="14"/>
      <c r="G6278" s="13"/>
      <c r="H6278" s="14"/>
      <c r="I6278" s="13"/>
      <c r="J6278" s="13"/>
      <c r="K6278" s="13"/>
      <c r="L6278" s="13"/>
      <c r="M6278" s="13"/>
      <c r="N6278" s="13"/>
      <c r="O6278" s="13" t="str">
        <f t="shared" si="1"/>
        <v/>
      </c>
    </row>
    <row r="6279" ht="22.5" customHeight="1">
      <c r="B6279" s="13"/>
      <c r="C6279" s="13"/>
      <c r="D6279" s="13"/>
      <c r="E6279" s="14"/>
      <c r="F6279" s="14"/>
      <c r="G6279" s="13"/>
      <c r="H6279" s="14"/>
      <c r="I6279" s="13"/>
      <c r="J6279" s="13"/>
      <c r="K6279" s="13"/>
      <c r="L6279" s="13"/>
      <c r="M6279" s="13"/>
      <c r="N6279" s="13"/>
      <c r="O6279" s="13" t="str">
        <f t="shared" si="1"/>
        <v/>
      </c>
    </row>
    <row r="6280" ht="22.5" customHeight="1">
      <c r="B6280" s="13"/>
      <c r="C6280" s="13"/>
      <c r="D6280" s="13"/>
      <c r="E6280" s="14"/>
      <c r="F6280" s="14"/>
      <c r="G6280" s="13"/>
      <c r="H6280" s="14"/>
      <c r="I6280" s="13"/>
      <c r="J6280" s="13"/>
      <c r="K6280" s="13"/>
      <c r="L6280" s="13"/>
      <c r="M6280" s="13"/>
      <c r="N6280" s="13"/>
      <c r="O6280" s="13" t="str">
        <f t="shared" si="1"/>
        <v/>
      </c>
    </row>
    <row r="6281" ht="22.5" customHeight="1">
      <c r="B6281" s="13"/>
      <c r="C6281" s="13"/>
      <c r="D6281" s="13"/>
      <c r="E6281" s="14"/>
      <c r="F6281" s="14"/>
      <c r="G6281" s="13"/>
      <c r="H6281" s="14"/>
      <c r="I6281" s="13"/>
      <c r="J6281" s="13"/>
      <c r="K6281" s="13"/>
      <c r="L6281" s="13"/>
      <c r="M6281" s="13"/>
      <c r="N6281" s="13"/>
      <c r="O6281" s="13" t="str">
        <f t="shared" si="1"/>
        <v/>
      </c>
    </row>
    <row r="6282" ht="22.5" customHeight="1">
      <c r="B6282" s="13"/>
      <c r="C6282" s="13"/>
      <c r="D6282" s="13"/>
      <c r="E6282" s="14"/>
      <c r="F6282" s="14"/>
      <c r="G6282" s="13"/>
      <c r="H6282" s="14"/>
      <c r="I6282" s="13"/>
      <c r="J6282" s="13"/>
      <c r="K6282" s="13"/>
      <c r="L6282" s="13"/>
      <c r="M6282" s="13"/>
      <c r="N6282" s="13"/>
      <c r="O6282" s="13" t="str">
        <f t="shared" si="1"/>
        <v/>
      </c>
    </row>
    <row r="6283" ht="22.5" customHeight="1">
      <c r="B6283" s="13"/>
      <c r="C6283" s="13"/>
      <c r="D6283" s="13"/>
      <c r="E6283" s="14"/>
      <c r="F6283" s="14"/>
      <c r="G6283" s="13"/>
      <c r="H6283" s="14"/>
      <c r="I6283" s="13"/>
      <c r="J6283" s="13"/>
      <c r="K6283" s="13"/>
      <c r="L6283" s="13"/>
      <c r="M6283" s="13"/>
      <c r="N6283" s="13"/>
      <c r="O6283" s="13" t="str">
        <f t="shared" si="1"/>
        <v/>
      </c>
    </row>
    <row r="6284" ht="22.5" customHeight="1">
      <c r="B6284" s="13"/>
      <c r="C6284" s="13"/>
      <c r="D6284" s="13"/>
      <c r="E6284" s="14"/>
      <c r="F6284" s="14"/>
      <c r="G6284" s="13"/>
      <c r="H6284" s="14"/>
      <c r="I6284" s="13"/>
      <c r="J6284" s="13"/>
      <c r="K6284" s="13"/>
      <c r="L6284" s="13"/>
      <c r="M6284" s="13"/>
      <c r="N6284" s="13"/>
      <c r="O6284" s="13" t="str">
        <f t="shared" si="1"/>
        <v/>
      </c>
    </row>
    <row r="6285" ht="22.5" customHeight="1">
      <c r="B6285" s="13"/>
      <c r="C6285" s="13"/>
      <c r="D6285" s="13"/>
      <c r="E6285" s="14"/>
      <c r="F6285" s="14"/>
      <c r="G6285" s="13"/>
      <c r="H6285" s="14"/>
      <c r="I6285" s="13"/>
      <c r="J6285" s="13"/>
      <c r="K6285" s="13"/>
      <c r="L6285" s="13"/>
      <c r="M6285" s="13"/>
      <c r="N6285" s="13"/>
      <c r="O6285" s="13" t="str">
        <f t="shared" si="1"/>
        <v/>
      </c>
    </row>
    <row r="6286" ht="22.5" customHeight="1">
      <c r="B6286" s="13"/>
      <c r="C6286" s="13"/>
      <c r="D6286" s="13"/>
      <c r="E6286" s="14"/>
      <c r="F6286" s="14"/>
      <c r="G6286" s="13"/>
      <c r="H6286" s="14"/>
      <c r="I6286" s="13"/>
      <c r="J6286" s="13"/>
      <c r="K6286" s="13"/>
      <c r="L6286" s="13"/>
      <c r="M6286" s="13"/>
      <c r="N6286" s="13"/>
      <c r="O6286" s="13" t="str">
        <f t="shared" si="1"/>
        <v/>
      </c>
    </row>
    <row r="6287" ht="22.5" customHeight="1">
      <c r="B6287" s="13"/>
      <c r="C6287" s="13"/>
      <c r="D6287" s="13"/>
      <c r="E6287" s="14"/>
      <c r="F6287" s="14"/>
      <c r="G6287" s="13"/>
      <c r="H6287" s="14"/>
      <c r="I6287" s="13"/>
      <c r="J6287" s="13"/>
      <c r="K6287" s="13"/>
      <c r="L6287" s="13"/>
      <c r="M6287" s="13"/>
      <c r="N6287" s="13"/>
      <c r="O6287" s="13" t="str">
        <f t="shared" si="1"/>
        <v/>
      </c>
    </row>
    <row r="6288" ht="22.5" customHeight="1">
      <c r="B6288" s="13"/>
      <c r="C6288" s="13"/>
      <c r="D6288" s="13"/>
      <c r="E6288" s="14"/>
      <c r="F6288" s="14"/>
      <c r="G6288" s="13"/>
      <c r="H6288" s="14"/>
      <c r="I6288" s="13"/>
      <c r="J6288" s="13"/>
      <c r="K6288" s="13"/>
      <c r="L6288" s="13"/>
      <c r="M6288" s="13"/>
      <c r="N6288" s="13"/>
      <c r="O6288" s="13" t="str">
        <f t="shared" si="1"/>
        <v/>
      </c>
    </row>
    <row r="6289" ht="22.5" customHeight="1">
      <c r="B6289" s="13"/>
      <c r="C6289" s="13"/>
      <c r="D6289" s="13"/>
      <c r="E6289" s="14"/>
      <c r="F6289" s="14"/>
      <c r="G6289" s="13"/>
      <c r="H6289" s="14"/>
      <c r="I6289" s="13"/>
      <c r="J6289" s="13"/>
      <c r="K6289" s="13"/>
      <c r="L6289" s="13"/>
      <c r="M6289" s="13"/>
      <c r="N6289" s="13"/>
      <c r="O6289" s="13" t="str">
        <f t="shared" si="1"/>
        <v/>
      </c>
    </row>
    <row r="6290" ht="22.5" customHeight="1">
      <c r="B6290" s="13"/>
      <c r="C6290" s="13"/>
      <c r="D6290" s="13"/>
      <c r="E6290" s="14"/>
      <c r="F6290" s="14"/>
      <c r="G6290" s="13"/>
      <c r="H6290" s="14"/>
      <c r="I6290" s="13"/>
      <c r="J6290" s="13"/>
      <c r="K6290" s="13"/>
      <c r="L6290" s="13"/>
      <c r="M6290" s="13"/>
      <c r="N6290" s="13"/>
      <c r="O6290" s="13" t="str">
        <f t="shared" si="1"/>
        <v/>
      </c>
    </row>
    <row r="6291" ht="22.5" customHeight="1">
      <c r="B6291" s="13"/>
      <c r="C6291" s="13"/>
      <c r="D6291" s="13"/>
      <c r="E6291" s="14"/>
      <c r="F6291" s="14"/>
      <c r="G6291" s="13"/>
      <c r="H6291" s="14"/>
      <c r="I6291" s="13"/>
      <c r="J6291" s="13"/>
      <c r="K6291" s="13"/>
      <c r="L6291" s="13"/>
      <c r="M6291" s="13"/>
      <c r="N6291" s="13"/>
      <c r="O6291" s="13" t="str">
        <f t="shared" si="1"/>
        <v/>
      </c>
    </row>
    <row r="6292" ht="22.5" customHeight="1">
      <c r="B6292" s="13"/>
      <c r="C6292" s="13"/>
      <c r="D6292" s="13"/>
      <c r="E6292" s="14"/>
      <c r="F6292" s="14"/>
      <c r="G6292" s="13"/>
      <c r="H6292" s="14"/>
      <c r="I6292" s="13"/>
      <c r="J6292" s="13"/>
      <c r="K6292" s="13"/>
      <c r="L6292" s="13"/>
      <c r="M6292" s="13"/>
      <c r="N6292" s="13"/>
      <c r="O6292" s="13" t="str">
        <f t="shared" si="1"/>
        <v/>
      </c>
    </row>
    <row r="6293" ht="22.5" customHeight="1">
      <c r="B6293" s="13"/>
      <c r="C6293" s="13"/>
      <c r="D6293" s="13"/>
      <c r="E6293" s="14"/>
      <c r="F6293" s="14"/>
      <c r="G6293" s="13"/>
      <c r="H6293" s="14"/>
      <c r="I6293" s="13"/>
      <c r="J6293" s="13"/>
      <c r="K6293" s="13"/>
      <c r="L6293" s="13"/>
      <c r="M6293" s="13"/>
      <c r="N6293" s="13"/>
      <c r="O6293" s="13" t="str">
        <f t="shared" si="1"/>
        <v/>
      </c>
    </row>
    <row r="6294" ht="22.5" customHeight="1">
      <c r="B6294" s="13"/>
      <c r="C6294" s="13"/>
      <c r="D6294" s="13"/>
      <c r="E6294" s="14"/>
      <c r="F6294" s="14"/>
      <c r="G6294" s="13"/>
      <c r="H6294" s="14"/>
      <c r="I6294" s="13"/>
      <c r="J6294" s="13"/>
      <c r="K6294" s="13"/>
      <c r="L6294" s="13"/>
      <c r="M6294" s="13"/>
      <c r="N6294" s="13"/>
      <c r="O6294" s="13" t="str">
        <f t="shared" si="1"/>
        <v/>
      </c>
    </row>
    <row r="6295" ht="22.5" customHeight="1">
      <c r="B6295" s="13"/>
      <c r="C6295" s="13"/>
      <c r="D6295" s="13"/>
      <c r="E6295" s="14"/>
      <c r="F6295" s="14"/>
      <c r="G6295" s="13"/>
      <c r="H6295" s="14"/>
      <c r="I6295" s="13"/>
      <c r="J6295" s="13"/>
      <c r="K6295" s="13"/>
      <c r="L6295" s="13"/>
      <c r="M6295" s="13"/>
      <c r="N6295" s="13"/>
      <c r="O6295" s="13" t="str">
        <f t="shared" si="1"/>
        <v/>
      </c>
    </row>
    <row r="6296" ht="22.5" customHeight="1">
      <c r="B6296" s="13"/>
      <c r="C6296" s="13"/>
      <c r="D6296" s="13"/>
      <c r="E6296" s="14"/>
      <c r="F6296" s="14"/>
      <c r="G6296" s="13"/>
      <c r="H6296" s="14"/>
      <c r="I6296" s="13"/>
      <c r="J6296" s="13"/>
      <c r="K6296" s="13"/>
      <c r="L6296" s="13"/>
      <c r="M6296" s="13"/>
      <c r="N6296" s="13"/>
      <c r="O6296" s="13" t="str">
        <f t="shared" si="1"/>
        <v/>
      </c>
    </row>
    <row r="6297" ht="22.5" customHeight="1">
      <c r="B6297" s="13"/>
      <c r="C6297" s="13"/>
      <c r="D6297" s="13"/>
      <c r="E6297" s="14"/>
      <c r="F6297" s="14"/>
      <c r="G6297" s="13"/>
      <c r="H6297" s="14"/>
      <c r="I6297" s="13"/>
      <c r="J6297" s="13"/>
      <c r="K6297" s="13"/>
      <c r="L6297" s="13"/>
      <c r="M6297" s="13"/>
      <c r="N6297" s="13"/>
      <c r="O6297" s="13" t="str">
        <f t="shared" si="1"/>
        <v/>
      </c>
    </row>
    <row r="6298" ht="22.5" customHeight="1">
      <c r="B6298" s="13"/>
      <c r="C6298" s="13"/>
      <c r="D6298" s="13"/>
      <c r="E6298" s="14"/>
      <c r="F6298" s="14"/>
      <c r="G6298" s="13"/>
      <c r="H6298" s="14"/>
      <c r="I6298" s="13"/>
      <c r="J6298" s="13"/>
      <c r="K6298" s="13"/>
      <c r="L6298" s="13"/>
      <c r="M6298" s="13"/>
      <c r="N6298" s="13"/>
      <c r="O6298" s="13" t="str">
        <f t="shared" si="1"/>
        <v/>
      </c>
    </row>
    <row r="6299" ht="22.5" customHeight="1">
      <c r="B6299" s="13"/>
      <c r="C6299" s="13"/>
      <c r="D6299" s="13"/>
      <c r="E6299" s="14"/>
      <c r="F6299" s="14"/>
      <c r="G6299" s="13"/>
      <c r="H6299" s="14"/>
      <c r="I6299" s="13"/>
      <c r="J6299" s="13"/>
      <c r="K6299" s="13"/>
      <c r="L6299" s="13"/>
      <c r="M6299" s="13"/>
      <c r="N6299" s="13"/>
      <c r="O6299" s="13" t="str">
        <f t="shared" si="1"/>
        <v/>
      </c>
    </row>
    <row r="6300" ht="22.5" customHeight="1">
      <c r="B6300" s="13"/>
      <c r="C6300" s="13"/>
      <c r="D6300" s="13"/>
      <c r="E6300" s="14"/>
      <c r="F6300" s="14"/>
      <c r="G6300" s="13"/>
      <c r="H6300" s="14"/>
      <c r="I6300" s="13"/>
      <c r="J6300" s="13"/>
      <c r="K6300" s="13"/>
      <c r="L6300" s="13"/>
      <c r="M6300" s="13"/>
      <c r="N6300" s="13"/>
      <c r="O6300" s="13" t="str">
        <f t="shared" si="1"/>
        <v/>
      </c>
    </row>
    <row r="6301" ht="22.5" customHeight="1">
      <c r="B6301" s="13"/>
      <c r="C6301" s="13"/>
      <c r="D6301" s="13"/>
      <c r="E6301" s="14"/>
      <c r="F6301" s="14"/>
      <c r="G6301" s="13"/>
      <c r="H6301" s="14"/>
      <c r="I6301" s="13"/>
      <c r="J6301" s="13"/>
      <c r="K6301" s="13"/>
      <c r="L6301" s="13"/>
      <c r="M6301" s="13"/>
      <c r="N6301" s="13"/>
      <c r="O6301" s="13" t="str">
        <f t="shared" si="1"/>
        <v/>
      </c>
    </row>
    <row r="6302" ht="22.5" customHeight="1">
      <c r="B6302" s="13"/>
      <c r="C6302" s="13"/>
      <c r="D6302" s="13"/>
      <c r="E6302" s="14"/>
      <c r="F6302" s="14"/>
      <c r="G6302" s="13"/>
      <c r="H6302" s="14"/>
      <c r="I6302" s="13"/>
      <c r="J6302" s="13"/>
      <c r="K6302" s="13"/>
      <c r="L6302" s="13"/>
      <c r="M6302" s="13"/>
      <c r="N6302" s="13"/>
      <c r="O6302" s="13" t="str">
        <f t="shared" si="1"/>
        <v/>
      </c>
    </row>
    <row r="6303" ht="22.5" customHeight="1">
      <c r="B6303" s="13"/>
      <c r="C6303" s="13"/>
      <c r="D6303" s="13"/>
      <c r="E6303" s="14"/>
      <c r="F6303" s="14"/>
      <c r="G6303" s="13"/>
      <c r="H6303" s="14"/>
      <c r="I6303" s="13"/>
      <c r="J6303" s="13"/>
      <c r="K6303" s="13"/>
      <c r="L6303" s="13"/>
      <c r="M6303" s="13"/>
      <c r="N6303" s="13"/>
      <c r="O6303" s="13" t="str">
        <f t="shared" si="1"/>
        <v/>
      </c>
    </row>
    <row r="6304" ht="22.5" customHeight="1">
      <c r="B6304" s="13"/>
      <c r="C6304" s="13"/>
      <c r="D6304" s="13"/>
      <c r="E6304" s="14"/>
      <c r="F6304" s="14"/>
      <c r="G6304" s="13"/>
      <c r="H6304" s="14"/>
      <c r="I6304" s="13"/>
      <c r="J6304" s="13"/>
      <c r="K6304" s="13"/>
      <c r="L6304" s="13"/>
      <c r="M6304" s="13"/>
      <c r="N6304" s="13"/>
      <c r="O6304" s="13" t="str">
        <f t="shared" si="1"/>
        <v/>
      </c>
    </row>
    <row r="6305" ht="22.5" customHeight="1">
      <c r="B6305" s="13"/>
      <c r="C6305" s="13"/>
      <c r="D6305" s="13"/>
      <c r="E6305" s="14"/>
      <c r="F6305" s="14"/>
      <c r="G6305" s="13"/>
      <c r="H6305" s="14"/>
      <c r="I6305" s="13"/>
      <c r="J6305" s="13"/>
      <c r="K6305" s="13"/>
      <c r="L6305" s="13"/>
      <c r="M6305" s="13"/>
      <c r="N6305" s="13"/>
      <c r="O6305" s="13" t="str">
        <f t="shared" si="1"/>
        <v/>
      </c>
    </row>
    <row r="6306" ht="22.5" customHeight="1">
      <c r="B6306" s="13"/>
      <c r="C6306" s="13"/>
      <c r="D6306" s="13"/>
      <c r="E6306" s="14"/>
      <c r="F6306" s="14"/>
      <c r="G6306" s="13"/>
      <c r="H6306" s="14"/>
      <c r="I6306" s="13"/>
      <c r="J6306" s="13"/>
      <c r="K6306" s="13"/>
      <c r="L6306" s="13"/>
      <c r="M6306" s="13"/>
      <c r="N6306" s="13"/>
      <c r="O6306" s="13" t="str">
        <f t="shared" si="1"/>
        <v/>
      </c>
    </row>
    <row r="6307" ht="22.5" customHeight="1">
      <c r="B6307" s="13"/>
      <c r="C6307" s="13"/>
      <c r="D6307" s="13"/>
      <c r="E6307" s="14"/>
      <c r="F6307" s="14"/>
      <c r="G6307" s="13"/>
      <c r="H6307" s="14"/>
      <c r="I6307" s="13"/>
      <c r="J6307" s="13"/>
      <c r="K6307" s="13"/>
      <c r="L6307" s="13"/>
      <c r="M6307" s="13"/>
      <c r="N6307" s="13"/>
      <c r="O6307" s="13" t="str">
        <f t="shared" si="1"/>
        <v/>
      </c>
    </row>
    <row r="6308" ht="22.5" customHeight="1">
      <c r="B6308" s="13"/>
      <c r="C6308" s="13"/>
      <c r="D6308" s="13"/>
      <c r="E6308" s="14"/>
      <c r="F6308" s="14"/>
      <c r="G6308" s="13"/>
      <c r="H6308" s="14"/>
      <c r="I6308" s="13"/>
      <c r="J6308" s="13"/>
      <c r="K6308" s="13"/>
      <c r="L6308" s="13"/>
      <c r="M6308" s="13"/>
      <c r="N6308" s="13"/>
      <c r="O6308" s="13" t="str">
        <f t="shared" si="1"/>
        <v/>
      </c>
    </row>
    <row r="6309" ht="22.5" customHeight="1">
      <c r="B6309" s="13"/>
      <c r="C6309" s="13"/>
      <c r="D6309" s="13"/>
      <c r="E6309" s="14"/>
      <c r="F6309" s="14"/>
      <c r="G6309" s="13"/>
      <c r="H6309" s="14"/>
      <c r="I6309" s="13"/>
      <c r="J6309" s="13"/>
      <c r="K6309" s="13"/>
      <c r="L6309" s="13"/>
      <c r="M6309" s="13"/>
      <c r="N6309" s="13"/>
      <c r="O6309" s="13" t="str">
        <f t="shared" si="1"/>
        <v/>
      </c>
    </row>
    <row r="6310" ht="22.5" customHeight="1">
      <c r="B6310" s="13"/>
      <c r="C6310" s="13"/>
      <c r="D6310" s="13"/>
      <c r="E6310" s="14"/>
      <c r="F6310" s="14"/>
      <c r="G6310" s="13"/>
      <c r="H6310" s="14"/>
      <c r="I6310" s="13"/>
      <c r="J6310" s="13"/>
      <c r="K6310" s="13"/>
      <c r="L6310" s="13"/>
      <c r="M6310" s="13"/>
      <c r="N6310" s="13"/>
      <c r="O6310" s="13" t="str">
        <f t="shared" si="1"/>
        <v/>
      </c>
    </row>
    <row r="6311" ht="22.5" customHeight="1">
      <c r="B6311" s="13"/>
      <c r="C6311" s="13"/>
      <c r="D6311" s="13"/>
      <c r="E6311" s="14"/>
      <c r="F6311" s="14"/>
      <c r="G6311" s="13"/>
      <c r="H6311" s="14"/>
      <c r="I6311" s="13"/>
      <c r="J6311" s="13"/>
      <c r="K6311" s="13"/>
      <c r="L6311" s="13"/>
      <c r="M6311" s="13"/>
      <c r="N6311" s="13"/>
      <c r="O6311" s="13" t="str">
        <f t="shared" si="1"/>
        <v/>
      </c>
    </row>
    <row r="6312" ht="22.5" customHeight="1">
      <c r="B6312" s="13"/>
      <c r="C6312" s="13"/>
      <c r="D6312" s="13"/>
      <c r="E6312" s="14"/>
      <c r="F6312" s="14"/>
      <c r="G6312" s="13"/>
      <c r="H6312" s="14"/>
      <c r="I6312" s="13"/>
      <c r="J6312" s="13"/>
      <c r="K6312" s="13"/>
      <c r="L6312" s="13"/>
      <c r="M6312" s="13"/>
      <c r="N6312" s="13"/>
      <c r="O6312" s="13" t="str">
        <f t="shared" si="1"/>
        <v/>
      </c>
    </row>
    <row r="6313" ht="22.5" customHeight="1">
      <c r="B6313" s="13"/>
      <c r="C6313" s="13"/>
      <c r="D6313" s="13"/>
      <c r="E6313" s="14"/>
      <c r="F6313" s="14"/>
      <c r="G6313" s="13"/>
      <c r="H6313" s="14"/>
      <c r="I6313" s="13"/>
      <c r="J6313" s="13"/>
      <c r="K6313" s="13"/>
      <c r="L6313" s="13"/>
      <c r="M6313" s="13"/>
      <c r="N6313" s="13"/>
      <c r="O6313" s="13" t="str">
        <f t="shared" si="1"/>
        <v/>
      </c>
    </row>
    <row r="6314" ht="22.5" customHeight="1">
      <c r="B6314" s="13"/>
      <c r="C6314" s="13"/>
      <c r="D6314" s="13"/>
      <c r="E6314" s="14"/>
      <c r="F6314" s="14"/>
      <c r="G6314" s="13"/>
      <c r="H6314" s="14"/>
      <c r="I6314" s="13"/>
      <c r="J6314" s="13"/>
      <c r="K6314" s="13"/>
      <c r="L6314" s="13"/>
      <c r="M6314" s="13"/>
      <c r="N6314" s="13"/>
      <c r="O6314" s="13" t="str">
        <f t="shared" si="1"/>
        <v/>
      </c>
    </row>
    <row r="6315" ht="22.5" customHeight="1">
      <c r="B6315" s="13"/>
      <c r="C6315" s="13"/>
      <c r="D6315" s="13"/>
      <c r="E6315" s="14"/>
      <c r="F6315" s="14"/>
      <c r="G6315" s="13"/>
      <c r="H6315" s="14"/>
      <c r="I6315" s="13"/>
      <c r="J6315" s="13"/>
      <c r="K6315" s="13"/>
      <c r="L6315" s="13"/>
      <c r="M6315" s="13"/>
      <c r="N6315" s="13"/>
      <c r="O6315" s="13" t="str">
        <f t="shared" si="1"/>
        <v/>
      </c>
    </row>
    <row r="6316" ht="22.5" customHeight="1">
      <c r="B6316" s="13"/>
      <c r="C6316" s="13"/>
      <c r="D6316" s="13"/>
      <c r="E6316" s="14"/>
      <c r="F6316" s="14"/>
      <c r="G6316" s="13"/>
      <c r="H6316" s="14"/>
      <c r="I6316" s="13"/>
      <c r="J6316" s="13"/>
      <c r="K6316" s="13"/>
      <c r="L6316" s="13"/>
      <c r="M6316" s="13"/>
      <c r="N6316" s="13"/>
      <c r="O6316" s="13" t="str">
        <f t="shared" si="1"/>
        <v/>
      </c>
    </row>
    <row r="6317" ht="22.5" customHeight="1">
      <c r="B6317" s="13"/>
      <c r="C6317" s="13"/>
      <c r="D6317" s="13"/>
      <c r="E6317" s="14"/>
      <c r="F6317" s="14"/>
      <c r="G6317" s="13"/>
      <c r="H6317" s="14"/>
      <c r="I6317" s="13"/>
      <c r="J6317" s="13"/>
      <c r="K6317" s="13"/>
      <c r="L6317" s="13"/>
      <c r="M6317" s="13"/>
      <c r="N6317" s="13"/>
      <c r="O6317" s="13" t="str">
        <f t="shared" si="1"/>
        <v/>
      </c>
    </row>
    <row r="6318" ht="22.5" customHeight="1">
      <c r="B6318" s="13"/>
      <c r="C6318" s="13"/>
      <c r="D6318" s="13"/>
      <c r="E6318" s="14"/>
      <c r="F6318" s="14"/>
      <c r="G6318" s="13"/>
      <c r="H6318" s="14"/>
      <c r="I6318" s="13"/>
      <c r="J6318" s="13"/>
      <c r="K6318" s="13"/>
      <c r="L6318" s="13"/>
      <c r="M6318" s="13"/>
      <c r="N6318" s="13"/>
      <c r="O6318" s="13" t="str">
        <f t="shared" si="1"/>
        <v/>
      </c>
    </row>
    <row r="6319" ht="22.5" customHeight="1">
      <c r="B6319" s="13"/>
      <c r="C6319" s="13"/>
      <c r="D6319" s="13"/>
      <c r="E6319" s="14"/>
      <c r="F6319" s="14"/>
      <c r="G6319" s="13"/>
      <c r="H6319" s="14"/>
      <c r="I6319" s="13"/>
      <c r="J6319" s="13"/>
      <c r="K6319" s="13"/>
      <c r="L6319" s="13"/>
      <c r="M6319" s="13"/>
      <c r="N6319" s="13"/>
      <c r="O6319" s="13" t="str">
        <f t="shared" si="1"/>
        <v/>
      </c>
    </row>
    <row r="6320" ht="22.5" customHeight="1">
      <c r="B6320" s="13"/>
      <c r="C6320" s="13"/>
      <c r="D6320" s="13"/>
      <c r="E6320" s="14"/>
      <c r="F6320" s="14"/>
      <c r="G6320" s="13"/>
      <c r="H6320" s="14"/>
      <c r="I6320" s="13"/>
      <c r="J6320" s="13"/>
      <c r="K6320" s="13"/>
      <c r="L6320" s="13"/>
      <c r="M6320" s="13"/>
      <c r="N6320" s="13"/>
      <c r="O6320" s="13" t="str">
        <f t="shared" si="1"/>
        <v/>
      </c>
    </row>
    <row r="6321" ht="22.5" customHeight="1">
      <c r="B6321" s="13"/>
      <c r="C6321" s="13"/>
      <c r="D6321" s="13"/>
      <c r="E6321" s="14"/>
      <c r="F6321" s="14"/>
      <c r="G6321" s="13"/>
      <c r="H6321" s="14"/>
      <c r="I6321" s="13"/>
      <c r="J6321" s="13"/>
      <c r="K6321" s="13"/>
      <c r="L6321" s="13"/>
      <c r="M6321" s="13"/>
      <c r="N6321" s="13"/>
      <c r="O6321" s="13" t="str">
        <f t="shared" si="1"/>
        <v/>
      </c>
    </row>
    <row r="6322" ht="22.5" customHeight="1">
      <c r="B6322" s="13"/>
      <c r="C6322" s="13"/>
      <c r="D6322" s="13"/>
      <c r="E6322" s="14"/>
      <c r="F6322" s="14"/>
      <c r="G6322" s="13"/>
      <c r="H6322" s="14"/>
      <c r="I6322" s="13"/>
      <c r="J6322" s="13"/>
      <c r="K6322" s="13"/>
      <c r="L6322" s="13"/>
      <c r="M6322" s="13"/>
      <c r="N6322" s="13"/>
      <c r="O6322" s="13" t="str">
        <f t="shared" si="1"/>
        <v/>
      </c>
    </row>
    <row r="6323" ht="22.5" customHeight="1">
      <c r="B6323" s="13"/>
      <c r="C6323" s="13"/>
      <c r="D6323" s="13"/>
      <c r="E6323" s="14"/>
      <c r="F6323" s="14"/>
      <c r="G6323" s="13"/>
      <c r="H6323" s="14"/>
      <c r="I6323" s="13"/>
      <c r="J6323" s="13"/>
      <c r="K6323" s="13"/>
      <c r="L6323" s="13"/>
      <c r="M6323" s="13"/>
      <c r="N6323" s="13"/>
      <c r="O6323" s="13" t="str">
        <f t="shared" si="1"/>
        <v/>
      </c>
    </row>
    <row r="6324" ht="22.5" customHeight="1">
      <c r="B6324" s="13"/>
      <c r="C6324" s="13"/>
      <c r="D6324" s="13"/>
      <c r="E6324" s="14"/>
      <c r="F6324" s="14"/>
      <c r="G6324" s="13"/>
      <c r="H6324" s="14"/>
      <c r="I6324" s="13"/>
      <c r="J6324" s="13"/>
      <c r="K6324" s="13"/>
      <c r="L6324" s="13"/>
      <c r="M6324" s="13"/>
      <c r="N6324" s="13"/>
      <c r="O6324" s="13" t="str">
        <f t="shared" si="1"/>
        <v/>
      </c>
    </row>
    <row r="6325" ht="22.5" customHeight="1">
      <c r="B6325" s="13"/>
      <c r="C6325" s="13"/>
      <c r="D6325" s="13"/>
      <c r="E6325" s="14"/>
      <c r="F6325" s="14"/>
      <c r="G6325" s="13"/>
      <c r="H6325" s="14"/>
      <c r="I6325" s="13"/>
      <c r="J6325" s="13"/>
      <c r="K6325" s="13"/>
      <c r="L6325" s="13"/>
      <c r="M6325" s="13"/>
      <c r="N6325" s="13"/>
      <c r="O6325" s="13" t="str">
        <f t="shared" si="1"/>
        <v/>
      </c>
    </row>
    <row r="6326" ht="22.5" customHeight="1">
      <c r="B6326" s="13"/>
      <c r="C6326" s="13"/>
      <c r="D6326" s="13"/>
      <c r="E6326" s="14"/>
      <c r="F6326" s="14"/>
      <c r="G6326" s="13"/>
      <c r="H6326" s="14"/>
      <c r="I6326" s="13"/>
      <c r="J6326" s="13"/>
      <c r="K6326" s="13"/>
      <c r="L6326" s="13"/>
      <c r="M6326" s="13"/>
      <c r="N6326" s="13"/>
      <c r="O6326" s="13" t="str">
        <f t="shared" si="1"/>
        <v/>
      </c>
    </row>
    <row r="6327" ht="22.5" customHeight="1">
      <c r="B6327" s="13"/>
      <c r="C6327" s="13"/>
      <c r="D6327" s="13"/>
      <c r="E6327" s="14"/>
      <c r="F6327" s="14"/>
      <c r="G6327" s="13"/>
      <c r="H6327" s="14"/>
      <c r="I6327" s="13"/>
      <c r="J6327" s="13"/>
      <c r="K6327" s="13"/>
      <c r="L6327" s="13"/>
      <c r="M6327" s="13"/>
      <c r="N6327" s="13"/>
      <c r="O6327" s="13" t="str">
        <f t="shared" si="1"/>
        <v/>
      </c>
    </row>
    <row r="6328" ht="22.5" customHeight="1">
      <c r="B6328" s="13"/>
      <c r="C6328" s="13"/>
      <c r="D6328" s="13"/>
      <c r="E6328" s="14"/>
      <c r="F6328" s="14"/>
      <c r="G6328" s="13"/>
      <c r="H6328" s="14"/>
      <c r="I6328" s="13"/>
      <c r="J6328" s="13"/>
      <c r="K6328" s="13"/>
      <c r="L6328" s="13"/>
      <c r="M6328" s="13"/>
      <c r="N6328" s="13"/>
      <c r="O6328" s="13" t="str">
        <f t="shared" si="1"/>
        <v/>
      </c>
    </row>
    <row r="6329" ht="22.5" customHeight="1">
      <c r="B6329" s="13"/>
      <c r="C6329" s="13"/>
      <c r="D6329" s="13"/>
      <c r="E6329" s="14"/>
      <c r="F6329" s="14"/>
      <c r="G6329" s="13"/>
      <c r="H6329" s="14"/>
      <c r="I6329" s="13"/>
      <c r="J6329" s="13"/>
      <c r="K6329" s="13"/>
      <c r="L6329" s="13"/>
      <c r="M6329" s="13"/>
      <c r="N6329" s="13"/>
      <c r="O6329" s="13" t="str">
        <f t="shared" si="1"/>
        <v/>
      </c>
    </row>
    <row r="6330" ht="22.5" customHeight="1">
      <c r="B6330" s="13"/>
      <c r="C6330" s="13"/>
      <c r="D6330" s="13"/>
      <c r="E6330" s="14"/>
      <c r="F6330" s="14"/>
      <c r="G6330" s="13"/>
      <c r="H6330" s="14"/>
      <c r="I6330" s="13"/>
      <c r="J6330" s="13"/>
      <c r="K6330" s="13"/>
      <c r="L6330" s="13"/>
      <c r="M6330" s="13"/>
      <c r="N6330" s="13"/>
      <c r="O6330" s="13" t="str">
        <f t="shared" si="1"/>
        <v/>
      </c>
    </row>
    <row r="6331" ht="22.5" customHeight="1">
      <c r="B6331" s="13"/>
      <c r="C6331" s="13"/>
      <c r="D6331" s="13"/>
      <c r="E6331" s="14"/>
      <c r="F6331" s="14"/>
      <c r="G6331" s="13"/>
      <c r="H6331" s="14"/>
      <c r="I6331" s="13"/>
      <c r="J6331" s="13"/>
      <c r="K6331" s="13"/>
      <c r="L6331" s="13"/>
      <c r="M6331" s="13"/>
      <c r="N6331" s="13"/>
      <c r="O6331" s="13" t="str">
        <f t="shared" si="1"/>
        <v/>
      </c>
    </row>
    <row r="6332" ht="22.5" customHeight="1">
      <c r="B6332" s="13"/>
      <c r="C6332" s="13"/>
      <c r="D6332" s="13"/>
      <c r="E6332" s="14"/>
      <c r="F6332" s="14"/>
      <c r="G6332" s="13"/>
      <c r="H6332" s="14"/>
      <c r="I6332" s="13"/>
      <c r="J6332" s="13"/>
      <c r="K6332" s="13"/>
      <c r="L6332" s="13"/>
      <c r="M6332" s="13"/>
      <c r="N6332" s="13"/>
      <c r="O6332" s="13" t="str">
        <f t="shared" si="1"/>
        <v/>
      </c>
    </row>
    <row r="6333" ht="22.5" customHeight="1">
      <c r="B6333" s="13"/>
      <c r="C6333" s="13"/>
      <c r="D6333" s="13"/>
      <c r="E6333" s="14"/>
      <c r="F6333" s="14"/>
      <c r="G6333" s="13"/>
      <c r="H6333" s="14"/>
      <c r="I6333" s="13"/>
      <c r="J6333" s="13"/>
      <c r="K6333" s="13"/>
      <c r="L6333" s="13"/>
      <c r="M6333" s="13"/>
      <c r="N6333" s="13"/>
      <c r="O6333" s="13" t="str">
        <f t="shared" si="1"/>
        <v/>
      </c>
    </row>
    <row r="6334" ht="22.5" customHeight="1">
      <c r="B6334" s="13"/>
      <c r="C6334" s="13"/>
      <c r="D6334" s="13"/>
      <c r="E6334" s="14"/>
      <c r="F6334" s="14"/>
      <c r="G6334" s="13"/>
      <c r="H6334" s="14"/>
      <c r="I6334" s="13"/>
      <c r="J6334" s="13"/>
      <c r="K6334" s="13"/>
      <c r="L6334" s="13"/>
      <c r="M6334" s="13"/>
      <c r="N6334" s="13"/>
      <c r="O6334" s="13" t="str">
        <f t="shared" si="1"/>
        <v/>
      </c>
    </row>
    <row r="6335" ht="22.5" customHeight="1">
      <c r="B6335" s="13"/>
      <c r="C6335" s="13"/>
      <c r="D6335" s="13"/>
      <c r="E6335" s="14"/>
      <c r="F6335" s="14"/>
      <c r="G6335" s="13"/>
      <c r="H6335" s="14"/>
      <c r="I6335" s="13"/>
      <c r="J6335" s="13"/>
      <c r="K6335" s="13"/>
      <c r="L6335" s="13"/>
      <c r="M6335" s="13"/>
      <c r="N6335" s="13"/>
      <c r="O6335" s="13" t="str">
        <f t="shared" si="1"/>
        <v/>
      </c>
    </row>
    <row r="6336" ht="22.5" customHeight="1">
      <c r="B6336" s="13"/>
      <c r="C6336" s="13"/>
      <c r="D6336" s="13"/>
      <c r="E6336" s="14"/>
      <c r="F6336" s="14"/>
      <c r="G6336" s="13"/>
      <c r="H6336" s="14"/>
      <c r="I6336" s="13"/>
      <c r="J6336" s="13"/>
      <c r="K6336" s="13"/>
      <c r="L6336" s="13"/>
      <c r="M6336" s="13"/>
      <c r="N6336" s="13"/>
      <c r="O6336" s="13" t="str">
        <f t="shared" si="1"/>
        <v/>
      </c>
    </row>
    <row r="6337" ht="22.5" customHeight="1">
      <c r="B6337" s="13"/>
      <c r="C6337" s="13"/>
      <c r="D6337" s="13"/>
      <c r="E6337" s="14"/>
      <c r="F6337" s="14"/>
      <c r="G6337" s="13"/>
      <c r="H6337" s="14"/>
      <c r="I6337" s="13"/>
      <c r="J6337" s="13"/>
      <c r="K6337" s="13"/>
      <c r="L6337" s="13"/>
      <c r="M6337" s="13"/>
      <c r="N6337" s="13"/>
      <c r="O6337" s="13" t="str">
        <f t="shared" si="1"/>
        <v/>
      </c>
    </row>
    <row r="6338" ht="22.5" customHeight="1">
      <c r="B6338" s="13"/>
      <c r="C6338" s="13"/>
      <c r="D6338" s="13"/>
      <c r="E6338" s="14"/>
      <c r="F6338" s="14"/>
      <c r="G6338" s="13"/>
      <c r="H6338" s="14"/>
      <c r="I6338" s="13"/>
      <c r="J6338" s="13"/>
      <c r="K6338" s="13"/>
      <c r="L6338" s="13"/>
      <c r="M6338" s="13"/>
      <c r="N6338" s="13"/>
      <c r="O6338" s="13" t="str">
        <f t="shared" si="1"/>
        <v/>
      </c>
    </row>
    <row r="6339" ht="22.5" customHeight="1">
      <c r="B6339" s="13"/>
      <c r="C6339" s="13"/>
      <c r="D6339" s="13"/>
      <c r="E6339" s="14"/>
      <c r="F6339" s="14"/>
      <c r="G6339" s="13"/>
      <c r="H6339" s="14"/>
      <c r="I6339" s="13"/>
      <c r="J6339" s="13"/>
      <c r="K6339" s="13"/>
      <c r="L6339" s="13"/>
      <c r="M6339" s="13"/>
      <c r="N6339" s="13"/>
      <c r="O6339" s="13" t="str">
        <f t="shared" si="1"/>
        <v/>
      </c>
    </row>
    <row r="6340" ht="22.5" customHeight="1">
      <c r="B6340" s="13"/>
      <c r="C6340" s="13"/>
      <c r="D6340" s="13"/>
      <c r="E6340" s="14"/>
      <c r="F6340" s="14"/>
      <c r="G6340" s="13"/>
      <c r="H6340" s="14"/>
      <c r="I6340" s="13"/>
      <c r="J6340" s="13"/>
      <c r="K6340" s="13"/>
      <c r="L6340" s="13"/>
      <c r="M6340" s="13"/>
      <c r="N6340" s="13"/>
      <c r="O6340" s="13" t="str">
        <f t="shared" si="1"/>
        <v/>
      </c>
    </row>
    <row r="6341" ht="22.5" customHeight="1">
      <c r="B6341" s="13"/>
      <c r="C6341" s="13"/>
      <c r="D6341" s="13"/>
      <c r="E6341" s="14"/>
      <c r="F6341" s="14"/>
      <c r="G6341" s="13"/>
      <c r="H6341" s="14"/>
      <c r="I6341" s="13"/>
      <c r="J6341" s="13"/>
      <c r="K6341" s="13"/>
      <c r="L6341" s="13"/>
      <c r="M6341" s="13"/>
      <c r="N6341" s="13"/>
      <c r="O6341" s="13" t="str">
        <f t="shared" si="1"/>
        <v/>
      </c>
    </row>
    <row r="6342" ht="22.5" customHeight="1">
      <c r="B6342" s="13"/>
      <c r="C6342" s="13"/>
      <c r="D6342" s="13"/>
      <c r="E6342" s="14"/>
      <c r="F6342" s="14"/>
      <c r="G6342" s="13"/>
      <c r="H6342" s="14"/>
      <c r="I6342" s="13"/>
      <c r="J6342" s="13"/>
      <c r="K6342" s="13"/>
      <c r="L6342" s="13"/>
      <c r="M6342" s="13"/>
      <c r="N6342" s="13"/>
      <c r="O6342" s="13" t="str">
        <f t="shared" si="1"/>
        <v/>
      </c>
    </row>
    <row r="6343" ht="22.5" customHeight="1">
      <c r="B6343" s="13"/>
      <c r="C6343" s="13"/>
      <c r="D6343" s="13"/>
      <c r="E6343" s="14"/>
      <c r="F6343" s="14"/>
      <c r="G6343" s="13"/>
      <c r="H6343" s="14"/>
      <c r="I6343" s="13"/>
      <c r="J6343" s="13"/>
      <c r="K6343" s="13"/>
      <c r="L6343" s="13"/>
      <c r="M6343" s="13"/>
      <c r="N6343" s="13"/>
      <c r="O6343" s="13" t="str">
        <f t="shared" si="1"/>
        <v/>
      </c>
    </row>
    <row r="6344" ht="22.5" customHeight="1">
      <c r="B6344" s="13"/>
      <c r="C6344" s="13"/>
      <c r="D6344" s="13"/>
      <c r="E6344" s="14"/>
      <c r="F6344" s="14"/>
      <c r="G6344" s="13"/>
      <c r="H6344" s="14"/>
      <c r="I6344" s="13"/>
      <c r="J6344" s="13"/>
      <c r="K6344" s="13"/>
      <c r="L6344" s="13"/>
      <c r="M6344" s="13"/>
      <c r="N6344" s="13"/>
      <c r="O6344" s="13" t="str">
        <f t="shared" si="1"/>
        <v/>
      </c>
    </row>
    <row r="6345" ht="22.5" customHeight="1">
      <c r="B6345" s="13"/>
      <c r="C6345" s="13"/>
      <c r="D6345" s="13"/>
      <c r="E6345" s="14"/>
      <c r="F6345" s="14"/>
      <c r="G6345" s="13"/>
      <c r="H6345" s="14"/>
      <c r="I6345" s="13"/>
      <c r="J6345" s="13"/>
      <c r="K6345" s="13"/>
      <c r="L6345" s="13"/>
      <c r="M6345" s="13"/>
      <c r="N6345" s="13"/>
      <c r="O6345" s="13" t="str">
        <f t="shared" si="1"/>
        <v/>
      </c>
    </row>
    <row r="6346" ht="22.5" customHeight="1">
      <c r="B6346" s="13"/>
      <c r="C6346" s="13"/>
      <c r="D6346" s="13"/>
      <c r="E6346" s="14"/>
      <c r="F6346" s="14"/>
      <c r="G6346" s="13"/>
      <c r="H6346" s="14"/>
      <c r="I6346" s="13"/>
      <c r="J6346" s="13"/>
      <c r="K6346" s="13"/>
      <c r="L6346" s="13"/>
      <c r="M6346" s="13"/>
      <c r="N6346" s="13"/>
      <c r="O6346" s="13" t="str">
        <f t="shared" si="1"/>
        <v/>
      </c>
    </row>
    <row r="6347" ht="22.5" customHeight="1">
      <c r="B6347" s="13"/>
      <c r="C6347" s="13"/>
      <c r="D6347" s="13"/>
      <c r="E6347" s="14"/>
      <c r="F6347" s="14"/>
      <c r="G6347" s="13"/>
      <c r="H6347" s="14"/>
      <c r="I6347" s="13"/>
      <c r="J6347" s="13"/>
      <c r="K6347" s="13"/>
      <c r="L6347" s="13"/>
      <c r="M6347" s="13"/>
      <c r="N6347" s="13"/>
      <c r="O6347" s="13" t="str">
        <f t="shared" si="1"/>
        <v/>
      </c>
    </row>
    <row r="6348" ht="22.5" customHeight="1">
      <c r="B6348" s="13"/>
      <c r="C6348" s="13"/>
      <c r="D6348" s="13"/>
      <c r="E6348" s="14"/>
      <c r="F6348" s="14"/>
      <c r="G6348" s="13"/>
      <c r="H6348" s="14"/>
      <c r="I6348" s="13"/>
      <c r="J6348" s="13"/>
      <c r="K6348" s="13"/>
      <c r="L6348" s="13"/>
      <c r="M6348" s="13"/>
      <c r="N6348" s="13"/>
      <c r="O6348" s="13" t="str">
        <f t="shared" si="1"/>
        <v/>
      </c>
    </row>
    <row r="6349" ht="22.5" customHeight="1">
      <c r="B6349" s="13"/>
      <c r="C6349" s="13"/>
      <c r="D6349" s="13"/>
      <c r="E6349" s="14"/>
      <c r="F6349" s="14"/>
      <c r="G6349" s="13"/>
      <c r="H6349" s="14"/>
      <c r="I6349" s="13"/>
      <c r="J6349" s="13"/>
      <c r="K6349" s="13"/>
      <c r="L6349" s="13"/>
      <c r="M6349" s="13"/>
      <c r="N6349" s="13"/>
      <c r="O6349" s="13" t="str">
        <f t="shared" si="1"/>
        <v/>
      </c>
    </row>
    <row r="6350" ht="22.5" customHeight="1">
      <c r="B6350" s="13"/>
      <c r="C6350" s="13"/>
      <c r="D6350" s="13"/>
      <c r="E6350" s="14"/>
      <c r="F6350" s="14"/>
      <c r="G6350" s="13"/>
      <c r="H6350" s="14"/>
      <c r="I6350" s="13"/>
      <c r="J6350" s="13"/>
      <c r="K6350" s="13"/>
      <c r="L6350" s="13"/>
      <c r="M6350" s="13"/>
      <c r="N6350" s="13"/>
      <c r="O6350" s="13" t="str">
        <f t="shared" si="1"/>
        <v/>
      </c>
    </row>
    <row r="6351" ht="22.5" customHeight="1">
      <c r="B6351" s="13"/>
      <c r="C6351" s="13"/>
      <c r="D6351" s="13"/>
      <c r="E6351" s="14"/>
      <c r="F6351" s="14"/>
      <c r="G6351" s="13"/>
      <c r="H6351" s="14"/>
      <c r="I6351" s="13"/>
      <c r="J6351" s="13"/>
      <c r="K6351" s="13"/>
      <c r="L6351" s="13"/>
      <c r="M6351" s="13"/>
      <c r="N6351" s="13"/>
      <c r="O6351" s="13" t="str">
        <f t="shared" si="1"/>
        <v/>
      </c>
    </row>
    <row r="6352" ht="22.5" customHeight="1">
      <c r="B6352" s="13"/>
      <c r="C6352" s="13"/>
      <c r="D6352" s="13"/>
      <c r="E6352" s="14"/>
      <c r="F6352" s="14"/>
      <c r="G6352" s="13"/>
      <c r="H6352" s="14"/>
      <c r="I6352" s="13"/>
      <c r="J6352" s="13"/>
      <c r="K6352" s="13"/>
      <c r="L6352" s="13"/>
      <c r="M6352" s="13"/>
      <c r="N6352" s="13"/>
      <c r="O6352" s="13" t="str">
        <f t="shared" si="1"/>
        <v/>
      </c>
    </row>
    <row r="6353" ht="22.5" customHeight="1">
      <c r="B6353" s="13"/>
      <c r="C6353" s="13"/>
      <c r="D6353" s="13"/>
      <c r="E6353" s="14"/>
      <c r="F6353" s="14"/>
      <c r="G6353" s="13"/>
      <c r="H6353" s="14"/>
      <c r="I6353" s="13"/>
      <c r="J6353" s="13"/>
      <c r="K6353" s="13"/>
      <c r="L6353" s="13"/>
      <c r="M6353" s="13"/>
      <c r="N6353" s="13"/>
      <c r="O6353" s="13" t="str">
        <f t="shared" si="1"/>
        <v/>
      </c>
    </row>
    <row r="6354" ht="22.5" customHeight="1">
      <c r="B6354" s="13"/>
      <c r="C6354" s="13"/>
      <c r="D6354" s="13"/>
      <c r="E6354" s="14"/>
      <c r="F6354" s="14"/>
      <c r="G6354" s="13"/>
      <c r="H6354" s="14"/>
      <c r="I6354" s="13"/>
      <c r="J6354" s="13"/>
      <c r="K6354" s="13"/>
      <c r="L6354" s="13"/>
      <c r="M6354" s="13"/>
      <c r="N6354" s="13"/>
      <c r="O6354" s="13" t="str">
        <f t="shared" si="1"/>
        <v/>
      </c>
    </row>
    <row r="6355" ht="22.5" customHeight="1">
      <c r="B6355" s="13"/>
      <c r="C6355" s="13"/>
      <c r="D6355" s="13"/>
      <c r="E6355" s="14"/>
      <c r="F6355" s="14"/>
      <c r="G6355" s="13"/>
      <c r="H6355" s="14"/>
      <c r="I6355" s="13"/>
      <c r="J6355" s="13"/>
      <c r="K6355" s="13"/>
      <c r="L6355" s="13"/>
      <c r="M6355" s="13"/>
      <c r="N6355" s="13"/>
      <c r="O6355" s="13" t="str">
        <f t="shared" si="1"/>
        <v/>
      </c>
    </row>
    <row r="6356" ht="22.5" customHeight="1">
      <c r="B6356" s="13"/>
      <c r="C6356" s="13"/>
      <c r="D6356" s="13"/>
      <c r="E6356" s="14"/>
      <c r="F6356" s="14"/>
      <c r="G6356" s="13"/>
      <c r="H6356" s="14"/>
      <c r="I6356" s="13"/>
      <c r="J6356" s="13"/>
      <c r="K6356" s="13"/>
      <c r="L6356" s="13"/>
      <c r="M6356" s="13"/>
      <c r="N6356" s="13"/>
      <c r="O6356" s="13" t="str">
        <f t="shared" si="1"/>
        <v/>
      </c>
    </row>
    <row r="6357" ht="22.5" customHeight="1">
      <c r="B6357" s="13"/>
      <c r="C6357" s="13"/>
      <c r="D6357" s="13"/>
      <c r="E6357" s="14"/>
      <c r="F6357" s="14"/>
      <c r="G6357" s="13"/>
      <c r="H6357" s="14"/>
      <c r="I6357" s="13"/>
      <c r="J6357" s="13"/>
      <c r="K6357" s="13"/>
      <c r="L6357" s="13"/>
      <c r="M6357" s="13"/>
      <c r="N6357" s="13"/>
      <c r="O6357" s="13" t="str">
        <f t="shared" si="1"/>
        <v/>
      </c>
    </row>
    <row r="6358" ht="22.5" customHeight="1">
      <c r="B6358" s="13"/>
      <c r="C6358" s="13"/>
      <c r="D6358" s="13"/>
      <c r="E6358" s="14"/>
      <c r="F6358" s="14"/>
      <c r="G6358" s="13"/>
      <c r="H6358" s="14"/>
      <c r="I6358" s="13"/>
      <c r="J6358" s="13"/>
      <c r="K6358" s="13"/>
      <c r="L6358" s="13"/>
      <c r="M6358" s="13"/>
      <c r="N6358" s="13"/>
      <c r="O6358" s="13" t="str">
        <f t="shared" si="1"/>
        <v/>
      </c>
    </row>
    <row r="6359" ht="22.5" customHeight="1">
      <c r="B6359" s="13"/>
      <c r="C6359" s="13"/>
      <c r="D6359" s="13"/>
      <c r="E6359" s="14"/>
      <c r="F6359" s="14"/>
      <c r="G6359" s="13"/>
      <c r="H6359" s="14"/>
      <c r="I6359" s="13"/>
      <c r="J6359" s="13"/>
      <c r="K6359" s="13"/>
      <c r="L6359" s="13"/>
      <c r="M6359" s="13"/>
      <c r="N6359" s="13"/>
      <c r="O6359" s="13" t="str">
        <f t="shared" si="1"/>
        <v/>
      </c>
    </row>
    <row r="6360" ht="22.5" customHeight="1">
      <c r="B6360" s="13"/>
      <c r="C6360" s="13"/>
      <c r="D6360" s="13"/>
      <c r="E6360" s="14"/>
      <c r="F6360" s="14"/>
      <c r="G6360" s="13"/>
      <c r="H6360" s="14"/>
      <c r="I6360" s="13"/>
      <c r="J6360" s="13"/>
      <c r="K6360" s="13"/>
      <c r="L6360" s="13"/>
      <c r="M6360" s="13"/>
      <c r="N6360" s="13"/>
      <c r="O6360" s="13" t="str">
        <f t="shared" si="1"/>
        <v/>
      </c>
    </row>
    <row r="6361" ht="22.5" customHeight="1">
      <c r="B6361" s="13"/>
      <c r="C6361" s="13"/>
      <c r="D6361" s="13"/>
      <c r="E6361" s="14"/>
      <c r="F6361" s="14"/>
      <c r="G6361" s="13"/>
      <c r="H6361" s="14"/>
      <c r="I6361" s="13"/>
      <c r="J6361" s="13"/>
      <c r="K6361" s="13"/>
      <c r="L6361" s="13"/>
      <c r="M6361" s="13"/>
      <c r="N6361" s="13"/>
      <c r="O6361" s="13" t="str">
        <f t="shared" si="1"/>
        <v/>
      </c>
    </row>
    <row r="6362" ht="22.5" customHeight="1">
      <c r="B6362" s="13"/>
      <c r="C6362" s="13"/>
      <c r="D6362" s="13"/>
      <c r="E6362" s="14"/>
      <c r="F6362" s="14"/>
      <c r="G6362" s="13"/>
      <c r="H6362" s="14"/>
      <c r="I6362" s="13"/>
      <c r="J6362" s="13"/>
      <c r="K6362" s="13"/>
      <c r="L6362" s="13"/>
      <c r="M6362" s="13"/>
      <c r="N6362" s="13"/>
      <c r="O6362" s="13" t="str">
        <f t="shared" si="1"/>
        <v/>
      </c>
    </row>
    <row r="6363" ht="22.5" customHeight="1">
      <c r="B6363" s="13"/>
      <c r="C6363" s="13"/>
      <c r="D6363" s="13"/>
      <c r="E6363" s="14"/>
      <c r="F6363" s="14"/>
      <c r="G6363" s="13"/>
      <c r="H6363" s="14"/>
      <c r="I6363" s="13"/>
      <c r="J6363" s="13"/>
      <c r="K6363" s="13"/>
      <c r="L6363" s="13"/>
      <c r="M6363" s="13"/>
      <c r="N6363" s="13"/>
      <c r="O6363" s="13" t="str">
        <f t="shared" si="1"/>
        <v/>
      </c>
    </row>
    <row r="6364" ht="22.5" customHeight="1">
      <c r="B6364" s="13"/>
      <c r="C6364" s="13"/>
      <c r="D6364" s="13"/>
      <c r="E6364" s="14"/>
      <c r="F6364" s="14"/>
      <c r="G6364" s="13"/>
      <c r="H6364" s="14"/>
      <c r="I6364" s="13"/>
      <c r="J6364" s="13"/>
      <c r="K6364" s="13"/>
      <c r="L6364" s="13"/>
      <c r="M6364" s="13"/>
      <c r="N6364" s="13"/>
      <c r="O6364" s="13" t="str">
        <f t="shared" si="1"/>
        <v/>
      </c>
    </row>
    <row r="6365" ht="22.5" customHeight="1">
      <c r="B6365" s="13"/>
      <c r="C6365" s="13"/>
      <c r="D6365" s="13"/>
      <c r="E6365" s="14"/>
      <c r="F6365" s="14"/>
      <c r="G6365" s="13"/>
      <c r="H6365" s="14"/>
      <c r="I6365" s="13"/>
      <c r="J6365" s="13"/>
      <c r="K6365" s="13"/>
      <c r="L6365" s="13"/>
      <c r="M6365" s="13"/>
      <c r="N6365" s="13"/>
      <c r="O6365" s="13" t="str">
        <f t="shared" si="1"/>
        <v/>
      </c>
    </row>
    <row r="6366" ht="22.5" customHeight="1">
      <c r="B6366" s="13"/>
      <c r="C6366" s="13"/>
      <c r="D6366" s="13"/>
      <c r="E6366" s="14"/>
      <c r="F6366" s="14"/>
      <c r="G6366" s="13"/>
      <c r="H6366" s="14"/>
      <c r="I6366" s="13"/>
      <c r="J6366" s="13"/>
      <c r="K6366" s="13"/>
      <c r="L6366" s="13"/>
      <c r="M6366" s="13"/>
      <c r="N6366" s="13"/>
      <c r="O6366" s="13" t="str">
        <f t="shared" si="1"/>
        <v/>
      </c>
    </row>
    <row r="6367" ht="22.5" customHeight="1">
      <c r="B6367" s="13"/>
      <c r="C6367" s="13"/>
      <c r="D6367" s="13"/>
      <c r="E6367" s="14"/>
      <c r="F6367" s="14"/>
      <c r="G6367" s="13"/>
      <c r="H6367" s="14"/>
      <c r="I6367" s="13"/>
      <c r="J6367" s="13"/>
      <c r="K6367" s="13"/>
      <c r="L6367" s="13"/>
      <c r="M6367" s="13"/>
      <c r="N6367" s="13"/>
      <c r="O6367" s="13" t="str">
        <f t="shared" si="1"/>
        <v/>
      </c>
    </row>
    <row r="6368" ht="22.5" customHeight="1">
      <c r="B6368" s="13"/>
      <c r="C6368" s="13"/>
      <c r="D6368" s="13"/>
      <c r="E6368" s="14"/>
      <c r="F6368" s="14"/>
      <c r="G6368" s="13"/>
      <c r="H6368" s="14"/>
      <c r="I6368" s="13"/>
      <c r="J6368" s="13"/>
      <c r="K6368" s="13"/>
      <c r="L6368" s="13"/>
      <c r="M6368" s="13"/>
      <c r="N6368" s="13"/>
      <c r="O6368" s="13" t="str">
        <f t="shared" si="1"/>
        <v/>
      </c>
    </row>
    <row r="6369" ht="22.5" customHeight="1">
      <c r="B6369" s="13"/>
      <c r="C6369" s="13"/>
      <c r="D6369" s="13"/>
      <c r="E6369" s="14"/>
      <c r="F6369" s="14"/>
      <c r="G6369" s="13"/>
      <c r="H6369" s="14"/>
      <c r="I6369" s="13"/>
      <c r="J6369" s="13"/>
      <c r="K6369" s="13"/>
      <c r="L6369" s="13"/>
      <c r="M6369" s="13"/>
      <c r="N6369" s="13"/>
      <c r="O6369" s="13" t="str">
        <f t="shared" si="1"/>
        <v/>
      </c>
    </row>
    <row r="6370" ht="22.5" customHeight="1">
      <c r="B6370" s="13"/>
      <c r="C6370" s="13"/>
      <c r="D6370" s="13"/>
      <c r="E6370" s="14"/>
      <c r="F6370" s="14"/>
      <c r="G6370" s="13"/>
      <c r="H6370" s="14"/>
      <c r="I6370" s="13"/>
      <c r="J6370" s="13"/>
      <c r="K6370" s="13"/>
      <c r="L6370" s="13"/>
      <c r="M6370" s="13"/>
      <c r="N6370" s="13"/>
      <c r="O6370" s="13" t="str">
        <f t="shared" si="1"/>
        <v/>
      </c>
    </row>
    <row r="6371" ht="22.5" customHeight="1">
      <c r="B6371" s="13"/>
      <c r="C6371" s="13"/>
      <c r="D6371" s="13"/>
      <c r="E6371" s="14"/>
      <c r="F6371" s="14"/>
      <c r="G6371" s="13"/>
      <c r="H6371" s="14"/>
      <c r="I6371" s="13"/>
      <c r="J6371" s="13"/>
      <c r="K6371" s="13"/>
      <c r="L6371" s="13"/>
      <c r="M6371" s="13"/>
      <c r="N6371" s="13"/>
      <c r="O6371" s="13" t="str">
        <f t="shared" si="1"/>
        <v/>
      </c>
    </row>
    <row r="6372" ht="22.5" customHeight="1">
      <c r="B6372" s="13"/>
      <c r="C6372" s="13"/>
      <c r="D6372" s="13"/>
      <c r="E6372" s="14"/>
      <c r="F6372" s="14"/>
      <c r="G6372" s="13"/>
      <c r="H6372" s="14"/>
      <c r="I6372" s="13"/>
      <c r="J6372" s="13"/>
      <c r="K6372" s="13"/>
      <c r="L6372" s="13"/>
      <c r="M6372" s="13"/>
      <c r="N6372" s="13"/>
      <c r="O6372" s="13" t="str">
        <f t="shared" si="1"/>
        <v/>
      </c>
    </row>
    <row r="6373" ht="22.5" customHeight="1">
      <c r="B6373" s="13"/>
      <c r="C6373" s="13"/>
      <c r="D6373" s="13"/>
      <c r="E6373" s="14"/>
      <c r="F6373" s="14"/>
      <c r="G6373" s="13"/>
      <c r="H6373" s="14"/>
      <c r="I6373" s="13"/>
      <c r="J6373" s="13"/>
      <c r="K6373" s="13"/>
      <c r="L6373" s="13"/>
      <c r="M6373" s="13"/>
      <c r="N6373" s="13"/>
      <c r="O6373" s="13" t="str">
        <f t="shared" si="1"/>
        <v/>
      </c>
    </row>
    <row r="6374" ht="22.5" customHeight="1">
      <c r="B6374" s="13"/>
      <c r="C6374" s="13"/>
      <c r="D6374" s="13"/>
      <c r="E6374" s="14"/>
      <c r="F6374" s="14"/>
      <c r="G6374" s="13"/>
      <c r="H6374" s="14"/>
      <c r="I6374" s="13"/>
      <c r="J6374" s="13"/>
      <c r="K6374" s="13"/>
      <c r="L6374" s="13"/>
      <c r="M6374" s="13"/>
      <c r="N6374" s="13"/>
      <c r="O6374" s="13" t="str">
        <f t="shared" si="1"/>
        <v/>
      </c>
    </row>
    <row r="6375" ht="22.5" customHeight="1">
      <c r="B6375" s="13"/>
      <c r="C6375" s="13"/>
      <c r="D6375" s="13"/>
      <c r="E6375" s="14"/>
      <c r="F6375" s="14"/>
      <c r="G6375" s="13"/>
      <c r="H6375" s="14"/>
      <c r="I6375" s="13"/>
      <c r="J6375" s="13"/>
      <c r="K6375" s="13"/>
      <c r="L6375" s="13"/>
      <c r="M6375" s="13"/>
      <c r="N6375" s="13"/>
      <c r="O6375" s="13" t="str">
        <f t="shared" si="1"/>
        <v/>
      </c>
    </row>
    <row r="6376" ht="22.5" customHeight="1">
      <c r="B6376" s="13"/>
      <c r="C6376" s="13"/>
      <c r="D6376" s="13"/>
      <c r="E6376" s="14"/>
      <c r="F6376" s="14"/>
      <c r="G6376" s="13"/>
      <c r="H6376" s="14"/>
      <c r="I6376" s="13"/>
      <c r="J6376" s="13"/>
      <c r="K6376" s="13"/>
      <c r="L6376" s="13"/>
      <c r="M6376" s="13"/>
      <c r="N6376" s="13"/>
      <c r="O6376" s="13" t="str">
        <f t="shared" si="1"/>
        <v/>
      </c>
    </row>
    <row r="6377" ht="22.5" customHeight="1">
      <c r="B6377" s="13"/>
      <c r="C6377" s="13"/>
      <c r="D6377" s="13"/>
      <c r="E6377" s="14"/>
      <c r="F6377" s="14"/>
      <c r="G6377" s="13"/>
      <c r="H6377" s="14"/>
      <c r="I6377" s="13"/>
      <c r="J6377" s="13"/>
      <c r="K6377" s="13"/>
      <c r="L6377" s="13"/>
      <c r="M6377" s="13"/>
      <c r="N6377" s="13"/>
      <c r="O6377" s="13" t="str">
        <f t="shared" si="1"/>
        <v/>
      </c>
    </row>
    <row r="6378" ht="22.5" customHeight="1">
      <c r="B6378" s="13"/>
      <c r="C6378" s="13"/>
      <c r="D6378" s="13"/>
      <c r="E6378" s="14"/>
      <c r="F6378" s="14"/>
      <c r="G6378" s="13"/>
      <c r="H6378" s="14"/>
      <c r="I6378" s="13"/>
      <c r="J6378" s="13"/>
      <c r="K6378" s="13"/>
      <c r="L6378" s="13"/>
      <c r="M6378" s="13"/>
      <c r="N6378" s="13"/>
      <c r="O6378" s="13" t="str">
        <f t="shared" si="1"/>
        <v/>
      </c>
    </row>
    <row r="6379" ht="22.5" customHeight="1">
      <c r="B6379" s="13"/>
      <c r="C6379" s="13"/>
      <c r="D6379" s="13"/>
      <c r="E6379" s="14"/>
      <c r="F6379" s="14"/>
      <c r="G6379" s="13"/>
      <c r="H6379" s="14"/>
      <c r="I6379" s="13"/>
      <c r="J6379" s="13"/>
      <c r="K6379" s="13"/>
      <c r="L6379" s="13"/>
      <c r="M6379" s="13"/>
      <c r="N6379" s="13"/>
      <c r="O6379" s="13" t="str">
        <f t="shared" si="1"/>
        <v/>
      </c>
    </row>
    <row r="6380" ht="22.5" customHeight="1">
      <c r="B6380" s="13"/>
      <c r="C6380" s="13"/>
      <c r="D6380" s="13"/>
      <c r="E6380" s="14"/>
      <c r="F6380" s="14"/>
      <c r="G6380" s="13"/>
      <c r="H6380" s="14"/>
      <c r="I6380" s="13"/>
      <c r="J6380" s="13"/>
      <c r="K6380" s="13"/>
      <c r="L6380" s="13"/>
      <c r="M6380" s="13"/>
      <c r="N6380" s="13"/>
      <c r="O6380" s="13" t="str">
        <f t="shared" si="1"/>
        <v/>
      </c>
    </row>
    <row r="6381" ht="22.5" customHeight="1">
      <c r="B6381" s="13"/>
      <c r="C6381" s="13"/>
      <c r="D6381" s="13"/>
      <c r="E6381" s="14"/>
      <c r="F6381" s="14"/>
      <c r="G6381" s="13"/>
      <c r="H6381" s="14"/>
      <c r="I6381" s="13"/>
      <c r="J6381" s="13"/>
      <c r="K6381" s="13"/>
      <c r="L6381" s="13"/>
      <c r="M6381" s="13"/>
      <c r="N6381" s="13"/>
      <c r="O6381" s="13" t="str">
        <f t="shared" si="1"/>
        <v/>
      </c>
    </row>
    <row r="6382" ht="22.5" customHeight="1">
      <c r="B6382" s="13"/>
      <c r="C6382" s="13"/>
      <c r="D6382" s="13"/>
      <c r="E6382" s="14"/>
      <c r="F6382" s="14"/>
      <c r="G6382" s="13"/>
      <c r="H6382" s="14"/>
      <c r="I6382" s="13"/>
      <c r="J6382" s="13"/>
      <c r="K6382" s="13"/>
      <c r="L6382" s="13"/>
      <c r="M6382" s="13"/>
      <c r="N6382" s="13"/>
      <c r="O6382" s="13" t="str">
        <f t="shared" si="1"/>
        <v/>
      </c>
    </row>
    <row r="6383" ht="22.5" customHeight="1">
      <c r="B6383" s="13"/>
      <c r="C6383" s="13"/>
      <c r="D6383" s="13"/>
      <c r="E6383" s="14"/>
      <c r="F6383" s="14"/>
      <c r="G6383" s="13"/>
      <c r="H6383" s="14"/>
      <c r="I6383" s="13"/>
      <c r="J6383" s="13"/>
      <c r="K6383" s="13"/>
      <c r="L6383" s="13"/>
      <c r="M6383" s="13"/>
      <c r="N6383" s="13"/>
      <c r="O6383" s="13" t="str">
        <f t="shared" si="1"/>
        <v/>
      </c>
    </row>
    <row r="6384" ht="22.5" customHeight="1">
      <c r="B6384" s="13"/>
      <c r="C6384" s="13"/>
      <c r="D6384" s="13"/>
      <c r="E6384" s="14"/>
      <c r="F6384" s="14"/>
      <c r="G6384" s="13"/>
      <c r="H6384" s="14"/>
      <c r="I6384" s="13"/>
      <c r="J6384" s="13"/>
      <c r="K6384" s="13"/>
      <c r="L6384" s="13"/>
      <c r="M6384" s="13"/>
      <c r="N6384" s="13"/>
      <c r="O6384" s="13" t="str">
        <f t="shared" si="1"/>
        <v/>
      </c>
    </row>
    <row r="6385" ht="22.5" customHeight="1">
      <c r="B6385" s="13"/>
      <c r="C6385" s="13"/>
      <c r="D6385" s="13"/>
      <c r="E6385" s="14"/>
      <c r="F6385" s="14"/>
      <c r="G6385" s="13"/>
      <c r="H6385" s="14"/>
      <c r="I6385" s="13"/>
      <c r="J6385" s="13"/>
      <c r="K6385" s="13"/>
      <c r="L6385" s="13"/>
      <c r="M6385" s="13"/>
      <c r="N6385" s="13"/>
      <c r="O6385" s="13" t="str">
        <f t="shared" si="1"/>
        <v/>
      </c>
    </row>
    <row r="6386" ht="22.5" customHeight="1">
      <c r="B6386" s="13"/>
      <c r="C6386" s="13"/>
      <c r="D6386" s="13"/>
      <c r="E6386" s="14"/>
      <c r="F6386" s="14"/>
      <c r="G6386" s="13"/>
      <c r="H6386" s="14"/>
      <c r="I6386" s="13"/>
      <c r="J6386" s="13"/>
      <c r="K6386" s="13"/>
      <c r="L6386" s="13"/>
      <c r="M6386" s="13"/>
      <c r="N6386" s="13"/>
      <c r="O6386" s="13" t="str">
        <f t="shared" si="1"/>
        <v/>
      </c>
    </row>
    <row r="6387" ht="22.5" customHeight="1">
      <c r="B6387" s="13"/>
      <c r="C6387" s="13"/>
      <c r="D6387" s="13"/>
      <c r="E6387" s="14"/>
      <c r="F6387" s="14"/>
      <c r="G6387" s="13"/>
      <c r="H6387" s="14"/>
      <c r="I6387" s="13"/>
      <c r="J6387" s="13"/>
      <c r="K6387" s="13"/>
      <c r="L6387" s="13"/>
      <c r="M6387" s="13"/>
      <c r="N6387" s="13"/>
      <c r="O6387" s="13" t="str">
        <f t="shared" si="1"/>
        <v/>
      </c>
    </row>
    <row r="6388" ht="22.5" customHeight="1">
      <c r="B6388" s="13"/>
      <c r="C6388" s="13"/>
      <c r="D6388" s="13"/>
      <c r="E6388" s="14"/>
      <c r="F6388" s="14"/>
      <c r="G6388" s="13"/>
      <c r="H6388" s="14"/>
      <c r="I6388" s="13"/>
      <c r="J6388" s="13"/>
      <c r="K6388" s="13"/>
      <c r="L6388" s="13"/>
      <c r="M6388" s="13"/>
      <c r="N6388" s="13"/>
      <c r="O6388" s="13" t="str">
        <f t="shared" si="1"/>
        <v/>
      </c>
    </row>
    <row r="6389" ht="22.5" customHeight="1">
      <c r="B6389" s="13"/>
      <c r="C6389" s="13"/>
      <c r="D6389" s="13"/>
      <c r="E6389" s="14"/>
      <c r="F6389" s="14"/>
      <c r="G6389" s="13"/>
      <c r="H6389" s="14"/>
      <c r="I6389" s="13"/>
      <c r="J6389" s="13"/>
      <c r="K6389" s="13"/>
      <c r="L6389" s="13"/>
      <c r="M6389" s="13"/>
      <c r="N6389" s="13"/>
      <c r="O6389" s="13" t="str">
        <f t="shared" si="1"/>
        <v/>
      </c>
    </row>
    <row r="6390" ht="22.5" customHeight="1">
      <c r="B6390" s="13"/>
      <c r="C6390" s="13"/>
      <c r="D6390" s="13"/>
      <c r="E6390" s="14"/>
      <c r="F6390" s="14"/>
      <c r="G6390" s="13"/>
      <c r="H6390" s="14"/>
      <c r="I6390" s="13"/>
      <c r="J6390" s="13"/>
      <c r="K6390" s="13"/>
      <c r="L6390" s="13"/>
      <c r="M6390" s="13"/>
      <c r="N6390" s="13"/>
      <c r="O6390" s="13" t="str">
        <f t="shared" si="1"/>
        <v/>
      </c>
    </row>
    <row r="6391" ht="22.5" customHeight="1">
      <c r="B6391" s="13"/>
      <c r="C6391" s="13"/>
      <c r="D6391" s="13"/>
      <c r="E6391" s="14"/>
      <c r="F6391" s="14"/>
      <c r="G6391" s="13"/>
      <c r="H6391" s="14"/>
      <c r="I6391" s="13"/>
      <c r="J6391" s="13"/>
      <c r="K6391" s="13"/>
      <c r="L6391" s="13"/>
      <c r="M6391" s="13"/>
      <c r="N6391" s="13"/>
      <c r="O6391" s="13" t="str">
        <f t="shared" si="1"/>
        <v/>
      </c>
    </row>
    <row r="6392" ht="22.5" customHeight="1">
      <c r="B6392" s="13"/>
      <c r="C6392" s="13"/>
      <c r="D6392" s="13"/>
      <c r="E6392" s="14"/>
      <c r="F6392" s="14"/>
      <c r="G6392" s="13"/>
      <c r="H6392" s="14"/>
      <c r="I6392" s="13"/>
      <c r="J6392" s="13"/>
      <c r="K6392" s="13"/>
      <c r="L6392" s="13"/>
      <c r="M6392" s="13"/>
      <c r="N6392" s="13"/>
      <c r="O6392" s="13" t="str">
        <f t="shared" si="1"/>
        <v/>
      </c>
    </row>
    <row r="6393" ht="22.5" customHeight="1">
      <c r="B6393" s="13"/>
      <c r="C6393" s="13"/>
      <c r="D6393" s="13"/>
      <c r="E6393" s="14"/>
      <c r="F6393" s="14"/>
      <c r="G6393" s="13"/>
      <c r="H6393" s="14"/>
      <c r="I6393" s="13"/>
      <c r="J6393" s="13"/>
      <c r="K6393" s="13"/>
      <c r="L6393" s="13"/>
      <c r="M6393" s="13"/>
      <c r="N6393" s="13"/>
      <c r="O6393" s="13" t="str">
        <f t="shared" si="1"/>
        <v/>
      </c>
    </row>
    <row r="6394" ht="22.5" customHeight="1">
      <c r="B6394" s="13"/>
      <c r="C6394" s="13"/>
      <c r="D6394" s="13"/>
      <c r="E6394" s="14"/>
      <c r="F6394" s="14"/>
      <c r="G6394" s="13"/>
      <c r="H6394" s="14"/>
      <c r="I6394" s="13"/>
      <c r="J6394" s="13"/>
      <c r="K6394" s="13"/>
      <c r="L6394" s="13"/>
      <c r="M6394" s="13"/>
      <c r="N6394" s="13"/>
      <c r="O6394" s="13" t="str">
        <f t="shared" si="1"/>
        <v/>
      </c>
    </row>
    <row r="6395" ht="22.5" customHeight="1">
      <c r="B6395" s="13"/>
      <c r="C6395" s="13"/>
      <c r="D6395" s="13"/>
      <c r="E6395" s="14"/>
      <c r="F6395" s="14"/>
      <c r="G6395" s="13"/>
      <c r="H6395" s="14"/>
      <c r="I6395" s="13"/>
      <c r="J6395" s="13"/>
      <c r="K6395" s="13"/>
      <c r="L6395" s="13"/>
      <c r="M6395" s="13"/>
      <c r="N6395" s="13"/>
      <c r="O6395" s="13" t="str">
        <f t="shared" si="1"/>
        <v/>
      </c>
    </row>
    <row r="6396" ht="22.5" customHeight="1">
      <c r="B6396" s="13"/>
      <c r="C6396" s="13"/>
      <c r="D6396" s="13"/>
      <c r="E6396" s="14"/>
      <c r="F6396" s="14"/>
      <c r="G6396" s="13"/>
      <c r="H6396" s="14"/>
      <c r="I6396" s="13"/>
      <c r="J6396" s="13"/>
      <c r="K6396" s="13"/>
      <c r="L6396" s="13"/>
      <c r="M6396" s="13"/>
      <c r="N6396" s="13"/>
      <c r="O6396" s="13" t="str">
        <f t="shared" si="1"/>
        <v/>
      </c>
    </row>
    <row r="6397" ht="22.5" customHeight="1">
      <c r="B6397" s="13"/>
      <c r="C6397" s="13"/>
      <c r="D6397" s="13"/>
      <c r="E6397" s="14"/>
      <c r="F6397" s="14"/>
      <c r="G6397" s="13"/>
      <c r="H6397" s="14"/>
      <c r="I6397" s="13"/>
      <c r="J6397" s="13"/>
      <c r="K6397" s="13"/>
      <c r="L6397" s="13"/>
      <c r="M6397" s="13"/>
      <c r="N6397" s="13"/>
      <c r="O6397" s="13" t="str">
        <f t="shared" si="1"/>
        <v/>
      </c>
    </row>
    <row r="6398" ht="22.5" customHeight="1">
      <c r="B6398" s="13"/>
      <c r="C6398" s="13"/>
      <c r="D6398" s="13"/>
      <c r="E6398" s="14"/>
      <c r="F6398" s="14"/>
      <c r="G6398" s="13"/>
      <c r="H6398" s="14"/>
      <c r="I6398" s="13"/>
      <c r="J6398" s="13"/>
      <c r="K6398" s="13"/>
      <c r="L6398" s="13"/>
      <c r="M6398" s="13"/>
      <c r="N6398" s="13"/>
      <c r="O6398" s="13" t="str">
        <f t="shared" si="1"/>
        <v/>
      </c>
    </row>
    <row r="6399" ht="22.5" customHeight="1">
      <c r="B6399" s="13"/>
      <c r="C6399" s="13"/>
      <c r="D6399" s="13"/>
      <c r="E6399" s="14"/>
      <c r="F6399" s="14"/>
      <c r="G6399" s="13"/>
      <c r="H6399" s="14"/>
      <c r="I6399" s="13"/>
      <c r="J6399" s="13"/>
      <c r="K6399" s="13"/>
      <c r="L6399" s="13"/>
      <c r="M6399" s="13"/>
      <c r="N6399" s="13"/>
      <c r="O6399" s="13" t="str">
        <f t="shared" si="1"/>
        <v/>
      </c>
    </row>
    <row r="6400" ht="22.5" customHeight="1">
      <c r="B6400" s="13"/>
      <c r="C6400" s="13"/>
      <c r="D6400" s="13"/>
      <c r="E6400" s="14"/>
      <c r="F6400" s="14"/>
      <c r="G6400" s="13"/>
      <c r="H6400" s="14"/>
      <c r="I6400" s="13"/>
      <c r="J6400" s="13"/>
      <c r="K6400" s="13"/>
      <c r="L6400" s="13"/>
      <c r="M6400" s="13"/>
      <c r="N6400" s="13"/>
      <c r="O6400" s="13" t="str">
        <f t="shared" si="1"/>
        <v/>
      </c>
    </row>
    <row r="6401" ht="22.5" customHeight="1">
      <c r="B6401" s="13"/>
      <c r="C6401" s="13"/>
      <c r="D6401" s="13"/>
      <c r="E6401" s="14"/>
      <c r="F6401" s="14"/>
      <c r="G6401" s="13"/>
      <c r="H6401" s="14"/>
      <c r="I6401" s="13"/>
      <c r="J6401" s="13"/>
      <c r="K6401" s="13"/>
      <c r="L6401" s="13"/>
      <c r="M6401" s="13"/>
      <c r="N6401" s="13"/>
      <c r="O6401" s="13" t="str">
        <f t="shared" si="1"/>
        <v/>
      </c>
    </row>
    <row r="6402" ht="22.5" customHeight="1">
      <c r="B6402" s="13"/>
      <c r="C6402" s="13"/>
      <c r="D6402" s="13"/>
      <c r="E6402" s="14"/>
      <c r="F6402" s="14"/>
      <c r="G6402" s="13"/>
      <c r="H6402" s="14"/>
      <c r="I6402" s="13"/>
      <c r="J6402" s="13"/>
      <c r="K6402" s="13"/>
      <c r="L6402" s="13"/>
      <c r="M6402" s="13"/>
      <c r="N6402" s="13"/>
      <c r="O6402" s="13" t="str">
        <f t="shared" si="1"/>
        <v/>
      </c>
    </row>
    <row r="6403" ht="22.5" customHeight="1">
      <c r="B6403" s="13"/>
      <c r="C6403" s="13"/>
      <c r="D6403" s="13"/>
      <c r="E6403" s="14"/>
      <c r="F6403" s="14"/>
      <c r="G6403" s="13"/>
      <c r="H6403" s="14"/>
      <c r="I6403" s="13"/>
      <c r="J6403" s="13"/>
      <c r="K6403" s="13"/>
      <c r="L6403" s="13"/>
      <c r="M6403" s="13"/>
      <c r="N6403" s="13"/>
      <c r="O6403" s="13" t="str">
        <f t="shared" si="1"/>
        <v/>
      </c>
    </row>
    <row r="6404" ht="22.5" customHeight="1">
      <c r="B6404" s="13"/>
      <c r="C6404" s="13"/>
      <c r="D6404" s="13"/>
      <c r="E6404" s="14"/>
      <c r="F6404" s="14"/>
      <c r="G6404" s="13"/>
      <c r="H6404" s="14"/>
      <c r="I6404" s="13"/>
      <c r="J6404" s="13"/>
      <c r="K6404" s="13"/>
      <c r="L6404" s="13"/>
      <c r="M6404" s="13"/>
      <c r="N6404" s="13"/>
      <c r="O6404" s="13" t="str">
        <f t="shared" si="1"/>
        <v/>
      </c>
    </row>
    <row r="6405" ht="22.5" customHeight="1">
      <c r="B6405" s="13"/>
      <c r="C6405" s="13"/>
      <c r="D6405" s="13"/>
      <c r="E6405" s="14"/>
      <c r="F6405" s="14"/>
      <c r="G6405" s="13"/>
      <c r="H6405" s="14"/>
      <c r="I6405" s="13"/>
      <c r="J6405" s="13"/>
      <c r="K6405" s="13"/>
      <c r="L6405" s="13"/>
      <c r="M6405" s="13"/>
      <c r="N6405" s="13"/>
      <c r="O6405" s="13" t="str">
        <f t="shared" si="1"/>
        <v/>
      </c>
    </row>
    <row r="6406" ht="22.5" customHeight="1">
      <c r="B6406" s="13"/>
      <c r="C6406" s="13"/>
      <c r="D6406" s="13"/>
      <c r="E6406" s="14"/>
      <c r="F6406" s="14"/>
      <c r="G6406" s="13"/>
      <c r="H6406" s="14"/>
      <c r="I6406" s="13"/>
      <c r="J6406" s="13"/>
      <c r="K6406" s="13"/>
      <c r="L6406" s="13"/>
      <c r="M6406" s="13"/>
      <c r="N6406" s="13"/>
      <c r="O6406" s="13" t="str">
        <f t="shared" si="1"/>
        <v/>
      </c>
    </row>
    <row r="6407" ht="22.5" customHeight="1">
      <c r="B6407" s="13"/>
      <c r="C6407" s="13"/>
      <c r="D6407" s="13"/>
      <c r="E6407" s="14"/>
      <c r="F6407" s="14"/>
      <c r="G6407" s="13"/>
      <c r="H6407" s="14"/>
      <c r="I6407" s="13"/>
      <c r="J6407" s="13"/>
      <c r="K6407" s="13"/>
      <c r="L6407" s="13"/>
      <c r="M6407" s="13"/>
      <c r="N6407" s="13"/>
      <c r="O6407" s="13" t="str">
        <f t="shared" si="1"/>
        <v/>
      </c>
    </row>
    <row r="6408" ht="22.5" customHeight="1">
      <c r="B6408" s="13"/>
      <c r="C6408" s="13"/>
      <c r="D6408" s="13"/>
      <c r="E6408" s="14"/>
      <c r="F6408" s="14"/>
      <c r="G6408" s="13"/>
      <c r="H6408" s="14"/>
      <c r="I6408" s="13"/>
      <c r="J6408" s="13"/>
      <c r="K6408" s="13"/>
      <c r="L6408" s="13"/>
      <c r="M6408" s="13"/>
      <c r="N6408" s="13"/>
      <c r="O6408" s="13" t="str">
        <f t="shared" si="1"/>
        <v/>
      </c>
    </row>
    <row r="6409" ht="22.5" customHeight="1">
      <c r="B6409" s="13"/>
      <c r="C6409" s="13"/>
      <c r="D6409" s="13"/>
      <c r="E6409" s="14"/>
      <c r="F6409" s="14"/>
      <c r="G6409" s="13"/>
      <c r="H6409" s="14"/>
      <c r="I6409" s="13"/>
      <c r="J6409" s="13"/>
      <c r="K6409" s="13"/>
      <c r="L6409" s="13"/>
      <c r="M6409" s="13"/>
      <c r="N6409" s="13"/>
      <c r="O6409" s="13" t="str">
        <f t="shared" si="1"/>
        <v/>
      </c>
    </row>
    <row r="6410" ht="22.5" customHeight="1">
      <c r="B6410" s="13"/>
      <c r="C6410" s="13"/>
      <c r="D6410" s="13"/>
      <c r="E6410" s="14"/>
      <c r="F6410" s="14"/>
      <c r="G6410" s="13"/>
      <c r="H6410" s="14"/>
      <c r="I6410" s="13"/>
      <c r="J6410" s="13"/>
      <c r="K6410" s="13"/>
      <c r="L6410" s="13"/>
      <c r="M6410" s="13"/>
      <c r="N6410" s="13"/>
      <c r="O6410" s="13" t="str">
        <f t="shared" si="1"/>
        <v/>
      </c>
    </row>
    <row r="6411" ht="22.5" customHeight="1">
      <c r="B6411" s="13"/>
      <c r="C6411" s="13"/>
      <c r="D6411" s="13"/>
      <c r="E6411" s="14"/>
      <c r="F6411" s="14"/>
      <c r="G6411" s="13"/>
      <c r="H6411" s="14"/>
      <c r="I6411" s="13"/>
      <c r="J6411" s="13"/>
      <c r="K6411" s="13"/>
      <c r="L6411" s="13"/>
      <c r="M6411" s="13"/>
      <c r="N6411" s="13"/>
      <c r="O6411" s="13" t="str">
        <f t="shared" si="1"/>
        <v/>
      </c>
    </row>
    <row r="6412" ht="22.5" customHeight="1">
      <c r="B6412" s="13"/>
      <c r="C6412" s="13"/>
      <c r="D6412" s="13"/>
      <c r="E6412" s="14"/>
      <c r="F6412" s="14"/>
      <c r="G6412" s="13"/>
      <c r="H6412" s="14"/>
      <c r="I6412" s="13"/>
      <c r="J6412" s="13"/>
      <c r="K6412" s="13"/>
      <c r="L6412" s="13"/>
      <c r="M6412" s="13"/>
      <c r="N6412" s="13"/>
      <c r="O6412" s="13" t="str">
        <f t="shared" si="1"/>
        <v/>
      </c>
    </row>
    <row r="6413" ht="22.5" customHeight="1">
      <c r="B6413" s="13"/>
      <c r="C6413" s="13"/>
      <c r="D6413" s="13"/>
      <c r="E6413" s="14"/>
      <c r="F6413" s="14"/>
      <c r="G6413" s="13"/>
      <c r="H6413" s="14"/>
      <c r="I6413" s="13"/>
      <c r="J6413" s="13"/>
      <c r="K6413" s="13"/>
      <c r="L6413" s="13"/>
      <c r="M6413" s="13"/>
      <c r="N6413" s="13"/>
      <c r="O6413" s="13" t="str">
        <f t="shared" si="1"/>
        <v/>
      </c>
    </row>
    <row r="6414" ht="22.5" customHeight="1">
      <c r="B6414" s="13"/>
      <c r="C6414" s="13"/>
      <c r="D6414" s="13"/>
      <c r="E6414" s="14"/>
      <c r="F6414" s="14"/>
      <c r="G6414" s="13"/>
      <c r="H6414" s="14"/>
      <c r="I6414" s="13"/>
      <c r="J6414" s="13"/>
      <c r="K6414" s="13"/>
      <c r="L6414" s="13"/>
      <c r="M6414" s="13"/>
      <c r="N6414" s="13"/>
      <c r="O6414" s="13" t="str">
        <f t="shared" si="1"/>
        <v/>
      </c>
    </row>
    <row r="6415" ht="22.5" customHeight="1">
      <c r="B6415" s="13"/>
      <c r="C6415" s="13"/>
      <c r="D6415" s="13"/>
      <c r="E6415" s="14"/>
      <c r="F6415" s="14"/>
      <c r="G6415" s="13"/>
      <c r="H6415" s="14"/>
      <c r="I6415" s="13"/>
      <c r="J6415" s="13"/>
      <c r="K6415" s="13"/>
      <c r="L6415" s="13"/>
      <c r="M6415" s="13"/>
      <c r="N6415" s="13"/>
      <c r="O6415" s="13" t="str">
        <f t="shared" si="1"/>
        <v/>
      </c>
    </row>
    <row r="6416" ht="22.5" customHeight="1">
      <c r="B6416" s="13"/>
      <c r="C6416" s="13"/>
      <c r="D6416" s="13"/>
      <c r="E6416" s="14"/>
      <c r="F6416" s="14"/>
      <c r="G6416" s="13"/>
      <c r="H6416" s="14"/>
      <c r="I6416" s="13"/>
      <c r="J6416" s="13"/>
      <c r="K6416" s="13"/>
      <c r="L6416" s="13"/>
      <c r="M6416" s="13"/>
      <c r="N6416" s="13"/>
      <c r="O6416" s="13" t="str">
        <f t="shared" si="1"/>
        <v/>
      </c>
    </row>
    <row r="6417" ht="22.5" customHeight="1">
      <c r="B6417" s="13"/>
      <c r="C6417" s="13"/>
      <c r="D6417" s="13"/>
      <c r="E6417" s="14"/>
      <c r="F6417" s="14"/>
      <c r="G6417" s="13"/>
      <c r="H6417" s="14"/>
      <c r="I6417" s="13"/>
      <c r="J6417" s="13"/>
      <c r="K6417" s="13"/>
      <c r="L6417" s="13"/>
      <c r="M6417" s="13"/>
      <c r="N6417" s="13"/>
      <c r="O6417" s="13" t="str">
        <f t="shared" si="1"/>
        <v/>
      </c>
    </row>
    <row r="6418" ht="22.5" customHeight="1">
      <c r="B6418" s="13"/>
      <c r="C6418" s="13"/>
      <c r="D6418" s="13"/>
      <c r="E6418" s="14"/>
      <c r="F6418" s="14"/>
      <c r="G6418" s="13"/>
      <c r="H6418" s="14"/>
      <c r="I6418" s="13"/>
      <c r="J6418" s="13"/>
      <c r="K6418" s="13"/>
      <c r="L6418" s="13"/>
      <c r="M6418" s="13"/>
      <c r="N6418" s="13"/>
      <c r="O6418" s="13" t="str">
        <f t="shared" si="1"/>
        <v/>
      </c>
    </row>
    <row r="6419" ht="22.5" customHeight="1">
      <c r="B6419" s="13"/>
      <c r="C6419" s="13"/>
      <c r="D6419" s="13"/>
      <c r="E6419" s="14"/>
      <c r="F6419" s="14"/>
      <c r="G6419" s="13"/>
      <c r="H6419" s="14"/>
      <c r="I6419" s="13"/>
      <c r="J6419" s="13"/>
      <c r="K6419" s="13"/>
      <c r="L6419" s="13"/>
      <c r="M6419" s="13"/>
      <c r="N6419" s="13"/>
      <c r="O6419" s="13" t="str">
        <f t="shared" si="1"/>
        <v/>
      </c>
    </row>
    <row r="6420" ht="22.5" customHeight="1">
      <c r="B6420" s="13"/>
      <c r="C6420" s="13"/>
      <c r="D6420" s="13"/>
      <c r="E6420" s="14"/>
      <c r="F6420" s="14"/>
      <c r="G6420" s="13"/>
      <c r="H6420" s="14"/>
      <c r="I6420" s="13"/>
      <c r="J6420" s="13"/>
      <c r="K6420" s="13"/>
      <c r="L6420" s="13"/>
      <c r="M6420" s="13"/>
      <c r="N6420" s="13"/>
      <c r="O6420" s="13" t="str">
        <f t="shared" si="1"/>
        <v/>
      </c>
    </row>
    <row r="6421" ht="22.5" customHeight="1">
      <c r="B6421" s="13"/>
      <c r="C6421" s="13"/>
      <c r="D6421" s="13"/>
      <c r="E6421" s="14"/>
      <c r="F6421" s="14"/>
      <c r="G6421" s="13"/>
      <c r="H6421" s="14"/>
      <c r="I6421" s="13"/>
      <c r="J6421" s="13"/>
      <c r="K6421" s="13"/>
      <c r="L6421" s="13"/>
      <c r="M6421" s="13"/>
      <c r="N6421" s="13"/>
      <c r="O6421" s="13" t="str">
        <f t="shared" si="1"/>
        <v/>
      </c>
    </row>
    <row r="6422" ht="22.5" customHeight="1">
      <c r="B6422" s="13"/>
      <c r="C6422" s="13"/>
      <c r="D6422" s="13"/>
      <c r="E6422" s="14"/>
      <c r="F6422" s="14"/>
      <c r="G6422" s="13"/>
      <c r="H6422" s="14"/>
      <c r="I6422" s="13"/>
      <c r="J6422" s="13"/>
      <c r="K6422" s="13"/>
      <c r="L6422" s="13"/>
      <c r="M6422" s="13"/>
      <c r="N6422" s="13"/>
      <c r="O6422" s="13" t="str">
        <f t="shared" si="1"/>
        <v/>
      </c>
    </row>
    <row r="6423" ht="22.5" customHeight="1">
      <c r="B6423" s="13"/>
      <c r="C6423" s="13"/>
      <c r="D6423" s="13"/>
      <c r="E6423" s="14"/>
      <c r="F6423" s="14"/>
      <c r="G6423" s="13"/>
      <c r="H6423" s="14"/>
      <c r="I6423" s="13"/>
      <c r="J6423" s="13"/>
      <c r="K6423" s="13"/>
      <c r="L6423" s="13"/>
      <c r="M6423" s="13"/>
      <c r="N6423" s="13"/>
      <c r="O6423" s="13" t="str">
        <f t="shared" si="1"/>
        <v/>
      </c>
    </row>
    <row r="6424" ht="22.5" customHeight="1">
      <c r="B6424" s="13"/>
      <c r="C6424" s="13"/>
      <c r="D6424" s="13"/>
      <c r="E6424" s="14"/>
      <c r="F6424" s="14"/>
      <c r="G6424" s="13"/>
      <c r="H6424" s="14"/>
      <c r="I6424" s="13"/>
      <c r="J6424" s="13"/>
      <c r="K6424" s="13"/>
      <c r="L6424" s="13"/>
      <c r="M6424" s="13"/>
      <c r="N6424" s="13"/>
      <c r="O6424" s="13" t="str">
        <f t="shared" si="1"/>
        <v/>
      </c>
    </row>
    <row r="6425" ht="22.5" customHeight="1">
      <c r="B6425" s="13"/>
      <c r="C6425" s="13"/>
      <c r="D6425" s="13"/>
      <c r="E6425" s="14"/>
      <c r="F6425" s="14"/>
      <c r="G6425" s="13"/>
      <c r="H6425" s="14"/>
      <c r="I6425" s="13"/>
      <c r="J6425" s="13"/>
      <c r="K6425" s="13"/>
      <c r="L6425" s="13"/>
      <c r="M6425" s="13"/>
      <c r="N6425" s="13"/>
      <c r="O6425" s="13" t="str">
        <f t="shared" si="1"/>
        <v/>
      </c>
    </row>
    <row r="6426" ht="22.5" customHeight="1">
      <c r="B6426" s="13"/>
      <c r="C6426" s="13"/>
      <c r="D6426" s="13"/>
      <c r="E6426" s="14"/>
      <c r="F6426" s="14"/>
      <c r="G6426" s="13"/>
      <c r="H6426" s="14"/>
      <c r="I6426" s="13"/>
      <c r="J6426" s="13"/>
      <c r="K6426" s="13"/>
      <c r="L6426" s="13"/>
      <c r="M6426" s="13"/>
      <c r="N6426" s="13"/>
      <c r="O6426" s="13" t="str">
        <f t="shared" si="1"/>
        <v/>
      </c>
    </row>
    <row r="6427" ht="22.5" customHeight="1">
      <c r="B6427" s="13"/>
      <c r="C6427" s="13"/>
      <c r="D6427" s="13"/>
      <c r="E6427" s="14"/>
      <c r="F6427" s="14"/>
      <c r="G6427" s="13"/>
      <c r="H6427" s="14"/>
      <c r="I6427" s="13"/>
      <c r="J6427" s="13"/>
      <c r="K6427" s="13"/>
      <c r="L6427" s="13"/>
      <c r="M6427" s="13"/>
      <c r="N6427" s="13"/>
      <c r="O6427" s="13" t="str">
        <f t="shared" si="1"/>
        <v/>
      </c>
    </row>
    <row r="6428" ht="22.5" customHeight="1">
      <c r="B6428" s="13"/>
      <c r="C6428" s="13"/>
      <c r="D6428" s="13"/>
      <c r="E6428" s="14"/>
      <c r="F6428" s="14"/>
      <c r="G6428" s="13"/>
      <c r="H6428" s="14"/>
      <c r="I6428" s="13"/>
      <c r="J6428" s="13"/>
      <c r="K6428" s="13"/>
      <c r="L6428" s="13"/>
      <c r="M6428" s="13"/>
      <c r="N6428" s="13"/>
      <c r="O6428" s="13" t="str">
        <f t="shared" si="1"/>
        <v/>
      </c>
    </row>
    <row r="6429" ht="22.5" customHeight="1">
      <c r="B6429" s="13"/>
      <c r="C6429" s="13"/>
      <c r="D6429" s="13"/>
      <c r="E6429" s="14"/>
      <c r="F6429" s="14"/>
      <c r="G6429" s="13"/>
      <c r="H6429" s="14"/>
      <c r="I6429" s="13"/>
      <c r="J6429" s="13"/>
      <c r="K6429" s="13"/>
      <c r="L6429" s="13"/>
      <c r="M6429" s="13"/>
      <c r="N6429" s="13"/>
      <c r="O6429" s="13" t="str">
        <f t="shared" si="1"/>
        <v/>
      </c>
    </row>
    <row r="6430" ht="22.5" customHeight="1">
      <c r="B6430" s="13"/>
      <c r="C6430" s="13"/>
      <c r="D6430" s="13"/>
      <c r="E6430" s="14"/>
      <c r="F6430" s="14"/>
      <c r="G6430" s="13"/>
      <c r="H6430" s="14"/>
      <c r="I6430" s="13"/>
      <c r="J6430" s="13"/>
      <c r="K6430" s="13"/>
      <c r="L6430" s="13"/>
      <c r="M6430" s="13"/>
      <c r="N6430" s="13"/>
      <c r="O6430" s="13" t="str">
        <f t="shared" si="1"/>
        <v/>
      </c>
    </row>
    <row r="6431" ht="22.5" customHeight="1">
      <c r="B6431" s="13"/>
      <c r="C6431" s="13"/>
      <c r="D6431" s="13"/>
      <c r="E6431" s="14"/>
      <c r="F6431" s="14"/>
      <c r="G6431" s="13"/>
      <c r="H6431" s="14"/>
      <c r="I6431" s="13"/>
      <c r="J6431" s="13"/>
      <c r="K6431" s="13"/>
      <c r="L6431" s="13"/>
      <c r="M6431" s="13"/>
      <c r="N6431" s="13"/>
      <c r="O6431" s="13" t="str">
        <f t="shared" si="1"/>
        <v/>
      </c>
    </row>
    <row r="6432" ht="22.5" customHeight="1">
      <c r="B6432" s="13"/>
      <c r="C6432" s="13"/>
      <c r="D6432" s="13"/>
      <c r="E6432" s="14"/>
      <c r="F6432" s="14"/>
      <c r="G6432" s="13"/>
      <c r="H6432" s="14"/>
      <c r="I6432" s="13"/>
      <c r="J6432" s="13"/>
      <c r="K6432" s="13"/>
      <c r="L6432" s="13"/>
      <c r="M6432" s="13"/>
      <c r="N6432" s="13"/>
      <c r="O6432" s="13" t="str">
        <f t="shared" si="1"/>
        <v/>
      </c>
    </row>
    <row r="6433" ht="22.5" customHeight="1">
      <c r="B6433" s="13"/>
      <c r="C6433" s="13"/>
      <c r="D6433" s="13"/>
      <c r="E6433" s="14"/>
      <c r="F6433" s="14"/>
      <c r="G6433" s="13"/>
      <c r="H6433" s="14"/>
      <c r="I6433" s="13"/>
      <c r="J6433" s="13"/>
      <c r="K6433" s="13"/>
      <c r="L6433" s="13"/>
      <c r="M6433" s="13"/>
      <c r="N6433" s="13"/>
      <c r="O6433" s="13" t="str">
        <f t="shared" si="1"/>
        <v/>
      </c>
    </row>
    <row r="6434" ht="22.5" customHeight="1">
      <c r="B6434" s="13"/>
      <c r="C6434" s="13"/>
      <c r="D6434" s="13"/>
      <c r="E6434" s="14"/>
      <c r="F6434" s="14"/>
      <c r="G6434" s="13"/>
      <c r="H6434" s="14"/>
      <c r="I6434" s="13"/>
      <c r="J6434" s="13"/>
      <c r="K6434" s="13"/>
      <c r="L6434" s="13"/>
      <c r="M6434" s="13"/>
      <c r="N6434" s="13"/>
      <c r="O6434" s="13" t="str">
        <f t="shared" si="1"/>
        <v/>
      </c>
    </row>
    <row r="6435" ht="22.5" customHeight="1">
      <c r="B6435" s="13"/>
      <c r="C6435" s="13"/>
      <c r="D6435" s="13"/>
      <c r="E6435" s="14"/>
      <c r="F6435" s="14"/>
      <c r="G6435" s="13"/>
      <c r="H6435" s="14"/>
      <c r="I6435" s="13"/>
      <c r="J6435" s="13"/>
      <c r="K6435" s="13"/>
      <c r="L6435" s="13"/>
      <c r="M6435" s="13"/>
      <c r="N6435" s="13"/>
      <c r="O6435" s="13" t="str">
        <f t="shared" si="1"/>
        <v/>
      </c>
    </row>
    <row r="6436" ht="22.5" customHeight="1">
      <c r="B6436" s="13"/>
      <c r="C6436" s="13"/>
      <c r="D6436" s="13"/>
      <c r="E6436" s="14"/>
      <c r="F6436" s="14"/>
      <c r="G6436" s="13"/>
      <c r="H6436" s="14"/>
      <c r="I6436" s="13"/>
      <c r="J6436" s="13"/>
      <c r="K6436" s="13"/>
      <c r="L6436" s="13"/>
      <c r="M6436" s="13"/>
      <c r="N6436" s="13"/>
      <c r="O6436" s="13" t="str">
        <f t="shared" si="1"/>
        <v/>
      </c>
    </row>
    <row r="6437" ht="22.5" customHeight="1">
      <c r="B6437" s="13"/>
      <c r="C6437" s="13"/>
      <c r="D6437" s="13"/>
      <c r="E6437" s="14"/>
      <c r="F6437" s="14"/>
      <c r="G6437" s="13"/>
      <c r="H6437" s="14"/>
      <c r="I6437" s="13"/>
      <c r="J6437" s="13"/>
      <c r="K6437" s="13"/>
      <c r="L6437" s="13"/>
      <c r="M6437" s="13"/>
      <c r="N6437" s="13"/>
      <c r="O6437" s="13" t="str">
        <f t="shared" si="1"/>
        <v/>
      </c>
    </row>
    <row r="6438" ht="22.5" customHeight="1">
      <c r="B6438" s="13"/>
      <c r="C6438" s="13"/>
      <c r="D6438" s="13"/>
      <c r="E6438" s="14"/>
      <c r="F6438" s="14"/>
      <c r="G6438" s="13"/>
      <c r="H6438" s="14"/>
      <c r="I6438" s="13"/>
      <c r="J6438" s="13"/>
      <c r="K6438" s="13"/>
      <c r="L6438" s="13"/>
      <c r="M6438" s="13"/>
      <c r="N6438" s="13"/>
      <c r="O6438" s="13" t="str">
        <f t="shared" si="1"/>
        <v/>
      </c>
    </row>
    <row r="6439" ht="22.5" customHeight="1">
      <c r="B6439" s="13"/>
      <c r="C6439" s="13"/>
      <c r="D6439" s="13"/>
      <c r="E6439" s="14"/>
      <c r="F6439" s="14"/>
      <c r="G6439" s="13"/>
      <c r="H6439" s="14"/>
      <c r="I6439" s="13"/>
      <c r="J6439" s="13"/>
      <c r="K6439" s="13"/>
      <c r="L6439" s="13"/>
      <c r="M6439" s="13"/>
      <c r="N6439" s="13"/>
      <c r="O6439" s="13" t="str">
        <f t="shared" si="1"/>
        <v/>
      </c>
    </row>
    <row r="6440" ht="22.5" customHeight="1">
      <c r="B6440" s="13"/>
      <c r="C6440" s="13"/>
      <c r="D6440" s="13"/>
      <c r="E6440" s="14"/>
      <c r="F6440" s="14"/>
      <c r="G6440" s="13"/>
      <c r="H6440" s="14"/>
      <c r="I6440" s="13"/>
      <c r="J6440" s="13"/>
      <c r="K6440" s="13"/>
      <c r="L6440" s="13"/>
      <c r="M6440" s="13"/>
      <c r="N6440" s="13"/>
      <c r="O6440" s="13" t="str">
        <f t="shared" si="1"/>
        <v/>
      </c>
    </row>
    <row r="6441" ht="22.5" customHeight="1">
      <c r="B6441" s="13"/>
      <c r="C6441" s="13"/>
      <c r="D6441" s="13"/>
      <c r="E6441" s="14"/>
      <c r="F6441" s="14"/>
      <c r="G6441" s="13"/>
      <c r="H6441" s="14"/>
      <c r="I6441" s="13"/>
      <c r="J6441" s="13"/>
      <c r="K6441" s="13"/>
      <c r="L6441" s="13"/>
      <c r="M6441" s="13"/>
      <c r="N6441" s="13"/>
      <c r="O6441" s="13" t="str">
        <f t="shared" si="1"/>
        <v/>
      </c>
    </row>
    <row r="6442" ht="22.5" customHeight="1">
      <c r="B6442" s="13"/>
      <c r="C6442" s="13"/>
      <c r="D6442" s="13"/>
      <c r="E6442" s="14"/>
      <c r="F6442" s="14"/>
      <c r="G6442" s="13"/>
      <c r="H6442" s="14"/>
      <c r="I6442" s="13"/>
      <c r="J6442" s="13"/>
      <c r="K6442" s="13"/>
      <c r="L6442" s="13"/>
      <c r="M6442" s="13"/>
      <c r="N6442" s="13"/>
      <c r="O6442" s="13" t="str">
        <f t="shared" si="1"/>
        <v/>
      </c>
    </row>
    <row r="6443" ht="22.5" customHeight="1">
      <c r="B6443" s="13"/>
      <c r="C6443" s="13"/>
      <c r="D6443" s="13"/>
      <c r="E6443" s="14"/>
      <c r="F6443" s="14"/>
      <c r="G6443" s="13"/>
      <c r="H6443" s="14"/>
      <c r="I6443" s="13"/>
      <c r="J6443" s="13"/>
      <c r="K6443" s="13"/>
      <c r="L6443" s="13"/>
      <c r="M6443" s="13"/>
      <c r="N6443" s="13"/>
      <c r="O6443" s="13" t="str">
        <f t="shared" si="1"/>
        <v/>
      </c>
    </row>
    <row r="6444" ht="22.5" customHeight="1">
      <c r="B6444" s="13"/>
      <c r="C6444" s="13"/>
      <c r="D6444" s="13"/>
      <c r="E6444" s="14"/>
      <c r="F6444" s="14"/>
      <c r="G6444" s="13"/>
      <c r="H6444" s="14"/>
      <c r="I6444" s="13"/>
      <c r="J6444" s="13"/>
      <c r="K6444" s="13"/>
      <c r="L6444" s="13"/>
      <c r="M6444" s="13"/>
      <c r="N6444" s="13"/>
      <c r="O6444" s="13" t="str">
        <f t="shared" si="1"/>
        <v/>
      </c>
    </row>
    <row r="6445" ht="22.5" customHeight="1">
      <c r="B6445" s="13"/>
      <c r="C6445" s="13"/>
      <c r="D6445" s="13"/>
      <c r="E6445" s="14"/>
      <c r="F6445" s="14"/>
      <c r="G6445" s="13"/>
      <c r="H6445" s="14"/>
      <c r="I6445" s="13"/>
      <c r="J6445" s="13"/>
      <c r="K6445" s="13"/>
      <c r="L6445" s="13"/>
      <c r="M6445" s="13"/>
      <c r="N6445" s="13"/>
      <c r="O6445" s="13" t="str">
        <f t="shared" si="1"/>
        <v/>
      </c>
    </row>
    <row r="6446" ht="22.5" customHeight="1">
      <c r="B6446" s="13"/>
      <c r="C6446" s="13"/>
      <c r="D6446" s="13"/>
      <c r="E6446" s="14"/>
      <c r="F6446" s="14"/>
      <c r="G6446" s="13"/>
      <c r="H6446" s="14"/>
      <c r="I6446" s="13"/>
      <c r="J6446" s="13"/>
      <c r="K6446" s="13"/>
      <c r="L6446" s="13"/>
      <c r="M6446" s="13"/>
      <c r="N6446" s="13"/>
      <c r="O6446" s="13" t="str">
        <f t="shared" si="1"/>
        <v/>
      </c>
    </row>
    <row r="6447" ht="22.5" customHeight="1">
      <c r="B6447" s="13"/>
      <c r="C6447" s="13"/>
      <c r="D6447" s="13"/>
      <c r="E6447" s="14"/>
      <c r="F6447" s="14"/>
      <c r="G6447" s="13"/>
      <c r="H6447" s="14"/>
      <c r="I6447" s="13"/>
      <c r="J6447" s="13"/>
      <c r="K6447" s="13"/>
      <c r="L6447" s="13"/>
      <c r="M6447" s="13"/>
      <c r="N6447" s="13"/>
      <c r="O6447" s="13" t="str">
        <f t="shared" si="1"/>
        <v/>
      </c>
    </row>
    <row r="6448" ht="22.5" customHeight="1">
      <c r="B6448" s="13"/>
      <c r="C6448" s="13"/>
      <c r="D6448" s="13"/>
      <c r="E6448" s="14"/>
      <c r="F6448" s="14"/>
      <c r="G6448" s="13"/>
      <c r="H6448" s="14"/>
      <c r="I6448" s="13"/>
      <c r="J6448" s="13"/>
      <c r="K6448" s="13"/>
      <c r="L6448" s="13"/>
      <c r="M6448" s="13"/>
      <c r="N6448" s="13"/>
      <c r="O6448" s="13" t="str">
        <f t="shared" si="1"/>
        <v/>
      </c>
    </row>
    <row r="6449" ht="22.5" customHeight="1">
      <c r="B6449" s="13"/>
      <c r="C6449" s="13"/>
      <c r="D6449" s="13"/>
      <c r="E6449" s="14"/>
      <c r="F6449" s="14"/>
      <c r="G6449" s="13"/>
      <c r="H6449" s="14"/>
      <c r="I6449" s="13"/>
      <c r="J6449" s="13"/>
      <c r="K6449" s="13"/>
      <c r="L6449" s="13"/>
      <c r="M6449" s="13"/>
      <c r="N6449" s="13"/>
      <c r="O6449" s="13" t="str">
        <f t="shared" si="1"/>
        <v/>
      </c>
    </row>
    <row r="6450" ht="22.5" customHeight="1">
      <c r="B6450" s="13"/>
      <c r="C6450" s="13"/>
      <c r="D6450" s="13"/>
      <c r="E6450" s="14"/>
      <c r="F6450" s="14"/>
      <c r="G6450" s="13"/>
      <c r="H6450" s="14"/>
      <c r="I6450" s="13"/>
      <c r="J6450" s="13"/>
      <c r="K6450" s="13"/>
      <c r="L6450" s="13"/>
      <c r="M6450" s="13"/>
      <c r="N6450" s="13"/>
      <c r="O6450" s="13" t="str">
        <f t="shared" si="1"/>
        <v/>
      </c>
    </row>
    <row r="6451" ht="22.5" customHeight="1">
      <c r="B6451" s="13"/>
      <c r="C6451" s="13"/>
      <c r="D6451" s="13"/>
      <c r="E6451" s="14"/>
      <c r="F6451" s="14"/>
      <c r="G6451" s="13"/>
      <c r="H6451" s="14"/>
      <c r="I6451" s="13"/>
      <c r="J6451" s="13"/>
      <c r="K6451" s="13"/>
      <c r="L6451" s="13"/>
      <c r="M6451" s="13"/>
      <c r="N6451" s="13"/>
      <c r="O6451" s="13" t="str">
        <f t="shared" si="1"/>
        <v/>
      </c>
    </row>
    <row r="6452" ht="22.5" customHeight="1">
      <c r="B6452" s="13"/>
      <c r="C6452" s="13"/>
      <c r="D6452" s="13"/>
      <c r="E6452" s="14"/>
      <c r="F6452" s="14"/>
      <c r="G6452" s="13"/>
      <c r="H6452" s="14"/>
      <c r="I6452" s="13"/>
      <c r="J6452" s="13"/>
      <c r="K6452" s="13"/>
      <c r="L6452" s="13"/>
      <c r="M6452" s="13"/>
      <c r="N6452" s="13"/>
      <c r="O6452" s="13" t="str">
        <f t="shared" si="1"/>
        <v/>
      </c>
    </row>
    <row r="6453" ht="22.5" customHeight="1">
      <c r="B6453" s="13"/>
      <c r="C6453" s="13"/>
      <c r="D6453" s="13"/>
      <c r="E6453" s="14"/>
      <c r="F6453" s="14"/>
      <c r="G6453" s="13"/>
      <c r="H6453" s="14"/>
      <c r="I6453" s="13"/>
      <c r="J6453" s="13"/>
      <c r="K6453" s="13"/>
      <c r="L6453" s="13"/>
      <c r="M6453" s="13"/>
      <c r="N6453" s="13"/>
      <c r="O6453" s="13" t="str">
        <f t="shared" si="1"/>
        <v/>
      </c>
    </row>
    <row r="6454" ht="22.5" customHeight="1">
      <c r="B6454" s="13"/>
      <c r="C6454" s="13"/>
      <c r="D6454" s="13"/>
      <c r="E6454" s="14"/>
      <c r="F6454" s="14"/>
      <c r="G6454" s="13"/>
      <c r="H6454" s="14"/>
      <c r="I6454" s="13"/>
      <c r="J6454" s="13"/>
      <c r="K6454" s="13"/>
      <c r="L6454" s="13"/>
      <c r="M6454" s="13"/>
      <c r="N6454" s="13"/>
      <c r="O6454" s="13" t="str">
        <f t="shared" si="1"/>
        <v/>
      </c>
    </row>
    <row r="6455" ht="22.5" customHeight="1">
      <c r="B6455" s="13"/>
      <c r="C6455" s="13"/>
      <c r="D6455" s="13"/>
      <c r="E6455" s="14"/>
      <c r="F6455" s="14"/>
      <c r="G6455" s="13"/>
      <c r="H6455" s="14"/>
      <c r="I6455" s="13"/>
      <c r="J6455" s="13"/>
      <c r="K6455" s="13"/>
      <c r="L6455" s="13"/>
      <c r="M6455" s="13"/>
      <c r="N6455" s="13"/>
      <c r="O6455" s="13" t="str">
        <f t="shared" si="1"/>
        <v/>
      </c>
    </row>
    <row r="6456" ht="22.5" customHeight="1">
      <c r="B6456" s="13"/>
      <c r="C6456" s="13"/>
      <c r="D6456" s="13"/>
      <c r="E6456" s="14"/>
      <c r="F6456" s="14"/>
      <c r="G6456" s="13"/>
      <c r="H6456" s="14"/>
      <c r="I6456" s="13"/>
      <c r="J6456" s="13"/>
      <c r="K6456" s="13"/>
      <c r="L6456" s="13"/>
      <c r="M6456" s="13"/>
      <c r="N6456" s="13"/>
      <c r="O6456" s="13" t="str">
        <f t="shared" si="1"/>
        <v/>
      </c>
    </row>
    <row r="6457" ht="22.5" customHeight="1">
      <c r="B6457" s="13"/>
      <c r="C6457" s="13"/>
      <c r="D6457" s="13"/>
      <c r="E6457" s="14"/>
      <c r="F6457" s="14"/>
      <c r="G6457" s="13"/>
      <c r="H6457" s="14"/>
      <c r="I6457" s="13"/>
      <c r="J6457" s="13"/>
      <c r="K6457" s="13"/>
      <c r="L6457" s="13"/>
      <c r="M6457" s="13"/>
      <c r="N6457" s="13"/>
      <c r="O6457" s="13" t="str">
        <f t="shared" si="1"/>
        <v/>
      </c>
    </row>
    <row r="6458" ht="22.5" customHeight="1">
      <c r="B6458" s="13"/>
      <c r="C6458" s="13"/>
      <c r="D6458" s="13"/>
      <c r="E6458" s="14"/>
      <c r="F6458" s="14"/>
      <c r="G6458" s="13"/>
      <c r="H6458" s="14"/>
      <c r="I6458" s="13"/>
      <c r="J6458" s="13"/>
      <c r="K6458" s="13"/>
      <c r="L6458" s="13"/>
      <c r="M6458" s="13"/>
      <c r="N6458" s="13"/>
      <c r="O6458" s="13" t="str">
        <f t="shared" si="1"/>
        <v/>
      </c>
    </row>
    <row r="6459" ht="22.5" customHeight="1">
      <c r="B6459" s="13"/>
      <c r="C6459" s="13"/>
      <c r="D6459" s="13"/>
      <c r="E6459" s="14"/>
      <c r="F6459" s="14"/>
      <c r="G6459" s="13"/>
      <c r="H6459" s="14"/>
      <c r="I6459" s="13"/>
      <c r="J6459" s="13"/>
      <c r="K6459" s="13"/>
      <c r="L6459" s="13"/>
      <c r="M6459" s="13"/>
      <c r="N6459" s="13"/>
      <c r="O6459" s="13" t="str">
        <f t="shared" si="1"/>
        <v/>
      </c>
    </row>
    <row r="6460" ht="22.5" customHeight="1">
      <c r="B6460" s="13"/>
      <c r="C6460" s="13"/>
      <c r="D6460" s="13"/>
      <c r="E6460" s="14"/>
      <c r="F6460" s="14"/>
      <c r="G6460" s="13"/>
      <c r="H6460" s="14"/>
      <c r="I6460" s="13"/>
      <c r="J6460" s="13"/>
      <c r="K6460" s="13"/>
      <c r="L6460" s="13"/>
      <c r="M6460" s="13"/>
      <c r="N6460" s="13"/>
      <c r="O6460" s="13" t="str">
        <f t="shared" si="1"/>
        <v/>
      </c>
    </row>
    <row r="6461" ht="22.5" customHeight="1">
      <c r="B6461" s="13"/>
      <c r="C6461" s="13"/>
      <c r="D6461" s="13"/>
      <c r="E6461" s="14"/>
      <c r="F6461" s="14"/>
      <c r="G6461" s="13"/>
      <c r="H6461" s="14"/>
      <c r="I6461" s="13"/>
      <c r="J6461" s="13"/>
      <c r="K6461" s="13"/>
      <c r="L6461" s="13"/>
      <c r="M6461" s="13"/>
      <c r="N6461" s="13"/>
      <c r="O6461" s="13" t="str">
        <f t="shared" si="1"/>
        <v/>
      </c>
    </row>
    <row r="6462" ht="22.5" customHeight="1">
      <c r="B6462" s="13"/>
      <c r="C6462" s="13"/>
      <c r="D6462" s="13"/>
      <c r="E6462" s="14"/>
      <c r="F6462" s="14"/>
      <c r="G6462" s="13"/>
      <c r="H6462" s="14"/>
      <c r="I6462" s="13"/>
      <c r="J6462" s="13"/>
      <c r="K6462" s="13"/>
      <c r="L6462" s="13"/>
      <c r="M6462" s="13"/>
      <c r="N6462" s="13"/>
      <c r="O6462" s="13" t="str">
        <f t="shared" si="1"/>
        <v/>
      </c>
    </row>
    <row r="6463" ht="22.5" customHeight="1">
      <c r="B6463" s="13"/>
      <c r="C6463" s="13"/>
      <c r="D6463" s="13"/>
      <c r="E6463" s="14"/>
      <c r="F6463" s="14"/>
      <c r="G6463" s="13"/>
      <c r="H6463" s="14"/>
      <c r="I6463" s="13"/>
      <c r="J6463" s="13"/>
      <c r="K6463" s="13"/>
      <c r="L6463" s="13"/>
      <c r="M6463" s="13"/>
      <c r="N6463" s="13"/>
      <c r="O6463" s="13" t="str">
        <f t="shared" si="1"/>
        <v/>
      </c>
    </row>
    <row r="6464" ht="22.5" customHeight="1">
      <c r="B6464" s="13"/>
      <c r="C6464" s="13"/>
      <c r="D6464" s="13"/>
      <c r="E6464" s="14"/>
      <c r="F6464" s="14"/>
      <c r="G6464" s="13"/>
      <c r="H6464" s="14"/>
      <c r="I6464" s="13"/>
      <c r="J6464" s="13"/>
      <c r="K6464" s="13"/>
      <c r="L6464" s="13"/>
      <c r="M6464" s="13"/>
      <c r="N6464" s="13"/>
      <c r="O6464" s="13" t="str">
        <f t="shared" si="1"/>
        <v/>
      </c>
    </row>
    <row r="6465" ht="22.5" customHeight="1">
      <c r="B6465" s="13"/>
      <c r="C6465" s="13"/>
      <c r="D6465" s="13"/>
      <c r="E6465" s="14"/>
      <c r="F6465" s="14"/>
      <c r="G6465" s="13"/>
      <c r="H6465" s="14"/>
      <c r="I6465" s="13"/>
      <c r="J6465" s="13"/>
      <c r="K6465" s="13"/>
      <c r="L6465" s="13"/>
      <c r="M6465" s="13"/>
      <c r="N6465" s="13"/>
      <c r="O6465" s="13" t="str">
        <f t="shared" si="1"/>
        <v/>
      </c>
    </row>
    <row r="6466" ht="22.5" customHeight="1">
      <c r="B6466" s="13"/>
      <c r="C6466" s="13"/>
      <c r="D6466" s="13"/>
      <c r="E6466" s="14"/>
      <c r="F6466" s="14"/>
      <c r="G6466" s="13"/>
      <c r="H6466" s="14"/>
      <c r="I6466" s="13"/>
      <c r="J6466" s="13"/>
      <c r="K6466" s="13"/>
      <c r="L6466" s="13"/>
      <c r="M6466" s="13"/>
      <c r="N6466" s="13"/>
      <c r="O6466" s="13" t="str">
        <f t="shared" si="1"/>
        <v/>
      </c>
    </row>
    <row r="6467" ht="22.5" customHeight="1">
      <c r="B6467" s="13"/>
      <c r="C6467" s="13"/>
      <c r="D6467" s="13"/>
      <c r="E6467" s="14"/>
      <c r="F6467" s="14"/>
      <c r="G6467" s="13"/>
      <c r="H6467" s="14"/>
      <c r="I6467" s="13"/>
      <c r="J6467" s="13"/>
      <c r="K6467" s="13"/>
      <c r="L6467" s="13"/>
      <c r="M6467" s="13"/>
      <c r="N6467" s="13"/>
      <c r="O6467" s="13" t="str">
        <f t="shared" si="1"/>
        <v/>
      </c>
    </row>
    <row r="6468" ht="22.5" customHeight="1">
      <c r="B6468" s="13"/>
      <c r="C6468" s="13"/>
      <c r="D6468" s="13"/>
      <c r="E6468" s="14"/>
      <c r="F6468" s="14"/>
      <c r="G6468" s="13"/>
      <c r="H6468" s="14"/>
      <c r="I6468" s="13"/>
      <c r="J6468" s="13"/>
      <c r="K6468" s="13"/>
      <c r="L6468" s="13"/>
      <c r="M6468" s="13"/>
      <c r="N6468" s="13"/>
      <c r="O6468" s="13" t="str">
        <f t="shared" si="1"/>
        <v/>
      </c>
    </row>
    <row r="6469" ht="22.5" customHeight="1">
      <c r="B6469" s="13"/>
      <c r="C6469" s="13"/>
      <c r="D6469" s="13"/>
      <c r="E6469" s="14"/>
      <c r="F6469" s="14"/>
      <c r="G6469" s="13"/>
      <c r="H6469" s="14"/>
      <c r="I6469" s="13"/>
      <c r="J6469" s="13"/>
      <c r="K6469" s="13"/>
      <c r="L6469" s="13"/>
      <c r="M6469" s="13"/>
      <c r="N6469" s="13"/>
      <c r="O6469" s="13" t="str">
        <f t="shared" si="1"/>
        <v/>
      </c>
    </row>
    <row r="6470" ht="22.5" customHeight="1">
      <c r="B6470" s="13"/>
      <c r="C6470" s="13"/>
      <c r="D6470" s="13"/>
      <c r="E6470" s="14"/>
      <c r="F6470" s="14"/>
      <c r="G6470" s="13"/>
      <c r="H6470" s="14"/>
      <c r="I6470" s="13"/>
      <c r="J6470" s="13"/>
      <c r="K6470" s="13"/>
      <c r="L6470" s="13"/>
      <c r="M6470" s="13"/>
      <c r="N6470" s="13"/>
      <c r="O6470" s="13" t="str">
        <f t="shared" si="1"/>
        <v/>
      </c>
    </row>
    <row r="6471" ht="22.5" customHeight="1">
      <c r="B6471" s="13"/>
      <c r="C6471" s="13"/>
      <c r="D6471" s="13"/>
      <c r="E6471" s="14"/>
      <c r="F6471" s="14"/>
      <c r="G6471" s="13"/>
      <c r="H6471" s="14"/>
      <c r="I6471" s="13"/>
      <c r="J6471" s="13"/>
      <c r="K6471" s="13"/>
      <c r="L6471" s="13"/>
      <c r="M6471" s="13"/>
      <c r="N6471" s="13"/>
      <c r="O6471" s="13" t="str">
        <f t="shared" si="1"/>
        <v/>
      </c>
    </row>
    <row r="6472" ht="22.5" customHeight="1">
      <c r="B6472" s="13"/>
      <c r="C6472" s="13"/>
      <c r="D6472" s="13"/>
      <c r="E6472" s="14"/>
      <c r="F6472" s="14"/>
      <c r="G6472" s="13"/>
      <c r="H6472" s="14"/>
      <c r="I6472" s="13"/>
      <c r="J6472" s="13"/>
      <c r="K6472" s="13"/>
      <c r="L6472" s="13"/>
      <c r="M6472" s="13"/>
      <c r="N6472" s="13"/>
      <c r="O6472" s="13" t="str">
        <f t="shared" si="1"/>
        <v/>
      </c>
    </row>
    <row r="6473" ht="22.5" customHeight="1">
      <c r="B6473" s="13"/>
      <c r="C6473" s="13"/>
      <c r="D6473" s="13"/>
      <c r="E6473" s="14"/>
      <c r="F6473" s="14"/>
      <c r="G6473" s="13"/>
      <c r="H6473" s="14"/>
      <c r="I6473" s="13"/>
      <c r="J6473" s="13"/>
      <c r="K6473" s="13"/>
      <c r="L6473" s="13"/>
      <c r="M6473" s="13"/>
      <c r="N6473" s="13"/>
      <c r="O6473" s="13" t="str">
        <f t="shared" si="1"/>
        <v/>
      </c>
    </row>
    <row r="6474" ht="22.5" customHeight="1">
      <c r="B6474" s="13"/>
      <c r="C6474" s="13"/>
      <c r="D6474" s="13"/>
      <c r="E6474" s="14"/>
      <c r="F6474" s="14"/>
      <c r="G6474" s="13"/>
      <c r="H6474" s="14"/>
      <c r="I6474" s="13"/>
      <c r="J6474" s="13"/>
      <c r="K6474" s="13"/>
      <c r="L6474" s="13"/>
      <c r="M6474" s="13"/>
      <c r="N6474" s="13"/>
      <c r="O6474" s="13" t="str">
        <f t="shared" si="1"/>
        <v/>
      </c>
    </row>
    <row r="6475" ht="22.5" customHeight="1">
      <c r="B6475" s="13"/>
      <c r="C6475" s="13"/>
      <c r="D6475" s="13"/>
      <c r="E6475" s="14"/>
      <c r="F6475" s="14"/>
      <c r="G6475" s="13"/>
      <c r="H6475" s="14"/>
      <c r="I6475" s="13"/>
      <c r="J6475" s="13"/>
      <c r="K6475" s="13"/>
      <c r="L6475" s="13"/>
      <c r="M6475" s="13"/>
      <c r="N6475" s="13"/>
      <c r="O6475" s="13" t="str">
        <f t="shared" si="1"/>
        <v/>
      </c>
    </row>
    <row r="6476" ht="22.5" customHeight="1">
      <c r="B6476" s="13"/>
      <c r="C6476" s="13"/>
      <c r="D6476" s="13"/>
      <c r="E6476" s="14"/>
      <c r="F6476" s="14"/>
      <c r="G6476" s="13"/>
      <c r="H6476" s="14"/>
      <c r="I6476" s="13"/>
      <c r="J6476" s="13"/>
      <c r="K6476" s="13"/>
      <c r="L6476" s="13"/>
      <c r="M6476" s="13"/>
      <c r="N6476" s="13"/>
      <c r="O6476" s="13" t="str">
        <f t="shared" si="1"/>
        <v/>
      </c>
    </row>
    <row r="6477" ht="22.5" customHeight="1">
      <c r="B6477" s="13"/>
      <c r="C6477" s="13"/>
      <c r="D6477" s="13"/>
      <c r="E6477" s="14"/>
      <c r="F6477" s="14"/>
      <c r="G6477" s="13"/>
      <c r="H6477" s="14"/>
      <c r="I6477" s="13"/>
      <c r="J6477" s="13"/>
      <c r="K6477" s="13"/>
      <c r="L6477" s="13"/>
      <c r="M6477" s="13"/>
      <c r="N6477" s="13"/>
      <c r="O6477" s="13" t="str">
        <f t="shared" si="1"/>
        <v/>
      </c>
    </row>
    <row r="6478" ht="22.5" customHeight="1">
      <c r="B6478" s="13"/>
      <c r="C6478" s="13"/>
      <c r="D6478" s="13"/>
      <c r="E6478" s="14"/>
      <c r="F6478" s="14"/>
      <c r="G6478" s="13"/>
      <c r="H6478" s="14"/>
      <c r="I6478" s="13"/>
      <c r="J6478" s="13"/>
      <c r="K6478" s="13"/>
      <c r="L6478" s="13"/>
      <c r="M6478" s="13"/>
      <c r="N6478" s="13"/>
      <c r="O6478" s="13" t="str">
        <f t="shared" si="1"/>
        <v/>
      </c>
    </row>
    <row r="6479" ht="22.5" customHeight="1">
      <c r="B6479" s="13"/>
      <c r="C6479" s="13"/>
      <c r="D6479" s="13"/>
      <c r="E6479" s="14"/>
      <c r="F6479" s="14"/>
      <c r="G6479" s="13"/>
      <c r="H6479" s="14"/>
      <c r="I6479" s="13"/>
      <c r="J6479" s="13"/>
      <c r="K6479" s="13"/>
      <c r="L6479" s="13"/>
      <c r="M6479" s="13"/>
      <c r="N6479" s="13"/>
      <c r="O6479" s="13" t="str">
        <f t="shared" si="1"/>
        <v/>
      </c>
    </row>
    <row r="6480" ht="22.5" customHeight="1">
      <c r="B6480" s="13"/>
      <c r="C6480" s="13"/>
      <c r="D6480" s="13"/>
      <c r="E6480" s="14"/>
      <c r="F6480" s="14"/>
      <c r="G6480" s="13"/>
      <c r="H6480" s="14"/>
      <c r="I6480" s="13"/>
      <c r="J6480" s="13"/>
      <c r="K6480" s="13"/>
      <c r="L6480" s="13"/>
      <c r="M6480" s="13"/>
      <c r="N6480" s="13"/>
      <c r="O6480" s="13" t="str">
        <f t="shared" si="1"/>
        <v/>
      </c>
    </row>
    <row r="6481" ht="22.5" customHeight="1">
      <c r="B6481" s="13"/>
      <c r="C6481" s="13"/>
      <c r="D6481" s="13"/>
      <c r="E6481" s="14"/>
      <c r="F6481" s="14"/>
      <c r="G6481" s="13"/>
      <c r="H6481" s="14"/>
      <c r="I6481" s="13"/>
      <c r="J6481" s="13"/>
      <c r="K6481" s="13"/>
      <c r="L6481" s="13"/>
      <c r="M6481" s="13"/>
      <c r="N6481" s="13"/>
      <c r="O6481" s="13" t="str">
        <f t="shared" si="1"/>
        <v/>
      </c>
    </row>
    <row r="6482" ht="22.5" customHeight="1">
      <c r="B6482" s="13"/>
      <c r="C6482" s="13"/>
      <c r="D6482" s="13"/>
      <c r="E6482" s="14"/>
      <c r="F6482" s="14"/>
      <c r="G6482" s="13"/>
      <c r="H6482" s="14"/>
      <c r="I6482" s="13"/>
      <c r="J6482" s="13"/>
      <c r="K6482" s="13"/>
      <c r="L6482" s="13"/>
      <c r="M6482" s="13"/>
      <c r="N6482" s="13"/>
      <c r="O6482" s="13" t="str">
        <f t="shared" si="1"/>
        <v/>
      </c>
    </row>
    <row r="6483" ht="22.5" customHeight="1">
      <c r="B6483" s="13"/>
      <c r="C6483" s="13"/>
      <c r="D6483" s="13"/>
      <c r="E6483" s="14"/>
      <c r="F6483" s="14"/>
      <c r="G6483" s="13"/>
      <c r="H6483" s="14"/>
      <c r="I6483" s="13"/>
      <c r="J6483" s="13"/>
      <c r="K6483" s="13"/>
      <c r="L6483" s="13"/>
      <c r="M6483" s="13"/>
      <c r="N6483" s="13"/>
      <c r="O6483" s="13" t="str">
        <f t="shared" si="1"/>
        <v/>
      </c>
    </row>
    <row r="6484" ht="22.5" customHeight="1">
      <c r="B6484" s="13"/>
      <c r="C6484" s="13"/>
      <c r="D6484" s="13"/>
      <c r="E6484" s="14"/>
      <c r="F6484" s="14"/>
      <c r="G6484" s="13"/>
      <c r="H6484" s="14"/>
      <c r="I6484" s="13"/>
      <c r="J6484" s="13"/>
      <c r="K6484" s="13"/>
      <c r="L6484" s="13"/>
      <c r="M6484" s="13"/>
      <c r="N6484" s="13"/>
      <c r="O6484" s="13" t="str">
        <f t="shared" si="1"/>
        <v/>
      </c>
    </row>
    <row r="6485" ht="22.5" customHeight="1">
      <c r="B6485" s="13"/>
      <c r="C6485" s="13"/>
      <c r="D6485" s="13"/>
      <c r="E6485" s="14"/>
      <c r="F6485" s="14"/>
      <c r="G6485" s="13"/>
      <c r="H6485" s="14"/>
      <c r="I6485" s="13"/>
      <c r="J6485" s="13"/>
      <c r="K6485" s="13"/>
      <c r="L6485" s="13"/>
      <c r="M6485" s="13"/>
      <c r="N6485" s="13"/>
      <c r="O6485" s="13" t="str">
        <f t="shared" si="1"/>
        <v/>
      </c>
    </row>
    <row r="6486" ht="22.5" customHeight="1">
      <c r="B6486" s="13"/>
      <c r="C6486" s="13"/>
      <c r="D6486" s="13"/>
      <c r="E6486" s="14"/>
      <c r="F6486" s="14"/>
      <c r="G6486" s="13"/>
      <c r="H6486" s="14"/>
      <c r="I6486" s="13"/>
      <c r="J6486" s="13"/>
      <c r="K6486" s="13"/>
      <c r="L6486" s="13"/>
      <c r="M6486" s="13"/>
      <c r="N6486" s="13"/>
      <c r="O6486" s="13" t="str">
        <f t="shared" si="1"/>
        <v/>
      </c>
    </row>
    <row r="6487" ht="22.5" customHeight="1">
      <c r="B6487" s="13"/>
      <c r="C6487" s="13"/>
      <c r="D6487" s="13"/>
      <c r="E6487" s="14"/>
      <c r="F6487" s="14"/>
      <c r="G6487" s="13"/>
      <c r="H6487" s="14"/>
      <c r="I6487" s="13"/>
      <c r="J6487" s="13"/>
      <c r="K6487" s="13"/>
      <c r="L6487" s="13"/>
      <c r="M6487" s="13"/>
      <c r="N6487" s="13"/>
      <c r="O6487" s="13" t="str">
        <f t="shared" si="1"/>
        <v/>
      </c>
    </row>
    <row r="6488" ht="22.5" customHeight="1">
      <c r="B6488" s="13"/>
      <c r="C6488" s="13"/>
      <c r="D6488" s="13"/>
      <c r="E6488" s="14"/>
      <c r="F6488" s="14"/>
      <c r="G6488" s="13"/>
      <c r="H6488" s="14"/>
      <c r="I6488" s="13"/>
      <c r="J6488" s="13"/>
      <c r="K6488" s="13"/>
      <c r="L6488" s="13"/>
      <c r="M6488" s="13"/>
      <c r="N6488" s="13"/>
      <c r="O6488" s="13" t="str">
        <f t="shared" si="1"/>
        <v/>
      </c>
    </row>
    <row r="6489" ht="22.5" customHeight="1">
      <c r="B6489" s="13"/>
      <c r="C6489" s="13"/>
      <c r="D6489" s="13"/>
      <c r="E6489" s="14"/>
      <c r="F6489" s="14"/>
      <c r="G6489" s="13"/>
      <c r="H6489" s="14"/>
      <c r="I6489" s="13"/>
      <c r="J6489" s="13"/>
      <c r="K6489" s="13"/>
      <c r="L6489" s="13"/>
      <c r="M6489" s="13"/>
      <c r="N6489" s="13"/>
      <c r="O6489" s="13" t="str">
        <f t="shared" si="1"/>
        <v/>
      </c>
    </row>
    <row r="6490" ht="22.5" customHeight="1">
      <c r="B6490" s="13"/>
      <c r="C6490" s="13"/>
      <c r="D6490" s="13"/>
      <c r="E6490" s="14"/>
      <c r="F6490" s="14"/>
      <c r="G6490" s="13"/>
      <c r="H6490" s="14"/>
      <c r="I6490" s="13"/>
      <c r="J6490" s="13"/>
      <c r="K6490" s="13"/>
      <c r="L6490" s="13"/>
      <c r="M6490" s="13"/>
      <c r="N6490" s="13"/>
      <c r="O6490" s="13" t="str">
        <f t="shared" si="1"/>
        <v/>
      </c>
    </row>
    <row r="6491" ht="22.5" customHeight="1">
      <c r="B6491" s="13"/>
      <c r="C6491" s="13"/>
      <c r="D6491" s="13"/>
      <c r="E6491" s="14"/>
      <c r="F6491" s="14"/>
      <c r="G6491" s="13"/>
      <c r="H6491" s="14"/>
      <c r="I6491" s="13"/>
      <c r="J6491" s="13"/>
      <c r="K6491" s="13"/>
      <c r="L6491" s="13"/>
      <c r="M6491" s="13"/>
      <c r="N6491" s="13"/>
      <c r="O6491" s="13" t="str">
        <f t="shared" si="1"/>
        <v/>
      </c>
    </row>
    <row r="6492" ht="22.5" customHeight="1">
      <c r="B6492" s="13"/>
      <c r="C6492" s="13"/>
      <c r="D6492" s="13"/>
      <c r="E6492" s="14"/>
      <c r="F6492" s="14"/>
      <c r="G6492" s="13"/>
      <c r="H6492" s="14"/>
      <c r="I6492" s="13"/>
      <c r="J6492" s="13"/>
      <c r="K6492" s="13"/>
      <c r="L6492" s="13"/>
      <c r="M6492" s="13"/>
      <c r="N6492" s="13"/>
      <c r="O6492" s="13" t="str">
        <f t="shared" si="1"/>
        <v/>
      </c>
    </row>
    <row r="6493" ht="22.5" customHeight="1">
      <c r="B6493" s="13"/>
      <c r="C6493" s="13"/>
      <c r="D6493" s="13"/>
      <c r="E6493" s="14"/>
      <c r="F6493" s="14"/>
      <c r="G6493" s="13"/>
      <c r="H6493" s="14"/>
      <c r="I6493" s="13"/>
      <c r="J6493" s="13"/>
      <c r="K6493" s="13"/>
      <c r="L6493" s="13"/>
      <c r="M6493" s="13"/>
      <c r="N6493" s="13"/>
      <c r="O6493" s="13" t="str">
        <f t="shared" si="1"/>
        <v/>
      </c>
    </row>
    <row r="6494" ht="22.5" customHeight="1">
      <c r="B6494" s="13"/>
      <c r="C6494" s="13"/>
      <c r="D6494" s="13"/>
      <c r="E6494" s="14"/>
      <c r="F6494" s="14"/>
      <c r="G6494" s="13"/>
      <c r="H6494" s="14"/>
      <c r="I6494" s="13"/>
      <c r="J6494" s="13"/>
      <c r="K6494" s="13"/>
      <c r="L6494" s="13"/>
      <c r="M6494" s="13"/>
      <c r="N6494" s="13"/>
      <c r="O6494" s="13" t="str">
        <f t="shared" si="1"/>
        <v/>
      </c>
    </row>
    <row r="6495" ht="22.5" customHeight="1">
      <c r="B6495" s="13"/>
      <c r="C6495" s="13"/>
      <c r="D6495" s="13"/>
      <c r="E6495" s="14"/>
      <c r="F6495" s="14"/>
      <c r="G6495" s="13"/>
      <c r="H6495" s="14"/>
      <c r="I6495" s="13"/>
      <c r="J6495" s="13"/>
      <c r="K6495" s="13"/>
      <c r="L6495" s="13"/>
      <c r="M6495" s="13"/>
      <c r="N6495" s="13"/>
      <c r="O6495" s="13" t="str">
        <f t="shared" si="1"/>
        <v/>
      </c>
    </row>
    <row r="6496" ht="22.5" customHeight="1">
      <c r="B6496" s="13"/>
      <c r="C6496" s="13"/>
      <c r="D6496" s="13"/>
      <c r="E6496" s="14"/>
      <c r="F6496" s="14"/>
      <c r="G6496" s="13"/>
      <c r="H6496" s="14"/>
      <c r="I6496" s="13"/>
      <c r="J6496" s="13"/>
      <c r="K6496" s="13"/>
      <c r="L6496" s="13"/>
      <c r="M6496" s="13"/>
      <c r="N6496" s="13"/>
      <c r="O6496" s="13" t="str">
        <f t="shared" si="1"/>
        <v/>
      </c>
    </row>
    <row r="6497" ht="22.5" customHeight="1">
      <c r="B6497" s="13"/>
      <c r="C6497" s="13"/>
      <c r="D6497" s="13"/>
      <c r="E6497" s="14"/>
      <c r="F6497" s="14"/>
      <c r="G6497" s="13"/>
      <c r="H6497" s="14"/>
      <c r="I6497" s="13"/>
      <c r="J6497" s="13"/>
      <c r="K6497" s="13"/>
      <c r="L6497" s="13"/>
      <c r="M6497" s="13"/>
      <c r="N6497" s="13"/>
      <c r="O6497" s="13" t="str">
        <f t="shared" si="1"/>
        <v/>
      </c>
    </row>
    <row r="6498" ht="22.5" customHeight="1">
      <c r="B6498" s="13"/>
      <c r="C6498" s="13"/>
      <c r="D6498" s="13"/>
      <c r="E6498" s="14"/>
      <c r="F6498" s="14"/>
      <c r="G6498" s="13"/>
      <c r="H6498" s="14"/>
      <c r="I6498" s="13"/>
      <c r="J6498" s="13"/>
      <c r="K6498" s="13"/>
      <c r="L6498" s="13"/>
      <c r="M6498" s="13"/>
      <c r="N6498" s="13"/>
      <c r="O6498" s="13" t="str">
        <f t="shared" si="1"/>
        <v/>
      </c>
    </row>
    <row r="6499" ht="22.5" customHeight="1">
      <c r="B6499" s="13"/>
      <c r="C6499" s="13"/>
      <c r="D6499" s="13"/>
      <c r="E6499" s="14"/>
      <c r="F6499" s="14"/>
      <c r="G6499" s="13"/>
      <c r="H6499" s="14"/>
      <c r="I6499" s="13"/>
      <c r="J6499" s="13"/>
      <c r="K6499" s="13"/>
      <c r="L6499" s="13"/>
      <c r="M6499" s="13"/>
      <c r="N6499" s="13"/>
      <c r="O6499" s="13" t="str">
        <f t="shared" si="1"/>
        <v/>
      </c>
    </row>
    <row r="6500" ht="22.5" customHeight="1">
      <c r="B6500" s="13"/>
      <c r="C6500" s="13"/>
      <c r="D6500" s="13"/>
      <c r="E6500" s="14"/>
      <c r="F6500" s="14"/>
      <c r="G6500" s="13"/>
      <c r="H6500" s="14"/>
      <c r="I6500" s="13"/>
      <c r="J6500" s="13"/>
      <c r="K6500" s="13"/>
      <c r="L6500" s="13"/>
      <c r="M6500" s="13"/>
      <c r="N6500" s="13"/>
      <c r="O6500" s="13" t="str">
        <f t="shared" si="1"/>
        <v/>
      </c>
    </row>
    <row r="6501" ht="22.5" customHeight="1">
      <c r="B6501" s="13"/>
      <c r="C6501" s="13"/>
      <c r="D6501" s="13"/>
      <c r="E6501" s="14"/>
      <c r="F6501" s="14"/>
      <c r="G6501" s="13"/>
      <c r="H6501" s="14"/>
      <c r="I6501" s="13"/>
      <c r="J6501" s="13"/>
      <c r="K6501" s="13"/>
      <c r="L6501" s="13"/>
      <c r="M6501" s="13"/>
      <c r="N6501" s="13"/>
      <c r="O6501" s="13" t="str">
        <f t="shared" si="1"/>
        <v/>
      </c>
    </row>
    <row r="6502" ht="22.5" customHeight="1">
      <c r="B6502" s="13"/>
      <c r="C6502" s="13"/>
      <c r="D6502" s="13"/>
      <c r="E6502" s="14"/>
      <c r="F6502" s="14"/>
      <c r="G6502" s="13"/>
      <c r="H6502" s="14"/>
      <c r="I6502" s="13"/>
      <c r="J6502" s="13"/>
      <c r="K6502" s="13"/>
      <c r="L6502" s="13"/>
      <c r="M6502" s="13"/>
      <c r="N6502" s="13"/>
      <c r="O6502" s="13" t="str">
        <f t="shared" si="1"/>
        <v/>
      </c>
    </row>
    <row r="6503" ht="22.5" customHeight="1">
      <c r="B6503" s="13"/>
      <c r="C6503" s="13"/>
      <c r="D6503" s="13"/>
      <c r="E6503" s="14"/>
      <c r="F6503" s="14"/>
      <c r="G6503" s="13"/>
      <c r="H6503" s="14"/>
      <c r="I6503" s="13"/>
      <c r="J6503" s="13"/>
      <c r="K6503" s="13"/>
      <c r="L6503" s="13"/>
      <c r="M6503" s="13"/>
      <c r="N6503" s="13"/>
      <c r="O6503" s="13" t="str">
        <f t="shared" si="1"/>
        <v/>
      </c>
    </row>
    <row r="6504" ht="22.5" customHeight="1">
      <c r="B6504" s="13"/>
      <c r="C6504" s="13"/>
      <c r="D6504" s="13"/>
      <c r="E6504" s="14"/>
      <c r="F6504" s="14"/>
      <c r="G6504" s="13"/>
      <c r="H6504" s="14"/>
      <c r="I6504" s="13"/>
      <c r="J6504" s="13"/>
      <c r="K6504" s="13"/>
      <c r="L6504" s="13"/>
      <c r="M6504" s="13"/>
      <c r="N6504" s="13"/>
      <c r="O6504" s="13" t="str">
        <f t="shared" si="1"/>
        <v/>
      </c>
    </row>
    <row r="6505" ht="22.5" customHeight="1">
      <c r="B6505" s="13"/>
      <c r="C6505" s="13"/>
      <c r="D6505" s="13"/>
      <c r="E6505" s="14"/>
      <c r="F6505" s="14"/>
      <c r="G6505" s="13"/>
      <c r="H6505" s="14"/>
      <c r="I6505" s="13"/>
      <c r="J6505" s="13"/>
      <c r="K6505" s="13"/>
      <c r="L6505" s="13"/>
      <c r="M6505" s="13"/>
      <c r="N6505" s="13"/>
      <c r="O6505" s="13" t="str">
        <f t="shared" si="1"/>
        <v/>
      </c>
    </row>
    <row r="6506" ht="22.5" customHeight="1">
      <c r="B6506" s="13"/>
      <c r="C6506" s="13"/>
      <c r="D6506" s="13"/>
      <c r="E6506" s="14"/>
      <c r="F6506" s="14"/>
      <c r="G6506" s="13"/>
      <c r="H6506" s="14"/>
      <c r="I6506" s="13"/>
      <c r="J6506" s="13"/>
      <c r="K6506" s="13"/>
      <c r="L6506" s="13"/>
      <c r="M6506" s="13"/>
      <c r="N6506" s="13"/>
      <c r="O6506" s="13" t="str">
        <f t="shared" si="1"/>
        <v/>
      </c>
    </row>
    <row r="6507" ht="22.5" customHeight="1">
      <c r="B6507" s="13"/>
      <c r="C6507" s="13"/>
      <c r="D6507" s="13"/>
      <c r="E6507" s="14"/>
      <c r="F6507" s="14"/>
      <c r="G6507" s="13"/>
      <c r="H6507" s="14"/>
      <c r="I6507" s="13"/>
      <c r="J6507" s="13"/>
      <c r="K6507" s="13"/>
      <c r="L6507" s="13"/>
      <c r="M6507" s="13"/>
      <c r="N6507" s="13"/>
      <c r="O6507" s="13" t="str">
        <f t="shared" si="1"/>
        <v/>
      </c>
    </row>
    <row r="6508" ht="22.5" customHeight="1">
      <c r="B6508" s="13"/>
      <c r="C6508" s="13"/>
      <c r="D6508" s="13"/>
      <c r="E6508" s="14"/>
      <c r="F6508" s="14"/>
      <c r="G6508" s="13"/>
      <c r="H6508" s="14"/>
      <c r="I6508" s="13"/>
      <c r="J6508" s="13"/>
      <c r="K6508" s="13"/>
      <c r="L6508" s="13"/>
      <c r="M6508" s="13"/>
      <c r="N6508" s="13"/>
      <c r="O6508" s="13" t="str">
        <f t="shared" si="1"/>
        <v/>
      </c>
    </row>
    <row r="6509" ht="22.5" customHeight="1">
      <c r="B6509" s="13"/>
      <c r="C6509" s="13"/>
      <c r="D6509" s="13"/>
      <c r="E6509" s="14"/>
      <c r="F6509" s="14"/>
      <c r="G6509" s="13"/>
      <c r="H6509" s="14"/>
      <c r="I6509" s="13"/>
      <c r="J6509" s="13"/>
      <c r="K6509" s="13"/>
      <c r="L6509" s="13"/>
      <c r="M6509" s="13"/>
      <c r="N6509" s="13"/>
      <c r="O6509" s="13" t="str">
        <f t="shared" si="1"/>
        <v/>
      </c>
    </row>
    <row r="6510" ht="22.5" customHeight="1">
      <c r="B6510" s="13"/>
      <c r="C6510" s="13"/>
      <c r="D6510" s="13"/>
      <c r="E6510" s="14"/>
      <c r="F6510" s="14"/>
      <c r="G6510" s="13"/>
      <c r="H6510" s="14"/>
      <c r="I6510" s="13"/>
      <c r="J6510" s="13"/>
      <c r="K6510" s="13"/>
      <c r="L6510" s="13"/>
      <c r="M6510" s="13"/>
      <c r="N6510" s="13"/>
      <c r="O6510" s="13" t="str">
        <f t="shared" si="1"/>
        <v/>
      </c>
    </row>
    <row r="6511" ht="22.5" customHeight="1">
      <c r="B6511" s="13"/>
      <c r="C6511" s="13"/>
      <c r="D6511" s="13"/>
      <c r="E6511" s="14"/>
      <c r="F6511" s="14"/>
      <c r="G6511" s="13"/>
      <c r="H6511" s="14"/>
      <c r="I6511" s="13"/>
      <c r="J6511" s="13"/>
      <c r="K6511" s="13"/>
      <c r="L6511" s="13"/>
      <c r="M6511" s="13"/>
      <c r="N6511" s="13"/>
      <c r="O6511" s="13" t="str">
        <f t="shared" si="1"/>
        <v/>
      </c>
    </row>
    <row r="6512" ht="22.5" customHeight="1">
      <c r="B6512" s="13"/>
      <c r="C6512" s="13"/>
      <c r="D6512" s="13"/>
      <c r="E6512" s="14"/>
      <c r="F6512" s="14"/>
      <c r="G6512" s="13"/>
      <c r="H6512" s="14"/>
      <c r="I6512" s="13"/>
      <c r="J6512" s="13"/>
      <c r="K6512" s="13"/>
      <c r="L6512" s="13"/>
      <c r="M6512" s="13"/>
      <c r="N6512" s="13"/>
      <c r="O6512" s="13" t="str">
        <f t="shared" si="1"/>
        <v/>
      </c>
    </row>
    <row r="6513" ht="22.5" customHeight="1">
      <c r="B6513" s="13"/>
      <c r="C6513" s="13"/>
      <c r="D6513" s="13"/>
      <c r="E6513" s="14"/>
      <c r="F6513" s="14"/>
      <c r="G6513" s="13"/>
      <c r="H6513" s="14"/>
      <c r="I6513" s="13"/>
      <c r="J6513" s="13"/>
      <c r="K6513" s="13"/>
      <c r="L6513" s="13"/>
      <c r="M6513" s="13"/>
      <c r="N6513" s="13"/>
      <c r="O6513" s="13" t="str">
        <f t="shared" si="1"/>
        <v/>
      </c>
    </row>
    <row r="6514" ht="22.5" customHeight="1">
      <c r="B6514" s="13"/>
      <c r="C6514" s="13"/>
      <c r="D6514" s="13"/>
      <c r="E6514" s="14"/>
      <c r="F6514" s="14"/>
      <c r="G6514" s="13"/>
      <c r="H6514" s="14"/>
      <c r="I6514" s="13"/>
      <c r="J6514" s="13"/>
      <c r="K6514" s="13"/>
      <c r="L6514" s="13"/>
      <c r="M6514" s="13"/>
      <c r="N6514" s="13"/>
      <c r="O6514" s="13" t="str">
        <f t="shared" si="1"/>
        <v/>
      </c>
    </row>
    <row r="6515" ht="22.5" customHeight="1">
      <c r="B6515" s="13"/>
      <c r="C6515" s="13"/>
      <c r="D6515" s="13"/>
      <c r="E6515" s="14"/>
      <c r="F6515" s="14"/>
      <c r="G6515" s="13"/>
      <c r="H6515" s="14"/>
      <c r="I6515" s="13"/>
      <c r="J6515" s="13"/>
      <c r="K6515" s="13"/>
      <c r="L6515" s="13"/>
      <c r="M6515" s="13"/>
      <c r="N6515" s="13"/>
      <c r="O6515" s="13" t="str">
        <f t="shared" si="1"/>
        <v/>
      </c>
    </row>
    <row r="6516" ht="22.5" customHeight="1">
      <c r="B6516" s="13"/>
      <c r="C6516" s="13"/>
      <c r="D6516" s="13"/>
      <c r="E6516" s="14"/>
      <c r="F6516" s="14"/>
      <c r="G6516" s="13"/>
      <c r="H6516" s="14"/>
      <c r="I6516" s="13"/>
      <c r="J6516" s="13"/>
      <c r="K6516" s="13"/>
      <c r="L6516" s="13"/>
      <c r="M6516" s="13"/>
      <c r="N6516" s="13"/>
      <c r="O6516" s="13" t="str">
        <f t="shared" si="1"/>
        <v/>
      </c>
    </row>
    <row r="6517" ht="22.5" customHeight="1">
      <c r="B6517" s="13"/>
      <c r="C6517" s="13"/>
      <c r="D6517" s="13"/>
      <c r="E6517" s="14"/>
      <c r="F6517" s="14"/>
      <c r="G6517" s="13"/>
      <c r="H6517" s="14"/>
      <c r="I6517" s="13"/>
      <c r="J6517" s="13"/>
      <c r="K6517" s="13"/>
      <c r="L6517" s="13"/>
      <c r="M6517" s="13"/>
      <c r="N6517" s="13"/>
      <c r="O6517" s="13" t="str">
        <f t="shared" si="1"/>
        <v/>
      </c>
    </row>
    <row r="6518" ht="22.5" customHeight="1">
      <c r="B6518" s="13"/>
      <c r="C6518" s="13"/>
      <c r="D6518" s="13"/>
      <c r="E6518" s="14"/>
      <c r="F6518" s="14"/>
      <c r="G6518" s="13"/>
      <c r="H6518" s="14"/>
      <c r="I6518" s="13"/>
      <c r="J6518" s="13"/>
      <c r="K6518" s="13"/>
      <c r="L6518" s="13"/>
      <c r="M6518" s="13"/>
      <c r="N6518" s="13"/>
      <c r="O6518" s="13" t="str">
        <f t="shared" si="1"/>
        <v/>
      </c>
    </row>
    <row r="6519" ht="22.5" customHeight="1">
      <c r="B6519" s="13"/>
      <c r="C6519" s="13"/>
      <c r="D6519" s="13"/>
      <c r="E6519" s="14"/>
      <c r="F6519" s="14"/>
      <c r="G6519" s="13"/>
      <c r="H6519" s="14"/>
      <c r="I6519" s="13"/>
      <c r="J6519" s="13"/>
      <c r="K6519" s="13"/>
      <c r="L6519" s="13"/>
      <c r="M6519" s="13"/>
      <c r="N6519" s="13"/>
      <c r="O6519" s="13" t="str">
        <f t="shared" si="1"/>
        <v/>
      </c>
    </row>
    <row r="6520" ht="22.5" customHeight="1">
      <c r="B6520" s="13"/>
      <c r="C6520" s="13"/>
      <c r="D6520" s="13"/>
      <c r="E6520" s="14"/>
      <c r="F6520" s="14"/>
      <c r="G6520" s="13"/>
      <c r="H6520" s="14"/>
      <c r="I6520" s="13"/>
      <c r="J6520" s="13"/>
      <c r="K6520" s="13"/>
      <c r="L6520" s="13"/>
      <c r="M6520" s="13"/>
      <c r="N6520" s="13"/>
      <c r="O6520" s="13" t="str">
        <f t="shared" si="1"/>
        <v/>
      </c>
    </row>
    <row r="6521" ht="22.5" customHeight="1">
      <c r="B6521" s="13"/>
      <c r="C6521" s="13"/>
      <c r="D6521" s="13"/>
      <c r="E6521" s="14"/>
      <c r="F6521" s="14"/>
      <c r="G6521" s="13"/>
      <c r="H6521" s="14"/>
      <c r="I6521" s="13"/>
      <c r="J6521" s="13"/>
      <c r="K6521" s="13"/>
      <c r="L6521" s="13"/>
      <c r="M6521" s="13"/>
      <c r="N6521" s="13"/>
      <c r="O6521" s="13" t="str">
        <f t="shared" si="1"/>
        <v/>
      </c>
    </row>
    <row r="6522" ht="22.5" customHeight="1">
      <c r="B6522" s="13"/>
      <c r="C6522" s="13"/>
      <c r="D6522" s="13"/>
      <c r="E6522" s="14"/>
      <c r="F6522" s="14"/>
      <c r="G6522" s="13"/>
      <c r="H6522" s="14"/>
      <c r="I6522" s="13"/>
      <c r="J6522" s="13"/>
      <c r="K6522" s="13"/>
      <c r="L6522" s="13"/>
      <c r="M6522" s="13"/>
      <c r="N6522" s="13"/>
      <c r="O6522" s="13" t="str">
        <f t="shared" si="1"/>
        <v/>
      </c>
    </row>
    <row r="6523" ht="22.5" customHeight="1">
      <c r="B6523" s="13"/>
      <c r="C6523" s="13"/>
      <c r="D6523" s="13"/>
      <c r="E6523" s="14"/>
      <c r="F6523" s="14"/>
      <c r="G6523" s="13"/>
      <c r="H6523" s="14"/>
      <c r="I6523" s="13"/>
      <c r="J6523" s="13"/>
      <c r="K6523" s="13"/>
      <c r="L6523" s="13"/>
      <c r="M6523" s="13"/>
      <c r="N6523" s="13"/>
      <c r="O6523" s="13" t="str">
        <f t="shared" si="1"/>
        <v/>
      </c>
    </row>
    <row r="6524" ht="22.5" customHeight="1">
      <c r="B6524" s="13"/>
      <c r="C6524" s="13"/>
      <c r="D6524" s="13"/>
      <c r="E6524" s="14"/>
      <c r="F6524" s="14"/>
      <c r="G6524" s="13"/>
      <c r="H6524" s="14"/>
      <c r="I6524" s="13"/>
      <c r="J6524" s="13"/>
      <c r="K6524" s="13"/>
      <c r="L6524" s="13"/>
      <c r="M6524" s="13"/>
      <c r="N6524" s="13"/>
      <c r="O6524" s="13" t="str">
        <f t="shared" si="1"/>
        <v/>
      </c>
    </row>
    <row r="6525" ht="22.5" customHeight="1">
      <c r="B6525" s="13"/>
      <c r="C6525" s="13"/>
      <c r="D6525" s="13"/>
      <c r="E6525" s="14"/>
      <c r="F6525" s="14"/>
      <c r="G6525" s="13"/>
      <c r="H6525" s="14"/>
      <c r="I6525" s="13"/>
      <c r="J6525" s="13"/>
      <c r="K6525" s="13"/>
      <c r="L6525" s="13"/>
      <c r="M6525" s="13"/>
      <c r="N6525" s="13"/>
      <c r="O6525" s="13" t="str">
        <f t="shared" si="1"/>
        <v/>
      </c>
    </row>
    <row r="6526" ht="22.5" customHeight="1">
      <c r="B6526" s="13"/>
      <c r="C6526" s="13"/>
      <c r="D6526" s="13"/>
      <c r="E6526" s="14"/>
      <c r="F6526" s="14"/>
      <c r="G6526" s="13"/>
      <c r="H6526" s="14"/>
      <c r="I6526" s="13"/>
      <c r="J6526" s="13"/>
      <c r="K6526" s="13"/>
      <c r="L6526" s="13"/>
      <c r="M6526" s="13"/>
      <c r="N6526" s="13"/>
      <c r="O6526" s="13" t="str">
        <f t="shared" si="1"/>
        <v/>
      </c>
    </row>
    <row r="6527" ht="22.5" customHeight="1">
      <c r="B6527" s="13"/>
      <c r="C6527" s="13"/>
      <c r="D6527" s="13"/>
      <c r="E6527" s="14"/>
      <c r="F6527" s="14"/>
      <c r="G6527" s="13"/>
      <c r="H6527" s="14"/>
      <c r="I6527" s="13"/>
      <c r="J6527" s="13"/>
      <c r="K6527" s="13"/>
      <c r="L6527" s="13"/>
      <c r="M6527" s="13"/>
      <c r="N6527" s="13"/>
      <c r="O6527" s="13" t="str">
        <f t="shared" si="1"/>
        <v/>
      </c>
    </row>
    <row r="6528" ht="22.5" customHeight="1">
      <c r="B6528" s="13"/>
      <c r="C6528" s="13"/>
      <c r="D6528" s="13"/>
      <c r="E6528" s="14"/>
      <c r="F6528" s="14"/>
      <c r="G6528" s="13"/>
      <c r="H6528" s="14"/>
      <c r="I6528" s="13"/>
      <c r="J6528" s="13"/>
      <c r="K6528" s="13"/>
      <c r="L6528" s="13"/>
      <c r="M6528" s="13"/>
      <c r="N6528" s="13"/>
      <c r="O6528" s="13" t="str">
        <f t="shared" si="1"/>
        <v/>
      </c>
    </row>
    <row r="6529" ht="22.5" customHeight="1">
      <c r="B6529" s="13"/>
      <c r="C6529" s="13"/>
      <c r="D6529" s="13"/>
      <c r="E6529" s="14"/>
      <c r="F6529" s="14"/>
      <c r="G6529" s="13"/>
      <c r="H6529" s="14"/>
      <c r="I6529" s="13"/>
      <c r="J6529" s="13"/>
      <c r="K6529" s="13"/>
      <c r="L6529" s="13"/>
      <c r="M6529" s="13"/>
      <c r="N6529" s="13"/>
      <c r="O6529" s="13" t="str">
        <f t="shared" si="1"/>
        <v/>
      </c>
    </row>
    <row r="6530" ht="22.5" customHeight="1">
      <c r="B6530" s="13"/>
      <c r="C6530" s="13"/>
      <c r="D6530" s="13"/>
      <c r="E6530" s="14"/>
      <c r="F6530" s="14"/>
      <c r="G6530" s="13"/>
      <c r="H6530" s="14"/>
      <c r="I6530" s="13"/>
      <c r="J6530" s="13"/>
      <c r="K6530" s="13"/>
      <c r="L6530" s="13"/>
      <c r="M6530" s="13"/>
      <c r="N6530" s="13"/>
      <c r="O6530" s="13" t="str">
        <f t="shared" si="1"/>
        <v/>
      </c>
    </row>
    <row r="6531" ht="22.5" customHeight="1">
      <c r="B6531" s="13"/>
      <c r="C6531" s="13"/>
      <c r="D6531" s="13"/>
      <c r="E6531" s="14"/>
      <c r="F6531" s="14"/>
      <c r="G6531" s="13"/>
      <c r="H6531" s="14"/>
      <c r="I6531" s="13"/>
      <c r="J6531" s="13"/>
      <c r="K6531" s="13"/>
      <c r="L6531" s="13"/>
      <c r="M6531" s="13"/>
      <c r="N6531" s="13"/>
      <c r="O6531" s="13" t="str">
        <f t="shared" si="1"/>
        <v/>
      </c>
    </row>
    <row r="6532" ht="22.5" customHeight="1">
      <c r="B6532" s="13"/>
      <c r="C6532" s="13"/>
      <c r="D6532" s="13"/>
      <c r="E6532" s="14"/>
      <c r="F6532" s="14"/>
      <c r="G6532" s="13"/>
      <c r="H6532" s="14"/>
      <c r="I6532" s="13"/>
      <c r="J6532" s="13"/>
      <c r="K6532" s="13"/>
      <c r="L6532" s="13"/>
      <c r="M6532" s="13"/>
      <c r="N6532" s="13"/>
      <c r="O6532" s="13" t="str">
        <f t="shared" si="1"/>
        <v/>
      </c>
    </row>
    <row r="6533" ht="22.5" customHeight="1">
      <c r="B6533" s="13"/>
      <c r="C6533" s="13"/>
      <c r="D6533" s="13"/>
      <c r="E6533" s="14"/>
      <c r="F6533" s="14"/>
      <c r="G6533" s="13"/>
      <c r="H6533" s="14"/>
      <c r="I6533" s="13"/>
      <c r="J6533" s="13"/>
      <c r="K6533" s="13"/>
      <c r="L6533" s="13"/>
      <c r="M6533" s="13"/>
      <c r="N6533" s="13"/>
      <c r="O6533" s="13" t="str">
        <f t="shared" si="1"/>
        <v/>
      </c>
    </row>
    <row r="6534" ht="22.5" customHeight="1">
      <c r="B6534" s="13"/>
      <c r="C6534" s="13"/>
      <c r="D6534" s="13"/>
      <c r="E6534" s="14"/>
      <c r="F6534" s="14"/>
      <c r="G6534" s="13"/>
      <c r="H6534" s="14"/>
      <c r="I6534" s="13"/>
      <c r="J6534" s="13"/>
      <c r="K6534" s="13"/>
      <c r="L6534" s="13"/>
      <c r="M6534" s="13"/>
      <c r="N6534" s="13"/>
      <c r="O6534" s="13" t="str">
        <f t="shared" si="1"/>
        <v/>
      </c>
    </row>
    <row r="6535" ht="22.5" customHeight="1">
      <c r="B6535" s="13"/>
      <c r="C6535" s="13"/>
      <c r="D6535" s="13"/>
      <c r="E6535" s="14"/>
      <c r="F6535" s="14"/>
      <c r="G6535" s="13"/>
      <c r="H6535" s="14"/>
      <c r="I6535" s="13"/>
      <c r="J6535" s="13"/>
      <c r="K6535" s="13"/>
      <c r="L6535" s="13"/>
      <c r="M6535" s="13"/>
      <c r="N6535" s="13"/>
      <c r="O6535" s="13" t="str">
        <f t="shared" si="1"/>
        <v/>
      </c>
    </row>
    <row r="6536" ht="22.5" customHeight="1">
      <c r="B6536" s="13"/>
      <c r="C6536" s="13"/>
      <c r="D6536" s="13"/>
      <c r="E6536" s="14"/>
      <c r="F6536" s="14"/>
      <c r="G6536" s="13"/>
      <c r="H6536" s="14"/>
      <c r="I6536" s="13"/>
      <c r="J6536" s="13"/>
      <c r="K6536" s="13"/>
      <c r="L6536" s="13"/>
      <c r="M6536" s="13"/>
      <c r="N6536" s="13"/>
      <c r="O6536" s="13" t="str">
        <f t="shared" si="1"/>
        <v/>
      </c>
    </row>
    <row r="6537" ht="22.5" customHeight="1">
      <c r="B6537" s="13"/>
      <c r="C6537" s="13"/>
      <c r="D6537" s="13"/>
      <c r="E6537" s="14"/>
      <c r="F6537" s="14"/>
      <c r="G6537" s="13"/>
      <c r="H6537" s="14"/>
      <c r="I6537" s="13"/>
      <c r="J6537" s="13"/>
      <c r="K6537" s="13"/>
      <c r="L6537" s="13"/>
      <c r="M6537" s="13"/>
      <c r="N6537" s="13"/>
      <c r="O6537" s="13" t="str">
        <f t="shared" si="1"/>
        <v/>
      </c>
    </row>
    <row r="6538" ht="22.5" customHeight="1">
      <c r="B6538" s="13"/>
      <c r="C6538" s="13"/>
      <c r="D6538" s="13"/>
      <c r="E6538" s="14"/>
      <c r="F6538" s="14"/>
      <c r="G6538" s="13"/>
      <c r="H6538" s="14"/>
      <c r="I6538" s="13"/>
      <c r="J6538" s="13"/>
      <c r="K6538" s="13"/>
      <c r="L6538" s="13"/>
      <c r="M6538" s="13"/>
      <c r="N6538" s="13"/>
      <c r="O6538" s="13" t="str">
        <f t="shared" si="1"/>
        <v/>
      </c>
    </row>
    <row r="6539" ht="22.5" customHeight="1">
      <c r="B6539" s="13"/>
      <c r="C6539" s="13"/>
      <c r="D6539" s="13"/>
      <c r="E6539" s="14"/>
      <c r="F6539" s="14"/>
      <c r="G6539" s="13"/>
      <c r="H6539" s="14"/>
      <c r="I6539" s="13"/>
      <c r="J6539" s="13"/>
      <c r="K6539" s="13"/>
      <c r="L6539" s="13"/>
      <c r="M6539" s="13"/>
      <c r="N6539" s="13"/>
      <c r="O6539" s="13" t="str">
        <f t="shared" si="1"/>
        <v/>
      </c>
    </row>
    <row r="6540" ht="22.5" customHeight="1">
      <c r="B6540" s="13"/>
      <c r="C6540" s="13"/>
      <c r="D6540" s="13"/>
      <c r="E6540" s="14"/>
      <c r="F6540" s="14"/>
      <c r="G6540" s="13"/>
      <c r="H6540" s="14"/>
      <c r="I6540" s="13"/>
      <c r="J6540" s="13"/>
      <c r="K6540" s="13"/>
      <c r="L6540" s="13"/>
      <c r="M6540" s="13"/>
      <c r="N6540" s="13"/>
      <c r="O6540" s="13" t="str">
        <f t="shared" si="1"/>
        <v/>
      </c>
    </row>
    <row r="6541" ht="22.5" customHeight="1">
      <c r="B6541" s="13"/>
      <c r="C6541" s="13"/>
      <c r="D6541" s="13"/>
      <c r="E6541" s="14"/>
      <c r="F6541" s="14"/>
      <c r="G6541" s="13"/>
      <c r="H6541" s="14"/>
      <c r="I6541" s="13"/>
      <c r="J6541" s="13"/>
      <c r="K6541" s="13"/>
      <c r="L6541" s="13"/>
      <c r="M6541" s="13"/>
      <c r="N6541" s="13"/>
      <c r="O6541" s="13" t="str">
        <f t="shared" si="1"/>
        <v/>
      </c>
    </row>
    <row r="6542" ht="22.5" customHeight="1">
      <c r="B6542" s="13"/>
      <c r="C6542" s="13"/>
      <c r="D6542" s="13"/>
      <c r="E6542" s="14"/>
      <c r="F6542" s="14"/>
      <c r="G6542" s="13"/>
      <c r="H6542" s="14"/>
      <c r="I6542" s="13"/>
      <c r="J6542" s="13"/>
      <c r="K6542" s="13"/>
      <c r="L6542" s="13"/>
      <c r="M6542" s="13"/>
      <c r="N6542" s="13"/>
      <c r="O6542" s="13" t="str">
        <f t="shared" si="1"/>
        <v/>
      </c>
    </row>
    <row r="6543" ht="22.5" customHeight="1">
      <c r="B6543" s="13"/>
      <c r="C6543" s="13"/>
      <c r="D6543" s="13"/>
      <c r="E6543" s="14"/>
      <c r="F6543" s="14"/>
      <c r="G6543" s="13"/>
      <c r="H6543" s="14"/>
      <c r="I6543" s="13"/>
      <c r="J6543" s="13"/>
      <c r="K6543" s="13"/>
      <c r="L6543" s="13"/>
      <c r="M6543" s="13"/>
      <c r="N6543" s="13"/>
      <c r="O6543" s="13" t="str">
        <f t="shared" si="1"/>
        <v/>
      </c>
    </row>
    <row r="6544" ht="22.5" customHeight="1">
      <c r="B6544" s="13"/>
      <c r="C6544" s="13"/>
      <c r="D6544" s="13"/>
      <c r="E6544" s="14"/>
      <c r="F6544" s="14"/>
      <c r="G6544" s="13"/>
      <c r="H6544" s="14"/>
      <c r="I6544" s="13"/>
      <c r="J6544" s="13"/>
      <c r="K6544" s="13"/>
      <c r="L6544" s="13"/>
      <c r="M6544" s="13"/>
      <c r="N6544" s="13"/>
      <c r="O6544" s="13" t="str">
        <f t="shared" si="1"/>
        <v/>
      </c>
    </row>
    <row r="6545" ht="22.5" customHeight="1">
      <c r="B6545" s="13"/>
      <c r="C6545" s="13"/>
      <c r="D6545" s="13"/>
      <c r="E6545" s="14"/>
      <c r="F6545" s="14"/>
      <c r="G6545" s="13"/>
      <c r="H6545" s="14"/>
      <c r="I6545" s="13"/>
      <c r="J6545" s="13"/>
      <c r="K6545" s="13"/>
      <c r="L6545" s="13"/>
      <c r="M6545" s="13"/>
      <c r="N6545" s="13"/>
      <c r="O6545" s="13" t="str">
        <f t="shared" si="1"/>
        <v/>
      </c>
    </row>
    <row r="6546" ht="22.5" customHeight="1">
      <c r="B6546" s="13"/>
      <c r="C6546" s="13"/>
      <c r="D6546" s="13"/>
      <c r="E6546" s="14"/>
      <c r="F6546" s="14"/>
      <c r="G6546" s="13"/>
      <c r="H6546" s="14"/>
      <c r="I6546" s="13"/>
      <c r="J6546" s="13"/>
      <c r="K6546" s="13"/>
      <c r="L6546" s="13"/>
      <c r="M6546" s="13"/>
      <c r="N6546" s="13"/>
      <c r="O6546" s="13" t="str">
        <f t="shared" si="1"/>
        <v/>
      </c>
    </row>
    <row r="6547" ht="22.5" customHeight="1">
      <c r="B6547" s="13"/>
      <c r="C6547" s="13"/>
      <c r="D6547" s="13"/>
      <c r="E6547" s="14"/>
      <c r="F6547" s="14"/>
      <c r="G6547" s="13"/>
      <c r="H6547" s="14"/>
      <c r="I6547" s="13"/>
      <c r="J6547" s="13"/>
      <c r="K6547" s="13"/>
      <c r="L6547" s="13"/>
      <c r="M6547" s="13"/>
      <c r="N6547" s="13"/>
      <c r="O6547" s="13" t="str">
        <f t="shared" si="1"/>
        <v/>
      </c>
    </row>
    <row r="6548" ht="22.5" customHeight="1">
      <c r="B6548" s="13"/>
      <c r="C6548" s="13"/>
      <c r="D6548" s="13"/>
      <c r="E6548" s="14"/>
      <c r="F6548" s="14"/>
      <c r="G6548" s="13"/>
      <c r="H6548" s="14"/>
      <c r="I6548" s="13"/>
      <c r="J6548" s="13"/>
      <c r="K6548" s="13"/>
      <c r="L6548" s="13"/>
      <c r="M6548" s="13"/>
      <c r="N6548" s="13"/>
      <c r="O6548" s="13" t="str">
        <f t="shared" si="1"/>
        <v/>
      </c>
    </row>
    <row r="6549" ht="22.5" customHeight="1">
      <c r="B6549" s="13"/>
      <c r="C6549" s="13"/>
      <c r="D6549" s="13"/>
      <c r="E6549" s="14"/>
      <c r="F6549" s="14"/>
      <c r="G6549" s="13"/>
      <c r="H6549" s="14"/>
      <c r="I6549" s="13"/>
      <c r="J6549" s="13"/>
      <c r="K6549" s="13"/>
      <c r="L6549" s="13"/>
      <c r="M6549" s="13"/>
      <c r="N6549" s="13"/>
      <c r="O6549" s="13" t="str">
        <f t="shared" si="1"/>
        <v/>
      </c>
    </row>
    <row r="6550" ht="22.5" customHeight="1">
      <c r="B6550" s="13"/>
      <c r="C6550" s="13"/>
      <c r="D6550" s="13"/>
      <c r="E6550" s="14"/>
      <c r="F6550" s="14"/>
      <c r="G6550" s="13"/>
      <c r="H6550" s="14"/>
      <c r="I6550" s="13"/>
      <c r="J6550" s="13"/>
      <c r="K6550" s="13"/>
      <c r="L6550" s="13"/>
      <c r="M6550" s="13"/>
      <c r="N6550" s="13"/>
      <c r="O6550" s="13" t="str">
        <f t="shared" si="1"/>
        <v/>
      </c>
    </row>
    <row r="6551" ht="22.5" customHeight="1">
      <c r="B6551" s="13"/>
      <c r="C6551" s="13"/>
      <c r="D6551" s="13"/>
      <c r="E6551" s="14"/>
      <c r="F6551" s="14"/>
      <c r="G6551" s="13"/>
      <c r="H6551" s="14"/>
      <c r="I6551" s="13"/>
      <c r="J6551" s="13"/>
      <c r="K6551" s="13"/>
      <c r="L6551" s="13"/>
      <c r="M6551" s="13"/>
      <c r="N6551" s="13"/>
      <c r="O6551" s="13" t="str">
        <f t="shared" si="1"/>
        <v/>
      </c>
    </row>
    <row r="6552" ht="22.5" customHeight="1">
      <c r="B6552" s="13"/>
      <c r="C6552" s="13"/>
      <c r="D6552" s="13"/>
      <c r="E6552" s="14"/>
      <c r="F6552" s="14"/>
      <c r="G6552" s="13"/>
      <c r="H6552" s="14"/>
      <c r="I6552" s="13"/>
      <c r="J6552" s="13"/>
      <c r="K6552" s="13"/>
      <c r="L6552" s="13"/>
      <c r="M6552" s="13"/>
      <c r="N6552" s="13"/>
      <c r="O6552" s="13" t="str">
        <f t="shared" si="1"/>
        <v/>
      </c>
    </row>
    <row r="6553" ht="22.5" customHeight="1">
      <c r="B6553" s="13"/>
      <c r="C6553" s="13"/>
      <c r="D6553" s="13"/>
      <c r="E6553" s="14"/>
      <c r="F6553" s="14"/>
      <c r="G6553" s="13"/>
      <c r="H6553" s="14"/>
      <c r="I6553" s="13"/>
      <c r="J6553" s="13"/>
      <c r="K6553" s="13"/>
      <c r="L6553" s="13"/>
      <c r="M6553" s="13"/>
      <c r="N6553" s="13"/>
      <c r="O6553" s="13" t="str">
        <f t="shared" si="1"/>
        <v/>
      </c>
    </row>
    <row r="6554" ht="22.5" customHeight="1">
      <c r="B6554" s="13"/>
      <c r="C6554" s="13"/>
      <c r="D6554" s="13"/>
      <c r="E6554" s="14"/>
      <c r="F6554" s="14"/>
      <c r="G6554" s="13"/>
      <c r="H6554" s="14"/>
      <c r="I6554" s="13"/>
      <c r="J6554" s="13"/>
      <c r="K6554" s="13"/>
      <c r="L6554" s="13"/>
      <c r="M6554" s="13"/>
      <c r="N6554" s="13"/>
      <c r="O6554" s="13" t="str">
        <f t="shared" si="1"/>
        <v/>
      </c>
    </row>
    <row r="6555" ht="22.5" customHeight="1">
      <c r="B6555" s="13"/>
      <c r="C6555" s="13"/>
      <c r="D6555" s="13"/>
      <c r="E6555" s="14"/>
      <c r="F6555" s="14"/>
      <c r="G6555" s="13"/>
      <c r="H6555" s="14"/>
      <c r="I6555" s="13"/>
      <c r="J6555" s="13"/>
      <c r="K6555" s="13"/>
      <c r="L6555" s="13"/>
      <c r="M6555" s="13"/>
      <c r="N6555" s="13"/>
      <c r="O6555" s="13" t="str">
        <f t="shared" si="1"/>
        <v/>
      </c>
    </row>
    <row r="6556" ht="22.5" customHeight="1">
      <c r="B6556" s="13"/>
      <c r="C6556" s="13"/>
      <c r="D6556" s="13"/>
      <c r="E6556" s="14"/>
      <c r="F6556" s="14"/>
      <c r="G6556" s="13"/>
      <c r="H6556" s="14"/>
      <c r="I6556" s="13"/>
      <c r="J6556" s="13"/>
      <c r="K6556" s="13"/>
      <c r="L6556" s="13"/>
      <c r="M6556" s="13"/>
      <c r="N6556" s="13"/>
      <c r="O6556" s="13" t="str">
        <f t="shared" si="1"/>
        <v/>
      </c>
    </row>
    <row r="6557" ht="22.5" customHeight="1">
      <c r="B6557" s="13"/>
      <c r="C6557" s="13"/>
      <c r="D6557" s="13"/>
      <c r="E6557" s="14"/>
      <c r="F6557" s="14"/>
      <c r="G6557" s="13"/>
      <c r="H6557" s="14"/>
      <c r="I6557" s="13"/>
      <c r="J6557" s="13"/>
      <c r="K6557" s="13"/>
      <c r="L6557" s="13"/>
      <c r="M6557" s="13"/>
      <c r="N6557" s="13"/>
      <c r="O6557" s="13" t="str">
        <f t="shared" si="1"/>
        <v/>
      </c>
    </row>
    <row r="6558" ht="22.5" customHeight="1">
      <c r="B6558" s="13"/>
      <c r="C6558" s="13"/>
      <c r="D6558" s="13"/>
      <c r="E6558" s="14"/>
      <c r="F6558" s="14"/>
      <c r="G6558" s="13"/>
      <c r="H6558" s="14"/>
      <c r="I6558" s="13"/>
      <c r="J6558" s="13"/>
      <c r="K6558" s="13"/>
      <c r="L6558" s="13"/>
      <c r="M6558" s="13"/>
      <c r="N6558" s="13"/>
      <c r="O6558" s="13" t="str">
        <f t="shared" si="1"/>
        <v/>
      </c>
    </row>
    <row r="6559" ht="22.5" customHeight="1">
      <c r="B6559" s="13"/>
      <c r="C6559" s="13"/>
      <c r="D6559" s="13"/>
      <c r="E6559" s="14"/>
      <c r="F6559" s="14"/>
      <c r="G6559" s="13"/>
      <c r="H6559" s="14"/>
      <c r="I6559" s="13"/>
      <c r="J6559" s="13"/>
      <c r="K6559" s="13"/>
      <c r="L6559" s="13"/>
      <c r="M6559" s="13"/>
      <c r="N6559" s="13"/>
      <c r="O6559" s="13" t="str">
        <f t="shared" si="1"/>
        <v/>
      </c>
    </row>
    <row r="6560" ht="22.5" customHeight="1">
      <c r="B6560" s="13"/>
      <c r="C6560" s="13"/>
      <c r="D6560" s="13"/>
      <c r="E6560" s="14"/>
      <c r="F6560" s="14"/>
      <c r="G6560" s="13"/>
      <c r="H6560" s="14"/>
      <c r="I6560" s="13"/>
      <c r="J6560" s="13"/>
      <c r="K6560" s="13"/>
      <c r="L6560" s="13"/>
      <c r="M6560" s="13"/>
      <c r="N6560" s="13"/>
      <c r="O6560" s="13" t="str">
        <f t="shared" si="1"/>
        <v/>
      </c>
    </row>
    <row r="6561" ht="22.5" customHeight="1">
      <c r="B6561" s="13"/>
      <c r="C6561" s="13"/>
      <c r="D6561" s="13"/>
      <c r="E6561" s="14"/>
      <c r="F6561" s="14"/>
      <c r="G6561" s="13"/>
      <c r="H6561" s="14"/>
      <c r="I6561" s="13"/>
      <c r="J6561" s="13"/>
      <c r="K6561" s="13"/>
      <c r="L6561" s="13"/>
      <c r="M6561" s="13"/>
      <c r="N6561" s="13"/>
      <c r="O6561" s="13" t="str">
        <f t="shared" si="1"/>
        <v/>
      </c>
    </row>
    <row r="6562" ht="22.5" customHeight="1">
      <c r="B6562" s="13"/>
      <c r="C6562" s="13"/>
      <c r="D6562" s="13"/>
      <c r="E6562" s="14"/>
      <c r="F6562" s="14"/>
      <c r="G6562" s="13"/>
      <c r="H6562" s="14"/>
      <c r="I6562" s="13"/>
      <c r="J6562" s="13"/>
      <c r="K6562" s="13"/>
      <c r="L6562" s="13"/>
      <c r="M6562" s="13"/>
      <c r="N6562" s="13"/>
      <c r="O6562" s="13" t="str">
        <f t="shared" si="1"/>
        <v/>
      </c>
    </row>
    <row r="6563" ht="22.5" customHeight="1">
      <c r="B6563" s="13"/>
      <c r="C6563" s="13"/>
      <c r="D6563" s="13"/>
      <c r="E6563" s="14"/>
      <c r="F6563" s="14"/>
      <c r="G6563" s="13"/>
      <c r="H6563" s="14"/>
      <c r="I6563" s="13"/>
      <c r="J6563" s="13"/>
      <c r="K6563" s="13"/>
      <c r="L6563" s="13"/>
      <c r="M6563" s="13"/>
      <c r="N6563" s="13"/>
      <c r="O6563" s="13" t="str">
        <f t="shared" si="1"/>
        <v/>
      </c>
    </row>
    <row r="6564" ht="22.5" customHeight="1">
      <c r="B6564" s="13"/>
      <c r="C6564" s="13"/>
      <c r="D6564" s="13"/>
      <c r="E6564" s="14"/>
      <c r="F6564" s="14"/>
      <c r="G6564" s="13"/>
      <c r="H6564" s="14"/>
      <c r="I6564" s="13"/>
      <c r="J6564" s="13"/>
      <c r="K6564" s="13"/>
      <c r="L6564" s="13"/>
      <c r="M6564" s="13"/>
      <c r="N6564" s="13"/>
      <c r="O6564" s="13" t="str">
        <f t="shared" si="1"/>
        <v/>
      </c>
    </row>
    <row r="6565" ht="22.5" customHeight="1">
      <c r="B6565" s="13"/>
      <c r="C6565" s="13"/>
      <c r="D6565" s="13"/>
      <c r="E6565" s="14"/>
      <c r="F6565" s="14"/>
      <c r="G6565" s="13"/>
      <c r="H6565" s="14"/>
      <c r="I6565" s="13"/>
      <c r="J6565" s="13"/>
      <c r="K6565" s="13"/>
      <c r="L6565" s="13"/>
      <c r="M6565" s="13"/>
      <c r="N6565" s="13"/>
      <c r="O6565" s="13" t="str">
        <f t="shared" si="1"/>
        <v/>
      </c>
    </row>
    <row r="6566" ht="22.5" customHeight="1">
      <c r="B6566" s="13"/>
      <c r="C6566" s="13"/>
      <c r="D6566" s="13"/>
      <c r="E6566" s="14"/>
      <c r="F6566" s="14"/>
      <c r="G6566" s="13"/>
      <c r="H6566" s="14"/>
      <c r="I6566" s="13"/>
      <c r="J6566" s="13"/>
      <c r="K6566" s="13"/>
      <c r="L6566" s="13"/>
      <c r="M6566" s="13"/>
      <c r="N6566" s="13"/>
      <c r="O6566" s="13" t="str">
        <f t="shared" si="1"/>
        <v/>
      </c>
    </row>
    <row r="6567" ht="22.5" customHeight="1">
      <c r="B6567" s="13"/>
      <c r="C6567" s="13"/>
      <c r="D6567" s="13"/>
      <c r="E6567" s="14"/>
      <c r="F6567" s="14"/>
      <c r="G6567" s="13"/>
      <c r="H6567" s="14"/>
      <c r="I6567" s="13"/>
      <c r="J6567" s="13"/>
      <c r="K6567" s="13"/>
      <c r="L6567" s="13"/>
      <c r="M6567" s="13"/>
      <c r="N6567" s="13"/>
      <c r="O6567" s="13" t="str">
        <f t="shared" si="1"/>
        <v/>
      </c>
    </row>
    <row r="6568" ht="22.5" customHeight="1">
      <c r="B6568" s="13"/>
      <c r="C6568" s="13"/>
      <c r="D6568" s="13"/>
      <c r="E6568" s="14"/>
      <c r="F6568" s="14"/>
      <c r="G6568" s="13"/>
      <c r="H6568" s="14"/>
      <c r="I6568" s="13"/>
      <c r="J6568" s="13"/>
      <c r="K6568" s="13"/>
      <c r="L6568" s="13"/>
      <c r="M6568" s="13"/>
      <c r="N6568" s="13"/>
      <c r="O6568" s="13" t="str">
        <f t="shared" si="1"/>
        <v/>
      </c>
    </row>
    <row r="6569" ht="22.5" customHeight="1">
      <c r="B6569" s="13"/>
      <c r="C6569" s="13"/>
      <c r="D6569" s="13"/>
      <c r="E6569" s="14"/>
      <c r="F6569" s="14"/>
      <c r="G6569" s="13"/>
      <c r="H6569" s="14"/>
      <c r="I6569" s="13"/>
      <c r="J6569" s="13"/>
      <c r="K6569" s="13"/>
      <c r="L6569" s="13"/>
      <c r="M6569" s="13"/>
      <c r="N6569" s="13"/>
      <c r="O6569" s="13" t="str">
        <f t="shared" si="1"/>
        <v/>
      </c>
    </row>
    <row r="6570" ht="22.5" customHeight="1">
      <c r="B6570" s="13"/>
      <c r="C6570" s="13"/>
      <c r="D6570" s="13"/>
      <c r="E6570" s="14"/>
      <c r="F6570" s="14"/>
      <c r="G6570" s="13"/>
      <c r="H6570" s="14"/>
      <c r="I6570" s="13"/>
      <c r="J6570" s="13"/>
      <c r="K6570" s="13"/>
      <c r="L6570" s="13"/>
      <c r="M6570" s="13"/>
      <c r="N6570" s="13"/>
      <c r="O6570" s="13" t="str">
        <f t="shared" si="1"/>
        <v/>
      </c>
    </row>
    <row r="6571" ht="22.5" customHeight="1">
      <c r="B6571" s="13"/>
      <c r="C6571" s="13"/>
      <c r="D6571" s="13"/>
      <c r="E6571" s="14"/>
      <c r="F6571" s="14"/>
      <c r="G6571" s="13"/>
      <c r="H6571" s="14"/>
      <c r="I6571" s="13"/>
      <c r="J6571" s="13"/>
      <c r="K6571" s="13"/>
      <c r="L6571" s="13"/>
      <c r="M6571" s="13"/>
      <c r="N6571" s="13"/>
      <c r="O6571" s="13" t="str">
        <f t="shared" si="1"/>
        <v/>
      </c>
    </row>
    <row r="6572" ht="22.5" customHeight="1">
      <c r="B6572" s="13"/>
      <c r="C6572" s="13"/>
      <c r="D6572" s="13"/>
      <c r="E6572" s="14"/>
      <c r="F6572" s="14"/>
      <c r="G6572" s="13"/>
      <c r="H6572" s="14"/>
      <c r="I6572" s="13"/>
      <c r="J6572" s="13"/>
      <c r="K6572" s="13"/>
      <c r="L6572" s="13"/>
      <c r="M6572" s="13"/>
      <c r="N6572" s="13"/>
      <c r="O6572" s="13" t="str">
        <f t="shared" si="1"/>
        <v/>
      </c>
    </row>
    <row r="6573" ht="22.5" customHeight="1">
      <c r="B6573" s="13"/>
      <c r="C6573" s="13"/>
      <c r="D6573" s="13"/>
      <c r="E6573" s="14"/>
      <c r="F6573" s="14"/>
      <c r="G6573" s="13"/>
      <c r="H6573" s="14"/>
      <c r="I6573" s="13"/>
      <c r="J6573" s="13"/>
      <c r="K6573" s="13"/>
      <c r="L6573" s="13"/>
      <c r="M6573" s="13"/>
      <c r="N6573" s="13"/>
      <c r="O6573" s="13" t="str">
        <f t="shared" si="1"/>
        <v/>
      </c>
    </row>
    <row r="6574" ht="22.5" customHeight="1">
      <c r="B6574" s="13"/>
      <c r="C6574" s="13"/>
      <c r="D6574" s="13"/>
      <c r="E6574" s="14"/>
      <c r="F6574" s="14"/>
      <c r="G6574" s="13"/>
      <c r="H6574" s="14"/>
      <c r="I6574" s="13"/>
      <c r="J6574" s="13"/>
      <c r="K6574" s="13"/>
      <c r="L6574" s="13"/>
      <c r="M6574" s="13"/>
      <c r="N6574" s="13"/>
      <c r="O6574" s="13" t="str">
        <f t="shared" si="1"/>
        <v/>
      </c>
    </row>
    <row r="6575" ht="22.5" customHeight="1">
      <c r="B6575" s="13"/>
      <c r="C6575" s="13"/>
      <c r="D6575" s="13"/>
      <c r="E6575" s="14"/>
      <c r="F6575" s="14"/>
      <c r="G6575" s="13"/>
      <c r="H6575" s="14"/>
      <c r="I6575" s="13"/>
      <c r="J6575" s="13"/>
      <c r="K6575" s="13"/>
      <c r="L6575" s="13"/>
      <c r="M6575" s="13"/>
      <c r="N6575" s="13"/>
      <c r="O6575" s="13" t="str">
        <f t="shared" si="1"/>
        <v/>
      </c>
    </row>
    <row r="6576" ht="22.5" customHeight="1">
      <c r="B6576" s="13"/>
      <c r="C6576" s="13"/>
      <c r="D6576" s="13"/>
      <c r="E6576" s="14"/>
      <c r="F6576" s="14"/>
      <c r="G6576" s="13"/>
      <c r="H6576" s="14"/>
      <c r="I6576" s="13"/>
      <c r="J6576" s="13"/>
      <c r="K6576" s="13"/>
      <c r="L6576" s="13"/>
      <c r="M6576" s="13"/>
      <c r="N6576" s="13"/>
      <c r="O6576" s="13" t="str">
        <f t="shared" si="1"/>
        <v/>
      </c>
    </row>
    <row r="6577" ht="22.5" customHeight="1">
      <c r="B6577" s="13"/>
      <c r="C6577" s="13"/>
      <c r="D6577" s="13"/>
      <c r="E6577" s="14"/>
      <c r="F6577" s="14"/>
      <c r="G6577" s="13"/>
      <c r="H6577" s="14"/>
      <c r="I6577" s="13"/>
      <c r="J6577" s="13"/>
      <c r="K6577" s="13"/>
      <c r="L6577" s="13"/>
      <c r="M6577" s="13"/>
      <c r="N6577" s="13"/>
      <c r="O6577" s="13" t="str">
        <f t="shared" si="1"/>
        <v/>
      </c>
    </row>
    <row r="6578" ht="22.5" customHeight="1">
      <c r="B6578" s="13"/>
      <c r="C6578" s="13"/>
      <c r="D6578" s="13"/>
      <c r="E6578" s="14"/>
      <c r="F6578" s="14"/>
      <c r="G6578" s="13"/>
      <c r="H6578" s="14"/>
      <c r="I6578" s="13"/>
      <c r="J6578" s="13"/>
      <c r="K6578" s="13"/>
      <c r="L6578" s="13"/>
      <c r="M6578" s="13"/>
      <c r="N6578" s="13"/>
      <c r="O6578" s="13" t="str">
        <f t="shared" si="1"/>
        <v/>
      </c>
    </row>
    <row r="6579" ht="22.5" customHeight="1">
      <c r="B6579" s="13"/>
      <c r="C6579" s="13"/>
      <c r="D6579" s="13"/>
      <c r="E6579" s="14"/>
      <c r="F6579" s="14"/>
      <c r="G6579" s="13"/>
      <c r="H6579" s="14"/>
      <c r="I6579" s="13"/>
      <c r="J6579" s="13"/>
      <c r="K6579" s="13"/>
      <c r="L6579" s="13"/>
      <c r="M6579" s="13"/>
      <c r="N6579" s="13"/>
      <c r="O6579" s="13" t="str">
        <f t="shared" si="1"/>
        <v/>
      </c>
    </row>
    <row r="6580" ht="22.5" customHeight="1">
      <c r="B6580" s="13"/>
      <c r="C6580" s="13"/>
      <c r="D6580" s="13"/>
      <c r="E6580" s="14"/>
      <c r="F6580" s="14"/>
      <c r="G6580" s="13"/>
      <c r="H6580" s="14"/>
      <c r="I6580" s="13"/>
      <c r="J6580" s="13"/>
      <c r="K6580" s="13"/>
      <c r="L6580" s="13"/>
      <c r="M6580" s="13"/>
      <c r="N6580" s="13"/>
      <c r="O6580" s="13" t="str">
        <f t="shared" si="1"/>
        <v/>
      </c>
    </row>
    <row r="6581" ht="22.5" customHeight="1">
      <c r="B6581" s="13"/>
      <c r="C6581" s="13"/>
      <c r="D6581" s="13"/>
      <c r="E6581" s="14"/>
      <c r="F6581" s="14"/>
      <c r="G6581" s="13"/>
      <c r="H6581" s="14"/>
      <c r="I6581" s="13"/>
      <c r="J6581" s="13"/>
      <c r="K6581" s="13"/>
      <c r="L6581" s="13"/>
      <c r="M6581" s="13"/>
      <c r="N6581" s="13"/>
      <c r="O6581" s="13" t="str">
        <f t="shared" si="1"/>
        <v/>
      </c>
    </row>
    <row r="6582" ht="22.5" customHeight="1">
      <c r="B6582" s="13"/>
      <c r="C6582" s="13"/>
      <c r="D6582" s="13"/>
      <c r="E6582" s="14"/>
      <c r="F6582" s="14"/>
      <c r="G6582" s="13"/>
      <c r="H6582" s="14"/>
      <c r="I6582" s="13"/>
      <c r="J6582" s="13"/>
      <c r="K6582" s="13"/>
      <c r="L6582" s="13"/>
      <c r="M6582" s="13"/>
      <c r="N6582" s="13"/>
      <c r="O6582" s="13" t="str">
        <f t="shared" si="1"/>
        <v/>
      </c>
    </row>
    <row r="6583" ht="22.5" customHeight="1">
      <c r="B6583" s="13"/>
      <c r="C6583" s="13"/>
      <c r="D6583" s="13"/>
      <c r="E6583" s="14"/>
      <c r="F6583" s="14"/>
      <c r="G6583" s="13"/>
      <c r="H6583" s="14"/>
      <c r="I6583" s="13"/>
      <c r="J6583" s="13"/>
      <c r="K6583" s="13"/>
      <c r="L6583" s="13"/>
      <c r="M6583" s="13"/>
      <c r="N6583" s="13"/>
      <c r="O6583" s="13" t="str">
        <f t="shared" si="1"/>
        <v/>
      </c>
    </row>
    <row r="6584" ht="22.5" customHeight="1">
      <c r="B6584" s="13"/>
      <c r="C6584" s="13"/>
      <c r="D6584" s="13"/>
      <c r="E6584" s="14"/>
      <c r="F6584" s="14"/>
      <c r="G6584" s="13"/>
      <c r="H6584" s="14"/>
      <c r="I6584" s="13"/>
      <c r="J6584" s="13"/>
      <c r="K6584" s="13"/>
      <c r="L6584" s="13"/>
      <c r="M6584" s="13"/>
      <c r="N6584" s="13"/>
      <c r="O6584" s="13" t="str">
        <f t="shared" si="1"/>
        <v/>
      </c>
    </row>
    <row r="6585" ht="22.5" customHeight="1">
      <c r="B6585" s="13"/>
      <c r="C6585" s="13"/>
      <c r="D6585" s="13"/>
      <c r="E6585" s="14"/>
      <c r="F6585" s="14"/>
      <c r="G6585" s="13"/>
      <c r="H6585" s="14"/>
      <c r="I6585" s="13"/>
      <c r="J6585" s="13"/>
      <c r="K6585" s="13"/>
      <c r="L6585" s="13"/>
      <c r="M6585" s="13"/>
      <c r="N6585" s="13"/>
      <c r="O6585" s="13" t="str">
        <f t="shared" si="1"/>
        <v/>
      </c>
    </row>
    <row r="6586" ht="22.5" customHeight="1">
      <c r="B6586" s="13"/>
      <c r="C6586" s="13"/>
      <c r="D6586" s="13"/>
      <c r="E6586" s="14"/>
      <c r="F6586" s="14"/>
      <c r="G6586" s="13"/>
      <c r="H6586" s="14"/>
      <c r="I6586" s="13"/>
      <c r="J6586" s="13"/>
      <c r="K6586" s="13"/>
      <c r="L6586" s="13"/>
      <c r="M6586" s="13"/>
      <c r="N6586" s="13"/>
      <c r="O6586" s="13" t="str">
        <f t="shared" si="1"/>
        <v/>
      </c>
    </row>
    <row r="6587" ht="22.5" customHeight="1">
      <c r="B6587" s="13"/>
      <c r="C6587" s="13"/>
      <c r="D6587" s="13"/>
      <c r="E6587" s="14"/>
      <c r="F6587" s="14"/>
      <c r="G6587" s="13"/>
      <c r="H6587" s="14"/>
      <c r="I6587" s="13"/>
      <c r="J6587" s="13"/>
      <c r="K6587" s="13"/>
      <c r="L6587" s="13"/>
      <c r="M6587" s="13"/>
      <c r="N6587" s="13"/>
      <c r="O6587" s="13" t="str">
        <f t="shared" si="1"/>
        <v/>
      </c>
    </row>
    <row r="6588" ht="22.5" customHeight="1">
      <c r="B6588" s="13"/>
      <c r="C6588" s="13"/>
      <c r="D6588" s="13"/>
      <c r="E6588" s="14"/>
      <c r="F6588" s="14"/>
      <c r="G6588" s="13"/>
      <c r="H6588" s="14"/>
      <c r="I6588" s="13"/>
      <c r="J6588" s="13"/>
      <c r="K6588" s="13"/>
      <c r="L6588" s="13"/>
      <c r="M6588" s="13"/>
      <c r="N6588" s="13"/>
      <c r="O6588" s="13" t="str">
        <f t="shared" si="1"/>
        <v/>
      </c>
    </row>
    <row r="6589" ht="22.5" customHeight="1">
      <c r="B6589" s="13"/>
      <c r="C6589" s="13"/>
      <c r="D6589" s="13"/>
      <c r="E6589" s="14"/>
      <c r="F6589" s="14"/>
      <c r="G6589" s="13"/>
      <c r="H6589" s="14"/>
      <c r="I6589" s="13"/>
      <c r="J6589" s="13"/>
      <c r="K6589" s="13"/>
      <c r="L6589" s="13"/>
      <c r="M6589" s="13"/>
      <c r="N6589" s="13"/>
      <c r="O6589" s="13" t="str">
        <f t="shared" si="1"/>
        <v/>
      </c>
    </row>
    <row r="6590" ht="22.5" customHeight="1">
      <c r="B6590" s="13"/>
      <c r="C6590" s="13"/>
      <c r="D6590" s="13"/>
      <c r="E6590" s="14"/>
      <c r="F6590" s="14"/>
      <c r="G6590" s="13"/>
      <c r="H6590" s="14"/>
      <c r="I6590" s="13"/>
      <c r="J6590" s="13"/>
      <c r="K6590" s="13"/>
      <c r="L6590" s="13"/>
      <c r="M6590" s="13"/>
      <c r="N6590" s="13"/>
      <c r="O6590" s="13" t="str">
        <f t="shared" si="1"/>
        <v/>
      </c>
    </row>
    <row r="6591" ht="22.5" customHeight="1">
      <c r="B6591" s="13"/>
      <c r="C6591" s="13"/>
      <c r="D6591" s="13"/>
      <c r="E6591" s="14"/>
      <c r="F6591" s="14"/>
      <c r="G6591" s="13"/>
      <c r="H6591" s="14"/>
      <c r="I6591" s="13"/>
      <c r="J6591" s="13"/>
      <c r="K6591" s="13"/>
      <c r="L6591" s="13"/>
      <c r="M6591" s="13"/>
      <c r="N6591" s="13"/>
      <c r="O6591" s="13" t="str">
        <f t="shared" si="1"/>
        <v/>
      </c>
    </row>
    <row r="6592" ht="22.5" customHeight="1">
      <c r="B6592" s="13"/>
      <c r="C6592" s="13"/>
      <c r="D6592" s="13"/>
      <c r="E6592" s="14"/>
      <c r="F6592" s="14"/>
      <c r="G6592" s="13"/>
      <c r="H6592" s="14"/>
      <c r="I6592" s="13"/>
      <c r="J6592" s="13"/>
      <c r="K6592" s="13"/>
      <c r="L6592" s="13"/>
      <c r="M6592" s="13"/>
      <c r="N6592" s="13"/>
      <c r="O6592" s="13" t="str">
        <f t="shared" si="1"/>
        <v/>
      </c>
    </row>
    <row r="6593" ht="22.5" customHeight="1">
      <c r="B6593" s="13"/>
      <c r="C6593" s="13"/>
      <c r="D6593" s="13"/>
      <c r="E6593" s="14"/>
      <c r="F6593" s="14"/>
      <c r="G6593" s="13"/>
      <c r="H6593" s="14"/>
      <c r="I6593" s="13"/>
      <c r="J6593" s="13"/>
      <c r="K6593" s="13"/>
      <c r="L6593" s="13"/>
      <c r="M6593" s="13"/>
      <c r="N6593" s="13"/>
      <c r="O6593" s="13" t="str">
        <f t="shared" si="1"/>
        <v/>
      </c>
    </row>
    <row r="6594" ht="22.5" customHeight="1">
      <c r="B6594" s="13"/>
      <c r="C6594" s="13"/>
      <c r="D6594" s="13"/>
      <c r="E6594" s="14"/>
      <c r="F6594" s="14"/>
      <c r="G6594" s="13"/>
      <c r="H6594" s="14"/>
      <c r="I6594" s="13"/>
      <c r="J6594" s="13"/>
      <c r="K6594" s="13"/>
      <c r="L6594" s="13"/>
      <c r="M6594" s="13"/>
      <c r="N6594" s="13"/>
      <c r="O6594" s="13" t="str">
        <f t="shared" si="1"/>
        <v/>
      </c>
    </row>
    <row r="6595" ht="22.5" customHeight="1">
      <c r="B6595" s="13"/>
      <c r="C6595" s="13"/>
      <c r="D6595" s="13"/>
      <c r="E6595" s="14"/>
      <c r="F6595" s="14"/>
      <c r="G6595" s="13"/>
      <c r="H6595" s="14"/>
      <c r="I6595" s="13"/>
      <c r="J6595" s="13"/>
      <c r="K6595" s="13"/>
      <c r="L6595" s="13"/>
      <c r="M6595" s="13"/>
      <c r="N6595" s="13"/>
      <c r="O6595" s="13" t="str">
        <f t="shared" si="1"/>
        <v/>
      </c>
    </row>
    <row r="6596" ht="22.5" customHeight="1">
      <c r="B6596" s="13"/>
      <c r="C6596" s="13"/>
      <c r="D6596" s="13"/>
      <c r="E6596" s="14"/>
      <c r="F6596" s="14"/>
      <c r="G6596" s="13"/>
      <c r="H6596" s="14"/>
      <c r="I6596" s="13"/>
      <c r="J6596" s="13"/>
      <c r="K6596" s="13"/>
      <c r="L6596" s="13"/>
      <c r="M6596" s="13"/>
      <c r="N6596" s="13"/>
      <c r="O6596" s="13" t="str">
        <f t="shared" si="1"/>
        <v/>
      </c>
    </row>
    <row r="6597" ht="22.5" customHeight="1">
      <c r="B6597" s="13"/>
      <c r="C6597" s="13"/>
      <c r="D6597" s="13"/>
      <c r="E6597" s="14"/>
      <c r="F6597" s="14"/>
      <c r="G6597" s="13"/>
      <c r="H6597" s="14"/>
      <c r="I6597" s="13"/>
      <c r="J6597" s="13"/>
      <c r="K6597" s="13"/>
      <c r="L6597" s="13"/>
      <c r="M6597" s="13"/>
      <c r="N6597" s="13"/>
      <c r="O6597" s="13" t="str">
        <f t="shared" si="1"/>
        <v/>
      </c>
    </row>
    <row r="6598" ht="22.5" customHeight="1">
      <c r="B6598" s="13"/>
      <c r="C6598" s="13"/>
      <c r="D6598" s="13"/>
      <c r="E6598" s="14"/>
      <c r="F6598" s="14"/>
      <c r="G6598" s="13"/>
      <c r="H6598" s="14"/>
      <c r="I6598" s="13"/>
      <c r="J6598" s="13"/>
      <c r="K6598" s="13"/>
      <c r="L6598" s="13"/>
      <c r="M6598" s="13"/>
      <c r="N6598" s="13"/>
      <c r="O6598" s="13" t="str">
        <f t="shared" si="1"/>
        <v/>
      </c>
    </row>
    <row r="6599" ht="22.5" customHeight="1">
      <c r="B6599" s="13"/>
      <c r="C6599" s="13"/>
      <c r="D6599" s="13"/>
      <c r="E6599" s="14"/>
      <c r="F6599" s="14"/>
      <c r="G6599" s="13"/>
      <c r="H6599" s="14"/>
      <c r="I6599" s="13"/>
      <c r="J6599" s="13"/>
      <c r="K6599" s="13"/>
      <c r="L6599" s="13"/>
      <c r="M6599" s="13"/>
      <c r="N6599" s="13"/>
      <c r="O6599" s="13" t="str">
        <f t="shared" si="1"/>
        <v/>
      </c>
    </row>
    <row r="6600" ht="22.5" customHeight="1">
      <c r="B6600" s="13"/>
      <c r="C6600" s="13"/>
      <c r="D6600" s="13"/>
      <c r="E6600" s="14"/>
      <c r="F6600" s="14"/>
      <c r="G6600" s="13"/>
      <c r="H6600" s="14"/>
      <c r="I6600" s="13"/>
      <c r="J6600" s="13"/>
      <c r="K6600" s="13"/>
      <c r="L6600" s="13"/>
      <c r="M6600" s="13"/>
      <c r="N6600" s="13"/>
      <c r="O6600" s="13" t="str">
        <f t="shared" si="1"/>
        <v/>
      </c>
    </row>
    <row r="6601" ht="22.5" customHeight="1">
      <c r="B6601" s="13"/>
      <c r="C6601" s="13"/>
      <c r="D6601" s="13"/>
      <c r="E6601" s="14"/>
      <c r="F6601" s="14"/>
      <c r="G6601" s="13"/>
      <c r="H6601" s="14"/>
      <c r="I6601" s="13"/>
      <c r="J6601" s="13"/>
      <c r="K6601" s="13"/>
      <c r="L6601" s="13"/>
      <c r="M6601" s="13"/>
      <c r="N6601" s="13"/>
      <c r="O6601" s="13" t="str">
        <f t="shared" si="1"/>
        <v/>
      </c>
    </row>
    <row r="6602" ht="22.5" customHeight="1">
      <c r="B6602" s="13"/>
      <c r="C6602" s="13"/>
      <c r="D6602" s="13"/>
      <c r="E6602" s="14"/>
      <c r="F6602" s="14"/>
      <c r="G6602" s="13"/>
      <c r="H6602" s="14"/>
      <c r="I6602" s="13"/>
      <c r="J6602" s="13"/>
      <c r="K6602" s="13"/>
      <c r="L6602" s="13"/>
      <c r="M6602" s="13"/>
      <c r="N6602" s="13"/>
      <c r="O6602" s="13" t="str">
        <f t="shared" si="1"/>
        <v/>
      </c>
    </row>
    <row r="6603" ht="22.5" customHeight="1">
      <c r="B6603" s="13"/>
      <c r="C6603" s="13"/>
      <c r="D6603" s="13"/>
      <c r="E6603" s="14"/>
      <c r="F6603" s="14"/>
      <c r="G6603" s="13"/>
      <c r="H6603" s="14"/>
      <c r="I6603" s="13"/>
      <c r="J6603" s="13"/>
      <c r="K6603" s="13"/>
      <c r="L6603" s="13"/>
      <c r="M6603" s="13"/>
      <c r="N6603" s="13"/>
      <c r="O6603" s="13" t="str">
        <f t="shared" si="1"/>
        <v/>
      </c>
    </row>
    <row r="6604" ht="22.5" customHeight="1">
      <c r="B6604" s="13"/>
      <c r="C6604" s="13"/>
      <c r="D6604" s="13"/>
      <c r="E6604" s="14"/>
      <c r="F6604" s="14"/>
      <c r="G6604" s="13"/>
      <c r="H6604" s="14"/>
      <c r="I6604" s="13"/>
      <c r="J6604" s="13"/>
      <c r="K6604" s="13"/>
      <c r="L6604" s="13"/>
      <c r="M6604" s="13"/>
      <c r="N6604" s="13"/>
      <c r="O6604" s="13" t="str">
        <f t="shared" si="1"/>
        <v/>
      </c>
    </row>
    <row r="6605" ht="22.5" customHeight="1">
      <c r="B6605" s="13"/>
      <c r="C6605" s="13"/>
      <c r="D6605" s="13"/>
      <c r="E6605" s="14"/>
      <c r="F6605" s="14"/>
      <c r="G6605" s="13"/>
      <c r="H6605" s="14"/>
      <c r="I6605" s="13"/>
      <c r="J6605" s="13"/>
      <c r="K6605" s="13"/>
      <c r="L6605" s="13"/>
      <c r="M6605" s="13"/>
      <c r="N6605" s="13"/>
      <c r="O6605" s="13" t="str">
        <f t="shared" si="1"/>
        <v/>
      </c>
    </row>
    <row r="6606" ht="22.5" customHeight="1">
      <c r="B6606" s="13"/>
      <c r="C6606" s="13"/>
      <c r="D6606" s="13"/>
      <c r="E6606" s="14"/>
      <c r="F6606" s="14"/>
      <c r="G6606" s="13"/>
      <c r="H6606" s="14"/>
      <c r="I6606" s="13"/>
      <c r="J6606" s="13"/>
      <c r="K6606" s="13"/>
      <c r="L6606" s="13"/>
      <c r="M6606" s="13"/>
      <c r="N6606" s="13"/>
      <c r="O6606" s="13" t="str">
        <f t="shared" si="1"/>
        <v/>
      </c>
    </row>
    <row r="6607" ht="22.5" customHeight="1">
      <c r="B6607" s="13"/>
      <c r="C6607" s="13"/>
      <c r="D6607" s="13"/>
      <c r="E6607" s="14"/>
      <c r="F6607" s="14"/>
      <c r="G6607" s="13"/>
      <c r="H6607" s="14"/>
      <c r="I6607" s="13"/>
      <c r="J6607" s="13"/>
      <c r="K6607" s="13"/>
      <c r="L6607" s="13"/>
      <c r="M6607" s="13"/>
      <c r="N6607" s="13"/>
      <c r="O6607" s="13" t="str">
        <f t="shared" si="1"/>
        <v/>
      </c>
    </row>
    <row r="6608" ht="22.5" customHeight="1">
      <c r="B6608" s="13"/>
      <c r="C6608" s="13"/>
      <c r="D6608" s="13"/>
      <c r="E6608" s="14"/>
      <c r="F6608" s="14"/>
      <c r="G6608" s="13"/>
      <c r="H6608" s="14"/>
      <c r="I6608" s="13"/>
      <c r="J6608" s="13"/>
      <c r="K6608" s="13"/>
      <c r="L6608" s="13"/>
      <c r="M6608" s="13"/>
      <c r="N6608" s="13"/>
      <c r="O6608" s="13" t="str">
        <f t="shared" si="1"/>
        <v/>
      </c>
    </row>
    <row r="6609" ht="22.5" customHeight="1">
      <c r="B6609" s="13"/>
      <c r="C6609" s="13"/>
      <c r="D6609" s="13"/>
      <c r="E6609" s="14"/>
      <c r="F6609" s="14"/>
      <c r="G6609" s="13"/>
      <c r="H6609" s="14"/>
      <c r="I6609" s="13"/>
      <c r="J6609" s="13"/>
      <c r="K6609" s="13"/>
      <c r="L6609" s="13"/>
      <c r="M6609" s="13"/>
      <c r="N6609" s="13"/>
      <c r="O6609" s="13" t="str">
        <f t="shared" si="1"/>
        <v/>
      </c>
    </row>
    <row r="6610" ht="22.5" customHeight="1">
      <c r="B6610" s="13"/>
      <c r="C6610" s="13"/>
      <c r="D6610" s="13"/>
      <c r="E6610" s="14"/>
      <c r="F6610" s="14"/>
      <c r="G6610" s="13"/>
      <c r="H6610" s="14"/>
      <c r="I6610" s="13"/>
      <c r="J6610" s="13"/>
      <c r="K6610" s="13"/>
      <c r="L6610" s="13"/>
      <c r="M6610" s="13"/>
      <c r="N6610" s="13"/>
      <c r="O6610" s="13" t="str">
        <f t="shared" si="1"/>
        <v/>
      </c>
    </row>
    <row r="6611" ht="22.5" customHeight="1">
      <c r="B6611" s="13"/>
      <c r="C6611" s="13"/>
      <c r="D6611" s="13"/>
      <c r="E6611" s="14"/>
      <c r="F6611" s="14"/>
      <c r="G6611" s="13"/>
      <c r="H6611" s="14"/>
      <c r="I6611" s="13"/>
      <c r="J6611" s="13"/>
      <c r="K6611" s="13"/>
      <c r="L6611" s="13"/>
      <c r="M6611" s="13"/>
      <c r="N6611" s="13"/>
      <c r="O6611" s="13" t="str">
        <f t="shared" si="1"/>
        <v/>
      </c>
    </row>
    <row r="6612" ht="22.5" customHeight="1">
      <c r="B6612" s="13"/>
      <c r="C6612" s="13"/>
      <c r="D6612" s="13"/>
      <c r="E6612" s="14"/>
      <c r="F6612" s="14"/>
      <c r="G6612" s="13"/>
      <c r="H6612" s="14"/>
      <c r="I6612" s="13"/>
      <c r="J6612" s="13"/>
      <c r="K6612" s="13"/>
      <c r="L6612" s="13"/>
      <c r="M6612" s="13"/>
      <c r="N6612" s="13"/>
      <c r="O6612" s="13" t="str">
        <f t="shared" si="1"/>
        <v/>
      </c>
    </row>
    <row r="6613" ht="22.5" customHeight="1">
      <c r="B6613" s="13"/>
      <c r="C6613" s="13"/>
      <c r="D6613" s="13"/>
      <c r="E6613" s="14"/>
      <c r="F6613" s="14"/>
      <c r="G6613" s="13"/>
      <c r="H6613" s="14"/>
      <c r="I6613" s="13"/>
      <c r="J6613" s="13"/>
      <c r="K6613" s="13"/>
      <c r="L6613" s="13"/>
      <c r="M6613" s="13"/>
      <c r="N6613" s="13"/>
      <c r="O6613" s="13" t="str">
        <f t="shared" si="1"/>
        <v/>
      </c>
    </row>
    <row r="6614" ht="22.5" customHeight="1">
      <c r="B6614" s="13"/>
      <c r="C6614" s="13"/>
      <c r="D6614" s="13"/>
      <c r="E6614" s="14"/>
      <c r="F6614" s="14"/>
      <c r="G6614" s="13"/>
      <c r="H6614" s="14"/>
      <c r="I6614" s="13"/>
      <c r="J6614" s="13"/>
      <c r="K6614" s="13"/>
      <c r="L6614" s="13"/>
      <c r="M6614" s="13"/>
      <c r="N6614" s="13"/>
      <c r="O6614" s="13" t="str">
        <f t="shared" si="1"/>
        <v/>
      </c>
    </row>
    <row r="6615" ht="22.5" customHeight="1">
      <c r="B6615" s="13"/>
      <c r="C6615" s="13"/>
      <c r="D6615" s="13"/>
      <c r="E6615" s="14"/>
      <c r="F6615" s="14"/>
      <c r="G6615" s="13"/>
      <c r="H6615" s="14"/>
      <c r="I6615" s="13"/>
      <c r="J6615" s="13"/>
      <c r="K6615" s="13"/>
      <c r="L6615" s="13"/>
      <c r="M6615" s="13"/>
      <c r="N6615" s="13"/>
      <c r="O6615" s="13" t="str">
        <f t="shared" si="1"/>
        <v/>
      </c>
    </row>
    <row r="6616" ht="22.5" customHeight="1">
      <c r="B6616" s="13"/>
      <c r="C6616" s="13"/>
      <c r="D6616" s="13"/>
      <c r="E6616" s="14"/>
      <c r="F6616" s="14"/>
      <c r="G6616" s="13"/>
      <c r="H6616" s="14"/>
      <c r="I6616" s="13"/>
      <c r="J6616" s="13"/>
      <c r="K6616" s="13"/>
      <c r="L6616" s="13"/>
      <c r="M6616" s="13"/>
      <c r="N6616" s="13"/>
      <c r="O6616" s="13" t="str">
        <f t="shared" si="1"/>
        <v/>
      </c>
    </row>
    <row r="6617" ht="22.5" customHeight="1">
      <c r="B6617" s="13"/>
      <c r="C6617" s="13"/>
      <c r="D6617" s="13"/>
      <c r="E6617" s="14"/>
      <c r="F6617" s="14"/>
      <c r="G6617" s="13"/>
      <c r="H6617" s="14"/>
      <c r="I6617" s="13"/>
      <c r="J6617" s="13"/>
      <c r="K6617" s="13"/>
      <c r="L6617" s="13"/>
      <c r="M6617" s="13"/>
      <c r="N6617" s="13"/>
      <c r="O6617" s="13" t="str">
        <f t="shared" si="1"/>
        <v/>
      </c>
    </row>
    <row r="6618" ht="22.5" customHeight="1">
      <c r="B6618" s="13"/>
      <c r="C6618" s="13"/>
      <c r="D6618" s="13"/>
      <c r="E6618" s="14"/>
      <c r="F6618" s="14"/>
      <c r="G6618" s="13"/>
      <c r="H6618" s="14"/>
      <c r="I6618" s="13"/>
      <c r="J6618" s="13"/>
      <c r="K6618" s="13"/>
      <c r="L6618" s="13"/>
      <c r="M6618" s="13"/>
      <c r="N6618" s="13"/>
      <c r="O6618" s="13" t="str">
        <f t="shared" si="1"/>
        <v/>
      </c>
    </row>
    <row r="6619" ht="22.5" customHeight="1">
      <c r="B6619" s="13"/>
      <c r="C6619" s="13"/>
      <c r="D6619" s="13"/>
      <c r="E6619" s="14"/>
      <c r="F6619" s="14"/>
      <c r="G6619" s="13"/>
      <c r="H6619" s="14"/>
      <c r="I6619" s="13"/>
      <c r="J6619" s="13"/>
      <c r="K6619" s="13"/>
      <c r="L6619" s="13"/>
      <c r="M6619" s="13"/>
      <c r="N6619" s="13"/>
      <c r="O6619" s="13" t="str">
        <f t="shared" si="1"/>
        <v/>
      </c>
    </row>
    <row r="6620" ht="22.5" customHeight="1">
      <c r="B6620" s="13"/>
      <c r="C6620" s="13"/>
      <c r="D6620" s="13"/>
      <c r="E6620" s="14"/>
      <c r="F6620" s="14"/>
      <c r="G6620" s="13"/>
      <c r="H6620" s="14"/>
      <c r="I6620" s="13"/>
      <c r="J6620" s="13"/>
      <c r="K6620" s="13"/>
      <c r="L6620" s="13"/>
      <c r="M6620" s="13"/>
      <c r="N6620" s="13"/>
      <c r="O6620" s="13" t="str">
        <f t="shared" si="1"/>
        <v/>
      </c>
    </row>
    <row r="6621" ht="22.5" customHeight="1">
      <c r="B6621" s="13"/>
      <c r="C6621" s="13"/>
      <c r="D6621" s="13"/>
      <c r="E6621" s="14"/>
      <c r="F6621" s="14"/>
      <c r="G6621" s="13"/>
      <c r="H6621" s="14"/>
      <c r="I6621" s="13"/>
      <c r="J6621" s="13"/>
      <c r="K6621" s="13"/>
      <c r="L6621" s="13"/>
      <c r="M6621" s="13"/>
      <c r="N6621" s="13"/>
      <c r="O6621" s="13" t="str">
        <f t="shared" si="1"/>
        <v/>
      </c>
    </row>
    <row r="6622" ht="22.5" customHeight="1">
      <c r="B6622" s="13"/>
      <c r="C6622" s="13"/>
      <c r="D6622" s="13"/>
      <c r="E6622" s="14"/>
      <c r="F6622" s="14"/>
      <c r="G6622" s="13"/>
      <c r="H6622" s="14"/>
      <c r="I6622" s="13"/>
      <c r="J6622" s="13"/>
      <c r="K6622" s="13"/>
      <c r="L6622" s="13"/>
      <c r="M6622" s="13"/>
      <c r="N6622" s="13"/>
      <c r="O6622" s="13" t="str">
        <f t="shared" si="1"/>
        <v/>
      </c>
    </row>
    <row r="6623" ht="22.5" customHeight="1">
      <c r="B6623" s="13"/>
      <c r="C6623" s="13"/>
      <c r="D6623" s="13"/>
      <c r="E6623" s="14"/>
      <c r="F6623" s="14"/>
      <c r="G6623" s="13"/>
      <c r="H6623" s="14"/>
      <c r="I6623" s="13"/>
      <c r="J6623" s="13"/>
      <c r="K6623" s="13"/>
      <c r="L6623" s="13"/>
      <c r="M6623" s="13"/>
      <c r="N6623" s="13"/>
      <c r="O6623" s="13" t="str">
        <f t="shared" si="1"/>
        <v/>
      </c>
    </row>
    <row r="6624" ht="22.5" customHeight="1">
      <c r="B6624" s="13"/>
      <c r="C6624" s="13"/>
      <c r="D6624" s="13"/>
      <c r="E6624" s="14"/>
      <c r="F6624" s="14"/>
      <c r="G6624" s="13"/>
      <c r="H6624" s="14"/>
      <c r="I6624" s="13"/>
      <c r="J6624" s="13"/>
      <c r="K6624" s="13"/>
      <c r="L6624" s="13"/>
      <c r="M6624" s="13"/>
      <c r="N6624" s="13"/>
      <c r="O6624" s="13" t="str">
        <f t="shared" si="1"/>
        <v/>
      </c>
    </row>
    <row r="6625" ht="22.5" customHeight="1">
      <c r="B6625" s="13"/>
      <c r="C6625" s="13"/>
      <c r="D6625" s="13"/>
      <c r="E6625" s="14"/>
      <c r="F6625" s="14"/>
      <c r="G6625" s="13"/>
      <c r="H6625" s="14"/>
      <c r="I6625" s="13"/>
      <c r="J6625" s="13"/>
      <c r="K6625" s="13"/>
      <c r="L6625" s="13"/>
      <c r="M6625" s="13"/>
      <c r="N6625" s="13"/>
      <c r="O6625" s="13" t="str">
        <f t="shared" si="1"/>
        <v/>
      </c>
    </row>
    <row r="6626" ht="22.5" customHeight="1">
      <c r="B6626" s="13"/>
      <c r="C6626" s="13"/>
      <c r="D6626" s="13"/>
      <c r="E6626" s="14"/>
      <c r="F6626" s="14"/>
      <c r="G6626" s="13"/>
      <c r="H6626" s="14"/>
      <c r="I6626" s="13"/>
      <c r="J6626" s="13"/>
      <c r="K6626" s="13"/>
      <c r="L6626" s="13"/>
      <c r="M6626" s="13"/>
      <c r="N6626" s="13"/>
      <c r="O6626" s="13" t="str">
        <f t="shared" si="1"/>
        <v/>
      </c>
    </row>
    <row r="6627" ht="22.5" customHeight="1">
      <c r="B6627" s="13"/>
      <c r="C6627" s="13"/>
      <c r="D6627" s="13"/>
      <c r="E6627" s="14"/>
      <c r="F6627" s="14"/>
      <c r="G6627" s="13"/>
      <c r="H6627" s="14"/>
      <c r="I6627" s="13"/>
      <c r="J6627" s="13"/>
      <c r="K6627" s="13"/>
      <c r="L6627" s="13"/>
      <c r="M6627" s="13"/>
      <c r="N6627" s="13"/>
      <c r="O6627" s="13" t="str">
        <f t="shared" si="1"/>
        <v/>
      </c>
    </row>
    <row r="6628" ht="22.5" customHeight="1">
      <c r="B6628" s="13"/>
      <c r="C6628" s="13"/>
      <c r="D6628" s="13"/>
      <c r="E6628" s="14"/>
      <c r="F6628" s="14"/>
      <c r="G6628" s="13"/>
      <c r="H6628" s="14"/>
      <c r="I6628" s="13"/>
      <c r="J6628" s="13"/>
      <c r="K6628" s="13"/>
      <c r="L6628" s="13"/>
      <c r="M6628" s="13"/>
      <c r="N6628" s="13"/>
      <c r="O6628" s="13" t="str">
        <f t="shared" si="1"/>
        <v/>
      </c>
    </row>
    <row r="6629" ht="22.5" customHeight="1">
      <c r="B6629" s="13"/>
      <c r="C6629" s="13"/>
      <c r="D6629" s="13"/>
      <c r="E6629" s="14"/>
      <c r="F6629" s="14"/>
      <c r="G6629" s="13"/>
      <c r="H6629" s="14"/>
      <c r="I6629" s="13"/>
      <c r="J6629" s="13"/>
      <c r="K6629" s="13"/>
      <c r="L6629" s="13"/>
      <c r="M6629" s="13"/>
      <c r="N6629" s="13"/>
      <c r="O6629" s="13" t="str">
        <f t="shared" si="1"/>
        <v/>
      </c>
    </row>
    <row r="6630" ht="22.5" customHeight="1">
      <c r="B6630" s="13"/>
      <c r="C6630" s="13"/>
      <c r="D6630" s="13"/>
      <c r="E6630" s="14"/>
      <c r="F6630" s="14"/>
      <c r="G6630" s="13"/>
      <c r="H6630" s="14"/>
      <c r="I6630" s="13"/>
      <c r="J6630" s="13"/>
      <c r="K6630" s="13"/>
      <c r="L6630" s="13"/>
      <c r="M6630" s="13"/>
      <c r="N6630" s="13"/>
      <c r="O6630" s="13" t="str">
        <f t="shared" si="1"/>
        <v/>
      </c>
    </row>
    <row r="6631" ht="22.5" customHeight="1">
      <c r="B6631" s="13"/>
      <c r="C6631" s="13"/>
      <c r="D6631" s="13"/>
      <c r="E6631" s="14"/>
      <c r="F6631" s="14"/>
      <c r="G6631" s="13"/>
      <c r="H6631" s="14"/>
      <c r="I6631" s="13"/>
      <c r="J6631" s="13"/>
      <c r="K6631" s="13"/>
      <c r="L6631" s="13"/>
      <c r="M6631" s="13"/>
      <c r="N6631" s="13"/>
      <c r="O6631" s="13" t="str">
        <f t="shared" si="1"/>
        <v/>
      </c>
    </row>
    <row r="6632" ht="22.5" customHeight="1">
      <c r="B6632" s="13"/>
      <c r="C6632" s="13"/>
      <c r="D6632" s="13"/>
      <c r="E6632" s="14"/>
      <c r="F6632" s="14"/>
      <c r="G6632" s="13"/>
      <c r="H6632" s="14"/>
      <c r="I6632" s="13"/>
      <c r="J6632" s="13"/>
      <c r="K6632" s="13"/>
      <c r="L6632" s="13"/>
      <c r="M6632" s="13"/>
      <c r="N6632" s="13"/>
      <c r="O6632" s="13" t="str">
        <f t="shared" si="1"/>
        <v/>
      </c>
    </row>
    <row r="6633" ht="22.5" customHeight="1">
      <c r="B6633" s="13"/>
      <c r="C6633" s="13"/>
      <c r="D6633" s="13"/>
      <c r="E6633" s="14"/>
      <c r="F6633" s="14"/>
      <c r="G6633" s="13"/>
      <c r="H6633" s="14"/>
      <c r="I6633" s="13"/>
      <c r="J6633" s="13"/>
      <c r="K6633" s="13"/>
      <c r="L6633" s="13"/>
      <c r="M6633" s="13"/>
      <c r="N6633" s="13"/>
      <c r="O6633" s="13" t="str">
        <f t="shared" si="1"/>
        <v/>
      </c>
    </row>
    <row r="6634" ht="22.5" customHeight="1">
      <c r="B6634" s="13"/>
      <c r="C6634" s="13"/>
      <c r="D6634" s="13"/>
      <c r="E6634" s="14"/>
      <c r="F6634" s="14"/>
      <c r="G6634" s="13"/>
      <c r="H6634" s="14"/>
      <c r="I6634" s="13"/>
      <c r="J6634" s="13"/>
      <c r="K6634" s="13"/>
      <c r="L6634" s="13"/>
      <c r="M6634" s="13"/>
      <c r="N6634" s="13"/>
      <c r="O6634" s="13" t="str">
        <f t="shared" si="1"/>
        <v/>
      </c>
    </row>
    <row r="6635" ht="22.5" customHeight="1">
      <c r="B6635" s="13"/>
      <c r="C6635" s="13"/>
      <c r="D6635" s="13"/>
      <c r="E6635" s="14"/>
      <c r="F6635" s="14"/>
      <c r="G6635" s="13"/>
      <c r="H6635" s="14"/>
      <c r="I6635" s="13"/>
      <c r="J6635" s="13"/>
      <c r="K6635" s="13"/>
      <c r="L6635" s="13"/>
      <c r="M6635" s="13"/>
      <c r="N6635" s="13"/>
      <c r="O6635" s="13" t="str">
        <f t="shared" si="1"/>
        <v/>
      </c>
    </row>
    <row r="6636" ht="22.5" customHeight="1">
      <c r="B6636" s="13"/>
      <c r="C6636" s="13"/>
      <c r="D6636" s="13"/>
      <c r="E6636" s="14"/>
      <c r="F6636" s="14"/>
      <c r="G6636" s="13"/>
      <c r="H6636" s="14"/>
      <c r="I6636" s="13"/>
      <c r="J6636" s="13"/>
      <c r="K6636" s="13"/>
      <c r="L6636" s="13"/>
      <c r="M6636" s="13"/>
      <c r="N6636" s="13"/>
      <c r="O6636" s="13" t="str">
        <f t="shared" si="1"/>
        <v/>
      </c>
    </row>
    <row r="6637" ht="22.5" customHeight="1">
      <c r="B6637" s="13"/>
      <c r="C6637" s="13"/>
      <c r="D6637" s="13"/>
      <c r="E6637" s="14"/>
      <c r="F6637" s="14"/>
      <c r="G6637" s="13"/>
      <c r="H6637" s="14"/>
      <c r="I6637" s="13"/>
      <c r="J6637" s="13"/>
      <c r="K6637" s="13"/>
      <c r="L6637" s="13"/>
      <c r="M6637" s="13"/>
      <c r="N6637" s="13"/>
      <c r="O6637" s="13" t="str">
        <f t="shared" si="1"/>
        <v/>
      </c>
    </row>
    <row r="6638" ht="22.5" customHeight="1">
      <c r="B6638" s="13"/>
      <c r="C6638" s="13"/>
      <c r="D6638" s="13"/>
      <c r="E6638" s="14"/>
      <c r="F6638" s="14"/>
      <c r="G6638" s="13"/>
      <c r="H6638" s="14"/>
      <c r="I6638" s="13"/>
      <c r="J6638" s="13"/>
      <c r="K6638" s="13"/>
      <c r="L6638" s="13"/>
      <c r="M6638" s="13"/>
      <c r="N6638" s="13"/>
      <c r="O6638" s="13" t="str">
        <f t="shared" si="1"/>
        <v/>
      </c>
    </row>
    <row r="6639" ht="22.5" customHeight="1">
      <c r="B6639" s="13"/>
      <c r="C6639" s="13"/>
      <c r="D6639" s="13"/>
      <c r="E6639" s="14"/>
      <c r="F6639" s="14"/>
      <c r="G6639" s="13"/>
      <c r="H6639" s="14"/>
      <c r="I6639" s="13"/>
      <c r="J6639" s="13"/>
      <c r="K6639" s="13"/>
      <c r="L6639" s="13"/>
      <c r="M6639" s="13"/>
      <c r="N6639" s="13"/>
      <c r="O6639" s="13" t="str">
        <f t="shared" si="1"/>
        <v/>
      </c>
    </row>
    <row r="6640" ht="22.5" customHeight="1">
      <c r="B6640" s="13"/>
      <c r="C6640" s="13"/>
      <c r="D6640" s="13"/>
      <c r="E6640" s="14"/>
      <c r="F6640" s="14"/>
      <c r="G6640" s="13"/>
      <c r="H6640" s="14"/>
      <c r="I6640" s="13"/>
      <c r="J6640" s="13"/>
      <c r="K6640" s="13"/>
      <c r="L6640" s="13"/>
      <c r="M6640" s="13"/>
      <c r="N6640" s="13"/>
      <c r="O6640" s="13" t="str">
        <f t="shared" si="1"/>
        <v/>
      </c>
    </row>
    <row r="6641" ht="22.5" customHeight="1">
      <c r="B6641" s="13"/>
      <c r="C6641" s="13"/>
      <c r="D6641" s="13"/>
      <c r="E6641" s="14"/>
      <c r="F6641" s="14"/>
      <c r="G6641" s="13"/>
      <c r="H6641" s="14"/>
      <c r="I6641" s="13"/>
      <c r="J6641" s="13"/>
      <c r="K6641" s="13"/>
      <c r="L6641" s="13"/>
      <c r="M6641" s="13"/>
      <c r="N6641" s="13"/>
      <c r="O6641" s="13" t="str">
        <f t="shared" si="1"/>
        <v/>
      </c>
    </row>
    <row r="6642" ht="22.5" customHeight="1">
      <c r="B6642" s="13"/>
      <c r="C6642" s="13"/>
      <c r="D6642" s="13"/>
      <c r="E6642" s="14"/>
      <c r="F6642" s="14"/>
      <c r="G6642" s="13"/>
      <c r="H6642" s="14"/>
      <c r="I6642" s="13"/>
      <c r="J6642" s="13"/>
      <c r="K6642" s="13"/>
      <c r="L6642" s="13"/>
      <c r="M6642" s="13"/>
      <c r="N6642" s="13"/>
      <c r="O6642" s="13" t="str">
        <f t="shared" si="1"/>
        <v/>
      </c>
    </row>
    <row r="6643" ht="22.5" customHeight="1">
      <c r="B6643" s="13"/>
      <c r="C6643" s="13"/>
      <c r="D6643" s="13"/>
      <c r="E6643" s="14"/>
      <c r="F6643" s="14"/>
      <c r="G6643" s="13"/>
      <c r="H6643" s="14"/>
      <c r="I6643" s="13"/>
      <c r="J6643" s="13"/>
      <c r="K6643" s="13"/>
      <c r="L6643" s="13"/>
      <c r="M6643" s="13"/>
      <c r="N6643" s="13"/>
      <c r="O6643" s="13" t="str">
        <f t="shared" si="1"/>
        <v/>
      </c>
    </row>
    <row r="6644" ht="22.5" customHeight="1">
      <c r="B6644" s="13"/>
      <c r="C6644" s="13"/>
      <c r="D6644" s="13"/>
      <c r="E6644" s="14"/>
      <c r="F6644" s="14"/>
      <c r="G6644" s="13"/>
      <c r="H6644" s="14"/>
      <c r="I6644" s="13"/>
      <c r="J6644" s="13"/>
      <c r="K6644" s="13"/>
      <c r="L6644" s="13"/>
      <c r="M6644" s="13"/>
      <c r="N6644" s="13"/>
      <c r="O6644" s="13" t="str">
        <f t="shared" si="1"/>
        <v/>
      </c>
    </row>
    <row r="6645" ht="22.5" customHeight="1">
      <c r="B6645" s="13"/>
      <c r="C6645" s="13"/>
      <c r="D6645" s="13"/>
      <c r="E6645" s="14"/>
      <c r="F6645" s="14"/>
      <c r="G6645" s="13"/>
      <c r="H6645" s="14"/>
      <c r="I6645" s="13"/>
      <c r="J6645" s="13"/>
      <c r="K6645" s="13"/>
      <c r="L6645" s="13"/>
      <c r="M6645" s="13"/>
      <c r="N6645" s="13"/>
      <c r="O6645" s="13" t="str">
        <f t="shared" si="1"/>
        <v/>
      </c>
    </row>
    <row r="6646" ht="22.5" customHeight="1">
      <c r="B6646" s="13"/>
      <c r="C6646" s="13"/>
      <c r="D6646" s="13"/>
      <c r="E6646" s="14"/>
      <c r="F6646" s="14"/>
      <c r="G6646" s="13"/>
      <c r="H6646" s="14"/>
      <c r="I6646" s="13"/>
      <c r="J6646" s="13"/>
      <c r="K6646" s="13"/>
      <c r="L6646" s="13"/>
      <c r="M6646" s="13"/>
      <c r="N6646" s="13"/>
      <c r="O6646" s="13" t="str">
        <f t="shared" si="1"/>
        <v/>
      </c>
    </row>
    <row r="6647" ht="22.5" customHeight="1">
      <c r="B6647" s="13"/>
      <c r="C6647" s="13"/>
      <c r="D6647" s="13"/>
      <c r="E6647" s="14"/>
      <c r="F6647" s="14"/>
      <c r="G6647" s="13"/>
      <c r="H6647" s="14"/>
      <c r="I6647" s="13"/>
      <c r="J6647" s="13"/>
      <c r="K6647" s="13"/>
      <c r="L6647" s="13"/>
      <c r="M6647" s="13"/>
      <c r="N6647" s="13"/>
      <c r="O6647" s="13" t="str">
        <f t="shared" si="1"/>
        <v/>
      </c>
    </row>
    <row r="6648" ht="22.5" customHeight="1">
      <c r="B6648" s="13"/>
      <c r="C6648" s="13"/>
      <c r="D6648" s="13"/>
      <c r="E6648" s="14"/>
      <c r="F6648" s="14"/>
      <c r="G6648" s="13"/>
      <c r="H6648" s="14"/>
      <c r="I6648" s="13"/>
      <c r="J6648" s="13"/>
      <c r="K6648" s="13"/>
      <c r="L6648" s="13"/>
      <c r="M6648" s="13"/>
      <c r="N6648" s="13"/>
      <c r="O6648" s="13" t="str">
        <f t="shared" si="1"/>
        <v/>
      </c>
    </row>
    <row r="6649" ht="22.5" customHeight="1">
      <c r="B6649" s="13"/>
      <c r="C6649" s="13"/>
      <c r="D6649" s="13"/>
      <c r="E6649" s="14"/>
      <c r="F6649" s="14"/>
      <c r="G6649" s="13"/>
      <c r="H6649" s="14"/>
      <c r="I6649" s="13"/>
      <c r="J6649" s="13"/>
      <c r="K6649" s="13"/>
      <c r="L6649" s="13"/>
      <c r="M6649" s="13"/>
      <c r="N6649" s="13"/>
      <c r="O6649" s="13" t="str">
        <f t="shared" si="1"/>
        <v/>
      </c>
    </row>
    <row r="6650" ht="22.5" customHeight="1">
      <c r="B6650" s="13"/>
      <c r="C6650" s="13"/>
      <c r="D6650" s="13"/>
      <c r="E6650" s="14"/>
      <c r="F6650" s="14"/>
      <c r="G6650" s="13"/>
      <c r="H6650" s="14"/>
      <c r="I6650" s="13"/>
      <c r="J6650" s="13"/>
      <c r="K6650" s="13"/>
      <c r="L6650" s="13"/>
      <c r="M6650" s="13"/>
      <c r="N6650" s="13"/>
      <c r="O6650" s="13" t="str">
        <f t="shared" si="1"/>
        <v/>
      </c>
    </row>
    <row r="6651" ht="22.5" customHeight="1">
      <c r="B6651" s="13"/>
      <c r="C6651" s="13"/>
      <c r="D6651" s="13"/>
      <c r="E6651" s="14"/>
      <c r="F6651" s="14"/>
      <c r="G6651" s="13"/>
      <c r="H6651" s="14"/>
      <c r="I6651" s="13"/>
      <c r="J6651" s="13"/>
      <c r="K6651" s="13"/>
      <c r="L6651" s="13"/>
      <c r="M6651" s="13"/>
      <c r="N6651" s="13"/>
      <c r="O6651" s="13" t="str">
        <f t="shared" si="1"/>
        <v/>
      </c>
    </row>
    <row r="6652" ht="22.5" customHeight="1">
      <c r="B6652" s="13"/>
      <c r="C6652" s="13"/>
      <c r="D6652" s="13"/>
      <c r="E6652" s="14"/>
      <c r="F6652" s="14"/>
      <c r="G6652" s="13"/>
      <c r="H6652" s="14"/>
      <c r="I6652" s="13"/>
      <c r="J6652" s="13"/>
      <c r="K6652" s="13"/>
      <c r="L6652" s="13"/>
      <c r="M6652" s="13"/>
      <c r="N6652" s="13"/>
      <c r="O6652" s="13" t="str">
        <f t="shared" si="1"/>
        <v/>
      </c>
    </row>
    <row r="6653" ht="22.5" customHeight="1">
      <c r="B6653" s="13"/>
      <c r="C6653" s="13"/>
      <c r="D6653" s="13"/>
      <c r="E6653" s="14"/>
      <c r="F6653" s="14"/>
      <c r="G6653" s="13"/>
      <c r="H6653" s="14"/>
      <c r="I6653" s="13"/>
      <c r="J6653" s="13"/>
      <c r="K6653" s="13"/>
      <c r="L6653" s="13"/>
      <c r="M6653" s="13"/>
      <c r="N6653" s="13"/>
      <c r="O6653" s="13" t="str">
        <f t="shared" si="1"/>
        <v/>
      </c>
    </row>
    <row r="6654" ht="22.5" customHeight="1">
      <c r="B6654" s="13"/>
      <c r="C6654" s="13"/>
      <c r="D6654" s="13"/>
      <c r="E6654" s="14"/>
      <c r="F6654" s="14"/>
      <c r="G6654" s="13"/>
      <c r="H6654" s="14"/>
      <c r="I6654" s="13"/>
      <c r="J6654" s="13"/>
      <c r="K6654" s="13"/>
      <c r="L6654" s="13"/>
      <c r="M6654" s="13"/>
      <c r="N6654" s="13"/>
      <c r="O6654" s="13" t="str">
        <f t="shared" si="1"/>
        <v/>
      </c>
    </row>
    <row r="6655" ht="22.5" customHeight="1">
      <c r="B6655" s="13"/>
      <c r="C6655" s="13"/>
      <c r="D6655" s="13"/>
      <c r="E6655" s="14"/>
      <c r="F6655" s="14"/>
      <c r="G6655" s="13"/>
      <c r="H6655" s="14"/>
      <c r="I6655" s="13"/>
      <c r="J6655" s="13"/>
      <c r="K6655" s="13"/>
      <c r="L6655" s="13"/>
      <c r="M6655" s="13"/>
      <c r="N6655" s="13"/>
      <c r="O6655" s="13" t="str">
        <f t="shared" si="1"/>
        <v/>
      </c>
    </row>
    <row r="6656" ht="22.5" customHeight="1">
      <c r="B6656" s="13"/>
      <c r="C6656" s="13"/>
      <c r="D6656" s="13"/>
      <c r="E6656" s="14"/>
      <c r="F6656" s="14"/>
      <c r="G6656" s="13"/>
      <c r="H6656" s="14"/>
      <c r="I6656" s="13"/>
      <c r="J6656" s="13"/>
      <c r="K6656" s="13"/>
      <c r="L6656" s="13"/>
      <c r="M6656" s="13"/>
      <c r="N6656" s="13"/>
      <c r="O6656" s="13" t="str">
        <f t="shared" si="1"/>
        <v/>
      </c>
    </row>
    <row r="6657" ht="22.5" customHeight="1">
      <c r="B6657" s="13"/>
      <c r="C6657" s="13"/>
      <c r="D6657" s="13"/>
      <c r="E6657" s="14"/>
      <c r="F6657" s="14"/>
      <c r="G6657" s="13"/>
      <c r="H6657" s="14"/>
      <c r="I6657" s="13"/>
      <c r="J6657" s="13"/>
      <c r="K6657" s="13"/>
      <c r="L6657" s="13"/>
      <c r="M6657" s="13"/>
      <c r="N6657" s="13"/>
      <c r="O6657" s="13" t="str">
        <f t="shared" si="1"/>
        <v/>
      </c>
    </row>
    <row r="6658" ht="22.5" customHeight="1">
      <c r="B6658" s="13"/>
      <c r="C6658" s="13"/>
      <c r="D6658" s="13"/>
      <c r="E6658" s="14"/>
      <c r="F6658" s="14"/>
      <c r="G6658" s="13"/>
      <c r="H6658" s="14"/>
      <c r="I6658" s="13"/>
      <c r="J6658" s="13"/>
      <c r="K6658" s="13"/>
      <c r="L6658" s="13"/>
      <c r="M6658" s="13"/>
      <c r="N6658" s="13"/>
      <c r="O6658" s="13" t="str">
        <f t="shared" si="1"/>
        <v/>
      </c>
    </row>
    <row r="6659" ht="22.5" customHeight="1">
      <c r="B6659" s="13"/>
      <c r="C6659" s="13"/>
      <c r="D6659" s="13"/>
      <c r="E6659" s="14"/>
      <c r="F6659" s="14"/>
      <c r="G6659" s="13"/>
      <c r="H6659" s="14"/>
      <c r="I6659" s="13"/>
      <c r="J6659" s="13"/>
      <c r="K6659" s="13"/>
      <c r="L6659" s="13"/>
      <c r="M6659" s="13"/>
      <c r="N6659" s="13"/>
      <c r="O6659" s="13" t="str">
        <f t="shared" si="1"/>
        <v/>
      </c>
    </row>
    <row r="6660" ht="22.5" customHeight="1">
      <c r="B6660" s="13"/>
      <c r="C6660" s="13"/>
      <c r="D6660" s="13"/>
      <c r="E6660" s="14"/>
      <c r="F6660" s="14"/>
      <c r="G6660" s="13"/>
      <c r="H6660" s="14"/>
      <c r="I6660" s="13"/>
      <c r="J6660" s="13"/>
      <c r="K6660" s="13"/>
      <c r="L6660" s="13"/>
      <c r="M6660" s="13"/>
      <c r="N6660" s="13"/>
      <c r="O6660" s="13" t="str">
        <f t="shared" si="1"/>
        <v/>
      </c>
    </row>
    <row r="6661" ht="22.5" customHeight="1">
      <c r="B6661" s="13"/>
      <c r="C6661" s="13"/>
      <c r="D6661" s="13"/>
      <c r="E6661" s="14"/>
      <c r="F6661" s="14"/>
      <c r="G6661" s="13"/>
      <c r="H6661" s="14"/>
      <c r="I6661" s="13"/>
      <c r="J6661" s="13"/>
      <c r="K6661" s="13"/>
      <c r="L6661" s="13"/>
      <c r="M6661" s="13"/>
      <c r="N6661" s="13"/>
      <c r="O6661" s="13" t="str">
        <f t="shared" si="1"/>
        <v/>
      </c>
    </row>
    <row r="6662" ht="22.5" customHeight="1">
      <c r="B6662" s="13"/>
      <c r="C6662" s="13"/>
      <c r="D6662" s="13"/>
      <c r="E6662" s="14"/>
      <c r="F6662" s="14"/>
      <c r="G6662" s="13"/>
      <c r="H6662" s="14"/>
      <c r="I6662" s="13"/>
      <c r="J6662" s="13"/>
      <c r="K6662" s="13"/>
      <c r="L6662" s="13"/>
      <c r="M6662" s="13"/>
      <c r="N6662" s="13"/>
      <c r="O6662" s="13" t="str">
        <f t="shared" si="1"/>
        <v/>
      </c>
    </row>
    <row r="6663" ht="22.5" customHeight="1">
      <c r="B6663" s="13"/>
      <c r="C6663" s="13"/>
      <c r="D6663" s="13"/>
      <c r="E6663" s="14"/>
      <c r="F6663" s="14"/>
      <c r="G6663" s="13"/>
      <c r="H6663" s="14"/>
      <c r="I6663" s="13"/>
      <c r="J6663" s="13"/>
      <c r="K6663" s="13"/>
      <c r="L6663" s="13"/>
      <c r="M6663" s="13"/>
      <c r="N6663" s="13"/>
      <c r="O6663" s="13" t="str">
        <f t="shared" si="1"/>
        <v/>
      </c>
    </row>
    <row r="6664" ht="22.5" customHeight="1">
      <c r="B6664" s="13"/>
      <c r="C6664" s="13"/>
      <c r="D6664" s="13"/>
      <c r="E6664" s="14"/>
      <c r="F6664" s="14"/>
      <c r="G6664" s="13"/>
      <c r="H6664" s="14"/>
      <c r="I6664" s="13"/>
      <c r="J6664" s="13"/>
      <c r="K6664" s="13"/>
      <c r="L6664" s="13"/>
      <c r="M6664" s="13"/>
      <c r="N6664" s="13"/>
      <c r="O6664" s="13" t="str">
        <f t="shared" si="1"/>
        <v/>
      </c>
    </row>
    <row r="6665" ht="22.5" customHeight="1">
      <c r="B6665" s="13"/>
      <c r="C6665" s="13"/>
      <c r="D6665" s="13"/>
      <c r="E6665" s="14"/>
      <c r="F6665" s="14"/>
      <c r="G6665" s="13"/>
      <c r="H6665" s="14"/>
      <c r="I6665" s="13"/>
      <c r="J6665" s="13"/>
      <c r="K6665" s="13"/>
      <c r="L6665" s="13"/>
      <c r="M6665" s="13"/>
      <c r="N6665" s="13"/>
      <c r="O6665" s="13" t="str">
        <f t="shared" si="1"/>
        <v/>
      </c>
    </row>
    <row r="6666" ht="22.5" customHeight="1">
      <c r="B6666" s="13"/>
      <c r="C6666" s="13"/>
      <c r="D6666" s="13"/>
      <c r="E6666" s="14"/>
      <c r="F6666" s="14"/>
      <c r="G6666" s="13"/>
      <c r="H6666" s="14"/>
      <c r="I6666" s="13"/>
      <c r="J6666" s="13"/>
      <c r="K6666" s="13"/>
      <c r="L6666" s="13"/>
      <c r="M6666" s="13"/>
      <c r="N6666" s="13"/>
      <c r="O6666" s="13" t="str">
        <f t="shared" si="1"/>
        <v/>
      </c>
    </row>
    <row r="6667" ht="22.5" customHeight="1">
      <c r="B6667" s="13"/>
      <c r="C6667" s="13"/>
      <c r="D6667" s="13"/>
      <c r="E6667" s="14"/>
      <c r="F6667" s="14"/>
      <c r="G6667" s="13"/>
      <c r="H6667" s="14"/>
      <c r="I6667" s="13"/>
      <c r="J6667" s="13"/>
      <c r="K6667" s="13"/>
      <c r="L6667" s="13"/>
      <c r="M6667" s="13"/>
      <c r="N6667" s="13"/>
      <c r="O6667" s="13" t="str">
        <f t="shared" si="1"/>
        <v/>
      </c>
    </row>
    <row r="6668" ht="22.5" customHeight="1">
      <c r="B6668" s="13"/>
      <c r="C6668" s="13"/>
      <c r="D6668" s="13"/>
      <c r="E6668" s="14"/>
      <c r="F6668" s="14"/>
      <c r="G6668" s="13"/>
      <c r="H6668" s="14"/>
      <c r="I6668" s="13"/>
      <c r="J6668" s="13"/>
      <c r="K6668" s="13"/>
      <c r="L6668" s="13"/>
      <c r="M6668" s="13"/>
      <c r="N6668" s="13"/>
      <c r="O6668" s="13" t="str">
        <f t="shared" si="1"/>
        <v/>
      </c>
    </row>
    <row r="6669" ht="22.5" customHeight="1">
      <c r="B6669" s="13"/>
      <c r="C6669" s="13"/>
      <c r="D6669" s="13"/>
      <c r="E6669" s="14"/>
      <c r="F6669" s="14"/>
      <c r="G6669" s="13"/>
      <c r="H6669" s="14"/>
      <c r="I6669" s="13"/>
      <c r="J6669" s="13"/>
      <c r="K6669" s="13"/>
      <c r="L6669" s="13"/>
      <c r="M6669" s="13"/>
      <c r="N6669" s="13"/>
      <c r="O6669" s="13" t="str">
        <f t="shared" si="1"/>
        <v/>
      </c>
    </row>
    <row r="6670" ht="22.5" customHeight="1">
      <c r="B6670" s="13"/>
      <c r="C6670" s="13"/>
      <c r="D6670" s="13"/>
      <c r="E6670" s="14"/>
      <c r="F6670" s="14"/>
      <c r="G6670" s="13"/>
      <c r="H6670" s="14"/>
      <c r="I6670" s="13"/>
      <c r="J6670" s="13"/>
      <c r="K6670" s="13"/>
      <c r="L6670" s="13"/>
      <c r="M6670" s="13"/>
      <c r="N6670" s="13"/>
      <c r="O6670" s="13" t="str">
        <f t="shared" si="1"/>
        <v/>
      </c>
    </row>
    <row r="6671" ht="22.5" customHeight="1">
      <c r="B6671" s="13"/>
      <c r="C6671" s="13"/>
      <c r="D6671" s="13"/>
      <c r="E6671" s="14"/>
      <c r="F6671" s="14"/>
      <c r="G6671" s="13"/>
      <c r="H6671" s="14"/>
      <c r="I6671" s="13"/>
      <c r="J6671" s="13"/>
      <c r="K6671" s="13"/>
      <c r="L6671" s="13"/>
      <c r="M6671" s="13"/>
      <c r="N6671" s="13"/>
      <c r="O6671" s="13" t="str">
        <f t="shared" si="1"/>
        <v/>
      </c>
    </row>
    <row r="6672" ht="22.5" customHeight="1">
      <c r="B6672" s="13"/>
      <c r="C6672" s="13"/>
      <c r="D6672" s="13"/>
      <c r="E6672" s="14"/>
      <c r="F6672" s="14"/>
      <c r="G6672" s="13"/>
      <c r="H6672" s="14"/>
      <c r="I6672" s="13"/>
      <c r="J6672" s="13"/>
      <c r="K6672" s="13"/>
      <c r="L6672" s="13"/>
      <c r="M6672" s="13"/>
      <c r="N6672" s="13"/>
      <c r="O6672" s="13" t="str">
        <f t="shared" si="1"/>
        <v/>
      </c>
    </row>
    <row r="6673" ht="22.5" customHeight="1">
      <c r="B6673" s="13"/>
      <c r="C6673" s="13"/>
      <c r="D6673" s="13"/>
      <c r="E6673" s="14"/>
      <c r="F6673" s="14"/>
      <c r="G6673" s="13"/>
      <c r="H6673" s="14"/>
      <c r="I6673" s="13"/>
      <c r="J6673" s="13"/>
      <c r="K6673" s="13"/>
      <c r="L6673" s="13"/>
      <c r="M6673" s="13"/>
      <c r="N6673" s="13"/>
      <c r="O6673" s="13" t="str">
        <f t="shared" si="1"/>
        <v/>
      </c>
    </row>
    <row r="6674" ht="22.5" customHeight="1">
      <c r="B6674" s="13"/>
      <c r="C6674" s="13"/>
      <c r="D6674" s="13"/>
      <c r="E6674" s="14"/>
      <c r="F6674" s="14"/>
      <c r="G6674" s="13"/>
      <c r="H6674" s="14"/>
      <c r="I6674" s="13"/>
      <c r="J6674" s="13"/>
      <c r="K6674" s="13"/>
      <c r="L6674" s="13"/>
      <c r="M6674" s="13"/>
      <c r="N6674" s="13"/>
      <c r="O6674" s="13" t="str">
        <f t="shared" si="1"/>
        <v/>
      </c>
    </row>
    <row r="6675" ht="22.5" customHeight="1">
      <c r="B6675" s="13"/>
      <c r="C6675" s="13"/>
      <c r="D6675" s="13"/>
      <c r="E6675" s="14"/>
      <c r="F6675" s="14"/>
      <c r="G6675" s="13"/>
      <c r="H6675" s="14"/>
      <c r="I6675" s="13"/>
      <c r="J6675" s="13"/>
      <c r="K6675" s="13"/>
      <c r="L6675" s="13"/>
      <c r="M6675" s="13"/>
      <c r="N6675" s="13"/>
      <c r="O6675" s="13" t="str">
        <f t="shared" si="1"/>
        <v/>
      </c>
    </row>
    <row r="6676" ht="22.5" customHeight="1">
      <c r="B6676" s="13"/>
      <c r="C6676" s="13"/>
      <c r="D6676" s="13"/>
      <c r="E6676" s="14"/>
      <c r="F6676" s="14"/>
      <c r="G6676" s="13"/>
      <c r="H6676" s="14"/>
      <c r="I6676" s="13"/>
      <c r="J6676" s="13"/>
      <c r="K6676" s="13"/>
      <c r="L6676" s="13"/>
      <c r="M6676" s="13"/>
      <c r="N6676" s="13"/>
      <c r="O6676" s="13" t="str">
        <f t="shared" si="1"/>
        <v/>
      </c>
    </row>
    <row r="6677" ht="22.5" customHeight="1">
      <c r="B6677" s="13"/>
      <c r="C6677" s="13"/>
      <c r="D6677" s="13"/>
      <c r="E6677" s="14"/>
      <c r="F6677" s="14"/>
      <c r="G6677" s="13"/>
      <c r="H6677" s="14"/>
      <c r="I6677" s="13"/>
      <c r="J6677" s="13"/>
      <c r="K6677" s="13"/>
      <c r="L6677" s="13"/>
      <c r="M6677" s="13"/>
      <c r="N6677" s="13"/>
      <c r="O6677" s="13" t="str">
        <f t="shared" si="1"/>
        <v/>
      </c>
    </row>
    <row r="6678" ht="22.5" customHeight="1">
      <c r="B6678" s="13"/>
      <c r="C6678" s="13"/>
      <c r="D6678" s="13"/>
      <c r="E6678" s="14"/>
      <c r="F6678" s="14"/>
      <c r="G6678" s="13"/>
      <c r="H6678" s="14"/>
      <c r="I6678" s="13"/>
      <c r="J6678" s="13"/>
      <c r="K6678" s="13"/>
      <c r="L6678" s="13"/>
      <c r="M6678" s="13"/>
      <c r="N6678" s="13"/>
      <c r="O6678" s="13" t="str">
        <f t="shared" si="1"/>
        <v/>
      </c>
    </row>
    <row r="6679" ht="22.5" customHeight="1">
      <c r="B6679" s="13"/>
      <c r="C6679" s="13"/>
      <c r="D6679" s="13"/>
      <c r="E6679" s="14"/>
      <c r="F6679" s="14"/>
      <c r="G6679" s="13"/>
      <c r="H6679" s="14"/>
      <c r="I6679" s="13"/>
      <c r="J6679" s="13"/>
      <c r="K6679" s="13"/>
      <c r="L6679" s="13"/>
      <c r="M6679" s="13"/>
      <c r="N6679" s="13"/>
      <c r="O6679" s="13" t="str">
        <f t="shared" si="1"/>
        <v/>
      </c>
    </row>
    <row r="6680" ht="22.5" customHeight="1">
      <c r="B6680" s="13"/>
      <c r="C6680" s="13"/>
      <c r="D6680" s="13"/>
      <c r="E6680" s="14"/>
      <c r="F6680" s="14"/>
      <c r="G6680" s="13"/>
      <c r="H6680" s="14"/>
      <c r="I6680" s="13"/>
      <c r="J6680" s="13"/>
      <c r="K6680" s="13"/>
      <c r="L6680" s="13"/>
      <c r="M6680" s="13"/>
      <c r="N6680" s="13"/>
      <c r="O6680" s="13" t="str">
        <f t="shared" si="1"/>
        <v/>
      </c>
    </row>
    <row r="6681" ht="22.5" customHeight="1">
      <c r="B6681" s="13"/>
      <c r="C6681" s="13"/>
      <c r="D6681" s="13"/>
      <c r="E6681" s="14"/>
      <c r="F6681" s="14"/>
      <c r="G6681" s="13"/>
      <c r="H6681" s="14"/>
      <c r="I6681" s="13"/>
      <c r="J6681" s="13"/>
      <c r="K6681" s="13"/>
      <c r="L6681" s="13"/>
      <c r="M6681" s="13"/>
      <c r="N6681" s="13"/>
      <c r="O6681" s="13" t="str">
        <f t="shared" si="1"/>
        <v/>
      </c>
    </row>
    <row r="6682" ht="22.5" customHeight="1">
      <c r="B6682" s="13"/>
      <c r="C6682" s="13"/>
      <c r="D6682" s="13"/>
      <c r="E6682" s="14"/>
      <c r="F6682" s="14"/>
      <c r="G6682" s="13"/>
      <c r="H6682" s="14"/>
      <c r="I6682" s="13"/>
      <c r="J6682" s="13"/>
      <c r="K6682" s="13"/>
      <c r="L6682" s="13"/>
      <c r="M6682" s="13"/>
      <c r="N6682" s="13"/>
      <c r="O6682" s="13" t="str">
        <f t="shared" si="1"/>
        <v/>
      </c>
    </row>
    <row r="6683" ht="22.5" customHeight="1">
      <c r="B6683" s="13"/>
      <c r="C6683" s="13"/>
      <c r="D6683" s="13"/>
      <c r="E6683" s="14"/>
      <c r="F6683" s="14"/>
      <c r="G6683" s="13"/>
      <c r="H6683" s="14"/>
      <c r="I6683" s="13"/>
      <c r="J6683" s="13"/>
      <c r="K6683" s="13"/>
      <c r="L6683" s="13"/>
      <c r="M6683" s="13"/>
      <c r="N6683" s="13"/>
      <c r="O6683" s="13" t="str">
        <f t="shared" si="1"/>
        <v/>
      </c>
    </row>
    <row r="6684" ht="22.5" customHeight="1">
      <c r="B6684" s="13"/>
      <c r="C6684" s="13"/>
      <c r="D6684" s="13"/>
      <c r="E6684" s="14"/>
      <c r="F6684" s="14"/>
      <c r="G6684" s="13"/>
      <c r="H6684" s="14"/>
      <c r="I6684" s="13"/>
      <c r="J6684" s="13"/>
      <c r="K6684" s="13"/>
      <c r="L6684" s="13"/>
      <c r="M6684" s="13"/>
      <c r="N6684" s="13"/>
      <c r="O6684" s="13" t="str">
        <f t="shared" si="1"/>
        <v/>
      </c>
    </row>
    <row r="6685" ht="22.5" customHeight="1">
      <c r="B6685" s="13"/>
      <c r="C6685" s="13"/>
      <c r="D6685" s="13"/>
      <c r="E6685" s="14"/>
      <c r="F6685" s="14"/>
      <c r="G6685" s="13"/>
      <c r="H6685" s="14"/>
      <c r="I6685" s="13"/>
      <c r="J6685" s="13"/>
      <c r="K6685" s="13"/>
      <c r="L6685" s="13"/>
      <c r="M6685" s="13"/>
      <c r="N6685" s="13"/>
      <c r="O6685" s="13" t="str">
        <f t="shared" si="1"/>
        <v/>
      </c>
    </row>
    <row r="6686" ht="22.5" customHeight="1">
      <c r="B6686" s="13"/>
      <c r="C6686" s="13"/>
      <c r="D6686" s="13"/>
      <c r="E6686" s="14"/>
      <c r="F6686" s="14"/>
      <c r="G6686" s="13"/>
      <c r="H6686" s="14"/>
      <c r="I6686" s="13"/>
      <c r="J6686" s="13"/>
      <c r="K6686" s="13"/>
      <c r="L6686" s="13"/>
      <c r="M6686" s="13"/>
      <c r="N6686" s="13"/>
      <c r="O6686" s="13" t="str">
        <f t="shared" si="1"/>
        <v/>
      </c>
    </row>
    <row r="6687" ht="22.5" customHeight="1">
      <c r="B6687" s="13"/>
      <c r="C6687" s="13"/>
      <c r="D6687" s="13"/>
      <c r="E6687" s="14"/>
      <c r="F6687" s="14"/>
      <c r="G6687" s="13"/>
      <c r="H6687" s="14"/>
      <c r="I6687" s="13"/>
      <c r="J6687" s="13"/>
      <c r="K6687" s="13"/>
      <c r="L6687" s="13"/>
      <c r="M6687" s="13"/>
      <c r="N6687" s="13"/>
      <c r="O6687" s="13" t="str">
        <f t="shared" si="1"/>
        <v/>
      </c>
    </row>
    <row r="6688" ht="22.5" customHeight="1">
      <c r="B6688" s="13"/>
      <c r="C6688" s="13"/>
      <c r="D6688" s="13"/>
      <c r="E6688" s="14"/>
      <c r="F6688" s="14"/>
      <c r="G6688" s="13"/>
      <c r="H6688" s="14"/>
      <c r="I6688" s="13"/>
      <c r="J6688" s="13"/>
      <c r="K6688" s="13"/>
      <c r="L6688" s="13"/>
      <c r="M6688" s="13"/>
      <c r="N6688" s="13"/>
      <c r="O6688" s="13" t="str">
        <f t="shared" si="1"/>
        <v/>
      </c>
    </row>
    <row r="6689" ht="22.5" customHeight="1">
      <c r="B6689" s="13"/>
      <c r="C6689" s="13"/>
      <c r="D6689" s="13"/>
      <c r="E6689" s="14"/>
      <c r="F6689" s="14"/>
      <c r="G6689" s="13"/>
      <c r="H6689" s="14"/>
      <c r="I6689" s="13"/>
      <c r="J6689" s="13"/>
      <c r="K6689" s="13"/>
      <c r="L6689" s="13"/>
      <c r="M6689" s="13"/>
      <c r="N6689" s="13"/>
      <c r="O6689" s="13" t="str">
        <f t="shared" si="1"/>
        <v/>
      </c>
    </row>
    <row r="6690" ht="22.5" customHeight="1">
      <c r="B6690" s="13"/>
      <c r="C6690" s="13"/>
      <c r="D6690" s="13"/>
      <c r="E6690" s="14"/>
      <c r="F6690" s="14"/>
      <c r="G6690" s="13"/>
      <c r="H6690" s="14"/>
      <c r="I6690" s="13"/>
      <c r="J6690" s="13"/>
      <c r="K6690" s="13"/>
      <c r="L6690" s="13"/>
      <c r="M6690" s="13"/>
      <c r="N6690" s="13"/>
      <c r="O6690" s="13" t="str">
        <f t="shared" si="1"/>
        <v/>
      </c>
    </row>
    <row r="6691" ht="22.5" customHeight="1">
      <c r="B6691" s="13"/>
      <c r="C6691" s="13"/>
      <c r="D6691" s="13"/>
      <c r="E6691" s="14"/>
      <c r="F6691" s="14"/>
      <c r="G6691" s="13"/>
      <c r="H6691" s="14"/>
      <c r="I6691" s="13"/>
      <c r="J6691" s="13"/>
      <c r="K6691" s="13"/>
      <c r="L6691" s="13"/>
      <c r="M6691" s="13"/>
      <c r="N6691" s="13"/>
      <c r="O6691" s="13" t="str">
        <f t="shared" si="1"/>
        <v/>
      </c>
    </row>
    <row r="6692" ht="22.5" customHeight="1">
      <c r="B6692" s="13"/>
      <c r="C6692" s="13"/>
      <c r="D6692" s="13"/>
      <c r="E6692" s="14"/>
      <c r="F6692" s="14"/>
      <c r="G6692" s="13"/>
      <c r="H6692" s="14"/>
      <c r="I6692" s="13"/>
      <c r="J6692" s="13"/>
      <c r="K6692" s="13"/>
      <c r="L6692" s="13"/>
      <c r="M6692" s="13"/>
      <c r="N6692" s="13"/>
      <c r="O6692" s="13" t="str">
        <f t="shared" si="1"/>
        <v/>
      </c>
    </row>
    <row r="6693" ht="22.5" customHeight="1">
      <c r="B6693" s="13"/>
      <c r="C6693" s="13"/>
      <c r="D6693" s="13"/>
      <c r="E6693" s="14"/>
      <c r="F6693" s="14"/>
      <c r="G6693" s="13"/>
      <c r="H6693" s="14"/>
      <c r="I6693" s="13"/>
      <c r="J6693" s="13"/>
      <c r="K6693" s="13"/>
      <c r="L6693" s="13"/>
      <c r="M6693" s="13"/>
      <c r="N6693" s="13"/>
      <c r="O6693" s="13" t="str">
        <f t="shared" si="1"/>
        <v/>
      </c>
    </row>
    <row r="6694" ht="22.5" customHeight="1">
      <c r="B6694" s="13"/>
      <c r="C6694" s="13"/>
      <c r="D6694" s="13"/>
      <c r="E6694" s="14"/>
      <c r="F6694" s="14"/>
      <c r="G6694" s="13"/>
      <c r="H6694" s="14"/>
      <c r="I6694" s="13"/>
      <c r="J6694" s="13"/>
      <c r="K6694" s="13"/>
      <c r="L6694" s="13"/>
      <c r="M6694" s="13"/>
      <c r="N6694" s="13"/>
      <c r="O6694" s="13" t="str">
        <f t="shared" si="1"/>
        <v/>
      </c>
    </row>
    <row r="6695" ht="22.5" customHeight="1">
      <c r="B6695" s="13"/>
      <c r="C6695" s="13"/>
      <c r="D6695" s="13"/>
      <c r="E6695" s="14"/>
      <c r="F6695" s="14"/>
      <c r="G6695" s="13"/>
      <c r="H6695" s="14"/>
      <c r="I6695" s="13"/>
      <c r="J6695" s="13"/>
      <c r="K6695" s="13"/>
      <c r="L6695" s="13"/>
      <c r="M6695" s="13"/>
      <c r="N6695" s="13"/>
      <c r="O6695" s="13" t="str">
        <f t="shared" si="1"/>
        <v/>
      </c>
    </row>
    <row r="6696" ht="22.5" customHeight="1">
      <c r="B6696" s="13"/>
      <c r="C6696" s="13"/>
      <c r="D6696" s="13"/>
      <c r="E6696" s="14"/>
      <c r="F6696" s="14"/>
      <c r="G6696" s="13"/>
      <c r="H6696" s="14"/>
      <c r="I6696" s="13"/>
      <c r="J6696" s="13"/>
      <c r="K6696" s="13"/>
      <c r="L6696" s="13"/>
      <c r="M6696" s="13"/>
      <c r="N6696" s="13"/>
      <c r="O6696" s="13" t="str">
        <f t="shared" si="1"/>
        <v/>
      </c>
    </row>
    <row r="6697" ht="22.5" customHeight="1">
      <c r="B6697" s="13"/>
      <c r="C6697" s="13"/>
      <c r="D6697" s="13"/>
      <c r="E6697" s="14"/>
      <c r="F6697" s="14"/>
      <c r="G6697" s="13"/>
      <c r="H6697" s="14"/>
      <c r="I6697" s="13"/>
      <c r="J6697" s="13"/>
      <c r="K6697" s="13"/>
      <c r="L6697" s="13"/>
      <c r="M6697" s="13"/>
      <c r="N6697" s="13"/>
      <c r="O6697" s="13" t="str">
        <f t="shared" si="1"/>
        <v/>
      </c>
    </row>
    <row r="6698" ht="22.5" customHeight="1">
      <c r="B6698" s="13"/>
      <c r="C6698" s="13"/>
      <c r="D6698" s="13"/>
      <c r="E6698" s="14"/>
      <c r="F6698" s="14"/>
      <c r="G6698" s="13"/>
      <c r="H6698" s="14"/>
      <c r="I6698" s="13"/>
      <c r="J6698" s="13"/>
      <c r="K6698" s="13"/>
      <c r="L6698" s="13"/>
      <c r="M6698" s="13"/>
      <c r="N6698" s="13"/>
      <c r="O6698" s="13" t="str">
        <f t="shared" si="1"/>
        <v/>
      </c>
    </row>
    <row r="6699" ht="22.5" customHeight="1">
      <c r="B6699" s="13"/>
      <c r="C6699" s="13"/>
      <c r="D6699" s="13"/>
      <c r="E6699" s="14"/>
      <c r="F6699" s="14"/>
      <c r="G6699" s="13"/>
      <c r="H6699" s="14"/>
      <c r="I6699" s="13"/>
      <c r="J6699" s="13"/>
      <c r="K6699" s="13"/>
      <c r="L6699" s="13"/>
      <c r="M6699" s="13"/>
      <c r="N6699" s="13"/>
      <c r="O6699" s="13" t="str">
        <f t="shared" si="1"/>
        <v/>
      </c>
    </row>
    <row r="6700" ht="22.5" customHeight="1">
      <c r="B6700" s="13"/>
      <c r="C6700" s="13"/>
      <c r="D6700" s="13"/>
      <c r="E6700" s="14"/>
      <c r="F6700" s="14"/>
      <c r="G6700" s="13"/>
      <c r="H6700" s="14"/>
      <c r="I6700" s="13"/>
      <c r="J6700" s="13"/>
      <c r="K6700" s="13"/>
      <c r="L6700" s="13"/>
      <c r="M6700" s="13"/>
      <c r="N6700" s="13"/>
      <c r="O6700" s="13" t="str">
        <f t="shared" si="1"/>
        <v/>
      </c>
    </row>
    <row r="6701" ht="22.5" customHeight="1">
      <c r="B6701" s="13"/>
      <c r="C6701" s="13"/>
      <c r="D6701" s="13"/>
      <c r="E6701" s="14"/>
      <c r="F6701" s="14"/>
      <c r="G6701" s="13"/>
      <c r="H6701" s="14"/>
      <c r="I6701" s="13"/>
      <c r="J6701" s="13"/>
      <c r="K6701" s="13"/>
      <c r="L6701" s="13"/>
      <c r="M6701" s="13"/>
      <c r="N6701" s="13"/>
      <c r="O6701" s="13" t="str">
        <f t="shared" si="1"/>
        <v/>
      </c>
    </row>
    <row r="6702" ht="22.5" customHeight="1">
      <c r="B6702" s="13"/>
      <c r="C6702" s="13"/>
      <c r="D6702" s="13"/>
      <c r="E6702" s="14"/>
      <c r="F6702" s="14"/>
      <c r="G6702" s="13"/>
      <c r="H6702" s="14"/>
      <c r="I6702" s="13"/>
      <c r="J6702" s="13"/>
      <c r="K6702" s="13"/>
      <c r="L6702" s="13"/>
      <c r="M6702" s="13"/>
      <c r="N6702" s="13"/>
      <c r="O6702" s="13" t="str">
        <f t="shared" si="1"/>
        <v/>
      </c>
    </row>
    <row r="6703" ht="22.5" customHeight="1">
      <c r="B6703" s="13"/>
      <c r="C6703" s="13"/>
      <c r="D6703" s="13"/>
      <c r="E6703" s="14"/>
      <c r="F6703" s="14"/>
      <c r="G6703" s="13"/>
      <c r="H6703" s="14"/>
      <c r="I6703" s="13"/>
      <c r="J6703" s="13"/>
      <c r="K6703" s="13"/>
      <c r="L6703" s="13"/>
      <c r="M6703" s="13"/>
      <c r="N6703" s="13"/>
      <c r="O6703" s="13" t="str">
        <f t="shared" si="1"/>
        <v/>
      </c>
    </row>
    <row r="6704" ht="22.5" customHeight="1">
      <c r="B6704" s="13"/>
      <c r="C6704" s="13"/>
      <c r="D6704" s="13"/>
      <c r="E6704" s="14"/>
      <c r="F6704" s="14"/>
      <c r="G6704" s="13"/>
      <c r="H6704" s="14"/>
      <c r="I6704" s="13"/>
      <c r="J6704" s="13"/>
      <c r="K6704" s="13"/>
      <c r="L6704" s="13"/>
      <c r="M6704" s="13"/>
      <c r="N6704" s="13"/>
      <c r="O6704" s="13" t="str">
        <f t="shared" si="1"/>
        <v/>
      </c>
    </row>
    <row r="6705" ht="22.5" customHeight="1">
      <c r="B6705" s="13"/>
      <c r="C6705" s="13"/>
      <c r="D6705" s="13"/>
      <c r="E6705" s="14"/>
      <c r="F6705" s="14"/>
      <c r="G6705" s="13"/>
      <c r="H6705" s="14"/>
      <c r="I6705" s="13"/>
      <c r="J6705" s="13"/>
      <c r="K6705" s="13"/>
      <c r="L6705" s="13"/>
      <c r="M6705" s="13"/>
      <c r="N6705" s="13"/>
      <c r="O6705" s="13" t="str">
        <f t="shared" si="1"/>
        <v/>
      </c>
    </row>
    <row r="6706" ht="22.5" customHeight="1">
      <c r="B6706" s="13"/>
      <c r="C6706" s="13"/>
      <c r="D6706" s="13"/>
      <c r="E6706" s="14"/>
      <c r="F6706" s="14"/>
      <c r="G6706" s="13"/>
      <c r="H6706" s="14"/>
      <c r="I6706" s="13"/>
      <c r="J6706" s="13"/>
      <c r="K6706" s="13"/>
      <c r="L6706" s="13"/>
      <c r="M6706" s="13"/>
      <c r="N6706" s="13"/>
      <c r="O6706" s="13" t="str">
        <f t="shared" si="1"/>
        <v/>
      </c>
    </row>
    <row r="6707" ht="22.5" customHeight="1">
      <c r="B6707" s="13"/>
      <c r="C6707" s="13"/>
      <c r="D6707" s="13"/>
      <c r="E6707" s="14"/>
      <c r="F6707" s="14"/>
      <c r="G6707" s="13"/>
      <c r="H6707" s="14"/>
      <c r="I6707" s="13"/>
      <c r="J6707" s="13"/>
      <c r="K6707" s="13"/>
      <c r="L6707" s="13"/>
      <c r="M6707" s="13"/>
      <c r="N6707" s="13"/>
      <c r="O6707" s="13" t="str">
        <f t="shared" si="1"/>
        <v/>
      </c>
    </row>
    <row r="6708" ht="22.5" customHeight="1">
      <c r="B6708" s="13"/>
      <c r="C6708" s="13"/>
      <c r="D6708" s="13"/>
      <c r="E6708" s="14"/>
      <c r="F6708" s="14"/>
      <c r="G6708" s="13"/>
      <c r="H6708" s="14"/>
      <c r="I6708" s="13"/>
      <c r="J6708" s="13"/>
      <c r="K6708" s="13"/>
      <c r="L6708" s="13"/>
      <c r="M6708" s="13"/>
      <c r="N6708" s="13"/>
      <c r="O6708" s="13" t="str">
        <f t="shared" si="1"/>
        <v/>
      </c>
    </row>
    <row r="6709" ht="22.5" customHeight="1">
      <c r="B6709" s="13"/>
      <c r="C6709" s="13"/>
      <c r="D6709" s="13"/>
      <c r="E6709" s="14"/>
      <c r="F6709" s="14"/>
      <c r="G6709" s="13"/>
      <c r="H6709" s="14"/>
      <c r="I6709" s="13"/>
      <c r="J6709" s="13"/>
      <c r="K6709" s="13"/>
      <c r="L6709" s="13"/>
      <c r="M6709" s="13"/>
      <c r="N6709" s="13"/>
      <c r="O6709" s="13" t="str">
        <f t="shared" si="1"/>
        <v/>
      </c>
    </row>
    <row r="6710" ht="22.5" customHeight="1">
      <c r="B6710" s="13"/>
      <c r="C6710" s="13"/>
      <c r="D6710" s="13"/>
      <c r="E6710" s="14"/>
      <c r="F6710" s="14"/>
      <c r="G6710" s="13"/>
      <c r="H6710" s="14"/>
      <c r="I6710" s="13"/>
      <c r="J6710" s="13"/>
      <c r="K6710" s="13"/>
      <c r="L6710" s="13"/>
      <c r="M6710" s="13"/>
      <c r="N6710" s="13"/>
      <c r="O6710" s="13" t="str">
        <f t="shared" si="1"/>
        <v/>
      </c>
    </row>
    <row r="6711" ht="22.5" customHeight="1">
      <c r="B6711" s="13"/>
      <c r="C6711" s="13"/>
      <c r="D6711" s="13"/>
      <c r="E6711" s="14"/>
      <c r="F6711" s="14"/>
      <c r="G6711" s="13"/>
      <c r="H6711" s="14"/>
      <c r="I6711" s="13"/>
      <c r="J6711" s="13"/>
      <c r="K6711" s="13"/>
      <c r="L6711" s="13"/>
      <c r="M6711" s="13"/>
      <c r="N6711" s="13"/>
      <c r="O6711" s="13" t="str">
        <f t="shared" si="1"/>
        <v/>
      </c>
    </row>
    <row r="6712" ht="22.5" customHeight="1">
      <c r="B6712" s="13"/>
      <c r="C6712" s="13"/>
      <c r="D6712" s="13"/>
      <c r="E6712" s="14"/>
      <c r="F6712" s="14"/>
      <c r="G6712" s="13"/>
      <c r="H6712" s="14"/>
      <c r="I6712" s="13"/>
      <c r="J6712" s="13"/>
      <c r="K6712" s="13"/>
      <c r="L6712" s="13"/>
      <c r="M6712" s="13"/>
      <c r="N6712" s="13"/>
      <c r="O6712" s="13" t="str">
        <f t="shared" si="1"/>
        <v/>
      </c>
    </row>
    <row r="6713" ht="22.5" customHeight="1">
      <c r="B6713" s="13"/>
      <c r="C6713" s="13"/>
      <c r="D6713" s="13"/>
      <c r="E6713" s="14"/>
      <c r="F6713" s="14"/>
      <c r="G6713" s="13"/>
      <c r="H6713" s="14"/>
      <c r="I6713" s="13"/>
      <c r="J6713" s="13"/>
      <c r="K6713" s="13"/>
      <c r="L6713" s="13"/>
      <c r="M6713" s="13"/>
      <c r="N6713" s="13"/>
      <c r="O6713" s="13" t="str">
        <f t="shared" si="1"/>
        <v/>
      </c>
    </row>
    <row r="6714" ht="22.5" customHeight="1">
      <c r="B6714" s="13"/>
      <c r="C6714" s="13"/>
      <c r="D6714" s="13"/>
      <c r="E6714" s="14"/>
      <c r="F6714" s="14"/>
      <c r="G6714" s="13"/>
      <c r="H6714" s="14"/>
      <c r="I6714" s="13"/>
      <c r="J6714" s="13"/>
      <c r="K6714" s="13"/>
      <c r="L6714" s="13"/>
      <c r="M6714" s="13"/>
      <c r="N6714" s="13"/>
      <c r="O6714" s="13" t="str">
        <f t="shared" si="1"/>
        <v/>
      </c>
    </row>
    <row r="6715" ht="22.5" customHeight="1">
      <c r="B6715" s="13"/>
      <c r="C6715" s="13"/>
      <c r="D6715" s="13"/>
      <c r="E6715" s="14"/>
      <c r="F6715" s="14"/>
      <c r="G6715" s="13"/>
      <c r="H6715" s="14"/>
      <c r="I6715" s="13"/>
      <c r="J6715" s="13"/>
      <c r="K6715" s="13"/>
      <c r="L6715" s="13"/>
      <c r="M6715" s="13"/>
      <c r="N6715" s="13"/>
      <c r="O6715" s="13" t="str">
        <f t="shared" si="1"/>
        <v/>
      </c>
    </row>
    <row r="6716" ht="22.5" customHeight="1">
      <c r="B6716" s="13"/>
      <c r="C6716" s="13"/>
      <c r="D6716" s="13"/>
      <c r="E6716" s="14"/>
      <c r="F6716" s="14"/>
      <c r="G6716" s="13"/>
      <c r="H6716" s="14"/>
      <c r="I6716" s="13"/>
      <c r="J6716" s="13"/>
      <c r="K6716" s="13"/>
      <c r="L6716" s="13"/>
      <c r="M6716" s="13"/>
      <c r="N6716" s="13"/>
      <c r="O6716" s="13" t="str">
        <f t="shared" si="1"/>
        <v/>
      </c>
    </row>
    <row r="6717" ht="22.5" customHeight="1">
      <c r="B6717" s="13"/>
      <c r="C6717" s="13"/>
      <c r="D6717" s="13"/>
      <c r="E6717" s="14"/>
      <c r="F6717" s="14"/>
      <c r="G6717" s="13"/>
      <c r="H6717" s="14"/>
      <c r="I6717" s="13"/>
      <c r="J6717" s="13"/>
      <c r="K6717" s="13"/>
      <c r="L6717" s="13"/>
      <c r="M6717" s="13"/>
      <c r="N6717" s="13"/>
      <c r="O6717" s="13" t="str">
        <f t="shared" si="1"/>
        <v/>
      </c>
    </row>
    <row r="6718" ht="22.5" customHeight="1">
      <c r="B6718" s="13"/>
      <c r="C6718" s="13"/>
      <c r="D6718" s="13"/>
      <c r="E6718" s="14"/>
      <c r="F6718" s="14"/>
      <c r="G6718" s="13"/>
      <c r="H6718" s="14"/>
      <c r="I6718" s="13"/>
      <c r="J6718" s="13"/>
      <c r="K6718" s="13"/>
      <c r="L6718" s="13"/>
      <c r="M6718" s="13"/>
      <c r="N6718" s="13"/>
      <c r="O6718" s="13" t="str">
        <f t="shared" si="1"/>
        <v/>
      </c>
    </row>
    <row r="6719" ht="22.5" customHeight="1">
      <c r="B6719" s="13"/>
      <c r="C6719" s="13"/>
      <c r="D6719" s="13"/>
      <c r="E6719" s="14"/>
      <c r="F6719" s="14"/>
      <c r="G6719" s="13"/>
      <c r="H6719" s="14"/>
      <c r="I6719" s="13"/>
      <c r="J6719" s="13"/>
      <c r="K6719" s="13"/>
      <c r="L6719" s="13"/>
      <c r="M6719" s="13"/>
      <c r="N6719" s="13"/>
      <c r="O6719" s="13" t="str">
        <f t="shared" si="1"/>
        <v/>
      </c>
    </row>
    <row r="6720" ht="22.5" customHeight="1">
      <c r="B6720" s="13"/>
      <c r="C6720" s="13"/>
      <c r="D6720" s="13"/>
      <c r="E6720" s="14"/>
      <c r="F6720" s="14"/>
      <c r="G6720" s="13"/>
      <c r="H6720" s="14"/>
      <c r="I6720" s="13"/>
      <c r="J6720" s="13"/>
      <c r="K6720" s="13"/>
      <c r="L6720" s="13"/>
      <c r="M6720" s="13"/>
      <c r="N6720" s="13"/>
      <c r="O6720" s="13" t="str">
        <f t="shared" si="1"/>
        <v/>
      </c>
    </row>
    <row r="6721" ht="22.5" customHeight="1">
      <c r="B6721" s="13"/>
      <c r="C6721" s="13"/>
      <c r="D6721" s="13"/>
      <c r="E6721" s="14"/>
      <c r="F6721" s="14"/>
      <c r="G6721" s="13"/>
      <c r="H6721" s="14"/>
      <c r="I6721" s="13"/>
      <c r="J6721" s="13"/>
      <c r="K6721" s="13"/>
      <c r="L6721" s="13"/>
      <c r="M6721" s="13"/>
      <c r="N6721" s="13"/>
      <c r="O6721" s="13" t="str">
        <f t="shared" si="1"/>
        <v/>
      </c>
    </row>
    <row r="6722" ht="22.5" customHeight="1">
      <c r="B6722" s="13"/>
      <c r="C6722" s="13"/>
      <c r="D6722" s="13"/>
      <c r="E6722" s="14"/>
      <c r="F6722" s="14"/>
      <c r="G6722" s="13"/>
      <c r="H6722" s="14"/>
      <c r="I6722" s="13"/>
      <c r="J6722" s="13"/>
      <c r="K6722" s="13"/>
      <c r="L6722" s="13"/>
      <c r="M6722" s="13"/>
      <c r="N6722" s="13"/>
      <c r="O6722" s="13" t="str">
        <f t="shared" si="1"/>
        <v/>
      </c>
    </row>
    <row r="6723" ht="22.5" customHeight="1">
      <c r="B6723" s="13"/>
      <c r="C6723" s="13"/>
      <c r="D6723" s="13"/>
      <c r="E6723" s="14"/>
      <c r="F6723" s="14"/>
      <c r="G6723" s="13"/>
      <c r="H6723" s="14"/>
      <c r="I6723" s="13"/>
      <c r="J6723" s="13"/>
      <c r="K6723" s="13"/>
      <c r="L6723" s="13"/>
      <c r="M6723" s="13"/>
      <c r="N6723" s="13"/>
      <c r="O6723" s="13" t="str">
        <f t="shared" si="1"/>
        <v/>
      </c>
    </row>
    <row r="6724" ht="22.5" customHeight="1">
      <c r="B6724" s="13"/>
      <c r="C6724" s="13"/>
      <c r="D6724" s="13"/>
      <c r="E6724" s="14"/>
      <c r="F6724" s="14"/>
      <c r="G6724" s="13"/>
      <c r="H6724" s="14"/>
      <c r="I6724" s="13"/>
      <c r="J6724" s="13"/>
      <c r="K6724" s="13"/>
      <c r="L6724" s="13"/>
      <c r="M6724" s="13"/>
      <c r="N6724" s="13"/>
      <c r="O6724" s="13" t="str">
        <f t="shared" si="1"/>
        <v/>
      </c>
    </row>
    <row r="6725" ht="22.5" customHeight="1">
      <c r="B6725" s="13"/>
      <c r="C6725" s="13"/>
      <c r="D6725" s="13"/>
      <c r="E6725" s="14"/>
      <c r="F6725" s="14"/>
      <c r="G6725" s="13"/>
      <c r="H6725" s="14"/>
      <c r="I6725" s="13"/>
      <c r="J6725" s="13"/>
      <c r="K6725" s="13"/>
      <c r="L6725" s="13"/>
      <c r="M6725" s="13"/>
      <c r="N6725" s="13"/>
      <c r="O6725" s="13" t="str">
        <f t="shared" si="1"/>
        <v/>
      </c>
    </row>
    <row r="6726" ht="22.5" customHeight="1">
      <c r="B6726" s="13"/>
      <c r="C6726" s="13"/>
      <c r="D6726" s="13"/>
      <c r="E6726" s="14"/>
      <c r="F6726" s="14"/>
      <c r="G6726" s="13"/>
      <c r="H6726" s="14"/>
      <c r="I6726" s="13"/>
      <c r="J6726" s="13"/>
      <c r="K6726" s="13"/>
      <c r="L6726" s="13"/>
      <c r="M6726" s="13"/>
      <c r="N6726" s="13"/>
      <c r="O6726" s="13" t="str">
        <f t="shared" si="1"/>
        <v/>
      </c>
    </row>
    <row r="6727" ht="22.5" customHeight="1">
      <c r="B6727" s="13"/>
      <c r="C6727" s="13"/>
      <c r="D6727" s="13"/>
      <c r="E6727" s="14"/>
      <c r="F6727" s="14"/>
      <c r="G6727" s="13"/>
      <c r="H6727" s="14"/>
      <c r="I6727" s="13"/>
      <c r="J6727" s="13"/>
      <c r="K6727" s="13"/>
      <c r="L6727" s="13"/>
      <c r="M6727" s="13"/>
      <c r="N6727" s="13"/>
      <c r="O6727" s="13" t="str">
        <f t="shared" si="1"/>
        <v/>
      </c>
    </row>
    <row r="6728" ht="22.5" customHeight="1">
      <c r="B6728" s="13"/>
      <c r="C6728" s="13"/>
      <c r="D6728" s="13"/>
      <c r="E6728" s="14"/>
      <c r="F6728" s="14"/>
      <c r="G6728" s="13"/>
      <c r="H6728" s="14"/>
      <c r="I6728" s="13"/>
      <c r="J6728" s="13"/>
      <c r="K6728" s="13"/>
      <c r="L6728" s="13"/>
      <c r="M6728" s="13"/>
      <c r="N6728" s="13"/>
      <c r="O6728" s="13" t="str">
        <f t="shared" si="1"/>
        <v/>
      </c>
    </row>
    <row r="6729" ht="22.5" customHeight="1">
      <c r="B6729" s="13"/>
      <c r="C6729" s="13"/>
      <c r="D6729" s="13"/>
      <c r="E6729" s="14"/>
      <c r="F6729" s="14"/>
      <c r="G6729" s="13"/>
      <c r="H6729" s="14"/>
      <c r="I6729" s="13"/>
      <c r="J6729" s="13"/>
      <c r="K6729" s="13"/>
      <c r="L6729" s="13"/>
      <c r="M6729" s="13"/>
      <c r="N6729" s="13"/>
      <c r="O6729" s="13" t="str">
        <f t="shared" si="1"/>
        <v/>
      </c>
    </row>
    <row r="6730" ht="22.5" customHeight="1">
      <c r="B6730" s="13"/>
      <c r="C6730" s="13"/>
      <c r="D6730" s="13"/>
      <c r="E6730" s="14"/>
      <c r="F6730" s="14"/>
      <c r="G6730" s="13"/>
      <c r="H6730" s="14"/>
      <c r="I6730" s="13"/>
      <c r="J6730" s="13"/>
      <c r="K6730" s="13"/>
      <c r="L6730" s="13"/>
      <c r="M6730" s="13"/>
      <c r="N6730" s="13"/>
      <c r="O6730" s="13" t="str">
        <f t="shared" si="1"/>
        <v/>
      </c>
    </row>
    <row r="6731" ht="22.5" customHeight="1">
      <c r="B6731" s="13"/>
      <c r="C6731" s="13"/>
      <c r="D6731" s="13"/>
      <c r="E6731" s="14"/>
      <c r="F6731" s="14"/>
      <c r="G6731" s="13"/>
      <c r="H6731" s="14"/>
      <c r="I6731" s="13"/>
      <c r="J6731" s="13"/>
      <c r="K6731" s="13"/>
      <c r="L6731" s="13"/>
      <c r="M6731" s="13"/>
      <c r="N6731" s="13"/>
      <c r="O6731" s="13" t="str">
        <f t="shared" si="1"/>
        <v/>
      </c>
    </row>
    <row r="6732" ht="22.5" customHeight="1">
      <c r="B6732" s="13"/>
      <c r="C6732" s="13"/>
      <c r="D6732" s="13"/>
      <c r="E6732" s="14"/>
      <c r="F6732" s="14"/>
      <c r="G6732" s="13"/>
      <c r="H6732" s="14"/>
      <c r="I6732" s="13"/>
      <c r="J6732" s="13"/>
      <c r="K6732" s="13"/>
      <c r="L6732" s="13"/>
      <c r="M6732" s="13"/>
      <c r="N6732" s="13"/>
      <c r="O6732" s="13" t="str">
        <f t="shared" si="1"/>
        <v/>
      </c>
    </row>
    <row r="6733" ht="22.5" customHeight="1">
      <c r="B6733" s="13"/>
      <c r="C6733" s="13"/>
      <c r="D6733" s="13"/>
      <c r="E6733" s="14"/>
      <c r="F6733" s="14"/>
      <c r="G6733" s="13"/>
      <c r="H6733" s="14"/>
      <c r="I6733" s="13"/>
      <c r="J6733" s="13"/>
      <c r="K6733" s="13"/>
      <c r="L6733" s="13"/>
      <c r="M6733" s="13"/>
      <c r="N6733" s="13"/>
      <c r="O6733" s="13" t="str">
        <f t="shared" si="1"/>
        <v/>
      </c>
    </row>
    <row r="6734" ht="22.5" customHeight="1">
      <c r="B6734" s="13"/>
      <c r="C6734" s="13"/>
      <c r="D6734" s="13"/>
      <c r="E6734" s="14"/>
      <c r="F6734" s="14"/>
      <c r="G6734" s="13"/>
      <c r="H6734" s="14"/>
      <c r="I6734" s="13"/>
      <c r="J6734" s="13"/>
      <c r="K6734" s="13"/>
      <c r="L6734" s="13"/>
      <c r="M6734" s="13"/>
      <c r="N6734" s="13"/>
      <c r="O6734" s="13" t="str">
        <f t="shared" si="1"/>
        <v/>
      </c>
    </row>
    <row r="6735" ht="22.5" customHeight="1">
      <c r="B6735" s="13"/>
      <c r="C6735" s="13"/>
      <c r="D6735" s="13"/>
      <c r="E6735" s="14"/>
      <c r="F6735" s="14"/>
      <c r="G6735" s="13"/>
      <c r="H6735" s="14"/>
      <c r="I6735" s="13"/>
      <c r="J6735" s="13"/>
      <c r="K6735" s="13"/>
      <c r="L6735" s="13"/>
      <c r="M6735" s="13"/>
      <c r="N6735" s="13"/>
      <c r="O6735" s="13" t="str">
        <f t="shared" si="1"/>
        <v/>
      </c>
    </row>
    <row r="6736" ht="22.5" customHeight="1">
      <c r="B6736" s="13"/>
      <c r="C6736" s="13"/>
      <c r="D6736" s="13"/>
      <c r="E6736" s="14"/>
      <c r="F6736" s="14"/>
      <c r="G6736" s="13"/>
      <c r="H6736" s="14"/>
      <c r="I6736" s="13"/>
      <c r="J6736" s="13"/>
      <c r="K6736" s="13"/>
      <c r="L6736" s="13"/>
      <c r="M6736" s="13"/>
      <c r="N6736" s="13"/>
      <c r="O6736" s="13" t="str">
        <f t="shared" si="1"/>
        <v/>
      </c>
    </row>
    <row r="6737" ht="22.5" customHeight="1">
      <c r="B6737" s="13"/>
      <c r="C6737" s="13"/>
      <c r="D6737" s="13"/>
      <c r="E6737" s="14"/>
      <c r="F6737" s="14"/>
      <c r="G6737" s="13"/>
      <c r="H6737" s="14"/>
      <c r="I6737" s="13"/>
      <c r="J6737" s="13"/>
      <c r="K6737" s="13"/>
      <c r="L6737" s="13"/>
      <c r="M6737" s="13"/>
      <c r="N6737" s="13"/>
      <c r="O6737" s="13" t="str">
        <f t="shared" si="1"/>
        <v/>
      </c>
    </row>
    <row r="6738" ht="22.5" customHeight="1">
      <c r="B6738" s="13"/>
      <c r="C6738" s="13"/>
      <c r="D6738" s="13"/>
      <c r="E6738" s="14"/>
      <c r="F6738" s="14"/>
      <c r="G6738" s="13"/>
      <c r="H6738" s="14"/>
      <c r="I6738" s="13"/>
      <c r="J6738" s="13"/>
      <c r="K6738" s="13"/>
      <c r="L6738" s="13"/>
      <c r="M6738" s="13"/>
      <c r="N6738" s="13"/>
      <c r="O6738" s="13" t="str">
        <f t="shared" si="1"/>
        <v/>
      </c>
    </row>
    <row r="6739" ht="22.5" customHeight="1">
      <c r="B6739" s="13"/>
      <c r="C6739" s="13"/>
      <c r="D6739" s="13"/>
      <c r="E6739" s="14"/>
      <c r="F6739" s="14"/>
      <c r="G6739" s="13"/>
      <c r="H6739" s="14"/>
      <c r="I6739" s="13"/>
      <c r="J6739" s="13"/>
      <c r="K6739" s="13"/>
      <c r="L6739" s="13"/>
      <c r="M6739" s="13"/>
      <c r="N6739" s="13"/>
      <c r="O6739" s="13" t="str">
        <f t="shared" si="1"/>
        <v/>
      </c>
    </row>
    <row r="6740" ht="22.5" customHeight="1">
      <c r="B6740" s="13"/>
      <c r="C6740" s="13"/>
      <c r="D6740" s="13"/>
      <c r="E6740" s="14"/>
      <c r="F6740" s="14"/>
      <c r="G6740" s="13"/>
      <c r="H6740" s="14"/>
      <c r="I6740" s="13"/>
      <c r="J6740" s="13"/>
      <c r="K6740" s="13"/>
      <c r="L6740" s="13"/>
      <c r="M6740" s="13"/>
      <c r="N6740" s="13"/>
      <c r="O6740" s="13" t="str">
        <f t="shared" si="1"/>
        <v/>
      </c>
    </row>
    <row r="6741" ht="22.5" customHeight="1">
      <c r="B6741" s="13"/>
      <c r="C6741" s="13"/>
      <c r="D6741" s="13"/>
      <c r="E6741" s="14"/>
      <c r="F6741" s="14"/>
      <c r="G6741" s="13"/>
      <c r="H6741" s="14"/>
      <c r="I6741" s="13"/>
      <c r="J6741" s="13"/>
      <c r="K6741" s="13"/>
      <c r="L6741" s="13"/>
      <c r="M6741" s="13"/>
      <c r="N6741" s="13"/>
      <c r="O6741" s="13" t="str">
        <f t="shared" si="1"/>
        <v/>
      </c>
    </row>
    <row r="6742" ht="22.5" customHeight="1">
      <c r="B6742" s="13"/>
      <c r="C6742" s="13"/>
      <c r="D6742" s="13"/>
      <c r="E6742" s="14"/>
      <c r="F6742" s="14"/>
      <c r="G6742" s="13"/>
      <c r="H6742" s="14"/>
      <c r="I6742" s="13"/>
      <c r="J6742" s="13"/>
      <c r="K6742" s="13"/>
      <c r="L6742" s="13"/>
      <c r="M6742" s="13"/>
      <c r="N6742" s="13"/>
      <c r="O6742" s="13" t="str">
        <f t="shared" si="1"/>
        <v/>
      </c>
    </row>
    <row r="6743" ht="22.5" customHeight="1">
      <c r="B6743" s="13"/>
      <c r="C6743" s="13"/>
      <c r="D6743" s="13"/>
      <c r="E6743" s="14"/>
      <c r="F6743" s="14"/>
      <c r="G6743" s="13"/>
      <c r="H6743" s="14"/>
      <c r="I6743" s="13"/>
      <c r="J6743" s="13"/>
      <c r="K6743" s="13"/>
      <c r="L6743" s="13"/>
      <c r="M6743" s="13"/>
      <c r="N6743" s="13"/>
      <c r="O6743" s="13" t="str">
        <f t="shared" si="1"/>
        <v/>
      </c>
    </row>
    <row r="6744" ht="22.5" customHeight="1">
      <c r="B6744" s="13"/>
      <c r="C6744" s="13"/>
      <c r="D6744" s="13"/>
      <c r="E6744" s="14"/>
      <c r="F6744" s="14"/>
      <c r="G6744" s="13"/>
      <c r="H6744" s="14"/>
      <c r="I6744" s="13"/>
      <c r="J6744" s="13"/>
      <c r="K6744" s="13"/>
      <c r="L6744" s="13"/>
      <c r="M6744" s="13"/>
      <c r="N6744" s="13"/>
      <c r="O6744" s="13" t="str">
        <f t="shared" si="1"/>
        <v/>
      </c>
    </row>
    <row r="6745" ht="22.5" customHeight="1">
      <c r="B6745" s="13"/>
      <c r="C6745" s="13"/>
      <c r="D6745" s="13"/>
      <c r="E6745" s="14"/>
      <c r="F6745" s="14"/>
      <c r="G6745" s="13"/>
      <c r="H6745" s="14"/>
      <c r="I6745" s="13"/>
      <c r="J6745" s="13"/>
      <c r="K6745" s="13"/>
      <c r="L6745" s="13"/>
      <c r="M6745" s="13"/>
      <c r="N6745" s="13"/>
      <c r="O6745" s="13" t="str">
        <f t="shared" si="1"/>
        <v/>
      </c>
    </row>
    <row r="6746" ht="22.5" customHeight="1">
      <c r="B6746" s="13"/>
      <c r="C6746" s="13"/>
      <c r="D6746" s="13"/>
      <c r="E6746" s="14"/>
      <c r="F6746" s="14"/>
      <c r="G6746" s="13"/>
      <c r="H6746" s="14"/>
      <c r="I6746" s="13"/>
      <c r="J6746" s="13"/>
      <c r="K6746" s="13"/>
      <c r="L6746" s="13"/>
      <c r="M6746" s="13"/>
      <c r="N6746" s="13"/>
      <c r="O6746" s="13" t="str">
        <f t="shared" si="1"/>
        <v/>
      </c>
    </row>
    <row r="6747" ht="22.5" customHeight="1">
      <c r="B6747" s="13"/>
      <c r="C6747" s="13"/>
      <c r="D6747" s="13"/>
      <c r="E6747" s="14"/>
      <c r="F6747" s="14"/>
      <c r="G6747" s="13"/>
      <c r="H6747" s="14"/>
      <c r="I6747" s="13"/>
      <c r="J6747" s="13"/>
      <c r="K6747" s="13"/>
      <c r="L6747" s="13"/>
      <c r="M6747" s="13"/>
      <c r="N6747" s="13"/>
      <c r="O6747" s="13" t="str">
        <f t="shared" si="1"/>
        <v/>
      </c>
    </row>
    <row r="6748" ht="22.5" customHeight="1">
      <c r="B6748" s="13"/>
      <c r="C6748" s="13"/>
      <c r="D6748" s="13"/>
      <c r="E6748" s="14"/>
      <c r="F6748" s="14"/>
      <c r="G6748" s="13"/>
      <c r="H6748" s="14"/>
      <c r="I6748" s="13"/>
      <c r="J6748" s="13"/>
      <c r="K6748" s="13"/>
      <c r="L6748" s="13"/>
      <c r="M6748" s="13"/>
      <c r="N6748" s="13"/>
      <c r="O6748" s="13" t="str">
        <f t="shared" si="1"/>
        <v/>
      </c>
    </row>
    <row r="6749" ht="22.5" customHeight="1">
      <c r="B6749" s="13"/>
      <c r="C6749" s="13"/>
      <c r="D6749" s="13"/>
      <c r="E6749" s="14"/>
      <c r="F6749" s="14"/>
      <c r="G6749" s="13"/>
      <c r="H6749" s="14"/>
      <c r="I6749" s="13"/>
      <c r="J6749" s="13"/>
      <c r="K6749" s="13"/>
      <c r="L6749" s="13"/>
      <c r="M6749" s="13"/>
      <c r="N6749" s="13"/>
      <c r="O6749" s="13" t="str">
        <f t="shared" si="1"/>
        <v/>
      </c>
    </row>
    <row r="6750" ht="22.5" customHeight="1">
      <c r="B6750" s="13"/>
      <c r="C6750" s="13"/>
      <c r="D6750" s="13"/>
      <c r="E6750" s="14"/>
      <c r="F6750" s="14"/>
      <c r="G6750" s="13"/>
      <c r="H6750" s="14"/>
      <c r="I6750" s="13"/>
      <c r="J6750" s="13"/>
      <c r="K6750" s="13"/>
      <c r="L6750" s="13"/>
      <c r="M6750" s="13"/>
      <c r="N6750" s="13"/>
      <c r="O6750" s="13" t="str">
        <f t="shared" si="1"/>
        <v/>
      </c>
    </row>
    <row r="6751" ht="22.5" customHeight="1">
      <c r="B6751" s="13"/>
      <c r="C6751" s="13"/>
      <c r="D6751" s="13"/>
      <c r="E6751" s="14"/>
      <c r="F6751" s="14"/>
      <c r="G6751" s="13"/>
      <c r="H6751" s="14"/>
      <c r="I6751" s="13"/>
      <c r="J6751" s="13"/>
      <c r="K6751" s="13"/>
      <c r="L6751" s="13"/>
      <c r="M6751" s="13"/>
      <c r="N6751" s="13"/>
      <c r="O6751" s="13" t="str">
        <f t="shared" si="1"/>
        <v/>
      </c>
    </row>
    <row r="6752" ht="22.5" customHeight="1">
      <c r="B6752" s="13"/>
      <c r="C6752" s="13"/>
      <c r="D6752" s="13"/>
      <c r="E6752" s="14"/>
      <c r="F6752" s="14"/>
      <c r="G6752" s="13"/>
      <c r="H6752" s="14"/>
      <c r="I6752" s="13"/>
      <c r="J6752" s="13"/>
      <c r="K6752" s="13"/>
      <c r="L6752" s="13"/>
      <c r="M6752" s="13"/>
      <c r="N6752" s="13"/>
      <c r="O6752" s="13" t="str">
        <f t="shared" si="1"/>
        <v/>
      </c>
    </row>
    <row r="6753" ht="22.5" customHeight="1">
      <c r="B6753" s="13"/>
      <c r="C6753" s="13"/>
      <c r="D6753" s="13"/>
      <c r="E6753" s="14"/>
      <c r="F6753" s="14"/>
      <c r="G6753" s="13"/>
      <c r="H6753" s="14"/>
      <c r="I6753" s="13"/>
      <c r="J6753" s="13"/>
      <c r="K6753" s="13"/>
      <c r="L6753" s="13"/>
      <c r="M6753" s="13"/>
      <c r="N6753" s="13"/>
      <c r="O6753" s="13" t="str">
        <f t="shared" si="1"/>
        <v/>
      </c>
    </row>
    <row r="6754" ht="22.5" customHeight="1">
      <c r="B6754" s="13"/>
      <c r="C6754" s="13"/>
      <c r="D6754" s="13"/>
      <c r="E6754" s="14"/>
      <c r="F6754" s="14"/>
      <c r="G6754" s="13"/>
      <c r="H6754" s="14"/>
      <c r="I6754" s="13"/>
      <c r="J6754" s="13"/>
      <c r="K6754" s="13"/>
      <c r="L6754" s="13"/>
      <c r="M6754" s="13"/>
      <c r="N6754" s="13"/>
      <c r="O6754" s="13" t="str">
        <f t="shared" si="1"/>
        <v/>
      </c>
    </row>
    <row r="6755" ht="22.5" customHeight="1">
      <c r="B6755" s="13"/>
      <c r="C6755" s="13"/>
      <c r="D6755" s="13"/>
      <c r="E6755" s="14"/>
      <c r="F6755" s="14"/>
      <c r="G6755" s="13"/>
      <c r="H6755" s="14"/>
      <c r="I6755" s="13"/>
      <c r="J6755" s="13"/>
      <c r="K6755" s="13"/>
      <c r="L6755" s="13"/>
      <c r="M6755" s="13"/>
      <c r="N6755" s="13"/>
      <c r="O6755" s="13" t="str">
        <f t="shared" si="1"/>
        <v/>
      </c>
    </row>
    <row r="6756" ht="22.5" customHeight="1">
      <c r="B6756" s="13"/>
      <c r="C6756" s="13"/>
      <c r="D6756" s="13"/>
      <c r="E6756" s="14"/>
      <c r="F6756" s="14"/>
      <c r="G6756" s="13"/>
      <c r="H6756" s="14"/>
      <c r="I6756" s="13"/>
      <c r="J6756" s="13"/>
      <c r="K6756" s="13"/>
      <c r="L6756" s="13"/>
      <c r="M6756" s="13"/>
      <c r="N6756" s="13"/>
      <c r="O6756" s="13" t="str">
        <f t="shared" si="1"/>
        <v/>
      </c>
    </row>
    <row r="6757" ht="22.5" customHeight="1">
      <c r="B6757" s="13"/>
      <c r="C6757" s="13"/>
      <c r="D6757" s="13"/>
      <c r="E6757" s="14"/>
      <c r="F6757" s="14"/>
      <c r="G6757" s="13"/>
      <c r="H6757" s="14"/>
      <c r="I6757" s="13"/>
      <c r="J6757" s="13"/>
      <c r="K6757" s="13"/>
      <c r="L6757" s="13"/>
      <c r="M6757" s="13"/>
      <c r="N6757" s="13"/>
      <c r="O6757" s="13" t="str">
        <f t="shared" si="1"/>
        <v/>
      </c>
    </row>
    <row r="6758" ht="22.5" customHeight="1">
      <c r="B6758" s="13"/>
      <c r="C6758" s="13"/>
      <c r="D6758" s="13"/>
      <c r="E6758" s="14"/>
      <c r="F6758" s="14"/>
      <c r="G6758" s="13"/>
      <c r="H6758" s="14"/>
      <c r="I6758" s="13"/>
      <c r="J6758" s="13"/>
      <c r="K6758" s="13"/>
      <c r="L6758" s="13"/>
      <c r="M6758" s="13"/>
      <c r="N6758" s="13"/>
      <c r="O6758" s="13" t="str">
        <f t="shared" si="1"/>
        <v/>
      </c>
    </row>
    <row r="6759" ht="22.5" customHeight="1">
      <c r="B6759" s="13"/>
      <c r="C6759" s="13"/>
      <c r="D6759" s="13"/>
      <c r="E6759" s="14"/>
      <c r="F6759" s="14"/>
      <c r="G6759" s="13"/>
      <c r="H6759" s="14"/>
      <c r="I6759" s="13"/>
      <c r="J6759" s="13"/>
      <c r="K6759" s="13"/>
      <c r="L6759" s="13"/>
      <c r="M6759" s="13"/>
      <c r="N6759" s="13"/>
      <c r="O6759" s="13" t="str">
        <f t="shared" si="1"/>
        <v/>
      </c>
    </row>
    <row r="6760" ht="22.5" customHeight="1">
      <c r="B6760" s="13"/>
      <c r="C6760" s="13"/>
      <c r="D6760" s="13"/>
      <c r="E6760" s="14"/>
      <c r="F6760" s="14"/>
      <c r="G6760" s="13"/>
      <c r="H6760" s="14"/>
      <c r="I6760" s="13"/>
      <c r="J6760" s="13"/>
      <c r="K6760" s="13"/>
      <c r="L6760" s="13"/>
      <c r="M6760" s="13"/>
      <c r="N6760" s="13"/>
      <c r="O6760" s="13" t="str">
        <f t="shared" si="1"/>
        <v/>
      </c>
    </row>
    <row r="6761" ht="22.5" customHeight="1">
      <c r="B6761" s="13"/>
      <c r="C6761" s="13"/>
      <c r="D6761" s="13"/>
      <c r="E6761" s="14"/>
      <c r="F6761" s="14"/>
      <c r="G6761" s="13"/>
      <c r="H6761" s="14"/>
      <c r="I6761" s="13"/>
      <c r="J6761" s="13"/>
      <c r="K6761" s="13"/>
      <c r="L6761" s="13"/>
      <c r="M6761" s="13"/>
      <c r="N6761" s="13"/>
      <c r="O6761" s="13" t="str">
        <f t="shared" si="1"/>
        <v/>
      </c>
    </row>
    <row r="6762" ht="22.5" customHeight="1">
      <c r="B6762" s="13"/>
      <c r="C6762" s="13"/>
      <c r="D6762" s="13"/>
      <c r="E6762" s="14"/>
      <c r="F6762" s="14"/>
      <c r="G6762" s="13"/>
      <c r="H6762" s="14"/>
      <c r="I6762" s="13"/>
      <c r="J6762" s="13"/>
      <c r="K6762" s="13"/>
      <c r="L6762" s="13"/>
      <c r="M6762" s="13"/>
      <c r="N6762" s="13"/>
      <c r="O6762" s="13" t="str">
        <f t="shared" si="1"/>
        <v/>
      </c>
    </row>
    <row r="6763" ht="22.5" customHeight="1">
      <c r="B6763" s="13"/>
      <c r="C6763" s="13"/>
      <c r="D6763" s="13"/>
      <c r="E6763" s="14"/>
      <c r="F6763" s="14"/>
      <c r="G6763" s="13"/>
      <c r="H6763" s="14"/>
      <c r="I6763" s="13"/>
      <c r="J6763" s="13"/>
      <c r="K6763" s="13"/>
      <c r="L6763" s="13"/>
      <c r="M6763" s="13"/>
      <c r="N6763" s="13"/>
      <c r="O6763" s="13" t="str">
        <f t="shared" si="1"/>
        <v/>
      </c>
    </row>
    <row r="6764" ht="22.5" customHeight="1">
      <c r="B6764" s="13"/>
      <c r="C6764" s="13"/>
      <c r="D6764" s="13"/>
      <c r="E6764" s="14"/>
      <c r="F6764" s="14"/>
      <c r="G6764" s="13"/>
      <c r="H6764" s="14"/>
      <c r="I6764" s="13"/>
      <c r="J6764" s="13"/>
      <c r="K6764" s="13"/>
      <c r="L6764" s="13"/>
      <c r="M6764" s="13"/>
      <c r="N6764" s="13"/>
      <c r="O6764" s="13" t="str">
        <f t="shared" si="1"/>
        <v/>
      </c>
    </row>
    <row r="6765" ht="22.5" customHeight="1">
      <c r="B6765" s="13"/>
      <c r="C6765" s="13"/>
      <c r="D6765" s="13"/>
      <c r="E6765" s="14"/>
      <c r="F6765" s="14"/>
      <c r="G6765" s="13"/>
      <c r="H6765" s="14"/>
      <c r="I6765" s="13"/>
      <c r="J6765" s="13"/>
      <c r="K6765" s="13"/>
      <c r="L6765" s="13"/>
      <c r="M6765" s="13"/>
      <c r="N6765" s="13"/>
      <c r="O6765" s="13" t="str">
        <f t="shared" si="1"/>
        <v/>
      </c>
    </row>
    <row r="6766" ht="22.5" customHeight="1">
      <c r="B6766" s="13"/>
      <c r="C6766" s="13"/>
      <c r="D6766" s="13"/>
      <c r="E6766" s="14"/>
      <c r="F6766" s="14"/>
      <c r="G6766" s="13"/>
      <c r="H6766" s="14"/>
      <c r="I6766" s="13"/>
      <c r="J6766" s="13"/>
      <c r="K6766" s="13"/>
      <c r="L6766" s="13"/>
      <c r="M6766" s="13"/>
      <c r="N6766" s="13"/>
      <c r="O6766" s="13" t="str">
        <f t="shared" si="1"/>
        <v/>
      </c>
    </row>
    <row r="6767" ht="22.5" customHeight="1">
      <c r="B6767" s="13"/>
      <c r="C6767" s="13"/>
      <c r="D6767" s="13"/>
      <c r="E6767" s="14"/>
      <c r="F6767" s="14"/>
      <c r="G6767" s="13"/>
      <c r="H6767" s="14"/>
      <c r="I6767" s="13"/>
      <c r="J6767" s="13"/>
      <c r="K6767" s="13"/>
      <c r="L6767" s="13"/>
      <c r="M6767" s="13"/>
      <c r="N6767" s="13"/>
      <c r="O6767" s="13" t="str">
        <f t="shared" si="1"/>
        <v/>
      </c>
    </row>
    <row r="6768" ht="22.5" customHeight="1">
      <c r="B6768" s="13"/>
      <c r="C6768" s="13"/>
      <c r="D6768" s="13"/>
      <c r="E6768" s="14"/>
      <c r="F6768" s="14"/>
      <c r="G6768" s="13"/>
      <c r="H6768" s="14"/>
      <c r="I6768" s="13"/>
      <c r="J6768" s="13"/>
      <c r="K6768" s="13"/>
      <c r="L6768" s="13"/>
      <c r="M6768" s="13"/>
      <c r="N6768" s="13"/>
      <c r="O6768" s="13" t="str">
        <f t="shared" si="1"/>
        <v/>
      </c>
    </row>
    <row r="6769" ht="22.5" customHeight="1">
      <c r="B6769" s="13"/>
      <c r="C6769" s="13"/>
      <c r="D6769" s="13"/>
      <c r="E6769" s="14"/>
      <c r="F6769" s="14"/>
      <c r="G6769" s="13"/>
      <c r="H6769" s="14"/>
      <c r="I6769" s="13"/>
      <c r="J6769" s="13"/>
      <c r="K6769" s="13"/>
      <c r="L6769" s="13"/>
      <c r="M6769" s="13"/>
      <c r="N6769" s="13"/>
      <c r="O6769" s="13" t="str">
        <f t="shared" si="1"/>
        <v/>
      </c>
    </row>
    <row r="6770" ht="22.5" customHeight="1">
      <c r="B6770" s="13"/>
      <c r="C6770" s="13"/>
      <c r="D6770" s="13"/>
      <c r="E6770" s="14"/>
      <c r="F6770" s="14"/>
      <c r="G6770" s="13"/>
      <c r="H6770" s="14"/>
      <c r="I6770" s="13"/>
      <c r="J6770" s="13"/>
      <c r="K6770" s="13"/>
      <c r="L6770" s="13"/>
      <c r="M6770" s="13"/>
      <c r="N6770" s="13"/>
      <c r="O6770" s="13" t="str">
        <f t="shared" si="1"/>
        <v/>
      </c>
    </row>
    <row r="6771" ht="22.5" customHeight="1">
      <c r="B6771" s="13"/>
      <c r="C6771" s="13"/>
      <c r="D6771" s="13"/>
      <c r="E6771" s="14"/>
      <c r="F6771" s="14"/>
      <c r="G6771" s="13"/>
      <c r="H6771" s="14"/>
      <c r="I6771" s="13"/>
      <c r="J6771" s="13"/>
      <c r="K6771" s="13"/>
      <c r="L6771" s="13"/>
      <c r="M6771" s="13"/>
      <c r="N6771" s="13"/>
      <c r="O6771" s="13" t="str">
        <f t="shared" si="1"/>
        <v/>
      </c>
    </row>
    <row r="6772" ht="22.5" customHeight="1">
      <c r="B6772" s="13"/>
      <c r="C6772" s="13"/>
      <c r="D6772" s="13"/>
      <c r="E6772" s="14"/>
      <c r="F6772" s="14"/>
      <c r="G6772" s="13"/>
      <c r="H6772" s="14"/>
      <c r="I6772" s="13"/>
      <c r="J6772" s="13"/>
      <c r="K6772" s="13"/>
      <c r="L6772" s="13"/>
      <c r="M6772" s="13"/>
      <c r="N6772" s="13"/>
      <c r="O6772" s="13" t="str">
        <f t="shared" si="1"/>
        <v/>
      </c>
    </row>
    <row r="6773" ht="22.5" customHeight="1">
      <c r="B6773" s="13"/>
      <c r="C6773" s="13"/>
      <c r="D6773" s="13"/>
      <c r="E6773" s="14"/>
      <c r="F6773" s="14"/>
      <c r="G6773" s="13"/>
      <c r="H6773" s="14"/>
      <c r="I6773" s="13"/>
      <c r="J6773" s="13"/>
      <c r="K6773" s="13"/>
      <c r="L6773" s="13"/>
      <c r="M6773" s="13"/>
      <c r="N6773" s="13"/>
      <c r="O6773" s="13" t="str">
        <f t="shared" si="1"/>
        <v/>
      </c>
    </row>
    <row r="6774" ht="22.5" customHeight="1">
      <c r="B6774" s="13"/>
      <c r="C6774" s="13"/>
      <c r="D6774" s="13"/>
      <c r="E6774" s="14"/>
      <c r="F6774" s="14"/>
      <c r="G6774" s="13"/>
      <c r="H6774" s="14"/>
      <c r="I6774" s="13"/>
      <c r="J6774" s="13"/>
      <c r="K6774" s="13"/>
      <c r="L6774" s="13"/>
      <c r="M6774" s="13"/>
      <c r="N6774" s="13"/>
      <c r="O6774" s="13" t="str">
        <f t="shared" si="1"/>
        <v/>
      </c>
    </row>
    <row r="6775" ht="22.5" customHeight="1">
      <c r="B6775" s="13"/>
      <c r="C6775" s="13"/>
      <c r="D6775" s="13"/>
      <c r="E6775" s="14"/>
      <c r="F6775" s="14"/>
      <c r="G6775" s="13"/>
      <c r="H6775" s="14"/>
      <c r="I6775" s="13"/>
      <c r="J6775" s="13"/>
      <c r="K6775" s="13"/>
      <c r="L6775" s="13"/>
      <c r="M6775" s="13"/>
      <c r="N6775" s="13"/>
      <c r="O6775" s="13" t="str">
        <f t="shared" si="1"/>
        <v/>
      </c>
    </row>
    <row r="6776" ht="22.5" customHeight="1">
      <c r="B6776" s="13"/>
      <c r="C6776" s="13"/>
      <c r="D6776" s="13"/>
      <c r="E6776" s="14"/>
      <c r="F6776" s="14"/>
      <c r="G6776" s="13"/>
      <c r="H6776" s="14"/>
      <c r="I6776" s="13"/>
      <c r="J6776" s="13"/>
      <c r="K6776" s="13"/>
      <c r="L6776" s="13"/>
      <c r="M6776" s="13"/>
      <c r="N6776" s="13"/>
      <c r="O6776" s="13" t="str">
        <f t="shared" si="1"/>
        <v/>
      </c>
    </row>
    <row r="6777" ht="22.5" customHeight="1">
      <c r="B6777" s="13"/>
      <c r="C6777" s="13"/>
      <c r="D6777" s="13"/>
      <c r="E6777" s="14"/>
      <c r="F6777" s="14"/>
      <c r="G6777" s="13"/>
      <c r="H6777" s="14"/>
      <c r="I6777" s="13"/>
      <c r="J6777" s="13"/>
      <c r="K6777" s="13"/>
      <c r="L6777" s="13"/>
      <c r="M6777" s="13"/>
      <c r="N6777" s="13"/>
      <c r="O6777" s="13" t="str">
        <f t="shared" si="1"/>
        <v/>
      </c>
    </row>
    <row r="6778" ht="22.5" customHeight="1">
      <c r="B6778" s="13"/>
      <c r="C6778" s="13"/>
      <c r="D6778" s="13"/>
      <c r="E6778" s="14"/>
      <c r="F6778" s="14"/>
      <c r="G6778" s="13"/>
      <c r="H6778" s="14"/>
      <c r="I6778" s="13"/>
      <c r="J6778" s="13"/>
      <c r="K6778" s="13"/>
      <c r="L6778" s="13"/>
      <c r="M6778" s="13"/>
      <c r="N6778" s="13"/>
      <c r="O6778" s="13" t="str">
        <f t="shared" si="1"/>
        <v/>
      </c>
    </row>
    <row r="6779" ht="22.5" customHeight="1">
      <c r="B6779" s="13"/>
      <c r="C6779" s="13"/>
      <c r="D6779" s="13"/>
      <c r="E6779" s="14"/>
      <c r="F6779" s="14"/>
      <c r="G6779" s="13"/>
      <c r="H6779" s="14"/>
      <c r="I6779" s="13"/>
      <c r="J6779" s="13"/>
      <c r="K6779" s="13"/>
      <c r="L6779" s="13"/>
      <c r="M6779" s="13"/>
      <c r="N6779" s="13"/>
      <c r="O6779" s="13" t="str">
        <f t="shared" si="1"/>
        <v/>
      </c>
    </row>
    <row r="6780" ht="22.5" customHeight="1">
      <c r="B6780" s="13"/>
      <c r="C6780" s="13"/>
      <c r="D6780" s="13"/>
      <c r="E6780" s="14"/>
      <c r="F6780" s="14"/>
      <c r="G6780" s="13"/>
      <c r="H6780" s="14"/>
      <c r="I6780" s="13"/>
      <c r="J6780" s="13"/>
      <c r="K6780" s="13"/>
      <c r="L6780" s="13"/>
      <c r="M6780" s="13"/>
      <c r="N6780" s="13"/>
      <c r="O6780" s="13" t="str">
        <f t="shared" si="1"/>
        <v/>
      </c>
    </row>
    <row r="6781" ht="22.5" customHeight="1">
      <c r="B6781" s="13"/>
      <c r="C6781" s="13"/>
      <c r="D6781" s="13"/>
      <c r="E6781" s="14"/>
      <c r="F6781" s="14"/>
      <c r="G6781" s="13"/>
      <c r="H6781" s="14"/>
      <c r="I6781" s="13"/>
      <c r="J6781" s="13"/>
      <c r="K6781" s="13"/>
      <c r="L6781" s="13"/>
      <c r="M6781" s="13"/>
      <c r="N6781" s="13"/>
      <c r="O6781" s="13" t="str">
        <f t="shared" si="1"/>
        <v/>
      </c>
    </row>
    <row r="6782" ht="22.5" customHeight="1">
      <c r="B6782" s="13"/>
      <c r="C6782" s="13"/>
      <c r="D6782" s="13"/>
      <c r="E6782" s="14"/>
      <c r="F6782" s="14"/>
      <c r="G6782" s="13"/>
      <c r="H6782" s="14"/>
      <c r="I6782" s="13"/>
      <c r="J6782" s="13"/>
      <c r="K6782" s="13"/>
      <c r="L6782" s="13"/>
      <c r="M6782" s="13"/>
      <c r="N6782" s="13"/>
      <c r="O6782" s="13" t="str">
        <f t="shared" si="1"/>
        <v/>
      </c>
    </row>
    <row r="6783" ht="22.5" customHeight="1">
      <c r="B6783" s="13"/>
      <c r="C6783" s="13"/>
      <c r="D6783" s="13"/>
      <c r="E6783" s="14"/>
      <c r="F6783" s="14"/>
      <c r="G6783" s="13"/>
      <c r="H6783" s="14"/>
      <c r="I6783" s="13"/>
      <c r="J6783" s="13"/>
      <c r="K6783" s="13"/>
      <c r="L6783" s="13"/>
      <c r="M6783" s="13"/>
      <c r="N6783" s="13"/>
      <c r="O6783" s="13" t="str">
        <f t="shared" si="1"/>
        <v/>
      </c>
    </row>
    <row r="6784" ht="22.5" customHeight="1">
      <c r="B6784" s="13"/>
      <c r="C6784" s="13"/>
      <c r="D6784" s="13"/>
      <c r="E6784" s="14"/>
      <c r="F6784" s="14"/>
      <c r="G6784" s="13"/>
      <c r="H6784" s="14"/>
      <c r="I6784" s="13"/>
      <c r="J6784" s="13"/>
      <c r="K6784" s="13"/>
      <c r="L6784" s="13"/>
      <c r="M6784" s="13"/>
      <c r="N6784" s="13"/>
      <c r="O6784" s="13" t="str">
        <f t="shared" si="1"/>
        <v/>
      </c>
    </row>
    <row r="6785" ht="22.5" customHeight="1">
      <c r="B6785" s="13"/>
      <c r="C6785" s="13"/>
      <c r="D6785" s="13"/>
      <c r="E6785" s="14"/>
      <c r="F6785" s="14"/>
      <c r="G6785" s="13"/>
      <c r="H6785" s="14"/>
      <c r="I6785" s="13"/>
      <c r="J6785" s="13"/>
      <c r="K6785" s="13"/>
      <c r="L6785" s="13"/>
      <c r="M6785" s="13"/>
      <c r="N6785" s="13"/>
      <c r="O6785" s="13" t="str">
        <f t="shared" si="1"/>
        <v/>
      </c>
    </row>
    <row r="6786" ht="22.5" customHeight="1">
      <c r="B6786" s="13"/>
      <c r="C6786" s="13"/>
      <c r="D6786" s="13"/>
      <c r="E6786" s="14"/>
      <c r="F6786" s="14"/>
      <c r="G6786" s="13"/>
      <c r="H6786" s="14"/>
      <c r="I6786" s="13"/>
      <c r="J6786" s="13"/>
      <c r="K6786" s="13"/>
      <c r="L6786" s="13"/>
      <c r="M6786" s="13"/>
      <c r="N6786" s="13"/>
      <c r="O6786" s="13" t="str">
        <f t="shared" si="1"/>
        <v/>
      </c>
    </row>
    <row r="6787" ht="22.5" customHeight="1">
      <c r="B6787" s="13"/>
      <c r="C6787" s="13"/>
      <c r="D6787" s="13"/>
      <c r="E6787" s="14"/>
      <c r="F6787" s="14"/>
      <c r="G6787" s="13"/>
      <c r="H6787" s="14"/>
      <c r="I6787" s="13"/>
      <c r="J6787" s="13"/>
      <c r="K6787" s="13"/>
      <c r="L6787" s="13"/>
      <c r="M6787" s="13"/>
      <c r="N6787" s="13"/>
      <c r="O6787" s="13" t="str">
        <f t="shared" si="1"/>
        <v/>
      </c>
    </row>
    <row r="6788" ht="22.5" customHeight="1">
      <c r="B6788" s="13"/>
      <c r="C6788" s="13"/>
      <c r="D6788" s="13"/>
      <c r="E6788" s="14"/>
      <c r="F6788" s="14"/>
      <c r="G6788" s="13"/>
      <c r="H6788" s="14"/>
      <c r="I6788" s="13"/>
      <c r="J6788" s="13"/>
      <c r="K6788" s="13"/>
      <c r="L6788" s="13"/>
      <c r="M6788" s="13"/>
      <c r="N6788" s="13"/>
      <c r="O6788" s="13" t="str">
        <f t="shared" si="1"/>
        <v/>
      </c>
    </row>
    <row r="6789" ht="22.5" customHeight="1">
      <c r="B6789" s="13"/>
      <c r="C6789" s="13"/>
      <c r="D6789" s="13"/>
      <c r="E6789" s="14"/>
      <c r="F6789" s="14"/>
      <c r="G6789" s="13"/>
      <c r="H6789" s="14"/>
      <c r="I6789" s="13"/>
      <c r="J6789" s="13"/>
      <c r="K6789" s="13"/>
      <c r="L6789" s="13"/>
      <c r="M6789" s="13"/>
      <c r="N6789" s="13"/>
      <c r="O6789" s="13" t="str">
        <f t="shared" si="1"/>
        <v/>
      </c>
    </row>
    <row r="6790" ht="22.5" customHeight="1">
      <c r="B6790" s="13"/>
      <c r="C6790" s="13"/>
      <c r="D6790" s="13"/>
      <c r="E6790" s="14"/>
      <c r="F6790" s="14"/>
      <c r="G6790" s="13"/>
      <c r="H6790" s="14"/>
      <c r="I6790" s="13"/>
      <c r="J6790" s="13"/>
      <c r="K6790" s="13"/>
      <c r="L6790" s="13"/>
      <c r="M6790" s="13"/>
      <c r="N6790" s="13"/>
      <c r="O6790" s="13" t="str">
        <f t="shared" si="1"/>
        <v/>
      </c>
    </row>
    <row r="6791" ht="22.5" customHeight="1">
      <c r="B6791" s="13"/>
      <c r="C6791" s="13"/>
      <c r="D6791" s="13"/>
      <c r="E6791" s="14"/>
      <c r="F6791" s="14"/>
      <c r="G6791" s="13"/>
      <c r="H6791" s="14"/>
      <c r="I6791" s="13"/>
      <c r="J6791" s="13"/>
      <c r="K6791" s="13"/>
      <c r="L6791" s="13"/>
      <c r="M6791" s="13"/>
      <c r="N6791" s="13"/>
      <c r="O6791" s="13" t="str">
        <f t="shared" si="1"/>
        <v/>
      </c>
    </row>
    <row r="6792" ht="22.5" customHeight="1">
      <c r="B6792" s="13"/>
      <c r="C6792" s="13"/>
      <c r="D6792" s="13"/>
      <c r="E6792" s="14"/>
      <c r="F6792" s="14"/>
      <c r="G6792" s="13"/>
      <c r="H6792" s="14"/>
      <c r="I6792" s="13"/>
      <c r="J6792" s="13"/>
      <c r="K6792" s="13"/>
      <c r="L6792" s="13"/>
      <c r="M6792" s="13"/>
      <c r="N6792" s="13"/>
      <c r="O6792" s="13" t="str">
        <f t="shared" si="1"/>
        <v/>
      </c>
    </row>
    <row r="6793" ht="22.5" customHeight="1">
      <c r="B6793" s="13"/>
      <c r="C6793" s="13"/>
      <c r="D6793" s="13"/>
      <c r="E6793" s="14"/>
      <c r="F6793" s="14"/>
      <c r="G6793" s="13"/>
      <c r="H6793" s="14"/>
      <c r="I6793" s="13"/>
      <c r="J6793" s="13"/>
      <c r="K6793" s="13"/>
      <c r="L6793" s="13"/>
      <c r="M6793" s="13"/>
      <c r="N6793" s="13"/>
      <c r="O6793" s="13" t="str">
        <f t="shared" si="1"/>
        <v/>
      </c>
    </row>
    <row r="6794" ht="22.5" customHeight="1">
      <c r="B6794" s="13"/>
      <c r="C6794" s="13"/>
      <c r="D6794" s="13"/>
      <c r="E6794" s="14"/>
      <c r="F6794" s="14"/>
      <c r="G6794" s="13"/>
      <c r="H6794" s="14"/>
      <c r="I6794" s="13"/>
      <c r="J6794" s="13"/>
      <c r="K6794" s="13"/>
      <c r="L6794" s="13"/>
      <c r="M6794" s="13"/>
      <c r="N6794" s="13"/>
      <c r="O6794" s="13" t="str">
        <f t="shared" si="1"/>
        <v/>
      </c>
    </row>
    <row r="6795" ht="22.5" customHeight="1">
      <c r="B6795" s="13"/>
      <c r="C6795" s="13"/>
      <c r="D6795" s="13"/>
      <c r="E6795" s="14"/>
      <c r="F6795" s="14"/>
      <c r="G6795" s="13"/>
      <c r="H6795" s="14"/>
      <c r="I6795" s="13"/>
      <c r="J6795" s="13"/>
      <c r="K6795" s="13"/>
      <c r="L6795" s="13"/>
      <c r="M6795" s="13"/>
      <c r="N6795" s="13"/>
      <c r="O6795" s="13" t="str">
        <f t="shared" si="1"/>
        <v/>
      </c>
    </row>
    <row r="6796" ht="22.5" customHeight="1">
      <c r="B6796" s="13"/>
      <c r="C6796" s="13"/>
      <c r="D6796" s="13"/>
      <c r="E6796" s="14"/>
      <c r="F6796" s="14"/>
      <c r="G6796" s="13"/>
      <c r="H6796" s="14"/>
      <c r="I6796" s="13"/>
      <c r="J6796" s="13"/>
      <c r="K6796" s="13"/>
      <c r="L6796" s="13"/>
      <c r="M6796" s="13"/>
      <c r="N6796" s="13"/>
      <c r="O6796" s="13" t="str">
        <f t="shared" si="1"/>
        <v/>
      </c>
    </row>
    <row r="6797" ht="22.5" customHeight="1">
      <c r="B6797" s="13"/>
      <c r="C6797" s="13"/>
      <c r="D6797" s="13"/>
      <c r="E6797" s="14"/>
      <c r="F6797" s="14"/>
      <c r="G6797" s="13"/>
      <c r="H6797" s="14"/>
      <c r="I6797" s="13"/>
      <c r="J6797" s="13"/>
      <c r="K6797" s="13"/>
      <c r="L6797" s="13"/>
      <c r="M6797" s="13"/>
      <c r="N6797" s="13"/>
      <c r="O6797" s="13" t="str">
        <f t="shared" si="1"/>
        <v/>
      </c>
    </row>
    <row r="6798" ht="22.5" customHeight="1">
      <c r="B6798" s="13"/>
      <c r="C6798" s="13"/>
      <c r="D6798" s="13"/>
      <c r="E6798" s="14"/>
      <c r="F6798" s="14"/>
      <c r="G6798" s="13"/>
      <c r="H6798" s="14"/>
      <c r="I6798" s="13"/>
      <c r="J6798" s="13"/>
      <c r="K6798" s="13"/>
      <c r="L6798" s="13"/>
      <c r="M6798" s="13"/>
      <c r="N6798" s="13"/>
      <c r="O6798" s="13" t="str">
        <f t="shared" si="1"/>
        <v/>
      </c>
    </row>
    <row r="6799" ht="22.5" customHeight="1">
      <c r="B6799" s="13"/>
      <c r="C6799" s="13"/>
      <c r="D6799" s="13"/>
      <c r="E6799" s="14"/>
      <c r="F6799" s="14"/>
      <c r="G6799" s="13"/>
      <c r="H6799" s="14"/>
      <c r="I6799" s="13"/>
      <c r="J6799" s="13"/>
      <c r="K6799" s="13"/>
      <c r="L6799" s="13"/>
      <c r="M6799" s="13"/>
      <c r="N6799" s="13"/>
      <c r="O6799" s="13" t="str">
        <f t="shared" si="1"/>
        <v/>
      </c>
    </row>
    <row r="6800" ht="22.5" customHeight="1">
      <c r="B6800" s="13"/>
      <c r="C6800" s="13"/>
      <c r="D6800" s="13"/>
      <c r="E6800" s="14"/>
      <c r="F6800" s="14"/>
      <c r="G6800" s="13"/>
      <c r="H6800" s="14"/>
      <c r="I6800" s="13"/>
      <c r="J6800" s="13"/>
      <c r="K6800" s="13"/>
      <c r="L6800" s="13"/>
      <c r="M6800" s="13"/>
      <c r="N6800" s="13"/>
      <c r="O6800" s="13" t="str">
        <f t="shared" si="1"/>
        <v/>
      </c>
    </row>
    <row r="6801" ht="22.5" customHeight="1">
      <c r="B6801" s="13"/>
      <c r="C6801" s="13"/>
      <c r="D6801" s="13"/>
      <c r="E6801" s="14"/>
      <c r="F6801" s="14"/>
      <c r="G6801" s="13"/>
      <c r="H6801" s="14"/>
      <c r="I6801" s="13"/>
      <c r="J6801" s="13"/>
      <c r="K6801" s="13"/>
      <c r="L6801" s="13"/>
      <c r="M6801" s="13"/>
      <c r="N6801" s="13"/>
      <c r="O6801" s="13" t="str">
        <f t="shared" si="1"/>
        <v/>
      </c>
    </row>
    <row r="6802" ht="22.5" customHeight="1">
      <c r="B6802" s="13"/>
      <c r="C6802" s="13"/>
      <c r="D6802" s="13"/>
      <c r="E6802" s="14"/>
      <c r="F6802" s="14"/>
      <c r="G6802" s="13"/>
      <c r="H6802" s="14"/>
      <c r="I6802" s="13"/>
      <c r="J6802" s="13"/>
      <c r="K6802" s="13"/>
      <c r="L6802" s="13"/>
      <c r="M6802" s="13"/>
      <c r="N6802" s="13"/>
      <c r="O6802" s="13" t="str">
        <f t="shared" si="1"/>
        <v/>
      </c>
    </row>
    <row r="6803" ht="22.5" customHeight="1">
      <c r="B6803" s="13"/>
      <c r="C6803" s="13"/>
      <c r="D6803" s="13"/>
      <c r="E6803" s="14"/>
      <c r="F6803" s="14"/>
      <c r="G6803" s="13"/>
      <c r="H6803" s="14"/>
      <c r="I6803" s="13"/>
      <c r="J6803" s="13"/>
      <c r="K6803" s="13"/>
      <c r="L6803" s="13"/>
      <c r="M6803" s="13"/>
      <c r="N6803" s="13"/>
      <c r="O6803" s="13" t="str">
        <f t="shared" si="1"/>
        <v/>
      </c>
    </row>
    <row r="6804" ht="22.5" customHeight="1">
      <c r="B6804" s="13"/>
      <c r="C6804" s="13"/>
      <c r="D6804" s="13"/>
      <c r="E6804" s="14"/>
      <c r="F6804" s="14"/>
      <c r="G6804" s="13"/>
      <c r="H6804" s="14"/>
      <c r="I6804" s="13"/>
      <c r="J6804" s="13"/>
      <c r="K6804" s="13"/>
      <c r="L6804" s="13"/>
      <c r="M6804" s="13"/>
      <c r="N6804" s="13"/>
      <c r="O6804" s="13" t="str">
        <f t="shared" si="1"/>
        <v/>
      </c>
    </row>
    <row r="6805" ht="22.5" customHeight="1">
      <c r="B6805" s="13"/>
      <c r="C6805" s="13"/>
      <c r="D6805" s="13"/>
      <c r="E6805" s="14"/>
      <c r="F6805" s="14"/>
      <c r="G6805" s="13"/>
      <c r="H6805" s="14"/>
      <c r="I6805" s="13"/>
      <c r="J6805" s="13"/>
      <c r="K6805" s="13"/>
      <c r="L6805" s="13"/>
      <c r="M6805" s="13"/>
      <c r="N6805" s="13"/>
      <c r="O6805" s="13" t="str">
        <f t="shared" si="1"/>
        <v/>
      </c>
    </row>
    <row r="6806" ht="22.5" customHeight="1">
      <c r="B6806" s="13"/>
      <c r="C6806" s="13"/>
      <c r="D6806" s="13"/>
      <c r="E6806" s="14"/>
      <c r="F6806" s="14"/>
      <c r="G6806" s="13"/>
      <c r="H6806" s="14"/>
      <c r="I6806" s="13"/>
      <c r="J6806" s="13"/>
      <c r="K6806" s="13"/>
      <c r="L6806" s="13"/>
      <c r="M6806" s="13"/>
      <c r="N6806" s="13"/>
      <c r="O6806" s="13" t="str">
        <f t="shared" si="1"/>
        <v/>
      </c>
    </row>
    <row r="6807" ht="22.5" customHeight="1">
      <c r="B6807" s="13"/>
      <c r="C6807" s="13"/>
      <c r="D6807" s="13"/>
      <c r="E6807" s="14"/>
      <c r="F6807" s="14"/>
      <c r="G6807" s="13"/>
      <c r="H6807" s="14"/>
      <c r="I6807" s="13"/>
      <c r="J6807" s="13"/>
      <c r="K6807" s="13"/>
      <c r="L6807" s="13"/>
      <c r="M6807" s="13"/>
      <c r="N6807" s="13"/>
      <c r="O6807" s="13" t="str">
        <f t="shared" si="1"/>
        <v/>
      </c>
    </row>
    <row r="6808" ht="22.5" customHeight="1">
      <c r="B6808" s="13"/>
      <c r="C6808" s="13"/>
      <c r="D6808" s="13"/>
      <c r="E6808" s="14"/>
      <c r="F6808" s="14"/>
      <c r="G6808" s="13"/>
      <c r="H6808" s="14"/>
      <c r="I6808" s="13"/>
      <c r="J6808" s="13"/>
      <c r="K6808" s="13"/>
      <c r="L6808" s="13"/>
      <c r="M6808" s="13"/>
      <c r="N6808" s="13"/>
      <c r="O6808" s="13" t="str">
        <f t="shared" si="1"/>
        <v/>
      </c>
    </row>
    <row r="6809" ht="22.5" customHeight="1">
      <c r="B6809" s="13"/>
      <c r="C6809" s="13"/>
      <c r="D6809" s="13"/>
      <c r="E6809" s="14"/>
      <c r="F6809" s="14"/>
      <c r="G6809" s="13"/>
      <c r="H6809" s="14"/>
      <c r="I6809" s="13"/>
      <c r="J6809" s="13"/>
      <c r="K6809" s="13"/>
      <c r="L6809" s="13"/>
      <c r="M6809" s="13"/>
      <c r="N6809" s="13"/>
      <c r="O6809" s="13" t="str">
        <f t="shared" si="1"/>
        <v/>
      </c>
    </row>
    <row r="6810" ht="22.5" customHeight="1">
      <c r="B6810" s="13"/>
      <c r="C6810" s="13"/>
      <c r="D6810" s="13"/>
      <c r="E6810" s="14"/>
      <c r="F6810" s="14"/>
      <c r="G6810" s="13"/>
      <c r="H6810" s="14"/>
      <c r="I6810" s="13"/>
      <c r="J6810" s="13"/>
      <c r="K6810" s="13"/>
      <c r="L6810" s="13"/>
      <c r="M6810" s="13"/>
      <c r="N6810" s="13"/>
      <c r="O6810" s="13" t="str">
        <f t="shared" si="1"/>
        <v/>
      </c>
    </row>
    <row r="6811" ht="22.5" customHeight="1">
      <c r="B6811" s="13"/>
      <c r="C6811" s="13"/>
      <c r="D6811" s="13"/>
      <c r="E6811" s="14"/>
      <c r="F6811" s="14"/>
      <c r="G6811" s="13"/>
      <c r="H6811" s="14"/>
      <c r="I6811" s="13"/>
      <c r="J6811" s="13"/>
      <c r="K6811" s="13"/>
      <c r="L6811" s="13"/>
      <c r="M6811" s="13"/>
      <c r="N6811" s="13"/>
      <c r="O6811" s="13" t="str">
        <f t="shared" si="1"/>
        <v/>
      </c>
    </row>
    <row r="6812" ht="22.5" customHeight="1">
      <c r="B6812" s="13"/>
      <c r="C6812" s="13"/>
      <c r="D6812" s="13"/>
      <c r="E6812" s="14"/>
      <c r="F6812" s="14"/>
      <c r="G6812" s="13"/>
      <c r="H6812" s="14"/>
      <c r="I6812" s="13"/>
      <c r="J6812" s="13"/>
      <c r="K6812" s="13"/>
      <c r="L6812" s="13"/>
      <c r="M6812" s="13"/>
      <c r="N6812" s="13"/>
      <c r="O6812" s="13" t="str">
        <f t="shared" si="1"/>
        <v/>
      </c>
    </row>
    <row r="6813" ht="22.5" customHeight="1">
      <c r="B6813" s="13"/>
      <c r="C6813" s="13"/>
      <c r="D6813" s="13"/>
      <c r="E6813" s="14"/>
      <c r="F6813" s="14"/>
      <c r="G6813" s="13"/>
      <c r="H6813" s="14"/>
      <c r="I6813" s="13"/>
      <c r="J6813" s="13"/>
      <c r="K6813" s="13"/>
      <c r="L6813" s="13"/>
      <c r="M6813" s="13"/>
      <c r="N6813" s="13"/>
      <c r="O6813" s="13" t="str">
        <f t="shared" si="1"/>
        <v/>
      </c>
    </row>
    <row r="6814" ht="22.5" customHeight="1">
      <c r="B6814" s="13"/>
      <c r="C6814" s="13"/>
      <c r="D6814" s="13"/>
      <c r="E6814" s="14"/>
      <c r="F6814" s="14"/>
      <c r="G6814" s="13"/>
      <c r="H6814" s="14"/>
      <c r="I6814" s="13"/>
      <c r="J6814" s="13"/>
      <c r="K6814" s="13"/>
      <c r="L6814" s="13"/>
      <c r="M6814" s="13"/>
      <c r="N6814" s="13"/>
      <c r="O6814" s="13" t="str">
        <f t="shared" si="1"/>
        <v/>
      </c>
    </row>
    <row r="6815" ht="22.5" customHeight="1">
      <c r="B6815" s="13"/>
      <c r="C6815" s="13"/>
      <c r="D6815" s="13"/>
      <c r="E6815" s="14"/>
      <c r="F6815" s="14"/>
      <c r="G6815" s="13"/>
      <c r="H6815" s="14"/>
      <c r="I6815" s="13"/>
      <c r="J6815" s="13"/>
      <c r="K6815" s="13"/>
      <c r="L6815" s="13"/>
      <c r="M6815" s="13"/>
      <c r="N6815" s="13"/>
      <c r="O6815" s="13" t="str">
        <f t="shared" si="1"/>
        <v/>
      </c>
    </row>
    <row r="6816" ht="22.5" customHeight="1">
      <c r="B6816" s="13"/>
      <c r="C6816" s="13"/>
      <c r="D6816" s="13"/>
      <c r="E6816" s="14"/>
      <c r="F6816" s="14"/>
      <c r="G6816" s="13"/>
      <c r="H6816" s="14"/>
      <c r="I6816" s="13"/>
      <c r="J6816" s="13"/>
      <c r="K6816" s="13"/>
      <c r="L6816" s="13"/>
      <c r="M6816" s="13"/>
      <c r="N6816" s="13"/>
      <c r="O6816" s="13" t="str">
        <f t="shared" si="1"/>
        <v/>
      </c>
    </row>
    <row r="6817" ht="22.5" customHeight="1">
      <c r="B6817" s="13"/>
      <c r="C6817" s="13"/>
      <c r="D6817" s="13"/>
      <c r="E6817" s="14"/>
      <c r="F6817" s="14"/>
      <c r="G6817" s="13"/>
      <c r="H6817" s="14"/>
      <c r="I6817" s="13"/>
      <c r="J6817" s="13"/>
      <c r="K6817" s="13"/>
      <c r="L6817" s="13"/>
      <c r="M6817" s="13"/>
      <c r="N6817" s="13"/>
      <c r="O6817" s="13" t="str">
        <f t="shared" si="1"/>
        <v/>
      </c>
    </row>
    <row r="6818" ht="22.5" customHeight="1">
      <c r="B6818" s="13"/>
      <c r="C6818" s="13"/>
      <c r="D6818" s="13"/>
      <c r="E6818" s="14"/>
      <c r="F6818" s="14"/>
      <c r="G6818" s="13"/>
      <c r="H6818" s="14"/>
      <c r="I6818" s="13"/>
      <c r="J6818" s="13"/>
      <c r="K6818" s="13"/>
      <c r="L6818" s="13"/>
      <c r="M6818" s="13"/>
      <c r="N6818" s="13"/>
      <c r="O6818" s="13" t="str">
        <f t="shared" si="1"/>
        <v/>
      </c>
    </row>
    <row r="6819" ht="22.5" customHeight="1">
      <c r="B6819" s="13"/>
      <c r="C6819" s="13"/>
      <c r="D6819" s="13"/>
      <c r="E6819" s="14"/>
      <c r="F6819" s="14"/>
      <c r="G6819" s="13"/>
      <c r="H6819" s="14"/>
      <c r="I6819" s="13"/>
      <c r="J6819" s="13"/>
      <c r="K6819" s="13"/>
      <c r="L6819" s="13"/>
      <c r="M6819" s="13"/>
      <c r="N6819" s="13"/>
      <c r="O6819" s="13" t="str">
        <f t="shared" si="1"/>
        <v/>
      </c>
    </row>
    <row r="6820" ht="22.5" customHeight="1">
      <c r="B6820" s="13"/>
      <c r="C6820" s="13"/>
      <c r="D6820" s="13"/>
      <c r="E6820" s="14"/>
      <c r="F6820" s="14"/>
      <c r="G6820" s="13"/>
      <c r="H6820" s="14"/>
      <c r="I6820" s="13"/>
      <c r="J6820" s="13"/>
      <c r="K6820" s="13"/>
      <c r="L6820" s="13"/>
      <c r="M6820" s="13"/>
      <c r="N6820" s="13"/>
      <c r="O6820" s="13" t="str">
        <f t="shared" si="1"/>
        <v/>
      </c>
    </row>
    <row r="6821" ht="22.5" customHeight="1">
      <c r="B6821" s="13"/>
      <c r="C6821" s="13"/>
      <c r="D6821" s="13"/>
      <c r="E6821" s="14"/>
      <c r="F6821" s="14"/>
      <c r="G6821" s="13"/>
      <c r="H6821" s="14"/>
      <c r="I6821" s="13"/>
      <c r="J6821" s="13"/>
      <c r="K6821" s="13"/>
      <c r="L6821" s="13"/>
      <c r="M6821" s="13"/>
      <c r="N6821" s="13"/>
      <c r="O6821" s="13" t="str">
        <f t="shared" si="1"/>
        <v/>
      </c>
    </row>
    <row r="6822" ht="22.5" customHeight="1">
      <c r="B6822" s="13"/>
      <c r="C6822" s="13"/>
      <c r="D6822" s="13"/>
      <c r="E6822" s="14"/>
      <c r="F6822" s="14"/>
      <c r="G6822" s="13"/>
      <c r="H6822" s="14"/>
      <c r="I6822" s="13"/>
      <c r="J6822" s="13"/>
      <c r="K6822" s="13"/>
      <c r="L6822" s="13"/>
      <c r="M6822" s="13"/>
      <c r="N6822" s="13"/>
      <c r="O6822" s="13" t="str">
        <f t="shared" si="1"/>
        <v/>
      </c>
    </row>
    <row r="6823" ht="22.5" customHeight="1">
      <c r="B6823" s="13"/>
      <c r="C6823" s="13"/>
      <c r="D6823" s="13"/>
      <c r="E6823" s="14"/>
      <c r="F6823" s="14"/>
      <c r="G6823" s="13"/>
      <c r="H6823" s="14"/>
      <c r="I6823" s="13"/>
      <c r="J6823" s="13"/>
      <c r="K6823" s="13"/>
      <c r="L6823" s="13"/>
      <c r="M6823" s="13"/>
      <c r="N6823" s="13"/>
      <c r="O6823" s="13" t="str">
        <f t="shared" si="1"/>
        <v/>
      </c>
    </row>
    <row r="6824" ht="22.5" customHeight="1">
      <c r="B6824" s="13"/>
      <c r="C6824" s="13"/>
      <c r="D6824" s="13"/>
      <c r="E6824" s="14"/>
      <c r="F6824" s="14"/>
      <c r="G6824" s="13"/>
      <c r="H6824" s="14"/>
      <c r="I6824" s="13"/>
      <c r="J6824" s="13"/>
      <c r="K6824" s="13"/>
      <c r="L6824" s="13"/>
      <c r="M6824" s="13"/>
      <c r="N6824" s="13"/>
      <c r="O6824" s="13" t="str">
        <f t="shared" si="1"/>
        <v/>
      </c>
    </row>
    <row r="6825" ht="22.5" customHeight="1">
      <c r="B6825" s="13"/>
      <c r="C6825" s="13"/>
      <c r="D6825" s="13"/>
      <c r="E6825" s="14"/>
      <c r="F6825" s="14"/>
      <c r="G6825" s="13"/>
      <c r="H6825" s="14"/>
      <c r="I6825" s="13"/>
      <c r="J6825" s="13"/>
      <c r="K6825" s="13"/>
      <c r="L6825" s="13"/>
      <c r="M6825" s="13"/>
      <c r="N6825" s="13"/>
      <c r="O6825" s="13" t="str">
        <f t="shared" si="1"/>
        <v/>
      </c>
    </row>
    <row r="6826" ht="22.5" customHeight="1">
      <c r="B6826" s="13"/>
      <c r="C6826" s="13"/>
      <c r="D6826" s="13"/>
      <c r="E6826" s="14"/>
      <c r="F6826" s="14"/>
      <c r="G6826" s="13"/>
      <c r="H6826" s="14"/>
      <c r="I6826" s="13"/>
      <c r="J6826" s="13"/>
      <c r="K6826" s="13"/>
      <c r="L6826" s="13"/>
      <c r="M6826" s="13"/>
      <c r="N6826" s="13"/>
      <c r="O6826" s="13" t="str">
        <f t="shared" si="1"/>
        <v/>
      </c>
    </row>
    <row r="6827" ht="22.5" customHeight="1">
      <c r="B6827" s="13"/>
      <c r="C6827" s="13"/>
      <c r="D6827" s="13"/>
      <c r="E6827" s="14"/>
      <c r="F6827" s="14"/>
      <c r="G6827" s="13"/>
      <c r="H6827" s="14"/>
      <c r="I6827" s="13"/>
      <c r="J6827" s="13"/>
      <c r="K6827" s="13"/>
      <c r="L6827" s="13"/>
      <c r="M6827" s="13"/>
      <c r="N6827" s="13"/>
      <c r="O6827" s="13" t="str">
        <f t="shared" si="1"/>
        <v/>
      </c>
    </row>
    <row r="6828" ht="22.5" customHeight="1">
      <c r="B6828" s="13"/>
      <c r="C6828" s="13"/>
      <c r="D6828" s="13"/>
      <c r="E6828" s="14"/>
      <c r="F6828" s="14"/>
      <c r="G6828" s="13"/>
      <c r="H6828" s="14"/>
      <c r="I6828" s="13"/>
      <c r="J6828" s="13"/>
      <c r="K6828" s="13"/>
      <c r="L6828" s="13"/>
      <c r="M6828" s="13"/>
      <c r="N6828" s="13"/>
      <c r="O6828" s="13" t="str">
        <f t="shared" si="1"/>
        <v/>
      </c>
    </row>
    <row r="6829" ht="22.5" customHeight="1">
      <c r="B6829" s="13"/>
      <c r="C6829" s="13"/>
      <c r="D6829" s="13"/>
      <c r="E6829" s="14"/>
      <c r="F6829" s="14"/>
      <c r="G6829" s="13"/>
      <c r="H6829" s="14"/>
      <c r="I6829" s="13"/>
      <c r="J6829" s="13"/>
      <c r="K6829" s="13"/>
      <c r="L6829" s="13"/>
      <c r="M6829" s="13"/>
      <c r="N6829" s="13"/>
      <c r="O6829" s="13" t="str">
        <f t="shared" si="1"/>
        <v/>
      </c>
    </row>
    <row r="6830" ht="22.5" customHeight="1">
      <c r="B6830" s="13"/>
      <c r="C6830" s="13"/>
      <c r="D6830" s="13"/>
      <c r="E6830" s="14"/>
      <c r="F6830" s="14"/>
      <c r="G6830" s="13"/>
      <c r="H6830" s="14"/>
      <c r="I6830" s="13"/>
      <c r="J6830" s="13"/>
      <c r="K6830" s="13"/>
      <c r="L6830" s="13"/>
      <c r="M6830" s="13"/>
      <c r="N6830" s="13"/>
      <c r="O6830" s="13" t="str">
        <f t="shared" si="1"/>
        <v/>
      </c>
    </row>
    <row r="6831" ht="22.5" customHeight="1">
      <c r="B6831" s="13"/>
      <c r="C6831" s="13"/>
      <c r="D6831" s="13"/>
      <c r="E6831" s="14"/>
      <c r="F6831" s="14"/>
      <c r="G6831" s="13"/>
      <c r="H6831" s="14"/>
      <c r="I6831" s="13"/>
      <c r="J6831" s="13"/>
      <c r="K6831" s="13"/>
      <c r="L6831" s="13"/>
      <c r="M6831" s="13"/>
      <c r="N6831" s="13"/>
      <c r="O6831" s="13" t="str">
        <f t="shared" si="1"/>
        <v/>
      </c>
    </row>
    <row r="6832" ht="22.5" customHeight="1">
      <c r="B6832" s="13"/>
      <c r="C6832" s="13"/>
      <c r="D6832" s="13"/>
      <c r="E6832" s="14"/>
      <c r="F6832" s="14"/>
      <c r="G6832" s="13"/>
      <c r="H6832" s="14"/>
      <c r="I6832" s="13"/>
      <c r="J6832" s="13"/>
      <c r="K6832" s="13"/>
      <c r="L6832" s="13"/>
      <c r="M6832" s="13"/>
      <c r="N6832" s="13"/>
      <c r="O6832" s="13" t="str">
        <f t="shared" si="1"/>
        <v/>
      </c>
    </row>
    <row r="6833" ht="22.5" customHeight="1">
      <c r="B6833" s="13"/>
      <c r="C6833" s="13"/>
      <c r="D6833" s="13"/>
      <c r="E6833" s="14"/>
      <c r="F6833" s="14"/>
      <c r="G6833" s="13"/>
      <c r="H6833" s="14"/>
      <c r="I6833" s="13"/>
      <c r="J6833" s="13"/>
      <c r="K6833" s="13"/>
      <c r="L6833" s="13"/>
      <c r="M6833" s="13"/>
      <c r="N6833" s="13"/>
      <c r="O6833" s="13" t="str">
        <f t="shared" si="1"/>
        <v/>
      </c>
    </row>
    <row r="6834" ht="22.5" customHeight="1">
      <c r="B6834" s="13"/>
      <c r="C6834" s="13"/>
      <c r="D6834" s="13"/>
      <c r="E6834" s="14"/>
      <c r="F6834" s="14"/>
      <c r="G6834" s="13"/>
      <c r="H6834" s="14"/>
      <c r="I6834" s="13"/>
      <c r="J6834" s="13"/>
      <c r="K6834" s="13"/>
      <c r="L6834" s="13"/>
      <c r="M6834" s="13"/>
      <c r="N6834" s="13"/>
      <c r="O6834" s="13" t="str">
        <f t="shared" si="1"/>
        <v/>
      </c>
    </row>
    <row r="6835" ht="22.5" customHeight="1">
      <c r="B6835" s="13"/>
      <c r="C6835" s="13"/>
      <c r="D6835" s="13"/>
      <c r="E6835" s="14"/>
      <c r="F6835" s="14"/>
      <c r="G6835" s="13"/>
      <c r="H6835" s="14"/>
      <c r="I6835" s="13"/>
      <c r="J6835" s="13"/>
      <c r="K6835" s="13"/>
      <c r="L6835" s="13"/>
      <c r="M6835" s="13"/>
      <c r="N6835" s="13"/>
      <c r="O6835" s="13" t="str">
        <f t="shared" si="1"/>
        <v/>
      </c>
    </row>
    <row r="6836" ht="22.5" customHeight="1">
      <c r="B6836" s="13"/>
      <c r="C6836" s="13"/>
      <c r="D6836" s="13"/>
      <c r="E6836" s="14"/>
      <c r="F6836" s="14"/>
      <c r="G6836" s="13"/>
      <c r="H6836" s="14"/>
      <c r="I6836" s="13"/>
      <c r="J6836" s="13"/>
      <c r="K6836" s="13"/>
      <c r="L6836" s="13"/>
      <c r="M6836" s="13"/>
      <c r="N6836" s="13"/>
      <c r="O6836" s="13" t="str">
        <f t="shared" si="1"/>
        <v/>
      </c>
    </row>
    <row r="6837" ht="22.5" customHeight="1">
      <c r="B6837" s="13"/>
      <c r="C6837" s="13"/>
      <c r="D6837" s="13"/>
      <c r="E6837" s="14"/>
      <c r="F6837" s="14"/>
      <c r="G6837" s="13"/>
      <c r="H6837" s="14"/>
      <c r="I6837" s="13"/>
      <c r="J6837" s="13"/>
      <c r="K6837" s="13"/>
      <c r="L6837" s="13"/>
      <c r="M6837" s="13"/>
      <c r="N6837" s="13"/>
      <c r="O6837" s="13" t="str">
        <f t="shared" si="1"/>
        <v/>
      </c>
    </row>
    <row r="6838" ht="22.5" customHeight="1">
      <c r="B6838" s="13"/>
      <c r="C6838" s="13"/>
      <c r="D6838" s="13"/>
      <c r="E6838" s="14"/>
      <c r="F6838" s="14"/>
      <c r="G6838" s="13"/>
      <c r="H6838" s="14"/>
      <c r="I6838" s="13"/>
      <c r="J6838" s="13"/>
      <c r="K6838" s="13"/>
      <c r="L6838" s="13"/>
      <c r="M6838" s="13"/>
      <c r="N6838" s="13"/>
      <c r="O6838" s="13" t="str">
        <f t="shared" si="1"/>
        <v/>
      </c>
    </row>
    <row r="6839" ht="22.5" customHeight="1">
      <c r="B6839" s="13"/>
      <c r="C6839" s="13"/>
      <c r="D6839" s="13"/>
      <c r="E6839" s="14"/>
      <c r="F6839" s="14"/>
      <c r="G6839" s="13"/>
      <c r="H6839" s="14"/>
      <c r="I6839" s="13"/>
      <c r="J6839" s="13"/>
      <c r="K6839" s="13"/>
      <c r="L6839" s="13"/>
      <c r="M6839" s="13"/>
      <c r="N6839" s="13"/>
      <c r="O6839" s="13" t="str">
        <f t="shared" si="1"/>
        <v/>
      </c>
    </row>
    <row r="6840" ht="22.5" customHeight="1">
      <c r="B6840" s="13"/>
      <c r="C6840" s="13"/>
      <c r="D6840" s="13"/>
      <c r="E6840" s="14"/>
      <c r="F6840" s="14"/>
      <c r="G6840" s="13"/>
      <c r="H6840" s="14"/>
      <c r="I6840" s="13"/>
      <c r="J6840" s="13"/>
      <c r="K6840" s="13"/>
      <c r="L6840" s="13"/>
      <c r="M6840" s="13"/>
      <c r="N6840" s="13"/>
      <c r="O6840" s="13" t="str">
        <f t="shared" si="1"/>
        <v/>
      </c>
    </row>
    <row r="6841" ht="22.5" customHeight="1">
      <c r="B6841" s="13"/>
      <c r="C6841" s="13"/>
      <c r="D6841" s="13"/>
      <c r="E6841" s="14"/>
      <c r="F6841" s="14"/>
      <c r="G6841" s="13"/>
      <c r="H6841" s="14"/>
      <c r="I6841" s="13"/>
      <c r="J6841" s="13"/>
      <c r="K6841" s="13"/>
      <c r="L6841" s="13"/>
      <c r="M6841" s="13"/>
      <c r="N6841" s="13"/>
      <c r="O6841" s="13" t="str">
        <f t="shared" si="1"/>
        <v/>
      </c>
    </row>
    <row r="6842" ht="22.5" customHeight="1">
      <c r="B6842" s="13"/>
      <c r="C6842" s="13"/>
      <c r="D6842" s="13"/>
      <c r="E6842" s="14"/>
      <c r="F6842" s="14"/>
      <c r="G6842" s="13"/>
      <c r="H6842" s="14"/>
      <c r="I6842" s="13"/>
      <c r="J6842" s="13"/>
      <c r="K6842" s="13"/>
      <c r="L6842" s="13"/>
      <c r="M6842" s="13"/>
      <c r="N6842" s="13"/>
      <c r="O6842" s="13" t="str">
        <f t="shared" si="1"/>
        <v/>
      </c>
    </row>
    <row r="6843" ht="22.5" customHeight="1">
      <c r="B6843" s="13"/>
      <c r="C6843" s="13"/>
      <c r="D6843" s="13"/>
      <c r="E6843" s="14"/>
      <c r="F6843" s="14"/>
      <c r="G6843" s="13"/>
      <c r="H6843" s="14"/>
      <c r="I6843" s="13"/>
      <c r="J6843" s="13"/>
      <c r="K6843" s="13"/>
      <c r="L6843" s="13"/>
      <c r="M6843" s="13"/>
      <c r="N6843" s="13"/>
      <c r="O6843" s="13" t="str">
        <f t="shared" si="1"/>
        <v/>
      </c>
    </row>
    <row r="6844" ht="22.5" customHeight="1">
      <c r="B6844" s="13"/>
      <c r="C6844" s="13"/>
      <c r="D6844" s="13"/>
      <c r="E6844" s="14"/>
      <c r="F6844" s="14"/>
      <c r="G6844" s="13"/>
      <c r="H6844" s="14"/>
      <c r="I6844" s="13"/>
      <c r="J6844" s="13"/>
      <c r="K6844" s="13"/>
      <c r="L6844" s="13"/>
      <c r="M6844" s="13"/>
      <c r="N6844" s="13"/>
      <c r="O6844" s="13" t="str">
        <f t="shared" si="1"/>
        <v/>
      </c>
    </row>
    <row r="6845" ht="22.5" customHeight="1">
      <c r="B6845" s="13"/>
      <c r="C6845" s="13"/>
      <c r="D6845" s="13"/>
      <c r="E6845" s="14"/>
      <c r="F6845" s="14"/>
      <c r="G6845" s="13"/>
      <c r="H6845" s="14"/>
      <c r="I6845" s="13"/>
      <c r="J6845" s="13"/>
      <c r="K6845" s="13"/>
      <c r="L6845" s="13"/>
      <c r="M6845" s="13"/>
      <c r="N6845" s="13"/>
      <c r="O6845" s="13" t="str">
        <f t="shared" si="1"/>
        <v/>
      </c>
    </row>
    <row r="6846" ht="22.5" customHeight="1">
      <c r="B6846" s="13"/>
      <c r="C6846" s="13"/>
      <c r="D6846" s="13"/>
      <c r="E6846" s="14"/>
      <c r="F6846" s="14"/>
      <c r="G6846" s="13"/>
      <c r="H6846" s="14"/>
      <c r="I6846" s="13"/>
      <c r="J6846" s="13"/>
      <c r="K6846" s="13"/>
      <c r="L6846" s="13"/>
      <c r="M6846" s="13"/>
      <c r="N6846" s="13"/>
      <c r="O6846" s="13" t="str">
        <f t="shared" si="1"/>
        <v/>
      </c>
    </row>
    <row r="6847" ht="22.5" customHeight="1">
      <c r="B6847" s="13"/>
      <c r="C6847" s="13"/>
      <c r="D6847" s="13"/>
      <c r="E6847" s="14"/>
      <c r="F6847" s="14"/>
      <c r="G6847" s="13"/>
      <c r="H6847" s="14"/>
      <c r="I6847" s="13"/>
      <c r="J6847" s="13"/>
      <c r="K6847" s="13"/>
      <c r="L6847" s="13"/>
      <c r="M6847" s="13"/>
      <c r="N6847" s="13"/>
      <c r="O6847" s="13" t="str">
        <f t="shared" si="1"/>
        <v/>
      </c>
    </row>
    <row r="6848" ht="22.5" customHeight="1">
      <c r="B6848" s="13"/>
      <c r="C6848" s="13"/>
      <c r="D6848" s="13"/>
      <c r="E6848" s="14"/>
      <c r="F6848" s="14"/>
      <c r="G6848" s="13"/>
      <c r="H6848" s="14"/>
      <c r="I6848" s="13"/>
      <c r="J6848" s="13"/>
      <c r="K6848" s="13"/>
      <c r="L6848" s="13"/>
      <c r="M6848" s="13"/>
      <c r="N6848" s="13"/>
      <c r="O6848" s="13" t="str">
        <f t="shared" si="1"/>
        <v/>
      </c>
    </row>
    <row r="6849" ht="22.5" customHeight="1">
      <c r="B6849" s="13"/>
      <c r="C6849" s="13"/>
      <c r="D6849" s="13"/>
      <c r="E6849" s="14"/>
      <c r="F6849" s="14"/>
      <c r="G6849" s="13"/>
      <c r="H6849" s="14"/>
      <c r="I6849" s="13"/>
      <c r="J6849" s="13"/>
      <c r="K6849" s="13"/>
      <c r="L6849" s="13"/>
      <c r="M6849" s="13"/>
      <c r="N6849" s="13"/>
      <c r="O6849" s="13" t="str">
        <f t="shared" si="1"/>
        <v/>
      </c>
    </row>
    <row r="6850" ht="22.5" customHeight="1">
      <c r="B6850" s="13"/>
      <c r="C6850" s="13"/>
      <c r="D6850" s="13"/>
      <c r="E6850" s="14"/>
      <c r="F6850" s="14"/>
      <c r="G6850" s="13"/>
      <c r="H6850" s="14"/>
      <c r="I6850" s="13"/>
      <c r="J6850" s="13"/>
      <c r="K6850" s="13"/>
      <c r="L6850" s="13"/>
      <c r="M6850" s="13"/>
      <c r="N6850" s="13"/>
      <c r="O6850" s="13" t="str">
        <f t="shared" si="1"/>
        <v/>
      </c>
    </row>
    <row r="6851" ht="22.5" customHeight="1">
      <c r="B6851" s="13"/>
      <c r="C6851" s="13"/>
      <c r="D6851" s="13"/>
      <c r="E6851" s="14"/>
      <c r="F6851" s="14"/>
      <c r="G6851" s="13"/>
      <c r="H6851" s="14"/>
      <c r="I6851" s="13"/>
      <c r="J6851" s="13"/>
      <c r="K6851" s="13"/>
      <c r="L6851" s="13"/>
      <c r="M6851" s="13"/>
      <c r="N6851" s="13"/>
      <c r="O6851" s="13" t="str">
        <f t="shared" si="1"/>
        <v/>
      </c>
    </row>
    <row r="6852" ht="22.5" customHeight="1">
      <c r="B6852" s="13"/>
      <c r="C6852" s="13"/>
      <c r="D6852" s="13"/>
      <c r="E6852" s="14"/>
      <c r="F6852" s="14"/>
      <c r="G6852" s="13"/>
      <c r="H6852" s="14"/>
      <c r="I6852" s="13"/>
      <c r="J6852" s="13"/>
      <c r="K6852" s="13"/>
      <c r="L6852" s="13"/>
      <c r="M6852" s="13"/>
      <c r="N6852" s="13"/>
      <c r="O6852" s="13" t="str">
        <f t="shared" si="1"/>
        <v/>
      </c>
    </row>
    <row r="6853" ht="22.5" customHeight="1">
      <c r="B6853" s="13"/>
      <c r="C6853" s="13"/>
      <c r="D6853" s="13"/>
      <c r="E6853" s="14"/>
      <c r="F6853" s="14"/>
      <c r="G6853" s="13"/>
      <c r="H6853" s="14"/>
      <c r="I6853" s="13"/>
      <c r="J6853" s="13"/>
      <c r="K6853" s="13"/>
      <c r="L6853" s="13"/>
      <c r="M6853" s="13"/>
      <c r="N6853" s="13"/>
      <c r="O6853" s="13" t="str">
        <f t="shared" si="1"/>
        <v/>
      </c>
    </row>
    <row r="6854" ht="22.5" customHeight="1">
      <c r="B6854" s="13"/>
      <c r="C6854" s="13"/>
      <c r="D6854" s="13"/>
      <c r="E6854" s="14"/>
      <c r="F6854" s="14"/>
      <c r="G6854" s="13"/>
      <c r="H6854" s="14"/>
      <c r="I6854" s="13"/>
      <c r="J6854" s="13"/>
      <c r="K6854" s="13"/>
      <c r="L6854" s="13"/>
      <c r="M6854" s="13"/>
      <c r="N6854" s="13"/>
      <c r="O6854" s="13" t="str">
        <f t="shared" si="1"/>
        <v/>
      </c>
    </row>
    <row r="6855" ht="22.5" customHeight="1">
      <c r="B6855" s="13"/>
      <c r="C6855" s="13"/>
      <c r="D6855" s="13"/>
      <c r="E6855" s="14"/>
      <c r="F6855" s="14"/>
      <c r="G6855" s="13"/>
      <c r="H6855" s="14"/>
      <c r="I6855" s="13"/>
      <c r="J6855" s="13"/>
      <c r="K6855" s="13"/>
      <c r="L6855" s="13"/>
      <c r="M6855" s="13"/>
      <c r="N6855" s="13"/>
      <c r="O6855" s="13" t="str">
        <f t="shared" si="1"/>
        <v/>
      </c>
    </row>
    <row r="6856" ht="22.5" customHeight="1">
      <c r="B6856" s="13"/>
      <c r="C6856" s="13"/>
      <c r="D6856" s="13"/>
      <c r="E6856" s="14"/>
      <c r="F6856" s="14"/>
      <c r="G6856" s="13"/>
      <c r="H6856" s="14"/>
      <c r="I6856" s="13"/>
      <c r="J6856" s="13"/>
      <c r="K6856" s="13"/>
      <c r="L6856" s="13"/>
      <c r="M6856" s="13"/>
      <c r="N6856" s="13"/>
      <c r="O6856" s="13" t="str">
        <f t="shared" si="1"/>
        <v/>
      </c>
    </row>
    <row r="6857" ht="22.5" customHeight="1">
      <c r="B6857" s="13"/>
      <c r="C6857" s="13"/>
      <c r="D6857" s="13"/>
      <c r="E6857" s="14"/>
      <c r="F6857" s="14"/>
      <c r="G6857" s="13"/>
      <c r="H6857" s="14"/>
      <c r="I6857" s="13"/>
      <c r="J6857" s="13"/>
      <c r="K6857" s="13"/>
      <c r="L6857" s="13"/>
      <c r="M6857" s="13"/>
      <c r="N6857" s="13"/>
      <c r="O6857" s="13" t="str">
        <f t="shared" si="1"/>
        <v/>
      </c>
    </row>
    <row r="6858" ht="22.5" customHeight="1">
      <c r="B6858" s="13"/>
      <c r="C6858" s="13"/>
      <c r="D6858" s="13"/>
      <c r="E6858" s="14"/>
      <c r="F6858" s="14"/>
      <c r="G6858" s="13"/>
      <c r="H6858" s="14"/>
      <c r="I6858" s="13"/>
      <c r="J6858" s="13"/>
      <c r="K6858" s="13"/>
      <c r="L6858" s="13"/>
      <c r="M6858" s="13"/>
      <c r="N6858" s="13"/>
      <c r="O6858" s="13" t="str">
        <f t="shared" si="1"/>
        <v/>
      </c>
    </row>
    <row r="6859" ht="22.5" customHeight="1">
      <c r="B6859" s="13"/>
      <c r="C6859" s="13"/>
      <c r="D6859" s="13"/>
      <c r="E6859" s="14"/>
      <c r="F6859" s="14"/>
      <c r="G6859" s="13"/>
      <c r="H6859" s="14"/>
      <c r="I6859" s="13"/>
      <c r="J6859" s="13"/>
      <c r="K6859" s="13"/>
      <c r="L6859" s="13"/>
      <c r="M6859" s="13"/>
      <c r="N6859" s="13"/>
      <c r="O6859" s="13" t="str">
        <f t="shared" si="1"/>
        <v/>
      </c>
    </row>
    <row r="6860" ht="22.5" customHeight="1">
      <c r="B6860" s="13"/>
      <c r="C6860" s="13"/>
      <c r="D6860" s="13"/>
      <c r="E6860" s="14"/>
      <c r="F6860" s="14"/>
      <c r="G6860" s="13"/>
      <c r="H6860" s="14"/>
      <c r="I6860" s="13"/>
      <c r="J6860" s="13"/>
      <c r="K6860" s="13"/>
      <c r="L6860" s="13"/>
      <c r="M6860" s="13"/>
      <c r="N6860" s="13"/>
      <c r="O6860" s="13" t="str">
        <f t="shared" si="1"/>
        <v/>
      </c>
    </row>
    <row r="6861" ht="22.5" customHeight="1">
      <c r="B6861" s="13"/>
      <c r="C6861" s="13"/>
      <c r="D6861" s="13"/>
      <c r="E6861" s="14"/>
      <c r="F6861" s="14"/>
      <c r="G6861" s="13"/>
      <c r="H6861" s="14"/>
      <c r="I6861" s="13"/>
      <c r="J6861" s="13"/>
      <c r="K6861" s="13"/>
      <c r="L6861" s="13"/>
      <c r="M6861" s="13"/>
      <c r="N6861" s="13"/>
      <c r="O6861" s="13" t="str">
        <f t="shared" si="1"/>
        <v/>
      </c>
    </row>
    <row r="6862" ht="22.5" customHeight="1">
      <c r="B6862" s="13"/>
      <c r="C6862" s="13"/>
      <c r="D6862" s="13"/>
      <c r="E6862" s="14"/>
      <c r="F6862" s="14"/>
      <c r="G6862" s="13"/>
      <c r="H6862" s="14"/>
      <c r="I6862" s="13"/>
      <c r="J6862" s="13"/>
      <c r="K6862" s="13"/>
      <c r="L6862" s="13"/>
      <c r="M6862" s="13"/>
      <c r="N6862" s="13"/>
      <c r="O6862" s="13" t="str">
        <f t="shared" si="1"/>
        <v/>
      </c>
    </row>
    <row r="6863" ht="22.5" customHeight="1">
      <c r="B6863" s="13"/>
      <c r="C6863" s="13"/>
      <c r="D6863" s="13"/>
      <c r="E6863" s="14"/>
      <c r="F6863" s="14"/>
      <c r="G6863" s="13"/>
      <c r="H6863" s="14"/>
      <c r="I6863" s="13"/>
      <c r="J6863" s="13"/>
      <c r="K6863" s="13"/>
      <c r="L6863" s="13"/>
      <c r="M6863" s="13"/>
      <c r="N6863" s="13"/>
      <c r="O6863" s="13" t="str">
        <f t="shared" si="1"/>
        <v/>
      </c>
    </row>
    <row r="6864" ht="22.5" customHeight="1">
      <c r="B6864" s="13"/>
      <c r="C6864" s="13"/>
      <c r="D6864" s="13"/>
      <c r="E6864" s="14"/>
      <c r="F6864" s="14"/>
      <c r="G6864" s="13"/>
      <c r="H6864" s="14"/>
      <c r="I6864" s="13"/>
      <c r="J6864" s="13"/>
      <c r="K6864" s="13"/>
      <c r="L6864" s="13"/>
      <c r="M6864" s="13"/>
      <c r="N6864" s="13"/>
      <c r="O6864" s="13" t="str">
        <f t="shared" si="1"/>
        <v/>
      </c>
    </row>
    <row r="6865" ht="22.5" customHeight="1">
      <c r="B6865" s="13"/>
      <c r="C6865" s="13"/>
      <c r="D6865" s="13"/>
      <c r="E6865" s="14"/>
      <c r="F6865" s="14"/>
      <c r="G6865" s="13"/>
      <c r="H6865" s="14"/>
      <c r="I6865" s="13"/>
      <c r="J6865" s="13"/>
      <c r="K6865" s="13"/>
      <c r="L6865" s="13"/>
      <c r="M6865" s="13"/>
      <c r="N6865" s="13"/>
      <c r="O6865" s="13" t="str">
        <f t="shared" si="1"/>
        <v/>
      </c>
    </row>
    <row r="6866" ht="22.5" customHeight="1">
      <c r="B6866" s="13"/>
      <c r="C6866" s="13"/>
      <c r="D6866" s="13"/>
      <c r="E6866" s="14"/>
      <c r="F6866" s="14"/>
      <c r="G6866" s="13"/>
      <c r="H6866" s="14"/>
      <c r="I6866" s="13"/>
      <c r="J6866" s="13"/>
      <c r="K6866" s="13"/>
      <c r="L6866" s="13"/>
      <c r="M6866" s="13"/>
      <c r="N6866" s="13"/>
      <c r="O6866" s="13" t="str">
        <f t="shared" si="1"/>
        <v/>
      </c>
    </row>
    <row r="6867" ht="22.5" customHeight="1">
      <c r="B6867" s="13"/>
      <c r="C6867" s="13"/>
      <c r="D6867" s="13"/>
      <c r="E6867" s="14"/>
      <c r="F6867" s="14"/>
      <c r="G6867" s="13"/>
      <c r="H6867" s="14"/>
      <c r="I6867" s="13"/>
      <c r="J6867" s="13"/>
      <c r="K6867" s="13"/>
      <c r="L6867" s="13"/>
      <c r="M6867" s="13"/>
      <c r="N6867" s="13"/>
      <c r="O6867" s="13" t="str">
        <f t="shared" si="1"/>
        <v/>
      </c>
    </row>
    <row r="6868" ht="22.5" customHeight="1">
      <c r="B6868" s="13"/>
      <c r="C6868" s="13"/>
      <c r="D6868" s="13"/>
      <c r="E6868" s="14"/>
      <c r="F6868" s="14"/>
      <c r="G6868" s="13"/>
      <c r="H6868" s="14"/>
      <c r="I6868" s="13"/>
      <c r="J6868" s="13"/>
      <c r="K6868" s="13"/>
      <c r="L6868" s="13"/>
      <c r="M6868" s="13"/>
      <c r="N6868" s="13"/>
      <c r="O6868" s="13" t="str">
        <f t="shared" si="1"/>
        <v/>
      </c>
    </row>
    <row r="6869" ht="22.5" customHeight="1">
      <c r="B6869" s="13"/>
      <c r="C6869" s="13"/>
      <c r="D6869" s="13"/>
      <c r="E6869" s="14"/>
      <c r="F6869" s="14"/>
      <c r="G6869" s="13"/>
      <c r="H6869" s="14"/>
      <c r="I6869" s="13"/>
      <c r="J6869" s="13"/>
      <c r="K6869" s="13"/>
      <c r="L6869" s="13"/>
      <c r="M6869" s="13"/>
      <c r="N6869" s="13"/>
      <c r="O6869" s="13" t="str">
        <f t="shared" si="1"/>
        <v/>
      </c>
    </row>
    <row r="6870" ht="22.5" customHeight="1">
      <c r="B6870" s="13"/>
      <c r="C6870" s="13"/>
      <c r="D6870" s="13"/>
      <c r="E6870" s="14"/>
      <c r="F6870" s="14"/>
      <c r="G6870" s="13"/>
      <c r="H6870" s="14"/>
      <c r="I6870" s="13"/>
      <c r="J6870" s="13"/>
      <c r="K6870" s="13"/>
      <c r="L6870" s="13"/>
      <c r="M6870" s="13"/>
      <c r="N6870" s="13"/>
      <c r="O6870" s="13" t="str">
        <f t="shared" si="1"/>
        <v/>
      </c>
    </row>
    <row r="6871" ht="22.5" customHeight="1">
      <c r="B6871" s="13"/>
      <c r="C6871" s="13"/>
      <c r="D6871" s="13"/>
      <c r="E6871" s="14"/>
      <c r="F6871" s="14"/>
      <c r="G6871" s="13"/>
      <c r="H6871" s="14"/>
      <c r="I6871" s="13"/>
      <c r="J6871" s="13"/>
      <c r="K6871" s="13"/>
      <c r="L6871" s="13"/>
      <c r="M6871" s="13"/>
      <c r="N6871" s="13"/>
      <c r="O6871" s="13" t="str">
        <f t="shared" si="1"/>
        <v/>
      </c>
    </row>
    <row r="6872" ht="22.5" customHeight="1">
      <c r="B6872" s="13"/>
      <c r="C6872" s="13"/>
      <c r="D6872" s="13"/>
      <c r="E6872" s="14"/>
      <c r="F6872" s="14"/>
      <c r="G6872" s="13"/>
      <c r="H6872" s="14"/>
      <c r="I6872" s="13"/>
      <c r="J6872" s="13"/>
      <c r="K6872" s="13"/>
      <c r="L6872" s="13"/>
      <c r="M6872" s="13"/>
      <c r="N6872" s="13"/>
      <c r="O6872" s="13" t="str">
        <f t="shared" si="1"/>
        <v/>
      </c>
    </row>
    <row r="6873" ht="22.5" customHeight="1">
      <c r="B6873" s="13"/>
      <c r="C6873" s="13"/>
      <c r="D6873" s="13"/>
      <c r="E6873" s="14"/>
      <c r="F6873" s="14"/>
      <c r="G6873" s="13"/>
      <c r="H6873" s="14"/>
      <c r="I6873" s="13"/>
      <c r="J6873" s="13"/>
      <c r="K6873" s="13"/>
      <c r="L6873" s="13"/>
      <c r="M6873" s="13"/>
      <c r="N6873" s="13"/>
      <c r="O6873" s="13" t="str">
        <f t="shared" si="1"/>
        <v/>
      </c>
    </row>
    <row r="6874" ht="22.5" customHeight="1">
      <c r="B6874" s="13"/>
      <c r="C6874" s="13"/>
      <c r="D6874" s="13"/>
      <c r="E6874" s="14"/>
      <c r="F6874" s="14"/>
      <c r="G6874" s="13"/>
      <c r="H6874" s="14"/>
      <c r="I6874" s="13"/>
      <c r="J6874" s="13"/>
      <c r="K6874" s="13"/>
      <c r="L6874" s="13"/>
      <c r="M6874" s="13"/>
      <c r="N6874" s="13"/>
      <c r="O6874" s="13" t="str">
        <f t="shared" si="1"/>
        <v/>
      </c>
    </row>
    <row r="6875" ht="22.5" customHeight="1">
      <c r="B6875" s="13"/>
      <c r="C6875" s="13"/>
      <c r="D6875" s="13"/>
      <c r="E6875" s="14"/>
      <c r="F6875" s="14"/>
      <c r="G6875" s="13"/>
      <c r="H6875" s="14"/>
      <c r="I6875" s="13"/>
      <c r="J6875" s="13"/>
      <c r="K6875" s="13"/>
      <c r="L6875" s="13"/>
      <c r="M6875" s="13"/>
      <c r="N6875" s="13"/>
      <c r="O6875" s="13" t="str">
        <f t="shared" si="1"/>
        <v/>
      </c>
    </row>
    <row r="6876" ht="22.5" customHeight="1">
      <c r="B6876" s="13"/>
      <c r="C6876" s="13"/>
      <c r="D6876" s="13"/>
      <c r="E6876" s="14"/>
      <c r="F6876" s="14"/>
      <c r="G6876" s="13"/>
      <c r="H6876" s="14"/>
      <c r="I6876" s="13"/>
      <c r="J6876" s="13"/>
      <c r="K6876" s="13"/>
      <c r="L6876" s="13"/>
      <c r="M6876" s="13"/>
      <c r="N6876" s="13"/>
      <c r="O6876" s="13" t="str">
        <f t="shared" si="1"/>
        <v/>
      </c>
    </row>
    <row r="6877" ht="22.5" customHeight="1">
      <c r="B6877" s="13"/>
      <c r="C6877" s="13"/>
      <c r="D6877" s="13"/>
      <c r="E6877" s="14"/>
      <c r="F6877" s="14"/>
      <c r="G6877" s="13"/>
      <c r="H6877" s="14"/>
      <c r="I6877" s="13"/>
      <c r="J6877" s="13"/>
      <c r="K6877" s="13"/>
      <c r="L6877" s="13"/>
      <c r="M6877" s="13"/>
      <c r="N6877" s="13"/>
      <c r="O6877" s="13" t="str">
        <f t="shared" si="1"/>
        <v/>
      </c>
    </row>
    <row r="6878" ht="22.5" customHeight="1">
      <c r="B6878" s="13"/>
      <c r="C6878" s="13"/>
      <c r="D6878" s="13"/>
      <c r="E6878" s="14"/>
      <c r="F6878" s="14"/>
      <c r="G6878" s="13"/>
      <c r="H6878" s="14"/>
      <c r="I6878" s="13"/>
      <c r="J6878" s="13"/>
      <c r="K6878" s="13"/>
      <c r="L6878" s="13"/>
      <c r="M6878" s="13"/>
      <c r="N6878" s="13"/>
      <c r="O6878" s="13" t="str">
        <f t="shared" si="1"/>
        <v/>
      </c>
    </row>
    <row r="6879" ht="22.5" customHeight="1">
      <c r="B6879" s="13"/>
      <c r="C6879" s="13"/>
      <c r="D6879" s="13"/>
      <c r="E6879" s="14"/>
      <c r="F6879" s="14"/>
      <c r="G6879" s="13"/>
      <c r="H6879" s="14"/>
      <c r="I6879" s="13"/>
      <c r="J6879" s="13"/>
      <c r="K6879" s="13"/>
      <c r="L6879" s="13"/>
      <c r="M6879" s="13"/>
      <c r="N6879" s="13"/>
      <c r="O6879" s="13" t="str">
        <f t="shared" si="1"/>
        <v/>
      </c>
    </row>
    <row r="6880" ht="22.5" customHeight="1">
      <c r="B6880" s="13"/>
      <c r="C6880" s="13"/>
      <c r="D6880" s="13"/>
      <c r="E6880" s="14"/>
      <c r="F6880" s="14"/>
      <c r="G6880" s="13"/>
      <c r="H6880" s="14"/>
      <c r="I6880" s="13"/>
      <c r="J6880" s="13"/>
      <c r="K6880" s="13"/>
      <c r="L6880" s="13"/>
      <c r="M6880" s="13"/>
      <c r="N6880" s="13"/>
      <c r="O6880" s="13" t="str">
        <f t="shared" si="1"/>
        <v/>
      </c>
    </row>
    <row r="6881" ht="22.5" customHeight="1">
      <c r="B6881" s="13"/>
      <c r="C6881" s="13"/>
      <c r="D6881" s="13"/>
      <c r="E6881" s="14"/>
      <c r="F6881" s="14"/>
      <c r="G6881" s="13"/>
      <c r="H6881" s="14"/>
      <c r="I6881" s="13"/>
      <c r="J6881" s="13"/>
      <c r="K6881" s="13"/>
      <c r="L6881" s="13"/>
      <c r="M6881" s="13"/>
      <c r="N6881" s="13"/>
      <c r="O6881" s="13" t="str">
        <f t="shared" si="1"/>
        <v/>
      </c>
    </row>
    <row r="6882" ht="22.5" customHeight="1">
      <c r="B6882" s="13"/>
      <c r="C6882" s="13"/>
      <c r="D6882" s="13"/>
      <c r="E6882" s="14"/>
      <c r="F6882" s="14"/>
      <c r="G6882" s="13"/>
      <c r="H6882" s="14"/>
      <c r="I6882" s="13"/>
      <c r="J6882" s="13"/>
      <c r="K6882" s="13"/>
      <c r="L6882" s="13"/>
      <c r="M6882" s="13"/>
      <c r="N6882" s="13"/>
      <c r="O6882" s="13" t="str">
        <f t="shared" si="1"/>
        <v/>
      </c>
    </row>
    <row r="6883" ht="22.5" customHeight="1">
      <c r="B6883" s="13"/>
      <c r="C6883" s="13"/>
      <c r="D6883" s="13"/>
      <c r="E6883" s="14"/>
      <c r="F6883" s="14"/>
      <c r="G6883" s="13"/>
      <c r="H6883" s="14"/>
      <c r="I6883" s="13"/>
      <c r="J6883" s="13"/>
      <c r="K6883" s="13"/>
      <c r="L6883" s="13"/>
      <c r="M6883" s="13"/>
      <c r="N6883" s="13"/>
      <c r="O6883" s="13" t="str">
        <f t="shared" si="1"/>
        <v/>
      </c>
    </row>
    <row r="6884" ht="22.5" customHeight="1">
      <c r="B6884" s="13"/>
      <c r="C6884" s="13"/>
      <c r="D6884" s="13"/>
      <c r="E6884" s="14"/>
      <c r="F6884" s="14"/>
      <c r="G6884" s="13"/>
      <c r="H6884" s="14"/>
      <c r="I6884" s="13"/>
      <c r="J6884" s="13"/>
      <c r="K6884" s="13"/>
      <c r="L6884" s="13"/>
      <c r="M6884" s="13"/>
      <c r="N6884" s="13"/>
      <c r="O6884" s="13" t="str">
        <f t="shared" si="1"/>
        <v/>
      </c>
    </row>
    <row r="6885" ht="22.5" customHeight="1">
      <c r="B6885" s="13"/>
      <c r="C6885" s="13"/>
      <c r="D6885" s="13"/>
      <c r="E6885" s="14"/>
      <c r="F6885" s="14"/>
      <c r="G6885" s="13"/>
      <c r="H6885" s="14"/>
      <c r="I6885" s="13"/>
      <c r="J6885" s="13"/>
      <c r="K6885" s="13"/>
      <c r="L6885" s="13"/>
      <c r="M6885" s="13"/>
      <c r="N6885" s="13"/>
      <c r="O6885" s="13" t="str">
        <f t="shared" si="1"/>
        <v/>
      </c>
    </row>
    <row r="6886" ht="22.5" customHeight="1">
      <c r="B6886" s="13"/>
      <c r="C6886" s="13"/>
      <c r="D6886" s="13"/>
      <c r="E6886" s="14"/>
      <c r="F6886" s="14"/>
      <c r="G6886" s="13"/>
      <c r="H6886" s="14"/>
      <c r="I6886" s="13"/>
      <c r="J6886" s="13"/>
      <c r="K6886" s="13"/>
      <c r="L6886" s="13"/>
      <c r="M6886" s="13"/>
      <c r="N6886" s="13"/>
      <c r="O6886" s="13" t="str">
        <f t="shared" si="1"/>
        <v/>
      </c>
    </row>
    <row r="6887" ht="22.5" customHeight="1">
      <c r="B6887" s="13"/>
      <c r="C6887" s="13"/>
      <c r="D6887" s="13"/>
      <c r="E6887" s="14"/>
      <c r="F6887" s="14"/>
      <c r="G6887" s="13"/>
      <c r="H6887" s="14"/>
      <c r="I6887" s="13"/>
      <c r="J6887" s="13"/>
      <c r="K6887" s="13"/>
      <c r="L6887" s="13"/>
      <c r="M6887" s="13"/>
      <c r="N6887" s="13"/>
      <c r="O6887" s="13" t="str">
        <f t="shared" si="1"/>
        <v/>
      </c>
    </row>
    <row r="6888" ht="22.5" customHeight="1">
      <c r="B6888" s="13"/>
      <c r="C6888" s="13"/>
      <c r="D6888" s="13"/>
      <c r="E6888" s="14"/>
      <c r="F6888" s="14"/>
      <c r="G6888" s="13"/>
      <c r="H6888" s="14"/>
      <c r="I6888" s="13"/>
      <c r="J6888" s="13"/>
      <c r="K6888" s="13"/>
      <c r="L6888" s="13"/>
      <c r="M6888" s="13"/>
      <c r="N6888" s="13"/>
      <c r="O6888" s="13" t="str">
        <f t="shared" si="1"/>
        <v/>
      </c>
    </row>
    <row r="6889" ht="22.5" customHeight="1">
      <c r="B6889" s="13"/>
      <c r="C6889" s="13"/>
      <c r="D6889" s="13"/>
      <c r="E6889" s="14"/>
      <c r="F6889" s="14"/>
      <c r="G6889" s="13"/>
      <c r="H6889" s="14"/>
      <c r="I6889" s="13"/>
      <c r="J6889" s="13"/>
      <c r="K6889" s="13"/>
      <c r="L6889" s="13"/>
      <c r="M6889" s="13"/>
      <c r="N6889" s="13"/>
      <c r="O6889" s="13" t="str">
        <f t="shared" si="1"/>
        <v/>
      </c>
    </row>
    <row r="6890" ht="22.5" customHeight="1">
      <c r="B6890" s="13"/>
      <c r="C6890" s="13"/>
      <c r="D6890" s="13"/>
      <c r="E6890" s="14"/>
      <c r="F6890" s="14"/>
      <c r="G6890" s="13"/>
      <c r="H6890" s="14"/>
      <c r="I6890" s="13"/>
      <c r="J6890" s="13"/>
      <c r="K6890" s="13"/>
      <c r="L6890" s="13"/>
      <c r="M6890" s="13"/>
      <c r="N6890" s="13"/>
      <c r="O6890" s="13" t="str">
        <f t="shared" si="1"/>
        <v/>
      </c>
    </row>
    <row r="6891" ht="22.5" customHeight="1">
      <c r="B6891" s="13"/>
      <c r="C6891" s="13"/>
      <c r="D6891" s="13"/>
      <c r="E6891" s="14"/>
      <c r="F6891" s="14"/>
      <c r="G6891" s="13"/>
      <c r="H6891" s="14"/>
      <c r="I6891" s="13"/>
      <c r="J6891" s="13"/>
      <c r="K6891" s="13"/>
      <c r="L6891" s="13"/>
      <c r="M6891" s="13"/>
      <c r="N6891" s="13"/>
      <c r="O6891" s="13" t="str">
        <f t="shared" si="1"/>
        <v/>
      </c>
    </row>
    <row r="6892" ht="22.5" customHeight="1">
      <c r="B6892" s="13"/>
      <c r="C6892" s="13"/>
      <c r="D6892" s="13"/>
      <c r="E6892" s="14"/>
      <c r="F6892" s="14"/>
      <c r="G6892" s="13"/>
      <c r="H6892" s="14"/>
      <c r="I6892" s="13"/>
      <c r="J6892" s="13"/>
      <c r="K6892" s="13"/>
      <c r="L6892" s="13"/>
      <c r="M6892" s="13"/>
      <c r="N6892" s="13"/>
      <c r="O6892" s="13" t="str">
        <f t="shared" si="1"/>
        <v/>
      </c>
    </row>
    <row r="6893" ht="22.5" customHeight="1">
      <c r="B6893" s="13"/>
      <c r="C6893" s="13"/>
      <c r="D6893" s="13"/>
      <c r="E6893" s="14"/>
      <c r="F6893" s="14"/>
      <c r="G6893" s="13"/>
      <c r="H6893" s="14"/>
      <c r="I6893" s="13"/>
      <c r="J6893" s="13"/>
      <c r="K6893" s="13"/>
      <c r="L6893" s="13"/>
      <c r="M6893" s="13"/>
      <c r="N6893" s="13"/>
      <c r="O6893" s="13" t="str">
        <f t="shared" si="1"/>
        <v/>
      </c>
    </row>
    <row r="6894" ht="22.5" customHeight="1">
      <c r="B6894" s="13"/>
      <c r="C6894" s="13"/>
      <c r="D6894" s="13"/>
      <c r="E6894" s="14"/>
      <c r="F6894" s="14"/>
      <c r="G6894" s="13"/>
      <c r="H6894" s="14"/>
      <c r="I6894" s="13"/>
      <c r="J6894" s="13"/>
      <c r="K6894" s="13"/>
      <c r="L6894" s="13"/>
      <c r="M6894" s="13"/>
      <c r="N6894" s="13"/>
      <c r="O6894" s="13" t="str">
        <f t="shared" si="1"/>
        <v/>
      </c>
    </row>
    <row r="6895" ht="22.5" customHeight="1">
      <c r="B6895" s="13"/>
      <c r="C6895" s="13"/>
      <c r="D6895" s="13"/>
      <c r="E6895" s="14"/>
      <c r="F6895" s="14"/>
      <c r="G6895" s="13"/>
      <c r="H6895" s="14"/>
      <c r="I6895" s="13"/>
      <c r="J6895" s="13"/>
      <c r="K6895" s="13"/>
      <c r="L6895" s="13"/>
      <c r="M6895" s="13"/>
      <c r="N6895" s="13"/>
      <c r="O6895" s="13" t="str">
        <f t="shared" si="1"/>
        <v/>
      </c>
    </row>
    <row r="6896" ht="22.5" customHeight="1">
      <c r="B6896" s="13"/>
      <c r="C6896" s="13"/>
      <c r="D6896" s="13"/>
      <c r="E6896" s="14"/>
      <c r="F6896" s="14"/>
      <c r="G6896" s="13"/>
      <c r="H6896" s="14"/>
      <c r="I6896" s="13"/>
      <c r="J6896" s="13"/>
      <c r="K6896" s="13"/>
      <c r="L6896" s="13"/>
      <c r="M6896" s="13"/>
      <c r="N6896" s="13"/>
      <c r="O6896" s="13" t="str">
        <f t="shared" si="1"/>
        <v/>
      </c>
    </row>
    <row r="6897" ht="22.5" customHeight="1">
      <c r="B6897" s="13"/>
      <c r="C6897" s="13"/>
      <c r="D6897" s="13"/>
      <c r="E6897" s="14"/>
      <c r="F6897" s="14"/>
      <c r="G6897" s="13"/>
      <c r="H6897" s="14"/>
      <c r="I6897" s="13"/>
      <c r="J6897" s="13"/>
      <c r="K6897" s="13"/>
      <c r="L6897" s="13"/>
      <c r="M6897" s="13"/>
      <c r="N6897" s="13"/>
      <c r="O6897" s="13" t="str">
        <f t="shared" si="1"/>
        <v/>
      </c>
    </row>
    <row r="6898" ht="22.5" customHeight="1">
      <c r="B6898" s="13"/>
      <c r="C6898" s="13"/>
      <c r="D6898" s="13"/>
      <c r="E6898" s="14"/>
      <c r="F6898" s="14"/>
      <c r="G6898" s="13"/>
      <c r="H6898" s="14"/>
      <c r="I6898" s="13"/>
      <c r="J6898" s="13"/>
      <c r="K6898" s="13"/>
      <c r="L6898" s="13"/>
      <c r="M6898" s="13"/>
      <c r="N6898" s="13"/>
      <c r="O6898" s="13" t="str">
        <f t="shared" si="1"/>
        <v/>
      </c>
    </row>
    <row r="6899" ht="22.5" customHeight="1">
      <c r="B6899" s="13"/>
      <c r="C6899" s="13"/>
      <c r="D6899" s="13"/>
      <c r="E6899" s="14"/>
      <c r="F6899" s="14"/>
      <c r="G6899" s="13"/>
      <c r="H6899" s="14"/>
      <c r="I6899" s="13"/>
      <c r="J6899" s="13"/>
      <c r="K6899" s="13"/>
      <c r="L6899" s="13"/>
      <c r="M6899" s="13"/>
      <c r="N6899" s="13"/>
      <c r="O6899" s="13" t="str">
        <f t="shared" si="1"/>
        <v/>
      </c>
    </row>
    <row r="6900" ht="22.5" customHeight="1">
      <c r="B6900" s="13"/>
      <c r="C6900" s="13"/>
      <c r="D6900" s="13"/>
      <c r="E6900" s="14"/>
      <c r="F6900" s="14"/>
      <c r="G6900" s="13"/>
      <c r="H6900" s="14"/>
      <c r="I6900" s="13"/>
      <c r="J6900" s="13"/>
      <c r="K6900" s="13"/>
      <c r="L6900" s="13"/>
      <c r="M6900" s="13"/>
      <c r="N6900" s="13"/>
      <c r="O6900" s="13" t="str">
        <f t="shared" si="1"/>
        <v/>
      </c>
    </row>
    <row r="6901" ht="22.5" customHeight="1">
      <c r="B6901" s="13"/>
      <c r="C6901" s="13"/>
      <c r="D6901" s="13"/>
      <c r="E6901" s="14"/>
      <c r="F6901" s="14"/>
      <c r="G6901" s="13"/>
      <c r="H6901" s="14"/>
      <c r="I6901" s="13"/>
      <c r="J6901" s="13"/>
      <c r="K6901" s="13"/>
      <c r="L6901" s="13"/>
      <c r="M6901" s="13"/>
      <c r="N6901" s="13"/>
      <c r="O6901" s="13" t="str">
        <f t="shared" si="1"/>
        <v/>
      </c>
    </row>
    <row r="6902" ht="22.5" customHeight="1">
      <c r="B6902" s="13"/>
      <c r="C6902" s="13"/>
      <c r="D6902" s="13"/>
      <c r="E6902" s="14"/>
      <c r="F6902" s="14"/>
      <c r="G6902" s="13"/>
      <c r="H6902" s="14"/>
      <c r="I6902" s="13"/>
      <c r="J6902" s="13"/>
      <c r="K6902" s="13"/>
      <c r="L6902" s="13"/>
      <c r="M6902" s="13"/>
      <c r="N6902" s="13"/>
      <c r="O6902" s="13" t="str">
        <f t="shared" si="1"/>
        <v/>
      </c>
    </row>
    <row r="6903" ht="22.5" customHeight="1">
      <c r="B6903" s="13"/>
      <c r="C6903" s="13"/>
      <c r="D6903" s="13"/>
      <c r="E6903" s="14"/>
      <c r="F6903" s="14"/>
      <c r="G6903" s="13"/>
      <c r="H6903" s="14"/>
      <c r="I6903" s="13"/>
      <c r="J6903" s="13"/>
      <c r="K6903" s="13"/>
      <c r="L6903" s="13"/>
      <c r="M6903" s="13"/>
      <c r="N6903" s="13"/>
      <c r="O6903" s="13" t="str">
        <f t="shared" si="1"/>
        <v/>
      </c>
    </row>
    <row r="6904" ht="22.5" customHeight="1">
      <c r="B6904" s="13"/>
      <c r="C6904" s="13"/>
      <c r="D6904" s="13"/>
      <c r="E6904" s="14"/>
      <c r="F6904" s="14"/>
      <c r="G6904" s="13"/>
      <c r="H6904" s="14"/>
      <c r="I6904" s="13"/>
      <c r="J6904" s="13"/>
      <c r="K6904" s="13"/>
      <c r="L6904" s="13"/>
      <c r="M6904" s="13"/>
      <c r="N6904" s="13"/>
      <c r="O6904" s="13" t="str">
        <f t="shared" si="1"/>
        <v/>
      </c>
    </row>
    <row r="6905" ht="22.5" customHeight="1">
      <c r="B6905" s="13"/>
      <c r="C6905" s="13"/>
      <c r="D6905" s="13"/>
      <c r="E6905" s="14"/>
      <c r="F6905" s="14"/>
      <c r="G6905" s="13"/>
      <c r="H6905" s="14"/>
      <c r="I6905" s="13"/>
      <c r="J6905" s="13"/>
      <c r="K6905" s="13"/>
      <c r="L6905" s="13"/>
      <c r="M6905" s="13"/>
      <c r="N6905" s="13"/>
      <c r="O6905" s="13" t="str">
        <f t="shared" si="1"/>
        <v/>
      </c>
    </row>
    <row r="6906" ht="22.5" customHeight="1">
      <c r="B6906" s="13"/>
      <c r="C6906" s="13"/>
      <c r="D6906" s="13"/>
      <c r="E6906" s="14"/>
      <c r="F6906" s="14"/>
      <c r="G6906" s="13"/>
      <c r="H6906" s="14"/>
      <c r="I6906" s="13"/>
      <c r="J6906" s="13"/>
      <c r="K6906" s="13"/>
      <c r="L6906" s="13"/>
      <c r="M6906" s="13"/>
      <c r="N6906" s="13"/>
      <c r="O6906" s="13" t="str">
        <f t="shared" si="1"/>
        <v/>
      </c>
    </row>
    <row r="6907" ht="22.5" customHeight="1">
      <c r="B6907" s="13"/>
      <c r="C6907" s="13"/>
      <c r="D6907" s="13"/>
      <c r="E6907" s="14"/>
      <c r="F6907" s="14"/>
      <c r="G6907" s="13"/>
      <c r="H6907" s="14"/>
      <c r="I6907" s="13"/>
      <c r="J6907" s="13"/>
      <c r="K6907" s="13"/>
      <c r="L6907" s="13"/>
      <c r="M6907" s="13"/>
      <c r="N6907" s="13"/>
      <c r="O6907" s="13" t="str">
        <f t="shared" si="1"/>
        <v/>
      </c>
    </row>
    <row r="6908" ht="22.5" customHeight="1">
      <c r="B6908" s="13"/>
      <c r="C6908" s="13"/>
      <c r="D6908" s="13"/>
      <c r="E6908" s="14"/>
      <c r="F6908" s="14"/>
      <c r="G6908" s="13"/>
      <c r="H6908" s="14"/>
      <c r="I6908" s="13"/>
      <c r="J6908" s="13"/>
      <c r="K6908" s="13"/>
      <c r="L6908" s="13"/>
      <c r="M6908" s="13"/>
      <c r="N6908" s="13"/>
      <c r="O6908" s="13" t="str">
        <f t="shared" si="1"/>
        <v/>
      </c>
    </row>
    <row r="6909" ht="22.5" customHeight="1">
      <c r="B6909" s="13"/>
      <c r="C6909" s="13"/>
      <c r="D6909" s="13"/>
      <c r="E6909" s="14"/>
      <c r="F6909" s="14"/>
      <c r="G6909" s="13"/>
      <c r="H6909" s="14"/>
      <c r="I6909" s="13"/>
      <c r="J6909" s="13"/>
      <c r="K6909" s="13"/>
      <c r="L6909" s="13"/>
      <c r="M6909" s="13"/>
      <c r="N6909" s="13"/>
      <c r="O6909" s="13" t="str">
        <f t="shared" si="1"/>
        <v/>
      </c>
    </row>
    <row r="6910" ht="22.5" customHeight="1">
      <c r="B6910" s="13"/>
      <c r="C6910" s="13"/>
      <c r="D6910" s="13"/>
      <c r="E6910" s="14"/>
      <c r="F6910" s="14"/>
      <c r="G6910" s="13"/>
      <c r="H6910" s="14"/>
      <c r="I6910" s="13"/>
      <c r="J6910" s="13"/>
      <c r="K6910" s="13"/>
      <c r="L6910" s="13"/>
      <c r="M6910" s="13"/>
      <c r="N6910" s="13"/>
      <c r="O6910" s="13" t="str">
        <f t="shared" si="1"/>
        <v/>
      </c>
    </row>
    <row r="6911" ht="22.5" customHeight="1">
      <c r="B6911" s="13"/>
      <c r="C6911" s="13"/>
      <c r="D6911" s="13"/>
      <c r="E6911" s="14"/>
      <c r="F6911" s="14"/>
      <c r="G6911" s="13"/>
      <c r="H6911" s="14"/>
      <c r="I6911" s="13"/>
      <c r="J6911" s="13"/>
      <c r="K6911" s="13"/>
      <c r="L6911" s="13"/>
      <c r="M6911" s="13"/>
      <c r="N6911" s="13"/>
      <c r="O6911" s="13" t="str">
        <f t="shared" si="1"/>
        <v/>
      </c>
    </row>
    <row r="6912" ht="22.5" customHeight="1">
      <c r="B6912" s="13"/>
      <c r="C6912" s="13"/>
      <c r="D6912" s="13"/>
      <c r="E6912" s="14"/>
      <c r="F6912" s="14"/>
      <c r="G6912" s="13"/>
      <c r="H6912" s="14"/>
      <c r="I6912" s="13"/>
      <c r="J6912" s="13"/>
      <c r="K6912" s="13"/>
      <c r="L6912" s="13"/>
      <c r="M6912" s="13"/>
      <c r="N6912" s="13"/>
      <c r="O6912" s="13" t="str">
        <f t="shared" si="1"/>
        <v/>
      </c>
    </row>
    <row r="6913" ht="22.5" customHeight="1">
      <c r="B6913" s="13"/>
      <c r="C6913" s="13"/>
      <c r="D6913" s="13"/>
      <c r="E6913" s="14"/>
      <c r="F6913" s="14"/>
      <c r="G6913" s="13"/>
      <c r="H6913" s="14"/>
      <c r="I6913" s="13"/>
      <c r="J6913" s="13"/>
      <c r="K6913" s="13"/>
      <c r="L6913" s="13"/>
      <c r="M6913" s="13"/>
      <c r="N6913" s="13"/>
      <c r="O6913" s="13" t="str">
        <f t="shared" si="1"/>
        <v/>
      </c>
    </row>
    <row r="6914" ht="22.5" customHeight="1">
      <c r="B6914" s="13"/>
      <c r="C6914" s="13"/>
      <c r="D6914" s="13"/>
      <c r="E6914" s="14"/>
      <c r="F6914" s="14"/>
      <c r="G6914" s="13"/>
      <c r="H6914" s="14"/>
      <c r="I6914" s="13"/>
      <c r="J6914" s="13"/>
      <c r="K6914" s="13"/>
      <c r="L6914" s="13"/>
      <c r="M6914" s="13"/>
      <c r="N6914" s="13"/>
      <c r="O6914" s="13" t="str">
        <f t="shared" si="1"/>
        <v/>
      </c>
    </row>
    <row r="6915" ht="22.5" customHeight="1">
      <c r="B6915" s="13"/>
      <c r="C6915" s="13"/>
      <c r="D6915" s="13"/>
      <c r="E6915" s="14"/>
      <c r="F6915" s="14"/>
      <c r="G6915" s="13"/>
      <c r="H6915" s="14"/>
      <c r="I6915" s="13"/>
      <c r="J6915" s="13"/>
      <c r="K6915" s="13"/>
      <c r="L6915" s="13"/>
      <c r="M6915" s="13"/>
      <c r="N6915" s="13"/>
      <c r="O6915" s="13" t="str">
        <f t="shared" si="1"/>
        <v/>
      </c>
    </row>
    <row r="6916" ht="22.5" customHeight="1">
      <c r="B6916" s="13"/>
      <c r="C6916" s="13"/>
      <c r="D6916" s="13"/>
      <c r="E6916" s="14"/>
      <c r="F6916" s="14"/>
      <c r="G6916" s="13"/>
      <c r="H6916" s="14"/>
      <c r="I6916" s="13"/>
      <c r="J6916" s="13"/>
      <c r="K6916" s="13"/>
      <c r="L6916" s="13"/>
      <c r="M6916" s="13"/>
      <c r="N6916" s="13"/>
      <c r="O6916" s="13" t="str">
        <f t="shared" si="1"/>
        <v/>
      </c>
    </row>
    <row r="6917" ht="22.5" customHeight="1">
      <c r="B6917" s="13"/>
      <c r="C6917" s="13"/>
      <c r="D6917" s="13"/>
      <c r="E6917" s="14"/>
      <c r="F6917" s="14"/>
      <c r="G6917" s="13"/>
      <c r="H6917" s="14"/>
      <c r="I6917" s="13"/>
      <c r="J6917" s="13"/>
      <c r="K6917" s="13"/>
      <c r="L6917" s="13"/>
      <c r="M6917" s="13"/>
      <c r="N6917" s="13"/>
      <c r="O6917" s="13" t="str">
        <f t="shared" si="1"/>
        <v/>
      </c>
    </row>
    <row r="6918" ht="22.5" customHeight="1">
      <c r="B6918" s="13"/>
      <c r="C6918" s="13"/>
      <c r="D6918" s="13"/>
      <c r="E6918" s="14"/>
      <c r="F6918" s="14"/>
      <c r="G6918" s="13"/>
      <c r="H6918" s="14"/>
      <c r="I6918" s="13"/>
      <c r="J6918" s="13"/>
      <c r="K6918" s="13"/>
      <c r="L6918" s="13"/>
      <c r="M6918" s="13"/>
      <c r="N6918" s="13"/>
      <c r="O6918" s="13" t="str">
        <f t="shared" si="1"/>
        <v/>
      </c>
    </row>
    <row r="6919" ht="22.5" customHeight="1">
      <c r="B6919" s="13"/>
      <c r="C6919" s="13"/>
      <c r="D6919" s="13"/>
      <c r="E6919" s="14"/>
      <c r="F6919" s="14"/>
      <c r="G6919" s="13"/>
      <c r="H6919" s="14"/>
      <c r="I6919" s="13"/>
      <c r="J6919" s="13"/>
      <c r="K6919" s="13"/>
      <c r="L6919" s="13"/>
      <c r="M6919" s="13"/>
      <c r="N6919" s="13"/>
      <c r="O6919" s="13" t="str">
        <f t="shared" si="1"/>
        <v/>
      </c>
    </row>
    <row r="6920" ht="22.5" customHeight="1">
      <c r="B6920" s="13"/>
      <c r="C6920" s="13"/>
      <c r="D6920" s="13"/>
      <c r="E6920" s="14"/>
      <c r="F6920" s="14"/>
      <c r="G6920" s="13"/>
      <c r="H6920" s="14"/>
      <c r="I6920" s="13"/>
      <c r="J6920" s="13"/>
      <c r="K6920" s="13"/>
      <c r="L6920" s="13"/>
      <c r="M6920" s="13"/>
      <c r="N6920" s="13"/>
      <c r="O6920" s="13" t="str">
        <f t="shared" si="1"/>
        <v/>
      </c>
    </row>
    <row r="6921" ht="22.5" customHeight="1">
      <c r="B6921" s="13"/>
      <c r="C6921" s="13"/>
      <c r="D6921" s="13"/>
      <c r="E6921" s="14"/>
      <c r="F6921" s="14"/>
      <c r="G6921" s="13"/>
      <c r="H6921" s="14"/>
      <c r="I6921" s="13"/>
      <c r="J6921" s="13"/>
      <c r="K6921" s="13"/>
      <c r="L6921" s="13"/>
      <c r="M6921" s="13"/>
      <c r="N6921" s="13"/>
      <c r="O6921" s="13" t="str">
        <f t="shared" si="1"/>
        <v/>
      </c>
    </row>
    <row r="6922" ht="22.5" customHeight="1">
      <c r="B6922" s="13"/>
      <c r="C6922" s="13"/>
      <c r="D6922" s="13"/>
      <c r="E6922" s="14"/>
      <c r="F6922" s="14"/>
      <c r="G6922" s="13"/>
      <c r="H6922" s="14"/>
      <c r="I6922" s="13"/>
      <c r="J6922" s="13"/>
      <c r="K6922" s="13"/>
      <c r="L6922" s="13"/>
      <c r="M6922" s="13"/>
      <c r="N6922" s="13"/>
      <c r="O6922" s="13" t="str">
        <f t="shared" si="1"/>
        <v/>
      </c>
    </row>
    <row r="6923" ht="22.5" customHeight="1">
      <c r="B6923" s="13"/>
      <c r="C6923" s="13"/>
      <c r="D6923" s="13"/>
      <c r="E6923" s="14"/>
      <c r="F6923" s="14"/>
      <c r="G6923" s="13"/>
      <c r="H6923" s="14"/>
      <c r="I6923" s="13"/>
      <c r="J6923" s="13"/>
      <c r="K6923" s="13"/>
      <c r="L6923" s="13"/>
      <c r="M6923" s="13"/>
      <c r="N6923" s="13"/>
      <c r="O6923" s="13" t="str">
        <f t="shared" si="1"/>
        <v/>
      </c>
    </row>
    <row r="6924" ht="22.5" customHeight="1">
      <c r="B6924" s="13"/>
      <c r="C6924" s="13"/>
      <c r="D6924" s="13"/>
      <c r="E6924" s="14"/>
      <c r="F6924" s="14"/>
      <c r="G6924" s="13"/>
      <c r="H6924" s="14"/>
      <c r="I6924" s="13"/>
      <c r="J6924" s="13"/>
      <c r="K6924" s="13"/>
      <c r="L6924" s="13"/>
      <c r="M6924" s="13"/>
      <c r="N6924" s="13"/>
      <c r="O6924" s="13" t="str">
        <f t="shared" si="1"/>
        <v/>
      </c>
    </row>
    <row r="6925" ht="22.5" customHeight="1">
      <c r="B6925" s="13"/>
      <c r="C6925" s="13"/>
      <c r="D6925" s="13"/>
      <c r="E6925" s="14"/>
      <c r="F6925" s="14"/>
      <c r="G6925" s="13"/>
      <c r="H6925" s="14"/>
      <c r="I6925" s="13"/>
      <c r="J6925" s="13"/>
      <c r="K6925" s="13"/>
      <c r="L6925" s="13"/>
      <c r="M6925" s="13"/>
      <c r="N6925" s="13"/>
      <c r="O6925" s="13" t="str">
        <f t="shared" si="1"/>
        <v/>
      </c>
    </row>
    <row r="6926" ht="22.5" customHeight="1">
      <c r="B6926" s="13"/>
      <c r="C6926" s="13"/>
      <c r="D6926" s="13"/>
      <c r="E6926" s="14"/>
      <c r="F6926" s="14"/>
      <c r="G6926" s="13"/>
      <c r="H6926" s="14"/>
      <c r="I6926" s="13"/>
      <c r="J6926" s="13"/>
      <c r="K6926" s="13"/>
      <c r="L6926" s="13"/>
      <c r="M6926" s="13"/>
      <c r="N6926" s="13"/>
      <c r="O6926" s="13" t="str">
        <f t="shared" si="1"/>
        <v/>
      </c>
    </row>
    <row r="6927" ht="22.5" customHeight="1">
      <c r="B6927" s="13"/>
      <c r="C6927" s="13"/>
      <c r="D6927" s="13"/>
      <c r="E6927" s="14"/>
      <c r="F6927" s="14"/>
      <c r="G6927" s="13"/>
      <c r="H6927" s="14"/>
      <c r="I6927" s="13"/>
      <c r="J6927" s="13"/>
      <c r="K6927" s="13"/>
      <c r="L6927" s="13"/>
      <c r="M6927" s="13"/>
      <c r="N6927" s="13"/>
      <c r="O6927" s="13" t="str">
        <f t="shared" si="1"/>
        <v/>
      </c>
    </row>
    <row r="6928" ht="22.5" customHeight="1">
      <c r="B6928" s="13"/>
      <c r="C6928" s="13"/>
      <c r="D6928" s="13"/>
      <c r="E6928" s="14"/>
      <c r="F6928" s="14"/>
      <c r="G6928" s="13"/>
      <c r="H6928" s="14"/>
      <c r="I6928" s="13"/>
      <c r="J6928" s="13"/>
      <c r="K6928" s="13"/>
      <c r="L6928" s="13"/>
      <c r="M6928" s="13"/>
      <c r="N6928" s="13"/>
      <c r="O6928" s="13" t="str">
        <f t="shared" si="1"/>
        <v/>
      </c>
    </row>
    <row r="6929" ht="22.5" customHeight="1">
      <c r="B6929" s="13"/>
      <c r="C6929" s="13"/>
      <c r="D6929" s="13"/>
      <c r="E6929" s="14"/>
      <c r="F6929" s="14"/>
      <c r="G6929" s="13"/>
      <c r="H6929" s="14"/>
      <c r="I6929" s="13"/>
      <c r="J6929" s="13"/>
      <c r="K6929" s="13"/>
      <c r="L6929" s="13"/>
      <c r="M6929" s="13"/>
      <c r="N6929" s="13"/>
      <c r="O6929" s="13" t="str">
        <f t="shared" si="1"/>
        <v/>
      </c>
    </row>
    <row r="6930" ht="22.5" customHeight="1">
      <c r="B6930" s="13"/>
      <c r="C6930" s="13"/>
      <c r="D6930" s="13"/>
      <c r="E6930" s="14"/>
      <c r="F6930" s="14"/>
      <c r="G6930" s="13"/>
      <c r="H6930" s="14"/>
      <c r="I6930" s="13"/>
      <c r="J6930" s="13"/>
      <c r="K6930" s="13"/>
      <c r="L6930" s="13"/>
      <c r="M6930" s="13"/>
      <c r="N6930" s="13"/>
      <c r="O6930" s="13" t="str">
        <f t="shared" si="1"/>
        <v/>
      </c>
    </row>
    <row r="6931" ht="22.5" customHeight="1">
      <c r="B6931" s="13"/>
      <c r="C6931" s="13"/>
      <c r="D6931" s="13"/>
      <c r="E6931" s="14"/>
      <c r="F6931" s="14"/>
      <c r="G6931" s="13"/>
      <c r="H6931" s="14"/>
      <c r="I6931" s="13"/>
      <c r="J6931" s="13"/>
      <c r="K6931" s="13"/>
      <c r="L6931" s="13"/>
      <c r="M6931" s="13"/>
      <c r="N6931" s="13"/>
      <c r="O6931" s="13" t="str">
        <f t="shared" si="1"/>
        <v/>
      </c>
    </row>
    <row r="6932" ht="22.5" customHeight="1">
      <c r="B6932" s="13"/>
      <c r="C6932" s="13"/>
      <c r="D6932" s="13"/>
      <c r="E6932" s="14"/>
      <c r="F6932" s="14"/>
      <c r="G6932" s="13"/>
      <c r="H6932" s="14"/>
      <c r="I6932" s="13"/>
      <c r="J6932" s="13"/>
      <c r="K6932" s="13"/>
      <c r="L6932" s="13"/>
      <c r="M6932" s="13"/>
      <c r="N6932" s="13"/>
      <c r="O6932" s="13" t="str">
        <f t="shared" si="1"/>
        <v/>
      </c>
    </row>
    <row r="6933" ht="22.5" customHeight="1">
      <c r="B6933" s="13"/>
      <c r="C6933" s="13"/>
      <c r="D6933" s="13"/>
      <c r="E6933" s="14"/>
      <c r="F6933" s="14"/>
      <c r="G6933" s="13"/>
      <c r="H6933" s="14"/>
      <c r="I6933" s="13"/>
      <c r="J6933" s="13"/>
      <c r="K6933" s="13"/>
      <c r="L6933" s="13"/>
      <c r="M6933" s="13"/>
      <c r="N6933" s="13"/>
      <c r="O6933" s="13" t="str">
        <f t="shared" si="1"/>
        <v/>
      </c>
    </row>
    <row r="6934" ht="22.5" customHeight="1">
      <c r="B6934" s="13"/>
      <c r="C6934" s="13"/>
      <c r="D6934" s="13"/>
      <c r="E6934" s="14"/>
      <c r="F6934" s="14"/>
      <c r="G6934" s="13"/>
      <c r="H6934" s="14"/>
      <c r="I6934" s="13"/>
      <c r="J6934" s="13"/>
      <c r="K6934" s="13"/>
      <c r="L6934" s="13"/>
      <c r="M6934" s="13"/>
      <c r="N6934" s="13"/>
      <c r="O6934" s="13" t="str">
        <f t="shared" si="1"/>
        <v/>
      </c>
    </row>
    <row r="6935" ht="22.5" customHeight="1">
      <c r="B6935" s="13"/>
      <c r="C6935" s="13"/>
      <c r="D6935" s="13"/>
      <c r="E6935" s="14"/>
      <c r="F6935" s="14"/>
      <c r="G6935" s="13"/>
      <c r="H6935" s="14"/>
      <c r="I6935" s="13"/>
      <c r="J6935" s="13"/>
      <c r="K6935" s="13"/>
      <c r="L6935" s="13"/>
      <c r="M6935" s="13"/>
      <c r="N6935" s="13"/>
      <c r="O6935" s="13" t="str">
        <f t="shared" si="1"/>
        <v/>
      </c>
    </row>
    <row r="6936" ht="22.5" customHeight="1">
      <c r="B6936" s="13"/>
      <c r="C6936" s="13"/>
      <c r="D6936" s="13"/>
      <c r="E6936" s="14"/>
      <c r="F6936" s="14"/>
      <c r="G6936" s="13"/>
      <c r="H6936" s="14"/>
      <c r="I6936" s="13"/>
      <c r="J6936" s="13"/>
      <c r="K6936" s="13"/>
      <c r="L6936" s="13"/>
      <c r="M6936" s="13"/>
      <c r="N6936" s="13"/>
      <c r="O6936" s="13" t="str">
        <f t="shared" si="1"/>
        <v/>
      </c>
    </row>
    <row r="6937" ht="22.5" customHeight="1">
      <c r="B6937" s="13"/>
      <c r="C6937" s="13"/>
      <c r="D6937" s="13"/>
      <c r="E6937" s="14"/>
      <c r="F6937" s="14"/>
      <c r="G6937" s="13"/>
      <c r="H6937" s="14"/>
      <c r="I6937" s="13"/>
      <c r="J6937" s="13"/>
      <c r="K6937" s="13"/>
      <c r="L6937" s="13"/>
      <c r="M6937" s="13"/>
      <c r="N6937" s="13"/>
      <c r="O6937" s="13" t="str">
        <f t="shared" si="1"/>
        <v/>
      </c>
    </row>
    <row r="6938" ht="22.5" customHeight="1">
      <c r="B6938" s="13"/>
      <c r="C6938" s="13"/>
      <c r="D6938" s="13"/>
      <c r="E6938" s="14"/>
      <c r="F6938" s="14"/>
      <c r="G6938" s="13"/>
      <c r="H6938" s="14"/>
      <c r="I6938" s="13"/>
      <c r="J6938" s="13"/>
      <c r="K6938" s="13"/>
      <c r="L6938" s="13"/>
      <c r="M6938" s="13"/>
      <c r="N6938" s="13"/>
      <c r="O6938" s="13" t="str">
        <f t="shared" si="1"/>
        <v/>
      </c>
    </row>
    <row r="6939" ht="22.5" customHeight="1">
      <c r="B6939" s="13"/>
      <c r="C6939" s="13"/>
      <c r="D6939" s="13"/>
      <c r="E6939" s="14"/>
      <c r="F6939" s="14"/>
      <c r="G6939" s="13"/>
      <c r="H6939" s="14"/>
      <c r="I6939" s="13"/>
      <c r="J6939" s="13"/>
      <c r="K6939" s="13"/>
      <c r="L6939" s="13"/>
      <c r="M6939" s="13"/>
      <c r="N6939" s="13"/>
      <c r="O6939" s="13" t="str">
        <f t="shared" si="1"/>
        <v/>
      </c>
    </row>
    <row r="6940" ht="22.5" customHeight="1">
      <c r="B6940" s="13"/>
      <c r="C6940" s="13"/>
      <c r="D6940" s="13"/>
      <c r="E6940" s="14"/>
      <c r="F6940" s="14"/>
      <c r="G6940" s="13"/>
      <c r="H6940" s="14"/>
      <c r="I6940" s="13"/>
      <c r="J6940" s="13"/>
      <c r="K6940" s="13"/>
      <c r="L6940" s="13"/>
      <c r="M6940" s="13"/>
      <c r="N6940" s="13"/>
      <c r="O6940" s="13" t="str">
        <f t="shared" si="1"/>
        <v/>
      </c>
    </row>
    <row r="6941" ht="22.5" customHeight="1">
      <c r="B6941" s="13"/>
      <c r="C6941" s="13"/>
      <c r="D6941" s="13"/>
      <c r="E6941" s="14"/>
      <c r="F6941" s="14"/>
      <c r="G6941" s="13"/>
      <c r="H6941" s="14"/>
      <c r="I6941" s="13"/>
      <c r="J6941" s="13"/>
      <c r="K6941" s="13"/>
      <c r="L6941" s="13"/>
      <c r="M6941" s="13"/>
      <c r="N6941" s="13"/>
      <c r="O6941" s="13" t="str">
        <f t="shared" si="1"/>
        <v/>
      </c>
    </row>
    <row r="6942" ht="22.5" customHeight="1">
      <c r="B6942" s="13"/>
      <c r="C6942" s="13"/>
      <c r="D6942" s="13"/>
      <c r="E6942" s="14"/>
      <c r="F6942" s="14"/>
      <c r="G6942" s="13"/>
      <c r="H6942" s="14"/>
      <c r="I6942" s="13"/>
      <c r="J6942" s="13"/>
      <c r="K6942" s="13"/>
      <c r="L6942" s="13"/>
      <c r="M6942" s="13"/>
      <c r="N6942" s="13"/>
      <c r="O6942" s="13" t="str">
        <f t="shared" si="1"/>
        <v/>
      </c>
    </row>
    <row r="6943" ht="22.5" customHeight="1">
      <c r="B6943" s="13"/>
      <c r="C6943" s="13"/>
      <c r="D6943" s="13"/>
      <c r="E6943" s="14"/>
      <c r="F6943" s="14"/>
      <c r="G6943" s="13"/>
      <c r="H6943" s="14"/>
      <c r="I6943" s="13"/>
      <c r="J6943" s="13"/>
      <c r="K6943" s="13"/>
      <c r="L6943" s="13"/>
      <c r="M6943" s="13"/>
      <c r="N6943" s="13"/>
      <c r="O6943" s="13" t="str">
        <f t="shared" si="1"/>
        <v/>
      </c>
    </row>
    <row r="6944" ht="22.5" customHeight="1">
      <c r="B6944" s="13"/>
      <c r="C6944" s="13"/>
      <c r="D6944" s="13"/>
      <c r="E6944" s="14"/>
      <c r="F6944" s="14"/>
      <c r="G6944" s="13"/>
      <c r="H6944" s="14"/>
      <c r="I6944" s="13"/>
      <c r="J6944" s="13"/>
      <c r="K6944" s="13"/>
      <c r="L6944" s="13"/>
      <c r="M6944" s="13"/>
      <c r="N6944" s="13"/>
      <c r="O6944" s="13" t="str">
        <f t="shared" si="1"/>
        <v/>
      </c>
    </row>
    <row r="6945" ht="22.5" customHeight="1">
      <c r="B6945" s="13"/>
      <c r="C6945" s="13"/>
      <c r="D6945" s="13"/>
      <c r="E6945" s="14"/>
      <c r="F6945" s="14"/>
      <c r="G6945" s="13"/>
      <c r="H6945" s="14"/>
      <c r="I6945" s="13"/>
      <c r="J6945" s="13"/>
      <c r="K6945" s="13"/>
      <c r="L6945" s="13"/>
      <c r="M6945" s="13"/>
      <c r="N6945" s="13"/>
      <c r="O6945" s="13" t="str">
        <f t="shared" si="1"/>
        <v/>
      </c>
    </row>
    <row r="6946" ht="22.5" customHeight="1">
      <c r="B6946" s="13"/>
      <c r="C6946" s="13"/>
      <c r="D6946" s="13"/>
      <c r="E6946" s="14"/>
      <c r="F6946" s="14"/>
      <c r="G6946" s="13"/>
      <c r="H6946" s="14"/>
      <c r="I6946" s="13"/>
      <c r="J6946" s="13"/>
      <c r="K6946" s="13"/>
      <c r="L6946" s="13"/>
      <c r="M6946" s="13"/>
      <c r="N6946" s="13"/>
      <c r="O6946" s="13" t="str">
        <f t="shared" si="1"/>
        <v/>
      </c>
    </row>
    <row r="6947" ht="22.5" customHeight="1">
      <c r="B6947" s="13"/>
      <c r="C6947" s="13"/>
      <c r="D6947" s="13"/>
      <c r="E6947" s="14"/>
      <c r="F6947" s="14"/>
      <c r="G6947" s="13"/>
      <c r="H6947" s="14"/>
      <c r="I6947" s="13"/>
      <c r="J6947" s="13"/>
      <c r="K6947" s="13"/>
      <c r="L6947" s="13"/>
      <c r="M6947" s="13"/>
      <c r="N6947" s="13"/>
      <c r="O6947" s="13" t="str">
        <f t="shared" si="1"/>
        <v/>
      </c>
    </row>
    <row r="6948" ht="22.5" customHeight="1">
      <c r="B6948" s="13"/>
      <c r="C6948" s="13"/>
      <c r="D6948" s="13"/>
      <c r="E6948" s="14"/>
      <c r="F6948" s="14"/>
      <c r="G6948" s="13"/>
      <c r="H6948" s="14"/>
      <c r="I6948" s="13"/>
      <c r="J6948" s="13"/>
      <c r="K6948" s="13"/>
      <c r="L6948" s="13"/>
      <c r="M6948" s="13"/>
      <c r="N6948" s="13"/>
      <c r="O6948" s="13" t="str">
        <f t="shared" si="1"/>
        <v/>
      </c>
    </row>
    <row r="6949" ht="22.5" customHeight="1">
      <c r="B6949" s="13"/>
      <c r="C6949" s="13"/>
      <c r="D6949" s="13"/>
      <c r="E6949" s="14"/>
      <c r="F6949" s="14"/>
      <c r="G6949" s="13"/>
      <c r="H6949" s="14"/>
      <c r="I6949" s="13"/>
      <c r="J6949" s="13"/>
      <c r="K6949" s="13"/>
      <c r="L6949" s="13"/>
      <c r="M6949" s="13"/>
      <c r="N6949" s="13"/>
      <c r="O6949" s="13" t="str">
        <f t="shared" si="1"/>
        <v/>
      </c>
    </row>
    <row r="6950" ht="22.5" customHeight="1">
      <c r="B6950" s="13"/>
      <c r="C6950" s="13"/>
      <c r="D6950" s="13"/>
      <c r="E6950" s="14"/>
      <c r="F6950" s="14"/>
      <c r="G6950" s="13"/>
      <c r="H6950" s="14"/>
      <c r="I6950" s="13"/>
      <c r="J6950" s="13"/>
      <c r="K6950" s="13"/>
      <c r="L6950" s="13"/>
      <c r="M6950" s="13"/>
      <c r="N6950" s="13"/>
      <c r="O6950" s="13" t="str">
        <f t="shared" si="1"/>
        <v/>
      </c>
    </row>
    <row r="6951" ht="22.5" customHeight="1">
      <c r="B6951" s="13"/>
      <c r="C6951" s="13"/>
      <c r="D6951" s="13"/>
      <c r="E6951" s="14"/>
      <c r="F6951" s="14"/>
      <c r="G6951" s="13"/>
      <c r="H6951" s="14"/>
      <c r="I6951" s="13"/>
      <c r="J6951" s="13"/>
      <c r="K6951" s="13"/>
      <c r="L6951" s="13"/>
      <c r="M6951" s="13"/>
      <c r="N6951" s="13"/>
      <c r="O6951" s="13" t="str">
        <f t="shared" si="1"/>
        <v/>
      </c>
    </row>
    <row r="6952" ht="22.5" customHeight="1">
      <c r="B6952" s="13"/>
      <c r="C6952" s="13"/>
      <c r="D6952" s="13"/>
      <c r="E6952" s="14"/>
      <c r="F6952" s="14"/>
      <c r="G6952" s="13"/>
      <c r="H6952" s="14"/>
      <c r="I6952" s="13"/>
      <c r="J6952" s="13"/>
      <c r="K6952" s="13"/>
      <c r="L6952" s="13"/>
      <c r="M6952" s="13"/>
      <c r="N6952" s="13"/>
      <c r="O6952" s="13" t="str">
        <f t="shared" si="1"/>
        <v/>
      </c>
    </row>
    <row r="6953" ht="22.5" customHeight="1">
      <c r="B6953" s="13"/>
      <c r="C6953" s="13"/>
      <c r="D6953" s="13"/>
      <c r="E6953" s="14"/>
      <c r="F6953" s="14"/>
      <c r="G6953" s="13"/>
      <c r="H6953" s="14"/>
      <c r="I6953" s="13"/>
      <c r="J6953" s="13"/>
      <c r="K6953" s="13"/>
      <c r="L6953" s="13"/>
      <c r="M6953" s="13"/>
      <c r="N6953" s="13"/>
      <c r="O6953" s="13" t="str">
        <f t="shared" si="1"/>
        <v/>
      </c>
    </row>
    <row r="6954" ht="22.5" customHeight="1">
      <c r="B6954" s="13"/>
      <c r="C6954" s="13"/>
      <c r="D6954" s="13"/>
      <c r="E6954" s="14"/>
      <c r="F6954" s="14"/>
      <c r="G6954" s="13"/>
      <c r="H6954" s="14"/>
      <c r="I6954" s="13"/>
      <c r="J6954" s="13"/>
      <c r="K6954" s="13"/>
      <c r="L6954" s="13"/>
      <c r="M6954" s="13"/>
      <c r="N6954" s="13"/>
      <c r="O6954" s="13" t="str">
        <f t="shared" si="1"/>
        <v/>
      </c>
    </row>
    <row r="6955" ht="22.5" customHeight="1">
      <c r="B6955" s="13"/>
      <c r="C6955" s="13"/>
      <c r="D6955" s="13"/>
      <c r="E6955" s="14"/>
      <c r="F6955" s="14"/>
      <c r="G6955" s="13"/>
      <c r="H6955" s="14"/>
      <c r="I6955" s="13"/>
      <c r="J6955" s="13"/>
      <c r="K6955" s="13"/>
      <c r="L6955" s="13"/>
      <c r="M6955" s="13"/>
      <c r="N6955" s="13"/>
      <c r="O6955" s="13" t="str">
        <f t="shared" si="1"/>
        <v/>
      </c>
    </row>
    <row r="6956" ht="22.5" customHeight="1">
      <c r="B6956" s="13"/>
      <c r="C6956" s="13"/>
      <c r="D6956" s="13"/>
      <c r="E6956" s="14"/>
      <c r="F6956" s="14"/>
      <c r="G6956" s="13"/>
      <c r="H6956" s="14"/>
      <c r="I6956" s="13"/>
      <c r="J6956" s="13"/>
      <c r="K6956" s="13"/>
      <c r="L6956" s="13"/>
      <c r="M6956" s="13"/>
      <c r="N6956" s="13"/>
      <c r="O6956" s="13" t="str">
        <f t="shared" si="1"/>
        <v/>
      </c>
    </row>
    <row r="6957" ht="22.5" customHeight="1">
      <c r="B6957" s="13"/>
      <c r="C6957" s="13"/>
      <c r="D6957" s="13"/>
      <c r="E6957" s="14"/>
      <c r="F6957" s="14"/>
      <c r="G6957" s="13"/>
      <c r="H6957" s="14"/>
      <c r="I6957" s="13"/>
      <c r="J6957" s="13"/>
      <c r="K6957" s="13"/>
      <c r="L6957" s="13"/>
      <c r="M6957" s="13"/>
      <c r="N6957" s="13"/>
      <c r="O6957" s="13" t="str">
        <f t="shared" si="1"/>
        <v/>
      </c>
    </row>
    <row r="6958" ht="22.5" customHeight="1">
      <c r="B6958" s="13"/>
      <c r="C6958" s="13"/>
      <c r="D6958" s="13"/>
      <c r="E6958" s="14"/>
      <c r="F6958" s="14"/>
      <c r="G6958" s="13"/>
      <c r="H6958" s="14"/>
      <c r="I6958" s="13"/>
      <c r="J6958" s="13"/>
      <c r="K6958" s="13"/>
      <c r="L6958" s="13"/>
      <c r="M6958" s="13"/>
      <c r="N6958" s="13"/>
      <c r="O6958" s="13" t="str">
        <f t="shared" si="1"/>
        <v/>
      </c>
    </row>
    <row r="6959" ht="22.5" customHeight="1">
      <c r="B6959" s="13"/>
      <c r="C6959" s="13"/>
      <c r="D6959" s="13"/>
      <c r="E6959" s="14"/>
      <c r="F6959" s="14"/>
      <c r="G6959" s="13"/>
      <c r="H6959" s="14"/>
      <c r="I6959" s="13"/>
      <c r="J6959" s="13"/>
      <c r="K6959" s="13"/>
      <c r="L6959" s="13"/>
      <c r="M6959" s="13"/>
      <c r="N6959" s="13"/>
      <c r="O6959" s="13" t="str">
        <f t="shared" si="1"/>
        <v/>
      </c>
    </row>
    <row r="6960" ht="22.5" customHeight="1">
      <c r="B6960" s="13"/>
      <c r="C6960" s="13"/>
      <c r="D6960" s="13"/>
      <c r="E6960" s="14"/>
      <c r="F6960" s="14"/>
      <c r="G6960" s="13"/>
      <c r="H6960" s="14"/>
      <c r="I6960" s="13"/>
      <c r="J6960" s="13"/>
      <c r="K6960" s="13"/>
      <c r="L6960" s="13"/>
      <c r="M6960" s="13"/>
      <c r="N6960" s="13"/>
      <c r="O6960" s="13" t="str">
        <f t="shared" si="1"/>
        <v/>
      </c>
    </row>
    <row r="6961" ht="22.5" customHeight="1">
      <c r="B6961" s="13"/>
      <c r="C6961" s="13"/>
      <c r="D6961" s="13"/>
      <c r="E6961" s="14"/>
      <c r="F6961" s="14"/>
      <c r="G6961" s="13"/>
      <c r="H6961" s="14"/>
      <c r="I6961" s="13"/>
      <c r="J6961" s="13"/>
      <c r="K6961" s="13"/>
      <c r="L6961" s="13"/>
      <c r="M6961" s="13"/>
      <c r="N6961" s="13"/>
      <c r="O6961" s="13" t="str">
        <f t="shared" si="1"/>
        <v/>
      </c>
    </row>
    <row r="6962" ht="22.5" customHeight="1">
      <c r="B6962" s="13"/>
      <c r="C6962" s="13"/>
      <c r="D6962" s="13"/>
      <c r="E6962" s="14"/>
      <c r="F6962" s="14"/>
      <c r="G6962" s="13"/>
      <c r="H6962" s="14"/>
      <c r="I6962" s="13"/>
      <c r="J6962" s="13"/>
      <c r="K6962" s="13"/>
      <c r="L6962" s="13"/>
      <c r="M6962" s="13"/>
      <c r="N6962" s="13"/>
      <c r="O6962" s="13" t="str">
        <f t="shared" si="1"/>
        <v/>
      </c>
    </row>
    <row r="6963" ht="22.5" customHeight="1">
      <c r="B6963" s="13"/>
      <c r="C6963" s="13"/>
      <c r="D6963" s="13"/>
      <c r="E6963" s="14"/>
      <c r="F6963" s="14"/>
      <c r="G6963" s="13"/>
      <c r="H6963" s="14"/>
      <c r="I6963" s="13"/>
      <c r="J6963" s="13"/>
      <c r="K6963" s="13"/>
      <c r="L6963" s="13"/>
      <c r="M6963" s="13"/>
      <c r="N6963" s="13"/>
      <c r="O6963" s="13" t="str">
        <f t="shared" si="1"/>
        <v/>
      </c>
    </row>
    <row r="6964" ht="22.5" customHeight="1">
      <c r="B6964" s="13"/>
      <c r="C6964" s="13"/>
      <c r="D6964" s="13"/>
      <c r="E6964" s="14"/>
      <c r="F6964" s="14"/>
      <c r="G6964" s="13"/>
      <c r="H6964" s="14"/>
      <c r="I6964" s="13"/>
      <c r="J6964" s="13"/>
      <c r="K6964" s="13"/>
      <c r="L6964" s="13"/>
      <c r="M6964" s="13"/>
      <c r="N6964" s="13"/>
      <c r="O6964" s="13" t="str">
        <f t="shared" si="1"/>
        <v/>
      </c>
    </row>
    <row r="6965" ht="22.5" customHeight="1">
      <c r="B6965" s="13"/>
      <c r="C6965" s="13"/>
      <c r="D6965" s="13"/>
      <c r="E6965" s="14"/>
      <c r="F6965" s="14"/>
      <c r="G6965" s="13"/>
      <c r="H6965" s="14"/>
      <c r="I6965" s="13"/>
      <c r="J6965" s="13"/>
      <c r="K6965" s="13"/>
      <c r="L6965" s="13"/>
      <c r="M6965" s="13"/>
      <c r="N6965" s="13"/>
      <c r="O6965" s="13" t="str">
        <f t="shared" si="1"/>
        <v/>
      </c>
    </row>
    <row r="6966" ht="22.5" customHeight="1">
      <c r="B6966" s="13"/>
      <c r="C6966" s="13"/>
      <c r="D6966" s="13"/>
      <c r="E6966" s="14"/>
      <c r="F6966" s="14"/>
      <c r="G6966" s="13"/>
      <c r="H6966" s="14"/>
      <c r="I6966" s="13"/>
      <c r="J6966" s="13"/>
      <c r="K6966" s="13"/>
      <c r="L6966" s="13"/>
      <c r="M6966" s="13"/>
      <c r="N6966" s="13"/>
      <c r="O6966" s="13" t="str">
        <f t="shared" si="1"/>
        <v/>
      </c>
    </row>
    <row r="6967" ht="22.5" customHeight="1">
      <c r="B6967" s="13"/>
      <c r="C6967" s="13"/>
      <c r="D6967" s="13"/>
      <c r="E6967" s="14"/>
      <c r="F6967" s="14"/>
      <c r="G6967" s="13"/>
      <c r="H6967" s="14"/>
      <c r="I6967" s="13"/>
      <c r="J6967" s="13"/>
      <c r="K6967" s="13"/>
      <c r="L6967" s="13"/>
      <c r="M6967" s="13"/>
      <c r="N6967" s="13"/>
      <c r="O6967" s="13" t="str">
        <f t="shared" si="1"/>
        <v/>
      </c>
    </row>
    <row r="6968" ht="22.5" customHeight="1">
      <c r="B6968" s="13"/>
      <c r="C6968" s="13"/>
      <c r="D6968" s="13"/>
      <c r="E6968" s="14"/>
      <c r="F6968" s="14"/>
      <c r="G6968" s="13"/>
      <c r="H6968" s="14"/>
      <c r="I6968" s="13"/>
      <c r="J6968" s="13"/>
      <c r="K6968" s="13"/>
      <c r="L6968" s="13"/>
      <c r="M6968" s="13"/>
      <c r="N6968" s="13"/>
      <c r="O6968" s="13" t="str">
        <f t="shared" si="1"/>
        <v/>
      </c>
    </row>
    <row r="6969" ht="22.5" customHeight="1">
      <c r="B6969" s="13"/>
      <c r="C6969" s="13"/>
      <c r="D6969" s="13"/>
      <c r="E6969" s="14"/>
      <c r="F6969" s="14"/>
      <c r="G6969" s="13"/>
      <c r="H6969" s="14"/>
      <c r="I6969" s="13"/>
      <c r="J6969" s="13"/>
      <c r="K6969" s="13"/>
      <c r="L6969" s="13"/>
      <c r="M6969" s="13"/>
      <c r="N6969" s="13"/>
      <c r="O6969" s="13" t="str">
        <f t="shared" si="1"/>
        <v/>
      </c>
    </row>
    <row r="6970" ht="22.5" customHeight="1">
      <c r="B6970" s="13"/>
      <c r="C6970" s="13"/>
      <c r="D6970" s="13"/>
      <c r="E6970" s="14"/>
      <c r="F6970" s="14"/>
      <c r="G6970" s="13"/>
      <c r="H6970" s="14"/>
      <c r="I6970" s="13"/>
      <c r="J6970" s="13"/>
      <c r="K6970" s="13"/>
      <c r="L6970" s="13"/>
      <c r="M6970" s="13"/>
      <c r="N6970" s="13"/>
      <c r="O6970" s="13" t="str">
        <f t="shared" si="1"/>
        <v/>
      </c>
    </row>
    <row r="6971" ht="22.5" customHeight="1">
      <c r="B6971" s="13"/>
      <c r="C6971" s="13"/>
      <c r="D6971" s="13"/>
      <c r="E6971" s="14"/>
      <c r="F6971" s="14"/>
      <c r="G6971" s="13"/>
      <c r="H6971" s="14"/>
      <c r="I6971" s="13"/>
      <c r="J6971" s="13"/>
      <c r="K6971" s="13"/>
      <c r="L6971" s="13"/>
      <c r="M6971" s="13"/>
      <c r="N6971" s="13"/>
      <c r="O6971" s="13" t="str">
        <f t="shared" si="1"/>
        <v/>
      </c>
    </row>
    <row r="6972" ht="22.5" customHeight="1">
      <c r="B6972" s="13"/>
      <c r="C6972" s="13"/>
      <c r="D6972" s="13"/>
      <c r="E6972" s="14"/>
      <c r="F6972" s="14"/>
      <c r="G6972" s="13"/>
      <c r="H6972" s="14"/>
      <c r="I6972" s="13"/>
      <c r="J6972" s="13"/>
      <c r="K6972" s="13"/>
      <c r="L6972" s="13"/>
      <c r="M6972" s="13"/>
      <c r="N6972" s="13"/>
      <c r="O6972" s="13" t="str">
        <f t="shared" si="1"/>
        <v/>
      </c>
    </row>
  </sheetData>
  <dataValidations>
    <dataValidation allowBlank="1" showDropDown="1" sqref="E6:F6972 H6:H6972"/>
  </dataValidations>
  <hyperlinks>
    <hyperlink r:id="rId1" ref="A1"/>
  </hyperlinks>
  <drawing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5.25"/>
    <col customWidth="1" min="3" max="3" width="13.88"/>
    <col customWidth="1" min="4" max="4" width="18.13"/>
    <col customWidth="1" min="5" max="5" width="20.13"/>
    <col customWidth="1" min="6" max="7" width="25.75"/>
    <col customWidth="1" min="8" max="8" width="24.88"/>
    <col customWidth="1" min="9" max="9" width="19.75"/>
    <col customWidth="1" min="10" max="10" width="16.75"/>
    <col customWidth="1" min="11" max="11" width="20.5"/>
  </cols>
  <sheetData>
    <row r="1" ht="6.75" customHeight="1">
      <c r="A1" s="1" t="s">
        <v>0</v>
      </c>
    </row>
    <row r="2" ht="6.75" customHeight="1"/>
    <row r="3">
      <c r="B3" s="2" t="s">
        <v>1</v>
      </c>
    </row>
    <row r="4">
      <c r="B4" s="2" t="s">
        <v>2</v>
      </c>
    </row>
    <row r="5">
      <c r="A5" s="3" t="s">
        <v>4</v>
      </c>
    </row>
    <row r="6" ht="22.5" customHeight="1">
      <c r="A6" s="3"/>
      <c r="B6" s="4" t="s">
        <v>5</v>
      </c>
      <c r="C6" s="5" t="s">
        <v>9</v>
      </c>
      <c r="D6" s="4" t="s">
        <v>11</v>
      </c>
      <c r="E6" s="4" t="s">
        <v>13</v>
      </c>
      <c r="F6" s="5" t="s">
        <v>10</v>
      </c>
      <c r="G6" s="5" t="s">
        <v>12</v>
      </c>
      <c r="H6" s="4" t="s">
        <v>17</v>
      </c>
      <c r="I6" s="4" t="s">
        <v>20</v>
      </c>
      <c r="J6" s="6" t="s">
        <v>22</v>
      </c>
      <c r="K6" s="6" t="s">
        <v>21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 ht="22.5" customHeight="1">
      <c r="B7" s="11">
        <v>1.0</v>
      </c>
      <c r="C7" s="15" t="str">
        <f t="array" ref="C7">IFNA(_xlfn.XLOOKUP(B7,Table_Respons_Loket[Count],Table_Respons_Loket[Nomor Tiket]),"")</f>
        <v/>
      </c>
      <c r="D7" s="15" t="str">
        <f t="array" ref="D7">IFNA(_xlfn.XLOOKUP(B7,Table_Respons_Loket[Count],Table_Respons_Loket[Daftar Nomor Hak]),"")</f>
        <v/>
      </c>
      <c r="E7" s="17" t="str">
        <f t="array" ref="E7">IFNA(_xlfn.XLOOKUP(B7,Table_Respons_Loket[Count],Table_Respons_Loket[Time Stamp]),"")</f>
        <v/>
      </c>
      <c r="F7" s="18" t="str">
        <f t="array" ref="F7">IFNA(_xlfn.XLOOKUP(B7,Table_Respons_Loket[Count],Table_Respons_Loket[Jenis Permohonan]),"")</f>
        <v/>
      </c>
      <c r="G7" s="12"/>
      <c r="H7" s="12"/>
      <c r="I7" s="11" t="str">
        <f t="shared" ref="I7:I8" si="1">IF(OR(H7="DISERAHKAN",H7="DISERAHKAN BT",H7="DISERAHKAN SU"),IF(I7&lt;&gt;"",I7,NOW()),"")</f>
        <v/>
      </c>
      <c r="J7" s="20" t="b">
        <v>0</v>
      </c>
      <c r="K7" s="13" t="str">
        <f t="shared" ref="K7:K1048" si="2">IF(J7=TRUE,IF(K7&lt;&gt;"",K7,NOW()),"")</f>
        <v/>
      </c>
    </row>
    <row r="8" ht="22.5" customHeight="1">
      <c r="B8" s="13">
        <f t="shared" ref="B8:B2006" si="3">B7+1</f>
        <v>2</v>
      </c>
      <c r="C8" s="15" t="str">
        <f t="array" ref="C8">IFNA(_xlfn.XLOOKUP(B8,Table_Respons_Loket[Count],Table_Respons_Loket[Nomor Tiket]),"")</f>
        <v>L/1/141024/1</v>
      </c>
      <c r="D8" s="15" t="str">
        <f t="array" ref="D8">IFNA(_xlfn.XLOOKUP(B8,Table_Respons_Loket[Count],Table_Respons_Loket[Daftar Nomor Hak]),"")</f>
        <v>HM 9463/GEDUNG MENENG</v>
      </c>
      <c r="E8" s="17">
        <f t="array" ref="E8">IFNA(_xlfn.XLOOKUP(B8,Table_Respons_Loket[Count],Table_Respons_Loket[Time Stamp]),"")</f>
        <v>45579.36116</v>
      </c>
      <c r="F8" s="18" t="str">
        <f t="array" ref="F8">IFNA(_xlfn.XLOOKUP(B8,Table_Respons_Loket[Count],Table_Respons_Loket[Jenis Permohonan]),"")</f>
        <v>ROYA</v>
      </c>
      <c r="G8" s="12"/>
      <c r="H8" s="12" t="s">
        <v>47</v>
      </c>
      <c r="I8" s="22" t="str">
        <f t="shared" si="1"/>
        <v/>
      </c>
      <c r="J8" s="20" t="b">
        <v>0</v>
      </c>
      <c r="K8" s="13" t="str">
        <f t="shared" si="2"/>
        <v/>
      </c>
    </row>
    <row r="9" ht="22.5" customHeight="1">
      <c r="B9" s="13">
        <f t="shared" si="3"/>
        <v>3</v>
      </c>
      <c r="C9" s="15" t="str">
        <f t="array" ref="C9">IFNA(_xlfn.XLOOKUP(B9,Table_Respons_Loket[Count],Table_Respons_Loket[Nomor Tiket]),"")</f>
        <v>L/2/141024/1</v>
      </c>
      <c r="D9" s="15" t="str">
        <f t="array" ref="D9">IFNA(_xlfn.XLOOKUP(B9,Table_Respons_Loket[Count],Table_Respons_Loket[Daftar Nomor Hak]),"")</f>
        <v>HM 17565/SUKARAME I</v>
      </c>
      <c r="E9" s="17">
        <f t="array" ref="E9">IFNA(_xlfn.XLOOKUP(B9,Table_Respons_Loket[Count],Table_Respons_Loket[Time Stamp]),"")</f>
        <v>45579.37694</v>
      </c>
      <c r="F9" s="18" t="str">
        <f t="array" ref="F9">IFNA(_xlfn.XLOOKUP(B9,Table_Respons_Loket[Count],Table_Respons_Loket[Jenis Permohonan]),"")</f>
        <v>ROYA</v>
      </c>
      <c r="G9" s="12" t="s">
        <v>50</v>
      </c>
      <c r="H9" s="12" t="s">
        <v>52</v>
      </c>
      <c r="I9" s="23">
        <f t="shared" ref="I9:I14" si="4">IF(H9="DISERAHKAN",IF(I9&lt;&gt;"",I9,NOW()),"")</f>
        <v>45579.6308</v>
      </c>
      <c r="J9" s="20" t="b">
        <v>0</v>
      </c>
      <c r="K9" s="13" t="str">
        <f t="shared" si="2"/>
        <v/>
      </c>
    </row>
    <row r="10" ht="22.5" customHeight="1">
      <c r="B10" s="13">
        <f t="shared" si="3"/>
        <v>4</v>
      </c>
      <c r="C10" s="15" t="str">
        <f t="array" ref="C10">IFNA(_xlfn.XLOOKUP(B10,Table_Respons_Loket[Count],Table_Respons_Loket[Nomor Tiket]),"")</f>
        <v>L/5/141024/1</v>
      </c>
      <c r="D10" s="15" t="str">
        <f t="array" ref="D10">IFNA(_xlfn.XLOOKUP(B10,Table_Respons_Loket[Count],Table_Respons_Loket[Daftar Nomor Hak]),"")</f>
        <v>M.9974/TANJUNG BARU</v>
      </c>
      <c r="E10" s="17">
        <f t="array" ref="E10">IFNA(_xlfn.XLOOKUP(B10,Table_Respons_Loket[Count],Table_Respons_Loket[Time Stamp]),"")</f>
        <v>45579.40329</v>
      </c>
      <c r="F10" s="18" t="str">
        <f t="array" ref="F10">IFNA(_xlfn.XLOOKUP(B10,Table_Respons_Loket[Count],Table_Respons_Loket[Jenis Permohonan]),"")</f>
        <v>ROYA</v>
      </c>
      <c r="G10" s="12" t="s">
        <v>50</v>
      </c>
      <c r="H10" s="12" t="s">
        <v>52</v>
      </c>
      <c r="I10" s="23">
        <f t="shared" si="4"/>
        <v>45579.6289</v>
      </c>
      <c r="J10" s="20" t="b">
        <v>0</v>
      </c>
      <c r="K10" s="13" t="str">
        <f t="shared" si="2"/>
        <v/>
      </c>
    </row>
    <row r="11" ht="22.5" customHeight="1">
      <c r="B11" s="13">
        <f t="shared" si="3"/>
        <v>5</v>
      </c>
      <c r="C11" s="15" t="str">
        <f t="array" ref="C11">IFNA(_xlfn.XLOOKUP(B11,Table_Respons_Loket[Count],Table_Respons_Loket[Nomor Tiket]),"")</f>
        <v>L/6/141024/1</v>
      </c>
      <c r="D11" s="15" t="str">
        <f t="array" ref="D11">IFNA(_xlfn.XLOOKUP(B11,Table_Respons_Loket[Count],Table_Respons_Loket[Daftar Nomor Hak]),"")</f>
        <v> HM 154/SUSUNAN BARU</v>
      </c>
      <c r="E11" s="17">
        <f t="array" ref="E11">IFNA(_xlfn.XLOOKUP(B11,Table_Respons_Loket[Count],Table_Respons_Loket[Time Stamp]),"")</f>
        <v>45579.40468</v>
      </c>
      <c r="F11" s="18" t="str">
        <f t="array" ref="F11">IFNA(_xlfn.XLOOKUP(B11,Table_Respons_Loket[Count],Table_Respons_Loket[Jenis Permohonan]),"")</f>
        <v>PLOT SERTIPIKAT HILANG</v>
      </c>
      <c r="G11" s="12" t="s">
        <v>48</v>
      </c>
      <c r="H11" s="12" t="s">
        <v>52</v>
      </c>
      <c r="I11" s="23">
        <f t="shared" si="4"/>
        <v>45579.62597</v>
      </c>
      <c r="J11" s="20" t="b">
        <v>0</v>
      </c>
      <c r="K11" s="13" t="str">
        <f t="shared" si="2"/>
        <v/>
      </c>
    </row>
    <row r="12" ht="22.5" customHeight="1">
      <c r="B12" s="13">
        <f t="shared" si="3"/>
        <v>6</v>
      </c>
      <c r="C12" s="15" t="str">
        <f t="array" ref="C12">IFNA(_xlfn.XLOOKUP(B12,Table_Respons_Loket[Count],Table_Respons_Loket[Nomor Tiket]),"")</f>
        <v>K/7/141024/1</v>
      </c>
      <c r="D12" s="15" t="str">
        <f t="array" ref="D12">IFNA(_xlfn.XLOOKUP(B12,Table_Respons_Loket[Count],Table_Respons_Loket[Daftar Nomor Hak]),"")</f>
        <v>M. 631/Pahoman- sekarang; M. 631/Pahoman-Dahulu</v>
      </c>
      <c r="E12" s="17">
        <f t="array" ref="E12">IFNA(_xlfn.XLOOKUP(B12,Table_Respons_Loket[Count],Table_Respons_Loket[Time Stamp]),"")</f>
        <v>45579.40998</v>
      </c>
      <c r="F12" s="18" t="str">
        <f t="array" ref="F12">IFNA(_xlfn.XLOOKUP(B12,Table_Respons_Loket[Count],Table_Respons_Loket[Jenis Permohonan]),"")</f>
        <v>ANGKAT SITA</v>
      </c>
      <c r="G12" s="12" t="s">
        <v>50</v>
      </c>
      <c r="H12" s="12" t="s">
        <v>52</v>
      </c>
      <c r="I12" s="23">
        <f t="shared" si="4"/>
        <v>45579.62905</v>
      </c>
      <c r="J12" s="20" t="b">
        <v>0</v>
      </c>
      <c r="K12" s="13" t="str">
        <f t="shared" si="2"/>
        <v/>
      </c>
    </row>
    <row r="13" ht="22.5" customHeight="1">
      <c r="B13" s="13">
        <f t="shared" si="3"/>
        <v>7</v>
      </c>
      <c r="C13" s="15" t="str">
        <f t="array" ref="C13">IFNA(_xlfn.XLOOKUP(B13,Table_Respons_Loket[Count],Table_Respons_Loket[Nomor Tiket]),"")</f>
        <v>L/8/141024/1</v>
      </c>
      <c r="D13" s="15" t="str">
        <f t="array" ref="D13">IFNA(_xlfn.XLOOKUP(B13,Table_Respons_Loket[Count],Table_Respons_Loket[Daftar Nomor Hak]),"")</f>
        <v>M.1134/GULAK GALIK</v>
      </c>
      <c r="E13" s="17">
        <f t="array" ref="E13">IFNA(_xlfn.XLOOKUP(B13,Table_Respons_Loket[Count],Table_Respons_Loket[Time Stamp]),"")</f>
        <v>45579.41617</v>
      </c>
      <c r="F13" s="18" t="str">
        <f t="array" ref="F13">IFNA(_xlfn.XLOOKUP(B13,Table_Respons_Loket[Count],Table_Respons_Loket[Jenis Permohonan]),"")</f>
        <v>HAPUS BPHTB</v>
      </c>
      <c r="G13" s="12" t="s">
        <v>50</v>
      </c>
      <c r="H13" s="12" t="s">
        <v>52</v>
      </c>
      <c r="I13" s="23">
        <f t="shared" si="4"/>
        <v>45579.63003</v>
      </c>
      <c r="J13" s="20" t="b">
        <v>0</v>
      </c>
      <c r="K13" s="13" t="str">
        <f t="shared" si="2"/>
        <v/>
      </c>
    </row>
    <row r="14" ht="22.5" customHeight="1">
      <c r="B14" s="13">
        <f t="shared" si="3"/>
        <v>8</v>
      </c>
      <c r="C14" s="15" t="str">
        <f t="array" ref="C14">IFNA(_xlfn.XLOOKUP(B14,Table_Respons_Loket[Count],Table_Respons_Loket[Nomor Tiket]),"")</f>
        <v>K/9/141024/1</v>
      </c>
      <c r="D14" s="15" t="str">
        <f t="array" ref="D14">IFNA(_xlfn.XLOOKUP(B14,Table_Respons_Loket[Count],Table_Respons_Loket[Daftar Nomor Hak]),"")</f>
        <v>M.11980/JAGABAYA II</v>
      </c>
      <c r="E14" s="17">
        <f t="array" ref="E14">IFNA(_xlfn.XLOOKUP(B14,Table_Respons_Loket[Count],Table_Respons_Loket[Time Stamp]),"")</f>
        <v>45579.42397</v>
      </c>
      <c r="F14" s="18" t="str">
        <f t="array" ref="F14">IFNA(_xlfn.XLOOKUP(B14,Table_Respons_Loket[Count],Table_Respons_Loket[Jenis Permohonan]),"")</f>
        <v>ROYA</v>
      </c>
      <c r="G14" s="12" t="s">
        <v>50</v>
      </c>
      <c r="H14" s="12" t="s">
        <v>52</v>
      </c>
      <c r="I14" s="23">
        <f t="shared" si="4"/>
        <v>45579.62989</v>
      </c>
      <c r="J14" s="20" t="b">
        <v>0</v>
      </c>
      <c r="K14" s="13" t="str">
        <f t="shared" si="2"/>
        <v/>
      </c>
    </row>
    <row r="15" ht="22.5" customHeight="1">
      <c r="B15" s="13">
        <f t="shared" si="3"/>
        <v>9</v>
      </c>
      <c r="C15" s="15" t="str">
        <f t="array" ref="C15">IFNA(_xlfn.XLOOKUP(B15,Table_Respons_Loket[Count],Table_Respons_Loket[Nomor Tiket]),"")</f>
        <v>L/11/141024/1</v>
      </c>
      <c r="D15" s="15" t="str">
        <f t="array" ref="D15">IFNA(_xlfn.XLOOKUP(B15,Table_Respons_Loket[Count],Table_Respons_Loket[Daftar Nomor Hak]),"")</f>
        <v>HM 1505 LABUHAN DALAM &amp; HM 1506 LABUHAN DALAM</v>
      </c>
      <c r="E15" s="17">
        <f t="array" ref="E15">IFNA(_xlfn.XLOOKUP(B15,Table_Respons_Loket[Count],Table_Respons_Loket[Time Stamp]),"")</f>
        <v>45579.4348</v>
      </c>
      <c r="F15" s="18" t="str">
        <f t="array" ref="F15">IFNA(_xlfn.XLOOKUP(B15,Table_Respons_Loket[Count],Table_Respons_Loket[Jenis Permohonan]),"")</f>
        <v>ROYA</v>
      </c>
      <c r="G15" s="12"/>
      <c r="H15" s="12" t="s">
        <v>60</v>
      </c>
      <c r="I15" s="22" t="str">
        <f>IF(OR(H15="DISERAHKAN",H15="DISERAHKAN BT",H15="DISERAHKAN SU"),IF(I15&lt;&gt;"",I15,NOW()),"")</f>
        <v/>
      </c>
      <c r="J15" s="20" t="b">
        <v>0</v>
      </c>
      <c r="K15" s="13" t="str">
        <f t="shared" si="2"/>
        <v/>
      </c>
    </row>
    <row r="16" ht="22.5" customHeight="1">
      <c r="B16" s="13">
        <f t="shared" si="3"/>
        <v>10</v>
      </c>
      <c r="C16" s="15" t="str">
        <f t="array" ref="C16">IFNA(_xlfn.XLOOKUP(B16,Table_Respons_Loket[Count],Table_Respons_Loket[Nomor Tiket]),"")</f>
        <v>K/12/141024/1</v>
      </c>
      <c r="D16" s="15" t="str">
        <f t="array" ref="D16">IFNA(_xlfn.XLOOKUP(B16,Table_Respons_Loket[Count],Table_Respons_Loket[Daftar Nomor Hak]),"")</f>
        <v>M.3326/LANGKAPURA</v>
      </c>
      <c r="E16" s="17">
        <f t="array" ref="E16">IFNA(_xlfn.XLOOKUP(B16,Table_Respons_Loket[Count],Table_Respons_Loket[Time Stamp]),"")</f>
        <v>45579.44648</v>
      </c>
      <c r="F16" s="18" t="str">
        <f t="array" ref="F16">IFNA(_xlfn.XLOOKUP(B16,Table_Respons_Loket[Count],Table_Respons_Loket[Jenis Permohonan]),"")</f>
        <v>ROYA</v>
      </c>
      <c r="G16" s="12" t="s">
        <v>50</v>
      </c>
      <c r="H16" s="12" t="s">
        <v>52</v>
      </c>
      <c r="I16" s="23">
        <f t="shared" ref="I16:I29" si="5">IF(H16="DISERAHKAN",IF(I16&lt;&gt;"",I16,NOW()),"")</f>
        <v>45579.62749</v>
      </c>
      <c r="J16" s="20" t="b">
        <v>0</v>
      </c>
      <c r="K16" s="13" t="str">
        <f t="shared" si="2"/>
        <v/>
      </c>
    </row>
    <row r="17" ht="22.5" customHeight="1">
      <c r="B17" s="13">
        <f t="shared" si="3"/>
        <v>11</v>
      </c>
      <c r="C17" s="15" t="str">
        <f t="array" ref="C17">IFNA(_xlfn.XLOOKUP(B17,Table_Respons_Loket[Count],Table_Respons_Loket[Nomor Tiket]),"")</f>
        <v>K/13/141024/2</v>
      </c>
      <c r="D17" s="15" t="str">
        <f t="array" ref="D17">IFNA(_xlfn.XLOOKUP(B17,Table_Respons_Loket[Count],Table_Respons_Loket[Daftar Nomor Hak]),"")</f>
        <v>M.1088/NEGERI OLOK GADING-SEKARANG;B.1201/NEGERI OLOK GADING-DAHULU</v>
      </c>
      <c r="E17" s="17">
        <f t="array" ref="E17">IFNA(_xlfn.XLOOKUP(B17,Table_Respons_Loket[Count],Table_Respons_Loket[Time Stamp]),"")</f>
        <v>45579.44801</v>
      </c>
      <c r="F17" s="18" t="str">
        <f t="array" ref="F17">IFNA(_xlfn.XLOOKUP(B17,Table_Respons_Loket[Count],Table_Respons_Loket[Jenis Permohonan]),"")</f>
        <v>ROYA</v>
      </c>
      <c r="G17" s="12" t="s">
        <v>50</v>
      </c>
      <c r="H17" s="12" t="s">
        <v>52</v>
      </c>
      <c r="I17" s="23">
        <f t="shared" si="5"/>
        <v>45579.6305</v>
      </c>
      <c r="J17" s="20" t="b">
        <v>0</v>
      </c>
      <c r="K17" s="13" t="str">
        <f t="shared" si="2"/>
        <v/>
      </c>
    </row>
    <row r="18" ht="22.5" customHeight="1">
      <c r="B18" s="13">
        <f t="shared" si="3"/>
        <v>12</v>
      </c>
      <c r="C18" s="15" t="str">
        <f t="array" ref="C18">IFNA(_xlfn.XLOOKUP(B18,Table_Respons_Loket[Count],Table_Respons_Loket[Nomor Tiket]),"")</f>
        <v>K/14/141024/3</v>
      </c>
      <c r="D18" s="15" t="str">
        <f t="array" ref="D18">IFNA(_xlfn.XLOOKUP(B18,Table_Respons_Loket[Count],Table_Respons_Loket[Daftar Nomor Hak]),"")</f>
        <v>M.988/NEGERI OLOK GADING-SEKARANG;B.1050/NEGERI OLOK GADING-DAHULU</v>
      </c>
      <c r="E18" s="17">
        <f t="array" ref="E18">IFNA(_xlfn.XLOOKUP(B18,Table_Respons_Loket[Count],Table_Respons_Loket[Time Stamp]),"")</f>
        <v>45579.44914</v>
      </c>
      <c r="F18" s="18" t="str">
        <f t="array" ref="F18">IFNA(_xlfn.XLOOKUP(B18,Table_Respons_Loket[Count],Table_Respons_Loket[Jenis Permohonan]),"")</f>
        <v>ROYA</v>
      </c>
      <c r="G18" s="12" t="s">
        <v>50</v>
      </c>
      <c r="H18" s="12" t="s">
        <v>52</v>
      </c>
      <c r="I18" s="23">
        <f t="shared" si="5"/>
        <v>45579.63061</v>
      </c>
      <c r="J18" s="20" t="b">
        <v>0</v>
      </c>
      <c r="K18" s="13" t="str">
        <f t="shared" si="2"/>
        <v/>
      </c>
    </row>
    <row r="19" ht="22.5" customHeight="1">
      <c r="B19" s="13">
        <f t="shared" si="3"/>
        <v>13</v>
      </c>
      <c r="C19" s="15" t="str">
        <f t="array" ref="C19">IFNA(_xlfn.XLOOKUP(B19,Table_Respons_Loket[Count],Table_Respons_Loket[Nomor Tiket]),"")</f>
        <v>K/16/141024/1</v>
      </c>
      <c r="D19" s="15" t="str">
        <f t="array" ref="D19">IFNA(_xlfn.XLOOKUP(B19,Table_Respons_Loket[Count],Table_Respons_Loket[Daftar Nomor Hak]),"")</f>
        <v>M.9137/GEDONG MENENG</v>
      </c>
      <c r="E19" s="17">
        <f t="array" ref="E19">IFNA(_xlfn.XLOOKUP(B19,Table_Respons_Loket[Count],Table_Respons_Loket[Time Stamp]),"")</f>
        <v>45579.46383</v>
      </c>
      <c r="F19" s="18" t="str">
        <f t="array" ref="F19">IFNA(_xlfn.XLOOKUP(B19,Table_Respons_Loket[Count],Table_Respons_Loket[Jenis Permohonan]),"")</f>
        <v>SKPT</v>
      </c>
      <c r="G19" s="12" t="s">
        <v>50</v>
      </c>
      <c r="H19" s="12" t="s">
        <v>52</v>
      </c>
      <c r="I19" s="23">
        <f t="shared" si="5"/>
        <v>45579.62729</v>
      </c>
      <c r="J19" s="20" t="b">
        <v>0</v>
      </c>
      <c r="K19" s="13" t="str">
        <f t="shared" si="2"/>
        <v/>
      </c>
    </row>
    <row r="20" ht="22.5" customHeight="1">
      <c r="B20" s="13">
        <f t="shared" si="3"/>
        <v>14</v>
      </c>
      <c r="C20" s="15" t="str">
        <f t="array" ref="C20">IFNA(_xlfn.XLOOKUP(B20,Table_Respons_Loket[Count],Table_Respons_Loket[Nomor Tiket]),"")</f>
        <v>L/17/141024/1</v>
      </c>
      <c r="D20" s="15" t="str">
        <f t="array" ref="D20">IFNA(_xlfn.XLOOKUP(B20,Table_Respons_Loket[Count],Table_Respons_Loket[Daftar Nomor Hak]),"")</f>
        <v>HM 2144/WAY KANDIS</v>
      </c>
      <c r="E20" s="17">
        <f t="array" ref="E20">IFNA(_xlfn.XLOOKUP(B20,Table_Respons_Loket[Count],Table_Respons_Loket[Time Stamp]),"")</f>
        <v>45579.47772</v>
      </c>
      <c r="F20" s="18" t="str">
        <f t="array" ref="F20">IFNA(_xlfn.XLOOKUP(B20,Table_Respons_Loket[Count],Table_Respons_Loket[Jenis Permohonan]),"")</f>
        <v>ROYA</v>
      </c>
      <c r="G20" s="12" t="s">
        <v>50</v>
      </c>
      <c r="H20" s="12" t="s">
        <v>52</v>
      </c>
      <c r="I20" s="23">
        <f t="shared" si="5"/>
        <v>45579.62965</v>
      </c>
      <c r="J20" s="20" t="b">
        <v>0</v>
      </c>
      <c r="K20" s="13" t="str">
        <f t="shared" si="2"/>
        <v/>
      </c>
    </row>
    <row r="21" ht="22.5" customHeight="1">
      <c r="B21" s="13">
        <f t="shared" si="3"/>
        <v>15</v>
      </c>
      <c r="C21" s="15" t="str">
        <f t="array" ref="C21">IFNA(_xlfn.XLOOKUP(B21,Table_Respons_Loket[Count],Table_Respons_Loket[Nomor Tiket]),"")</f>
        <v>K/19/141024/1</v>
      </c>
      <c r="D21" s="15" t="str">
        <f t="array" ref="D21">IFNA(_xlfn.XLOOKUP(B21,Table_Respons_Loket[Count],Table_Respons_Loket[Daftar Nomor Hak]),"")</f>
        <v>M.16678/SUKABUMI</v>
      </c>
      <c r="E21" s="17">
        <f t="array" ref="E21">IFNA(_xlfn.XLOOKUP(B21,Table_Respons_Loket[Count],Table_Respons_Loket[Time Stamp]),"")</f>
        <v>45579.48395</v>
      </c>
      <c r="F21" s="18" t="str">
        <f t="array" ref="F21">IFNA(_xlfn.XLOOKUP(B21,Table_Respons_Loket[Count],Table_Respons_Loket[Jenis Permohonan]),"")</f>
        <v>PERALIHAN JUAL BELI</v>
      </c>
      <c r="G21" s="12" t="s">
        <v>50</v>
      </c>
      <c r="H21" s="12" t="s">
        <v>52</v>
      </c>
      <c r="I21" s="23">
        <f t="shared" si="5"/>
        <v>45579.62654</v>
      </c>
      <c r="J21" s="20" t="b">
        <v>0</v>
      </c>
      <c r="K21" s="13" t="str">
        <f t="shared" si="2"/>
        <v/>
      </c>
    </row>
    <row r="22" ht="22.5" customHeight="1">
      <c r="B22" s="13">
        <f t="shared" si="3"/>
        <v>16</v>
      </c>
      <c r="C22" s="15" t="str">
        <f t="array" ref="C22">IFNA(_xlfn.XLOOKUP(B22,Table_Respons_Loket[Count],Table_Respons_Loket[Nomor Tiket]),"")</f>
        <v>L/18/141024/1</v>
      </c>
      <c r="D22" s="15" t="str">
        <f t="array" ref="D22">IFNA(_xlfn.XLOOKUP(B22,Table_Respons_Loket[Count],Table_Respons_Loket[Daftar Nomor Hak]),"")</f>
        <v>M.331/NUSANTARA PERMAI;B.389/CAMPANG RAYA-DAHULU</v>
      </c>
      <c r="E22" s="17">
        <f t="array" ref="E22">IFNA(_xlfn.XLOOKUP(B22,Table_Respons_Loket[Count],Table_Respons_Loket[Time Stamp]),"")</f>
        <v>45579.48404</v>
      </c>
      <c r="F22" s="18" t="str">
        <f t="array" ref="F22">IFNA(_xlfn.XLOOKUP(B22,Table_Respons_Loket[Count],Table_Respons_Loket[Jenis Permohonan]),"")</f>
        <v>BLOKIR</v>
      </c>
      <c r="G22" s="12" t="s">
        <v>50</v>
      </c>
      <c r="H22" s="12" t="s">
        <v>52</v>
      </c>
      <c r="I22" s="23">
        <f t="shared" si="5"/>
        <v>45579.62795</v>
      </c>
      <c r="J22" s="20" t="b">
        <v>0</v>
      </c>
      <c r="K22" s="13" t="str">
        <f t="shared" si="2"/>
        <v/>
      </c>
    </row>
    <row r="23" ht="22.5" customHeight="1">
      <c r="B23" s="13">
        <f t="shared" si="3"/>
        <v>17</v>
      </c>
      <c r="C23" s="15" t="str">
        <f t="array" ref="C23">IFNA(_xlfn.XLOOKUP(B23,Table_Respons_Loket[Count],Table_Respons_Loket[Nomor Tiket]),"")</f>
        <v>K/20/141024/1</v>
      </c>
      <c r="D23" s="15" t="str">
        <f t="array" ref="D23">IFNA(_xlfn.XLOOKUP(B23,Table_Respons_Loket[Count],Table_Respons_Loket[Daftar Nomor Hak]),"")</f>
        <v>M.12883/RAJABASA-SEKARANG;B.1210/RAJABASA-DAHULU</v>
      </c>
      <c r="E23" s="17">
        <f t="array" ref="E23">IFNA(_xlfn.XLOOKUP(B23,Table_Respons_Loket[Count],Table_Respons_Loket[Time Stamp]),"")</f>
        <v>45579.48987</v>
      </c>
      <c r="F23" s="18" t="str">
        <f t="array" ref="F23">IFNA(_xlfn.XLOOKUP(B23,Table_Respons_Loket[Count],Table_Respons_Loket[Jenis Permohonan]),"")</f>
        <v>GANDES</v>
      </c>
      <c r="G23" s="12" t="s">
        <v>50</v>
      </c>
      <c r="H23" s="12" t="s">
        <v>52</v>
      </c>
      <c r="I23" s="23">
        <f t="shared" si="5"/>
        <v>45579.62819</v>
      </c>
      <c r="J23" s="20" t="b">
        <v>0</v>
      </c>
      <c r="K23" s="13" t="str">
        <f t="shared" si="2"/>
        <v/>
      </c>
    </row>
    <row r="24" ht="22.5" customHeight="1">
      <c r="B24" s="13">
        <f t="shared" si="3"/>
        <v>18</v>
      </c>
      <c r="C24" s="15" t="str">
        <f t="array" ref="C24">IFNA(_xlfn.XLOOKUP(B24,Table_Respons_Loket[Count],Table_Respons_Loket[Nomor Tiket]),"")</f>
        <v>L/21/141024/1</v>
      </c>
      <c r="D24" s="15" t="str">
        <f t="array" ref="D24">IFNA(_xlfn.XLOOKUP(B24,Table_Respons_Loket[Count],Table_Respons_Loket[Daftar Nomor Hak]),"")</f>
        <v>HM 1812/TANJUNG SENANG</v>
      </c>
      <c r="E24" s="17">
        <f t="array" ref="E24">IFNA(_xlfn.XLOOKUP(B24,Table_Respons_Loket[Count],Table_Respons_Loket[Time Stamp]),"")</f>
        <v>45579.49267</v>
      </c>
      <c r="F24" s="18" t="str">
        <f t="array" ref="F24">IFNA(_xlfn.XLOOKUP(B24,Table_Respons_Loket[Count],Table_Respons_Loket[Jenis Permohonan]),"")</f>
        <v>ROYA</v>
      </c>
      <c r="G24" s="12" t="s">
        <v>50</v>
      </c>
      <c r="H24" s="12" t="s">
        <v>52</v>
      </c>
      <c r="I24" s="23">
        <f t="shared" si="5"/>
        <v>45579.62833</v>
      </c>
      <c r="J24" s="20" t="b">
        <v>0</v>
      </c>
      <c r="K24" s="13" t="str">
        <f t="shared" si="2"/>
        <v/>
      </c>
    </row>
    <row r="25" ht="22.5" customHeight="1">
      <c r="B25" s="13">
        <f t="shared" si="3"/>
        <v>19</v>
      </c>
      <c r="C25" s="15" t="str">
        <f t="array" ref="C25">IFNA(_xlfn.XLOOKUP(B25,Table_Respons_Loket[Count],Table_Respons_Loket[Nomor Tiket]),"")</f>
        <v>K/22/141024/1</v>
      </c>
      <c r="D25" s="15" t="str">
        <f t="array" ref="D25">IFNA(_xlfn.XLOOKUP(B25,Table_Respons_Loket[Count],Table_Respons_Loket[Daftar Nomor Hak]),"")</f>
        <v>M. 6977/ TANJUNG SENANG</v>
      </c>
      <c r="E25" s="17">
        <f t="array" ref="E25">IFNA(_xlfn.XLOOKUP(B25,Table_Respons_Loket[Count],Table_Respons_Loket[Time Stamp]),"")</f>
        <v>45579.4968</v>
      </c>
      <c r="F25" s="18" t="str">
        <f t="array" ref="F25">IFNA(_xlfn.XLOOKUP(B25,Table_Respons_Loket[Count],Table_Respons_Loket[Jenis Permohonan]),"")</f>
        <v>PERALIHAN JUAL BELI</v>
      </c>
      <c r="G25" s="12" t="s">
        <v>50</v>
      </c>
      <c r="H25" s="12" t="s">
        <v>52</v>
      </c>
      <c r="I25" s="23">
        <f t="shared" si="5"/>
        <v>45579.62845</v>
      </c>
      <c r="J25" s="20" t="b">
        <v>0</v>
      </c>
      <c r="K25" s="13" t="str">
        <f t="shared" si="2"/>
        <v/>
      </c>
    </row>
    <row r="26" ht="22.5" customHeight="1">
      <c r="B26" s="13">
        <f t="shared" si="3"/>
        <v>20</v>
      </c>
      <c r="C26" s="15" t="str">
        <f t="array" ref="C26">IFNA(_xlfn.XLOOKUP(B26,Table_Respons_Loket[Count],Table_Respons_Loket[Nomor Tiket]),"")</f>
        <v>K/23/141024/2</v>
      </c>
      <c r="D26" s="15" t="str">
        <f t="array" ref="D26">IFNA(_xlfn.XLOOKUP(B26,Table_Respons_Loket[Count],Table_Respons_Loket[Daftar Nomor Hak]),"")</f>
        <v>M. 246/ GUNUNG SULAH</v>
      </c>
      <c r="E26" s="17">
        <f t="array" ref="E26">IFNA(_xlfn.XLOOKUP(B26,Table_Respons_Loket[Count],Table_Respons_Loket[Time Stamp]),"")</f>
        <v>45579.50024</v>
      </c>
      <c r="F26" s="18" t="str">
        <f t="array" ref="F26">IFNA(_xlfn.XLOOKUP(B26,Table_Respons_Loket[Count],Table_Respons_Loket[Jenis Permohonan]),"")</f>
        <v>PLOTTING</v>
      </c>
      <c r="G26" s="12" t="s">
        <v>50</v>
      </c>
      <c r="H26" s="12" t="s">
        <v>52</v>
      </c>
      <c r="I26" s="23">
        <f t="shared" si="5"/>
        <v>45579.62974</v>
      </c>
      <c r="J26" s="20" t="b">
        <v>0</v>
      </c>
      <c r="K26" s="13" t="str">
        <f t="shared" si="2"/>
        <v/>
      </c>
    </row>
    <row r="27" ht="22.5" customHeight="1">
      <c r="B27" s="13">
        <f t="shared" si="3"/>
        <v>21</v>
      </c>
      <c r="C27" s="15" t="str">
        <f t="array" ref="C27">IFNA(_xlfn.XLOOKUP(B27,Table_Respons_Loket[Count],Table_Respons_Loket[Nomor Tiket]),"")</f>
        <v>L/24/141024/1</v>
      </c>
      <c r="D27" s="15" t="str">
        <f t="array" ref="D27">IFNA(_xlfn.XLOOKUP(B27,Table_Respons_Loket[Count],Table_Respons_Loket[Daftar Nomor Hak]),"")</f>
        <v>M.2064/GUNUNG TERANG</v>
      </c>
      <c r="E27" s="17">
        <f t="array" ref="E27">IFNA(_xlfn.XLOOKUP(B27,Table_Respons_Loket[Count],Table_Respons_Loket[Time Stamp]),"")</f>
        <v>45579.50035</v>
      </c>
      <c r="F27" s="18" t="str">
        <f t="array" ref="F27">IFNA(_xlfn.XLOOKUP(B27,Table_Respons_Loket[Count],Table_Respons_Loket[Jenis Permohonan]),"")</f>
        <v>ROYA</v>
      </c>
      <c r="G27" s="12" t="s">
        <v>50</v>
      </c>
      <c r="H27" s="12" t="s">
        <v>52</v>
      </c>
      <c r="I27" s="23">
        <f t="shared" si="5"/>
        <v>45579.62615</v>
      </c>
      <c r="J27" s="20" t="b">
        <v>1</v>
      </c>
      <c r="K27" s="17">
        <f t="shared" si="2"/>
        <v>45602.6324</v>
      </c>
    </row>
    <row r="28" ht="22.5" customHeight="1">
      <c r="B28" s="13">
        <f t="shared" si="3"/>
        <v>22</v>
      </c>
      <c r="C28" s="15" t="str">
        <f t="array" ref="C28">IFNA(_xlfn.XLOOKUP(B28,Table_Respons_Loket[Count],Table_Respons_Loket[Nomor Tiket]),"")</f>
        <v>K/25/141024/3</v>
      </c>
      <c r="D28" s="15" t="str">
        <f t="array" ref="D28">IFNA(_xlfn.XLOOKUP(B28,Table_Respons_Loket[Count],Table_Respons_Loket[Daftar Nomor Hak]),"")</f>
        <v>M. 133/ SUKARAME BARU- SEKARANG; B. 144/ SUKARAME BARU-DAHULU; B. 4605/SUKARAME I-DAHULU</v>
      </c>
      <c r="E28" s="17">
        <f t="array" ref="E28">IFNA(_xlfn.XLOOKUP(B28,Table_Respons_Loket[Count],Table_Respons_Loket[Time Stamp]),"")</f>
        <v>45579.55981</v>
      </c>
      <c r="F28" s="18" t="str">
        <f t="array" ref="F28">IFNA(_xlfn.XLOOKUP(B28,Table_Respons_Loket[Count],Table_Respons_Loket[Jenis Permohonan]),"")</f>
        <v>PERALIHAN JUAL BELI</v>
      </c>
      <c r="G28" s="12" t="s">
        <v>50</v>
      </c>
      <c r="H28" s="12" t="s">
        <v>52</v>
      </c>
      <c r="I28" s="23">
        <f t="shared" si="5"/>
        <v>45579.62857</v>
      </c>
      <c r="J28" s="20" t="b">
        <v>0</v>
      </c>
      <c r="K28" s="13" t="str">
        <f t="shared" si="2"/>
        <v/>
      </c>
    </row>
    <row r="29" ht="22.5" customHeight="1">
      <c r="B29" s="13">
        <f t="shared" si="3"/>
        <v>23</v>
      </c>
      <c r="C29" s="15" t="str">
        <f t="array" ref="C29">IFNA(_xlfn.XLOOKUP(B29,Table_Respons_Loket[Count],Table_Respons_Loket[Nomor Tiket]),"")</f>
        <v>K/26/141024/1</v>
      </c>
      <c r="D29" s="15" t="str">
        <f t="array" ref="D29">IFNA(_xlfn.XLOOKUP(B29,Table_Respons_Loket[Count],Table_Respons_Loket[Daftar Nomor Hak]),"")</f>
        <v>M.2094/CAMPANG JAYA</v>
      </c>
      <c r="E29" s="17">
        <f t="array" ref="E29">IFNA(_xlfn.XLOOKUP(B29,Table_Respons_Loket[Count],Table_Respons_Loket[Time Stamp]),"")</f>
        <v>45579.56567</v>
      </c>
      <c r="F29" s="18" t="str">
        <f t="array" ref="F29">IFNA(_xlfn.XLOOKUP(B29,Table_Respons_Loket[Count],Table_Respons_Loket[Jenis Permohonan]),"")</f>
        <v>PERALIHAN JUAL BELI</v>
      </c>
      <c r="G29" s="12" t="s">
        <v>50</v>
      </c>
      <c r="H29" s="12" t="s">
        <v>52</v>
      </c>
      <c r="I29" s="23">
        <f t="shared" si="5"/>
        <v>45579.62709</v>
      </c>
      <c r="J29" s="20" t="b">
        <v>0</v>
      </c>
      <c r="K29" s="13" t="str">
        <f t="shared" si="2"/>
        <v/>
      </c>
    </row>
    <row r="30" ht="22.5" customHeight="1">
      <c r="B30" s="13">
        <f t="shared" si="3"/>
        <v>24</v>
      </c>
      <c r="C30" s="15" t="str">
        <f t="array" ref="C30">IFNA(_xlfn.XLOOKUP(B30,Table_Respons_Loket[Count],Table_Respons_Loket[Nomor Tiket]),"")</f>
        <v>K/27/141024/4</v>
      </c>
      <c r="D30" s="15" t="str">
        <f t="array" ref="D30">IFNA(_xlfn.XLOOKUP(B30,Table_Respons_Loket[Count],Table_Respons_Loket[Daftar Nomor Hak]),"")</f>
        <v>M. 13414/ SUKABUMI</v>
      </c>
      <c r="E30" s="17">
        <f t="array" ref="E30">IFNA(_xlfn.XLOOKUP(B30,Table_Respons_Loket[Count],Table_Respons_Loket[Time Stamp]),"")</f>
        <v>45579.57014</v>
      </c>
      <c r="F30" s="18" t="str">
        <f t="array" ref="F30">IFNA(_xlfn.XLOOKUP(B30,Table_Respons_Loket[Count],Table_Respons_Loket[Jenis Permohonan]),"")</f>
        <v>PERALIHAN JUAL BELI</v>
      </c>
      <c r="G30" s="12" t="s">
        <v>86</v>
      </c>
      <c r="H30" s="12" t="s">
        <v>87</v>
      </c>
      <c r="I30" s="22">
        <f>IF(OR(H30="DISERAHKAN",H30="DISERAHKAN BT",H30="DISERAHKAN SU"),IF(I30&lt;&gt;"",I30,NOW()),"")</f>
        <v>45614.66166</v>
      </c>
      <c r="J30" s="20" t="b">
        <v>0</v>
      </c>
      <c r="K30" s="13" t="str">
        <f t="shared" si="2"/>
        <v/>
      </c>
    </row>
    <row r="31" ht="22.5" customHeight="1">
      <c r="B31" s="13">
        <f t="shared" si="3"/>
        <v>25</v>
      </c>
      <c r="C31" s="15" t="str">
        <f t="array" ref="C31">IFNA(_xlfn.XLOOKUP(B31,Table_Respons_Loket[Count],Table_Respons_Loket[Nomor Tiket]),"")</f>
        <v>K/28/141024/1</v>
      </c>
      <c r="D31" s="15" t="str">
        <f t="array" ref="D31">IFNA(_xlfn.XLOOKUP(B31,Table_Respons_Loket[Count],Table_Respons_Loket[Daftar Nomor Hak]),"")</f>
        <v>B.895/BERINGIN JAYA</v>
      </c>
      <c r="E31" s="17">
        <f t="array" ref="E31">IFNA(_xlfn.XLOOKUP(B31,Table_Respons_Loket[Count],Table_Respons_Loket[Time Stamp]),"")</f>
        <v>45579.57277</v>
      </c>
      <c r="F31" s="18" t="str">
        <f t="array" ref="F31">IFNA(_xlfn.XLOOKUP(B31,Table_Respons_Loket[Count],Table_Respons_Loket[Jenis Permohonan]),"")</f>
        <v>PERALIHAN JUAL BELI</v>
      </c>
      <c r="G31" s="12" t="s">
        <v>50</v>
      </c>
      <c r="H31" s="12" t="s">
        <v>52</v>
      </c>
      <c r="I31" s="23">
        <f>IF(H31="DISERAHKAN",IF(I31&lt;&gt;"",I31,NOW()),"")</f>
        <v>45579.63017</v>
      </c>
      <c r="J31" s="20" t="b">
        <v>0</v>
      </c>
      <c r="K31" s="13" t="str">
        <f t="shared" si="2"/>
        <v/>
      </c>
    </row>
    <row r="32" ht="22.5" customHeight="1">
      <c r="B32" s="13">
        <f t="shared" si="3"/>
        <v>26</v>
      </c>
      <c r="C32" s="15" t="str">
        <f t="array" ref="C32">IFNA(_xlfn.XLOOKUP(B32,Table_Respons_Loket[Count],Table_Respons_Loket[Nomor Tiket]),"")</f>
        <v>K/29/141024/1</v>
      </c>
      <c r="D32" s="15" t="str">
        <f t="array" ref="D32">IFNA(_xlfn.XLOOKUP(B32,Table_Respons_Loket[Count],Table_Respons_Loket[Daftar Nomor Hak]),"")</f>
        <v>M. 2445/ SUKADANA HAM</v>
      </c>
      <c r="E32" s="17">
        <f t="array" ref="E32">IFNA(_xlfn.XLOOKUP(B32,Table_Respons_Loket[Count],Table_Respons_Loket[Time Stamp]),"")</f>
        <v>45579.57794</v>
      </c>
      <c r="F32" s="18" t="str">
        <f t="array" ref="F32">IFNA(_xlfn.XLOOKUP(B32,Table_Respons_Loket[Count],Table_Respons_Loket[Jenis Permohonan]),"")</f>
        <v>PTPGT PEMECAHAN</v>
      </c>
      <c r="G32" s="12"/>
      <c r="H32" s="12" t="s">
        <v>47</v>
      </c>
      <c r="I32" s="22" t="str">
        <f>IF(OR(H32="DISERAHKAN",H32="DISERAHKAN BT",H32="DISERAHKAN SU"),IF(I32&lt;&gt;"",I32,NOW()),"")</f>
        <v/>
      </c>
      <c r="J32" s="20" t="b">
        <v>0</v>
      </c>
      <c r="K32" s="13" t="str">
        <f t="shared" si="2"/>
        <v/>
      </c>
    </row>
    <row r="33" ht="22.5" customHeight="1">
      <c r="B33" s="13">
        <f t="shared" si="3"/>
        <v>27</v>
      </c>
      <c r="C33" s="15" t="str">
        <f t="array" ref="C33">IFNA(_xlfn.XLOOKUP(B33,Table_Respons_Loket[Count],Table_Respons_Loket[Nomor Tiket]),"")</f>
        <v>K/30/141024/1</v>
      </c>
      <c r="D33" s="15" t="str">
        <f t="array" ref="D33">IFNA(_xlfn.XLOOKUP(B33,Table_Respons_Loket[Count],Table_Respons_Loket[Daftar Nomor Hak]),"")</f>
        <v>M.2617/WAY KANDIS</v>
      </c>
      <c r="E33" s="17">
        <f t="array" ref="E33">IFNA(_xlfn.XLOOKUP(B33,Table_Respons_Loket[Count],Table_Respons_Loket[Time Stamp]),"")</f>
        <v>45579.58021</v>
      </c>
      <c r="F33" s="18" t="str">
        <f t="array" ref="F33">IFNA(_xlfn.XLOOKUP(B33,Table_Respons_Loket[Count],Table_Respons_Loket[Jenis Permohonan]),"")</f>
        <v>ROYA</v>
      </c>
      <c r="G33" s="12" t="s">
        <v>50</v>
      </c>
      <c r="H33" s="12" t="s">
        <v>52</v>
      </c>
      <c r="I33" s="23">
        <f>IF(H33="DISERAHKAN",IF(I33&lt;&gt;"",I33,NOW()),"")</f>
        <v>45579.63193</v>
      </c>
      <c r="J33" s="20" t="b">
        <v>0</v>
      </c>
      <c r="K33" s="13" t="str">
        <f t="shared" si="2"/>
        <v/>
      </c>
    </row>
    <row r="34" ht="22.5" customHeight="1">
      <c r="B34" s="13">
        <f t="shared" si="3"/>
        <v>28</v>
      </c>
      <c r="C34" s="15" t="str">
        <f t="array" ref="C34">IFNA(_xlfn.XLOOKUP(B34,Table_Respons_Loket[Count],Table_Respons_Loket[Nomor Tiket]),"")</f>
        <v>K/31/141024/1</v>
      </c>
      <c r="D34" s="15" t="str">
        <f t="array" ref="D34">IFNA(_xlfn.XLOOKUP(B34,Table_Respons_Loket[Count],Table_Respons_Loket[Daftar Nomor Hak]),"")</f>
        <v>NIBEL 1691/ SUKABUMI INDAH</v>
      </c>
      <c r="E34" s="17">
        <f t="array" ref="E34">IFNA(_xlfn.XLOOKUP(B34,Table_Respons_Loket[Count],Table_Respons_Loket[Time Stamp]),"")</f>
        <v>45579.58489</v>
      </c>
      <c r="F34" s="18" t="str">
        <f t="array" ref="F34">IFNA(_xlfn.XLOOKUP(B34,Table_Respons_Loket[Count],Table_Respons_Loket[Jenis Permohonan]),"")</f>
        <v>PERUBAHAN HAK</v>
      </c>
      <c r="G34" s="24"/>
      <c r="H34" s="24"/>
      <c r="I34" s="22" t="str">
        <f t="shared" ref="I34:I57" si="6">IF(OR(H34="DISERAHKAN",H34="DISERAHKAN BT",H34="DISERAHKAN SU"),IF(I34&lt;&gt;"",I34,NOW()),"")</f>
        <v/>
      </c>
      <c r="J34" s="20" t="b">
        <v>0</v>
      </c>
      <c r="K34" s="13" t="str">
        <f t="shared" si="2"/>
        <v/>
      </c>
    </row>
    <row r="35" ht="22.5" customHeight="1">
      <c r="B35" s="13">
        <f t="shared" si="3"/>
        <v>29</v>
      </c>
      <c r="C35" s="15" t="str">
        <f t="array" ref="C35">IFNA(_xlfn.XLOOKUP(B35,Table_Respons_Loket[Count],Table_Respons_Loket[Nomor Tiket]),"")</f>
        <v>L/34/141024/1</v>
      </c>
      <c r="D35" s="15" t="str">
        <f t="array" ref="D35">IFNA(_xlfn.XLOOKUP(B35,Table_Respons_Loket[Count],Table_Respons_Loket[Daftar Nomor Hak]),"")</f>
        <v>KORPRI JAYA</v>
      </c>
      <c r="E35" s="17">
        <f t="array" ref="E35">IFNA(_xlfn.XLOOKUP(B35,Table_Respons_Loket[Count],Table_Respons_Loket[Time Stamp]),"")</f>
        <v>45579.5919</v>
      </c>
      <c r="F35" s="18" t="str">
        <f t="array" ref="F35">IFNA(_xlfn.XLOOKUP(B35,Table_Respons_Loket[Count],Table_Respons_Loket[Jenis Permohonan]),"")</f>
        <v>PERTAMA KALI</v>
      </c>
      <c r="G35" s="24"/>
      <c r="H35" s="12"/>
      <c r="I35" s="22" t="str">
        <f t="shared" si="6"/>
        <v/>
      </c>
      <c r="J35" s="20" t="b">
        <v>0</v>
      </c>
      <c r="K35" s="13" t="str">
        <f t="shared" si="2"/>
        <v/>
      </c>
    </row>
    <row r="36" ht="22.5" customHeight="1">
      <c r="B36" s="13">
        <f t="shared" si="3"/>
        <v>30</v>
      </c>
      <c r="C36" s="15" t="str">
        <f t="array" ref="C36">IFNA(_xlfn.XLOOKUP(B36,Table_Respons_Loket[Count],Table_Respons_Loket[Nomor Tiket]),"")</f>
        <v>L/33/141024/1</v>
      </c>
      <c r="D36" s="15" t="str">
        <f t="array" ref="D36">IFNA(_xlfn.XLOOKUP(B36,Table_Respons_Loket[Count],Table_Respons_Loket[Daftar Nomor Hak]),"")</f>
        <v>M.1540/GUNUNG TERANG;B.17/GU TERANG-DAHULU</v>
      </c>
      <c r="E36" s="17">
        <f t="array" ref="E36">IFNA(_xlfn.XLOOKUP(B36,Table_Respons_Loket[Count],Table_Respons_Loket[Time Stamp]),"")</f>
        <v>45579.59197</v>
      </c>
      <c r="F36" s="18" t="str">
        <f t="array" ref="F36">IFNA(_xlfn.XLOOKUP(B36,Table_Respons_Loket[Count],Table_Respons_Loket[Jenis Permohonan]),"")</f>
        <v>ROYA</v>
      </c>
      <c r="G36" s="12" t="s">
        <v>48</v>
      </c>
      <c r="H36" s="12" t="s">
        <v>87</v>
      </c>
      <c r="I36" s="22">
        <f t="shared" si="6"/>
        <v>45580.66785</v>
      </c>
      <c r="J36" s="20" t="b">
        <v>1</v>
      </c>
      <c r="K36" s="17">
        <f t="shared" si="2"/>
        <v>45602.62029</v>
      </c>
    </row>
    <row r="37" ht="22.5" customHeight="1">
      <c r="B37" s="13">
        <f t="shared" si="3"/>
        <v>31</v>
      </c>
      <c r="C37" s="15" t="str">
        <f t="array" ref="C37">IFNA(_xlfn.XLOOKUP(B37,Table_Respons_Loket[Count],Table_Respons_Loket[Nomor Tiket]),"")</f>
        <v>K/32/141024/1</v>
      </c>
      <c r="D37" s="15" t="str">
        <f t="array" ref="D37">IFNA(_xlfn.XLOOKUP(B37,Table_Respons_Loket[Count],Table_Respons_Loket[Daftar Nomor Hak]),"")</f>
        <v>M.10108/LABUHAN RATU</v>
      </c>
      <c r="E37" s="17">
        <f t="array" ref="E37">IFNA(_xlfn.XLOOKUP(B37,Table_Respons_Loket[Count],Table_Respons_Loket[Time Stamp]),"")</f>
        <v>45579.59304</v>
      </c>
      <c r="F37" s="18" t="str">
        <f t="array" ref="F37">IFNA(_xlfn.XLOOKUP(B37,Table_Respons_Loket[Count],Table_Respons_Loket[Jenis Permohonan]),"")</f>
        <v>GANDES</v>
      </c>
      <c r="G37" s="12" t="s">
        <v>99</v>
      </c>
      <c r="H37" s="12" t="s">
        <v>52</v>
      </c>
      <c r="I37" s="22">
        <f t="shared" si="6"/>
        <v>45580.66059</v>
      </c>
      <c r="J37" s="20" t="b">
        <v>0</v>
      </c>
      <c r="K37" s="13" t="str">
        <f t="shared" si="2"/>
        <v/>
      </c>
    </row>
    <row r="38" ht="22.5" customHeight="1">
      <c r="B38" s="13">
        <f t="shared" si="3"/>
        <v>32</v>
      </c>
      <c r="C38" s="15" t="str">
        <f t="array" ref="C38">IFNA(_xlfn.XLOOKUP(B38,Table_Respons_Loket[Count],Table_Respons_Loket[Nomor Tiket]),"")</f>
        <v>L/35/141024/1</v>
      </c>
      <c r="D38" s="15" t="str">
        <f t="array" ref="D38">IFNA(_xlfn.XLOOKUP(B38,Table_Respons_Loket[Count],Table_Respons_Loket[Daftar Nomor Hak]),"")</f>
        <v>M.676/SAWAH BREBES</v>
      </c>
      <c r="E38" s="17">
        <f t="array" ref="E38">IFNA(_xlfn.XLOOKUP(B38,Table_Respons_Loket[Count],Table_Respons_Loket[Time Stamp]),"")</f>
        <v>45579.59567</v>
      </c>
      <c r="F38" s="18" t="str">
        <f t="array" ref="F38">IFNA(_xlfn.XLOOKUP(B38,Table_Respons_Loket[Count],Table_Respons_Loket[Jenis Permohonan]),"")</f>
        <v>ROYA LELANG</v>
      </c>
      <c r="G38" s="12" t="s">
        <v>48</v>
      </c>
      <c r="H38" s="12" t="s">
        <v>87</v>
      </c>
      <c r="I38" s="22">
        <f t="shared" si="6"/>
        <v>45580.66789</v>
      </c>
      <c r="J38" s="20" t="b">
        <v>0</v>
      </c>
      <c r="K38" s="13" t="str">
        <f t="shared" si="2"/>
        <v/>
      </c>
    </row>
    <row r="39" ht="22.5" customHeight="1">
      <c r="B39" s="13">
        <f t="shared" si="3"/>
        <v>33</v>
      </c>
      <c r="C39" s="15" t="str">
        <f t="array" ref="C39">IFNA(_xlfn.XLOOKUP(B39,Table_Respons_Loket[Count],Table_Respons_Loket[Nomor Tiket]),"")</f>
        <v>K/36/141024/1</v>
      </c>
      <c r="D39" s="15" t="str">
        <f t="array" ref="D39">IFNA(_xlfn.XLOOKUP(B39,Table_Respons_Loket[Count],Table_Respons_Loket[Daftar Nomor Hak]),"")</f>
        <v>M.250/LANGKAPURA BARU</v>
      </c>
      <c r="E39" s="17">
        <f t="array" ref="E39">IFNA(_xlfn.XLOOKUP(B39,Table_Respons_Loket[Count],Table_Respons_Loket[Time Stamp]),"")</f>
        <v>45579.59833</v>
      </c>
      <c r="F39" s="18" t="str">
        <f t="array" ref="F39">IFNA(_xlfn.XLOOKUP(B39,Table_Respons_Loket[Count],Table_Respons_Loket[Jenis Permohonan]),"")</f>
        <v>PERALIHAN JUAL BELI </v>
      </c>
      <c r="G39" s="12" t="s">
        <v>48</v>
      </c>
      <c r="H39" s="12" t="s">
        <v>87</v>
      </c>
      <c r="I39" s="22">
        <f t="shared" si="6"/>
        <v>45580.66795</v>
      </c>
      <c r="J39" s="20" t="b">
        <v>0</v>
      </c>
      <c r="K39" s="13" t="str">
        <f t="shared" si="2"/>
        <v/>
      </c>
    </row>
    <row r="40" ht="22.5" customHeight="1">
      <c r="B40" s="13">
        <f t="shared" si="3"/>
        <v>34</v>
      </c>
      <c r="C40" s="15" t="str">
        <f t="array" ref="C40">IFNA(_xlfn.XLOOKUP(B40,Table_Respons_Loket[Count],Table_Respons_Loket[Nomor Tiket]),"")</f>
        <v>K/38/141024/1</v>
      </c>
      <c r="D40" s="15" t="str">
        <f t="array" ref="D40">IFNA(_xlfn.XLOOKUP(B40,Table_Respons_Loket[Count],Table_Respons_Loket[Daftar Nomor Hak]),"")</f>
        <v>M. 3157/ LABUHAN DALAM</v>
      </c>
      <c r="E40" s="17">
        <f t="array" ref="E40">IFNA(_xlfn.XLOOKUP(B40,Table_Respons_Loket[Count],Table_Respons_Loket[Time Stamp]),"")</f>
        <v>45579.60111</v>
      </c>
      <c r="F40" s="18" t="str">
        <f t="array" ref="F40">IFNA(_xlfn.XLOOKUP(B40,Table_Respons_Loket[Count],Table_Respons_Loket[Jenis Permohonan]),"")</f>
        <v>PERALIHAN HAK JUAL BELI</v>
      </c>
      <c r="G40" s="12" t="s">
        <v>48</v>
      </c>
      <c r="H40" s="12" t="s">
        <v>87</v>
      </c>
      <c r="I40" s="22">
        <f t="shared" si="6"/>
        <v>45580.66801</v>
      </c>
      <c r="J40" s="20" t="b">
        <v>0</v>
      </c>
      <c r="K40" s="13" t="str">
        <f t="shared" si="2"/>
        <v/>
      </c>
    </row>
    <row r="41" ht="22.5" customHeight="1">
      <c r="B41" s="13">
        <f t="shared" si="3"/>
        <v>35</v>
      </c>
      <c r="C41" s="15" t="str">
        <f t="array" ref="C41">IFNA(_xlfn.XLOOKUP(B41,Table_Respons_Loket[Count],Table_Respons_Loket[Nomor Tiket]),"")</f>
        <v>K/39/141024/1</v>
      </c>
      <c r="D41" s="15" t="str">
        <f t="array" ref="D41">IFNA(_xlfn.XLOOKUP(B41,Table_Respons_Loket[Count],Table_Respons_Loket[Daftar Nomor Hak]),"")</f>
        <v>M.379/KALI BALAU KENCANA </v>
      </c>
      <c r="E41" s="17">
        <f t="array" ref="E41">IFNA(_xlfn.XLOOKUP(B41,Table_Respons_Loket[Count],Table_Respons_Loket[Time Stamp]),"")</f>
        <v>45579.60447</v>
      </c>
      <c r="F41" s="18" t="str">
        <f t="array" ref="F41">IFNA(_xlfn.XLOOKUP(B41,Table_Respons_Loket[Count],Table_Respons_Loket[Jenis Permohonan]),"")</f>
        <v>GANDES</v>
      </c>
      <c r="G41" s="24"/>
      <c r="H41" s="12"/>
      <c r="I41" s="22" t="str">
        <f t="shared" si="6"/>
        <v/>
      </c>
      <c r="J41" s="20" t="b">
        <v>0</v>
      </c>
      <c r="K41" s="13" t="str">
        <f t="shared" si="2"/>
        <v/>
      </c>
    </row>
    <row r="42" ht="22.5" customHeight="1">
      <c r="B42" s="13">
        <f t="shared" si="3"/>
        <v>36</v>
      </c>
      <c r="C42" s="15" t="str">
        <f t="array" ref="C42">IFNA(_xlfn.XLOOKUP(B42,Table_Respons_Loket[Count],Table_Respons_Loket[Nomor Tiket]),"")</f>
        <v>K/40/141024/5</v>
      </c>
      <c r="D42" s="15" t="str">
        <f t="array" ref="D42">IFNA(_xlfn.XLOOKUP(B42,Table_Respons_Loket[Count],Table_Respons_Loket[Daftar Nomor Hak]),"")</f>
        <v>NIBEL 2507/ SUMUR BATU</v>
      </c>
      <c r="E42" s="17">
        <f t="array" ref="E42">IFNA(_xlfn.XLOOKUP(B42,Table_Respons_Loket[Count],Table_Respons_Loket[Time Stamp]),"")</f>
        <v>45579.60845</v>
      </c>
      <c r="F42" s="18" t="str">
        <f t="array" ref="F42">IFNA(_xlfn.XLOOKUP(B42,Table_Respons_Loket[Count],Table_Respons_Loket[Jenis Permohonan]),"")</f>
        <v>PERALIHAN JUAL BELI</v>
      </c>
      <c r="G42" s="24"/>
      <c r="H42" s="12"/>
      <c r="I42" s="22" t="str">
        <f t="shared" si="6"/>
        <v/>
      </c>
      <c r="J42" s="20" t="b">
        <v>0</v>
      </c>
      <c r="K42" s="13" t="str">
        <f t="shared" si="2"/>
        <v/>
      </c>
    </row>
    <row r="43" ht="22.5" customHeight="1">
      <c r="B43" s="13">
        <f t="shared" si="3"/>
        <v>37</v>
      </c>
      <c r="C43" s="15" t="str">
        <f t="array" ref="C43">IFNA(_xlfn.XLOOKUP(B43,Table_Respons_Loket[Count],Table_Respons_Loket[Nomor Tiket]),"")</f>
        <v>K/42/141024/1</v>
      </c>
      <c r="D43" s="15" t="str">
        <f t="array" ref="D43">IFNA(_xlfn.XLOOKUP(B43,Table_Respons_Loket[Count],Table_Respons_Loket[Daftar Nomor Hak]),"")</f>
        <v>M.10676/KEDATON</v>
      </c>
      <c r="E43" s="17">
        <f t="array" ref="E43">IFNA(_xlfn.XLOOKUP(B43,Table_Respons_Loket[Count],Table_Respons_Loket[Time Stamp]),"")</f>
        <v>45579.61594</v>
      </c>
      <c r="F43" s="18" t="str">
        <f t="array" ref="F43">IFNA(_xlfn.XLOOKUP(B43,Table_Respons_Loket[Count],Table_Respons_Loket[Jenis Permohonan]),"")</f>
        <v>GANDES</v>
      </c>
      <c r="G43" s="24"/>
      <c r="H43" s="24"/>
      <c r="I43" s="22" t="str">
        <f t="shared" si="6"/>
        <v/>
      </c>
      <c r="J43" s="20" t="b">
        <v>0</v>
      </c>
      <c r="K43" s="13" t="str">
        <f t="shared" si="2"/>
        <v/>
      </c>
    </row>
    <row r="44" ht="22.5" customHeight="1">
      <c r="B44" s="13">
        <f t="shared" si="3"/>
        <v>38</v>
      </c>
      <c r="C44" s="15" t="str">
        <f t="array" ref="C44">IFNA(_xlfn.XLOOKUP(B44,Table_Respons_Loket[Count],Table_Respons_Loket[Nomor Tiket]),"")</f>
        <v>K/41/141024/1</v>
      </c>
      <c r="D44" s="15" t="str">
        <f t="array" ref="D44">IFNA(_xlfn.XLOOKUP(B44,Table_Respons_Loket[Count],Table_Respons_Loket[Daftar Nomor Hak]),"")</f>
        <v>M. 2283/ GEDONG AIR</v>
      </c>
      <c r="E44" s="17">
        <f t="array" ref="E44">IFNA(_xlfn.XLOOKUP(B44,Table_Respons_Loket[Count],Table_Respons_Loket[Time Stamp]),"")</f>
        <v>45579.6163</v>
      </c>
      <c r="F44" s="18" t="str">
        <f t="array" ref="F44">IFNA(_xlfn.XLOOKUP(B44,Table_Respons_Loket[Count],Table_Respons_Loket[Jenis Permohonan]),"")</f>
        <v>ROYA </v>
      </c>
      <c r="G44" s="12" t="s">
        <v>48</v>
      </c>
      <c r="H44" s="12" t="s">
        <v>87</v>
      </c>
      <c r="I44" s="22">
        <f t="shared" si="6"/>
        <v>45580.66824</v>
      </c>
      <c r="J44" s="20" t="b">
        <v>0</v>
      </c>
      <c r="K44" s="13" t="str">
        <f t="shared" si="2"/>
        <v/>
      </c>
    </row>
    <row r="45" ht="22.5" customHeight="1">
      <c r="B45" s="13">
        <f t="shared" si="3"/>
        <v>39</v>
      </c>
      <c r="C45" s="15" t="str">
        <f t="array" ref="C45">IFNA(_xlfn.XLOOKUP(B45,Table_Respons_Loket[Count],Table_Respons_Loket[Nomor Tiket]),"")</f>
        <v>K/43/141024/1</v>
      </c>
      <c r="D45" s="15" t="str">
        <f t="array" ref="D45">IFNA(_xlfn.XLOOKUP(B45,Table_Respons_Loket[Count],Table_Respons_Loket[Daftar Nomor Hak]),"")</f>
        <v>B.2096/CAMPANG RAYA</v>
      </c>
      <c r="E45" s="17">
        <f t="array" ref="E45">IFNA(_xlfn.XLOOKUP(B45,Table_Respons_Loket[Count],Table_Respons_Loket[Time Stamp]),"")</f>
        <v>45579.62726</v>
      </c>
      <c r="F45" s="18" t="str">
        <f t="array" ref="F45">IFNA(_xlfn.XLOOKUP(B45,Table_Respons_Loket[Count],Table_Respons_Loket[Jenis Permohonan]),"")</f>
        <v>GANDES</v>
      </c>
      <c r="G45" s="24"/>
      <c r="H45" s="24"/>
      <c r="I45" s="22" t="str">
        <f t="shared" si="6"/>
        <v/>
      </c>
      <c r="J45" s="20" t="b">
        <v>0</v>
      </c>
      <c r="K45" s="13" t="str">
        <f t="shared" si="2"/>
        <v/>
      </c>
    </row>
    <row r="46" ht="22.5" customHeight="1">
      <c r="B46" s="13">
        <f t="shared" si="3"/>
        <v>40</v>
      </c>
      <c r="C46" s="15" t="str">
        <f t="array" ref="C46">IFNA(_xlfn.XLOOKUP(B46,Table_Respons_Loket[Count],Table_Respons_Loket[Nomor Tiket]),"")</f>
        <v>K/44/141024/2</v>
      </c>
      <c r="D46" s="15" t="str">
        <f t="array" ref="D46">IFNA(_xlfn.XLOOKUP(B46,Table_Respons_Loket[Count],Table_Respons_Loket[Daftar Nomor Hak]),"")</f>
        <v>B.2095/CAMPANG RAYA</v>
      </c>
      <c r="E46" s="17">
        <f t="array" ref="E46">IFNA(_xlfn.XLOOKUP(B46,Table_Respons_Loket[Count],Table_Respons_Loket[Time Stamp]),"")</f>
        <v>45579.62802</v>
      </c>
      <c r="F46" s="18" t="str">
        <f t="array" ref="F46">IFNA(_xlfn.XLOOKUP(B46,Table_Respons_Loket[Count],Table_Respons_Loket[Jenis Permohonan]),"")</f>
        <v>GANDES</v>
      </c>
      <c r="G46" s="24"/>
      <c r="H46" s="24"/>
      <c r="I46" s="22" t="str">
        <f t="shared" si="6"/>
        <v/>
      </c>
      <c r="J46" s="20" t="b">
        <v>0</v>
      </c>
      <c r="K46" s="13" t="str">
        <f t="shared" si="2"/>
        <v/>
      </c>
    </row>
    <row r="47" ht="22.5" customHeight="1">
      <c r="B47" s="13">
        <f t="shared" si="3"/>
        <v>41</v>
      </c>
      <c r="C47" s="15" t="str">
        <f t="array" ref="C47">IFNA(_xlfn.XLOOKUP(B47,Table_Respons_Loket[Count],Table_Respons_Loket[Nomor Tiket]),"")</f>
        <v>K/45/151024/1</v>
      </c>
      <c r="D47" s="15" t="str">
        <f t="array" ref="D47">IFNA(_xlfn.XLOOKUP(B47,Table_Respons_Loket[Count],Table_Respons_Loket[Daftar Nomor Hak]),"")</f>
        <v>M. 2732/ KOTA BARU</v>
      </c>
      <c r="E47" s="17">
        <f t="array" ref="E47">IFNA(_xlfn.XLOOKUP(B47,Table_Respons_Loket[Count],Table_Respons_Loket[Time Stamp]),"")</f>
        <v>45580.36647</v>
      </c>
      <c r="F47" s="18" t="str">
        <f t="array" ref="F47">IFNA(_xlfn.XLOOKUP(B47,Table_Respons_Loket[Count],Table_Respons_Loket[Jenis Permohonan]),"")</f>
        <v>PERALIHAN HAK KEWARISAN</v>
      </c>
      <c r="G47" s="12" t="s">
        <v>48</v>
      </c>
      <c r="H47" s="12" t="s">
        <v>52</v>
      </c>
      <c r="I47" s="22">
        <f t="shared" si="6"/>
        <v>45581.34828</v>
      </c>
      <c r="J47" s="20" t="b">
        <v>0</v>
      </c>
      <c r="K47" s="13" t="str">
        <f t="shared" si="2"/>
        <v/>
      </c>
    </row>
    <row r="48" ht="22.5" customHeight="1">
      <c r="B48" s="13">
        <f t="shared" si="3"/>
        <v>42</v>
      </c>
      <c r="C48" s="15" t="str">
        <f t="array" ref="C48">IFNA(_xlfn.XLOOKUP(B48,Table_Respons_Loket[Count],Table_Respons_Loket[Nomor Tiket]),"")</f>
        <v>K/46/151024/2</v>
      </c>
      <c r="D48" s="15" t="str">
        <f t="array" ref="D48">IFNA(_xlfn.XLOOKUP(B48,Table_Respons_Loket[Count],Table_Respons_Loket[Daftar Nomor Hak]),"")</f>
        <v>M. 534/ SUMBEREJO SEJAHTERA</v>
      </c>
      <c r="E48" s="17">
        <f t="array" ref="E48">IFNA(_xlfn.XLOOKUP(B48,Table_Respons_Loket[Count],Table_Respons_Loket[Time Stamp]),"")</f>
        <v>45580.36856</v>
      </c>
      <c r="F48" s="18" t="str">
        <f t="array" ref="F48">IFNA(_xlfn.XLOOKUP(B48,Table_Respons_Loket[Count],Table_Respons_Loket[Jenis Permohonan]),"")</f>
        <v>PTPGT</v>
      </c>
      <c r="G48" s="24"/>
      <c r="H48" s="24"/>
      <c r="I48" s="22" t="str">
        <f t="shared" si="6"/>
        <v/>
      </c>
      <c r="J48" s="20" t="b">
        <v>0</v>
      </c>
      <c r="K48" s="13" t="str">
        <f t="shared" si="2"/>
        <v/>
      </c>
    </row>
    <row r="49" ht="22.5" customHeight="1">
      <c r="B49" s="13">
        <f t="shared" si="3"/>
        <v>43</v>
      </c>
      <c r="C49" s="15" t="str">
        <f t="array" ref="C49">IFNA(_xlfn.XLOOKUP(B49,Table_Respons_Loket[Count],Table_Respons_Loket[Nomor Tiket]),"")</f>
        <v>K/1/151024/1</v>
      </c>
      <c r="D49" s="15" t="str">
        <f t="array" ref="D49">IFNA(_xlfn.XLOOKUP(B49,Table_Respons_Loket[Count],Table_Respons_Loket[Daftar Nomor Hak]),"")</f>
        <v>M. 777/ GEDONG PAKUON</v>
      </c>
      <c r="E49" s="17">
        <f t="array" ref="E49">IFNA(_xlfn.XLOOKUP(B49,Table_Respons_Loket[Count],Table_Respons_Loket[Time Stamp]),"")</f>
        <v>45580.38409</v>
      </c>
      <c r="F49" s="18" t="str">
        <f t="array" ref="F49">IFNA(_xlfn.XLOOKUP(B49,Table_Respons_Loket[Count],Table_Respons_Loket[Jenis Permohonan]),"")</f>
        <v>PENGECEKKAN</v>
      </c>
      <c r="G49" s="24"/>
      <c r="H49" s="24"/>
      <c r="I49" s="22" t="str">
        <f t="shared" si="6"/>
        <v/>
      </c>
      <c r="J49" s="20" t="b">
        <v>0</v>
      </c>
      <c r="K49" s="13" t="str">
        <f t="shared" si="2"/>
        <v/>
      </c>
    </row>
    <row r="50" ht="22.5" customHeight="1">
      <c r="B50" s="13">
        <f t="shared" si="3"/>
        <v>44</v>
      </c>
      <c r="C50" s="15" t="str">
        <f t="array" ref="C50">IFNA(_xlfn.XLOOKUP(B50,Table_Respons_Loket[Count],Table_Respons_Loket[Nomor Tiket]),"")</f>
        <v>K/2/151024/2</v>
      </c>
      <c r="D50" s="15" t="str">
        <f t="array" ref="D50">IFNA(_xlfn.XLOOKUP(B50,Table_Respons_Loket[Count],Table_Respons_Loket[Daftar Nomor Hak]),"")</f>
        <v>M. 12840/ SEGALA MIDER</v>
      </c>
      <c r="E50" s="17">
        <f t="array" ref="E50">IFNA(_xlfn.XLOOKUP(B50,Table_Respons_Loket[Count],Table_Respons_Loket[Time Stamp]),"")</f>
        <v>45580.38565</v>
      </c>
      <c r="F50" s="18" t="str">
        <f t="array" ref="F50">IFNA(_xlfn.XLOOKUP(B50,Table_Respons_Loket[Count],Table_Respons_Loket[Jenis Permohonan]),"")</f>
        <v>PENGECEKKAN</v>
      </c>
      <c r="G50" s="24"/>
      <c r="H50" s="24"/>
      <c r="I50" s="22" t="str">
        <f t="shared" si="6"/>
        <v/>
      </c>
      <c r="J50" s="20" t="b">
        <v>0</v>
      </c>
      <c r="K50" s="13" t="str">
        <f t="shared" si="2"/>
        <v/>
      </c>
    </row>
    <row r="51" ht="22.5" customHeight="1">
      <c r="B51" s="13">
        <f t="shared" si="3"/>
        <v>45</v>
      </c>
      <c r="C51" s="15" t="str">
        <f t="array" ref="C51">IFNA(_xlfn.XLOOKUP(B51,Table_Respons_Loket[Count],Table_Respons_Loket[Nomor Tiket]),"")</f>
        <v>K/3/151024/1</v>
      </c>
      <c r="D51" s="15" t="str">
        <f t="array" ref="D51">IFNA(_xlfn.XLOOKUP(B51,Table_Respons_Loket[Count],Table_Respons_Loket[Daftar Nomor Hak]),"")</f>
        <v>B. 613/ SUMUR PUTRI</v>
      </c>
      <c r="E51" s="17">
        <f t="array" ref="E51">IFNA(_xlfn.XLOOKUP(B51,Table_Respons_Loket[Count],Table_Respons_Loket[Time Stamp]),"")</f>
        <v>45580.3947</v>
      </c>
      <c r="F51" s="18" t="str">
        <f t="array" ref="F51">IFNA(_xlfn.XLOOKUP(B51,Table_Respons_Loket[Count],Table_Respons_Loket[Jenis Permohonan]),"")</f>
        <v>PERALIHAN JUAL BELI</v>
      </c>
      <c r="G51" s="12" t="s">
        <v>48</v>
      </c>
      <c r="H51" s="12" t="s">
        <v>87</v>
      </c>
      <c r="I51" s="22">
        <f t="shared" si="6"/>
        <v>45580.66832</v>
      </c>
      <c r="J51" s="20" t="b">
        <v>0</v>
      </c>
      <c r="K51" s="13" t="str">
        <f t="shared" si="2"/>
        <v/>
      </c>
    </row>
    <row r="52" ht="22.5" customHeight="1">
      <c r="B52" s="13">
        <f t="shared" si="3"/>
        <v>46</v>
      </c>
      <c r="C52" s="15" t="str">
        <f t="array" ref="C52">IFNA(_xlfn.XLOOKUP(B52,Table_Respons_Loket[Count],Table_Respons_Loket[Nomor Tiket]),"")</f>
        <v>K/4/151024/1</v>
      </c>
      <c r="D52" s="15" t="str">
        <f t="array" ref="D52">IFNA(_xlfn.XLOOKUP(B52,Table_Respons_Loket[Count],Table_Respons_Loket[Daftar Nomor Hak]),"")</f>
        <v>M. 10315/ Rajabasa</v>
      </c>
      <c r="E52" s="17">
        <f t="array" ref="E52">IFNA(_xlfn.XLOOKUP(B52,Table_Respons_Loket[Count],Table_Respons_Loket[Time Stamp]),"")</f>
        <v>45580.39812</v>
      </c>
      <c r="F52" s="18" t="str">
        <f t="array" ref="F52">IFNA(_xlfn.XLOOKUP(B52,Table_Respons_Loket[Count],Table_Respons_Loket[Jenis Permohonan]),"")</f>
        <v>Roya</v>
      </c>
      <c r="G52" s="12" t="s">
        <v>48</v>
      </c>
      <c r="H52" s="12" t="s">
        <v>87</v>
      </c>
      <c r="I52" s="22">
        <f t="shared" si="6"/>
        <v>45580.66873</v>
      </c>
      <c r="J52" s="20" t="b">
        <v>0</v>
      </c>
      <c r="K52" s="13" t="str">
        <f t="shared" si="2"/>
        <v/>
      </c>
    </row>
    <row r="53" ht="22.5" customHeight="1">
      <c r="B53" s="13">
        <f t="shared" si="3"/>
        <v>47</v>
      </c>
      <c r="C53" s="15" t="str">
        <f t="array" ref="C53">IFNA(_xlfn.XLOOKUP(B53,Table_Respons_Loket[Count],Table_Respons_Loket[Nomor Tiket]),"")</f>
        <v>K/5/151024/2</v>
      </c>
      <c r="D53" s="15" t="str">
        <f t="array" ref="D53">IFNA(_xlfn.XLOOKUP(B53,Table_Respons_Loket[Count],Table_Respons_Loket[Daftar Nomor Hak]),"")</f>
        <v>M. 1952/ Langkapura</v>
      </c>
      <c r="E53" s="17">
        <f t="array" ref="E53">IFNA(_xlfn.XLOOKUP(B53,Table_Respons_Loket[Count],Table_Respons_Loket[Time Stamp]),"")</f>
        <v>45580.40109</v>
      </c>
      <c r="F53" s="18" t="str">
        <f t="array" ref="F53">IFNA(_xlfn.XLOOKUP(B53,Table_Respons_Loket[Count],Table_Respons_Loket[Jenis Permohonan]),"")</f>
        <v>Roya </v>
      </c>
      <c r="G53" s="12" t="s">
        <v>48</v>
      </c>
      <c r="H53" s="12" t="s">
        <v>87</v>
      </c>
      <c r="I53" s="22">
        <f t="shared" si="6"/>
        <v>45580.66878</v>
      </c>
      <c r="J53" s="20" t="b">
        <v>0</v>
      </c>
      <c r="K53" s="13" t="str">
        <f t="shared" si="2"/>
        <v/>
      </c>
    </row>
    <row r="54" ht="22.5" customHeight="1">
      <c r="B54" s="13">
        <f t="shared" si="3"/>
        <v>48</v>
      </c>
      <c r="C54" s="15" t="str">
        <f t="array" ref="C54">IFNA(_xlfn.XLOOKUP(B54,Table_Respons_Loket[Count],Table_Respons_Loket[Nomor Tiket]),"")</f>
        <v>L/8/151024/1</v>
      </c>
      <c r="D54" s="15" t="str">
        <f t="array" ref="D54">IFNA(_xlfn.XLOOKUP(B54,Table_Respons_Loket[Count],Table_Respons_Loket[Daftar Nomor Hak]),"")</f>
        <v>NIB 0801000002556/KEMILING PERMAI</v>
      </c>
      <c r="E54" s="17">
        <f t="array" ref="E54">IFNA(_xlfn.XLOOKUP(B54,Table_Respons_Loket[Count],Table_Respons_Loket[Time Stamp]),"")</f>
        <v>45580.40741</v>
      </c>
      <c r="F54" s="18" t="str">
        <f t="array" ref="F54">IFNA(_xlfn.XLOOKUP(B54,Table_Respons_Loket[Count],Table_Respons_Loket[Jenis Permohonan]),"")</f>
        <v>PERUBAHAN HAK</v>
      </c>
      <c r="G54" s="24"/>
      <c r="H54" s="24"/>
      <c r="I54" s="22" t="str">
        <f t="shared" si="6"/>
        <v/>
      </c>
      <c r="J54" s="20" t="b">
        <v>0</v>
      </c>
      <c r="K54" s="13" t="str">
        <f t="shared" si="2"/>
        <v/>
      </c>
    </row>
    <row r="55" ht="22.5" customHeight="1">
      <c r="B55" s="13">
        <f t="shared" si="3"/>
        <v>49</v>
      </c>
      <c r="C55" s="15" t="str">
        <f t="array" ref="C55">IFNA(_xlfn.XLOOKUP(B55,Table_Respons_Loket[Count],Table_Respons_Loket[Nomor Tiket]),"")</f>
        <v>K/7/151024/1</v>
      </c>
      <c r="D55" s="15" t="str">
        <f t="array" ref="D55">IFNA(_xlfn.XLOOKUP(B55,Table_Respons_Loket[Count],Table_Respons_Loket[Daftar Nomor Hak]),"")</f>
        <v>NIBEL 874/ BUMI KEDAMAIAN</v>
      </c>
      <c r="E55" s="17">
        <f t="array" ref="E55">IFNA(_xlfn.XLOOKUP(B55,Table_Respons_Loket[Count],Table_Respons_Loket[Time Stamp]),"")</f>
        <v>45580.40826</v>
      </c>
      <c r="F55" s="18" t="str">
        <f t="array" ref="F55">IFNA(_xlfn.XLOOKUP(B55,Table_Respons_Loket[Count],Table_Respons_Loket[Jenis Permohonan]),"")</f>
        <v>PERALIHAN JUAL BELI</v>
      </c>
      <c r="G55" s="24"/>
      <c r="H55" s="24"/>
      <c r="I55" s="22" t="str">
        <f t="shared" si="6"/>
        <v/>
      </c>
      <c r="J55" s="20" t="b">
        <v>0</v>
      </c>
      <c r="K55" s="13" t="str">
        <f t="shared" si="2"/>
        <v/>
      </c>
    </row>
    <row r="56" ht="22.5" customHeight="1">
      <c r="B56" s="13">
        <f t="shared" si="3"/>
        <v>50</v>
      </c>
      <c r="C56" s="15" t="str">
        <f t="array" ref="C56">IFNA(_xlfn.XLOOKUP(B56,Table_Respons_Loket[Count],Table_Respons_Loket[Nomor Tiket]),"")</f>
        <v>K/6/151024/1</v>
      </c>
      <c r="D56" s="15" t="str">
        <f t="array" ref="D56">IFNA(_xlfn.XLOOKUP(B56,Table_Respons_Loket[Count],Table_Respons_Loket[Daftar Nomor Hak]),"")</f>
        <v>M. 1931/ Campang Jaya</v>
      </c>
      <c r="E56" s="17">
        <f t="array" ref="E56">IFNA(_xlfn.XLOOKUP(B56,Table_Respons_Loket[Count],Table_Respons_Loket[Time Stamp]),"")</f>
        <v>45580.41234</v>
      </c>
      <c r="F56" s="18" t="str">
        <f t="array" ref="F56">IFNA(_xlfn.XLOOKUP(B56,Table_Respons_Loket[Count],Table_Respons_Loket[Jenis Permohonan]),"")</f>
        <v>BN Jual Beli</v>
      </c>
      <c r="G56" s="12" t="s">
        <v>48</v>
      </c>
      <c r="H56" s="12" t="s">
        <v>87</v>
      </c>
      <c r="I56" s="22">
        <f t="shared" si="6"/>
        <v>45580.66749</v>
      </c>
      <c r="J56" s="20" t="b">
        <v>0</v>
      </c>
      <c r="K56" s="13" t="str">
        <f t="shared" si="2"/>
        <v/>
      </c>
    </row>
    <row r="57" ht="22.5" customHeight="1">
      <c r="B57" s="13">
        <f t="shared" si="3"/>
        <v>51</v>
      </c>
      <c r="C57" s="15" t="str">
        <f t="array" ref="C57">IFNA(_xlfn.XLOOKUP(B57,Table_Respons_Loket[Count],Table_Respons_Loket[Nomor Tiket]),"")</f>
        <v>K/9/151024/2</v>
      </c>
      <c r="D57" s="15" t="str">
        <f t="array" ref="D57">IFNA(_xlfn.XLOOKUP(B57,Table_Respons_Loket[Count],Table_Respons_Loket[Daftar Nomor Hak]),"")</f>
        <v>M. 2400/ NOG;  M. 811/ Bakung; M. 131/NOG:</v>
      </c>
      <c r="E57" s="17">
        <f t="array" ref="E57">IFNA(_xlfn.XLOOKUP(B57,Table_Respons_Loket[Count],Table_Respons_Loket[Time Stamp]),"")</f>
        <v>45580.41903</v>
      </c>
      <c r="F57" s="18" t="str">
        <f t="array" ref="F57">IFNA(_xlfn.XLOOKUP(B57,Table_Respons_Loket[Count],Table_Respons_Loket[Jenis Permohonan]),"")</f>
        <v>BN Jual Beli</v>
      </c>
      <c r="G57" s="12" t="s">
        <v>48</v>
      </c>
      <c r="H57" s="12" t="s">
        <v>87</v>
      </c>
      <c r="I57" s="22">
        <f t="shared" si="6"/>
        <v>45580.6676</v>
      </c>
      <c r="J57" s="20" t="b">
        <v>0</v>
      </c>
      <c r="K57" s="13" t="str">
        <f t="shared" si="2"/>
        <v/>
      </c>
    </row>
    <row r="58" ht="22.5" customHeight="1">
      <c r="B58" s="13">
        <f t="shared" si="3"/>
        <v>52</v>
      </c>
      <c r="C58" s="15" t="str">
        <f t="array" ref="C58">IFNA(_xlfn.XLOOKUP(B58,Table_Respons_Loket[Count],Table_Respons_Loket[Nomor Tiket]),"")</f>
        <v>L/10/151024/1</v>
      </c>
      <c r="D58" s="15" t="str">
        <f t="array" ref="D58">IFNA(_xlfn.XLOOKUP(B58,Table_Respons_Loket[Count],Table_Respons_Loket[Daftar Nomor Hak]),"")</f>
        <v>B.561/NUSANTARA PERMAI;B.329/CAMPANG RAYA-DAHULU</v>
      </c>
      <c r="E58" s="17">
        <f t="array" ref="E58">IFNA(_xlfn.XLOOKUP(B58,Table_Respons_Loket[Count],Table_Respons_Loket[Time Stamp]),"")</f>
        <v>45580.422</v>
      </c>
      <c r="F58" s="18" t="str">
        <f t="array" ref="F58">IFNA(_xlfn.XLOOKUP(B58,Table_Respons_Loket[Count],Table_Respons_Loket[Jenis Permohonan]),"")</f>
        <v>PERUBAHAN HAK</v>
      </c>
      <c r="G58" s="12" t="s">
        <v>48</v>
      </c>
      <c r="H58" s="12" t="s">
        <v>52</v>
      </c>
      <c r="I58" s="23">
        <f>IF(H58="DISERAHKAN",IF(I58&lt;&gt;"",I58,NOW()),"")</f>
        <v>45580.45984</v>
      </c>
      <c r="J58" s="20" t="b">
        <v>0</v>
      </c>
      <c r="K58" s="13" t="str">
        <f t="shared" si="2"/>
        <v/>
      </c>
    </row>
    <row r="59" ht="22.5" customHeight="1">
      <c r="B59" s="13">
        <f t="shared" si="3"/>
        <v>53</v>
      </c>
      <c r="C59" s="15" t="str">
        <f t="array" ref="C59">IFNA(_xlfn.XLOOKUP(B59,Table_Respons_Loket[Count],Table_Respons_Loket[Nomor Tiket]),"")</f>
        <v>K/11/151024/1</v>
      </c>
      <c r="D59" s="15" t="str">
        <f t="array" ref="D59">IFNA(_xlfn.XLOOKUP(B59,Table_Respons_Loket[Count],Table_Respons_Loket[Daftar Nomor Hak]),"")</f>
        <v>Nibel. M. 1869/ Sepang Jaya</v>
      </c>
      <c r="E59" s="17">
        <f t="array" ref="E59">IFNA(_xlfn.XLOOKUP(B59,Table_Respons_Loket[Count],Table_Respons_Loket[Time Stamp]),"")</f>
        <v>45580.42409</v>
      </c>
      <c r="F59" s="18" t="str">
        <f t="array" ref="F59">IFNA(_xlfn.XLOOKUP(B59,Table_Respons_Loket[Count],Table_Respons_Loket[Jenis Permohonan]),"")</f>
        <v>BN Jual Beli</v>
      </c>
      <c r="G59" s="24"/>
      <c r="H59" s="12"/>
      <c r="I59" s="22" t="str">
        <f t="shared" ref="I59:I2006" si="7">IF(OR(H59="DISERAHKAN",H59="DISERAHKAN BT",H59="DISERAHKAN SU"),IF(I59&lt;&gt;"",I59,NOW()),"")</f>
        <v/>
      </c>
      <c r="J59" s="20" t="b">
        <v>0</v>
      </c>
      <c r="K59" s="13" t="str">
        <f t="shared" si="2"/>
        <v/>
      </c>
    </row>
    <row r="60" ht="22.5" customHeight="1">
      <c r="B60" s="13">
        <f t="shared" si="3"/>
        <v>54</v>
      </c>
      <c r="C60" s="15" t="str">
        <f t="array" ref="C60">IFNA(_xlfn.XLOOKUP(B60,Table_Respons_Loket[Count],Table_Respons_Loket[Nomor Tiket]),"")</f>
        <v>K/12/151024/2</v>
      </c>
      <c r="D60" s="15" t="str">
        <f t="array" ref="D60">IFNA(_xlfn.XLOOKUP(B60,Table_Respons_Loket[Count],Table_Respons_Loket[Daftar Nomor Hak]),"")</f>
        <v>M. 288/ Kaliawi</v>
      </c>
      <c r="E60" s="17">
        <f t="array" ref="E60">IFNA(_xlfn.XLOOKUP(B60,Table_Respons_Loket[Count],Table_Respons_Loket[Time Stamp]),"")</f>
        <v>45580.42576</v>
      </c>
      <c r="F60" s="18" t="str">
        <f t="array" ref="F60">IFNA(_xlfn.XLOOKUP(B60,Table_Respons_Loket[Count],Table_Respons_Loket[Jenis Permohonan]),"")</f>
        <v>BN Jual Beli</v>
      </c>
      <c r="G60" s="12" t="s">
        <v>48</v>
      </c>
      <c r="H60" s="12" t="s">
        <v>52</v>
      </c>
      <c r="I60" s="22">
        <f t="shared" si="7"/>
        <v>45587.64174</v>
      </c>
      <c r="J60" s="20" t="b">
        <v>1</v>
      </c>
      <c r="K60" s="17">
        <f t="shared" si="2"/>
        <v>45593.41256</v>
      </c>
    </row>
    <row r="61" ht="22.5" customHeight="1">
      <c r="B61" s="13">
        <f t="shared" si="3"/>
        <v>55</v>
      </c>
      <c r="C61" s="15" t="str">
        <f t="array" ref="C61">IFNA(_xlfn.XLOOKUP(B61,Table_Respons_Loket[Count],Table_Respons_Loket[Nomor Tiket]),"")</f>
        <v>K/13/151024/3</v>
      </c>
      <c r="D61" s="15" t="str">
        <f t="array" ref="D61">IFNA(_xlfn.XLOOKUP(B61,Table_Respons_Loket[Count],Table_Respons_Loket[Daftar Nomor Hak]),"")</f>
        <v>M. 41/ Kota Sepang</v>
      </c>
      <c r="E61" s="17">
        <f t="array" ref="E61">IFNA(_xlfn.XLOOKUP(B61,Table_Respons_Loket[Count],Table_Respons_Loket[Time Stamp]),"")</f>
        <v>45580.42721</v>
      </c>
      <c r="F61" s="18" t="str">
        <f t="array" ref="F61">IFNA(_xlfn.XLOOKUP(B61,Table_Respons_Loket[Count],Table_Respons_Loket[Jenis Permohonan]),"")</f>
        <v>BN Jual Beli</v>
      </c>
      <c r="G61" s="12" t="s">
        <v>50</v>
      </c>
      <c r="H61" s="12" t="s">
        <v>52</v>
      </c>
      <c r="I61" s="22">
        <f t="shared" si="7"/>
        <v>45581.40763</v>
      </c>
      <c r="J61" s="20" t="b">
        <v>0</v>
      </c>
      <c r="K61" s="13" t="str">
        <f t="shared" si="2"/>
        <v/>
      </c>
    </row>
    <row r="62" ht="22.5" customHeight="1">
      <c r="B62" s="13">
        <f t="shared" si="3"/>
        <v>56</v>
      </c>
      <c r="C62" s="15" t="str">
        <f t="array" ref="C62">IFNA(_xlfn.XLOOKUP(B62,Table_Respons_Loket[Count],Table_Respons_Loket[Nomor Tiket]),"")</f>
        <v>K/14/151024/1</v>
      </c>
      <c r="D62" s="15" t="str">
        <f t="array" ref="D62">IFNA(_xlfn.XLOOKUP(B62,Table_Respons_Loket[Count],Table_Respons_Loket[Daftar Nomor Hak]),"")</f>
        <v>M. 3901/ Tanjung Senang</v>
      </c>
      <c r="E62" s="17">
        <f t="array" ref="E62">IFNA(_xlfn.XLOOKUP(B62,Table_Respons_Loket[Count],Table_Respons_Loket[Time Stamp]),"")</f>
        <v>45580.43018</v>
      </c>
      <c r="F62" s="18" t="str">
        <f t="array" ref="F62">IFNA(_xlfn.XLOOKUP(B62,Table_Respons_Loket[Count],Table_Respons_Loket[Jenis Permohonan]),"")</f>
        <v>Roya</v>
      </c>
      <c r="G62" s="12" t="s">
        <v>50</v>
      </c>
      <c r="H62" s="12" t="s">
        <v>52</v>
      </c>
      <c r="I62" s="22">
        <f t="shared" si="7"/>
        <v>45581.34974</v>
      </c>
      <c r="J62" s="20" t="b">
        <v>0</v>
      </c>
      <c r="K62" s="13" t="str">
        <f t="shared" si="2"/>
        <v/>
      </c>
    </row>
    <row r="63" ht="22.5" customHeight="1">
      <c r="B63" s="13">
        <f t="shared" si="3"/>
        <v>57</v>
      </c>
      <c r="C63" s="15" t="str">
        <f t="array" ref="C63">IFNA(_xlfn.XLOOKUP(B63,Table_Respons_Loket[Count],Table_Respons_Loket[Nomor Tiket]),"")</f>
        <v>K/15/151024/1</v>
      </c>
      <c r="D63" s="15" t="str">
        <f t="array" ref="D63">IFNA(_xlfn.XLOOKUP(B63,Table_Respons_Loket[Count],Table_Respons_Loket[Daftar Nomor Hak]),"")</f>
        <v>M. 2424/ KEDAUNG</v>
      </c>
      <c r="E63" s="17">
        <f t="array" ref="E63">IFNA(_xlfn.XLOOKUP(B63,Table_Respons_Loket[Count],Table_Respons_Loket[Time Stamp]),"")</f>
        <v>45580.43753</v>
      </c>
      <c r="F63" s="18" t="str">
        <f t="array" ref="F63">IFNA(_xlfn.XLOOKUP(B63,Table_Respons_Loket[Count],Table_Respons_Loket[Jenis Permohonan]),"")</f>
        <v>BN JUAL BELI</v>
      </c>
      <c r="G63" s="12" t="s">
        <v>48</v>
      </c>
      <c r="H63" s="12" t="s">
        <v>52</v>
      </c>
      <c r="I63" s="22">
        <f t="shared" si="7"/>
        <v>45581.42071</v>
      </c>
      <c r="J63" s="20" t="b">
        <v>0</v>
      </c>
      <c r="K63" s="13" t="str">
        <f t="shared" si="2"/>
        <v/>
      </c>
    </row>
    <row r="64" ht="22.5" customHeight="1">
      <c r="B64" s="13">
        <f t="shared" si="3"/>
        <v>58</v>
      </c>
      <c r="C64" s="15" t="str">
        <f t="array" ref="C64">IFNA(_xlfn.XLOOKUP(B64,Table_Respons_Loket[Count],Table_Respons_Loket[Nomor Tiket]),"")</f>
        <v>K/16/151024/2</v>
      </c>
      <c r="D64" s="15" t="str">
        <f t="array" ref="D64">IFNA(_xlfn.XLOOKUP(B64,Table_Respons_Loket[Count],Table_Respons_Loket[Daftar Nomor Hak]),"")</f>
        <v>M. 2418/ KEDAUNG</v>
      </c>
      <c r="E64" s="17">
        <f t="array" ref="E64">IFNA(_xlfn.XLOOKUP(B64,Table_Respons_Loket[Count],Table_Respons_Loket[Time Stamp]),"")</f>
        <v>45580.44059</v>
      </c>
      <c r="F64" s="18" t="str">
        <f t="array" ref="F64">IFNA(_xlfn.XLOOKUP(B64,Table_Respons_Loket[Count],Table_Respons_Loket[Jenis Permohonan]),"")</f>
        <v>BN JUAL BELI</v>
      </c>
      <c r="G64" s="12" t="s">
        <v>48</v>
      </c>
      <c r="H64" s="12" t="s">
        <v>52</v>
      </c>
      <c r="I64" s="22">
        <f t="shared" si="7"/>
        <v>45581.42062</v>
      </c>
      <c r="J64" s="20" t="b">
        <v>0</v>
      </c>
      <c r="K64" s="13" t="str">
        <f t="shared" si="2"/>
        <v/>
      </c>
    </row>
    <row r="65" ht="22.5" customHeight="1">
      <c r="B65" s="13">
        <f t="shared" si="3"/>
        <v>59</v>
      </c>
      <c r="C65" s="15" t="str">
        <f t="array" ref="C65">IFNA(_xlfn.XLOOKUP(B65,Table_Respons_Loket[Count],Table_Respons_Loket[Nomor Tiket]),"")</f>
        <v>L/18/151024/1</v>
      </c>
      <c r="D65" s="15" t="str">
        <f t="array" ref="D65">IFNA(_xlfn.XLOOKUP(B65,Table_Respons_Loket[Count],Table_Respons_Loket[Daftar Nomor Hak]),"")</f>
        <v>HM 1527/RAJABASA NUNYAI (SUPER PRIORITAS)</v>
      </c>
      <c r="E65" s="17">
        <f t="array" ref="E65">IFNA(_xlfn.XLOOKUP(B65,Table_Respons_Loket[Count],Table_Respons_Loket[Time Stamp]),"")</f>
        <v>45580.443</v>
      </c>
      <c r="F65" s="18" t="str">
        <f t="array" ref="F65">IFNA(_xlfn.XLOOKUP(B65,Table_Respons_Loket[Count],Table_Respons_Loket[Jenis Permohonan]),"")</f>
        <v>BN JUAL BELI</v>
      </c>
      <c r="G65" s="12" t="s">
        <v>50</v>
      </c>
      <c r="H65" s="12" t="s">
        <v>52</v>
      </c>
      <c r="I65" s="22">
        <f t="shared" si="7"/>
        <v>45581.34961</v>
      </c>
      <c r="J65" s="20" t="b">
        <v>0</v>
      </c>
      <c r="K65" s="13" t="str">
        <f t="shared" si="2"/>
        <v/>
      </c>
    </row>
    <row r="66" ht="22.5" customHeight="1">
      <c r="B66" s="13">
        <f t="shared" si="3"/>
        <v>60</v>
      </c>
      <c r="C66" s="15" t="str">
        <f t="array" ref="C66">IFNA(_xlfn.XLOOKUP(B66,Table_Respons_Loket[Count],Table_Respons_Loket[Nomor Tiket]),"")</f>
        <v>L/19/151024/1</v>
      </c>
      <c r="D66" s="15" t="str">
        <f t="array" ref="D66">IFNA(_xlfn.XLOOKUP(B66,Table_Respons_Loket[Count],Table_Respons_Loket[Daftar Nomor Hak]),"")</f>
        <v>M.178/GARUNTANG</v>
      </c>
      <c r="E66" s="17">
        <f t="array" ref="E66">IFNA(_xlfn.XLOOKUP(B66,Table_Respons_Loket[Count],Table_Respons_Loket[Time Stamp]),"")</f>
        <v>45580.44634</v>
      </c>
      <c r="F66" s="18" t="str">
        <f t="array" ref="F66">IFNA(_xlfn.XLOOKUP(B66,Table_Respons_Loket[Count],Table_Respons_Loket[Jenis Permohonan]),"")</f>
        <v>GANDES</v>
      </c>
      <c r="G66" s="24"/>
      <c r="H66" s="24"/>
      <c r="I66" s="22" t="str">
        <f t="shared" si="7"/>
        <v/>
      </c>
      <c r="J66" s="20" t="b">
        <v>0</v>
      </c>
      <c r="K66" s="13" t="str">
        <f t="shared" si="2"/>
        <v/>
      </c>
    </row>
    <row r="67" ht="22.5" customHeight="1">
      <c r="B67" s="13">
        <f t="shared" si="3"/>
        <v>61</v>
      </c>
      <c r="C67" s="15" t="str">
        <f t="array" ref="C67">IFNA(_xlfn.XLOOKUP(B67,Table_Respons_Loket[Count],Table_Respons_Loket[Nomor Tiket]),"")</f>
        <v>L/20/151024/1</v>
      </c>
      <c r="D67" s="15" t="str">
        <f t="array" ref="D67">IFNA(_xlfn.XLOOKUP(B67,Table_Respons_Loket[Count],Table_Respons_Loket[Daftar Nomor Hak]),"")</f>
        <v>NIB 0801000023950/SUKARAME</v>
      </c>
      <c r="E67" s="17">
        <f t="array" ref="E67">IFNA(_xlfn.XLOOKUP(B67,Table_Respons_Loket[Count],Table_Respons_Loket[Time Stamp]),"")</f>
        <v>45580.45503</v>
      </c>
      <c r="F67" s="18" t="str">
        <f t="array" ref="F67">IFNA(_xlfn.XLOOKUP(B67,Table_Respons_Loket[Count],Table_Respons_Loket[Jenis Permohonan]),"")</f>
        <v>GANTI NAMA</v>
      </c>
      <c r="G67" s="24"/>
      <c r="H67" s="24"/>
      <c r="I67" s="22" t="str">
        <f t="shared" si="7"/>
        <v/>
      </c>
      <c r="J67" s="20" t="b">
        <v>0</v>
      </c>
      <c r="K67" s="13" t="str">
        <f t="shared" si="2"/>
        <v/>
      </c>
    </row>
    <row r="68" ht="22.5" customHeight="1">
      <c r="B68" s="13">
        <f t="shared" si="3"/>
        <v>62</v>
      </c>
      <c r="C68" s="15" t="str">
        <f t="array" ref="C68">IFNA(_xlfn.XLOOKUP(B68,Table_Respons_Loket[Count],Table_Respons_Loket[Nomor Tiket]),"")</f>
        <v>K/17/151024/1</v>
      </c>
      <c r="D68" s="15" t="str">
        <f t="array" ref="D68">IFNA(_xlfn.XLOOKUP(B68,Table_Respons_Loket[Count],Table_Respons_Loket[Daftar Nomor Hak]),"")</f>
        <v>M. 13602/ SEGALA MIDER</v>
      </c>
      <c r="E68" s="17">
        <f t="array" ref="E68">IFNA(_xlfn.XLOOKUP(B68,Table_Respons_Loket[Count],Table_Respons_Loket[Time Stamp]),"")</f>
        <v>45580.46981</v>
      </c>
      <c r="F68" s="18" t="str">
        <f t="array" ref="F68">IFNA(_xlfn.XLOOKUP(B68,Table_Respons_Loket[Count],Table_Respons_Loket[Jenis Permohonan]),"")</f>
        <v>BN JUAL BELI</v>
      </c>
      <c r="G68" s="12" t="s">
        <v>50</v>
      </c>
      <c r="H68" s="12" t="s">
        <v>52</v>
      </c>
      <c r="I68" s="22">
        <f t="shared" si="7"/>
        <v>45581.34947</v>
      </c>
      <c r="J68" s="20" t="b">
        <v>0</v>
      </c>
      <c r="K68" s="13" t="str">
        <f t="shared" si="2"/>
        <v/>
      </c>
    </row>
    <row r="69" ht="22.5" customHeight="1">
      <c r="B69" s="13">
        <f t="shared" si="3"/>
        <v>63</v>
      </c>
      <c r="C69" s="15" t="str">
        <f t="array" ref="C69">IFNA(_xlfn.XLOOKUP(B69,Table_Respons_Loket[Count],Table_Respons_Loket[Nomor Tiket]),"")</f>
        <v>K/21/151024/1</v>
      </c>
      <c r="D69" s="15" t="str">
        <f t="array" ref="D69">IFNA(_xlfn.XLOOKUP(B69,Table_Respons_Loket[Count],Table_Respons_Loket[Daftar Nomor Hak]),"")</f>
        <v>M. 652/ PINANG JAYA</v>
      </c>
      <c r="E69" s="17">
        <f t="array" ref="E69">IFNA(_xlfn.XLOOKUP(B69,Table_Respons_Loket[Count],Table_Respons_Loket[Time Stamp]),"")</f>
        <v>45580.47268</v>
      </c>
      <c r="F69" s="18" t="str">
        <f t="array" ref="F69">IFNA(_xlfn.XLOOKUP(B69,Table_Respons_Loket[Count],Table_Respons_Loket[Jenis Permohonan]),"")</f>
        <v>BN JUAL BELI</v>
      </c>
      <c r="G69" s="24"/>
      <c r="H69" s="12" t="s">
        <v>47</v>
      </c>
      <c r="I69" s="22" t="str">
        <f t="shared" si="7"/>
        <v/>
      </c>
      <c r="J69" s="20" t="b">
        <v>0</v>
      </c>
      <c r="K69" s="13" t="str">
        <f t="shared" si="2"/>
        <v/>
      </c>
    </row>
    <row r="70" ht="22.5" customHeight="1">
      <c r="B70" s="13">
        <f t="shared" si="3"/>
        <v>64</v>
      </c>
      <c r="C70" s="15" t="str">
        <f t="array" ref="C70">IFNA(_xlfn.XLOOKUP(B70,Table_Respons_Loket[Count],Table_Respons_Loket[Nomor Tiket]),"")</f>
        <v>K/24/151024/1</v>
      </c>
      <c r="D70" s="15" t="str">
        <f t="array" ref="D70">IFNA(_xlfn.XLOOKUP(B70,Table_Respons_Loket[Count],Table_Respons_Loket[Daftar Nomor Hak]),"")</f>
        <v>M. 2009/ Campang Jaya</v>
      </c>
      <c r="E70" s="17">
        <f t="array" ref="E70">IFNA(_xlfn.XLOOKUP(B70,Table_Respons_Loket[Count],Table_Respons_Loket[Time Stamp]),"")</f>
        <v>45580.47345</v>
      </c>
      <c r="F70" s="18" t="str">
        <f t="array" ref="F70">IFNA(_xlfn.XLOOKUP(B70,Table_Respons_Loket[Count],Table_Respons_Loket[Jenis Permohonan]),"")</f>
        <v>Pengecekan</v>
      </c>
      <c r="G70" s="24"/>
      <c r="H70" s="24"/>
      <c r="I70" s="22" t="str">
        <f t="shared" si="7"/>
        <v/>
      </c>
      <c r="J70" s="20" t="b">
        <v>0</v>
      </c>
      <c r="K70" s="13" t="str">
        <f t="shared" si="2"/>
        <v/>
      </c>
    </row>
    <row r="71" ht="22.5" customHeight="1">
      <c r="B71" s="13">
        <f t="shared" si="3"/>
        <v>65</v>
      </c>
      <c r="C71" s="15" t="str">
        <f t="array" ref="C71">IFNA(_xlfn.XLOOKUP(B71,Table_Respons_Loket[Count],Table_Respons_Loket[Nomor Tiket]),"")</f>
        <v>L/26/151024/1</v>
      </c>
      <c r="D71" s="15" t="str">
        <f t="array" ref="D71">IFNA(_xlfn.XLOOKUP(B71,Table_Respons_Loket[Count],Table_Respons_Loket[Daftar Nomor Hak]),"")</f>
        <v>HM 401/KALI BALAU KENCANA</v>
      </c>
      <c r="E71" s="17">
        <f t="array" ref="E71">IFNA(_xlfn.XLOOKUP(B71,Table_Respons_Loket[Count],Table_Respons_Loket[Time Stamp]),"")</f>
        <v>45580.47411</v>
      </c>
      <c r="F71" s="18" t="str">
        <f t="array" ref="F71">IFNA(_xlfn.XLOOKUP(B71,Table_Respons_Loket[Count],Table_Respons_Loket[Jenis Permohonan]),"")</f>
        <v>ROYA</v>
      </c>
      <c r="G71" s="12" t="s">
        <v>50</v>
      </c>
      <c r="H71" s="12" t="s">
        <v>52</v>
      </c>
      <c r="I71" s="22">
        <f t="shared" si="7"/>
        <v>45581.3501</v>
      </c>
      <c r="J71" s="20" t="b">
        <v>0</v>
      </c>
      <c r="K71" s="13" t="str">
        <f t="shared" si="2"/>
        <v/>
      </c>
    </row>
    <row r="72" ht="22.5" customHeight="1">
      <c r="B72" s="13">
        <f t="shared" si="3"/>
        <v>66</v>
      </c>
      <c r="C72" s="15" t="str">
        <f t="array" ref="C72">IFNA(_xlfn.XLOOKUP(B72,Table_Respons_Loket[Count],Table_Respons_Loket[Nomor Tiket]),"")</f>
        <v>K/25/151024/2</v>
      </c>
      <c r="D72" s="15" t="str">
        <f t="array" ref="D72">IFNA(_xlfn.XLOOKUP(B72,Table_Respons_Loket[Count],Table_Respons_Loket[Daftar Nomor Hak]),"")</f>
        <v>M. 2010/ Campang Jaya</v>
      </c>
      <c r="E72" s="17">
        <f t="array" ref="E72">IFNA(_xlfn.XLOOKUP(B72,Table_Respons_Loket[Count],Table_Respons_Loket[Time Stamp]),"")</f>
        <v>45580.47578</v>
      </c>
      <c r="F72" s="18" t="str">
        <f t="array" ref="F72">IFNA(_xlfn.XLOOKUP(B72,Table_Respons_Loket[Count],Table_Respons_Loket[Jenis Permohonan]),"")</f>
        <v>Pengecekan</v>
      </c>
      <c r="G72" s="24"/>
      <c r="H72" s="24"/>
      <c r="I72" s="22" t="str">
        <f t="shared" si="7"/>
        <v/>
      </c>
      <c r="J72" s="20" t="b">
        <v>0</v>
      </c>
      <c r="K72" s="13" t="str">
        <f t="shared" si="2"/>
        <v/>
      </c>
    </row>
    <row r="73" ht="22.5" customHeight="1">
      <c r="B73" s="13">
        <f t="shared" si="3"/>
        <v>67</v>
      </c>
      <c r="C73" s="15" t="str">
        <f t="array" ref="C73">IFNA(_xlfn.XLOOKUP(B73,Table_Respons_Loket[Count],Table_Respons_Loket[Nomor Tiket]),"")</f>
        <v>K/22/151024/2</v>
      </c>
      <c r="D73" s="15" t="str">
        <f t="array" ref="D73">IFNA(_xlfn.XLOOKUP(B73,Table_Respons_Loket[Count],Table_Respons_Loket[Daftar Nomor Hak]),"")</f>
        <v>NIBEL 3118/ SEGALA MIDER</v>
      </c>
      <c r="E73" s="17">
        <f t="array" ref="E73">IFNA(_xlfn.XLOOKUP(B73,Table_Respons_Loket[Count],Table_Respons_Loket[Time Stamp]),"")</f>
        <v>45580.4771</v>
      </c>
      <c r="F73" s="18" t="str">
        <f t="array" ref="F73">IFNA(_xlfn.XLOOKUP(B73,Table_Respons_Loket[Count],Table_Respons_Loket[Jenis Permohonan]),"")</f>
        <v>BN JUAL BELI</v>
      </c>
      <c r="G73" s="24"/>
      <c r="H73" s="24"/>
      <c r="I73" s="22" t="str">
        <f t="shared" si="7"/>
        <v/>
      </c>
      <c r="J73" s="20" t="b">
        <v>0</v>
      </c>
      <c r="K73" s="13" t="str">
        <f t="shared" si="2"/>
        <v/>
      </c>
    </row>
    <row r="74" ht="22.5" customHeight="1">
      <c r="B74" s="13">
        <f t="shared" si="3"/>
        <v>68</v>
      </c>
      <c r="C74" s="15" t="str">
        <f t="array" ref="C74">IFNA(_xlfn.XLOOKUP(B74,Table_Respons_Loket[Count],Table_Respons_Loket[Nomor Tiket]),"")</f>
        <v>K/27/151024/1</v>
      </c>
      <c r="D74" s="15" t="str">
        <f t="array" ref="D74">IFNA(_xlfn.XLOOKUP(B74,Table_Respons_Loket[Count],Table_Respons_Loket[Daftar Nomor Hak]),"")</f>
        <v>M.629/RAWA LAUT</v>
      </c>
      <c r="E74" s="17">
        <f t="array" ref="E74">IFNA(_xlfn.XLOOKUP(B74,Table_Respons_Loket[Count],Table_Respons_Loket[Time Stamp]),"")</f>
        <v>45580.47837</v>
      </c>
      <c r="F74" s="18" t="str">
        <f t="array" ref="F74">IFNA(_xlfn.XLOOKUP(B74,Table_Respons_Loket[Count],Table_Respons_Loket[Jenis Permohonan]),"")</f>
        <v>GANDES</v>
      </c>
      <c r="G74" s="24"/>
      <c r="H74" s="12" t="s">
        <v>52</v>
      </c>
      <c r="I74" s="22">
        <f t="shared" si="7"/>
        <v>45581.56436</v>
      </c>
      <c r="J74" s="20" t="b">
        <v>0</v>
      </c>
      <c r="K74" s="13" t="str">
        <f t="shared" si="2"/>
        <v/>
      </c>
    </row>
    <row r="75" ht="22.5" customHeight="1">
      <c r="B75" s="13">
        <f t="shared" si="3"/>
        <v>69</v>
      </c>
      <c r="C75" s="15" t="str">
        <f t="array" ref="C75">IFNA(_xlfn.XLOOKUP(B75,Table_Respons_Loket[Count],Table_Respons_Loket[Nomor Tiket]),"")</f>
        <v>K/23/151024/3</v>
      </c>
      <c r="D75" s="15" t="str">
        <f t="array" ref="D75">IFNA(_xlfn.XLOOKUP(B75,Table_Respons_Loket[Count],Table_Respons_Loket[Daftar Nomor Hak]),"")</f>
        <v>M. 509/ LABUHAN RATU RAYA</v>
      </c>
      <c r="E75" s="17">
        <f t="array" ref="E75">IFNA(_xlfn.XLOOKUP(B75,Table_Respons_Loket[Count],Table_Respons_Loket[Time Stamp]),"")</f>
        <v>45580.48001</v>
      </c>
      <c r="F75" s="18" t="str">
        <f t="array" ref="F75">IFNA(_xlfn.XLOOKUP(B75,Table_Respons_Loket[Count],Table_Respons_Loket[Jenis Permohonan]),"")</f>
        <v>BN JUAL BELI</v>
      </c>
      <c r="G75" s="12" t="s">
        <v>48</v>
      </c>
      <c r="H75" s="12" t="s">
        <v>52</v>
      </c>
      <c r="I75" s="22">
        <f t="shared" si="7"/>
        <v>45581.34841</v>
      </c>
      <c r="J75" s="20" t="b">
        <v>0</v>
      </c>
      <c r="K75" s="13" t="str">
        <f t="shared" si="2"/>
        <v/>
      </c>
    </row>
    <row r="76" ht="22.5" customHeight="1">
      <c r="B76" s="13">
        <f t="shared" si="3"/>
        <v>70</v>
      </c>
      <c r="C76" s="15" t="str">
        <f t="array" ref="C76">IFNA(_xlfn.XLOOKUP(B76,Table_Respons_Loket[Count],Table_Respons_Loket[Nomor Tiket]),"")</f>
        <v>K/28/151024/1</v>
      </c>
      <c r="D76" s="15" t="str">
        <f t="array" ref="D76">IFNA(_xlfn.XLOOKUP(B76,Table_Respons_Loket[Count],Table_Respons_Loket[Daftar Nomor Hak]),"")</f>
        <v>B. 309/ Way Kandis</v>
      </c>
      <c r="E76" s="17">
        <f t="array" ref="E76">IFNA(_xlfn.XLOOKUP(B76,Table_Respons_Loket[Count],Table_Respons_Loket[Time Stamp]),"")</f>
        <v>45580.48195</v>
      </c>
      <c r="F76" s="18" t="str">
        <f t="array" ref="F76">IFNA(_xlfn.XLOOKUP(B76,Table_Respons_Loket[Count],Table_Respons_Loket[Jenis Permohonan]),"")</f>
        <v>Gandes</v>
      </c>
      <c r="G76" s="24"/>
      <c r="H76" s="24"/>
      <c r="I76" s="22" t="str">
        <f t="shared" si="7"/>
        <v/>
      </c>
      <c r="J76" s="20" t="b">
        <v>0</v>
      </c>
      <c r="K76" s="13" t="str">
        <f t="shared" si="2"/>
        <v/>
      </c>
    </row>
    <row r="77" ht="22.5" customHeight="1">
      <c r="B77" s="13">
        <f t="shared" si="3"/>
        <v>71</v>
      </c>
      <c r="C77" s="15" t="str">
        <f t="array" ref="C77">IFNA(_xlfn.XLOOKUP(B77,Table_Respons_Loket[Count],Table_Respons_Loket[Nomor Tiket]),"")</f>
        <v>K/29/151024/2</v>
      </c>
      <c r="D77" s="15" t="str">
        <f t="array" ref="D77">IFNA(_xlfn.XLOOKUP(B77,Table_Respons_Loket[Count],Table_Respons_Loket[Daftar Nomor Hak]),"")</f>
        <v>Nibel. B. 2015/ Pinang Jaya</v>
      </c>
      <c r="E77" s="17">
        <f t="array" ref="E77">IFNA(_xlfn.XLOOKUP(B77,Table_Respons_Loket[Count],Table_Respons_Loket[Time Stamp]),"")</f>
        <v>45580.48416</v>
      </c>
      <c r="F77" s="18" t="str">
        <f t="array" ref="F77">IFNA(_xlfn.XLOOKUP(B77,Table_Respons_Loket[Count],Table_Respons_Loket[Jenis Permohonan]),"")</f>
        <v>Perubahan Hak</v>
      </c>
      <c r="G77" s="24"/>
      <c r="H77" s="24"/>
      <c r="I77" s="22" t="str">
        <f t="shared" si="7"/>
        <v/>
      </c>
      <c r="J77" s="20" t="b">
        <v>0</v>
      </c>
      <c r="K77" s="13" t="str">
        <f t="shared" si="2"/>
        <v/>
      </c>
    </row>
    <row r="78" ht="22.5" customHeight="1">
      <c r="B78" s="13">
        <f t="shared" si="3"/>
        <v>72</v>
      </c>
      <c r="C78" s="15" t="str">
        <f t="array" ref="C78">IFNA(_xlfn.XLOOKUP(B78,Table_Respons_Loket[Count],Table_Respons_Loket[Nomor Tiket]),"")</f>
        <v>K/30/151024/1</v>
      </c>
      <c r="D78" s="15" t="str">
        <f t="array" ref="D78">IFNA(_xlfn.XLOOKUP(B78,Table_Respons_Loket[Count],Table_Respons_Loket[Daftar Nomor Hak]),"")</f>
        <v>M.3814/SUKADANAHAM</v>
      </c>
      <c r="E78" s="17">
        <f t="array" ref="E78">IFNA(_xlfn.XLOOKUP(B78,Table_Respons_Loket[Count],Table_Respons_Loket[Time Stamp]),"")</f>
        <v>45580.54481</v>
      </c>
      <c r="F78" s="18" t="str">
        <f t="array" ref="F78">IFNA(_xlfn.XLOOKUP(B78,Table_Respons_Loket[Count],Table_Respons_Loket[Jenis Permohonan]),"")</f>
        <v>HAPUS BPHTB</v>
      </c>
      <c r="G78" s="12" t="s">
        <v>48</v>
      </c>
      <c r="H78" s="12" t="s">
        <v>52</v>
      </c>
      <c r="I78" s="22">
        <f t="shared" si="7"/>
        <v>45581.34897</v>
      </c>
      <c r="J78" s="20" t="b">
        <v>0</v>
      </c>
      <c r="K78" s="13" t="str">
        <f t="shared" si="2"/>
        <v/>
      </c>
    </row>
    <row r="79" ht="22.5" customHeight="1">
      <c r="B79" s="13">
        <f t="shared" si="3"/>
        <v>73</v>
      </c>
      <c r="C79" s="15" t="str">
        <f t="array" ref="C79">IFNA(_xlfn.XLOOKUP(B79,Table_Respons_Loket[Count],Table_Respons_Loket[Nomor Tiket]),"")</f>
        <v>L/31/151024/1</v>
      </c>
      <c r="D79" s="15" t="str">
        <f t="array" ref="D79">IFNA(_xlfn.XLOOKUP(B79,Table_Respons_Loket[Count],Table_Respons_Loket[Daftar Nomor Hak]),"")</f>
        <v>B.91/GUNUNG TERANG</v>
      </c>
      <c r="E79" s="17">
        <f t="array" ref="E79">IFNA(_xlfn.XLOOKUP(B79,Table_Respons_Loket[Count],Table_Respons_Loket[Time Stamp]),"")</f>
        <v>45580.56999</v>
      </c>
      <c r="F79" s="18" t="str">
        <f t="array" ref="F79">IFNA(_xlfn.XLOOKUP(B79,Table_Respons_Loket[Count],Table_Respons_Loket[Jenis Permohonan]),"")</f>
        <v>PERUBAHAN HAK</v>
      </c>
      <c r="G79" s="12" t="s">
        <v>99</v>
      </c>
      <c r="H79" s="12" t="s">
        <v>52</v>
      </c>
      <c r="I79" s="22">
        <f t="shared" si="7"/>
        <v>45594.45337</v>
      </c>
      <c r="J79" s="20" t="b">
        <v>0</v>
      </c>
      <c r="K79" s="13" t="str">
        <f t="shared" si="2"/>
        <v/>
      </c>
    </row>
    <row r="80" ht="22.5" customHeight="1">
      <c r="B80" s="13">
        <f t="shared" si="3"/>
        <v>74</v>
      </c>
      <c r="C80" s="15" t="str">
        <f t="array" ref="C80">IFNA(_xlfn.XLOOKUP(B80,Table_Respons_Loket[Count],Table_Respons_Loket[Nomor Tiket]),"")</f>
        <v>K/32/151024/1</v>
      </c>
      <c r="D80" s="15" t="str">
        <f t="array" ref="D80">IFNA(_xlfn.XLOOKUP(B80,Table_Respons_Loket[Count],Table_Respons_Loket[Daftar Nomor Hak]),"")</f>
        <v>M. 11169/ Tanjung Baru</v>
      </c>
      <c r="E80" s="17">
        <f t="array" ref="E80">IFNA(_xlfn.XLOOKUP(B80,Table_Respons_Loket[Count],Table_Respons_Loket[Time Stamp]),"")</f>
        <v>45580.57581</v>
      </c>
      <c r="F80" s="18" t="str">
        <f t="array" ref="F80">IFNA(_xlfn.XLOOKUP(B80,Table_Respons_Loket[Count],Table_Respons_Loket[Jenis Permohonan]),"")</f>
        <v>Cabut Blokir</v>
      </c>
      <c r="G80" s="24"/>
      <c r="H80" s="24"/>
      <c r="I80" s="22" t="str">
        <f t="shared" si="7"/>
        <v/>
      </c>
      <c r="J80" s="20" t="b">
        <v>0</v>
      </c>
      <c r="K80" s="13" t="str">
        <f t="shared" si="2"/>
        <v/>
      </c>
    </row>
    <row r="81" ht="22.5" customHeight="1">
      <c r="B81" s="13">
        <f t="shared" si="3"/>
        <v>75</v>
      </c>
      <c r="C81" s="15" t="str">
        <f t="array" ref="C81">IFNA(_xlfn.XLOOKUP(B81,Table_Respons_Loket[Count],Table_Respons_Loket[Nomor Tiket]),"")</f>
        <v>K/34/151024/2</v>
      </c>
      <c r="D81" s="15" t="str">
        <f t="array" ref="D81">IFNA(_xlfn.XLOOKUP(B81,Table_Respons_Loket[Count],Table_Respons_Loket[Daftar Nomor Hak]),"")</f>
        <v>M. 1311/ Beringin Jaya; dahulu B. 2093/ Beringin Raya</v>
      </c>
      <c r="E81" s="17">
        <f t="array" ref="E81">IFNA(_xlfn.XLOOKUP(B81,Table_Respons_Loket[Count],Table_Respons_Loket[Time Stamp]),"")</f>
        <v>45580.57893</v>
      </c>
      <c r="F81" s="18" t="str">
        <f t="array" ref="F81">IFNA(_xlfn.XLOOKUP(B81,Table_Respons_Loket[Count],Table_Respons_Loket[Jenis Permohonan]),"")</f>
        <v>BN Hibah</v>
      </c>
      <c r="G81" s="12" t="s">
        <v>48</v>
      </c>
      <c r="H81" s="12" t="s">
        <v>52</v>
      </c>
      <c r="I81" s="22">
        <f t="shared" si="7"/>
        <v>45581.40885</v>
      </c>
      <c r="J81" s="20" t="b">
        <v>0</v>
      </c>
      <c r="K81" s="13" t="str">
        <f t="shared" si="2"/>
        <v/>
      </c>
    </row>
    <row r="82" ht="22.5" customHeight="1">
      <c r="B82" s="13">
        <f t="shared" si="3"/>
        <v>76</v>
      </c>
      <c r="C82" s="15" t="str">
        <f t="array" ref="C82">IFNA(_xlfn.XLOOKUP(B82,Table_Respons_Loket[Count],Table_Respons_Loket[Nomor Tiket]),"")</f>
        <v>K/36/151024/1</v>
      </c>
      <c r="D82" s="15" t="str">
        <f t="array" ref="D82">IFNA(_xlfn.XLOOKUP(B82,Table_Respons_Loket[Count],Table_Respons_Loket[Daftar Nomor Hak]),"")</f>
        <v>M.4791/BERINGIN RAYA-SEKARANG;B.1135/SUMBERREJO-DAHULU</v>
      </c>
      <c r="E82" s="17">
        <f t="array" ref="E82">IFNA(_xlfn.XLOOKUP(B82,Table_Respons_Loket[Count],Table_Respons_Loket[Time Stamp]),"")</f>
        <v>45580.58151</v>
      </c>
      <c r="F82" s="18" t="str">
        <f t="array" ref="F82">IFNA(_xlfn.XLOOKUP(B82,Table_Respons_Loket[Count],Table_Respons_Loket[Jenis Permohonan]),"")</f>
        <v>PERALIHAN LELANG</v>
      </c>
      <c r="G82" s="24"/>
      <c r="H82" s="12" t="s">
        <v>47</v>
      </c>
      <c r="I82" s="22" t="str">
        <f t="shared" si="7"/>
        <v/>
      </c>
      <c r="J82" s="20" t="b">
        <v>0</v>
      </c>
      <c r="K82" s="13" t="str">
        <f t="shared" si="2"/>
        <v/>
      </c>
    </row>
    <row r="83" ht="22.5" customHeight="1">
      <c r="B83" s="13">
        <f t="shared" si="3"/>
        <v>77</v>
      </c>
      <c r="C83" s="15" t="str">
        <f t="array" ref="C83">IFNA(_xlfn.XLOOKUP(B83,Table_Respons_Loket[Count],Table_Respons_Loket[Nomor Tiket]),"")</f>
        <v>K/33/151024/1</v>
      </c>
      <c r="D83" s="15" t="str">
        <f t="array" ref="D83">IFNA(_xlfn.XLOOKUP(B83,Table_Respons_Loket[Count],Table_Respons_Loket[Daftar Nomor Hak]),"")</f>
        <v>M. 933/ Sukarame</v>
      </c>
      <c r="E83" s="17">
        <f t="array" ref="E83">IFNA(_xlfn.XLOOKUP(B83,Table_Respons_Loket[Count],Table_Respons_Loket[Time Stamp]),"")</f>
        <v>45580.58175</v>
      </c>
      <c r="F83" s="18" t="str">
        <f t="array" ref="F83">IFNA(_xlfn.XLOOKUP(B83,Table_Respons_Loket[Count],Table_Respons_Loket[Jenis Permohonan]),"")</f>
        <v>Gandes</v>
      </c>
      <c r="G83" s="24"/>
      <c r="H83" s="24"/>
      <c r="I83" s="22" t="str">
        <f t="shared" si="7"/>
        <v/>
      </c>
      <c r="J83" s="20" t="b">
        <v>0</v>
      </c>
      <c r="K83" s="13" t="str">
        <f t="shared" si="2"/>
        <v/>
      </c>
    </row>
    <row r="84" ht="22.5" customHeight="1">
      <c r="B84" s="13">
        <f t="shared" si="3"/>
        <v>78</v>
      </c>
      <c r="C84" s="15" t="str">
        <f t="array" ref="C84">IFNA(_xlfn.XLOOKUP(B84,Table_Respons_Loket[Count],Table_Respons_Loket[Nomor Tiket]),"")</f>
        <v>K/37/151024/1</v>
      </c>
      <c r="D84" s="15" t="str">
        <f t="array" ref="D84">IFNA(_xlfn.XLOOKUP(B84,Table_Respons_Loket[Count],Table_Respons_Loket[Daftar Nomor Hak]),"")</f>
        <v>M. 3954/ BERINGIN RAYA-SEKARANG; B.4107/ BERINGIN RAYA-DAHULU</v>
      </c>
      <c r="E84" s="17">
        <f t="array" ref="E84">IFNA(_xlfn.XLOOKUP(B84,Table_Respons_Loket[Count],Table_Respons_Loket[Time Stamp]),"")</f>
        <v>45580.58391</v>
      </c>
      <c r="F84" s="18" t="str">
        <f t="array" ref="F84">IFNA(_xlfn.XLOOKUP(B84,Table_Respons_Loket[Count],Table_Respons_Loket[Jenis Permohonan]),"")</f>
        <v>GANTI KELURAHAN</v>
      </c>
      <c r="G84" s="24"/>
      <c r="H84" s="12" t="s">
        <v>52</v>
      </c>
      <c r="I84" s="22">
        <f t="shared" si="7"/>
        <v>45581.56436</v>
      </c>
      <c r="J84" s="20" t="b">
        <v>0</v>
      </c>
      <c r="K84" s="13" t="str">
        <f t="shared" si="2"/>
        <v/>
      </c>
    </row>
    <row r="85" ht="22.5" customHeight="1">
      <c r="B85" s="13">
        <f t="shared" si="3"/>
        <v>79</v>
      </c>
      <c r="C85" s="15" t="str">
        <f t="array" ref="C85">IFNA(_xlfn.XLOOKUP(B85,Table_Respons_Loket[Count],Table_Respons_Loket[Nomor Tiket]),"")</f>
        <v>L/35/151024/1</v>
      </c>
      <c r="D85" s="15" t="str">
        <f t="array" ref="D85">IFNA(_xlfn.XLOOKUP(B85,Table_Respons_Loket[Count],Table_Respons_Loket[Daftar Nomor Hak]),"")</f>
        <v>HM 479/HARAPAN JAYA (DAHULU)-HM 49/KORPRI JAYA (SEKARANG)</v>
      </c>
      <c r="E85" s="17">
        <f t="array" ref="E85">IFNA(_xlfn.XLOOKUP(B85,Table_Respons_Loket[Count],Table_Respons_Loket[Time Stamp]),"")</f>
        <v>45580.58521</v>
      </c>
      <c r="F85" s="18" t="str">
        <f t="array" ref="F85">IFNA(_xlfn.XLOOKUP(B85,Table_Respons_Loket[Count],Table_Respons_Loket[Jenis Permohonan]),"")</f>
        <v>BN PUTUSAN PENGADILAN (AHLI WARIS)</v>
      </c>
      <c r="G85" s="12" t="s">
        <v>48</v>
      </c>
      <c r="H85" s="12" t="s">
        <v>52</v>
      </c>
      <c r="I85" s="22">
        <f t="shared" si="7"/>
        <v>45581.34805</v>
      </c>
      <c r="J85" s="20" t="b">
        <v>0</v>
      </c>
      <c r="K85" s="13" t="str">
        <f t="shared" si="2"/>
        <v/>
      </c>
    </row>
    <row r="86" ht="22.5" customHeight="1">
      <c r="B86" s="13">
        <f t="shared" si="3"/>
        <v>80</v>
      </c>
      <c r="C86" s="15" t="str">
        <f t="array" ref="C86">IFNA(_xlfn.XLOOKUP(B86,Table_Respons_Loket[Count],Table_Respons_Loket[Nomor Tiket]),"")</f>
        <v>K/38/151024/2</v>
      </c>
      <c r="D86" s="15" t="str">
        <f t="array" ref="D86">IFNA(_xlfn.XLOOKUP(B86,Table_Respons_Loket[Count],Table_Respons_Loket[Daftar Nomor Hak]),"")</f>
        <v>M. 1904/ KALIAWI</v>
      </c>
      <c r="E86" s="17">
        <f t="array" ref="E86">IFNA(_xlfn.XLOOKUP(B86,Table_Respons_Loket[Count],Table_Respons_Loket[Time Stamp]),"")</f>
        <v>45580.58546</v>
      </c>
      <c r="F86" s="18" t="str">
        <f t="array" ref="F86">IFNA(_xlfn.XLOOKUP(B86,Table_Respons_Loket[Count],Table_Respons_Loket[Jenis Permohonan]),"")</f>
        <v>GANDES</v>
      </c>
      <c r="G86" s="24"/>
      <c r="H86" s="12" t="s">
        <v>52</v>
      </c>
      <c r="I86" s="22">
        <f t="shared" si="7"/>
        <v>45581.56436</v>
      </c>
      <c r="J86" s="20" t="b">
        <v>0</v>
      </c>
      <c r="K86" s="13" t="str">
        <f t="shared" si="2"/>
        <v/>
      </c>
    </row>
    <row r="87" ht="22.5" customHeight="1">
      <c r="B87" s="13">
        <f t="shared" si="3"/>
        <v>81</v>
      </c>
      <c r="C87" s="15" t="str">
        <f t="array" ref="C87">IFNA(_xlfn.XLOOKUP(B87,Table_Respons_Loket[Count],Table_Respons_Loket[Nomor Tiket]),"")</f>
        <v>K/39/151024/1</v>
      </c>
      <c r="D87" s="15" t="str">
        <f t="array" ref="D87">IFNA(_xlfn.XLOOKUP(B87,Table_Respons_Loket[Count],Table_Respons_Loket[Daftar Nomor Hak]),"")</f>
        <v>M.13978/TANJUNG BARU</v>
      </c>
      <c r="E87" s="17">
        <f t="array" ref="E87">IFNA(_xlfn.XLOOKUP(B87,Table_Respons_Loket[Count],Table_Respons_Loket[Time Stamp]),"")</f>
        <v>45580.58769</v>
      </c>
      <c r="F87" s="18" t="str">
        <f t="array" ref="F87">IFNA(_xlfn.XLOOKUP(B87,Table_Respons_Loket[Count],Table_Respons_Loket[Jenis Permohonan]),"")</f>
        <v>PERALIHAN JUAL BELI</v>
      </c>
      <c r="G87" s="12" t="s">
        <v>48</v>
      </c>
      <c r="H87" s="12" t="s">
        <v>52</v>
      </c>
      <c r="I87" s="22">
        <f t="shared" si="7"/>
        <v>45581.34887</v>
      </c>
      <c r="J87" s="20" t="b">
        <v>0</v>
      </c>
      <c r="K87" s="13" t="str">
        <f t="shared" si="2"/>
        <v/>
      </c>
    </row>
    <row r="88" ht="22.5" customHeight="1">
      <c r="B88" s="13">
        <f t="shared" si="3"/>
        <v>82</v>
      </c>
      <c r="C88" s="15" t="str">
        <f t="array" ref="C88">IFNA(_xlfn.XLOOKUP(B88,Table_Respons_Loket[Count],Table_Respons_Loket[Nomor Tiket]),"")</f>
        <v>K/40/151024/1</v>
      </c>
      <c r="D88" s="15" t="str">
        <f t="array" ref="D88">IFNA(_xlfn.XLOOKUP(B88,Table_Respons_Loket[Count],Table_Respons_Loket[Daftar Nomor Hak]),"")</f>
        <v>M. 2800/ Sumber Rejo</v>
      </c>
      <c r="E88" s="17">
        <f t="array" ref="E88">IFNA(_xlfn.XLOOKUP(B88,Table_Respons_Loket[Count],Table_Respons_Loket[Time Stamp]),"")</f>
        <v>45580.59016</v>
      </c>
      <c r="F88" s="18" t="str">
        <f t="array" ref="F88">IFNA(_xlfn.XLOOKUP(B88,Table_Respons_Loket[Count],Table_Respons_Loket[Jenis Permohonan]),"")</f>
        <v>BN Jual Beli</v>
      </c>
      <c r="G88" s="12" t="s">
        <v>50</v>
      </c>
      <c r="H88" s="12" t="s">
        <v>52</v>
      </c>
      <c r="I88" s="22">
        <f t="shared" si="7"/>
        <v>45582.34961</v>
      </c>
      <c r="J88" s="20" t="b">
        <v>0</v>
      </c>
      <c r="K88" s="13" t="str">
        <f t="shared" si="2"/>
        <v/>
      </c>
    </row>
    <row r="89" ht="22.5" customHeight="1">
      <c r="B89" s="13">
        <f t="shared" si="3"/>
        <v>83</v>
      </c>
      <c r="C89" s="15" t="str">
        <f t="array" ref="C89">IFNA(_xlfn.XLOOKUP(B89,Table_Respons_Loket[Count],Table_Respons_Loket[Nomor Tiket]),"")</f>
        <v>L/43/151024/1</v>
      </c>
      <c r="D89" s="15" t="str">
        <f t="array" ref="D89">IFNA(_xlfn.XLOOKUP(B89,Table_Respons_Loket[Count],Table_Respons_Loket[Daftar Nomor Hak]),"")</f>
        <v>HM 4010/TANJUNG SENANG</v>
      </c>
      <c r="E89" s="17">
        <f t="array" ref="E89">IFNA(_xlfn.XLOOKUP(B89,Table_Respons_Loket[Count],Table_Respons_Loket[Time Stamp]),"")</f>
        <v>45580.59199</v>
      </c>
      <c r="F89" s="18" t="str">
        <f t="array" ref="F89">IFNA(_xlfn.XLOOKUP(B89,Table_Respons_Loket[Count],Table_Respons_Loket[Jenis Permohonan]),"")</f>
        <v>ROYA</v>
      </c>
      <c r="G89" s="12" t="s">
        <v>50</v>
      </c>
      <c r="H89" s="12" t="s">
        <v>52</v>
      </c>
      <c r="I89" s="22">
        <f t="shared" si="7"/>
        <v>45581.34985</v>
      </c>
      <c r="J89" s="20" t="b">
        <v>0</v>
      </c>
      <c r="K89" s="13" t="str">
        <f t="shared" si="2"/>
        <v/>
      </c>
    </row>
    <row r="90" ht="22.5" customHeight="1">
      <c r="B90" s="13">
        <f t="shared" si="3"/>
        <v>84</v>
      </c>
      <c r="C90" s="15" t="str">
        <f t="array" ref="C90">IFNA(_xlfn.XLOOKUP(B90,Table_Respons_Loket[Count],Table_Respons_Loket[Nomor Tiket]),"")</f>
        <v>K/41/151024/2</v>
      </c>
      <c r="D90" s="15" t="str">
        <f t="array" ref="D90">IFNA(_xlfn.XLOOKUP(B90,Table_Respons_Loket[Count],Table_Respons_Loket[Daftar Nomor Hak]),"")</f>
        <v>M. 11294/ Labuhan Ratu</v>
      </c>
      <c r="E90" s="17">
        <f t="array" ref="E90">IFNA(_xlfn.XLOOKUP(B90,Table_Respons_Loket[Count],Table_Respons_Loket[Time Stamp]),"")</f>
        <v>45580.5936</v>
      </c>
      <c r="F90" s="18" t="str">
        <f t="array" ref="F90">IFNA(_xlfn.XLOOKUP(B90,Table_Respons_Loket[Count],Table_Respons_Loket[Jenis Permohonan]),"")</f>
        <v>BN Jual Beli</v>
      </c>
      <c r="G90" s="12" t="s">
        <v>48</v>
      </c>
      <c r="H90" s="12" t="s">
        <v>52</v>
      </c>
      <c r="I90" s="22">
        <f t="shared" si="7"/>
        <v>45581.34873</v>
      </c>
      <c r="J90" s="20" t="b">
        <v>0</v>
      </c>
      <c r="K90" s="13" t="str">
        <f t="shared" si="2"/>
        <v/>
      </c>
    </row>
    <row r="91" ht="22.5" customHeight="1">
      <c r="B91" s="13">
        <f t="shared" si="3"/>
        <v>85</v>
      </c>
      <c r="C91" s="15" t="str">
        <f t="array" ref="C91">IFNA(_xlfn.XLOOKUP(B91,Table_Respons_Loket[Count],Table_Respons_Loket[Nomor Tiket]),"")</f>
        <v>K/44/151024/1</v>
      </c>
      <c r="D91" s="15" t="str">
        <f t="array" ref="D91">IFNA(_xlfn.XLOOKUP(B91,Table_Respons_Loket[Count],Table_Respons_Loket[Daftar Nomor Hak]),"")</f>
        <v>M.1375/PERUMNAS WAY HALIM-SEKARANG;B.2097/KEDATON-DAHULU</v>
      </c>
      <c r="E91" s="17">
        <f t="array" ref="E91">IFNA(_xlfn.XLOOKUP(B91,Table_Respons_Loket[Count],Table_Respons_Loket[Time Stamp]),"")</f>
        <v>45580.59473</v>
      </c>
      <c r="F91" s="18" t="str">
        <f t="array" ref="F91">IFNA(_xlfn.XLOOKUP(B91,Table_Respons_Loket[Count],Table_Respons_Loket[Jenis Permohonan]),"")</f>
        <v>SKPT</v>
      </c>
      <c r="G91" s="24"/>
      <c r="H91" s="24"/>
      <c r="I91" s="22" t="str">
        <f t="shared" si="7"/>
        <v/>
      </c>
      <c r="J91" s="20" t="b">
        <v>0</v>
      </c>
      <c r="K91" s="13" t="str">
        <f t="shared" si="2"/>
        <v/>
      </c>
    </row>
    <row r="92" ht="22.5" customHeight="1">
      <c r="B92" s="13">
        <f t="shared" si="3"/>
        <v>86</v>
      </c>
      <c r="C92" s="15" t="str">
        <f t="array" ref="C92">IFNA(_xlfn.XLOOKUP(B92,Table_Respons_Loket[Count],Table_Respons_Loket[Nomor Tiket]),"")</f>
        <v>K/42/151024/3</v>
      </c>
      <c r="D92" s="15" t="str">
        <f t="array" ref="D92">IFNA(_xlfn.XLOOKUP(B92,Table_Respons_Loket[Count],Table_Respons_Loket[Daftar Nomor Hak]),"")</f>
        <v>M. 2589/ Kota Baru</v>
      </c>
      <c r="E92" s="17">
        <f t="array" ref="E92">IFNA(_xlfn.XLOOKUP(B92,Table_Respons_Loket[Count],Table_Respons_Loket[Time Stamp]),"")</f>
        <v>45580.59693</v>
      </c>
      <c r="F92" s="18" t="str">
        <f t="array" ref="F92">IFNA(_xlfn.XLOOKUP(B92,Table_Respons_Loket[Count],Table_Respons_Loket[Jenis Permohonan]),"")</f>
        <v>BN Kewarisan</v>
      </c>
      <c r="G92" s="12" t="s">
        <v>50</v>
      </c>
      <c r="H92" s="12" t="s">
        <v>52</v>
      </c>
      <c r="I92" s="22">
        <f t="shared" si="7"/>
        <v>45581.34998</v>
      </c>
      <c r="J92" s="20" t="b">
        <v>0</v>
      </c>
      <c r="K92" s="13" t="str">
        <f t="shared" si="2"/>
        <v/>
      </c>
    </row>
    <row r="93" ht="22.5" customHeight="1">
      <c r="B93" s="13">
        <f t="shared" si="3"/>
        <v>87</v>
      </c>
      <c r="C93" s="15" t="str">
        <f t="array" ref="C93">IFNA(_xlfn.XLOOKUP(B93,Table_Respons_Loket[Count],Table_Respons_Loket[Nomor Tiket]),"")</f>
        <v>K/47/151024/1</v>
      </c>
      <c r="D93" s="15" t="str">
        <f t="array" ref="D93">IFNA(_xlfn.XLOOKUP(B93,Table_Respons_Loket[Count],Table_Respons_Loket[Daftar Nomor Hak]),"")</f>
        <v>B. 176/ LABUHAN RATU RAYA</v>
      </c>
      <c r="E93" s="17">
        <f t="array" ref="E93">IFNA(_xlfn.XLOOKUP(B93,Table_Respons_Loket[Count],Table_Respons_Loket[Time Stamp]),"")</f>
        <v>45580.6001</v>
      </c>
      <c r="F93" s="18" t="str">
        <f t="array" ref="F93">IFNA(_xlfn.XLOOKUP(B93,Table_Respons_Loket[Count],Table_Respons_Loket[Jenis Permohonan]),"")</f>
        <v>BN JUAL BELI</v>
      </c>
      <c r="G93" s="12" t="s">
        <v>48</v>
      </c>
      <c r="H93" s="12" t="s">
        <v>52</v>
      </c>
      <c r="I93" s="22">
        <f t="shared" si="7"/>
        <v>45581.34854</v>
      </c>
      <c r="J93" s="20" t="b">
        <v>0</v>
      </c>
      <c r="K93" s="13" t="str">
        <f t="shared" si="2"/>
        <v/>
      </c>
    </row>
    <row r="94" ht="22.5" customHeight="1">
      <c r="B94" s="13">
        <f t="shared" si="3"/>
        <v>88</v>
      </c>
      <c r="C94" s="15" t="str">
        <f t="array" ref="C94">IFNA(_xlfn.XLOOKUP(B94,Table_Respons_Loket[Count],Table_Respons_Loket[Nomor Tiket]),"")</f>
        <v>K/48/151024/1</v>
      </c>
      <c r="D94" s="15" t="str">
        <f t="array" ref="D94">IFNA(_xlfn.XLOOKUP(B94,Table_Respons_Loket[Count],Table_Respons_Loket[Daftar Nomor Hak]),"")</f>
        <v>M.550/KORPRI RAYA-SEKARANG;M.10135/SUKARAME U-DAHULU</v>
      </c>
      <c r="E94" s="17">
        <f t="array" ref="E94">IFNA(_xlfn.XLOOKUP(B94,Table_Respons_Loket[Count],Table_Respons_Loket[Time Stamp]),"")</f>
        <v>45580.60425</v>
      </c>
      <c r="F94" s="18" t="str">
        <f t="array" ref="F94">IFNA(_xlfn.XLOOKUP(B94,Table_Respons_Loket[Count],Table_Respons_Loket[Jenis Permohonan]),"")</f>
        <v>PERALIHAN JUAL BELI</v>
      </c>
      <c r="G94" s="12" t="s">
        <v>48</v>
      </c>
      <c r="H94" s="12" t="s">
        <v>52</v>
      </c>
      <c r="I94" s="22">
        <f t="shared" si="7"/>
        <v>45581.409</v>
      </c>
      <c r="J94" s="20" t="b">
        <v>0</v>
      </c>
      <c r="K94" s="13" t="str">
        <f t="shared" si="2"/>
        <v/>
      </c>
    </row>
    <row r="95" ht="22.5" customHeight="1">
      <c r="B95" s="13">
        <f t="shared" si="3"/>
        <v>89</v>
      </c>
      <c r="C95" s="15" t="str">
        <f t="array" ref="C95">IFNA(_xlfn.XLOOKUP(B95,Table_Respons_Loket[Count],Table_Respons_Loket[Nomor Tiket]),"")</f>
        <v>L/49/151024/1</v>
      </c>
      <c r="D95" s="15" t="str">
        <f t="array" ref="D95">IFNA(_xlfn.XLOOKUP(B95,Table_Respons_Loket[Count],Table_Respons_Loket[Daftar Nomor Hak]),"")</f>
        <v>B.238/BERINGIN RAYA;B.238/BERINGIN JAYA-DAHULU</v>
      </c>
      <c r="E95" s="17">
        <f t="array" ref="E95">IFNA(_xlfn.XLOOKUP(B95,Table_Respons_Loket[Count],Table_Respons_Loket[Time Stamp]),"")</f>
        <v>45580.6085</v>
      </c>
      <c r="F95" s="18" t="str">
        <f t="array" ref="F95">IFNA(_xlfn.XLOOKUP(B95,Table_Respons_Loket[Count],Table_Respons_Loket[Jenis Permohonan]),"")</f>
        <v>PERUBAHAN HAK</v>
      </c>
      <c r="G95" s="12" t="s">
        <v>50</v>
      </c>
      <c r="H95" s="12" t="s">
        <v>52</v>
      </c>
      <c r="I95" s="22">
        <f t="shared" si="7"/>
        <v>45581.34923</v>
      </c>
      <c r="J95" s="20" t="b">
        <v>0</v>
      </c>
      <c r="K95" s="13" t="str">
        <f t="shared" si="2"/>
        <v/>
      </c>
    </row>
    <row r="96" ht="22.5" customHeight="1">
      <c r="B96" s="13">
        <f t="shared" si="3"/>
        <v>90</v>
      </c>
      <c r="C96" s="15" t="str">
        <f t="array" ref="C96">IFNA(_xlfn.XLOOKUP(B96,Table_Respons_Loket[Count],Table_Respons_Loket[Nomor Tiket]),"")</f>
        <v>L/50/151024/1</v>
      </c>
      <c r="D96" s="15" t="str">
        <f t="array" ref="D96">IFNA(_xlfn.XLOOKUP(B96,Table_Respons_Loket[Count],Table_Respons_Loket[Daftar Nomor Hak]),"")</f>
        <v>HM 1763/RAJABASA NUNYAI</v>
      </c>
      <c r="E96" s="17">
        <f t="array" ref="E96">IFNA(_xlfn.XLOOKUP(B96,Table_Respons_Loket[Count],Table_Respons_Loket[Time Stamp]),"")</f>
        <v>45580.61032</v>
      </c>
      <c r="F96" s="18" t="str">
        <f t="array" ref="F96">IFNA(_xlfn.XLOOKUP(B96,Table_Respons_Loket[Count],Table_Respons_Loket[Jenis Permohonan]),"")</f>
        <v>BN JUAL-BELI</v>
      </c>
      <c r="G96" s="12" t="s">
        <v>50</v>
      </c>
      <c r="H96" s="12" t="s">
        <v>52</v>
      </c>
      <c r="I96" s="22">
        <f t="shared" si="7"/>
        <v>45581.34935</v>
      </c>
      <c r="J96" s="20" t="b">
        <v>0</v>
      </c>
      <c r="K96" s="13" t="str">
        <f t="shared" si="2"/>
        <v/>
      </c>
    </row>
    <row r="97" ht="22.5" customHeight="1">
      <c r="B97" s="13">
        <f t="shared" si="3"/>
        <v>91</v>
      </c>
      <c r="C97" s="15" t="str">
        <f t="array" ref="C97">IFNA(_xlfn.XLOOKUP(B97,Table_Respons_Loket[Count],Table_Respons_Loket[Nomor Tiket]),"")</f>
        <v>K/51/151024/1</v>
      </c>
      <c r="D97" s="15" t="str">
        <f t="array" ref="D97">IFNA(_xlfn.XLOOKUP(B97,Table_Respons_Loket[Count],Table_Respons_Loket[Daftar Nomor Hak]),"")</f>
        <v>M. 2411/ Kota Karang</v>
      </c>
      <c r="E97" s="17">
        <f t="array" ref="E97">IFNA(_xlfn.XLOOKUP(B97,Table_Respons_Loket[Count],Table_Respons_Loket[Time Stamp]),"")</f>
        <v>45580.61463</v>
      </c>
      <c r="F97" s="18" t="str">
        <f t="array" ref="F97">IFNA(_xlfn.XLOOKUP(B97,Table_Respons_Loket[Count],Table_Respons_Loket[Jenis Permohonan]),"")</f>
        <v>Gandes</v>
      </c>
      <c r="G97" s="24"/>
      <c r="H97" s="24"/>
      <c r="I97" s="22" t="str">
        <f t="shared" si="7"/>
        <v/>
      </c>
      <c r="J97" s="20" t="b">
        <v>0</v>
      </c>
      <c r="K97" s="13" t="str">
        <f t="shared" si="2"/>
        <v/>
      </c>
    </row>
    <row r="98" ht="22.5" customHeight="1">
      <c r="B98" s="13">
        <f t="shared" si="3"/>
        <v>92</v>
      </c>
      <c r="C98" s="15" t="str">
        <f t="array" ref="C98">IFNA(_xlfn.XLOOKUP(B98,Table_Respons_Loket[Count],Table_Respons_Loket[Nomor Tiket]),"")</f>
        <v>K/52/151024/1</v>
      </c>
      <c r="D98" s="15" t="str">
        <f t="array" ref="D98">IFNA(_xlfn.XLOOKUP(B98,Table_Respons_Loket[Count],Table_Respons_Loket[Daftar Nomor Hak]),"")</f>
        <v>M. 579/ KUPANG KOTA</v>
      </c>
      <c r="E98" s="17">
        <f t="array" ref="E98">IFNA(_xlfn.XLOOKUP(B98,Table_Respons_Loket[Count],Table_Respons_Loket[Time Stamp]),"")</f>
        <v>45580.61853</v>
      </c>
      <c r="F98" s="18" t="str">
        <f t="array" ref="F98">IFNA(_xlfn.XLOOKUP(B98,Table_Respons_Loket[Count],Table_Respons_Loket[Jenis Permohonan]),"")</f>
        <v>BN WARIS</v>
      </c>
      <c r="G98" s="12" t="s">
        <v>48</v>
      </c>
      <c r="H98" s="12" t="s">
        <v>52</v>
      </c>
      <c r="I98" s="22">
        <f t="shared" si="7"/>
        <v>45582.58565</v>
      </c>
      <c r="J98" s="20" t="b">
        <v>0</v>
      </c>
      <c r="K98" s="13" t="str">
        <f t="shared" si="2"/>
        <v/>
      </c>
    </row>
    <row r="99" ht="22.5" customHeight="1">
      <c r="B99" s="13">
        <f t="shared" si="3"/>
        <v>93</v>
      </c>
      <c r="C99" s="15" t="str">
        <f t="array" ref="C99">IFNA(_xlfn.XLOOKUP(B99,Table_Respons_Loket[Count],Table_Respons_Loket[Nomor Tiket]),"")</f>
        <v>K/53/151024/4</v>
      </c>
      <c r="D99" s="15" t="str">
        <f t="array" ref="D99">IFNA(_xlfn.XLOOKUP(B99,Table_Respons_Loket[Count],Table_Respons_Loket[Daftar Nomor Hak]),"")</f>
        <v>M. 672/ Tanjung Karang</v>
      </c>
      <c r="E99" s="17">
        <f t="array" ref="E99">IFNA(_xlfn.XLOOKUP(B99,Table_Respons_Loket[Count],Table_Respons_Loket[Time Stamp]),"")</f>
        <v>45580.62491</v>
      </c>
      <c r="F99" s="18" t="str">
        <f t="array" ref="F99">IFNA(_xlfn.XLOOKUP(B99,Table_Respons_Loket[Count],Table_Respons_Loket[Jenis Permohonan]),"")</f>
        <v>Gandes</v>
      </c>
      <c r="G99" s="12" t="s">
        <v>99</v>
      </c>
      <c r="H99" s="12" t="s">
        <v>52</v>
      </c>
      <c r="I99" s="22">
        <f t="shared" si="7"/>
        <v>45581.56436</v>
      </c>
      <c r="J99" s="20" t="b">
        <v>0</v>
      </c>
      <c r="K99" s="13" t="str">
        <f t="shared" si="2"/>
        <v/>
      </c>
    </row>
    <row r="100" ht="22.5" customHeight="1">
      <c r="B100" s="13">
        <f t="shared" si="3"/>
        <v>94</v>
      </c>
      <c r="C100" s="15" t="str">
        <f t="array" ref="C100">IFNA(_xlfn.XLOOKUP(B100,Table_Respons_Loket[Count],Table_Respons_Loket[Nomor Tiket]),"")</f>
        <v>K/54/151024/1</v>
      </c>
      <c r="D100" s="15" t="str">
        <f t="array" ref="D100">IFNA(_xlfn.XLOOKUP(B100,Table_Respons_Loket[Count],Table_Respons_Loket[Daftar Nomor Hak]),"")</f>
        <v>M.131/PENGAJARAN</v>
      </c>
      <c r="E100" s="17">
        <f t="array" ref="E100">IFNA(_xlfn.XLOOKUP(B100,Table_Respons_Loket[Count],Table_Respons_Loket[Time Stamp]),"")</f>
        <v>45580.63203</v>
      </c>
      <c r="F100" s="18" t="str">
        <f t="array" ref="F100">IFNA(_xlfn.XLOOKUP(B100,Table_Respons_Loket[Count],Table_Respons_Loket[Jenis Permohonan]),"")</f>
        <v>PLOTING</v>
      </c>
      <c r="G100" s="24"/>
      <c r="H100" s="24"/>
      <c r="I100" s="22" t="str">
        <f t="shared" si="7"/>
        <v/>
      </c>
      <c r="J100" s="20" t="b">
        <v>0</v>
      </c>
      <c r="K100" s="13" t="str">
        <f t="shared" si="2"/>
        <v/>
      </c>
    </row>
    <row r="101" ht="22.5" customHeight="1">
      <c r="B101" s="13">
        <f t="shared" si="3"/>
        <v>95</v>
      </c>
      <c r="C101" s="15" t="str">
        <f t="array" ref="C101">IFNA(_xlfn.XLOOKUP(B101,Table_Respons_Loket[Count],Table_Respons_Loket[Nomor Tiket]),"")</f>
        <v>K/55/151024/1</v>
      </c>
      <c r="D101" s="15" t="str">
        <f t="array" ref="D101">IFNA(_xlfn.XLOOKUP(B101,Table_Respons_Loket[Count],Table_Respons_Loket[Daftar Nomor Hak]),"")</f>
        <v>M. 1402/ Tanjung Raya</v>
      </c>
      <c r="E101" s="17">
        <f t="array" ref="E101">IFNA(_xlfn.XLOOKUP(B101,Table_Respons_Loket[Count],Table_Respons_Loket[Time Stamp]),"")</f>
        <v>45580.63241</v>
      </c>
      <c r="F101" s="18" t="str">
        <f t="array" ref="F101">IFNA(_xlfn.XLOOKUP(B101,Table_Respons_Loket[Count],Table_Respons_Loket[Jenis Permohonan]),"")</f>
        <v>BN Jual Beli</v>
      </c>
      <c r="G101" s="12" t="s">
        <v>48</v>
      </c>
      <c r="H101" s="12" t="s">
        <v>52</v>
      </c>
      <c r="I101" s="22">
        <f t="shared" si="7"/>
        <v>45582.58565</v>
      </c>
      <c r="J101" s="20" t="b">
        <v>0</v>
      </c>
      <c r="K101" s="13" t="str">
        <f t="shared" si="2"/>
        <v/>
      </c>
    </row>
    <row r="102" ht="22.5" customHeight="1">
      <c r="B102" s="13">
        <f t="shared" si="3"/>
        <v>96</v>
      </c>
      <c r="C102" s="15" t="str">
        <f t="array" ref="C102">IFNA(_xlfn.XLOOKUP(B102,Table_Respons_Loket[Count],Table_Respons_Loket[Nomor Tiket]),"")</f>
        <v>K/56/151024/2</v>
      </c>
      <c r="D102" s="15" t="str">
        <f t="array" ref="D102">IFNA(_xlfn.XLOOKUP(B102,Table_Respons_Loket[Count],Table_Respons_Loket[Daftar Nomor Hak]),"")</f>
        <v>M. 345/ Rajabasa Jaya; dahulu M. 9164/Rajabasa</v>
      </c>
      <c r="E102" s="17">
        <f t="array" ref="E102">IFNA(_xlfn.XLOOKUP(B102,Table_Respons_Loket[Count],Table_Respons_Loket[Time Stamp]),"")</f>
        <v>45580.63431</v>
      </c>
      <c r="F102" s="18" t="str">
        <f t="array" ref="F102">IFNA(_xlfn.XLOOKUP(B102,Table_Respons_Loket[Count],Table_Respons_Loket[Jenis Permohonan]),"")</f>
        <v>Ploting</v>
      </c>
      <c r="G102" s="24"/>
      <c r="H102" s="24"/>
      <c r="I102" s="22" t="str">
        <f t="shared" si="7"/>
        <v/>
      </c>
      <c r="J102" s="20" t="b">
        <v>0</v>
      </c>
      <c r="K102" s="13" t="str">
        <f t="shared" si="2"/>
        <v/>
      </c>
    </row>
    <row r="103" ht="22.5" customHeight="1">
      <c r="B103" s="13">
        <f t="shared" si="3"/>
        <v>97</v>
      </c>
      <c r="C103" s="15" t="str">
        <f t="array" ref="C103">IFNA(_xlfn.XLOOKUP(B103,Table_Respons_Loket[Count],Table_Respons_Loket[Nomor Tiket]),"")</f>
        <v>K/57/151024/3</v>
      </c>
      <c r="D103" s="15" t="str">
        <f t="array" ref="D103">IFNA(_xlfn.XLOOKUP(B103,Table_Respons_Loket[Count],Table_Respons_Loket[Daftar Nomor Hak]),"")</f>
        <v>M. 590/ Pematang Wangi; 382/ Tanjung Senang dahulu</v>
      </c>
      <c r="E103" s="17">
        <f t="array" ref="E103">IFNA(_xlfn.XLOOKUP(B103,Table_Respons_Loket[Count],Table_Respons_Loket[Time Stamp]),"")</f>
        <v>45580.63574</v>
      </c>
      <c r="F103" s="18" t="str">
        <f t="array" ref="F103">IFNA(_xlfn.XLOOKUP(B103,Table_Respons_Loket[Count],Table_Respons_Loket[Jenis Permohonan]),"")</f>
        <v>Roya</v>
      </c>
      <c r="G103" s="12" t="s">
        <v>48</v>
      </c>
      <c r="H103" s="12" t="s">
        <v>52</v>
      </c>
      <c r="I103" s="22">
        <f t="shared" si="7"/>
        <v>45582.58565</v>
      </c>
      <c r="J103" s="20" t="b">
        <v>0</v>
      </c>
      <c r="K103" s="13" t="str">
        <f t="shared" si="2"/>
        <v/>
      </c>
    </row>
    <row r="104" ht="22.5" customHeight="1">
      <c r="B104" s="13">
        <f t="shared" si="3"/>
        <v>98</v>
      </c>
      <c r="C104" s="15" t="str">
        <f t="array" ref="C104">IFNA(_xlfn.XLOOKUP(B104,Table_Respons_Loket[Count],Table_Respons_Loket[Nomor Tiket]),"")</f>
        <v>L/58/151024/1</v>
      </c>
      <c r="D104" s="15" t="str">
        <f t="array" ref="D104">IFNA(_xlfn.XLOOKUP(B104,Table_Respons_Loket[Count],Table_Respons_Loket[Daftar Nomor Hak]),"")</f>
        <v>HM 730/SAWAH LAMA</v>
      </c>
      <c r="E104" s="17">
        <f t="array" ref="E104">IFNA(_xlfn.XLOOKUP(B104,Table_Respons_Loket[Count],Table_Respons_Loket[Time Stamp]),"")</f>
        <v>45580.64102</v>
      </c>
      <c r="F104" s="18" t="str">
        <f t="array" ref="F104">IFNA(_xlfn.XLOOKUP(B104,Table_Respons_Loket[Count],Table_Respons_Loket[Jenis Permohonan]),"")</f>
        <v>PENGHAPUSAN BPHTB</v>
      </c>
      <c r="G104" s="24"/>
      <c r="H104" s="24"/>
      <c r="I104" s="22" t="str">
        <f t="shared" si="7"/>
        <v/>
      </c>
      <c r="J104" s="20" t="b">
        <v>0</v>
      </c>
      <c r="K104" s="13" t="str">
        <f t="shared" si="2"/>
        <v/>
      </c>
    </row>
    <row r="105" ht="22.5" customHeight="1">
      <c r="B105" s="13">
        <f t="shared" si="3"/>
        <v>99</v>
      </c>
      <c r="C105" s="15" t="str">
        <f t="array" ref="C105">IFNA(_xlfn.XLOOKUP(B105,Table_Respons_Loket[Count],Table_Respons_Loket[Nomor Tiket]),"")</f>
        <v>K/59/151024/1</v>
      </c>
      <c r="D105" s="15" t="str">
        <f t="array" ref="D105">IFNA(_xlfn.XLOOKUP(B105,Table_Respons_Loket[Count],Table_Respons_Loket[Daftar Nomor Hak]),"")</f>
        <v>B.522/BERINGIN JAYA </v>
      </c>
      <c r="E105" s="17">
        <f t="array" ref="E105">IFNA(_xlfn.XLOOKUP(B105,Table_Respons_Loket[Count],Table_Respons_Loket[Time Stamp]),"")</f>
        <v>45580.64729</v>
      </c>
      <c r="F105" s="18" t="str">
        <f t="array" ref="F105">IFNA(_xlfn.XLOOKUP(B105,Table_Respons_Loket[Count],Table_Respons_Loket[Jenis Permohonan]),"")</f>
        <v>PERALIHAN JUAL BELI </v>
      </c>
      <c r="G105" s="12" t="s">
        <v>48</v>
      </c>
      <c r="H105" s="12" t="s">
        <v>52</v>
      </c>
      <c r="I105" s="22">
        <f t="shared" si="7"/>
        <v>45582.58565</v>
      </c>
      <c r="J105" s="20" t="b">
        <v>0</v>
      </c>
      <c r="K105" s="13" t="str">
        <f t="shared" si="2"/>
        <v/>
      </c>
    </row>
    <row r="106" ht="22.5" customHeight="1">
      <c r="B106" s="13">
        <f t="shared" si="3"/>
        <v>100</v>
      </c>
      <c r="C106" s="15" t="str">
        <f t="array" ref="C106">IFNA(_xlfn.XLOOKUP(B106,Table_Respons_Loket[Count],Table_Respons_Loket[Nomor Tiket]),"")</f>
        <v>K/1/161024/1</v>
      </c>
      <c r="D106" s="15" t="str">
        <f t="array" ref="D106">IFNA(_xlfn.XLOOKUP(B106,Table_Respons_Loket[Count],Table_Respons_Loket[Daftar Nomor Hak]),"")</f>
        <v>NIBEL M.2600/SUKARAME</v>
      </c>
      <c r="E106" s="17">
        <f t="array" ref="E106">IFNA(_xlfn.XLOOKUP(B106,Table_Respons_Loket[Count],Table_Respons_Loket[Time Stamp]),"")</f>
        <v>45581.38195</v>
      </c>
      <c r="F106" s="18" t="str">
        <f t="array" ref="F106">IFNA(_xlfn.XLOOKUP(B106,Table_Respons_Loket[Count],Table_Respons_Loket[Jenis Permohonan]),"")</f>
        <v>PERALIHAN KEWARISAN</v>
      </c>
      <c r="G106" s="24"/>
      <c r="H106" s="24"/>
      <c r="I106" s="22" t="str">
        <f t="shared" si="7"/>
        <v/>
      </c>
      <c r="J106" s="20" t="b">
        <v>0</v>
      </c>
      <c r="K106" s="13" t="str">
        <f t="shared" si="2"/>
        <v/>
      </c>
    </row>
    <row r="107" ht="22.5" customHeight="1">
      <c r="B107" s="13">
        <f t="shared" si="3"/>
        <v>101</v>
      </c>
      <c r="C107" s="15" t="str">
        <f t="array" ref="C107">IFNA(_xlfn.XLOOKUP(B107,Table_Respons_Loket[Count],Table_Respons_Loket[Nomor Tiket]),"")</f>
        <v>K/2/161024/1</v>
      </c>
      <c r="D107" s="15" t="str">
        <f t="array" ref="D107">IFNA(_xlfn.XLOOKUP(B107,Table_Respons_Loket[Count],Table_Respons_Loket[Daftar Nomor Hak]),"")</f>
        <v>Nibel. M. 2246/ Sumber Agung</v>
      </c>
      <c r="E107" s="17">
        <f t="array" ref="E107">IFNA(_xlfn.XLOOKUP(B107,Table_Respons_Loket[Count],Table_Respons_Loket[Time Stamp]),"")</f>
        <v>45581.3888</v>
      </c>
      <c r="F107" s="18" t="str">
        <f t="array" ref="F107">IFNA(_xlfn.XLOOKUP(B107,Table_Respons_Loket[Count],Table_Respons_Loket[Jenis Permohonan]),"")</f>
        <v>BN Jual Beli</v>
      </c>
      <c r="G107" s="24"/>
      <c r="H107" s="24"/>
      <c r="I107" s="22" t="str">
        <f t="shared" si="7"/>
        <v/>
      </c>
      <c r="J107" s="20" t="b">
        <v>0</v>
      </c>
      <c r="K107" s="13" t="str">
        <f t="shared" si="2"/>
        <v/>
      </c>
    </row>
    <row r="108" ht="22.5" customHeight="1">
      <c r="B108" s="13">
        <f t="shared" si="3"/>
        <v>102</v>
      </c>
      <c r="C108" s="15" t="str">
        <f t="array" ref="C108">IFNA(_xlfn.XLOOKUP(B108,Table_Respons_Loket[Count],Table_Respons_Loket[Nomor Tiket]),"")</f>
        <v>K/3/161024/2</v>
      </c>
      <c r="D108" s="15" t="str">
        <f t="array" ref="D108">IFNA(_xlfn.XLOOKUP(B108,Table_Respons_Loket[Count],Table_Respons_Loket[Daftar Nomor Hak]),"")</f>
        <v>M. 1217/ Campang Jaya</v>
      </c>
      <c r="E108" s="17">
        <f t="array" ref="E108">IFNA(_xlfn.XLOOKUP(B108,Table_Respons_Loket[Count],Table_Respons_Loket[Time Stamp]),"")</f>
        <v>45581.39057</v>
      </c>
      <c r="F108" s="18" t="str">
        <f t="array" ref="F108">IFNA(_xlfn.XLOOKUP(B108,Table_Respons_Loket[Count],Table_Respons_Loket[Jenis Permohonan]),"")</f>
        <v>BN Jual Beli</v>
      </c>
      <c r="G108" s="24"/>
      <c r="H108" s="12" t="s">
        <v>47</v>
      </c>
      <c r="I108" s="22" t="str">
        <f t="shared" si="7"/>
        <v/>
      </c>
      <c r="J108" s="20" t="b">
        <v>0</v>
      </c>
      <c r="K108" s="13" t="str">
        <f t="shared" si="2"/>
        <v/>
      </c>
    </row>
    <row r="109" ht="22.5" customHeight="1">
      <c r="B109" s="13">
        <f t="shared" si="3"/>
        <v>103</v>
      </c>
      <c r="C109" s="15" t="str">
        <f t="array" ref="C109">IFNA(_xlfn.XLOOKUP(B109,Table_Respons_Loket[Count],Table_Respons_Loket[Nomor Tiket]),"")</f>
        <v>L/4/161024/1</v>
      </c>
      <c r="D109" s="15" t="str">
        <f t="array" ref="D109">IFNA(_xlfn.XLOOKUP(B109,Table_Respons_Loket[Count],Table_Respons_Loket[Daftar Nomor Hak]),"")</f>
        <v>B.3464/SUKABUMI</v>
      </c>
      <c r="E109" s="17">
        <f t="array" ref="E109">IFNA(_xlfn.XLOOKUP(B109,Table_Respons_Loket[Count],Table_Respons_Loket[Time Stamp]),"")</f>
        <v>45581.39952</v>
      </c>
      <c r="F109" s="18" t="str">
        <f t="array" ref="F109">IFNA(_xlfn.XLOOKUP(B109,Table_Respons_Loket[Count],Table_Respons_Loket[Jenis Permohonan]),"")</f>
        <v>SKPT INFORMASI PEMBAHARUAN</v>
      </c>
      <c r="G109" s="24"/>
      <c r="H109" s="24"/>
      <c r="I109" s="22" t="str">
        <f t="shared" si="7"/>
        <v/>
      </c>
      <c r="J109" s="20" t="b">
        <v>0</v>
      </c>
      <c r="K109" s="13" t="str">
        <f t="shared" si="2"/>
        <v/>
      </c>
    </row>
    <row r="110" ht="22.5" customHeight="1">
      <c r="B110" s="13">
        <f t="shared" si="3"/>
        <v>104</v>
      </c>
      <c r="C110" s="15" t="str">
        <f t="array" ref="C110">IFNA(_xlfn.XLOOKUP(B110,Table_Respons_Loket[Count],Table_Respons_Loket[Nomor Tiket]),"")</f>
        <v>K/5/161024/1</v>
      </c>
      <c r="D110" s="15" t="str">
        <f t="array" ref="D110">IFNA(_xlfn.XLOOKUP(B110,Table_Respons_Loket[Count],Table_Respons_Loket[Daftar Nomor Hak]),"")</f>
        <v>M. 1818/ Kupang Teba</v>
      </c>
      <c r="E110" s="17">
        <f t="array" ref="E110">IFNA(_xlfn.XLOOKUP(B110,Table_Respons_Loket[Count],Table_Respons_Loket[Time Stamp]),"")</f>
        <v>45581.40296</v>
      </c>
      <c r="F110" s="18" t="str">
        <f t="array" ref="F110">IFNA(_xlfn.XLOOKUP(B110,Table_Respons_Loket[Count],Table_Respons_Loket[Jenis Permohonan]),"")</f>
        <v>BN Jual Beli</v>
      </c>
      <c r="G110" s="24"/>
      <c r="H110" s="12" t="s">
        <v>47</v>
      </c>
      <c r="I110" s="22" t="str">
        <f t="shared" si="7"/>
        <v/>
      </c>
      <c r="J110" s="20" t="b">
        <v>0</v>
      </c>
      <c r="K110" s="13" t="str">
        <f t="shared" si="2"/>
        <v/>
      </c>
    </row>
    <row r="111" ht="22.5" customHeight="1">
      <c r="B111" s="13">
        <f t="shared" si="3"/>
        <v>105</v>
      </c>
      <c r="C111" s="15" t="str">
        <f t="array" ref="C111">IFNA(_xlfn.XLOOKUP(B111,Table_Respons_Loket[Count],Table_Respons_Loket[Nomor Tiket]),"")</f>
        <v>K/6/161024/1</v>
      </c>
      <c r="D111" s="15" t="str">
        <f t="array" ref="D111">IFNA(_xlfn.XLOOKUP(B111,Table_Respons_Loket[Count],Table_Respons_Loket[Daftar Nomor Hak]),"")</f>
        <v>M. 1560/ Bumi Waras</v>
      </c>
      <c r="E111" s="17">
        <f t="array" ref="E111">IFNA(_xlfn.XLOOKUP(B111,Table_Respons_Loket[Count],Table_Respons_Loket[Time Stamp]),"")</f>
        <v>45581.40549</v>
      </c>
      <c r="F111" s="18" t="str">
        <f t="array" ref="F111">IFNA(_xlfn.XLOOKUP(B111,Table_Respons_Loket[Count],Table_Respons_Loket[Jenis Permohonan]),"")</f>
        <v>SKPT LELANG</v>
      </c>
      <c r="G111" s="24"/>
      <c r="H111" s="24"/>
      <c r="I111" s="22" t="str">
        <f t="shared" si="7"/>
        <v/>
      </c>
      <c r="J111" s="20" t="b">
        <v>0</v>
      </c>
      <c r="K111" s="13" t="str">
        <f t="shared" si="2"/>
        <v/>
      </c>
    </row>
    <row r="112" ht="22.5" customHeight="1">
      <c r="B112" s="13">
        <f t="shared" si="3"/>
        <v>106</v>
      </c>
      <c r="C112" s="15" t="str">
        <f t="array" ref="C112">IFNA(_xlfn.XLOOKUP(B112,Table_Respons_Loket[Count],Table_Respons_Loket[Nomor Tiket]),"")</f>
        <v>K/7/161024/2</v>
      </c>
      <c r="D112" s="15" t="str">
        <f t="array" ref="D112">IFNA(_xlfn.XLOOKUP(B112,Table_Respons_Loket[Count],Table_Respons_Loket[Daftar Nomor Hak]),"")</f>
        <v>M. 617/ SAWAH LAMA</v>
      </c>
      <c r="E112" s="17">
        <f t="array" ref="E112">IFNA(_xlfn.XLOOKUP(B112,Table_Respons_Loket[Count],Table_Respons_Loket[Time Stamp]),"")</f>
        <v>45581.40765</v>
      </c>
      <c r="F112" s="18" t="str">
        <f t="array" ref="F112">IFNA(_xlfn.XLOOKUP(B112,Table_Respons_Loket[Count],Table_Respons_Loket[Jenis Permohonan]),"")</f>
        <v>SKPT LELANG</v>
      </c>
      <c r="G112" s="24"/>
      <c r="H112" s="24"/>
      <c r="I112" s="22" t="str">
        <f t="shared" si="7"/>
        <v/>
      </c>
      <c r="J112" s="20" t="b">
        <v>0</v>
      </c>
      <c r="K112" s="13" t="str">
        <f t="shared" si="2"/>
        <v/>
      </c>
    </row>
    <row r="113" ht="22.5" customHeight="1">
      <c r="B113" s="13">
        <f t="shared" si="3"/>
        <v>107</v>
      </c>
      <c r="C113" s="15" t="str">
        <f t="array" ref="C113">IFNA(_xlfn.XLOOKUP(B113,Table_Respons_Loket[Count],Table_Respons_Loket[Nomor Tiket]),"")</f>
        <v>L/8/161024/1</v>
      </c>
      <c r="D113" s="15" t="str">
        <f t="array" ref="D113">IFNA(_xlfn.XLOOKUP(B113,Table_Respons_Loket[Count],Table_Respons_Loket[Daftar Nomor Hak]),"")</f>
        <v>B.834/PWK;B.763/WAY KANDIS-DAHULU</v>
      </c>
      <c r="E113" s="17">
        <f t="array" ref="E113">IFNA(_xlfn.XLOOKUP(B113,Table_Respons_Loket[Count],Table_Respons_Loket[Time Stamp]),"")</f>
        <v>45581.41702</v>
      </c>
      <c r="F113" s="18" t="str">
        <f t="array" ref="F113">IFNA(_xlfn.XLOOKUP(B113,Table_Respons_Loket[Count],Table_Respons_Loket[Jenis Permohonan]),"")</f>
        <v>PERUBAHAN HAK</v>
      </c>
      <c r="G113" s="12" t="s">
        <v>48</v>
      </c>
      <c r="H113" s="12" t="s">
        <v>52</v>
      </c>
      <c r="I113" s="22">
        <f t="shared" si="7"/>
        <v>45582.58565</v>
      </c>
      <c r="J113" s="20" t="b">
        <v>0</v>
      </c>
      <c r="K113" s="13" t="str">
        <f t="shared" si="2"/>
        <v/>
      </c>
    </row>
    <row r="114" ht="22.5" customHeight="1">
      <c r="B114" s="13">
        <f t="shared" si="3"/>
        <v>108</v>
      </c>
      <c r="C114" s="15" t="str">
        <f t="array" ref="C114">IFNA(_xlfn.XLOOKUP(B114,Table_Respons_Loket[Count],Table_Respons_Loket[Nomor Tiket]),"")</f>
        <v>K/9/161024/1</v>
      </c>
      <c r="D114" s="15" t="str">
        <f t="array" ref="D114">IFNA(_xlfn.XLOOKUP(B114,Table_Respons_Loket[Count],Table_Respons_Loket[Daftar Nomor Hak]),"")</f>
        <v>M. 3934/ Way Kandis - sekarang/ B. 923/ Way Kandis -dahulu</v>
      </c>
      <c r="E114" s="17">
        <f t="array" ref="E114">IFNA(_xlfn.XLOOKUP(B114,Table_Respons_Loket[Count],Table_Respons_Loket[Time Stamp]),"")</f>
        <v>45581.43045</v>
      </c>
      <c r="F114" s="18" t="str">
        <f t="array" ref="F114">IFNA(_xlfn.XLOOKUP(B114,Table_Respons_Loket[Count],Table_Respons_Loket[Jenis Permohonan]),"")</f>
        <v>Ganti Kelurahan</v>
      </c>
      <c r="G114" s="24"/>
      <c r="H114" s="24"/>
      <c r="I114" s="22" t="str">
        <f t="shared" si="7"/>
        <v/>
      </c>
      <c r="J114" s="20" t="b">
        <v>0</v>
      </c>
      <c r="K114" s="13" t="str">
        <f t="shared" si="2"/>
        <v/>
      </c>
    </row>
    <row r="115" ht="22.5" customHeight="1">
      <c r="B115" s="13">
        <f t="shared" si="3"/>
        <v>109</v>
      </c>
      <c r="C115" s="15" t="str">
        <f t="array" ref="C115">IFNA(_xlfn.XLOOKUP(B115,Table_Respons_Loket[Count],Table_Respons_Loket[Nomor Tiket]),"")</f>
        <v>K/10/161024/1</v>
      </c>
      <c r="D115" s="15" t="str">
        <f t="array" ref="D115">IFNA(_xlfn.XLOOKUP(B115,Table_Respons_Loket[Count],Table_Respons_Loket[Daftar Nomor Hak]),"")</f>
        <v>NIBEL M.2729/GUNUNG SULAH</v>
      </c>
      <c r="E115" s="17">
        <f t="array" ref="E115">IFNA(_xlfn.XLOOKUP(B115,Table_Respons_Loket[Count],Table_Respons_Loket[Time Stamp]),"")</f>
        <v>45581.43581</v>
      </c>
      <c r="F115" s="18" t="str">
        <f t="array" ref="F115">IFNA(_xlfn.XLOOKUP(B115,Table_Respons_Loket[Count],Table_Respons_Loket[Jenis Permohonan]),"")</f>
        <v>PERALIHAN JUAL BELI</v>
      </c>
      <c r="G115" s="24"/>
      <c r="H115" s="24"/>
      <c r="I115" s="22" t="str">
        <f t="shared" si="7"/>
        <v/>
      </c>
      <c r="J115" s="20" t="b">
        <v>0</v>
      </c>
      <c r="K115" s="13" t="str">
        <f t="shared" si="2"/>
        <v/>
      </c>
    </row>
    <row r="116" ht="22.5" customHeight="1">
      <c r="B116" s="13">
        <f t="shared" si="3"/>
        <v>110</v>
      </c>
      <c r="C116" s="15" t="str">
        <f t="array" ref="C116">IFNA(_xlfn.XLOOKUP(B116,Table_Respons_Loket[Count],Table_Respons_Loket[Nomor Tiket]),"")</f>
        <v>K/11/161024/2</v>
      </c>
      <c r="D116" s="15" t="str">
        <f t="array" ref="D116">IFNA(_xlfn.XLOOKUP(B116,Table_Respons_Loket[Count],Table_Respons_Loket[Daftar Nomor Hak]),"")</f>
        <v>NIBEL B.2730/GUNUNG SULAH</v>
      </c>
      <c r="E116" s="17">
        <f t="array" ref="E116">IFNA(_xlfn.XLOOKUP(B116,Table_Respons_Loket[Count],Table_Respons_Loket[Time Stamp]),"")</f>
        <v>45581.43662</v>
      </c>
      <c r="F116" s="18" t="str">
        <f t="array" ref="F116">IFNA(_xlfn.XLOOKUP(B116,Table_Respons_Loket[Count],Table_Respons_Loket[Jenis Permohonan]),"")</f>
        <v>PERALIHAN BALIK NAMA</v>
      </c>
      <c r="G116" s="24"/>
      <c r="H116" s="24"/>
      <c r="I116" s="22" t="str">
        <f t="shared" si="7"/>
        <v/>
      </c>
      <c r="J116" s="20" t="b">
        <v>0</v>
      </c>
      <c r="K116" s="13" t="str">
        <f t="shared" si="2"/>
        <v/>
      </c>
    </row>
    <row r="117" ht="22.5" customHeight="1">
      <c r="B117" s="13">
        <f t="shared" si="3"/>
        <v>111</v>
      </c>
      <c r="C117" s="15" t="str">
        <f t="array" ref="C117">IFNA(_xlfn.XLOOKUP(B117,Table_Respons_Loket[Count],Table_Respons_Loket[Nomor Tiket]),"")</f>
        <v>K/12/161024/3</v>
      </c>
      <c r="D117" s="15" t="str">
        <f t="array" ref="D117">IFNA(_xlfn.XLOOKUP(B117,Table_Respons_Loket[Count],Table_Respons_Loket[Daftar Nomor Hak]),"")</f>
        <v>B.545/GUNUNG SULAH</v>
      </c>
      <c r="E117" s="17">
        <f t="array" ref="E117">IFNA(_xlfn.XLOOKUP(B117,Table_Respons_Loket[Count],Table_Respons_Loket[Time Stamp]),"")</f>
        <v>45581.43739</v>
      </c>
      <c r="F117" s="18" t="str">
        <f t="array" ref="F117">IFNA(_xlfn.XLOOKUP(B117,Table_Respons_Loket[Count],Table_Respons_Loket[Jenis Permohonan]),"")</f>
        <v>PERALIHAN JUAL BELI</v>
      </c>
      <c r="G117" s="24"/>
      <c r="H117" s="12" t="s">
        <v>47</v>
      </c>
      <c r="I117" s="22" t="str">
        <f t="shared" si="7"/>
        <v/>
      </c>
      <c r="J117" s="20" t="b">
        <v>0</v>
      </c>
      <c r="K117" s="13" t="str">
        <f t="shared" si="2"/>
        <v/>
      </c>
    </row>
    <row r="118" ht="22.5" customHeight="1">
      <c r="B118" s="13">
        <f t="shared" si="3"/>
        <v>112</v>
      </c>
      <c r="C118" s="15" t="str">
        <f t="array" ref="C118">IFNA(_xlfn.XLOOKUP(B118,Table_Respons_Loket[Count],Table_Respons_Loket[Nomor Tiket]),"")</f>
        <v>K/13/161024/1</v>
      </c>
      <c r="D118" s="15" t="str">
        <f t="array" ref="D118">IFNA(_xlfn.XLOOKUP(B118,Table_Respons_Loket[Count],Table_Respons_Loket[Daftar Nomor Hak]),"")</f>
        <v>M. 1186/ Enggal</v>
      </c>
      <c r="E118" s="17">
        <f t="array" ref="E118">IFNA(_xlfn.XLOOKUP(B118,Table_Respons_Loket[Count],Table_Respons_Loket[Time Stamp]),"")</f>
        <v>45581.43797</v>
      </c>
      <c r="F118" s="18" t="str">
        <f t="array" ref="F118">IFNA(_xlfn.XLOOKUP(B118,Table_Respons_Loket[Count],Table_Respons_Loket[Jenis Permohonan]),"")</f>
        <v>BN Jual Beli</v>
      </c>
      <c r="G118" s="12" t="s">
        <v>48</v>
      </c>
      <c r="H118" s="12" t="s">
        <v>52</v>
      </c>
      <c r="I118" s="22">
        <f t="shared" si="7"/>
        <v>45582.58565</v>
      </c>
      <c r="J118" s="20" t="b">
        <v>0</v>
      </c>
      <c r="K118" s="13" t="str">
        <f t="shared" si="2"/>
        <v/>
      </c>
    </row>
    <row r="119" ht="22.5" customHeight="1">
      <c r="B119" s="13">
        <f t="shared" si="3"/>
        <v>113</v>
      </c>
      <c r="C119" s="15" t="str">
        <f t="array" ref="C119">IFNA(_xlfn.XLOOKUP(B119,Table_Respons_Loket[Count],Table_Respons_Loket[Nomor Tiket]),"")</f>
        <v>K/14/161024/2</v>
      </c>
      <c r="D119" s="15" t="str">
        <f t="array" ref="D119">IFNA(_xlfn.XLOOKUP(B119,Table_Respons_Loket[Count],Table_Respons_Loket[Daftar Nomor Hak]),"")</f>
        <v>M. 5621/ Langkapura</v>
      </c>
      <c r="E119" s="17">
        <f t="array" ref="E119">IFNA(_xlfn.XLOOKUP(B119,Table_Respons_Loket[Count],Table_Respons_Loket[Time Stamp]),"")</f>
        <v>45581.44041</v>
      </c>
      <c r="F119" s="18" t="str">
        <f t="array" ref="F119">IFNA(_xlfn.XLOOKUP(B119,Table_Respons_Loket[Count],Table_Respons_Loket[Jenis Permohonan]),"")</f>
        <v>BN Jual Beli</v>
      </c>
      <c r="G119" s="12" t="s">
        <v>48</v>
      </c>
      <c r="H119" s="12" t="s">
        <v>52</v>
      </c>
      <c r="I119" s="22">
        <f t="shared" si="7"/>
        <v>45582.4164</v>
      </c>
      <c r="J119" s="20" t="b">
        <v>0</v>
      </c>
      <c r="K119" s="13" t="str">
        <f t="shared" si="2"/>
        <v/>
      </c>
    </row>
    <row r="120" ht="22.5" customHeight="1">
      <c r="B120" s="13">
        <f t="shared" si="3"/>
        <v>114</v>
      </c>
      <c r="C120" s="15" t="str">
        <f t="array" ref="C120">IFNA(_xlfn.XLOOKUP(B120,Table_Respons_Loket[Count],Table_Respons_Loket[Nomor Tiket]),"")</f>
        <v>K/15/161024/1</v>
      </c>
      <c r="D120" s="15" t="str">
        <f t="array" ref="D120">IFNA(_xlfn.XLOOKUP(B120,Table_Respons_Loket[Count],Table_Respons_Loket[Daftar Nomor Hak]),"")</f>
        <v>M. 639/ PEMATANG WANGI</v>
      </c>
      <c r="E120" s="17">
        <f t="array" ref="E120">IFNA(_xlfn.XLOOKUP(B120,Table_Respons_Loket[Count],Table_Respons_Loket[Time Stamp]),"")</f>
        <v>45581.4472</v>
      </c>
      <c r="F120" s="18" t="str">
        <f t="array" ref="F120">IFNA(_xlfn.XLOOKUP(B120,Table_Respons_Loket[Count],Table_Respons_Loket[Jenis Permohonan]),"")</f>
        <v>PLOTTING</v>
      </c>
      <c r="G120" s="24"/>
      <c r="H120" s="24"/>
      <c r="I120" s="22" t="str">
        <f t="shared" si="7"/>
        <v/>
      </c>
      <c r="J120" s="20" t="b">
        <v>0</v>
      </c>
      <c r="K120" s="13" t="str">
        <f t="shared" si="2"/>
        <v/>
      </c>
    </row>
    <row r="121" ht="22.5" customHeight="1">
      <c r="B121" s="13">
        <f t="shared" si="3"/>
        <v>115</v>
      </c>
      <c r="C121" s="15" t="str">
        <f t="array" ref="C121">IFNA(_xlfn.XLOOKUP(B121,Table_Respons_Loket[Count],Table_Respons_Loket[Nomor Tiket]),"")</f>
        <v>L/16/161024/1</v>
      </c>
      <c r="D121" s="15" t="str">
        <f t="array" ref="D121">IFNA(_xlfn.XLOOKUP(B121,Table_Respons_Loket[Count],Table_Respons_Loket[Daftar Nomor Hak]),"")</f>
        <v>M.1095/NOG</v>
      </c>
      <c r="E121" s="17">
        <f t="array" ref="E121">IFNA(_xlfn.XLOOKUP(B121,Table_Respons_Loket[Count],Table_Respons_Loket[Time Stamp]),"")</f>
        <v>45581.45009</v>
      </c>
      <c r="F121" s="18" t="str">
        <f t="array" ref="F121">IFNA(_xlfn.XLOOKUP(B121,Table_Respons_Loket[Count],Table_Respons_Loket[Jenis Permohonan]),"")</f>
        <v>ROYA</v>
      </c>
      <c r="G121" s="12" t="s">
        <v>48</v>
      </c>
      <c r="H121" s="12" t="s">
        <v>52</v>
      </c>
      <c r="I121" s="22">
        <f t="shared" si="7"/>
        <v>45582.41726</v>
      </c>
      <c r="J121" s="20" t="b">
        <v>0</v>
      </c>
      <c r="K121" s="13" t="str">
        <f t="shared" si="2"/>
        <v/>
      </c>
    </row>
    <row r="122" ht="22.5" customHeight="1">
      <c r="B122" s="13">
        <f t="shared" si="3"/>
        <v>116</v>
      </c>
      <c r="C122" s="15" t="str">
        <f t="array" ref="C122">IFNA(_xlfn.XLOOKUP(B122,Table_Respons_Loket[Count],Table_Respons_Loket[Nomor Tiket]),"")</f>
        <v>K/17/161024/1</v>
      </c>
      <c r="D122" s="15" t="str">
        <f t="array" ref="D122">IFNA(_xlfn.XLOOKUP(B122,Table_Respons_Loket[Count],Table_Respons_Loket[Daftar Nomor Hak]),"")</f>
        <v>M. 12720/ SUKABUMI</v>
      </c>
      <c r="E122" s="17">
        <f t="array" ref="E122">IFNA(_xlfn.XLOOKUP(B122,Table_Respons_Loket[Count],Table_Respons_Loket[Time Stamp]),"")</f>
        <v>45581.47106</v>
      </c>
      <c r="F122" s="18" t="str">
        <f t="array" ref="F122">IFNA(_xlfn.XLOOKUP(B122,Table_Respons_Loket[Count],Table_Respons_Loket[Jenis Permohonan]),"")</f>
        <v>PENGECEKKAN</v>
      </c>
      <c r="G122" s="24"/>
      <c r="H122" s="24"/>
      <c r="I122" s="22" t="str">
        <f t="shared" si="7"/>
        <v/>
      </c>
      <c r="J122" s="20" t="b">
        <v>0</v>
      </c>
      <c r="K122" s="13" t="str">
        <f t="shared" si="2"/>
        <v/>
      </c>
    </row>
    <row r="123" ht="22.5" customHeight="1">
      <c r="B123" s="13">
        <f t="shared" si="3"/>
        <v>117</v>
      </c>
      <c r="C123" s="15" t="str">
        <f t="array" ref="C123">IFNA(_xlfn.XLOOKUP(B123,Table_Respons_Loket[Count],Table_Respons_Loket[Nomor Tiket]),"")</f>
        <v>K/18/161024/1</v>
      </c>
      <c r="D123" s="15" t="str">
        <f t="array" ref="D123">IFNA(_xlfn.XLOOKUP(B123,Table_Respons_Loket[Count],Table_Respons_Loket[Daftar Nomor Hak]),"")</f>
        <v>M. 1213/ SUKARAME II</v>
      </c>
      <c r="E123" s="17">
        <f t="array" ref="E123">IFNA(_xlfn.XLOOKUP(B123,Table_Respons_Loket[Count],Table_Respons_Loket[Time Stamp]),"")</f>
        <v>45581.47877</v>
      </c>
      <c r="F123" s="18" t="str">
        <f t="array" ref="F123">IFNA(_xlfn.XLOOKUP(B123,Table_Respons_Loket[Count],Table_Respons_Loket[Jenis Permohonan]),"")</f>
        <v>HAPUS BHPTB</v>
      </c>
      <c r="G123" s="24"/>
      <c r="H123" s="24"/>
      <c r="I123" s="22" t="str">
        <f t="shared" si="7"/>
        <v/>
      </c>
      <c r="J123" s="20" t="b">
        <v>0</v>
      </c>
      <c r="K123" s="13" t="str">
        <f t="shared" si="2"/>
        <v/>
      </c>
    </row>
    <row r="124" ht="22.5" customHeight="1">
      <c r="B124" s="13">
        <f t="shared" si="3"/>
        <v>118</v>
      </c>
      <c r="C124" s="15" t="str">
        <f t="array" ref="C124">IFNA(_xlfn.XLOOKUP(B124,Table_Respons_Loket[Count],Table_Respons_Loket[Nomor Tiket]),"")</f>
        <v>L/19/161024/1</v>
      </c>
      <c r="D124" s="15" t="str">
        <f t="array" ref="D124">IFNA(_xlfn.XLOOKUP(B124,Table_Respons_Loket[Count],Table_Respons_Loket[Daftar Nomor Hak]),"")</f>
        <v>HM 3925/BERINGIN RAYA (SEBELUM NYA) HM 1609/SS (SEKARANG)</v>
      </c>
      <c r="E124" s="17">
        <f t="array" ref="E124">IFNA(_xlfn.XLOOKUP(B124,Table_Respons_Loket[Count],Table_Respons_Loket[Time Stamp]),"")</f>
        <v>45581.47973</v>
      </c>
      <c r="F124" s="18" t="str">
        <f t="array" ref="F124">IFNA(_xlfn.XLOOKUP(B124,Table_Respons_Loket[Count],Table_Respons_Loket[Jenis Permohonan]),"")</f>
        <v>BN HIBAH</v>
      </c>
      <c r="G124" s="12" t="s">
        <v>48</v>
      </c>
      <c r="H124" s="12" t="s">
        <v>52</v>
      </c>
      <c r="I124" s="22">
        <f t="shared" si="7"/>
        <v>45582.41672</v>
      </c>
      <c r="J124" s="20" t="b">
        <v>0</v>
      </c>
      <c r="K124" s="13" t="str">
        <f t="shared" si="2"/>
        <v/>
      </c>
    </row>
    <row r="125" ht="22.5" customHeight="1">
      <c r="B125" s="13">
        <f t="shared" si="3"/>
        <v>119</v>
      </c>
      <c r="C125" s="15" t="str">
        <f t="array" ref="C125">IFNA(_xlfn.XLOOKUP(B125,Table_Respons_Loket[Count],Table_Respons_Loket[Nomor Tiket]),"")</f>
        <v>K/20/161024/1</v>
      </c>
      <c r="D125" s="15" t="str">
        <f t="array" ref="D125">IFNA(_xlfn.XLOOKUP(B125,Table_Respons_Loket[Count],Table_Respons_Loket[Daftar Nomor Hak]),"")</f>
        <v>M.48/KALI BALAU KENCANA-SEKARANG;B.46/KALI BALAU KENCANA -DAHULU</v>
      </c>
      <c r="E125" s="17">
        <f t="array" ref="E125">IFNA(_xlfn.XLOOKUP(B125,Table_Respons_Loket[Count],Table_Respons_Loket[Time Stamp]),"")</f>
        <v>45581.48282</v>
      </c>
      <c r="F125" s="18" t="str">
        <f t="array" ref="F125">IFNA(_xlfn.XLOOKUP(B125,Table_Respons_Loket[Count],Table_Respons_Loket[Jenis Permohonan]),"")</f>
        <v>PERALIHAN KEWARISAN</v>
      </c>
      <c r="G125" s="12" t="s">
        <v>48</v>
      </c>
      <c r="H125" s="12" t="s">
        <v>52</v>
      </c>
      <c r="I125" s="22">
        <f t="shared" si="7"/>
        <v>45582.41655</v>
      </c>
      <c r="J125" s="20" t="b">
        <v>0</v>
      </c>
      <c r="K125" s="13" t="str">
        <f t="shared" si="2"/>
        <v/>
      </c>
    </row>
    <row r="126" ht="22.5" customHeight="1">
      <c r="B126" s="13">
        <f t="shared" si="3"/>
        <v>120</v>
      </c>
      <c r="C126" s="15" t="str">
        <f t="array" ref="C126">IFNA(_xlfn.XLOOKUP(B126,Table_Respons_Loket[Count],Table_Respons_Loket[Nomor Tiket]),"")</f>
        <v>K/21/161024/1</v>
      </c>
      <c r="D126" s="15" t="str">
        <f t="array" ref="D126">IFNA(_xlfn.XLOOKUP(B126,Table_Respons_Loket[Count],Table_Respons_Loket[Daftar Nomor Hak]),"")</f>
        <v>M. 651/ Durian Payung</v>
      </c>
      <c r="E126" s="17">
        <f t="array" ref="E126">IFNA(_xlfn.XLOOKUP(B126,Table_Respons_Loket[Count],Table_Respons_Loket[Time Stamp]),"")</f>
        <v>45581.48614</v>
      </c>
      <c r="F126" s="18" t="str">
        <f t="array" ref="F126">IFNA(_xlfn.XLOOKUP(B126,Table_Respons_Loket[Count],Table_Respons_Loket[Jenis Permohonan]),"")</f>
        <v>BN PHB</v>
      </c>
      <c r="G126" s="12" t="s">
        <v>48</v>
      </c>
      <c r="H126" s="12" t="s">
        <v>207</v>
      </c>
      <c r="I126" s="22">
        <f t="shared" si="7"/>
        <v>45582.41697</v>
      </c>
      <c r="J126" s="20" t="b">
        <v>0</v>
      </c>
      <c r="K126" s="13" t="str">
        <f t="shared" si="2"/>
        <v/>
      </c>
    </row>
    <row r="127" ht="22.5" customHeight="1">
      <c r="B127" s="13">
        <f t="shared" si="3"/>
        <v>121</v>
      </c>
      <c r="C127" s="15" t="str">
        <f t="array" ref="C127">IFNA(_xlfn.XLOOKUP(B127,Table_Respons_Loket[Count],Table_Respons_Loket[Nomor Tiket]),"")</f>
        <v>K/23/161024/1</v>
      </c>
      <c r="D127" s="15" t="str">
        <f t="array" ref="D127">IFNA(_xlfn.XLOOKUP(B127,Table_Respons_Loket[Count],Table_Respons_Loket[Daftar Nomor Hak]),"")</f>
        <v>NIBEL 2899/ RAWA LAUT</v>
      </c>
      <c r="E127" s="17">
        <f t="array" ref="E127">IFNA(_xlfn.XLOOKUP(B127,Table_Respons_Loket[Count],Table_Respons_Loket[Time Stamp]),"")</f>
        <v>45581.56868</v>
      </c>
      <c r="F127" s="18" t="str">
        <f t="array" ref="F127">IFNA(_xlfn.XLOOKUP(B127,Table_Respons_Loket[Count],Table_Respons_Loket[Jenis Permohonan]),"")</f>
        <v>BN JUAL BELI</v>
      </c>
      <c r="G127" s="24"/>
      <c r="H127" s="24"/>
      <c r="I127" s="22" t="str">
        <f t="shared" si="7"/>
        <v/>
      </c>
      <c r="J127" s="20" t="b">
        <v>0</v>
      </c>
      <c r="K127" s="13" t="str">
        <f t="shared" si="2"/>
        <v/>
      </c>
    </row>
    <row r="128" ht="22.5" customHeight="1">
      <c r="B128" s="13">
        <f t="shared" si="3"/>
        <v>122</v>
      </c>
      <c r="C128" s="15" t="str">
        <f t="array" ref="C128">IFNA(_xlfn.XLOOKUP(B128,Table_Respons_Loket[Count],Table_Respons_Loket[Nomor Tiket]),"")</f>
        <v>K/25/161024/2</v>
      </c>
      <c r="D128" s="15" t="str">
        <f t="array" ref="D128">IFNA(_xlfn.XLOOKUP(B128,Table_Respons_Loket[Count],Table_Respons_Loket[Daftar Nomor Hak]),"")</f>
        <v>M. 1443/ Batu Putuk</v>
      </c>
      <c r="E128" s="17">
        <f t="array" ref="E128">IFNA(_xlfn.XLOOKUP(B128,Table_Respons_Loket[Count],Table_Respons_Loket[Time Stamp]),"")</f>
        <v>45581.57052</v>
      </c>
      <c r="F128" s="18" t="str">
        <f t="array" ref="F128">IFNA(_xlfn.XLOOKUP(B128,Table_Respons_Loket[Count],Table_Respons_Loket[Jenis Permohonan]),"")</f>
        <v>Hapus BPHTB</v>
      </c>
      <c r="G128" s="24"/>
      <c r="H128" s="24"/>
      <c r="I128" s="22" t="str">
        <f t="shared" si="7"/>
        <v/>
      </c>
      <c r="J128" s="20" t="b">
        <v>0</v>
      </c>
      <c r="K128" s="13" t="str">
        <f t="shared" si="2"/>
        <v/>
      </c>
    </row>
    <row r="129" ht="22.5" customHeight="1">
      <c r="B129" s="13">
        <f t="shared" si="3"/>
        <v>123</v>
      </c>
      <c r="C129" s="15" t="str">
        <f t="array" ref="C129">IFNA(_xlfn.XLOOKUP(B129,Table_Respons_Loket[Count],Table_Respons_Loket[Nomor Tiket]),"")</f>
        <v>K/24/161024/2</v>
      </c>
      <c r="D129" s="15" t="str">
        <f t="array" ref="D129">IFNA(_xlfn.XLOOKUP(B129,Table_Respons_Loket[Count],Table_Respons_Loket[Daftar Nomor Hak]),"")</f>
        <v>M. 1535/ KEDAUNG</v>
      </c>
      <c r="E129" s="17">
        <f t="array" ref="E129">IFNA(_xlfn.XLOOKUP(B129,Table_Respons_Loket[Count],Table_Respons_Loket[Time Stamp]),"")</f>
        <v>45581.57066</v>
      </c>
      <c r="F129" s="18" t="str">
        <f t="array" ref="F129">IFNA(_xlfn.XLOOKUP(B129,Table_Respons_Loket[Count],Table_Respons_Loket[Jenis Permohonan]),"")</f>
        <v>BN JUAL BELI</v>
      </c>
      <c r="G129" s="12" t="s">
        <v>48</v>
      </c>
      <c r="H129" s="12" t="s">
        <v>52</v>
      </c>
      <c r="I129" s="22">
        <f t="shared" si="7"/>
        <v>45582.41738</v>
      </c>
      <c r="J129" s="20" t="b">
        <v>0</v>
      </c>
      <c r="K129" s="13" t="str">
        <f t="shared" si="2"/>
        <v/>
      </c>
    </row>
    <row r="130" ht="22.5" customHeight="1">
      <c r="B130" s="13">
        <f t="shared" si="3"/>
        <v>124</v>
      </c>
      <c r="C130" s="15" t="str">
        <f t="array" ref="C130">IFNA(_xlfn.XLOOKUP(B130,Table_Respons_Loket[Count],Table_Respons_Loket[Nomor Tiket]),"")</f>
        <v>K/27/161024/1</v>
      </c>
      <c r="D130" s="15" t="str">
        <f t="array" ref="D130">IFNA(_xlfn.XLOOKUP(B130,Table_Respons_Loket[Count],Table_Respons_Loket[Daftar Nomor Hak]),"")</f>
        <v>M. 12564/ Rajabasa Nunyai; 1137/ Rajabasa Dahulu</v>
      </c>
      <c r="E130" s="17">
        <f t="array" ref="E130">IFNA(_xlfn.XLOOKUP(B130,Table_Respons_Loket[Count],Table_Respons_Loket[Time Stamp]),"")</f>
        <v>45581.5797</v>
      </c>
      <c r="F130" s="18" t="str">
        <f t="array" ref="F130">IFNA(_xlfn.XLOOKUP(B130,Table_Respons_Loket[Count],Table_Respons_Loket[Jenis Permohonan]),"")</f>
        <v>BN Jual Beli</v>
      </c>
      <c r="G130" s="12" t="s">
        <v>42</v>
      </c>
      <c r="H130" s="12" t="s">
        <v>52</v>
      </c>
      <c r="I130" s="22">
        <f t="shared" si="7"/>
        <v>45601.42097</v>
      </c>
      <c r="J130" s="20" t="b">
        <v>0</v>
      </c>
      <c r="K130" s="13" t="str">
        <f t="shared" si="2"/>
        <v/>
      </c>
    </row>
    <row r="131" ht="22.5" customHeight="1">
      <c r="B131" s="13">
        <f t="shared" si="3"/>
        <v>125</v>
      </c>
      <c r="C131" s="15" t="str">
        <f t="array" ref="C131">IFNA(_xlfn.XLOOKUP(B131,Table_Respons_Loket[Count],Table_Respons_Loket[Nomor Tiket]),"")</f>
        <v>K/28/161024/1</v>
      </c>
      <c r="D131" s="15" t="str">
        <f t="array" ref="D131">IFNA(_xlfn.XLOOKUP(B131,Table_Respons_Loket[Count],Table_Respons_Loket[Daftar Nomor Hak]),"")</f>
        <v>M. 68/ Perumnas Way Kandis</v>
      </c>
      <c r="E131" s="17">
        <f t="array" ref="E131">IFNA(_xlfn.XLOOKUP(B131,Table_Respons_Loket[Count],Table_Respons_Loket[Time Stamp]),"")</f>
        <v>45581.58029</v>
      </c>
      <c r="F131" s="18" t="str">
        <f t="array" ref="F131">IFNA(_xlfn.XLOOKUP(B131,Table_Respons_Loket[Count],Table_Respons_Loket[Jenis Permohonan]),"")</f>
        <v>PEMECAHAN BIDANG</v>
      </c>
      <c r="G131" s="12" t="s">
        <v>50</v>
      </c>
      <c r="H131" s="12" t="s">
        <v>87</v>
      </c>
      <c r="I131" s="22">
        <f t="shared" si="7"/>
        <v>45588.37738</v>
      </c>
      <c r="J131" s="20" t="b">
        <v>0</v>
      </c>
      <c r="K131" s="13" t="str">
        <f t="shared" si="2"/>
        <v/>
      </c>
    </row>
    <row r="132" ht="22.5" customHeight="1">
      <c r="B132" s="13">
        <f t="shared" si="3"/>
        <v>126</v>
      </c>
      <c r="C132" s="15" t="str">
        <f t="array" ref="C132">IFNA(_xlfn.XLOOKUP(B132,Table_Respons_Loket[Count],Table_Respons_Loket[Nomor Tiket]),"")</f>
        <v>K/29/161024/2</v>
      </c>
      <c r="D132" s="15" t="str">
        <f t="array" ref="D132">IFNA(_xlfn.XLOOKUP(B132,Table_Respons_Loket[Count],Table_Respons_Loket[Daftar Nomor Hak]),"")</f>
        <v>M. 8953/ KAMPUNG BARU</v>
      </c>
      <c r="E132" s="17">
        <f t="array" ref="E132">IFNA(_xlfn.XLOOKUP(B132,Table_Respons_Loket[Count],Table_Respons_Loket[Time Stamp]),"")</f>
        <v>45581.58124</v>
      </c>
      <c r="F132" s="18" t="str">
        <f t="array" ref="F132">IFNA(_xlfn.XLOOKUP(B132,Table_Respons_Loket[Count],Table_Respons_Loket[Jenis Permohonan]),"")</f>
        <v>GANTI KELURAHAN</v>
      </c>
      <c r="G132" s="24"/>
      <c r="H132" s="24"/>
      <c r="I132" s="22" t="str">
        <f t="shared" si="7"/>
        <v/>
      </c>
      <c r="J132" s="20" t="b">
        <v>0</v>
      </c>
      <c r="K132" s="13" t="str">
        <f t="shared" si="2"/>
        <v/>
      </c>
    </row>
    <row r="133" ht="22.5" customHeight="1">
      <c r="B133" s="13">
        <f t="shared" si="3"/>
        <v>127</v>
      </c>
      <c r="C133" s="15" t="str">
        <f t="array" ref="C133">IFNA(_xlfn.XLOOKUP(B133,Table_Respons_Loket[Count],Table_Respons_Loket[Nomor Tiket]),"")</f>
        <v>K/30/161024/1</v>
      </c>
      <c r="D133" s="15" t="str">
        <f t="array" ref="D133">IFNA(_xlfn.XLOOKUP(B133,Table_Respons_Loket[Count],Table_Respons_Loket[Daftar Nomor Hak]),"")</f>
        <v>M. 4485/ Beringin Raya; B. 1808/ Beringin Raya</v>
      </c>
      <c r="E133" s="17">
        <f t="array" ref="E133">IFNA(_xlfn.XLOOKUP(B133,Table_Respons_Loket[Count],Table_Respons_Loket[Time Stamp]),"")</f>
        <v>45581.60282</v>
      </c>
      <c r="F133" s="18" t="str">
        <f t="array" ref="F133">IFNA(_xlfn.XLOOKUP(B133,Table_Respons_Loket[Count],Table_Respons_Loket[Jenis Permohonan]),"")</f>
        <v>BN Jual Beli</v>
      </c>
      <c r="G133" s="12" t="s">
        <v>42</v>
      </c>
      <c r="H133" s="12" t="s">
        <v>87</v>
      </c>
      <c r="I133" s="22">
        <f t="shared" si="7"/>
        <v>45614.66166</v>
      </c>
      <c r="J133" s="20" t="b">
        <v>1</v>
      </c>
      <c r="K133" s="17">
        <f t="shared" si="2"/>
        <v>45614.66166</v>
      </c>
    </row>
    <row r="134" ht="22.5" customHeight="1">
      <c r="B134" s="13">
        <f t="shared" si="3"/>
        <v>128</v>
      </c>
      <c r="C134" s="15" t="str">
        <f t="array" ref="C134">IFNA(_xlfn.XLOOKUP(B134,Table_Respons_Loket[Count],Table_Respons_Loket[Nomor Tiket]),"")</f>
        <v>K/32/161024/1</v>
      </c>
      <c r="D134" s="15" t="str">
        <f t="array" ref="D134">IFNA(_xlfn.XLOOKUP(B134,Table_Respons_Loket[Count],Table_Respons_Loket[Daftar Nomor Hak]),"")</f>
        <v>B. 598/ SUMBER AGUNG</v>
      </c>
      <c r="E134" s="17">
        <f t="array" ref="E134">IFNA(_xlfn.XLOOKUP(B134,Table_Respons_Loket[Count],Table_Respons_Loket[Time Stamp]),"")</f>
        <v>45581.58638</v>
      </c>
      <c r="F134" s="18" t="str">
        <f t="array" ref="F134">IFNA(_xlfn.XLOOKUP(B134,Table_Respons_Loket[Count],Table_Respons_Loket[Jenis Permohonan]),"")</f>
        <v>BN JUAL BELI</v>
      </c>
      <c r="G134" s="12" t="s">
        <v>48</v>
      </c>
      <c r="H134" s="12" t="s">
        <v>52</v>
      </c>
      <c r="I134" s="22">
        <f t="shared" si="7"/>
        <v>45582.41748</v>
      </c>
      <c r="J134" s="20" t="b">
        <v>0</v>
      </c>
      <c r="K134" s="13" t="str">
        <f t="shared" si="2"/>
        <v/>
      </c>
    </row>
    <row r="135" ht="22.5" customHeight="1">
      <c r="B135" s="13">
        <f t="shared" si="3"/>
        <v>129</v>
      </c>
      <c r="C135" s="15" t="str">
        <f t="array" ref="C135">IFNA(_xlfn.XLOOKUP(B135,Table_Respons_Loket[Count],Table_Respons_Loket[Nomor Tiket]),"")</f>
        <v>L/34/161024/1</v>
      </c>
      <c r="D135" s="15" t="str">
        <f t="array" ref="D135">IFNA(_xlfn.XLOOKUP(B135,Table_Respons_Loket[Count],Table_Respons_Loket[Daftar Nomor Hak]),"")</f>
        <v>M.1450/SUMBERREJO SEJAHTERA</v>
      </c>
      <c r="E135" s="17">
        <f t="array" ref="E135">IFNA(_xlfn.XLOOKUP(B135,Table_Respons_Loket[Count],Table_Respons_Loket[Time Stamp]),"")</f>
        <v>45581.58919</v>
      </c>
      <c r="F135" s="18" t="str">
        <f t="array" ref="F135">IFNA(_xlfn.XLOOKUP(B135,Table_Respons_Loket[Count],Table_Respons_Loket[Jenis Permohonan]),"")</f>
        <v>HAPUS BPHTB</v>
      </c>
      <c r="G135" s="24"/>
      <c r="H135" s="24"/>
      <c r="I135" s="22" t="str">
        <f t="shared" si="7"/>
        <v/>
      </c>
      <c r="J135" s="20" t="b">
        <v>0</v>
      </c>
      <c r="K135" s="13" t="str">
        <f t="shared" si="2"/>
        <v/>
      </c>
    </row>
    <row r="136" ht="22.5" customHeight="1">
      <c r="B136" s="13">
        <f t="shared" si="3"/>
        <v>130</v>
      </c>
      <c r="C136" s="15" t="str">
        <f t="array" ref="C136">IFNA(_xlfn.XLOOKUP(B136,Table_Respons_Loket[Count],Table_Respons_Loket[Nomor Tiket]),"")</f>
        <v>K/33/161024/2</v>
      </c>
      <c r="D136" s="15" t="str">
        <f t="array" ref="D136">IFNA(_xlfn.XLOOKUP(B136,Table_Respons_Loket[Count],Table_Respons_Loket[Daftar Nomor Hak]),"")</f>
        <v>B. 592/ SUMBER AGUNG</v>
      </c>
      <c r="E136" s="17">
        <f t="array" ref="E136">IFNA(_xlfn.XLOOKUP(B136,Table_Respons_Loket[Count],Table_Respons_Loket[Time Stamp]),"")</f>
        <v>45581.58978</v>
      </c>
      <c r="F136" s="18" t="str">
        <f t="array" ref="F136">IFNA(_xlfn.XLOOKUP(B136,Table_Respons_Loket[Count],Table_Respons_Loket[Jenis Permohonan]),"")</f>
        <v>BN JUAL BELI</v>
      </c>
      <c r="G136" s="12" t="s">
        <v>48</v>
      </c>
      <c r="H136" s="12" t="s">
        <v>52</v>
      </c>
      <c r="I136" s="22">
        <f t="shared" si="7"/>
        <v>45582.41757</v>
      </c>
      <c r="J136" s="20" t="b">
        <v>0</v>
      </c>
      <c r="K136" s="13" t="str">
        <f t="shared" si="2"/>
        <v/>
      </c>
    </row>
    <row r="137" ht="22.5" customHeight="1">
      <c r="B137" s="13">
        <f t="shared" si="3"/>
        <v>131</v>
      </c>
      <c r="C137" s="15" t="str">
        <f t="array" ref="C137">IFNA(_xlfn.XLOOKUP(B137,Table_Respons_Loket[Count],Table_Respons_Loket[Nomor Tiket]),"")</f>
        <v>K/35/161024/1</v>
      </c>
      <c r="D137" s="15" t="str">
        <f t="array" ref="D137">IFNA(_xlfn.XLOOKUP(B137,Table_Respons_Loket[Count],Table_Respons_Loket[Daftar Nomor Hak]),"")</f>
        <v>M.11916/SUKABUMI-SEKARANG;B.3374/SUKABUMI-DAHULU</v>
      </c>
      <c r="E137" s="17">
        <f t="array" ref="E137">IFNA(_xlfn.XLOOKUP(B137,Table_Respons_Loket[Count],Table_Respons_Loket[Time Stamp]),"")</f>
        <v>45581.59411</v>
      </c>
      <c r="F137" s="18" t="str">
        <f t="array" ref="F137">IFNA(_xlfn.XLOOKUP(B137,Table_Respons_Loket[Count],Table_Respons_Loket[Jenis Permohonan]),"")</f>
        <v>ROYA</v>
      </c>
      <c r="G137" s="12" t="s">
        <v>48</v>
      </c>
      <c r="H137" s="12" t="s">
        <v>52</v>
      </c>
      <c r="I137" s="22">
        <f t="shared" si="7"/>
        <v>45582.41683</v>
      </c>
      <c r="J137" s="20" t="b">
        <v>0</v>
      </c>
      <c r="K137" s="13" t="str">
        <f t="shared" si="2"/>
        <v/>
      </c>
    </row>
    <row r="138" ht="22.5" customHeight="1">
      <c r="B138" s="13">
        <f t="shared" si="3"/>
        <v>132</v>
      </c>
      <c r="C138" s="15" t="str">
        <f t="array" ref="C138">IFNA(_xlfn.XLOOKUP(B138,Table_Respons_Loket[Count],Table_Respons_Loket[Nomor Tiket]),"")</f>
        <v>K/36/161024/1</v>
      </c>
      <c r="D138" s="15" t="str">
        <f t="array" ref="D138">IFNA(_xlfn.XLOOKUP(B138,Table_Respons_Loket[Count],Table_Respons_Loket[Daftar Nomor Hak]),"")</f>
        <v>M. 16685/ SUKABUMI</v>
      </c>
      <c r="E138" s="17">
        <f t="array" ref="E138">IFNA(_xlfn.XLOOKUP(B138,Table_Respons_Loket[Count],Table_Respons_Loket[Time Stamp]),"")</f>
        <v>45581.6012</v>
      </c>
      <c r="F138" s="18" t="str">
        <f t="array" ref="F138">IFNA(_xlfn.XLOOKUP(B138,Table_Respons_Loket[Count],Table_Respons_Loket[Jenis Permohonan]),"")</f>
        <v>PEMECAHAN BIDANG</v>
      </c>
      <c r="G138" s="12" t="s">
        <v>50</v>
      </c>
      <c r="H138" s="12" t="s">
        <v>52</v>
      </c>
      <c r="I138" s="22">
        <f t="shared" si="7"/>
        <v>45588.37738</v>
      </c>
      <c r="J138" s="20" t="b">
        <v>0</v>
      </c>
      <c r="K138" s="13" t="str">
        <f t="shared" si="2"/>
        <v/>
      </c>
    </row>
    <row r="139" ht="22.5" customHeight="1">
      <c r="B139" s="13">
        <f t="shared" si="3"/>
        <v>133</v>
      </c>
      <c r="C139" s="15" t="str">
        <f t="array" ref="C139">IFNA(_xlfn.XLOOKUP(B139,Table_Respons_Loket[Count],Table_Respons_Loket[Nomor Tiket]),"")</f>
        <v>K/37/161024/1</v>
      </c>
      <c r="D139" s="15" t="str">
        <f t="array" ref="D139">IFNA(_xlfn.XLOOKUP(B139,Table_Respons_Loket[Count],Table_Respons_Loket[Daftar Nomor Hak]),"")</f>
        <v>M. 16119/ Sukabumi</v>
      </c>
      <c r="E139" s="17">
        <f t="array" ref="E139">IFNA(_xlfn.XLOOKUP(B139,Table_Respons_Loket[Count],Table_Respons_Loket[Time Stamp]),"")</f>
        <v>45581.60372</v>
      </c>
      <c r="F139" s="18" t="str">
        <f t="array" ref="F139">IFNA(_xlfn.XLOOKUP(B139,Table_Respons_Loket[Count],Table_Respons_Loket[Jenis Permohonan]),"")</f>
        <v>BN Jual Beli</v>
      </c>
      <c r="G139" s="12" t="s">
        <v>50</v>
      </c>
      <c r="H139" s="12" t="s">
        <v>52</v>
      </c>
      <c r="I139" s="22">
        <f t="shared" si="7"/>
        <v>45587.56232</v>
      </c>
      <c r="J139" s="20" t="b">
        <v>0</v>
      </c>
      <c r="K139" s="13" t="str">
        <f t="shared" si="2"/>
        <v/>
      </c>
    </row>
    <row r="140" ht="22.5" customHeight="1">
      <c r="B140" s="13">
        <f t="shared" si="3"/>
        <v>134</v>
      </c>
      <c r="C140" s="15" t="str">
        <f t="array" ref="C140">IFNA(_xlfn.XLOOKUP(B140,Table_Respons_Loket[Count],Table_Respons_Loket[Nomor Tiket]),"")</f>
        <v>K/38/161024/1</v>
      </c>
      <c r="D140" s="15" t="str">
        <f t="array" ref="D140">IFNA(_xlfn.XLOOKUP(B140,Table_Respons_Loket[Count],Table_Respons_Loket[Daftar Nomor Hak]),"")</f>
        <v>M. 2904/ Gedong Air</v>
      </c>
      <c r="E140" s="17">
        <f t="array" ref="E140">IFNA(_xlfn.XLOOKUP(B140,Table_Respons_Loket[Count],Table_Respons_Loket[Time Stamp]),"")</f>
        <v>45581.60957</v>
      </c>
      <c r="F140" s="18" t="str">
        <f t="array" ref="F140">IFNA(_xlfn.XLOOKUP(B140,Table_Respons_Loket[Count],Table_Respons_Loket[Jenis Permohonan]),"")</f>
        <v>Hapus BPHTB</v>
      </c>
      <c r="G140" s="24"/>
      <c r="H140" s="24"/>
      <c r="I140" s="22" t="str">
        <f t="shared" si="7"/>
        <v/>
      </c>
      <c r="J140" s="20" t="b">
        <v>0</v>
      </c>
      <c r="K140" s="13" t="str">
        <f t="shared" si="2"/>
        <v/>
      </c>
    </row>
    <row r="141" ht="22.5" customHeight="1">
      <c r="B141" s="13">
        <f t="shared" si="3"/>
        <v>135</v>
      </c>
      <c r="C141" s="15" t="str">
        <f t="array" ref="C141">IFNA(_xlfn.XLOOKUP(B141,Table_Respons_Loket[Count],Table_Respons_Loket[Nomor Tiket]),"")</f>
        <v>K/39/161024/1</v>
      </c>
      <c r="D141" s="15" t="str">
        <f t="array" ref="D141">IFNA(_xlfn.XLOOKUP(B141,Table_Respons_Loket[Count],Table_Respons_Loket[Daftar Nomor Hak]),"")</f>
        <v>M. 1812/ Rajabasa Nunyai-</v>
      </c>
      <c r="E141" s="17">
        <f t="array" ref="E141">IFNA(_xlfn.XLOOKUP(B141,Table_Respons_Loket[Count],Table_Respons_Loket[Time Stamp]),"")</f>
        <v>45581.61554</v>
      </c>
      <c r="F141" s="18" t="str">
        <f t="array" ref="F141">IFNA(_xlfn.XLOOKUP(B141,Table_Respons_Loket[Count],Table_Respons_Loket[Jenis Permohonan]),"")</f>
        <v>BN Jual Beli</v>
      </c>
      <c r="G141" s="12" t="s">
        <v>50</v>
      </c>
      <c r="H141" s="12" t="s">
        <v>52</v>
      </c>
      <c r="I141" s="22">
        <f t="shared" si="7"/>
        <v>45582.63658</v>
      </c>
      <c r="J141" s="20" t="b">
        <v>0</v>
      </c>
      <c r="K141" s="13" t="str">
        <f t="shared" si="2"/>
        <v/>
      </c>
    </row>
    <row r="142" ht="22.5" customHeight="1">
      <c r="B142" s="13">
        <f t="shared" si="3"/>
        <v>136</v>
      </c>
      <c r="C142" s="15" t="str">
        <f t="array" ref="C142">IFNA(_xlfn.XLOOKUP(B142,Table_Respons_Loket[Count],Table_Respons_Loket[Nomor Tiket]),"")</f>
        <v>K/40/161024/1</v>
      </c>
      <c r="D142" s="15" t="str">
        <f t="array" ref="D142">IFNA(_xlfn.XLOOKUP(B142,Table_Respons_Loket[Count],Table_Respons_Loket[Daftar Nomor Hak]),"")</f>
        <v>M.5925/TANJUNG SENENG</v>
      </c>
      <c r="E142" s="17">
        <f t="array" ref="E142">IFNA(_xlfn.XLOOKUP(B142,Table_Respons_Loket[Count],Table_Respons_Loket[Time Stamp]),"")</f>
        <v>45581.61617</v>
      </c>
      <c r="F142" s="18" t="str">
        <f t="array" ref="F142">IFNA(_xlfn.XLOOKUP(B142,Table_Respons_Loket[Count],Table_Respons_Loket[Jenis Permohonan]),"")</f>
        <v>HAPUS BPHTB</v>
      </c>
      <c r="G142" s="24"/>
      <c r="H142" s="24"/>
      <c r="I142" s="22" t="str">
        <f t="shared" si="7"/>
        <v/>
      </c>
      <c r="J142" s="20" t="b">
        <v>0</v>
      </c>
      <c r="K142" s="13" t="str">
        <f t="shared" si="2"/>
        <v/>
      </c>
    </row>
    <row r="143" ht="22.5" customHeight="1">
      <c r="B143" s="13">
        <f t="shared" si="3"/>
        <v>137</v>
      </c>
      <c r="C143" s="15" t="str">
        <f t="array" ref="C143">IFNA(_xlfn.XLOOKUP(B143,Table_Respons_Loket[Count],Table_Respons_Loket[Nomor Tiket]),"")</f>
        <v>K/1/171024/1</v>
      </c>
      <c r="D143" s="15" t="str">
        <f t="array" ref="D143">IFNA(_xlfn.XLOOKUP(B143,Table_Respons_Loket[Count],Table_Respons_Loket[Daftar Nomor Hak]),"")</f>
        <v>B.1379/SUKABUMI</v>
      </c>
      <c r="E143" s="17">
        <f t="array" ref="E143">IFNA(_xlfn.XLOOKUP(B143,Table_Respons_Loket[Count],Table_Respons_Loket[Time Stamp]),"")</f>
        <v>45582.40407</v>
      </c>
      <c r="F143" s="18" t="str">
        <f t="array" ref="F143">IFNA(_xlfn.XLOOKUP(B143,Table_Respons_Loket[Count],Table_Respons_Loket[Jenis Permohonan]),"")</f>
        <v>GANDES</v>
      </c>
      <c r="G143" s="24"/>
      <c r="H143" s="24"/>
      <c r="I143" s="22" t="str">
        <f t="shared" si="7"/>
        <v/>
      </c>
      <c r="J143" s="20" t="b">
        <v>0</v>
      </c>
      <c r="K143" s="13" t="str">
        <f t="shared" si="2"/>
        <v/>
      </c>
    </row>
    <row r="144" ht="22.5" customHeight="1">
      <c r="B144" s="13">
        <f t="shared" si="3"/>
        <v>138</v>
      </c>
      <c r="C144" s="15" t="str">
        <f t="array" ref="C144">IFNA(_xlfn.XLOOKUP(B144,Table_Respons_Loket[Count],Table_Respons_Loket[Nomor Tiket]),"")</f>
        <v>K/2/171024/1</v>
      </c>
      <c r="D144" s="15" t="str">
        <f t="array" ref="D144">IFNA(_xlfn.XLOOKUP(B144,Table_Respons_Loket[Count],Table_Respons_Loket[Daftar Nomor Hak]),"")</f>
        <v>M. 525/ Sumber Agung</v>
      </c>
      <c r="E144" s="17">
        <f t="array" ref="E144">IFNA(_xlfn.XLOOKUP(B144,Table_Respons_Loket[Count],Table_Respons_Loket[Time Stamp]),"")</f>
        <v>45582.40807</v>
      </c>
      <c r="F144" s="18" t="str">
        <f t="array" ref="F144">IFNA(_xlfn.XLOOKUP(B144,Table_Respons_Loket[Count],Table_Respons_Loket[Jenis Permohonan]),"")</f>
        <v>PEMECAHAN BIDANG</v>
      </c>
      <c r="G144" s="12" t="s">
        <v>50</v>
      </c>
      <c r="H144" s="12" t="s">
        <v>52</v>
      </c>
      <c r="I144" s="22">
        <f t="shared" si="7"/>
        <v>45588.37738</v>
      </c>
      <c r="J144" s="20" t="b">
        <v>0</v>
      </c>
      <c r="K144" s="13" t="str">
        <f t="shared" si="2"/>
        <v/>
      </c>
    </row>
    <row r="145" ht="22.5" customHeight="1">
      <c r="B145" s="13">
        <f t="shared" si="3"/>
        <v>139</v>
      </c>
      <c r="C145" s="15" t="str">
        <f t="array" ref="C145">IFNA(_xlfn.XLOOKUP(B145,Table_Respons_Loket[Count],Table_Respons_Loket[Nomor Tiket]),"")</f>
        <v>L/3/171024/1</v>
      </c>
      <c r="D145" s="15" t="str">
        <f t="array" ref="D145">IFNA(_xlfn.XLOOKUP(B145,Table_Respons_Loket[Count],Table_Respons_Loket[Daftar Nomor Hak]),"")</f>
        <v>M 3895/CAMPANG RAYA</v>
      </c>
      <c r="E145" s="17">
        <f t="array" ref="E145">IFNA(_xlfn.XLOOKUP(B145,Table_Respons_Loket[Count],Table_Respons_Loket[Time Stamp]),"")</f>
        <v>45582.40965</v>
      </c>
      <c r="F145" s="18" t="str">
        <f t="array" ref="F145">IFNA(_xlfn.XLOOKUP(B145,Table_Respons_Loket[Count],Table_Respons_Loket[Jenis Permohonan]),"")</f>
        <v>HAPUS BPTHB</v>
      </c>
      <c r="G145" s="24"/>
      <c r="H145" s="24"/>
      <c r="I145" s="22" t="str">
        <f t="shared" si="7"/>
        <v/>
      </c>
      <c r="J145" s="20" t="b">
        <v>0</v>
      </c>
      <c r="K145" s="13" t="str">
        <f t="shared" si="2"/>
        <v/>
      </c>
    </row>
    <row r="146" ht="22.5" customHeight="1">
      <c r="B146" s="13">
        <f t="shared" si="3"/>
        <v>140</v>
      </c>
      <c r="C146" s="15" t="str">
        <f t="array" ref="C146">IFNA(_xlfn.XLOOKUP(B146,Table_Respons_Loket[Count],Table_Respons_Loket[Nomor Tiket]),"")</f>
        <v>K/4/171024/1</v>
      </c>
      <c r="D146" s="15" t="str">
        <f t="array" ref="D146">IFNA(_xlfn.XLOOKUP(B146,Table_Respons_Loket[Count],Table_Respons_Loket[Daftar Nomor Hak]),"")</f>
        <v>NIBEL B.2410/RAJABASA NUNYAI</v>
      </c>
      <c r="E146" s="17">
        <f t="array" ref="E146">IFNA(_xlfn.XLOOKUP(B146,Table_Respons_Loket[Count],Table_Respons_Loket[Time Stamp]),"")</f>
        <v>45582.41909</v>
      </c>
      <c r="F146" s="18" t="str">
        <f t="array" ref="F146">IFNA(_xlfn.XLOOKUP(B146,Table_Respons_Loket[Count],Table_Respons_Loket[Jenis Permohonan]),"")</f>
        <v>PENINGKATAN HAK</v>
      </c>
      <c r="G146" s="24"/>
      <c r="H146" s="24"/>
      <c r="I146" s="22" t="str">
        <f t="shared" si="7"/>
        <v/>
      </c>
      <c r="J146" s="20" t="b">
        <v>0</v>
      </c>
      <c r="K146" s="13" t="str">
        <f t="shared" si="2"/>
        <v/>
      </c>
    </row>
    <row r="147" ht="22.5" customHeight="1">
      <c r="B147" s="13">
        <f t="shared" si="3"/>
        <v>141</v>
      </c>
      <c r="C147" s="15" t="str">
        <f t="array" ref="C147">IFNA(_xlfn.XLOOKUP(B147,Table_Respons_Loket[Count],Table_Respons_Loket[Nomor Tiket]),"")</f>
        <v>K/5/171024/1</v>
      </c>
      <c r="D147" s="15" t="str">
        <f t="array" ref="D147">IFNA(_xlfn.XLOOKUP(B147,Table_Respons_Loket[Count],Table_Respons_Loket[Daftar Nomor Hak]),"")</f>
        <v>M. 14030/ Tanjung Baru; M. 13709/ Kedamaian-dahulu</v>
      </c>
      <c r="E147" s="17">
        <f t="array" ref="E147">IFNA(_xlfn.XLOOKUP(B147,Table_Respons_Loket[Count],Table_Respons_Loket[Time Stamp]),"")</f>
        <v>45582.42342</v>
      </c>
      <c r="F147" s="18" t="str">
        <f t="array" ref="F147">IFNA(_xlfn.XLOOKUP(B147,Table_Respons_Loket[Count],Table_Respons_Loket[Jenis Permohonan]),"")</f>
        <v>BN Waris</v>
      </c>
      <c r="G147" s="12" t="s">
        <v>50</v>
      </c>
      <c r="H147" s="12" t="s">
        <v>52</v>
      </c>
      <c r="I147" s="22">
        <f t="shared" si="7"/>
        <v>45582.63491</v>
      </c>
      <c r="J147" s="20" t="b">
        <v>0</v>
      </c>
      <c r="K147" s="13" t="str">
        <f t="shared" si="2"/>
        <v/>
      </c>
    </row>
    <row r="148" ht="22.5" customHeight="1">
      <c r="B148" s="13">
        <f t="shared" si="3"/>
        <v>142</v>
      </c>
      <c r="C148" s="15" t="str">
        <f t="array" ref="C148">IFNA(_xlfn.XLOOKUP(B148,Table_Respons_Loket[Count],Table_Respons_Loket[Nomor Tiket]),"")</f>
        <v>L/6/171024/1</v>
      </c>
      <c r="D148" s="15" t="str">
        <f t="array" ref="D148">IFNA(_xlfn.XLOOKUP(B148,Table_Respons_Loket[Count],Table_Respons_Loket[Daftar Nomor Hak]),"")</f>
        <v>M.13036/SUKABUMI</v>
      </c>
      <c r="E148" s="17">
        <f t="array" ref="E148">IFNA(_xlfn.XLOOKUP(B148,Table_Respons_Loket[Count],Table_Respons_Loket[Time Stamp]),"")</f>
        <v>45582.42391</v>
      </c>
      <c r="F148" s="18" t="str">
        <f t="array" ref="F148">IFNA(_xlfn.XLOOKUP(B148,Table_Respons_Loket[Count],Table_Respons_Loket[Jenis Permohonan]),"")</f>
        <v>ROYA</v>
      </c>
      <c r="G148" s="12" t="s">
        <v>50</v>
      </c>
      <c r="H148" s="12" t="s">
        <v>52</v>
      </c>
      <c r="I148" s="22">
        <f t="shared" si="7"/>
        <v>45582.63588</v>
      </c>
      <c r="J148" s="20" t="b">
        <v>0</v>
      </c>
      <c r="K148" s="13" t="str">
        <f t="shared" si="2"/>
        <v/>
      </c>
    </row>
    <row r="149" ht="22.5" customHeight="1">
      <c r="B149" s="13">
        <f t="shared" si="3"/>
        <v>143</v>
      </c>
      <c r="C149" s="15" t="str">
        <f t="array" ref="C149">IFNA(_xlfn.XLOOKUP(B149,Table_Respons_Loket[Count],Table_Respons_Loket[Nomor Tiket]),"")</f>
        <v>K/7/171024/1</v>
      </c>
      <c r="D149" s="15" t="str">
        <f t="array" ref="D149">IFNA(_xlfn.XLOOKUP(B149,Table_Respons_Loket[Count],Table_Respons_Loket[Daftar Nomor Hak]),"")</f>
        <v>M. 2174/ Way Kandis</v>
      </c>
      <c r="E149" s="17">
        <f t="array" ref="E149">IFNA(_xlfn.XLOOKUP(B149,Table_Respons_Loket[Count],Table_Respons_Loket[Time Stamp]),"")</f>
        <v>45582.43223</v>
      </c>
      <c r="F149" s="18" t="str">
        <f t="array" ref="F149">IFNA(_xlfn.XLOOKUP(B149,Table_Respons_Loket[Count],Table_Respons_Loket[Jenis Permohonan]),"")</f>
        <v>Pemecahan</v>
      </c>
      <c r="G149" s="12" t="s">
        <v>50</v>
      </c>
      <c r="H149" s="12" t="s">
        <v>52</v>
      </c>
      <c r="I149" s="22">
        <f t="shared" si="7"/>
        <v>45588.37756</v>
      </c>
      <c r="J149" s="20" t="b">
        <v>0</v>
      </c>
      <c r="K149" s="13" t="str">
        <f t="shared" si="2"/>
        <v/>
      </c>
    </row>
    <row r="150" ht="22.5" customHeight="1">
      <c r="B150" s="13">
        <f t="shared" si="3"/>
        <v>144</v>
      </c>
      <c r="C150" s="15" t="str">
        <f t="array" ref="C150">IFNA(_xlfn.XLOOKUP(B150,Table_Respons_Loket[Count],Table_Respons_Loket[Nomor Tiket]),"")</f>
        <v>K/8/171024/1</v>
      </c>
      <c r="D150" s="15" t="str">
        <f t="array" ref="D150">IFNA(_xlfn.XLOOKUP(B150,Table_Respons_Loket[Count],Table_Respons_Loket[Daftar Nomor Hak]),"")</f>
        <v>M.779/NEGERI OLOK GADING-SEKARANG;B.579/NEGERI OLOK GADING-DAHULU</v>
      </c>
      <c r="E150" s="17">
        <f t="array" ref="E150">IFNA(_xlfn.XLOOKUP(B150,Table_Respons_Loket[Count],Table_Respons_Loket[Time Stamp]),"")</f>
        <v>45582.43544</v>
      </c>
      <c r="F150" s="18" t="str">
        <f t="array" ref="F150">IFNA(_xlfn.XLOOKUP(B150,Table_Respons_Loket[Count],Table_Respons_Loket[Jenis Permohonan]),"")</f>
        <v>PERALIHAN JUAL BELI</v>
      </c>
      <c r="G150" s="12" t="s">
        <v>50</v>
      </c>
      <c r="H150" s="12" t="s">
        <v>52</v>
      </c>
      <c r="I150" s="22">
        <f t="shared" si="7"/>
        <v>45582.63514</v>
      </c>
      <c r="J150" s="20" t="b">
        <v>0</v>
      </c>
      <c r="K150" s="13" t="str">
        <f t="shared" si="2"/>
        <v/>
      </c>
    </row>
    <row r="151" ht="22.5" customHeight="1">
      <c r="B151" s="13">
        <f t="shared" si="3"/>
        <v>145</v>
      </c>
      <c r="C151" s="15" t="str">
        <f t="array" ref="C151">IFNA(_xlfn.XLOOKUP(B151,Table_Respons_Loket[Count],Table_Respons_Loket[Nomor Tiket]),"")</f>
        <v>K/9/171024/1</v>
      </c>
      <c r="D151" s="15" t="str">
        <f t="array" ref="D151">IFNA(_xlfn.XLOOKUP(B151,Table_Respons_Loket[Count],Table_Respons_Loket[Daftar Nomor Hak]),"")</f>
        <v>M. 18422/ SUKARAME I</v>
      </c>
      <c r="E151" s="17">
        <f t="array" ref="E151">IFNA(_xlfn.XLOOKUP(B151,Table_Respons_Loket[Count],Table_Respons_Loket[Time Stamp]),"")</f>
        <v>45582.44572</v>
      </c>
      <c r="F151" s="18" t="str">
        <f t="array" ref="F151">IFNA(_xlfn.XLOOKUP(B151,Table_Respons_Loket[Count],Table_Respons_Loket[Jenis Permohonan]),"")</f>
        <v>GANTI KELURAHAN</v>
      </c>
      <c r="G151" s="24"/>
      <c r="H151" s="24"/>
      <c r="I151" s="22" t="str">
        <f t="shared" si="7"/>
        <v/>
      </c>
      <c r="J151" s="20" t="b">
        <v>0</v>
      </c>
      <c r="K151" s="13" t="str">
        <f t="shared" si="2"/>
        <v/>
      </c>
    </row>
    <row r="152" ht="22.5" customHeight="1">
      <c r="B152" s="13">
        <f t="shared" si="3"/>
        <v>146</v>
      </c>
      <c r="C152" s="15" t="str">
        <f t="array" ref="C152">IFNA(_xlfn.XLOOKUP(B152,Table_Respons_Loket[Count],Table_Respons_Loket[Nomor Tiket]),"")</f>
        <v>K/10/171024/2</v>
      </c>
      <c r="D152" s="15" t="str">
        <f t="array" ref="D152">IFNA(_xlfn.XLOOKUP(B152,Table_Respons_Loket[Count],Table_Respons_Loket[Daftar Nomor Hak]),"")</f>
        <v>M. 511/ PEMATANG WANGI</v>
      </c>
      <c r="E152" s="17">
        <f t="array" ref="E152">IFNA(_xlfn.XLOOKUP(B152,Table_Respons_Loket[Count],Table_Respons_Loket[Time Stamp]),"")</f>
        <v>45582.45584</v>
      </c>
      <c r="F152" s="18" t="str">
        <f t="array" ref="F152">IFNA(_xlfn.XLOOKUP(B152,Table_Respons_Loket[Count],Table_Respons_Loket[Jenis Permohonan]),"")</f>
        <v>BN JUAL BELI</v>
      </c>
      <c r="G152" s="12" t="s">
        <v>50</v>
      </c>
      <c r="H152" s="12" t="s">
        <v>52</v>
      </c>
      <c r="I152" s="22">
        <f t="shared" si="7"/>
        <v>45582.63704</v>
      </c>
      <c r="J152" s="20" t="b">
        <v>0</v>
      </c>
      <c r="K152" s="13" t="str">
        <f t="shared" si="2"/>
        <v/>
      </c>
    </row>
    <row r="153" ht="22.5" customHeight="1">
      <c r="B153" s="13">
        <f t="shared" si="3"/>
        <v>147</v>
      </c>
      <c r="C153" s="15" t="str">
        <f t="array" ref="C153">IFNA(_xlfn.XLOOKUP(B153,Table_Respons_Loket[Count],Table_Respons_Loket[Nomor Tiket]),"")</f>
        <v>L/11/171024/1</v>
      </c>
      <c r="D153" s="15" t="str">
        <f t="array" ref="D153">IFNA(_xlfn.XLOOKUP(B153,Table_Respons_Loket[Count],Table_Respons_Loket[Daftar Nomor Hak]),"")</f>
        <v>HGB 416/WAY KANDIS</v>
      </c>
      <c r="E153" s="17">
        <f t="array" ref="E153">IFNA(_xlfn.XLOOKUP(B153,Table_Respons_Loket[Count],Table_Respons_Loket[Time Stamp]),"")</f>
        <v>45582.45851</v>
      </c>
      <c r="F153" s="18" t="str">
        <f t="array" ref="F153">IFNA(_xlfn.XLOOKUP(B153,Table_Respons_Loket[Count],Table_Respons_Loket[Jenis Permohonan]),"")</f>
        <v>ROYA</v>
      </c>
      <c r="G153" s="12" t="s">
        <v>50</v>
      </c>
      <c r="H153" s="12" t="s">
        <v>52</v>
      </c>
      <c r="I153" s="22">
        <f t="shared" si="7"/>
        <v>45582.63561</v>
      </c>
      <c r="J153" s="20" t="b">
        <v>0</v>
      </c>
      <c r="K153" s="13" t="str">
        <f t="shared" si="2"/>
        <v/>
      </c>
    </row>
    <row r="154" ht="22.5" customHeight="1">
      <c r="B154" s="13">
        <f t="shared" si="3"/>
        <v>148</v>
      </c>
      <c r="C154" s="15" t="str">
        <f t="array" ref="C154">IFNA(_xlfn.XLOOKUP(B154,Table_Respons_Loket[Count],Table_Respons_Loket[Nomor Tiket]),"")</f>
        <v>K/12/171024/3</v>
      </c>
      <c r="D154" s="15" t="str">
        <f t="array" ref="D154">IFNA(_xlfn.XLOOKUP(B154,Table_Respons_Loket[Count],Table_Respons_Loket[Daftar Nomor Hak]),"")</f>
        <v>M. 2463/ Pinang Jaya</v>
      </c>
      <c r="E154" s="17">
        <f t="array" ref="E154">IFNA(_xlfn.XLOOKUP(B154,Table_Respons_Loket[Count],Table_Respons_Loket[Time Stamp]),"")</f>
        <v>45582.45988</v>
      </c>
      <c r="F154" s="18" t="str">
        <f t="array" ref="F154">IFNA(_xlfn.XLOOKUP(B154,Table_Respons_Loket[Count],Table_Respons_Loket[Jenis Permohonan]),"")</f>
        <v>BN Jual beli</v>
      </c>
      <c r="G154" s="12" t="s">
        <v>50</v>
      </c>
      <c r="H154" s="12" t="s">
        <v>52</v>
      </c>
      <c r="I154" s="22">
        <f t="shared" si="7"/>
        <v>45582.63547</v>
      </c>
      <c r="J154" s="20" t="b">
        <v>0</v>
      </c>
      <c r="K154" s="13" t="str">
        <f t="shared" si="2"/>
        <v/>
      </c>
    </row>
    <row r="155" ht="22.5" customHeight="1">
      <c r="B155" s="13">
        <f t="shared" si="3"/>
        <v>149</v>
      </c>
      <c r="C155" s="15" t="str">
        <f t="array" ref="C155">IFNA(_xlfn.XLOOKUP(B155,Table_Respons_Loket[Count],Table_Respons_Loket[Nomor Tiket]),"")</f>
        <v>K/13/171024/4</v>
      </c>
      <c r="D155" s="15" t="str">
        <f t="array" ref="D155">IFNA(_xlfn.XLOOKUP(B155,Table_Respons_Loket[Count],Table_Respons_Loket[Daftar Nomor Hak]),"")</f>
        <v>M. 2523/ Pinang Jaya</v>
      </c>
      <c r="E155" s="17">
        <f t="array" ref="E155">IFNA(_xlfn.XLOOKUP(B155,Table_Respons_Loket[Count],Table_Respons_Loket[Time Stamp]),"")</f>
        <v>45582.46349</v>
      </c>
      <c r="F155" s="18" t="str">
        <f t="array" ref="F155">IFNA(_xlfn.XLOOKUP(B155,Table_Respons_Loket[Count],Table_Respons_Loket[Jenis Permohonan]),"")</f>
        <v>BN Jual beli</v>
      </c>
      <c r="G155" s="12" t="s">
        <v>48</v>
      </c>
      <c r="H155" s="12" t="s">
        <v>52</v>
      </c>
      <c r="I155" s="22">
        <f t="shared" si="7"/>
        <v>45582.6387</v>
      </c>
      <c r="J155" s="20" t="b">
        <v>0</v>
      </c>
      <c r="K155" s="13" t="str">
        <f t="shared" si="2"/>
        <v/>
      </c>
    </row>
    <row r="156" ht="22.5" customHeight="1">
      <c r="B156" s="13">
        <f t="shared" si="3"/>
        <v>150</v>
      </c>
      <c r="C156" s="15" t="str">
        <f t="array" ref="C156">IFNA(_xlfn.XLOOKUP(B156,Table_Respons_Loket[Count],Table_Respons_Loket[Nomor Tiket]),"")</f>
        <v>K/14/171024/5</v>
      </c>
      <c r="D156" s="15" t="str">
        <f t="array" ref="D156">IFNA(_xlfn.XLOOKUP(B156,Table_Respons_Loket[Count],Table_Respons_Loket[Daftar Nomor Hak]),"")</f>
        <v>M. 2465/ Pinang jaya</v>
      </c>
      <c r="E156" s="17">
        <f t="array" ref="E156">IFNA(_xlfn.XLOOKUP(B156,Table_Respons_Loket[Count],Table_Respons_Loket[Time Stamp]),"")</f>
        <v>45582.46718</v>
      </c>
      <c r="F156" s="18" t="str">
        <f t="array" ref="F156">IFNA(_xlfn.XLOOKUP(B156,Table_Respons_Loket[Count],Table_Respons_Loket[Jenis Permohonan]),"")</f>
        <v>BN Jual Beli</v>
      </c>
      <c r="G156" s="12" t="s">
        <v>48</v>
      </c>
      <c r="H156" s="12" t="s">
        <v>52</v>
      </c>
      <c r="I156" s="22">
        <f t="shared" si="7"/>
        <v>45582.63884</v>
      </c>
      <c r="J156" s="20" t="b">
        <v>0</v>
      </c>
      <c r="K156" s="13" t="str">
        <f t="shared" si="2"/>
        <v/>
      </c>
    </row>
    <row r="157" ht="22.5" customHeight="1">
      <c r="B157" s="13">
        <f t="shared" si="3"/>
        <v>151</v>
      </c>
      <c r="C157" s="15" t="str">
        <f t="array" ref="C157">IFNA(_xlfn.XLOOKUP(B157,Table_Respons_Loket[Count],Table_Respons_Loket[Nomor Tiket]),"")</f>
        <v>K/15/171024/1</v>
      </c>
      <c r="D157" s="15" t="str">
        <f t="array" ref="D157">IFNA(_xlfn.XLOOKUP(B157,Table_Respons_Loket[Count],Table_Respons_Loket[Daftar Nomor Hak]),"")</f>
        <v>M.10543/GEDONG MENENG</v>
      </c>
      <c r="E157" s="17">
        <f t="array" ref="E157">IFNA(_xlfn.XLOOKUP(B157,Table_Respons_Loket[Count],Table_Respons_Loket[Time Stamp]),"")</f>
        <v>45582.48166</v>
      </c>
      <c r="F157" s="18" t="str">
        <f t="array" ref="F157">IFNA(_xlfn.XLOOKUP(B157,Table_Respons_Loket[Count],Table_Respons_Loket[Jenis Permohonan]),"")</f>
        <v>PENGUKURAN ULANG</v>
      </c>
      <c r="G157" s="24"/>
      <c r="H157" s="24"/>
      <c r="I157" s="22" t="str">
        <f t="shared" si="7"/>
        <v/>
      </c>
      <c r="J157" s="20" t="b">
        <v>0</v>
      </c>
      <c r="K157" s="13" t="str">
        <f t="shared" si="2"/>
        <v/>
      </c>
    </row>
    <row r="158" ht="22.5" customHeight="1">
      <c r="B158" s="13">
        <f t="shared" si="3"/>
        <v>152</v>
      </c>
      <c r="C158" s="15" t="str">
        <f t="array" ref="C158">IFNA(_xlfn.XLOOKUP(B158,Table_Respons_Loket[Count],Table_Respons_Loket[Nomor Tiket]),"")</f>
        <v>K/16/171024/1</v>
      </c>
      <c r="D158" s="15" t="str">
        <f t="array" ref="D158">IFNA(_xlfn.XLOOKUP(B158,Table_Respons_Loket[Count],Table_Respons_Loket[Daftar Nomor Hak]),"")</f>
        <v>M. 3235/ Rajabasa Jaya</v>
      </c>
      <c r="E158" s="17">
        <f t="array" ref="E158">IFNA(_xlfn.XLOOKUP(B158,Table_Respons_Loket[Count],Table_Respons_Loket[Time Stamp]),"")</f>
        <v>45582.48306</v>
      </c>
      <c r="F158" s="18" t="str">
        <f t="array" ref="F158">IFNA(_xlfn.XLOOKUP(B158,Table_Respons_Loket[Count],Table_Respons_Loket[Jenis Permohonan]),"")</f>
        <v>Plotting</v>
      </c>
      <c r="G158" s="24"/>
      <c r="H158" s="24"/>
      <c r="I158" s="22" t="str">
        <f t="shared" si="7"/>
        <v/>
      </c>
      <c r="J158" s="20" t="b">
        <v>0</v>
      </c>
      <c r="K158" s="13" t="str">
        <f t="shared" si="2"/>
        <v/>
      </c>
    </row>
    <row r="159" ht="22.5" customHeight="1">
      <c r="B159" s="13">
        <f t="shared" si="3"/>
        <v>153</v>
      </c>
      <c r="C159" s="15" t="str">
        <f t="array" ref="C159">IFNA(_xlfn.XLOOKUP(B159,Table_Respons_Loket[Count],Table_Respons_Loket[Nomor Tiket]),"")</f>
        <v>K/17/171024/1</v>
      </c>
      <c r="D159" s="15" t="str">
        <f t="array" ref="D159">IFNA(_xlfn.XLOOKUP(B159,Table_Respons_Loket[Count],Table_Respons_Loket[Daftar Nomor Hak]),"")</f>
        <v>M. 560/ Korpri Raya; 9773/ Sukarame-dahulu</v>
      </c>
      <c r="E159" s="17">
        <f t="array" ref="E159">IFNA(_xlfn.XLOOKUP(B159,Table_Respons_Loket[Count],Table_Respons_Loket[Time Stamp]),"")</f>
        <v>45582.48654</v>
      </c>
      <c r="F159" s="18" t="str">
        <f t="array" ref="F159">IFNA(_xlfn.XLOOKUP(B159,Table_Respons_Loket[Count],Table_Respons_Loket[Jenis Permohonan]),"")</f>
        <v>Pengecekan</v>
      </c>
      <c r="G159" s="24"/>
      <c r="H159" s="24"/>
      <c r="I159" s="22" t="str">
        <f t="shared" si="7"/>
        <v/>
      </c>
      <c r="J159" s="20" t="b">
        <v>0</v>
      </c>
      <c r="K159" s="13" t="str">
        <f t="shared" si="2"/>
        <v/>
      </c>
    </row>
    <row r="160" ht="22.5" customHeight="1">
      <c r="B160" s="13">
        <f t="shared" si="3"/>
        <v>154</v>
      </c>
      <c r="C160" s="15" t="str">
        <f t="array" ref="C160">IFNA(_xlfn.XLOOKUP(B160,Table_Respons_Loket[Count],Table_Respons_Loket[Nomor Tiket]),"")</f>
        <v>K/18/171024/1</v>
      </c>
      <c r="D160" s="15" t="str">
        <f t="array" ref="D160">IFNA(_xlfn.XLOOKUP(B160,Table_Respons_Loket[Count],Table_Respons_Loket[Daftar Nomor Hak]),"")</f>
        <v>M. 111/ KEMILING RAYA</v>
      </c>
      <c r="E160" s="17">
        <f t="array" ref="E160">IFNA(_xlfn.XLOOKUP(B160,Table_Respons_Loket[Count],Table_Respons_Loket[Time Stamp]),"")</f>
        <v>45582.48818</v>
      </c>
      <c r="F160" s="18" t="str">
        <f t="array" ref="F160">IFNA(_xlfn.XLOOKUP(B160,Table_Respons_Loket[Count],Table_Respons_Loket[Jenis Permohonan]),"")</f>
        <v>BN JUAL BELI</v>
      </c>
      <c r="G160" s="12" t="s">
        <v>48</v>
      </c>
      <c r="H160" s="12" t="s">
        <v>52</v>
      </c>
      <c r="I160" s="22">
        <f t="shared" si="7"/>
        <v>45582.63897</v>
      </c>
      <c r="J160" s="20" t="b">
        <v>0</v>
      </c>
      <c r="K160" s="13" t="str">
        <f t="shared" si="2"/>
        <v/>
      </c>
    </row>
    <row r="161" ht="22.5" customHeight="1">
      <c r="B161" s="13">
        <f t="shared" si="3"/>
        <v>155</v>
      </c>
      <c r="C161" s="15" t="str">
        <f t="array" ref="C161">IFNA(_xlfn.XLOOKUP(B161,Table_Respons_Loket[Count],Table_Respons_Loket[Nomor Tiket]),"")</f>
        <v>K/19/171024/1</v>
      </c>
      <c r="D161" s="15" t="str">
        <f t="array" ref="D161">IFNA(_xlfn.XLOOKUP(B161,Table_Respons_Loket[Count],Table_Respons_Loket[Daftar Nomor Hak]),"")</f>
        <v>M.2442/TANJUNG SENENG</v>
      </c>
      <c r="E161" s="17">
        <f t="array" ref="E161">IFNA(_xlfn.XLOOKUP(B161,Table_Respons_Loket[Count],Table_Respons_Loket[Time Stamp]),"")</f>
        <v>45582.49042</v>
      </c>
      <c r="F161" s="18" t="str">
        <f t="array" ref="F161">IFNA(_xlfn.XLOOKUP(B161,Table_Respons_Loket[Count],Table_Respons_Loket[Jenis Permohonan]),"")</f>
        <v>SKPT LELANG</v>
      </c>
      <c r="G161" s="24"/>
      <c r="H161" s="24"/>
      <c r="I161" s="22" t="str">
        <f t="shared" si="7"/>
        <v/>
      </c>
      <c r="J161" s="20" t="b">
        <v>0</v>
      </c>
      <c r="K161" s="13" t="str">
        <f t="shared" si="2"/>
        <v/>
      </c>
    </row>
    <row r="162" ht="22.5" customHeight="1">
      <c r="B162" s="13">
        <f t="shared" si="3"/>
        <v>156</v>
      </c>
      <c r="C162" s="15" t="str">
        <f t="array" ref="C162">IFNA(_xlfn.XLOOKUP(B162,Table_Respons_Loket[Count],Table_Respons_Loket[Nomor Tiket]),"")</f>
        <v>K/21/171024/2</v>
      </c>
      <c r="D162" s="15" t="str">
        <f t="array" ref="D162">IFNA(_xlfn.XLOOKUP(B162,Table_Respons_Loket[Count],Table_Respons_Loket[Daftar Nomor Hak]),"")</f>
        <v>M. 128/ Kemiling Raya</v>
      </c>
      <c r="E162" s="17">
        <f t="array" ref="E162">IFNA(_xlfn.XLOOKUP(B162,Table_Respons_Loket[Count],Table_Respons_Loket[Time Stamp]),"")</f>
        <v>45582.49082</v>
      </c>
      <c r="F162" s="18" t="str">
        <f t="array" ref="F162">IFNA(_xlfn.XLOOKUP(B162,Table_Respons_Loket[Count],Table_Respons_Loket[Jenis Permohonan]),"")</f>
        <v>BN Jual Beli</v>
      </c>
      <c r="G162" s="12" t="s">
        <v>48</v>
      </c>
      <c r="H162" s="12" t="s">
        <v>52</v>
      </c>
      <c r="I162" s="22">
        <f t="shared" si="7"/>
        <v>45582.63918</v>
      </c>
      <c r="J162" s="20" t="b">
        <v>0</v>
      </c>
      <c r="K162" s="13" t="str">
        <f t="shared" si="2"/>
        <v/>
      </c>
    </row>
    <row r="163" ht="22.5" customHeight="1">
      <c r="B163" s="13">
        <f t="shared" si="3"/>
        <v>157</v>
      </c>
      <c r="C163" s="15" t="str">
        <f t="array" ref="C163">IFNA(_xlfn.XLOOKUP(B163,Table_Respons_Loket[Count],Table_Respons_Loket[Nomor Tiket]),"")</f>
        <v>K/20/171024/2</v>
      </c>
      <c r="D163" s="15" t="str">
        <f t="array" ref="D163">IFNA(_xlfn.XLOOKUP(B163,Table_Respons_Loket[Count],Table_Respons_Loket[Daftar Nomor Hak]),"")</f>
        <v>M.11594/JAGABAYA II</v>
      </c>
      <c r="E163" s="17">
        <f t="array" ref="E163">IFNA(_xlfn.XLOOKUP(B163,Table_Respons_Loket[Count],Table_Respons_Loket[Time Stamp]),"")</f>
        <v>45582.49113</v>
      </c>
      <c r="F163" s="18" t="str">
        <f t="array" ref="F163">IFNA(_xlfn.XLOOKUP(B163,Table_Respons_Loket[Count],Table_Respons_Loket[Jenis Permohonan]),"")</f>
        <v>SKPT </v>
      </c>
      <c r="G163" s="24"/>
      <c r="H163" s="24"/>
      <c r="I163" s="22" t="str">
        <f t="shared" si="7"/>
        <v/>
      </c>
      <c r="J163" s="20" t="b">
        <v>0</v>
      </c>
      <c r="K163" s="13" t="str">
        <f t="shared" si="2"/>
        <v/>
      </c>
    </row>
    <row r="164" ht="22.5" customHeight="1">
      <c r="B164" s="13">
        <f t="shared" si="3"/>
        <v>158</v>
      </c>
      <c r="C164" s="15" t="str">
        <f t="array" ref="C164">IFNA(_xlfn.XLOOKUP(B164,Table_Respons_Loket[Count],Table_Respons_Loket[Nomor Tiket]),"")</f>
        <v>K/22/171024/1</v>
      </c>
      <c r="D164" s="15" t="str">
        <f t="array" ref="D164">IFNA(_xlfn.XLOOKUP(B164,Table_Respons_Loket[Count],Table_Respons_Loket[Daftar Nomor Hak]),"")</f>
        <v>Nibel. M. 118/ Rajabasa Raya</v>
      </c>
      <c r="E164" s="17">
        <f t="array" ref="E164">IFNA(_xlfn.XLOOKUP(B164,Table_Respons_Loket[Count],Table_Respons_Loket[Time Stamp]),"")</f>
        <v>45582.49305</v>
      </c>
      <c r="F164" s="18" t="str">
        <f t="array" ref="F164">IFNA(_xlfn.XLOOKUP(B164,Table_Respons_Loket[Count],Table_Respons_Loket[Jenis Permohonan]),"")</f>
        <v>BN Jual Beli</v>
      </c>
      <c r="G164" s="24"/>
      <c r="H164" s="24"/>
      <c r="I164" s="22" t="str">
        <f t="shared" si="7"/>
        <v/>
      </c>
      <c r="J164" s="20" t="b">
        <v>0</v>
      </c>
      <c r="K164" s="13" t="str">
        <f t="shared" si="2"/>
        <v/>
      </c>
    </row>
    <row r="165" ht="22.5" customHeight="1">
      <c r="B165" s="13">
        <f t="shared" si="3"/>
        <v>159</v>
      </c>
      <c r="C165" s="15" t="str">
        <f t="array" ref="C165">IFNA(_xlfn.XLOOKUP(B165,Table_Respons_Loket[Count],Table_Respons_Loket[Nomor Tiket]),"")</f>
        <v>L/23/171024/1</v>
      </c>
      <c r="D165" s="15" t="str">
        <f t="array" ref="D165">IFNA(_xlfn.XLOOKUP(B165,Table_Respons_Loket[Count],Table_Respons_Loket[Daftar Nomor Hak]),"")</f>
        <v>HGB 556/WAY KANDIS</v>
      </c>
      <c r="E165" s="17">
        <f t="array" ref="E165">IFNA(_xlfn.XLOOKUP(B165,Table_Respons_Loket[Count],Table_Respons_Loket[Time Stamp]),"")</f>
        <v>45582.55861</v>
      </c>
      <c r="F165" s="18" t="str">
        <f t="array" ref="F165">IFNA(_xlfn.XLOOKUP(B165,Table_Respons_Loket[Count],Table_Respons_Loket[Jenis Permohonan]),"")</f>
        <v>GANDES</v>
      </c>
      <c r="G165" s="24"/>
      <c r="H165" s="24"/>
      <c r="I165" s="22" t="str">
        <f t="shared" si="7"/>
        <v/>
      </c>
      <c r="J165" s="20" t="b">
        <v>0</v>
      </c>
      <c r="K165" s="13" t="str">
        <f t="shared" si="2"/>
        <v/>
      </c>
    </row>
    <row r="166" ht="22.5" customHeight="1">
      <c r="B166" s="13">
        <f t="shared" si="3"/>
        <v>160</v>
      </c>
      <c r="C166" s="15" t="str">
        <f t="array" ref="C166">IFNA(_xlfn.XLOOKUP(B166,Table_Respons_Loket[Count],Table_Respons_Loket[Nomor Tiket]),"")</f>
        <v>K/24/171024/1</v>
      </c>
      <c r="D166" s="15" t="str">
        <f t="array" ref="D166">IFNA(_xlfn.XLOOKUP(B166,Table_Respons_Loket[Count],Table_Respons_Loket[Daftar Nomor Hak]),"")</f>
        <v>NIBEL M.370/GUNUNG SULAH</v>
      </c>
      <c r="E166" s="17">
        <f t="array" ref="E166">IFNA(_xlfn.XLOOKUP(B166,Table_Respons_Loket[Count],Table_Respons_Loket[Time Stamp]),"")</f>
        <v>45582.56041</v>
      </c>
      <c r="F166" s="18" t="str">
        <f t="array" ref="F166">IFNA(_xlfn.XLOOKUP(B166,Table_Respons_Loket[Count],Table_Respons_Loket[Jenis Permohonan]),"")</f>
        <v>PERALIHAN JUAL BELI</v>
      </c>
      <c r="G166" s="24"/>
      <c r="H166" s="24"/>
      <c r="I166" s="22" t="str">
        <f t="shared" si="7"/>
        <v/>
      </c>
      <c r="J166" s="20" t="b">
        <v>0</v>
      </c>
      <c r="K166" s="13" t="str">
        <f t="shared" si="2"/>
        <v/>
      </c>
    </row>
    <row r="167" ht="22.5" customHeight="1">
      <c r="B167" s="13">
        <f t="shared" si="3"/>
        <v>161</v>
      </c>
      <c r="C167" s="15" t="str">
        <f t="array" ref="C167">IFNA(_xlfn.XLOOKUP(B167,Table_Respons_Loket[Count],Table_Respons_Loket[Nomor Tiket]),"")</f>
        <v>K/25/171024/1</v>
      </c>
      <c r="D167" s="15" t="str">
        <f t="array" ref="D167">IFNA(_xlfn.XLOOKUP(B167,Table_Respons_Loket[Count],Table_Respons_Loket[Daftar Nomor Hak]),"")</f>
        <v>Nibel. M. 1067/ Sukarame Baru</v>
      </c>
      <c r="E167" s="17">
        <f t="array" ref="E167">IFNA(_xlfn.XLOOKUP(B167,Table_Respons_Loket[Count],Table_Respons_Loket[Time Stamp]),"")</f>
        <v>45582.56123</v>
      </c>
      <c r="F167" s="18" t="str">
        <f t="array" ref="F167">IFNA(_xlfn.XLOOKUP(B167,Table_Respons_Loket[Count],Table_Respons_Loket[Jenis Permohonan]),"")</f>
        <v>BN Jual Beli</v>
      </c>
      <c r="G167" s="24"/>
      <c r="H167" s="24"/>
      <c r="I167" s="22" t="str">
        <f t="shared" si="7"/>
        <v/>
      </c>
      <c r="J167" s="20" t="b">
        <v>0</v>
      </c>
      <c r="K167" s="13" t="str">
        <f t="shared" si="2"/>
        <v/>
      </c>
    </row>
    <row r="168" ht="22.5" customHeight="1">
      <c r="B168" s="13">
        <f t="shared" si="3"/>
        <v>162</v>
      </c>
      <c r="C168" s="15" t="str">
        <f t="array" ref="C168">IFNA(_xlfn.XLOOKUP(B168,Table_Respons_Loket[Count],Table_Respons_Loket[Nomor Tiket]),"")</f>
        <v>K/26/171024/2</v>
      </c>
      <c r="D168" s="15" t="str">
        <f t="array" ref="D168">IFNA(_xlfn.XLOOKUP(B168,Table_Respons_Loket[Count],Table_Respons_Loket[Daftar Nomor Hak]),"")</f>
        <v>Nibel. M. 1066/ Sukarame Baru</v>
      </c>
      <c r="E168" s="17">
        <f t="array" ref="E168">IFNA(_xlfn.XLOOKUP(B168,Table_Respons_Loket[Count],Table_Respons_Loket[Time Stamp]),"")</f>
        <v>45582.56278</v>
      </c>
      <c r="F168" s="18" t="str">
        <f t="array" ref="F168">IFNA(_xlfn.XLOOKUP(B168,Table_Respons_Loket[Count],Table_Respons_Loket[Jenis Permohonan]),"")</f>
        <v>BN Jual Beli</v>
      </c>
      <c r="G168" s="24"/>
      <c r="H168" s="24"/>
      <c r="I168" s="22" t="str">
        <f t="shared" si="7"/>
        <v/>
      </c>
      <c r="J168" s="20" t="b">
        <v>0</v>
      </c>
      <c r="K168" s="13" t="str">
        <f t="shared" si="2"/>
        <v/>
      </c>
    </row>
    <row r="169" ht="22.5" customHeight="1">
      <c r="B169" s="13">
        <f t="shared" si="3"/>
        <v>163</v>
      </c>
      <c r="C169" s="15" t="str">
        <f t="array" ref="C169">IFNA(_xlfn.XLOOKUP(B169,Table_Respons_Loket[Count],Table_Respons_Loket[Nomor Tiket]),"")</f>
        <v>K/27/171024/1</v>
      </c>
      <c r="D169" s="15" t="str">
        <f t="array" ref="D169">IFNA(_xlfn.XLOOKUP(B169,Table_Respons_Loket[Count],Table_Respons_Loket[Daftar Nomor Hak]),"")</f>
        <v>M. 3797/ Keteguhan</v>
      </c>
      <c r="E169" s="17">
        <f t="array" ref="E169">IFNA(_xlfn.XLOOKUP(B169,Table_Respons_Loket[Count],Table_Respons_Loket[Time Stamp]),"")</f>
        <v>45582.56675</v>
      </c>
      <c r="F169" s="18" t="str">
        <f t="array" ref="F169">IFNA(_xlfn.XLOOKUP(B169,Table_Respons_Loket[Count],Table_Respons_Loket[Jenis Permohonan]),"")</f>
        <v>BN Jual Beli</v>
      </c>
      <c r="G169" s="12" t="s">
        <v>42</v>
      </c>
      <c r="H169" s="12" t="s">
        <v>52</v>
      </c>
      <c r="I169" s="22">
        <f t="shared" si="7"/>
        <v>45593.67766</v>
      </c>
      <c r="J169" s="20" t="b">
        <v>0</v>
      </c>
      <c r="K169" s="13" t="str">
        <f t="shared" si="2"/>
        <v/>
      </c>
    </row>
    <row r="170" ht="22.5" customHeight="1">
      <c r="B170" s="13">
        <f t="shared" si="3"/>
        <v>164</v>
      </c>
      <c r="C170" s="15" t="str">
        <f t="array" ref="C170">IFNA(_xlfn.XLOOKUP(B170,Table_Respons_Loket[Count],Table_Respons_Loket[Nomor Tiket]),"")</f>
        <v>K/29/171024/1</v>
      </c>
      <c r="D170" s="15" t="str">
        <f t="array" ref="D170">IFNA(_xlfn.XLOOKUP(B170,Table_Respons_Loket[Count],Table_Respons_Loket[Daftar Nomor Hak]),"")</f>
        <v>M.617/SUKARAJA</v>
      </c>
      <c r="E170" s="17">
        <f t="array" ref="E170">IFNA(_xlfn.XLOOKUP(B170,Table_Respons_Loket[Count],Table_Respons_Loket[Time Stamp]),"")</f>
        <v>45582.56721</v>
      </c>
      <c r="F170" s="18" t="str">
        <f t="array" ref="F170">IFNA(_xlfn.XLOOKUP(B170,Table_Respons_Loket[Count],Table_Respons_Loket[Jenis Permohonan]),"")</f>
        <v>GANDES</v>
      </c>
      <c r="G170" s="24"/>
      <c r="H170" s="24"/>
      <c r="I170" s="22" t="str">
        <f t="shared" si="7"/>
        <v/>
      </c>
      <c r="J170" s="20" t="b">
        <v>0</v>
      </c>
      <c r="K170" s="13" t="str">
        <f t="shared" si="2"/>
        <v/>
      </c>
    </row>
    <row r="171" ht="22.5" customHeight="1">
      <c r="B171" s="13">
        <f t="shared" si="3"/>
        <v>165</v>
      </c>
      <c r="C171" s="15" t="str">
        <f t="array" ref="C171">IFNA(_xlfn.XLOOKUP(B171,Table_Respons_Loket[Count],Table_Respons_Loket[Nomor Tiket]),"")</f>
        <v>K/28/171024/2</v>
      </c>
      <c r="D171" s="15" t="str">
        <f t="array" ref="D171">IFNA(_xlfn.XLOOKUP(B171,Table_Respons_Loket[Count],Table_Respons_Loket[Daftar Nomor Hak]),"")</f>
        <v>M. 182/ Way Kandis</v>
      </c>
      <c r="E171" s="17">
        <f t="array" ref="E171">IFNA(_xlfn.XLOOKUP(B171,Table_Respons_Loket[Count],Table_Respons_Loket[Time Stamp]),"")</f>
        <v>45582.56845</v>
      </c>
      <c r="F171" s="18" t="str">
        <f t="array" ref="F171">IFNA(_xlfn.XLOOKUP(B171,Table_Respons_Loket[Count],Table_Respons_Loket[Jenis Permohonan]),"")</f>
        <v>BN Jual Beli</v>
      </c>
      <c r="G171" s="12" t="s">
        <v>42</v>
      </c>
      <c r="H171" s="12" t="s">
        <v>87</v>
      </c>
      <c r="I171" s="22">
        <f t="shared" si="7"/>
        <v>45593.67773</v>
      </c>
      <c r="J171" s="20" t="b">
        <v>0</v>
      </c>
      <c r="K171" s="13" t="str">
        <f t="shared" si="2"/>
        <v/>
      </c>
    </row>
    <row r="172" ht="22.5" customHeight="1">
      <c r="B172" s="13">
        <f t="shared" si="3"/>
        <v>166</v>
      </c>
      <c r="C172" s="15" t="str">
        <f t="array" ref="C172">IFNA(_xlfn.XLOOKUP(B172,Table_Respons_Loket[Count],Table_Respons_Loket[Nomor Tiket]),"")</f>
        <v>K/30/171024/2</v>
      </c>
      <c r="D172" s="15" t="str">
        <f t="array" ref="D172">IFNA(_xlfn.XLOOKUP(B172,Table_Respons_Loket[Count],Table_Respons_Loket[Daftar Nomor Hak]),"")</f>
        <v>M.9272/RAJABASA</v>
      </c>
      <c r="E172" s="17">
        <f t="array" ref="E172">IFNA(_xlfn.XLOOKUP(B172,Table_Respons_Loket[Count],Table_Respons_Loket[Time Stamp]),"")</f>
        <v>45582.56969</v>
      </c>
      <c r="F172" s="18" t="str">
        <f t="array" ref="F172">IFNA(_xlfn.XLOOKUP(B172,Table_Respons_Loket[Count],Table_Respons_Loket[Jenis Permohonan]),"")</f>
        <v>PLOTING</v>
      </c>
      <c r="G172" s="24"/>
      <c r="H172" s="24"/>
      <c r="I172" s="22" t="str">
        <f t="shared" si="7"/>
        <v/>
      </c>
      <c r="J172" s="20" t="b">
        <v>0</v>
      </c>
      <c r="K172" s="13" t="str">
        <f t="shared" si="2"/>
        <v/>
      </c>
    </row>
    <row r="173" ht="22.5" customHeight="1">
      <c r="B173" s="13">
        <f t="shared" si="3"/>
        <v>167</v>
      </c>
      <c r="C173" s="15" t="str">
        <f t="array" ref="C173">IFNA(_xlfn.XLOOKUP(B173,Table_Respons_Loket[Count],Table_Respons_Loket[Nomor Tiket]),"")</f>
        <v>K/31/171024/1</v>
      </c>
      <c r="D173" s="15" t="str">
        <f t="array" ref="D173">IFNA(_xlfn.XLOOKUP(B173,Table_Respons_Loket[Count],Table_Respons_Loket[Daftar Nomor Hak]),"")</f>
        <v>M. 2933/ Sukarame II</v>
      </c>
      <c r="E173" s="17">
        <f t="array" ref="E173">IFNA(_xlfn.XLOOKUP(B173,Table_Respons_Loket[Count],Table_Respons_Loket[Time Stamp]),"")</f>
        <v>45582.5697</v>
      </c>
      <c r="F173" s="18" t="str">
        <f t="array" ref="F173">IFNA(_xlfn.XLOOKUP(B173,Table_Respons_Loket[Count],Table_Respons_Loket[Jenis Permohonan]),"")</f>
        <v>BN Jual Beli</v>
      </c>
      <c r="G173" s="12" t="s">
        <v>50</v>
      </c>
      <c r="H173" s="12" t="s">
        <v>52</v>
      </c>
      <c r="I173" s="22">
        <f t="shared" si="7"/>
        <v>45586.48779</v>
      </c>
      <c r="J173" s="20" t="b">
        <v>0</v>
      </c>
      <c r="K173" s="13" t="str">
        <f t="shared" si="2"/>
        <v/>
      </c>
    </row>
    <row r="174" ht="22.5" customHeight="1">
      <c r="B174" s="13">
        <f t="shared" si="3"/>
        <v>168</v>
      </c>
      <c r="C174" s="15" t="str">
        <f t="array" ref="C174">IFNA(_xlfn.XLOOKUP(B174,Table_Respons_Loket[Count],Table_Respons_Loket[Nomor Tiket]),"")</f>
        <v>L/32/171024/1</v>
      </c>
      <c r="D174" s="15" t="str">
        <f t="array" ref="D174">IFNA(_xlfn.XLOOKUP(B174,Table_Respons_Loket[Count],Table_Respons_Loket[Daftar Nomor Hak]),"")</f>
        <v>M.1520/BATU PUTUK</v>
      </c>
      <c r="E174" s="17">
        <f t="array" ref="E174">IFNA(_xlfn.XLOOKUP(B174,Table_Respons_Loket[Count],Table_Respons_Loket[Time Stamp]),"")</f>
        <v>45582.57047</v>
      </c>
      <c r="F174" s="18" t="str">
        <f t="array" ref="F174">IFNA(_xlfn.XLOOKUP(B174,Table_Respons_Loket[Count],Table_Respons_Loket[Jenis Permohonan]),"")</f>
        <v>PEMISAHAN</v>
      </c>
      <c r="G174" s="12" t="s">
        <v>50</v>
      </c>
      <c r="H174" s="12" t="s">
        <v>52</v>
      </c>
      <c r="I174" s="22">
        <f t="shared" si="7"/>
        <v>45588.37778</v>
      </c>
      <c r="J174" s="20" t="b">
        <v>0</v>
      </c>
      <c r="K174" s="13" t="str">
        <f t="shared" si="2"/>
        <v/>
      </c>
    </row>
    <row r="175" ht="22.5" customHeight="1">
      <c r="B175" s="13">
        <f t="shared" si="3"/>
        <v>169</v>
      </c>
      <c r="C175" s="15" t="str">
        <f t="array" ref="C175">IFNA(_xlfn.XLOOKUP(B175,Table_Respons_Loket[Count],Table_Respons_Loket[Nomor Tiket]),"")</f>
        <v>K/34/171024/2</v>
      </c>
      <c r="D175" s="15" t="str">
        <f t="array" ref="D175">IFNA(_xlfn.XLOOKUP(B175,Table_Respons_Loket[Count],Table_Respons_Loket[Daftar Nomor Hak]),"")</f>
        <v>M. 2924/ Sukarame II</v>
      </c>
      <c r="E175" s="17">
        <f t="array" ref="E175">IFNA(_xlfn.XLOOKUP(B175,Table_Respons_Loket[Count],Table_Respons_Loket[Time Stamp]),"")</f>
        <v>45582.5726</v>
      </c>
      <c r="F175" s="18" t="str">
        <f t="array" ref="F175">IFNA(_xlfn.XLOOKUP(B175,Table_Respons_Loket[Count],Table_Respons_Loket[Jenis Permohonan]),"")</f>
        <v>BN Jual Beli</v>
      </c>
      <c r="G175" s="12" t="s">
        <v>50</v>
      </c>
      <c r="H175" s="12" t="s">
        <v>52</v>
      </c>
      <c r="I175" s="22">
        <f t="shared" si="7"/>
        <v>45586.48779</v>
      </c>
      <c r="J175" s="20" t="b">
        <v>0</v>
      </c>
      <c r="K175" s="13" t="str">
        <f t="shared" si="2"/>
        <v/>
      </c>
    </row>
    <row r="176" ht="22.5" customHeight="1">
      <c r="B176" s="13">
        <f t="shared" si="3"/>
        <v>170</v>
      </c>
      <c r="C176" s="15" t="str">
        <f t="array" ref="C176">IFNA(_xlfn.XLOOKUP(B176,Table_Respons_Loket[Count],Table_Respons_Loket[Nomor Tiket]),"")</f>
        <v>L/35/171024/1</v>
      </c>
      <c r="D176" s="15" t="str">
        <f t="array" ref="D176">IFNA(_xlfn.XLOOKUP(B176,Table_Respons_Loket[Count],Table_Respons_Loket[Daftar Nomor Hak]),"")</f>
        <v>HM 296/RAJABASA RAYA</v>
      </c>
      <c r="E176" s="17">
        <f t="array" ref="E176">IFNA(_xlfn.XLOOKUP(B176,Table_Respons_Loket[Count],Table_Respons_Loket[Time Stamp]),"")</f>
        <v>45582.578</v>
      </c>
      <c r="F176" s="18" t="str">
        <f t="array" ref="F176">IFNA(_xlfn.XLOOKUP(B176,Table_Respons_Loket[Count],Table_Respons_Loket[Jenis Permohonan]),"")</f>
        <v>ROYA</v>
      </c>
      <c r="G176" s="12" t="s">
        <v>50</v>
      </c>
      <c r="H176" s="12" t="s">
        <v>52</v>
      </c>
      <c r="I176" s="22">
        <f t="shared" si="7"/>
        <v>45586.48779</v>
      </c>
      <c r="J176" s="20" t="b">
        <v>0</v>
      </c>
      <c r="K176" s="13" t="str">
        <f t="shared" si="2"/>
        <v/>
      </c>
    </row>
    <row r="177" ht="22.5" customHeight="1">
      <c r="B177" s="13">
        <f t="shared" si="3"/>
        <v>171</v>
      </c>
      <c r="C177" s="15" t="str">
        <f t="array" ref="C177">IFNA(_xlfn.XLOOKUP(B177,Table_Respons_Loket[Count],Table_Respons_Loket[Nomor Tiket]),"")</f>
        <v>K/33/171024/1</v>
      </c>
      <c r="D177" s="15" t="str">
        <f t="array" ref="D177">IFNA(_xlfn.XLOOKUP(B177,Table_Respons_Loket[Count],Table_Respons_Loket[Daftar Nomor Hak]),"")</f>
        <v>NIBEL M.1652/LABUHAN DALAM</v>
      </c>
      <c r="E177" s="17">
        <f t="array" ref="E177">IFNA(_xlfn.XLOOKUP(B177,Table_Respons_Loket[Count],Table_Respons_Loket[Time Stamp]),"")</f>
        <v>45582.58035</v>
      </c>
      <c r="F177" s="18" t="str">
        <f t="array" ref="F177">IFNA(_xlfn.XLOOKUP(B177,Table_Respons_Loket[Count],Table_Respons_Loket[Jenis Permohonan]),"")</f>
        <v>PERALIHAN JUAL BELI</v>
      </c>
      <c r="G177" s="24"/>
      <c r="H177" s="24"/>
      <c r="I177" s="22" t="str">
        <f t="shared" si="7"/>
        <v/>
      </c>
      <c r="J177" s="20" t="b">
        <v>0</v>
      </c>
      <c r="K177" s="13" t="str">
        <f t="shared" si="2"/>
        <v/>
      </c>
    </row>
    <row r="178" ht="22.5" customHeight="1">
      <c r="B178" s="13">
        <f t="shared" si="3"/>
        <v>172</v>
      </c>
      <c r="C178" s="15" t="str">
        <f t="array" ref="C178">IFNA(_xlfn.XLOOKUP(B178,Table_Respons_Loket[Count],Table_Respons_Loket[Nomor Tiket]),"")</f>
        <v>K/36/171024/2</v>
      </c>
      <c r="D178" s="15" t="str">
        <f t="array" ref="D178">IFNA(_xlfn.XLOOKUP(B178,Table_Respons_Loket[Count],Table_Respons_Loket[Daftar Nomor Hak]),"")</f>
        <v>M.789/PELITA</v>
      </c>
      <c r="E178" s="17">
        <f t="array" ref="E178">IFNA(_xlfn.XLOOKUP(B178,Table_Respons_Loket[Count],Table_Respons_Loket[Time Stamp]),"")</f>
        <v>45582.58173</v>
      </c>
      <c r="F178" s="18" t="str">
        <f t="array" ref="F178">IFNA(_xlfn.XLOOKUP(B178,Table_Respons_Loket[Count],Table_Respons_Loket[Jenis Permohonan]),"")</f>
        <v>GANDES</v>
      </c>
      <c r="G178" s="24"/>
      <c r="H178" s="24"/>
      <c r="I178" s="22" t="str">
        <f t="shared" si="7"/>
        <v/>
      </c>
      <c r="J178" s="20" t="b">
        <v>0</v>
      </c>
      <c r="K178" s="13" t="str">
        <f t="shared" si="2"/>
        <v/>
      </c>
    </row>
    <row r="179" ht="22.5" customHeight="1">
      <c r="B179" s="13">
        <f t="shared" si="3"/>
        <v>173</v>
      </c>
      <c r="C179" s="15" t="str">
        <f t="array" ref="C179">IFNA(_xlfn.XLOOKUP(B179,Table_Respons_Loket[Count],Table_Respons_Loket[Nomor Tiket]),"")</f>
        <v>K/37/171024/1</v>
      </c>
      <c r="D179" s="15" t="str">
        <f t="array" ref="D179">IFNA(_xlfn.XLOOKUP(B179,Table_Respons_Loket[Count],Table_Respons_Loket[Daftar Nomor Hak]),"")</f>
        <v>M. 1305/ KBK; B. 185/KBK-dahulu</v>
      </c>
      <c r="E179" s="17">
        <f t="array" ref="E179">IFNA(_xlfn.XLOOKUP(B179,Table_Respons_Loket[Count],Table_Respons_Loket[Time Stamp]),"")</f>
        <v>45582.58337</v>
      </c>
      <c r="F179" s="18" t="str">
        <f t="array" ref="F179">IFNA(_xlfn.XLOOKUP(B179,Table_Respons_Loket[Count],Table_Respons_Loket[Jenis Permohonan]),"")</f>
        <v>BN Jual Beli</v>
      </c>
      <c r="G179" s="24"/>
      <c r="H179" s="12" t="s">
        <v>47</v>
      </c>
      <c r="I179" s="22" t="str">
        <f t="shared" si="7"/>
        <v/>
      </c>
      <c r="J179" s="20" t="b">
        <v>0</v>
      </c>
      <c r="K179" s="13" t="str">
        <f t="shared" si="2"/>
        <v/>
      </c>
    </row>
    <row r="180" ht="22.5" customHeight="1">
      <c r="B180" s="13">
        <f t="shared" si="3"/>
        <v>174</v>
      </c>
      <c r="C180" s="15" t="str">
        <f t="array" ref="C180">IFNA(_xlfn.XLOOKUP(B180,Table_Respons_Loket[Count],Table_Respons_Loket[Nomor Tiket]),"")</f>
        <v>K/38/171024/2</v>
      </c>
      <c r="D180" s="15" t="str">
        <f t="array" ref="D180">IFNA(_xlfn.XLOOKUP(B180,Table_Respons_Loket[Count],Table_Respons_Loket[Daftar Nomor Hak]),"")</f>
        <v>M. 4522/ Gunung Terang</v>
      </c>
      <c r="E180" s="17">
        <f t="array" ref="E180">IFNA(_xlfn.XLOOKUP(B180,Table_Respons_Loket[Count],Table_Respons_Loket[Time Stamp]),"")</f>
        <v>45582.58545</v>
      </c>
      <c r="F180" s="18" t="str">
        <f t="array" ref="F180">IFNA(_xlfn.XLOOKUP(B180,Table_Respons_Loket[Count],Table_Respons_Loket[Jenis Permohonan]),"")</f>
        <v>BN Jual Beli</v>
      </c>
      <c r="G180" s="12" t="s">
        <v>50</v>
      </c>
      <c r="H180" s="12" t="s">
        <v>52</v>
      </c>
      <c r="I180" s="22">
        <f t="shared" si="7"/>
        <v>45586.48779</v>
      </c>
      <c r="J180" s="20" t="b">
        <v>0</v>
      </c>
      <c r="K180" s="13" t="str">
        <f t="shared" si="2"/>
        <v/>
      </c>
    </row>
    <row r="181" ht="22.5" customHeight="1">
      <c r="B181" s="13">
        <f t="shared" si="3"/>
        <v>175</v>
      </c>
      <c r="C181" s="15" t="str">
        <f t="array" ref="C181">IFNA(_xlfn.XLOOKUP(B181,Table_Respons_Loket[Count],Table_Respons_Loket[Nomor Tiket]),"")</f>
        <v>K/39/171024/3</v>
      </c>
      <c r="D181" s="15" t="str">
        <f t="array" ref="D181">IFNA(_xlfn.XLOOKUP(B181,Table_Respons_Loket[Count],Table_Respons_Loket[Daftar Nomor Hak]),"")</f>
        <v>M. 1461/ Rajabasa Jaya</v>
      </c>
      <c r="E181" s="17">
        <f t="array" ref="E181">IFNA(_xlfn.XLOOKUP(B181,Table_Respons_Loket[Count],Table_Respons_Loket[Time Stamp]),"")</f>
        <v>45582.5871</v>
      </c>
      <c r="F181" s="18" t="str">
        <f t="array" ref="F181">IFNA(_xlfn.XLOOKUP(B181,Table_Respons_Loket[Count],Table_Respons_Loket[Jenis Permohonan]),"")</f>
        <v>Hapus BPHTB</v>
      </c>
      <c r="G181" s="24"/>
      <c r="H181" s="24"/>
      <c r="I181" s="22" t="str">
        <f t="shared" si="7"/>
        <v/>
      </c>
      <c r="J181" s="20" t="b">
        <v>0</v>
      </c>
      <c r="K181" s="13" t="str">
        <f t="shared" si="2"/>
        <v/>
      </c>
    </row>
    <row r="182" ht="22.5" customHeight="1">
      <c r="B182" s="13">
        <f t="shared" si="3"/>
        <v>176</v>
      </c>
      <c r="C182" s="15" t="str">
        <f t="array" ref="C182">IFNA(_xlfn.XLOOKUP(B182,Table_Respons_Loket[Count],Table_Respons_Loket[Nomor Tiket]),"")</f>
        <v>L/40/171024/1</v>
      </c>
      <c r="D182" s="15" t="str">
        <f t="array" ref="D182">IFNA(_xlfn.XLOOKUP(B182,Table_Respons_Loket[Count],Table_Respons_Loket[Daftar Nomor Hak]),"")</f>
        <v>HM 1375/TANJUNG SENENG</v>
      </c>
      <c r="E182" s="17">
        <f t="array" ref="E182">IFNA(_xlfn.XLOOKUP(B182,Table_Respons_Loket[Count],Table_Respons_Loket[Time Stamp]),"")</f>
        <v>45582.59308</v>
      </c>
      <c r="F182" s="18" t="str">
        <f t="array" ref="F182">IFNA(_xlfn.XLOOKUP(B182,Table_Respons_Loket[Count],Table_Respons_Loket[Jenis Permohonan]),"")</f>
        <v>ROYA</v>
      </c>
      <c r="G182" s="12" t="s">
        <v>50</v>
      </c>
      <c r="H182" s="12" t="s">
        <v>52</v>
      </c>
      <c r="I182" s="22">
        <f t="shared" si="7"/>
        <v>45586.48779</v>
      </c>
      <c r="J182" s="20" t="b">
        <v>0</v>
      </c>
      <c r="K182" s="13" t="str">
        <f t="shared" si="2"/>
        <v/>
      </c>
    </row>
    <row r="183" ht="22.5" customHeight="1">
      <c r="B183" s="13">
        <f t="shared" si="3"/>
        <v>177</v>
      </c>
      <c r="C183" s="15" t="str">
        <f t="array" ref="C183">IFNA(_xlfn.XLOOKUP(B183,Table_Respons_Loket[Count],Table_Respons_Loket[Nomor Tiket]),"")</f>
        <v>K/41/171024/1</v>
      </c>
      <c r="D183" s="15" t="str">
        <f t="array" ref="D183">IFNA(_xlfn.XLOOKUP(B183,Table_Respons_Loket[Count],Table_Respons_Loket[Daftar Nomor Hak]),"")</f>
        <v>M. 11796/ Sukabumi; B. 3316/ Sukabumi-dahulu</v>
      </c>
      <c r="E183" s="17">
        <f t="array" ref="E183">IFNA(_xlfn.XLOOKUP(B183,Table_Respons_Loket[Count],Table_Respons_Loket[Time Stamp]),"")</f>
        <v>45582.59361</v>
      </c>
      <c r="F183" s="18" t="str">
        <f t="array" ref="F183">IFNA(_xlfn.XLOOKUP(B183,Table_Respons_Loket[Count],Table_Respons_Loket[Jenis Permohonan]),"")</f>
        <v>Roya</v>
      </c>
      <c r="G183" s="12" t="s">
        <v>50</v>
      </c>
      <c r="H183" s="12" t="s">
        <v>52</v>
      </c>
      <c r="I183" s="22">
        <f t="shared" si="7"/>
        <v>45586.48779</v>
      </c>
      <c r="J183" s="20" t="b">
        <v>0</v>
      </c>
      <c r="K183" s="13" t="str">
        <f t="shared" si="2"/>
        <v/>
      </c>
    </row>
    <row r="184" ht="22.5" customHeight="1">
      <c r="B184" s="13">
        <f t="shared" si="3"/>
        <v>178</v>
      </c>
      <c r="C184" s="15" t="str">
        <f t="array" ref="C184">IFNA(_xlfn.XLOOKUP(B184,Table_Respons_Loket[Count],Table_Respons_Loket[Nomor Tiket]),"")</f>
        <v>K/42/171024/1</v>
      </c>
      <c r="D184" s="15" t="str">
        <f t="array" ref="D184">IFNA(_xlfn.XLOOKUP(B184,Table_Respons_Loket[Count],Table_Respons_Loket[Daftar Nomor Hak]),"")</f>
        <v>B. 649/ Sumber Agung</v>
      </c>
      <c r="E184" s="17">
        <f t="array" ref="E184">IFNA(_xlfn.XLOOKUP(B184,Table_Respons_Loket[Count],Table_Respons_Loket[Time Stamp]),"")</f>
        <v>45582.59671</v>
      </c>
      <c r="F184" s="18" t="str">
        <f t="array" ref="F184">IFNA(_xlfn.XLOOKUP(B184,Table_Respons_Loket[Count],Table_Respons_Loket[Jenis Permohonan]),"")</f>
        <v>BN Jual Beli</v>
      </c>
      <c r="G184" s="12" t="s">
        <v>50</v>
      </c>
      <c r="H184" s="12" t="s">
        <v>52</v>
      </c>
      <c r="I184" s="22">
        <f t="shared" si="7"/>
        <v>45586.48779</v>
      </c>
      <c r="J184" s="20" t="b">
        <v>0</v>
      </c>
      <c r="K184" s="13" t="str">
        <f t="shared" si="2"/>
        <v/>
      </c>
    </row>
    <row r="185" ht="22.5" customHeight="1">
      <c r="B185" s="13">
        <f t="shared" si="3"/>
        <v>179</v>
      </c>
      <c r="C185" s="15" t="str">
        <f t="array" ref="C185">IFNA(_xlfn.XLOOKUP(B185,Table_Respons_Loket[Count],Table_Respons_Loket[Nomor Tiket]),"")</f>
        <v>K/43/171024/1</v>
      </c>
      <c r="D185" s="15" t="str">
        <f t="array" ref="D185">IFNA(_xlfn.XLOOKUP(B185,Table_Respons_Loket[Count],Table_Respons_Loket[Daftar Nomor Hak]),"")</f>
        <v>M. 600/ Rajabasa Nunyai</v>
      </c>
      <c r="E185" s="17">
        <f t="array" ref="E185">IFNA(_xlfn.XLOOKUP(B185,Table_Respons_Loket[Count],Table_Respons_Loket[Time Stamp]),"")</f>
        <v>45582.60169</v>
      </c>
      <c r="F185" s="18" t="str">
        <f t="array" ref="F185">IFNA(_xlfn.XLOOKUP(B185,Table_Respons_Loket[Count],Table_Respons_Loket[Jenis Permohonan]),"")</f>
        <v>Pengecekan</v>
      </c>
      <c r="G185" s="24"/>
      <c r="H185" s="24"/>
      <c r="I185" s="22" t="str">
        <f t="shared" si="7"/>
        <v/>
      </c>
      <c r="J185" s="20" t="b">
        <v>0</v>
      </c>
      <c r="K185" s="13" t="str">
        <f t="shared" si="2"/>
        <v/>
      </c>
    </row>
    <row r="186" ht="22.5" customHeight="1">
      <c r="B186" s="13">
        <f t="shared" si="3"/>
        <v>180</v>
      </c>
      <c r="C186" s="15" t="str">
        <f t="array" ref="C186">IFNA(_xlfn.XLOOKUP(B186,Table_Respons_Loket[Count],Table_Respons_Loket[Nomor Tiket]),"")</f>
        <v>L/44/171024/1</v>
      </c>
      <c r="D186" s="15" t="str">
        <f t="array" ref="D186">IFNA(_xlfn.XLOOKUP(B186,Table_Respons_Loket[Count],Table_Respons_Loket[Daftar Nomor Hak]),"")</f>
        <v>HM 16138/SUKARAME I</v>
      </c>
      <c r="E186" s="17">
        <f t="array" ref="E186">IFNA(_xlfn.XLOOKUP(B186,Table_Respons_Loket[Count],Table_Respons_Loket[Time Stamp]),"")</f>
        <v>45582.60236</v>
      </c>
      <c r="F186" s="18" t="str">
        <f t="array" ref="F186">IFNA(_xlfn.XLOOKUP(B186,Table_Respons_Loket[Count],Table_Respons_Loket[Jenis Permohonan]),"")</f>
        <v>ROYA</v>
      </c>
      <c r="G186" s="12" t="s">
        <v>50</v>
      </c>
      <c r="H186" s="12" t="s">
        <v>52</v>
      </c>
      <c r="I186" s="22">
        <f t="shared" si="7"/>
        <v>45586.48779</v>
      </c>
      <c r="J186" s="20" t="b">
        <v>0</v>
      </c>
      <c r="K186" s="13" t="str">
        <f t="shared" si="2"/>
        <v/>
      </c>
    </row>
    <row r="187" ht="22.5" customHeight="1">
      <c r="B187" s="13">
        <f t="shared" si="3"/>
        <v>181</v>
      </c>
      <c r="C187" s="15" t="str">
        <f t="array" ref="C187">IFNA(_xlfn.XLOOKUP(B187,Table_Respons_Loket[Count],Table_Respons_Loket[Nomor Tiket]),"")</f>
        <v>K/45/171024/1</v>
      </c>
      <c r="D187" s="15" t="str">
        <f t="array" ref="D187">IFNA(_xlfn.XLOOKUP(B187,Table_Respons_Loket[Count],Table_Respons_Loket[Daftar Nomor Hak]),"")</f>
        <v>B. 903/ Kemiling Permai</v>
      </c>
      <c r="E187" s="17">
        <f t="array" ref="E187">IFNA(_xlfn.XLOOKUP(B187,Table_Respons_Loket[Count],Table_Respons_Loket[Time Stamp]),"")</f>
        <v>45582.61614</v>
      </c>
      <c r="F187" s="18" t="str">
        <f t="array" ref="F187">IFNA(_xlfn.XLOOKUP(B187,Table_Respons_Loket[Count],Table_Respons_Loket[Jenis Permohonan]),"")</f>
        <v>pengecekkan</v>
      </c>
      <c r="G187" s="24"/>
      <c r="H187" s="24"/>
      <c r="I187" s="22" t="str">
        <f t="shared" si="7"/>
        <v/>
      </c>
      <c r="J187" s="20" t="b">
        <v>0</v>
      </c>
      <c r="K187" s="13" t="str">
        <f t="shared" si="2"/>
        <v/>
      </c>
    </row>
    <row r="188" ht="22.5" customHeight="1">
      <c r="B188" s="13">
        <f t="shared" si="3"/>
        <v>182</v>
      </c>
      <c r="C188" s="15" t="str">
        <f t="array" ref="C188">IFNA(_xlfn.XLOOKUP(B188,Table_Respons_Loket[Count],Table_Respons_Loket[Nomor Tiket]),"")</f>
        <v>K/46/171024/1</v>
      </c>
      <c r="D188" s="15" t="str">
        <f t="array" ref="D188">IFNA(_xlfn.XLOOKUP(B188,Table_Respons_Loket[Count],Table_Respons_Loket[Daftar Nomor Hak]),"")</f>
        <v>M.9381/SURABAYA</v>
      </c>
      <c r="E188" s="17">
        <f t="array" ref="E188">IFNA(_xlfn.XLOOKUP(B188,Table_Respons_Loket[Count],Table_Respons_Loket[Time Stamp]),"")</f>
        <v>45582.61485</v>
      </c>
      <c r="F188" s="18" t="str">
        <f t="array" ref="F188">IFNA(_xlfn.XLOOKUP(B188,Table_Respons_Loket[Count],Table_Respons_Loket[Jenis Permohonan]),"")</f>
        <v>PERALIHAN JUAL BELI</v>
      </c>
      <c r="G188" s="12" t="s">
        <v>50</v>
      </c>
      <c r="H188" s="12" t="s">
        <v>52</v>
      </c>
      <c r="I188" s="22">
        <f t="shared" si="7"/>
        <v>45586.48779</v>
      </c>
      <c r="J188" s="20" t="b">
        <v>0</v>
      </c>
      <c r="K188" s="13" t="str">
        <f t="shared" si="2"/>
        <v/>
      </c>
    </row>
    <row r="189" ht="22.5" customHeight="1">
      <c r="B189" s="13">
        <f t="shared" si="3"/>
        <v>183</v>
      </c>
      <c r="C189" s="15" t="str">
        <f t="array" ref="C189">IFNA(_xlfn.XLOOKUP(B189,Table_Respons_Loket[Count],Table_Respons_Loket[Nomor Tiket]),"")</f>
        <v>K/47/171024/1</v>
      </c>
      <c r="D189" s="15" t="str">
        <f t="array" ref="D189">IFNA(_xlfn.XLOOKUP(B189,Table_Respons_Loket[Count],Table_Respons_Loket[Daftar Nomor Hak]),"")</f>
        <v>M. 463/ Sukaraja</v>
      </c>
      <c r="E189" s="17">
        <f t="array" ref="E189">IFNA(_xlfn.XLOOKUP(B189,Table_Respons_Loket[Count],Table_Respons_Loket[Time Stamp]),"")</f>
        <v>45582.61752</v>
      </c>
      <c r="F189" s="18" t="str">
        <f t="array" ref="F189">IFNA(_xlfn.XLOOKUP(B189,Table_Respons_Loket[Count],Table_Respons_Loket[Jenis Permohonan]),"")</f>
        <v>plotting</v>
      </c>
      <c r="G189" s="24"/>
      <c r="H189" s="24"/>
      <c r="I189" s="22" t="str">
        <f t="shared" si="7"/>
        <v/>
      </c>
      <c r="J189" s="20" t="b">
        <v>0</v>
      </c>
      <c r="K189" s="13" t="str">
        <f t="shared" si="2"/>
        <v/>
      </c>
    </row>
    <row r="190" ht="22.5" customHeight="1">
      <c r="B190" s="13">
        <f t="shared" si="3"/>
        <v>184</v>
      </c>
      <c r="C190" s="15" t="str">
        <f t="array" ref="C190">IFNA(_xlfn.XLOOKUP(B190,Table_Respons_Loket[Count],Table_Respons_Loket[Nomor Tiket]),"")</f>
        <v>K/48/171024/1</v>
      </c>
      <c r="D190" s="15" t="str">
        <f t="array" ref="D190">IFNA(_xlfn.XLOOKUP(B190,Table_Respons_Loket[Count],Table_Respons_Loket[Daftar Nomor Hak]),"")</f>
        <v>M. 6466/ Way kandis</v>
      </c>
      <c r="E190" s="17">
        <f t="array" ref="E190">IFNA(_xlfn.XLOOKUP(B190,Table_Respons_Loket[Count],Table_Respons_Loket[Time Stamp]),"")</f>
        <v>45582.61896</v>
      </c>
      <c r="F190" s="18" t="str">
        <f t="array" ref="F190">IFNA(_xlfn.XLOOKUP(B190,Table_Respons_Loket[Count],Table_Respons_Loket[Jenis Permohonan]),"")</f>
        <v>BN Jual Beli</v>
      </c>
      <c r="G190" s="12" t="s">
        <v>50</v>
      </c>
      <c r="H190" s="12" t="s">
        <v>52</v>
      </c>
      <c r="I190" s="22">
        <f t="shared" si="7"/>
        <v>45586.48779</v>
      </c>
      <c r="J190" s="20" t="b">
        <v>0</v>
      </c>
      <c r="K190" s="13" t="str">
        <f t="shared" si="2"/>
        <v/>
      </c>
    </row>
    <row r="191" ht="22.5" customHeight="1">
      <c r="B191" s="13">
        <f t="shared" si="3"/>
        <v>185</v>
      </c>
      <c r="C191" s="15" t="str">
        <f t="array" ref="C191">IFNA(_xlfn.XLOOKUP(B191,Table_Respons_Loket[Count],Table_Respons_Loket[Nomor Tiket]),"")</f>
        <v>K/49/171024/2</v>
      </c>
      <c r="D191" s="15" t="str">
        <f t="array" ref="D191">IFNA(_xlfn.XLOOKUP(B191,Table_Respons_Loket[Count],Table_Respons_Loket[Daftar Nomor Hak]),"")</f>
        <v>M. 3265/ Gedong Air</v>
      </c>
      <c r="E191" s="17">
        <f t="array" ref="E191">IFNA(_xlfn.XLOOKUP(B191,Table_Respons_Loket[Count],Table_Respons_Loket[Time Stamp]),"")</f>
        <v>45582.61983</v>
      </c>
      <c r="F191" s="18" t="str">
        <f t="array" ref="F191">IFNA(_xlfn.XLOOKUP(B191,Table_Respons_Loket[Count],Table_Respons_Loket[Jenis Permohonan]),"")</f>
        <v>BN Jual Beli</v>
      </c>
      <c r="G191" s="12" t="s">
        <v>50</v>
      </c>
      <c r="H191" s="12" t="s">
        <v>52</v>
      </c>
      <c r="I191" s="22">
        <f t="shared" si="7"/>
        <v>45586.48779</v>
      </c>
      <c r="J191" s="20" t="b">
        <v>0</v>
      </c>
      <c r="K191" s="13" t="str">
        <f t="shared" si="2"/>
        <v/>
      </c>
    </row>
    <row r="192" ht="22.5" customHeight="1">
      <c r="B192" s="13">
        <f t="shared" si="3"/>
        <v>186</v>
      </c>
      <c r="C192" s="15" t="str">
        <f t="array" ref="C192">IFNA(_xlfn.XLOOKUP(B192,Table_Respons_Loket[Count],Table_Respons_Loket[Nomor Tiket]),"")</f>
        <v>K/50/171024/3</v>
      </c>
      <c r="D192" s="15" t="str">
        <f t="array" ref="D192">IFNA(_xlfn.XLOOKUP(B192,Table_Respons_Loket[Count],Table_Respons_Loket[Daftar Nomor Hak]),"")</f>
        <v>M. 2502/ Kemiling Permai- B. 248/ Kemiling Permai-dahulu</v>
      </c>
      <c r="E192" s="17">
        <f t="array" ref="E192">IFNA(_xlfn.XLOOKUP(B192,Table_Respons_Loket[Count],Table_Respons_Loket[Time Stamp]),"")</f>
        <v>45582.62064</v>
      </c>
      <c r="F192" s="18" t="str">
        <f t="array" ref="F192">IFNA(_xlfn.XLOOKUP(B192,Table_Respons_Loket[Count],Table_Respons_Loket[Jenis Permohonan]),"")</f>
        <v>Roya</v>
      </c>
      <c r="G192" s="24"/>
      <c r="H192" s="12" t="s">
        <v>47</v>
      </c>
      <c r="I192" s="22" t="str">
        <f t="shared" si="7"/>
        <v/>
      </c>
      <c r="J192" s="20" t="b">
        <v>0</v>
      </c>
      <c r="K192" s="13" t="str">
        <f t="shared" si="2"/>
        <v/>
      </c>
    </row>
    <row r="193" ht="22.5" customHeight="1">
      <c r="B193" s="13">
        <f t="shared" si="3"/>
        <v>187</v>
      </c>
      <c r="C193" s="15" t="str">
        <f t="array" ref="C193">IFNA(_xlfn.XLOOKUP(B193,Table_Respons_Loket[Count],Table_Respons_Loket[Nomor Tiket]),"")</f>
        <v>K/51/171024/1</v>
      </c>
      <c r="D193" s="15" t="str">
        <f t="array" ref="D193">IFNA(_xlfn.XLOOKUP(B193,Table_Respons_Loket[Count],Table_Respons_Loket[Daftar Nomor Hak]),"")</f>
        <v>M.178/PERWATA</v>
      </c>
      <c r="E193" s="17">
        <f t="array" ref="E193">IFNA(_xlfn.XLOOKUP(B193,Table_Respons_Loket[Count],Table_Respons_Loket[Time Stamp]),"")</f>
        <v>45582.62126</v>
      </c>
      <c r="F193" s="18" t="str">
        <f t="array" ref="F193">IFNA(_xlfn.XLOOKUP(B193,Table_Respons_Loket[Count],Table_Respons_Loket[Jenis Permohonan]),"")</f>
        <v>PEMECAHAN</v>
      </c>
      <c r="G193" s="12" t="s">
        <v>50</v>
      </c>
      <c r="H193" s="12" t="s">
        <v>52</v>
      </c>
      <c r="I193" s="22">
        <f t="shared" si="7"/>
        <v>45588.37806</v>
      </c>
      <c r="J193" s="20" t="b">
        <v>0</v>
      </c>
      <c r="K193" s="13" t="str">
        <f t="shared" si="2"/>
        <v/>
      </c>
    </row>
    <row r="194" ht="22.5" customHeight="1">
      <c r="B194" s="13">
        <f t="shared" si="3"/>
        <v>188</v>
      </c>
      <c r="C194" s="15" t="str">
        <f t="array" ref="C194">IFNA(_xlfn.XLOOKUP(B194,Table_Respons_Loket[Count],Table_Respons_Loket[Nomor Tiket]),"")</f>
        <v>K/52/171024/1</v>
      </c>
      <c r="D194" s="15" t="str">
        <f t="array" ref="D194">IFNA(_xlfn.XLOOKUP(B194,Table_Respons_Loket[Count],Table_Respons_Loket[Daftar Nomor Hak]),"")</f>
        <v>M.3877/TANJUNG SENENG</v>
      </c>
      <c r="E194" s="17">
        <f t="array" ref="E194">IFNA(_xlfn.XLOOKUP(B194,Table_Respons_Loket[Count],Table_Respons_Loket[Time Stamp]),"")</f>
        <v>45582.63285</v>
      </c>
      <c r="F194" s="18" t="str">
        <f t="array" ref="F194">IFNA(_xlfn.XLOOKUP(B194,Table_Respons_Loket[Count],Table_Respons_Loket[Jenis Permohonan]),"")</f>
        <v>PENGECEKAN </v>
      </c>
      <c r="G194" s="24"/>
      <c r="H194" s="24"/>
      <c r="I194" s="22" t="str">
        <f t="shared" si="7"/>
        <v/>
      </c>
      <c r="J194" s="20" t="b">
        <v>0</v>
      </c>
      <c r="K194" s="13" t="str">
        <f t="shared" si="2"/>
        <v/>
      </c>
    </row>
    <row r="195" ht="22.5" customHeight="1">
      <c r="B195" s="13">
        <f t="shared" si="3"/>
        <v>189</v>
      </c>
      <c r="C195" s="15" t="str">
        <f t="array" ref="C195">IFNA(_xlfn.XLOOKUP(B195,Table_Respons_Loket[Count],Table_Respons_Loket[Nomor Tiket]),"")</f>
        <v>K/53/171024/2</v>
      </c>
      <c r="D195" s="15" t="str">
        <f t="array" ref="D195">IFNA(_xlfn.XLOOKUP(B195,Table_Respons_Loket[Count],Table_Respons_Loket[Daftar Nomor Hak]),"")</f>
        <v>M.1183/PERUMNAS WAY KANDIS </v>
      </c>
      <c r="E195" s="17">
        <f t="array" ref="E195">IFNA(_xlfn.XLOOKUP(B195,Table_Respons_Loket[Count],Table_Respons_Loket[Time Stamp]),"")</f>
        <v>45582.63374</v>
      </c>
      <c r="F195" s="18" t="str">
        <f t="array" ref="F195">IFNA(_xlfn.XLOOKUP(B195,Table_Respons_Loket[Count],Table_Respons_Loket[Jenis Permohonan]),"")</f>
        <v>PENGECEKAN</v>
      </c>
      <c r="G195" s="24"/>
      <c r="H195" s="24"/>
      <c r="I195" s="22" t="str">
        <f t="shared" si="7"/>
        <v/>
      </c>
      <c r="J195" s="20" t="b">
        <v>0</v>
      </c>
      <c r="K195" s="13" t="str">
        <f t="shared" si="2"/>
        <v/>
      </c>
    </row>
    <row r="196" ht="22.5" customHeight="1">
      <c r="B196" s="13">
        <f t="shared" si="3"/>
        <v>190</v>
      </c>
      <c r="C196" s="15" t="str">
        <f t="array" ref="C196">IFNA(_xlfn.XLOOKUP(B196,Table_Respons_Loket[Count],Table_Respons_Loket[Nomor Tiket]),"")</f>
        <v>K/54/171024/3</v>
      </c>
      <c r="D196" s="15" t="str">
        <f t="array" ref="D196">IFNA(_xlfn.XLOOKUP(B196,Table_Respons_Loket[Count],Table_Respons_Loket[Daftar Nomor Hak]),"")</f>
        <v>M.1473/KUPANG TEBA </v>
      </c>
      <c r="E196" s="17">
        <f t="array" ref="E196">IFNA(_xlfn.XLOOKUP(B196,Table_Respons_Loket[Count],Table_Respons_Loket[Time Stamp]),"")</f>
        <v>45582.63481</v>
      </c>
      <c r="F196" s="18" t="str">
        <f t="array" ref="F196">IFNA(_xlfn.XLOOKUP(B196,Table_Respons_Loket[Count],Table_Respons_Loket[Jenis Permohonan]),"")</f>
        <v>PLOTING</v>
      </c>
      <c r="G196" s="24"/>
      <c r="H196" s="24"/>
      <c r="I196" s="22" t="str">
        <f t="shared" si="7"/>
        <v/>
      </c>
      <c r="J196" s="20" t="b">
        <v>0</v>
      </c>
      <c r="K196" s="13" t="str">
        <f t="shared" si="2"/>
        <v/>
      </c>
    </row>
    <row r="197" ht="22.5" customHeight="1">
      <c r="B197" s="13">
        <f t="shared" si="3"/>
        <v>191</v>
      </c>
      <c r="C197" s="15" t="str">
        <f t="array" ref="C197">IFNA(_xlfn.XLOOKUP(B197,Table_Respons_Loket[Count],Table_Respons_Loket[Nomor Tiket]),"")</f>
        <v>K/56/171024/1</v>
      </c>
      <c r="D197" s="15" t="str">
        <f t="array" ref="D197">IFNA(_xlfn.XLOOKUP(B197,Table_Respons_Loket[Count],Table_Respons_Loket[Daftar Nomor Hak]),"")</f>
        <v>M. 377/ ENGGAL</v>
      </c>
      <c r="E197" s="17">
        <f t="array" ref="E197">IFNA(_xlfn.XLOOKUP(B197,Table_Respons_Loket[Count],Table_Respons_Loket[Time Stamp]),"")</f>
        <v>45582.65454</v>
      </c>
      <c r="F197" s="18" t="str">
        <f t="array" ref="F197">IFNA(_xlfn.XLOOKUP(B197,Table_Respons_Loket[Count],Table_Respons_Loket[Jenis Permohonan]),"")</f>
        <v>ROYA</v>
      </c>
      <c r="G197" s="12" t="s">
        <v>50</v>
      </c>
      <c r="H197" s="12" t="s">
        <v>52</v>
      </c>
      <c r="I197" s="22">
        <f t="shared" si="7"/>
        <v>45586.48779</v>
      </c>
      <c r="J197" s="20" t="b">
        <v>0</v>
      </c>
      <c r="K197" s="13" t="str">
        <f t="shared" si="2"/>
        <v/>
      </c>
    </row>
    <row r="198" ht="22.5" customHeight="1">
      <c r="B198" s="13">
        <f t="shared" si="3"/>
        <v>192</v>
      </c>
      <c r="C198" s="15" t="str">
        <f t="array" ref="C198">IFNA(_xlfn.XLOOKUP(B198,Table_Respons_Loket[Count],Table_Respons_Loket[Nomor Tiket]),"")</f>
        <v>L/57/181024/1</v>
      </c>
      <c r="D198" s="15" t="str">
        <f t="array" ref="D198">IFNA(_xlfn.XLOOKUP(B198,Table_Respons_Loket[Count],Table_Respons_Loket[Daftar Nomor Hak]),"")</f>
        <v>M.13833/RAJABASA</v>
      </c>
      <c r="E198" s="17">
        <f t="array" ref="E198">IFNA(_xlfn.XLOOKUP(B198,Table_Respons_Loket[Count],Table_Respons_Loket[Time Stamp]),"")</f>
        <v>45583.39714</v>
      </c>
      <c r="F198" s="18" t="str">
        <f t="array" ref="F198">IFNA(_xlfn.XLOOKUP(B198,Table_Respons_Loket[Count],Table_Respons_Loket[Jenis Permohonan]),"")</f>
        <v>ROYA</v>
      </c>
      <c r="G198" s="12" t="s">
        <v>50</v>
      </c>
      <c r="H198" s="12" t="s">
        <v>52</v>
      </c>
      <c r="I198" s="22">
        <f t="shared" si="7"/>
        <v>45586.48779</v>
      </c>
      <c r="J198" s="20" t="b">
        <v>0</v>
      </c>
      <c r="K198" s="13" t="str">
        <f t="shared" si="2"/>
        <v/>
      </c>
    </row>
    <row r="199" ht="22.5" customHeight="1">
      <c r="B199" s="13">
        <f t="shared" si="3"/>
        <v>193</v>
      </c>
      <c r="C199" s="15" t="str">
        <f t="array" ref="C199">IFNA(_xlfn.XLOOKUP(B199,Table_Respons_Loket[Count],Table_Respons_Loket[Nomor Tiket]),"")</f>
        <v>K/1/181024/1</v>
      </c>
      <c r="D199" s="15" t="str">
        <f t="array" ref="D199">IFNA(_xlfn.XLOOKUP(B199,Table_Respons_Loket[Count],Table_Respons_Loket[Daftar Nomor Hak]),"")</f>
        <v>NIBEL 1145/ SUKAMAJU</v>
      </c>
      <c r="E199" s="17">
        <f t="array" ref="E199">IFNA(_xlfn.XLOOKUP(B199,Table_Respons_Loket[Count],Table_Respons_Loket[Time Stamp]),"")</f>
        <v>45583.41013</v>
      </c>
      <c r="F199" s="18" t="str">
        <f t="array" ref="F199">IFNA(_xlfn.XLOOKUP(B199,Table_Respons_Loket[Count],Table_Respons_Loket[Jenis Permohonan]),"")</f>
        <v>BN PHB</v>
      </c>
      <c r="G199" s="24"/>
      <c r="H199" s="24"/>
      <c r="I199" s="22" t="str">
        <f t="shared" si="7"/>
        <v/>
      </c>
      <c r="J199" s="20" t="b">
        <v>0</v>
      </c>
      <c r="K199" s="13" t="str">
        <f t="shared" si="2"/>
        <v/>
      </c>
    </row>
    <row r="200" ht="22.5" customHeight="1">
      <c r="B200" s="13">
        <f t="shared" si="3"/>
        <v>194</v>
      </c>
      <c r="C200" s="15" t="str">
        <f t="array" ref="C200">IFNA(_xlfn.XLOOKUP(B200,Table_Respons_Loket[Count],Table_Respons_Loket[Nomor Tiket]),"")</f>
        <v>K/4/181024/1</v>
      </c>
      <c r="D200" s="15" t="str">
        <f t="array" ref="D200">IFNA(_xlfn.XLOOKUP(B200,Table_Respons_Loket[Count],Table_Respons_Loket[Daftar Nomor Hak]),"")</f>
        <v>M. 1401/ K B K SHT 3354/2013 dan 590/2017</v>
      </c>
      <c r="E200" s="17">
        <f t="array" ref="E200">IFNA(_xlfn.XLOOKUP(B200,Table_Respons_Loket[Count],Table_Respons_Loket[Time Stamp]),"")</f>
        <v>45583.4104</v>
      </c>
      <c r="F200" s="18" t="str">
        <f t="array" ref="F200">IFNA(_xlfn.XLOOKUP(B200,Table_Respons_Loket[Count],Table_Respons_Loket[Jenis Permohonan]),"")</f>
        <v>Roya</v>
      </c>
      <c r="G200" s="12" t="s">
        <v>50</v>
      </c>
      <c r="H200" s="12" t="s">
        <v>52</v>
      </c>
      <c r="I200" s="22">
        <f t="shared" si="7"/>
        <v>45586.48779</v>
      </c>
      <c r="J200" s="20" t="b">
        <v>0</v>
      </c>
      <c r="K200" s="13" t="str">
        <f t="shared" si="2"/>
        <v/>
      </c>
    </row>
    <row r="201" ht="22.5" customHeight="1">
      <c r="B201" s="13">
        <f t="shared" si="3"/>
        <v>195</v>
      </c>
      <c r="C201" s="15" t="str">
        <f t="array" ref="C201">IFNA(_xlfn.XLOOKUP(B201,Table_Respons_Loket[Count],Table_Respons_Loket[Nomor Tiket]),"")</f>
        <v>K/2/181024/2</v>
      </c>
      <c r="D201" s="15" t="str">
        <f t="array" ref="D201">IFNA(_xlfn.XLOOKUP(B201,Table_Respons_Loket[Count],Table_Respons_Loket[Daftar Nomor Hak]),"")</f>
        <v>M. 596/ Gunung Terang</v>
      </c>
      <c r="E201" s="17">
        <f t="array" ref="E201">IFNA(_xlfn.XLOOKUP(B201,Table_Respons_Loket[Count],Table_Respons_Loket[Time Stamp]),"")</f>
        <v>45583.41585</v>
      </c>
      <c r="F201" s="18" t="str">
        <f t="array" ref="F201">IFNA(_xlfn.XLOOKUP(B201,Table_Respons_Loket[Count],Table_Respons_Loket[Jenis Permohonan]),"")</f>
        <v>BN JUAL BELI</v>
      </c>
      <c r="G201" s="24"/>
      <c r="H201" s="12" t="s">
        <v>47</v>
      </c>
      <c r="I201" s="22" t="str">
        <f t="shared" si="7"/>
        <v/>
      </c>
      <c r="J201" s="20" t="b">
        <v>0</v>
      </c>
      <c r="K201" s="13" t="str">
        <f t="shared" si="2"/>
        <v/>
      </c>
    </row>
    <row r="202" ht="22.5" customHeight="1">
      <c r="B202" s="13">
        <f t="shared" si="3"/>
        <v>196</v>
      </c>
      <c r="C202" s="15" t="str">
        <f t="array" ref="C202">IFNA(_xlfn.XLOOKUP(B202,Table_Respons_Loket[Count],Table_Respons_Loket[Nomor Tiket]),"")</f>
        <v>K/3/181024/3</v>
      </c>
      <c r="D202" s="15" t="str">
        <f t="array" ref="D202">IFNA(_xlfn.XLOOKUP(B202,Table_Respons_Loket[Count],Table_Respons_Loket[Daftar Nomor Hak]),"")</f>
        <v>B. 538/ SUKARAME BARU</v>
      </c>
      <c r="E202" s="17">
        <f t="array" ref="E202">IFNA(_xlfn.XLOOKUP(B202,Table_Respons_Loket[Count],Table_Respons_Loket[Time Stamp]),"")</f>
        <v>45583.42008</v>
      </c>
      <c r="F202" s="18" t="str">
        <f t="array" ref="F202">IFNA(_xlfn.XLOOKUP(B202,Table_Respons_Loket[Count],Table_Respons_Loket[Jenis Permohonan]),"")</f>
        <v>BN JUAL BELI</v>
      </c>
      <c r="G202" s="12" t="s">
        <v>50</v>
      </c>
      <c r="H202" s="12" t="s">
        <v>52</v>
      </c>
      <c r="I202" s="22">
        <f t="shared" si="7"/>
        <v>45586.48779</v>
      </c>
      <c r="J202" s="20" t="b">
        <v>0</v>
      </c>
      <c r="K202" s="13" t="str">
        <f t="shared" si="2"/>
        <v/>
      </c>
    </row>
    <row r="203" ht="22.5" customHeight="1">
      <c r="B203" s="13">
        <f t="shared" si="3"/>
        <v>197</v>
      </c>
      <c r="C203" s="15" t="str">
        <f t="array" ref="C203">IFNA(_xlfn.XLOOKUP(B203,Table_Respons_Loket[Count],Table_Respons_Loket[Nomor Tiket]),"")</f>
        <v>K/5/181024/1</v>
      </c>
      <c r="D203" s="15" t="str">
        <f t="array" ref="D203">IFNA(_xlfn.XLOOKUP(B203,Table_Respons_Loket[Count],Table_Respons_Loket[Daftar Nomor Hak]),"")</f>
        <v>B. 164/ Rawa Laut</v>
      </c>
      <c r="E203" s="17">
        <f t="array" ref="E203">IFNA(_xlfn.XLOOKUP(B203,Table_Respons_Loket[Count],Table_Respons_Loket[Time Stamp]),"")</f>
        <v>45583.4299</v>
      </c>
      <c r="F203" s="18" t="str">
        <f t="array" ref="F203">IFNA(_xlfn.XLOOKUP(B203,Table_Respons_Loket[Count],Table_Respons_Loket[Jenis Permohonan]),"")</f>
        <v>BN Jual Beli</v>
      </c>
      <c r="G203" s="12" t="s">
        <v>42</v>
      </c>
      <c r="H203" s="12" t="s">
        <v>52</v>
      </c>
      <c r="I203" s="22">
        <f t="shared" si="7"/>
        <v>45593.67787</v>
      </c>
      <c r="J203" s="20" t="b">
        <v>0</v>
      </c>
      <c r="K203" s="13" t="str">
        <f t="shared" si="2"/>
        <v/>
      </c>
    </row>
    <row r="204" ht="22.5" customHeight="1">
      <c r="B204" s="13">
        <f t="shared" si="3"/>
        <v>198</v>
      </c>
      <c r="C204" s="15" t="str">
        <f t="array" ref="C204">IFNA(_xlfn.XLOOKUP(B204,Table_Respons_Loket[Count],Table_Respons_Loket[Nomor Tiket]),"")</f>
        <v>K/8/181024/1</v>
      </c>
      <c r="D204" s="15" t="str">
        <f t="array" ref="D204">IFNA(_xlfn.XLOOKUP(B204,Table_Respons_Loket[Count],Table_Respons_Loket[Daftar Nomor Hak]),"")</f>
        <v>M. 227/ Sukarame Baru- sekarang; M. 13036/ Sukarame I- dahulu</v>
      </c>
      <c r="E204" s="17">
        <f t="array" ref="E204">IFNA(_xlfn.XLOOKUP(B204,Table_Respons_Loket[Count],Table_Respons_Loket[Time Stamp]),"")</f>
        <v>45583.43658</v>
      </c>
      <c r="F204" s="18" t="str">
        <f t="array" ref="F204">IFNA(_xlfn.XLOOKUP(B204,Table_Respons_Loket[Count],Table_Respons_Loket[Jenis Permohonan]),"")</f>
        <v>BN JUAL BELI</v>
      </c>
      <c r="G204" s="12" t="s">
        <v>50</v>
      </c>
      <c r="H204" s="12" t="s">
        <v>52</v>
      </c>
      <c r="I204" s="22">
        <f t="shared" si="7"/>
        <v>45586.48779</v>
      </c>
      <c r="J204" s="20" t="b">
        <v>0</v>
      </c>
      <c r="K204" s="13" t="str">
        <f t="shared" si="2"/>
        <v/>
      </c>
    </row>
    <row r="205" ht="22.5" customHeight="1">
      <c r="B205" s="13">
        <f t="shared" si="3"/>
        <v>199</v>
      </c>
      <c r="C205" s="15" t="str">
        <f t="array" ref="C205">IFNA(_xlfn.XLOOKUP(B205,Table_Respons_Loket[Count],Table_Respons_Loket[Nomor Tiket]),"")</f>
        <v>K/6/181024/1</v>
      </c>
      <c r="D205" s="15" t="str">
        <f t="array" ref="D205">IFNA(_xlfn.XLOOKUP(B205,Table_Respons_Loket[Count],Table_Respons_Loket[Daftar Nomor Hak]),"")</f>
        <v>B. 653; 654/ Pesawahan dan SHT 1213/2008 dan SHT 3013/2006</v>
      </c>
      <c r="E205" s="17">
        <f t="array" ref="E205">IFNA(_xlfn.XLOOKUP(B205,Table_Respons_Loket[Count],Table_Respons_Loket[Time Stamp]),"")</f>
        <v>45583.43786</v>
      </c>
      <c r="F205" s="18" t="str">
        <f t="array" ref="F205">IFNA(_xlfn.XLOOKUP(B205,Table_Respons_Loket[Count],Table_Respons_Loket[Jenis Permohonan]),"")</f>
        <v>Roya</v>
      </c>
      <c r="G205" s="12" t="s">
        <v>48</v>
      </c>
      <c r="H205" s="12" t="s">
        <v>52</v>
      </c>
      <c r="I205" s="22">
        <f t="shared" si="7"/>
        <v>45586.48779</v>
      </c>
      <c r="J205" s="20" t="b">
        <v>0</v>
      </c>
      <c r="K205" s="13" t="str">
        <f t="shared" si="2"/>
        <v/>
      </c>
    </row>
    <row r="206" ht="22.5" customHeight="1">
      <c r="B206" s="13">
        <f t="shared" si="3"/>
        <v>200</v>
      </c>
      <c r="C206" s="15" t="str">
        <f t="array" ref="C206">IFNA(_xlfn.XLOOKUP(B206,Table_Respons_Loket[Count],Table_Respons_Loket[Nomor Tiket]),"")</f>
        <v>K/9/181024/1</v>
      </c>
      <c r="D206" s="15" t="str">
        <f t="array" ref="D206">IFNA(_xlfn.XLOOKUP(B206,Table_Respons_Loket[Count],Table_Respons_Loket[Daftar Nomor Hak]),"")</f>
        <v>M.5070/RAJABASA JAYA</v>
      </c>
      <c r="E206" s="17">
        <f t="array" ref="E206">IFNA(_xlfn.XLOOKUP(B206,Table_Respons_Loket[Count],Table_Respons_Loket[Time Stamp]),"")</f>
        <v>45583.43806</v>
      </c>
      <c r="F206" s="18" t="str">
        <f t="array" ref="F206">IFNA(_xlfn.XLOOKUP(B206,Table_Respons_Loket[Count],Table_Respons_Loket[Jenis Permohonan]),"")</f>
        <v>PERALIHAN JUAL BELI</v>
      </c>
      <c r="G206" s="12" t="s">
        <v>48</v>
      </c>
      <c r="H206" s="12" t="s">
        <v>52</v>
      </c>
      <c r="I206" s="22">
        <f t="shared" si="7"/>
        <v>45586.48779</v>
      </c>
      <c r="J206" s="20" t="b">
        <v>0</v>
      </c>
      <c r="K206" s="13" t="str">
        <f t="shared" si="2"/>
        <v/>
      </c>
    </row>
    <row r="207" ht="22.5" customHeight="1">
      <c r="B207" s="13">
        <f t="shared" si="3"/>
        <v>201</v>
      </c>
      <c r="C207" s="15" t="str">
        <f t="array" ref="C207">IFNA(_xlfn.XLOOKUP(B207,Table_Respons_Loket[Count],Table_Respons_Loket[Nomor Tiket]),"")</f>
        <v>K/7/181024/2</v>
      </c>
      <c r="D207" s="15" t="str">
        <f t="array" ref="D207">IFNA(_xlfn.XLOOKUP(B207,Table_Respons_Loket[Count],Table_Respons_Loket[Daftar Nomor Hak]),"")</f>
        <v>B. 696/ Peswahan dan SHT 3014/2006</v>
      </c>
      <c r="E207" s="17">
        <f t="array" ref="E207">IFNA(_xlfn.XLOOKUP(B207,Table_Respons_Loket[Count],Table_Respons_Loket[Time Stamp]),"")</f>
        <v>45583.43899</v>
      </c>
      <c r="F207" s="18" t="str">
        <f t="array" ref="F207">IFNA(_xlfn.XLOOKUP(B207,Table_Respons_Loket[Count],Table_Respons_Loket[Jenis Permohonan]),"")</f>
        <v>Roya</v>
      </c>
      <c r="G207" s="12" t="s">
        <v>48</v>
      </c>
      <c r="H207" s="12" t="s">
        <v>52</v>
      </c>
      <c r="I207" s="22">
        <f t="shared" si="7"/>
        <v>45587.42304</v>
      </c>
      <c r="J207" s="20" t="b">
        <v>0</v>
      </c>
      <c r="K207" s="13" t="str">
        <f t="shared" si="2"/>
        <v/>
      </c>
    </row>
    <row r="208" ht="22.5" customHeight="1">
      <c r="B208" s="13">
        <f t="shared" si="3"/>
        <v>202</v>
      </c>
      <c r="C208" s="15" t="str">
        <f t="array" ref="C208">IFNA(_xlfn.XLOOKUP(B208,Table_Respons_Loket[Count],Table_Respons_Loket[Nomor Tiket]),"")</f>
        <v>L/10/181024/1</v>
      </c>
      <c r="D208" s="15" t="str">
        <f t="array" ref="D208">IFNA(_xlfn.XLOOKUP(B208,Table_Respons_Loket[Count],Table_Respons_Loket[Daftar Nomor Hak]),"")</f>
        <v>HGB.4629/BERINGIN RAYA</v>
      </c>
      <c r="E208" s="17">
        <f t="array" ref="E208">IFNA(_xlfn.XLOOKUP(B208,Table_Respons_Loket[Count],Table_Respons_Loket[Time Stamp]),"")</f>
        <v>45583.44938</v>
      </c>
      <c r="F208" s="18" t="str">
        <f t="array" ref="F208">IFNA(_xlfn.XLOOKUP(B208,Table_Respons_Loket[Count],Table_Respons_Loket[Jenis Permohonan]),"")</f>
        <v>SERTIPIKAT HILANG</v>
      </c>
      <c r="G208" s="12" t="s">
        <v>48</v>
      </c>
      <c r="H208" s="12" t="s">
        <v>52</v>
      </c>
      <c r="I208" s="22">
        <f t="shared" si="7"/>
        <v>45588.38567</v>
      </c>
      <c r="J208" s="20" t="b">
        <v>0</v>
      </c>
      <c r="K208" s="13" t="str">
        <f t="shared" si="2"/>
        <v/>
      </c>
    </row>
    <row r="209" ht="22.5" customHeight="1">
      <c r="B209" s="13">
        <f t="shared" si="3"/>
        <v>203</v>
      </c>
      <c r="C209" s="15" t="str">
        <f t="array" ref="C209">IFNA(_xlfn.XLOOKUP(B209,Table_Respons_Loket[Count],Table_Respons_Loket[Nomor Tiket]),"")</f>
        <v>K/11/181024/1</v>
      </c>
      <c r="D209" s="15" t="str">
        <f t="array" ref="D209">IFNA(_xlfn.XLOOKUP(B209,Table_Respons_Loket[Count],Table_Respons_Loket[Daftar Nomor Hak]),"")</f>
        <v>M.1637/BUMI KEDAMAIAN-SEKARANG;M.13670/KEDAMAIAN-DAHULU</v>
      </c>
      <c r="E209" s="17">
        <f t="array" ref="E209">IFNA(_xlfn.XLOOKUP(B209,Table_Respons_Loket[Count],Table_Respons_Loket[Time Stamp]),"")</f>
        <v>45583.45149</v>
      </c>
      <c r="F209" s="18" t="str">
        <f t="array" ref="F209">IFNA(_xlfn.XLOOKUP(B209,Table_Respons_Loket[Count],Table_Respons_Loket[Jenis Permohonan]),"")</f>
        <v>PEMECAHAN</v>
      </c>
      <c r="G209" s="24"/>
      <c r="H209" s="12" t="s">
        <v>47</v>
      </c>
      <c r="I209" s="22" t="str">
        <f t="shared" si="7"/>
        <v/>
      </c>
      <c r="J209" s="20" t="b">
        <v>0</v>
      </c>
      <c r="K209" s="13" t="str">
        <f t="shared" si="2"/>
        <v/>
      </c>
    </row>
    <row r="210" ht="22.5" customHeight="1">
      <c r="B210" s="13">
        <f t="shared" si="3"/>
        <v>204</v>
      </c>
      <c r="C210" s="15" t="str">
        <f t="array" ref="C210">IFNA(_xlfn.XLOOKUP(B210,Table_Respons_Loket[Count],Table_Respons_Loket[Nomor Tiket]),"")</f>
        <v>K/12/181024/1</v>
      </c>
      <c r="D210" s="15" t="str">
        <f t="array" ref="D210">IFNA(_xlfn.XLOOKUP(B210,Table_Respons_Loket[Count],Table_Respons_Loket[Daftar Nomor Hak]),"")</f>
        <v>M. 13899/ Rajabasa</v>
      </c>
      <c r="E210" s="17">
        <f t="array" ref="E210">IFNA(_xlfn.XLOOKUP(B210,Table_Respons_Loket[Count],Table_Respons_Loket[Time Stamp]),"")</f>
        <v>45583.45677</v>
      </c>
      <c r="F210" s="18" t="str">
        <f t="array" ref="F210">IFNA(_xlfn.XLOOKUP(B210,Table_Respons_Loket[Count],Table_Respons_Loket[Jenis Permohonan]),"")</f>
        <v>BN Jual Beli</v>
      </c>
      <c r="G210" s="12" t="s">
        <v>42</v>
      </c>
      <c r="H210" s="12" t="s">
        <v>87</v>
      </c>
      <c r="I210" s="22">
        <f t="shared" si="7"/>
        <v>45600.47254</v>
      </c>
      <c r="J210" s="20" t="b">
        <v>0</v>
      </c>
      <c r="K210" s="13" t="str">
        <f t="shared" si="2"/>
        <v/>
      </c>
    </row>
    <row r="211" ht="22.5" customHeight="1">
      <c r="B211" s="13">
        <f t="shared" si="3"/>
        <v>205</v>
      </c>
      <c r="C211" s="15" t="str">
        <f t="array" ref="C211">IFNA(_xlfn.XLOOKUP(B211,Table_Respons_Loket[Count],Table_Respons_Loket[Nomor Tiket]),"")</f>
        <v>L/13/181024/1</v>
      </c>
      <c r="D211" s="15" t="str">
        <f t="array" ref="D211">IFNA(_xlfn.XLOOKUP(B211,Table_Respons_Loket[Count],Table_Respons_Loket[Daftar Nomor Hak]),"")</f>
        <v>HGB.1333/JG II</v>
      </c>
      <c r="E211" s="17">
        <f t="array" ref="E211">IFNA(_xlfn.XLOOKUP(B211,Table_Respons_Loket[Count],Table_Respons_Loket[Time Stamp]),"")</f>
        <v>45583.45788</v>
      </c>
      <c r="F211" s="18" t="str">
        <f t="array" ref="F211">IFNA(_xlfn.XLOOKUP(B211,Table_Respons_Loket[Count],Table_Respons_Loket[Jenis Permohonan]),"")</f>
        <v>GANDES</v>
      </c>
      <c r="G211" s="24"/>
      <c r="H211" s="24"/>
      <c r="I211" s="22" t="str">
        <f t="shared" si="7"/>
        <v/>
      </c>
      <c r="J211" s="20" t="b">
        <v>0</v>
      </c>
      <c r="K211" s="13" t="str">
        <f t="shared" si="2"/>
        <v/>
      </c>
    </row>
    <row r="212" ht="22.5" customHeight="1">
      <c r="B212" s="13">
        <f t="shared" si="3"/>
        <v>206</v>
      </c>
      <c r="C212" s="15" t="str">
        <f t="array" ref="C212">IFNA(_xlfn.XLOOKUP(B212,Table_Respons_Loket[Count],Table_Respons_Loket[Nomor Tiket]),"")</f>
        <v>K/14/181024/1</v>
      </c>
      <c r="D212" s="15" t="str">
        <f t="array" ref="D212">IFNA(_xlfn.XLOOKUP(B212,Table_Respons_Loket[Count],Table_Respons_Loket[Daftar Nomor Hak]),"")</f>
        <v>M. 13267/ Sukabumi</v>
      </c>
      <c r="E212" s="17">
        <f t="array" ref="E212">IFNA(_xlfn.XLOOKUP(B212,Table_Respons_Loket[Count],Table_Respons_Loket[Time Stamp]),"")</f>
        <v>45583.46528</v>
      </c>
      <c r="F212" s="18" t="str">
        <f t="array" ref="F212">IFNA(_xlfn.XLOOKUP(B212,Table_Respons_Loket[Count],Table_Respons_Loket[Jenis Permohonan]),"")</f>
        <v>BN Jual Beli</v>
      </c>
      <c r="G212" s="12" t="s">
        <v>86</v>
      </c>
      <c r="H212" s="12" t="s">
        <v>87</v>
      </c>
      <c r="I212" s="22">
        <f t="shared" si="7"/>
        <v>45614.66166</v>
      </c>
      <c r="J212" s="20" t="b">
        <v>0</v>
      </c>
      <c r="K212" s="13" t="str">
        <f t="shared" si="2"/>
        <v/>
      </c>
    </row>
    <row r="213" ht="22.5" customHeight="1">
      <c r="B213" s="13">
        <f t="shared" si="3"/>
        <v>207</v>
      </c>
      <c r="C213" s="15" t="str">
        <f t="array" ref="C213">IFNA(_xlfn.XLOOKUP(B213,Table_Respons_Loket[Count],Table_Respons_Loket[Nomor Tiket]),"")</f>
        <v>K/15/181024/1</v>
      </c>
      <c r="D213" s="15" t="str">
        <f t="array" ref="D213">IFNA(_xlfn.XLOOKUP(B213,Table_Respons_Loket[Count],Table_Respons_Loket[Daftar Nomor Hak]),"")</f>
        <v>B.921/NEGERI OLOK GADING</v>
      </c>
      <c r="E213" s="17">
        <f t="array" ref="E213">IFNA(_xlfn.XLOOKUP(B213,Table_Respons_Loket[Count],Table_Respons_Loket[Time Stamp]),"")</f>
        <v>45583.46534</v>
      </c>
      <c r="F213" s="18" t="str">
        <f t="array" ref="F213">IFNA(_xlfn.XLOOKUP(B213,Table_Respons_Loket[Count],Table_Respons_Loket[Jenis Permohonan]),"")</f>
        <v>SKPT PERPANJANGAN</v>
      </c>
      <c r="G213" s="24"/>
      <c r="H213" s="24"/>
      <c r="I213" s="22" t="str">
        <f t="shared" si="7"/>
        <v/>
      </c>
      <c r="J213" s="20" t="b">
        <v>0</v>
      </c>
      <c r="K213" s="13" t="str">
        <f t="shared" si="2"/>
        <v/>
      </c>
    </row>
    <row r="214" ht="22.5" customHeight="1">
      <c r="B214" s="13">
        <f t="shared" si="3"/>
        <v>208</v>
      </c>
      <c r="C214" s="15" t="str">
        <f t="array" ref="C214">IFNA(_xlfn.XLOOKUP(B214,Table_Respons_Loket[Count],Table_Respons_Loket[Nomor Tiket]),"")</f>
        <v>K/16/181024/1</v>
      </c>
      <c r="D214" s="15" t="str">
        <f t="array" ref="D214">IFNA(_xlfn.XLOOKUP(B214,Table_Respons_Loket[Count],Table_Respons_Loket[Daftar Nomor Hak]),"")</f>
        <v>Nibel 2006/ sumur putri</v>
      </c>
      <c r="E214" s="17">
        <f t="array" ref="E214">IFNA(_xlfn.XLOOKUP(B214,Table_Respons_Loket[Count],Table_Respons_Loket[Time Stamp]),"")</f>
        <v>45583.46575</v>
      </c>
      <c r="F214" s="18" t="str">
        <f t="array" ref="F214">IFNA(_xlfn.XLOOKUP(B214,Table_Respons_Loket[Count],Table_Respons_Loket[Jenis Permohonan]),"")</f>
        <v>perubahan hak</v>
      </c>
      <c r="G214" s="24"/>
      <c r="H214" s="24"/>
      <c r="I214" s="22" t="str">
        <f t="shared" si="7"/>
        <v/>
      </c>
      <c r="J214" s="20" t="b">
        <v>0</v>
      </c>
      <c r="K214" s="13" t="str">
        <f t="shared" si="2"/>
        <v/>
      </c>
    </row>
    <row r="215" ht="22.5" customHeight="1">
      <c r="B215" s="13">
        <f t="shared" si="3"/>
        <v>209</v>
      </c>
      <c r="C215" s="15" t="str">
        <f t="array" ref="C215">IFNA(_xlfn.XLOOKUP(B215,Table_Respons_Loket[Count],Table_Respons_Loket[Nomor Tiket]),"")</f>
        <v>K/17/181024/2</v>
      </c>
      <c r="D215" s="15" t="str">
        <f t="array" ref="D215">IFNA(_xlfn.XLOOKUP(B215,Table_Respons_Loket[Count],Table_Respons_Loket[Daftar Nomor Hak]),"")</f>
        <v>M. 443/ Sukarame</v>
      </c>
      <c r="E215" s="17">
        <f t="array" ref="E215">IFNA(_xlfn.XLOOKUP(B215,Table_Respons_Loket[Count],Table_Respons_Loket[Time Stamp]),"")</f>
        <v>45583.46775</v>
      </c>
      <c r="F215" s="18" t="str">
        <f t="array" ref="F215">IFNA(_xlfn.XLOOKUP(B215,Table_Respons_Loket[Count],Table_Respons_Loket[Jenis Permohonan]),"")</f>
        <v>ganti kelurahan</v>
      </c>
      <c r="G215" s="24"/>
      <c r="H215" s="24"/>
      <c r="I215" s="22" t="str">
        <f t="shared" si="7"/>
        <v/>
      </c>
      <c r="J215" s="20" t="b">
        <v>0</v>
      </c>
      <c r="K215" s="13" t="str">
        <f t="shared" si="2"/>
        <v/>
      </c>
    </row>
    <row r="216" ht="22.5" customHeight="1">
      <c r="B216" s="13">
        <f t="shared" si="3"/>
        <v>210</v>
      </c>
      <c r="C216" s="15" t="str">
        <f t="array" ref="C216">IFNA(_xlfn.XLOOKUP(B216,Table_Respons_Loket[Count],Table_Respons_Loket[Nomor Tiket]),"")</f>
        <v>K/18/181024/1</v>
      </c>
      <c r="D216" s="15" t="str">
        <f t="array" ref="D216">IFNA(_xlfn.XLOOKUP(B216,Table_Respons_Loket[Count],Table_Respons_Loket[Daftar Nomor Hak]),"")</f>
        <v>M.4511/WAY KANDIS </v>
      </c>
      <c r="E216" s="17">
        <f t="array" ref="E216">IFNA(_xlfn.XLOOKUP(B216,Table_Respons_Loket[Count],Table_Respons_Loket[Time Stamp]),"")</f>
        <v>45583.46944</v>
      </c>
      <c r="F216" s="18" t="str">
        <f t="array" ref="F216">IFNA(_xlfn.XLOOKUP(B216,Table_Respons_Loket[Count],Table_Respons_Loket[Jenis Permohonan]),"")</f>
        <v>PEMECAHAN</v>
      </c>
      <c r="G216" s="24"/>
      <c r="H216" s="12" t="s">
        <v>47</v>
      </c>
      <c r="I216" s="22" t="str">
        <f t="shared" si="7"/>
        <v/>
      </c>
      <c r="J216" s="20" t="b">
        <v>0</v>
      </c>
      <c r="K216" s="13" t="str">
        <f t="shared" si="2"/>
        <v/>
      </c>
    </row>
    <row r="217" ht="22.5" customHeight="1">
      <c r="B217" s="13">
        <f t="shared" si="3"/>
        <v>211</v>
      </c>
      <c r="C217" s="15" t="str">
        <f t="array" ref="C217">IFNA(_xlfn.XLOOKUP(B217,Table_Respons_Loket[Count],Table_Respons_Loket[Nomor Tiket]),"")</f>
        <v>K/19/181024/2</v>
      </c>
      <c r="D217" s="15" t="str">
        <f t="array" ref="D217">IFNA(_xlfn.XLOOKUP(B217,Table_Respons_Loket[Count],Table_Respons_Loket[Daftar Nomor Hak]),"")</f>
        <v>M.4510/WAY KANDIS</v>
      </c>
      <c r="E217" s="17">
        <f t="array" ref="E217">IFNA(_xlfn.XLOOKUP(B217,Table_Respons_Loket[Count],Table_Respons_Loket[Time Stamp]),"")</f>
        <v>45583.46999</v>
      </c>
      <c r="F217" s="18" t="str">
        <f t="array" ref="F217">IFNA(_xlfn.XLOOKUP(B217,Table_Respons_Loket[Count],Table_Respons_Loket[Jenis Permohonan]),"")</f>
        <v>PEMECAHAN</v>
      </c>
      <c r="G217" s="24"/>
      <c r="H217" s="12" t="s">
        <v>47</v>
      </c>
      <c r="I217" s="22" t="str">
        <f t="shared" si="7"/>
        <v/>
      </c>
      <c r="J217" s="20" t="b">
        <v>0</v>
      </c>
      <c r="K217" s="13" t="str">
        <f t="shared" si="2"/>
        <v/>
      </c>
    </row>
    <row r="218" ht="22.5" customHeight="1">
      <c r="B218" s="13">
        <f t="shared" si="3"/>
        <v>212</v>
      </c>
      <c r="C218" s="15" t="str">
        <f t="array" ref="C218">IFNA(_xlfn.XLOOKUP(B218,Table_Respons_Loket[Count],Table_Respons_Loket[Nomor Tiket]),"")</f>
        <v>K/20/181024/1</v>
      </c>
      <c r="D218" s="15" t="str">
        <f t="array" ref="D218">IFNA(_xlfn.XLOOKUP(B218,Table_Respons_Loket[Count],Table_Respons_Loket[Daftar Nomor Hak]),"")</f>
        <v>M. 501/ Campang Jaya</v>
      </c>
      <c r="E218" s="17">
        <f t="array" ref="E218">IFNA(_xlfn.XLOOKUP(B218,Table_Respons_Loket[Count],Table_Respons_Loket[Time Stamp]),"")</f>
        <v>45583.47171</v>
      </c>
      <c r="F218" s="18" t="str">
        <f t="array" ref="F218">IFNA(_xlfn.XLOOKUP(B218,Table_Respons_Loket[Count],Table_Respons_Loket[Jenis Permohonan]),"")</f>
        <v>Hapus BPHTB</v>
      </c>
      <c r="G218" s="24"/>
      <c r="H218" s="24"/>
      <c r="I218" s="22" t="str">
        <f t="shared" si="7"/>
        <v/>
      </c>
      <c r="J218" s="20" t="b">
        <v>0</v>
      </c>
      <c r="K218" s="13" t="str">
        <f t="shared" si="2"/>
        <v/>
      </c>
    </row>
    <row r="219" ht="22.5" customHeight="1">
      <c r="B219" s="13">
        <f t="shared" si="3"/>
        <v>213</v>
      </c>
      <c r="C219" s="15" t="str">
        <f t="array" ref="C219">IFNA(_xlfn.XLOOKUP(B219,Table_Respons_Loket[Count],Table_Respons_Loket[Nomor Tiket]),"")</f>
        <v>K/21/181024/1</v>
      </c>
      <c r="D219" s="15" t="str">
        <f t="array" ref="D219">IFNA(_xlfn.XLOOKUP(B219,Table_Respons_Loket[Count],Table_Respons_Loket[Daftar Nomor Hak]),"")</f>
        <v>B. 616/ Campang Raya</v>
      </c>
      <c r="E219" s="17">
        <f t="array" ref="E219">IFNA(_xlfn.XLOOKUP(B219,Table_Respons_Loket[Count],Table_Respons_Loket[Time Stamp]),"")</f>
        <v>45583.48062</v>
      </c>
      <c r="F219" s="18" t="str">
        <f t="array" ref="F219">IFNA(_xlfn.XLOOKUP(B219,Table_Respons_Loket[Count],Table_Respons_Loket[Jenis Permohonan]),"")</f>
        <v>Gandes</v>
      </c>
      <c r="G219" s="12" t="s">
        <v>48</v>
      </c>
      <c r="H219" s="12" t="s">
        <v>52</v>
      </c>
      <c r="I219" s="22">
        <f t="shared" si="7"/>
        <v>45587.3806</v>
      </c>
      <c r="J219" s="20" t="b">
        <v>0</v>
      </c>
      <c r="K219" s="13" t="str">
        <f t="shared" si="2"/>
        <v/>
      </c>
    </row>
    <row r="220" ht="22.5" customHeight="1">
      <c r="B220" s="13">
        <f t="shared" si="3"/>
        <v>214</v>
      </c>
      <c r="C220" s="15" t="str">
        <f t="array" ref="C220">IFNA(_xlfn.XLOOKUP(B220,Table_Respons_Loket[Count],Table_Respons_Loket[Nomor Tiket]),"")</f>
        <v>K/22/181024/2</v>
      </c>
      <c r="D220" s="15" t="str">
        <f t="array" ref="D220">IFNA(_xlfn.XLOOKUP(B220,Table_Respons_Loket[Count],Table_Respons_Loket[Daftar Nomor Hak]),"")</f>
        <v>B. 641/ Campang Raya</v>
      </c>
      <c r="E220" s="17">
        <f t="array" ref="E220">IFNA(_xlfn.XLOOKUP(B220,Table_Respons_Loket[Count],Table_Respons_Loket[Time Stamp]),"")</f>
        <v>45583.55113</v>
      </c>
      <c r="F220" s="18" t="str">
        <f t="array" ref="F220">IFNA(_xlfn.XLOOKUP(B220,Table_Respons_Loket[Count],Table_Respons_Loket[Jenis Permohonan]),"")</f>
        <v>Gandes</v>
      </c>
      <c r="G220" s="12" t="s">
        <v>50</v>
      </c>
      <c r="H220" s="12" t="s">
        <v>52</v>
      </c>
      <c r="I220" s="22">
        <f t="shared" si="7"/>
        <v>45587.38034</v>
      </c>
      <c r="J220" s="20" t="b">
        <v>0</v>
      </c>
      <c r="K220" s="13" t="str">
        <f t="shared" si="2"/>
        <v/>
      </c>
    </row>
    <row r="221" ht="22.5" customHeight="1">
      <c r="B221" s="13">
        <f t="shared" si="3"/>
        <v>215</v>
      </c>
      <c r="C221" s="15" t="str">
        <f t="array" ref="C221">IFNA(_xlfn.XLOOKUP(B221,Table_Respons_Loket[Count],Table_Respons_Loket[Nomor Tiket]),"")</f>
        <v>K/23/181024/1</v>
      </c>
      <c r="D221" s="15" t="str">
        <f t="array" ref="D221">IFNA(_xlfn.XLOOKUP(B221,Table_Respons_Loket[Count],Table_Respons_Loket[Daftar Nomor Hak]),"")</f>
        <v>M. 224/ Kampung Baru Raya</v>
      </c>
      <c r="E221" s="17">
        <f t="array" ref="E221">IFNA(_xlfn.XLOOKUP(B221,Table_Respons_Loket[Count],Table_Respons_Loket[Time Stamp]),"")</f>
        <v>45583.58128</v>
      </c>
      <c r="F221" s="18" t="str">
        <f t="array" ref="F221">IFNA(_xlfn.XLOOKUP(B221,Table_Respons_Loket[Count],Table_Respons_Loket[Jenis Permohonan]),"")</f>
        <v>BN Jual Beli</v>
      </c>
      <c r="G221" s="24"/>
      <c r="H221" s="12" t="s">
        <v>47</v>
      </c>
      <c r="I221" s="22" t="str">
        <f t="shared" si="7"/>
        <v/>
      </c>
      <c r="J221" s="20" t="b">
        <v>0</v>
      </c>
      <c r="K221" s="13" t="str">
        <f t="shared" si="2"/>
        <v/>
      </c>
    </row>
    <row r="222" ht="22.5" customHeight="1">
      <c r="B222" s="13">
        <f t="shared" si="3"/>
        <v>216</v>
      </c>
      <c r="C222" s="15" t="str">
        <f t="array" ref="C222">IFNA(_xlfn.XLOOKUP(B222,Table_Respons_Loket[Count],Table_Respons_Loket[Nomor Tiket]),"")</f>
        <v>K/24/181024/1</v>
      </c>
      <c r="D222" s="15" t="str">
        <f t="array" ref="D222">IFNA(_xlfn.XLOOKUP(B222,Table_Respons_Loket[Count],Table_Respons_Loket[Daftar Nomor Hak]),"")</f>
        <v>M. 1371/ Pengajaran</v>
      </c>
      <c r="E222" s="17">
        <f t="array" ref="E222">IFNA(_xlfn.XLOOKUP(B222,Table_Respons_Loket[Count],Table_Respons_Loket[Time Stamp]),"")</f>
        <v>45583.55507</v>
      </c>
      <c r="F222" s="18" t="str">
        <f t="array" ref="F222">IFNA(_xlfn.XLOOKUP(B222,Table_Respons_Loket[Count],Table_Respons_Loket[Jenis Permohonan]),"")</f>
        <v>BN Hibah</v>
      </c>
      <c r="G222" s="12" t="s">
        <v>48</v>
      </c>
      <c r="H222" s="12" t="s">
        <v>52</v>
      </c>
      <c r="I222" s="22">
        <f t="shared" si="7"/>
        <v>45586.48779</v>
      </c>
      <c r="J222" s="20" t="b">
        <v>0</v>
      </c>
      <c r="K222" s="13" t="str">
        <f t="shared" si="2"/>
        <v/>
      </c>
    </row>
    <row r="223" ht="22.5" customHeight="1">
      <c r="B223" s="13">
        <f t="shared" si="3"/>
        <v>217</v>
      </c>
      <c r="C223" s="15" t="str">
        <f t="array" ref="C223">IFNA(_xlfn.XLOOKUP(B223,Table_Respons_Loket[Count],Table_Respons_Loket[Nomor Tiket]),"")</f>
        <v>K/25/181024/1</v>
      </c>
      <c r="D223" s="15" t="str">
        <f t="array" ref="D223">IFNA(_xlfn.XLOOKUP(B223,Table_Respons_Loket[Count],Table_Respons_Loket[Daftar Nomor Hak]),"")</f>
        <v>M. 3996/ Rajabasa Jaya</v>
      </c>
      <c r="E223" s="17">
        <f t="array" ref="E223">IFNA(_xlfn.XLOOKUP(B223,Table_Respons_Loket[Count],Table_Respons_Loket[Time Stamp]),"")</f>
        <v>45583.58111</v>
      </c>
      <c r="F223" s="18" t="str">
        <f t="array" ref="F223">IFNA(_xlfn.XLOOKUP(B223,Table_Respons_Loket[Count],Table_Respons_Loket[Jenis Permohonan]),"")</f>
        <v>BN Jual Beli</v>
      </c>
      <c r="G223" s="12" t="s">
        <v>48</v>
      </c>
      <c r="H223" s="12" t="s">
        <v>52</v>
      </c>
      <c r="I223" s="22">
        <f t="shared" si="7"/>
        <v>45586.48779</v>
      </c>
      <c r="J223" s="20" t="b">
        <v>0</v>
      </c>
      <c r="K223" s="13" t="str">
        <f t="shared" si="2"/>
        <v/>
      </c>
    </row>
    <row r="224" ht="22.5" customHeight="1">
      <c r="B224" s="13">
        <f t="shared" si="3"/>
        <v>218</v>
      </c>
      <c r="C224" s="15" t="str">
        <f t="array" ref="C224">IFNA(_xlfn.XLOOKUP(B224,Table_Respons_Loket[Count],Table_Respons_Loket[Nomor Tiket]),"")</f>
        <v>K/26/181024/1</v>
      </c>
      <c r="D224" s="15" t="str">
        <f t="array" ref="D224">IFNA(_xlfn.XLOOKUP(B224,Table_Respons_Loket[Count],Table_Respons_Loket[Daftar Nomor Hak]),"")</f>
        <v>M. 114/ Tanjung Karang</v>
      </c>
      <c r="E224" s="17">
        <f t="array" ref="E224">IFNA(_xlfn.XLOOKUP(B224,Table_Respons_Loket[Count],Table_Respons_Loket[Time Stamp]),"")</f>
        <v>45583.58289</v>
      </c>
      <c r="F224" s="18" t="str">
        <f t="array" ref="F224">IFNA(_xlfn.XLOOKUP(B224,Table_Respons_Loket[Count],Table_Respons_Loket[Jenis Permohonan]),"")</f>
        <v>Gandes</v>
      </c>
      <c r="G224" s="12" t="s">
        <v>48</v>
      </c>
      <c r="H224" s="12" t="s">
        <v>52</v>
      </c>
      <c r="I224" s="22">
        <f t="shared" si="7"/>
        <v>45587.37996</v>
      </c>
      <c r="J224" s="20" t="b">
        <v>0</v>
      </c>
      <c r="K224" s="13" t="str">
        <f t="shared" si="2"/>
        <v/>
      </c>
    </row>
    <row r="225" ht="22.5" customHeight="1">
      <c r="B225" s="13">
        <f t="shared" si="3"/>
        <v>219</v>
      </c>
      <c r="C225" s="15" t="str">
        <f t="array" ref="C225">IFNA(_xlfn.XLOOKUP(B225,Table_Respons_Loket[Count],Table_Respons_Loket[Nomor Tiket]),"")</f>
        <v>K/27/181024/1</v>
      </c>
      <c r="D225" s="15" t="str">
        <f t="array" ref="D225">IFNA(_xlfn.XLOOKUP(B225,Table_Respons_Loket[Count],Table_Respons_Loket[Daftar Nomor Hak]),"")</f>
        <v>M. 193/ Palapa</v>
      </c>
      <c r="E225" s="17">
        <f t="array" ref="E225">IFNA(_xlfn.XLOOKUP(B225,Table_Respons_Loket[Count],Table_Respons_Loket[Time Stamp]),"")</f>
        <v>45583.58604</v>
      </c>
      <c r="F225" s="18" t="str">
        <f t="array" ref="F225">IFNA(_xlfn.XLOOKUP(B225,Table_Respons_Loket[Count],Table_Respons_Loket[Jenis Permohonan]),"")</f>
        <v>Pemecahan</v>
      </c>
      <c r="G225" s="12" t="s">
        <v>50</v>
      </c>
      <c r="H225" s="12" t="s">
        <v>52</v>
      </c>
      <c r="I225" s="22">
        <f t="shared" si="7"/>
        <v>45588.37888</v>
      </c>
      <c r="J225" s="20" t="b">
        <v>0</v>
      </c>
      <c r="K225" s="13" t="str">
        <f t="shared" si="2"/>
        <v/>
      </c>
    </row>
    <row r="226" ht="22.5" customHeight="1">
      <c r="B226" s="13">
        <f t="shared" si="3"/>
        <v>220</v>
      </c>
      <c r="C226" s="15" t="str">
        <f t="array" ref="C226">IFNA(_xlfn.XLOOKUP(B226,Table_Respons_Loket[Count],Table_Respons_Loket[Nomor Tiket]),"")</f>
        <v>K/28/181024/1</v>
      </c>
      <c r="D226" s="15" t="str">
        <f t="array" ref="D226">IFNA(_xlfn.XLOOKUP(B226,Table_Respons_Loket[Count],Table_Respons_Loket[Daftar Nomor Hak]),"")</f>
        <v>M. 690/ Sumur Putri dan SHT 4003/ 2013</v>
      </c>
      <c r="E226" s="17">
        <f t="array" ref="E226">IFNA(_xlfn.XLOOKUP(B226,Table_Respons_Loket[Count],Table_Respons_Loket[Time Stamp]),"")</f>
        <v>45583.59043</v>
      </c>
      <c r="F226" s="18" t="str">
        <f t="array" ref="F226">IFNA(_xlfn.XLOOKUP(B226,Table_Respons_Loket[Count],Table_Respons_Loket[Jenis Permohonan]),"")</f>
        <v>Roya</v>
      </c>
      <c r="G226" s="24"/>
      <c r="H226" s="12" t="s">
        <v>47</v>
      </c>
      <c r="I226" s="22" t="str">
        <f t="shared" si="7"/>
        <v/>
      </c>
      <c r="J226" s="20" t="b">
        <v>0</v>
      </c>
      <c r="K226" s="13" t="str">
        <f t="shared" si="2"/>
        <v/>
      </c>
    </row>
    <row r="227" ht="22.5" customHeight="1">
      <c r="B227" s="13">
        <f t="shared" si="3"/>
        <v>221</v>
      </c>
      <c r="C227" s="15" t="str">
        <f t="array" ref="C227">IFNA(_xlfn.XLOOKUP(B227,Table_Respons_Loket[Count],Table_Respons_Loket[Nomor Tiket]),"")</f>
        <v>K/29/181024/1</v>
      </c>
      <c r="D227" s="15" t="str">
        <f t="array" ref="D227">IFNA(_xlfn.XLOOKUP(B227,Table_Respons_Loket[Count],Table_Respons_Loket[Daftar Nomor Hak]),"")</f>
        <v>B. 02/ Gunung Mas</v>
      </c>
      <c r="E227" s="17">
        <f t="array" ref="E227">IFNA(_xlfn.XLOOKUP(B227,Table_Respons_Loket[Count],Table_Respons_Loket[Time Stamp]),"")</f>
        <v>45583.59796</v>
      </c>
      <c r="F227" s="18" t="str">
        <f t="array" ref="F227">IFNA(_xlfn.XLOOKUP(B227,Table_Respons_Loket[Count],Table_Respons_Loket[Jenis Permohonan]),"")</f>
        <v>Pengukuran Hgb Berakhir</v>
      </c>
      <c r="G227" s="24"/>
      <c r="H227" s="24"/>
      <c r="I227" s="22" t="str">
        <f t="shared" si="7"/>
        <v/>
      </c>
      <c r="J227" s="20" t="b">
        <v>0</v>
      </c>
      <c r="K227" s="13" t="str">
        <f t="shared" si="2"/>
        <v/>
      </c>
    </row>
    <row r="228" ht="22.5" customHeight="1">
      <c r="B228" s="13">
        <f t="shared" si="3"/>
        <v>222</v>
      </c>
      <c r="C228" s="15" t="str">
        <f t="array" ref="C228">IFNA(_xlfn.XLOOKUP(B228,Table_Respons_Loket[Count],Table_Respons_Loket[Nomor Tiket]),"")</f>
        <v>K/30/181024/1</v>
      </c>
      <c r="D228" s="15" t="str">
        <f t="array" ref="D228">IFNA(_xlfn.XLOOKUP(B228,Table_Respons_Loket[Count],Table_Respons_Loket[Daftar Nomor Hak]),"")</f>
        <v>M. 10206/ Segala Mider</v>
      </c>
      <c r="E228" s="17">
        <f t="array" ref="E228">IFNA(_xlfn.XLOOKUP(B228,Table_Respons_Loket[Count],Table_Respons_Loket[Time Stamp]),"")</f>
        <v>45583.59886</v>
      </c>
      <c r="F228" s="18" t="str">
        <f t="array" ref="F228">IFNA(_xlfn.XLOOKUP(B228,Table_Respons_Loket[Count],Table_Respons_Loket[Jenis Permohonan]),"")</f>
        <v>Plotting</v>
      </c>
      <c r="G228" s="24"/>
      <c r="H228" s="24"/>
      <c r="I228" s="22" t="str">
        <f t="shared" si="7"/>
        <v/>
      </c>
      <c r="J228" s="20" t="b">
        <v>0</v>
      </c>
      <c r="K228" s="13" t="str">
        <f t="shared" si="2"/>
        <v/>
      </c>
    </row>
    <row r="229" ht="22.5" customHeight="1">
      <c r="B229" s="13">
        <f t="shared" si="3"/>
        <v>223</v>
      </c>
      <c r="C229" s="15" t="str">
        <f t="array" ref="C229">IFNA(_xlfn.XLOOKUP(B229,Table_Respons_Loket[Count],Table_Respons_Loket[Nomor Tiket]),"")</f>
        <v>K/31/181024/2</v>
      </c>
      <c r="D229" s="15" t="str">
        <f t="array" ref="D229">IFNA(_xlfn.XLOOKUP(B229,Table_Respons_Loket[Count],Table_Respons_Loket[Daftar Nomor Hak]),"")</f>
        <v>M. 1134/ Sukamaju</v>
      </c>
      <c r="E229" s="17">
        <f t="array" ref="E229">IFNA(_xlfn.XLOOKUP(B229,Table_Respons_Loket[Count],Table_Respons_Loket[Time Stamp]),"")</f>
        <v>45583.60036</v>
      </c>
      <c r="F229" s="18" t="str">
        <f t="array" ref="F229">IFNA(_xlfn.XLOOKUP(B229,Table_Respons_Loket[Count],Table_Respons_Loket[Jenis Permohonan]),"")</f>
        <v>plotting</v>
      </c>
      <c r="G229" s="24"/>
      <c r="H229" s="24"/>
      <c r="I229" s="22" t="str">
        <f t="shared" si="7"/>
        <v/>
      </c>
      <c r="J229" s="20" t="b">
        <v>0</v>
      </c>
      <c r="K229" s="13" t="str">
        <f t="shared" si="2"/>
        <v/>
      </c>
    </row>
    <row r="230" ht="22.5" customHeight="1">
      <c r="B230" s="13">
        <f t="shared" si="3"/>
        <v>224</v>
      </c>
      <c r="C230" s="15" t="str">
        <f t="array" ref="C230">IFNA(_xlfn.XLOOKUP(B230,Table_Respons_Loket[Count],Table_Respons_Loket[Nomor Tiket]),"")</f>
        <v>K/32/181024/3</v>
      </c>
      <c r="D230" s="15" t="str">
        <f t="array" ref="D230">IFNA(_xlfn.XLOOKUP(B230,Table_Respons_Loket[Count],Table_Respons_Loket[Daftar Nomor Hak]),"")</f>
        <v>M. 2500/ Sumberejo kemiling</v>
      </c>
      <c r="E230" s="17">
        <f t="array" ref="E230">IFNA(_xlfn.XLOOKUP(B230,Table_Respons_Loket[Count],Table_Respons_Loket[Time Stamp]),"")</f>
        <v>45583.60464</v>
      </c>
      <c r="F230" s="18" t="str">
        <f t="array" ref="F230">IFNA(_xlfn.XLOOKUP(B230,Table_Respons_Loket[Count],Table_Respons_Loket[Jenis Permohonan]),"")</f>
        <v>plotting</v>
      </c>
      <c r="G230" s="24"/>
      <c r="H230" s="24"/>
      <c r="I230" s="22" t="str">
        <f t="shared" si="7"/>
        <v/>
      </c>
      <c r="J230" s="20" t="b">
        <v>0</v>
      </c>
      <c r="K230" s="13" t="str">
        <f t="shared" si="2"/>
        <v/>
      </c>
    </row>
    <row r="231" ht="22.5" customHeight="1">
      <c r="B231" s="13">
        <f t="shared" si="3"/>
        <v>225</v>
      </c>
      <c r="C231" s="15" t="str">
        <f t="array" ref="C231">IFNA(_xlfn.XLOOKUP(B231,Table_Respons_Loket[Count],Table_Respons_Loket[Nomor Tiket]),"")</f>
        <v>K/33/181024/1</v>
      </c>
      <c r="D231" s="15" t="str">
        <f t="array" ref="D231">IFNA(_xlfn.XLOOKUP(B231,Table_Respons_Loket[Count],Table_Respons_Loket[Daftar Nomor Hak]),"")</f>
        <v>M.3314/KOTA KARANG</v>
      </c>
      <c r="E231" s="17">
        <f t="array" ref="E231">IFNA(_xlfn.XLOOKUP(B231,Table_Respons_Loket[Count],Table_Respons_Loket[Time Stamp]),"")</f>
        <v>45583.60371</v>
      </c>
      <c r="F231" s="18" t="str">
        <f t="array" ref="F231">IFNA(_xlfn.XLOOKUP(B231,Table_Respons_Loket[Count],Table_Respons_Loket[Jenis Permohonan]),"")</f>
        <v>PERALIHAN JUAL BELI</v>
      </c>
      <c r="G231" s="12" t="s">
        <v>42</v>
      </c>
      <c r="H231" s="12" t="s">
        <v>52</v>
      </c>
      <c r="I231" s="22">
        <f t="shared" si="7"/>
        <v>45603.5929</v>
      </c>
      <c r="J231" s="20" t="b">
        <v>0</v>
      </c>
      <c r="K231" s="13" t="str">
        <f t="shared" si="2"/>
        <v/>
      </c>
    </row>
    <row r="232" ht="22.5" customHeight="1">
      <c r="B232" s="13">
        <f t="shared" si="3"/>
        <v>226</v>
      </c>
      <c r="C232" s="15" t="str">
        <f t="array" ref="C232">IFNA(_xlfn.XLOOKUP(B232,Table_Respons_Loket[Count],Table_Respons_Loket[Nomor Tiket]),"")</f>
        <v>K/34/181024/2</v>
      </c>
      <c r="D232" s="15" t="str">
        <f t="array" ref="D232">IFNA(_xlfn.XLOOKUP(B232,Table_Respons_Loket[Count],Table_Respons_Loket[Daftar Nomor Hak]),"")</f>
        <v>M.1552/PESAWAHAN</v>
      </c>
      <c r="E232" s="17">
        <f t="array" ref="E232">IFNA(_xlfn.XLOOKUP(B232,Table_Respons_Loket[Count],Table_Respons_Loket[Time Stamp]),"")</f>
        <v>45583.60546</v>
      </c>
      <c r="F232" s="18" t="str">
        <f t="array" ref="F232">IFNA(_xlfn.XLOOKUP(B232,Table_Respons_Loket[Count],Table_Respons_Loket[Jenis Permohonan]),"")</f>
        <v>PERALIHAN JUAL BELI</v>
      </c>
      <c r="G232" s="12" t="s">
        <v>48</v>
      </c>
      <c r="H232" s="12" t="s">
        <v>52</v>
      </c>
      <c r="I232" s="22">
        <f t="shared" si="7"/>
        <v>45586.48779</v>
      </c>
      <c r="J232" s="20" t="b">
        <v>0</v>
      </c>
      <c r="K232" s="13" t="str">
        <f t="shared" si="2"/>
        <v/>
      </c>
    </row>
    <row r="233" ht="22.5" customHeight="1">
      <c r="B233" s="13">
        <f t="shared" si="3"/>
        <v>227</v>
      </c>
      <c r="C233" s="15" t="str">
        <f t="array" ref="C233">IFNA(_xlfn.XLOOKUP(B233,Table_Respons_Loket[Count],Table_Respons_Loket[Nomor Tiket]),"")</f>
        <v>K/35/181024/1</v>
      </c>
      <c r="D233" s="15" t="str">
        <f t="array" ref="D233">IFNA(_xlfn.XLOOKUP(B233,Table_Respons_Loket[Count],Table_Respons_Loket[Daftar Nomor Hak]),"")</f>
        <v>B.936/JAGABAYA III-SEKARANG;B.1342/JAGABAYA II-DAHULU</v>
      </c>
      <c r="E233" s="17">
        <f t="array" ref="E233">IFNA(_xlfn.XLOOKUP(B233,Table_Respons_Loket[Count],Table_Respons_Loket[Time Stamp]),"")</f>
        <v>45583.6065</v>
      </c>
      <c r="F233" s="18" t="str">
        <f t="array" ref="F233">IFNA(_xlfn.XLOOKUP(B233,Table_Respons_Loket[Count],Table_Respons_Loket[Jenis Permohonan]),"")</f>
        <v>PENINGKATAN </v>
      </c>
      <c r="G233" s="12" t="s">
        <v>99</v>
      </c>
      <c r="H233" s="12" t="s">
        <v>52</v>
      </c>
      <c r="I233" s="22">
        <f t="shared" si="7"/>
        <v>45594.45217</v>
      </c>
      <c r="J233" s="20" t="b">
        <v>0</v>
      </c>
      <c r="K233" s="13" t="str">
        <f t="shared" si="2"/>
        <v/>
      </c>
    </row>
    <row r="234" ht="22.5" customHeight="1">
      <c r="B234" s="13">
        <f t="shared" si="3"/>
        <v>228</v>
      </c>
      <c r="C234" s="15" t="str">
        <f t="array" ref="C234">IFNA(_xlfn.XLOOKUP(B234,Table_Respons_Loket[Count],Table_Respons_Loket[Nomor Tiket]),"")</f>
        <v>K/36/181024/1</v>
      </c>
      <c r="D234" s="15" t="str">
        <f t="array" ref="D234">IFNA(_xlfn.XLOOKUP(B234,Table_Respons_Loket[Count],Table_Respons_Loket[Daftar Nomor Hak]),"")</f>
        <v>Nibel. M. 379/ Gunung Sulah</v>
      </c>
      <c r="E234" s="17">
        <f t="array" ref="E234">IFNA(_xlfn.XLOOKUP(B234,Table_Respons_Loket[Count],Table_Respons_Loket[Time Stamp]),"")</f>
        <v>45583.60827</v>
      </c>
      <c r="F234" s="18" t="str">
        <f t="array" ref="F234">IFNA(_xlfn.XLOOKUP(B234,Table_Respons_Loket[Count],Table_Respons_Loket[Jenis Permohonan]),"")</f>
        <v>BN Jual Beli</v>
      </c>
      <c r="G234" s="24"/>
      <c r="H234" s="24"/>
      <c r="I234" s="22" t="str">
        <f t="shared" si="7"/>
        <v/>
      </c>
      <c r="J234" s="20" t="b">
        <v>0</v>
      </c>
      <c r="K234" s="13" t="str">
        <f t="shared" si="2"/>
        <v/>
      </c>
    </row>
    <row r="235" ht="22.5" customHeight="1">
      <c r="B235" s="13">
        <f t="shared" si="3"/>
        <v>229</v>
      </c>
      <c r="C235" s="15" t="str">
        <f t="array" ref="C235">IFNA(_xlfn.XLOOKUP(B235,Table_Respons_Loket[Count],Table_Respons_Loket[Nomor Tiket]),"")</f>
        <v>K/37/181024/3</v>
      </c>
      <c r="D235" s="15" t="str">
        <f t="array" ref="D235">IFNA(_xlfn.XLOOKUP(B235,Table_Respons_Loket[Count],Table_Respons_Loket[Daftar Nomor Hak]),"")</f>
        <v>M.1593/BUMI KEDAMAIAN-SEKARANG;M.10186/KEDAMAIAN-DAHULU</v>
      </c>
      <c r="E235" s="17">
        <f t="array" ref="E235">IFNA(_xlfn.XLOOKUP(B235,Table_Respons_Loket[Count],Table_Respons_Loket[Time Stamp]),"")</f>
        <v>45583.61058</v>
      </c>
      <c r="F235" s="18" t="str">
        <f t="array" ref="F235">IFNA(_xlfn.XLOOKUP(B235,Table_Respons_Loket[Count],Table_Respons_Loket[Jenis Permohonan]),"")</f>
        <v>PERALIHAN JUAL BELI</v>
      </c>
      <c r="G235" s="12" t="s">
        <v>42</v>
      </c>
      <c r="H235" s="12" t="s">
        <v>52</v>
      </c>
      <c r="I235" s="22">
        <f t="shared" si="7"/>
        <v>45593.67755</v>
      </c>
      <c r="J235" s="20" t="b">
        <v>0</v>
      </c>
      <c r="K235" s="13" t="str">
        <f t="shared" si="2"/>
        <v/>
      </c>
    </row>
    <row r="236" ht="22.5" customHeight="1">
      <c r="B236" s="13">
        <f t="shared" si="3"/>
        <v>230</v>
      </c>
      <c r="C236" s="15" t="str">
        <f t="array" ref="C236">IFNA(_xlfn.XLOOKUP(B236,Table_Respons_Loket[Count],Table_Respons_Loket[Nomor Tiket]),"")</f>
        <v>K/38/181024/1</v>
      </c>
      <c r="D236" s="15" t="str">
        <f t="array" ref="D236">IFNA(_xlfn.XLOOKUP(B236,Table_Respons_Loket[Count],Table_Respons_Loket[Daftar Nomor Hak]),"")</f>
        <v>M. 370/ Korpri Raya-sekarang; M. 9602/ Sukarame I-dahulu</v>
      </c>
      <c r="E236" s="17">
        <f t="array" ref="E236">IFNA(_xlfn.XLOOKUP(B236,Table_Respons_Loket[Count],Table_Respons_Loket[Time Stamp]),"")</f>
        <v>45583.61317</v>
      </c>
      <c r="F236" s="18" t="str">
        <f t="array" ref="F236">IFNA(_xlfn.XLOOKUP(B236,Table_Respons_Loket[Count],Table_Respons_Loket[Jenis Permohonan]),"")</f>
        <v>BN Jual Beli</v>
      </c>
      <c r="G236" s="12" t="s">
        <v>48</v>
      </c>
      <c r="H236" s="12" t="s">
        <v>52</v>
      </c>
      <c r="I236" s="22">
        <f t="shared" si="7"/>
        <v>45586.48779</v>
      </c>
      <c r="J236" s="20" t="b">
        <v>0</v>
      </c>
      <c r="K236" s="13" t="str">
        <f t="shared" si="2"/>
        <v/>
      </c>
    </row>
    <row r="237" ht="22.5" customHeight="1">
      <c r="B237" s="13">
        <f t="shared" si="3"/>
        <v>231</v>
      </c>
      <c r="C237" s="15" t="str">
        <f t="array" ref="C237">IFNA(_xlfn.XLOOKUP(B237,Table_Respons_Loket[Count],Table_Respons_Loket[Nomor Tiket]),"")</f>
        <v>K/40/181024/1</v>
      </c>
      <c r="D237" s="15" t="str">
        <f t="array" ref="D237">IFNA(_xlfn.XLOOKUP(B237,Table_Respons_Loket[Count],Table_Respons_Loket[Daftar Nomor Hak]),"")</f>
        <v>Nibel. M. 816/ Durian Payung</v>
      </c>
      <c r="E237" s="17">
        <f t="array" ref="E237">IFNA(_xlfn.XLOOKUP(B237,Table_Respons_Loket[Count],Table_Respons_Loket[Time Stamp]),"")</f>
        <v>45583.61477</v>
      </c>
      <c r="F237" s="18" t="str">
        <f t="array" ref="F237">IFNA(_xlfn.XLOOKUP(B237,Table_Respons_Loket[Count],Table_Respons_Loket[Jenis Permohonan]),"")</f>
        <v>BN Jual beli</v>
      </c>
      <c r="G237" s="24"/>
      <c r="H237" s="24"/>
      <c r="I237" s="22" t="str">
        <f t="shared" si="7"/>
        <v/>
      </c>
      <c r="J237" s="20" t="b">
        <v>0</v>
      </c>
      <c r="K237" s="13" t="str">
        <f t="shared" si="2"/>
        <v/>
      </c>
    </row>
    <row r="238" ht="22.5" customHeight="1">
      <c r="B238" s="13">
        <f t="shared" si="3"/>
        <v>232</v>
      </c>
      <c r="C238" s="15" t="str">
        <f t="array" ref="C238">IFNA(_xlfn.XLOOKUP(B238,Table_Respons_Loket[Count],Table_Respons_Loket[Nomor Tiket]),"")</f>
        <v>K/39/181024/2</v>
      </c>
      <c r="D238" s="15" t="str">
        <f t="array" ref="D238">IFNA(_xlfn.XLOOKUP(B238,Table_Respons_Loket[Count],Table_Respons_Loket[Daftar Nomor Hak]),"")</f>
        <v>M. 37/ KUPANG TEBA</v>
      </c>
      <c r="E238" s="17">
        <f t="array" ref="E238">IFNA(_xlfn.XLOOKUP(B238,Table_Respons_Loket[Count],Table_Respons_Loket[Time Stamp]),"")</f>
        <v>45583.6158</v>
      </c>
      <c r="F238" s="18" t="str">
        <f t="array" ref="F238">IFNA(_xlfn.XLOOKUP(B238,Table_Respons_Loket[Count],Table_Respons_Loket[Jenis Permohonan]),"")</f>
        <v>ROYA</v>
      </c>
      <c r="G238" s="12" t="s">
        <v>48</v>
      </c>
      <c r="H238" s="12" t="s">
        <v>87</v>
      </c>
      <c r="I238" s="22">
        <f t="shared" si="7"/>
        <v>45586.48779</v>
      </c>
      <c r="J238" s="20" t="b">
        <v>1</v>
      </c>
      <c r="K238" s="17">
        <f t="shared" si="2"/>
        <v>45604.40424</v>
      </c>
    </row>
    <row r="239" ht="22.5" customHeight="1">
      <c r="B239" s="13">
        <f t="shared" si="3"/>
        <v>233</v>
      </c>
      <c r="C239" s="15" t="str">
        <f t="array" ref="C239">IFNA(_xlfn.XLOOKUP(B239,Table_Respons_Loket[Count],Table_Respons_Loket[Nomor Tiket]),"")</f>
        <v>K/41/181024/1</v>
      </c>
      <c r="D239" s="15" t="str">
        <f t="array" ref="D239">IFNA(_xlfn.XLOOKUP(B239,Table_Respons_Loket[Count],Table_Respons_Loket[Daftar Nomor Hak]),"")</f>
        <v>M. 1504/ Batu Putuk</v>
      </c>
      <c r="E239" s="17">
        <f t="array" ref="E239">IFNA(_xlfn.XLOOKUP(B239,Table_Respons_Loket[Count],Table_Respons_Loket[Time Stamp]),"")</f>
        <v>45583.62141</v>
      </c>
      <c r="F239" s="18" t="str">
        <f t="array" ref="F239">IFNA(_xlfn.XLOOKUP(B239,Table_Respons_Loket[Count],Table_Respons_Loket[Jenis Permohonan]),"")</f>
        <v>BN Jual Beli</v>
      </c>
      <c r="G239" s="12" t="s">
        <v>48</v>
      </c>
      <c r="H239" s="12" t="s">
        <v>52</v>
      </c>
      <c r="I239" s="22">
        <f t="shared" si="7"/>
        <v>45588.38544</v>
      </c>
      <c r="J239" s="20" t="b">
        <v>0</v>
      </c>
      <c r="K239" s="13" t="str">
        <f t="shared" si="2"/>
        <v/>
      </c>
    </row>
    <row r="240" ht="22.5" customHeight="1">
      <c r="B240" s="13">
        <f t="shared" si="3"/>
        <v>234</v>
      </c>
      <c r="C240" s="15" t="str">
        <f t="array" ref="C240">IFNA(_xlfn.XLOOKUP(B240,Table_Respons_Loket[Count],Table_Respons_Loket[Nomor Tiket]),"")</f>
        <v>K/43/181024/1</v>
      </c>
      <c r="D240" s="15" t="str">
        <f t="array" ref="D240">IFNA(_xlfn.XLOOKUP(B240,Table_Respons_Loket[Count],Table_Respons_Loket[Daftar Nomor Hak]),"")</f>
        <v>M. 3058/ Gunung Terang</v>
      </c>
      <c r="E240" s="17">
        <f t="array" ref="E240">IFNA(_xlfn.XLOOKUP(B240,Table_Respons_Loket[Count],Table_Respons_Loket[Time Stamp]),"")</f>
        <v>45583.62387</v>
      </c>
      <c r="F240" s="18" t="str">
        <f t="array" ref="F240">IFNA(_xlfn.XLOOKUP(B240,Table_Respons_Loket[Count],Table_Respons_Loket[Jenis Permohonan]),"")</f>
        <v>Hapus BPHTB</v>
      </c>
      <c r="G240" s="24"/>
      <c r="H240" s="24"/>
      <c r="I240" s="22" t="str">
        <f t="shared" si="7"/>
        <v/>
      </c>
      <c r="J240" s="20" t="b">
        <v>0</v>
      </c>
      <c r="K240" s="13" t="str">
        <f t="shared" si="2"/>
        <v/>
      </c>
    </row>
    <row r="241" ht="22.5" customHeight="1">
      <c r="B241" s="13">
        <f t="shared" si="3"/>
        <v>235</v>
      </c>
      <c r="C241" s="15" t="str">
        <f t="array" ref="C241">IFNA(_xlfn.XLOOKUP(B241,Table_Respons_Loket[Count],Table_Respons_Loket[Nomor Tiket]),"")</f>
        <v>K/45/181024/1</v>
      </c>
      <c r="D241" s="15" t="str">
        <f t="array" ref="D241">IFNA(_xlfn.XLOOKUP(B241,Table_Respons_Loket[Count],Table_Respons_Loket[Daftar Nomor Hak]),"")</f>
        <v>M.2473/RAJABASA JAYA</v>
      </c>
      <c r="E241" s="17">
        <f t="array" ref="E241">IFNA(_xlfn.XLOOKUP(B241,Table_Respons_Loket[Count],Table_Respons_Loket[Time Stamp]),"")</f>
        <v>45583.62462</v>
      </c>
      <c r="F241" s="18" t="str">
        <f t="array" ref="F241">IFNA(_xlfn.XLOOKUP(B241,Table_Respons_Loket[Count],Table_Respons_Loket[Jenis Permohonan]),"")</f>
        <v>KEWARISAN</v>
      </c>
      <c r="G241" s="12" t="s">
        <v>99</v>
      </c>
      <c r="H241" s="12" t="s">
        <v>52</v>
      </c>
      <c r="I241" s="22">
        <f t="shared" si="7"/>
        <v>45587.37665</v>
      </c>
      <c r="J241" s="20" t="b">
        <v>0</v>
      </c>
      <c r="K241" s="13" t="str">
        <f t="shared" si="2"/>
        <v/>
      </c>
    </row>
    <row r="242" ht="22.5" customHeight="1">
      <c r="B242" s="13">
        <f t="shared" si="3"/>
        <v>236</v>
      </c>
      <c r="C242" s="15" t="str">
        <f t="array" ref="C242">IFNA(_xlfn.XLOOKUP(B242,Table_Respons_Loket[Count],Table_Respons_Loket[Nomor Tiket]),"")</f>
        <v>K/42/181024/2</v>
      </c>
      <c r="D242" s="15" t="str">
        <f t="array" ref="D242">IFNA(_xlfn.XLOOKUP(B242,Table_Respons_Loket[Count],Table_Respons_Loket[Daftar Nomor Hak]),"")</f>
        <v>M. 1938/ Kupang Kota</v>
      </c>
      <c r="E242" s="17">
        <f t="array" ref="E242">IFNA(_xlfn.XLOOKUP(B242,Table_Respons_Loket[Count],Table_Respons_Loket[Time Stamp]),"")</f>
        <v>45583.62509</v>
      </c>
      <c r="F242" s="18" t="str">
        <f t="array" ref="F242">IFNA(_xlfn.XLOOKUP(B242,Table_Respons_Loket[Count],Table_Respons_Loket[Jenis Permohonan]),"")</f>
        <v>BN PHB</v>
      </c>
      <c r="G242" s="12" t="s">
        <v>42</v>
      </c>
      <c r="H242" s="12" t="s">
        <v>52</v>
      </c>
      <c r="I242" s="22">
        <f t="shared" si="7"/>
        <v>45596.46256</v>
      </c>
      <c r="J242" s="20" t="b">
        <v>0</v>
      </c>
      <c r="K242" s="13" t="str">
        <f t="shared" si="2"/>
        <v/>
      </c>
    </row>
    <row r="243" ht="22.5" customHeight="1">
      <c r="B243" s="13">
        <f t="shared" si="3"/>
        <v>237</v>
      </c>
      <c r="C243" s="15" t="str">
        <f t="array" ref="C243">IFNA(_xlfn.XLOOKUP(B243,Table_Respons_Loket[Count],Table_Respons_Loket[Nomor Tiket]),"")</f>
        <v>K/46/181024/2</v>
      </c>
      <c r="D243" s="15" t="str">
        <f t="array" ref="D243">IFNA(_xlfn.XLOOKUP(B243,Table_Respons_Loket[Count],Table_Respons_Loket[Daftar Nomor Hak]),"")</f>
        <v>M.598/GUNUNG TERANG</v>
      </c>
      <c r="E243" s="17">
        <f t="array" ref="E243">IFNA(_xlfn.XLOOKUP(B243,Table_Respons_Loket[Count],Table_Respons_Loket[Time Stamp]),"")</f>
        <v>45583.62552</v>
      </c>
      <c r="F243" s="18" t="str">
        <f t="array" ref="F243">IFNA(_xlfn.XLOOKUP(B243,Table_Respons_Loket[Count],Table_Respons_Loket[Jenis Permohonan]),"")</f>
        <v>KEWARISAN</v>
      </c>
      <c r="G243" s="12" t="s">
        <v>99</v>
      </c>
      <c r="H243" s="12" t="s">
        <v>52</v>
      </c>
      <c r="I243" s="22">
        <f t="shared" si="7"/>
        <v>45587.37703</v>
      </c>
      <c r="J243" s="20" t="b">
        <v>0</v>
      </c>
      <c r="K243" s="13" t="str">
        <f t="shared" si="2"/>
        <v/>
      </c>
    </row>
    <row r="244" ht="22.5" customHeight="1">
      <c r="B244" s="13">
        <f t="shared" si="3"/>
        <v>238</v>
      </c>
      <c r="C244" s="15" t="str">
        <f t="array" ref="C244">IFNA(_xlfn.XLOOKUP(B244,Table_Respons_Loket[Count],Table_Respons_Loket[Nomor Tiket]),"")</f>
        <v>K/47/181024/3</v>
      </c>
      <c r="D244" s="15" t="str">
        <f t="array" ref="D244">IFNA(_xlfn.XLOOKUP(B244,Table_Respons_Loket[Count],Table_Respons_Loket[Daftar Nomor Hak]),"")</f>
        <v>M.1297/GUNUNG TERANG</v>
      </c>
      <c r="E244" s="17">
        <f t="array" ref="E244">IFNA(_xlfn.XLOOKUP(B244,Table_Respons_Loket[Count],Table_Respons_Loket[Time Stamp]),"")</f>
        <v>45583.62611</v>
      </c>
      <c r="F244" s="18" t="str">
        <f t="array" ref="F244">IFNA(_xlfn.XLOOKUP(B244,Table_Respons_Loket[Count],Table_Respons_Loket[Jenis Permohonan]),"")</f>
        <v>KEWARISAN</v>
      </c>
      <c r="G244" s="12" t="s">
        <v>366</v>
      </c>
      <c r="H244" s="12" t="s">
        <v>52</v>
      </c>
      <c r="I244" s="22">
        <f t="shared" si="7"/>
        <v>45587.37682</v>
      </c>
      <c r="J244" s="20" t="b">
        <v>0</v>
      </c>
      <c r="K244" s="13" t="str">
        <f t="shared" si="2"/>
        <v/>
      </c>
    </row>
    <row r="245" ht="22.5" customHeight="1">
      <c r="B245" s="13">
        <f t="shared" si="3"/>
        <v>239</v>
      </c>
      <c r="C245" s="15" t="str">
        <f t="array" ref="C245">IFNA(_xlfn.XLOOKUP(B245,Table_Respons_Loket[Count],Table_Respons_Loket[Nomor Tiket]),"")</f>
        <v>K/48/181024/4</v>
      </c>
      <c r="D245" s="15" t="str">
        <f t="array" ref="D245">IFNA(_xlfn.XLOOKUP(B245,Table_Respons_Loket[Count],Table_Respons_Loket[Daftar Nomor Hak]),"")</f>
        <v>M.9733/SURABAYA-SEKARANG;B.249/SURABAYA-DAHULU</v>
      </c>
      <c r="E245" s="17">
        <f t="array" ref="E245">IFNA(_xlfn.XLOOKUP(B245,Table_Respons_Loket[Count],Table_Respons_Loket[Time Stamp]),"")</f>
        <v>45583.62718</v>
      </c>
      <c r="F245" s="18" t="str">
        <f t="array" ref="F245">IFNA(_xlfn.XLOOKUP(B245,Table_Respons_Loket[Count],Table_Respons_Loket[Jenis Permohonan]),"")</f>
        <v>ROYA LELANG</v>
      </c>
      <c r="G245" s="12" t="s">
        <v>366</v>
      </c>
      <c r="H245" s="12" t="s">
        <v>52</v>
      </c>
      <c r="I245" s="22">
        <f t="shared" si="7"/>
        <v>45587.37644</v>
      </c>
      <c r="J245" s="20" t="b">
        <v>0</v>
      </c>
      <c r="K245" s="13" t="str">
        <f t="shared" si="2"/>
        <v/>
      </c>
    </row>
    <row r="246" ht="22.5" customHeight="1">
      <c r="B246" s="13">
        <f t="shared" si="3"/>
        <v>240</v>
      </c>
      <c r="C246" s="15" t="str">
        <f t="array" ref="C246">IFNA(_xlfn.XLOOKUP(B246,Table_Respons_Loket[Count],Table_Respons_Loket[Nomor Tiket]),"")</f>
        <v>K/44/181024/2</v>
      </c>
      <c r="D246" s="15" t="str">
        <f t="array" ref="D246">IFNA(_xlfn.XLOOKUP(B246,Table_Respons_Loket[Count],Table_Respons_Loket[Daftar Nomor Hak]),"")</f>
        <v>Nibel. B. 2430/ Kemiling Permai</v>
      </c>
      <c r="E246" s="17">
        <f t="array" ref="E246">IFNA(_xlfn.XLOOKUP(B246,Table_Respons_Loket[Count],Table_Respons_Loket[Time Stamp]),"")</f>
        <v>45583.62854</v>
      </c>
      <c r="F246" s="18" t="str">
        <f t="array" ref="F246">IFNA(_xlfn.XLOOKUP(B246,Table_Respons_Loket[Count],Table_Respons_Loket[Jenis Permohonan]),"")</f>
        <v>Perubahan Hak</v>
      </c>
      <c r="G246" s="24"/>
      <c r="H246" s="24"/>
      <c r="I246" s="22" t="str">
        <f t="shared" si="7"/>
        <v/>
      </c>
      <c r="J246" s="20" t="b">
        <v>0</v>
      </c>
      <c r="K246" s="13" t="str">
        <f t="shared" si="2"/>
        <v/>
      </c>
    </row>
    <row r="247" ht="22.5" customHeight="1">
      <c r="B247" s="13">
        <f t="shared" si="3"/>
        <v>241</v>
      </c>
      <c r="C247" s="15" t="str">
        <f t="array" ref="C247">IFNA(_xlfn.XLOOKUP(B247,Table_Respons_Loket[Count],Table_Respons_Loket[Nomor Tiket]),"")</f>
        <v>K/49/181024/4</v>
      </c>
      <c r="D247" s="15" t="str">
        <f t="array" ref="D247">IFNA(_xlfn.XLOOKUP(B247,Table_Respons_Loket[Count],Table_Respons_Loket[Daftar Nomor Hak]),"")</f>
        <v>M.2892/SUKARAME BARU-SEKARANG;B.3671/SUKARAME I-DAHULU</v>
      </c>
      <c r="E247" s="17">
        <f t="array" ref="E247">IFNA(_xlfn.XLOOKUP(B247,Table_Respons_Loket[Count],Table_Respons_Loket[Time Stamp]),"")</f>
        <v>45583.63186</v>
      </c>
      <c r="F247" s="18" t="str">
        <f t="array" ref="F247">IFNA(_xlfn.XLOOKUP(B247,Table_Respons_Loket[Count],Table_Respons_Loket[Jenis Permohonan]),"")</f>
        <v>PERALIHAN HAK</v>
      </c>
      <c r="G247" s="12" t="s">
        <v>48</v>
      </c>
      <c r="H247" s="12" t="s">
        <v>87</v>
      </c>
      <c r="I247" s="22">
        <f t="shared" si="7"/>
        <v>45586.48779</v>
      </c>
      <c r="J247" s="20" t="b">
        <v>0</v>
      </c>
      <c r="K247" s="13" t="str">
        <f t="shared" si="2"/>
        <v/>
      </c>
    </row>
    <row r="248" ht="22.5" customHeight="1">
      <c r="B248" s="13">
        <f t="shared" si="3"/>
        <v>242</v>
      </c>
      <c r="C248" s="15" t="str">
        <f t="array" ref="C248">IFNA(_xlfn.XLOOKUP(B248,Table_Respons_Loket[Count],Table_Respons_Loket[Nomor Tiket]),"")</f>
        <v>L/50/191024/1</v>
      </c>
      <c r="D248" s="15" t="str">
        <f t="array" ref="D248">IFNA(_xlfn.XLOOKUP(B248,Table_Respons_Loket[Count],Table_Respons_Loket[Daftar Nomor Hak]),"")</f>
        <v>M.3937/WAY KANDIS</v>
      </c>
      <c r="E248" s="17">
        <f t="array" ref="E248">IFNA(_xlfn.XLOOKUP(B248,Table_Respons_Loket[Count],Table_Respons_Loket[Time Stamp]),"")</f>
        <v>45584.3949</v>
      </c>
      <c r="F248" s="18" t="str">
        <f t="array" ref="F248">IFNA(_xlfn.XLOOKUP(B248,Table_Respons_Loket[Count],Table_Respons_Loket[Jenis Permohonan]),"")</f>
        <v>ROYA</v>
      </c>
      <c r="G248" s="24"/>
      <c r="H248" s="12" t="s">
        <v>47</v>
      </c>
      <c r="I248" s="22" t="str">
        <f t="shared" si="7"/>
        <v/>
      </c>
      <c r="J248" s="20" t="b">
        <v>0</v>
      </c>
      <c r="K248" s="13" t="str">
        <f t="shared" si="2"/>
        <v/>
      </c>
    </row>
    <row r="249" ht="22.5" customHeight="1">
      <c r="B249" s="13">
        <f t="shared" si="3"/>
        <v>243</v>
      </c>
      <c r="C249" s="15" t="str">
        <f t="array" ref="C249">IFNA(_xlfn.XLOOKUP(B249,Table_Respons_Loket[Count],Table_Respons_Loket[Nomor Tiket]),"")</f>
        <v>L/52/191024/1</v>
      </c>
      <c r="D249" s="15" t="str">
        <f t="array" ref="D249">IFNA(_xlfn.XLOOKUP(B249,Table_Respons_Loket[Count],Table_Respons_Loket[Daftar Nomor Hak]),"")</f>
        <v>M.9013/GEDONGMENENG</v>
      </c>
      <c r="E249" s="17">
        <f t="array" ref="E249">IFNA(_xlfn.XLOOKUP(B249,Table_Respons_Loket[Count],Table_Respons_Loket[Time Stamp]),"")</f>
        <v>45584.43304</v>
      </c>
      <c r="F249" s="18" t="str">
        <f t="array" ref="F249">IFNA(_xlfn.XLOOKUP(B249,Table_Respons_Loket[Count],Table_Respons_Loket[Jenis Permohonan]),"")</f>
        <v>GANDES</v>
      </c>
      <c r="G249" s="24"/>
      <c r="H249" s="24"/>
      <c r="I249" s="22" t="str">
        <f t="shared" si="7"/>
        <v/>
      </c>
      <c r="J249" s="20" t="b">
        <v>0</v>
      </c>
      <c r="K249" s="13" t="str">
        <f t="shared" si="2"/>
        <v/>
      </c>
    </row>
    <row r="250" ht="22.5" customHeight="1">
      <c r="B250" s="13">
        <f t="shared" si="3"/>
        <v>244</v>
      </c>
      <c r="C250" s="15" t="str">
        <f t="array" ref="C250">IFNA(_xlfn.XLOOKUP(B250,Table_Respons_Loket[Count],Table_Respons_Loket[Nomor Tiket]),"")</f>
        <v>L/53/191024/1</v>
      </c>
      <c r="D250" s="15" t="str">
        <f t="array" ref="D250">IFNA(_xlfn.XLOOKUP(B250,Table_Respons_Loket[Count],Table_Respons_Loket[Daftar Nomor Hak]),"")</f>
        <v>M.13681/LABUHAN RATU</v>
      </c>
      <c r="E250" s="17">
        <f t="array" ref="E250">IFNA(_xlfn.XLOOKUP(B250,Table_Respons_Loket[Count],Table_Respons_Loket[Time Stamp]),"")</f>
        <v>45584.43982</v>
      </c>
      <c r="F250" s="18" t="str">
        <f t="array" ref="F250">IFNA(_xlfn.XLOOKUP(B250,Table_Respons_Loket[Count],Table_Respons_Loket[Jenis Permohonan]),"")</f>
        <v>CEKPLOT GANTI BLANGKO LAMA</v>
      </c>
      <c r="G250" s="24"/>
      <c r="H250" s="24"/>
      <c r="I250" s="22" t="str">
        <f t="shared" si="7"/>
        <v/>
      </c>
      <c r="J250" s="20" t="b">
        <v>0</v>
      </c>
      <c r="K250" s="13" t="str">
        <f t="shared" si="2"/>
        <v/>
      </c>
    </row>
    <row r="251" ht="22.5" customHeight="1">
      <c r="B251" s="13">
        <f t="shared" si="3"/>
        <v>245</v>
      </c>
      <c r="C251" s="15" t="str">
        <f t="array" ref="C251">IFNA(_xlfn.XLOOKUP(B251,Table_Respons_Loket[Count],Table_Respons_Loket[Nomor Tiket]),"")</f>
        <v>K/1/211024/1</v>
      </c>
      <c r="D251" s="15" t="str">
        <f t="array" ref="D251">IFNA(_xlfn.XLOOKUP(B251,Table_Respons_Loket[Count],Table_Respons_Loket[Daftar Nomor Hak]),"")</f>
        <v>B. 1370/ Kemiling Permai; B. 1441/ Su K</v>
      </c>
      <c r="E251" s="17">
        <f t="array" ref="E251">IFNA(_xlfn.XLOOKUP(B251,Table_Respons_Loket[Count],Table_Respons_Loket[Time Stamp]),"")</f>
        <v>45586.36776</v>
      </c>
      <c r="F251" s="18" t="str">
        <f t="array" ref="F251">IFNA(_xlfn.XLOOKUP(B251,Table_Respons_Loket[Count],Table_Respons_Loket[Jenis Permohonan]),"")</f>
        <v>Perubahan Hak</v>
      </c>
      <c r="G251" s="24"/>
      <c r="H251" s="24"/>
      <c r="I251" s="22" t="str">
        <f t="shared" si="7"/>
        <v/>
      </c>
      <c r="J251" s="20" t="b">
        <v>0</v>
      </c>
      <c r="K251" s="13" t="str">
        <f t="shared" si="2"/>
        <v/>
      </c>
    </row>
    <row r="252" ht="22.5" customHeight="1">
      <c r="B252" s="13">
        <f t="shared" si="3"/>
        <v>246</v>
      </c>
      <c r="C252" s="15" t="str">
        <f t="array" ref="C252">IFNA(_xlfn.XLOOKUP(B252,Table_Respons_Loket[Count],Table_Respons_Loket[Nomor Tiket]),"")</f>
        <v>K/3/211024/1</v>
      </c>
      <c r="D252" s="15" t="str">
        <f t="array" ref="D252">IFNA(_xlfn.XLOOKUP(B252,Table_Respons_Loket[Count],Table_Respons_Loket[Daftar Nomor Hak]),"")</f>
        <v>B.530/CAMPANG JAYA</v>
      </c>
      <c r="E252" s="17">
        <f t="array" ref="E252">IFNA(_xlfn.XLOOKUP(B252,Table_Respons_Loket[Count],Table_Respons_Loket[Time Stamp]),"")</f>
        <v>45586.38951</v>
      </c>
      <c r="F252" s="18" t="str">
        <f t="array" ref="F252">IFNA(_xlfn.XLOOKUP(B252,Table_Respons_Loket[Count],Table_Respons_Loket[Jenis Permohonan]),"")</f>
        <v>PENINGKATAN HAK</v>
      </c>
      <c r="G252" s="12" t="s">
        <v>50</v>
      </c>
      <c r="H252" s="12" t="s">
        <v>52</v>
      </c>
      <c r="I252" s="22">
        <f t="shared" si="7"/>
        <v>45587.41103</v>
      </c>
      <c r="J252" s="20" t="b">
        <v>0</v>
      </c>
      <c r="K252" s="13" t="str">
        <f t="shared" si="2"/>
        <v/>
      </c>
    </row>
    <row r="253" ht="22.5" customHeight="1">
      <c r="B253" s="13">
        <f t="shared" si="3"/>
        <v>247</v>
      </c>
      <c r="C253" s="15" t="str">
        <f t="array" ref="C253">IFNA(_xlfn.XLOOKUP(B253,Table_Respons_Loket[Count],Table_Respons_Loket[Nomor Tiket]),"")</f>
        <v>K/4/211024/1</v>
      </c>
      <c r="D253" s="15" t="str">
        <f t="array" ref="D253">IFNA(_xlfn.XLOOKUP(B253,Table_Respons_Loket[Count],Table_Respons_Loket[Daftar Nomor Hak]),"")</f>
        <v>B. 327/ Labuhan Ratu</v>
      </c>
      <c r="E253" s="17">
        <f t="array" ref="E253">IFNA(_xlfn.XLOOKUP(B253,Table_Respons_Loket[Count],Table_Respons_Loket[Time Stamp]),"")</f>
        <v>45586.41575</v>
      </c>
      <c r="F253" s="18" t="str">
        <f t="array" ref="F253">IFNA(_xlfn.XLOOKUP(B253,Table_Respons_Loket[Count],Table_Respons_Loket[Jenis Permohonan]),"")</f>
        <v>Gandes</v>
      </c>
      <c r="G253" s="24"/>
      <c r="H253" s="24"/>
      <c r="I253" s="22" t="str">
        <f t="shared" si="7"/>
        <v/>
      </c>
      <c r="J253" s="20" t="b">
        <v>0</v>
      </c>
      <c r="K253" s="13" t="str">
        <f t="shared" si="2"/>
        <v/>
      </c>
    </row>
    <row r="254" ht="22.5" customHeight="1">
      <c r="B254" s="13">
        <f t="shared" si="3"/>
        <v>248</v>
      </c>
      <c r="C254" s="15" t="str">
        <f t="array" ref="C254">IFNA(_xlfn.XLOOKUP(B254,Table_Respons_Loket[Count],Table_Respons_Loket[Nomor Tiket]),"")</f>
        <v>K/5/211024/2</v>
      </c>
      <c r="D254" s="15" t="str">
        <f t="array" ref="D254">IFNA(_xlfn.XLOOKUP(B254,Table_Respons_Loket[Count],Table_Respons_Loket[Daftar Nomor Hak]),"")</f>
        <v>B. 324/ Labuhan Ratu</v>
      </c>
      <c r="E254" s="17">
        <f t="array" ref="E254">IFNA(_xlfn.XLOOKUP(B254,Table_Respons_Loket[Count],Table_Respons_Loket[Time Stamp]),"")</f>
        <v>45586.41636</v>
      </c>
      <c r="F254" s="18" t="str">
        <f t="array" ref="F254">IFNA(_xlfn.XLOOKUP(B254,Table_Respons_Loket[Count],Table_Respons_Loket[Jenis Permohonan]),"")</f>
        <v>Gandes</v>
      </c>
      <c r="G254" s="24"/>
      <c r="H254" s="24"/>
      <c r="I254" s="22" t="str">
        <f t="shared" si="7"/>
        <v/>
      </c>
      <c r="J254" s="20" t="b">
        <v>0</v>
      </c>
      <c r="K254" s="13" t="str">
        <f t="shared" si="2"/>
        <v/>
      </c>
    </row>
    <row r="255" ht="22.5" customHeight="1">
      <c r="B255" s="13">
        <f t="shared" si="3"/>
        <v>249</v>
      </c>
      <c r="C255" s="15" t="str">
        <f t="array" ref="C255">IFNA(_xlfn.XLOOKUP(B255,Table_Respons_Loket[Count],Table_Respons_Loket[Nomor Tiket]),"")</f>
        <v>K/6/211024/3</v>
      </c>
      <c r="D255" s="15" t="str">
        <f t="array" ref="D255">IFNA(_xlfn.XLOOKUP(B255,Table_Respons_Loket[Count],Table_Respons_Loket[Daftar Nomor Hak]),"")</f>
        <v>B. 326/ Labuhan Ratu</v>
      </c>
      <c r="E255" s="17">
        <f t="array" ref="E255">IFNA(_xlfn.XLOOKUP(B255,Table_Respons_Loket[Count],Table_Respons_Loket[Time Stamp]),"")</f>
        <v>45586.41707</v>
      </c>
      <c r="F255" s="18" t="str">
        <f t="array" ref="F255">IFNA(_xlfn.XLOOKUP(B255,Table_Respons_Loket[Count],Table_Respons_Loket[Jenis Permohonan]),"")</f>
        <v>Gandes</v>
      </c>
      <c r="G255" s="24"/>
      <c r="H255" s="24"/>
      <c r="I255" s="22" t="str">
        <f t="shared" si="7"/>
        <v/>
      </c>
      <c r="J255" s="20" t="b">
        <v>0</v>
      </c>
      <c r="K255" s="13" t="str">
        <f t="shared" si="2"/>
        <v/>
      </c>
    </row>
    <row r="256" ht="22.5" customHeight="1">
      <c r="B256" s="13">
        <f t="shared" si="3"/>
        <v>250</v>
      </c>
      <c r="C256" s="15" t="str">
        <f t="array" ref="C256">IFNA(_xlfn.XLOOKUP(B256,Table_Respons_Loket[Count],Table_Respons_Loket[Nomor Tiket]),"")</f>
        <v>L/7/211024/1</v>
      </c>
      <c r="D256" s="15" t="str">
        <f t="array" ref="D256">IFNA(_xlfn.XLOOKUP(B256,Table_Respons_Loket[Count],Table_Respons_Loket[Daftar Nomor Hak]),"")</f>
        <v>NIB 08010000029980/WAY GUBAK</v>
      </c>
      <c r="E256" s="17">
        <f t="array" ref="E256">IFNA(_xlfn.XLOOKUP(B256,Table_Respons_Loket[Count],Table_Respons_Loket[Time Stamp]),"")</f>
        <v>45586.42434</v>
      </c>
      <c r="F256" s="18" t="str">
        <f t="array" ref="F256">IFNA(_xlfn.XLOOKUP(B256,Table_Respons_Loket[Count],Table_Respons_Loket[Jenis Permohonan]),"")</f>
        <v>BALIK NAMA LELANG</v>
      </c>
      <c r="G256" s="24"/>
      <c r="H256" s="24"/>
      <c r="I256" s="22" t="str">
        <f t="shared" si="7"/>
        <v/>
      </c>
      <c r="J256" s="20" t="b">
        <v>0</v>
      </c>
      <c r="K256" s="13" t="str">
        <f t="shared" si="2"/>
        <v/>
      </c>
    </row>
    <row r="257" ht="22.5" customHeight="1">
      <c r="B257" s="13">
        <f t="shared" si="3"/>
        <v>251</v>
      </c>
      <c r="C257" s="15" t="str">
        <f t="array" ref="C257">IFNA(_xlfn.XLOOKUP(B257,Table_Respons_Loket[Count],Table_Respons_Loket[Nomor Tiket]),"")</f>
        <v>L/8/211024/1</v>
      </c>
      <c r="D257" s="15" t="str">
        <f t="array" ref="D257">IFNA(_xlfn.XLOOKUP(B257,Table_Respons_Loket[Count],Table_Respons_Loket[Daftar Nomor Hak]),"")</f>
        <v>HM 15995/SUKARAME I</v>
      </c>
      <c r="E257" s="17">
        <f t="array" ref="E257">IFNA(_xlfn.XLOOKUP(B257,Table_Respons_Loket[Count],Table_Respons_Loket[Time Stamp]),"")</f>
        <v>45586.42848</v>
      </c>
      <c r="F257" s="18" t="str">
        <f t="array" ref="F257">IFNA(_xlfn.XLOOKUP(B257,Table_Respons_Loket[Count],Table_Respons_Loket[Jenis Permohonan]),"")</f>
        <v>ROYA</v>
      </c>
      <c r="G257" s="12" t="s">
        <v>50</v>
      </c>
      <c r="H257" s="12" t="s">
        <v>52</v>
      </c>
      <c r="I257" s="22">
        <f t="shared" si="7"/>
        <v>45587.41164</v>
      </c>
      <c r="J257" s="20" t="b">
        <v>0</v>
      </c>
      <c r="K257" s="13" t="str">
        <f t="shared" si="2"/>
        <v/>
      </c>
    </row>
    <row r="258" ht="22.5" customHeight="1">
      <c r="B258" s="13">
        <f t="shared" si="3"/>
        <v>252</v>
      </c>
      <c r="C258" s="15" t="str">
        <f t="array" ref="C258">IFNA(_xlfn.XLOOKUP(B258,Table_Respons_Loket[Count],Table_Respons_Loket[Nomor Tiket]),"")</f>
        <v>L/9/211024/1</v>
      </c>
      <c r="D258" s="15" t="str">
        <f t="array" ref="D258">IFNA(_xlfn.XLOOKUP(B258,Table_Respons_Loket[Count],Table_Respons_Loket[Daftar Nomor Hak]),"")</f>
        <v>HM 2993/CAMPANG RAYA-SEKARANG;HGB 2402/CAMPANG RAYA-DAHULU</v>
      </c>
      <c r="E258" s="17">
        <f t="array" ref="E258">IFNA(_xlfn.XLOOKUP(B258,Table_Respons_Loket[Count],Table_Respons_Loket[Time Stamp]),"")</f>
        <v>45586.43353</v>
      </c>
      <c r="F258" s="18" t="str">
        <f t="array" ref="F258">IFNA(_xlfn.XLOOKUP(B258,Table_Respons_Loket[Count],Table_Respons_Loket[Jenis Permohonan]),"")</f>
        <v>ROYA</v>
      </c>
      <c r="G258" s="12" t="s">
        <v>50</v>
      </c>
      <c r="H258" s="12" t="s">
        <v>52</v>
      </c>
      <c r="I258" s="22">
        <f t="shared" si="7"/>
        <v>45587.41191</v>
      </c>
      <c r="J258" s="20" t="b">
        <v>0</v>
      </c>
      <c r="K258" s="13" t="str">
        <f t="shared" si="2"/>
        <v/>
      </c>
    </row>
    <row r="259" ht="22.5" customHeight="1">
      <c r="B259" s="13">
        <f t="shared" si="3"/>
        <v>253</v>
      </c>
      <c r="C259" s="15" t="str">
        <f t="array" ref="C259">IFNA(_xlfn.XLOOKUP(B259,Table_Respons_Loket[Count],Table_Respons_Loket[Nomor Tiket]),"")</f>
        <v>K/10/211024/1</v>
      </c>
      <c r="D259" s="15" t="str">
        <f t="array" ref="D259">IFNA(_xlfn.XLOOKUP(B259,Table_Respons_Loket[Count],Table_Respons_Loket[Daftar Nomor Hak]),"")</f>
        <v>B. 606/ Sumur Putri</v>
      </c>
      <c r="E259" s="17">
        <f t="array" ref="E259">IFNA(_xlfn.XLOOKUP(B259,Table_Respons_Loket[Count],Table_Respons_Loket[Time Stamp]),"")</f>
        <v>45586.43606</v>
      </c>
      <c r="F259" s="18" t="str">
        <f t="array" ref="F259">IFNA(_xlfn.XLOOKUP(B259,Table_Respons_Loket[Count],Table_Respons_Loket[Jenis Permohonan]),"")</f>
        <v>BN Jual Beli</v>
      </c>
      <c r="G259" s="12" t="s">
        <v>50</v>
      </c>
      <c r="H259" s="12" t="s">
        <v>52</v>
      </c>
      <c r="I259" s="22">
        <f t="shared" si="7"/>
        <v>45587.41227</v>
      </c>
      <c r="J259" s="20" t="b">
        <v>0</v>
      </c>
      <c r="K259" s="13" t="str">
        <f t="shared" si="2"/>
        <v/>
      </c>
    </row>
    <row r="260" ht="22.5" customHeight="1">
      <c r="B260" s="13">
        <f t="shared" si="3"/>
        <v>254</v>
      </c>
      <c r="C260" s="15" t="str">
        <f t="array" ref="C260">IFNA(_xlfn.XLOOKUP(B260,Table_Respons_Loket[Count],Table_Respons_Loket[Nomor Tiket]),"")</f>
        <v>K/11/211024/2</v>
      </c>
      <c r="D260" s="15" t="str">
        <f t="array" ref="D260">IFNA(_xlfn.XLOOKUP(B260,Table_Respons_Loket[Count],Table_Respons_Loket[Daftar Nomor Hak]),"")</f>
        <v>B. 763/ Sumur Putri</v>
      </c>
      <c r="E260" s="17">
        <f t="array" ref="E260">IFNA(_xlfn.XLOOKUP(B260,Table_Respons_Loket[Count],Table_Respons_Loket[Time Stamp]),"")</f>
        <v>45586.43738</v>
      </c>
      <c r="F260" s="18" t="str">
        <f t="array" ref="F260">IFNA(_xlfn.XLOOKUP(B260,Table_Respons_Loket[Count],Table_Respons_Loket[Jenis Permohonan]),"")</f>
        <v>BN Jual Beli</v>
      </c>
      <c r="G260" s="12" t="s">
        <v>42</v>
      </c>
      <c r="H260" s="12" t="s">
        <v>52</v>
      </c>
      <c r="I260" s="22">
        <f t="shared" si="7"/>
        <v>45601.42226</v>
      </c>
      <c r="J260" s="20" t="b">
        <v>0</v>
      </c>
      <c r="K260" s="13" t="str">
        <f t="shared" si="2"/>
        <v/>
      </c>
    </row>
    <row r="261" ht="22.5" customHeight="1">
      <c r="B261" s="13">
        <f t="shared" si="3"/>
        <v>255</v>
      </c>
      <c r="C261" s="15" t="str">
        <f t="array" ref="C261">IFNA(_xlfn.XLOOKUP(B261,Table_Respons_Loket[Count],Table_Respons_Loket[Nomor Tiket]),"")</f>
        <v>K/12/211024/3</v>
      </c>
      <c r="D261" s="15" t="str">
        <f t="array" ref="D261">IFNA(_xlfn.XLOOKUP(B261,Table_Respons_Loket[Count],Table_Respons_Loket[Daftar Nomor Hak]),"")</f>
        <v>Nibel. B. 2432/ N O G</v>
      </c>
      <c r="E261" s="17">
        <f t="array" ref="E261">IFNA(_xlfn.XLOOKUP(B261,Table_Respons_Loket[Count],Table_Respons_Loket[Time Stamp]),"")</f>
        <v>45586.43935</v>
      </c>
      <c r="F261" s="18" t="str">
        <f t="array" ref="F261">IFNA(_xlfn.XLOOKUP(B261,Table_Respons_Loket[Count],Table_Respons_Loket[Jenis Permohonan]),"")</f>
        <v>Perubahan Hak</v>
      </c>
      <c r="G261" s="24"/>
      <c r="H261" s="24"/>
      <c r="I261" s="22" t="str">
        <f t="shared" si="7"/>
        <v/>
      </c>
      <c r="J261" s="20" t="b">
        <v>0</v>
      </c>
      <c r="K261" s="13" t="str">
        <f t="shared" si="2"/>
        <v/>
      </c>
    </row>
    <row r="262" ht="22.5" customHeight="1">
      <c r="B262" s="13">
        <f t="shared" si="3"/>
        <v>256</v>
      </c>
      <c r="C262" s="15" t="str">
        <f t="array" ref="C262">IFNA(_xlfn.XLOOKUP(B262,Table_Respons_Loket[Count],Table_Respons_Loket[Nomor Tiket]),"")</f>
        <v>K/13/211024/4</v>
      </c>
      <c r="D262" s="15" t="str">
        <f t="array" ref="D262">IFNA(_xlfn.XLOOKUP(B262,Table_Respons_Loket[Count],Table_Respons_Loket[Daftar Nomor Hak]),"")</f>
        <v>Nibel. B. 2361/ N O G</v>
      </c>
      <c r="E262" s="17">
        <f t="array" ref="E262">IFNA(_xlfn.XLOOKUP(B262,Table_Respons_Loket[Count],Table_Respons_Loket[Time Stamp]),"")</f>
        <v>45586.44045</v>
      </c>
      <c r="F262" s="18" t="str">
        <f t="array" ref="F262">IFNA(_xlfn.XLOOKUP(B262,Table_Respons_Loket[Count],Table_Respons_Loket[Jenis Permohonan]),"")</f>
        <v>Perubahan Hak</v>
      </c>
      <c r="G262" s="24"/>
      <c r="H262" s="24"/>
      <c r="I262" s="22" t="str">
        <f t="shared" si="7"/>
        <v/>
      </c>
      <c r="J262" s="20" t="b">
        <v>0</v>
      </c>
      <c r="K262" s="13" t="str">
        <f t="shared" si="2"/>
        <v/>
      </c>
    </row>
    <row r="263" ht="22.5" customHeight="1">
      <c r="B263" s="13">
        <f t="shared" si="3"/>
        <v>257</v>
      </c>
      <c r="C263" s="15" t="str">
        <f t="array" ref="C263">IFNA(_xlfn.XLOOKUP(B263,Table_Respons_Loket[Count],Table_Respons_Loket[Nomor Tiket]),"")</f>
        <v>K/15/211024/1</v>
      </c>
      <c r="D263" s="15" t="str">
        <f t="array" ref="D263">IFNA(_xlfn.XLOOKUP(B263,Table_Respons_Loket[Count],Table_Respons_Loket[Daftar Nomor Hak]),"")</f>
        <v>PBT 162/2024 KEL. LABUHAN DALAM</v>
      </c>
      <c r="E263" s="17">
        <f t="array" ref="E263">IFNA(_xlfn.XLOOKUP(B263,Table_Respons_Loket[Count],Table_Respons_Loket[Time Stamp]),"")</f>
        <v>45586.44608</v>
      </c>
      <c r="F263" s="18" t="str">
        <f t="array" ref="F263">IFNA(_xlfn.XLOOKUP(B263,Table_Respons_Loket[Count],Table_Respons_Loket[Jenis Permohonan]),"")</f>
        <v>PTPGT</v>
      </c>
      <c r="G263" s="24"/>
      <c r="H263" s="24"/>
      <c r="I263" s="22" t="str">
        <f t="shared" si="7"/>
        <v/>
      </c>
      <c r="J263" s="20" t="b">
        <v>0</v>
      </c>
      <c r="K263" s="13" t="str">
        <f t="shared" si="2"/>
        <v/>
      </c>
    </row>
    <row r="264" ht="22.5" customHeight="1">
      <c r="B264" s="13">
        <f t="shared" si="3"/>
        <v>258</v>
      </c>
      <c r="C264" s="15" t="str">
        <f t="array" ref="C264">IFNA(_xlfn.XLOOKUP(B264,Table_Respons_Loket[Count],Table_Respons_Loket[Nomor Tiket]),"")</f>
        <v>K/14/211024/1</v>
      </c>
      <c r="D264" s="15" t="str">
        <f t="array" ref="D264">IFNA(_xlfn.XLOOKUP(B264,Table_Respons_Loket[Count],Table_Respons_Loket[Daftar Nomor Hak]),"")</f>
        <v>M. 11632/ Sukarame</v>
      </c>
      <c r="E264" s="17">
        <f t="array" ref="E264">IFNA(_xlfn.XLOOKUP(B264,Table_Respons_Loket[Count],Table_Respons_Loket[Time Stamp]),"")</f>
        <v>45586.44863</v>
      </c>
      <c r="F264" s="18" t="str">
        <f t="array" ref="F264">IFNA(_xlfn.XLOOKUP(B264,Table_Respons_Loket[Count],Table_Respons_Loket[Jenis Permohonan]),"")</f>
        <v>BN Jual Beli</v>
      </c>
      <c r="G264" s="12" t="s">
        <v>50</v>
      </c>
      <c r="H264" s="12" t="s">
        <v>52</v>
      </c>
      <c r="I264" s="22">
        <f t="shared" si="7"/>
        <v>45587.41335</v>
      </c>
      <c r="J264" s="20" t="b">
        <v>0</v>
      </c>
      <c r="K264" s="13" t="str">
        <f t="shared" si="2"/>
        <v/>
      </c>
    </row>
    <row r="265" ht="22.5" customHeight="1">
      <c r="B265" s="13">
        <f t="shared" si="3"/>
        <v>259</v>
      </c>
      <c r="C265" s="15" t="str">
        <f t="array" ref="C265">IFNA(_xlfn.XLOOKUP(B265,Table_Respons_Loket[Count],Table_Respons_Loket[Nomor Tiket]),"")</f>
        <v>K/16/211024/2</v>
      </c>
      <c r="D265" s="15" t="str">
        <f t="array" ref="D265">IFNA(_xlfn.XLOOKUP(B265,Table_Respons_Loket[Count],Table_Respons_Loket[Daftar Nomor Hak]),"")</f>
        <v>M. 467/ Sumur Putri</v>
      </c>
      <c r="E265" s="17">
        <f t="array" ref="E265">IFNA(_xlfn.XLOOKUP(B265,Table_Respons_Loket[Count],Table_Respons_Loket[Time Stamp]),"")</f>
        <v>45586.44995</v>
      </c>
      <c r="F265" s="18" t="str">
        <f t="array" ref="F265">IFNA(_xlfn.XLOOKUP(B265,Table_Respons_Loket[Count],Table_Respons_Loket[Jenis Permohonan]),"")</f>
        <v>BN Jual Beli</v>
      </c>
      <c r="G265" s="12" t="s">
        <v>50</v>
      </c>
      <c r="H265" s="12" t="s">
        <v>52</v>
      </c>
      <c r="I265" s="22">
        <f t="shared" si="7"/>
        <v>45587.41363</v>
      </c>
      <c r="J265" s="20" t="b">
        <v>0</v>
      </c>
      <c r="K265" s="13" t="str">
        <f t="shared" si="2"/>
        <v/>
      </c>
    </row>
    <row r="266" ht="22.5" customHeight="1">
      <c r="B266" s="13">
        <f t="shared" si="3"/>
        <v>260</v>
      </c>
      <c r="C266" s="15" t="str">
        <f t="array" ref="C266">IFNA(_xlfn.XLOOKUP(B266,Table_Respons_Loket[Count],Table_Respons_Loket[Nomor Tiket]),"")</f>
        <v>K/17/211024/1</v>
      </c>
      <c r="D266" s="15" t="str">
        <f t="array" ref="D266">IFNA(_xlfn.XLOOKUP(B266,Table_Respons_Loket[Count],Table_Respons_Loket[Daftar Nomor Hak]),"")</f>
        <v>M. 4393/ Gunung Terang</v>
      </c>
      <c r="E266" s="17">
        <f t="array" ref="E266">IFNA(_xlfn.XLOOKUP(B266,Table_Respons_Loket[Count],Table_Respons_Loket[Time Stamp]),"")</f>
        <v>45586.45993</v>
      </c>
      <c r="F266" s="18" t="str">
        <f t="array" ref="F266">IFNA(_xlfn.XLOOKUP(B266,Table_Respons_Loket[Count],Table_Respons_Loket[Jenis Permohonan]),"")</f>
        <v>BN Jual Beli</v>
      </c>
      <c r="G266" s="12" t="s">
        <v>50</v>
      </c>
      <c r="H266" s="12" t="s">
        <v>52</v>
      </c>
      <c r="I266" s="22">
        <f t="shared" si="7"/>
        <v>45587.41383</v>
      </c>
      <c r="J266" s="20" t="b">
        <v>0</v>
      </c>
      <c r="K266" s="13" t="str">
        <f t="shared" si="2"/>
        <v/>
      </c>
    </row>
    <row r="267" ht="22.5" customHeight="1">
      <c r="B267" s="13">
        <f t="shared" si="3"/>
        <v>261</v>
      </c>
      <c r="C267" s="15" t="str">
        <f t="array" ref="C267">IFNA(_xlfn.XLOOKUP(B267,Table_Respons_Loket[Count],Table_Respons_Loket[Nomor Tiket]),"")</f>
        <v>K/18/211024/1</v>
      </c>
      <c r="D267" s="15" t="str">
        <f t="array" ref="D267">IFNA(_xlfn.XLOOKUP(B267,Table_Respons_Loket[Count],Table_Respons_Loket[Daftar Nomor Hak]),"")</f>
        <v>B. 209/ Campang Jaya</v>
      </c>
      <c r="E267" s="17">
        <f t="array" ref="E267">IFNA(_xlfn.XLOOKUP(B267,Table_Respons_Loket[Count],Table_Respons_Loket[Time Stamp]),"")</f>
        <v>45586.4737</v>
      </c>
      <c r="F267" s="18" t="str">
        <f t="array" ref="F267">IFNA(_xlfn.XLOOKUP(B267,Table_Respons_Loket[Count],Table_Respons_Loket[Jenis Permohonan]),"")</f>
        <v>Bn Jual Beli</v>
      </c>
      <c r="G267" s="12" t="s">
        <v>50</v>
      </c>
      <c r="H267" s="12" t="s">
        <v>52</v>
      </c>
      <c r="I267" s="22">
        <f t="shared" si="7"/>
        <v>45587.41405</v>
      </c>
      <c r="J267" s="20" t="b">
        <v>0</v>
      </c>
      <c r="K267" s="13" t="str">
        <f t="shared" si="2"/>
        <v/>
      </c>
    </row>
    <row r="268" ht="22.5" customHeight="1">
      <c r="B268" s="13">
        <f t="shared" si="3"/>
        <v>262</v>
      </c>
      <c r="C268" s="15" t="str">
        <f t="array" ref="C268">IFNA(_xlfn.XLOOKUP(B268,Table_Respons_Loket[Count],Table_Respons_Loket[Nomor Tiket]),"")</f>
        <v>K/19/211024/2</v>
      </c>
      <c r="D268" s="15" t="str">
        <f t="array" ref="D268">IFNA(_xlfn.XLOOKUP(B268,Table_Respons_Loket[Count],Table_Respons_Loket[Daftar Nomor Hak]),"")</f>
        <v>M. 4625/ Sukadana Ham</v>
      </c>
      <c r="E268" s="17">
        <f t="array" ref="E268">IFNA(_xlfn.XLOOKUP(B268,Table_Respons_Loket[Count],Table_Respons_Loket[Time Stamp]),"")</f>
        <v>45586.47667</v>
      </c>
      <c r="F268" s="18" t="str">
        <f t="array" ref="F268">IFNA(_xlfn.XLOOKUP(B268,Table_Respons_Loket[Count],Table_Respons_Loket[Jenis Permohonan]),"")</f>
        <v>BN Jual Beli</v>
      </c>
      <c r="G268" s="12" t="s">
        <v>50</v>
      </c>
      <c r="H268" s="12" t="s">
        <v>52</v>
      </c>
      <c r="I268" s="22">
        <f t="shared" si="7"/>
        <v>45587.41428</v>
      </c>
      <c r="J268" s="20" t="b">
        <v>0</v>
      </c>
      <c r="K268" s="13" t="str">
        <f t="shared" si="2"/>
        <v/>
      </c>
    </row>
    <row r="269" ht="22.5" customHeight="1">
      <c r="B269" s="13">
        <f t="shared" si="3"/>
        <v>263</v>
      </c>
      <c r="C269" s="15" t="str">
        <f t="array" ref="C269">IFNA(_xlfn.XLOOKUP(B269,Table_Respons_Loket[Count],Table_Respons_Loket[Nomor Tiket]),"")</f>
        <v>K/22/211024/1</v>
      </c>
      <c r="D269" s="15" t="str">
        <f t="array" ref="D269">IFNA(_xlfn.XLOOKUP(B269,Table_Respons_Loket[Count],Table_Respons_Loket[Daftar Nomor Hak]),"")</f>
        <v>M. 2644/ Sumber Rejo</v>
      </c>
      <c r="E269" s="17">
        <f t="array" ref="E269">IFNA(_xlfn.XLOOKUP(B269,Table_Respons_Loket[Count],Table_Respons_Loket[Time Stamp]),"")</f>
        <v>45586.47821</v>
      </c>
      <c r="F269" s="18" t="str">
        <f t="array" ref="F269">IFNA(_xlfn.XLOOKUP(B269,Table_Respons_Loket[Count],Table_Respons_Loket[Jenis Permohonan]),"")</f>
        <v>BN Waris</v>
      </c>
      <c r="G269" s="12" t="s">
        <v>50</v>
      </c>
      <c r="H269" s="12" t="s">
        <v>52</v>
      </c>
      <c r="I269" s="22">
        <f t="shared" si="7"/>
        <v>45587.41709</v>
      </c>
      <c r="J269" s="20" t="b">
        <v>0</v>
      </c>
      <c r="K269" s="13" t="str">
        <f t="shared" si="2"/>
        <v/>
      </c>
    </row>
    <row r="270" ht="22.5" customHeight="1">
      <c r="B270" s="13">
        <f t="shared" si="3"/>
        <v>264</v>
      </c>
      <c r="C270" s="15" t="str">
        <f t="array" ref="C270">IFNA(_xlfn.XLOOKUP(B270,Table_Respons_Loket[Count],Table_Respons_Loket[Nomor Tiket]),"")</f>
        <v>K/20/211024/3</v>
      </c>
      <c r="D270" s="15" t="str">
        <f t="array" ref="D270">IFNA(_xlfn.XLOOKUP(B270,Table_Respons_Loket[Count],Table_Respons_Loket[Daftar Nomor Hak]),"")</f>
        <v>M. 2226/ kedaung</v>
      </c>
      <c r="E270" s="17">
        <f t="array" ref="E270">IFNA(_xlfn.XLOOKUP(B270,Table_Respons_Loket[Count],Table_Respons_Loket[Time Stamp]),"")</f>
        <v>45586.47963</v>
      </c>
      <c r="F270" s="18" t="str">
        <f t="array" ref="F270">IFNA(_xlfn.XLOOKUP(B270,Table_Respons_Loket[Count],Table_Respons_Loket[Jenis Permohonan]),"")</f>
        <v>BN Jual Beli</v>
      </c>
      <c r="G270" s="12" t="s">
        <v>50</v>
      </c>
      <c r="H270" s="12" t="s">
        <v>52</v>
      </c>
      <c r="I270" s="22">
        <f t="shared" si="7"/>
        <v>45587.41557</v>
      </c>
      <c r="J270" s="20" t="b">
        <v>0</v>
      </c>
      <c r="K270" s="13" t="str">
        <f t="shared" si="2"/>
        <v/>
      </c>
    </row>
    <row r="271" ht="22.5" customHeight="1">
      <c r="B271" s="13">
        <f t="shared" si="3"/>
        <v>265</v>
      </c>
      <c r="C271" s="15" t="str">
        <f t="array" ref="C271">IFNA(_xlfn.XLOOKUP(B271,Table_Respons_Loket[Count],Table_Respons_Loket[Nomor Tiket]),"")</f>
        <v>K/21/211024/4</v>
      </c>
      <c r="D271" s="15" t="str">
        <f t="array" ref="D271">IFNA(_xlfn.XLOOKUP(B271,Table_Respons_Loket[Count],Table_Respons_Loket[Daftar Nomor Hak]),"")</f>
        <v>M. 2263/ Kedaung</v>
      </c>
      <c r="E271" s="17">
        <f t="array" ref="E271">IFNA(_xlfn.XLOOKUP(B271,Table_Respons_Loket[Count],Table_Respons_Loket[Time Stamp]),"")</f>
        <v>45586.48299</v>
      </c>
      <c r="F271" s="18" t="str">
        <f t="array" ref="F271">IFNA(_xlfn.XLOOKUP(B271,Table_Respons_Loket[Count],Table_Respons_Loket[Jenis Permohonan]),"")</f>
        <v>BN Jual Beli</v>
      </c>
      <c r="G271" s="12" t="s">
        <v>50</v>
      </c>
      <c r="H271" s="12" t="s">
        <v>52</v>
      </c>
      <c r="I271" s="22">
        <f t="shared" si="7"/>
        <v>45587.4156</v>
      </c>
      <c r="J271" s="20" t="b">
        <v>0</v>
      </c>
      <c r="K271" s="13" t="str">
        <f t="shared" si="2"/>
        <v/>
      </c>
    </row>
    <row r="272" ht="22.5" customHeight="1">
      <c r="B272" s="13">
        <f t="shared" si="3"/>
        <v>266</v>
      </c>
      <c r="C272" s="15" t="str">
        <f t="array" ref="C272">IFNA(_xlfn.XLOOKUP(B272,Table_Respons_Loket[Count],Table_Respons_Loket[Nomor Tiket]),"")</f>
        <v>L/23/211024/1</v>
      </c>
      <c r="D272" s="15" t="str">
        <f t="array" ref="D272">IFNA(_xlfn.XLOOKUP(B272,Table_Respons_Loket[Count],Table_Respons_Loket[Daftar Nomor Hak]),"")</f>
        <v>HGB 3764/BERINGIN RAYA</v>
      </c>
      <c r="E272" s="17">
        <f t="array" ref="E272">IFNA(_xlfn.XLOOKUP(B272,Table_Respons_Loket[Count],Table_Respons_Loket[Time Stamp]),"")</f>
        <v>45586.48838</v>
      </c>
      <c r="F272" s="18" t="str">
        <f t="array" ref="F272">IFNA(_xlfn.XLOOKUP(B272,Table_Respons_Loket[Count],Table_Respons_Loket[Jenis Permohonan]),"")</f>
        <v>PH</v>
      </c>
      <c r="G272" s="12" t="s">
        <v>48</v>
      </c>
      <c r="H272" s="12" t="s">
        <v>52</v>
      </c>
      <c r="I272" s="22">
        <f t="shared" si="7"/>
        <v>45587.4228</v>
      </c>
      <c r="J272" s="20" t="b">
        <v>0</v>
      </c>
      <c r="K272" s="13" t="str">
        <f t="shared" si="2"/>
        <v/>
      </c>
    </row>
    <row r="273" ht="22.5" customHeight="1">
      <c r="B273" s="13">
        <f t="shared" si="3"/>
        <v>267</v>
      </c>
      <c r="C273" s="15" t="str">
        <f t="array" ref="C273">IFNA(_xlfn.XLOOKUP(B273,Table_Respons_Loket[Count],Table_Respons_Loket[Nomor Tiket]),"")</f>
        <v>K/24/211024/1</v>
      </c>
      <c r="D273" s="15" t="str">
        <f t="array" ref="D273">IFNA(_xlfn.XLOOKUP(B273,Table_Respons_Loket[Count],Table_Respons_Loket[Daftar Nomor Hak]),"")</f>
        <v>M. 12665/ Kali Balau Kencana-sekarang; M. 12665/ Tanjung Baru- dahulu</v>
      </c>
      <c r="E273" s="17">
        <f t="array" ref="E273">IFNA(_xlfn.XLOOKUP(B273,Table_Respons_Loket[Count],Table_Respons_Loket[Time Stamp]),"")</f>
        <v>45586.49305</v>
      </c>
      <c r="F273" s="18" t="str">
        <f t="array" ref="F273">IFNA(_xlfn.XLOOKUP(B273,Table_Respons_Loket[Count],Table_Respons_Loket[Jenis Permohonan]),"")</f>
        <v>BN Waris</v>
      </c>
      <c r="G273" s="12" t="s">
        <v>48</v>
      </c>
      <c r="H273" s="12" t="s">
        <v>52</v>
      </c>
      <c r="I273" s="22">
        <f t="shared" si="7"/>
        <v>45588.38494</v>
      </c>
      <c r="J273" s="20" t="b">
        <v>0</v>
      </c>
      <c r="K273" s="13" t="str">
        <f t="shared" si="2"/>
        <v/>
      </c>
    </row>
    <row r="274" ht="22.5" customHeight="1">
      <c r="B274" s="13">
        <f t="shared" si="3"/>
        <v>268</v>
      </c>
      <c r="C274" s="15" t="str">
        <f t="array" ref="C274">IFNA(_xlfn.XLOOKUP(B274,Table_Respons_Loket[Count],Table_Respons_Loket[Nomor Tiket]),"")</f>
        <v>K/25/211024/2</v>
      </c>
      <c r="D274" s="15" t="str">
        <f t="array" ref="D274">IFNA(_xlfn.XLOOKUP(B274,Table_Respons_Loket[Count],Table_Respons_Loket[Daftar Nomor Hak]),"")</f>
        <v>M. 215/ Beringin Raya</v>
      </c>
      <c r="E274" s="17">
        <f t="array" ref="E274">IFNA(_xlfn.XLOOKUP(B274,Table_Respons_Loket[Count],Table_Respons_Loket[Time Stamp]),"")</f>
        <v>45586.49595</v>
      </c>
      <c r="F274" s="18" t="str">
        <f t="array" ref="F274">IFNA(_xlfn.XLOOKUP(B274,Table_Respons_Loket[Count],Table_Respons_Loket[Jenis Permohonan]),"")</f>
        <v>BN Jual Beli</v>
      </c>
      <c r="G274" s="12" t="s">
        <v>86</v>
      </c>
      <c r="H274" s="12" t="s">
        <v>87</v>
      </c>
      <c r="I274" s="22">
        <f t="shared" si="7"/>
        <v>45614.66166</v>
      </c>
      <c r="J274" s="20" t="b">
        <v>0</v>
      </c>
      <c r="K274" s="13" t="str">
        <f t="shared" si="2"/>
        <v/>
      </c>
    </row>
    <row r="275" ht="22.5" customHeight="1">
      <c r="B275" s="13">
        <f t="shared" si="3"/>
        <v>269</v>
      </c>
      <c r="C275" s="15" t="str">
        <f t="array" ref="C275">IFNA(_xlfn.XLOOKUP(B275,Table_Respons_Loket[Count],Table_Respons_Loket[Nomor Tiket]),"")</f>
        <v>L/26/211024/1</v>
      </c>
      <c r="D275" s="15" t="str">
        <f t="array" ref="D275">IFNA(_xlfn.XLOOKUP(B275,Table_Respons_Loket[Count],Table_Respons_Loket[Daftar Nomor Hak]),"")</f>
        <v>B.97/BILABONG JAYA;B.28/SUSUNAN BARU-DAHULU</v>
      </c>
      <c r="E275" s="17">
        <f t="array" ref="E275">IFNA(_xlfn.XLOOKUP(B275,Table_Respons_Loket[Count],Table_Respons_Loket[Time Stamp]),"")</f>
        <v>45586.55417</v>
      </c>
      <c r="F275" s="18" t="str">
        <f t="array" ref="F275">IFNA(_xlfn.XLOOKUP(B275,Table_Respons_Loket[Count],Table_Respons_Loket[Jenis Permohonan]),"")</f>
        <v>PERUBAHAN HAK</v>
      </c>
      <c r="G275" s="12" t="s">
        <v>48</v>
      </c>
      <c r="H275" s="12" t="s">
        <v>52</v>
      </c>
      <c r="I275" s="22">
        <f t="shared" si="7"/>
        <v>45588.3852</v>
      </c>
      <c r="J275" s="20" t="b">
        <v>0</v>
      </c>
      <c r="K275" s="13" t="str">
        <f t="shared" si="2"/>
        <v/>
      </c>
    </row>
    <row r="276" ht="22.5" customHeight="1">
      <c r="B276" s="13">
        <f t="shared" si="3"/>
        <v>270</v>
      </c>
      <c r="C276" s="15" t="str">
        <f t="array" ref="C276">IFNA(_xlfn.XLOOKUP(B276,Table_Respons_Loket[Count],Table_Respons_Loket[Nomor Tiket]),"")</f>
        <v>K/27/211024/1</v>
      </c>
      <c r="D276" s="15" t="str">
        <f t="array" ref="D276">IFNA(_xlfn.XLOOKUP(B276,Table_Respons_Loket[Count],Table_Respons_Loket[Daftar Nomor Hak]),"")</f>
        <v>M. 1717/ Batu Putuk</v>
      </c>
      <c r="E276" s="17">
        <f t="array" ref="E276">IFNA(_xlfn.XLOOKUP(B276,Table_Respons_Loket[Count],Table_Respons_Loket[Time Stamp]),"")</f>
        <v>45586.56267</v>
      </c>
      <c r="F276" s="18" t="str">
        <f t="array" ref="F276">IFNA(_xlfn.XLOOKUP(B276,Table_Respons_Loket[Count],Table_Respons_Loket[Jenis Permohonan]),"")</f>
        <v>PTPGT (Pemecahan)</v>
      </c>
      <c r="G276" s="24"/>
      <c r="H276" s="24"/>
      <c r="I276" s="22" t="str">
        <f t="shared" si="7"/>
        <v/>
      </c>
      <c r="J276" s="20" t="b">
        <v>0</v>
      </c>
      <c r="K276" s="13" t="str">
        <f t="shared" si="2"/>
        <v/>
      </c>
    </row>
    <row r="277" ht="22.5" customHeight="1">
      <c r="B277" s="13">
        <f t="shared" si="3"/>
        <v>271</v>
      </c>
      <c r="C277" s="15" t="str">
        <f t="array" ref="C277">IFNA(_xlfn.XLOOKUP(B277,Table_Respons_Loket[Count],Table_Respons_Loket[Nomor Tiket]),"")</f>
        <v>L/28/211024/1</v>
      </c>
      <c r="D277" s="15" t="str">
        <f t="array" ref="D277">IFNA(_xlfn.XLOOKUP(B277,Table_Respons_Loket[Count],Table_Respons_Loket[Daftar Nomor Hak]),"")</f>
        <v>HM 2414/KUPANG TEBA</v>
      </c>
      <c r="E277" s="17">
        <f t="array" ref="E277">IFNA(_xlfn.XLOOKUP(B277,Table_Respons_Loket[Count],Table_Respons_Loket[Time Stamp]),"")</f>
        <v>45586.56338</v>
      </c>
      <c r="F277" s="18" t="str">
        <f t="array" ref="F277">IFNA(_xlfn.XLOOKUP(B277,Table_Respons_Loket[Count],Table_Respons_Loket[Jenis Permohonan]),"")</f>
        <v>ROYA</v>
      </c>
      <c r="G277" s="12" t="s">
        <v>48</v>
      </c>
      <c r="H277" s="12" t="s">
        <v>52</v>
      </c>
      <c r="I277" s="22">
        <f t="shared" si="7"/>
        <v>45587.41911</v>
      </c>
      <c r="J277" s="20" t="b">
        <v>0</v>
      </c>
      <c r="K277" s="13" t="str">
        <f t="shared" si="2"/>
        <v/>
      </c>
    </row>
    <row r="278" ht="22.5" customHeight="1">
      <c r="B278" s="13">
        <f t="shared" si="3"/>
        <v>272</v>
      </c>
      <c r="C278" s="15" t="str">
        <f t="array" ref="C278">IFNA(_xlfn.XLOOKUP(B278,Table_Respons_Loket[Count],Table_Respons_Loket[Nomor Tiket]),"")</f>
        <v>K/29/211024/1</v>
      </c>
      <c r="D278" s="15" t="str">
        <f t="array" ref="D278">IFNA(_xlfn.XLOOKUP(B278,Table_Respons_Loket[Count],Table_Respons_Loket[Daftar Nomor Hak]),"")</f>
        <v>M. 14789/ Sukarame; B. 2781/ Sukarame-dahulu; SHT 2097/2010 dan SHT 1880/2008</v>
      </c>
      <c r="E278" s="17">
        <f t="array" ref="E278">IFNA(_xlfn.XLOOKUP(B278,Table_Respons_Loket[Count],Table_Respons_Loket[Time Stamp]),"")</f>
        <v>45586.57569</v>
      </c>
      <c r="F278" s="18" t="str">
        <f t="array" ref="F278">IFNA(_xlfn.XLOOKUP(B278,Table_Respons_Loket[Count],Table_Respons_Loket[Jenis Permohonan]),"")</f>
        <v>Roya</v>
      </c>
      <c r="G278" s="24"/>
      <c r="H278" s="12" t="s">
        <v>47</v>
      </c>
      <c r="I278" s="22" t="str">
        <f t="shared" si="7"/>
        <v/>
      </c>
      <c r="J278" s="20" t="b">
        <v>0</v>
      </c>
      <c r="K278" s="13" t="str">
        <f t="shared" si="2"/>
        <v/>
      </c>
    </row>
    <row r="279" ht="22.5" customHeight="1">
      <c r="B279" s="13">
        <f t="shared" si="3"/>
        <v>273</v>
      </c>
      <c r="C279" s="15" t="str">
        <f t="array" ref="C279">IFNA(_xlfn.XLOOKUP(B279,Table_Respons_Loket[Count],Table_Respons_Loket[Nomor Tiket]),"")</f>
        <v>K/30/211024/2</v>
      </c>
      <c r="D279" s="15" t="str">
        <f t="array" ref="D279">IFNA(_xlfn.XLOOKUP(B279,Table_Respons_Loket[Count],Table_Respons_Loket[Daftar Nomor Hak]),"")</f>
        <v>M. 2661/ Sukarame Baru</v>
      </c>
      <c r="E279" s="17">
        <f t="array" ref="E279">IFNA(_xlfn.XLOOKUP(B279,Table_Respons_Loket[Count],Table_Respons_Loket[Time Stamp]),"")</f>
        <v>45586.57729</v>
      </c>
      <c r="F279" s="18" t="str">
        <f t="array" ref="F279">IFNA(_xlfn.XLOOKUP(B279,Table_Respons_Loket[Count],Table_Respons_Loket[Jenis Permohonan]),"")</f>
        <v>BN Jual Beli</v>
      </c>
      <c r="G279" s="12" t="s">
        <v>48</v>
      </c>
      <c r="H279" s="12" t="s">
        <v>52</v>
      </c>
      <c r="I279" s="22">
        <f t="shared" si="7"/>
        <v>45587.42008</v>
      </c>
      <c r="J279" s="20" t="b">
        <v>0</v>
      </c>
      <c r="K279" s="13" t="str">
        <f t="shared" si="2"/>
        <v/>
      </c>
    </row>
    <row r="280" ht="22.5" customHeight="1">
      <c r="B280" s="13">
        <f t="shared" si="3"/>
        <v>274</v>
      </c>
      <c r="C280" s="15" t="str">
        <f t="array" ref="C280">IFNA(_xlfn.XLOOKUP(B280,Table_Respons_Loket[Count],Table_Respons_Loket[Nomor Tiket]),"")</f>
        <v>K/31/211024/1</v>
      </c>
      <c r="D280" s="15" t="str">
        <f t="array" ref="D280">IFNA(_xlfn.XLOOKUP(B280,Table_Respons_Loket[Count],Table_Respons_Loket[Daftar Nomor Hak]),"")</f>
        <v>M.658/GUNUNG TERANG</v>
      </c>
      <c r="E280" s="17">
        <f t="array" ref="E280">IFNA(_xlfn.XLOOKUP(B280,Table_Respons_Loket[Count],Table_Respons_Loket[Time Stamp]),"")</f>
        <v>45586.57799</v>
      </c>
      <c r="F280" s="18" t="str">
        <f t="array" ref="F280">IFNA(_xlfn.XLOOKUP(B280,Table_Respons_Loket[Count],Table_Respons_Loket[Jenis Permohonan]),"")</f>
        <v>PLOTING</v>
      </c>
      <c r="G280" s="24"/>
      <c r="H280" s="24"/>
      <c r="I280" s="22" t="str">
        <f t="shared" si="7"/>
        <v/>
      </c>
      <c r="J280" s="20" t="b">
        <v>0</v>
      </c>
      <c r="K280" s="13" t="str">
        <f t="shared" si="2"/>
        <v/>
      </c>
    </row>
    <row r="281" ht="22.5" customHeight="1">
      <c r="B281" s="13">
        <f t="shared" si="3"/>
        <v>275</v>
      </c>
      <c r="C281" s="15" t="str">
        <f t="array" ref="C281">IFNA(_xlfn.XLOOKUP(B281,Table_Respons_Loket[Count],Table_Respons_Loket[Nomor Tiket]),"")</f>
        <v>K/32/211024/1</v>
      </c>
      <c r="D281" s="15" t="str">
        <f t="array" ref="D281">IFNA(_xlfn.XLOOKUP(B281,Table_Respons_Loket[Count],Table_Respons_Loket[Daftar Nomor Hak]),"")</f>
        <v>M.466/GUBUNG MAS-SEKARANG;M 466/GUNUNG MAS -DAHULU</v>
      </c>
      <c r="E281" s="17">
        <f t="array" ref="E281">IFNA(_xlfn.XLOOKUP(B281,Table_Respons_Loket[Count],Table_Respons_Loket[Time Stamp]),"")</f>
        <v>45586.57934</v>
      </c>
      <c r="F281" s="18" t="str">
        <f t="array" ref="F281">IFNA(_xlfn.XLOOKUP(B281,Table_Respons_Loket[Count],Table_Respons_Loket[Jenis Permohonan]),"")</f>
        <v>PLOT</v>
      </c>
      <c r="G281" s="24"/>
      <c r="H281" s="24"/>
      <c r="I281" s="22" t="str">
        <f t="shared" si="7"/>
        <v/>
      </c>
      <c r="J281" s="20" t="b">
        <v>0</v>
      </c>
      <c r="K281" s="13" t="str">
        <f t="shared" si="2"/>
        <v/>
      </c>
    </row>
    <row r="282" ht="22.5" customHeight="1">
      <c r="B282" s="13">
        <f t="shared" si="3"/>
        <v>276</v>
      </c>
      <c r="C282" s="15" t="str">
        <f t="array" ref="C282">IFNA(_xlfn.XLOOKUP(B282,Table_Respons_Loket[Count],Table_Respons_Loket[Nomor Tiket]),"")</f>
        <v>L/33/211024/1</v>
      </c>
      <c r="D282" s="15" t="str">
        <f t="array" ref="D282">IFNA(_xlfn.XLOOKUP(B282,Table_Respons_Loket[Count],Table_Respons_Loket[Daftar Nomor Hak]),"")</f>
        <v>HM 180/PINANG JAYA</v>
      </c>
      <c r="E282" s="17">
        <f t="array" ref="E282">IFNA(_xlfn.XLOOKUP(B282,Table_Respons_Loket[Count],Table_Respons_Loket[Time Stamp]),"")</f>
        <v>45586.58034</v>
      </c>
      <c r="F282" s="18" t="str">
        <f t="array" ref="F282">IFNA(_xlfn.XLOOKUP(B282,Table_Respons_Loket[Count],Table_Respons_Loket[Jenis Permohonan]),"")</f>
        <v>ROYA</v>
      </c>
      <c r="G282" s="12" t="s">
        <v>48</v>
      </c>
      <c r="H282" s="12" t="s">
        <v>52</v>
      </c>
      <c r="I282" s="22">
        <f t="shared" si="7"/>
        <v>45587.42042</v>
      </c>
      <c r="J282" s="20" t="b">
        <v>0</v>
      </c>
      <c r="K282" s="13" t="str">
        <f t="shared" si="2"/>
        <v/>
      </c>
    </row>
    <row r="283" ht="22.5" customHeight="1">
      <c r="B283" s="13">
        <f t="shared" si="3"/>
        <v>277</v>
      </c>
      <c r="C283" s="15" t="str">
        <f t="array" ref="C283">IFNA(_xlfn.XLOOKUP(B283,Table_Respons_Loket[Count],Table_Respons_Loket[Nomor Tiket]),"")</f>
        <v>K/34/211024/1</v>
      </c>
      <c r="D283" s="15" t="str">
        <f t="array" ref="D283">IFNA(_xlfn.XLOOKUP(B283,Table_Respons_Loket[Count],Table_Respons_Loket[Daftar Nomor Hak]),"")</f>
        <v>M. 1594/ langkapura</v>
      </c>
      <c r="E283" s="17">
        <f t="array" ref="E283">IFNA(_xlfn.XLOOKUP(B283,Table_Respons_Loket[Count],Table_Respons_Loket[Time Stamp]),"")</f>
        <v>45586.58869</v>
      </c>
      <c r="F283" s="18" t="str">
        <f t="array" ref="F283">IFNA(_xlfn.XLOOKUP(B283,Table_Respons_Loket[Count],Table_Respons_Loket[Jenis Permohonan]),"")</f>
        <v>SKPT Lelang</v>
      </c>
      <c r="G283" s="24"/>
      <c r="H283" s="24"/>
      <c r="I283" s="22" t="str">
        <f t="shared" si="7"/>
        <v/>
      </c>
      <c r="J283" s="20" t="b">
        <v>0</v>
      </c>
      <c r="K283" s="13" t="str">
        <f t="shared" si="2"/>
        <v/>
      </c>
    </row>
    <row r="284" ht="22.5" customHeight="1">
      <c r="B284" s="13">
        <f t="shared" si="3"/>
        <v>278</v>
      </c>
      <c r="C284" s="15" t="str">
        <f t="array" ref="C284">IFNA(_xlfn.XLOOKUP(B284,Table_Respons_Loket[Count],Table_Respons_Loket[Nomor Tiket]),"")</f>
        <v>K/35/211024/2</v>
      </c>
      <c r="D284" s="15" t="str">
        <f t="array" ref="D284">IFNA(_xlfn.XLOOKUP(B284,Table_Respons_Loket[Count],Table_Respons_Loket[Daftar Nomor Hak]),"")</f>
        <v>M.181/ Bumi Kedamaian</v>
      </c>
      <c r="E284" s="17">
        <f t="array" ref="E284">IFNA(_xlfn.XLOOKUP(B284,Table_Respons_Loket[Count],Table_Respons_Loket[Time Stamp]),"")</f>
        <v>45586.59004</v>
      </c>
      <c r="F284" s="18" t="str">
        <f t="array" ref="F284">IFNA(_xlfn.XLOOKUP(B284,Table_Respons_Loket[Count],Table_Respons_Loket[Jenis Permohonan]),"")</f>
        <v>SKPT LELANG</v>
      </c>
      <c r="G284" s="24"/>
      <c r="H284" s="24"/>
      <c r="I284" s="22" t="str">
        <f t="shared" si="7"/>
        <v/>
      </c>
      <c r="J284" s="20" t="b">
        <v>0</v>
      </c>
      <c r="K284" s="13" t="str">
        <f t="shared" si="2"/>
        <v/>
      </c>
    </row>
    <row r="285" ht="22.5" customHeight="1">
      <c r="B285" s="13">
        <f t="shared" si="3"/>
        <v>279</v>
      </c>
      <c r="C285" s="15" t="str">
        <f t="array" ref="C285">IFNA(_xlfn.XLOOKUP(B285,Table_Respons_Loket[Count],Table_Respons_Loket[Nomor Tiket]),"")</f>
        <v>K/36/211024/3</v>
      </c>
      <c r="D285" s="15" t="str">
        <f t="array" ref="D285">IFNA(_xlfn.XLOOKUP(B285,Table_Respons_Loket[Count],Table_Respons_Loket[Daftar Nomor Hak]),"")</f>
        <v>M. 977/ Tanjung Gading</v>
      </c>
      <c r="E285" s="17">
        <f t="array" ref="E285">IFNA(_xlfn.XLOOKUP(B285,Table_Respons_Loket[Count],Table_Respons_Loket[Time Stamp]),"")</f>
        <v>45586.59182</v>
      </c>
      <c r="F285" s="18" t="str">
        <f t="array" ref="F285">IFNA(_xlfn.XLOOKUP(B285,Table_Respons_Loket[Count],Table_Respons_Loket[Jenis Permohonan]),"")</f>
        <v>SKPT Lelang</v>
      </c>
      <c r="G285" s="24"/>
      <c r="H285" s="24"/>
      <c r="I285" s="22" t="str">
        <f t="shared" si="7"/>
        <v/>
      </c>
      <c r="J285" s="20" t="b">
        <v>0</v>
      </c>
      <c r="K285" s="13" t="str">
        <f t="shared" si="2"/>
        <v/>
      </c>
    </row>
    <row r="286" ht="22.5" customHeight="1">
      <c r="B286" s="13">
        <f t="shared" si="3"/>
        <v>280</v>
      </c>
      <c r="C286" s="15" t="str">
        <f t="array" ref="C286">IFNA(_xlfn.XLOOKUP(B286,Table_Respons_Loket[Count],Table_Respons_Loket[Nomor Tiket]),"")</f>
        <v>K/38/211024/1</v>
      </c>
      <c r="D286" s="15" t="str">
        <f t="array" ref="D286">IFNA(_xlfn.XLOOKUP(B286,Table_Respons_Loket[Count],Table_Respons_Loket[Daftar Nomor Hak]),"")</f>
        <v>PBT 26/2024 KEL. WAY LAGA </v>
      </c>
      <c r="E286" s="17">
        <f t="array" ref="E286">IFNA(_xlfn.XLOOKUP(B286,Table_Respons_Loket[Count],Table_Respons_Loket[Time Stamp]),"")</f>
        <v>45586.59239</v>
      </c>
      <c r="F286" s="18" t="str">
        <f t="array" ref="F286">IFNA(_xlfn.XLOOKUP(B286,Table_Respons_Loket[Count],Table_Respons_Loket[Jenis Permohonan]),"")</f>
        <v>PERMOHONAN SK</v>
      </c>
      <c r="G286" s="24"/>
      <c r="H286" s="24"/>
      <c r="I286" s="22" t="str">
        <f t="shared" si="7"/>
        <v/>
      </c>
      <c r="J286" s="20" t="b">
        <v>0</v>
      </c>
      <c r="K286" s="13" t="str">
        <f t="shared" si="2"/>
        <v/>
      </c>
    </row>
    <row r="287" ht="22.5" customHeight="1">
      <c r="B287" s="13">
        <f t="shared" si="3"/>
        <v>281</v>
      </c>
      <c r="C287" s="15" t="str">
        <f t="array" ref="C287">IFNA(_xlfn.XLOOKUP(B287,Table_Respons_Loket[Count],Table_Respons_Loket[Nomor Tiket]),"")</f>
        <v>K/37/211024/1</v>
      </c>
      <c r="D287" s="15" t="str">
        <f t="array" ref="D287">IFNA(_xlfn.XLOOKUP(B287,Table_Respons_Loket[Count],Table_Respons_Loket[Daftar Nomor Hak]),"")</f>
        <v>B. 354/ Kangkung; PBT. 98/2024</v>
      </c>
      <c r="E287" s="17">
        <f t="array" ref="E287">IFNA(_xlfn.XLOOKUP(B287,Table_Respons_Loket[Count],Table_Respons_Loket[Time Stamp]),"")</f>
        <v>45586.59264</v>
      </c>
      <c r="F287" s="18" t="str">
        <f t="array" ref="F287">IFNA(_xlfn.XLOOKUP(B287,Table_Respons_Loket[Count],Table_Respons_Loket[Jenis Permohonan]),"")</f>
        <v>PTPGT (Hgb Berakhir)</v>
      </c>
      <c r="G287" s="24"/>
      <c r="H287" s="24"/>
      <c r="I287" s="22" t="str">
        <f t="shared" si="7"/>
        <v/>
      </c>
      <c r="J287" s="20" t="b">
        <v>0</v>
      </c>
      <c r="K287" s="13" t="str">
        <f t="shared" si="2"/>
        <v/>
      </c>
    </row>
    <row r="288" ht="22.5" customHeight="1">
      <c r="B288" s="13">
        <f t="shared" si="3"/>
        <v>282</v>
      </c>
      <c r="C288" s="15" t="str">
        <f t="array" ref="C288">IFNA(_xlfn.XLOOKUP(B288,Table_Respons_Loket[Count],Table_Respons_Loket[Nomor Tiket]),"")</f>
        <v>L/40/211024/1</v>
      </c>
      <c r="D288" s="15" t="str">
        <f t="array" ref="D288">IFNA(_xlfn.XLOOKUP(B288,Table_Respons_Loket[Count],Table_Respons_Loket[Daftar Nomor Hak]),"")</f>
        <v>HM 101/KEMILING RAYA</v>
      </c>
      <c r="E288" s="17">
        <f t="array" ref="E288">IFNA(_xlfn.XLOOKUP(B288,Table_Respons_Loket[Count],Table_Respons_Loket[Time Stamp]),"")</f>
        <v>45586.59313</v>
      </c>
      <c r="F288" s="18" t="str">
        <f t="array" ref="F288">IFNA(_xlfn.XLOOKUP(B288,Table_Respons_Loket[Count],Table_Respons_Loket[Jenis Permohonan]),"")</f>
        <v>ROYA LELANG</v>
      </c>
      <c r="G288" s="12" t="s">
        <v>48</v>
      </c>
      <c r="H288" s="12" t="s">
        <v>52</v>
      </c>
      <c r="I288" s="22">
        <f t="shared" si="7"/>
        <v>45587.42079</v>
      </c>
      <c r="J288" s="20" t="b">
        <v>0</v>
      </c>
      <c r="K288" s="13" t="str">
        <f t="shared" si="2"/>
        <v/>
      </c>
    </row>
    <row r="289" ht="22.5" customHeight="1">
      <c r="B289" s="13">
        <f t="shared" si="3"/>
        <v>283</v>
      </c>
      <c r="C289" s="15" t="str">
        <f t="array" ref="C289">IFNA(_xlfn.XLOOKUP(B289,Table_Respons_Loket[Count],Table_Respons_Loket[Nomor Tiket]),"")</f>
        <v>K/39/211024/2</v>
      </c>
      <c r="D289" s="15" t="str">
        <f t="array" ref="D289">IFNA(_xlfn.XLOOKUP(B289,Table_Respons_Loket[Count],Table_Respons_Loket[Daftar Nomor Hak]),"")</f>
        <v>PBT 27/2024 KEL. WAY GUBAK</v>
      </c>
      <c r="E289" s="17">
        <f t="array" ref="E289">IFNA(_xlfn.XLOOKUP(B289,Table_Respons_Loket[Count],Table_Respons_Loket[Time Stamp]),"")</f>
        <v>45586.5996</v>
      </c>
      <c r="F289" s="18" t="str">
        <f t="array" ref="F289">IFNA(_xlfn.XLOOKUP(B289,Table_Respons_Loket[Count],Table_Respons_Loket[Jenis Permohonan]),"")</f>
        <v>PERMOHONAN SK</v>
      </c>
      <c r="G289" s="24"/>
      <c r="H289" s="24"/>
      <c r="I289" s="22" t="str">
        <f t="shared" si="7"/>
        <v/>
      </c>
      <c r="J289" s="20" t="b">
        <v>0</v>
      </c>
      <c r="K289" s="13" t="str">
        <f t="shared" si="2"/>
        <v/>
      </c>
    </row>
    <row r="290" ht="22.5" customHeight="1">
      <c r="B290" s="13">
        <f t="shared" si="3"/>
        <v>284</v>
      </c>
      <c r="C290" s="15" t="str">
        <f t="array" ref="C290">IFNA(_xlfn.XLOOKUP(B290,Table_Respons_Loket[Count],Table_Respons_Loket[Nomor Tiket]),"")</f>
        <v>K/41/211024/1</v>
      </c>
      <c r="D290" s="15" t="str">
        <f t="array" ref="D290">IFNA(_xlfn.XLOOKUP(B290,Table_Respons_Loket[Count],Table_Respons_Loket[Daftar Nomor Hak]),"")</f>
        <v>B.569/NUSANTARA PERMAI-SEKARANG;B.336/CAMPANG RAYA-DAHULU</v>
      </c>
      <c r="E290" s="17">
        <f t="array" ref="E290">IFNA(_xlfn.XLOOKUP(B290,Table_Respons_Loket[Count],Table_Respons_Loket[Time Stamp]),"")</f>
        <v>45586.60118</v>
      </c>
      <c r="F290" s="18" t="str">
        <f t="array" ref="F290">IFNA(_xlfn.XLOOKUP(B290,Table_Respons_Loket[Count],Table_Respons_Loket[Jenis Permohonan]),"")</f>
        <v>PENINGKATAN HAK</v>
      </c>
      <c r="G290" s="12" t="s">
        <v>42</v>
      </c>
      <c r="H290" s="12" t="s">
        <v>52</v>
      </c>
      <c r="I290" s="22">
        <f t="shared" si="7"/>
        <v>45586.68544</v>
      </c>
      <c r="J290" s="20" t="b">
        <v>0</v>
      </c>
      <c r="K290" s="13" t="str">
        <f t="shared" si="2"/>
        <v/>
      </c>
    </row>
    <row r="291" ht="22.5" customHeight="1">
      <c r="B291" s="13">
        <f t="shared" si="3"/>
        <v>285</v>
      </c>
      <c r="C291" s="15" t="str">
        <f t="array" ref="C291">IFNA(_xlfn.XLOOKUP(B291,Table_Respons_Loket[Count],Table_Respons_Loket[Nomor Tiket]),"")</f>
        <v>K/44/211024/1</v>
      </c>
      <c r="D291" s="15" t="str">
        <f t="array" ref="D291">IFNA(_xlfn.XLOOKUP(B291,Table_Respons_Loket[Count],Table_Respons_Loket[Daftar Nomor Hak]),"")</f>
        <v>M. 19255/ Sukarame</v>
      </c>
      <c r="E291" s="17">
        <f t="array" ref="E291">IFNA(_xlfn.XLOOKUP(B291,Table_Respons_Loket[Count],Table_Respons_Loket[Time Stamp]),"")</f>
        <v>45586.60514</v>
      </c>
      <c r="F291" s="18" t="str">
        <f t="array" ref="F291">IFNA(_xlfn.XLOOKUP(B291,Table_Respons_Loket[Count],Table_Respons_Loket[Jenis Permohonan]),"")</f>
        <v>BN Jual Beli</v>
      </c>
      <c r="G291" s="12" t="s">
        <v>42</v>
      </c>
      <c r="H291" s="12" t="s">
        <v>87</v>
      </c>
      <c r="I291" s="22">
        <f t="shared" si="7"/>
        <v>45600.47221</v>
      </c>
      <c r="J291" s="20" t="b">
        <v>0</v>
      </c>
      <c r="K291" s="13" t="str">
        <f t="shared" si="2"/>
        <v/>
      </c>
    </row>
    <row r="292" ht="22.5" customHeight="1">
      <c r="B292" s="13">
        <f t="shared" si="3"/>
        <v>286</v>
      </c>
      <c r="C292" s="15" t="str">
        <f t="array" ref="C292">IFNA(_xlfn.XLOOKUP(B292,Table_Respons_Loket[Count],Table_Respons_Loket[Nomor Tiket]),"")</f>
        <v>K/45/211024/1</v>
      </c>
      <c r="D292" s="15" t="str">
        <f t="array" ref="D292">IFNA(_xlfn.XLOOKUP(B292,Table_Respons_Loket[Count],Table_Respons_Loket[Daftar Nomor Hak]),"")</f>
        <v>M. 2245/ Sukarame Baru; B. 4947/Sukarame-dahulu</v>
      </c>
      <c r="E292" s="17">
        <f t="array" ref="E292">IFNA(_xlfn.XLOOKUP(B292,Table_Respons_Loket[Count],Table_Respons_Loket[Time Stamp]),"")</f>
        <v>45586.60816</v>
      </c>
      <c r="F292" s="18" t="str">
        <f t="array" ref="F292">IFNA(_xlfn.XLOOKUP(B292,Table_Respons_Loket[Count],Table_Respons_Loket[Jenis Permohonan]),"")</f>
        <v>BN Jual Beli</v>
      </c>
      <c r="G292" s="24"/>
      <c r="H292" s="12" t="s">
        <v>47</v>
      </c>
      <c r="I292" s="22" t="str">
        <f t="shared" si="7"/>
        <v/>
      </c>
      <c r="J292" s="20" t="b">
        <v>0</v>
      </c>
      <c r="K292" s="13" t="str">
        <f t="shared" si="2"/>
        <v/>
      </c>
    </row>
    <row r="293" ht="22.5" customHeight="1">
      <c r="B293" s="13">
        <f t="shared" si="3"/>
        <v>287</v>
      </c>
      <c r="C293" s="15" t="str">
        <f t="array" ref="C293">IFNA(_xlfn.XLOOKUP(B293,Table_Respons_Loket[Count],Table_Respons_Loket[Nomor Tiket]),"")</f>
        <v>K/46/211024/2</v>
      </c>
      <c r="D293" s="15" t="str">
        <f t="array" ref="D293">IFNA(_xlfn.XLOOKUP(B293,Table_Respons_Loket[Count],Table_Respons_Loket[Daftar Nomor Hak]),"")</f>
        <v>B. 1717/ Jagabaya II; SHT 5850/2013 dan SHT 763/2015</v>
      </c>
      <c r="E293" s="17">
        <f t="array" ref="E293">IFNA(_xlfn.XLOOKUP(B293,Table_Respons_Loket[Count],Table_Respons_Loket[Time Stamp]),"")</f>
        <v>45586.62171</v>
      </c>
      <c r="F293" s="18" t="str">
        <f t="array" ref="F293">IFNA(_xlfn.XLOOKUP(B293,Table_Respons_Loket[Count],Table_Respons_Loket[Jenis Permohonan]),"")</f>
        <v>Roya</v>
      </c>
      <c r="G293" s="12" t="s">
        <v>42</v>
      </c>
      <c r="H293" s="12" t="s">
        <v>52</v>
      </c>
      <c r="I293" s="22">
        <f t="shared" si="7"/>
        <v>45603.64757</v>
      </c>
      <c r="J293" s="20" t="b">
        <v>0</v>
      </c>
      <c r="K293" s="13" t="str">
        <f t="shared" si="2"/>
        <v/>
      </c>
    </row>
    <row r="294" ht="22.5" customHeight="1">
      <c r="B294" s="13">
        <f t="shared" si="3"/>
        <v>288</v>
      </c>
      <c r="C294" s="15" t="str">
        <f t="array" ref="C294">IFNA(_xlfn.XLOOKUP(B294,Table_Respons_Loket[Count],Table_Respons_Loket[Nomor Tiket]),"")</f>
        <v>K/47/211024/1</v>
      </c>
      <c r="D294" s="15" t="str">
        <f t="array" ref="D294">IFNA(_xlfn.XLOOKUP(B294,Table_Respons_Loket[Count],Table_Respons_Loket[Daftar Nomor Hak]),"")</f>
        <v>M.2704/SUKARAME BARU-SEKARANG;B.986/SUKARAME -DAHULU</v>
      </c>
      <c r="E294" s="17">
        <f t="array" ref="E294">IFNA(_xlfn.XLOOKUP(B294,Table_Respons_Loket[Count],Table_Respons_Loket[Time Stamp]),"")</f>
        <v>45586.61619</v>
      </c>
      <c r="F294" s="18" t="str">
        <f t="array" ref="F294">IFNA(_xlfn.XLOOKUP(B294,Table_Respons_Loket[Count],Table_Respons_Loket[Jenis Permohonan]),"")</f>
        <v>PERALIHAN JUAL BELI</v>
      </c>
      <c r="G294" s="12" t="s">
        <v>48</v>
      </c>
      <c r="H294" s="12" t="s">
        <v>52</v>
      </c>
      <c r="I294" s="22">
        <f t="shared" si="7"/>
        <v>45587.42208</v>
      </c>
      <c r="J294" s="20" t="b">
        <v>0</v>
      </c>
      <c r="K294" s="13" t="str">
        <f t="shared" si="2"/>
        <v/>
      </c>
    </row>
    <row r="295" ht="22.5" customHeight="1">
      <c r="B295" s="13">
        <f t="shared" si="3"/>
        <v>289</v>
      </c>
      <c r="C295" s="15" t="str">
        <f t="array" ref="C295">IFNA(_xlfn.XLOOKUP(B295,Table_Respons_Loket[Count],Table_Respons_Loket[Nomor Tiket]),"")</f>
        <v>K/48/211024/1</v>
      </c>
      <c r="D295" s="15" t="str">
        <f t="array" ref="D295">IFNA(_xlfn.XLOOKUP(B295,Table_Respons_Loket[Count],Table_Respons_Loket[Daftar Nomor Hak]),"")</f>
        <v>M. 240/ Kemiling Permai</v>
      </c>
      <c r="E295" s="17">
        <f t="array" ref="E295">IFNA(_xlfn.XLOOKUP(B295,Table_Respons_Loket[Count],Table_Respons_Loket[Time Stamp]),"")</f>
        <v>45586.61764</v>
      </c>
      <c r="F295" s="18" t="str">
        <f t="array" ref="F295">IFNA(_xlfn.XLOOKUP(B295,Table_Respons_Loket[Count],Table_Respons_Loket[Jenis Permohonan]),"")</f>
        <v>BN Jual Beli</v>
      </c>
      <c r="G295" s="12" t="s">
        <v>48</v>
      </c>
      <c r="H295" s="12" t="s">
        <v>52</v>
      </c>
      <c r="I295" s="22">
        <f t="shared" si="7"/>
        <v>45587.42215</v>
      </c>
      <c r="J295" s="20" t="b">
        <v>0</v>
      </c>
      <c r="K295" s="13" t="str">
        <f t="shared" si="2"/>
        <v/>
      </c>
    </row>
    <row r="296" ht="22.5" customHeight="1">
      <c r="B296" s="13">
        <f t="shared" si="3"/>
        <v>290</v>
      </c>
      <c r="C296" s="15" t="str">
        <f t="array" ref="C296">IFNA(_xlfn.XLOOKUP(B296,Table_Respons_Loket[Count],Table_Respons_Loket[Nomor Tiket]),"")</f>
        <v>L/49/211024/1</v>
      </c>
      <c r="D296" s="15" t="str">
        <f t="array" ref="D296">IFNA(_xlfn.XLOOKUP(B296,Table_Respons_Loket[Count],Table_Respons_Loket[Daftar Nomor Hak]),"")</f>
        <v>NIB 0801000019330/NOG</v>
      </c>
      <c r="E296" s="17">
        <f t="array" ref="E296">IFNA(_xlfn.XLOOKUP(B296,Table_Respons_Loket[Count],Table_Respons_Loket[Time Stamp]),"")</f>
        <v>45586.6177</v>
      </c>
      <c r="F296" s="18" t="str">
        <f t="array" ref="F296">IFNA(_xlfn.XLOOKUP(B296,Table_Respons_Loket[Count],Table_Respons_Loket[Jenis Permohonan]),"")</f>
        <v>PH</v>
      </c>
      <c r="G296" s="24"/>
      <c r="H296" s="24"/>
      <c r="I296" s="22" t="str">
        <f t="shared" si="7"/>
        <v/>
      </c>
      <c r="J296" s="20" t="b">
        <v>0</v>
      </c>
      <c r="K296" s="13" t="str">
        <f t="shared" si="2"/>
        <v/>
      </c>
    </row>
    <row r="297" ht="22.5" customHeight="1">
      <c r="B297" s="13">
        <f t="shared" si="3"/>
        <v>291</v>
      </c>
      <c r="C297" s="15" t="str">
        <f t="array" ref="C297">IFNA(_xlfn.XLOOKUP(B297,Table_Respons_Loket[Count],Table_Respons_Loket[Nomor Tiket]),"")</f>
        <v>K/50/211024/1</v>
      </c>
      <c r="D297" s="15" t="str">
        <f t="array" ref="D297">IFNA(_xlfn.XLOOKUP(B297,Table_Respons_Loket[Count],Table_Respons_Loket[Daftar Nomor Hak]),"")</f>
        <v>M. 13651/ Labuhan Ratu; SHT 2739/2019</v>
      </c>
      <c r="E297" s="17">
        <f t="array" ref="E297">IFNA(_xlfn.XLOOKUP(B297,Table_Respons_Loket[Count],Table_Respons_Loket[Time Stamp]),"")</f>
        <v>45586.62308</v>
      </c>
      <c r="F297" s="18" t="str">
        <f t="array" ref="F297">IFNA(_xlfn.XLOOKUP(B297,Table_Respons_Loket[Count],Table_Respons_Loket[Jenis Permohonan]),"")</f>
        <v>Roya</v>
      </c>
      <c r="G297" s="24"/>
      <c r="H297" s="12" t="s">
        <v>47</v>
      </c>
      <c r="I297" s="22" t="str">
        <f t="shared" si="7"/>
        <v/>
      </c>
      <c r="J297" s="20" t="b">
        <v>0</v>
      </c>
      <c r="K297" s="13" t="str">
        <f t="shared" si="2"/>
        <v/>
      </c>
    </row>
    <row r="298" ht="22.5" customHeight="1">
      <c r="B298" s="13">
        <f t="shared" si="3"/>
        <v>292</v>
      </c>
      <c r="C298" s="15" t="str">
        <f t="array" ref="C298">IFNA(_xlfn.XLOOKUP(B298,Table_Respons_Loket[Count],Table_Respons_Loket[Nomor Tiket]),"")</f>
        <v>K/51/211024/2</v>
      </c>
      <c r="D298" s="15" t="str">
        <f t="array" ref="D298">IFNA(_xlfn.XLOOKUP(B298,Table_Respons_Loket[Count],Table_Respons_Loket[Daftar Nomor Hak]),"")</f>
        <v>M. 923/ Gunung Sulah</v>
      </c>
      <c r="E298" s="17">
        <f t="array" ref="E298">IFNA(_xlfn.XLOOKUP(B298,Table_Respons_Loket[Count],Table_Respons_Loket[Time Stamp]),"")</f>
        <v>45586.62575</v>
      </c>
      <c r="F298" s="18" t="str">
        <f t="array" ref="F298">IFNA(_xlfn.XLOOKUP(B298,Table_Respons_Loket[Count],Table_Respons_Loket[Jenis Permohonan]),"")</f>
        <v>BN Jual Beli</v>
      </c>
      <c r="G298" s="12" t="s">
        <v>42</v>
      </c>
      <c r="H298" s="12" t="s">
        <v>52</v>
      </c>
      <c r="I298" s="22">
        <f t="shared" si="7"/>
        <v>45595.46414</v>
      </c>
      <c r="J298" s="20" t="b">
        <v>0</v>
      </c>
      <c r="K298" s="13" t="str">
        <f t="shared" si="2"/>
        <v/>
      </c>
    </row>
    <row r="299" ht="22.5" customHeight="1">
      <c r="B299" s="13">
        <f t="shared" si="3"/>
        <v>293</v>
      </c>
      <c r="C299" s="15" t="str">
        <f t="array" ref="C299">IFNA(_xlfn.XLOOKUP(B299,Table_Respons_Loket[Count],Table_Respons_Loket[Nomor Tiket]),"")</f>
        <v>K/52/211024/1</v>
      </c>
      <c r="D299" s="15" t="str">
        <f t="array" ref="D299">IFNA(_xlfn.XLOOKUP(B299,Table_Respons_Loket[Count],Table_Respons_Loket[Daftar Nomor Hak]),"")</f>
        <v>M. 1885/ Sumberejo/ Kemiling</v>
      </c>
      <c r="E299" s="17">
        <f t="array" ref="E299">IFNA(_xlfn.XLOOKUP(B299,Table_Respons_Loket[Count],Table_Respons_Loket[Time Stamp]),"")</f>
        <v>45586.64223</v>
      </c>
      <c r="F299" s="18" t="str">
        <f t="array" ref="F299">IFNA(_xlfn.XLOOKUP(B299,Table_Respons_Loket[Count],Table_Respons_Loket[Jenis Permohonan]),"")</f>
        <v>Gandes</v>
      </c>
      <c r="G299" s="24"/>
      <c r="H299" s="24"/>
      <c r="I299" s="22" t="str">
        <f t="shared" si="7"/>
        <v/>
      </c>
      <c r="J299" s="20" t="b">
        <v>0</v>
      </c>
      <c r="K299" s="13" t="str">
        <f t="shared" si="2"/>
        <v/>
      </c>
    </row>
    <row r="300" ht="22.5" customHeight="1">
      <c r="B300" s="13">
        <f t="shared" si="3"/>
        <v>294</v>
      </c>
      <c r="C300" s="15" t="str">
        <f t="array" ref="C300">IFNA(_xlfn.XLOOKUP(B300,Table_Respons_Loket[Count],Table_Respons_Loket[Nomor Tiket]),"")</f>
        <v>K/53/211024/1</v>
      </c>
      <c r="D300" s="15" t="str">
        <f t="array" ref="D300">IFNA(_xlfn.XLOOKUP(B300,Table_Respons_Loket[Count],Table_Respons_Loket[Daftar Nomor Hak]),"")</f>
        <v>M. 666/ Beringin Jaya</v>
      </c>
      <c r="E300" s="17">
        <f t="array" ref="E300">IFNA(_xlfn.XLOOKUP(B300,Table_Respons_Loket[Count],Table_Respons_Loket[Time Stamp]),"")</f>
        <v>45586.64783</v>
      </c>
      <c r="F300" s="18" t="str">
        <f t="array" ref="F300">IFNA(_xlfn.XLOOKUP(B300,Table_Respons_Loket[Count],Table_Respons_Loket[Jenis Permohonan]),"")</f>
        <v>BN Jual Beli</v>
      </c>
      <c r="G300" s="12" t="s">
        <v>42</v>
      </c>
      <c r="H300" s="12" t="s">
        <v>52</v>
      </c>
      <c r="I300" s="22">
        <f t="shared" si="7"/>
        <v>45601.42144</v>
      </c>
      <c r="J300" s="20" t="b">
        <v>0</v>
      </c>
      <c r="K300" s="13" t="str">
        <f t="shared" si="2"/>
        <v/>
      </c>
    </row>
    <row r="301" ht="22.5" customHeight="1">
      <c r="B301" s="13">
        <f t="shared" si="3"/>
        <v>295</v>
      </c>
      <c r="C301" s="15" t="str">
        <f t="array" ref="C301">IFNA(_xlfn.XLOOKUP(B301,Table_Respons_Loket[Count],Table_Respons_Loket[Nomor Tiket]),"")</f>
        <v>K/54/211024/1</v>
      </c>
      <c r="D301" s="15" t="str">
        <f t="array" ref="D301">IFNA(_xlfn.XLOOKUP(B301,Table_Respons_Loket[Count],Table_Respons_Loket[Daftar Nomor Hak]),"")</f>
        <v>B. 578/ Negeri Olok Gading</v>
      </c>
      <c r="E301" s="17">
        <f t="array" ref="E301">IFNA(_xlfn.XLOOKUP(B301,Table_Respons_Loket[Count],Table_Respons_Loket[Time Stamp]),"")</f>
        <v>45586.65352</v>
      </c>
      <c r="F301" s="18" t="str">
        <f t="array" ref="F301">IFNA(_xlfn.XLOOKUP(B301,Table_Respons_Loket[Count],Table_Respons_Loket[Jenis Permohonan]),"")</f>
        <v>Roya</v>
      </c>
      <c r="G301" s="24"/>
      <c r="H301" s="12" t="s">
        <v>52</v>
      </c>
      <c r="I301" s="22">
        <f t="shared" si="7"/>
        <v>45594.41814</v>
      </c>
      <c r="J301" s="20" t="b">
        <v>0</v>
      </c>
      <c r="K301" s="13" t="str">
        <f t="shared" si="2"/>
        <v/>
      </c>
    </row>
    <row r="302" ht="22.5" customHeight="1">
      <c r="B302" s="13">
        <f t="shared" si="3"/>
        <v>296</v>
      </c>
      <c r="C302" s="15" t="str">
        <f t="array" ref="C302">IFNA(_xlfn.XLOOKUP(B302,Table_Respons_Loket[Count],Table_Respons_Loket[Nomor Tiket]),"")</f>
        <v>K/1/221024/1</v>
      </c>
      <c r="D302" s="15" t="str">
        <f t="array" ref="D302">IFNA(_xlfn.XLOOKUP(B302,Table_Respons_Loket[Count],Table_Respons_Loket[Daftar Nomor Hak]),"")</f>
        <v>M. 2232/ KUPANG TEBA</v>
      </c>
      <c r="E302" s="17">
        <f t="array" ref="E302">IFNA(_xlfn.XLOOKUP(B302,Table_Respons_Loket[Count],Table_Respons_Loket[Time Stamp]),"")</f>
        <v>45587.3817</v>
      </c>
      <c r="F302" s="18" t="str">
        <f t="array" ref="F302">IFNA(_xlfn.XLOOKUP(B302,Table_Respons_Loket[Count],Table_Respons_Loket[Jenis Permohonan]),"")</f>
        <v>ROYA</v>
      </c>
      <c r="G302" s="12" t="s">
        <v>50</v>
      </c>
      <c r="H302" s="12" t="s">
        <v>52</v>
      </c>
      <c r="I302" s="22">
        <f t="shared" si="7"/>
        <v>45588.37738</v>
      </c>
      <c r="J302" s="20" t="b">
        <v>0</v>
      </c>
      <c r="K302" s="13" t="str">
        <f t="shared" si="2"/>
        <v/>
      </c>
    </row>
    <row r="303" ht="22.5" customHeight="1">
      <c r="B303" s="13">
        <f t="shared" si="3"/>
        <v>297</v>
      </c>
      <c r="C303" s="15" t="str">
        <f t="array" ref="C303">IFNA(_xlfn.XLOOKUP(B303,Table_Respons_Loket[Count],Table_Respons_Loket[Nomor Tiket]),"")</f>
        <v>K/2/221024/2</v>
      </c>
      <c r="D303" s="15" t="str">
        <f t="array" ref="D303">IFNA(_xlfn.XLOOKUP(B303,Table_Respons_Loket[Count],Table_Respons_Loket[Daftar Nomor Hak]),"")</f>
        <v>M. 1556/ Bumi Waras</v>
      </c>
      <c r="E303" s="17">
        <f t="array" ref="E303">IFNA(_xlfn.XLOOKUP(B303,Table_Respons_Loket[Count],Table_Respons_Loket[Time Stamp]),"")</f>
        <v>45587.38308</v>
      </c>
      <c r="F303" s="18" t="str">
        <f t="array" ref="F303">IFNA(_xlfn.XLOOKUP(B303,Table_Respons_Loket[Count],Table_Respons_Loket[Jenis Permohonan]),"")</f>
        <v>Roya</v>
      </c>
      <c r="G303" s="12" t="s">
        <v>50</v>
      </c>
      <c r="H303" s="12" t="s">
        <v>52</v>
      </c>
      <c r="I303" s="22">
        <f t="shared" si="7"/>
        <v>45588.37738</v>
      </c>
      <c r="J303" s="20" t="b">
        <v>0</v>
      </c>
      <c r="K303" s="13" t="str">
        <f t="shared" si="2"/>
        <v/>
      </c>
    </row>
    <row r="304" ht="22.5" customHeight="1">
      <c r="B304" s="13">
        <f t="shared" si="3"/>
        <v>298</v>
      </c>
      <c r="C304" s="15" t="str">
        <f t="array" ref="C304">IFNA(_xlfn.XLOOKUP(B304,Table_Respons_Loket[Count],Table_Respons_Loket[Nomor Tiket]),"")</f>
        <v>K/3/221024/1c</v>
      </c>
      <c r="D304" s="15" t="str">
        <f t="array" ref="D304">IFNA(_xlfn.XLOOKUP(B304,Table_Respons_Loket[Count],Table_Respons_Loket[Daftar Nomor Hak]),"")</f>
        <v>M.1260/SUKAJAWA</v>
      </c>
      <c r="E304" s="17">
        <f t="array" ref="E304">IFNA(_xlfn.XLOOKUP(B304,Table_Respons_Loket[Count],Table_Respons_Loket[Time Stamp]),"")</f>
        <v>45587.38516</v>
      </c>
      <c r="F304" s="18" t="str">
        <f t="array" ref="F304">IFNA(_xlfn.XLOOKUP(B304,Table_Respons_Loket[Count],Table_Respons_Loket[Jenis Permohonan]),"")</f>
        <v>ROYA</v>
      </c>
      <c r="G304" s="12" t="s">
        <v>50</v>
      </c>
      <c r="H304" s="12" t="s">
        <v>87</v>
      </c>
      <c r="I304" s="22">
        <f t="shared" si="7"/>
        <v>45588.37738</v>
      </c>
      <c r="J304" s="20" t="b">
        <v>0</v>
      </c>
      <c r="K304" s="13" t="str">
        <f t="shared" si="2"/>
        <v/>
      </c>
    </row>
    <row r="305" ht="22.5" customHeight="1">
      <c r="B305" s="13">
        <f t="shared" si="3"/>
        <v>299</v>
      </c>
      <c r="C305" s="15" t="str">
        <f t="array" ref="C305">IFNA(_xlfn.XLOOKUP(B305,Table_Respons_Loket[Count],Table_Respons_Loket[Nomor Tiket]),"")</f>
        <v>L/4/221024/1</v>
      </c>
      <c r="D305" s="15" t="str">
        <f t="array" ref="D305">IFNA(_xlfn.XLOOKUP(B305,Table_Respons_Loket[Count],Table_Respons_Loket[Daftar Nomor Hak]),"")</f>
        <v>HM 3875/LANGKAPURA</v>
      </c>
      <c r="E305" s="17">
        <f t="array" ref="E305">IFNA(_xlfn.XLOOKUP(B305,Table_Respons_Loket[Count],Table_Respons_Loket[Time Stamp]),"")</f>
        <v>45587.38528</v>
      </c>
      <c r="F305" s="18" t="str">
        <f t="array" ref="F305">IFNA(_xlfn.XLOOKUP(B305,Table_Respons_Loket[Count],Table_Respons_Loket[Jenis Permohonan]),"")</f>
        <v>BN WARIS</v>
      </c>
      <c r="G305" s="12" t="s">
        <v>50</v>
      </c>
      <c r="H305" s="12" t="s">
        <v>52</v>
      </c>
      <c r="I305" s="22">
        <f t="shared" si="7"/>
        <v>45588.37738</v>
      </c>
      <c r="J305" s="20" t="b">
        <v>0</v>
      </c>
      <c r="K305" s="13" t="str">
        <f t="shared" si="2"/>
        <v/>
      </c>
    </row>
    <row r="306" ht="22.5" customHeight="1">
      <c r="B306" s="13">
        <f t="shared" si="3"/>
        <v>300</v>
      </c>
      <c r="C306" s="15" t="str">
        <f t="array" ref="C306">IFNA(_xlfn.XLOOKUP(B306,Table_Respons_Loket[Count],Table_Respons_Loket[Nomor Tiket]),"")</f>
        <v>K/5/221024/1</v>
      </c>
      <c r="D306" s="15" t="str">
        <f t="array" ref="D306">IFNA(_xlfn.XLOOKUP(B306,Table_Respons_Loket[Count],Table_Respons_Loket[Daftar Nomor Hak]),"")</f>
        <v>B. 308/ Pematang Wangi; B. 964/ Tanjung Senang</v>
      </c>
      <c r="E306" s="17">
        <f t="array" ref="E306">IFNA(_xlfn.XLOOKUP(B306,Table_Respons_Loket[Count],Table_Respons_Loket[Time Stamp]),"")</f>
        <v>45587.38847</v>
      </c>
      <c r="F306" s="18" t="str">
        <f t="array" ref="F306">IFNA(_xlfn.XLOOKUP(B306,Table_Respons_Loket[Count],Table_Respons_Loket[Jenis Permohonan]),"")</f>
        <v>Perubahan Hak</v>
      </c>
      <c r="G306" s="24"/>
      <c r="H306" s="12" t="s">
        <v>47</v>
      </c>
      <c r="I306" s="22" t="str">
        <f t="shared" si="7"/>
        <v/>
      </c>
      <c r="J306" s="20" t="b">
        <v>0</v>
      </c>
      <c r="K306" s="13" t="str">
        <f t="shared" si="2"/>
        <v/>
      </c>
    </row>
    <row r="307" ht="22.5" customHeight="1">
      <c r="B307" s="13">
        <f t="shared" si="3"/>
        <v>301</v>
      </c>
      <c r="C307" s="15" t="str">
        <f t="array" ref="C307">IFNA(_xlfn.XLOOKUP(B307,Table_Respons_Loket[Count],Table_Respons_Loket[Nomor Tiket]),"")</f>
        <v>L/6/221024/1</v>
      </c>
      <c r="D307" s="15" t="str">
        <f t="array" ref="D307">IFNA(_xlfn.XLOOKUP(B307,Table_Respons_Loket[Count],Table_Respons_Loket[Daftar Nomor Hak]),"")</f>
        <v>SHGB.262/KAMPUNG BARU DAN SHGB.258/KAMPUNG BARU</v>
      </c>
      <c r="E307" s="17">
        <f t="array" ref="E307">IFNA(_xlfn.XLOOKUP(B307,Table_Respons_Loket[Count],Table_Respons_Loket[Time Stamp]),"")</f>
        <v>45587.38905</v>
      </c>
      <c r="F307" s="18" t="str">
        <f t="array" ref="F307">IFNA(_xlfn.XLOOKUP(B307,Table_Respons_Loket[Count],Table_Respons_Loket[Jenis Permohonan]),"")</f>
        <v>ROYA</v>
      </c>
      <c r="G307" s="24"/>
      <c r="H307" s="12" t="s">
        <v>47</v>
      </c>
      <c r="I307" s="22" t="str">
        <f t="shared" si="7"/>
        <v/>
      </c>
      <c r="J307" s="20" t="b">
        <v>0</v>
      </c>
      <c r="K307" s="13" t="str">
        <f t="shared" si="2"/>
        <v/>
      </c>
    </row>
    <row r="308" ht="22.5" customHeight="1">
      <c r="B308" s="13">
        <f t="shared" si="3"/>
        <v>302</v>
      </c>
      <c r="C308" s="15" t="str">
        <f t="array" ref="C308">IFNA(_xlfn.XLOOKUP(B308,Table_Respons_Loket[Count],Table_Respons_Loket[Nomor Tiket]),"")</f>
        <v>K/7/221024/1</v>
      </c>
      <c r="D308" s="15" t="str">
        <f t="array" ref="D308">IFNA(_xlfn.XLOOKUP(B308,Table_Respons_Loket[Count],Table_Respons_Loket[Daftar Nomor Hak]),"")</f>
        <v>M. 2222/ Way Kandis; SHT 1348/ 2018</v>
      </c>
      <c r="E308" s="17">
        <f t="array" ref="E308">IFNA(_xlfn.XLOOKUP(B308,Table_Respons_Loket[Count],Table_Respons_Loket[Time Stamp]),"")</f>
        <v>45587.3959</v>
      </c>
      <c r="F308" s="18" t="str">
        <f t="array" ref="F308">IFNA(_xlfn.XLOOKUP(B308,Table_Respons_Loket[Count],Table_Respons_Loket[Jenis Permohonan]),"")</f>
        <v>Roya</v>
      </c>
      <c r="G308" s="12" t="s">
        <v>50</v>
      </c>
      <c r="H308" s="12" t="s">
        <v>52</v>
      </c>
      <c r="I308" s="22">
        <f t="shared" si="7"/>
        <v>45588.37738</v>
      </c>
      <c r="J308" s="20" t="b">
        <v>0</v>
      </c>
      <c r="K308" s="13" t="str">
        <f t="shared" si="2"/>
        <v/>
      </c>
    </row>
    <row r="309" ht="22.5" customHeight="1">
      <c r="B309" s="13">
        <f t="shared" si="3"/>
        <v>303</v>
      </c>
      <c r="C309" s="15" t="str">
        <f t="array" ref="C309">IFNA(_xlfn.XLOOKUP(B309,Table_Respons_Loket[Count],Table_Respons_Loket[Nomor Tiket]),"")</f>
        <v>L/8/221024/1</v>
      </c>
      <c r="D309" s="15" t="str">
        <f t="array" ref="D309">IFNA(_xlfn.XLOOKUP(B309,Table_Respons_Loket[Count],Table_Respons_Loket[Daftar Nomor Hak]),"")</f>
        <v>HGB 143/KAMPUNG BARU</v>
      </c>
      <c r="E309" s="17">
        <f t="array" ref="E309">IFNA(_xlfn.XLOOKUP(B309,Table_Respons_Loket[Count],Table_Respons_Loket[Time Stamp]),"")</f>
        <v>45587.39632</v>
      </c>
      <c r="F309" s="18" t="str">
        <f t="array" ref="F309">IFNA(_xlfn.XLOOKUP(B309,Table_Respons_Loket[Count],Table_Respons_Loket[Jenis Permohonan]),"")</f>
        <v>ROYA</v>
      </c>
      <c r="G309" s="12" t="s">
        <v>50</v>
      </c>
      <c r="H309" s="12" t="s">
        <v>52</v>
      </c>
      <c r="I309" s="22">
        <f t="shared" si="7"/>
        <v>45588.37738</v>
      </c>
      <c r="J309" s="20" t="b">
        <v>0</v>
      </c>
      <c r="K309" s="13" t="str">
        <f t="shared" si="2"/>
        <v/>
      </c>
    </row>
    <row r="310" ht="22.5" customHeight="1">
      <c r="B310" s="13">
        <f t="shared" si="3"/>
        <v>304</v>
      </c>
      <c r="C310" s="15" t="str">
        <f t="array" ref="C310">IFNA(_xlfn.XLOOKUP(B310,Table_Respons_Loket[Count],Table_Respons_Loket[Nomor Tiket]),"")</f>
        <v>K/9/221024/1</v>
      </c>
      <c r="D310" s="15" t="str">
        <f t="array" ref="D310">IFNA(_xlfn.XLOOKUP(B310,Table_Respons_Loket[Count],Table_Respons_Loket[Daftar Nomor Hak]),"")</f>
        <v>M.26/LANGKAPURA BARU-SEKARANG;B.113/LANGKAPURA-DAHULU</v>
      </c>
      <c r="E310" s="17">
        <f t="array" ref="E310">IFNA(_xlfn.XLOOKUP(B310,Table_Respons_Loket[Count],Table_Respons_Loket[Time Stamp]),"")</f>
        <v>45587.4092</v>
      </c>
      <c r="F310" s="18" t="str">
        <f t="array" ref="F310">IFNA(_xlfn.XLOOKUP(B310,Table_Respons_Loket[Count],Table_Respons_Loket[Jenis Permohonan]),"")</f>
        <v>ROYA</v>
      </c>
      <c r="G310" s="12" t="s">
        <v>48</v>
      </c>
      <c r="H310" s="12" t="s">
        <v>52</v>
      </c>
      <c r="I310" s="22">
        <f t="shared" si="7"/>
        <v>45588.37974</v>
      </c>
      <c r="J310" s="20" t="b">
        <v>0</v>
      </c>
      <c r="K310" s="13" t="str">
        <f t="shared" si="2"/>
        <v/>
      </c>
    </row>
    <row r="311" ht="22.5" customHeight="1">
      <c r="B311" s="13">
        <f t="shared" si="3"/>
        <v>305</v>
      </c>
      <c r="C311" s="15" t="str">
        <f t="array" ref="C311">IFNA(_xlfn.XLOOKUP(B311,Table_Respons_Loket[Count],Table_Respons_Loket[Nomor Tiket]),"")</f>
        <v>K/10/221024/1</v>
      </c>
      <c r="D311" s="15" t="str">
        <f t="array" ref="D311">IFNA(_xlfn.XLOOKUP(B311,Table_Respons_Loket[Count],Table_Respons_Loket[Daftar Nomor Hak]),"")</f>
        <v>M.13711/RAJABASA</v>
      </c>
      <c r="E311" s="17">
        <f t="array" ref="E311">IFNA(_xlfn.XLOOKUP(B311,Table_Respons_Loket[Count],Table_Respons_Loket[Time Stamp]),"")</f>
        <v>45587.40977</v>
      </c>
      <c r="F311" s="18" t="str">
        <f t="array" ref="F311">IFNA(_xlfn.XLOOKUP(B311,Table_Respons_Loket[Count],Table_Respons_Loket[Jenis Permohonan]),"")</f>
        <v>GANDES</v>
      </c>
      <c r="G311" s="24"/>
      <c r="H311" s="24"/>
      <c r="I311" s="22" t="str">
        <f t="shared" si="7"/>
        <v/>
      </c>
      <c r="J311" s="20" t="b">
        <v>0</v>
      </c>
      <c r="K311" s="13" t="str">
        <f t="shared" si="2"/>
        <v/>
      </c>
    </row>
    <row r="312" ht="22.5" customHeight="1">
      <c r="B312" s="13">
        <f t="shared" si="3"/>
        <v>306</v>
      </c>
      <c r="C312" s="15" t="str">
        <f t="array" ref="C312">IFNA(_xlfn.XLOOKUP(B312,Table_Respons_Loket[Count],Table_Respons_Loket[Nomor Tiket]),"")</f>
        <v>K/13/221024/1</v>
      </c>
      <c r="D312" s="15" t="str">
        <f t="array" ref="D312">IFNA(_xlfn.XLOOKUP(B312,Table_Respons_Loket[Count],Table_Respons_Loket[Daftar Nomor Hak]),"")</f>
        <v>Nibel. M. 1167/ Tanjung Gading</v>
      </c>
      <c r="E312" s="17">
        <f t="array" ref="E312">IFNA(_xlfn.XLOOKUP(B312,Table_Respons_Loket[Count],Table_Respons_Loket[Time Stamp]),"")</f>
        <v>45587.41427</v>
      </c>
      <c r="F312" s="18" t="str">
        <f t="array" ref="F312">IFNA(_xlfn.XLOOKUP(B312,Table_Respons_Loket[Count],Table_Respons_Loket[Jenis Permohonan]),"")</f>
        <v>BN Jual Beli</v>
      </c>
      <c r="G312" s="24"/>
      <c r="H312" s="24"/>
      <c r="I312" s="22" t="str">
        <f t="shared" si="7"/>
        <v/>
      </c>
      <c r="J312" s="20" t="b">
        <v>0</v>
      </c>
      <c r="K312" s="13" t="str">
        <f t="shared" si="2"/>
        <v/>
      </c>
    </row>
    <row r="313" ht="22.5" customHeight="1">
      <c r="B313" s="13">
        <f t="shared" si="3"/>
        <v>307</v>
      </c>
      <c r="C313" s="15" t="str">
        <f t="array" ref="C313">IFNA(_xlfn.XLOOKUP(B313,Table_Respons_Loket[Count],Table_Respons_Loket[Nomor Tiket]),"")</f>
        <v>L/12/221024/1</v>
      </c>
      <c r="D313" s="15" t="str">
        <f t="array" ref="D313">IFNA(_xlfn.XLOOKUP(B313,Table_Respons_Loket[Count],Table_Respons_Loket[Daftar Nomor Hak]),"")</f>
        <v>HM 769/WHP</v>
      </c>
      <c r="E313" s="17">
        <f t="array" ref="E313">IFNA(_xlfn.XLOOKUP(B313,Table_Respons_Loket[Count],Table_Respons_Loket[Time Stamp]),"")</f>
        <v>45587.4147</v>
      </c>
      <c r="F313" s="18" t="str">
        <f t="array" ref="F313">IFNA(_xlfn.XLOOKUP(B313,Table_Respons_Loket[Count],Table_Respons_Loket[Jenis Permohonan]),"")</f>
        <v>ROYA</v>
      </c>
      <c r="G313" s="12" t="s">
        <v>42</v>
      </c>
      <c r="H313" s="12" t="s">
        <v>87</v>
      </c>
      <c r="I313" s="22">
        <f t="shared" si="7"/>
        <v>45601.69013</v>
      </c>
      <c r="J313" s="20" t="b">
        <v>0</v>
      </c>
      <c r="K313" s="13" t="str">
        <f t="shared" si="2"/>
        <v/>
      </c>
    </row>
    <row r="314" ht="22.5" customHeight="1">
      <c r="B314" s="13">
        <f t="shared" si="3"/>
        <v>308</v>
      </c>
      <c r="C314" s="15" t="str">
        <f t="array" ref="C314">IFNA(_xlfn.XLOOKUP(B314,Table_Respons_Loket[Count],Table_Respons_Loket[Nomor Tiket]),"")</f>
        <v>L/11/221024/1</v>
      </c>
      <c r="D314" s="15" t="str">
        <f t="array" ref="D314">IFNA(_xlfn.XLOOKUP(B314,Table_Respons_Loket[Count],Table_Respons_Loket[Daftar Nomor Hak]),"")</f>
        <v>M.12607/RAJABASA;B.1164/RAJABASA-DAHULU</v>
      </c>
      <c r="E314" s="17">
        <f t="array" ref="E314">IFNA(_xlfn.XLOOKUP(B314,Table_Respons_Loket[Count],Table_Respons_Loket[Time Stamp]),"")</f>
        <v>45587.41689</v>
      </c>
      <c r="F314" s="18" t="str">
        <f t="array" ref="F314">IFNA(_xlfn.XLOOKUP(B314,Table_Respons_Loket[Count],Table_Respons_Loket[Jenis Permohonan]),"")</f>
        <v>ROYA</v>
      </c>
      <c r="G314" s="12" t="s">
        <v>48</v>
      </c>
      <c r="H314" s="12" t="s">
        <v>52</v>
      </c>
      <c r="I314" s="22">
        <f t="shared" si="7"/>
        <v>45588.38056</v>
      </c>
      <c r="J314" s="20" t="b">
        <v>0</v>
      </c>
      <c r="K314" s="13" t="str">
        <f t="shared" si="2"/>
        <v/>
      </c>
    </row>
    <row r="315" ht="22.5" customHeight="1">
      <c r="B315" s="13">
        <f t="shared" si="3"/>
        <v>309</v>
      </c>
      <c r="C315" s="15" t="str">
        <f t="array" ref="C315">IFNA(_xlfn.XLOOKUP(B315,Table_Respons_Loket[Count],Table_Respons_Loket[Nomor Tiket]),"")</f>
        <v>K/15/221024/1</v>
      </c>
      <c r="D315" s="15" t="str">
        <f t="array" ref="D315">IFNA(_xlfn.XLOOKUP(B315,Table_Respons_Loket[Count],Table_Respons_Loket[Daftar Nomor Hak]),"")</f>
        <v>M. 1415/ Labuhan Dalam</v>
      </c>
      <c r="E315" s="17">
        <f t="array" ref="E315">IFNA(_xlfn.XLOOKUP(B315,Table_Respons_Loket[Count],Table_Respons_Loket[Time Stamp]),"")</f>
        <v>45587.41782</v>
      </c>
      <c r="F315" s="18" t="str">
        <f t="array" ref="F315">IFNA(_xlfn.XLOOKUP(B315,Table_Respons_Loket[Count],Table_Respons_Loket[Jenis Permohonan]),"")</f>
        <v>Pengecekkan</v>
      </c>
      <c r="G315" s="24"/>
      <c r="H315" s="24"/>
      <c r="I315" s="22" t="str">
        <f t="shared" si="7"/>
        <v/>
      </c>
      <c r="J315" s="20" t="b">
        <v>0</v>
      </c>
      <c r="K315" s="13" t="str">
        <f t="shared" si="2"/>
        <v/>
      </c>
    </row>
    <row r="316" ht="22.5" customHeight="1">
      <c r="B316" s="13">
        <f t="shared" si="3"/>
        <v>310</v>
      </c>
      <c r="C316" s="15" t="str">
        <f t="array" ref="C316">IFNA(_xlfn.XLOOKUP(B316,Table_Respons_Loket[Count],Table_Respons_Loket[Nomor Tiket]),"")</f>
        <v>K/16/221024/2</v>
      </c>
      <c r="D316" s="15" t="str">
        <f t="array" ref="D316">IFNA(_xlfn.XLOOKUP(B316,Table_Respons_Loket[Count],Table_Respons_Loket[Daftar Nomor Hak]),"")</f>
        <v>M. 48/ Kedaton</v>
      </c>
      <c r="E316" s="17">
        <f t="array" ref="E316">IFNA(_xlfn.XLOOKUP(B316,Table_Respons_Loket[Count],Table_Respons_Loket[Time Stamp]),"")</f>
        <v>45587.42045</v>
      </c>
      <c r="F316" s="18" t="str">
        <f t="array" ref="F316">IFNA(_xlfn.XLOOKUP(B316,Table_Respons_Loket[Count],Table_Respons_Loket[Jenis Permohonan]),"")</f>
        <v>Pengecekkan</v>
      </c>
      <c r="G316" s="24"/>
      <c r="H316" s="24"/>
      <c r="I316" s="22" t="str">
        <f t="shared" si="7"/>
        <v/>
      </c>
      <c r="J316" s="20" t="b">
        <v>0</v>
      </c>
      <c r="K316" s="13" t="str">
        <f t="shared" si="2"/>
        <v/>
      </c>
    </row>
    <row r="317" ht="22.5" customHeight="1">
      <c r="B317" s="13">
        <f t="shared" si="3"/>
        <v>311</v>
      </c>
      <c r="C317" s="15" t="str">
        <f t="array" ref="C317">IFNA(_xlfn.XLOOKUP(B317,Table_Respons_Loket[Count],Table_Respons_Loket[Nomor Tiket]),"")</f>
        <v>K/14/221024/2</v>
      </c>
      <c r="D317" s="15" t="str">
        <f t="array" ref="D317">IFNA(_xlfn.XLOOKUP(B317,Table_Respons_Loket[Count],Table_Respons_Loket[Daftar Nomor Hak]),"")</f>
        <v>M. 3903/ Way Kandis</v>
      </c>
      <c r="E317" s="17">
        <f t="array" ref="E317">IFNA(_xlfn.XLOOKUP(B317,Table_Respons_Loket[Count],Table_Respons_Loket[Time Stamp]),"")</f>
        <v>45587.4274</v>
      </c>
      <c r="F317" s="18" t="str">
        <f t="array" ref="F317">IFNA(_xlfn.XLOOKUP(B317,Table_Respons_Loket[Count],Table_Respons_Loket[Jenis Permohonan]),"")</f>
        <v>BN Waris</v>
      </c>
      <c r="G317" s="12" t="s">
        <v>48</v>
      </c>
      <c r="H317" s="12" t="s">
        <v>52</v>
      </c>
      <c r="I317" s="22">
        <f t="shared" si="7"/>
        <v>45588.38084</v>
      </c>
      <c r="J317" s="20" t="b">
        <v>0</v>
      </c>
      <c r="K317" s="13" t="str">
        <f t="shared" si="2"/>
        <v/>
      </c>
    </row>
    <row r="318" ht="22.5" customHeight="1">
      <c r="B318" s="13">
        <f t="shared" si="3"/>
        <v>312</v>
      </c>
      <c r="C318" s="15" t="str">
        <f t="array" ref="C318">IFNA(_xlfn.XLOOKUP(B318,Table_Respons_Loket[Count],Table_Respons_Loket[Nomor Tiket]),"")</f>
        <v>K/17/221024/3</v>
      </c>
      <c r="D318" s="15" t="str">
        <f t="array" ref="D318">IFNA(_xlfn.XLOOKUP(B318,Table_Respons_Loket[Count],Table_Respons_Loket[Daftar Nomor Hak]),"")</f>
        <v>M. 8998/ Surabaya</v>
      </c>
      <c r="E318" s="17">
        <f t="array" ref="E318">IFNA(_xlfn.XLOOKUP(B318,Table_Respons_Loket[Count],Table_Respons_Loket[Time Stamp]),"")</f>
        <v>45587.42102</v>
      </c>
      <c r="F318" s="18" t="str">
        <f t="array" ref="F318">IFNA(_xlfn.XLOOKUP(B318,Table_Respons_Loket[Count],Table_Respons_Loket[Jenis Permohonan]),"")</f>
        <v>Pengecekkan</v>
      </c>
      <c r="G318" s="24"/>
      <c r="H318" s="24"/>
      <c r="I318" s="22" t="str">
        <f t="shared" si="7"/>
        <v/>
      </c>
      <c r="J318" s="20" t="b">
        <v>0</v>
      </c>
      <c r="K318" s="13" t="str">
        <f t="shared" si="2"/>
        <v/>
      </c>
    </row>
    <row r="319" ht="22.5" customHeight="1">
      <c r="B319" s="13">
        <f t="shared" si="3"/>
        <v>313</v>
      </c>
      <c r="C319" s="15" t="str">
        <f t="array" ref="C319">IFNA(_xlfn.XLOOKUP(B319,Table_Respons_Loket[Count],Table_Respons_Loket[Nomor Tiket]),"")</f>
        <v>K/18/221024/4</v>
      </c>
      <c r="D319" s="15" t="str">
        <f t="array" ref="D319">IFNA(_xlfn.XLOOKUP(B319,Table_Respons_Loket[Count],Table_Respons_Loket[Daftar Nomor Hak]),"")</f>
        <v>M. 5809/ Surabaya</v>
      </c>
      <c r="E319" s="17">
        <f t="array" ref="E319">IFNA(_xlfn.XLOOKUP(B319,Table_Respons_Loket[Count],Table_Respons_Loket[Time Stamp]),"")</f>
        <v>45587.42165</v>
      </c>
      <c r="F319" s="18" t="str">
        <f t="array" ref="F319">IFNA(_xlfn.XLOOKUP(B319,Table_Respons_Loket[Count],Table_Respons_Loket[Jenis Permohonan]),"")</f>
        <v>Pengecekkan</v>
      </c>
      <c r="G319" s="24"/>
      <c r="H319" s="24"/>
      <c r="I319" s="22" t="str">
        <f t="shared" si="7"/>
        <v/>
      </c>
      <c r="J319" s="20" t="b">
        <v>0</v>
      </c>
      <c r="K319" s="13" t="str">
        <f t="shared" si="2"/>
        <v/>
      </c>
    </row>
    <row r="320" ht="22.5" customHeight="1">
      <c r="B320" s="13">
        <f t="shared" si="3"/>
        <v>314</v>
      </c>
      <c r="C320" s="15" t="str">
        <f t="array" ref="C320">IFNA(_xlfn.XLOOKUP(B320,Table_Respons_Loket[Count],Table_Respons_Loket[Nomor Tiket]),"")</f>
        <v>K/19/221024/5</v>
      </c>
      <c r="D320" s="15" t="str">
        <f t="array" ref="D320">IFNA(_xlfn.XLOOKUP(B320,Table_Respons_Loket[Count],Table_Respons_Loket[Daftar Nomor Hak]),"")</f>
        <v>M. 9899/ Surabaya</v>
      </c>
      <c r="E320" s="17">
        <f t="array" ref="E320">IFNA(_xlfn.XLOOKUP(B320,Table_Respons_Loket[Count],Table_Respons_Loket[Time Stamp]),"")</f>
        <v>45587.4222</v>
      </c>
      <c r="F320" s="18" t="str">
        <f t="array" ref="F320">IFNA(_xlfn.XLOOKUP(B320,Table_Respons_Loket[Count],Table_Respons_Loket[Jenis Permohonan]),"")</f>
        <v>Pengecekkan</v>
      </c>
      <c r="G320" s="24"/>
      <c r="H320" s="24"/>
      <c r="I320" s="22" t="str">
        <f t="shared" si="7"/>
        <v/>
      </c>
      <c r="J320" s="20" t="b">
        <v>0</v>
      </c>
      <c r="K320" s="13" t="str">
        <f t="shared" si="2"/>
        <v/>
      </c>
    </row>
    <row r="321" ht="22.5" customHeight="1">
      <c r="B321" s="13">
        <f t="shared" si="3"/>
        <v>315</v>
      </c>
      <c r="C321" s="15" t="str">
        <f t="array" ref="C321">IFNA(_xlfn.XLOOKUP(B321,Table_Respons_Loket[Count],Table_Respons_Loket[Nomor Tiket]),"")</f>
        <v>K/20/221024/6</v>
      </c>
      <c r="D321" s="15" t="str">
        <f t="array" ref="D321">IFNA(_xlfn.XLOOKUP(B321,Table_Respons_Loket[Count],Table_Respons_Loket[Daftar Nomor Hak]),"")</f>
        <v>M. 8940/ Surabaya</v>
      </c>
      <c r="E321" s="17">
        <f t="array" ref="E321">IFNA(_xlfn.XLOOKUP(B321,Table_Respons_Loket[Count],Table_Respons_Loket[Time Stamp]),"")</f>
        <v>45587.42303</v>
      </c>
      <c r="F321" s="18" t="str">
        <f t="array" ref="F321">IFNA(_xlfn.XLOOKUP(B321,Table_Respons_Loket[Count],Table_Respons_Loket[Jenis Permohonan]),"")</f>
        <v>Pengecekkan</v>
      </c>
      <c r="G321" s="24"/>
      <c r="H321" s="24"/>
      <c r="I321" s="22" t="str">
        <f t="shared" si="7"/>
        <v/>
      </c>
      <c r="J321" s="20" t="b">
        <v>0</v>
      </c>
      <c r="K321" s="13" t="str">
        <f t="shared" si="2"/>
        <v/>
      </c>
    </row>
    <row r="322" ht="22.5" customHeight="1">
      <c r="B322" s="13">
        <f t="shared" si="3"/>
        <v>316</v>
      </c>
      <c r="C322" s="15" t="str">
        <f t="array" ref="C322">IFNA(_xlfn.XLOOKUP(B322,Table_Respons_Loket[Count],Table_Respons_Loket[Nomor Tiket]),"")</f>
        <v>K/21/221024/7</v>
      </c>
      <c r="D322" s="15" t="str">
        <f t="array" ref="D322">IFNA(_xlfn.XLOOKUP(B322,Table_Respons_Loket[Count],Table_Respons_Loket[Daftar Nomor Hak]),"")</f>
        <v>M. 9894/ Surabaya</v>
      </c>
      <c r="E322" s="17">
        <f t="array" ref="E322">IFNA(_xlfn.XLOOKUP(B322,Table_Respons_Loket[Count],Table_Respons_Loket[Time Stamp]),"")</f>
        <v>45587.42373</v>
      </c>
      <c r="F322" s="18" t="str">
        <f t="array" ref="F322">IFNA(_xlfn.XLOOKUP(B322,Table_Respons_Loket[Count],Table_Respons_Loket[Jenis Permohonan]),"")</f>
        <v>Pengecekkan</v>
      </c>
      <c r="G322" s="24"/>
      <c r="H322" s="24"/>
      <c r="I322" s="22" t="str">
        <f t="shared" si="7"/>
        <v/>
      </c>
      <c r="J322" s="20" t="b">
        <v>0</v>
      </c>
      <c r="K322" s="13" t="str">
        <f t="shared" si="2"/>
        <v/>
      </c>
    </row>
    <row r="323" ht="22.5" customHeight="1">
      <c r="B323" s="13">
        <f t="shared" si="3"/>
        <v>317</v>
      </c>
      <c r="C323" s="15" t="str">
        <f t="array" ref="C323">IFNA(_xlfn.XLOOKUP(B323,Table_Respons_Loket[Count],Table_Respons_Loket[Nomor Tiket]),"")</f>
        <v>K/22/221024/1</v>
      </c>
      <c r="D323" s="15" t="str">
        <f t="array" ref="D323">IFNA(_xlfn.XLOOKUP(B323,Table_Respons_Loket[Count],Table_Respons_Loket[Daftar Nomor Hak]),"")</f>
        <v>NIBEL M.2999/BUMI KEDAMAIAN</v>
      </c>
      <c r="E323" s="17">
        <f t="array" ref="E323">IFNA(_xlfn.XLOOKUP(B323,Table_Respons_Loket[Count],Table_Respons_Loket[Time Stamp]),"")</f>
        <v>45587.42464</v>
      </c>
      <c r="F323" s="18" t="str">
        <f t="array" ref="F323">IFNA(_xlfn.XLOOKUP(B323,Table_Respons_Loket[Count],Table_Respons_Loket[Jenis Permohonan]),"")</f>
        <v>PERALIHAN JUAL BELI</v>
      </c>
      <c r="G323" s="24"/>
      <c r="H323" s="24"/>
      <c r="I323" s="22" t="str">
        <f t="shared" si="7"/>
        <v/>
      </c>
      <c r="J323" s="20" t="b">
        <v>0</v>
      </c>
      <c r="K323" s="13" t="str">
        <f t="shared" si="2"/>
        <v/>
      </c>
    </row>
    <row r="324" ht="22.5" customHeight="1">
      <c r="B324" s="13">
        <f t="shared" si="3"/>
        <v>318</v>
      </c>
      <c r="C324" s="15" t="str">
        <f t="array" ref="C324">IFNA(_xlfn.XLOOKUP(B324,Table_Respons_Loket[Count],Table_Respons_Loket[Nomor Tiket]),"")</f>
        <v>K/23/221024/8</v>
      </c>
      <c r="D324" s="15" t="str">
        <f t="array" ref="D324">IFNA(_xlfn.XLOOKUP(B324,Table_Respons_Loket[Count],Table_Respons_Loket[Daftar Nomor Hak]),"")</f>
        <v>M. 560/ Korpri Raya - sekarang; M. 9773/ Sukarame I-Dahulu</v>
      </c>
      <c r="E324" s="17">
        <f t="array" ref="E324">IFNA(_xlfn.XLOOKUP(B324,Table_Respons_Loket[Count],Table_Respons_Loket[Time Stamp]),"")</f>
        <v>45587.42691</v>
      </c>
      <c r="F324" s="18" t="str">
        <f t="array" ref="F324">IFNA(_xlfn.XLOOKUP(B324,Table_Respons_Loket[Count],Table_Respons_Loket[Jenis Permohonan]),"")</f>
        <v>BN Waris</v>
      </c>
      <c r="G324" s="24"/>
      <c r="H324" s="12" t="s">
        <v>47</v>
      </c>
      <c r="I324" s="22" t="str">
        <f t="shared" si="7"/>
        <v/>
      </c>
      <c r="J324" s="20" t="b">
        <v>0</v>
      </c>
      <c r="K324" s="13" t="str">
        <f t="shared" si="2"/>
        <v/>
      </c>
    </row>
    <row r="325" ht="22.5" customHeight="1">
      <c r="B325" s="13">
        <f t="shared" si="3"/>
        <v>319</v>
      </c>
      <c r="C325" s="15" t="str">
        <f t="array" ref="C325">IFNA(_xlfn.XLOOKUP(B325,Table_Respons_Loket[Count],Table_Respons_Loket[Nomor Tiket]),"")</f>
        <v>K/24/221024/3</v>
      </c>
      <c r="D325" s="15" t="str">
        <f t="array" ref="D325">IFNA(_xlfn.XLOOKUP(B325,Table_Respons_Loket[Count],Table_Respons_Loket[Daftar Nomor Hak]),"")</f>
        <v>B. 314/ Labuhan Ratu</v>
      </c>
      <c r="E325" s="17">
        <f t="array" ref="E325">IFNA(_xlfn.XLOOKUP(B325,Table_Respons_Loket[Count],Table_Respons_Loket[Time Stamp]),"")</f>
        <v>45587.42879</v>
      </c>
      <c r="F325" s="18" t="str">
        <f t="array" ref="F325">IFNA(_xlfn.XLOOKUP(B325,Table_Respons_Loket[Count],Table_Respons_Loket[Jenis Permohonan]),"")</f>
        <v>Gandes</v>
      </c>
      <c r="G325" s="24"/>
      <c r="H325" s="24"/>
      <c r="I325" s="22" t="str">
        <f t="shared" si="7"/>
        <v/>
      </c>
      <c r="J325" s="20" t="b">
        <v>0</v>
      </c>
      <c r="K325" s="13" t="str">
        <f t="shared" si="2"/>
        <v/>
      </c>
    </row>
    <row r="326" ht="22.5" customHeight="1">
      <c r="B326" s="13">
        <f t="shared" si="3"/>
        <v>320</v>
      </c>
      <c r="C326" s="15" t="str">
        <f t="array" ref="C326">IFNA(_xlfn.XLOOKUP(B326,Table_Respons_Loket[Count],Table_Respons_Loket[Nomor Tiket]),"")</f>
        <v>K/25/221024/4</v>
      </c>
      <c r="D326" s="15" t="str">
        <f t="array" ref="D326">IFNA(_xlfn.XLOOKUP(B326,Table_Respons_Loket[Count],Table_Respons_Loket[Daftar Nomor Hak]),"")</f>
        <v>B. 330/ Labuhan Ratu</v>
      </c>
      <c r="E326" s="17">
        <f t="array" ref="E326">IFNA(_xlfn.XLOOKUP(B326,Table_Respons_Loket[Count],Table_Respons_Loket[Time Stamp]),"")</f>
        <v>45587.42931</v>
      </c>
      <c r="F326" s="18" t="str">
        <f t="array" ref="F326">IFNA(_xlfn.XLOOKUP(B326,Table_Respons_Loket[Count],Table_Respons_Loket[Jenis Permohonan]),"")</f>
        <v>Gandes</v>
      </c>
      <c r="G326" s="24"/>
      <c r="H326" s="24"/>
      <c r="I326" s="22" t="str">
        <f t="shared" si="7"/>
        <v/>
      </c>
      <c r="J326" s="20" t="b">
        <v>0</v>
      </c>
      <c r="K326" s="13" t="str">
        <f t="shared" si="2"/>
        <v/>
      </c>
    </row>
    <row r="327" ht="22.5" customHeight="1">
      <c r="B327" s="13">
        <f t="shared" si="3"/>
        <v>321</v>
      </c>
      <c r="C327" s="15" t="str">
        <f t="array" ref="C327">IFNA(_xlfn.XLOOKUP(B327,Table_Respons_Loket[Count],Table_Respons_Loket[Nomor Tiket]),"")</f>
        <v>K/26/221024/5</v>
      </c>
      <c r="D327" s="15" t="str">
        <f t="array" ref="D327">IFNA(_xlfn.XLOOKUP(B327,Table_Respons_Loket[Count],Table_Respons_Loket[Daftar Nomor Hak]),"")</f>
        <v>B. 325/ Labuhan Ratu</v>
      </c>
      <c r="E327" s="17">
        <f t="array" ref="E327">IFNA(_xlfn.XLOOKUP(B327,Table_Respons_Loket[Count],Table_Respons_Loket[Time Stamp]),"")</f>
        <v>45587.42979</v>
      </c>
      <c r="F327" s="18" t="str">
        <f t="array" ref="F327">IFNA(_xlfn.XLOOKUP(B327,Table_Respons_Loket[Count],Table_Respons_Loket[Jenis Permohonan]),"")</f>
        <v>Gandes</v>
      </c>
      <c r="G327" s="24"/>
      <c r="H327" s="24"/>
      <c r="I327" s="22" t="str">
        <f t="shared" si="7"/>
        <v/>
      </c>
      <c r="J327" s="20" t="b">
        <v>0</v>
      </c>
      <c r="K327" s="13" t="str">
        <f t="shared" si="2"/>
        <v/>
      </c>
    </row>
    <row r="328" ht="22.5" customHeight="1">
      <c r="B328" s="13">
        <f t="shared" si="3"/>
        <v>322</v>
      </c>
      <c r="C328" s="15" t="str">
        <f t="array" ref="C328">IFNA(_xlfn.XLOOKUP(B328,Table_Respons_Loket[Count],Table_Respons_Loket[Nomor Tiket]),"")</f>
        <v>K/28/221024/1</v>
      </c>
      <c r="D328" s="15" t="str">
        <f t="array" ref="D328">IFNA(_xlfn.XLOOKUP(B328,Table_Respons_Loket[Count],Table_Respons_Loket[Daftar Nomor Hak]),"")</f>
        <v>B. 1206/ Kemiling Permai</v>
      </c>
      <c r="E328" s="17">
        <f t="array" ref="E328">IFNA(_xlfn.XLOOKUP(B328,Table_Respons_Loket[Count],Table_Respons_Loket[Time Stamp]),"")</f>
        <v>45587.44121</v>
      </c>
      <c r="F328" s="18" t="str">
        <f t="array" ref="F328">IFNA(_xlfn.XLOOKUP(B328,Table_Respons_Loket[Count],Table_Respons_Loket[Jenis Permohonan]),"")</f>
        <v>Bn Jual Beli</v>
      </c>
      <c r="G328" s="12" t="s">
        <v>48</v>
      </c>
      <c r="H328" s="12" t="s">
        <v>52</v>
      </c>
      <c r="I328" s="22">
        <f t="shared" si="7"/>
        <v>45588.38213</v>
      </c>
      <c r="J328" s="20" t="b">
        <v>0</v>
      </c>
      <c r="K328" s="13" t="str">
        <f t="shared" si="2"/>
        <v/>
      </c>
    </row>
    <row r="329" ht="22.5" customHeight="1">
      <c r="B329" s="13">
        <f t="shared" si="3"/>
        <v>323</v>
      </c>
      <c r="C329" s="15" t="str">
        <f t="array" ref="C329">IFNA(_xlfn.XLOOKUP(B329,Table_Respons_Loket[Count],Table_Respons_Loket[Nomor Tiket]),"")</f>
        <v>K/27/221024/1</v>
      </c>
      <c r="D329" s="15" t="str">
        <f t="array" ref="D329">IFNA(_xlfn.XLOOKUP(B329,Table_Respons_Loket[Count],Table_Respons_Loket[Daftar Nomor Hak]),"")</f>
        <v>M.1252/LANGKAPURA BARU</v>
      </c>
      <c r="E329" s="17">
        <f t="array" ref="E329">IFNA(_xlfn.XLOOKUP(B329,Table_Respons_Loket[Count],Table_Respons_Loket[Time Stamp]),"")</f>
        <v>45587.44418</v>
      </c>
      <c r="F329" s="18" t="str">
        <f t="array" ref="F329">IFNA(_xlfn.XLOOKUP(B329,Table_Respons_Loket[Count],Table_Respons_Loket[Jenis Permohonan]),"")</f>
        <v>PERALIHAN JUAL BELI</v>
      </c>
      <c r="G329" s="24"/>
      <c r="H329" s="12" t="s">
        <v>47</v>
      </c>
      <c r="I329" s="22" t="str">
        <f t="shared" si="7"/>
        <v/>
      </c>
      <c r="J329" s="20" t="b">
        <v>0</v>
      </c>
      <c r="K329" s="13" t="str">
        <f t="shared" si="2"/>
        <v/>
      </c>
    </row>
    <row r="330" ht="22.5" customHeight="1">
      <c r="B330" s="13">
        <f t="shared" si="3"/>
        <v>324</v>
      </c>
      <c r="C330" s="15" t="str">
        <f t="array" ref="C330">IFNA(_xlfn.XLOOKUP(B330,Table_Respons_Loket[Count],Table_Respons_Loket[Nomor Tiket]),"")</f>
        <v>K/29/221024/1</v>
      </c>
      <c r="D330" s="15" t="str">
        <f t="array" ref="D330">IFNA(_xlfn.XLOOKUP(B330,Table_Respons_Loket[Count],Table_Respons_Loket[Daftar Nomor Hak]),"")</f>
        <v>M.1636/SUMBEREJO/KEMILING</v>
      </c>
      <c r="E330" s="17">
        <f t="array" ref="E330">IFNA(_xlfn.XLOOKUP(B330,Table_Respons_Loket[Count],Table_Respons_Loket[Time Stamp]),"")</f>
        <v>45587.44474</v>
      </c>
      <c r="F330" s="18" t="str">
        <f t="array" ref="F330">IFNA(_xlfn.XLOOKUP(B330,Table_Respons_Loket[Count],Table_Respons_Loket[Jenis Permohonan]),"")</f>
        <v>PLOTING</v>
      </c>
      <c r="G330" s="24"/>
      <c r="H330" s="24"/>
      <c r="I330" s="22" t="str">
        <f t="shared" si="7"/>
        <v/>
      </c>
      <c r="J330" s="20" t="b">
        <v>0</v>
      </c>
      <c r="K330" s="13" t="str">
        <f t="shared" si="2"/>
        <v/>
      </c>
    </row>
    <row r="331" ht="22.5" customHeight="1">
      <c r="B331" s="13">
        <f t="shared" si="3"/>
        <v>325</v>
      </c>
      <c r="C331" s="15" t="str">
        <f t="array" ref="C331">IFNA(_xlfn.XLOOKUP(B331,Table_Respons_Loket[Count],Table_Respons_Loket[Nomor Tiket]),"")</f>
        <v>K/30/221024/2</v>
      </c>
      <c r="D331" s="15" t="str">
        <f t="array" ref="D331">IFNA(_xlfn.XLOOKUP(B331,Table_Respons_Loket[Count],Table_Respons_Loket[Daftar Nomor Hak]),"")</f>
        <v>M.1898/BUMI WARAS</v>
      </c>
      <c r="E331" s="17">
        <f t="array" ref="E331">IFNA(_xlfn.XLOOKUP(B331,Table_Respons_Loket[Count],Table_Respons_Loket[Time Stamp]),"")</f>
        <v>45587.44539</v>
      </c>
      <c r="F331" s="18" t="str">
        <f t="array" ref="F331">IFNA(_xlfn.XLOOKUP(B331,Table_Respons_Loket[Count],Table_Respons_Loket[Jenis Permohonan]),"")</f>
        <v>PLOTING</v>
      </c>
      <c r="G331" s="24"/>
      <c r="H331" s="24"/>
      <c r="I331" s="22" t="str">
        <f t="shared" si="7"/>
        <v/>
      </c>
      <c r="J331" s="20" t="b">
        <v>0</v>
      </c>
      <c r="K331" s="13" t="str">
        <f t="shared" si="2"/>
        <v/>
      </c>
    </row>
    <row r="332" ht="22.5" customHeight="1">
      <c r="B332" s="13">
        <f t="shared" si="3"/>
        <v>326</v>
      </c>
      <c r="C332" s="15" t="str">
        <f t="array" ref="C332">IFNA(_xlfn.XLOOKUP(B332,Table_Respons_Loket[Count],Table_Respons_Loket[Nomor Tiket]),"")</f>
        <v>K/32/221024/1</v>
      </c>
      <c r="D332" s="15" t="str">
        <f t="array" ref="D332">IFNA(_xlfn.XLOOKUP(B332,Table_Respons_Loket[Count],Table_Respons_Loket[Daftar Nomor Hak]),"")</f>
        <v>Nibel. B. 2386/ P W K</v>
      </c>
      <c r="E332" s="17">
        <f t="array" ref="E332">IFNA(_xlfn.XLOOKUP(B332,Table_Respons_Loket[Count],Table_Respons_Loket[Time Stamp]),"")</f>
        <v>45587.44611</v>
      </c>
      <c r="F332" s="18" t="str">
        <f t="array" ref="F332">IFNA(_xlfn.XLOOKUP(B332,Table_Respons_Loket[Count],Table_Respons_Loket[Jenis Permohonan]),"")</f>
        <v>Perubahan Hak</v>
      </c>
      <c r="G332" s="24"/>
      <c r="H332" s="24"/>
      <c r="I332" s="22" t="str">
        <f t="shared" si="7"/>
        <v/>
      </c>
      <c r="J332" s="20" t="b">
        <v>0</v>
      </c>
      <c r="K332" s="13" t="str">
        <f t="shared" si="2"/>
        <v/>
      </c>
    </row>
    <row r="333" ht="22.5" customHeight="1">
      <c r="B333" s="13">
        <f t="shared" si="3"/>
        <v>327</v>
      </c>
      <c r="C333" s="15" t="str">
        <f t="array" ref="C333">IFNA(_xlfn.XLOOKUP(B333,Table_Respons_Loket[Count],Table_Respons_Loket[Nomor Tiket]),"")</f>
        <v>K/31/221024/3</v>
      </c>
      <c r="D333" s="15" t="str">
        <f t="array" ref="D333">IFNA(_xlfn.XLOOKUP(B333,Table_Respons_Loket[Count],Table_Respons_Loket[Daftar Nomor Hak]),"")</f>
        <v>M.1459/KEMILING PERMAI</v>
      </c>
      <c r="E333" s="17">
        <f t="array" ref="E333">IFNA(_xlfn.XLOOKUP(B333,Table_Respons_Loket[Count],Table_Respons_Loket[Time Stamp]),"")</f>
        <v>45587.4464</v>
      </c>
      <c r="F333" s="18" t="str">
        <f t="array" ref="F333">IFNA(_xlfn.XLOOKUP(B333,Table_Respons_Loket[Count],Table_Respons_Loket[Jenis Permohonan]),"")</f>
        <v>PERALIHAN JUAL BELI</v>
      </c>
      <c r="G333" s="12" t="s">
        <v>48</v>
      </c>
      <c r="H333" s="12" t="s">
        <v>52</v>
      </c>
      <c r="I333" s="22">
        <f t="shared" si="7"/>
        <v>45588.38251</v>
      </c>
      <c r="J333" s="20" t="b">
        <v>0</v>
      </c>
      <c r="K333" s="13" t="str">
        <f t="shared" si="2"/>
        <v/>
      </c>
    </row>
    <row r="334" ht="22.5" customHeight="1">
      <c r="B334" s="13">
        <f t="shared" si="3"/>
        <v>328</v>
      </c>
      <c r="C334" s="15" t="str">
        <f t="array" ref="C334">IFNA(_xlfn.XLOOKUP(B334,Table_Respons_Loket[Count],Table_Respons_Loket[Nomor Tiket]),"")</f>
        <v>K/33/221024/1</v>
      </c>
      <c r="D334" s="15" t="str">
        <f t="array" ref="D334">IFNA(_xlfn.XLOOKUP(B334,Table_Respons_Loket[Count],Table_Respons_Loket[Daftar Nomor Hak]),"")</f>
        <v>M. 2679/ Kota Baru</v>
      </c>
      <c r="E334" s="17">
        <f t="array" ref="E334">IFNA(_xlfn.XLOOKUP(B334,Table_Respons_Loket[Count],Table_Respons_Loket[Time Stamp]),"")</f>
        <v>45587.44849</v>
      </c>
      <c r="F334" s="18" t="str">
        <f t="array" ref="F334">IFNA(_xlfn.XLOOKUP(B334,Table_Respons_Loket[Count],Table_Respons_Loket[Jenis Permohonan]),"")</f>
        <v>BN Jual Beli</v>
      </c>
      <c r="G334" s="12" t="s">
        <v>42</v>
      </c>
      <c r="H334" s="12" t="s">
        <v>52</v>
      </c>
      <c r="I334" s="22">
        <f t="shared" si="7"/>
        <v>45600.47311</v>
      </c>
      <c r="J334" s="20" t="b">
        <v>0</v>
      </c>
      <c r="K334" s="13" t="str">
        <f t="shared" si="2"/>
        <v/>
      </c>
    </row>
    <row r="335" ht="22.5" customHeight="1">
      <c r="B335" s="13">
        <f t="shared" si="3"/>
        <v>329</v>
      </c>
      <c r="C335" s="15" t="str">
        <f t="array" ref="C335">IFNA(_xlfn.XLOOKUP(B335,Table_Respons_Loket[Count],Table_Respons_Loket[Nomor Tiket]),"")</f>
        <v>K/34/221024/1</v>
      </c>
      <c r="D335" s="15" t="str">
        <f t="array" ref="D335">IFNA(_xlfn.XLOOKUP(B335,Table_Respons_Loket[Count],Table_Respons_Loket[Daftar Nomor Hak]),"")</f>
        <v>M.2138/NEGERI OLOK GADING </v>
      </c>
      <c r="E335" s="17">
        <f t="array" ref="E335">IFNA(_xlfn.XLOOKUP(B335,Table_Respons_Loket[Count],Table_Respons_Loket[Time Stamp]),"")</f>
        <v>45587.4546</v>
      </c>
      <c r="F335" s="18" t="str">
        <f t="array" ref="F335">IFNA(_xlfn.XLOOKUP(B335,Table_Respons_Loket[Count],Table_Respons_Loket[Jenis Permohonan]),"")</f>
        <v>PERALIHAN JUAL BELI</v>
      </c>
      <c r="G335" s="12" t="s">
        <v>48</v>
      </c>
      <c r="H335" s="12" t="s">
        <v>52</v>
      </c>
      <c r="I335" s="22">
        <f t="shared" si="7"/>
        <v>45588.38287</v>
      </c>
      <c r="J335" s="20" t="b">
        <v>0</v>
      </c>
      <c r="K335" s="13" t="str">
        <f t="shared" si="2"/>
        <v/>
      </c>
    </row>
    <row r="336" ht="22.5" customHeight="1">
      <c r="B336" s="13">
        <f t="shared" si="3"/>
        <v>330</v>
      </c>
      <c r="C336" s="15" t="str">
        <f t="array" ref="C336">IFNA(_xlfn.XLOOKUP(B336,Table_Respons_Loket[Count],Table_Respons_Loket[Nomor Tiket]),"")</f>
        <v>K/35/221024/1</v>
      </c>
      <c r="D336" s="15" t="str">
        <f t="array" ref="D336">IFNA(_xlfn.XLOOKUP(B336,Table_Respons_Loket[Count],Table_Respons_Loket[Daftar Nomor Hak]),"")</f>
        <v>M. 10040/ Segala Mider</v>
      </c>
      <c r="E336" s="17">
        <f t="array" ref="E336">IFNA(_xlfn.XLOOKUP(B336,Table_Respons_Loket[Count],Table_Respons_Loket[Time Stamp]),"")</f>
        <v>45587.45709</v>
      </c>
      <c r="F336" s="18" t="str">
        <f t="array" ref="F336">IFNA(_xlfn.XLOOKUP(B336,Table_Respons_Loket[Count],Table_Respons_Loket[Jenis Permohonan]),"")</f>
        <v>PTPGT Pemecahan</v>
      </c>
      <c r="G336" s="24"/>
      <c r="H336" s="24"/>
      <c r="I336" s="22" t="str">
        <f t="shared" si="7"/>
        <v/>
      </c>
      <c r="J336" s="20" t="b">
        <v>0</v>
      </c>
      <c r="K336" s="13" t="str">
        <f t="shared" si="2"/>
        <v/>
      </c>
    </row>
    <row r="337" ht="22.5" customHeight="1">
      <c r="B337" s="13">
        <f t="shared" si="3"/>
        <v>331</v>
      </c>
      <c r="C337" s="15" t="str">
        <f t="array" ref="C337">IFNA(_xlfn.XLOOKUP(B337,Table_Respons_Loket[Count],Table_Respons_Loket[Nomor Tiket]),"")</f>
        <v>K/36/221024/1</v>
      </c>
      <c r="D337" s="15" t="str">
        <f t="array" ref="D337">IFNA(_xlfn.XLOOKUP(B337,Table_Respons_Loket[Count],Table_Respons_Loket[Daftar Nomor Hak]),"")</f>
        <v>M. 1399/ Beringin Jaya; M. 2912 Beringin Raya-dahulu; B. 2928/ Berringin Raya-dahulu</v>
      </c>
      <c r="E337" s="17">
        <f t="array" ref="E337">IFNA(_xlfn.XLOOKUP(B337,Table_Respons_Loket[Count],Table_Respons_Loket[Time Stamp]),"")</f>
        <v>45587.46117</v>
      </c>
      <c r="F337" s="18" t="str">
        <f t="array" ref="F337">IFNA(_xlfn.XLOOKUP(B337,Table_Respons_Loket[Count],Table_Respons_Loket[Jenis Permohonan]),"")</f>
        <v>BN Jual Beli</v>
      </c>
      <c r="G337" s="24"/>
      <c r="H337" s="12" t="s">
        <v>47</v>
      </c>
      <c r="I337" s="22" t="str">
        <f t="shared" si="7"/>
        <v/>
      </c>
      <c r="J337" s="20" t="b">
        <v>0</v>
      </c>
      <c r="K337" s="13" t="str">
        <f t="shared" si="2"/>
        <v/>
      </c>
    </row>
    <row r="338" ht="22.5" customHeight="1">
      <c r="B338" s="13">
        <f t="shared" si="3"/>
        <v>332</v>
      </c>
      <c r="C338" s="15" t="str">
        <f t="array" ref="C338">IFNA(_xlfn.XLOOKUP(B338,Table_Respons_Loket[Count],Table_Respons_Loket[Nomor Tiket]),"")</f>
        <v>K/38/221024/2</v>
      </c>
      <c r="D338" s="15" t="str">
        <f t="array" ref="D338">IFNA(_xlfn.XLOOKUP(B338,Table_Respons_Loket[Count],Table_Respons_Loket[Daftar Nomor Hak]),"")</f>
        <v>M. 2050/ L R R; M. 11134/ Labuhan Ratu-dahulu</v>
      </c>
      <c r="E338" s="17">
        <f t="array" ref="E338">IFNA(_xlfn.XLOOKUP(B338,Table_Respons_Loket[Count],Table_Respons_Loket[Time Stamp]),"")</f>
        <v>45587.4756</v>
      </c>
      <c r="F338" s="18" t="str">
        <f t="array" ref="F338">IFNA(_xlfn.XLOOKUP(B338,Table_Respons_Loket[Count],Table_Respons_Loket[Jenis Permohonan]),"")</f>
        <v>BN Waris</v>
      </c>
      <c r="G338" s="12" t="s">
        <v>48</v>
      </c>
      <c r="H338" s="12" t="s">
        <v>52</v>
      </c>
      <c r="I338" s="22">
        <f t="shared" si="7"/>
        <v>45614.66166</v>
      </c>
      <c r="J338" s="20" t="b">
        <v>0</v>
      </c>
      <c r="K338" s="13" t="str">
        <f t="shared" si="2"/>
        <v/>
      </c>
    </row>
    <row r="339" ht="22.5" customHeight="1">
      <c r="B339" s="13">
        <f t="shared" si="3"/>
        <v>333</v>
      </c>
      <c r="C339" s="15" t="str">
        <f t="array" ref="C339">IFNA(_xlfn.XLOOKUP(B339,Table_Respons_Loket[Count],Table_Respons_Loket[Nomor Tiket]),"")</f>
        <v>K/37/221024/1</v>
      </c>
      <c r="D339" s="15" t="str">
        <f t="array" ref="D339">IFNA(_xlfn.XLOOKUP(B339,Table_Respons_Loket[Count],Table_Respons_Loket[Daftar Nomor Hak]),"")</f>
        <v>M. 14029/ Tanjung Baru</v>
      </c>
      <c r="E339" s="17">
        <f t="array" ref="E339">IFNA(_xlfn.XLOOKUP(B339,Table_Respons_Loket[Count],Table_Respons_Loket[Time Stamp]),"")</f>
        <v>45587.4748</v>
      </c>
      <c r="F339" s="18" t="str">
        <f t="array" ref="F339">IFNA(_xlfn.XLOOKUP(B339,Table_Respons_Loket[Count],Table_Respons_Loket[Jenis Permohonan]),"")</f>
        <v>BN Hibah</v>
      </c>
      <c r="G339" s="24"/>
      <c r="H339" s="12" t="s">
        <v>47</v>
      </c>
      <c r="I339" s="22" t="str">
        <f t="shared" si="7"/>
        <v/>
      </c>
      <c r="J339" s="20" t="b">
        <v>0</v>
      </c>
      <c r="K339" s="13" t="str">
        <f t="shared" si="2"/>
        <v/>
      </c>
    </row>
    <row r="340" ht="22.5" customHeight="1">
      <c r="B340" s="13">
        <f t="shared" si="3"/>
        <v>334</v>
      </c>
      <c r="C340" s="15" t="str">
        <f t="array" ref="C340">IFNA(_xlfn.XLOOKUP(B340,Table_Respons_Loket[Count],Table_Respons_Loket[Nomor Tiket]),"")</f>
        <v>K/42/221024/4</v>
      </c>
      <c r="D340" s="15" t="str">
        <f t="array" ref="D340">IFNA(_xlfn.XLOOKUP(B340,Table_Respons_Loket[Count],Table_Respons_Loket[Daftar Nomor Hak]),"")</f>
        <v>M. 5090/ Way Kandis</v>
      </c>
      <c r="E340" s="17">
        <f t="array" ref="E340">IFNA(_xlfn.XLOOKUP(B340,Table_Respons_Loket[Count],Table_Respons_Loket[Time Stamp]),"")</f>
        <v>45587.48074</v>
      </c>
      <c r="F340" s="18" t="str">
        <f t="array" ref="F340">IFNA(_xlfn.XLOOKUP(B340,Table_Respons_Loket[Count],Table_Respons_Loket[Jenis Permohonan]),"")</f>
        <v>Hapus BPHTB</v>
      </c>
      <c r="G340" s="24"/>
      <c r="H340" s="24"/>
      <c r="I340" s="22" t="str">
        <f t="shared" si="7"/>
        <v/>
      </c>
      <c r="J340" s="20" t="b">
        <v>0</v>
      </c>
      <c r="K340" s="13" t="str">
        <f t="shared" si="2"/>
        <v/>
      </c>
    </row>
    <row r="341" ht="22.5" customHeight="1">
      <c r="B341" s="13">
        <f t="shared" si="3"/>
        <v>335</v>
      </c>
      <c r="C341" s="15" t="str">
        <f t="array" ref="C341">IFNA(_xlfn.XLOOKUP(B341,Table_Respons_Loket[Count],Table_Respons_Loket[Nomor Tiket]),"")</f>
        <v>K/41/221024/3</v>
      </c>
      <c r="D341" s="15" t="str">
        <f t="array" ref="D341">IFNA(_xlfn.XLOOKUP(B341,Table_Respons_Loket[Count],Table_Respons_Loket[Daftar Nomor Hak]),"")</f>
        <v>M. 1069/ Rajabasa Pemuka</v>
      </c>
      <c r="E341" s="17">
        <f t="array" ref="E341">IFNA(_xlfn.XLOOKUP(B341,Table_Respons_Loket[Count],Table_Respons_Loket[Time Stamp]),"")</f>
        <v>45587.48185</v>
      </c>
      <c r="F341" s="18" t="str">
        <f t="array" ref="F341">IFNA(_xlfn.XLOOKUP(B341,Table_Respons_Loket[Count],Table_Respons_Loket[Jenis Permohonan]),"")</f>
        <v>BN Jual Beli</v>
      </c>
      <c r="G341" s="12" t="s">
        <v>42</v>
      </c>
      <c r="H341" s="12" t="s">
        <v>52</v>
      </c>
      <c r="I341" s="22">
        <f t="shared" si="7"/>
        <v>45601.42123</v>
      </c>
      <c r="J341" s="20" t="b">
        <v>0</v>
      </c>
      <c r="K341" s="13" t="str">
        <f t="shared" si="2"/>
        <v/>
      </c>
    </row>
    <row r="342" ht="22.5" customHeight="1">
      <c r="B342" s="13">
        <f t="shared" si="3"/>
        <v>336</v>
      </c>
      <c r="C342" s="15" t="str">
        <f t="array" ref="C342">IFNA(_xlfn.XLOOKUP(B342,Table_Respons_Loket[Count],Table_Respons_Loket[Nomor Tiket]),"")</f>
        <v>K/40/221024/2</v>
      </c>
      <c r="D342" s="15" t="str">
        <f t="array" ref="D342">IFNA(_xlfn.XLOOKUP(B342,Table_Respons_Loket[Count],Table_Respons_Loket[Daftar Nomor Hak]),"")</f>
        <v>M. 2152/ Sepang Jaya</v>
      </c>
      <c r="E342" s="17">
        <f t="array" ref="E342">IFNA(_xlfn.XLOOKUP(B342,Table_Respons_Loket[Count],Table_Respons_Loket[Time Stamp]),"")</f>
        <v>45587.48282</v>
      </c>
      <c r="F342" s="18" t="str">
        <f t="array" ref="F342">IFNA(_xlfn.XLOOKUP(B342,Table_Respons_Loket[Count],Table_Respons_Loket[Jenis Permohonan]),"")</f>
        <v>BN Jual Beli</v>
      </c>
      <c r="G342" s="12" t="s">
        <v>48</v>
      </c>
      <c r="H342" s="12" t="s">
        <v>52</v>
      </c>
      <c r="I342" s="22">
        <f t="shared" si="7"/>
        <v>45588.38385</v>
      </c>
      <c r="J342" s="20" t="b">
        <v>0</v>
      </c>
      <c r="K342" s="13" t="str">
        <f t="shared" si="2"/>
        <v/>
      </c>
    </row>
    <row r="343" ht="22.5" customHeight="1">
      <c r="B343" s="13">
        <f t="shared" si="3"/>
        <v>337</v>
      </c>
      <c r="C343" s="15" t="str">
        <f t="array" ref="C343">IFNA(_xlfn.XLOOKUP(B343,Table_Respons_Loket[Count],Table_Respons_Loket[Nomor Tiket]),"")</f>
        <v>K/39/221024/1</v>
      </c>
      <c r="D343" s="15" t="str">
        <f t="array" ref="D343">IFNA(_xlfn.XLOOKUP(B343,Table_Respons_Loket[Count],Table_Respons_Loket[Daftar Nomor Hak]),"")</f>
        <v>M. 6475/ Way Kandis</v>
      </c>
      <c r="E343" s="17">
        <f t="array" ref="E343">IFNA(_xlfn.XLOOKUP(B343,Table_Respons_Loket[Count],Table_Respons_Loket[Time Stamp]),"")</f>
        <v>45587.48374</v>
      </c>
      <c r="F343" s="18" t="str">
        <f t="array" ref="F343">IFNA(_xlfn.XLOOKUP(B343,Table_Respons_Loket[Count],Table_Respons_Loket[Jenis Permohonan]),"")</f>
        <v>BN Jual Beli</v>
      </c>
      <c r="G343" s="12" t="s">
        <v>42</v>
      </c>
      <c r="H343" s="12" t="s">
        <v>52</v>
      </c>
      <c r="I343" s="22">
        <f t="shared" si="7"/>
        <v>45614.66166</v>
      </c>
      <c r="J343" s="20" t="b">
        <v>1</v>
      </c>
      <c r="K343" s="17">
        <f t="shared" si="2"/>
        <v>45614.66166</v>
      </c>
    </row>
    <row r="344" ht="22.5" customHeight="1">
      <c r="B344" s="13">
        <f t="shared" si="3"/>
        <v>338</v>
      </c>
      <c r="C344" s="15" t="str">
        <f t="array" ref="C344">IFNA(_xlfn.XLOOKUP(B344,Table_Respons_Loket[Count],Table_Respons_Loket[Nomor Tiket]),"")</f>
        <v>K/43/221024/1</v>
      </c>
      <c r="D344" s="15" t="str">
        <f t="array" ref="D344">IFNA(_xlfn.XLOOKUP(B344,Table_Respons_Loket[Count],Table_Respons_Loket[Daftar Nomor Hak]),"")</f>
        <v>M. 5455/ Tanjung Seneng</v>
      </c>
      <c r="E344" s="17">
        <f t="array" ref="E344">IFNA(_xlfn.XLOOKUP(B344,Table_Respons_Loket[Count],Table_Respons_Loket[Time Stamp]),"")</f>
        <v>45587.48946</v>
      </c>
      <c r="F344" s="18" t="str">
        <f t="array" ref="F344">IFNA(_xlfn.XLOOKUP(B344,Table_Respons_Loket[Count],Table_Respons_Loket[Jenis Permohonan]),"")</f>
        <v>BN Jual Beli</v>
      </c>
      <c r="G344" s="12" t="s">
        <v>48</v>
      </c>
      <c r="H344" s="12" t="s">
        <v>52</v>
      </c>
      <c r="I344" s="22">
        <f t="shared" si="7"/>
        <v>45588.38406</v>
      </c>
      <c r="J344" s="20" t="b">
        <v>0</v>
      </c>
      <c r="K344" s="13" t="str">
        <f t="shared" si="2"/>
        <v/>
      </c>
    </row>
    <row r="345" ht="22.5" customHeight="1">
      <c r="B345" s="13">
        <f t="shared" si="3"/>
        <v>339</v>
      </c>
      <c r="C345" s="15" t="str">
        <f t="array" ref="C345">IFNA(_xlfn.XLOOKUP(B345,Table_Respons_Loket[Count],Table_Respons_Loket[Nomor Tiket]),"")</f>
        <v>K/44/221024/2</v>
      </c>
      <c r="D345" s="15" t="str">
        <f t="array" ref="D345">IFNA(_xlfn.XLOOKUP(B345,Table_Respons_Loket[Count],Table_Respons_Loket[Daftar Nomor Hak]),"")</f>
        <v>M. 2956/ Sukarame Baru- sekarang; M. 16805/ Sukarame I</v>
      </c>
      <c r="E345" s="17">
        <f t="array" ref="E345">IFNA(_xlfn.XLOOKUP(B345,Table_Respons_Loket[Count],Table_Respons_Loket[Time Stamp]),"")</f>
        <v>45587.49387</v>
      </c>
      <c r="F345" s="18" t="str">
        <f t="array" ref="F345">IFNA(_xlfn.XLOOKUP(B345,Table_Respons_Loket[Count],Table_Respons_Loket[Jenis Permohonan]),"")</f>
        <v>BN Waris</v>
      </c>
      <c r="G345" s="12" t="s">
        <v>50</v>
      </c>
      <c r="H345" s="12" t="s">
        <v>52</v>
      </c>
      <c r="I345" s="22">
        <f t="shared" si="7"/>
        <v>45604.625</v>
      </c>
      <c r="J345" s="20" t="b">
        <v>0</v>
      </c>
      <c r="K345" s="13" t="str">
        <f t="shared" si="2"/>
        <v/>
      </c>
    </row>
    <row r="346" ht="22.5" customHeight="1">
      <c r="B346" s="13">
        <f t="shared" si="3"/>
        <v>340</v>
      </c>
      <c r="C346" s="15" t="str">
        <f t="array" ref="C346">IFNA(_xlfn.XLOOKUP(B346,Table_Respons_Loket[Count],Table_Respons_Loket[Nomor Tiket]),"")</f>
        <v>K/45/221024/1</v>
      </c>
      <c r="D346" s="15" t="str">
        <f t="array" ref="D346">IFNA(_xlfn.XLOOKUP(B346,Table_Respons_Loket[Count],Table_Respons_Loket[Daftar Nomor Hak]),"")</f>
        <v>M. 543/ Sumur Putri</v>
      </c>
      <c r="E346" s="17">
        <f t="array" ref="E346">IFNA(_xlfn.XLOOKUP(B346,Table_Respons_Loket[Count],Table_Respons_Loket[Time Stamp]),"")</f>
        <v>45587.55794</v>
      </c>
      <c r="F346" s="18" t="str">
        <f t="array" ref="F346">IFNA(_xlfn.XLOOKUP(B346,Table_Respons_Loket[Count],Table_Respons_Loket[Jenis Permohonan]),"")</f>
        <v>Roya</v>
      </c>
      <c r="G346" s="12" t="s">
        <v>48</v>
      </c>
      <c r="H346" s="12" t="s">
        <v>52</v>
      </c>
      <c r="I346" s="22">
        <f t="shared" si="7"/>
        <v>45588.38436</v>
      </c>
      <c r="J346" s="20" t="b">
        <v>0</v>
      </c>
      <c r="K346" s="13" t="str">
        <f t="shared" si="2"/>
        <v/>
      </c>
    </row>
    <row r="347" ht="22.5" customHeight="1">
      <c r="B347" s="13">
        <f t="shared" si="3"/>
        <v>341</v>
      </c>
      <c r="C347" s="15" t="str">
        <f t="array" ref="C347">IFNA(_xlfn.XLOOKUP(B347,Table_Respons_Loket[Count],Table_Respons_Loket[Nomor Tiket]),"")</f>
        <v>K/46/221024/1</v>
      </c>
      <c r="D347" s="15" t="str">
        <f t="array" ref="D347">IFNA(_xlfn.XLOOKUP(B347,Table_Respons_Loket[Count],Table_Respons_Loket[Daftar Nomor Hak]),"")</f>
        <v>M. 12400/ Kedaton</v>
      </c>
      <c r="E347" s="17">
        <f t="array" ref="E347">IFNA(_xlfn.XLOOKUP(B347,Table_Respons_Loket[Count],Table_Respons_Loket[Time Stamp]),"")</f>
        <v>45587.57034</v>
      </c>
      <c r="F347" s="18" t="str">
        <f t="array" ref="F347">IFNA(_xlfn.XLOOKUP(B347,Table_Respons_Loket[Count],Table_Respons_Loket[Jenis Permohonan]),"")</f>
        <v>Plotting</v>
      </c>
      <c r="G347" s="24"/>
      <c r="H347" s="24"/>
      <c r="I347" s="22" t="str">
        <f t="shared" si="7"/>
        <v/>
      </c>
      <c r="J347" s="20" t="b">
        <v>0</v>
      </c>
      <c r="K347" s="13" t="str">
        <f t="shared" si="2"/>
        <v/>
      </c>
    </row>
    <row r="348" ht="22.5" customHeight="1">
      <c r="B348" s="13">
        <f t="shared" si="3"/>
        <v>342</v>
      </c>
      <c r="C348" s="15" t="str">
        <f t="array" ref="C348">IFNA(_xlfn.XLOOKUP(B348,Table_Respons_Loket[Count],Table_Respons_Loket[Nomor Tiket]),"")</f>
        <v>K/47/221024/1</v>
      </c>
      <c r="D348" s="15" t="str">
        <f t="array" ref="D348">IFNA(_xlfn.XLOOKUP(B348,Table_Respons_Loket[Count],Table_Respons_Loket[Daftar Nomor Hak]),"")</f>
        <v>M. 417/ Nusantara Permai</v>
      </c>
      <c r="E348" s="17">
        <f t="array" ref="E348">IFNA(_xlfn.XLOOKUP(B348,Table_Respons_Loket[Count],Table_Respons_Loket[Time Stamp]),"")</f>
        <v>45587.58135</v>
      </c>
      <c r="F348" s="18" t="str">
        <f t="array" ref="F348">IFNA(_xlfn.XLOOKUP(B348,Table_Respons_Loket[Count],Table_Respons_Loket[Jenis Permohonan]),"")</f>
        <v>Plotting</v>
      </c>
      <c r="G348" s="12" t="s">
        <v>50</v>
      </c>
      <c r="H348" s="12" t="s">
        <v>52</v>
      </c>
      <c r="I348" s="22">
        <f t="shared" si="7"/>
        <v>45614.66166</v>
      </c>
      <c r="J348" s="20" t="b">
        <v>0</v>
      </c>
      <c r="K348" s="13" t="str">
        <f t="shared" si="2"/>
        <v/>
      </c>
    </row>
    <row r="349" ht="22.5" customHeight="1">
      <c r="B349" s="13">
        <f t="shared" si="3"/>
        <v>343</v>
      </c>
      <c r="C349" s="15" t="str">
        <f t="array" ref="C349">IFNA(_xlfn.XLOOKUP(B349,Table_Respons_Loket[Count],Table_Respons_Loket[Nomor Tiket]),"")</f>
        <v>K/49/221024/1</v>
      </c>
      <c r="D349" s="15" t="str">
        <f t="array" ref="D349">IFNA(_xlfn.XLOOKUP(B349,Table_Respons_Loket[Count],Table_Respons_Loket[Daftar Nomor Hak]),"")</f>
        <v>M. 351/ Sumber Rejo</v>
      </c>
      <c r="E349" s="17">
        <f t="array" ref="E349">IFNA(_xlfn.XLOOKUP(B349,Table_Respons_Loket[Count],Table_Respons_Loket[Time Stamp]),"")</f>
        <v>45587.58496</v>
      </c>
      <c r="F349" s="18" t="str">
        <f t="array" ref="F349">IFNA(_xlfn.XLOOKUP(B349,Table_Respons_Loket[Count],Table_Respons_Loket[Jenis Permohonan]),"")</f>
        <v>Roya</v>
      </c>
      <c r="G349" s="12" t="s">
        <v>470</v>
      </c>
      <c r="H349" s="12" t="s">
        <v>52</v>
      </c>
      <c r="I349" s="22">
        <f t="shared" si="7"/>
        <v>45588.46426</v>
      </c>
      <c r="J349" s="20" t="b">
        <v>0</v>
      </c>
      <c r="K349" s="13" t="str">
        <f t="shared" si="2"/>
        <v/>
      </c>
    </row>
    <row r="350" ht="22.5" customHeight="1">
      <c r="B350" s="13">
        <f t="shared" si="3"/>
        <v>344</v>
      </c>
      <c r="C350" s="15" t="str">
        <f t="array" ref="C350">IFNA(_xlfn.XLOOKUP(B350,Table_Respons_Loket[Count],Table_Respons_Loket[Nomor Tiket]),"")</f>
        <v>K/50/221024/1</v>
      </c>
      <c r="D350" s="15" t="str">
        <f t="array" ref="D350">IFNA(_xlfn.XLOOKUP(B350,Table_Respons_Loket[Count],Table_Respons_Loket[Daftar Nomor Hak]),"")</f>
        <v>M. 1410/ Bumi Waras</v>
      </c>
      <c r="E350" s="17">
        <f t="array" ref="E350">IFNA(_xlfn.XLOOKUP(B350,Table_Respons_Loket[Count],Table_Respons_Loket[Time Stamp]),"")</f>
        <v>45587.59923</v>
      </c>
      <c r="F350" s="18" t="str">
        <f t="array" ref="F350">IFNA(_xlfn.XLOOKUP(B350,Table_Respons_Loket[Count],Table_Respons_Loket[Jenis Permohonan]),"")</f>
        <v>Ganti Kelurahan</v>
      </c>
      <c r="G350" s="24"/>
      <c r="H350" s="24"/>
      <c r="I350" s="22" t="str">
        <f t="shared" si="7"/>
        <v/>
      </c>
      <c r="J350" s="20" t="b">
        <v>0</v>
      </c>
      <c r="K350" s="13" t="str">
        <f t="shared" si="2"/>
        <v/>
      </c>
    </row>
    <row r="351" ht="22.5" customHeight="1">
      <c r="B351" s="13">
        <f t="shared" si="3"/>
        <v>345</v>
      </c>
      <c r="C351" s="15" t="str">
        <f t="array" ref="C351">IFNA(_xlfn.XLOOKUP(B351,Table_Respons_Loket[Count],Table_Respons_Loket[Nomor Tiket]),"")</f>
        <v>K/48/221024/1</v>
      </c>
      <c r="D351" s="15" t="str">
        <f t="array" ref="D351">IFNA(_xlfn.XLOOKUP(B351,Table_Respons_Loket[Count],Table_Respons_Loket[Daftar Nomor Hak]),"")</f>
        <v>B.578/KEMILING PERMAI</v>
      </c>
      <c r="E351" s="17">
        <f t="array" ref="E351">IFNA(_xlfn.XLOOKUP(B351,Table_Respons_Loket[Count],Table_Respons_Loket[Time Stamp]),"")</f>
        <v>45587.60553</v>
      </c>
      <c r="F351" s="18" t="str">
        <f t="array" ref="F351">IFNA(_xlfn.XLOOKUP(B351,Table_Respons_Loket[Count],Table_Respons_Loket[Jenis Permohonan]),"")</f>
        <v>PERALIHAN JUAL BELI</v>
      </c>
      <c r="G351" s="12" t="s">
        <v>470</v>
      </c>
      <c r="H351" s="12" t="s">
        <v>52</v>
      </c>
      <c r="I351" s="22">
        <f t="shared" si="7"/>
        <v>45588.46426</v>
      </c>
      <c r="J351" s="20" t="b">
        <v>0</v>
      </c>
      <c r="K351" s="13" t="str">
        <f t="shared" si="2"/>
        <v/>
      </c>
    </row>
    <row r="352" ht="22.5" customHeight="1">
      <c r="B352" s="13">
        <f t="shared" si="3"/>
        <v>346</v>
      </c>
      <c r="C352" s="15" t="str">
        <f t="array" ref="C352">IFNA(_xlfn.XLOOKUP(B352,Table_Respons_Loket[Count],Table_Respons_Loket[Nomor Tiket]),"")</f>
        <v>L/54/221024/1</v>
      </c>
      <c r="D352" s="15" t="str">
        <f t="array" ref="D352">IFNA(_xlfn.XLOOKUP(B352,Table_Respons_Loket[Count],Table_Respons_Loket[Daftar Nomor Hak]),"")</f>
        <v>HM 2260/NOG</v>
      </c>
      <c r="E352" s="17">
        <f t="array" ref="E352">IFNA(_xlfn.XLOOKUP(B352,Table_Respons_Loket[Count],Table_Respons_Loket[Time Stamp]),"")</f>
        <v>45587.60581</v>
      </c>
      <c r="F352" s="18" t="str">
        <f t="array" ref="F352">IFNA(_xlfn.XLOOKUP(B352,Table_Respons_Loket[Count],Table_Respons_Loket[Jenis Permohonan]),"")</f>
        <v>GANDES</v>
      </c>
      <c r="G352" s="24"/>
      <c r="H352" s="24"/>
      <c r="I352" s="22" t="str">
        <f t="shared" si="7"/>
        <v/>
      </c>
      <c r="J352" s="20" t="b">
        <v>0</v>
      </c>
      <c r="K352" s="13" t="str">
        <f t="shared" si="2"/>
        <v/>
      </c>
    </row>
    <row r="353" ht="22.5" customHeight="1">
      <c r="B353" s="13">
        <f t="shared" si="3"/>
        <v>347</v>
      </c>
      <c r="C353" s="15" t="str">
        <f t="array" ref="C353">IFNA(_xlfn.XLOOKUP(B353,Table_Respons_Loket[Count],Table_Respons_Loket[Nomor Tiket]),"")</f>
        <v>K/51/221024/1</v>
      </c>
      <c r="D353" s="15" t="str">
        <f t="array" ref="D353">IFNA(_xlfn.XLOOKUP(B353,Table_Respons_Loket[Count],Table_Respons_Loket[Daftar Nomor Hak]),"")</f>
        <v>M. 1358/ Sukajawa</v>
      </c>
      <c r="E353" s="17">
        <f t="array" ref="E353">IFNA(_xlfn.XLOOKUP(B353,Table_Respons_Loket[Count],Table_Respons_Loket[Time Stamp]),"")</f>
        <v>45587.60662</v>
      </c>
      <c r="F353" s="18" t="str">
        <f t="array" ref="F353">IFNA(_xlfn.XLOOKUP(B353,Table_Respons_Loket[Count],Table_Respons_Loket[Jenis Permohonan]),"")</f>
        <v>Plotting</v>
      </c>
      <c r="G353" s="24"/>
      <c r="H353" s="24"/>
      <c r="I353" s="22" t="str">
        <f t="shared" si="7"/>
        <v/>
      </c>
      <c r="J353" s="20" t="b">
        <v>0</v>
      </c>
      <c r="K353" s="13" t="str">
        <f t="shared" si="2"/>
        <v/>
      </c>
    </row>
    <row r="354" ht="22.5" customHeight="1">
      <c r="B354" s="13">
        <f t="shared" si="3"/>
        <v>348</v>
      </c>
      <c r="C354" s="15" t="str">
        <f t="array" ref="C354">IFNA(_xlfn.XLOOKUP(B354,Table_Respons_Loket[Count],Table_Respons_Loket[Nomor Tiket]),"")</f>
        <v>K/55/221024/1</v>
      </c>
      <c r="D354" s="15" t="str">
        <f t="array" ref="D354">IFNA(_xlfn.XLOOKUP(B354,Table_Respons_Loket[Count],Table_Respons_Loket[Daftar Nomor Hak]),"")</f>
        <v>M.671/ENGGAL</v>
      </c>
      <c r="E354" s="17">
        <f t="array" ref="E354">IFNA(_xlfn.XLOOKUP(B354,Table_Respons_Loket[Count],Table_Respons_Loket[Time Stamp]),"")</f>
        <v>45587.60667</v>
      </c>
      <c r="F354" s="18" t="str">
        <f t="array" ref="F354">IFNA(_xlfn.XLOOKUP(B354,Table_Respons_Loket[Count],Table_Respons_Loket[Jenis Permohonan]),"")</f>
        <v>PERALIHAN JUAL BELI</v>
      </c>
      <c r="G354" s="12" t="s">
        <v>470</v>
      </c>
      <c r="H354" s="12" t="s">
        <v>52</v>
      </c>
      <c r="I354" s="22">
        <f t="shared" si="7"/>
        <v>45588.46426</v>
      </c>
      <c r="J354" s="20" t="b">
        <v>0</v>
      </c>
      <c r="K354" s="13" t="str">
        <f t="shared" si="2"/>
        <v/>
      </c>
    </row>
    <row r="355" ht="22.5" customHeight="1">
      <c r="B355" s="13">
        <f t="shared" si="3"/>
        <v>349</v>
      </c>
      <c r="C355" s="15" t="str">
        <f t="array" ref="C355">IFNA(_xlfn.XLOOKUP(B355,Table_Respons_Loket[Count],Table_Respons_Loket[Nomor Tiket]),"")</f>
        <v>K/57/221024/1</v>
      </c>
      <c r="D355" s="15" t="str">
        <f t="array" ref="D355">IFNA(_xlfn.XLOOKUP(B355,Table_Respons_Loket[Count],Table_Respons_Loket[Daftar Nomor Hak]),"")</f>
        <v>M. 1470/ Sukamaju</v>
      </c>
      <c r="E355" s="17">
        <f t="array" ref="E355">IFNA(_xlfn.XLOOKUP(B355,Table_Respons_Loket[Count],Table_Respons_Loket[Time Stamp]),"")</f>
        <v>45587.60726</v>
      </c>
      <c r="F355" s="18" t="str">
        <f t="array" ref="F355">IFNA(_xlfn.XLOOKUP(B355,Table_Respons_Loket[Count],Table_Respons_Loket[Jenis Permohonan]),"")</f>
        <v>BN Jual Beli</v>
      </c>
      <c r="G355" s="12" t="s">
        <v>470</v>
      </c>
      <c r="H355" s="12" t="s">
        <v>52</v>
      </c>
      <c r="I355" s="22">
        <f t="shared" si="7"/>
        <v>45588.46426</v>
      </c>
      <c r="J355" s="20" t="b">
        <v>0</v>
      </c>
      <c r="K355" s="13" t="str">
        <f t="shared" si="2"/>
        <v/>
      </c>
    </row>
    <row r="356" ht="22.5" customHeight="1">
      <c r="B356" s="13">
        <f t="shared" si="3"/>
        <v>350</v>
      </c>
      <c r="C356" s="15" t="str">
        <f t="array" ref="C356">IFNA(_xlfn.XLOOKUP(B356,Table_Respons_Loket[Count],Table_Respons_Loket[Nomor Tiket]),"")</f>
        <v>K/52/221024/2</v>
      </c>
      <c r="D356" s="15" t="str">
        <f t="array" ref="D356">IFNA(_xlfn.XLOOKUP(B356,Table_Respons_Loket[Count],Table_Respons_Loket[Daftar Nomor Hak]),"")</f>
        <v>M. 1991/ L R R</v>
      </c>
      <c r="E356" s="17">
        <f t="array" ref="E356">IFNA(_xlfn.XLOOKUP(B356,Table_Respons_Loket[Count],Table_Respons_Loket[Time Stamp]),"")</f>
        <v>45587.60911</v>
      </c>
      <c r="F356" s="18" t="str">
        <f t="array" ref="F356">IFNA(_xlfn.XLOOKUP(B356,Table_Respons_Loket[Count],Table_Respons_Loket[Jenis Permohonan]),"")</f>
        <v>BN Jual Beli</v>
      </c>
      <c r="G356" s="12" t="s">
        <v>470</v>
      </c>
      <c r="H356" s="12" t="s">
        <v>52</v>
      </c>
      <c r="I356" s="22">
        <f t="shared" si="7"/>
        <v>45588.46426</v>
      </c>
      <c r="J356" s="20" t="b">
        <v>0</v>
      </c>
      <c r="K356" s="13" t="str">
        <f t="shared" si="2"/>
        <v/>
      </c>
    </row>
    <row r="357" ht="22.5" customHeight="1">
      <c r="B357" s="13">
        <f t="shared" si="3"/>
        <v>351</v>
      </c>
      <c r="C357" s="15" t="str">
        <f t="array" ref="C357">IFNA(_xlfn.XLOOKUP(B357,Table_Respons_Loket[Count],Table_Respons_Loket[Nomor Tiket]),"")</f>
        <v>K/53/221024/3</v>
      </c>
      <c r="D357" s="15" t="str">
        <f t="array" ref="D357">IFNA(_xlfn.XLOOKUP(B357,Table_Respons_Loket[Count],Table_Respons_Loket[Daftar Nomor Hak]),"")</f>
        <v>M. 1992/ L R R</v>
      </c>
      <c r="E357" s="17">
        <f t="array" ref="E357">IFNA(_xlfn.XLOOKUP(B357,Table_Respons_Loket[Count],Table_Respons_Loket[Time Stamp]),"")</f>
        <v>45587.60973</v>
      </c>
      <c r="F357" s="18" t="str">
        <f t="array" ref="F357">IFNA(_xlfn.XLOOKUP(B357,Table_Respons_Loket[Count],Table_Respons_Loket[Jenis Permohonan]),"")</f>
        <v>BN Jual Beli</v>
      </c>
      <c r="G357" s="12" t="s">
        <v>470</v>
      </c>
      <c r="H357" s="12" t="s">
        <v>52</v>
      </c>
      <c r="I357" s="22">
        <f t="shared" si="7"/>
        <v>45588.46426</v>
      </c>
      <c r="J357" s="20" t="b">
        <v>0</v>
      </c>
      <c r="K357" s="13" t="str">
        <f t="shared" si="2"/>
        <v/>
      </c>
    </row>
    <row r="358" ht="22.5" customHeight="1">
      <c r="B358" s="13">
        <f t="shared" si="3"/>
        <v>352</v>
      </c>
      <c r="C358" s="15" t="str">
        <f t="array" ref="C358">IFNA(_xlfn.XLOOKUP(B358,Table_Respons_Loket[Count],Table_Respons_Loket[Nomor Tiket]),"")</f>
        <v>K/58/221024/2</v>
      </c>
      <c r="D358" s="15" t="str">
        <f t="array" ref="D358">IFNA(_xlfn.XLOOKUP(B358,Table_Respons_Loket[Count],Table_Respons_Loket[Daftar Nomor Hak]),"")</f>
        <v>M. 1469/ Sukamaju</v>
      </c>
      <c r="E358" s="17">
        <f t="array" ref="E358">IFNA(_xlfn.XLOOKUP(B358,Table_Respons_Loket[Count],Table_Respons_Loket[Time Stamp]),"")</f>
        <v>45587.60989</v>
      </c>
      <c r="F358" s="18" t="str">
        <f t="array" ref="F358">IFNA(_xlfn.XLOOKUP(B358,Table_Respons_Loket[Count],Table_Respons_Loket[Jenis Permohonan]),"")</f>
        <v>BN Jual Beli</v>
      </c>
      <c r="G358" s="12" t="s">
        <v>470</v>
      </c>
      <c r="H358" s="12" t="s">
        <v>52</v>
      </c>
      <c r="I358" s="22">
        <f t="shared" si="7"/>
        <v>45588.46426</v>
      </c>
      <c r="J358" s="20" t="b">
        <v>0</v>
      </c>
      <c r="K358" s="13" t="str">
        <f t="shared" si="2"/>
        <v/>
      </c>
    </row>
    <row r="359" ht="22.5" customHeight="1">
      <c r="B359" s="13">
        <f t="shared" si="3"/>
        <v>353</v>
      </c>
      <c r="C359" s="15" t="str">
        <f t="array" ref="C359">IFNA(_xlfn.XLOOKUP(B359,Table_Respons_Loket[Count],Table_Respons_Loket[Nomor Tiket]),"")</f>
        <v>K/56/221024/2</v>
      </c>
      <c r="D359" s="15" t="str">
        <f t="array" ref="D359">IFNA(_xlfn.XLOOKUP(B359,Table_Respons_Loket[Count],Table_Respons_Loket[Daftar Nomor Hak]),"")</f>
        <v>M.1107/PEMATANG WANGI-SEKARANG;M.792/TANJUNG SENENG-DAHULU</v>
      </c>
      <c r="E359" s="17">
        <f t="array" ref="E359">IFNA(_xlfn.XLOOKUP(B359,Table_Respons_Loket[Count],Table_Respons_Loket[Time Stamp]),"")</f>
        <v>45587.62249</v>
      </c>
      <c r="F359" s="18" t="str">
        <f t="array" ref="F359">IFNA(_xlfn.XLOOKUP(B359,Table_Respons_Loket[Count],Table_Respons_Loket[Jenis Permohonan]),"")</f>
        <v>PEMISAHAN</v>
      </c>
      <c r="G359" s="12" t="s">
        <v>470</v>
      </c>
      <c r="H359" s="12" t="s">
        <v>52</v>
      </c>
      <c r="I359" s="22">
        <f t="shared" si="7"/>
        <v>45588.46426</v>
      </c>
      <c r="J359" s="20" t="b">
        <v>0</v>
      </c>
      <c r="K359" s="13" t="str">
        <f t="shared" si="2"/>
        <v/>
      </c>
    </row>
    <row r="360" ht="22.5" customHeight="1">
      <c r="B360" s="13">
        <f t="shared" si="3"/>
        <v>354</v>
      </c>
      <c r="C360" s="15" t="str">
        <f t="array" ref="C360">IFNA(_xlfn.XLOOKUP(B360,Table_Respons_Loket[Count],Table_Respons_Loket[Nomor Tiket]),"")</f>
        <v>K/59/221024/1</v>
      </c>
      <c r="D360" s="15" t="str">
        <f t="array" ref="D360">IFNA(_xlfn.XLOOKUP(B360,Table_Respons_Loket[Count],Table_Respons_Loket[Daftar Nomor Hak]),"")</f>
        <v>M.118/GEDUNG MENENG BARU-SEKARANG;M.9441/GEDUNG MENENG-DAHULU</v>
      </c>
      <c r="E360" s="17">
        <f t="array" ref="E360">IFNA(_xlfn.XLOOKUP(B360,Table_Respons_Loket[Count],Table_Respons_Loket[Time Stamp]),"")</f>
        <v>45587.62344</v>
      </c>
      <c r="F360" s="18" t="str">
        <f t="array" ref="F360">IFNA(_xlfn.XLOOKUP(B360,Table_Respons_Loket[Count],Table_Respons_Loket[Jenis Permohonan]),"")</f>
        <v>KEWARISAN</v>
      </c>
      <c r="G360" s="24"/>
      <c r="H360" s="12" t="s">
        <v>47</v>
      </c>
      <c r="I360" s="22" t="str">
        <f t="shared" si="7"/>
        <v/>
      </c>
      <c r="J360" s="20" t="b">
        <v>0</v>
      </c>
      <c r="K360" s="13" t="str">
        <f t="shared" si="2"/>
        <v/>
      </c>
    </row>
    <row r="361" ht="22.5" customHeight="1">
      <c r="B361" s="13">
        <f t="shared" si="3"/>
        <v>355</v>
      </c>
      <c r="C361" s="15" t="str">
        <f t="array" ref="C361">IFNA(_xlfn.XLOOKUP(B361,Table_Respons_Loket[Count],Table_Respons_Loket[Nomor Tiket]),"")</f>
        <v>K/61/221024/1</v>
      </c>
      <c r="D361" s="15" t="str">
        <f t="array" ref="D361">IFNA(_xlfn.XLOOKUP(B361,Table_Respons_Loket[Count],Table_Respons_Loket[Daftar Nomor Hak]),"")</f>
        <v>Nibel. M. 1018/ Tanjung Baru</v>
      </c>
      <c r="E361" s="17">
        <f t="array" ref="E361">IFNA(_xlfn.XLOOKUP(B361,Table_Respons_Loket[Count],Table_Respons_Loket[Time Stamp]),"")</f>
        <v>45587.62877</v>
      </c>
      <c r="F361" s="18" t="str">
        <f t="array" ref="F361">IFNA(_xlfn.XLOOKUP(B361,Table_Respons_Loket[Count],Table_Respons_Loket[Jenis Permohonan]),"")</f>
        <v>BN Jual Beli</v>
      </c>
      <c r="G361" s="24"/>
      <c r="H361" s="24"/>
      <c r="I361" s="22" t="str">
        <f t="shared" si="7"/>
        <v/>
      </c>
      <c r="J361" s="20" t="b">
        <v>0</v>
      </c>
      <c r="K361" s="13" t="str">
        <f t="shared" si="2"/>
        <v/>
      </c>
    </row>
    <row r="362" ht="22.5" customHeight="1">
      <c r="B362" s="13">
        <f t="shared" si="3"/>
        <v>356</v>
      </c>
      <c r="C362" s="15" t="str">
        <f t="array" ref="C362">IFNA(_xlfn.XLOOKUP(B362,Table_Respons_Loket[Count],Table_Respons_Loket[Nomor Tiket]),"")</f>
        <v>K/64/221024/1</v>
      </c>
      <c r="D362" s="15" t="str">
        <f t="array" ref="D362">IFNA(_xlfn.XLOOKUP(B362,Table_Respons_Loket[Count],Table_Respons_Loket[Daftar Nomor Hak]),"")</f>
        <v>M. 16736/ Sukabumi</v>
      </c>
      <c r="E362" s="17">
        <f t="array" ref="E362">IFNA(_xlfn.XLOOKUP(B362,Table_Respons_Loket[Count],Table_Respons_Loket[Time Stamp]),"")</f>
        <v>45587.62963</v>
      </c>
      <c r="F362" s="18" t="str">
        <f t="array" ref="F362">IFNA(_xlfn.XLOOKUP(B362,Table_Respons_Loket[Count],Table_Respons_Loket[Jenis Permohonan]),"")</f>
        <v>BN Jual Beli</v>
      </c>
      <c r="G362" s="12" t="s">
        <v>42</v>
      </c>
      <c r="H362" s="12" t="s">
        <v>52</v>
      </c>
      <c r="I362" s="22">
        <f t="shared" si="7"/>
        <v>45600.47466</v>
      </c>
      <c r="J362" s="20" t="b">
        <v>0</v>
      </c>
      <c r="K362" s="13" t="str">
        <f t="shared" si="2"/>
        <v/>
      </c>
    </row>
    <row r="363" ht="22.5" customHeight="1">
      <c r="B363" s="13">
        <f t="shared" si="3"/>
        <v>357</v>
      </c>
      <c r="C363" s="15" t="str">
        <f t="array" ref="C363">IFNA(_xlfn.XLOOKUP(B363,Table_Respons_Loket[Count],Table_Respons_Loket[Nomor Tiket]),"")</f>
        <v>K/62/221024/2</v>
      </c>
      <c r="D363" s="15" t="str">
        <f t="array" ref="D363">IFNA(_xlfn.XLOOKUP(B363,Table_Respons_Loket[Count],Table_Respons_Loket[Daftar Nomor Hak]),"")</f>
        <v>M. 1603/ Bumi Kedamaian</v>
      </c>
      <c r="E363" s="17">
        <f t="array" ref="E363">IFNA(_xlfn.XLOOKUP(B363,Table_Respons_Loket[Count],Table_Respons_Loket[Time Stamp]),"")</f>
        <v>45587.63114</v>
      </c>
      <c r="F363" s="18" t="str">
        <f t="array" ref="F363">IFNA(_xlfn.XLOOKUP(B363,Table_Respons_Loket[Count],Table_Respons_Loket[Jenis Permohonan]),"")</f>
        <v>BN Jual Beli</v>
      </c>
      <c r="G363" s="12" t="s">
        <v>42</v>
      </c>
      <c r="H363" s="12" t="s">
        <v>52</v>
      </c>
      <c r="I363" s="22">
        <f t="shared" si="7"/>
        <v>45601.42182</v>
      </c>
      <c r="J363" s="20" t="b">
        <v>0</v>
      </c>
      <c r="K363" s="13" t="str">
        <f t="shared" si="2"/>
        <v/>
      </c>
    </row>
    <row r="364" ht="22.5" customHeight="1">
      <c r="B364" s="13">
        <f t="shared" si="3"/>
        <v>358</v>
      </c>
      <c r="C364" s="15" t="str">
        <f t="array" ref="C364">IFNA(_xlfn.XLOOKUP(B364,Table_Respons_Loket[Count],Table_Respons_Loket[Nomor Tiket]),"")</f>
        <v>K/65/221024/2</v>
      </c>
      <c r="D364" s="15" t="str">
        <f t="array" ref="D364">IFNA(_xlfn.XLOOKUP(B364,Table_Respons_Loket[Count],Table_Respons_Loket[Daftar Nomor Hak]),"")</f>
        <v>M. 16640/ Sukabumi</v>
      </c>
      <c r="E364" s="17">
        <f t="array" ref="E364">IFNA(_xlfn.XLOOKUP(B364,Table_Respons_Loket[Count],Table_Respons_Loket[Time Stamp]),"")</f>
        <v>45587.63165</v>
      </c>
      <c r="F364" s="18" t="str">
        <f t="array" ref="F364">IFNA(_xlfn.XLOOKUP(B364,Table_Respons_Loket[Count],Table_Respons_Loket[Jenis Permohonan]),"")</f>
        <v>BN Jual Beli</v>
      </c>
      <c r="G364" s="12" t="s">
        <v>470</v>
      </c>
      <c r="H364" s="12" t="s">
        <v>52</v>
      </c>
      <c r="I364" s="22">
        <f t="shared" si="7"/>
        <v>45588.46426</v>
      </c>
      <c r="J364" s="20" t="b">
        <v>0</v>
      </c>
      <c r="K364" s="13" t="str">
        <f t="shared" si="2"/>
        <v/>
      </c>
    </row>
    <row r="365" ht="22.5" customHeight="1">
      <c r="B365" s="13">
        <f t="shared" si="3"/>
        <v>359</v>
      </c>
      <c r="C365" s="15" t="str">
        <f t="array" ref="C365">IFNA(_xlfn.XLOOKUP(B365,Table_Respons_Loket[Count],Table_Respons_Loket[Nomor Tiket]),"")</f>
        <v>K/63/221024/3</v>
      </c>
      <c r="D365" s="15" t="str">
        <f t="array" ref="D365">IFNA(_xlfn.XLOOKUP(B365,Table_Respons_Loket[Count],Table_Respons_Loket[Daftar Nomor Hak]),"")</f>
        <v>M. 1601/ Bumi Kedamaian</v>
      </c>
      <c r="E365" s="17">
        <f t="array" ref="E365">IFNA(_xlfn.XLOOKUP(B365,Table_Respons_Loket[Count],Table_Respons_Loket[Time Stamp]),"")</f>
        <v>45587.63349</v>
      </c>
      <c r="F365" s="18" t="str">
        <f t="array" ref="F365">IFNA(_xlfn.XLOOKUP(B365,Table_Respons_Loket[Count],Table_Respons_Loket[Jenis Permohonan]),"")</f>
        <v>BN Jual Beli</v>
      </c>
      <c r="G365" s="12" t="s">
        <v>42</v>
      </c>
      <c r="H365" s="12" t="s">
        <v>52</v>
      </c>
      <c r="I365" s="22">
        <f t="shared" si="7"/>
        <v>45600.47429</v>
      </c>
      <c r="J365" s="20" t="b">
        <v>0</v>
      </c>
      <c r="K365" s="13" t="str">
        <f t="shared" si="2"/>
        <v/>
      </c>
    </row>
    <row r="366" ht="22.5" customHeight="1">
      <c r="B366" s="13">
        <f t="shared" si="3"/>
        <v>360</v>
      </c>
      <c r="C366" s="15" t="str">
        <f t="array" ref="C366">IFNA(_xlfn.XLOOKUP(B366,Table_Respons_Loket[Count],Table_Respons_Loket[Nomor Tiket]),"")</f>
        <v>K/60/221024/2</v>
      </c>
      <c r="D366" s="15" t="str">
        <f t="array" ref="D366">IFNA(_xlfn.XLOOKUP(B366,Table_Respons_Loket[Count],Table_Respons_Loket[Daftar Nomor Hak]),"")</f>
        <v>NIBEL M 859/NUSANTARA PERMAI</v>
      </c>
      <c r="E366" s="17">
        <f t="array" ref="E366">IFNA(_xlfn.XLOOKUP(B366,Table_Respons_Loket[Count],Table_Respons_Loket[Time Stamp]),"")</f>
        <v>45588.3582</v>
      </c>
      <c r="F366" s="18" t="str">
        <f t="array" ref="F366">IFNA(_xlfn.XLOOKUP(B366,Table_Respons_Loket[Count],Table_Respons_Loket[Jenis Permohonan]),"")</f>
        <v>HIBAH</v>
      </c>
      <c r="G366" s="24"/>
      <c r="H366" s="24"/>
      <c r="I366" s="22" t="str">
        <f t="shared" si="7"/>
        <v/>
      </c>
      <c r="J366" s="20" t="b">
        <v>0</v>
      </c>
      <c r="K366" s="13" t="str">
        <f t="shared" si="2"/>
        <v/>
      </c>
    </row>
    <row r="367" ht="22.5" customHeight="1">
      <c r="B367" s="13">
        <f t="shared" si="3"/>
        <v>361</v>
      </c>
      <c r="C367" s="15" t="str">
        <f t="array" ref="C367">IFNA(_xlfn.XLOOKUP(B367,Table_Respons_Loket[Count],Table_Respons_Loket[Nomor Tiket]),"")</f>
        <v>K/1/231024/1</v>
      </c>
      <c r="D367" s="15" t="str">
        <f t="array" ref="D367">IFNA(_xlfn.XLOOKUP(B367,Table_Respons_Loket[Count],Table_Respons_Loket[Daftar Nomor Hak]),"")</f>
        <v>M. 2889/ Sukarame Baru- sekarang; M. 16509/ Sukarame-dahulu</v>
      </c>
      <c r="E367" s="17">
        <f t="array" ref="E367">IFNA(_xlfn.XLOOKUP(B367,Table_Respons_Loket[Count],Table_Respons_Loket[Time Stamp]),"")</f>
        <v>45588.36988</v>
      </c>
      <c r="F367" s="18" t="str">
        <f t="array" ref="F367">IFNA(_xlfn.XLOOKUP(B367,Table_Respons_Loket[Count],Table_Respons_Loket[Jenis Permohonan]),"")</f>
        <v>BN Hibah</v>
      </c>
      <c r="G367" s="24"/>
      <c r="H367" s="12" t="s">
        <v>47</v>
      </c>
      <c r="I367" s="22" t="str">
        <f t="shared" si="7"/>
        <v/>
      </c>
      <c r="J367" s="20" t="b">
        <v>0</v>
      </c>
      <c r="K367" s="13" t="str">
        <f t="shared" si="2"/>
        <v/>
      </c>
    </row>
    <row r="368" ht="22.5" customHeight="1">
      <c r="B368" s="13">
        <f t="shared" si="3"/>
        <v>362</v>
      </c>
      <c r="C368" s="15" t="str">
        <f t="array" ref="C368">IFNA(_xlfn.XLOOKUP(B368,Table_Respons_Loket[Count],Table_Respons_Loket[Nomor Tiket]),"")</f>
        <v>K/2/231024/2</v>
      </c>
      <c r="D368" s="15" t="str">
        <f t="array" ref="D368">IFNA(_xlfn.XLOOKUP(B368,Table_Respons_Loket[Count],Table_Respons_Loket[Daftar Nomor Hak]),"")</f>
        <v>M. 2888/ Sukarame Baru- sekarang; M. 17475/ Sukarame I</v>
      </c>
      <c r="E368" s="17">
        <f t="array" ref="E368">IFNA(_xlfn.XLOOKUP(B368,Table_Respons_Loket[Count],Table_Respons_Loket[Time Stamp]),"")</f>
        <v>45588.37442</v>
      </c>
      <c r="F368" s="18" t="str">
        <f t="array" ref="F368">IFNA(_xlfn.XLOOKUP(B368,Table_Respons_Loket[Count],Table_Respons_Loket[Jenis Permohonan]),"")</f>
        <v>BN Hibah</v>
      </c>
      <c r="G368" s="12" t="s">
        <v>50</v>
      </c>
      <c r="H368" s="12" t="s">
        <v>52</v>
      </c>
      <c r="I368" s="22">
        <f t="shared" si="7"/>
        <v>45588.38733</v>
      </c>
      <c r="J368" s="20" t="b">
        <v>0</v>
      </c>
      <c r="K368" s="13" t="str">
        <f t="shared" si="2"/>
        <v/>
      </c>
    </row>
    <row r="369" ht="22.5" customHeight="1">
      <c r="B369" s="13">
        <f t="shared" si="3"/>
        <v>363</v>
      </c>
      <c r="C369" s="15" t="str">
        <f t="array" ref="C369">IFNA(_xlfn.XLOOKUP(B369,Table_Respons_Loket[Count],Table_Respons_Loket[Nomor Tiket]),"")</f>
        <v>K/3/231024/1</v>
      </c>
      <c r="D369" s="15" t="str">
        <f t="array" ref="D369">IFNA(_xlfn.XLOOKUP(B369,Table_Respons_Loket[Count],Table_Respons_Loket[Daftar Nomor Hak]),"")</f>
        <v>M. 1186/ Teluk betung</v>
      </c>
      <c r="E369" s="17">
        <f t="array" ref="E369">IFNA(_xlfn.XLOOKUP(B369,Table_Respons_Loket[Count],Table_Respons_Loket[Time Stamp]),"")</f>
        <v>45588.39353</v>
      </c>
      <c r="F369" s="18" t="str">
        <f t="array" ref="F369">IFNA(_xlfn.XLOOKUP(B369,Table_Respons_Loket[Count],Table_Respons_Loket[Jenis Permohonan]),"")</f>
        <v>BN Hibah</v>
      </c>
      <c r="G369" s="12" t="s">
        <v>470</v>
      </c>
      <c r="H369" s="12" t="s">
        <v>52</v>
      </c>
      <c r="I369" s="22">
        <f t="shared" si="7"/>
        <v>45588.59366</v>
      </c>
      <c r="J369" s="20" t="b">
        <v>0</v>
      </c>
      <c r="K369" s="13" t="str">
        <f t="shared" si="2"/>
        <v/>
      </c>
    </row>
    <row r="370" ht="22.5" customHeight="1">
      <c r="B370" s="13">
        <f t="shared" si="3"/>
        <v>364</v>
      </c>
      <c r="C370" s="15" t="str">
        <f t="array" ref="C370">IFNA(_xlfn.XLOOKUP(B370,Table_Respons_Loket[Count],Table_Respons_Loket[Nomor Tiket]),"")</f>
        <v>K/4/231024/2</v>
      </c>
      <c r="D370" s="15" t="str">
        <f t="array" ref="D370">IFNA(_xlfn.XLOOKUP(B370,Table_Respons_Loket[Count],Table_Respons_Loket[Daftar Nomor Hak]),"")</f>
        <v>M. 1238/ Sukamaju</v>
      </c>
      <c r="E370" s="17">
        <f t="array" ref="E370">IFNA(_xlfn.XLOOKUP(B370,Table_Respons_Loket[Count],Table_Respons_Loket[Time Stamp]),"")</f>
        <v>45588.40785</v>
      </c>
      <c r="F370" s="18" t="str">
        <f t="array" ref="F370">IFNA(_xlfn.XLOOKUP(B370,Table_Respons_Loket[Count],Table_Respons_Loket[Jenis Permohonan]),"")</f>
        <v>Plotting</v>
      </c>
      <c r="G370" s="24"/>
      <c r="H370" s="24"/>
      <c r="I370" s="22" t="str">
        <f t="shared" si="7"/>
        <v/>
      </c>
      <c r="J370" s="20" t="b">
        <v>0</v>
      </c>
      <c r="K370" s="13" t="str">
        <f t="shared" si="2"/>
        <v/>
      </c>
    </row>
    <row r="371" ht="22.5" customHeight="1">
      <c r="B371" s="13">
        <f t="shared" si="3"/>
        <v>365</v>
      </c>
      <c r="C371" s="15" t="str">
        <f t="array" ref="C371">IFNA(_xlfn.XLOOKUP(B371,Table_Respons_Loket[Count],Table_Respons_Loket[Nomor Tiket]),"")</f>
        <v>K/5/231024/1</v>
      </c>
      <c r="D371" s="15" t="str">
        <f t="array" ref="D371">IFNA(_xlfn.XLOOKUP(B371,Table_Respons_Loket[Count],Table_Respons_Loket[Daftar Nomor Hak]),"")</f>
        <v>M. 1046/ Kupang Teba</v>
      </c>
      <c r="E371" s="17">
        <f t="array" ref="E371">IFNA(_xlfn.XLOOKUP(B371,Table_Respons_Loket[Count],Table_Respons_Loket[Time Stamp]),"")</f>
        <v>45588.43545</v>
      </c>
      <c r="F371" s="18" t="str">
        <f t="array" ref="F371">IFNA(_xlfn.XLOOKUP(B371,Table_Respons_Loket[Count],Table_Respons_Loket[Jenis Permohonan]),"")</f>
        <v>Roya</v>
      </c>
      <c r="G371" s="12" t="s">
        <v>470</v>
      </c>
      <c r="H371" s="12" t="s">
        <v>52</v>
      </c>
      <c r="I371" s="22">
        <f t="shared" si="7"/>
        <v>45588.59419</v>
      </c>
      <c r="J371" s="20" t="b">
        <v>0</v>
      </c>
      <c r="K371" s="13" t="str">
        <f t="shared" si="2"/>
        <v/>
      </c>
      <c r="L371" s="1" t="s">
        <v>500</v>
      </c>
    </row>
    <row r="372" ht="22.5" customHeight="1">
      <c r="B372" s="13">
        <f t="shared" si="3"/>
        <v>366</v>
      </c>
      <c r="C372" s="15" t="str">
        <f t="array" ref="C372">IFNA(_xlfn.XLOOKUP(B372,Table_Respons_Loket[Count],Table_Respons_Loket[Nomor Tiket]),"")</f>
        <v>K/6/231024/1</v>
      </c>
      <c r="D372" s="15" t="str">
        <f t="array" ref="D372">IFNA(_xlfn.XLOOKUP(B372,Table_Respons_Loket[Count],Table_Respons_Loket[Daftar Nomor Hak]),"")</f>
        <v>M. 149/ Bakung</v>
      </c>
      <c r="E372" s="17">
        <f t="array" ref="E372">IFNA(_xlfn.XLOOKUP(B372,Table_Respons_Loket[Count],Table_Respons_Loket[Time Stamp]),"")</f>
        <v>45588.44666</v>
      </c>
      <c r="F372" s="18" t="str">
        <f t="array" ref="F372">IFNA(_xlfn.XLOOKUP(B372,Table_Respons_Loket[Count],Table_Respons_Loket[Jenis Permohonan]),"")</f>
        <v>Pemecahan</v>
      </c>
      <c r="G372" s="24"/>
      <c r="H372" s="12" t="s">
        <v>47</v>
      </c>
      <c r="I372" s="22" t="str">
        <f t="shared" si="7"/>
        <v/>
      </c>
      <c r="J372" s="20" t="b">
        <v>0</v>
      </c>
      <c r="K372" s="13" t="str">
        <f t="shared" si="2"/>
        <v/>
      </c>
    </row>
    <row r="373" ht="22.5" customHeight="1">
      <c r="B373" s="13">
        <f t="shared" si="3"/>
        <v>367</v>
      </c>
      <c r="C373" s="15" t="str">
        <f t="array" ref="C373">IFNA(_xlfn.XLOOKUP(B373,Table_Respons_Loket[Count],Table_Respons_Loket[Nomor Tiket]),"")</f>
        <v>L/7/231024/1</v>
      </c>
      <c r="D373" s="15" t="str">
        <f t="array" ref="D373">IFNA(_xlfn.XLOOKUP(B373,Table_Respons_Loket[Count],Table_Respons_Loket[Daftar Nomor Hak]),"")</f>
        <v>M.1326/KOTA BARU</v>
      </c>
      <c r="E373" s="17">
        <f t="array" ref="E373">IFNA(_xlfn.XLOOKUP(B373,Table_Respons_Loket[Count],Table_Respons_Loket[Time Stamp]),"")</f>
        <v>45588.44675</v>
      </c>
      <c r="F373" s="18" t="str">
        <f t="array" ref="F373">IFNA(_xlfn.XLOOKUP(B373,Table_Respons_Loket[Count],Table_Respons_Loket[Jenis Permohonan]),"")</f>
        <v>ROYA WARIS</v>
      </c>
      <c r="G373" s="12" t="s">
        <v>470</v>
      </c>
      <c r="H373" s="12" t="s">
        <v>52</v>
      </c>
      <c r="I373" s="22">
        <f t="shared" si="7"/>
        <v>45588.60028</v>
      </c>
      <c r="J373" s="20" t="b">
        <v>0</v>
      </c>
      <c r="K373" s="13" t="str">
        <f t="shared" si="2"/>
        <v/>
      </c>
    </row>
    <row r="374" ht="22.5" customHeight="1">
      <c r="B374" s="13">
        <f t="shared" si="3"/>
        <v>368</v>
      </c>
      <c r="C374" s="15" t="str">
        <f t="array" ref="C374">IFNA(_xlfn.XLOOKUP(B374,Table_Respons_Loket[Count],Table_Respons_Loket[Nomor Tiket]),"")</f>
        <v>K/8/231024/1</v>
      </c>
      <c r="D374" s="15" t="str">
        <f t="array" ref="D374">IFNA(_xlfn.XLOOKUP(B374,Table_Respons_Loket[Count],Table_Respons_Loket[Daftar Nomor Hak]),"")</f>
        <v>M. 547/ Sukajawa</v>
      </c>
      <c r="E374" s="17">
        <f t="array" ref="E374">IFNA(_xlfn.XLOOKUP(B374,Table_Respons_Loket[Count],Table_Respons_Loket[Time Stamp]),"")</f>
        <v>45588.44991</v>
      </c>
      <c r="F374" s="18" t="str">
        <f t="array" ref="F374">IFNA(_xlfn.XLOOKUP(B374,Table_Respons_Loket[Count],Table_Respons_Loket[Jenis Permohonan]),"")</f>
        <v>Ganti Kelurahan</v>
      </c>
      <c r="G374" s="24"/>
      <c r="H374" s="24"/>
      <c r="I374" s="22" t="str">
        <f t="shared" si="7"/>
        <v/>
      </c>
      <c r="J374" s="20" t="b">
        <v>0</v>
      </c>
      <c r="K374" s="13" t="str">
        <f t="shared" si="2"/>
        <v/>
      </c>
    </row>
    <row r="375" ht="22.5" customHeight="1">
      <c r="B375" s="13">
        <f t="shared" si="3"/>
        <v>369</v>
      </c>
      <c r="C375" s="15" t="str">
        <f t="array" ref="C375">IFNA(_xlfn.XLOOKUP(B375,Table_Respons_Loket[Count],Table_Respons_Loket[Nomor Tiket]),"")</f>
        <v>K/9/231024/2</v>
      </c>
      <c r="D375" s="15" t="str">
        <f t="array" ref="D375">IFNA(_xlfn.XLOOKUP(B375,Table_Respons_Loket[Count],Table_Respons_Loket[Daftar Nomor Hak]),"")</f>
        <v>M. 1636/ Bumi Kedamaian- Sekarang; M. 7926/ Kedamaian- dahulu</v>
      </c>
      <c r="E375" s="17">
        <f t="array" ref="E375">IFNA(_xlfn.XLOOKUP(B375,Table_Respons_Loket[Count],Table_Respons_Loket[Time Stamp]),"")</f>
        <v>45588.45242</v>
      </c>
      <c r="F375" s="18" t="str">
        <f t="array" ref="F375">IFNA(_xlfn.XLOOKUP(B375,Table_Respons_Loket[Count],Table_Respons_Loket[Jenis Permohonan]),"")</f>
        <v>BN Jual Beli</v>
      </c>
      <c r="G375" s="12" t="s">
        <v>470</v>
      </c>
      <c r="H375" s="12" t="s">
        <v>52</v>
      </c>
      <c r="I375" s="22">
        <f t="shared" si="7"/>
        <v>45588.60786</v>
      </c>
      <c r="J375" s="20" t="b">
        <v>0</v>
      </c>
      <c r="K375" s="13" t="str">
        <f t="shared" si="2"/>
        <v/>
      </c>
    </row>
    <row r="376" ht="22.5" customHeight="1">
      <c r="B376" s="13">
        <f t="shared" si="3"/>
        <v>370</v>
      </c>
      <c r="C376" s="15" t="str">
        <f t="array" ref="C376">IFNA(_xlfn.XLOOKUP(B376,Table_Respons_Loket[Count],Table_Respons_Loket[Nomor Tiket]),"")</f>
        <v>K/10/231024/3</v>
      </c>
      <c r="D376" s="15" t="str">
        <f t="array" ref="D376">IFNA(_xlfn.XLOOKUP(B376,Table_Respons_Loket[Count],Table_Respons_Loket[Daftar Nomor Hak]),"")</f>
        <v>M. 10670/ Kedaton</v>
      </c>
      <c r="E376" s="17">
        <f t="array" ref="E376">IFNA(_xlfn.XLOOKUP(B376,Table_Respons_Loket[Count],Table_Respons_Loket[Time Stamp]),"")</f>
        <v>45588.45397</v>
      </c>
      <c r="F376" s="18" t="str">
        <f t="array" ref="F376">IFNA(_xlfn.XLOOKUP(B376,Table_Respons_Loket[Count],Table_Respons_Loket[Jenis Permohonan]),"")</f>
        <v>Roya</v>
      </c>
      <c r="G376" s="24"/>
      <c r="H376" s="12" t="s">
        <v>47</v>
      </c>
      <c r="I376" s="22" t="str">
        <f t="shared" si="7"/>
        <v/>
      </c>
      <c r="J376" s="20" t="b">
        <v>0</v>
      </c>
      <c r="K376" s="13" t="str">
        <f t="shared" si="2"/>
        <v/>
      </c>
    </row>
    <row r="377" ht="22.5" customHeight="1">
      <c r="B377" s="13">
        <f t="shared" si="3"/>
        <v>371</v>
      </c>
      <c r="C377" s="15" t="str">
        <f t="array" ref="C377">IFNA(_xlfn.XLOOKUP(B377,Table_Respons_Loket[Count],Table_Respons_Loket[Nomor Tiket]),"")</f>
        <v>K/12/231024/1</v>
      </c>
      <c r="D377" s="15" t="str">
        <f t="array" ref="D377">IFNA(_xlfn.XLOOKUP(B377,Table_Respons_Loket[Count],Table_Respons_Loket[Daftar Nomor Hak]),"")</f>
        <v>M. 10719/ Segala Mider</v>
      </c>
      <c r="E377" s="17">
        <f t="array" ref="E377">IFNA(_xlfn.XLOOKUP(B377,Table_Respons_Loket[Count],Table_Respons_Loket[Time Stamp]),"")</f>
        <v>45588.4557</v>
      </c>
      <c r="F377" s="18" t="str">
        <f t="array" ref="F377">IFNA(_xlfn.XLOOKUP(B377,Table_Respons_Loket[Count],Table_Respons_Loket[Jenis Permohonan]),"")</f>
        <v>BN Jual Beli</v>
      </c>
      <c r="G377" s="12" t="s">
        <v>470</v>
      </c>
      <c r="H377" s="12" t="s">
        <v>52</v>
      </c>
      <c r="I377" s="22">
        <f t="shared" si="7"/>
        <v>45588.60104</v>
      </c>
      <c r="J377" s="20" t="b">
        <v>0</v>
      </c>
      <c r="K377" s="13" t="str">
        <f t="shared" si="2"/>
        <v/>
      </c>
    </row>
    <row r="378" ht="22.5" customHeight="1">
      <c r="B378" s="13">
        <f t="shared" si="3"/>
        <v>372</v>
      </c>
      <c r="C378" s="15" t="str">
        <f t="array" ref="C378">IFNA(_xlfn.XLOOKUP(B378,Table_Respons_Loket[Count],Table_Respons_Loket[Nomor Tiket]),"")</f>
        <v>K/11/231024/4</v>
      </c>
      <c r="D378" s="15" t="str">
        <f t="array" ref="D378">IFNA(_xlfn.XLOOKUP(B378,Table_Respons_Loket[Count],Table_Respons_Loket[Daftar Nomor Hak]),"")</f>
        <v>M. 395/ Kebon Jeruk</v>
      </c>
      <c r="E378" s="17">
        <f t="array" ref="E378">IFNA(_xlfn.XLOOKUP(B378,Table_Respons_Loket[Count],Table_Respons_Loket[Time Stamp]),"")</f>
        <v>45588.45686</v>
      </c>
      <c r="F378" s="18" t="str">
        <f t="array" ref="F378">IFNA(_xlfn.XLOOKUP(B378,Table_Respons_Loket[Count],Table_Respons_Loket[Jenis Permohonan]),"")</f>
        <v>BN Jual beli</v>
      </c>
      <c r="G378" s="12" t="s">
        <v>470</v>
      </c>
      <c r="H378" s="12" t="s">
        <v>52</v>
      </c>
      <c r="I378" s="22">
        <f t="shared" si="7"/>
        <v>45588.60119</v>
      </c>
      <c r="J378" s="20" t="b">
        <v>0</v>
      </c>
      <c r="K378" s="13" t="str">
        <f t="shared" si="2"/>
        <v/>
      </c>
    </row>
    <row r="379" ht="22.5" customHeight="1">
      <c r="B379" s="13">
        <f t="shared" si="3"/>
        <v>373</v>
      </c>
      <c r="C379" s="15" t="str">
        <f t="array" ref="C379">IFNA(_xlfn.XLOOKUP(B379,Table_Respons_Loket[Count],Table_Respons_Loket[Nomor Tiket]),"")</f>
        <v>K/13/231024/1</v>
      </c>
      <c r="D379" s="15" t="str">
        <f t="array" ref="D379">IFNA(_xlfn.XLOOKUP(B379,Table_Respons_Loket[Count],Table_Respons_Loket[Daftar Nomor Hak]),"")</f>
        <v>B. 645/ Jagabaya III; 4216/Sukarame-dahulu</v>
      </c>
      <c r="E379" s="17">
        <f t="array" ref="E379">IFNA(_xlfn.XLOOKUP(B379,Table_Respons_Loket[Count],Table_Respons_Loket[Time Stamp]),"")</f>
        <v>45588.45811</v>
      </c>
      <c r="F379" s="18" t="str">
        <f t="array" ref="F379">IFNA(_xlfn.XLOOKUP(B379,Table_Respons_Loket[Count],Table_Respons_Loket[Jenis Permohonan]),"")</f>
        <v>Perubahan Hak</v>
      </c>
      <c r="G379" s="12" t="s">
        <v>470</v>
      </c>
      <c r="H379" s="12" t="s">
        <v>52</v>
      </c>
      <c r="I379" s="22">
        <f t="shared" si="7"/>
        <v>45588.60138</v>
      </c>
      <c r="J379" s="20" t="b">
        <v>0</v>
      </c>
      <c r="K379" s="13" t="str">
        <f t="shared" si="2"/>
        <v/>
      </c>
    </row>
    <row r="380" ht="22.5" customHeight="1">
      <c r="B380" s="13">
        <f t="shared" si="3"/>
        <v>374</v>
      </c>
      <c r="C380" s="15" t="str">
        <f t="array" ref="C380">IFNA(_xlfn.XLOOKUP(B380,Table_Respons_Loket[Count],Table_Respons_Loket[Nomor Tiket]),"")</f>
        <v>L/14/231024/1</v>
      </c>
      <c r="D380" s="15" t="str">
        <f t="array" ref="D380">IFNA(_xlfn.XLOOKUP(B380,Table_Respons_Loket[Count],Table_Respons_Loket[Daftar Nomor Hak]),"")</f>
        <v>HM 14460/SUKABUMI</v>
      </c>
      <c r="E380" s="17">
        <f t="array" ref="E380">IFNA(_xlfn.XLOOKUP(B380,Table_Respons_Loket[Count],Table_Respons_Loket[Time Stamp]),"")</f>
        <v>45588.46053</v>
      </c>
      <c r="F380" s="18" t="str">
        <f t="array" ref="F380">IFNA(_xlfn.XLOOKUP(B380,Table_Respons_Loket[Count],Table_Respons_Loket[Jenis Permohonan]),"")</f>
        <v>PENGHAPUSAN BPHTB</v>
      </c>
      <c r="G380" s="24"/>
      <c r="H380" s="24"/>
      <c r="I380" s="22" t="str">
        <f t="shared" si="7"/>
        <v/>
      </c>
      <c r="J380" s="20" t="b">
        <v>0</v>
      </c>
      <c r="K380" s="13" t="str">
        <f t="shared" si="2"/>
        <v/>
      </c>
    </row>
    <row r="381" ht="22.5" customHeight="1">
      <c r="B381" s="13">
        <f t="shared" si="3"/>
        <v>375</v>
      </c>
      <c r="C381" s="15" t="str">
        <f t="array" ref="C381">IFNA(_xlfn.XLOOKUP(B381,Table_Respons_Loket[Count],Table_Respons_Loket[Nomor Tiket]),"")</f>
        <v>K/15/231024/1</v>
      </c>
      <c r="D381" s="15" t="str">
        <f t="array" ref="D381">IFNA(_xlfn.XLOOKUP(B381,Table_Respons_Loket[Count],Table_Respons_Loket[Daftar Nomor Hak]),"")</f>
        <v>M. 8119/ Sukabumi</v>
      </c>
      <c r="E381" s="17">
        <f t="array" ref="E381">IFNA(_xlfn.XLOOKUP(B381,Table_Respons_Loket[Count],Table_Respons_Loket[Time Stamp]),"")</f>
        <v>45588.46328</v>
      </c>
      <c r="F381" s="18" t="str">
        <f t="array" ref="F381">IFNA(_xlfn.XLOOKUP(B381,Table_Respons_Loket[Count],Table_Respons_Loket[Jenis Permohonan]),"")</f>
        <v>BN Jual Beli</v>
      </c>
      <c r="G381" s="12" t="s">
        <v>470</v>
      </c>
      <c r="H381" s="12" t="s">
        <v>87</v>
      </c>
      <c r="I381" s="22">
        <f t="shared" si="7"/>
        <v>45588.60808</v>
      </c>
      <c r="J381" s="20" t="b">
        <v>0</v>
      </c>
      <c r="K381" s="13" t="str">
        <f t="shared" si="2"/>
        <v/>
      </c>
    </row>
    <row r="382" ht="22.5" customHeight="1">
      <c r="B382" s="13">
        <f t="shared" si="3"/>
        <v>376</v>
      </c>
      <c r="C382" s="15" t="str">
        <f t="array" ref="C382">IFNA(_xlfn.XLOOKUP(B382,Table_Respons_Loket[Count],Table_Respons_Loket[Nomor Tiket]),"")</f>
        <v>L/16/231024/1</v>
      </c>
      <c r="D382" s="15" t="str">
        <f t="array" ref="D382">IFNA(_xlfn.XLOOKUP(B382,Table_Respons_Loket[Count],Table_Respons_Loket[Daftar Nomor Hak]),"")</f>
        <v>M.3338/SUKADANA HAM</v>
      </c>
      <c r="E382" s="17">
        <f t="array" ref="E382">IFNA(_xlfn.XLOOKUP(B382,Table_Respons_Loket[Count],Table_Respons_Loket[Time Stamp]),"")</f>
        <v>45588.47713</v>
      </c>
      <c r="F382" s="18" t="str">
        <f t="array" ref="F382">IFNA(_xlfn.XLOOKUP(B382,Table_Respons_Loket[Count],Table_Respons_Loket[Jenis Permohonan]),"")</f>
        <v>SERTIPIKAT HILANG</v>
      </c>
      <c r="G382" s="12" t="s">
        <v>470</v>
      </c>
      <c r="H382" s="12" t="s">
        <v>52</v>
      </c>
      <c r="I382" s="22">
        <f t="shared" si="7"/>
        <v>45588.60166</v>
      </c>
      <c r="J382" s="20" t="b">
        <v>0</v>
      </c>
      <c r="K382" s="13" t="str">
        <f t="shared" si="2"/>
        <v/>
      </c>
    </row>
    <row r="383" ht="22.5" customHeight="1">
      <c r="B383" s="13">
        <f t="shared" si="3"/>
        <v>377</v>
      </c>
      <c r="C383" s="15" t="str">
        <f t="array" ref="C383">IFNA(_xlfn.XLOOKUP(B383,Table_Respons_Loket[Count],Table_Respons_Loket[Nomor Tiket]),"")</f>
        <v>L/17/231024/2</v>
      </c>
      <c r="D383" s="15" t="str">
        <f t="array" ref="D383">IFNA(_xlfn.XLOOKUP(B383,Table_Respons_Loket[Count],Table_Respons_Loket[Daftar Nomor Hak]),"")</f>
        <v>M.3337/SUKADANA HAM</v>
      </c>
      <c r="E383" s="17">
        <f t="array" ref="E383">IFNA(_xlfn.XLOOKUP(B383,Table_Respons_Loket[Count],Table_Respons_Loket[Time Stamp]),"")</f>
        <v>45588.47867</v>
      </c>
      <c r="F383" s="18" t="str">
        <f t="array" ref="F383">IFNA(_xlfn.XLOOKUP(B383,Table_Respons_Loket[Count],Table_Respons_Loket[Jenis Permohonan]),"")</f>
        <v>SERTIPIKAT HILANG</v>
      </c>
      <c r="G383" s="12" t="s">
        <v>470</v>
      </c>
      <c r="H383" s="12" t="s">
        <v>52</v>
      </c>
      <c r="I383" s="22">
        <f t="shared" si="7"/>
        <v>45588.6017</v>
      </c>
      <c r="J383" s="20" t="b">
        <v>0</v>
      </c>
      <c r="K383" s="13" t="str">
        <f t="shared" si="2"/>
        <v/>
      </c>
    </row>
    <row r="384" ht="22.5" customHeight="1">
      <c r="B384" s="13">
        <f t="shared" si="3"/>
        <v>378</v>
      </c>
      <c r="C384" s="15" t="str">
        <f t="array" ref="C384">IFNA(_xlfn.XLOOKUP(B384,Table_Respons_Loket[Count],Table_Respons_Loket[Nomor Tiket]),"")</f>
        <v>K/18/231024/1</v>
      </c>
      <c r="D384" s="15" t="str">
        <f t="array" ref="D384">IFNA(_xlfn.XLOOKUP(B384,Table_Respons_Loket[Count],Table_Respons_Loket[Daftar Nomor Hak]),"")</f>
        <v>Nibel 3407/ Jagabaya II</v>
      </c>
      <c r="E384" s="17">
        <f t="array" ref="E384">IFNA(_xlfn.XLOOKUP(B384,Table_Respons_Loket[Count],Table_Respons_Loket[Time Stamp]),"")</f>
        <v>45588.47982</v>
      </c>
      <c r="F384" s="18" t="str">
        <f t="array" ref="F384">IFNA(_xlfn.XLOOKUP(B384,Table_Respons_Loket[Count],Table_Respons_Loket[Jenis Permohonan]),"")</f>
        <v>BN Lelang</v>
      </c>
      <c r="G384" s="24"/>
      <c r="H384" s="24"/>
      <c r="I384" s="22" t="str">
        <f t="shared" si="7"/>
        <v/>
      </c>
      <c r="J384" s="20" t="b">
        <v>0</v>
      </c>
      <c r="K384" s="13" t="str">
        <f t="shared" si="2"/>
        <v/>
      </c>
      <c r="O384" s="1" t="s">
        <v>501</v>
      </c>
    </row>
    <row r="385" ht="22.5" customHeight="1">
      <c r="B385" s="13">
        <f t="shared" si="3"/>
        <v>379</v>
      </c>
      <c r="C385" s="15" t="str">
        <f t="array" ref="C385">IFNA(_xlfn.XLOOKUP(B385,Table_Respons_Loket[Count],Table_Respons_Loket[Nomor Tiket]),"")</f>
        <v>L/19/231024/1</v>
      </c>
      <c r="D385" s="15" t="str">
        <f t="array" ref="D385">IFNA(_xlfn.XLOOKUP(B385,Table_Respons_Loket[Count],Table_Respons_Loket[Daftar Nomor Hak]),"")</f>
        <v>HM 409/KBK</v>
      </c>
      <c r="E385" s="17">
        <f t="array" ref="E385">IFNA(_xlfn.XLOOKUP(B385,Table_Respons_Loket[Count],Table_Respons_Loket[Time Stamp]),"")</f>
        <v>45588.48293</v>
      </c>
      <c r="F385" s="18" t="str">
        <f t="array" ref="F385">IFNA(_xlfn.XLOOKUP(B385,Table_Respons_Loket[Count],Table_Respons_Loket[Jenis Permohonan]),"")</f>
        <v>ROYA</v>
      </c>
      <c r="G385" s="24"/>
      <c r="H385" s="12" t="s">
        <v>47</v>
      </c>
      <c r="I385" s="22" t="str">
        <f t="shared" si="7"/>
        <v/>
      </c>
      <c r="J385" s="20" t="b">
        <v>0</v>
      </c>
      <c r="K385" s="13" t="str">
        <f t="shared" si="2"/>
        <v/>
      </c>
    </row>
    <row r="386" ht="22.5" customHeight="1">
      <c r="B386" s="13">
        <f t="shared" si="3"/>
        <v>380</v>
      </c>
      <c r="C386" s="15" t="str">
        <f t="array" ref="C386">IFNA(_xlfn.XLOOKUP(B386,Table_Respons_Loket[Count],Table_Respons_Loket[Nomor Tiket]),"")</f>
        <v>K/20/231024/1</v>
      </c>
      <c r="D386" s="15" t="str">
        <f t="array" ref="D386">IFNA(_xlfn.XLOOKUP(B386,Table_Respons_Loket[Count],Table_Respons_Loket[Daftar Nomor Hak]),"")</f>
        <v>NIBEL M.2396/KORPRI RAYA</v>
      </c>
      <c r="E386" s="17">
        <f t="array" ref="E386">IFNA(_xlfn.XLOOKUP(B386,Table_Respons_Loket[Count],Table_Respons_Loket[Time Stamp]),"")</f>
        <v>45588.48676</v>
      </c>
      <c r="F386" s="18" t="str">
        <f t="array" ref="F386">IFNA(_xlfn.XLOOKUP(B386,Table_Respons_Loket[Count],Table_Respons_Loket[Jenis Permohonan]),"")</f>
        <v>BN JUAL BELI</v>
      </c>
      <c r="G386" s="24"/>
      <c r="H386" s="24"/>
      <c r="I386" s="22" t="str">
        <f t="shared" si="7"/>
        <v/>
      </c>
      <c r="J386" s="20" t="b">
        <v>0</v>
      </c>
      <c r="K386" s="13" t="str">
        <f t="shared" si="2"/>
        <v/>
      </c>
    </row>
    <row r="387" ht="22.5" customHeight="1">
      <c r="B387" s="13">
        <f t="shared" si="3"/>
        <v>381</v>
      </c>
      <c r="C387" s="15" t="str">
        <f t="array" ref="C387">IFNA(_xlfn.XLOOKUP(B387,Table_Respons_Loket[Count],Table_Respons_Loket[Nomor Tiket]),"")</f>
        <v>K/22/231024/1</v>
      </c>
      <c r="D387" s="15" t="str">
        <f t="array" ref="D387">IFNA(_xlfn.XLOOKUP(B387,Table_Respons_Loket[Count],Table_Respons_Loket[Daftar Nomor Hak]),"")</f>
        <v>M. 6306/ Way Kandis</v>
      </c>
      <c r="E387" s="17">
        <f t="array" ref="E387">IFNA(_xlfn.XLOOKUP(B387,Table_Respons_Loket[Count],Table_Respons_Loket[Time Stamp]),"")</f>
        <v>45588.49031</v>
      </c>
      <c r="F387" s="18" t="str">
        <f t="array" ref="F387">IFNA(_xlfn.XLOOKUP(B387,Table_Respons_Loket[Count],Table_Respons_Loket[Jenis Permohonan]),"")</f>
        <v>BN Jual Beli</v>
      </c>
      <c r="G387" s="12" t="s">
        <v>470</v>
      </c>
      <c r="H387" s="12" t="s">
        <v>52</v>
      </c>
      <c r="I387" s="22">
        <f t="shared" si="7"/>
        <v>45588.60205</v>
      </c>
      <c r="J387" s="20" t="b">
        <v>0</v>
      </c>
      <c r="K387" s="13" t="str">
        <f t="shared" si="2"/>
        <v/>
      </c>
    </row>
    <row r="388" ht="22.5" customHeight="1">
      <c r="B388" s="13">
        <f t="shared" si="3"/>
        <v>382</v>
      </c>
      <c r="C388" s="15" t="str">
        <f t="array" ref="C388">IFNA(_xlfn.XLOOKUP(B388,Table_Respons_Loket[Count],Table_Respons_Loket[Nomor Tiket]),"")</f>
        <v>K/21/231024/1</v>
      </c>
      <c r="D388" s="15" t="str">
        <f t="array" ref="D388">IFNA(_xlfn.XLOOKUP(B388,Table_Respons_Loket[Count],Table_Respons_Loket[Daftar Nomor Hak]),"")</f>
        <v>Nibel. B. 2499/ Sumur Putri</v>
      </c>
      <c r="E388" s="17">
        <f t="array" ref="E388">IFNA(_xlfn.XLOOKUP(B388,Table_Respons_Loket[Count],Table_Respons_Loket[Time Stamp]),"")</f>
        <v>45588.49184</v>
      </c>
      <c r="F388" s="18" t="str">
        <f t="array" ref="F388">IFNA(_xlfn.XLOOKUP(B388,Table_Respons_Loket[Count],Table_Respons_Loket[Jenis Permohonan]),"")</f>
        <v>Perubahan Hak</v>
      </c>
      <c r="G388" s="24"/>
      <c r="H388" s="24"/>
      <c r="I388" s="22" t="str">
        <f t="shared" si="7"/>
        <v/>
      </c>
      <c r="J388" s="20" t="b">
        <v>0</v>
      </c>
      <c r="K388" s="13" t="str">
        <f t="shared" si="2"/>
        <v/>
      </c>
    </row>
    <row r="389" ht="22.5" customHeight="1">
      <c r="B389" s="13">
        <f t="shared" si="3"/>
        <v>383</v>
      </c>
      <c r="C389" s="15" t="str">
        <f t="array" ref="C389">IFNA(_xlfn.XLOOKUP(B389,Table_Respons_Loket[Count],Table_Respons_Loket[Nomor Tiket]),"")</f>
        <v>K/23/231024/2</v>
      </c>
      <c r="D389" s="15" t="str">
        <f t="array" ref="D389">IFNA(_xlfn.XLOOKUP(B389,Table_Respons_Loket[Count],Table_Respons_Loket[Daftar Nomor Hak]),"")</f>
        <v>B. 922/ Campang Raya</v>
      </c>
      <c r="E389" s="17">
        <f t="array" ref="E389">IFNA(_xlfn.XLOOKUP(B389,Table_Respons_Loket[Count],Table_Respons_Loket[Time Stamp]),"")</f>
        <v>45588.49294</v>
      </c>
      <c r="F389" s="18" t="str">
        <f t="array" ref="F389">IFNA(_xlfn.XLOOKUP(B389,Table_Respons_Loket[Count],Table_Respons_Loket[Jenis Permohonan]),"")</f>
        <v>Ploting</v>
      </c>
      <c r="G389" s="24"/>
      <c r="H389" s="24"/>
      <c r="I389" s="22" t="str">
        <f t="shared" si="7"/>
        <v/>
      </c>
      <c r="J389" s="20" t="b">
        <v>0</v>
      </c>
      <c r="K389" s="13" t="str">
        <f t="shared" si="2"/>
        <v/>
      </c>
    </row>
    <row r="390" ht="22.5" customHeight="1">
      <c r="B390" s="13">
        <f t="shared" si="3"/>
        <v>384</v>
      </c>
      <c r="C390" s="15" t="str">
        <f t="array" ref="C390">IFNA(_xlfn.XLOOKUP(B390,Table_Respons_Loket[Count],Table_Respons_Loket[Nomor Tiket]),"")</f>
        <v>K/24/231024/1</v>
      </c>
      <c r="D390" s="15" t="str">
        <f t="array" ref="D390">IFNA(_xlfn.XLOOKUP(B390,Table_Respons_Loket[Count],Table_Respons_Loket[Daftar Nomor Hak]),"")</f>
        <v>M.2226/SUKARAME BARU</v>
      </c>
      <c r="E390" s="17">
        <f t="array" ref="E390">IFNA(_xlfn.XLOOKUP(B390,Table_Respons_Loket[Count],Table_Respons_Loket[Time Stamp]),"")</f>
        <v>45588.49399</v>
      </c>
      <c r="F390" s="18" t="str">
        <f t="array" ref="F390">IFNA(_xlfn.XLOOKUP(B390,Table_Respons_Loket[Count],Table_Respons_Loket[Jenis Permohonan]),"")</f>
        <v>BN JUAL BELI</v>
      </c>
      <c r="G390" s="12" t="s">
        <v>470</v>
      </c>
      <c r="H390" s="12" t="s">
        <v>52</v>
      </c>
      <c r="I390" s="22">
        <f t="shared" si="7"/>
        <v>45588.60235</v>
      </c>
      <c r="J390" s="20" t="b">
        <v>0</v>
      </c>
      <c r="K390" s="13" t="str">
        <f t="shared" si="2"/>
        <v/>
      </c>
    </row>
    <row r="391" ht="22.5" customHeight="1">
      <c r="B391" s="13">
        <f t="shared" si="3"/>
        <v>385</v>
      </c>
      <c r="C391" s="15" t="str">
        <f t="array" ref="C391">IFNA(_xlfn.XLOOKUP(B391,Table_Respons_Loket[Count],Table_Respons_Loket[Nomor Tiket]),"")</f>
        <v>K/25/231024/2</v>
      </c>
      <c r="D391" s="15" t="str">
        <f t="array" ref="D391">IFNA(_xlfn.XLOOKUP(B391,Table_Respons_Loket[Count],Table_Respons_Loket[Daftar Nomor Hak]),"")</f>
        <v>M.2225/SUKARAME BARU</v>
      </c>
      <c r="E391" s="17">
        <f t="array" ref="E391">IFNA(_xlfn.XLOOKUP(B391,Table_Respons_Loket[Count],Table_Respons_Loket[Time Stamp]),"")</f>
        <v>45588.49497</v>
      </c>
      <c r="F391" s="18" t="str">
        <f t="array" ref="F391">IFNA(_xlfn.XLOOKUP(B391,Table_Respons_Loket[Count],Table_Respons_Loket[Jenis Permohonan]),"")</f>
        <v>BN JUAL BELI</v>
      </c>
      <c r="G391" s="12" t="s">
        <v>470</v>
      </c>
      <c r="H391" s="12" t="s">
        <v>52</v>
      </c>
      <c r="I391" s="22">
        <f t="shared" si="7"/>
        <v>45588.60237</v>
      </c>
      <c r="J391" s="20" t="b">
        <v>0</v>
      </c>
      <c r="K391" s="13" t="str">
        <f t="shared" si="2"/>
        <v/>
      </c>
    </row>
    <row r="392" ht="22.5" customHeight="1">
      <c r="B392" s="13">
        <f t="shared" si="3"/>
        <v>386</v>
      </c>
      <c r="C392" s="15" t="str">
        <f t="array" ref="C392">IFNA(_xlfn.XLOOKUP(B392,Table_Respons_Loket[Count],Table_Respons_Loket[Nomor Tiket]),"")</f>
        <v>K/26/231024/2</v>
      </c>
      <c r="D392" s="15" t="str">
        <f t="array" ref="D392">IFNA(_xlfn.XLOOKUP(B392,Table_Respons_Loket[Count],Table_Respons_Loket[Daftar Nomor Hak]),"")</f>
        <v>Nibel 2486/ Sumur Putri</v>
      </c>
      <c r="E392" s="17">
        <f t="array" ref="E392">IFNA(_xlfn.XLOOKUP(B392,Table_Respons_Loket[Count],Table_Respons_Loket[Time Stamp]),"")</f>
        <v>45588.49565</v>
      </c>
      <c r="F392" s="18" t="str">
        <f t="array" ref="F392">IFNA(_xlfn.XLOOKUP(B392,Table_Respons_Loket[Count],Table_Respons_Loket[Jenis Permohonan]),"")</f>
        <v>Perubahan Hak</v>
      </c>
      <c r="G392" s="24"/>
      <c r="H392" s="24"/>
      <c r="I392" s="22" t="str">
        <f t="shared" si="7"/>
        <v/>
      </c>
      <c r="J392" s="20" t="b">
        <v>0</v>
      </c>
      <c r="K392" s="13" t="str">
        <f t="shared" si="2"/>
        <v/>
      </c>
    </row>
    <row r="393" ht="22.5" customHeight="1">
      <c r="B393" s="13">
        <f t="shared" si="3"/>
        <v>387</v>
      </c>
      <c r="C393" s="15" t="str">
        <f t="array" ref="C393">IFNA(_xlfn.XLOOKUP(B393,Table_Respons_Loket[Count],Table_Respons_Loket[Nomor Tiket]),"")</f>
        <v>K/27/231024/3</v>
      </c>
      <c r="D393" s="15" t="str">
        <f t="array" ref="D393">IFNA(_xlfn.XLOOKUP(B393,Table_Respons_Loket[Count],Table_Respons_Loket[Daftar Nomor Hak]),"")</f>
        <v>M. 9026/ Labuhan Ratu</v>
      </c>
      <c r="E393" s="17">
        <f t="array" ref="E393">IFNA(_xlfn.XLOOKUP(B393,Table_Respons_Loket[Count],Table_Respons_Loket[Time Stamp]),"")</f>
        <v>45588.49939</v>
      </c>
      <c r="F393" s="18" t="str">
        <f t="array" ref="F393">IFNA(_xlfn.XLOOKUP(B393,Table_Respons_Loket[Count],Table_Respons_Loket[Jenis Permohonan]),"")</f>
        <v>Plotting</v>
      </c>
      <c r="G393" s="24"/>
      <c r="H393" s="24"/>
      <c r="I393" s="22" t="str">
        <f t="shared" si="7"/>
        <v/>
      </c>
      <c r="J393" s="20" t="b">
        <v>0</v>
      </c>
      <c r="K393" s="13" t="str">
        <f t="shared" si="2"/>
        <v/>
      </c>
    </row>
    <row r="394" ht="22.5" customHeight="1">
      <c r="B394" s="13">
        <f t="shared" si="3"/>
        <v>388</v>
      </c>
      <c r="C394" s="15" t="str">
        <f t="array" ref="C394">IFNA(_xlfn.XLOOKUP(B394,Table_Respons_Loket[Count],Table_Respons_Loket[Nomor Tiket]),"")</f>
        <v>K/28/231024/1</v>
      </c>
      <c r="D394" s="15" t="str">
        <f t="array" ref="D394">IFNA(_xlfn.XLOOKUP(B394,Table_Respons_Loket[Count],Table_Respons_Loket[Daftar Nomor Hak]),"")</f>
        <v>M. 2446/ Way Kandis</v>
      </c>
      <c r="E394" s="17">
        <f t="array" ref="E394">IFNA(_xlfn.XLOOKUP(B394,Table_Respons_Loket[Count],Table_Respons_Loket[Time Stamp]),"")</f>
        <v>45588.55591</v>
      </c>
      <c r="F394" s="18" t="str">
        <f t="array" ref="F394">IFNA(_xlfn.XLOOKUP(B394,Table_Respons_Loket[Count],Table_Respons_Loket[Jenis Permohonan]),"")</f>
        <v>Roya</v>
      </c>
      <c r="G394" s="12" t="s">
        <v>470</v>
      </c>
      <c r="H394" s="12" t="s">
        <v>52</v>
      </c>
      <c r="I394" s="22">
        <f t="shared" si="7"/>
        <v>45588.60256</v>
      </c>
      <c r="J394" s="20" t="b">
        <v>0</v>
      </c>
      <c r="K394" s="13" t="str">
        <f t="shared" si="2"/>
        <v/>
      </c>
    </row>
    <row r="395" ht="22.5" customHeight="1">
      <c r="B395" s="13">
        <f t="shared" si="3"/>
        <v>389</v>
      </c>
      <c r="C395" s="15" t="str">
        <f t="array" ref="C395">IFNA(_xlfn.XLOOKUP(B395,Table_Respons_Loket[Count],Table_Respons_Loket[Nomor Tiket]),"")</f>
        <v>K/30/231024/1</v>
      </c>
      <c r="D395" s="15" t="str">
        <f t="array" ref="D395">IFNA(_xlfn.XLOOKUP(B395,Table_Respons_Loket[Count],Table_Respons_Loket[Daftar Nomor Hak]),"")</f>
        <v>NIBEL M.661/BILABONG JAYA</v>
      </c>
      <c r="E395" s="17">
        <f t="array" ref="E395">IFNA(_xlfn.XLOOKUP(B395,Table_Respons_Loket[Count],Table_Respons_Loket[Time Stamp]),"")</f>
        <v>45588.56426</v>
      </c>
      <c r="F395" s="18" t="str">
        <f t="array" ref="F395">IFNA(_xlfn.XLOOKUP(B395,Table_Respons_Loket[Count],Table_Respons_Loket[Jenis Permohonan]),"")</f>
        <v>BN JUAL BELI</v>
      </c>
      <c r="G395" s="24"/>
      <c r="H395" s="24"/>
      <c r="I395" s="22" t="str">
        <f t="shared" si="7"/>
        <v/>
      </c>
      <c r="J395" s="20" t="b">
        <v>0</v>
      </c>
      <c r="K395" s="13" t="str">
        <f t="shared" si="2"/>
        <v/>
      </c>
    </row>
    <row r="396" ht="22.5" customHeight="1">
      <c r="B396" s="13">
        <f t="shared" si="3"/>
        <v>390</v>
      </c>
      <c r="C396" s="15" t="str">
        <f t="array" ref="C396">IFNA(_xlfn.XLOOKUP(B396,Table_Respons_Loket[Count],Table_Respons_Loket[Nomor Tiket]),"")</f>
        <v>K/31/231024/1</v>
      </c>
      <c r="D396" s="15" t="str">
        <f t="array" ref="D396">IFNA(_xlfn.XLOOKUP(B396,Table_Respons_Loket[Count],Table_Respons_Loket[Daftar Nomor Hak]),"")</f>
        <v>Nibel.2638/ Sumberejo/Kemiling</v>
      </c>
      <c r="E396" s="17">
        <f t="array" ref="E396">IFNA(_xlfn.XLOOKUP(B396,Table_Respons_Loket[Count],Table_Respons_Loket[Time Stamp]),"")</f>
        <v>45588.56878</v>
      </c>
      <c r="F396" s="18" t="str">
        <f t="array" ref="F396">IFNA(_xlfn.XLOOKUP(B396,Table_Respons_Loket[Count],Table_Respons_Loket[Jenis Permohonan]),"")</f>
        <v>Gandes</v>
      </c>
      <c r="G396" s="24"/>
      <c r="H396" s="24"/>
      <c r="I396" s="22" t="str">
        <f t="shared" si="7"/>
        <v/>
      </c>
      <c r="J396" s="20" t="b">
        <v>0</v>
      </c>
      <c r="K396" s="13" t="str">
        <f t="shared" si="2"/>
        <v/>
      </c>
    </row>
    <row r="397" ht="22.5" customHeight="1">
      <c r="B397" s="13">
        <f t="shared" si="3"/>
        <v>391</v>
      </c>
      <c r="C397" s="15" t="str">
        <f t="array" ref="C397">IFNA(_xlfn.XLOOKUP(B397,Table_Respons_Loket[Count],Table_Respons_Loket[Nomor Tiket]),"")</f>
        <v>L/32/231024/1</v>
      </c>
      <c r="D397" s="15" t="str">
        <f t="array" ref="D397">IFNA(_xlfn.XLOOKUP(B397,Table_Respons_Loket[Count],Table_Respons_Loket[Daftar Nomor Hak]),"")</f>
        <v>B.1072/CAMPANG JAYA</v>
      </c>
      <c r="E397" s="17">
        <f t="array" ref="E397">IFNA(_xlfn.XLOOKUP(B397,Table_Respons_Loket[Count],Table_Respons_Loket[Time Stamp]),"")</f>
        <v>45588.57021</v>
      </c>
      <c r="F397" s="18" t="str">
        <f t="array" ref="F397">IFNA(_xlfn.XLOOKUP(B397,Table_Respons_Loket[Count],Table_Respons_Loket[Jenis Permohonan]),"")</f>
        <v>PERUBAHAN HAK</v>
      </c>
      <c r="G397" s="24"/>
      <c r="H397" s="12" t="s">
        <v>47</v>
      </c>
      <c r="I397" s="22" t="str">
        <f t="shared" si="7"/>
        <v/>
      </c>
      <c r="J397" s="20" t="b">
        <v>0</v>
      </c>
      <c r="K397" s="13" t="str">
        <f t="shared" si="2"/>
        <v/>
      </c>
    </row>
    <row r="398" ht="22.5" customHeight="1">
      <c r="B398" s="13">
        <f t="shared" si="3"/>
        <v>392</v>
      </c>
      <c r="C398" s="15" t="str">
        <f t="array" ref="C398">IFNA(_xlfn.XLOOKUP(B398,Table_Respons_Loket[Count],Table_Respons_Loket[Nomor Tiket]),"")</f>
        <v>K/33/231024/1</v>
      </c>
      <c r="D398" s="15" t="str">
        <f t="array" ref="D398">IFNA(_xlfn.XLOOKUP(B398,Table_Respons_Loket[Count],Table_Respons_Loket[Daftar Nomor Hak]),"")</f>
        <v>M. 1666/ Way Halim Permai; SHT 1552/2016</v>
      </c>
      <c r="E398" s="17">
        <f t="array" ref="E398">IFNA(_xlfn.XLOOKUP(B398,Table_Respons_Loket[Count],Table_Respons_Loket[Time Stamp]),"")</f>
        <v>45588.58259</v>
      </c>
      <c r="F398" s="18" t="str">
        <f t="array" ref="F398">IFNA(_xlfn.XLOOKUP(B398,Table_Respons_Loket[Count],Table_Respons_Loket[Jenis Permohonan]),"")</f>
        <v>Roya</v>
      </c>
      <c r="G398" s="12" t="s">
        <v>470</v>
      </c>
      <c r="H398" s="12" t="s">
        <v>52</v>
      </c>
      <c r="I398" s="22">
        <f t="shared" si="7"/>
        <v>45588.69434</v>
      </c>
      <c r="J398" s="20" t="b">
        <v>0</v>
      </c>
      <c r="K398" s="13" t="str">
        <f t="shared" si="2"/>
        <v/>
      </c>
    </row>
    <row r="399" ht="22.5" customHeight="1">
      <c r="B399" s="13">
        <f t="shared" si="3"/>
        <v>393</v>
      </c>
      <c r="C399" s="15" t="str">
        <f t="array" ref="C399">IFNA(_xlfn.XLOOKUP(B399,Table_Respons_Loket[Count],Table_Respons_Loket[Nomor Tiket]),"")</f>
        <v>K/34/231024/2</v>
      </c>
      <c r="D399" s="15" t="str">
        <f t="array" ref="D399">IFNA(_xlfn.XLOOKUP(B399,Table_Respons_Loket[Count],Table_Respons_Loket[Daftar Nomor Hak]),"")</f>
        <v>M. 19/ L R R</v>
      </c>
      <c r="E399" s="17">
        <f t="array" ref="E399">IFNA(_xlfn.XLOOKUP(B399,Table_Respons_Loket[Count],Table_Respons_Loket[Time Stamp]),"")</f>
        <v>45588.58425</v>
      </c>
      <c r="F399" s="18" t="str">
        <f t="array" ref="F399">IFNA(_xlfn.XLOOKUP(B399,Table_Respons_Loket[Count],Table_Respons_Loket[Jenis Permohonan]),"")</f>
        <v>Ploting</v>
      </c>
      <c r="G399" s="24"/>
      <c r="H399" s="24"/>
      <c r="I399" s="22" t="str">
        <f t="shared" si="7"/>
        <v/>
      </c>
      <c r="J399" s="20" t="b">
        <v>0</v>
      </c>
      <c r="K399" s="13" t="str">
        <f t="shared" si="2"/>
        <v/>
      </c>
    </row>
    <row r="400" ht="22.5" customHeight="1">
      <c r="B400" s="13">
        <f t="shared" si="3"/>
        <v>394</v>
      </c>
      <c r="C400" s="15" t="str">
        <f t="array" ref="C400">IFNA(_xlfn.XLOOKUP(B400,Table_Respons_Loket[Count],Table_Respons_Loket[Nomor Tiket]),"")</f>
        <v>K/35/231024/3</v>
      </c>
      <c r="D400" s="15" t="str">
        <f t="array" ref="D400">IFNA(_xlfn.XLOOKUP(B400,Table_Respons_Loket[Count],Table_Respons_Loket[Daftar Nomor Hak]),"")</f>
        <v>M. 113/ Rajabasa Pemuka</v>
      </c>
      <c r="E400" s="17">
        <f t="array" ref="E400">IFNA(_xlfn.XLOOKUP(B400,Table_Respons_Loket[Count],Table_Respons_Loket[Time Stamp]),"")</f>
        <v>45588.58484</v>
      </c>
      <c r="F400" s="18" t="str">
        <f t="array" ref="F400">IFNA(_xlfn.XLOOKUP(B400,Table_Respons_Loket[Count],Table_Respons_Loket[Jenis Permohonan]),"")</f>
        <v>Ploting</v>
      </c>
      <c r="G400" s="24"/>
      <c r="H400" s="24"/>
      <c r="I400" s="22" t="str">
        <f t="shared" si="7"/>
        <v/>
      </c>
      <c r="J400" s="20" t="b">
        <v>0</v>
      </c>
      <c r="K400" s="13" t="str">
        <f t="shared" si="2"/>
        <v/>
      </c>
    </row>
    <row r="401" ht="22.5" customHeight="1">
      <c r="B401" s="13">
        <f t="shared" si="3"/>
        <v>395</v>
      </c>
      <c r="C401" s="15" t="str">
        <f t="array" ref="C401">IFNA(_xlfn.XLOOKUP(B401,Table_Respons_Loket[Count],Table_Respons_Loket[Nomor Tiket]),"")</f>
        <v>K/36/231024/4</v>
      </c>
      <c r="D401" s="15" t="str">
        <f t="array" ref="D401">IFNA(_xlfn.XLOOKUP(B401,Table_Respons_Loket[Count],Table_Respons_Loket[Daftar Nomor Hak]),"")</f>
        <v>M. 112/ Rajabasa Pemuka</v>
      </c>
      <c r="E401" s="17">
        <f t="array" ref="E401">IFNA(_xlfn.XLOOKUP(B401,Table_Respons_Loket[Count],Table_Respons_Loket[Time Stamp]),"")</f>
        <v>45588.58535</v>
      </c>
      <c r="F401" s="18" t="str">
        <f t="array" ref="F401">IFNA(_xlfn.XLOOKUP(B401,Table_Respons_Loket[Count],Table_Respons_Loket[Jenis Permohonan]),"")</f>
        <v>Ploting</v>
      </c>
      <c r="G401" s="24"/>
      <c r="H401" s="24"/>
      <c r="I401" s="22" t="str">
        <f t="shared" si="7"/>
        <v/>
      </c>
      <c r="J401" s="20" t="b">
        <v>0</v>
      </c>
      <c r="K401" s="13" t="str">
        <f t="shared" si="2"/>
        <v/>
      </c>
    </row>
    <row r="402" ht="22.5" customHeight="1">
      <c r="B402" s="13">
        <f t="shared" si="3"/>
        <v>396</v>
      </c>
      <c r="C402" s="15" t="str">
        <f t="array" ref="C402">IFNA(_xlfn.XLOOKUP(B402,Table_Respons_Loket[Count],Table_Respons_Loket[Nomor Tiket]),"")</f>
        <v>L/37/231024/1</v>
      </c>
      <c r="D402" s="15" t="str">
        <f t="array" ref="D402">IFNA(_xlfn.XLOOKUP(B402,Table_Respons_Loket[Count],Table_Respons_Loket[Daftar Nomor Hak]),"")</f>
        <v>HM 1642/KOTA KARANG</v>
      </c>
      <c r="E402" s="17">
        <f t="array" ref="E402">IFNA(_xlfn.XLOOKUP(B402,Table_Respons_Loket[Count],Table_Respons_Loket[Time Stamp]),"")</f>
        <v>45588.58694</v>
      </c>
      <c r="F402" s="18" t="str">
        <f t="array" ref="F402">IFNA(_xlfn.XLOOKUP(B402,Table_Respons_Loket[Count],Table_Respons_Loket[Jenis Permohonan]),"")</f>
        <v>ROYA</v>
      </c>
      <c r="G402" s="12" t="s">
        <v>470</v>
      </c>
      <c r="H402" s="12" t="s">
        <v>52</v>
      </c>
      <c r="I402" s="22">
        <f t="shared" si="7"/>
        <v>45588.69457</v>
      </c>
      <c r="J402" s="20" t="b">
        <v>0</v>
      </c>
      <c r="K402" s="13" t="str">
        <f t="shared" si="2"/>
        <v/>
      </c>
    </row>
    <row r="403" ht="22.5" customHeight="1">
      <c r="B403" s="13">
        <f t="shared" si="3"/>
        <v>397</v>
      </c>
      <c r="C403" s="15" t="str">
        <f t="array" ref="C403">IFNA(_xlfn.XLOOKUP(B403,Table_Respons_Loket[Count],Table_Respons_Loket[Nomor Tiket]),"")</f>
        <v>K/38/231024/1</v>
      </c>
      <c r="D403" s="15" t="str">
        <f t="array" ref="D403">IFNA(_xlfn.XLOOKUP(B403,Table_Respons_Loket[Count],Table_Respons_Loket[Daftar Nomor Hak]),"")</f>
        <v>Nibel 2815/  Kemiling raya</v>
      </c>
      <c r="E403" s="17">
        <f t="array" ref="E403">IFNA(_xlfn.XLOOKUP(B403,Table_Respons_Loket[Count],Table_Respons_Loket[Time Stamp]),"")</f>
        <v>45588.58916</v>
      </c>
      <c r="F403" s="18" t="str">
        <f t="array" ref="F403">IFNA(_xlfn.XLOOKUP(B403,Table_Respons_Loket[Count],Table_Respons_Loket[Jenis Permohonan]),"")</f>
        <v>Perubahan Hak</v>
      </c>
      <c r="G403" s="24"/>
      <c r="H403" s="24"/>
      <c r="I403" s="22" t="str">
        <f t="shared" si="7"/>
        <v/>
      </c>
      <c r="J403" s="20" t="b">
        <v>0</v>
      </c>
      <c r="K403" s="13" t="str">
        <f t="shared" si="2"/>
        <v/>
      </c>
    </row>
    <row r="404" ht="22.5" customHeight="1">
      <c r="B404" s="13">
        <f t="shared" si="3"/>
        <v>398</v>
      </c>
      <c r="C404" s="15" t="str">
        <f t="array" ref="C404">IFNA(_xlfn.XLOOKUP(B404,Table_Respons_Loket[Count],Table_Respons_Loket[Nomor Tiket]),"")</f>
        <v>K/39/231024/1</v>
      </c>
      <c r="D404" s="15" t="str">
        <f t="array" ref="D404">IFNA(_xlfn.XLOOKUP(B404,Table_Respons_Loket[Count],Table_Respons_Loket[Daftar Nomor Hak]),"")</f>
        <v>M. 2683/ Sukadana Ham</v>
      </c>
      <c r="E404" s="17">
        <f t="array" ref="E404">IFNA(_xlfn.XLOOKUP(B404,Table_Respons_Loket[Count],Table_Respons_Loket[Time Stamp]),"")</f>
        <v>45588.58918</v>
      </c>
      <c r="F404" s="18" t="str">
        <f t="array" ref="F404">IFNA(_xlfn.XLOOKUP(B404,Table_Respons_Loket[Count],Table_Respons_Loket[Jenis Permohonan]),"")</f>
        <v>PTPGT (Pemecahan)</v>
      </c>
      <c r="G404" s="24"/>
      <c r="H404" s="24"/>
      <c r="I404" s="22" t="str">
        <f t="shared" si="7"/>
        <v/>
      </c>
      <c r="J404" s="20" t="b">
        <v>0</v>
      </c>
      <c r="K404" s="13" t="str">
        <f t="shared" si="2"/>
        <v/>
      </c>
    </row>
    <row r="405" ht="22.5" customHeight="1">
      <c r="B405" s="13">
        <f t="shared" si="3"/>
        <v>399</v>
      </c>
      <c r="C405" s="15" t="str">
        <f t="array" ref="C405">IFNA(_xlfn.XLOOKUP(B405,Table_Respons_Loket[Count],Table_Respons_Loket[Nomor Tiket]),"")</f>
        <v>L/40/231024/1</v>
      </c>
      <c r="D405" s="15" t="str">
        <f t="array" ref="D405">IFNA(_xlfn.XLOOKUP(B405,Table_Respons_Loket[Count],Table_Respons_Loket[Daftar Nomor Hak]),"")</f>
        <v>B.1044/KEMILING PERMAI</v>
      </c>
      <c r="E405" s="17">
        <f t="array" ref="E405">IFNA(_xlfn.XLOOKUP(B405,Table_Respons_Loket[Count],Table_Respons_Loket[Time Stamp]),"")</f>
        <v>45588.59443</v>
      </c>
      <c r="F405" s="18" t="str">
        <f t="array" ref="F405">IFNA(_xlfn.XLOOKUP(B405,Table_Respons_Loket[Count],Table_Respons_Loket[Jenis Permohonan]),"")</f>
        <v>ROYA</v>
      </c>
      <c r="G405" s="12" t="s">
        <v>470</v>
      </c>
      <c r="H405" s="12" t="s">
        <v>52</v>
      </c>
      <c r="I405" s="22">
        <f t="shared" si="7"/>
        <v>45588.69515</v>
      </c>
      <c r="J405" s="20" t="b">
        <v>0</v>
      </c>
      <c r="K405" s="13" t="str">
        <f t="shared" si="2"/>
        <v/>
      </c>
    </row>
    <row r="406" ht="22.5" customHeight="1">
      <c r="B406" s="13">
        <f t="shared" si="3"/>
        <v>400</v>
      </c>
      <c r="C406" s="15" t="str">
        <f t="array" ref="C406">IFNA(_xlfn.XLOOKUP(B406,Table_Respons_Loket[Count],Table_Respons_Loket[Nomor Tiket]),"")</f>
        <v>L/41/231024/1</v>
      </c>
      <c r="D406" s="15" t="str">
        <f t="array" ref="D406">IFNA(_xlfn.XLOOKUP(B406,Table_Respons_Loket[Count],Table_Respons_Loket[Daftar Nomor Hak]),"")</f>
        <v>M.1801/KELAPA TIGA</v>
      </c>
      <c r="E406" s="17">
        <f t="array" ref="E406">IFNA(_xlfn.XLOOKUP(B406,Table_Respons_Loket[Count],Table_Respons_Loket[Time Stamp]),"")</f>
        <v>45588.59933</v>
      </c>
      <c r="F406" s="18" t="str">
        <f t="array" ref="F406">IFNA(_xlfn.XLOOKUP(B406,Table_Respons_Loket[Count],Table_Respons_Loket[Jenis Permohonan]),"")</f>
        <v>ROYA</v>
      </c>
      <c r="G406" s="24"/>
      <c r="H406" s="12" t="s">
        <v>47</v>
      </c>
      <c r="I406" s="22" t="str">
        <f t="shared" si="7"/>
        <v/>
      </c>
      <c r="J406" s="20" t="b">
        <v>0</v>
      </c>
      <c r="K406" s="13" t="str">
        <f t="shared" si="2"/>
        <v/>
      </c>
    </row>
    <row r="407" ht="22.5" customHeight="1">
      <c r="B407" s="13">
        <f t="shared" si="3"/>
        <v>401</v>
      </c>
      <c r="C407" s="15" t="str">
        <f t="array" ref="C407">IFNA(_xlfn.XLOOKUP(B407,Table_Respons_Loket[Count],Table_Respons_Loket[Nomor Tiket]),"")</f>
        <v>K/42/231024/1</v>
      </c>
      <c r="D407" s="15" t="str">
        <f t="array" ref="D407">IFNA(_xlfn.XLOOKUP(B407,Table_Respons_Loket[Count],Table_Respons_Loket[Daftar Nomor Hak]),"")</f>
        <v>M.1878/KEDAUNG</v>
      </c>
      <c r="E407" s="17">
        <f t="array" ref="E407">IFNA(_xlfn.XLOOKUP(B407,Table_Respons_Loket[Count],Table_Respons_Loket[Time Stamp]),"")</f>
        <v>45588.60323</v>
      </c>
      <c r="F407" s="18" t="str">
        <f t="array" ref="F407">IFNA(_xlfn.XLOOKUP(B407,Table_Respons_Loket[Count],Table_Respons_Loket[Jenis Permohonan]),"")</f>
        <v>BN JUAL BELI</v>
      </c>
      <c r="G407" s="12" t="s">
        <v>470</v>
      </c>
      <c r="H407" s="12" t="s">
        <v>52</v>
      </c>
      <c r="I407" s="22">
        <f t="shared" si="7"/>
        <v>45588.69561</v>
      </c>
      <c r="J407" s="20" t="b">
        <v>0</v>
      </c>
      <c r="K407" s="13" t="str">
        <f t="shared" si="2"/>
        <v/>
      </c>
    </row>
    <row r="408" ht="22.5" customHeight="1">
      <c r="B408" s="13">
        <f t="shared" si="3"/>
        <v>402</v>
      </c>
      <c r="C408" s="15" t="str">
        <f t="array" ref="C408">IFNA(_xlfn.XLOOKUP(B408,Table_Respons_Loket[Count],Table_Respons_Loket[Nomor Tiket]),"")</f>
        <v>K/43/231024/1</v>
      </c>
      <c r="D408" s="15" t="str">
        <f t="array" ref="D408">IFNA(_xlfn.XLOOKUP(B408,Table_Respons_Loket[Count],Table_Respons_Loket[Daftar Nomor Hak]),"")</f>
        <v>Nibel. B. 3306/ Kedamaian</v>
      </c>
      <c r="E408" s="17">
        <f t="array" ref="E408">IFNA(_xlfn.XLOOKUP(B408,Table_Respons_Loket[Count],Table_Respons_Loket[Time Stamp]),"")</f>
        <v>45588.60413</v>
      </c>
      <c r="F408" s="18" t="str">
        <f t="array" ref="F408">IFNA(_xlfn.XLOOKUP(B408,Table_Respons_Loket[Count],Table_Respons_Loket[Jenis Permohonan]),"")</f>
        <v>Gandes</v>
      </c>
      <c r="G408" s="24"/>
      <c r="H408" s="24"/>
      <c r="I408" s="22" t="str">
        <f t="shared" si="7"/>
        <v/>
      </c>
      <c r="J408" s="20" t="b">
        <v>0</v>
      </c>
      <c r="K408" s="13" t="str">
        <f t="shared" si="2"/>
        <v/>
      </c>
    </row>
    <row r="409" ht="22.5" customHeight="1">
      <c r="B409" s="13">
        <f t="shared" si="3"/>
        <v>403</v>
      </c>
      <c r="C409" s="15" t="str">
        <f t="array" ref="C409">IFNA(_xlfn.XLOOKUP(B409,Table_Respons_Loket[Count],Table_Respons_Loket[Nomor Tiket]),"")</f>
        <v>K/44/231024/1</v>
      </c>
      <c r="D409" s="15" t="str">
        <f t="array" ref="D409">IFNA(_xlfn.XLOOKUP(B409,Table_Respons_Loket[Count],Table_Respons_Loket[Daftar Nomor Hak]),"")</f>
        <v>M. 11085/ Kedamaian; SHT 4351/2015</v>
      </c>
      <c r="E409" s="17">
        <f t="array" ref="E409">IFNA(_xlfn.XLOOKUP(B409,Table_Respons_Loket[Count],Table_Respons_Loket[Time Stamp]),"")</f>
        <v>45588.61223</v>
      </c>
      <c r="F409" s="18" t="str">
        <f t="array" ref="F409">IFNA(_xlfn.XLOOKUP(B409,Table_Respons_Loket[Count],Table_Respons_Loket[Jenis Permohonan]),"")</f>
        <v>Roya</v>
      </c>
      <c r="G409" s="12" t="s">
        <v>470</v>
      </c>
      <c r="H409" s="12" t="s">
        <v>52</v>
      </c>
      <c r="I409" s="22">
        <f t="shared" si="7"/>
        <v>45588.69997</v>
      </c>
      <c r="J409" s="20" t="b">
        <v>0</v>
      </c>
      <c r="K409" s="13" t="str">
        <f t="shared" si="2"/>
        <v/>
      </c>
    </row>
    <row r="410" ht="22.5" customHeight="1">
      <c r="B410" s="13">
        <f t="shared" si="3"/>
        <v>404</v>
      </c>
      <c r="C410" s="15" t="str">
        <f t="array" ref="C410">IFNA(_xlfn.XLOOKUP(B410,Table_Respons_Loket[Count],Table_Respons_Loket[Nomor Tiket]),"")</f>
        <v>K/45/231024/1</v>
      </c>
      <c r="D410" s="15" t="str">
        <f t="array" ref="D410">IFNA(_xlfn.XLOOKUP(B410,Table_Respons_Loket[Count],Table_Respons_Loket[Daftar Nomor Hak]),"")</f>
        <v>M.4728/TANJUNG SENENG</v>
      </c>
      <c r="E410" s="17">
        <f t="array" ref="E410">IFNA(_xlfn.XLOOKUP(B410,Table_Respons_Loket[Count],Table_Respons_Loket[Time Stamp]),"")</f>
        <v>45588.61628</v>
      </c>
      <c r="F410" s="18" t="str">
        <f t="array" ref="F410">IFNA(_xlfn.XLOOKUP(B410,Table_Respons_Loket[Count],Table_Respons_Loket[Jenis Permohonan]),"")</f>
        <v>GANDES</v>
      </c>
      <c r="G410" s="24"/>
      <c r="H410" s="24"/>
      <c r="I410" s="22" t="str">
        <f t="shared" si="7"/>
        <v/>
      </c>
      <c r="J410" s="20" t="b">
        <v>0</v>
      </c>
      <c r="K410" s="13" t="str">
        <f t="shared" si="2"/>
        <v/>
      </c>
    </row>
    <row r="411" ht="22.5" customHeight="1">
      <c r="B411" s="13">
        <f t="shared" si="3"/>
        <v>405</v>
      </c>
      <c r="C411" s="15" t="str">
        <f t="array" ref="C411">IFNA(_xlfn.XLOOKUP(B411,Table_Respons_Loket[Count],Table_Respons_Loket[Nomor Tiket]),"")</f>
        <v>K/46/231024/2</v>
      </c>
      <c r="D411" s="15" t="str">
        <f t="array" ref="D411">IFNA(_xlfn.XLOOKUP(B411,Table_Respons_Loket[Count],Table_Respons_Loket[Daftar Nomor Hak]),"")</f>
        <v>M.1395/WAY HALIM PERMAI</v>
      </c>
      <c r="E411" s="17">
        <f t="array" ref="E411">IFNA(_xlfn.XLOOKUP(B411,Table_Respons_Loket[Count],Table_Respons_Loket[Time Stamp]),"")</f>
        <v>45588.61688</v>
      </c>
      <c r="F411" s="18" t="str">
        <f t="array" ref="F411">IFNA(_xlfn.XLOOKUP(B411,Table_Respons_Loket[Count],Table_Respons_Loket[Jenis Permohonan]),"")</f>
        <v>GANDES</v>
      </c>
      <c r="G411" s="24"/>
      <c r="H411" s="24"/>
      <c r="I411" s="22" t="str">
        <f t="shared" si="7"/>
        <v/>
      </c>
      <c r="J411" s="20" t="b">
        <v>0</v>
      </c>
      <c r="K411" s="13" t="str">
        <f t="shared" si="2"/>
        <v/>
      </c>
    </row>
    <row r="412" ht="22.5" customHeight="1">
      <c r="B412" s="13">
        <f t="shared" si="3"/>
        <v>406</v>
      </c>
      <c r="C412" s="15" t="str">
        <f t="array" ref="C412">IFNA(_xlfn.XLOOKUP(B412,Table_Respons_Loket[Count],Table_Respons_Loket[Nomor Tiket]),"")</f>
        <v>K/47/231024/1</v>
      </c>
      <c r="D412" s="15" t="str">
        <f t="array" ref="D412">IFNA(_xlfn.XLOOKUP(B412,Table_Respons_Loket[Count],Table_Respons_Loket[Daftar Nomor Hak]),"")</f>
        <v>B. 2082/ Sukabumi</v>
      </c>
      <c r="E412" s="17">
        <f t="array" ref="E412">IFNA(_xlfn.XLOOKUP(B412,Table_Respons_Loket[Count],Table_Respons_Loket[Time Stamp]),"")</f>
        <v>45588.61849</v>
      </c>
      <c r="F412" s="18" t="str">
        <f t="array" ref="F412">IFNA(_xlfn.XLOOKUP(B412,Table_Respons_Loket[Count],Table_Respons_Loket[Jenis Permohonan]),"")</f>
        <v>BN Waris</v>
      </c>
      <c r="G412" s="12" t="s">
        <v>470</v>
      </c>
      <c r="H412" s="12" t="s">
        <v>52</v>
      </c>
      <c r="I412" s="22">
        <f t="shared" si="7"/>
        <v>45588.69617</v>
      </c>
      <c r="J412" s="20" t="b">
        <v>0</v>
      </c>
      <c r="K412" s="13" t="str">
        <f t="shared" si="2"/>
        <v/>
      </c>
    </row>
    <row r="413" ht="22.5" customHeight="1">
      <c r="B413" s="13">
        <f t="shared" si="3"/>
        <v>407</v>
      </c>
      <c r="C413" s="15" t="str">
        <f t="array" ref="C413">IFNA(_xlfn.XLOOKUP(B413,Table_Respons_Loket[Count],Table_Respons_Loket[Nomor Tiket]),"")</f>
        <v>K/48/231024/2</v>
      </c>
      <c r="D413" s="15" t="str">
        <f t="array" ref="D413">IFNA(_xlfn.XLOOKUP(B413,Table_Respons_Loket[Count],Table_Respons_Loket[Daftar Nomor Hak]),"")</f>
        <v>Nibel. M. 2130/ Panjang Selatan</v>
      </c>
      <c r="E413" s="17">
        <f t="array" ref="E413">IFNA(_xlfn.XLOOKUP(B413,Table_Respons_Loket[Count],Table_Respons_Loket[Time Stamp]),"")</f>
        <v>45588.62351</v>
      </c>
      <c r="F413" s="18" t="str">
        <f t="array" ref="F413">IFNA(_xlfn.XLOOKUP(B413,Table_Respons_Loket[Count],Table_Respons_Loket[Jenis Permohonan]),"")</f>
        <v>BN Jual Beli</v>
      </c>
      <c r="G413" s="24"/>
      <c r="H413" s="24"/>
      <c r="I413" s="22" t="str">
        <f t="shared" si="7"/>
        <v/>
      </c>
      <c r="J413" s="20" t="b">
        <v>0</v>
      </c>
      <c r="K413" s="13" t="str">
        <f t="shared" si="2"/>
        <v/>
      </c>
    </row>
    <row r="414" ht="22.5" customHeight="1">
      <c r="B414" s="13">
        <f t="shared" si="3"/>
        <v>408</v>
      </c>
      <c r="C414" s="15" t="str">
        <f t="array" ref="C414">IFNA(_xlfn.XLOOKUP(B414,Table_Respons_Loket[Count],Table_Respons_Loket[Nomor Tiket]),"")</f>
        <v>K/49/231024/1</v>
      </c>
      <c r="D414" s="15" t="str">
        <f t="array" ref="D414">IFNA(_xlfn.XLOOKUP(B414,Table_Respons_Loket[Count],Table_Respons_Loket[Daftar Nomor Hak]),"")</f>
        <v>M. 2278/ Rajabasa Jaya</v>
      </c>
      <c r="E414" s="17">
        <f t="array" ref="E414">IFNA(_xlfn.XLOOKUP(B414,Table_Respons_Loket[Count],Table_Respons_Loket[Time Stamp]),"")</f>
        <v>45588.62482</v>
      </c>
      <c r="F414" s="18" t="str">
        <f t="array" ref="F414">IFNA(_xlfn.XLOOKUP(B414,Table_Respons_Loket[Count],Table_Respons_Loket[Jenis Permohonan]),"")</f>
        <v>BN JUAL BELI</v>
      </c>
      <c r="G414" s="12" t="s">
        <v>470</v>
      </c>
      <c r="H414" s="12" t="s">
        <v>52</v>
      </c>
      <c r="I414" s="22">
        <f t="shared" si="7"/>
        <v>45588.69635</v>
      </c>
      <c r="J414" s="20" t="b">
        <v>0</v>
      </c>
      <c r="K414" s="13" t="str">
        <f t="shared" si="2"/>
        <v/>
      </c>
    </row>
    <row r="415" ht="22.5" customHeight="1">
      <c r="B415" s="13">
        <f t="shared" si="3"/>
        <v>409</v>
      </c>
      <c r="C415" s="15" t="str">
        <f t="array" ref="C415">IFNA(_xlfn.XLOOKUP(B415,Table_Respons_Loket[Count],Table_Respons_Loket[Nomor Tiket]),"")</f>
        <v>K/50/231024/1</v>
      </c>
      <c r="D415" s="15" t="str">
        <f t="array" ref="D415">IFNA(_xlfn.XLOOKUP(B415,Table_Respons_Loket[Count],Table_Respons_Loket[Daftar Nomor Hak]),"")</f>
        <v>M.4449/SUKADANAHAM</v>
      </c>
      <c r="E415" s="17">
        <f t="array" ref="E415">IFNA(_xlfn.XLOOKUP(B415,Table_Respons_Loket[Count],Table_Respons_Loket[Time Stamp]),"")</f>
        <v>45588.62826</v>
      </c>
      <c r="F415" s="18" t="str">
        <f t="array" ref="F415">IFNA(_xlfn.XLOOKUP(B415,Table_Respons_Loket[Count],Table_Respons_Loket[Jenis Permohonan]),"")</f>
        <v>BN JUAL BELI</v>
      </c>
      <c r="G415" s="12" t="s">
        <v>470</v>
      </c>
      <c r="H415" s="12" t="s">
        <v>52</v>
      </c>
      <c r="I415" s="22">
        <f t="shared" si="7"/>
        <v>45588.69646</v>
      </c>
      <c r="J415" s="20" t="b">
        <v>0</v>
      </c>
      <c r="K415" s="13" t="str">
        <f t="shared" si="2"/>
        <v/>
      </c>
    </row>
    <row r="416" ht="22.5" customHeight="1">
      <c r="B416" s="13">
        <f t="shared" si="3"/>
        <v>410</v>
      </c>
      <c r="C416" s="15" t="str">
        <f t="array" ref="C416">IFNA(_xlfn.XLOOKUP(B416,Table_Respons_Loket[Count],Table_Respons_Loket[Nomor Tiket]),"")</f>
        <v>K/51/231024/1</v>
      </c>
      <c r="D416" s="15" t="str">
        <f t="array" ref="D416">IFNA(_xlfn.XLOOKUP(B416,Table_Respons_Loket[Count],Table_Respons_Loket[Daftar Nomor Hak]),"")</f>
        <v>M.2040/SUSUNAN BARU</v>
      </c>
      <c r="E416" s="17">
        <f t="array" ref="E416">IFNA(_xlfn.XLOOKUP(B416,Table_Respons_Loket[Count],Table_Respons_Loket[Time Stamp]),"")</f>
        <v>45588.6322</v>
      </c>
      <c r="F416" s="18" t="str">
        <f t="array" ref="F416">IFNA(_xlfn.XLOOKUP(B416,Table_Respons_Loket[Count],Table_Respons_Loket[Jenis Permohonan]),"")</f>
        <v>PLOT</v>
      </c>
      <c r="G416" s="24"/>
      <c r="H416" s="24"/>
      <c r="I416" s="22" t="str">
        <f t="shared" si="7"/>
        <v/>
      </c>
      <c r="J416" s="20" t="b">
        <v>0</v>
      </c>
      <c r="K416" s="13" t="str">
        <f t="shared" si="2"/>
        <v/>
      </c>
    </row>
    <row r="417" ht="22.5" customHeight="1">
      <c r="B417" s="13">
        <f t="shared" si="3"/>
        <v>411</v>
      </c>
      <c r="C417" s="15" t="str">
        <f t="array" ref="C417">IFNA(_xlfn.XLOOKUP(B417,Table_Respons_Loket[Count],Table_Respons_Loket[Nomor Tiket]),"")</f>
        <v>K/52/231024/2</v>
      </c>
      <c r="D417" s="15" t="str">
        <f t="array" ref="D417">IFNA(_xlfn.XLOOKUP(B417,Table_Respons_Loket[Count],Table_Respons_Loket[Daftar Nomor Hak]),"")</f>
        <v>B.288/KELAPA TIGA </v>
      </c>
      <c r="E417" s="17">
        <f t="array" ref="E417">IFNA(_xlfn.XLOOKUP(B417,Table_Respons_Loket[Count],Table_Respons_Loket[Time Stamp]),"")</f>
        <v>45588.63284</v>
      </c>
      <c r="F417" s="18" t="str">
        <f t="array" ref="F417">IFNA(_xlfn.XLOOKUP(B417,Table_Respons_Loket[Count],Table_Respons_Loket[Jenis Permohonan]),"")</f>
        <v>PLOT</v>
      </c>
      <c r="G417" s="24"/>
      <c r="H417" s="24"/>
      <c r="I417" s="22" t="str">
        <f t="shared" si="7"/>
        <v/>
      </c>
      <c r="J417" s="20" t="b">
        <v>0</v>
      </c>
      <c r="K417" s="13" t="str">
        <f t="shared" si="2"/>
        <v/>
      </c>
    </row>
    <row r="418" ht="22.5" customHeight="1">
      <c r="B418" s="13">
        <f t="shared" si="3"/>
        <v>412</v>
      </c>
      <c r="C418" s="15" t="str">
        <f t="array" ref="C418">IFNA(_xlfn.XLOOKUP(B418,Table_Respons_Loket[Count],Table_Respons_Loket[Nomor Tiket]),"")</f>
        <v>K/1/241024/1</v>
      </c>
      <c r="D418" s="15" t="str">
        <f t="array" ref="D418">IFNA(_xlfn.XLOOKUP(B418,Table_Respons_Loket[Count],Table_Respons_Loket[Daftar Nomor Hak]),"")</f>
        <v>M.2632/SUMBER AGUNG</v>
      </c>
      <c r="E418" s="17">
        <f t="array" ref="E418">IFNA(_xlfn.XLOOKUP(B418,Table_Respons_Loket[Count],Table_Respons_Loket[Time Stamp]),"")</f>
        <v>45589.3768</v>
      </c>
      <c r="F418" s="18" t="str">
        <f t="array" ref="F418">IFNA(_xlfn.XLOOKUP(B418,Table_Respons_Loket[Count],Table_Respons_Loket[Jenis Permohonan]),"")</f>
        <v>BN JUAL BELI</v>
      </c>
      <c r="G418" s="12" t="s">
        <v>42</v>
      </c>
      <c r="H418" s="12" t="s">
        <v>52</v>
      </c>
      <c r="I418" s="22">
        <f t="shared" si="7"/>
        <v>45603.59203</v>
      </c>
      <c r="J418" s="20" t="b">
        <v>0</v>
      </c>
      <c r="K418" s="13" t="str">
        <f t="shared" si="2"/>
        <v/>
      </c>
    </row>
    <row r="419" ht="22.5" customHeight="1">
      <c r="B419" s="13">
        <f t="shared" si="3"/>
        <v>413</v>
      </c>
      <c r="C419" s="15" t="str">
        <f t="array" ref="C419">IFNA(_xlfn.XLOOKUP(B419,Table_Respons_Loket[Count],Table_Respons_Loket[Nomor Tiket]),"")</f>
        <v>K/2/241024/1</v>
      </c>
      <c r="D419" s="15" t="str">
        <f t="array" ref="D419">IFNA(_xlfn.XLOOKUP(B419,Table_Respons_Loket[Count],Table_Respons_Loket[Daftar Nomor Hak]),"")</f>
        <v>M. 3219/ Way Kandis</v>
      </c>
      <c r="E419" s="17">
        <f t="array" ref="E419">IFNA(_xlfn.XLOOKUP(B419,Table_Respons_Loket[Count],Table_Respons_Loket[Time Stamp]),"")</f>
        <v>45589.37949</v>
      </c>
      <c r="F419" s="18" t="str">
        <f t="array" ref="F419">IFNA(_xlfn.XLOOKUP(B419,Table_Respons_Loket[Count],Table_Respons_Loket[Jenis Permohonan]),"")</f>
        <v>roya</v>
      </c>
      <c r="G419" s="12" t="s">
        <v>50</v>
      </c>
      <c r="H419" s="12" t="s">
        <v>207</v>
      </c>
      <c r="I419" s="22">
        <f t="shared" si="7"/>
        <v>45589.66017</v>
      </c>
      <c r="J419" s="20" t="b">
        <v>0</v>
      </c>
      <c r="K419" s="13" t="str">
        <f t="shared" si="2"/>
        <v/>
      </c>
    </row>
    <row r="420" ht="22.5" customHeight="1">
      <c r="B420" s="13">
        <f t="shared" si="3"/>
        <v>414</v>
      </c>
      <c r="C420" s="15" t="str">
        <f t="array" ref="C420">IFNA(_xlfn.XLOOKUP(B420,Table_Respons_Loket[Count],Table_Respons_Loket[Nomor Tiket]),"")</f>
        <v>K/3/241024/2</v>
      </c>
      <c r="D420" s="15" t="str">
        <f t="array" ref="D420">IFNA(_xlfn.XLOOKUP(B420,Table_Respons_Loket[Count],Table_Respons_Loket[Daftar Nomor Hak]),"")</f>
        <v>M. 379/ Kali Balau Kencana</v>
      </c>
      <c r="E420" s="17">
        <f t="array" ref="E420">IFNA(_xlfn.XLOOKUP(B420,Table_Respons_Loket[Count],Table_Respons_Loket[Time Stamp]),"")</f>
        <v>45589.38778</v>
      </c>
      <c r="F420" s="18" t="str">
        <f t="array" ref="F420">IFNA(_xlfn.XLOOKUP(B420,Table_Respons_Loket[Count],Table_Respons_Loket[Jenis Permohonan]),"")</f>
        <v>BN Jual Beli</v>
      </c>
      <c r="G420" s="12" t="s">
        <v>50</v>
      </c>
      <c r="H420" s="12" t="s">
        <v>52</v>
      </c>
      <c r="I420" s="22">
        <f t="shared" si="7"/>
        <v>45589.66031</v>
      </c>
      <c r="J420" s="20" t="b">
        <v>0</v>
      </c>
      <c r="K420" s="13" t="str">
        <f t="shared" si="2"/>
        <v/>
      </c>
    </row>
    <row r="421" ht="22.5" customHeight="1">
      <c r="B421" s="13">
        <f t="shared" si="3"/>
        <v>415</v>
      </c>
      <c r="C421" s="15" t="str">
        <f t="array" ref="C421">IFNA(_xlfn.XLOOKUP(B421,Table_Respons_Loket[Count],Table_Respons_Loket[Nomor Tiket]),"")</f>
        <v>K/4/241024/1</v>
      </c>
      <c r="D421" s="15" t="str">
        <f t="array" ref="D421">IFNA(_xlfn.XLOOKUP(B421,Table_Respons_Loket[Count],Table_Respons_Loket[Daftar Nomor Hak]),"")</f>
        <v>M. 2271/ Rajabasa Jaya</v>
      </c>
      <c r="E421" s="17">
        <f t="array" ref="E421">IFNA(_xlfn.XLOOKUP(B421,Table_Respons_Loket[Count],Table_Respons_Loket[Time Stamp]),"")</f>
        <v>45589.38948</v>
      </c>
      <c r="F421" s="18" t="str">
        <f t="array" ref="F421">IFNA(_xlfn.XLOOKUP(B421,Table_Respons_Loket[Count],Table_Respons_Loket[Jenis Permohonan]),"")</f>
        <v>BN Jual Beli</v>
      </c>
      <c r="G421" s="12" t="s">
        <v>50</v>
      </c>
      <c r="H421" s="12" t="s">
        <v>52</v>
      </c>
      <c r="I421" s="22">
        <f t="shared" si="7"/>
        <v>45589.66043</v>
      </c>
      <c r="J421" s="20" t="b">
        <v>0</v>
      </c>
      <c r="K421" s="13" t="str">
        <f t="shared" si="2"/>
        <v/>
      </c>
    </row>
    <row r="422" ht="22.5" customHeight="1">
      <c r="B422" s="13">
        <f t="shared" si="3"/>
        <v>416</v>
      </c>
      <c r="C422" s="15" t="str">
        <f t="array" ref="C422">IFNA(_xlfn.XLOOKUP(B422,Table_Respons_Loket[Count],Table_Respons_Loket[Nomor Tiket]),"")</f>
        <v>K/5/241024/2</v>
      </c>
      <c r="D422" s="15" t="str">
        <f t="array" ref="D422">IFNA(_xlfn.XLOOKUP(B422,Table_Respons_Loket[Count],Table_Respons_Loket[Daftar Nomor Hak]),"")</f>
        <v>M. 2955/ Sukarame Baru; M. 16806/ Sukarame-dahulu; B. 2357/ Sukarame-dahulu; </v>
      </c>
      <c r="E422" s="17">
        <f t="array" ref="E422">IFNA(_xlfn.XLOOKUP(B422,Table_Respons_Loket[Count],Table_Respons_Loket[Time Stamp]),"")</f>
        <v>45589.39087</v>
      </c>
      <c r="F422" s="18" t="str">
        <f t="array" ref="F422">IFNA(_xlfn.XLOOKUP(B422,Table_Respons_Loket[Count],Table_Respons_Loket[Jenis Permohonan]),"")</f>
        <v>BN Waris</v>
      </c>
      <c r="G422" s="12" t="s">
        <v>50</v>
      </c>
      <c r="H422" s="12" t="s">
        <v>52</v>
      </c>
      <c r="I422" s="22">
        <f t="shared" si="7"/>
        <v>45589.66056</v>
      </c>
      <c r="J422" s="20" t="b">
        <v>0</v>
      </c>
      <c r="K422" s="13" t="str">
        <f t="shared" si="2"/>
        <v/>
      </c>
    </row>
    <row r="423" ht="22.5" customHeight="1">
      <c r="B423" s="13">
        <f t="shared" si="3"/>
        <v>417</v>
      </c>
      <c r="C423" s="15" t="str">
        <f t="array" ref="C423">IFNA(_xlfn.XLOOKUP(B423,Table_Respons_Loket[Count],Table_Respons_Loket[Nomor Tiket]),"")</f>
        <v>K/6/241024/3</v>
      </c>
      <c r="D423" s="15" t="str">
        <f t="array" ref="D423">IFNA(_xlfn.XLOOKUP(B423,Table_Respons_Loket[Count],Table_Respons_Loket[Daftar Nomor Hak]),"")</f>
        <v>M. 1498/ Kali Balau Kencana-sekarang; M. 11808/ Tanjung Baru-dahulu</v>
      </c>
      <c r="E423" s="17">
        <f t="array" ref="E423">IFNA(_xlfn.XLOOKUP(B423,Table_Respons_Loket[Count],Table_Respons_Loket[Time Stamp]),"")</f>
        <v>45589.39131</v>
      </c>
      <c r="F423" s="18" t="str">
        <f t="array" ref="F423">IFNA(_xlfn.XLOOKUP(B423,Table_Respons_Loket[Count],Table_Respons_Loket[Jenis Permohonan]),"")</f>
        <v>BN Jual Beli</v>
      </c>
      <c r="G423" s="12" t="s">
        <v>50</v>
      </c>
      <c r="H423" s="12" t="s">
        <v>52</v>
      </c>
      <c r="I423" s="22">
        <f t="shared" si="7"/>
        <v>45589.66067</v>
      </c>
      <c r="J423" s="20" t="b">
        <v>0</v>
      </c>
      <c r="K423" s="13" t="str">
        <f t="shared" si="2"/>
        <v/>
      </c>
    </row>
    <row r="424" ht="22.5" customHeight="1">
      <c r="B424" s="13">
        <f t="shared" si="3"/>
        <v>418</v>
      </c>
      <c r="C424" s="15" t="str">
        <f t="array" ref="C424">IFNA(_xlfn.XLOOKUP(B424,Table_Respons_Loket[Count],Table_Respons_Loket[Nomor Tiket]),"")</f>
        <v>K/7/241024/1</v>
      </c>
      <c r="D424" s="15" t="str">
        <f t="array" ref="D424">IFNA(_xlfn.XLOOKUP(B424,Table_Respons_Loket[Count],Table_Respons_Loket[Daftar Nomor Hak]),"")</f>
        <v>M.1116/LABUHAN RATU RAYA</v>
      </c>
      <c r="E424" s="17">
        <f t="array" ref="E424">IFNA(_xlfn.XLOOKUP(B424,Table_Respons_Loket[Count],Table_Respons_Loket[Time Stamp]),"")</f>
        <v>45589.39145</v>
      </c>
      <c r="F424" s="18" t="str">
        <f t="array" ref="F424">IFNA(_xlfn.XLOOKUP(B424,Table_Respons_Loket[Count],Table_Respons_Loket[Jenis Permohonan]),"")</f>
        <v>ROYA</v>
      </c>
      <c r="G424" s="12" t="s">
        <v>50</v>
      </c>
      <c r="H424" s="12" t="s">
        <v>52</v>
      </c>
      <c r="I424" s="22">
        <f t="shared" si="7"/>
        <v>45589.66078</v>
      </c>
      <c r="J424" s="20" t="b">
        <v>0</v>
      </c>
      <c r="K424" s="13" t="str">
        <f t="shared" si="2"/>
        <v/>
      </c>
    </row>
    <row r="425" ht="22.5" customHeight="1">
      <c r="B425" s="13">
        <f t="shared" si="3"/>
        <v>419</v>
      </c>
      <c r="C425" s="15" t="str">
        <f t="array" ref="C425">IFNA(_xlfn.XLOOKUP(B425,Table_Respons_Loket[Count],Table_Respons_Loket[Nomor Tiket]),"")</f>
        <v>K/8/241024/4</v>
      </c>
      <c r="D425" s="15" t="str">
        <f t="array" ref="D425">IFNA(_xlfn.XLOOKUP(B425,Table_Respons_Loket[Count],Table_Respons_Loket[Daftar Nomor Hak]),"")</f>
        <v>M. 369/ Kali Balau Kencana</v>
      </c>
      <c r="E425" s="17">
        <f t="array" ref="E425">IFNA(_xlfn.XLOOKUP(B425,Table_Respons_Loket[Count],Table_Respons_Loket[Time Stamp]),"")</f>
        <v>45589.39462</v>
      </c>
      <c r="F425" s="18" t="str">
        <f t="array" ref="F425">IFNA(_xlfn.XLOOKUP(B425,Table_Respons_Loket[Count],Table_Respons_Loket[Jenis Permohonan]),"")</f>
        <v>BN Jual Beli</v>
      </c>
      <c r="G425" s="12" t="s">
        <v>50</v>
      </c>
      <c r="H425" s="12" t="s">
        <v>52</v>
      </c>
      <c r="I425" s="22">
        <f t="shared" si="7"/>
        <v>45589.6609</v>
      </c>
      <c r="J425" s="20" t="b">
        <v>0</v>
      </c>
      <c r="K425" s="13" t="str">
        <f t="shared" si="2"/>
        <v/>
      </c>
    </row>
    <row r="426" ht="22.5" customHeight="1">
      <c r="B426" s="13">
        <f t="shared" si="3"/>
        <v>420</v>
      </c>
      <c r="C426" s="15" t="str">
        <f t="array" ref="C426">IFNA(_xlfn.XLOOKUP(B426,Table_Respons_Loket[Count],Table_Respons_Loket[Nomor Tiket]),"")</f>
        <v>K/9/241024/1</v>
      </c>
      <c r="D426" s="15" t="str">
        <f t="array" ref="D426">IFNA(_xlfn.XLOOKUP(B426,Table_Respons_Loket[Count],Table_Respons_Loket[Daftar Nomor Hak]),"")</f>
        <v>M. 9800/ Kedamaian; SHT 2878/2017 dan SHT 1059/20211</v>
      </c>
      <c r="E426" s="17">
        <f t="array" ref="E426">IFNA(_xlfn.XLOOKUP(B426,Table_Respons_Loket[Count],Table_Respons_Loket[Time Stamp]),"")</f>
        <v>45589.39705</v>
      </c>
      <c r="F426" s="18" t="str">
        <f t="array" ref="F426">IFNA(_xlfn.XLOOKUP(B426,Table_Respons_Loket[Count],Table_Respons_Loket[Jenis Permohonan]),"")</f>
        <v>Roya</v>
      </c>
      <c r="G426" s="12" t="s">
        <v>50</v>
      </c>
      <c r="H426" s="12" t="s">
        <v>52</v>
      </c>
      <c r="I426" s="22">
        <f t="shared" si="7"/>
        <v>45589.66101</v>
      </c>
      <c r="J426" s="20" t="b">
        <v>0</v>
      </c>
      <c r="K426" s="13" t="str">
        <f t="shared" si="2"/>
        <v/>
      </c>
    </row>
    <row r="427" ht="22.5" customHeight="1">
      <c r="B427" s="13">
        <f t="shared" si="3"/>
        <v>421</v>
      </c>
      <c r="C427" s="15" t="str">
        <f t="array" ref="C427">IFNA(_xlfn.XLOOKUP(B427,Table_Respons_Loket[Count],Table_Respons_Loket[Nomor Tiket]),"")</f>
        <v>K/10/241024/1</v>
      </c>
      <c r="D427" s="15" t="str">
        <f t="array" ref="D427">IFNA(_xlfn.XLOOKUP(B427,Table_Respons_Loket[Count],Table_Respons_Loket[Daftar Nomor Hak]),"")</f>
        <v>NIBEL M. 2525/WAY HALIM PERMAI</v>
      </c>
      <c r="E427" s="17">
        <f t="array" ref="E427">IFNA(_xlfn.XLOOKUP(B427,Table_Respons_Loket[Count],Table_Respons_Loket[Time Stamp]),"")</f>
        <v>45589.40899</v>
      </c>
      <c r="F427" s="18" t="str">
        <f t="array" ref="F427">IFNA(_xlfn.XLOOKUP(B427,Table_Respons_Loket[Count],Table_Respons_Loket[Jenis Permohonan]),"")</f>
        <v>BN JUAL BELI</v>
      </c>
      <c r="G427" s="24"/>
      <c r="H427" s="24"/>
      <c r="I427" s="22" t="str">
        <f t="shared" si="7"/>
        <v/>
      </c>
      <c r="J427" s="20" t="b">
        <v>0</v>
      </c>
      <c r="K427" s="13" t="str">
        <f t="shared" si="2"/>
        <v/>
      </c>
    </row>
    <row r="428" ht="22.5" customHeight="1">
      <c r="B428" s="13">
        <f t="shared" si="3"/>
        <v>422</v>
      </c>
      <c r="C428" s="15" t="str">
        <f t="array" ref="C428">IFNA(_xlfn.XLOOKUP(B428,Table_Respons_Loket[Count],Table_Respons_Loket[Nomor Tiket]),"")</f>
        <v>K/12/241024/1</v>
      </c>
      <c r="D428" s="15" t="str">
        <f t="array" ref="D428">IFNA(_xlfn.XLOOKUP(B428,Table_Respons_Loket[Count],Table_Respons_Loket[Daftar Nomor Hak]),"")</f>
        <v>M. 1651/ Sukarame II</v>
      </c>
      <c r="E428" s="17">
        <f t="array" ref="E428">IFNA(_xlfn.XLOOKUP(B428,Table_Respons_Loket[Count],Table_Respons_Loket[Time Stamp]),"")</f>
        <v>45589.41578</v>
      </c>
      <c r="F428" s="18" t="str">
        <f t="array" ref="F428">IFNA(_xlfn.XLOOKUP(B428,Table_Respons_Loket[Count],Table_Respons_Loket[Jenis Permohonan]),"")</f>
        <v>BN Jual Beli</v>
      </c>
      <c r="G428" s="12" t="s">
        <v>50</v>
      </c>
      <c r="H428" s="12" t="s">
        <v>52</v>
      </c>
      <c r="I428" s="22">
        <f t="shared" si="7"/>
        <v>45589.66114</v>
      </c>
      <c r="J428" s="20" t="b">
        <v>0</v>
      </c>
      <c r="K428" s="13" t="str">
        <f t="shared" si="2"/>
        <v/>
      </c>
    </row>
    <row r="429" ht="22.5" customHeight="1">
      <c r="B429" s="13">
        <f t="shared" si="3"/>
        <v>423</v>
      </c>
      <c r="C429" s="15" t="str">
        <f t="array" ref="C429">IFNA(_xlfn.XLOOKUP(B429,Table_Respons_Loket[Count],Table_Respons_Loket[Nomor Tiket]),"")</f>
        <v>K/11/241024/1</v>
      </c>
      <c r="D429" s="15" t="str">
        <f t="array" ref="D429">IFNA(_xlfn.XLOOKUP(B429,Table_Respons_Loket[Count],Table_Respons_Loket[Daftar Nomor Hak]),"")</f>
        <v>M. 2231/ Durian Payung</v>
      </c>
      <c r="E429" s="17">
        <f t="array" ref="E429">IFNA(_xlfn.XLOOKUP(B429,Table_Respons_Loket[Count],Table_Respons_Loket[Time Stamp]),"")</f>
        <v>45589.41736</v>
      </c>
      <c r="F429" s="18" t="str">
        <f t="array" ref="F429">IFNA(_xlfn.XLOOKUP(B429,Table_Respons_Loket[Count],Table_Respons_Loket[Jenis Permohonan]),"")</f>
        <v>BN Waris</v>
      </c>
      <c r="G429" s="24"/>
      <c r="H429" s="12" t="s">
        <v>47</v>
      </c>
      <c r="I429" s="22" t="str">
        <f t="shared" si="7"/>
        <v/>
      </c>
      <c r="J429" s="20" t="b">
        <v>0</v>
      </c>
      <c r="K429" s="13" t="str">
        <f t="shared" si="2"/>
        <v/>
      </c>
    </row>
    <row r="430" ht="22.5" customHeight="1">
      <c r="B430" s="13">
        <f t="shared" si="3"/>
        <v>424</v>
      </c>
      <c r="C430" s="15" t="str">
        <f t="array" ref="C430">IFNA(_xlfn.XLOOKUP(B430,Table_Respons_Loket[Count],Table_Respons_Loket[Nomor Tiket]),"")</f>
        <v>K/13/241024/2</v>
      </c>
      <c r="D430" s="15" t="str">
        <f t="array" ref="D430">IFNA(_xlfn.XLOOKUP(B430,Table_Respons_Loket[Count],Table_Respons_Loket[Daftar Nomor Hak]),"")</f>
        <v>M. 1832/ Sumberrejo sejahtera-sekarang; M.1090/ Sumberrejo Dahulu</v>
      </c>
      <c r="E430" s="17">
        <f t="array" ref="E430">IFNA(_xlfn.XLOOKUP(B430,Table_Respons_Loket[Count],Table_Respons_Loket[Time Stamp]),"")</f>
        <v>45589.42179</v>
      </c>
      <c r="F430" s="18" t="str">
        <f t="array" ref="F430">IFNA(_xlfn.XLOOKUP(B430,Table_Respons_Loket[Count],Table_Respons_Loket[Jenis Permohonan]),"")</f>
        <v>BN Jual Beli</v>
      </c>
      <c r="G430" s="12" t="s">
        <v>48</v>
      </c>
      <c r="H430" s="12" t="s">
        <v>52</v>
      </c>
      <c r="I430" s="22">
        <f t="shared" si="7"/>
        <v>45589.67209</v>
      </c>
      <c r="J430" s="20" t="b">
        <v>0</v>
      </c>
      <c r="K430" s="13" t="str">
        <f t="shared" si="2"/>
        <v/>
      </c>
    </row>
    <row r="431" ht="22.5" customHeight="1">
      <c r="B431" s="13">
        <f t="shared" si="3"/>
        <v>425</v>
      </c>
      <c r="C431" s="15" t="str">
        <f t="array" ref="C431">IFNA(_xlfn.XLOOKUP(B431,Table_Respons_Loket[Count],Table_Respons_Loket[Nomor Tiket]),"")</f>
        <v>L/14/241024/1</v>
      </c>
      <c r="D431" s="15" t="str">
        <f t="array" ref="D431">IFNA(_xlfn.XLOOKUP(B431,Table_Respons_Loket[Count],Table_Respons_Loket[Daftar Nomor Hak]),"")</f>
        <v>M.16877/SUKARAME I</v>
      </c>
      <c r="E431" s="17">
        <f t="array" ref="E431">IFNA(_xlfn.XLOOKUP(B431,Table_Respons_Loket[Count],Table_Respons_Loket[Time Stamp]),"")</f>
        <v>45589.4229</v>
      </c>
      <c r="F431" s="18" t="str">
        <f t="array" ref="F431">IFNA(_xlfn.XLOOKUP(B431,Table_Respons_Loket[Count],Table_Respons_Loket[Jenis Permohonan]),"")</f>
        <v>ROYA</v>
      </c>
      <c r="G431" s="12" t="s">
        <v>48</v>
      </c>
      <c r="H431" s="12" t="s">
        <v>52</v>
      </c>
      <c r="I431" s="22">
        <f t="shared" si="7"/>
        <v>45589.67256</v>
      </c>
      <c r="J431" s="20" t="b">
        <v>0</v>
      </c>
      <c r="K431" s="13" t="str">
        <f t="shared" si="2"/>
        <v/>
      </c>
    </row>
    <row r="432" ht="22.5" customHeight="1">
      <c r="B432" s="13">
        <f t="shared" si="3"/>
        <v>426</v>
      </c>
      <c r="C432" s="15" t="str">
        <f t="array" ref="C432">IFNA(_xlfn.XLOOKUP(B432,Table_Respons_Loket[Count],Table_Respons_Loket[Nomor Tiket]),"")</f>
        <v>L/15/241024/1</v>
      </c>
      <c r="D432" s="15" t="str">
        <f t="array" ref="D432">IFNA(_xlfn.XLOOKUP(B432,Table_Respons_Loket[Count],Table_Respons_Loket[Daftar Nomor Hak]),"")</f>
        <v>HM 5933/WAY KANDIS</v>
      </c>
      <c r="E432" s="17">
        <f t="array" ref="E432">IFNA(_xlfn.XLOOKUP(B432,Table_Respons_Loket[Count],Table_Respons_Loket[Time Stamp]),"")</f>
        <v>45589.43548</v>
      </c>
      <c r="F432" s="18" t="str">
        <f t="array" ref="F432">IFNA(_xlfn.XLOOKUP(B432,Table_Respons_Loket[Count],Table_Respons_Loket[Jenis Permohonan]),"")</f>
        <v>PTPGT</v>
      </c>
      <c r="G432" s="24"/>
      <c r="H432" s="24"/>
      <c r="I432" s="22" t="str">
        <f t="shared" si="7"/>
        <v/>
      </c>
      <c r="J432" s="20" t="b">
        <v>0</v>
      </c>
      <c r="K432" s="13" t="str">
        <f t="shared" si="2"/>
        <v/>
      </c>
    </row>
    <row r="433" ht="22.5" customHeight="1">
      <c r="B433" s="13">
        <f t="shared" si="3"/>
        <v>427</v>
      </c>
      <c r="C433" s="15" t="str">
        <f t="array" ref="C433">IFNA(_xlfn.XLOOKUP(B433,Table_Respons_Loket[Count],Table_Respons_Loket[Nomor Tiket]),"")</f>
        <v>K/16/241024/1</v>
      </c>
      <c r="D433" s="15" t="str">
        <f t="array" ref="D433">IFNA(_xlfn.XLOOKUP(B433,Table_Respons_Loket[Count],Table_Respons_Loket[Daftar Nomor Hak]),"")</f>
        <v>Nibel 1410/ Kemiling Permai</v>
      </c>
      <c r="E433" s="17">
        <f t="array" ref="E433">IFNA(_xlfn.XLOOKUP(B433,Table_Respons_Loket[Count],Table_Respons_Loket[Time Stamp]),"")</f>
        <v>45589.44924</v>
      </c>
      <c r="F433" s="18" t="str">
        <f t="array" ref="F433">IFNA(_xlfn.XLOOKUP(B433,Table_Respons_Loket[Count],Table_Respons_Loket[Jenis Permohonan]),"")</f>
        <v>BN Jual beli</v>
      </c>
      <c r="G433" s="24"/>
      <c r="H433" s="24"/>
      <c r="I433" s="22" t="str">
        <f t="shared" si="7"/>
        <v/>
      </c>
      <c r="J433" s="20" t="b">
        <v>0</v>
      </c>
      <c r="K433" s="13" t="str">
        <f t="shared" si="2"/>
        <v/>
      </c>
    </row>
    <row r="434" ht="22.5" customHeight="1">
      <c r="B434" s="13">
        <f t="shared" si="3"/>
        <v>428</v>
      </c>
      <c r="C434" s="15" t="str">
        <f t="array" ref="C434">IFNA(_xlfn.XLOOKUP(B434,Table_Respons_Loket[Count],Table_Respons_Loket[Nomor Tiket]),"")</f>
        <v>K/17/241024/1</v>
      </c>
      <c r="D434" s="15" t="str">
        <f t="array" ref="D434">IFNA(_xlfn.XLOOKUP(B434,Table_Respons_Loket[Count],Table_Respons_Loket[Daftar Nomor Hak]),"")</f>
        <v>M. 2476/ Sukadana Ham</v>
      </c>
      <c r="E434" s="17">
        <f t="array" ref="E434">IFNA(_xlfn.XLOOKUP(B434,Table_Respons_Loket[Count],Table_Respons_Loket[Time Stamp]),"")</f>
        <v>45589.45469</v>
      </c>
      <c r="F434" s="18" t="str">
        <f t="array" ref="F434">IFNA(_xlfn.XLOOKUP(B434,Table_Respons_Loket[Count],Table_Respons_Loket[Jenis Permohonan]),"")</f>
        <v>Pengecekan</v>
      </c>
      <c r="G434" s="24"/>
      <c r="H434" s="24"/>
      <c r="I434" s="22" t="str">
        <f t="shared" si="7"/>
        <v/>
      </c>
      <c r="J434" s="20" t="b">
        <v>0</v>
      </c>
      <c r="K434" s="13" t="str">
        <f t="shared" si="2"/>
        <v/>
      </c>
    </row>
    <row r="435" ht="22.5" customHeight="1">
      <c r="B435" s="13">
        <f t="shared" si="3"/>
        <v>429</v>
      </c>
      <c r="C435" s="15" t="str">
        <f t="array" ref="C435">IFNA(_xlfn.XLOOKUP(B435,Table_Respons_Loket[Count],Table_Respons_Loket[Nomor Tiket]),"")</f>
        <v>L/20/241024/1</v>
      </c>
      <c r="D435" s="15" t="str">
        <f t="array" ref="D435">IFNA(_xlfn.XLOOKUP(B435,Table_Respons_Loket[Count],Table_Respons_Loket[Daftar Nomor Hak]),"")</f>
        <v>NIB 16050/CAMPANG RAYA</v>
      </c>
      <c r="E435" s="17">
        <f t="array" ref="E435">IFNA(_xlfn.XLOOKUP(B435,Table_Respons_Loket[Count],Table_Respons_Loket[Time Stamp]),"")</f>
        <v>45589.45943</v>
      </c>
      <c r="F435" s="18" t="str">
        <f t="array" ref="F435">IFNA(_xlfn.XLOOKUP(B435,Table_Respons_Loket[Count],Table_Respons_Loket[Jenis Permohonan]),"")</f>
        <v>GANDES</v>
      </c>
      <c r="G435" s="24"/>
      <c r="H435" s="24"/>
      <c r="I435" s="22" t="str">
        <f t="shared" si="7"/>
        <v/>
      </c>
      <c r="J435" s="20" t="b">
        <v>0</v>
      </c>
      <c r="K435" s="13" t="str">
        <f t="shared" si="2"/>
        <v/>
      </c>
    </row>
    <row r="436" ht="22.5" customHeight="1">
      <c r="B436" s="13">
        <f t="shared" si="3"/>
        <v>430</v>
      </c>
      <c r="C436" s="15" t="str">
        <f t="array" ref="C436">IFNA(_xlfn.XLOOKUP(B436,Table_Respons_Loket[Count],Table_Respons_Loket[Nomor Tiket]),"")</f>
        <v>L/18/241024/1</v>
      </c>
      <c r="D436" s="15" t="str">
        <f t="array" ref="D436">IFNA(_xlfn.XLOOKUP(B436,Table_Respons_Loket[Count],Table_Respons_Loket[Daftar Nomor Hak]),"")</f>
        <v>M.1248/SUKARAME BARU</v>
      </c>
      <c r="E436" s="17">
        <f t="array" ref="E436">IFNA(_xlfn.XLOOKUP(B436,Table_Respons_Loket[Count],Table_Respons_Loket[Time Stamp]),"")</f>
        <v>45589.45976</v>
      </c>
      <c r="F436" s="18" t="str">
        <f t="array" ref="F436">IFNA(_xlfn.XLOOKUP(B436,Table_Respons_Loket[Count],Table_Respons_Loket[Jenis Permohonan]),"")</f>
        <v>SITA</v>
      </c>
      <c r="G436" s="24"/>
      <c r="H436" s="24"/>
      <c r="I436" s="22" t="str">
        <f t="shared" si="7"/>
        <v/>
      </c>
      <c r="J436" s="20" t="b">
        <v>0</v>
      </c>
      <c r="K436" s="13" t="str">
        <f t="shared" si="2"/>
        <v/>
      </c>
    </row>
    <row r="437" ht="22.5" customHeight="1">
      <c r="B437" s="13">
        <f t="shared" si="3"/>
        <v>431</v>
      </c>
      <c r="C437" s="15" t="str">
        <f t="array" ref="C437">IFNA(_xlfn.XLOOKUP(B437,Table_Respons_Loket[Count],Table_Respons_Loket[Nomor Tiket]),"")</f>
        <v>L/19/241024/2</v>
      </c>
      <c r="D437" s="15" t="str">
        <f t="array" ref="D437">IFNA(_xlfn.XLOOKUP(B437,Table_Respons_Loket[Count],Table_Respons_Loket[Daftar Nomor Hak]),"")</f>
        <v>M.1249/SUKARAME BARU</v>
      </c>
      <c r="E437" s="17">
        <f t="array" ref="E437">IFNA(_xlfn.XLOOKUP(B437,Table_Respons_Loket[Count],Table_Respons_Loket[Time Stamp]),"")</f>
        <v>45589.46031</v>
      </c>
      <c r="F437" s="18" t="str">
        <f t="array" ref="F437">IFNA(_xlfn.XLOOKUP(B437,Table_Respons_Loket[Count],Table_Respons_Loket[Jenis Permohonan]),"")</f>
        <v>SITA</v>
      </c>
      <c r="G437" s="24"/>
      <c r="H437" s="24"/>
      <c r="I437" s="22" t="str">
        <f t="shared" si="7"/>
        <v/>
      </c>
      <c r="J437" s="20" t="b">
        <v>0</v>
      </c>
      <c r="K437" s="13" t="str">
        <f t="shared" si="2"/>
        <v/>
      </c>
    </row>
    <row r="438" ht="22.5" customHeight="1">
      <c r="B438" s="13">
        <f t="shared" si="3"/>
        <v>432</v>
      </c>
      <c r="C438" s="15" t="str">
        <f t="array" ref="C438">IFNA(_xlfn.XLOOKUP(B438,Table_Respons_Loket[Count],Table_Respons_Loket[Nomor Tiket]),"")</f>
        <v>K/21/241024/1</v>
      </c>
      <c r="D438" s="15" t="str">
        <f t="array" ref="D438">IFNA(_xlfn.XLOOKUP(B438,Table_Respons_Loket[Count],Table_Respons_Loket[Daftar Nomor Hak]),"")</f>
        <v>M. 217/ Bilabong Jaya-sekarang; M.880/ susunan Baru-dahulu</v>
      </c>
      <c r="E438" s="17">
        <f t="array" ref="E438">IFNA(_xlfn.XLOOKUP(B438,Table_Respons_Loket[Count],Table_Respons_Loket[Time Stamp]),"")</f>
        <v>45589.47437</v>
      </c>
      <c r="F438" s="18" t="str">
        <f t="array" ref="F438">IFNA(_xlfn.XLOOKUP(B438,Table_Respons_Loket[Count],Table_Respons_Loket[Jenis Permohonan]),"")</f>
        <v>BN Jual Beli</v>
      </c>
      <c r="G438" s="12" t="s">
        <v>48</v>
      </c>
      <c r="H438" s="12" t="s">
        <v>87</v>
      </c>
      <c r="I438" s="22">
        <f t="shared" si="7"/>
        <v>45589.67316</v>
      </c>
      <c r="J438" s="20" t="b">
        <v>0</v>
      </c>
      <c r="K438" s="13" t="str">
        <f t="shared" si="2"/>
        <v/>
      </c>
    </row>
    <row r="439" ht="22.5" customHeight="1">
      <c r="B439" s="13">
        <f t="shared" si="3"/>
        <v>433</v>
      </c>
      <c r="C439" s="15" t="str">
        <f t="array" ref="C439">IFNA(_xlfn.XLOOKUP(B439,Table_Respons_Loket[Count],Table_Respons_Loket[Nomor Tiket]),"")</f>
        <v>L/22/241024/1</v>
      </c>
      <c r="D439" s="15" t="str">
        <f t="array" ref="D439">IFNA(_xlfn.XLOOKUP(B439,Table_Respons_Loket[Count],Table_Respons_Loket[Daftar Nomor Hak]),"")</f>
        <v>HM 1366/KALIAWI</v>
      </c>
      <c r="E439" s="17">
        <f t="array" ref="E439">IFNA(_xlfn.XLOOKUP(B439,Table_Respons_Loket[Count],Table_Respons_Loket[Time Stamp]),"")</f>
        <v>45589.47457</v>
      </c>
      <c r="F439" s="18" t="str">
        <f t="array" ref="F439">IFNA(_xlfn.XLOOKUP(B439,Table_Respons_Loket[Count],Table_Respons_Loket[Jenis Permohonan]),"")</f>
        <v>ROYA</v>
      </c>
      <c r="G439" s="12" t="s">
        <v>48</v>
      </c>
      <c r="H439" s="12" t="s">
        <v>52</v>
      </c>
      <c r="I439" s="22">
        <f t="shared" si="7"/>
        <v>45589.67339</v>
      </c>
      <c r="J439" s="20" t="b">
        <v>1</v>
      </c>
      <c r="K439" s="17">
        <f t="shared" si="2"/>
        <v>45614.66166</v>
      </c>
    </row>
    <row r="440" ht="22.5" customHeight="1">
      <c r="B440" s="13">
        <f t="shared" si="3"/>
        <v>434</v>
      </c>
      <c r="C440" s="15" t="str">
        <f t="array" ref="C440">IFNA(_xlfn.XLOOKUP(B440,Table_Respons_Loket[Count],Table_Respons_Loket[Nomor Tiket]),"")</f>
        <v>K/23/241024/1</v>
      </c>
      <c r="D440" s="15" t="str">
        <f t="array" ref="D440">IFNA(_xlfn.XLOOKUP(B440,Table_Respons_Loket[Count],Table_Respons_Loket[Daftar Nomor Hak]),"")</f>
        <v>M. 16697/ Sukabumi</v>
      </c>
      <c r="E440" s="17">
        <f t="array" ref="E440">IFNA(_xlfn.XLOOKUP(B440,Table_Respons_Loket[Count],Table_Respons_Loket[Time Stamp]),"")</f>
        <v>45589.47725</v>
      </c>
      <c r="F440" s="18" t="str">
        <f t="array" ref="F440">IFNA(_xlfn.XLOOKUP(B440,Table_Respons_Loket[Count],Table_Respons_Loket[Jenis Permohonan]),"")</f>
        <v>BN Jual Beli</v>
      </c>
      <c r="G440" s="12" t="s">
        <v>42</v>
      </c>
      <c r="H440" s="12" t="s">
        <v>52</v>
      </c>
      <c r="I440" s="22">
        <f t="shared" si="7"/>
        <v>45601.4235</v>
      </c>
      <c r="J440" s="20" t="b">
        <v>0</v>
      </c>
      <c r="K440" s="13" t="str">
        <f t="shared" si="2"/>
        <v/>
      </c>
    </row>
    <row r="441" ht="22.5" customHeight="1">
      <c r="B441" s="13">
        <f t="shared" si="3"/>
        <v>435</v>
      </c>
      <c r="C441" s="15" t="str">
        <f t="array" ref="C441">IFNA(_xlfn.XLOOKUP(B441,Table_Respons_Loket[Count],Table_Respons_Loket[Nomor Tiket]),"")</f>
        <v>K/24/241024/1</v>
      </c>
      <c r="D441" s="15" t="str">
        <f t="array" ref="D441">IFNA(_xlfn.XLOOKUP(B441,Table_Respons_Loket[Count],Table_Respons_Loket[Daftar Nomor Hak]),"")</f>
        <v>NIBEL B.2466/SUKABUMI</v>
      </c>
      <c r="E441" s="17">
        <f t="array" ref="E441">IFNA(_xlfn.XLOOKUP(B441,Table_Respons_Loket[Count],Table_Respons_Loket[Time Stamp]),"")</f>
        <v>45589.48029</v>
      </c>
      <c r="F441" s="18" t="str">
        <f t="array" ref="F441">IFNA(_xlfn.XLOOKUP(B441,Table_Respons_Loket[Count],Table_Respons_Loket[Jenis Permohonan]),"")</f>
        <v>PENINGKATAN</v>
      </c>
      <c r="G441" s="24"/>
      <c r="H441" s="24"/>
      <c r="I441" s="22" t="str">
        <f t="shared" si="7"/>
        <v/>
      </c>
      <c r="J441" s="20" t="b">
        <v>0</v>
      </c>
      <c r="K441" s="13" t="str">
        <f t="shared" si="2"/>
        <v/>
      </c>
    </row>
    <row r="442" ht="22.5" customHeight="1">
      <c r="B442" s="13">
        <f t="shared" si="3"/>
        <v>436</v>
      </c>
      <c r="C442" s="15" t="str">
        <f t="array" ref="C442">IFNA(_xlfn.XLOOKUP(B442,Table_Respons_Loket[Count],Table_Respons_Loket[Nomor Tiket]),"")</f>
        <v>K/25/241024/2</v>
      </c>
      <c r="D442" s="15" t="str">
        <f t="array" ref="D442">IFNA(_xlfn.XLOOKUP(B442,Table_Respons_Loket[Count],Table_Respons_Loket[Daftar Nomor Hak]),"")</f>
        <v>B.627/KEMILING PERMAI</v>
      </c>
      <c r="E442" s="17">
        <f t="array" ref="E442">IFNA(_xlfn.XLOOKUP(B442,Table_Respons_Loket[Count],Table_Respons_Loket[Time Stamp]),"")</f>
        <v>45589.48098</v>
      </c>
      <c r="F442" s="18" t="str">
        <f t="array" ref="F442">IFNA(_xlfn.XLOOKUP(B442,Table_Respons_Loket[Count],Table_Respons_Loket[Jenis Permohonan]),"")</f>
        <v>BN JUAL BELI</v>
      </c>
      <c r="G442" s="12" t="s">
        <v>48</v>
      </c>
      <c r="H442" s="12" t="s">
        <v>52</v>
      </c>
      <c r="I442" s="22">
        <f t="shared" si="7"/>
        <v>45589.67439</v>
      </c>
      <c r="J442" s="20" t="b">
        <v>0</v>
      </c>
      <c r="K442" s="13" t="str">
        <f t="shared" si="2"/>
        <v/>
      </c>
    </row>
    <row r="443" ht="22.5" customHeight="1">
      <c r="B443" s="13">
        <f t="shared" si="3"/>
        <v>437</v>
      </c>
      <c r="C443" s="15" t="str">
        <f t="array" ref="C443">IFNA(_xlfn.XLOOKUP(B443,Table_Respons_Loket[Count],Table_Respons_Loket[Nomor Tiket]),"")</f>
        <v>K/26/241024/3</v>
      </c>
      <c r="D443" s="15" t="str">
        <f t="array" ref="D443">IFNA(_xlfn.XLOOKUP(B443,Table_Respons_Loket[Count],Table_Respons_Loket[Daftar Nomor Hak]),"")</f>
        <v>B.657/KEMILING PERMAI</v>
      </c>
      <c r="E443" s="17">
        <f t="array" ref="E443">IFNA(_xlfn.XLOOKUP(B443,Table_Respons_Loket[Count],Table_Respons_Loket[Time Stamp]),"")</f>
        <v>45589.48154</v>
      </c>
      <c r="F443" s="18" t="str">
        <f t="array" ref="F443">IFNA(_xlfn.XLOOKUP(B443,Table_Respons_Loket[Count],Table_Respons_Loket[Jenis Permohonan]),"")</f>
        <v>BN JUAL BELI</v>
      </c>
      <c r="G443" s="12" t="s">
        <v>48</v>
      </c>
      <c r="H443" s="12" t="s">
        <v>52</v>
      </c>
      <c r="I443" s="22">
        <f t="shared" si="7"/>
        <v>45589.67464</v>
      </c>
      <c r="J443" s="20" t="b">
        <v>0</v>
      </c>
      <c r="K443" s="13" t="str">
        <f t="shared" si="2"/>
        <v/>
      </c>
    </row>
    <row r="444" ht="22.5" customHeight="1">
      <c r="B444" s="13">
        <f t="shared" si="3"/>
        <v>438</v>
      </c>
      <c r="C444" s="15" t="str">
        <f t="array" ref="C444">IFNA(_xlfn.XLOOKUP(B444,Table_Respons_Loket[Count],Table_Respons_Loket[Nomor Tiket]),"")</f>
        <v>L/27/241024/1</v>
      </c>
      <c r="D444" s="15" t="str">
        <f t="array" ref="D444">IFNA(_xlfn.XLOOKUP(B444,Table_Respons_Loket[Count],Table_Respons_Loket[Daftar Nomor Hak]),"")</f>
        <v>HM 1540/SUKARAME BARU</v>
      </c>
      <c r="E444" s="17">
        <f t="array" ref="E444">IFNA(_xlfn.XLOOKUP(B444,Table_Respons_Loket[Count],Table_Respons_Loket[Time Stamp]),"")</f>
        <v>45589.48914</v>
      </c>
      <c r="F444" s="18" t="str">
        <f t="array" ref="F444">IFNA(_xlfn.XLOOKUP(B444,Table_Respons_Loket[Count],Table_Respons_Loket[Jenis Permohonan]),"")</f>
        <v>SKPT INFORMASI</v>
      </c>
      <c r="G444" s="24"/>
      <c r="H444" s="24"/>
      <c r="I444" s="22" t="str">
        <f t="shared" si="7"/>
        <v/>
      </c>
      <c r="J444" s="20" t="b">
        <v>0</v>
      </c>
      <c r="K444" s="13" t="str">
        <f t="shared" si="2"/>
        <v/>
      </c>
    </row>
    <row r="445" ht="22.5" customHeight="1">
      <c r="B445" s="13">
        <f t="shared" si="3"/>
        <v>439</v>
      </c>
      <c r="C445" s="15" t="str">
        <f t="array" ref="C445">IFNA(_xlfn.XLOOKUP(B445,Table_Respons_Loket[Count],Table_Respons_Loket[Nomor Tiket]),"")</f>
        <v>K/28/241024/1</v>
      </c>
      <c r="D445" s="15" t="str">
        <f t="array" ref="D445">IFNA(_xlfn.XLOOKUP(B445,Table_Respons_Loket[Count],Table_Respons_Loket[Daftar Nomor Hak]),"")</f>
        <v>Nibel. M. 2140/ Kupang Raya</v>
      </c>
      <c r="E445" s="17">
        <f t="array" ref="E445">IFNA(_xlfn.XLOOKUP(B445,Table_Respons_Loket[Count],Table_Respons_Loket[Time Stamp]),"")</f>
        <v>45589.49144</v>
      </c>
      <c r="F445" s="18" t="str">
        <f t="array" ref="F445">IFNA(_xlfn.XLOOKUP(B445,Table_Respons_Loket[Count],Table_Respons_Loket[Jenis Permohonan]),"")</f>
        <v>Pemecahan</v>
      </c>
      <c r="G445" s="24"/>
      <c r="H445" s="24"/>
      <c r="I445" s="22" t="str">
        <f t="shared" si="7"/>
        <v/>
      </c>
      <c r="J445" s="20" t="b">
        <v>0</v>
      </c>
      <c r="K445" s="13" t="str">
        <f t="shared" si="2"/>
        <v/>
      </c>
    </row>
    <row r="446" ht="22.5" customHeight="1">
      <c r="B446" s="13">
        <f t="shared" si="3"/>
        <v>440</v>
      </c>
      <c r="C446" s="15" t="str">
        <f t="array" ref="C446">IFNA(_xlfn.XLOOKUP(B446,Table_Respons_Loket[Count],Table_Respons_Loket[Nomor Tiket]),"")</f>
        <v>K/29/241024/1</v>
      </c>
      <c r="D446" s="15" t="str">
        <f t="array" ref="D446">IFNA(_xlfn.XLOOKUP(B446,Table_Respons_Loket[Count],Table_Respons_Loket[Daftar Nomor Hak]),"")</f>
        <v>m. 2395/ CAMPANG JAYA-SEKARANG; M. 1702/ CAMPANG RAYA-DAHULU</v>
      </c>
      <c r="E446" s="17">
        <f t="array" ref="E446">IFNA(_xlfn.XLOOKUP(B446,Table_Respons_Loket[Count],Table_Respons_Loket[Time Stamp]),"")</f>
        <v>45589.49342</v>
      </c>
      <c r="F446" s="18" t="str">
        <f t="array" ref="F446">IFNA(_xlfn.XLOOKUP(B446,Table_Respons_Loket[Count],Table_Respons_Loket[Jenis Permohonan]),"")</f>
        <v>PLOTTING</v>
      </c>
      <c r="G446" s="24"/>
      <c r="H446" s="24"/>
      <c r="I446" s="22" t="str">
        <f t="shared" si="7"/>
        <v/>
      </c>
      <c r="J446" s="20" t="b">
        <v>0</v>
      </c>
      <c r="K446" s="13" t="str">
        <f t="shared" si="2"/>
        <v/>
      </c>
    </row>
    <row r="447" ht="22.5" customHeight="1">
      <c r="B447" s="13">
        <f t="shared" si="3"/>
        <v>441</v>
      </c>
      <c r="C447" s="15" t="str">
        <f t="array" ref="C447">IFNA(_xlfn.XLOOKUP(B447,Table_Respons_Loket[Count],Table_Respons_Loket[Nomor Tiket]),"")</f>
        <v>L/31/241024/1</v>
      </c>
      <c r="D447" s="15" t="str">
        <f t="array" ref="D447">IFNA(_xlfn.XLOOKUP(B447,Table_Respons_Loket[Count],Table_Respons_Loket[Daftar Nomor Hak]),"")</f>
        <v>B.311/PEMATANG WANGI;B.546/TJ SENANG-DAHULU</v>
      </c>
      <c r="E447" s="17">
        <f t="array" ref="E447">IFNA(_xlfn.XLOOKUP(B447,Table_Respons_Loket[Count],Table_Respons_Loket[Time Stamp]),"")</f>
        <v>45589.49361</v>
      </c>
      <c r="F447" s="18" t="str">
        <f t="array" ref="F447">IFNA(_xlfn.XLOOKUP(B447,Table_Respons_Loket[Count],Table_Respons_Loket[Jenis Permohonan]),"")</f>
        <v>PERUBAHAN HAK</v>
      </c>
      <c r="G447" s="12" t="s">
        <v>48</v>
      </c>
      <c r="H447" s="12" t="s">
        <v>52</v>
      </c>
      <c r="I447" s="22">
        <f t="shared" si="7"/>
        <v>45589.67492</v>
      </c>
      <c r="J447" s="20" t="b">
        <v>0</v>
      </c>
      <c r="K447" s="13" t="str">
        <f t="shared" si="2"/>
        <v/>
      </c>
    </row>
    <row r="448" ht="22.5" customHeight="1">
      <c r="B448" s="13">
        <f t="shared" si="3"/>
        <v>442</v>
      </c>
      <c r="C448" s="15" t="str">
        <f t="array" ref="C448">IFNA(_xlfn.XLOOKUP(B448,Table_Respons_Loket[Count],Table_Respons_Loket[Nomor Tiket]),"")</f>
        <v>K/30/241024/2</v>
      </c>
      <c r="D448" s="15" t="str">
        <f t="array" ref="D448">IFNA(_xlfn.XLOOKUP(B448,Table_Respons_Loket[Count],Table_Respons_Loket[Daftar Nomor Hak]),"")</f>
        <v>M. 5834/ Way kandis</v>
      </c>
      <c r="E448" s="17">
        <f t="array" ref="E448">IFNA(_xlfn.XLOOKUP(B448,Table_Respons_Loket[Count],Table_Respons_Loket[Time Stamp]),"")</f>
        <v>45589.49489</v>
      </c>
      <c r="F448" s="18" t="str">
        <f t="array" ref="F448">IFNA(_xlfn.XLOOKUP(B448,Table_Respons_Loket[Count],Table_Respons_Loket[Jenis Permohonan]),"")</f>
        <v>plotting</v>
      </c>
      <c r="G448" s="24"/>
      <c r="H448" s="24"/>
      <c r="I448" s="22" t="str">
        <f t="shared" si="7"/>
        <v/>
      </c>
      <c r="J448" s="20" t="b">
        <v>0</v>
      </c>
      <c r="K448" s="13" t="str">
        <f t="shared" si="2"/>
        <v/>
      </c>
    </row>
    <row r="449" ht="22.5" customHeight="1">
      <c r="B449" s="13">
        <f t="shared" si="3"/>
        <v>443</v>
      </c>
      <c r="C449" s="15" t="str">
        <f t="array" ref="C449">IFNA(_xlfn.XLOOKUP(B449,Table_Respons_Loket[Count],Table_Respons_Loket[Nomor Tiket]),"")</f>
        <v>K/32/241024/1</v>
      </c>
      <c r="D449" s="15" t="str">
        <f t="array" ref="D449">IFNA(_xlfn.XLOOKUP(B449,Table_Respons_Loket[Count],Table_Respons_Loket[Daftar Nomor Hak]),"")</f>
        <v>M. 1120/ Sukajawa</v>
      </c>
      <c r="E449" s="17">
        <f t="array" ref="E449">IFNA(_xlfn.XLOOKUP(B449,Table_Respons_Loket[Count],Table_Respons_Loket[Time Stamp]),"")</f>
        <v>45589.54754</v>
      </c>
      <c r="F449" s="18" t="str">
        <f t="array" ref="F449">IFNA(_xlfn.XLOOKUP(B449,Table_Respons_Loket[Count],Table_Respons_Loket[Jenis Permohonan]),"")</f>
        <v>roya</v>
      </c>
      <c r="G449" s="12" t="s">
        <v>48</v>
      </c>
      <c r="H449" s="12" t="s">
        <v>52</v>
      </c>
      <c r="I449" s="22">
        <f t="shared" si="7"/>
        <v>45589.67534</v>
      </c>
      <c r="J449" s="20" t="b">
        <v>0</v>
      </c>
      <c r="K449" s="13" t="str">
        <f t="shared" si="2"/>
        <v/>
      </c>
    </row>
    <row r="450" ht="22.5" customHeight="1">
      <c r="B450" s="13">
        <f t="shared" si="3"/>
        <v>444</v>
      </c>
      <c r="C450" s="15" t="str">
        <f t="array" ref="C450">IFNA(_xlfn.XLOOKUP(B450,Table_Respons_Loket[Count],Table_Respons_Loket[Nomor Tiket]),"")</f>
        <v>K/33/241024/2</v>
      </c>
      <c r="D450" s="15" t="str">
        <f t="array" ref="D450">IFNA(_xlfn.XLOOKUP(B450,Table_Respons_Loket[Count],Table_Respons_Loket[Daftar Nomor Hak]),"")</f>
        <v>M. 16698/ Sukabumi</v>
      </c>
      <c r="E450" s="17">
        <f t="array" ref="E450">IFNA(_xlfn.XLOOKUP(B450,Table_Respons_Loket[Count],Table_Respons_Loket[Time Stamp]),"")</f>
        <v>45589.56682</v>
      </c>
      <c r="F450" s="18" t="str">
        <f t="array" ref="F450">IFNA(_xlfn.XLOOKUP(B450,Table_Respons_Loket[Count],Table_Respons_Loket[Jenis Permohonan]),"")</f>
        <v>BN Jual Beli</v>
      </c>
      <c r="G450" s="12" t="s">
        <v>42</v>
      </c>
      <c r="H450" s="12" t="s">
        <v>52</v>
      </c>
      <c r="I450" s="22">
        <f t="shared" si="7"/>
        <v>45600.47383</v>
      </c>
      <c r="J450" s="20" t="b">
        <v>0</v>
      </c>
      <c r="K450" s="13" t="str">
        <f t="shared" si="2"/>
        <v/>
      </c>
    </row>
    <row r="451" ht="22.5" customHeight="1">
      <c r="B451" s="13">
        <f t="shared" si="3"/>
        <v>445</v>
      </c>
      <c r="C451" s="15" t="str">
        <f t="array" ref="C451">IFNA(_xlfn.XLOOKUP(B451,Table_Respons_Loket[Count],Table_Respons_Loket[Nomor Tiket]),"")</f>
        <v>K/34/241024/1</v>
      </c>
      <c r="D451" s="15" t="str">
        <f t="array" ref="D451">IFNA(_xlfn.XLOOKUP(B451,Table_Respons_Loket[Count],Table_Respons_Loket[Daftar Nomor Hak]),"")</f>
        <v>M. 709/ Pahoman</v>
      </c>
      <c r="E451" s="17">
        <f t="array" ref="E451">IFNA(_xlfn.XLOOKUP(B451,Table_Respons_Loket[Count],Table_Respons_Loket[Time Stamp]),"")</f>
        <v>45589.57442</v>
      </c>
      <c r="F451" s="18" t="str">
        <f t="array" ref="F451">IFNA(_xlfn.XLOOKUP(B451,Table_Respons_Loket[Count],Table_Respons_Loket[Jenis Permohonan]),"")</f>
        <v>Ploting</v>
      </c>
      <c r="G451" s="24"/>
      <c r="H451" s="24"/>
      <c r="I451" s="22" t="str">
        <f t="shared" si="7"/>
        <v/>
      </c>
      <c r="J451" s="20" t="b">
        <v>0</v>
      </c>
      <c r="K451" s="13" t="str">
        <f t="shared" si="2"/>
        <v/>
      </c>
    </row>
    <row r="452" ht="22.5" customHeight="1">
      <c r="B452" s="13">
        <f t="shared" si="3"/>
        <v>446</v>
      </c>
      <c r="C452" s="15" t="str">
        <f t="array" ref="C452">IFNA(_xlfn.XLOOKUP(B452,Table_Respons_Loket[Count],Table_Respons_Loket[Nomor Tiket]),"")</f>
        <v>K/38/241024/1</v>
      </c>
      <c r="D452" s="15" t="str">
        <f t="array" ref="D452">IFNA(_xlfn.XLOOKUP(B452,Table_Respons_Loket[Count],Table_Respons_Loket[Daftar Nomor Hak]),"")</f>
        <v>M.5925/TANJUNG SENENG</v>
      </c>
      <c r="E452" s="17">
        <f t="array" ref="E452">IFNA(_xlfn.XLOOKUP(B452,Table_Respons_Loket[Count],Table_Respons_Loket[Time Stamp]),"")</f>
        <v>45589.5801</v>
      </c>
      <c r="F452" s="18" t="str">
        <f t="array" ref="F452">IFNA(_xlfn.XLOOKUP(B452,Table_Respons_Loket[Count],Table_Respons_Loket[Jenis Permohonan]),"")</f>
        <v>PENGECEKAN</v>
      </c>
      <c r="G452" s="24"/>
      <c r="H452" s="24"/>
      <c r="I452" s="22" t="str">
        <f t="shared" si="7"/>
        <v/>
      </c>
      <c r="J452" s="20" t="b">
        <v>0</v>
      </c>
      <c r="K452" s="13" t="str">
        <f t="shared" si="2"/>
        <v/>
      </c>
    </row>
    <row r="453" ht="22.5" customHeight="1">
      <c r="B453" s="13">
        <f t="shared" si="3"/>
        <v>447</v>
      </c>
      <c r="C453" s="15" t="str">
        <f t="array" ref="C453">IFNA(_xlfn.XLOOKUP(B453,Table_Respons_Loket[Count],Table_Respons_Loket[Nomor Tiket]),"")</f>
        <v>K/36/241024/1</v>
      </c>
      <c r="D453" s="15" t="str">
        <f t="array" ref="D453">IFNA(_xlfn.XLOOKUP(B453,Table_Respons_Loket[Count],Table_Respons_Loket[Daftar Nomor Hak]),"")</f>
        <v>Tanah mentah</v>
      </c>
      <c r="E453" s="17">
        <f t="array" ref="E453">IFNA(_xlfn.XLOOKUP(B453,Table_Respons_Loket[Count],Table_Respons_Loket[Time Stamp]),"")</f>
        <v>45589.58173</v>
      </c>
      <c r="F453" s="18" t="str">
        <f t="array" ref="F453">IFNA(_xlfn.XLOOKUP(B453,Table_Respons_Loket[Count],Table_Respons_Loket[Jenis Permohonan]),"")</f>
        <v>Pengukuran Pertama Kali</v>
      </c>
      <c r="G453" s="24"/>
      <c r="H453" s="24"/>
      <c r="I453" s="22" t="str">
        <f t="shared" si="7"/>
        <v/>
      </c>
      <c r="J453" s="20" t="b">
        <v>0</v>
      </c>
      <c r="K453" s="13" t="str">
        <f t="shared" si="2"/>
        <v/>
      </c>
    </row>
    <row r="454" ht="22.5" customHeight="1">
      <c r="B454" s="13">
        <f t="shared" si="3"/>
        <v>448</v>
      </c>
      <c r="C454" s="15" t="str">
        <f t="array" ref="C454">IFNA(_xlfn.XLOOKUP(B454,Table_Respons_Loket[Count],Table_Respons_Loket[Nomor Tiket]),"")</f>
        <v>K/37/241024/2</v>
      </c>
      <c r="D454" s="15" t="str">
        <f t="array" ref="D454">IFNA(_xlfn.XLOOKUP(B454,Table_Respons_Loket[Count],Table_Respons_Loket[Daftar Nomor Hak]),"")</f>
        <v>Tanah Mentah</v>
      </c>
      <c r="E454" s="17">
        <f t="array" ref="E454">IFNA(_xlfn.XLOOKUP(B454,Table_Respons_Loket[Count],Table_Respons_Loket[Time Stamp]),"")</f>
        <v>45589.58341</v>
      </c>
      <c r="F454" s="18" t="str">
        <f t="array" ref="F454">IFNA(_xlfn.XLOOKUP(B454,Table_Respons_Loket[Count],Table_Respons_Loket[Jenis Permohonan]),"")</f>
        <v>Pengukuran Pertama Kali</v>
      </c>
      <c r="G454" s="24"/>
      <c r="H454" s="24"/>
      <c r="I454" s="22" t="str">
        <f t="shared" si="7"/>
        <v/>
      </c>
      <c r="J454" s="20" t="b">
        <v>0</v>
      </c>
      <c r="K454" s="13" t="str">
        <f t="shared" si="2"/>
        <v/>
      </c>
    </row>
    <row r="455" ht="22.5" customHeight="1">
      <c r="B455" s="13">
        <f t="shared" si="3"/>
        <v>449</v>
      </c>
      <c r="C455" s="15" t="str">
        <f t="array" ref="C455">IFNA(_xlfn.XLOOKUP(B455,Table_Respons_Loket[Count],Table_Respons_Loket[Nomor Tiket]),"")</f>
        <v>K/40/241024/1</v>
      </c>
      <c r="D455" s="15" t="str">
        <f t="array" ref="D455">IFNA(_xlfn.XLOOKUP(B455,Table_Respons_Loket[Count],Table_Respons_Loket[Daftar Nomor Hak]),"")</f>
        <v>M.852/KEMILING RAYA</v>
      </c>
      <c r="E455" s="17">
        <f t="array" ref="E455">IFNA(_xlfn.XLOOKUP(B455,Table_Respons_Loket[Count],Table_Respons_Loket[Time Stamp]),"")</f>
        <v>45589.59182</v>
      </c>
      <c r="F455" s="18" t="str">
        <f t="array" ref="F455">IFNA(_xlfn.XLOOKUP(B455,Table_Respons_Loket[Count],Table_Respons_Loket[Jenis Permohonan]),"")</f>
        <v>HAPUS BPHTB</v>
      </c>
      <c r="G455" s="24"/>
      <c r="H455" s="24"/>
      <c r="I455" s="22" t="str">
        <f t="shared" si="7"/>
        <v/>
      </c>
      <c r="J455" s="20" t="b">
        <v>0</v>
      </c>
      <c r="K455" s="13" t="str">
        <f t="shared" si="2"/>
        <v/>
      </c>
    </row>
    <row r="456" ht="22.5" customHeight="1">
      <c r="B456" s="13">
        <f t="shared" si="3"/>
        <v>450</v>
      </c>
      <c r="C456" s="15" t="str">
        <f t="array" ref="C456">IFNA(_xlfn.XLOOKUP(B456,Table_Respons_Loket[Count],Table_Respons_Loket[Nomor Tiket]),"")</f>
        <v>K/39/241024/1</v>
      </c>
      <c r="D456" s="15" t="str">
        <f t="array" ref="D456">IFNA(_xlfn.XLOOKUP(B456,Table_Respons_Loket[Count],Table_Respons_Loket[Daftar Nomor Hak]),"")</f>
        <v>M. 2583/ Rajabasa Jaya</v>
      </c>
      <c r="E456" s="17">
        <f t="array" ref="E456">IFNA(_xlfn.XLOOKUP(B456,Table_Respons_Loket[Count],Table_Respons_Loket[Time Stamp]),"")</f>
        <v>45589.5958</v>
      </c>
      <c r="F456" s="18" t="str">
        <f t="array" ref="F456">IFNA(_xlfn.XLOOKUP(B456,Table_Respons_Loket[Count],Table_Respons_Loket[Jenis Permohonan]),"")</f>
        <v>BN Jual Beli</v>
      </c>
      <c r="G456" s="12" t="s">
        <v>50</v>
      </c>
      <c r="H456" s="12" t="s">
        <v>52</v>
      </c>
      <c r="I456" s="22">
        <f t="shared" si="7"/>
        <v>45589.68001</v>
      </c>
      <c r="J456" s="20" t="b">
        <v>0</v>
      </c>
      <c r="K456" s="13" t="str">
        <f t="shared" si="2"/>
        <v/>
      </c>
    </row>
    <row r="457" ht="22.5" customHeight="1">
      <c r="B457" s="13">
        <f t="shared" si="3"/>
        <v>451</v>
      </c>
      <c r="C457" s="15" t="str">
        <f t="array" ref="C457">IFNA(_xlfn.XLOOKUP(B457,Table_Respons_Loket[Count],Table_Respons_Loket[Nomor Tiket]),"")</f>
        <v>K/41/241024/1</v>
      </c>
      <c r="D457" s="15" t="str">
        <f t="array" ref="D457">IFNA(_xlfn.XLOOKUP(B457,Table_Respons_Loket[Count],Table_Respons_Loket[Daftar Nomor Hak]),"")</f>
        <v>HMASRS/64/I/MASRS/Tanjung karang</v>
      </c>
      <c r="E457" s="17">
        <f t="array" ref="E457">IFNA(_xlfn.XLOOKUP(B457,Table_Respons_Loket[Count],Table_Respons_Loket[Time Stamp]),"")</f>
        <v>45589.60344</v>
      </c>
      <c r="F457" s="18" t="str">
        <f t="array" ref="F457">IFNA(_xlfn.XLOOKUP(B457,Table_Respons_Loket[Count],Table_Respons_Loket[Jenis Permohonan]),"")</f>
        <v>BN Waris</v>
      </c>
      <c r="G457" s="12" t="s">
        <v>50</v>
      </c>
      <c r="H457" s="12" t="s">
        <v>52</v>
      </c>
      <c r="I457" s="22">
        <f t="shared" si="7"/>
        <v>45589.68308</v>
      </c>
      <c r="J457" s="20" t="b">
        <v>0</v>
      </c>
      <c r="K457" s="13" t="str">
        <f t="shared" si="2"/>
        <v/>
      </c>
    </row>
    <row r="458" ht="22.5" customHeight="1">
      <c r="B458" s="13">
        <f t="shared" si="3"/>
        <v>452</v>
      </c>
      <c r="C458" s="15" t="str">
        <f t="array" ref="C458">IFNA(_xlfn.XLOOKUP(B458,Table_Respons_Loket[Count],Table_Respons_Loket[Nomor Tiket]),"")</f>
        <v>K/42/241024/2</v>
      </c>
      <c r="D458" s="15" t="str">
        <f t="array" ref="D458">IFNA(_xlfn.XLOOKUP(B458,Table_Respons_Loket[Count],Table_Respons_Loket[Daftar Nomor Hak]),"")</f>
        <v>HMASRS/ 178/ I/MASRS/Tanjungkarang</v>
      </c>
      <c r="E458" s="17">
        <f t="array" ref="E458">IFNA(_xlfn.XLOOKUP(B458,Table_Respons_Loket[Count],Table_Respons_Loket[Time Stamp]),"")</f>
        <v>45589.60622</v>
      </c>
      <c r="F458" s="18" t="str">
        <f t="array" ref="F458">IFNA(_xlfn.XLOOKUP(B458,Table_Respons_Loket[Count],Table_Respons_Loket[Jenis Permohonan]),"")</f>
        <v>BN Waris</v>
      </c>
      <c r="G458" s="12" t="s">
        <v>50</v>
      </c>
      <c r="H458" s="12" t="s">
        <v>52</v>
      </c>
      <c r="I458" s="22">
        <f t="shared" si="7"/>
        <v>45589.68312</v>
      </c>
      <c r="J458" s="20" t="b">
        <v>0</v>
      </c>
      <c r="K458" s="13" t="str">
        <f t="shared" si="2"/>
        <v/>
      </c>
    </row>
    <row r="459" ht="22.5" customHeight="1">
      <c r="B459" s="13">
        <f t="shared" si="3"/>
        <v>453</v>
      </c>
      <c r="C459" s="15" t="str">
        <f t="array" ref="C459">IFNA(_xlfn.XLOOKUP(B459,Table_Respons_Loket[Count],Table_Respons_Loket[Nomor Tiket]),"")</f>
        <v>K/43/241024/1</v>
      </c>
      <c r="D459" s="15" t="str">
        <f t="array" ref="D459">IFNA(_xlfn.XLOOKUP(B459,Table_Respons_Loket[Count],Table_Respons_Loket[Daftar Nomor Hak]),"")</f>
        <v>M.2065/GUNUNG TERANG</v>
      </c>
      <c r="E459" s="17">
        <f t="array" ref="E459">IFNA(_xlfn.XLOOKUP(B459,Table_Respons_Loket[Count],Table_Respons_Loket[Time Stamp]),"")</f>
        <v>45589.6099</v>
      </c>
      <c r="F459" s="18" t="str">
        <f t="array" ref="F459">IFNA(_xlfn.XLOOKUP(B459,Table_Respons_Loket[Count],Table_Respons_Loket[Jenis Permohonan]),"")</f>
        <v>ROYA</v>
      </c>
      <c r="G459" s="12" t="s">
        <v>50</v>
      </c>
      <c r="H459" s="12" t="s">
        <v>52</v>
      </c>
      <c r="I459" s="22">
        <f t="shared" si="7"/>
        <v>45589.68051</v>
      </c>
      <c r="J459" s="20" t="b">
        <v>0</v>
      </c>
      <c r="K459" s="13" t="str">
        <f t="shared" si="2"/>
        <v/>
      </c>
    </row>
    <row r="460" ht="22.5" customHeight="1">
      <c r="B460" s="13">
        <f t="shared" si="3"/>
        <v>454</v>
      </c>
      <c r="C460" s="15" t="str">
        <f t="array" ref="C460">IFNA(_xlfn.XLOOKUP(B460,Table_Respons_Loket[Count],Table_Respons_Loket[Nomor Tiket]),"")</f>
        <v>K/44/241024/1</v>
      </c>
      <c r="D460" s="15" t="str">
        <f t="array" ref="D460">IFNA(_xlfn.XLOOKUP(B460,Table_Respons_Loket[Count],Table_Respons_Loket[Daftar Nomor Hak]),"")</f>
        <v>M.6404/WAY KANDIS </v>
      </c>
      <c r="E460" s="17">
        <f t="array" ref="E460">IFNA(_xlfn.XLOOKUP(B460,Table_Respons_Loket[Count],Table_Respons_Loket[Time Stamp]),"")</f>
        <v>45589.61074</v>
      </c>
      <c r="F460" s="18" t="str">
        <f t="array" ref="F460">IFNA(_xlfn.XLOOKUP(B460,Table_Respons_Loket[Count],Table_Respons_Loket[Jenis Permohonan]),"")</f>
        <v>BN JUAL BELI</v>
      </c>
      <c r="G460" s="12" t="s">
        <v>50</v>
      </c>
      <c r="H460" s="12" t="s">
        <v>52</v>
      </c>
      <c r="I460" s="22">
        <f t="shared" si="7"/>
        <v>45589.68078</v>
      </c>
      <c r="J460" s="20" t="b">
        <v>0</v>
      </c>
      <c r="K460" s="13" t="str">
        <f t="shared" si="2"/>
        <v/>
      </c>
    </row>
    <row r="461" ht="22.5" customHeight="1">
      <c r="B461" s="13">
        <f t="shared" si="3"/>
        <v>455</v>
      </c>
      <c r="C461" s="15" t="str">
        <f t="array" ref="C461">IFNA(_xlfn.XLOOKUP(B461,Table_Respons_Loket[Count],Table_Respons_Loket[Nomor Tiket]),"")</f>
        <v>K/45/241024/2</v>
      </c>
      <c r="D461" s="15" t="str">
        <f t="array" ref="D461">IFNA(_xlfn.XLOOKUP(B461,Table_Respons_Loket[Count],Table_Respons_Loket[Daftar Nomor Hak]),"")</f>
        <v>M. 6618/TANJUNG SENENG</v>
      </c>
      <c r="E461" s="17">
        <f t="array" ref="E461">IFNA(_xlfn.XLOOKUP(B461,Table_Respons_Loket[Count],Table_Respons_Loket[Time Stamp]),"")</f>
        <v>45589.61138</v>
      </c>
      <c r="F461" s="18" t="str">
        <f t="array" ref="F461">IFNA(_xlfn.XLOOKUP(B461,Table_Respons_Loket[Count],Table_Respons_Loket[Jenis Permohonan]),"")</f>
        <v>BN JUAL BELI</v>
      </c>
      <c r="G461" s="12" t="s">
        <v>48</v>
      </c>
      <c r="H461" s="12" t="s">
        <v>52</v>
      </c>
      <c r="I461" s="22">
        <f t="shared" si="7"/>
        <v>45589.68089</v>
      </c>
      <c r="J461" s="20" t="b">
        <v>0</v>
      </c>
      <c r="K461" s="13" t="str">
        <f t="shared" si="2"/>
        <v/>
      </c>
    </row>
    <row r="462" ht="22.5" customHeight="1">
      <c r="B462" s="13">
        <f t="shared" si="3"/>
        <v>456</v>
      </c>
      <c r="C462" s="15" t="str">
        <f t="array" ref="C462">IFNA(_xlfn.XLOOKUP(B462,Table_Respons_Loket[Count],Table_Respons_Loket[Nomor Tiket]),"")</f>
        <v>K/46/241024/1</v>
      </c>
      <c r="D462" s="15" t="str">
        <f t="array" ref="D462">IFNA(_xlfn.XLOOKUP(B462,Table_Respons_Loket[Count],Table_Respons_Loket[Daftar Nomor Hak]),"")</f>
        <v>M. 105/ Penengahan</v>
      </c>
      <c r="E462" s="17">
        <f t="array" ref="E462">IFNA(_xlfn.XLOOKUP(B462,Table_Respons_Loket[Count],Table_Respons_Loket[Time Stamp]),"")</f>
        <v>45589.61271</v>
      </c>
      <c r="F462" s="18" t="str">
        <f t="array" ref="F462">IFNA(_xlfn.XLOOKUP(B462,Table_Respons_Loket[Count],Table_Respons_Loket[Jenis Permohonan]),"")</f>
        <v>Plotting</v>
      </c>
      <c r="G462" s="24"/>
      <c r="H462" s="24"/>
      <c r="I462" s="22" t="str">
        <f t="shared" si="7"/>
        <v/>
      </c>
      <c r="J462" s="20" t="b">
        <v>0</v>
      </c>
      <c r="K462" s="13" t="str">
        <f t="shared" si="2"/>
        <v/>
      </c>
    </row>
    <row r="463" ht="22.5" customHeight="1">
      <c r="B463" s="13">
        <f t="shared" si="3"/>
        <v>457</v>
      </c>
      <c r="C463" s="15" t="str">
        <f t="array" ref="C463">IFNA(_xlfn.XLOOKUP(B463,Table_Respons_Loket[Count],Table_Respons_Loket[Nomor Tiket]),"")</f>
        <v>K/47/241024/1</v>
      </c>
      <c r="D463" s="15" t="str">
        <f t="array" ref="D463">IFNA(_xlfn.XLOOKUP(B463,Table_Respons_Loket[Count],Table_Respons_Loket[Daftar Nomor Hak]),"")</f>
        <v>M. 308/ Kupang Kota</v>
      </c>
      <c r="E463" s="17">
        <f t="array" ref="E463">IFNA(_xlfn.XLOOKUP(B463,Table_Respons_Loket[Count],Table_Respons_Loket[Time Stamp]),"")</f>
        <v>45589.62076</v>
      </c>
      <c r="F463" s="18" t="str">
        <f t="array" ref="F463">IFNA(_xlfn.XLOOKUP(B463,Table_Respons_Loket[Count],Table_Respons_Loket[Jenis Permohonan]),"")</f>
        <v>BN Jual Beli</v>
      </c>
      <c r="G463" s="12" t="s">
        <v>48</v>
      </c>
      <c r="H463" s="12" t="s">
        <v>52</v>
      </c>
      <c r="I463" s="22">
        <f t="shared" si="7"/>
        <v>45589.68114</v>
      </c>
      <c r="J463" s="20" t="b">
        <v>0</v>
      </c>
      <c r="K463" s="13" t="str">
        <f t="shared" si="2"/>
        <v/>
      </c>
    </row>
    <row r="464" ht="22.5" customHeight="1">
      <c r="B464" s="13">
        <f t="shared" si="3"/>
        <v>458</v>
      </c>
      <c r="C464" s="15" t="str">
        <f t="array" ref="C464">IFNA(_xlfn.XLOOKUP(B464,Table_Respons_Loket[Count],Table_Respons_Loket[Nomor Tiket]),"")</f>
        <v>K/48/241024/1</v>
      </c>
      <c r="D464" s="15" t="str">
        <f t="array" ref="D464">IFNA(_xlfn.XLOOKUP(B464,Table_Respons_Loket[Count],Table_Respons_Loket[Daftar Nomor Hak]),"")</f>
        <v>M. 1348/ Kaliawi</v>
      </c>
      <c r="E464" s="17">
        <f t="array" ref="E464">IFNA(_xlfn.XLOOKUP(B464,Table_Respons_Loket[Count],Table_Respons_Loket[Time Stamp]),"")</f>
        <v>45589.62345</v>
      </c>
      <c r="F464" s="18" t="str">
        <f t="array" ref="F464">IFNA(_xlfn.XLOOKUP(B464,Table_Respons_Loket[Count],Table_Respons_Loket[Jenis Permohonan]),"")</f>
        <v>Cekplot S. Hilang</v>
      </c>
      <c r="G464" s="24"/>
      <c r="H464" s="24"/>
      <c r="I464" s="22" t="str">
        <f t="shared" si="7"/>
        <v/>
      </c>
      <c r="J464" s="20" t="b">
        <v>0</v>
      </c>
      <c r="K464" s="13" t="str">
        <f t="shared" si="2"/>
        <v/>
      </c>
    </row>
    <row r="465" ht="22.5" customHeight="1">
      <c r="B465" s="13">
        <f t="shared" si="3"/>
        <v>459</v>
      </c>
      <c r="C465" s="15" t="str">
        <f t="array" ref="C465">IFNA(_xlfn.XLOOKUP(B465,Table_Respons_Loket[Count],Table_Respons_Loket[Nomor Tiket]),"")</f>
        <v>K/49/241024/2</v>
      </c>
      <c r="D465" s="15" t="str">
        <f t="array" ref="D465">IFNA(_xlfn.XLOOKUP(B465,Table_Respons_Loket[Count],Table_Respons_Loket[Daftar Nomor Hak]),"")</f>
        <v>M. 16581/ Sukabumi</v>
      </c>
      <c r="E465" s="17">
        <f t="array" ref="E465">IFNA(_xlfn.XLOOKUP(B465,Table_Respons_Loket[Count],Table_Respons_Loket[Time Stamp]),"")</f>
        <v>45589.62392</v>
      </c>
      <c r="F465" s="18" t="str">
        <f t="array" ref="F465">IFNA(_xlfn.XLOOKUP(B465,Table_Respons_Loket[Count],Table_Respons_Loket[Jenis Permohonan]),"")</f>
        <v>BN Jual Beli</v>
      </c>
      <c r="G465" s="12" t="s">
        <v>48</v>
      </c>
      <c r="H465" s="12" t="s">
        <v>52</v>
      </c>
      <c r="I465" s="22">
        <f t="shared" si="7"/>
        <v>45589.6813</v>
      </c>
      <c r="J465" s="20" t="b">
        <v>0</v>
      </c>
      <c r="K465" s="13" t="str">
        <f t="shared" si="2"/>
        <v/>
      </c>
    </row>
    <row r="466" ht="22.5" customHeight="1">
      <c r="B466" s="13">
        <f t="shared" si="3"/>
        <v>460</v>
      </c>
      <c r="C466" s="15" t="str">
        <f t="array" ref="C466">IFNA(_xlfn.XLOOKUP(B466,Table_Respons_Loket[Count],Table_Respons_Loket[Nomor Tiket]),"")</f>
        <v>K/50/241024/3</v>
      </c>
      <c r="D466" s="15" t="str">
        <f t="array" ref="D466">IFNA(_xlfn.XLOOKUP(B466,Table_Respons_Loket[Count],Table_Respons_Loket[Daftar Nomor Hak]),"")</f>
        <v>Nibel 923/ Rajabasa Raya</v>
      </c>
      <c r="E466" s="17">
        <f t="array" ref="E466">IFNA(_xlfn.XLOOKUP(B466,Table_Respons_Loket[Count],Table_Respons_Loket[Time Stamp]),"")</f>
        <v>45589.62624</v>
      </c>
      <c r="F466" s="18" t="str">
        <f t="array" ref="F466">IFNA(_xlfn.XLOOKUP(B466,Table_Respons_Loket[Count],Table_Respons_Loket[Jenis Permohonan]),"")</f>
        <v>Bn Jual Beli</v>
      </c>
      <c r="G466" s="24"/>
      <c r="H466" s="24"/>
      <c r="I466" s="22" t="str">
        <f t="shared" si="7"/>
        <v/>
      </c>
      <c r="J466" s="20" t="b">
        <v>0</v>
      </c>
      <c r="K466" s="13" t="str">
        <f t="shared" si="2"/>
        <v/>
      </c>
    </row>
    <row r="467" ht="22.5" customHeight="1">
      <c r="B467" s="13">
        <f t="shared" si="3"/>
        <v>461</v>
      </c>
      <c r="C467" s="15" t="str">
        <f t="array" ref="C467">IFNA(_xlfn.XLOOKUP(B467,Table_Respons_Loket[Count],Table_Respons_Loket[Nomor Tiket]),"")</f>
        <v>K/51/241024/4</v>
      </c>
      <c r="D467" s="15" t="str">
        <f t="array" ref="D467">IFNA(_xlfn.XLOOKUP(B467,Table_Respons_Loket[Count],Table_Respons_Loket[Daftar Nomor Hak]),"")</f>
        <v>Nibel 1674/ Sumur Putri</v>
      </c>
      <c r="E467" s="17">
        <f t="array" ref="E467">IFNA(_xlfn.XLOOKUP(B467,Table_Respons_Loket[Count],Table_Respons_Loket[Time Stamp]),"")</f>
        <v>45589.62892</v>
      </c>
      <c r="F467" s="18" t="str">
        <f t="array" ref="F467">IFNA(_xlfn.XLOOKUP(B467,Table_Respons_Loket[Count],Table_Respons_Loket[Jenis Permohonan]),"")</f>
        <v>Perubahan Hak</v>
      </c>
      <c r="G467" s="24"/>
      <c r="H467" s="24"/>
      <c r="I467" s="22" t="str">
        <f t="shared" si="7"/>
        <v/>
      </c>
      <c r="J467" s="20" t="b">
        <v>0</v>
      </c>
      <c r="K467" s="13" t="str">
        <f t="shared" si="2"/>
        <v/>
      </c>
    </row>
    <row r="468" ht="22.5" customHeight="1">
      <c r="B468" s="13">
        <f t="shared" si="3"/>
        <v>462</v>
      </c>
      <c r="C468" s="15" t="str">
        <f t="array" ref="C468">IFNA(_xlfn.XLOOKUP(B468,Table_Respons_Loket[Count],Table_Respons_Loket[Nomor Tiket]),"")</f>
        <v>K/52/241024/1</v>
      </c>
      <c r="D468" s="15" t="str">
        <f t="array" ref="D468">IFNA(_xlfn.XLOOKUP(B468,Table_Respons_Loket[Count],Table_Respons_Loket[Daftar Nomor Hak]),"")</f>
        <v>M.221/BILABONG JAYA</v>
      </c>
      <c r="E468" s="17">
        <f t="array" ref="E468">IFNA(_xlfn.XLOOKUP(B468,Table_Respons_Loket[Count],Table_Respons_Loket[Time Stamp]),"")</f>
        <v>45589.62894</v>
      </c>
      <c r="F468" s="18" t="str">
        <f t="array" ref="F468">IFNA(_xlfn.XLOOKUP(B468,Table_Respons_Loket[Count],Table_Respons_Loket[Jenis Permohonan]),"")</f>
        <v>BN JUAL BELI</v>
      </c>
      <c r="G468" s="12" t="s">
        <v>42</v>
      </c>
      <c r="H468" s="12" t="s">
        <v>52</v>
      </c>
      <c r="I468" s="22">
        <f t="shared" si="7"/>
        <v>45603.59254</v>
      </c>
      <c r="J468" s="20" t="b">
        <v>0</v>
      </c>
      <c r="K468" s="13" t="str">
        <f t="shared" si="2"/>
        <v/>
      </c>
    </row>
    <row r="469" ht="22.5" customHeight="1">
      <c r="B469" s="13">
        <f t="shared" si="3"/>
        <v>463</v>
      </c>
      <c r="C469" s="15" t="str">
        <f t="array" ref="C469">IFNA(_xlfn.XLOOKUP(B469,Table_Respons_Loket[Count],Table_Respons_Loket[Nomor Tiket]),"")</f>
        <v>K/53/241024/1</v>
      </c>
      <c r="D469" s="15" t="str">
        <f t="array" ref="D469">IFNA(_xlfn.XLOOKUP(B469,Table_Respons_Loket[Count],Table_Respons_Loket[Daftar Nomor Hak]),"")</f>
        <v>M. 561/ Tanjung Senang</v>
      </c>
      <c r="E469" s="17">
        <f t="array" ref="E469">IFNA(_xlfn.XLOOKUP(B469,Table_Respons_Loket[Count],Table_Respons_Loket[Time Stamp]),"")</f>
        <v>45589.63272</v>
      </c>
      <c r="F469" s="18" t="str">
        <f t="array" ref="F469">IFNA(_xlfn.XLOOKUP(B469,Table_Respons_Loket[Count],Table_Respons_Loket[Jenis Permohonan]),"")</f>
        <v>BN Jual Beli</v>
      </c>
      <c r="G469" s="12" t="s">
        <v>48</v>
      </c>
      <c r="H469" s="12" t="s">
        <v>52</v>
      </c>
      <c r="I469" s="22">
        <f t="shared" si="7"/>
        <v>45589.68148</v>
      </c>
      <c r="J469" s="20" t="b">
        <v>0</v>
      </c>
      <c r="K469" s="13" t="str">
        <f t="shared" si="2"/>
        <v/>
      </c>
    </row>
    <row r="470" ht="22.5" customHeight="1">
      <c r="B470" s="13">
        <f t="shared" si="3"/>
        <v>464</v>
      </c>
      <c r="C470" s="15" t="str">
        <f t="array" ref="C470">IFNA(_xlfn.XLOOKUP(B470,Table_Respons_Loket[Count],Table_Respons_Loket[Nomor Tiket]),"")</f>
        <v>K/54/241024/2</v>
      </c>
      <c r="D470" s="15" t="str">
        <f t="array" ref="D470">IFNA(_xlfn.XLOOKUP(B470,Table_Respons_Loket[Count],Table_Respons_Loket[Daftar Nomor Hak]),"")</f>
        <v>M. 4838/ Tanjung Senang</v>
      </c>
      <c r="E470" s="17">
        <f t="array" ref="E470">IFNA(_xlfn.XLOOKUP(B470,Table_Respons_Loket[Count],Table_Respons_Loket[Time Stamp]),"")</f>
        <v>45589.6334</v>
      </c>
      <c r="F470" s="18" t="str">
        <f t="array" ref="F470">IFNA(_xlfn.XLOOKUP(B470,Table_Respons_Loket[Count],Table_Respons_Loket[Jenis Permohonan]),"")</f>
        <v>BN Jual Beli</v>
      </c>
      <c r="G470" s="12" t="s">
        <v>86</v>
      </c>
      <c r="H470" s="12" t="s">
        <v>87</v>
      </c>
      <c r="I470" s="22">
        <f t="shared" si="7"/>
        <v>45614.66166</v>
      </c>
      <c r="J470" s="20" t="b">
        <v>0</v>
      </c>
      <c r="K470" s="13" t="str">
        <f t="shared" si="2"/>
        <v/>
      </c>
    </row>
    <row r="471" ht="22.5" customHeight="1">
      <c r="B471" s="13">
        <f t="shared" si="3"/>
        <v>465</v>
      </c>
      <c r="C471" s="15" t="str">
        <f t="array" ref="C471">IFNA(_xlfn.XLOOKUP(B471,Table_Respons_Loket[Count],Table_Respons_Loket[Nomor Tiket]),"")</f>
        <v>K/1/251024/1</v>
      </c>
      <c r="D471" s="15" t="str">
        <f t="array" ref="D471">IFNA(_xlfn.XLOOKUP(B471,Table_Respons_Loket[Count],Table_Respons_Loket[Daftar Nomor Hak]),"")</f>
        <v>M. 2799/ Sumberrejo</v>
      </c>
      <c r="E471" s="17">
        <f t="array" ref="E471">IFNA(_xlfn.XLOOKUP(B471,Table_Respons_Loket[Count],Table_Respons_Loket[Time Stamp]),"")</f>
        <v>45590.38118</v>
      </c>
      <c r="F471" s="18" t="str">
        <f t="array" ref="F471">IFNA(_xlfn.XLOOKUP(B471,Table_Respons_Loket[Count],Table_Respons_Loket[Jenis Permohonan]),"")</f>
        <v>PTPGT Pemecahan</v>
      </c>
      <c r="G471" s="24"/>
      <c r="H471" s="12"/>
      <c r="I471" s="22" t="str">
        <f t="shared" si="7"/>
        <v/>
      </c>
      <c r="J471" s="20" t="b">
        <v>0</v>
      </c>
      <c r="K471" s="13" t="str">
        <f t="shared" si="2"/>
        <v/>
      </c>
    </row>
    <row r="472" ht="22.5" customHeight="1">
      <c r="B472" s="13">
        <f t="shared" si="3"/>
        <v>466</v>
      </c>
      <c r="C472" s="15" t="str">
        <f t="array" ref="C472">IFNA(_xlfn.XLOOKUP(B472,Table_Respons_Loket[Count],Table_Respons_Loket[Nomor Tiket]),"")</f>
        <v>K/2/251024/2</v>
      </c>
      <c r="D472" s="15" t="str">
        <f t="array" ref="D472">IFNA(_xlfn.XLOOKUP(B472,Table_Respons_Loket[Count],Table_Respons_Loket[Daftar Nomor Hak]),"")</f>
        <v>M. 2798/ Sumberrejo</v>
      </c>
      <c r="E472" s="17">
        <f t="array" ref="E472">IFNA(_xlfn.XLOOKUP(B472,Table_Respons_Loket[Count],Table_Respons_Loket[Time Stamp]),"")</f>
        <v>45590.3835</v>
      </c>
      <c r="F472" s="18" t="str">
        <f t="array" ref="F472">IFNA(_xlfn.XLOOKUP(B472,Table_Respons_Loket[Count],Table_Respons_Loket[Jenis Permohonan]),"")</f>
        <v>PTPGT Pemecahan</v>
      </c>
      <c r="G472" s="24"/>
      <c r="H472" s="24"/>
      <c r="I472" s="22" t="str">
        <f t="shared" si="7"/>
        <v/>
      </c>
      <c r="J472" s="20" t="b">
        <v>0</v>
      </c>
      <c r="K472" s="13" t="str">
        <f t="shared" si="2"/>
        <v/>
      </c>
    </row>
    <row r="473" ht="22.5" customHeight="1">
      <c r="B473" s="13">
        <f t="shared" si="3"/>
        <v>467</v>
      </c>
      <c r="C473" s="15" t="str">
        <f t="array" ref="C473">IFNA(_xlfn.XLOOKUP(B473,Table_Respons_Loket[Count],Table_Respons_Loket[Nomor Tiket]),"")</f>
        <v>K/3/251024/1</v>
      </c>
      <c r="D473" s="15" t="str">
        <f t="array" ref="D473">IFNA(_xlfn.XLOOKUP(B473,Table_Respons_Loket[Count],Table_Respons_Loket[Daftar Nomor Hak]),"")</f>
        <v>M.2066/RAJABASA RAYA</v>
      </c>
      <c r="E473" s="17">
        <f t="array" ref="E473">IFNA(_xlfn.XLOOKUP(B473,Table_Respons_Loket[Count],Table_Respons_Loket[Time Stamp]),"")</f>
        <v>45590.40938</v>
      </c>
      <c r="F473" s="18" t="str">
        <f t="array" ref="F473">IFNA(_xlfn.XLOOKUP(B473,Table_Respons_Loket[Count],Table_Respons_Loket[Jenis Permohonan]),"")</f>
        <v>BN JUAL BELI</v>
      </c>
      <c r="G473" s="12" t="s">
        <v>50</v>
      </c>
      <c r="H473" s="12" t="s">
        <v>52</v>
      </c>
      <c r="I473" s="22">
        <f t="shared" si="7"/>
        <v>45603.59172</v>
      </c>
      <c r="J473" s="20" t="b">
        <v>0</v>
      </c>
      <c r="K473" s="13" t="str">
        <f t="shared" si="2"/>
        <v/>
      </c>
    </row>
    <row r="474" ht="22.5" customHeight="1">
      <c r="B474" s="13">
        <f t="shared" si="3"/>
        <v>468</v>
      </c>
      <c r="C474" s="15" t="str">
        <f t="array" ref="C474">IFNA(_xlfn.XLOOKUP(B474,Table_Respons_Loket[Count],Table_Respons_Loket[Nomor Tiket]),"")</f>
        <v>L/4/251024/1</v>
      </c>
      <c r="D474" s="15" t="str">
        <f t="array" ref="D474">IFNA(_xlfn.XLOOKUP(B474,Table_Respons_Loket[Count],Table_Respons_Loket[Daftar Nomor Hak]),"")</f>
        <v>NIB 2765/PWH</v>
      </c>
      <c r="E474" s="17">
        <f t="array" ref="E474">IFNA(_xlfn.XLOOKUP(B474,Table_Respons_Loket[Count],Table_Respons_Loket[Time Stamp]),"")</f>
        <v>45590.41778</v>
      </c>
      <c r="F474" s="18" t="str">
        <f t="array" ref="F474">IFNA(_xlfn.XLOOKUP(B474,Table_Respons_Loket[Count],Table_Respons_Loket[Jenis Permohonan]),"")</f>
        <v>BN WARIS</v>
      </c>
      <c r="G474" s="24"/>
      <c r="H474" s="24"/>
      <c r="I474" s="22" t="str">
        <f t="shared" si="7"/>
        <v/>
      </c>
      <c r="J474" s="20" t="b">
        <v>0</v>
      </c>
      <c r="K474" s="13" t="str">
        <f t="shared" si="2"/>
        <v/>
      </c>
    </row>
    <row r="475" ht="22.5" customHeight="1">
      <c r="B475" s="13">
        <f t="shared" si="3"/>
        <v>469</v>
      </c>
      <c r="C475" s="15" t="str">
        <f t="array" ref="C475">IFNA(_xlfn.XLOOKUP(B475,Table_Respons_Loket[Count],Table_Respons_Loket[Nomor Tiket]),"")</f>
        <v>K/5/251024/1</v>
      </c>
      <c r="D475" s="15" t="str">
        <f t="array" ref="D475">IFNA(_xlfn.XLOOKUP(B475,Table_Respons_Loket[Count],Table_Respons_Loket[Daftar Nomor Hak]),"")</f>
        <v>Nibel. M. 1272/ Rajabasa Jaya</v>
      </c>
      <c r="E475" s="17">
        <f t="array" ref="E475">IFNA(_xlfn.XLOOKUP(B475,Table_Respons_Loket[Count],Table_Respons_Loket[Time Stamp]),"")</f>
        <v>45590.41872</v>
      </c>
      <c r="F475" s="18" t="str">
        <f t="array" ref="F475">IFNA(_xlfn.XLOOKUP(B475,Table_Respons_Loket[Count],Table_Respons_Loket[Jenis Permohonan]),"")</f>
        <v>Pemecahan</v>
      </c>
      <c r="G475" s="24"/>
      <c r="H475" s="24"/>
      <c r="I475" s="22" t="str">
        <f t="shared" si="7"/>
        <v/>
      </c>
      <c r="J475" s="20" t="b">
        <v>0</v>
      </c>
      <c r="K475" s="13" t="str">
        <f t="shared" si="2"/>
        <v/>
      </c>
    </row>
    <row r="476" ht="22.5" customHeight="1">
      <c r="B476" s="13">
        <f t="shared" si="3"/>
        <v>470</v>
      </c>
      <c r="C476" s="15" t="str">
        <f t="array" ref="C476">IFNA(_xlfn.XLOOKUP(B476,Table_Respons_Loket[Count],Table_Respons_Loket[Nomor Tiket]),"")</f>
        <v>K/6/251024/1</v>
      </c>
      <c r="D476" s="15" t="str">
        <f t="array" ref="D476">IFNA(_xlfn.XLOOKUP(B476,Table_Respons_Loket[Count],Table_Respons_Loket[Daftar Nomor Hak]),"")</f>
        <v>NIBEL B.748/KANGKUNG</v>
      </c>
      <c r="E476" s="17">
        <f t="array" ref="E476">IFNA(_xlfn.XLOOKUP(B476,Table_Respons_Loket[Count],Table_Respons_Loket[Time Stamp]),"")</f>
        <v>45590.42176</v>
      </c>
      <c r="F476" s="18" t="str">
        <f t="array" ref="F476">IFNA(_xlfn.XLOOKUP(B476,Table_Respons_Loket[Count],Table_Respons_Loket[Jenis Permohonan]),"")</f>
        <v>BN JUAL BELI</v>
      </c>
      <c r="G476" s="24"/>
      <c r="H476" s="24"/>
      <c r="I476" s="22" t="str">
        <f t="shared" si="7"/>
        <v/>
      </c>
      <c r="J476" s="20" t="b">
        <v>0</v>
      </c>
      <c r="K476" s="13" t="str">
        <f t="shared" si="2"/>
        <v/>
      </c>
    </row>
    <row r="477" ht="22.5" customHeight="1">
      <c r="B477" s="13">
        <f t="shared" si="3"/>
        <v>471</v>
      </c>
      <c r="C477" s="15" t="str">
        <f t="array" ref="C477">IFNA(_xlfn.XLOOKUP(B477,Table_Respons_Loket[Count],Table_Respons_Loket[Nomor Tiket]),"")</f>
        <v>L/9/251024/1</v>
      </c>
      <c r="D477" s="15" t="str">
        <f t="array" ref="D477">IFNA(_xlfn.XLOOKUP(B477,Table_Respons_Loket[Count],Table_Respons_Loket[Daftar Nomor Hak]),"")</f>
        <v>HM 12867/TANJUNG BARU</v>
      </c>
      <c r="E477" s="17">
        <f t="array" ref="E477">IFNA(_xlfn.XLOOKUP(B477,Table_Respons_Loket[Count],Table_Respons_Loket[Time Stamp]),"")</f>
        <v>45590.42507</v>
      </c>
      <c r="F477" s="18" t="str">
        <f t="array" ref="F477">IFNA(_xlfn.XLOOKUP(B477,Table_Respons_Loket[Count],Table_Respons_Loket[Jenis Permohonan]),"")</f>
        <v>ROYA</v>
      </c>
      <c r="G477" s="12" t="s">
        <v>50</v>
      </c>
      <c r="H477" s="12" t="s">
        <v>52</v>
      </c>
      <c r="I477" s="22">
        <f t="shared" si="7"/>
        <v>45593.42203</v>
      </c>
      <c r="J477" s="20" t="b">
        <v>0</v>
      </c>
      <c r="K477" s="13" t="str">
        <f t="shared" si="2"/>
        <v/>
      </c>
    </row>
    <row r="478" ht="22.5" customHeight="1">
      <c r="B478" s="13">
        <f t="shared" si="3"/>
        <v>472</v>
      </c>
      <c r="C478" s="15" t="str">
        <f t="array" ref="C478">IFNA(_xlfn.XLOOKUP(B478,Table_Respons_Loket[Count],Table_Respons_Loket[Nomor Tiket]),"")</f>
        <v>K/8/251024/1</v>
      </c>
      <c r="D478" s="15" t="str">
        <f t="array" ref="D478">IFNA(_xlfn.XLOOKUP(B478,Table_Respons_Loket[Count],Table_Respons_Loket[Daftar Nomor Hak]),"")</f>
        <v>M. 13993/ SukarameI, M. 13992/ Sukarame I-sekarang; B. 443/ Way Halim Permai, B. 984/ Way Halim Permai-dahulu</v>
      </c>
      <c r="E478" s="17">
        <f t="array" ref="E478">IFNA(_xlfn.XLOOKUP(B478,Table_Respons_Loket[Count],Table_Respons_Loket[Time Stamp]),"")</f>
        <v>45590.4624</v>
      </c>
      <c r="F478" s="18" t="str">
        <f t="array" ref="F478">IFNA(_xlfn.XLOOKUP(B478,Table_Respons_Loket[Count],Table_Respons_Loket[Jenis Permohonan]),"")</f>
        <v>Roya</v>
      </c>
      <c r="G478" s="12" t="s">
        <v>50</v>
      </c>
      <c r="H478" s="12" t="s">
        <v>52</v>
      </c>
      <c r="I478" s="22">
        <f t="shared" si="7"/>
        <v>45593.42266</v>
      </c>
      <c r="J478" s="20" t="b">
        <v>0</v>
      </c>
      <c r="K478" s="13" t="str">
        <f t="shared" si="2"/>
        <v/>
      </c>
    </row>
    <row r="479" ht="22.5" customHeight="1">
      <c r="B479" s="13">
        <f t="shared" si="3"/>
        <v>473</v>
      </c>
      <c r="C479" s="15" t="str">
        <f t="array" ref="C479">IFNA(_xlfn.XLOOKUP(B479,Table_Respons_Loket[Count],Table_Respons_Loket[Nomor Tiket]),"")</f>
        <v>K/7/251024/2</v>
      </c>
      <c r="D479" s="15" t="str">
        <f t="array" ref="D479">IFNA(_xlfn.XLOOKUP(B479,Table_Respons_Loket[Count],Table_Respons_Loket[Daftar Nomor Hak]),"")</f>
        <v>NIBEL B.2134/KAMPUNG BARU RAYA</v>
      </c>
      <c r="E479" s="17">
        <f t="array" ref="E479">IFNA(_xlfn.XLOOKUP(B479,Table_Respons_Loket[Count],Table_Respons_Loket[Time Stamp]),"")</f>
        <v>45590.42726</v>
      </c>
      <c r="F479" s="18" t="str">
        <f t="array" ref="F479">IFNA(_xlfn.XLOOKUP(B479,Table_Respons_Loket[Count],Table_Respons_Loket[Jenis Permohonan]),"")</f>
        <v>BN HIBAH </v>
      </c>
      <c r="G479" s="24"/>
      <c r="H479" s="24"/>
      <c r="I479" s="22" t="str">
        <f t="shared" si="7"/>
        <v/>
      </c>
      <c r="J479" s="20" t="b">
        <v>0</v>
      </c>
      <c r="K479" s="13" t="str">
        <f t="shared" si="2"/>
        <v/>
      </c>
    </row>
    <row r="480" ht="22.5" customHeight="1">
      <c r="B480" s="13">
        <f t="shared" si="3"/>
        <v>474</v>
      </c>
      <c r="C480" s="15" t="str">
        <f t="array" ref="C480">IFNA(_xlfn.XLOOKUP(B480,Table_Respons_Loket[Count],Table_Respons_Loket[Nomor Tiket]),"")</f>
        <v>K/11/251024/1</v>
      </c>
      <c r="D480" s="15" t="str">
        <f t="array" ref="D480">IFNA(_xlfn.XLOOKUP(B480,Table_Respons_Loket[Count],Table_Respons_Loket[Daftar Nomor Hak]),"")</f>
        <v>M. 13693/ Korpri Raya; M. 13693/ Sukarame-dahulu</v>
      </c>
      <c r="E480" s="17">
        <f t="array" ref="E480">IFNA(_xlfn.XLOOKUP(B480,Table_Respons_Loket[Count],Table_Respons_Loket[Time Stamp]),"")</f>
        <v>45590.43063</v>
      </c>
      <c r="F480" s="18" t="str">
        <f t="array" ref="F480">IFNA(_xlfn.XLOOKUP(B480,Table_Respons_Loket[Count],Table_Respons_Loket[Jenis Permohonan]),"")</f>
        <v>BN Hibah</v>
      </c>
      <c r="G480" s="12" t="s">
        <v>50</v>
      </c>
      <c r="H480" s="12" t="s">
        <v>52</v>
      </c>
      <c r="I480" s="22">
        <f t="shared" si="7"/>
        <v>45593.42319</v>
      </c>
      <c r="J480" s="20" t="b">
        <v>0</v>
      </c>
      <c r="K480" s="13" t="str">
        <f t="shared" si="2"/>
        <v/>
      </c>
    </row>
    <row r="481" ht="22.5" customHeight="1">
      <c r="B481" s="13">
        <f t="shared" si="3"/>
        <v>475</v>
      </c>
      <c r="C481" s="15" t="str">
        <f t="array" ref="C481">IFNA(_xlfn.XLOOKUP(B481,Table_Respons_Loket[Count],Table_Respons_Loket[Nomor Tiket]),"")</f>
        <v>L/10/251024/1</v>
      </c>
      <c r="D481" s="15" t="str">
        <f t="array" ref="D481">IFNA(_xlfn.XLOOKUP(B481,Table_Respons_Loket[Count],Table_Respons_Loket[Daftar Nomor Hak]),"")</f>
        <v>M.14233/SEGALA MIDER</v>
      </c>
      <c r="E481" s="17">
        <f t="array" ref="E481">IFNA(_xlfn.XLOOKUP(B481,Table_Respons_Loket[Count],Table_Respons_Loket[Time Stamp]),"")</f>
        <v>45590.43399</v>
      </c>
      <c r="F481" s="18" t="str">
        <f t="array" ref="F481">IFNA(_xlfn.XLOOKUP(B481,Table_Respons_Loket[Count],Table_Respons_Loket[Jenis Permohonan]),"")</f>
        <v>PEMECAHAN</v>
      </c>
      <c r="G481" s="12" t="s">
        <v>50</v>
      </c>
      <c r="H481" s="12" t="s">
        <v>52</v>
      </c>
      <c r="I481" s="22">
        <f t="shared" si="7"/>
        <v>45593.42342</v>
      </c>
      <c r="J481" s="20" t="b">
        <v>0</v>
      </c>
      <c r="K481" s="13" t="str">
        <f t="shared" si="2"/>
        <v/>
      </c>
    </row>
    <row r="482" ht="22.5" customHeight="1">
      <c r="B482" s="13">
        <f t="shared" si="3"/>
        <v>476</v>
      </c>
      <c r="C482" s="15" t="str">
        <f t="array" ref="C482">IFNA(_xlfn.XLOOKUP(B482,Table_Respons_Loket[Count],Table_Respons_Loket[Nomor Tiket]),"")</f>
        <v>K/12/251024/1</v>
      </c>
      <c r="D482" s="15" t="str">
        <f t="array" ref="D482">IFNA(_xlfn.XLOOKUP(B482,Table_Respons_Loket[Count],Table_Respons_Loket[Daftar Nomor Hak]),"")</f>
        <v>Nibel. M. 1424/ Jagabaya II</v>
      </c>
      <c r="E482" s="17">
        <f t="array" ref="E482">IFNA(_xlfn.XLOOKUP(B482,Table_Respons_Loket[Count],Table_Respons_Loket[Time Stamp]),"")</f>
        <v>45590.4486</v>
      </c>
      <c r="F482" s="18" t="str">
        <f t="array" ref="F482">IFNA(_xlfn.XLOOKUP(B482,Table_Respons_Loket[Count],Table_Respons_Loket[Jenis Permohonan]),"")</f>
        <v>BN Hibah</v>
      </c>
      <c r="G482" s="24"/>
      <c r="H482" s="24"/>
      <c r="I482" s="22" t="str">
        <f t="shared" si="7"/>
        <v/>
      </c>
      <c r="J482" s="20" t="b">
        <v>0</v>
      </c>
      <c r="K482" s="13" t="str">
        <f t="shared" si="2"/>
        <v/>
      </c>
    </row>
    <row r="483" ht="22.5" customHeight="1">
      <c r="B483" s="13">
        <f t="shared" si="3"/>
        <v>477</v>
      </c>
      <c r="C483" s="15" t="str">
        <f t="array" ref="C483">IFNA(_xlfn.XLOOKUP(B483,Table_Respons_Loket[Count],Table_Respons_Loket[Nomor Tiket]),"")</f>
        <v>K/13/251024/1</v>
      </c>
      <c r="D483" s="15" t="str">
        <f t="array" ref="D483">IFNA(_xlfn.XLOOKUP(B483,Table_Respons_Loket[Count],Table_Respons_Loket[Daftar Nomor Hak]),"")</f>
        <v>M.990/DURIAN PAYUNG</v>
      </c>
      <c r="E483" s="17">
        <f t="array" ref="E483">IFNA(_xlfn.XLOOKUP(B483,Table_Respons_Loket[Count],Table_Respons_Loket[Time Stamp]),"")</f>
        <v>45590.4563</v>
      </c>
      <c r="F483" s="18" t="str">
        <f t="array" ref="F483">IFNA(_xlfn.XLOOKUP(B483,Table_Respons_Loket[Count],Table_Respons_Loket[Jenis Permohonan]),"")</f>
        <v>ROYA</v>
      </c>
      <c r="G483" s="12" t="s">
        <v>50</v>
      </c>
      <c r="H483" s="12" t="s">
        <v>52</v>
      </c>
      <c r="I483" s="22">
        <f t="shared" si="7"/>
        <v>45593.42374</v>
      </c>
      <c r="J483" s="20" t="b">
        <v>0</v>
      </c>
      <c r="K483" s="13" t="str">
        <f t="shared" si="2"/>
        <v/>
      </c>
    </row>
    <row r="484" ht="22.5" customHeight="1">
      <c r="B484" s="13">
        <f t="shared" si="3"/>
        <v>478</v>
      </c>
      <c r="C484" s="15" t="str">
        <f t="array" ref="C484">IFNA(_xlfn.XLOOKUP(B484,Table_Respons_Loket[Count],Table_Respons_Loket[Nomor Tiket]),"")</f>
        <v>K/14/251024/1</v>
      </c>
      <c r="D484" s="15" t="str">
        <f t="array" ref="D484">IFNA(_xlfn.XLOOKUP(B484,Table_Respons_Loket[Count],Table_Respons_Loket[Daftar Nomor Hak]),"")</f>
        <v>M.37/LABUHAN DALAM</v>
      </c>
      <c r="E484" s="17">
        <f t="array" ref="E484">IFNA(_xlfn.XLOOKUP(B484,Table_Respons_Loket[Count],Table_Respons_Loket[Time Stamp]),"")</f>
        <v>45590.45714</v>
      </c>
      <c r="F484" s="18" t="str">
        <f t="array" ref="F484">IFNA(_xlfn.XLOOKUP(B484,Table_Respons_Loket[Count],Table_Respons_Loket[Jenis Permohonan]),"")</f>
        <v>GANDES</v>
      </c>
      <c r="G484" s="24"/>
      <c r="H484" s="24"/>
      <c r="I484" s="22" t="str">
        <f t="shared" si="7"/>
        <v/>
      </c>
      <c r="J484" s="20" t="b">
        <v>0</v>
      </c>
      <c r="K484" s="13" t="str">
        <f t="shared" si="2"/>
        <v/>
      </c>
    </row>
    <row r="485" ht="22.5" customHeight="1">
      <c r="B485" s="13">
        <f t="shared" si="3"/>
        <v>479</v>
      </c>
      <c r="C485" s="15" t="str">
        <f t="array" ref="C485">IFNA(_xlfn.XLOOKUP(B485,Table_Respons_Loket[Count],Table_Respons_Loket[Nomor Tiket]),"")</f>
        <v>L/15/251024/1</v>
      </c>
      <c r="D485" s="15" t="str">
        <f t="array" ref="D485">IFNA(_xlfn.XLOOKUP(B485,Table_Respons_Loket[Count],Table_Respons_Loket[Daftar Nomor Hak]),"")</f>
        <v>SIDODADI</v>
      </c>
      <c r="E485" s="17">
        <f t="array" ref="E485">IFNA(_xlfn.XLOOKUP(B485,Table_Respons_Loket[Count],Table_Respons_Loket[Time Stamp]),"")</f>
        <v>45590.46006</v>
      </c>
      <c r="F485" s="18" t="str">
        <f t="array" ref="F485">IFNA(_xlfn.XLOOKUP(B485,Table_Respons_Loket[Count],Table_Respons_Loket[Jenis Permohonan]),"")</f>
        <v>ASPEK</v>
      </c>
      <c r="G485" s="24"/>
      <c r="H485" s="24"/>
      <c r="I485" s="22" t="str">
        <f t="shared" si="7"/>
        <v/>
      </c>
      <c r="J485" s="20" t="b">
        <v>0</v>
      </c>
      <c r="K485" s="13" t="str">
        <f t="shared" si="2"/>
        <v/>
      </c>
    </row>
    <row r="486" ht="22.5" customHeight="1">
      <c r="B486" s="13">
        <f t="shared" si="3"/>
        <v>480</v>
      </c>
      <c r="C486" s="15" t="str">
        <f t="array" ref="C486">IFNA(_xlfn.XLOOKUP(B486,Table_Respons_Loket[Count],Table_Respons_Loket[Nomor Tiket]),"")</f>
        <v>K/16/251024/1</v>
      </c>
      <c r="D486" s="15" t="str">
        <f t="array" ref="D486">IFNA(_xlfn.XLOOKUP(B486,Table_Respons_Loket[Count],Table_Respons_Loket[Daftar Nomor Hak]),"")</f>
        <v>M. 2543/ Pinang Jaya</v>
      </c>
      <c r="E486" s="17">
        <f t="array" ref="E486">IFNA(_xlfn.XLOOKUP(B486,Table_Respons_Loket[Count],Table_Respons_Loket[Time Stamp]),"")</f>
        <v>45590.46879</v>
      </c>
      <c r="F486" s="18" t="str">
        <f t="array" ref="F486">IFNA(_xlfn.XLOOKUP(B486,Table_Respons_Loket[Count],Table_Respons_Loket[Jenis Permohonan]),"")</f>
        <v>BN Jual Beli</v>
      </c>
      <c r="G486" s="12" t="s">
        <v>50</v>
      </c>
      <c r="H486" s="12" t="s">
        <v>52</v>
      </c>
      <c r="I486" s="22">
        <f t="shared" si="7"/>
        <v>45593.42396</v>
      </c>
      <c r="J486" s="20" t="b">
        <v>0</v>
      </c>
      <c r="K486" s="13" t="str">
        <f t="shared" si="2"/>
        <v/>
      </c>
    </row>
    <row r="487" ht="22.5" customHeight="1">
      <c r="B487" s="13">
        <f t="shared" si="3"/>
        <v>481</v>
      </c>
      <c r="C487" s="15" t="str">
        <f t="array" ref="C487">IFNA(_xlfn.XLOOKUP(B487,Table_Respons_Loket[Count],Table_Respons_Loket[Nomor Tiket]),"")</f>
        <v>K/19/251024/1</v>
      </c>
      <c r="D487" s="15" t="str">
        <f t="array" ref="D487">IFNA(_xlfn.XLOOKUP(B487,Table_Respons_Loket[Count],Table_Respons_Loket[Daftar Nomor Hak]),"")</f>
        <v>M.1833/RAJABASA JAYA</v>
      </c>
      <c r="E487" s="17">
        <f t="array" ref="E487">IFNA(_xlfn.XLOOKUP(B487,Table_Respons_Loket[Count],Table_Respons_Loket[Time Stamp]),"")</f>
        <v>45590.46977</v>
      </c>
      <c r="F487" s="18" t="str">
        <f t="array" ref="F487">IFNA(_xlfn.XLOOKUP(B487,Table_Respons_Loket[Count],Table_Respons_Loket[Jenis Permohonan]),"")</f>
        <v>HAPUS BPHTB</v>
      </c>
      <c r="G487" s="24"/>
      <c r="H487" s="24"/>
      <c r="I487" s="22" t="str">
        <f t="shared" si="7"/>
        <v/>
      </c>
      <c r="J487" s="20" t="b">
        <v>0</v>
      </c>
      <c r="K487" s="13" t="str">
        <f t="shared" si="2"/>
        <v/>
      </c>
    </row>
    <row r="488" ht="22.5" customHeight="1">
      <c r="B488" s="13">
        <f t="shared" si="3"/>
        <v>482</v>
      </c>
      <c r="C488" s="15" t="str">
        <f t="array" ref="C488">IFNA(_xlfn.XLOOKUP(B488,Table_Respons_Loket[Count],Table_Respons_Loket[Nomor Tiket]),"")</f>
        <v>K/17/251024/2</v>
      </c>
      <c r="D488" s="15" t="str">
        <f t="array" ref="D488">IFNA(_xlfn.XLOOKUP(B488,Table_Respons_Loket[Count],Table_Respons_Loket[Daftar Nomor Hak]),"")</f>
        <v>M. 2394/ Pinang Jaya</v>
      </c>
      <c r="E488" s="17">
        <f t="array" ref="E488">IFNA(_xlfn.XLOOKUP(B488,Table_Respons_Loket[Count],Table_Respons_Loket[Time Stamp]),"")</f>
        <v>45590.47027</v>
      </c>
      <c r="F488" s="18" t="str">
        <f t="array" ref="F488">IFNA(_xlfn.XLOOKUP(B488,Table_Respons_Loket[Count],Table_Respons_Loket[Jenis Permohonan]),"")</f>
        <v>BN Jual Beli</v>
      </c>
      <c r="G488" s="12" t="s">
        <v>50</v>
      </c>
      <c r="H488" s="12" t="s">
        <v>52</v>
      </c>
      <c r="I488" s="22">
        <f t="shared" si="7"/>
        <v>45593.42408</v>
      </c>
      <c r="J488" s="20" t="b">
        <v>0</v>
      </c>
      <c r="K488" s="13" t="str">
        <f t="shared" si="2"/>
        <v/>
      </c>
    </row>
    <row r="489" ht="22.5" customHeight="1">
      <c r="B489" s="13">
        <f t="shared" si="3"/>
        <v>483</v>
      </c>
      <c r="C489" s="15" t="str">
        <f t="array" ref="C489">IFNA(_xlfn.XLOOKUP(B489,Table_Respons_Loket[Count],Table_Respons_Loket[Nomor Tiket]),"")</f>
        <v>K/18/251024/3</v>
      </c>
      <c r="D489" s="15" t="str">
        <f t="array" ref="D489">IFNA(_xlfn.XLOOKUP(B489,Table_Respons_Loket[Count],Table_Respons_Loket[Daftar Nomor Hak]),"")</f>
        <v>M. 2528/ Pinang Jaya</v>
      </c>
      <c r="E489" s="17">
        <f t="array" ref="E489">IFNA(_xlfn.XLOOKUP(B489,Table_Respons_Loket[Count],Table_Respons_Loket[Time Stamp]),"")</f>
        <v>45590.47119</v>
      </c>
      <c r="F489" s="18" t="str">
        <f t="array" ref="F489">IFNA(_xlfn.XLOOKUP(B489,Table_Respons_Loket[Count],Table_Respons_Loket[Jenis Permohonan]),"")</f>
        <v>BN Jual Beli</v>
      </c>
      <c r="G489" s="12" t="s">
        <v>50</v>
      </c>
      <c r="H489" s="12" t="s">
        <v>52</v>
      </c>
      <c r="I489" s="22">
        <f t="shared" si="7"/>
        <v>45593.4242</v>
      </c>
      <c r="J489" s="20" t="b">
        <v>0</v>
      </c>
      <c r="K489" s="13" t="str">
        <f t="shared" si="2"/>
        <v/>
      </c>
    </row>
    <row r="490" ht="22.5" customHeight="1">
      <c r="B490" s="13">
        <f t="shared" si="3"/>
        <v>484</v>
      </c>
      <c r="C490" s="15" t="str">
        <f t="array" ref="C490">IFNA(_xlfn.XLOOKUP(B490,Table_Respons_Loket[Count],Table_Respons_Loket[Nomor Tiket]),"")</f>
        <v>K/20/251024/1</v>
      </c>
      <c r="D490" s="15" t="str">
        <f t="array" ref="D490">IFNA(_xlfn.XLOOKUP(B490,Table_Respons_Loket[Count],Table_Respons_Loket[Daftar Nomor Hak]),"")</f>
        <v>M. 2051/ L R R; M. 11392/ L R</v>
      </c>
      <c r="E490" s="17">
        <f t="array" ref="E490">IFNA(_xlfn.XLOOKUP(B490,Table_Respons_Loket[Count],Table_Respons_Loket[Time Stamp]),"")</f>
        <v>45590.54772</v>
      </c>
      <c r="F490" s="18" t="str">
        <f t="array" ref="F490">IFNA(_xlfn.XLOOKUP(B490,Table_Respons_Loket[Count],Table_Respons_Loket[Jenis Permohonan]),"")</f>
        <v>BN Jual Beli</v>
      </c>
      <c r="G490" s="12" t="s">
        <v>50</v>
      </c>
      <c r="H490" s="12" t="s">
        <v>52</v>
      </c>
      <c r="I490" s="22">
        <f t="shared" si="7"/>
        <v>45593.45547</v>
      </c>
      <c r="J490" s="20" t="b">
        <v>0</v>
      </c>
      <c r="K490" s="13" t="str">
        <f t="shared" si="2"/>
        <v/>
      </c>
    </row>
    <row r="491" ht="22.5" customHeight="1">
      <c r="B491" s="13">
        <f t="shared" si="3"/>
        <v>485</v>
      </c>
      <c r="C491" s="15" t="str">
        <f t="array" ref="C491">IFNA(_xlfn.XLOOKUP(B491,Table_Respons_Loket[Count],Table_Respons_Loket[Nomor Tiket]),"")</f>
        <v>K/21/251024/1</v>
      </c>
      <c r="D491" s="15" t="str">
        <f t="array" ref="D491">IFNA(_xlfn.XLOOKUP(B491,Table_Respons_Loket[Count],Table_Respons_Loket[Daftar Nomor Hak]),"")</f>
        <v>M. 1360/ Tanjungkarang</v>
      </c>
      <c r="E491" s="17">
        <f t="array" ref="E491">IFNA(_xlfn.XLOOKUP(B491,Table_Respons_Loket[Count],Table_Respons_Loket[Time Stamp]),"")</f>
        <v>45590.55265</v>
      </c>
      <c r="F491" s="18" t="str">
        <f t="array" ref="F491">IFNA(_xlfn.XLOOKUP(B491,Table_Respons_Loket[Count],Table_Respons_Loket[Jenis Permohonan]),"")</f>
        <v>SKPT LELANG</v>
      </c>
      <c r="G491" s="24"/>
      <c r="H491" s="24"/>
      <c r="I491" s="22" t="str">
        <f t="shared" si="7"/>
        <v/>
      </c>
      <c r="J491" s="20" t="b">
        <v>0</v>
      </c>
      <c r="K491" s="13" t="str">
        <f t="shared" si="2"/>
        <v/>
      </c>
    </row>
    <row r="492" ht="22.5" customHeight="1">
      <c r="B492" s="13">
        <f t="shared" si="3"/>
        <v>486</v>
      </c>
      <c r="C492" s="15" t="str">
        <f t="array" ref="C492">IFNA(_xlfn.XLOOKUP(B492,Table_Respons_Loket[Count],Table_Respons_Loket[Nomor Tiket]),"")</f>
        <v>K/22/251024/2</v>
      </c>
      <c r="D492" s="15" t="str">
        <f t="array" ref="D492">IFNA(_xlfn.XLOOKUP(B492,Table_Respons_Loket[Count],Table_Respons_Loket[Daftar Nomor Hak]),"")</f>
        <v>M. 63/ Labuhan Dalam</v>
      </c>
      <c r="E492" s="17">
        <f t="array" ref="E492">IFNA(_xlfn.XLOOKUP(B492,Table_Respons_Loket[Count],Table_Respons_Loket[Time Stamp]),"")</f>
        <v>45590.55378</v>
      </c>
      <c r="F492" s="18" t="str">
        <f t="array" ref="F492">IFNA(_xlfn.XLOOKUP(B492,Table_Respons_Loket[Count],Table_Respons_Loket[Jenis Permohonan]),"")</f>
        <v>SKPT LELANG</v>
      </c>
      <c r="G492" s="24"/>
      <c r="H492" s="24"/>
      <c r="I492" s="22" t="str">
        <f t="shared" si="7"/>
        <v/>
      </c>
      <c r="J492" s="20" t="b">
        <v>0</v>
      </c>
      <c r="K492" s="13" t="str">
        <f t="shared" si="2"/>
        <v/>
      </c>
    </row>
    <row r="493" ht="22.5" customHeight="1">
      <c r="B493" s="13">
        <f t="shared" si="3"/>
        <v>487</v>
      </c>
      <c r="C493" s="15" t="str">
        <f t="array" ref="C493">IFNA(_xlfn.XLOOKUP(B493,Table_Respons_Loket[Count],Table_Respons_Loket[Nomor Tiket]),"")</f>
        <v>K/23/251024/3</v>
      </c>
      <c r="D493" s="15" t="str">
        <f t="array" ref="D493">IFNA(_xlfn.XLOOKUP(B493,Table_Respons_Loket[Count],Table_Respons_Loket[Daftar Nomor Hak]),"")</f>
        <v>M. 1255/ Gunung Terang</v>
      </c>
      <c r="E493" s="17">
        <f t="array" ref="E493">IFNA(_xlfn.XLOOKUP(B493,Table_Respons_Loket[Count],Table_Respons_Loket[Time Stamp]),"")</f>
        <v>45590.5551</v>
      </c>
      <c r="F493" s="18" t="str">
        <f t="array" ref="F493">IFNA(_xlfn.XLOOKUP(B493,Table_Respons_Loket[Count],Table_Respons_Loket[Jenis Permohonan]),"")</f>
        <v>skpt lelang</v>
      </c>
      <c r="G493" s="24"/>
      <c r="H493" s="24"/>
      <c r="I493" s="22" t="str">
        <f t="shared" si="7"/>
        <v/>
      </c>
      <c r="J493" s="20" t="b">
        <v>0</v>
      </c>
      <c r="K493" s="13" t="str">
        <f t="shared" si="2"/>
        <v/>
      </c>
    </row>
    <row r="494" ht="22.5" customHeight="1">
      <c r="B494" s="13">
        <f t="shared" si="3"/>
        <v>488</v>
      </c>
      <c r="C494" s="15" t="str">
        <f t="array" ref="C494">IFNA(_xlfn.XLOOKUP(B494,Table_Respons_Loket[Count],Table_Respons_Loket[Nomor Tiket]),"")</f>
        <v>K/24/251024/4</v>
      </c>
      <c r="D494" s="15" t="str">
        <f t="array" ref="D494">IFNA(_xlfn.XLOOKUP(B494,Table_Respons_Loket[Count],Table_Respons_Loket[Daftar Nomor Hak]),"")</f>
        <v>M. 1255/ Gunung Terang</v>
      </c>
      <c r="E494" s="17">
        <f t="array" ref="E494">IFNA(_xlfn.XLOOKUP(B494,Table_Respons_Loket[Count],Table_Respons_Loket[Time Stamp]),"")</f>
        <v>45590.55624</v>
      </c>
      <c r="F494" s="18" t="str">
        <f t="array" ref="F494">IFNA(_xlfn.XLOOKUP(B494,Table_Respons_Loket[Count],Table_Respons_Loket[Jenis Permohonan]),"")</f>
        <v>SKPT LELANG</v>
      </c>
      <c r="G494" s="24"/>
      <c r="H494" s="24"/>
      <c r="I494" s="22" t="str">
        <f t="shared" si="7"/>
        <v/>
      </c>
      <c r="J494" s="20" t="b">
        <v>0</v>
      </c>
      <c r="K494" s="13" t="str">
        <f t="shared" si="2"/>
        <v/>
      </c>
    </row>
    <row r="495" ht="22.5" customHeight="1">
      <c r="B495" s="13">
        <f t="shared" si="3"/>
        <v>489</v>
      </c>
      <c r="C495" s="15" t="str">
        <f t="array" ref="C495">IFNA(_xlfn.XLOOKUP(B495,Table_Respons_Loket[Count],Table_Respons_Loket[Nomor Tiket]),"")</f>
        <v>K/25/251024/5</v>
      </c>
      <c r="D495" s="15" t="str">
        <f t="array" ref="D495">IFNA(_xlfn.XLOOKUP(B495,Table_Respons_Loket[Count],Table_Respons_Loket[Daftar Nomor Hak]),"")</f>
        <v>M. 9350/ Segala mider</v>
      </c>
      <c r="E495" s="17">
        <f t="array" ref="E495">IFNA(_xlfn.XLOOKUP(B495,Table_Respons_Loket[Count],Table_Respons_Loket[Time Stamp]),"")</f>
        <v>45590.55816</v>
      </c>
      <c r="F495" s="18" t="str">
        <f t="array" ref="F495">IFNA(_xlfn.XLOOKUP(B495,Table_Respons_Loket[Count],Table_Respons_Loket[Jenis Permohonan]),"")</f>
        <v>SKPT LELANG</v>
      </c>
      <c r="G495" s="24"/>
      <c r="H495" s="24"/>
      <c r="I495" s="22" t="str">
        <f t="shared" si="7"/>
        <v/>
      </c>
      <c r="J495" s="20" t="b">
        <v>0</v>
      </c>
      <c r="K495" s="13" t="str">
        <f t="shared" si="2"/>
        <v/>
      </c>
    </row>
    <row r="496" ht="22.5" customHeight="1">
      <c r="B496" s="13">
        <f t="shared" si="3"/>
        <v>490</v>
      </c>
      <c r="C496" s="15" t="str">
        <f t="array" ref="C496">IFNA(_xlfn.XLOOKUP(B496,Table_Respons_Loket[Count],Table_Respons_Loket[Nomor Tiket]),"")</f>
        <v>K/1/211024/1</v>
      </c>
      <c r="D496" s="15" t="str">
        <f t="array" ref="D496">IFNA(_xlfn.XLOOKUP(B496,Table_Respons_Loket[Count],Table_Respons_Loket[Daftar Nomor Hak]),"")</f>
        <v>B. 1370/ Kemiling Permai; B. 1441/ Su K-dahulu</v>
      </c>
      <c r="E496" s="17">
        <f t="array" ref="E496">IFNA(_xlfn.XLOOKUP(B496,Table_Respons_Loket[Count],Table_Respons_Loket[Time Stamp]),"")</f>
        <v>45590.55967</v>
      </c>
      <c r="F496" s="18" t="str">
        <f t="array" ref="F496">IFNA(_xlfn.XLOOKUP(B496,Table_Respons_Loket[Count],Table_Respons_Loket[Jenis Permohonan]),"")</f>
        <v>Perubahan Hak</v>
      </c>
      <c r="G496" s="12" t="s">
        <v>50</v>
      </c>
      <c r="H496" s="12" t="s">
        <v>47</v>
      </c>
      <c r="I496" s="22" t="str">
        <f t="shared" si="7"/>
        <v/>
      </c>
      <c r="J496" s="20" t="b">
        <v>0</v>
      </c>
      <c r="K496" s="13" t="str">
        <f t="shared" si="2"/>
        <v/>
      </c>
    </row>
    <row r="497" ht="22.5" customHeight="1">
      <c r="B497" s="13">
        <f t="shared" si="3"/>
        <v>491</v>
      </c>
      <c r="C497" s="15" t="str">
        <f t="array" ref="C497">IFNA(_xlfn.XLOOKUP(B497,Table_Respons_Loket[Count],Table_Respons_Loket[Nomor Tiket]),"")</f>
        <v>K/27/251024/1</v>
      </c>
      <c r="D497" s="15" t="str">
        <f t="array" ref="D497">IFNA(_xlfn.XLOOKUP(B497,Table_Respons_Loket[Count],Table_Respons_Loket[Daftar Nomor Hak]),"")</f>
        <v>M. 2572/ Gedong Air</v>
      </c>
      <c r="E497" s="17">
        <f t="array" ref="E497">IFNA(_xlfn.XLOOKUP(B497,Table_Respons_Loket[Count],Table_Respons_Loket[Time Stamp]),"")</f>
        <v>45590.56266</v>
      </c>
      <c r="F497" s="18" t="str">
        <f t="array" ref="F497">IFNA(_xlfn.XLOOKUP(B497,Table_Respons_Loket[Count],Table_Respons_Loket[Jenis Permohonan]),"")</f>
        <v>BN JUAL BELI</v>
      </c>
      <c r="G497" s="12" t="s">
        <v>86</v>
      </c>
      <c r="H497" s="12" t="s">
        <v>87</v>
      </c>
      <c r="I497" s="22">
        <f t="shared" si="7"/>
        <v>45614.66166</v>
      </c>
      <c r="J497" s="20" t="b">
        <v>0</v>
      </c>
      <c r="K497" s="13" t="str">
        <f t="shared" si="2"/>
        <v/>
      </c>
    </row>
    <row r="498" ht="22.5" customHeight="1">
      <c r="B498" s="13">
        <f t="shared" si="3"/>
        <v>492</v>
      </c>
      <c r="C498" s="15" t="str">
        <f t="array" ref="C498">IFNA(_xlfn.XLOOKUP(B498,Table_Respons_Loket[Count],Table_Respons_Loket[Nomor Tiket]),"")</f>
        <v>K/28/251024/2</v>
      </c>
      <c r="D498" s="15" t="str">
        <f t="array" ref="D498">IFNA(_xlfn.XLOOKUP(B498,Table_Respons_Loket[Count],Table_Respons_Loket[Daftar Nomor Hak]),"")</f>
        <v>M. 2585/ Gedong Air</v>
      </c>
      <c r="E498" s="17">
        <f t="array" ref="E498">IFNA(_xlfn.XLOOKUP(B498,Table_Respons_Loket[Count],Table_Respons_Loket[Time Stamp]),"")</f>
        <v>45590.56481</v>
      </c>
      <c r="F498" s="18" t="str">
        <f t="array" ref="F498">IFNA(_xlfn.XLOOKUP(B498,Table_Respons_Loket[Count],Table_Respons_Loket[Jenis Permohonan]),"")</f>
        <v>BN JUAL BELI</v>
      </c>
      <c r="G498" s="12" t="s">
        <v>50</v>
      </c>
      <c r="H498" s="12" t="s">
        <v>47</v>
      </c>
      <c r="I498" s="22" t="str">
        <f t="shared" si="7"/>
        <v/>
      </c>
      <c r="J498" s="20" t="b">
        <v>0</v>
      </c>
      <c r="K498" s="13" t="str">
        <f t="shared" si="2"/>
        <v/>
      </c>
    </row>
    <row r="499" ht="22.5" customHeight="1">
      <c r="B499" s="13">
        <f t="shared" si="3"/>
        <v>493</v>
      </c>
      <c r="C499" s="15" t="str">
        <f t="array" ref="C499">IFNA(_xlfn.XLOOKUP(B499,Table_Respons_Loket[Count],Table_Respons_Loket[Nomor Tiket]),"")</f>
        <v>K/29/251024/3</v>
      </c>
      <c r="D499" s="15" t="str">
        <f t="array" ref="D499">IFNA(_xlfn.XLOOKUP(B499,Table_Respons_Loket[Count],Table_Respons_Loket[Daftar Nomor Hak]),"")</f>
        <v>m. 2586/ Gedong AIr</v>
      </c>
      <c r="E499" s="17">
        <f t="array" ref="E499">IFNA(_xlfn.XLOOKUP(B499,Table_Respons_Loket[Count],Table_Respons_Loket[Time Stamp]),"")</f>
        <v>45590.56617</v>
      </c>
      <c r="F499" s="18" t="str">
        <f t="array" ref="F499">IFNA(_xlfn.XLOOKUP(B499,Table_Respons_Loket[Count],Table_Respons_Loket[Jenis Permohonan]),"")</f>
        <v>bn jual beli</v>
      </c>
      <c r="G499" s="12" t="s">
        <v>48</v>
      </c>
      <c r="H499" s="12" t="s">
        <v>47</v>
      </c>
      <c r="I499" s="22" t="str">
        <f t="shared" si="7"/>
        <v/>
      </c>
      <c r="J499" s="20" t="b">
        <v>0</v>
      </c>
      <c r="K499" s="13" t="str">
        <f t="shared" si="2"/>
        <v/>
      </c>
    </row>
    <row r="500" ht="22.5" customHeight="1">
      <c r="B500" s="13">
        <f t="shared" si="3"/>
        <v>494</v>
      </c>
      <c r="C500" s="15" t="str">
        <f t="array" ref="C500">IFNA(_xlfn.XLOOKUP(B500,Table_Respons_Loket[Count],Table_Respons_Loket[Nomor Tiket]),"")</f>
        <v>L/32/251024/1</v>
      </c>
      <c r="D500" s="15" t="str">
        <f t="array" ref="D500">IFNA(_xlfn.XLOOKUP(B500,Table_Respons_Loket[Count],Table_Respons_Loket[Daftar Nomor Hak]),"")</f>
        <v>PBT243/2023</v>
      </c>
      <c r="E500" s="17">
        <f t="array" ref="E500">IFNA(_xlfn.XLOOKUP(B500,Table_Respons_Loket[Count],Table_Respons_Loket[Time Stamp]),"")</f>
        <v>45590.57052</v>
      </c>
      <c r="F500" s="18" t="str">
        <f t="array" ref="F500">IFNA(_xlfn.XLOOKUP(B500,Table_Respons_Loket[Count],Table_Respons_Loket[Jenis Permohonan]),"")</f>
        <v>PENDAFTARAN SK HAK</v>
      </c>
      <c r="G500" s="24"/>
      <c r="H500" s="24"/>
      <c r="I500" s="22" t="str">
        <f t="shared" si="7"/>
        <v/>
      </c>
      <c r="J500" s="20" t="b">
        <v>0</v>
      </c>
      <c r="K500" s="13" t="str">
        <f t="shared" si="2"/>
        <v/>
      </c>
    </row>
    <row r="501" ht="22.5" customHeight="1">
      <c r="B501" s="13">
        <f t="shared" si="3"/>
        <v>495</v>
      </c>
      <c r="C501" s="15" t="str">
        <f t="array" ref="C501">IFNA(_xlfn.XLOOKUP(B501,Table_Respons_Loket[Count],Table_Respons_Loket[Nomor Tiket]),"")</f>
        <v>K/30/251024/1</v>
      </c>
      <c r="D501" s="15" t="str">
        <f t="array" ref="D501">IFNA(_xlfn.XLOOKUP(B501,Table_Respons_Loket[Count],Table_Respons_Loket[Daftar Nomor Hak]),"")</f>
        <v>M. 18118/ Sukarame</v>
      </c>
      <c r="E501" s="17">
        <f t="array" ref="E501">IFNA(_xlfn.XLOOKUP(B501,Table_Respons_Loket[Count],Table_Respons_Loket[Time Stamp]),"")</f>
        <v>45590.57207</v>
      </c>
      <c r="F501" s="18" t="str">
        <f t="array" ref="F501">IFNA(_xlfn.XLOOKUP(B501,Table_Respons_Loket[Count],Table_Respons_Loket[Jenis Permohonan]),"")</f>
        <v>BN Jual Beli</v>
      </c>
      <c r="G501" s="12" t="s">
        <v>48</v>
      </c>
      <c r="H501" s="12" t="s">
        <v>52</v>
      </c>
      <c r="I501" s="22">
        <f t="shared" si="7"/>
        <v>45593.42527</v>
      </c>
      <c r="J501" s="20" t="b">
        <v>0</v>
      </c>
      <c r="K501" s="13" t="str">
        <f t="shared" si="2"/>
        <v/>
      </c>
    </row>
    <row r="502" ht="22.5" customHeight="1">
      <c r="B502" s="13">
        <f t="shared" si="3"/>
        <v>496</v>
      </c>
      <c r="C502" s="15" t="str">
        <f t="array" ref="C502">IFNA(_xlfn.XLOOKUP(B502,Table_Respons_Loket[Count],Table_Respons_Loket[Nomor Tiket]),"")</f>
        <v>K/31/251024/2</v>
      </c>
      <c r="D502" s="15" t="str">
        <f t="array" ref="D502">IFNA(_xlfn.XLOOKUP(B502,Table_Respons_Loket[Count],Table_Respons_Loket[Daftar Nomor Hak]),"")</f>
        <v>B. 503/ Gunung Sulah</v>
      </c>
      <c r="E502" s="17">
        <f t="array" ref="E502">IFNA(_xlfn.XLOOKUP(B502,Table_Respons_Loket[Count],Table_Respons_Loket[Time Stamp]),"")</f>
        <v>45590.5729</v>
      </c>
      <c r="F502" s="18" t="str">
        <f t="array" ref="F502">IFNA(_xlfn.XLOOKUP(B502,Table_Respons_Loket[Count],Table_Respons_Loket[Jenis Permohonan]),"")</f>
        <v>Perubahan Hak</v>
      </c>
      <c r="G502" s="12" t="s">
        <v>48</v>
      </c>
      <c r="H502" s="12" t="s">
        <v>87</v>
      </c>
      <c r="I502" s="22">
        <f t="shared" si="7"/>
        <v>45593.54554</v>
      </c>
      <c r="J502" s="20" t="b">
        <v>0</v>
      </c>
      <c r="K502" s="13" t="str">
        <f t="shared" si="2"/>
        <v/>
      </c>
    </row>
    <row r="503" ht="22.5" customHeight="1">
      <c r="B503" s="13">
        <f t="shared" si="3"/>
        <v>497</v>
      </c>
      <c r="C503" s="15" t="str">
        <f t="array" ref="C503">IFNA(_xlfn.XLOOKUP(B503,Table_Respons_Loket[Count],Table_Respons_Loket[Nomor Tiket]),"")</f>
        <v>K/33/251024/1</v>
      </c>
      <c r="D503" s="15" t="str">
        <f t="array" ref="D503">IFNA(_xlfn.XLOOKUP(B503,Table_Respons_Loket[Count],Table_Respons_Loket[Daftar Nomor Hak]),"")</f>
        <v>NIBEL M.2482/KOTA BARU </v>
      </c>
      <c r="E503" s="17">
        <f t="array" ref="E503">IFNA(_xlfn.XLOOKUP(B503,Table_Respons_Loket[Count],Table_Respons_Loket[Time Stamp]),"")</f>
        <v>45590.57345</v>
      </c>
      <c r="F503" s="18" t="str">
        <f t="array" ref="F503">IFNA(_xlfn.XLOOKUP(B503,Table_Respons_Loket[Count],Table_Respons_Loket[Jenis Permohonan]),"")</f>
        <v>PTPGT PEMECAHAN</v>
      </c>
      <c r="G503" s="24"/>
      <c r="H503" s="24"/>
      <c r="I503" s="22" t="str">
        <f t="shared" si="7"/>
        <v/>
      </c>
      <c r="J503" s="20" t="b">
        <v>0</v>
      </c>
      <c r="K503" s="13" t="str">
        <f t="shared" si="2"/>
        <v/>
      </c>
    </row>
    <row r="504" ht="22.5" customHeight="1">
      <c r="B504" s="13">
        <f t="shared" si="3"/>
        <v>498</v>
      </c>
      <c r="C504" s="15" t="str">
        <f t="array" ref="C504">IFNA(_xlfn.XLOOKUP(B504,Table_Respons_Loket[Count],Table_Respons_Loket[Nomor Tiket]),"")</f>
        <v>L/34/251024/1</v>
      </c>
      <c r="D504" s="15" t="str">
        <f t="array" ref="D504">IFNA(_xlfn.XLOOKUP(B504,Table_Respons_Loket[Count],Table_Respons_Loket[Daftar Nomor Hak]),"")</f>
        <v>HGB 254/CAMPANG RAYA</v>
      </c>
      <c r="E504" s="17">
        <f t="array" ref="E504">IFNA(_xlfn.XLOOKUP(B504,Table_Respons_Loket[Count],Table_Respons_Loket[Time Stamp]),"")</f>
        <v>45590.57816</v>
      </c>
      <c r="F504" s="18" t="str">
        <f t="array" ref="F504">IFNA(_xlfn.XLOOKUP(B504,Table_Respons_Loket[Count],Table_Respons_Loket[Jenis Permohonan]),"")</f>
        <v>ROYA</v>
      </c>
      <c r="G504" s="12" t="s">
        <v>48</v>
      </c>
      <c r="H504" s="12" t="s">
        <v>52</v>
      </c>
      <c r="I504" s="22">
        <f t="shared" si="7"/>
        <v>45593.42565</v>
      </c>
      <c r="J504" s="20" t="b">
        <v>0</v>
      </c>
      <c r="K504" s="13" t="str">
        <f t="shared" si="2"/>
        <v/>
      </c>
    </row>
    <row r="505" ht="22.5" customHeight="1">
      <c r="B505" s="13">
        <f t="shared" si="3"/>
        <v>499</v>
      </c>
      <c r="C505" s="15" t="str">
        <f t="array" ref="C505">IFNA(_xlfn.XLOOKUP(B505,Table_Respons_Loket[Count],Table_Respons_Loket[Nomor Tiket]),"")</f>
        <v>K/35/251024/1</v>
      </c>
      <c r="D505" s="15" t="str">
        <f t="array" ref="D505">IFNA(_xlfn.XLOOKUP(B505,Table_Respons_Loket[Count],Table_Respons_Loket[Daftar Nomor Hak]),"")</f>
        <v>M.11312/KEDAMAIAN</v>
      </c>
      <c r="E505" s="17">
        <f t="array" ref="E505">IFNA(_xlfn.XLOOKUP(B505,Table_Respons_Loket[Count],Table_Respons_Loket[Time Stamp]),"")</f>
        <v>45590.58306</v>
      </c>
      <c r="F505" s="18" t="str">
        <f t="array" ref="F505">IFNA(_xlfn.XLOOKUP(B505,Table_Respons_Loket[Count],Table_Respons_Loket[Jenis Permohonan]),"")</f>
        <v>SKPT </v>
      </c>
      <c r="G505" s="24"/>
      <c r="H505" s="24"/>
      <c r="I505" s="22" t="str">
        <f t="shared" si="7"/>
        <v/>
      </c>
      <c r="J505" s="20" t="b">
        <v>0</v>
      </c>
      <c r="K505" s="13" t="str">
        <f t="shared" si="2"/>
        <v/>
      </c>
    </row>
    <row r="506" ht="22.5" customHeight="1">
      <c r="B506" s="13">
        <f t="shared" si="3"/>
        <v>500</v>
      </c>
      <c r="C506" s="15" t="str">
        <f t="array" ref="C506">IFNA(_xlfn.XLOOKUP(B506,Table_Respons_Loket[Count],Table_Respons_Loket[Nomor Tiket]),"")</f>
        <v>K/36/251024/2</v>
      </c>
      <c r="D506" s="15" t="str">
        <f t="array" ref="D506">IFNA(_xlfn.XLOOKUP(B506,Table_Respons_Loket[Count],Table_Respons_Loket[Daftar Nomor Hak]),"")</f>
        <v>M.1268/BUMI WARAS</v>
      </c>
      <c r="E506" s="17">
        <f t="array" ref="E506">IFNA(_xlfn.XLOOKUP(B506,Table_Respons_Loket[Count],Table_Respons_Loket[Time Stamp]),"")</f>
        <v>45590.58376</v>
      </c>
      <c r="F506" s="18" t="str">
        <f t="array" ref="F506">IFNA(_xlfn.XLOOKUP(B506,Table_Respons_Loket[Count],Table_Respons_Loket[Jenis Permohonan]),"")</f>
        <v>SKPT</v>
      </c>
      <c r="G506" s="24"/>
      <c r="H506" s="24"/>
      <c r="I506" s="22" t="str">
        <f t="shared" si="7"/>
        <v/>
      </c>
      <c r="J506" s="20" t="b">
        <v>0</v>
      </c>
      <c r="K506" s="13" t="str">
        <f t="shared" si="2"/>
        <v/>
      </c>
    </row>
    <row r="507" ht="22.5" customHeight="1">
      <c r="B507" s="13">
        <f t="shared" si="3"/>
        <v>501</v>
      </c>
      <c r="C507" s="15" t="str">
        <f t="array" ref="C507">IFNA(_xlfn.XLOOKUP(B507,Table_Respons_Loket[Count],Table_Respons_Loket[Nomor Tiket]),"")</f>
        <v>K/37/251024/1</v>
      </c>
      <c r="D507" s="15" t="str">
        <f t="array" ref="D507">IFNA(_xlfn.XLOOKUP(B507,Table_Respons_Loket[Count],Table_Respons_Loket[Daftar Nomor Hak]),"")</f>
        <v>M. 3227/Gunung Terang</v>
      </c>
      <c r="E507" s="17">
        <f t="array" ref="E507">IFNA(_xlfn.XLOOKUP(B507,Table_Respons_Loket[Count],Table_Respons_Loket[Time Stamp]),"")</f>
        <v>45590.58917</v>
      </c>
      <c r="F507" s="18" t="str">
        <f t="array" ref="F507">IFNA(_xlfn.XLOOKUP(B507,Table_Respons_Loket[Count],Table_Respons_Loket[Jenis Permohonan]),"")</f>
        <v>BN Jual Beli</v>
      </c>
      <c r="G507" s="12" t="s">
        <v>48</v>
      </c>
      <c r="H507" s="12" t="s">
        <v>52</v>
      </c>
      <c r="I507" s="22">
        <f t="shared" si="7"/>
        <v>45594.41844</v>
      </c>
      <c r="J507" s="20" t="b">
        <v>0</v>
      </c>
      <c r="K507" s="13" t="str">
        <f t="shared" si="2"/>
        <v/>
      </c>
    </row>
    <row r="508" ht="22.5" customHeight="1">
      <c r="B508" s="13">
        <f t="shared" si="3"/>
        <v>502</v>
      </c>
      <c r="C508" s="15" t="str">
        <f t="array" ref="C508">IFNA(_xlfn.XLOOKUP(B508,Table_Respons_Loket[Count],Table_Respons_Loket[Nomor Tiket]),"")</f>
        <v>K/39/251024/1</v>
      </c>
      <c r="D508" s="15" t="str">
        <f t="array" ref="D508">IFNA(_xlfn.XLOOKUP(B508,Table_Respons_Loket[Count],Table_Respons_Loket[Daftar Nomor Hak]),"")</f>
        <v>NIBEL M 1086/KOTA KARANG</v>
      </c>
      <c r="E508" s="17">
        <f t="array" ref="E508">IFNA(_xlfn.XLOOKUP(B508,Table_Respons_Loket[Count],Table_Respons_Loket[Time Stamp]),"")</f>
        <v>45590.5896</v>
      </c>
      <c r="F508" s="18" t="str">
        <f t="array" ref="F508">IFNA(_xlfn.XLOOKUP(B508,Table_Respons_Loket[Count],Table_Respons_Loket[Jenis Permohonan]),"")</f>
        <v>BN JUAL BELI</v>
      </c>
      <c r="G508" s="24"/>
      <c r="H508" s="24"/>
      <c r="I508" s="22" t="str">
        <f t="shared" si="7"/>
        <v/>
      </c>
      <c r="J508" s="20" t="b">
        <v>0</v>
      </c>
      <c r="K508" s="13" t="str">
        <f t="shared" si="2"/>
        <v/>
      </c>
    </row>
    <row r="509" ht="22.5" customHeight="1">
      <c r="B509" s="13">
        <f t="shared" si="3"/>
        <v>503</v>
      </c>
      <c r="C509" s="15" t="str">
        <f t="array" ref="C509">IFNA(_xlfn.XLOOKUP(B509,Table_Respons_Loket[Count],Table_Respons_Loket[Nomor Tiket]),"")</f>
        <v>K/38/251024/2</v>
      </c>
      <c r="D509" s="15" t="str">
        <f t="array" ref="D509">IFNA(_xlfn.XLOOKUP(B509,Table_Respons_Loket[Count],Table_Respons_Loket[Daftar Nomor Hak]),"")</f>
        <v>Nibel. M. 2592/ Beringin Raya</v>
      </c>
      <c r="E509" s="17">
        <f t="array" ref="E509">IFNA(_xlfn.XLOOKUP(B509,Table_Respons_Loket[Count],Table_Respons_Loket[Time Stamp]),"")</f>
        <v>45590.59</v>
      </c>
      <c r="F509" s="18" t="str">
        <f t="array" ref="F509">IFNA(_xlfn.XLOOKUP(B509,Table_Respons_Loket[Count],Table_Respons_Loket[Jenis Permohonan]),"")</f>
        <v>BN Waris</v>
      </c>
      <c r="G509" s="24"/>
      <c r="H509" s="24"/>
      <c r="I509" s="22" t="str">
        <f t="shared" si="7"/>
        <v/>
      </c>
      <c r="J509" s="20" t="b">
        <v>0</v>
      </c>
      <c r="K509" s="13" t="str">
        <f t="shared" si="2"/>
        <v/>
      </c>
    </row>
    <row r="510" ht="22.5" customHeight="1">
      <c r="B510" s="13">
        <f t="shared" si="3"/>
        <v>504</v>
      </c>
      <c r="C510" s="15" t="str">
        <f t="array" ref="C510">IFNA(_xlfn.XLOOKUP(B510,Table_Respons_Loket[Count],Table_Respons_Loket[Nomor Tiket]),"")</f>
        <v>L/40/251024/1</v>
      </c>
      <c r="D510" s="15" t="str">
        <f t="array" ref="D510">IFNA(_xlfn.XLOOKUP(B510,Table_Respons_Loket[Count],Table_Respons_Loket[Daftar Nomor Hak]),"")</f>
        <v>HM 3757/RAJABASA JAYA</v>
      </c>
      <c r="E510" s="17">
        <f t="array" ref="E510">IFNA(_xlfn.XLOOKUP(B510,Table_Respons_Loket[Count],Table_Respons_Loket[Time Stamp]),"")</f>
        <v>45590.59204</v>
      </c>
      <c r="F510" s="18" t="str">
        <f t="array" ref="F510">IFNA(_xlfn.XLOOKUP(B510,Table_Respons_Loket[Count],Table_Respons_Loket[Jenis Permohonan]),"")</f>
        <v>PENGHAPUSAN BPHTB</v>
      </c>
      <c r="G510" s="24"/>
      <c r="H510" s="24"/>
      <c r="I510" s="22" t="str">
        <f t="shared" si="7"/>
        <v/>
      </c>
      <c r="J510" s="20" t="b">
        <v>0</v>
      </c>
      <c r="K510" s="13" t="str">
        <f t="shared" si="2"/>
        <v/>
      </c>
    </row>
    <row r="511" ht="22.5" customHeight="1">
      <c r="B511" s="13">
        <f t="shared" si="3"/>
        <v>505</v>
      </c>
      <c r="C511" s="15" t="str">
        <f t="array" ref="C511">IFNA(_xlfn.XLOOKUP(B511,Table_Respons_Loket[Count],Table_Respons_Loket[Nomor Tiket]),"")</f>
        <v>K/41/251024/1</v>
      </c>
      <c r="D511" s="15" t="str">
        <f t="array" ref="D511">IFNA(_xlfn.XLOOKUP(B511,Table_Respons_Loket[Count],Table_Respons_Loket[Daftar Nomor Hak]),"")</f>
        <v>M. 1824/ Beringin Jaya ; M. 944/ Beringin Raya-dahulu; B. 718/ Beringin Raya-dahulu</v>
      </c>
      <c r="E511" s="17">
        <f t="array" ref="E511">IFNA(_xlfn.XLOOKUP(B511,Table_Respons_Loket[Count],Table_Respons_Loket[Time Stamp]),"")</f>
        <v>45590.60574</v>
      </c>
      <c r="F511" s="18" t="str">
        <f t="array" ref="F511">IFNA(_xlfn.XLOOKUP(B511,Table_Respons_Loket[Count],Table_Respons_Loket[Jenis Permohonan]),"")</f>
        <v>BN Jual Beli</v>
      </c>
      <c r="G511" s="12" t="s">
        <v>48</v>
      </c>
      <c r="H511" s="12" t="s">
        <v>52</v>
      </c>
      <c r="I511" s="22">
        <f t="shared" si="7"/>
        <v>45593.4261</v>
      </c>
      <c r="J511" s="20" t="b">
        <v>0</v>
      </c>
      <c r="K511" s="13" t="str">
        <f t="shared" si="2"/>
        <v/>
      </c>
    </row>
    <row r="512" ht="22.5" customHeight="1">
      <c r="B512" s="13">
        <f t="shared" si="3"/>
        <v>506</v>
      </c>
      <c r="C512" s="15" t="str">
        <f t="array" ref="C512">IFNA(_xlfn.XLOOKUP(B512,Table_Respons_Loket[Count],Table_Respons_Loket[Nomor Tiket]),"")</f>
        <v>K/42/251024/1</v>
      </c>
      <c r="D512" s="15" t="str">
        <f t="array" ref="D512">IFNA(_xlfn.XLOOKUP(B512,Table_Respons_Loket[Count],Table_Respons_Loket[Daftar Nomor Hak]),"")</f>
        <v>M. 11524/ Kedamaian</v>
      </c>
      <c r="E512" s="17">
        <f t="array" ref="E512">IFNA(_xlfn.XLOOKUP(B512,Table_Respons_Loket[Count],Table_Respons_Loket[Time Stamp]),"")</f>
        <v>45590.60841</v>
      </c>
      <c r="F512" s="18" t="str">
        <f t="array" ref="F512">IFNA(_xlfn.XLOOKUP(B512,Table_Respons_Loket[Count],Table_Respons_Loket[Jenis Permohonan]),"")</f>
        <v>BN JUAL BELI</v>
      </c>
      <c r="G512" s="12" t="s">
        <v>48</v>
      </c>
      <c r="H512" s="12" t="s">
        <v>52</v>
      </c>
      <c r="I512" s="22">
        <f t="shared" si="7"/>
        <v>45594.41786</v>
      </c>
      <c r="J512" s="20" t="b">
        <v>0</v>
      </c>
      <c r="K512" s="13" t="str">
        <f t="shared" si="2"/>
        <v/>
      </c>
    </row>
    <row r="513" ht="22.5" customHeight="1">
      <c r="B513" s="13">
        <f t="shared" si="3"/>
        <v>507</v>
      </c>
      <c r="C513" s="15" t="str">
        <f t="array" ref="C513">IFNA(_xlfn.XLOOKUP(B513,Table_Respons_Loket[Count],Table_Respons_Loket[Nomor Tiket]),"")</f>
        <v>K/43/251024/2</v>
      </c>
      <c r="D513" s="15" t="str">
        <f t="array" ref="D513">IFNA(_xlfn.XLOOKUP(B513,Table_Respons_Loket[Count],Table_Respons_Loket[Daftar Nomor Hak]),"")</f>
        <v>M. 3289/ kota baru</v>
      </c>
      <c r="E513" s="17">
        <f t="array" ref="E513">IFNA(_xlfn.XLOOKUP(B513,Table_Respons_Loket[Count],Table_Respons_Loket[Time Stamp]),"")</f>
        <v>45590.60982</v>
      </c>
      <c r="F513" s="18" t="str">
        <f t="array" ref="F513">IFNA(_xlfn.XLOOKUP(B513,Table_Respons_Loket[Count],Table_Respons_Loket[Jenis Permohonan]),"")</f>
        <v>ROYA</v>
      </c>
      <c r="G513" s="12" t="s">
        <v>48</v>
      </c>
      <c r="H513" s="12" t="s">
        <v>52</v>
      </c>
      <c r="I513" s="22">
        <f t="shared" si="7"/>
        <v>45593.42645</v>
      </c>
      <c r="J513" s="20" t="b">
        <v>0</v>
      </c>
      <c r="K513" s="13" t="str">
        <f t="shared" si="2"/>
        <v/>
      </c>
    </row>
    <row r="514" ht="22.5" customHeight="1">
      <c r="B514" s="13">
        <f t="shared" si="3"/>
        <v>508</v>
      </c>
      <c r="C514" s="15" t="str">
        <f t="array" ref="C514">IFNA(_xlfn.XLOOKUP(B514,Table_Respons_Loket[Count],Table_Respons_Loket[Nomor Tiket]),"")</f>
        <v>L//251024/1</v>
      </c>
      <c r="D514" s="15" t="str">
        <f t="array" ref="D514">IFNA(_xlfn.XLOOKUP(B514,Table_Respons_Loket[Count],Table_Respons_Loket[Daftar Nomor Hak]),"")</f>
        <v>NIB 3303/WAY LAGA</v>
      </c>
      <c r="E514" s="17">
        <f t="array" ref="E514">IFNA(_xlfn.XLOOKUP(B514,Table_Respons_Loket[Count],Table_Respons_Loket[Time Stamp]),"")</f>
        <v>45590.61066</v>
      </c>
      <c r="F514" s="18" t="str">
        <f t="array" ref="F514">IFNA(_xlfn.XLOOKUP(B514,Table_Respons_Loket[Count],Table_Respons_Loket[Jenis Permohonan]),"")</f>
        <v>BN LELANG</v>
      </c>
      <c r="G514" s="24"/>
      <c r="H514" s="24"/>
      <c r="I514" s="22" t="str">
        <f t="shared" si="7"/>
        <v/>
      </c>
      <c r="J514" s="20" t="b">
        <v>0</v>
      </c>
      <c r="K514" s="13" t="str">
        <f t="shared" si="2"/>
        <v/>
      </c>
    </row>
    <row r="515" ht="22.5" customHeight="1">
      <c r="B515" s="13">
        <f t="shared" si="3"/>
        <v>509</v>
      </c>
      <c r="C515" s="15" t="str">
        <f t="array" ref="C515">IFNA(_xlfn.XLOOKUP(B515,Table_Respons_Loket[Count],Table_Respons_Loket[Nomor Tiket]),"")</f>
        <v>K/44/251024/3</v>
      </c>
      <c r="D515" s="15" t="str">
        <f t="array" ref="D515">IFNA(_xlfn.XLOOKUP(B515,Table_Respons_Loket[Count],Table_Respons_Loket[Daftar Nomor Hak]),"")</f>
        <v>M. 13663/ Segala Mider</v>
      </c>
      <c r="E515" s="17">
        <f t="array" ref="E515">IFNA(_xlfn.XLOOKUP(B515,Table_Respons_Loket[Count],Table_Respons_Loket[Time Stamp]),"")</f>
        <v>45590.61116</v>
      </c>
      <c r="F515" s="18" t="str">
        <f t="array" ref="F515">IFNA(_xlfn.XLOOKUP(B515,Table_Respons_Loket[Count],Table_Respons_Loket[Jenis Permohonan]),"")</f>
        <v>ROYA</v>
      </c>
      <c r="G515" s="12" t="s">
        <v>48</v>
      </c>
      <c r="H515" s="12" t="s">
        <v>52</v>
      </c>
      <c r="I515" s="22">
        <f t="shared" si="7"/>
        <v>45593.42661</v>
      </c>
      <c r="J515" s="20" t="b">
        <v>0</v>
      </c>
      <c r="K515" s="13" t="str">
        <f t="shared" si="2"/>
        <v/>
      </c>
    </row>
    <row r="516" ht="22.5" customHeight="1">
      <c r="B516" s="13">
        <f t="shared" si="3"/>
        <v>510</v>
      </c>
      <c r="C516" s="15" t="str">
        <f t="array" ref="C516">IFNA(_xlfn.XLOOKUP(B516,Table_Respons_Loket[Count],Table_Respons_Loket[Nomor Tiket]),"")</f>
        <v>L/48/251024/1</v>
      </c>
      <c r="D516" s="15" t="str">
        <f t="array" ref="D516">IFNA(_xlfn.XLOOKUP(B516,Table_Respons_Loket[Count],Table_Respons_Loket[Daftar Nomor Hak]),"")</f>
        <v>HGB 1368/KEMILING PERMAI</v>
      </c>
      <c r="E516" s="17">
        <f t="array" ref="E516">IFNA(_xlfn.XLOOKUP(B516,Table_Respons_Loket[Count],Table_Respons_Loket[Time Stamp]),"")</f>
        <v>45590.61412</v>
      </c>
      <c r="F516" s="18" t="str">
        <f t="array" ref="F516">IFNA(_xlfn.XLOOKUP(B516,Table_Respons_Loket[Count],Table_Respons_Loket[Jenis Permohonan]),"")</f>
        <v>GANTI TAHUN LAHIR</v>
      </c>
      <c r="G516" s="12" t="s">
        <v>48</v>
      </c>
      <c r="H516" s="12" t="s">
        <v>52</v>
      </c>
      <c r="I516" s="22">
        <f t="shared" si="7"/>
        <v>45614.66166</v>
      </c>
      <c r="J516" s="20" t="b">
        <v>0</v>
      </c>
      <c r="K516" s="13" t="str">
        <f t="shared" si="2"/>
        <v/>
      </c>
    </row>
    <row r="517" ht="22.5" customHeight="1">
      <c r="B517" s="13">
        <f t="shared" si="3"/>
        <v>511</v>
      </c>
      <c r="C517" s="15" t="str">
        <f t="array" ref="C517">IFNA(_xlfn.XLOOKUP(B517,Table_Respons_Loket[Count],Table_Respons_Loket[Nomor Tiket]),"")</f>
        <v>K/46/251024/1</v>
      </c>
      <c r="D517" s="15" t="str">
        <f t="array" ref="D517">IFNA(_xlfn.XLOOKUP(B517,Table_Respons_Loket[Count],Table_Respons_Loket[Daftar Nomor Hak]),"")</f>
        <v>M. 4231/ Rajabasa Jaya; 10134/ Rajabasa-dahulu</v>
      </c>
      <c r="E517" s="17">
        <f t="array" ref="E517">IFNA(_xlfn.XLOOKUP(B517,Table_Respons_Loket[Count],Table_Respons_Loket[Time Stamp]),"")</f>
        <v>45590.61533</v>
      </c>
      <c r="F517" s="18" t="str">
        <f t="array" ref="F517">IFNA(_xlfn.XLOOKUP(B517,Table_Respons_Loket[Count],Table_Respons_Loket[Jenis Permohonan]),"")</f>
        <v>SKPT Lelang</v>
      </c>
      <c r="G517" s="24"/>
      <c r="H517" s="24"/>
      <c r="I517" s="22" t="str">
        <f t="shared" si="7"/>
        <v/>
      </c>
      <c r="J517" s="20" t="b">
        <v>0</v>
      </c>
      <c r="K517" s="13" t="str">
        <f t="shared" si="2"/>
        <v/>
      </c>
    </row>
    <row r="518" ht="22.5" customHeight="1">
      <c r="B518" s="13">
        <f t="shared" si="3"/>
        <v>512</v>
      </c>
      <c r="C518" s="15" t="str">
        <f t="array" ref="C518">IFNA(_xlfn.XLOOKUP(B518,Table_Respons_Loket[Count],Table_Respons_Loket[Nomor Tiket]),"")</f>
        <v>L/49/251024/1</v>
      </c>
      <c r="D518" s="15" t="str">
        <f t="array" ref="D518">IFNA(_xlfn.XLOOKUP(B518,Table_Respons_Loket[Count],Table_Respons_Loket[Daftar Nomor Hak]),"")</f>
        <v>B.355 DAN B.356/LABUHAN RATU </v>
      </c>
      <c r="E518" s="17">
        <f t="array" ref="E518">IFNA(_xlfn.XLOOKUP(B518,Table_Respons_Loket[Count],Table_Respons_Loket[Time Stamp]),"")</f>
        <v>45590.61573</v>
      </c>
      <c r="F518" s="18" t="str">
        <f t="array" ref="F518">IFNA(_xlfn.XLOOKUP(B518,Table_Respons_Loket[Count],Table_Respons_Loket[Jenis Permohonan]),"")</f>
        <v>ROYA</v>
      </c>
      <c r="G518" s="12" t="s">
        <v>48</v>
      </c>
      <c r="H518" s="12" t="s">
        <v>52</v>
      </c>
      <c r="I518" s="22">
        <f t="shared" si="7"/>
        <v>45593.42692</v>
      </c>
      <c r="J518" s="20" t="b">
        <v>0</v>
      </c>
      <c r="K518" s="13" t="str">
        <f t="shared" si="2"/>
        <v/>
      </c>
    </row>
    <row r="519" ht="22.5" customHeight="1">
      <c r="B519" s="13">
        <f t="shared" si="3"/>
        <v>513</v>
      </c>
      <c r="C519" s="15" t="str">
        <f t="array" ref="C519">IFNA(_xlfn.XLOOKUP(B519,Table_Respons_Loket[Count],Table_Respons_Loket[Nomor Tiket]),"")</f>
        <v>K/47/251024/2</v>
      </c>
      <c r="D519" s="15" t="str">
        <f t="array" ref="D519">IFNA(_xlfn.XLOOKUP(B519,Table_Respons_Loket[Count],Table_Respons_Loket[Daftar Nomor Hak]),"")</f>
        <v>M. 3605/ Rajabasa Jaya; M. 10913/ Rajabasa</v>
      </c>
      <c r="E519" s="17">
        <f t="array" ref="E519">IFNA(_xlfn.XLOOKUP(B519,Table_Respons_Loket[Count],Table_Respons_Loket[Time Stamp]),"")</f>
        <v>45590.6166</v>
      </c>
      <c r="F519" s="18" t="str">
        <f t="array" ref="F519">IFNA(_xlfn.XLOOKUP(B519,Table_Respons_Loket[Count],Table_Respons_Loket[Jenis Permohonan]),"")</f>
        <v>SKPT Lelang</v>
      </c>
      <c r="G519" s="24"/>
      <c r="H519" s="24"/>
      <c r="I519" s="22" t="str">
        <f t="shared" si="7"/>
        <v/>
      </c>
      <c r="J519" s="20" t="b">
        <v>0</v>
      </c>
      <c r="K519" s="13" t="str">
        <f t="shared" si="2"/>
        <v/>
      </c>
    </row>
    <row r="520" ht="22.5" customHeight="1">
      <c r="B520" s="13">
        <f t="shared" si="3"/>
        <v>514</v>
      </c>
      <c r="C520" s="15" t="str">
        <f t="array" ref="C520">IFNA(_xlfn.XLOOKUP(B520,Table_Respons_Loket[Count],Table_Respons_Loket[Nomor Tiket]),"")</f>
        <v>K/50/251024/1</v>
      </c>
      <c r="D520" s="15" t="str">
        <f t="array" ref="D520">IFNA(_xlfn.XLOOKUP(B520,Table_Respons_Loket[Count],Table_Respons_Loket[Daftar Nomor Hak]),"")</f>
        <v>Nibel. M. 2897/ Kota Baru</v>
      </c>
      <c r="E520" s="17">
        <f t="array" ref="E520">IFNA(_xlfn.XLOOKUP(B520,Table_Respons_Loket[Count],Table_Respons_Loket[Time Stamp]),"")</f>
        <v>45590.62099</v>
      </c>
      <c r="F520" s="18" t="str">
        <f t="array" ref="F520">IFNA(_xlfn.XLOOKUP(B520,Table_Respons_Loket[Count],Table_Respons_Loket[Jenis Permohonan]),"")</f>
        <v>BN Jual Beli</v>
      </c>
      <c r="G520" s="24"/>
      <c r="H520" s="24"/>
      <c r="I520" s="22" t="str">
        <f t="shared" si="7"/>
        <v/>
      </c>
      <c r="J520" s="20" t="b">
        <v>0</v>
      </c>
      <c r="K520" s="13" t="str">
        <f t="shared" si="2"/>
        <v/>
      </c>
    </row>
    <row r="521" ht="22.5" customHeight="1">
      <c r="B521" s="13">
        <f t="shared" si="3"/>
        <v>515</v>
      </c>
      <c r="C521" s="15" t="str">
        <f t="array" ref="C521">IFNA(_xlfn.XLOOKUP(B521,Table_Respons_Loket[Count],Table_Respons_Loket[Nomor Tiket]),"")</f>
        <v>K/51/251024/1</v>
      </c>
      <c r="D521" s="15" t="str">
        <f t="array" ref="D521">IFNA(_xlfn.XLOOKUP(B521,Table_Respons_Loket[Count],Table_Respons_Loket[Daftar Nomor Hak]),"")</f>
        <v>M. 1543/ Kupang Kota</v>
      </c>
      <c r="E521" s="17">
        <f t="array" ref="E521">IFNA(_xlfn.XLOOKUP(B521,Table_Respons_Loket[Count],Table_Respons_Loket[Time Stamp]),"")</f>
        <v>45590.637</v>
      </c>
      <c r="F521" s="18" t="str">
        <f t="array" ref="F521">IFNA(_xlfn.XLOOKUP(B521,Table_Respons_Loket[Count],Table_Respons_Loket[Jenis Permohonan]),"")</f>
        <v>BN Jual Beli</v>
      </c>
      <c r="G521" s="12" t="s">
        <v>48</v>
      </c>
      <c r="H521" s="12" t="s">
        <v>52</v>
      </c>
      <c r="I521" s="22">
        <f t="shared" si="7"/>
        <v>45593.42713</v>
      </c>
      <c r="J521" s="20" t="b">
        <v>0</v>
      </c>
      <c r="K521" s="13" t="str">
        <f t="shared" si="2"/>
        <v/>
      </c>
    </row>
    <row r="522" ht="22.5" customHeight="1">
      <c r="B522" s="13">
        <f t="shared" si="3"/>
        <v>516</v>
      </c>
      <c r="C522" s="15" t="str">
        <f t="array" ref="C522">IFNA(_xlfn.XLOOKUP(B522,Table_Respons_Loket[Count],Table_Respons_Loket[Nomor Tiket]),"")</f>
        <v>K/52/251024/2</v>
      </c>
      <c r="D522" s="15" t="str">
        <f t="array" ref="D522">IFNA(_xlfn.XLOOKUP(B522,Table_Respons_Loket[Count],Table_Respons_Loket[Daftar Nomor Hak]),"")</f>
        <v>M/ 1544/ Kupang Kota</v>
      </c>
      <c r="E522" s="17">
        <f t="array" ref="E522">IFNA(_xlfn.XLOOKUP(B522,Table_Respons_Loket[Count],Table_Respons_Loket[Time Stamp]),"")</f>
        <v>45590.63783</v>
      </c>
      <c r="F522" s="18" t="str">
        <f t="array" ref="F522">IFNA(_xlfn.XLOOKUP(B522,Table_Respons_Loket[Count],Table_Respons_Loket[Jenis Permohonan]),"")</f>
        <v>BN Jual Beli</v>
      </c>
      <c r="G522" s="12" t="s">
        <v>48</v>
      </c>
      <c r="H522" s="12" t="s">
        <v>52</v>
      </c>
      <c r="I522" s="22">
        <f t="shared" si="7"/>
        <v>45593.42731</v>
      </c>
      <c r="J522" s="20" t="b">
        <v>0</v>
      </c>
      <c r="K522" s="13" t="str">
        <f t="shared" si="2"/>
        <v/>
      </c>
    </row>
    <row r="523" ht="22.5" customHeight="1">
      <c r="B523" s="13">
        <f t="shared" si="3"/>
        <v>517</v>
      </c>
      <c r="C523" s="15" t="str">
        <f t="array" ref="C523">IFNA(_xlfn.XLOOKUP(B523,Table_Respons_Loket[Count],Table_Respons_Loket[Nomor Tiket]),"")</f>
        <v>K/53/251024/1</v>
      </c>
      <c r="D523" s="15" t="str">
        <f t="array" ref="D523">IFNA(_xlfn.XLOOKUP(B523,Table_Respons_Loket[Count],Table_Respons_Loket[Daftar Nomor Hak]),"")</f>
        <v>M. 22/ Perwata dan SHT 7366/2013</v>
      </c>
      <c r="E523" s="17">
        <f t="array" ref="E523">IFNA(_xlfn.XLOOKUP(B523,Table_Respons_Loket[Count],Table_Respons_Loket[Time Stamp]),"")</f>
        <v>45590.64692</v>
      </c>
      <c r="F523" s="18" t="str">
        <f t="array" ref="F523">IFNA(_xlfn.XLOOKUP(B523,Table_Respons_Loket[Count],Table_Respons_Loket[Jenis Permohonan]),"")</f>
        <v>Roya</v>
      </c>
      <c r="G523" s="12" t="s">
        <v>48</v>
      </c>
      <c r="H523" s="12" t="s">
        <v>47</v>
      </c>
      <c r="I523" s="22" t="str">
        <f t="shared" si="7"/>
        <v/>
      </c>
      <c r="J523" s="20" t="b">
        <v>0</v>
      </c>
      <c r="K523" s="13" t="str">
        <f t="shared" si="2"/>
        <v/>
      </c>
    </row>
    <row r="524" ht="22.5" customHeight="1">
      <c r="B524" s="13">
        <f t="shared" si="3"/>
        <v>518</v>
      </c>
      <c r="C524" s="15" t="str">
        <f t="array" ref="C524">IFNA(_xlfn.XLOOKUP(B524,Table_Respons_Loket[Count],Table_Respons_Loket[Nomor Tiket]),"")</f>
        <v>K/54/251024/1</v>
      </c>
      <c r="D524" s="15" t="str">
        <f t="array" ref="D524">IFNA(_xlfn.XLOOKUP(B524,Table_Respons_Loket[Count],Table_Respons_Loket[Daftar Nomor Hak]),"")</f>
        <v>M.1393/SUKAJAWA</v>
      </c>
      <c r="E524" s="17">
        <f t="array" ref="E524">IFNA(_xlfn.XLOOKUP(B524,Table_Respons_Loket[Count],Table_Respons_Loket[Time Stamp]),"")</f>
        <v>45590.66201</v>
      </c>
      <c r="F524" s="18" t="str">
        <f t="array" ref="F524">IFNA(_xlfn.XLOOKUP(B524,Table_Respons_Loket[Count],Table_Respons_Loket[Jenis Permohonan]),"")</f>
        <v>SITA</v>
      </c>
      <c r="G524" s="24"/>
      <c r="H524" s="24"/>
      <c r="I524" s="22" t="str">
        <f t="shared" si="7"/>
        <v/>
      </c>
      <c r="J524" s="20" t="b">
        <v>0</v>
      </c>
      <c r="K524" s="13" t="str">
        <f t="shared" si="2"/>
        <v/>
      </c>
    </row>
    <row r="525" ht="22.5" customHeight="1">
      <c r="B525" s="13">
        <f t="shared" si="3"/>
        <v>519</v>
      </c>
      <c r="C525" s="15" t="str">
        <f t="array" ref="C525">IFNA(_xlfn.XLOOKUP(B525,Table_Respons_Loket[Count],Table_Respons_Loket[Nomor Tiket]),"")</f>
        <v>K/55/251024/2</v>
      </c>
      <c r="D525" s="15" t="str">
        <f t="array" ref="D525">IFNA(_xlfn.XLOOKUP(B525,Table_Respons_Loket[Count],Table_Respons_Loket[Daftar Nomor Hak]),"")</f>
        <v>M.1741/SUKAJAWA</v>
      </c>
      <c r="E525" s="17">
        <f t="array" ref="E525">IFNA(_xlfn.XLOOKUP(B525,Table_Respons_Loket[Count],Table_Respons_Loket[Time Stamp]),"")</f>
        <v>45590.66259</v>
      </c>
      <c r="F525" s="18" t="str">
        <f t="array" ref="F525">IFNA(_xlfn.XLOOKUP(B525,Table_Respons_Loket[Count],Table_Respons_Loket[Jenis Permohonan]),"")</f>
        <v>SITA</v>
      </c>
      <c r="G525" s="24"/>
      <c r="H525" s="24"/>
      <c r="I525" s="22" t="str">
        <f t="shared" si="7"/>
        <v/>
      </c>
      <c r="J525" s="20" t="b">
        <v>0</v>
      </c>
      <c r="K525" s="13" t="str">
        <f t="shared" si="2"/>
        <v/>
      </c>
    </row>
    <row r="526" ht="22.5" customHeight="1">
      <c r="B526" s="13">
        <f t="shared" si="3"/>
        <v>520</v>
      </c>
      <c r="C526" s="15" t="str">
        <f t="array" ref="C526">IFNA(_xlfn.XLOOKUP(B526,Table_Respons_Loket[Count],Table_Respons_Loket[Nomor Tiket]),"")</f>
        <v>L/26/251024/1</v>
      </c>
      <c r="D526" s="15" t="str">
        <f t="array" ref="D526">IFNA(_xlfn.XLOOKUP(B526,Table_Respons_Loket[Count],Table_Respons_Loket[Daftar Nomor Hak]),"")</f>
        <v>M.15567/S I</v>
      </c>
      <c r="E526" s="17">
        <f t="array" ref="E526">IFNA(_xlfn.XLOOKUP(B526,Table_Respons_Loket[Count],Table_Respons_Loket[Time Stamp]),"")</f>
        <v>45590.70029</v>
      </c>
      <c r="F526" s="18" t="str">
        <f t="array" ref="F526">IFNA(_xlfn.XLOOKUP(B526,Table_Respons_Loket[Count],Table_Respons_Loket[Jenis Permohonan]),"")</f>
        <v>ROYA</v>
      </c>
      <c r="G526" s="12" t="s">
        <v>48</v>
      </c>
      <c r="H526" s="12" t="s">
        <v>52</v>
      </c>
      <c r="I526" s="22">
        <f t="shared" si="7"/>
        <v>45594.40789</v>
      </c>
      <c r="J526" s="20" t="b">
        <v>0</v>
      </c>
      <c r="K526" s="13" t="str">
        <f t="shared" si="2"/>
        <v/>
      </c>
    </row>
    <row r="527" ht="22.5" customHeight="1">
      <c r="B527" s="13">
        <f t="shared" si="3"/>
        <v>521</v>
      </c>
      <c r="C527" s="15" t="str">
        <f t="array" ref="C527">IFNA(_xlfn.XLOOKUP(B527,Table_Respons_Loket[Count],Table_Respons_Loket[Nomor Tiket]),"")</f>
        <v>L/1/261024/1</v>
      </c>
      <c r="D527" s="15" t="str">
        <f t="array" ref="D527">IFNA(_xlfn.XLOOKUP(B527,Table_Respons_Loket[Count],Table_Respons_Loket[Daftar Nomor Hak]),"")</f>
        <v>HGB 208/PWK</v>
      </c>
      <c r="E527" s="17">
        <f t="array" ref="E527">IFNA(_xlfn.XLOOKUP(B527,Table_Respons_Loket[Count],Table_Respons_Loket[Time Stamp]),"")</f>
        <v>45591.41533</v>
      </c>
      <c r="F527" s="18" t="str">
        <f t="array" ref="F527">IFNA(_xlfn.XLOOKUP(B527,Table_Respons_Loket[Count],Table_Respons_Loket[Jenis Permohonan]),"")</f>
        <v>ROYA</v>
      </c>
      <c r="G527" s="12" t="s">
        <v>48</v>
      </c>
      <c r="H527" s="12" t="s">
        <v>52</v>
      </c>
      <c r="I527" s="22">
        <f t="shared" si="7"/>
        <v>45594.408</v>
      </c>
      <c r="J527" s="20" t="b">
        <v>0</v>
      </c>
      <c r="K527" s="13" t="str">
        <f t="shared" si="2"/>
        <v/>
      </c>
    </row>
    <row r="528" ht="22.5" customHeight="1">
      <c r="B528" s="13">
        <f t="shared" si="3"/>
        <v>522</v>
      </c>
      <c r="C528" s="15" t="str">
        <f t="array" ref="C528">IFNA(_xlfn.XLOOKUP(B528,Table_Respons_Loket[Count],Table_Respons_Loket[Nomor Tiket]),"")</f>
        <v>K/1/281024/1</v>
      </c>
      <c r="D528" s="15" t="str">
        <f t="array" ref="D528">IFNA(_xlfn.XLOOKUP(B528,Table_Respons_Loket[Count],Table_Respons_Loket[Daftar Nomor Hak]),"")</f>
        <v>B. 770/ SUMUR PUTRI</v>
      </c>
      <c r="E528" s="17">
        <f t="array" ref="E528">IFNA(_xlfn.XLOOKUP(B528,Table_Respons_Loket[Count],Table_Respons_Loket[Time Stamp]),"")</f>
        <v>45593.3745</v>
      </c>
      <c r="F528" s="18" t="str">
        <f t="array" ref="F528">IFNA(_xlfn.XLOOKUP(B528,Table_Respons_Loket[Count],Table_Respons_Loket[Jenis Permohonan]),"")</f>
        <v>BN JUAL BELI</v>
      </c>
      <c r="G528" s="12" t="s">
        <v>48</v>
      </c>
      <c r="H528" s="12" t="s">
        <v>47</v>
      </c>
      <c r="I528" s="22" t="str">
        <f t="shared" si="7"/>
        <v/>
      </c>
      <c r="J528" s="20" t="b">
        <v>0</v>
      </c>
      <c r="K528" s="13" t="str">
        <f t="shared" si="2"/>
        <v/>
      </c>
    </row>
    <row r="529" ht="22.5" customHeight="1">
      <c r="B529" s="13">
        <f t="shared" si="3"/>
        <v>523</v>
      </c>
      <c r="C529" s="15" t="str">
        <f t="array" ref="C529">IFNA(_xlfn.XLOOKUP(B529,Table_Respons_Loket[Count],Table_Respons_Loket[Nomor Tiket]),"")</f>
        <v>L/2/281024/1</v>
      </c>
      <c r="D529" s="15" t="str">
        <f t="array" ref="D529">IFNA(_xlfn.XLOOKUP(B529,Table_Respons_Loket[Count],Table_Respons_Loket[Daftar Nomor Hak]),"")</f>
        <v>TANJUNG AGUNG</v>
      </c>
      <c r="E529" s="17">
        <f t="array" ref="E529">IFNA(_xlfn.XLOOKUP(B529,Table_Respons_Loket[Count],Table_Respons_Loket[Time Stamp]),"")</f>
        <v>45593.37791</v>
      </c>
      <c r="F529" s="18" t="str">
        <f t="array" ref="F529">IFNA(_xlfn.XLOOKUP(B529,Table_Respons_Loket[Count],Table_Respons_Loket[Jenis Permohonan]),"")</f>
        <v>PERTAMA KALI</v>
      </c>
      <c r="G529" s="24"/>
      <c r="H529" s="24"/>
      <c r="I529" s="22" t="str">
        <f t="shared" si="7"/>
        <v/>
      </c>
      <c r="J529" s="20" t="b">
        <v>0</v>
      </c>
      <c r="K529" s="13" t="str">
        <f t="shared" si="2"/>
        <v/>
      </c>
    </row>
    <row r="530" ht="22.5" customHeight="1">
      <c r="B530" s="13">
        <f t="shared" si="3"/>
        <v>524</v>
      </c>
      <c r="C530" s="15" t="str">
        <f t="array" ref="C530">IFNA(_xlfn.XLOOKUP(B530,Table_Respons_Loket[Count],Table_Respons_Loket[Nomor Tiket]),"")</f>
        <v>K/3/281024/1</v>
      </c>
      <c r="D530" s="15" t="str">
        <f t="array" ref="D530">IFNA(_xlfn.XLOOKUP(B530,Table_Respons_Loket[Count],Table_Respons_Loket[Daftar Nomor Hak]),"")</f>
        <v>M. 139/ rajabasa Jaya</v>
      </c>
      <c r="E530" s="17">
        <f t="array" ref="E530">IFNA(_xlfn.XLOOKUP(B530,Table_Respons_Loket[Count],Table_Respons_Loket[Time Stamp]),"")</f>
        <v>45593.38098</v>
      </c>
      <c r="F530" s="18" t="str">
        <f t="array" ref="F530">IFNA(_xlfn.XLOOKUP(B530,Table_Respons_Loket[Count],Table_Respons_Loket[Jenis Permohonan]),"")</f>
        <v>SKPT Lelang</v>
      </c>
      <c r="G530" s="24"/>
      <c r="H530" s="24"/>
      <c r="I530" s="22" t="str">
        <f t="shared" si="7"/>
        <v/>
      </c>
      <c r="J530" s="20" t="b">
        <v>0</v>
      </c>
      <c r="K530" s="13" t="str">
        <f t="shared" si="2"/>
        <v/>
      </c>
    </row>
    <row r="531" ht="22.5" customHeight="1">
      <c r="B531" s="13">
        <f t="shared" si="3"/>
        <v>525</v>
      </c>
      <c r="C531" s="15" t="str">
        <f t="array" ref="C531">IFNA(_xlfn.XLOOKUP(B531,Table_Respons_Loket[Count],Table_Respons_Loket[Nomor Tiket]),"")</f>
        <v>K/4/281024/2</v>
      </c>
      <c r="D531" s="15" t="str">
        <f t="array" ref="D531">IFNA(_xlfn.XLOOKUP(B531,Table_Respons_Loket[Count],Table_Respons_Loket[Daftar Nomor Hak]),"")</f>
        <v>M. 660/ Tanjung Gading</v>
      </c>
      <c r="E531" s="17">
        <f t="array" ref="E531">IFNA(_xlfn.XLOOKUP(B531,Table_Respons_Loket[Count],Table_Respons_Loket[Time Stamp]),"")</f>
        <v>45593.38484</v>
      </c>
      <c r="F531" s="18" t="str">
        <f t="array" ref="F531">IFNA(_xlfn.XLOOKUP(B531,Table_Respons_Loket[Count],Table_Respons_Loket[Jenis Permohonan]),"")</f>
        <v>SKPT lelang</v>
      </c>
      <c r="G531" s="24"/>
      <c r="H531" s="24"/>
      <c r="I531" s="22" t="str">
        <f t="shared" si="7"/>
        <v/>
      </c>
      <c r="J531" s="20" t="b">
        <v>0</v>
      </c>
      <c r="K531" s="13" t="str">
        <f t="shared" si="2"/>
        <v/>
      </c>
    </row>
    <row r="532" ht="22.5" customHeight="1">
      <c r="B532" s="13">
        <f t="shared" si="3"/>
        <v>526</v>
      </c>
      <c r="C532" s="15" t="str">
        <f t="array" ref="C532">IFNA(_xlfn.XLOOKUP(B532,Table_Respons_Loket[Count],Table_Respons_Loket[Nomor Tiket]),"")</f>
        <v>K/5/281024/1</v>
      </c>
      <c r="D532" s="15" t="str">
        <f t="array" ref="D532">IFNA(_xlfn.XLOOKUP(B532,Table_Respons_Loket[Count],Table_Respons_Loket[Daftar Nomor Hak]),"")</f>
        <v>M. 1409/ Panjang Utara</v>
      </c>
      <c r="E532" s="17">
        <f t="array" ref="E532">IFNA(_xlfn.XLOOKUP(B532,Table_Respons_Loket[Count],Table_Respons_Loket[Time Stamp]),"")</f>
        <v>45593.38839</v>
      </c>
      <c r="F532" s="18" t="str">
        <f t="array" ref="F532">IFNA(_xlfn.XLOOKUP(B532,Table_Respons_Loket[Count],Table_Respons_Loket[Jenis Permohonan]),"")</f>
        <v>Ganti Nama</v>
      </c>
      <c r="G532" s="12" t="s">
        <v>42</v>
      </c>
      <c r="H532" s="12" t="s">
        <v>52</v>
      </c>
      <c r="I532" s="22">
        <f t="shared" si="7"/>
        <v>45614.66166</v>
      </c>
      <c r="J532" s="20" t="b">
        <v>1</v>
      </c>
      <c r="K532" s="17">
        <f t="shared" si="2"/>
        <v>45614.66166</v>
      </c>
    </row>
    <row r="533" ht="22.5" customHeight="1">
      <c r="B533" s="13">
        <f t="shared" si="3"/>
        <v>527</v>
      </c>
      <c r="C533" s="15" t="str">
        <f t="array" ref="C533">IFNA(_xlfn.XLOOKUP(B533,Table_Respons_Loket[Count],Table_Respons_Loket[Nomor Tiket]),"")</f>
        <v>L/6/281024/1</v>
      </c>
      <c r="D533" s="15" t="str">
        <f t="array" ref="D533">IFNA(_xlfn.XLOOKUP(B533,Table_Respons_Loket[Count],Table_Respons_Loket[Daftar Nomor Hak]),"")</f>
        <v>HM 8198/SUKABUMI</v>
      </c>
      <c r="E533" s="17">
        <f t="array" ref="E533">IFNA(_xlfn.XLOOKUP(B533,Table_Respons_Loket[Count],Table_Respons_Loket[Time Stamp]),"")</f>
        <v>45593.39436</v>
      </c>
      <c r="F533" s="18" t="str">
        <f t="array" ref="F533">IFNA(_xlfn.XLOOKUP(B533,Table_Respons_Loket[Count],Table_Respons_Loket[Jenis Permohonan]),"")</f>
        <v>BN LELANG</v>
      </c>
      <c r="G533" s="12" t="s">
        <v>48</v>
      </c>
      <c r="H533" s="12" t="s">
        <v>87</v>
      </c>
      <c r="I533" s="22">
        <f t="shared" si="7"/>
        <v>45594.40951</v>
      </c>
      <c r="J533" s="20" t="b">
        <v>0</v>
      </c>
      <c r="K533" s="13" t="str">
        <f t="shared" si="2"/>
        <v/>
      </c>
    </row>
    <row r="534" ht="22.5" customHeight="1">
      <c r="B534" s="13">
        <f t="shared" si="3"/>
        <v>528</v>
      </c>
      <c r="C534" s="15" t="str">
        <f t="array" ref="C534">IFNA(_xlfn.XLOOKUP(B534,Table_Respons_Loket[Count],Table_Respons_Loket[Nomor Tiket]),"")</f>
        <v>K/7/281024/1</v>
      </c>
      <c r="D534" s="15" t="str">
        <f t="array" ref="D534">IFNA(_xlfn.XLOOKUP(B534,Table_Respons_Loket[Count],Table_Respons_Loket[Daftar Nomor Hak]),"")</f>
        <v>Nibel. M. 1226/ Gulak Galik</v>
      </c>
      <c r="E534" s="17">
        <f t="array" ref="E534">IFNA(_xlfn.XLOOKUP(B534,Table_Respons_Loket[Count],Table_Respons_Loket[Time Stamp]),"")</f>
        <v>45593.4009</v>
      </c>
      <c r="F534" s="18" t="str">
        <f t="array" ref="F534">IFNA(_xlfn.XLOOKUP(B534,Table_Respons_Loket[Count],Table_Respons_Loket[Jenis Permohonan]),"")</f>
        <v>BN Hibah</v>
      </c>
      <c r="G534" s="24"/>
      <c r="H534" s="24"/>
      <c r="I534" s="22" t="str">
        <f t="shared" si="7"/>
        <v/>
      </c>
      <c r="J534" s="20" t="b">
        <v>0</v>
      </c>
      <c r="K534" s="13" t="str">
        <f t="shared" si="2"/>
        <v/>
      </c>
    </row>
    <row r="535" ht="22.5" customHeight="1">
      <c r="B535" s="13">
        <f t="shared" si="3"/>
        <v>529</v>
      </c>
      <c r="C535" s="15" t="str">
        <f t="array" ref="C535">IFNA(_xlfn.XLOOKUP(B535,Table_Respons_Loket[Count],Table_Respons_Loket[Nomor Tiket]),"")</f>
        <v>K/9/281024/1</v>
      </c>
      <c r="D535" s="15" t="str">
        <f t="array" ref="D535">IFNA(_xlfn.XLOOKUP(B535,Table_Respons_Loket[Count],Table_Respons_Loket[Daftar Nomor Hak]),"")</f>
        <v>M.1591/RAJABASA NUNYAI-SEKARANG;B.347/RAJABASA NUNYAI-DAHULU</v>
      </c>
      <c r="E535" s="17">
        <f t="array" ref="E535">IFNA(_xlfn.XLOOKUP(B535,Table_Respons_Loket[Count],Table_Respons_Loket[Time Stamp]),"")</f>
        <v>45593.40301</v>
      </c>
      <c r="F535" s="18" t="str">
        <f t="array" ref="F535">IFNA(_xlfn.XLOOKUP(B535,Table_Respons_Loket[Count],Table_Respons_Loket[Jenis Permohonan]),"")</f>
        <v>BN JUAL BELI</v>
      </c>
      <c r="G535" s="12" t="s">
        <v>48</v>
      </c>
      <c r="H535" s="12" t="s">
        <v>87</v>
      </c>
      <c r="I535" s="22">
        <f t="shared" si="7"/>
        <v>45594.41016</v>
      </c>
      <c r="J535" s="20" t="b">
        <v>0</v>
      </c>
      <c r="K535" s="13" t="str">
        <f t="shared" si="2"/>
        <v/>
      </c>
    </row>
    <row r="536" ht="22.5" customHeight="1">
      <c r="B536" s="13">
        <f t="shared" si="3"/>
        <v>530</v>
      </c>
      <c r="C536" s="15" t="str">
        <f t="array" ref="C536">IFNA(_xlfn.XLOOKUP(B536,Table_Respons_Loket[Count],Table_Respons_Loket[Nomor Tiket]),"")</f>
        <v>K/8/281024/1</v>
      </c>
      <c r="D536" s="15" t="str">
        <f t="array" ref="D536">IFNA(_xlfn.XLOOKUP(B536,Table_Respons_Loket[Count],Table_Respons_Loket[Daftar Nomor Hak]),"")</f>
        <v>M. 3464/ Gunung Terang</v>
      </c>
      <c r="E536" s="17">
        <f t="array" ref="E536">IFNA(_xlfn.XLOOKUP(B536,Table_Respons_Loket[Count],Table_Respons_Loket[Time Stamp]),"")</f>
        <v>45593.40304</v>
      </c>
      <c r="F536" s="18" t="str">
        <f t="array" ref="F536">IFNA(_xlfn.XLOOKUP(B536,Table_Respons_Loket[Count],Table_Respons_Loket[Jenis Permohonan]),"")</f>
        <v>PTPGT Pemecahan</v>
      </c>
      <c r="G536" s="24"/>
      <c r="H536" s="24"/>
      <c r="I536" s="22" t="str">
        <f t="shared" si="7"/>
        <v/>
      </c>
      <c r="J536" s="20" t="b">
        <v>0</v>
      </c>
      <c r="K536" s="13" t="str">
        <f t="shared" si="2"/>
        <v/>
      </c>
    </row>
    <row r="537" ht="22.5" customHeight="1">
      <c r="B537" s="13">
        <f t="shared" si="3"/>
        <v>531</v>
      </c>
      <c r="C537" s="15" t="str">
        <f t="array" ref="C537">IFNA(_xlfn.XLOOKUP(B537,Table_Respons_Loket[Count],Table_Respons_Loket[Nomor Tiket]),"")</f>
        <v>L/10/281024/1</v>
      </c>
      <c r="D537" s="15" t="str">
        <f t="array" ref="D537">IFNA(_xlfn.XLOOKUP(B537,Table_Respons_Loket[Count],Table_Respons_Loket[Daftar Nomor Hak]),"")</f>
        <v>M.1465/KEDAMAIAN</v>
      </c>
      <c r="E537" s="17">
        <f t="array" ref="E537">IFNA(_xlfn.XLOOKUP(B537,Table_Respons_Loket[Count],Table_Respons_Loket[Time Stamp]),"")</f>
        <v>45593.40696</v>
      </c>
      <c r="F537" s="18" t="str">
        <f t="array" ref="F537">IFNA(_xlfn.XLOOKUP(B537,Table_Respons_Loket[Count],Table_Respons_Loket[Jenis Permohonan]),"")</f>
        <v>CEKPLOT HILANG</v>
      </c>
      <c r="G537" s="24"/>
      <c r="H537" s="24"/>
      <c r="I537" s="22" t="str">
        <f t="shared" si="7"/>
        <v/>
      </c>
      <c r="J537" s="20" t="b">
        <v>0</v>
      </c>
      <c r="K537" s="13" t="str">
        <f t="shared" si="2"/>
        <v/>
      </c>
    </row>
    <row r="538" ht="22.5" customHeight="1">
      <c r="B538" s="13">
        <f t="shared" si="3"/>
        <v>532</v>
      </c>
      <c r="C538" s="15" t="str">
        <f t="array" ref="C538">IFNA(_xlfn.XLOOKUP(B538,Table_Respons_Loket[Count],Table_Respons_Loket[Nomor Tiket]),"")</f>
        <v>L/11/281024/2</v>
      </c>
      <c r="D538" s="15" t="str">
        <f t="array" ref="D538">IFNA(_xlfn.XLOOKUP(B538,Table_Respons_Loket[Count],Table_Respons_Loket[Daftar Nomor Hak]),"")</f>
        <v>M.11474/KEDAMAIAN-SERTIPIKAT TETANGGA</v>
      </c>
      <c r="E538" s="17">
        <f t="array" ref="E538">IFNA(_xlfn.XLOOKUP(B538,Table_Respons_Loket[Count],Table_Respons_Loket[Time Stamp]),"")</f>
        <v>45593.4077</v>
      </c>
      <c r="F538" s="18" t="str">
        <f t="array" ref="F538">IFNA(_xlfn.XLOOKUP(B538,Table_Respons_Loket[Count],Table_Respons_Loket[Jenis Permohonan]),"")</f>
        <v>CEKPLOT HILANG</v>
      </c>
      <c r="G538" s="24"/>
      <c r="H538" s="24"/>
      <c r="I538" s="22" t="str">
        <f t="shared" si="7"/>
        <v/>
      </c>
      <c r="J538" s="20" t="b">
        <v>0</v>
      </c>
      <c r="K538" s="13" t="str">
        <f t="shared" si="2"/>
        <v/>
      </c>
    </row>
    <row r="539" ht="22.5" customHeight="1">
      <c r="B539" s="13">
        <f t="shared" si="3"/>
        <v>533</v>
      </c>
      <c r="C539" s="15" t="str">
        <f t="array" ref="C539">IFNA(_xlfn.XLOOKUP(B539,Table_Respons_Loket[Count],Table_Respons_Loket[Nomor Tiket]),"")</f>
        <v>K/12/281024/1</v>
      </c>
      <c r="D539" s="15" t="str">
        <f t="array" ref="D539">IFNA(_xlfn.XLOOKUP(B539,Table_Respons_Loket[Count],Table_Respons_Loket[Daftar Nomor Hak]),"")</f>
        <v>M.2877/SUKARAME II</v>
      </c>
      <c r="E539" s="17">
        <f t="array" ref="E539">IFNA(_xlfn.XLOOKUP(B539,Table_Respons_Loket[Count],Table_Respons_Loket[Time Stamp]),"")</f>
        <v>45593.40916</v>
      </c>
      <c r="F539" s="18" t="str">
        <f t="array" ref="F539">IFNA(_xlfn.XLOOKUP(B539,Table_Respons_Loket[Count],Table_Respons_Loket[Jenis Permohonan]),"")</f>
        <v>BN JUAL BELI</v>
      </c>
      <c r="G539" s="12" t="s">
        <v>48</v>
      </c>
      <c r="H539" s="12" t="s">
        <v>52</v>
      </c>
      <c r="I539" s="22">
        <f t="shared" si="7"/>
        <v>45594.41064</v>
      </c>
      <c r="J539" s="20" t="b">
        <v>0</v>
      </c>
      <c r="K539" s="13" t="str">
        <f t="shared" si="2"/>
        <v/>
      </c>
    </row>
    <row r="540" ht="22.5" customHeight="1">
      <c r="B540" s="13">
        <f t="shared" si="3"/>
        <v>534</v>
      </c>
      <c r="C540" s="15" t="str">
        <f t="array" ref="C540">IFNA(_xlfn.XLOOKUP(B540,Table_Respons_Loket[Count],Table_Respons_Loket[Nomor Tiket]),"")</f>
        <v>K/13/281024/1</v>
      </c>
      <c r="D540" s="15" t="str">
        <f t="array" ref="D540">IFNA(_xlfn.XLOOKUP(B540,Table_Respons_Loket[Count],Table_Respons_Loket[Daftar Nomor Hak]),"")</f>
        <v>M. 1317/ Kupang Teba</v>
      </c>
      <c r="E540" s="17">
        <f t="array" ref="E540">IFNA(_xlfn.XLOOKUP(B540,Table_Respons_Loket[Count],Table_Respons_Loket[Time Stamp]),"")</f>
        <v>45593.41615</v>
      </c>
      <c r="F540" s="18" t="str">
        <f t="array" ref="F540">IFNA(_xlfn.XLOOKUP(B540,Table_Respons_Loket[Count],Table_Respons_Loket[Jenis Permohonan]),"")</f>
        <v>Roya</v>
      </c>
      <c r="G540" s="12" t="s">
        <v>48</v>
      </c>
      <c r="H540" s="12" t="s">
        <v>52</v>
      </c>
      <c r="I540" s="22">
        <f t="shared" si="7"/>
        <v>45594.4113</v>
      </c>
      <c r="J540" s="20" t="b">
        <v>0</v>
      </c>
      <c r="K540" s="13" t="str">
        <f t="shared" si="2"/>
        <v/>
      </c>
    </row>
    <row r="541" ht="22.5" customHeight="1">
      <c r="B541" s="13">
        <f t="shared" si="3"/>
        <v>535</v>
      </c>
      <c r="C541" s="15" t="str">
        <f t="array" ref="C541">IFNA(_xlfn.XLOOKUP(B541,Table_Respons_Loket[Count],Table_Respons_Loket[Nomor Tiket]),"")</f>
        <v>K/14/281024/2</v>
      </c>
      <c r="D541" s="15" t="str">
        <f t="array" ref="D541">IFNA(_xlfn.XLOOKUP(B541,Table_Respons_Loket[Count],Table_Respons_Loket[Daftar Nomor Hak]),"")</f>
        <v>M. 45/ Kupang Teba</v>
      </c>
      <c r="E541" s="17">
        <f t="array" ref="E541">IFNA(_xlfn.XLOOKUP(B541,Table_Respons_Loket[Count],Table_Respons_Loket[Time Stamp]),"")</f>
        <v>45593.41867</v>
      </c>
      <c r="F541" s="18" t="str">
        <f t="array" ref="F541">IFNA(_xlfn.XLOOKUP(B541,Table_Respons_Loket[Count],Table_Respons_Loket[Jenis Permohonan]),"")</f>
        <v>Roya</v>
      </c>
      <c r="G541" s="12" t="s">
        <v>48</v>
      </c>
      <c r="H541" s="12" t="s">
        <v>87</v>
      </c>
      <c r="I541" s="22">
        <f t="shared" si="7"/>
        <v>45594.41135</v>
      </c>
      <c r="J541" s="20" t="b">
        <v>0</v>
      </c>
      <c r="K541" s="13" t="str">
        <f t="shared" si="2"/>
        <v/>
      </c>
    </row>
    <row r="542" ht="22.5" customHeight="1">
      <c r="B542" s="13">
        <f t="shared" si="3"/>
        <v>536</v>
      </c>
      <c r="C542" s="15" t="str">
        <f t="array" ref="C542">IFNA(_xlfn.XLOOKUP(B542,Table_Respons_Loket[Count],Table_Respons_Loket[Nomor Tiket]),"")</f>
        <v>K/13/281024/2</v>
      </c>
      <c r="D542" s="15" t="str">
        <f t="array" ref="D542">IFNA(_xlfn.XLOOKUP(B542,Table_Respons_Loket[Count],Table_Respons_Loket[Daftar Nomor Hak]),"")</f>
        <v>Nibel 2342/ Sumur Putri</v>
      </c>
      <c r="E542" s="17">
        <f t="array" ref="E542">IFNA(_xlfn.XLOOKUP(B542,Table_Respons_Loket[Count],Table_Respons_Loket[Time Stamp]),"")</f>
        <v>45593.42185</v>
      </c>
      <c r="F542" s="18" t="str">
        <f t="array" ref="F542">IFNA(_xlfn.XLOOKUP(B542,Table_Respons_Loket[Count],Table_Respons_Loket[Jenis Permohonan]),"")</f>
        <v>Perubahan Hak </v>
      </c>
      <c r="G542" s="24"/>
      <c r="H542" s="24"/>
      <c r="I542" s="22" t="str">
        <f t="shared" si="7"/>
        <v/>
      </c>
      <c r="J542" s="20" t="b">
        <v>0</v>
      </c>
      <c r="K542" s="13" t="str">
        <f t="shared" si="2"/>
        <v/>
      </c>
    </row>
    <row r="543" ht="22.5" customHeight="1">
      <c r="B543" s="13">
        <f t="shared" si="3"/>
        <v>537</v>
      </c>
      <c r="C543" s="15" t="str">
        <f t="array" ref="C543">IFNA(_xlfn.XLOOKUP(B543,Table_Respons_Loket[Count],Table_Respons_Loket[Nomor Tiket]),"")</f>
        <v>L/16/281024/1</v>
      </c>
      <c r="D543" s="15" t="str">
        <f t="array" ref="D543">IFNA(_xlfn.XLOOKUP(B543,Table_Respons_Loket[Count],Table_Respons_Loket[Daftar Nomor Hak]),"")</f>
        <v>M.739/NOG</v>
      </c>
      <c r="E543" s="17">
        <f t="array" ref="E543">IFNA(_xlfn.XLOOKUP(B543,Table_Respons_Loket[Count],Table_Respons_Loket[Time Stamp]),"")</f>
        <v>45593.42732</v>
      </c>
      <c r="F543" s="18" t="str">
        <f t="array" ref="F543">IFNA(_xlfn.XLOOKUP(B543,Table_Respons_Loket[Count],Table_Respons_Loket[Jenis Permohonan]),"")</f>
        <v>ROYA</v>
      </c>
      <c r="G543" s="12" t="s">
        <v>48</v>
      </c>
      <c r="H543" s="12" t="s">
        <v>52</v>
      </c>
      <c r="I543" s="22">
        <f t="shared" si="7"/>
        <v>45594.41162</v>
      </c>
      <c r="J543" s="20" t="b">
        <v>0</v>
      </c>
      <c r="K543" s="13" t="str">
        <f t="shared" si="2"/>
        <v/>
      </c>
    </row>
    <row r="544" ht="22.5" customHeight="1">
      <c r="B544" s="13">
        <f t="shared" si="3"/>
        <v>538</v>
      </c>
      <c r="C544" s="15" t="str">
        <f t="array" ref="C544">IFNA(_xlfn.XLOOKUP(B544,Table_Respons_Loket[Count],Table_Respons_Loket[Nomor Tiket]),"")</f>
        <v>K/17/281024/1</v>
      </c>
      <c r="D544" s="15" t="str">
        <f t="array" ref="D544">IFNA(_xlfn.XLOOKUP(B544,Table_Respons_Loket[Count],Table_Respons_Loket[Daftar Nomor Hak]),"")</f>
        <v>M. 1597/ Gedong Air</v>
      </c>
      <c r="E544" s="17">
        <f t="array" ref="E544">IFNA(_xlfn.XLOOKUP(B544,Table_Respons_Loket[Count],Table_Respons_Loket[Time Stamp]),"")</f>
        <v>45593.42812</v>
      </c>
      <c r="F544" s="18" t="str">
        <f t="array" ref="F544">IFNA(_xlfn.XLOOKUP(B544,Table_Respons_Loket[Count],Table_Respons_Loket[Jenis Permohonan]),"")</f>
        <v>S. Hilang</v>
      </c>
      <c r="G544" s="24"/>
      <c r="H544" s="24"/>
      <c r="I544" s="22" t="str">
        <f t="shared" si="7"/>
        <v/>
      </c>
      <c r="J544" s="20" t="b">
        <v>0</v>
      </c>
      <c r="K544" s="13" t="str">
        <f t="shared" si="2"/>
        <v/>
      </c>
    </row>
    <row r="545" ht="22.5" customHeight="1">
      <c r="B545" s="13">
        <f t="shared" si="3"/>
        <v>539</v>
      </c>
      <c r="C545" s="15" t="str">
        <f t="array" ref="C545">IFNA(_xlfn.XLOOKUP(B545,Table_Respons_Loket[Count],Table_Respons_Loket[Nomor Tiket]),"")</f>
        <v>K/15/281024/1</v>
      </c>
      <c r="D545" s="15" t="str">
        <f t="array" ref="D545">IFNA(_xlfn.XLOOKUP(B545,Table_Respons_Loket[Count],Table_Respons_Loket[Daftar Nomor Hak]),"")</f>
        <v>M. 9417/ Sidodadi</v>
      </c>
      <c r="E545" s="17">
        <f t="array" ref="E545">IFNA(_xlfn.XLOOKUP(B545,Table_Respons_Loket[Count],Table_Respons_Loket[Time Stamp]),"")</f>
        <v>45593.42998</v>
      </c>
      <c r="F545" s="18" t="str">
        <f t="array" ref="F545">IFNA(_xlfn.XLOOKUP(B545,Table_Respons_Loket[Count],Table_Respons_Loket[Jenis Permohonan]),"")</f>
        <v>BN WARIS</v>
      </c>
      <c r="G545" s="12" t="s">
        <v>48</v>
      </c>
      <c r="H545" s="12" t="s">
        <v>52</v>
      </c>
      <c r="I545" s="22">
        <f t="shared" si="7"/>
        <v>45594.41195</v>
      </c>
      <c r="J545" s="20" t="b">
        <v>0</v>
      </c>
      <c r="K545" s="13" t="str">
        <f t="shared" si="2"/>
        <v/>
      </c>
    </row>
    <row r="546" ht="22.5" customHeight="1">
      <c r="B546" s="13">
        <f t="shared" si="3"/>
        <v>540</v>
      </c>
      <c r="C546" s="15" t="str">
        <f t="array" ref="C546">IFNA(_xlfn.XLOOKUP(B546,Table_Respons_Loket[Count],Table_Respons_Loket[Nomor Tiket]),"")</f>
        <v>K/19/281024/1</v>
      </c>
      <c r="D546" s="15" t="str">
        <f t="array" ref="D546">IFNA(_xlfn.XLOOKUP(B546,Table_Respons_Loket[Count],Table_Respons_Loket[Daftar Nomor Hak]),"")</f>
        <v>M.231/CAMPANG JAYA-SEKARANG;M.231/NUSANTARA PERMAI-DAHULU</v>
      </c>
      <c r="E546" s="17">
        <f t="array" ref="E546">IFNA(_xlfn.XLOOKUP(B546,Table_Respons_Loket[Count],Table_Respons_Loket[Time Stamp]),"")</f>
        <v>45593.44786</v>
      </c>
      <c r="F546" s="18" t="str">
        <f t="array" ref="F546">IFNA(_xlfn.XLOOKUP(B546,Table_Respons_Loket[Count],Table_Respons_Loket[Jenis Permohonan]),"")</f>
        <v>BN JUAL BELI</v>
      </c>
      <c r="G546" s="12" t="s">
        <v>48</v>
      </c>
      <c r="H546" s="12" t="s">
        <v>52</v>
      </c>
      <c r="I546" s="22">
        <f t="shared" si="7"/>
        <v>45594.41214</v>
      </c>
      <c r="J546" s="20" t="b">
        <v>0</v>
      </c>
      <c r="K546" s="13" t="str">
        <f t="shared" si="2"/>
        <v/>
      </c>
    </row>
    <row r="547" ht="22.5" customHeight="1">
      <c r="B547" s="13">
        <f t="shared" si="3"/>
        <v>541</v>
      </c>
      <c r="C547" s="15" t="str">
        <f t="array" ref="C547">IFNA(_xlfn.XLOOKUP(B547,Table_Respons_Loket[Count],Table_Respons_Loket[Nomor Tiket]),"")</f>
        <v>K/20/281024/2</v>
      </c>
      <c r="D547" s="15" t="str">
        <f t="array" ref="D547">IFNA(_xlfn.XLOOKUP(B547,Table_Respons_Loket[Count],Table_Respons_Loket[Daftar Nomor Hak]),"")</f>
        <v>M.2072/CAMPANG JAYA-SEKARANG;M 247/NUSANTARA PERMAI-DAHULU</v>
      </c>
      <c r="E547" s="17">
        <f t="array" ref="E547">IFNA(_xlfn.XLOOKUP(B547,Table_Respons_Loket[Count],Table_Respons_Loket[Time Stamp]),"")</f>
        <v>45593.4489</v>
      </c>
      <c r="F547" s="18" t="str">
        <f t="array" ref="F547">IFNA(_xlfn.XLOOKUP(B547,Table_Respons_Loket[Count],Table_Respons_Loket[Jenis Permohonan]),"")</f>
        <v>BN JUAL BELI</v>
      </c>
      <c r="G547" s="12" t="s">
        <v>48</v>
      </c>
      <c r="H547" s="12" t="s">
        <v>47</v>
      </c>
      <c r="I547" s="22" t="str">
        <f t="shared" si="7"/>
        <v/>
      </c>
      <c r="J547" s="20" t="b">
        <v>0</v>
      </c>
      <c r="K547" s="13" t="str">
        <f t="shared" si="2"/>
        <v/>
      </c>
    </row>
    <row r="548" ht="22.5" customHeight="1">
      <c r="B548" s="13">
        <f t="shared" si="3"/>
        <v>542</v>
      </c>
      <c r="C548" s="15" t="str">
        <f t="array" ref="C548">IFNA(_xlfn.XLOOKUP(B548,Table_Respons_Loket[Count],Table_Respons_Loket[Nomor Tiket]),"")</f>
        <v>K/18/281024/1</v>
      </c>
      <c r="D548" s="15" t="str">
        <f t="array" ref="D548">IFNA(_xlfn.XLOOKUP(B548,Table_Respons_Loket[Count],Table_Respons_Loket[Daftar Nomor Hak]),"")</f>
        <v>M. 811/ Way Dadi</v>
      </c>
      <c r="E548" s="17">
        <f t="array" ref="E548">IFNA(_xlfn.XLOOKUP(B548,Table_Respons_Loket[Count],Table_Respons_Loket[Time Stamp]),"")</f>
        <v>45593.47227</v>
      </c>
      <c r="F548" s="18" t="str">
        <f t="array" ref="F548">IFNA(_xlfn.XLOOKUP(B548,Table_Respons_Loket[Count],Table_Respons_Loket[Jenis Permohonan]),"")</f>
        <v>BN Jual Beli</v>
      </c>
      <c r="G548" s="12" t="s">
        <v>50</v>
      </c>
      <c r="H548" s="12" t="s">
        <v>52</v>
      </c>
      <c r="I548" s="22">
        <f t="shared" si="7"/>
        <v>45594.42628</v>
      </c>
      <c r="J548" s="20" t="b">
        <v>0</v>
      </c>
      <c r="K548" s="13" t="str">
        <f t="shared" si="2"/>
        <v/>
      </c>
    </row>
    <row r="549" ht="22.5" customHeight="1">
      <c r="B549" s="13">
        <f t="shared" si="3"/>
        <v>543</v>
      </c>
      <c r="C549" s="15" t="str">
        <f t="array" ref="C549">IFNA(_xlfn.XLOOKUP(B549,Table_Respons_Loket[Count],Table_Respons_Loket[Nomor Tiket]),"")</f>
        <v>L/22/281024/1</v>
      </c>
      <c r="D549" s="15" t="str">
        <f t="array" ref="D549">IFNA(_xlfn.XLOOKUP(B549,Table_Respons_Loket[Count],Table_Respons_Loket[Daftar Nomor Hak]),"")</f>
        <v>HGB 3734/BERINGIN RAYA</v>
      </c>
      <c r="E549" s="17">
        <f t="array" ref="E549">IFNA(_xlfn.XLOOKUP(B549,Table_Respons_Loket[Count],Table_Respons_Loket[Time Stamp]),"")</f>
        <v>45593.4557</v>
      </c>
      <c r="F549" s="18" t="str">
        <f t="array" ref="F549">IFNA(_xlfn.XLOOKUP(B549,Table_Respons_Loket[Count],Table_Respons_Loket[Jenis Permohonan]),"")</f>
        <v>PH</v>
      </c>
      <c r="G549" s="12" t="s">
        <v>50</v>
      </c>
      <c r="H549" s="12" t="s">
        <v>52</v>
      </c>
      <c r="I549" s="22">
        <f t="shared" si="7"/>
        <v>45594.41346</v>
      </c>
      <c r="J549" s="20" t="b">
        <v>0</v>
      </c>
      <c r="K549" s="13" t="str">
        <f t="shared" si="2"/>
        <v/>
      </c>
    </row>
    <row r="550" ht="22.5" customHeight="1">
      <c r="B550" s="13">
        <f t="shared" si="3"/>
        <v>544</v>
      </c>
      <c r="C550" s="15" t="str">
        <f t="array" ref="C550">IFNA(_xlfn.XLOOKUP(B550,Table_Respons_Loket[Count],Table_Respons_Loket[Nomor Tiket]),"")</f>
        <v>K/21/281024/1</v>
      </c>
      <c r="D550" s="15" t="str">
        <f t="array" ref="D550">IFNA(_xlfn.XLOOKUP(B550,Table_Respons_Loket[Count],Table_Respons_Loket[Daftar Nomor Hak]),"")</f>
        <v>M.466/WAY TATAAN</v>
      </c>
      <c r="E550" s="17">
        <f t="array" ref="E550">IFNA(_xlfn.XLOOKUP(B550,Table_Respons_Loket[Count],Table_Respons_Loket[Time Stamp]),"")</f>
        <v>45593.45581</v>
      </c>
      <c r="F550" s="18" t="str">
        <f t="array" ref="F550">IFNA(_xlfn.XLOOKUP(B550,Table_Respons_Loket[Count],Table_Respons_Loket[Jenis Permohonan]),"")</f>
        <v>BN JUAL BELI</v>
      </c>
      <c r="G550" s="12" t="s">
        <v>50</v>
      </c>
      <c r="H550" s="12" t="s">
        <v>52</v>
      </c>
      <c r="I550" s="22">
        <f t="shared" si="7"/>
        <v>45594.41457</v>
      </c>
      <c r="J550" s="20" t="b">
        <v>0</v>
      </c>
      <c r="K550" s="13" t="str">
        <f t="shared" si="2"/>
        <v/>
      </c>
    </row>
    <row r="551" ht="22.5" customHeight="1">
      <c r="B551" s="13">
        <f t="shared" si="3"/>
        <v>545</v>
      </c>
      <c r="C551" s="15" t="str">
        <f t="array" ref="C551">IFNA(_xlfn.XLOOKUP(B551,Table_Respons_Loket[Count],Table_Respons_Loket[Nomor Tiket]),"")</f>
        <v>K/23/281024/1</v>
      </c>
      <c r="D551" s="15" t="str">
        <f t="array" ref="D551">IFNA(_xlfn.XLOOKUP(B551,Table_Respons_Loket[Count],Table_Respons_Loket[Daftar Nomor Hak]),"")</f>
        <v>Nibel. M. 1929/ Beringin Raya</v>
      </c>
      <c r="E551" s="17">
        <f t="array" ref="E551">IFNA(_xlfn.XLOOKUP(B551,Table_Respons_Loket[Count],Table_Respons_Loket[Time Stamp]),"")</f>
        <v>45593.47323</v>
      </c>
      <c r="F551" s="18" t="str">
        <f t="array" ref="F551">IFNA(_xlfn.XLOOKUP(B551,Table_Respons_Loket[Count],Table_Respons_Loket[Jenis Permohonan]),"")</f>
        <v>BN Jual Beli</v>
      </c>
      <c r="G551" s="24"/>
      <c r="H551" s="24"/>
      <c r="I551" s="22" t="str">
        <f t="shared" si="7"/>
        <v/>
      </c>
      <c r="J551" s="20" t="b">
        <v>0</v>
      </c>
      <c r="K551" s="13" t="str">
        <f t="shared" si="2"/>
        <v/>
      </c>
    </row>
    <row r="552" ht="22.5" customHeight="1">
      <c r="B552" s="13">
        <f t="shared" si="3"/>
        <v>546</v>
      </c>
      <c r="C552" s="15" t="str">
        <f t="array" ref="C552">IFNA(_xlfn.XLOOKUP(B552,Table_Respons_Loket[Count],Table_Respons_Loket[Nomor Tiket]),"")</f>
        <v>K/24/281024/1</v>
      </c>
      <c r="D552" s="15" t="str">
        <f t="array" ref="D552">IFNA(_xlfn.XLOOKUP(B552,Table_Respons_Loket[Count],Table_Respons_Loket[Daftar Nomor Hak]),"")</f>
        <v>M. 709/ Pahoman</v>
      </c>
      <c r="E552" s="17">
        <f t="array" ref="E552">IFNA(_xlfn.XLOOKUP(B552,Table_Respons_Loket[Count],Table_Respons_Loket[Time Stamp]),"")</f>
        <v>45593.47388</v>
      </c>
      <c r="F552" s="18" t="str">
        <f t="array" ref="F552">IFNA(_xlfn.XLOOKUP(B552,Table_Respons_Loket[Count],Table_Respons_Loket[Jenis Permohonan]),"")</f>
        <v>Ganti Kelurahan</v>
      </c>
      <c r="G552" s="24"/>
      <c r="H552" s="24"/>
      <c r="I552" s="22" t="str">
        <f t="shared" si="7"/>
        <v/>
      </c>
      <c r="J552" s="20" t="b">
        <v>0</v>
      </c>
      <c r="K552" s="13" t="str">
        <f t="shared" si="2"/>
        <v/>
      </c>
    </row>
    <row r="553" ht="22.5" customHeight="1">
      <c r="B553" s="13">
        <f t="shared" si="3"/>
        <v>547</v>
      </c>
      <c r="C553" s="15" t="str">
        <f t="array" ref="C553">IFNA(_xlfn.XLOOKUP(B553,Table_Respons_Loket[Count],Table_Respons_Loket[Nomor Tiket]),"")</f>
        <v>K/25/281024/2</v>
      </c>
      <c r="D553" s="15" t="str">
        <f t="array" ref="D553">IFNA(_xlfn.XLOOKUP(B553,Table_Respons_Loket[Count],Table_Respons_Loket[Daftar Nomor Hak]),"")</f>
        <v>M. 466/ Gunung Mas</v>
      </c>
      <c r="E553" s="17">
        <f t="array" ref="E553">IFNA(_xlfn.XLOOKUP(B553,Table_Respons_Loket[Count],Table_Respons_Loket[Time Stamp]),"")</f>
        <v>45593.47501</v>
      </c>
      <c r="F553" s="18" t="str">
        <f t="array" ref="F553">IFNA(_xlfn.XLOOKUP(B553,Table_Respons_Loket[Count],Table_Respons_Loket[Jenis Permohonan]),"")</f>
        <v>Ganti Kecamatan</v>
      </c>
      <c r="G553" s="24"/>
      <c r="H553" s="24"/>
      <c r="I553" s="22" t="str">
        <f t="shared" si="7"/>
        <v/>
      </c>
      <c r="J553" s="20" t="b">
        <v>0</v>
      </c>
      <c r="K553" s="13" t="str">
        <f t="shared" si="2"/>
        <v/>
      </c>
    </row>
    <row r="554" ht="22.5" customHeight="1">
      <c r="B554" s="13">
        <f t="shared" si="3"/>
        <v>548</v>
      </c>
      <c r="C554" s="15" t="str">
        <f t="array" ref="C554">IFNA(_xlfn.XLOOKUP(B554,Table_Respons_Loket[Count],Table_Respons_Loket[Nomor Tiket]),"")</f>
        <v>K/27/281024/1</v>
      </c>
      <c r="D554" s="15" t="str">
        <f t="array" ref="D554">IFNA(_xlfn.XLOOKUP(B554,Table_Respons_Loket[Count],Table_Respons_Loket[Daftar Nomor Hak]),"")</f>
        <v>B. 835/ Perumnas Way Kandis; B. 309/ Way Kandis</v>
      </c>
      <c r="E554" s="17">
        <f t="array" ref="E554">IFNA(_xlfn.XLOOKUP(B554,Table_Respons_Loket[Count],Table_Respons_Loket[Time Stamp]),"")</f>
        <v>45593.49007</v>
      </c>
      <c r="F554" s="18" t="str">
        <f t="array" ref="F554">IFNA(_xlfn.XLOOKUP(B554,Table_Respons_Loket[Count],Table_Respons_Loket[Jenis Permohonan]),"")</f>
        <v>Perubahan Hak</v>
      </c>
      <c r="G554" s="12" t="s">
        <v>50</v>
      </c>
      <c r="H554" s="12" t="s">
        <v>52</v>
      </c>
      <c r="I554" s="22">
        <f t="shared" si="7"/>
        <v>45594.41401</v>
      </c>
      <c r="J554" s="20" t="b">
        <v>0</v>
      </c>
      <c r="K554" s="13" t="str">
        <f t="shared" si="2"/>
        <v/>
      </c>
    </row>
    <row r="555" ht="22.5" customHeight="1">
      <c r="B555" s="13">
        <f t="shared" si="3"/>
        <v>549</v>
      </c>
      <c r="C555" s="15" t="str">
        <f t="array" ref="C555">IFNA(_xlfn.XLOOKUP(B555,Table_Respons_Loket[Count],Table_Respons_Loket[Nomor Tiket]),"")</f>
        <v>K/30/281024/1</v>
      </c>
      <c r="D555" s="15" t="str">
        <f t="array" ref="D555">IFNA(_xlfn.XLOOKUP(B555,Table_Respons_Loket[Count],Table_Respons_Loket[Daftar Nomor Hak]),"")</f>
        <v>M.3414/SUMBEREJO/KEMILING</v>
      </c>
      <c r="E555" s="17">
        <f t="array" ref="E555">IFNA(_xlfn.XLOOKUP(B555,Table_Respons_Loket[Count],Table_Respons_Loket[Time Stamp]),"")</f>
        <v>45593.56108</v>
      </c>
      <c r="F555" s="18" t="str">
        <f t="array" ref="F555">IFNA(_xlfn.XLOOKUP(B555,Table_Respons_Loket[Count],Table_Respons_Loket[Jenis Permohonan]),"")</f>
        <v>GANDES</v>
      </c>
      <c r="G555" s="24"/>
      <c r="H555" s="24"/>
      <c r="I555" s="22" t="str">
        <f t="shared" si="7"/>
        <v/>
      </c>
      <c r="J555" s="20" t="b">
        <v>0</v>
      </c>
      <c r="K555" s="13" t="str">
        <f t="shared" si="2"/>
        <v/>
      </c>
    </row>
    <row r="556" ht="22.5" customHeight="1">
      <c r="B556" s="13">
        <f t="shared" si="3"/>
        <v>550</v>
      </c>
      <c r="C556" s="15" t="str">
        <f t="array" ref="C556">IFNA(_xlfn.XLOOKUP(B556,Table_Respons_Loket[Count],Table_Respons_Loket[Nomor Tiket]),"")</f>
        <v>L/31/281024/1</v>
      </c>
      <c r="D556" s="15" t="str">
        <f t="array" ref="D556">IFNA(_xlfn.XLOOKUP(B556,Table_Respons_Loket[Count],Table_Respons_Loket[Daftar Nomor Hak]),"")</f>
        <v>M.2112 SUMBEREJO/KEMILING</v>
      </c>
      <c r="E556" s="17">
        <f t="array" ref="E556">IFNA(_xlfn.XLOOKUP(B556,Table_Respons_Loket[Count],Table_Respons_Loket[Time Stamp]),"")</f>
        <v>45593.56179</v>
      </c>
      <c r="F556" s="18" t="str">
        <f t="array" ref="F556">IFNA(_xlfn.XLOOKUP(B556,Table_Respons_Loket[Count],Table_Respons_Loket[Jenis Permohonan]),"")</f>
        <v>ROYA</v>
      </c>
      <c r="G556" s="12" t="s">
        <v>50</v>
      </c>
      <c r="H556" s="12" t="s">
        <v>52</v>
      </c>
      <c r="I556" s="22">
        <f t="shared" si="7"/>
        <v>45594.41439</v>
      </c>
      <c r="J556" s="20" t="b">
        <v>0</v>
      </c>
      <c r="K556" s="13" t="str">
        <f t="shared" si="2"/>
        <v/>
      </c>
    </row>
    <row r="557" ht="22.5" customHeight="1">
      <c r="B557" s="13">
        <f t="shared" si="3"/>
        <v>551</v>
      </c>
      <c r="C557" s="15" t="str">
        <f t="array" ref="C557">IFNA(_xlfn.XLOOKUP(B557,Table_Respons_Loket[Count],Table_Respons_Loket[Nomor Tiket]),"")</f>
        <v>K/28/281024/1</v>
      </c>
      <c r="D557" s="15" t="str">
        <f t="array" ref="D557">IFNA(_xlfn.XLOOKUP(B557,Table_Respons_Loket[Count],Table_Respons_Loket[Daftar Nomor Hak]),"")</f>
        <v>M. 2095/ Campang Jaya</v>
      </c>
      <c r="E557" s="17">
        <f t="array" ref="E557">IFNA(_xlfn.XLOOKUP(B557,Table_Respons_Loket[Count],Table_Respons_Loket[Time Stamp]),"")</f>
        <v>45593.56225</v>
      </c>
      <c r="F557" s="18" t="str">
        <f t="array" ref="F557">IFNA(_xlfn.XLOOKUP(B557,Table_Respons_Loket[Count],Table_Respons_Loket[Jenis Permohonan]),"")</f>
        <v>BN JUAL BELI</v>
      </c>
      <c r="G557" s="12" t="s">
        <v>50</v>
      </c>
      <c r="H557" s="12" t="s">
        <v>52</v>
      </c>
      <c r="I557" s="22">
        <f t="shared" si="7"/>
        <v>45614.66166</v>
      </c>
      <c r="J557" s="20" t="b">
        <v>0</v>
      </c>
      <c r="K557" s="13" t="str">
        <f t="shared" si="2"/>
        <v/>
      </c>
    </row>
    <row r="558" ht="22.5" customHeight="1">
      <c r="B558" s="13">
        <f t="shared" si="3"/>
        <v>552</v>
      </c>
      <c r="C558" s="15" t="str">
        <f t="array" ref="C558">IFNA(_xlfn.XLOOKUP(B558,Table_Respons_Loket[Count],Table_Respons_Loket[Nomor Tiket]),"")</f>
        <v>L/32/281024/1</v>
      </c>
      <c r="D558" s="15" t="str">
        <f t="array" ref="D558">IFNA(_xlfn.XLOOKUP(B558,Table_Respons_Loket[Count],Table_Respons_Loket[Daftar Nomor Hak]),"")</f>
        <v>B.244/LRR;B.28/LR-DAHULU</v>
      </c>
      <c r="E558" s="17">
        <f t="array" ref="E558">IFNA(_xlfn.XLOOKUP(B558,Table_Respons_Loket[Count],Table_Respons_Loket[Time Stamp]),"")</f>
        <v>45593.57287</v>
      </c>
      <c r="F558" s="18" t="str">
        <f t="array" ref="F558">IFNA(_xlfn.XLOOKUP(B558,Table_Respons_Loket[Count],Table_Respons_Loket[Jenis Permohonan]),"")</f>
        <v>PERUBAHAN HAK</v>
      </c>
      <c r="G558" s="12" t="s">
        <v>50</v>
      </c>
      <c r="H558" s="12" t="s">
        <v>87</v>
      </c>
      <c r="I558" s="22">
        <f t="shared" si="7"/>
        <v>45594.41515</v>
      </c>
      <c r="J558" s="20" t="b">
        <v>0</v>
      </c>
      <c r="K558" s="13" t="str">
        <f t="shared" si="2"/>
        <v/>
      </c>
    </row>
    <row r="559" ht="22.5" customHeight="1">
      <c r="B559" s="13">
        <f t="shared" si="3"/>
        <v>553</v>
      </c>
      <c r="C559" s="15" t="str">
        <f t="array" ref="C559">IFNA(_xlfn.XLOOKUP(B559,Table_Respons_Loket[Count],Table_Respons_Loket[Nomor Tiket]),"")</f>
        <v>L/33/281024/2</v>
      </c>
      <c r="D559" s="15" t="str">
        <f t="array" ref="D559">IFNA(_xlfn.XLOOKUP(B559,Table_Respons_Loket[Count],Table_Respons_Loket[Daftar Nomor Hak]),"")</f>
        <v>B.161/LRR;B.161/LR-DAHULU</v>
      </c>
      <c r="E559" s="17">
        <f t="array" ref="E559">IFNA(_xlfn.XLOOKUP(B559,Table_Respons_Loket[Count],Table_Respons_Loket[Time Stamp]),"")</f>
        <v>45593.57571</v>
      </c>
      <c r="F559" s="18" t="str">
        <f t="array" ref="F559">IFNA(_xlfn.XLOOKUP(B559,Table_Respons_Loket[Count],Table_Respons_Loket[Jenis Permohonan]),"")</f>
        <v>PERUBAHAN HAK</v>
      </c>
      <c r="G559" s="12" t="s">
        <v>50</v>
      </c>
      <c r="H559" s="12" t="s">
        <v>52</v>
      </c>
      <c r="I559" s="22">
        <f t="shared" si="7"/>
        <v>45594.41558</v>
      </c>
      <c r="J559" s="20" t="b">
        <v>0</v>
      </c>
      <c r="K559" s="13" t="str">
        <f t="shared" si="2"/>
        <v/>
      </c>
    </row>
    <row r="560" ht="22.5" customHeight="1">
      <c r="B560" s="13">
        <f t="shared" si="3"/>
        <v>554</v>
      </c>
      <c r="C560" s="15" t="str">
        <f t="array" ref="C560">IFNA(_xlfn.XLOOKUP(B560,Table_Respons_Loket[Count],Table_Respons_Loket[Nomor Tiket]),"")</f>
        <v>K/34/281024/1</v>
      </c>
      <c r="D560" s="15" t="str">
        <f t="array" ref="D560">IFNA(_xlfn.XLOOKUP(B560,Table_Respons_Loket[Count],Table_Respons_Loket[Daftar Nomor Hak]),"")</f>
        <v>NIBEL M.2194/GUNUNG TERANG</v>
      </c>
      <c r="E560" s="17">
        <f t="array" ref="E560">IFNA(_xlfn.XLOOKUP(B560,Table_Respons_Loket[Count],Table_Respons_Loket[Time Stamp]),"")</f>
        <v>45593.58049</v>
      </c>
      <c r="F560" s="18" t="str">
        <f t="array" ref="F560">IFNA(_xlfn.XLOOKUP(B560,Table_Respons_Loket[Count],Table_Respons_Loket[Jenis Permohonan]),"")</f>
        <v>BN JUAL BELI</v>
      </c>
      <c r="G560" s="24"/>
      <c r="H560" s="24"/>
      <c r="I560" s="22" t="str">
        <f t="shared" si="7"/>
        <v/>
      </c>
      <c r="J560" s="20" t="b">
        <v>0</v>
      </c>
      <c r="K560" s="13" t="str">
        <f t="shared" si="2"/>
        <v/>
      </c>
    </row>
    <row r="561" ht="22.5" customHeight="1">
      <c r="B561" s="13">
        <f t="shared" si="3"/>
        <v>555</v>
      </c>
      <c r="C561" s="15" t="str">
        <f t="array" ref="C561">IFNA(_xlfn.XLOOKUP(B561,Table_Respons_Loket[Count],Table_Respons_Loket[Nomor Tiket]),"")</f>
        <v>K/29/281024/1</v>
      </c>
      <c r="D561" s="15" t="str">
        <f t="array" ref="D561">IFNA(_xlfn.XLOOKUP(B561,Table_Respons_Loket[Count],Table_Respons_Loket[Daftar Nomor Hak]),"")</f>
        <v>B, 570/ Nusantara Permai</v>
      </c>
      <c r="E561" s="17">
        <f t="array" ref="E561">IFNA(_xlfn.XLOOKUP(B561,Table_Respons_Loket[Count],Table_Respons_Loket[Time Stamp]),"")</f>
        <v>45593.58098</v>
      </c>
      <c r="F561" s="18" t="str">
        <f t="array" ref="F561">IFNA(_xlfn.XLOOKUP(B561,Table_Respons_Loket[Count],Table_Respons_Loket[Jenis Permohonan]),"")</f>
        <v>Perubahan Hak</v>
      </c>
      <c r="G561" s="12" t="s">
        <v>50</v>
      </c>
      <c r="H561" s="12" t="s">
        <v>52</v>
      </c>
      <c r="I561" s="22">
        <f t="shared" si="7"/>
        <v>45614.66166</v>
      </c>
      <c r="J561" s="20" t="b">
        <v>0</v>
      </c>
      <c r="K561" s="13" t="str">
        <f t="shared" si="2"/>
        <v/>
      </c>
    </row>
    <row r="562" ht="22.5" customHeight="1">
      <c r="B562" s="13">
        <f t="shared" si="3"/>
        <v>556</v>
      </c>
      <c r="C562" s="15" t="str">
        <f t="array" ref="C562">IFNA(_xlfn.XLOOKUP(B562,Table_Respons_Loket[Count],Table_Respons_Loket[Nomor Tiket]),"")</f>
        <v>K/35/281024/1</v>
      </c>
      <c r="D562" s="15" t="str">
        <f t="array" ref="D562">IFNA(_xlfn.XLOOKUP(B562,Table_Respons_Loket[Count],Table_Respons_Loket[Daftar Nomor Hak]),"")</f>
        <v>Nibel. M. 2665/ Beringin Raya</v>
      </c>
      <c r="E562" s="17">
        <f t="array" ref="E562">IFNA(_xlfn.XLOOKUP(B562,Table_Respons_Loket[Count],Table_Respons_Loket[Time Stamp]),"")</f>
        <v>45593.58325</v>
      </c>
      <c r="F562" s="18" t="str">
        <f t="array" ref="F562">IFNA(_xlfn.XLOOKUP(B562,Table_Respons_Loket[Count],Table_Respons_Loket[Jenis Permohonan]),"")</f>
        <v>BN Jual Beli</v>
      </c>
      <c r="G562" s="24"/>
      <c r="H562" s="24"/>
      <c r="I562" s="22" t="str">
        <f t="shared" si="7"/>
        <v/>
      </c>
      <c r="J562" s="20" t="b">
        <v>0</v>
      </c>
      <c r="K562" s="13" t="str">
        <f t="shared" si="2"/>
        <v/>
      </c>
    </row>
    <row r="563" ht="22.5" customHeight="1">
      <c r="B563" s="13">
        <f t="shared" si="3"/>
        <v>557</v>
      </c>
      <c r="C563" s="15" t="str">
        <f t="array" ref="C563">IFNA(_xlfn.XLOOKUP(B563,Table_Respons_Loket[Count],Table_Respons_Loket[Nomor Tiket]),"")</f>
        <v>K/36/281024/1</v>
      </c>
      <c r="D563" s="15" t="str">
        <f t="array" ref="D563">IFNA(_xlfn.XLOOKUP(B563,Table_Respons_Loket[Count],Table_Respons_Loket[Daftar Nomor Hak]),"")</f>
        <v>M. 1142/ Kemiling Raya</v>
      </c>
      <c r="E563" s="17">
        <f t="array" ref="E563">IFNA(_xlfn.XLOOKUP(B563,Table_Respons_Loket[Count],Table_Respons_Loket[Time Stamp]),"")</f>
        <v>45593.59301</v>
      </c>
      <c r="F563" s="18" t="str">
        <f t="array" ref="F563">IFNA(_xlfn.XLOOKUP(B563,Table_Respons_Loket[Count],Table_Respons_Loket[Jenis Permohonan]),"")</f>
        <v>HAPUS BPHTB</v>
      </c>
      <c r="G563" s="24"/>
      <c r="H563" s="24"/>
      <c r="I563" s="22" t="str">
        <f t="shared" si="7"/>
        <v/>
      </c>
      <c r="J563" s="20" t="b">
        <v>0</v>
      </c>
      <c r="K563" s="13" t="str">
        <f t="shared" si="2"/>
        <v/>
      </c>
    </row>
    <row r="564" ht="22.5" customHeight="1">
      <c r="B564" s="13">
        <f t="shared" si="3"/>
        <v>558</v>
      </c>
      <c r="C564" s="15" t="str">
        <f t="array" ref="C564">IFNA(_xlfn.XLOOKUP(B564,Table_Respons_Loket[Count],Table_Respons_Loket[Nomor Tiket]),"")</f>
        <v>K/37/281024/1</v>
      </c>
      <c r="D564" s="15" t="str">
        <f t="array" ref="D564">IFNA(_xlfn.XLOOKUP(B564,Table_Respons_Loket[Count],Table_Respons_Loket[Daftar Nomor Hak]),"")</f>
        <v>M.1602/BUMI KEDAMAIAN</v>
      </c>
      <c r="E564" s="17">
        <f t="array" ref="E564">IFNA(_xlfn.XLOOKUP(B564,Table_Respons_Loket[Count],Table_Respons_Loket[Time Stamp]),"")</f>
        <v>45593.60365</v>
      </c>
      <c r="F564" s="18" t="str">
        <f t="array" ref="F564">IFNA(_xlfn.XLOOKUP(B564,Table_Respons_Loket[Count],Table_Respons_Loket[Jenis Permohonan]),"")</f>
        <v>BN JUAL BELI</v>
      </c>
      <c r="G564" s="12" t="s">
        <v>50</v>
      </c>
      <c r="H564" s="12" t="s">
        <v>47</v>
      </c>
      <c r="I564" s="22" t="str">
        <f t="shared" si="7"/>
        <v/>
      </c>
      <c r="J564" s="20" t="b">
        <v>0</v>
      </c>
      <c r="K564" s="13" t="str">
        <f t="shared" si="2"/>
        <v/>
      </c>
    </row>
    <row r="565" ht="22.5" customHeight="1">
      <c r="B565" s="13">
        <f t="shared" si="3"/>
        <v>559</v>
      </c>
      <c r="C565" s="15" t="str">
        <f t="array" ref="C565">IFNA(_xlfn.XLOOKUP(B565,Table_Respons_Loket[Count],Table_Respons_Loket[Nomor Tiket]),"")</f>
        <v>K/38/281024/2</v>
      </c>
      <c r="D565" s="15" t="str">
        <f t="array" ref="D565">IFNA(_xlfn.XLOOKUP(B565,Table_Respons_Loket[Count],Table_Respons_Loket[Daftar Nomor Hak]),"")</f>
        <v>M.9123/TANJUNG BARU </v>
      </c>
      <c r="E565" s="17">
        <f t="array" ref="E565">IFNA(_xlfn.XLOOKUP(B565,Table_Respons_Loket[Count],Table_Respons_Loket[Time Stamp]),"")</f>
        <v>45593.60859</v>
      </c>
      <c r="F565" s="18" t="str">
        <f t="array" ref="F565">IFNA(_xlfn.XLOOKUP(B565,Table_Respons_Loket[Count],Table_Respons_Loket[Jenis Permohonan]),"")</f>
        <v>GANDES</v>
      </c>
      <c r="G565" s="24"/>
      <c r="H565" s="24"/>
      <c r="I565" s="22" t="str">
        <f t="shared" si="7"/>
        <v/>
      </c>
      <c r="J565" s="20" t="b">
        <v>0</v>
      </c>
      <c r="K565" s="13" t="str">
        <f t="shared" si="2"/>
        <v/>
      </c>
    </row>
    <row r="566" ht="22.5" customHeight="1">
      <c r="B566" s="13">
        <f t="shared" si="3"/>
        <v>560</v>
      </c>
      <c r="C566" s="15" t="str">
        <f t="array" ref="C566">IFNA(_xlfn.XLOOKUP(B566,Table_Respons_Loket[Count],Table_Respons_Loket[Nomor Tiket]),"")</f>
        <v>K/39/281024/3</v>
      </c>
      <c r="D566" s="15" t="str">
        <f t="array" ref="D566">IFNA(_xlfn.XLOOKUP(B566,Table_Respons_Loket[Count],Table_Respons_Loket[Daftar Nomor Hak]),"")</f>
        <v>M.10097/TANJUNG BARU</v>
      </c>
      <c r="E566" s="17">
        <f t="array" ref="E566">IFNA(_xlfn.XLOOKUP(B566,Table_Respons_Loket[Count],Table_Respons_Loket[Time Stamp]),"")</f>
        <v>45593.60939</v>
      </c>
      <c r="F566" s="18" t="str">
        <f t="array" ref="F566">IFNA(_xlfn.XLOOKUP(B566,Table_Respons_Loket[Count],Table_Respons_Loket[Jenis Permohonan]),"")</f>
        <v>GANDES</v>
      </c>
      <c r="G566" s="24"/>
      <c r="H566" s="24"/>
      <c r="I566" s="22" t="str">
        <f t="shared" si="7"/>
        <v/>
      </c>
      <c r="J566" s="20" t="b">
        <v>0</v>
      </c>
      <c r="K566" s="13" t="str">
        <f t="shared" si="2"/>
        <v/>
      </c>
    </row>
    <row r="567" ht="22.5" customHeight="1">
      <c r="B567" s="13">
        <f t="shared" si="3"/>
        <v>561</v>
      </c>
      <c r="C567" s="15" t="str">
        <f t="array" ref="C567">IFNA(_xlfn.XLOOKUP(B567,Table_Respons_Loket[Count],Table_Respons_Loket[Nomor Tiket]),"")</f>
        <v>K/40/281024/1</v>
      </c>
      <c r="D567" s="15" t="str">
        <f t="array" ref="D567">IFNA(_xlfn.XLOOKUP(B567,Table_Respons_Loket[Count],Table_Respons_Loket[Daftar Nomor Hak]),"")</f>
        <v>B. 903/ Kemiling Permai</v>
      </c>
      <c r="E567" s="17">
        <f t="array" ref="E567">IFNA(_xlfn.XLOOKUP(B567,Table_Respons_Loket[Count],Table_Respons_Loket[Time Stamp]),"")</f>
        <v>45593.61144</v>
      </c>
      <c r="F567" s="18" t="str">
        <f t="array" ref="F567">IFNA(_xlfn.XLOOKUP(B567,Table_Respons_Loket[Count],Table_Respons_Loket[Jenis Permohonan]),"")</f>
        <v>BN JUAL BELI</v>
      </c>
      <c r="G567" s="12" t="s">
        <v>50</v>
      </c>
      <c r="H567" s="12" t="s">
        <v>52</v>
      </c>
      <c r="I567" s="22">
        <f t="shared" si="7"/>
        <v>45594.41598</v>
      </c>
      <c r="J567" s="20" t="b">
        <v>0</v>
      </c>
      <c r="K567" s="13" t="str">
        <f t="shared" si="2"/>
        <v/>
      </c>
    </row>
    <row r="568" ht="22.5" customHeight="1">
      <c r="B568" s="13">
        <f t="shared" si="3"/>
        <v>562</v>
      </c>
      <c r="C568" s="15" t="str">
        <f t="array" ref="C568">IFNA(_xlfn.XLOOKUP(B568,Table_Respons_Loket[Count],Table_Respons_Loket[Nomor Tiket]),"")</f>
        <v>K/41/281024/2</v>
      </c>
      <c r="D568" s="15" t="str">
        <f t="array" ref="D568">IFNA(_xlfn.XLOOKUP(B568,Table_Respons_Loket[Count],Table_Respons_Loket[Daftar Nomor Hak]),"")</f>
        <v>M. 9110/ Kedaton</v>
      </c>
      <c r="E568" s="17">
        <f t="array" ref="E568">IFNA(_xlfn.XLOOKUP(B568,Table_Respons_Loket[Count],Table_Respons_Loket[Time Stamp]),"")</f>
        <v>45593.61378</v>
      </c>
      <c r="F568" s="18" t="str">
        <f t="array" ref="F568">IFNA(_xlfn.XLOOKUP(B568,Table_Respons_Loket[Count],Table_Respons_Loket[Jenis Permohonan]),"")</f>
        <v>ganti kelurahan</v>
      </c>
      <c r="G568" s="24"/>
      <c r="H568" s="24"/>
      <c r="I568" s="22" t="str">
        <f t="shared" si="7"/>
        <v/>
      </c>
      <c r="J568" s="20" t="b">
        <v>0</v>
      </c>
      <c r="K568" s="13" t="str">
        <f t="shared" si="2"/>
        <v/>
      </c>
    </row>
    <row r="569" ht="22.5" customHeight="1">
      <c r="B569" s="13">
        <f t="shared" si="3"/>
        <v>563</v>
      </c>
      <c r="C569" s="15" t="str">
        <f t="array" ref="C569">IFNA(_xlfn.XLOOKUP(B569,Table_Respons_Loket[Count],Table_Respons_Loket[Nomor Tiket]),"")</f>
        <v>K/42/281024/1</v>
      </c>
      <c r="D569" s="15" t="str">
        <f t="array" ref="D569">IFNA(_xlfn.XLOOKUP(B569,Table_Respons_Loket[Count],Table_Respons_Loket[Daftar Nomor Hak]),"")</f>
        <v>Nibel. 3488/ Tanjungkarang</v>
      </c>
      <c r="E569" s="17">
        <f t="array" ref="E569">IFNA(_xlfn.XLOOKUP(B569,Table_Respons_Loket[Count],Table_Respons_Loket[Time Stamp]),"")</f>
        <v>45593.62142</v>
      </c>
      <c r="F569" s="18" t="str">
        <f t="array" ref="F569">IFNA(_xlfn.XLOOKUP(B569,Table_Respons_Loket[Count],Table_Respons_Loket[Jenis Permohonan]),"")</f>
        <v>Pembaharuan R Susun</v>
      </c>
      <c r="G569" s="24"/>
      <c r="H569" s="24"/>
      <c r="I569" s="22" t="str">
        <f t="shared" si="7"/>
        <v/>
      </c>
      <c r="J569" s="20" t="b">
        <v>0</v>
      </c>
      <c r="K569" s="13" t="str">
        <f t="shared" si="2"/>
        <v/>
      </c>
    </row>
    <row r="570" ht="22.5" customHeight="1">
      <c r="B570" s="13">
        <f t="shared" si="3"/>
        <v>564</v>
      </c>
      <c r="C570" s="15" t="str">
        <f t="array" ref="C570">IFNA(_xlfn.XLOOKUP(B570,Table_Respons_Loket[Count],Table_Respons_Loket[Nomor Tiket]),"")</f>
        <v>K/43/281024/1</v>
      </c>
      <c r="D570" s="15" t="str">
        <f t="array" ref="D570">IFNA(_xlfn.XLOOKUP(B570,Table_Respons_Loket[Count],Table_Respons_Loket[Daftar Nomor Hak]),"")</f>
        <v>B.605/SUMUR PUTRI</v>
      </c>
      <c r="E570" s="17">
        <f t="array" ref="E570">IFNA(_xlfn.XLOOKUP(B570,Table_Respons_Loket[Count],Table_Respons_Loket[Time Stamp]),"")</f>
        <v>45593.66701</v>
      </c>
      <c r="F570" s="18" t="str">
        <f t="array" ref="F570">IFNA(_xlfn.XLOOKUP(B570,Table_Respons_Loket[Count],Table_Respons_Loket[Jenis Permohonan]),"")</f>
        <v>BN JUAL BELI </v>
      </c>
      <c r="G570" s="12" t="s">
        <v>50</v>
      </c>
      <c r="H570" s="12" t="s">
        <v>52</v>
      </c>
      <c r="I570" s="22">
        <f t="shared" si="7"/>
        <v>45594.41634</v>
      </c>
      <c r="J570" s="20" t="b">
        <v>0</v>
      </c>
      <c r="K570" s="13" t="str">
        <f t="shared" si="2"/>
        <v/>
      </c>
    </row>
    <row r="571" ht="22.5" customHeight="1">
      <c r="B571" s="13">
        <f t="shared" si="3"/>
        <v>565</v>
      </c>
      <c r="C571" s="15" t="str">
        <f t="array" ref="C571">IFNA(_xlfn.XLOOKUP(B571,Table_Respons_Loket[Count],Table_Respons_Loket[Nomor Tiket]),"")</f>
        <v>K/44/281024/2</v>
      </c>
      <c r="D571" s="15" t="str">
        <f t="array" ref="D571">IFNA(_xlfn.XLOOKUP(B571,Table_Respons_Loket[Count],Table_Respons_Loket[Daftar Nomor Hak]),"")</f>
        <v>B.721/SUMUR PUTRI</v>
      </c>
      <c r="E571" s="17">
        <f t="array" ref="E571">IFNA(_xlfn.XLOOKUP(B571,Table_Respons_Loket[Count],Table_Respons_Loket[Time Stamp]),"")</f>
        <v>45593.66778</v>
      </c>
      <c r="F571" s="18" t="str">
        <f t="array" ref="F571">IFNA(_xlfn.XLOOKUP(B571,Table_Respons_Loket[Count],Table_Respons_Loket[Jenis Permohonan]),"")</f>
        <v>BN JUAL BELI</v>
      </c>
      <c r="G571" s="12" t="s">
        <v>48</v>
      </c>
      <c r="H571" s="12" t="s">
        <v>52</v>
      </c>
      <c r="I571" s="22">
        <f t="shared" si="7"/>
        <v>45595.45381</v>
      </c>
      <c r="J571" s="20" t="b">
        <v>0</v>
      </c>
      <c r="K571" s="13" t="str">
        <f t="shared" si="2"/>
        <v/>
      </c>
    </row>
    <row r="572" ht="22.5" customHeight="1">
      <c r="B572" s="13">
        <f t="shared" si="3"/>
        <v>566</v>
      </c>
      <c r="C572" s="15" t="str">
        <f t="array" ref="C572">IFNA(_xlfn.XLOOKUP(B572,Table_Respons_Loket[Count],Table_Respons_Loket[Nomor Tiket]),"")</f>
        <v>L/1/291024/1</v>
      </c>
      <c r="D572" s="15" t="str">
        <f t="array" ref="D572">IFNA(_xlfn.XLOOKUP(B572,Table_Respons_Loket[Count],Table_Respons_Loket[Daftar Nomor Hak]),"")</f>
        <v>HM 12271/LABUHAN RATU (SHM TETANGGA)</v>
      </c>
      <c r="E572" s="17">
        <f t="array" ref="E572">IFNA(_xlfn.XLOOKUP(B572,Table_Respons_Loket[Count],Table_Respons_Loket[Time Stamp]),"")</f>
        <v>45594.37286</v>
      </c>
      <c r="F572" s="18" t="str">
        <f t="array" ref="F572">IFNA(_xlfn.XLOOKUP(B572,Table_Respons_Loket[Count],Table_Respons_Loket[Jenis Permohonan]),"")</f>
        <v>CEK PLOT SERTIPIKAT HILANG</v>
      </c>
      <c r="G572" s="24"/>
      <c r="H572" s="24"/>
      <c r="I572" s="22" t="str">
        <f t="shared" si="7"/>
        <v/>
      </c>
      <c r="J572" s="20" t="b">
        <v>0</v>
      </c>
      <c r="K572" s="13" t="str">
        <f t="shared" si="2"/>
        <v/>
      </c>
    </row>
    <row r="573" ht="22.5" customHeight="1">
      <c r="B573" s="13">
        <f t="shared" si="3"/>
        <v>567</v>
      </c>
      <c r="C573" s="15" t="str">
        <f t="array" ref="C573">IFNA(_xlfn.XLOOKUP(B573,Table_Respons_Loket[Count],Table_Respons_Loket[Nomor Tiket]),"")</f>
        <v>L/2/291024/1</v>
      </c>
      <c r="D573" s="15" t="str">
        <f t="array" ref="D573">IFNA(_xlfn.XLOOKUP(B573,Table_Respons_Loket[Count],Table_Respons_Loket[Daftar Nomor Hak]),"")</f>
        <v>HM 208/KUPANG RAYA</v>
      </c>
      <c r="E573" s="17">
        <f t="array" ref="E573">IFNA(_xlfn.XLOOKUP(B573,Table_Respons_Loket[Count],Table_Respons_Loket[Time Stamp]),"")</f>
        <v>45594.38542</v>
      </c>
      <c r="F573" s="18" t="str">
        <f t="array" ref="F573">IFNA(_xlfn.XLOOKUP(B573,Table_Respons_Loket[Count],Table_Respons_Loket[Jenis Permohonan]),"")</f>
        <v>ROYA</v>
      </c>
      <c r="G573" s="12" t="s">
        <v>48</v>
      </c>
      <c r="H573" s="12" t="s">
        <v>52</v>
      </c>
      <c r="I573" s="22">
        <f t="shared" si="7"/>
        <v>45595.45434</v>
      </c>
      <c r="J573" s="20" t="b">
        <v>0</v>
      </c>
      <c r="K573" s="13" t="str">
        <f t="shared" si="2"/>
        <v/>
      </c>
    </row>
    <row r="574" ht="22.5" customHeight="1">
      <c r="B574" s="13">
        <f t="shared" si="3"/>
        <v>568</v>
      </c>
      <c r="C574" s="15" t="str">
        <f t="array" ref="C574">IFNA(_xlfn.XLOOKUP(B574,Table_Respons_Loket[Count],Table_Respons_Loket[Nomor Tiket]),"")</f>
        <v>K/3/291024/1</v>
      </c>
      <c r="D574" s="15" t="str">
        <f t="array" ref="D574">IFNA(_xlfn.XLOOKUP(B574,Table_Respons_Loket[Count],Table_Respons_Loket[Daftar Nomor Hak]),"")</f>
        <v>M. 711/ Penengahan</v>
      </c>
      <c r="E574" s="17">
        <f t="array" ref="E574">IFNA(_xlfn.XLOOKUP(B574,Table_Respons_Loket[Count],Table_Respons_Loket[Time Stamp]),"")</f>
        <v>45594.39944</v>
      </c>
      <c r="F574" s="18" t="str">
        <f t="array" ref="F574">IFNA(_xlfn.XLOOKUP(B574,Table_Respons_Loket[Count],Table_Respons_Loket[Jenis Permohonan]),"")</f>
        <v>Gandes</v>
      </c>
      <c r="G574" s="24"/>
      <c r="H574" s="24"/>
      <c r="I574" s="22" t="str">
        <f t="shared" si="7"/>
        <v/>
      </c>
      <c r="J574" s="20" t="b">
        <v>0</v>
      </c>
      <c r="K574" s="13" t="str">
        <f t="shared" si="2"/>
        <v/>
      </c>
    </row>
    <row r="575" ht="22.5" customHeight="1">
      <c r="B575" s="13">
        <f t="shared" si="3"/>
        <v>569</v>
      </c>
      <c r="C575" s="15" t="str">
        <f t="array" ref="C575">IFNA(_xlfn.XLOOKUP(B575,Table_Respons_Loket[Count],Table_Respons_Loket[Nomor Tiket]),"")</f>
        <v>K/4/291024/1</v>
      </c>
      <c r="D575" s="15" t="str">
        <f t="array" ref="D575">IFNA(_xlfn.XLOOKUP(B575,Table_Respons_Loket[Count],Table_Respons_Loket[Daftar Nomor Hak]),"")</f>
        <v>M. 3413/ Kota Baru</v>
      </c>
      <c r="E575" s="17">
        <f t="array" ref="E575">IFNA(_xlfn.XLOOKUP(B575,Table_Respons_Loket[Count],Table_Respons_Loket[Time Stamp]),"")</f>
        <v>45594.42177</v>
      </c>
      <c r="F575" s="18" t="str">
        <f t="array" ref="F575">IFNA(_xlfn.XLOOKUP(B575,Table_Respons_Loket[Count],Table_Respons_Loket[Jenis Permohonan]),"")</f>
        <v>BN Jual Beli</v>
      </c>
      <c r="G575" s="12" t="s">
        <v>48</v>
      </c>
      <c r="H575" s="12" t="s">
        <v>52</v>
      </c>
      <c r="I575" s="22">
        <f t="shared" si="7"/>
        <v>45595.45469</v>
      </c>
      <c r="J575" s="20" t="b">
        <v>0</v>
      </c>
      <c r="K575" s="13" t="str">
        <f t="shared" si="2"/>
        <v/>
      </c>
    </row>
    <row r="576" ht="22.5" customHeight="1">
      <c r="B576" s="13">
        <f t="shared" si="3"/>
        <v>570</v>
      </c>
      <c r="C576" s="15" t="str">
        <f t="array" ref="C576">IFNA(_xlfn.XLOOKUP(B576,Table_Respons_Loket[Count],Table_Respons_Loket[Nomor Tiket]),"")</f>
        <v>K/5/291024/1</v>
      </c>
      <c r="D576" s="15" t="str">
        <f t="array" ref="D576">IFNA(_xlfn.XLOOKUP(B576,Table_Respons_Loket[Count],Table_Respons_Loket[Daftar Nomor Hak]),"")</f>
        <v>M.1397/RAJABASA NUNYAI-SEKARANG;B.346/RAJABASA NUNYAI-DAHULU</v>
      </c>
      <c r="E576" s="17">
        <f t="array" ref="E576">IFNA(_xlfn.XLOOKUP(B576,Table_Respons_Loket[Count],Table_Respons_Loket[Time Stamp]),"")</f>
        <v>45594.42349</v>
      </c>
      <c r="F576" s="18" t="str">
        <f t="array" ref="F576">IFNA(_xlfn.XLOOKUP(B576,Table_Respons_Loket[Count],Table_Respons_Loket[Jenis Permohonan]),"")</f>
        <v>BN JUAL BELI</v>
      </c>
      <c r="G576" s="12" t="s">
        <v>48</v>
      </c>
      <c r="H576" s="12" t="s">
        <v>52</v>
      </c>
      <c r="I576" s="22">
        <f t="shared" si="7"/>
        <v>45595.45514</v>
      </c>
      <c r="J576" s="20" t="b">
        <v>0</v>
      </c>
      <c r="K576" s="13" t="str">
        <f t="shared" si="2"/>
        <v/>
      </c>
    </row>
    <row r="577" ht="22.5" customHeight="1">
      <c r="B577" s="13">
        <f t="shared" si="3"/>
        <v>571</v>
      </c>
      <c r="C577" s="15" t="str">
        <f t="array" ref="C577">IFNA(_xlfn.XLOOKUP(B577,Table_Respons_Loket[Count],Table_Respons_Loket[Nomor Tiket]),"")</f>
        <v>K/6/291024/1</v>
      </c>
      <c r="D577" s="15" t="str">
        <f t="array" ref="D577">IFNA(_xlfn.XLOOKUP(B577,Table_Respons_Loket[Count],Table_Respons_Loket[Daftar Nomor Hak]),"")</f>
        <v>M. 1350/ Perumnas Way Halim</v>
      </c>
      <c r="E577" s="17">
        <f t="array" ref="E577">IFNA(_xlfn.XLOOKUP(B577,Table_Respons_Loket[Count],Table_Respons_Loket[Time Stamp]),"")</f>
        <v>45594.42791</v>
      </c>
      <c r="F577" s="18" t="str">
        <f t="array" ref="F577">IFNA(_xlfn.XLOOKUP(B577,Table_Respons_Loket[Count],Table_Respons_Loket[Jenis Permohonan]),"")</f>
        <v>roya</v>
      </c>
      <c r="G577" s="12" t="s">
        <v>48</v>
      </c>
      <c r="H577" s="12" t="s">
        <v>52</v>
      </c>
      <c r="I577" s="22">
        <f t="shared" si="7"/>
        <v>45595.45535</v>
      </c>
      <c r="J577" s="20" t="b">
        <v>0</v>
      </c>
      <c r="K577" s="13" t="str">
        <f t="shared" si="2"/>
        <v/>
      </c>
    </row>
    <row r="578" ht="22.5" customHeight="1">
      <c r="B578" s="13">
        <f t="shared" si="3"/>
        <v>572</v>
      </c>
      <c r="C578" s="15" t="str">
        <f t="array" ref="C578">IFNA(_xlfn.XLOOKUP(B578,Table_Respons_Loket[Count],Table_Respons_Loket[Nomor Tiket]),"")</f>
        <v>K/1/291024/1</v>
      </c>
      <c r="D578" s="15" t="str">
        <f t="array" ref="D578">IFNA(_xlfn.XLOOKUP(B578,Table_Respons_Loket[Count],Table_Respons_Loket[Daftar Nomor Hak]),"")</f>
        <v>NIBEL B.2359/PERUMNAS WAY KANDIS</v>
      </c>
      <c r="E578" s="17">
        <f t="array" ref="E578">IFNA(_xlfn.XLOOKUP(B578,Table_Respons_Loket[Count],Table_Respons_Loket[Time Stamp]),"")</f>
        <v>45594.42817</v>
      </c>
      <c r="F578" s="18" t="str">
        <f t="array" ref="F578">IFNA(_xlfn.XLOOKUP(B578,Table_Respons_Loket[Count],Table_Respons_Loket[Jenis Permohonan]),"")</f>
        <v>PENINGKATAN</v>
      </c>
      <c r="G578" s="24"/>
      <c r="H578" s="24"/>
      <c r="I578" s="22" t="str">
        <f t="shared" si="7"/>
        <v/>
      </c>
      <c r="J578" s="20" t="b">
        <v>0</v>
      </c>
      <c r="K578" s="13" t="str">
        <f t="shared" si="2"/>
        <v/>
      </c>
    </row>
    <row r="579" ht="22.5" customHeight="1">
      <c r="B579" s="13">
        <f t="shared" si="3"/>
        <v>573</v>
      </c>
      <c r="C579" s="15" t="str">
        <f t="array" ref="C579">IFNA(_xlfn.XLOOKUP(B579,Table_Respons_Loket[Count],Table_Respons_Loket[Nomor Tiket]),"")</f>
        <v>K/8/291024/1</v>
      </c>
      <c r="D579" s="15" t="str">
        <f t="array" ref="D579">IFNA(_xlfn.XLOOKUP(B579,Table_Respons_Loket[Count],Table_Respons_Loket[Daftar Nomor Hak]),"")</f>
        <v>M.12840/SEGALA MIDER-SEKARANG;B.114/SEGALA MIDER-DAHULU</v>
      </c>
      <c r="E579" s="17">
        <f t="array" ref="E579">IFNA(_xlfn.XLOOKUP(B579,Table_Respons_Loket[Count],Table_Respons_Loket[Time Stamp]),"")</f>
        <v>45594.42928</v>
      </c>
      <c r="F579" s="18" t="str">
        <f t="array" ref="F579">IFNA(_xlfn.XLOOKUP(B579,Table_Respons_Loket[Count],Table_Respons_Loket[Jenis Permohonan]),"")</f>
        <v>PENGECEKAN</v>
      </c>
      <c r="G579" s="24"/>
      <c r="H579" s="24"/>
      <c r="I579" s="22" t="str">
        <f t="shared" si="7"/>
        <v/>
      </c>
      <c r="J579" s="20" t="b">
        <v>0</v>
      </c>
      <c r="K579" s="13" t="str">
        <f t="shared" si="2"/>
        <v/>
      </c>
    </row>
    <row r="580" ht="22.5" customHeight="1">
      <c r="B580" s="13">
        <f t="shared" si="3"/>
        <v>574</v>
      </c>
      <c r="C580" s="15" t="str">
        <f t="array" ref="C580">IFNA(_xlfn.XLOOKUP(B580,Table_Respons_Loket[Count],Table_Respons_Loket[Nomor Tiket]),"")</f>
        <v>K/7/291024/2</v>
      </c>
      <c r="D580" s="15" t="str">
        <f t="array" ref="D580">IFNA(_xlfn.XLOOKUP(B580,Table_Respons_Loket[Count],Table_Respons_Loket[Daftar Nomor Hak]),"")</f>
        <v>M. 2590/ Beringin Raya - sekarang; B. 2536/ Beringin raya-dahulu</v>
      </c>
      <c r="E580" s="17">
        <f t="array" ref="E580">IFNA(_xlfn.XLOOKUP(B580,Table_Respons_Loket[Count],Table_Respons_Loket[Time Stamp]),"")</f>
        <v>45594.43113</v>
      </c>
      <c r="F580" s="18" t="str">
        <f t="array" ref="F580">IFNA(_xlfn.XLOOKUP(B580,Table_Respons_Loket[Count],Table_Respons_Loket[Jenis Permohonan]),"")</f>
        <v>bn waris</v>
      </c>
      <c r="G580" s="12" t="s">
        <v>48</v>
      </c>
      <c r="H580" s="12" t="s">
        <v>52</v>
      </c>
      <c r="I580" s="22">
        <f t="shared" si="7"/>
        <v>45595.45573</v>
      </c>
      <c r="J580" s="20" t="b">
        <v>0</v>
      </c>
      <c r="K580" s="13" t="str">
        <f t="shared" si="2"/>
        <v/>
      </c>
    </row>
    <row r="581" ht="22.5" customHeight="1">
      <c r="B581" s="13">
        <f t="shared" si="3"/>
        <v>575</v>
      </c>
      <c r="C581" s="15" t="str">
        <f t="array" ref="C581">IFNA(_xlfn.XLOOKUP(B581,Table_Respons_Loket[Count],Table_Respons_Loket[Nomor Tiket]),"")</f>
        <v>K/9/291024/2</v>
      </c>
      <c r="D581" s="15" t="str">
        <f t="array" ref="D581">IFNA(_xlfn.XLOOKUP(B581,Table_Respons_Loket[Count],Table_Respons_Loket[Daftar Nomor Hak]),"")</f>
        <v>M.1586/SUMUR BATU;SHT. 5389/2018</v>
      </c>
      <c r="E581" s="17">
        <f t="array" ref="E581">IFNA(_xlfn.XLOOKUP(B581,Table_Respons_Loket[Count],Table_Respons_Loket[Time Stamp]),"")</f>
        <v>45594.43416</v>
      </c>
      <c r="F581" s="18" t="str">
        <f t="array" ref="F581">IFNA(_xlfn.XLOOKUP(B581,Table_Respons_Loket[Count],Table_Respons_Loket[Jenis Permohonan]),"")</f>
        <v>ROYA</v>
      </c>
      <c r="G581" s="12" t="s">
        <v>48</v>
      </c>
      <c r="H581" s="12" t="s">
        <v>52</v>
      </c>
      <c r="I581" s="22">
        <f t="shared" si="7"/>
        <v>45595.45628</v>
      </c>
      <c r="J581" s="20" t="b">
        <v>0</v>
      </c>
      <c r="K581" s="13" t="str">
        <f t="shared" si="2"/>
        <v/>
      </c>
    </row>
    <row r="582" ht="22.5" customHeight="1">
      <c r="B582" s="13">
        <f t="shared" si="3"/>
        <v>576</v>
      </c>
      <c r="C582" s="15" t="str">
        <f t="array" ref="C582">IFNA(_xlfn.XLOOKUP(B582,Table_Respons_Loket[Count],Table_Respons_Loket[Nomor Tiket]),"")</f>
        <v>K/11/291024/1</v>
      </c>
      <c r="D582" s="15" t="str">
        <f t="array" ref="D582">IFNA(_xlfn.XLOOKUP(B582,Table_Respons_Loket[Count],Table_Respons_Loket[Daftar Nomor Hak]),"")</f>
        <v>B. 1045/ Negeri olok gading</v>
      </c>
      <c r="E582" s="17">
        <f t="array" ref="E582">IFNA(_xlfn.XLOOKUP(B582,Table_Respons_Loket[Count],Table_Respons_Loket[Time Stamp]),"")</f>
        <v>45594.45209</v>
      </c>
      <c r="F582" s="18" t="str">
        <f t="array" ref="F582">IFNA(_xlfn.XLOOKUP(B582,Table_Respons_Loket[Count],Table_Respons_Loket[Jenis Permohonan]),"")</f>
        <v>Pendaftaran SK Perpanjangan</v>
      </c>
      <c r="G582" s="24"/>
      <c r="H582" s="24"/>
      <c r="I582" s="22" t="str">
        <f t="shared" si="7"/>
        <v/>
      </c>
      <c r="J582" s="20" t="b">
        <v>0</v>
      </c>
      <c r="K582" s="13" t="str">
        <f t="shared" si="2"/>
        <v/>
      </c>
    </row>
    <row r="583" ht="22.5" customHeight="1">
      <c r="B583" s="13">
        <f t="shared" si="3"/>
        <v>577</v>
      </c>
      <c r="C583" s="15" t="str">
        <f t="array" ref="C583">IFNA(_xlfn.XLOOKUP(B583,Table_Respons_Loket[Count],Table_Respons_Loket[Nomor Tiket]),"")</f>
        <v>K/12/291024/1</v>
      </c>
      <c r="D583" s="15" t="str">
        <f t="array" ref="D583">IFNA(_xlfn.XLOOKUP(B583,Table_Respons_Loket[Count],Table_Respons_Loket[Daftar Nomor Hak]),"")</f>
        <v>Nibel 1193/ Jagabaya III</v>
      </c>
      <c r="E583" s="17">
        <f t="array" ref="E583">IFNA(_xlfn.XLOOKUP(B583,Table_Respons_Loket[Count],Table_Respons_Loket[Time Stamp]),"")</f>
        <v>45594.46595</v>
      </c>
      <c r="F583" s="18" t="str">
        <f t="array" ref="F583">IFNA(_xlfn.XLOOKUP(B583,Table_Respons_Loket[Count],Table_Respons_Loket[Jenis Permohonan]),"")</f>
        <v>PERUBAHAN HAK</v>
      </c>
      <c r="G583" s="24"/>
      <c r="H583" s="24"/>
      <c r="I583" s="22" t="str">
        <f t="shared" si="7"/>
        <v/>
      </c>
      <c r="J583" s="20" t="b">
        <v>0</v>
      </c>
      <c r="K583" s="13" t="str">
        <f t="shared" si="2"/>
        <v/>
      </c>
    </row>
    <row r="584" ht="22.5" customHeight="1">
      <c r="B584" s="13">
        <f t="shared" si="3"/>
        <v>578</v>
      </c>
      <c r="C584" s="15" t="str">
        <f t="array" ref="C584">IFNA(_xlfn.XLOOKUP(B584,Table_Respons_Loket[Count],Table_Respons_Loket[Nomor Tiket]),"")</f>
        <v>K/13/291024/1</v>
      </c>
      <c r="D584" s="15" t="str">
        <f t="array" ref="D584">IFNA(_xlfn.XLOOKUP(B584,Table_Respons_Loket[Count],Table_Respons_Loket[Daftar Nomor Hak]),"")</f>
        <v>M.14139/KEDAMAIAN</v>
      </c>
      <c r="E584" s="17">
        <f t="array" ref="E584">IFNA(_xlfn.XLOOKUP(B584,Table_Respons_Loket[Count],Table_Respons_Loket[Time Stamp]),"")</f>
        <v>45594.47251</v>
      </c>
      <c r="F584" s="18" t="str">
        <f t="array" ref="F584">IFNA(_xlfn.XLOOKUP(B584,Table_Respons_Loket[Count],Table_Respons_Loket[Jenis Permohonan]),"")</f>
        <v>BN JUAL BELI </v>
      </c>
      <c r="G584" s="12" t="s">
        <v>48</v>
      </c>
      <c r="H584" s="12" t="s">
        <v>52</v>
      </c>
      <c r="I584" s="22">
        <f t="shared" si="7"/>
        <v>45595.45694</v>
      </c>
      <c r="J584" s="20" t="b">
        <v>0</v>
      </c>
      <c r="K584" s="13" t="str">
        <f t="shared" si="2"/>
        <v/>
      </c>
    </row>
    <row r="585" ht="22.5" customHeight="1">
      <c r="B585" s="13">
        <f t="shared" si="3"/>
        <v>579</v>
      </c>
      <c r="C585" s="15" t="str">
        <f t="array" ref="C585">IFNA(_xlfn.XLOOKUP(B585,Table_Respons_Loket[Count],Table_Respons_Loket[Nomor Tiket]),"")</f>
        <v>K/14/291024/2</v>
      </c>
      <c r="D585" s="15" t="str">
        <f t="array" ref="D585">IFNA(_xlfn.XLOOKUP(B585,Table_Respons_Loket[Count],Table_Respons_Loket[Daftar Nomor Hak]),"")</f>
        <v>M.60/RAJABASA JAYA</v>
      </c>
      <c r="E585" s="17">
        <f t="array" ref="E585">IFNA(_xlfn.XLOOKUP(B585,Table_Respons_Loket[Count],Table_Respons_Loket[Time Stamp]),"")</f>
        <v>45594.47347</v>
      </c>
      <c r="F585" s="18" t="str">
        <f t="array" ref="F585">IFNA(_xlfn.XLOOKUP(B585,Table_Respons_Loket[Count],Table_Respons_Loket[Jenis Permohonan]),"")</f>
        <v>PLOTING</v>
      </c>
      <c r="G585" s="24"/>
      <c r="H585" s="24"/>
      <c r="I585" s="22" t="str">
        <f t="shared" si="7"/>
        <v/>
      </c>
      <c r="J585" s="20" t="b">
        <v>0</v>
      </c>
      <c r="K585" s="13" t="str">
        <f t="shared" si="2"/>
        <v/>
      </c>
    </row>
    <row r="586" ht="22.5" customHeight="1">
      <c r="B586" s="13">
        <f t="shared" si="3"/>
        <v>580</v>
      </c>
      <c r="C586" s="15" t="str">
        <f t="array" ref="C586">IFNA(_xlfn.XLOOKUP(B586,Table_Respons_Loket[Count],Table_Respons_Loket[Nomor Tiket]),"")</f>
        <v>K/15/291024/1</v>
      </c>
      <c r="D586" s="15" t="str">
        <f t="array" ref="D586">IFNA(_xlfn.XLOOKUP(B586,Table_Respons_Loket[Count],Table_Respons_Loket[Daftar Nomor Hak]),"")</f>
        <v>M. 534/ Sumur Batu</v>
      </c>
      <c r="E586" s="17">
        <f t="array" ref="E586">IFNA(_xlfn.XLOOKUP(B586,Table_Respons_Loket[Count],Table_Respons_Loket[Time Stamp]),"")</f>
        <v>45594.48088</v>
      </c>
      <c r="F586" s="18" t="str">
        <f t="array" ref="F586">IFNA(_xlfn.XLOOKUP(B586,Table_Respons_Loket[Count],Table_Respons_Loket[Jenis Permohonan]),"")</f>
        <v>BN Jual Beli</v>
      </c>
      <c r="G586" s="12" t="s">
        <v>48</v>
      </c>
      <c r="H586" s="12" t="s">
        <v>52</v>
      </c>
      <c r="I586" s="22">
        <f t="shared" si="7"/>
        <v>45595.45725</v>
      </c>
      <c r="J586" s="20" t="b">
        <v>0</v>
      </c>
      <c r="K586" s="13" t="str">
        <f t="shared" si="2"/>
        <v/>
      </c>
    </row>
    <row r="587" ht="22.5" customHeight="1">
      <c r="B587" s="13">
        <f t="shared" si="3"/>
        <v>581</v>
      </c>
      <c r="C587" s="15" t="str">
        <f t="array" ref="C587">IFNA(_xlfn.XLOOKUP(B587,Table_Respons_Loket[Count],Table_Respons_Loket[Nomor Tiket]),"")</f>
        <v>L/16/291024/1</v>
      </c>
      <c r="D587" s="15" t="str">
        <f t="array" ref="D587">IFNA(_xlfn.XLOOKUP(B587,Table_Respons_Loket[Count],Table_Respons_Loket[Daftar Nomor Hak]),"")</f>
        <v>M.715/PINANG JAYA</v>
      </c>
      <c r="E587" s="17">
        <f t="array" ref="E587">IFNA(_xlfn.XLOOKUP(B587,Table_Respons_Loket[Count],Table_Respons_Loket[Time Stamp]),"")</f>
        <v>45594.48204</v>
      </c>
      <c r="F587" s="18" t="str">
        <f t="array" ref="F587">IFNA(_xlfn.XLOOKUP(B587,Table_Respons_Loket[Count],Table_Respons_Loket[Jenis Permohonan]),"")</f>
        <v>ROYA</v>
      </c>
      <c r="G587" s="12" t="s">
        <v>48</v>
      </c>
      <c r="H587" s="12" t="s">
        <v>207</v>
      </c>
      <c r="I587" s="22">
        <f t="shared" si="7"/>
        <v>45595.45901</v>
      </c>
      <c r="J587" s="20" t="b">
        <v>0</v>
      </c>
      <c r="K587" s="13" t="str">
        <f t="shared" si="2"/>
        <v/>
      </c>
    </row>
    <row r="588" ht="22.5" customHeight="1">
      <c r="B588" s="13">
        <f t="shared" si="3"/>
        <v>582</v>
      </c>
      <c r="C588" s="15" t="str">
        <f t="array" ref="C588">IFNA(_xlfn.XLOOKUP(B588,Table_Respons_Loket[Count],Table_Respons_Loket[Nomor Tiket]),"")</f>
        <v>K/18/291024/1</v>
      </c>
      <c r="D588" s="15" t="str">
        <f t="array" ref="D588">IFNA(_xlfn.XLOOKUP(B588,Table_Respons_Loket[Count],Table_Respons_Loket[Daftar Nomor Hak]),"")</f>
        <v>M. 1304/ Sumur Putri</v>
      </c>
      <c r="E588" s="17">
        <f t="array" ref="E588">IFNA(_xlfn.XLOOKUP(B588,Table_Respons_Loket[Count],Table_Respons_Loket[Time Stamp]),"")</f>
        <v>45594.49732</v>
      </c>
      <c r="F588" s="18" t="str">
        <f t="array" ref="F588">IFNA(_xlfn.XLOOKUP(B588,Table_Respons_Loket[Count],Table_Respons_Loket[Jenis Permohonan]),"")</f>
        <v>BN JUAL BELI</v>
      </c>
      <c r="G588" s="12" t="s">
        <v>48</v>
      </c>
      <c r="H588" s="12" t="s">
        <v>52</v>
      </c>
      <c r="I588" s="22">
        <f t="shared" si="7"/>
        <v>45595.45794</v>
      </c>
      <c r="J588" s="20" t="b">
        <v>0</v>
      </c>
      <c r="K588" s="13" t="str">
        <f t="shared" si="2"/>
        <v/>
      </c>
    </row>
    <row r="589" ht="22.5" customHeight="1">
      <c r="B589" s="13">
        <f t="shared" si="3"/>
        <v>583</v>
      </c>
      <c r="C589" s="15" t="str">
        <f t="array" ref="C589">IFNA(_xlfn.XLOOKUP(B589,Table_Respons_Loket[Count],Table_Respons_Loket[Nomor Tiket]),"")</f>
        <v>K/17/291024/1</v>
      </c>
      <c r="D589" s="15" t="str">
        <f t="array" ref="D589">IFNA(_xlfn.XLOOKUP(B589,Table_Respons_Loket[Count],Table_Respons_Loket[Daftar Nomor Hak]),"")</f>
        <v>NIbel. B. 133/ Kelapa Tiga</v>
      </c>
      <c r="E589" s="17">
        <f t="array" ref="E589">IFNA(_xlfn.XLOOKUP(B589,Table_Respons_Loket[Count],Table_Respons_Loket[Time Stamp]),"")</f>
        <v>45594.49442</v>
      </c>
      <c r="F589" s="18" t="str">
        <f t="array" ref="F589">IFNA(_xlfn.XLOOKUP(B589,Table_Respons_Loket[Count],Table_Respons_Loket[Jenis Permohonan]),"")</f>
        <v>SKPT Informasi</v>
      </c>
      <c r="G589" s="24"/>
      <c r="H589" s="24"/>
      <c r="I589" s="22" t="str">
        <f t="shared" si="7"/>
        <v/>
      </c>
      <c r="J589" s="20" t="b">
        <v>0</v>
      </c>
      <c r="K589" s="13" t="str">
        <f t="shared" si="2"/>
        <v/>
      </c>
    </row>
    <row r="590" ht="22.5" customHeight="1">
      <c r="B590" s="13">
        <f t="shared" si="3"/>
        <v>584</v>
      </c>
      <c r="C590" s="15" t="str">
        <f t="array" ref="C590">IFNA(_xlfn.XLOOKUP(B590,Table_Respons_Loket[Count],Table_Respons_Loket[Nomor Tiket]),"")</f>
        <v>K/19/291024/1</v>
      </c>
      <c r="D590" s="15" t="str">
        <f t="array" ref="D590">IFNA(_xlfn.XLOOKUP(B590,Table_Respons_Loket[Count],Table_Respons_Loket[Daftar Nomor Hak]),"")</f>
        <v>M. 910/ Jagabaya III</v>
      </c>
      <c r="E590" s="17">
        <f t="array" ref="E590">IFNA(_xlfn.XLOOKUP(B590,Table_Respons_Loket[Count],Table_Respons_Loket[Time Stamp]),"")</f>
        <v>45594.49856</v>
      </c>
      <c r="F590" s="18" t="str">
        <f t="array" ref="F590">IFNA(_xlfn.XLOOKUP(B590,Table_Respons_Loket[Count],Table_Respons_Loket[Jenis Permohonan]),"")</f>
        <v>Gandes</v>
      </c>
      <c r="G590" s="24"/>
      <c r="H590" s="24"/>
      <c r="I590" s="22" t="str">
        <f t="shared" si="7"/>
        <v/>
      </c>
      <c r="J590" s="20" t="b">
        <v>0</v>
      </c>
      <c r="K590" s="13" t="str">
        <f t="shared" si="2"/>
        <v/>
      </c>
    </row>
    <row r="591" ht="22.5" customHeight="1">
      <c r="B591" s="13">
        <f t="shared" si="3"/>
        <v>585</v>
      </c>
      <c r="C591" s="15" t="str">
        <f t="array" ref="C591">IFNA(_xlfn.XLOOKUP(B591,Table_Respons_Loket[Count],Table_Respons_Loket[Nomor Tiket]),"")</f>
        <v>K/20/291024/1</v>
      </c>
      <c r="D591" s="15" t="str">
        <f t="array" ref="D591">IFNA(_xlfn.XLOOKUP(B591,Table_Respons_Loket[Count],Table_Respons_Loket[Daftar Nomor Hak]),"")</f>
        <v>M. 3225/ Kupang Teba</v>
      </c>
      <c r="E591" s="17">
        <f t="array" ref="E591">IFNA(_xlfn.XLOOKUP(B591,Table_Respons_Loket[Count],Table_Respons_Loket[Time Stamp]),"")</f>
        <v>45594.55509</v>
      </c>
      <c r="F591" s="18" t="str">
        <f t="array" ref="F591">IFNA(_xlfn.XLOOKUP(B591,Table_Respons_Loket[Count],Table_Respons_Loket[Jenis Permohonan]),"")</f>
        <v>plotting</v>
      </c>
      <c r="G591" s="24"/>
      <c r="H591" s="24"/>
      <c r="I591" s="22" t="str">
        <f t="shared" si="7"/>
        <v/>
      </c>
      <c r="J591" s="20" t="b">
        <v>0</v>
      </c>
      <c r="K591" s="13" t="str">
        <f t="shared" si="2"/>
        <v/>
      </c>
    </row>
    <row r="592" ht="22.5" customHeight="1">
      <c r="B592" s="13">
        <f t="shared" si="3"/>
        <v>586</v>
      </c>
      <c r="C592" s="15" t="str">
        <f t="array" ref="C592">IFNA(_xlfn.XLOOKUP(B592,Table_Respons_Loket[Count],Table_Respons_Loket[Nomor Tiket]),"")</f>
        <v>L/23/291024/1</v>
      </c>
      <c r="D592" s="15" t="str">
        <f t="array" ref="D592">IFNA(_xlfn.XLOOKUP(B592,Table_Respons_Loket[Count],Table_Respons_Loket[Daftar Nomor Hak]),"")</f>
        <v>M.2281/SU HAM</v>
      </c>
      <c r="E592" s="17">
        <f t="array" ref="E592">IFNA(_xlfn.XLOOKUP(B592,Table_Respons_Loket[Count],Table_Respons_Loket[Time Stamp]),"")</f>
        <v>45594.56794</v>
      </c>
      <c r="F592" s="18" t="str">
        <f t="array" ref="F592">IFNA(_xlfn.XLOOKUP(B592,Table_Respons_Loket[Count],Table_Respons_Loket[Jenis Permohonan]),"")</f>
        <v>ROYA</v>
      </c>
      <c r="G592" s="12" t="s">
        <v>48</v>
      </c>
      <c r="H592" s="12" t="s">
        <v>52</v>
      </c>
      <c r="I592" s="22">
        <f t="shared" si="7"/>
        <v>45595.45843</v>
      </c>
      <c r="J592" s="20" t="b">
        <v>0</v>
      </c>
      <c r="K592" s="13" t="str">
        <f t="shared" si="2"/>
        <v/>
      </c>
    </row>
    <row r="593" ht="22.5" customHeight="1">
      <c r="B593" s="13">
        <f t="shared" si="3"/>
        <v>587</v>
      </c>
      <c r="C593" s="15" t="str">
        <f t="array" ref="C593">IFNA(_xlfn.XLOOKUP(B593,Table_Respons_Loket[Count],Table_Respons_Loket[Nomor Tiket]),"")</f>
        <v>K/21/291024/1</v>
      </c>
      <c r="D593" s="15" t="str">
        <f t="array" ref="D593">IFNA(_xlfn.XLOOKUP(B593,Table_Respons_Loket[Count],Table_Respons_Loket[Daftar Nomor Hak]),"")</f>
        <v>Nibel. B. 1478/ Kemiling Permai</v>
      </c>
      <c r="E593" s="17">
        <f t="array" ref="E593">IFNA(_xlfn.XLOOKUP(B593,Table_Respons_Loket[Count],Table_Respons_Loket[Time Stamp]),"")</f>
        <v>45594.5712</v>
      </c>
      <c r="F593" s="18" t="str">
        <f t="array" ref="F593">IFNA(_xlfn.XLOOKUP(B593,Table_Respons_Loket[Count],Table_Respons_Loket[Jenis Permohonan]),"")</f>
        <v>Perubahan Hak</v>
      </c>
      <c r="G593" s="24"/>
      <c r="H593" s="24"/>
      <c r="I593" s="22" t="str">
        <f t="shared" si="7"/>
        <v/>
      </c>
      <c r="J593" s="20" t="b">
        <v>0</v>
      </c>
      <c r="K593" s="13" t="str">
        <f t="shared" si="2"/>
        <v/>
      </c>
    </row>
    <row r="594" ht="22.5" customHeight="1">
      <c r="B594" s="13">
        <f t="shared" si="3"/>
        <v>588</v>
      </c>
      <c r="C594" s="15" t="str">
        <f t="array" ref="C594">IFNA(_xlfn.XLOOKUP(B594,Table_Respons_Loket[Count],Table_Respons_Loket[Nomor Tiket]),"")</f>
        <v>K/22/291024/2</v>
      </c>
      <c r="D594" s="15" t="str">
        <f t="array" ref="D594">IFNA(_xlfn.XLOOKUP(B594,Table_Respons_Loket[Count],Table_Respons_Loket[Daftar Nomor Hak]),"")</f>
        <v>Nibel. B. 2603/ Kemiling Permai</v>
      </c>
      <c r="E594" s="17">
        <f t="array" ref="E594">IFNA(_xlfn.XLOOKUP(B594,Table_Respons_Loket[Count],Table_Respons_Loket[Time Stamp]),"")</f>
        <v>45594.57177</v>
      </c>
      <c r="F594" s="18" t="str">
        <f t="array" ref="F594">IFNA(_xlfn.XLOOKUP(B594,Table_Respons_Loket[Count],Table_Respons_Loket[Jenis Permohonan]),"")</f>
        <v>Perubahan Hak</v>
      </c>
      <c r="G594" s="24"/>
      <c r="H594" s="24"/>
      <c r="I594" s="22" t="str">
        <f t="shared" si="7"/>
        <v/>
      </c>
      <c r="J594" s="20" t="b">
        <v>0</v>
      </c>
      <c r="K594" s="13" t="str">
        <f t="shared" si="2"/>
        <v/>
      </c>
    </row>
    <row r="595" ht="22.5" customHeight="1">
      <c r="B595" s="13">
        <f t="shared" si="3"/>
        <v>589</v>
      </c>
      <c r="C595" s="15" t="str">
        <f t="array" ref="C595">IFNA(_xlfn.XLOOKUP(B595,Table_Respons_Loket[Count],Table_Respons_Loket[Nomor Tiket]),"")</f>
        <v>K/24/291024/1</v>
      </c>
      <c r="D595" s="15" t="str">
        <f t="array" ref="D595">IFNA(_xlfn.XLOOKUP(B595,Table_Respons_Loket[Count],Table_Respons_Loket[Daftar Nomor Hak]),"")</f>
        <v>B.138/KEMILING PERMAI </v>
      </c>
      <c r="E595" s="17">
        <f t="array" ref="E595">IFNA(_xlfn.XLOOKUP(B595,Table_Respons_Loket[Count],Table_Respons_Loket[Time Stamp]),"")</f>
        <v>45594.57503</v>
      </c>
      <c r="F595" s="18" t="str">
        <f t="array" ref="F595">IFNA(_xlfn.XLOOKUP(B595,Table_Respons_Loket[Count],Table_Respons_Loket[Jenis Permohonan]),"")</f>
        <v>BN JUAL BELI</v>
      </c>
      <c r="G595" s="12" t="s">
        <v>48</v>
      </c>
      <c r="H595" s="12" t="s">
        <v>52</v>
      </c>
      <c r="I595" s="22">
        <f t="shared" si="7"/>
        <v>45595.45918</v>
      </c>
      <c r="J595" s="20" t="b">
        <v>0</v>
      </c>
      <c r="K595" s="13" t="str">
        <f t="shared" si="2"/>
        <v/>
      </c>
    </row>
    <row r="596" ht="22.5" customHeight="1">
      <c r="B596" s="13">
        <f t="shared" si="3"/>
        <v>590</v>
      </c>
      <c r="C596" s="15" t="str">
        <f t="array" ref="C596">IFNA(_xlfn.XLOOKUP(B596,Table_Respons_Loket[Count],Table_Respons_Loket[Nomor Tiket]),"")</f>
        <v>K/26/291024/1</v>
      </c>
      <c r="D596" s="15" t="str">
        <f t="array" ref="D596">IFNA(_xlfn.XLOOKUP(B596,Table_Respons_Loket[Count],Table_Respons_Loket[Daftar Nomor Hak]),"")</f>
        <v>M. 3082/ Labuhan Dalam </v>
      </c>
      <c r="E596" s="17">
        <f t="array" ref="E596">IFNA(_xlfn.XLOOKUP(B596,Table_Respons_Loket[Count],Table_Respons_Loket[Time Stamp]),"")</f>
        <v>45594.58212</v>
      </c>
      <c r="F596" s="18" t="str">
        <f t="array" ref="F596">IFNA(_xlfn.XLOOKUP(B596,Table_Respons_Loket[Count],Table_Respons_Loket[Jenis Permohonan]),"")</f>
        <v>BN Jual Beli</v>
      </c>
      <c r="G596" s="12" t="s">
        <v>50</v>
      </c>
      <c r="H596" s="12" t="s">
        <v>52</v>
      </c>
      <c r="I596" s="22">
        <f t="shared" si="7"/>
        <v>45595.46016</v>
      </c>
      <c r="J596" s="20" t="b">
        <v>0</v>
      </c>
      <c r="K596" s="13" t="str">
        <f t="shared" si="2"/>
        <v/>
      </c>
    </row>
    <row r="597" ht="22.5" customHeight="1">
      <c r="B597" s="13">
        <f t="shared" si="3"/>
        <v>591</v>
      </c>
      <c r="C597" s="15" t="str">
        <f t="array" ref="C597">IFNA(_xlfn.XLOOKUP(B597,Table_Respons_Loket[Count],Table_Respons_Loket[Nomor Tiket]),"")</f>
        <v>L/27/291024/1</v>
      </c>
      <c r="D597" s="15" t="str">
        <f t="array" ref="D597">IFNA(_xlfn.XLOOKUP(B597,Table_Respons_Loket[Count],Table_Respons_Loket[Daftar Nomor Hak]),"")</f>
        <v>HM 1472/DURIAN PAYUNG</v>
      </c>
      <c r="E597" s="17">
        <f t="array" ref="E597">IFNA(_xlfn.XLOOKUP(B597,Table_Respons_Loket[Count],Table_Respons_Loket[Time Stamp]),"")</f>
        <v>45594.58392</v>
      </c>
      <c r="F597" s="18" t="str">
        <f t="array" ref="F597">IFNA(_xlfn.XLOOKUP(B597,Table_Respons_Loket[Count],Table_Respons_Loket[Jenis Permohonan]),"")</f>
        <v>ROYA</v>
      </c>
      <c r="G597" s="12" t="s">
        <v>50</v>
      </c>
      <c r="H597" s="12" t="s">
        <v>52</v>
      </c>
      <c r="I597" s="22">
        <f t="shared" si="7"/>
        <v>45595.46046</v>
      </c>
      <c r="J597" s="20" t="b">
        <v>0</v>
      </c>
      <c r="K597" s="13" t="str">
        <f t="shared" si="2"/>
        <v/>
      </c>
    </row>
    <row r="598" ht="22.5" customHeight="1">
      <c r="B598" s="13">
        <f t="shared" si="3"/>
        <v>592</v>
      </c>
      <c r="C598" s="15" t="str">
        <f t="array" ref="C598">IFNA(_xlfn.XLOOKUP(B598,Table_Respons_Loket[Count],Table_Respons_Loket[Nomor Tiket]),"")</f>
        <v>L/28/291024/1</v>
      </c>
      <c r="D598" s="15" t="str">
        <f t="array" ref="D598">IFNA(_xlfn.XLOOKUP(B598,Table_Respons_Loket[Count],Table_Respons_Loket[Daftar Nomor Hak]),"")</f>
        <v>M.13498/SUKABUMI;B.2732/SUKABUMI-DAHULU</v>
      </c>
      <c r="E598" s="17">
        <f t="array" ref="E598">IFNA(_xlfn.XLOOKUP(B598,Table_Respons_Loket[Count],Table_Respons_Loket[Time Stamp]),"")</f>
        <v>45594.58891</v>
      </c>
      <c r="F598" s="18" t="str">
        <f t="array" ref="F598">IFNA(_xlfn.XLOOKUP(B598,Table_Respons_Loket[Count],Table_Respons_Loket[Jenis Permohonan]),"")</f>
        <v>ROYA</v>
      </c>
      <c r="G598" s="12" t="s">
        <v>50</v>
      </c>
      <c r="H598" s="12" t="s">
        <v>47</v>
      </c>
      <c r="I598" s="22" t="str">
        <f t="shared" si="7"/>
        <v/>
      </c>
      <c r="J598" s="20" t="b">
        <v>0</v>
      </c>
      <c r="K598" s="13" t="str">
        <f t="shared" si="2"/>
        <v/>
      </c>
    </row>
    <row r="599" ht="22.5" customHeight="1">
      <c r="B599" s="13">
        <f t="shared" si="3"/>
        <v>593</v>
      </c>
      <c r="C599" s="15" t="str">
        <f t="array" ref="C599">IFNA(_xlfn.XLOOKUP(B599,Table_Respons_Loket[Count],Table_Respons_Loket[Nomor Tiket]),"")</f>
        <v>K/29/291024/1</v>
      </c>
      <c r="D599" s="15" t="str">
        <f t="array" ref="D599">IFNA(_xlfn.XLOOKUP(B599,Table_Respons_Loket[Count],Table_Respons_Loket[Daftar Nomor Hak]),"")</f>
        <v>M. 9298/ Rajabasa</v>
      </c>
      <c r="E599" s="17">
        <f t="array" ref="E599">IFNA(_xlfn.XLOOKUP(B599,Table_Respons_Loket[Count],Table_Respons_Loket[Time Stamp]),"")</f>
        <v>45594.59423</v>
      </c>
      <c r="F599" s="18" t="str">
        <f t="array" ref="F599">IFNA(_xlfn.XLOOKUP(B599,Table_Respons_Loket[Count],Table_Respons_Loket[Jenis Permohonan]),"")</f>
        <v>Roya</v>
      </c>
      <c r="G599" s="12" t="s">
        <v>50</v>
      </c>
      <c r="H599" s="12" t="s">
        <v>52</v>
      </c>
      <c r="I599" s="22">
        <f t="shared" si="7"/>
        <v>45595.46098</v>
      </c>
      <c r="J599" s="20" t="b">
        <v>0</v>
      </c>
      <c r="K599" s="13" t="str">
        <f t="shared" si="2"/>
        <v/>
      </c>
    </row>
    <row r="600" ht="22.5" customHeight="1">
      <c r="B600" s="13">
        <f t="shared" si="3"/>
        <v>594</v>
      </c>
      <c r="C600" s="15" t="str">
        <f t="array" ref="C600">IFNA(_xlfn.XLOOKUP(B600,Table_Respons_Loket[Count],Table_Respons_Loket[Nomor Tiket]),"")</f>
        <v>K/30/291024/1</v>
      </c>
      <c r="D600" s="15" t="str">
        <f t="array" ref="D600">IFNA(_xlfn.XLOOKUP(B600,Table_Respons_Loket[Count],Table_Respons_Loket[Daftar Nomor Hak]),"")</f>
        <v>M. 1891/ Beringin Jaya; M. 1233/ Beringin Jaya-dahulu</v>
      </c>
      <c r="E600" s="17">
        <f t="array" ref="E600">IFNA(_xlfn.XLOOKUP(B600,Table_Respons_Loket[Count],Table_Respons_Loket[Time Stamp]),"")</f>
        <v>45594.59633</v>
      </c>
      <c r="F600" s="18" t="str">
        <f t="array" ref="F600">IFNA(_xlfn.XLOOKUP(B600,Table_Respons_Loket[Count],Table_Respons_Loket[Jenis Permohonan]),"")</f>
        <v>PTPGT (Pemecahan)</v>
      </c>
      <c r="G600" s="24"/>
      <c r="H600" s="24"/>
      <c r="I600" s="22" t="str">
        <f t="shared" si="7"/>
        <v/>
      </c>
      <c r="J600" s="20" t="b">
        <v>0</v>
      </c>
      <c r="K600" s="13" t="str">
        <f t="shared" si="2"/>
        <v/>
      </c>
    </row>
    <row r="601" ht="22.5" customHeight="1">
      <c r="B601" s="13">
        <f t="shared" si="3"/>
        <v>595</v>
      </c>
      <c r="C601" s="15" t="str">
        <f t="array" ref="C601">IFNA(_xlfn.XLOOKUP(B601,Table_Respons_Loket[Count],Table_Respons_Loket[Nomor Tiket]),"")</f>
        <v>K/31/291024/1</v>
      </c>
      <c r="D601" s="15" t="str">
        <f t="array" ref="D601">IFNA(_xlfn.XLOOKUP(B601,Table_Respons_Loket[Count],Table_Respons_Loket[Daftar Nomor Hak]),"")</f>
        <v>SARUSUN 54/I/MASRS/TANJUNG KARANG</v>
      </c>
      <c r="E601" s="17">
        <f t="array" ref="E601">IFNA(_xlfn.XLOOKUP(B601,Table_Respons_Loket[Count],Table_Respons_Loket[Time Stamp]),"")</f>
        <v>45594.59881</v>
      </c>
      <c r="F601" s="18" t="str">
        <f t="array" ref="F601">IFNA(_xlfn.XLOOKUP(B601,Table_Respons_Loket[Count],Table_Respons_Loket[Jenis Permohonan]),"")</f>
        <v>GANDES</v>
      </c>
      <c r="G601" s="24"/>
      <c r="H601" s="24"/>
      <c r="I601" s="22" t="str">
        <f t="shared" si="7"/>
        <v/>
      </c>
      <c r="J601" s="20" t="b">
        <v>0</v>
      </c>
      <c r="K601" s="13" t="str">
        <f t="shared" si="2"/>
        <v/>
      </c>
    </row>
    <row r="602" ht="22.5" customHeight="1">
      <c r="B602" s="13">
        <f t="shared" si="3"/>
        <v>596</v>
      </c>
      <c r="C602" s="15" t="str">
        <f t="array" ref="C602">IFNA(_xlfn.XLOOKUP(B602,Table_Respons_Loket[Count],Table_Respons_Loket[Nomor Tiket]),"")</f>
        <v>K/32/291024/2</v>
      </c>
      <c r="D602" s="15" t="str">
        <f t="array" ref="D602">IFNA(_xlfn.XLOOKUP(B602,Table_Respons_Loket[Count],Table_Respons_Loket[Daftar Nomor Hak]),"")</f>
        <v>SARUSUN 53/I/MASRS/TANJUNG KARANG</v>
      </c>
      <c r="E602" s="17">
        <f t="array" ref="E602">IFNA(_xlfn.XLOOKUP(B602,Table_Respons_Loket[Count],Table_Respons_Loket[Time Stamp]),"")</f>
        <v>45594.59971</v>
      </c>
      <c r="F602" s="18" t="str">
        <f t="array" ref="F602">IFNA(_xlfn.XLOOKUP(B602,Table_Respons_Loket[Count],Table_Respons_Loket[Jenis Permohonan]),"")</f>
        <v>GANDES</v>
      </c>
      <c r="G602" s="24"/>
      <c r="H602" s="24"/>
      <c r="I602" s="22" t="str">
        <f t="shared" si="7"/>
        <v/>
      </c>
      <c r="J602" s="20" t="b">
        <v>0</v>
      </c>
      <c r="K602" s="13" t="str">
        <f t="shared" si="2"/>
        <v/>
      </c>
    </row>
    <row r="603" ht="22.5" customHeight="1">
      <c r="B603" s="13">
        <f t="shared" si="3"/>
        <v>597</v>
      </c>
      <c r="C603" s="15" t="str">
        <f t="array" ref="C603">IFNA(_xlfn.XLOOKUP(B603,Table_Respons_Loket[Count],Table_Respons_Loket[Nomor Tiket]),"")</f>
        <v>K/33/291024/1</v>
      </c>
      <c r="D603" s="15" t="str">
        <f t="array" ref="D603">IFNA(_xlfn.XLOOKUP(B603,Table_Respons_Loket[Count],Table_Respons_Loket[Daftar Nomor Hak]),"")</f>
        <v>M. 1126/ Gotong Royong</v>
      </c>
      <c r="E603" s="17">
        <f t="array" ref="E603">IFNA(_xlfn.XLOOKUP(B603,Table_Respons_Loket[Count],Table_Respons_Loket[Time Stamp]),"")</f>
        <v>45594.60672</v>
      </c>
      <c r="F603" s="18" t="str">
        <f t="array" ref="F603">IFNA(_xlfn.XLOOKUP(B603,Table_Respons_Loket[Count],Table_Respons_Loket[Jenis Permohonan]),"")</f>
        <v>BN Waris</v>
      </c>
      <c r="G603" s="12" t="s">
        <v>50</v>
      </c>
      <c r="H603" s="12" t="s">
        <v>52</v>
      </c>
      <c r="I603" s="22">
        <f t="shared" si="7"/>
        <v>45595.46134</v>
      </c>
      <c r="J603" s="20" t="b">
        <v>0</v>
      </c>
      <c r="K603" s="13" t="str">
        <f t="shared" si="2"/>
        <v/>
      </c>
    </row>
    <row r="604" ht="22.5" customHeight="1">
      <c r="B604" s="13">
        <f t="shared" si="3"/>
        <v>598</v>
      </c>
      <c r="C604" s="15" t="str">
        <f t="array" ref="C604">IFNA(_xlfn.XLOOKUP(B604,Table_Respons_Loket[Count],Table_Respons_Loket[Nomor Tiket]),"")</f>
        <v>K/34/291024/1</v>
      </c>
      <c r="D604" s="15" t="str">
        <f t="array" ref="D604">IFNA(_xlfn.XLOOKUP(B604,Table_Respons_Loket[Count],Table_Respons_Loket[Daftar Nomor Hak]),"")</f>
        <v>M. 1279/ SUKAJAWA</v>
      </c>
      <c r="E604" s="17">
        <f t="array" ref="E604">IFNA(_xlfn.XLOOKUP(B604,Table_Respons_Loket[Count],Table_Respons_Loket[Time Stamp]),"")</f>
        <v>45594.60997</v>
      </c>
      <c r="F604" s="18" t="str">
        <f t="array" ref="F604">IFNA(_xlfn.XLOOKUP(B604,Table_Respons_Loket[Count],Table_Respons_Loket[Jenis Permohonan]),"")</f>
        <v>ROYA</v>
      </c>
      <c r="G604" s="12" t="s">
        <v>50</v>
      </c>
      <c r="H604" s="12" t="s">
        <v>52</v>
      </c>
      <c r="I604" s="22">
        <f t="shared" si="7"/>
        <v>45595.46154</v>
      </c>
      <c r="J604" s="20" t="b">
        <v>0</v>
      </c>
      <c r="K604" s="13" t="str">
        <f t="shared" si="2"/>
        <v/>
      </c>
    </row>
    <row r="605" ht="22.5" customHeight="1">
      <c r="B605" s="13">
        <f t="shared" si="3"/>
        <v>599</v>
      </c>
      <c r="C605" s="15" t="str">
        <f t="array" ref="C605">IFNA(_xlfn.XLOOKUP(B605,Table_Respons_Loket[Count],Table_Respons_Loket[Nomor Tiket]),"")</f>
        <v>K/35/291024/1</v>
      </c>
      <c r="D605" s="15" t="str">
        <f t="array" ref="D605">IFNA(_xlfn.XLOOKUP(B605,Table_Respons_Loket[Count],Table_Respons_Loket[Daftar Nomor Hak]),"")</f>
        <v>M. 1647/ Rajabasa Pemuka</v>
      </c>
      <c r="E605" s="17">
        <f t="array" ref="E605">IFNA(_xlfn.XLOOKUP(B605,Table_Respons_Loket[Count],Table_Respons_Loket[Time Stamp]),"")</f>
        <v>45594.61268</v>
      </c>
      <c r="F605" s="18" t="str">
        <f t="array" ref="F605">IFNA(_xlfn.XLOOKUP(B605,Table_Respons_Loket[Count],Table_Respons_Loket[Jenis Permohonan]),"")</f>
        <v>BN Jual Beli</v>
      </c>
      <c r="G605" s="12" t="s">
        <v>50</v>
      </c>
      <c r="H605" s="12" t="s">
        <v>52</v>
      </c>
      <c r="I605" s="22">
        <f t="shared" si="7"/>
        <v>45595.46182</v>
      </c>
      <c r="J605" s="20" t="b">
        <v>0</v>
      </c>
      <c r="K605" s="13" t="str">
        <f t="shared" si="2"/>
        <v/>
      </c>
    </row>
    <row r="606" ht="22.5" customHeight="1">
      <c r="B606" s="13">
        <f t="shared" si="3"/>
        <v>600</v>
      </c>
      <c r="C606" s="15" t="str">
        <f t="array" ref="C606">IFNA(_xlfn.XLOOKUP(B606,Table_Respons_Loket[Count],Table_Respons_Loket[Nomor Tiket]),"")</f>
        <v>L/37/291024/1</v>
      </c>
      <c r="D606" s="15" t="str">
        <f t="array" ref="D606">IFNA(_xlfn.XLOOKUP(B606,Table_Respons_Loket[Count],Table_Respons_Loket[Daftar Nomor Hak]),"")</f>
        <v>HM 12538/JAGABAYA II (SHM TETANGGA)</v>
      </c>
      <c r="E606" s="17">
        <f t="array" ref="E606">IFNA(_xlfn.XLOOKUP(B606,Table_Respons_Loket[Count],Table_Respons_Loket[Time Stamp]),"")</f>
        <v>45594.62017</v>
      </c>
      <c r="F606" s="18" t="str">
        <f t="array" ref="F606">IFNA(_xlfn.XLOOKUP(B606,Table_Respons_Loket[Count],Table_Respons_Loket[Jenis Permohonan]),"")</f>
        <v>PLOT SHM HILANG</v>
      </c>
      <c r="G606" s="24"/>
      <c r="H606" s="24"/>
      <c r="I606" s="22" t="str">
        <f t="shared" si="7"/>
        <v/>
      </c>
      <c r="J606" s="20" t="b">
        <v>0</v>
      </c>
      <c r="K606" s="13" t="str">
        <f t="shared" si="2"/>
        <v/>
      </c>
    </row>
    <row r="607" ht="22.5" customHeight="1">
      <c r="B607" s="13">
        <f t="shared" si="3"/>
        <v>601</v>
      </c>
      <c r="C607" s="15" t="str">
        <f t="array" ref="C607">IFNA(_xlfn.XLOOKUP(B607,Table_Respons_Loket[Count],Table_Respons_Loket[Nomor Tiket]),"")</f>
        <v>K/36/291024/1</v>
      </c>
      <c r="D607" s="15" t="str">
        <f t="array" ref="D607">IFNA(_xlfn.XLOOKUP(B607,Table_Respons_Loket[Count],Table_Respons_Loket[Daftar Nomor Hak]),"")</f>
        <v>SARUSUN 180/SUMUR PUTRI</v>
      </c>
      <c r="E607" s="17">
        <f t="array" ref="E607">IFNA(_xlfn.XLOOKUP(B607,Table_Respons_Loket[Count],Table_Respons_Loket[Time Stamp]),"")</f>
        <v>45594.62043</v>
      </c>
      <c r="F607" s="18" t="str">
        <f t="array" ref="F607">IFNA(_xlfn.XLOOKUP(B607,Table_Respons_Loket[Count],Table_Respons_Loket[Jenis Permohonan]),"")</f>
        <v>BN JUAL BELI </v>
      </c>
      <c r="G607" s="12" t="s">
        <v>50</v>
      </c>
      <c r="H607" s="12" t="s">
        <v>52</v>
      </c>
      <c r="I607" s="22">
        <f t="shared" si="7"/>
        <v>45595.46196</v>
      </c>
      <c r="J607" s="20" t="b">
        <v>0</v>
      </c>
      <c r="K607" s="13" t="str">
        <f t="shared" si="2"/>
        <v/>
      </c>
    </row>
    <row r="608" ht="22.5" customHeight="1">
      <c r="B608" s="13">
        <f t="shared" si="3"/>
        <v>602</v>
      </c>
      <c r="C608" s="15" t="str">
        <f t="array" ref="C608">IFNA(_xlfn.XLOOKUP(B608,Table_Respons_Loket[Count],Table_Respons_Loket[Nomor Tiket]),"")</f>
        <v>L/38/291024/1</v>
      </c>
      <c r="D608" s="15" t="str">
        <f t="array" ref="D608">IFNA(_xlfn.XLOOKUP(B608,Table_Respons_Loket[Count],Table_Respons_Loket[Daftar Nomor Hak]),"")</f>
        <v>HM 29/RAJABASA NUNYAI</v>
      </c>
      <c r="E608" s="17">
        <f t="array" ref="E608">IFNA(_xlfn.XLOOKUP(B608,Table_Respons_Loket[Count],Table_Respons_Loket[Time Stamp]),"")</f>
        <v>45594.62134</v>
      </c>
      <c r="F608" s="18" t="str">
        <f t="array" ref="F608">IFNA(_xlfn.XLOOKUP(B608,Table_Respons_Loket[Count],Table_Respons_Loket[Jenis Permohonan]),"")</f>
        <v>ROYA</v>
      </c>
      <c r="G608" s="12" t="s">
        <v>50</v>
      </c>
      <c r="H608" s="12" t="s">
        <v>52</v>
      </c>
      <c r="I608" s="22">
        <f t="shared" si="7"/>
        <v>45595.46215</v>
      </c>
      <c r="J608" s="20" t="b">
        <v>0</v>
      </c>
      <c r="K608" s="13" t="str">
        <f t="shared" si="2"/>
        <v/>
      </c>
    </row>
    <row r="609" ht="22.5" customHeight="1">
      <c r="B609" s="13">
        <f t="shared" si="3"/>
        <v>603</v>
      </c>
      <c r="C609" s="15" t="str">
        <f t="array" ref="C609">IFNA(_xlfn.XLOOKUP(B609,Table_Respons_Loket[Count],Table_Respons_Loket[Nomor Tiket]),"")</f>
        <v>K/39/291024/1</v>
      </c>
      <c r="D609" s="15" t="str">
        <f t="array" ref="D609">IFNA(_xlfn.XLOOKUP(B609,Table_Respons_Loket[Count],Table_Respons_Loket[Daftar Nomor Hak]),"")</f>
        <v>B.1431/PEMATANG WANGI-SEKARANG;B.805/TANJUNG SENENG</v>
      </c>
      <c r="E609" s="17">
        <f t="array" ref="E609">IFNA(_xlfn.XLOOKUP(B609,Table_Respons_Loket[Count],Table_Respons_Loket[Time Stamp]),"")</f>
        <v>45594.62778</v>
      </c>
      <c r="F609" s="18" t="str">
        <f t="array" ref="F609">IFNA(_xlfn.XLOOKUP(B609,Table_Respons_Loket[Count],Table_Respons_Loket[Jenis Permohonan]),"")</f>
        <v>PENGECEKAN</v>
      </c>
      <c r="G609" s="24"/>
      <c r="H609" s="24"/>
      <c r="I609" s="22" t="str">
        <f t="shared" si="7"/>
        <v/>
      </c>
      <c r="J609" s="20" t="b">
        <v>0</v>
      </c>
      <c r="K609" s="13" t="str">
        <f t="shared" si="2"/>
        <v/>
      </c>
    </row>
    <row r="610" ht="22.5" customHeight="1">
      <c r="B610" s="13">
        <f t="shared" si="3"/>
        <v>604</v>
      </c>
      <c r="C610" s="15" t="str">
        <f t="array" ref="C610">IFNA(_xlfn.XLOOKUP(B610,Table_Respons_Loket[Count],Table_Respons_Loket[Nomor Tiket]),"")</f>
        <v>K/40/291024/2</v>
      </c>
      <c r="D610" s="15" t="str">
        <f t="array" ref="D610">IFNA(_xlfn.XLOOKUP(B610,Table_Respons_Loket[Count],Table_Respons_Loket[Daftar Nomor Hak]),"")</f>
        <v>M.11470/KEDATON</v>
      </c>
      <c r="E610" s="17">
        <f t="array" ref="E610">IFNA(_xlfn.XLOOKUP(B610,Table_Respons_Loket[Count],Table_Respons_Loket[Time Stamp]),"")</f>
        <v>45594.62844</v>
      </c>
      <c r="F610" s="18" t="str">
        <f t="array" ref="F610">IFNA(_xlfn.XLOOKUP(B610,Table_Respons_Loket[Count],Table_Respons_Loket[Jenis Permohonan]),"")</f>
        <v>PENGECEKAN</v>
      </c>
      <c r="G610" s="24"/>
      <c r="H610" s="24"/>
      <c r="I610" s="22" t="str">
        <f t="shared" si="7"/>
        <v/>
      </c>
      <c r="J610" s="20" t="b">
        <v>0</v>
      </c>
      <c r="K610" s="13" t="str">
        <f t="shared" si="2"/>
        <v/>
      </c>
    </row>
    <row r="611" ht="22.5" customHeight="1">
      <c r="B611" s="13">
        <f t="shared" si="3"/>
        <v>605</v>
      </c>
      <c r="C611" s="15" t="str">
        <f t="array" ref="C611">IFNA(_xlfn.XLOOKUP(B611,Table_Respons_Loket[Count],Table_Respons_Loket[Nomor Tiket]),"")</f>
        <v>K/41/291024/3</v>
      </c>
      <c r="D611" s="15" t="str">
        <f t="array" ref="D611">IFNA(_xlfn.XLOOKUP(B611,Table_Respons_Loket[Count],Table_Respons_Loket[Daftar Nomor Hak]),"")</f>
        <v>M.1321/SUSUNAN BARU</v>
      </c>
      <c r="E611" s="17">
        <f t="array" ref="E611">IFNA(_xlfn.XLOOKUP(B611,Table_Respons_Loket[Count],Table_Respons_Loket[Time Stamp]),"")</f>
        <v>45594.62916</v>
      </c>
      <c r="F611" s="18" t="str">
        <f t="array" ref="F611">IFNA(_xlfn.XLOOKUP(B611,Table_Respons_Loket[Count],Table_Respons_Loket[Jenis Permohonan]),"")</f>
        <v>PLOTING</v>
      </c>
      <c r="G611" s="24"/>
      <c r="H611" s="24"/>
      <c r="I611" s="22" t="str">
        <f t="shared" si="7"/>
        <v/>
      </c>
      <c r="J611" s="20" t="b">
        <v>0</v>
      </c>
      <c r="K611" s="13" t="str">
        <f t="shared" si="2"/>
        <v/>
      </c>
    </row>
    <row r="612" ht="22.5" customHeight="1">
      <c r="B612" s="13">
        <f t="shared" si="3"/>
        <v>606</v>
      </c>
      <c r="C612" s="15" t="str">
        <f t="array" ref="C612">IFNA(_xlfn.XLOOKUP(B612,Table_Respons_Loket[Count],Table_Respons_Loket[Nomor Tiket]),"")</f>
        <v>K/43/291024/1</v>
      </c>
      <c r="D612" s="15" t="str">
        <f t="array" ref="D612">IFNA(_xlfn.XLOOKUP(B612,Table_Respons_Loket[Count],Table_Respons_Loket[Daftar Nomor Hak]),"")</f>
        <v>M. 6486/ Way Kandis</v>
      </c>
      <c r="E612" s="17">
        <f t="array" ref="E612">IFNA(_xlfn.XLOOKUP(B612,Table_Respons_Loket[Count],Table_Respons_Loket[Time Stamp]),"")</f>
        <v>45594.62964</v>
      </c>
      <c r="F612" s="18" t="str">
        <f t="array" ref="F612">IFNA(_xlfn.XLOOKUP(B612,Table_Respons_Loket[Count],Table_Respons_Loket[Jenis Permohonan]),"")</f>
        <v>BN Jual Beli</v>
      </c>
      <c r="G612" s="12" t="s">
        <v>50</v>
      </c>
      <c r="H612" s="12" t="s">
        <v>47</v>
      </c>
      <c r="I612" s="22" t="str">
        <f t="shared" si="7"/>
        <v/>
      </c>
      <c r="J612" s="20" t="b">
        <v>0</v>
      </c>
      <c r="K612" s="13" t="str">
        <f t="shared" si="2"/>
        <v/>
      </c>
    </row>
    <row r="613" ht="22.5" customHeight="1">
      <c r="B613" s="13">
        <f t="shared" si="3"/>
        <v>607</v>
      </c>
      <c r="C613" s="15" t="str">
        <f t="array" ref="C613">IFNA(_xlfn.XLOOKUP(B613,Table_Respons_Loket[Count],Table_Respons_Loket[Nomor Tiket]),"")</f>
        <v>K/42/291024/4</v>
      </c>
      <c r="D613" s="15" t="str">
        <f t="array" ref="D613">IFNA(_xlfn.XLOOKUP(B613,Table_Respons_Loket[Count],Table_Respons_Loket[Daftar Nomor Hak]),"")</f>
        <v>M.600/RAJABASA NUNYAI</v>
      </c>
      <c r="E613" s="17">
        <f t="array" ref="E613">IFNA(_xlfn.XLOOKUP(B613,Table_Respons_Loket[Count],Table_Respons_Loket[Time Stamp]),"")</f>
        <v>45594.63003</v>
      </c>
      <c r="F613" s="18" t="str">
        <f t="array" ref="F613">IFNA(_xlfn.XLOOKUP(B613,Table_Respons_Loket[Count],Table_Respons_Loket[Jenis Permohonan]),"")</f>
        <v>BN LELANG</v>
      </c>
      <c r="G613" s="12" t="s">
        <v>50</v>
      </c>
      <c r="H613" s="12" t="s">
        <v>52</v>
      </c>
      <c r="I613" s="22">
        <f t="shared" si="7"/>
        <v>45595.4625</v>
      </c>
      <c r="J613" s="20" t="b">
        <v>0</v>
      </c>
      <c r="K613" s="13" t="str">
        <f t="shared" si="2"/>
        <v/>
      </c>
    </row>
    <row r="614" ht="22.5" customHeight="1">
      <c r="B614" s="13">
        <f t="shared" si="3"/>
        <v>608</v>
      </c>
      <c r="C614" s="15" t="str">
        <f t="array" ref="C614">IFNA(_xlfn.XLOOKUP(B614,Table_Respons_Loket[Count],Table_Respons_Loket[Nomor Tiket]),"")</f>
        <v>K/44/291024/1</v>
      </c>
      <c r="D614" s="15" t="str">
        <f t="array" ref="D614">IFNA(_xlfn.XLOOKUP(B614,Table_Respons_Loket[Count],Table_Respons_Loket[Daftar Nomor Hak]),"")</f>
        <v>M.3081/BERINGIN RAYA-SEKARANG;B.139/SUMBER REJO-DAHULU</v>
      </c>
      <c r="E614" s="17">
        <f t="array" ref="E614">IFNA(_xlfn.XLOOKUP(B614,Table_Respons_Loket[Count],Table_Respons_Loket[Time Stamp]),"")</f>
        <v>45594.64388</v>
      </c>
      <c r="F614" s="18" t="str">
        <f t="array" ref="F614">IFNA(_xlfn.XLOOKUP(B614,Table_Respons_Loket[Count],Table_Respons_Loket[Jenis Permohonan]),"")</f>
        <v>PLOTING</v>
      </c>
      <c r="G614" s="24"/>
      <c r="H614" s="24"/>
      <c r="I614" s="22" t="str">
        <f t="shared" si="7"/>
        <v/>
      </c>
      <c r="J614" s="20" t="b">
        <v>0</v>
      </c>
      <c r="K614" s="13" t="str">
        <f t="shared" si="2"/>
        <v/>
      </c>
    </row>
    <row r="615" ht="22.5" customHeight="1">
      <c r="B615" s="13">
        <f t="shared" si="3"/>
        <v>609</v>
      </c>
      <c r="C615" s="15" t="str">
        <f t="array" ref="C615">IFNA(_xlfn.XLOOKUP(B615,Table_Respons_Loket[Count],Table_Respons_Loket[Nomor Tiket]),"")</f>
        <v>K/46/291024/1</v>
      </c>
      <c r="D615" s="15" t="str">
        <f t="array" ref="D615">IFNA(_xlfn.XLOOKUP(B615,Table_Respons_Loket[Count],Table_Respons_Loket[Daftar Nomor Hak]),"")</f>
        <v>M. 1894/ Sukaraja</v>
      </c>
      <c r="E615" s="17">
        <f t="array" ref="E615">IFNA(_xlfn.XLOOKUP(B615,Table_Respons_Loket[Count],Table_Respons_Loket[Time Stamp]),"")</f>
        <v>45594.66187</v>
      </c>
      <c r="F615" s="18" t="str">
        <f t="array" ref="F615">IFNA(_xlfn.XLOOKUP(B615,Table_Respons_Loket[Count],Table_Respons_Loket[Jenis Permohonan]),"")</f>
        <v>BN JUAL BELI</v>
      </c>
      <c r="G615" s="12" t="s">
        <v>50</v>
      </c>
      <c r="H615" s="12" t="s">
        <v>52</v>
      </c>
      <c r="I615" s="22">
        <f t="shared" si="7"/>
        <v>45604.6047</v>
      </c>
      <c r="J615" s="20" t="b">
        <v>0</v>
      </c>
      <c r="K615" s="13" t="str">
        <f t="shared" si="2"/>
        <v/>
      </c>
    </row>
    <row r="616" ht="22.5" customHeight="1">
      <c r="B616" s="13">
        <f t="shared" si="3"/>
        <v>610</v>
      </c>
      <c r="C616" s="15" t="str">
        <f t="array" ref="C616">IFNA(_xlfn.XLOOKUP(B616,Table_Respons_Loket[Count],Table_Respons_Loket[Nomor Tiket]),"")</f>
        <v>K/47/291024/2</v>
      </c>
      <c r="D616" s="15" t="str">
        <f t="array" ref="D616">IFNA(_xlfn.XLOOKUP(B616,Table_Respons_Loket[Count],Table_Respons_Loket[Daftar Nomor Hak]),"")</f>
        <v>Nibel 2137/ Telukbetung</v>
      </c>
      <c r="E616" s="17">
        <f t="array" ref="E616">IFNA(_xlfn.XLOOKUP(B616,Table_Respons_Loket[Count],Table_Respons_Loket[Time Stamp]),"")</f>
        <v>45594.665</v>
      </c>
      <c r="F616" s="18" t="str">
        <f t="array" ref="F616">IFNA(_xlfn.XLOOKUP(B616,Table_Respons_Loket[Count],Table_Respons_Loket[Jenis Permohonan]),"")</f>
        <v>BN JUAL BELI</v>
      </c>
      <c r="G616" s="24"/>
      <c r="H616" s="24"/>
      <c r="I616" s="22" t="str">
        <f t="shared" si="7"/>
        <v/>
      </c>
      <c r="J616" s="20" t="b">
        <v>0</v>
      </c>
      <c r="K616" s="13" t="str">
        <f t="shared" si="2"/>
        <v/>
      </c>
    </row>
    <row r="617" ht="22.5" customHeight="1">
      <c r="B617" s="13">
        <f t="shared" si="3"/>
        <v>611</v>
      </c>
      <c r="C617" s="15" t="str">
        <f t="array" ref="C617">IFNA(_xlfn.XLOOKUP(B617,Table_Respons_Loket[Count],Table_Respons_Loket[Nomor Tiket]),"")</f>
        <v>L/48/291024/1</v>
      </c>
      <c r="D617" s="15" t="str">
        <f t="array" ref="D617">IFNA(_xlfn.XLOOKUP(B617,Table_Respons_Loket[Count],Table_Respons_Loket[Daftar Nomor Hak]),"")</f>
        <v>HM 2643/GUNUNG TERANG</v>
      </c>
      <c r="E617" s="17">
        <f t="array" ref="E617">IFNA(_xlfn.XLOOKUP(B617,Table_Respons_Loket[Count],Table_Respons_Loket[Time Stamp]),"")</f>
        <v>45594.66519</v>
      </c>
      <c r="F617" s="18" t="str">
        <f t="array" ref="F617">IFNA(_xlfn.XLOOKUP(B617,Table_Respons_Loket[Count],Table_Respons_Loket[Jenis Permohonan]),"")</f>
        <v>ROYA</v>
      </c>
      <c r="G617" s="12" t="s">
        <v>50</v>
      </c>
      <c r="H617" s="12" t="s">
        <v>52</v>
      </c>
      <c r="I617" s="22">
        <f t="shared" si="7"/>
        <v>45595.4629</v>
      </c>
      <c r="J617" s="20" t="b">
        <v>0</v>
      </c>
      <c r="K617" s="13" t="str">
        <f t="shared" si="2"/>
        <v/>
      </c>
    </row>
    <row r="618" ht="22.5" customHeight="1">
      <c r="B618" s="13">
        <f t="shared" si="3"/>
        <v>612</v>
      </c>
      <c r="C618" s="15" t="str">
        <f t="array" ref="C618">IFNA(_xlfn.XLOOKUP(B618,Table_Respons_Loket[Count],Table_Respons_Loket[Nomor Tiket]),"")</f>
        <v>L/1/301024/1</v>
      </c>
      <c r="D618" s="15" t="str">
        <f t="array" ref="D618">IFNA(_xlfn.XLOOKUP(B618,Table_Respons_Loket[Count],Table_Respons_Loket[Daftar Nomor Hak]),"")</f>
        <v>HM 2509/WAY KANDIS</v>
      </c>
      <c r="E618" s="17">
        <f t="array" ref="E618">IFNA(_xlfn.XLOOKUP(B618,Table_Respons_Loket[Count],Table_Respons_Loket[Time Stamp]),"")</f>
        <v>45595.37982</v>
      </c>
      <c r="F618" s="18" t="str">
        <f t="array" ref="F618">IFNA(_xlfn.XLOOKUP(B618,Table_Respons_Loket[Count],Table_Respons_Loket[Jenis Permohonan]),"")</f>
        <v>ROYA</v>
      </c>
      <c r="G618" s="12" t="s">
        <v>48</v>
      </c>
      <c r="H618" s="12" t="s">
        <v>52</v>
      </c>
      <c r="I618" s="22">
        <f t="shared" si="7"/>
        <v>45596.40108</v>
      </c>
      <c r="J618" s="20" t="b">
        <v>0</v>
      </c>
      <c r="K618" s="13" t="str">
        <f t="shared" si="2"/>
        <v/>
      </c>
    </row>
    <row r="619" ht="22.5" customHeight="1">
      <c r="B619" s="13">
        <f t="shared" si="3"/>
        <v>613</v>
      </c>
      <c r="C619" s="15" t="str">
        <f t="array" ref="C619">IFNA(_xlfn.XLOOKUP(B619,Table_Respons_Loket[Count],Table_Respons_Loket[Nomor Tiket]),"")</f>
        <v>L/1/301024/2</v>
      </c>
      <c r="D619" s="15" t="str">
        <f t="array" ref="D619">IFNA(_xlfn.XLOOKUP(B619,Table_Respons_Loket[Count],Table_Respons_Loket[Daftar Nomor Hak]),"")</f>
        <v>HM 2000/WAY KANDIS</v>
      </c>
      <c r="E619" s="17">
        <f t="array" ref="E619">IFNA(_xlfn.XLOOKUP(B619,Table_Respons_Loket[Count],Table_Respons_Loket[Time Stamp]),"")</f>
        <v>45595.38106</v>
      </c>
      <c r="F619" s="18" t="str">
        <f t="array" ref="F619">IFNA(_xlfn.XLOOKUP(B619,Table_Respons_Loket[Count],Table_Respons_Loket[Jenis Permohonan]),"")</f>
        <v>ROYA</v>
      </c>
      <c r="G619" s="12" t="s">
        <v>48</v>
      </c>
      <c r="H619" s="12" t="s">
        <v>52</v>
      </c>
      <c r="I619" s="22">
        <f t="shared" si="7"/>
        <v>45596.40112</v>
      </c>
      <c r="J619" s="20" t="b">
        <v>0</v>
      </c>
      <c r="K619" s="13" t="str">
        <f t="shared" si="2"/>
        <v/>
      </c>
    </row>
    <row r="620" ht="22.5" customHeight="1">
      <c r="B620" s="13">
        <f t="shared" si="3"/>
        <v>614</v>
      </c>
      <c r="C620" s="15" t="str">
        <f t="array" ref="C620">IFNA(_xlfn.XLOOKUP(B620,Table_Respons_Loket[Count],Table_Respons_Loket[Nomor Tiket]),"")</f>
        <v>K/50/241024/3</v>
      </c>
      <c r="D620" s="15" t="str">
        <f t="array" ref="D620">IFNA(_xlfn.XLOOKUP(B620,Table_Respons_Loket[Count],Table_Respons_Loket[Daftar Nomor Hak]),"")</f>
        <v>Nibel 923/ Rajabasa Raya</v>
      </c>
      <c r="E620" s="17">
        <f t="array" ref="E620">IFNA(_xlfn.XLOOKUP(B620,Table_Respons_Loket[Count],Table_Respons_Loket[Time Stamp]),"")</f>
        <v>45595.39544</v>
      </c>
      <c r="F620" s="18" t="str">
        <f t="array" ref="F620">IFNA(_xlfn.XLOOKUP(B620,Table_Respons_Loket[Count],Table_Respons_Loket[Jenis Permohonan]),"")</f>
        <v>BN JUAL BELI</v>
      </c>
      <c r="G620" s="12"/>
      <c r="H620" s="24"/>
      <c r="I620" s="22" t="str">
        <f t="shared" si="7"/>
        <v/>
      </c>
      <c r="J620" s="20" t="b">
        <v>0</v>
      </c>
      <c r="K620" s="13" t="str">
        <f t="shared" si="2"/>
        <v/>
      </c>
    </row>
    <row r="621" ht="22.5" customHeight="1">
      <c r="B621" s="13">
        <f t="shared" si="3"/>
        <v>615</v>
      </c>
      <c r="C621" s="15" t="str">
        <f t="array" ref="C621">IFNA(_xlfn.XLOOKUP(B621,Table_Respons_Loket[Count],Table_Respons_Loket[Nomor Tiket]),"")</f>
        <v>K/2/301024/1</v>
      </c>
      <c r="D621" s="15" t="str">
        <f t="array" ref="D621">IFNA(_xlfn.XLOOKUP(B621,Table_Respons_Loket[Count],Table_Respons_Loket[Daftar Nomor Hak]),"")</f>
        <v>M. 2375/ Kedaung</v>
      </c>
      <c r="E621" s="17">
        <f t="array" ref="E621">IFNA(_xlfn.XLOOKUP(B621,Table_Respons_Loket[Count],Table_Respons_Loket[Time Stamp]),"")</f>
        <v>45595.40042</v>
      </c>
      <c r="F621" s="18" t="str">
        <f t="array" ref="F621">IFNA(_xlfn.XLOOKUP(B621,Table_Respons_Loket[Count],Table_Respons_Loket[Jenis Permohonan]),"")</f>
        <v>BN JUAL BELI</v>
      </c>
      <c r="G621" s="12" t="s">
        <v>48</v>
      </c>
      <c r="H621" s="12" t="s">
        <v>52</v>
      </c>
      <c r="I621" s="22">
        <f t="shared" si="7"/>
        <v>45596.40178</v>
      </c>
      <c r="J621" s="20" t="b">
        <v>0</v>
      </c>
      <c r="K621" s="13" t="str">
        <f t="shared" si="2"/>
        <v/>
      </c>
    </row>
    <row r="622" ht="22.5" customHeight="1">
      <c r="B622" s="13">
        <f t="shared" si="3"/>
        <v>616</v>
      </c>
      <c r="C622" s="15" t="str">
        <f t="array" ref="C622">IFNA(_xlfn.XLOOKUP(B622,Table_Respons_Loket[Count],Table_Respons_Loket[Nomor Tiket]),"")</f>
        <v>K/3/301024/2</v>
      </c>
      <c r="D622" s="15" t="str">
        <f t="array" ref="D622">IFNA(_xlfn.XLOOKUP(B622,Table_Respons_Loket[Count],Table_Respons_Loket[Daftar Nomor Hak]),"")</f>
        <v>M. 2398/ Kedaung</v>
      </c>
      <c r="E622" s="17">
        <f t="array" ref="E622">IFNA(_xlfn.XLOOKUP(B622,Table_Respons_Loket[Count],Table_Respons_Loket[Time Stamp]),"")</f>
        <v>45595.40238</v>
      </c>
      <c r="F622" s="18" t="str">
        <f t="array" ref="F622">IFNA(_xlfn.XLOOKUP(B622,Table_Respons_Loket[Count],Table_Respons_Loket[Jenis Permohonan]),"")</f>
        <v>bn jual beli</v>
      </c>
      <c r="G622" s="12" t="s">
        <v>48</v>
      </c>
      <c r="H622" s="12" t="s">
        <v>52</v>
      </c>
      <c r="I622" s="22">
        <f t="shared" si="7"/>
        <v>45596.40181</v>
      </c>
      <c r="J622" s="20" t="b">
        <v>0</v>
      </c>
      <c r="K622" s="13" t="str">
        <f t="shared" si="2"/>
        <v/>
      </c>
    </row>
    <row r="623" ht="22.5" customHeight="1">
      <c r="B623" s="13">
        <f t="shared" si="3"/>
        <v>617</v>
      </c>
      <c r="C623" s="15" t="str">
        <f t="array" ref="C623">IFNA(_xlfn.XLOOKUP(B623,Table_Respons_Loket[Count],Table_Respons_Loket[Nomor Tiket]),"")</f>
        <v>K/4/301024/3</v>
      </c>
      <c r="D623" s="15" t="str">
        <f t="array" ref="D623">IFNA(_xlfn.XLOOKUP(B623,Table_Respons_Loket[Count],Table_Respons_Loket[Daftar Nomor Hak]),"")</f>
        <v>M. 2390/ Kedaung</v>
      </c>
      <c r="E623" s="17">
        <f t="array" ref="E623">IFNA(_xlfn.XLOOKUP(B623,Table_Respons_Loket[Count],Table_Respons_Loket[Time Stamp]),"")</f>
        <v>45595.40356</v>
      </c>
      <c r="F623" s="18" t="str">
        <f t="array" ref="F623">IFNA(_xlfn.XLOOKUP(B623,Table_Respons_Loket[Count],Table_Respons_Loket[Jenis Permohonan]),"")</f>
        <v>BN JUAL BELI</v>
      </c>
      <c r="G623" s="12" t="s">
        <v>48</v>
      </c>
      <c r="H623" s="12" t="s">
        <v>52</v>
      </c>
      <c r="I623" s="22">
        <f t="shared" si="7"/>
        <v>45596.40184</v>
      </c>
      <c r="J623" s="20" t="b">
        <v>0</v>
      </c>
      <c r="K623" s="13" t="str">
        <f t="shared" si="2"/>
        <v/>
      </c>
    </row>
    <row r="624" ht="22.5" customHeight="1">
      <c r="B624" s="13">
        <f t="shared" si="3"/>
        <v>618</v>
      </c>
      <c r="C624" s="15" t="str">
        <f t="array" ref="C624">IFNA(_xlfn.XLOOKUP(B624,Table_Respons_Loket[Count],Table_Respons_Loket[Nomor Tiket]),"")</f>
        <v>K/5/301024/4</v>
      </c>
      <c r="D624" s="15" t="str">
        <f t="array" ref="D624">IFNA(_xlfn.XLOOKUP(B624,Table_Respons_Loket[Count],Table_Respons_Loket[Daftar Nomor Hak]),"")</f>
        <v>M. 17942/ Sukarame</v>
      </c>
      <c r="E624" s="17">
        <f t="array" ref="E624">IFNA(_xlfn.XLOOKUP(B624,Table_Respons_Loket[Count],Table_Respons_Loket[Time Stamp]),"")</f>
        <v>45595.40862</v>
      </c>
      <c r="F624" s="18" t="str">
        <f t="array" ref="F624">IFNA(_xlfn.XLOOKUP(B624,Table_Respons_Loket[Count],Table_Respons_Loket[Jenis Permohonan]),"")</f>
        <v>BN JUAL BELI</v>
      </c>
      <c r="G624" s="12" t="s">
        <v>48</v>
      </c>
      <c r="H624" s="12" t="s">
        <v>52</v>
      </c>
      <c r="I624" s="22">
        <f t="shared" si="7"/>
        <v>45596.4022</v>
      </c>
      <c r="J624" s="20" t="b">
        <v>0</v>
      </c>
      <c r="K624" s="13" t="str">
        <f t="shared" si="2"/>
        <v/>
      </c>
    </row>
    <row r="625" ht="22.5" customHeight="1">
      <c r="B625" s="13">
        <f t="shared" si="3"/>
        <v>619</v>
      </c>
      <c r="C625" s="15" t="str">
        <f t="array" ref="C625">IFNA(_xlfn.XLOOKUP(B625,Table_Respons_Loket[Count],Table_Respons_Loket[Nomor Tiket]),"")</f>
        <v>L/6/301024/1</v>
      </c>
      <c r="D625" s="15" t="str">
        <f t="array" ref="D625">IFNA(_xlfn.XLOOKUP(B625,Table_Respons_Loket[Count],Table_Respons_Loket[Daftar Nomor Hak]),"")</f>
        <v>M.217/TJ RAYA</v>
      </c>
      <c r="E625" s="17">
        <f t="array" ref="E625">IFNA(_xlfn.XLOOKUP(B625,Table_Respons_Loket[Count],Table_Respons_Loket[Time Stamp]),"")</f>
        <v>45595.41967</v>
      </c>
      <c r="F625" s="18" t="str">
        <f t="array" ref="F625">IFNA(_xlfn.XLOOKUP(B625,Table_Respons_Loket[Count],Table_Respons_Loket[Jenis Permohonan]),"")</f>
        <v>ROYA</v>
      </c>
      <c r="G625" s="12" t="s">
        <v>48</v>
      </c>
      <c r="H625" s="12" t="s">
        <v>52</v>
      </c>
      <c r="I625" s="22">
        <f t="shared" si="7"/>
        <v>45596.40235</v>
      </c>
      <c r="J625" s="20" t="b">
        <v>0</v>
      </c>
      <c r="K625" s="13" t="str">
        <f t="shared" si="2"/>
        <v/>
      </c>
    </row>
    <row r="626" ht="22.5" customHeight="1">
      <c r="B626" s="13">
        <f t="shared" si="3"/>
        <v>620</v>
      </c>
      <c r="C626" s="15" t="str">
        <f t="array" ref="C626">IFNA(_xlfn.XLOOKUP(B626,Table_Respons_Loket[Count],Table_Respons_Loket[Nomor Tiket]),"")</f>
        <v>K/7/301024/1</v>
      </c>
      <c r="D626" s="15" t="str">
        <f t="array" ref="D626">IFNA(_xlfn.XLOOKUP(B626,Table_Respons_Loket[Count],Table_Respons_Loket[Daftar Nomor Hak]),"")</f>
        <v>M. 17182/ Sukarame; B. 1230/ Sukarame-dahulu</v>
      </c>
      <c r="E626" s="17">
        <f t="array" ref="E626">IFNA(_xlfn.XLOOKUP(B626,Table_Respons_Loket[Count],Table_Respons_Loket[Time Stamp]),"")</f>
        <v>45595.43145</v>
      </c>
      <c r="F626" s="18" t="str">
        <f t="array" ref="F626">IFNA(_xlfn.XLOOKUP(B626,Table_Respons_Loket[Count],Table_Respons_Loket[Jenis Permohonan]),"")</f>
        <v>Gandes</v>
      </c>
      <c r="G626" s="24"/>
      <c r="H626" s="24"/>
      <c r="I626" s="22" t="str">
        <f t="shared" si="7"/>
        <v/>
      </c>
      <c r="J626" s="20" t="b">
        <v>0</v>
      </c>
      <c r="K626" s="13" t="str">
        <f t="shared" si="2"/>
        <v/>
      </c>
    </row>
    <row r="627" ht="22.5" customHeight="1">
      <c r="B627" s="13">
        <f t="shared" si="3"/>
        <v>621</v>
      </c>
      <c r="C627" s="15" t="str">
        <f t="array" ref="C627">IFNA(_xlfn.XLOOKUP(B627,Table_Respons_Loket[Count],Table_Respons_Loket[Nomor Tiket]),"")</f>
        <v>K/9/301024/1</v>
      </c>
      <c r="D627" s="15" t="str">
        <f t="array" ref="D627">IFNA(_xlfn.XLOOKUP(B627,Table_Respons_Loket[Count],Table_Respons_Loket[Daftar Nomor Hak]),"")</f>
        <v>M. 18827/ Sukarame</v>
      </c>
      <c r="E627" s="17">
        <f t="array" ref="E627">IFNA(_xlfn.XLOOKUP(B627,Table_Respons_Loket[Count],Table_Respons_Loket[Time Stamp]),"")</f>
        <v>45595.44309</v>
      </c>
      <c r="F627" s="18" t="str">
        <f t="array" ref="F627">IFNA(_xlfn.XLOOKUP(B627,Table_Respons_Loket[Count],Table_Respons_Loket[Jenis Permohonan]),"")</f>
        <v>BN Jual Beli</v>
      </c>
      <c r="G627" s="12" t="s">
        <v>48</v>
      </c>
      <c r="H627" s="12" t="s">
        <v>52</v>
      </c>
      <c r="I627" s="22">
        <f t="shared" si="7"/>
        <v>45596.40265</v>
      </c>
      <c r="J627" s="20" t="b">
        <v>0</v>
      </c>
      <c r="K627" s="13" t="str">
        <f t="shared" si="2"/>
        <v/>
      </c>
    </row>
    <row r="628" ht="22.5" customHeight="1">
      <c r="B628" s="13">
        <f t="shared" si="3"/>
        <v>622</v>
      </c>
      <c r="C628" s="15" t="str">
        <f t="array" ref="C628">IFNA(_xlfn.XLOOKUP(B628,Table_Respons_Loket[Count],Table_Respons_Loket[Nomor Tiket]),"")</f>
        <v>K/8/301024/1</v>
      </c>
      <c r="D628" s="15" t="str">
        <f t="array" ref="D628">IFNA(_xlfn.XLOOKUP(B628,Table_Respons_Loket[Count],Table_Respons_Loket[Daftar Nomor Hak]),"")</f>
        <v>M.1814/RAJABASA NUNYAI</v>
      </c>
      <c r="E628" s="17">
        <f t="array" ref="E628">IFNA(_xlfn.XLOOKUP(B628,Table_Respons_Loket[Count],Table_Respons_Loket[Time Stamp]),"")</f>
        <v>45595.44814</v>
      </c>
      <c r="F628" s="18" t="str">
        <f t="array" ref="F628">IFNA(_xlfn.XLOOKUP(B628,Table_Respons_Loket[Count],Table_Respons_Loket[Jenis Permohonan]),"")</f>
        <v>BN JUAL BELI</v>
      </c>
      <c r="G628" s="12" t="s">
        <v>48</v>
      </c>
      <c r="H628" s="12" t="s">
        <v>52</v>
      </c>
      <c r="I628" s="22">
        <f t="shared" si="7"/>
        <v>45603.59323</v>
      </c>
      <c r="J628" s="20" t="b">
        <v>0</v>
      </c>
      <c r="K628" s="13" t="str">
        <f t="shared" si="2"/>
        <v/>
      </c>
    </row>
    <row r="629" ht="22.5" customHeight="1">
      <c r="B629" s="13">
        <f t="shared" si="3"/>
        <v>623</v>
      </c>
      <c r="C629" s="15" t="str">
        <f t="array" ref="C629">IFNA(_xlfn.XLOOKUP(B629,Table_Respons_Loket[Count],Table_Respons_Loket[Nomor Tiket]),"")</f>
        <v>K/10/301024/1</v>
      </c>
      <c r="D629" s="15" t="str">
        <f t="array" ref="D629">IFNA(_xlfn.XLOOKUP(B629,Table_Respons_Loket[Count],Table_Respons_Loket[Daftar Nomor Hak]),"")</f>
        <v>M.220/BATU PUTU</v>
      </c>
      <c r="E629" s="17">
        <f t="array" ref="E629">IFNA(_xlfn.XLOOKUP(B629,Table_Respons_Loket[Count],Table_Respons_Loket[Time Stamp]),"")</f>
        <v>45595.44889</v>
      </c>
      <c r="F629" s="18" t="str">
        <f t="array" ref="F629">IFNA(_xlfn.XLOOKUP(B629,Table_Respons_Loket[Count],Table_Respons_Loket[Jenis Permohonan]),"")</f>
        <v>PLOTING</v>
      </c>
      <c r="G629" s="24"/>
      <c r="H629" s="24"/>
      <c r="I629" s="22" t="str">
        <f t="shared" si="7"/>
        <v/>
      </c>
      <c r="J629" s="20" t="b">
        <v>0</v>
      </c>
      <c r="K629" s="13" t="str">
        <f t="shared" si="2"/>
        <v/>
      </c>
    </row>
    <row r="630" ht="22.5" customHeight="1">
      <c r="B630" s="13">
        <f t="shared" si="3"/>
        <v>624</v>
      </c>
      <c r="C630" s="15" t="str">
        <f t="array" ref="C630">IFNA(_xlfn.XLOOKUP(B630,Table_Respons_Loket[Count],Table_Respons_Loket[Nomor Tiket]),"")</f>
        <v>L/11/301024/1</v>
      </c>
      <c r="D630" s="15" t="str">
        <f t="array" ref="D630">IFNA(_xlfn.XLOOKUP(B630,Table_Respons_Loket[Count],Table_Respons_Loket[Daftar Nomor Hak]),"")</f>
        <v>HGB 1677/SUKARAME I</v>
      </c>
      <c r="E630" s="17">
        <f t="array" ref="E630">IFNA(_xlfn.XLOOKUP(B630,Table_Respons_Loket[Count],Table_Respons_Loket[Time Stamp]),"")</f>
        <v>45595.45608</v>
      </c>
      <c r="F630" s="18" t="str">
        <f t="array" ref="F630">IFNA(_xlfn.XLOOKUP(B630,Table_Respons_Loket[Count],Table_Respons_Loket[Jenis Permohonan]),"")</f>
        <v>GANDES</v>
      </c>
      <c r="G630" s="24"/>
      <c r="H630" s="24"/>
      <c r="I630" s="22" t="str">
        <f t="shared" si="7"/>
        <v/>
      </c>
      <c r="J630" s="20" t="b">
        <v>0</v>
      </c>
      <c r="K630" s="13" t="str">
        <f t="shared" si="2"/>
        <v/>
      </c>
    </row>
    <row r="631" ht="22.5" customHeight="1">
      <c r="B631" s="13">
        <f t="shared" si="3"/>
        <v>625</v>
      </c>
      <c r="C631" s="15" t="str">
        <f t="array" ref="C631">IFNA(_xlfn.XLOOKUP(B631,Table_Respons_Loket[Count],Table_Respons_Loket[Nomor Tiket]),"")</f>
        <v>K/12/301024/1</v>
      </c>
      <c r="D631" s="15" t="str">
        <f t="array" ref="D631">IFNA(_xlfn.XLOOKUP(B631,Table_Respons_Loket[Count],Table_Respons_Loket[Daftar Nomor Hak]),"")</f>
        <v>M. 2009/ Tanjung Senang</v>
      </c>
      <c r="E631" s="17">
        <f t="array" ref="E631">IFNA(_xlfn.XLOOKUP(B631,Table_Respons_Loket[Count],Table_Respons_Loket[Time Stamp]),"")</f>
        <v>45595.45741</v>
      </c>
      <c r="F631" s="18" t="str">
        <f t="array" ref="F631">IFNA(_xlfn.XLOOKUP(B631,Table_Respons_Loket[Count],Table_Respons_Loket[Jenis Permohonan]),"")</f>
        <v>BN Waris</v>
      </c>
      <c r="G631" s="12" t="s">
        <v>48</v>
      </c>
      <c r="H631" s="12" t="s">
        <v>52</v>
      </c>
      <c r="I631" s="22">
        <f t="shared" si="7"/>
        <v>45596.40293</v>
      </c>
      <c r="J631" s="20" t="b">
        <v>0</v>
      </c>
      <c r="K631" s="13" t="str">
        <f t="shared" si="2"/>
        <v/>
      </c>
    </row>
    <row r="632" ht="22.5" customHeight="1">
      <c r="B632" s="13">
        <f t="shared" si="3"/>
        <v>626</v>
      </c>
      <c r="C632" s="15" t="str">
        <f t="array" ref="C632">IFNA(_xlfn.XLOOKUP(B632,Table_Respons_Loket[Count],Table_Respons_Loket[Nomor Tiket]),"")</f>
        <v>K/14/301024/1</v>
      </c>
      <c r="D632" s="15" t="str">
        <f t="array" ref="D632">IFNA(_xlfn.XLOOKUP(B632,Table_Respons_Loket[Count],Table_Respons_Loket[Daftar Nomor Hak]),"")</f>
        <v>M.422/KUPANG RAYA</v>
      </c>
      <c r="E632" s="17">
        <f t="array" ref="E632">IFNA(_xlfn.XLOOKUP(B632,Table_Respons_Loket[Count],Table_Respons_Loket[Time Stamp]),"")</f>
        <v>45595.46294</v>
      </c>
      <c r="F632" s="18" t="str">
        <f t="array" ref="F632">IFNA(_xlfn.XLOOKUP(B632,Table_Respons_Loket[Count],Table_Respons_Loket[Jenis Permohonan]),"")</f>
        <v>BN JUAL BELI</v>
      </c>
      <c r="G632" s="12" t="s">
        <v>48</v>
      </c>
      <c r="H632" s="12" t="s">
        <v>52</v>
      </c>
      <c r="I632" s="22">
        <f t="shared" si="7"/>
        <v>45596.40329</v>
      </c>
      <c r="J632" s="20" t="b">
        <v>0</v>
      </c>
      <c r="K632" s="13" t="str">
        <f t="shared" si="2"/>
        <v/>
      </c>
    </row>
    <row r="633" ht="22.5" customHeight="1">
      <c r="B633" s="13">
        <f t="shared" si="3"/>
        <v>627</v>
      </c>
      <c r="C633" s="15" t="str">
        <f t="array" ref="C633">IFNA(_xlfn.XLOOKUP(B633,Table_Respons_Loket[Count],Table_Respons_Loket[Nomor Tiket]),"")</f>
        <v>L/15/301024/1</v>
      </c>
      <c r="D633" s="15" t="str">
        <f t="array" ref="D633">IFNA(_xlfn.XLOOKUP(B633,Table_Respons_Loket[Count],Table_Respons_Loket[Daftar Nomor Hak]),"")</f>
        <v>HM 617/SUKARAJA</v>
      </c>
      <c r="E633" s="17">
        <f t="array" ref="E633">IFNA(_xlfn.XLOOKUP(B633,Table_Respons_Loket[Count],Table_Respons_Loket[Time Stamp]),"")</f>
        <v>45595.4634</v>
      </c>
      <c r="F633" s="18" t="str">
        <f t="array" ref="F633">IFNA(_xlfn.XLOOKUP(B633,Table_Respons_Loket[Count],Table_Respons_Loket[Jenis Permohonan]),"")</f>
        <v>ROYA LELANG</v>
      </c>
      <c r="G633" s="12" t="s">
        <v>48</v>
      </c>
      <c r="H633" s="12" t="s">
        <v>52</v>
      </c>
      <c r="I633" s="22">
        <f t="shared" si="7"/>
        <v>45596.40332</v>
      </c>
      <c r="J633" s="20" t="b">
        <v>0</v>
      </c>
      <c r="K633" s="13" t="str">
        <f t="shared" si="2"/>
        <v/>
      </c>
    </row>
    <row r="634" ht="22.5" customHeight="1">
      <c r="B634" s="13">
        <f t="shared" si="3"/>
        <v>628</v>
      </c>
      <c r="C634" s="15" t="str">
        <f t="array" ref="C634">IFNA(_xlfn.XLOOKUP(B634,Table_Respons_Loket[Count],Table_Respons_Loket[Nomor Tiket]),"")</f>
        <v>L/16/301024/1</v>
      </c>
      <c r="D634" s="15" t="str">
        <f t="array" ref="D634">IFNA(_xlfn.XLOOKUP(B634,Table_Respons_Loket[Count],Table_Respons_Loket[Daftar Nomor Hak]),"")</f>
        <v>HM 2070/PWH</v>
      </c>
      <c r="E634" s="17">
        <f t="array" ref="E634">IFNA(_xlfn.XLOOKUP(B634,Table_Respons_Loket[Count],Table_Respons_Loket[Time Stamp]),"")</f>
        <v>45595.47334</v>
      </c>
      <c r="F634" s="18" t="str">
        <f t="array" ref="F634">IFNA(_xlfn.XLOOKUP(B634,Table_Respons_Loket[Count],Table_Respons_Loket[Jenis Permohonan]),"")</f>
        <v>ROYA</v>
      </c>
      <c r="G634" s="12" t="s">
        <v>50</v>
      </c>
      <c r="H634" s="12" t="s">
        <v>87</v>
      </c>
      <c r="I634" s="22">
        <f t="shared" si="7"/>
        <v>45596.40374</v>
      </c>
      <c r="J634" s="20" t="b">
        <v>0</v>
      </c>
      <c r="K634" s="13" t="str">
        <f t="shared" si="2"/>
        <v/>
      </c>
    </row>
    <row r="635" ht="22.5" customHeight="1">
      <c r="B635" s="13">
        <f t="shared" si="3"/>
        <v>629</v>
      </c>
      <c r="C635" s="15" t="str">
        <f t="array" ref="C635">IFNA(_xlfn.XLOOKUP(B635,Table_Respons_Loket[Count],Table_Respons_Loket[Nomor Tiket]),"")</f>
        <v>K/17/301024/1</v>
      </c>
      <c r="D635" s="15" t="str">
        <f t="array" ref="D635">IFNA(_xlfn.XLOOKUP(B635,Table_Respons_Loket[Count],Table_Respons_Loket[Daftar Nomor Hak]),"")</f>
        <v>M. 10866/ SUKARAME I</v>
      </c>
      <c r="E635" s="17">
        <f t="array" ref="E635">IFNA(_xlfn.XLOOKUP(B635,Table_Respons_Loket[Count],Table_Respons_Loket[Time Stamp]),"")</f>
        <v>45595.48071</v>
      </c>
      <c r="F635" s="18" t="str">
        <f t="array" ref="F635">IFNA(_xlfn.XLOOKUP(B635,Table_Respons_Loket[Count],Table_Respons_Loket[Jenis Permohonan]),"")</f>
        <v>PLOTTING</v>
      </c>
      <c r="G635" s="24"/>
      <c r="H635" s="24"/>
      <c r="I635" s="22" t="str">
        <f t="shared" si="7"/>
        <v/>
      </c>
      <c r="J635" s="20" t="b">
        <v>0</v>
      </c>
      <c r="K635" s="13" t="str">
        <f t="shared" si="2"/>
        <v/>
      </c>
    </row>
    <row r="636" ht="22.5" customHeight="1">
      <c r="B636" s="13">
        <f t="shared" si="3"/>
        <v>630</v>
      </c>
      <c r="C636" s="15" t="str">
        <f t="array" ref="C636">IFNA(_xlfn.XLOOKUP(B636,Table_Respons_Loket[Count],Table_Respons_Loket[Nomor Tiket]),"")</f>
        <v>K/18/301024/1</v>
      </c>
      <c r="D636" s="15" t="str">
        <f t="array" ref="D636">IFNA(_xlfn.XLOOKUP(B636,Table_Respons_Loket[Count],Table_Respons_Loket[Daftar Nomor Hak]),"")</f>
        <v>M.9567/SUKABUMI</v>
      </c>
      <c r="E636" s="17">
        <f t="array" ref="E636">IFNA(_xlfn.XLOOKUP(B636,Table_Respons_Loket[Count],Table_Respons_Loket[Time Stamp]),"")</f>
        <v>45595.48176</v>
      </c>
      <c r="F636" s="18" t="str">
        <f t="array" ref="F636">IFNA(_xlfn.XLOOKUP(B636,Table_Respons_Loket[Count],Table_Respons_Loket[Jenis Permohonan]),"")</f>
        <v>TITAWATI CS/HENGKI KURNIAWAN</v>
      </c>
      <c r="G636" s="24"/>
      <c r="H636" s="24"/>
      <c r="I636" s="22" t="str">
        <f t="shared" si="7"/>
        <v/>
      </c>
      <c r="J636" s="20" t="b">
        <v>0</v>
      </c>
      <c r="K636" s="13" t="str">
        <f t="shared" si="2"/>
        <v/>
      </c>
    </row>
    <row r="637" ht="22.5" customHeight="1">
      <c r="B637" s="13">
        <f t="shared" si="3"/>
        <v>631</v>
      </c>
      <c r="C637" s="15" t="str">
        <f t="array" ref="C637">IFNA(_xlfn.XLOOKUP(B637,Table_Respons_Loket[Count],Table_Respons_Loket[Nomor Tiket]),"")</f>
        <v>L/21/301024/1</v>
      </c>
      <c r="D637" s="15" t="str">
        <f t="array" ref="D637">IFNA(_xlfn.XLOOKUP(B637,Table_Respons_Loket[Count],Table_Respons_Loket[Daftar Nomor Hak]),"")</f>
        <v>M.12717/S I</v>
      </c>
      <c r="E637" s="17">
        <f t="array" ref="E637">IFNA(_xlfn.XLOOKUP(B637,Table_Respons_Loket[Count],Table_Respons_Loket[Time Stamp]),"")</f>
        <v>45595.48209</v>
      </c>
      <c r="F637" s="18" t="str">
        <f t="array" ref="F637">IFNA(_xlfn.XLOOKUP(B637,Table_Respons_Loket[Count],Table_Respons_Loket[Jenis Permohonan]),"")</f>
        <v>SKPT INFORMASI</v>
      </c>
      <c r="G637" s="24"/>
      <c r="H637" s="24"/>
      <c r="I637" s="22" t="str">
        <f t="shared" si="7"/>
        <v/>
      </c>
      <c r="J637" s="20" t="b">
        <v>0</v>
      </c>
      <c r="K637" s="13" t="str">
        <f t="shared" si="2"/>
        <v/>
      </c>
    </row>
    <row r="638" ht="22.5" customHeight="1">
      <c r="B638" s="13">
        <f t="shared" si="3"/>
        <v>632</v>
      </c>
      <c r="C638" s="15" t="str">
        <f t="array" ref="C638">IFNA(_xlfn.XLOOKUP(B638,Table_Respons_Loket[Count],Table_Respons_Loket[Nomor Tiket]),"")</f>
        <v>K/19/301024/2</v>
      </c>
      <c r="D638" s="15" t="str">
        <f t="array" ref="D638">IFNA(_xlfn.XLOOKUP(B638,Table_Respons_Loket[Count],Table_Respons_Loket[Daftar Nomor Hak]),"")</f>
        <v>M.11025/SUKABUMI</v>
      </c>
      <c r="E638" s="17">
        <f t="array" ref="E638">IFNA(_xlfn.XLOOKUP(B638,Table_Respons_Loket[Count],Table_Respons_Loket[Time Stamp]),"")</f>
        <v>45595.48252</v>
      </c>
      <c r="F638" s="18" t="str">
        <f t="array" ref="F638">IFNA(_xlfn.XLOOKUP(B638,Table_Respons_Loket[Count],Table_Respons_Loket[Jenis Permohonan]),"")</f>
        <v>ROYA</v>
      </c>
      <c r="G638" s="12" t="s">
        <v>50</v>
      </c>
      <c r="H638" s="12" t="s">
        <v>52</v>
      </c>
      <c r="I638" s="22">
        <f t="shared" si="7"/>
        <v>45596.4046</v>
      </c>
      <c r="J638" s="20" t="b">
        <v>0</v>
      </c>
      <c r="K638" s="13" t="str">
        <f t="shared" si="2"/>
        <v/>
      </c>
    </row>
    <row r="639" ht="22.5" customHeight="1">
      <c r="B639" s="13">
        <f t="shared" si="3"/>
        <v>633</v>
      </c>
      <c r="C639" s="15" t="str">
        <f t="array" ref="C639">IFNA(_xlfn.XLOOKUP(B639,Table_Respons_Loket[Count],Table_Respons_Loket[Nomor Tiket]),"")</f>
        <v>K/20/301024/3</v>
      </c>
      <c r="D639" s="15" t="str">
        <f t="array" ref="D639">IFNA(_xlfn.XLOOKUP(B639,Table_Respons_Loket[Count],Table_Respons_Loket[Daftar Nomor Hak]),"")</f>
        <v>M.9801/SUKABUMI</v>
      </c>
      <c r="E639" s="17">
        <f t="array" ref="E639">IFNA(_xlfn.XLOOKUP(B639,Table_Respons_Loket[Count],Table_Respons_Loket[Time Stamp]),"")</f>
        <v>45595.48327</v>
      </c>
      <c r="F639" s="18" t="str">
        <f t="array" ref="F639">IFNA(_xlfn.XLOOKUP(B639,Table_Respons_Loket[Count],Table_Respons_Loket[Jenis Permohonan]),"")</f>
        <v>ROYA</v>
      </c>
      <c r="G639" s="12" t="s">
        <v>50</v>
      </c>
      <c r="H639" s="12" t="s">
        <v>52</v>
      </c>
      <c r="I639" s="22">
        <f t="shared" si="7"/>
        <v>45596.40462</v>
      </c>
      <c r="J639" s="20" t="b">
        <v>0</v>
      </c>
      <c r="K639" s="13" t="str">
        <f t="shared" si="2"/>
        <v/>
      </c>
    </row>
    <row r="640" ht="22.5" customHeight="1">
      <c r="B640" s="13">
        <f t="shared" si="3"/>
        <v>634</v>
      </c>
      <c r="C640" s="15" t="str">
        <f t="array" ref="C640">IFNA(_xlfn.XLOOKUP(B640,Table_Respons_Loket[Count],Table_Respons_Loket[Nomor Tiket]),"")</f>
        <v>L/22/301024/1</v>
      </c>
      <c r="D640" s="15" t="str">
        <f t="array" ref="D640">IFNA(_xlfn.XLOOKUP(B640,Table_Respons_Loket[Count],Table_Respons_Loket[Daftar Nomor Hak]),"")</f>
        <v>HM 11867/LABUHAN RATU</v>
      </c>
      <c r="E640" s="17">
        <f t="array" ref="E640">IFNA(_xlfn.XLOOKUP(B640,Table_Respons_Loket[Count],Table_Respons_Loket[Time Stamp]),"")</f>
        <v>45595.55808</v>
      </c>
      <c r="F640" s="18" t="str">
        <f t="array" ref="F640">IFNA(_xlfn.XLOOKUP(B640,Table_Respons_Loket[Count],Table_Respons_Loket[Jenis Permohonan]),"")</f>
        <v>ROYA</v>
      </c>
      <c r="G640" s="12" t="s">
        <v>50</v>
      </c>
      <c r="H640" s="12" t="s">
        <v>52</v>
      </c>
      <c r="I640" s="22">
        <f t="shared" si="7"/>
        <v>45596.40501</v>
      </c>
      <c r="J640" s="20" t="b">
        <v>0</v>
      </c>
      <c r="K640" s="13" t="str">
        <f t="shared" si="2"/>
        <v/>
      </c>
    </row>
    <row r="641" ht="22.5" customHeight="1">
      <c r="B641" s="13">
        <f t="shared" si="3"/>
        <v>635</v>
      </c>
      <c r="C641" s="15" t="str">
        <f t="array" ref="C641">IFNA(_xlfn.XLOOKUP(B641,Table_Respons_Loket[Count],Table_Respons_Loket[Nomor Tiket]),"")</f>
        <v>K/23/301024/1</v>
      </c>
      <c r="D641" s="15" t="str">
        <f t="array" ref="D641">IFNA(_xlfn.XLOOKUP(B641,Table_Respons_Loket[Count],Table_Respons_Loket[Daftar Nomor Hak]),"")</f>
        <v>M. 10292/ Segala Mider</v>
      </c>
      <c r="E641" s="17">
        <f t="array" ref="E641">IFNA(_xlfn.XLOOKUP(B641,Table_Respons_Loket[Count],Table_Respons_Loket[Time Stamp]),"")</f>
        <v>45595.57061</v>
      </c>
      <c r="F641" s="18" t="str">
        <f t="array" ref="F641">IFNA(_xlfn.XLOOKUP(B641,Table_Respons_Loket[Count],Table_Respons_Loket[Jenis Permohonan]),"")</f>
        <v>Gandes</v>
      </c>
      <c r="G641" s="24"/>
      <c r="H641" s="24"/>
      <c r="I641" s="22" t="str">
        <f t="shared" si="7"/>
        <v/>
      </c>
      <c r="J641" s="20" t="b">
        <v>0</v>
      </c>
      <c r="K641" s="13" t="str">
        <f t="shared" si="2"/>
        <v/>
      </c>
    </row>
    <row r="642" ht="22.5" customHeight="1">
      <c r="B642" s="13">
        <f t="shared" si="3"/>
        <v>636</v>
      </c>
      <c r="C642" s="15" t="str">
        <f t="array" ref="C642">IFNA(_xlfn.XLOOKUP(B642,Table_Respons_Loket[Count],Table_Respons_Loket[Nomor Tiket]),"")</f>
        <v>K/24/301024/2</v>
      </c>
      <c r="D642" s="15" t="str">
        <f t="array" ref="D642">IFNA(_xlfn.XLOOKUP(B642,Table_Respons_Loket[Count],Table_Respons_Loket[Daftar Nomor Hak]),"")</f>
        <v>M. 2314/ NOG; B. 558/ NOG</v>
      </c>
      <c r="E642" s="17">
        <f t="array" ref="E642">IFNA(_xlfn.XLOOKUP(B642,Table_Respons_Loket[Count],Table_Respons_Loket[Time Stamp]),"")</f>
        <v>45595.57198</v>
      </c>
      <c r="F642" s="18" t="str">
        <f t="array" ref="F642">IFNA(_xlfn.XLOOKUP(B642,Table_Respons_Loket[Count],Table_Respons_Loket[Jenis Permohonan]),"")</f>
        <v>BN Jual Beli</v>
      </c>
      <c r="G642" s="12" t="s">
        <v>50</v>
      </c>
      <c r="H642" s="12" t="s">
        <v>52</v>
      </c>
      <c r="I642" s="22">
        <f t="shared" si="7"/>
        <v>45596.40547</v>
      </c>
      <c r="J642" s="20" t="b">
        <v>0</v>
      </c>
      <c r="K642" s="13" t="str">
        <f t="shared" si="2"/>
        <v/>
      </c>
    </row>
    <row r="643" ht="22.5" customHeight="1">
      <c r="B643" s="13">
        <f t="shared" si="3"/>
        <v>637</v>
      </c>
      <c r="C643" s="15" t="str">
        <f t="array" ref="C643">IFNA(_xlfn.XLOOKUP(B643,Table_Respons_Loket[Count],Table_Respons_Loket[Nomor Tiket]),"")</f>
        <v>K/25/301024/1</v>
      </c>
      <c r="D643" s="15" t="str">
        <f t="array" ref="D643">IFNA(_xlfn.XLOOKUP(B643,Table_Respons_Loket[Count],Table_Respons_Loket[Daftar Nomor Hak]),"")</f>
        <v>M.5568/LANGKAPURA</v>
      </c>
      <c r="E643" s="17">
        <f t="array" ref="E643">IFNA(_xlfn.XLOOKUP(B643,Table_Respons_Loket[Count],Table_Respons_Loket[Time Stamp]),"")</f>
        <v>45595.57716</v>
      </c>
      <c r="F643" s="18" t="str">
        <f t="array" ref="F643">IFNA(_xlfn.XLOOKUP(B643,Table_Respons_Loket[Count],Table_Respons_Loket[Jenis Permohonan]),"")</f>
        <v>BN JUAL BELI</v>
      </c>
      <c r="G643" s="12" t="s">
        <v>50</v>
      </c>
      <c r="H643" s="12" t="s">
        <v>52</v>
      </c>
      <c r="I643" s="22">
        <f t="shared" si="7"/>
        <v>45596.40565</v>
      </c>
      <c r="J643" s="20" t="b">
        <v>0</v>
      </c>
      <c r="K643" s="13" t="str">
        <f t="shared" si="2"/>
        <v/>
      </c>
    </row>
    <row r="644" ht="22.5" customHeight="1">
      <c r="B644" s="13">
        <f t="shared" si="3"/>
        <v>638</v>
      </c>
      <c r="C644" s="15" t="str">
        <f t="array" ref="C644">IFNA(_xlfn.XLOOKUP(B644,Table_Respons_Loket[Count],Table_Respons_Loket[Nomor Tiket]),"")</f>
        <v>K/26/301024/2</v>
      </c>
      <c r="D644" s="15" t="str">
        <f t="array" ref="D644">IFNA(_xlfn.XLOOKUP(B644,Table_Respons_Loket[Count],Table_Respons_Loket[Daftar Nomor Hak]),"")</f>
        <v>M.11542/LABUHAN RATU</v>
      </c>
      <c r="E644" s="17">
        <f t="array" ref="E644">IFNA(_xlfn.XLOOKUP(B644,Table_Respons_Loket[Count],Table_Respons_Loket[Time Stamp]),"")</f>
        <v>45595.57785</v>
      </c>
      <c r="F644" s="18" t="str">
        <f t="array" ref="F644">IFNA(_xlfn.XLOOKUP(B644,Table_Respons_Loket[Count],Table_Respons_Loket[Jenis Permohonan]),"")</f>
        <v>HIBAH</v>
      </c>
      <c r="G644" s="12" t="s">
        <v>50</v>
      </c>
      <c r="H644" s="12" t="s">
        <v>52</v>
      </c>
      <c r="I644" s="22">
        <f t="shared" si="7"/>
        <v>45596.40648</v>
      </c>
      <c r="J644" s="20" t="b">
        <v>0</v>
      </c>
      <c r="K644" s="13" t="str">
        <f t="shared" si="2"/>
        <v/>
      </c>
    </row>
    <row r="645" ht="22.5" customHeight="1">
      <c r="B645" s="13">
        <f t="shared" si="3"/>
        <v>639</v>
      </c>
      <c r="C645" s="15" t="str">
        <f t="array" ref="C645">IFNA(_xlfn.XLOOKUP(B645,Table_Respons_Loket[Count],Table_Respons_Loket[Nomor Tiket]),"")</f>
        <v>K/27/301024/3</v>
      </c>
      <c r="D645" s="15" t="str">
        <f t="array" ref="D645">IFNA(_xlfn.XLOOKUP(B645,Table_Respons_Loket[Count],Table_Respons_Loket[Daftar Nomor Hak]),"")</f>
        <v>M.10426/KAMPUNG BARU</v>
      </c>
      <c r="E645" s="17">
        <f t="array" ref="E645">IFNA(_xlfn.XLOOKUP(B645,Table_Respons_Loket[Count],Table_Respons_Loket[Time Stamp]),"")</f>
        <v>45595.57855</v>
      </c>
      <c r="F645" s="18" t="str">
        <f t="array" ref="F645">IFNA(_xlfn.XLOOKUP(B645,Table_Respons_Loket[Count],Table_Respons_Loket[Jenis Permohonan]),"")</f>
        <v>BN JUAL BELI</v>
      </c>
      <c r="G645" s="12" t="s">
        <v>50</v>
      </c>
      <c r="H645" s="12" t="s">
        <v>52</v>
      </c>
      <c r="I645" s="22">
        <f t="shared" si="7"/>
        <v>45596.40659</v>
      </c>
      <c r="J645" s="20" t="b">
        <v>0</v>
      </c>
      <c r="K645" s="13" t="str">
        <f t="shared" si="2"/>
        <v/>
      </c>
    </row>
    <row r="646" ht="22.5" customHeight="1">
      <c r="B646" s="13">
        <f t="shared" si="3"/>
        <v>640</v>
      </c>
      <c r="C646" s="15" t="str">
        <f t="array" ref="C646">IFNA(_xlfn.XLOOKUP(B646,Table_Respons_Loket[Count],Table_Respons_Loket[Nomor Tiket]),"")</f>
        <v>K/28/301024/1</v>
      </c>
      <c r="D646" s="15" t="str">
        <f t="array" ref="D646">IFNA(_xlfn.XLOOKUP(B646,Table_Respons_Loket[Count],Table_Respons_Loket[Daftar Nomor Hak]),"")</f>
        <v>M.74/TANJUNG AGUNG</v>
      </c>
      <c r="E646" s="17">
        <f t="array" ref="E646">IFNA(_xlfn.XLOOKUP(B646,Table_Respons_Loket[Count],Table_Respons_Loket[Time Stamp]),"")</f>
        <v>45595.58057</v>
      </c>
      <c r="F646" s="18" t="str">
        <f t="array" ref="F646">IFNA(_xlfn.XLOOKUP(B646,Table_Respons_Loket[Count],Table_Respons_Loket[Jenis Permohonan]),"")</f>
        <v>SKPT LELANG</v>
      </c>
      <c r="G646" s="24"/>
      <c r="H646" s="24"/>
      <c r="I646" s="22" t="str">
        <f t="shared" si="7"/>
        <v/>
      </c>
      <c r="J646" s="20" t="b">
        <v>0</v>
      </c>
      <c r="K646" s="13" t="str">
        <f t="shared" si="2"/>
        <v/>
      </c>
    </row>
    <row r="647" ht="22.5" customHeight="1">
      <c r="B647" s="13">
        <f t="shared" si="3"/>
        <v>641</v>
      </c>
      <c r="C647" s="15" t="str">
        <f t="array" ref="C647">IFNA(_xlfn.XLOOKUP(B647,Table_Respons_Loket[Count],Table_Respons_Loket[Nomor Tiket]),"")</f>
        <v>K/29/301024/1</v>
      </c>
      <c r="D647" s="15" t="str">
        <f t="array" ref="D647">IFNA(_xlfn.XLOOKUP(B647,Table_Respons_Loket[Count],Table_Respons_Loket[Daftar Nomor Hak]),"")</f>
        <v>M. 1927/ Labuhan Dalam</v>
      </c>
      <c r="E647" s="17">
        <f t="array" ref="E647">IFNA(_xlfn.XLOOKUP(B647,Table_Respons_Loket[Count],Table_Respons_Loket[Time Stamp]),"")</f>
        <v>45595.58269</v>
      </c>
      <c r="F647" s="18" t="str">
        <f t="array" ref="F647">IFNA(_xlfn.XLOOKUP(B647,Table_Respons_Loket[Count],Table_Respons_Loket[Jenis Permohonan]),"")</f>
        <v>ROYA</v>
      </c>
      <c r="G647" s="12" t="s">
        <v>50</v>
      </c>
      <c r="H647" s="12" t="s">
        <v>52</v>
      </c>
      <c r="I647" s="22">
        <f t="shared" si="7"/>
        <v>45596.40676</v>
      </c>
      <c r="J647" s="20" t="b">
        <v>0</v>
      </c>
      <c r="K647" s="13" t="str">
        <f t="shared" si="2"/>
        <v/>
      </c>
    </row>
    <row r="648" ht="22.5" customHeight="1">
      <c r="B648" s="13">
        <f t="shared" si="3"/>
        <v>642</v>
      </c>
      <c r="C648" s="15" t="str">
        <f t="array" ref="C648">IFNA(_xlfn.XLOOKUP(B648,Table_Respons_Loket[Count],Table_Respons_Loket[Nomor Tiket]),"")</f>
        <v>K/31/301024/1</v>
      </c>
      <c r="D648" s="15" t="str">
        <f t="array" ref="D648">IFNA(_xlfn.XLOOKUP(B648,Table_Respons_Loket[Count],Table_Respons_Loket[Daftar Nomor Hak]),"")</f>
        <v>M.12541/TANJUNG BARU</v>
      </c>
      <c r="E648" s="17">
        <f t="array" ref="E648">IFNA(_xlfn.XLOOKUP(B648,Table_Respons_Loket[Count],Table_Respons_Loket[Time Stamp]),"")</f>
        <v>45595.60212</v>
      </c>
      <c r="F648" s="18" t="str">
        <f t="array" ref="F648">IFNA(_xlfn.XLOOKUP(B648,Table_Respons_Loket[Count],Table_Respons_Loket[Jenis Permohonan]),"")</f>
        <v>SKPT</v>
      </c>
      <c r="G648" s="24"/>
      <c r="H648" s="24"/>
      <c r="I648" s="22" t="str">
        <f t="shared" si="7"/>
        <v/>
      </c>
      <c r="J648" s="20" t="b">
        <v>0</v>
      </c>
      <c r="K648" s="13" t="str">
        <f t="shared" si="2"/>
        <v/>
      </c>
    </row>
    <row r="649" ht="22.5" customHeight="1">
      <c r="B649" s="13">
        <f t="shared" si="3"/>
        <v>643</v>
      </c>
      <c r="C649" s="15" t="str">
        <f t="array" ref="C649">IFNA(_xlfn.XLOOKUP(B649,Table_Respons_Loket[Count],Table_Respons_Loket[Nomor Tiket]),"")</f>
        <v>K/32/301024/2</v>
      </c>
      <c r="D649" s="15" t="str">
        <f t="array" ref="D649">IFNA(_xlfn.XLOOKUP(B649,Table_Respons_Loket[Count],Table_Respons_Loket[Daftar Nomor Hak]),"")</f>
        <v>M.9564/TANJUNG BARU</v>
      </c>
      <c r="E649" s="17">
        <f t="array" ref="E649">IFNA(_xlfn.XLOOKUP(B649,Table_Respons_Loket[Count],Table_Respons_Loket[Time Stamp]),"")</f>
        <v>45595.6029</v>
      </c>
      <c r="F649" s="18" t="str">
        <f t="array" ref="F649">IFNA(_xlfn.XLOOKUP(B649,Table_Respons_Loket[Count],Table_Respons_Loket[Jenis Permohonan]),"")</f>
        <v>SKPT</v>
      </c>
      <c r="G649" s="24"/>
      <c r="H649" s="24"/>
      <c r="I649" s="22" t="str">
        <f t="shared" si="7"/>
        <v/>
      </c>
      <c r="J649" s="20" t="b">
        <v>0</v>
      </c>
      <c r="K649" s="13" t="str">
        <f t="shared" si="2"/>
        <v/>
      </c>
    </row>
    <row r="650" ht="22.5" customHeight="1">
      <c r="B650" s="13">
        <f t="shared" si="3"/>
        <v>644</v>
      </c>
      <c r="C650" s="15" t="str">
        <f t="array" ref="C650">IFNA(_xlfn.XLOOKUP(B650,Table_Respons_Loket[Count],Table_Respons_Loket[Nomor Tiket]),"")</f>
        <v>L/30/301024/1</v>
      </c>
      <c r="D650" s="15" t="str">
        <f t="array" ref="D650">IFNA(_xlfn.XLOOKUP(B650,Table_Respons_Loket[Count],Table_Respons_Loket[Daftar Nomor Hak]),"")</f>
        <v>HM 1525/BERINGIN RAYA</v>
      </c>
      <c r="E650" s="17">
        <f t="array" ref="E650">IFNA(_xlfn.XLOOKUP(B650,Table_Respons_Loket[Count],Table_Respons_Loket[Time Stamp]),"")</f>
        <v>45595.60316</v>
      </c>
      <c r="F650" s="18" t="str">
        <f t="array" ref="F650">IFNA(_xlfn.XLOOKUP(B650,Table_Respons_Loket[Count],Table_Respons_Loket[Jenis Permohonan]),"")</f>
        <v>GANDES</v>
      </c>
      <c r="G650" s="24"/>
      <c r="H650" s="24"/>
      <c r="I650" s="22" t="str">
        <f t="shared" si="7"/>
        <v/>
      </c>
      <c r="J650" s="20" t="b">
        <v>0</v>
      </c>
      <c r="K650" s="13" t="str">
        <f t="shared" si="2"/>
        <v/>
      </c>
    </row>
    <row r="651" ht="22.5" customHeight="1">
      <c r="B651" s="13">
        <f t="shared" si="3"/>
        <v>645</v>
      </c>
      <c r="C651" s="15" t="str">
        <f t="array" ref="C651">IFNA(_xlfn.XLOOKUP(B651,Table_Respons_Loket[Count],Table_Respons_Loket[Nomor Tiket]),"")</f>
        <v>K/33/301024/3</v>
      </c>
      <c r="D651" s="15" t="str">
        <f t="array" ref="D651">IFNA(_xlfn.XLOOKUP(B651,Table_Respons_Loket[Count],Table_Respons_Loket[Daftar Nomor Hak]),"")</f>
        <v>M.13730/TANJUNG BARU</v>
      </c>
      <c r="E651" s="17">
        <f t="array" ref="E651">IFNA(_xlfn.XLOOKUP(B651,Table_Respons_Loket[Count],Table_Respons_Loket[Time Stamp]),"")</f>
        <v>45595.60395</v>
      </c>
      <c r="F651" s="18" t="str">
        <f t="array" ref="F651">IFNA(_xlfn.XLOOKUP(B651,Table_Respons_Loket[Count],Table_Respons_Loket[Jenis Permohonan]),"")</f>
        <v>SKPT</v>
      </c>
      <c r="G651" s="24"/>
      <c r="H651" s="24"/>
      <c r="I651" s="22" t="str">
        <f t="shared" si="7"/>
        <v/>
      </c>
      <c r="J651" s="20" t="b">
        <v>0</v>
      </c>
      <c r="K651" s="13" t="str">
        <f t="shared" si="2"/>
        <v/>
      </c>
    </row>
    <row r="652" ht="22.5" customHeight="1">
      <c r="B652" s="13">
        <f t="shared" si="3"/>
        <v>646</v>
      </c>
      <c r="C652" s="15" t="str">
        <f t="array" ref="C652">IFNA(_xlfn.XLOOKUP(B652,Table_Respons_Loket[Count],Table_Respons_Loket[Nomor Tiket]),"")</f>
        <v>K/35/301024/1</v>
      </c>
      <c r="D652" s="15" t="str">
        <f t="array" ref="D652">IFNA(_xlfn.XLOOKUP(B652,Table_Respons_Loket[Count],Table_Respons_Loket[Daftar Nomor Hak]),"")</f>
        <v>M. 10396/ Labuhan Ratu</v>
      </c>
      <c r="E652" s="17">
        <f t="array" ref="E652">IFNA(_xlfn.XLOOKUP(B652,Table_Respons_Loket[Count],Table_Respons_Loket[Time Stamp]),"")</f>
        <v>45595.6117</v>
      </c>
      <c r="F652" s="18" t="str">
        <f t="array" ref="F652">IFNA(_xlfn.XLOOKUP(B652,Table_Respons_Loket[Count],Table_Respons_Loket[Jenis Permohonan]),"")</f>
        <v>Gandes</v>
      </c>
      <c r="G652" s="24"/>
      <c r="H652" s="24"/>
      <c r="I652" s="22" t="str">
        <f t="shared" si="7"/>
        <v/>
      </c>
      <c r="J652" s="20" t="b">
        <v>0</v>
      </c>
      <c r="K652" s="13" t="str">
        <f t="shared" si="2"/>
        <v/>
      </c>
    </row>
    <row r="653" ht="22.5" customHeight="1">
      <c r="B653" s="13">
        <f t="shared" si="3"/>
        <v>647</v>
      </c>
      <c r="C653" s="15" t="str">
        <f t="array" ref="C653">IFNA(_xlfn.XLOOKUP(B653,Table_Respons_Loket[Count],Table_Respons_Loket[Nomor Tiket]),"")</f>
        <v>L/38/301024/1</v>
      </c>
      <c r="D653" s="15" t="str">
        <f t="array" ref="D653">IFNA(_xlfn.XLOOKUP(B653,Table_Respons_Loket[Count],Table_Respons_Loket[Daftar Nomor Hak]),"")</f>
        <v>HM 1869/TANJUNG SENANG</v>
      </c>
      <c r="E653" s="17">
        <f t="array" ref="E653">IFNA(_xlfn.XLOOKUP(B653,Table_Respons_Loket[Count],Table_Respons_Loket[Time Stamp]),"")</f>
        <v>45595.60946</v>
      </c>
      <c r="F653" s="18" t="str">
        <f t="array" ref="F653">IFNA(_xlfn.XLOOKUP(B653,Table_Respons_Loket[Count],Table_Respons_Loket[Jenis Permohonan]),"")</f>
        <v>ROYA</v>
      </c>
      <c r="G653" s="12" t="s">
        <v>50</v>
      </c>
      <c r="H653" s="12" t="s">
        <v>52</v>
      </c>
      <c r="I653" s="22">
        <f t="shared" si="7"/>
        <v>45596.40709</v>
      </c>
      <c r="J653" s="20" t="b">
        <v>0</v>
      </c>
      <c r="K653" s="13" t="str">
        <f t="shared" si="2"/>
        <v/>
      </c>
    </row>
    <row r="654" ht="22.5" customHeight="1">
      <c r="B654" s="13">
        <f t="shared" si="3"/>
        <v>648</v>
      </c>
      <c r="C654" s="15" t="str">
        <f t="array" ref="C654">IFNA(_xlfn.XLOOKUP(B654,Table_Respons_Loket[Count],Table_Respons_Loket[Nomor Tiket]),"")</f>
        <v>K/36/301024/1</v>
      </c>
      <c r="D654" s="15" t="str">
        <f t="array" ref="D654">IFNA(_xlfn.XLOOKUP(B654,Table_Respons_Loket[Count],Table_Respons_Loket[Daftar Nomor Hak]),"")</f>
        <v>M. 476/ SUKARAJA</v>
      </c>
      <c r="E654" s="17">
        <f t="array" ref="E654">IFNA(_xlfn.XLOOKUP(B654,Table_Respons_Loket[Count],Table_Respons_Loket[Time Stamp]),"")</f>
        <v>45595.60984</v>
      </c>
      <c r="F654" s="18" t="str">
        <f t="array" ref="F654">IFNA(_xlfn.XLOOKUP(B654,Table_Respons_Loket[Count],Table_Respons_Loket[Jenis Permohonan]),"")</f>
        <v>ganti kelurahan</v>
      </c>
      <c r="G654" s="24"/>
      <c r="H654" s="24"/>
      <c r="I654" s="22" t="str">
        <f t="shared" si="7"/>
        <v/>
      </c>
      <c r="J654" s="20" t="b">
        <v>0</v>
      </c>
      <c r="K654" s="13" t="str">
        <f t="shared" si="2"/>
        <v/>
      </c>
    </row>
    <row r="655" ht="22.5" customHeight="1">
      <c r="B655" s="13">
        <f t="shared" si="3"/>
        <v>649</v>
      </c>
      <c r="C655" s="15" t="str">
        <f t="array" ref="C655">IFNA(_xlfn.XLOOKUP(B655,Table_Respons_Loket[Count],Table_Respons_Loket[Nomor Tiket]),"")</f>
        <v>K/37/301024/2</v>
      </c>
      <c r="D655" s="15" t="str">
        <f t="array" ref="D655">IFNA(_xlfn.XLOOKUP(B655,Table_Respons_Loket[Count],Table_Respons_Loket[Daftar Nomor Hak]),"")</f>
        <v>M. 13119/ SUKARAME I</v>
      </c>
      <c r="E655" s="17">
        <f t="array" ref="E655">IFNA(_xlfn.XLOOKUP(B655,Table_Respons_Loket[Count],Table_Respons_Loket[Time Stamp]),"")</f>
        <v>45595.61079</v>
      </c>
      <c r="F655" s="18" t="str">
        <f t="array" ref="F655">IFNA(_xlfn.XLOOKUP(B655,Table_Respons_Loket[Count],Table_Respons_Loket[Jenis Permohonan]),"")</f>
        <v>PLOTTING</v>
      </c>
      <c r="G655" s="24"/>
      <c r="H655" s="24"/>
      <c r="I655" s="22" t="str">
        <f t="shared" si="7"/>
        <v/>
      </c>
      <c r="J655" s="20" t="b">
        <v>0</v>
      </c>
      <c r="K655" s="13" t="str">
        <f t="shared" si="2"/>
        <v/>
      </c>
    </row>
    <row r="656" ht="22.5" customHeight="1">
      <c r="B656" s="13">
        <f t="shared" si="3"/>
        <v>650</v>
      </c>
      <c r="C656" s="15" t="str">
        <f t="array" ref="C656">IFNA(_xlfn.XLOOKUP(B656,Table_Respons_Loket[Count],Table_Respons_Loket[Nomor Tiket]),"")</f>
        <v>L/39/301024/1</v>
      </c>
      <c r="D656" s="15" t="str">
        <f t="array" ref="D656">IFNA(_xlfn.XLOOKUP(B656,Table_Respons_Loket[Count],Table_Respons_Loket[Daftar Nomor Hak]),"")</f>
        <v>M.11011/KEDAMAIAN- HT 5445/2014</v>
      </c>
      <c r="E656" s="17">
        <f t="array" ref="E656">IFNA(_xlfn.XLOOKUP(B656,Table_Respons_Loket[Count],Table_Respons_Loket[Time Stamp]),"")</f>
        <v>45595.62086</v>
      </c>
      <c r="F656" s="18" t="str">
        <f t="array" ref="F656">IFNA(_xlfn.XLOOKUP(B656,Table_Respons_Loket[Count],Table_Respons_Loket[Jenis Permohonan]),"")</f>
        <v>ROYA</v>
      </c>
      <c r="G656" s="12" t="s">
        <v>50</v>
      </c>
      <c r="H656" s="12" t="s">
        <v>52</v>
      </c>
      <c r="I656" s="22">
        <f t="shared" si="7"/>
        <v>45596.40733</v>
      </c>
      <c r="J656" s="20" t="b">
        <v>0</v>
      </c>
      <c r="K656" s="13" t="str">
        <f t="shared" si="2"/>
        <v/>
      </c>
    </row>
    <row r="657" ht="22.5" customHeight="1">
      <c r="B657" s="13">
        <f t="shared" si="3"/>
        <v>651</v>
      </c>
      <c r="C657" s="15" t="str">
        <f t="array" ref="C657">IFNA(_xlfn.XLOOKUP(B657,Table_Respons_Loket[Count],Table_Respons_Loket[Nomor Tiket]),"")</f>
        <v>K/40/301024/1</v>
      </c>
      <c r="D657" s="15" t="str">
        <f t="array" ref="D657">IFNA(_xlfn.XLOOKUP(B657,Table_Respons_Loket[Count],Table_Respons_Loket[Daftar Nomor Hak]),"")</f>
        <v>M. 2285/ Bumi Waras</v>
      </c>
      <c r="E657" s="17">
        <f t="array" ref="E657">IFNA(_xlfn.XLOOKUP(B657,Table_Respons_Loket[Count],Table_Respons_Loket[Time Stamp]),"")</f>
        <v>45595.62655</v>
      </c>
      <c r="F657" s="18" t="str">
        <f t="array" ref="F657">IFNA(_xlfn.XLOOKUP(B657,Table_Respons_Loket[Count],Table_Respons_Loket[Jenis Permohonan]),"")</f>
        <v>BN PHB</v>
      </c>
      <c r="G657" s="12" t="s">
        <v>50</v>
      </c>
      <c r="H657" s="12" t="s">
        <v>47</v>
      </c>
      <c r="I657" s="22" t="str">
        <f t="shared" si="7"/>
        <v/>
      </c>
      <c r="J657" s="20" t="b">
        <v>0</v>
      </c>
      <c r="K657" s="13" t="str">
        <f t="shared" si="2"/>
        <v/>
      </c>
    </row>
    <row r="658" ht="22.5" customHeight="1">
      <c r="B658" s="13">
        <f t="shared" si="3"/>
        <v>652</v>
      </c>
      <c r="C658" s="15" t="str">
        <f t="array" ref="C658">IFNA(_xlfn.XLOOKUP(B658,Table_Respons_Loket[Count],Table_Respons_Loket[Nomor Tiket]),"")</f>
        <v>K/34/301024/4</v>
      </c>
      <c r="D658" s="15" t="str">
        <f t="array" ref="D658">IFNA(_xlfn.XLOOKUP(B658,Table_Respons_Loket[Count],Table_Respons_Loket[Daftar Nomor Hak]),"")</f>
        <v>M.11237/TANJUNG BARU</v>
      </c>
      <c r="E658" s="17">
        <f t="array" ref="E658">IFNA(_xlfn.XLOOKUP(B658,Table_Respons_Loket[Count],Table_Respons_Loket[Time Stamp]),"")</f>
        <v>45595.63509</v>
      </c>
      <c r="F658" s="18" t="str">
        <f t="array" ref="F658">IFNA(_xlfn.XLOOKUP(B658,Table_Respons_Loket[Count],Table_Respons_Loket[Jenis Permohonan]),"")</f>
        <v>SKPT</v>
      </c>
      <c r="G658" s="24"/>
      <c r="H658" s="24"/>
      <c r="I658" s="22" t="str">
        <f t="shared" si="7"/>
        <v/>
      </c>
      <c r="J658" s="20" t="b">
        <v>0</v>
      </c>
      <c r="K658" s="13" t="str">
        <f t="shared" si="2"/>
        <v/>
      </c>
    </row>
    <row r="659" ht="22.5" customHeight="1">
      <c r="B659" s="13">
        <f t="shared" si="3"/>
        <v>653</v>
      </c>
      <c r="C659" s="15" t="str">
        <f t="array" ref="C659">IFNA(_xlfn.XLOOKUP(B659,Table_Respons_Loket[Count],Table_Respons_Loket[Nomor Tiket]),"")</f>
        <v>K/40/301024/1</v>
      </c>
      <c r="D659" s="15" t="str">
        <f t="array" ref="D659">IFNA(_xlfn.XLOOKUP(B659,Table_Respons_Loket[Count],Table_Respons_Loket[Daftar Nomor Hak]),"")</f>
        <v>M.1704/PERUMNAS WAY HALIM-SEKARANG;B.562/KEDATON-DAHULU</v>
      </c>
      <c r="E659" s="17">
        <f t="array" ref="E659">IFNA(_xlfn.XLOOKUP(B659,Table_Respons_Loket[Count],Table_Respons_Loket[Time Stamp]),"")</f>
        <v>45595.63604</v>
      </c>
      <c r="F659" s="18" t="str">
        <f t="array" ref="F659">IFNA(_xlfn.XLOOKUP(B659,Table_Respons_Loket[Count],Table_Respons_Loket[Jenis Permohonan]),"")</f>
        <v>PLOTING</v>
      </c>
      <c r="G659" s="24"/>
      <c r="H659" s="24"/>
      <c r="I659" s="22" t="str">
        <f t="shared" si="7"/>
        <v/>
      </c>
      <c r="J659" s="20" t="b">
        <v>0</v>
      </c>
      <c r="K659" s="13" t="str">
        <f t="shared" si="2"/>
        <v/>
      </c>
    </row>
    <row r="660" ht="22.5" customHeight="1">
      <c r="B660" s="13">
        <f t="shared" si="3"/>
        <v>654</v>
      </c>
      <c r="C660" s="15" t="str">
        <f t="array" ref="C660">IFNA(_xlfn.XLOOKUP(B660,Table_Respons_Loket[Count],Table_Respons_Loket[Nomor Tiket]),"")</f>
        <v>L/1/311024/1</v>
      </c>
      <c r="D660" s="15" t="str">
        <f t="array" ref="D660">IFNA(_xlfn.XLOOKUP(B660,Table_Respons_Loket[Count],Table_Respons_Loket[Daftar Nomor Hak]),"")</f>
        <v>B.1037/CAMPANG JAYA;B.1083/CAMPANG RAYA-DAHULU</v>
      </c>
      <c r="E660" s="17">
        <f t="array" ref="E660">IFNA(_xlfn.XLOOKUP(B660,Table_Respons_Loket[Count],Table_Respons_Loket[Time Stamp]),"")</f>
        <v>45596.37273</v>
      </c>
      <c r="F660" s="18" t="str">
        <f t="array" ref="F660">IFNA(_xlfn.XLOOKUP(B660,Table_Respons_Loket[Count],Table_Respons_Loket[Jenis Permohonan]),"")</f>
        <v>PERUBAHAN HAK</v>
      </c>
      <c r="G660" s="12" t="s">
        <v>50</v>
      </c>
      <c r="H660" s="12" t="s">
        <v>52</v>
      </c>
      <c r="I660" s="22">
        <f t="shared" si="7"/>
        <v>45600.38121</v>
      </c>
      <c r="J660" s="20" t="b">
        <v>0</v>
      </c>
      <c r="K660" s="13" t="str">
        <f t="shared" si="2"/>
        <v/>
      </c>
    </row>
    <row r="661" ht="22.5" customHeight="1">
      <c r="B661" s="13">
        <f t="shared" si="3"/>
        <v>655</v>
      </c>
      <c r="C661" s="15" t="str">
        <f t="array" ref="C661">IFNA(_xlfn.XLOOKUP(B661,Table_Respons_Loket[Count],Table_Respons_Loket[Nomor Tiket]),"")</f>
        <v>K/3/311024/1</v>
      </c>
      <c r="D661" s="15" t="str">
        <f t="array" ref="D661">IFNA(_xlfn.XLOOKUP(B661,Table_Respons_Loket[Count],Table_Respons_Loket[Daftar Nomor Hak]),"")</f>
        <v>M. 5834/ Way Kandis</v>
      </c>
      <c r="E661" s="17">
        <f t="array" ref="E661">IFNA(_xlfn.XLOOKUP(B661,Table_Respons_Loket[Count],Table_Respons_Loket[Time Stamp]),"")</f>
        <v>45596.39462</v>
      </c>
      <c r="F661" s="18" t="str">
        <f t="array" ref="F661">IFNA(_xlfn.XLOOKUP(B661,Table_Respons_Loket[Count],Table_Respons_Loket[Jenis Permohonan]),"")</f>
        <v>HAPUS BPHTB</v>
      </c>
      <c r="G661" s="24"/>
      <c r="H661" s="24"/>
      <c r="I661" s="22" t="str">
        <f t="shared" si="7"/>
        <v/>
      </c>
      <c r="J661" s="20" t="b">
        <v>0</v>
      </c>
      <c r="K661" s="13" t="str">
        <f t="shared" si="2"/>
        <v/>
      </c>
    </row>
    <row r="662" ht="22.5" customHeight="1">
      <c r="B662" s="13">
        <f t="shared" si="3"/>
        <v>656</v>
      </c>
      <c r="C662" s="15" t="str">
        <f t="array" ref="C662">IFNA(_xlfn.XLOOKUP(B662,Table_Respons_Loket[Count],Table_Respons_Loket[Nomor Tiket]),"")</f>
        <v>K/2/311024/1</v>
      </c>
      <c r="D662" s="15" t="str">
        <f t="array" ref="D662">IFNA(_xlfn.XLOOKUP(B662,Table_Respons_Loket[Count],Table_Respons_Loket[Daftar Nomor Hak]),"")</f>
        <v>M.702/KORPRI JAYA-SEKARANG;M12004/SUKARAME I-DAHULU</v>
      </c>
      <c r="E662" s="17">
        <f t="array" ref="E662">IFNA(_xlfn.XLOOKUP(B662,Table_Respons_Loket[Count],Table_Respons_Loket[Time Stamp]),"")</f>
        <v>45596.39561</v>
      </c>
      <c r="F662" s="18" t="str">
        <f t="array" ref="F662">IFNA(_xlfn.XLOOKUP(B662,Table_Respons_Loket[Count],Table_Respons_Loket[Jenis Permohonan]),"")</f>
        <v>PEMECAHAN</v>
      </c>
      <c r="G662" s="12" t="s">
        <v>50</v>
      </c>
      <c r="H662" s="12" t="s">
        <v>52</v>
      </c>
      <c r="I662" s="22">
        <f t="shared" si="7"/>
        <v>45600.38153</v>
      </c>
      <c r="J662" s="20" t="b">
        <v>0</v>
      </c>
      <c r="K662" s="13" t="str">
        <f t="shared" si="2"/>
        <v/>
      </c>
    </row>
    <row r="663" ht="22.5" customHeight="1">
      <c r="B663" s="13">
        <f t="shared" si="3"/>
        <v>657</v>
      </c>
      <c r="C663" s="15" t="str">
        <f t="array" ref="C663">IFNA(_xlfn.XLOOKUP(B663,Table_Respons_Loket[Count],Table_Respons_Loket[Nomor Tiket]),"")</f>
        <v>K/5/311024/1</v>
      </c>
      <c r="D663" s="15" t="str">
        <f t="array" ref="D663">IFNA(_xlfn.XLOOKUP(B663,Table_Respons_Loket[Count],Table_Respons_Loket[Daftar Nomor Hak]),"")</f>
        <v>M. 213/ K B K</v>
      </c>
      <c r="E663" s="17">
        <f t="array" ref="E663">IFNA(_xlfn.XLOOKUP(B663,Table_Respons_Loket[Count],Table_Respons_Loket[Time Stamp]),"")</f>
        <v>45596.39751</v>
      </c>
      <c r="F663" s="18" t="str">
        <f t="array" ref="F663">IFNA(_xlfn.XLOOKUP(B663,Table_Respons_Loket[Count],Table_Respons_Loket[Jenis Permohonan]),"")</f>
        <v>Gandes</v>
      </c>
      <c r="G663" s="24"/>
      <c r="H663" s="24"/>
      <c r="I663" s="22" t="str">
        <f t="shared" si="7"/>
        <v/>
      </c>
      <c r="J663" s="20" t="b">
        <v>0</v>
      </c>
      <c r="K663" s="13" t="str">
        <f t="shared" si="2"/>
        <v/>
      </c>
    </row>
    <row r="664" ht="22.5" customHeight="1">
      <c r="B664" s="13">
        <f t="shared" si="3"/>
        <v>658</v>
      </c>
      <c r="C664" s="15" t="str">
        <f t="array" ref="C664">IFNA(_xlfn.XLOOKUP(B664,Table_Respons_Loket[Count],Table_Respons_Loket[Nomor Tiket]),"")</f>
        <v>K/4/311024/2</v>
      </c>
      <c r="D664" s="15" t="str">
        <f t="array" ref="D664">IFNA(_xlfn.XLOOKUP(B664,Table_Respons_Loket[Count],Table_Respons_Loket[Daftar Nomor Hak]),"")</f>
        <v>M. 228/ Jagabaya I</v>
      </c>
      <c r="E664" s="17">
        <f t="array" ref="E664">IFNA(_xlfn.XLOOKUP(B664,Table_Respons_Loket[Count],Table_Respons_Loket[Time Stamp]),"")</f>
        <v>45596.40109</v>
      </c>
      <c r="F664" s="18" t="str">
        <f t="array" ref="F664">IFNA(_xlfn.XLOOKUP(B664,Table_Respons_Loket[Count],Table_Respons_Loket[Jenis Permohonan]),"")</f>
        <v>ROYA</v>
      </c>
      <c r="G664" s="12" t="s">
        <v>99</v>
      </c>
      <c r="H664" s="12" t="s">
        <v>207</v>
      </c>
      <c r="I664" s="22">
        <f t="shared" si="7"/>
        <v>45597.65424</v>
      </c>
      <c r="J664" s="20" t="b">
        <v>0</v>
      </c>
      <c r="K664" s="13" t="str">
        <f t="shared" si="2"/>
        <v/>
      </c>
    </row>
    <row r="665" ht="22.5" customHeight="1">
      <c r="B665" s="13">
        <f t="shared" si="3"/>
        <v>659</v>
      </c>
      <c r="C665" s="15" t="str">
        <f t="array" ref="C665">IFNA(_xlfn.XLOOKUP(B665,Table_Respons_Loket[Count],Table_Respons_Loket[Nomor Tiket]),"")</f>
        <v>K/6/311024/1</v>
      </c>
      <c r="D665" s="15" t="str">
        <f t="array" ref="D665">IFNA(_xlfn.XLOOKUP(B665,Table_Respons_Loket[Count],Table_Respons_Loket[Daftar Nomor Hak]),"")</f>
        <v>M. 948/ Campang Raya; B. 200/ CR-dahulu</v>
      </c>
      <c r="E665" s="17">
        <f t="array" ref="E665">IFNA(_xlfn.XLOOKUP(B665,Table_Respons_Loket[Count],Table_Respons_Loket[Time Stamp]),"")</f>
        <v>45596.41637</v>
      </c>
      <c r="F665" s="18" t="str">
        <f t="array" ref="F665">IFNA(_xlfn.XLOOKUP(B665,Table_Respons_Loket[Count],Table_Respons_Loket[Jenis Permohonan]),"")</f>
        <v>BN Jual Beli</v>
      </c>
      <c r="G665" s="12" t="s">
        <v>50</v>
      </c>
      <c r="H665" s="12" t="s">
        <v>87</v>
      </c>
      <c r="I665" s="22">
        <f t="shared" si="7"/>
        <v>45600.38611</v>
      </c>
      <c r="J665" s="20" t="b">
        <v>0</v>
      </c>
      <c r="K665" s="13" t="str">
        <f t="shared" si="2"/>
        <v/>
      </c>
    </row>
    <row r="666" ht="22.5" customHeight="1">
      <c r="B666" s="13">
        <f t="shared" si="3"/>
        <v>660</v>
      </c>
      <c r="C666" s="15" t="str">
        <f t="array" ref="C666">IFNA(_xlfn.XLOOKUP(B666,Table_Respons_Loket[Count],Table_Respons_Loket[Nomor Tiket]),"")</f>
        <v>L/11/311024/1</v>
      </c>
      <c r="D666" s="15" t="str">
        <f t="array" ref="D666">IFNA(_xlfn.XLOOKUP(B666,Table_Respons_Loket[Count],Table_Respons_Loket[Daftar Nomor Hak]),"")</f>
        <v>HM 1362/WHP</v>
      </c>
      <c r="E666" s="17">
        <f t="array" ref="E666">IFNA(_xlfn.XLOOKUP(B666,Table_Respons_Loket[Count],Table_Respons_Loket[Time Stamp]),"")</f>
        <v>45596.42053</v>
      </c>
      <c r="F666" s="18" t="str">
        <f t="array" ref="F666">IFNA(_xlfn.XLOOKUP(B666,Table_Respons_Loket[Count],Table_Respons_Loket[Jenis Permohonan]),"")</f>
        <v>ROYA</v>
      </c>
      <c r="G666" s="12" t="s">
        <v>99</v>
      </c>
      <c r="H666" s="12" t="s">
        <v>47</v>
      </c>
      <c r="I666" s="22" t="str">
        <f t="shared" si="7"/>
        <v/>
      </c>
      <c r="J666" s="20" t="b">
        <v>0</v>
      </c>
      <c r="K666" s="13" t="str">
        <f t="shared" si="2"/>
        <v/>
      </c>
    </row>
    <row r="667" ht="22.5" customHeight="1">
      <c r="B667" s="13">
        <f t="shared" si="3"/>
        <v>661</v>
      </c>
      <c r="C667" s="15" t="str">
        <f t="array" ref="C667">IFNA(_xlfn.XLOOKUP(B667,Table_Respons_Loket[Count],Table_Respons_Loket[Nomor Tiket]),"")</f>
        <v>K/7/311024/1</v>
      </c>
      <c r="D667" s="15" t="str">
        <f t="array" ref="D667">IFNA(_xlfn.XLOOKUP(B667,Table_Respons_Loket[Count],Table_Respons_Loket[Daftar Nomor Hak]),"")</f>
        <v>B.3378/SUKABUMI</v>
      </c>
      <c r="E667" s="17">
        <f t="array" ref="E667">IFNA(_xlfn.XLOOKUP(B667,Table_Respons_Loket[Count],Table_Respons_Loket[Time Stamp]),"")</f>
        <v>45596.42228</v>
      </c>
      <c r="F667" s="18" t="str">
        <f t="array" ref="F667">IFNA(_xlfn.XLOOKUP(B667,Table_Respons_Loket[Count],Table_Respons_Loket[Jenis Permohonan]),"")</f>
        <v>HIBAH</v>
      </c>
      <c r="G667" s="12" t="s">
        <v>99</v>
      </c>
      <c r="H667" s="12" t="s">
        <v>52</v>
      </c>
      <c r="I667" s="22">
        <f t="shared" si="7"/>
        <v>45597.65903</v>
      </c>
      <c r="J667" s="20" t="b">
        <v>0</v>
      </c>
      <c r="K667" s="13" t="str">
        <f t="shared" si="2"/>
        <v/>
      </c>
    </row>
    <row r="668" ht="22.5" customHeight="1">
      <c r="B668" s="13">
        <f t="shared" si="3"/>
        <v>662</v>
      </c>
      <c r="C668" s="15" t="str">
        <f t="array" ref="C668">IFNA(_xlfn.XLOOKUP(B668,Table_Respons_Loket[Count],Table_Respons_Loket[Nomor Tiket]),"")</f>
        <v>K/8/311024/2</v>
      </c>
      <c r="D668" s="15" t="str">
        <f t="array" ref="D668">IFNA(_xlfn.XLOOKUP(B668,Table_Respons_Loket[Count],Table_Respons_Loket[Daftar Nomor Hak]),"")</f>
        <v>M.1565/KEMILING PERMAI</v>
      </c>
      <c r="E668" s="17">
        <f t="array" ref="E668">IFNA(_xlfn.XLOOKUP(B668,Table_Respons_Loket[Count],Table_Respons_Loket[Time Stamp]),"")</f>
        <v>45596.42332</v>
      </c>
      <c r="F668" s="18" t="str">
        <f t="array" ref="F668">IFNA(_xlfn.XLOOKUP(B668,Table_Respons_Loket[Count],Table_Respons_Loket[Jenis Permohonan]),"")</f>
        <v>BN JUAL BELI</v>
      </c>
      <c r="G668" s="12" t="s">
        <v>99</v>
      </c>
      <c r="H668" s="12" t="s">
        <v>52</v>
      </c>
      <c r="I668" s="22">
        <f t="shared" si="7"/>
        <v>45597.6556</v>
      </c>
      <c r="J668" s="20" t="b">
        <v>0</v>
      </c>
      <c r="K668" s="13" t="str">
        <f t="shared" si="2"/>
        <v/>
      </c>
    </row>
    <row r="669" ht="22.5" customHeight="1">
      <c r="B669" s="13">
        <f t="shared" si="3"/>
        <v>663</v>
      </c>
      <c r="C669" s="15" t="str">
        <f t="array" ref="C669">IFNA(_xlfn.XLOOKUP(B669,Table_Respons_Loket[Count],Table_Respons_Loket[Nomor Tiket]),"")</f>
        <v>L/12/311024/1</v>
      </c>
      <c r="D669" s="15" t="str">
        <f t="array" ref="D669">IFNA(_xlfn.XLOOKUP(B669,Table_Respons_Loket[Count],Table_Respons_Loket[Daftar Nomor Hak]),"")</f>
        <v>HM 13738/SUKABUMI</v>
      </c>
      <c r="E669" s="17">
        <f t="array" ref="E669">IFNA(_xlfn.XLOOKUP(B669,Table_Respons_Loket[Count],Table_Respons_Loket[Time Stamp]),"")</f>
        <v>45596.42366</v>
      </c>
      <c r="F669" s="18" t="str">
        <f t="array" ref="F669">IFNA(_xlfn.XLOOKUP(B669,Table_Respons_Loket[Count],Table_Respons_Loket[Jenis Permohonan]),"")</f>
        <v>ROYA</v>
      </c>
      <c r="G669" s="12" t="s">
        <v>366</v>
      </c>
      <c r="H669" s="12" t="s">
        <v>47</v>
      </c>
      <c r="I669" s="22" t="str">
        <f t="shared" si="7"/>
        <v/>
      </c>
      <c r="J669" s="20" t="b">
        <v>0</v>
      </c>
      <c r="K669" s="13" t="str">
        <f t="shared" si="2"/>
        <v/>
      </c>
    </row>
    <row r="670" ht="22.5" customHeight="1">
      <c r="B670" s="13">
        <f t="shared" si="3"/>
        <v>664</v>
      </c>
      <c r="C670" s="15" t="str">
        <f t="array" ref="C670">IFNA(_xlfn.XLOOKUP(B670,Table_Respons_Loket[Count],Table_Respons_Loket[Nomor Tiket]),"")</f>
        <v>K/9/311024/3</v>
      </c>
      <c r="D670" s="15" t="str">
        <f t="array" ref="D670">IFNA(_xlfn.XLOOKUP(B670,Table_Respons_Loket[Count],Table_Respons_Loket[Daftar Nomor Hak]),"")</f>
        <v>M.9492/SEGALAMIDER</v>
      </c>
      <c r="E670" s="17">
        <f t="array" ref="E670">IFNA(_xlfn.XLOOKUP(B670,Table_Respons_Loket[Count],Table_Respons_Loket[Time Stamp]),"")</f>
        <v>45596.4244</v>
      </c>
      <c r="F670" s="18" t="str">
        <f t="array" ref="F670">IFNA(_xlfn.XLOOKUP(B670,Table_Respons_Loket[Count],Table_Respons_Loket[Jenis Permohonan]),"")</f>
        <v>BN JUAL BELI</v>
      </c>
      <c r="G670" s="12" t="s">
        <v>99</v>
      </c>
      <c r="H670" s="12" t="s">
        <v>52</v>
      </c>
      <c r="I670" s="22">
        <f t="shared" si="7"/>
        <v>45597.65761</v>
      </c>
      <c r="J670" s="20" t="b">
        <v>0</v>
      </c>
      <c r="K670" s="13" t="str">
        <f t="shared" si="2"/>
        <v/>
      </c>
    </row>
    <row r="671" ht="22.5" customHeight="1">
      <c r="B671" s="13">
        <f t="shared" si="3"/>
        <v>665</v>
      </c>
      <c r="C671" s="15" t="str">
        <f t="array" ref="C671">IFNA(_xlfn.XLOOKUP(B671,Table_Respons_Loket[Count],Table_Respons_Loket[Nomor Tiket]),"")</f>
        <v>K/10/311024/4</v>
      </c>
      <c r="D671" s="15" t="str">
        <f t="array" ref="D671">IFNA(_xlfn.XLOOKUP(B671,Table_Respons_Loket[Count],Table_Respons_Loket[Daftar Nomor Hak]),"")</f>
        <v>M.1563/KEMILING PERMAI</v>
      </c>
      <c r="E671" s="17">
        <f t="array" ref="E671">IFNA(_xlfn.XLOOKUP(B671,Table_Respons_Loket[Count],Table_Respons_Loket[Time Stamp]),"")</f>
        <v>45596.4267</v>
      </c>
      <c r="F671" s="18" t="str">
        <f t="array" ref="F671">IFNA(_xlfn.XLOOKUP(B671,Table_Respons_Loket[Count],Table_Respons_Loket[Jenis Permohonan]),"")</f>
        <v>KEWARISAN</v>
      </c>
      <c r="G671" s="12" t="s">
        <v>99</v>
      </c>
      <c r="H671" s="12" t="s">
        <v>52</v>
      </c>
      <c r="I671" s="22">
        <f t="shared" si="7"/>
        <v>45597.65569</v>
      </c>
      <c r="J671" s="20" t="b">
        <v>0</v>
      </c>
      <c r="K671" s="13" t="str">
        <f t="shared" si="2"/>
        <v/>
      </c>
    </row>
    <row r="672" ht="22.5" customHeight="1">
      <c r="B672" s="13">
        <f t="shared" si="3"/>
        <v>666</v>
      </c>
      <c r="C672" s="15" t="str">
        <f t="array" ref="C672">IFNA(_xlfn.XLOOKUP(B672,Table_Respons_Loket[Count],Table_Respons_Loket[Nomor Tiket]),"")</f>
        <v>L/13/311024/1</v>
      </c>
      <c r="D672" s="15" t="str">
        <f t="array" ref="D672">IFNA(_xlfn.XLOOKUP(B672,Table_Respons_Loket[Count],Table_Respons_Loket[Daftar Nomor Hak]),"")</f>
        <v>B.1043/RJB</v>
      </c>
      <c r="E672" s="17">
        <f t="array" ref="E672">IFNA(_xlfn.XLOOKUP(B672,Table_Respons_Loket[Count],Table_Respons_Loket[Time Stamp]),"")</f>
        <v>45596.43872</v>
      </c>
      <c r="F672" s="18" t="str">
        <f t="array" ref="F672">IFNA(_xlfn.XLOOKUP(B672,Table_Respons_Loket[Count],Table_Respons_Loket[Jenis Permohonan]),"")</f>
        <v>GANDES</v>
      </c>
      <c r="G672" s="24"/>
      <c r="H672" s="24"/>
      <c r="I672" s="22" t="str">
        <f t="shared" si="7"/>
        <v/>
      </c>
      <c r="J672" s="20" t="b">
        <v>0</v>
      </c>
      <c r="K672" s="13" t="str">
        <f t="shared" si="2"/>
        <v/>
      </c>
    </row>
    <row r="673" ht="22.5" customHeight="1">
      <c r="B673" s="13">
        <f t="shared" si="3"/>
        <v>667</v>
      </c>
      <c r="C673" s="15" t="str">
        <f t="array" ref="C673">IFNA(_xlfn.XLOOKUP(B673,Table_Respons_Loket[Count],Table_Respons_Loket[Nomor Tiket]),"")</f>
        <v>K/15/311024/1</v>
      </c>
      <c r="D673" s="15" t="str">
        <f t="array" ref="D673">IFNA(_xlfn.XLOOKUP(B673,Table_Respons_Loket[Count],Table_Respons_Loket[Daftar Nomor Hak]),"")</f>
        <v>M. 15125/ Sukabumi</v>
      </c>
      <c r="E673" s="17">
        <f t="array" ref="E673">IFNA(_xlfn.XLOOKUP(B673,Table_Respons_Loket[Count],Table_Respons_Loket[Time Stamp]),"")</f>
        <v>45596.4463</v>
      </c>
      <c r="F673" s="18" t="str">
        <f t="array" ref="F673">IFNA(_xlfn.XLOOKUP(B673,Table_Respons_Loket[Count],Table_Respons_Loket[Jenis Permohonan]),"")</f>
        <v>BN JUAL BELI</v>
      </c>
      <c r="G673" s="12" t="s">
        <v>99</v>
      </c>
      <c r="H673" s="12" t="s">
        <v>52</v>
      </c>
      <c r="I673" s="22">
        <f t="shared" si="7"/>
        <v>45597.65574</v>
      </c>
      <c r="J673" s="20" t="b">
        <v>0</v>
      </c>
      <c r="K673" s="13" t="str">
        <f t="shared" si="2"/>
        <v/>
      </c>
    </row>
    <row r="674" ht="22.5" customHeight="1">
      <c r="B674" s="13">
        <f t="shared" si="3"/>
        <v>668</v>
      </c>
      <c r="C674" s="15" t="str">
        <f t="array" ref="C674">IFNA(_xlfn.XLOOKUP(B674,Table_Respons_Loket[Count],Table_Respons_Loket[Nomor Tiket]),"")</f>
        <v>K/14/311024/1</v>
      </c>
      <c r="D674" s="15" t="str">
        <f t="array" ref="D674">IFNA(_xlfn.XLOOKUP(B674,Table_Respons_Loket[Count],Table_Respons_Loket[Daftar Nomor Hak]),"")</f>
        <v>Nibel. M. 642/ Jagabaya II</v>
      </c>
      <c r="E674" s="17">
        <f t="array" ref="E674">IFNA(_xlfn.XLOOKUP(B674,Table_Respons_Loket[Count],Table_Respons_Loket[Time Stamp]),"")</f>
        <v>45596.44681</v>
      </c>
      <c r="F674" s="18" t="str">
        <f t="array" ref="F674">IFNA(_xlfn.XLOOKUP(B674,Table_Respons_Loket[Count],Table_Respons_Loket[Jenis Permohonan]),"")</f>
        <v>BN Jual Beli</v>
      </c>
      <c r="G674" s="24"/>
      <c r="H674" s="24"/>
      <c r="I674" s="22" t="str">
        <f t="shared" si="7"/>
        <v/>
      </c>
      <c r="J674" s="20" t="b">
        <v>0</v>
      </c>
      <c r="K674" s="13" t="str">
        <f t="shared" si="2"/>
        <v/>
      </c>
    </row>
    <row r="675" ht="22.5" customHeight="1">
      <c r="B675" s="13">
        <f t="shared" si="3"/>
        <v>669</v>
      </c>
      <c r="C675" s="15" t="str">
        <f t="array" ref="C675">IFNA(_xlfn.XLOOKUP(B675,Table_Respons_Loket[Count],Table_Respons_Loket[Nomor Tiket]),"")</f>
        <v>K/16/311024/1</v>
      </c>
      <c r="D675" s="15" t="str">
        <f t="array" ref="D675">IFNA(_xlfn.XLOOKUP(B675,Table_Respons_Loket[Count],Table_Respons_Loket[Daftar Nomor Hak]),"")</f>
        <v>M. 11645/ Sukarame</v>
      </c>
      <c r="E675" s="17">
        <f t="array" ref="E675">IFNA(_xlfn.XLOOKUP(B675,Table_Respons_Loket[Count],Table_Respons_Loket[Time Stamp]),"")</f>
        <v>45596.46313</v>
      </c>
      <c r="F675" s="18" t="str">
        <f t="array" ref="F675">IFNA(_xlfn.XLOOKUP(B675,Table_Respons_Loket[Count],Table_Respons_Loket[Jenis Permohonan]),"")</f>
        <v>Pengecekan</v>
      </c>
      <c r="G675" s="24"/>
      <c r="H675" s="24"/>
      <c r="I675" s="22" t="str">
        <f t="shared" si="7"/>
        <v/>
      </c>
      <c r="J675" s="20" t="b">
        <v>0</v>
      </c>
      <c r="K675" s="13" t="str">
        <f t="shared" si="2"/>
        <v/>
      </c>
    </row>
    <row r="676" ht="22.5" customHeight="1">
      <c r="B676" s="13">
        <f t="shared" si="3"/>
        <v>670</v>
      </c>
      <c r="C676" s="15" t="str">
        <f t="array" ref="C676">IFNA(_xlfn.XLOOKUP(B676,Table_Respons_Loket[Count],Table_Respons_Loket[Nomor Tiket]),"")</f>
        <v>K/17/311024/1</v>
      </c>
      <c r="D676" s="15" t="str">
        <f t="array" ref="D676">IFNA(_xlfn.XLOOKUP(B676,Table_Respons_Loket[Count],Table_Respons_Loket[Daftar Nomor Hak]),"")</f>
        <v>M. 13031/ Sukarame</v>
      </c>
      <c r="E676" s="17">
        <f t="array" ref="E676">IFNA(_xlfn.XLOOKUP(B676,Table_Respons_Loket[Count],Table_Respons_Loket[Time Stamp]),"")</f>
        <v>45596.47378</v>
      </c>
      <c r="F676" s="18" t="str">
        <f t="array" ref="F676">IFNA(_xlfn.XLOOKUP(B676,Table_Respons_Loket[Count],Table_Respons_Loket[Jenis Permohonan]),"")</f>
        <v>plottting</v>
      </c>
      <c r="G676" s="24"/>
      <c r="H676" s="24"/>
      <c r="I676" s="22" t="str">
        <f t="shared" si="7"/>
        <v/>
      </c>
      <c r="J676" s="20" t="b">
        <v>0</v>
      </c>
      <c r="K676" s="13" t="str">
        <f t="shared" si="2"/>
        <v/>
      </c>
    </row>
    <row r="677" ht="22.5" customHeight="1">
      <c r="B677" s="13">
        <f t="shared" si="3"/>
        <v>671</v>
      </c>
      <c r="C677" s="15" t="str">
        <f t="array" ref="C677">IFNA(_xlfn.XLOOKUP(B677,Table_Respons_Loket[Count],Table_Respons_Loket[Nomor Tiket]),"")</f>
        <v>L/18/311024/1</v>
      </c>
      <c r="D677" s="15" t="str">
        <f t="array" ref="D677">IFNA(_xlfn.XLOOKUP(B677,Table_Respons_Loket[Count],Table_Respons_Loket[Daftar Nomor Hak]),"")</f>
        <v>HM 1915/GUNUNG TERANG</v>
      </c>
      <c r="E677" s="17">
        <f t="array" ref="E677">IFNA(_xlfn.XLOOKUP(B677,Table_Respons_Loket[Count],Table_Respons_Loket[Time Stamp]),"")</f>
        <v>45596.46877</v>
      </c>
      <c r="F677" s="18" t="str">
        <f t="array" ref="F677">IFNA(_xlfn.XLOOKUP(B677,Table_Respons_Loket[Count],Table_Respons_Loket[Jenis Permohonan]),"")</f>
        <v>ROYA</v>
      </c>
      <c r="G677" s="12" t="s">
        <v>50</v>
      </c>
      <c r="H677" s="12" t="s">
        <v>52</v>
      </c>
      <c r="I677" s="22">
        <f t="shared" si="7"/>
        <v>45600.38254</v>
      </c>
      <c r="J677" s="20" t="b">
        <v>0</v>
      </c>
      <c r="K677" s="13" t="str">
        <f t="shared" si="2"/>
        <v/>
      </c>
    </row>
    <row r="678" ht="22.5" customHeight="1">
      <c r="B678" s="13">
        <f t="shared" si="3"/>
        <v>672</v>
      </c>
      <c r="C678" s="15" t="str">
        <f t="array" ref="C678">IFNA(_xlfn.XLOOKUP(B678,Table_Respons_Loket[Count],Table_Respons_Loket[Nomor Tiket]),"")</f>
        <v>L/19/311024/1</v>
      </c>
      <c r="D678" s="15" t="str">
        <f t="array" ref="D678">IFNA(_xlfn.XLOOKUP(B678,Table_Respons_Loket[Count],Table_Respons_Loket[Daftar Nomor Hak]),"")</f>
        <v>M.2510/KP;B.175/KP-DAHULU</v>
      </c>
      <c r="E678" s="17">
        <f t="array" ref="E678">IFNA(_xlfn.XLOOKUP(B678,Table_Respons_Loket[Count],Table_Respons_Loket[Time Stamp]),"")</f>
        <v>45596.47622</v>
      </c>
      <c r="F678" s="18" t="str">
        <f t="array" ref="F678">IFNA(_xlfn.XLOOKUP(B678,Table_Respons_Loket[Count],Table_Respons_Loket[Jenis Permohonan]),"")</f>
        <v>ROYA</v>
      </c>
      <c r="G678" s="12" t="s">
        <v>50</v>
      </c>
      <c r="H678" s="12" t="s">
        <v>47</v>
      </c>
      <c r="I678" s="22" t="str">
        <f t="shared" si="7"/>
        <v/>
      </c>
      <c r="J678" s="20" t="b">
        <v>0</v>
      </c>
      <c r="K678" s="13" t="str">
        <f t="shared" si="2"/>
        <v/>
      </c>
    </row>
    <row r="679" ht="22.5" customHeight="1">
      <c r="B679" s="13">
        <f t="shared" si="3"/>
        <v>673</v>
      </c>
      <c r="C679" s="15" t="str">
        <f t="array" ref="C679">IFNA(_xlfn.XLOOKUP(B679,Table_Respons_Loket[Count],Table_Respons_Loket[Nomor Tiket]),"")</f>
        <v>K/20/311024/1</v>
      </c>
      <c r="D679" s="15" t="str">
        <f t="array" ref="D679">IFNA(_xlfn.XLOOKUP(B679,Table_Respons_Loket[Count],Table_Respons_Loket[Daftar Nomor Hak]),"")</f>
        <v>M. 101/ P W K</v>
      </c>
      <c r="E679" s="17">
        <f t="array" ref="E679">IFNA(_xlfn.XLOOKUP(B679,Table_Respons_Loket[Count],Table_Respons_Loket[Time Stamp]),"")</f>
        <v>45596.4807</v>
      </c>
      <c r="F679" s="18" t="str">
        <f t="array" ref="F679">IFNA(_xlfn.XLOOKUP(B679,Table_Respons_Loket[Count],Table_Respons_Loket[Jenis Permohonan]),"")</f>
        <v>PTPGT (Pemecahan)</v>
      </c>
      <c r="G679" s="24"/>
      <c r="H679" s="24"/>
      <c r="I679" s="22" t="str">
        <f t="shared" si="7"/>
        <v/>
      </c>
      <c r="J679" s="20" t="b">
        <v>0</v>
      </c>
      <c r="K679" s="13" t="str">
        <f t="shared" si="2"/>
        <v/>
      </c>
    </row>
    <row r="680" ht="22.5" customHeight="1">
      <c r="B680" s="13">
        <f t="shared" si="3"/>
        <v>674</v>
      </c>
      <c r="C680" s="15" t="str">
        <f t="array" ref="C680">IFNA(_xlfn.XLOOKUP(B680,Table_Respons_Loket[Count],Table_Respons_Loket[Nomor Tiket]),"")</f>
        <v>K/21/311024/1</v>
      </c>
      <c r="D680" s="15" t="str">
        <f t="array" ref="D680">IFNA(_xlfn.XLOOKUP(B680,Table_Respons_Loket[Count],Table_Respons_Loket[Daftar Nomor Hak]),"")</f>
        <v>M. 815/ PASIR GINTUNG</v>
      </c>
      <c r="E680" s="17">
        <f t="array" ref="E680">IFNA(_xlfn.XLOOKUP(B680,Table_Respons_Loket[Count],Table_Respons_Loket[Time Stamp]),"")</f>
        <v>45596.48075</v>
      </c>
      <c r="F680" s="18" t="str">
        <f t="array" ref="F680">IFNA(_xlfn.XLOOKUP(B680,Table_Respons_Loket[Count],Table_Respons_Loket[Jenis Permohonan]),"")</f>
        <v>GANTI KECAMATAN</v>
      </c>
      <c r="G680" s="24"/>
      <c r="H680" s="24"/>
      <c r="I680" s="22" t="str">
        <f t="shared" si="7"/>
        <v/>
      </c>
      <c r="J680" s="20" t="b">
        <v>0</v>
      </c>
      <c r="K680" s="13" t="str">
        <f t="shared" si="2"/>
        <v/>
      </c>
    </row>
    <row r="681" ht="22.5" customHeight="1">
      <c r="B681" s="13">
        <f t="shared" si="3"/>
        <v>675</v>
      </c>
      <c r="C681" s="15" t="str">
        <f t="array" ref="C681">IFNA(_xlfn.XLOOKUP(B681,Table_Respons_Loket[Count],Table_Respons_Loket[Nomor Tiket]),"")</f>
        <v>K/22/311024/1</v>
      </c>
      <c r="D681" s="15" t="str">
        <f t="array" ref="D681">IFNA(_xlfn.XLOOKUP(B681,Table_Respons_Loket[Count],Table_Respons_Loket[Daftar Nomor Hak]),"")</f>
        <v>B.698/NEGERI OLOK GADING</v>
      </c>
      <c r="E681" s="17">
        <f t="array" ref="E681">IFNA(_xlfn.XLOOKUP(B681,Table_Respons_Loket[Count],Table_Respons_Loket[Time Stamp]),"")</f>
        <v>45596.48718</v>
      </c>
      <c r="F681" s="18" t="str">
        <f t="array" ref="F681">IFNA(_xlfn.XLOOKUP(B681,Table_Respons_Loket[Count],Table_Respons_Loket[Jenis Permohonan]),"")</f>
        <v>PENINGKATAN</v>
      </c>
      <c r="G681" s="12" t="s">
        <v>50</v>
      </c>
      <c r="H681" s="12" t="s">
        <v>52</v>
      </c>
      <c r="I681" s="22">
        <f t="shared" si="7"/>
        <v>45600.38322</v>
      </c>
      <c r="J681" s="20" t="b">
        <v>0</v>
      </c>
      <c r="K681" s="13" t="str">
        <f t="shared" si="2"/>
        <v/>
      </c>
    </row>
    <row r="682" ht="22.5" customHeight="1">
      <c r="B682" s="13">
        <f t="shared" si="3"/>
        <v>676</v>
      </c>
      <c r="C682" s="15" t="str">
        <f t="array" ref="C682">IFNA(_xlfn.XLOOKUP(B682,Table_Respons_Loket[Count],Table_Respons_Loket[Nomor Tiket]),"")</f>
        <v>K/23/311024/1</v>
      </c>
      <c r="D682" s="15" t="str">
        <f t="array" ref="D682">IFNA(_xlfn.XLOOKUP(B682,Table_Respons_Loket[Count],Table_Respons_Loket[Daftar Nomor Hak]),"")</f>
        <v>M.3135/TANJUNG SENENG</v>
      </c>
      <c r="E682" s="17">
        <f t="array" ref="E682">IFNA(_xlfn.XLOOKUP(B682,Table_Respons_Loket[Count],Table_Respons_Loket[Time Stamp]),"")</f>
        <v>45596.48969</v>
      </c>
      <c r="F682" s="18" t="str">
        <f t="array" ref="F682">IFNA(_xlfn.XLOOKUP(B682,Table_Respons_Loket[Count],Table_Respons_Loket[Jenis Permohonan]),"")</f>
        <v>ROYA</v>
      </c>
      <c r="G682" s="12" t="s">
        <v>99</v>
      </c>
      <c r="H682" s="12" t="s">
        <v>52</v>
      </c>
      <c r="I682" s="22">
        <f t="shared" si="7"/>
        <v>45597.65434</v>
      </c>
      <c r="J682" s="20" t="b">
        <v>0</v>
      </c>
      <c r="K682" s="13" t="str">
        <f t="shared" si="2"/>
        <v/>
      </c>
    </row>
    <row r="683" ht="22.5" customHeight="1">
      <c r="B683" s="13">
        <f t="shared" si="3"/>
        <v>677</v>
      </c>
      <c r="C683" s="15" t="str">
        <f t="array" ref="C683">IFNA(_xlfn.XLOOKUP(B683,Table_Respons_Loket[Count],Table_Respons_Loket[Nomor Tiket]),"")</f>
        <v>K/24/311024/2</v>
      </c>
      <c r="D683" s="15" t="str">
        <f t="array" ref="D683">IFNA(_xlfn.XLOOKUP(B683,Table_Respons_Loket[Count],Table_Respons_Loket[Daftar Nomor Hak]),"")</f>
        <v>M.11853/LABUHAN RATU</v>
      </c>
      <c r="E683" s="17">
        <f t="array" ref="E683">IFNA(_xlfn.XLOOKUP(B683,Table_Respons_Loket[Count],Table_Respons_Loket[Time Stamp]),"")</f>
        <v>45596.49029</v>
      </c>
      <c r="F683" s="18" t="str">
        <f t="array" ref="F683">IFNA(_xlfn.XLOOKUP(B683,Table_Respons_Loket[Count],Table_Respons_Loket[Jenis Permohonan]),"")</f>
        <v>PLOTING</v>
      </c>
      <c r="G683" s="24"/>
      <c r="H683" s="24"/>
      <c r="I683" s="22" t="str">
        <f t="shared" si="7"/>
        <v/>
      </c>
      <c r="J683" s="20" t="b">
        <v>0</v>
      </c>
      <c r="K683" s="13" t="str">
        <f t="shared" si="2"/>
        <v/>
      </c>
    </row>
    <row r="684" ht="22.5" customHeight="1">
      <c r="B684" s="13">
        <f t="shared" si="3"/>
        <v>678</v>
      </c>
      <c r="C684" s="15" t="str">
        <f t="array" ref="C684">IFNA(_xlfn.XLOOKUP(B684,Table_Respons_Loket[Count],Table_Respons_Loket[Nomor Tiket]),"")</f>
        <v>L/25/311024/1</v>
      </c>
      <c r="D684" s="15" t="str">
        <f t="array" ref="D684">IFNA(_xlfn.XLOOKUP(B684,Table_Respons_Loket[Count],Table_Respons_Loket[Daftar Nomor Hak]),"")</f>
        <v>M.10385/KEDAMAIAN</v>
      </c>
      <c r="E684" s="17">
        <f t="array" ref="E684">IFNA(_xlfn.XLOOKUP(B684,Table_Respons_Loket[Count],Table_Respons_Loket[Time Stamp]),"")</f>
        <v>45596.4912</v>
      </c>
      <c r="F684" s="18" t="str">
        <f t="array" ref="F684">IFNA(_xlfn.XLOOKUP(B684,Table_Respons_Loket[Count],Table_Respons_Loket[Jenis Permohonan]),"")</f>
        <v>CEKPLOT HILANG</v>
      </c>
      <c r="G684" s="24"/>
      <c r="H684" s="24"/>
      <c r="I684" s="22" t="str">
        <f t="shared" si="7"/>
        <v/>
      </c>
      <c r="J684" s="20" t="b">
        <v>0</v>
      </c>
      <c r="K684" s="13" t="str">
        <f t="shared" si="2"/>
        <v/>
      </c>
    </row>
    <row r="685" ht="22.5" customHeight="1">
      <c r="B685" s="13">
        <f t="shared" si="3"/>
        <v>679</v>
      </c>
      <c r="C685" s="15" t="str">
        <f t="array" ref="C685">IFNA(_xlfn.XLOOKUP(B685,Table_Respons_Loket[Count],Table_Respons_Loket[Nomor Tiket]),"")</f>
        <v>L/26/311024/1</v>
      </c>
      <c r="D685" s="15" t="str">
        <f t="array" ref="D685">IFNA(_xlfn.XLOOKUP(B685,Table_Respons_Loket[Count],Table_Respons_Loket[Daftar Nomor Hak]),"")</f>
        <v>HGB 138/KEMILING PERMAI</v>
      </c>
      <c r="E685" s="17">
        <f t="array" ref="E685">IFNA(_xlfn.XLOOKUP(B685,Table_Respons_Loket[Count],Table_Respons_Loket[Time Stamp]),"")</f>
        <v>45596.55343</v>
      </c>
      <c r="F685" s="18" t="str">
        <f t="array" ref="F685">IFNA(_xlfn.XLOOKUP(B685,Table_Respons_Loket[Count],Table_Respons_Loket[Jenis Permohonan]),"")</f>
        <v>ROYA</v>
      </c>
      <c r="G685" s="12" t="s">
        <v>50</v>
      </c>
      <c r="H685" s="12" t="s">
        <v>47</v>
      </c>
      <c r="I685" s="22" t="str">
        <f t="shared" si="7"/>
        <v/>
      </c>
      <c r="J685" s="20" t="b">
        <v>0</v>
      </c>
      <c r="K685" s="13" t="str">
        <f t="shared" si="2"/>
        <v/>
      </c>
    </row>
    <row r="686" ht="22.5" customHeight="1">
      <c r="B686" s="13">
        <f t="shared" si="3"/>
        <v>680</v>
      </c>
      <c r="C686" s="15" t="str">
        <f t="array" ref="C686">IFNA(_xlfn.XLOOKUP(B686,Table_Respons_Loket[Count],Table_Respons_Loket[Nomor Tiket]),"")</f>
        <v>L/27/311024/1</v>
      </c>
      <c r="D686" s="15" t="str">
        <f t="array" ref="D686">IFNA(_xlfn.XLOOKUP(B686,Table_Respons_Loket[Count],Table_Respons_Loket[Daftar Nomor Hak]),"")</f>
        <v>M.2818/GU.T;B.92/GU.T-DAHULU</v>
      </c>
      <c r="E686" s="17">
        <f t="array" ref="E686">IFNA(_xlfn.XLOOKUP(B686,Table_Respons_Loket[Count],Table_Respons_Loket[Time Stamp]),"")</f>
        <v>45596.55649</v>
      </c>
      <c r="F686" s="18" t="str">
        <f t="array" ref="F686">IFNA(_xlfn.XLOOKUP(B686,Table_Respons_Loket[Count],Table_Respons_Loket[Jenis Permohonan]),"")</f>
        <v>ROYA</v>
      </c>
      <c r="G686" s="12" t="s">
        <v>50</v>
      </c>
      <c r="H686" s="12" t="s">
        <v>87</v>
      </c>
      <c r="I686" s="22">
        <f t="shared" si="7"/>
        <v>45600.38379</v>
      </c>
      <c r="J686" s="20" t="b">
        <v>0</v>
      </c>
      <c r="K686" s="13" t="str">
        <f t="shared" si="2"/>
        <v/>
      </c>
    </row>
    <row r="687" ht="22.5" customHeight="1">
      <c r="B687" s="13">
        <f t="shared" si="3"/>
        <v>681</v>
      </c>
      <c r="C687" s="15" t="str">
        <f t="array" ref="C687">IFNA(_xlfn.XLOOKUP(B687,Table_Respons_Loket[Count],Table_Respons_Loket[Nomor Tiket]),"")</f>
        <v>K/28/311024/1</v>
      </c>
      <c r="D687" s="15" t="str">
        <f t="array" ref="D687">IFNA(_xlfn.XLOOKUP(B687,Table_Respons_Loket[Count],Table_Respons_Loket[Daftar Nomor Hak]),"")</f>
        <v>B. 1546/ Sukabumi</v>
      </c>
      <c r="E687" s="17">
        <f t="array" ref="E687">IFNA(_xlfn.XLOOKUP(B687,Table_Respons_Loket[Count],Table_Respons_Loket[Time Stamp]),"")</f>
        <v>45596.55774</v>
      </c>
      <c r="F687" s="18" t="str">
        <f t="array" ref="F687">IFNA(_xlfn.XLOOKUP(B687,Table_Respons_Loket[Count],Table_Respons_Loket[Jenis Permohonan]),"")</f>
        <v>Perubahan Hak</v>
      </c>
      <c r="G687" s="12" t="s">
        <v>50</v>
      </c>
      <c r="H687" s="12" t="s">
        <v>87</v>
      </c>
      <c r="I687" s="22">
        <f t="shared" si="7"/>
        <v>45600.38455</v>
      </c>
      <c r="J687" s="20" t="b">
        <v>0</v>
      </c>
      <c r="K687" s="13" t="str">
        <f t="shared" si="2"/>
        <v/>
      </c>
    </row>
    <row r="688" ht="22.5" customHeight="1">
      <c r="B688" s="13">
        <f t="shared" si="3"/>
        <v>682</v>
      </c>
      <c r="C688" s="15" t="str">
        <f t="array" ref="C688">IFNA(_xlfn.XLOOKUP(B688,Table_Respons_Loket[Count],Table_Respons_Loket[Nomor Tiket]),"")</f>
        <v>K/29/311024/1</v>
      </c>
      <c r="D688" s="15" t="str">
        <f t="array" ref="D688">IFNA(_xlfn.XLOOKUP(B688,Table_Respons_Loket[Count],Table_Respons_Loket[Daftar Nomor Hak]),"")</f>
        <v>B. 1655/ KANGKUNG</v>
      </c>
      <c r="E688" s="17">
        <f t="array" ref="E688">IFNA(_xlfn.XLOOKUP(B688,Table_Respons_Loket[Count],Table_Respons_Loket[Time Stamp]),"")</f>
        <v>45596.56939</v>
      </c>
      <c r="F688" s="18" t="str">
        <f t="array" ref="F688">IFNA(_xlfn.XLOOKUP(B688,Table_Respons_Loket[Count],Table_Respons_Loket[Jenis Permohonan]),"")</f>
        <v>BN PHB</v>
      </c>
      <c r="G688" s="12" t="s">
        <v>42</v>
      </c>
      <c r="H688" s="12" t="s">
        <v>52</v>
      </c>
      <c r="I688" s="22">
        <f t="shared" si="7"/>
        <v>45604.61324</v>
      </c>
      <c r="J688" s="20" t="b">
        <v>0</v>
      </c>
      <c r="K688" s="13" t="str">
        <f t="shared" si="2"/>
        <v/>
      </c>
    </row>
    <row r="689" ht="22.5" customHeight="1">
      <c r="B689" s="13">
        <f t="shared" si="3"/>
        <v>683</v>
      </c>
      <c r="C689" s="15" t="str">
        <f t="array" ref="C689">IFNA(_xlfn.XLOOKUP(B689,Table_Respons_Loket[Count],Table_Respons_Loket[Nomor Tiket]),"")</f>
        <v>K/32/311024/1</v>
      </c>
      <c r="D689" s="15" t="str">
        <f t="array" ref="D689">IFNA(_xlfn.XLOOKUP(B689,Table_Respons_Loket[Count],Table_Respons_Loket[Daftar Nomor Hak]),"")</f>
        <v>M.11880/SEGALA MIDER</v>
      </c>
      <c r="E689" s="17">
        <f t="array" ref="E689">IFNA(_xlfn.XLOOKUP(B689,Table_Respons_Loket[Count],Table_Respons_Loket[Time Stamp]),"")</f>
        <v>45596.57069</v>
      </c>
      <c r="F689" s="18" t="str">
        <f t="array" ref="F689">IFNA(_xlfn.XLOOKUP(B689,Table_Respons_Loket[Count],Table_Respons_Loket[Jenis Permohonan]),"")</f>
        <v>PLOTING</v>
      </c>
      <c r="G689" s="24"/>
      <c r="H689" s="24"/>
      <c r="I689" s="22" t="str">
        <f t="shared" si="7"/>
        <v/>
      </c>
      <c r="J689" s="20" t="b">
        <v>0</v>
      </c>
      <c r="K689" s="13" t="str">
        <f t="shared" si="2"/>
        <v/>
      </c>
    </row>
    <row r="690" ht="22.5" customHeight="1">
      <c r="B690" s="13">
        <f t="shared" si="3"/>
        <v>684</v>
      </c>
      <c r="C690" s="15" t="str">
        <f t="array" ref="C690">IFNA(_xlfn.XLOOKUP(B690,Table_Respons_Loket[Count],Table_Respons_Loket[Nomor Tiket]),"")</f>
        <v>K/33/311024/2</v>
      </c>
      <c r="D690" s="15" t="str">
        <f t="array" ref="D690">IFNA(_xlfn.XLOOKUP(B690,Table_Respons_Loket[Count],Table_Respons_Loket[Daftar Nomor Hak]),"")</f>
        <v>M.9885/KEDATON</v>
      </c>
      <c r="E690" s="17">
        <f t="array" ref="E690">IFNA(_xlfn.XLOOKUP(B690,Table_Respons_Loket[Count],Table_Respons_Loket[Time Stamp]),"")</f>
        <v>45596.57134</v>
      </c>
      <c r="F690" s="18" t="str">
        <f t="array" ref="F690">IFNA(_xlfn.XLOOKUP(B690,Table_Respons_Loket[Count],Table_Respons_Loket[Jenis Permohonan]),"")</f>
        <v>PLOTING</v>
      </c>
      <c r="G690" s="24"/>
      <c r="H690" s="24"/>
      <c r="I690" s="22" t="str">
        <f t="shared" si="7"/>
        <v/>
      </c>
      <c r="J690" s="20" t="b">
        <v>0</v>
      </c>
      <c r="K690" s="13" t="str">
        <f t="shared" si="2"/>
        <v/>
      </c>
    </row>
    <row r="691" ht="22.5" customHeight="1">
      <c r="B691" s="13">
        <f t="shared" si="3"/>
        <v>685</v>
      </c>
      <c r="C691" s="15" t="str">
        <f t="array" ref="C691">IFNA(_xlfn.XLOOKUP(B691,Table_Respons_Loket[Count],Table_Respons_Loket[Nomor Tiket]),"")</f>
        <v>K/34/311024/3</v>
      </c>
      <c r="D691" s="15" t="str">
        <f t="array" ref="D691">IFNA(_xlfn.XLOOKUP(B691,Table_Respons_Loket[Count],Table_Respons_Loket[Daftar Nomor Hak]),"")</f>
        <v>B.535/BAKUNG</v>
      </c>
      <c r="E691" s="17">
        <f t="array" ref="E691">IFNA(_xlfn.XLOOKUP(B691,Table_Respons_Loket[Count],Table_Respons_Loket[Time Stamp]),"")</f>
        <v>45596.57206</v>
      </c>
      <c r="F691" s="18" t="str">
        <f t="array" ref="F691">IFNA(_xlfn.XLOOKUP(B691,Table_Respons_Loket[Count],Table_Respons_Loket[Jenis Permohonan]),"")</f>
        <v>PLOTING</v>
      </c>
      <c r="G691" s="24"/>
      <c r="H691" s="24"/>
      <c r="I691" s="22" t="str">
        <f t="shared" si="7"/>
        <v/>
      </c>
      <c r="J691" s="20" t="b">
        <v>0</v>
      </c>
      <c r="K691" s="13" t="str">
        <f t="shared" si="2"/>
        <v/>
      </c>
    </row>
    <row r="692" ht="22.5" customHeight="1">
      <c r="B692" s="13">
        <f t="shared" si="3"/>
        <v>686</v>
      </c>
      <c r="C692" s="15" t="str">
        <f t="array" ref="C692">IFNA(_xlfn.XLOOKUP(B692,Table_Respons_Loket[Count],Table_Respons_Loket[Nomor Tiket]),"")</f>
        <v>K/30/311024/2</v>
      </c>
      <c r="D692" s="15" t="str">
        <f t="array" ref="D692">IFNA(_xlfn.XLOOKUP(B692,Table_Respons_Loket[Count],Table_Respons_Loket[Daftar Nomor Hak]),"")</f>
        <v>M. 520/ Gunung Agung</v>
      </c>
      <c r="E692" s="17">
        <f t="array" ref="E692">IFNA(_xlfn.XLOOKUP(B692,Table_Respons_Loket[Count],Table_Respons_Loket[Time Stamp]),"")</f>
        <v>45596.57358</v>
      </c>
      <c r="F692" s="18" t="str">
        <f t="array" ref="F692">IFNA(_xlfn.XLOOKUP(B692,Table_Respons_Loket[Count],Table_Respons_Loket[Jenis Permohonan]),"")</f>
        <v>BN JUAL BELI</v>
      </c>
      <c r="G692" s="12" t="s">
        <v>50</v>
      </c>
      <c r="H692" s="12" t="s">
        <v>52</v>
      </c>
      <c r="I692" s="22">
        <f t="shared" si="7"/>
        <v>45600.38515</v>
      </c>
      <c r="J692" s="20" t="b">
        <v>0</v>
      </c>
      <c r="K692" s="13" t="str">
        <f t="shared" si="2"/>
        <v/>
      </c>
    </row>
    <row r="693" ht="22.5" customHeight="1">
      <c r="B693" s="13">
        <f t="shared" si="3"/>
        <v>687</v>
      </c>
      <c r="C693" s="15" t="str">
        <f t="array" ref="C693">IFNA(_xlfn.XLOOKUP(B693,Table_Respons_Loket[Count],Table_Respons_Loket[Nomor Tiket]),"")</f>
        <v>K/35/311024/1</v>
      </c>
      <c r="D693" s="15" t="str">
        <f t="array" ref="D693">IFNA(_xlfn.XLOOKUP(B693,Table_Respons_Loket[Count],Table_Respons_Loket[Daftar Nomor Hak]),"")</f>
        <v>M. 16570/ Sukabumi</v>
      </c>
      <c r="E693" s="17">
        <f t="array" ref="E693">IFNA(_xlfn.XLOOKUP(B693,Table_Respons_Loket[Count],Table_Respons_Loket[Time Stamp]),"")</f>
        <v>45596.57595</v>
      </c>
      <c r="F693" s="18" t="str">
        <f t="array" ref="F693">IFNA(_xlfn.XLOOKUP(B693,Table_Respons_Loket[Count],Table_Respons_Loket[Jenis Permohonan]),"")</f>
        <v>BN Jual Beli</v>
      </c>
      <c r="G693" s="12" t="s">
        <v>50</v>
      </c>
      <c r="H693" s="12" t="s">
        <v>52</v>
      </c>
      <c r="I693" s="22">
        <f t="shared" si="7"/>
        <v>45600.38543</v>
      </c>
      <c r="J693" s="20" t="b">
        <v>0</v>
      </c>
      <c r="K693" s="13" t="str">
        <f t="shared" si="2"/>
        <v/>
      </c>
    </row>
    <row r="694" ht="22.5" customHeight="1">
      <c r="B694" s="13">
        <f t="shared" si="3"/>
        <v>688</v>
      </c>
      <c r="C694" s="15" t="str">
        <f t="array" ref="C694">IFNA(_xlfn.XLOOKUP(B694,Table_Respons_Loket[Count],Table_Respons_Loket[Nomor Tiket]),"")</f>
        <v>K/31/311024/3</v>
      </c>
      <c r="D694" s="15" t="str">
        <f t="array" ref="D694">IFNA(_xlfn.XLOOKUP(B694,Table_Respons_Loket[Count],Table_Respons_Loket[Daftar Nomor Hak]),"")</f>
        <v>M. 3998/ Rajabasa Jaya</v>
      </c>
      <c r="E694" s="17">
        <f t="array" ref="E694">IFNA(_xlfn.XLOOKUP(B694,Table_Respons_Loket[Count],Table_Respons_Loket[Time Stamp]),"")</f>
        <v>45596.57598</v>
      </c>
      <c r="F694" s="18" t="str">
        <f t="array" ref="F694">IFNA(_xlfn.XLOOKUP(B694,Table_Respons_Loket[Count],Table_Respons_Loket[Jenis Permohonan]),"")</f>
        <v>bn jual beli</v>
      </c>
      <c r="G694" s="12" t="s">
        <v>50</v>
      </c>
      <c r="H694" s="12" t="s">
        <v>52</v>
      </c>
      <c r="I694" s="22">
        <f t="shared" si="7"/>
        <v>45600.38565</v>
      </c>
      <c r="J694" s="20" t="b">
        <v>0</v>
      </c>
      <c r="K694" s="13" t="str">
        <f t="shared" si="2"/>
        <v/>
      </c>
    </row>
    <row r="695" ht="22.5" customHeight="1">
      <c r="B695" s="13">
        <f t="shared" si="3"/>
        <v>689</v>
      </c>
      <c r="C695" s="15" t="str">
        <f t="array" ref="C695">IFNA(_xlfn.XLOOKUP(B695,Table_Respons_Loket[Count],Table_Respons_Loket[Nomor Tiket]),"")</f>
        <v>K/36/311024/1</v>
      </c>
      <c r="D695" s="15" t="str">
        <f t="array" ref="D695">IFNA(_xlfn.XLOOKUP(B695,Table_Respons_Loket[Count],Table_Respons_Loket[Daftar Nomor Hak]),"")</f>
        <v>B.571/NUSANTARA PERMAI-SEKARANG;B.616/CAMPANG RAYA-DAHULU</v>
      </c>
      <c r="E695" s="17">
        <f t="array" ref="E695">IFNA(_xlfn.XLOOKUP(B695,Table_Respons_Loket[Count],Table_Respons_Loket[Time Stamp]),"")</f>
        <v>45596.57916</v>
      </c>
      <c r="F695" s="18" t="str">
        <f t="array" ref="F695">IFNA(_xlfn.XLOOKUP(B695,Table_Respons_Loket[Count],Table_Respons_Loket[Jenis Permohonan]),"")</f>
        <v>PENINGKATAN</v>
      </c>
      <c r="G695" s="12" t="s">
        <v>48</v>
      </c>
      <c r="H695" s="12" t="s">
        <v>52</v>
      </c>
      <c r="I695" s="22">
        <f t="shared" si="7"/>
        <v>45600.38717</v>
      </c>
      <c r="J695" s="20" t="b">
        <v>0</v>
      </c>
      <c r="K695" s="13" t="str">
        <f t="shared" si="2"/>
        <v/>
      </c>
    </row>
    <row r="696" ht="22.5" customHeight="1">
      <c r="B696" s="13">
        <f t="shared" si="3"/>
        <v>690</v>
      </c>
      <c r="C696" s="15" t="str">
        <f t="array" ref="C696">IFNA(_xlfn.XLOOKUP(B696,Table_Respons_Loket[Count],Table_Respons_Loket[Nomor Tiket]),"")</f>
        <v>K/37/311024/1</v>
      </c>
      <c r="D696" s="15" t="str">
        <f t="array" ref="D696">IFNA(_xlfn.XLOOKUP(B696,Table_Respons_Loket[Count],Table_Respons_Loket[Daftar Nomor Hak]),"")</f>
        <v>M.9511/SIDODADI</v>
      </c>
      <c r="E696" s="17">
        <f t="array" ref="E696">IFNA(_xlfn.XLOOKUP(B696,Table_Respons_Loket[Count],Table_Respons_Loket[Time Stamp]),"")</f>
        <v>45596.57994</v>
      </c>
      <c r="F696" s="18" t="str">
        <f t="array" ref="F696">IFNA(_xlfn.XLOOKUP(B696,Table_Respons_Loket[Count],Table_Respons_Loket[Jenis Permohonan]),"")</f>
        <v>HIBAH</v>
      </c>
      <c r="G696" s="12" t="s">
        <v>48</v>
      </c>
      <c r="H696" s="12" t="s">
        <v>52</v>
      </c>
      <c r="I696" s="22">
        <f t="shared" si="7"/>
        <v>45600.38793</v>
      </c>
      <c r="J696" s="20" t="b">
        <v>0</v>
      </c>
      <c r="K696" s="13" t="str">
        <f t="shared" si="2"/>
        <v/>
      </c>
    </row>
    <row r="697" ht="22.5" customHeight="1">
      <c r="B697" s="13">
        <f t="shared" si="3"/>
        <v>691</v>
      </c>
      <c r="C697" s="15" t="str">
        <f t="array" ref="C697">IFNA(_xlfn.XLOOKUP(B697,Table_Respons_Loket[Count],Table_Respons_Loket[Nomor Tiket]),"")</f>
        <v>K/38/311024/1</v>
      </c>
      <c r="D697" s="15" t="str">
        <f t="array" ref="D697">IFNA(_xlfn.XLOOKUP(B697,Table_Respons_Loket[Count],Table_Respons_Loket[Daftar Nomor Hak]),"")</f>
        <v>M. 2181/ Kemiling Permai; SHT 1853/2019</v>
      </c>
      <c r="E697" s="17">
        <f t="array" ref="E697">IFNA(_xlfn.XLOOKUP(B697,Table_Respons_Loket[Count],Table_Respons_Loket[Time Stamp]),"")</f>
        <v>45596.58771</v>
      </c>
      <c r="F697" s="18" t="str">
        <f t="array" ref="F697">IFNA(_xlfn.XLOOKUP(B697,Table_Respons_Loket[Count],Table_Respons_Loket[Jenis Permohonan]),"")</f>
        <v>Ganti Nama Kreditur</v>
      </c>
      <c r="G697" s="12" t="s">
        <v>48</v>
      </c>
      <c r="H697" s="12" t="s">
        <v>52</v>
      </c>
      <c r="I697" s="22">
        <f t="shared" si="7"/>
        <v>45614.66166</v>
      </c>
      <c r="J697" s="20" t="b">
        <v>0</v>
      </c>
      <c r="K697" s="13" t="str">
        <f t="shared" si="2"/>
        <v/>
      </c>
    </row>
    <row r="698" ht="22.5" customHeight="1">
      <c r="B698" s="13">
        <f t="shared" si="3"/>
        <v>692</v>
      </c>
      <c r="C698" s="15" t="str">
        <f t="array" ref="C698">IFNA(_xlfn.XLOOKUP(B698,Table_Respons_Loket[Count],Table_Respons_Loket[Nomor Tiket]),"")</f>
        <v>K/39/311024/1</v>
      </c>
      <c r="D698" s="15" t="str">
        <f t="array" ref="D698">IFNA(_xlfn.XLOOKUP(B698,Table_Respons_Loket[Count],Table_Respons_Loket[Daftar Nomor Hak]),"")</f>
        <v>M.183/LABUHAN RATU RAYA</v>
      </c>
      <c r="E698" s="17">
        <f t="array" ref="E698">IFNA(_xlfn.XLOOKUP(B698,Table_Respons_Loket[Count],Table_Respons_Loket[Time Stamp]),"")</f>
        <v>45596.59035</v>
      </c>
      <c r="F698" s="18" t="str">
        <f t="array" ref="F698">IFNA(_xlfn.XLOOKUP(B698,Table_Respons_Loket[Count],Table_Respons_Loket[Jenis Permohonan]),"")</f>
        <v>BN JUAL BELI</v>
      </c>
      <c r="G698" s="12" t="s">
        <v>48</v>
      </c>
      <c r="H698" s="12" t="s">
        <v>52</v>
      </c>
      <c r="I698" s="22">
        <f t="shared" si="7"/>
        <v>45600.38937</v>
      </c>
      <c r="J698" s="20" t="b">
        <v>0</v>
      </c>
      <c r="K698" s="13" t="str">
        <f t="shared" si="2"/>
        <v/>
      </c>
    </row>
    <row r="699" ht="22.5" customHeight="1">
      <c r="B699" s="13">
        <f t="shared" si="3"/>
        <v>693</v>
      </c>
      <c r="C699" s="15" t="str">
        <f t="array" ref="C699">IFNA(_xlfn.XLOOKUP(B699,Table_Respons_Loket[Count],Table_Respons_Loket[Nomor Tiket]),"")</f>
        <v>K/40/311024/2</v>
      </c>
      <c r="D699" s="15" t="str">
        <f t="array" ref="D699">IFNA(_xlfn.XLOOKUP(B699,Table_Respons_Loket[Count],Table_Respons_Loket[Daftar Nomor Hak]),"")</f>
        <v>M.1183/PERUMNAS WAY KANDIS</v>
      </c>
      <c r="E699" s="17">
        <f t="array" ref="E699">IFNA(_xlfn.XLOOKUP(B699,Table_Respons_Loket[Count],Table_Respons_Loket[Time Stamp]),"")</f>
        <v>45596.59088</v>
      </c>
      <c r="F699" s="18" t="str">
        <f t="array" ref="F699">IFNA(_xlfn.XLOOKUP(B699,Table_Respons_Loket[Count],Table_Respons_Loket[Jenis Permohonan]),"")</f>
        <v>BN JUAL BELI</v>
      </c>
      <c r="G699" s="12" t="s">
        <v>48</v>
      </c>
      <c r="H699" s="12" t="s">
        <v>52</v>
      </c>
      <c r="I699" s="22">
        <f t="shared" si="7"/>
        <v>45600.39043</v>
      </c>
      <c r="J699" s="20" t="b">
        <v>0</v>
      </c>
      <c r="K699" s="13" t="str">
        <f t="shared" si="2"/>
        <v/>
      </c>
    </row>
    <row r="700" ht="22.5" customHeight="1">
      <c r="B700" s="13">
        <f t="shared" si="3"/>
        <v>694</v>
      </c>
      <c r="C700" s="15" t="str">
        <f t="array" ref="C700">IFNA(_xlfn.XLOOKUP(B700,Table_Respons_Loket[Count],Table_Respons_Loket[Nomor Tiket]),"")</f>
        <v>K/41/311024/1</v>
      </c>
      <c r="D700" s="15" t="str">
        <f t="array" ref="D700">IFNA(_xlfn.XLOOKUP(B700,Table_Respons_Loket[Count],Table_Respons_Loket[Daftar Nomor Hak]),"")</f>
        <v>M. 3912/ Sukadana Ham</v>
      </c>
      <c r="E700" s="17">
        <f t="array" ref="E700">IFNA(_xlfn.XLOOKUP(B700,Table_Respons_Loket[Count],Table_Respons_Loket[Time Stamp]),"")</f>
        <v>45596.59708</v>
      </c>
      <c r="F700" s="18" t="str">
        <f t="array" ref="F700">IFNA(_xlfn.XLOOKUP(B700,Table_Respons_Loket[Count],Table_Respons_Loket[Jenis Permohonan]),"")</f>
        <v>BN Jual Beli</v>
      </c>
      <c r="G700" s="12" t="s">
        <v>48</v>
      </c>
      <c r="H700" s="12" t="s">
        <v>52</v>
      </c>
      <c r="I700" s="22">
        <f t="shared" si="7"/>
        <v>45600.39096</v>
      </c>
      <c r="J700" s="20" t="b">
        <v>0</v>
      </c>
      <c r="K700" s="13" t="str">
        <f t="shared" si="2"/>
        <v/>
      </c>
    </row>
    <row r="701" ht="22.5" customHeight="1">
      <c r="B701" s="13">
        <f t="shared" si="3"/>
        <v>695</v>
      </c>
      <c r="C701" s="15" t="str">
        <f t="array" ref="C701">IFNA(_xlfn.XLOOKUP(B701,Table_Respons_Loket[Count],Table_Respons_Loket[Nomor Tiket]),"")</f>
        <v>K/42/311024/1</v>
      </c>
      <c r="D701" s="15" t="str">
        <f t="array" ref="D701">IFNA(_xlfn.XLOOKUP(B701,Table_Respons_Loket[Count],Table_Respons_Loket[Daftar Nomor Hak]),"")</f>
        <v>M. 1333/ SEPANG JAYA</v>
      </c>
      <c r="E701" s="17">
        <f t="array" ref="E701">IFNA(_xlfn.XLOOKUP(B701,Table_Respons_Loket[Count],Table_Respons_Loket[Time Stamp]),"")</f>
        <v>45596.60004</v>
      </c>
      <c r="F701" s="18" t="str">
        <f t="array" ref="F701">IFNA(_xlfn.XLOOKUP(B701,Table_Respons_Loket[Count],Table_Respons_Loket[Jenis Permohonan]),"")</f>
        <v>ROYA</v>
      </c>
      <c r="G701" s="12" t="s">
        <v>48</v>
      </c>
      <c r="H701" s="12" t="s">
        <v>52</v>
      </c>
      <c r="I701" s="22">
        <f t="shared" si="7"/>
        <v>45600.39118</v>
      </c>
      <c r="J701" s="20" t="b">
        <v>0</v>
      </c>
      <c r="K701" s="13" t="str">
        <f t="shared" si="2"/>
        <v/>
      </c>
    </row>
    <row r="702" ht="22.5" customHeight="1">
      <c r="B702" s="13">
        <f t="shared" si="3"/>
        <v>696</v>
      </c>
      <c r="C702" s="15" t="str">
        <f t="array" ref="C702">IFNA(_xlfn.XLOOKUP(B702,Table_Respons_Loket[Count],Table_Respons_Loket[Nomor Tiket]),"")</f>
        <v>K/43/311024/1</v>
      </c>
      <c r="D702" s="15" t="str">
        <f t="array" ref="D702">IFNA(_xlfn.XLOOKUP(B702,Table_Respons_Loket[Count],Table_Respons_Loket[Daftar Nomor Hak]),"")</f>
        <v>M. 860/ Tanjung Gading</v>
      </c>
      <c r="E702" s="17">
        <f t="array" ref="E702">IFNA(_xlfn.XLOOKUP(B702,Table_Respons_Loket[Count],Table_Respons_Loket[Time Stamp]),"")</f>
        <v>45596.60689</v>
      </c>
      <c r="F702" s="18" t="str">
        <f t="array" ref="F702">IFNA(_xlfn.XLOOKUP(B702,Table_Respons_Loket[Count],Table_Respons_Loket[Jenis Permohonan]),"")</f>
        <v>BN Hibah</v>
      </c>
      <c r="G702" s="12" t="s">
        <v>48</v>
      </c>
      <c r="H702" s="12" t="s">
        <v>52</v>
      </c>
      <c r="I702" s="22">
        <f t="shared" si="7"/>
        <v>45600.39167</v>
      </c>
      <c r="J702" s="20" t="b">
        <v>0</v>
      </c>
      <c r="K702" s="13" t="str">
        <f t="shared" si="2"/>
        <v/>
      </c>
    </row>
    <row r="703" ht="22.5" customHeight="1">
      <c r="B703" s="13">
        <f t="shared" si="3"/>
        <v>697</v>
      </c>
      <c r="C703" s="15" t="str">
        <f t="array" ref="C703">IFNA(_xlfn.XLOOKUP(B703,Table_Respons_Loket[Count],Table_Respons_Loket[Nomor Tiket]),"")</f>
        <v>K/44/311024/2</v>
      </c>
      <c r="D703" s="15" t="str">
        <f t="array" ref="D703">IFNA(_xlfn.XLOOKUP(B703,Table_Respons_Loket[Count],Table_Respons_Loket[Daftar Nomor Hak]),"")</f>
        <v>M. 858/ Tanjung Gading</v>
      </c>
      <c r="E703" s="17">
        <f t="array" ref="E703">IFNA(_xlfn.XLOOKUP(B703,Table_Respons_Loket[Count],Table_Respons_Loket[Time Stamp]),"")</f>
        <v>45596.60758</v>
      </c>
      <c r="F703" s="18" t="str">
        <f t="array" ref="F703">IFNA(_xlfn.XLOOKUP(B703,Table_Respons_Loket[Count],Table_Respons_Loket[Jenis Permohonan]),"")</f>
        <v>BN Hibah</v>
      </c>
      <c r="G703" s="12" t="s">
        <v>48</v>
      </c>
      <c r="H703" s="12" t="s">
        <v>52</v>
      </c>
      <c r="I703" s="22">
        <f t="shared" si="7"/>
        <v>45600.39195</v>
      </c>
      <c r="J703" s="20" t="b">
        <v>0</v>
      </c>
      <c r="K703" s="13" t="str">
        <f t="shared" si="2"/>
        <v/>
      </c>
    </row>
    <row r="704" ht="22.5" customHeight="1">
      <c r="B704" s="13">
        <f t="shared" si="3"/>
        <v>698</v>
      </c>
      <c r="C704" s="15" t="str">
        <f t="array" ref="C704">IFNA(_xlfn.XLOOKUP(B704,Table_Respons_Loket[Count],Table_Respons_Loket[Nomor Tiket]),"")</f>
        <v>L/46/311024/1</v>
      </c>
      <c r="D704" s="15" t="str">
        <f t="array" ref="D704">IFNA(_xlfn.XLOOKUP(B704,Table_Respons_Loket[Count],Table_Respons_Loket[Daftar Nomor Hak]),"")</f>
        <v>M.1462/SS.B</v>
      </c>
      <c r="E704" s="17">
        <f t="array" ref="E704">IFNA(_xlfn.XLOOKUP(B704,Table_Respons_Loket[Count],Table_Respons_Loket[Time Stamp]),"")</f>
        <v>45596.60803</v>
      </c>
      <c r="F704" s="18" t="str">
        <f t="array" ref="F704">IFNA(_xlfn.XLOOKUP(B704,Table_Respons_Loket[Count],Table_Respons_Loket[Jenis Permohonan]),"")</f>
        <v>ROYA</v>
      </c>
      <c r="G704" s="12" t="s">
        <v>48</v>
      </c>
      <c r="H704" s="12" t="s">
        <v>52</v>
      </c>
      <c r="I704" s="22">
        <f t="shared" si="7"/>
        <v>45600.39229</v>
      </c>
      <c r="J704" s="20" t="b">
        <v>0</v>
      </c>
      <c r="K704" s="13" t="str">
        <f t="shared" si="2"/>
        <v/>
      </c>
    </row>
    <row r="705" ht="22.5" customHeight="1">
      <c r="B705" s="13">
        <f t="shared" si="3"/>
        <v>699</v>
      </c>
      <c r="C705" s="15" t="str">
        <f t="array" ref="C705">IFNA(_xlfn.XLOOKUP(B705,Table_Respons_Loket[Count],Table_Respons_Loket[Nomor Tiket]),"")</f>
        <v>K/45/311024/3</v>
      </c>
      <c r="D705" s="15" t="str">
        <f t="array" ref="D705">IFNA(_xlfn.XLOOKUP(B705,Table_Respons_Loket[Count],Table_Respons_Loket[Daftar Nomor Hak]),"")</f>
        <v>M. 859/ Tanjung Gading</v>
      </c>
      <c r="E705" s="17">
        <f t="array" ref="E705">IFNA(_xlfn.XLOOKUP(B705,Table_Respons_Loket[Count],Table_Respons_Loket[Time Stamp]),"")</f>
        <v>45596.6088</v>
      </c>
      <c r="F705" s="18" t="str">
        <f t="array" ref="F705">IFNA(_xlfn.XLOOKUP(B705,Table_Respons_Loket[Count],Table_Respons_Loket[Jenis Permohonan]),"")</f>
        <v>BN Hibah</v>
      </c>
      <c r="G705" s="12" t="s">
        <v>48</v>
      </c>
      <c r="H705" s="12" t="s">
        <v>52</v>
      </c>
      <c r="I705" s="22">
        <f t="shared" si="7"/>
        <v>45600.40053</v>
      </c>
      <c r="J705" s="20" t="b">
        <v>0</v>
      </c>
      <c r="K705" s="13" t="str">
        <f t="shared" si="2"/>
        <v/>
      </c>
    </row>
    <row r="706" ht="22.5" customHeight="1">
      <c r="B706" s="13">
        <f t="shared" si="3"/>
        <v>700</v>
      </c>
      <c r="C706" s="15" t="str">
        <f t="array" ref="C706">IFNA(_xlfn.XLOOKUP(B706,Table_Respons_Loket[Count],Table_Respons_Loket[Nomor Tiket]),"")</f>
        <v>K/47/311024/1</v>
      </c>
      <c r="D706" s="15" t="str">
        <f t="array" ref="D706">IFNA(_xlfn.XLOOKUP(B706,Table_Respons_Loket[Count],Table_Respons_Loket[Daftar Nomor Hak]),"")</f>
        <v>M. 1057/ BERINGIN RAYA</v>
      </c>
      <c r="E706" s="17">
        <f t="array" ref="E706">IFNA(_xlfn.XLOOKUP(B706,Table_Respons_Loket[Count],Table_Respons_Loket[Time Stamp]),"")</f>
        <v>45596.60972</v>
      </c>
      <c r="F706" s="18" t="str">
        <f t="array" ref="F706">IFNA(_xlfn.XLOOKUP(B706,Table_Respons_Loket[Count],Table_Respons_Loket[Jenis Permohonan]),"")</f>
        <v>GANTI KELURAHAN</v>
      </c>
      <c r="G706" s="24"/>
      <c r="H706" s="24"/>
      <c r="I706" s="22" t="str">
        <f t="shared" si="7"/>
        <v/>
      </c>
      <c r="J706" s="20" t="b">
        <v>0</v>
      </c>
      <c r="K706" s="13" t="str">
        <f t="shared" si="2"/>
        <v/>
      </c>
    </row>
    <row r="707" ht="22.5" customHeight="1">
      <c r="B707" s="13">
        <f t="shared" si="3"/>
        <v>701</v>
      </c>
      <c r="C707" s="15" t="str">
        <f t="array" ref="C707">IFNA(_xlfn.XLOOKUP(B707,Table_Respons_Loket[Count],Table_Respons_Loket[Nomor Tiket]),"")</f>
        <v>K/48/311024/1</v>
      </c>
      <c r="D707" s="15" t="str">
        <f t="array" ref="D707">IFNA(_xlfn.XLOOKUP(B707,Table_Respons_Loket[Count],Table_Respons_Loket[Daftar Nomor Hak]),"")</f>
        <v>M.233/PERUMNAS WAY KANDIS-SEKARANG;B.233/KEDATON-DAHULU</v>
      </c>
      <c r="E707" s="17">
        <f t="array" ref="E707">IFNA(_xlfn.XLOOKUP(B707,Table_Respons_Loket[Count],Table_Respons_Loket[Time Stamp]),"")</f>
        <v>45596.61167</v>
      </c>
      <c r="F707" s="18" t="str">
        <f t="array" ref="F707">IFNA(_xlfn.XLOOKUP(B707,Table_Respons_Loket[Count],Table_Respons_Loket[Jenis Permohonan]),"")</f>
        <v>Ploting</v>
      </c>
      <c r="G707" s="24"/>
      <c r="H707" s="24"/>
      <c r="I707" s="22" t="str">
        <f t="shared" si="7"/>
        <v/>
      </c>
      <c r="J707" s="20" t="b">
        <v>0</v>
      </c>
      <c r="K707" s="13" t="str">
        <f t="shared" si="2"/>
        <v/>
      </c>
    </row>
    <row r="708" ht="22.5" customHeight="1">
      <c r="B708" s="13">
        <f t="shared" si="3"/>
        <v>702</v>
      </c>
      <c r="C708" s="15" t="str">
        <f t="array" ref="C708">IFNA(_xlfn.XLOOKUP(B708,Table_Respons_Loket[Count],Table_Respons_Loket[Nomor Tiket]),"")</f>
        <v>K/49/311024/2</v>
      </c>
      <c r="D708" s="15" t="str">
        <f t="array" ref="D708">IFNA(_xlfn.XLOOKUP(B708,Table_Respons_Loket[Count],Table_Respons_Loket[Daftar Nomor Hak]),"")</f>
        <v>M.1351/WAY HALIM PERMAI-SEKARANG;B.437/JAGABAYA II-DAHULU</v>
      </c>
      <c r="E708" s="17">
        <f t="array" ref="E708">IFNA(_xlfn.XLOOKUP(B708,Table_Respons_Loket[Count],Table_Respons_Loket[Time Stamp]),"")</f>
        <v>45596.61254</v>
      </c>
      <c r="F708" s="18" t="str">
        <f t="array" ref="F708">IFNA(_xlfn.XLOOKUP(B708,Table_Respons_Loket[Count],Table_Respons_Loket[Jenis Permohonan]),"")</f>
        <v>PLOTING</v>
      </c>
      <c r="G708" s="12"/>
      <c r="H708" s="12"/>
      <c r="I708" s="22" t="str">
        <f t="shared" si="7"/>
        <v/>
      </c>
      <c r="J708" s="20" t="b">
        <v>0</v>
      </c>
      <c r="K708" s="13" t="str">
        <f t="shared" si="2"/>
        <v/>
      </c>
    </row>
    <row r="709" ht="22.5" customHeight="1">
      <c r="B709" s="13">
        <f t="shared" si="3"/>
        <v>703</v>
      </c>
      <c r="C709" s="15" t="str">
        <f t="array" ref="C709">IFNA(_xlfn.XLOOKUP(B709,Table_Respons_Loket[Count],Table_Respons_Loket[Nomor Tiket]),"")</f>
        <v>L/54/311024/1</v>
      </c>
      <c r="D709" s="15" t="str">
        <f t="array" ref="D709">IFNA(_xlfn.XLOOKUP(B709,Table_Respons_Loket[Count],Table_Respons_Loket[Daftar Nomor Hak]),"")</f>
        <v>NIB 1772/SUKARAME</v>
      </c>
      <c r="E709" s="17">
        <f t="array" ref="E709">IFNA(_xlfn.XLOOKUP(B709,Table_Respons_Loket[Count],Table_Respons_Loket[Time Stamp]),"")</f>
        <v>45596.6131</v>
      </c>
      <c r="F709" s="18" t="str">
        <f t="array" ref="F709">IFNA(_xlfn.XLOOKUP(B709,Table_Respons_Loket[Count],Table_Respons_Loket[Jenis Permohonan]),"")</f>
        <v>BN LELANG</v>
      </c>
      <c r="G709" s="24"/>
      <c r="H709" s="24"/>
      <c r="I709" s="22" t="str">
        <f t="shared" si="7"/>
        <v/>
      </c>
      <c r="J709" s="20" t="b">
        <v>0</v>
      </c>
      <c r="K709" s="13" t="str">
        <f t="shared" si="2"/>
        <v/>
      </c>
    </row>
    <row r="710" ht="22.5" customHeight="1">
      <c r="B710" s="13">
        <f t="shared" si="3"/>
        <v>704</v>
      </c>
      <c r="C710" s="15" t="str">
        <f t="array" ref="C710">IFNA(_xlfn.XLOOKUP(B710,Table_Respons_Loket[Count],Table_Respons_Loket[Nomor Tiket]),"")</f>
        <v>K/50/311024/3</v>
      </c>
      <c r="D710" s="15" t="str">
        <f t="array" ref="D710">IFNA(_xlfn.XLOOKUP(B710,Table_Respons_Loket[Count],Table_Respons_Loket[Daftar Nomor Hak]),"")</f>
        <v>M.5980/WAY KANDIS</v>
      </c>
      <c r="E710" s="17">
        <f t="array" ref="E710">IFNA(_xlfn.XLOOKUP(B710,Table_Respons_Loket[Count],Table_Respons_Loket[Time Stamp]),"")</f>
        <v>45596.61322</v>
      </c>
      <c r="F710" s="18" t="str">
        <f t="array" ref="F710">IFNA(_xlfn.XLOOKUP(B710,Table_Respons_Loket[Count],Table_Respons_Loket[Jenis Permohonan]),"")</f>
        <v>KEWARISAN</v>
      </c>
      <c r="G710" s="12" t="s">
        <v>48</v>
      </c>
      <c r="H710" s="12" t="s">
        <v>52</v>
      </c>
      <c r="I710" s="22">
        <f t="shared" si="7"/>
        <v>45600.39326</v>
      </c>
      <c r="J710" s="20" t="b">
        <v>0</v>
      </c>
      <c r="K710" s="13" t="str">
        <f t="shared" si="2"/>
        <v/>
      </c>
    </row>
    <row r="711" ht="22.5" customHeight="1">
      <c r="B711" s="13">
        <f t="shared" si="3"/>
        <v>705</v>
      </c>
      <c r="C711" s="15" t="str">
        <f t="array" ref="C711">IFNA(_xlfn.XLOOKUP(B711,Table_Respons_Loket[Count],Table_Respons_Loket[Nomor Tiket]),"")</f>
        <v>K/51/311024/4</v>
      </c>
      <c r="D711" s="15" t="str">
        <f t="array" ref="D711">IFNA(_xlfn.XLOOKUP(B711,Table_Respons_Loket[Count],Table_Respons_Loket[Daftar Nomor Hak]),"")</f>
        <v>M.5979/WAY KANDIS</v>
      </c>
      <c r="E711" s="17">
        <f t="array" ref="E711">IFNA(_xlfn.XLOOKUP(B711,Table_Respons_Loket[Count],Table_Respons_Loket[Time Stamp]),"")</f>
        <v>45596.61386</v>
      </c>
      <c r="F711" s="18" t="str">
        <f t="array" ref="F711">IFNA(_xlfn.XLOOKUP(B711,Table_Respons_Loket[Count],Table_Respons_Loket[Jenis Permohonan]),"")</f>
        <v>KEWARISAN</v>
      </c>
      <c r="G711" s="12" t="s">
        <v>48</v>
      </c>
      <c r="H711" s="12" t="s">
        <v>52</v>
      </c>
      <c r="I711" s="22">
        <f t="shared" si="7"/>
        <v>45600.39366</v>
      </c>
      <c r="J711" s="20" t="b">
        <v>0</v>
      </c>
      <c r="K711" s="13" t="str">
        <f t="shared" si="2"/>
        <v/>
      </c>
    </row>
    <row r="712" ht="22.5" customHeight="1">
      <c r="B712" s="13">
        <f t="shared" si="3"/>
        <v>706</v>
      </c>
      <c r="C712" s="15" t="str">
        <f t="array" ref="C712">IFNA(_xlfn.XLOOKUP(B712,Table_Respons_Loket[Count],Table_Respons_Loket[Nomor Tiket]),"")</f>
        <v>K/52/311024/1</v>
      </c>
      <c r="D712" s="15" t="str">
        <f t="array" ref="D712">IFNA(_xlfn.XLOOKUP(B712,Table_Respons_Loket[Count],Table_Respons_Loket[Daftar Nomor Hak]),"")</f>
        <v>NIBEL 2355/ SUKABUMI</v>
      </c>
      <c r="E712" s="17">
        <f t="array" ref="E712">IFNA(_xlfn.XLOOKUP(B712,Table_Respons_Loket[Count],Table_Respons_Loket[Time Stamp]),"")</f>
        <v>45596.61395</v>
      </c>
      <c r="F712" s="18" t="str">
        <f t="array" ref="F712">IFNA(_xlfn.XLOOKUP(B712,Table_Respons_Loket[Count],Table_Respons_Loket[Jenis Permohonan]),"")</f>
        <v>PERUBAHAN HAK</v>
      </c>
      <c r="G712" s="24"/>
      <c r="H712" s="24"/>
      <c r="I712" s="22" t="str">
        <f t="shared" si="7"/>
        <v/>
      </c>
      <c r="J712" s="20" t="b">
        <v>0</v>
      </c>
      <c r="K712" s="13" t="str">
        <f t="shared" si="2"/>
        <v/>
      </c>
    </row>
    <row r="713" ht="22.5" customHeight="1">
      <c r="B713" s="13">
        <f t="shared" si="3"/>
        <v>707</v>
      </c>
      <c r="C713" s="15" t="str">
        <f t="array" ref="C713">IFNA(_xlfn.XLOOKUP(B713,Table_Respons_Loket[Count],Table_Respons_Loket[Nomor Tiket]),"")</f>
        <v>K/53/311024/2</v>
      </c>
      <c r="D713" s="15" t="str">
        <f t="array" ref="D713">IFNA(_xlfn.XLOOKUP(B713,Table_Respons_Loket[Count],Table_Respons_Loket[Daftar Nomor Hak]),"")</f>
        <v>Nibel 2354/ Sukabumi</v>
      </c>
      <c r="E713" s="17">
        <f t="array" ref="E713">IFNA(_xlfn.XLOOKUP(B713,Table_Respons_Loket[Count],Table_Respons_Loket[Time Stamp]),"")</f>
        <v>45596.6159</v>
      </c>
      <c r="F713" s="18" t="str">
        <f t="array" ref="F713">IFNA(_xlfn.XLOOKUP(B713,Table_Respons_Loket[Count],Table_Respons_Loket[Jenis Permohonan]),"")</f>
        <v>perubahan hak</v>
      </c>
      <c r="G713" s="24"/>
      <c r="H713" s="24"/>
      <c r="I713" s="22" t="str">
        <f t="shared" si="7"/>
        <v/>
      </c>
      <c r="J713" s="20" t="b">
        <v>0</v>
      </c>
      <c r="K713" s="13" t="str">
        <f t="shared" si="2"/>
        <v/>
      </c>
    </row>
    <row r="714" ht="22.5" customHeight="1">
      <c r="B714" s="13">
        <f t="shared" si="3"/>
        <v>708</v>
      </c>
      <c r="C714" s="15" t="str">
        <f t="array" ref="C714">IFNA(_xlfn.XLOOKUP(B714,Table_Respons_Loket[Count],Table_Respons_Loket[Nomor Tiket]),"")</f>
        <v>K/55/311024/2</v>
      </c>
      <c r="D714" s="15" t="str">
        <f t="array" ref="D714">IFNA(_xlfn.XLOOKUP(B714,Table_Respons_Loket[Count],Table_Respons_Loket[Daftar Nomor Hak]),"")</f>
        <v>Nibel.M. 2744/ Sukarame Baru</v>
      </c>
      <c r="E714" s="17">
        <f t="array" ref="E714">IFNA(_xlfn.XLOOKUP(B714,Table_Respons_Loket[Count],Table_Respons_Loket[Time Stamp]),"")</f>
        <v>45596.61848</v>
      </c>
      <c r="F714" s="18" t="str">
        <f t="array" ref="F714">IFNA(_xlfn.XLOOKUP(B714,Table_Respons_Loket[Count],Table_Respons_Loket[Jenis Permohonan]),"")</f>
        <v>PTPGT (Pemecahan)</v>
      </c>
      <c r="G714" s="24"/>
      <c r="H714" s="24"/>
      <c r="I714" s="22" t="str">
        <f t="shared" si="7"/>
        <v/>
      </c>
      <c r="J714" s="20" t="b">
        <v>0</v>
      </c>
      <c r="K714" s="13" t="str">
        <f t="shared" si="2"/>
        <v/>
      </c>
    </row>
    <row r="715" ht="22.5" customHeight="1">
      <c r="B715" s="13">
        <f t="shared" si="3"/>
        <v>709</v>
      </c>
      <c r="C715" s="15" t="str">
        <f t="array" ref="C715">IFNA(_xlfn.XLOOKUP(B715,Table_Respons_Loket[Count],Table_Respons_Loket[Nomor Tiket]),"")</f>
        <v>K/56/311024/3</v>
      </c>
      <c r="D715" s="15" t="str">
        <f t="array" ref="D715">IFNA(_xlfn.XLOOKUP(B715,Table_Respons_Loket[Count],Table_Respons_Loket[Daftar Nomor Hak]),"")</f>
        <v>Nibel. M. 2743/ Sukarame Baru</v>
      </c>
      <c r="E715" s="17">
        <f t="array" ref="E715">IFNA(_xlfn.XLOOKUP(B715,Table_Respons_Loket[Count],Table_Respons_Loket[Time Stamp]),"")</f>
        <v>45596.61928</v>
      </c>
      <c r="F715" s="18" t="str">
        <f t="array" ref="F715">IFNA(_xlfn.XLOOKUP(B715,Table_Respons_Loket[Count],Table_Respons_Loket[Jenis Permohonan]),"")</f>
        <v>PTPGT (Pemecahan)</v>
      </c>
      <c r="G715" s="24"/>
      <c r="H715" s="24"/>
      <c r="I715" s="22" t="str">
        <f t="shared" si="7"/>
        <v/>
      </c>
      <c r="J715" s="20" t="b">
        <v>0</v>
      </c>
      <c r="K715" s="13" t="str">
        <f t="shared" si="2"/>
        <v/>
      </c>
    </row>
    <row r="716" ht="22.5" customHeight="1">
      <c r="B716" s="13">
        <f t="shared" si="3"/>
        <v>710</v>
      </c>
      <c r="C716" s="15" t="str">
        <f t="array" ref="C716">IFNA(_xlfn.XLOOKUP(B716,Table_Respons_Loket[Count],Table_Respons_Loket[Nomor Tiket]),"")</f>
        <v>K/57/311024/1</v>
      </c>
      <c r="D716" s="15" t="str">
        <f t="array" ref="D716">IFNA(_xlfn.XLOOKUP(B716,Table_Respons_Loket[Count],Table_Respons_Loket[Daftar Nomor Hak]),"")</f>
        <v>B. 581/ Sumber Agung</v>
      </c>
      <c r="E716" s="17">
        <f t="array" ref="E716">IFNA(_xlfn.XLOOKUP(B716,Table_Respons_Loket[Count],Table_Respons_Loket[Time Stamp]),"")</f>
        <v>45596.62014</v>
      </c>
      <c r="F716" s="18" t="str">
        <f t="array" ref="F716">IFNA(_xlfn.XLOOKUP(B716,Table_Respons_Loket[Count],Table_Respons_Loket[Jenis Permohonan]),"")</f>
        <v>BN JUAL BELI</v>
      </c>
      <c r="G716" s="12" t="s">
        <v>48</v>
      </c>
      <c r="H716" s="12" t="s">
        <v>52</v>
      </c>
      <c r="I716" s="22">
        <f t="shared" si="7"/>
        <v>45600.39439</v>
      </c>
      <c r="J716" s="20" t="b">
        <v>0</v>
      </c>
      <c r="K716" s="13" t="str">
        <f t="shared" si="2"/>
        <v/>
      </c>
    </row>
    <row r="717" ht="22.5" customHeight="1">
      <c r="B717" s="13">
        <f t="shared" si="3"/>
        <v>711</v>
      </c>
      <c r="C717" s="15" t="str">
        <f t="array" ref="C717">IFNA(_xlfn.XLOOKUP(B717,Table_Respons_Loket[Count],Table_Respons_Loket[Nomor Tiket]),"")</f>
        <v>K/59/311024/1</v>
      </c>
      <c r="D717" s="15" t="str">
        <f t="array" ref="D717">IFNA(_xlfn.XLOOKUP(B717,Table_Respons_Loket[Count],Table_Respons_Loket[Daftar Nomor Hak]),"")</f>
        <v>M.9662/KEDAMAIAN</v>
      </c>
      <c r="E717" s="17">
        <f t="array" ref="E717">IFNA(_xlfn.XLOOKUP(B717,Table_Respons_Loket[Count],Table_Respons_Loket[Time Stamp]),"")</f>
        <v>45596.62021</v>
      </c>
      <c r="F717" s="18" t="str">
        <f t="array" ref="F717">IFNA(_xlfn.XLOOKUP(B717,Table_Respons_Loket[Count],Table_Respons_Loket[Jenis Permohonan]),"")</f>
        <v>PLOTING</v>
      </c>
      <c r="G717" s="24"/>
      <c r="H717" s="24"/>
      <c r="I717" s="22" t="str">
        <f t="shared" si="7"/>
        <v/>
      </c>
      <c r="J717" s="20" t="b">
        <v>0</v>
      </c>
      <c r="K717" s="13" t="str">
        <f t="shared" si="2"/>
        <v/>
      </c>
    </row>
    <row r="718" ht="22.5" customHeight="1">
      <c r="B718" s="13">
        <f t="shared" si="3"/>
        <v>712</v>
      </c>
      <c r="C718" s="15" t="str">
        <f t="array" ref="C718">IFNA(_xlfn.XLOOKUP(B718,Table_Respons_Loket[Count],Table_Respons_Loket[Nomor Tiket]),"")</f>
        <v>K/60/311024/1</v>
      </c>
      <c r="D718" s="15" t="str">
        <f t="array" ref="D718">IFNA(_xlfn.XLOOKUP(B718,Table_Respons_Loket[Count],Table_Respons_Loket[Daftar Nomor Hak]),"")</f>
        <v>M. 12416/ Sukabumi; B. 4544/ Sukabumi</v>
      </c>
      <c r="E718" s="17">
        <f t="array" ref="E718">IFNA(_xlfn.XLOOKUP(B718,Table_Respons_Loket[Count],Table_Respons_Loket[Time Stamp]),"")</f>
        <v>45596.62287</v>
      </c>
      <c r="F718" s="18" t="str">
        <f t="array" ref="F718">IFNA(_xlfn.XLOOKUP(B718,Table_Respons_Loket[Count],Table_Respons_Loket[Jenis Permohonan]),"")</f>
        <v>BN Jual Beli</v>
      </c>
      <c r="G718" s="12" t="s">
        <v>48</v>
      </c>
      <c r="H718" s="12" t="s">
        <v>207</v>
      </c>
      <c r="I718" s="22">
        <f t="shared" si="7"/>
        <v>45600.39539</v>
      </c>
      <c r="J718" s="20" t="b">
        <v>0</v>
      </c>
      <c r="K718" s="13" t="str">
        <f t="shared" si="2"/>
        <v/>
      </c>
    </row>
    <row r="719" ht="22.5" customHeight="1">
      <c r="B719" s="13">
        <f t="shared" si="3"/>
        <v>713</v>
      </c>
      <c r="C719" s="15" t="str">
        <f t="array" ref="C719">IFNA(_xlfn.XLOOKUP(B719,Table_Respons_Loket[Count],Table_Respons_Loket[Nomor Tiket]),"")</f>
        <v>K/58/311024/2</v>
      </c>
      <c r="D719" s="15" t="str">
        <f t="array" ref="D719">IFNA(_xlfn.XLOOKUP(B719,Table_Respons_Loket[Count],Table_Respons_Loket[Daftar Nomor Hak]),"")</f>
        <v>M. 6488/ Way Kandis</v>
      </c>
      <c r="E719" s="17">
        <f t="array" ref="E719">IFNA(_xlfn.XLOOKUP(B719,Table_Respons_Loket[Count],Table_Respons_Loket[Time Stamp]),"")</f>
        <v>45596.62436</v>
      </c>
      <c r="F719" s="18" t="str">
        <f t="array" ref="F719">IFNA(_xlfn.XLOOKUP(B719,Table_Respons_Loket[Count],Table_Respons_Loket[Jenis Permohonan]),"")</f>
        <v>BN JUAL BELI</v>
      </c>
      <c r="G719" s="12" t="s">
        <v>48</v>
      </c>
      <c r="H719" s="12" t="s">
        <v>47</v>
      </c>
      <c r="I719" s="22" t="str">
        <f t="shared" si="7"/>
        <v/>
      </c>
      <c r="J719" s="20" t="b">
        <v>0</v>
      </c>
      <c r="K719" s="13" t="str">
        <f t="shared" si="2"/>
        <v/>
      </c>
    </row>
    <row r="720" ht="22.5" customHeight="1">
      <c r="B720" s="13">
        <f t="shared" si="3"/>
        <v>714</v>
      </c>
      <c r="C720" s="15" t="str">
        <f t="array" ref="C720">IFNA(_xlfn.XLOOKUP(B720,Table_Respons_Loket[Count],Table_Respons_Loket[Nomor Tiket]),"")</f>
        <v>K/61/311024/2</v>
      </c>
      <c r="D720" s="15" t="str">
        <f t="array" ref="D720">IFNA(_xlfn.XLOOKUP(B720,Table_Respons_Loket[Count],Table_Respons_Loket[Daftar Nomor Hak]),"")</f>
        <v>B. 944/ Kedaton</v>
      </c>
      <c r="E720" s="17">
        <f t="array" ref="E720">IFNA(_xlfn.XLOOKUP(B720,Table_Respons_Loket[Count],Table_Respons_Loket[Time Stamp]),"")</f>
        <v>45596.62656</v>
      </c>
      <c r="F720" s="18" t="str">
        <f t="array" ref="F720">IFNA(_xlfn.XLOOKUP(B720,Table_Respons_Loket[Count],Table_Respons_Loket[Jenis Permohonan]),"")</f>
        <v>Pengukuran HGB Berakhir</v>
      </c>
      <c r="G720" s="24"/>
      <c r="H720" s="24"/>
      <c r="I720" s="22" t="str">
        <f t="shared" si="7"/>
        <v/>
      </c>
      <c r="J720" s="20" t="b">
        <v>0</v>
      </c>
      <c r="K720" s="13" t="str">
        <f t="shared" si="2"/>
        <v/>
      </c>
    </row>
    <row r="721" ht="22.5" customHeight="1">
      <c r="B721" s="13">
        <f t="shared" si="3"/>
        <v>715</v>
      </c>
      <c r="C721" s="15" t="str">
        <f t="array" ref="C721">IFNA(_xlfn.XLOOKUP(B721,Table_Respons_Loket[Count],Table_Respons_Loket[Nomor Tiket]),"")</f>
        <v>K/62/311024/3</v>
      </c>
      <c r="D721" s="15" t="str">
        <f t="array" ref="D721">IFNA(_xlfn.XLOOKUP(B721,Table_Respons_Loket[Count],Table_Respons_Loket[Daftar Nomor Hak]),"")</f>
        <v>B. 578/ Sumber Agung</v>
      </c>
      <c r="E721" s="17">
        <f t="array" ref="E721">IFNA(_xlfn.XLOOKUP(B721,Table_Respons_Loket[Count],Table_Respons_Loket[Time Stamp]),"")</f>
        <v>45596.6273</v>
      </c>
      <c r="F721" s="18" t="str">
        <f t="array" ref="F721">IFNA(_xlfn.XLOOKUP(B721,Table_Respons_Loket[Count],Table_Respons_Loket[Jenis Permohonan]),"")</f>
        <v>bn jual beli</v>
      </c>
      <c r="G721" s="12" t="s">
        <v>48</v>
      </c>
      <c r="H721" s="12" t="s">
        <v>52</v>
      </c>
      <c r="I721" s="22">
        <f t="shared" si="7"/>
        <v>45600.39569</v>
      </c>
      <c r="J721" s="20" t="b">
        <v>0</v>
      </c>
      <c r="K721" s="13" t="str">
        <f t="shared" si="2"/>
        <v/>
      </c>
    </row>
    <row r="722" ht="22.5" customHeight="1">
      <c r="B722" s="13">
        <f t="shared" si="3"/>
        <v>716</v>
      </c>
      <c r="C722" s="15" t="str">
        <f t="array" ref="C722">IFNA(_xlfn.XLOOKUP(B722,Table_Respons_Loket[Count],Table_Respons_Loket[Nomor Tiket]),"")</f>
        <v>K/65/311024/2</v>
      </c>
      <c r="D722" s="15" t="str">
        <f t="array" ref="D722">IFNA(_xlfn.XLOOKUP(B722,Table_Respons_Loket[Count],Table_Respons_Loket[Daftar Nomor Hak]),"")</f>
        <v>B. 103/ Nusantara Permai</v>
      </c>
      <c r="E722" s="17">
        <f t="array" ref="E722">IFNA(_xlfn.XLOOKUP(B722,Table_Respons_Loket[Count],Table_Respons_Loket[Time Stamp]),"")</f>
        <v>45596.6363</v>
      </c>
      <c r="F722" s="18" t="str">
        <f t="array" ref="F722">IFNA(_xlfn.XLOOKUP(B722,Table_Respons_Loket[Count],Table_Respons_Loket[Jenis Permohonan]),"")</f>
        <v>BN Jual Beli</v>
      </c>
      <c r="G722" s="12" t="s">
        <v>48</v>
      </c>
      <c r="H722" s="12" t="s">
        <v>52</v>
      </c>
      <c r="I722" s="22">
        <f t="shared" si="7"/>
        <v>45600.39591</v>
      </c>
      <c r="J722" s="20" t="b">
        <v>0</v>
      </c>
      <c r="K722" s="13" t="str">
        <f t="shared" si="2"/>
        <v/>
      </c>
    </row>
    <row r="723" ht="22.5" customHeight="1">
      <c r="B723" s="13">
        <f t="shared" si="3"/>
        <v>717</v>
      </c>
      <c r="C723" s="15" t="str">
        <f t="array" ref="C723">IFNA(_xlfn.XLOOKUP(B723,Table_Respons_Loket[Count],Table_Respons_Loket[Nomor Tiket]),"")</f>
        <v>K/66/311024/1</v>
      </c>
      <c r="D723" s="15" t="str">
        <f t="array" ref="D723">IFNA(_xlfn.XLOOKUP(B723,Table_Respons_Loket[Count],Table_Respons_Loket[Daftar Nomor Hak]),"")</f>
        <v>M. 1871/ Tanjung Seneng</v>
      </c>
      <c r="E723" s="17">
        <f t="array" ref="E723">IFNA(_xlfn.XLOOKUP(B723,Table_Respons_Loket[Count],Table_Respons_Loket[Time Stamp]),"")</f>
        <v>45596.63841</v>
      </c>
      <c r="F723" s="18" t="str">
        <f t="array" ref="F723">IFNA(_xlfn.XLOOKUP(B723,Table_Respons_Loket[Count],Table_Respons_Loket[Jenis Permohonan]),"")</f>
        <v>BN LELANG</v>
      </c>
      <c r="G723" s="12" t="s">
        <v>48</v>
      </c>
      <c r="H723" s="12" t="s">
        <v>47</v>
      </c>
      <c r="I723" s="22" t="str">
        <f t="shared" si="7"/>
        <v/>
      </c>
      <c r="J723" s="20" t="b">
        <v>0</v>
      </c>
      <c r="K723" s="13" t="str">
        <f t="shared" si="2"/>
        <v/>
      </c>
    </row>
    <row r="724" ht="22.5" customHeight="1">
      <c r="B724" s="13">
        <f t="shared" si="3"/>
        <v>718</v>
      </c>
      <c r="C724" s="15" t="str">
        <f t="array" ref="C724">IFNA(_xlfn.XLOOKUP(B724,Table_Respons_Loket[Count],Table_Respons_Loket[Nomor Tiket]),"")</f>
        <v>K/64/311024/1</v>
      </c>
      <c r="D724" s="15" t="str">
        <f t="array" ref="D724">IFNA(_xlfn.XLOOKUP(B724,Table_Respons_Loket[Count],Table_Respons_Loket[Daftar Nomor Hak]),"")</f>
        <v>B. 256/ Nusantara Permai</v>
      </c>
      <c r="E724" s="17">
        <f t="array" ref="E724">IFNA(_xlfn.XLOOKUP(B724,Table_Respons_Loket[Count],Table_Respons_Loket[Time Stamp]),"")</f>
        <v>45596.63907</v>
      </c>
      <c r="F724" s="18" t="str">
        <f t="array" ref="F724">IFNA(_xlfn.XLOOKUP(B724,Table_Respons_Loket[Count],Table_Respons_Loket[Jenis Permohonan]),"")</f>
        <v>BN Jual Beli</v>
      </c>
      <c r="G724" s="12" t="s">
        <v>48</v>
      </c>
      <c r="H724" s="12" t="s">
        <v>52</v>
      </c>
      <c r="I724" s="22">
        <f t="shared" si="7"/>
        <v>45600.39677</v>
      </c>
      <c r="J724" s="20" t="b">
        <v>0</v>
      </c>
      <c r="K724" s="13" t="str">
        <f t="shared" si="2"/>
        <v/>
      </c>
    </row>
    <row r="725" ht="22.5" customHeight="1">
      <c r="B725" s="13">
        <f t="shared" si="3"/>
        <v>719</v>
      </c>
      <c r="C725" s="15" t="str">
        <f t="array" ref="C725">IFNA(_xlfn.XLOOKUP(B725,Table_Respons_Loket[Count],Table_Respons_Loket[Nomor Tiket]),"")</f>
        <v>K/67/311024/1</v>
      </c>
      <c r="D725" s="15" t="str">
        <f t="array" ref="D725">IFNA(_xlfn.XLOOKUP(B725,Table_Respons_Loket[Count],Table_Respons_Loket[Daftar Nomor Hak]),"")</f>
        <v>M.2446/RAJABASA JAYA</v>
      </c>
      <c r="E725" s="17">
        <f t="array" ref="E725">IFNA(_xlfn.XLOOKUP(B725,Table_Respons_Loket[Count],Table_Respons_Loket[Time Stamp]),"")</f>
        <v>45596.64138</v>
      </c>
      <c r="F725" s="18" t="str">
        <f t="array" ref="F725">IFNA(_xlfn.XLOOKUP(B725,Table_Respons_Loket[Count],Table_Respons_Loket[Jenis Permohonan]),"")</f>
        <v>BN JUAL BELI</v>
      </c>
      <c r="G725" s="12" t="s">
        <v>48</v>
      </c>
      <c r="H725" s="12" t="s">
        <v>52</v>
      </c>
      <c r="I725" s="22">
        <f t="shared" si="7"/>
        <v>45600.39682</v>
      </c>
      <c r="J725" s="20" t="b">
        <v>0</v>
      </c>
      <c r="K725" s="13" t="str">
        <f t="shared" si="2"/>
        <v/>
      </c>
    </row>
    <row r="726" ht="22.5" customHeight="1">
      <c r="B726" s="13">
        <f t="shared" si="3"/>
        <v>720</v>
      </c>
      <c r="C726" s="15" t="str">
        <f t="array" ref="C726">IFNA(_xlfn.XLOOKUP(B726,Table_Respons_Loket[Count],Table_Respons_Loket[Nomor Tiket]),"")</f>
        <v>K/68/311024/2</v>
      </c>
      <c r="D726" s="15" t="str">
        <f t="array" ref="D726">IFNA(_xlfn.XLOOKUP(B726,Table_Respons_Loket[Count],Table_Respons_Loket[Daftar Nomor Hak]),"")</f>
        <v>M.11378/SEGALA MIDER</v>
      </c>
      <c r="E726" s="17">
        <f t="array" ref="E726">IFNA(_xlfn.XLOOKUP(B726,Table_Respons_Loket[Count],Table_Respons_Loket[Time Stamp]),"")</f>
        <v>45596.64219</v>
      </c>
      <c r="F726" s="18" t="str">
        <f t="array" ref="F726">IFNA(_xlfn.XLOOKUP(B726,Table_Respons_Loket[Count],Table_Respons_Loket[Jenis Permohonan]),"")</f>
        <v>BN JUAL BELI</v>
      </c>
      <c r="G726" s="12" t="s">
        <v>48</v>
      </c>
      <c r="H726" s="12" t="s">
        <v>52</v>
      </c>
      <c r="I726" s="22">
        <f t="shared" si="7"/>
        <v>45600.39696</v>
      </c>
      <c r="J726" s="20" t="b">
        <v>0</v>
      </c>
      <c r="K726" s="13" t="str">
        <f t="shared" si="2"/>
        <v/>
      </c>
    </row>
    <row r="727" ht="22.5" customHeight="1">
      <c r="B727" s="13">
        <f t="shared" si="3"/>
        <v>721</v>
      </c>
      <c r="C727" s="15" t="str">
        <f t="array" ref="C727">IFNA(_xlfn.XLOOKUP(B727,Table_Respons_Loket[Count],Table_Respons_Loket[Nomor Tiket]),"")</f>
        <v>K/69/311024/3</v>
      </c>
      <c r="D727" s="15" t="str">
        <f t="array" ref="D727">IFNA(_xlfn.XLOOKUP(B727,Table_Respons_Loket[Count],Table_Respons_Loket[Daftar Nomor Hak]),"")</f>
        <v>M.10150/SUKAMENANTI</v>
      </c>
      <c r="E727" s="17">
        <f t="array" ref="E727">IFNA(_xlfn.XLOOKUP(B727,Table_Respons_Loket[Count],Table_Respons_Loket[Time Stamp]),"")</f>
        <v>45596.64293</v>
      </c>
      <c r="F727" s="18" t="str">
        <f t="array" ref="F727">IFNA(_xlfn.XLOOKUP(B727,Table_Respons_Loket[Count],Table_Respons_Loket[Jenis Permohonan]),"")</f>
        <v>BN JUAL BELI</v>
      </c>
      <c r="G727" s="12" t="s">
        <v>48</v>
      </c>
      <c r="H727" s="12" t="s">
        <v>47</v>
      </c>
      <c r="I727" s="22" t="str">
        <f t="shared" si="7"/>
        <v/>
      </c>
      <c r="J727" s="20" t="b">
        <v>0</v>
      </c>
      <c r="K727" s="13" t="str">
        <f t="shared" si="2"/>
        <v/>
      </c>
    </row>
    <row r="728" ht="22.5" customHeight="1">
      <c r="B728" s="13">
        <f t="shared" si="3"/>
        <v>722</v>
      </c>
      <c r="C728" s="15" t="str">
        <f t="array" ref="C728">IFNA(_xlfn.XLOOKUP(B728,Table_Respons_Loket[Count],Table_Respons_Loket[Nomor Tiket]),"")</f>
        <v>K/1/45597/1</v>
      </c>
      <c r="D728" s="15" t="str">
        <f t="array" ref="D728">IFNA(_xlfn.XLOOKUP(B728,Table_Respons_Loket[Count],Table_Respons_Loket[Daftar Nomor Hak]),"")</f>
        <v>M.4660/LANGKAPURA</v>
      </c>
      <c r="E728" s="17">
        <f t="array" ref="E728">IFNA(_xlfn.XLOOKUP(B728,Table_Respons_Loket[Count],Table_Respons_Loket[Time Stamp]),"")</f>
        <v>45597.36253</v>
      </c>
      <c r="F728" s="18" t="str">
        <f t="array" ref="F728">IFNA(_xlfn.XLOOKUP(B728,Table_Respons_Loket[Count],Table_Respons_Loket[Jenis Permohonan]),"")</f>
        <v>HAPUS BPHTB</v>
      </c>
      <c r="G728" s="24"/>
      <c r="H728" s="24"/>
      <c r="I728" s="22" t="str">
        <f t="shared" si="7"/>
        <v/>
      </c>
      <c r="J728" s="20" t="b">
        <v>0</v>
      </c>
      <c r="K728" s="13" t="str">
        <f t="shared" si="2"/>
        <v/>
      </c>
    </row>
    <row r="729" ht="22.5" customHeight="1">
      <c r="B729" s="13">
        <f t="shared" si="3"/>
        <v>723</v>
      </c>
      <c r="C729" s="15" t="str">
        <f t="array" ref="C729">IFNA(_xlfn.XLOOKUP(B729,Table_Respons_Loket[Count],Table_Respons_Loket[Nomor Tiket]),"")</f>
        <v>L/2/11124/1</v>
      </c>
      <c r="D729" s="15" t="str">
        <f t="array" ref="D729">IFNA(_xlfn.XLOOKUP(B729,Table_Respons_Loket[Count],Table_Respons_Loket[Daftar Nomor Hak]),"")</f>
        <v>HGB 403/SUKARAME BARU</v>
      </c>
      <c r="E729" s="17">
        <f t="array" ref="E729">IFNA(_xlfn.XLOOKUP(B729,Table_Respons_Loket[Count],Table_Respons_Loket[Time Stamp]),"")</f>
        <v>45597.38295</v>
      </c>
      <c r="F729" s="18" t="str">
        <f t="array" ref="F729">IFNA(_xlfn.XLOOKUP(B729,Table_Respons_Loket[Count],Table_Respons_Loket[Jenis Permohonan]),"")</f>
        <v>PERUBAHAN HAK</v>
      </c>
      <c r="G729" s="12" t="s">
        <v>50</v>
      </c>
      <c r="H729" s="12" t="s">
        <v>52</v>
      </c>
      <c r="I729" s="22">
        <f t="shared" si="7"/>
        <v>45600.46423</v>
      </c>
      <c r="J729" s="20" t="b">
        <v>0</v>
      </c>
      <c r="K729" s="13" t="str">
        <f t="shared" si="2"/>
        <v/>
      </c>
    </row>
    <row r="730" ht="22.5" customHeight="1">
      <c r="B730" s="13">
        <f t="shared" si="3"/>
        <v>724</v>
      </c>
      <c r="C730" s="15" t="str">
        <f t="array" ref="C730">IFNA(_xlfn.XLOOKUP(B730,Table_Respons_Loket[Count],Table_Respons_Loket[Nomor Tiket]),"")</f>
        <v>K/3/11124/1</v>
      </c>
      <c r="D730" s="15" t="str">
        <f t="array" ref="D730">IFNA(_xlfn.XLOOKUP(B730,Table_Respons_Loket[Count],Table_Respons_Loket[Daftar Nomor Hak]),"")</f>
        <v>M. 11571/ TANJUNG BARU</v>
      </c>
      <c r="E730" s="17">
        <f t="array" ref="E730">IFNA(_xlfn.XLOOKUP(B730,Table_Respons_Loket[Count],Table_Respons_Loket[Time Stamp]),"")</f>
        <v>45597.39652</v>
      </c>
      <c r="F730" s="18" t="str">
        <f t="array" ref="F730">IFNA(_xlfn.XLOOKUP(B730,Table_Respons_Loket[Count],Table_Respons_Loket[Jenis Permohonan]),"")</f>
        <v>GANTI KELURAHAN</v>
      </c>
      <c r="G730" s="24"/>
      <c r="H730" s="24"/>
      <c r="I730" s="22" t="str">
        <f t="shared" si="7"/>
        <v/>
      </c>
      <c r="J730" s="20" t="b">
        <v>0</v>
      </c>
      <c r="K730" s="13" t="str">
        <f t="shared" si="2"/>
        <v/>
      </c>
    </row>
    <row r="731" ht="22.5" customHeight="1">
      <c r="B731" s="13">
        <f t="shared" si="3"/>
        <v>725</v>
      </c>
      <c r="C731" s="15" t="str">
        <f t="array" ref="C731">IFNA(_xlfn.XLOOKUP(B731,Table_Respons_Loket[Count],Table_Respons_Loket[Nomor Tiket]),"")</f>
        <v>K/4/11124/2</v>
      </c>
      <c r="D731" s="15" t="str">
        <f t="array" ref="D731">IFNA(_xlfn.XLOOKUP(B731,Table_Respons_Loket[Count],Table_Respons_Loket[Daftar Nomor Hak]),"")</f>
        <v>M. 599/ KALI BALAU KENCANA</v>
      </c>
      <c r="E731" s="17">
        <f t="array" ref="E731">IFNA(_xlfn.XLOOKUP(B731,Table_Respons_Loket[Count],Table_Respons_Loket[Time Stamp]),"")</f>
        <v>45597.39785</v>
      </c>
      <c r="F731" s="18" t="str">
        <f t="array" ref="F731">IFNA(_xlfn.XLOOKUP(B731,Table_Respons_Loket[Count],Table_Respons_Loket[Jenis Permohonan]),"")</f>
        <v>GANTI KELURAHAN</v>
      </c>
      <c r="G731" s="24"/>
      <c r="H731" s="24"/>
      <c r="I731" s="22" t="str">
        <f t="shared" si="7"/>
        <v/>
      </c>
      <c r="J731" s="20" t="b">
        <v>0</v>
      </c>
      <c r="K731" s="13" t="str">
        <f t="shared" si="2"/>
        <v/>
      </c>
    </row>
    <row r="732" ht="22.5" customHeight="1">
      <c r="B732" s="13">
        <f t="shared" si="3"/>
        <v>726</v>
      </c>
      <c r="C732" s="15" t="str">
        <f t="array" ref="C732">IFNA(_xlfn.XLOOKUP(B732,Table_Respons_Loket[Count],Table_Respons_Loket[Nomor Tiket]),"")</f>
        <v>K/5/11124/1</v>
      </c>
      <c r="D732" s="15" t="str">
        <f t="array" ref="D732">IFNA(_xlfn.XLOOKUP(B732,Table_Respons_Loket[Count],Table_Respons_Loket[Daftar Nomor Hak]),"")</f>
        <v>M. 6050/ Way Kandis</v>
      </c>
      <c r="E732" s="17">
        <f t="array" ref="E732">IFNA(_xlfn.XLOOKUP(B732,Table_Respons_Loket[Count],Table_Respons_Loket[Time Stamp]),"")</f>
        <v>45597.40595</v>
      </c>
      <c r="F732" s="18" t="str">
        <f t="array" ref="F732">IFNA(_xlfn.XLOOKUP(B732,Table_Respons_Loket[Count],Table_Respons_Loket[Jenis Permohonan]),"")</f>
        <v>pengecekkan</v>
      </c>
      <c r="G732" s="24"/>
      <c r="H732" s="24"/>
      <c r="I732" s="22" t="str">
        <f t="shared" si="7"/>
        <v/>
      </c>
      <c r="J732" s="20" t="b">
        <v>0</v>
      </c>
      <c r="K732" s="13" t="str">
        <f t="shared" si="2"/>
        <v/>
      </c>
    </row>
    <row r="733" ht="22.5" customHeight="1">
      <c r="B733" s="13">
        <f t="shared" si="3"/>
        <v>727</v>
      </c>
      <c r="C733" s="15" t="str">
        <f t="array" ref="C733">IFNA(_xlfn.XLOOKUP(B733,Table_Respons_Loket[Count],Table_Respons_Loket[Nomor Tiket]),"")</f>
        <v>K/6/11124/1</v>
      </c>
      <c r="D733" s="15" t="str">
        <f t="array" ref="D733">IFNA(_xlfn.XLOOKUP(B733,Table_Respons_Loket[Count],Table_Respons_Loket[Daftar Nomor Hak]),"")</f>
        <v>M. 6570/ TANJUNG SENANG</v>
      </c>
      <c r="E733" s="17">
        <f t="array" ref="E733">IFNA(_xlfn.XLOOKUP(B733,Table_Respons_Loket[Count],Table_Respons_Loket[Time Stamp]),"")</f>
        <v>45597.43462</v>
      </c>
      <c r="F733" s="18" t="str">
        <f t="array" ref="F733">IFNA(_xlfn.XLOOKUP(B733,Table_Respons_Loket[Count],Table_Respons_Loket[Jenis Permohonan]),"")</f>
        <v>BN JUAL BELI</v>
      </c>
      <c r="G733" s="12" t="s">
        <v>50</v>
      </c>
      <c r="H733" s="12" t="s">
        <v>52</v>
      </c>
      <c r="I733" s="22">
        <f t="shared" si="7"/>
        <v>45600.46483</v>
      </c>
      <c r="J733" s="20" t="b">
        <v>0</v>
      </c>
      <c r="K733" s="13" t="str">
        <f t="shared" si="2"/>
        <v/>
      </c>
    </row>
    <row r="734" ht="22.5" customHeight="1">
      <c r="B734" s="13">
        <f t="shared" si="3"/>
        <v>728</v>
      </c>
      <c r="C734" s="15" t="str">
        <f t="array" ref="C734">IFNA(_xlfn.XLOOKUP(B734,Table_Respons_Loket[Count],Table_Respons_Loket[Nomor Tiket]),"")</f>
        <v>K/8/011124/1</v>
      </c>
      <c r="D734" s="15" t="str">
        <f t="array" ref="D734">IFNA(_xlfn.XLOOKUP(B734,Table_Respons_Loket[Count],Table_Respons_Loket[Daftar Nomor Hak]),"")</f>
        <v>B. 65/ Labuhan Dalam</v>
      </c>
      <c r="E734" s="17">
        <f t="array" ref="E734">IFNA(_xlfn.XLOOKUP(B734,Table_Respons_Loket[Count],Table_Respons_Loket[Time Stamp]),"")</f>
        <v>45597.43892</v>
      </c>
      <c r="F734" s="18" t="str">
        <f t="array" ref="F734">IFNA(_xlfn.XLOOKUP(B734,Table_Respons_Loket[Count],Table_Respons_Loket[Jenis Permohonan]),"")</f>
        <v>Ploting</v>
      </c>
      <c r="G734" s="24"/>
      <c r="H734" s="24"/>
      <c r="I734" s="22" t="str">
        <f t="shared" si="7"/>
        <v/>
      </c>
      <c r="J734" s="20" t="b">
        <v>0</v>
      </c>
      <c r="K734" s="13" t="str">
        <f t="shared" si="2"/>
        <v/>
      </c>
    </row>
    <row r="735" ht="22.5" customHeight="1">
      <c r="B735" s="13">
        <f t="shared" si="3"/>
        <v>729</v>
      </c>
      <c r="C735" s="15" t="str">
        <f t="array" ref="C735">IFNA(_xlfn.XLOOKUP(B735,Table_Respons_Loket[Count],Table_Respons_Loket[Nomor Tiket]),"")</f>
        <v>K/9/011124/2</v>
      </c>
      <c r="D735" s="15" t="str">
        <f t="array" ref="D735">IFNA(_xlfn.XLOOKUP(B735,Table_Respons_Loket[Count],Table_Respons_Loket[Daftar Nomor Hak]),"")</f>
        <v>M. 1322/ Labuhan Dalam</v>
      </c>
      <c r="E735" s="17">
        <f t="array" ref="E735">IFNA(_xlfn.XLOOKUP(B735,Table_Respons_Loket[Count],Table_Respons_Loket[Time Stamp]),"")</f>
        <v>45597.43977</v>
      </c>
      <c r="F735" s="18" t="str">
        <f t="array" ref="F735">IFNA(_xlfn.XLOOKUP(B735,Table_Respons_Loket[Count],Table_Respons_Loket[Jenis Permohonan]),"")</f>
        <v>Ploting</v>
      </c>
      <c r="G735" s="24"/>
      <c r="H735" s="24"/>
      <c r="I735" s="22" t="str">
        <f t="shared" si="7"/>
        <v/>
      </c>
      <c r="J735" s="20" t="b">
        <v>0</v>
      </c>
      <c r="K735" s="13" t="str">
        <f t="shared" si="2"/>
        <v/>
      </c>
    </row>
    <row r="736" ht="22.5" customHeight="1">
      <c r="B736" s="13">
        <f t="shared" si="3"/>
        <v>730</v>
      </c>
      <c r="C736" s="15" t="str">
        <f t="array" ref="C736">IFNA(_xlfn.XLOOKUP(B736,Table_Respons_Loket[Count],Table_Respons_Loket[Nomor Tiket]),"")</f>
        <v>K/10/011124/1</v>
      </c>
      <c r="D736" s="15" t="str">
        <f t="array" ref="D736">IFNA(_xlfn.XLOOKUP(B736,Table_Respons_Loket[Count],Table_Respons_Loket[Daftar Nomor Hak]),"")</f>
        <v>M.1915/SUKARAME BARU</v>
      </c>
      <c r="E736" s="17">
        <f t="array" ref="E736">IFNA(_xlfn.XLOOKUP(B736,Table_Respons_Loket[Count],Table_Respons_Loket[Time Stamp]),"")</f>
        <v>45597.44724</v>
      </c>
      <c r="F736" s="18" t="str">
        <f t="array" ref="F736">IFNA(_xlfn.XLOOKUP(B736,Table_Respons_Loket[Count],Table_Respons_Loket[Jenis Permohonan]),"")</f>
        <v>BN JUAL BELI</v>
      </c>
      <c r="G736" s="12" t="s">
        <v>50</v>
      </c>
      <c r="H736" s="12" t="s">
        <v>52</v>
      </c>
      <c r="I736" s="22">
        <f t="shared" si="7"/>
        <v>45600.46506</v>
      </c>
      <c r="J736" s="20" t="b">
        <v>0</v>
      </c>
      <c r="K736" s="13" t="str">
        <f t="shared" si="2"/>
        <v/>
      </c>
    </row>
    <row r="737" ht="22.5" customHeight="1">
      <c r="B737" s="13">
        <f t="shared" si="3"/>
        <v>731</v>
      </c>
      <c r="C737" s="15" t="str">
        <f t="array" ref="C737">IFNA(_xlfn.XLOOKUP(B737,Table_Respons_Loket[Count],Table_Respons_Loket[Nomor Tiket]),"")</f>
        <v>K/7/011124/1</v>
      </c>
      <c r="D737" s="15" t="str">
        <f t="array" ref="D737">IFNA(_xlfn.XLOOKUP(B737,Table_Respons_Loket[Count],Table_Respons_Loket[Daftar Nomor Hak]),"")</f>
        <v>M. 2869/ Sukarame Baru</v>
      </c>
      <c r="E737" s="17">
        <f t="array" ref="E737">IFNA(_xlfn.XLOOKUP(B737,Table_Respons_Loket[Count],Table_Respons_Loket[Time Stamp]),"")</f>
        <v>45597.44781</v>
      </c>
      <c r="F737" s="18" t="str">
        <f t="array" ref="F737">IFNA(_xlfn.XLOOKUP(B737,Table_Respons_Loket[Count],Table_Respons_Loket[Jenis Permohonan]),"")</f>
        <v>BN Jual Beli</v>
      </c>
      <c r="G737" s="12" t="s">
        <v>50</v>
      </c>
      <c r="H737" s="12" t="s">
        <v>47</v>
      </c>
      <c r="I737" s="22" t="str">
        <f t="shared" si="7"/>
        <v/>
      </c>
      <c r="J737" s="20" t="b">
        <v>0</v>
      </c>
      <c r="K737" s="13" t="str">
        <f t="shared" si="2"/>
        <v/>
      </c>
    </row>
    <row r="738" ht="22.5" customHeight="1">
      <c r="B738" s="13">
        <f t="shared" si="3"/>
        <v>732</v>
      </c>
      <c r="C738" s="15" t="str">
        <f t="array" ref="C738">IFNA(_xlfn.XLOOKUP(B738,Table_Respons_Loket[Count],Table_Respons_Loket[Nomor Tiket]),"")</f>
        <v>K/11/011124/2</v>
      </c>
      <c r="D738" s="15" t="str">
        <f t="array" ref="D738">IFNA(_xlfn.XLOOKUP(B738,Table_Respons_Loket[Count],Table_Respons_Loket[Daftar Nomor Hak]),"")</f>
        <v>M.505/SUKABUMI INDAH</v>
      </c>
      <c r="E738" s="17">
        <f t="array" ref="E738">IFNA(_xlfn.XLOOKUP(B738,Table_Respons_Loket[Count],Table_Respons_Loket[Time Stamp]),"")</f>
        <v>45597.44787</v>
      </c>
      <c r="F738" s="18" t="str">
        <f t="array" ref="F738">IFNA(_xlfn.XLOOKUP(B738,Table_Respons_Loket[Count],Table_Respons_Loket[Jenis Permohonan]),"")</f>
        <v>KEWARISAN</v>
      </c>
      <c r="G738" s="12" t="s">
        <v>50</v>
      </c>
      <c r="H738" s="12" t="s">
        <v>52</v>
      </c>
      <c r="I738" s="22">
        <f t="shared" si="7"/>
        <v>45600.46549</v>
      </c>
      <c r="J738" s="20" t="b">
        <v>0</v>
      </c>
      <c r="K738" s="13" t="str">
        <f t="shared" si="2"/>
        <v/>
      </c>
    </row>
    <row r="739" ht="22.5" customHeight="1">
      <c r="B739" s="13">
        <f t="shared" si="3"/>
        <v>733</v>
      </c>
      <c r="C739" s="15" t="str">
        <f t="array" ref="C739">IFNA(_xlfn.XLOOKUP(B739,Table_Respons_Loket[Count],Table_Respons_Loket[Nomor Tiket]),"")</f>
        <v>K/7/011124/1</v>
      </c>
      <c r="D739" s="15" t="str">
        <f t="array" ref="D739">IFNA(_xlfn.XLOOKUP(B739,Table_Respons_Loket[Count],Table_Respons_Loket[Daftar Nomor Hak]),"")</f>
        <v>M. 2869/ Sukarame Baru</v>
      </c>
      <c r="E739" s="17">
        <f t="array" ref="E739">IFNA(_xlfn.XLOOKUP(B739,Table_Respons_Loket[Count],Table_Respons_Loket[Time Stamp]),"")</f>
        <v>45597.44909</v>
      </c>
      <c r="F739" s="18" t="str">
        <f t="array" ref="F739">IFNA(_xlfn.XLOOKUP(B739,Table_Respons_Loket[Count],Table_Respons_Loket[Jenis Permohonan]),"")</f>
        <v>BN Jual Beli</v>
      </c>
      <c r="G739" s="12" t="s">
        <v>50</v>
      </c>
      <c r="H739" s="12" t="s">
        <v>47</v>
      </c>
      <c r="I739" s="22" t="str">
        <f t="shared" si="7"/>
        <v/>
      </c>
      <c r="J739" s="20" t="b">
        <v>0</v>
      </c>
      <c r="K739" s="13" t="str">
        <f t="shared" si="2"/>
        <v/>
      </c>
    </row>
    <row r="740" ht="22.5" customHeight="1">
      <c r="B740" s="13">
        <f t="shared" si="3"/>
        <v>734</v>
      </c>
      <c r="C740" s="15" t="str">
        <f t="array" ref="C740">IFNA(_xlfn.XLOOKUP(B740,Table_Respons_Loket[Count],Table_Respons_Loket[Nomor Tiket]),"")</f>
        <v>L/12/011124/1</v>
      </c>
      <c r="D740" s="15" t="str">
        <f t="array" ref="D740">IFNA(_xlfn.XLOOKUP(B740,Table_Respons_Loket[Count],Table_Respons_Loket[Daftar Nomor Hak]),"")</f>
        <v>SUMBER AGUNG, KEMILING</v>
      </c>
      <c r="E740" s="17">
        <f t="array" ref="E740">IFNA(_xlfn.XLOOKUP(B740,Table_Respons_Loket[Count],Table_Respons_Loket[Time Stamp]),"")</f>
        <v>45597.44937</v>
      </c>
      <c r="F740" s="18" t="str">
        <f t="array" ref="F740">IFNA(_xlfn.XLOOKUP(B740,Table_Respons_Loket[Count],Table_Respons_Loket[Jenis Permohonan]),"")</f>
        <v>TANAH MENTAH</v>
      </c>
      <c r="G740" s="24"/>
      <c r="H740" s="24"/>
      <c r="I740" s="22" t="str">
        <f t="shared" si="7"/>
        <v/>
      </c>
      <c r="J740" s="20" t="b">
        <v>0</v>
      </c>
      <c r="K740" s="13" t="str">
        <f t="shared" si="2"/>
        <v/>
      </c>
    </row>
    <row r="741" ht="22.5" customHeight="1">
      <c r="B741" s="13">
        <f t="shared" si="3"/>
        <v>735</v>
      </c>
      <c r="C741" s="15" t="str">
        <f t="array" ref="C741">IFNA(_xlfn.XLOOKUP(B741,Table_Respons_Loket[Count],Table_Respons_Loket[Nomor Tiket]),"")</f>
        <v>K/13/011124/1</v>
      </c>
      <c r="D741" s="15" t="str">
        <f t="array" ref="D741">IFNA(_xlfn.XLOOKUP(B741,Table_Respons_Loket[Count],Table_Respons_Loket[Daftar Nomor Hak]),"")</f>
        <v>PBT 131/2024</v>
      </c>
      <c r="E741" s="17">
        <f t="array" ref="E741">IFNA(_xlfn.XLOOKUP(B741,Table_Respons_Loket[Count],Table_Respons_Loket[Time Stamp]),"")</f>
        <v>45597.46952</v>
      </c>
      <c r="F741" s="18" t="str">
        <f t="array" ref="F741">IFNA(_xlfn.XLOOKUP(B741,Table_Respons_Loket[Count],Table_Respons_Loket[Jenis Permohonan]),"")</f>
        <v>PTPGT HGB BERAKHIR</v>
      </c>
      <c r="G741" s="24"/>
      <c r="H741" s="24"/>
      <c r="I741" s="22" t="str">
        <f t="shared" si="7"/>
        <v/>
      </c>
      <c r="J741" s="20" t="b">
        <v>0</v>
      </c>
      <c r="K741" s="13" t="str">
        <f t="shared" si="2"/>
        <v/>
      </c>
    </row>
    <row r="742" ht="22.5" customHeight="1">
      <c r="B742" s="13">
        <f t="shared" si="3"/>
        <v>736</v>
      </c>
      <c r="C742" s="15" t="str">
        <f t="array" ref="C742">IFNA(_xlfn.XLOOKUP(B742,Table_Respons_Loket[Count],Table_Respons_Loket[Nomor Tiket]),"")</f>
        <v>K/14/011124/1</v>
      </c>
      <c r="D742" s="15" t="str">
        <f t="array" ref="D742">IFNA(_xlfn.XLOOKUP(B742,Table_Respons_Loket[Count],Table_Respons_Loket[Daftar Nomor Hak]),"")</f>
        <v>M. 3651/ Surabaya</v>
      </c>
      <c r="E742" s="17">
        <f t="array" ref="E742">IFNA(_xlfn.XLOOKUP(B742,Table_Respons_Loket[Count],Table_Respons_Loket[Time Stamp]),"")</f>
        <v>45597.4737</v>
      </c>
      <c r="F742" s="18" t="str">
        <f t="array" ref="F742">IFNA(_xlfn.XLOOKUP(B742,Table_Respons_Loket[Count],Table_Respons_Loket[Jenis Permohonan]),"")</f>
        <v>Gandes</v>
      </c>
      <c r="G742" s="24"/>
      <c r="H742" s="24"/>
      <c r="I742" s="22" t="str">
        <f t="shared" si="7"/>
        <v/>
      </c>
      <c r="J742" s="20" t="b">
        <v>0</v>
      </c>
      <c r="K742" s="13" t="str">
        <f t="shared" si="2"/>
        <v/>
      </c>
    </row>
    <row r="743" ht="22.5" customHeight="1">
      <c r="B743" s="13">
        <f t="shared" si="3"/>
        <v>737</v>
      </c>
      <c r="C743" s="15" t="str">
        <f t="array" ref="C743">IFNA(_xlfn.XLOOKUP(B743,Table_Respons_Loket[Count],Table_Respons_Loket[Nomor Tiket]),"")</f>
        <v>K/17/011124/1</v>
      </c>
      <c r="D743" s="15" t="str">
        <f t="array" ref="D743">IFNA(_xlfn.XLOOKUP(B743,Table_Respons_Loket[Count],Table_Respons_Loket[Daftar Nomor Hak]),"")</f>
        <v>M.1014/BUMI KEDAMAIAN-SEKARANG;M.12108/KEDAMAIAN-DAHULU</v>
      </c>
      <c r="E743" s="17">
        <f t="array" ref="E743">IFNA(_xlfn.XLOOKUP(B743,Table_Respons_Loket[Count],Table_Respons_Loket[Time Stamp]),"")</f>
        <v>45597.47736</v>
      </c>
      <c r="F743" s="18" t="str">
        <f t="array" ref="F743">IFNA(_xlfn.XLOOKUP(B743,Table_Respons_Loket[Count],Table_Respons_Loket[Jenis Permohonan]),"")</f>
        <v>BN JUAL BELI</v>
      </c>
      <c r="G743" s="12" t="s">
        <v>50</v>
      </c>
      <c r="H743" s="12" t="s">
        <v>52</v>
      </c>
      <c r="I743" s="22">
        <f t="shared" si="7"/>
        <v>45600.46601</v>
      </c>
      <c r="J743" s="20" t="b">
        <v>0</v>
      </c>
      <c r="K743" s="13" t="str">
        <f t="shared" si="2"/>
        <v/>
      </c>
    </row>
    <row r="744" ht="22.5" customHeight="1">
      <c r="B744" s="13">
        <f t="shared" si="3"/>
        <v>738</v>
      </c>
      <c r="C744" s="15" t="str">
        <f t="array" ref="C744">IFNA(_xlfn.XLOOKUP(B744,Table_Respons_Loket[Count],Table_Respons_Loket[Nomor Tiket]),"")</f>
        <v>K/15/011124/2</v>
      </c>
      <c r="D744" s="15" t="str">
        <f t="array" ref="D744">IFNA(_xlfn.XLOOKUP(B744,Table_Respons_Loket[Count],Table_Respons_Loket[Daftar Nomor Hak]),"")</f>
        <v>B. 127/ Nusantara Permai</v>
      </c>
      <c r="E744" s="17">
        <f t="array" ref="E744">IFNA(_xlfn.XLOOKUP(B744,Table_Respons_Loket[Count],Table_Respons_Loket[Time Stamp]),"")</f>
        <v>45597.47885</v>
      </c>
      <c r="F744" s="18" t="str">
        <f t="array" ref="F744">IFNA(_xlfn.XLOOKUP(B744,Table_Respons_Loket[Count],Table_Respons_Loket[Jenis Permohonan]),"")</f>
        <v>BN Jual Beli</v>
      </c>
      <c r="G744" s="12" t="s">
        <v>50</v>
      </c>
      <c r="H744" s="12" t="s">
        <v>52</v>
      </c>
      <c r="I744" s="22">
        <f t="shared" si="7"/>
        <v>45600.46625</v>
      </c>
      <c r="J744" s="20" t="b">
        <v>0</v>
      </c>
      <c r="K744" s="13" t="str">
        <f t="shared" si="2"/>
        <v/>
      </c>
    </row>
    <row r="745" ht="22.5" customHeight="1">
      <c r="B745" s="13">
        <f t="shared" si="3"/>
        <v>739</v>
      </c>
      <c r="C745" s="15" t="str">
        <f t="array" ref="C745">IFNA(_xlfn.XLOOKUP(B745,Table_Respons_Loket[Count],Table_Respons_Loket[Nomor Tiket]),"")</f>
        <v>K/16/011124/3</v>
      </c>
      <c r="D745" s="15" t="str">
        <f t="array" ref="D745">IFNA(_xlfn.XLOOKUP(B745,Table_Respons_Loket[Count],Table_Respons_Loket[Daftar Nomor Hak]),"")</f>
        <v>B. 128/ Nusantara Permai</v>
      </c>
      <c r="E745" s="17">
        <f t="array" ref="E745">IFNA(_xlfn.XLOOKUP(B745,Table_Respons_Loket[Count],Table_Respons_Loket[Time Stamp]),"")</f>
        <v>45597.47988</v>
      </c>
      <c r="F745" s="18" t="str">
        <f t="array" ref="F745">IFNA(_xlfn.XLOOKUP(B745,Table_Respons_Loket[Count],Table_Respons_Loket[Jenis Permohonan]),"")</f>
        <v>BN Jual Beli</v>
      </c>
      <c r="G745" s="12" t="s">
        <v>50</v>
      </c>
      <c r="H745" s="12" t="s">
        <v>52</v>
      </c>
      <c r="I745" s="22">
        <f t="shared" si="7"/>
        <v>45600.46627</v>
      </c>
      <c r="J745" s="20" t="b">
        <v>0</v>
      </c>
      <c r="K745" s="13" t="str">
        <f t="shared" si="2"/>
        <v/>
      </c>
    </row>
    <row r="746" ht="22.5" customHeight="1">
      <c r="B746" s="13">
        <f t="shared" si="3"/>
        <v>740</v>
      </c>
      <c r="C746" s="15" t="str">
        <f t="array" ref="C746">IFNA(_xlfn.XLOOKUP(B746,Table_Respons_Loket[Count],Table_Respons_Loket[Nomor Tiket]),"")</f>
        <v>L/18/011124/1</v>
      </c>
      <c r="D746" s="15" t="str">
        <f t="array" ref="D746">IFNA(_xlfn.XLOOKUP(B746,Table_Respons_Loket[Count],Table_Respons_Loket[Daftar Nomor Hak]),"")</f>
        <v>HM 1095/GEDONG AIR</v>
      </c>
      <c r="E746" s="17">
        <f t="array" ref="E746">IFNA(_xlfn.XLOOKUP(B746,Table_Respons_Loket[Count],Table_Respons_Loket[Time Stamp]),"")</f>
        <v>45597.48117</v>
      </c>
      <c r="F746" s="18" t="str">
        <f t="array" ref="F746">IFNA(_xlfn.XLOOKUP(B746,Table_Respons_Loket[Count],Table_Respons_Loket[Jenis Permohonan]),"")</f>
        <v>ROYA</v>
      </c>
      <c r="G746" s="12" t="s">
        <v>50</v>
      </c>
      <c r="H746" s="12" t="s">
        <v>52</v>
      </c>
      <c r="I746" s="22">
        <f t="shared" si="7"/>
        <v>45600.46665</v>
      </c>
      <c r="J746" s="20" t="b">
        <v>0</v>
      </c>
      <c r="K746" s="13" t="str">
        <f t="shared" si="2"/>
        <v/>
      </c>
    </row>
    <row r="747" ht="22.5" customHeight="1">
      <c r="B747" s="13">
        <f t="shared" si="3"/>
        <v>741</v>
      </c>
      <c r="C747" s="15" t="str">
        <f t="array" ref="C747">IFNA(_xlfn.XLOOKUP(B747,Table_Respons_Loket[Count],Table_Respons_Loket[Nomor Tiket]),"")</f>
        <v>L/13/301024/1</v>
      </c>
      <c r="D747" s="15" t="str">
        <f t="array" ref="D747">IFNA(_xlfn.XLOOKUP(B747,Table_Respons_Loket[Count],Table_Respons_Loket[Daftar Nomor Hak]),"")</f>
        <v>M.15228/S I</v>
      </c>
      <c r="E747" s="17">
        <f t="array" ref="E747">IFNA(_xlfn.XLOOKUP(B747,Table_Respons_Loket[Count],Table_Respons_Loket[Time Stamp]),"")</f>
        <v>45597.5217</v>
      </c>
      <c r="F747" s="18" t="str">
        <f t="array" ref="F747">IFNA(_xlfn.XLOOKUP(B747,Table_Respons_Loket[Count],Table_Respons_Loket[Jenis Permohonan]),"")</f>
        <v>ROYA</v>
      </c>
      <c r="G747" s="12" t="s">
        <v>50</v>
      </c>
      <c r="H747" s="12" t="s">
        <v>52</v>
      </c>
      <c r="I747" s="22">
        <f t="shared" si="7"/>
        <v>45600.46671</v>
      </c>
      <c r="J747" s="20" t="b">
        <v>0</v>
      </c>
      <c r="K747" s="13" t="str">
        <f t="shared" si="2"/>
        <v/>
      </c>
    </row>
    <row r="748" ht="22.5" customHeight="1">
      <c r="B748" s="13">
        <f t="shared" si="3"/>
        <v>742</v>
      </c>
      <c r="C748" s="15" t="str">
        <f t="array" ref="C748">IFNA(_xlfn.XLOOKUP(B748,Table_Respons_Loket[Count],Table_Respons_Loket[Nomor Tiket]),"")</f>
        <v>K/19/011124/2</v>
      </c>
      <c r="D748" s="15" t="str">
        <f t="array" ref="D748">IFNA(_xlfn.XLOOKUP(B748,Table_Respons_Loket[Count],Table_Respons_Loket[Daftar Nomor Hak]),"")</f>
        <v>B.752/SUMUR PUTRI</v>
      </c>
      <c r="E748" s="17">
        <f t="array" ref="E748">IFNA(_xlfn.XLOOKUP(B748,Table_Respons_Loket[Count],Table_Respons_Loket[Time Stamp]),"")</f>
        <v>45597.52651</v>
      </c>
      <c r="F748" s="18" t="str">
        <f t="array" ref="F748">IFNA(_xlfn.XLOOKUP(B748,Table_Respons_Loket[Count],Table_Respons_Loket[Jenis Permohonan]),"")</f>
        <v>BN JUAL BELI</v>
      </c>
      <c r="G748" s="12" t="s">
        <v>50</v>
      </c>
      <c r="H748" s="12" t="s">
        <v>47</v>
      </c>
      <c r="I748" s="22" t="str">
        <f t="shared" si="7"/>
        <v/>
      </c>
      <c r="J748" s="20" t="b">
        <v>0</v>
      </c>
      <c r="K748" s="13" t="str">
        <f t="shared" si="2"/>
        <v/>
      </c>
    </row>
    <row r="749" ht="22.5" customHeight="1">
      <c r="B749" s="13">
        <f t="shared" si="3"/>
        <v>743</v>
      </c>
      <c r="C749" s="15" t="str">
        <f t="array" ref="C749">IFNA(_xlfn.XLOOKUP(B749,Table_Respons_Loket[Count],Table_Respons_Loket[Nomor Tiket]),"")</f>
        <v>K/20/011124/1</v>
      </c>
      <c r="D749" s="15" t="str">
        <f t="array" ref="D749">IFNA(_xlfn.XLOOKUP(B749,Table_Respons_Loket[Count],Table_Respons_Loket[Daftar Nomor Hak]),"")</f>
        <v>Nibel 2191/ Gunung Terang </v>
      </c>
      <c r="E749" s="17">
        <f t="array" ref="E749">IFNA(_xlfn.XLOOKUP(B749,Table_Respons_Loket[Count],Table_Respons_Loket[Time Stamp]),"")</f>
        <v>45597.55491</v>
      </c>
      <c r="F749" s="18" t="str">
        <f t="array" ref="F749">IFNA(_xlfn.XLOOKUP(B749,Table_Respons_Loket[Count],Table_Respons_Loket[Jenis Permohonan]),"")</f>
        <v>BN JUAL BELI</v>
      </c>
      <c r="G749" s="24"/>
      <c r="H749" s="24"/>
      <c r="I749" s="22" t="str">
        <f t="shared" si="7"/>
        <v/>
      </c>
      <c r="J749" s="20" t="b">
        <v>0</v>
      </c>
      <c r="K749" s="13" t="str">
        <f t="shared" si="2"/>
        <v/>
      </c>
    </row>
    <row r="750" ht="22.5" customHeight="1">
      <c r="B750" s="13">
        <f t="shared" si="3"/>
        <v>744</v>
      </c>
      <c r="C750" s="15" t="str">
        <f t="array" ref="C750">IFNA(_xlfn.XLOOKUP(B750,Table_Respons_Loket[Count],Table_Respons_Loket[Nomor Tiket]),"")</f>
        <v>K/21/011124/1</v>
      </c>
      <c r="D750" s="15" t="str">
        <f t="array" ref="D750">IFNA(_xlfn.XLOOKUP(B750,Table_Respons_Loket[Count],Table_Respons_Loket[Daftar Nomor Hak]),"")</f>
        <v>B.4381/SUKARAME I</v>
      </c>
      <c r="E750" s="17">
        <f t="array" ref="E750">IFNA(_xlfn.XLOOKUP(B750,Table_Respons_Loket[Count],Table_Respons_Loket[Time Stamp]),"")</f>
        <v>45597.56533</v>
      </c>
      <c r="F750" s="18" t="str">
        <f t="array" ref="F750">IFNA(_xlfn.XLOOKUP(B750,Table_Respons_Loket[Count],Table_Respons_Loket[Jenis Permohonan]),"")</f>
        <v>GANDES</v>
      </c>
      <c r="G750" s="24"/>
      <c r="H750" s="24"/>
      <c r="I750" s="22" t="str">
        <f t="shared" si="7"/>
        <v/>
      </c>
      <c r="J750" s="20" t="b">
        <v>0</v>
      </c>
      <c r="K750" s="13" t="str">
        <f t="shared" si="2"/>
        <v/>
      </c>
    </row>
    <row r="751" ht="22.5" customHeight="1">
      <c r="B751" s="13">
        <f t="shared" si="3"/>
        <v>745</v>
      </c>
      <c r="C751" s="15" t="str">
        <f t="array" ref="C751">IFNA(_xlfn.XLOOKUP(B751,Table_Respons_Loket[Count],Table_Respons_Loket[Nomor Tiket]),"")</f>
        <v>K/22/011124/2</v>
      </c>
      <c r="D751" s="15" t="str">
        <f t="array" ref="D751">IFNA(_xlfn.XLOOKUP(B751,Table_Respons_Loket[Count],Table_Respons_Loket[Daftar Nomor Hak]),"")</f>
        <v>M.17182/SUKARAME-SEKARANG'B.1230/SUKARAME I</v>
      </c>
      <c r="E751" s="17">
        <f t="array" ref="E751">IFNA(_xlfn.XLOOKUP(B751,Table_Respons_Loket[Count],Table_Respons_Loket[Time Stamp]),"")</f>
        <v>45597.57402</v>
      </c>
      <c r="F751" s="18" t="str">
        <f t="array" ref="F751">IFNA(_xlfn.XLOOKUP(B751,Table_Respons_Loket[Count],Table_Respons_Loket[Jenis Permohonan]),"")</f>
        <v>ROYA</v>
      </c>
      <c r="G751" s="12" t="s">
        <v>48</v>
      </c>
      <c r="H751" s="12" t="s">
        <v>47</v>
      </c>
      <c r="I751" s="22" t="str">
        <f t="shared" si="7"/>
        <v/>
      </c>
      <c r="J751" s="20" t="b">
        <v>0</v>
      </c>
      <c r="K751" s="13" t="str">
        <f t="shared" si="2"/>
        <v/>
      </c>
    </row>
    <row r="752" ht="22.5" customHeight="1">
      <c r="B752" s="13">
        <f t="shared" si="3"/>
        <v>746</v>
      </c>
      <c r="C752" s="15" t="str">
        <f t="array" ref="C752">IFNA(_xlfn.XLOOKUP(B752,Table_Respons_Loket[Count],Table_Respons_Loket[Nomor Tiket]),"")</f>
        <v>K/23/011124/1</v>
      </c>
      <c r="D752" s="15" t="str">
        <f t="array" ref="D752">IFNA(_xlfn.XLOOKUP(B752,Table_Respons_Loket[Count],Table_Respons_Loket[Daftar Nomor Hak]),"")</f>
        <v>NIBEL 2563/ BERINGIN RAYA</v>
      </c>
      <c r="E752" s="17">
        <f t="array" ref="E752">IFNA(_xlfn.XLOOKUP(B752,Table_Respons_Loket[Count],Table_Respons_Loket[Time Stamp]),"")</f>
        <v>45597.58188</v>
      </c>
      <c r="F752" s="18" t="str">
        <f t="array" ref="F752">IFNA(_xlfn.XLOOKUP(B752,Table_Respons_Loket[Count],Table_Respons_Loket[Jenis Permohonan]),"")</f>
        <v>GANTI KELURAHAN</v>
      </c>
      <c r="G752" s="24"/>
      <c r="H752" s="24"/>
      <c r="I752" s="22" t="str">
        <f t="shared" si="7"/>
        <v/>
      </c>
      <c r="J752" s="20" t="b">
        <v>0</v>
      </c>
      <c r="K752" s="13" t="str">
        <f t="shared" si="2"/>
        <v/>
      </c>
    </row>
    <row r="753" ht="22.5" customHeight="1">
      <c r="B753" s="13">
        <f t="shared" si="3"/>
        <v>747</v>
      </c>
      <c r="C753" s="15" t="str">
        <f t="array" ref="C753">IFNA(_xlfn.XLOOKUP(B753,Table_Respons_Loket[Count],Table_Respons_Loket[Nomor Tiket]),"")</f>
        <v>K/24/011124/1</v>
      </c>
      <c r="D753" s="15" t="str">
        <f t="array" ref="D753">IFNA(_xlfn.XLOOKUP(B753,Table_Respons_Loket[Count],Table_Respons_Loket[Daftar Nomor Hak]),"")</f>
        <v>M NIEBL 1952/LABUHAN DALAM</v>
      </c>
      <c r="E753" s="17">
        <f t="array" ref="E753">IFNA(_xlfn.XLOOKUP(B753,Table_Respons_Loket[Count],Table_Respons_Loket[Time Stamp]),"")</f>
        <v>45597.58584</v>
      </c>
      <c r="F753" s="18" t="str">
        <f t="array" ref="F753">IFNA(_xlfn.XLOOKUP(B753,Table_Respons_Loket[Count],Table_Respons_Loket[Jenis Permohonan]),"")</f>
        <v>PTPGT</v>
      </c>
      <c r="G753" s="24"/>
      <c r="H753" s="24"/>
      <c r="I753" s="22" t="str">
        <f t="shared" si="7"/>
        <v/>
      </c>
      <c r="J753" s="20" t="b">
        <v>0</v>
      </c>
      <c r="K753" s="13" t="str">
        <f t="shared" si="2"/>
        <v/>
      </c>
    </row>
    <row r="754" ht="22.5" customHeight="1">
      <c r="B754" s="13">
        <f t="shared" si="3"/>
        <v>748</v>
      </c>
      <c r="C754" s="15" t="str">
        <f t="array" ref="C754">IFNA(_xlfn.XLOOKUP(B754,Table_Respons_Loket[Count],Table_Respons_Loket[Nomor Tiket]),"")</f>
        <v>K/25/011124/2</v>
      </c>
      <c r="D754" s="15" t="str">
        <f t="array" ref="D754">IFNA(_xlfn.XLOOKUP(B754,Table_Respons_Loket[Count],Table_Respons_Loket[Daftar Nomor Hak]),"")</f>
        <v>NIBEL M 1953/LABUHAN DALAM</v>
      </c>
      <c r="E754" s="17">
        <f t="array" ref="E754">IFNA(_xlfn.XLOOKUP(B754,Table_Respons_Loket[Count],Table_Respons_Loket[Time Stamp]),"")</f>
        <v>45597.58683</v>
      </c>
      <c r="F754" s="18" t="str">
        <f t="array" ref="F754">IFNA(_xlfn.XLOOKUP(B754,Table_Respons_Loket[Count],Table_Respons_Loket[Jenis Permohonan]),"")</f>
        <v>PTPGT</v>
      </c>
      <c r="G754" s="24"/>
      <c r="H754" s="24"/>
      <c r="I754" s="22" t="str">
        <f t="shared" si="7"/>
        <v/>
      </c>
      <c r="J754" s="20" t="b">
        <v>0</v>
      </c>
      <c r="K754" s="13" t="str">
        <f t="shared" si="2"/>
        <v/>
      </c>
    </row>
    <row r="755" ht="22.5" customHeight="1">
      <c r="B755" s="13">
        <f t="shared" si="3"/>
        <v>749</v>
      </c>
      <c r="C755" s="15" t="str">
        <f t="array" ref="C755">IFNA(_xlfn.XLOOKUP(B755,Table_Respons_Loket[Count],Table_Respons_Loket[Nomor Tiket]),"")</f>
        <v>K/26/011124/1</v>
      </c>
      <c r="D755" s="15" t="str">
        <f t="array" ref="D755">IFNA(_xlfn.XLOOKUP(B755,Table_Respons_Loket[Count],Table_Respons_Loket[Daftar Nomor Hak]),"")</f>
        <v>M.5014/RAJABASA JAYA-SEKARANG;M.9263/RAJABASA-DAHULU</v>
      </c>
      <c r="E755" s="17">
        <f t="array" ref="E755">IFNA(_xlfn.XLOOKUP(B755,Table_Respons_Loket[Count],Table_Respons_Loket[Time Stamp]),"")</f>
        <v>45597.58835</v>
      </c>
      <c r="F755" s="18" t="str">
        <f t="array" ref="F755">IFNA(_xlfn.XLOOKUP(B755,Table_Respons_Loket[Count],Table_Respons_Loket[Jenis Permohonan]),"")</f>
        <v>BN JUAL BELI</v>
      </c>
      <c r="G755" s="12" t="s">
        <v>48</v>
      </c>
      <c r="H755" s="12" t="s">
        <v>52</v>
      </c>
      <c r="I755" s="22">
        <f t="shared" si="7"/>
        <v>45600.46752</v>
      </c>
      <c r="J755" s="20" t="b">
        <v>0</v>
      </c>
      <c r="K755" s="13" t="str">
        <f t="shared" si="2"/>
        <v/>
      </c>
    </row>
    <row r="756" ht="22.5" customHeight="1">
      <c r="B756" s="13">
        <f t="shared" si="3"/>
        <v>750</v>
      </c>
      <c r="C756" s="15" t="str">
        <f t="array" ref="C756">IFNA(_xlfn.XLOOKUP(B756,Table_Respons_Loket[Count],Table_Respons_Loket[Nomor Tiket]),"")</f>
        <v>K/27/011124/1</v>
      </c>
      <c r="D756" s="15" t="str">
        <f t="array" ref="D756">IFNA(_xlfn.XLOOKUP(B756,Table_Respons_Loket[Count],Table_Respons_Loket[Daftar Nomor Hak]),"")</f>
        <v>M. 639/ PEMATANG WANGI</v>
      </c>
      <c r="E756" s="17">
        <f t="array" ref="E756">IFNA(_xlfn.XLOOKUP(B756,Table_Respons_Loket[Count],Table_Respons_Loket[Time Stamp]),"")</f>
        <v>45597.59295</v>
      </c>
      <c r="F756" s="18" t="str">
        <f t="array" ref="F756">IFNA(_xlfn.XLOOKUP(B756,Table_Respons_Loket[Count],Table_Respons_Loket[Jenis Permohonan]),"")</f>
        <v>BN JUAL BELI</v>
      </c>
      <c r="G756" s="12" t="s">
        <v>48</v>
      </c>
      <c r="H756" s="12" t="s">
        <v>52</v>
      </c>
      <c r="I756" s="22">
        <f t="shared" si="7"/>
        <v>45600.46785</v>
      </c>
      <c r="J756" s="20" t="b">
        <v>0</v>
      </c>
      <c r="K756" s="13" t="str">
        <f t="shared" si="2"/>
        <v/>
      </c>
    </row>
    <row r="757" ht="22.5" customHeight="1">
      <c r="B757" s="13">
        <f t="shared" si="3"/>
        <v>751</v>
      </c>
      <c r="C757" s="15" t="str">
        <f t="array" ref="C757">IFNA(_xlfn.XLOOKUP(B757,Table_Respons_Loket[Count],Table_Respons_Loket[Nomor Tiket]),"")</f>
        <v>K/28/011124/2</v>
      </c>
      <c r="D757" s="15" t="str">
        <f t="array" ref="D757">IFNA(_xlfn.XLOOKUP(B757,Table_Respons_Loket[Count],Table_Respons_Loket[Daftar Nomor Hak]),"")</f>
        <v>nibel 1096/ kemiling permai</v>
      </c>
      <c r="E757" s="17">
        <f t="array" ref="E757">IFNA(_xlfn.XLOOKUP(B757,Table_Respons_Loket[Count],Table_Respons_Loket[Time Stamp]),"")</f>
        <v>45597.59378</v>
      </c>
      <c r="F757" s="18" t="str">
        <f t="array" ref="F757">IFNA(_xlfn.XLOOKUP(B757,Table_Respons_Loket[Count],Table_Respons_Loket[Jenis Permohonan]),"")</f>
        <v>plotting</v>
      </c>
      <c r="G757" s="24"/>
      <c r="H757" s="24"/>
      <c r="I757" s="22" t="str">
        <f t="shared" si="7"/>
        <v/>
      </c>
      <c r="J757" s="20" t="b">
        <v>0</v>
      </c>
      <c r="K757" s="13" t="str">
        <f t="shared" si="2"/>
        <v/>
      </c>
    </row>
    <row r="758" ht="22.5" customHeight="1">
      <c r="B758" s="13">
        <f t="shared" si="3"/>
        <v>752</v>
      </c>
      <c r="C758" s="15" t="str">
        <f t="array" ref="C758">IFNA(_xlfn.XLOOKUP(B758,Table_Respons_Loket[Count],Table_Respons_Loket[Nomor Tiket]),"")</f>
        <v>K/29/011124/3</v>
      </c>
      <c r="D758" s="15" t="str">
        <f t="array" ref="D758">IFNA(_xlfn.XLOOKUP(B758,Table_Respons_Loket[Count],Table_Respons_Loket[Daftar Nomor Hak]),"")</f>
        <v>Nibel 2430/ kemiling permai</v>
      </c>
      <c r="E758" s="17">
        <f t="array" ref="E758">IFNA(_xlfn.XLOOKUP(B758,Table_Respons_Loket[Count],Table_Respons_Loket[Time Stamp]),"")</f>
        <v>45597.59552</v>
      </c>
      <c r="F758" s="18" t="str">
        <f t="array" ref="F758">IFNA(_xlfn.XLOOKUP(B758,Table_Respons_Loket[Count],Table_Respons_Loket[Jenis Permohonan]),"")</f>
        <v>plotting</v>
      </c>
      <c r="G758" s="24"/>
      <c r="H758" s="24"/>
      <c r="I758" s="22" t="str">
        <f t="shared" si="7"/>
        <v/>
      </c>
      <c r="J758" s="20" t="b">
        <v>0</v>
      </c>
      <c r="K758" s="13" t="str">
        <f t="shared" si="2"/>
        <v/>
      </c>
    </row>
    <row r="759" ht="22.5" customHeight="1">
      <c r="B759" s="13">
        <f t="shared" si="3"/>
        <v>753</v>
      </c>
      <c r="C759" s="15" t="str">
        <f t="array" ref="C759">IFNA(_xlfn.XLOOKUP(B759,Table_Respons_Loket[Count],Table_Respons_Loket[Nomor Tiket]),"")</f>
        <v>K/30/011124/1</v>
      </c>
      <c r="D759" s="15" t="str">
        <f t="array" ref="D759">IFNA(_xlfn.XLOOKUP(B759,Table_Respons_Loket[Count],Table_Respons_Loket[Daftar Nomor Hak]),"")</f>
        <v>PBT. 87/2024</v>
      </c>
      <c r="E759" s="17">
        <f t="array" ref="E759">IFNA(_xlfn.XLOOKUP(B759,Table_Respons_Loket[Count],Table_Respons_Loket[Time Stamp]),"")</f>
        <v>45597.59707</v>
      </c>
      <c r="F759" s="18" t="str">
        <f t="array" ref="F759">IFNA(_xlfn.XLOOKUP(B759,Table_Respons_Loket[Count],Table_Respons_Loket[Jenis Permohonan]),"")</f>
        <v>PTPGT (Pertama Kali)</v>
      </c>
      <c r="G759" s="24"/>
      <c r="H759" s="24"/>
      <c r="I759" s="22" t="str">
        <f t="shared" si="7"/>
        <v/>
      </c>
      <c r="J759" s="20" t="b">
        <v>0</v>
      </c>
      <c r="K759" s="13" t="str">
        <f t="shared" si="2"/>
        <v/>
      </c>
    </row>
    <row r="760" ht="22.5" customHeight="1">
      <c r="B760" s="13">
        <f t="shared" si="3"/>
        <v>754</v>
      </c>
      <c r="C760" s="15" t="str">
        <f t="array" ref="C760">IFNA(_xlfn.XLOOKUP(B760,Table_Respons_Loket[Count],Table_Respons_Loket[Nomor Tiket]),"")</f>
        <v>K/31/011124/2</v>
      </c>
      <c r="D760" s="15" t="str">
        <f t="array" ref="D760">IFNA(_xlfn.XLOOKUP(B760,Table_Respons_Loket[Count],Table_Respons_Loket[Daftar Nomor Hak]),"")</f>
        <v>M. 2996/ Sukadana Ham</v>
      </c>
      <c r="E760" s="17">
        <f t="array" ref="E760">IFNA(_xlfn.XLOOKUP(B760,Table_Respons_Loket[Count],Table_Respons_Loket[Time Stamp]),"")</f>
        <v>45597.59873</v>
      </c>
      <c r="F760" s="18" t="str">
        <f t="array" ref="F760">IFNA(_xlfn.XLOOKUP(B760,Table_Respons_Loket[Count],Table_Respons_Loket[Jenis Permohonan]),"")</f>
        <v>BN Jual Beli</v>
      </c>
      <c r="G760" s="12" t="s">
        <v>48</v>
      </c>
      <c r="H760" s="12" t="s">
        <v>52</v>
      </c>
      <c r="I760" s="22">
        <f t="shared" si="7"/>
        <v>45600.46804</v>
      </c>
      <c r="J760" s="20" t="b">
        <v>0</v>
      </c>
      <c r="K760" s="13" t="str">
        <f t="shared" si="2"/>
        <v/>
      </c>
    </row>
    <row r="761" ht="22.5" customHeight="1">
      <c r="B761" s="13">
        <f t="shared" si="3"/>
        <v>755</v>
      </c>
      <c r="C761" s="15" t="str">
        <f t="array" ref="C761">IFNA(_xlfn.XLOOKUP(B761,Table_Respons_Loket[Count],Table_Respons_Loket[Nomor Tiket]),"")</f>
        <v>K/32/011124/1</v>
      </c>
      <c r="D761" s="15" t="str">
        <f t="array" ref="D761">IFNA(_xlfn.XLOOKUP(B761,Table_Respons_Loket[Count],Table_Respons_Loket[Daftar Nomor Hak]),"")</f>
        <v>B.1127/KEMILING PERMAI</v>
      </c>
      <c r="E761" s="17">
        <f t="array" ref="E761">IFNA(_xlfn.XLOOKUP(B761,Table_Respons_Loket[Count],Table_Respons_Loket[Time Stamp]),"")</f>
        <v>45597.60318</v>
      </c>
      <c r="F761" s="18" t="str">
        <f t="array" ref="F761">IFNA(_xlfn.XLOOKUP(B761,Table_Respons_Loket[Count],Table_Respons_Loket[Jenis Permohonan]),"")</f>
        <v>BN JUAL BELI</v>
      </c>
      <c r="G761" s="12" t="s">
        <v>48</v>
      </c>
      <c r="H761" s="12" t="s">
        <v>52</v>
      </c>
      <c r="I761" s="22">
        <f t="shared" si="7"/>
        <v>45600.46832</v>
      </c>
      <c r="J761" s="20" t="b">
        <v>0</v>
      </c>
      <c r="K761" s="13" t="str">
        <f t="shared" si="2"/>
        <v/>
      </c>
    </row>
    <row r="762" ht="22.5" customHeight="1">
      <c r="B762" s="13">
        <f t="shared" si="3"/>
        <v>756</v>
      </c>
      <c r="C762" s="15" t="str">
        <f t="array" ref="C762">IFNA(_xlfn.XLOOKUP(B762,Table_Respons_Loket[Count],Table_Respons_Loket[Nomor Tiket]),"")</f>
        <v>K/33/011124/1</v>
      </c>
      <c r="D762" s="15" t="str">
        <f t="array" ref="D762">IFNA(_xlfn.XLOOKUP(B762,Table_Respons_Loket[Count],Table_Respons_Loket[Daftar Nomor Hak]),"")</f>
        <v>M.16627/SUKABUMI</v>
      </c>
      <c r="E762" s="17">
        <f t="array" ref="E762">IFNA(_xlfn.XLOOKUP(B762,Table_Respons_Loket[Count],Table_Respons_Loket[Time Stamp]),"")</f>
        <v>45597.61062</v>
      </c>
      <c r="F762" s="18" t="str">
        <f t="array" ref="F762">IFNA(_xlfn.XLOOKUP(B762,Table_Respons_Loket[Count],Table_Respons_Loket[Jenis Permohonan]),"")</f>
        <v>BN JUAL BELI</v>
      </c>
      <c r="G762" s="12" t="s">
        <v>48</v>
      </c>
      <c r="H762" s="12" t="s">
        <v>52</v>
      </c>
      <c r="I762" s="22">
        <f t="shared" si="7"/>
        <v>45600.46845</v>
      </c>
      <c r="J762" s="20" t="b">
        <v>0</v>
      </c>
      <c r="K762" s="13" t="str">
        <f t="shared" si="2"/>
        <v/>
      </c>
    </row>
    <row r="763" ht="22.5" customHeight="1">
      <c r="B763" s="13">
        <f t="shared" si="3"/>
        <v>757</v>
      </c>
      <c r="C763" s="15" t="str">
        <f t="array" ref="C763">IFNA(_xlfn.XLOOKUP(B763,Table_Respons_Loket[Count],Table_Respons_Loket[Nomor Tiket]),"")</f>
        <v>K/34/011124/1</v>
      </c>
      <c r="D763" s="15" t="str">
        <f t="array" ref="D763">IFNA(_xlfn.XLOOKUP(B763,Table_Respons_Loket[Count],Table_Respons_Loket[Daftar Nomor Hak]),"")</f>
        <v>M.1342/SUMUR PUTRI-SEKARANG;B.1342/SUMUR PUTRI-DAHULU</v>
      </c>
      <c r="E763" s="17">
        <f t="array" ref="E763">IFNA(_xlfn.XLOOKUP(B763,Table_Respons_Loket[Count],Table_Respons_Loket[Time Stamp]),"")</f>
        <v>45597.61414</v>
      </c>
      <c r="F763" s="18" t="str">
        <f t="array" ref="F763">IFNA(_xlfn.XLOOKUP(B763,Table_Respons_Loket[Count],Table_Respons_Loket[Jenis Permohonan]),"")</f>
        <v>ploting</v>
      </c>
      <c r="G763" s="24"/>
      <c r="H763" s="24"/>
      <c r="I763" s="22" t="str">
        <f t="shared" si="7"/>
        <v/>
      </c>
      <c r="J763" s="20" t="b">
        <v>0</v>
      </c>
      <c r="K763" s="13" t="str">
        <f t="shared" si="2"/>
        <v/>
      </c>
    </row>
    <row r="764" ht="22.5" customHeight="1">
      <c r="B764" s="13">
        <f t="shared" si="3"/>
        <v>758</v>
      </c>
      <c r="C764" s="15" t="str">
        <f t="array" ref="C764">IFNA(_xlfn.XLOOKUP(B764,Table_Respons_Loket[Count],Table_Respons_Loket[Nomor Tiket]),"")</f>
        <v>K/35/011124/1</v>
      </c>
      <c r="D764" s="15" t="str">
        <f t="array" ref="D764">IFNA(_xlfn.XLOOKUP(B764,Table_Respons_Loket[Count],Table_Respons_Loket[Daftar Nomor Hak]),"")</f>
        <v>B. 946/ Beringin Jaya</v>
      </c>
      <c r="E764" s="17">
        <f t="array" ref="E764">IFNA(_xlfn.XLOOKUP(B764,Table_Respons_Loket[Count],Table_Respons_Loket[Time Stamp]),"")</f>
        <v>45597.62348</v>
      </c>
      <c r="F764" s="18" t="str">
        <f t="array" ref="F764">IFNA(_xlfn.XLOOKUP(B764,Table_Respons_Loket[Count],Table_Respons_Loket[Jenis Permohonan]),"")</f>
        <v>BN Jual Beli</v>
      </c>
      <c r="G764" s="12" t="s">
        <v>48</v>
      </c>
      <c r="H764" s="12" t="s">
        <v>52</v>
      </c>
      <c r="I764" s="22">
        <f t="shared" si="7"/>
        <v>45600.46874</v>
      </c>
      <c r="J764" s="20" t="b">
        <v>0</v>
      </c>
      <c r="K764" s="13" t="str">
        <f t="shared" si="2"/>
        <v/>
      </c>
    </row>
    <row r="765" ht="22.5" customHeight="1">
      <c r="B765" s="13">
        <f t="shared" si="3"/>
        <v>759</v>
      </c>
      <c r="C765" s="15" t="str">
        <f t="array" ref="C765">IFNA(_xlfn.XLOOKUP(B765,Table_Respons_Loket[Count],Table_Respons_Loket[Nomor Tiket]),"")</f>
        <v>K/37/011124/1</v>
      </c>
      <c r="D765" s="15" t="str">
        <f t="array" ref="D765">IFNA(_xlfn.XLOOKUP(B765,Table_Respons_Loket[Count],Table_Respons_Loket[Daftar Nomor Hak]),"")</f>
        <v>M. 429/ Gedong Pakuon</v>
      </c>
      <c r="E765" s="17">
        <f t="array" ref="E765">IFNA(_xlfn.XLOOKUP(B765,Table_Respons_Loket[Count],Table_Respons_Loket[Time Stamp]),"")</f>
        <v>45597.62399</v>
      </c>
      <c r="F765" s="18" t="str">
        <f t="array" ref="F765">IFNA(_xlfn.XLOOKUP(B765,Table_Respons_Loket[Count],Table_Respons_Loket[Jenis Permohonan]),"")</f>
        <v>BN PHB</v>
      </c>
      <c r="G765" s="12" t="s">
        <v>48</v>
      </c>
      <c r="H765" s="12" t="s">
        <v>52</v>
      </c>
      <c r="I765" s="22">
        <f t="shared" si="7"/>
        <v>45600.65879</v>
      </c>
      <c r="J765" s="20" t="b">
        <v>0</v>
      </c>
      <c r="K765" s="13" t="str">
        <f t="shared" si="2"/>
        <v/>
      </c>
    </row>
    <row r="766" ht="22.5" customHeight="1">
      <c r="B766" s="13">
        <f t="shared" si="3"/>
        <v>760</v>
      </c>
      <c r="C766" s="15" t="str">
        <f t="array" ref="C766">IFNA(_xlfn.XLOOKUP(B766,Table_Respons_Loket[Count],Table_Respons_Loket[Nomor Tiket]),"")</f>
        <v>K/36/011124/2</v>
      </c>
      <c r="D766" s="15" t="str">
        <f t="array" ref="D766">IFNA(_xlfn.XLOOKUP(B766,Table_Respons_Loket[Count],Table_Respons_Loket[Daftar Nomor Hak]),"")</f>
        <v>Nibel 626/ Campang Raya</v>
      </c>
      <c r="E766" s="17">
        <f t="array" ref="E766">IFNA(_xlfn.XLOOKUP(B766,Table_Respons_Loket[Count],Table_Respons_Loket[Time Stamp]),"")</f>
        <v>45597.62495</v>
      </c>
      <c r="F766" s="18" t="str">
        <f t="array" ref="F766">IFNA(_xlfn.XLOOKUP(B766,Table_Respons_Loket[Count],Table_Respons_Loket[Jenis Permohonan]),"")</f>
        <v>BN JUAL BELI</v>
      </c>
      <c r="G766" s="24"/>
      <c r="H766" s="24"/>
      <c r="I766" s="22" t="str">
        <f t="shared" si="7"/>
        <v/>
      </c>
      <c r="J766" s="20" t="b">
        <v>0</v>
      </c>
      <c r="K766" s="13" t="str">
        <f t="shared" si="2"/>
        <v/>
      </c>
    </row>
    <row r="767" ht="22.5" customHeight="1">
      <c r="B767" s="13">
        <f t="shared" si="3"/>
        <v>761</v>
      </c>
      <c r="C767" s="15" t="str">
        <f t="array" ref="C767">IFNA(_xlfn.XLOOKUP(B767,Table_Respons_Loket[Count],Table_Respons_Loket[Nomor Tiket]),"")</f>
        <v>K/38/011124/2</v>
      </c>
      <c r="D767" s="15" t="str">
        <f t="array" ref="D767">IFNA(_xlfn.XLOOKUP(B767,Table_Respons_Loket[Count],Table_Respons_Loket[Daftar Nomor Hak]),"")</f>
        <v>M. 141/ Talang (gedung pakuon Talang)</v>
      </c>
      <c r="E767" s="17">
        <f t="array" ref="E767">IFNA(_xlfn.XLOOKUP(B767,Table_Respons_Loket[Count],Table_Respons_Loket[Time Stamp]),"")</f>
        <v>45597.62679</v>
      </c>
      <c r="F767" s="18" t="str">
        <f t="array" ref="F767">IFNA(_xlfn.XLOOKUP(B767,Table_Respons_Loket[Count],Table_Respons_Loket[Jenis Permohonan]),"")</f>
        <v>BN Jual Beli</v>
      </c>
      <c r="G767" s="12" t="s">
        <v>48</v>
      </c>
      <c r="H767" s="12" t="s">
        <v>52</v>
      </c>
      <c r="I767" s="22">
        <f t="shared" si="7"/>
        <v>45600.65874</v>
      </c>
      <c r="J767" s="20" t="b">
        <v>0</v>
      </c>
      <c r="K767" s="13" t="str">
        <f t="shared" si="2"/>
        <v/>
      </c>
    </row>
    <row r="768" ht="22.5" customHeight="1">
      <c r="B768" s="13">
        <f t="shared" si="3"/>
        <v>762</v>
      </c>
      <c r="C768" s="15" t="str">
        <f t="array" ref="C768">IFNA(_xlfn.XLOOKUP(B768,Table_Respons_Loket[Count],Table_Respons_Loket[Nomor Tiket]),"")</f>
        <v>K/39/011124/3</v>
      </c>
      <c r="D768" s="15" t="str">
        <f t="array" ref="D768">IFNA(_xlfn.XLOOKUP(B768,Table_Respons_Loket[Count],Table_Respons_Loket[Daftar Nomor Hak]),"")</f>
        <v>M. 963; 932/ Pengajaran; SHT2637/2017 dan SHT 2144/2017</v>
      </c>
      <c r="E768" s="17">
        <f t="array" ref="E768">IFNA(_xlfn.XLOOKUP(B768,Table_Respons_Loket[Count],Table_Respons_Loket[Time Stamp]),"")</f>
        <v>45597.62911</v>
      </c>
      <c r="F768" s="18" t="str">
        <f t="array" ref="F768">IFNA(_xlfn.XLOOKUP(B768,Table_Respons_Loket[Count],Table_Respons_Loket[Jenis Permohonan]),"")</f>
        <v>Roya</v>
      </c>
      <c r="G768" s="12" t="s">
        <v>48</v>
      </c>
      <c r="H768" s="12" t="s">
        <v>52</v>
      </c>
      <c r="I768" s="22">
        <f t="shared" si="7"/>
        <v>45600.4694</v>
      </c>
      <c r="J768" s="20" t="b">
        <v>0</v>
      </c>
      <c r="K768" s="13" t="str">
        <f t="shared" si="2"/>
        <v/>
      </c>
    </row>
    <row r="769" ht="22.5" customHeight="1">
      <c r="B769" s="13">
        <f t="shared" si="3"/>
        <v>763</v>
      </c>
      <c r="C769" s="15" t="str">
        <f t="array" ref="C769">IFNA(_xlfn.XLOOKUP(B769,Table_Respons_Loket[Count],Table_Respons_Loket[Nomor Tiket]),"")</f>
        <v>K/40/011124/1</v>
      </c>
      <c r="D769" s="15" t="str">
        <f t="array" ref="D769">IFNA(_xlfn.XLOOKUP(B769,Table_Respons_Loket[Count],Table_Respons_Loket[Daftar Nomor Hak]),"")</f>
        <v>M. 551/ Way Halim Permai</v>
      </c>
      <c r="E769" s="17">
        <f t="array" ref="E769">IFNA(_xlfn.XLOOKUP(B769,Table_Respons_Loket[Count],Table_Respons_Loket[Time Stamp]),"")</f>
        <v>45597.63251</v>
      </c>
      <c r="F769" s="18" t="str">
        <f t="array" ref="F769">IFNA(_xlfn.XLOOKUP(B769,Table_Respons_Loket[Count],Table_Respons_Loket[Jenis Permohonan]),"")</f>
        <v>BN Hibah</v>
      </c>
      <c r="G769" s="12" t="s">
        <v>48</v>
      </c>
      <c r="H769" s="12" t="s">
        <v>52</v>
      </c>
      <c r="I769" s="22">
        <f t="shared" si="7"/>
        <v>45600.46965</v>
      </c>
      <c r="J769" s="20" t="b">
        <v>0</v>
      </c>
      <c r="K769" s="13" t="str">
        <f t="shared" si="2"/>
        <v/>
      </c>
    </row>
    <row r="770" ht="22.5" customHeight="1">
      <c r="B770" s="13">
        <f t="shared" si="3"/>
        <v>764</v>
      </c>
      <c r="C770" s="15" t="str">
        <f t="array" ref="C770">IFNA(_xlfn.XLOOKUP(B770,Table_Respons_Loket[Count],Table_Respons_Loket[Nomor Tiket]),"")</f>
        <v>K/41/011124/1</v>
      </c>
      <c r="D770" s="15" t="str">
        <f t="array" ref="D770">IFNA(_xlfn.XLOOKUP(B770,Table_Respons_Loket[Count],Table_Respons_Loket[Daftar Nomor Hak]),"")</f>
        <v>M. 624/ Sukarame</v>
      </c>
      <c r="E770" s="17">
        <f t="array" ref="E770">IFNA(_xlfn.XLOOKUP(B770,Table_Respons_Loket[Count],Table_Respons_Loket[Time Stamp]),"")</f>
        <v>45597.63342</v>
      </c>
      <c r="F770" s="18" t="str">
        <f t="array" ref="F770">IFNA(_xlfn.XLOOKUP(B770,Table_Respons_Loket[Count],Table_Respons_Loket[Jenis Permohonan]),"")</f>
        <v>Pengecekan</v>
      </c>
      <c r="G770" s="24"/>
      <c r="H770" s="24"/>
      <c r="I770" s="22" t="str">
        <f t="shared" si="7"/>
        <v/>
      </c>
      <c r="J770" s="20" t="b">
        <v>0</v>
      </c>
      <c r="K770" s="13" t="str">
        <f t="shared" si="2"/>
        <v/>
      </c>
    </row>
    <row r="771" ht="22.5" customHeight="1">
      <c r="B771" s="13">
        <f t="shared" si="3"/>
        <v>765</v>
      </c>
      <c r="C771" s="15" t="str">
        <f t="array" ref="C771">IFNA(_xlfn.XLOOKUP(B771,Table_Respons_Loket[Count],Table_Respons_Loket[Nomor Tiket]),"")</f>
        <v>K/42/011124/2</v>
      </c>
      <c r="D771" s="15" t="str">
        <f t="array" ref="D771">IFNA(_xlfn.XLOOKUP(B771,Table_Respons_Loket[Count],Table_Respons_Loket[Daftar Nomor Hak]),"")</f>
        <v>M. 379/ Kemiling Permai</v>
      </c>
      <c r="E771" s="17">
        <f t="array" ref="E771">IFNA(_xlfn.XLOOKUP(B771,Table_Respons_Loket[Count],Table_Respons_Loket[Time Stamp]),"")</f>
        <v>45597.63419</v>
      </c>
      <c r="F771" s="18" t="str">
        <f t="array" ref="F771">IFNA(_xlfn.XLOOKUP(B771,Table_Respons_Loket[Count],Table_Respons_Loket[Jenis Permohonan]),"")</f>
        <v>Ploting</v>
      </c>
      <c r="G771" s="24"/>
      <c r="H771" s="24"/>
      <c r="I771" s="22" t="str">
        <f t="shared" si="7"/>
        <v/>
      </c>
      <c r="J771" s="20" t="b">
        <v>0</v>
      </c>
      <c r="K771" s="13" t="str">
        <f t="shared" si="2"/>
        <v/>
      </c>
    </row>
    <row r="772" ht="22.5" customHeight="1">
      <c r="B772" s="13">
        <f t="shared" si="3"/>
        <v>766</v>
      </c>
      <c r="C772" s="15" t="str">
        <f t="array" ref="C772">IFNA(_xlfn.XLOOKUP(B772,Table_Respons_Loket[Count],Table_Respons_Loket[Nomor Tiket]),"")</f>
        <v>K/1/041124/1</v>
      </c>
      <c r="D772" s="15" t="str">
        <f t="array" ref="D772">IFNA(_xlfn.XLOOKUP(B772,Table_Respons_Loket[Count],Table_Respons_Loket[Daftar Nomor Hak]),"")</f>
        <v>M. 2498/ Way Laga</v>
      </c>
      <c r="E772" s="17">
        <f t="array" ref="E772">IFNA(_xlfn.XLOOKUP(B772,Table_Respons_Loket[Count],Table_Respons_Loket[Time Stamp]),"")</f>
        <v>45600.37665</v>
      </c>
      <c r="F772" s="18" t="str">
        <f t="array" ref="F772">IFNA(_xlfn.XLOOKUP(B772,Table_Respons_Loket[Count],Table_Respons_Loket[Jenis Permohonan]),"")</f>
        <v>Hapus BPHTB</v>
      </c>
      <c r="G772" s="24"/>
      <c r="H772" s="24"/>
      <c r="I772" s="22" t="str">
        <f t="shared" si="7"/>
        <v/>
      </c>
      <c r="J772" s="20" t="b">
        <v>0</v>
      </c>
      <c r="K772" s="13" t="str">
        <f t="shared" si="2"/>
        <v/>
      </c>
    </row>
    <row r="773" ht="22.5" customHeight="1">
      <c r="B773" s="13">
        <f t="shared" si="3"/>
        <v>767</v>
      </c>
      <c r="C773" s="15" t="str">
        <f t="array" ref="C773">IFNA(_xlfn.XLOOKUP(B773,Table_Respons_Loket[Count],Table_Respons_Loket[Nomor Tiket]),"")</f>
        <v>K/2/041125/1</v>
      </c>
      <c r="D773" s="15" t="str">
        <f t="array" ref="D773">IFNA(_xlfn.XLOOKUP(B773,Table_Respons_Loket[Count],Table_Respons_Loket[Daftar Nomor Hak]),"")</f>
        <v>M. 1233/ Talang</v>
      </c>
      <c r="E773" s="17">
        <f t="array" ref="E773">IFNA(_xlfn.XLOOKUP(B773,Table_Respons_Loket[Count],Table_Respons_Loket[Time Stamp]),"")</f>
        <v>45600.39408</v>
      </c>
      <c r="F773" s="18" t="str">
        <f t="array" ref="F773">IFNA(_xlfn.XLOOKUP(B773,Table_Respons_Loket[Count],Table_Respons_Loket[Jenis Permohonan]),"")</f>
        <v>ROYA</v>
      </c>
      <c r="G773" s="12" t="s">
        <v>48</v>
      </c>
      <c r="H773" s="12" t="s">
        <v>52</v>
      </c>
      <c r="I773" s="22">
        <f t="shared" si="7"/>
        <v>45600.46985</v>
      </c>
      <c r="J773" s="20" t="b">
        <v>0</v>
      </c>
      <c r="K773" s="13" t="str">
        <f t="shared" si="2"/>
        <v/>
      </c>
    </row>
    <row r="774" ht="22.5" customHeight="1">
      <c r="B774" s="13">
        <f t="shared" si="3"/>
        <v>768</v>
      </c>
      <c r="C774" s="15" t="str">
        <f t="array" ref="C774">IFNA(_xlfn.XLOOKUP(B774,Table_Respons_Loket[Count],Table_Respons_Loket[Nomor Tiket]),"")</f>
        <v>K/3/041124/1</v>
      </c>
      <c r="D774" s="15" t="str">
        <f t="array" ref="D774">IFNA(_xlfn.XLOOKUP(B774,Table_Respons_Loket[Count],Table_Respons_Loket[Daftar Nomor Hak]),"")</f>
        <v>M. 1357/ KETEGUHAN</v>
      </c>
      <c r="E774" s="17">
        <f t="array" ref="E774">IFNA(_xlfn.XLOOKUP(B774,Table_Respons_Loket[Count],Table_Respons_Loket[Time Stamp]),"")</f>
        <v>45600.4067</v>
      </c>
      <c r="F774" s="18" t="str">
        <f t="array" ref="F774">IFNA(_xlfn.XLOOKUP(B774,Table_Respons_Loket[Count],Table_Respons_Loket[Jenis Permohonan]),"")</f>
        <v>GANTI KELURAHAN</v>
      </c>
      <c r="G774" s="24"/>
      <c r="H774" s="24"/>
      <c r="I774" s="22" t="str">
        <f t="shared" si="7"/>
        <v/>
      </c>
      <c r="J774" s="20" t="b">
        <v>0</v>
      </c>
      <c r="K774" s="13" t="str">
        <f t="shared" si="2"/>
        <v/>
      </c>
    </row>
    <row r="775" ht="22.5" customHeight="1">
      <c r="B775" s="13">
        <f t="shared" si="3"/>
        <v>769</v>
      </c>
      <c r="C775" s="15" t="str">
        <f t="array" ref="C775">IFNA(_xlfn.XLOOKUP(B775,Table_Respons_Loket[Count],Table_Respons_Loket[Nomor Tiket]),"")</f>
        <v>K/4/041124/1</v>
      </c>
      <c r="D775" s="15" t="str">
        <f t="array" ref="D775">IFNA(_xlfn.XLOOKUP(B775,Table_Respons_Loket[Count],Table_Respons_Loket[Daftar Nomor Hak]),"")</f>
        <v>M. 6423/ Gunung Sulah</v>
      </c>
      <c r="E775" s="17">
        <f t="array" ref="E775">IFNA(_xlfn.XLOOKUP(B775,Table_Respons_Loket[Count],Table_Respons_Loket[Time Stamp]),"")</f>
        <v>45600.41211</v>
      </c>
      <c r="F775" s="18" t="str">
        <f t="array" ref="F775">IFNA(_xlfn.XLOOKUP(B775,Table_Respons_Loket[Count],Table_Respons_Loket[Jenis Permohonan]),"")</f>
        <v>BN Hibah</v>
      </c>
      <c r="G775" s="12" t="s">
        <v>48</v>
      </c>
      <c r="H775" s="12" t="s">
        <v>47</v>
      </c>
      <c r="I775" s="22" t="str">
        <f t="shared" si="7"/>
        <v/>
      </c>
      <c r="J775" s="20" t="b">
        <v>0</v>
      </c>
      <c r="K775" s="13" t="str">
        <f t="shared" si="2"/>
        <v/>
      </c>
    </row>
    <row r="776" ht="22.5" customHeight="1">
      <c r="B776" s="13">
        <f t="shared" si="3"/>
        <v>770</v>
      </c>
      <c r="C776" s="15" t="str">
        <f t="array" ref="C776">IFNA(_xlfn.XLOOKUP(B776,Table_Respons_Loket[Count],Table_Respons_Loket[Nomor Tiket]),"")</f>
        <v>K/5/041124/1</v>
      </c>
      <c r="D776" s="15" t="str">
        <f t="array" ref="D776">IFNA(_xlfn.XLOOKUP(B776,Table_Respons_Loket[Count],Table_Respons_Loket[Daftar Nomor Hak]),"")</f>
        <v>M. 2126/ Kangkung</v>
      </c>
      <c r="E776" s="17">
        <f t="array" ref="E776">IFNA(_xlfn.XLOOKUP(B776,Table_Respons_Loket[Count],Table_Respons_Loket[Time Stamp]),"")</f>
        <v>45600.41966</v>
      </c>
      <c r="F776" s="18" t="str">
        <f t="array" ref="F776">IFNA(_xlfn.XLOOKUP(B776,Table_Respons_Loket[Count],Table_Respons_Loket[Jenis Permohonan]),"")</f>
        <v>BN Waris</v>
      </c>
      <c r="G776" s="12" t="s">
        <v>50</v>
      </c>
      <c r="H776" s="12" t="s">
        <v>47</v>
      </c>
      <c r="I776" s="22" t="str">
        <f t="shared" si="7"/>
        <v/>
      </c>
      <c r="J776" s="20" t="b">
        <v>0</v>
      </c>
      <c r="K776" s="13" t="str">
        <f t="shared" si="2"/>
        <v/>
      </c>
    </row>
    <row r="777" ht="22.5" customHeight="1">
      <c r="B777" s="13">
        <f t="shared" si="3"/>
        <v>771</v>
      </c>
      <c r="C777" s="15" t="str">
        <f t="array" ref="C777">IFNA(_xlfn.XLOOKUP(B777,Table_Respons_Loket[Count],Table_Respons_Loket[Nomor Tiket]),"")</f>
        <v>K/6/041124/1</v>
      </c>
      <c r="D777" s="15" t="str">
        <f t="array" ref="D777">IFNA(_xlfn.XLOOKUP(B777,Table_Respons_Loket[Count],Table_Respons_Loket[Daftar Nomor Hak]),"")</f>
        <v>M. 746/ JAGABAYA III</v>
      </c>
      <c r="E777" s="17">
        <f t="array" ref="E777">IFNA(_xlfn.XLOOKUP(B777,Table_Respons_Loket[Count],Table_Respons_Loket[Time Stamp]),"")</f>
        <v>45600.42169</v>
      </c>
      <c r="F777" s="18" t="str">
        <f t="array" ref="F777">IFNA(_xlfn.XLOOKUP(B777,Table_Respons_Loket[Count],Table_Respons_Loket[Jenis Permohonan]),"")</f>
        <v>PLOTTING</v>
      </c>
      <c r="G777" s="24"/>
      <c r="H777" s="24"/>
      <c r="I777" s="22" t="str">
        <f t="shared" si="7"/>
        <v/>
      </c>
      <c r="J777" s="20" t="b">
        <v>0</v>
      </c>
      <c r="K777" s="13" t="str">
        <f t="shared" si="2"/>
        <v/>
      </c>
    </row>
    <row r="778" ht="22.5" customHeight="1">
      <c r="B778" s="13">
        <f t="shared" si="3"/>
        <v>772</v>
      </c>
      <c r="C778" s="15" t="str">
        <f t="array" ref="C778">IFNA(_xlfn.XLOOKUP(B778,Table_Respons_Loket[Count],Table_Respons_Loket[Nomor Tiket]),"")</f>
        <v>K/7/041124/2</v>
      </c>
      <c r="D778" s="15" t="str">
        <f t="array" ref="D778">IFNA(_xlfn.XLOOKUP(B778,Table_Respons_Loket[Count],Table_Respons_Loket[Daftar Nomor Hak]),"")</f>
        <v>M. 4993/ TANJUNG SENENG</v>
      </c>
      <c r="E778" s="17">
        <f t="array" ref="E778">IFNA(_xlfn.XLOOKUP(B778,Table_Respons_Loket[Count],Table_Respons_Loket[Time Stamp]),"")</f>
        <v>45600.42472</v>
      </c>
      <c r="F778" s="18" t="str">
        <f t="array" ref="F778">IFNA(_xlfn.XLOOKUP(B778,Table_Respons_Loket[Count],Table_Respons_Loket[Jenis Permohonan]),"")</f>
        <v>GANTI KECAMATAN</v>
      </c>
      <c r="G778" s="24"/>
      <c r="H778" s="24"/>
      <c r="I778" s="22" t="str">
        <f t="shared" si="7"/>
        <v/>
      </c>
      <c r="J778" s="20" t="b">
        <v>0</v>
      </c>
      <c r="K778" s="13" t="str">
        <f t="shared" si="2"/>
        <v/>
      </c>
    </row>
    <row r="779" ht="22.5" customHeight="1">
      <c r="B779" s="13">
        <f t="shared" si="3"/>
        <v>773</v>
      </c>
      <c r="C779" s="15" t="str">
        <f t="array" ref="C779">IFNA(_xlfn.XLOOKUP(B779,Table_Respons_Loket[Count],Table_Respons_Loket[Nomor Tiket]),"")</f>
        <v>L/63/311024/1</v>
      </c>
      <c r="D779" s="15" t="str">
        <f t="array" ref="D779">IFNA(_xlfn.XLOOKUP(B779,Table_Respons_Loket[Count],Table_Respons_Loket[Daftar Nomor Hak]),"")</f>
        <v>B.764/WAY KANDIS</v>
      </c>
      <c r="E779" s="17">
        <f t="array" ref="E779">IFNA(_xlfn.XLOOKUP(B779,Table_Respons_Loket[Count],Table_Respons_Loket[Time Stamp]),"")</f>
        <v>45600.4279</v>
      </c>
      <c r="F779" s="18" t="str">
        <f t="array" ref="F779">IFNA(_xlfn.XLOOKUP(B779,Table_Respons_Loket[Count],Table_Respons_Loket[Jenis Permohonan]),"")</f>
        <v>ROYA</v>
      </c>
      <c r="G779" s="12" t="s">
        <v>50</v>
      </c>
      <c r="H779" s="12" t="s">
        <v>52</v>
      </c>
      <c r="I779" s="22">
        <f t="shared" si="7"/>
        <v>45601.68142</v>
      </c>
      <c r="J779" s="20" t="b">
        <v>0</v>
      </c>
      <c r="K779" s="13" t="str">
        <f t="shared" si="2"/>
        <v/>
      </c>
    </row>
    <row r="780" ht="22.5" customHeight="1">
      <c r="B780" s="13">
        <f t="shared" si="3"/>
        <v>774</v>
      </c>
      <c r="C780" s="15" t="str">
        <f t="array" ref="C780">IFNA(_xlfn.XLOOKUP(B780,Table_Respons_Loket[Count],Table_Respons_Loket[Nomor Tiket]),"")</f>
        <v>K/9/041124/1</v>
      </c>
      <c r="D780" s="15" t="str">
        <f t="array" ref="D780">IFNA(_xlfn.XLOOKUP(B780,Table_Respons_Loket[Count],Table_Respons_Loket[Daftar Nomor Hak]),"")</f>
        <v>IBEL B.640/CAMPANG RAYA</v>
      </c>
      <c r="E780" s="17">
        <f t="array" ref="E780">IFNA(_xlfn.XLOOKUP(B780,Table_Respons_Loket[Count],Table_Respons_Loket[Time Stamp]),"")</f>
        <v>45600.4292</v>
      </c>
      <c r="F780" s="18" t="str">
        <f t="array" ref="F780">IFNA(_xlfn.XLOOKUP(B780,Table_Respons_Loket[Count],Table_Respons_Loket[Jenis Permohonan]),"")</f>
        <v>BN JUAL BELI</v>
      </c>
      <c r="G780" s="24"/>
      <c r="H780" s="24"/>
      <c r="I780" s="22" t="str">
        <f t="shared" si="7"/>
        <v/>
      </c>
      <c r="J780" s="20" t="b">
        <v>0</v>
      </c>
      <c r="K780" s="13" t="str">
        <f t="shared" si="2"/>
        <v/>
      </c>
    </row>
    <row r="781" ht="22.5" customHeight="1">
      <c r="B781" s="13">
        <f t="shared" si="3"/>
        <v>775</v>
      </c>
      <c r="C781" s="15" t="str">
        <f t="array" ref="C781">IFNA(_xlfn.XLOOKUP(B781,Table_Respons_Loket[Count],Table_Respons_Loket[Nomor Tiket]),"")</f>
        <v>K/10/041124/2</v>
      </c>
      <c r="D781" s="15" t="str">
        <f t="array" ref="D781">IFNA(_xlfn.XLOOKUP(B781,Table_Respons_Loket[Count],Table_Respons_Loket[Daftar Nomor Hak]),"")</f>
        <v>NIBEL B.506/GUNUNG SULAH</v>
      </c>
      <c r="E781" s="17">
        <f t="array" ref="E781">IFNA(_xlfn.XLOOKUP(B781,Table_Respons_Loket[Count],Table_Respons_Loket[Time Stamp]),"")</f>
        <v>45600.43012</v>
      </c>
      <c r="F781" s="18" t="str">
        <f t="array" ref="F781">IFNA(_xlfn.XLOOKUP(B781,Table_Respons_Loket[Count],Table_Respons_Loket[Jenis Permohonan]),"")</f>
        <v>BN JUAL BELI</v>
      </c>
      <c r="G781" s="24"/>
      <c r="H781" s="24"/>
      <c r="I781" s="22" t="str">
        <f t="shared" si="7"/>
        <v/>
      </c>
      <c r="J781" s="20" t="b">
        <v>0</v>
      </c>
      <c r="K781" s="13" t="str">
        <f t="shared" si="2"/>
        <v/>
      </c>
    </row>
    <row r="782" ht="22.5" customHeight="1">
      <c r="B782" s="13">
        <f t="shared" si="3"/>
        <v>776</v>
      </c>
      <c r="C782" s="15" t="str">
        <f t="array" ref="C782">IFNA(_xlfn.XLOOKUP(B782,Table_Respons_Loket[Count],Table_Respons_Loket[Nomor Tiket]),"")</f>
        <v>K/12/041124/3</v>
      </c>
      <c r="D782" s="15" t="str">
        <f t="array" ref="D782">IFNA(_xlfn.XLOOKUP(B782,Table_Respons_Loket[Count],Table_Respons_Loket[Daftar Nomor Hak]),"")</f>
        <v>NIBEL B.508/GUNUNG SULAH</v>
      </c>
      <c r="E782" s="17">
        <f t="array" ref="E782">IFNA(_xlfn.XLOOKUP(B782,Table_Respons_Loket[Count],Table_Respons_Loket[Time Stamp]),"")</f>
        <v>45600.43876</v>
      </c>
      <c r="F782" s="18" t="str">
        <f t="array" ref="F782">IFNA(_xlfn.XLOOKUP(B782,Table_Respons_Loket[Count],Table_Respons_Loket[Jenis Permohonan]),"")</f>
        <v>BN JUAL BELI </v>
      </c>
      <c r="G782" s="24"/>
      <c r="H782" s="24"/>
      <c r="I782" s="22" t="str">
        <f t="shared" si="7"/>
        <v/>
      </c>
      <c r="J782" s="20" t="b">
        <v>0</v>
      </c>
      <c r="K782" s="13" t="str">
        <f t="shared" si="2"/>
        <v/>
      </c>
    </row>
    <row r="783" ht="22.5" customHeight="1">
      <c r="B783" s="13">
        <f t="shared" si="3"/>
        <v>777</v>
      </c>
      <c r="C783" s="15" t="str">
        <f t="array" ref="C783">IFNA(_xlfn.XLOOKUP(B783,Table_Respons_Loket[Count],Table_Respons_Loket[Nomor Tiket]),"")</f>
        <v>K/13/041124/4</v>
      </c>
      <c r="D783" s="15" t="str">
        <f t="array" ref="D783">IFNA(_xlfn.XLOOKUP(B783,Table_Respons_Loket[Count],Table_Respons_Loket[Daftar Nomor Hak]),"")</f>
        <v>NIBEL B.507/GUNUNG SULAH</v>
      </c>
      <c r="E783" s="17">
        <f t="array" ref="E783">IFNA(_xlfn.XLOOKUP(B783,Table_Respons_Loket[Count],Table_Respons_Loket[Time Stamp]),"")</f>
        <v>45600.43984</v>
      </c>
      <c r="F783" s="18" t="str">
        <f t="array" ref="F783">IFNA(_xlfn.XLOOKUP(B783,Table_Respons_Loket[Count],Table_Respons_Loket[Jenis Permohonan]),"")</f>
        <v>BN JUAL BELI</v>
      </c>
      <c r="G783" s="24"/>
      <c r="H783" s="24"/>
      <c r="I783" s="22" t="str">
        <f t="shared" si="7"/>
        <v/>
      </c>
      <c r="J783" s="20" t="b">
        <v>0</v>
      </c>
      <c r="K783" s="13" t="str">
        <f t="shared" si="2"/>
        <v/>
      </c>
    </row>
    <row r="784" ht="22.5" customHeight="1">
      <c r="B784" s="13">
        <f t="shared" si="3"/>
        <v>778</v>
      </c>
      <c r="C784" s="15" t="str">
        <f t="array" ref="C784">IFNA(_xlfn.XLOOKUP(B784,Table_Respons_Loket[Count],Table_Respons_Loket[Nomor Tiket]),"")</f>
        <v>K/8/041124/1</v>
      </c>
      <c r="D784" s="15" t="str">
        <f t="array" ref="D784">IFNA(_xlfn.XLOOKUP(B784,Table_Respons_Loket[Count],Table_Respons_Loket[Daftar Nomor Hak]),"")</f>
        <v>M. 3227/ TANJUNG SENENG</v>
      </c>
      <c r="E784" s="17">
        <f t="array" ref="E784">IFNA(_xlfn.XLOOKUP(B784,Table_Respons_Loket[Count],Table_Respons_Loket[Time Stamp]),"")</f>
        <v>45600.44639</v>
      </c>
      <c r="F784" s="18" t="str">
        <f t="array" ref="F784">IFNA(_xlfn.XLOOKUP(B784,Table_Respons_Loket[Count],Table_Respons_Loket[Jenis Permohonan]),"")</f>
        <v>BN WARIS</v>
      </c>
      <c r="G784" s="12" t="s">
        <v>50</v>
      </c>
      <c r="H784" s="12" t="s">
        <v>52</v>
      </c>
      <c r="I784" s="22">
        <f t="shared" si="7"/>
        <v>45601.68181</v>
      </c>
      <c r="J784" s="20" t="b">
        <v>0</v>
      </c>
      <c r="K784" s="13" t="str">
        <f t="shared" si="2"/>
        <v/>
      </c>
    </row>
    <row r="785" ht="22.5" customHeight="1">
      <c r="B785" s="13">
        <f t="shared" si="3"/>
        <v>779</v>
      </c>
      <c r="C785" s="15" t="str">
        <f t="array" ref="C785">IFNA(_xlfn.XLOOKUP(B785,Table_Respons_Loket[Count],Table_Respons_Loket[Nomor Tiket]),"")</f>
        <v>L/15/041131/1</v>
      </c>
      <c r="D785" s="15" t="str">
        <f t="array" ref="D785">IFNA(_xlfn.XLOOKUP(B785,Table_Respons_Loket[Count],Table_Respons_Loket[Daftar Nomor Hak]),"")</f>
        <v>M.24/NUSANTARA PERMAI-SEKARANG; M.32/CAMPANG RAYA -DAHULU</v>
      </c>
      <c r="E785" s="17">
        <f t="array" ref="E785">IFNA(_xlfn.XLOOKUP(B785,Table_Respons_Loket[Count],Table_Respons_Loket[Time Stamp]),"")</f>
        <v>45600.45175</v>
      </c>
      <c r="F785" s="18" t="str">
        <f t="array" ref="F785">IFNA(_xlfn.XLOOKUP(B785,Table_Respons_Loket[Count],Table_Respons_Loket[Jenis Permohonan]),"")</f>
        <v>ROYA</v>
      </c>
      <c r="G785" s="12" t="s">
        <v>50</v>
      </c>
      <c r="H785" s="12" t="s">
        <v>52</v>
      </c>
      <c r="I785" s="22">
        <f t="shared" si="7"/>
        <v>45601.6822</v>
      </c>
      <c r="J785" s="20" t="b">
        <v>0</v>
      </c>
      <c r="K785" s="13" t="str">
        <f t="shared" si="2"/>
        <v/>
      </c>
    </row>
    <row r="786" ht="22.5" customHeight="1">
      <c r="B786" s="13">
        <f t="shared" si="3"/>
        <v>780</v>
      </c>
      <c r="C786" s="15" t="str">
        <f t="array" ref="C786">IFNA(_xlfn.XLOOKUP(B786,Table_Respons_Loket[Count],Table_Respons_Loket[Nomor Tiket]),"")</f>
        <v>L/16/041132/1</v>
      </c>
      <c r="D786" s="15" t="str">
        <f t="array" ref="D786">IFNA(_xlfn.XLOOKUP(B786,Table_Respons_Loket[Count],Table_Respons_Loket[Daftar Nomor Hak]),"")</f>
        <v>B.4891 / BERINGIN RAYA</v>
      </c>
      <c r="E786" s="17">
        <f t="array" ref="E786">IFNA(_xlfn.XLOOKUP(B786,Table_Respons_Loket[Count],Table_Respons_Loket[Time Stamp]),"")</f>
        <v>45600.46072</v>
      </c>
      <c r="F786" s="18" t="str">
        <f t="array" ref="F786">IFNA(_xlfn.XLOOKUP(B786,Table_Respons_Loket[Count],Table_Respons_Loket[Jenis Permohonan]),"")</f>
        <v>PERUBAHAN HAK</v>
      </c>
      <c r="G786" s="12" t="s">
        <v>50</v>
      </c>
      <c r="H786" s="12" t="s">
        <v>52</v>
      </c>
      <c r="I786" s="22">
        <f t="shared" si="7"/>
        <v>45601.68255</v>
      </c>
      <c r="J786" s="20" t="b">
        <v>0</v>
      </c>
      <c r="K786" s="13" t="str">
        <f t="shared" si="2"/>
        <v/>
      </c>
    </row>
    <row r="787" ht="22.5" customHeight="1">
      <c r="B787" s="13">
        <f t="shared" si="3"/>
        <v>781</v>
      </c>
      <c r="C787" s="15" t="str">
        <f t="array" ref="C787">IFNA(_xlfn.XLOOKUP(B787,Table_Respons_Loket[Count],Table_Respons_Loket[Nomor Tiket]),"")</f>
        <v>K/18/041124/1</v>
      </c>
      <c r="D787" s="15" t="str">
        <f t="array" ref="D787">IFNA(_xlfn.XLOOKUP(B787,Table_Respons_Loket[Count],Table_Respons_Loket[Daftar Nomor Hak]),"")</f>
        <v>M. 2289/ Perumnas Way Halim</v>
      </c>
      <c r="E787" s="17">
        <f t="array" ref="E787">IFNA(_xlfn.XLOOKUP(B787,Table_Respons_Loket[Count],Table_Respons_Loket[Time Stamp]),"")</f>
        <v>45600.47041</v>
      </c>
      <c r="F787" s="18" t="str">
        <f t="array" ref="F787">IFNA(_xlfn.XLOOKUP(B787,Table_Respons_Loket[Count],Table_Respons_Loket[Jenis Permohonan]),"")</f>
        <v>BN Jual Beli</v>
      </c>
      <c r="G787" s="12" t="s">
        <v>50</v>
      </c>
      <c r="H787" s="12" t="s">
        <v>47</v>
      </c>
      <c r="I787" s="22" t="str">
        <f t="shared" si="7"/>
        <v/>
      </c>
      <c r="J787" s="20" t="b">
        <v>0</v>
      </c>
      <c r="K787" s="13" t="str">
        <f t="shared" si="2"/>
        <v/>
      </c>
    </row>
    <row r="788" ht="22.5" customHeight="1">
      <c r="B788" s="13">
        <f t="shared" si="3"/>
        <v>782</v>
      </c>
      <c r="C788" s="15" t="str">
        <f t="array" ref="C788">IFNA(_xlfn.XLOOKUP(B788,Table_Respons_Loket[Count],Table_Respons_Loket[Nomor Tiket]),"")</f>
        <v>K/11/041124/1</v>
      </c>
      <c r="D788" s="15" t="str">
        <f t="array" ref="D788">IFNA(_xlfn.XLOOKUP(B788,Table_Respons_Loket[Count],Table_Respons_Loket[Daftar Nomor Hak]),"")</f>
        <v>M. 1346/ Sumberrejo</v>
      </c>
      <c r="E788" s="17">
        <f t="array" ref="E788">IFNA(_xlfn.XLOOKUP(B788,Table_Respons_Loket[Count],Table_Respons_Loket[Time Stamp]),"")</f>
        <v>45600.47428</v>
      </c>
      <c r="F788" s="18" t="str">
        <f t="array" ref="F788">IFNA(_xlfn.XLOOKUP(B788,Table_Respons_Loket[Count],Table_Respons_Loket[Jenis Permohonan]),"")</f>
        <v>BN Jual Beli</v>
      </c>
      <c r="G788" s="12" t="s">
        <v>50</v>
      </c>
      <c r="H788" s="12" t="s">
        <v>47</v>
      </c>
      <c r="I788" s="22" t="str">
        <f t="shared" si="7"/>
        <v/>
      </c>
      <c r="J788" s="20" t="b">
        <v>0</v>
      </c>
      <c r="K788" s="13" t="str">
        <f t="shared" si="2"/>
        <v/>
      </c>
    </row>
    <row r="789" ht="22.5" customHeight="1">
      <c r="B789" s="13">
        <f t="shared" si="3"/>
        <v>783</v>
      </c>
      <c r="C789" s="15" t="str">
        <f t="array" ref="C789">IFNA(_xlfn.XLOOKUP(B789,Table_Respons_Loket[Count],Table_Respons_Loket[Nomor Tiket]),"")</f>
        <v>K/21/041124/1</v>
      </c>
      <c r="D789" s="15" t="str">
        <f t="array" ref="D789">IFNA(_xlfn.XLOOKUP(B789,Table_Respons_Loket[Count],Table_Respons_Loket[Daftar Nomor Hak]),"")</f>
        <v>M.1031/NEGERI OLOK GADING-SEKARANG;B.975/NEGERI OLOK GADING-DAHULU</v>
      </c>
      <c r="E789" s="17">
        <f t="array" ref="E789">IFNA(_xlfn.XLOOKUP(B789,Table_Respons_Loket[Count],Table_Respons_Loket[Time Stamp]),"")</f>
        <v>45600.47746</v>
      </c>
      <c r="F789" s="18" t="str">
        <f t="array" ref="F789">IFNA(_xlfn.XLOOKUP(B789,Table_Respons_Loket[Count],Table_Respons_Loket[Jenis Permohonan]),"")</f>
        <v>BN JUAL BELI</v>
      </c>
      <c r="G789" s="12" t="s">
        <v>50</v>
      </c>
      <c r="H789" s="12" t="s">
        <v>52</v>
      </c>
      <c r="I789" s="22">
        <f t="shared" si="7"/>
        <v>45601.68313</v>
      </c>
      <c r="J789" s="20" t="b">
        <v>0</v>
      </c>
      <c r="K789" s="13" t="str">
        <f t="shared" si="2"/>
        <v/>
      </c>
    </row>
    <row r="790" ht="22.5" customHeight="1">
      <c r="B790" s="13">
        <f t="shared" si="3"/>
        <v>784</v>
      </c>
      <c r="C790" s="15" t="str">
        <f t="array" ref="C790">IFNA(_xlfn.XLOOKUP(B790,Table_Respons_Loket[Count],Table_Respons_Loket[Nomor Tiket]),"")</f>
        <v>L/24/041124/1</v>
      </c>
      <c r="D790" s="15" t="str">
        <f t="array" ref="D790">IFNA(_xlfn.XLOOKUP(B790,Table_Respons_Loket[Count],Table_Respons_Loket[Daftar Nomor Hak]),"")</f>
        <v>M.11580/SEGALA MIDER</v>
      </c>
      <c r="E790" s="17">
        <f t="array" ref="E790">IFNA(_xlfn.XLOOKUP(B790,Table_Respons_Loket[Count],Table_Respons_Loket[Time Stamp]),"")</f>
        <v>45600.48432</v>
      </c>
      <c r="F790" s="18" t="str">
        <f t="array" ref="F790">IFNA(_xlfn.XLOOKUP(B790,Table_Respons_Loket[Count],Table_Respons_Loket[Jenis Permohonan]),"")</f>
        <v>ROYA</v>
      </c>
      <c r="G790" s="12" t="s">
        <v>50</v>
      </c>
      <c r="H790" s="12" t="s">
        <v>52</v>
      </c>
      <c r="I790" s="22">
        <f t="shared" si="7"/>
        <v>45601.68348</v>
      </c>
      <c r="J790" s="20" t="b">
        <v>0</v>
      </c>
      <c r="K790" s="13" t="str">
        <f t="shared" si="2"/>
        <v/>
      </c>
    </row>
    <row r="791" ht="22.5" customHeight="1">
      <c r="B791" s="13">
        <f t="shared" si="3"/>
        <v>785</v>
      </c>
      <c r="C791" s="15" t="str">
        <f t="array" ref="C791">IFNA(_xlfn.XLOOKUP(B791,Table_Respons_Loket[Count],Table_Respons_Loket[Nomor Tiket]),"")</f>
        <v>K/22/041124/2</v>
      </c>
      <c r="D791" s="15" t="str">
        <f t="array" ref="D791">IFNA(_xlfn.XLOOKUP(B791,Table_Respons_Loket[Count],Table_Respons_Loket[Daftar Nomor Hak]),"")</f>
        <v>M.2660/SUMBER AGUNG-SEKARANG;M.90/BERINGIN RAYA-DAHULU</v>
      </c>
      <c r="E791" s="17">
        <f t="array" ref="E791">IFNA(_xlfn.XLOOKUP(B791,Table_Respons_Loket[Count],Table_Respons_Loket[Time Stamp]),"")</f>
        <v>45600.48712</v>
      </c>
      <c r="F791" s="18" t="str">
        <f t="array" ref="F791">IFNA(_xlfn.XLOOKUP(B791,Table_Respons_Loket[Count],Table_Respons_Loket[Jenis Permohonan]),"")</f>
        <v>BN JUAL BELI</v>
      </c>
      <c r="G791" s="12" t="s">
        <v>50</v>
      </c>
      <c r="H791" s="12" t="s">
        <v>52</v>
      </c>
      <c r="I791" s="22">
        <f t="shared" si="7"/>
        <v>45604.60962</v>
      </c>
      <c r="J791" s="20" t="b">
        <v>0</v>
      </c>
      <c r="K791" s="13" t="str">
        <f t="shared" si="2"/>
        <v/>
      </c>
    </row>
    <row r="792" ht="22.5" customHeight="1">
      <c r="B792" s="13">
        <f t="shared" si="3"/>
        <v>786</v>
      </c>
      <c r="C792" s="15" t="str">
        <f t="array" ref="C792">IFNA(_xlfn.XLOOKUP(B792,Table_Respons_Loket[Count],Table_Respons_Loket[Nomor Tiket]),"")</f>
        <v>K/23/041124/3</v>
      </c>
      <c r="D792" s="15" t="str">
        <f t="array" ref="D792">IFNA(_xlfn.XLOOKUP(B792,Table_Respons_Loket[Count],Table_Respons_Loket[Daftar Nomor Hak]),"")</f>
        <v>NIBEL B.3071.1/KETEGUHAN</v>
      </c>
      <c r="E792" s="17">
        <f t="array" ref="E792">IFNA(_xlfn.XLOOKUP(B792,Table_Respons_Loket[Count],Table_Respons_Loket[Time Stamp]),"")</f>
        <v>45600.48878</v>
      </c>
      <c r="F792" s="18" t="str">
        <f t="array" ref="F792">IFNA(_xlfn.XLOOKUP(B792,Table_Respons_Loket[Count],Table_Respons_Loket[Jenis Permohonan]),"")</f>
        <v>BN JUAL BELI</v>
      </c>
      <c r="G792" s="24"/>
      <c r="H792" s="24"/>
      <c r="I792" s="22" t="str">
        <f t="shared" si="7"/>
        <v/>
      </c>
      <c r="J792" s="20" t="b">
        <v>0</v>
      </c>
      <c r="K792" s="13" t="str">
        <f t="shared" si="2"/>
        <v/>
      </c>
    </row>
    <row r="793" ht="22.5" customHeight="1">
      <c r="B793" s="13">
        <f t="shared" si="3"/>
        <v>787</v>
      </c>
      <c r="C793" s="15" t="str">
        <f t="array" ref="C793">IFNA(_xlfn.XLOOKUP(B793,Table_Respons_Loket[Count],Table_Respons_Loket[Nomor Tiket]),"")</f>
        <v>K/25/041124/1</v>
      </c>
      <c r="D793" s="15" t="str">
        <f t="array" ref="D793">IFNA(_xlfn.XLOOKUP(B793,Table_Respons_Loket[Count],Table_Respons_Loket[Daftar Nomor Hak]),"")</f>
        <v>M. 3488/ Kota Baru</v>
      </c>
      <c r="E793" s="17">
        <f t="array" ref="E793">IFNA(_xlfn.XLOOKUP(B793,Table_Respons_Loket[Count],Table_Respons_Loket[Time Stamp]),"")</f>
        <v>45600.4891</v>
      </c>
      <c r="F793" s="18" t="str">
        <f t="array" ref="F793">IFNA(_xlfn.XLOOKUP(B793,Table_Respons_Loket[Count],Table_Respons_Loket[Jenis Permohonan]),"")</f>
        <v>BN JUAL BELI</v>
      </c>
      <c r="G793" s="12" t="s">
        <v>50</v>
      </c>
      <c r="H793" s="12" t="s">
        <v>52</v>
      </c>
      <c r="I793" s="22">
        <f t="shared" si="7"/>
        <v>45601.68391</v>
      </c>
      <c r="J793" s="20" t="b">
        <v>0</v>
      </c>
      <c r="K793" s="13" t="str">
        <f t="shared" si="2"/>
        <v/>
      </c>
    </row>
    <row r="794" ht="22.5" customHeight="1">
      <c r="B794" s="13">
        <f t="shared" si="3"/>
        <v>788</v>
      </c>
      <c r="C794" s="15" t="str">
        <f t="array" ref="C794">IFNA(_xlfn.XLOOKUP(B794,Table_Respons_Loket[Count],Table_Respons_Loket[Nomor Tiket]),"")</f>
        <v>L/30/041124/1</v>
      </c>
      <c r="D794" s="15" t="str">
        <f t="array" ref="D794">IFNA(_xlfn.XLOOKUP(B794,Table_Respons_Loket[Count],Table_Respons_Loket[Daftar Nomor Hak]),"")</f>
        <v>M.13763/RAJABASA</v>
      </c>
      <c r="E794" s="17">
        <f t="array" ref="E794">IFNA(_xlfn.XLOOKUP(B794,Table_Respons_Loket[Count],Table_Respons_Loket[Time Stamp]),"")</f>
        <v>45600.49276</v>
      </c>
      <c r="F794" s="18" t="str">
        <f t="array" ref="F794">IFNA(_xlfn.XLOOKUP(B794,Table_Respons_Loket[Count],Table_Respons_Loket[Jenis Permohonan]),"")</f>
        <v>ROYA</v>
      </c>
      <c r="G794" s="12" t="s">
        <v>50</v>
      </c>
      <c r="H794" s="12" t="s">
        <v>52</v>
      </c>
      <c r="I794" s="22">
        <f t="shared" si="7"/>
        <v>45601.68419</v>
      </c>
      <c r="J794" s="20" t="b">
        <v>0</v>
      </c>
      <c r="K794" s="13" t="str">
        <f t="shared" si="2"/>
        <v/>
      </c>
    </row>
    <row r="795" ht="22.5" customHeight="1">
      <c r="B795" s="13">
        <f t="shared" si="3"/>
        <v>789</v>
      </c>
      <c r="C795" s="15" t="str">
        <f t="array" ref="C795">IFNA(_xlfn.XLOOKUP(B795,Table_Respons_Loket[Count],Table_Respons_Loket[Nomor Tiket]),"")</f>
        <v>K/26/041124/2</v>
      </c>
      <c r="D795" s="15" t="str">
        <f t="array" ref="D795">IFNA(_xlfn.XLOOKUP(B795,Table_Respons_Loket[Count],Table_Respons_Loket[Daftar Nomor Hak]),"")</f>
        <v>Nibel 2271/ Way Halim Permai</v>
      </c>
      <c r="E795" s="17">
        <f t="array" ref="E795">IFNA(_xlfn.XLOOKUP(B795,Table_Respons_Loket[Count],Table_Respons_Loket[Time Stamp]),"")</f>
        <v>45600.49369</v>
      </c>
      <c r="F795" s="18" t="str">
        <f t="array" ref="F795">IFNA(_xlfn.XLOOKUP(B795,Table_Respons_Loket[Count],Table_Respons_Loket[Jenis Permohonan]),"")</f>
        <v>BN JUAL BELI</v>
      </c>
      <c r="G795" s="24"/>
      <c r="H795" s="24"/>
      <c r="I795" s="22" t="str">
        <f t="shared" si="7"/>
        <v/>
      </c>
      <c r="J795" s="20" t="b">
        <v>0</v>
      </c>
      <c r="K795" s="13" t="str">
        <f t="shared" si="2"/>
        <v/>
      </c>
    </row>
    <row r="796" ht="22.5" customHeight="1">
      <c r="B796" s="13">
        <f t="shared" si="3"/>
        <v>790</v>
      </c>
      <c r="C796" s="15" t="str">
        <f t="array" ref="C796">IFNA(_xlfn.XLOOKUP(B796,Table_Respons_Loket[Count],Table_Respons_Loket[Nomor Tiket]),"")</f>
        <v>K/27/041124/1</v>
      </c>
      <c r="D796" s="15" t="str">
        <f t="array" ref="D796">IFNA(_xlfn.XLOOKUP(B796,Table_Respons_Loket[Count],Table_Respons_Loket[Daftar Nomor Hak]),"")</f>
        <v>M. 2800/ Sukarame II</v>
      </c>
      <c r="E796" s="17">
        <f t="array" ref="E796">IFNA(_xlfn.XLOOKUP(B796,Table_Respons_Loket[Count],Table_Respons_Loket[Time Stamp]),"")</f>
        <v>45600.49404</v>
      </c>
      <c r="F796" s="18" t="str">
        <f t="array" ref="F796">IFNA(_xlfn.XLOOKUP(B796,Table_Respons_Loket[Count],Table_Respons_Loket[Jenis Permohonan]),"")</f>
        <v>BN Jual Beli</v>
      </c>
      <c r="G796" s="12" t="s">
        <v>50</v>
      </c>
      <c r="H796" s="12" t="s">
        <v>52</v>
      </c>
      <c r="I796" s="22">
        <f t="shared" si="7"/>
        <v>45601.68433</v>
      </c>
      <c r="J796" s="20" t="b">
        <v>0</v>
      </c>
      <c r="K796" s="13" t="str">
        <f t="shared" si="2"/>
        <v/>
      </c>
    </row>
    <row r="797" ht="22.5" customHeight="1">
      <c r="B797" s="13">
        <f t="shared" si="3"/>
        <v>791</v>
      </c>
      <c r="C797" s="15" t="str">
        <f t="array" ref="C797">IFNA(_xlfn.XLOOKUP(B797,Table_Respons_Loket[Count],Table_Respons_Loket[Nomor Tiket]),"")</f>
        <v>K/28/281024/1</v>
      </c>
      <c r="D797" s="15" t="str">
        <f t="array" ref="D797">IFNA(_xlfn.XLOOKUP(B797,Table_Respons_Loket[Count],Table_Respons_Loket[Daftar Nomor Hak]),"")</f>
        <v>M. 2095/ Campang Jaya</v>
      </c>
      <c r="E797" s="17">
        <f t="array" ref="E797">IFNA(_xlfn.XLOOKUP(B797,Table_Respons_Loket[Count],Table_Respons_Loket[Time Stamp]),"")</f>
        <v>45600.49495</v>
      </c>
      <c r="F797" s="18" t="str">
        <f t="array" ref="F797">IFNA(_xlfn.XLOOKUP(B797,Table_Respons_Loket[Count],Table_Respons_Loket[Jenis Permohonan]),"")</f>
        <v>BN JUAL BELI</v>
      </c>
      <c r="G797" s="12" t="s">
        <v>50</v>
      </c>
      <c r="H797" s="12" t="s">
        <v>52</v>
      </c>
      <c r="I797" s="22">
        <f t="shared" si="7"/>
        <v>45601.68457</v>
      </c>
      <c r="J797" s="20" t="b">
        <v>0</v>
      </c>
      <c r="K797" s="13" t="str">
        <f t="shared" si="2"/>
        <v/>
      </c>
    </row>
    <row r="798" ht="22.5" customHeight="1">
      <c r="B798" s="13">
        <f t="shared" si="3"/>
        <v>792</v>
      </c>
      <c r="C798" s="15" t="str">
        <f t="array" ref="C798">IFNA(_xlfn.XLOOKUP(B798,Table_Respons_Loket[Count],Table_Respons_Loket[Nomor Tiket]),"")</f>
        <v>K/28/041124/2</v>
      </c>
      <c r="D798" s="15" t="str">
        <f t="array" ref="D798">IFNA(_xlfn.XLOOKUP(B798,Table_Respons_Loket[Count],Table_Respons_Loket[Daftar Nomor Hak]),"")</f>
        <v>M. 2253/ Kedaung</v>
      </c>
      <c r="E798" s="17">
        <f t="array" ref="E798">IFNA(_xlfn.XLOOKUP(B798,Table_Respons_Loket[Count],Table_Respons_Loket[Time Stamp]),"")</f>
        <v>45600.49642</v>
      </c>
      <c r="F798" s="18" t="str">
        <f t="array" ref="F798">IFNA(_xlfn.XLOOKUP(B798,Table_Respons_Loket[Count],Table_Respons_Loket[Jenis Permohonan]),"")</f>
        <v>BN Jual Beli</v>
      </c>
      <c r="G798" s="12" t="s">
        <v>50</v>
      </c>
      <c r="H798" s="12" t="s">
        <v>52</v>
      </c>
      <c r="I798" s="22">
        <f t="shared" si="7"/>
        <v>45601.68466</v>
      </c>
      <c r="J798" s="20" t="b">
        <v>0</v>
      </c>
      <c r="K798" s="13" t="str">
        <f t="shared" si="2"/>
        <v/>
      </c>
    </row>
    <row r="799" ht="22.5" customHeight="1">
      <c r="B799" s="13">
        <f t="shared" si="3"/>
        <v>793</v>
      </c>
      <c r="C799" s="15" t="str">
        <f t="array" ref="C799">IFNA(_xlfn.XLOOKUP(B799,Table_Respons_Loket[Count],Table_Respons_Loket[Nomor Tiket]),"")</f>
        <v>K/29/041124/3</v>
      </c>
      <c r="D799" s="15" t="str">
        <f t="array" ref="D799">IFNA(_xlfn.XLOOKUP(B799,Table_Respons_Loket[Count],Table_Respons_Loket[Daftar Nomor Hak]),"")</f>
        <v>M. 2322/ Kedaung</v>
      </c>
      <c r="E799" s="17">
        <f t="array" ref="E799">IFNA(_xlfn.XLOOKUP(B799,Table_Respons_Loket[Count],Table_Respons_Loket[Time Stamp]),"")</f>
        <v>45600.49726</v>
      </c>
      <c r="F799" s="18" t="str">
        <f t="array" ref="F799">IFNA(_xlfn.XLOOKUP(B799,Table_Respons_Loket[Count],Table_Respons_Loket[Jenis Permohonan]),"")</f>
        <v>BN Jual Beli</v>
      </c>
      <c r="G799" s="12" t="s">
        <v>48</v>
      </c>
      <c r="H799" s="12" t="s">
        <v>52</v>
      </c>
      <c r="I799" s="22">
        <f t="shared" si="7"/>
        <v>45601.68514</v>
      </c>
      <c r="J799" s="20" t="b">
        <v>0</v>
      </c>
      <c r="K799" s="13" t="str">
        <f t="shared" si="2"/>
        <v/>
      </c>
    </row>
    <row r="800" ht="22.5" customHeight="1">
      <c r="B800" s="13">
        <f t="shared" si="3"/>
        <v>794</v>
      </c>
      <c r="C800" s="15" t="str">
        <f t="array" ref="C800">IFNA(_xlfn.XLOOKUP(B800,Table_Respons_Loket[Count],Table_Respons_Loket[Nomor Tiket]),"")</f>
        <v>L/31/041124/1</v>
      </c>
      <c r="D800" s="15" t="str">
        <f t="array" ref="D800">IFNA(_xlfn.XLOOKUP(B800,Table_Respons_Loket[Count],Table_Respons_Loket[Daftar Nomor Hak]),"")</f>
        <v>B.1202/SUKABUMI INDAH-SEKARANG; B.1339/SUKABUMI-DAHULU</v>
      </c>
      <c r="E800" s="17">
        <f t="array" ref="E800">IFNA(_xlfn.XLOOKUP(B800,Table_Respons_Loket[Count],Table_Respons_Loket[Time Stamp]),"")</f>
        <v>45600.5009</v>
      </c>
      <c r="F800" s="18" t="str">
        <f t="array" ref="F800">IFNA(_xlfn.XLOOKUP(B800,Table_Respons_Loket[Count],Table_Respons_Loket[Jenis Permohonan]),"")</f>
        <v>PERUBAHAN HAK</v>
      </c>
      <c r="G800" s="12" t="s">
        <v>48</v>
      </c>
      <c r="H800" s="12" t="s">
        <v>52</v>
      </c>
      <c r="I800" s="22">
        <f t="shared" si="7"/>
        <v>45602.56469</v>
      </c>
      <c r="J800" s="20" t="b">
        <v>0</v>
      </c>
      <c r="K800" s="13" t="str">
        <f t="shared" si="2"/>
        <v/>
      </c>
    </row>
    <row r="801" ht="22.5" customHeight="1">
      <c r="B801" s="13">
        <f t="shared" si="3"/>
        <v>795</v>
      </c>
      <c r="C801" s="15" t="str">
        <f t="array" ref="C801">IFNA(_xlfn.XLOOKUP(B801,Table_Respons_Loket[Count],Table_Respons_Loket[Nomor Tiket]),"")</f>
        <v>K/32/041124/1</v>
      </c>
      <c r="D801" s="15" t="str">
        <f t="array" ref="D801">IFNA(_xlfn.XLOOKUP(B801,Table_Respons_Loket[Count],Table_Respons_Loket[Daftar Nomor Hak]),"")</f>
        <v>M. 9246/ Kedamaian</v>
      </c>
      <c r="E801" s="17">
        <f t="array" ref="E801">IFNA(_xlfn.XLOOKUP(B801,Table_Respons_Loket[Count],Table_Respons_Loket[Time Stamp]),"")</f>
        <v>45600.54987</v>
      </c>
      <c r="F801" s="18" t="str">
        <f t="array" ref="F801">IFNA(_xlfn.XLOOKUP(B801,Table_Respons_Loket[Count],Table_Respons_Loket[Jenis Permohonan]),"")</f>
        <v>Gandes</v>
      </c>
      <c r="G801" s="24"/>
      <c r="H801" s="24"/>
      <c r="I801" s="22" t="str">
        <f t="shared" si="7"/>
        <v/>
      </c>
      <c r="J801" s="20" t="b">
        <v>0</v>
      </c>
      <c r="K801" s="13" t="str">
        <f t="shared" si="2"/>
        <v/>
      </c>
    </row>
    <row r="802" ht="22.5" customHeight="1">
      <c r="B802" s="13">
        <f t="shared" si="3"/>
        <v>796</v>
      </c>
      <c r="C802" s="15" t="str">
        <f t="array" ref="C802">IFNA(_xlfn.XLOOKUP(B802,Table_Respons_Loket[Count],Table_Respons_Loket[Nomor Tiket]),"")</f>
        <v>K/33/041124/1</v>
      </c>
      <c r="D802" s="15" t="str">
        <f t="array" ref="D802">IFNA(_xlfn.XLOOKUP(B802,Table_Respons_Loket[Count],Table_Respons_Loket[Daftar Nomor Hak]),"")</f>
        <v>Nibel. M. 2196/ Gunung Terang</v>
      </c>
      <c r="E802" s="17">
        <f t="array" ref="E802">IFNA(_xlfn.XLOOKUP(B802,Table_Respons_Loket[Count],Table_Respons_Loket[Time Stamp]),"")</f>
        <v>45600.56736</v>
      </c>
      <c r="F802" s="18" t="str">
        <f t="array" ref="F802">IFNA(_xlfn.XLOOKUP(B802,Table_Respons_Loket[Count],Table_Respons_Loket[Jenis Permohonan]),"")</f>
        <v>BN Jual Beli</v>
      </c>
      <c r="G802" s="24"/>
      <c r="H802" s="24"/>
      <c r="I802" s="22" t="str">
        <f t="shared" si="7"/>
        <v/>
      </c>
      <c r="J802" s="20" t="b">
        <v>0</v>
      </c>
      <c r="K802" s="13" t="str">
        <f t="shared" si="2"/>
        <v/>
      </c>
    </row>
    <row r="803" ht="22.5" customHeight="1">
      <c r="B803" s="13">
        <f t="shared" si="3"/>
        <v>797</v>
      </c>
      <c r="C803" s="15" t="str">
        <f t="array" ref="C803">IFNA(_xlfn.XLOOKUP(B803,Table_Respons_Loket[Count],Table_Respons_Loket[Nomor Tiket]),"")</f>
        <v>K/34/041124/1</v>
      </c>
      <c r="D803" s="15" t="str">
        <f t="array" ref="D803">IFNA(_xlfn.XLOOKUP(B803,Table_Respons_Loket[Count],Table_Respons_Loket[Daftar Nomor Hak]),"")</f>
        <v>M. 2958/ Kota Baru</v>
      </c>
      <c r="E803" s="17">
        <f t="array" ref="E803">IFNA(_xlfn.XLOOKUP(B803,Table_Respons_Loket[Count],Table_Respons_Loket[Time Stamp]),"")</f>
        <v>45600.57295</v>
      </c>
      <c r="F803" s="18" t="str">
        <f t="array" ref="F803">IFNA(_xlfn.XLOOKUP(B803,Table_Respons_Loket[Count],Table_Respons_Loket[Jenis Permohonan]),"")</f>
        <v>PTPGT (Pemecahan)</v>
      </c>
      <c r="G803" s="24"/>
      <c r="H803" s="24"/>
      <c r="I803" s="22" t="str">
        <f t="shared" si="7"/>
        <v/>
      </c>
      <c r="J803" s="20" t="b">
        <v>0</v>
      </c>
      <c r="K803" s="13" t="str">
        <f t="shared" si="2"/>
        <v/>
      </c>
    </row>
    <row r="804" ht="22.5" customHeight="1">
      <c r="B804" s="13">
        <f t="shared" si="3"/>
        <v>798</v>
      </c>
      <c r="C804" s="15" t="str">
        <f t="array" ref="C804">IFNA(_xlfn.XLOOKUP(B804,Table_Respons_Loket[Count],Table_Respons_Loket[Nomor Tiket]),"")</f>
        <v>K/35/041124/1</v>
      </c>
      <c r="D804" s="15" t="str">
        <f t="array" ref="D804">IFNA(_xlfn.XLOOKUP(B804,Table_Respons_Loket[Count],Table_Respons_Loket[Daftar Nomor Hak]),"")</f>
        <v>M. 9268/ Sidodadi</v>
      </c>
      <c r="E804" s="17">
        <f t="array" ref="E804">IFNA(_xlfn.XLOOKUP(B804,Table_Respons_Loket[Count],Table_Respons_Loket[Time Stamp]),"")</f>
        <v>45600.57382</v>
      </c>
      <c r="F804" s="18" t="str">
        <f t="array" ref="F804">IFNA(_xlfn.XLOOKUP(B804,Table_Respons_Loket[Count],Table_Respons_Loket[Jenis Permohonan]),"")</f>
        <v>roya</v>
      </c>
      <c r="G804" s="12" t="s">
        <v>48</v>
      </c>
      <c r="H804" s="12" t="s">
        <v>52</v>
      </c>
      <c r="I804" s="22">
        <f t="shared" si="7"/>
        <v>45601.68599</v>
      </c>
      <c r="J804" s="20" t="b">
        <v>0</v>
      </c>
      <c r="K804" s="13" t="str">
        <f t="shared" si="2"/>
        <v/>
      </c>
    </row>
    <row r="805" ht="22.5" customHeight="1">
      <c r="B805" s="13">
        <f t="shared" si="3"/>
        <v>799</v>
      </c>
      <c r="C805" s="15" t="str">
        <f t="array" ref="C805">IFNA(_xlfn.XLOOKUP(B805,Table_Respons_Loket[Count],Table_Respons_Loket[Nomor Tiket]),"")</f>
        <v>K/36/041124/2</v>
      </c>
      <c r="D805" s="15" t="str">
        <f t="array" ref="D805">IFNA(_xlfn.XLOOKUP(B805,Table_Respons_Loket[Count],Table_Respons_Loket[Daftar Nomor Hak]),"")</f>
        <v>M. 10227/ Segala Mider</v>
      </c>
      <c r="E805" s="17">
        <f t="array" ref="E805">IFNA(_xlfn.XLOOKUP(B805,Table_Respons_Loket[Count],Table_Respons_Loket[Time Stamp]),"")</f>
        <v>45600.57502</v>
      </c>
      <c r="F805" s="18" t="str">
        <f t="array" ref="F805">IFNA(_xlfn.XLOOKUP(B805,Table_Respons_Loket[Count],Table_Respons_Loket[Jenis Permohonan]),"")</f>
        <v>roya</v>
      </c>
      <c r="G805" s="12" t="s">
        <v>48</v>
      </c>
      <c r="H805" s="12" t="s">
        <v>52</v>
      </c>
      <c r="I805" s="22">
        <f t="shared" si="7"/>
        <v>45601.68644</v>
      </c>
      <c r="J805" s="20" t="b">
        <v>0</v>
      </c>
      <c r="K805" s="13" t="str">
        <f t="shared" si="2"/>
        <v/>
      </c>
    </row>
    <row r="806" ht="22.5" customHeight="1">
      <c r="B806" s="13">
        <f t="shared" si="3"/>
        <v>800</v>
      </c>
      <c r="C806" s="15" t="str">
        <f t="array" ref="C806">IFNA(_xlfn.XLOOKUP(B806,Table_Respons_Loket[Count],Table_Respons_Loket[Nomor Tiket]),"")</f>
        <v>K/37/041124/3</v>
      </c>
      <c r="D806" s="15" t="str">
        <f t="array" ref="D806">IFNA(_xlfn.XLOOKUP(B806,Table_Respons_Loket[Count],Table_Respons_Loket[Daftar Nomor Hak]),"")</f>
        <v>M. 12471/ Kedamaian</v>
      </c>
      <c r="E806" s="17">
        <f t="array" ref="E806">IFNA(_xlfn.XLOOKUP(B806,Table_Respons_Loket[Count],Table_Respons_Loket[Time Stamp]),"")</f>
        <v>45600.57732</v>
      </c>
      <c r="F806" s="18" t="str">
        <f t="array" ref="F806">IFNA(_xlfn.XLOOKUP(B806,Table_Respons_Loket[Count],Table_Respons_Loket[Jenis Permohonan]),"")</f>
        <v>PENATAAN BATAS</v>
      </c>
      <c r="G806" s="12" t="s">
        <v>366</v>
      </c>
      <c r="H806" s="12" t="s">
        <v>52</v>
      </c>
      <c r="I806" s="22">
        <f t="shared" si="7"/>
        <v>45602.57396</v>
      </c>
      <c r="J806" s="20" t="b">
        <v>0</v>
      </c>
      <c r="K806" s="13" t="str">
        <f t="shared" si="2"/>
        <v/>
      </c>
    </row>
    <row r="807" ht="22.5" customHeight="1">
      <c r="B807" s="13">
        <f t="shared" si="3"/>
        <v>801</v>
      </c>
      <c r="C807" s="15" t="str">
        <f t="array" ref="C807">IFNA(_xlfn.XLOOKUP(B807,Table_Respons_Loket[Count],Table_Respons_Loket[Nomor Tiket]),"")</f>
        <v>K/38/041124/4</v>
      </c>
      <c r="D807" s="15" t="str">
        <f t="array" ref="D807">IFNA(_xlfn.XLOOKUP(B807,Table_Respons_Loket[Count],Table_Respons_Loket[Daftar Nomor Hak]),"")</f>
        <v>B. 1406/ Jagabaya II </v>
      </c>
      <c r="E807" s="17">
        <f t="array" ref="E807">IFNA(_xlfn.XLOOKUP(B807,Table_Respons_Loket[Count],Table_Respons_Loket[Time Stamp]),"")</f>
        <v>45600.58113</v>
      </c>
      <c r="F807" s="18" t="str">
        <f t="array" ref="F807">IFNA(_xlfn.XLOOKUP(B807,Table_Respons_Loket[Count],Table_Respons_Loket[Jenis Permohonan]),"")</f>
        <v>ROYA</v>
      </c>
      <c r="G807" s="12" t="s">
        <v>48</v>
      </c>
      <c r="H807" s="12" t="s">
        <v>52</v>
      </c>
      <c r="I807" s="22">
        <f t="shared" si="7"/>
        <v>45601.68663</v>
      </c>
      <c r="J807" s="20" t="b">
        <v>0</v>
      </c>
      <c r="K807" s="13" t="str">
        <f t="shared" si="2"/>
        <v/>
      </c>
    </row>
    <row r="808" ht="22.5" customHeight="1">
      <c r="B808" s="13">
        <f t="shared" si="3"/>
        <v>802</v>
      </c>
      <c r="C808" s="15" t="str">
        <f t="array" ref="C808">IFNA(_xlfn.XLOOKUP(B808,Table_Respons_Loket[Count],Table_Respons_Loket[Nomor Tiket]),"")</f>
        <v>K/39/041124/1</v>
      </c>
      <c r="D808" s="15" t="str">
        <f t="array" ref="D808">IFNA(_xlfn.XLOOKUP(B808,Table_Respons_Loket[Count],Table_Respons_Loket[Daftar Nomor Hak]),"")</f>
        <v>M.1773/SUKAJAWA</v>
      </c>
      <c r="E808" s="17">
        <f t="array" ref="E808">IFNA(_xlfn.XLOOKUP(B808,Table_Respons_Loket[Count],Table_Respons_Loket[Time Stamp]),"")</f>
        <v>45600.58589</v>
      </c>
      <c r="F808" s="18" t="str">
        <f t="array" ref="F808">IFNA(_xlfn.XLOOKUP(B808,Table_Respons_Loket[Count],Table_Respons_Loket[Jenis Permohonan]),"")</f>
        <v>BN JUAL BELI</v>
      </c>
      <c r="G808" s="12" t="s">
        <v>48</v>
      </c>
      <c r="H808" s="12" t="s">
        <v>52</v>
      </c>
      <c r="I808" s="22">
        <f t="shared" si="7"/>
        <v>45601.68702</v>
      </c>
      <c r="J808" s="20" t="b">
        <v>0</v>
      </c>
      <c r="K808" s="13" t="str">
        <f t="shared" si="2"/>
        <v/>
      </c>
    </row>
    <row r="809" ht="22.5" customHeight="1">
      <c r="B809" s="13">
        <f t="shared" si="3"/>
        <v>803</v>
      </c>
      <c r="C809" s="15" t="str">
        <f t="array" ref="C809">IFNA(_xlfn.XLOOKUP(B809,Table_Respons_Loket[Count],Table_Respons_Loket[Nomor Tiket]),"")</f>
        <v>L/40/041124/1</v>
      </c>
      <c r="D809" s="15" t="str">
        <f t="array" ref="D809">IFNA(_xlfn.XLOOKUP(B809,Table_Respons_Loket[Count],Table_Respons_Loket[Daftar Nomor Hak]),"")</f>
        <v>M.1706/PERUMNAS WAY HALIM</v>
      </c>
      <c r="E809" s="17">
        <f t="array" ref="E809">IFNA(_xlfn.XLOOKUP(B809,Table_Respons_Loket[Count],Table_Respons_Loket[Time Stamp]),"")</f>
        <v>45600.59083</v>
      </c>
      <c r="F809" s="18" t="str">
        <f t="array" ref="F809">IFNA(_xlfn.XLOOKUP(B809,Table_Respons_Loket[Count],Table_Respons_Loket[Jenis Permohonan]),"")</f>
        <v>ROYA</v>
      </c>
      <c r="G809" s="12" t="s">
        <v>48</v>
      </c>
      <c r="H809" s="12" t="s">
        <v>47</v>
      </c>
      <c r="I809" s="22" t="str">
        <f t="shared" si="7"/>
        <v/>
      </c>
      <c r="J809" s="20" t="b">
        <v>0</v>
      </c>
      <c r="K809" s="13" t="str">
        <f t="shared" si="2"/>
        <v/>
      </c>
    </row>
    <row r="810" ht="22.5" customHeight="1">
      <c r="B810" s="13">
        <f t="shared" si="3"/>
        <v>804</v>
      </c>
      <c r="C810" s="15" t="str">
        <f t="array" ref="C810">IFNA(_xlfn.XLOOKUP(B810,Table_Respons_Loket[Count],Table_Respons_Loket[Nomor Tiket]),"")</f>
        <v>K/41/041124/1</v>
      </c>
      <c r="D810" s="15" t="str">
        <f t="array" ref="D810">IFNA(_xlfn.XLOOKUP(B810,Table_Respons_Loket[Count],Table_Respons_Loket[Daftar Nomor Hak]),"")</f>
        <v>B. 1481/ Tanjung Senang</v>
      </c>
      <c r="E810" s="17">
        <f t="array" ref="E810">IFNA(_xlfn.XLOOKUP(B810,Table_Respons_Loket[Count],Table_Respons_Loket[Time Stamp]),"")</f>
        <v>45600.59208</v>
      </c>
      <c r="F810" s="18" t="str">
        <f t="array" ref="F810">IFNA(_xlfn.XLOOKUP(B810,Table_Respons_Loket[Count],Table_Respons_Loket[Jenis Permohonan]),"")</f>
        <v>Gandes</v>
      </c>
      <c r="G810" s="24"/>
      <c r="H810" s="24"/>
      <c r="I810" s="22" t="str">
        <f t="shared" si="7"/>
        <v/>
      </c>
      <c r="J810" s="20" t="b">
        <v>0</v>
      </c>
      <c r="K810" s="13" t="str">
        <f t="shared" si="2"/>
        <v/>
      </c>
    </row>
    <row r="811" ht="22.5" customHeight="1">
      <c r="B811" s="13">
        <f t="shared" si="3"/>
        <v>805</v>
      </c>
      <c r="C811" s="15" t="str">
        <f t="array" ref="C811">IFNA(_xlfn.XLOOKUP(B811,Table_Respons_Loket[Count],Table_Respons_Loket[Nomor Tiket]),"")</f>
        <v>L/42/041124/1</v>
      </c>
      <c r="D811" s="15" t="str">
        <f t="array" ref="D811">IFNA(_xlfn.XLOOKUP(B811,Table_Respons_Loket[Count],Table_Respons_Loket[Daftar Nomor Hak]),"")</f>
        <v>B.661/SUKABUMI INDAH</v>
      </c>
      <c r="E811" s="17">
        <f t="array" ref="E811">IFNA(_xlfn.XLOOKUP(B811,Table_Respons_Loket[Count],Table_Respons_Loket[Time Stamp]),"")</f>
        <v>45600.60119</v>
      </c>
      <c r="F811" s="18" t="str">
        <f t="array" ref="F811">IFNA(_xlfn.XLOOKUP(B811,Table_Respons_Loket[Count],Table_Respons_Loket[Jenis Permohonan]),"")</f>
        <v>ROYA</v>
      </c>
      <c r="G811" s="12" t="s">
        <v>48</v>
      </c>
      <c r="H811" s="12" t="s">
        <v>52</v>
      </c>
      <c r="I811" s="22">
        <f t="shared" si="7"/>
        <v>45601.68727</v>
      </c>
      <c r="J811" s="20" t="b">
        <v>0</v>
      </c>
      <c r="K811" s="13" t="str">
        <f t="shared" si="2"/>
        <v/>
      </c>
    </row>
    <row r="812" ht="22.5" customHeight="1">
      <c r="B812" s="13">
        <f t="shared" si="3"/>
        <v>806</v>
      </c>
      <c r="C812" s="15" t="str">
        <f t="array" ref="C812">IFNA(_xlfn.XLOOKUP(B812,Table_Respons_Loket[Count],Table_Respons_Loket[Nomor Tiket]),"")</f>
        <v>K/43/041124/1</v>
      </c>
      <c r="D812" s="15" t="str">
        <f t="array" ref="D812">IFNA(_xlfn.XLOOKUP(B812,Table_Respons_Loket[Count],Table_Respons_Loket[Daftar Nomor Hak]),"")</f>
        <v>M. 2684/ Pinang Jaya-sekarang; B. 12782/ Pinang Jaya</v>
      </c>
      <c r="E812" s="17">
        <f t="array" ref="E812">IFNA(_xlfn.XLOOKUP(B812,Table_Respons_Loket[Count],Table_Respons_Loket[Time Stamp]),"")</f>
        <v>45600.60533</v>
      </c>
      <c r="F812" s="18" t="str">
        <f t="array" ref="F812">IFNA(_xlfn.XLOOKUP(B812,Table_Respons_Loket[Count],Table_Respons_Loket[Jenis Permohonan]),"")</f>
        <v>BN Lelang</v>
      </c>
      <c r="G812" s="12" t="s">
        <v>48</v>
      </c>
      <c r="H812" s="12" t="s">
        <v>52</v>
      </c>
      <c r="I812" s="22">
        <f t="shared" si="7"/>
        <v>45614.66166</v>
      </c>
      <c r="J812" s="20" t="b">
        <v>0</v>
      </c>
      <c r="K812" s="13" t="str">
        <f t="shared" si="2"/>
        <v/>
      </c>
    </row>
    <row r="813" ht="22.5" customHeight="1">
      <c r="B813" s="13">
        <f t="shared" si="3"/>
        <v>807</v>
      </c>
      <c r="C813" s="15" t="str">
        <f t="array" ref="C813">IFNA(_xlfn.XLOOKUP(B813,Table_Respons_Loket[Count],Table_Respons_Loket[Nomor Tiket]),"")</f>
        <v>K/44/041124/1</v>
      </c>
      <c r="D813" s="15" t="str">
        <f t="array" ref="D813">IFNA(_xlfn.XLOOKUP(B813,Table_Respons_Loket[Count],Table_Respons_Loket[Daftar Nomor Hak]),"")</f>
        <v>HMASRS/ 152/ SUMUR PUTRI</v>
      </c>
      <c r="E813" s="17">
        <f t="array" ref="E813">IFNA(_xlfn.XLOOKUP(B813,Table_Respons_Loket[Count],Table_Respons_Loket[Time Stamp]),"")</f>
        <v>45600.60746</v>
      </c>
      <c r="F813" s="18" t="str">
        <f t="array" ref="F813">IFNA(_xlfn.XLOOKUP(B813,Table_Respons_Loket[Count],Table_Respons_Loket[Jenis Permohonan]),"")</f>
        <v>PENGECEKKAN</v>
      </c>
      <c r="G813" s="24"/>
      <c r="H813" s="24"/>
      <c r="I813" s="22" t="str">
        <f t="shared" si="7"/>
        <v/>
      </c>
      <c r="J813" s="20" t="b">
        <v>0</v>
      </c>
      <c r="K813" s="13" t="str">
        <f t="shared" si="2"/>
        <v/>
      </c>
    </row>
    <row r="814" ht="22.5" customHeight="1">
      <c r="B814" s="13">
        <f t="shared" si="3"/>
        <v>808</v>
      </c>
      <c r="C814" s="15" t="str">
        <f t="array" ref="C814">IFNA(_xlfn.XLOOKUP(B814,Table_Respons_Loket[Count],Table_Respons_Loket[Nomor Tiket]),"")</f>
        <v>K/45/041124/1</v>
      </c>
      <c r="D814" s="15" t="str">
        <f t="array" ref="D814">IFNA(_xlfn.XLOOKUP(B814,Table_Respons_Loket[Count],Table_Respons_Loket[Daftar Nomor Hak]),"")</f>
        <v>B. 756/ Sumur Putri</v>
      </c>
      <c r="E814" s="17">
        <f t="array" ref="E814">IFNA(_xlfn.XLOOKUP(B814,Table_Respons_Loket[Count],Table_Respons_Loket[Time Stamp]),"")</f>
        <v>45600.60996</v>
      </c>
      <c r="F814" s="18" t="str">
        <f t="array" ref="F814">IFNA(_xlfn.XLOOKUP(B814,Table_Respons_Loket[Count],Table_Respons_Loket[Jenis Permohonan]),"")</f>
        <v>BN JUAL BELI</v>
      </c>
      <c r="G814" s="12" t="s">
        <v>48</v>
      </c>
      <c r="H814" s="12" t="s">
        <v>47</v>
      </c>
      <c r="I814" s="22" t="str">
        <f t="shared" si="7"/>
        <v/>
      </c>
      <c r="J814" s="20" t="b">
        <v>0</v>
      </c>
      <c r="K814" s="13" t="str">
        <f t="shared" si="2"/>
        <v/>
      </c>
    </row>
    <row r="815" ht="22.5" customHeight="1">
      <c r="B815" s="13">
        <f t="shared" si="3"/>
        <v>809</v>
      </c>
      <c r="C815" s="15" t="str">
        <f t="array" ref="C815">IFNA(_xlfn.XLOOKUP(B815,Table_Respons_Loket[Count],Table_Respons_Loket[Nomor Tiket]),"")</f>
        <v>K/46/041124/2</v>
      </c>
      <c r="D815" s="15" t="str">
        <f t="array" ref="D815">IFNA(_xlfn.XLOOKUP(B815,Table_Respons_Loket[Count],Table_Respons_Loket[Daftar Nomor Hak]),"")</f>
        <v>M. 146/ Kampung Baru Raya</v>
      </c>
      <c r="E815" s="17">
        <f t="array" ref="E815">IFNA(_xlfn.XLOOKUP(B815,Table_Respons_Loket[Count],Table_Respons_Loket[Time Stamp]),"")</f>
        <v>45600.61156</v>
      </c>
      <c r="F815" s="18" t="str">
        <f t="array" ref="F815">IFNA(_xlfn.XLOOKUP(B815,Table_Respons_Loket[Count],Table_Respons_Loket[Jenis Permohonan]),"")</f>
        <v>BN JUAL BELI</v>
      </c>
      <c r="G815" s="12" t="s">
        <v>48</v>
      </c>
      <c r="H815" s="12" t="s">
        <v>52</v>
      </c>
      <c r="I815" s="22">
        <f t="shared" si="7"/>
        <v>45602.56924</v>
      </c>
      <c r="J815" s="20" t="b">
        <v>0</v>
      </c>
      <c r="K815" s="13" t="str">
        <f t="shared" si="2"/>
        <v/>
      </c>
    </row>
    <row r="816" ht="22.5" customHeight="1">
      <c r="B816" s="13">
        <f t="shared" si="3"/>
        <v>810</v>
      </c>
      <c r="C816" s="15" t="str">
        <f t="array" ref="C816">IFNA(_xlfn.XLOOKUP(B816,Table_Respons_Loket[Count],Table_Respons_Loket[Nomor Tiket]),"")</f>
        <v>K/47/041124/1</v>
      </c>
      <c r="D816" s="15" t="str">
        <f t="array" ref="D816">IFNA(_xlfn.XLOOKUP(B816,Table_Respons_Loket[Count],Table_Respons_Loket[Daftar Nomor Hak]),"")</f>
        <v>Nibel. M. 693/ Segala Mider</v>
      </c>
      <c r="E816" s="17">
        <f t="array" ref="E816">IFNA(_xlfn.XLOOKUP(B816,Table_Respons_Loket[Count],Table_Respons_Loket[Time Stamp]),"")</f>
        <v>45600.61396</v>
      </c>
      <c r="F816" s="18" t="str">
        <f t="array" ref="F816">IFNA(_xlfn.XLOOKUP(B816,Table_Respons_Loket[Count],Table_Respons_Loket[Jenis Permohonan]),"")</f>
        <v>BN Jual Beli</v>
      </c>
      <c r="G816" s="12" t="s">
        <v>48</v>
      </c>
      <c r="H816" s="12" t="s">
        <v>47</v>
      </c>
      <c r="I816" s="22" t="str">
        <f t="shared" si="7"/>
        <v/>
      </c>
      <c r="J816" s="20" t="b">
        <v>0</v>
      </c>
      <c r="K816" s="13" t="str">
        <f t="shared" si="2"/>
        <v/>
      </c>
    </row>
    <row r="817" ht="22.5" customHeight="1">
      <c r="B817" s="13">
        <f t="shared" si="3"/>
        <v>811</v>
      </c>
      <c r="C817" s="15" t="str">
        <f t="array" ref="C817">IFNA(_xlfn.XLOOKUP(B817,Table_Respons_Loket[Count],Table_Respons_Loket[Nomor Tiket]),"")</f>
        <v>K/48/041124/2</v>
      </c>
      <c r="D817" s="15" t="str">
        <f t="array" ref="D817">IFNA(_xlfn.XLOOKUP(B817,Table_Respons_Loket[Count],Table_Respons_Loket[Daftar Nomor Hak]),"")</f>
        <v>M. 1113/ Pematang Wangi; M. 3217/ Tanjung Senang-dahulu</v>
      </c>
      <c r="E817" s="17">
        <f t="array" ref="E817">IFNA(_xlfn.XLOOKUP(B817,Table_Respons_Loket[Count],Table_Respons_Loket[Time Stamp]),"")</f>
        <v>45600.6149</v>
      </c>
      <c r="F817" s="18" t="str">
        <f t="array" ref="F817">IFNA(_xlfn.XLOOKUP(B817,Table_Respons_Loket[Count],Table_Respons_Loket[Jenis Permohonan]),"")</f>
        <v>BN Jual Beli</v>
      </c>
      <c r="G817" s="12" t="s">
        <v>48</v>
      </c>
      <c r="H817" s="12" t="s">
        <v>52</v>
      </c>
      <c r="I817" s="22">
        <f t="shared" si="7"/>
        <v>45614.66166</v>
      </c>
      <c r="J817" s="20" t="b">
        <v>1</v>
      </c>
      <c r="K817" s="17">
        <f t="shared" si="2"/>
        <v>45614.66166</v>
      </c>
    </row>
    <row r="818" ht="22.5" customHeight="1">
      <c r="B818" s="13">
        <f t="shared" si="3"/>
        <v>812</v>
      </c>
      <c r="C818" s="15" t="str">
        <f t="array" ref="C818">IFNA(_xlfn.XLOOKUP(B818,Table_Respons_Loket[Count],Table_Respons_Loket[Nomor Tiket]),"")</f>
        <v>K/49/041124/1</v>
      </c>
      <c r="D818" s="15" t="str">
        <f t="array" ref="D818">IFNA(_xlfn.XLOOKUP(B818,Table_Respons_Loket[Count],Table_Respons_Loket[Daftar Nomor Hak]),"")</f>
        <v>M.9336/GEDONG MENENG</v>
      </c>
      <c r="E818" s="17">
        <f t="array" ref="E818">IFNA(_xlfn.XLOOKUP(B818,Table_Respons_Loket[Count],Table_Respons_Loket[Time Stamp]),"")</f>
        <v>45600.61852</v>
      </c>
      <c r="F818" s="18" t="str">
        <f t="array" ref="F818">IFNA(_xlfn.XLOOKUP(B818,Table_Respons_Loket[Count],Table_Respons_Loket[Jenis Permohonan]),"")</f>
        <v>HIBAH</v>
      </c>
      <c r="G818" s="12" t="s">
        <v>48</v>
      </c>
      <c r="H818" s="12" t="s">
        <v>52</v>
      </c>
      <c r="I818" s="22">
        <f t="shared" si="7"/>
        <v>45601.68828</v>
      </c>
      <c r="J818" s="20" t="b">
        <v>0</v>
      </c>
      <c r="K818" s="13" t="str">
        <f t="shared" si="2"/>
        <v/>
      </c>
    </row>
    <row r="819" ht="22.5" customHeight="1">
      <c r="B819" s="13">
        <f t="shared" si="3"/>
        <v>813</v>
      </c>
      <c r="C819" s="15" t="str">
        <f t="array" ref="C819">IFNA(_xlfn.XLOOKUP(B819,Table_Respons_Loket[Count],Table_Respons_Loket[Nomor Tiket]),"")</f>
        <v>K/50/041124/1</v>
      </c>
      <c r="D819" s="15" t="str">
        <f t="array" ref="D819">IFNA(_xlfn.XLOOKUP(B819,Table_Respons_Loket[Count],Table_Respons_Loket[Daftar Nomor Hak]),"")</f>
        <v>M. 884/ SUMBER AGUNG</v>
      </c>
      <c r="E819" s="17">
        <f t="array" ref="E819">IFNA(_xlfn.XLOOKUP(B819,Table_Respons_Loket[Count],Table_Respons_Loket[Time Stamp]),"")</f>
        <v>45600.62568</v>
      </c>
      <c r="F819" s="18" t="str">
        <f t="array" ref="F819">IFNA(_xlfn.XLOOKUP(B819,Table_Respons_Loket[Count],Table_Respons_Loket[Jenis Permohonan]),"")</f>
        <v>BN JUAL BELI</v>
      </c>
      <c r="G819" s="12" t="s">
        <v>48</v>
      </c>
      <c r="H819" s="12" t="s">
        <v>52</v>
      </c>
      <c r="I819" s="22">
        <f t="shared" si="7"/>
        <v>45601.68878</v>
      </c>
      <c r="J819" s="20" t="b">
        <v>0</v>
      </c>
      <c r="K819" s="13" t="str">
        <f t="shared" si="2"/>
        <v/>
      </c>
    </row>
    <row r="820" ht="22.5" customHeight="1">
      <c r="B820" s="13">
        <f t="shared" si="3"/>
        <v>814</v>
      </c>
      <c r="C820" s="15" t="str">
        <f t="array" ref="C820">IFNA(_xlfn.XLOOKUP(B820,Table_Respons_Loket[Count],Table_Respons_Loket[Nomor Tiket]),"")</f>
        <v>K/51/041124/1</v>
      </c>
      <c r="D820" s="15" t="str">
        <f t="array" ref="D820">IFNA(_xlfn.XLOOKUP(B820,Table_Respons_Loket[Count],Table_Respons_Loket[Daftar Nomor Hak]),"")</f>
        <v>M.4157/LANGKAPURA</v>
      </c>
      <c r="E820" s="17">
        <f t="array" ref="E820">IFNA(_xlfn.XLOOKUP(B820,Table_Respons_Loket[Count],Table_Respons_Loket[Time Stamp]),"")</f>
        <v>45600.63332</v>
      </c>
      <c r="F820" s="18" t="str">
        <f t="array" ref="F820">IFNA(_xlfn.XLOOKUP(B820,Table_Respons_Loket[Count],Table_Respons_Loket[Jenis Permohonan]),"")</f>
        <v>BN JUAL BELI</v>
      </c>
      <c r="G820" s="12" t="s">
        <v>48</v>
      </c>
      <c r="H820" s="12" t="s">
        <v>52</v>
      </c>
      <c r="I820" s="22">
        <f t="shared" si="7"/>
        <v>45601.68891</v>
      </c>
      <c r="J820" s="20" t="b">
        <v>0</v>
      </c>
      <c r="K820" s="13" t="str">
        <f t="shared" si="2"/>
        <v/>
      </c>
    </row>
    <row r="821" ht="22.5" customHeight="1">
      <c r="B821" s="13">
        <f t="shared" si="3"/>
        <v>815</v>
      </c>
      <c r="C821" s="15" t="str">
        <f t="array" ref="C821">IFNA(_xlfn.XLOOKUP(B821,Table_Respons_Loket[Count],Table_Respons_Loket[Nomor Tiket]),"")</f>
        <v>K/52/041124/1</v>
      </c>
      <c r="D821" s="15" t="str">
        <f t="array" ref="D821">IFNA(_xlfn.XLOOKUP(B821,Table_Respons_Loket[Count],Table_Respons_Loket[Daftar Nomor Hak]),"")</f>
        <v>M.548/RAJABASA PEMUKA</v>
      </c>
      <c r="E821" s="17">
        <f t="array" ref="E821">IFNA(_xlfn.XLOOKUP(B821,Table_Respons_Loket[Count],Table_Respons_Loket[Time Stamp]),"")</f>
        <v>45600.63433</v>
      </c>
      <c r="F821" s="18" t="str">
        <f t="array" ref="F821">IFNA(_xlfn.XLOOKUP(B821,Table_Respons_Loket[Count],Table_Respons_Loket[Jenis Permohonan]),"")</f>
        <v>BN JUAL BELI</v>
      </c>
      <c r="G821" s="12" t="s">
        <v>48</v>
      </c>
      <c r="H821" s="12" t="s">
        <v>52</v>
      </c>
      <c r="I821" s="22">
        <f t="shared" si="7"/>
        <v>45602.56517</v>
      </c>
      <c r="J821" s="20" t="b">
        <v>0</v>
      </c>
      <c r="K821" s="13" t="str">
        <f t="shared" si="2"/>
        <v/>
      </c>
    </row>
    <row r="822" ht="22.5" customHeight="1">
      <c r="B822" s="13">
        <f t="shared" si="3"/>
        <v>816</v>
      </c>
      <c r="C822" s="15" t="str">
        <f t="array" ref="C822">IFNA(_xlfn.XLOOKUP(B822,Table_Respons_Loket[Count],Table_Respons_Loket[Nomor Tiket]),"")</f>
        <v>K/1/051124/1</v>
      </c>
      <c r="D822" s="15" t="str">
        <f t="array" ref="D822">IFNA(_xlfn.XLOOKUP(B822,Table_Respons_Loket[Count],Table_Respons_Loket[Daftar Nomor Hak]),"")</f>
        <v>M.1892/LANGKAPURA</v>
      </c>
      <c r="E822" s="17">
        <f t="array" ref="E822">IFNA(_xlfn.XLOOKUP(B822,Table_Respons_Loket[Count],Table_Respons_Loket[Time Stamp]),"")</f>
        <v>45601.39725</v>
      </c>
      <c r="F822" s="18" t="str">
        <f t="array" ref="F822">IFNA(_xlfn.XLOOKUP(B822,Table_Respons_Loket[Count],Table_Respons_Loket[Jenis Permohonan]),"")</f>
        <v>PLOTING</v>
      </c>
      <c r="G822" s="24"/>
      <c r="H822" s="24"/>
      <c r="I822" s="22" t="str">
        <f t="shared" si="7"/>
        <v/>
      </c>
      <c r="J822" s="20" t="b">
        <v>0</v>
      </c>
      <c r="K822" s="13" t="str">
        <f t="shared" si="2"/>
        <v/>
      </c>
    </row>
    <row r="823" ht="22.5" customHeight="1">
      <c r="B823" s="13">
        <f t="shared" si="3"/>
        <v>817</v>
      </c>
      <c r="C823" s="15" t="str">
        <f t="array" ref="C823">IFNA(_xlfn.XLOOKUP(B823,Table_Respons_Loket[Count],Table_Respons_Loket[Nomor Tiket]),"")</f>
        <v>K/2/051124/2</v>
      </c>
      <c r="D823" s="15" t="str">
        <f t="array" ref="D823">IFNA(_xlfn.XLOOKUP(B823,Table_Respons_Loket[Count],Table_Respons_Loket[Daftar Nomor Hak]),"")</f>
        <v>M.631/LANGKAPURA BARU</v>
      </c>
      <c r="E823" s="17">
        <f t="array" ref="E823">IFNA(_xlfn.XLOOKUP(B823,Table_Respons_Loket[Count],Table_Respons_Loket[Time Stamp]),"")</f>
        <v>45601.39794</v>
      </c>
      <c r="F823" s="18" t="str">
        <f t="array" ref="F823">IFNA(_xlfn.XLOOKUP(B823,Table_Respons_Loket[Count],Table_Respons_Loket[Jenis Permohonan]),"")</f>
        <v>BN JUAL BELI</v>
      </c>
      <c r="G823" s="12" t="s">
        <v>48</v>
      </c>
      <c r="H823" s="12" t="s">
        <v>52</v>
      </c>
      <c r="I823" s="22">
        <f t="shared" si="7"/>
        <v>45602.56433</v>
      </c>
      <c r="J823" s="20" t="b">
        <v>0</v>
      </c>
      <c r="K823" s="13" t="str">
        <f t="shared" si="2"/>
        <v/>
      </c>
    </row>
    <row r="824" ht="22.5" customHeight="1">
      <c r="B824" s="13">
        <f t="shared" si="3"/>
        <v>818</v>
      </c>
      <c r="C824" s="15" t="str">
        <f t="array" ref="C824">IFNA(_xlfn.XLOOKUP(B824,Table_Respons_Loket[Count],Table_Respons_Loket[Nomor Tiket]),"")</f>
        <v>K/3/051124/3</v>
      </c>
      <c r="D824" s="15" t="str">
        <f t="array" ref="D824">IFNA(_xlfn.XLOOKUP(B824,Table_Respons_Loket[Count],Table_Respons_Loket[Daftar Nomor Hak]),"")</f>
        <v>M.1524/RAJABASA JAYA</v>
      </c>
      <c r="E824" s="17">
        <f t="array" ref="E824">IFNA(_xlfn.XLOOKUP(B824,Table_Respons_Loket[Count],Table_Respons_Loket[Time Stamp]),"")</f>
        <v>45601.39872</v>
      </c>
      <c r="F824" s="18" t="str">
        <f t="array" ref="F824">IFNA(_xlfn.XLOOKUP(B824,Table_Respons_Loket[Count],Table_Respons_Loket[Jenis Permohonan]),"")</f>
        <v>BN JUAL BELI</v>
      </c>
      <c r="G824" s="12" t="s">
        <v>48</v>
      </c>
      <c r="H824" s="12" t="s">
        <v>52</v>
      </c>
      <c r="I824" s="22">
        <f t="shared" si="7"/>
        <v>45602.56645</v>
      </c>
      <c r="J824" s="20" t="b">
        <v>0</v>
      </c>
      <c r="K824" s="13" t="str">
        <f t="shared" si="2"/>
        <v/>
      </c>
    </row>
    <row r="825" ht="22.5" customHeight="1">
      <c r="B825" s="13">
        <f t="shared" si="3"/>
        <v>819</v>
      </c>
      <c r="C825" s="15" t="str">
        <f t="array" ref="C825">IFNA(_xlfn.XLOOKUP(B825,Table_Respons_Loket[Count],Table_Respons_Loket[Nomor Tiket]),"")</f>
        <v>K/4/051124/1</v>
      </c>
      <c r="D825" s="15" t="str">
        <f t="array" ref="D825">IFNA(_xlfn.XLOOKUP(B825,Table_Respons_Loket[Count],Table_Respons_Loket[Daftar Nomor Hak]),"")</f>
        <v>M. 11995/ Segala Mider</v>
      </c>
      <c r="E825" s="17">
        <f t="array" ref="E825">IFNA(_xlfn.XLOOKUP(B825,Table_Respons_Loket[Count],Table_Respons_Loket[Time Stamp]),"")</f>
        <v>45601.40693</v>
      </c>
      <c r="F825" s="18" t="str">
        <f t="array" ref="F825">IFNA(_xlfn.XLOOKUP(B825,Table_Respons_Loket[Count],Table_Respons_Loket[Jenis Permohonan]),"")</f>
        <v>BN Hibah</v>
      </c>
      <c r="G825" s="12" t="s">
        <v>48</v>
      </c>
      <c r="H825" s="12" t="s">
        <v>52</v>
      </c>
      <c r="I825" s="22">
        <f t="shared" si="7"/>
        <v>45602.56733</v>
      </c>
      <c r="J825" s="20" t="b">
        <v>0</v>
      </c>
      <c r="K825" s="13" t="str">
        <f t="shared" si="2"/>
        <v/>
      </c>
    </row>
    <row r="826" ht="22.5" customHeight="1">
      <c r="B826" s="13">
        <f t="shared" si="3"/>
        <v>820</v>
      </c>
      <c r="C826" s="15" t="str">
        <f t="array" ref="C826">IFNA(_xlfn.XLOOKUP(B826,Table_Respons_Loket[Count],Table_Respons_Loket[Nomor Tiket]),"")</f>
        <v>K/6/051124/1</v>
      </c>
      <c r="D826" s="15" t="str">
        <f t="array" ref="D826">IFNA(_xlfn.XLOOKUP(B826,Table_Respons_Loket[Count],Table_Respons_Loket[Daftar Nomor Hak]),"")</f>
        <v>M.1447/KOTA KARANG</v>
      </c>
      <c r="E826" s="17">
        <f t="array" ref="E826">IFNA(_xlfn.XLOOKUP(B826,Table_Respons_Loket[Count],Table_Respons_Loket[Time Stamp]),"")</f>
        <v>45601.41061</v>
      </c>
      <c r="F826" s="18" t="str">
        <f t="array" ref="F826">IFNA(_xlfn.XLOOKUP(B826,Table_Respons_Loket[Count],Table_Respons_Loket[Jenis Permohonan]),"")</f>
        <v>PLOTING</v>
      </c>
      <c r="G826" s="24"/>
      <c r="H826" s="24"/>
      <c r="I826" s="22" t="str">
        <f t="shared" si="7"/>
        <v/>
      </c>
      <c r="J826" s="20" t="b">
        <v>0</v>
      </c>
      <c r="K826" s="13" t="str">
        <f t="shared" si="2"/>
        <v/>
      </c>
    </row>
    <row r="827" ht="22.5" customHeight="1">
      <c r="B827" s="13">
        <f t="shared" si="3"/>
        <v>821</v>
      </c>
      <c r="C827" s="15" t="str">
        <f t="array" ref="C827">IFNA(_xlfn.XLOOKUP(B827,Table_Respons_Loket[Count],Table_Respons_Loket[Nomor Tiket]),"")</f>
        <v>L/8/051124/1</v>
      </c>
      <c r="D827" s="15" t="str">
        <f t="array" ref="D827">IFNA(_xlfn.XLOOKUP(B827,Table_Respons_Loket[Count],Table_Respons_Loket[Daftar Nomor Hak]),"")</f>
        <v>M.1311 /GUNUNG SULAH </v>
      </c>
      <c r="E827" s="17">
        <f t="array" ref="E827">IFNA(_xlfn.XLOOKUP(B827,Table_Respons_Loket[Count],Table_Respons_Loket[Time Stamp]),"")</f>
        <v>45601.4115</v>
      </c>
      <c r="F827" s="18" t="str">
        <f t="array" ref="F827">IFNA(_xlfn.XLOOKUP(B827,Table_Respons_Loket[Count],Table_Respons_Loket[Jenis Permohonan]),"")</f>
        <v>SERTIFIKAT PENGGANTI KARENA HILANG</v>
      </c>
      <c r="G827" s="12" t="s">
        <v>48</v>
      </c>
      <c r="H827" s="12" t="s">
        <v>87</v>
      </c>
      <c r="I827" s="22">
        <f t="shared" si="7"/>
        <v>45602.56595</v>
      </c>
      <c r="J827" s="20" t="b">
        <v>0</v>
      </c>
      <c r="K827" s="13" t="str">
        <f t="shared" si="2"/>
        <v/>
      </c>
    </row>
    <row r="828" ht="22.5" customHeight="1">
      <c r="B828" s="13">
        <f t="shared" si="3"/>
        <v>822</v>
      </c>
      <c r="C828" s="15" t="str">
        <f t="array" ref="C828">IFNA(_xlfn.XLOOKUP(B828,Table_Respons_Loket[Count],Table_Respons_Loket[Nomor Tiket]),"")</f>
        <v>K/7/051124/2</v>
      </c>
      <c r="D828" s="15" t="str">
        <f t="array" ref="D828">IFNA(_xlfn.XLOOKUP(B828,Table_Respons_Loket[Count],Table_Respons_Loket[Daftar Nomor Hak]),"")</f>
        <v>m.1815/RAJABASA NUNYAI_SEKARANG;b.1210/RAJABASA-DAHULU</v>
      </c>
      <c r="E828" s="17">
        <f t="array" ref="E828">IFNA(_xlfn.XLOOKUP(B828,Table_Respons_Loket[Count],Table_Respons_Loket[Time Stamp]),"")</f>
        <v>45601.41183</v>
      </c>
      <c r="F828" s="18" t="str">
        <f t="array" ref="F828">IFNA(_xlfn.XLOOKUP(B828,Table_Respons_Loket[Count],Table_Respons_Loket[Jenis Permohonan]),"")</f>
        <v>BN JUAL BELI</v>
      </c>
      <c r="G828" s="12" t="s">
        <v>48</v>
      </c>
      <c r="H828" s="12" t="s">
        <v>52</v>
      </c>
      <c r="I828" s="22">
        <f t="shared" si="7"/>
        <v>45614.66166</v>
      </c>
      <c r="J828" s="20" t="b">
        <v>0</v>
      </c>
      <c r="K828" s="13" t="str">
        <f t="shared" si="2"/>
        <v/>
      </c>
    </row>
    <row r="829" ht="22.5" customHeight="1">
      <c r="B829" s="13">
        <f t="shared" si="3"/>
        <v>823</v>
      </c>
      <c r="C829" s="15" t="str">
        <f t="array" ref="C829">IFNA(_xlfn.XLOOKUP(B829,Table_Respons_Loket[Count],Table_Respons_Loket[Nomor Tiket]),"")</f>
        <v>K/5/051124/1</v>
      </c>
      <c r="D829" s="15" t="str">
        <f t="array" ref="D829">IFNA(_xlfn.XLOOKUP(B829,Table_Respons_Loket[Count],Table_Respons_Loket[Daftar Nomor Hak]),"")</f>
        <v>M. 4226/ LANGKAPURA</v>
      </c>
      <c r="E829" s="17">
        <f t="array" ref="E829">IFNA(_xlfn.XLOOKUP(B829,Table_Respons_Loket[Count],Table_Respons_Loket[Time Stamp]),"")</f>
        <v>45601.41326</v>
      </c>
      <c r="F829" s="18" t="str">
        <f t="array" ref="F829">IFNA(_xlfn.XLOOKUP(B829,Table_Respons_Loket[Count],Table_Respons_Loket[Jenis Permohonan]),"")</f>
        <v>SERTIPKAT HILANG</v>
      </c>
      <c r="G829" s="12" t="s">
        <v>48</v>
      </c>
      <c r="H829" s="12" t="s">
        <v>47</v>
      </c>
      <c r="I829" s="22" t="str">
        <f t="shared" si="7"/>
        <v/>
      </c>
      <c r="J829" s="20" t="b">
        <v>0</v>
      </c>
      <c r="K829" s="13" t="str">
        <f t="shared" si="2"/>
        <v/>
      </c>
    </row>
    <row r="830" ht="22.5" customHeight="1">
      <c r="B830" s="13">
        <f t="shared" si="3"/>
        <v>824</v>
      </c>
      <c r="C830" s="15" t="str">
        <f t="array" ref="C830">IFNA(_xlfn.XLOOKUP(B830,Table_Respons_Loket[Count],Table_Respons_Loket[Nomor Tiket]),"")</f>
        <v>K/9/051124/1</v>
      </c>
      <c r="D830" s="15" t="str">
        <f t="array" ref="D830">IFNA(_xlfn.XLOOKUP(B830,Table_Respons_Loket[Count],Table_Respons_Loket[Daftar Nomor Hak]),"")</f>
        <v>M. 236/ L R R</v>
      </c>
      <c r="E830" s="17">
        <f t="array" ref="E830">IFNA(_xlfn.XLOOKUP(B830,Table_Respons_Loket[Count],Table_Respons_Loket[Time Stamp]),"")</f>
        <v>45601.41477</v>
      </c>
      <c r="F830" s="18" t="str">
        <f t="array" ref="F830">IFNA(_xlfn.XLOOKUP(B830,Table_Respons_Loket[Count],Table_Respons_Loket[Jenis Permohonan]),"")</f>
        <v>PTPGT (Pemecahan)</v>
      </c>
      <c r="G830" s="24"/>
      <c r="H830" s="24"/>
      <c r="I830" s="22" t="str">
        <f t="shared" si="7"/>
        <v/>
      </c>
      <c r="J830" s="20" t="b">
        <v>0</v>
      </c>
      <c r="K830" s="13" t="str">
        <f t="shared" si="2"/>
        <v/>
      </c>
    </row>
    <row r="831" ht="22.5" customHeight="1">
      <c r="B831" s="13">
        <f t="shared" si="3"/>
        <v>825</v>
      </c>
      <c r="C831" s="15" t="str">
        <f t="array" ref="C831">IFNA(_xlfn.XLOOKUP(B831,Table_Respons_Loket[Count],Table_Respons_Loket[Nomor Tiket]),"")</f>
        <v>K/10/051124/1</v>
      </c>
      <c r="D831" s="15" t="str">
        <f t="array" ref="D831">IFNA(_xlfn.XLOOKUP(B831,Table_Respons_Loket[Count],Table_Respons_Loket[Daftar Nomor Hak]),"")</f>
        <v>M. 253/ Tanjung Raya</v>
      </c>
      <c r="E831" s="17">
        <f t="array" ref="E831">IFNA(_xlfn.XLOOKUP(B831,Table_Respons_Loket[Count],Table_Respons_Loket[Time Stamp]),"")</f>
        <v>45601.42587</v>
      </c>
      <c r="F831" s="18" t="str">
        <f t="array" ref="F831">IFNA(_xlfn.XLOOKUP(B831,Table_Respons_Loket[Count],Table_Respons_Loket[Jenis Permohonan]),"")</f>
        <v>Gandes</v>
      </c>
      <c r="G831" s="24"/>
      <c r="H831" s="24"/>
      <c r="I831" s="22" t="str">
        <f t="shared" si="7"/>
        <v/>
      </c>
      <c r="J831" s="20" t="b">
        <v>0</v>
      </c>
      <c r="K831" s="13" t="str">
        <f t="shared" si="2"/>
        <v/>
      </c>
    </row>
    <row r="832" ht="22.5" customHeight="1">
      <c r="B832" s="13">
        <f t="shared" si="3"/>
        <v>826</v>
      </c>
      <c r="C832" s="15" t="str">
        <f t="array" ref="C832">IFNA(_xlfn.XLOOKUP(B832,Table_Respons_Loket[Count],Table_Respons_Loket[Nomor Tiket]),"")</f>
        <v>K/12/051124/3</v>
      </c>
      <c r="D832" s="15" t="str">
        <f t="array" ref="D832">IFNA(_xlfn.XLOOKUP(B832,Table_Respons_Loket[Count],Table_Respons_Loket[Daftar Nomor Hak]),"")</f>
        <v>M.417/NUSANTARA PERMAI-SEKARANG;B.381/CAMPANG RAYA-DAHULU</v>
      </c>
      <c r="E832" s="17">
        <f t="array" ref="E832">IFNA(_xlfn.XLOOKUP(B832,Table_Respons_Loket[Count],Table_Respons_Loket[Time Stamp]),"")</f>
        <v>45601.42648</v>
      </c>
      <c r="F832" s="18" t="str">
        <f t="array" ref="F832">IFNA(_xlfn.XLOOKUP(B832,Table_Respons_Loket[Count],Table_Respons_Loket[Jenis Permohonan]),"")</f>
        <v>BN JUAL BELI</v>
      </c>
      <c r="G832" s="12" t="s">
        <v>48</v>
      </c>
      <c r="H832" s="12" t="s">
        <v>52</v>
      </c>
      <c r="I832" s="22">
        <f t="shared" si="7"/>
        <v>45602.56659</v>
      </c>
      <c r="J832" s="20" t="b">
        <v>0</v>
      </c>
      <c r="K832" s="13" t="str">
        <f t="shared" si="2"/>
        <v/>
      </c>
    </row>
    <row r="833" ht="22.5" customHeight="1">
      <c r="B833" s="13">
        <f t="shared" si="3"/>
        <v>827</v>
      </c>
      <c r="C833" s="15" t="str">
        <f t="array" ref="C833">IFNA(_xlfn.XLOOKUP(B833,Table_Respons_Loket[Count],Table_Respons_Loket[Nomor Tiket]),"")</f>
        <v>K/11/051124/2</v>
      </c>
      <c r="D833" s="15" t="str">
        <f t="array" ref="D833">IFNA(_xlfn.XLOOKUP(B833,Table_Respons_Loket[Count],Table_Respons_Loket[Daftar Nomor Hak]),"")</f>
        <v>M. 184/ Gunung Terang</v>
      </c>
      <c r="E833" s="17">
        <f t="array" ref="E833">IFNA(_xlfn.XLOOKUP(B833,Table_Respons_Loket[Count],Table_Respons_Loket[Time Stamp]),"")</f>
        <v>45601.4265</v>
      </c>
      <c r="F833" s="18" t="str">
        <f t="array" ref="F833">IFNA(_xlfn.XLOOKUP(B833,Table_Respons_Loket[Count],Table_Respons_Loket[Jenis Permohonan]),"")</f>
        <v>Gandes</v>
      </c>
      <c r="G833" s="24"/>
      <c r="H833" s="24"/>
      <c r="I833" s="22" t="str">
        <f t="shared" si="7"/>
        <v/>
      </c>
      <c r="J833" s="20" t="b">
        <v>0</v>
      </c>
      <c r="K833" s="13" t="str">
        <f t="shared" si="2"/>
        <v/>
      </c>
    </row>
    <row r="834" ht="22.5" customHeight="1">
      <c r="B834" s="13">
        <f t="shared" si="3"/>
        <v>828</v>
      </c>
      <c r="C834" s="15" t="str">
        <f t="array" ref="C834">IFNA(_xlfn.XLOOKUP(B834,Table_Respons_Loket[Count],Table_Respons_Loket[Nomor Tiket]),"")</f>
        <v>K/13/051124/1</v>
      </c>
      <c r="D834" s="15" t="str">
        <f t="array" ref="D834">IFNA(_xlfn.XLOOKUP(B834,Table_Respons_Loket[Count],Table_Respons_Loket[Daftar Nomor Hak]),"")</f>
        <v>M. 471/ Harapan Jaya</v>
      </c>
      <c r="E834" s="17">
        <f t="array" ref="E834">IFNA(_xlfn.XLOOKUP(B834,Table_Respons_Loket[Count],Table_Respons_Loket[Time Stamp]),"")</f>
        <v>45601.42787</v>
      </c>
      <c r="F834" s="18" t="str">
        <f t="array" ref="F834">IFNA(_xlfn.XLOOKUP(B834,Table_Respons_Loket[Count],Table_Respons_Loket[Jenis Permohonan]),"")</f>
        <v>Gandes</v>
      </c>
      <c r="G834" s="24"/>
      <c r="H834" s="24"/>
      <c r="I834" s="22" t="str">
        <f t="shared" si="7"/>
        <v/>
      </c>
      <c r="J834" s="20" t="b">
        <v>0</v>
      </c>
      <c r="K834" s="13" t="str">
        <f t="shared" si="2"/>
        <v/>
      </c>
    </row>
    <row r="835" ht="22.5" customHeight="1">
      <c r="B835" s="13">
        <f t="shared" si="3"/>
        <v>829</v>
      </c>
      <c r="C835" s="15" t="str">
        <f t="array" ref="C835">IFNA(_xlfn.XLOOKUP(B835,Table_Respons_Loket[Count],Table_Respons_Loket[Nomor Tiket]),"")</f>
        <v>K/14/051124/2</v>
      </c>
      <c r="D835" s="15" t="str">
        <f t="array" ref="D835">IFNA(_xlfn.XLOOKUP(B835,Table_Respons_Loket[Count],Table_Respons_Loket[Daftar Nomor Hak]),"")</f>
        <v>M. 1110/ Sumur Putri</v>
      </c>
      <c r="E835" s="17">
        <f t="array" ref="E835">IFNA(_xlfn.XLOOKUP(B835,Table_Respons_Loket[Count],Table_Respons_Loket[Time Stamp]),"")</f>
        <v>45601.42932</v>
      </c>
      <c r="F835" s="18" t="str">
        <f t="array" ref="F835">IFNA(_xlfn.XLOOKUP(B835,Table_Respons_Loket[Count],Table_Respons_Loket[Jenis Permohonan]),"")</f>
        <v>Ploting</v>
      </c>
      <c r="G835" s="24"/>
      <c r="H835" s="24"/>
      <c r="I835" s="22" t="str">
        <f t="shared" si="7"/>
        <v/>
      </c>
      <c r="J835" s="20" t="b">
        <v>0</v>
      </c>
      <c r="K835" s="13" t="str">
        <f t="shared" si="2"/>
        <v/>
      </c>
    </row>
    <row r="836" ht="22.5" customHeight="1">
      <c r="B836" s="13">
        <f t="shared" si="3"/>
        <v>830</v>
      </c>
      <c r="C836" s="15" t="str">
        <f t="array" ref="C836">IFNA(_xlfn.XLOOKUP(B836,Table_Respons_Loket[Count],Table_Respons_Loket[Nomor Tiket]),"")</f>
        <v>K/15/051124/3</v>
      </c>
      <c r="D836" s="15" t="str">
        <f t="array" ref="D836">IFNA(_xlfn.XLOOKUP(B836,Table_Respons_Loket[Count],Table_Respons_Loket[Daftar Nomor Hak]),"")</f>
        <v>M. 937/ Gunung Terang</v>
      </c>
      <c r="E836" s="17">
        <f t="array" ref="E836">IFNA(_xlfn.XLOOKUP(B836,Table_Respons_Loket[Count],Table_Respons_Loket[Time Stamp]),"")</f>
        <v>45601.43497</v>
      </c>
      <c r="F836" s="18" t="str">
        <f t="array" ref="F836">IFNA(_xlfn.XLOOKUP(B836,Table_Respons_Loket[Count],Table_Respons_Loket[Jenis Permohonan]),"")</f>
        <v>BN PHB</v>
      </c>
      <c r="G836" s="12" t="s">
        <v>48</v>
      </c>
      <c r="H836" s="12" t="s">
        <v>52</v>
      </c>
      <c r="I836" s="22">
        <f t="shared" si="7"/>
        <v>45602.56623</v>
      </c>
      <c r="J836" s="20" t="b">
        <v>0</v>
      </c>
      <c r="K836" s="13" t="str">
        <f t="shared" si="2"/>
        <v/>
      </c>
    </row>
    <row r="837" ht="22.5" customHeight="1">
      <c r="B837" s="13">
        <f t="shared" si="3"/>
        <v>831</v>
      </c>
      <c r="C837" s="15" t="str">
        <f t="array" ref="C837">IFNA(_xlfn.XLOOKUP(B837,Table_Respons_Loket[Count],Table_Respons_Loket[Nomor Tiket]),"")</f>
        <v>K/16/051124/1</v>
      </c>
      <c r="D837" s="15" t="str">
        <f t="array" ref="D837">IFNA(_xlfn.XLOOKUP(B837,Table_Respons_Loket[Count],Table_Respons_Loket[Daftar Nomor Hak]),"")</f>
        <v>M.6050/WAY KANDIS</v>
      </c>
      <c r="E837" s="17">
        <f t="array" ref="E837">IFNA(_xlfn.XLOOKUP(B837,Table_Respons_Loket[Count],Table_Respons_Loket[Time Stamp]),"")</f>
        <v>45601.43692</v>
      </c>
      <c r="F837" s="18" t="str">
        <f t="array" ref="F837">IFNA(_xlfn.XLOOKUP(B837,Table_Respons_Loket[Count],Table_Respons_Loket[Jenis Permohonan]),"")</f>
        <v>BN JUAL BELI</v>
      </c>
      <c r="G837" s="12" t="s">
        <v>48</v>
      </c>
      <c r="H837" s="12" t="s">
        <v>52</v>
      </c>
      <c r="I837" s="22">
        <f t="shared" si="7"/>
        <v>45602.56491</v>
      </c>
      <c r="J837" s="20" t="b">
        <v>0</v>
      </c>
      <c r="K837" s="13" t="str">
        <f t="shared" si="2"/>
        <v/>
      </c>
    </row>
    <row r="838" ht="22.5" customHeight="1">
      <c r="B838" s="13">
        <f t="shared" si="3"/>
        <v>832</v>
      </c>
      <c r="C838" s="15" t="str">
        <f t="array" ref="C838">IFNA(_xlfn.XLOOKUP(B838,Table_Respons_Loket[Count],Table_Respons_Loket[Nomor Tiket]),"")</f>
        <v>K/17/051124/1</v>
      </c>
      <c r="D838" s="15" t="str">
        <f t="array" ref="D838">IFNA(_xlfn.XLOOKUP(B838,Table_Respons_Loket[Count],Table_Respons_Loket[Daftar Nomor Hak]),"")</f>
        <v>M. 776/ NOG; B. 809/ N O G-dahulu</v>
      </c>
      <c r="E838" s="17">
        <f t="array" ref="E838">IFNA(_xlfn.XLOOKUP(B838,Table_Respons_Loket[Count],Table_Respons_Loket[Time Stamp]),"")</f>
        <v>45601.4495</v>
      </c>
      <c r="F838" s="18" t="str">
        <f t="array" ref="F838">IFNA(_xlfn.XLOOKUP(B838,Table_Respons_Loket[Count],Table_Respons_Loket[Jenis Permohonan]),"")</f>
        <v>Roya</v>
      </c>
      <c r="G838" s="12" t="s">
        <v>48</v>
      </c>
      <c r="H838" s="12" t="s">
        <v>52</v>
      </c>
      <c r="I838" s="22">
        <f t="shared" si="7"/>
        <v>45602.5671</v>
      </c>
      <c r="J838" s="20" t="b">
        <v>0</v>
      </c>
      <c r="K838" s="13" t="str">
        <f t="shared" si="2"/>
        <v/>
      </c>
    </row>
    <row r="839" ht="22.5" customHeight="1">
      <c r="B839" s="13">
        <f t="shared" si="3"/>
        <v>833</v>
      </c>
      <c r="C839" s="15" t="str">
        <f t="array" ref="C839">IFNA(_xlfn.XLOOKUP(B839,Table_Respons_Loket[Count],Table_Respons_Loket[Nomor Tiket]),"")</f>
        <v>L/18/051124/1</v>
      </c>
      <c r="D839" s="15" t="str">
        <f t="array" ref="D839">IFNA(_xlfn.XLOOKUP(B839,Table_Respons_Loket[Count],Table_Respons_Loket[Daftar Nomor Hak]),"")</f>
        <v>M.4410/BERINGIN RAYA</v>
      </c>
      <c r="E839" s="17">
        <f t="array" ref="E839">IFNA(_xlfn.XLOOKUP(B839,Table_Respons_Loket[Count],Table_Respons_Loket[Time Stamp]),"")</f>
        <v>45601.45361</v>
      </c>
      <c r="F839" s="18" t="str">
        <f t="array" ref="F839">IFNA(_xlfn.XLOOKUP(B839,Table_Respons_Loket[Count],Table_Respons_Loket[Jenis Permohonan]),"")</f>
        <v>ROYA</v>
      </c>
      <c r="G839" s="12" t="s">
        <v>48</v>
      </c>
      <c r="H839" s="12" t="s">
        <v>52</v>
      </c>
      <c r="I839" s="22">
        <f t="shared" si="7"/>
        <v>45602.56858</v>
      </c>
      <c r="J839" s="20" t="b">
        <v>0</v>
      </c>
      <c r="K839" s="13" t="str">
        <f t="shared" si="2"/>
        <v/>
      </c>
    </row>
    <row r="840" ht="22.5" customHeight="1">
      <c r="B840" s="13">
        <f t="shared" si="3"/>
        <v>834</v>
      </c>
      <c r="C840" s="15" t="str">
        <f t="array" ref="C840">IFNA(_xlfn.XLOOKUP(B840,Table_Respons_Loket[Count],Table_Respons_Loket[Nomor Tiket]),"")</f>
        <v>K/19/051124/1</v>
      </c>
      <c r="D840" s="15" t="str">
        <f t="array" ref="D840">IFNA(_xlfn.XLOOKUP(B840,Table_Respons_Loket[Count],Table_Respons_Loket[Daftar Nomor Hak]),"")</f>
        <v>M.2429/KEDAUNG</v>
      </c>
      <c r="E840" s="17">
        <f t="array" ref="E840">IFNA(_xlfn.XLOOKUP(B840,Table_Respons_Loket[Count],Table_Respons_Loket[Time Stamp]),"")</f>
        <v>45601.46082</v>
      </c>
      <c r="F840" s="18" t="str">
        <f t="array" ref="F840">IFNA(_xlfn.XLOOKUP(B840,Table_Respons_Loket[Count],Table_Respons_Loket[Jenis Permohonan]),"")</f>
        <v>BN JUAL BELI</v>
      </c>
      <c r="G840" s="12" t="s">
        <v>48</v>
      </c>
      <c r="H840" s="12" t="s">
        <v>52</v>
      </c>
      <c r="I840" s="22">
        <f t="shared" si="7"/>
        <v>45602.56312</v>
      </c>
      <c r="J840" s="20" t="b">
        <v>0</v>
      </c>
      <c r="K840" s="13" t="str">
        <f t="shared" si="2"/>
        <v/>
      </c>
    </row>
    <row r="841" ht="22.5" customHeight="1">
      <c r="B841" s="13">
        <f t="shared" si="3"/>
        <v>835</v>
      </c>
      <c r="C841" s="15" t="str">
        <f t="array" ref="C841">IFNA(_xlfn.XLOOKUP(B841,Table_Respons_Loket[Count],Table_Respons_Loket[Nomor Tiket]),"")</f>
        <v>K/20/051124/1</v>
      </c>
      <c r="D841" s="15" t="str">
        <f t="array" ref="D841">IFNA(_xlfn.XLOOKUP(B841,Table_Respons_Loket[Count],Table_Respons_Loket[Daftar Nomor Hak]),"")</f>
        <v>Nibel. B. 3021/ Kemiling Permai</v>
      </c>
      <c r="E841" s="17">
        <f t="array" ref="E841">IFNA(_xlfn.XLOOKUP(B841,Table_Respons_Loket[Count],Table_Respons_Loket[Time Stamp]),"")</f>
        <v>45601.46138</v>
      </c>
      <c r="F841" s="18" t="str">
        <f t="array" ref="F841">IFNA(_xlfn.XLOOKUP(B841,Table_Respons_Loket[Count],Table_Respons_Loket[Jenis Permohonan]),"")</f>
        <v>Perubahan Hak</v>
      </c>
      <c r="G841" s="24"/>
      <c r="H841" s="24"/>
      <c r="I841" s="22" t="str">
        <f t="shared" si="7"/>
        <v/>
      </c>
      <c r="J841" s="20" t="b">
        <v>0</v>
      </c>
      <c r="K841" s="13" t="str">
        <f t="shared" si="2"/>
        <v/>
      </c>
    </row>
    <row r="842" ht="22.5" customHeight="1">
      <c r="B842" s="13">
        <f t="shared" si="3"/>
        <v>836</v>
      </c>
      <c r="C842" s="15" t="str">
        <f t="array" ref="C842">IFNA(_xlfn.XLOOKUP(B842,Table_Respons_Loket[Count],Table_Respons_Loket[Nomor Tiket]),"")</f>
        <v>K/21/051124/2</v>
      </c>
      <c r="D842" s="15" t="str">
        <f t="array" ref="D842">IFNA(_xlfn.XLOOKUP(B842,Table_Respons_Loket[Count],Table_Respons_Loket[Daftar Nomor Hak]),"")</f>
        <v>B. 208/ Gunung Sari</v>
      </c>
      <c r="E842" s="17">
        <f t="array" ref="E842">IFNA(_xlfn.XLOOKUP(B842,Table_Respons_Loket[Count],Table_Respons_Loket[Time Stamp]),"")</f>
        <v>45601.46338</v>
      </c>
      <c r="F842" s="18" t="str">
        <f t="array" ref="F842">IFNA(_xlfn.XLOOKUP(B842,Table_Respons_Loket[Count],Table_Respons_Loket[Jenis Permohonan]),"")</f>
        <v>Pengecekan</v>
      </c>
      <c r="G842" s="24"/>
      <c r="H842" s="24"/>
      <c r="I842" s="22" t="str">
        <f t="shared" si="7"/>
        <v/>
      </c>
      <c r="J842" s="20" t="b">
        <v>0</v>
      </c>
      <c r="K842" s="13" t="str">
        <f t="shared" si="2"/>
        <v/>
      </c>
    </row>
    <row r="843" ht="22.5" customHeight="1">
      <c r="B843" s="13">
        <f t="shared" si="3"/>
        <v>837</v>
      </c>
      <c r="C843" s="15" t="str">
        <f t="array" ref="C843">IFNA(_xlfn.XLOOKUP(B843,Table_Respons_Loket[Count],Table_Respons_Loket[Nomor Tiket]),"")</f>
        <v>K/22/051124/2</v>
      </c>
      <c r="D843" s="15" t="str">
        <f t="array" ref="D843">IFNA(_xlfn.XLOOKUP(B843,Table_Respons_Loket[Count],Table_Respons_Loket[Daftar Nomor Hak]),"")</f>
        <v>M.2425/KEDAUNG</v>
      </c>
      <c r="E843" s="17">
        <f t="array" ref="E843">IFNA(_xlfn.XLOOKUP(B843,Table_Respons_Loket[Count],Table_Respons_Loket[Time Stamp]),"")</f>
        <v>45601.46471</v>
      </c>
      <c r="F843" s="18" t="str">
        <f t="array" ref="F843">IFNA(_xlfn.XLOOKUP(B843,Table_Respons_Loket[Count],Table_Respons_Loket[Jenis Permohonan]),"")</f>
        <v>BN JUAL BELI</v>
      </c>
      <c r="G843" s="12" t="s">
        <v>48</v>
      </c>
      <c r="H843" s="12" t="s">
        <v>52</v>
      </c>
      <c r="I843" s="22">
        <f t="shared" si="7"/>
        <v>45602.56403</v>
      </c>
      <c r="J843" s="20" t="b">
        <v>0</v>
      </c>
      <c r="K843" s="13" t="str">
        <f t="shared" si="2"/>
        <v/>
      </c>
    </row>
    <row r="844" ht="22.5" customHeight="1">
      <c r="B844" s="13">
        <f t="shared" si="3"/>
        <v>838</v>
      </c>
      <c r="C844" s="15" t="str">
        <f t="array" ref="C844">IFNA(_xlfn.XLOOKUP(B844,Table_Respons_Loket[Count],Table_Respons_Loket[Nomor Tiket]),"")</f>
        <v>K/23/051124/1</v>
      </c>
      <c r="D844" s="15" t="str">
        <f t="array" ref="D844">IFNA(_xlfn.XLOOKUP(B844,Table_Respons_Loket[Count],Table_Respons_Loket[Daftar Nomor Hak]),"")</f>
        <v>Nibel 641/ Gunung Sulah</v>
      </c>
      <c r="E844" s="17">
        <f t="array" ref="E844">IFNA(_xlfn.XLOOKUP(B844,Table_Respons_Loket[Count],Table_Respons_Loket[Time Stamp]),"")</f>
        <v>45601.4656</v>
      </c>
      <c r="F844" s="18" t="str">
        <f t="array" ref="F844">IFNA(_xlfn.XLOOKUP(B844,Table_Respons_Loket[Count],Table_Respons_Loket[Jenis Permohonan]),"")</f>
        <v>BN JUAL BELI</v>
      </c>
      <c r="G844" s="24"/>
      <c r="H844" s="24"/>
      <c r="I844" s="22" t="str">
        <f t="shared" si="7"/>
        <v/>
      </c>
      <c r="J844" s="20" t="b">
        <v>0</v>
      </c>
      <c r="K844" s="13" t="str">
        <f t="shared" si="2"/>
        <v/>
      </c>
    </row>
    <row r="845" ht="22.5" customHeight="1">
      <c r="B845" s="13">
        <f t="shared" si="3"/>
        <v>839</v>
      </c>
      <c r="C845" s="15" t="str">
        <f t="array" ref="C845">IFNA(_xlfn.XLOOKUP(B845,Table_Respons_Loket[Count],Table_Respons_Loket[Nomor Tiket]),"")</f>
        <v>K/24/051124/2</v>
      </c>
      <c r="D845" s="15" t="str">
        <f t="array" ref="D845">IFNA(_xlfn.XLOOKUP(B845,Table_Respons_Loket[Count],Table_Respons_Loket[Daftar Nomor Hak]),"")</f>
        <v>Nibel 504/ Gunung Sulah</v>
      </c>
      <c r="E845" s="17">
        <f t="array" ref="E845">IFNA(_xlfn.XLOOKUP(B845,Table_Respons_Loket[Count],Table_Respons_Loket[Time Stamp]),"")</f>
        <v>45601.47311</v>
      </c>
      <c r="F845" s="18" t="str">
        <f t="array" ref="F845">IFNA(_xlfn.XLOOKUP(B845,Table_Respons_Loket[Count],Table_Respons_Loket[Jenis Permohonan]),"")</f>
        <v>BN JUAL BELI</v>
      </c>
      <c r="G845" s="24"/>
      <c r="H845" s="24"/>
      <c r="I845" s="22" t="str">
        <f t="shared" si="7"/>
        <v/>
      </c>
      <c r="J845" s="20" t="b">
        <v>0</v>
      </c>
      <c r="K845" s="13" t="str">
        <f t="shared" si="2"/>
        <v/>
      </c>
    </row>
    <row r="846" ht="22.5" customHeight="1">
      <c r="B846" s="13">
        <f t="shared" si="3"/>
        <v>840</v>
      </c>
      <c r="C846" s="15" t="str">
        <f t="array" ref="C846">IFNA(_xlfn.XLOOKUP(B846,Table_Respons_Loket[Count],Table_Respons_Loket[Nomor Tiket]),"")</f>
        <v>K/26/051124/1</v>
      </c>
      <c r="D846" s="15" t="str">
        <f t="array" ref="D846">IFNA(_xlfn.XLOOKUP(B846,Table_Respons_Loket[Count],Table_Respons_Loket[Daftar Nomor Hak]),"")</f>
        <v>M. 14387/ Rajabasa; SHT 2838/ 2018</v>
      </c>
      <c r="E846" s="17">
        <f t="array" ref="E846">IFNA(_xlfn.XLOOKUP(B846,Table_Respons_Loket[Count],Table_Respons_Loket[Time Stamp]),"")</f>
        <v>45601.47375</v>
      </c>
      <c r="F846" s="18" t="str">
        <f t="array" ref="F846">IFNA(_xlfn.XLOOKUP(B846,Table_Respons_Loket[Count],Table_Respons_Loket[Jenis Permohonan]),"")</f>
        <v>Roya</v>
      </c>
      <c r="G846" s="12" t="s">
        <v>48</v>
      </c>
      <c r="H846" s="12" t="s">
        <v>47</v>
      </c>
      <c r="I846" s="22" t="str">
        <f t="shared" si="7"/>
        <v/>
      </c>
      <c r="J846" s="20" t="b">
        <v>0</v>
      </c>
      <c r="K846" s="13" t="str">
        <f t="shared" si="2"/>
        <v/>
      </c>
    </row>
    <row r="847" ht="22.5" customHeight="1">
      <c r="B847" s="13">
        <f t="shared" si="3"/>
        <v>841</v>
      </c>
      <c r="C847" s="15" t="str">
        <f t="array" ref="C847">IFNA(_xlfn.XLOOKUP(B847,Table_Respons_Loket[Count],Table_Respons_Loket[Nomor Tiket]),"")</f>
        <v>K/27/051124/2</v>
      </c>
      <c r="D847" s="15" t="str">
        <f t="array" ref="D847">IFNA(_xlfn.XLOOKUP(B847,Table_Respons_Loket[Count],Table_Respons_Loket[Daftar Nomor Hak]),"")</f>
        <v>M. 2693/ Sukadana Ham</v>
      </c>
      <c r="E847" s="17">
        <f t="array" ref="E847">IFNA(_xlfn.XLOOKUP(B847,Table_Respons_Loket[Count],Table_Respons_Loket[Time Stamp]),"")</f>
        <v>45601.47625</v>
      </c>
      <c r="F847" s="18" t="str">
        <f t="array" ref="F847">IFNA(_xlfn.XLOOKUP(B847,Table_Respons_Loket[Count],Table_Respons_Loket[Jenis Permohonan]),"")</f>
        <v>BN Waris</v>
      </c>
      <c r="G847" s="12" t="s">
        <v>48</v>
      </c>
      <c r="H847" s="12" t="s">
        <v>52</v>
      </c>
      <c r="I847" s="22">
        <f t="shared" si="7"/>
        <v>45602.56686</v>
      </c>
      <c r="J847" s="20" t="b">
        <v>0</v>
      </c>
      <c r="K847" s="13" t="str">
        <f t="shared" si="2"/>
        <v/>
      </c>
    </row>
    <row r="848" ht="22.5" customHeight="1">
      <c r="B848" s="13">
        <f t="shared" si="3"/>
        <v>842</v>
      </c>
      <c r="C848" s="15" t="str">
        <f t="array" ref="C848">IFNA(_xlfn.XLOOKUP(B848,Table_Respons_Loket[Count],Table_Respons_Loket[Nomor Tiket]),"")</f>
        <v>K/25/051124/3</v>
      </c>
      <c r="D848" s="15" t="str">
        <f t="array" ref="D848">IFNA(_xlfn.XLOOKUP(B848,Table_Respons_Loket[Count],Table_Respons_Loket[Daftar Nomor Hak]),"")</f>
        <v>Nibel 505/ Gunung Sulah</v>
      </c>
      <c r="E848" s="17">
        <f t="array" ref="E848">IFNA(_xlfn.XLOOKUP(B848,Table_Respons_Loket[Count],Table_Respons_Loket[Time Stamp]),"")</f>
        <v>45601.47636</v>
      </c>
      <c r="F848" s="18" t="str">
        <f t="array" ref="F848">IFNA(_xlfn.XLOOKUP(B848,Table_Respons_Loket[Count],Table_Respons_Loket[Jenis Permohonan]),"")</f>
        <v>BN JUAL BELI</v>
      </c>
      <c r="G848" s="24"/>
      <c r="H848" s="24"/>
      <c r="I848" s="22" t="str">
        <f t="shared" si="7"/>
        <v/>
      </c>
      <c r="J848" s="20" t="b">
        <v>0</v>
      </c>
      <c r="K848" s="13" t="str">
        <f t="shared" si="2"/>
        <v/>
      </c>
    </row>
    <row r="849" ht="22.5" customHeight="1">
      <c r="B849" s="13">
        <f t="shared" si="3"/>
        <v>843</v>
      </c>
      <c r="C849" s="15" t="str">
        <f t="array" ref="C849">IFNA(_xlfn.XLOOKUP(B849,Table_Respons_Loket[Count],Table_Respons_Loket[Nomor Tiket]),"")</f>
        <v>K/29/051124/4</v>
      </c>
      <c r="D849" s="15" t="str">
        <f t="array" ref="D849">IFNA(_xlfn.XLOOKUP(B849,Table_Respons_Loket[Count],Table_Respons_Loket[Daftar Nomor Hak]),"")</f>
        <v>M. 168/ Bumi Raya</v>
      </c>
      <c r="E849" s="17">
        <f t="array" ref="E849">IFNA(_xlfn.XLOOKUP(B849,Table_Respons_Loket[Count],Table_Respons_Loket[Time Stamp]),"")</f>
        <v>45601.47926</v>
      </c>
      <c r="F849" s="18" t="str">
        <f t="array" ref="F849">IFNA(_xlfn.XLOOKUP(B849,Table_Respons_Loket[Count],Table_Respons_Loket[Jenis Permohonan]),"")</f>
        <v>BN JUAL BELI</v>
      </c>
      <c r="G849" s="12" t="s">
        <v>50</v>
      </c>
      <c r="H849" s="12" t="s">
        <v>52</v>
      </c>
      <c r="I849" s="22">
        <f t="shared" si="7"/>
        <v>45602.56959</v>
      </c>
      <c r="J849" s="20" t="b">
        <v>0</v>
      </c>
      <c r="K849" s="13" t="str">
        <f t="shared" si="2"/>
        <v/>
      </c>
    </row>
    <row r="850" ht="22.5" customHeight="1">
      <c r="B850" s="13">
        <f t="shared" si="3"/>
        <v>844</v>
      </c>
      <c r="C850" s="15" t="str">
        <f t="array" ref="C850">IFNA(_xlfn.XLOOKUP(B850,Table_Respons_Loket[Count],Table_Respons_Loket[Nomor Tiket]),"")</f>
        <v>K/30/051124/5</v>
      </c>
      <c r="D850" s="15" t="str">
        <f t="array" ref="D850">IFNA(_xlfn.XLOOKUP(B850,Table_Respons_Loket[Count],Table_Respons_Loket[Daftar Nomor Hak]),"")</f>
        <v>M. 1055/ PemaTang Wangi</v>
      </c>
      <c r="E850" s="17">
        <f t="array" ref="E850">IFNA(_xlfn.XLOOKUP(B850,Table_Respons_Loket[Count],Table_Respons_Loket[Time Stamp]),"")</f>
        <v>45601.48095</v>
      </c>
      <c r="F850" s="18" t="str">
        <f t="array" ref="F850">IFNA(_xlfn.XLOOKUP(B850,Table_Respons_Loket[Count],Table_Respons_Loket[Jenis Permohonan]),"")</f>
        <v>BN JUAL BELI</v>
      </c>
      <c r="G850" s="12" t="s">
        <v>50</v>
      </c>
      <c r="H850" s="12" t="s">
        <v>52</v>
      </c>
      <c r="I850" s="22">
        <f t="shared" si="7"/>
        <v>45602.57149</v>
      </c>
      <c r="J850" s="20" t="b">
        <v>0</v>
      </c>
      <c r="K850" s="13" t="str">
        <f t="shared" si="2"/>
        <v/>
      </c>
    </row>
    <row r="851" ht="22.5" customHeight="1">
      <c r="B851" s="13">
        <f t="shared" si="3"/>
        <v>845</v>
      </c>
      <c r="C851" s="15" t="str">
        <f t="array" ref="C851">IFNA(_xlfn.XLOOKUP(B851,Table_Respons_Loket[Count],Table_Respons_Loket[Nomor Tiket]),"")</f>
        <v>L/31/051124/1</v>
      </c>
      <c r="D851" s="15" t="str">
        <f t="array" ref="D851">IFNA(_xlfn.XLOOKUP(B851,Table_Respons_Loket[Count],Table_Respons_Loket[Daftar Nomor Hak]),"")</f>
        <v>M.286/LABUHAN RATU RAYA</v>
      </c>
      <c r="E851" s="17">
        <f t="array" ref="E851">IFNA(_xlfn.XLOOKUP(B851,Table_Respons_Loket[Count],Table_Respons_Loket[Time Stamp]),"")</f>
        <v>45601.48284</v>
      </c>
      <c r="F851" s="18" t="str">
        <f t="array" ref="F851">IFNA(_xlfn.XLOOKUP(B851,Table_Respons_Loket[Count],Table_Respons_Loket[Jenis Permohonan]),"")</f>
        <v>ROYA</v>
      </c>
      <c r="G851" s="12" t="s">
        <v>50</v>
      </c>
      <c r="H851" s="12" t="s">
        <v>52</v>
      </c>
      <c r="I851" s="22">
        <f t="shared" si="7"/>
        <v>45602.57115</v>
      </c>
      <c r="J851" s="20" t="b">
        <v>0</v>
      </c>
      <c r="K851" s="13" t="str">
        <f t="shared" si="2"/>
        <v/>
      </c>
    </row>
    <row r="852" ht="22.5" customHeight="1">
      <c r="B852" s="13">
        <f t="shared" si="3"/>
        <v>846</v>
      </c>
      <c r="C852" s="15" t="str">
        <f t="array" ref="C852">IFNA(_xlfn.XLOOKUP(B852,Table_Respons_Loket[Count],Table_Respons_Loket[Nomor Tiket]),"")</f>
        <v>K/32/051124/1</v>
      </c>
      <c r="D852" s="15" t="str">
        <f t="array" ref="D852">IFNA(_xlfn.XLOOKUP(B852,Table_Respons_Loket[Count],Table_Respons_Loket[Daftar Nomor Hak]),"")</f>
        <v>M. 11712/ Sukarame</v>
      </c>
      <c r="E852" s="17">
        <f t="array" ref="E852">IFNA(_xlfn.XLOOKUP(B852,Table_Respons_Loket[Count],Table_Respons_Loket[Time Stamp]),"")</f>
        <v>45601.48712</v>
      </c>
      <c r="F852" s="18" t="str">
        <f t="array" ref="F852">IFNA(_xlfn.XLOOKUP(B852,Table_Respons_Loket[Count],Table_Respons_Loket[Jenis Permohonan]),"")</f>
        <v>Gandes</v>
      </c>
      <c r="G852" s="24"/>
      <c r="H852" s="24"/>
      <c r="I852" s="22" t="str">
        <f t="shared" si="7"/>
        <v/>
      </c>
      <c r="J852" s="20" t="b">
        <v>0</v>
      </c>
      <c r="K852" s="13" t="str">
        <f t="shared" si="2"/>
        <v/>
      </c>
    </row>
    <row r="853" ht="22.5" customHeight="1">
      <c r="B853" s="13">
        <f t="shared" si="3"/>
        <v>847</v>
      </c>
      <c r="C853" s="15" t="str">
        <f t="array" ref="C853">IFNA(_xlfn.XLOOKUP(B853,Table_Respons_Loket[Count],Table_Respons_Loket[Nomor Tiket]),"")</f>
        <v>L/33/051124/1</v>
      </c>
      <c r="D853" s="15" t="str">
        <f t="array" ref="D853">IFNA(_xlfn.XLOOKUP(B853,Table_Respons_Loket[Count],Table_Respons_Loket[Daftar Nomor Hak]),"")</f>
        <v>M.154/SUSUNAN BARU</v>
      </c>
      <c r="E853" s="17">
        <f t="array" ref="E853">IFNA(_xlfn.XLOOKUP(B853,Table_Respons_Loket[Count],Table_Respons_Loket[Time Stamp]),"")</f>
        <v>45601.49158</v>
      </c>
      <c r="F853" s="18" t="str">
        <f t="array" ref="F853">IFNA(_xlfn.XLOOKUP(B853,Table_Respons_Loket[Count],Table_Respons_Loket[Jenis Permohonan]),"")</f>
        <v>SERTIPIKAT PENGGANTI KARENA HILANG</v>
      </c>
      <c r="G853" s="12" t="s">
        <v>50</v>
      </c>
      <c r="H853" s="12" t="s">
        <v>47</v>
      </c>
      <c r="I853" s="22" t="str">
        <f t="shared" si="7"/>
        <v/>
      </c>
      <c r="J853" s="20" t="b">
        <v>0</v>
      </c>
      <c r="K853" s="13" t="str">
        <f t="shared" si="2"/>
        <v/>
      </c>
    </row>
    <row r="854" ht="22.5" customHeight="1">
      <c r="B854" s="13">
        <f t="shared" si="3"/>
        <v>848</v>
      </c>
      <c r="C854" s="15" t="str">
        <f t="array" ref="C854">IFNA(_xlfn.XLOOKUP(B854,Table_Respons_Loket[Count],Table_Respons_Loket[Nomor Tiket]),"")</f>
        <v>K/34/051124/1</v>
      </c>
      <c r="D854" s="15" t="str">
        <f t="array" ref="D854">IFNA(_xlfn.XLOOKUP(B854,Table_Respons_Loket[Count],Table_Respons_Loket[Daftar Nomor Hak]),"")</f>
        <v>B.818/SUMUR PUTRI</v>
      </c>
      <c r="E854" s="17">
        <f t="array" ref="E854">IFNA(_xlfn.XLOOKUP(B854,Table_Respons_Loket[Count],Table_Respons_Loket[Time Stamp]),"")</f>
        <v>45601.49209</v>
      </c>
      <c r="F854" s="18" t="str">
        <f t="array" ref="F854">IFNA(_xlfn.XLOOKUP(B854,Table_Respons_Loket[Count],Table_Respons_Loket[Jenis Permohonan]),"")</f>
        <v>BN JUAL BELI</v>
      </c>
      <c r="G854" s="12" t="s">
        <v>50</v>
      </c>
      <c r="H854" s="12" t="s">
        <v>47</v>
      </c>
      <c r="I854" s="22" t="str">
        <f t="shared" si="7"/>
        <v/>
      </c>
      <c r="J854" s="20" t="b">
        <v>0</v>
      </c>
      <c r="K854" s="13" t="str">
        <f t="shared" si="2"/>
        <v/>
      </c>
    </row>
    <row r="855" ht="22.5" customHeight="1">
      <c r="B855" s="13">
        <f t="shared" si="3"/>
        <v>849</v>
      </c>
      <c r="C855" s="15" t="str">
        <f t="array" ref="C855">IFNA(_xlfn.XLOOKUP(B855,Table_Respons_Loket[Count],Table_Respons_Loket[Nomor Tiket]),"")</f>
        <v>K/35/051124/1</v>
      </c>
      <c r="D855" s="15" t="str">
        <f t="array" ref="D855">IFNA(_xlfn.XLOOKUP(B855,Table_Respons_Loket[Count],Table_Respons_Loket[Daftar Nomor Hak]),"")</f>
        <v>M. 12144/ SUKARAME I</v>
      </c>
      <c r="E855" s="17">
        <f t="array" ref="E855">IFNA(_xlfn.XLOOKUP(B855,Table_Respons_Loket[Count],Table_Respons_Loket[Time Stamp]),"")</f>
        <v>45601.55132</v>
      </c>
      <c r="F855" s="18" t="str">
        <f t="array" ref="F855">IFNA(_xlfn.XLOOKUP(B855,Table_Respons_Loket[Count],Table_Respons_Loket[Jenis Permohonan]),"")</f>
        <v>PLOTTING</v>
      </c>
      <c r="G855" s="24"/>
      <c r="H855" s="24"/>
      <c r="I855" s="22" t="str">
        <f t="shared" si="7"/>
        <v/>
      </c>
      <c r="J855" s="20" t="b">
        <v>0</v>
      </c>
      <c r="K855" s="13" t="str">
        <f t="shared" si="2"/>
        <v/>
      </c>
    </row>
    <row r="856" ht="22.5" customHeight="1">
      <c r="B856" s="13">
        <f t="shared" si="3"/>
        <v>850</v>
      </c>
      <c r="C856" s="15" t="str">
        <f t="array" ref="C856">IFNA(_xlfn.XLOOKUP(B856,Table_Respons_Loket[Count],Table_Respons_Loket[Nomor Tiket]),"")</f>
        <v>K/38/051124/1</v>
      </c>
      <c r="D856" s="15" t="str">
        <f t="array" ref="D856">IFNA(_xlfn.XLOOKUP(B856,Table_Respons_Loket[Count],Table_Respons_Loket[Daftar Nomor Hak]),"")</f>
        <v>M.573/PERUMNAS WAY KANDIS-SEKARANG;B.419/WAY KANDIS </v>
      </c>
      <c r="E856" s="17">
        <f t="array" ref="E856">IFNA(_xlfn.XLOOKUP(B856,Table_Respons_Loket[Count],Table_Respons_Loket[Time Stamp]),"")</f>
        <v>45601.55548</v>
      </c>
      <c r="F856" s="18" t="str">
        <f t="array" ref="F856">IFNA(_xlfn.XLOOKUP(B856,Table_Respons_Loket[Count],Table_Respons_Loket[Jenis Permohonan]),"")</f>
        <v>BN JUAL BELI</v>
      </c>
      <c r="G856" s="12" t="s">
        <v>50</v>
      </c>
      <c r="H856" s="12" t="s">
        <v>52</v>
      </c>
      <c r="I856" s="22">
        <f t="shared" si="7"/>
        <v>45602.57046</v>
      </c>
      <c r="J856" s="20" t="b">
        <v>0</v>
      </c>
      <c r="K856" s="13" t="str">
        <f t="shared" si="2"/>
        <v/>
      </c>
    </row>
    <row r="857" ht="22.5" customHeight="1">
      <c r="B857" s="13">
        <f t="shared" si="3"/>
        <v>851</v>
      </c>
      <c r="C857" s="15" t="str">
        <f t="array" ref="C857">IFNA(_xlfn.XLOOKUP(B857,Table_Respons_Loket[Count],Table_Respons_Loket[Nomor Tiket]),"")</f>
        <v>K/36/051124/2</v>
      </c>
      <c r="D857" s="15" t="str">
        <f t="array" ref="D857">IFNA(_xlfn.XLOOKUP(B857,Table_Respons_Loket[Count],Table_Respons_Loket[Daftar Nomor Hak]),"")</f>
        <v>M. 2167/ Labuhan Dalam</v>
      </c>
      <c r="E857" s="17">
        <f t="array" ref="E857">IFNA(_xlfn.XLOOKUP(B857,Table_Respons_Loket[Count],Table_Respons_Loket[Time Stamp]),"")</f>
        <v>45601.55623</v>
      </c>
      <c r="F857" s="18" t="str">
        <f t="array" ref="F857">IFNA(_xlfn.XLOOKUP(B857,Table_Respons_Loket[Count],Table_Respons_Loket[Jenis Permohonan]),"")</f>
        <v>HAPUS BPHTB</v>
      </c>
      <c r="G857" s="24"/>
      <c r="H857" s="24"/>
      <c r="I857" s="22" t="str">
        <f t="shared" si="7"/>
        <v/>
      </c>
      <c r="J857" s="20" t="b">
        <v>0</v>
      </c>
      <c r="K857" s="13" t="str">
        <f t="shared" si="2"/>
        <v/>
      </c>
    </row>
    <row r="858" ht="22.5" customHeight="1">
      <c r="B858" s="13">
        <f t="shared" si="3"/>
        <v>852</v>
      </c>
      <c r="C858" s="15" t="str">
        <f t="array" ref="C858">IFNA(_xlfn.XLOOKUP(B858,Table_Respons_Loket[Count],Table_Respons_Loket[Nomor Tiket]),"")</f>
        <v>K/39/051124/1</v>
      </c>
      <c r="D858" s="15" t="str">
        <f t="array" ref="D858">IFNA(_xlfn.XLOOKUP(B858,Table_Respons_Loket[Count],Table_Respons_Loket[Daftar Nomor Hak]),"")</f>
        <v>M. 876/ Korpri Jaya</v>
      </c>
      <c r="E858" s="17">
        <f t="array" ref="E858">IFNA(_xlfn.XLOOKUP(B858,Table_Respons_Loket[Count],Table_Respons_Loket[Time Stamp]),"")</f>
        <v>45601.55762</v>
      </c>
      <c r="F858" s="18" t="str">
        <f t="array" ref="F858">IFNA(_xlfn.XLOOKUP(B858,Table_Respons_Loket[Count],Table_Respons_Loket[Jenis Permohonan]),"")</f>
        <v>BN Jual Beli</v>
      </c>
      <c r="G858" s="12" t="s">
        <v>50</v>
      </c>
      <c r="H858" s="12" t="s">
        <v>52</v>
      </c>
      <c r="I858" s="22">
        <f t="shared" si="7"/>
        <v>45602.5717</v>
      </c>
      <c r="J858" s="20" t="b">
        <v>0</v>
      </c>
      <c r="K858" s="13" t="str">
        <f t="shared" si="2"/>
        <v/>
      </c>
    </row>
    <row r="859" ht="22.5" customHeight="1">
      <c r="B859" s="13">
        <f t="shared" si="3"/>
        <v>853</v>
      </c>
      <c r="C859" s="15" t="str">
        <f t="array" ref="C859">IFNA(_xlfn.XLOOKUP(B859,Table_Respons_Loket[Count],Table_Respons_Loket[Nomor Tiket]),"")</f>
        <v> K/37/051124/3</v>
      </c>
      <c r="D859" s="15" t="str">
        <f t="array" ref="D859">IFNA(_xlfn.XLOOKUP(B859,Table_Respons_Loket[Count],Table_Respons_Loket[Daftar Nomor Hak]),"")</f>
        <v>M. 1790/ Bakung</v>
      </c>
      <c r="E859" s="17">
        <f t="array" ref="E859">IFNA(_xlfn.XLOOKUP(B859,Table_Respons_Loket[Count],Table_Respons_Loket[Time Stamp]),"")</f>
        <v>45601.5585</v>
      </c>
      <c r="F859" s="18" t="str">
        <f t="array" ref="F859">IFNA(_xlfn.XLOOKUP(B859,Table_Respons_Loket[Count],Table_Respons_Loket[Jenis Permohonan]),"")</f>
        <v>HAPUS BPHTB</v>
      </c>
      <c r="G859" s="24"/>
      <c r="H859" s="24"/>
      <c r="I859" s="22" t="str">
        <f t="shared" si="7"/>
        <v/>
      </c>
      <c r="J859" s="20" t="b">
        <v>0</v>
      </c>
      <c r="K859" s="13" t="str">
        <f t="shared" si="2"/>
        <v/>
      </c>
    </row>
    <row r="860" ht="22.5" customHeight="1">
      <c r="B860" s="13">
        <f t="shared" si="3"/>
        <v>854</v>
      </c>
      <c r="C860" s="15" t="str">
        <f t="array" ref="C860">IFNA(_xlfn.XLOOKUP(B860,Table_Respons_Loket[Count],Table_Respons_Loket[Nomor Tiket]),"")</f>
        <v>K/41/051124/1</v>
      </c>
      <c r="D860" s="15" t="str">
        <f t="array" ref="D860">IFNA(_xlfn.XLOOKUP(B860,Table_Respons_Loket[Count],Table_Respons_Loket[Daftar Nomor Hak]),"")</f>
        <v>M.2303/CAMPANG JAYA-SEKARANG;M.1537/CAMPANG RAYA-DAHULU</v>
      </c>
      <c r="E860" s="17">
        <f t="array" ref="E860">IFNA(_xlfn.XLOOKUP(B860,Table_Respons_Loket[Count],Table_Respons_Loket[Time Stamp]),"")</f>
        <v>45601.56137</v>
      </c>
      <c r="F860" s="18" t="str">
        <f t="array" ref="F860">IFNA(_xlfn.XLOOKUP(B860,Table_Respons_Loket[Count],Table_Respons_Loket[Jenis Permohonan]),"")</f>
        <v>BN JUAL BELI</v>
      </c>
      <c r="G860" s="12" t="s">
        <v>50</v>
      </c>
      <c r="H860" s="12" t="s">
        <v>52</v>
      </c>
      <c r="I860" s="22">
        <f t="shared" si="7"/>
        <v>45602.56976</v>
      </c>
      <c r="J860" s="20" t="b">
        <v>0</v>
      </c>
      <c r="K860" s="13" t="str">
        <f t="shared" si="2"/>
        <v/>
      </c>
    </row>
    <row r="861" ht="22.5" customHeight="1">
      <c r="B861" s="13">
        <f t="shared" si="3"/>
        <v>855</v>
      </c>
      <c r="C861" s="15" t="str">
        <f t="array" ref="C861">IFNA(_xlfn.XLOOKUP(B861,Table_Respons_Loket[Count],Table_Respons_Loket[Nomor Tiket]),"")</f>
        <v>K/40/051124/4</v>
      </c>
      <c r="D861" s="15" t="str">
        <f t="array" ref="D861">IFNA(_xlfn.XLOOKUP(B861,Table_Respons_Loket[Count],Table_Respons_Loket[Daftar Nomor Hak]),"")</f>
        <v>M. 1372/ RAJABASA RAYA</v>
      </c>
      <c r="E861" s="17">
        <f t="array" ref="E861">IFNA(_xlfn.XLOOKUP(B861,Table_Respons_Loket[Count],Table_Respons_Loket[Time Stamp]),"")</f>
        <v>45601.56811</v>
      </c>
      <c r="F861" s="18" t="str">
        <f t="array" ref="F861">IFNA(_xlfn.XLOOKUP(B861,Table_Respons_Loket[Count],Table_Respons_Loket[Jenis Permohonan]),"")</f>
        <v>HAPUS BPHTB</v>
      </c>
      <c r="G861" s="24"/>
      <c r="H861" s="24"/>
      <c r="I861" s="22" t="str">
        <f t="shared" si="7"/>
        <v/>
      </c>
      <c r="J861" s="20" t="b">
        <v>0</v>
      </c>
      <c r="K861" s="13" t="str">
        <f t="shared" si="2"/>
        <v/>
      </c>
    </row>
    <row r="862" ht="22.5" customHeight="1">
      <c r="B862" s="13">
        <f t="shared" si="3"/>
        <v>856</v>
      </c>
      <c r="C862" s="15" t="str">
        <f t="array" ref="C862">IFNA(_xlfn.XLOOKUP(B862,Table_Respons_Loket[Count],Table_Respons_Loket[Nomor Tiket]),"")</f>
        <v>K/42/051124/1</v>
      </c>
      <c r="D862" s="15" t="str">
        <f t="array" ref="D862">IFNA(_xlfn.XLOOKUP(B862,Table_Respons_Loket[Count],Table_Respons_Loket[Daftar Nomor Hak]),"")</f>
        <v>M. 1979/ Way Halim Permai</v>
      </c>
      <c r="E862" s="17">
        <f t="array" ref="E862">IFNA(_xlfn.XLOOKUP(B862,Table_Respons_Loket[Count],Table_Respons_Loket[Time Stamp]),"")</f>
        <v>45601.57018</v>
      </c>
      <c r="F862" s="18" t="str">
        <f t="array" ref="F862">IFNA(_xlfn.XLOOKUP(B862,Table_Respons_Loket[Count],Table_Respons_Loket[Jenis Permohonan]),"")</f>
        <v>BN JUAL BELI</v>
      </c>
      <c r="G862" s="12" t="s">
        <v>48</v>
      </c>
      <c r="H862" s="12" t="s">
        <v>52</v>
      </c>
      <c r="I862" s="22">
        <f t="shared" si="7"/>
        <v>45602.58638</v>
      </c>
      <c r="J862" s="20" t="b">
        <v>0</v>
      </c>
      <c r="K862" s="13" t="str">
        <f t="shared" si="2"/>
        <v/>
      </c>
    </row>
    <row r="863" ht="22.5" customHeight="1">
      <c r="B863" s="13">
        <f t="shared" si="3"/>
        <v>857</v>
      </c>
      <c r="C863" s="15" t="str">
        <f t="array" ref="C863">IFNA(_xlfn.XLOOKUP(B863,Table_Respons_Loket[Count],Table_Respons_Loket[Nomor Tiket]),"")</f>
        <v>K/43/051124/2</v>
      </c>
      <c r="D863" s="15" t="str">
        <f t="array" ref="D863">IFNA(_xlfn.XLOOKUP(B863,Table_Respons_Loket[Count],Table_Respons_Loket[Daftar Nomor Hak]),"")</f>
        <v>M. 2660/ Sukarame Baru</v>
      </c>
      <c r="E863" s="17">
        <f t="array" ref="E863">IFNA(_xlfn.XLOOKUP(B863,Table_Respons_Loket[Count],Table_Respons_Loket[Time Stamp]),"")</f>
        <v>45601.5717</v>
      </c>
      <c r="F863" s="18" t="str">
        <f t="array" ref="F863">IFNA(_xlfn.XLOOKUP(B863,Table_Respons_Loket[Count],Table_Respons_Loket[Jenis Permohonan]),"")</f>
        <v>BN Jual Beli</v>
      </c>
      <c r="G863" s="24"/>
      <c r="H863" s="24"/>
      <c r="I863" s="22" t="str">
        <f t="shared" si="7"/>
        <v/>
      </c>
      <c r="J863" s="20" t="b">
        <v>0</v>
      </c>
      <c r="K863" s="13" t="str">
        <f t="shared" si="2"/>
        <v/>
      </c>
    </row>
    <row r="864" ht="22.5" customHeight="1">
      <c r="B864" s="13">
        <f t="shared" si="3"/>
        <v>858</v>
      </c>
      <c r="C864" s="15" t="str">
        <f t="array" ref="C864">IFNA(_xlfn.XLOOKUP(B864,Table_Respons_Loket[Count],Table_Respons_Loket[Nomor Tiket]),"")</f>
        <v>K/44/051124/1</v>
      </c>
      <c r="D864" s="15" t="str">
        <f t="array" ref="D864">IFNA(_xlfn.XLOOKUP(B864,Table_Respons_Loket[Count],Table_Respons_Loket[Daftar Nomor Hak]),"")</f>
        <v>M.3994/WAY KANDIS</v>
      </c>
      <c r="E864" s="17">
        <f t="array" ref="E864">IFNA(_xlfn.XLOOKUP(B864,Table_Respons_Loket[Count],Table_Respons_Loket[Time Stamp]),"")</f>
        <v>45601.57795</v>
      </c>
      <c r="F864" s="18" t="str">
        <f t="array" ref="F864">IFNA(_xlfn.XLOOKUP(B864,Table_Respons_Loket[Count],Table_Respons_Loket[Jenis Permohonan]),"")</f>
        <v>KEWARISAN</v>
      </c>
      <c r="G864" s="12" t="s">
        <v>50</v>
      </c>
      <c r="H864" s="12" t="s">
        <v>52</v>
      </c>
      <c r="I864" s="22">
        <f t="shared" si="7"/>
        <v>45602.57011</v>
      </c>
      <c r="J864" s="20" t="b">
        <v>0</v>
      </c>
      <c r="K864" s="13" t="str">
        <f t="shared" si="2"/>
        <v/>
      </c>
    </row>
    <row r="865" ht="22.5" customHeight="1">
      <c r="B865" s="13">
        <f t="shared" si="3"/>
        <v>859</v>
      </c>
      <c r="C865" s="15" t="str">
        <f t="array" ref="C865">IFNA(_xlfn.XLOOKUP(B865,Table_Respons_Loket[Count],Table_Respons_Loket[Nomor Tiket]),"")</f>
        <v>L/45/051124/1</v>
      </c>
      <c r="D865" s="15" t="str">
        <f t="array" ref="D865">IFNA(_xlfn.XLOOKUP(B865,Table_Respons_Loket[Count],Table_Respons_Loket[Daftar Nomor Hak]),"")</f>
        <v>SURABAYA</v>
      </c>
      <c r="E865" s="17">
        <f t="array" ref="E865">IFNA(_xlfn.XLOOKUP(B865,Table_Respons_Loket[Count],Table_Respons_Loket[Time Stamp]),"")</f>
        <v>45601.57948</v>
      </c>
      <c r="F865" s="18" t="str">
        <f t="array" ref="F865">IFNA(_xlfn.XLOOKUP(B865,Table_Respons_Loket[Count],Table_Respons_Loket[Jenis Permohonan]),"")</f>
        <v>ASPEK</v>
      </c>
      <c r="G865" s="24"/>
      <c r="H865" s="24"/>
      <c r="I865" s="22" t="str">
        <f t="shared" si="7"/>
        <v/>
      </c>
      <c r="J865" s="20" t="b">
        <v>0</v>
      </c>
      <c r="K865" s="13" t="str">
        <f t="shared" si="2"/>
        <v/>
      </c>
    </row>
    <row r="866" ht="22.5" customHeight="1">
      <c r="B866" s="13">
        <f t="shared" si="3"/>
        <v>860</v>
      </c>
      <c r="C866" s="15" t="str">
        <f t="array" ref="C866">IFNA(_xlfn.XLOOKUP(B866,Table_Respons_Loket[Count],Table_Respons_Loket[Nomor Tiket]),"")</f>
        <v>K/47/051124/1</v>
      </c>
      <c r="D866" s="15" t="str">
        <f t="array" ref="D866">IFNA(_xlfn.XLOOKUP(B866,Table_Respons_Loket[Count],Table_Respons_Loket[Daftar Nomor Hak]),"")</f>
        <v>M. 1825/ Panjang Utara</v>
      </c>
      <c r="E866" s="17">
        <f t="array" ref="E866">IFNA(_xlfn.XLOOKUP(B866,Table_Respons_Loket[Count],Table_Respons_Loket[Time Stamp]),"")</f>
        <v>45601.58597</v>
      </c>
      <c r="F866" s="18" t="str">
        <f t="array" ref="F866">IFNA(_xlfn.XLOOKUP(B866,Table_Respons_Loket[Count],Table_Respons_Loket[Jenis Permohonan]),"")</f>
        <v>BN WARIS</v>
      </c>
      <c r="G866" s="12" t="s">
        <v>50</v>
      </c>
      <c r="H866" s="12" t="s">
        <v>52</v>
      </c>
      <c r="I866" s="22">
        <f t="shared" si="7"/>
        <v>45602.5702</v>
      </c>
      <c r="J866" s="20" t="b">
        <v>0</v>
      </c>
      <c r="K866" s="13" t="str">
        <f t="shared" si="2"/>
        <v/>
      </c>
    </row>
    <row r="867" ht="22.5" customHeight="1">
      <c r="B867" s="13">
        <f t="shared" si="3"/>
        <v>861</v>
      </c>
      <c r="C867" s="15" t="str">
        <f t="array" ref="C867">IFNA(_xlfn.XLOOKUP(B867,Table_Respons_Loket[Count],Table_Respons_Loket[Nomor Tiket]),"")</f>
        <v>K/46/051124/4</v>
      </c>
      <c r="D867" s="15" t="str">
        <f t="array" ref="D867">IFNA(_xlfn.XLOOKUP(B867,Table_Respons_Loket[Count],Table_Respons_Loket[Daftar Nomor Hak]),"")</f>
        <v>M.12226/SUKABUMI-SEKARANG;B.2222/SUKABUMI-DAHULU</v>
      </c>
      <c r="E867" s="17">
        <f t="array" ref="E867">IFNA(_xlfn.XLOOKUP(B867,Table_Respons_Loket[Count],Table_Respons_Loket[Time Stamp]),"")</f>
        <v>45601.58715</v>
      </c>
      <c r="F867" s="18" t="str">
        <f t="array" ref="F867">IFNA(_xlfn.XLOOKUP(B867,Table_Respons_Loket[Count],Table_Respons_Loket[Jenis Permohonan]),"")</f>
        <v>GANTI NAMA KREDITUR</v>
      </c>
      <c r="G867" s="24"/>
      <c r="H867" s="24"/>
      <c r="I867" s="22" t="str">
        <f t="shared" si="7"/>
        <v/>
      </c>
      <c r="J867" s="20" t="b">
        <v>0</v>
      </c>
      <c r="K867" s="13" t="str">
        <f t="shared" si="2"/>
        <v/>
      </c>
    </row>
    <row r="868" ht="22.5" customHeight="1">
      <c r="B868" s="13">
        <f t="shared" si="3"/>
        <v>862</v>
      </c>
      <c r="C868" s="15" t="str">
        <f t="array" ref="C868">IFNA(_xlfn.XLOOKUP(B868,Table_Respons_Loket[Count],Table_Respons_Loket[Nomor Tiket]),"")</f>
        <v>L/49/051124/1</v>
      </c>
      <c r="D868" s="15" t="str">
        <f t="array" ref="D868">IFNA(_xlfn.XLOOKUP(B868,Table_Respons_Loket[Count],Table_Respons_Loket[Daftar Nomor Hak]),"")</f>
        <v>M.1669/KALIAWI</v>
      </c>
      <c r="E868" s="17">
        <f t="array" ref="E868">IFNA(_xlfn.XLOOKUP(B868,Table_Respons_Loket[Count],Table_Respons_Loket[Time Stamp]),"")</f>
        <v>45601.59003</v>
      </c>
      <c r="F868" s="18" t="str">
        <f t="array" ref="F868">IFNA(_xlfn.XLOOKUP(B868,Table_Respons_Loket[Count],Table_Respons_Loket[Jenis Permohonan]),"")</f>
        <v>ROYA</v>
      </c>
      <c r="G868" s="12" t="s">
        <v>50</v>
      </c>
      <c r="H868" s="12" t="s">
        <v>52</v>
      </c>
      <c r="I868" s="22">
        <f t="shared" si="7"/>
        <v>45602.57185</v>
      </c>
      <c r="J868" s="20" t="b">
        <v>0</v>
      </c>
      <c r="K868" s="13" t="str">
        <f t="shared" si="2"/>
        <v/>
      </c>
    </row>
    <row r="869" ht="22.5" customHeight="1">
      <c r="B869" s="13">
        <f t="shared" si="3"/>
        <v>863</v>
      </c>
      <c r="C869" s="15" t="str">
        <f t="array" ref="C869">IFNA(_xlfn.XLOOKUP(B869,Table_Respons_Loket[Count],Table_Respons_Loket[Nomor Tiket]),"")</f>
        <v>K/50/051124/1</v>
      </c>
      <c r="D869" s="15" t="str">
        <f t="array" ref="D869">IFNA(_xlfn.XLOOKUP(B869,Table_Respons_Loket[Count],Table_Respons_Loket[Daftar Nomor Hak]),"")</f>
        <v>M.1898/BUMI WARAS</v>
      </c>
      <c r="E869" s="17">
        <f t="array" ref="E869">IFNA(_xlfn.XLOOKUP(B869,Table_Respons_Loket[Count],Table_Respons_Loket[Time Stamp]),"")</f>
        <v>45601.59095</v>
      </c>
      <c r="F869" s="18" t="str">
        <f t="array" ref="F869">IFNA(_xlfn.XLOOKUP(B869,Table_Respons_Loket[Count],Table_Respons_Loket[Jenis Permohonan]),"")</f>
        <v>GANDES</v>
      </c>
      <c r="G869" s="24"/>
      <c r="H869" s="24"/>
      <c r="I869" s="22" t="str">
        <f t="shared" si="7"/>
        <v/>
      </c>
      <c r="J869" s="20" t="b">
        <v>0</v>
      </c>
      <c r="K869" s="13" t="str">
        <f t="shared" si="2"/>
        <v/>
      </c>
    </row>
    <row r="870" ht="22.5" customHeight="1">
      <c r="B870" s="13">
        <f t="shared" si="3"/>
        <v>864</v>
      </c>
      <c r="C870" s="15" t="str">
        <f t="array" ref="C870">IFNA(_xlfn.XLOOKUP(B870,Table_Respons_Loket[Count],Table_Respons_Loket[Nomor Tiket]),"")</f>
        <v>K/48/051124/1</v>
      </c>
      <c r="D870" s="15" t="str">
        <f t="array" ref="D870">IFNA(_xlfn.XLOOKUP(B870,Table_Respons_Loket[Count],Table_Respons_Loket[Daftar Nomor Hak]),"")</f>
        <v>M. 2268/ Pinang Jaya</v>
      </c>
      <c r="E870" s="17">
        <f t="array" ref="E870">IFNA(_xlfn.XLOOKUP(B870,Table_Respons_Loket[Count],Table_Respons_Loket[Time Stamp]),"")</f>
        <v>45601.59238</v>
      </c>
      <c r="F870" s="18" t="str">
        <f t="array" ref="F870">IFNA(_xlfn.XLOOKUP(B870,Table_Respons_Loket[Count],Table_Respons_Loket[Jenis Permohonan]),"")</f>
        <v>BN Jual Beli</v>
      </c>
      <c r="G870" s="12" t="s">
        <v>50</v>
      </c>
      <c r="H870" s="12" t="s">
        <v>52</v>
      </c>
      <c r="I870" s="22">
        <f t="shared" si="7"/>
        <v>45602.572</v>
      </c>
      <c r="J870" s="20" t="b">
        <v>0</v>
      </c>
      <c r="K870" s="13" t="str">
        <f t="shared" si="2"/>
        <v/>
      </c>
    </row>
    <row r="871" ht="22.5" customHeight="1">
      <c r="B871" s="13">
        <f t="shared" si="3"/>
        <v>865</v>
      </c>
      <c r="C871" s="15" t="str">
        <f t="array" ref="C871">IFNA(_xlfn.XLOOKUP(B871,Table_Respons_Loket[Count],Table_Respons_Loket[Nomor Tiket]),"")</f>
        <v>K/52/051124/2</v>
      </c>
      <c r="D871" s="15" t="str">
        <f t="array" ref="D871">IFNA(_xlfn.XLOOKUP(B871,Table_Respons_Loket[Count],Table_Respons_Loket[Daftar Nomor Hak]),"")</f>
        <v>M.2421/WAY KANDIS</v>
      </c>
      <c r="E871" s="17">
        <f t="array" ref="E871">IFNA(_xlfn.XLOOKUP(B871,Table_Respons_Loket[Count],Table_Respons_Loket[Time Stamp]),"")</f>
        <v>45601.59258</v>
      </c>
      <c r="F871" s="18" t="str">
        <f t="array" ref="F871">IFNA(_xlfn.XLOOKUP(B871,Table_Respons_Loket[Count],Table_Respons_Loket[Jenis Permohonan]),"")</f>
        <v>PLOTTING</v>
      </c>
      <c r="G871" s="24"/>
      <c r="H871" s="24"/>
      <c r="I871" s="22" t="str">
        <f t="shared" si="7"/>
        <v/>
      </c>
      <c r="J871" s="20" t="b">
        <v>0</v>
      </c>
      <c r="K871" s="13" t="str">
        <f t="shared" si="2"/>
        <v/>
      </c>
    </row>
    <row r="872" ht="22.5" customHeight="1">
      <c r="B872" s="13">
        <f t="shared" si="3"/>
        <v>866</v>
      </c>
      <c r="C872" s="15" t="str">
        <f t="array" ref="C872">IFNA(_xlfn.XLOOKUP(B872,Table_Respons_Loket[Count],Table_Respons_Loket[Nomor Tiket]),"")</f>
        <v>K/53/051124/1</v>
      </c>
      <c r="D872" s="15" t="str">
        <f t="array" ref="D872">IFNA(_xlfn.XLOOKUP(B872,Table_Respons_Loket[Count],Table_Respons_Loket[Daftar Nomor Hak]),"")</f>
        <v>M.344/BAKUNG</v>
      </c>
      <c r="E872" s="17">
        <f t="array" ref="E872">IFNA(_xlfn.XLOOKUP(B872,Table_Respons_Loket[Count],Table_Respons_Loket[Time Stamp]),"")</f>
        <v>45601.59381</v>
      </c>
      <c r="F872" s="18" t="str">
        <f t="array" ref="F872">IFNA(_xlfn.XLOOKUP(B872,Table_Respons_Loket[Count],Table_Respons_Loket[Jenis Permohonan]),"")</f>
        <v>PTPGT</v>
      </c>
      <c r="G872" s="24"/>
      <c r="H872" s="24"/>
      <c r="I872" s="22" t="str">
        <f t="shared" si="7"/>
        <v/>
      </c>
      <c r="J872" s="20" t="b">
        <v>0</v>
      </c>
      <c r="K872" s="13" t="str">
        <f t="shared" si="2"/>
        <v/>
      </c>
    </row>
    <row r="873" ht="22.5" customHeight="1">
      <c r="B873" s="13">
        <f t="shared" si="3"/>
        <v>867</v>
      </c>
      <c r="C873" s="15" t="str">
        <f t="array" ref="C873">IFNA(_xlfn.XLOOKUP(B873,Table_Respons_Loket[Count],Table_Respons_Loket[Nomor Tiket]),"")</f>
        <v>K/51/051124/1</v>
      </c>
      <c r="D873" s="15" t="str">
        <f t="array" ref="D873">IFNA(_xlfn.XLOOKUP(B873,Table_Respons_Loket[Count],Table_Respons_Loket[Daftar Nomor Hak]),"")</f>
        <v>M. 2122/ Way Kandis</v>
      </c>
      <c r="E873" s="17">
        <f t="array" ref="E873">IFNA(_xlfn.XLOOKUP(B873,Table_Respons_Loket[Count],Table_Respons_Loket[Time Stamp]),"")</f>
        <v>45601.59444</v>
      </c>
      <c r="F873" s="18" t="str">
        <f t="array" ref="F873">IFNA(_xlfn.XLOOKUP(B873,Table_Respons_Loket[Count],Table_Respons_Loket[Jenis Permohonan]),"")</f>
        <v>Ganti Nama</v>
      </c>
      <c r="G873" s="12" t="s">
        <v>48</v>
      </c>
      <c r="H873" s="12" t="s">
        <v>52</v>
      </c>
      <c r="I873" s="22">
        <f t="shared" si="7"/>
        <v>45614.66166</v>
      </c>
      <c r="J873" s="20" t="b">
        <v>0</v>
      </c>
      <c r="K873" s="13" t="str">
        <f t="shared" si="2"/>
        <v/>
      </c>
    </row>
    <row r="874" ht="22.5" customHeight="1">
      <c r="B874" s="13">
        <f t="shared" si="3"/>
        <v>868</v>
      </c>
      <c r="C874" s="15" t="str">
        <f t="array" ref="C874">IFNA(_xlfn.XLOOKUP(B874,Table_Respons_Loket[Count],Table_Respons_Loket[Nomor Tiket]),"")</f>
        <v>K/54/051124/1</v>
      </c>
      <c r="D874" s="15" t="str">
        <f t="array" ref="D874">IFNA(_xlfn.XLOOKUP(B874,Table_Respons_Loket[Count],Table_Respons_Loket[Daftar Nomor Hak]),"")</f>
        <v>M. 591/ Rajabasa Jaya</v>
      </c>
      <c r="E874" s="17">
        <f t="array" ref="E874">IFNA(_xlfn.XLOOKUP(B874,Table_Respons_Loket[Count],Table_Respons_Loket[Time Stamp]),"")</f>
        <v>45601.61146</v>
      </c>
      <c r="F874" s="18" t="str">
        <f t="array" ref="F874">IFNA(_xlfn.XLOOKUP(B874,Table_Respons_Loket[Count],Table_Respons_Loket[Jenis Permohonan]),"")</f>
        <v>BN Jual Beli</v>
      </c>
      <c r="G874" s="12" t="s">
        <v>50</v>
      </c>
      <c r="H874" s="12" t="s">
        <v>52</v>
      </c>
      <c r="I874" s="22">
        <f t="shared" si="7"/>
        <v>45602.56988</v>
      </c>
      <c r="J874" s="20" t="b">
        <v>0</v>
      </c>
      <c r="K874" s="13" t="str">
        <f t="shared" si="2"/>
        <v/>
      </c>
    </row>
    <row r="875" ht="22.5" customHeight="1">
      <c r="B875" s="13">
        <f t="shared" si="3"/>
        <v>869</v>
      </c>
      <c r="C875" s="15" t="str">
        <f t="array" ref="C875">IFNA(_xlfn.XLOOKUP(B875,Table_Respons_Loket[Count],Table_Respons_Loket[Nomor Tiket]),"")</f>
        <v>K/55/051124/1</v>
      </c>
      <c r="D875" s="15" t="str">
        <f t="array" ref="D875">IFNA(_xlfn.XLOOKUP(B875,Table_Respons_Loket[Count],Table_Respons_Loket[Daftar Nomor Hak]),"")</f>
        <v>M. 3237/ Labuhan Dalam</v>
      </c>
      <c r="E875" s="17">
        <f t="array" ref="E875">IFNA(_xlfn.XLOOKUP(B875,Table_Respons_Loket[Count],Table_Respons_Loket[Time Stamp]),"")</f>
        <v>45601.61252</v>
      </c>
      <c r="F875" s="18" t="str">
        <f t="array" ref="F875">IFNA(_xlfn.XLOOKUP(B875,Table_Respons_Loket[Count],Table_Respons_Loket[Jenis Permohonan]),"")</f>
        <v>BN JUAL BELI</v>
      </c>
      <c r="G875" s="12" t="s">
        <v>50</v>
      </c>
      <c r="H875" s="12" t="s">
        <v>47</v>
      </c>
      <c r="I875" s="22" t="str">
        <f t="shared" si="7"/>
        <v/>
      </c>
      <c r="J875" s="20" t="b">
        <v>0</v>
      </c>
      <c r="K875" s="13" t="str">
        <f t="shared" si="2"/>
        <v/>
      </c>
    </row>
    <row r="876" ht="22.5" customHeight="1">
      <c r="B876" s="13">
        <f t="shared" si="3"/>
        <v>870</v>
      </c>
      <c r="C876" s="15" t="str">
        <f t="array" ref="C876">IFNA(_xlfn.XLOOKUP(B876,Table_Respons_Loket[Count],Table_Respons_Loket[Nomor Tiket]),"")</f>
        <v>K/56/051124/1</v>
      </c>
      <c r="D876" s="15" t="str">
        <f t="array" ref="D876">IFNA(_xlfn.XLOOKUP(B876,Table_Respons_Loket[Count],Table_Respons_Loket[Daftar Nomor Hak]),"")</f>
        <v>Nibel. M. 1926/ Keteguhan</v>
      </c>
      <c r="E876" s="17">
        <f t="array" ref="E876">IFNA(_xlfn.XLOOKUP(B876,Table_Respons_Loket[Count],Table_Respons_Loket[Time Stamp]),"")</f>
        <v>45601.62225</v>
      </c>
      <c r="F876" s="18" t="str">
        <f t="array" ref="F876">IFNA(_xlfn.XLOOKUP(B876,Table_Respons_Loket[Count],Table_Respons_Loket[Jenis Permohonan]),"")</f>
        <v>BN Jual Beli</v>
      </c>
      <c r="G876" s="24"/>
      <c r="H876" s="24"/>
      <c r="I876" s="22" t="str">
        <f t="shared" si="7"/>
        <v/>
      </c>
      <c r="J876" s="20" t="b">
        <v>0</v>
      </c>
      <c r="K876" s="13" t="str">
        <f t="shared" si="2"/>
        <v/>
      </c>
    </row>
    <row r="877" ht="22.5" customHeight="1">
      <c r="B877" s="13">
        <f t="shared" si="3"/>
        <v>871</v>
      </c>
      <c r="C877" s="15" t="str">
        <f t="array" ref="C877">IFNA(_xlfn.XLOOKUP(B877,Table_Respons_Loket[Count],Table_Respons_Loket[Nomor Tiket]),"")</f>
        <v>K/58/051124/1</v>
      </c>
      <c r="D877" s="15" t="str">
        <f t="array" ref="D877">IFNA(_xlfn.XLOOKUP(B877,Table_Respons_Loket[Count],Table_Respons_Loket[Daftar Nomor Hak]),"")</f>
        <v>M.13163/KEDAMAIAN</v>
      </c>
      <c r="E877" s="17">
        <f t="array" ref="E877">IFNA(_xlfn.XLOOKUP(B877,Table_Respons_Loket[Count],Table_Respons_Loket[Time Stamp]),"")</f>
        <v>45601.62362</v>
      </c>
      <c r="F877" s="18" t="str">
        <f t="array" ref="F877">IFNA(_xlfn.XLOOKUP(B877,Table_Respons_Loket[Count],Table_Respons_Loket[Jenis Permohonan]),"")</f>
        <v>GANTI KECAMATAN</v>
      </c>
      <c r="G877" s="24"/>
      <c r="H877" s="24"/>
      <c r="I877" s="22" t="str">
        <f t="shared" si="7"/>
        <v/>
      </c>
      <c r="J877" s="20" t="b">
        <v>0</v>
      </c>
      <c r="K877" s="13" t="str">
        <f t="shared" si="2"/>
        <v/>
      </c>
    </row>
    <row r="878" ht="22.5" customHeight="1">
      <c r="B878" s="13">
        <f t="shared" si="3"/>
        <v>872</v>
      </c>
      <c r="C878" s="15" t="str">
        <f t="array" ref="C878">IFNA(_xlfn.XLOOKUP(B878,Table_Respons_Loket[Count],Table_Respons_Loket[Nomor Tiket]),"")</f>
        <v>K/59/051124/1</v>
      </c>
      <c r="D878" s="15" t="str">
        <f t="array" ref="D878">IFNA(_xlfn.XLOOKUP(B878,Table_Respons_Loket[Count],Table_Respons_Loket[Daftar Nomor Hak]),"")</f>
        <v>Nibel 435/ Kemiling Permai</v>
      </c>
      <c r="E878" s="17">
        <f t="array" ref="E878">IFNA(_xlfn.XLOOKUP(B878,Table_Respons_Loket[Count],Table_Respons_Loket[Time Stamp]),"")</f>
        <v>45601.62787</v>
      </c>
      <c r="F878" s="18" t="str">
        <f t="array" ref="F878">IFNA(_xlfn.XLOOKUP(B878,Table_Respons_Loket[Count],Table_Respons_Loket[Jenis Permohonan]),"")</f>
        <v>BN JUAL BELI</v>
      </c>
      <c r="G878" s="24"/>
      <c r="H878" s="24"/>
      <c r="I878" s="22" t="str">
        <f t="shared" si="7"/>
        <v/>
      </c>
      <c r="J878" s="20" t="b">
        <v>0</v>
      </c>
      <c r="K878" s="13" t="str">
        <f t="shared" si="2"/>
        <v/>
      </c>
    </row>
    <row r="879" ht="22.5" customHeight="1">
      <c r="B879" s="13">
        <f t="shared" si="3"/>
        <v>873</v>
      </c>
      <c r="C879" s="15" t="str">
        <f t="array" ref="C879">IFNA(_xlfn.XLOOKUP(B879,Table_Respons_Loket[Count],Table_Respons_Loket[Nomor Tiket]),"")</f>
        <v>K/57/051124/1</v>
      </c>
      <c r="D879" s="15" t="str">
        <f t="array" ref="D879">IFNA(_xlfn.XLOOKUP(B879,Table_Respons_Loket[Count],Table_Respons_Loket[Daftar Nomor Hak]),"")</f>
        <v>M.1132/SEPANG JAYA</v>
      </c>
      <c r="E879" s="17">
        <f t="array" ref="E879">IFNA(_xlfn.XLOOKUP(B879,Table_Respons_Loket[Count],Table_Respons_Loket[Time Stamp]),"")</f>
        <v>45601.63061</v>
      </c>
      <c r="F879" s="18" t="str">
        <f t="array" ref="F879">IFNA(_xlfn.XLOOKUP(B879,Table_Respons_Loket[Count],Table_Respons_Loket[Jenis Permohonan]),"")</f>
        <v>PLOTING</v>
      </c>
      <c r="G879" s="24"/>
      <c r="H879" s="24"/>
      <c r="I879" s="22" t="str">
        <f t="shared" si="7"/>
        <v/>
      </c>
      <c r="J879" s="20" t="b">
        <v>0</v>
      </c>
      <c r="K879" s="13" t="str">
        <f t="shared" si="2"/>
        <v/>
      </c>
    </row>
    <row r="880" ht="22.5" customHeight="1">
      <c r="B880" s="13">
        <f t="shared" si="3"/>
        <v>874</v>
      </c>
      <c r="C880" s="15" t="str">
        <f t="array" ref="C880">IFNA(_xlfn.XLOOKUP(B880,Table_Respons_Loket[Count],Table_Respons_Loket[Nomor Tiket]),"")</f>
        <v>K/60/051124/2</v>
      </c>
      <c r="D880" s="15" t="str">
        <f t="array" ref="D880">IFNA(_xlfn.XLOOKUP(B880,Table_Respons_Loket[Count],Table_Respons_Loket[Daftar Nomor Hak]),"")</f>
        <v>Nibel 448/ Kemiling Permai</v>
      </c>
      <c r="E880" s="17">
        <f t="array" ref="E880">IFNA(_xlfn.XLOOKUP(B880,Table_Respons_Loket[Count],Table_Respons_Loket[Time Stamp]),"")</f>
        <v>45601.63383</v>
      </c>
      <c r="F880" s="18" t="str">
        <f t="array" ref="F880">IFNA(_xlfn.XLOOKUP(B880,Table_Respons_Loket[Count],Table_Respons_Loket[Jenis Permohonan]),"")</f>
        <v>BN JUAL BELI</v>
      </c>
      <c r="G880" s="24"/>
      <c r="H880" s="24"/>
      <c r="I880" s="22" t="str">
        <f t="shared" si="7"/>
        <v/>
      </c>
      <c r="J880" s="20" t="b">
        <v>0</v>
      </c>
      <c r="K880" s="13" t="str">
        <f t="shared" si="2"/>
        <v/>
      </c>
    </row>
    <row r="881" ht="22.5" customHeight="1">
      <c r="B881" s="13">
        <f t="shared" si="3"/>
        <v>875</v>
      </c>
      <c r="C881" s="15" t="str">
        <f t="array" ref="C881">IFNA(_xlfn.XLOOKUP(B881,Table_Respons_Loket[Count],Table_Respons_Loket[Nomor Tiket]),"")</f>
        <v>K/61/051124/3</v>
      </c>
      <c r="D881" s="15" t="str">
        <f t="array" ref="D881">IFNA(_xlfn.XLOOKUP(B881,Table_Respons_Loket[Count],Table_Respons_Loket[Daftar Nomor Hak]),"")</f>
        <v>Nibel 394/ Kemiling Permai</v>
      </c>
      <c r="E881" s="17">
        <f t="array" ref="E881">IFNA(_xlfn.XLOOKUP(B881,Table_Respons_Loket[Count],Table_Respons_Loket[Time Stamp]),"")</f>
        <v>45601.6348</v>
      </c>
      <c r="F881" s="18" t="str">
        <f t="array" ref="F881">IFNA(_xlfn.XLOOKUP(B881,Table_Respons_Loket[Count],Table_Respons_Loket[Jenis Permohonan]),"")</f>
        <v>BN JUAL BELI</v>
      </c>
      <c r="G881" s="24"/>
      <c r="H881" s="24"/>
      <c r="I881" s="22" t="str">
        <f t="shared" si="7"/>
        <v/>
      </c>
      <c r="J881" s="20" t="b">
        <v>0</v>
      </c>
      <c r="K881" s="13" t="str">
        <f t="shared" si="2"/>
        <v/>
      </c>
    </row>
    <row r="882" ht="22.5" customHeight="1">
      <c r="B882" s="13">
        <f t="shared" si="3"/>
        <v>876</v>
      </c>
      <c r="C882" s="15" t="str">
        <f t="array" ref="C882">IFNA(_xlfn.XLOOKUP(B882,Table_Respons_Loket[Count],Table_Respons_Loket[Nomor Tiket]),"")</f>
        <v>K/63/051124/1</v>
      </c>
      <c r="D882" s="15" t="str">
        <f t="array" ref="D882">IFNA(_xlfn.XLOOKUP(B882,Table_Respons_Loket[Count],Table_Respons_Loket[Daftar Nomor Hak]),"")</f>
        <v>M.2297/TANJUNG SENENG</v>
      </c>
      <c r="E882" s="17">
        <f t="array" ref="E882">IFNA(_xlfn.XLOOKUP(B882,Table_Respons_Loket[Count],Table_Respons_Loket[Time Stamp]),"")</f>
        <v>45601.63545</v>
      </c>
      <c r="F882" s="18" t="str">
        <f t="array" ref="F882">IFNA(_xlfn.XLOOKUP(B882,Table_Respons_Loket[Count],Table_Respons_Loket[Jenis Permohonan]),"")</f>
        <v>GANDES</v>
      </c>
      <c r="G882" s="24"/>
      <c r="H882" s="24"/>
      <c r="I882" s="22" t="str">
        <f t="shared" si="7"/>
        <v/>
      </c>
      <c r="J882" s="20" t="b">
        <v>0</v>
      </c>
      <c r="K882" s="13" t="str">
        <f t="shared" si="2"/>
        <v/>
      </c>
    </row>
    <row r="883" ht="22.5" customHeight="1">
      <c r="B883" s="13">
        <f t="shared" si="3"/>
        <v>877</v>
      </c>
      <c r="C883" s="15" t="str">
        <f t="array" ref="C883">IFNA(_xlfn.XLOOKUP(B883,Table_Respons_Loket[Count],Table_Respons_Loket[Nomor Tiket]),"")</f>
        <v>K/62/051124/4</v>
      </c>
      <c r="D883" s="15" t="str">
        <f t="array" ref="D883">IFNA(_xlfn.XLOOKUP(B883,Table_Respons_Loket[Count],Table_Respons_Loket[Daftar Nomor Hak]),"")</f>
        <v>M. 12720/ Kedaton</v>
      </c>
      <c r="E883" s="17">
        <f t="array" ref="E883">IFNA(_xlfn.XLOOKUP(B883,Table_Respons_Loket[Count],Table_Respons_Loket[Time Stamp]),"")</f>
        <v>45601.63588</v>
      </c>
      <c r="F883" s="18" t="str">
        <f t="array" ref="F883">IFNA(_xlfn.XLOOKUP(B883,Table_Respons_Loket[Count],Table_Respons_Loket[Jenis Permohonan]),"")</f>
        <v>BN JUAL BELI</v>
      </c>
      <c r="G883" s="12" t="s">
        <v>50</v>
      </c>
      <c r="H883" s="12" t="s">
        <v>52</v>
      </c>
      <c r="I883" s="22">
        <f t="shared" si="7"/>
        <v>45604.47693</v>
      </c>
      <c r="J883" s="20" t="b">
        <v>0</v>
      </c>
      <c r="K883" s="13" t="str">
        <f t="shared" si="2"/>
        <v/>
      </c>
    </row>
    <row r="884" ht="22.5" customHeight="1">
      <c r="B884" s="13">
        <f t="shared" si="3"/>
        <v>878</v>
      </c>
      <c r="C884" s="15" t="str">
        <f t="array" ref="C884">IFNA(_xlfn.XLOOKUP(B884,Table_Respons_Loket[Count],Table_Respons_Loket[Nomor Tiket]),"")</f>
        <v>K/64/051124/1</v>
      </c>
      <c r="D884" s="15" t="str">
        <f t="array" ref="D884">IFNA(_xlfn.XLOOKUP(B884,Table_Respons_Loket[Count],Table_Respons_Loket[Daftar Nomor Hak]),"")</f>
        <v>M. 11579/ Rajabasa</v>
      </c>
      <c r="E884" s="17">
        <f t="array" ref="E884">IFNA(_xlfn.XLOOKUP(B884,Table_Respons_Loket[Count],Table_Respons_Loket[Time Stamp]),"")</f>
        <v>45601.63726</v>
      </c>
      <c r="F884" s="18" t="str">
        <f t="array" ref="F884">IFNA(_xlfn.XLOOKUP(B884,Table_Respons_Loket[Count],Table_Respons_Loket[Jenis Permohonan]),"")</f>
        <v>SKPT INFORMASI</v>
      </c>
      <c r="G884" s="24"/>
      <c r="H884" s="24"/>
      <c r="I884" s="22" t="str">
        <f t="shared" si="7"/>
        <v/>
      </c>
      <c r="J884" s="20" t="b">
        <v>0</v>
      </c>
      <c r="K884" s="13" t="str">
        <f t="shared" si="2"/>
        <v/>
      </c>
    </row>
    <row r="885" ht="22.5" customHeight="1">
      <c r="B885" s="13">
        <f t="shared" si="3"/>
        <v>879</v>
      </c>
      <c r="C885" s="15" t="str">
        <f t="array" ref="C885">IFNA(_xlfn.XLOOKUP(B885,Table_Respons_Loket[Count],Table_Respons_Loket[Nomor Tiket]),"")</f>
        <v>K/65/051124/2</v>
      </c>
      <c r="D885" s="15" t="str">
        <f t="array" ref="D885">IFNA(_xlfn.XLOOKUP(B885,Table_Respons_Loket[Count],Table_Respons_Loket[Daftar Nomor Hak]),"")</f>
        <v>M. 3787/ rajabasa jaya</v>
      </c>
      <c r="E885" s="17">
        <f t="array" ref="E885">IFNA(_xlfn.XLOOKUP(B885,Table_Respons_Loket[Count],Table_Respons_Loket[Time Stamp]),"")</f>
        <v>45601.63852</v>
      </c>
      <c r="F885" s="18" t="str">
        <f t="array" ref="F885">IFNA(_xlfn.XLOOKUP(B885,Table_Respons_Loket[Count],Table_Respons_Loket[Jenis Permohonan]),"")</f>
        <v>PTPGT PEMECHAN</v>
      </c>
      <c r="G885" s="24"/>
      <c r="H885" s="24"/>
      <c r="I885" s="22" t="str">
        <f t="shared" si="7"/>
        <v/>
      </c>
      <c r="J885" s="20" t="b">
        <v>0</v>
      </c>
      <c r="K885" s="13" t="str">
        <f t="shared" si="2"/>
        <v/>
      </c>
    </row>
    <row r="886" ht="22.5" customHeight="1">
      <c r="B886" s="13">
        <f t="shared" si="3"/>
        <v>880</v>
      </c>
      <c r="C886" s="15" t="str">
        <f t="array" ref="C886">IFNA(_xlfn.XLOOKUP(B886,Table_Respons_Loket[Count],Table_Respons_Loket[Nomor Tiket]),"")</f>
        <v>K/1/061124/1</v>
      </c>
      <c r="D886" s="15" t="str">
        <f t="array" ref="D886">IFNA(_xlfn.XLOOKUP(B886,Table_Respons_Loket[Count],Table_Respons_Loket[Daftar Nomor Hak]),"")</f>
        <v>M.12840/SEGALA MIDER-SEKARANG;B.114/SEGALA MIDER-DAHULU</v>
      </c>
      <c r="E886" s="17">
        <f t="array" ref="E886">IFNA(_xlfn.XLOOKUP(B886,Table_Respons_Loket[Count],Table_Respons_Loket[Time Stamp]),"")</f>
        <v>45602.36498</v>
      </c>
      <c r="F886" s="18" t="str">
        <f t="array" ref="F886">IFNA(_xlfn.XLOOKUP(B886,Table_Respons_Loket[Count],Table_Respons_Loket[Jenis Permohonan]),"")</f>
        <v>BN JUAL BELI</v>
      </c>
      <c r="G886" s="12" t="s">
        <v>50</v>
      </c>
      <c r="H886" s="12" t="s">
        <v>52</v>
      </c>
      <c r="I886" s="22">
        <f t="shared" si="7"/>
        <v>45604.6167</v>
      </c>
      <c r="J886" s="20" t="b">
        <v>0</v>
      </c>
      <c r="K886" s="13" t="str">
        <f t="shared" si="2"/>
        <v/>
      </c>
    </row>
    <row r="887" ht="22.5" customHeight="1">
      <c r="B887" s="13">
        <f t="shared" si="3"/>
        <v>881</v>
      </c>
      <c r="C887" s="15" t="str">
        <f t="array" ref="C887">IFNA(_xlfn.XLOOKUP(B887,Table_Respons_Loket[Count],Table_Respons_Loket[Nomor Tiket]),"")</f>
        <v>K/2/061124/1</v>
      </c>
      <c r="D887" s="15" t="str">
        <f t="array" ref="D887">IFNA(_xlfn.XLOOKUP(B887,Table_Respons_Loket[Count],Table_Respons_Loket[Daftar Nomor Hak]),"")</f>
        <v>NIBEL M.5648/ENGGAL</v>
      </c>
      <c r="E887" s="17">
        <f t="array" ref="E887">IFNA(_xlfn.XLOOKUP(B887,Table_Respons_Loket[Count],Table_Respons_Loket[Time Stamp]),"")</f>
        <v>45602.36901</v>
      </c>
      <c r="F887" s="18" t="str">
        <f t="array" ref="F887">IFNA(_xlfn.XLOOKUP(B887,Table_Respons_Loket[Count],Table_Respons_Loket[Jenis Permohonan]),"")</f>
        <v>BN JUAL BELI</v>
      </c>
      <c r="G887" s="24"/>
      <c r="H887" s="24"/>
      <c r="I887" s="22" t="str">
        <f t="shared" si="7"/>
        <v/>
      </c>
      <c r="J887" s="20" t="b">
        <v>0</v>
      </c>
      <c r="K887" s="13" t="str">
        <f t="shared" si="2"/>
        <v/>
      </c>
    </row>
    <row r="888" ht="22.5" customHeight="1">
      <c r="B888" s="13">
        <f t="shared" si="3"/>
        <v>882</v>
      </c>
      <c r="C888" s="15" t="str">
        <f t="array" ref="C888">IFNA(_xlfn.XLOOKUP(B888,Table_Respons_Loket[Count],Table_Respons_Loket[Nomor Tiket]),"")</f>
        <v>K/3/061124/2</v>
      </c>
      <c r="D888" s="15" t="str">
        <f t="array" ref="D888">IFNA(_xlfn.XLOOKUP(B888,Table_Respons_Loket[Count],Table_Respons_Loket[Daftar Nomor Hak]),"")</f>
        <v>M.1588/SUMUR BATU</v>
      </c>
      <c r="E888" s="17">
        <f t="array" ref="E888">IFNA(_xlfn.XLOOKUP(B888,Table_Respons_Loket[Count],Table_Respons_Loket[Time Stamp]),"")</f>
        <v>45602.3748</v>
      </c>
      <c r="F888" s="18" t="str">
        <f t="array" ref="F888">IFNA(_xlfn.XLOOKUP(B888,Table_Respons_Loket[Count],Table_Respons_Loket[Jenis Permohonan]),"")</f>
        <v>PENGUKURAN ULANG</v>
      </c>
      <c r="G888" s="24"/>
      <c r="H888" s="24"/>
      <c r="I888" s="22" t="str">
        <f t="shared" si="7"/>
        <v/>
      </c>
      <c r="J888" s="20" t="b">
        <v>0</v>
      </c>
      <c r="K888" s="13" t="str">
        <f t="shared" si="2"/>
        <v/>
      </c>
    </row>
    <row r="889" ht="22.5" customHeight="1">
      <c r="B889" s="13">
        <f t="shared" si="3"/>
        <v>883</v>
      </c>
      <c r="C889" s="15" t="str">
        <f t="array" ref="C889">IFNA(_xlfn.XLOOKUP(B889,Table_Respons_Loket[Count],Table_Respons_Loket[Nomor Tiket]),"")</f>
        <v>L/4/061124/1</v>
      </c>
      <c r="D889" s="15" t="str">
        <f t="array" ref="D889">IFNA(_xlfn.XLOOKUP(B889,Table_Respons_Loket[Count],Table_Respons_Loket[Daftar Nomor Hak]),"")</f>
        <v>NIB 1770/PINANG JAYA</v>
      </c>
      <c r="E889" s="17">
        <f t="array" ref="E889">IFNA(_xlfn.XLOOKUP(B889,Table_Respons_Loket[Count],Table_Respons_Loket[Time Stamp]),"")</f>
        <v>45602.38797</v>
      </c>
      <c r="F889" s="18" t="str">
        <f t="array" ref="F889">IFNA(_xlfn.XLOOKUP(B889,Table_Respons_Loket[Count],Table_Respons_Loket[Jenis Permohonan]),"")</f>
        <v>PH</v>
      </c>
      <c r="G889" s="24"/>
      <c r="H889" s="24"/>
      <c r="I889" s="22" t="str">
        <f t="shared" si="7"/>
        <v/>
      </c>
      <c r="J889" s="20" t="b">
        <v>0</v>
      </c>
      <c r="K889" s="13" t="str">
        <f t="shared" si="2"/>
        <v/>
      </c>
    </row>
    <row r="890" ht="22.5" customHeight="1">
      <c r="B890" s="13">
        <f t="shared" si="3"/>
        <v>884</v>
      </c>
      <c r="C890" s="15" t="str">
        <f t="array" ref="C890">IFNA(_xlfn.XLOOKUP(B890,Table_Respons_Loket[Count],Table_Respons_Loket[Nomor Tiket]),"")</f>
        <v>K/5/061124/1</v>
      </c>
      <c r="D890" s="15" t="str">
        <f t="array" ref="D890">IFNA(_xlfn.XLOOKUP(B890,Table_Respons_Loket[Count],Table_Respons_Loket[Daftar Nomor Hak]),"")</f>
        <v>M. 534/ Sumberrejo Sejahtera</v>
      </c>
      <c r="E890" s="17">
        <f t="array" ref="E890">IFNA(_xlfn.XLOOKUP(B890,Table_Respons_Loket[Count],Table_Respons_Loket[Time Stamp]),"")</f>
        <v>45602.3918</v>
      </c>
      <c r="F890" s="18" t="str">
        <f t="array" ref="F890">IFNA(_xlfn.XLOOKUP(B890,Table_Respons_Loket[Count],Table_Respons_Loket[Jenis Permohonan]),"")</f>
        <v>Pemecahan</v>
      </c>
      <c r="G890" s="12" t="s">
        <v>50</v>
      </c>
      <c r="H890" s="12" t="s">
        <v>52</v>
      </c>
      <c r="I890" s="22">
        <f t="shared" si="7"/>
        <v>45604.61736</v>
      </c>
      <c r="J890" s="20" t="b">
        <v>0</v>
      </c>
      <c r="K890" s="13" t="str">
        <f t="shared" si="2"/>
        <v/>
      </c>
    </row>
    <row r="891" ht="22.5" customHeight="1">
      <c r="B891" s="13">
        <f t="shared" si="3"/>
        <v>885</v>
      </c>
      <c r="C891" s="15" t="str">
        <f t="array" ref="C891">IFNA(_xlfn.XLOOKUP(B891,Table_Respons_Loket[Count],Table_Respons_Loket[Nomor Tiket]),"")</f>
        <v>K/6/061124/1</v>
      </c>
      <c r="D891" s="15" t="str">
        <f t="array" ref="D891">IFNA(_xlfn.XLOOKUP(B891,Table_Respons_Loket[Count],Table_Respons_Loket[Daftar Nomor Hak]),"")</f>
        <v>M.3348/KEMILING PERMAI-SEKARANG;M.1620-SUMBEREJO/KEMILING-DAHULU</v>
      </c>
      <c r="E891" s="17">
        <f t="array" ref="E891">IFNA(_xlfn.XLOOKUP(B891,Table_Respons_Loket[Count],Table_Respons_Loket[Time Stamp]),"")</f>
        <v>45602.39513</v>
      </c>
      <c r="F891" s="18" t="str">
        <f t="array" ref="F891">IFNA(_xlfn.XLOOKUP(B891,Table_Respons_Loket[Count],Table_Respons_Loket[Jenis Permohonan]),"")</f>
        <v>BN JUAL BELI</v>
      </c>
      <c r="G891" s="12" t="s">
        <v>50</v>
      </c>
      <c r="H891" s="12" t="s">
        <v>52</v>
      </c>
      <c r="I891" s="22">
        <f t="shared" si="7"/>
        <v>45604.61766</v>
      </c>
      <c r="J891" s="20" t="b">
        <v>0</v>
      </c>
      <c r="K891" s="13" t="str">
        <f t="shared" si="2"/>
        <v/>
      </c>
    </row>
    <row r="892" ht="22.5" customHeight="1">
      <c r="B892" s="13">
        <f t="shared" si="3"/>
        <v>886</v>
      </c>
      <c r="C892" s="15" t="str">
        <f t="array" ref="C892">IFNA(_xlfn.XLOOKUP(B892,Table_Respons_Loket[Count],Table_Respons_Loket[Nomor Tiket]),"")</f>
        <v>L/7/061124/1</v>
      </c>
      <c r="D892" s="15" t="str">
        <f t="array" ref="D892">IFNA(_xlfn.XLOOKUP(B892,Table_Respons_Loket[Count],Table_Respons_Loket[Daftar Nomor Hak]),"")</f>
        <v>HM 1120/BUMI KEDAMAIAN</v>
      </c>
      <c r="E892" s="17">
        <f t="array" ref="E892">IFNA(_xlfn.XLOOKUP(B892,Table_Respons_Loket[Count],Table_Respons_Loket[Time Stamp]),"")</f>
        <v>45602.41194</v>
      </c>
      <c r="F892" s="18" t="str">
        <f t="array" ref="F892">IFNA(_xlfn.XLOOKUP(B892,Table_Respons_Loket[Count],Table_Respons_Loket[Jenis Permohonan]),"")</f>
        <v>BLOKIR</v>
      </c>
      <c r="G892" s="24"/>
      <c r="H892" s="24"/>
      <c r="I892" s="22" t="str">
        <f t="shared" si="7"/>
        <v/>
      </c>
      <c r="J892" s="20" t="b">
        <v>0</v>
      </c>
      <c r="K892" s="13" t="str">
        <f t="shared" si="2"/>
        <v/>
      </c>
    </row>
    <row r="893" ht="22.5" customHeight="1">
      <c r="B893" s="13">
        <f t="shared" si="3"/>
        <v>887</v>
      </c>
      <c r="C893" s="15" t="str">
        <f t="array" ref="C893">IFNA(_xlfn.XLOOKUP(B893,Table_Respons_Loket[Count],Table_Respons_Loket[Nomor Tiket]),"")</f>
        <v>K/9/061124/1</v>
      </c>
      <c r="D893" s="15" t="str">
        <f t="array" ref="D893">IFNA(_xlfn.XLOOKUP(B893,Table_Respons_Loket[Count],Table_Respons_Loket[Daftar Nomor Hak]),"")</f>
        <v>Nibel 7188/ Gunung Sulah</v>
      </c>
      <c r="E893" s="17">
        <f t="array" ref="E893">IFNA(_xlfn.XLOOKUP(B893,Table_Respons_Loket[Count],Table_Respons_Loket[Time Stamp]),"")</f>
        <v>45602.4145</v>
      </c>
      <c r="F893" s="18" t="str">
        <f t="array" ref="F893">IFNA(_xlfn.XLOOKUP(B893,Table_Respons_Loket[Count],Table_Respons_Loket[Jenis Permohonan]),"")</f>
        <v>BN LELANG</v>
      </c>
      <c r="G893" s="24"/>
      <c r="H893" s="24"/>
      <c r="I893" s="22" t="str">
        <f t="shared" si="7"/>
        <v/>
      </c>
      <c r="J893" s="20" t="b">
        <v>0</v>
      </c>
      <c r="K893" s="13" t="str">
        <f t="shared" si="2"/>
        <v/>
      </c>
    </row>
    <row r="894" ht="22.5" customHeight="1">
      <c r="B894" s="13">
        <f t="shared" si="3"/>
        <v>888</v>
      </c>
      <c r="C894" s="15" t="str">
        <f t="array" ref="C894">IFNA(_xlfn.XLOOKUP(B894,Table_Respons_Loket[Count],Table_Respons_Loket[Nomor Tiket]),"")</f>
        <v>K/11/061124/1</v>
      </c>
      <c r="D894" s="15" t="str">
        <f t="array" ref="D894">IFNA(_xlfn.XLOOKUP(B894,Table_Respons_Loket[Count],Table_Respons_Loket[Daftar Nomor Hak]),"")</f>
        <v>M. 927/ Pelita; SHT 2384/2014 dan SHT 4033/2018</v>
      </c>
      <c r="E894" s="17">
        <f t="array" ref="E894">IFNA(_xlfn.XLOOKUP(B894,Table_Respons_Loket[Count],Table_Respons_Loket[Time Stamp]),"")</f>
        <v>45602.41504</v>
      </c>
      <c r="F894" s="18" t="str">
        <f t="array" ref="F894">IFNA(_xlfn.XLOOKUP(B894,Table_Respons_Loket[Count],Table_Respons_Loket[Jenis Permohonan]),"")</f>
        <v>Roya</v>
      </c>
      <c r="G894" s="12" t="s">
        <v>50</v>
      </c>
      <c r="H894" s="12" t="s">
        <v>52</v>
      </c>
      <c r="I894" s="22">
        <f t="shared" si="7"/>
        <v>45604.61993</v>
      </c>
      <c r="J894" s="20" t="b">
        <v>0</v>
      </c>
      <c r="K894" s="13" t="str">
        <f t="shared" si="2"/>
        <v/>
      </c>
    </row>
    <row r="895" ht="22.5" customHeight="1">
      <c r="B895" s="13">
        <f t="shared" si="3"/>
        <v>889</v>
      </c>
      <c r="C895" s="15" t="str">
        <f t="array" ref="C895">IFNA(_xlfn.XLOOKUP(B895,Table_Respons_Loket[Count],Table_Respons_Loket[Nomor Tiket]),"")</f>
        <v>K/12/061124/1</v>
      </c>
      <c r="D895" s="15" t="str">
        <f t="array" ref="D895">IFNA(_xlfn.XLOOKUP(B895,Table_Respons_Loket[Count],Table_Respons_Loket[Daftar Nomor Hak]),"")</f>
        <v>M. 4132/ Keteguhan</v>
      </c>
      <c r="E895" s="17">
        <f t="array" ref="E895">IFNA(_xlfn.XLOOKUP(B895,Table_Respons_Loket[Count],Table_Respons_Loket[Time Stamp]),"")</f>
        <v>45602.44179</v>
      </c>
      <c r="F895" s="18" t="str">
        <f t="array" ref="F895">IFNA(_xlfn.XLOOKUP(B895,Table_Respons_Loket[Count],Table_Respons_Loket[Jenis Permohonan]),"")</f>
        <v>BN Jual Beli</v>
      </c>
      <c r="G895" s="12" t="s">
        <v>50</v>
      </c>
      <c r="H895" s="12" t="s">
        <v>52</v>
      </c>
      <c r="I895" s="22">
        <f t="shared" si="7"/>
        <v>45604.62014</v>
      </c>
      <c r="J895" s="20" t="b">
        <v>0</v>
      </c>
      <c r="K895" s="13" t="str">
        <f t="shared" si="2"/>
        <v/>
      </c>
    </row>
    <row r="896" ht="22.5" customHeight="1">
      <c r="B896" s="13">
        <f t="shared" si="3"/>
        <v>890</v>
      </c>
      <c r="C896" s="15" t="str">
        <f t="array" ref="C896">IFNA(_xlfn.XLOOKUP(B896,Table_Respons_Loket[Count],Table_Respons_Loket[Nomor Tiket]),"")</f>
        <v>L/13/061124/1</v>
      </c>
      <c r="D896" s="15" t="str">
        <f t="array" ref="D896">IFNA(_xlfn.XLOOKUP(B896,Table_Respons_Loket[Count],Table_Respons_Loket[Daftar Nomor Hak]),"")</f>
        <v>RAJABASA JAYA</v>
      </c>
      <c r="E896" s="17">
        <f t="array" ref="E896">IFNA(_xlfn.XLOOKUP(B896,Table_Respons_Loket[Count],Table_Respons_Loket[Time Stamp]),"")</f>
        <v>45602.44993</v>
      </c>
      <c r="F896" s="18" t="str">
        <f t="array" ref="F896">IFNA(_xlfn.XLOOKUP(B896,Table_Respons_Loket[Count],Table_Respons_Loket[Jenis Permohonan]),"")</f>
        <v>PERTAMA KALI</v>
      </c>
      <c r="G896" s="24"/>
      <c r="H896" s="24"/>
      <c r="I896" s="22" t="str">
        <f t="shared" si="7"/>
        <v/>
      </c>
      <c r="J896" s="20" t="b">
        <v>0</v>
      </c>
      <c r="K896" s="13" t="str">
        <f t="shared" si="2"/>
        <v/>
      </c>
    </row>
    <row r="897" ht="22.5" customHeight="1">
      <c r="B897" s="13">
        <f t="shared" si="3"/>
        <v>891</v>
      </c>
      <c r="C897" s="15" t="str">
        <f t="array" ref="C897">IFNA(_xlfn.XLOOKUP(B897,Table_Respons_Loket[Count],Table_Respons_Loket[Nomor Tiket]),"")</f>
        <v>K/14/061124/1</v>
      </c>
      <c r="D897" s="15" t="str">
        <f t="array" ref="D897">IFNA(_xlfn.XLOOKUP(B897,Table_Respons_Loket[Count],Table_Respons_Loket[Daftar Nomor Hak]),"")</f>
        <v>M.1511/BUMI WARAS</v>
      </c>
      <c r="E897" s="17">
        <f t="array" ref="E897">IFNA(_xlfn.XLOOKUP(B897,Table_Respons_Loket[Count],Table_Respons_Loket[Time Stamp]),"")</f>
        <v>45602.45262</v>
      </c>
      <c r="F897" s="18" t="str">
        <f t="array" ref="F897">IFNA(_xlfn.XLOOKUP(B897,Table_Respons_Loket[Count],Table_Respons_Loket[Jenis Permohonan]),"")</f>
        <v>BN JUAL BELI</v>
      </c>
      <c r="G897" s="12" t="s">
        <v>50</v>
      </c>
      <c r="H897" s="12" t="s">
        <v>52</v>
      </c>
      <c r="I897" s="22">
        <f t="shared" si="7"/>
        <v>45604.62075</v>
      </c>
      <c r="J897" s="20" t="b">
        <v>0</v>
      </c>
      <c r="K897" s="13" t="str">
        <f t="shared" si="2"/>
        <v/>
      </c>
    </row>
    <row r="898" ht="22.5" customHeight="1">
      <c r="B898" s="13">
        <f t="shared" si="3"/>
        <v>892</v>
      </c>
      <c r="C898" s="15" t="str">
        <f t="array" ref="C898">IFNA(_xlfn.XLOOKUP(B898,Table_Respons_Loket[Count],Table_Respons_Loket[Nomor Tiket]),"")</f>
        <v>K/10/061124/2</v>
      </c>
      <c r="D898" s="15" t="str">
        <f t="array" ref="D898">IFNA(_xlfn.XLOOKUP(B898,Table_Respons_Loket[Count],Table_Respons_Loket[Daftar Nomor Hak]),"")</f>
        <v>M. 2147/ WAY HALIM PERMAI</v>
      </c>
      <c r="E898" s="17">
        <f t="array" ref="E898">IFNA(_xlfn.XLOOKUP(B898,Table_Respons_Loket[Count],Table_Respons_Loket[Time Stamp]),"")</f>
        <v>45602.45269</v>
      </c>
      <c r="F898" s="18" t="str">
        <f t="array" ref="F898">IFNA(_xlfn.XLOOKUP(B898,Table_Respons_Loket[Count],Table_Respons_Loket[Jenis Permohonan]),"")</f>
        <v>BN WARIS</v>
      </c>
      <c r="G898" s="12" t="s">
        <v>50</v>
      </c>
      <c r="H898" s="12" t="s">
        <v>52</v>
      </c>
      <c r="I898" s="22">
        <f t="shared" si="7"/>
        <v>45604.62099</v>
      </c>
      <c r="J898" s="20" t="b">
        <v>0</v>
      </c>
      <c r="K898" s="13" t="str">
        <f t="shared" si="2"/>
        <v/>
      </c>
    </row>
    <row r="899" ht="22.5" customHeight="1">
      <c r="B899" s="13">
        <f t="shared" si="3"/>
        <v>893</v>
      </c>
      <c r="C899" s="15" t="str">
        <f t="array" ref="C899">IFNA(_xlfn.XLOOKUP(B899,Table_Respons_Loket[Count],Table_Respons_Loket[Nomor Tiket]),"")</f>
        <v>K/16/061124/1</v>
      </c>
      <c r="D899" s="15" t="str">
        <f t="array" ref="D899">IFNA(_xlfn.XLOOKUP(B899,Table_Respons_Loket[Count],Table_Respons_Loket[Daftar Nomor Hak]),"")</f>
        <v>B. 105/ Nusantara Permai</v>
      </c>
      <c r="E899" s="17">
        <f t="array" ref="E899">IFNA(_xlfn.XLOOKUP(B899,Table_Respons_Loket[Count],Table_Respons_Loket[Time Stamp]),"")</f>
        <v>45602.45852</v>
      </c>
      <c r="F899" s="18" t="str">
        <f t="array" ref="F899">IFNA(_xlfn.XLOOKUP(B899,Table_Respons_Loket[Count],Table_Respons_Loket[Jenis Permohonan]),"")</f>
        <v>BN Jual Beli</v>
      </c>
      <c r="G899" s="12" t="s">
        <v>50</v>
      </c>
      <c r="H899" s="12" t="s">
        <v>52</v>
      </c>
      <c r="I899" s="22">
        <f t="shared" si="7"/>
        <v>45604.62129</v>
      </c>
      <c r="J899" s="20" t="b">
        <v>0</v>
      </c>
      <c r="K899" s="13" t="str">
        <f t="shared" si="2"/>
        <v/>
      </c>
    </row>
    <row r="900" ht="22.5" customHeight="1">
      <c r="B900" s="13">
        <f t="shared" si="3"/>
        <v>894</v>
      </c>
      <c r="C900" s="15" t="str">
        <f t="array" ref="C900">IFNA(_xlfn.XLOOKUP(B900,Table_Respons_Loket[Count],Table_Respons_Loket[Nomor Tiket]),"")</f>
        <v>K/15/061124/2</v>
      </c>
      <c r="D900" s="15" t="str">
        <f t="array" ref="D900">IFNA(_xlfn.XLOOKUP(B900,Table_Respons_Loket[Count],Table_Respons_Loket[Daftar Nomor Hak]),"")</f>
        <v>M.05/GUNUNG SARI</v>
      </c>
      <c r="E900" s="17">
        <f t="array" ref="E900">IFNA(_xlfn.XLOOKUP(B900,Table_Respons_Loket[Count],Table_Respons_Loket[Time Stamp]),"")</f>
        <v>45602.45882</v>
      </c>
      <c r="F900" s="18" t="str">
        <f t="array" ref="F900">IFNA(_xlfn.XLOOKUP(B900,Table_Respons_Loket[Count],Table_Respons_Loket[Jenis Permohonan]),"")</f>
        <v>BN HIBAH</v>
      </c>
      <c r="G900" s="12" t="s">
        <v>50</v>
      </c>
      <c r="H900" s="12" t="s">
        <v>52</v>
      </c>
      <c r="I900" s="22">
        <f t="shared" si="7"/>
        <v>45604.62172</v>
      </c>
      <c r="J900" s="20" t="b">
        <v>0</v>
      </c>
      <c r="K900" s="13" t="str">
        <f t="shared" si="2"/>
        <v/>
      </c>
    </row>
    <row r="901" ht="22.5" customHeight="1">
      <c r="B901" s="13">
        <f t="shared" si="3"/>
        <v>895</v>
      </c>
      <c r="C901" s="15" t="str">
        <f t="array" ref="C901">IFNA(_xlfn.XLOOKUP(B901,Table_Respons_Loket[Count],Table_Respons_Loket[Nomor Tiket]),"")</f>
        <v>K/17/061124/1</v>
      </c>
      <c r="D901" s="15" t="str">
        <f t="array" ref="D901">IFNA(_xlfn.XLOOKUP(B901,Table_Respons_Loket[Count],Table_Respons_Loket[Daftar Nomor Hak]),"")</f>
        <v>M.1375/BERINGIN JAYA-SEKARANG;B.2740/BERINGIN RAYA-DAHULU</v>
      </c>
      <c r="E901" s="17">
        <f t="array" ref="E901">IFNA(_xlfn.XLOOKUP(B901,Table_Respons_Loket[Count],Table_Respons_Loket[Time Stamp]),"")</f>
        <v>45602.4628</v>
      </c>
      <c r="F901" s="18" t="str">
        <f t="array" ref="F901">IFNA(_xlfn.XLOOKUP(B901,Table_Respons_Loket[Count],Table_Respons_Loket[Jenis Permohonan]),"")</f>
        <v>BN JUAL BELI</v>
      </c>
      <c r="G901" s="12" t="s">
        <v>50</v>
      </c>
      <c r="H901" s="12" t="s">
        <v>47</v>
      </c>
      <c r="I901" s="22" t="str">
        <f t="shared" si="7"/>
        <v/>
      </c>
      <c r="J901" s="20" t="b">
        <v>0</v>
      </c>
      <c r="K901" s="13" t="str">
        <f t="shared" si="2"/>
        <v/>
      </c>
    </row>
    <row r="902" ht="22.5" customHeight="1">
      <c r="B902" s="13">
        <f t="shared" si="3"/>
        <v>896</v>
      </c>
      <c r="C902" s="15" t="str">
        <f t="array" ref="C902">IFNA(_xlfn.XLOOKUP(B902,Table_Respons_Loket[Count],Table_Respons_Loket[Nomor Tiket]),"")</f>
        <v>L/18/061124/1</v>
      </c>
      <c r="D902" s="15" t="str">
        <f t="array" ref="D902">IFNA(_xlfn.XLOOKUP(B902,Table_Respons_Loket[Count],Table_Respons_Loket[Daftar Nomor Hak]),"")</f>
        <v>HM 13595/SUKABUMI</v>
      </c>
      <c r="E902" s="17">
        <f t="array" ref="E902">IFNA(_xlfn.XLOOKUP(B902,Table_Respons_Loket[Count],Table_Respons_Loket[Time Stamp]),"")</f>
        <v>45602.4692</v>
      </c>
      <c r="F902" s="18" t="str">
        <f t="array" ref="F902">IFNA(_xlfn.XLOOKUP(B902,Table_Respons_Loket[Count],Table_Respons_Loket[Jenis Permohonan]),"")</f>
        <v>ROYA</v>
      </c>
      <c r="G902" s="12" t="s">
        <v>50</v>
      </c>
      <c r="H902" s="12" t="s">
        <v>52</v>
      </c>
      <c r="I902" s="22">
        <f t="shared" si="7"/>
        <v>45604.62263</v>
      </c>
      <c r="J902" s="20" t="b">
        <v>0</v>
      </c>
      <c r="K902" s="13" t="str">
        <f t="shared" si="2"/>
        <v/>
      </c>
    </row>
    <row r="903" ht="22.5" customHeight="1">
      <c r="B903" s="13">
        <f t="shared" si="3"/>
        <v>897</v>
      </c>
      <c r="C903" s="15" t="str">
        <f t="array" ref="C903">IFNA(_xlfn.XLOOKUP(B903,Table_Respons_Loket[Count],Table_Respons_Loket[Nomor Tiket]),"")</f>
        <v>K/19/061124/1</v>
      </c>
      <c r="D903" s="15" t="str">
        <f t="array" ref="D903">IFNA(_xlfn.XLOOKUP(B903,Table_Respons_Loket[Count],Table_Respons_Loket[Daftar Nomor Hak]),"")</f>
        <v>M. 1704/ Way Kandis</v>
      </c>
      <c r="E903" s="17">
        <f t="array" ref="E903">IFNA(_xlfn.XLOOKUP(B903,Table_Respons_Loket[Count],Table_Respons_Loket[Time Stamp]),"")</f>
        <v>45602.47058</v>
      </c>
      <c r="F903" s="18" t="str">
        <f t="array" ref="F903">IFNA(_xlfn.XLOOKUP(B903,Table_Respons_Loket[Count],Table_Respons_Loket[Jenis Permohonan]),"")</f>
        <v>ROYA</v>
      </c>
      <c r="G903" s="12" t="s">
        <v>50</v>
      </c>
      <c r="H903" s="12" t="s">
        <v>52</v>
      </c>
      <c r="I903" s="22">
        <f t="shared" si="7"/>
        <v>45604.62301</v>
      </c>
      <c r="J903" s="20" t="b">
        <v>0</v>
      </c>
      <c r="K903" s="13" t="str">
        <f t="shared" si="2"/>
        <v/>
      </c>
    </row>
    <row r="904" ht="22.5" customHeight="1">
      <c r="B904" s="13">
        <f t="shared" si="3"/>
        <v>898</v>
      </c>
      <c r="C904" s="15" t="str">
        <f t="array" ref="C904">IFNA(_xlfn.XLOOKUP(B904,Table_Respons_Loket[Count],Table_Respons_Loket[Nomor Tiket]),"")</f>
        <v>L/20/061124/1</v>
      </c>
      <c r="D904" s="15" t="str">
        <f t="array" ref="D904">IFNA(_xlfn.XLOOKUP(B904,Table_Respons_Loket[Count],Table_Respons_Loket[Daftar Nomor Hak]),"")</f>
        <v>HM 2606/WAY KANDIS</v>
      </c>
      <c r="E904" s="17">
        <f t="array" ref="E904">IFNA(_xlfn.XLOOKUP(B904,Table_Respons_Loket[Count],Table_Respons_Loket[Time Stamp]),"")</f>
        <v>45602.4773</v>
      </c>
      <c r="F904" s="18" t="str">
        <f t="array" ref="F904">IFNA(_xlfn.XLOOKUP(B904,Table_Respons_Loket[Count],Table_Respons_Loket[Jenis Permohonan]),"")</f>
        <v>PTPGT</v>
      </c>
      <c r="G904" s="24"/>
      <c r="H904" s="24"/>
      <c r="I904" s="22" t="str">
        <f t="shared" si="7"/>
        <v/>
      </c>
      <c r="J904" s="20" t="b">
        <v>0</v>
      </c>
      <c r="K904" s="13" t="str">
        <f t="shared" si="2"/>
        <v/>
      </c>
    </row>
    <row r="905" ht="22.5" customHeight="1">
      <c r="B905" s="13">
        <f t="shared" si="3"/>
        <v>899</v>
      </c>
      <c r="C905" s="15" t="str">
        <f t="array" ref="C905">IFNA(_xlfn.XLOOKUP(B905,Table_Respons_Loket[Count],Table_Respons_Loket[Nomor Tiket]),"")</f>
        <v>K/21/061124/1</v>
      </c>
      <c r="D905" s="15" t="str">
        <f t="array" ref="D905">IFNA(_xlfn.XLOOKUP(B905,Table_Respons_Loket[Count],Table_Respons_Loket[Daftar Nomor Hak]),"")</f>
        <v>M. 1538/ Keteguhan</v>
      </c>
      <c r="E905" s="17">
        <f t="array" ref="E905">IFNA(_xlfn.XLOOKUP(B905,Table_Respons_Loket[Count],Table_Respons_Loket[Time Stamp]),"")</f>
        <v>45602.48073</v>
      </c>
      <c r="F905" s="18" t="str">
        <f t="array" ref="F905">IFNA(_xlfn.XLOOKUP(B905,Table_Respons_Loket[Count],Table_Respons_Loket[Jenis Permohonan]),"")</f>
        <v>BN Jual Beli</v>
      </c>
      <c r="G905" s="12" t="s">
        <v>50</v>
      </c>
      <c r="H905" s="12" t="s">
        <v>52</v>
      </c>
      <c r="I905" s="22">
        <f t="shared" si="7"/>
        <v>45604.62323</v>
      </c>
      <c r="J905" s="20" t="b">
        <v>0</v>
      </c>
      <c r="K905" s="13" t="str">
        <f t="shared" si="2"/>
        <v/>
      </c>
    </row>
    <row r="906" ht="22.5" customHeight="1">
      <c r="B906" s="13">
        <f t="shared" si="3"/>
        <v>900</v>
      </c>
      <c r="C906" s="15" t="str">
        <f t="array" ref="C906">IFNA(_xlfn.XLOOKUP(B906,Table_Respons_Loket[Count],Table_Respons_Loket[Nomor Tiket]),"")</f>
        <v>L/22/061124/1</v>
      </c>
      <c r="D906" s="15" t="str">
        <f t="array" ref="D906">IFNA(_xlfn.XLOOKUP(B906,Table_Respons_Loket[Count],Table_Respons_Loket[Daftar Nomor Hak]),"")</f>
        <v>HGB 216/RAJABASA PEMUKA</v>
      </c>
      <c r="E906" s="17">
        <f t="array" ref="E906">IFNA(_xlfn.XLOOKUP(B906,Table_Respons_Loket[Count],Table_Respons_Loket[Time Stamp]),"")</f>
        <v>45602.48363</v>
      </c>
      <c r="F906" s="18" t="str">
        <f t="array" ref="F906">IFNA(_xlfn.XLOOKUP(B906,Table_Respons_Loket[Count],Table_Respons_Loket[Jenis Permohonan]),"")</f>
        <v>PERUBAHAN HAK</v>
      </c>
      <c r="G906" s="12" t="s">
        <v>50</v>
      </c>
      <c r="H906" s="12" t="s">
        <v>47</v>
      </c>
      <c r="I906" s="22" t="str">
        <f t="shared" si="7"/>
        <v/>
      </c>
      <c r="J906" s="20" t="b">
        <v>0</v>
      </c>
      <c r="K906" s="13" t="str">
        <f t="shared" si="2"/>
        <v/>
      </c>
    </row>
    <row r="907" ht="22.5" customHeight="1">
      <c r="B907" s="13">
        <f t="shared" si="3"/>
        <v>901</v>
      </c>
      <c r="C907" s="15" t="str">
        <f t="array" ref="C907">IFNA(_xlfn.XLOOKUP(B907,Table_Respons_Loket[Count],Table_Respons_Loket[Nomor Tiket]),"")</f>
        <v>K/24/061124/1</v>
      </c>
      <c r="D907" s="15" t="str">
        <f t="array" ref="D907">IFNA(_xlfn.XLOOKUP(B907,Table_Respons_Loket[Count],Table_Respons_Loket[Daftar Nomor Hak]),"")</f>
        <v>B. 388/ Panjang Utara</v>
      </c>
      <c r="E907" s="17">
        <f t="array" ref="E907">IFNA(_xlfn.XLOOKUP(B907,Table_Respons_Loket[Count],Table_Respons_Loket[Time Stamp]),"")</f>
        <v>45602.48832</v>
      </c>
      <c r="F907" s="18" t="str">
        <f t="array" ref="F907">IFNA(_xlfn.XLOOKUP(B907,Table_Respons_Loket[Count],Table_Respons_Loket[Jenis Permohonan]),"")</f>
        <v>PERUBAHAN HAK</v>
      </c>
      <c r="G907" s="12" t="s">
        <v>50</v>
      </c>
      <c r="H907" s="12" t="s">
        <v>52</v>
      </c>
      <c r="I907" s="22">
        <f t="shared" si="7"/>
        <v>45604.62393</v>
      </c>
      <c r="J907" s="20" t="b">
        <v>0</v>
      </c>
      <c r="K907" s="13" t="str">
        <f t="shared" si="2"/>
        <v/>
      </c>
    </row>
    <row r="908" ht="22.5" customHeight="1">
      <c r="B908" s="13">
        <f t="shared" si="3"/>
        <v>902</v>
      </c>
      <c r="C908" s="15" t="str">
        <f t="array" ref="C908">IFNA(_xlfn.XLOOKUP(B908,Table_Respons_Loket[Count],Table_Respons_Loket[Nomor Tiket]),"")</f>
        <v>K/23/061124/1</v>
      </c>
      <c r="D908" s="15" t="str">
        <f t="array" ref="D908">IFNA(_xlfn.XLOOKUP(B908,Table_Respons_Loket[Count],Table_Respons_Loket[Daftar Nomor Hak]),"")</f>
        <v>M. 11169/ Tanjung Baru</v>
      </c>
      <c r="E908" s="17">
        <f t="array" ref="E908">IFNA(_xlfn.XLOOKUP(B908,Table_Respons_Loket[Count],Table_Respons_Loket[Time Stamp]),"")</f>
        <v>45602.48927</v>
      </c>
      <c r="F908" s="18" t="str">
        <f t="array" ref="F908">IFNA(_xlfn.XLOOKUP(B908,Table_Respons_Loket[Count],Table_Respons_Loket[Jenis Permohonan]),"")</f>
        <v>BN Lelang</v>
      </c>
      <c r="G908" s="12" t="s">
        <v>50</v>
      </c>
      <c r="H908" s="12" t="s">
        <v>52</v>
      </c>
      <c r="I908" s="22">
        <f t="shared" si="7"/>
        <v>45604.62415</v>
      </c>
      <c r="J908" s="20" t="b">
        <v>0</v>
      </c>
      <c r="K908" s="13" t="str">
        <f t="shared" si="2"/>
        <v/>
      </c>
    </row>
    <row r="909" ht="22.5" customHeight="1">
      <c r="B909" s="13">
        <f t="shared" si="3"/>
        <v>903</v>
      </c>
      <c r="C909" s="15" t="str">
        <f t="array" ref="C909">IFNA(_xlfn.XLOOKUP(B909,Table_Respons_Loket[Count],Table_Respons_Loket[Nomor Tiket]),"")</f>
        <v>K/25/061124/1</v>
      </c>
      <c r="D909" s="15" t="str">
        <f t="array" ref="D909">IFNA(_xlfn.XLOOKUP(B909,Table_Respons_Loket[Count],Table_Respons_Loket[Daftar Nomor Hak]),"")</f>
        <v>Nibel 1278/ Gunung terang</v>
      </c>
      <c r="E909" s="17">
        <f t="array" ref="E909">IFNA(_xlfn.XLOOKUP(B909,Table_Respons_Loket[Count],Table_Respons_Loket[Time Stamp]),"")</f>
        <v>45602.5543</v>
      </c>
      <c r="F909" s="18" t="str">
        <f t="array" ref="F909">IFNA(_xlfn.XLOOKUP(B909,Table_Respons_Loket[Count],Table_Respons_Loket[Jenis Permohonan]),"")</f>
        <v>PERUBAHAN HAK</v>
      </c>
      <c r="G909" s="24"/>
      <c r="H909" s="24"/>
      <c r="I909" s="22" t="str">
        <f t="shared" si="7"/>
        <v/>
      </c>
      <c r="J909" s="20" t="b">
        <v>0</v>
      </c>
      <c r="K909" s="13" t="str">
        <f t="shared" si="2"/>
        <v/>
      </c>
    </row>
    <row r="910" ht="22.5" customHeight="1">
      <c r="B910" s="13">
        <f t="shared" si="3"/>
        <v>904</v>
      </c>
      <c r="C910" s="15" t="str">
        <f t="array" ref="C910">IFNA(_xlfn.XLOOKUP(B910,Table_Respons_Loket[Count],Table_Respons_Loket[Nomor Tiket]),"")</f>
        <v>L//061124/1</v>
      </c>
      <c r="D910" s="15" t="str">
        <f t="array" ref="D910">IFNA(_xlfn.XLOOKUP(B910,Table_Respons_Loket[Count],Table_Respons_Loket[Daftar Nomor Hak]),"")</f>
        <v>BATU PUTUK</v>
      </c>
      <c r="E910" s="17">
        <f t="array" ref="E910">IFNA(_xlfn.XLOOKUP(B910,Table_Respons_Loket[Count],Table_Respons_Loket[Time Stamp]),"")</f>
        <v>45602.56847</v>
      </c>
      <c r="F910" s="18" t="str">
        <f t="array" ref="F910">IFNA(_xlfn.XLOOKUP(B910,Table_Respons_Loket[Count],Table_Respons_Loket[Jenis Permohonan]),"")</f>
        <v>TANAH MENTAH</v>
      </c>
      <c r="G910" s="24"/>
      <c r="H910" s="24"/>
      <c r="I910" s="22" t="str">
        <f t="shared" si="7"/>
        <v/>
      </c>
      <c r="J910" s="20" t="b">
        <v>0</v>
      </c>
      <c r="K910" s="13" t="str">
        <f t="shared" si="2"/>
        <v/>
      </c>
    </row>
    <row r="911" ht="22.5" customHeight="1">
      <c r="B911" s="13">
        <f t="shared" si="3"/>
        <v>905</v>
      </c>
      <c r="C911" s="15" t="str">
        <f t="array" ref="C911">IFNA(_xlfn.XLOOKUP(B911,Table_Respons_Loket[Count],Table_Respons_Loket[Nomor Tiket]),"")</f>
        <v>L//061124/2</v>
      </c>
      <c r="D911" s="15" t="str">
        <f t="array" ref="D911">IFNA(_xlfn.XLOOKUP(B911,Table_Respons_Loket[Count],Table_Respons_Loket[Daftar Nomor Hak]),"")</f>
        <v>BATU PUTUK</v>
      </c>
      <c r="E911" s="17">
        <f t="array" ref="E911">IFNA(_xlfn.XLOOKUP(B911,Table_Respons_Loket[Count],Table_Respons_Loket[Time Stamp]),"")</f>
        <v>45602.57187</v>
      </c>
      <c r="F911" s="18" t="str">
        <f t="array" ref="F911">IFNA(_xlfn.XLOOKUP(B911,Table_Respons_Loket[Count],Table_Respons_Loket[Jenis Permohonan]),"")</f>
        <v>TANAH MENTAH</v>
      </c>
      <c r="G911" s="24"/>
      <c r="H911" s="24"/>
      <c r="I911" s="22" t="str">
        <f t="shared" si="7"/>
        <v/>
      </c>
      <c r="J911" s="20" t="b">
        <v>0</v>
      </c>
      <c r="K911" s="13" t="str">
        <f t="shared" si="2"/>
        <v/>
      </c>
    </row>
    <row r="912" ht="22.5" customHeight="1">
      <c r="B912" s="13">
        <f t="shared" si="3"/>
        <v>906</v>
      </c>
      <c r="C912" s="15" t="str">
        <f t="array" ref="C912">IFNA(_xlfn.XLOOKUP(B912,Table_Respons_Loket[Count],Table_Respons_Loket[Nomor Tiket]),"")</f>
        <v>K/29/061124/1</v>
      </c>
      <c r="D912" s="15" t="str">
        <f t="array" ref="D912">IFNA(_xlfn.XLOOKUP(B912,Table_Respons_Loket[Count],Table_Respons_Loket[Daftar Nomor Hak]),"")</f>
        <v>M. 711/ Penengahan</v>
      </c>
      <c r="E912" s="17">
        <f t="array" ref="E912">IFNA(_xlfn.XLOOKUP(B912,Table_Respons_Loket[Count],Table_Respons_Loket[Time Stamp]),"")</f>
        <v>45602.57369</v>
      </c>
      <c r="F912" s="18" t="str">
        <f t="array" ref="F912">IFNA(_xlfn.XLOOKUP(B912,Table_Respons_Loket[Count],Table_Respons_Loket[Jenis Permohonan]),"")</f>
        <v>Ploting</v>
      </c>
      <c r="G912" s="24"/>
      <c r="H912" s="24"/>
      <c r="I912" s="22" t="str">
        <f t="shared" si="7"/>
        <v/>
      </c>
      <c r="J912" s="20" t="b">
        <v>0</v>
      </c>
      <c r="K912" s="13" t="str">
        <f t="shared" si="2"/>
        <v/>
      </c>
    </row>
    <row r="913" ht="22.5" customHeight="1">
      <c r="B913" s="13">
        <f t="shared" si="3"/>
        <v>907</v>
      </c>
      <c r="C913" s="15" t="str">
        <f t="array" ref="C913">IFNA(_xlfn.XLOOKUP(B913,Table_Respons_Loket[Count],Table_Respons_Loket[Nomor Tiket]),"")</f>
        <v>K/30/061124/2</v>
      </c>
      <c r="D913" s="15" t="str">
        <f t="array" ref="D913">IFNA(_xlfn.XLOOKUP(B913,Table_Respons_Loket[Count],Table_Respons_Loket[Daftar Nomor Hak]),"")</f>
        <v>M. 725/ Kupang Teba</v>
      </c>
      <c r="E913" s="17">
        <f t="array" ref="E913">IFNA(_xlfn.XLOOKUP(B913,Table_Respons_Loket[Count],Table_Respons_Loket[Time Stamp]),"")</f>
        <v>45602.57421</v>
      </c>
      <c r="F913" s="18" t="str">
        <f t="array" ref="F913">IFNA(_xlfn.XLOOKUP(B913,Table_Respons_Loket[Count],Table_Respons_Loket[Jenis Permohonan]),"")</f>
        <v>Gandes</v>
      </c>
      <c r="G913" s="24"/>
      <c r="H913" s="24"/>
      <c r="I913" s="22" t="str">
        <f t="shared" si="7"/>
        <v/>
      </c>
      <c r="J913" s="20" t="b">
        <v>0</v>
      </c>
      <c r="K913" s="13" t="str">
        <f t="shared" si="2"/>
        <v/>
      </c>
    </row>
    <row r="914" ht="22.5" customHeight="1">
      <c r="B914" s="13">
        <f t="shared" si="3"/>
        <v>908</v>
      </c>
      <c r="C914" s="15" t="str">
        <f t="array" ref="C914">IFNA(_xlfn.XLOOKUP(B914,Table_Respons_Loket[Count],Table_Respons_Loket[Nomor Tiket]),"")</f>
        <v>L/28/061124/3</v>
      </c>
      <c r="D914" s="15" t="str">
        <f t="array" ref="D914">IFNA(_xlfn.XLOOKUP(B914,Table_Respons_Loket[Count],Table_Respons_Loket[Daftar Nomor Hak]),"")</f>
        <v>BATU PUTU</v>
      </c>
      <c r="E914" s="17">
        <f t="array" ref="E914">IFNA(_xlfn.XLOOKUP(B914,Table_Respons_Loket[Count],Table_Respons_Loket[Time Stamp]),"")</f>
        <v>45602.57527</v>
      </c>
      <c r="F914" s="18" t="str">
        <f t="array" ref="F914">IFNA(_xlfn.XLOOKUP(B914,Table_Respons_Loket[Count],Table_Respons_Loket[Jenis Permohonan]),"")</f>
        <v>TANAH MENTAH</v>
      </c>
      <c r="G914" s="24"/>
      <c r="H914" s="24"/>
      <c r="I914" s="22" t="str">
        <f t="shared" si="7"/>
        <v/>
      </c>
      <c r="J914" s="20" t="b">
        <v>0</v>
      </c>
      <c r="K914" s="13" t="str">
        <f t="shared" si="2"/>
        <v/>
      </c>
    </row>
    <row r="915" ht="22.5" customHeight="1">
      <c r="B915" s="13">
        <f t="shared" si="3"/>
        <v>909</v>
      </c>
      <c r="C915" s="15" t="str">
        <f t="array" ref="C915">IFNA(_xlfn.XLOOKUP(B915,Table_Respons_Loket[Count],Table_Respons_Loket[Nomor Tiket]),"")</f>
        <v>K/31/061124/1</v>
      </c>
      <c r="D915" s="15" t="str">
        <f t="array" ref="D915">IFNA(_xlfn.XLOOKUP(B915,Table_Respons_Loket[Count],Table_Respons_Loket[Daftar Nomor Hak]),"")</f>
        <v>B. 254/ Nusantara Permai</v>
      </c>
      <c r="E915" s="17">
        <f t="array" ref="E915">IFNA(_xlfn.XLOOKUP(B915,Table_Respons_Loket[Count],Table_Respons_Loket[Time Stamp]),"")</f>
        <v>45602.57978</v>
      </c>
      <c r="F915" s="18" t="str">
        <f t="array" ref="F915">IFNA(_xlfn.XLOOKUP(B915,Table_Respons_Loket[Count],Table_Respons_Loket[Jenis Permohonan]),"")</f>
        <v>Bn Jual Beli</v>
      </c>
      <c r="G915" s="12" t="s">
        <v>50</v>
      </c>
      <c r="H915" s="12" t="s">
        <v>52</v>
      </c>
      <c r="I915" s="22">
        <f t="shared" si="7"/>
        <v>45604.62461</v>
      </c>
      <c r="J915" s="20" t="b">
        <v>0</v>
      </c>
      <c r="K915" s="13" t="str">
        <f t="shared" si="2"/>
        <v/>
      </c>
    </row>
    <row r="916" ht="22.5" customHeight="1">
      <c r="B916" s="13">
        <f t="shared" si="3"/>
        <v>910</v>
      </c>
      <c r="C916" s="15" t="str">
        <f t="array" ref="C916">IFNA(_xlfn.XLOOKUP(B916,Table_Respons_Loket[Count],Table_Respons_Loket[Nomor Tiket]),"")</f>
        <v>K/32/061124/2</v>
      </c>
      <c r="D916" s="15" t="str">
        <f t="array" ref="D916">IFNA(_xlfn.XLOOKUP(B916,Table_Respons_Loket[Count],Table_Respons_Loket[Daftar Nomor Hak]),"")</f>
        <v>M. 901/ Sumberrejo Sehatera</v>
      </c>
      <c r="E916" s="17">
        <f t="array" ref="E916">IFNA(_xlfn.XLOOKUP(B916,Table_Respons_Loket[Count],Table_Respons_Loket[Time Stamp]),"")</f>
        <v>45602.58285</v>
      </c>
      <c r="F916" s="18" t="str">
        <f t="array" ref="F916">IFNA(_xlfn.XLOOKUP(B916,Table_Respons_Loket[Count],Table_Respons_Loket[Jenis Permohonan]),"")</f>
        <v>BN Jual Beli</v>
      </c>
      <c r="G916" s="12" t="s">
        <v>50</v>
      </c>
      <c r="H916" s="12" t="s">
        <v>52</v>
      </c>
      <c r="I916" s="22">
        <f t="shared" si="7"/>
        <v>45604.62472</v>
      </c>
      <c r="J916" s="20" t="b">
        <v>0</v>
      </c>
      <c r="K916" s="13" t="str">
        <f t="shared" si="2"/>
        <v/>
      </c>
    </row>
    <row r="917" ht="22.5" customHeight="1">
      <c r="B917" s="13">
        <f t="shared" si="3"/>
        <v>911</v>
      </c>
      <c r="C917" s="15" t="str">
        <f t="array" ref="C917">IFNA(_xlfn.XLOOKUP(B917,Table_Respons_Loket[Count],Table_Respons_Loket[Nomor Tiket]),"")</f>
        <v>K/33/061124/3</v>
      </c>
      <c r="D917" s="15" t="str">
        <f t="array" ref="D917">IFNA(_xlfn.XLOOKUP(B917,Table_Respons_Loket[Count],Table_Respons_Loket[Daftar Nomor Hak]),"")</f>
        <v>B. 1017/ Keteguhan</v>
      </c>
      <c r="E917" s="17">
        <f t="array" ref="E917">IFNA(_xlfn.XLOOKUP(B917,Table_Respons_Loket[Count],Table_Respons_Loket[Time Stamp]),"")</f>
        <v>45602.58431</v>
      </c>
      <c r="F917" s="18" t="str">
        <f t="array" ref="F917">IFNA(_xlfn.XLOOKUP(B917,Table_Respons_Loket[Count],Table_Respons_Loket[Jenis Permohonan]),"")</f>
        <v>BN Jual Beli</v>
      </c>
      <c r="G917" s="12" t="s">
        <v>50</v>
      </c>
      <c r="H917" s="12" t="s">
        <v>52</v>
      </c>
      <c r="I917" s="22">
        <f t="shared" si="7"/>
        <v>45604.62501</v>
      </c>
      <c r="J917" s="20" t="b">
        <v>0</v>
      </c>
      <c r="K917" s="13" t="str">
        <f t="shared" si="2"/>
        <v/>
      </c>
    </row>
    <row r="918" ht="22.5" customHeight="1">
      <c r="B918" s="13">
        <f t="shared" si="3"/>
        <v>912</v>
      </c>
      <c r="C918" s="15" t="str">
        <f t="array" ref="C918">IFNA(_xlfn.XLOOKUP(B918,Table_Respons_Loket[Count],Table_Respons_Loket[Nomor Tiket]),"")</f>
        <v>K/34/061124/1</v>
      </c>
      <c r="D918" s="15" t="str">
        <f t="array" ref="D918">IFNA(_xlfn.XLOOKUP(B918,Table_Respons_Loket[Count],Table_Respons_Loket[Daftar Nomor Hak]),"")</f>
        <v>M.1929/KALI BALAU KENCANA</v>
      </c>
      <c r="E918" s="17">
        <f t="array" ref="E918">IFNA(_xlfn.XLOOKUP(B918,Table_Respons_Loket[Count],Table_Respons_Loket[Time Stamp]),"")</f>
        <v>45602.58441</v>
      </c>
      <c r="F918" s="18" t="str">
        <f t="array" ref="F918">IFNA(_xlfn.XLOOKUP(B918,Table_Respons_Loket[Count],Table_Respons_Loket[Jenis Permohonan]),"")</f>
        <v>BN JUAL BELI</v>
      </c>
      <c r="G918" s="12" t="s">
        <v>50</v>
      </c>
      <c r="H918" s="12" t="s">
        <v>52</v>
      </c>
      <c r="I918" s="22">
        <f t="shared" si="7"/>
        <v>45604.62516</v>
      </c>
      <c r="J918" s="20" t="b">
        <v>0</v>
      </c>
      <c r="K918" s="13" t="str">
        <f t="shared" si="2"/>
        <v/>
      </c>
    </row>
    <row r="919" ht="22.5" customHeight="1">
      <c r="B919" s="13">
        <f t="shared" si="3"/>
        <v>913</v>
      </c>
      <c r="C919" s="15" t="str">
        <f t="array" ref="C919">IFNA(_xlfn.XLOOKUP(B919,Table_Respons_Loket[Count],Table_Respons_Loket[Nomor Tiket]),"")</f>
        <v>K/36/061124/1</v>
      </c>
      <c r="D919" s="15" t="str">
        <f t="array" ref="D919">IFNA(_xlfn.XLOOKUP(B919,Table_Respons_Loket[Count],Table_Respons_Loket[Daftar Nomor Hak]),"")</f>
        <v>NIBEL M.1005/TANJUNGKARANG</v>
      </c>
      <c r="E919" s="17">
        <f t="array" ref="E919">IFNA(_xlfn.XLOOKUP(B919,Table_Respons_Loket[Count],Table_Respons_Loket[Time Stamp]),"")</f>
        <v>45602.59153</v>
      </c>
      <c r="F919" s="18" t="str">
        <f t="array" ref="F919">IFNA(_xlfn.XLOOKUP(B919,Table_Respons_Loket[Count],Table_Respons_Loket[Jenis Permohonan]),"")</f>
        <v>BN JUAL BELI</v>
      </c>
      <c r="G919" s="24"/>
      <c r="H919" s="24"/>
      <c r="I919" s="22" t="str">
        <f t="shared" si="7"/>
        <v/>
      </c>
      <c r="J919" s="20" t="b">
        <v>0</v>
      </c>
      <c r="K919" s="13" t="str">
        <f t="shared" si="2"/>
        <v/>
      </c>
    </row>
    <row r="920" ht="22.5" customHeight="1">
      <c r="B920" s="13">
        <f t="shared" si="3"/>
        <v>914</v>
      </c>
      <c r="C920" s="15" t="str">
        <f t="array" ref="C920">IFNA(_xlfn.XLOOKUP(B920,Table_Respons_Loket[Count],Table_Respons_Loket[Nomor Tiket]),"")</f>
        <v>K/35/061124/1</v>
      </c>
      <c r="D920" s="15" t="str">
        <f t="array" ref="D920">IFNA(_xlfn.XLOOKUP(B920,Table_Respons_Loket[Count],Table_Respons_Loket[Daftar Nomor Hak]),"")</f>
        <v>M. 1440/ Pesawahan</v>
      </c>
      <c r="E920" s="17">
        <f t="array" ref="E920">IFNA(_xlfn.XLOOKUP(B920,Table_Respons_Loket[Count],Table_Respons_Loket[Time Stamp]),"")</f>
        <v>45602.59182</v>
      </c>
      <c r="F920" s="18" t="str">
        <f t="array" ref="F920">IFNA(_xlfn.XLOOKUP(B920,Table_Respons_Loket[Count],Table_Respons_Loket[Jenis Permohonan]),"")</f>
        <v>BN Jual Beli</v>
      </c>
      <c r="G920" s="12" t="s">
        <v>50</v>
      </c>
      <c r="H920" s="12" t="s">
        <v>52</v>
      </c>
      <c r="I920" s="22">
        <f t="shared" si="7"/>
        <v>45604.62546</v>
      </c>
      <c r="J920" s="20" t="b">
        <v>0</v>
      </c>
      <c r="K920" s="13" t="str">
        <f t="shared" si="2"/>
        <v/>
      </c>
    </row>
    <row r="921" ht="22.5" customHeight="1">
      <c r="B921" s="13">
        <f t="shared" si="3"/>
        <v>915</v>
      </c>
      <c r="C921" s="15" t="str">
        <f t="array" ref="C921">IFNA(_xlfn.XLOOKUP(B921,Table_Respons_Loket[Count],Table_Respons_Loket[Nomor Tiket]),"")</f>
        <v>L/37/061124/1</v>
      </c>
      <c r="D921" s="15" t="str">
        <f t="array" ref="D921">IFNA(_xlfn.XLOOKUP(B921,Table_Respons_Loket[Count],Table_Respons_Loket[Daftar Nomor Hak]),"")</f>
        <v>HGB 811/KETEGUHAN</v>
      </c>
      <c r="E921" s="17">
        <f t="array" ref="E921">IFNA(_xlfn.XLOOKUP(B921,Table_Respons_Loket[Count],Table_Respons_Loket[Time Stamp]),"")</f>
        <v>45602.59534</v>
      </c>
      <c r="F921" s="18" t="str">
        <f t="array" ref="F921">IFNA(_xlfn.XLOOKUP(B921,Table_Respons_Loket[Count],Table_Respons_Loket[Jenis Permohonan]),"")</f>
        <v>PH</v>
      </c>
      <c r="G921" s="12" t="s">
        <v>50</v>
      </c>
      <c r="H921" s="12" t="s">
        <v>52</v>
      </c>
      <c r="I921" s="22">
        <f t="shared" si="7"/>
        <v>45604.62565</v>
      </c>
      <c r="J921" s="20" t="b">
        <v>0</v>
      </c>
      <c r="K921" s="13" t="str">
        <f t="shared" si="2"/>
        <v/>
      </c>
    </row>
    <row r="922" ht="22.5" customHeight="1">
      <c r="B922" s="13">
        <f t="shared" si="3"/>
        <v>916</v>
      </c>
      <c r="C922" s="15" t="str">
        <f t="array" ref="C922">IFNA(_xlfn.XLOOKUP(B922,Table_Respons_Loket[Count],Table_Respons_Loket[Nomor Tiket]),"")</f>
        <v>K/39/061124/1</v>
      </c>
      <c r="D922" s="15" t="str">
        <f t="array" ref="D922">IFNA(_xlfn.XLOOKUP(B922,Table_Respons_Loket[Count],Table_Respons_Loket[Daftar Nomor Hak]),"")</f>
        <v>PBT. 148/2024</v>
      </c>
      <c r="E922" s="17">
        <f t="array" ref="E922">IFNA(_xlfn.XLOOKUP(B922,Table_Respons_Loket[Count],Table_Respons_Loket[Time Stamp]),"")</f>
        <v>45602.62243</v>
      </c>
      <c r="F922" s="18" t="str">
        <f t="array" ref="F922">IFNA(_xlfn.XLOOKUP(B922,Table_Respons_Loket[Count],Table_Respons_Loket[Jenis Permohonan]),"")</f>
        <v>PTPGT (Pertama Kali)</v>
      </c>
      <c r="G922" s="24"/>
      <c r="H922" s="24"/>
      <c r="I922" s="22" t="str">
        <f t="shared" si="7"/>
        <v/>
      </c>
      <c r="J922" s="20" t="b">
        <v>0</v>
      </c>
      <c r="K922" s="13" t="str">
        <f t="shared" si="2"/>
        <v/>
      </c>
    </row>
    <row r="923" ht="22.5" customHeight="1">
      <c r="B923" s="13">
        <f t="shared" si="3"/>
        <v>917</v>
      </c>
      <c r="C923" s="15" t="str">
        <f t="array" ref="C923">IFNA(_xlfn.XLOOKUP(B923,Table_Respons_Loket[Count],Table_Respons_Loket[Nomor Tiket]),"")</f>
        <v>K/38/061124/1</v>
      </c>
      <c r="D923" s="15" t="str">
        <f t="array" ref="D923">IFNA(_xlfn.XLOOKUP(B923,Table_Respons_Loket[Count],Table_Respons_Loket[Daftar Nomor Hak]),"")</f>
        <v>NIBEL M. 3311/LABUHAN RATU RAYA</v>
      </c>
      <c r="E923" s="17">
        <f t="array" ref="E923">IFNA(_xlfn.XLOOKUP(B923,Table_Respons_Loket[Count],Table_Respons_Loket[Time Stamp]),"")</f>
        <v>45602.60119</v>
      </c>
      <c r="F923" s="18" t="str">
        <f t="array" ref="F923">IFNA(_xlfn.XLOOKUP(B923,Table_Respons_Loket[Count],Table_Respons_Loket[Jenis Permohonan]),"")</f>
        <v>PTPGT</v>
      </c>
      <c r="G923" s="24"/>
      <c r="H923" s="24"/>
      <c r="I923" s="22" t="str">
        <f t="shared" si="7"/>
        <v/>
      </c>
      <c r="J923" s="20" t="b">
        <v>0</v>
      </c>
      <c r="K923" s="13" t="str">
        <f t="shared" si="2"/>
        <v/>
      </c>
    </row>
    <row r="924" ht="22.5" customHeight="1">
      <c r="B924" s="13">
        <f t="shared" si="3"/>
        <v>918</v>
      </c>
      <c r="C924" s="15" t="str">
        <f t="array" ref="C924">IFNA(_xlfn.XLOOKUP(B924,Table_Respons_Loket[Count],Table_Respons_Loket[Nomor Tiket]),"")</f>
        <v>L/41/061124/1</v>
      </c>
      <c r="D924" s="15" t="str">
        <f t="array" ref="D924">IFNA(_xlfn.XLOOKUP(B924,Table_Respons_Loket[Count],Table_Respons_Loket[Daftar Nomor Hak]),"")</f>
        <v>HM 13950/SUKABUMI</v>
      </c>
      <c r="E924" s="17">
        <f t="array" ref="E924">IFNA(_xlfn.XLOOKUP(B924,Table_Respons_Loket[Count],Table_Respons_Loket[Time Stamp]),"")</f>
        <v>45602.60217</v>
      </c>
      <c r="F924" s="18" t="str">
        <f t="array" ref="F924">IFNA(_xlfn.XLOOKUP(B924,Table_Respons_Loket[Count],Table_Respons_Loket[Jenis Permohonan]),"")</f>
        <v>PTPGT</v>
      </c>
      <c r="G924" s="24"/>
      <c r="H924" s="24"/>
      <c r="I924" s="22" t="str">
        <f t="shared" si="7"/>
        <v/>
      </c>
      <c r="J924" s="20" t="b">
        <v>0</v>
      </c>
      <c r="K924" s="13" t="str">
        <f t="shared" si="2"/>
        <v/>
      </c>
    </row>
    <row r="925" ht="22.5" customHeight="1">
      <c r="B925" s="13">
        <f t="shared" si="3"/>
        <v>919</v>
      </c>
      <c r="C925" s="15" t="str">
        <f t="array" ref="C925">IFNA(_xlfn.XLOOKUP(B925,Table_Respons_Loket[Count],Table_Respons_Loket[Nomor Tiket]),"")</f>
        <v>K/40/061124/1</v>
      </c>
      <c r="D925" s="15" t="str">
        <f t="array" ref="D925">IFNA(_xlfn.XLOOKUP(B925,Table_Respons_Loket[Count],Table_Respons_Loket[Daftar Nomor Hak]),"")</f>
        <v>M.541/SAWAH LAMA</v>
      </c>
      <c r="E925" s="17">
        <f t="array" ref="E925">IFNA(_xlfn.XLOOKUP(B925,Table_Respons_Loket[Count],Table_Respons_Loket[Time Stamp]),"")</f>
        <v>45602.60247</v>
      </c>
      <c r="F925" s="18" t="str">
        <f t="array" ref="F925">IFNA(_xlfn.XLOOKUP(B925,Table_Respons_Loket[Count],Table_Respons_Loket[Jenis Permohonan]),"")</f>
        <v>PENGECEKAN</v>
      </c>
      <c r="G925" s="24"/>
      <c r="H925" s="24"/>
      <c r="I925" s="22" t="str">
        <f t="shared" si="7"/>
        <v/>
      </c>
      <c r="J925" s="20" t="b">
        <v>0</v>
      </c>
      <c r="K925" s="13" t="str">
        <f t="shared" si="2"/>
        <v/>
      </c>
    </row>
    <row r="926" ht="22.5" customHeight="1">
      <c r="B926" s="13">
        <f t="shared" si="3"/>
        <v>920</v>
      </c>
      <c r="C926" s="15" t="str">
        <f t="array" ref="C926">IFNA(_xlfn.XLOOKUP(B926,Table_Respons_Loket[Count],Table_Respons_Loket[Nomor Tiket]),"")</f>
        <v>K/42/061124/1</v>
      </c>
      <c r="D926" s="15" t="str">
        <f t="array" ref="D926">IFNA(_xlfn.XLOOKUP(B926,Table_Respons_Loket[Count],Table_Respons_Loket[Daftar Nomor Hak]),"")</f>
        <v>M. 2206/ Perumnas Way Halim</v>
      </c>
      <c r="E926" s="17">
        <f t="array" ref="E926">IFNA(_xlfn.XLOOKUP(B926,Table_Respons_Loket[Count],Table_Respons_Loket[Time Stamp]),"")</f>
        <v>45602.60595</v>
      </c>
      <c r="F926" s="18" t="str">
        <f t="array" ref="F926">IFNA(_xlfn.XLOOKUP(B926,Table_Respons_Loket[Count],Table_Respons_Loket[Jenis Permohonan]),"")</f>
        <v>BN JUAL BELI</v>
      </c>
      <c r="G926" s="12" t="s">
        <v>50</v>
      </c>
      <c r="H926" s="12" t="s">
        <v>52</v>
      </c>
      <c r="I926" s="22">
        <f t="shared" si="7"/>
        <v>45604.62581</v>
      </c>
      <c r="J926" s="20" t="b">
        <v>0</v>
      </c>
      <c r="K926" s="13" t="str">
        <f t="shared" si="2"/>
        <v/>
      </c>
    </row>
    <row r="927" ht="22.5" customHeight="1">
      <c r="B927" s="13">
        <f t="shared" si="3"/>
        <v>921</v>
      </c>
      <c r="C927" s="15" t="str">
        <f t="array" ref="C927">IFNA(_xlfn.XLOOKUP(B927,Table_Respons_Loket[Count],Table_Respons_Loket[Nomor Tiket]),"")</f>
        <v>K/43/061124/1</v>
      </c>
      <c r="D927" s="15" t="str">
        <f t="array" ref="D927">IFNA(_xlfn.XLOOKUP(B927,Table_Respons_Loket[Count],Table_Respons_Loket[Daftar Nomor Hak]),"")</f>
        <v>M. 11916/ tanjung baru</v>
      </c>
      <c r="E927" s="17">
        <f t="array" ref="E927">IFNA(_xlfn.XLOOKUP(B927,Table_Respons_Loket[Count],Table_Respons_Loket[Time Stamp]),"")</f>
        <v>45602.6093</v>
      </c>
      <c r="F927" s="18" t="str">
        <f t="array" ref="F927">IFNA(_xlfn.XLOOKUP(B927,Table_Respons_Loket[Count],Table_Respons_Loket[Jenis Permohonan]),"")</f>
        <v>SKPT LELANG</v>
      </c>
      <c r="G927" s="24"/>
      <c r="H927" s="24"/>
      <c r="I927" s="22" t="str">
        <f t="shared" si="7"/>
        <v/>
      </c>
      <c r="J927" s="20" t="b">
        <v>0</v>
      </c>
      <c r="K927" s="13" t="str">
        <f t="shared" si="2"/>
        <v/>
      </c>
    </row>
    <row r="928" ht="22.5" customHeight="1">
      <c r="B928" s="13">
        <f t="shared" si="3"/>
        <v>922</v>
      </c>
      <c r="C928" s="15" t="str">
        <f t="array" ref="C928">IFNA(_xlfn.XLOOKUP(B928,Table_Respons_Loket[Count],Table_Respons_Loket[Nomor Tiket]),"")</f>
        <v>K/40/311024/2</v>
      </c>
      <c r="D928" s="15" t="str">
        <f t="array" ref="D928">IFNA(_xlfn.XLOOKUP(B928,Table_Respons_Loket[Count],Table_Respons_Loket[Daftar Nomor Hak]),"")</f>
        <v>M.1183/PERUMNAS WAY KANDIS</v>
      </c>
      <c r="E928" s="17">
        <f t="array" ref="E928">IFNA(_xlfn.XLOOKUP(B928,Table_Respons_Loket[Count],Table_Respons_Loket[Time Stamp]),"")</f>
        <v>45602.61241</v>
      </c>
      <c r="F928" s="18" t="str">
        <f t="array" ref="F928">IFNA(_xlfn.XLOOKUP(B928,Table_Respons_Loket[Count],Table_Respons_Loket[Jenis Permohonan]),"")</f>
        <v>BN JUAL BELI</v>
      </c>
      <c r="G928" s="12" t="s">
        <v>50</v>
      </c>
      <c r="H928" s="12" t="s">
        <v>47</v>
      </c>
      <c r="I928" s="22" t="str">
        <f t="shared" si="7"/>
        <v/>
      </c>
      <c r="J928" s="20" t="b">
        <v>0</v>
      </c>
      <c r="K928" s="13" t="str">
        <f t="shared" si="2"/>
        <v/>
      </c>
    </row>
    <row r="929" ht="22.5" customHeight="1">
      <c r="B929" s="13">
        <f t="shared" si="3"/>
        <v>923</v>
      </c>
      <c r="C929" s="15" t="str">
        <f t="array" ref="C929">IFNA(_xlfn.XLOOKUP(B929,Table_Respons_Loket[Count],Table_Respons_Loket[Nomor Tiket]),"")</f>
        <v>K/44/061124/2</v>
      </c>
      <c r="D929" s="15" t="str">
        <f t="array" ref="D929">IFNA(_xlfn.XLOOKUP(B929,Table_Respons_Loket[Count],Table_Respons_Loket[Daftar Nomor Hak]),"")</f>
        <v>M. 1126/ Jagabaya III</v>
      </c>
      <c r="E929" s="17">
        <f t="array" ref="E929">IFNA(_xlfn.XLOOKUP(B929,Table_Respons_Loket[Count],Table_Respons_Loket[Time Stamp]),"")</f>
        <v>45602.61241</v>
      </c>
      <c r="F929" s="18" t="str">
        <f t="array" ref="F929">IFNA(_xlfn.XLOOKUP(B929,Table_Respons_Loket[Count],Table_Respons_Loket[Jenis Permohonan]),"")</f>
        <v>SKPT LELANG</v>
      </c>
      <c r="G929" s="24"/>
      <c r="H929" s="24"/>
      <c r="I929" s="22" t="str">
        <f t="shared" si="7"/>
        <v/>
      </c>
      <c r="J929" s="20" t="b">
        <v>0</v>
      </c>
      <c r="K929" s="13" t="str">
        <f t="shared" si="2"/>
        <v/>
      </c>
    </row>
    <row r="930" ht="22.5" customHeight="1">
      <c r="B930" s="13">
        <f t="shared" si="3"/>
        <v>924</v>
      </c>
      <c r="C930" s="15" t="str">
        <f t="array" ref="C930">IFNA(_xlfn.XLOOKUP(B930,Table_Respons_Loket[Count],Table_Respons_Loket[Nomor Tiket]),"")</f>
        <v>K/45/061124/3</v>
      </c>
      <c r="D930" s="15" t="str">
        <f t="array" ref="D930">IFNA(_xlfn.XLOOKUP(B930,Table_Respons_Loket[Count],Table_Respons_Loket[Daftar Nomor Hak]),"")</f>
        <v>M. 11414/ Jagabaya II</v>
      </c>
      <c r="E930" s="17">
        <f t="array" ref="E930">IFNA(_xlfn.XLOOKUP(B930,Table_Respons_Loket[Count],Table_Respons_Loket[Time Stamp]),"")</f>
        <v>45602.6137</v>
      </c>
      <c r="F930" s="18" t="str">
        <f t="array" ref="F930">IFNA(_xlfn.XLOOKUP(B930,Table_Respons_Loket[Count],Table_Respons_Loket[Jenis Permohonan]),"")</f>
        <v>SKPT LELANG</v>
      </c>
      <c r="G930" s="24"/>
      <c r="H930" s="24"/>
      <c r="I930" s="22" t="str">
        <f t="shared" si="7"/>
        <v/>
      </c>
      <c r="J930" s="20" t="b">
        <v>0</v>
      </c>
      <c r="K930" s="13" t="str">
        <f t="shared" si="2"/>
        <v/>
      </c>
    </row>
    <row r="931" ht="22.5" customHeight="1">
      <c r="B931" s="13">
        <f t="shared" si="3"/>
        <v>925</v>
      </c>
      <c r="C931" s="15" t="str">
        <f t="array" ref="C931">IFNA(_xlfn.XLOOKUP(B931,Table_Respons_Loket[Count],Table_Respons_Loket[Nomor Tiket]),"")</f>
        <v>L/46/061124/1</v>
      </c>
      <c r="D931" s="15" t="str">
        <f t="array" ref="D931">IFNA(_xlfn.XLOOKUP(B931,Table_Respons_Loket[Count],Table_Respons_Loket[Daftar Nomor Hak]),"")</f>
        <v>HM 1570/JAGABAYA III</v>
      </c>
      <c r="E931" s="17">
        <f t="array" ref="E931">IFNA(_xlfn.XLOOKUP(B931,Table_Respons_Loket[Count],Table_Respons_Loket[Time Stamp]),"")</f>
        <v>45602.61702</v>
      </c>
      <c r="F931" s="18" t="str">
        <f t="array" ref="F931">IFNA(_xlfn.XLOOKUP(B931,Table_Respons_Loket[Count],Table_Respons_Loket[Jenis Permohonan]),"")</f>
        <v>PLOT SERTIPIKAT HILANG</v>
      </c>
      <c r="G931" s="24"/>
      <c r="H931" s="24"/>
      <c r="I931" s="22" t="str">
        <f t="shared" si="7"/>
        <v/>
      </c>
      <c r="J931" s="20" t="b">
        <v>0</v>
      </c>
      <c r="K931" s="13" t="str">
        <f t="shared" si="2"/>
        <v/>
      </c>
    </row>
    <row r="932" ht="22.5" customHeight="1">
      <c r="B932" s="13">
        <f t="shared" si="3"/>
        <v>926</v>
      </c>
      <c r="C932" s="15" t="str">
        <f t="array" ref="C932">IFNA(_xlfn.XLOOKUP(B932,Table_Respons_Loket[Count],Table_Respons_Loket[Nomor Tiket]),"")</f>
        <v>K/47/061124/1</v>
      </c>
      <c r="D932" s="15" t="str">
        <f t="array" ref="D932">IFNA(_xlfn.XLOOKUP(B932,Table_Respons_Loket[Count],Table_Respons_Loket[Daftar Nomor Hak]),"")</f>
        <v>M.16239/SUKABUMI</v>
      </c>
      <c r="E932" s="17">
        <f t="array" ref="E932">IFNA(_xlfn.XLOOKUP(B932,Table_Respons_Loket[Count],Table_Respons_Loket[Time Stamp]),"")</f>
        <v>45602.6186</v>
      </c>
      <c r="F932" s="18" t="str">
        <f t="array" ref="F932">IFNA(_xlfn.XLOOKUP(B932,Table_Respons_Loket[Count],Table_Respons_Loket[Jenis Permohonan]),"")</f>
        <v>BN JUAL BELI</v>
      </c>
      <c r="G932" s="12" t="s">
        <v>50</v>
      </c>
      <c r="H932" s="12" t="s">
        <v>47</v>
      </c>
      <c r="I932" s="22" t="str">
        <f t="shared" si="7"/>
        <v/>
      </c>
      <c r="J932" s="20" t="b">
        <v>0</v>
      </c>
      <c r="K932" s="13" t="str">
        <f t="shared" si="2"/>
        <v/>
      </c>
    </row>
    <row r="933" ht="22.5" customHeight="1">
      <c r="B933" s="13">
        <f t="shared" si="3"/>
        <v>927</v>
      </c>
      <c r="C933" s="15" t="str">
        <f t="array" ref="C933">IFNA(_xlfn.XLOOKUP(B933,Table_Respons_Loket[Count],Table_Respons_Loket[Nomor Tiket]),"")</f>
        <v>K/50/061124/1</v>
      </c>
      <c r="D933" s="15" t="str">
        <f t="array" ref="D933">IFNA(_xlfn.XLOOKUP(B933,Table_Respons_Loket[Count],Table_Respons_Loket[Daftar Nomor Hak]),"")</f>
        <v>M. 2096/ Kangkung</v>
      </c>
      <c r="E933" s="17">
        <f t="array" ref="E933">IFNA(_xlfn.XLOOKUP(B933,Table_Respons_Loket[Count],Table_Respons_Loket[Time Stamp]),"")</f>
        <v>45602.6192</v>
      </c>
      <c r="F933" s="18" t="str">
        <f t="array" ref="F933">IFNA(_xlfn.XLOOKUP(B933,Table_Respons_Loket[Count],Table_Respons_Loket[Jenis Permohonan]),"")</f>
        <v>ROYA</v>
      </c>
      <c r="G933" s="12" t="s">
        <v>50</v>
      </c>
      <c r="H933" s="12" t="s">
        <v>52</v>
      </c>
      <c r="I933" s="22">
        <f t="shared" si="7"/>
        <v>45604.62631</v>
      </c>
      <c r="J933" s="20" t="b">
        <v>0</v>
      </c>
      <c r="K933" s="13" t="str">
        <f t="shared" si="2"/>
        <v/>
      </c>
    </row>
    <row r="934" ht="22.5" customHeight="1">
      <c r="B934" s="13">
        <f t="shared" si="3"/>
        <v>928</v>
      </c>
      <c r="C934" s="15" t="str">
        <f t="array" ref="C934">IFNA(_xlfn.XLOOKUP(B934,Table_Respons_Loket[Count],Table_Respons_Loket[Nomor Tiket]),"")</f>
        <v>K/48/061124/2</v>
      </c>
      <c r="D934" s="15" t="str">
        <f t="array" ref="D934">IFNA(_xlfn.XLOOKUP(B934,Table_Respons_Loket[Count],Table_Respons_Loket[Daftar Nomor Hak]),"")</f>
        <v>M.3451/KOTABARU-SEKARANG;B.211/KOTA BARU-DAHULU</v>
      </c>
      <c r="E934" s="17">
        <f t="array" ref="E934">IFNA(_xlfn.XLOOKUP(B934,Table_Respons_Loket[Count],Table_Respons_Loket[Time Stamp]),"")</f>
        <v>45602.62058</v>
      </c>
      <c r="F934" s="18" t="str">
        <f t="array" ref="F934">IFNA(_xlfn.XLOOKUP(B934,Table_Respons_Loket[Count],Table_Respons_Loket[Jenis Permohonan]),"")</f>
        <v>BN JUAL BELI</v>
      </c>
      <c r="G934" s="12" t="s">
        <v>50</v>
      </c>
      <c r="H934" s="12" t="s">
        <v>52</v>
      </c>
      <c r="I934" s="22">
        <f t="shared" si="7"/>
        <v>45604.62639</v>
      </c>
      <c r="J934" s="20" t="b">
        <v>0</v>
      </c>
      <c r="K934" s="13" t="str">
        <f t="shared" si="2"/>
        <v/>
      </c>
    </row>
    <row r="935" ht="22.5" customHeight="1">
      <c r="B935" s="13">
        <f t="shared" si="3"/>
        <v>929</v>
      </c>
      <c r="C935" s="15" t="str">
        <f t="array" ref="C935">IFNA(_xlfn.XLOOKUP(B935,Table_Respons_Loket[Count],Table_Respons_Loket[Nomor Tiket]),"")</f>
        <v>K/51/061124/1</v>
      </c>
      <c r="D935" s="15" t="str">
        <f t="array" ref="D935">IFNA(_xlfn.XLOOKUP(B935,Table_Respons_Loket[Count],Table_Respons_Loket[Daftar Nomor Hak]),"")</f>
        <v>M.2019/LABUHAN DALAM</v>
      </c>
      <c r="E935" s="17">
        <f t="array" ref="E935">IFNA(_xlfn.XLOOKUP(B935,Table_Respons_Loket[Count],Table_Respons_Loket[Time Stamp]),"")</f>
        <v>45602.62367</v>
      </c>
      <c r="F935" s="18" t="str">
        <f t="array" ref="F935">IFNA(_xlfn.XLOOKUP(B935,Table_Respons_Loket[Count],Table_Respons_Loket[Jenis Permohonan]),"")</f>
        <v>BN JUAL BELI</v>
      </c>
      <c r="G935" s="12" t="s">
        <v>48</v>
      </c>
      <c r="H935" s="12" t="s">
        <v>52</v>
      </c>
      <c r="I935" s="22">
        <f t="shared" si="7"/>
        <v>45604.62862</v>
      </c>
      <c r="J935" s="20" t="b">
        <v>0</v>
      </c>
      <c r="K935" s="13" t="str">
        <f t="shared" si="2"/>
        <v/>
      </c>
    </row>
    <row r="936" ht="22.5" customHeight="1">
      <c r="B936" s="13">
        <f t="shared" si="3"/>
        <v>930</v>
      </c>
      <c r="C936" s="15" t="str">
        <f t="array" ref="C936">IFNA(_xlfn.XLOOKUP(B936,Table_Respons_Loket[Count],Table_Respons_Loket[Nomor Tiket]),"")</f>
        <v>K/53/061124/1</v>
      </c>
      <c r="D936" s="15" t="str">
        <f t="array" ref="D936">IFNA(_xlfn.XLOOKUP(B936,Table_Respons_Loket[Count],Table_Respons_Loket[Daftar Nomor Hak]),"")</f>
        <v>M.11612/SEGALA MIDER</v>
      </c>
      <c r="E936" s="17">
        <f t="array" ref="E936">IFNA(_xlfn.XLOOKUP(B936,Table_Respons_Loket[Count],Table_Respons_Loket[Time Stamp]),"")</f>
        <v>45602.63178</v>
      </c>
      <c r="F936" s="18" t="str">
        <f t="array" ref="F936">IFNA(_xlfn.XLOOKUP(B936,Table_Respons_Loket[Count],Table_Respons_Loket[Jenis Permohonan]),"")</f>
        <v>ROYA</v>
      </c>
      <c r="G936" s="12" t="s">
        <v>48</v>
      </c>
      <c r="H936" s="12" t="s">
        <v>52</v>
      </c>
      <c r="I936" s="22">
        <f t="shared" si="7"/>
        <v>45604.62922</v>
      </c>
      <c r="J936" s="20" t="b">
        <v>0</v>
      </c>
      <c r="K936" s="13" t="str">
        <f t="shared" si="2"/>
        <v/>
      </c>
    </row>
    <row r="937" ht="22.5" customHeight="1">
      <c r="B937" s="13">
        <f t="shared" si="3"/>
        <v>931</v>
      </c>
      <c r="C937" s="15" t="str">
        <f t="array" ref="C937">IFNA(_xlfn.XLOOKUP(B937,Table_Respons_Loket[Count],Table_Respons_Loket[Nomor Tiket]),"")</f>
        <v>K/52/061124/1</v>
      </c>
      <c r="D937" s="15" t="str">
        <f t="array" ref="D937">IFNA(_xlfn.XLOOKUP(B937,Table_Respons_Loket[Count],Table_Respons_Loket[Daftar Nomor Hak]),"")</f>
        <v>Nibel. B. 2254/ Kedamaian</v>
      </c>
      <c r="E937" s="17">
        <f t="array" ref="E937">IFNA(_xlfn.XLOOKUP(B937,Table_Respons_Loket[Count],Table_Respons_Loket[Time Stamp]),"")</f>
        <v>45602.63325</v>
      </c>
      <c r="F937" s="18" t="str">
        <f t="array" ref="F937">IFNA(_xlfn.XLOOKUP(B937,Table_Respons_Loket[Count],Table_Respons_Loket[Jenis Permohonan]),"")</f>
        <v>SKPT Informasi</v>
      </c>
      <c r="G937" s="24"/>
      <c r="H937" s="24"/>
      <c r="I937" s="22" t="str">
        <f t="shared" si="7"/>
        <v/>
      </c>
      <c r="J937" s="20" t="b">
        <v>0</v>
      </c>
      <c r="K937" s="13" t="str">
        <f t="shared" si="2"/>
        <v/>
      </c>
    </row>
    <row r="938" ht="22.5" customHeight="1">
      <c r="B938" s="13">
        <f t="shared" si="3"/>
        <v>932</v>
      </c>
      <c r="C938" s="15" t="str">
        <f t="array" ref="C938">IFNA(_xlfn.XLOOKUP(B938,Table_Respons_Loket[Count],Table_Respons_Loket[Nomor Tiket]),"")</f>
        <v>K/54/061124/1</v>
      </c>
      <c r="D938" s="15" t="str">
        <f t="array" ref="D938">IFNA(_xlfn.XLOOKUP(B938,Table_Respons_Loket[Count],Table_Respons_Loket[Daftar Nomor Hak]),"")</f>
        <v>B. 121/ Kupang Kota</v>
      </c>
      <c r="E938" s="17">
        <f t="array" ref="E938">IFNA(_xlfn.XLOOKUP(B938,Table_Respons_Loket[Count],Table_Respons_Loket[Time Stamp]),"")</f>
        <v>45602.63495</v>
      </c>
      <c r="F938" s="18" t="str">
        <f t="array" ref="F938">IFNA(_xlfn.XLOOKUP(B938,Table_Respons_Loket[Count],Table_Respons_Loket[Jenis Permohonan]),"")</f>
        <v>PTPGT (Perpanjangan)</v>
      </c>
      <c r="G938" s="24"/>
      <c r="H938" s="24"/>
      <c r="I938" s="22" t="str">
        <f t="shared" si="7"/>
        <v/>
      </c>
      <c r="J938" s="20" t="b">
        <v>0</v>
      </c>
      <c r="K938" s="13" t="str">
        <f t="shared" si="2"/>
        <v/>
      </c>
    </row>
    <row r="939" ht="22.5" customHeight="1">
      <c r="B939" s="13">
        <f t="shared" si="3"/>
        <v>933</v>
      </c>
      <c r="C939" s="15" t="str">
        <f t="array" ref="C939">IFNA(_xlfn.XLOOKUP(B939,Table_Respons_Loket[Count],Table_Respons_Loket[Nomor Tiket]),"")</f>
        <v>K/55/061124/2</v>
      </c>
      <c r="D939" s="15" t="str">
        <f t="array" ref="D939">IFNA(_xlfn.XLOOKUP(B939,Table_Respons_Loket[Count],Table_Respons_Loket[Daftar Nomor Hak]),"")</f>
        <v>B. 120/ Kupang Kota	</v>
      </c>
      <c r="E939" s="17">
        <f t="array" ref="E939">IFNA(_xlfn.XLOOKUP(B939,Table_Respons_Loket[Count],Table_Respons_Loket[Time Stamp]),"")</f>
        <v>45602.63631</v>
      </c>
      <c r="F939" s="18" t="str">
        <f t="array" ref="F939">IFNA(_xlfn.XLOOKUP(B939,Table_Respons_Loket[Count],Table_Respons_Loket[Jenis Permohonan]),"")</f>
        <v>PTPGT (Perpanjangan)</v>
      </c>
      <c r="G939" s="24"/>
      <c r="H939" s="24"/>
      <c r="I939" s="22" t="str">
        <f t="shared" si="7"/>
        <v/>
      </c>
      <c r="J939" s="20" t="b">
        <v>0</v>
      </c>
      <c r="K939" s="13" t="str">
        <f t="shared" si="2"/>
        <v/>
      </c>
    </row>
    <row r="940" ht="22.5" customHeight="1">
      <c r="B940" s="13">
        <f t="shared" si="3"/>
        <v>934</v>
      </c>
      <c r="C940" s="15" t="str">
        <f t="array" ref="C940">IFNA(_xlfn.XLOOKUP(B940,Table_Respons_Loket[Count],Table_Respons_Loket[Nomor Tiket]),"")</f>
        <v>K/49/061124/3</v>
      </c>
      <c r="D940" s="15" t="str">
        <f t="array" ref="D940">IFNA(_xlfn.XLOOKUP(B940,Table_Respons_Loket[Count],Table_Respons_Loket[Daftar Nomor Hak]),"")</f>
        <v>B.1777/JAGABAYA II-SEKARANG;B.354/JAGABAYA III-DAHULU</v>
      </c>
      <c r="E940" s="17">
        <f t="array" ref="E940">IFNA(_xlfn.XLOOKUP(B940,Table_Respons_Loket[Count],Table_Respons_Loket[Time Stamp]),"")</f>
        <v>45602.6368</v>
      </c>
      <c r="F940" s="18" t="str">
        <f t="array" ref="F940">IFNA(_xlfn.XLOOKUP(B940,Table_Respons_Loket[Count],Table_Respons_Loket[Jenis Permohonan]),"")</f>
        <v>PH</v>
      </c>
      <c r="G940" s="12" t="s">
        <v>48</v>
      </c>
      <c r="H940" s="12" t="s">
        <v>87</v>
      </c>
      <c r="I940" s="22">
        <f t="shared" si="7"/>
        <v>45604.62949</v>
      </c>
      <c r="J940" s="20" t="b">
        <v>0</v>
      </c>
      <c r="K940" s="13" t="str">
        <f t="shared" si="2"/>
        <v/>
      </c>
    </row>
    <row r="941" ht="22.5" customHeight="1">
      <c r="B941" s="13">
        <f t="shared" si="3"/>
        <v>935</v>
      </c>
      <c r="C941" s="15" t="str">
        <f t="array" ref="C941">IFNA(_xlfn.XLOOKUP(B941,Table_Respons_Loket[Count],Table_Respons_Loket[Nomor Tiket]),"")</f>
        <v>K/1/071124/1</v>
      </c>
      <c r="D941" s="15" t="str">
        <f t="array" ref="D941">IFNA(_xlfn.XLOOKUP(B941,Table_Respons_Loket[Count],Table_Respons_Loket[Daftar Nomor Hak]),"")</f>
        <v>M. 5102/ Rajabasa Jaya</v>
      </c>
      <c r="E941" s="17">
        <f t="array" ref="E941">IFNA(_xlfn.XLOOKUP(B941,Table_Respons_Loket[Count],Table_Respons_Loket[Time Stamp]),"")</f>
        <v>45603.36772</v>
      </c>
      <c r="F941" s="18" t="str">
        <f t="array" ref="F941">IFNA(_xlfn.XLOOKUP(B941,Table_Respons_Loket[Count],Table_Respons_Loket[Jenis Permohonan]),"")</f>
        <v>BN Jul Beli</v>
      </c>
      <c r="G941" s="12" t="s">
        <v>48</v>
      </c>
      <c r="H941" s="12" t="s">
        <v>52</v>
      </c>
      <c r="I941" s="22">
        <f t="shared" si="7"/>
        <v>45614.66166</v>
      </c>
      <c r="J941" s="20" t="b">
        <v>0</v>
      </c>
      <c r="K941" s="13" t="str">
        <f t="shared" si="2"/>
        <v/>
      </c>
    </row>
    <row r="942" ht="22.5" customHeight="1">
      <c r="B942" s="13">
        <f t="shared" si="3"/>
        <v>936</v>
      </c>
      <c r="C942" s="15" t="str">
        <f t="array" ref="C942">IFNA(_xlfn.XLOOKUP(B942,Table_Respons_Loket[Count],Table_Respons_Loket[Nomor Tiket]),"")</f>
        <v>K/2/071124/1</v>
      </c>
      <c r="D942" s="15" t="str">
        <f t="array" ref="D942">IFNA(_xlfn.XLOOKUP(B942,Table_Respons_Loket[Count],Table_Respons_Loket[Daftar Nomor Hak]),"")</f>
        <v>M. 4107/ Tanjung Seneng</v>
      </c>
      <c r="E942" s="17">
        <f t="array" ref="E942">IFNA(_xlfn.XLOOKUP(B942,Table_Respons_Loket[Count],Table_Respons_Loket[Time Stamp]),"")</f>
        <v>45603.38171</v>
      </c>
      <c r="F942" s="18" t="str">
        <f t="array" ref="F942">IFNA(_xlfn.XLOOKUP(B942,Table_Respons_Loket[Count],Table_Respons_Loket[Jenis Permohonan]),"")</f>
        <v>BN WARIS</v>
      </c>
      <c r="G942" s="12" t="s">
        <v>48</v>
      </c>
      <c r="H942" s="12" t="s">
        <v>52</v>
      </c>
      <c r="I942" s="22">
        <f t="shared" si="7"/>
        <v>45604.63036</v>
      </c>
      <c r="J942" s="20" t="b">
        <v>0</v>
      </c>
      <c r="K942" s="13" t="str">
        <f t="shared" si="2"/>
        <v/>
      </c>
    </row>
    <row r="943" ht="22.5" customHeight="1">
      <c r="B943" s="13">
        <f t="shared" si="3"/>
        <v>937</v>
      </c>
      <c r="C943" s="15" t="str">
        <f t="array" ref="C943">IFNA(_xlfn.XLOOKUP(B943,Table_Respons_Loket[Count],Table_Respons_Loket[Nomor Tiket]),"")</f>
        <v>K/3/071124/1</v>
      </c>
      <c r="D943" s="15" t="str">
        <f t="array" ref="D943">IFNA(_xlfn.XLOOKUP(B943,Table_Respons_Loket[Count],Table_Respons_Loket[Daftar Nomor Hak]),"")</f>
        <v>M.1615/SUKABUMI INDAH</v>
      </c>
      <c r="E943" s="17">
        <f t="array" ref="E943">IFNA(_xlfn.XLOOKUP(B943,Table_Respons_Loket[Count],Table_Respons_Loket[Time Stamp]),"")</f>
        <v>45603.39288</v>
      </c>
      <c r="F943" s="18" t="str">
        <f t="array" ref="F943">IFNA(_xlfn.XLOOKUP(B943,Table_Respons_Loket[Count],Table_Respons_Loket[Jenis Permohonan]),"")</f>
        <v>BN AKTA JUAL BELI</v>
      </c>
      <c r="G943" s="12" t="s">
        <v>48</v>
      </c>
      <c r="H943" s="12" t="s">
        <v>47</v>
      </c>
      <c r="I943" s="22" t="str">
        <f t="shared" si="7"/>
        <v/>
      </c>
      <c r="J943" s="20" t="b">
        <v>0</v>
      </c>
      <c r="K943" s="13" t="str">
        <f t="shared" si="2"/>
        <v/>
      </c>
    </row>
    <row r="944" ht="22.5" customHeight="1">
      <c r="B944" s="13">
        <f t="shared" si="3"/>
        <v>938</v>
      </c>
      <c r="C944" s="15" t="str">
        <f t="array" ref="C944">IFNA(_xlfn.XLOOKUP(B944,Table_Respons_Loket[Count],Table_Respons_Loket[Nomor Tiket]),"")</f>
        <v>K/4/071124/1</v>
      </c>
      <c r="D944" s="15" t="str">
        <f t="array" ref="D944">IFNA(_xlfn.XLOOKUP(B944,Table_Respons_Loket[Count],Table_Respons_Loket[Daftar Nomor Hak]),"")</f>
        <v>M.1758/KUPANG KOTA</v>
      </c>
      <c r="E944" s="17">
        <f t="array" ref="E944">IFNA(_xlfn.XLOOKUP(B944,Table_Respons_Loket[Count],Table_Respons_Loket[Time Stamp]),"")</f>
        <v>45603.40514</v>
      </c>
      <c r="F944" s="18" t="str">
        <f t="array" ref="F944">IFNA(_xlfn.XLOOKUP(B944,Table_Respons_Loket[Count],Table_Respons_Loket[Jenis Permohonan]),"")</f>
        <v>PLOTING</v>
      </c>
      <c r="G944" s="24"/>
      <c r="H944" s="24"/>
      <c r="I944" s="22" t="str">
        <f t="shared" si="7"/>
        <v/>
      </c>
      <c r="J944" s="20" t="b">
        <v>0</v>
      </c>
      <c r="K944" s="13" t="str">
        <f t="shared" si="2"/>
        <v/>
      </c>
    </row>
    <row r="945" ht="22.5" customHeight="1">
      <c r="B945" s="13">
        <f t="shared" si="3"/>
        <v>939</v>
      </c>
      <c r="C945" s="15" t="str">
        <f t="array" ref="C945">IFNA(_xlfn.XLOOKUP(B945,Table_Respons_Loket[Count],Table_Respons_Loket[Nomor Tiket]),"")</f>
        <v>K/5/071124/1</v>
      </c>
      <c r="D945" s="15" t="str">
        <f t="array" ref="D945">IFNA(_xlfn.XLOOKUP(B945,Table_Respons_Loket[Count],Table_Respons_Loket[Daftar Nomor Hak]),"")</f>
        <v>M. 71/ Sawah Lama</v>
      </c>
      <c r="E945" s="17">
        <f t="array" ref="E945">IFNA(_xlfn.XLOOKUP(B945,Table_Respons_Loket[Count],Table_Respons_Loket[Time Stamp]),"")</f>
        <v>45603.4124</v>
      </c>
      <c r="F945" s="18" t="str">
        <f t="array" ref="F945">IFNA(_xlfn.XLOOKUP(B945,Table_Respons_Loket[Count],Table_Respons_Loket[Jenis Permohonan]),"")</f>
        <v>Gandes</v>
      </c>
      <c r="G945" s="24"/>
      <c r="H945" s="24"/>
      <c r="I945" s="22" t="str">
        <f t="shared" si="7"/>
        <v/>
      </c>
      <c r="J945" s="20" t="b">
        <v>0</v>
      </c>
      <c r="K945" s="13" t="str">
        <f t="shared" si="2"/>
        <v/>
      </c>
    </row>
    <row r="946" ht="22.5" customHeight="1">
      <c r="B946" s="13">
        <f t="shared" si="3"/>
        <v>940</v>
      </c>
      <c r="C946" s="15" t="str">
        <f t="array" ref="C946">IFNA(_xlfn.XLOOKUP(B946,Table_Respons_Loket[Count],Table_Respons_Loket[Nomor Tiket]),"")</f>
        <v>K/6/071124/1</v>
      </c>
      <c r="D946" s="15" t="str">
        <f t="array" ref="D946">IFNA(_xlfn.XLOOKUP(B946,Table_Respons_Loket[Count],Table_Respons_Loket[Daftar Nomor Hak]),"")</f>
        <v>B.798/SUMUR PUTRI</v>
      </c>
      <c r="E946" s="17">
        <f t="array" ref="E946">IFNA(_xlfn.XLOOKUP(B946,Table_Respons_Loket[Count],Table_Respons_Loket[Time Stamp]),"")</f>
        <v>45603.42265</v>
      </c>
      <c r="F946" s="18" t="str">
        <f t="array" ref="F946">IFNA(_xlfn.XLOOKUP(B946,Table_Respons_Loket[Count],Table_Respons_Loket[Jenis Permohonan]),"")</f>
        <v>BN JUAL BELI</v>
      </c>
      <c r="G946" s="12" t="s">
        <v>48</v>
      </c>
      <c r="H946" s="12" t="s">
        <v>52</v>
      </c>
      <c r="I946" s="22">
        <f t="shared" si="7"/>
        <v>45604.63154</v>
      </c>
      <c r="J946" s="20" t="b">
        <v>0</v>
      </c>
      <c r="K946" s="13" t="str">
        <f t="shared" si="2"/>
        <v/>
      </c>
    </row>
    <row r="947" ht="22.5" customHeight="1">
      <c r="B947" s="13">
        <f t="shared" si="3"/>
        <v>941</v>
      </c>
      <c r="C947" s="15" t="str">
        <f t="array" ref="C947">IFNA(_xlfn.XLOOKUP(B947,Table_Respons_Loket[Count],Table_Respons_Loket[Nomor Tiket]),"")</f>
        <v>K/7/071124/1</v>
      </c>
      <c r="D947" s="15" t="str">
        <f t="array" ref="D947">IFNA(_xlfn.XLOOKUP(B947,Table_Respons_Loket[Count],Table_Respons_Loket[Daftar Nomor Hak]),"")</f>
        <v>M.1636/SUMBEREJO/KEMILING</v>
      </c>
      <c r="E947" s="17">
        <f t="array" ref="E947">IFNA(_xlfn.XLOOKUP(B947,Table_Respons_Loket[Count],Table_Respons_Loket[Time Stamp]),"")</f>
        <v>45603.42951</v>
      </c>
      <c r="F947" s="18" t="str">
        <f t="array" ref="F947">IFNA(_xlfn.XLOOKUP(B947,Table_Respons_Loket[Count],Table_Respons_Loket[Jenis Permohonan]),"")</f>
        <v>GANDES</v>
      </c>
      <c r="G947" s="24"/>
      <c r="H947" s="24"/>
      <c r="I947" s="22" t="str">
        <f t="shared" si="7"/>
        <v/>
      </c>
      <c r="J947" s="20" t="b">
        <v>0</v>
      </c>
      <c r="K947" s="13" t="str">
        <f t="shared" si="2"/>
        <v/>
      </c>
    </row>
    <row r="948" ht="22.5" customHeight="1">
      <c r="B948" s="13">
        <f t="shared" si="3"/>
        <v>942</v>
      </c>
      <c r="C948" s="15" t="str">
        <f t="array" ref="C948">IFNA(_xlfn.XLOOKUP(B948,Table_Respons_Loket[Count],Table_Respons_Loket[Nomor Tiket]),"")</f>
        <v>K/9/071124/2</v>
      </c>
      <c r="D948" s="15" t="str">
        <f t="array" ref="D948">IFNA(_xlfn.XLOOKUP(B948,Table_Respons_Loket[Count],Table_Respons_Loket[Daftar Nomor Hak]),"")</f>
        <v>M.2428/ Kedaung</v>
      </c>
      <c r="E948" s="17">
        <f t="array" ref="E948">IFNA(_xlfn.XLOOKUP(B948,Table_Respons_Loket[Count],Table_Respons_Loket[Time Stamp]),"")</f>
        <v>45603.44337</v>
      </c>
      <c r="F948" s="18" t="str">
        <f t="array" ref="F948">IFNA(_xlfn.XLOOKUP(B948,Table_Respons_Loket[Count],Table_Respons_Loket[Jenis Permohonan]),"")</f>
        <v>BN Jual Beli</v>
      </c>
      <c r="G948" s="12" t="s">
        <v>48</v>
      </c>
      <c r="H948" s="12" t="s">
        <v>52</v>
      </c>
      <c r="I948" s="22">
        <f t="shared" si="7"/>
        <v>45604.63198</v>
      </c>
      <c r="J948" s="20" t="b">
        <v>0</v>
      </c>
      <c r="K948" s="13" t="str">
        <f t="shared" si="2"/>
        <v/>
      </c>
    </row>
    <row r="949" ht="22.5" customHeight="1">
      <c r="B949" s="13">
        <f t="shared" si="3"/>
        <v>943</v>
      </c>
      <c r="C949" s="15" t="str">
        <f t="array" ref="C949">IFNA(_xlfn.XLOOKUP(B949,Table_Respons_Loket[Count],Table_Respons_Loket[Nomor Tiket]),"")</f>
        <v>K/12/071124/1</v>
      </c>
      <c r="D949" s="15" t="str">
        <f t="array" ref="D949">IFNA(_xlfn.XLOOKUP(B949,Table_Respons_Loket[Count],Table_Respons_Loket[Daftar Nomor Hak]),"")</f>
        <v>M.12905/RAJABASA</v>
      </c>
      <c r="E949" s="17">
        <f t="array" ref="E949">IFNA(_xlfn.XLOOKUP(B949,Table_Respons_Loket[Count],Table_Respons_Loket[Time Stamp]),"")</f>
        <v>45603.44133</v>
      </c>
      <c r="F949" s="18" t="str">
        <f t="array" ref="F949">IFNA(_xlfn.XLOOKUP(B949,Table_Respons_Loket[Count],Table_Respons_Loket[Jenis Permohonan]),"")</f>
        <v>GANDES</v>
      </c>
      <c r="G949" s="24"/>
      <c r="H949" s="24"/>
      <c r="I949" s="22" t="str">
        <f t="shared" si="7"/>
        <v/>
      </c>
      <c r="J949" s="20" t="b">
        <v>0</v>
      </c>
      <c r="K949" s="13" t="str">
        <f t="shared" si="2"/>
        <v/>
      </c>
    </row>
    <row r="950" ht="22.5" customHeight="1">
      <c r="B950" s="13">
        <f t="shared" si="3"/>
        <v>944</v>
      </c>
      <c r="C950" s="15" t="str">
        <f t="array" ref="C950">IFNA(_xlfn.XLOOKUP(B950,Table_Respons_Loket[Count],Table_Respons_Loket[Nomor Tiket]),"")</f>
        <v>K/8/071124/1</v>
      </c>
      <c r="D950" s="15" t="str">
        <f t="array" ref="D950">IFNA(_xlfn.XLOOKUP(B950,Table_Respons_Loket[Count],Table_Respons_Loket[Daftar Nomor Hak]),"")</f>
        <v>Nibel. B. 2237/ Sukarame</v>
      </c>
      <c r="E950" s="17">
        <f t="array" ref="E950">IFNA(_xlfn.XLOOKUP(B950,Table_Respons_Loket[Count],Table_Respons_Loket[Time Stamp]),"")</f>
        <v>45603.44431</v>
      </c>
      <c r="F950" s="18" t="str">
        <f t="array" ref="F950">IFNA(_xlfn.XLOOKUP(B950,Table_Respons_Loket[Count],Table_Respons_Loket[Jenis Permohonan]),"")</f>
        <v>BN Lelang</v>
      </c>
      <c r="G950" s="24"/>
      <c r="H950" s="24"/>
      <c r="I950" s="22" t="str">
        <f t="shared" si="7"/>
        <v/>
      </c>
      <c r="J950" s="20" t="b">
        <v>0</v>
      </c>
      <c r="K950" s="13" t="str">
        <f t="shared" si="2"/>
        <v/>
      </c>
    </row>
    <row r="951" ht="22.5" customHeight="1">
      <c r="B951" s="13">
        <f t="shared" si="3"/>
        <v>945</v>
      </c>
      <c r="C951" s="15" t="str">
        <f t="array" ref="C951">IFNA(_xlfn.XLOOKUP(B951,Table_Respons_Loket[Count],Table_Respons_Loket[Nomor Tiket]),"")</f>
        <v>K/14/071124/1</v>
      </c>
      <c r="D951" s="15" t="str">
        <f t="array" ref="D951">IFNA(_xlfn.XLOOKUP(B951,Table_Respons_Loket[Count],Table_Respons_Loket[Daftar Nomor Hak]),"")</f>
        <v>M. 2226/ Gunung Terang</v>
      </c>
      <c r="E951" s="17">
        <f t="array" ref="E951">IFNA(_xlfn.XLOOKUP(B951,Table_Respons_Loket[Count],Table_Respons_Loket[Time Stamp]),"")</f>
        <v>45603.44487</v>
      </c>
      <c r="F951" s="18" t="str">
        <f t="array" ref="F951">IFNA(_xlfn.XLOOKUP(B951,Table_Respons_Loket[Count],Table_Respons_Loket[Jenis Permohonan]),"")</f>
        <v>GANTI KECAMATAN</v>
      </c>
      <c r="G951" s="24"/>
      <c r="H951" s="24"/>
      <c r="I951" s="22" t="str">
        <f t="shared" si="7"/>
        <v/>
      </c>
      <c r="J951" s="20" t="b">
        <v>0</v>
      </c>
      <c r="K951" s="13" t="str">
        <f t="shared" si="2"/>
        <v/>
      </c>
    </row>
    <row r="952" ht="22.5" customHeight="1">
      <c r="B952" s="13">
        <f t="shared" si="3"/>
        <v>946</v>
      </c>
      <c r="C952" s="15" t="str">
        <f t="array" ref="C952">IFNA(_xlfn.XLOOKUP(B952,Table_Respons_Loket[Count],Table_Respons_Loket[Nomor Tiket]),"")</f>
        <v>K/10/071124/3</v>
      </c>
      <c r="D952" s="15" t="str">
        <f t="array" ref="D952">IFNA(_xlfn.XLOOKUP(B952,Table_Respons_Loket[Count],Table_Respons_Loket[Daftar Nomor Hak]),"")</f>
        <v>M. 2430/ Kedaung</v>
      </c>
      <c r="E952" s="17">
        <f t="array" ref="E952">IFNA(_xlfn.XLOOKUP(B952,Table_Respons_Loket[Count],Table_Respons_Loket[Time Stamp]),"")</f>
        <v>45603.44495</v>
      </c>
      <c r="F952" s="18" t="str">
        <f t="array" ref="F952">IFNA(_xlfn.XLOOKUP(B952,Table_Respons_Loket[Count],Table_Respons_Loket[Jenis Permohonan]),"")</f>
        <v>BN Jual Beli</v>
      </c>
      <c r="G952" s="12" t="s">
        <v>48</v>
      </c>
      <c r="H952" s="12" t="s">
        <v>52</v>
      </c>
      <c r="I952" s="22">
        <f t="shared" si="7"/>
        <v>45604.63211</v>
      </c>
      <c r="J952" s="20" t="b">
        <v>0</v>
      </c>
      <c r="K952" s="13" t="str">
        <f t="shared" si="2"/>
        <v/>
      </c>
    </row>
    <row r="953" ht="22.5" customHeight="1">
      <c r="B953" s="13">
        <f t="shared" si="3"/>
        <v>947</v>
      </c>
      <c r="C953" s="15" t="str">
        <f t="array" ref="C953">IFNA(_xlfn.XLOOKUP(B953,Table_Respons_Loket[Count],Table_Respons_Loket[Nomor Tiket]),"")</f>
        <v>K/11/071124/4</v>
      </c>
      <c r="D953" s="15" t="str">
        <f t="array" ref="D953">IFNA(_xlfn.XLOOKUP(B953,Table_Respons_Loket[Count],Table_Respons_Loket[Daftar Nomor Hak]),"")</f>
        <v>M. 2426/ Kedaung</v>
      </c>
      <c r="E953" s="17">
        <f t="array" ref="E953">IFNA(_xlfn.XLOOKUP(B953,Table_Respons_Loket[Count],Table_Respons_Loket[Time Stamp]),"")</f>
        <v>45603.44556</v>
      </c>
      <c r="F953" s="18" t="str">
        <f t="array" ref="F953">IFNA(_xlfn.XLOOKUP(B953,Table_Respons_Loket[Count],Table_Respons_Loket[Jenis Permohonan]),"")</f>
        <v>BN Jual Beli</v>
      </c>
      <c r="G953" s="12" t="s">
        <v>48</v>
      </c>
      <c r="H953" s="12" t="s">
        <v>52</v>
      </c>
      <c r="I953" s="22">
        <f t="shared" si="7"/>
        <v>45604.63212</v>
      </c>
      <c r="J953" s="20" t="b">
        <v>0</v>
      </c>
      <c r="K953" s="13" t="str">
        <f t="shared" si="2"/>
        <v/>
      </c>
    </row>
    <row r="954" ht="22.5" customHeight="1">
      <c r="B954" s="13">
        <f t="shared" si="3"/>
        <v>948</v>
      </c>
      <c r="C954" s="15" t="str">
        <f t="array" ref="C954">IFNA(_xlfn.XLOOKUP(B954,Table_Respons_Loket[Count],Table_Respons_Loket[Nomor Tiket]),"")</f>
        <v>K/13/071124/2</v>
      </c>
      <c r="D954" s="15" t="str">
        <f t="array" ref="D954">IFNA(_xlfn.XLOOKUP(B954,Table_Respons_Loket[Count],Table_Respons_Loket[Daftar Nomor Hak]),"")</f>
        <v>M. 2150/SUKARAME BARU-SEKARANG;B. 2323/SUKARAME-DAHULU</v>
      </c>
      <c r="E954" s="17">
        <f t="array" ref="E954">IFNA(_xlfn.XLOOKUP(B954,Table_Respons_Loket[Count],Table_Respons_Loket[Time Stamp]),"")</f>
        <v>45603.44707</v>
      </c>
      <c r="F954" s="18" t="str">
        <f t="array" ref="F954">IFNA(_xlfn.XLOOKUP(B954,Table_Respons_Loket[Count],Table_Respons_Loket[Jenis Permohonan]),"")</f>
        <v>ROYA</v>
      </c>
      <c r="G954" s="12" t="s">
        <v>48</v>
      </c>
      <c r="H954" s="12" t="s">
        <v>47</v>
      </c>
      <c r="I954" s="22" t="str">
        <f t="shared" si="7"/>
        <v/>
      </c>
      <c r="J954" s="20" t="b">
        <v>0</v>
      </c>
      <c r="K954" s="13" t="str">
        <f t="shared" si="2"/>
        <v/>
      </c>
    </row>
    <row r="955" ht="22.5" customHeight="1">
      <c r="B955" s="13">
        <f t="shared" si="3"/>
        <v>949</v>
      </c>
      <c r="C955" s="15" t="str">
        <f t="array" ref="C955">IFNA(_xlfn.XLOOKUP(B955,Table_Respons_Loket[Count],Table_Respons_Loket[Nomor Tiket]),"")</f>
        <v>K/15/071124/1</v>
      </c>
      <c r="D955" s="15" t="str">
        <f t="array" ref="D955">IFNA(_xlfn.XLOOKUP(B955,Table_Respons_Loket[Count],Table_Respons_Loket[Daftar Nomor Hak]),"")</f>
        <v>M.2555/PINANG JAYA</v>
      </c>
      <c r="E955" s="17">
        <f t="array" ref="E955">IFNA(_xlfn.XLOOKUP(B955,Table_Respons_Loket[Count],Table_Respons_Loket[Time Stamp]),"")</f>
        <v>45603.4474</v>
      </c>
      <c r="F955" s="18" t="str">
        <f t="array" ref="F955">IFNA(_xlfn.XLOOKUP(B955,Table_Respons_Loket[Count],Table_Respons_Loket[Jenis Permohonan]),"")</f>
        <v>BN JUAL BELI</v>
      </c>
      <c r="G955" s="12" t="s">
        <v>48</v>
      </c>
      <c r="H955" s="12" t="s">
        <v>52</v>
      </c>
      <c r="I955" s="22">
        <f t="shared" si="7"/>
        <v>45604.63325</v>
      </c>
      <c r="J955" s="20" t="b">
        <v>0</v>
      </c>
      <c r="K955" s="13" t="str">
        <f t="shared" si="2"/>
        <v/>
      </c>
    </row>
    <row r="956" ht="22.5" customHeight="1">
      <c r="B956" s="13">
        <f t="shared" si="3"/>
        <v>950</v>
      </c>
      <c r="C956" s="15" t="str">
        <f t="array" ref="C956">IFNA(_xlfn.XLOOKUP(B956,Table_Respons_Loket[Count],Table_Respons_Loket[Nomor Tiket]),"")</f>
        <v>K/19/071124/2</v>
      </c>
      <c r="D956" s="15" t="str">
        <f t="array" ref="D956">IFNA(_xlfn.XLOOKUP(B956,Table_Respons_Loket[Count],Table_Respons_Loket[Daftar Nomor Hak]),"")</f>
        <v>Nibel 3070/ keteguhan</v>
      </c>
      <c r="E956" s="17">
        <f t="array" ref="E956">IFNA(_xlfn.XLOOKUP(B956,Table_Respons_Loket[Count],Table_Respons_Loket[Time Stamp]),"")</f>
        <v>45603.44786</v>
      </c>
      <c r="F956" s="18" t="str">
        <f t="array" ref="F956">IFNA(_xlfn.XLOOKUP(B956,Table_Respons_Loket[Count],Table_Respons_Loket[Jenis Permohonan]),"")</f>
        <v>BN JUAL BELI</v>
      </c>
      <c r="G956" s="24"/>
      <c r="H956" s="24"/>
      <c r="I956" s="22" t="str">
        <f t="shared" si="7"/>
        <v/>
      </c>
      <c r="J956" s="20" t="b">
        <v>0</v>
      </c>
      <c r="K956" s="13" t="str">
        <f t="shared" si="2"/>
        <v/>
      </c>
    </row>
    <row r="957" ht="22.5" customHeight="1">
      <c r="B957" s="13">
        <f t="shared" si="3"/>
        <v>951</v>
      </c>
      <c r="C957" s="15" t="str">
        <f t="array" ref="C957">IFNA(_xlfn.XLOOKUP(B957,Table_Respons_Loket[Count],Table_Respons_Loket[Nomor Tiket]),"")</f>
        <v>K/16/071124/2</v>
      </c>
      <c r="D957" s="15" t="str">
        <f t="array" ref="D957">IFNA(_xlfn.XLOOKUP(B957,Table_Respons_Loket[Count],Table_Respons_Loket[Daftar Nomor Hak]),"")</f>
        <v>M.4696/SUKADANAHAM</v>
      </c>
      <c r="E957" s="17">
        <f t="array" ref="E957">IFNA(_xlfn.XLOOKUP(B957,Table_Respons_Loket[Count],Table_Respons_Loket[Time Stamp]),"")</f>
        <v>45603.4481</v>
      </c>
      <c r="F957" s="18" t="str">
        <f t="array" ref="F957">IFNA(_xlfn.XLOOKUP(B957,Table_Respons_Loket[Count],Table_Respons_Loket[Jenis Permohonan]),"")</f>
        <v>BN JUAL BELI</v>
      </c>
      <c r="G957" s="12" t="s">
        <v>48</v>
      </c>
      <c r="H957" s="12" t="s">
        <v>52</v>
      </c>
      <c r="I957" s="22">
        <f t="shared" si="7"/>
        <v>45604.63355</v>
      </c>
      <c r="J957" s="20" t="b">
        <v>0</v>
      </c>
      <c r="K957" s="13" t="str">
        <f t="shared" si="2"/>
        <v/>
      </c>
    </row>
    <row r="958" ht="22.5" customHeight="1">
      <c r="B958" s="13">
        <f t="shared" si="3"/>
        <v>952</v>
      </c>
      <c r="C958" s="15" t="str">
        <f t="array" ref="C958">IFNA(_xlfn.XLOOKUP(B958,Table_Respons_Loket[Count],Table_Respons_Loket[Nomor Tiket]),"")</f>
        <v>K/17/071124/3</v>
      </c>
      <c r="D958" s="15" t="str">
        <f t="array" ref="D958">IFNA(_xlfn.XLOOKUP(B958,Table_Respons_Loket[Count],Table_Respons_Loket[Daftar Nomor Hak]),"")</f>
        <v>M.4706/SUKADANAHAM</v>
      </c>
      <c r="E958" s="17">
        <f t="array" ref="E958">IFNA(_xlfn.XLOOKUP(B958,Table_Respons_Loket[Count],Table_Respons_Loket[Time Stamp]),"")</f>
        <v>45603.44959</v>
      </c>
      <c r="F958" s="18" t="str">
        <f t="array" ref="F958">IFNA(_xlfn.XLOOKUP(B958,Table_Respons_Loket[Count],Table_Respons_Loket[Jenis Permohonan]),"")</f>
        <v>BN JUAL BELI</v>
      </c>
      <c r="G958" s="12" t="s">
        <v>48</v>
      </c>
      <c r="H958" s="12" t="s">
        <v>52</v>
      </c>
      <c r="I958" s="22">
        <f t="shared" si="7"/>
        <v>45604.63448</v>
      </c>
      <c r="J958" s="20" t="b">
        <v>0</v>
      </c>
      <c r="K958" s="13" t="str">
        <f t="shared" si="2"/>
        <v/>
      </c>
    </row>
    <row r="959" ht="22.5" customHeight="1">
      <c r="B959" s="13">
        <f t="shared" si="3"/>
        <v>953</v>
      </c>
      <c r="C959" s="15" t="str">
        <f t="array" ref="C959">IFNA(_xlfn.XLOOKUP(B959,Table_Respons_Loket[Count],Table_Respons_Loket[Nomor Tiket]),"")</f>
        <v>K/18/071124/4</v>
      </c>
      <c r="D959" s="15" t="str">
        <f t="array" ref="D959">IFNA(_xlfn.XLOOKUP(B959,Table_Respons_Loket[Count],Table_Respons_Loket[Daftar Nomor Hak]),"")</f>
        <v>M.2475/PINANG JAYA</v>
      </c>
      <c r="E959" s="17">
        <f t="array" ref="E959">IFNA(_xlfn.XLOOKUP(B959,Table_Respons_Loket[Count],Table_Respons_Loket[Time Stamp]),"")</f>
        <v>45603.45032</v>
      </c>
      <c r="F959" s="18" t="str">
        <f t="array" ref="F959">IFNA(_xlfn.XLOOKUP(B959,Table_Respons_Loket[Count],Table_Respons_Loket[Jenis Permohonan]),"")</f>
        <v>BN JUAL BELI</v>
      </c>
      <c r="G959" s="12" t="s">
        <v>48</v>
      </c>
      <c r="H959" s="12" t="s">
        <v>52</v>
      </c>
      <c r="I959" s="22">
        <f t="shared" si="7"/>
        <v>45604.6347</v>
      </c>
      <c r="J959" s="20" t="b">
        <v>0</v>
      </c>
      <c r="K959" s="13" t="str">
        <f t="shared" si="2"/>
        <v/>
      </c>
    </row>
    <row r="960" ht="22.5" customHeight="1">
      <c r="B960" s="13">
        <f t="shared" si="3"/>
        <v>954</v>
      </c>
      <c r="C960" s="15" t="str">
        <f t="array" ref="C960">IFNA(_xlfn.XLOOKUP(B960,Table_Respons_Loket[Count],Table_Respons_Loket[Nomor Tiket]),"")</f>
        <v>K/20/071124/1</v>
      </c>
      <c r="D960" s="15" t="str">
        <f t="array" ref="D960">IFNA(_xlfn.XLOOKUP(B960,Table_Respons_Loket[Count],Table_Respons_Loket[Daftar Nomor Hak]),"")</f>
        <v>M. 141/ PERUMNAS WAY KANDIS-SEKARANG; B. 250/ WAY KANDIS-DAHULU</v>
      </c>
      <c r="E960" s="17">
        <f t="array" ref="E960">IFNA(_xlfn.XLOOKUP(B960,Table_Respons_Loket[Count],Table_Respons_Loket[Time Stamp]),"")</f>
        <v>45603.46597</v>
      </c>
      <c r="F960" s="18" t="str">
        <f t="array" ref="F960">IFNA(_xlfn.XLOOKUP(B960,Table_Respons_Loket[Count],Table_Respons_Loket[Jenis Permohonan]),"")</f>
        <v>BN JUAL BELI</v>
      </c>
      <c r="G960" s="12" t="s">
        <v>48</v>
      </c>
      <c r="H960" s="12" t="s">
        <v>47</v>
      </c>
      <c r="I960" s="22" t="str">
        <f t="shared" si="7"/>
        <v/>
      </c>
      <c r="J960" s="20" t="b">
        <v>0</v>
      </c>
      <c r="K960" s="13" t="str">
        <f t="shared" si="2"/>
        <v/>
      </c>
    </row>
    <row r="961" ht="22.5" customHeight="1">
      <c r="B961" s="13">
        <f t="shared" si="3"/>
        <v>955</v>
      </c>
      <c r="C961" s="15" t="str">
        <f t="array" ref="C961">IFNA(_xlfn.XLOOKUP(B961,Table_Respons_Loket[Count],Table_Respons_Loket[Nomor Tiket]),"")</f>
        <v>K/21/071124/1</v>
      </c>
      <c r="D961" s="15" t="str">
        <f t="array" ref="D961">IFNA(_xlfn.XLOOKUP(B961,Table_Respons_Loket[Count],Table_Respons_Loket[Daftar Nomor Hak]),"")</f>
        <v>M. 4901/ Langkapura</v>
      </c>
      <c r="E961" s="17">
        <f t="array" ref="E961">IFNA(_xlfn.XLOOKUP(B961,Table_Respons_Loket[Count],Table_Respons_Loket[Time Stamp]),"")</f>
        <v>45603.47188</v>
      </c>
      <c r="F961" s="18" t="str">
        <f t="array" ref="F961">IFNA(_xlfn.XLOOKUP(B961,Table_Respons_Loket[Count],Table_Respons_Loket[Jenis Permohonan]),"")</f>
        <v>Hapus BPHTB</v>
      </c>
      <c r="G961" s="24"/>
      <c r="H961" s="24"/>
      <c r="I961" s="22" t="str">
        <f t="shared" si="7"/>
        <v/>
      </c>
      <c r="J961" s="20" t="b">
        <v>0</v>
      </c>
      <c r="K961" s="13" t="str">
        <f t="shared" si="2"/>
        <v/>
      </c>
    </row>
    <row r="962" ht="22.5" customHeight="1">
      <c r="B962" s="13">
        <f t="shared" si="3"/>
        <v>956</v>
      </c>
      <c r="C962" s="15" t="str">
        <f t="array" ref="C962">IFNA(_xlfn.XLOOKUP(B962,Table_Respons_Loket[Count],Table_Respons_Loket[Nomor Tiket]),"")</f>
        <v>L/22/071124/1</v>
      </c>
      <c r="D962" s="15" t="str">
        <f t="array" ref="D962">IFNA(_xlfn.XLOOKUP(B962,Table_Respons_Loket[Count],Table_Respons_Loket[Daftar Nomor Hak]),"")</f>
        <v>HM 2435/PANJANG UTARA</v>
      </c>
      <c r="E962" s="17">
        <f t="array" ref="E962">IFNA(_xlfn.XLOOKUP(B962,Table_Respons_Loket[Count],Table_Respons_Loket[Time Stamp]),"")</f>
        <v>45603.48049</v>
      </c>
      <c r="F962" s="18" t="str">
        <f t="array" ref="F962">IFNA(_xlfn.XLOOKUP(B962,Table_Respons_Loket[Count],Table_Respons_Loket[Jenis Permohonan]),"")</f>
        <v>BN HIBAH</v>
      </c>
      <c r="G962" s="12" t="s">
        <v>48</v>
      </c>
      <c r="H962" s="12" t="s">
        <v>52</v>
      </c>
      <c r="I962" s="22">
        <f t="shared" si="7"/>
        <v>45604.63519</v>
      </c>
      <c r="J962" s="20" t="b">
        <v>0</v>
      </c>
      <c r="K962" s="13" t="str">
        <f t="shared" si="2"/>
        <v/>
      </c>
    </row>
    <row r="963" ht="22.5" customHeight="1">
      <c r="B963" s="13">
        <f t="shared" si="3"/>
        <v>957</v>
      </c>
      <c r="C963" s="15" t="str">
        <f t="array" ref="C963">IFNA(_xlfn.XLOOKUP(B963,Table_Respons_Loket[Count],Table_Respons_Loket[Nomor Tiket]),"")</f>
        <v>K/23/071124/1</v>
      </c>
      <c r="D963" s="15" t="str">
        <f t="array" ref="D963">IFNA(_xlfn.XLOOKUP(B963,Table_Respons_Loket[Count],Table_Respons_Loket[Daftar Nomor Hak]),"")</f>
        <v>M. 16717/ Sukarame I</v>
      </c>
      <c r="E963" s="17">
        <f t="array" ref="E963">IFNA(_xlfn.XLOOKUP(B963,Table_Respons_Loket[Count],Table_Respons_Loket[Time Stamp]),"")</f>
        <v>45603.54728</v>
      </c>
      <c r="F963" s="18" t="str">
        <f t="array" ref="F963">IFNA(_xlfn.XLOOKUP(B963,Table_Respons_Loket[Count],Table_Respons_Loket[Jenis Permohonan]),"")</f>
        <v>ROYA</v>
      </c>
      <c r="G963" s="12" t="s">
        <v>48</v>
      </c>
      <c r="H963" s="12" t="s">
        <v>52</v>
      </c>
      <c r="I963" s="22">
        <f t="shared" si="7"/>
        <v>45604.63535</v>
      </c>
      <c r="J963" s="20" t="b">
        <v>0</v>
      </c>
      <c r="K963" s="13" t="str">
        <f t="shared" si="2"/>
        <v/>
      </c>
    </row>
    <row r="964" ht="22.5" customHeight="1">
      <c r="B964" s="13">
        <f t="shared" si="3"/>
        <v>958</v>
      </c>
      <c r="C964" s="15" t="str">
        <f t="array" ref="C964">IFNA(_xlfn.XLOOKUP(B964,Table_Respons_Loket[Count],Table_Respons_Loket[Nomor Tiket]),"")</f>
        <v>K/24/071124/1</v>
      </c>
      <c r="D964" s="15" t="str">
        <f t="array" ref="D964">IFNA(_xlfn.XLOOKUP(B964,Table_Respons_Loket[Count],Table_Respons_Loket[Daftar Nomor Hak]),"")</f>
        <v>M. 658/ Gunung Terang</v>
      </c>
      <c r="E964" s="17">
        <f t="array" ref="E964">IFNA(_xlfn.XLOOKUP(B964,Table_Respons_Loket[Count],Table_Respons_Loket[Time Stamp]),"")</f>
        <v>45603.55134</v>
      </c>
      <c r="F964" s="18" t="str">
        <f t="array" ref="F964">IFNA(_xlfn.XLOOKUP(B964,Table_Respons_Loket[Count],Table_Respons_Loket[Jenis Permohonan]),"")</f>
        <v>GANTI KECAMATAN</v>
      </c>
      <c r="G964" s="24"/>
      <c r="H964" s="24"/>
      <c r="I964" s="22" t="str">
        <f t="shared" si="7"/>
        <v/>
      </c>
      <c r="J964" s="20" t="b">
        <v>0</v>
      </c>
      <c r="K964" s="13" t="str">
        <f t="shared" si="2"/>
        <v/>
      </c>
    </row>
    <row r="965" ht="22.5" customHeight="1">
      <c r="B965" s="13">
        <f t="shared" si="3"/>
        <v>959</v>
      </c>
      <c r="C965" s="15" t="str">
        <f t="array" ref="C965">IFNA(_xlfn.XLOOKUP(B965,Table_Respons_Loket[Count],Table_Respons_Loket[Nomor Tiket]),"")</f>
        <v>L/25/071124/1</v>
      </c>
      <c r="D965" s="15" t="str">
        <f t="array" ref="D965">IFNA(_xlfn.XLOOKUP(B965,Table_Respons_Loket[Count],Table_Respons_Loket[Daftar Nomor Hak]),"")</f>
        <v>TANJUNG AGUNG</v>
      </c>
      <c r="E965" s="17">
        <f t="array" ref="E965">IFNA(_xlfn.XLOOKUP(B965,Table_Respons_Loket[Count],Table_Respons_Loket[Time Stamp]),"")</f>
        <v>45603.55318</v>
      </c>
      <c r="F965" s="18" t="str">
        <f t="array" ref="F965">IFNA(_xlfn.XLOOKUP(B965,Table_Respons_Loket[Count],Table_Respons_Loket[Jenis Permohonan]),"")</f>
        <v>PERTAMA KALI</v>
      </c>
      <c r="G965" s="24"/>
      <c r="H965" s="24"/>
      <c r="I965" s="22" t="str">
        <f t="shared" si="7"/>
        <v/>
      </c>
      <c r="J965" s="20" t="b">
        <v>0</v>
      </c>
      <c r="K965" s="13" t="str">
        <f t="shared" si="2"/>
        <v/>
      </c>
    </row>
    <row r="966" ht="22.5" customHeight="1">
      <c r="B966" s="13">
        <f t="shared" si="3"/>
        <v>960</v>
      </c>
      <c r="C966" s="15" t="str">
        <f t="array" ref="C966">IFNA(_xlfn.XLOOKUP(B966,Table_Respons_Loket[Count],Table_Respons_Loket[Nomor Tiket]),"")</f>
        <v>K/29/071124/1</v>
      </c>
      <c r="D966" s="15" t="str">
        <f t="array" ref="D966">IFNA(_xlfn.XLOOKUP(B966,Table_Respons_Loket[Count],Table_Respons_Loket[Daftar Nomor Hak]),"")</f>
        <v>M. 439/KALIAWI PERSADA-SEKARANG;B.41/SUKADANA HAM-DAHULU</v>
      </c>
      <c r="E966" s="17">
        <f t="array" ref="E966">IFNA(_xlfn.XLOOKUP(B966,Table_Respons_Loket[Count],Table_Respons_Loket[Time Stamp]),"")</f>
        <v>45603.57218</v>
      </c>
      <c r="F966" s="18" t="str">
        <f t="array" ref="F966">IFNA(_xlfn.XLOOKUP(B966,Table_Respons_Loket[Count],Table_Respons_Loket[Jenis Permohonan]),"")</f>
        <v>BN JUAL BELI</v>
      </c>
      <c r="G966" s="12" t="s">
        <v>48</v>
      </c>
      <c r="H966" s="12" t="s">
        <v>47</v>
      </c>
      <c r="I966" s="22" t="str">
        <f t="shared" si="7"/>
        <v/>
      </c>
      <c r="J966" s="20" t="b">
        <v>0</v>
      </c>
      <c r="K966" s="13" t="str">
        <f t="shared" si="2"/>
        <v/>
      </c>
    </row>
    <row r="967" ht="22.5" customHeight="1">
      <c r="B967" s="13">
        <f t="shared" si="3"/>
        <v>961</v>
      </c>
      <c r="C967" s="15" t="str">
        <f t="array" ref="C967">IFNA(_xlfn.XLOOKUP(B967,Table_Respons_Loket[Count],Table_Respons_Loket[Nomor Tiket]),"")</f>
        <v>K/26/071124/1</v>
      </c>
      <c r="D967" s="15" t="str">
        <f t="array" ref="D967">IFNA(_xlfn.XLOOKUP(B967,Table_Respons_Loket[Count],Table_Respons_Loket[Daftar Nomor Hak]),"")</f>
        <v>M. 445/ Kota Sepang</v>
      </c>
      <c r="E967" s="17">
        <f t="array" ref="E967">IFNA(_xlfn.XLOOKUP(B967,Table_Respons_Loket[Count],Table_Respons_Loket[Time Stamp]),"")</f>
        <v>45603.56992</v>
      </c>
      <c r="F967" s="18" t="str">
        <f t="array" ref="F967">IFNA(_xlfn.XLOOKUP(B967,Table_Respons_Loket[Count],Table_Respons_Loket[Jenis Permohonan]),"")</f>
        <v>BN Jual Beli</v>
      </c>
      <c r="G967" s="12" t="s">
        <v>48</v>
      </c>
      <c r="H967" s="12" t="s">
        <v>52</v>
      </c>
      <c r="I967" s="22">
        <f t="shared" si="7"/>
        <v>45614.66166</v>
      </c>
      <c r="J967" s="20" t="b">
        <v>0</v>
      </c>
      <c r="K967" s="13" t="str">
        <f t="shared" si="2"/>
        <v/>
      </c>
    </row>
    <row r="968" ht="22.5" customHeight="1">
      <c r="B968" s="13">
        <f t="shared" si="3"/>
        <v>962</v>
      </c>
      <c r="C968" s="15" t="str">
        <f t="array" ref="C968">IFNA(_xlfn.XLOOKUP(B968,Table_Respons_Loket[Count],Table_Respons_Loket[Nomor Tiket]),"")</f>
        <v>K/27/071124/2</v>
      </c>
      <c r="D968" s="15" t="str">
        <f t="array" ref="D968">IFNA(_xlfn.XLOOKUP(B968,Table_Respons_Loket[Count],Table_Respons_Loket[Daftar Nomor Hak]),"")</f>
        <v>M. 87/ L R R</v>
      </c>
      <c r="E968" s="17">
        <f t="array" ref="E968">IFNA(_xlfn.XLOOKUP(B968,Table_Respons_Loket[Count],Table_Respons_Loket[Time Stamp]),"")</f>
        <v>45603.57057</v>
      </c>
      <c r="F968" s="18" t="str">
        <f t="array" ref="F968">IFNA(_xlfn.XLOOKUP(B968,Table_Respons_Loket[Count],Table_Respons_Loket[Jenis Permohonan]),"")</f>
        <v>BN Jual Beli</v>
      </c>
      <c r="G968" s="12" t="s">
        <v>48</v>
      </c>
      <c r="H968" s="12" t="s">
        <v>52</v>
      </c>
      <c r="I968" s="22">
        <f t="shared" si="7"/>
        <v>45604.6361</v>
      </c>
      <c r="J968" s="20" t="b">
        <v>0</v>
      </c>
      <c r="K968" s="13" t="str">
        <f t="shared" si="2"/>
        <v/>
      </c>
    </row>
    <row r="969" ht="22.5" customHeight="1">
      <c r="B969" s="13">
        <f t="shared" si="3"/>
        <v>963</v>
      </c>
      <c r="C969" s="15" t="str">
        <f t="array" ref="C969">IFNA(_xlfn.XLOOKUP(B969,Table_Respons_Loket[Count],Table_Respons_Loket[Nomor Tiket]),"")</f>
        <v>K/28/071124/3</v>
      </c>
      <c r="D969" s="15" t="str">
        <f t="array" ref="D969">IFNA(_xlfn.XLOOKUP(B969,Table_Respons_Loket[Count],Table_Respons_Loket[Daftar Nomor Hak]),"")</f>
        <v>Nibel. M. 699/ Kota Sepang</v>
      </c>
      <c r="E969" s="17">
        <f t="array" ref="E969">IFNA(_xlfn.XLOOKUP(B969,Table_Respons_Loket[Count],Table_Respons_Loket[Time Stamp]),"")</f>
        <v>45603.57124</v>
      </c>
      <c r="F969" s="18" t="str">
        <f t="array" ref="F969">IFNA(_xlfn.XLOOKUP(B969,Table_Respons_Loket[Count],Table_Respons_Loket[Jenis Permohonan]),"")</f>
        <v>BN Jual Beli</v>
      </c>
      <c r="G969" s="24"/>
      <c r="H969" s="24"/>
      <c r="I969" s="22" t="str">
        <f t="shared" si="7"/>
        <v/>
      </c>
      <c r="J969" s="20" t="b">
        <v>0</v>
      </c>
      <c r="K969" s="13" t="str">
        <f t="shared" si="2"/>
        <v/>
      </c>
    </row>
    <row r="970" ht="22.5" customHeight="1">
      <c r="B970" s="13">
        <f t="shared" si="3"/>
        <v>964</v>
      </c>
      <c r="C970" s="15" t="str">
        <f t="array" ref="C970">IFNA(_xlfn.XLOOKUP(B970,Table_Respons_Loket[Count],Table_Respons_Loket[Nomor Tiket]),"")</f>
        <v>K/30/071124/1</v>
      </c>
      <c r="D970" s="15" t="str">
        <f t="array" ref="D970">IFNA(_xlfn.XLOOKUP(B970,Table_Respons_Loket[Count],Table_Respons_Loket[Daftar Nomor Hak]),"")</f>
        <v>Nibel 3504/ Bumi Kedamaian</v>
      </c>
      <c r="E970" s="17">
        <f t="array" ref="E970">IFNA(_xlfn.XLOOKUP(B970,Table_Respons_Loket[Count],Table_Respons_Loket[Time Stamp]),"")</f>
        <v>45603.5759</v>
      </c>
      <c r="F970" s="18" t="str">
        <f t="array" ref="F970">IFNA(_xlfn.XLOOKUP(B970,Table_Respons_Loket[Count],Table_Respons_Loket[Jenis Permohonan]),"")</f>
        <v>BN JUAL BELI</v>
      </c>
      <c r="G970" s="24"/>
      <c r="H970" s="24"/>
      <c r="I970" s="22" t="str">
        <f t="shared" si="7"/>
        <v/>
      </c>
      <c r="J970" s="20" t="b">
        <v>0</v>
      </c>
      <c r="K970" s="13" t="str">
        <f t="shared" si="2"/>
        <v/>
      </c>
    </row>
    <row r="971" ht="22.5" customHeight="1">
      <c r="B971" s="13">
        <f t="shared" si="3"/>
        <v>965</v>
      </c>
      <c r="C971" s="15" t="str">
        <f t="array" ref="C971">IFNA(_xlfn.XLOOKUP(B971,Table_Respons_Loket[Count],Table_Respons_Loket[Nomor Tiket]),"")</f>
        <v>K/31/071124/1</v>
      </c>
      <c r="D971" s="15" t="str">
        <f t="array" ref="D971">IFNA(_xlfn.XLOOKUP(B971,Table_Respons_Loket[Count],Table_Respons_Loket[Daftar Nomor Hak]),"")</f>
        <v>Nibel. M. 2217/ Sukabumi</v>
      </c>
      <c r="E971" s="17">
        <f t="array" ref="E971">IFNA(_xlfn.XLOOKUP(B971,Table_Respons_Loket[Count],Table_Respons_Loket[Time Stamp]),"")</f>
        <v>45603.57986</v>
      </c>
      <c r="F971" s="18" t="str">
        <f t="array" ref="F971">IFNA(_xlfn.XLOOKUP(B971,Table_Respons_Loket[Count],Table_Respons_Loket[Jenis Permohonan]),"")</f>
        <v>PTPGT (Pemecahan)</v>
      </c>
      <c r="G971" s="24"/>
      <c r="H971" s="24"/>
      <c r="I971" s="22" t="str">
        <f t="shared" si="7"/>
        <v/>
      </c>
      <c r="J971" s="20" t="b">
        <v>0</v>
      </c>
      <c r="K971" s="13" t="str">
        <f t="shared" si="2"/>
        <v/>
      </c>
    </row>
    <row r="972" ht="22.5" customHeight="1">
      <c r="B972" s="13">
        <f t="shared" si="3"/>
        <v>966</v>
      </c>
      <c r="C972" s="15" t="str">
        <f t="array" ref="C972">IFNA(_xlfn.XLOOKUP(B972,Table_Respons_Loket[Count],Table_Respons_Loket[Nomor Tiket]),"")</f>
        <v>K/32/071124/1</v>
      </c>
      <c r="D972" s="15" t="str">
        <f t="array" ref="D972">IFNA(_xlfn.XLOOKUP(B972,Table_Respons_Loket[Count],Table_Respons_Loket[Daftar Nomor Hak]),"")</f>
        <v>M. 12112/TANJUNG BARU</v>
      </c>
      <c r="E972" s="17">
        <f t="array" ref="E972">IFNA(_xlfn.XLOOKUP(B972,Table_Respons_Loket[Count],Table_Respons_Loket[Time Stamp]),"")</f>
        <v>45603.58977</v>
      </c>
      <c r="F972" s="18" t="str">
        <f t="array" ref="F972">IFNA(_xlfn.XLOOKUP(B972,Table_Respons_Loket[Count],Table_Respons_Loket[Jenis Permohonan]),"")</f>
        <v>ROYA</v>
      </c>
      <c r="G972" s="12" t="s">
        <v>48</v>
      </c>
      <c r="H972" s="12" t="s">
        <v>52</v>
      </c>
      <c r="I972" s="22">
        <f t="shared" si="7"/>
        <v>45604.63947</v>
      </c>
      <c r="J972" s="20" t="b">
        <v>0</v>
      </c>
      <c r="K972" s="13" t="str">
        <f t="shared" si="2"/>
        <v/>
      </c>
    </row>
    <row r="973" ht="22.5" customHeight="1">
      <c r="B973" s="13">
        <f t="shared" si="3"/>
        <v>967</v>
      </c>
      <c r="C973" s="15" t="str">
        <f t="array" ref="C973">IFNA(_xlfn.XLOOKUP(B973,Table_Respons_Loket[Count],Table_Respons_Loket[Nomor Tiket]),"")</f>
        <v>L/34/071124/1</v>
      </c>
      <c r="D973" s="15" t="str">
        <f t="array" ref="D973">IFNA(_xlfn.XLOOKUP(B973,Table_Respons_Loket[Count],Table_Respons_Loket[Daftar Nomor Hak]),"")</f>
        <v>HM 15030/SUKARAME I (SHM TETANGGA)</v>
      </c>
      <c r="E973" s="17">
        <f t="array" ref="E973">IFNA(_xlfn.XLOOKUP(B973,Table_Respons_Loket[Count],Table_Respons_Loket[Time Stamp]),"")</f>
        <v>45603.59087</v>
      </c>
      <c r="F973" s="18" t="str">
        <f t="array" ref="F973">IFNA(_xlfn.XLOOKUP(B973,Table_Respons_Loket[Count],Table_Respons_Loket[Jenis Permohonan]),"")</f>
        <v>SERTIPIKAT HILANG</v>
      </c>
      <c r="G973" s="12" t="s">
        <v>48</v>
      </c>
      <c r="H973" s="12" t="s">
        <v>47</v>
      </c>
      <c r="I973" s="22" t="str">
        <f t="shared" si="7"/>
        <v/>
      </c>
      <c r="J973" s="20" t="b">
        <v>0</v>
      </c>
      <c r="K973" s="13" t="str">
        <f t="shared" si="2"/>
        <v/>
      </c>
    </row>
    <row r="974" ht="22.5" customHeight="1">
      <c r="B974" s="13">
        <f t="shared" si="3"/>
        <v>968</v>
      </c>
      <c r="C974" s="15" t="str">
        <f t="array" ref="C974">IFNA(_xlfn.XLOOKUP(B974,Table_Respons_Loket[Count],Table_Respons_Loket[Nomor Tiket]),"")</f>
        <v>K/35/071124/1</v>
      </c>
      <c r="D974" s="15" t="str">
        <f t="array" ref="D974">IFNA(_xlfn.XLOOKUP(B974,Table_Respons_Loket[Count],Table_Respons_Loket[Daftar Nomor Hak]),"")</f>
        <v>M. 10980/ Segala Mider</v>
      </c>
      <c r="E974" s="17">
        <f t="array" ref="E974">IFNA(_xlfn.XLOOKUP(B974,Table_Respons_Loket[Count],Table_Respons_Loket[Time Stamp]),"")</f>
        <v>45603.59193</v>
      </c>
      <c r="F974" s="18" t="str">
        <f t="array" ref="F974">IFNA(_xlfn.XLOOKUP(B974,Table_Respons_Loket[Count],Table_Respons_Loket[Jenis Permohonan]),"")</f>
        <v>BN Jual Beli</v>
      </c>
      <c r="G974" s="12" t="s">
        <v>48</v>
      </c>
      <c r="H974" s="12" t="s">
        <v>52</v>
      </c>
      <c r="I974" s="22">
        <f t="shared" si="7"/>
        <v>45604.63741</v>
      </c>
      <c r="J974" s="20" t="b">
        <v>0</v>
      </c>
      <c r="K974" s="13" t="str">
        <f t="shared" si="2"/>
        <v/>
      </c>
    </row>
    <row r="975" ht="22.5" customHeight="1">
      <c r="B975" s="13">
        <f t="shared" si="3"/>
        <v>969</v>
      </c>
      <c r="C975" s="15" t="str">
        <f t="array" ref="C975">IFNA(_xlfn.XLOOKUP(B975,Table_Respons_Loket[Count],Table_Respons_Loket[Nomor Tiket]),"")</f>
        <v>K/38/071124/3</v>
      </c>
      <c r="D975" s="15" t="str">
        <f t="array" ref="D975">IFNA(_xlfn.XLOOKUP(B975,Table_Respons_Loket[Count],Table_Respons_Loket[Daftar Nomor Hak]),"")</f>
        <v>B. 716/ Kemiling Permai</v>
      </c>
      <c r="E975" s="17">
        <f t="array" ref="E975">IFNA(_xlfn.XLOOKUP(B975,Table_Respons_Loket[Count],Table_Respons_Loket[Time Stamp]),"")</f>
        <v>45603.59739</v>
      </c>
      <c r="F975" s="18" t="str">
        <f t="array" ref="F975">IFNA(_xlfn.XLOOKUP(B975,Table_Respons_Loket[Count],Table_Respons_Loket[Jenis Permohonan]),"")</f>
        <v>BN Jual Beli</v>
      </c>
      <c r="G975" s="12" t="s">
        <v>48</v>
      </c>
      <c r="H975" s="12" t="s">
        <v>52</v>
      </c>
      <c r="I975" s="22">
        <f t="shared" si="7"/>
        <v>45604.63759</v>
      </c>
      <c r="J975" s="20" t="b">
        <v>0</v>
      </c>
      <c r="K975" s="13" t="str">
        <f t="shared" si="2"/>
        <v/>
      </c>
    </row>
    <row r="976" ht="22.5" customHeight="1">
      <c r="B976" s="13">
        <f t="shared" si="3"/>
        <v>970</v>
      </c>
      <c r="C976" s="15" t="str">
        <f t="array" ref="C976">IFNA(_xlfn.XLOOKUP(B976,Table_Respons_Loket[Count],Table_Respons_Loket[Nomor Tiket]),"")</f>
        <v>K/39/071124/1</v>
      </c>
      <c r="D976" s="15" t="str">
        <f t="array" ref="D976">IFNA(_xlfn.XLOOKUP(B976,Table_Respons_Loket[Count],Table_Respons_Loket[Daftar Nomor Hak]),"")</f>
        <v>M.105/PENENGAHAN</v>
      </c>
      <c r="E976" s="17">
        <f t="array" ref="E976">IFNA(_xlfn.XLOOKUP(B976,Table_Respons_Loket[Count],Table_Respons_Loket[Time Stamp]),"")</f>
        <v>45603.59896</v>
      </c>
      <c r="F976" s="18" t="str">
        <f t="array" ref="F976">IFNA(_xlfn.XLOOKUP(B976,Table_Respons_Loket[Count],Table_Respons_Loket[Jenis Permohonan]),"")</f>
        <v>GANDES</v>
      </c>
      <c r="G976" s="24"/>
      <c r="H976" s="24"/>
      <c r="I976" s="22" t="str">
        <f t="shared" si="7"/>
        <v/>
      </c>
      <c r="J976" s="20" t="b">
        <v>0</v>
      </c>
      <c r="K976" s="13" t="str">
        <f t="shared" si="2"/>
        <v/>
      </c>
    </row>
    <row r="977" ht="22.5" customHeight="1">
      <c r="B977" s="13">
        <f t="shared" si="3"/>
        <v>971</v>
      </c>
      <c r="C977" s="15" t="str">
        <f t="array" ref="C977">IFNA(_xlfn.XLOOKUP(B977,Table_Respons_Loket[Count],Table_Respons_Loket[Nomor Tiket]),"")</f>
        <v>K/36/071124/1</v>
      </c>
      <c r="D977" s="15" t="str">
        <f t="array" ref="D977">IFNA(_xlfn.XLOOKUP(B977,Table_Respons_Loket[Count],Table_Respons_Loket[Daftar Nomor Hak]),"")</f>
        <v>B. 919/ Beringin Jaya</v>
      </c>
      <c r="E977" s="17">
        <f t="array" ref="E977">IFNA(_xlfn.XLOOKUP(B977,Table_Respons_Loket[Count],Table_Respons_Loket[Time Stamp]),"")</f>
        <v>45603.59898</v>
      </c>
      <c r="F977" s="18" t="str">
        <f t="array" ref="F977">IFNA(_xlfn.XLOOKUP(B977,Table_Respons_Loket[Count],Table_Respons_Loket[Jenis Permohonan]),"")</f>
        <v>BN Jual Beli</v>
      </c>
      <c r="G977" s="12" t="s">
        <v>48</v>
      </c>
      <c r="H977" s="12" t="s">
        <v>47</v>
      </c>
      <c r="I977" s="22" t="str">
        <f t="shared" si="7"/>
        <v/>
      </c>
      <c r="J977" s="20" t="b">
        <v>0</v>
      </c>
      <c r="K977" s="13" t="str">
        <f t="shared" si="2"/>
        <v/>
      </c>
    </row>
    <row r="978" ht="22.5" customHeight="1">
      <c r="B978" s="13">
        <f t="shared" si="3"/>
        <v>972</v>
      </c>
      <c r="C978" s="15" t="str">
        <f t="array" ref="C978">IFNA(_xlfn.XLOOKUP(B978,Table_Respons_Loket[Count],Table_Respons_Loket[Nomor Tiket]),"")</f>
        <v>K/37/071124/2</v>
      </c>
      <c r="D978" s="15" t="str">
        <f t="array" ref="D978">IFNA(_xlfn.XLOOKUP(B978,Table_Respons_Loket[Count],Table_Respons_Loket[Daftar Nomor Hak]),"")</f>
        <v>B. 621/ Kemiling Permai</v>
      </c>
      <c r="E978" s="17">
        <f t="array" ref="E978">IFNA(_xlfn.XLOOKUP(B978,Table_Respons_Loket[Count],Table_Respons_Loket[Time Stamp]),"")</f>
        <v>45603.60083</v>
      </c>
      <c r="F978" s="18" t="str">
        <f t="array" ref="F978">IFNA(_xlfn.XLOOKUP(B978,Table_Respons_Loket[Count],Table_Respons_Loket[Jenis Permohonan]),"")</f>
        <v>BN Jual Beli</v>
      </c>
      <c r="G978" s="12" t="s">
        <v>48</v>
      </c>
      <c r="H978" s="12" t="s">
        <v>52</v>
      </c>
      <c r="I978" s="22">
        <f t="shared" si="7"/>
        <v>45604.63793</v>
      </c>
      <c r="J978" s="20" t="b">
        <v>0</v>
      </c>
      <c r="K978" s="13" t="str">
        <f t="shared" si="2"/>
        <v/>
      </c>
    </row>
    <row r="979" ht="22.5" customHeight="1">
      <c r="B979" s="13">
        <f t="shared" si="3"/>
        <v>973</v>
      </c>
      <c r="C979" s="15" t="str">
        <f t="array" ref="C979">IFNA(_xlfn.XLOOKUP(B979,Table_Respons_Loket[Count],Table_Respons_Loket[Nomor Tiket]),"")</f>
        <v>K/40/071124/1</v>
      </c>
      <c r="D979" s="15" t="str">
        <f t="array" ref="D979">IFNA(_xlfn.XLOOKUP(B979,Table_Respons_Loket[Count],Table_Respons_Loket[Daftar Nomor Hak]),"")</f>
        <v>B. 1118/ Keteguhan</v>
      </c>
      <c r="E979" s="17">
        <f t="array" ref="E979">IFNA(_xlfn.XLOOKUP(B979,Table_Respons_Loket[Count],Table_Respons_Loket[Time Stamp]),"")</f>
        <v>45603.61605</v>
      </c>
      <c r="F979" s="18" t="str">
        <f t="array" ref="F979">IFNA(_xlfn.XLOOKUP(B979,Table_Respons_Loket[Count],Table_Respons_Loket[Jenis Permohonan]),"")</f>
        <v>BN Jual Beli</v>
      </c>
      <c r="G979" s="12" t="s">
        <v>48</v>
      </c>
      <c r="H979" s="12" t="s">
        <v>52</v>
      </c>
      <c r="I979" s="22">
        <f t="shared" si="7"/>
        <v>45604.63808</v>
      </c>
      <c r="J979" s="20" t="b">
        <v>0</v>
      </c>
      <c r="K979" s="13" t="str">
        <f t="shared" si="2"/>
        <v/>
      </c>
    </row>
    <row r="980" ht="22.5" customHeight="1">
      <c r="B980" s="13">
        <f t="shared" si="3"/>
        <v>974</v>
      </c>
      <c r="C980" s="15" t="str">
        <f t="array" ref="C980">IFNA(_xlfn.XLOOKUP(B980,Table_Respons_Loket[Count],Table_Respons_Loket[Nomor Tiket]),"")</f>
        <v>K/41/071124/1</v>
      </c>
      <c r="D980" s="15" t="str">
        <f t="array" ref="D980">IFNA(_xlfn.XLOOKUP(B980,Table_Respons_Loket[Count],Table_Respons_Loket[Daftar Nomor Hak]),"")</f>
        <v>M. 1254/ Langkapura Baru</v>
      </c>
      <c r="E980" s="17">
        <f t="array" ref="E980">IFNA(_xlfn.XLOOKUP(B980,Table_Respons_Loket[Count],Table_Respons_Loket[Time Stamp]),"")</f>
        <v>45603.61745</v>
      </c>
      <c r="F980" s="18" t="str">
        <f t="array" ref="F980">IFNA(_xlfn.XLOOKUP(B980,Table_Respons_Loket[Count],Table_Respons_Loket[Jenis Permohonan]),"")</f>
        <v>BN JUAL BELI</v>
      </c>
      <c r="G980" s="12" t="s">
        <v>48</v>
      </c>
      <c r="H980" s="12" t="s">
        <v>47</v>
      </c>
      <c r="I980" s="22" t="str">
        <f t="shared" si="7"/>
        <v/>
      </c>
      <c r="J980" s="20" t="b">
        <v>0</v>
      </c>
      <c r="K980" s="13" t="str">
        <f t="shared" si="2"/>
        <v/>
      </c>
    </row>
    <row r="981" ht="22.5" customHeight="1">
      <c r="B981" s="13">
        <f t="shared" si="3"/>
        <v>975</v>
      </c>
      <c r="C981" s="15" t="str">
        <f t="array" ref="C981">IFNA(_xlfn.XLOOKUP(B981,Table_Respons_Loket[Count],Table_Respons_Loket[Nomor Tiket]),"")</f>
        <v>K/25/291024/1</v>
      </c>
      <c r="D981" s="15" t="str">
        <f t="array" ref="D981">IFNA(_xlfn.XLOOKUP(B981,Table_Respons_Loket[Count],Table_Respons_Loket[Daftar Nomor Hak]),"")</f>
        <v>M.697/GUNUNG AGUNG</v>
      </c>
      <c r="E981" s="17">
        <f t="array" ref="E981">IFNA(_xlfn.XLOOKUP(B981,Table_Respons_Loket[Count],Table_Respons_Loket[Time Stamp]),"")</f>
        <v>45603.62831</v>
      </c>
      <c r="F981" s="18" t="str">
        <f t="array" ref="F981">IFNA(_xlfn.XLOOKUP(B981,Table_Respons_Loket[Count],Table_Respons_Loket[Jenis Permohonan]),"")</f>
        <v>BN JUAL BELI</v>
      </c>
      <c r="G981" s="12" t="s">
        <v>48</v>
      </c>
      <c r="H981" s="12" t="s">
        <v>47</v>
      </c>
      <c r="I981" s="22" t="str">
        <f t="shared" si="7"/>
        <v/>
      </c>
      <c r="J981" s="20" t="b">
        <v>0</v>
      </c>
      <c r="K981" s="13" t="str">
        <f t="shared" si="2"/>
        <v/>
      </c>
    </row>
    <row r="982" ht="22.5" customHeight="1">
      <c r="B982" s="13">
        <f t="shared" si="3"/>
        <v>976</v>
      </c>
      <c r="C982" s="15" t="str">
        <f t="array" ref="C982">IFNA(_xlfn.XLOOKUP(B982,Table_Respons_Loket[Count],Table_Respons_Loket[Nomor Tiket]),"")</f>
        <v>K/33/071124/2</v>
      </c>
      <c r="D982" s="15" t="str">
        <f t="array" ref="D982">IFNA(_xlfn.XLOOKUP(B982,Table_Respons_Loket[Count],Table_Respons_Loket[Daftar Nomor Hak]),"")</f>
        <v>M. 676/BUMI KEDAMAIAN</v>
      </c>
      <c r="E982" s="17">
        <f t="array" ref="E982">IFNA(_xlfn.XLOOKUP(B982,Table_Respons_Loket[Count],Table_Respons_Loket[Time Stamp]),"")</f>
        <v>45604.38531</v>
      </c>
      <c r="F982" s="18" t="str">
        <f t="array" ref="F982">IFNA(_xlfn.XLOOKUP(B982,Table_Respons_Loket[Count],Table_Respons_Loket[Jenis Permohonan]),"")</f>
        <v>BN WARIS</v>
      </c>
      <c r="G982" s="12" t="s">
        <v>48</v>
      </c>
      <c r="H982" s="12" t="s">
        <v>47</v>
      </c>
      <c r="I982" s="22" t="str">
        <f t="shared" si="7"/>
        <v/>
      </c>
      <c r="J982" s="20" t="b">
        <v>0</v>
      </c>
      <c r="K982" s="13" t="str">
        <f t="shared" si="2"/>
        <v/>
      </c>
    </row>
    <row r="983" ht="22.5" customHeight="1">
      <c r="B983" s="13">
        <f t="shared" si="3"/>
        <v>977</v>
      </c>
      <c r="C983" s="15" t="str">
        <f t="array" ref="C983">IFNA(_xlfn.XLOOKUP(B983,Table_Respons_Loket[Count],Table_Respons_Loket[Nomor Tiket]),"")</f>
        <v>K/1/081124/1</v>
      </c>
      <c r="D983" s="15" t="str">
        <f t="array" ref="D983">IFNA(_xlfn.XLOOKUP(B983,Table_Respons_Loket[Count],Table_Respons_Loket[Daftar Nomor Hak]),"")</f>
        <v>M.1419/SUSUNAN BARU</v>
      </c>
      <c r="E983" s="17">
        <f t="array" ref="E983">IFNA(_xlfn.XLOOKUP(B983,Table_Respons_Loket[Count],Table_Respons_Loket[Time Stamp]),"")</f>
        <v>45604.38599</v>
      </c>
      <c r="F983" s="18" t="str">
        <f t="array" ref="F983">IFNA(_xlfn.XLOOKUP(B983,Table_Respons_Loket[Count],Table_Respons_Loket[Jenis Permohonan]),"")</f>
        <v>BN JUAL BELI</v>
      </c>
      <c r="G983" s="12" t="s">
        <v>48</v>
      </c>
      <c r="H983" s="12" t="s">
        <v>47</v>
      </c>
      <c r="I983" s="22" t="str">
        <f t="shared" si="7"/>
        <v/>
      </c>
      <c r="J983" s="20" t="b">
        <v>0</v>
      </c>
      <c r="K983" s="13" t="str">
        <f t="shared" si="2"/>
        <v/>
      </c>
    </row>
    <row r="984" ht="22.5" customHeight="1">
      <c r="B984" s="13">
        <f t="shared" si="3"/>
        <v>978</v>
      </c>
      <c r="C984" s="15" t="str">
        <f t="array" ref="C984">IFNA(_xlfn.XLOOKUP(B984,Table_Respons_Loket[Count],Table_Respons_Loket[Nomor Tiket]),"")</f>
        <v>L/3/081124/1</v>
      </c>
      <c r="D984" s="15" t="str">
        <f t="array" ref="D984">IFNA(_xlfn.XLOOKUP(B984,Table_Respons_Loket[Count],Table_Respons_Loket[Daftar Nomor Hak]),"")</f>
        <v>HM 10617/KEDAMAIAN (SHM TETANGGA)</v>
      </c>
      <c r="E984" s="17">
        <f t="array" ref="E984">IFNA(_xlfn.XLOOKUP(B984,Table_Respons_Loket[Count],Table_Respons_Loket[Time Stamp]),"")</f>
        <v>45604.38625</v>
      </c>
      <c r="F984" s="18" t="str">
        <f t="array" ref="F984">IFNA(_xlfn.XLOOKUP(B984,Table_Respons_Loket[Count],Table_Respons_Loket[Jenis Permohonan]),"")</f>
        <v>SERTIPIKAT HILANG</v>
      </c>
      <c r="G984" s="12" t="s">
        <v>48</v>
      </c>
      <c r="H984" s="12" t="s">
        <v>52</v>
      </c>
      <c r="I984" s="22">
        <f t="shared" si="7"/>
        <v>45607.63207</v>
      </c>
      <c r="J984" s="20" t="b">
        <v>0</v>
      </c>
      <c r="K984" s="13" t="str">
        <f t="shared" si="2"/>
        <v/>
      </c>
    </row>
    <row r="985" ht="22.5" customHeight="1">
      <c r="B985" s="13">
        <f t="shared" si="3"/>
        <v>979</v>
      </c>
      <c r="C985" s="15" t="str">
        <f t="array" ref="C985">IFNA(_xlfn.XLOOKUP(B985,Table_Respons_Loket[Count],Table_Respons_Loket[Nomor Tiket]),"")</f>
        <v>K/2/081124/2</v>
      </c>
      <c r="D985" s="15" t="str">
        <f t="array" ref="D985">IFNA(_xlfn.XLOOKUP(B985,Table_Respons_Loket[Count],Table_Respons_Loket[Daftar Nomor Hak]),"")</f>
        <v>M. 1892/BERINGIN JAYA-SEKARANG;M.1538/BERINGIN RAYA-DAHULU</v>
      </c>
      <c r="E985" s="17">
        <f t="array" ref="E985">IFNA(_xlfn.XLOOKUP(B985,Table_Respons_Loket[Count],Table_Respons_Loket[Time Stamp]),"")</f>
        <v>45604.38746</v>
      </c>
      <c r="F985" s="18" t="str">
        <f t="array" ref="F985">IFNA(_xlfn.XLOOKUP(B985,Table_Respons_Loket[Count],Table_Respons_Loket[Jenis Permohonan]),"")</f>
        <v>HIBAH</v>
      </c>
      <c r="G985" s="12" t="s">
        <v>48</v>
      </c>
      <c r="H985" s="12" t="s">
        <v>47</v>
      </c>
      <c r="I985" s="22" t="str">
        <f t="shared" si="7"/>
        <v/>
      </c>
      <c r="J985" s="20" t="b">
        <v>0</v>
      </c>
      <c r="K985" s="13" t="str">
        <f t="shared" si="2"/>
        <v/>
      </c>
    </row>
    <row r="986" ht="22.5" customHeight="1">
      <c r="B986" s="13">
        <f t="shared" si="3"/>
        <v>980</v>
      </c>
      <c r="C986" s="15" t="str">
        <f t="array" ref="C986">IFNA(_xlfn.XLOOKUP(B986,Table_Respons_Loket[Count],Table_Respons_Loket[Nomor Tiket]),"")</f>
        <v>L/5/081124/1</v>
      </c>
      <c r="D986" s="15" t="str">
        <f t="array" ref="D986">IFNA(_xlfn.XLOOKUP(B986,Table_Respons_Loket[Count],Table_Respons_Loket[Daftar Nomor Hak]),"")</f>
        <v>HM 12327/LABUHAN RATU</v>
      </c>
      <c r="E986" s="17">
        <f t="array" ref="E986">IFNA(_xlfn.XLOOKUP(B986,Table_Respons_Loket[Count],Table_Respons_Loket[Time Stamp]),"")</f>
        <v>45604.39475</v>
      </c>
      <c r="F986" s="18" t="str">
        <f t="array" ref="F986">IFNA(_xlfn.XLOOKUP(B986,Table_Respons_Loket[Count],Table_Respons_Loket[Jenis Permohonan]),"")</f>
        <v>ROYA</v>
      </c>
      <c r="G986" s="12" t="s">
        <v>48</v>
      </c>
      <c r="H986" s="12" t="s">
        <v>47</v>
      </c>
      <c r="I986" s="22" t="str">
        <f t="shared" si="7"/>
        <v/>
      </c>
      <c r="J986" s="20" t="b">
        <v>0</v>
      </c>
      <c r="K986" s="13" t="str">
        <f t="shared" si="2"/>
        <v/>
      </c>
    </row>
    <row r="987" ht="22.5" customHeight="1">
      <c r="B987" s="13">
        <f t="shared" si="3"/>
        <v>981</v>
      </c>
      <c r="C987" s="15" t="str">
        <f t="array" ref="C987">IFNA(_xlfn.XLOOKUP(B987,Table_Respons_Loket[Count],Table_Respons_Loket[Nomor Tiket]),"")</f>
        <v>K/6/081124/1</v>
      </c>
      <c r="D987" s="15" t="str">
        <f t="array" ref="D987">IFNA(_xlfn.XLOOKUP(B987,Table_Respons_Loket[Count],Table_Respons_Loket[Daftar Nomor Hak]),"")</f>
        <v>M.12571/BERINGIN RAYA-SEKARANG;B.2268/BERINGIN RAYA</v>
      </c>
      <c r="E987" s="17">
        <f t="array" ref="E987">IFNA(_xlfn.XLOOKUP(B987,Table_Respons_Loket[Count],Table_Respons_Loket[Time Stamp]),"")</f>
        <v>45604.39915</v>
      </c>
      <c r="F987" s="18" t="str">
        <f t="array" ref="F987">IFNA(_xlfn.XLOOKUP(B987,Table_Respons_Loket[Count],Table_Respons_Loket[Jenis Permohonan]),"")</f>
        <v>PLOTING</v>
      </c>
      <c r="G987" s="24"/>
      <c r="H987" s="24"/>
      <c r="I987" s="22" t="str">
        <f t="shared" si="7"/>
        <v/>
      </c>
      <c r="J987" s="20" t="b">
        <v>0</v>
      </c>
      <c r="K987" s="13" t="str">
        <f t="shared" si="2"/>
        <v/>
      </c>
    </row>
    <row r="988" ht="22.5" customHeight="1">
      <c r="B988" s="13">
        <f t="shared" si="3"/>
        <v>982</v>
      </c>
      <c r="C988" s="15" t="str">
        <f t="array" ref="C988">IFNA(_xlfn.XLOOKUP(B988,Table_Respons_Loket[Count],Table_Respons_Loket[Nomor Tiket]),"")</f>
        <v>K/8/081124/1</v>
      </c>
      <c r="D988" s="15" t="str">
        <f t="array" ref="D988">IFNA(_xlfn.XLOOKUP(B988,Table_Respons_Loket[Count],Table_Respons_Loket[Daftar Nomor Hak]),"")</f>
        <v>M.5182/RAJABASA JAYA</v>
      </c>
      <c r="E988" s="17">
        <f t="array" ref="E988">IFNA(_xlfn.XLOOKUP(B988,Table_Respons_Loket[Count],Table_Respons_Loket[Time Stamp]),"")</f>
        <v>45604.40791</v>
      </c>
      <c r="F988" s="18" t="str">
        <f t="array" ref="F988">IFNA(_xlfn.XLOOKUP(B988,Table_Respons_Loket[Count],Table_Respons_Loket[Jenis Permohonan]),"")</f>
        <v>BN JUAL BELI</v>
      </c>
      <c r="G988" s="12" t="s">
        <v>48</v>
      </c>
      <c r="H988" s="12" t="s">
        <v>47</v>
      </c>
      <c r="I988" s="22" t="str">
        <f t="shared" si="7"/>
        <v/>
      </c>
      <c r="J988" s="20" t="b">
        <v>0</v>
      </c>
      <c r="K988" s="13" t="str">
        <f t="shared" si="2"/>
        <v/>
      </c>
    </row>
    <row r="989" ht="22.5" customHeight="1">
      <c r="B989" s="13">
        <f t="shared" si="3"/>
        <v>983</v>
      </c>
      <c r="C989" s="15" t="str">
        <f t="array" ref="C989">IFNA(_xlfn.XLOOKUP(B989,Table_Respons_Loket[Count],Table_Respons_Loket[Nomor Tiket]),"")</f>
        <v>K/7/081124/1</v>
      </c>
      <c r="D989" s="15" t="str">
        <f t="array" ref="D989">IFNA(_xlfn.XLOOKUP(B989,Table_Respons_Loket[Count],Table_Respons_Loket[Daftar Nomor Hak]),"")</f>
        <v>M. 10329/ Segala Mider</v>
      </c>
      <c r="E989" s="17">
        <f t="array" ref="E989">IFNA(_xlfn.XLOOKUP(B989,Table_Respons_Loket[Count],Table_Respons_Loket[Time Stamp]),"")</f>
        <v>45604.40859</v>
      </c>
      <c r="F989" s="18" t="str">
        <f t="array" ref="F989">IFNA(_xlfn.XLOOKUP(B989,Table_Respons_Loket[Count],Table_Respons_Loket[Jenis Permohonan]),"")</f>
        <v>BN JUAL BELI</v>
      </c>
      <c r="G989" s="12" t="s">
        <v>48</v>
      </c>
      <c r="H989" s="12" t="s">
        <v>52</v>
      </c>
      <c r="I989" s="22">
        <f t="shared" si="7"/>
        <v>45607.63335</v>
      </c>
      <c r="J989" s="20" t="b">
        <v>0</v>
      </c>
      <c r="K989" s="13" t="str">
        <f t="shared" si="2"/>
        <v/>
      </c>
    </row>
    <row r="990" ht="22.5" customHeight="1">
      <c r="B990" s="13">
        <f t="shared" si="3"/>
        <v>984</v>
      </c>
      <c r="C990" s="15" t="str">
        <f t="array" ref="C990">IFNA(_xlfn.XLOOKUP(B990,Table_Respons_Loket[Count],Table_Respons_Loket[Nomor Tiket]),"")</f>
        <v>L/9/081124/1</v>
      </c>
      <c r="D990" s="15" t="str">
        <f t="array" ref="D990">IFNA(_xlfn.XLOOKUP(B990,Table_Respons_Loket[Count],Table_Respons_Loket[Daftar Nomor Hak]),"")</f>
        <v>GM 613/PEMATANG WANGI</v>
      </c>
      <c r="E990" s="17">
        <f t="array" ref="E990">IFNA(_xlfn.XLOOKUP(B990,Table_Respons_Loket[Count],Table_Respons_Loket[Time Stamp]),"")</f>
        <v>45604.41045</v>
      </c>
      <c r="F990" s="18" t="str">
        <f t="array" ref="F990">IFNA(_xlfn.XLOOKUP(B990,Table_Respons_Loket[Count],Table_Respons_Loket[Jenis Permohonan]),"")</f>
        <v>SULYA YENTY</v>
      </c>
      <c r="G990" s="12" t="s">
        <v>48</v>
      </c>
      <c r="H990" s="12" t="s">
        <v>87</v>
      </c>
      <c r="I990" s="22">
        <f t="shared" si="7"/>
        <v>45607.63416</v>
      </c>
      <c r="J990" s="20" t="b">
        <v>0</v>
      </c>
      <c r="K990" s="13" t="str">
        <f t="shared" si="2"/>
        <v/>
      </c>
    </row>
    <row r="991" ht="22.5" customHeight="1">
      <c r="B991" s="13">
        <f t="shared" si="3"/>
        <v>985</v>
      </c>
      <c r="C991" s="15" t="str">
        <f t="array" ref="C991">IFNA(_xlfn.XLOOKUP(B991,Table_Respons_Loket[Count],Table_Respons_Loket[Nomor Tiket]),"")</f>
        <v>K/10/081124/1</v>
      </c>
      <c r="D991" s="15" t="str">
        <f t="array" ref="D991">IFNA(_xlfn.XLOOKUP(B991,Table_Respons_Loket[Count],Table_Respons_Loket[Daftar Nomor Hak]),"")</f>
        <v>B. 4954, 4958/ Kali Balau Kencana</v>
      </c>
      <c r="E991" s="17">
        <f t="array" ref="E991">IFNA(_xlfn.XLOOKUP(B991,Table_Respons_Loket[Count],Table_Respons_Loket[Time Stamp]),"")</f>
        <v>45604.41584</v>
      </c>
      <c r="F991" s="18" t="str">
        <f t="array" ref="F991">IFNA(_xlfn.XLOOKUP(B991,Table_Respons_Loket[Count],Table_Respons_Loket[Jenis Permohonan]),"")</f>
        <v>ROYA</v>
      </c>
      <c r="G991" s="12" t="s">
        <v>48</v>
      </c>
      <c r="H991" s="12" t="s">
        <v>52</v>
      </c>
      <c r="I991" s="22">
        <f t="shared" si="7"/>
        <v>45607.63482</v>
      </c>
      <c r="J991" s="20" t="b">
        <v>0</v>
      </c>
      <c r="K991" s="13" t="str">
        <f t="shared" si="2"/>
        <v/>
      </c>
    </row>
    <row r="992" ht="22.5" customHeight="1">
      <c r="B992" s="13">
        <f t="shared" si="3"/>
        <v>986</v>
      </c>
      <c r="C992" s="15" t="str">
        <f t="array" ref="C992">IFNA(_xlfn.XLOOKUP(B992,Table_Respons_Loket[Count],Table_Respons_Loket[Nomor Tiket]),"")</f>
        <v>L/11/081124/1</v>
      </c>
      <c r="D992" s="15" t="str">
        <f t="array" ref="D992">IFNA(_xlfn.XLOOKUP(B992,Table_Respons_Loket[Count],Table_Respons_Loket[Daftar Nomor Hak]),"")</f>
        <v>HM 837/SUKARAME BARU</v>
      </c>
      <c r="E992" s="17">
        <f t="array" ref="E992">IFNA(_xlfn.XLOOKUP(B992,Table_Respons_Loket[Count],Table_Respons_Loket[Time Stamp]),"")</f>
        <v>45604.41921</v>
      </c>
      <c r="F992" s="18" t="str">
        <f t="array" ref="F992">IFNA(_xlfn.XLOOKUP(B992,Table_Respons_Loket[Count],Table_Respons_Loket[Jenis Permohonan]),"")</f>
        <v>ROYA LELANG</v>
      </c>
      <c r="G992" s="12" t="s">
        <v>48</v>
      </c>
      <c r="H992" s="12" t="s">
        <v>47</v>
      </c>
      <c r="I992" s="22" t="str">
        <f t="shared" si="7"/>
        <v/>
      </c>
      <c r="J992" s="20" t="b">
        <v>0</v>
      </c>
      <c r="K992" s="13" t="str">
        <f t="shared" si="2"/>
        <v/>
      </c>
    </row>
    <row r="993" ht="22.5" customHeight="1">
      <c r="B993" s="13">
        <f t="shared" si="3"/>
        <v>987</v>
      </c>
      <c r="C993" s="15" t="str">
        <f t="array" ref="C993">IFNA(_xlfn.XLOOKUP(B993,Table_Respons_Loket[Count],Table_Respons_Loket[Nomor Tiket]),"")</f>
        <v>K/4/081124/1</v>
      </c>
      <c r="D993" s="15" t="str">
        <f t="array" ref="D993">IFNA(_xlfn.XLOOKUP(B993,Table_Respons_Loket[Count],Table_Respons_Loket[Daftar Nomor Hak]),"")</f>
        <v>M. 1242/SUKABUMI INDAH</v>
      </c>
      <c r="E993" s="17">
        <f t="array" ref="E993">IFNA(_xlfn.XLOOKUP(B993,Table_Respons_Loket[Count],Table_Respons_Loket[Time Stamp]),"")</f>
        <v>45604.42506</v>
      </c>
      <c r="F993" s="18" t="str">
        <f t="array" ref="F993">IFNA(_xlfn.XLOOKUP(B993,Table_Respons_Loket[Count],Table_Respons_Loket[Jenis Permohonan]),"")</f>
        <v>BN JUAL BELI</v>
      </c>
      <c r="G993" s="12" t="s">
        <v>48</v>
      </c>
      <c r="H993" s="12" t="s">
        <v>52</v>
      </c>
      <c r="I993" s="22">
        <f t="shared" si="7"/>
        <v>45607.63633</v>
      </c>
      <c r="J993" s="20" t="b">
        <v>0</v>
      </c>
      <c r="K993" s="13" t="str">
        <f t="shared" si="2"/>
        <v/>
      </c>
    </row>
    <row r="994" ht="22.5" customHeight="1">
      <c r="B994" s="13">
        <f t="shared" si="3"/>
        <v>988</v>
      </c>
      <c r="C994" s="15" t="str">
        <f t="array" ref="C994">IFNA(_xlfn.XLOOKUP(B994,Table_Respons_Loket[Count],Table_Respons_Loket[Nomor Tiket]),"")</f>
        <v>K/12/081124/1</v>
      </c>
      <c r="D994" s="15" t="str">
        <f t="array" ref="D994">IFNA(_xlfn.XLOOKUP(B994,Table_Respons_Loket[Count],Table_Respons_Loket[Daftar Nomor Hak]),"")</f>
        <v>M. 2353/SUKARAME BARU-SEKARANG;M.17754/SUKARAME-DAHULU</v>
      </c>
      <c r="E994" s="17">
        <f t="array" ref="E994">IFNA(_xlfn.XLOOKUP(B994,Table_Respons_Loket[Count],Table_Respons_Loket[Time Stamp]),"")</f>
        <v>45604.44025</v>
      </c>
      <c r="F994" s="18" t="str">
        <f t="array" ref="F994">IFNA(_xlfn.XLOOKUP(B994,Table_Respons_Loket[Count],Table_Respons_Loket[Jenis Permohonan]),"")</f>
        <v>BN JUAL BELI</v>
      </c>
      <c r="G994" s="12" t="s">
        <v>48</v>
      </c>
      <c r="H994" s="12" t="s">
        <v>52</v>
      </c>
      <c r="I994" s="22">
        <f t="shared" si="7"/>
        <v>45607.63645</v>
      </c>
      <c r="J994" s="20" t="b">
        <v>0</v>
      </c>
      <c r="K994" s="13" t="str">
        <f t="shared" si="2"/>
        <v/>
      </c>
    </row>
    <row r="995" ht="22.5" customHeight="1">
      <c r="B995" s="13">
        <f t="shared" si="3"/>
        <v>989</v>
      </c>
      <c r="C995" s="15" t="str">
        <f t="array" ref="C995">IFNA(_xlfn.XLOOKUP(B995,Table_Respons_Loket[Count],Table_Respons_Loket[Nomor Tiket]),"")</f>
        <v>L/13/081124/1</v>
      </c>
      <c r="D995" s="15" t="str">
        <f t="array" ref="D995">IFNA(_xlfn.XLOOKUP(B995,Table_Respons_Loket[Count],Table_Respons_Loket[Daftar Nomor Hak]),"")</f>
        <v>HM 271/RAJABSA NUNYAI</v>
      </c>
      <c r="E995" s="17">
        <f t="array" ref="E995">IFNA(_xlfn.XLOOKUP(B995,Table_Respons_Loket[Count],Table_Respons_Loket[Time Stamp]),"")</f>
        <v>45604.4317</v>
      </c>
      <c r="F995" s="18" t="str">
        <f t="array" ref="F995">IFNA(_xlfn.XLOOKUP(B995,Table_Respons_Loket[Count],Table_Respons_Loket[Jenis Permohonan]),"")</f>
        <v>ROYA</v>
      </c>
      <c r="G995" s="12" t="s">
        <v>48</v>
      </c>
      <c r="H995" s="12" t="s">
        <v>52</v>
      </c>
      <c r="I995" s="22">
        <f t="shared" si="7"/>
        <v>45607.63689</v>
      </c>
      <c r="J995" s="20" t="b">
        <v>0</v>
      </c>
      <c r="K995" s="13" t="str">
        <f t="shared" si="2"/>
        <v/>
      </c>
    </row>
    <row r="996" ht="22.5" customHeight="1">
      <c r="B996" s="13">
        <f t="shared" si="3"/>
        <v>990</v>
      </c>
      <c r="C996" s="15" t="str">
        <f t="array" ref="C996">IFNA(_xlfn.XLOOKUP(B996,Table_Respons_Loket[Count],Table_Respons_Loket[Nomor Tiket]),"")</f>
        <v>K/14/081124/1</v>
      </c>
      <c r="D996" s="15" t="str">
        <f t="array" ref="D996">IFNA(_xlfn.XLOOKUP(B996,Table_Respons_Loket[Count],Table_Respons_Loket[Daftar Nomor Hak]),"")</f>
        <v>B.223/NEGERI OLOK GADING</v>
      </c>
      <c r="E996" s="17">
        <f t="array" ref="E996">IFNA(_xlfn.XLOOKUP(B996,Table_Respons_Loket[Count],Table_Respons_Loket[Time Stamp]),"")</f>
        <v>45604.43986</v>
      </c>
      <c r="F996" s="18" t="str">
        <f t="array" ref="F996">IFNA(_xlfn.XLOOKUP(B996,Table_Respons_Loket[Count],Table_Respons_Loket[Jenis Permohonan]),"")</f>
        <v>PENDAFTARAN SK PERPANJANGAN </v>
      </c>
      <c r="G996" s="12" t="s">
        <v>48</v>
      </c>
      <c r="H996" s="12" t="s">
        <v>52</v>
      </c>
      <c r="I996" s="22">
        <f t="shared" si="7"/>
        <v>45607.63701</v>
      </c>
      <c r="J996" s="20" t="b">
        <v>0</v>
      </c>
      <c r="K996" s="13" t="str">
        <f t="shared" si="2"/>
        <v/>
      </c>
    </row>
    <row r="997" ht="22.5" customHeight="1">
      <c r="B997" s="13">
        <f t="shared" si="3"/>
        <v>991</v>
      </c>
      <c r="C997" s="15" t="str">
        <f t="array" ref="C997">IFNA(_xlfn.XLOOKUP(B997,Table_Respons_Loket[Count],Table_Respons_Loket[Nomor Tiket]),"")</f>
        <v>K/15/081124/1</v>
      </c>
      <c r="D997" s="15" t="str">
        <f t="array" ref="D997">IFNA(_xlfn.XLOOKUP(B997,Table_Respons_Loket[Count],Table_Respons_Loket[Daftar Nomor Hak]),"")</f>
        <v>NIBEL M. 2040/HARAPAN JAYA</v>
      </c>
      <c r="E997" s="17">
        <f t="array" ref="E997">IFNA(_xlfn.XLOOKUP(B997,Table_Respons_Loket[Count],Table_Respons_Loket[Time Stamp]),"")</f>
        <v>45604.44138</v>
      </c>
      <c r="F997" s="18" t="str">
        <f t="array" ref="F997">IFNA(_xlfn.XLOOKUP(B997,Table_Respons_Loket[Count],Table_Respons_Loket[Jenis Permohonan]),"")</f>
        <v>GANDES</v>
      </c>
      <c r="G997" s="24"/>
      <c r="H997" s="24"/>
      <c r="I997" s="22" t="str">
        <f t="shared" si="7"/>
        <v/>
      </c>
      <c r="J997" s="20" t="b">
        <v>0</v>
      </c>
      <c r="K997" s="13" t="str">
        <f t="shared" si="2"/>
        <v/>
      </c>
    </row>
    <row r="998" ht="22.5" customHeight="1">
      <c r="B998" s="13">
        <f t="shared" si="3"/>
        <v>992</v>
      </c>
      <c r="C998" s="15" t="str">
        <f t="array" ref="C998">IFNA(_xlfn.XLOOKUP(B998,Table_Respons_Loket[Count],Table_Respons_Loket[Nomor Tiket]),"")</f>
        <v>K/16/081124/2</v>
      </c>
      <c r="D998" s="15" t="str">
        <f t="array" ref="D998">IFNA(_xlfn.XLOOKUP(B998,Table_Respons_Loket[Count],Table_Respons_Loket[Daftar Nomor Hak]),"")</f>
        <v>NIBEL. M 2976/KORPRI RAYA</v>
      </c>
      <c r="E998" s="17">
        <f t="array" ref="E998">IFNA(_xlfn.XLOOKUP(B998,Table_Respons_Loket[Count],Table_Respons_Loket[Time Stamp]),"")</f>
        <v>45604.44263</v>
      </c>
      <c r="F998" s="18" t="str">
        <f t="array" ref="F998">IFNA(_xlfn.XLOOKUP(B998,Table_Respons_Loket[Count],Table_Respons_Loket[Jenis Permohonan]),"")</f>
        <v>GANDES</v>
      </c>
      <c r="G998" s="24"/>
      <c r="H998" s="24"/>
      <c r="I998" s="22" t="str">
        <f t="shared" si="7"/>
        <v/>
      </c>
      <c r="J998" s="20" t="b">
        <v>0</v>
      </c>
      <c r="K998" s="13" t="str">
        <f t="shared" si="2"/>
        <v/>
      </c>
    </row>
    <row r="999" ht="22.5" customHeight="1">
      <c r="B999" s="13">
        <f t="shared" si="3"/>
        <v>993</v>
      </c>
      <c r="C999" s="15" t="str">
        <f t="array" ref="C999">IFNA(_xlfn.XLOOKUP(B999,Table_Respons_Loket[Count],Table_Respons_Loket[Nomor Tiket]),"")</f>
        <v>L/17/081124/1</v>
      </c>
      <c r="D999" s="15" t="str">
        <f t="array" ref="D999">IFNA(_xlfn.XLOOKUP(B999,Table_Respons_Loket[Count],Table_Respons_Loket[Daftar Nomor Hak]),"")</f>
        <v>HM 1134/GULAK GALIK</v>
      </c>
      <c r="E999" s="17">
        <f t="array" ref="E999">IFNA(_xlfn.XLOOKUP(B999,Table_Respons_Loket[Count],Table_Respons_Loket[Time Stamp]),"")</f>
        <v>45604.44797</v>
      </c>
      <c r="F999" s="18" t="str">
        <f t="array" ref="F999">IFNA(_xlfn.XLOOKUP(B999,Table_Respons_Loket[Count],Table_Respons_Loket[Jenis Permohonan]),"")</f>
        <v>PENATAAN BATAS</v>
      </c>
      <c r="G999" s="12" t="s">
        <v>48</v>
      </c>
      <c r="H999" s="12" t="s">
        <v>52</v>
      </c>
      <c r="I999" s="22">
        <f t="shared" si="7"/>
        <v>45608.44742</v>
      </c>
      <c r="J999" s="20" t="b">
        <v>0</v>
      </c>
      <c r="K999" s="13" t="str">
        <f t="shared" si="2"/>
        <v/>
      </c>
    </row>
    <row r="1000" ht="22.5" customHeight="1">
      <c r="B1000" s="13">
        <f t="shared" si="3"/>
        <v>994</v>
      </c>
      <c r="C1000" s="15" t="str">
        <f t="array" ref="C1000">IFNA(_xlfn.XLOOKUP(B1000,Table_Respons_Loket[Count],Table_Respons_Loket[Nomor Tiket]),"")</f>
        <v>K/18/081124/1</v>
      </c>
      <c r="D1000" s="15" t="str">
        <f t="array" ref="D1000">IFNA(_xlfn.XLOOKUP(B1000,Table_Respons_Loket[Count],Table_Respons_Loket[Daftar Nomor Hak]),"")</f>
        <v>M. 1479/ Serengsem</v>
      </c>
      <c r="E1000" s="17">
        <f t="array" ref="E1000">IFNA(_xlfn.XLOOKUP(B1000,Table_Respons_Loket[Count],Table_Respons_Loket[Time Stamp]),"")</f>
        <v>45604.45212</v>
      </c>
      <c r="F1000" s="18" t="str">
        <f t="array" ref="F1000">IFNA(_xlfn.XLOOKUP(B1000,Table_Respons_Loket[Count],Table_Respons_Loket[Jenis Permohonan]),"")</f>
        <v>SKPT Lelang</v>
      </c>
      <c r="G1000" s="24"/>
      <c r="H1000" s="24"/>
      <c r="I1000" s="22" t="str">
        <f t="shared" si="7"/>
        <v/>
      </c>
      <c r="J1000" s="20" t="b">
        <v>0</v>
      </c>
      <c r="K1000" s="13" t="str">
        <f t="shared" si="2"/>
        <v/>
      </c>
    </row>
    <row r="1001" ht="22.5" customHeight="1">
      <c r="B1001" s="13">
        <f t="shared" si="3"/>
        <v>995</v>
      </c>
      <c r="C1001" s="15" t="str">
        <f t="array" ref="C1001">IFNA(_xlfn.XLOOKUP(B1001,Table_Respons_Loket[Count],Table_Respons_Loket[Nomor Tiket]),"")</f>
        <v>K/19/081124/1</v>
      </c>
      <c r="D1001" s="15" t="str">
        <f t="array" ref="D1001">IFNA(_xlfn.XLOOKUP(B1001,Table_Respons_Loket[Count],Table_Respons_Loket[Daftar Nomor Hak]),"")</f>
        <v>Nibel 8260/ Negeri Olok gading</v>
      </c>
      <c r="E1001" s="17">
        <f t="array" ref="E1001">IFNA(_xlfn.XLOOKUP(B1001,Table_Respons_Loket[Count],Table_Respons_Loket[Time Stamp]),"")</f>
        <v>45604.45392</v>
      </c>
      <c r="F1001" s="18" t="str">
        <f t="array" ref="F1001">IFNA(_xlfn.XLOOKUP(B1001,Table_Respons_Loket[Count],Table_Respons_Loket[Jenis Permohonan]),"")</f>
        <v>BN LELANG</v>
      </c>
      <c r="G1001" s="24"/>
      <c r="H1001" s="24"/>
      <c r="I1001" s="22" t="str">
        <f t="shared" si="7"/>
        <v/>
      </c>
      <c r="J1001" s="20" t="b">
        <v>0</v>
      </c>
      <c r="K1001" s="13" t="str">
        <f t="shared" si="2"/>
        <v/>
      </c>
    </row>
    <row r="1002" ht="22.5" customHeight="1">
      <c r="B1002" s="13">
        <f t="shared" si="3"/>
        <v>996</v>
      </c>
      <c r="C1002" s="15" t="str">
        <f t="array" ref="C1002">IFNA(_xlfn.XLOOKUP(B1002,Table_Respons_Loket[Count],Table_Respons_Loket[Nomor Tiket]),"")</f>
        <v>K/20/081124/1</v>
      </c>
      <c r="D1002" s="15" t="str">
        <f t="array" ref="D1002">IFNA(_xlfn.XLOOKUP(B1002,Table_Respons_Loket[Count],Table_Respons_Loket[Daftar Nomor Hak]),"")</f>
        <v>M.1712/RAJABASA NUNYAI</v>
      </c>
      <c r="E1002" s="17">
        <f t="array" ref="E1002">IFNA(_xlfn.XLOOKUP(B1002,Table_Respons_Loket[Count],Table_Respons_Loket[Time Stamp]),"")</f>
        <v>45604.45757</v>
      </c>
      <c r="F1002" s="18" t="str">
        <f t="array" ref="F1002">IFNA(_xlfn.XLOOKUP(B1002,Table_Respons_Loket[Count],Table_Respons_Loket[Jenis Permohonan]),"")</f>
        <v>HAR NELI DEWI/ISMARINA</v>
      </c>
      <c r="G1002" s="12" t="s">
        <v>48</v>
      </c>
      <c r="H1002" s="12" t="s">
        <v>52</v>
      </c>
      <c r="I1002" s="22">
        <f t="shared" si="7"/>
        <v>45607.63737</v>
      </c>
      <c r="J1002" s="20" t="b">
        <v>0</v>
      </c>
      <c r="K1002" s="13" t="str">
        <f t="shared" si="2"/>
        <v/>
      </c>
    </row>
    <row r="1003" ht="22.5" customHeight="1">
      <c r="B1003" s="13">
        <f t="shared" si="3"/>
        <v>997</v>
      </c>
      <c r="C1003" s="15" t="str">
        <f t="array" ref="C1003">IFNA(_xlfn.XLOOKUP(B1003,Table_Respons_Loket[Count],Table_Respons_Loket[Nomor Tiket]),"")</f>
        <v>K/21/081124/1</v>
      </c>
      <c r="D1003" s="15" t="str">
        <f t="array" ref="D1003">IFNA(_xlfn.XLOOKUP(B1003,Table_Respons_Loket[Count],Table_Respons_Loket[Daftar Nomor Hak]),"")</f>
        <v>M. N12856/ RAJABASA</v>
      </c>
      <c r="E1003" s="17">
        <f t="array" ref="E1003">IFNA(_xlfn.XLOOKUP(B1003,Table_Respons_Loket[Count],Table_Respons_Loket[Time Stamp]),"")</f>
        <v>45604.4616</v>
      </c>
      <c r="F1003" s="18" t="str">
        <f t="array" ref="F1003">IFNA(_xlfn.XLOOKUP(B1003,Table_Respons_Loket[Count],Table_Respons_Loket[Jenis Permohonan]),"")</f>
        <v>GANTI KELURAHAN</v>
      </c>
      <c r="G1003" s="24"/>
      <c r="H1003" s="24"/>
      <c r="I1003" s="22" t="str">
        <f t="shared" si="7"/>
        <v/>
      </c>
      <c r="J1003" s="20" t="b">
        <v>0</v>
      </c>
      <c r="K1003" s="13" t="str">
        <f t="shared" si="2"/>
        <v/>
      </c>
    </row>
    <row r="1004" ht="22.5" customHeight="1">
      <c r="B1004" s="13">
        <f t="shared" si="3"/>
        <v>998</v>
      </c>
      <c r="C1004" s="15" t="str">
        <f t="array" ref="C1004">IFNA(_xlfn.XLOOKUP(B1004,Table_Respons_Loket[Count],Table_Respons_Loket[Nomor Tiket]),"")</f>
        <v>K/22/081124/2</v>
      </c>
      <c r="D1004" s="15" t="str">
        <f t="array" ref="D1004">IFNA(_xlfn.XLOOKUP(B1004,Table_Respons_Loket[Count],Table_Respons_Loket[Daftar Nomor Hak]),"")</f>
        <v>M. 12543/ Tanjung Baru</v>
      </c>
      <c r="E1004" s="17">
        <f t="array" ref="E1004">IFNA(_xlfn.XLOOKUP(B1004,Table_Respons_Loket[Count],Table_Respons_Loket[Time Stamp]),"")</f>
        <v>45604.46248</v>
      </c>
      <c r="F1004" s="18" t="str">
        <f t="array" ref="F1004">IFNA(_xlfn.XLOOKUP(B1004,Table_Respons_Loket[Count],Table_Respons_Loket[Jenis Permohonan]),"")</f>
        <v>GANTI KELURAHAN</v>
      </c>
      <c r="G1004" s="24"/>
      <c r="H1004" s="24"/>
      <c r="I1004" s="22" t="str">
        <f t="shared" si="7"/>
        <v/>
      </c>
      <c r="J1004" s="20" t="b">
        <v>0</v>
      </c>
      <c r="K1004" s="13" t="str">
        <f t="shared" si="2"/>
        <v/>
      </c>
    </row>
    <row r="1005" ht="22.5" customHeight="1">
      <c r="B1005" s="13">
        <f t="shared" si="3"/>
        <v>999</v>
      </c>
      <c r="C1005" s="15" t="str">
        <f t="array" ref="C1005">IFNA(_xlfn.XLOOKUP(B1005,Table_Respons_Loket[Count],Table_Respons_Loket[Nomor Tiket]),"")</f>
        <v>K/23/081124/1</v>
      </c>
      <c r="D1005" s="15" t="str">
        <f t="array" ref="D1005">IFNA(_xlfn.XLOOKUP(B1005,Table_Respons_Loket[Count],Table_Respons_Loket[Daftar Nomor Hak]),"")</f>
        <v>Nibel 1229/ Labuhan Dalam</v>
      </c>
      <c r="E1005" s="17">
        <f t="array" ref="E1005">IFNA(_xlfn.XLOOKUP(B1005,Table_Respons_Loket[Count],Table_Respons_Loket[Time Stamp]),"")</f>
        <v>45604.46453</v>
      </c>
      <c r="F1005" s="18" t="str">
        <f t="array" ref="F1005">IFNA(_xlfn.XLOOKUP(B1005,Table_Respons_Loket[Count],Table_Respons_Loket[Jenis Permohonan]),"")</f>
        <v>BN JUAL BELI</v>
      </c>
      <c r="G1005" s="24"/>
      <c r="H1005" s="24"/>
      <c r="I1005" s="22" t="str">
        <f t="shared" si="7"/>
        <v/>
      </c>
      <c r="J1005" s="20" t="b">
        <v>0</v>
      </c>
      <c r="K1005" s="13" t="str">
        <f t="shared" si="2"/>
        <v/>
      </c>
    </row>
    <row r="1006" ht="22.5" customHeight="1">
      <c r="B1006" s="13">
        <f t="shared" si="3"/>
        <v>1000</v>
      </c>
      <c r="C1006" s="15" t="str">
        <f t="array" ref="C1006">IFNA(_xlfn.XLOOKUP(B1006,Table_Respons_Loket[Count],Table_Respons_Loket[Nomor Tiket]),"")</f>
        <v>K/24/081124/2</v>
      </c>
      <c r="D1006" s="15" t="str">
        <f t="array" ref="D1006">IFNA(_xlfn.XLOOKUP(B1006,Table_Respons_Loket[Count],Table_Respons_Loket[Daftar Nomor Hak]),"")</f>
        <v>M. 813/WAY DADI- SEKARANG; M. 13188/SUKARAME I</v>
      </c>
      <c r="E1006" s="17">
        <f t="array" ref="E1006">IFNA(_xlfn.XLOOKUP(B1006,Table_Respons_Loket[Count],Table_Respons_Loket[Time Stamp]),"")</f>
        <v>45604.46836</v>
      </c>
      <c r="F1006" s="18" t="str">
        <f t="array" ref="F1006">IFNA(_xlfn.XLOOKUP(B1006,Table_Respons_Loket[Count],Table_Respons_Loket[Jenis Permohonan]),"")</f>
        <v>BN JUAL BELI</v>
      </c>
      <c r="G1006" s="12" t="s">
        <v>50</v>
      </c>
      <c r="H1006" s="12" t="s">
        <v>47</v>
      </c>
      <c r="I1006" s="22" t="str">
        <f t="shared" si="7"/>
        <v/>
      </c>
      <c r="J1006" s="20" t="b">
        <v>0</v>
      </c>
      <c r="K1006" s="13" t="str">
        <f t="shared" si="2"/>
        <v/>
      </c>
    </row>
    <row r="1007" ht="22.5" customHeight="1">
      <c r="B1007" s="13">
        <f t="shared" si="3"/>
        <v>1001</v>
      </c>
      <c r="C1007" s="15" t="str">
        <f t="array" ref="C1007">IFNA(_xlfn.XLOOKUP(B1007,Table_Respons_Loket[Count],Table_Respons_Loket[Nomor Tiket]),"")</f>
        <v>K/25/081124/1</v>
      </c>
      <c r="D1007" s="15" t="str">
        <f t="array" ref="D1007">IFNA(_xlfn.XLOOKUP(B1007,Table_Respons_Loket[Count],Table_Respons_Loket[Daftar Nomor Hak]),"")</f>
        <v>M. 2076/ Kota Baru</v>
      </c>
      <c r="E1007" s="17">
        <f t="array" ref="E1007">IFNA(_xlfn.XLOOKUP(B1007,Table_Respons_Loket[Count],Table_Respons_Loket[Time Stamp]),"")</f>
        <v>45604.47065</v>
      </c>
      <c r="F1007" s="18" t="str">
        <f t="array" ref="F1007">IFNA(_xlfn.XLOOKUP(B1007,Table_Respons_Loket[Count],Table_Respons_Loket[Jenis Permohonan]),"")</f>
        <v>BN JUAL BELI</v>
      </c>
      <c r="G1007" s="12" t="s">
        <v>50</v>
      </c>
      <c r="H1007" s="12" t="s">
        <v>52</v>
      </c>
      <c r="I1007" s="22">
        <f t="shared" si="7"/>
        <v>45607.63833</v>
      </c>
      <c r="J1007" s="20" t="b">
        <v>0</v>
      </c>
      <c r="K1007" s="13" t="str">
        <f t="shared" si="2"/>
        <v/>
      </c>
    </row>
    <row r="1008" ht="22.5" customHeight="1">
      <c r="B1008" s="13">
        <f t="shared" si="3"/>
        <v>1002</v>
      </c>
      <c r="C1008" s="15" t="str">
        <f t="array" ref="C1008">IFNA(_xlfn.XLOOKUP(B1008,Table_Respons_Loket[Count],Table_Respons_Loket[Nomor Tiket]),"")</f>
        <v>K/26/081124/2</v>
      </c>
      <c r="D1008" s="15" t="str">
        <f t="array" ref="D1008">IFNA(_xlfn.XLOOKUP(B1008,Table_Respons_Loket[Count],Table_Respons_Loket[Daftar Nomor Hak]),"")</f>
        <v>M.1711/RAJABASA NUNYAI</v>
      </c>
      <c r="E1008" s="17">
        <f t="array" ref="E1008">IFNA(_xlfn.XLOOKUP(B1008,Table_Respons_Loket[Count],Table_Respons_Loket[Time Stamp]),"")</f>
        <v>45604.56383</v>
      </c>
      <c r="F1008" s="18" t="str">
        <f t="array" ref="F1008">IFNA(_xlfn.XLOOKUP(B1008,Table_Respons_Loket[Count],Table_Respons_Loket[Jenis Permohonan]),"")</f>
        <v>BN JUAL BELI</v>
      </c>
      <c r="G1008" s="12" t="s">
        <v>50</v>
      </c>
      <c r="H1008" s="12" t="s">
        <v>52</v>
      </c>
      <c r="I1008" s="22">
        <f t="shared" si="7"/>
        <v>45607.63878</v>
      </c>
      <c r="J1008" s="20" t="b">
        <v>0</v>
      </c>
      <c r="K1008" s="13" t="str">
        <f t="shared" si="2"/>
        <v/>
      </c>
    </row>
    <row r="1009" ht="22.5" customHeight="1">
      <c r="B1009" s="13">
        <f t="shared" si="3"/>
        <v>1003</v>
      </c>
      <c r="C1009" s="15" t="str">
        <f t="array" ref="C1009">IFNA(_xlfn.XLOOKUP(B1009,Table_Respons_Loket[Count],Table_Respons_Loket[Nomor Tiket]),"")</f>
        <v>L/27/081124/1</v>
      </c>
      <c r="D1009" s="15" t="str">
        <f t="array" ref="D1009">IFNA(_xlfn.XLOOKUP(B1009,Table_Respons_Loket[Count],Table_Respons_Loket[Daftar Nomor Hak]),"")</f>
        <v>HM 683/JAGABAYA III</v>
      </c>
      <c r="E1009" s="17">
        <f t="array" ref="E1009">IFNA(_xlfn.XLOOKUP(B1009,Table_Respons_Loket[Count],Table_Respons_Loket[Time Stamp]),"")</f>
        <v>45604.56508</v>
      </c>
      <c r="F1009" s="18" t="str">
        <f t="array" ref="F1009">IFNA(_xlfn.XLOOKUP(B1009,Table_Respons_Loket[Count],Table_Respons_Loket[Jenis Permohonan]),"")</f>
        <v>ROYA</v>
      </c>
      <c r="G1009" s="12" t="s">
        <v>50</v>
      </c>
      <c r="H1009" s="12" t="s">
        <v>87</v>
      </c>
      <c r="I1009" s="22">
        <f t="shared" si="7"/>
        <v>45607.63897</v>
      </c>
      <c r="J1009" s="20" t="b">
        <v>0</v>
      </c>
      <c r="K1009" s="13" t="str">
        <f t="shared" si="2"/>
        <v/>
      </c>
    </row>
    <row r="1010" ht="22.5" customHeight="1">
      <c r="B1010" s="13">
        <f t="shared" si="3"/>
        <v>1004</v>
      </c>
      <c r="C1010" s="15" t="str">
        <f t="array" ref="C1010">IFNA(_xlfn.XLOOKUP(B1010,Table_Respons_Loket[Count],Table_Respons_Loket[Nomor Tiket]),"")</f>
        <v>K/28/081124/1</v>
      </c>
      <c r="D1010" s="15" t="str">
        <f t="array" ref="D1010">IFNA(_xlfn.XLOOKUP(B1010,Table_Respons_Loket[Count],Table_Respons_Loket[Daftar Nomor Hak]),"")</f>
        <v>M. 1079/ JAGABAYA III</v>
      </c>
      <c r="E1010" s="17">
        <f t="array" ref="E1010">IFNA(_xlfn.XLOOKUP(B1010,Table_Respons_Loket[Count],Table_Respons_Loket[Time Stamp]),"")</f>
        <v>45604.56871</v>
      </c>
      <c r="F1010" s="18" t="str">
        <f t="array" ref="F1010">IFNA(_xlfn.XLOOKUP(B1010,Table_Respons_Loket[Count],Table_Respons_Loket[Jenis Permohonan]),"")</f>
        <v>GANTI KECAMATAN</v>
      </c>
      <c r="G1010" s="24"/>
      <c r="H1010" s="24"/>
      <c r="I1010" s="22" t="str">
        <f t="shared" si="7"/>
        <v/>
      </c>
      <c r="J1010" s="20" t="b">
        <v>0</v>
      </c>
      <c r="K1010" s="13" t="str">
        <f t="shared" si="2"/>
        <v/>
      </c>
    </row>
    <row r="1011" ht="22.5" customHeight="1">
      <c r="B1011" s="13">
        <f t="shared" si="3"/>
        <v>1005</v>
      </c>
      <c r="C1011" s="15" t="str">
        <f t="array" ref="C1011">IFNA(_xlfn.XLOOKUP(B1011,Table_Respons_Loket[Count],Table_Respons_Loket[Nomor Tiket]),"")</f>
        <v> K/29/081124/2</v>
      </c>
      <c r="D1011" s="15" t="str">
        <f t="array" ref="D1011">IFNA(_xlfn.XLOOKUP(B1011,Table_Respons_Loket[Count],Table_Respons_Loket[Daftar Nomor Hak]),"")</f>
        <v>M. 2329/ SEPANG JAYA</v>
      </c>
      <c r="E1011" s="17">
        <f t="array" ref="E1011">IFNA(_xlfn.XLOOKUP(B1011,Table_Respons_Loket[Count],Table_Respons_Loket[Time Stamp]),"")</f>
        <v>45604.56991</v>
      </c>
      <c r="F1011" s="18" t="str">
        <f t="array" ref="F1011">IFNA(_xlfn.XLOOKUP(B1011,Table_Respons_Loket[Count],Table_Respons_Loket[Jenis Permohonan]),"")</f>
        <v>PENGECEKKAN</v>
      </c>
      <c r="G1011" s="24"/>
      <c r="H1011" s="24"/>
      <c r="I1011" s="22" t="str">
        <f t="shared" si="7"/>
        <v/>
      </c>
      <c r="J1011" s="20" t="b">
        <v>0</v>
      </c>
      <c r="K1011" s="13" t="str">
        <f t="shared" si="2"/>
        <v/>
      </c>
    </row>
    <row r="1012" ht="22.5" customHeight="1">
      <c r="B1012" s="13">
        <f t="shared" si="3"/>
        <v>1006</v>
      </c>
      <c r="C1012" s="15" t="str">
        <f t="array" ref="C1012">IFNA(_xlfn.XLOOKUP(B1012,Table_Respons_Loket[Count],Table_Respons_Loket[Nomor Tiket]),"")</f>
        <v>K/30/081124/3</v>
      </c>
      <c r="D1012" s="15" t="str">
        <f t="array" ref="D1012">IFNA(_xlfn.XLOOKUP(B1012,Table_Respons_Loket[Count],Table_Respons_Loket[Daftar Nomor Hak]),"")</f>
        <v>M. 695/ RAJABASA NUNYAI</v>
      </c>
      <c r="E1012" s="17">
        <f t="array" ref="E1012">IFNA(_xlfn.XLOOKUP(B1012,Table_Respons_Loket[Count],Table_Respons_Loket[Time Stamp]),"")</f>
        <v>45604.5967</v>
      </c>
      <c r="F1012" s="18" t="str">
        <f t="array" ref="F1012">IFNA(_xlfn.XLOOKUP(B1012,Table_Respons_Loket[Count],Table_Respons_Loket[Jenis Permohonan]),"")</f>
        <v>PENGECEKKAN</v>
      </c>
      <c r="G1012" s="24"/>
      <c r="H1012" s="24"/>
      <c r="I1012" s="22" t="str">
        <f t="shared" si="7"/>
        <v/>
      </c>
      <c r="J1012" s="20" t="b">
        <v>0</v>
      </c>
      <c r="K1012" s="13" t="str">
        <f t="shared" si="2"/>
        <v/>
      </c>
    </row>
    <row r="1013" ht="22.5" customHeight="1">
      <c r="B1013" s="13">
        <f t="shared" si="3"/>
        <v>1007</v>
      </c>
      <c r="C1013" s="15" t="str">
        <f t="array" ref="C1013">IFNA(_xlfn.XLOOKUP(B1013,Table_Respons_Loket[Count],Table_Respons_Loket[Nomor Tiket]),"")</f>
        <v>K/31/081124/1</v>
      </c>
      <c r="D1013" s="15" t="str">
        <f t="array" ref="D1013">IFNA(_xlfn.XLOOKUP(B1013,Table_Respons_Loket[Count],Table_Respons_Loket[Daftar Nomor Hak]),"")</f>
        <v>M.301/PERUMNAS WAY KANDIS-SEKARANG;B.695/WAY KANDIS </v>
      </c>
      <c r="E1013" s="17">
        <f t="array" ref="E1013">IFNA(_xlfn.XLOOKUP(B1013,Table_Respons_Loket[Count],Table_Respons_Loket[Time Stamp]),"")</f>
        <v>45604.57412</v>
      </c>
      <c r="F1013" s="18" t="str">
        <f t="array" ref="F1013">IFNA(_xlfn.XLOOKUP(B1013,Table_Respons_Loket[Count],Table_Respons_Loket[Jenis Permohonan]),"")</f>
        <v>PLOTING </v>
      </c>
      <c r="G1013" s="24"/>
      <c r="H1013" s="24"/>
      <c r="I1013" s="22" t="str">
        <f t="shared" si="7"/>
        <v/>
      </c>
      <c r="J1013" s="20" t="b">
        <v>0</v>
      </c>
      <c r="K1013" s="13" t="str">
        <f t="shared" si="2"/>
        <v/>
      </c>
    </row>
    <row r="1014" ht="22.5" customHeight="1">
      <c r="B1014" s="13">
        <f t="shared" si="3"/>
        <v>1008</v>
      </c>
      <c r="C1014" s="15" t="str">
        <f t="array" ref="C1014">IFNA(_xlfn.XLOOKUP(B1014,Table_Respons_Loket[Count],Table_Respons_Loket[Nomor Tiket]),"")</f>
        <v>K/32/081124/2</v>
      </c>
      <c r="D1014" s="15" t="str">
        <f t="array" ref="D1014">IFNA(_xlfn.XLOOKUP(B1014,Table_Respons_Loket[Count],Table_Respons_Loket[Daftar Nomor Hak]),"")</f>
        <v>M.970/KUPANG KOTA</v>
      </c>
      <c r="E1014" s="17">
        <f t="array" ref="E1014">IFNA(_xlfn.XLOOKUP(B1014,Table_Respons_Loket[Count],Table_Respons_Loket[Time Stamp]),"")</f>
        <v>45604.57553</v>
      </c>
      <c r="F1014" s="18" t="str">
        <f t="array" ref="F1014">IFNA(_xlfn.XLOOKUP(B1014,Table_Respons_Loket[Count],Table_Respons_Loket[Jenis Permohonan]),"")</f>
        <v>PLOTING</v>
      </c>
      <c r="G1014" s="24"/>
      <c r="H1014" s="24"/>
      <c r="I1014" s="22" t="str">
        <f t="shared" si="7"/>
        <v/>
      </c>
      <c r="J1014" s="20" t="b">
        <v>0</v>
      </c>
      <c r="K1014" s="13" t="str">
        <f t="shared" si="2"/>
        <v/>
      </c>
    </row>
    <row r="1015" ht="22.5" customHeight="1">
      <c r="B1015" s="13">
        <f t="shared" si="3"/>
        <v>1009</v>
      </c>
      <c r="C1015" s="15" t="str">
        <f t="array" ref="C1015">IFNA(_xlfn.XLOOKUP(B1015,Table_Respons_Loket[Count],Table_Respons_Loket[Nomor Tiket]),"")</f>
        <v>K/33/081124/3</v>
      </c>
      <c r="D1015" s="15" t="str">
        <f t="array" ref="D1015">IFNA(_xlfn.XLOOKUP(B1015,Table_Respons_Loket[Count],Table_Respons_Loket[Daftar Nomor Hak]),"")</f>
        <v>M.6974/TANJUNG SENENG</v>
      </c>
      <c r="E1015" s="17">
        <f t="array" ref="E1015">IFNA(_xlfn.XLOOKUP(B1015,Table_Respons_Loket[Count],Table_Respons_Loket[Time Stamp]),"")</f>
        <v>45604.57622</v>
      </c>
      <c r="F1015" s="18" t="str">
        <f t="array" ref="F1015">IFNA(_xlfn.XLOOKUP(B1015,Table_Respons_Loket[Count],Table_Respons_Loket[Jenis Permohonan]),"")</f>
        <v>PENGECEKAN</v>
      </c>
      <c r="G1015" s="24"/>
      <c r="H1015" s="24"/>
      <c r="I1015" s="22" t="str">
        <f t="shared" si="7"/>
        <v/>
      </c>
      <c r="J1015" s="20" t="b">
        <v>0</v>
      </c>
      <c r="K1015" s="13" t="str">
        <f t="shared" si="2"/>
        <v/>
      </c>
    </row>
    <row r="1016" ht="22.5" customHeight="1">
      <c r="B1016" s="13">
        <f t="shared" si="3"/>
        <v>1010</v>
      </c>
      <c r="C1016" s="15" t="str">
        <f t="array" ref="C1016">IFNA(_xlfn.XLOOKUP(B1016,Table_Respons_Loket[Count],Table_Respons_Loket[Nomor Tiket]),"")</f>
        <v>K/34/081124/4</v>
      </c>
      <c r="D1016" s="15" t="str">
        <f t="array" ref="D1016">IFNA(_xlfn.XLOOKUP(B1016,Table_Respons_Loket[Count],Table_Respons_Loket[Daftar Nomor Hak]),"")</f>
        <v>M.6814/TANJUNG SENENG</v>
      </c>
      <c r="E1016" s="17">
        <f t="array" ref="E1016">IFNA(_xlfn.XLOOKUP(B1016,Table_Respons_Loket[Count],Table_Respons_Loket[Time Stamp]),"")</f>
        <v>45604.57691</v>
      </c>
      <c r="F1016" s="18" t="str">
        <f t="array" ref="F1016">IFNA(_xlfn.XLOOKUP(B1016,Table_Respons_Loket[Count],Table_Respons_Loket[Jenis Permohonan]),"")</f>
        <v>PENGECEKAN</v>
      </c>
      <c r="G1016" s="24"/>
      <c r="H1016" s="24"/>
      <c r="I1016" s="22" t="str">
        <f t="shared" si="7"/>
        <v/>
      </c>
      <c r="J1016" s="20" t="b">
        <v>0</v>
      </c>
      <c r="K1016" s="13" t="str">
        <f t="shared" si="2"/>
        <v/>
      </c>
    </row>
    <row r="1017" ht="22.5" customHeight="1">
      <c r="B1017" s="13">
        <f t="shared" si="3"/>
        <v>1011</v>
      </c>
      <c r="C1017" s="15" t="str">
        <f t="array" ref="C1017">IFNA(_xlfn.XLOOKUP(B1017,Table_Respons_Loket[Count],Table_Respons_Loket[Nomor Tiket]),"")</f>
        <v>K/35/081124/5</v>
      </c>
      <c r="D1017" s="15" t="str">
        <f t="array" ref="D1017">IFNA(_xlfn.XLOOKUP(B1017,Table_Respons_Loket[Count],Table_Respons_Loket[Daftar Nomor Hak]),"")</f>
        <v>M.6867/TANJUNG SENENG</v>
      </c>
      <c r="E1017" s="17">
        <f t="array" ref="E1017">IFNA(_xlfn.XLOOKUP(B1017,Table_Respons_Loket[Count],Table_Respons_Loket[Time Stamp]),"")</f>
        <v>45604.57775</v>
      </c>
      <c r="F1017" s="18" t="str">
        <f t="array" ref="F1017">IFNA(_xlfn.XLOOKUP(B1017,Table_Respons_Loket[Count],Table_Respons_Loket[Jenis Permohonan]),"")</f>
        <v>BN JUAL BELI</v>
      </c>
      <c r="G1017" s="12" t="s">
        <v>50</v>
      </c>
      <c r="H1017" s="12" t="s">
        <v>52</v>
      </c>
      <c r="I1017" s="22">
        <f t="shared" si="7"/>
        <v>45607.63952</v>
      </c>
      <c r="J1017" s="20" t="b">
        <v>0</v>
      </c>
      <c r="K1017" s="13" t="str">
        <f t="shared" si="2"/>
        <v/>
      </c>
    </row>
    <row r="1018" ht="22.5" customHeight="1">
      <c r="B1018" s="13">
        <f t="shared" si="3"/>
        <v>1012</v>
      </c>
      <c r="C1018" s="15" t="str">
        <f t="array" ref="C1018">IFNA(_xlfn.XLOOKUP(B1018,Table_Respons_Loket[Count],Table_Respons_Loket[Nomor Tiket]),"")</f>
        <v>K/36/081124/1</v>
      </c>
      <c r="D1018" s="15" t="str">
        <f t="array" ref="D1018">IFNA(_xlfn.XLOOKUP(B1018,Table_Respons_Loket[Count],Table_Respons_Loket[Daftar Nomor Hak]),"")</f>
        <v>M. 6416/WAY KANDIS</v>
      </c>
      <c r="E1018" s="17">
        <f t="array" ref="E1018">IFNA(_xlfn.XLOOKUP(B1018,Table_Respons_Loket[Count],Table_Respons_Loket[Time Stamp]),"")</f>
        <v>45604.57912</v>
      </c>
      <c r="F1018" s="18" t="str">
        <f t="array" ref="F1018">IFNA(_xlfn.XLOOKUP(B1018,Table_Respons_Loket[Count],Table_Respons_Loket[Jenis Permohonan]),"")</f>
        <v>BN JUAL BELI</v>
      </c>
      <c r="G1018" s="12" t="s">
        <v>50</v>
      </c>
      <c r="H1018" s="12" t="s">
        <v>52</v>
      </c>
      <c r="I1018" s="22">
        <f t="shared" si="7"/>
        <v>45607.64261</v>
      </c>
      <c r="J1018" s="20" t="b">
        <v>0</v>
      </c>
      <c r="K1018" s="13" t="str">
        <f t="shared" si="2"/>
        <v/>
      </c>
    </row>
    <row r="1019" ht="22.5" customHeight="1">
      <c r="B1019" s="13">
        <f t="shared" si="3"/>
        <v>1013</v>
      </c>
      <c r="C1019" s="15" t="str">
        <f t="array" ref="C1019">IFNA(_xlfn.XLOOKUP(B1019,Table_Respons_Loket[Count],Table_Respons_Loket[Nomor Tiket]),"")</f>
        <v>K/39/081124/1</v>
      </c>
      <c r="D1019" s="15" t="str">
        <f t="array" ref="D1019">IFNA(_xlfn.XLOOKUP(B1019,Table_Respons_Loket[Count],Table_Respons_Loket[Daftar Nomor Hak]),"")</f>
        <v>Nibel. M.3301/ Tanjung Senang</v>
      </c>
      <c r="E1019" s="17">
        <f t="array" ref="E1019">IFNA(_xlfn.XLOOKUP(B1019,Table_Respons_Loket[Count],Table_Respons_Loket[Time Stamp]),"")</f>
        <v>45604.57957</v>
      </c>
      <c r="F1019" s="18" t="str">
        <f t="array" ref="F1019">IFNA(_xlfn.XLOOKUP(B1019,Table_Respons_Loket[Count],Table_Respons_Loket[Jenis Permohonan]),"")</f>
        <v>BN Lelang</v>
      </c>
      <c r="G1019" s="24"/>
      <c r="H1019" s="24"/>
      <c r="I1019" s="22" t="str">
        <f t="shared" si="7"/>
        <v/>
      </c>
      <c r="J1019" s="20" t="b">
        <v>0</v>
      </c>
      <c r="K1019" s="13" t="str">
        <f t="shared" si="2"/>
        <v/>
      </c>
    </row>
    <row r="1020" ht="22.5" customHeight="1">
      <c r="B1020" s="13">
        <f t="shared" si="3"/>
        <v>1014</v>
      </c>
      <c r="C1020" s="15" t="str">
        <f t="array" ref="C1020">IFNA(_xlfn.XLOOKUP(B1020,Table_Respons_Loket[Count],Table_Respons_Loket[Nomor Tiket]),"")</f>
        <v>K/37/081124/2</v>
      </c>
      <c r="D1020" s="15" t="str">
        <f t="array" ref="D1020">IFNA(_xlfn.XLOOKUP(B1020,Table_Respons_Loket[Count],Table_Respons_Loket[Daftar Nomor Hak]),"")</f>
        <v>NIBEL M. 6180/PELITA</v>
      </c>
      <c r="E1020" s="17">
        <f t="array" ref="E1020">IFNA(_xlfn.XLOOKUP(B1020,Table_Respons_Loket[Count],Table_Respons_Loket[Time Stamp]),"")</f>
        <v>45604.57999</v>
      </c>
      <c r="F1020" s="18" t="str">
        <f t="array" ref="F1020">IFNA(_xlfn.XLOOKUP(B1020,Table_Respons_Loket[Count],Table_Respons_Loket[Jenis Permohonan]),"")</f>
        <v>BN JUAL BELI</v>
      </c>
      <c r="G1020" s="24"/>
      <c r="H1020" s="24"/>
      <c r="I1020" s="22" t="str">
        <f t="shared" si="7"/>
        <v/>
      </c>
      <c r="J1020" s="20" t="b">
        <v>0</v>
      </c>
      <c r="K1020" s="13" t="str">
        <f t="shared" si="2"/>
        <v/>
      </c>
    </row>
    <row r="1021" ht="22.5" customHeight="1">
      <c r="B1021" s="13">
        <f t="shared" si="3"/>
        <v>1015</v>
      </c>
      <c r="C1021" s="15" t="str">
        <f t="array" ref="C1021">IFNA(_xlfn.XLOOKUP(B1021,Table_Respons_Loket[Count],Table_Respons_Loket[Nomor Tiket]),"")</f>
        <v>K/38/081124/3</v>
      </c>
      <c r="D1021" s="15" t="str">
        <f t="array" ref="D1021">IFNA(_xlfn.XLOOKUP(B1021,Table_Respons_Loket[Count],Table_Respons_Loket[Daftar Nomor Hak]),"")</f>
        <v>NIBEL M. 6138/PELITA</v>
      </c>
      <c r="E1021" s="17">
        <f t="array" ref="E1021">IFNA(_xlfn.XLOOKUP(B1021,Table_Respons_Loket[Count],Table_Respons_Loket[Time Stamp]),"")</f>
        <v>45604.58062</v>
      </c>
      <c r="F1021" s="18" t="str">
        <f t="array" ref="F1021">IFNA(_xlfn.XLOOKUP(B1021,Table_Respons_Loket[Count],Table_Respons_Loket[Jenis Permohonan]),"")</f>
        <v>BN JUAL BELI</v>
      </c>
      <c r="G1021" s="24"/>
      <c r="H1021" s="24"/>
      <c r="I1021" s="22" t="str">
        <f t="shared" si="7"/>
        <v/>
      </c>
      <c r="J1021" s="20" t="b">
        <v>0</v>
      </c>
      <c r="K1021" s="13" t="str">
        <f t="shared" si="2"/>
        <v/>
      </c>
    </row>
    <row r="1022" ht="22.5" customHeight="1">
      <c r="B1022" s="13">
        <f t="shared" si="3"/>
        <v>1016</v>
      </c>
      <c r="C1022" s="15" t="str">
        <f t="array" ref="C1022">IFNA(_xlfn.XLOOKUP(B1022,Table_Respons_Loket[Count],Table_Respons_Loket[Nomor Tiket]),"")</f>
        <v>K/40/081124/1</v>
      </c>
      <c r="D1022" s="15" t="str">
        <f t="array" ref="D1022">IFNA(_xlfn.XLOOKUP(B1022,Table_Respons_Loket[Count],Table_Respons_Loket[Daftar Nomor Hak]),"")</f>
        <v>M. 70/ Garuntang</v>
      </c>
      <c r="E1022" s="17">
        <f t="array" ref="E1022">IFNA(_xlfn.XLOOKUP(B1022,Table_Respons_Loket[Count],Table_Respons_Loket[Time Stamp]),"")</f>
        <v>45604.5865</v>
      </c>
      <c r="F1022" s="18" t="str">
        <f t="array" ref="F1022">IFNA(_xlfn.XLOOKUP(B1022,Table_Respons_Loket[Count],Table_Respons_Loket[Jenis Permohonan]),"")</f>
        <v>BN Waris</v>
      </c>
      <c r="G1022" s="12" t="s">
        <v>50</v>
      </c>
      <c r="H1022" s="12" t="s">
        <v>47</v>
      </c>
      <c r="I1022" s="22" t="str">
        <f t="shared" si="7"/>
        <v/>
      </c>
      <c r="J1022" s="20" t="b">
        <v>0</v>
      </c>
      <c r="K1022" s="13" t="str">
        <f t="shared" si="2"/>
        <v/>
      </c>
    </row>
    <row r="1023" ht="22.5" customHeight="1">
      <c r="B1023" s="13">
        <f t="shared" si="3"/>
        <v>1017</v>
      </c>
      <c r="C1023" s="15" t="str">
        <f t="array" ref="C1023">IFNA(_xlfn.XLOOKUP(B1023,Table_Respons_Loket[Count],Table_Respons_Loket[Nomor Tiket]),"")</f>
        <v>K/41/081124/1</v>
      </c>
      <c r="D1023" s="15" t="str">
        <f t="array" ref="D1023">IFNA(_xlfn.XLOOKUP(B1023,Table_Respons_Loket[Count],Table_Respons_Loket[Daftar Nomor Hak]),"")</f>
        <v>M. 72/ LANGKAPURA BARU</v>
      </c>
      <c r="E1023" s="17">
        <f t="array" ref="E1023">IFNA(_xlfn.XLOOKUP(B1023,Table_Respons_Loket[Count],Table_Respons_Loket[Time Stamp]),"")</f>
        <v>45604.58964</v>
      </c>
      <c r="F1023" s="18" t="str">
        <f t="array" ref="F1023">IFNA(_xlfn.XLOOKUP(B1023,Table_Respons_Loket[Count],Table_Respons_Loket[Jenis Permohonan]),"")</f>
        <v>PLOTTING</v>
      </c>
      <c r="G1023" s="24"/>
      <c r="H1023" s="24"/>
      <c r="I1023" s="22" t="str">
        <f t="shared" si="7"/>
        <v/>
      </c>
      <c r="J1023" s="20" t="b">
        <v>0</v>
      </c>
      <c r="K1023" s="13" t="str">
        <f t="shared" si="2"/>
        <v/>
      </c>
    </row>
    <row r="1024" ht="22.5" customHeight="1">
      <c r="B1024" s="13">
        <f t="shared" si="3"/>
        <v>1018</v>
      </c>
      <c r="C1024" s="15" t="str">
        <f t="array" ref="C1024">IFNA(_xlfn.XLOOKUP(B1024,Table_Respons_Loket[Count],Table_Respons_Loket[Nomor Tiket]),"")</f>
        <v>K/42/081124/1</v>
      </c>
      <c r="D1024" s="15" t="str">
        <f t="array" ref="D1024">IFNA(_xlfn.XLOOKUP(B1024,Table_Respons_Loket[Count],Table_Respons_Loket[Daftar Nomor Hak]),"")</f>
        <v>M.4432/GUNUNG TERANG </v>
      </c>
      <c r="E1024" s="17">
        <f t="array" ref="E1024">IFNA(_xlfn.XLOOKUP(B1024,Table_Respons_Loket[Count],Table_Respons_Loket[Time Stamp]),"")</f>
        <v>45604.59226</v>
      </c>
      <c r="F1024" s="18" t="str">
        <f t="array" ref="F1024">IFNA(_xlfn.XLOOKUP(B1024,Table_Respons_Loket[Count],Table_Respons_Loket[Jenis Permohonan]),"")</f>
        <v>KEWARISAN </v>
      </c>
      <c r="G1024" s="12" t="s">
        <v>50</v>
      </c>
      <c r="H1024" s="12" t="s">
        <v>52</v>
      </c>
      <c r="I1024" s="22">
        <f t="shared" si="7"/>
        <v>45607.64324</v>
      </c>
      <c r="J1024" s="20" t="b">
        <v>0</v>
      </c>
      <c r="K1024" s="13" t="str">
        <f t="shared" si="2"/>
        <v/>
      </c>
    </row>
    <row r="1025" ht="22.5" customHeight="1">
      <c r="B1025" s="13">
        <f t="shared" si="3"/>
        <v>1019</v>
      </c>
      <c r="C1025" s="15" t="str">
        <f t="array" ref="C1025">IFNA(_xlfn.XLOOKUP(B1025,Table_Respons_Loket[Count],Table_Respons_Loket[Nomor Tiket]),"")</f>
        <v>K/43/081124/1</v>
      </c>
      <c r="D1025" s="15" t="str">
        <f t="array" ref="D1025">IFNA(_xlfn.XLOOKUP(B1025,Table_Respons_Loket[Count],Table_Respons_Loket[Daftar Nomor Hak]),"")</f>
        <v>M. 1322/ Labuhan Dalam</v>
      </c>
      <c r="E1025" s="17">
        <f t="array" ref="E1025">IFNA(_xlfn.XLOOKUP(B1025,Table_Respons_Loket[Count],Table_Respons_Loket[Time Stamp]),"")</f>
        <v>45604.59775</v>
      </c>
      <c r="F1025" s="18" t="str">
        <f t="array" ref="F1025">IFNA(_xlfn.XLOOKUP(B1025,Table_Respons_Loket[Count],Table_Respons_Loket[Jenis Permohonan]),"")</f>
        <v>ROYA</v>
      </c>
      <c r="G1025" s="12" t="s">
        <v>50</v>
      </c>
      <c r="H1025" s="12" t="s">
        <v>87</v>
      </c>
      <c r="I1025" s="22">
        <f t="shared" si="7"/>
        <v>45607.64374</v>
      </c>
      <c r="J1025" s="20" t="b">
        <v>0</v>
      </c>
      <c r="K1025" s="13" t="str">
        <f t="shared" si="2"/>
        <v/>
      </c>
    </row>
    <row r="1026" ht="22.5" customHeight="1">
      <c r="B1026" s="13">
        <f t="shared" si="3"/>
        <v>1020</v>
      </c>
      <c r="C1026" s="15" t="str">
        <f t="array" ref="C1026">IFNA(_xlfn.XLOOKUP(B1026,Table_Respons_Loket[Count],Table_Respons_Loket[Nomor Tiket]),"")</f>
        <v>K/44/081124/2</v>
      </c>
      <c r="D1026" s="15" t="str">
        <f t="array" ref="D1026">IFNA(_xlfn.XLOOKUP(B1026,Table_Respons_Loket[Count],Table_Respons_Loket[Daftar Nomor Hak]),"")</f>
        <v>M. 9662/ KEDAMAIAN</v>
      </c>
      <c r="E1026" s="17">
        <f t="array" ref="E1026">IFNA(_xlfn.XLOOKUP(B1026,Table_Respons_Loket[Count],Table_Respons_Loket[Time Stamp]),"")</f>
        <v>45604.603</v>
      </c>
      <c r="F1026" s="18" t="str">
        <f t="array" ref="F1026">IFNA(_xlfn.XLOOKUP(B1026,Table_Respons_Loket[Count],Table_Respons_Loket[Jenis Permohonan]),"")</f>
        <v>GANTI KECAMATAN</v>
      </c>
      <c r="G1026" s="24"/>
      <c r="H1026" s="24"/>
      <c r="I1026" s="22" t="str">
        <f t="shared" si="7"/>
        <v/>
      </c>
      <c r="J1026" s="20" t="b">
        <v>0</v>
      </c>
      <c r="K1026" s="13" t="str">
        <f t="shared" si="2"/>
        <v/>
      </c>
    </row>
    <row r="1027" ht="22.5" customHeight="1">
      <c r="B1027" s="13">
        <f t="shared" si="3"/>
        <v>1021</v>
      </c>
      <c r="C1027" s="15" t="str">
        <f t="array" ref="C1027">IFNA(_xlfn.XLOOKUP(B1027,Table_Respons_Loket[Count],Table_Respons_Loket[Nomor Tiket]),"")</f>
        <v>L/45/081124/1</v>
      </c>
      <c r="D1027" s="15" t="str">
        <f t="array" ref="D1027">IFNA(_xlfn.XLOOKUP(B1027,Table_Respons_Loket[Count],Table_Respons_Loket[Daftar Nomor Hak]),"")</f>
        <v>HGB 4249/BERINGIN RAYA</v>
      </c>
      <c r="E1027" s="17">
        <f t="array" ref="E1027">IFNA(_xlfn.XLOOKUP(B1027,Table_Respons_Loket[Count],Table_Respons_Loket[Time Stamp]),"")</f>
        <v>45604.60696</v>
      </c>
      <c r="F1027" s="18" t="str">
        <f t="array" ref="F1027">IFNA(_xlfn.XLOOKUP(B1027,Table_Respons_Loket[Count],Table_Respons_Loket[Jenis Permohonan]),"")</f>
        <v>GANDES</v>
      </c>
      <c r="G1027" s="24"/>
      <c r="H1027" s="24"/>
      <c r="I1027" s="22" t="str">
        <f t="shared" si="7"/>
        <v/>
      </c>
      <c r="J1027" s="20" t="b">
        <v>0</v>
      </c>
      <c r="K1027" s="13" t="str">
        <f t="shared" si="2"/>
        <v/>
      </c>
    </row>
    <row r="1028" ht="22.5" customHeight="1">
      <c r="B1028" s="13">
        <f t="shared" si="3"/>
        <v>1022</v>
      </c>
      <c r="C1028" s="15" t="str">
        <f t="array" ref="C1028">IFNA(_xlfn.XLOOKUP(B1028,Table_Respons_Loket[Count],Table_Respons_Loket[Nomor Tiket]),"")</f>
        <v>K/47/081124/1</v>
      </c>
      <c r="D1028" s="15" t="str">
        <f t="array" ref="D1028">IFNA(_xlfn.XLOOKUP(B1028,Table_Respons_Loket[Count],Table_Respons_Loket[Daftar Nomor Hak]),"")</f>
        <v>M.2593/CAMPANG RAYA-SEKARANG;B.2035/CAMPANG RAYA-DAHULU</v>
      </c>
      <c r="E1028" s="17">
        <f t="array" ref="E1028">IFNA(_xlfn.XLOOKUP(B1028,Table_Respons_Loket[Count],Table_Respons_Loket[Time Stamp]),"")</f>
        <v>45604.61389</v>
      </c>
      <c r="F1028" s="18" t="str">
        <f t="array" ref="F1028">IFNA(_xlfn.XLOOKUP(B1028,Table_Respons_Loket[Count],Table_Respons_Loket[Jenis Permohonan]),"")</f>
        <v>ROYA</v>
      </c>
      <c r="G1028" s="12" t="s">
        <v>50</v>
      </c>
      <c r="H1028" s="12" t="s">
        <v>52</v>
      </c>
      <c r="I1028" s="22">
        <f t="shared" si="7"/>
        <v>45607.64396</v>
      </c>
      <c r="J1028" s="20" t="b">
        <v>0</v>
      </c>
      <c r="K1028" s="13" t="str">
        <f t="shared" si="2"/>
        <v/>
      </c>
    </row>
    <row r="1029" ht="22.5" customHeight="1">
      <c r="B1029" s="13">
        <f t="shared" si="3"/>
        <v>1023</v>
      </c>
      <c r="C1029" s="15" t="str">
        <f t="array" ref="C1029">IFNA(_xlfn.XLOOKUP(B1029,Table_Respons_Loket[Count],Table_Respons_Loket[Nomor Tiket]),"")</f>
        <v>K/46/081124/1</v>
      </c>
      <c r="D1029" s="15" t="str">
        <f t="array" ref="D1029">IFNA(_xlfn.XLOOKUP(B1029,Table_Respons_Loket[Count],Table_Respons_Loket[Daftar Nomor Hak]),"")</f>
        <v>M. 1450/ Kupang Teba</v>
      </c>
      <c r="E1029" s="17">
        <f t="array" ref="E1029">IFNA(_xlfn.XLOOKUP(B1029,Table_Respons_Loket[Count],Table_Respons_Loket[Time Stamp]),"")</f>
        <v>45604.61834</v>
      </c>
      <c r="F1029" s="18" t="str">
        <f t="array" ref="F1029">IFNA(_xlfn.XLOOKUP(B1029,Table_Respons_Loket[Count],Table_Respons_Loket[Jenis Permohonan]),"")</f>
        <v>BN Jual Beli</v>
      </c>
      <c r="G1029" s="12" t="s">
        <v>50</v>
      </c>
      <c r="H1029" s="12" t="s">
        <v>52</v>
      </c>
      <c r="I1029" s="22">
        <f t="shared" si="7"/>
        <v>45607.64424</v>
      </c>
      <c r="J1029" s="20" t="b">
        <v>0</v>
      </c>
      <c r="K1029" s="13" t="str">
        <f t="shared" si="2"/>
        <v/>
      </c>
    </row>
    <row r="1030" ht="22.5" customHeight="1">
      <c r="B1030" s="13">
        <f t="shared" si="3"/>
        <v>1024</v>
      </c>
      <c r="C1030" s="15" t="str">
        <f t="array" ref="C1030">IFNA(_xlfn.XLOOKUP(B1030,Table_Respons_Loket[Count],Table_Respons_Loket[Nomor Tiket]),"")</f>
        <v>K/48/081124/1</v>
      </c>
      <c r="D1030" s="15" t="str">
        <f t="array" ref="D1030">IFNA(_xlfn.XLOOKUP(B1030,Table_Respons_Loket[Count],Table_Respons_Loket[Daftar Nomor Hak]),"")</f>
        <v>M.1114/PEMATANG WANGI</v>
      </c>
      <c r="E1030" s="17">
        <f t="array" ref="E1030">IFNA(_xlfn.XLOOKUP(B1030,Table_Respons_Loket[Count],Table_Respons_Loket[Time Stamp]),"")</f>
        <v>45604.62036</v>
      </c>
      <c r="F1030" s="18" t="str">
        <f t="array" ref="F1030">IFNA(_xlfn.XLOOKUP(B1030,Table_Respons_Loket[Count],Table_Respons_Loket[Jenis Permohonan]),"")</f>
        <v>PENGECEKAN</v>
      </c>
      <c r="G1030" s="24"/>
      <c r="H1030" s="24"/>
      <c r="I1030" s="22" t="str">
        <f t="shared" si="7"/>
        <v/>
      </c>
      <c r="J1030" s="20" t="b">
        <v>0</v>
      </c>
      <c r="K1030" s="13" t="str">
        <f t="shared" si="2"/>
        <v/>
      </c>
    </row>
    <row r="1031" ht="22.5" customHeight="1">
      <c r="B1031" s="13">
        <f t="shared" si="3"/>
        <v>1025</v>
      </c>
      <c r="C1031" s="15" t="str">
        <f t="array" ref="C1031">IFNA(_xlfn.XLOOKUP(B1031,Table_Respons_Loket[Count],Table_Respons_Loket[Nomor Tiket]),"")</f>
        <v>K/49/081124/1</v>
      </c>
      <c r="D1031" s="15" t="str">
        <f t="array" ref="D1031">IFNA(_xlfn.XLOOKUP(B1031,Table_Respons_Loket[Count],Table_Respons_Loket[Daftar Nomor Hak]),"")</f>
        <v>M. 3493/ Kota Baru</v>
      </c>
      <c r="E1031" s="17">
        <f t="array" ref="E1031">IFNA(_xlfn.XLOOKUP(B1031,Table_Respons_Loket[Count],Table_Respons_Loket[Time Stamp]),"")</f>
        <v>45604.62502</v>
      </c>
      <c r="F1031" s="18" t="str">
        <f t="array" ref="F1031">IFNA(_xlfn.XLOOKUP(B1031,Table_Respons_Loket[Count],Table_Respons_Loket[Jenis Permohonan]),"")</f>
        <v>BN JUAL BELI</v>
      </c>
      <c r="G1031" s="12" t="s">
        <v>50</v>
      </c>
      <c r="H1031" s="12" t="s">
        <v>52</v>
      </c>
      <c r="I1031" s="22">
        <f t="shared" si="7"/>
        <v>45607.64445</v>
      </c>
      <c r="J1031" s="20" t="b">
        <v>0</v>
      </c>
      <c r="K1031" s="13" t="str">
        <f t="shared" si="2"/>
        <v/>
      </c>
    </row>
    <row r="1032" ht="22.5" customHeight="1">
      <c r="B1032" s="13">
        <f t="shared" si="3"/>
        <v>1026</v>
      </c>
      <c r="C1032" s="15" t="str">
        <f t="array" ref="C1032">IFNA(_xlfn.XLOOKUP(B1032,Table_Respons_Loket[Count],Table_Respons_Loket[Nomor Tiket]),"")</f>
        <v>K/50/081124/1</v>
      </c>
      <c r="D1032" s="15" t="str">
        <f t="array" ref="D1032">IFNA(_xlfn.XLOOKUP(B1032,Table_Respons_Loket[Count],Table_Respons_Loket[Daftar Nomor Hak]),"")</f>
        <v>B. 1183/ Sukabumi Indah</v>
      </c>
      <c r="E1032" s="17">
        <f t="array" ref="E1032">IFNA(_xlfn.XLOOKUP(B1032,Table_Respons_Loket[Count],Table_Respons_Loket[Time Stamp]),"")</f>
        <v>45604.63241</v>
      </c>
      <c r="F1032" s="18" t="str">
        <f t="array" ref="F1032">IFNA(_xlfn.XLOOKUP(B1032,Table_Respons_Loket[Count],Table_Respons_Loket[Jenis Permohonan]),"")</f>
        <v>Pengukuran HGB Berakhir</v>
      </c>
      <c r="G1032" s="24"/>
      <c r="H1032" s="24"/>
      <c r="I1032" s="22" t="str">
        <f t="shared" si="7"/>
        <v/>
      </c>
      <c r="J1032" s="20" t="b">
        <v>0</v>
      </c>
      <c r="K1032" s="13" t="str">
        <f t="shared" si="2"/>
        <v/>
      </c>
    </row>
    <row r="1033" ht="22.5" customHeight="1">
      <c r="B1033" s="13">
        <f t="shared" si="3"/>
        <v>1027</v>
      </c>
      <c r="C1033" s="15" t="str">
        <f t="array" ref="C1033">IFNA(_xlfn.XLOOKUP(B1033,Table_Respons_Loket[Count],Table_Respons_Loket[Nomor Tiket]),"")</f>
        <v>K/51/081124/1</v>
      </c>
      <c r="D1033" s="15" t="str">
        <f t="array" ref="D1033">IFNA(_xlfn.XLOOKUP(B1033,Table_Respons_Loket[Count],Table_Respons_Loket[Daftar Nomor Hak]),"")</f>
        <v>M. 541/ SAWAH LAMA</v>
      </c>
      <c r="E1033" s="17">
        <f t="array" ref="E1033">IFNA(_xlfn.XLOOKUP(B1033,Table_Respons_Loket[Count],Table_Respons_Loket[Time Stamp]),"")</f>
        <v>45604.63318</v>
      </c>
      <c r="F1033" s="18" t="str">
        <f t="array" ref="F1033">IFNA(_xlfn.XLOOKUP(B1033,Table_Respons_Loket[Count],Table_Respons_Loket[Jenis Permohonan]),"")</f>
        <v>BN HIBAH</v>
      </c>
      <c r="G1033" s="12" t="s">
        <v>50</v>
      </c>
      <c r="H1033" s="12" t="s">
        <v>52</v>
      </c>
      <c r="I1033" s="22">
        <f t="shared" si="7"/>
        <v>45607.64484</v>
      </c>
      <c r="J1033" s="20" t="b">
        <v>0</v>
      </c>
      <c r="K1033" s="13" t="str">
        <f t="shared" si="2"/>
        <v/>
      </c>
    </row>
    <row r="1034" ht="22.5" customHeight="1">
      <c r="B1034" s="13">
        <f t="shared" si="3"/>
        <v>1028</v>
      </c>
      <c r="C1034" s="15" t="str">
        <f t="array" ref="C1034">IFNA(_xlfn.XLOOKUP(B1034,Table_Respons_Loket[Count],Table_Respons_Loket[Nomor Tiket]),"")</f>
        <v>K/52/081124/2</v>
      </c>
      <c r="D1034" s="15" t="str">
        <f t="array" ref="D1034">IFNA(_xlfn.XLOOKUP(B1034,Table_Respons_Loket[Count],Table_Respons_Loket[Daftar Nomor Hak]),"")</f>
        <v>M. 19646/ Sukarame</v>
      </c>
      <c r="E1034" s="17">
        <f t="array" ref="E1034">IFNA(_xlfn.XLOOKUP(B1034,Table_Respons_Loket[Count],Table_Respons_Loket[Time Stamp]),"")</f>
        <v>45604.63924</v>
      </c>
      <c r="F1034" s="18" t="str">
        <f t="array" ref="F1034">IFNA(_xlfn.XLOOKUP(B1034,Table_Respons_Loket[Count],Table_Respons_Loket[Jenis Permohonan]),"")</f>
        <v>BN Jual Beli</v>
      </c>
      <c r="G1034" s="12" t="s">
        <v>50</v>
      </c>
      <c r="H1034" s="12" t="s">
        <v>52</v>
      </c>
      <c r="I1034" s="22">
        <f t="shared" si="7"/>
        <v>45607.64503</v>
      </c>
      <c r="J1034" s="20" t="b">
        <v>0</v>
      </c>
      <c r="K1034" s="13" t="str">
        <f t="shared" si="2"/>
        <v/>
      </c>
    </row>
    <row r="1035" ht="22.5" customHeight="1">
      <c r="B1035" s="13">
        <f t="shared" si="3"/>
        <v>1029</v>
      </c>
      <c r="C1035" s="15" t="str">
        <f t="array" ref="C1035">IFNA(_xlfn.XLOOKUP(B1035,Table_Respons_Loket[Count],Table_Respons_Loket[Nomor Tiket]),"")</f>
        <v>K/53/081124/1</v>
      </c>
      <c r="D1035" s="15" t="str">
        <f t="array" ref="D1035">IFNA(_xlfn.XLOOKUP(B1035,Table_Respons_Loket[Count],Table_Respons_Loket[Daftar Nomor Hak]),"")</f>
        <v>M. 324/ Korpri Raya</v>
      </c>
      <c r="E1035" s="17">
        <f t="array" ref="E1035">IFNA(_xlfn.XLOOKUP(B1035,Table_Respons_Loket[Count],Table_Respons_Loket[Time Stamp]),"")</f>
        <v>45604.64218</v>
      </c>
      <c r="F1035" s="18" t="str">
        <f t="array" ref="F1035">IFNA(_xlfn.XLOOKUP(B1035,Table_Respons_Loket[Count],Table_Respons_Loket[Jenis Permohonan]),"")</f>
        <v>BN Hibah</v>
      </c>
      <c r="G1035" s="12" t="s">
        <v>50</v>
      </c>
      <c r="H1035" s="12" t="s">
        <v>52</v>
      </c>
      <c r="I1035" s="22">
        <f t="shared" si="7"/>
        <v>45607.64522</v>
      </c>
      <c r="J1035" s="20" t="b">
        <v>0</v>
      </c>
      <c r="K1035" s="13" t="str">
        <f t="shared" si="2"/>
        <v/>
      </c>
    </row>
    <row r="1036" ht="22.5" customHeight="1">
      <c r="B1036" s="13">
        <f t="shared" si="3"/>
        <v>1030</v>
      </c>
      <c r="C1036" s="15" t="str">
        <f t="array" ref="C1036">IFNA(_xlfn.XLOOKUP(B1036,Table_Respons_Loket[Count],Table_Respons_Loket[Nomor Tiket]),"")</f>
        <v>K/1/091124/1</v>
      </c>
      <c r="D1036" s="15" t="str">
        <f t="array" ref="D1036">IFNA(_xlfn.XLOOKUP(B1036,Table_Respons_Loket[Count],Table_Respons_Loket[Daftar Nomor Hak]),"")</f>
        <v>M. 9754/KEDAMAIAN</v>
      </c>
      <c r="E1036" s="17">
        <f t="array" ref="E1036">IFNA(_xlfn.XLOOKUP(B1036,Table_Respons_Loket[Count],Table_Respons_Loket[Time Stamp]),"")</f>
        <v>45607.37377</v>
      </c>
      <c r="F1036" s="18" t="str">
        <f t="array" ref="F1036">IFNA(_xlfn.XLOOKUP(B1036,Table_Respons_Loket[Count],Table_Respons_Loket[Jenis Permohonan]),"")</f>
        <v>PLOTTING</v>
      </c>
      <c r="G1036" s="24"/>
      <c r="H1036" s="24"/>
      <c r="I1036" s="22" t="str">
        <f t="shared" si="7"/>
        <v/>
      </c>
      <c r="J1036" s="20" t="b">
        <v>0</v>
      </c>
      <c r="K1036" s="13" t="str">
        <f t="shared" si="2"/>
        <v/>
      </c>
    </row>
    <row r="1037" ht="22.5" customHeight="1">
      <c r="B1037" s="13">
        <f t="shared" si="3"/>
        <v>1031</v>
      </c>
      <c r="C1037" s="15" t="str">
        <f t="array" ref="C1037">IFNA(_xlfn.XLOOKUP(B1037,Table_Respons_Loket[Count],Table_Respons_Loket[Nomor Tiket]),"")</f>
        <v>K/2/111124/1</v>
      </c>
      <c r="D1037" s="15" t="str">
        <f t="array" ref="D1037">IFNA(_xlfn.XLOOKUP(B1037,Table_Respons_Loket[Count],Table_Respons_Loket[Daftar Nomor Hak]),"")</f>
        <v>Nibel 3185/ Beringin Raya</v>
      </c>
      <c r="E1037" s="17">
        <f t="array" ref="E1037">IFNA(_xlfn.XLOOKUP(B1037,Table_Respons_Loket[Count],Table_Respons_Loket[Time Stamp]),"")</f>
        <v>45607.42112</v>
      </c>
      <c r="F1037" s="18" t="str">
        <f t="array" ref="F1037">IFNA(_xlfn.XLOOKUP(B1037,Table_Respons_Loket[Count],Table_Respons_Loket[Jenis Permohonan]),"")</f>
        <v>BN JUAL BELI</v>
      </c>
      <c r="G1037" s="24"/>
      <c r="H1037" s="24"/>
      <c r="I1037" s="22" t="str">
        <f t="shared" si="7"/>
        <v/>
      </c>
      <c r="J1037" s="20" t="b">
        <v>0</v>
      </c>
      <c r="K1037" s="13" t="str">
        <f t="shared" si="2"/>
        <v/>
      </c>
    </row>
    <row r="1038" ht="22.5" customHeight="1">
      <c r="B1038" s="13">
        <f t="shared" si="3"/>
        <v>1032</v>
      </c>
      <c r="C1038" s="15" t="str">
        <f t="array" ref="C1038">IFNA(_xlfn.XLOOKUP(B1038,Table_Respons_Loket[Count],Table_Respons_Loket[Nomor Tiket]),"")</f>
        <v>L/3/111124/1</v>
      </c>
      <c r="D1038" s="15" t="str">
        <f t="array" ref="D1038">IFNA(_xlfn.XLOOKUP(B1038,Table_Respons_Loket[Count],Table_Respons_Loket[Daftar Nomor Hak]),"")</f>
        <v>HM 11988/LABUHAN RATU</v>
      </c>
      <c r="E1038" s="17">
        <f t="array" ref="E1038">IFNA(_xlfn.XLOOKUP(B1038,Table_Respons_Loket[Count],Table_Respons_Loket[Time Stamp]),"")</f>
        <v>45607.38601</v>
      </c>
      <c r="F1038" s="18" t="str">
        <f t="array" ref="F1038">IFNA(_xlfn.XLOOKUP(B1038,Table_Respons_Loket[Count],Table_Respons_Loket[Jenis Permohonan]),"")</f>
        <v>ROYA</v>
      </c>
      <c r="G1038" s="12" t="s">
        <v>50</v>
      </c>
      <c r="H1038" s="12" t="s">
        <v>47</v>
      </c>
      <c r="I1038" s="22" t="str">
        <f t="shared" si="7"/>
        <v/>
      </c>
      <c r="J1038" s="20" t="b">
        <v>0</v>
      </c>
      <c r="K1038" s="13" t="str">
        <f t="shared" si="2"/>
        <v/>
      </c>
    </row>
    <row r="1039" ht="22.5" customHeight="1">
      <c r="B1039" s="13">
        <f t="shared" si="3"/>
        <v>1033</v>
      </c>
      <c r="C1039" s="15" t="str">
        <f t="array" ref="C1039">IFNA(_xlfn.XLOOKUP(B1039,Table_Respons_Loket[Count],Table_Respons_Loket[Nomor Tiket]),"")</f>
        <v>K/4/111124/1</v>
      </c>
      <c r="D1039" s="15" t="str">
        <f t="array" ref="D1039">IFNA(_xlfn.XLOOKUP(B1039,Table_Respons_Loket[Count],Table_Respons_Loket[Daftar Nomor Hak]),"")</f>
        <v>M.103/PINANG JAYA</v>
      </c>
      <c r="E1039" s="17">
        <f t="array" ref="E1039">IFNA(_xlfn.XLOOKUP(B1039,Table_Respons_Loket[Count],Table_Respons_Loket[Time Stamp]),"")</f>
        <v>45607.40299</v>
      </c>
      <c r="F1039" s="18" t="str">
        <f t="array" ref="F1039">IFNA(_xlfn.XLOOKUP(B1039,Table_Respons_Loket[Count],Table_Respons_Loket[Jenis Permohonan]),"")</f>
        <v>PLOTING</v>
      </c>
      <c r="G1039" s="24"/>
      <c r="H1039" s="24"/>
      <c r="I1039" s="22" t="str">
        <f t="shared" si="7"/>
        <v/>
      </c>
      <c r="J1039" s="20" t="b">
        <v>0</v>
      </c>
      <c r="K1039" s="13" t="str">
        <f t="shared" si="2"/>
        <v/>
      </c>
    </row>
    <row r="1040" ht="22.5" customHeight="1">
      <c r="B1040" s="13">
        <f t="shared" si="3"/>
        <v>1034</v>
      </c>
      <c r="C1040" s="15" t="str">
        <f t="array" ref="C1040">IFNA(_xlfn.XLOOKUP(B1040,Table_Respons_Loket[Count],Table_Respons_Loket[Nomor Tiket]),"")</f>
        <v>K/7/111124/1</v>
      </c>
      <c r="D1040" s="15" t="str">
        <f t="array" ref="D1040">IFNA(_xlfn.XLOOKUP(B1040,Table_Respons_Loket[Count],Table_Respons_Loket[Daftar Nomor Hak]),"")</f>
        <v>M.1550/BUMI KEDAMAIAN-SEKARANG;M.6824/KEDAMAIAN-DAHULU</v>
      </c>
      <c r="E1040" s="17">
        <f t="array" ref="E1040">IFNA(_xlfn.XLOOKUP(B1040,Table_Respons_Loket[Count],Table_Respons_Loket[Time Stamp]),"")</f>
        <v>45607.41095</v>
      </c>
      <c r="F1040" s="18" t="str">
        <f t="array" ref="F1040">IFNA(_xlfn.XLOOKUP(B1040,Table_Respons_Loket[Count],Table_Respons_Loket[Jenis Permohonan]),"")</f>
        <v>PLOTING</v>
      </c>
      <c r="G1040" s="24"/>
      <c r="H1040" s="24"/>
      <c r="I1040" s="22" t="str">
        <f t="shared" si="7"/>
        <v/>
      </c>
      <c r="J1040" s="20" t="b">
        <v>0</v>
      </c>
      <c r="K1040" s="13" t="str">
        <f t="shared" si="2"/>
        <v/>
      </c>
    </row>
    <row r="1041" ht="22.5" customHeight="1">
      <c r="B1041" s="13">
        <f t="shared" si="3"/>
        <v>1035</v>
      </c>
      <c r="C1041" s="15" t="str">
        <f t="array" ref="C1041">IFNA(_xlfn.XLOOKUP(B1041,Table_Respons_Loket[Count],Table_Respons_Loket[Nomor Tiket]),"")</f>
        <v>K/5/111124/1</v>
      </c>
      <c r="D1041" s="15" t="str">
        <f t="array" ref="D1041">IFNA(_xlfn.XLOOKUP(B1041,Table_Respons_Loket[Count],Table_Respons_Loket[Daftar Nomor Hak]),"")</f>
        <v>M. 1638/ Bumi Kedamaian</v>
      </c>
      <c r="E1041" s="17">
        <f t="array" ref="E1041">IFNA(_xlfn.XLOOKUP(B1041,Table_Respons_Loket[Count],Table_Respons_Loket[Time Stamp]),"")</f>
        <v>45607.412</v>
      </c>
      <c r="F1041" s="18" t="str">
        <f t="array" ref="F1041">IFNA(_xlfn.XLOOKUP(B1041,Table_Respons_Loket[Count],Table_Respons_Loket[Jenis Permohonan]),"")</f>
        <v>BN Waris</v>
      </c>
      <c r="G1041" s="12" t="s">
        <v>50</v>
      </c>
      <c r="H1041" s="12" t="s">
        <v>47</v>
      </c>
      <c r="I1041" s="22" t="str">
        <f t="shared" si="7"/>
        <v/>
      </c>
      <c r="J1041" s="20" t="b">
        <v>0</v>
      </c>
      <c r="K1041" s="13" t="str">
        <f t="shared" si="2"/>
        <v/>
      </c>
    </row>
    <row r="1042" ht="22.5" customHeight="1">
      <c r="B1042" s="13">
        <f t="shared" si="3"/>
        <v>1036</v>
      </c>
      <c r="C1042" s="15" t="str">
        <f t="array" ref="C1042">IFNA(_xlfn.XLOOKUP(B1042,Table_Respons_Loket[Count],Table_Respons_Loket[Nomor Tiket]),"")</f>
        <v>K/6/111124/2</v>
      </c>
      <c r="D1042" s="15" t="str">
        <f t="array" ref="D1042">IFNA(_xlfn.XLOOKUP(B1042,Table_Respons_Loket[Count],Table_Respons_Loket[Daftar Nomor Hak]),"")</f>
        <v>M. 9657/ Labuhan Ratu</v>
      </c>
      <c r="E1042" s="17">
        <f t="array" ref="E1042">IFNA(_xlfn.XLOOKUP(B1042,Table_Respons_Loket[Count],Table_Respons_Loket[Time Stamp]),"")</f>
        <v>45607.41287</v>
      </c>
      <c r="F1042" s="18" t="str">
        <f t="array" ref="F1042">IFNA(_xlfn.XLOOKUP(B1042,Table_Respons_Loket[Count],Table_Respons_Loket[Jenis Permohonan]),"")</f>
        <v>BN Waris</v>
      </c>
      <c r="G1042" s="12" t="s">
        <v>50</v>
      </c>
      <c r="H1042" s="12" t="s">
        <v>52</v>
      </c>
      <c r="I1042" s="22">
        <f t="shared" si="7"/>
        <v>45608.43882</v>
      </c>
      <c r="J1042" s="20" t="b">
        <v>0</v>
      </c>
      <c r="K1042" s="13" t="str">
        <f t="shared" si="2"/>
        <v/>
      </c>
    </row>
    <row r="1043" ht="22.5" customHeight="1">
      <c r="B1043" s="13">
        <f t="shared" si="3"/>
        <v>1037</v>
      </c>
      <c r="C1043" s="15" t="str">
        <f t="array" ref="C1043">IFNA(_xlfn.XLOOKUP(B1043,Table_Respons_Loket[Count],Table_Respons_Loket[Nomor Tiket]),"")</f>
        <v>K/8/111124/1</v>
      </c>
      <c r="D1043" s="15" t="str">
        <f t="array" ref="D1043">IFNA(_xlfn.XLOOKUP(B1043,Table_Respons_Loket[Count],Table_Respons_Loket[Daftar Nomor Hak]),"")</f>
        <v>M. 3347/ Kemiling Raya</v>
      </c>
      <c r="E1043" s="17">
        <f t="array" ref="E1043">IFNA(_xlfn.XLOOKUP(B1043,Table_Respons_Loket[Count],Table_Respons_Loket[Time Stamp]),"")</f>
        <v>45607.42521</v>
      </c>
      <c r="F1043" s="18" t="str">
        <f t="array" ref="F1043">IFNA(_xlfn.XLOOKUP(B1043,Table_Respons_Loket[Count],Table_Respons_Loket[Jenis Permohonan]),"")</f>
        <v>BN Jual Beli</v>
      </c>
      <c r="G1043" s="12" t="s">
        <v>50</v>
      </c>
      <c r="H1043" s="12" t="s">
        <v>47</v>
      </c>
      <c r="I1043" s="22" t="str">
        <f t="shared" si="7"/>
        <v/>
      </c>
      <c r="J1043" s="20" t="b">
        <v>0</v>
      </c>
      <c r="K1043" s="13" t="str">
        <f t="shared" si="2"/>
        <v/>
      </c>
    </row>
    <row r="1044" ht="22.5" customHeight="1">
      <c r="B1044" s="13">
        <f t="shared" si="3"/>
        <v>1038</v>
      </c>
      <c r="C1044" s="15" t="str">
        <f t="array" ref="C1044">IFNA(_xlfn.XLOOKUP(B1044,Table_Respons_Loket[Count],Table_Respons_Loket[Nomor Tiket]),"")</f>
        <v>K/9/111124/1</v>
      </c>
      <c r="D1044" s="15" t="str">
        <f t="array" ref="D1044">IFNA(_xlfn.XLOOKUP(B1044,Table_Respons_Loket[Count],Table_Respons_Loket[Daftar Nomor Hak]),"")</f>
        <v>M. 815/ Rajabasa Pemuka</v>
      </c>
      <c r="E1044" s="17">
        <f t="array" ref="E1044">IFNA(_xlfn.XLOOKUP(B1044,Table_Respons_Loket[Count],Table_Respons_Loket[Time Stamp]),"")</f>
        <v>45607.44412</v>
      </c>
      <c r="F1044" s="18" t="str">
        <f t="array" ref="F1044">IFNA(_xlfn.XLOOKUP(B1044,Table_Respons_Loket[Count],Table_Respons_Loket[Jenis Permohonan]),"")</f>
        <v>BN LELANG</v>
      </c>
      <c r="G1044" s="12" t="s">
        <v>50</v>
      </c>
      <c r="H1044" s="12" t="s">
        <v>52</v>
      </c>
      <c r="I1044" s="22">
        <f t="shared" si="7"/>
        <v>45608.44109</v>
      </c>
      <c r="J1044" s="20" t="b">
        <v>0</v>
      </c>
      <c r="K1044" s="13" t="str">
        <f t="shared" si="2"/>
        <v/>
      </c>
    </row>
    <row r="1045" ht="22.5" customHeight="1">
      <c r="B1045" s="13">
        <f t="shared" si="3"/>
        <v>1039</v>
      </c>
      <c r="C1045" s="15" t="str">
        <f t="array" ref="C1045">IFNA(_xlfn.XLOOKUP(B1045,Table_Respons_Loket[Count],Table_Respons_Loket[Nomor Tiket]),"")</f>
        <v>K/10/111124/1</v>
      </c>
      <c r="D1045" s="15" t="str">
        <f t="array" ref="D1045">IFNA(_xlfn.XLOOKUP(B1045,Table_Respons_Loket[Count],Table_Respons_Loket[Daftar Nomor Hak]),"")</f>
        <v>M. 10853/ Jagabaya II</v>
      </c>
      <c r="E1045" s="17">
        <f t="array" ref="E1045">IFNA(_xlfn.XLOOKUP(B1045,Table_Respons_Loket[Count],Table_Respons_Loket[Time Stamp]),"")</f>
        <v>45607.44617</v>
      </c>
      <c r="F1045" s="18" t="str">
        <f t="array" ref="F1045">IFNA(_xlfn.XLOOKUP(B1045,Table_Respons_Loket[Count],Table_Respons_Loket[Jenis Permohonan]),"")</f>
        <v>ROYA</v>
      </c>
      <c r="G1045" s="12" t="s">
        <v>50</v>
      </c>
      <c r="H1045" s="12" t="s">
        <v>52</v>
      </c>
      <c r="I1045" s="22">
        <f t="shared" si="7"/>
        <v>45608.44132</v>
      </c>
      <c r="J1045" s="20" t="b">
        <v>0</v>
      </c>
      <c r="K1045" s="13" t="str">
        <f t="shared" si="2"/>
        <v/>
      </c>
    </row>
    <row r="1046" ht="22.5" customHeight="1">
      <c r="B1046" s="13">
        <f t="shared" si="3"/>
        <v>1040</v>
      </c>
      <c r="C1046" s="15" t="str">
        <f t="array" ref="C1046">IFNA(_xlfn.XLOOKUP(B1046,Table_Respons_Loket[Count],Table_Respons_Loket[Nomor Tiket]),"")</f>
        <v>K/11/111124/1</v>
      </c>
      <c r="D1046" s="15" t="str">
        <f t="array" ref="D1046">IFNA(_xlfn.XLOOKUP(B1046,Table_Respons_Loket[Count],Table_Respons_Loket[Daftar Nomor Hak]),"")</f>
        <v>M. 11329/TANJUNG BARU</v>
      </c>
      <c r="E1046" s="17">
        <f t="array" ref="E1046">IFNA(_xlfn.XLOOKUP(B1046,Table_Respons_Loket[Count],Table_Respons_Loket[Time Stamp]),"")</f>
        <v>45607.45589</v>
      </c>
      <c r="F1046" s="18" t="str">
        <f t="array" ref="F1046">IFNA(_xlfn.XLOOKUP(B1046,Table_Respons_Loket[Count],Table_Respons_Loket[Jenis Permohonan]),"")</f>
        <v>ROYA</v>
      </c>
      <c r="G1046" s="12" t="s">
        <v>50</v>
      </c>
      <c r="H1046" s="12" t="s">
        <v>52</v>
      </c>
      <c r="I1046" s="22">
        <f t="shared" si="7"/>
        <v>45608.44158</v>
      </c>
      <c r="J1046" s="20" t="b">
        <v>0</v>
      </c>
      <c r="K1046" s="13" t="str">
        <f t="shared" si="2"/>
        <v/>
      </c>
    </row>
    <row r="1047" ht="22.5" customHeight="1">
      <c r="B1047" s="13">
        <f t="shared" si="3"/>
        <v>1041</v>
      </c>
      <c r="C1047" s="15" t="str">
        <f t="array" ref="C1047">IFNA(_xlfn.XLOOKUP(B1047,Table_Respons_Loket[Count],Table_Respons_Loket[Nomor Tiket]),"")</f>
        <v>K/12/111124/1</v>
      </c>
      <c r="D1047" s="15" t="str">
        <f t="array" ref="D1047">IFNA(_xlfn.XLOOKUP(B1047,Table_Respons_Loket[Count],Table_Respons_Loket[Daftar Nomor Hak]),"")</f>
        <v>Nibel. M. 1113/ Bumi Raya</v>
      </c>
      <c r="E1047" s="17">
        <f t="array" ref="E1047">IFNA(_xlfn.XLOOKUP(B1047,Table_Respons_Loket[Count],Table_Respons_Loket[Time Stamp]),"")</f>
        <v>45607.45827</v>
      </c>
      <c r="F1047" s="18" t="str">
        <f t="array" ref="F1047">IFNA(_xlfn.XLOOKUP(B1047,Table_Respons_Loket[Count],Table_Respons_Loket[Jenis Permohonan]),"")</f>
        <v>BN Lelang</v>
      </c>
      <c r="G1047" s="24"/>
      <c r="H1047" s="24"/>
      <c r="I1047" s="22" t="str">
        <f t="shared" si="7"/>
        <v/>
      </c>
      <c r="J1047" s="20" t="b">
        <v>0</v>
      </c>
      <c r="K1047" s="13" t="str">
        <f t="shared" si="2"/>
        <v/>
      </c>
    </row>
    <row r="1048" ht="22.5" customHeight="1">
      <c r="B1048" s="13">
        <f t="shared" si="3"/>
        <v>1042</v>
      </c>
      <c r="C1048" s="15" t="str">
        <f t="array" ref="C1048">IFNA(_xlfn.XLOOKUP(B1048,Table_Respons_Loket[Count],Table_Respons_Loket[Nomor Tiket]),"")</f>
        <v>K/13/111124/1</v>
      </c>
      <c r="D1048" s="15" t="str">
        <f t="array" ref="D1048">IFNA(_xlfn.XLOOKUP(B1048,Table_Respons_Loket[Count],Table_Respons_Loket[Daftar Nomor Hak]),"")</f>
        <v>M.8738/SUKABUMI </v>
      </c>
      <c r="E1048" s="17">
        <f t="array" ref="E1048">IFNA(_xlfn.XLOOKUP(B1048,Table_Respons_Loket[Count],Table_Respons_Loket[Time Stamp]),"")</f>
        <v>45607.46058</v>
      </c>
      <c r="F1048" s="18" t="str">
        <f t="array" ref="F1048">IFNA(_xlfn.XLOOKUP(B1048,Table_Respons_Loket[Count],Table_Respons_Loket[Jenis Permohonan]),"")</f>
        <v>BN JUAL BELI</v>
      </c>
      <c r="G1048" s="12" t="s">
        <v>50</v>
      </c>
      <c r="H1048" s="12" t="s">
        <v>47</v>
      </c>
      <c r="I1048" s="22" t="str">
        <f t="shared" si="7"/>
        <v/>
      </c>
      <c r="J1048" s="20" t="b">
        <v>0</v>
      </c>
      <c r="K1048" s="13" t="str">
        <f t="shared" si="2"/>
        <v/>
      </c>
    </row>
    <row r="1049" ht="22.5" customHeight="1">
      <c r="B1049" s="13">
        <f t="shared" si="3"/>
        <v>1043</v>
      </c>
      <c r="C1049" s="15" t="str">
        <f t="array" ref="C1049">IFNA(_xlfn.XLOOKUP(B1049,Table_Respons_Loket[Count],Table_Respons_Loket[Nomor Tiket]),"")</f>
        <v>K/14/111124/2</v>
      </c>
      <c r="D1049" s="15" t="str">
        <f t="array" ref="D1049">IFNA(_xlfn.XLOOKUP(B1049,Table_Respons_Loket[Count],Table_Respons_Loket[Daftar Nomor Hak]),"")</f>
        <v>M. 428/SAWAH BREBES</v>
      </c>
      <c r="E1049" s="17">
        <f t="array" ref="E1049">IFNA(_xlfn.XLOOKUP(B1049,Table_Respons_Loket[Count],Table_Respons_Loket[Time Stamp]),"")</f>
        <v>45607.46174</v>
      </c>
      <c r="F1049" s="18" t="str">
        <f t="array" ref="F1049">IFNA(_xlfn.XLOOKUP(B1049,Table_Respons_Loket[Count],Table_Respons_Loket[Jenis Permohonan]),"")</f>
        <v>BN JUAL BELI </v>
      </c>
      <c r="G1049" s="12" t="s">
        <v>50</v>
      </c>
      <c r="H1049" s="12" t="s">
        <v>52</v>
      </c>
      <c r="I1049" s="22">
        <f t="shared" si="7"/>
        <v>45608.44253</v>
      </c>
      <c r="J1049" s="20" t="b">
        <v>0</v>
      </c>
      <c r="K1049" s="11" t="s">
        <v>508</v>
      </c>
    </row>
    <row r="1050" ht="22.5" customHeight="1">
      <c r="B1050" s="13">
        <f t="shared" si="3"/>
        <v>1044</v>
      </c>
      <c r="C1050" s="15" t="str">
        <f t="array" ref="C1050">IFNA(_xlfn.XLOOKUP(B1050,Table_Respons_Loket[Count],Table_Respons_Loket[Nomor Tiket]),"")</f>
        <v>K/15/111124/1</v>
      </c>
      <c r="D1050" s="15" t="str">
        <f t="array" ref="D1050">IFNA(_xlfn.XLOOKUP(B1050,Table_Respons_Loket[Count],Table_Respons_Loket[Daftar Nomor Hak]),"")</f>
        <v>M. 16629/ Sukabumi</v>
      </c>
      <c r="E1050" s="17">
        <f t="array" ref="E1050">IFNA(_xlfn.XLOOKUP(B1050,Table_Respons_Loket[Count],Table_Respons_Loket[Time Stamp]),"")</f>
        <v>45607.46745</v>
      </c>
      <c r="F1050" s="18" t="str">
        <f t="array" ref="F1050">IFNA(_xlfn.XLOOKUP(B1050,Table_Respons_Loket[Count],Table_Respons_Loket[Jenis Permohonan]),"")</f>
        <v>BN Jual Beli</v>
      </c>
      <c r="G1050" s="12" t="s">
        <v>50</v>
      </c>
      <c r="H1050" s="12" t="s">
        <v>52</v>
      </c>
      <c r="I1050" s="22">
        <f t="shared" si="7"/>
        <v>45608.44271</v>
      </c>
      <c r="J1050" s="20" t="b">
        <v>0</v>
      </c>
      <c r="K1050" s="13" t="str">
        <f t="shared" ref="K1050:K2006" si="8">IF(J1050=TRUE,IF(K1050&lt;&gt;"",K1050,NOW()),"")</f>
        <v/>
      </c>
    </row>
    <row r="1051" ht="22.5" customHeight="1">
      <c r="B1051" s="13">
        <f t="shared" si="3"/>
        <v>1045</v>
      </c>
      <c r="C1051" s="15" t="str">
        <f t="array" ref="C1051">IFNA(_xlfn.XLOOKUP(B1051,Table_Respons_Loket[Count],Table_Respons_Loket[Nomor Tiket]),"")</f>
        <v>K/16/111124/1</v>
      </c>
      <c r="D1051" s="15" t="str">
        <f t="array" ref="D1051">IFNA(_xlfn.XLOOKUP(B1051,Table_Respons_Loket[Count],Table_Respons_Loket[Daftar Nomor Hak]),"")</f>
        <v>M.10866/SUKARAME I</v>
      </c>
      <c r="E1051" s="17">
        <f t="array" ref="E1051">IFNA(_xlfn.XLOOKUP(B1051,Table_Respons_Loket[Count],Table_Respons_Loket[Time Stamp]),"")</f>
        <v>45607.47771</v>
      </c>
      <c r="F1051" s="18" t="str">
        <f t="array" ref="F1051">IFNA(_xlfn.XLOOKUP(B1051,Table_Respons_Loket[Count],Table_Respons_Loket[Jenis Permohonan]),"")</f>
        <v>GANDES</v>
      </c>
      <c r="G1051" s="24"/>
      <c r="H1051" s="24"/>
      <c r="I1051" s="22" t="str">
        <f t="shared" si="7"/>
        <v/>
      </c>
      <c r="J1051" s="20" t="b">
        <v>0</v>
      </c>
      <c r="K1051" s="13" t="str">
        <f t="shared" si="8"/>
        <v/>
      </c>
    </row>
    <row r="1052" ht="22.5" customHeight="1">
      <c r="B1052" s="13">
        <f t="shared" si="3"/>
        <v>1046</v>
      </c>
      <c r="C1052" s="15" t="str">
        <f t="array" ref="C1052">IFNA(_xlfn.XLOOKUP(B1052,Table_Respons_Loket[Count],Table_Respons_Loket[Nomor Tiket]),"")</f>
        <v>K/17/111124/1</v>
      </c>
      <c r="D1052" s="15" t="str">
        <f t="array" ref="D1052">IFNA(_xlfn.XLOOKUP(B1052,Table_Respons_Loket[Count],Table_Respons_Loket[Daftar Nomor Hak]),"")</f>
        <v>M. 657/ Kangkung</v>
      </c>
      <c r="E1052" s="17">
        <f t="array" ref="E1052">IFNA(_xlfn.XLOOKUP(B1052,Table_Respons_Loket[Count],Table_Respons_Loket[Time Stamp]),"")</f>
        <v>45607.55936</v>
      </c>
      <c r="F1052" s="18" t="str">
        <f t="array" ref="F1052">IFNA(_xlfn.XLOOKUP(B1052,Table_Respons_Loket[Count],Table_Respons_Loket[Jenis Permohonan]),"")</f>
        <v>BN Jual Beli</v>
      </c>
      <c r="G1052" s="12" t="s">
        <v>50</v>
      </c>
      <c r="H1052" s="12" t="s">
        <v>47</v>
      </c>
      <c r="I1052" s="22" t="str">
        <f t="shared" si="7"/>
        <v/>
      </c>
      <c r="J1052" s="20" t="b">
        <v>0</v>
      </c>
      <c r="K1052" s="13" t="str">
        <f t="shared" si="8"/>
        <v/>
      </c>
    </row>
    <row r="1053" ht="22.5" customHeight="1">
      <c r="B1053" s="13">
        <f t="shared" si="3"/>
        <v>1047</v>
      </c>
      <c r="C1053" s="15" t="str">
        <f t="array" ref="C1053">IFNA(_xlfn.XLOOKUP(B1053,Table_Respons_Loket[Count],Table_Respons_Loket[Nomor Tiket]),"")</f>
        <v>K/18/111124/1</v>
      </c>
      <c r="D1053" s="15" t="str">
        <f t="array" ref="D1053">IFNA(_xlfn.XLOOKUP(B1053,Table_Respons_Loket[Count],Table_Respons_Loket[Daftar Nomor Hak]),"")</f>
        <v>M. 6354/ Gunung Sulah</v>
      </c>
      <c r="E1053" s="17">
        <f t="array" ref="E1053">IFNA(_xlfn.XLOOKUP(B1053,Table_Respons_Loket[Count],Table_Respons_Loket[Time Stamp]),"")</f>
        <v>45607.55947</v>
      </c>
      <c r="F1053" s="18" t="str">
        <f t="array" ref="F1053">IFNA(_xlfn.XLOOKUP(B1053,Table_Respons_Loket[Count],Table_Respons_Loket[Jenis Permohonan]),"")</f>
        <v>BN HIBAH</v>
      </c>
      <c r="G1053" s="12" t="s">
        <v>50</v>
      </c>
      <c r="H1053" s="12" t="s">
        <v>52</v>
      </c>
      <c r="I1053" s="22">
        <f t="shared" si="7"/>
        <v>45608.4431</v>
      </c>
      <c r="J1053" s="20" t="b">
        <v>0</v>
      </c>
      <c r="K1053" s="13" t="str">
        <f t="shared" si="8"/>
        <v/>
      </c>
    </row>
    <row r="1054" ht="22.5" customHeight="1">
      <c r="B1054" s="13">
        <f t="shared" si="3"/>
        <v>1048</v>
      </c>
      <c r="C1054" s="15" t="str">
        <f t="array" ref="C1054">IFNA(_xlfn.XLOOKUP(B1054,Table_Respons_Loket[Count],Table_Respons_Loket[Nomor Tiket]),"")</f>
        <v>K/19/111124/1</v>
      </c>
      <c r="D1054" s="15" t="str">
        <f t="array" ref="D1054">IFNA(_xlfn.XLOOKUP(B1054,Table_Respons_Loket[Count],Table_Respons_Loket[Daftar Nomor Hak]),"")</f>
        <v>M. 3209/ Labuhan Dalam</v>
      </c>
      <c r="E1054" s="17">
        <f t="array" ref="E1054">IFNA(_xlfn.XLOOKUP(B1054,Table_Respons_Loket[Count],Table_Respons_Loket[Time Stamp]),"")</f>
        <v>45607.56835</v>
      </c>
      <c r="F1054" s="18" t="str">
        <f t="array" ref="F1054">IFNA(_xlfn.XLOOKUP(B1054,Table_Respons_Loket[Count],Table_Respons_Loket[Jenis Permohonan]),"")</f>
        <v>BN Jual Beli</v>
      </c>
      <c r="G1054" s="12" t="s">
        <v>50</v>
      </c>
      <c r="H1054" s="12" t="s">
        <v>52</v>
      </c>
      <c r="I1054" s="22">
        <f t="shared" si="7"/>
        <v>45608.44332</v>
      </c>
      <c r="J1054" s="20" t="b">
        <v>0</v>
      </c>
      <c r="K1054" s="13" t="str">
        <f t="shared" si="8"/>
        <v/>
      </c>
    </row>
    <row r="1055" ht="22.5" customHeight="1">
      <c r="B1055" s="13">
        <f t="shared" si="3"/>
        <v>1049</v>
      </c>
      <c r="C1055" s="15" t="str">
        <f t="array" ref="C1055">IFNA(_xlfn.XLOOKUP(B1055,Table_Respons_Loket[Count],Table_Respons_Loket[Nomor Tiket]),"")</f>
        <v>K/20/111124/2</v>
      </c>
      <c r="D1055" s="15" t="str">
        <f t="array" ref="D1055">IFNA(_xlfn.XLOOKUP(B1055,Table_Respons_Loket[Count],Table_Respons_Loket[Daftar Nomor Hak]),"")</f>
        <v>Nibel. M. 3511/ Gedong Meneng</v>
      </c>
      <c r="E1055" s="17">
        <f t="array" ref="E1055">IFNA(_xlfn.XLOOKUP(B1055,Table_Respons_Loket[Count],Table_Respons_Loket[Time Stamp]),"")</f>
        <v>45607.5692</v>
      </c>
      <c r="F1055" s="18" t="str">
        <f t="array" ref="F1055">IFNA(_xlfn.XLOOKUP(B1055,Table_Respons_Loket[Count],Table_Respons_Loket[Jenis Permohonan]),"")</f>
        <v>BN Jual Beli</v>
      </c>
      <c r="G1055" s="24"/>
      <c r="H1055" s="24"/>
      <c r="I1055" s="22" t="str">
        <f t="shared" si="7"/>
        <v/>
      </c>
      <c r="J1055" s="20" t="b">
        <v>0</v>
      </c>
      <c r="K1055" s="13" t="str">
        <f t="shared" si="8"/>
        <v/>
      </c>
    </row>
    <row r="1056" ht="22.5" customHeight="1">
      <c r="B1056" s="13">
        <f t="shared" si="3"/>
        <v>1050</v>
      </c>
      <c r="C1056" s="15" t="str">
        <f t="array" ref="C1056">IFNA(_xlfn.XLOOKUP(B1056,Table_Respons_Loket[Count],Table_Respons_Loket[Nomor Tiket]),"")</f>
        <v>K/22/111124/2</v>
      </c>
      <c r="D1056" s="15" t="str">
        <f t="array" ref="D1056">IFNA(_xlfn.XLOOKUP(B1056,Table_Respons_Loket[Count],Table_Respons_Loket[Daftar Nomor Hak]),"")</f>
        <v>Nibel 1517/ Sawah Brebes</v>
      </c>
      <c r="E1056" s="17">
        <f t="array" ref="E1056">IFNA(_xlfn.XLOOKUP(B1056,Table_Respons_Loket[Count],Table_Respons_Loket[Time Stamp]),"")</f>
        <v>45607.56995</v>
      </c>
      <c r="F1056" s="18" t="str">
        <f t="array" ref="F1056">IFNA(_xlfn.XLOOKUP(B1056,Table_Respons_Loket[Count],Table_Respons_Loket[Jenis Permohonan]),"")</f>
        <v>BN JUAL BELI</v>
      </c>
      <c r="G1056" s="24"/>
      <c r="H1056" s="24"/>
      <c r="I1056" s="22" t="str">
        <f t="shared" si="7"/>
        <v/>
      </c>
      <c r="J1056" s="20" t="b">
        <v>0</v>
      </c>
      <c r="K1056" s="13" t="str">
        <f t="shared" si="8"/>
        <v/>
      </c>
    </row>
    <row r="1057" ht="22.5" customHeight="1">
      <c r="B1057" s="13">
        <f t="shared" si="3"/>
        <v>1051</v>
      </c>
      <c r="C1057" s="15" t="str">
        <f t="array" ref="C1057">IFNA(_xlfn.XLOOKUP(B1057,Table_Respons_Loket[Count],Table_Respons_Loket[Nomor Tiket]),"")</f>
        <v>K/23/111124/1</v>
      </c>
      <c r="D1057" s="15" t="str">
        <f t="array" ref="D1057">IFNA(_xlfn.XLOOKUP(B1057,Table_Respons_Loket[Count],Table_Respons_Loket[Daftar Nomor Hak]),"")</f>
        <v>HMASRS. 152/SUMUR PUTRI</v>
      </c>
      <c r="E1057" s="17">
        <f t="array" ref="E1057">IFNA(_xlfn.XLOOKUP(B1057,Table_Respons_Loket[Count],Table_Respons_Loket[Time Stamp]),"")</f>
        <v>45607.58612</v>
      </c>
      <c r="F1057" s="18" t="str">
        <f t="array" ref="F1057">IFNA(_xlfn.XLOOKUP(B1057,Table_Respons_Loket[Count],Table_Respons_Loket[Jenis Permohonan]),"")</f>
        <v>BN JUAL BELI</v>
      </c>
      <c r="G1057" s="12" t="s">
        <v>48</v>
      </c>
      <c r="H1057" s="12" t="s">
        <v>52</v>
      </c>
      <c r="I1057" s="22">
        <f t="shared" si="7"/>
        <v>45608.44781</v>
      </c>
      <c r="J1057" s="20" t="b">
        <v>0</v>
      </c>
      <c r="K1057" s="13" t="str">
        <f t="shared" si="8"/>
        <v/>
      </c>
    </row>
    <row r="1058" ht="22.5" customHeight="1">
      <c r="B1058" s="13">
        <f t="shared" si="3"/>
        <v>1052</v>
      </c>
      <c r="C1058" s="15" t="str">
        <f t="array" ref="C1058">IFNA(_xlfn.XLOOKUP(B1058,Table_Respons_Loket[Count],Table_Respons_Loket[Nomor Tiket]),"")</f>
        <v>K/21/111124/1</v>
      </c>
      <c r="D1058" s="15" t="str">
        <f t="array" ref="D1058">IFNA(_xlfn.XLOOKUP(B1058,Table_Respons_Loket[Count],Table_Respons_Loket[Daftar Nomor Hak]),"")</f>
        <v>B.65/LABUHAN DALAM</v>
      </c>
      <c r="E1058" s="17">
        <f t="array" ref="E1058">IFNA(_xlfn.XLOOKUP(B1058,Table_Respons_Loket[Count],Table_Respons_Loket[Time Stamp]),"")</f>
        <v>45607.57488</v>
      </c>
      <c r="F1058" s="18" t="str">
        <f t="array" ref="F1058">IFNA(_xlfn.XLOOKUP(B1058,Table_Respons_Loket[Count],Table_Respons_Loket[Jenis Permohonan]),"")</f>
        <v>ROYA</v>
      </c>
      <c r="G1058" s="12" t="s">
        <v>48</v>
      </c>
      <c r="H1058" s="12" t="s">
        <v>52</v>
      </c>
      <c r="I1058" s="22">
        <f t="shared" si="7"/>
        <v>45608.44376</v>
      </c>
      <c r="J1058" s="20" t="b">
        <v>0</v>
      </c>
      <c r="K1058" s="13" t="str">
        <f t="shared" si="8"/>
        <v/>
      </c>
    </row>
    <row r="1059" ht="22.5" customHeight="1">
      <c r="B1059" s="13">
        <f t="shared" si="3"/>
        <v>1053</v>
      </c>
      <c r="C1059" s="15" t="str">
        <f t="array" ref="C1059">IFNA(_xlfn.XLOOKUP(B1059,Table_Respons_Loket[Count],Table_Respons_Loket[Nomor Tiket]),"")</f>
        <v>K/25/111124/1</v>
      </c>
      <c r="D1059" s="15" t="str">
        <f t="array" ref="D1059">IFNA(_xlfn.XLOOKUP(B1059,Table_Respons_Loket[Count],Table_Respons_Loket[Daftar Nomor Hak]),"")</f>
        <v>Nibel 3510/ Rajabasa Pemuka</v>
      </c>
      <c r="E1059" s="17">
        <f t="array" ref="E1059">IFNA(_xlfn.XLOOKUP(B1059,Table_Respons_Loket[Count],Table_Respons_Loket[Time Stamp]),"")</f>
        <v>45607.57948</v>
      </c>
      <c r="F1059" s="18" t="str">
        <f t="array" ref="F1059">IFNA(_xlfn.XLOOKUP(B1059,Table_Respons_Loket[Count],Table_Respons_Loket[Jenis Permohonan]),"")</f>
        <v>BN JUAL BELI</v>
      </c>
      <c r="G1059" s="24"/>
      <c r="H1059" s="24"/>
      <c r="I1059" s="22" t="str">
        <f t="shared" si="7"/>
        <v/>
      </c>
      <c r="J1059" s="20" t="b">
        <v>0</v>
      </c>
      <c r="K1059" s="13" t="str">
        <f t="shared" si="8"/>
        <v/>
      </c>
    </row>
    <row r="1060" ht="22.5" customHeight="1">
      <c r="B1060" s="13">
        <f t="shared" si="3"/>
        <v>1054</v>
      </c>
      <c r="C1060" s="15" t="str">
        <f t="array" ref="C1060">IFNA(_xlfn.XLOOKUP(B1060,Table_Respons_Loket[Count],Table_Respons_Loket[Nomor Tiket]),"")</f>
        <v>K/26/111124/1</v>
      </c>
      <c r="D1060" s="15" t="str">
        <f t="array" ref="D1060">IFNA(_xlfn.XLOOKUP(B1060,Table_Respons_Loket[Count],Table_Respons_Loket[Daftar Nomor Hak]),"")</f>
        <v>B. 1677/ SUKARAME</v>
      </c>
      <c r="E1060" s="17">
        <f t="array" ref="E1060">IFNA(_xlfn.XLOOKUP(B1060,Table_Respons_Loket[Count],Table_Respons_Loket[Time Stamp]),"")</f>
        <v>45607.58682</v>
      </c>
      <c r="F1060" s="18" t="str">
        <f t="array" ref="F1060">IFNA(_xlfn.XLOOKUP(B1060,Table_Respons_Loket[Count],Table_Respons_Loket[Jenis Permohonan]),"")</f>
        <v>PENGECEKAN</v>
      </c>
      <c r="G1060" s="24"/>
      <c r="H1060" s="24"/>
      <c r="I1060" s="22" t="str">
        <f t="shared" si="7"/>
        <v/>
      </c>
      <c r="J1060" s="20" t="b">
        <v>0</v>
      </c>
      <c r="K1060" s="13" t="str">
        <f t="shared" si="8"/>
        <v/>
      </c>
    </row>
    <row r="1061" ht="22.5" customHeight="1">
      <c r="B1061" s="13">
        <f t="shared" si="3"/>
        <v>1055</v>
      </c>
      <c r="C1061" s="15" t="str">
        <f t="array" ref="C1061">IFNA(_xlfn.XLOOKUP(B1061,Table_Respons_Loket[Count],Table_Respons_Loket[Nomor Tiket]),"")</f>
        <v>K/28/111124/1</v>
      </c>
      <c r="D1061" s="15" t="str">
        <f t="array" ref="D1061">IFNA(_xlfn.XLOOKUP(B1061,Table_Respons_Loket[Count],Table_Respons_Loket[Daftar Nomor Hak]),"")</f>
        <v>M.1280/KELAPA TIGA</v>
      </c>
      <c r="E1061" s="17">
        <f t="array" ref="E1061">IFNA(_xlfn.XLOOKUP(B1061,Table_Respons_Loket[Count],Table_Respons_Loket[Time Stamp]),"")</f>
        <v>45607.58856</v>
      </c>
      <c r="F1061" s="18" t="str">
        <f t="array" ref="F1061">IFNA(_xlfn.XLOOKUP(B1061,Table_Respons_Loket[Count],Table_Respons_Loket[Jenis Permohonan]),"")</f>
        <v>KEWARISAN</v>
      </c>
      <c r="G1061" s="12" t="s">
        <v>48</v>
      </c>
      <c r="H1061" s="12" t="s">
        <v>52</v>
      </c>
      <c r="I1061" s="22">
        <f t="shared" si="7"/>
        <v>45608.44413</v>
      </c>
      <c r="J1061" s="20" t="b">
        <v>0</v>
      </c>
      <c r="K1061" s="13" t="str">
        <f t="shared" si="8"/>
        <v/>
      </c>
    </row>
    <row r="1062" ht="22.5" customHeight="1">
      <c r="B1062" s="13">
        <f t="shared" si="3"/>
        <v>1056</v>
      </c>
      <c r="C1062" s="15" t="str">
        <f t="array" ref="C1062">IFNA(_xlfn.XLOOKUP(B1062,Table_Respons_Loket[Count],Table_Respons_Loket[Nomor Tiket]),"")</f>
        <v>K/27/111124/1</v>
      </c>
      <c r="D1062" s="15" t="str">
        <f t="array" ref="D1062">IFNA(_xlfn.XLOOKUP(B1062,Table_Respons_Loket[Count],Table_Respons_Loket[Daftar Nomor Hak]),"")</f>
        <v>M. 1467; 1474/ Tanjung Karang; SHT 5221/2017 dan 2980/2017 dan 3713/2017 dan 3715/2017 dan 2985/2017</v>
      </c>
      <c r="E1062" s="17">
        <f t="array" ref="E1062">IFNA(_xlfn.XLOOKUP(B1062,Table_Respons_Loket[Count],Table_Respons_Loket[Time Stamp]),"")</f>
        <v>45607.58909</v>
      </c>
      <c r="F1062" s="18" t="str">
        <f t="array" ref="F1062">IFNA(_xlfn.XLOOKUP(B1062,Table_Respons_Loket[Count],Table_Respons_Loket[Jenis Permohonan]),"")</f>
        <v>Ganti Nama Kreditur</v>
      </c>
      <c r="G1062" s="24"/>
      <c r="H1062" s="24"/>
      <c r="I1062" s="22" t="str">
        <f t="shared" si="7"/>
        <v/>
      </c>
      <c r="J1062" s="20" t="b">
        <v>0</v>
      </c>
      <c r="K1062" s="13" t="str">
        <f t="shared" si="8"/>
        <v/>
      </c>
    </row>
    <row r="1063" ht="22.5" customHeight="1">
      <c r="B1063" s="13">
        <f t="shared" si="3"/>
        <v>1057</v>
      </c>
      <c r="C1063" s="15" t="str">
        <f t="array" ref="C1063">IFNA(_xlfn.XLOOKUP(B1063,Table_Respons_Loket[Count],Table_Respons_Loket[Nomor Tiket]),"")</f>
        <v>K/31/111124/1</v>
      </c>
      <c r="D1063" s="15" t="str">
        <f t="array" ref="D1063">IFNA(_xlfn.XLOOKUP(B1063,Table_Respons_Loket[Count],Table_Respons_Loket[Daftar Nomor Hak]),"")</f>
        <v>B. 256/ Kota Baru</v>
      </c>
      <c r="E1063" s="17">
        <f t="array" ref="E1063">IFNA(_xlfn.XLOOKUP(B1063,Table_Respons_Loket[Count],Table_Respons_Loket[Time Stamp]),"")</f>
        <v>45607.59743</v>
      </c>
      <c r="F1063" s="18" t="str">
        <f t="array" ref="F1063">IFNA(_xlfn.XLOOKUP(B1063,Table_Respons_Loket[Count],Table_Respons_Loket[Jenis Permohonan]),"")</f>
        <v>BN JUAL BELI</v>
      </c>
      <c r="G1063" s="12" t="s">
        <v>48</v>
      </c>
      <c r="H1063" s="12" t="s">
        <v>52</v>
      </c>
      <c r="I1063" s="22">
        <f t="shared" si="7"/>
        <v>45608.44438</v>
      </c>
      <c r="J1063" s="20" t="b">
        <v>0</v>
      </c>
      <c r="K1063" s="13" t="str">
        <f t="shared" si="8"/>
        <v/>
      </c>
    </row>
    <row r="1064" ht="22.5" customHeight="1">
      <c r="B1064" s="13">
        <f t="shared" si="3"/>
        <v>1058</v>
      </c>
      <c r="C1064" s="15" t="str">
        <f t="array" ref="C1064">IFNA(_xlfn.XLOOKUP(B1064,Table_Respons_Loket[Count],Table_Respons_Loket[Nomor Tiket]),"")</f>
        <v>K/24/111124/1</v>
      </c>
      <c r="D1064" s="15" t="str">
        <f t="array" ref="D1064">IFNA(_xlfn.XLOOKUP(B1064,Table_Respons_Loket[Count],Table_Respons_Loket[Daftar Nomor Hak]),"")</f>
        <v>Nibel. M. 2723/ Kedaton</v>
      </c>
      <c r="E1064" s="17">
        <f t="array" ref="E1064">IFNA(_xlfn.XLOOKUP(B1064,Table_Respons_Loket[Count],Table_Respons_Loket[Time Stamp]),"")</f>
        <v>45607.60106</v>
      </c>
      <c r="F1064" s="18" t="str">
        <f t="array" ref="F1064">IFNA(_xlfn.XLOOKUP(B1064,Table_Respons_Loket[Count],Table_Respons_Loket[Jenis Permohonan]),"")</f>
        <v>BN Jual Beli</v>
      </c>
      <c r="G1064" s="24"/>
      <c r="H1064" s="24"/>
      <c r="I1064" s="22" t="str">
        <f t="shared" si="7"/>
        <v/>
      </c>
      <c r="J1064" s="20" t="b">
        <v>0</v>
      </c>
      <c r="K1064" s="13" t="str">
        <f t="shared" si="8"/>
        <v/>
      </c>
    </row>
    <row r="1065" ht="22.5" customHeight="1">
      <c r="B1065" s="13">
        <f t="shared" si="3"/>
        <v>1059</v>
      </c>
      <c r="C1065" s="15" t="str">
        <f t="array" ref="C1065">IFNA(_xlfn.XLOOKUP(B1065,Table_Respons_Loket[Count],Table_Respons_Loket[Nomor Tiket]),"")</f>
        <v>K/29/111124/3</v>
      </c>
      <c r="D1065" s="15" t="str">
        <f t="array" ref="D1065">IFNA(_xlfn.XLOOKUP(B1065,Table_Respons_Loket[Count],Table_Respons_Loket[Daftar Nomor Hak]),"")</f>
        <v>M. 867/ Kupang Teba</v>
      </c>
      <c r="E1065" s="17">
        <f t="array" ref="E1065">IFNA(_xlfn.XLOOKUP(B1065,Table_Respons_Loket[Count],Table_Respons_Loket[Time Stamp]),"")</f>
        <v>45607.60202</v>
      </c>
      <c r="F1065" s="18" t="str">
        <f t="array" ref="F1065">IFNA(_xlfn.XLOOKUP(B1065,Table_Respons_Loket[Count],Table_Respons_Loket[Jenis Permohonan]),"")</f>
        <v>BN Jual Beli</v>
      </c>
      <c r="G1065" s="12" t="s">
        <v>48</v>
      </c>
      <c r="H1065" s="12" t="s">
        <v>52</v>
      </c>
      <c r="I1065" s="22">
        <f t="shared" si="7"/>
        <v>45608.44489</v>
      </c>
      <c r="J1065" s="20" t="b">
        <v>0</v>
      </c>
      <c r="K1065" s="13" t="str">
        <f t="shared" si="8"/>
        <v/>
      </c>
    </row>
    <row r="1066" ht="22.5" customHeight="1">
      <c r="B1066" s="13">
        <f t="shared" si="3"/>
        <v>1060</v>
      </c>
      <c r="C1066" s="15" t="str">
        <f t="array" ref="C1066">IFNA(_xlfn.XLOOKUP(B1066,Table_Respons_Loket[Count],Table_Respons_Loket[Nomor Tiket]),"")</f>
        <v>K/30/111124/4</v>
      </c>
      <c r="D1066" s="15" t="str">
        <f t="array" ref="D1066">IFNA(_xlfn.XLOOKUP(B1066,Table_Respons_Loket[Count],Table_Respons_Loket[Daftar Nomor Hak]),"")</f>
        <v>M. 12739/ Kedaton</v>
      </c>
      <c r="E1066" s="17">
        <f t="array" ref="E1066">IFNA(_xlfn.XLOOKUP(B1066,Table_Respons_Loket[Count],Table_Respons_Loket[Time Stamp]),"")</f>
        <v>45607.60262</v>
      </c>
      <c r="F1066" s="18" t="str">
        <f t="array" ref="F1066">IFNA(_xlfn.XLOOKUP(B1066,Table_Respons_Loket[Count],Table_Respons_Loket[Jenis Permohonan]),"")</f>
        <v>BN Waris</v>
      </c>
      <c r="G1066" s="12" t="s">
        <v>48</v>
      </c>
      <c r="H1066" s="12" t="s">
        <v>47</v>
      </c>
      <c r="I1066" s="22" t="str">
        <f t="shared" si="7"/>
        <v/>
      </c>
      <c r="J1066" s="20" t="b">
        <v>0</v>
      </c>
      <c r="K1066" s="13" t="str">
        <f t="shared" si="8"/>
        <v/>
      </c>
    </row>
    <row r="1067" ht="22.5" customHeight="1">
      <c r="B1067" s="13">
        <f t="shared" si="3"/>
        <v>1061</v>
      </c>
      <c r="C1067" s="15" t="str">
        <f t="array" ref="C1067">IFNA(_xlfn.XLOOKUP(B1067,Table_Respons_Loket[Count],Table_Respons_Loket[Nomor Tiket]),"")</f>
        <v>K/32/111124/2</v>
      </c>
      <c r="D1067" s="15" t="str">
        <f t="array" ref="D1067">IFNA(_xlfn.XLOOKUP(B1067,Table_Respons_Loket[Count],Table_Respons_Loket[Daftar Nomor Hak]),"")</f>
        <v>M.9663/SEGALA MIDER</v>
      </c>
      <c r="E1067" s="17">
        <f t="array" ref="E1067">IFNA(_xlfn.XLOOKUP(B1067,Table_Respons_Loket[Count],Table_Respons_Loket[Time Stamp]),"")</f>
        <v>45607.60543</v>
      </c>
      <c r="F1067" s="18" t="str">
        <f t="array" ref="F1067">IFNA(_xlfn.XLOOKUP(B1067,Table_Respons_Loket[Count],Table_Respons_Loket[Jenis Permohonan]),"")</f>
        <v>PLOTTING</v>
      </c>
      <c r="G1067" s="24"/>
      <c r="H1067" s="24"/>
      <c r="I1067" s="22" t="str">
        <f t="shared" si="7"/>
        <v/>
      </c>
      <c r="J1067" s="20" t="b">
        <v>0</v>
      </c>
      <c r="K1067" s="13" t="str">
        <f t="shared" si="8"/>
        <v/>
      </c>
    </row>
    <row r="1068" ht="22.5" customHeight="1">
      <c r="B1068" s="13">
        <f t="shared" si="3"/>
        <v>1062</v>
      </c>
      <c r="C1068" s="15" t="str">
        <f t="array" ref="C1068">IFNA(_xlfn.XLOOKUP(B1068,Table_Respons_Loket[Count],Table_Respons_Loket[Nomor Tiket]),"")</f>
        <v>K/33/111124/1</v>
      </c>
      <c r="D1068" s="15" t="str">
        <f t="array" ref="D1068">IFNA(_xlfn.XLOOKUP(B1068,Table_Respons_Loket[Count],Table_Respons_Loket[Daftar Nomor Hak]),"")</f>
        <v>M.2945/SUKARAME II</v>
      </c>
      <c r="E1068" s="17">
        <f t="array" ref="E1068">IFNA(_xlfn.XLOOKUP(B1068,Table_Respons_Loket[Count],Table_Respons_Loket[Time Stamp]),"")</f>
        <v>45607.60907</v>
      </c>
      <c r="F1068" s="18" t="str">
        <f t="array" ref="F1068">IFNA(_xlfn.XLOOKUP(B1068,Table_Respons_Loket[Count],Table_Respons_Loket[Jenis Permohonan]),"")</f>
        <v>BN JUAL BELI</v>
      </c>
      <c r="G1068" s="12" t="s">
        <v>48</v>
      </c>
      <c r="H1068" s="12" t="s">
        <v>52</v>
      </c>
      <c r="I1068" s="22">
        <f t="shared" si="7"/>
        <v>45608.44519</v>
      </c>
      <c r="J1068" s="20" t="b">
        <v>0</v>
      </c>
      <c r="K1068" s="13" t="str">
        <f t="shared" si="8"/>
        <v/>
      </c>
    </row>
    <row r="1069" ht="22.5" customHeight="1">
      <c r="B1069" s="13">
        <f t="shared" si="3"/>
        <v>1063</v>
      </c>
      <c r="C1069" s="15" t="str">
        <f t="array" ref="C1069">IFNA(_xlfn.XLOOKUP(B1069,Table_Respons_Loket[Count],Table_Respons_Loket[Nomor Tiket]),"")</f>
        <v>K/35/111124/1</v>
      </c>
      <c r="D1069" s="15" t="str">
        <f t="array" ref="D1069">IFNA(_xlfn.XLOOKUP(B1069,Table_Respons_Loket[Count],Table_Respons_Loket[Daftar Nomor Hak]),"")</f>
        <v>NIBEL M. 2683/ PENENGAHAN RAYA</v>
      </c>
      <c r="E1069" s="17">
        <f t="array" ref="E1069">IFNA(_xlfn.XLOOKUP(B1069,Table_Respons_Loket[Count],Table_Respons_Loket[Time Stamp]),"")</f>
        <v>45607.60975</v>
      </c>
      <c r="F1069" s="18" t="str">
        <f t="array" ref="F1069">IFNA(_xlfn.XLOOKUP(B1069,Table_Respons_Loket[Count],Table_Respons_Loket[Jenis Permohonan]),"")</f>
        <v>BN APHB</v>
      </c>
      <c r="G1069" s="24"/>
      <c r="H1069" s="24"/>
      <c r="I1069" s="22" t="str">
        <f t="shared" si="7"/>
        <v/>
      </c>
      <c r="J1069" s="20" t="b">
        <v>0</v>
      </c>
      <c r="K1069" s="13" t="str">
        <f t="shared" si="8"/>
        <v/>
      </c>
    </row>
    <row r="1070" ht="22.5" customHeight="1">
      <c r="B1070" s="13">
        <f t="shared" si="3"/>
        <v>1064</v>
      </c>
      <c r="C1070" s="15" t="str">
        <f t="array" ref="C1070">IFNA(_xlfn.XLOOKUP(B1070,Table_Respons_Loket[Count],Table_Respons_Loket[Nomor Tiket]),"")</f>
        <v>L/36/111124/1</v>
      </c>
      <c r="D1070" s="15" t="str">
        <f t="array" ref="D1070">IFNA(_xlfn.XLOOKUP(B1070,Table_Respons_Loket[Count],Table_Respons_Loket[Daftar Nomor Hak]),"")</f>
        <v>HM 1934/PENGAJARAN</v>
      </c>
      <c r="E1070" s="17">
        <f t="array" ref="E1070">IFNA(_xlfn.XLOOKUP(B1070,Table_Respons_Loket[Count],Table_Respons_Loket[Time Stamp]),"")</f>
        <v>45607.61286</v>
      </c>
      <c r="F1070" s="18" t="str">
        <f t="array" ref="F1070">IFNA(_xlfn.XLOOKUP(B1070,Table_Respons_Loket[Count],Table_Respons_Loket[Jenis Permohonan]),"")</f>
        <v>BN WARIS</v>
      </c>
      <c r="G1070" s="12" t="s">
        <v>48</v>
      </c>
      <c r="H1070" s="12" t="s">
        <v>52</v>
      </c>
      <c r="I1070" s="22">
        <f t="shared" si="7"/>
        <v>45608.44554</v>
      </c>
      <c r="J1070" s="20" t="b">
        <v>0</v>
      </c>
      <c r="K1070" s="13" t="str">
        <f t="shared" si="8"/>
        <v/>
      </c>
    </row>
    <row r="1071" ht="22.5" customHeight="1">
      <c r="B1071" s="13">
        <f t="shared" si="3"/>
        <v>1065</v>
      </c>
      <c r="C1071" s="15" t="str">
        <f t="array" ref="C1071">IFNA(_xlfn.XLOOKUP(B1071,Table_Respons_Loket[Count],Table_Respons_Loket[Nomor Tiket]),"")</f>
        <v>L/37/111124/1</v>
      </c>
      <c r="D1071" s="15" t="str">
        <f t="array" ref="D1071">IFNA(_xlfn.XLOOKUP(B1071,Table_Respons_Loket[Count],Table_Respons_Loket[Daftar Nomor Hak]),"")</f>
        <v>HM 17234/SUKARAME</v>
      </c>
      <c r="E1071" s="17">
        <f t="array" ref="E1071">IFNA(_xlfn.XLOOKUP(B1071,Table_Respons_Loket[Count],Table_Respons_Loket[Time Stamp]),"")</f>
        <v>45607.61733</v>
      </c>
      <c r="F1071" s="18" t="str">
        <f t="array" ref="F1071">IFNA(_xlfn.XLOOKUP(B1071,Table_Respons_Loket[Count],Table_Respons_Loket[Jenis Permohonan]),"")</f>
        <v>ROYA</v>
      </c>
      <c r="G1071" s="12" t="s">
        <v>48</v>
      </c>
      <c r="H1071" s="12" t="s">
        <v>47</v>
      </c>
      <c r="I1071" s="22" t="str">
        <f t="shared" si="7"/>
        <v/>
      </c>
      <c r="J1071" s="20" t="b">
        <v>0</v>
      </c>
      <c r="K1071" s="13" t="str">
        <f t="shared" si="8"/>
        <v/>
      </c>
    </row>
    <row r="1072" ht="22.5" customHeight="1">
      <c r="B1072" s="13">
        <f t="shared" si="3"/>
        <v>1066</v>
      </c>
      <c r="C1072" s="15" t="str">
        <f t="array" ref="C1072">IFNA(_xlfn.XLOOKUP(B1072,Table_Respons_Loket[Count],Table_Respons_Loket[Nomor Tiket]),"")</f>
        <v>K/38/111124/2</v>
      </c>
      <c r="D1072" s="15" t="str">
        <f t="array" ref="D1072">IFNA(_xlfn.XLOOKUP(B1072,Table_Respons_Loket[Count],Table_Respons_Loket[Daftar Nomor Hak]),"")</f>
        <v>M. 5933/ Way Kandis</v>
      </c>
      <c r="E1072" s="17">
        <f t="array" ref="E1072">IFNA(_xlfn.XLOOKUP(B1072,Table_Respons_Loket[Count],Table_Respons_Loket[Time Stamp]),"")</f>
        <v>45607.62588</v>
      </c>
      <c r="F1072" s="18" t="str">
        <f t="array" ref="F1072">IFNA(_xlfn.XLOOKUP(B1072,Table_Respons_Loket[Count],Table_Respons_Loket[Jenis Permohonan]),"")</f>
        <v>Pemecahan</v>
      </c>
      <c r="G1072" s="12" t="s">
        <v>48</v>
      </c>
      <c r="H1072" s="12" t="s">
        <v>47</v>
      </c>
      <c r="I1072" s="22" t="str">
        <f t="shared" si="7"/>
        <v/>
      </c>
      <c r="J1072" s="20" t="b">
        <v>0</v>
      </c>
      <c r="K1072" s="13" t="str">
        <f t="shared" si="8"/>
        <v/>
      </c>
    </row>
    <row r="1073" ht="22.5" customHeight="1">
      <c r="B1073" s="13">
        <f t="shared" si="3"/>
        <v>1067</v>
      </c>
      <c r="C1073" s="15" t="str">
        <f t="array" ref="C1073">IFNA(_xlfn.XLOOKUP(B1073,Table_Respons_Loket[Count],Table_Respons_Loket[Nomor Tiket]),"")</f>
        <v>K/39/111124/1</v>
      </c>
      <c r="D1073" s="15" t="str">
        <f t="array" ref="D1073">IFNA(_xlfn.XLOOKUP(B1073,Table_Respons_Loket[Count],Table_Respons_Loket[Daftar Nomor Hak]),"")</f>
        <v>M. 1775/ Rajabasa Pemuka</v>
      </c>
      <c r="E1073" s="17">
        <f t="array" ref="E1073">IFNA(_xlfn.XLOOKUP(B1073,Table_Respons_Loket[Count],Table_Respons_Loket[Time Stamp]),"")</f>
        <v>45607.62681</v>
      </c>
      <c r="F1073" s="18" t="str">
        <f t="array" ref="F1073">IFNA(_xlfn.XLOOKUP(B1073,Table_Respons_Loket[Count],Table_Respons_Loket[Jenis Permohonan]),"")</f>
        <v>BN JUAL BELI</v>
      </c>
      <c r="G1073" s="12" t="s">
        <v>48</v>
      </c>
      <c r="H1073" s="12" t="s">
        <v>47</v>
      </c>
      <c r="I1073" s="22" t="str">
        <f t="shared" si="7"/>
        <v/>
      </c>
      <c r="J1073" s="20" t="b">
        <v>0</v>
      </c>
      <c r="K1073" s="13" t="str">
        <f t="shared" si="8"/>
        <v/>
      </c>
    </row>
    <row r="1074" ht="22.5" customHeight="1">
      <c r="B1074" s="13">
        <f t="shared" si="3"/>
        <v>1068</v>
      </c>
      <c r="C1074" s="15" t="str">
        <f t="array" ref="C1074">IFNA(_xlfn.XLOOKUP(B1074,Table_Respons_Loket[Count],Table_Respons_Loket[Nomor Tiket]),"")</f>
        <v>K/40/111124/1</v>
      </c>
      <c r="D1074" s="15" t="str">
        <f t="array" ref="D1074">IFNA(_xlfn.XLOOKUP(B1074,Table_Respons_Loket[Count],Table_Respons_Loket[Daftar Nomor Hak]),"")</f>
        <v>M.868/BAKUNG</v>
      </c>
      <c r="E1074" s="17">
        <f t="array" ref="E1074">IFNA(_xlfn.XLOOKUP(B1074,Table_Respons_Loket[Count],Table_Respons_Loket[Time Stamp]),"")</f>
        <v>45607.62699</v>
      </c>
      <c r="F1074" s="18" t="str">
        <f t="array" ref="F1074">IFNA(_xlfn.XLOOKUP(B1074,Table_Respons_Loket[Count],Table_Respons_Loket[Jenis Permohonan]),"")</f>
        <v>KEWARISAN</v>
      </c>
      <c r="G1074" s="12" t="s">
        <v>48</v>
      </c>
      <c r="H1074" s="12" t="s">
        <v>52</v>
      </c>
      <c r="I1074" s="22">
        <f t="shared" si="7"/>
        <v>45608.4461</v>
      </c>
      <c r="J1074" s="20" t="b">
        <v>0</v>
      </c>
      <c r="K1074" s="13" t="str">
        <f t="shared" si="8"/>
        <v/>
      </c>
    </row>
    <row r="1075" ht="22.5" customHeight="1">
      <c r="B1075" s="13">
        <f t="shared" si="3"/>
        <v>1069</v>
      </c>
      <c r="C1075" s="15" t="str">
        <f t="array" ref="C1075">IFNA(_xlfn.XLOOKUP(B1075,Table_Respons_Loket[Count],Table_Respons_Loket[Nomor Tiket]),"")</f>
        <v>L/41/111124/1</v>
      </c>
      <c r="D1075" s="15" t="str">
        <f t="array" ref="D1075">IFNA(_xlfn.XLOOKUP(B1075,Table_Respons_Loket[Count],Table_Respons_Loket[Daftar Nomor Hak]),"")</f>
        <v>HM 4762/TANJUNG SENANG</v>
      </c>
      <c r="E1075" s="17">
        <f t="array" ref="E1075">IFNA(_xlfn.XLOOKUP(B1075,Table_Respons_Loket[Count],Table_Respons_Loket[Time Stamp]),"")</f>
        <v>45607.62809</v>
      </c>
      <c r="F1075" s="18" t="str">
        <f t="array" ref="F1075">IFNA(_xlfn.XLOOKUP(B1075,Table_Respons_Loket[Count],Table_Respons_Loket[Jenis Permohonan]),"")</f>
        <v>ROYA</v>
      </c>
      <c r="G1075" s="12" t="s">
        <v>48</v>
      </c>
      <c r="H1075" s="12" t="s">
        <v>47</v>
      </c>
      <c r="I1075" s="22" t="str">
        <f t="shared" si="7"/>
        <v/>
      </c>
      <c r="J1075" s="20" t="b">
        <v>0</v>
      </c>
      <c r="K1075" s="13" t="str">
        <f t="shared" si="8"/>
        <v/>
      </c>
    </row>
    <row r="1076" ht="22.5" customHeight="1">
      <c r="B1076" s="13">
        <f t="shared" si="3"/>
        <v>1070</v>
      </c>
      <c r="C1076" s="15" t="str">
        <f t="array" ref="C1076">IFNA(_xlfn.XLOOKUP(B1076,Table_Respons_Loket[Count],Table_Respons_Loket[Nomor Tiket]),"")</f>
        <v>K/42/111124/1</v>
      </c>
      <c r="D1076" s="15" t="str">
        <f t="array" ref="D1076">IFNA(_xlfn.XLOOKUP(B1076,Table_Respons_Loket[Count],Table_Respons_Loket[Daftar Nomor Hak]),"")</f>
        <v>M. 2213/ Labuhan Dalam</v>
      </c>
      <c r="E1076" s="17">
        <f t="array" ref="E1076">IFNA(_xlfn.XLOOKUP(B1076,Table_Respons_Loket[Count],Table_Respons_Loket[Time Stamp]),"")</f>
        <v>45607.63011</v>
      </c>
      <c r="F1076" s="18" t="str">
        <f t="array" ref="F1076">IFNA(_xlfn.XLOOKUP(B1076,Table_Respons_Loket[Count],Table_Respons_Loket[Jenis Permohonan]),"")</f>
        <v>Pemecahan</v>
      </c>
      <c r="G1076" s="12" t="s">
        <v>48</v>
      </c>
      <c r="H1076" s="12" t="s">
        <v>47</v>
      </c>
      <c r="I1076" s="22" t="str">
        <f t="shared" si="7"/>
        <v/>
      </c>
      <c r="J1076" s="20" t="b">
        <v>0</v>
      </c>
      <c r="K1076" s="13" t="str">
        <f t="shared" si="8"/>
        <v/>
      </c>
    </row>
    <row r="1077" ht="22.5" customHeight="1">
      <c r="B1077" s="13">
        <f t="shared" si="3"/>
        <v>1071</v>
      </c>
      <c r="C1077" s="15" t="str">
        <f t="array" ref="C1077">IFNA(_xlfn.XLOOKUP(B1077,Table_Respons_Loket[Count],Table_Respons_Loket[Nomor Tiket]),"")</f>
        <v>K/43/111124/1</v>
      </c>
      <c r="D1077" s="15" t="str">
        <f t="array" ref="D1077">IFNA(_xlfn.XLOOKUP(B1077,Table_Respons_Loket[Count],Table_Respons_Loket[Daftar Nomor Hak]),"")</f>
        <v>M. 8979/ JAGABAYA II</v>
      </c>
      <c r="E1077" s="17">
        <f t="array" ref="E1077">IFNA(_xlfn.XLOOKUP(B1077,Table_Respons_Loket[Count],Table_Respons_Loket[Time Stamp]),"")</f>
        <v>45607.63471</v>
      </c>
      <c r="F1077" s="18" t="str">
        <f t="array" ref="F1077">IFNA(_xlfn.XLOOKUP(B1077,Table_Respons_Loket[Count],Table_Respons_Loket[Jenis Permohonan]),"")</f>
        <v>GANTI KECAMATAN</v>
      </c>
      <c r="G1077" s="24"/>
      <c r="H1077" s="24"/>
      <c r="I1077" s="22" t="str">
        <f t="shared" si="7"/>
        <v/>
      </c>
      <c r="J1077" s="20" t="b">
        <v>0</v>
      </c>
      <c r="K1077" s="13" t="str">
        <f t="shared" si="8"/>
        <v/>
      </c>
    </row>
    <row r="1078" ht="22.5" customHeight="1">
      <c r="B1078" s="13">
        <f t="shared" si="3"/>
        <v>1072</v>
      </c>
      <c r="C1078" s="15" t="str">
        <f t="array" ref="C1078">IFNA(_xlfn.XLOOKUP(B1078,Table_Respons_Loket[Count],Table_Respons_Loket[Nomor Tiket]),"")</f>
        <v>K/44/111124/1</v>
      </c>
      <c r="D1078" s="15" t="str">
        <f t="array" ref="D1078">IFNA(_xlfn.XLOOKUP(B1078,Table_Respons_Loket[Count],Table_Respons_Loket[Daftar Nomor Hak]),"")</f>
        <v>M.18234/SUKARAME</v>
      </c>
      <c r="E1078" s="17">
        <f t="array" ref="E1078">IFNA(_xlfn.XLOOKUP(B1078,Table_Respons_Loket[Count],Table_Respons_Loket[Time Stamp]),"")</f>
        <v>45607.63996</v>
      </c>
      <c r="F1078" s="18" t="str">
        <f t="array" ref="F1078">IFNA(_xlfn.XLOOKUP(B1078,Table_Respons_Loket[Count],Table_Respons_Loket[Jenis Permohonan]),"")</f>
        <v>GANDES</v>
      </c>
      <c r="G1078" s="24"/>
      <c r="H1078" s="24"/>
      <c r="I1078" s="22" t="str">
        <f t="shared" si="7"/>
        <v/>
      </c>
      <c r="J1078" s="20" t="b">
        <v>0</v>
      </c>
      <c r="K1078" s="13" t="str">
        <f t="shared" si="8"/>
        <v/>
      </c>
    </row>
    <row r="1079" ht="22.5" customHeight="1">
      <c r="B1079" s="13">
        <f t="shared" si="3"/>
        <v>1073</v>
      </c>
      <c r="C1079" s="15" t="str">
        <f t="array" ref="C1079">IFNA(_xlfn.XLOOKUP(B1079,Table_Respons_Loket[Count],Table_Respons_Loket[Nomor Tiket]),"")</f>
        <v>K/45/111124/2</v>
      </c>
      <c r="D1079" s="15" t="str">
        <f t="array" ref="D1079">IFNA(_xlfn.XLOOKUP(B1079,Table_Respons_Loket[Count],Table_Respons_Loket[Daftar Nomor Hak]),"")</f>
        <v>B.277/ BAKUNG</v>
      </c>
      <c r="E1079" s="17">
        <f t="array" ref="E1079">IFNA(_xlfn.XLOOKUP(B1079,Table_Respons_Loket[Count],Table_Respons_Loket[Time Stamp]),"")</f>
        <v>45607.64183</v>
      </c>
      <c r="F1079" s="18" t="str">
        <f t="array" ref="F1079">IFNA(_xlfn.XLOOKUP(B1079,Table_Respons_Loket[Count],Table_Respons_Loket[Jenis Permohonan]),"")</f>
        <v>ROYA</v>
      </c>
      <c r="G1079" s="24"/>
      <c r="H1079" s="24"/>
      <c r="I1079" s="22" t="str">
        <f t="shared" si="7"/>
        <v/>
      </c>
      <c r="J1079" s="20" t="b">
        <v>0</v>
      </c>
      <c r="K1079" s="13" t="str">
        <f t="shared" si="8"/>
        <v/>
      </c>
    </row>
    <row r="1080" ht="22.5" customHeight="1">
      <c r="B1080" s="13">
        <f t="shared" si="3"/>
        <v>1074</v>
      </c>
      <c r="C1080" s="15" t="str">
        <f t="array" ref="C1080">IFNA(_xlfn.XLOOKUP(B1080,Table_Respons_Loket[Count],Table_Respons_Loket[Nomor Tiket]),"")</f>
        <v>K/34/111124/1</v>
      </c>
      <c r="D1080" s="15" t="str">
        <f t="array" ref="D1080">IFNA(_xlfn.XLOOKUP(B1080,Table_Respons_Loket[Count],Table_Respons_Loket[Daftar Nomor Hak]),"")</f>
        <v>M. 1320/ Gedong Air</v>
      </c>
      <c r="E1080" s="17">
        <f t="array" ref="E1080">IFNA(_xlfn.XLOOKUP(B1080,Table_Respons_Loket[Count],Table_Respons_Loket[Time Stamp]),"")</f>
        <v>45607.66096</v>
      </c>
      <c r="F1080" s="18" t="str">
        <f t="array" ref="F1080">IFNA(_xlfn.XLOOKUP(B1080,Table_Respons_Loket[Count],Table_Respons_Loket[Jenis Permohonan]),"")</f>
        <v>BN Jual Beli</v>
      </c>
      <c r="G1080" s="12" t="s">
        <v>48</v>
      </c>
      <c r="H1080" s="12" t="s">
        <v>52</v>
      </c>
      <c r="I1080" s="22">
        <f t="shared" si="7"/>
        <v>45614.66166</v>
      </c>
      <c r="J1080" s="20" t="b">
        <v>0</v>
      </c>
      <c r="K1080" s="13" t="str">
        <f t="shared" si="8"/>
        <v/>
      </c>
    </row>
    <row r="1081" ht="22.5" customHeight="1">
      <c r="B1081" s="13">
        <f t="shared" si="3"/>
        <v>1075</v>
      </c>
      <c r="C1081" s="15" t="str">
        <f t="array" ref="C1081">IFNA(_xlfn.XLOOKUP(B1081,Table_Respons_Loket[Count],Table_Respons_Loket[Nomor Tiket]),"")</f>
        <v>K/2/121124/1</v>
      </c>
      <c r="D1081" s="15" t="str">
        <f t="array" ref="D1081">IFNA(_xlfn.XLOOKUP(B1081,Table_Respons_Loket[Count],Table_Respons_Loket[Daftar Nomor Hak]),"")</f>
        <v>M. 7935/ Kedamaian</v>
      </c>
      <c r="E1081" s="17">
        <f t="array" ref="E1081">IFNA(_xlfn.XLOOKUP(B1081,Table_Respons_Loket[Count],Table_Respons_Loket[Time Stamp]),"")</f>
        <v>45608.38587</v>
      </c>
      <c r="F1081" s="18" t="str">
        <f t="array" ref="F1081">IFNA(_xlfn.XLOOKUP(B1081,Table_Respons_Loket[Count],Table_Respons_Loket[Jenis Permohonan]),"")</f>
        <v>GANTI KELURAHAN</v>
      </c>
      <c r="G1081" s="24"/>
      <c r="H1081" s="24"/>
      <c r="I1081" s="22" t="str">
        <f t="shared" si="7"/>
        <v/>
      </c>
      <c r="J1081" s="20" t="b">
        <v>0</v>
      </c>
      <c r="K1081" s="13" t="str">
        <f t="shared" si="8"/>
        <v/>
      </c>
    </row>
    <row r="1082" ht="22.5" customHeight="1">
      <c r="B1082" s="13">
        <f t="shared" si="3"/>
        <v>1076</v>
      </c>
      <c r="C1082" s="15" t="str">
        <f t="array" ref="C1082">IFNA(_xlfn.XLOOKUP(B1082,Table_Respons_Loket[Count],Table_Respons_Loket[Nomor Tiket]),"")</f>
        <v>K/1/121124/1</v>
      </c>
      <c r="D1082" s="15" t="str">
        <f t="array" ref="D1082">IFNA(_xlfn.XLOOKUP(B1082,Table_Respons_Loket[Count],Table_Respons_Loket[Daftar Nomor Hak]),"")</f>
        <v>B. 215/ Kota Baru</v>
      </c>
      <c r="E1082" s="17">
        <f t="array" ref="E1082">IFNA(_xlfn.XLOOKUP(B1082,Table_Respons_Loket[Count],Table_Respons_Loket[Time Stamp]),"")</f>
        <v>45608.38677</v>
      </c>
      <c r="F1082" s="18" t="str">
        <f t="array" ref="F1082">IFNA(_xlfn.XLOOKUP(B1082,Table_Respons_Loket[Count],Table_Respons_Loket[Jenis Permohonan]),"")</f>
        <v>Perubahan Hak</v>
      </c>
      <c r="G1082" s="12" t="s">
        <v>48</v>
      </c>
      <c r="H1082" s="12" t="s">
        <v>52</v>
      </c>
      <c r="I1082" s="22">
        <f t="shared" si="7"/>
        <v>45614.66166</v>
      </c>
      <c r="J1082" s="20" t="b">
        <v>0</v>
      </c>
      <c r="K1082" s="13" t="str">
        <f t="shared" si="8"/>
        <v/>
      </c>
    </row>
    <row r="1083" ht="22.5" customHeight="1">
      <c r="B1083" s="13">
        <f t="shared" si="3"/>
        <v>1077</v>
      </c>
      <c r="C1083" s="15" t="str">
        <f t="array" ref="C1083">IFNA(_xlfn.XLOOKUP(B1083,Table_Respons_Loket[Count],Table_Respons_Loket[Nomor Tiket]),"")</f>
        <v>K/3/121124/2</v>
      </c>
      <c r="D1083" s="15" t="str">
        <f t="array" ref="D1083">IFNA(_xlfn.XLOOKUP(B1083,Table_Respons_Loket[Count],Table_Respons_Loket[Daftar Nomor Hak]),"")</f>
        <v>M. 181/ Bumi Kedamaian; SHT 05715/2018</v>
      </c>
      <c r="E1083" s="17">
        <f t="array" ref="E1083">IFNA(_xlfn.XLOOKUP(B1083,Table_Respons_Loket[Count],Table_Respons_Loket[Time Stamp]),"")</f>
        <v>45608.38953</v>
      </c>
      <c r="F1083" s="18" t="str">
        <f t="array" ref="F1083">IFNA(_xlfn.XLOOKUP(B1083,Table_Respons_Loket[Count],Table_Respons_Loket[Jenis Permohonan]),"")</f>
        <v>ROYA</v>
      </c>
      <c r="G1083" s="12" t="s">
        <v>48</v>
      </c>
      <c r="H1083" s="12" t="s">
        <v>47</v>
      </c>
      <c r="I1083" s="22" t="str">
        <f t="shared" si="7"/>
        <v/>
      </c>
      <c r="J1083" s="20" t="b">
        <v>0</v>
      </c>
      <c r="K1083" s="13" t="str">
        <f t="shared" si="8"/>
        <v/>
      </c>
    </row>
    <row r="1084" ht="22.5" customHeight="1">
      <c r="B1084" s="13">
        <f t="shared" si="3"/>
        <v>1078</v>
      </c>
      <c r="C1084" s="15" t="str">
        <f t="array" ref="C1084">IFNA(_xlfn.XLOOKUP(B1084,Table_Respons_Loket[Count],Table_Respons_Loket[Nomor Tiket]),"")</f>
        <v>K/4/121124/1</v>
      </c>
      <c r="D1084" s="15" t="str">
        <f t="array" ref="D1084">IFNA(_xlfn.XLOOKUP(B1084,Table_Respons_Loket[Count],Table_Respons_Loket[Daftar Nomor Hak]),"")</f>
        <v>M. 1541/ Keteguhan</v>
      </c>
      <c r="E1084" s="17">
        <f t="array" ref="E1084">IFNA(_xlfn.XLOOKUP(B1084,Table_Respons_Loket[Count],Table_Respons_Loket[Time Stamp]),"")</f>
        <v>45608.3938</v>
      </c>
      <c r="F1084" s="18" t="str">
        <f t="array" ref="F1084">IFNA(_xlfn.XLOOKUP(B1084,Table_Respons_Loket[Count],Table_Respons_Loket[Jenis Permohonan]),"")</f>
        <v>BN PHB</v>
      </c>
      <c r="G1084" s="12" t="s">
        <v>48</v>
      </c>
      <c r="H1084" s="12" t="s">
        <v>52</v>
      </c>
      <c r="I1084" s="22">
        <f t="shared" si="7"/>
        <v>45614.66166</v>
      </c>
      <c r="J1084" s="20" t="b">
        <v>0</v>
      </c>
      <c r="K1084" s="13" t="str">
        <f t="shared" si="8"/>
        <v/>
      </c>
    </row>
    <row r="1085" ht="22.5" customHeight="1">
      <c r="B1085" s="13">
        <f t="shared" si="3"/>
        <v>1079</v>
      </c>
      <c r="C1085" s="15" t="str">
        <f t="array" ref="C1085">IFNA(_xlfn.XLOOKUP(B1085,Table_Respons_Loket[Count],Table_Respons_Loket[Nomor Tiket]),"")</f>
        <v>K/5/121124/1</v>
      </c>
      <c r="D1085" s="15" t="str">
        <f t="array" ref="D1085">IFNA(_xlfn.XLOOKUP(B1085,Table_Respons_Loket[Count],Table_Respons_Loket[Daftar Nomor Hak]),"")</f>
        <v>M.67/SUMBEREJO SEJAHTERA</v>
      </c>
      <c r="E1085" s="17">
        <f t="array" ref="E1085">IFNA(_xlfn.XLOOKUP(B1085,Table_Respons_Loket[Count],Table_Respons_Loket[Time Stamp]),"")</f>
        <v>45608.40215</v>
      </c>
      <c r="F1085" s="18" t="str">
        <f t="array" ref="F1085">IFNA(_xlfn.XLOOKUP(B1085,Table_Respons_Loket[Count],Table_Respons_Loket[Jenis Permohonan]),"")</f>
        <v>SKPT LELANG</v>
      </c>
      <c r="G1085" s="24"/>
      <c r="H1085" s="24"/>
      <c r="I1085" s="22" t="str">
        <f t="shared" si="7"/>
        <v/>
      </c>
      <c r="J1085" s="20" t="b">
        <v>0</v>
      </c>
      <c r="K1085" s="13" t="str">
        <f t="shared" si="8"/>
        <v/>
      </c>
    </row>
    <row r="1086" ht="22.5" customHeight="1">
      <c r="B1086" s="13">
        <f t="shared" si="3"/>
        <v>1080</v>
      </c>
      <c r="C1086" s="15" t="str">
        <f t="array" ref="C1086">IFNA(_xlfn.XLOOKUP(B1086,Table_Respons_Loket[Count],Table_Respons_Loket[Nomor Tiket]),"")</f>
        <v>K/6/121124/2</v>
      </c>
      <c r="D1086" s="15" t="str">
        <f t="array" ref="D1086">IFNA(_xlfn.XLOOKUP(B1086,Table_Respons_Loket[Count],Table_Respons_Loket[Daftar Nomor Hak]),"")</f>
        <v>B.865/KETEGUHAN </v>
      </c>
      <c r="E1086" s="17">
        <f t="array" ref="E1086">IFNA(_xlfn.XLOOKUP(B1086,Table_Respons_Loket[Count],Table_Respons_Loket[Time Stamp]),"")</f>
        <v>45608.4029</v>
      </c>
      <c r="F1086" s="18" t="str">
        <f t="array" ref="F1086">IFNA(_xlfn.XLOOKUP(B1086,Table_Respons_Loket[Count],Table_Respons_Loket[Jenis Permohonan]),"")</f>
        <v>SKPT LELANG</v>
      </c>
      <c r="G1086" s="24"/>
      <c r="H1086" s="24"/>
      <c r="I1086" s="22" t="str">
        <f t="shared" si="7"/>
        <v/>
      </c>
      <c r="J1086" s="20" t="b">
        <v>0</v>
      </c>
      <c r="K1086" s="13" t="str">
        <f t="shared" si="8"/>
        <v/>
      </c>
    </row>
    <row r="1087" ht="22.5" customHeight="1">
      <c r="B1087" s="13">
        <f t="shared" si="3"/>
        <v>1081</v>
      </c>
      <c r="C1087" s="15" t="str">
        <f t="array" ref="C1087">IFNA(_xlfn.XLOOKUP(B1087,Table_Respons_Loket[Count],Table_Respons_Loket[Nomor Tiket]),"")</f>
        <v>K/7/121124/1</v>
      </c>
      <c r="D1087" s="15" t="str">
        <f t="array" ref="D1087">IFNA(_xlfn.XLOOKUP(B1087,Table_Respons_Loket[Count],Table_Respons_Loket[Daftar Nomor Hak]),"")</f>
        <v>M. 1103/ Sukamaju</v>
      </c>
      <c r="E1087" s="17">
        <f t="array" ref="E1087">IFNA(_xlfn.XLOOKUP(B1087,Table_Respons_Loket[Count],Table_Respons_Loket[Time Stamp]),"")</f>
        <v>45608.40883</v>
      </c>
      <c r="F1087" s="18" t="str">
        <f t="array" ref="F1087">IFNA(_xlfn.XLOOKUP(B1087,Table_Respons_Loket[Count],Table_Respons_Loket[Jenis Permohonan]),"")</f>
        <v>BN Waris</v>
      </c>
      <c r="G1087" s="12" t="s">
        <v>48</v>
      </c>
      <c r="H1087" s="12" t="s">
        <v>47</v>
      </c>
      <c r="I1087" s="22" t="str">
        <f t="shared" si="7"/>
        <v/>
      </c>
      <c r="J1087" s="20" t="b">
        <v>0</v>
      </c>
      <c r="K1087" s="13" t="str">
        <f t="shared" si="8"/>
        <v/>
      </c>
    </row>
    <row r="1088" ht="22.5" customHeight="1">
      <c r="B1088" s="13">
        <f t="shared" si="3"/>
        <v>1082</v>
      </c>
      <c r="C1088" s="15" t="str">
        <f t="array" ref="C1088">IFNA(_xlfn.XLOOKUP(B1088,Table_Respons_Loket[Count],Table_Respons_Loket[Nomor Tiket]),"")</f>
        <v>K/8/121124/1</v>
      </c>
      <c r="D1088" s="15" t="str">
        <f t="array" ref="D1088">IFNA(_xlfn.XLOOKUP(B1088,Table_Respons_Loket[Count],Table_Respons_Loket[Daftar Nomor Hak]),"")</f>
        <v>M. 467/ Kota Sepang</v>
      </c>
      <c r="E1088" s="17">
        <f t="array" ref="E1088">IFNA(_xlfn.XLOOKUP(B1088,Table_Respons_Loket[Count],Table_Respons_Loket[Time Stamp]),"")</f>
        <v>45608.41071</v>
      </c>
      <c r="F1088" s="18" t="str">
        <f t="array" ref="F1088">IFNA(_xlfn.XLOOKUP(B1088,Table_Respons_Loket[Count],Table_Respons_Loket[Jenis Permohonan]),"")</f>
        <v>BN JUAL BELI</v>
      </c>
      <c r="G1088" s="12" t="s">
        <v>48</v>
      </c>
      <c r="H1088" s="12" t="s">
        <v>47</v>
      </c>
      <c r="I1088" s="22" t="str">
        <f t="shared" si="7"/>
        <v/>
      </c>
      <c r="J1088" s="20" t="b">
        <v>0</v>
      </c>
      <c r="K1088" s="13" t="str">
        <f t="shared" si="8"/>
        <v/>
      </c>
    </row>
    <row r="1089" ht="22.5" customHeight="1">
      <c r="B1089" s="13">
        <f t="shared" si="3"/>
        <v>1083</v>
      </c>
      <c r="C1089" s="15" t="str">
        <f t="array" ref="C1089">IFNA(_xlfn.XLOOKUP(B1089,Table_Respons_Loket[Count],Table_Respons_Loket[Nomor Tiket]),"")</f>
        <v>K/9/121124/2</v>
      </c>
      <c r="D1089" s="15" t="str">
        <f t="array" ref="D1089">IFNA(_xlfn.XLOOKUP(B1089,Table_Respons_Loket[Count],Table_Respons_Loket[Daftar Nomor Hak]),"")</f>
        <v>Nibel 2551/ Bumi raya</v>
      </c>
      <c r="E1089" s="17">
        <f t="array" ref="E1089">IFNA(_xlfn.XLOOKUP(B1089,Table_Respons_Loket[Count],Table_Respons_Loket[Time Stamp]),"")</f>
        <v>45608.41305</v>
      </c>
      <c r="F1089" s="18" t="str">
        <f t="array" ref="F1089">IFNA(_xlfn.XLOOKUP(B1089,Table_Respons_Loket[Count],Table_Respons_Loket[Jenis Permohonan]),"")</f>
        <v>BN PHB</v>
      </c>
      <c r="G1089" s="24"/>
      <c r="H1089" s="24"/>
      <c r="I1089" s="22" t="str">
        <f t="shared" si="7"/>
        <v/>
      </c>
      <c r="J1089" s="20" t="b">
        <v>0</v>
      </c>
      <c r="K1089" s="13" t="str">
        <f t="shared" si="8"/>
        <v/>
      </c>
    </row>
    <row r="1090" ht="22.5" customHeight="1">
      <c r="B1090" s="13">
        <f t="shared" si="3"/>
        <v>1084</v>
      </c>
      <c r="C1090" s="15" t="str">
        <f t="array" ref="C1090">IFNA(_xlfn.XLOOKUP(B1090,Table_Respons_Loket[Count],Table_Respons_Loket[Nomor Tiket]),"")</f>
        <v> K/14/171024/5</v>
      </c>
      <c r="D1090" s="15" t="str">
        <f t="array" ref="D1090">IFNA(_xlfn.XLOOKUP(B1090,Table_Respons_Loket[Count],Table_Respons_Loket[Daftar Nomor Hak]),"")</f>
        <v>M. 2465/ Pinang Jaya</v>
      </c>
      <c r="E1090" s="17">
        <f t="array" ref="E1090">IFNA(_xlfn.XLOOKUP(B1090,Table_Respons_Loket[Count],Table_Respons_Loket[Time Stamp]),"")</f>
        <v>45608.41586</v>
      </c>
      <c r="F1090" s="18" t="str">
        <f t="array" ref="F1090">IFNA(_xlfn.XLOOKUP(B1090,Table_Respons_Loket[Count],Table_Respons_Loket[Jenis Permohonan]),"")</f>
        <v>BN JUAL BELI</v>
      </c>
      <c r="G1090" s="12" t="s">
        <v>48</v>
      </c>
      <c r="H1090" s="12" t="s">
        <v>47</v>
      </c>
      <c r="I1090" s="22" t="str">
        <f t="shared" si="7"/>
        <v/>
      </c>
      <c r="J1090" s="20" t="b">
        <v>0</v>
      </c>
      <c r="K1090" s="13" t="str">
        <f t="shared" si="8"/>
        <v/>
      </c>
    </row>
    <row r="1091" ht="22.5" customHeight="1">
      <c r="B1091" s="13">
        <f t="shared" si="3"/>
        <v>1085</v>
      </c>
      <c r="C1091" s="15" t="str">
        <f t="array" ref="C1091">IFNA(_xlfn.XLOOKUP(B1091,Table_Respons_Loket[Count],Table_Respons_Loket[Nomor Tiket]),"")</f>
        <v>K/10/121124/1</v>
      </c>
      <c r="D1091" s="15" t="str">
        <f t="array" ref="D1091">IFNA(_xlfn.XLOOKUP(B1091,Table_Respons_Loket[Count],Table_Respons_Loket[Daftar Nomor Hak]),"")</f>
        <v>M. 370/ Campang Raya </v>
      </c>
      <c r="E1091" s="17">
        <f t="array" ref="E1091">IFNA(_xlfn.XLOOKUP(B1091,Table_Respons_Loket[Count],Table_Respons_Loket[Time Stamp]),"")</f>
        <v>45608.42975</v>
      </c>
      <c r="F1091" s="18" t="str">
        <f t="array" ref="F1091">IFNA(_xlfn.XLOOKUP(B1091,Table_Respons_Loket[Count],Table_Respons_Loket[Jenis Permohonan]),"")</f>
        <v>ROYA</v>
      </c>
      <c r="G1091" s="12" t="s">
        <v>48</v>
      </c>
      <c r="H1091" s="12" t="s">
        <v>52</v>
      </c>
      <c r="I1091" s="22">
        <f t="shared" si="7"/>
        <v>45614.66166</v>
      </c>
      <c r="J1091" s="20" t="b">
        <v>0</v>
      </c>
      <c r="K1091" s="13" t="str">
        <f t="shared" si="8"/>
        <v/>
      </c>
    </row>
    <row r="1092" ht="22.5" customHeight="1">
      <c r="B1092" s="13">
        <f t="shared" si="3"/>
        <v>1086</v>
      </c>
      <c r="C1092" s="15" t="str">
        <f t="array" ref="C1092">IFNA(_xlfn.XLOOKUP(B1092,Table_Respons_Loket[Count],Table_Respons_Loket[Nomor Tiket]),"")</f>
        <v>K/11/121124/1</v>
      </c>
      <c r="D1092" s="15" t="str">
        <f t="array" ref="D1092">IFNA(_xlfn.XLOOKUP(B1092,Table_Respons_Loket[Count],Table_Respons_Loket[Daftar Nomor Hak]),"")</f>
        <v>M.5073/RAJABASA JAYA</v>
      </c>
      <c r="E1092" s="17">
        <f t="array" ref="E1092">IFNA(_xlfn.XLOOKUP(B1092,Table_Respons_Loket[Count],Table_Respons_Loket[Time Stamp]),"")</f>
        <v>45608.43062</v>
      </c>
      <c r="F1092" s="18" t="str">
        <f t="array" ref="F1092">IFNA(_xlfn.XLOOKUP(B1092,Table_Respons_Loket[Count],Table_Respons_Loket[Jenis Permohonan]),"")</f>
        <v>BN JUAL BELI</v>
      </c>
      <c r="G1092" s="12" t="s">
        <v>48</v>
      </c>
      <c r="H1092" s="12" t="s">
        <v>52</v>
      </c>
      <c r="I1092" s="22">
        <f t="shared" si="7"/>
        <v>45614.66166</v>
      </c>
      <c r="J1092" s="20" t="b">
        <v>0</v>
      </c>
      <c r="K1092" s="13" t="str">
        <f t="shared" si="8"/>
        <v/>
      </c>
    </row>
    <row r="1093" ht="22.5" customHeight="1">
      <c r="B1093" s="13">
        <f t="shared" si="3"/>
        <v>1087</v>
      </c>
      <c r="C1093" s="15" t="str">
        <f t="array" ref="C1093">IFNA(_xlfn.XLOOKUP(B1093,Table_Respons_Loket[Count],Table_Respons_Loket[Nomor Tiket]),"")</f>
        <v>K/12/121124/2</v>
      </c>
      <c r="D1093" s="15" t="str">
        <f t="array" ref="D1093">IFNA(_xlfn.XLOOKUP(B1093,Table_Respons_Loket[Count],Table_Respons_Loket[Daftar Nomor Hak]),"")</f>
        <v>M.2462/PINANG JAYA</v>
      </c>
      <c r="E1093" s="17">
        <f t="array" ref="E1093">IFNA(_xlfn.XLOOKUP(B1093,Table_Respons_Loket[Count],Table_Respons_Loket[Time Stamp]),"")</f>
        <v>45608.43149</v>
      </c>
      <c r="F1093" s="18" t="str">
        <f t="array" ref="F1093">IFNA(_xlfn.XLOOKUP(B1093,Table_Respons_Loket[Count],Table_Respons_Loket[Jenis Permohonan]),"")</f>
        <v>BN JUAL BELI</v>
      </c>
      <c r="G1093" s="12" t="s">
        <v>48</v>
      </c>
      <c r="H1093" s="12" t="s">
        <v>52</v>
      </c>
      <c r="I1093" s="22">
        <f t="shared" si="7"/>
        <v>45614.66166</v>
      </c>
      <c r="J1093" s="20" t="b">
        <v>0</v>
      </c>
      <c r="K1093" s="13" t="str">
        <f t="shared" si="8"/>
        <v/>
      </c>
    </row>
    <row r="1094" ht="22.5" customHeight="1">
      <c r="B1094" s="13">
        <f t="shared" si="3"/>
        <v>1088</v>
      </c>
      <c r="C1094" s="15" t="str">
        <f t="array" ref="C1094">IFNA(_xlfn.XLOOKUP(B1094,Table_Respons_Loket[Count],Table_Respons_Loket[Nomor Tiket]),"")</f>
        <v>L/13/121124/1</v>
      </c>
      <c r="D1094" s="15" t="str">
        <f t="array" ref="D1094">IFNA(_xlfn.XLOOKUP(B1094,Table_Respons_Loket[Count],Table_Respons_Loket[Daftar Nomor Hak]),"")</f>
        <v>NIB 7691/SUKARAME</v>
      </c>
      <c r="E1094" s="17">
        <f t="array" ref="E1094">IFNA(_xlfn.XLOOKUP(B1094,Table_Respons_Loket[Count],Table_Respons_Loket[Time Stamp]),"")</f>
        <v>45608.44055</v>
      </c>
      <c r="F1094" s="18" t="str">
        <f t="array" ref="F1094">IFNA(_xlfn.XLOOKUP(B1094,Table_Respons_Loket[Count],Table_Respons_Loket[Jenis Permohonan]),"")</f>
        <v>GANDES</v>
      </c>
      <c r="G1094" s="24"/>
      <c r="H1094" s="24"/>
      <c r="I1094" s="22" t="str">
        <f t="shared" si="7"/>
        <v/>
      </c>
      <c r="J1094" s="20" t="b">
        <v>0</v>
      </c>
      <c r="K1094" s="13" t="str">
        <f t="shared" si="8"/>
        <v/>
      </c>
    </row>
    <row r="1095" ht="22.5" customHeight="1">
      <c r="B1095" s="13">
        <f t="shared" si="3"/>
        <v>1089</v>
      </c>
      <c r="C1095" s="15" t="str">
        <f t="array" ref="C1095">IFNA(_xlfn.XLOOKUP(B1095,Table_Respons_Loket[Count],Table_Respons_Loket[Nomor Tiket]),"")</f>
        <v>K/14/121124/1</v>
      </c>
      <c r="D1095" s="15" t="str">
        <f t="array" ref="D1095">IFNA(_xlfn.XLOOKUP(B1095,Table_Respons_Loket[Count],Table_Respons_Loket[Daftar Nomor Hak]),"")</f>
        <v>M. 1004/ Gunung Agung-SEKARANG; M. 9784/ SEGALA MIDER-DAHULU</v>
      </c>
      <c r="E1095" s="17">
        <f t="array" ref="E1095">IFNA(_xlfn.XLOOKUP(B1095,Table_Respons_Loket[Count],Table_Respons_Loket[Time Stamp]),"")</f>
        <v>45608.44278</v>
      </c>
      <c r="F1095" s="18" t="str">
        <f t="array" ref="F1095">IFNA(_xlfn.XLOOKUP(B1095,Table_Respons_Loket[Count],Table_Respons_Loket[Jenis Permohonan]),"")</f>
        <v>BN HIBAH</v>
      </c>
      <c r="G1095" s="12" t="s">
        <v>48</v>
      </c>
      <c r="H1095" s="12" t="s">
        <v>47</v>
      </c>
      <c r="I1095" s="22" t="str">
        <f t="shared" si="7"/>
        <v/>
      </c>
      <c r="J1095" s="20" t="b">
        <v>0</v>
      </c>
      <c r="K1095" s="13" t="str">
        <f t="shared" si="8"/>
        <v/>
      </c>
    </row>
    <row r="1096" ht="22.5" customHeight="1">
      <c r="B1096" s="13">
        <f t="shared" si="3"/>
        <v>1090</v>
      </c>
      <c r="C1096" s="15" t="str">
        <f t="array" ref="C1096">IFNA(_xlfn.XLOOKUP(B1096,Table_Respons_Loket[Count],Table_Respons_Loket[Nomor Tiket]),"")</f>
        <v>K/16/121124/1</v>
      </c>
      <c r="D1096" s="15" t="str">
        <f t="array" ref="D1096">IFNA(_xlfn.XLOOKUP(B1096,Table_Respons_Loket[Count],Table_Respons_Loket[Daftar Nomor Hak]),"")</f>
        <v>M. 253/ Kemiling Permai</v>
      </c>
      <c r="E1096" s="17">
        <f t="array" ref="E1096">IFNA(_xlfn.XLOOKUP(B1096,Table_Respons_Loket[Count],Table_Respons_Loket[Time Stamp]),"")</f>
        <v>45608.44264</v>
      </c>
      <c r="F1096" s="18" t="str">
        <f t="array" ref="F1096">IFNA(_xlfn.XLOOKUP(B1096,Table_Respons_Loket[Count],Table_Respons_Loket[Jenis Permohonan]),"")</f>
        <v>Penurunan Hak</v>
      </c>
      <c r="G1096" s="12" t="s">
        <v>48</v>
      </c>
      <c r="H1096" s="12" t="s">
        <v>52</v>
      </c>
      <c r="I1096" s="22">
        <f t="shared" si="7"/>
        <v>45614.66166</v>
      </c>
      <c r="J1096" s="20" t="b">
        <v>0</v>
      </c>
      <c r="K1096" s="13" t="str">
        <f t="shared" si="8"/>
        <v/>
      </c>
    </row>
    <row r="1097" ht="22.5" customHeight="1">
      <c r="B1097" s="13">
        <f t="shared" si="3"/>
        <v>1091</v>
      </c>
      <c r="C1097" s="15" t="str">
        <f t="array" ref="C1097">IFNA(_xlfn.XLOOKUP(B1097,Table_Respons_Loket[Count],Table_Respons_Loket[Nomor Tiket]),"")</f>
        <v>K/15/121124/2</v>
      </c>
      <c r="D1097" s="15" t="str">
        <f t="array" ref="D1097">IFNA(_xlfn.XLOOKUP(B1097,Table_Respons_Loket[Count],Table_Respons_Loket[Daftar Nomor Hak]),"")</f>
        <v>M. 787, 786, 773/ Rajabasa Jaya</v>
      </c>
      <c r="E1097" s="17">
        <f t="array" ref="E1097">IFNA(_xlfn.XLOOKUP(B1097,Table_Respons_Loket[Count],Table_Respons_Loket[Time Stamp]),"")</f>
        <v>45608.44574</v>
      </c>
      <c r="F1097" s="18" t="str">
        <f t="array" ref="F1097">IFNA(_xlfn.XLOOKUP(B1097,Table_Respons_Loket[Count],Table_Respons_Loket[Jenis Permohonan]),"")</f>
        <v>ROYA</v>
      </c>
      <c r="G1097" s="12" t="s">
        <v>48</v>
      </c>
      <c r="H1097" s="12" t="s">
        <v>52</v>
      </c>
      <c r="I1097" s="22">
        <f t="shared" si="7"/>
        <v>45614.66166</v>
      </c>
      <c r="J1097" s="20" t="b">
        <v>0</v>
      </c>
      <c r="K1097" s="13" t="str">
        <f t="shared" si="8"/>
        <v/>
      </c>
      <c r="L1097" s="1" t="s">
        <v>509</v>
      </c>
    </row>
    <row r="1098" ht="22.5" customHeight="1">
      <c r="B1098" s="13">
        <f t="shared" si="3"/>
        <v>1092</v>
      </c>
      <c r="C1098" s="15" t="str">
        <f t="array" ref="C1098">IFNA(_xlfn.XLOOKUP(B1098,Table_Respons_Loket[Count],Table_Respons_Loket[Nomor Tiket]),"")</f>
        <v>K/17/121124/3</v>
      </c>
      <c r="D1098" s="15" t="str">
        <f t="array" ref="D1098">IFNA(_xlfn.XLOOKUP(B1098,Table_Respons_Loket[Count],Table_Respons_Loket[Daftar Nomor Hak]),"")</f>
        <v>M.15/RAJABASA JAYA</v>
      </c>
      <c r="E1098" s="17">
        <f t="array" ref="E1098">IFNA(_xlfn.XLOOKUP(B1098,Table_Respons_Loket[Count],Table_Respons_Loket[Time Stamp]),"")</f>
        <v>45608.44637</v>
      </c>
      <c r="F1098" s="18" t="str">
        <f t="array" ref="F1098">IFNA(_xlfn.XLOOKUP(B1098,Table_Respons_Loket[Count],Table_Respons_Loket[Jenis Permohonan]),"")</f>
        <v>ROYA</v>
      </c>
      <c r="G1098" s="12" t="s">
        <v>48</v>
      </c>
      <c r="H1098" s="12" t="s">
        <v>52</v>
      </c>
      <c r="I1098" s="22">
        <f t="shared" si="7"/>
        <v>45614.66166</v>
      </c>
      <c r="J1098" s="20" t="b">
        <v>0</v>
      </c>
      <c r="K1098" s="13" t="str">
        <f t="shared" si="8"/>
        <v/>
      </c>
    </row>
    <row r="1099" ht="22.5" customHeight="1">
      <c r="B1099" s="13">
        <f t="shared" si="3"/>
        <v>1093</v>
      </c>
      <c r="C1099" s="15" t="str">
        <f t="array" ref="C1099">IFNA(_xlfn.XLOOKUP(B1099,Table_Respons_Loket[Count],Table_Respons_Loket[Nomor Tiket]),"")</f>
        <v>K/18/121124/1</v>
      </c>
      <c r="D1099" s="15" t="str">
        <f t="array" ref="D1099">IFNA(_xlfn.XLOOKUP(B1099,Table_Respons_Loket[Count],Table_Respons_Loket[Daftar Nomor Hak]),"")</f>
        <v>Nibel 5278/ kemiling raya</v>
      </c>
      <c r="E1099" s="17">
        <f t="array" ref="E1099">IFNA(_xlfn.XLOOKUP(B1099,Table_Respons_Loket[Count],Table_Respons_Loket[Time Stamp]),"")</f>
        <v>45608.44737</v>
      </c>
      <c r="F1099" s="18" t="str">
        <f t="array" ref="F1099">IFNA(_xlfn.XLOOKUP(B1099,Table_Respons_Loket[Count],Table_Respons_Loket[Jenis Permohonan]),"")</f>
        <v>BN LELANG</v>
      </c>
      <c r="G1099" s="24"/>
      <c r="H1099" s="24"/>
      <c r="I1099" s="22" t="str">
        <f t="shared" si="7"/>
        <v/>
      </c>
      <c r="J1099" s="20" t="b">
        <v>0</v>
      </c>
      <c r="K1099" s="13" t="str">
        <f t="shared" si="8"/>
        <v/>
      </c>
    </row>
    <row r="1100" ht="22.5" customHeight="1">
      <c r="B1100" s="13">
        <f t="shared" si="3"/>
        <v>1094</v>
      </c>
      <c r="C1100" s="15" t="str">
        <f t="array" ref="C1100">IFNA(_xlfn.XLOOKUP(B1100,Table_Respons_Loket[Count],Table_Respons_Loket[Nomor Tiket]),"")</f>
        <v>K/19/121124/1</v>
      </c>
      <c r="D1100" s="15" t="str">
        <f t="array" ref="D1100">IFNA(_xlfn.XLOOKUP(B1100,Table_Respons_Loket[Count],Table_Respons_Loket[Daftar Nomor Hak]),"")</f>
        <v>B. 225/ LABUHAN RATU RAYA</v>
      </c>
      <c r="E1100" s="17">
        <f t="array" ref="E1100">IFNA(_xlfn.XLOOKUP(B1100,Table_Respons_Loket[Count],Table_Respons_Loket[Time Stamp]),"")</f>
        <v>45608.45385</v>
      </c>
      <c r="F1100" s="18" t="str">
        <f t="array" ref="F1100">IFNA(_xlfn.XLOOKUP(B1100,Table_Respons_Loket[Count],Table_Respons_Loket[Jenis Permohonan]),"")</f>
        <v>PH</v>
      </c>
      <c r="G1100" s="12" t="s">
        <v>48</v>
      </c>
      <c r="H1100" s="12" t="s">
        <v>47</v>
      </c>
      <c r="I1100" s="22" t="str">
        <f t="shared" si="7"/>
        <v/>
      </c>
      <c r="J1100" s="20" t="b">
        <v>0</v>
      </c>
      <c r="K1100" s="13" t="str">
        <f t="shared" si="8"/>
        <v/>
      </c>
    </row>
    <row r="1101" ht="22.5" customHeight="1">
      <c r="B1101" s="13">
        <f t="shared" si="3"/>
        <v>1095</v>
      </c>
      <c r="C1101" s="15" t="str">
        <f t="array" ref="C1101">IFNA(_xlfn.XLOOKUP(B1101,Table_Respons_Loket[Count],Table_Respons_Loket[Nomor Tiket]),"")</f>
        <v>K/20/121124/1</v>
      </c>
      <c r="D1101" s="15" t="str">
        <f t="array" ref="D1101">IFNA(_xlfn.XLOOKUP(B1101,Table_Respons_Loket[Count],Table_Respons_Loket[Daftar Nomor Hak]),"")</f>
        <v>M.18944/SUKARAME I-SEKARANG;B.5019/SUKARAME I-DAHULU</v>
      </c>
      <c r="E1101" s="17">
        <f t="array" ref="E1101">IFNA(_xlfn.XLOOKUP(B1101,Table_Respons_Loket[Count],Table_Respons_Loket[Time Stamp]),"")</f>
        <v>45608.45222</v>
      </c>
      <c r="F1101" s="18" t="str">
        <f t="array" ref="F1101">IFNA(_xlfn.XLOOKUP(B1101,Table_Respons_Loket[Count],Table_Respons_Loket[Jenis Permohonan]),"")</f>
        <v>PLOTING</v>
      </c>
      <c r="G1101" s="24"/>
      <c r="H1101" s="24"/>
      <c r="I1101" s="22" t="str">
        <f t="shared" si="7"/>
        <v/>
      </c>
      <c r="J1101" s="20" t="b">
        <v>0</v>
      </c>
      <c r="K1101" s="13" t="str">
        <f t="shared" si="8"/>
        <v/>
      </c>
    </row>
    <row r="1102" ht="22.5" customHeight="1">
      <c r="B1102" s="13">
        <f t="shared" si="3"/>
        <v>1096</v>
      </c>
      <c r="C1102" s="15" t="str">
        <f t="array" ref="C1102">IFNA(_xlfn.XLOOKUP(B1102,Table_Respons_Loket[Count],Table_Respons_Loket[Nomor Tiket]),"")</f>
        <v>K/21/121124/1</v>
      </c>
      <c r="D1102" s="15" t="str">
        <f t="array" ref="D1102">IFNA(_xlfn.XLOOKUP(B1102,Table_Respons_Loket[Count],Table_Respons_Loket[Daftar Nomor Hak]),"")</f>
        <v>M. 12302/ Jagabaya II</v>
      </c>
      <c r="E1102" s="17">
        <f t="array" ref="E1102">IFNA(_xlfn.XLOOKUP(B1102,Table_Respons_Loket[Count],Table_Respons_Loket[Time Stamp]),"")</f>
        <v>45608.45593</v>
      </c>
      <c r="F1102" s="18" t="str">
        <f t="array" ref="F1102">IFNA(_xlfn.XLOOKUP(B1102,Table_Respons_Loket[Count],Table_Respons_Loket[Jenis Permohonan]),"")</f>
        <v>PTPGT (Pemecahan)</v>
      </c>
      <c r="G1102" s="12" t="s">
        <v>48</v>
      </c>
      <c r="H1102" s="12" t="s">
        <v>52</v>
      </c>
      <c r="I1102" s="22">
        <f t="shared" si="7"/>
        <v>45614.66166</v>
      </c>
      <c r="J1102" s="20" t="b">
        <v>0</v>
      </c>
      <c r="K1102" s="13" t="str">
        <f t="shared" si="8"/>
        <v/>
      </c>
    </row>
    <row r="1103" ht="22.5" customHeight="1">
      <c r="B1103" s="13">
        <f t="shared" si="3"/>
        <v>1097</v>
      </c>
      <c r="C1103" s="15" t="str">
        <f t="array" ref="C1103">IFNA(_xlfn.XLOOKUP(B1103,Table_Respons_Loket[Count],Table_Respons_Loket[Nomor Tiket]),"")</f>
        <v>L/22/121124/1</v>
      </c>
      <c r="D1103" s="15" t="str">
        <f t="array" ref="D1103">IFNA(_xlfn.XLOOKUP(B1103,Table_Respons_Loket[Count],Table_Respons_Loket[Daftar Nomor Hak]),"")</f>
        <v>KEMILING PERMAI</v>
      </c>
      <c r="E1103" s="17">
        <f t="array" ref="E1103">IFNA(_xlfn.XLOOKUP(B1103,Table_Respons_Loket[Count],Table_Respons_Loket[Time Stamp]),"")</f>
        <v>45608.45639</v>
      </c>
      <c r="F1103" s="18" t="str">
        <f t="array" ref="F1103">IFNA(_xlfn.XLOOKUP(B1103,Table_Respons_Loket[Count],Table_Respons_Loket[Jenis Permohonan]),"")</f>
        <v>PERMOHONAN SK</v>
      </c>
      <c r="G1103" s="24"/>
      <c r="H1103" s="24"/>
      <c r="I1103" s="22" t="str">
        <f t="shared" si="7"/>
        <v/>
      </c>
      <c r="J1103" s="20" t="b">
        <v>0</v>
      </c>
      <c r="K1103" s="13" t="str">
        <f t="shared" si="8"/>
        <v/>
      </c>
    </row>
    <row r="1104" ht="22.5" customHeight="1">
      <c r="B1104" s="13">
        <f t="shared" si="3"/>
        <v>1098</v>
      </c>
      <c r="C1104" s="15" t="str">
        <f t="array" ref="C1104">IFNA(_xlfn.XLOOKUP(B1104,Table_Respons_Loket[Count],Table_Respons_Loket[Nomor Tiket]),"")</f>
        <v>K/23/121124/1</v>
      </c>
      <c r="D1104" s="15" t="str">
        <f t="array" ref="D1104">IFNA(_xlfn.XLOOKUP(B1104,Table_Respons_Loket[Count],Table_Respons_Loket[Daftar Nomor Hak]),"")</f>
        <v>Nibel 1221/ Durian Payung</v>
      </c>
      <c r="E1104" s="17">
        <f t="array" ref="E1104">IFNA(_xlfn.XLOOKUP(B1104,Table_Respons_Loket[Count],Table_Respons_Loket[Time Stamp]),"")</f>
        <v>45608.46094</v>
      </c>
      <c r="F1104" s="18" t="str">
        <f t="array" ref="F1104">IFNA(_xlfn.XLOOKUP(B1104,Table_Respons_Loket[Count],Table_Respons_Loket[Jenis Permohonan]),"")</f>
        <v>PERUBAHAN HAK</v>
      </c>
      <c r="G1104" s="24"/>
      <c r="H1104" s="24"/>
      <c r="I1104" s="22" t="str">
        <f t="shared" si="7"/>
        <v/>
      </c>
      <c r="J1104" s="20" t="b">
        <v>0</v>
      </c>
      <c r="K1104" s="13" t="str">
        <f t="shared" si="8"/>
        <v/>
      </c>
    </row>
    <row r="1105" ht="22.5" customHeight="1">
      <c r="B1105" s="13">
        <f t="shared" si="3"/>
        <v>1099</v>
      </c>
      <c r="C1105" s="15" t="str">
        <f t="array" ref="C1105">IFNA(_xlfn.XLOOKUP(B1105,Table_Respons_Loket[Count],Table_Respons_Loket[Nomor Tiket]),"")</f>
        <v>K/25/121124/1</v>
      </c>
      <c r="D1105" s="15" t="str">
        <f t="array" ref="D1105">IFNA(_xlfn.XLOOKUP(B1105,Table_Respons_Loket[Count],Table_Respons_Loket[Daftar Nomor Hak]),"")</f>
        <v>M. 2237/LANGKAPURA</v>
      </c>
      <c r="E1105" s="17">
        <f t="array" ref="E1105">IFNA(_xlfn.XLOOKUP(B1105,Table_Respons_Loket[Count],Table_Respons_Loket[Time Stamp]),"")</f>
        <v>45608.47485</v>
      </c>
      <c r="F1105" s="18" t="str">
        <f t="array" ref="F1105">IFNA(_xlfn.XLOOKUP(B1105,Table_Respons_Loket[Count],Table_Respons_Loket[Jenis Permohonan]),"")</f>
        <v>ROYA</v>
      </c>
      <c r="G1105" s="12" t="s">
        <v>48</v>
      </c>
      <c r="H1105" s="12" t="s">
        <v>52</v>
      </c>
      <c r="I1105" s="22">
        <f t="shared" si="7"/>
        <v>45614.66166</v>
      </c>
      <c r="J1105" s="20" t="b">
        <v>0</v>
      </c>
      <c r="K1105" s="13" t="str">
        <f t="shared" si="8"/>
        <v/>
      </c>
    </row>
    <row r="1106" ht="22.5" customHeight="1">
      <c r="B1106" s="13">
        <f t="shared" si="3"/>
        <v>1100</v>
      </c>
      <c r="C1106" s="15" t="str">
        <f t="array" ref="C1106">IFNA(_xlfn.XLOOKUP(B1106,Table_Respons_Loket[Count],Table_Respons_Loket[Nomor Tiket]),"")</f>
        <v>K/24/121124/2</v>
      </c>
      <c r="D1106" s="15" t="str">
        <f t="array" ref="D1106">IFNA(_xlfn.XLOOKUP(B1106,Table_Respons_Loket[Count],Table_Respons_Loket[Daftar Nomor Hak]),"")</f>
        <v>B. 668/ Sukabumi Indah</v>
      </c>
      <c r="E1106" s="17">
        <f t="array" ref="E1106">IFNA(_xlfn.XLOOKUP(B1106,Table_Respons_Loket[Count],Table_Respons_Loket[Time Stamp]),"")</f>
        <v>45608.46953</v>
      </c>
      <c r="F1106" s="18" t="str">
        <f t="array" ref="F1106">IFNA(_xlfn.XLOOKUP(B1106,Table_Respons_Loket[Count],Table_Respons_Loket[Jenis Permohonan]),"")</f>
        <v>BN JUAL BELI</v>
      </c>
      <c r="G1106" s="12" t="s">
        <v>50</v>
      </c>
      <c r="H1106" s="12" t="s">
        <v>52</v>
      </c>
      <c r="I1106" s="22">
        <f t="shared" si="7"/>
        <v>45614.66166</v>
      </c>
      <c r="J1106" s="20" t="b">
        <v>0</v>
      </c>
      <c r="K1106" s="13" t="str">
        <f t="shared" si="8"/>
        <v/>
      </c>
    </row>
    <row r="1107" ht="22.5" customHeight="1">
      <c r="B1107" s="13">
        <f t="shared" si="3"/>
        <v>1101</v>
      </c>
      <c r="C1107" s="15" t="str">
        <f t="array" ref="C1107">IFNA(_xlfn.XLOOKUP(B1107,Table_Respons_Loket[Count],Table_Respons_Loket[Nomor Tiket]),"")</f>
        <v>K/26/121124/3</v>
      </c>
      <c r="D1107" s="15" t="str">
        <f t="array" ref="D1107">IFNA(_xlfn.XLOOKUP(B1107,Table_Respons_Loket[Count],Table_Respons_Loket[Daftar Nomor Hak]),"")</f>
        <v>M. 16695/ Sukabumi</v>
      </c>
      <c r="E1107" s="17">
        <f t="array" ref="E1107">IFNA(_xlfn.XLOOKUP(B1107,Table_Respons_Loket[Count],Table_Respons_Loket[Time Stamp]),"")</f>
        <v>45608.47736</v>
      </c>
      <c r="F1107" s="18" t="str">
        <f t="array" ref="F1107">IFNA(_xlfn.XLOOKUP(B1107,Table_Respons_Loket[Count],Table_Respons_Loket[Jenis Permohonan]),"")</f>
        <v>BN JUAL BELI</v>
      </c>
      <c r="G1107" s="12" t="s">
        <v>50</v>
      </c>
      <c r="H1107" s="12" t="s">
        <v>47</v>
      </c>
      <c r="I1107" s="22" t="str">
        <f t="shared" si="7"/>
        <v/>
      </c>
      <c r="J1107" s="20" t="b">
        <v>0</v>
      </c>
      <c r="K1107" s="13" t="str">
        <f t="shared" si="8"/>
        <v/>
      </c>
    </row>
    <row r="1108" ht="22.5" customHeight="1">
      <c r="B1108" s="13">
        <f t="shared" si="3"/>
        <v>1102</v>
      </c>
      <c r="C1108" s="15" t="str">
        <f t="array" ref="C1108">IFNA(_xlfn.XLOOKUP(B1108,Table_Respons_Loket[Count],Table_Respons_Loket[Nomor Tiket]),"")</f>
        <v>L/27/121124/1</v>
      </c>
      <c r="D1108" s="15" t="str">
        <f t="array" ref="D1108">IFNA(_xlfn.XLOOKUP(B1108,Table_Respons_Loket[Count],Table_Respons_Loket[Daftar Nomor Hak]),"")</f>
        <v>HM 10312/SUKABUMI</v>
      </c>
      <c r="E1108" s="17">
        <f t="array" ref="E1108">IFNA(_xlfn.XLOOKUP(B1108,Table_Respons_Loket[Count],Table_Respons_Loket[Time Stamp]),"")</f>
        <v>45608.47977</v>
      </c>
      <c r="F1108" s="18" t="str">
        <f t="array" ref="F1108">IFNA(_xlfn.XLOOKUP(B1108,Table_Respons_Loket[Count],Table_Respons_Loket[Jenis Permohonan]),"")</f>
        <v>PTPGT</v>
      </c>
      <c r="G1108" s="24"/>
      <c r="H1108" s="24"/>
      <c r="I1108" s="22" t="str">
        <f t="shared" si="7"/>
        <v/>
      </c>
      <c r="J1108" s="20" t="b">
        <v>0</v>
      </c>
      <c r="K1108" s="13" t="str">
        <f t="shared" si="8"/>
        <v/>
      </c>
    </row>
    <row r="1109" ht="22.5" customHeight="1">
      <c r="B1109" s="13">
        <f t="shared" si="3"/>
        <v>1103</v>
      </c>
      <c r="C1109" s="15" t="str">
        <f t="array" ref="C1109">IFNA(_xlfn.XLOOKUP(B1109,Table_Respons_Loket[Count],Table_Respons_Loket[Nomor Tiket]),"")</f>
        <v>K/28/121124/1</v>
      </c>
      <c r="D1109" s="15" t="str">
        <f t="array" ref="D1109">IFNA(_xlfn.XLOOKUP(B1109,Table_Respons_Loket[Count],Table_Respons_Loket[Daftar Nomor Hak]),"")</f>
        <v>Nibel. M. 8263/ Pesawahan</v>
      </c>
      <c r="E1109" s="17">
        <f t="array" ref="E1109">IFNA(_xlfn.XLOOKUP(B1109,Table_Respons_Loket[Count],Table_Respons_Loket[Time Stamp]),"")</f>
        <v>45608.48531</v>
      </c>
      <c r="F1109" s="18" t="str">
        <f t="array" ref="F1109">IFNA(_xlfn.XLOOKUP(B1109,Table_Respons_Loket[Count],Table_Respons_Loket[Jenis Permohonan]),"")</f>
        <v>BN Waris</v>
      </c>
      <c r="G1109" s="24"/>
      <c r="H1109" s="24"/>
      <c r="I1109" s="22" t="str">
        <f t="shared" si="7"/>
        <v/>
      </c>
      <c r="J1109" s="20" t="b">
        <v>0</v>
      </c>
      <c r="K1109" s="13" t="str">
        <f t="shared" si="8"/>
        <v/>
      </c>
    </row>
    <row r="1110" ht="22.5" customHeight="1">
      <c r="B1110" s="13">
        <f t="shared" si="3"/>
        <v>1104</v>
      </c>
      <c r="C1110" s="15" t="str">
        <f t="array" ref="C1110">IFNA(_xlfn.XLOOKUP(B1110,Table_Respons_Loket[Count],Table_Respons_Loket[Nomor Tiket]),"")</f>
        <v>L/29/121124/1</v>
      </c>
      <c r="D1110" s="15" t="str">
        <f t="array" ref="D1110">IFNA(_xlfn.XLOOKUP(B1110,Table_Respons_Loket[Count],Table_Respons_Loket[Daftar Nomor Hak]),"")</f>
        <v>HM 358/WHP</v>
      </c>
      <c r="E1110" s="17">
        <f t="array" ref="E1110">IFNA(_xlfn.XLOOKUP(B1110,Table_Respons_Loket[Count],Table_Respons_Loket[Time Stamp]),"")</f>
        <v>45608.4859</v>
      </c>
      <c r="F1110" s="18" t="str">
        <f t="array" ref="F1110">IFNA(_xlfn.XLOOKUP(B1110,Table_Respons_Loket[Count],Table_Respons_Loket[Jenis Permohonan]),"")</f>
        <v>ROYA</v>
      </c>
      <c r="G1110" s="12" t="s">
        <v>50</v>
      </c>
      <c r="H1110" s="12" t="s">
        <v>47</v>
      </c>
      <c r="I1110" s="22" t="str">
        <f t="shared" si="7"/>
        <v/>
      </c>
      <c r="J1110" s="20" t="b">
        <v>0</v>
      </c>
      <c r="K1110" s="13" t="str">
        <f t="shared" si="8"/>
        <v/>
      </c>
    </row>
    <row r="1111" ht="22.5" customHeight="1">
      <c r="B1111" s="13">
        <f t="shared" si="3"/>
        <v>1105</v>
      </c>
      <c r="C1111" s="15" t="str">
        <f t="array" ref="C1111">IFNA(_xlfn.XLOOKUP(B1111,Table_Respons_Loket[Count],Table_Respons_Loket[Nomor Tiket]),"")</f>
        <v>K/30/121124/1</v>
      </c>
      <c r="D1111" s="15" t="str">
        <f t="array" ref="D1111">IFNA(_xlfn.XLOOKUP(B1111,Table_Respons_Loket[Count],Table_Respons_Loket[Daftar Nomor Hak]),"")</f>
        <v>M.1142/BUMI KEDAMAIAN</v>
      </c>
      <c r="E1111" s="17">
        <f t="array" ref="E1111">IFNA(_xlfn.XLOOKUP(B1111,Table_Respons_Loket[Count],Table_Respons_Loket[Time Stamp]),"")</f>
        <v>45608.49062</v>
      </c>
      <c r="F1111" s="18" t="str">
        <f t="array" ref="F1111">IFNA(_xlfn.XLOOKUP(B1111,Table_Respons_Loket[Count],Table_Respons_Loket[Jenis Permohonan]),"")</f>
        <v>BN JUAL BELI</v>
      </c>
      <c r="G1111" s="12" t="s">
        <v>50</v>
      </c>
      <c r="H1111" s="12" t="s">
        <v>52</v>
      </c>
      <c r="I1111" s="22">
        <f t="shared" si="7"/>
        <v>45614.66166</v>
      </c>
      <c r="J1111" s="20" t="b">
        <v>0</v>
      </c>
      <c r="K1111" s="13" t="str">
        <f t="shared" si="8"/>
        <v/>
      </c>
    </row>
    <row r="1112" ht="22.5" customHeight="1">
      <c r="B1112" s="13">
        <f t="shared" si="3"/>
        <v>1106</v>
      </c>
      <c r="C1112" s="15" t="str">
        <f t="array" ref="C1112">IFNA(_xlfn.XLOOKUP(B1112,Table_Respons_Loket[Count],Table_Respons_Loket[Nomor Tiket]),"")</f>
        <v>K/31/121124/2</v>
      </c>
      <c r="D1112" s="15" t="str">
        <f t="array" ref="D1112">IFNA(_xlfn.XLOOKUP(B1112,Table_Respons_Loket[Count],Table_Respons_Loket[Daftar Nomor Hak]),"")</f>
        <v>M.14216/RAJABASA</v>
      </c>
      <c r="E1112" s="17">
        <f t="array" ref="E1112">IFNA(_xlfn.XLOOKUP(B1112,Table_Respons_Loket[Count],Table_Respons_Loket[Time Stamp]),"")</f>
        <v>45608.49126</v>
      </c>
      <c r="F1112" s="18" t="str">
        <f t="array" ref="F1112">IFNA(_xlfn.XLOOKUP(B1112,Table_Respons_Loket[Count],Table_Respons_Loket[Jenis Permohonan]),"")</f>
        <v>ROYA</v>
      </c>
      <c r="G1112" s="12" t="s">
        <v>50</v>
      </c>
      <c r="H1112" s="12" t="s">
        <v>47</v>
      </c>
      <c r="I1112" s="22" t="str">
        <f t="shared" si="7"/>
        <v/>
      </c>
      <c r="J1112" s="20" t="b">
        <v>0</v>
      </c>
      <c r="K1112" s="13" t="str">
        <f t="shared" si="8"/>
        <v/>
      </c>
    </row>
    <row r="1113" ht="22.5" customHeight="1">
      <c r="B1113" s="13">
        <f t="shared" si="3"/>
        <v>1107</v>
      </c>
      <c r="C1113" s="15" t="str">
        <f t="array" ref="C1113">IFNA(_xlfn.XLOOKUP(B1113,Table_Respons_Loket[Count],Table_Respons_Loket[Nomor Tiket]),"")</f>
        <v>K/32/121124/3</v>
      </c>
      <c r="D1113" s="15" t="str">
        <f t="array" ref="D1113">IFNA(_xlfn.XLOOKUP(B1113,Table_Respons_Loket[Count],Table_Respons_Loket[Daftar Nomor Hak]),"")</f>
        <v>B.1269/SUMBERREJO</v>
      </c>
      <c r="E1113" s="17">
        <f t="array" ref="E1113">IFNA(_xlfn.XLOOKUP(B1113,Table_Respons_Loket[Count],Table_Respons_Loket[Time Stamp]),"")</f>
        <v>45608.49194</v>
      </c>
      <c r="F1113" s="18" t="str">
        <f t="array" ref="F1113">IFNA(_xlfn.XLOOKUP(B1113,Table_Respons_Loket[Count],Table_Respons_Loket[Jenis Permohonan]),"")</f>
        <v>PLOTING</v>
      </c>
      <c r="G1113" s="24"/>
      <c r="H1113" s="24"/>
      <c r="I1113" s="22" t="str">
        <f t="shared" si="7"/>
        <v/>
      </c>
      <c r="J1113" s="20" t="b">
        <v>0</v>
      </c>
      <c r="K1113" s="13" t="str">
        <f t="shared" si="8"/>
        <v/>
      </c>
    </row>
    <row r="1114" ht="22.5" customHeight="1">
      <c r="B1114" s="13">
        <f t="shared" si="3"/>
        <v>1108</v>
      </c>
      <c r="C1114" s="15" t="str">
        <f t="array" ref="C1114">IFNA(_xlfn.XLOOKUP(B1114,Table_Respons_Loket[Count],Table_Respons_Loket[Nomor Tiket]),"")</f>
        <v>L/33/121124/1</v>
      </c>
      <c r="D1114" s="15" t="str">
        <f t="array" ref="D1114">IFNA(_xlfn.XLOOKUP(B1114,Table_Respons_Loket[Count],Table_Respons_Loket[Daftar Nomor Hak]),"")</f>
        <v>HM 838/PINANG JAYA</v>
      </c>
      <c r="E1114" s="17">
        <f t="array" ref="E1114">IFNA(_xlfn.XLOOKUP(B1114,Table_Respons_Loket[Count],Table_Respons_Loket[Time Stamp]),"")</f>
        <v>45608.54654</v>
      </c>
      <c r="F1114" s="18" t="str">
        <f t="array" ref="F1114">IFNA(_xlfn.XLOOKUP(B1114,Table_Respons_Loket[Count],Table_Respons_Loket[Jenis Permohonan]),"")</f>
        <v>ROYA</v>
      </c>
      <c r="G1114" s="12" t="s">
        <v>50</v>
      </c>
      <c r="H1114" s="12" t="s">
        <v>52</v>
      </c>
      <c r="I1114" s="22">
        <f t="shared" si="7"/>
        <v>45614.66166</v>
      </c>
      <c r="J1114" s="20" t="b">
        <v>0</v>
      </c>
      <c r="K1114" s="13" t="str">
        <f t="shared" si="8"/>
        <v/>
      </c>
    </row>
    <row r="1115" ht="22.5" customHeight="1">
      <c r="B1115" s="13">
        <f t="shared" si="3"/>
        <v>1109</v>
      </c>
      <c r="C1115" s="15" t="str">
        <f t="array" ref="C1115">IFNA(_xlfn.XLOOKUP(B1115,Table_Respons_Loket[Count],Table_Respons_Loket[Nomor Tiket]),"")</f>
        <v>K/34/121124/1</v>
      </c>
      <c r="D1115" s="15" t="str">
        <f t="array" ref="D1115">IFNA(_xlfn.XLOOKUP(B1115,Table_Respons_Loket[Count],Table_Respons_Loket[Daftar Nomor Hak]),"")</f>
        <v>M. 121/ Enggal</v>
      </c>
      <c r="E1115" s="17">
        <f t="array" ref="E1115">IFNA(_xlfn.XLOOKUP(B1115,Table_Respons_Loket[Count],Table_Respons_Loket[Time Stamp]),"")</f>
        <v>45608.54897</v>
      </c>
      <c r="F1115" s="18" t="str">
        <f t="array" ref="F1115">IFNA(_xlfn.XLOOKUP(B1115,Table_Respons_Loket[Count],Table_Respons_Loket[Jenis Permohonan]),"")</f>
        <v>BN Waris</v>
      </c>
      <c r="G1115" s="12" t="s">
        <v>50</v>
      </c>
      <c r="H1115" s="12" t="s">
        <v>47</v>
      </c>
      <c r="I1115" s="22" t="str">
        <f t="shared" si="7"/>
        <v/>
      </c>
      <c r="J1115" s="20" t="b">
        <v>0</v>
      </c>
      <c r="K1115" s="13" t="str">
        <f t="shared" si="8"/>
        <v/>
      </c>
    </row>
    <row r="1116" ht="22.5" customHeight="1">
      <c r="B1116" s="13">
        <f t="shared" si="3"/>
        <v>1110</v>
      </c>
      <c r="C1116" s="15" t="str">
        <f t="array" ref="C1116">IFNA(_xlfn.XLOOKUP(B1116,Table_Respons_Loket[Count],Table_Respons_Loket[Nomor Tiket]),"")</f>
        <v>K/36/121124/1</v>
      </c>
      <c r="D1116" s="15" t="str">
        <f t="array" ref="D1116">IFNA(_xlfn.XLOOKUP(B1116,Table_Respons_Loket[Count],Table_Respons_Loket[Daftar Nomor Hak]),"")</f>
        <v>M.1599/WAY KANDIS</v>
      </c>
      <c r="E1116" s="17">
        <f t="array" ref="E1116">IFNA(_xlfn.XLOOKUP(B1116,Table_Respons_Loket[Count],Table_Respons_Loket[Time Stamp]),"")</f>
        <v>45608.56285</v>
      </c>
      <c r="F1116" s="18" t="str">
        <f t="array" ref="F1116">IFNA(_xlfn.XLOOKUP(B1116,Table_Respons_Loket[Count],Table_Respons_Loket[Jenis Permohonan]),"")</f>
        <v>GANDES</v>
      </c>
      <c r="G1116" s="24"/>
      <c r="H1116" s="24"/>
      <c r="I1116" s="22" t="str">
        <f t="shared" si="7"/>
        <v/>
      </c>
      <c r="J1116" s="20" t="b">
        <v>0</v>
      </c>
      <c r="K1116" s="13" t="str">
        <f t="shared" si="8"/>
        <v/>
      </c>
    </row>
    <row r="1117" ht="22.5" customHeight="1">
      <c r="B1117" s="13">
        <f t="shared" si="3"/>
        <v>1111</v>
      </c>
      <c r="C1117" s="15" t="str">
        <f t="array" ref="C1117">IFNA(_xlfn.XLOOKUP(B1117,Table_Respons_Loket[Count],Table_Respons_Loket[Nomor Tiket]),"")</f>
        <v>L/37/121124/1</v>
      </c>
      <c r="D1117" s="15" t="str">
        <f t="array" ref="D1117">IFNA(_xlfn.XLOOKUP(B1117,Table_Respons_Loket[Count],Table_Respons_Loket[Daftar Nomor Hak]),"")</f>
        <v>NIB7348/TANJUNG BARU</v>
      </c>
      <c r="E1117" s="17">
        <f t="array" ref="E1117">IFNA(_xlfn.XLOOKUP(B1117,Table_Respons_Loket[Count],Table_Respons_Loket[Time Stamp]),"")</f>
        <v>45608.56343</v>
      </c>
      <c r="F1117" s="18" t="str">
        <f t="array" ref="F1117">IFNA(_xlfn.XLOOKUP(B1117,Table_Respons_Loket[Count],Table_Respons_Loket[Jenis Permohonan]),"")</f>
        <v>PH</v>
      </c>
      <c r="G1117" s="24"/>
      <c r="H1117" s="24"/>
      <c r="I1117" s="22" t="str">
        <f t="shared" si="7"/>
        <v/>
      </c>
      <c r="J1117" s="20" t="b">
        <v>0</v>
      </c>
      <c r="K1117" s="13" t="str">
        <f t="shared" si="8"/>
        <v/>
      </c>
    </row>
    <row r="1118" ht="22.5" customHeight="1">
      <c r="B1118" s="13">
        <f t="shared" si="3"/>
        <v>1112</v>
      </c>
      <c r="C1118" s="15" t="str">
        <f t="array" ref="C1118">IFNA(_xlfn.XLOOKUP(B1118,Table_Respons_Loket[Count],Table_Respons_Loket[Nomor Tiket]),"")</f>
        <v>K/35/121124/1</v>
      </c>
      <c r="D1118" s="15" t="str">
        <f t="array" ref="D1118">IFNA(_xlfn.XLOOKUP(B1118,Table_Respons_Loket[Count],Table_Respons_Loket[Daftar Nomor Hak]),"")</f>
        <v>M. 1892/LANGKAPURA</v>
      </c>
      <c r="E1118" s="17">
        <f t="array" ref="E1118">IFNA(_xlfn.XLOOKUP(B1118,Table_Respons_Loket[Count],Table_Respons_Loket[Time Stamp]),"")</f>
        <v>45608.566</v>
      </c>
      <c r="F1118" s="18" t="str">
        <f t="array" ref="F1118">IFNA(_xlfn.XLOOKUP(B1118,Table_Respons_Loket[Count],Table_Respons_Loket[Jenis Permohonan]),"")</f>
        <v>GANDES</v>
      </c>
      <c r="G1118" s="24"/>
      <c r="H1118" s="24"/>
      <c r="I1118" s="22" t="str">
        <f t="shared" si="7"/>
        <v/>
      </c>
      <c r="J1118" s="20" t="b">
        <v>0</v>
      </c>
      <c r="K1118" s="13" t="str">
        <f t="shared" si="8"/>
        <v/>
      </c>
    </row>
    <row r="1119" ht="22.5" customHeight="1">
      <c r="B1119" s="13">
        <f t="shared" si="3"/>
        <v>1113</v>
      </c>
      <c r="C1119" s="15" t="str">
        <f t="array" ref="C1119">IFNA(_xlfn.XLOOKUP(B1119,Table_Respons_Loket[Count],Table_Respons_Loket[Nomor Tiket]),"")</f>
        <v>K/38/121124/1</v>
      </c>
      <c r="D1119" s="15" t="str">
        <f t="array" ref="D1119">IFNA(_xlfn.XLOOKUP(B1119,Table_Respons_Loket[Count],Table_Respons_Loket[Daftar Nomor Hak]),"")</f>
        <v>M. 1833/ Rajabasa Jaya</v>
      </c>
      <c r="E1119" s="17">
        <f t="array" ref="E1119">IFNA(_xlfn.XLOOKUP(B1119,Table_Respons_Loket[Count],Table_Respons_Loket[Time Stamp]),"")</f>
        <v>45608.56962</v>
      </c>
      <c r="F1119" s="18" t="str">
        <f t="array" ref="F1119">IFNA(_xlfn.XLOOKUP(B1119,Table_Respons_Loket[Count],Table_Respons_Loket[Jenis Permohonan]),"")</f>
        <v>Penataan Batas</v>
      </c>
      <c r="G1119" s="12" t="s">
        <v>50</v>
      </c>
      <c r="H1119" s="12" t="s">
        <v>47</v>
      </c>
      <c r="I1119" s="22" t="str">
        <f t="shared" si="7"/>
        <v/>
      </c>
      <c r="J1119" s="20" t="b">
        <v>0</v>
      </c>
      <c r="K1119" s="13" t="str">
        <f t="shared" si="8"/>
        <v/>
      </c>
    </row>
    <row r="1120" ht="22.5" customHeight="1">
      <c r="B1120" s="13">
        <f t="shared" si="3"/>
        <v>1114</v>
      </c>
      <c r="C1120" s="15" t="str">
        <f t="array" ref="C1120">IFNA(_xlfn.XLOOKUP(B1120,Table_Respons_Loket[Count],Table_Respons_Loket[Nomor Tiket]),"")</f>
        <v>L/39/121124/1</v>
      </c>
      <c r="D1120" s="15" t="str">
        <f t="array" ref="D1120">IFNA(_xlfn.XLOOKUP(B1120,Table_Respons_Loket[Count],Table_Respons_Loket[Daftar Nomor Hak]),"")</f>
        <v>HM 614/RAJABASA PEMUKA</v>
      </c>
      <c r="E1120" s="17">
        <f t="array" ref="E1120">IFNA(_xlfn.XLOOKUP(B1120,Table_Respons_Loket[Count],Table_Respons_Loket[Time Stamp]),"")</f>
        <v>45608.57385</v>
      </c>
      <c r="F1120" s="18" t="str">
        <f t="array" ref="F1120">IFNA(_xlfn.XLOOKUP(B1120,Table_Respons_Loket[Count],Table_Respons_Loket[Jenis Permohonan]),"")</f>
        <v>ROYA</v>
      </c>
      <c r="G1120" s="12" t="s">
        <v>50</v>
      </c>
      <c r="H1120" s="12" t="s">
        <v>52</v>
      </c>
      <c r="I1120" s="22">
        <f t="shared" si="7"/>
        <v>45614.66166</v>
      </c>
      <c r="J1120" s="20" t="b">
        <v>0</v>
      </c>
      <c r="K1120" s="13" t="str">
        <f t="shared" si="8"/>
        <v/>
      </c>
    </row>
    <row r="1121" ht="22.5" customHeight="1">
      <c r="B1121" s="13">
        <f t="shared" si="3"/>
        <v>1115</v>
      </c>
      <c r="C1121" s="15" t="str">
        <f t="array" ref="C1121">IFNA(_xlfn.XLOOKUP(B1121,Table_Respons_Loket[Count],Table_Respons_Loket[Nomor Tiket]),"")</f>
        <v>K/40/121124/1</v>
      </c>
      <c r="D1121" s="15" t="str">
        <f t="array" ref="D1121">IFNA(_xlfn.XLOOKUP(B1121,Table_Respons_Loket[Count],Table_Respons_Loket[Daftar Nomor Hak]),"")</f>
        <v>M. 9364/ Kampung Baru</v>
      </c>
      <c r="E1121" s="17">
        <f t="array" ref="E1121">IFNA(_xlfn.XLOOKUP(B1121,Table_Respons_Loket[Count],Table_Respons_Loket[Time Stamp]),"")</f>
        <v>45608.57527</v>
      </c>
      <c r="F1121" s="18" t="str">
        <f t="array" ref="F1121">IFNA(_xlfn.XLOOKUP(B1121,Table_Respons_Loket[Count],Table_Respons_Loket[Jenis Permohonan]),"")</f>
        <v>BN JUAL BELI</v>
      </c>
      <c r="G1121" s="12" t="s">
        <v>50</v>
      </c>
      <c r="H1121" s="12" t="s">
        <v>52</v>
      </c>
      <c r="I1121" s="22">
        <f t="shared" si="7"/>
        <v>45614.66166</v>
      </c>
      <c r="J1121" s="20" t="b">
        <v>0</v>
      </c>
      <c r="K1121" s="13" t="str">
        <f t="shared" si="8"/>
        <v/>
      </c>
    </row>
    <row r="1122" ht="22.5" customHeight="1">
      <c r="B1122" s="13">
        <f t="shared" si="3"/>
        <v>1116</v>
      </c>
      <c r="C1122" s="15" t="str">
        <f t="array" ref="C1122">IFNA(_xlfn.XLOOKUP(B1122,Table_Respons_Loket[Count],Table_Respons_Loket[Nomor Tiket]),"")</f>
        <v>K/41/121124/2</v>
      </c>
      <c r="D1122" s="15" t="str">
        <f t="array" ref="D1122">IFNA(_xlfn.XLOOKUP(B1122,Table_Respons_Loket[Count],Table_Respons_Loket[Daftar Nomor Hak]),"")</f>
        <v>M. 306/ Kota Sepang</v>
      </c>
      <c r="E1122" s="17">
        <f t="array" ref="E1122">IFNA(_xlfn.XLOOKUP(B1122,Table_Respons_Loket[Count],Table_Respons_Loket[Time Stamp]),"")</f>
        <v>45608.57761</v>
      </c>
      <c r="F1122" s="18" t="str">
        <f t="array" ref="F1122">IFNA(_xlfn.XLOOKUP(B1122,Table_Respons_Loket[Count],Table_Respons_Loket[Jenis Permohonan]),"")</f>
        <v>BN JUAL BELI</v>
      </c>
      <c r="G1122" s="12" t="s">
        <v>50</v>
      </c>
      <c r="H1122" s="12" t="s">
        <v>47</v>
      </c>
      <c r="I1122" s="22" t="str">
        <f t="shared" si="7"/>
        <v/>
      </c>
      <c r="J1122" s="20" t="b">
        <v>0</v>
      </c>
      <c r="K1122" s="13" t="str">
        <f t="shared" si="8"/>
        <v/>
      </c>
    </row>
    <row r="1123" ht="22.5" customHeight="1">
      <c r="B1123" s="13">
        <f t="shared" si="3"/>
        <v>1117</v>
      </c>
      <c r="C1123" s="15" t="str">
        <f t="array" ref="C1123">IFNA(_xlfn.XLOOKUP(B1123,Table_Respons_Loket[Count],Table_Respons_Loket[Nomor Tiket]),"")</f>
        <v>K/42/121124/3</v>
      </c>
      <c r="D1123" s="15" t="str">
        <f t="array" ref="D1123">IFNA(_xlfn.XLOOKUP(B1123,Table_Respons_Loket[Count],Table_Respons_Loket[Daftar Nomor Hak]),"")</f>
        <v>M. 914/ Kemiling Permai</v>
      </c>
      <c r="E1123" s="17">
        <f t="array" ref="E1123">IFNA(_xlfn.XLOOKUP(B1123,Table_Respons_Loket[Count],Table_Respons_Loket[Time Stamp]),"")</f>
        <v>45608.57901</v>
      </c>
      <c r="F1123" s="18" t="str">
        <f t="array" ref="F1123">IFNA(_xlfn.XLOOKUP(B1123,Table_Respons_Loket[Count],Table_Respons_Loket[Jenis Permohonan]),"")</f>
        <v>BN JUAL BELI</v>
      </c>
      <c r="G1123" s="12" t="s">
        <v>50</v>
      </c>
      <c r="H1123" s="12" t="s">
        <v>52</v>
      </c>
      <c r="I1123" s="22">
        <f t="shared" si="7"/>
        <v>45614.66166</v>
      </c>
      <c r="J1123" s="20" t="b">
        <v>0</v>
      </c>
      <c r="K1123" s="13" t="str">
        <f t="shared" si="8"/>
        <v/>
      </c>
    </row>
    <row r="1124" ht="22.5" customHeight="1">
      <c r="B1124" s="13">
        <f t="shared" si="3"/>
        <v>1118</v>
      </c>
      <c r="C1124" s="15" t="str">
        <f t="array" ref="C1124">IFNA(_xlfn.XLOOKUP(B1124,Table_Respons_Loket[Count],Table_Respons_Loket[Nomor Tiket]),"")</f>
        <v>K/45/121124/1</v>
      </c>
      <c r="D1124" s="15" t="str">
        <f t="array" ref="D1124">IFNA(_xlfn.XLOOKUP(B1124,Table_Respons_Loket[Count],Table_Respons_Loket[Daftar Nomor Hak]),"")</f>
        <v>M.3994/WAY KANDIS</v>
      </c>
      <c r="E1124" s="17">
        <f t="array" ref="E1124">IFNA(_xlfn.XLOOKUP(B1124,Table_Respons_Loket[Count],Table_Respons_Loket[Time Stamp]),"")</f>
        <v>45608.58019</v>
      </c>
      <c r="F1124" s="18" t="str">
        <f t="array" ref="F1124">IFNA(_xlfn.XLOOKUP(B1124,Table_Respons_Loket[Count],Table_Respons_Loket[Jenis Permohonan]),"")</f>
        <v>PLOTING</v>
      </c>
      <c r="G1124" s="24"/>
      <c r="H1124" s="24"/>
      <c r="I1124" s="22" t="str">
        <f t="shared" si="7"/>
        <v/>
      </c>
      <c r="J1124" s="20" t="b">
        <v>0</v>
      </c>
      <c r="K1124" s="13" t="str">
        <f t="shared" si="8"/>
        <v/>
      </c>
    </row>
    <row r="1125" ht="22.5" customHeight="1">
      <c r="B1125" s="13">
        <f t="shared" si="3"/>
        <v>1119</v>
      </c>
      <c r="C1125" s="15" t="str">
        <f t="array" ref="C1125">IFNA(_xlfn.XLOOKUP(B1125,Table_Respons_Loket[Count],Table_Respons_Loket[Nomor Tiket]),"")</f>
        <v>K/43/121124/4</v>
      </c>
      <c r="D1125" s="15" t="str">
        <f t="array" ref="D1125">IFNA(_xlfn.XLOOKUP(B1125,Table_Respons_Loket[Count],Table_Respons_Loket[Daftar Nomor Hak]),"")</f>
        <v>Nibel 367/ Gunung Sulah</v>
      </c>
      <c r="E1125" s="17">
        <f t="array" ref="E1125">IFNA(_xlfn.XLOOKUP(B1125,Table_Respons_Loket[Count],Table_Respons_Loket[Time Stamp]),"")</f>
        <v>45608.58104</v>
      </c>
      <c r="F1125" s="18" t="str">
        <f t="array" ref="F1125">IFNA(_xlfn.XLOOKUP(B1125,Table_Respons_Loket[Count],Table_Respons_Loket[Jenis Permohonan]),"")</f>
        <v>BN JUAL BELI</v>
      </c>
      <c r="G1125" s="24"/>
      <c r="H1125" s="24"/>
      <c r="I1125" s="22" t="str">
        <f t="shared" si="7"/>
        <v/>
      </c>
      <c r="J1125" s="20" t="b">
        <v>0</v>
      </c>
      <c r="K1125" s="13" t="str">
        <f t="shared" si="8"/>
        <v/>
      </c>
    </row>
    <row r="1126" ht="22.5" customHeight="1">
      <c r="B1126" s="13">
        <f t="shared" si="3"/>
        <v>1120</v>
      </c>
      <c r="C1126" s="15" t="str">
        <f t="array" ref="C1126">IFNA(_xlfn.XLOOKUP(B1126,Table_Respons_Loket[Count],Table_Respons_Loket[Nomor Tiket]),"")</f>
        <v>K/44/121124/5</v>
      </c>
      <c r="D1126" s="15" t="str">
        <f t="array" ref="D1126">IFNA(_xlfn.XLOOKUP(B1126,Table_Respons_Loket[Count],Table_Respons_Loket[Daftar Nomor Hak]),"")</f>
        <v>Nibel 371/ Gunung Sulah</v>
      </c>
      <c r="E1126" s="17">
        <f t="array" ref="E1126">IFNA(_xlfn.XLOOKUP(B1126,Table_Respons_Loket[Count],Table_Respons_Loket[Time Stamp]),"")</f>
        <v>45608.5822</v>
      </c>
      <c r="F1126" s="18" t="str">
        <f t="array" ref="F1126">IFNA(_xlfn.XLOOKUP(B1126,Table_Respons_Loket[Count],Table_Respons_Loket[Jenis Permohonan]),"")</f>
        <v>BN JUAL BELI</v>
      </c>
      <c r="G1126" s="24"/>
      <c r="H1126" s="24"/>
      <c r="I1126" s="22" t="str">
        <f t="shared" si="7"/>
        <v/>
      </c>
      <c r="J1126" s="20" t="b">
        <v>0</v>
      </c>
      <c r="K1126" s="13" t="str">
        <f t="shared" si="8"/>
        <v/>
      </c>
    </row>
    <row r="1127" ht="22.5" customHeight="1">
      <c r="B1127" s="13">
        <f t="shared" si="3"/>
        <v>1121</v>
      </c>
      <c r="C1127" s="15" t="str">
        <f t="array" ref="C1127">IFNA(_xlfn.XLOOKUP(B1127,Table_Respons_Loket[Count],Table_Respons_Loket[Nomor Tiket]),"")</f>
        <v>L/46/121124/1</v>
      </c>
      <c r="D1127" s="15" t="str">
        <f t="array" ref="D1127">IFNA(_xlfn.XLOOKUP(B1127,Table_Respons_Loket[Count],Table_Respons_Loket[Daftar Nomor Hak]),"")</f>
        <v>HM 755/RAJABASA RAYA</v>
      </c>
      <c r="E1127" s="17">
        <f t="array" ref="E1127">IFNA(_xlfn.XLOOKUP(B1127,Table_Respons_Loket[Count],Table_Respons_Loket[Time Stamp]),"")</f>
        <v>45608.58421</v>
      </c>
      <c r="F1127" s="18" t="str">
        <f t="array" ref="F1127">IFNA(_xlfn.XLOOKUP(B1127,Table_Respons_Loket[Count],Table_Respons_Loket[Jenis Permohonan]),"")</f>
        <v>ROYA</v>
      </c>
      <c r="G1127" s="12" t="s">
        <v>50</v>
      </c>
      <c r="H1127" s="12" t="s">
        <v>207</v>
      </c>
      <c r="I1127" s="22">
        <f t="shared" si="7"/>
        <v>45614.66166</v>
      </c>
      <c r="J1127" s="20" t="b">
        <v>0</v>
      </c>
      <c r="K1127" s="13" t="str">
        <f t="shared" si="8"/>
        <v/>
      </c>
    </row>
    <row r="1128" ht="22.5" customHeight="1">
      <c r="B1128" s="13">
        <f t="shared" si="3"/>
        <v>1122</v>
      </c>
      <c r="C1128" s="15" t="str">
        <f t="array" ref="C1128">IFNA(_xlfn.XLOOKUP(B1128,Table_Respons_Loket[Count],Table_Respons_Loket[Nomor Tiket]),"")</f>
        <v>K/47/121124/1</v>
      </c>
      <c r="D1128" s="15" t="str">
        <f t="array" ref="D1128">IFNA(_xlfn.XLOOKUP(B1128,Table_Respons_Loket[Count],Table_Respons_Loket[Daftar Nomor Hak]),"")</f>
        <v>M. 4936/ SUKADANA HAM</v>
      </c>
      <c r="E1128" s="17">
        <f t="array" ref="E1128">IFNA(_xlfn.XLOOKUP(B1128,Table_Respons_Loket[Count],Table_Respons_Loket[Time Stamp]),"")</f>
        <v>45608.58921</v>
      </c>
      <c r="F1128" s="18" t="str">
        <f t="array" ref="F1128">IFNA(_xlfn.XLOOKUP(B1128,Table_Respons_Loket[Count],Table_Respons_Loket[Jenis Permohonan]),"")</f>
        <v>BN JUAL BELI</v>
      </c>
      <c r="G1128" s="12" t="s">
        <v>50</v>
      </c>
      <c r="H1128" s="12" t="s">
        <v>52</v>
      </c>
      <c r="I1128" s="22">
        <f t="shared" si="7"/>
        <v>45614.66166</v>
      </c>
      <c r="J1128" s="20" t="b">
        <v>0</v>
      </c>
      <c r="K1128" s="13" t="str">
        <f t="shared" si="8"/>
        <v/>
      </c>
    </row>
    <row r="1129" ht="22.5" customHeight="1">
      <c r="B1129" s="13">
        <f t="shared" si="3"/>
        <v>1123</v>
      </c>
      <c r="C1129" s="15" t="str">
        <f t="array" ref="C1129">IFNA(_xlfn.XLOOKUP(B1129,Table_Respons_Loket[Count],Table_Respons_Loket[Nomor Tiket]),"")</f>
        <v>L/48/121124/1</v>
      </c>
      <c r="D1129" s="15" t="str">
        <f t="array" ref="D1129">IFNA(_xlfn.XLOOKUP(B1129,Table_Respons_Loket[Count],Table_Respons_Loket[Daftar Nomor Hak]),"")</f>
        <v>HGB 836/PWK</v>
      </c>
      <c r="E1129" s="17">
        <f t="array" ref="E1129">IFNA(_xlfn.XLOOKUP(B1129,Table_Respons_Loket[Count],Table_Respons_Loket[Time Stamp]),"")</f>
        <v>45608.59244</v>
      </c>
      <c r="F1129" s="18" t="str">
        <f t="array" ref="F1129">IFNA(_xlfn.XLOOKUP(B1129,Table_Respons_Loket[Count],Table_Respons_Loket[Jenis Permohonan]),"")</f>
        <v>PERUBAHAN HAK</v>
      </c>
      <c r="G1129" s="12" t="s">
        <v>50</v>
      </c>
      <c r="H1129" s="12" t="s">
        <v>47</v>
      </c>
      <c r="I1129" s="22" t="str">
        <f t="shared" si="7"/>
        <v/>
      </c>
      <c r="J1129" s="20" t="b">
        <v>0</v>
      </c>
      <c r="K1129" s="13" t="str">
        <f t="shared" si="8"/>
        <v/>
      </c>
    </row>
    <row r="1130" ht="22.5" customHeight="1">
      <c r="B1130" s="13">
        <f t="shared" si="3"/>
        <v>1124</v>
      </c>
      <c r="C1130" s="15" t="str">
        <f t="array" ref="C1130">IFNA(_xlfn.XLOOKUP(B1130,Table_Respons_Loket[Count],Table_Respons_Loket[Nomor Tiket]),"")</f>
        <v>K/49/121124/1</v>
      </c>
      <c r="D1130" s="15" t="str">
        <f t="array" ref="D1130">IFNA(_xlfn.XLOOKUP(B1130,Table_Respons_Loket[Count],Table_Respons_Loket[Daftar Nomor Hak]),"")</f>
        <v>M. 1756/ Rajabasa Nunyai</v>
      </c>
      <c r="E1130" s="17">
        <f t="array" ref="E1130">IFNA(_xlfn.XLOOKUP(B1130,Table_Respons_Loket[Count],Table_Respons_Loket[Time Stamp]),"")</f>
        <v>45608.59602</v>
      </c>
      <c r="F1130" s="18" t="str">
        <f t="array" ref="F1130">IFNA(_xlfn.XLOOKUP(B1130,Table_Respons_Loket[Count],Table_Respons_Loket[Jenis Permohonan]),"")</f>
        <v>BN JUAL BELI</v>
      </c>
      <c r="G1130" s="12" t="s">
        <v>50</v>
      </c>
      <c r="H1130" s="12" t="s">
        <v>52</v>
      </c>
      <c r="I1130" s="22">
        <f t="shared" si="7"/>
        <v>45614.66166</v>
      </c>
      <c r="J1130" s="20" t="b">
        <v>0</v>
      </c>
      <c r="K1130" s="13" t="str">
        <f t="shared" si="8"/>
        <v/>
      </c>
    </row>
    <row r="1131" ht="22.5" customHeight="1">
      <c r="B1131" s="13">
        <f t="shared" si="3"/>
        <v>1125</v>
      </c>
      <c r="C1131" s="15" t="str">
        <f t="array" ref="C1131">IFNA(_xlfn.XLOOKUP(B1131,Table_Respons_Loket[Count],Table_Respons_Loket[Nomor Tiket]),"")</f>
        <v>K/50/121124/1</v>
      </c>
      <c r="D1131" s="15" t="str">
        <f t="array" ref="D1131">IFNA(_xlfn.XLOOKUP(B1131,Table_Respons_Loket[Count],Table_Respons_Loket[Daftar Nomor Hak]),"")</f>
        <v>NIBEL M.1785/SUMUR PUTRI</v>
      </c>
      <c r="E1131" s="17">
        <f t="array" ref="E1131">IFNA(_xlfn.XLOOKUP(B1131,Table_Respons_Loket[Count],Table_Respons_Loket[Time Stamp]),"")</f>
        <v>45608.60607</v>
      </c>
      <c r="F1131" s="18" t="str">
        <f t="array" ref="F1131">IFNA(_xlfn.XLOOKUP(B1131,Table_Respons_Loket[Count],Table_Respons_Loket[Jenis Permohonan]),"")</f>
        <v>BN JUAL BELI</v>
      </c>
      <c r="G1131" s="24"/>
      <c r="H1131" s="24"/>
      <c r="I1131" s="22" t="str">
        <f t="shared" si="7"/>
        <v/>
      </c>
      <c r="J1131" s="20" t="b">
        <v>0</v>
      </c>
      <c r="K1131" s="13" t="str">
        <f t="shared" si="8"/>
        <v/>
      </c>
    </row>
    <row r="1132" ht="22.5" customHeight="1">
      <c r="B1132" s="13">
        <f t="shared" si="3"/>
        <v>1126</v>
      </c>
      <c r="C1132" s="15" t="str">
        <f t="array" ref="C1132">IFNA(_xlfn.XLOOKUP(B1132,Table_Respons_Loket[Count],Table_Respons_Loket[Nomor Tiket]),"")</f>
        <v>K/1/131124/1</v>
      </c>
      <c r="D1132" s="15" t="str">
        <f t="array" ref="D1132">IFNA(_xlfn.XLOOKUP(B1132,Table_Respons_Loket[Count],Table_Respons_Loket[Daftar Nomor Hak]),"")</f>
        <v>M. 10732/ Rajabasa</v>
      </c>
      <c r="E1132" s="17">
        <f t="array" ref="E1132">IFNA(_xlfn.XLOOKUP(B1132,Table_Respons_Loket[Count],Table_Respons_Loket[Time Stamp]),"")</f>
        <v>45609.36887</v>
      </c>
      <c r="F1132" s="18" t="str">
        <f t="array" ref="F1132">IFNA(_xlfn.XLOOKUP(B1132,Table_Respons_Loket[Count],Table_Respons_Loket[Jenis Permohonan]),"")</f>
        <v>SKPT Lelang</v>
      </c>
      <c r="G1132" s="24"/>
      <c r="H1132" s="24"/>
      <c r="I1132" s="22" t="str">
        <f t="shared" si="7"/>
        <v/>
      </c>
      <c r="J1132" s="20" t="b">
        <v>0</v>
      </c>
      <c r="K1132" s="13" t="str">
        <f t="shared" si="8"/>
        <v/>
      </c>
    </row>
    <row r="1133" ht="22.5" customHeight="1">
      <c r="B1133" s="13">
        <f t="shared" si="3"/>
        <v>1127</v>
      </c>
      <c r="C1133" s="15" t="str">
        <f t="array" ref="C1133">IFNA(_xlfn.XLOOKUP(B1133,Table_Respons_Loket[Count],Table_Respons_Loket[Nomor Tiket]),"")</f>
        <v>K/2/131124/2</v>
      </c>
      <c r="D1133" s="15" t="str">
        <f t="array" ref="D1133">IFNA(_xlfn.XLOOKUP(B1133,Table_Respons_Loket[Count],Table_Respons_Loket[Daftar Nomor Hak]),"")</f>
        <v>M. 1713/ Sukamaju</v>
      </c>
      <c r="E1133" s="17">
        <f t="array" ref="E1133">IFNA(_xlfn.XLOOKUP(B1133,Table_Respons_Loket[Count],Table_Respons_Loket[Time Stamp]),"")</f>
        <v>45609.36959</v>
      </c>
      <c r="F1133" s="18" t="str">
        <f t="array" ref="F1133">IFNA(_xlfn.XLOOKUP(B1133,Table_Respons_Loket[Count],Table_Respons_Loket[Jenis Permohonan]),"")</f>
        <v>SKPT Lelang</v>
      </c>
      <c r="G1133" s="24"/>
      <c r="H1133" s="24"/>
      <c r="I1133" s="22" t="str">
        <f t="shared" si="7"/>
        <v/>
      </c>
      <c r="J1133" s="20" t="b">
        <v>0</v>
      </c>
      <c r="K1133" s="13" t="str">
        <f t="shared" si="8"/>
        <v/>
      </c>
    </row>
    <row r="1134" ht="22.5" customHeight="1">
      <c r="B1134" s="13">
        <f t="shared" si="3"/>
        <v>1128</v>
      </c>
      <c r="C1134" s="15" t="str">
        <f t="array" ref="C1134">IFNA(_xlfn.XLOOKUP(B1134,Table_Respons_Loket[Count],Table_Respons_Loket[Nomor Tiket]),"")</f>
        <v>K/3/131124/3</v>
      </c>
      <c r="D1134" s="15" t="str">
        <f t="array" ref="D1134">IFNA(_xlfn.XLOOKUP(B1134,Table_Respons_Loket[Count],Table_Respons_Loket[Daftar Nomor Hak]),"")</f>
        <v>M. 1714/ Sukamaju</v>
      </c>
      <c r="E1134" s="17">
        <f t="array" ref="E1134">IFNA(_xlfn.XLOOKUP(B1134,Table_Respons_Loket[Count],Table_Respons_Loket[Time Stamp]),"")</f>
        <v>45609.43258</v>
      </c>
      <c r="F1134" s="18" t="str">
        <f t="array" ref="F1134">IFNA(_xlfn.XLOOKUP(B1134,Table_Respons_Loket[Count],Table_Respons_Loket[Jenis Permohonan]),"")</f>
        <v>SKPT Lelang</v>
      </c>
      <c r="G1134" s="24"/>
      <c r="H1134" s="24"/>
      <c r="I1134" s="22" t="str">
        <f t="shared" si="7"/>
        <v/>
      </c>
      <c r="J1134" s="20" t="b">
        <v>0</v>
      </c>
      <c r="K1134" s="13" t="str">
        <f t="shared" si="8"/>
        <v/>
      </c>
    </row>
    <row r="1135" ht="22.5" customHeight="1">
      <c r="B1135" s="13">
        <f t="shared" si="3"/>
        <v>1129</v>
      </c>
      <c r="C1135" s="15" t="str">
        <f t="array" ref="C1135">IFNA(_xlfn.XLOOKUP(B1135,Table_Respons_Loket[Count],Table_Respons_Loket[Nomor Tiket]),"")</f>
        <v>K/4/131124/1</v>
      </c>
      <c r="D1135" s="15" t="str">
        <f t="array" ref="D1135">IFNA(_xlfn.XLOOKUP(B1135,Table_Respons_Loket[Count],Table_Respons_Loket[Daftar Nomor Hak]),"")</f>
        <v>M. 4605/ Rajabasa Jaya</v>
      </c>
      <c r="E1135" s="17">
        <f t="array" ref="E1135">IFNA(_xlfn.XLOOKUP(B1135,Table_Respons_Loket[Count],Table_Respons_Loket[Time Stamp]),"")</f>
        <v>45609.37699</v>
      </c>
      <c r="F1135" s="18" t="str">
        <f t="array" ref="F1135">IFNA(_xlfn.XLOOKUP(B1135,Table_Respons_Loket[Count],Table_Respons_Loket[Jenis Permohonan]),"")</f>
        <v>BN JUAL BELI</v>
      </c>
      <c r="G1135" s="24"/>
      <c r="H1135" s="24"/>
      <c r="I1135" s="22" t="str">
        <f t="shared" si="7"/>
        <v/>
      </c>
      <c r="J1135" s="20" t="b">
        <v>0</v>
      </c>
      <c r="K1135" s="13" t="str">
        <f t="shared" si="8"/>
        <v/>
      </c>
    </row>
    <row r="1136" ht="22.5" customHeight="1">
      <c r="B1136" s="13">
        <f t="shared" si="3"/>
        <v>1130</v>
      </c>
      <c r="C1136" s="15" t="str">
        <f t="array" ref="C1136">IFNA(_xlfn.XLOOKUP(B1136,Table_Respons_Loket[Count],Table_Respons_Loket[Nomor Tiket]),"")</f>
        <v>K/5/131124/2</v>
      </c>
      <c r="D1136" s="15" t="str">
        <f t="array" ref="D1136">IFNA(_xlfn.XLOOKUP(B1136,Table_Respons_Loket[Count],Table_Respons_Loket[Daftar Nomor Hak]),"")</f>
        <v>m. 542/ beringin jaya</v>
      </c>
      <c r="E1136" s="17">
        <f t="array" ref="E1136">IFNA(_xlfn.XLOOKUP(B1136,Table_Respons_Loket[Count],Table_Respons_Loket[Time Stamp]),"")</f>
        <v>45609.43067</v>
      </c>
      <c r="F1136" s="18" t="str">
        <f t="array" ref="F1136">IFNA(_xlfn.XLOOKUP(B1136,Table_Respons_Loket[Count],Table_Respons_Loket[Jenis Permohonan]),"")</f>
        <v>gandes</v>
      </c>
      <c r="G1136" s="24"/>
      <c r="H1136" s="24"/>
      <c r="I1136" s="22" t="str">
        <f t="shared" si="7"/>
        <v/>
      </c>
      <c r="J1136" s="20" t="b">
        <v>0</v>
      </c>
      <c r="K1136" s="13" t="str">
        <f t="shared" si="8"/>
        <v/>
      </c>
    </row>
    <row r="1137" ht="22.5" customHeight="1">
      <c r="B1137" s="13">
        <f t="shared" si="3"/>
        <v>1131</v>
      </c>
      <c r="C1137" s="15" t="str">
        <f t="array" ref="C1137">IFNA(_xlfn.XLOOKUP(B1137,Table_Respons_Loket[Count],Table_Respons_Loket[Nomor Tiket]),"")</f>
        <v>L/6/131124/1</v>
      </c>
      <c r="D1137" s="15" t="str">
        <f t="array" ref="D1137">IFNA(_xlfn.XLOOKUP(B1137,Table_Respons_Loket[Count],Table_Respons_Loket[Daftar Nomor Hak]),"")</f>
        <v>SUKARAME</v>
      </c>
      <c r="E1137" s="17">
        <f t="array" ref="E1137">IFNA(_xlfn.XLOOKUP(B1137,Table_Respons_Loket[Count],Table_Respons_Loket[Time Stamp]),"")</f>
        <v>45609.39047</v>
      </c>
      <c r="F1137" s="18" t="str">
        <f t="array" ref="F1137">IFNA(_xlfn.XLOOKUP(B1137,Table_Respons_Loket[Count],Table_Respons_Loket[Jenis Permohonan]),"")</f>
        <v>TANAH MENTAH</v>
      </c>
      <c r="G1137" s="24"/>
      <c r="H1137" s="24"/>
      <c r="I1137" s="22" t="str">
        <f t="shared" si="7"/>
        <v/>
      </c>
      <c r="J1137" s="20" t="b">
        <v>0</v>
      </c>
      <c r="K1137" s="13" t="str">
        <f t="shared" si="8"/>
        <v/>
      </c>
    </row>
    <row r="1138" ht="22.5" customHeight="1">
      <c r="B1138" s="13">
        <f t="shared" si="3"/>
        <v>1132</v>
      </c>
      <c r="C1138" s="15" t="str">
        <f t="array" ref="C1138">IFNA(_xlfn.XLOOKUP(B1138,Table_Respons_Loket[Count],Table_Respons_Loket[Nomor Tiket]),"")</f>
        <v>K/7/131124/1</v>
      </c>
      <c r="D1138" s="15" t="str">
        <f t="array" ref="D1138">IFNA(_xlfn.XLOOKUP(B1138,Table_Respons_Loket[Count],Table_Respons_Loket[Daftar Nomor Hak]),"")</f>
        <v>M.342/RAJABASA JAYA</v>
      </c>
      <c r="E1138" s="17">
        <f t="array" ref="E1138">IFNA(_xlfn.XLOOKUP(B1138,Table_Respons_Loket[Count],Table_Respons_Loket[Time Stamp]),"")</f>
        <v>45609.4133</v>
      </c>
      <c r="F1138" s="18" t="str">
        <f t="array" ref="F1138">IFNA(_xlfn.XLOOKUP(B1138,Table_Respons_Loket[Count],Table_Respons_Loket[Jenis Permohonan]),"")</f>
        <v>ROYA</v>
      </c>
      <c r="G1138" s="24"/>
      <c r="H1138" s="24"/>
      <c r="I1138" s="22" t="str">
        <f t="shared" si="7"/>
        <v/>
      </c>
      <c r="J1138" s="20" t="b">
        <v>0</v>
      </c>
      <c r="K1138" s="13" t="str">
        <f t="shared" si="8"/>
        <v/>
      </c>
    </row>
    <row r="1139" ht="22.5" customHeight="1">
      <c r="B1139" s="13">
        <f t="shared" si="3"/>
        <v>1133</v>
      </c>
      <c r="C1139" s="15" t="str">
        <f t="array" ref="C1139">IFNA(_xlfn.XLOOKUP(B1139,Table_Respons_Loket[Count],Table_Respons_Loket[Nomor Tiket]),"")</f>
        <v>L/8/131124/1</v>
      </c>
      <c r="D1139" s="15" t="str">
        <f t="array" ref="D1139">IFNA(_xlfn.XLOOKUP(B1139,Table_Respons_Loket[Count],Table_Respons_Loket[Daftar Nomor Hak]),"")</f>
        <v>HGB 836/PWK</v>
      </c>
      <c r="E1139" s="17">
        <f t="array" ref="E1139">IFNA(_xlfn.XLOOKUP(B1139,Table_Respons_Loket[Count],Table_Respons_Loket[Time Stamp]),"")</f>
        <v>45609.41589</v>
      </c>
      <c r="F1139" s="18" t="str">
        <f t="array" ref="F1139">IFNA(_xlfn.XLOOKUP(B1139,Table_Respons_Loket[Count],Table_Respons_Loket[Jenis Permohonan]),"")</f>
        <v>PH</v>
      </c>
      <c r="G1139" s="24"/>
      <c r="H1139" s="24"/>
      <c r="I1139" s="22" t="str">
        <f t="shared" si="7"/>
        <v/>
      </c>
      <c r="J1139" s="20" t="b">
        <v>0</v>
      </c>
      <c r="K1139" s="13" t="str">
        <f t="shared" si="8"/>
        <v/>
      </c>
    </row>
    <row r="1140" ht="22.5" customHeight="1">
      <c r="B1140" s="13">
        <f t="shared" si="3"/>
        <v>1134</v>
      </c>
      <c r="C1140" s="15" t="str">
        <f t="array" ref="C1140">IFNA(_xlfn.XLOOKUP(B1140,Table_Respons_Loket[Count],Table_Respons_Loket[Nomor Tiket]),"")</f>
        <v>L/9/131124/1</v>
      </c>
      <c r="D1140" s="15" t="str">
        <f t="array" ref="D1140">IFNA(_xlfn.XLOOKUP(B1140,Table_Respons_Loket[Count],Table_Respons_Loket[Daftar Nomor Hak]),"")</f>
        <v>HM 11474/KEDAMAIAN (SHM TETANGGA)</v>
      </c>
      <c r="E1140" s="17">
        <f t="array" ref="E1140">IFNA(_xlfn.XLOOKUP(B1140,Table_Respons_Loket[Count],Table_Respons_Loket[Time Stamp]),"")</f>
        <v>45609.42893</v>
      </c>
      <c r="F1140" s="18" t="str">
        <f t="array" ref="F1140">IFNA(_xlfn.XLOOKUP(B1140,Table_Respons_Loket[Count],Table_Respons_Loket[Jenis Permohonan]),"")</f>
        <v>SERTIPIKAT HILANG</v>
      </c>
      <c r="G1140" s="24"/>
      <c r="H1140" s="24"/>
      <c r="I1140" s="22" t="str">
        <f t="shared" si="7"/>
        <v/>
      </c>
      <c r="J1140" s="20" t="b">
        <v>0</v>
      </c>
      <c r="K1140" s="13" t="str">
        <f t="shared" si="8"/>
        <v/>
      </c>
    </row>
    <row r="1141" ht="22.5" customHeight="1">
      <c r="B1141" s="13">
        <f t="shared" si="3"/>
        <v>1135</v>
      </c>
      <c r="C1141" s="15" t="str">
        <f t="array" ref="C1141">IFNA(_xlfn.XLOOKUP(B1141,Table_Respons_Loket[Count],Table_Respons_Loket[Nomor Tiket]),"")</f>
        <v>K/10/131124/1</v>
      </c>
      <c r="D1141" s="15" t="str">
        <f t="array" ref="D1141">IFNA(_xlfn.XLOOKUP(B1141,Table_Respons_Loket[Count],Table_Respons_Loket[Daftar Nomor Hak]),"")</f>
        <v>M. 1193/ Sukadana Ham</v>
      </c>
      <c r="E1141" s="17">
        <f t="array" ref="E1141">IFNA(_xlfn.XLOOKUP(B1141,Table_Respons_Loket[Count],Table_Respons_Loket[Time Stamp]),"")</f>
        <v>45609.43315</v>
      </c>
      <c r="F1141" s="18" t="str">
        <f t="array" ref="F1141">IFNA(_xlfn.XLOOKUP(B1141,Table_Respons_Loket[Count],Table_Respons_Loket[Jenis Permohonan]),"")</f>
        <v>BN Jual Beli</v>
      </c>
      <c r="G1141" s="24"/>
      <c r="H1141" s="24"/>
      <c r="I1141" s="22" t="str">
        <f t="shared" si="7"/>
        <v/>
      </c>
      <c r="J1141" s="20" t="b">
        <v>0</v>
      </c>
      <c r="K1141" s="13" t="str">
        <f t="shared" si="8"/>
        <v/>
      </c>
    </row>
    <row r="1142" ht="22.5" customHeight="1">
      <c r="B1142" s="13">
        <f t="shared" si="3"/>
        <v>1136</v>
      </c>
      <c r="C1142" s="15" t="str">
        <f t="array" ref="C1142">IFNA(_xlfn.XLOOKUP(B1142,Table_Respons_Loket[Count],Table_Respons_Loket[Nomor Tiket]),"")</f>
        <v>L/12/131124/1</v>
      </c>
      <c r="D1142" s="15" t="str">
        <f t="array" ref="D1142">IFNA(_xlfn.XLOOKUP(B1142,Table_Respons_Loket[Count],Table_Respons_Loket[Daftar Nomor Hak]),"")</f>
        <v>HM 1424/BAKUNG &amp; HM 1423/BAKUNG</v>
      </c>
      <c r="E1142" s="17">
        <f t="array" ref="E1142">IFNA(_xlfn.XLOOKUP(B1142,Table_Respons_Loket[Count],Table_Respons_Loket[Time Stamp]),"")</f>
        <v>45609.43631</v>
      </c>
      <c r="F1142" s="18" t="str">
        <f t="array" ref="F1142">IFNA(_xlfn.XLOOKUP(B1142,Table_Respons_Loket[Count],Table_Respons_Loket[Jenis Permohonan]),"")</f>
        <v>ROYA</v>
      </c>
      <c r="G1142" s="24"/>
      <c r="H1142" s="24"/>
      <c r="I1142" s="22" t="str">
        <f t="shared" si="7"/>
        <v/>
      </c>
      <c r="J1142" s="20" t="b">
        <v>0</v>
      </c>
      <c r="K1142" s="13" t="str">
        <f t="shared" si="8"/>
        <v/>
      </c>
    </row>
    <row r="1143" ht="22.5" customHeight="1">
      <c r="B1143" s="13">
        <f t="shared" si="3"/>
        <v>1137</v>
      </c>
      <c r="C1143" s="15" t="str">
        <f t="array" ref="C1143">IFNA(_xlfn.XLOOKUP(B1143,Table_Respons_Loket[Count],Table_Respons_Loket[Nomor Tiket]),"")</f>
        <v>K/11/131124/1</v>
      </c>
      <c r="D1143" s="15" t="str">
        <f t="array" ref="D1143">IFNA(_xlfn.XLOOKUP(B1143,Table_Respons_Loket[Count],Table_Respons_Loket[Daftar Nomor Hak]),"")</f>
        <v>Nibel 133/ Kelapa Tiga</v>
      </c>
      <c r="E1143" s="17">
        <f t="array" ref="E1143">IFNA(_xlfn.XLOOKUP(B1143,Table_Respons_Loket[Count],Table_Respons_Loket[Time Stamp]),"")</f>
        <v>45609.43863</v>
      </c>
      <c r="F1143" s="18" t="str">
        <f t="array" ref="F1143">IFNA(_xlfn.XLOOKUP(B1143,Table_Respons_Loket[Count],Table_Respons_Loket[Jenis Permohonan]),"")</f>
        <v>PERMOHONAN SK PERPANJANGAN</v>
      </c>
      <c r="G1143" s="24"/>
      <c r="H1143" s="24"/>
      <c r="I1143" s="22" t="str">
        <f t="shared" si="7"/>
        <v/>
      </c>
      <c r="J1143" s="20" t="b">
        <v>0</v>
      </c>
      <c r="K1143" s="13" t="str">
        <f t="shared" si="8"/>
        <v/>
      </c>
    </row>
    <row r="1144" ht="22.5" customHeight="1">
      <c r="B1144" s="13">
        <f t="shared" si="3"/>
        <v>1138</v>
      </c>
      <c r="C1144" s="15" t="str">
        <f t="array" ref="C1144">IFNA(_xlfn.XLOOKUP(B1144,Table_Respons_Loket[Count],Table_Respons_Loket[Nomor Tiket]),"")</f>
        <v>K/13/131124/1</v>
      </c>
      <c r="D1144" s="15" t="str">
        <f t="array" ref="D1144">IFNA(_xlfn.XLOOKUP(B1144,Table_Respons_Loket[Count],Table_Respons_Loket[Daftar Nomor Hak]),"")</f>
        <v>M. 2268/ Campang Jaya-SEKARANG; m. 1520/ CAMPANG RAYA-DULU</v>
      </c>
      <c r="E1144" s="17">
        <f t="array" ref="E1144">IFNA(_xlfn.XLOOKUP(B1144,Table_Respons_Loket[Count],Table_Respons_Loket[Time Stamp]),"")</f>
        <v>45609.44684</v>
      </c>
      <c r="F1144" s="18" t="str">
        <f t="array" ref="F1144">IFNA(_xlfn.XLOOKUP(B1144,Table_Respons_Loket[Count],Table_Respons_Loket[Jenis Permohonan]),"")</f>
        <v>BN JUAL BELI</v>
      </c>
      <c r="G1144" s="24"/>
      <c r="H1144" s="24"/>
      <c r="I1144" s="22" t="str">
        <f t="shared" si="7"/>
        <v/>
      </c>
      <c r="J1144" s="20" t="b">
        <v>0</v>
      </c>
      <c r="K1144" s="13" t="str">
        <f t="shared" si="8"/>
        <v/>
      </c>
    </row>
    <row r="1145" ht="22.5" customHeight="1">
      <c r="B1145" s="13">
        <f t="shared" si="3"/>
        <v>1139</v>
      </c>
      <c r="C1145" s="15" t="str">
        <f t="array" ref="C1145">IFNA(_xlfn.XLOOKUP(B1145,Table_Respons_Loket[Count],Table_Respons_Loket[Nomor Tiket]),"")</f>
        <v>K/14/131124/2</v>
      </c>
      <c r="D1145" s="15" t="str">
        <f t="array" ref="D1145">IFNA(_xlfn.XLOOKUP(B1145,Table_Respons_Loket[Count],Table_Respons_Loket[Daftar Nomor Hak]),"")</f>
        <v>M. 346/ Sawah Lama</v>
      </c>
      <c r="E1145" s="17">
        <f t="array" ref="E1145">IFNA(_xlfn.XLOOKUP(B1145,Table_Respons_Loket[Count],Table_Respons_Loket[Time Stamp]),"")</f>
        <v>45609.45579</v>
      </c>
      <c r="F1145" s="18" t="str">
        <f t="array" ref="F1145">IFNA(_xlfn.XLOOKUP(B1145,Table_Respons_Loket[Count],Table_Respons_Loket[Jenis Permohonan]),"")</f>
        <v>BN JUAL JUAL BELI</v>
      </c>
      <c r="G1145" s="24"/>
      <c r="H1145" s="24"/>
      <c r="I1145" s="22" t="str">
        <f t="shared" si="7"/>
        <v/>
      </c>
      <c r="J1145" s="20" t="b">
        <v>0</v>
      </c>
      <c r="K1145" s="13" t="str">
        <f t="shared" si="8"/>
        <v/>
      </c>
    </row>
    <row r="1146" ht="22.5" customHeight="1">
      <c r="B1146" s="13">
        <f t="shared" si="3"/>
        <v>1140</v>
      </c>
      <c r="C1146" s="15" t="str">
        <f t="array" ref="C1146">IFNA(_xlfn.XLOOKUP(B1146,Table_Respons_Loket[Count],Table_Respons_Loket[Nomor Tiket]),"")</f>
        <v>K/15/131124/3</v>
      </c>
      <c r="D1146" s="15" t="str">
        <f t="array" ref="D1146">IFNA(_xlfn.XLOOKUP(B1146,Table_Respons_Loket[Count],Table_Respons_Loket[Daftar Nomor Hak]),"")</f>
        <v>M. 86/ Sawah Brebes</v>
      </c>
      <c r="E1146" s="17">
        <f t="array" ref="E1146">IFNA(_xlfn.XLOOKUP(B1146,Table_Respons_Loket[Count],Table_Respons_Loket[Time Stamp]),"")</f>
        <v>45609.45863</v>
      </c>
      <c r="F1146" s="18" t="str">
        <f t="array" ref="F1146">IFNA(_xlfn.XLOOKUP(B1146,Table_Respons_Loket[Count],Table_Respons_Loket[Jenis Permohonan]),"")</f>
        <v>BN JUAL BELI</v>
      </c>
      <c r="G1146" s="24"/>
      <c r="H1146" s="24"/>
      <c r="I1146" s="22" t="str">
        <f t="shared" si="7"/>
        <v/>
      </c>
      <c r="J1146" s="20" t="b">
        <v>0</v>
      </c>
      <c r="K1146" s="13" t="str">
        <f t="shared" si="8"/>
        <v/>
      </c>
    </row>
    <row r="1147" ht="22.5" customHeight="1">
      <c r="B1147" s="13">
        <f t="shared" si="3"/>
        <v>1141</v>
      </c>
      <c r="C1147" s="15" t="str">
        <f t="array" ref="C1147">IFNA(_xlfn.XLOOKUP(B1147,Table_Respons_Loket[Count],Table_Respons_Loket[Nomor Tiket]),"")</f>
        <v>K/16/131124/1</v>
      </c>
      <c r="D1147" s="15" t="str">
        <f t="array" ref="D1147">IFNA(_xlfn.XLOOKUP(B1147,Table_Respons_Loket[Count],Table_Respons_Loket[Daftar Nomor Hak]),"")</f>
        <v>M. 561/ Bumi Kedamaian</v>
      </c>
      <c r="E1147" s="17">
        <f t="array" ref="E1147">IFNA(_xlfn.XLOOKUP(B1147,Table_Respons_Loket[Count],Table_Respons_Loket[Time Stamp]),"")</f>
        <v>45609.47492</v>
      </c>
      <c r="F1147" s="18" t="str">
        <f t="array" ref="F1147">IFNA(_xlfn.XLOOKUP(B1147,Table_Respons_Loket[Count],Table_Respons_Loket[Jenis Permohonan]),"")</f>
        <v>Hapus BPHTB</v>
      </c>
      <c r="G1147" s="24"/>
      <c r="H1147" s="24"/>
      <c r="I1147" s="22" t="str">
        <f t="shared" si="7"/>
        <v/>
      </c>
      <c r="J1147" s="20" t="b">
        <v>0</v>
      </c>
      <c r="K1147" s="13" t="str">
        <f t="shared" si="8"/>
        <v/>
      </c>
    </row>
    <row r="1148" ht="22.5" customHeight="1">
      <c r="B1148" s="13">
        <f t="shared" si="3"/>
        <v>1142</v>
      </c>
      <c r="C1148" s="15" t="str">
        <f t="array" ref="C1148">IFNA(_xlfn.XLOOKUP(B1148,Table_Respons_Loket[Count],Table_Respons_Loket[Nomor Tiket]),"")</f>
        <v>K/17/131124/1</v>
      </c>
      <c r="D1148" s="15" t="str">
        <f t="array" ref="D1148">IFNA(_xlfn.XLOOKUP(B1148,Table_Respons_Loket[Count],Table_Respons_Loket[Daftar Nomor Hak]),"")</f>
        <v>M. 468/SUMUR PUTRI</v>
      </c>
      <c r="E1148" s="17">
        <f t="array" ref="E1148">IFNA(_xlfn.XLOOKUP(B1148,Table_Respons_Loket[Count],Table_Respons_Loket[Time Stamp]),"")</f>
        <v>45609.48726</v>
      </c>
      <c r="F1148" s="18" t="str">
        <f t="array" ref="F1148">IFNA(_xlfn.XLOOKUP(B1148,Table_Respons_Loket[Count],Table_Respons_Loket[Jenis Permohonan]),"")</f>
        <v>BN JUAL BELI</v>
      </c>
      <c r="G1148" s="24"/>
      <c r="H1148" s="24"/>
      <c r="I1148" s="22" t="str">
        <f t="shared" si="7"/>
        <v/>
      </c>
      <c r="J1148" s="20" t="b">
        <v>0</v>
      </c>
      <c r="K1148" s="13" t="str">
        <f t="shared" si="8"/>
        <v/>
      </c>
    </row>
    <row r="1149" ht="22.5" customHeight="1">
      <c r="B1149" s="13">
        <f t="shared" si="3"/>
        <v>1143</v>
      </c>
      <c r="C1149" s="15" t="str">
        <f t="array" ref="C1149">IFNA(_xlfn.XLOOKUP(B1149,Table_Respons_Loket[Count],Table_Respons_Loket[Nomor Tiket]),"")</f>
        <v>L/18/131124/1</v>
      </c>
      <c r="D1149" s="15" t="str">
        <f t="array" ref="D1149">IFNA(_xlfn.XLOOKUP(B1149,Table_Respons_Loket[Count],Table_Respons_Loket[Daftar Nomor Hak]),"")</f>
        <v>HGB 706/CAMPANG RAYA</v>
      </c>
      <c r="E1149" s="17">
        <f t="array" ref="E1149">IFNA(_xlfn.XLOOKUP(B1149,Table_Respons_Loket[Count],Table_Respons_Loket[Time Stamp]),"")</f>
        <v>45609.49015</v>
      </c>
      <c r="F1149" s="18" t="str">
        <f t="array" ref="F1149">IFNA(_xlfn.XLOOKUP(B1149,Table_Respons_Loket[Count],Table_Respons_Loket[Jenis Permohonan]),"")</f>
        <v>SKPT INFORMASI</v>
      </c>
      <c r="G1149" s="24"/>
      <c r="H1149" s="24"/>
      <c r="I1149" s="22" t="str">
        <f t="shared" si="7"/>
        <v/>
      </c>
      <c r="J1149" s="20" t="b">
        <v>0</v>
      </c>
      <c r="K1149" s="13" t="str">
        <f t="shared" si="8"/>
        <v/>
      </c>
    </row>
    <row r="1150" ht="22.5" customHeight="1">
      <c r="B1150" s="13">
        <f t="shared" si="3"/>
        <v>1144</v>
      </c>
      <c r="C1150" s="15" t="str">
        <f t="array" ref="C1150">IFNA(_xlfn.XLOOKUP(B1150,Table_Respons_Loket[Count],Table_Respons_Loket[Nomor Tiket]),"")</f>
        <v>K/19/131124/1</v>
      </c>
      <c r="D1150" s="15" t="str">
        <f t="array" ref="D1150">IFNA(_xlfn.XLOOKUP(B1150,Table_Respons_Loket[Count],Table_Respons_Loket[Daftar Nomor Hak]),"")</f>
        <v>M. 1845/ Kaliawi</v>
      </c>
      <c r="E1150" s="17">
        <f t="array" ref="E1150">IFNA(_xlfn.XLOOKUP(B1150,Table_Respons_Loket[Count],Table_Respons_Loket[Time Stamp]),"")</f>
        <v>45609.54511</v>
      </c>
      <c r="F1150" s="18" t="str">
        <f t="array" ref="F1150">IFNA(_xlfn.XLOOKUP(B1150,Table_Respons_Loket[Count],Table_Respons_Loket[Jenis Permohonan]),"")</f>
        <v>BN Waris</v>
      </c>
      <c r="G1150" s="24"/>
      <c r="H1150" s="24"/>
      <c r="I1150" s="22" t="str">
        <f t="shared" si="7"/>
        <v/>
      </c>
      <c r="J1150" s="20" t="b">
        <v>0</v>
      </c>
      <c r="K1150" s="13" t="str">
        <f t="shared" si="8"/>
        <v/>
      </c>
    </row>
    <row r="1151" ht="22.5" customHeight="1">
      <c r="B1151" s="13">
        <f t="shared" si="3"/>
        <v>1145</v>
      </c>
      <c r="C1151" s="15" t="str">
        <f t="array" ref="C1151">IFNA(_xlfn.XLOOKUP(B1151,Table_Respons_Loket[Count],Table_Respons_Loket[Nomor Tiket]),"")</f>
        <v>K/20/131124/1</v>
      </c>
      <c r="D1151" s="15" t="str">
        <f t="array" ref="D1151">IFNA(_xlfn.XLOOKUP(B1151,Table_Respons_Loket[Count],Table_Respons_Loket[Daftar Nomor Hak]),"")</f>
        <v>M. 942/ Sumur Putri</v>
      </c>
      <c r="E1151" s="17">
        <f t="array" ref="E1151">IFNA(_xlfn.XLOOKUP(B1151,Table_Respons_Loket[Count],Table_Respons_Loket[Time Stamp]),"")</f>
        <v>45609.55405</v>
      </c>
      <c r="F1151" s="18" t="str">
        <f t="array" ref="F1151">IFNA(_xlfn.XLOOKUP(B1151,Table_Respons_Loket[Count],Table_Respons_Loket[Jenis Permohonan]),"")</f>
        <v>BN JUAL BELI</v>
      </c>
      <c r="G1151" s="24"/>
      <c r="H1151" s="24"/>
      <c r="I1151" s="22" t="str">
        <f t="shared" si="7"/>
        <v/>
      </c>
      <c r="J1151" s="20" t="b">
        <v>0</v>
      </c>
      <c r="K1151" s="13" t="str">
        <f t="shared" si="8"/>
        <v/>
      </c>
    </row>
    <row r="1152" ht="22.5" customHeight="1">
      <c r="B1152" s="13">
        <f t="shared" si="3"/>
        <v>1146</v>
      </c>
      <c r="C1152" s="15" t="str">
        <f t="array" ref="C1152">IFNA(_xlfn.XLOOKUP(B1152,Table_Respons_Loket[Count],Table_Respons_Loket[Nomor Tiket]),"")</f>
        <v>K/21/131124/1</v>
      </c>
      <c r="D1152" s="15" t="str">
        <f t="array" ref="D1152">IFNA(_xlfn.XLOOKUP(B1152,Table_Respons_Loket[Count],Table_Respons_Loket[Daftar Nomor Hak]),"")</f>
        <v>M.10630/SIDODADI</v>
      </c>
      <c r="E1152" s="17">
        <f t="array" ref="E1152">IFNA(_xlfn.XLOOKUP(B1152,Table_Respons_Loket[Count],Table_Respons_Loket[Time Stamp]),"")</f>
        <v>45609.56041</v>
      </c>
      <c r="F1152" s="18" t="str">
        <f t="array" ref="F1152">IFNA(_xlfn.XLOOKUP(B1152,Table_Respons_Loket[Count],Table_Respons_Loket[Jenis Permohonan]),"")</f>
        <v>KEWARISAN</v>
      </c>
      <c r="G1152" s="24"/>
      <c r="H1152" s="24"/>
      <c r="I1152" s="22" t="str">
        <f t="shared" si="7"/>
        <v/>
      </c>
      <c r="J1152" s="20" t="b">
        <v>0</v>
      </c>
      <c r="K1152" s="13" t="str">
        <f t="shared" si="8"/>
        <v/>
      </c>
    </row>
    <row r="1153" ht="22.5" customHeight="1">
      <c r="B1153" s="13">
        <f t="shared" si="3"/>
        <v>1147</v>
      </c>
      <c r="C1153" s="15" t="str">
        <f t="array" ref="C1153">IFNA(_xlfn.XLOOKUP(B1153,Table_Respons_Loket[Count],Table_Respons_Loket[Nomor Tiket]),"")</f>
        <v>K/22/131124/1</v>
      </c>
      <c r="D1153" s="15" t="str">
        <f t="array" ref="D1153">IFNA(_xlfn.XLOOKUP(B1153,Table_Respons_Loket[Count],Table_Respons_Loket[Daftar Nomor Hak]),"")</f>
        <v>B. 326/ Negeri Olok Gading</v>
      </c>
      <c r="E1153" s="17">
        <f t="array" ref="E1153">IFNA(_xlfn.XLOOKUP(B1153,Table_Respons_Loket[Count],Table_Respons_Loket[Time Stamp]),"")</f>
        <v>45609.56203</v>
      </c>
      <c r="F1153" s="18" t="str">
        <f t="array" ref="F1153">IFNA(_xlfn.XLOOKUP(B1153,Table_Respons_Loket[Count],Table_Respons_Loket[Jenis Permohonan]),"")</f>
        <v>ROYA</v>
      </c>
      <c r="G1153" s="24"/>
      <c r="H1153" s="24"/>
      <c r="I1153" s="22" t="str">
        <f t="shared" si="7"/>
        <v/>
      </c>
      <c r="J1153" s="20" t="b">
        <v>0</v>
      </c>
      <c r="K1153" s="13" t="str">
        <f t="shared" si="8"/>
        <v/>
      </c>
    </row>
    <row r="1154" ht="22.5" customHeight="1">
      <c r="B1154" s="13">
        <f t="shared" si="3"/>
        <v>1148</v>
      </c>
      <c r="C1154" s="15" t="str">
        <f t="array" ref="C1154">IFNA(_xlfn.XLOOKUP(B1154,Table_Respons_Loket[Count],Table_Respons_Loket[Nomor Tiket]),"")</f>
        <v>K/23/131124/1</v>
      </c>
      <c r="D1154" s="15" t="str">
        <f t="array" ref="D1154">IFNA(_xlfn.XLOOKUP(B1154,Table_Respons_Loket[Count],Table_Respons_Loket[Daftar Nomor Hak]),"")</f>
        <v>M. 4937/ Sukadana Ham</v>
      </c>
      <c r="E1154" s="17">
        <f t="array" ref="E1154">IFNA(_xlfn.XLOOKUP(B1154,Table_Respons_Loket[Count],Table_Respons_Loket[Time Stamp]),"")</f>
        <v>45609.56785</v>
      </c>
      <c r="F1154" s="18" t="str">
        <f t="array" ref="F1154">IFNA(_xlfn.XLOOKUP(B1154,Table_Respons_Loket[Count],Table_Respons_Loket[Jenis Permohonan]),"")</f>
        <v>BN Jual Beli</v>
      </c>
      <c r="G1154" s="24"/>
      <c r="H1154" s="24"/>
      <c r="I1154" s="22" t="str">
        <f t="shared" si="7"/>
        <v/>
      </c>
      <c r="J1154" s="20" t="b">
        <v>0</v>
      </c>
      <c r="K1154" s="13" t="str">
        <f t="shared" si="8"/>
        <v/>
      </c>
    </row>
    <row r="1155" ht="22.5" customHeight="1">
      <c r="B1155" s="13">
        <f t="shared" si="3"/>
        <v>1149</v>
      </c>
      <c r="C1155" s="15" t="str">
        <f t="array" ref="C1155">IFNA(_xlfn.XLOOKUP(B1155,Table_Respons_Loket[Count],Table_Respons_Loket[Nomor Tiket]),"")</f>
        <v>K/24/131124/2</v>
      </c>
      <c r="D1155" s="15" t="str">
        <f t="array" ref="D1155">IFNA(_xlfn.XLOOKUP(B1155,Table_Respons_Loket[Count],Table_Respons_Loket[Daftar Nomor Hak]),"")</f>
        <v>M. 4977/ Sukadana Ham</v>
      </c>
      <c r="E1155" s="17">
        <f t="array" ref="E1155">IFNA(_xlfn.XLOOKUP(B1155,Table_Respons_Loket[Count],Table_Respons_Loket[Time Stamp]),"")</f>
        <v>45609.56866</v>
      </c>
      <c r="F1155" s="18" t="str">
        <f t="array" ref="F1155">IFNA(_xlfn.XLOOKUP(B1155,Table_Respons_Loket[Count],Table_Respons_Loket[Jenis Permohonan]),"")</f>
        <v>BN Jual Beli</v>
      </c>
      <c r="G1155" s="24"/>
      <c r="H1155" s="24"/>
      <c r="I1155" s="22" t="str">
        <f t="shared" si="7"/>
        <v/>
      </c>
      <c r="J1155" s="20" t="b">
        <v>0</v>
      </c>
      <c r="K1155" s="13" t="str">
        <f t="shared" si="8"/>
        <v/>
      </c>
    </row>
    <row r="1156" ht="22.5" customHeight="1">
      <c r="B1156" s="13">
        <f t="shared" si="3"/>
        <v>1150</v>
      </c>
      <c r="C1156" s="15" t="str">
        <f t="array" ref="C1156">IFNA(_xlfn.XLOOKUP(B1156,Table_Respons_Loket[Count],Table_Respons_Loket[Nomor Tiket]),"")</f>
        <v>L/25/131124/1</v>
      </c>
      <c r="D1156" s="15" t="str">
        <f t="array" ref="D1156">IFNA(_xlfn.XLOOKUP(B1156,Table_Respons_Loket[Count],Table_Respons_Loket[Daftar Nomor Hak]),"")</f>
        <v>HM 1075/RAJABASA RAYA</v>
      </c>
      <c r="E1156" s="17">
        <f t="array" ref="E1156">IFNA(_xlfn.XLOOKUP(B1156,Table_Respons_Loket[Count],Table_Respons_Loket[Time Stamp]),"")</f>
        <v>45609.57117</v>
      </c>
      <c r="F1156" s="18" t="str">
        <f t="array" ref="F1156">IFNA(_xlfn.XLOOKUP(B1156,Table_Respons_Loket[Count],Table_Respons_Loket[Jenis Permohonan]),"")</f>
        <v>ROYA</v>
      </c>
      <c r="G1156" s="24"/>
      <c r="H1156" s="24"/>
      <c r="I1156" s="22" t="str">
        <f t="shared" si="7"/>
        <v/>
      </c>
      <c r="J1156" s="20" t="b">
        <v>0</v>
      </c>
      <c r="K1156" s="13" t="str">
        <f t="shared" si="8"/>
        <v/>
      </c>
    </row>
    <row r="1157" ht="22.5" customHeight="1">
      <c r="B1157" s="13">
        <f t="shared" si="3"/>
        <v>1151</v>
      </c>
      <c r="C1157" s="15" t="str">
        <f t="array" ref="C1157">IFNA(_xlfn.XLOOKUP(B1157,Table_Respons_Loket[Count],Table_Respons_Loket[Nomor Tiket]),"")</f>
        <v>K/26/131124/1</v>
      </c>
      <c r="D1157" s="15" t="str">
        <f t="array" ref="D1157">IFNA(_xlfn.XLOOKUP(B1157,Table_Respons_Loket[Count],Table_Respons_Loket[Daftar Nomor Hak]),"")</f>
        <v>B. 385/ Campang Raya</v>
      </c>
      <c r="E1157" s="17">
        <f t="array" ref="E1157">IFNA(_xlfn.XLOOKUP(B1157,Table_Respons_Loket[Count],Table_Respons_Loket[Time Stamp]),"")</f>
        <v>45609.57594</v>
      </c>
      <c r="F1157" s="18" t="str">
        <f t="array" ref="F1157">IFNA(_xlfn.XLOOKUP(B1157,Table_Respons_Loket[Count],Table_Respons_Loket[Jenis Permohonan]),"")</f>
        <v>Gandes</v>
      </c>
      <c r="G1157" s="24"/>
      <c r="H1157" s="24"/>
      <c r="I1157" s="22" t="str">
        <f t="shared" si="7"/>
        <v/>
      </c>
      <c r="J1157" s="20" t="b">
        <v>0</v>
      </c>
      <c r="K1157" s="13" t="str">
        <f t="shared" si="8"/>
        <v/>
      </c>
    </row>
    <row r="1158" ht="22.5" customHeight="1">
      <c r="B1158" s="13">
        <f t="shared" si="3"/>
        <v>1152</v>
      </c>
      <c r="C1158" s="15" t="str">
        <f t="array" ref="C1158">IFNA(_xlfn.XLOOKUP(B1158,Table_Respons_Loket[Count],Table_Respons_Loket[Nomor Tiket]),"")</f>
        <v>K/27/131124/1</v>
      </c>
      <c r="D1158" s="15" t="str">
        <f t="array" ref="D1158">IFNA(_xlfn.XLOOKUP(B1158,Table_Respons_Loket[Count],Table_Respons_Loket[Daftar Nomor Hak]),"")</f>
        <v>M.1877/ BUMI WARAS</v>
      </c>
      <c r="E1158" s="17">
        <f t="array" ref="E1158">IFNA(_xlfn.XLOOKUP(B1158,Table_Respons_Loket[Count],Table_Respons_Loket[Time Stamp]),"")</f>
        <v>45609.57878</v>
      </c>
      <c r="F1158" s="18" t="str">
        <f t="array" ref="F1158">IFNA(_xlfn.XLOOKUP(B1158,Table_Respons_Loket[Count],Table_Respons_Loket[Jenis Permohonan]),"")</f>
        <v>PLOTTING</v>
      </c>
      <c r="G1158" s="24"/>
      <c r="H1158" s="24"/>
      <c r="I1158" s="22" t="str">
        <f t="shared" si="7"/>
        <v/>
      </c>
      <c r="J1158" s="20" t="b">
        <v>0</v>
      </c>
      <c r="K1158" s="13" t="str">
        <f t="shared" si="8"/>
        <v/>
      </c>
    </row>
    <row r="1159" ht="22.5" customHeight="1">
      <c r="B1159" s="13">
        <f t="shared" si="3"/>
        <v>1153</v>
      </c>
      <c r="C1159" s="15" t="str">
        <f t="array" ref="C1159">IFNA(_xlfn.XLOOKUP(B1159,Table_Respons_Loket[Count],Table_Respons_Loket[Nomor Tiket]),"")</f>
        <v>K/28/131124/2</v>
      </c>
      <c r="D1159" s="15" t="str">
        <f t="array" ref="D1159">IFNA(_xlfn.XLOOKUP(B1159,Table_Respons_Loket[Count],Table_Respons_Loket[Daftar Nomor Hak]),"")</f>
        <v>M. 1635 / PANJANG SELATAN</v>
      </c>
      <c r="E1159" s="17">
        <f t="array" ref="E1159">IFNA(_xlfn.XLOOKUP(B1159,Table_Respons_Loket[Count],Table_Respons_Loket[Time Stamp]),"")</f>
        <v>45609.58003</v>
      </c>
      <c r="F1159" s="18" t="str">
        <f t="array" ref="F1159">IFNA(_xlfn.XLOOKUP(B1159,Table_Respons_Loket[Count],Table_Respons_Loket[Jenis Permohonan]),"")</f>
        <v>ROYA</v>
      </c>
      <c r="G1159" s="24"/>
      <c r="H1159" s="24"/>
      <c r="I1159" s="22" t="str">
        <f t="shared" si="7"/>
        <v/>
      </c>
      <c r="J1159" s="20" t="b">
        <v>0</v>
      </c>
      <c r="K1159" s="13" t="str">
        <f t="shared" si="8"/>
        <v/>
      </c>
    </row>
    <row r="1160" ht="22.5" customHeight="1">
      <c r="B1160" s="13">
        <f t="shared" si="3"/>
        <v>1154</v>
      </c>
      <c r="C1160" s="15" t="str">
        <f t="array" ref="C1160">IFNA(_xlfn.XLOOKUP(B1160,Table_Respons_Loket[Count],Table_Respons_Loket[Nomor Tiket]),"")</f>
        <v>K/29/131124/1</v>
      </c>
      <c r="D1160" s="15" t="str">
        <f t="array" ref="D1160">IFNA(_xlfn.XLOOKUP(B1160,Table_Respons_Loket[Count],Table_Respons_Loket[Daftar Nomor Hak]),"")</f>
        <v>M. 1200 / GULAK GALIK-SEKARANG;M. 66/SUMUR BATU-DAHULU</v>
      </c>
      <c r="E1160" s="17">
        <f t="array" ref="E1160">IFNA(_xlfn.XLOOKUP(B1160,Table_Respons_Loket[Count],Table_Respons_Loket[Time Stamp]),"")</f>
        <v>45609.58452</v>
      </c>
      <c r="F1160" s="18" t="str">
        <f t="array" ref="F1160">IFNA(_xlfn.XLOOKUP(B1160,Table_Respons_Loket[Count],Table_Respons_Loket[Jenis Permohonan]),"")</f>
        <v>BN JUAL BELI</v>
      </c>
      <c r="G1160" s="24"/>
      <c r="H1160" s="24"/>
      <c r="I1160" s="22" t="str">
        <f t="shared" si="7"/>
        <v/>
      </c>
      <c r="J1160" s="20" t="b">
        <v>0</v>
      </c>
      <c r="K1160" s="13" t="str">
        <f t="shared" si="8"/>
        <v/>
      </c>
    </row>
    <row r="1161" ht="22.5" customHeight="1">
      <c r="B1161" s="13">
        <f t="shared" si="3"/>
        <v>1155</v>
      </c>
      <c r="C1161" s="15" t="str">
        <f t="array" ref="C1161">IFNA(_xlfn.XLOOKUP(B1161,Table_Respons_Loket[Count],Table_Respons_Loket[Nomor Tiket]),"")</f>
        <v>K/30/131124/1</v>
      </c>
      <c r="D1161" s="15" t="str">
        <f t="array" ref="D1161">IFNA(_xlfn.XLOOKUP(B1161,Table_Respons_Loket[Count],Table_Respons_Loket[Daftar Nomor Hak]),"")</f>
        <v>M. 9210/ Kedamaian</v>
      </c>
      <c r="E1161" s="17">
        <f t="array" ref="E1161">IFNA(_xlfn.XLOOKUP(B1161,Table_Respons_Loket[Count],Table_Respons_Loket[Time Stamp]),"")</f>
        <v>45609.58602</v>
      </c>
      <c r="F1161" s="18" t="str">
        <f t="array" ref="F1161">IFNA(_xlfn.XLOOKUP(B1161,Table_Respons_Loket[Count],Table_Respons_Loket[Jenis Permohonan]),"")</f>
        <v>BN Waris</v>
      </c>
      <c r="G1161" s="24"/>
      <c r="H1161" s="24"/>
      <c r="I1161" s="22" t="str">
        <f t="shared" si="7"/>
        <v/>
      </c>
      <c r="J1161" s="20" t="b">
        <v>0</v>
      </c>
      <c r="K1161" s="13" t="str">
        <f t="shared" si="8"/>
        <v/>
      </c>
    </row>
    <row r="1162" ht="22.5" customHeight="1">
      <c r="B1162" s="13">
        <f t="shared" si="3"/>
        <v>1156</v>
      </c>
      <c r="C1162" s="15" t="str">
        <f t="array" ref="C1162">IFNA(_xlfn.XLOOKUP(B1162,Table_Respons_Loket[Count],Table_Respons_Loket[Nomor Tiket]),"")</f>
        <v>K/31/131124/2</v>
      </c>
      <c r="D1162" s="15" t="str">
        <f t="array" ref="D1162">IFNA(_xlfn.XLOOKUP(B1162,Table_Respons_Loket[Count],Table_Respons_Loket[Daftar Nomor Hak]),"")</f>
        <v>M. 1114/ Pematang Wangi</v>
      </c>
      <c r="E1162" s="17">
        <f t="array" ref="E1162">IFNA(_xlfn.XLOOKUP(B1162,Table_Respons_Loket[Count],Table_Respons_Loket[Time Stamp]),"")</f>
        <v>45609.58858</v>
      </c>
      <c r="F1162" s="18" t="str">
        <f t="array" ref="F1162">IFNA(_xlfn.XLOOKUP(B1162,Table_Respons_Loket[Count],Table_Respons_Loket[Jenis Permohonan]),"")</f>
        <v>BN Jual Beli</v>
      </c>
      <c r="G1162" s="24"/>
      <c r="H1162" s="24"/>
      <c r="I1162" s="22" t="str">
        <f t="shared" si="7"/>
        <v/>
      </c>
      <c r="J1162" s="20" t="b">
        <v>0</v>
      </c>
      <c r="K1162" s="13" t="str">
        <f t="shared" si="8"/>
        <v/>
      </c>
    </row>
    <row r="1163" ht="22.5" customHeight="1">
      <c r="B1163" s="13">
        <f t="shared" si="3"/>
        <v>1157</v>
      </c>
      <c r="C1163" s="15" t="str">
        <f t="array" ref="C1163">IFNA(_xlfn.XLOOKUP(B1163,Table_Respons_Loket[Count],Table_Respons_Loket[Nomor Tiket]),"")</f>
        <v>L/32/131124/1</v>
      </c>
      <c r="D1163" s="15" t="str">
        <f t="array" ref="D1163">IFNA(_xlfn.XLOOKUP(B1163,Table_Respons_Loket[Count],Table_Respons_Loket[Daftar Nomor Hak]),"")</f>
        <v>HM 380/SUKARAJA</v>
      </c>
      <c r="E1163" s="17">
        <f t="array" ref="E1163">IFNA(_xlfn.XLOOKUP(B1163,Table_Respons_Loket[Count],Table_Respons_Loket[Time Stamp]),"")</f>
        <v>45609.61089</v>
      </c>
      <c r="F1163" s="18" t="str">
        <f t="array" ref="F1163">IFNA(_xlfn.XLOOKUP(B1163,Table_Respons_Loket[Count],Table_Respons_Loket[Jenis Permohonan]),"")</f>
        <v>BLOKIR</v>
      </c>
      <c r="G1163" s="24"/>
      <c r="H1163" s="24"/>
      <c r="I1163" s="22" t="str">
        <f t="shared" si="7"/>
        <v/>
      </c>
      <c r="J1163" s="20" t="b">
        <v>0</v>
      </c>
      <c r="K1163" s="13" t="str">
        <f t="shared" si="8"/>
        <v/>
      </c>
    </row>
    <row r="1164" ht="22.5" customHeight="1">
      <c r="B1164" s="13">
        <f t="shared" si="3"/>
        <v>1158</v>
      </c>
      <c r="C1164" s="15" t="str">
        <f t="array" ref="C1164">IFNA(_xlfn.XLOOKUP(B1164,Table_Respons_Loket[Count],Table_Respons_Loket[Nomor Tiket]),"")</f>
        <v>K/34/131124/1</v>
      </c>
      <c r="D1164" s="15" t="str">
        <f t="array" ref="D1164">IFNA(_xlfn.XLOOKUP(B1164,Table_Respons_Loket[Count],Table_Respons_Loket[Daftar Nomor Hak]),"")</f>
        <v>M. 4728/ Langkapura</v>
      </c>
      <c r="E1164" s="17">
        <f t="array" ref="E1164">IFNA(_xlfn.XLOOKUP(B1164,Table_Respons_Loket[Count],Table_Respons_Loket[Time Stamp]),"")</f>
        <v>45609.61122</v>
      </c>
      <c r="F1164" s="18" t="str">
        <f t="array" ref="F1164">IFNA(_xlfn.XLOOKUP(B1164,Table_Respons_Loket[Count],Table_Respons_Loket[Jenis Permohonan]),"")</f>
        <v>BN JUAL BELI</v>
      </c>
      <c r="G1164" s="24"/>
      <c r="H1164" s="24"/>
      <c r="I1164" s="22" t="str">
        <f t="shared" si="7"/>
        <v/>
      </c>
      <c r="J1164" s="20" t="b">
        <v>0</v>
      </c>
      <c r="K1164" s="13" t="str">
        <f t="shared" si="8"/>
        <v/>
      </c>
    </row>
    <row r="1165" ht="22.5" customHeight="1">
      <c r="B1165" s="13">
        <f t="shared" si="3"/>
        <v>1159</v>
      </c>
      <c r="C1165" s="15" t="str">
        <f t="array" ref="C1165">IFNA(_xlfn.XLOOKUP(B1165,Table_Respons_Loket[Count],Table_Respons_Loket[Nomor Tiket]),"")</f>
        <v>K/35/131124/2</v>
      </c>
      <c r="D1165" s="15" t="str">
        <f t="array" ref="D1165">IFNA(_xlfn.XLOOKUP(B1165,Table_Respons_Loket[Count],Table_Respons_Loket[Daftar Nomor Hak]),"")</f>
        <v>M. 10668/ Kedaton</v>
      </c>
      <c r="E1165" s="17">
        <f t="array" ref="E1165">IFNA(_xlfn.XLOOKUP(B1165,Table_Respons_Loket[Count],Table_Respons_Loket[Time Stamp]),"")</f>
        <v>45609.61273</v>
      </c>
      <c r="F1165" s="18" t="str">
        <f t="array" ref="F1165">IFNA(_xlfn.XLOOKUP(B1165,Table_Respons_Loket[Count],Table_Respons_Loket[Jenis Permohonan]),"")</f>
        <v>BN HIBAH</v>
      </c>
      <c r="G1165" s="24"/>
      <c r="H1165" s="24"/>
      <c r="I1165" s="22" t="str">
        <f t="shared" si="7"/>
        <v/>
      </c>
      <c r="J1165" s="20" t="b">
        <v>0</v>
      </c>
      <c r="K1165" s="13" t="str">
        <f t="shared" si="8"/>
        <v/>
      </c>
    </row>
    <row r="1166" ht="22.5" customHeight="1">
      <c r="B1166" s="13">
        <f t="shared" si="3"/>
        <v>1160</v>
      </c>
      <c r="C1166" s="15" t="str">
        <f t="array" ref="C1166">IFNA(_xlfn.XLOOKUP(B1166,Table_Respons_Loket[Count],Table_Respons_Loket[Nomor Tiket]),"")</f>
        <v>K/36/131124/1</v>
      </c>
      <c r="D1166" s="15" t="str">
        <f t="array" ref="D1166">IFNA(_xlfn.XLOOKUP(B1166,Table_Respons_Loket[Count],Table_Respons_Loket[Daftar Nomor Hak]),"")</f>
        <v>M. 1816/ Rajabasa Nunyai</v>
      </c>
      <c r="E1166" s="17">
        <f t="array" ref="E1166">IFNA(_xlfn.XLOOKUP(B1166,Table_Respons_Loket[Count],Table_Respons_Loket[Time Stamp]),"")</f>
        <v>45609.61369</v>
      </c>
      <c r="F1166" s="18" t="str">
        <f t="array" ref="F1166">IFNA(_xlfn.XLOOKUP(B1166,Table_Respons_Loket[Count],Table_Respons_Loket[Jenis Permohonan]),"")</f>
        <v>BN Jual Beli</v>
      </c>
      <c r="G1166" s="24"/>
      <c r="H1166" s="24"/>
      <c r="I1166" s="22" t="str">
        <f t="shared" si="7"/>
        <v/>
      </c>
      <c r="J1166" s="20" t="b">
        <v>0</v>
      </c>
      <c r="K1166" s="13" t="str">
        <f t="shared" si="8"/>
        <v/>
      </c>
    </row>
    <row r="1167" ht="22.5" customHeight="1">
      <c r="B1167" s="13">
        <f t="shared" si="3"/>
        <v>1161</v>
      </c>
      <c r="C1167" s="15" t="str">
        <f t="array" ref="C1167">IFNA(_xlfn.XLOOKUP(B1167,Table_Respons_Loket[Count],Table_Respons_Loket[Nomor Tiket]),"")</f>
        <v>L/33/131124/2</v>
      </c>
      <c r="D1167" s="15" t="str">
        <f t="array" ref="D1167">IFNA(_xlfn.XLOOKUP(B1167,Table_Respons_Loket[Count],Table_Respons_Loket[Daftar Nomor Hak]),"")</f>
        <v>HM 381/SUKARAJA</v>
      </c>
      <c r="E1167" s="17">
        <f t="array" ref="E1167">IFNA(_xlfn.XLOOKUP(B1167,Table_Respons_Loket[Count],Table_Respons_Loket[Time Stamp]),"")</f>
        <v>45609.61579</v>
      </c>
      <c r="F1167" s="18" t="str">
        <f t="array" ref="F1167">IFNA(_xlfn.XLOOKUP(B1167,Table_Respons_Loket[Count],Table_Respons_Loket[Jenis Permohonan]),"")</f>
        <v>BLOKIR</v>
      </c>
      <c r="G1167" s="24"/>
      <c r="H1167" s="24"/>
      <c r="I1167" s="22" t="str">
        <f t="shared" si="7"/>
        <v/>
      </c>
      <c r="J1167" s="20" t="b">
        <v>0</v>
      </c>
      <c r="K1167" s="13" t="str">
        <f t="shared" si="8"/>
        <v/>
      </c>
    </row>
    <row r="1168" ht="22.5" customHeight="1">
      <c r="B1168" s="13">
        <f t="shared" si="3"/>
        <v>1162</v>
      </c>
      <c r="C1168" s="15" t="str">
        <f t="array" ref="C1168">IFNA(_xlfn.XLOOKUP(B1168,Table_Respons_Loket[Count],Table_Respons_Loket[Nomor Tiket]),"")</f>
        <v>K/37/131124/1</v>
      </c>
      <c r="D1168" s="15" t="str">
        <f t="array" ref="D1168">IFNA(_xlfn.XLOOKUP(B1168,Table_Respons_Loket[Count],Table_Respons_Loket[Daftar Nomor Hak]),"")</f>
        <v>M. 9123 / TANJUNG BARU</v>
      </c>
      <c r="E1168" s="17">
        <f t="array" ref="E1168">IFNA(_xlfn.XLOOKUP(B1168,Table_Respons_Loket[Count],Table_Respons_Loket[Time Stamp]),"")</f>
        <v>45609.6185</v>
      </c>
      <c r="F1168" s="18" t="str">
        <f t="array" ref="F1168">IFNA(_xlfn.XLOOKUP(B1168,Table_Respons_Loket[Count],Table_Respons_Loket[Jenis Permohonan]),"")</f>
        <v>BN JUAL BELI</v>
      </c>
      <c r="G1168" s="24"/>
      <c r="H1168" s="24"/>
      <c r="I1168" s="22" t="str">
        <f t="shared" si="7"/>
        <v/>
      </c>
      <c r="J1168" s="20" t="b">
        <v>0</v>
      </c>
      <c r="K1168" s="13" t="str">
        <f t="shared" si="8"/>
        <v/>
      </c>
    </row>
    <row r="1169" ht="22.5" customHeight="1">
      <c r="B1169" s="13">
        <f t="shared" si="3"/>
        <v>1163</v>
      </c>
      <c r="C1169" s="15" t="str">
        <f t="array" ref="C1169">IFNA(_xlfn.XLOOKUP(B1169,Table_Respons_Loket[Count],Table_Respons_Loket[Nomor Tiket]),"")</f>
        <v>K/38/131124/1</v>
      </c>
      <c r="D1169" s="15" t="str">
        <f t="array" ref="D1169">IFNA(_xlfn.XLOOKUP(B1169,Table_Respons_Loket[Count],Table_Respons_Loket[Daftar Nomor Hak]),"")</f>
        <v>M. 624 / SUKARAME II</v>
      </c>
      <c r="E1169" s="17">
        <f t="array" ref="E1169">IFNA(_xlfn.XLOOKUP(B1169,Table_Respons_Loket[Count],Table_Respons_Loket[Time Stamp]),"")</f>
        <v>45609.62133</v>
      </c>
      <c r="F1169" s="18" t="str">
        <f t="array" ref="F1169">IFNA(_xlfn.XLOOKUP(B1169,Table_Respons_Loket[Count],Table_Respons_Loket[Jenis Permohonan]),"")</f>
        <v>PLOTTING</v>
      </c>
      <c r="G1169" s="24"/>
      <c r="H1169" s="24"/>
      <c r="I1169" s="22" t="str">
        <f t="shared" si="7"/>
        <v/>
      </c>
      <c r="J1169" s="20" t="b">
        <v>0</v>
      </c>
      <c r="K1169" s="13" t="str">
        <f t="shared" si="8"/>
        <v/>
      </c>
    </row>
    <row r="1170" ht="22.5" customHeight="1">
      <c r="B1170" s="13">
        <f t="shared" si="3"/>
        <v>1164</v>
      </c>
      <c r="C1170" s="15" t="str">
        <f t="array" ref="C1170">IFNA(_xlfn.XLOOKUP(B1170,Table_Respons_Loket[Count],Table_Respons_Loket[Nomor Tiket]),"")</f>
        <v>L/1/141124/1</v>
      </c>
      <c r="D1170" s="15" t="str">
        <f t="array" ref="D1170">IFNA(_xlfn.XLOOKUP(B1170,Table_Respons_Loket[Count],Table_Respons_Loket[Daftar Nomor Hak]),"")</f>
        <v>NIB 9499/SUKARAME BARU</v>
      </c>
      <c r="E1170" s="17">
        <f t="array" ref="E1170">IFNA(_xlfn.XLOOKUP(B1170,Table_Respons_Loket[Count],Table_Respons_Loket[Time Stamp]),"")</f>
        <v>45610.37897</v>
      </c>
      <c r="F1170" s="18" t="str">
        <f t="array" ref="F1170">IFNA(_xlfn.XLOOKUP(B1170,Table_Respons_Loket[Count],Table_Respons_Loket[Jenis Permohonan]),"")</f>
        <v>BN LELANG</v>
      </c>
      <c r="G1170" s="24"/>
      <c r="H1170" s="24"/>
      <c r="I1170" s="22" t="str">
        <f t="shared" si="7"/>
        <v/>
      </c>
      <c r="J1170" s="20" t="b">
        <v>0</v>
      </c>
      <c r="K1170" s="13" t="str">
        <f t="shared" si="8"/>
        <v/>
      </c>
    </row>
    <row r="1171" ht="22.5" customHeight="1">
      <c r="B1171" s="13">
        <f t="shared" si="3"/>
        <v>1165</v>
      </c>
      <c r="C1171" s="15" t="str">
        <f t="array" ref="C1171">IFNA(_xlfn.XLOOKUP(B1171,Table_Respons_Loket[Count],Table_Respons_Loket[Nomor Tiket]),"")</f>
        <v>L/5/141124/1</v>
      </c>
      <c r="D1171" s="15" t="str">
        <f t="array" ref="D1171">IFNA(_xlfn.XLOOKUP(B1171,Table_Respons_Loket[Count],Table_Respons_Loket[Daftar Nomor Hak]),"")</f>
        <v>HM 9337/SEGALA MIDER</v>
      </c>
      <c r="E1171" s="17">
        <f t="array" ref="E1171">IFNA(_xlfn.XLOOKUP(B1171,Table_Respons_Loket[Count],Table_Respons_Loket[Time Stamp]),"")</f>
        <v>45610.38966</v>
      </c>
      <c r="F1171" s="18" t="str">
        <f t="array" ref="F1171">IFNA(_xlfn.XLOOKUP(B1171,Table_Respons_Loket[Count],Table_Respons_Loket[Jenis Permohonan]),"")</f>
        <v>ROYA WARIS</v>
      </c>
      <c r="G1171" s="24"/>
      <c r="H1171" s="24"/>
      <c r="I1171" s="22" t="str">
        <f t="shared" si="7"/>
        <v/>
      </c>
      <c r="J1171" s="20" t="b">
        <v>0</v>
      </c>
      <c r="K1171" s="13" t="str">
        <f t="shared" si="8"/>
        <v/>
      </c>
    </row>
    <row r="1172" ht="22.5" customHeight="1">
      <c r="B1172" s="13">
        <f t="shared" si="3"/>
        <v>1166</v>
      </c>
      <c r="C1172" s="15" t="str">
        <f t="array" ref="C1172">IFNA(_xlfn.XLOOKUP(B1172,Table_Respons_Loket[Count],Table_Respons_Loket[Nomor Tiket]),"")</f>
        <v>K/2/141124/1</v>
      </c>
      <c r="D1172" s="15" t="str">
        <f t="array" ref="D1172">IFNA(_xlfn.XLOOKUP(B1172,Table_Respons_Loket[Count],Table_Respons_Loket[Daftar Nomor Hak]),"")</f>
        <v>B. 799/ Sumur Putri</v>
      </c>
      <c r="E1172" s="17">
        <f t="array" ref="E1172">IFNA(_xlfn.XLOOKUP(B1172,Table_Respons_Loket[Count],Table_Respons_Loket[Time Stamp]),"")</f>
        <v>45610.39076</v>
      </c>
      <c r="F1172" s="18" t="str">
        <f t="array" ref="F1172">IFNA(_xlfn.XLOOKUP(B1172,Table_Respons_Loket[Count],Table_Respons_Loket[Jenis Permohonan]),"")</f>
        <v>BN JUAL BELI</v>
      </c>
      <c r="G1172" s="24"/>
      <c r="H1172" s="24"/>
      <c r="I1172" s="22" t="str">
        <f t="shared" si="7"/>
        <v/>
      </c>
      <c r="J1172" s="20" t="b">
        <v>0</v>
      </c>
      <c r="K1172" s="13" t="str">
        <f t="shared" si="8"/>
        <v/>
      </c>
    </row>
    <row r="1173" ht="22.5" customHeight="1">
      <c r="B1173" s="13">
        <f t="shared" si="3"/>
        <v>1167</v>
      </c>
      <c r="C1173" s="15" t="str">
        <f t="array" ref="C1173">IFNA(_xlfn.XLOOKUP(B1173,Table_Respons_Loket[Count],Table_Respons_Loket[Nomor Tiket]),"")</f>
        <v>K/3/141124/2</v>
      </c>
      <c r="D1173" s="15" t="str">
        <f t="array" ref="D1173">IFNA(_xlfn.XLOOKUP(B1173,Table_Respons_Loket[Count],Table_Respons_Loket[Daftar Nomor Hak]),"")</f>
        <v>M. 10144/ Kampung Baru</v>
      </c>
      <c r="E1173" s="17">
        <f t="array" ref="E1173">IFNA(_xlfn.XLOOKUP(B1173,Table_Respons_Loket[Count],Table_Respons_Loket[Time Stamp]),"")</f>
        <v>45610.39231</v>
      </c>
      <c r="F1173" s="18" t="str">
        <f t="array" ref="F1173">IFNA(_xlfn.XLOOKUP(B1173,Table_Respons_Loket[Count],Table_Respons_Loket[Jenis Permohonan]),"")</f>
        <v>ROYA</v>
      </c>
      <c r="G1173" s="24"/>
      <c r="H1173" s="24"/>
      <c r="I1173" s="22" t="str">
        <f t="shared" si="7"/>
        <v/>
      </c>
      <c r="J1173" s="20" t="b">
        <v>0</v>
      </c>
      <c r="K1173" s="13" t="str">
        <f t="shared" si="8"/>
        <v/>
      </c>
    </row>
    <row r="1174" ht="22.5" customHeight="1">
      <c r="B1174" s="13">
        <f t="shared" si="3"/>
        <v>1168</v>
      </c>
      <c r="C1174" s="15" t="str">
        <f t="array" ref="C1174">IFNA(_xlfn.XLOOKUP(B1174,Table_Respons_Loket[Count],Table_Respons_Loket[Nomor Tiket]),"")</f>
        <v>K/4/141124/3</v>
      </c>
      <c r="D1174" s="15" t="str">
        <f t="array" ref="D1174">IFNA(_xlfn.XLOOKUP(B1174,Table_Respons_Loket[Count],Table_Respons_Loket[Daftar Nomor Hak]),"")</f>
        <v>B. 335/ Kampung Baru</v>
      </c>
      <c r="E1174" s="17">
        <f t="array" ref="E1174">IFNA(_xlfn.XLOOKUP(B1174,Table_Respons_Loket[Count],Table_Respons_Loket[Time Stamp]),"")</f>
        <v>45610.3958</v>
      </c>
      <c r="F1174" s="18" t="str">
        <f t="array" ref="F1174">IFNA(_xlfn.XLOOKUP(B1174,Table_Respons_Loket[Count],Table_Respons_Loket[Jenis Permohonan]),"")</f>
        <v>PERUBAHAN HAK</v>
      </c>
      <c r="G1174" s="24"/>
      <c r="H1174" s="24"/>
      <c r="I1174" s="22" t="str">
        <f t="shared" si="7"/>
        <v/>
      </c>
      <c r="J1174" s="20" t="b">
        <v>0</v>
      </c>
      <c r="K1174" s="13" t="str">
        <f t="shared" si="8"/>
        <v/>
      </c>
    </row>
    <row r="1175" ht="22.5" customHeight="1">
      <c r="B1175" s="13">
        <f t="shared" si="3"/>
        <v>1169</v>
      </c>
      <c r="C1175" s="15" t="str">
        <f t="array" ref="C1175">IFNA(_xlfn.XLOOKUP(B1175,Table_Respons_Loket[Count],Table_Respons_Loket[Nomor Tiket]),"")</f>
        <v>K/6/141124/1</v>
      </c>
      <c r="D1175" s="15" t="str">
        <f t="array" ref="D1175">IFNA(_xlfn.XLOOKUP(B1175,Table_Respons_Loket[Count],Table_Respons_Loket[Daftar Nomor Hak]),"")</f>
        <v>M. 6925/TANJUNG SENANG</v>
      </c>
      <c r="E1175" s="17">
        <f t="array" ref="E1175">IFNA(_xlfn.XLOOKUP(B1175,Table_Respons_Loket[Count],Table_Respons_Loket[Time Stamp]),"")</f>
        <v>45610.39785</v>
      </c>
      <c r="F1175" s="18" t="str">
        <f t="array" ref="F1175">IFNA(_xlfn.XLOOKUP(B1175,Table_Respons_Loket[Count],Table_Respons_Loket[Jenis Permohonan]),"")</f>
        <v>BN JUAL BELI</v>
      </c>
      <c r="G1175" s="24"/>
      <c r="H1175" s="24"/>
      <c r="I1175" s="22" t="str">
        <f t="shared" si="7"/>
        <v/>
      </c>
      <c r="J1175" s="20" t="b">
        <v>0</v>
      </c>
      <c r="K1175" s="13" t="str">
        <f t="shared" si="8"/>
        <v/>
      </c>
    </row>
    <row r="1176" ht="22.5" customHeight="1">
      <c r="B1176" s="13">
        <f t="shared" si="3"/>
        <v>1170</v>
      </c>
      <c r="C1176" s="15" t="str">
        <f t="array" ref="C1176">IFNA(_xlfn.XLOOKUP(B1176,Table_Respons_Loket[Count],Table_Respons_Loket[Nomor Tiket]),"")</f>
        <v>K/7/141124/1</v>
      </c>
      <c r="D1176" s="15" t="str">
        <f t="array" ref="D1176">IFNA(_xlfn.XLOOKUP(B1176,Table_Respons_Loket[Count],Table_Respons_Loket[Daftar Nomor Hak]),"")</f>
        <v>NIBEL M. 1762/PEMATANG WANGI</v>
      </c>
      <c r="E1176" s="17">
        <f t="array" ref="E1176">IFNA(_xlfn.XLOOKUP(B1176,Table_Respons_Loket[Count],Table_Respons_Loket[Time Stamp]),"")</f>
        <v>45610.4038</v>
      </c>
      <c r="F1176" s="18" t="str">
        <f t="array" ref="F1176">IFNA(_xlfn.XLOOKUP(B1176,Table_Respons_Loket[Count],Table_Respons_Loket[Jenis Permohonan]),"")</f>
        <v>BN JUAL BELI</v>
      </c>
      <c r="G1176" s="24"/>
      <c r="H1176" s="24"/>
      <c r="I1176" s="22" t="str">
        <f t="shared" si="7"/>
        <v/>
      </c>
      <c r="J1176" s="20" t="b">
        <v>0</v>
      </c>
      <c r="K1176" s="13" t="str">
        <f t="shared" si="8"/>
        <v/>
      </c>
    </row>
    <row r="1177" ht="22.5" customHeight="1">
      <c r="B1177" s="13">
        <f t="shared" si="3"/>
        <v>1171</v>
      </c>
      <c r="C1177" s="15" t="str">
        <f t="array" ref="C1177">IFNA(_xlfn.XLOOKUP(B1177,Table_Respons_Loket[Count],Table_Respons_Loket[Nomor Tiket]),"")</f>
        <v>L/10/141124/1</v>
      </c>
      <c r="D1177" s="15" t="str">
        <f t="array" ref="D1177">IFNA(_xlfn.XLOOKUP(B1177,Table_Respons_Loket[Count],Table_Respons_Loket[Daftar Nomor Hak]),"")</f>
        <v>HM 17408/SUKARAME</v>
      </c>
      <c r="E1177" s="17">
        <f t="array" ref="E1177">IFNA(_xlfn.XLOOKUP(B1177,Table_Respons_Loket[Count],Table_Respons_Loket[Time Stamp]),"")</f>
        <v>45610.4106</v>
      </c>
      <c r="F1177" s="18" t="str">
        <f t="array" ref="F1177">IFNA(_xlfn.XLOOKUP(B1177,Table_Respons_Loket[Count],Table_Respons_Loket[Jenis Permohonan]),"")</f>
        <v>ROYA</v>
      </c>
      <c r="G1177" s="24"/>
      <c r="H1177" s="24"/>
      <c r="I1177" s="22" t="str">
        <f t="shared" si="7"/>
        <v/>
      </c>
      <c r="J1177" s="20" t="b">
        <v>0</v>
      </c>
      <c r="K1177" s="13" t="str">
        <f t="shared" si="8"/>
        <v/>
      </c>
    </row>
    <row r="1178" ht="22.5" customHeight="1">
      <c r="B1178" s="13">
        <f t="shared" si="3"/>
        <v>1172</v>
      </c>
      <c r="C1178" s="15" t="str">
        <f t="array" ref="C1178">IFNA(_xlfn.XLOOKUP(B1178,Table_Respons_Loket[Count],Table_Respons_Loket[Nomor Tiket]),"")</f>
        <v>K/9/141124/1</v>
      </c>
      <c r="D1178" s="15" t="str">
        <f t="array" ref="D1178">IFNA(_xlfn.XLOOKUP(B1178,Table_Respons_Loket[Count],Table_Respons_Loket[Daftar Nomor Hak]),"")</f>
        <v>M. 740/ Perwata</v>
      </c>
      <c r="E1178" s="17">
        <f t="array" ref="E1178">IFNA(_xlfn.XLOOKUP(B1178,Table_Respons_Loket[Count],Table_Respons_Loket[Time Stamp]),"")</f>
        <v>45610.41361</v>
      </c>
      <c r="F1178" s="18" t="str">
        <f t="array" ref="F1178">IFNA(_xlfn.XLOOKUP(B1178,Table_Respons_Loket[Count],Table_Respons_Loket[Jenis Permohonan]),"")</f>
        <v>BN JUAL BELI</v>
      </c>
      <c r="G1178" s="24"/>
      <c r="H1178" s="24"/>
      <c r="I1178" s="22" t="str">
        <f t="shared" si="7"/>
        <v/>
      </c>
      <c r="J1178" s="20" t="b">
        <v>0</v>
      </c>
      <c r="K1178" s="13" t="str">
        <f t="shared" si="8"/>
        <v/>
      </c>
    </row>
    <row r="1179" ht="22.5" customHeight="1">
      <c r="B1179" s="13">
        <f t="shared" si="3"/>
        <v>1173</v>
      </c>
      <c r="C1179" s="15" t="str">
        <f t="array" ref="C1179">IFNA(_xlfn.XLOOKUP(B1179,Table_Respons_Loket[Count],Table_Respons_Loket[Nomor Tiket]),"")</f>
        <v>K/11/141124/1</v>
      </c>
      <c r="D1179" s="15" t="str">
        <f t="array" ref="D1179">IFNA(_xlfn.XLOOKUP(B1179,Table_Respons_Loket[Count],Table_Respons_Loket[Daftar Nomor Hak]),"")</f>
        <v>M. 13164/ Tanjung Baru</v>
      </c>
      <c r="E1179" s="17">
        <f t="array" ref="E1179">IFNA(_xlfn.XLOOKUP(B1179,Table_Respons_Loket[Count],Table_Respons_Loket[Time Stamp]),"")</f>
        <v>45610.4392</v>
      </c>
      <c r="F1179" s="18" t="str">
        <f t="array" ref="F1179">IFNA(_xlfn.XLOOKUP(B1179,Table_Respons_Loket[Count],Table_Respons_Loket[Jenis Permohonan]),"")</f>
        <v>ROYA</v>
      </c>
      <c r="G1179" s="24"/>
      <c r="H1179" s="24"/>
      <c r="I1179" s="22" t="str">
        <f t="shared" si="7"/>
        <v/>
      </c>
      <c r="J1179" s="20" t="b">
        <v>0</v>
      </c>
      <c r="K1179" s="13" t="str">
        <f t="shared" si="8"/>
        <v/>
      </c>
    </row>
    <row r="1180" ht="22.5" customHeight="1">
      <c r="B1180" s="13">
        <f t="shared" si="3"/>
        <v>1174</v>
      </c>
      <c r="C1180" s="15" t="str">
        <f t="array" ref="C1180">IFNA(_xlfn.XLOOKUP(B1180,Table_Respons_Loket[Count],Table_Respons_Loket[Nomor Tiket]),"")</f>
        <v>K/12/141124/1</v>
      </c>
      <c r="D1180" s="15" t="str">
        <f t="array" ref="D1180">IFNA(_xlfn.XLOOKUP(B1180,Table_Respons_Loket[Count],Table_Respons_Loket[Daftar Nomor Hak]),"")</f>
        <v>M.2944/SUKARAME II</v>
      </c>
      <c r="E1180" s="17">
        <f t="array" ref="E1180">IFNA(_xlfn.XLOOKUP(B1180,Table_Respons_Loket[Count],Table_Respons_Loket[Time Stamp]),"")</f>
        <v>45610.45235</v>
      </c>
      <c r="F1180" s="18" t="str">
        <f t="array" ref="F1180">IFNA(_xlfn.XLOOKUP(B1180,Table_Respons_Loket[Count],Table_Respons_Loket[Jenis Permohonan]),"")</f>
        <v>BN JUAL BELI</v>
      </c>
      <c r="G1180" s="24"/>
      <c r="H1180" s="24"/>
      <c r="I1180" s="22" t="str">
        <f t="shared" si="7"/>
        <v/>
      </c>
      <c r="J1180" s="20" t="b">
        <v>0</v>
      </c>
      <c r="K1180" s="13" t="str">
        <f t="shared" si="8"/>
        <v/>
      </c>
    </row>
    <row r="1181" ht="22.5" customHeight="1">
      <c r="B1181" s="13">
        <f t="shared" si="3"/>
        <v>1175</v>
      </c>
      <c r="C1181" s="15" t="str">
        <f t="array" ref="C1181">IFNA(_xlfn.XLOOKUP(B1181,Table_Respons_Loket[Count],Table_Respons_Loket[Nomor Tiket]),"")</f>
        <v>K/13/141124/1</v>
      </c>
      <c r="D1181" s="15" t="str">
        <f t="array" ref="D1181">IFNA(_xlfn.XLOOKUP(B1181,Table_Respons_Loket[Count],Table_Respons_Loket[Daftar Nomor Hak]),"")</f>
        <v>Nibel 2718/ Perumnas Way Kandis</v>
      </c>
      <c r="E1181" s="17">
        <f t="array" ref="E1181">IFNA(_xlfn.XLOOKUP(B1181,Table_Respons_Loket[Count],Table_Respons_Loket[Time Stamp]),"")</f>
        <v>45610.45834</v>
      </c>
      <c r="F1181" s="18" t="str">
        <f t="array" ref="F1181">IFNA(_xlfn.XLOOKUP(B1181,Table_Respons_Loket[Count],Table_Respons_Loket[Jenis Permohonan]),"")</f>
        <v>PERUBAHAN HAK</v>
      </c>
      <c r="G1181" s="24"/>
      <c r="H1181" s="24"/>
      <c r="I1181" s="22" t="str">
        <f t="shared" si="7"/>
        <v/>
      </c>
      <c r="J1181" s="20" t="b">
        <v>0</v>
      </c>
      <c r="K1181" s="13" t="str">
        <f t="shared" si="8"/>
        <v/>
      </c>
    </row>
    <row r="1182" ht="22.5" customHeight="1">
      <c r="B1182" s="13">
        <f t="shared" si="3"/>
        <v>1176</v>
      </c>
      <c r="C1182" s="15" t="str">
        <f t="array" ref="C1182">IFNA(_xlfn.XLOOKUP(B1182,Table_Respons_Loket[Count],Table_Respons_Loket[Nomor Tiket]),"")</f>
        <v>K/14/141124/2</v>
      </c>
      <c r="D1182" s="15" t="str">
        <f t="array" ref="D1182">IFNA(_xlfn.XLOOKUP(B1182,Table_Respons_Loket[Count],Table_Respons_Loket[Daftar Nomor Hak]),"")</f>
        <v>Nibel 2441/ Perumnas Way Kandis</v>
      </c>
      <c r="E1182" s="17">
        <f t="array" ref="E1182">IFNA(_xlfn.XLOOKUP(B1182,Table_Respons_Loket[Count],Table_Respons_Loket[Time Stamp]),"")</f>
        <v>45610.45948</v>
      </c>
      <c r="F1182" s="18" t="str">
        <f t="array" ref="F1182">IFNA(_xlfn.XLOOKUP(B1182,Table_Respons_Loket[Count],Table_Respons_Loket[Jenis Permohonan]),"")</f>
        <v>PERUBAHAN HAK</v>
      </c>
      <c r="G1182" s="24"/>
      <c r="H1182" s="24"/>
      <c r="I1182" s="22" t="str">
        <f t="shared" si="7"/>
        <v/>
      </c>
      <c r="J1182" s="20" t="b">
        <v>0</v>
      </c>
      <c r="K1182" s="13" t="str">
        <f t="shared" si="8"/>
        <v/>
      </c>
    </row>
    <row r="1183" ht="22.5" customHeight="1">
      <c r="B1183" s="13">
        <f t="shared" si="3"/>
        <v>1177</v>
      </c>
      <c r="C1183" s="15" t="str">
        <f t="array" ref="C1183">IFNA(_xlfn.XLOOKUP(B1183,Table_Respons_Loket[Count],Table_Respons_Loket[Nomor Tiket]),"")</f>
        <v>K/15/141124/3</v>
      </c>
      <c r="D1183" s="15" t="str">
        <f t="array" ref="D1183">IFNA(_xlfn.XLOOKUP(B1183,Table_Respons_Loket[Count],Table_Respons_Loket[Daftar Nomor Hak]),"")</f>
        <v>M. 693/ Gedong Air</v>
      </c>
      <c r="E1183" s="17">
        <f t="array" ref="E1183">IFNA(_xlfn.XLOOKUP(B1183,Table_Respons_Loket[Count],Table_Respons_Loket[Time Stamp]),"")</f>
        <v>45610.46164</v>
      </c>
      <c r="F1183" s="18" t="str">
        <f t="array" ref="F1183">IFNA(_xlfn.XLOOKUP(B1183,Table_Respons_Loket[Count],Table_Respons_Loket[Jenis Permohonan]),"")</f>
        <v>BN HIBAH</v>
      </c>
      <c r="G1183" s="24"/>
      <c r="H1183" s="24"/>
      <c r="I1183" s="22" t="str">
        <f t="shared" si="7"/>
        <v/>
      </c>
      <c r="J1183" s="20" t="b">
        <v>0</v>
      </c>
      <c r="K1183" s="13" t="str">
        <f t="shared" si="8"/>
        <v/>
      </c>
    </row>
    <row r="1184" ht="22.5" customHeight="1">
      <c r="B1184" s="13">
        <f t="shared" si="3"/>
        <v>1178</v>
      </c>
      <c r="C1184" s="15" t="str">
        <f t="array" ref="C1184">IFNA(_xlfn.XLOOKUP(B1184,Table_Respons_Loket[Count],Table_Respons_Loket[Nomor Tiket]),"")</f>
        <v>L/17/141124/1</v>
      </c>
      <c r="D1184" s="15" t="str">
        <f t="array" ref="D1184">IFNA(_xlfn.XLOOKUP(B1184,Table_Respons_Loket[Count],Table_Respons_Loket[Daftar Nomor Hak]),"")</f>
        <v>HM 13818/SUKABUMI</v>
      </c>
      <c r="E1184" s="17">
        <f t="array" ref="E1184">IFNA(_xlfn.XLOOKUP(B1184,Table_Respons_Loket[Count],Table_Respons_Loket[Time Stamp]),"")</f>
        <v>45610.47631</v>
      </c>
      <c r="F1184" s="18" t="str">
        <f t="array" ref="F1184">IFNA(_xlfn.XLOOKUP(B1184,Table_Respons_Loket[Count],Table_Respons_Loket[Jenis Permohonan]),"")</f>
        <v>ROYA</v>
      </c>
      <c r="G1184" s="24"/>
      <c r="H1184" s="24"/>
      <c r="I1184" s="22" t="str">
        <f t="shared" si="7"/>
        <v/>
      </c>
      <c r="J1184" s="20" t="b">
        <v>0</v>
      </c>
      <c r="K1184" s="13" t="str">
        <f t="shared" si="8"/>
        <v/>
      </c>
    </row>
    <row r="1185" ht="22.5" customHeight="1">
      <c r="B1185" s="13">
        <f t="shared" si="3"/>
        <v>1179</v>
      </c>
      <c r="C1185" s="15" t="str">
        <f t="array" ref="C1185">IFNA(_xlfn.XLOOKUP(B1185,Table_Respons_Loket[Count],Table_Respons_Loket[Nomor Tiket]),"")</f>
        <v>K/16/141124/1</v>
      </c>
      <c r="D1185" s="15" t="str">
        <f t="array" ref="D1185">IFNA(_xlfn.XLOOKUP(B1185,Table_Respons_Loket[Count],Table_Respons_Loket[Daftar Nomor Hak]),"")</f>
        <v>NIBEL B 2726</v>
      </c>
      <c r="E1185" s="17">
        <f t="array" ref="E1185">IFNA(_xlfn.XLOOKUP(B1185,Table_Respons_Loket[Count],Table_Respons_Loket[Time Stamp]),"")</f>
        <v>45610.47774</v>
      </c>
      <c r="F1185" s="18" t="str">
        <f t="array" ref="F1185">IFNA(_xlfn.XLOOKUP(B1185,Table_Respons_Loket[Count],Table_Respons_Loket[Jenis Permohonan]),"")</f>
        <v>PERUBAHAN HAK</v>
      </c>
      <c r="G1185" s="24"/>
      <c r="H1185" s="24"/>
      <c r="I1185" s="22" t="str">
        <f t="shared" si="7"/>
        <v/>
      </c>
      <c r="J1185" s="20" t="b">
        <v>0</v>
      </c>
      <c r="K1185" s="13" t="str">
        <f t="shared" si="8"/>
        <v/>
      </c>
    </row>
    <row r="1186" ht="22.5" customHeight="1">
      <c r="B1186" s="13">
        <f t="shared" si="3"/>
        <v>1180</v>
      </c>
      <c r="C1186" s="15" t="str">
        <f t="array" ref="C1186">IFNA(_xlfn.XLOOKUP(B1186,Table_Respons_Loket[Count],Table_Respons_Loket[Nomor Tiket]),"")</f>
        <v>K/19/141124/2</v>
      </c>
      <c r="D1186" s="15" t="str">
        <f t="array" ref="D1186">IFNA(_xlfn.XLOOKUP(B1186,Table_Respons_Loket[Count],Table_Respons_Loket[Daftar Nomor Hak]),"")</f>
        <v>NIBEL B 2208/BERINGIN JAYA</v>
      </c>
      <c r="E1186" s="17">
        <f t="array" ref="E1186">IFNA(_xlfn.XLOOKUP(B1186,Table_Respons_Loket[Count],Table_Respons_Loket[Time Stamp]),"")</f>
        <v>45610.47878</v>
      </c>
      <c r="F1186" s="18" t="str">
        <f t="array" ref="F1186">IFNA(_xlfn.XLOOKUP(B1186,Table_Respons_Loket[Count],Table_Respons_Loket[Jenis Permohonan]),"")</f>
        <v>PERUBAHAN HAK</v>
      </c>
      <c r="G1186" s="24"/>
      <c r="H1186" s="24"/>
      <c r="I1186" s="22" t="str">
        <f t="shared" si="7"/>
        <v/>
      </c>
      <c r="J1186" s="20" t="b">
        <v>0</v>
      </c>
      <c r="K1186" s="13" t="str">
        <f t="shared" si="8"/>
        <v/>
      </c>
    </row>
    <row r="1187" ht="22.5" customHeight="1">
      <c r="B1187" s="13">
        <f t="shared" si="3"/>
        <v>1181</v>
      </c>
      <c r="C1187" s="15" t="str">
        <f t="array" ref="C1187">IFNA(_xlfn.XLOOKUP(B1187,Table_Respons_Loket[Count],Table_Respons_Loket[Nomor Tiket]),"")</f>
        <v>K/20/141124/3</v>
      </c>
      <c r="D1187" s="15" t="str">
        <f t="array" ref="D1187">IFNA(_xlfn.XLOOKUP(B1187,Table_Respons_Loket[Count],Table_Respons_Loket[Daftar Nomor Hak]),"")</f>
        <v>NIBEL B. 2343/BERINGIN JAYA</v>
      </c>
      <c r="E1187" s="17">
        <f t="array" ref="E1187">IFNA(_xlfn.XLOOKUP(B1187,Table_Respons_Loket[Count],Table_Respons_Loket[Time Stamp]),"")</f>
        <v>45610.4799</v>
      </c>
      <c r="F1187" s="18" t="str">
        <f t="array" ref="F1187">IFNA(_xlfn.XLOOKUP(B1187,Table_Respons_Loket[Count],Table_Respons_Loket[Jenis Permohonan]),"")</f>
        <v>PERUBAHAN HAK</v>
      </c>
      <c r="G1187" s="24"/>
      <c r="H1187" s="24"/>
      <c r="I1187" s="22" t="str">
        <f t="shared" si="7"/>
        <v/>
      </c>
      <c r="J1187" s="20" t="b">
        <v>0</v>
      </c>
      <c r="K1187" s="13" t="str">
        <f t="shared" si="8"/>
        <v/>
      </c>
    </row>
    <row r="1188" ht="22.5" customHeight="1">
      <c r="B1188" s="13">
        <f t="shared" si="3"/>
        <v>1182</v>
      </c>
      <c r="C1188" s="15" t="str">
        <f t="array" ref="C1188">IFNA(_xlfn.XLOOKUP(B1188,Table_Respons_Loket[Count],Table_Respons_Loket[Nomor Tiket]),"")</f>
        <v>L/18/141124/1</v>
      </c>
      <c r="D1188" s="15" t="str">
        <f t="array" ref="D1188">IFNA(_xlfn.XLOOKUP(B1188,Table_Respons_Loket[Count],Table_Respons_Loket[Daftar Nomor Hak]),"")</f>
        <v>HM 17028/SUKARAME</v>
      </c>
      <c r="E1188" s="17">
        <f t="array" ref="E1188">IFNA(_xlfn.XLOOKUP(B1188,Table_Respons_Loket[Count],Table_Respons_Loket[Time Stamp]),"")</f>
        <v>45610.48057</v>
      </c>
      <c r="F1188" s="18" t="str">
        <f t="array" ref="F1188">IFNA(_xlfn.XLOOKUP(B1188,Table_Respons_Loket[Count],Table_Respons_Loket[Jenis Permohonan]),"")</f>
        <v>ROYA</v>
      </c>
      <c r="G1188" s="24"/>
      <c r="H1188" s="24"/>
      <c r="I1188" s="22" t="str">
        <f t="shared" si="7"/>
        <v/>
      </c>
      <c r="J1188" s="20" t="b">
        <v>0</v>
      </c>
      <c r="K1188" s="13" t="str">
        <f t="shared" si="8"/>
        <v/>
      </c>
    </row>
    <row r="1189" ht="22.5" customHeight="1">
      <c r="B1189" s="13">
        <f t="shared" si="3"/>
        <v>1183</v>
      </c>
      <c r="C1189" s="15" t="str">
        <f t="array" ref="C1189">IFNA(_xlfn.XLOOKUP(B1189,Table_Respons_Loket[Count],Table_Respons_Loket[Nomor Tiket]),"")</f>
        <v>K/21/141124/1</v>
      </c>
      <c r="D1189" s="15" t="str">
        <f t="array" ref="D1189">IFNA(_xlfn.XLOOKUP(B1189,Table_Respons_Loket[Count],Table_Respons_Loket[Daftar Nomor Hak]),"")</f>
        <v>B. 773/ Sumur Putri</v>
      </c>
      <c r="E1189" s="17">
        <f t="array" ref="E1189">IFNA(_xlfn.XLOOKUP(B1189,Table_Respons_Loket[Count],Table_Respons_Loket[Time Stamp]),"")</f>
        <v>45610.49203</v>
      </c>
      <c r="F1189" s="18" t="str">
        <f t="array" ref="F1189">IFNA(_xlfn.XLOOKUP(B1189,Table_Respons_Loket[Count],Table_Respons_Loket[Jenis Permohonan]),"")</f>
        <v>BN JUAL BELI</v>
      </c>
      <c r="G1189" s="24"/>
      <c r="H1189" s="24"/>
      <c r="I1189" s="22" t="str">
        <f t="shared" si="7"/>
        <v/>
      </c>
      <c r="J1189" s="20" t="b">
        <v>0</v>
      </c>
      <c r="K1189" s="13" t="str">
        <f t="shared" si="8"/>
        <v/>
      </c>
    </row>
    <row r="1190" ht="22.5" customHeight="1">
      <c r="B1190" s="13">
        <f t="shared" si="3"/>
        <v>1184</v>
      </c>
      <c r="C1190" s="15" t="str">
        <f t="array" ref="C1190">IFNA(_xlfn.XLOOKUP(B1190,Table_Respons_Loket[Count],Table_Respons_Loket[Nomor Tiket]),"")</f>
        <v>K/22/141124/1</v>
      </c>
      <c r="D1190" s="15" t="str">
        <f t="array" ref="D1190">IFNA(_xlfn.XLOOKUP(B1190,Table_Respons_Loket[Count],Table_Respons_Loket[Daftar Nomor Hak]),"")</f>
        <v>B.815/SUKABUMI INDAH</v>
      </c>
      <c r="E1190" s="17">
        <f t="array" ref="E1190">IFNA(_xlfn.XLOOKUP(B1190,Table_Respons_Loket[Count],Table_Respons_Loket[Time Stamp]),"")</f>
        <v>45610.56322</v>
      </c>
      <c r="F1190" s="18" t="str">
        <f t="array" ref="F1190">IFNA(_xlfn.XLOOKUP(B1190,Table_Respons_Loket[Count],Table_Respons_Loket[Jenis Permohonan]),"")</f>
        <v>BN JUAL BELI</v>
      </c>
      <c r="G1190" s="24"/>
      <c r="H1190" s="24"/>
      <c r="I1190" s="22" t="str">
        <f t="shared" si="7"/>
        <v/>
      </c>
      <c r="J1190" s="20" t="b">
        <v>0</v>
      </c>
      <c r="K1190" s="13" t="str">
        <f t="shared" si="8"/>
        <v/>
      </c>
    </row>
    <row r="1191" ht="22.5" customHeight="1">
      <c r="B1191" s="13">
        <f t="shared" si="3"/>
        <v>1185</v>
      </c>
      <c r="C1191" s="15" t="str">
        <f t="array" ref="C1191">IFNA(_xlfn.XLOOKUP(B1191,Table_Respons_Loket[Count],Table_Respons_Loket[Nomor Tiket]),"")</f>
        <v>K/23/141124/1</v>
      </c>
      <c r="D1191" s="15" t="str">
        <f t="array" ref="D1191">IFNA(_xlfn.XLOOKUP(B1191,Table_Respons_Loket[Count],Table_Respons_Loket[Daftar Nomor Hak]),"")</f>
        <v>NIBEL M.3412/LABUHAN RATU</v>
      </c>
      <c r="E1191" s="17">
        <f t="array" ref="E1191">IFNA(_xlfn.XLOOKUP(B1191,Table_Respons_Loket[Count],Table_Respons_Loket[Time Stamp]),"")</f>
        <v>45610.56887</v>
      </c>
      <c r="F1191" s="18" t="str">
        <f t="array" ref="F1191">IFNA(_xlfn.XLOOKUP(B1191,Table_Respons_Loket[Count],Table_Respons_Loket[Jenis Permohonan]),"")</f>
        <v>GANDES</v>
      </c>
      <c r="G1191" s="24"/>
      <c r="H1191" s="24"/>
      <c r="I1191" s="22" t="str">
        <f t="shared" si="7"/>
        <v/>
      </c>
      <c r="J1191" s="20" t="b">
        <v>0</v>
      </c>
      <c r="K1191" s="13" t="str">
        <f t="shared" si="8"/>
        <v/>
      </c>
    </row>
    <row r="1192" ht="22.5" customHeight="1">
      <c r="B1192" s="13">
        <f t="shared" si="3"/>
        <v>1186</v>
      </c>
      <c r="C1192" s="15" t="str">
        <f t="array" ref="C1192">IFNA(_xlfn.XLOOKUP(B1192,Table_Respons_Loket[Count],Table_Respons_Loket[Nomor Tiket]),"")</f>
        <v>K/24/141124/1</v>
      </c>
      <c r="D1192" s="15" t="str">
        <f t="array" ref="D1192">IFNA(_xlfn.XLOOKUP(B1192,Table_Respons_Loket[Count],Table_Respons_Loket[Daftar Nomor Hak]),"")</f>
        <v>M. 2871/ Sukarame Baru</v>
      </c>
      <c r="E1192" s="17">
        <f t="array" ref="E1192">IFNA(_xlfn.XLOOKUP(B1192,Table_Respons_Loket[Count],Table_Respons_Loket[Time Stamp]),"")</f>
        <v>45610.57393</v>
      </c>
      <c r="F1192" s="18" t="str">
        <f t="array" ref="F1192">IFNA(_xlfn.XLOOKUP(B1192,Table_Respons_Loket[Count],Table_Respons_Loket[Jenis Permohonan]),"")</f>
        <v>BN Jual Beli</v>
      </c>
      <c r="G1192" s="24"/>
      <c r="H1192" s="24"/>
      <c r="I1192" s="22" t="str">
        <f t="shared" si="7"/>
        <v/>
      </c>
      <c r="J1192" s="20" t="b">
        <v>0</v>
      </c>
      <c r="K1192" s="13" t="str">
        <f t="shared" si="8"/>
        <v/>
      </c>
    </row>
    <row r="1193" ht="22.5" customHeight="1">
      <c r="B1193" s="13">
        <f t="shared" si="3"/>
        <v>1187</v>
      </c>
      <c r="C1193" s="15" t="str">
        <f t="array" ref="C1193">IFNA(_xlfn.XLOOKUP(B1193,Table_Respons_Loket[Count],Table_Respons_Loket[Nomor Tiket]),"")</f>
        <v>K/25/141124/1</v>
      </c>
      <c r="D1193" s="15" t="str">
        <f t="array" ref="D1193">IFNA(_xlfn.XLOOKUP(B1193,Table_Respons_Loket[Count],Table_Respons_Loket[Daftar Nomor Hak]),"")</f>
        <v>M. 6036/WAY KANDIS</v>
      </c>
      <c r="E1193" s="17">
        <f t="array" ref="E1193">IFNA(_xlfn.XLOOKUP(B1193,Table_Respons_Loket[Count],Table_Respons_Loket[Time Stamp]),"")</f>
        <v>45610.57478</v>
      </c>
      <c r="F1193" s="18" t="str">
        <f t="array" ref="F1193">IFNA(_xlfn.XLOOKUP(B1193,Table_Respons_Loket[Count],Table_Respons_Loket[Jenis Permohonan]),"")</f>
        <v>BN JUAL BELI</v>
      </c>
      <c r="G1193" s="24"/>
      <c r="H1193" s="24"/>
      <c r="I1193" s="22" t="str">
        <f t="shared" si="7"/>
        <v/>
      </c>
      <c r="J1193" s="20" t="b">
        <v>0</v>
      </c>
      <c r="K1193" s="13" t="str">
        <f t="shared" si="8"/>
        <v/>
      </c>
    </row>
    <row r="1194" ht="22.5" customHeight="1">
      <c r="B1194" s="13">
        <f t="shared" si="3"/>
        <v>1188</v>
      </c>
      <c r="C1194" s="15" t="str">
        <f t="array" ref="C1194">IFNA(_xlfn.XLOOKUP(B1194,Table_Respons_Loket[Count],Table_Respons_Loket[Nomor Tiket]),"")</f>
        <v>K/28/141124/1</v>
      </c>
      <c r="D1194" s="15" t="str">
        <f t="array" ref="D1194">IFNA(_xlfn.XLOOKUP(B1194,Table_Respons_Loket[Count],Table_Respons_Loket[Daftar Nomor Hak]),"")</f>
        <v>NIBEL B.1608/CAMPANG RAYA</v>
      </c>
      <c r="E1194" s="17">
        <f t="array" ref="E1194">IFNA(_xlfn.XLOOKUP(B1194,Table_Respons_Loket[Count],Table_Respons_Loket[Time Stamp]),"")</f>
        <v>45610.58078</v>
      </c>
      <c r="F1194" s="18" t="str">
        <f t="array" ref="F1194">IFNA(_xlfn.XLOOKUP(B1194,Table_Respons_Loket[Count],Table_Respons_Loket[Jenis Permohonan]),"")</f>
        <v>BN JUAL BELI</v>
      </c>
      <c r="G1194" s="24"/>
      <c r="H1194" s="24"/>
      <c r="I1194" s="22" t="str">
        <f t="shared" si="7"/>
        <v/>
      </c>
      <c r="J1194" s="20" t="b">
        <v>0</v>
      </c>
      <c r="K1194" s="13" t="str">
        <f t="shared" si="8"/>
        <v/>
      </c>
    </row>
    <row r="1195" ht="22.5" customHeight="1">
      <c r="B1195" s="13">
        <f t="shared" si="3"/>
        <v>1189</v>
      </c>
      <c r="C1195" s="15" t="str">
        <f t="array" ref="C1195">IFNA(_xlfn.XLOOKUP(B1195,Table_Respons_Loket[Count],Table_Respons_Loket[Nomor Tiket]),"")</f>
        <v>K/29/141124/2</v>
      </c>
      <c r="D1195" s="15" t="str">
        <f t="array" ref="D1195">IFNA(_xlfn.XLOOKUP(B1195,Table_Respons_Loket[Count],Table_Respons_Loket[Daftar Nomor Hak]),"")</f>
        <v>NIBEL B.2258/CAMPANG RAYA</v>
      </c>
      <c r="E1195" s="17">
        <f t="array" ref="E1195">IFNA(_xlfn.XLOOKUP(B1195,Table_Respons_Loket[Count],Table_Respons_Loket[Time Stamp]),"")</f>
        <v>45610.58174</v>
      </c>
      <c r="F1195" s="18" t="str">
        <f t="array" ref="F1195">IFNA(_xlfn.XLOOKUP(B1195,Table_Respons_Loket[Count],Table_Respons_Loket[Jenis Permohonan]),"")</f>
        <v>BN JUAL BELI</v>
      </c>
      <c r="G1195" s="24"/>
      <c r="H1195" s="24"/>
      <c r="I1195" s="22" t="str">
        <f t="shared" si="7"/>
        <v/>
      </c>
      <c r="J1195" s="20" t="b">
        <v>0</v>
      </c>
      <c r="K1195" s="13" t="str">
        <f t="shared" si="8"/>
        <v/>
      </c>
    </row>
    <row r="1196" ht="22.5" customHeight="1">
      <c r="B1196" s="13">
        <f t="shared" si="3"/>
        <v>1190</v>
      </c>
      <c r="C1196" s="15" t="str">
        <f t="array" ref="C1196">IFNA(_xlfn.XLOOKUP(B1196,Table_Respons_Loket[Count],Table_Respons_Loket[Nomor Tiket]),"")</f>
        <v>L/26/141124/1</v>
      </c>
      <c r="D1196" s="15" t="str">
        <f t="array" ref="D1196">IFNA(_xlfn.XLOOKUP(B1196,Table_Respons_Loket[Count],Table_Respons_Loket[Daftar Nomor Hak]),"")</f>
        <v>HM 2548/WAY KANDIS</v>
      </c>
      <c r="E1196" s="17">
        <f t="array" ref="E1196">IFNA(_xlfn.XLOOKUP(B1196,Table_Respons_Loket[Count],Table_Respons_Loket[Time Stamp]),"")</f>
        <v>45610.58179</v>
      </c>
      <c r="F1196" s="18" t="str">
        <f t="array" ref="F1196">IFNA(_xlfn.XLOOKUP(B1196,Table_Respons_Loket[Count],Table_Respons_Loket[Jenis Permohonan]),"")</f>
        <v>ROYA</v>
      </c>
      <c r="G1196" s="24"/>
      <c r="H1196" s="24"/>
      <c r="I1196" s="22" t="str">
        <f t="shared" si="7"/>
        <v/>
      </c>
      <c r="J1196" s="20" t="b">
        <v>0</v>
      </c>
      <c r="K1196" s="13" t="str">
        <f t="shared" si="8"/>
        <v/>
      </c>
    </row>
    <row r="1197" ht="22.5" customHeight="1">
      <c r="B1197" s="13">
        <f t="shared" si="3"/>
        <v>1191</v>
      </c>
      <c r="C1197" s="15" t="str">
        <f t="array" ref="C1197">IFNA(_xlfn.XLOOKUP(B1197,Table_Respons_Loket[Count],Table_Respons_Loket[Nomor Tiket]),"")</f>
        <v>K/27/141124/1</v>
      </c>
      <c r="D1197" s="15" t="str">
        <f t="array" ref="D1197">IFNA(_xlfn.XLOOKUP(B1197,Table_Respons_Loket[Count],Table_Respons_Loket[Daftar Nomor Hak]),"")</f>
        <v>M. 1432/ SUMUR PUTRI</v>
      </c>
      <c r="E1197" s="17">
        <f t="array" ref="E1197">IFNA(_xlfn.XLOOKUP(B1197,Table_Respons_Loket[Count],Table_Respons_Loket[Time Stamp]),"")</f>
        <v>45610.5847</v>
      </c>
      <c r="F1197" s="18" t="str">
        <f t="array" ref="F1197">IFNA(_xlfn.XLOOKUP(B1197,Table_Respons_Loket[Count],Table_Respons_Loket[Jenis Permohonan]),"")</f>
        <v>PENGECEKKAN</v>
      </c>
      <c r="G1197" s="24"/>
      <c r="H1197" s="24"/>
      <c r="I1197" s="22" t="str">
        <f t="shared" si="7"/>
        <v/>
      </c>
      <c r="J1197" s="20" t="b">
        <v>0</v>
      </c>
      <c r="K1197" s="13" t="str">
        <f t="shared" si="8"/>
        <v/>
      </c>
    </row>
    <row r="1198" ht="22.5" customHeight="1">
      <c r="B1198" s="13">
        <f t="shared" si="3"/>
        <v>1192</v>
      </c>
      <c r="C1198" s="15" t="str">
        <f t="array" ref="C1198">IFNA(_xlfn.XLOOKUP(B1198,Table_Respons_Loket[Count],Table_Respons_Loket[Nomor Tiket]),"")</f>
        <v>K/30/141124/1</v>
      </c>
      <c r="D1198" s="15" t="str">
        <f t="array" ref="D1198">IFNA(_xlfn.XLOOKUP(B1198,Table_Respons_Loket[Count],Table_Respons_Loket[Daftar Nomor Hak]),"")</f>
        <v>PBT. NO 24/2024/KEMILING PERMAI</v>
      </c>
      <c r="E1198" s="17">
        <f t="array" ref="E1198">IFNA(_xlfn.XLOOKUP(B1198,Table_Respons_Loket[Count],Table_Respons_Loket[Time Stamp]),"")</f>
        <v>45610.58696</v>
      </c>
      <c r="F1198" s="18" t="str">
        <f t="array" ref="F1198">IFNA(_xlfn.XLOOKUP(B1198,Table_Respons_Loket[Count],Table_Respons_Loket[Jenis Permohonan]),"")</f>
        <v>PTPGT</v>
      </c>
      <c r="G1198" s="24"/>
      <c r="H1198" s="24"/>
      <c r="I1198" s="22" t="str">
        <f t="shared" si="7"/>
        <v/>
      </c>
      <c r="J1198" s="20" t="b">
        <v>0</v>
      </c>
      <c r="K1198" s="13" t="str">
        <f t="shared" si="8"/>
        <v/>
      </c>
    </row>
    <row r="1199" ht="22.5" customHeight="1">
      <c r="B1199" s="13">
        <f t="shared" si="3"/>
        <v>1193</v>
      </c>
      <c r="C1199" s="15" t="str">
        <f t="array" ref="C1199">IFNA(_xlfn.XLOOKUP(B1199,Table_Respons_Loket[Count],Table_Respons_Loket[Nomor Tiket]),"")</f>
        <v>L/31/141124/1</v>
      </c>
      <c r="D1199" s="15" t="str">
        <f t="array" ref="D1199">IFNA(_xlfn.XLOOKUP(B1199,Table_Respons_Loket[Count],Table_Respons_Loket[Daftar Nomor Hak]),"")</f>
        <v>HM 2692/KOTA BARU</v>
      </c>
      <c r="E1199" s="17">
        <f t="array" ref="E1199">IFNA(_xlfn.XLOOKUP(B1199,Table_Respons_Loket[Count],Table_Respons_Loket[Time Stamp]),"")</f>
        <v>45610.59344</v>
      </c>
      <c r="F1199" s="18" t="str">
        <f t="array" ref="F1199">IFNA(_xlfn.XLOOKUP(B1199,Table_Respons_Loket[Count],Table_Respons_Loket[Jenis Permohonan]),"")</f>
        <v>PTPGT</v>
      </c>
      <c r="G1199" s="24"/>
      <c r="H1199" s="24"/>
      <c r="I1199" s="22" t="str">
        <f t="shared" si="7"/>
        <v/>
      </c>
      <c r="J1199" s="20" t="b">
        <v>0</v>
      </c>
      <c r="K1199" s="13" t="str">
        <f t="shared" si="8"/>
        <v/>
      </c>
    </row>
    <row r="1200" ht="22.5" customHeight="1">
      <c r="B1200" s="13">
        <f t="shared" si="3"/>
        <v>1194</v>
      </c>
      <c r="C1200" s="15" t="str">
        <f t="array" ref="C1200">IFNA(_xlfn.XLOOKUP(B1200,Table_Respons_Loket[Count],Table_Respons_Loket[Nomor Tiket]),"")</f>
        <v>K/32/141124/1</v>
      </c>
      <c r="D1200" s="15" t="str">
        <f t="array" ref="D1200">IFNA(_xlfn.XLOOKUP(B1200,Table_Respons_Loket[Count],Table_Respons_Loket[Daftar Nomor Hak]),"")</f>
        <v>NIBEL B.3054/KEMILING PERMAI</v>
      </c>
      <c r="E1200" s="17">
        <f t="array" ref="E1200">IFNA(_xlfn.XLOOKUP(B1200,Table_Respons_Loket[Count],Table_Respons_Loket[Time Stamp]),"")</f>
        <v>45610.59509</v>
      </c>
      <c r="F1200" s="18" t="str">
        <f t="array" ref="F1200">IFNA(_xlfn.XLOOKUP(B1200,Table_Respons_Loket[Count],Table_Respons_Loket[Jenis Permohonan]),"")</f>
        <v>PENINGKATAN</v>
      </c>
      <c r="G1200" s="24"/>
      <c r="H1200" s="24"/>
      <c r="I1200" s="22" t="str">
        <f t="shared" si="7"/>
        <v/>
      </c>
      <c r="J1200" s="20" t="b">
        <v>0</v>
      </c>
      <c r="K1200" s="13" t="str">
        <f t="shared" si="8"/>
        <v/>
      </c>
    </row>
    <row r="1201" ht="22.5" customHeight="1">
      <c r="B1201" s="13">
        <f t="shared" si="3"/>
        <v>1195</v>
      </c>
      <c r="C1201" s="15" t="str">
        <f t="array" ref="C1201">IFNA(_xlfn.XLOOKUP(B1201,Table_Respons_Loket[Count],Table_Respons_Loket[Nomor Tiket]),"")</f>
        <v>K/33/141124/2</v>
      </c>
      <c r="D1201" s="15" t="str">
        <f t="array" ref="D1201">IFNA(_xlfn.XLOOKUP(B1201,Table_Respons_Loket[Count],Table_Respons_Loket[Daftar Nomor Hak]),"")</f>
        <v>NIBEL B.2993/KEMILING PERMAI</v>
      </c>
      <c r="E1201" s="17">
        <f t="array" ref="E1201">IFNA(_xlfn.XLOOKUP(B1201,Table_Respons_Loket[Count],Table_Respons_Loket[Time Stamp]),"")</f>
        <v>45610.59586</v>
      </c>
      <c r="F1201" s="18" t="str">
        <f t="array" ref="F1201">IFNA(_xlfn.XLOOKUP(B1201,Table_Respons_Loket[Count],Table_Respons_Loket[Jenis Permohonan]),"")</f>
        <v>PENINGKATAN HAK</v>
      </c>
      <c r="G1201" s="24"/>
      <c r="H1201" s="24"/>
      <c r="I1201" s="22" t="str">
        <f t="shared" si="7"/>
        <v/>
      </c>
      <c r="J1201" s="20" t="b">
        <v>0</v>
      </c>
      <c r="K1201" s="13" t="str">
        <f t="shared" si="8"/>
        <v/>
      </c>
    </row>
    <row r="1202" ht="22.5" customHeight="1">
      <c r="B1202" s="13">
        <f t="shared" si="3"/>
        <v>1196</v>
      </c>
      <c r="C1202" s="15" t="str">
        <f t="array" ref="C1202">IFNA(_xlfn.XLOOKUP(B1202,Table_Respons_Loket[Count],Table_Respons_Loket[Nomor Tiket]),"")</f>
        <v>K/36/141124/1</v>
      </c>
      <c r="D1202" s="15" t="str">
        <f t="array" ref="D1202">IFNA(_xlfn.XLOOKUP(B1202,Table_Respons_Loket[Count],Table_Respons_Loket[Daftar Nomor Hak]),"")</f>
        <v>B. 387/ Telukbetung</v>
      </c>
      <c r="E1202" s="17">
        <f t="array" ref="E1202">IFNA(_xlfn.XLOOKUP(B1202,Table_Respons_Loket[Count],Table_Respons_Loket[Time Stamp]),"")</f>
        <v>45610.59779</v>
      </c>
      <c r="F1202" s="18" t="str">
        <f t="array" ref="F1202">IFNA(_xlfn.XLOOKUP(B1202,Table_Respons_Loket[Count],Table_Respons_Loket[Jenis Permohonan]),"")</f>
        <v>SKPT Lelang</v>
      </c>
      <c r="G1202" s="24"/>
      <c r="H1202" s="24"/>
      <c r="I1202" s="22" t="str">
        <f t="shared" si="7"/>
        <v/>
      </c>
      <c r="J1202" s="20" t="b">
        <v>0</v>
      </c>
      <c r="K1202" s="13" t="str">
        <f t="shared" si="8"/>
        <v/>
      </c>
    </row>
    <row r="1203" ht="22.5" customHeight="1">
      <c r="B1203" s="13">
        <f t="shared" si="3"/>
        <v>1197</v>
      </c>
      <c r="C1203" s="15" t="str">
        <f t="array" ref="C1203">IFNA(_xlfn.XLOOKUP(B1203,Table_Respons_Loket[Count],Table_Respons_Loket[Nomor Tiket]),"")</f>
        <v>K/34/141124/1</v>
      </c>
      <c r="D1203" s="15" t="str">
        <f t="array" ref="D1203">IFNA(_xlfn.XLOOKUP(B1203,Table_Respons_Loket[Count],Table_Respons_Loket[Daftar Nomor Hak]),"")</f>
        <v>M.14031/ Tanjung Baru</v>
      </c>
      <c r="E1203" s="17">
        <f t="array" ref="E1203">IFNA(_xlfn.XLOOKUP(B1203,Table_Respons_Loket[Count],Table_Respons_Loket[Time Stamp]),"")</f>
        <v>45610.59811</v>
      </c>
      <c r="F1203" s="18" t="str">
        <f t="array" ref="F1203">IFNA(_xlfn.XLOOKUP(B1203,Table_Respons_Loket[Count],Table_Respons_Loket[Jenis Permohonan]),"")</f>
        <v>BN Jual Beli</v>
      </c>
      <c r="G1203" s="24"/>
      <c r="H1203" s="24"/>
      <c r="I1203" s="22" t="str">
        <f t="shared" si="7"/>
        <v/>
      </c>
      <c r="J1203" s="20" t="b">
        <v>0</v>
      </c>
      <c r="K1203" s="13" t="str">
        <f t="shared" si="8"/>
        <v/>
      </c>
    </row>
    <row r="1204" ht="22.5" customHeight="1">
      <c r="B1204" s="13">
        <f t="shared" si="3"/>
        <v>1198</v>
      </c>
      <c r="C1204" s="15" t="str">
        <f t="array" ref="C1204">IFNA(_xlfn.XLOOKUP(B1204,Table_Respons_Loket[Count],Table_Respons_Loket[Nomor Tiket]),"")</f>
        <v>K/37/141124/2</v>
      </c>
      <c r="D1204" s="15" t="str">
        <f t="array" ref="D1204">IFNA(_xlfn.XLOOKUP(B1204,Table_Respons_Loket[Count],Table_Respons_Loket[Daftar Nomor Hak]),"")</f>
        <v>B. 384/ Telukbetung</v>
      </c>
      <c r="E1204" s="17">
        <f t="array" ref="E1204">IFNA(_xlfn.XLOOKUP(B1204,Table_Respons_Loket[Count],Table_Respons_Loket[Time Stamp]),"")</f>
        <v>45610.60071</v>
      </c>
      <c r="F1204" s="18" t="str">
        <f t="array" ref="F1204">IFNA(_xlfn.XLOOKUP(B1204,Table_Respons_Loket[Count],Table_Respons_Loket[Jenis Permohonan]),"")</f>
        <v>SKPT LELANG</v>
      </c>
      <c r="G1204" s="24"/>
      <c r="H1204" s="24"/>
      <c r="I1204" s="22" t="str">
        <f t="shared" si="7"/>
        <v/>
      </c>
      <c r="J1204" s="20" t="b">
        <v>0</v>
      </c>
      <c r="K1204" s="13" t="str">
        <f t="shared" si="8"/>
        <v/>
      </c>
    </row>
    <row r="1205" ht="22.5" customHeight="1">
      <c r="B1205" s="13">
        <f t="shared" si="3"/>
        <v>1199</v>
      </c>
      <c r="C1205" s="15" t="str">
        <f t="array" ref="C1205">IFNA(_xlfn.XLOOKUP(B1205,Table_Respons_Loket[Count],Table_Respons_Loket[Nomor Tiket]),"")</f>
        <v>K/41/141124/1</v>
      </c>
      <c r="D1205" s="15" t="str">
        <f t="array" ref="D1205">IFNA(_xlfn.XLOOKUP(B1205,Table_Respons_Loket[Count],Table_Respons_Loket[Daftar Nomor Hak]),"")</f>
        <v>M.14809/RAJABASA</v>
      </c>
      <c r="E1205" s="17">
        <f t="array" ref="E1205">IFNA(_xlfn.XLOOKUP(B1205,Table_Respons_Loket[Count],Table_Respons_Loket[Time Stamp]),"")</f>
        <v>45610.6022</v>
      </c>
      <c r="F1205" s="18" t="str">
        <f t="array" ref="F1205">IFNA(_xlfn.XLOOKUP(B1205,Table_Respons_Loket[Count],Table_Respons_Loket[Jenis Permohonan]),"")</f>
        <v>BN JUAL BELI</v>
      </c>
      <c r="G1205" s="24"/>
      <c r="H1205" s="24"/>
      <c r="I1205" s="22" t="str">
        <f t="shared" si="7"/>
        <v/>
      </c>
      <c r="J1205" s="20" t="b">
        <v>0</v>
      </c>
      <c r="K1205" s="13" t="str">
        <f t="shared" si="8"/>
        <v/>
      </c>
    </row>
    <row r="1206" ht="22.5" customHeight="1">
      <c r="B1206" s="13">
        <f t="shared" si="3"/>
        <v>1200</v>
      </c>
      <c r="C1206" s="15" t="str">
        <f t="array" ref="C1206">IFNA(_xlfn.XLOOKUP(B1206,Table_Respons_Loket[Count],Table_Respons_Loket[Nomor Tiket]),"")</f>
        <v>K/42/141124/2</v>
      </c>
      <c r="D1206" s="15" t="str">
        <f t="array" ref="D1206">IFNA(_xlfn.XLOOKUP(B1206,Table_Respons_Loket[Count],Table_Respons_Loket[Daftar Nomor Hak]),"")</f>
        <v>M.3233/GEDONG AIR</v>
      </c>
      <c r="E1206" s="17">
        <f t="array" ref="E1206">IFNA(_xlfn.XLOOKUP(B1206,Table_Respons_Loket[Count],Table_Respons_Loket[Time Stamp]),"")</f>
        <v>45610.60309</v>
      </c>
      <c r="F1206" s="18" t="str">
        <f t="array" ref="F1206">IFNA(_xlfn.XLOOKUP(B1206,Table_Respons_Loket[Count],Table_Respons_Loket[Jenis Permohonan]),"")</f>
        <v>BN JUAL BELI</v>
      </c>
      <c r="G1206" s="24"/>
      <c r="H1206" s="24"/>
      <c r="I1206" s="22" t="str">
        <f t="shared" si="7"/>
        <v/>
      </c>
      <c r="J1206" s="20" t="b">
        <v>0</v>
      </c>
      <c r="K1206" s="13" t="str">
        <f t="shared" si="8"/>
        <v/>
      </c>
    </row>
    <row r="1207" ht="22.5" customHeight="1">
      <c r="B1207" s="13">
        <f t="shared" si="3"/>
        <v>1201</v>
      </c>
      <c r="C1207" s="15" t="str">
        <f t="array" ref="C1207">IFNA(_xlfn.XLOOKUP(B1207,Table_Respons_Loket[Count],Table_Respons_Loket[Nomor Tiket]),"")</f>
        <v>K/35/141124/2</v>
      </c>
      <c r="D1207" s="15" t="str">
        <f t="array" ref="D1207">IFNA(_xlfn.XLOOKUP(B1207,Table_Respons_Loket[Count],Table_Respons_Loket[Daftar Nomor Hak]),"")</f>
        <v>M. 789/ Pelita</v>
      </c>
      <c r="E1207" s="17">
        <f t="array" ref="E1207">IFNA(_xlfn.XLOOKUP(B1207,Table_Respons_Loket[Count],Table_Respons_Loket[Time Stamp]),"")</f>
        <v>45610.60396</v>
      </c>
      <c r="F1207" s="18" t="str">
        <f t="array" ref="F1207">IFNA(_xlfn.XLOOKUP(B1207,Table_Respons_Loket[Count],Table_Respons_Loket[Jenis Permohonan]),"")</f>
        <v>BN Jual Beli</v>
      </c>
      <c r="G1207" s="24"/>
      <c r="H1207" s="24"/>
      <c r="I1207" s="22" t="str">
        <f t="shared" si="7"/>
        <v/>
      </c>
      <c r="J1207" s="20" t="b">
        <v>0</v>
      </c>
      <c r="K1207" s="13" t="str">
        <f t="shared" si="8"/>
        <v/>
      </c>
    </row>
    <row r="1208" ht="22.5" customHeight="1">
      <c r="B1208" s="13">
        <f t="shared" si="3"/>
        <v>1202</v>
      </c>
      <c r="C1208" s="15" t="str">
        <f t="array" ref="C1208">IFNA(_xlfn.XLOOKUP(B1208,Table_Respons_Loket[Count],Table_Respons_Loket[Nomor Tiket]),"")</f>
        <v>K/43/141124/3</v>
      </c>
      <c r="D1208" s="15" t="str">
        <f t="array" ref="D1208">IFNA(_xlfn.XLOOKUP(B1208,Table_Respons_Loket[Count],Table_Respons_Loket[Daftar Nomor Hak]),"")</f>
        <v>M.14810/RAJABASA</v>
      </c>
      <c r="E1208" s="17">
        <f t="array" ref="E1208">IFNA(_xlfn.XLOOKUP(B1208,Table_Respons_Loket[Count],Table_Respons_Loket[Time Stamp]),"")</f>
        <v>45610.60398</v>
      </c>
      <c r="F1208" s="18" t="str">
        <f t="array" ref="F1208">IFNA(_xlfn.XLOOKUP(B1208,Table_Respons_Loket[Count],Table_Respons_Loket[Jenis Permohonan]),"")</f>
        <v>BN JUAL BELI</v>
      </c>
      <c r="G1208" s="24"/>
      <c r="H1208" s="24"/>
      <c r="I1208" s="22" t="str">
        <f t="shared" si="7"/>
        <v/>
      </c>
      <c r="J1208" s="20" t="b">
        <v>0</v>
      </c>
      <c r="K1208" s="13" t="str">
        <f t="shared" si="8"/>
        <v/>
      </c>
    </row>
    <row r="1209" ht="22.5" customHeight="1">
      <c r="B1209" s="13">
        <f t="shared" si="3"/>
        <v>1203</v>
      </c>
      <c r="C1209" s="15" t="str">
        <f t="array" ref="C1209">IFNA(_xlfn.XLOOKUP(B1209,Table_Respons_Loket[Count],Table_Respons_Loket[Nomor Tiket]),"")</f>
        <v>K/38/141124/3</v>
      </c>
      <c r="D1209" s="15" t="str">
        <f t="array" ref="D1209">IFNA(_xlfn.XLOOKUP(B1209,Table_Respons_Loket[Count],Table_Respons_Loket[Daftar Nomor Hak]),"")</f>
        <v>M. 1252/ Kangkung</v>
      </c>
      <c r="E1209" s="17">
        <f t="array" ref="E1209">IFNA(_xlfn.XLOOKUP(B1209,Table_Respons_Loket[Count],Table_Respons_Loket[Time Stamp]),"")</f>
        <v>45610.60471</v>
      </c>
      <c r="F1209" s="18" t="str">
        <f t="array" ref="F1209">IFNA(_xlfn.XLOOKUP(B1209,Table_Respons_Loket[Count],Table_Respons_Loket[Jenis Permohonan]),"")</f>
        <v>SKPT LELANG</v>
      </c>
      <c r="G1209" s="24"/>
      <c r="H1209" s="24"/>
      <c r="I1209" s="22" t="str">
        <f t="shared" si="7"/>
        <v/>
      </c>
      <c r="J1209" s="20" t="b">
        <v>0</v>
      </c>
      <c r="K1209" s="13" t="str">
        <f t="shared" si="8"/>
        <v/>
      </c>
    </row>
    <row r="1210" ht="22.5" customHeight="1">
      <c r="B1210" s="13">
        <f t="shared" si="3"/>
        <v>1204</v>
      </c>
      <c r="C1210" s="15" t="str">
        <f t="array" ref="C1210">IFNA(_xlfn.XLOOKUP(B1210,Table_Respons_Loket[Count],Table_Respons_Loket[Nomor Tiket]),"")</f>
        <v>K/39/141124/4</v>
      </c>
      <c r="D1210" s="15" t="str">
        <f t="array" ref="D1210">IFNA(_xlfn.XLOOKUP(B1210,Table_Respons_Loket[Count],Table_Respons_Loket[Daftar Nomor Hak]),"")</f>
        <v>M. 385/ Sukaraja</v>
      </c>
      <c r="E1210" s="17">
        <f t="array" ref="E1210">IFNA(_xlfn.XLOOKUP(B1210,Table_Respons_Loket[Count],Table_Respons_Loket[Time Stamp]),"")</f>
        <v>45610.60646</v>
      </c>
      <c r="F1210" s="18" t="str">
        <f t="array" ref="F1210">IFNA(_xlfn.XLOOKUP(B1210,Table_Respons_Loket[Count],Table_Respons_Loket[Jenis Permohonan]),"")</f>
        <v>SKPT LELANG</v>
      </c>
      <c r="G1210" s="24"/>
      <c r="H1210" s="24"/>
      <c r="I1210" s="22" t="str">
        <f t="shared" si="7"/>
        <v/>
      </c>
      <c r="J1210" s="20" t="b">
        <v>0</v>
      </c>
      <c r="K1210" s="13" t="str">
        <f t="shared" si="8"/>
        <v/>
      </c>
    </row>
    <row r="1211" ht="22.5" customHeight="1">
      <c r="B1211" s="13">
        <f t="shared" si="3"/>
        <v>1205</v>
      </c>
      <c r="C1211" s="15" t="str">
        <f t="array" ref="C1211">IFNA(_xlfn.XLOOKUP(B1211,Table_Respons_Loket[Count],Table_Respons_Loket[Nomor Tiket]),"")</f>
        <v>K/40/141124/5</v>
      </c>
      <c r="D1211" s="15" t="str">
        <f t="array" ref="D1211">IFNA(_xlfn.XLOOKUP(B1211,Table_Respons_Loket[Count],Table_Respons_Loket[Daftar Nomor Hak]),"")</f>
        <v>M. 2806/ Beringin Raya</v>
      </c>
      <c r="E1211" s="17">
        <f t="array" ref="E1211">IFNA(_xlfn.XLOOKUP(B1211,Table_Respons_Loket[Count],Table_Respons_Loket[Time Stamp]),"")</f>
        <v>45610.60834</v>
      </c>
      <c r="F1211" s="18" t="str">
        <f t="array" ref="F1211">IFNA(_xlfn.XLOOKUP(B1211,Table_Respons_Loket[Count],Table_Respons_Loket[Jenis Permohonan]),"")</f>
        <v>SKPT LELANG</v>
      </c>
      <c r="G1211" s="24"/>
      <c r="H1211" s="24"/>
      <c r="I1211" s="22" t="str">
        <f t="shared" si="7"/>
        <v/>
      </c>
      <c r="J1211" s="20" t="b">
        <v>0</v>
      </c>
      <c r="K1211" s="13" t="str">
        <f t="shared" si="8"/>
        <v/>
      </c>
    </row>
    <row r="1212" ht="22.5" customHeight="1">
      <c r="B1212" s="13">
        <f t="shared" si="3"/>
        <v>1206</v>
      </c>
      <c r="C1212" s="15" t="str">
        <f t="array" ref="C1212">IFNA(_xlfn.XLOOKUP(B1212,Table_Respons_Loket[Count],Table_Respons_Loket[Nomor Tiket]),"")</f>
        <v>K/44/141124/1</v>
      </c>
      <c r="D1212" s="15" t="str">
        <f t="array" ref="D1212">IFNA(_xlfn.XLOOKUP(B1212,Table_Respons_Loket[Count],Table_Respons_Loket[Daftar Nomor Hak]),"")</f>
        <v>M. 26/ Kampung Baru Raya</v>
      </c>
      <c r="E1212" s="17">
        <f t="array" ref="E1212">IFNA(_xlfn.XLOOKUP(B1212,Table_Respons_Loket[Count],Table_Respons_Loket[Time Stamp]),"")</f>
        <v>45610.61094</v>
      </c>
      <c r="F1212" s="18" t="str">
        <f t="array" ref="F1212">IFNA(_xlfn.XLOOKUP(B1212,Table_Respons_Loket[Count],Table_Respons_Loket[Jenis Permohonan]),"")</f>
        <v>ROYA</v>
      </c>
      <c r="G1212" s="24"/>
      <c r="H1212" s="24"/>
      <c r="I1212" s="22" t="str">
        <f t="shared" si="7"/>
        <v/>
      </c>
      <c r="J1212" s="20" t="b">
        <v>0</v>
      </c>
      <c r="K1212" s="13" t="str">
        <f t="shared" si="8"/>
        <v/>
      </c>
    </row>
    <row r="1213" ht="22.5" customHeight="1">
      <c r="B1213" s="13">
        <f t="shared" si="3"/>
        <v>1207</v>
      </c>
      <c r="C1213" s="15" t="str">
        <f t="array" ref="C1213">IFNA(_xlfn.XLOOKUP(B1213,Table_Respons_Loket[Count],Table_Respons_Loket[Nomor Tiket]),"")</f>
        <v>K/45/141124/2</v>
      </c>
      <c r="D1213" s="15" t="str">
        <f t="array" ref="D1213">IFNA(_xlfn.XLOOKUP(B1213,Table_Respons_Loket[Count],Table_Respons_Loket[Daftar Nomor Hak]),"")</f>
        <v>M. 88/ Kampung Baru Raya</v>
      </c>
      <c r="E1213" s="17">
        <f t="array" ref="E1213">IFNA(_xlfn.XLOOKUP(B1213,Table_Respons_Loket[Count],Table_Respons_Loket[Time Stamp]),"")</f>
        <v>45610.61215</v>
      </c>
      <c r="F1213" s="18" t="str">
        <f t="array" ref="F1213">IFNA(_xlfn.XLOOKUP(B1213,Table_Respons_Loket[Count],Table_Respons_Loket[Jenis Permohonan]),"")</f>
        <v>ROYA</v>
      </c>
      <c r="G1213" s="24"/>
      <c r="H1213" s="24"/>
      <c r="I1213" s="22" t="str">
        <f t="shared" si="7"/>
        <v/>
      </c>
      <c r="J1213" s="20" t="b">
        <v>0</v>
      </c>
      <c r="K1213" s="13" t="str">
        <f t="shared" si="8"/>
        <v/>
      </c>
    </row>
    <row r="1214" ht="22.5" customHeight="1">
      <c r="B1214" s="13">
        <f t="shared" si="3"/>
        <v>1208</v>
      </c>
      <c r="C1214" s="15" t="str">
        <f t="array" ref="C1214">IFNA(_xlfn.XLOOKUP(B1214,Table_Respons_Loket[Count],Table_Respons_Loket[Nomor Tiket]),"")</f>
        <v>K/47/141124/1</v>
      </c>
      <c r="D1214" s="15" t="str">
        <f t="array" ref="D1214">IFNA(_xlfn.XLOOKUP(B1214,Table_Respons_Loket[Count],Table_Respons_Loket[Daftar Nomor Hak]),"")</f>
        <v>M. 1721/ Labuhan Dalam</v>
      </c>
      <c r="E1214" s="17">
        <f t="array" ref="E1214">IFNA(_xlfn.XLOOKUP(B1214,Table_Respons_Loket[Count],Table_Respons_Loket[Time Stamp]),"")</f>
        <v>45610.61382</v>
      </c>
      <c r="F1214" s="18" t="str">
        <f t="array" ref="F1214">IFNA(_xlfn.XLOOKUP(B1214,Table_Respons_Loket[Count],Table_Respons_Loket[Jenis Permohonan]),"")</f>
        <v>Roya</v>
      </c>
      <c r="G1214" s="24"/>
      <c r="H1214" s="24"/>
      <c r="I1214" s="22" t="str">
        <f t="shared" si="7"/>
        <v/>
      </c>
      <c r="J1214" s="20" t="b">
        <v>0</v>
      </c>
      <c r="K1214" s="13" t="str">
        <f t="shared" si="8"/>
        <v/>
      </c>
    </row>
    <row r="1215" ht="22.5" customHeight="1">
      <c r="B1215" s="13">
        <f t="shared" si="3"/>
        <v>1209</v>
      </c>
      <c r="C1215" s="15" t="str">
        <f t="array" ref="C1215">IFNA(_xlfn.XLOOKUP(B1215,Table_Respons_Loket[Count],Table_Respons_Loket[Nomor Tiket]),"")</f>
        <v>K/46/141124/3</v>
      </c>
      <c r="D1215" s="15" t="str">
        <f t="array" ref="D1215">IFNA(_xlfn.XLOOKUP(B1215,Table_Respons_Loket[Count],Table_Respons_Loket[Daftar Nomor Hak]),"")</f>
        <v>M. 12/ Kampung Baru raya</v>
      </c>
      <c r="E1215" s="17">
        <f t="array" ref="E1215">IFNA(_xlfn.XLOOKUP(B1215,Table_Respons_Loket[Count],Table_Respons_Loket[Time Stamp]),"")</f>
        <v>45610.62173</v>
      </c>
      <c r="F1215" s="18" t="str">
        <f t="array" ref="F1215">IFNA(_xlfn.XLOOKUP(B1215,Table_Respons_Loket[Count],Table_Respons_Loket[Jenis Permohonan]),"")</f>
        <v>ROYA</v>
      </c>
      <c r="G1215" s="24"/>
      <c r="H1215" s="24"/>
      <c r="I1215" s="22" t="str">
        <f t="shared" si="7"/>
        <v/>
      </c>
      <c r="J1215" s="20" t="b">
        <v>0</v>
      </c>
      <c r="K1215" s="13" t="str">
        <f t="shared" si="8"/>
        <v/>
      </c>
    </row>
    <row r="1216" ht="22.5" customHeight="1">
      <c r="B1216" s="13">
        <f t="shared" si="3"/>
        <v>1210</v>
      </c>
      <c r="C1216" s="15" t="str">
        <f t="array" ref="C1216">IFNA(_xlfn.XLOOKUP(B1216,Table_Respons_Loket[Count],Table_Respons_Loket[Nomor Tiket]),"")</f>
        <v>K/49/141124/1</v>
      </c>
      <c r="D1216" s="15" t="str">
        <f t="array" ref="D1216">IFNA(_xlfn.XLOOKUP(B1216,Table_Respons_Loket[Count],Table_Respons_Loket[Daftar Nomor Hak]),"")</f>
        <v>WAY GUBAK</v>
      </c>
      <c r="E1216" s="17">
        <f t="array" ref="E1216">IFNA(_xlfn.XLOOKUP(B1216,Table_Respons_Loket[Count],Table_Respons_Loket[Time Stamp]),"")</f>
        <v>45610.62178</v>
      </c>
      <c r="F1216" s="18" t="str">
        <f t="array" ref="F1216">IFNA(_xlfn.XLOOKUP(B1216,Table_Respons_Loket[Count],Table_Respons_Loket[Jenis Permohonan]),"")</f>
        <v>TANAH MENTAH</v>
      </c>
      <c r="G1216" s="24"/>
      <c r="H1216" s="24"/>
      <c r="I1216" s="22" t="str">
        <f t="shared" si="7"/>
        <v/>
      </c>
      <c r="J1216" s="20" t="b">
        <v>0</v>
      </c>
      <c r="K1216" s="13" t="str">
        <f t="shared" si="8"/>
        <v/>
      </c>
    </row>
    <row r="1217" ht="22.5" customHeight="1">
      <c r="B1217" s="13">
        <f t="shared" si="3"/>
        <v>1211</v>
      </c>
      <c r="C1217" s="15" t="str">
        <f t="array" ref="C1217">IFNA(_xlfn.XLOOKUP(B1217,Table_Respons_Loket[Count],Table_Respons_Loket[Nomor Tiket]),"")</f>
        <v>K/48/141124/1</v>
      </c>
      <c r="D1217" s="15" t="str">
        <f t="array" ref="D1217">IFNA(_xlfn.XLOOKUP(B1217,Table_Respons_Loket[Count],Table_Respons_Loket[Daftar Nomor Hak]),"")</f>
        <v>Nibel. B. 5029/ Batu Putuk</v>
      </c>
      <c r="E1217" s="17">
        <f t="array" ref="E1217">IFNA(_xlfn.XLOOKUP(B1217,Table_Respons_Loket[Count],Table_Respons_Loket[Time Stamp]),"")</f>
        <v>45610.63257</v>
      </c>
      <c r="F1217" s="18" t="str">
        <f t="array" ref="F1217">IFNA(_xlfn.XLOOKUP(B1217,Table_Respons_Loket[Count],Table_Respons_Loket[Jenis Permohonan]),"")</f>
        <v>BN Hibah</v>
      </c>
      <c r="G1217" s="24"/>
      <c r="H1217" s="24"/>
      <c r="I1217" s="22" t="str">
        <f t="shared" si="7"/>
        <v/>
      </c>
      <c r="J1217" s="20" t="b">
        <v>0</v>
      </c>
      <c r="K1217" s="13" t="str">
        <f t="shared" si="8"/>
        <v/>
      </c>
    </row>
    <row r="1218" ht="22.5" customHeight="1">
      <c r="B1218" s="13">
        <f t="shared" si="3"/>
        <v>1212</v>
      </c>
      <c r="C1218" s="15" t="str">
        <f t="array" ref="C1218">IFNA(_xlfn.XLOOKUP(B1218,Table_Respons_Loket[Count],Table_Respons_Loket[Nomor Tiket]),"")</f>
        <v>K/50/141124/1</v>
      </c>
      <c r="D1218" s="15" t="str">
        <f t="array" ref="D1218">IFNA(_xlfn.XLOOKUP(B1218,Table_Respons_Loket[Count],Table_Respons_Loket[Daftar Nomor Hak]),"")</f>
        <v>M. 3242/ Labuhan Dalam</v>
      </c>
      <c r="E1218" s="17">
        <f t="array" ref="E1218">IFNA(_xlfn.XLOOKUP(B1218,Table_Respons_Loket[Count],Table_Respons_Loket[Time Stamp]),"")</f>
        <v>45611.3408</v>
      </c>
      <c r="F1218" s="18" t="str">
        <f t="array" ref="F1218">IFNA(_xlfn.XLOOKUP(B1218,Table_Respons_Loket[Count],Table_Respons_Loket[Jenis Permohonan]),"")</f>
        <v>BN Jual Beli</v>
      </c>
      <c r="G1218" s="24"/>
      <c r="H1218" s="24"/>
      <c r="I1218" s="22" t="str">
        <f t="shared" si="7"/>
        <v/>
      </c>
      <c r="J1218" s="20" t="b">
        <v>0</v>
      </c>
      <c r="K1218" s="13" t="str">
        <f t="shared" si="8"/>
        <v/>
      </c>
    </row>
    <row r="1219" ht="22.5" customHeight="1">
      <c r="B1219" s="13">
        <f t="shared" si="3"/>
        <v>1213</v>
      </c>
      <c r="C1219" s="15" t="str">
        <f t="array" ref="C1219">IFNA(_xlfn.XLOOKUP(B1219,Table_Respons_Loket[Count],Table_Respons_Loket[Nomor Tiket]),"")</f>
        <v>K/51/141124/1</v>
      </c>
      <c r="D1219" s="15" t="str">
        <f t="array" ref="D1219">IFNA(_xlfn.XLOOKUP(B1219,Table_Respons_Loket[Count],Table_Respons_Loket[Daftar Nomor Hak]),"")</f>
        <v>TANAH MENTAH</v>
      </c>
      <c r="E1219" s="17">
        <f t="array" ref="E1219">IFNA(_xlfn.XLOOKUP(B1219,Table_Respons_Loket[Count],Table_Respons_Loket[Time Stamp]),"")</f>
        <v>45611.34403</v>
      </c>
      <c r="F1219" s="18" t="str">
        <f t="array" ref="F1219">IFNA(_xlfn.XLOOKUP(B1219,Table_Respons_Loket[Count],Table_Respons_Loket[Jenis Permohonan]),"")</f>
        <v>PENGUKURAN PERTAMA KALI</v>
      </c>
      <c r="G1219" s="24"/>
      <c r="H1219" s="24"/>
      <c r="I1219" s="22" t="str">
        <f t="shared" si="7"/>
        <v/>
      </c>
      <c r="J1219" s="20" t="b">
        <v>0</v>
      </c>
      <c r="K1219" s="13" t="str">
        <f t="shared" si="8"/>
        <v/>
      </c>
    </row>
    <row r="1220" ht="22.5" customHeight="1">
      <c r="B1220" s="13">
        <f t="shared" si="3"/>
        <v>1214</v>
      </c>
      <c r="C1220" s="15" t="str">
        <f t="array" ref="C1220">IFNA(_xlfn.XLOOKUP(B1220,Table_Respons_Loket[Count],Table_Respons_Loket[Nomor Tiket]),"")</f>
        <v>K/1/151124/1</v>
      </c>
      <c r="D1220" s="15" t="str">
        <f t="array" ref="D1220">IFNA(_xlfn.XLOOKUP(B1220,Table_Respons_Loket[Count],Table_Respons_Loket[Daftar Nomor Hak]),"")</f>
        <v>Nibel 3493/ Kemiling Permai</v>
      </c>
      <c r="E1220" s="17">
        <f t="array" ref="E1220">IFNA(_xlfn.XLOOKUP(B1220,Table_Respons_Loket[Count],Table_Respons_Loket[Time Stamp]),"")</f>
        <v>45611.37416</v>
      </c>
      <c r="F1220" s="18" t="str">
        <f t="array" ref="F1220">IFNA(_xlfn.XLOOKUP(B1220,Table_Respons_Loket[Count],Table_Respons_Loket[Jenis Permohonan]),"")</f>
        <v>GANTI KELURAHAN</v>
      </c>
      <c r="G1220" s="24"/>
      <c r="H1220" s="24"/>
      <c r="I1220" s="22" t="str">
        <f t="shared" si="7"/>
        <v/>
      </c>
      <c r="J1220" s="20" t="b">
        <v>0</v>
      </c>
      <c r="K1220" s="13" t="str">
        <f t="shared" si="8"/>
        <v/>
      </c>
    </row>
    <row r="1221" ht="22.5" customHeight="1">
      <c r="B1221" s="13">
        <f t="shared" si="3"/>
        <v>1215</v>
      </c>
      <c r="C1221" s="15" t="str">
        <f t="array" ref="C1221">IFNA(_xlfn.XLOOKUP(B1221,Table_Respons_Loket[Count],Table_Respons_Loket[Nomor Tiket]),"")</f>
        <v>K/2/151124/1</v>
      </c>
      <c r="D1221" s="15" t="str">
        <f t="array" ref="D1221">IFNA(_xlfn.XLOOKUP(B1221,Table_Respons_Loket[Count],Table_Respons_Loket[Daftar Nomor Hak]),"")</f>
        <v>M. 576/ JAGABAYA III</v>
      </c>
      <c r="E1221" s="17">
        <f t="array" ref="E1221">IFNA(_xlfn.XLOOKUP(B1221,Table_Respons_Loket[Count],Table_Respons_Loket[Time Stamp]),"")</f>
        <v>45611.37833</v>
      </c>
      <c r="F1221" s="18" t="str">
        <f t="array" ref="F1221">IFNA(_xlfn.XLOOKUP(B1221,Table_Respons_Loket[Count],Table_Respons_Loket[Jenis Permohonan]),"")</f>
        <v>PENGECEKKAN</v>
      </c>
      <c r="G1221" s="24"/>
      <c r="H1221" s="24"/>
      <c r="I1221" s="22" t="str">
        <f t="shared" si="7"/>
        <v/>
      </c>
      <c r="J1221" s="20" t="b">
        <v>0</v>
      </c>
      <c r="K1221" s="13" t="str">
        <f t="shared" si="8"/>
        <v/>
      </c>
    </row>
    <row r="1222" ht="22.5" customHeight="1">
      <c r="B1222" s="13">
        <f t="shared" si="3"/>
        <v>1216</v>
      </c>
      <c r="C1222" s="15" t="str">
        <f t="array" ref="C1222">IFNA(_xlfn.XLOOKUP(B1222,Table_Respons_Loket[Count],Table_Respons_Loket[Nomor Tiket]),"")</f>
        <v>L/3/151124/1</v>
      </c>
      <c r="D1222" s="15" t="str">
        <f t="array" ref="D1222">IFNA(_xlfn.XLOOKUP(B1222,Table_Respons_Loket[Count],Table_Respons_Loket[Daftar Nomor Hak]),"")</f>
        <v>HGB 4020/SUKABUMI</v>
      </c>
      <c r="E1222" s="17">
        <f t="array" ref="E1222">IFNA(_xlfn.XLOOKUP(B1222,Table_Respons_Loket[Count],Table_Respons_Loket[Time Stamp]),"")</f>
        <v>45611.37946</v>
      </c>
      <c r="F1222" s="18" t="str">
        <f t="array" ref="F1222">IFNA(_xlfn.XLOOKUP(B1222,Table_Respons_Loket[Count],Table_Respons_Loket[Jenis Permohonan]),"")</f>
        <v>ROYA</v>
      </c>
      <c r="G1222" s="24"/>
      <c r="H1222" s="24"/>
      <c r="I1222" s="22" t="str">
        <f t="shared" si="7"/>
        <v/>
      </c>
      <c r="J1222" s="20" t="b">
        <v>0</v>
      </c>
      <c r="K1222" s="13" t="str">
        <f t="shared" si="8"/>
        <v/>
      </c>
    </row>
    <row r="1223" ht="22.5" customHeight="1">
      <c r="B1223" s="13">
        <f t="shared" si="3"/>
        <v>1217</v>
      </c>
      <c r="C1223" s="15" t="str">
        <f t="array" ref="C1223">IFNA(_xlfn.XLOOKUP(B1223,Table_Respons_Loket[Count],Table_Respons_Loket[Nomor Tiket]),"")</f>
        <v>K/4/151124/1</v>
      </c>
      <c r="D1223" s="15" t="str">
        <f t="array" ref="D1223">IFNA(_xlfn.XLOOKUP(B1223,Table_Respons_Loket[Count],Table_Respons_Loket[Daftar Nomor Hak]),"")</f>
        <v>M.4148/LANGKAPURA</v>
      </c>
      <c r="E1223" s="17">
        <f t="array" ref="E1223">IFNA(_xlfn.XLOOKUP(B1223,Table_Respons_Loket[Count],Table_Respons_Loket[Time Stamp]),"")</f>
        <v>45611.38377</v>
      </c>
      <c r="F1223" s="18" t="str">
        <f t="array" ref="F1223">IFNA(_xlfn.XLOOKUP(B1223,Table_Respons_Loket[Count],Table_Respons_Loket[Jenis Permohonan]),"")</f>
        <v>ROYA</v>
      </c>
      <c r="G1223" s="24"/>
      <c r="H1223" s="24"/>
      <c r="I1223" s="22" t="str">
        <f t="shared" si="7"/>
        <v/>
      </c>
      <c r="J1223" s="20" t="b">
        <v>0</v>
      </c>
      <c r="K1223" s="13" t="str">
        <f t="shared" si="8"/>
        <v/>
      </c>
    </row>
    <row r="1224" ht="22.5" customHeight="1">
      <c r="B1224" s="13">
        <f t="shared" si="3"/>
        <v>1218</v>
      </c>
      <c r="C1224" s="15" t="str">
        <f t="array" ref="C1224">IFNA(_xlfn.XLOOKUP(B1224,Table_Respons_Loket[Count],Table_Respons_Loket[Nomor Tiket]),"")</f>
        <v>L/5/151124/1</v>
      </c>
      <c r="D1224" s="15" t="str">
        <f t="array" ref="D1224">IFNA(_xlfn.XLOOKUP(B1224,Table_Respons_Loket[Count],Table_Respons_Loket[Daftar Nomor Hak]),"")</f>
        <v>3960/KEMILING PERMAI</v>
      </c>
      <c r="E1224" s="17">
        <f t="array" ref="E1224">IFNA(_xlfn.XLOOKUP(B1224,Table_Respons_Loket[Count],Table_Respons_Loket[Time Stamp]),"")</f>
        <v>45611.39483</v>
      </c>
      <c r="F1224" s="18" t="str">
        <f t="array" ref="F1224">IFNA(_xlfn.XLOOKUP(B1224,Table_Respons_Loket[Count],Table_Respons_Loket[Jenis Permohonan]),"")</f>
        <v>PTPGT</v>
      </c>
      <c r="G1224" s="24"/>
      <c r="H1224" s="24"/>
      <c r="I1224" s="22" t="str">
        <f t="shared" si="7"/>
        <v/>
      </c>
      <c r="J1224" s="20" t="b">
        <v>0</v>
      </c>
      <c r="K1224" s="13" t="str">
        <f t="shared" si="8"/>
        <v/>
      </c>
    </row>
    <row r="1225" ht="22.5" customHeight="1">
      <c r="B1225" s="13">
        <f t="shared" si="3"/>
        <v>1219</v>
      </c>
      <c r="C1225" s="15" t="str">
        <f t="array" ref="C1225">IFNA(_xlfn.XLOOKUP(B1225,Table_Respons_Loket[Count],Table_Respons_Loket[Nomor Tiket]),"")</f>
        <v>L/6/151124/1</v>
      </c>
      <c r="D1225" s="15" t="str">
        <f t="array" ref="D1225">IFNA(_xlfn.XLOOKUP(B1225,Table_Respons_Loket[Count],Table_Respons_Loket[Daftar Nomor Hak]),"")</f>
        <v>HM 605/SUMBER REJO</v>
      </c>
      <c r="E1225" s="17">
        <f t="array" ref="E1225">IFNA(_xlfn.XLOOKUP(B1225,Table_Respons_Loket[Count],Table_Respons_Loket[Time Stamp]),"")</f>
        <v>45611.41023</v>
      </c>
      <c r="F1225" s="18" t="str">
        <f t="array" ref="F1225">IFNA(_xlfn.XLOOKUP(B1225,Table_Respons_Loket[Count],Table_Respons_Loket[Jenis Permohonan]),"")</f>
        <v>ROYA</v>
      </c>
      <c r="G1225" s="24"/>
      <c r="H1225" s="24"/>
      <c r="I1225" s="22" t="str">
        <f t="shared" si="7"/>
        <v/>
      </c>
      <c r="J1225" s="20" t="b">
        <v>0</v>
      </c>
      <c r="K1225" s="13" t="str">
        <f t="shared" si="8"/>
        <v/>
      </c>
    </row>
    <row r="1226" ht="22.5" customHeight="1">
      <c r="B1226" s="13">
        <f t="shared" si="3"/>
        <v>1220</v>
      </c>
      <c r="C1226" s="15" t="str">
        <f t="array" ref="C1226">IFNA(_xlfn.XLOOKUP(B1226,Table_Respons_Loket[Count],Table_Respons_Loket[Nomor Tiket]),"")</f>
        <v>K/7/151124/1</v>
      </c>
      <c r="D1226" s="15" t="str">
        <f t="array" ref="D1226">IFNA(_xlfn.XLOOKUP(B1226,Table_Respons_Loket[Count],Table_Respons_Loket[Daftar Nomor Hak]),"")</f>
        <v>B. 1290/ Campang Raya</v>
      </c>
      <c r="E1226" s="17">
        <f t="array" ref="E1226">IFNA(_xlfn.XLOOKUP(B1226,Table_Respons_Loket[Count],Table_Respons_Loket[Time Stamp]),"")</f>
        <v>45611.40112</v>
      </c>
      <c r="F1226" s="18" t="str">
        <f t="array" ref="F1226">IFNA(_xlfn.XLOOKUP(B1226,Table_Respons_Loket[Count],Table_Respons_Loket[Jenis Permohonan]),"")</f>
        <v>SKPT LELANG</v>
      </c>
      <c r="G1226" s="24"/>
      <c r="H1226" s="24"/>
      <c r="I1226" s="22" t="str">
        <f t="shared" si="7"/>
        <v/>
      </c>
      <c r="J1226" s="20" t="b">
        <v>0</v>
      </c>
      <c r="K1226" s="13" t="str">
        <f t="shared" si="8"/>
        <v/>
      </c>
    </row>
    <row r="1227" ht="22.5" customHeight="1">
      <c r="B1227" s="13">
        <f t="shared" si="3"/>
        <v>1221</v>
      </c>
      <c r="C1227" s="15" t="str">
        <f t="array" ref="C1227">IFNA(_xlfn.XLOOKUP(B1227,Table_Respons_Loket[Count],Table_Respons_Loket[Nomor Tiket]),"")</f>
        <v>K/8/151124/2</v>
      </c>
      <c r="D1227" s="15" t="str">
        <f t="array" ref="D1227">IFNA(_xlfn.XLOOKUP(B1227,Table_Respons_Loket[Count],Table_Respons_Loket[Daftar Nomor Hak]),"")</f>
        <v>M. 2001/ Tanjung Seneng</v>
      </c>
      <c r="E1227" s="17">
        <f t="array" ref="E1227">IFNA(_xlfn.XLOOKUP(B1227,Table_Respons_Loket[Count],Table_Respons_Loket[Time Stamp]),"")</f>
        <v>45611.40399</v>
      </c>
      <c r="F1227" s="18" t="str">
        <f t="array" ref="F1227">IFNA(_xlfn.XLOOKUP(B1227,Table_Respons_Loket[Count],Table_Respons_Loket[Jenis Permohonan]),"")</f>
        <v>PENATAAN BATAS</v>
      </c>
      <c r="G1227" s="24"/>
      <c r="H1227" s="24"/>
      <c r="I1227" s="22" t="str">
        <f t="shared" si="7"/>
        <v/>
      </c>
      <c r="J1227" s="20" t="b">
        <v>0</v>
      </c>
      <c r="K1227" s="13" t="str">
        <f t="shared" si="8"/>
        <v/>
      </c>
    </row>
    <row r="1228" ht="22.5" customHeight="1">
      <c r="B1228" s="13">
        <f t="shared" si="3"/>
        <v>1222</v>
      </c>
      <c r="C1228" s="15" t="str">
        <f t="array" ref="C1228">IFNA(_xlfn.XLOOKUP(B1228,Table_Respons_Loket[Count],Table_Respons_Loket[Nomor Tiket]),"")</f>
        <v>L/9/151124/1</v>
      </c>
      <c r="D1228" s="15" t="str">
        <f t="array" ref="D1228">IFNA(_xlfn.XLOOKUP(B1228,Table_Respons_Loket[Count],Table_Respons_Loket[Daftar Nomor Hak]),"")</f>
        <v>HM 3174/GUNUNG TERANG</v>
      </c>
      <c r="E1228" s="17">
        <f t="array" ref="E1228">IFNA(_xlfn.XLOOKUP(B1228,Table_Respons_Loket[Count],Table_Respons_Loket[Time Stamp]),"")</f>
        <v>45611.41073</v>
      </c>
      <c r="F1228" s="18" t="str">
        <f t="array" ref="F1228">IFNA(_xlfn.XLOOKUP(B1228,Table_Respons_Loket[Count],Table_Respons_Loket[Jenis Permohonan]),"")</f>
        <v>HAPUS BPHTB</v>
      </c>
      <c r="G1228" s="24"/>
      <c r="H1228" s="24"/>
      <c r="I1228" s="22" t="str">
        <f t="shared" si="7"/>
        <v/>
      </c>
      <c r="J1228" s="20" t="b">
        <v>0</v>
      </c>
      <c r="K1228" s="13" t="str">
        <f t="shared" si="8"/>
        <v/>
      </c>
    </row>
    <row r="1229" ht="22.5" customHeight="1">
      <c r="B1229" s="13">
        <f t="shared" si="3"/>
        <v>1223</v>
      </c>
      <c r="C1229" s="15" t="str">
        <f t="array" ref="C1229">IFNA(_xlfn.XLOOKUP(B1229,Table_Respons_Loket[Count],Table_Respons_Loket[Nomor Tiket]),"")</f>
        <v>K/10/151124/1</v>
      </c>
      <c r="D1229" s="15" t="str">
        <f t="array" ref="D1229">IFNA(_xlfn.XLOOKUP(B1229,Table_Respons_Loket[Count],Table_Respons_Loket[Daftar Nomor Hak]),"")</f>
        <v>M. 1447/ Kota Karang</v>
      </c>
      <c r="E1229" s="17">
        <f t="array" ref="E1229">IFNA(_xlfn.XLOOKUP(B1229,Table_Respons_Loket[Count],Table_Respons_Loket[Time Stamp]),"")</f>
        <v>45611.41322</v>
      </c>
      <c r="F1229" s="18" t="str">
        <f t="array" ref="F1229">IFNA(_xlfn.XLOOKUP(B1229,Table_Respons_Loket[Count],Table_Respons_Loket[Jenis Permohonan]),"")</f>
        <v>Gandes</v>
      </c>
      <c r="G1229" s="24"/>
      <c r="H1229" s="24"/>
      <c r="I1229" s="22" t="str">
        <f t="shared" si="7"/>
        <v/>
      </c>
      <c r="J1229" s="20" t="b">
        <v>0</v>
      </c>
      <c r="K1229" s="13" t="str">
        <f t="shared" si="8"/>
        <v/>
      </c>
    </row>
    <row r="1230" ht="22.5" customHeight="1">
      <c r="B1230" s="13">
        <f t="shared" si="3"/>
        <v>1224</v>
      </c>
      <c r="C1230" s="15" t="str">
        <f t="array" ref="C1230">IFNA(_xlfn.XLOOKUP(B1230,Table_Respons_Loket[Count],Table_Respons_Loket[Nomor Tiket]),"")</f>
        <v>K/11/151124/2</v>
      </c>
      <c r="D1230" s="15" t="str">
        <f t="array" ref="D1230">IFNA(_xlfn.XLOOKUP(B1230,Table_Respons_Loket[Count],Table_Respons_Loket[Daftar Nomor Hak]),"")</f>
        <v>M. 1884/ Sukabumi Indah</v>
      </c>
      <c r="E1230" s="17">
        <f t="array" ref="E1230">IFNA(_xlfn.XLOOKUP(B1230,Table_Respons_Loket[Count],Table_Respons_Loket[Time Stamp]),"")</f>
        <v>45611.41515</v>
      </c>
      <c r="F1230" s="18" t="str">
        <f t="array" ref="F1230">IFNA(_xlfn.XLOOKUP(B1230,Table_Respons_Loket[Count],Table_Respons_Loket[Jenis Permohonan]),"")</f>
        <v>Plotting</v>
      </c>
      <c r="G1230" s="24"/>
      <c r="H1230" s="24"/>
      <c r="I1230" s="22" t="str">
        <f t="shared" si="7"/>
        <v/>
      </c>
      <c r="J1230" s="20" t="b">
        <v>0</v>
      </c>
      <c r="K1230" s="13" t="str">
        <f t="shared" si="8"/>
        <v/>
      </c>
    </row>
    <row r="1231" ht="22.5" customHeight="1">
      <c r="B1231" s="13">
        <f t="shared" si="3"/>
        <v>1225</v>
      </c>
      <c r="C1231" s="15" t="str">
        <f t="array" ref="C1231">IFNA(_xlfn.XLOOKUP(B1231,Table_Respons_Loket[Count],Table_Respons_Loket[Nomor Tiket]),"")</f>
        <v>K/12/151124/1</v>
      </c>
      <c r="D1231" s="15" t="str">
        <f t="array" ref="D1231">IFNA(_xlfn.XLOOKUP(B1231,Table_Respons_Loket[Count],Table_Respons_Loket[Daftar Nomor Hak]),"")</f>
        <v>M. 1436/ Kuripan</v>
      </c>
      <c r="E1231" s="17">
        <f t="array" ref="E1231">IFNA(_xlfn.XLOOKUP(B1231,Table_Respons_Loket[Count],Table_Respons_Loket[Time Stamp]),"")</f>
        <v>45611.42342</v>
      </c>
      <c r="F1231" s="18" t="str">
        <f t="array" ref="F1231">IFNA(_xlfn.XLOOKUP(B1231,Table_Respons_Loket[Count],Table_Respons_Loket[Jenis Permohonan]),"")</f>
        <v>SKPT LELANG</v>
      </c>
      <c r="G1231" s="24"/>
      <c r="H1231" s="24"/>
      <c r="I1231" s="22" t="str">
        <f t="shared" si="7"/>
        <v/>
      </c>
      <c r="J1231" s="20" t="b">
        <v>0</v>
      </c>
      <c r="K1231" s="13" t="str">
        <f t="shared" si="8"/>
        <v/>
      </c>
    </row>
    <row r="1232" ht="22.5" customHeight="1">
      <c r="B1232" s="13">
        <f t="shared" si="3"/>
        <v>1226</v>
      </c>
      <c r="C1232" s="15" t="str">
        <f t="array" ref="C1232">IFNA(_xlfn.XLOOKUP(B1232,Table_Respons_Loket[Count],Table_Respons_Loket[Nomor Tiket]),"")</f>
        <v>K/13/151124/2</v>
      </c>
      <c r="D1232" s="15" t="str">
        <f t="array" ref="D1232">IFNA(_xlfn.XLOOKUP(B1232,Table_Respons_Loket[Count],Table_Respons_Loket[Daftar Nomor Hak]),"")</f>
        <v>M. 1185/ Kuripan</v>
      </c>
      <c r="E1232" s="17">
        <f t="array" ref="E1232">IFNA(_xlfn.XLOOKUP(B1232,Table_Respons_Loket[Count],Table_Respons_Loket[Time Stamp]),"")</f>
        <v>45611.42585</v>
      </c>
      <c r="F1232" s="18" t="str">
        <f t="array" ref="F1232">IFNA(_xlfn.XLOOKUP(B1232,Table_Respons_Loket[Count],Table_Respons_Loket[Jenis Permohonan]),"")</f>
        <v>SKPT LELANG</v>
      </c>
      <c r="G1232" s="24"/>
      <c r="H1232" s="24"/>
      <c r="I1232" s="22" t="str">
        <f t="shared" si="7"/>
        <v/>
      </c>
      <c r="J1232" s="20" t="b">
        <v>0</v>
      </c>
      <c r="K1232" s="13" t="str">
        <f t="shared" si="8"/>
        <v/>
      </c>
    </row>
    <row r="1233" ht="22.5" customHeight="1">
      <c r="B1233" s="13">
        <f t="shared" si="3"/>
        <v>1227</v>
      </c>
      <c r="C1233" s="15" t="str">
        <f t="array" ref="C1233">IFNA(_xlfn.XLOOKUP(B1233,Table_Respons_Loket[Count],Table_Respons_Loket[Nomor Tiket]),"")</f>
        <v>K/14/151124/3</v>
      </c>
      <c r="D1233" s="15" t="str">
        <f t="array" ref="D1233">IFNA(_xlfn.XLOOKUP(B1233,Table_Respons_Loket[Count],Table_Respons_Loket[Daftar Nomor Hak]),"")</f>
        <v>M. 295/ Tanjung Raya</v>
      </c>
      <c r="E1233" s="17">
        <f t="array" ref="E1233">IFNA(_xlfn.XLOOKUP(B1233,Table_Respons_Loket[Count],Table_Respons_Loket[Time Stamp]),"")</f>
        <v>45611.4273</v>
      </c>
      <c r="F1233" s="18" t="str">
        <f t="array" ref="F1233">IFNA(_xlfn.XLOOKUP(B1233,Table_Respons_Loket[Count],Table_Respons_Loket[Jenis Permohonan]),"")</f>
        <v>SKPT LELANG</v>
      </c>
      <c r="G1233" s="24"/>
      <c r="H1233" s="24"/>
      <c r="I1233" s="22" t="str">
        <f t="shared" si="7"/>
        <v/>
      </c>
      <c r="J1233" s="20" t="b">
        <v>0</v>
      </c>
      <c r="K1233" s="13" t="str">
        <f t="shared" si="8"/>
        <v/>
      </c>
    </row>
    <row r="1234" ht="22.5" customHeight="1">
      <c r="B1234" s="13">
        <f t="shared" si="3"/>
        <v>1228</v>
      </c>
      <c r="C1234" s="15" t="str">
        <f t="array" ref="C1234">IFNA(_xlfn.XLOOKUP(B1234,Table_Respons_Loket[Count],Table_Respons_Loket[Nomor Tiket]),"")</f>
        <v>K/16/151124/1</v>
      </c>
      <c r="D1234" s="15" t="str">
        <f t="array" ref="D1234">IFNA(_xlfn.XLOOKUP(B1234,Table_Respons_Loket[Count],Table_Respons_Loket[Daftar Nomor Hak]),"")</f>
        <v>M.10613/KEDAMAIAN</v>
      </c>
      <c r="E1234" s="17">
        <f t="array" ref="E1234">IFNA(_xlfn.XLOOKUP(B1234,Table_Respons_Loket[Count],Table_Respons_Loket[Time Stamp]),"")</f>
        <v>45611.43033</v>
      </c>
      <c r="F1234" s="18" t="str">
        <f t="array" ref="F1234">IFNA(_xlfn.XLOOKUP(B1234,Table_Respons_Loket[Count],Table_Respons_Loket[Jenis Permohonan]),"")</f>
        <v>BN WARIS</v>
      </c>
      <c r="G1234" s="24"/>
      <c r="H1234" s="24"/>
      <c r="I1234" s="22" t="str">
        <f t="shared" si="7"/>
        <v/>
      </c>
      <c r="J1234" s="20" t="b">
        <v>0</v>
      </c>
      <c r="K1234" s="13" t="str">
        <f t="shared" si="8"/>
        <v/>
      </c>
    </row>
    <row r="1235" ht="22.5" customHeight="1">
      <c r="B1235" s="13">
        <f t="shared" si="3"/>
        <v>1229</v>
      </c>
      <c r="C1235" s="15" t="str">
        <f t="array" ref="C1235">IFNA(_xlfn.XLOOKUP(B1235,Table_Respons_Loket[Count],Table_Respons_Loket[Nomor Tiket]),"")</f>
        <v>L/18/151124/1</v>
      </c>
      <c r="D1235" s="15" t="str">
        <f t="array" ref="D1235">IFNA(_xlfn.XLOOKUP(B1235,Table_Respons_Loket[Count],Table_Respons_Loket[Daftar Nomor Hak]),"")</f>
        <v>HGB 584/WAY KANDIS</v>
      </c>
      <c r="E1235" s="17">
        <f t="array" ref="E1235">IFNA(_xlfn.XLOOKUP(B1235,Table_Respons_Loket[Count],Table_Respons_Loket[Time Stamp]),"")</f>
        <v>45611.43649</v>
      </c>
      <c r="F1235" s="18" t="str">
        <f t="array" ref="F1235">IFNA(_xlfn.XLOOKUP(B1235,Table_Respons_Loket[Count],Table_Respons_Loket[Jenis Permohonan]),"")</f>
        <v>GANDES</v>
      </c>
      <c r="G1235" s="24"/>
      <c r="H1235" s="24"/>
      <c r="I1235" s="22" t="str">
        <f t="shared" si="7"/>
        <v/>
      </c>
      <c r="J1235" s="20" t="b">
        <v>0</v>
      </c>
      <c r="K1235" s="13" t="str">
        <f t="shared" si="8"/>
        <v/>
      </c>
    </row>
    <row r="1236" ht="22.5" customHeight="1">
      <c r="B1236" s="13">
        <f t="shared" si="3"/>
        <v>1230</v>
      </c>
      <c r="C1236" s="15" t="str">
        <f t="array" ref="C1236">IFNA(_xlfn.XLOOKUP(B1236,Table_Respons_Loket[Count],Table_Respons_Loket[Nomor Tiket]),"")</f>
        <v>K/15/151124/1</v>
      </c>
      <c r="D1236" s="15" t="str">
        <f t="array" ref="D1236">IFNA(_xlfn.XLOOKUP(B1236,Table_Respons_Loket[Count],Table_Respons_Loket[Daftar Nomor Hak]),"")</f>
        <v>M. 769/ Sukaraja</v>
      </c>
      <c r="E1236" s="17">
        <f t="array" ref="E1236">IFNA(_xlfn.XLOOKUP(B1236,Table_Respons_Loket[Count],Table_Respons_Loket[Time Stamp]),"")</f>
        <v>45611.43689</v>
      </c>
      <c r="F1236" s="18" t="str">
        <f t="array" ref="F1236">IFNA(_xlfn.XLOOKUP(B1236,Table_Respons_Loket[Count],Table_Respons_Loket[Jenis Permohonan]),"")</f>
        <v>SKPT LELANG</v>
      </c>
      <c r="G1236" s="24"/>
      <c r="H1236" s="24"/>
      <c r="I1236" s="22" t="str">
        <f t="shared" si="7"/>
        <v/>
      </c>
      <c r="J1236" s="20" t="b">
        <v>0</v>
      </c>
      <c r="K1236" s="13" t="str">
        <f t="shared" si="8"/>
        <v/>
      </c>
    </row>
    <row r="1237" ht="22.5" customHeight="1">
      <c r="B1237" s="13">
        <f t="shared" si="3"/>
        <v>1231</v>
      </c>
      <c r="C1237" s="15" t="str">
        <f t="array" ref="C1237">IFNA(_xlfn.XLOOKUP(B1237,Table_Respons_Loket[Count],Table_Respons_Loket[Nomor Tiket]),"")</f>
        <v>K/17/151124/1</v>
      </c>
      <c r="D1237" s="15" t="str">
        <f t="array" ref="D1237">IFNA(_xlfn.XLOOKUP(B1237,Table_Respons_Loket[Count],Table_Respons_Loket[Daftar Nomor Hak]),"")</f>
        <v>M.944/SUKAMAJU</v>
      </c>
      <c r="E1237" s="17">
        <f t="array" ref="E1237">IFNA(_xlfn.XLOOKUP(B1237,Table_Respons_Loket[Count],Table_Respons_Loket[Time Stamp]),"")</f>
        <v>45611.43801</v>
      </c>
      <c r="F1237" s="18" t="str">
        <f t="array" ref="F1237">IFNA(_xlfn.XLOOKUP(B1237,Table_Respons_Loket[Count],Table_Respons_Loket[Jenis Permohonan]),"")</f>
        <v>BUKA BLOKIR</v>
      </c>
      <c r="G1237" s="24"/>
      <c r="H1237" s="24"/>
      <c r="I1237" s="22" t="str">
        <f t="shared" si="7"/>
        <v/>
      </c>
      <c r="J1237" s="20" t="b">
        <v>0</v>
      </c>
      <c r="K1237" s="13" t="str">
        <f t="shared" si="8"/>
        <v/>
      </c>
    </row>
    <row r="1238" ht="22.5" customHeight="1">
      <c r="B1238" s="13">
        <f t="shared" si="3"/>
        <v>1232</v>
      </c>
      <c r="C1238" s="15" t="str">
        <f t="array" ref="C1238">IFNA(_xlfn.XLOOKUP(B1238,Table_Respons_Loket[Count],Table_Respons_Loket[Nomor Tiket]),"")</f>
        <v>K/19/151124/1</v>
      </c>
      <c r="D1238" s="15" t="str">
        <f t="array" ref="D1238">IFNA(_xlfn.XLOOKUP(B1238,Table_Respons_Loket[Count],Table_Respons_Loket[Daftar Nomor Hak]),"")</f>
        <v> M. 2517/ Pinang Jaya</v>
      </c>
      <c r="E1238" s="17">
        <f t="array" ref="E1238">IFNA(_xlfn.XLOOKUP(B1238,Table_Respons_Loket[Count],Table_Respons_Loket[Time Stamp]),"")</f>
        <v>45611.43874</v>
      </c>
      <c r="F1238" s="18" t="str">
        <f t="array" ref="F1238">IFNA(_xlfn.XLOOKUP(B1238,Table_Respons_Loket[Count],Table_Respons_Loket[Jenis Permohonan]),"")</f>
        <v>BN JUAL BE;I</v>
      </c>
      <c r="G1238" s="24"/>
      <c r="H1238" s="24"/>
      <c r="I1238" s="22" t="str">
        <f t="shared" si="7"/>
        <v/>
      </c>
      <c r="J1238" s="20" t="b">
        <v>0</v>
      </c>
      <c r="K1238" s="13" t="str">
        <f t="shared" si="8"/>
        <v/>
      </c>
    </row>
    <row r="1239" ht="22.5" customHeight="1">
      <c r="B1239" s="13">
        <f t="shared" si="3"/>
        <v>1233</v>
      </c>
      <c r="C1239" s="15" t="str">
        <f t="array" ref="C1239">IFNA(_xlfn.XLOOKUP(B1239,Table_Respons_Loket[Count],Table_Respons_Loket[Nomor Tiket]),"")</f>
        <v>K/20/151124/1</v>
      </c>
      <c r="D1239" s="15" t="str">
        <f t="array" ref="D1239">IFNA(_xlfn.XLOOKUP(B1239,Table_Respons_Loket[Count],Table_Respons_Loket[Daftar Nomor Hak]),"")</f>
        <v>M.10108/LABUHAN RATU</v>
      </c>
      <c r="E1239" s="17">
        <f t="array" ref="E1239">IFNA(_xlfn.XLOOKUP(B1239,Table_Respons_Loket[Count],Table_Respons_Loket[Time Stamp]),"")</f>
        <v>45611.44059</v>
      </c>
      <c r="F1239" s="18" t="str">
        <f t="array" ref="F1239">IFNA(_xlfn.XLOOKUP(B1239,Table_Respons_Loket[Count],Table_Respons_Loket[Jenis Permohonan]),"")</f>
        <v>KEWARISAN</v>
      </c>
      <c r="G1239" s="24"/>
      <c r="H1239" s="24"/>
      <c r="I1239" s="22" t="str">
        <f t="shared" si="7"/>
        <v/>
      </c>
      <c r="J1239" s="20" t="b">
        <v>0</v>
      </c>
      <c r="K1239" s="13" t="str">
        <f t="shared" si="8"/>
        <v/>
      </c>
    </row>
    <row r="1240" ht="22.5" customHeight="1">
      <c r="B1240" s="13">
        <f t="shared" si="3"/>
        <v>1234</v>
      </c>
      <c r="C1240" s="15" t="str">
        <f t="array" ref="C1240">IFNA(_xlfn.XLOOKUP(B1240,Table_Respons_Loket[Count],Table_Respons_Loket[Nomor Tiket]),"")</f>
        <v>K/21/151124/2</v>
      </c>
      <c r="D1240" s="15" t="str">
        <f t="array" ref="D1240">IFNA(_xlfn.XLOOKUP(B1240,Table_Respons_Loket[Count],Table_Respons_Loket[Daftar Nomor Hak]),"")</f>
        <v>B.535/BAKUNG</v>
      </c>
      <c r="E1240" s="17">
        <f t="array" ref="E1240">IFNA(_xlfn.XLOOKUP(B1240,Table_Respons_Loket[Count],Table_Respons_Loket[Time Stamp]),"")</f>
        <v>45611.44132</v>
      </c>
      <c r="F1240" s="18" t="str">
        <f t="array" ref="F1240">IFNA(_xlfn.XLOOKUP(B1240,Table_Respons_Loket[Count],Table_Respons_Loket[Jenis Permohonan]),"")</f>
        <v>ROYA LELANG</v>
      </c>
      <c r="G1240" s="24"/>
      <c r="H1240" s="24"/>
      <c r="I1240" s="22" t="str">
        <f t="shared" si="7"/>
        <v/>
      </c>
      <c r="J1240" s="20" t="b">
        <v>0</v>
      </c>
      <c r="K1240" s="13" t="str">
        <f t="shared" si="8"/>
        <v/>
      </c>
    </row>
    <row r="1241" ht="22.5" customHeight="1">
      <c r="B1241" s="13">
        <f t="shared" si="3"/>
        <v>1235</v>
      </c>
      <c r="C1241" s="15" t="str">
        <f t="array" ref="C1241">IFNA(_xlfn.XLOOKUP(B1241,Table_Respons_Loket[Count],Table_Respons_Loket[Nomor Tiket]),"")</f>
        <v>K/22/151124/3</v>
      </c>
      <c r="D1241" s="15" t="str">
        <f t="array" ref="D1241">IFNA(_xlfn.XLOOKUP(B1241,Table_Respons_Loket[Count],Table_Respons_Loket[Daftar Nomor Hak]),"")</f>
        <v>M.2500/SUMBEREJO/KEMILING</v>
      </c>
      <c r="E1241" s="17">
        <f t="array" ref="E1241">IFNA(_xlfn.XLOOKUP(B1241,Table_Respons_Loket[Count],Table_Respons_Loket[Time Stamp]),"")</f>
        <v>45611.44216</v>
      </c>
      <c r="F1241" s="18" t="str">
        <f t="array" ref="F1241">IFNA(_xlfn.XLOOKUP(B1241,Table_Respons_Loket[Count],Table_Respons_Loket[Jenis Permohonan]),"")</f>
        <v>GANDES</v>
      </c>
      <c r="G1241" s="24"/>
      <c r="H1241" s="24"/>
      <c r="I1241" s="22" t="str">
        <f t="shared" si="7"/>
        <v/>
      </c>
      <c r="J1241" s="20" t="b">
        <v>0</v>
      </c>
      <c r="K1241" s="13" t="str">
        <f t="shared" si="8"/>
        <v/>
      </c>
    </row>
    <row r="1242" ht="22.5" customHeight="1">
      <c r="B1242" s="13">
        <f t="shared" si="3"/>
        <v>1236</v>
      </c>
      <c r="C1242" s="15" t="str">
        <f t="array" ref="C1242">IFNA(_xlfn.XLOOKUP(B1242,Table_Respons_Loket[Count],Table_Respons_Loket[Nomor Tiket]),"")</f>
        <v>K/23/151124/2</v>
      </c>
      <c r="D1242" s="15" t="str">
        <f t="array" ref="D1242">IFNA(_xlfn.XLOOKUP(B1242,Table_Respons_Loket[Count],Table_Respons_Loket[Daftar Nomor Hak]),"")</f>
        <v>M. 2483/ Pinang Jaya</v>
      </c>
      <c r="E1242" s="17">
        <f t="array" ref="E1242">IFNA(_xlfn.XLOOKUP(B1242,Table_Respons_Loket[Count],Table_Respons_Loket[Time Stamp]),"")</f>
        <v>45611.44546</v>
      </c>
      <c r="F1242" s="18" t="str">
        <f t="array" ref="F1242">IFNA(_xlfn.XLOOKUP(B1242,Table_Respons_Loket[Count],Table_Respons_Loket[Jenis Permohonan]),"")</f>
        <v>BN JUAL BELI</v>
      </c>
      <c r="G1242" s="24"/>
      <c r="H1242" s="24"/>
      <c r="I1242" s="22" t="str">
        <f t="shared" si="7"/>
        <v/>
      </c>
      <c r="J1242" s="20" t="b">
        <v>0</v>
      </c>
      <c r="K1242" s="13" t="str">
        <f t="shared" si="8"/>
        <v/>
      </c>
    </row>
    <row r="1243" ht="22.5" customHeight="1">
      <c r="B1243" s="13">
        <f t="shared" si="3"/>
        <v>1237</v>
      </c>
      <c r="C1243" s="15" t="str">
        <f t="array" ref="C1243">IFNA(_xlfn.XLOOKUP(B1243,Table_Respons_Loket[Count],Table_Respons_Loket[Nomor Tiket]),"")</f>
        <v>L/25/151124/1</v>
      </c>
      <c r="D1243" s="15" t="str">
        <f t="array" ref="D1243">IFNA(_xlfn.XLOOKUP(B1243,Table_Respons_Loket[Count],Table_Respons_Loket[Daftar Nomor Hak]),"")</f>
        <v>HGB 560/WAY KANDIS</v>
      </c>
      <c r="E1243" s="17">
        <f t="array" ref="E1243">IFNA(_xlfn.XLOOKUP(B1243,Table_Respons_Loket[Count],Table_Respons_Loket[Time Stamp]),"")</f>
        <v>45611.44824</v>
      </c>
      <c r="F1243" s="18" t="str">
        <f t="array" ref="F1243">IFNA(_xlfn.XLOOKUP(B1243,Table_Respons_Loket[Count],Table_Respons_Loket[Jenis Permohonan]),"")</f>
        <v>GANDES</v>
      </c>
      <c r="G1243" s="24"/>
      <c r="H1243" s="24"/>
      <c r="I1243" s="22" t="str">
        <f t="shared" si="7"/>
        <v/>
      </c>
      <c r="J1243" s="20" t="b">
        <v>0</v>
      </c>
      <c r="K1243" s="13" t="str">
        <f t="shared" si="8"/>
        <v/>
      </c>
    </row>
    <row r="1244" ht="22.5" customHeight="1">
      <c r="B1244" s="13">
        <f t="shared" si="3"/>
        <v>1238</v>
      </c>
      <c r="C1244" s="15" t="str">
        <f t="array" ref="C1244">IFNA(_xlfn.XLOOKUP(B1244,Table_Respons_Loket[Count],Table_Respons_Loket[Nomor Tiket]),"")</f>
        <v>K/26/151124/1</v>
      </c>
      <c r="D1244" s="15" t="str">
        <f t="array" ref="D1244">IFNA(_xlfn.XLOOKUP(B1244,Table_Respons_Loket[Count],Table_Respons_Loket[Daftar Nomor Hak]),"")</f>
        <v>M. 2553/ Pinang Jaya</v>
      </c>
      <c r="E1244" s="17">
        <f t="array" ref="E1244">IFNA(_xlfn.XLOOKUP(B1244,Table_Respons_Loket[Count],Table_Respons_Loket[Time Stamp]),"")</f>
        <v>45611.45372</v>
      </c>
      <c r="F1244" s="18" t="str">
        <f t="array" ref="F1244">IFNA(_xlfn.XLOOKUP(B1244,Table_Respons_Loket[Count],Table_Respons_Loket[Jenis Permohonan]),"")</f>
        <v>BN JUAL BELI</v>
      </c>
      <c r="G1244" s="24"/>
      <c r="H1244" s="24"/>
      <c r="I1244" s="22" t="str">
        <f t="shared" si="7"/>
        <v/>
      </c>
      <c r="J1244" s="20" t="b">
        <v>0</v>
      </c>
      <c r="K1244" s="13" t="str">
        <f t="shared" si="8"/>
        <v/>
      </c>
    </row>
    <row r="1245" ht="22.5" customHeight="1">
      <c r="B1245" s="13">
        <f t="shared" si="3"/>
        <v>1239</v>
      </c>
      <c r="C1245" s="15" t="str">
        <f t="array" ref="C1245">IFNA(_xlfn.XLOOKUP(B1245,Table_Respons_Loket[Count],Table_Respons_Loket[Nomor Tiket]),"")</f>
        <v>L/27/151124/1</v>
      </c>
      <c r="D1245" s="15" t="str">
        <f t="array" ref="D1245">IFNA(_xlfn.XLOOKUP(B1245,Table_Respons_Loket[Count],Table_Respons_Loket[Daftar Nomor Hak]),"")</f>
        <v>HGB 569/WAY KANDIS</v>
      </c>
      <c r="E1245" s="17">
        <f t="array" ref="E1245">IFNA(_xlfn.XLOOKUP(B1245,Table_Respons_Loket[Count],Table_Respons_Loket[Time Stamp]),"")</f>
        <v>45611.46321</v>
      </c>
      <c r="F1245" s="18" t="str">
        <f t="array" ref="F1245">IFNA(_xlfn.XLOOKUP(B1245,Table_Respons_Loket[Count],Table_Respons_Loket[Jenis Permohonan]),"")</f>
        <v>GANDES</v>
      </c>
      <c r="G1245" s="24"/>
      <c r="H1245" s="24"/>
      <c r="I1245" s="22" t="str">
        <f t="shared" si="7"/>
        <v/>
      </c>
      <c r="J1245" s="20" t="b">
        <v>0</v>
      </c>
      <c r="K1245" s="13" t="str">
        <f t="shared" si="8"/>
        <v/>
      </c>
    </row>
    <row r="1246" ht="22.5" customHeight="1">
      <c r="B1246" s="13">
        <f t="shared" si="3"/>
        <v>1240</v>
      </c>
      <c r="C1246" s="15" t="str">
        <f t="array" ref="C1246">IFNA(_xlfn.XLOOKUP(B1246,Table_Respons_Loket[Count],Table_Respons_Loket[Nomor Tiket]),"")</f>
        <v>K/28/151124/1</v>
      </c>
      <c r="D1246" s="15" t="str">
        <f t="array" ref="D1246">IFNA(_xlfn.XLOOKUP(B1246,Table_Respons_Loket[Count],Table_Respons_Loket[Daftar Nomor Hak]),"")</f>
        <v>B.1746/SUKARAME I</v>
      </c>
      <c r="E1246" s="17">
        <f t="array" ref="E1246">IFNA(_xlfn.XLOOKUP(B1246,Table_Respons_Loket[Count],Table_Respons_Loket[Time Stamp]),"")</f>
        <v>45611.4655</v>
      </c>
      <c r="F1246" s="18" t="str">
        <f t="array" ref="F1246">IFNA(_xlfn.XLOOKUP(B1246,Table_Respons_Loket[Count],Table_Respons_Loket[Jenis Permohonan]),"")</f>
        <v>PLOTING</v>
      </c>
      <c r="G1246" s="24"/>
      <c r="H1246" s="24"/>
      <c r="I1246" s="22" t="str">
        <f t="shared" si="7"/>
        <v/>
      </c>
      <c r="J1246" s="20" t="b">
        <v>0</v>
      </c>
      <c r="K1246" s="13" t="str">
        <f t="shared" si="8"/>
        <v/>
      </c>
    </row>
    <row r="1247" ht="22.5" customHeight="1">
      <c r="B1247" s="13">
        <f t="shared" si="3"/>
        <v>1241</v>
      </c>
      <c r="C1247" s="15" t="str">
        <f t="array" ref="C1247">IFNA(_xlfn.XLOOKUP(B1247,Table_Respons_Loket[Count],Table_Respons_Loket[Nomor Tiket]),"")</f>
        <v>K/24/151124/1</v>
      </c>
      <c r="D1247" s="15" t="str">
        <f t="array" ref="D1247">IFNA(_xlfn.XLOOKUP(B1247,Table_Respons_Loket[Count],Table_Respons_Loket[Daftar Nomor Hak]),"")</f>
        <v>M. 1717/SUMBERREJO SEJAHTERA</v>
      </c>
      <c r="E1247" s="17">
        <f t="array" ref="E1247">IFNA(_xlfn.XLOOKUP(B1247,Table_Respons_Loket[Count],Table_Respons_Loket[Time Stamp]),"")</f>
        <v>45611.46577</v>
      </c>
      <c r="F1247" s="18" t="str">
        <f t="array" ref="F1247">IFNA(_xlfn.XLOOKUP(B1247,Table_Respons_Loket[Count],Table_Respons_Loket[Jenis Permohonan]),"")</f>
        <v>BN JUAL BELI</v>
      </c>
      <c r="G1247" s="24"/>
      <c r="H1247" s="24"/>
      <c r="I1247" s="22" t="str">
        <f t="shared" si="7"/>
        <v/>
      </c>
      <c r="J1247" s="20" t="b">
        <v>0</v>
      </c>
      <c r="K1247" s="13" t="str">
        <f t="shared" si="8"/>
        <v/>
      </c>
    </row>
    <row r="1248" ht="22.5" customHeight="1">
      <c r="B1248" s="13">
        <f t="shared" si="3"/>
        <v>1242</v>
      </c>
      <c r="C1248" s="15" t="str">
        <f t="array" ref="C1248">IFNA(_xlfn.XLOOKUP(B1248,Table_Respons_Loket[Count],Table_Respons_Loket[Nomor Tiket]),"")</f>
        <v>K/29/151124/1</v>
      </c>
      <c r="D1248" s="15" t="str">
        <f t="array" ref="D1248">IFNA(_xlfn.XLOOKUP(B1248,Table_Respons_Loket[Count],Table_Respons_Loket[Daftar Nomor Hak]),"")</f>
        <v>M. 168/ Tanjung Senang</v>
      </c>
      <c r="E1248" s="17">
        <f t="array" ref="E1248">IFNA(_xlfn.XLOOKUP(B1248,Table_Respons_Loket[Count],Table_Respons_Loket[Time Stamp]),"")</f>
        <v>45611.47474</v>
      </c>
      <c r="F1248" s="18" t="str">
        <f t="array" ref="F1248">IFNA(_xlfn.XLOOKUP(B1248,Table_Respons_Loket[Count],Table_Respons_Loket[Jenis Permohonan]),"")</f>
        <v>Gandes</v>
      </c>
      <c r="G1248" s="24"/>
      <c r="H1248" s="24"/>
      <c r="I1248" s="22" t="str">
        <f t="shared" si="7"/>
        <v/>
      </c>
      <c r="J1248" s="20" t="b">
        <v>0</v>
      </c>
      <c r="K1248" s="13" t="str">
        <f t="shared" si="8"/>
        <v/>
      </c>
    </row>
    <row r="1249" ht="22.5" customHeight="1">
      <c r="B1249" s="13">
        <f t="shared" si="3"/>
        <v>1243</v>
      </c>
      <c r="C1249" s="15" t="str">
        <f t="array" ref="C1249">IFNA(_xlfn.XLOOKUP(B1249,Table_Respons_Loket[Count],Table_Respons_Loket[Nomor Tiket]),"")</f>
        <v>K/29/151124/1</v>
      </c>
      <c r="D1249" s="15" t="str">
        <f t="array" ref="D1249">IFNA(_xlfn.XLOOKUP(B1249,Table_Respons_Loket[Count],Table_Respons_Loket[Daftar Nomor Hak]),"")</f>
        <v>M. 9311/ TANJUNG BARU</v>
      </c>
      <c r="E1249" s="17">
        <f t="array" ref="E1249">IFNA(_xlfn.XLOOKUP(B1249,Table_Respons_Loket[Count],Table_Respons_Loket[Time Stamp]),"")</f>
        <v>45611.48071</v>
      </c>
      <c r="F1249" s="18" t="str">
        <f t="array" ref="F1249">IFNA(_xlfn.XLOOKUP(B1249,Table_Respons_Loket[Count],Table_Respons_Loket[Jenis Permohonan]),"")</f>
        <v>GANTI KECAMATAN</v>
      </c>
      <c r="G1249" s="24"/>
      <c r="H1249" s="24"/>
      <c r="I1249" s="22" t="str">
        <f t="shared" si="7"/>
        <v/>
      </c>
      <c r="J1249" s="20" t="b">
        <v>0</v>
      </c>
      <c r="K1249" s="13" t="str">
        <f t="shared" si="8"/>
        <v/>
      </c>
    </row>
    <row r="1250" ht="22.5" customHeight="1">
      <c r="B1250" s="13">
        <f t="shared" si="3"/>
        <v>1244</v>
      </c>
      <c r="C1250" s="15" t="str">
        <f t="array" ref="C1250">IFNA(_xlfn.XLOOKUP(B1250,Table_Respons_Loket[Count],Table_Respons_Loket[Nomor Tiket]),"")</f>
        <v>K/31/151124/1</v>
      </c>
      <c r="D1250" s="15" t="str">
        <f t="array" ref="D1250">IFNA(_xlfn.XLOOKUP(B1250,Table_Respons_Loket[Count],Table_Respons_Loket[Daftar Nomor Hak]),"")</f>
        <v>M. 1250/ Kaliawi</v>
      </c>
      <c r="E1250" s="17">
        <f t="array" ref="E1250">IFNA(_xlfn.XLOOKUP(B1250,Table_Respons_Loket[Count],Table_Respons_Loket[Time Stamp]),"")</f>
        <v>45611.54242</v>
      </c>
      <c r="F1250" s="18" t="str">
        <f t="array" ref="F1250">IFNA(_xlfn.XLOOKUP(B1250,Table_Respons_Loket[Count],Table_Respons_Loket[Jenis Permohonan]),"")</f>
        <v>BN Waris</v>
      </c>
      <c r="G1250" s="24"/>
      <c r="H1250" s="24"/>
      <c r="I1250" s="22" t="str">
        <f t="shared" si="7"/>
        <v/>
      </c>
      <c r="J1250" s="20" t="b">
        <v>0</v>
      </c>
      <c r="K1250" s="13" t="str">
        <f t="shared" si="8"/>
        <v/>
      </c>
    </row>
    <row r="1251" ht="22.5" customHeight="1">
      <c r="B1251" s="13">
        <f t="shared" si="3"/>
        <v>1245</v>
      </c>
      <c r="C1251" s="15" t="str">
        <f t="array" ref="C1251">IFNA(_xlfn.XLOOKUP(B1251,Table_Respons_Loket[Count],Table_Respons_Loket[Nomor Tiket]),"")</f>
        <v>K/32/151124/1</v>
      </c>
      <c r="D1251" s="15" t="str">
        <f t="array" ref="D1251">IFNA(_xlfn.XLOOKUP(B1251,Table_Respons_Loket[Count],Table_Respons_Loket[Daftar Nomor Hak]),"")</f>
        <v>Nibel. M. 992/ Way Kandis</v>
      </c>
      <c r="E1251" s="17">
        <f t="array" ref="E1251">IFNA(_xlfn.XLOOKUP(B1251,Table_Respons_Loket[Count],Table_Respons_Loket[Time Stamp]),"")</f>
        <v>45611.54332</v>
      </c>
      <c r="F1251" s="18" t="str">
        <f t="array" ref="F1251">IFNA(_xlfn.XLOOKUP(B1251,Table_Respons_Loket[Count],Table_Respons_Loket[Jenis Permohonan]),"")</f>
        <v>BN Jual Beli</v>
      </c>
      <c r="G1251" s="24"/>
      <c r="H1251" s="24"/>
      <c r="I1251" s="22" t="str">
        <f t="shared" si="7"/>
        <v/>
      </c>
      <c r="J1251" s="20" t="b">
        <v>0</v>
      </c>
      <c r="K1251" s="13" t="str">
        <f t="shared" si="8"/>
        <v/>
      </c>
    </row>
    <row r="1252" ht="22.5" customHeight="1">
      <c r="B1252" s="13">
        <f t="shared" si="3"/>
        <v>1246</v>
      </c>
      <c r="C1252" s="15" t="str">
        <f t="array" ref="C1252">IFNA(_xlfn.XLOOKUP(B1252,Table_Respons_Loket[Count],Table_Respons_Loket[Nomor Tiket]),"")</f>
        <v>K/33/151124/2</v>
      </c>
      <c r="D1252" s="15" t="str">
        <f t="array" ref="D1252">IFNA(_xlfn.XLOOKUP(B1252,Table_Respons_Loket[Count],Table_Respons_Loket[Daftar Nomor Hak]),"")</f>
        <v>M. 2669/ Sumberrejo</v>
      </c>
      <c r="E1252" s="17">
        <f t="array" ref="E1252">IFNA(_xlfn.XLOOKUP(B1252,Table_Respons_Loket[Count],Table_Respons_Loket[Time Stamp]),"")</f>
        <v>45611.54401</v>
      </c>
      <c r="F1252" s="18" t="str">
        <f t="array" ref="F1252">IFNA(_xlfn.XLOOKUP(B1252,Table_Respons_Loket[Count],Table_Respons_Loket[Jenis Permohonan]),"")</f>
        <v>BN Jual Beli</v>
      </c>
      <c r="G1252" s="24"/>
      <c r="H1252" s="24"/>
      <c r="I1252" s="22" t="str">
        <f t="shared" si="7"/>
        <v/>
      </c>
      <c r="J1252" s="20" t="b">
        <v>0</v>
      </c>
      <c r="K1252" s="13" t="str">
        <f t="shared" si="8"/>
        <v/>
      </c>
    </row>
    <row r="1253" ht="22.5" customHeight="1">
      <c r="B1253" s="13">
        <f t="shared" si="3"/>
        <v>1247</v>
      </c>
      <c r="C1253" s="15" t="str">
        <f t="array" ref="C1253">IFNA(_xlfn.XLOOKUP(B1253,Table_Respons_Loket[Count],Table_Respons_Loket[Nomor Tiket]),"")</f>
        <v>L/34/151124/1</v>
      </c>
      <c r="D1253" s="15" t="str">
        <f t="array" ref="D1253">IFNA(_xlfn.XLOOKUP(B1253,Table_Respons_Loket[Count],Table_Respons_Loket[Daftar Nomor Hak]),"")</f>
        <v>NIB 2708/NUSANTARA PERMAI</v>
      </c>
      <c r="E1253" s="17">
        <f t="array" ref="E1253">IFNA(_xlfn.XLOOKUP(B1253,Table_Respons_Loket[Count],Table_Respons_Loket[Time Stamp]),"")</f>
        <v>45611.54783</v>
      </c>
      <c r="F1253" s="18" t="str">
        <f t="array" ref="F1253">IFNA(_xlfn.XLOOKUP(B1253,Table_Respons_Loket[Count],Table_Respons_Loket[Jenis Permohonan]),"")</f>
        <v>BN LELANG</v>
      </c>
      <c r="G1253" s="24"/>
      <c r="H1253" s="24"/>
      <c r="I1253" s="22" t="str">
        <f t="shared" si="7"/>
        <v/>
      </c>
      <c r="J1253" s="20" t="b">
        <v>0</v>
      </c>
      <c r="K1253" s="13" t="str">
        <f t="shared" si="8"/>
        <v/>
      </c>
    </row>
    <row r="1254" ht="22.5" customHeight="1">
      <c r="B1254" s="13">
        <f t="shared" si="3"/>
        <v>1248</v>
      </c>
      <c r="C1254" s="15" t="str">
        <f t="array" ref="C1254">IFNA(_xlfn.XLOOKUP(B1254,Table_Respons_Loket[Count],Table_Respons_Loket[Nomor Tiket]),"")</f>
        <v>K/35/151124/1</v>
      </c>
      <c r="D1254" s="15" t="str">
        <f t="array" ref="D1254">IFNA(_xlfn.XLOOKUP(B1254,Table_Respons_Loket[Count],Table_Respons_Loket[Daftar Nomor Hak]),"")</f>
        <v>M. 101/ P W K</v>
      </c>
      <c r="E1254" s="17">
        <f t="array" ref="E1254">IFNA(_xlfn.XLOOKUP(B1254,Table_Respons_Loket[Count],Table_Respons_Loket[Time Stamp]),"")</f>
        <v>45611.55792</v>
      </c>
      <c r="F1254" s="18" t="str">
        <f t="array" ref="F1254">IFNA(_xlfn.XLOOKUP(B1254,Table_Respons_Loket[Count],Table_Respons_Loket[Jenis Permohonan]),"")</f>
        <v>Pemecahan</v>
      </c>
      <c r="G1254" s="24"/>
      <c r="H1254" s="24"/>
      <c r="I1254" s="22" t="str">
        <f t="shared" si="7"/>
        <v/>
      </c>
      <c r="J1254" s="20" t="b">
        <v>0</v>
      </c>
      <c r="K1254" s="13" t="str">
        <f t="shared" si="8"/>
        <v/>
      </c>
    </row>
    <row r="1255" ht="22.5" customHeight="1">
      <c r="B1255" s="13">
        <f t="shared" si="3"/>
        <v>1249</v>
      </c>
      <c r="C1255" s="15" t="str">
        <f t="array" ref="C1255">IFNA(_xlfn.XLOOKUP(B1255,Table_Respons_Loket[Count],Table_Respons_Loket[Nomor Tiket]),"")</f>
        <v>L/36/151124/1</v>
      </c>
      <c r="D1255" s="15" t="str">
        <f t="array" ref="D1255">IFNA(_xlfn.XLOOKUP(B1255,Table_Respons_Loket[Count],Table_Respons_Loket[Daftar Nomor Hak]),"")</f>
        <v>HGB 1204/SUKABUMI INDAH</v>
      </c>
      <c r="E1255" s="17">
        <f t="array" ref="E1255">IFNA(_xlfn.XLOOKUP(B1255,Table_Respons_Loket[Count],Table_Respons_Loket[Time Stamp]),"")</f>
        <v>45611.55898</v>
      </c>
      <c r="F1255" s="18" t="str">
        <f t="array" ref="F1255">IFNA(_xlfn.XLOOKUP(B1255,Table_Respons_Loket[Count],Table_Respons_Loket[Jenis Permohonan]),"")</f>
        <v>PERUBAHAN HAK</v>
      </c>
      <c r="G1255" s="24"/>
      <c r="H1255" s="24"/>
      <c r="I1255" s="22" t="str">
        <f t="shared" si="7"/>
        <v/>
      </c>
      <c r="J1255" s="20" t="b">
        <v>0</v>
      </c>
      <c r="K1255" s="13" t="str">
        <f t="shared" si="8"/>
        <v/>
      </c>
    </row>
    <row r="1256" ht="22.5" customHeight="1">
      <c r="B1256" s="13">
        <f t="shared" si="3"/>
        <v>1250</v>
      </c>
      <c r="C1256" s="15" t="str">
        <f t="array" ref="C1256">IFNA(_xlfn.XLOOKUP(B1256,Table_Respons_Loket[Count],Table_Respons_Loket[Nomor Tiket]),"")</f>
        <v>L/38/151124/1</v>
      </c>
      <c r="D1256" s="15" t="str">
        <f t="array" ref="D1256">IFNA(_xlfn.XLOOKUP(B1256,Table_Respons_Loket[Count],Table_Respons_Loket[Daftar Nomor Hak]),"")</f>
        <v>HM 2221/SUKABUMI</v>
      </c>
      <c r="E1256" s="17">
        <f t="array" ref="E1256">IFNA(_xlfn.XLOOKUP(B1256,Table_Respons_Loket[Count],Table_Respons_Loket[Time Stamp]),"")</f>
        <v>45611.57124</v>
      </c>
      <c r="F1256" s="18" t="str">
        <f t="array" ref="F1256">IFNA(_xlfn.XLOOKUP(B1256,Table_Respons_Loket[Count],Table_Respons_Loket[Jenis Permohonan]),"")</f>
        <v>GANDES</v>
      </c>
      <c r="G1256" s="24"/>
      <c r="H1256" s="24"/>
      <c r="I1256" s="22" t="str">
        <f t="shared" si="7"/>
        <v/>
      </c>
      <c r="J1256" s="20" t="b">
        <v>0</v>
      </c>
      <c r="K1256" s="13" t="str">
        <f t="shared" si="8"/>
        <v/>
      </c>
    </row>
    <row r="1257" ht="22.5" customHeight="1">
      <c r="B1257" s="13">
        <f t="shared" si="3"/>
        <v>1251</v>
      </c>
      <c r="C1257" s="15" t="str">
        <f t="array" ref="C1257">IFNA(_xlfn.XLOOKUP(B1257,Table_Respons_Loket[Count],Table_Respons_Loket[Nomor Tiket]),"")</f>
        <v>K/37/151124/1</v>
      </c>
      <c r="D1257" s="15" t="str">
        <f t="array" ref="D1257">IFNA(_xlfn.XLOOKUP(B1257,Table_Respons_Loket[Count],Table_Respons_Loket[Daftar Nomor Hak]),"")</f>
        <v>PBT 47/2024 Sukarame</v>
      </c>
      <c r="E1257" s="17">
        <f t="array" ref="E1257">IFNA(_xlfn.XLOOKUP(B1257,Table_Respons_Loket[Count],Table_Respons_Loket[Time Stamp]),"")</f>
        <v>45611.57197</v>
      </c>
      <c r="F1257" s="18" t="str">
        <f t="array" ref="F1257">IFNA(_xlfn.XLOOKUP(B1257,Table_Respons_Loket[Count],Table_Respons_Loket[Jenis Permohonan]),"")</f>
        <v>PTPGT Pertama Kali</v>
      </c>
      <c r="G1257" s="24"/>
      <c r="H1257" s="24"/>
      <c r="I1257" s="22" t="str">
        <f t="shared" si="7"/>
        <v/>
      </c>
      <c r="J1257" s="20" t="b">
        <v>0</v>
      </c>
      <c r="K1257" s="13" t="str">
        <f t="shared" si="8"/>
        <v/>
      </c>
    </row>
    <row r="1258" ht="22.5" customHeight="1">
      <c r="B1258" s="13">
        <f t="shared" si="3"/>
        <v>1252</v>
      </c>
      <c r="C1258" s="15" t="str">
        <f t="array" ref="C1258">IFNA(_xlfn.XLOOKUP(B1258,Table_Respons_Loket[Count],Table_Respons_Loket[Nomor Tiket]),"")</f>
        <v>L/39/151124/1</v>
      </c>
      <c r="D1258" s="15" t="str">
        <f t="array" ref="D1258">IFNA(_xlfn.XLOOKUP(B1258,Table_Respons_Loket[Count],Table_Respons_Loket[Daftar Nomor Hak]),"")</f>
        <v>HGB 172/LABUHAN DALAM</v>
      </c>
      <c r="E1258" s="17">
        <f t="array" ref="E1258">IFNA(_xlfn.XLOOKUP(B1258,Table_Respons_Loket[Count],Table_Respons_Loket[Time Stamp]),"")</f>
        <v>45611.58511</v>
      </c>
      <c r="F1258" s="18" t="str">
        <f t="array" ref="F1258">IFNA(_xlfn.XLOOKUP(B1258,Table_Respons_Loket[Count],Table_Respons_Loket[Jenis Permohonan]),"")</f>
        <v>ROYA</v>
      </c>
      <c r="G1258" s="24"/>
      <c r="H1258" s="24"/>
      <c r="I1258" s="22" t="str">
        <f t="shared" si="7"/>
        <v/>
      </c>
      <c r="J1258" s="20" t="b">
        <v>0</v>
      </c>
      <c r="K1258" s="13" t="str">
        <f t="shared" si="8"/>
        <v/>
      </c>
    </row>
    <row r="1259" ht="22.5" customHeight="1">
      <c r="B1259" s="13">
        <f t="shared" si="3"/>
        <v>1253</v>
      </c>
      <c r="C1259" s="15" t="str">
        <f t="array" ref="C1259">IFNA(_xlfn.XLOOKUP(B1259,Table_Respons_Loket[Count],Table_Respons_Loket[Nomor Tiket]),"")</f>
        <v>K/40/151124/1</v>
      </c>
      <c r="D1259" s="15" t="str">
        <f t="array" ref="D1259">IFNA(_xlfn.XLOOKUP(B1259,Table_Respons_Loket[Count],Table_Respons_Loket[Daftar Nomor Hak]),"")</f>
        <v>M.1375/KALI BALAU KENCANA</v>
      </c>
      <c r="E1259" s="17">
        <f t="array" ref="E1259">IFNA(_xlfn.XLOOKUP(B1259,Table_Respons_Loket[Count],Table_Respons_Loket[Time Stamp]),"")</f>
        <v>45611.58691</v>
      </c>
      <c r="F1259" s="18" t="str">
        <f t="array" ref="F1259">IFNA(_xlfn.XLOOKUP(B1259,Table_Respons_Loket[Count],Table_Respons_Loket[Jenis Permohonan]),"")</f>
        <v>BN JUAL BELI</v>
      </c>
      <c r="G1259" s="24"/>
      <c r="H1259" s="24"/>
      <c r="I1259" s="22" t="str">
        <f t="shared" si="7"/>
        <v/>
      </c>
      <c r="J1259" s="20" t="b">
        <v>0</v>
      </c>
      <c r="K1259" s="13" t="str">
        <f t="shared" si="8"/>
        <v/>
      </c>
    </row>
    <row r="1260" ht="22.5" customHeight="1">
      <c r="B1260" s="13">
        <f t="shared" si="3"/>
        <v>1254</v>
      </c>
      <c r="C1260" s="15" t="str">
        <f t="array" ref="C1260">IFNA(_xlfn.XLOOKUP(B1260,Table_Respons_Loket[Count],Table_Respons_Loket[Nomor Tiket]),"")</f>
        <v>K/41/151124/2</v>
      </c>
      <c r="D1260" s="15" t="str">
        <f t="array" ref="D1260">IFNA(_xlfn.XLOOKUP(B1260,Table_Respons_Loket[Count],Table_Respons_Loket[Daftar Nomor Hak]),"")</f>
        <v>M.2721/SUMBER REJO</v>
      </c>
      <c r="E1260" s="17">
        <f t="array" ref="E1260">IFNA(_xlfn.XLOOKUP(B1260,Table_Respons_Loket[Count],Table_Respons_Loket[Time Stamp]),"")</f>
        <v>45611.58761</v>
      </c>
      <c r="F1260" s="18" t="str">
        <f t="array" ref="F1260">IFNA(_xlfn.XLOOKUP(B1260,Table_Respons_Loket[Count],Table_Respons_Loket[Jenis Permohonan]),"")</f>
        <v>BN JUAL BELI</v>
      </c>
      <c r="G1260" s="24"/>
      <c r="H1260" s="24"/>
      <c r="I1260" s="22" t="str">
        <f t="shared" si="7"/>
        <v/>
      </c>
      <c r="J1260" s="20" t="b">
        <v>0</v>
      </c>
      <c r="K1260" s="13" t="str">
        <f t="shared" si="8"/>
        <v/>
      </c>
    </row>
    <row r="1261" ht="22.5" customHeight="1">
      <c r="B1261" s="13">
        <f t="shared" si="3"/>
        <v>1255</v>
      </c>
      <c r="C1261" s="15" t="str">
        <f t="array" ref="C1261">IFNA(_xlfn.XLOOKUP(B1261,Table_Respons_Loket[Count],Table_Respons_Loket[Nomor Tiket]),"")</f>
        <v>K/42/151124/1</v>
      </c>
      <c r="D1261" s="15" t="str">
        <f t="array" ref="D1261">IFNA(_xlfn.XLOOKUP(B1261,Table_Respons_Loket[Count],Table_Respons_Loket[Daftar Nomor Hak]),"")</f>
        <v>M.42/KORPRI RAYA-SEKARANG;M.9925/SUKARAME I-DAHULU</v>
      </c>
      <c r="E1261" s="17">
        <f t="array" ref="E1261">IFNA(_xlfn.XLOOKUP(B1261,Table_Respons_Loket[Count],Table_Respons_Loket[Time Stamp]),"")</f>
        <v>45611.58947</v>
      </c>
      <c r="F1261" s="18" t="str">
        <f t="array" ref="F1261">IFNA(_xlfn.XLOOKUP(B1261,Table_Respons_Loket[Count],Table_Respons_Loket[Jenis Permohonan]),"")</f>
        <v>KEWARISAN</v>
      </c>
      <c r="G1261" s="24"/>
      <c r="H1261" s="24"/>
      <c r="I1261" s="22" t="str">
        <f t="shared" si="7"/>
        <v/>
      </c>
      <c r="J1261" s="20" t="b">
        <v>0</v>
      </c>
      <c r="K1261" s="13" t="str">
        <f t="shared" si="8"/>
        <v/>
      </c>
    </row>
    <row r="1262" ht="22.5" customHeight="1">
      <c r="B1262" s="13">
        <f t="shared" si="3"/>
        <v>1256</v>
      </c>
      <c r="C1262" s="15" t="str">
        <f t="array" ref="C1262">IFNA(_xlfn.XLOOKUP(B1262,Table_Respons_Loket[Count],Table_Respons_Loket[Nomor Tiket]),"")</f>
        <v>K/43/151124/1</v>
      </c>
      <c r="D1262" s="15" t="str">
        <f t="array" ref="D1262">IFNA(_xlfn.XLOOKUP(B1262,Table_Respons_Loket[Count],Table_Respons_Loket[Daftar Nomor Hak]),"")</f>
        <v>Nibel B. 2838/ Kampung Baru Raya</v>
      </c>
      <c r="E1262" s="17">
        <f t="array" ref="E1262">IFNA(_xlfn.XLOOKUP(B1262,Table_Respons_Loket[Count],Table_Respons_Loket[Time Stamp]),"")</f>
        <v>45611.59015</v>
      </c>
      <c r="F1262" s="18" t="str">
        <f t="array" ref="F1262">IFNA(_xlfn.XLOOKUP(B1262,Table_Respons_Loket[Count],Table_Respons_Loket[Jenis Permohonan]),"")</f>
        <v>Perubahan Hak</v>
      </c>
      <c r="G1262" s="24"/>
      <c r="H1262" s="24"/>
      <c r="I1262" s="22" t="str">
        <f t="shared" si="7"/>
        <v/>
      </c>
      <c r="J1262" s="20" t="b">
        <v>0</v>
      </c>
      <c r="K1262" s="13" t="str">
        <f t="shared" si="8"/>
        <v/>
      </c>
    </row>
    <row r="1263" ht="22.5" customHeight="1">
      <c r="B1263" s="13">
        <f t="shared" si="3"/>
        <v>1257</v>
      </c>
      <c r="C1263" s="15" t="str">
        <f t="array" ref="C1263">IFNA(_xlfn.XLOOKUP(B1263,Table_Respons_Loket[Count],Table_Respons_Loket[Nomor Tiket]),"")</f>
        <v>L/45/151124/1</v>
      </c>
      <c r="D1263" s="15" t="str">
        <f t="array" ref="D1263">IFNA(_xlfn.XLOOKUP(B1263,Table_Respons_Loket[Count],Table_Respons_Loket[Daftar Nomor Hak]),"")</f>
        <v>HGB 1677/SUKARAME</v>
      </c>
      <c r="E1263" s="17">
        <f t="array" ref="E1263">IFNA(_xlfn.XLOOKUP(B1263,Table_Respons_Loket[Count],Table_Respons_Loket[Time Stamp]),"")</f>
        <v>45611.59518</v>
      </c>
      <c r="F1263" s="18" t="str">
        <f t="array" ref="F1263">IFNA(_xlfn.XLOOKUP(B1263,Table_Respons_Loket[Count],Table_Respons_Loket[Jenis Permohonan]),"")</f>
        <v>B JUAL - BELI</v>
      </c>
      <c r="G1263" s="24"/>
      <c r="H1263" s="24"/>
      <c r="I1263" s="22" t="str">
        <f t="shared" si="7"/>
        <v/>
      </c>
      <c r="J1263" s="20" t="b">
        <v>0</v>
      </c>
      <c r="K1263" s="13" t="str">
        <f t="shared" si="8"/>
        <v/>
      </c>
    </row>
    <row r="1264" ht="22.5" customHeight="1">
      <c r="B1264" s="13">
        <f t="shared" si="3"/>
        <v>1258</v>
      </c>
      <c r="C1264" s="15" t="str">
        <f t="array" ref="C1264">IFNA(_xlfn.XLOOKUP(B1264,Table_Respons_Loket[Count],Table_Respons_Loket[Nomor Tiket]),"")</f>
        <v>K/44/151124/1</v>
      </c>
      <c r="D1264" s="15" t="str">
        <f t="array" ref="D1264">IFNA(_xlfn.XLOOKUP(B1264,Table_Respons_Loket[Count],Table_Respons_Loket[Daftar Nomor Hak]),"")</f>
        <v>M. 344/ Bakung</v>
      </c>
      <c r="E1264" s="17">
        <f t="array" ref="E1264">IFNA(_xlfn.XLOOKUP(B1264,Table_Respons_Loket[Count],Table_Respons_Loket[Time Stamp]),"")</f>
        <v>45611.59646</v>
      </c>
      <c r="F1264" s="18" t="str">
        <f t="array" ref="F1264">IFNA(_xlfn.XLOOKUP(B1264,Table_Respons_Loket[Count],Table_Respons_Loket[Jenis Permohonan]),"")</f>
        <v>Pemecahan</v>
      </c>
      <c r="G1264" s="24"/>
      <c r="H1264" s="24"/>
      <c r="I1264" s="22" t="str">
        <f t="shared" si="7"/>
        <v/>
      </c>
      <c r="J1264" s="20" t="b">
        <v>0</v>
      </c>
      <c r="K1264" s="13" t="str">
        <f t="shared" si="8"/>
        <v/>
      </c>
    </row>
    <row r="1265" ht="22.5" customHeight="1">
      <c r="B1265" s="13">
        <f t="shared" si="3"/>
        <v>1259</v>
      </c>
      <c r="C1265" s="15" t="str">
        <f t="array" ref="C1265">IFNA(_xlfn.XLOOKUP(B1265,Table_Respons_Loket[Count],Table_Respons_Loket[Nomor Tiket]),"")</f>
        <v>K/46/151124/1</v>
      </c>
      <c r="D1265" s="15" t="str">
        <f t="array" ref="D1265">IFNA(_xlfn.XLOOKUP(B1265,Table_Respons_Loket[Count],Table_Respons_Loket[Daftar Nomor Hak]),"")</f>
        <v>M.10069/SIDODADI</v>
      </c>
      <c r="E1265" s="17">
        <f t="array" ref="E1265">IFNA(_xlfn.XLOOKUP(B1265,Table_Respons_Loket[Count],Table_Respons_Loket[Time Stamp]),"")</f>
        <v>45611.5986</v>
      </c>
      <c r="F1265" s="18" t="str">
        <f t="array" ref="F1265">IFNA(_xlfn.XLOOKUP(B1265,Table_Respons_Loket[Count],Table_Respons_Loket[Jenis Permohonan]),"")</f>
        <v>PLOTING</v>
      </c>
      <c r="G1265" s="24"/>
      <c r="H1265" s="24"/>
      <c r="I1265" s="22" t="str">
        <f t="shared" si="7"/>
        <v/>
      </c>
      <c r="J1265" s="20" t="b">
        <v>0</v>
      </c>
      <c r="K1265" s="13" t="str">
        <f t="shared" si="8"/>
        <v/>
      </c>
    </row>
    <row r="1266" ht="22.5" customHeight="1">
      <c r="B1266" s="13">
        <f t="shared" si="3"/>
        <v>1260</v>
      </c>
      <c r="C1266" s="15" t="str">
        <f t="array" ref="C1266">IFNA(_xlfn.XLOOKUP(B1266,Table_Respons_Loket[Count],Table_Respons_Loket[Nomor Tiket]),"")</f>
        <v>L/53/151124/1</v>
      </c>
      <c r="D1266" s="15" t="str">
        <f t="array" ref="D1266">IFNA(_xlfn.XLOOKUP(B1266,Table_Respons_Loket[Count],Table_Respons_Loket[Daftar Nomor Hak]),"")</f>
        <v>NIB 8621/SUMBEREJO K</v>
      </c>
      <c r="E1266" s="17">
        <f t="array" ref="E1266">IFNA(_xlfn.XLOOKUP(B1266,Table_Respons_Loket[Count],Table_Respons_Loket[Time Stamp]),"")</f>
        <v>45611.60084</v>
      </c>
      <c r="F1266" s="18" t="str">
        <f t="array" ref="F1266">IFNA(_xlfn.XLOOKUP(B1266,Table_Respons_Loket[Count],Table_Respons_Loket[Jenis Permohonan]),"")</f>
        <v>GANDES</v>
      </c>
      <c r="G1266" s="24"/>
      <c r="H1266" s="24"/>
      <c r="I1266" s="22" t="str">
        <f t="shared" si="7"/>
        <v/>
      </c>
      <c r="J1266" s="20" t="b">
        <v>0</v>
      </c>
      <c r="K1266" s="13" t="str">
        <f t="shared" si="8"/>
        <v/>
      </c>
    </row>
    <row r="1267" ht="22.5" customHeight="1">
      <c r="B1267" s="13">
        <f t="shared" si="3"/>
        <v>1261</v>
      </c>
      <c r="C1267" s="15" t="str">
        <f t="array" ref="C1267">IFNA(_xlfn.XLOOKUP(B1267,Table_Respons_Loket[Count],Table_Respons_Loket[Nomor Tiket]),"")</f>
        <v>K/47/151124/1</v>
      </c>
      <c r="D1267" s="15" t="str">
        <f t="array" ref="D1267">IFNA(_xlfn.XLOOKUP(B1267,Table_Respons_Loket[Count],Table_Respons_Loket[Daftar Nomor Hak]),"")</f>
        <v>M.2316/GUNUNG TERANG</v>
      </c>
      <c r="E1267" s="17">
        <f t="array" ref="E1267">IFNA(_xlfn.XLOOKUP(B1267,Table_Respons_Loket[Count],Table_Respons_Loket[Time Stamp]),"")</f>
        <v>45611.60087</v>
      </c>
      <c r="F1267" s="18" t="str">
        <f t="array" ref="F1267">IFNA(_xlfn.XLOOKUP(B1267,Table_Respons_Loket[Count],Table_Respons_Loket[Jenis Permohonan]),"")</f>
        <v>GANDES (PERBAIKAN DATA SU)</v>
      </c>
      <c r="G1267" s="24"/>
      <c r="H1267" s="24"/>
      <c r="I1267" s="22" t="str">
        <f t="shared" si="7"/>
        <v/>
      </c>
      <c r="J1267" s="20" t="b">
        <v>0</v>
      </c>
      <c r="K1267" s="13" t="str">
        <f t="shared" si="8"/>
        <v/>
      </c>
    </row>
    <row r="1268" ht="22.5" customHeight="1">
      <c r="B1268" s="13">
        <f t="shared" si="3"/>
        <v>1262</v>
      </c>
      <c r="C1268" s="15" t="str">
        <f t="array" ref="C1268">IFNA(_xlfn.XLOOKUP(B1268,Table_Respons_Loket[Count],Table_Respons_Loket[Nomor Tiket]),"")</f>
        <v>K/57/151124/1</v>
      </c>
      <c r="D1268" s="15" t="str">
        <f t="array" ref="D1268">IFNA(_xlfn.XLOOKUP(B1268,Table_Respons_Loket[Count],Table_Respons_Loket[Daftar Nomor Hak]),"")</f>
        <v>M.1183/SUMBER AGUNG</v>
      </c>
      <c r="E1268" s="17">
        <f t="array" ref="E1268">IFNA(_xlfn.XLOOKUP(B1268,Table_Respons_Loket[Count],Table_Respons_Loket[Time Stamp]),"")</f>
        <v>45611.61045</v>
      </c>
      <c r="F1268" s="18" t="str">
        <f t="array" ref="F1268">IFNA(_xlfn.XLOOKUP(B1268,Table_Respons_Loket[Count],Table_Respons_Loket[Jenis Permohonan]),"")</f>
        <v>PLOTING</v>
      </c>
      <c r="G1268" s="24"/>
      <c r="H1268" s="24"/>
      <c r="I1268" s="22" t="str">
        <f t="shared" si="7"/>
        <v/>
      </c>
      <c r="J1268" s="20" t="b">
        <v>0</v>
      </c>
      <c r="K1268" s="13" t="str">
        <f t="shared" si="8"/>
        <v/>
      </c>
    </row>
    <row r="1269" ht="22.5" customHeight="1">
      <c r="B1269" s="13">
        <f t="shared" si="3"/>
        <v>1263</v>
      </c>
      <c r="C1269" s="15" t="str">
        <f t="array" ref="C1269">IFNA(_xlfn.XLOOKUP(B1269,Table_Respons_Loket[Count],Table_Respons_Loket[Nomor Tiket]),"")</f>
        <v>K/60/151124/2</v>
      </c>
      <c r="D1269" s="15" t="str">
        <f t="array" ref="D1269">IFNA(_xlfn.XLOOKUP(B1269,Table_Respons_Loket[Count],Table_Respons_Loket[Daftar Nomor Hak]),"")</f>
        <v>M. 6414/ Gunung Sulah</v>
      </c>
      <c r="E1269" s="17">
        <f t="array" ref="E1269">IFNA(_xlfn.XLOOKUP(B1269,Table_Respons_Loket[Count],Table_Respons_Loket[Time Stamp]),"")</f>
        <v>45611.62011</v>
      </c>
      <c r="F1269" s="18" t="str">
        <f t="array" ref="F1269">IFNA(_xlfn.XLOOKUP(B1269,Table_Respons_Loket[Count],Table_Respons_Loket[Jenis Permohonan]),"")</f>
        <v>BN Jual Beli</v>
      </c>
      <c r="G1269" s="24"/>
      <c r="H1269" s="24"/>
      <c r="I1269" s="22" t="str">
        <f t="shared" si="7"/>
        <v/>
      </c>
      <c r="J1269" s="20" t="b">
        <v>0</v>
      </c>
      <c r="K1269" s="13" t="str">
        <f t="shared" si="8"/>
        <v/>
      </c>
    </row>
    <row r="1270" ht="22.5" customHeight="1">
      <c r="B1270" s="13">
        <f t="shared" si="3"/>
        <v>1264</v>
      </c>
      <c r="C1270" s="15" t="str">
        <f t="array" ref="C1270">IFNA(_xlfn.XLOOKUP(B1270,Table_Respons_Loket[Count],Table_Respons_Loket[Nomor Tiket]),"")</f>
        <v>K/59/151124/1</v>
      </c>
      <c r="D1270" s="15" t="str">
        <f t="array" ref="D1270">IFNA(_xlfn.XLOOKUP(B1270,Table_Respons_Loket[Count],Table_Respons_Loket[Daftar Nomor Hak]),"")</f>
        <v>M. 6417/ Gunung Sulah</v>
      </c>
      <c r="E1270" s="17">
        <f t="array" ref="E1270">IFNA(_xlfn.XLOOKUP(B1270,Table_Respons_Loket[Count],Table_Respons_Loket[Time Stamp]),"")</f>
        <v>45611.62103</v>
      </c>
      <c r="F1270" s="18" t="str">
        <f t="array" ref="F1270">IFNA(_xlfn.XLOOKUP(B1270,Table_Respons_Loket[Count],Table_Respons_Loket[Jenis Permohonan]),"")</f>
        <v>BN Jual Beli</v>
      </c>
      <c r="G1270" s="24"/>
      <c r="H1270" s="24"/>
      <c r="I1270" s="22" t="str">
        <f t="shared" si="7"/>
        <v/>
      </c>
      <c r="J1270" s="20" t="b">
        <v>0</v>
      </c>
      <c r="K1270" s="13" t="str">
        <f t="shared" si="8"/>
        <v/>
      </c>
    </row>
    <row r="1271" ht="22.5" customHeight="1">
      <c r="B1271" s="13">
        <f t="shared" si="3"/>
        <v>1265</v>
      </c>
      <c r="C1271" s="15" t="str">
        <f t="array" ref="C1271">IFNA(_xlfn.XLOOKUP(B1271,Table_Respons_Loket[Count],Table_Respons_Loket[Nomor Tiket]),"")</f>
        <v>K/58/151124/1</v>
      </c>
      <c r="D1271" s="15" t="str">
        <f t="array" ref="D1271">IFNA(_xlfn.XLOOKUP(B1271,Table_Respons_Loket[Count],Table_Respons_Loket[Daftar Nomor Hak]),"")</f>
        <v>M. 213/ K B K</v>
      </c>
      <c r="E1271" s="17">
        <f t="array" ref="E1271">IFNA(_xlfn.XLOOKUP(B1271,Table_Respons_Loket[Count],Table_Respons_Loket[Time Stamp]),"")</f>
        <v>45611.62185</v>
      </c>
      <c r="F1271" s="18" t="str">
        <f t="array" ref="F1271">IFNA(_xlfn.XLOOKUP(B1271,Table_Respons_Loket[Count],Table_Respons_Loket[Jenis Permohonan]),"")</f>
        <v>BN Waris</v>
      </c>
      <c r="G1271" s="24"/>
      <c r="H1271" s="24"/>
      <c r="I1271" s="22" t="str">
        <f t="shared" si="7"/>
        <v/>
      </c>
      <c r="J1271" s="20" t="b">
        <v>0</v>
      </c>
      <c r="K1271" s="13" t="str">
        <f t="shared" si="8"/>
        <v/>
      </c>
    </row>
    <row r="1272" ht="22.5" customHeight="1">
      <c r="B1272" s="13">
        <f t="shared" si="3"/>
        <v>1266</v>
      </c>
      <c r="C1272" s="15" t="str">
        <f t="array" ref="C1272">IFNA(_xlfn.XLOOKUP(B1272,Table_Respons_Loket[Count],Table_Respons_Loket[Nomor Tiket]),"")</f>
        <v>K/54/151124/1</v>
      </c>
      <c r="D1272" s="15" t="str">
        <f t="array" ref="D1272">IFNA(_xlfn.XLOOKUP(B1272,Table_Respons_Loket[Count],Table_Respons_Loket[Daftar Nomor Hak]),"")</f>
        <v>M. 1646/ Negeri Olok Gading</v>
      </c>
      <c r="E1272" s="17">
        <f t="array" ref="E1272">IFNA(_xlfn.XLOOKUP(B1272,Table_Respons_Loket[Count],Table_Respons_Loket[Time Stamp]),"")</f>
        <v>45611.6231</v>
      </c>
      <c r="F1272" s="18" t="str">
        <f t="array" ref="F1272">IFNA(_xlfn.XLOOKUP(B1272,Table_Respons_Loket[Count],Table_Respons_Loket[Jenis Permohonan]),"")</f>
        <v>BN Jual Beli</v>
      </c>
      <c r="G1272" s="24"/>
      <c r="H1272" s="24"/>
      <c r="I1272" s="22" t="str">
        <f t="shared" si="7"/>
        <v/>
      </c>
      <c r="J1272" s="20" t="b">
        <v>0</v>
      </c>
      <c r="K1272" s="13" t="str">
        <f t="shared" si="8"/>
        <v/>
      </c>
    </row>
    <row r="1273" ht="22.5" customHeight="1">
      <c r="B1273" s="13">
        <f t="shared" si="3"/>
        <v>1267</v>
      </c>
      <c r="C1273" s="15" t="str">
        <f t="array" ref="C1273">IFNA(_xlfn.XLOOKUP(B1273,Table_Respons_Loket[Count],Table_Respons_Loket[Nomor Tiket]),"")</f>
        <v>K/55/151124/2</v>
      </c>
      <c r="D1273" s="15" t="str">
        <f t="array" ref="D1273">IFNA(_xlfn.XLOOKUP(B1273,Table_Respons_Loket[Count],Table_Respons_Loket[Daftar Nomor Hak]),"")</f>
        <v>M. 1806/ Way Gubak</v>
      </c>
      <c r="E1273" s="17">
        <f t="array" ref="E1273">IFNA(_xlfn.XLOOKUP(B1273,Table_Respons_Loket[Count],Table_Respons_Loket[Time Stamp]),"")</f>
        <v>45611.62409</v>
      </c>
      <c r="F1273" s="18" t="str">
        <f t="array" ref="F1273">IFNA(_xlfn.XLOOKUP(B1273,Table_Respons_Loket[Count],Table_Respons_Loket[Jenis Permohonan]),"")</f>
        <v>Penataan Batas</v>
      </c>
      <c r="G1273" s="24"/>
      <c r="H1273" s="24"/>
      <c r="I1273" s="22" t="str">
        <f t="shared" si="7"/>
        <v/>
      </c>
      <c r="J1273" s="20" t="b">
        <v>0</v>
      </c>
      <c r="K1273" s="13" t="str">
        <f t="shared" si="8"/>
        <v/>
      </c>
    </row>
    <row r="1274" ht="22.5" customHeight="1">
      <c r="B1274" s="13">
        <f t="shared" si="3"/>
        <v>1268</v>
      </c>
      <c r="C1274" s="15" t="str">
        <f t="array" ref="C1274">IFNA(_xlfn.XLOOKUP(B1274,Table_Respons_Loket[Count],Table_Respons_Loket[Nomor Tiket]),"")</f>
        <v>K/56/151124/3</v>
      </c>
      <c r="D1274" s="15" t="str">
        <f t="array" ref="D1274">IFNA(_xlfn.XLOOKUP(B1274,Table_Respons_Loket[Count],Table_Respons_Loket[Daftar Nomor Hak]),"")</f>
        <v>M. 663/ Way Gubak</v>
      </c>
      <c r="E1274" s="17">
        <f t="array" ref="E1274">IFNA(_xlfn.XLOOKUP(B1274,Table_Respons_Loket[Count],Table_Respons_Loket[Time Stamp]),"")</f>
        <v>45611.6295</v>
      </c>
      <c r="F1274" s="18" t="str">
        <f t="array" ref="F1274">IFNA(_xlfn.XLOOKUP(B1274,Table_Respons_Loket[Count],Table_Respons_Loket[Jenis Permohonan]),"")</f>
        <v>Pentaan Batas</v>
      </c>
      <c r="G1274" s="24"/>
      <c r="H1274" s="24"/>
      <c r="I1274" s="22" t="str">
        <f t="shared" si="7"/>
        <v/>
      </c>
      <c r="J1274" s="20" t="b">
        <v>0</v>
      </c>
      <c r="K1274" s="13" t="str">
        <f t="shared" si="8"/>
        <v/>
      </c>
    </row>
    <row r="1275" ht="22.5" customHeight="1">
      <c r="B1275" s="13">
        <f t="shared" si="3"/>
        <v>1269</v>
      </c>
      <c r="C1275" s="15" t="str">
        <f t="array" ref="C1275">IFNA(_xlfn.XLOOKUP(B1275,Table_Respons_Loket[Count],Table_Respons_Loket[Nomor Tiket]),"")</f>
        <v>K/49/151124/2</v>
      </c>
      <c r="D1275" s="15" t="str">
        <f t="array" ref="D1275">IFNA(_xlfn.XLOOKUP(B1275,Table_Respons_Loket[Count],Table_Respons_Loket[Daftar Nomor Hak]),"")</f>
        <v>M. 6396/ Gunung Sulah</v>
      </c>
      <c r="E1275" s="17">
        <f t="array" ref="E1275">IFNA(_xlfn.XLOOKUP(B1275,Table_Respons_Loket[Count],Table_Respons_Loket[Time Stamp]),"")</f>
        <v>45611.63145</v>
      </c>
      <c r="F1275" s="18" t="str">
        <f t="array" ref="F1275">IFNA(_xlfn.XLOOKUP(B1275,Table_Respons_Loket[Count],Table_Respons_Loket[Jenis Permohonan]),"")</f>
        <v>BN Jual Beli</v>
      </c>
      <c r="G1275" s="24"/>
      <c r="H1275" s="24"/>
      <c r="I1275" s="22" t="str">
        <f t="shared" si="7"/>
        <v/>
      </c>
      <c r="J1275" s="20" t="b">
        <v>0</v>
      </c>
      <c r="K1275" s="13" t="str">
        <f t="shared" si="8"/>
        <v/>
      </c>
    </row>
    <row r="1276" ht="22.5" customHeight="1">
      <c r="B1276" s="13">
        <f t="shared" si="3"/>
        <v>1270</v>
      </c>
      <c r="C1276" s="15" t="str">
        <f t="array" ref="C1276">IFNA(_xlfn.XLOOKUP(B1276,Table_Respons_Loket[Count],Table_Respons_Loket[Nomor Tiket]),"")</f>
        <v>K/48/151124/1</v>
      </c>
      <c r="D1276" s="15" t="str">
        <f t="array" ref="D1276">IFNA(_xlfn.XLOOKUP(B1276,Table_Respons_Loket[Count],Table_Respons_Loket[Daftar Nomor Hak]),"")</f>
        <v>M. 6411/ Gunung Sulah</v>
      </c>
      <c r="E1276" s="17">
        <f t="array" ref="E1276">IFNA(_xlfn.XLOOKUP(B1276,Table_Respons_Loket[Count],Table_Respons_Loket[Time Stamp]),"")</f>
        <v>45611.63247</v>
      </c>
      <c r="F1276" s="18" t="str">
        <f t="array" ref="F1276">IFNA(_xlfn.XLOOKUP(B1276,Table_Respons_Loket[Count],Table_Respons_Loket[Jenis Permohonan]),"")</f>
        <v>BN Jual Beli</v>
      </c>
      <c r="G1276" s="24"/>
      <c r="H1276" s="24"/>
      <c r="I1276" s="22" t="str">
        <f t="shared" si="7"/>
        <v/>
      </c>
      <c r="J1276" s="20" t="b">
        <v>0</v>
      </c>
      <c r="K1276" s="13" t="str">
        <f t="shared" si="8"/>
        <v/>
      </c>
    </row>
    <row r="1277" ht="22.5" customHeight="1">
      <c r="B1277" s="13">
        <f t="shared" si="3"/>
        <v>1271</v>
      </c>
      <c r="C1277" s="15" t="str">
        <f t="array" ref="C1277">IFNA(_xlfn.XLOOKUP(B1277,Table_Respons_Loket[Count],Table_Respons_Loket[Nomor Tiket]),"")</f>
        <v>K/50/151124/3</v>
      </c>
      <c r="D1277" s="15" t="str">
        <f t="array" ref="D1277">IFNA(_xlfn.XLOOKUP(B1277,Table_Respons_Loket[Count],Table_Respons_Loket[Daftar Nomor Hak]),"")</f>
        <v>M. 6408/ Gunung Sulah</v>
      </c>
      <c r="E1277" s="17">
        <f t="array" ref="E1277">IFNA(_xlfn.XLOOKUP(B1277,Table_Respons_Loket[Count],Table_Respons_Loket[Time Stamp]),"")</f>
        <v>45611.63312</v>
      </c>
      <c r="F1277" s="18" t="str">
        <f t="array" ref="F1277">IFNA(_xlfn.XLOOKUP(B1277,Table_Respons_Loket[Count],Table_Respons_Loket[Jenis Permohonan]),"")</f>
        <v>BN Jual Beli</v>
      </c>
      <c r="G1277" s="24"/>
      <c r="H1277" s="24"/>
      <c r="I1277" s="22" t="str">
        <f t="shared" si="7"/>
        <v/>
      </c>
      <c r="J1277" s="20" t="b">
        <v>0</v>
      </c>
      <c r="K1277" s="13" t="str">
        <f t="shared" si="8"/>
        <v/>
      </c>
    </row>
    <row r="1278" ht="22.5" customHeight="1">
      <c r="B1278" s="13">
        <f t="shared" si="3"/>
        <v>1272</v>
      </c>
      <c r="C1278" s="15" t="str">
        <f t="array" ref="C1278">IFNA(_xlfn.XLOOKUP(B1278,Table_Respons_Loket[Count],Table_Respons_Loket[Nomor Tiket]),"")</f>
        <v>K/51/151124/4</v>
      </c>
      <c r="D1278" s="15" t="str">
        <f t="array" ref="D1278">IFNA(_xlfn.XLOOKUP(B1278,Table_Respons_Loket[Count],Table_Respons_Loket[Daftar Nomor Hak]),"")</f>
        <v>M. 6415/ Gunung Sulah</v>
      </c>
      <c r="E1278" s="17">
        <f t="array" ref="E1278">IFNA(_xlfn.XLOOKUP(B1278,Table_Respons_Loket[Count],Table_Respons_Loket[Time Stamp]),"")</f>
        <v>45611.63379</v>
      </c>
      <c r="F1278" s="18" t="str">
        <f t="array" ref="F1278">IFNA(_xlfn.XLOOKUP(B1278,Table_Respons_Loket[Count],Table_Respons_Loket[Jenis Permohonan]),"")</f>
        <v>BN Jual Beli</v>
      </c>
      <c r="G1278" s="24"/>
      <c r="H1278" s="24"/>
      <c r="I1278" s="22" t="str">
        <f t="shared" si="7"/>
        <v/>
      </c>
      <c r="J1278" s="20" t="b">
        <v>0</v>
      </c>
      <c r="K1278" s="13" t="str">
        <f t="shared" si="8"/>
        <v/>
      </c>
    </row>
    <row r="1279" ht="22.5" customHeight="1">
      <c r="B1279" s="13">
        <f t="shared" si="3"/>
        <v>1273</v>
      </c>
      <c r="C1279" s="15" t="str">
        <f t="array" ref="C1279">IFNA(_xlfn.XLOOKUP(B1279,Table_Respons_Loket[Count],Table_Respons_Loket[Nomor Tiket]),"")</f>
        <v>K/52/151124/5</v>
      </c>
      <c r="D1279" s="15" t="str">
        <f t="array" ref="D1279">IFNA(_xlfn.XLOOKUP(B1279,Table_Respons_Loket[Count],Table_Respons_Loket[Daftar Nomor Hak]),"")</f>
        <v>M. 6416/ Gunung Sulah</v>
      </c>
      <c r="E1279" s="17">
        <f t="array" ref="E1279">IFNA(_xlfn.XLOOKUP(B1279,Table_Respons_Loket[Count],Table_Respons_Loket[Time Stamp]),"")</f>
        <v>45611.63508</v>
      </c>
      <c r="F1279" s="18" t="str">
        <f t="array" ref="F1279">IFNA(_xlfn.XLOOKUP(B1279,Table_Respons_Loket[Count],Table_Respons_Loket[Jenis Permohonan]),"")</f>
        <v>BN Jual Beli</v>
      </c>
      <c r="G1279" s="24"/>
      <c r="H1279" s="24"/>
      <c r="I1279" s="22" t="str">
        <f t="shared" si="7"/>
        <v/>
      </c>
      <c r="J1279" s="20" t="b">
        <v>0</v>
      </c>
      <c r="K1279" s="13" t="str">
        <f t="shared" si="8"/>
        <v/>
      </c>
    </row>
    <row r="1280" ht="22.5" customHeight="1">
      <c r="B1280" s="13">
        <f t="shared" si="3"/>
        <v>1274</v>
      </c>
      <c r="C1280" s="15" t="str">
        <f t="array" ref="C1280">IFNA(_xlfn.XLOOKUP(B1280,Table_Respons_Loket[Count],Table_Respons_Loket[Nomor Tiket]),"")</f>
        <v>K/61/151124/2</v>
      </c>
      <c r="D1280" s="15" t="str">
        <f t="array" ref="D1280">IFNA(_xlfn.XLOOKUP(B1280,Table_Respons_Loket[Count],Table_Respons_Loket[Daftar Nomor Hak]),"")</f>
        <v>M. 1429/ Tanjung Gading</v>
      </c>
      <c r="E1280" s="17">
        <f t="array" ref="E1280">IFNA(_xlfn.XLOOKUP(B1280,Table_Respons_Loket[Count],Table_Respons_Loket[Time Stamp]),"")</f>
        <v>45611.63811</v>
      </c>
      <c r="F1280" s="18" t="str">
        <f t="array" ref="F1280">IFNA(_xlfn.XLOOKUP(B1280,Table_Respons_Loket[Count],Table_Respons_Loket[Jenis Permohonan]),"")</f>
        <v>BN Hibah</v>
      </c>
      <c r="G1280" s="24"/>
      <c r="H1280" s="24"/>
      <c r="I1280" s="22" t="str">
        <f t="shared" si="7"/>
        <v/>
      </c>
      <c r="J1280" s="20" t="b">
        <v>0</v>
      </c>
      <c r="K1280" s="13" t="str">
        <f t="shared" si="8"/>
        <v/>
      </c>
    </row>
    <row r="1281" ht="22.5" customHeight="1">
      <c r="B1281" s="13">
        <f t="shared" si="3"/>
        <v>1275</v>
      </c>
      <c r="C1281" s="15" t="str">
        <f t="array" ref="C1281">IFNA(_xlfn.XLOOKUP(B1281,Table_Respons_Loket[Count],Table_Respons_Loket[Nomor Tiket]),"")</f>
        <v>K/62/151124/3</v>
      </c>
      <c r="D1281" s="15" t="str">
        <f t="array" ref="D1281">IFNA(_xlfn.XLOOKUP(B1281,Table_Respons_Loket[Count],Table_Respons_Loket[Daftar Nomor Hak]),"")</f>
        <v>M. 1430/ Tanjung Gading</v>
      </c>
      <c r="E1281" s="17">
        <f t="array" ref="E1281">IFNA(_xlfn.XLOOKUP(B1281,Table_Respons_Loket[Count],Table_Respons_Loket[Time Stamp]),"")</f>
        <v>45611.63931</v>
      </c>
      <c r="F1281" s="18" t="str">
        <f t="array" ref="F1281">IFNA(_xlfn.XLOOKUP(B1281,Table_Respons_Loket[Count],Table_Respons_Loket[Jenis Permohonan]),"")</f>
        <v>BN Hibah</v>
      </c>
      <c r="G1281" s="24"/>
      <c r="H1281" s="24"/>
      <c r="I1281" s="22" t="str">
        <f t="shared" si="7"/>
        <v/>
      </c>
      <c r="J1281" s="20" t="b">
        <v>0</v>
      </c>
      <c r="K1281" s="13" t="str">
        <f t="shared" si="8"/>
        <v/>
      </c>
    </row>
    <row r="1282" ht="22.5" customHeight="1">
      <c r="B1282" s="13">
        <f t="shared" si="3"/>
        <v>1276</v>
      </c>
      <c r="C1282" s="15" t="str">
        <f t="array" ref="C1282">IFNA(_xlfn.XLOOKUP(B1282,Table_Respons_Loket[Count],Table_Respons_Loket[Nomor Tiket]),"")</f>
        <v>L/1/161124/1</v>
      </c>
      <c r="D1282" s="15" t="str">
        <f t="array" ref="D1282">IFNA(_xlfn.XLOOKUP(B1282,Table_Respons_Loket[Count],Table_Respons_Loket[Daftar Nomor Hak]),"")</f>
        <v>NIB 3420/TANJUNG SENANG</v>
      </c>
      <c r="E1282" s="17">
        <f t="array" ref="E1282">IFNA(_xlfn.XLOOKUP(B1282,Table_Respons_Loket[Count],Table_Respons_Loket[Time Stamp]),"")</f>
        <v>45612.38727</v>
      </c>
      <c r="F1282" s="18" t="str">
        <f t="array" ref="F1282">IFNA(_xlfn.XLOOKUP(B1282,Table_Respons_Loket[Count],Table_Respons_Loket[Jenis Permohonan]),"")</f>
        <v>BN LELANG</v>
      </c>
      <c r="G1282" s="24"/>
      <c r="H1282" s="24"/>
      <c r="I1282" s="22" t="str">
        <f t="shared" si="7"/>
        <v/>
      </c>
      <c r="J1282" s="20" t="b">
        <v>0</v>
      </c>
      <c r="K1282" s="13" t="str">
        <f t="shared" si="8"/>
        <v/>
      </c>
    </row>
    <row r="1283" ht="22.5" customHeight="1">
      <c r="B1283" s="13">
        <f t="shared" si="3"/>
        <v>1277</v>
      </c>
      <c r="C1283" s="15" t="str">
        <f t="array" ref="C1283">IFNA(_xlfn.XLOOKUP(B1283,Table_Respons_Loket[Count],Table_Respons_Loket[Nomor Tiket]),"")</f>
        <v>L/2/161124/1</v>
      </c>
      <c r="D1283" s="15" t="str">
        <f t="array" ref="D1283">IFNA(_xlfn.XLOOKUP(B1283,Table_Respons_Loket[Count],Table_Respons_Loket[Daftar Nomor Hak]),"")</f>
        <v>HM 10314/SUKABUMI</v>
      </c>
      <c r="E1283" s="17">
        <f t="array" ref="E1283">IFNA(_xlfn.XLOOKUP(B1283,Table_Respons_Loket[Count],Table_Respons_Loket[Time Stamp]),"")</f>
        <v>45612.41471</v>
      </c>
      <c r="F1283" s="18" t="str">
        <f t="array" ref="F1283">IFNA(_xlfn.XLOOKUP(B1283,Table_Respons_Loket[Count],Table_Respons_Loket[Jenis Permohonan]),"")</f>
        <v>PEMECAHAN</v>
      </c>
      <c r="G1283" s="24"/>
      <c r="H1283" s="24"/>
      <c r="I1283" s="22" t="str">
        <f t="shared" si="7"/>
        <v/>
      </c>
      <c r="J1283" s="20" t="b">
        <v>0</v>
      </c>
      <c r="K1283" s="13" t="str">
        <f t="shared" si="8"/>
        <v/>
      </c>
    </row>
    <row r="1284" ht="22.5" customHeight="1">
      <c r="B1284" s="13">
        <f t="shared" si="3"/>
        <v>1278</v>
      </c>
      <c r="C1284" s="15" t="str">
        <f t="array" ref="C1284">IFNA(_xlfn.XLOOKUP(B1284,Table_Respons_Loket[Count],Table_Respons_Loket[Nomor Tiket]),"")</f>
        <v>L/3/161124/1</v>
      </c>
      <c r="D1284" s="15" t="str">
        <f t="array" ref="D1284">IFNA(_xlfn.XLOOKUP(B1284,Table_Respons_Loket[Count],Table_Respons_Loket[Daftar Nomor Hak]),"")</f>
        <v>NIB 2757/GUNTER</v>
      </c>
      <c r="E1284" s="17">
        <f t="array" ref="E1284">IFNA(_xlfn.XLOOKUP(B1284,Table_Respons_Loket[Count],Table_Respons_Loket[Time Stamp]),"")</f>
        <v>45612.46868</v>
      </c>
      <c r="F1284" s="18" t="str">
        <f t="array" ref="F1284">IFNA(_xlfn.XLOOKUP(B1284,Table_Respons_Loket[Count],Table_Respons_Loket[Jenis Permohonan]),"")</f>
        <v>BN LELANG</v>
      </c>
      <c r="G1284" s="24"/>
      <c r="H1284" s="24"/>
      <c r="I1284" s="22" t="str">
        <f t="shared" si="7"/>
        <v/>
      </c>
      <c r="J1284" s="20" t="b">
        <v>0</v>
      </c>
      <c r="K1284" s="13" t="str">
        <f t="shared" si="8"/>
        <v/>
      </c>
    </row>
    <row r="1285" ht="22.5" customHeight="1">
      <c r="B1285" s="13">
        <f t="shared" si="3"/>
        <v>1279</v>
      </c>
      <c r="C1285" s="15" t="str">
        <f t="array" ref="C1285">IFNA(_xlfn.XLOOKUP(B1285,Table_Respons_Loket[Count],Table_Respons_Loket[Nomor Tiket]),"")</f>
        <v>L/4/161124/1</v>
      </c>
      <c r="D1285" s="15" t="str">
        <f t="array" ref="D1285">IFNA(_xlfn.XLOOKUP(B1285,Table_Respons_Loket[Count],Table_Respons_Loket[Daftar Nomor Hak]),"")</f>
        <v>HGB 50/DURIAN PAYUNG</v>
      </c>
      <c r="E1285" s="17">
        <f t="array" ref="E1285">IFNA(_xlfn.XLOOKUP(B1285,Table_Respons_Loket[Count],Table_Respons_Loket[Time Stamp]),"")</f>
        <v>45612.48653</v>
      </c>
      <c r="F1285" s="18" t="str">
        <f t="array" ref="F1285">IFNA(_xlfn.XLOOKUP(B1285,Table_Respons_Loket[Count],Table_Respons_Loket[Jenis Permohonan]),"")</f>
        <v>ROYA</v>
      </c>
      <c r="G1285" s="24"/>
      <c r="H1285" s="24"/>
      <c r="I1285" s="22" t="str">
        <f t="shared" si="7"/>
        <v/>
      </c>
      <c r="J1285" s="20" t="b">
        <v>0</v>
      </c>
      <c r="K1285" s="13" t="str">
        <f t="shared" si="8"/>
        <v/>
      </c>
    </row>
    <row r="1286" ht="22.5" customHeight="1">
      <c r="B1286" s="13">
        <f t="shared" si="3"/>
        <v>1280</v>
      </c>
      <c r="C1286" s="15" t="str">
        <f t="array" ref="C1286">IFNA(_xlfn.XLOOKUP(B1286,Table_Respons_Loket[Count],Table_Respons_Loket[Nomor Tiket]),"")</f>
        <v>L/5/161124/1</v>
      </c>
      <c r="D1286" s="15" t="str">
        <f t="array" ref="D1286">IFNA(_xlfn.XLOOKUP(B1286,Table_Respons_Loket[Count],Table_Respons_Loket[Daftar Nomor Hak]),"")</f>
        <v>HM 691/DURIAN PAYUNG</v>
      </c>
      <c r="E1286" s="17">
        <f t="array" ref="E1286">IFNA(_xlfn.XLOOKUP(B1286,Table_Respons_Loket[Count],Table_Respons_Loket[Time Stamp]),"")</f>
        <v>45612.4902</v>
      </c>
      <c r="F1286" s="18" t="str">
        <f t="array" ref="F1286">IFNA(_xlfn.XLOOKUP(B1286,Table_Respons_Loket[Count],Table_Respons_Loket[Jenis Permohonan]),"")</f>
        <v>ROYA</v>
      </c>
      <c r="G1286" s="24"/>
      <c r="H1286" s="24"/>
      <c r="I1286" s="22" t="str">
        <f t="shared" si="7"/>
        <v/>
      </c>
      <c r="J1286" s="20" t="b">
        <v>0</v>
      </c>
      <c r="K1286" s="13" t="str">
        <f t="shared" si="8"/>
        <v/>
      </c>
    </row>
    <row r="1287" ht="22.5" customHeight="1">
      <c r="B1287" s="13">
        <f t="shared" si="3"/>
        <v>1281</v>
      </c>
      <c r="C1287" s="15" t="str">
        <f t="array" ref="C1287">IFNA(_xlfn.XLOOKUP(B1287,Table_Respons_Loket[Count],Table_Respons_Loket[Nomor Tiket]),"")</f>
        <v>L/1/171125/1</v>
      </c>
      <c r="D1287" s="15" t="str">
        <f t="array" ref="D1287">IFNA(_xlfn.XLOOKUP(B1287,Table_Respons_Loket[Count],Table_Respons_Loket[Daftar Nomor Hak]),"")</f>
        <v>B. 1356/TANJUNG SENENG</v>
      </c>
      <c r="E1287" s="17">
        <f t="array" ref="E1287">IFNA(_xlfn.XLOOKUP(B1287,Table_Respons_Loket[Count],Table_Respons_Loket[Time Stamp]),"")</f>
        <v>45613.43433</v>
      </c>
      <c r="F1287" s="18" t="str">
        <f t="array" ref="F1287">IFNA(_xlfn.XLOOKUP(B1287,Table_Respons_Loket[Count],Table_Respons_Loket[Jenis Permohonan]),"")</f>
        <v>SKPT INFORMASI</v>
      </c>
      <c r="G1287" s="24"/>
      <c r="H1287" s="24"/>
      <c r="I1287" s="22" t="str">
        <f t="shared" si="7"/>
        <v/>
      </c>
      <c r="J1287" s="20" t="b">
        <v>0</v>
      </c>
      <c r="K1287" s="13" t="str">
        <f t="shared" si="8"/>
        <v/>
      </c>
    </row>
    <row r="1288" ht="22.5" customHeight="1">
      <c r="B1288" s="13">
        <f t="shared" si="3"/>
        <v>1282</v>
      </c>
      <c r="C1288" s="15" t="str">
        <f t="array" ref="C1288">IFNA(_xlfn.XLOOKUP(B1288,Table_Respons_Loket[Count],Table_Respons_Loket[Nomor Tiket]),"")</f>
        <v/>
      </c>
      <c r="D1288" s="15" t="str">
        <f t="array" ref="D1288">IFNA(_xlfn.XLOOKUP(B1288,Table_Respons_Loket[Count],Table_Respons_Loket[Daftar Nomor Hak]),"")</f>
        <v/>
      </c>
      <c r="E1288" s="17" t="str">
        <f t="array" ref="E1288">IFNA(_xlfn.XLOOKUP(B1288,Table_Respons_Loket[Count],Table_Respons_Loket[Time Stamp]),"")</f>
        <v/>
      </c>
      <c r="F1288" s="18" t="str">
        <f t="array" ref="F1288">IFNA(_xlfn.XLOOKUP(B1288,Table_Respons_Loket[Count],Table_Respons_Loket[Jenis Permohonan]),"")</f>
        <v/>
      </c>
      <c r="G1288" s="24"/>
      <c r="H1288" s="24"/>
      <c r="I1288" s="22" t="str">
        <f t="shared" si="7"/>
        <v/>
      </c>
      <c r="J1288" s="20" t="b">
        <v>0</v>
      </c>
      <c r="K1288" s="13" t="str">
        <f t="shared" si="8"/>
        <v/>
      </c>
    </row>
    <row r="1289" ht="22.5" customHeight="1">
      <c r="B1289" s="13">
        <f t="shared" si="3"/>
        <v>1283</v>
      </c>
      <c r="C1289" s="15" t="str">
        <f t="array" ref="C1289">IFNA(_xlfn.XLOOKUP(B1289,Table_Respons_Loket[Count],Table_Respons_Loket[Nomor Tiket]),"")</f>
        <v/>
      </c>
      <c r="D1289" s="15" t="str">
        <f t="array" ref="D1289">IFNA(_xlfn.XLOOKUP(B1289,Table_Respons_Loket[Count],Table_Respons_Loket[Daftar Nomor Hak]),"")</f>
        <v/>
      </c>
      <c r="E1289" s="17" t="str">
        <f t="array" ref="E1289">IFNA(_xlfn.XLOOKUP(B1289,Table_Respons_Loket[Count],Table_Respons_Loket[Time Stamp]),"")</f>
        <v/>
      </c>
      <c r="F1289" s="18" t="str">
        <f t="array" ref="F1289">IFNA(_xlfn.XLOOKUP(B1289,Table_Respons_Loket[Count],Table_Respons_Loket[Jenis Permohonan]),"")</f>
        <v/>
      </c>
      <c r="G1289" s="24"/>
      <c r="H1289" s="24"/>
      <c r="I1289" s="22" t="str">
        <f t="shared" si="7"/>
        <v/>
      </c>
      <c r="J1289" s="20" t="b">
        <v>0</v>
      </c>
      <c r="K1289" s="13" t="str">
        <f t="shared" si="8"/>
        <v/>
      </c>
    </row>
    <row r="1290" ht="22.5" customHeight="1">
      <c r="B1290" s="13">
        <f t="shared" si="3"/>
        <v>1284</v>
      </c>
      <c r="C1290" s="15" t="str">
        <f t="array" ref="C1290">IFNA(_xlfn.XLOOKUP(B1290,Table_Respons_Loket[Count],Table_Respons_Loket[Nomor Tiket]),"")</f>
        <v/>
      </c>
      <c r="D1290" s="15" t="str">
        <f t="array" ref="D1290">IFNA(_xlfn.XLOOKUP(B1290,Table_Respons_Loket[Count],Table_Respons_Loket[Daftar Nomor Hak]),"")</f>
        <v/>
      </c>
      <c r="E1290" s="17" t="str">
        <f t="array" ref="E1290">IFNA(_xlfn.XLOOKUP(B1290,Table_Respons_Loket[Count],Table_Respons_Loket[Time Stamp]),"")</f>
        <v/>
      </c>
      <c r="F1290" s="18" t="str">
        <f t="array" ref="F1290">IFNA(_xlfn.XLOOKUP(B1290,Table_Respons_Loket[Count],Table_Respons_Loket[Jenis Permohonan]),"")</f>
        <v/>
      </c>
      <c r="G1290" s="24"/>
      <c r="H1290" s="24"/>
      <c r="I1290" s="22" t="str">
        <f t="shared" si="7"/>
        <v/>
      </c>
      <c r="J1290" s="20" t="b">
        <v>0</v>
      </c>
      <c r="K1290" s="13" t="str">
        <f t="shared" si="8"/>
        <v/>
      </c>
    </row>
    <row r="1291" ht="22.5" customHeight="1">
      <c r="B1291" s="13">
        <f t="shared" si="3"/>
        <v>1285</v>
      </c>
      <c r="C1291" s="15" t="str">
        <f t="array" ref="C1291">IFNA(_xlfn.XLOOKUP(B1291,Table_Respons_Loket[Count],Table_Respons_Loket[Nomor Tiket]),"")</f>
        <v/>
      </c>
      <c r="D1291" s="15" t="str">
        <f t="array" ref="D1291">IFNA(_xlfn.XLOOKUP(B1291,Table_Respons_Loket[Count],Table_Respons_Loket[Daftar Nomor Hak]),"")</f>
        <v/>
      </c>
      <c r="E1291" s="17" t="str">
        <f t="array" ref="E1291">IFNA(_xlfn.XLOOKUP(B1291,Table_Respons_Loket[Count],Table_Respons_Loket[Time Stamp]),"")</f>
        <v/>
      </c>
      <c r="F1291" s="18" t="str">
        <f t="array" ref="F1291">IFNA(_xlfn.XLOOKUP(B1291,Table_Respons_Loket[Count],Table_Respons_Loket[Jenis Permohonan]),"")</f>
        <v/>
      </c>
      <c r="G1291" s="24"/>
      <c r="H1291" s="24"/>
      <c r="I1291" s="22" t="str">
        <f t="shared" si="7"/>
        <v/>
      </c>
      <c r="J1291" s="20" t="b">
        <v>0</v>
      </c>
      <c r="K1291" s="13" t="str">
        <f t="shared" si="8"/>
        <v/>
      </c>
    </row>
    <row r="1292" ht="22.5" customHeight="1">
      <c r="B1292" s="13">
        <f t="shared" si="3"/>
        <v>1286</v>
      </c>
      <c r="C1292" s="15" t="str">
        <f t="array" ref="C1292">IFNA(_xlfn.XLOOKUP(B1292,Table_Respons_Loket[Count],Table_Respons_Loket[Nomor Tiket]),"")</f>
        <v/>
      </c>
      <c r="D1292" s="15" t="str">
        <f t="array" ref="D1292">IFNA(_xlfn.XLOOKUP(B1292,Table_Respons_Loket[Count],Table_Respons_Loket[Daftar Nomor Hak]),"")</f>
        <v/>
      </c>
      <c r="E1292" s="17" t="str">
        <f t="array" ref="E1292">IFNA(_xlfn.XLOOKUP(B1292,Table_Respons_Loket[Count],Table_Respons_Loket[Time Stamp]),"")</f>
        <v/>
      </c>
      <c r="F1292" s="18" t="str">
        <f t="array" ref="F1292">IFNA(_xlfn.XLOOKUP(B1292,Table_Respons_Loket[Count],Table_Respons_Loket[Jenis Permohonan]),"")</f>
        <v/>
      </c>
      <c r="G1292" s="24"/>
      <c r="H1292" s="24"/>
      <c r="I1292" s="22" t="str">
        <f t="shared" si="7"/>
        <v/>
      </c>
      <c r="J1292" s="20" t="b">
        <v>0</v>
      </c>
      <c r="K1292" s="13" t="str">
        <f t="shared" si="8"/>
        <v/>
      </c>
    </row>
    <row r="1293" ht="22.5" customHeight="1">
      <c r="B1293" s="13">
        <f t="shared" si="3"/>
        <v>1287</v>
      </c>
      <c r="C1293" s="15" t="str">
        <f t="array" ref="C1293">IFNA(_xlfn.XLOOKUP(B1293,Table_Respons_Loket[Count],Table_Respons_Loket[Nomor Tiket]),"")</f>
        <v/>
      </c>
      <c r="D1293" s="15" t="str">
        <f t="array" ref="D1293">IFNA(_xlfn.XLOOKUP(B1293,Table_Respons_Loket[Count],Table_Respons_Loket[Daftar Nomor Hak]),"")</f>
        <v/>
      </c>
      <c r="E1293" s="17" t="str">
        <f t="array" ref="E1293">IFNA(_xlfn.XLOOKUP(B1293,Table_Respons_Loket[Count],Table_Respons_Loket[Time Stamp]),"")</f>
        <v/>
      </c>
      <c r="F1293" s="18" t="str">
        <f t="array" ref="F1293">IFNA(_xlfn.XLOOKUP(B1293,Table_Respons_Loket[Count],Table_Respons_Loket[Jenis Permohonan]),"")</f>
        <v/>
      </c>
      <c r="G1293" s="24"/>
      <c r="H1293" s="24"/>
      <c r="I1293" s="22" t="str">
        <f t="shared" si="7"/>
        <v/>
      </c>
      <c r="J1293" s="20" t="b">
        <v>0</v>
      </c>
      <c r="K1293" s="13" t="str">
        <f t="shared" si="8"/>
        <v/>
      </c>
    </row>
    <row r="1294" ht="22.5" customHeight="1">
      <c r="B1294" s="13">
        <f t="shared" si="3"/>
        <v>1288</v>
      </c>
      <c r="C1294" s="15" t="str">
        <f t="array" ref="C1294">IFNA(_xlfn.XLOOKUP(B1294,Table_Respons_Loket[Count],Table_Respons_Loket[Nomor Tiket]),"")</f>
        <v/>
      </c>
      <c r="D1294" s="15" t="str">
        <f t="array" ref="D1294">IFNA(_xlfn.XLOOKUP(B1294,Table_Respons_Loket[Count],Table_Respons_Loket[Daftar Nomor Hak]),"")</f>
        <v/>
      </c>
      <c r="E1294" s="17" t="str">
        <f t="array" ref="E1294">IFNA(_xlfn.XLOOKUP(B1294,Table_Respons_Loket[Count],Table_Respons_Loket[Time Stamp]),"")</f>
        <v/>
      </c>
      <c r="F1294" s="18" t="str">
        <f t="array" ref="F1294">IFNA(_xlfn.XLOOKUP(B1294,Table_Respons_Loket[Count],Table_Respons_Loket[Jenis Permohonan]),"")</f>
        <v/>
      </c>
      <c r="G1294" s="24"/>
      <c r="H1294" s="24"/>
      <c r="I1294" s="22" t="str">
        <f t="shared" si="7"/>
        <v/>
      </c>
      <c r="J1294" s="20" t="b">
        <v>0</v>
      </c>
      <c r="K1294" s="13" t="str">
        <f t="shared" si="8"/>
        <v/>
      </c>
    </row>
    <row r="1295" ht="22.5" customHeight="1">
      <c r="B1295" s="13">
        <f t="shared" si="3"/>
        <v>1289</v>
      </c>
      <c r="C1295" s="15" t="str">
        <f t="array" ref="C1295">IFNA(_xlfn.XLOOKUP(B1295,Table_Respons_Loket[Count],Table_Respons_Loket[Nomor Tiket]),"")</f>
        <v/>
      </c>
      <c r="D1295" s="15" t="str">
        <f t="array" ref="D1295">IFNA(_xlfn.XLOOKUP(B1295,Table_Respons_Loket[Count],Table_Respons_Loket[Daftar Nomor Hak]),"")</f>
        <v/>
      </c>
      <c r="E1295" s="17" t="str">
        <f t="array" ref="E1295">IFNA(_xlfn.XLOOKUP(B1295,Table_Respons_Loket[Count],Table_Respons_Loket[Time Stamp]),"")</f>
        <v/>
      </c>
      <c r="F1295" s="18" t="str">
        <f t="array" ref="F1295">IFNA(_xlfn.XLOOKUP(B1295,Table_Respons_Loket[Count],Table_Respons_Loket[Jenis Permohonan]),"")</f>
        <v/>
      </c>
      <c r="G1295" s="24"/>
      <c r="H1295" s="24"/>
      <c r="I1295" s="22" t="str">
        <f t="shared" si="7"/>
        <v/>
      </c>
      <c r="J1295" s="20" t="b">
        <v>0</v>
      </c>
      <c r="K1295" s="13" t="str">
        <f t="shared" si="8"/>
        <v/>
      </c>
    </row>
    <row r="1296" ht="22.5" customHeight="1">
      <c r="B1296" s="13">
        <f t="shared" si="3"/>
        <v>1290</v>
      </c>
      <c r="C1296" s="15" t="str">
        <f t="array" ref="C1296">IFNA(_xlfn.XLOOKUP(B1296,Table_Respons_Loket[Count],Table_Respons_Loket[Nomor Tiket]),"")</f>
        <v/>
      </c>
      <c r="D1296" s="15" t="str">
        <f t="array" ref="D1296">IFNA(_xlfn.XLOOKUP(B1296,Table_Respons_Loket[Count],Table_Respons_Loket[Daftar Nomor Hak]),"")</f>
        <v/>
      </c>
      <c r="E1296" s="17" t="str">
        <f t="array" ref="E1296">IFNA(_xlfn.XLOOKUP(B1296,Table_Respons_Loket[Count],Table_Respons_Loket[Time Stamp]),"")</f>
        <v/>
      </c>
      <c r="F1296" s="18" t="str">
        <f t="array" ref="F1296">IFNA(_xlfn.XLOOKUP(B1296,Table_Respons_Loket[Count],Table_Respons_Loket[Jenis Permohonan]),"")</f>
        <v/>
      </c>
      <c r="G1296" s="24"/>
      <c r="H1296" s="24"/>
      <c r="I1296" s="22" t="str">
        <f t="shared" si="7"/>
        <v/>
      </c>
      <c r="J1296" s="20" t="b">
        <v>0</v>
      </c>
      <c r="K1296" s="13" t="str">
        <f t="shared" si="8"/>
        <v/>
      </c>
    </row>
    <row r="1297" ht="22.5" customHeight="1">
      <c r="B1297" s="13">
        <f t="shared" si="3"/>
        <v>1291</v>
      </c>
      <c r="C1297" s="15" t="str">
        <f t="array" ref="C1297">IFNA(_xlfn.XLOOKUP(B1297,Table_Respons_Loket[Count],Table_Respons_Loket[Nomor Tiket]),"")</f>
        <v/>
      </c>
      <c r="D1297" s="15" t="str">
        <f t="array" ref="D1297">IFNA(_xlfn.XLOOKUP(B1297,Table_Respons_Loket[Count],Table_Respons_Loket[Daftar Nomor Hak]),"")</f>
        <v/>
      </c>
      <c r="E1297" s="17" t="str">
        <f t="array" ref="E1297">IFNA(_xlfn.XLOOKUP(B1297,Table_Respons_Loket[Count],Table_Respons_Loket[Time Stamp]),"")</f>
        <v/>
      </c>
      <c r="F1297" s="18" t="str">
        <f t="array" ref="F1297">IFNA(_xlfn.XLOOKUP(B1297,Table_Respons_Loket[Count],Table_Respons_Loket[Jenis Permohonan]),"")</f>
        <v/>
      </c>
      <c r="G1297" s="24"/>
      <c r="H1297" s="24"/>
      <c r="I1297" s="22" t="str">
        <f t="shared" si="7"/>
        <v/>
      </c>
      <c r="J1297" s="20" t="b">
        <v>0</v>
      </c>
      <c r="K1297" s="13" t="str">
        <f t="shared" si="8"/>
        <v/>
      </c>
    </row>
    <row r="1298" ht="22.5" customHeight="1">
      <c r="B1298" s="13">
        <f t="shared" si="3"/>
        <v>1292</v>
      </c>
      <c r="C1298" s="15" t="str">
        <f t="array" ref="C1298">IFNA(_xlfn.XLOOKUP(B1298,Table_Respons_Loket[Count],Table_Respons_Loket[Nomor Tiket]),"")</f>
        <v/>
      </c>
      <c r="D1298" s="15" t="str">
        <f t="array" ref="D1298">IFNA(_xlfn.XLOOKUP(B1298,Table_Respons_Loket[Count],Table_Respons_Loket[Daftar Nomor Hak]),"")</f>
        <v/>
      </c>
      <c r="E1298" s="17" t="str">
        <f t="array" ref="E1298">IFNA(_xlfn.XLOOKUP(B1298,Table_Respons_Loket[Count],Table_Respons_Loket[Time Stamp]),"")</f>
        <v/>
      </c>
      <c r="F1298" s="18" t="str">
        <f t="array" ref="F1298">IFNA(_xlfn.XLOOKUP(B1298,Table_Respons_Loket[Count],Table_Respons_Loket[Jenis Permohonan]),"")</f>
        <v/>
      </c>
      <c r="G1298" s="24"/>
      <c r="H1298" s="24"/>
      <c r="I1298" s="22" t="str">
        <f t="shared" si="7"/>
        <v/>
      </c>
      <c r="J1298" s="20" t="b">
        <v>0</v>
      </c>
      <c r="K1298" s="13" t="str">
        <f t="shared" si="8"/>
        <v/>
      </c>
    </row>
    <row r="1299" ht="22.5" customHeight="1">
      <c r="B1299" s="13">
        <f t="shared" si="3"/>
        <v>1293</v>
      </c>
      <c r="C1299" s="15" t="str">
        <f t="array" ref="C1299">IFNA(_xlfn.XLOOKUP(B1299,Table_Respons_Loket[Count],Table_Respons_Loket[Nomor Tiket]),"")</f>
        <v/>
      </c>
      <c r="D1299" s="15" t="str">
        <f t="array" ref="D1299">IFNA(_xlfn.XLOOKUP(B1299,Table_Respons_Loket[Count],Table_Respons_Loket[Daftar Nomor Hak]),"")</f>
        <v/>
      </c>
      <c r="E1299" s="17" t="str">
        <f t="array" ref="E1299">IFNA(_xlfn.XLOOKUP(B1299,Table_Respons_Loket[Count],Table_Respons_Loket[Time Stamp]),"")</f>
        <v/>
      </c>
      <c r="F1299" s="18" t="str">
        <f t="array" ref="F1299">IFNA(_xlfn.XLOOKUP(B1299,Table_Respons_Loket[Count],Table_Respons_Loket[Jenis Permohonan]),"")</f>
        <v/>
      </c>
      <c r="G1299" s="24"/>
      <c r="H1299" s="24"/>
      <c r="I1299" s="22" t="str">
        <f t="shared" si="7"/>
        <v/>
      </c>
      <c r="J1299" s="20" t="b">
        <v>0</v>
      </c>
      <c r="K1299" s="13" t="str">
        <f t="shared" si="8"/>
        <v/>
      </c>
    </row>
    <row r="1300" ht="22.5" customHeight="1">
      <c r="B1300" s="13">
        <f t="shared" si="3"/>
        <v>1294</v>
      </c>
      <c r="C1300" s="15" t="str">
        <f t="array" ref="C1300">IFNA(_xlfn.XLOOKUP(B1300,Table_Respons_Loket[Count],Table_Respons_Loket[Nomor Tiket]),"")</f>
        <v/>
      </c>
      <c r="D1300" s="15" t="str">
        <f t="array" ref="D1300">IFNA(_xlfn.XLOOKUP(B1300,Table_Respons_Loket[Count],Table_Respons_Loket[Daftar Nomor Hak]),"")</f>
        <v/>
      </c>
      <c r="E1300" s="17" t="str">
        <f t="array" ref="E1300">IFNA(_xlfn.XLOOKUP(B1300,Table_Respons_Loket[Count],Table_Respons_Loket[Time Stamp]),"")</f>
        <v/>
      </c>
      <c r="F1300" s="18" t="str">
        <f t="array" ref="F1300">IFNA(_xlfn.XLOOKUP(B1300,Table_Respons_Loket[Count],Table_Respons_Loket[Jenis Permohonan]),"")</f>
        <v/>
      </c>
      <c r="G1300" s="24"/>
      <c r="H1300" s="24"/>
      <c r="I1300" s="22" t="str">
        <f t="shared" si="7"/>
        <v/>
      </c>
      <c r="J1300" s="20" t="b">
        <v>0</v>
      </c>
      <c r="K1300" s="13" t="str">
        <f t="shared" si="8"/>
        <v/>
      </c>
    </row>
    <row r="1301" ht="22.5" customHeight="1">
      <c r="B1301" s="13">
        <f t="shared" si="3"/>
        <v>1295</v>
      </c>
      <c r="C1301" s="15" t="str">
        <f t="array" ref="C1301">IFNA(_xlfn.XLOOKUP(B1301,Table_Respons_Loket[Count],Table_Respons_Loket[Nomor Tiket]),"")</f>
        <v/>
      </c>
      <c r="D1301" s="15" t="str">
        <f t="array" ref="D1301">IFNA(_xlfn.XLOOKUP(B1301,Table_Respons_Loket[Count],Table_Respons_Loket[Daftar Nomor Hak]),"")</f>
        <v/>
      </c>
      <c r="E1301" s="17" t="str">
        <f t="array" ref="E1301">IFNA(_xlfn.XLOOKUP(B1301,Table_Respons_Loket[Count],Table_Respons_Loket[Time Stamp]),"")</f>
        <v/>
      </c>
      <c r="F1301" s="18" t="str">
        <f t="array" ref="F1301">IFNA(_xlfn.XLOOKUP(B1301,Table_Respons_Loket[Count],Table_Respons_Loket[Jenis Permohonan]),"")</f>
        <v/>
      </c>
      <c r="G1301" s="24"/>
      <c r="H1301" s="24"/>
      <c r="I1301" s="22" t="str">
        <f t="shared" si="7"/>
        <v/>
      </c>
      <c r="J1301" s="20" t="b">
        <v>0</v>
      </c>
      <c r="K1301" s="13" t="str">
        <f t="shared" si="8"/>
        <v/>
      </c>
    </row>
    <row r="1302" ht="22.5" customHeight="1">
      <c r="B1302" s="13">
        <f t="shared" si="3"/>
        <v>1296</v>
      </c>
      <c r="C1302" s="15" t="str">
        <f t="array" ref="C1302">IFNA(_xlfn.XLOOKUP(B1302,Table_Respons_Loket[Count],Table_Respons_Loket[Nomor Tiket]),"")</f>
        <v/>
      </c>
      <c r="D1302" s="15" t="str">
        <f t="array" ref="D1302">IFNA(_xlfn.XLOOKUP(B1302,Table_Respons_Loket[Count],Table_Respons_Loket[Daftar Nomor Hak]),"")</f>
        <v/>
      </c>
      <c r="E1302" s="17" t="str">
        <f t="array" ref="E1302">IFNA(_xlfn.XLOOKUP(B1302,Table_Respons_Loket[Count],Table_Respons_Loket[Time Stamp]),"")</f>
        <v/>
      </c>
      <c r="F1302" s="18" t="str">
        <f t="array" ref="F1302">IFNA(_xlfn.XLOOKUP(B1302,Table_Respons_Loket[Count],Table_Respons_Loket[Jenis Permohonan]),"")</f>
        <v/>
      </c>
      <c r="G1302" s="24"/>
      <c r="H1302" s="24"/>
      <c r="I1302" s="22" t="str">
        <f t="shared" si="7"/>
        <v/>
      </c>
      <c r="J1302" s="20" t="b">
        <v>0</v>
      </c>
      <c r="K1302" s="13" t="str">
        <f t="shared" si="8"/>
        <v/>
      </c>
    </row>
    <row r="1303" ht="22.5" customHeight="1">
      <c r="B1303" s="13">
        <f t="shared" si="3"/>
        <v>1297</v>
      </c>
      <c r="C1303" s="15" t="str">
        <f t="array" ref="C1303">IFNA(_xlfn.XLOOKUP(B1303,Table_Respons_Loket[Count],Table_Respons_Loket[Nomor Tiket]),"")</f>
        <v/>
      </c>
      <c r="D1303" s="15" t="str">
        <f t="array" ref="D1303">IFNA(_xlfn.XLOOKUP(B1303,Table_Respons_Loket[Count],Table_Respons_Loket[Daftar Nomor Hak]),"")</f>
        <v/>
      </c>
      <c r="E1303" s="17" t="str">
        <f t="array" ref="E1303">IFNA(_xlfn.XLOOKUP(B1303,Table_Respons_Loket[Count],Table_Respons_Loket[Time Stamp]),"")</f>
        <v/>
      </c>
      <c r="F1303" s="18" t="str">
        <f t="array" ref="F1303">IFNA(_xlfn.XLOOKUP(B1303,Table_Respons_Loket[Count],Table_Respons_Loket[Jenis Permohonan]),"")</f>
        <v/>
      </c>
      <c r="G1303" s="24"/>
      <c r="H1303" s="24"/>
      <c r="I1303" s="22" t="str">
        <f t="shared" si="7"/>
        <v/>
      </c>
      <c r="J1303" s="20" t="b">
        <v>0</v>
      </c>
      <c r="K1303" s="13" t="str">
        <f t="shared" si="8"/>
        <v/>
      </c>
    </row>
    <row r="1304" ht="22.5" customHeight="1">
      <c r="B1304" s="13">
        <f t="shared" si="3"/>
        <v>1298</v>
      </c>
      <c r="C1304" s="15" t="str">
        <f t="array" ref="C1304">IFNA(_xlfn.XLOOKUP(B1304,Table_Respons_Loket[Count],Table_Respons_Loket[Nomor Tiket]),"")</f>
        <v/>
      </c>
      <c r="D1304" s="15" t="str">
        <f t="array" ref="D1304">IFNA(_xlfn.XLOOKUP(B1304,Table_Respons_Loket[Count],Table_Respons_Loket[Daftar Nomor Hak]),"")</f>
        <v/>
      </c>
      <c r="E1304" s="17" t="str">
        <f t="array" ref="E1304">IFNA(_xlfn.XLOOKUP(B1304,Table_Respons_Loket[Count],Table_Respons_Loket[Time Stamp]),"")</f>
        <v/>
      </c>
      <c r="F1304" s="18" t="str">
        <f t="array" ref="F1304">IFNA(_xlfn.XLOOKUP(B1304,Table_Respons_Loket[Count],Table_Respons_Loket[Jenis Permohonan]),"")</f>
        <v/>
      </c>
      <c r="G1304" s="24"/>
      <c r="H1304" s="24"/>
      <c r="I1304" s="22" t="str">
        <f t="shared" si="7"/>
        <v/>
      </c>
      <c r="J1304" s="20" t="b">
        <v>0</v>
      </c>
      <c r="K1304" s="13" t="str">
        <f t="shared" si="8"/>
        <v/>
      </c>
    </row>
    <row r="1305" ht="22.5" customHeight="1">
      <c r="B1305" s="13">
        <f t="shared" si="3"/>
        <v>1299</v>
      </c>
      <c r="C1305" s="15" t="str">
        <f t="array" ref="C1305">IFNA(_xlfn.XLOOKUP(B1305,Table_Respons_Loket[Count],Table_Respons_Loket[Nomor Tiket]),"")</f>
        <v/>
      </c>
      <c r="D1305" s="15" t="str">
        <f t="array" ref="D1305">IFNA(_xlfn.XLOOKUP(B1305,Table_Respons_Loket[Count],Table_Respons_Loket[Daftar Nomor Hak]),"")</f>
        <v/>
      </c>
      <c r="E1305" s="17" t="str">
        <f t="array" ref="E1305">IFNA(_xlfn.XLOOKUP(B1305,Table_Respons_Loket[Count],Table_Respons_Loket[Time Stamp]),"")</f>
        <v/>
      </c>
      <c r="F1305" s="18" t="str">
        <f t="array" ref="F1305">IFNA(_xlfn.XLOOKUP(B1305,Table_Respons_Loket[Count],Table_Respons_Loket[Jenis Permohonan]),"")</f>
        <v/>
      </c>
      <c r="G1305" s="24"/>
      <c r="H1305" s="24"/>
      <c r="I1305" s="22" t="str">
        <f t="shared" si="7"/>
        <v/>
      </c>
      <c r="J1305" s="20" t="b">
        <v>0</v>
      </c>
      <c r="K1305" s="13" t="str">
        <f t="shared" si="8"/>
        <v/>
      </c>
    </row>
    <row r="1306" ht="22.5" customHeight="1">
      <c r="B1306" s="13">
        <f t="shared" si="3"/>
        <v>1300</v>
      </c>
      <c r="C1306" s="15" t="str">
        <f t="array" ref="C1306">IFNA(_xlfn.XLOOKUP(B1306,Table_Respons_Loket[Count],Table_Respons_Loket[Nomor Tiket]),"")</f>
        <v/>
      </c>
      <c r="D1306" s="15" t="str">
        <f t="array" ref="D1306">IFNA(_xlfn.XLOOKUP(B1306,Table_Respons_Loket[Count],Table_Respons_Loket[Daftar Nomor Hak]),"")</f>
        <v/>
      </c>
      <c r="E1306" s="17" t="str">
        <f t="array" ref="E1306">IFNA(_xlfn.XLOOKUP(B1306,Table_Respons_Loket[Count],Table_Respons_Loket[Time Stamp]),"")</f>
        <v/>
      </c>
      <c r="F1306" s="18" t="str">
        <f t="array" ref="F1306">IFNA(_xlfn.XLOOKUP(B1306,Table_Respons_Loket[Count],Table_Respons_Loket[Jenis Permohonan]),"")</f>
        <v/>
      </c>
      <c r="G1306" s="24"/>
      <c r="H1306" s="24"/>
      <c r="I1306" s="22" t="str">
        <f t="shared" si="7"/>
        <v/>
      </c>
      <c r="J1306" s="20" t="b">
        <v>0</v>
      </c>
      <c r="K1306" s="13" t="str">
        <f t="shared" si="8"/>
        <v/>
      </c>
    </row>
    <row r="1307" ht="22.5" customHeight="1">
      <c r="B1307" s="13">
        <f t="shared" si="3"/>
        <v>1301</v>
      </c>
      <c r="C1307" s="15" t="str">
        <f t="array" ref="C1307">IFNA(_xlfn.XLOOKUP(B1307,Table_Respons_Loket[Count],Table_Respons_Loket[Nomor Tiket]),"")</f>
        <v/>
      </c>
      <c r="D1307" s="15" t="str">
        <f t="array" ref="D1307">IFNA(_xlfn.XLOOKUP(B1307,Table_Respons_Loket[Count],Table_Respons_Loket[Daftar Nomor Hak]),"")</f>
        <v/>
      </c>
      <c r="E1307" s="17" t="str">
        <f t="array" ref="E1307">IFNA(_xlfn.XLOOKUP(B1307,Table_Respons_Loket[Count],Table_Respons_Loket[Time Stamp]),"")</f>
        <v/>
      </c>
      <c r="F1307" s="18" t="str">
        <f t="array" ref="F1307">IFNA(_xlfn.XLOOKUP(B1307,Table_Respons_Loket[Count],Table_Respons_Loket[Jenis Permohonan]),"")</f>
        <v/>
      </c>
      <c r="G1307" s="24"/>
      <c r="H1307" s="24"/>
      <c r="I1307" s="22" t="str">
        <f t="shared" si="7"/>
        <v/>
      </c>
      <c r="J1307" s="20" t="b">
        <v>0</v>
      </c>
      <c r="K1307" s="13" t="str">
        <f t="shared" si="8"/>
        <v/>
      </c>
    </row>
    <row r="1308" ht="22.5" customHeight="1">
      <c r="B1308" s="13">
        <f t="shared" si="3"/>
        <v>1302</v>
      </c>
      <c r="C1308" s="15" t="str">
        <f t="array" ref="C1308">IFNA(_xlfn.XLOOKUP(B1308,Table_Respons_Loket[Count],Table_Respons_Loket[Nomor Tiket]),"")</f>
        <v/>
      </c>
      <c r="D1308" s="15" t="str">
        <f t="array" ref="D1308">IFNA(_xlfn.XLOOKUP(B1308,Table_Respons_Loket[Count],Table_Respons_Loket[Daftar Nomor Hak]),"")</f>
        <v/>
      </c>
      <c r="E1308" s="17" t="str">
        <f t="array" ref="E1308">IFNA(_xlfn.XLOOKUP(B1308,Table_Respons_Loket[Count],Table_Respons_Loket[Time Stamp]),"")</f>
        <v/>
      </c>
      <c r="F1308" s="18" t="str">
        <f t="array" ref="F1308">IFNA(_xlfn.XLOOKUP(B1308,Table_Respons_Loket[Count],Table_Respons_Loket[Jenis Permohonan]),"")</f>
        <v/>
      </c>
      <c r="G1308" s="24"/>
      <c r="H1308" s="24"/>
      <c r="I1308" s="22" t="str">
        <f t="shared" si="7"/>
        <v/>
      </c>
      <c r="J1308" s="20" t="b">
        <v>0</v>
      </c>
      <c r="K1308" s="13" t="str">
        <f t="shared" si="8"/>
        <v/>
      </c>
    </row>
    <row r="1309" ht="22.5" customHeight="1">
      <c r="B1309" s="13">
        <f t="shared" si="3"/>
        <v>1303</v>
      </c>
      <c r="C1309" s="15" t="str">
        <f t="array" ref="C1309">IFNA(_xlfn.XLOOKUP(B1309,Table_Respons_Loket[Count],Table_Respons_Loket[Nomor Tiket]),"")</f>
        <v/>
      </c>
      <c r="D1309" s="15" t="str">
        <f t="array" ref="D1309">IFNA(_xlfn.XLOOKUP(B1309,Table_Respons_Loket[Count],Table_Respons_Loket[Daftar Nomor Hak]),"")</f>
        <v/>
      </c>
      <c r="E1309" s="17" t="str">
        <f t="array" ref="E1309">IFNA(_xlfn.XLOOKUP(B1309,Table_Respons_Loket[Count],Table_Respons_Loket[Time Stamp]),"")</f>
        <v/>
      </c>
      <c r="F1309" s="18" t="str">
        <f t="array" ref="F1309">IFNA(_xlfn.XLOOKUP(B1309,Table_Respons_Loket[Count],Table_Respons_Loket[Jenis Permohonan]),"")</f>
        <v/>
      </c>
      <c r="G1309" s="24"/>
      <c r="H1309" s="24"/>
      <c r="I1309" s="22" t="str">
        <f t="shared" si="7"/>
        <v/>
      </c>
      <c r="J1309" s="20" t="b">
        <v>0</v>
      </c>
      <c r="K1309" s="13" t="str">
        <f t="shared" si="8"/>
        <v/>
      </c>
    </row>
    <row r="1310" ht="22.5" customHeight="1">
      <c r="B1310" s="13">
        <f t="shared" si="3"/>
        <v>1304</v>
      </c>
      <c r="C1310" s="15" t="str">
        <f t="array" ref="C1310">IFNA(_xlfn.XLOOKUP(B1310,Table_Respons_Loket[Count],Table_Respons_Loket[Nomor Tiket]),"")</f>
        <v/>
      </c>
      <c r="D1310" s="15" t="str">
        <f t="array" ref="D1310">IFNA(_xlfn.XLOOKUP(B1310,Table_Respons_Loket[Count],Table_Respons_Loket[Daftar Nomor Hak]),"")</f>
        <v/>
      </c>
      <c r="E1310" s="17" t="str">
        <f t="array" ref="E1310">IFNA(_xlfn.XLOOKUP(B1310,Table_Respons_Loket[Count],Table_Respons_Loket[Time Stamp]),"")</f>
        <v/>
      </c>
      <c r="F1310" s="18" t="str">
        <f t="array" ref="F1310">IFNA(_xlfn.XLOOKUP(B1310,Table_Respons_Loket[Count],Table_Respons_Loket[Jenis Permohonan]),"")</f>
        <v/>
      </c>
      <c r="G1310" s="24"/>
      <c r="H1310" s="24"/>
      <c r="I1310" s="22" t="str">
        <f t="shared" si="7"/>
        <v/>
      </c>
      <c r="J1310" s="20" t="b">
        <v>0</v>
      </c>
      <c r="K1310" s="13" t="str">
        <f t="shared" si="8"/>
        <v/>
      </c>
    </row>
    <row r="1311" ht="22.5" customHeight="1">
      <c r="B1311" s="13">
        <f t="shared" si="3"/>
        <v>1305</v>
      </c>
      <c r="C1311" s="15" t="str">
        <f t="array" ref="C1311">IFNA(_xlfn.XLOOKUP(B1311,Table_Respons_Loket[Count],Table_Respons_Loket[Nomor Tiket]),"")</f>
        <v/>
      </c>
      <c r="D1311" s="15" t="str">
        <f t="array" ref="D1311">IFNA(_xlfn.XLOOKUP(B1311,Table_Respons_Loket[Count],Table_Respons_Loket[Daftar Nomor Hak]),"")</f>
        <v/>
      </c>
      <c r="E1311" s="17" t="str">
        <f t="array" ref="E1311">IFNA(_xlfn.XLOOKUP(B1311,Table_Respons_Loket[Count],Table_Respons_Loket[Time Stamp]),"")</f>
        <v/>
      </c>
      <c r="F1311" s="18" t="str">
        <f t="array" ref="F1311">IFNA(_xlfn.XLOOKUP(B1311,Table_Respons_Loket[Count],Table_Respons_Loket[Jenis Permohonan]),"")</f>
        <v/>
      </c>
      <c r="G1311" s="24"/>
      <c r="H1311" s="24"/>
      <c r="I1311" s="22" t="str">
        <f t="shared" si="7"/>
        <v/>
      </c>
      <c r="J1311" s="20" t="b">
        <v>0</v>
      </c>
      <c r="K1311" s="13" t="str">
        <f t="shared" si="8"/>
        <v/>
      </c>
    </row>
    <row r="1312" ht="22.5" customHeight="1">
      <c r="B1312" s="13">
        <f t="shared" si="3"/>
        <v>1306</v>
      </c>
      <c r="C1312" s="15" t="str">
        <f t="array" ref="C1312">IFNA(_xlfn.XLOOKUP(B1312,Table_Respons_Loket[Count],Table_Respons_Loket[Nomor Tiket]),"")</f>
        <v/>
      </c>
      <c r="D1312" s="15" t="str">
        <f t="array" ref="D1312">IFNA(_xlfn.XLOOKUP(B1312,Table_Respons_Loket[Count],Table_Respons_Loket[Daftar Nomor Hak]),"")</f>
        <v/>
      </c>
      <c r="E1312" s="17" t="str">
        <f t="array" ref="E1312">IFNA(_xlfn.XLOOKUP(B1312,Table_Respons_Loket[Count],Table_Respons_Loket[Time Stamp]),"")</f>
        <v/>
      </c>
      <c r="F1312" s="18" t="str">
        <f t="array" ref="F1312">IFNA(_xlfn.XLOOKUP(B1312,Table_Respons_Loket[Count],Table_Respons_Loket[Jenis Permohonan]),"")</f>
        <v/>
      </c>
      <c r="G1312" s="24"/>
      <c r="H1312" s="24"/>
      <c r="I1312" s="22" t="str">
        <f t="shared" si="7"/>
        <v/>
      </c>
      <c r="J1312" s="20" t="b">
        <v>0</v>
      </c>
      <c r="K1312" s="13" t="str">
        <f t="shared" si="8"/>
        <v/>
      </c>
    </row>
    <row r="1313" ht="22.5" customHeight="1">
      <c r="B1313" s="13">
        <f t="shared" si="3"/>
        <v>1307</v>
      </c>
      <c r="C1313" s="15" t="str">
        <f t="array" ref="C1313">IFNA(_xlfn.XLOOKUP(B1313,Table_Respons_Loket[Count],Table_Respons_Loket[Nomor Tiket]),"")</f>
        <v/>
      </c>
      <c r="D1313" s="15" t="str">
        <f t="array" ref="D1313">IFNA(_xlfn.XLOOKUP(B1313,Table_Respons_Loket[Count],Table_Respons_Loket[Daftar Nomor Hak]),"")</f>
        <v/>
      </c>
      <c r="E1313" s="17" t="str">
        <f t="array" ref="E1313">IFNA(_xlfn.XLOOKUP(B1313,Table_Respons_Loket[Count],Table_Respons_Loket[Time Stamp]),"")</f>
        <v/>
      </c>
      <c r="F1313" s="18" t="str">
        <f t="array" ref="F1313">IFNA(_xlfn.XLOOKUP(B1313,Table_Respons_Loket[Count],Table_Respons_Loket[Jenis Permohonan]),"")</f>
        <v/>
      </c>
      <c r="G1313" s="24"/>
      <c r="H1313" s="24"/>
      <c r="I1313" s="22" t="str">
        <f t="shared" si="7"/>
        <v/>
      </c>
      <c r="J1313" s="20" t="b">
        <v>0</v>
      </c>
      <c r="K1313" s="13" t="str">
        <f t="shared" si="8"/>
        <v/>
      </c>
    </row>
    <row r="1314" ht="22.5" customHeight="1">
      <c r="B1314" s="13">
        <f t="shared" si="3"/>
        <v>1308</v>
      </c>
      <c r="C1314" s="15" t="str">
        <f t="array" ref="C1314">IFNA(_xlfn.XLOOKUP(B1314,Table_Respons_Loket[Count],Table_Respons_Loket[Nomor Tiket]),"")</f>
        <v/>
      </c>
      <c r="D1314" s="15" t="str">
        <f t="array" ref="D1314">IFNA(_xlfn.XLOOKUP(B1314,Table_Respons_Loket[Count],Table_Respons_Loket[Daftar Nomor Hak]),"")</f>
        <v/>
      </c>
      <c r="E1314" s="17" t="str">
        <f t="array" ref="E1314">IFNA(_xlfn.XLOOKUP(B1314,Table_Respons_Loket[Count],Table_Respons_Loket[Time Stamp]),"")</f>
        <v/>
      </c>
      <c r="F1314" s="18" t="str">
        <f t="array" ref="F1314">IFNA(_xlfn.XLOOKUP(B1314,Table_Respons_Loket[Count],Table_Respons_Loket[Jenis Permohonan]),"")</f>
        <v/>
      </c>
      <c r="G1314" s="24"/>
      <c r="H1314" s="24"/>
      <c r="I1314" s="22" t="str">
        <f t="shared" si="7"/>
        <v/>
      </c>
      <c r="J1314" s="20" t="b">
        <v>0</v>
      </c>
      <c r="K1314" s="13" t="str">
        <f t="shared" si="8"/>
        <v/>
      </c>
    </row>
    <row r="1315" ht="22.5" customHeight="1">
      <c r="B1315" s="13">
        <f t="shared" si="3"/>
        <v>1309</v>
      </c>
      <c r="C1315" s="15" t="str">
        <f t="array" ref="C1315">IFNA(_xlfn.XLOOKUP(B1315,Table_Respons_Loket[Count],Table_Respons_Loket[Nomor Tiket]),"")</f>
        <v/>
      </c>
      <c r="D1315" s="15" t="str">
        <f t="array" ref="D1315">IFNA(_xlfn.XLOOKUP(B1315,Table_Respons_Loket[Count],Table_Respons_Loket[Daftar Nomor Hak]),"")</f>
        <v/>
      </c>
      <c r="E1315" s="17" t="str">
        <f t="array" ref="E1315">IFNA(_xlfn.XLOOKUP(B1315,Table_Respons_Loket[Count],Table_Respons_Loket[Time Stamp]),"")</f>
        <v/>
      </c>
      <c r="F1315" s="18" t="str">
        <f t="array" ref="F1315">IFNA(_xlfn.XLOOKUP(B1315,Table_Respons_Loket[Count],Table_Respons_Loket[Jenis Permohonan]),"")</f>
        <v/>
      </c>
      <c r="G1315" s="24"/>
      <c r="H1315" s="24"/>
      <c r="I1315" s="22" t="str">
        <f t="shared" si="7"/>
        <v/>
      </c>
      <c r="J1315" s="20" t="b">
        <v>0</v>
      </c>
      <c r="K1315" s="13" t="str">
        <f t="shared" si="8"/>
        <v/>
      </c>
    </row>
    <row r="1316" ht="22.5" customHeight="1">
      <c r="B1316" s="13">
        <f t="shared" si="3"/>
        <v>1310</v>
      </c>
      <c r="C1316" s="15" t="str">
        <f t="array" ref="C1316">IFNA(_xlfn.XLOOKUP(B1316,Table_Respons_Loket[Count],Table_Respons_Loket[Nomor Tiket]),"")</f>
        <v/>
      </c>
      <c r="D1316" s="15" t="str">
        <f t="array" ref="D1316">IFNA(_xlfn.XLOOKUP(B1316,Table_Respons_Loket[Count],Table_Respons_Loket[Daftar Nomor Hak]),"")</f>
        <v/>
      </c>
      <c r="E1316" s="17" t="str">
        <f t="array" ref="E1316">IFNA(_xlfn.XLOOKUP(B1316,Table_Respons_Loket[Count],Table_Respons_Loket[Time Stamp]),"")</f>
        <v/>
      </c>
      <c r="F1316" s="18" t="str">
        <f t="array" ref="F1316">IFNA(_xlfn.XLOOKUP(B1316,Table_Respons_Loket[Count],Table_Respons_Loket[Jenis Permohonan]),"")</f>
        <v/>
      </c>
      <c r="G1316" s="24"/>
      <c r="H1316" s="24"/>
      <c r="I1316" s="22" t="str">
        <f t="shared" si="7"/>
        <v/>
      </c>
      <c r="J1316" s="20" t="b">
        <v>0</v>
      </c>
      <c r="K1316" s="13" t="str">
        <f t="shared" si="8"/>
        <v/>
      </c>
    </row>
    <row r="1317" ht="22.5" customHeight="1">
      <c r="B1317" s="13">
        <f t="shared" si="3"/>
        <v>1311</v>
      </c>
      <c r="C1317" s="15" t="str">
        <f t="array" ref="C1317">IFNA(_xlfn.XLOOKUP(B1317,Table_Respons_Loket[Count],Table_Respons_Loket[Nomor Tiket]),"")</f>
        <v/>
      </c>
      <c r="D1317" s="15" t="str">
        <f t="array" ref="D1317">IFNA(_xlfn.XLOOKUP(B1317,Table_Respons_Loket[Count],Table_Respons_Loket[Daftar Nomor Hak]),"")</f>
        <v/>
      </c>
      <c r="E1317" s="17" t="str">
        <f t="array" ref="E1317">IFNA(_xlfn.XLOOKUP(B1317,Table_Respons_Loket[Count],Table_Respons_Loket[Time Stamp]),"")</f>
        <v/>
      </c>
      <c r="F1317" s="18" t="str">
        <f t="array" ref="F1317">IFNA(_xlfn.XLOOKUP(B1317,Table_Respons_Loket[Count],Table_Respons_Loket[Jenis Permohonan]),"")</f>
        <v/>
      </c>
      <c r="G1317" s="24"/>
      <c r="H1317" s="24"/>
      <c r="I1317" s="22" t="str">
        <f t="shared" si="7"/>
        <v/>
      </c>
      <c r="J1317" s="20" t="b">
        <v>0</v>
      </c>
      <c r="K1317" s="13" t="str">
        <f t="shared" si="8"/>
        <v/>
      </c>
    </row>
    <row r="1318" ht="22.5" customHeight="1">
      <c r="B1318" s="13">
        <f t="shared" si="3"/>
        <v>1312</v>
      </c>
      <c r="C1318" s="15" t="str">
        <f t="array" ref="C1318">IFNA(_xlfn.XLOOKUP(B1318,Table_Respons_Loket[Count],Table_Respons_Loket[Nomor Tiket]),"")</f>
        <v/>
      </c>
      <c r="D1318" s="15" t="str">
        <f t="array" ref="D1318">IFNA(_xlfn.XLOOKUP(B1318,Table_Respons_Loket[Count],Table_Respons_Loket[Daftar Nomor Hak]),"")</f>
        <v/>
      </c>
      <c r="E1318" s="17" t="str">
        <f t="array" ref="E1318">IFNA(_xlfn.XLOOKUP(B1318,Table_Respons_Loket[Count],Table_Respons_Loket[Time Stamp]),"")</f>
        <v/>
      </c>
      <c r="F1318" s="18" t="str">
        <f t="array" ref="F1318">IFNA(_xlfn.XLOOKUP(B1318,Table_Respons_Loket[Count],Table_Respons_Loket[Jenis Permohonan]),"")</f>
        <v/>
      </c>
      <c r="G1318" s="24"/>
      <c r="H1318" s="24"/>
      <c r="I1318" s="22" t="str">
        <f t="shared" si="7"/>
        <v/>
      </c>
      <c r="J1318" s="20" t="b">
        <v>0</v>
      </c>
      <c r="K1318" s="13" t="str">
        <f t="shared" si="8"/>
        <v/>
      </c>
    </row>
    <row r="1319" ht="22.5" customHeight="1">
      <c r="B1319" s="13">
        <f t="shared" si="3"/>
        <v>1313</v>
      </c>
      <c r="C1319" s="15" t="str">
        <f t="array" ref="C1319">IFNA(_xlfn.XLOOKUP(B1319,Table_Respons_Loket[Count],Table_Respons_Loket[Nomor Tiket]),"")</f>
        <v/>
      </c>
      <c r="D1319" s="15" t="str">
        <f t="array" ref="D1319">IFNA(_xlfn.XLOOKUP(B1319,Table_Respons_Loket[Count],Table_Respons_Loket[Daftar Nomor Hak]),"")</f>
        <v/>
      </c>
      <c r="E1319" s="17" t="str">
        <f t="array" ref="E1319">IFNA(_xlfn.XLOOKUP(B1319,Table_Respons_Loket[Count],Table_Respons_Loket[Time Stamp]),"")</f>
        <v/>
      </c>
      <c r="F1319" s="18" t="str">
        <f t="array" ref="F1319">IFNA(_xlfn.XLOOKUP(B1319,Table_Respons_Loket[Count],Table_Respons_Loket[Jenis Permohonan]),"")</f>
        <v/>
      </c>
      <c r="G1319" s="24"/>
      <c r="H1319" s="24"/>
      <c r="I1319" s="22" t="str">
        <f t="shared" si="7"/>
        <v/>
      </c>
      <c r="J1319" s="20" t="b">
        <v>0</v>
      </c>
      <c r="K1319" s="13" t="str">
        <f t="shared" si="8"/>
        <v/>
      </c>
    </row>
    <row r="1320" ht="22.5" customHeight="1">
      <c r="B1320" s="13">
        <f t="shared" si="3"/>
        <v>1314</v>
      </c>
      <c r="C1320" s="15" t="str">
        <f t="array" ref="C1320">IFNA(_xlfn.XLOOKUP(B1320,Table_Respons_Loket[Count],Table_Respons_Loket[Nomor Tiket]),"")</f>
        <v/>
      </c>
      <c r="D1320" s="15" t="str">
        <f t="array" ref="D1320">IFNA(_xlfn.XLOOKUP(B1320,Table_Respons_Loket[Count],Table_Respons_Loket[Daftar Nomor Hak]),"")</f>
        <v/>
      </c>
      <c r="E1320" s="17" t="str">
        <f t="array" ref="E1320">IFNA(_xlfn.XLOOKUP(B1320,Table_Respons_Loket[Count],Table_Respons_Loket[Time Stamp]),"")</f>
        <v/>
      </c>
      <c r="F1320" s="18" t="str">
        <f t="array" ref="F1320">IFNA(_xlfn.XLOOKUP(B1320,Table_Respons_Loket[Count],Table_Respons_Loket[Jenis Permohonan]),"")</f>
        <v/>
      </c>
      <c r="G1320" s="24"/>
      <c r="H1320" s="24"/>
      <c r="I1320" s="22" t="str">
        <f t="shared" si="7"/>
        <v/>
      </c>
      <c r="J1320" s="20" t="b">
        <v>0</v>
      </c>
      <c r="K1320" s="13" t="str">
        <f t="shared" si="8"/>
        <v/>
      </c>
    </row>
    <row r="1321" ht="22.5" customHeight="1">
      <c r="B1321" s="13">
        <f t="shared" si="3"/>
        <v>1315</v>
      </c>
      <c r="C1321" s="15" t="str">
        <f t="array" ref="C1321">IFNA(_xlfn.XLOOKUP(B1321,Table_Respons_Loket[Count],Table_Respons_Loket[Nomor Tiket]),"")</f>
        <v/>
      </c>
      <c r="D1321" s="15" t="str">
        <f t="array" ref="D1321">IFNA(_xlfn.XLOOKUP(B1321,Table_Respons_Loket[Count],Table_Respons_Loket[Daftar Nomor Hak]),"")</f>
        <v/>
      </c>
      <c r="E1321" s="17" t="str">
        <f t="array" ref="E1321">IFNA(_xlfn.XLOOKUP(B1321,Table_Respons_Loket[Count],Table_Respons_Loket[Time Stamp]),"")</f>
        <v/>
      </c>
      <c r="F1321" s="18" t="str">
        <f t="array" ref="F1321">IFNA(_xlfn.XLOOKUP(B1321,Table_Respons_Loket[Count],Table_Respons_Loket[Jenis Permohonan]),"")</f>
        <v/>
      </c>
      <c r="G1321" s="24"/>
      <c r="H1321" s="24"/>
      <c r="I1321" s="22" t="str">
        <f t="shared" si="7"/>
        <v/>
      </c>
      <c r="J1321" s="20" t="b">
        <v>0</v>
      </c>
      <c r="K1321" s="13" t="str">
        <f t="shared" si="8"/>
        <v/>
      </c>
    </row>
    <row r="1322" ht="22.5" customHeight="1">
      <c r="B1322" s="13">
        <f t="shared" si="3"/>
        <v>1316</v>
      </c>
      <c r="C1322" s="15" t="str">
        <f t="array" ref="C1322">IFNA(_xlfn.XLOOKUP(B1322,Table_Respons_Loket[Count],Table_Respons_Loket[Nomor Tiket]),"")</f>
        <v/>
      </c>
      <c r="D1322" s="15" t="str">
        <f t="array" ref="D1322">IFNA(_xlfn.XLOOKUP(B1322,Table_Respons_Loket[Count],Table_Respons_Loket[Daftar Nomor Hak]),"")</f>
        <v/>
      </c>
      <c r="E1322" s="17" t="str">
        <f t="array" ref="E1322">IFNA(_xlfn.XLOOKUP(B1322,Table_Respons_Loket[Count],Table_Respons_Loket[Time Stamp]),"")</f>
        <v/>
      </c>
      <c r="F1322" s="18" t="str">
        <f t="array" ref="F1322">IFNA(_xlfn.XLOOKUP(B1322,Table_Respons_Loket[Count],Table_Respons_Loket[Jenis Permohonan]),"")</f>
        <v/>
      </c>
      <c r="G1322" s="24"/>
      <c r="H1322" s="24"/>
      <c r="I1322" s="22" t="str">
        <f t="shared" si="7"/>
        <v/>
      </c>
      <c r="J1322" s="20" t="b">
        <v>0</v>
      </c>
      <c r="K1322" s="13" t="str">
        <f t="shared" si="8"/>
        <v/>
      </c>
    </row>
    <row r="1323" ht="22.5" customHeight="1">
      <c r="B1323" s="13">
        <f t="shared" si="3"/>
        <v>1317</v>
      </c>
      <c r="C1323" s="15" t="str">
        <f t="array" ref="C1323">IFNA(_xlfn.XLOOKUP(B1323,Table_Respons_Loket[Count],Table_Respons_Loket[Nomor Tiket]),"")</f>
        <v/>
      </c>
      <c r="D1323" s="15" t="str">
        <f t="array" ref="D1323">IFNA(_xlfn.XLOOKUP(B1323,Table_Respons_Loket[Count],Table_Respons_Loket[Daftar Nomor Hak]),"")</f>
        <v/>
      </c>
      <c r="E1323" s="17" t="str">
        <f t="array" ref="E1323">IFNA(_xlfn.XLOOKUP(B1323,Table_Respons_Loket[Count],Table_Respons_Loket[Time Stamp]),"")</f>
        <v/>
      </c>
      <c r="F1323" s="18" t="str">
        <f t="array" ref="F1323">IFNA(_xlfn.XLOOKUP(B1323,Table_Respons_Loket[Count],Table_Respons_Loket[Jenis Permohonan]),"")</f>
        <v/>
      </c>
      <c r="G1323" s="24"/>
      <c r="H1323" s="24"/>
      <c r="I1323" s="22" t="str">
        <f t="shared" si="7"/>
        <v/>
      </c>
      <c r="J1323" s="20" t="b">
        <v>0</v>
      </c>
      <c r="K1323" s="13" t="str">
        <f t="shared" si="8"/>
        <v/>
      </c>
    </row>
    <row r="1324" ht="22.5" customHeight="1">
      <c r="B1324" s="13">
        <f t="shared" si="3"/>
        <v>1318</v>
      </c>
      <c r="C1324" s="15" t="str">
        <f t="array" ref="C1324">IFNA(_xlfn.XLOOKUP(B1324,Table_Respons_Loket[Count],Table_Respons_Loket[Nomor Tiket]),"")</f>
        <v/>
      </c>
      <c r="D1324" s="15" t="str">
        <f t="array" ref="D1324">IFNA(_xlfn.XLOOKUP(B1324,Table_Respons_Loket[Count],Table_Respons_Loket[Daftar Nomor Hak]),"")</f>
        <v/>
      </c>
      <c r="E1324" s="17" t="str">
        <f t="array" ref="E1324">IFNA(_xlfn.XLOOKUP(B1324,Table_Respons_Loket[Count],Table_Respons_Loket[Time Stamp]),"")</f>
        <v/>
      </c>
      <c r="F1324" s="18" t="str">
        <f t="array" ref="F1324">IFNA(_xlfn.XLOOKUP(B1324,Table_Respons_Loket[Count],Table_Respons_Loket[Jenis Permohonan]),"")</f>
        <v/>
      </c>
      <c r="G1324" s="24"/>
      <c r="H1324" s="24"/>
      <c r="I1324" s="22" t="str">
        <f t="shared" si="7"/>
        <v/>
      </c>
      <c r="J1324" s="20" t="b">
        <v>0</v>
      </c>
      <c r="K1324" s="13" t="str">
        <f t="shared" si="8"/>
        <v/>
      </c>
    </row>
    <row r="1325" ht="22.5" customHeight="1">
      <c r="B1325" s="13">
        <f t="shared" si="3"/>
        <v>1319</v>
      </c>
      <c r="C1325" s="15" t="str">
        <f t="array" ref="C1325">IFNA(_xlfn.XLOOKUP(B1325,Table_Respons_Loket[Count],Table_Respons_Loket[Nomor Tiket]),"")</f>
        <v/>
      </c>
      <c r="D1325" s="15" t="str">
        <f t="array" ref="D1325">IFNA(_xlfn.XLOOKUP(B1325,Table_Respons_Loket[Count],Table_Respons_Loket[Daftar Nomor Hak]),"")</f>
        <v/>
      </c>
      <c r="E1325" s="17" t="str">
        <f t="array" ref="E1325">IFNA(_xlfn.XLOOKUP(B1325,Table_Respons_Loket[Count],Table_Respons_Loket[Time Stamp]),"")</f>
        <v/>
      </c>
      <c r="F1325" s="18" t="str">
        <f t="array" ref="F1325">IFNA(_xlfn.XLOOKUP(B1325,Table_Respons_Loket[Count],Table_Respons_Loket[Jenis Permohonan]),"")</f>
        <v/>
      </c>
      <c r="G1325" s="24"/>
      <c r="H1325" s="24"/>
      <c r="I1325" s="22" t="str">
        <f t="shared" si="7"/>
        <v/>
      </c>
      <c r="J1325" s="20" t="b">
        <v>0</v>
      </c>
      <c r="K1325" s="13" t="str">
        <f t="shared" si="8"/>
        <v/>
      </c>
    </row>
    <row r="1326" ht="22.5" customHeight="1">
      <c r="B1326" s="13">
        <f t="shared" si="3"/>
        <v>1320</v>
      </c>
      <c r="C1326" s="15" t="str">
        <f t="array" ref="C1326">IFNA(_xlfn.XLOOKUP(B1326,Table_Respons_Loket[Count],Table_Respons_Loket[Nomor Tiket]),"")</f>
        <v/>
      </c>
      <c r="D1326" s="15" t="str">
        <f t="array" ref="D1326">IFNA(_xlfn.XLOOKUP(B1326,Table_Respons_Loket[Count],Table_Respons_Loket[Daftar Nomor Hak]),"")</f>
        <v/>
      </c>
      <c r="E1326" s="17" t="str">
        <f t="array" ref="E1326">IFNA(_xlfn.XLOOKUP(B1326,Table_Respons_Loket[Count],Table_Respons_Loket[Time Stamp]),"")</f>
        <v/>
      </c>
      <c r="F1326" s="18" t="str">
        <f t="array" ref="F1326">IFNA(_xlfn.XLOOKUP(B1326,Table_Respons_Loket[Count],Table_Respons_Loket[Jenis Permohonan]),"")</f>
        <v/>
      </c>
      <c r="G1326" s="24"/>
      <c r="H1326" s="24"/>
      <c r="I1326" s="22" t="str">
        <f t="shared" si="7"/>
        <v/>
      </c>
      <c r="J1326" s="20" t="b">
        <v>0</v>
      </c>
      <c r="K1326" s="13" t="str">
        <f t="shared" si="8"/>
        <v/>
      </c>
    </row>
    <row r="1327" ht="22.5" customHeight="1">
      <c r="B1327" s="13">
        <f t="shared" si="3"/>
        <v>1321</v>
      </c>
      <c r="C1327" s="15" t="str">
        <f t="array" ref="C1327">IFNA(_xlfn.XLOOKUP(B1327,Table_Respons_Loket[Count],Table_Respons_Loket[Nomor Tiket]),"")</f>
        <v/>
      </c>
      <c r="D1327" s="15" t="str">
        <f t="array" ref="D1327">IFNA(_xlfn.XLOOKUP(B1327,Table_Respons_Loket[Count],Table_Respons_Loket[Daftar Nomor Hak]),"")</f>
        <v/>
      </c>
      <c r="E1327" s="17" t="str">
        <f t="array" ref="E1327">IFNA(_xlfn.XLOOKUP(B1327,Table_Respons_Loket[Count],Table_Respons_Loket[Time Stamp]),"")</f>
        <v/>
      </c>
      <c r="F1327" s="18" t="str">
        <f t="array" ref="F1327">IFNA(_xlfn.XLOOKUP(B1327,Table_Respons_Loket[Count],Table_Respons_Loket[Jenis Permohonan]),"")</f>
        <v/>
      </c>
      <c r="G1327" s="24"/>
      <c r="H1327" s="24"/>
      <c r="I1327" s="22" t="str">
        <f t="shared" si="7"/>
        <v/>
      </c>
      <c r="J1327" s="20" t="b">
        <v>0</v>
      </c>
      <c r="K1327" s="13" t="str">
        <f t="shared" si="8"/>
        <v/>
      </c>
    </row>
    <row r="1328" ht="22.5" customHeight="1">
      <c r="B1328" s="13">
        <f t="shared" si="3"/>
        <v>1322</v>
      </c>
      <c r="C1328" s="15" t="str">
        <f t="array" ref="C1328">IFNA(_xlfn.XLOOKUP(B1328,Table_Respons_Loket[Count],Table_Respons_Loket[Nomor Tiket]),"")</f>
        <v/>
      </c>
      <c r="D1328" s="15" t="str">
        <f t="array" ref="D1328">IFNA(_xlfn.XLOOKUP(B1328,Table_Respons_Loket[Count],Table_Respons_Loket[Daftar Nomor Hak]),"")</f>
        <v/>
      </c>
      <c r="E1328" s="17" t="str">
        <f t="array" ref="E1328">IFNA(_xlfn.XLOOKUP(B1328,Table_Respons_Loket[Count],Table_Respons_Loket[Time Stamp]),"")</f>
        <v/>
      </c>
      <c r="F1328" s="18" t="str">
        <f t="array" ref="F1328">IFNA(_xlfn.XLOOKUP(B1328,Table_Respons_Loket[Count],Table_Respons_Loket[Jenis Permohonan]),"")</f>
        <v/>
      </c>
      <c r="G1328" s="24"/>
      <c r="H1328" s="24"/>
      <c r="I1328" s="22" t="str">
        <f t="shared" si="7"/>
        <v/>
      </c>
      <c r="J1328" s="20" t="b">
        <v>0</v>
      </c>
      <c r="K1328" s="13" t="str">
        <f t="shared" si="8"/>
        <v/>
      </c>
    </row>
    <row r="1329" ht="22.5" customHeight="1">
      <c r="B1329" s="13">
        <f t="shared" si="3"/>
        <v>1323</v>
      </c>
      <c r="C1329" s="15" t="str">
        <f t="array" ref="C1329">IFNA(_xlfn.XLOOKUP(B1329,Table_Respons_Loket[Count],Table_Respons_Loket[Nomor Tiket]),"")</f>
        <v/>
      </c>
      <c r="D1329" s="15" t="str">
        <f t="array" ref="D1329">IFNA(_xlfn.XLOOKUP(B1329,Table_Respons_Loket[Count],Table_Respons_Loket[Daftar Nomor Hak]),"")</f>
        <v/>
      </c>
      <c r="E1329" s="17" t="str">
        <f t="array" ref="E1329">IFNA(_xlfn.XLOOKUP(B1329,Table_Respons_Loket[Count],Table_Respons_Loket[Time Stamp]),"")</f>
        <v/>
      </c>
      <c r="F1329" s="18" t="str">
        <f t="array" ref="F1329">IFNA(_xlfn.XLOOKUP(B1329,Table_Respons_Loket[Count],Table_Respons_Loket[Jenis Permohonan]),"")</f>
        <v/>
      </c>
      <c r="G1329" s="24"/>
      <c r="H1329" s="24"/>
      <c r="I1329" s="22" t="str">
        <f t="shared" si="7"/>
        <v/>
      </c>
      <c r="J1329" s="20" t="b">
        <v>0</v>
      </c>
      <c r="K1329" s="13" t="str">
        <f t="shared" si="8"/>
        <v/>
      </c>
    </row>
    <row r="1330" ht="22.5" customHeight="1">
      <c r="B1330" s="13">
        <f t="shared" si="3"/>
        <v>1324</v>
      </c>
      <c r="C1330" s="15" t="str">
        <f t="array" ref="C1330">IFNA(_xlfn.XLOOKUP(B1330,Table_Respons_Loket[Count],Table_Respons_Loket[Nomor Tiket]),"")</f>
        <v/>
      </c>
      <c r="D1330" s="15" t="str">
        <f t="array" ref="D1330">IFNA(_xlfn.XLOOKUP(B1330,Table_Respons_Loket[Count],Table_Respons_Loket[Daftar Nomor Hak]),"")</f>
        <v/>
      </c>
      <c r="E1330" s="17" t="str">
        <f t="array" ref="E1330">IFNA(_xlfn.XLOOKUP(B1330,Table_Respons_Loket[Count],Table_Respons_Loket[Time Stamp]),"")</f>
        <v/>
      </c>
      <c r="F1330" s="18" t="str">
        <f t="array" ref="F1330">IFNA(_xlfn.XLOOKUP(B1330,Table_Respons_Loket[Count],Table_Respons_Loket[Jenis Permohonan]),"")</f>
        <v/>
      </c>
      <c r="G1330" s="24"/>
      <c r="H1330" s="24"/>
      <c r="I1330" s="22" t="str">
        <f t="shared" si="7"/>
        <v/>
      </c>
      <c r="J1330" s="20" t="b">
        <v>0</v>
      </c>
      <c r="K1330" s="13" t="str">
        <f t="shared" si="8"/>
        <v/>
      </c>
    </row>
    <row r="1331" ht="22.5" customHeight="1">
      <c r="B1331" s="13">
        <f t="shared" si="3"/>
        <v>1325</v>
      </c>
      <c r="C1331" s="15" t="str">
        <f t="array" ref="C1331">IFNA(_xlfn.XLOOKUP(B1331,Table_Respons_Loket[Count],Table_Respons_Loket[Nomor Tiket]),"")</f>
        <v/>
      </c>
      <c r="D1331" s="15" t="str">
        <f t="array" ref="D1331">IFNA(_xlfn.XLOOKUP(B1331,Table_Respons_Loket[Count],Table_Respons_Loket[Daftar Nomor Hak]),"")</f>
        <v/>
      </c>
      <c r="E1331" s="17" t="str">
        <f t="array" ref="E1331">IFNA(_xlfn.XLOOKUP(B1331,Table_Respons_Loket[Count],Table_Respons_Loket[Time Stamp]),"")</f>
        <v/>
      </c>
      <c r="F1331" s="18" t="str">
        <f t="array" ref="F1331">IFNA(_xlfn.XLOOKUP(B1331,Table_Respons_Loket[Count],Table_Respons_Loket[Jenis Permohonan]),"")</f>
        <v/>
      </c>
      <c r="G1331" s="24"/>
      <c r="H1331" s="24"/>
      <c r="I1331" s="22" t="str">
        <f t="shared" si="7"/>
        <v/>
      </c>
      <c r="J1331" s="20" t="b">
        <v>0</v>
      </c>
      <c r="K1331" s="13" t="str">
        <f t="shared" si="8"/>
        <v/>
      </c>
    </row>
    <row r="1332" ht="22.5" customHeight="1">
      <c r="B1332" s="13">
        <f t="shared" si="3"/>
        <v>1326</v>
      </c>
      <c r="C1332" s="15" t="str">
        <f t="array" ref="C1332">IFNA(_xlfn.XLOOKUP(B1332,Table_Respons_Loket[Count],Table_Respons_Loket[Nomor Tiket]),"")</f>
        <v/>
      </c>
      <c r="D1332" s="15" t="str">
        <f t="array" ref="D1332">IFNA(_xlfn.XLOOKUP(B1332,Table_Respons_Loket[Count],Table_Respons_Loket[Daftar Nomor Hak]),"")</f>
        <v/>
      </c>
      <c r="E1332" s="17" t="str">
        <f t="array" ref="E1332">IFNA(_xlfn.XLOOKUP(B1332,Table_Respons_Loket[Count],Table_Respons_Loket[Time Stamp]),"")</f>
        <v/>
      </c>
      <c r="F1332" s="18" t="str">
        <f t="array" ref="F1332">IFNA(_xlfn.XLOOKUP(B1332,Table_Respons_Loket[Count],Table_Respons_Loket[Jenis Permohonan]),"")</f>
        <v/>
      </c>
      <c r="G1332" s="24"/>
      <c r="H1332" s="24"/>
      <c r="I1332" s="22" t="str">
        <f t="shared" si="7"/>
        <v/>
      </c>
      <c r="J1332" s="20" t="b">
        <v>0</v>
      </c>
      <c r="K1332" s="13" t="str">
        <f t="shared" si="8"/>
        <v/>
      </c>
    </row>
    <row r="1333" ht="22.5" customHeight="1">
      <c r="B1333" s="13">
        <f t="shared" si="3"/>
        <v>1327</v>
      </c>
      <c r="C1333" s="15" t="str">
        <f t="array" ref="C1333">IFNA(_xlfn.XLOOKUP(B1333,Table_Respons_Loket[Count],Table_Respons_Loket[Nomor Tiket]),"")</f>
        <v/>
      </c>
      <c r="D1333" s="15" t="str">
        <f t="array" ref="D1333">IFNA(_xlfn.XLOOKUP(B1333,Table_Respons_Loket[Count],Table_Respons_Loket[Daftar Nomor Hak]),"")</f>
        <v/>
      </c>
      <c r="E1333" s="17" t="str">
        <f t="array" ref="E1333">IFNA(_xlfn.XLOOKUP(B1333,Table_Respons_Loket[Count],Table_Respons_Loket[Time Stamp]),"")</f>
        <v/>
      </c>
      <c r="F1333" s="18" t="str">
        <f t="array" ref="F1333">IFNA(_xlfn.XLOOKUP(B1333,Table_Respons_Loket[Count],Table_Respons_Loket[Jenis Permohonan]),"")</f>
        <v/>
      </c>
      <c r="G1333" s="24"/>
      <c r="H1333" s="24"/>
      <c r="I1333" s="22" t="str">
        <f t="shared" si="7"/>
        <v/>
      </c>
      <c r="J1333" s="20" t="b">
        <v>0</v>
      </c>
      <c r="K1333" s="13" t="str">
        <f t="shared" si="8"/>
        <v/>
      </c>
    </row>
    <row r="1334" ht="22.5" customHeight="1">
      <c r="B1334" s="13">
        <f t="shared" si="3"/>
        <v>1328</v>
      </c>
      <c r="C1334" s="15" t="str">
        <f t="array" ref="C1334">IFNA(_xlfn.XLOOKUP(B1334,Table_Respons_Loket[Count],Table_Respons_Loket[Nomor Tiket]),"")</f>
        <v/>
      </c>
      <c r="D1334" s="15" t="str">
        <f t="array" ref="D1334">IFNA(_xlfn.XLOOKUP(B1334,Table_Respons_Loket[Count],Table_Respons_Loket[Daftar Nomor Hak]),"")</f>
        <v/>
      </c>
      <c r="E1334" s="17" t="str">
        <f t="array" ref="E1334">IFNA(_xlfn.XLOOKUP(B1334,Table_Respons_Loket[Count],Table_Respons_Loket[Time Stamp]),"")</f>
        <v/>
      </c>
      <c r="F1334" s="18" t="str">
        <f t="array" ref="F1334">IFNA(_xlfn.XLOOKUP(B1334,Table_Respons_Loket[Count],Table_Respons_Loket[Jenis Permohonan]),"")</f>
        <v/>
      </c>
      <c r="G1334" s="24"/>
      <c r="H1334" s="24"/>
      <c r="I1334" s="22" t="str">
        <f t="shared" si="7"/>
        <v/>
      </c>
      <c r="J1334" s="20" t="b">
        <v>0</v>
      </c>
      <c r="K1334" s="13" t="str">
        <f t="shared" si="8"/>
        <v/>
      </c>
    </row>
    <row r="1335" ht="22.5" customHeight="1">
      <c r="B1335" s="13">
        <f t="shared" si="3"/>
        <v>1329</v>
      </c>
      <c r="C1335" s="15" t="str">
        <f t="array" ref="C1335">IFNA(_xlfn.XLOOKUP(B1335,Table_Respons_Loket[Count],Table_Respons_Loket[Nomor Tiket]),"")</f>
        <v/>
      </c>
      <c r="D1335" s="15" t="str">
        <f t="array" ref="D1335">IFNA(_xlfn.XLOOKUP(B1335,Table_Respons_Loket[Count],Table_Respons_Loket[Daftar Nomor Hak]),"")</f>
        <v/>
      </c>
      <c r="E1335" s="17" t="str">
        <f t="array" ref="E1335">IFNA(_xlfn.XLOOKUP(B1335,Table_Respons_Loket[Count],Table_Respons_Loket[Time Stamp]),"")</f>
        <v/>
      </c>
      <c r="F1335" s="18" t="str">
        <f t="array" ref="F1335">IFNA(_xlfn.XLOOKUP(B1335,Table_Respons_Loket[Count],Table_Respons_Loket[Jenis Permohonan]),"")</f>
        <v/>
      </c>
      <c r="G1335" s="24"/>
      <c r="H1335" s="24"/>
      <c r="I1335" s="22" t="str">
        <f t="shared" si="7"/>
        <v/>
      </c>
      <c r="J1335" s="20" t="b">
        <v>0</v>
      </c>
      <c r="K1335" s="13" t="str">
        <f t="shared" si="8"/>
        <v/>
      </c>
    </row>
    <row r="1336" ht="22.5" customHeight="1">
      <c r="B1336" s="13">
        <f t="shared" si="3"/>
        <v>1330</v>
      </c>
      <c r="C1336" s="15" t="str">
        <f t="array" ref="C1336">IFNA(_xlfn.XLOOKUP(B1336,Table_Respons_Loket[Count],Table_Respons_Loket[Nomor Tiket]),"")</f>
        <v/>
      </c>
      <c r="D1336" s="15" t="str">
        <f t="array" ref="D1336">IFNA(_xlfn.XLOOKUP(B1336,Table_Respons_Loket[Count],Table_Respons_Loket[Daftar Nomor Hak]),"")</f>
        <v/>
      </c>
      <c r="E1336" s="17" t="str">
        <f t="array" ref="E1336">IFNA(_xlfn.XLOOKUP(B1336,Table_Respons_Loket[Count],Table_Respons_Loket[Time Stamp]),"")</f>
        <v/>
      </c>
      <c r="F1336" s="18" t="str">
        <f t="array" ref="F1336">IFNA(_xlfn.XLOOKUP(B1336,Table_Respons_Loket[Count],Table_Respons_Loket[Jenis Permohonan]),"")</f>
        <v/>
      </c>
      <c r="G1336" s="24"/>
      <c r="H1336" s="24"/>
      <c r="I1336" s="22" t="str">
        <f t="shared" si="7"/>
        <v/>
      </c>
      <c r="J1336" s="20" t="b">
        <v>0</v>
      </c>
      <c r="K1336" s="13" t="str">
        <f t="shared" si="8"/>
        <v/>
      </c>
    </row>
    <row r="1337" ht="22.5" customHeight="1">
      <c r="B1337" s="13">
        <f t="shared" si="3"/>
        <v>1331</v>
      </c>
      <c r="C1337" s="15" t="str">
        <f t="array" ref="C1337">IFNA(_xlfn.XLOOKUP(B1337,Table_Respons_Loket[Count],Table_Respons_Loket[Nomor Tiket]),"")</f>
        <v/>
      </c>
      <c r="D1337" s="15" t="str">
        <f t="array" ref="D1337">IFNA(_xlfn.XLOOKUP(B1337,Table_Respons_Loket[Count],Table_Respons_Loket[Daftar Nomor Hak]),"")</f>
        <v/>
      </c>
      <c r="E1337" s="17" t="str">
        <f t="array" ref="E1337">IFNA(_xlfn.XLOOKUP(B1337,Table_Respons_Loket[Count],Table_Respons_Loket[Time Stamp]),"")</f>
        <v/>
      </c>
      <c r="F1337" s="18" t="str">
        <f t="array" ref="F1337">IFNA(_xlfn.XLOOKUP(B1337,Table_Respons_Loket[Count],Table_Respons_Loket[Jenis Permohonan]),"")</f>
        <v/>
      </c>
      <c r="G1337" s="24"/>
      <c r="H1337" s="24"/>
      <c r="I1337" s="22" t="str">
        <f t="shared" si="7"/>
        <v/>
      </c>
      <c r="J1337" s="20" t="b">
        <v>0</v>
      </c>
      <c r="K1337" s="13" t="str">
        <f t="shared" si="8"/>
        <v/>
      </c>
    </row>
    <row r="1338" ht="22.5" customHeight="1">
      <c r="B1338" s="13">
        <f t="shared" si="3"/>
        <v>1332</v>
      </c>
      <c r="C1338" s="15" t="str">
        <f t="array" ref="C1338">IFNA(_xlfn.XLOOKUP(B1338,Table_Respons_Loket[Count],Table_Respons_Loket[Nomor Tiket]),"")</f>
        <v/>
      </c>
      <c r="D1338" s="15" t="str">
        <f t="array" ref="D1338">IFNA(_xlfn.XLOOKUP(B1338,Table_Respons_Loket[Count],Table_Respons_Loket[Daftar Nomor Hak]),"")</f>
        <v/>
      </c>
      <c r="E1338" s="17" t="str">
        <f t="array" ref="E1338">IFNA(_xlfn.XLOOKUP(B1338,Table_Respons_Loket[Count],Table_Respons_Loket[Time Stamp]),"")</f>
        <v/>
      </c>
      <c r="F1338" s="18" t="str">
        <f t="array" ref="F1338">IFNA(_xlfn.XLOOKUP(B1338,Table_Respons_Loket[Count],Table_Respons_Loket[Jenis Permohonan]),"")</f>
        <v/>
      </c>
      <c r="G1338" s="24"/>
      <c r="H1338" s="24"/>
      <c r="I1338" s="22" t="str">
        <f t="shared" si="7"/>
        <v/>
      </c>
      <c r="J1338" s="20" t="b">
        <v>0</v>
      </c>
      <c r="K1338" s="13" t="str">
        <f t="shared" si="8"/>
        <v/>
      </c>
    </row>
    <row r="1339" ht="22.5" customHeight="1">
      <c r="B1339" s="13">
        <f t="shared" si="3"/>
        <v>1333</v>
      </c>
      <c r="C1339" s="15" t="str">
        <f t="array" ref="C1339">IFNA(_xlfn.XLOOKUP(B1339,Table_Respons_Loket[Count],Table_Respons_Loket[Nomor Tiket]),"")</f>
        <v/>
      </c>
      <c r="D1339" s="15" t="str">
        <f t="array" ref="D1339">IFNA(_xlfn.XLOOKUP(B1339,Table_Respons_Loket[Count],Table_Respons_Loket[Daftar Nomor Hak]),"")</f>
        <v/>
      </c>
      <c r="E1339" s="17" t="str">
        <f t="array" ref="E1339">IFNA(_xlfn.XLOOKUP(B1339,Table_Respons_Loket[Count],Table_Respons_Loket[Time Stamp]),"")</f>
        <v/>
      </c>
      <c r="F1339" s="18" t="str">
        <f t="array" ref="F1339">IFNA(_xlfn.XLOOKUP(B1339,Table_Respons_Loket[Count],Table_Respons_Loket[Jenis Permohonan]),"")</f>
        <v/>
      </c>
      <c r="G1339" s="24"/>
      <c r="H1339" s="24"/>
      <c r="I1339" s="22" t="str">
        <f t="shared" si="7"/>
        <v/>
      </c>
      <c r="J1339" s="20" t="b">
        <v>0</v>
      </c>
      <c r="K1339" s="13" t="str">
        <f t="shared" si="8"/>
        <v/>
      </c>
    </row>
    <row r="1340" ht="22.5" customHeight="1">
      <c r="B1340" s="13">
        <f t="shared" si="3"/>
        <v>1334</v>
      </c>
      <c r="C1340" s="15" t="str">
        <f t="array" ref="C1340">IFNA(_xlfn.XLOOKUP(B1340,Table_Respons_Loket[Count],Table_Respons_Loket[Nomor Tiket]),"")</f>
        <v/>
      </c>
      <c r="D1340" s="15" t="str">
        <f t="array" ref="D1340">IFNA(_xlfn.XLOOKUP(B1340,Table_Respons_Loket[Count],Table_Respons_Loket[Daftar Nomor Hak]),"")</f>
        <v/>
      </c>
      <c r="E1340" s="17" t="str">
        <f t="array" ref="E1340">IFNA(_xlfn.XLOOKUP(B1340,Table_Respons_Loket[Count],Table_Respons_Loket[Time Stamp]),"")</f>
        <v/>
      </c>
      <c r="F1340" s="18" t="str">
        <f t="array" ref="F1340">IFNA(_xlfn.XLOOKUP(B1340,Table_Respons_Loket[Count],Table_Respons_Loket[Jenis Permohonan]),"")</f>
        <v/>
      </c>
      <c r="G1340" s="24"/>
      <c r="H1340" s="24"/>
      <c r="I1340" s="22" t="str">
        <f t="shared" si="7"/>
        <v/>
      </c>
      <c r="J1340" s="20" t="b">
        <v>0</v>
      </c>
      <c r="K1340" s="13" t="str">
        <f t="shared" si="8"/>
        <v/>
      </c>
    </row>
    <row r="1341" ht="22.5" customHeight="1">
      <c r="B1341" s="13">
        <f t="shared" si="3"/>
        <v>1335</v>
      </c>
      <c r="C1341" s="15" t="str">
        <f t="array" ref="C1341">IFNA(_xlfn.XLOOKUP(B1341,Table_Respons_Loket[Count],Table_Respons_Loket[Nomor Tiket]),"")</f>
        <v/>
      </c>
      <c r="D1341" s="15" t="str">
        <f t="array" ref="D1341">IFNA(_xlfn.XLOOKUP(B1341,Table_Respons_Loket[Count],Table_Respons_Loket[Daftar Nomor Hak]),"")</f>
        <v/>
      </c>
      <c r="E1341" s="17" t="str">
        <f t="array" ref="E1341">IFNA(_xlfn.XLOOKUP(B1341,Table_Respons_Loket[Count],Table_Respons_Loket[Time Stamp]),"")</f>
        <v/>
      </c>
      <c r="F1341" s="18" t="str">
        <f t="array" ref="F1341">IFNA(_xlfn.XLOOKUP(B1341,Table_Respons_Loket[Count],Table_Respons_Loket[Jenis Permohonan]),"")</f>
        <v/>
      </c>
      <c r="G1341" s="24"/>
      <c r="H1341" s="24"/>
      <c r="I1341" s="22" t="str">
        <f t="shared" si="7"/>
        <v/>
      </c>
      <c r="J1341" s="20" t="b">
        <v>0</v>
      </c>
      <c r="K1341" s="13" t="str">
        <f t="shared" si="8"/>
        <v/>
      </c>
    </row>
    <row r="1342" ht="22.5" customHeight="1">
      <c r="B1342" s="13">
        <f t="shared" si="3"/>
        <v>1336</v>
      </c>
      <c r="C1342" s="15" t="str">
        <f t="array" ref="C1342">IFNA(_xlfn.XLOOKUP(B1342,Table_Respons_Loket[Count],Table_Respons_Loket[Nomor Tiket]),"")</f>
        <v/>
      </c>
      <c r="D1342" s="15" t="str">
        <f t="array" ref="D1342">IFNA(_xlfn.XLOOKUP(B1342,Table_Respons_Loket[Count],Table_Respons_Loket[Daftar Nomor Hak]),"")</f>
        <v/>
      </c>
      <c r="E1342" s="17" t="str">
        <f t="array" ref="E1342">IFNA(_xlfn.XLOOKUP(B1342,Table_Respons_Loket[Count],Table_Respons_Loket[Time Stamp]),"")</f>
        <v/>
      </c>
      <c r="F1342" s="18" t="str">
        <f t="array" ref="F1342">IFNA(_xlfn.XLOOKUP(B1342,Table_Respons_Loket[Count],Table_Respons_Loket[Jenis Permohonan]),"")</f>
        <v/>
      </c>
      <c r="G1342" s="24"/>
      <c r="H1342" s="24"/>
      <c r="I1342" s="22" t="str">
        <f t="shared" si="7"/>
        <v/>
      </c>
      <c r="J1342" s="20" t="b">
        <v>0</v>
      </c>
      <c r="K1342" s="13" t="str">
        <f t="shared" si="8"/>
        <v/>
      </c>
    </row>
    <row r="1343" ht="22.5" customHeight="1">
      <c r="B1343" s="13">
        <f t="shared" si="3"/>
        <v>1337</v>
      </c>
      <c r="C1343" s="15" t="str">
        <f t="array" ref="C1343">IFNA(_xlfn.XLOOKUP(B1343,Table_Respons_Loket[Count],Table_Respons_Loket[Nomor Tiket]),"")</f>
        <v/>
      </c>
      <c r="D1343" s="15" t="str">
        <f t="array" ref="D1343">IFNA(_xlfn.XLOOKUP(B1343,Table_Respons_Loket[Count],Table_Respons_Loket[Daftar Nomor Hak]),"")</f>
        <v/>
      </c>
      <c r="E1343" s="17" t="str">
        <f t="array" ref="E1343">IFNA(_xlfn.XLOOKUP(B1343,Table_Respons_Loket[Count],Table_Respons_Loket[Time Stamp]),"")</f>
        <v/>
      </c>
      <c r="F1343" s="18" t="str">
        <f t="array" ref="F1343">IFNA(_xlfn.XLOOKUP(B1343,Table_Respons_Loket[Count],Table_Respons_Loket[Jenis Permohonan]),"")</f>
        <v/>
      </c>
      <c r="G1343" s="24"/>
      <c r="H1343" s="24"/>
      <c r="I1343" s="22" t="str">
        <f t="shared" si="7"/>
        <v/>
      </c>
      <c r="J1343" s="20" t="b">
        <v>0</v>
      </c>
      <c r="K1343" s="13" t="str">
        <f t="shared" si="8"/>
        <v/>
      </c>
    </row>
    <row r="1344" ht="22.5" customHeight="1">
      <c r="B1344" s="13">
        <f t="shared" si="3"/>
        <v>1338</v>
      </c>
      <c r="C1344" s="15" t="str">
        <f t="array" ref="C1344">IFNA(_xlfn.XLOOKUP(B1344,Table_Respons_Loket[Count],Table_Respons_Loket[Nomor Tiket]),"")</f>
        <v/>
      </c>
      <c r="D1344" s="15" t="str">
        <f t="array" ref="D1344">IFNA(_xlfn.XLOOKUP(B1344,Table_Respons_Loket[Count],Table_Respons_Loket[Daftar Nomor Hak]),"")</f>
        <v/>
      </c>
      <c r="E1344" s="17" t="str">
        <f t="array" ref="E1344">IFNA(_xlfn.XLOOKUP(B1344,Table_Respons_Loket[Count],Table_Respons_Loket[Time Stamp]),"")</f>
        <v/>
      </c>
      <c r="F1344" s="18" t="str">
        <f t="array" ref="F1344">IFNA(_xlfn.XLOOKUP(B1344,Table_Respons_Loket[Count],Table_Respons_Loket[Jenis Permohonan]),"")</f>
        <v/>
      </c>
      <c r="G1344" s="24"/>
      <c r="H1344" s="24"/>
      <c r="I1344" s="22" t="str">
        <f t="shared" si="7"/>
        <v/>
      </c>
      <c r="J1344" s="20" t="b">
        <v>0</v>
      </c>
      <c r="K1344" s="13" t="str">
        <f t="shared" si="8"/>
        <v/>
      </c>
    </row>
    <row r="1345" ht="22.5" customHeight="1">
      <c r="B1345" s="13">
        <f t="shared" si="3"/>
        <v>1339</v>
      </c>
      <c r="C1345" s="15" t="str">
        <f t="array" ref="C1345">IFNA(_xlfn.XLOOKUP(B1345,Table_Respons_Loket[Count],Table_Respons_Loket[Nomor Tiket]),"")</f>
        <v/>
      </c>
      <c r="D1345" s="15" t="str">
        <f t="array" ref="D1345">IFNA(_xlfn.XLOOKUP(B1345,Table_Respons_Loket[Count],Table_Respons_Loket[Daftar Nomor Hak]),"")</f>
        <v/>
      </c>
      <c r="E1345" s="17" t="str">
        <f t="array" ref="E1345">IFNA(_xlfn.XLOOKUP(B1345,Table_Respons_Loket[Count],Table_Respons_Loket[Time Stamp]),"")</f>
        <v/>
      </c>
      <c r="F1345" s="18" t="str">
        <f t="array" ref="F1345">IFNA(_xlfn.XLOOKUP(B1345,Table_Respons_Loket[Count],Table_Respons_Loket[Jenis Permohonan]),"")</f>
        <v/>
      </c>
      <c r="G1345" s="24"/>
      <c r="H1345" s="24"/>
      <c r="I1345" s="22" t="str">
        <f t="shared" si="7"/>
        <v/>
      </c>
      <c r="J1345" s="20" t="b">
        <v>0</v>
      </c>
      <c r="K1345" s="13" t="str">
        <f t="shared" si="8"/>
        <v/>
      </c>
    </row>
    <row r="1346" ht="22.5" customHeight="1">
      <c r="B1346" s="13">
        <f t="shared" si="3"/>
        <v>1340</v>
      </c>
      <c r="C1346" s="15" t="str">
        <f t="array" ref="C1346">IFNA(_xlfn.XLOOKUP(B1346,Table_Respons_Loket[Count],Table_Respons_Loket[Nomor Tiket]),"")</f>
        <v/>
      </c>
      <c r="D1346" s="15" t="str">
        <f t="array" ref="D1346">IFNA(_xlfn.XLOOKUP(B1346,Table_Respons_Loket[Count],Table_Respons_Loket[Daftar Nomor Hak]),"")</f>
        <v/>
      </c>
      <c r="E1346" s="17" t="str">
        <f t="array" ref="E1346">IFNA(_xlfn.XLOOKUP(B1346,Table_Respons_Loket[Count],Table_Respons_Loket[Time Stamp]),"")</f>
        <v/>
      </c>
      <c r="F1346" s="18" t="str">
        <f t="array" ref="F1346">IFNA(_xlfn.XLOOKUP(B1346,Table_Respons_Loket[Count],Table_Respons_Loket[Jenis Permohonan]),"")</f>
        <v/>
      </c>
      <c r="G1346" s="24"/>
      <c r="H1346" s="24"/>
      <c r="I1346" s="22" t="str">
        <f t="shared" si="7"/>
        <v/>
      </c>
      <c r="J1346" s="20" t="b">
        <v>0</v>
      </c>
      <c r="K1346" s="13" t="str">
        <f t="shared" si="8"/>
        <v/>
      </c>
    </row>
    <row r="1347" ht="22.5" customHeight="1">
      <c r="B1347" s="13">
        <f t="shared" si="3"/>
        <v>1341</v>
      </c>
      <c r="C1347" s="15" t="str">
        <f t="array" ref="C1347">IFNA(_xlfn.XLOOKUP(B1347,Table_Respons_Loket[Count],Table_Respons_Loket[Nomor Tiket]),"")</f>
        <v/>
      </c>
      <c r="D1347" s="15" t="str">
        <f t="array" ref="D1347">IFNA(_xlfn.XLOOKUP(B1347,Table_Respons_Loket[Count],Table_Respons_Loket[Daftar Nomor Hak]),"")</f>
        <v/>
      </c>
      <c r="E1347" s="17" t="str">
        <f t="array" ref="E1347">IFNA(_xlfn.XLOOKUP(B1347,Table_Respons_Loket[Count],Table_Respons_Loket[Time Stamp]),"")</f>
        <v/>
      </c>
      <c r="F1347" s="18" t="str">
        <f t="array" ref="F1347">IFNA(_xlfn.XLOOKUP(B1347,Table_Respons_Loket[Count],Table_Respons_Loket[Jenis Permohonan]),"")</f>
        <v/>
      </c>
      <c r="G1347" s="24"/>
      <c r="H1347" s="24"/>
      <c r="I1347" s="22" t="str">
        <f t="shared" si="7"/>
        <v/>
      </c>
      <c r="J1347" s="20" t="b">
        <v>0</v>
      </c>
      <c r="K1347" s="13" t="str">
        <f t="shared" si="8"/>
        <v/>
      </c>
    </row>
    <row r="1348" ht="22.5" customHeight="1">
      <c r="B1348" s="13">
        <f t="shared" si="3"/>
        <v>1342</v>
      </c>
      <c r="C1348" s="15" t="str">
        <f t="array" ref="C1348">IFNA(_xlfn.XLOOKUP(B1348,Table_Respons_Loket[Count],Table_Respons_Loket[Nomor Tiket]),"")</f>
        <v/>
      </c>
      <c r="D1348" s="15" t="str">
        <f t="array" ref="D1348">IFNA(_xlfn.XLOOKUP(B1348,Table_Respons_Loket[Count],Table_Respons_Loket[Daftar Nomor Hak]),"")</f>
        <v/>
      </c>
      <c r="E1348" s="17" t="str">
        <f t="array" ref="E1348">IFNA(_xlfn.XLOOKUP(B1348,Table_Respons_Loket[Count],Table_Respons_Loket[Time Stamp]),"")</f>
        <v/>
      </c>
      <c r="F1348" s="18" t="str">
        <f t="array" ref="F1348">IFNA(_xlfn.XLOOKUP(B1348,Table_Respons_Loket[Count],Table_Respons_Loket[Jenis Permohonan]),"")</f>
        <v/>
      </c>
      <c r="G1348" s="24"/>
      <c r="H1348" s="24"/>
      <c r="I1348" s="22" t="str">
        <f t="shared" si="7"/>
        <v/>
      </c>
      <c r="J1348" s="20" t="b">
        <v>0</v>
      </c>
      <c r="K1348" s="13" t="str">
        <f t="shared" si="8"/>
        <v/>
      </c>
    </row>
    <row r="1349" ht="22.5" customHeight="1">
      <c r="B1349" s="13">
        <f t="shared" si="3"/>
        <v>1343</v>
      </c>
      <c r="C1349" s="15" t="str">
        <f t="array" ref="C1349">IFNA(_xlfn.XLOOKUP(B1349,Table_Respons_Loket[Count],Table_Respons_Loket[Nomor Tiket]),"")</f>
        <v/>
      </c>
      <c r="D1349" s="15" t="str">
        <f t="array" ref="D1349">IFNA(_xlfn.XLOOKUP(B1349,Table_Respons_Loket[Count],Table_Respons_Loket[Daftar Nomor Hak]),"")</f>
        <v/>
      </c>
      <c r="E1349" s="17" t="str">
        <f t="array" ref="E1349">IFNA(_xlfn.XLOOKUP(B1349,Table_Respons_Loket[Count],Table_Respons_Loket[Time Stamp]),"")</f>
        <v/>
      </c>
      <c r="F1349" s="18" t="str">
        <f t="array" ref="F1349">IFNA(_xlfn.XLOOKUP(B1349,Table_Respons_Loket[Count],Table_Respons_Loket[Jenis Permohonan]),"")</f>
        <v/>
      </c>
      <c r="G1349" s="24"/>
      <c r="H1349" s="24"/>
      <c r="I1349" s="22" t="str">
        <f t="shared" si="7"/>
        <v/>
      </c>
      <c r="J1349" s="20" t="b">
        <v>0</v>
      </c>
      <c r="K1349" s="13" t="str">
        <f t="shared" si="8"/>
        <v/>
      </c>
    </row>
    <row r="1350" ht="22.5" customHeight="1">
      <c r="B1350" s="13">
        <f t="shared" si="3"/>
        <v>1344</v>
      </c>
      <c r="C1350" s="15" t="str">
        <f t="array" ref="C1350">IFNA(_xlfn.XLOOKUP(B1350,Table_Respons_Loket[Count],Table_Respons_Loket[Nomor Tiket]),"")</f>
        <v/>
      </c>
      <c r="D1350" s="15" t="str">
        <f t="array" ref="D1350">IFNA(_xlfn.XLOOKUP(B1350,Table_Respons_Loket[Count],Table_Respons_Loket[Daftar Nomor Hak]),"")</f>
        <v/>
      </c>
      <c r="E1350" s="17" t="str">
        <f t="array" ref="E1350">IFNA(_xlfn.XLOOKUP(B1350,Table_Respons_Loket[Count],Table_Respons_Loket[Time Stamp]),"")</f>
        <v/>
      </c>
      <c r="F1350" s="18" t="str">
        <f t="array" ref="F1350">IFNA(_xlfn.XLOOKUP(B1350,Table_Respons_Loket[Count],Table_Respons_Loket[Jenis Permohonan]),"")</f>
        <v/>
      </c>
      <c r="G1350" s="24"/>
      <c r="H1350" s="24"/>
      <c r="I1350" s="22" t="str">
        <f t="shared" si="7"/>
        <v/>
      </c>
      <c r="J1350" s="20" t="b">
        <v>0</v>
      </c>
      <c r="K1350" s="13" t="str">
        <f t="shared" si="8"/>
        <v/>
      </c>
    </row>
    <row r="1351" ht="22.5" customHeight="1">
      <c r="B1351" s="13">
        <f t="shared" si="3"/>
        <v>1345</v>
      </c>
      <c r="C1351" s="15" t="str">
        <f t="array" ref="C1351">IFNA(_xlfn.XLOOKUP(B1351,Table_Respons_Loket[Count],Table_Respons_Loket[Nomor Tiket]),"")</f>
        <v/>
      </c>
      <c r="D1351" s="15" t="str">
        <f t="array" ref="D1351">IFNA(_xlfn.XLOOKUP(B1351,Table_Respons_Loket[Count],Table_Respons_Loket[Daftar Nomor Hak]),"")</f>
        <v/>
      </c>
      <c r="E1351" s="17" t="str">
        <f t="array" ref="E1351">IFNA(_xlfn.XLOOKUP(B1351,Table_Respons_Loket[Count],Table_Respons_Loket[Time Stamp]),"")</f>
        <v/>
      </c>
      <c r="F1351" s="18" t="str">
        <f t="array" ref="F1351">IFNA(_xlfn.XLOOKUP(B1351,Table_Respons_Loket[Count],Table_Respons_Loket[Jenis Permohonan]),"")</f>
        <v/>
      </c>
      <c r="G1351" s="24"/>
      <c r="H1351" s="24"/>
      <c r="I1351" s="22" t="str">
        <f t="shared" si="7"/>
        <v/>
      </c>
      <c r="J1351" s="20" t="b">
        <v>0</v>
      </c>
      <c r="K1351" s="13" t="str">
        <f t="shared" si="8"/>
        <v/>
      </c>
    </row>
    <row r="1352" ht="22.5" customHeight="1">
      <c r="B1352" s="13">
        <f t="shared" si="3"/>
        <v>1346</v>
      </c>
      <c r="C1352" s="15" t="str">
        <f t="array" ref="C1352">IFNA(_xlfn.XLOOKUP(B1352,Table_Respons_Loket[Count],Table_Respons_Loket[Nomor Tiket]),"")</f>
        <v/>
      </c>
      <c r="D1352" s="15" t="str">
        <f t="array" ref="D1352">IFNA(_xlfn.XLOOKUP(B1352,Table_Respons_Loket[Count],Table_Respons_Loket[Daftar Nomor Hak]),"")</f>
        <v/>
      </c>
      <c r="E1352" s="17" t="str">
        <f t="array" ref="E1352">IFNA(_xlfn.XLOOKUP(B1352,Table_Respons_Loket[Count],Table_Respons_Loket[Time Stamp]),"")</f>
        <v/>
      </c>
      <c r="F1352" s="18" t="str">
        <f t="array" ref="F1352">IFNA(_xlfn.XLOOKUP(B1352,Table_Respons_Loket[Count],Table_Respons_Loket[Jenis Permohonan]),"")</f>
        <v/>
      </c>
      <c r="G1352" s="24"/>
      <c r="H1352" s="24"/>
      <c r="I1352" s="22" t="str">
        <f t="shared" si="7"/>
        <v/>
      </c>
      <c r="J1352" s="20" t="b">
        <v>0</v>
      </c>
      <c r="K1352" s="13" t="str">
        <f t="shared" si="8"/>
        <v/>
      </c>
    </row>
    <row r="1353" ht="22.5" customHeight="1">
      <c r="B1353" s="13">
        <f t="shared" si="3"/>
        <v>1347</v>
      </c>
      <c r="C1353" s="15" t="str">
        <f t="array" ref="C1353">IFNA(_xlfn.XLOOKUP(B1353,Table_Respons_Loket[Count],Table_Respons_Loket[Nomor Tiket]),"")</f>
        <v/>
      </c>
      <c r="D1353" s="15" t="str">
        <f t="array" ref="D1353">IFNA(_xlfn.XLOOKUP(B1353,Table_Respons_Loket[Count],Table_Respons_Loket[Daftar Nomor Hak]),"")</f>
        <v/>
      </c>
      <c r="E1353" s="17" t="str">
        <f t="array" ref="E1353">IFNA(_xlfn.XLOOKUP(B1353,Table_Respons_Loket[Count],Table_Respons_Loket[Time Stamp]),"")</f>
        <v/>
      </c>
      <c r="F1353" s="18" t="str">
        <f t="array" ref="F1353">IFNA(_xlfn.XLOOKUP(B1353,Table_Respons_Loket[Count],Table_Respons_Loket[Jenis Permohonan]),"")</f>
        <v/>
      </c>
      <c r="G1353" s="24"/>
      <c r="H1353" s="24"/>
      <c r="I1353" s="22" t="str">
        <f t="shared" si="7"/>
        <v/>
      </c>
      <c r="J1353" s="20" t="b">
        <v>0</v>
      </c>
      <c r="K1353" s="13" t="str">
        <f t="shared" si="8"/>
        <v/>
      </c>
    </row>
    <row r="1354" ht="22.5" customHeight="1">
      <c r="B1354" s="13">
        <f t="shared" si="3"/>
        <v>1348</v>
      </c>
      <c r="C1354" s="15" t="str">
        <f t="array" ref="C1354">IFNA(_xlfn.XLOOKUP(B1354,Table_Respons_Loket[Count],Table_Respons_Loket[Nomor Tiket]),"")</f>
        <v/>
      </c>
      <c r="D1354" s="15" t="str">
        <f t="array" ref="D1354">IFNA(_xlfn.XLOOKUP(B1354,Table_Respons_Loket[Count],Table_Respons_Loket[Daftar Nomor Hak]),"")</f>
        <v/>
      </c>
      <c r="E1354" s="17" t="str">
        <f t="array" ref="E1354">IFNA(_xlfn.XLOOKUP(B1354,Table_Respons_Loket[Count],Table_Respons_Loket[Time Stamp]),"")</f>
        <v/>
      </c>
      <c r="F1354" s="18" t="str">
        <f t="array" ref="F1354">IFNA(_xlfn.XLOOKUP(B1354,Table_Respons_Loket[Count],Table_Respons_Loket[Jenis Permohonan]),"")</f>
        <v/>
      </c>
      <c r="G1354" s="24"/>
      <c r="H1354" s="24"/>
      <c r="I1354" s="22" t="str">
        <f t="shared" si="7"/>
        <v/>
      </c>
      <c r="J1354" s="20" t="b">
        <v>0</v>
      </c>
      <c r="K1354" s="13" t="str">
        <f t="shared" si="8"/>
        <v/>
      </c>
    </row>
    <row r="1355" ht="22.5" customHeight="1">
      <c r="B1355" s="13">
        <f t="shared" si="3"/>
        <v>1349</v>
      </c>
      <c r="C1355" s="15" t="str">
        <f t="array" ref="C1355">IFNA(_xlfn.XLOOKUP(B1355,Table_Respons_Loket[Count],Table_Respons_Loket[Nomor Tiket]),"")</f>
        <v/>
      </c>
      <c r="D1355" s="15" t="str">
        <f t="array" ref="D1355">IFNA(_xlfn.XLOOKUP(B1355,Table_Respons_Loket[Count],Table_Respons_Loket[Daftar Nomor Hak]),"")</f>
        <v/>
      </c>
      <c r="E1355" s="17" t="str">
        <f t="array" ref="E1355">IFNA(_xlfn.XLOOKUP(B1355,Table_Respons_Loket[Count],Table_Respons_Loket[Time Stamp]),"")</f>
        <v/>
      </c>
      <c r="F1355" s="18" t="str">
        <f t="array" ref="F1355">IFNA(_xlfn.XLOOKUP(B1355,Table_Respons_Loket[Count],Table_Respons_Loket[Jenis Permohonan]),"")</f>
        <v/>
      </c>
      <c r="G1355" s="24"/>
      <c r="H1355" s="24"/>
      <c r="I1355" s="22" t="str">
        <f t="shared" si="7"/>
        <v/>
      </c>
      <c r="J1355" s="20" t="b">
        <v>0</v>
      </c>
      <c r="K1355" s="13" t="str">
        <f t="shared" si="8"/>
        <v/>
      </c>
    </row>
    <row r="1356" ht="22.5" customHeight="1">
      <c r="B1356" s="13">
        <f t="shared" si="3"/>
        <v>1350</v>
      </c>
      <c r="C1356" s="15" t="str">
        <f t="array" ref="C1356">IFNA(_xlfn.XLOOKUP(B1356,Table_Respons_Loket[Count],Table_Respons_Loket[Nomor Tiket]),"")</f>
        <v/>
      </c>
      <c r="D1356" s="15" t="str">
        <f t="array" ref="D1356">IFNA(_xlfn.XLOOKUP(B1356,Table_Respons_Loket[Count],Table_Respons_Loket[Daftar Nomor Hak]),"")</f>
        <v/>
      </c>
      <c r="E1356" s="17" t="str">
        <f t="array" ref="E1356">IFNA(_xlfn.XLOOKUP(B1356,Table_Respons_Loket[Count],Table_Respons_Loket[Time Stamp]),"")</f>
        <v/>
      </c>
      <c r="F1356" s="18" t="str">
        <f t="array" ref="F1356">IFNA(_xlfn.XLOOKUP(B1356,Table_Respons_Loket[Count],Table_Respons_Loket[Jenis Permohonan]),"")</f>
        <v/>
      </c>
      <c r="G1356" s="24"/>
      <c r="H1356" s="24"/>
      <c r="I1356" s="22" t="str">
        <f t="shared" si="7"/>
        <v/>
      </c>
      <c r="J1356" s="20" t="b">
        <v>0</v>
      </c>
      <c r="K1356" s="13" t="str">
        <f t="shared" si="8"/>
        <v/>
      </c>
    </row>
    <row r="1357" ht="22.5" customHeight="1">
      <c r="B1357" s="13">
        <f t="shared" si="3"/>
        <v>1351</v>
      </c>
      <c r="C1357" s="15" t="str">
        <f t="array" ref="C1357">IFNA(_xlfn.XLOOKUP(B1357,Table_Respons_Loket[Count],Table_Respons_Loket[Nomor Tiket]),"")</f>
        <v/>
      </c>
      <c r="D1357" s="15" t="str">
        <f t="array" ref="D1357">IFNA(_xlfn.XLOOKUP(B1357,Table_Respons_Loket[Count],Table_Respons_Loket[Daftar Nomor Hak]),"")</f>
        <v/>
      </c>
      <c r="E1357" s="17" t="str">
        <f t="array" ref="E1357">IFNA(_xlfn.XLOOKUP(B1357,Table_Respons_Loket[Count],Table_Respons_Loket[Time Stamp]),"")</f>
        <v/>
      </c>
      <c r="F1357" s="18" t="str">
        <f t="array" ref="F1357">IFNA(_xlfn.XLOOKUP(B1357,Table_Respons_Loket[Count],Table_Respons_Loket[Jenis Permohonan]),"")</f>
        <v/>
      </c>
      <c r="G1357" s="24"/>
      <c r="H1357" s="24"/>
      <c r="I1357" s="22" t="str">
        <f t="shared" si="7"/>
        <v/>
      </c>
      <c r="J1357" s="20" t="b">
        <v>0</v>
      </c>
      <c r="K1357" s="13" t="str">
        <f t="shared" si="8"/>
        <v/>
      </c>
    </row>
    <row r="1358" ht="22.5" customHeight="1">
      <c r="B1358" s="13">
        <f t="shared" si="3"/>
        <v>1352</v>
      </c>
      <c r="C1358" s="15" t="str">
        <f t="array" ref="C1358">IFNA(_xlfn.XLOOKUP(B1358,Table_Respons_Loket[Count],Table_Respons_Loket[Nomor Tiket]),"")</f>
        <v/>
      </c>
      <c r="D1358" s="15" t="str">
        <f t="array" ref="D1358">IFNA(_xlfn.XLOOKUP(B1358,Table_Respons_Loket[Count],Table_Respons_Loket[Daftar Nomor Hak]),"")</f>
        <v/>
      </c>
      <c r="E1358" s="17" t="str">
        <f t="array" ref="E1358">IFNA(_xlfn.XLOOKUP(B1358,Table_Respons_Loket[Count],Table_Respons_Loket[Time Stamp]),"")</f>
        <v/>
      </c>
      <c r="F1358" s="18" t="str">
        <f t="array" ref="F1358">IFNA(_xlfn.XLOOKUP(B1358,Table_Respons_Loket[Count],Table_Respons_Loket[Jenis Permohonan]),"")</f>
        <v/>
      </c>
      <c r="G1358" s="24"/>
      <c r="H1358" s="24"/>
      <c r="I1358" s="22" t="str">
        <f t="shared" si="7"/>
        <v/>
      </c>
      <c r="J1358" s="20" t="b">
        <v>0</v>
      </c>
      <c r="K1358" s="13" t="str">
        <f t="shared" si="8"/>
        <v/>
      </c>
    </row>
    <row r="1359" ht="22.5" customHeight="1">
      <c r="B1359" s="13">
        <f t="shared" si="3"/>
        <v>1353</v>
      </c>
      <c r="C1359" s="15" t="str">
        <f t="array" ref="C1359">IFNA(_xlfn.XLOOKUP(B1359,Table_Respons_Loket[Count],Table_Respons_Loket[Nomor Tiket]),"")</f>
        <v/>
      </c>
      <c r="D1359" s="15" t="str">
        <f t="array" ref="D1359">IFNA(_xlfn.XLOOKUP(B1359,Table_Respons_Loket[Count],Table_Respons_Loket[Daftar Nomor Hak]),"")</f>
        <v/>
      </c>
      <c r="E1359" s="17" t="str">
        <f t="array" ref="E1359">IFNA(_xlfn.XLOOKUP(B1359,Table_Respons_Loket[Count],Table_Respons_Loket[Time Stamp]),"")</f>
        <v/>
      </c>
      <c r="F1359" s="18" t="str">
        <f t="array" ref="F1359">IFNA(_xlfn.XLOOKUP(B1359,Table_Respons_Loket[Count],Table_Respons_Loket[Jenis Permohonan]),"")</f>
        <v/>
      </c>
      <c r="G1359" s="24"/>
      <c r="H1359" s="24"/>
      <c r="I1359" s="22" t="str">
        <f t="shared" si="7"/>
        <v/>
      </c>
      <c r="J1359" s="20" t="b">
        <v>0</v>
      </c>
      <c r="K1359" s="13" t="str">
        <f t="shared" si="8"/>
        <v/>
      </c>
    </row>
    <row r="1360" ht="22.5" customHeight="1">
      <c r="B1360" s="13">
        <f t="shared" si="3"/>
        <v>1354</v>
      </c>
      <c r="C1360" s="15" t="str">
        <f t="array" ref="C1360">IFNA(_xlfn.XLOOKUP(B1360,Table_Respons_Loket[Count],Table_Respons_Loket[Nomor Tiket]),"")</f>
        <v/>
      </c>
      <c r="D1360" s="15" t="str">
        <f t="array" ref="D1360">IFNA(_xlfn.XLOOKUP(B1360,Table_Respons_Loket[Count],Table_Respons_Loket[Daftar Nomor Hak]),"")</f>
        <v/>
      </c>
      <c r="E1360" s="17" t="str">
        <f t="array" ref="E1360">IFNA(_xlfn.XLOOKUP(B1360,Table_Respons_Loket[Count],Table_Respons_Loket[Time Stamp]),"")</f>
        <v/>
      </c>
      <c r="F1360" s="18" t="str">
        <f t="array" ref="F1360">IFNA(_xlfn.XLOOKUP(B1360,Table_Respons_Loket[Count],Table_Respons_Loket[Jenis Permohonan]),"")</f>
        <v/>
      </c>
      <c r="G1360" s="24"/>
      <c r="H1360" s="24"/>
      <c r="I1360" s="22" t="str">
        <f t="shared" si="7"/>
        <v/>
      </c>
      <c r="J1360" s="20" t="b">
        <v>0</v>
      </c>
      <c r="K1360" s="13" t="str">
        <f t="shared" si="8"/>
        <v/>
      </c>
    </row>
    <row r="1361" ht="22.5" customHeight="1">
      <c r="B1361" s="13">
        <f t="shared" si="3"/>
        <v>1355</v>
      </c>
      <c r="C1361" s="15" t="str">
        <f t="array" ref="C1361">IFNA(_xlfn.XLOOKUP(B1361,Table_Respons_Loket[Count],Table_Respons_Loket[Nomor Tiket]),"")</f>
        <v/>
      </c>
      <c r="D1361" s="15" t="str">
        <f t="array" ref="D1361">IFNA(_xlfn.XLOOKUP(B1361,Table_Respons_Loket[Count],Table_Respons_Loket[Daftar Nomor Hak]),"")</f>
        <v/>
      </c>
      <c r="E1361" s="17" t="str">
        <f t="array" ref="E1361">IFNA(_xlfn.XLOOKUP(B1361,Table_Respons_Loket[Count],Table_Respons_Loket[Time Stamp]),"")</f>
        <v/>
      </c>
      <c r="F1361" s="18" t="str">
        <f t="array" ref="F1361">IFNA(_xlfn.XLOOKUP(B1361,Table_Respons_Loket[Count],Table_Respons_Loket[Jenis Permohonan]),"")</f>
        <v/>
      </c>
      <c r="G1361" s="24"/>
      <c r="H1361" s="24"/>
      <c r="I1361" s="22" t="str">
        <f t="shared" si="7"/>
        <v/>
      </c>
      <c r="J1361" s="20" t="b">
        <v>0</v>
      </c>
      <c r="K1361" s="13" t="str">
        <f t="shared" si="8"/>
        <v/>
      </c>
    </row>
    <row r="1362" ht="22.5" customHeight="1">
      <c r="B1362" s="13">
        <f t="shared" si="3"/>
        <v>1356</v>
      </c>
      <c r="C1362" s="15" t="str">
        <f t="array" ref="C1362">IFNA(_xlfn.XLOOKUP(B1362,Table_Respons_Loket[Count],Table_Respons_Loket[Nomor Tiket]),"")</f>
        <v/>
      </c>
      <c r="D1362" s="15" t="str">
        <f t="array" ref="D1362">IFNA(_xlfn.XLOOKUP(B1362,Table_Respons_Loket[Count],Table_Respons_Loket[Daftar Nomor Hak]),"")</f>
        <v/>
      </c>
      <c r="E1362" s="17" t="str">
        <f t="array" ref="E1362">IFNA(_xlfn.XLOOKUP(B1362,Table_Respons_Loket[Count],Table_Respons_Loket[Time Stamp]),"")</f>
        <v/>
      </c>
      <c r="F1362" s="18" t="str">
        <f t="array" ref="F1362">IFNA(_xlfn.XLOOKUP(B1362,Table_Respons_Loket[Count],Table_Respons_Loket[Jenis Permohonan]),"")</f>
        <v/>
      </c>
      <c r="G1362" s="24"/>
      <c r="H1362" s="24"/>
      <c r="I1362" s="22" t="str">
        <f t="shared" si="7"/>
        <v/>
      </c>
      <c r="J1362" s="20" t="b">
        <v>0</v>
      </c>
      <c r="K1362" s="13" t="str">
        <f t="shared" si="8"/>
        <v/>
      </c>
    </row>
    <row r="1363" ht="22.5" customHeight="1">
      <c r="B1363" s="13">
        <f t="shared" si="3"/>
        <v>1357</v>
      </c>
      <c r="C1363" s="15" t="str">
        <f t="array" ref="C1363">IFNA(_xlfn.XLOOKUP(B1363,Table_Respons_Loket[Count],Table_Respons_Loket[Nomor Tiket]),"")</f>
        <v/>
      </c>
      <c r="D1363" s="15" t="str">
        <f t="array" ref="D1363">IFNA(_xlfn.XLOOKUP(B1363,Table_Respons_Loket[Count],Table_Respons_Loket[Daftar Nomor Hak]),"")</f>
        <v/>
      </c>
      <c r="E1363" s="17" t="str">
        <f t="array" ref="E1363">IFNA(_xlfn.XLOOKUP(B1363,Table_Respons_Loket[Count],Table_Respons_Loket[Time Stamp]),"")</f>
        <v/>
      </c>
      <c r="F1363" s="18" t="str">
        <f t="array" ref="F1363">IFNA(_xlfn.XLOOKUP(B1363,Table_Respons_Loket[Count],Table_Respons_Loket[Jenis Permohonan]),"")</f>
        <v/>
      </c>
      <c r="G1363" s="24"/>
      <c r="H1363" s="24"/>
      <c r="I1363" s="22" t="str">
        <f t="shared" si="7"/>
        <v/>
      </c>
      <c r="J1363" s="20" t="b">
        <v>0</v>
      </c>
      <c r="K1363" s="13" t="str">
        <f t="shared" si="8"/>
        <v/>
      </c>
    </row>
    <row r="1364" ht="22.5" customHeight="1">
      <c r="B1364" s="13">
        <f t="shared" si="3"/>
        <v>1358</v>
      </c>
      <c r="C1364" s="15" t="str">
        <f t="array" ref="C1364">IFNA(_xlfn.XLOOKUP(B1364,Table_Respons_Loket[Count],Table_Respons_Loket[Nomor Tiket]),"")</f>
        <v/>
      </c>
      <c r="D1364" s="15" t="str">
        <f t="array" ref="D1364">IFNA(_xlfn.XLOOKUP(B1364,Table_Respons_Loket[Count],Table_Respons_Loket[Daftar Nomor Hak]),"")</f>
        <v/>
      </c>
      <c r="E1364" s="17" t="str">
        <f t="array" ref="E1364">IFNA(_xlfn.XLOOKUP(B1364,Table_Respons_Loket[Count],Table_Respons_Loket[Time Stamp]),"")</f>
        <v/>
      </c>
      <c r="F1364" s="18" t="str">
        <f t="array" ref="F1364">IFNA(_xlfn.XLOOKUP(B1364,Table_Respons_Loket[Count],Table_Respons_Loket[Jenis Permohonan]),"")</f>
        <v/>
      </c>
      <c r="G1364" s="24"/>
      <c r="H1364" s="24"/>
      <c r="I1364" s="22" t="str">
        <f t="shared" si="7"/>
        <v/>
      </c>
      <c r="J1364" s="20" t="b">
        <v>0</v>
      </c>
      <c r="K1364" s="13" t="str">
        <f t="shared" si="8"/>
        <v/>
      </c>
    </row>
    <row r="1365" ht="22.5" customHeight="1">
      <c r="B1365" s="13">
        <f t="shared" si="3"/>
        <v>1359</v>
      </c>
      <c r="C1365" s="15" t="str">
        <f t="array" ref="C1365">IFNA(_xlfn.XLOOKUP(B1365,Table_Respons_Loket[Count],Table_Respons_Loket[Nomor Tiket]),"")</f>
        <v/>
      </c>
      <c r="D1365" s="15" t="str">
        <f t="array" ref="D1365">IFNA(_xlfn.XLOOKUP(B1365,Table_Respons_Loket[Count],Table_Respons_Loket[Daftar Nomor Hak]),"")</f>
        <v/>
      </c>
      <c r="E1365" s="17" t="str">
        <f t="array" ref="E1365">IFNA(_xlfn.XLOOKUP(B1365,Table_Respons_Loket[Count],Table_Respons_Loket[Time Stamp]),"")</f>
        <v/>
      </c>
      <c r="F1365" s="18" t="str">
        <f t="array" ref="F1365">IFNA(_xlfn.XLOOKUP(B1365,Table_Respons_Loket[Count],Table_Respons_Loket[Jenis Permohonan]),"")</f>
        <v/>
      </c>
      <c r="G1365" s="24"/>
      <c r="H1365" s="24"/>
      <c r="I1365" s="22" t="str">
        <f t="shared" si="7"/>
        <v/>
      </c>
      <c r="J1365" s="20" t="b">
        <v>0</v>
      </c>
      <c r="K1365" s="13" t="str">
        <f t="shared" si="8"/>
        <v/>
      </c>
    </row>
    <row r="1366" ht="22.5" customHeight="1">
      <c r="B1366" s="13">
        <f t="shared" si="3"/>
        <v>1360</v>
      </c>
      <c r="C1366" s="15" t="str">
        <f t="array" ref="C1366">IFNA(_xlfn.XLOOKUP(B1366,Table_Respons_Loket[Count],Table_Respons_Loket[Nomor Tiket]),"")</f>
        <v/>
      </c>
      <c r="D1366" s="15" t="str">
        <f t="array" ref="D1366">IFNA(_xlfn.XLOOKUP(B1366,Table_Respons_Loket[Count],Table_Respons_Loket[Daftar Nomor Hak]),"")</f>
        <v/>
      </c>
      <c r="E1366" s="17" t="str">
        <f t="array" ref="E1366">IFNA(_xlfn.XLOOKUP(B1366,Table_Respons_Loket[Count],Table_Respons_Loket[Time Stamp]),"")</f>
        <v/>
      </c>
      <c r="F1366" s="18" t="str">
        <f t="array" ref="F1366">IFNA(_xlfn.XLOOKUP(B1366,Table_Respons_Loket[Count],Table_Respons_Loket[Jenis Permohonan]),"")</f>
        <v/>
      </c>
      <c r="G1366" s="24"/>
      <c r="H1366" s="24"/>
      <c r="I1366" s="22" t="str">
        <f t="shared" si="7"/>
        <v/>
      </c>
      <c r="J1366" s="20" t="b">
        <v>0</v>
      </c>
      <c r="K1366" s="13" t="str">
        <f t="shared" si="8"/>
        <v/>
      </c>
    </row>
    <row r="1367" ht="22.5" customHeight="1">
      <c r="B1367" s="13">
        <f t="shared" si="3"/>
        <v>1361</v>
      </c>
      <c r="C1367" s="15" t="str">
        <f t="array" ref="C1367">IFNA(_xlfn.XLOOKUP(B1367,Table_Respons_Loket[Count],Table_Respons_Loket[Nomor Tiket]),"")</f>
        <v/>
      </c>
      <c r="D1367" s="15" t="str">
        <f t="array" ref="D1367">IFNA(_xlfn.XLOOKUP(B1367,Table_Respons_Loket[Count],Table_Respons_Loket[Daftar Nomor Hak]),"")</f>
        <v/>
      </c>
      <c r="E1367" s="17" t="str">
        <f t="array" ref="E1367">IFNA(_xlfn.XLOOKUP(B1367,Table_Respons_Loket[Count],Table_Respons_Loket[Time Stamp]),"")</f>
        <v/>
      </c>
      <c r="F1367" s="18" t="str">
        <f t="array" ref="F1367">IFNA(_xlfn.XLOOKUP(B1367,Table_Respons_Loket[Count],Table_Respons_Loket[Jenis Permohonan]),"")</f>
        <v/>
      </c>
      <c r="G1367" s="24"/>
      <c r="H1367" s="24"/>
      <c r="I1367" s="22" t="str">
        <f t="shared" si="7"/>
        <v/>
      </c>
      <c r="J1367" s="20" t="b">
        <v>0</v>
      </c>
      <c r="K1367" s="13" t="str">
        <f t="shared" si="8"/>
        <v/>
      </c>
    </row>
    <row r="1368" ht="22.5" customHeight="1">
      <c r="B1368" s="13">
        <f t="shared" si="3"/>
        <v>1362</v>
      </c>
      <c r="C1368" s="15" t="str">
        <f t="array" ref="C1368">IFNA(_xlfn.XLOOKUP(B1368,Table_Respons_Loket[Count],Table_Respons_Loket[Nomor Tiket]),"")</f>
        <v/>
      </c>
      <c r="D1368" s="15" t="str">
        <f t="array" ref="D1368">IFNA(_xlfn.XLOOKUP(B1368,Table_Respons_Loket[Count],Table_Respons_Loket[Daftar Nomor Hak]),"")</f>
        <v/>
      </c>
      <c r="E1368" s="17" t="str">
        <f t="array" ref="E1368">IFNA(_xlfn.XLOOKUP(B1368,Table_Respons_Loket[Count],Table_Respons_Loket[Time Stamp]),"")</f>
        <v/>
      </c>
      <c r="F1368" s="18" t="str">
        <f t="array" ref="F1368">IFNA(_xlfn.XLOOKUP(B1368,Table_Respons_Loket[Count],Table_Respons_Loket[Jenis Permohonan]),"")</f>
        <v/>
      </c>
      <c r="G1368" s="24"/>
      <c r="H1368" s="24"/>
      <c r="I1368" s="22" t="str">
        <f t="shared" si="7"/>
        <v/>
      </c>
      <c r="J1368" s="20" t="b">
        <v>0</v>
      </c>
      <c r="K1368" s="13" t="str">
        <f t="shared" si="8"/>
        <v/>
      </c>
    </row>
    <row r="1369" ht="22.5" customHeight="1">
      <c r="B1369" s="13">
        <f t="shared" si="3"/>
        <v>1363</v>
      </c>
      <c r="C1369" s="15" t="str">
        <f t="array" ref="C1369">IFNA(_xlfn.XLOOKUP(B1369,Table_Respons_Loket[Count],Table_Respons_Loket[Nomor Tiket]),"")</f>
        <v/>
      </c>
      <c r="D1369" s="15" t="str">
        <f t="array" ref="D1369">IFNA(_xlfn.XLOOKUP(B1369,Table_Respons_Loket[Count],Table_Respons_Loket[Daftar Nomor Hak]),"")</f>
        <v/>
      </c>
      <c r="E1369" s="17" t="str">
        <f t="array" ref="E1369">IFNA(_xlfn.XLOOKUP(B1369,Table_Respons_Loket[Count],Table_Respons_Loket[Time Stamp]),"")</f>
        <v/>
      </c>
      <c r="F1369" s="18" t="str">
        <f t="array" ref="F1369">IFNA(_xlfn.XLOOKUP(B1369,Table_Respons_Loket[Count],Table_Respons_Loket[Jenis Permohonan]),"")</f>
        <v/>
      </c>
      <c r="G1369" s="24"/>
      <c r="H1369" s="24"/>
      <c r="I1369" s="22" t="str">
        <f t="shared" si="7"/>
        <v/>
      </c>
      <c r="J1369" s="20" t="b">
        <v>0</v>
      </c>
      <c r="K1369" s="13" t="str">
        <f t="shared" si="8"/>
        <v/>
      </c>
    </row>
    <row r="1370" ht="22.5" customHeight="1">
      <c r="B1370" s="13">
        <f t="shared" si="3"/>
        <v>1364</v>
      </c>
      <c r="C1370" s="15" t="str">
        <f t="array" ref="C1370">IFNA(_xlfn.XLOOKUP(B1370,Table_Respons_Loket[Count],Table_Respons_Loket[Nomor Tiket]),"")</f>
        <v/>
      </c>
      <c r="D1370" s="15" t="str">
        <f t="array" ref="D1370">IFNA(_xlfn.XLOOKUP(B1370,Table_Respons_Loket[Count],Table_Respons_Loket[Daftar Nomor Hak]),"")</f>
        <v/>
      </c>
      <c r="E1370" s="17" t="str">
        <f t="array" ref="E1370">IFNA(_xlfn.XLOOKUP(B1370,Table_Respons_Loket[Count],Table_Respons_Loket[Time Stamp]),"")</f>
        <v/>
      </c>
      <c r="F1370" s="18" t="str">
        <f t="array" ref="F1370">IFNA(_xlfn.XLOOKUP(B1370,Table_Respons_Loket[Count],Table_Respons_Loket[Jenis Permohonan]),"")</f>
        <v/>
      </c>
      <c r="G1370" s="24"/>
      <c r="H1370" s="24"/>
      <c r="I1370" s="22" t="str">
        <f t="shared" si="7"/>
        <v/>
      </c>
      <c r="J1370" s="20" t="b">
        <v>0</v>
      </c>
      <c r="K1370" s="13" t="str">
        <f t="shared" si="8"/>
        <v/>
      </c>
    </row>
    <row r="1371" ht="22.5" customHeight="1">
      <c r="B1371" s="13">
        <f t="shared" si="3"/>
        <v>1365</v>
      </c>
      <c r="C1371" s="15" t="str">
        <f t="array" ref="C1371">IFNA(_xlfn.XLOOKUP(B1371,Table_Respons_Loket[Count],Table_Respons_Loket[Nomor Tiket]),"")</f>
        <v/>
      </c>
      <c r="D1371" s="15" t="str">
        <f t="array" ref="D1371">IFNA(_xlfn.XLOOKUP(B1371,Table_Respons_Loket[Count],Table_Respons_Loket[Daftar Nomor Hak]),"")</f>
        <v/>
      </c>
      <c r="E1371" s="17" t="str">
        <f t="array" ref="E1371">IFNA(_xlfn.XLOOKUP(B1371,Table_Respons_Loket[Count],Table_Respons_Loket[Time Stamp]),"")</f>
        <v/>
      </c>
      <c r="F1371" s="18" t="str">
        <f t="array" ref="F1371">IFNA(_xlfn.XLOOKUP(B1371,Table_Respons_Loket[Count],Table_Respons_Loket[Jenis Permohonan]),"")</f>
        <v/>
      </c>
      <c r="G1371" s="24"/>
      <c r="H1371" s="24"/>
      <c r="I1371" s="22" t="str">
        <f t="shared" si="7"/>
        <v/>
      </c>
      <c r="J1371" s="20" t="b">
        <v>0</v>
      </c>
      <c r="K1371" s="13" t="str">
        <f t="shared" si="8"/>
        <v/>
      </c>
    </row>
    <row r="1372" ht="22.5" customHeight="1">
      <c r="B1372" s="13">
        <f t="shared" si="3"/>
        <v>1366</v>
      </c>
      <c r="C1372" s="15" t="str">
        <f t="array" ref="C1372">IFNA(_xlfn.XLOOKUP(B1372,Table_Respons_Loket[Count],Table_Respons_Loket[Nomor Tiket]),"")</f>
        <v/>
      </c>
      <c r="D1372" s="15" t="str">
        <f t="array" ref="D1372">IFNA(_xlfn.XLOOKUP(B1372,Table_Respons_Loket[Count],Table_Respons_Loket[Daftar Nomor Hak]),"")</f>
        <v/>
      </c>
      <c r="E1372" s="17" t="str">
        <f t="array" ref="E1372">IFNA(_xlfn.XLOOKUP(B1372,Table_Respons_Loket[Count],Table_Respons_Loket[Time Stamp]),"")</f>
        <v/>
      </c>
      <c r="F1372" s="18" t="str">
        <f t="array" ref="F1372">IFNA(_xlfn.XLOOKUP(B1372,Table_Respons_Loket[Count],Table_Respons_Loket[Jenis Permohonan]),"")</f>
        <v/>
      </c>
      <c r="G1372" s="24"/>
      <c r="H1372" s="24"/>
      <c r="I1372" s="22" t="str">
        <f t="shared" si="7"/>
        <v/>
      </c>
      <c r="J1372" s="20" t="b">
        <v>0</v>
      </c>
      <c r="K1372" s="13" t="str">
        <f t="shared" si="8"/>
        <v/>
      </c>
    </row>
    <row r="1373" ht="22.5" customHeight="1">
      <c r="B1373" s="13">
        <f t="shared" si="3"/>
        <v>1367</v>
      </c>
      <c r="C1373" s="15" t="str">
        <f t="array" ref="C1373">IFNA(_xlfn.XLOOKUP(B1373,Table_Respons_Loket[Count],Table_Respons_Loket[Nomor Tiket]),"")</f>
        <v/>
      </c>
      <c r="D1373" s="15" t="str">
        <f t="array" ref="D1373">IFNA(_xlfn.XLOOKUP(B1373,Table_Respons_Loket[Count],Table_Respons_Loket[Daftar Nomor Hak]),"")</f>
        <v/>
      </c>
      <c r="E1373" s="17" t="str">
        <f t="array" ref="E1373">IFNA(_xlfn.XLOOKUP(B1373,Table_Respons_Loket[Count],Table_Respons_Loket[Time Stamp]),"")</f>
        <v/>
      </c>
      <c r="F1373" s="18" t="str">
        <f t="array" ref="F1373">IFNA(_xlfn.XLOOKUP(B1373,Table_Respons_Loket[Count],Table_Respons_Loket[Jenis Permohonan]),"")</f>
        <v/>
      </c>
      <c r="G1373" s="24"/>
      <c r="H1373" s="24"/>
      <c r="I1373" s="22" t="str">
        <f t="shared" si="7"/>
        <v/>
      </c>
      <c r="J1373" s="20" t="b">
        <v>0</v>
      </c>
      <c r="K1373" s="13" t="str">
        <f t="shared" si="8"/>
        <v/>
      </c>
    </row>
    <row r="1374" ht="22.5" customHeight="1">
      <c r="B1374" s="13">
        <f t="shared" si="3"/>
        <v>1368</v>
      </c>
      <c r="C1374" s="15" t="str">
        <f t="array" ref="C1374">IFNA(_xlfn.XLOOKUP(B1374,Table_Respons_Loket[Count],Table_Respons_Loket[Nomor Tiket]),"")</f>
        <v/>
      </c>
      <c r="D1374" s="15" t="str">
        <f t="array" ref="D1374">IFNA(_xlfn.XLOOKUP(B1374,Table_Respons_Loket[Count],Table_Respons_Loket[Daftar Nomor Hak]),"")</f>
        <v/>
      </c>
      <c r="E1374" s="17" t="str">
        <f t="array" ref="E1374">IFNA(_xlfn.XLOOKUP(B1374,Table_Respons_Loket[Count],Table_Respons_Loket[Time Stamp]),"")</f>
        <v/>
      </c>
      <c r="F1374" s="18" t="str">
        <f t="array" ref="F1374">IFNA(_xlfn.XLOOKUP(B1374,Table_Respons_Loket[Count],Table_Respons_Loket[Jenis Permohonan]),"")</f>
        <v/>
      </c>
      <c r="G1374" s="24"/>
      <c r="H1374" s="24"/>
      <c r="I1374" s="22" t="str">
        <f t="shared" si="7"/>
        <v/>
      </c>
      <c r="J1374" s="20" t="b">
        <v>0</v>
      </c>
      <c r="K1374" s="13" t="str">
        <f t="shared" si="8"/>
        <v/>
      </c>
    </row>
    <row r="1375" ht="22.5" customHeight="1">
      <c r="B1375" s="13">
        <f t="shared" si="3"/>
        <v>1369</v>
      </c>
      <c r="C1375" s="15" t="str">
        <f t="array" ref="C1375">IFNA(_xlfn.XLOOKUP(B1375,Table_Respons_Loket[Count],Table_Respons_Loket[Nomor Tiket]),"")</f>
        <v/>
      </c>
      <c r="D1375" s="15" t="str">
        <f t="array" ref="D1375">IFNA(_xlfn.XLOOKUP(B1375,Table_Respons_Loket[Count],Table_Respons_Loket[Daftar Nomor Hak]),"")</f>
        <v/>
      </c>
      <c r="E1375" s="17" t="str">
        <f t="array" ref="E1375">IFNA(_xlfn.XLOOKUP(B1375,Table_Respons_Loket[Count],Table_Respons_Loket[Time Stamp]),"")</f>
        <v/>
      </c>
      <c r="F1375" s="18" t="str">
        <f t="array" ref="F1375">IFNA(_xlfn.XLOOKUP(B1375,Table_Respons_Loket[Count],Table_Respons_Loket[Jenis Permohonan]),"")</f>
        <v/>
      </c>
      <c r="G1375" s="24"/>
      <c r="H1375" s="24"/>
      <c r="I1375" s="22" t="str">
        <f t="shared" si="7"/>
        <v/>
      </c>
      <c r="J1375" s="20" t="b">
        <v>0</v>
      </c>
      <c r="K1375" s="13" t="str">
        <f t="shared" si="8"/>
        <v/>
      </c>
    </row>
    <row r="1376" ht="22.5" customHeight="1">
      <c r="B1376" s="13">
        <f t="shared" si="3"/>
        <v>1370</v>
      </c>
      <c r="C1376" s="15" t="str">
        <f t="array" ref="C1376">IFNA(_xlfn.XLOOKUP(B1376,Table_Respons_Loket[Count],Table_Respons_Loket[Nomor Tiket]),"")</f>
        <v/>
      </c>
      <c r="D1376" s="15" t="str">
        <f t="array" ref="D1376">IFNA(_xlfn.XLOOKUP(B1376,Table_Respons_Loket[Count],Table_Respons_Loket[Daftar Nomor Hak]),"")</f>
        <v/>
      </c>
      <c r="E1376" s="17" t="str">
        <f t="array" ref="E1376">IFNA(_xlfn.XLOOKUP(B1376,Table_Respons_Loket[Count],Table_Respons_Loket[Time Stamp]),"")</f>
        <v/>
      </c>
      <c r="F1376" s="18" t="str">
        <f t="array" ref="F1376">IFNA(_xlfn.XLOOKUP(B1376,Table_Respons_Loket[Count],Table_Respons_Loket[Jenis Permohonan]),"")</f>
        <v/>
      </c>
      <c r="G1376" s="24"/>
      <c r="H1376" s="24"/>
      <c r="I1376" s="22" t="str">
        <f t="shared" si="7"/>
        <v/>
      </c>
      <c r="J1376" s="20" t="b">
        <v>0</v>
      </c>
      <c r="K1376" s="13" t="str">
        <f t="shared" si="8"/>
        <v/>
      </c>
    </row>
    <row r="1377" ht="22.5" customHeight="1">
      <c r="B1377" s="13">
        <f t="shared" si="3"/>
        <v>1371</v>
      </c>
      <c r="C1377" s="15" t="str">
        <f t="array" ref="C1377">IFNA(_xlfn.XLOOKUP(B1377,Table_Respons_Loket[Count],Table_Respons_Loket[Nomor Tiket]),"")</f>
        <v/>
      </c>
      <c r="D1377" s="15" t="str">
        <f t="array" ref="D1377">IFNA(_xlfn.XLOOKUP(B1377,Table_Respons_Loket[Count],Table_Respons_Loket[Daftar Nomor Hak]),"")</f>
        <v/>
      </c>
      <c r="E1377" s="17" t="str">
        <f t="array" ref="E1377">IFNA(_xlfn.XLOOKUP(B1377,Table_Respons_Loket[Count],Table_Respons_Loket[Time Stamp]),"")</f>
        <v/>
      </c>
      <c r="F1377" s="18" t="str">
        <f t="array" ref="F1377">IFNA(_xlfn.XLOOKUP(B1377,Table_Respons_Loket[Count],Table_Respons_Loket[Jenis Permohonan]),"")</f>
        <v/>
      </c>
      <c r="G1377" s="24"/>
      <c r="H1377" s="24"/>
      <c r="I1377" s="22" t="str">
        <f t="shared" si="7"/>
        <v/>
      </c>
      <c r="J1377" s="20" t="b">
        <v>0</v>
      </c>
      <c r="K1377" s="13" t="str">
        <f t="shared" si="8"/>
        <v/>
      </c>
    </row>
    <row r="1378" ht="22.5" customHeight="1">
      <c r="B1378" s="13">
        <f t="shared" si="3"/>
        <v>1372</v>
      </c>
      <c r="C1378" s="15" t="str">
        <f t="array" ref="C1378">IFNA(_xlfn.XLOOKUP(B1378,Table_Respons_Loket[Count],Table_Respons_Loket[Nomor Tiket]),"")</f>
        <v/>
      </c>
      <c r="D1378" s="15" t="str">
        <f t="array" ref="D1378">IFNA(_xlfn.XLOOKUP(B1378,Table_Respons_Loket[Count],Table_Respons_Loket[Daftar Nomor Hak]),"")</f>
        <v/>
      </c>
      <c r="E1378" s="17" t="str">
        <f t="array" ref="E1378">IFNA(_xlfn.XLOOKUP(B1378,Table_Respons_Loket[Count],Table_Respons_Loket[Time Stamp]),"")</f>
        <v/>
      </c>
      <c r="F1378" s="18" t="str">
        <f t="array" ref="F1378">IFNA(_xlfn.XLOOKUP(B1378,Table_Respons_Loket[Count],Table_Respons_Loket[Jenis Permohonan]),"")</f>
        <v/>
      </c>
      <c r="G1378" s="24"/>
      <c r="H1378" s="24"/>
      <c r="I1378" s="22" t="str">
        <f t="shared" si="7"/>
        <v/>
      </c>
      <c r="J1378" s="20" t="b">
        <v>0</v>
      </c>
      <c r="K1378" s="13" t="str">
        <f t="shared" si="8"/>
        <v/>
      </c>
    </row>
    <row r="1379" ht="22.5" customHeight="1">
      <c r="B1379" s="13">
        <f t="shared" si="3"/>
        <v>1373</v>
      </c>
      <c r="C1379" s="15" t="str">
        <f t="array" ref="C1379">IFNA(_xlfn.XLOOKUP(B1379,Table_Respons_Loket[Count],Table_Respons_Loket[Nomor Tiket]),"")</f>
        <v/>
      </c>
      <c r="D1379" s="15" t="str">
        <f t="array" ref="D1379">IFNA(_xlfn.XLOOKUP(B1379,Table_Respons_Loket[Count],Table_Respons_Loket[Daftar Nomor Hak]),"")</f>
        <v/>
      </c>
      <c r="E1379" s="17" t="str">
        <f t="array" ref="E1379">IFNA(_xlfn.XLOOKUP(B1379,Table_Respons_Loket[Count],Table_Respons_Loket[Time Stamp]),"")</f>
        <v/>
      </c>
      <c r="F1379" s="18" t="str">
        <f t="array" ref="F1379">IFNA(_xlfn.XLOOKUP(B1379,Table_Respons_Loket[Count],Table_Respons_Loket[Jenis Permohonan]),"")</f>
        <v/>
      </c>
      <c r="G1379" s="24"/>
      <c r="H1379" s="24"/>
      <c r="I1379" s="22" t="str">
        <f t="shared" si="7"/>
        <v/>
      </c>
      <c r="J1379" s="20" t="b">
        <v>0</v>
      </c>
      <c r="K1379" s="13" t="str">
        <f t="shared" si="8"/>
        <v/>
      </c>
    </row>
    <row r="1380" ht="22.5" customHeight="1">
      <c r="B1380" s="13">
        <f t="shared" si="3"/>
        <v>1374</v>
      </c>
      <c r="C1380" s="15" t="str">
        <f t="array" ref="C1380">IFNA(_xlfn.XLOOKUP(B1380,Table_Respons_Loket[Count],Table_Respons_Loket[Nomor Tiket]),"")</f>
        <v/>
      </c>
      <c r="D1380" s="15" t="str">
        <f t="array" ref="D1380">IFNA(_xlfn.XLOOKUP(B1380,Table_Respons_Loket[Count],Table_Respons_Loket[Daftar Nomor Hak]),"")</f>
        <v/>
      </c>
      <c r="E1380" s="17" t="str">
        <f t="array" ref="E1380">IFNA(_xlfn.XLOOKUP(B1380,Table_Respons_Loket[Count],Table_Respons_Loket[Time Stamp]),"")</f>
        <v/>
      </c>
      <c r="F1380" s="18" t="str">
        <f t="array" ref="F1380">IFNA(_xlfn.XLOOKUP(B1380,Table_Respons_Loket[Count],Table_Respons_Loket[Jenis Permohonan]),"")</f>
        <v/>
      </c>
      <c r="G1380" s="24"/>
      <c r="H1380" s="24"/>
      <c r="I1380" s="22" t="str">
        <f t="shared" si="7"/>
        <v/>
      </c>
      <c r="J1380" s="20" t="b">
        <v>0</v>
      </c>
      <c r="K1380" s="13" t="str">
        <f t="shared" si="8"/>
        <v/>
      </c>
    </row>
    <row r="1381" ht="22.5" customHeight="1">
      <c r="B1381" s="13">
        <f t="shared" si="3"/>
        <v>1375</v>
      </c>
      <c r="C1381" s="15" t="str">
        <f t="array" ref="C1381">IFNA(_xlfn.XLOOKUP(B1381,Table_Respons_Loket[Count],Table_Respons_Loket[Nomor Tiket]),"")</f>
        <v/>
      </c>
      <c r="D1381" s="15" t="str">
        <f t="array" ref="D1381">IFNA(_xlfn.XLOOKUP(B1381,Table_Respons_Loket[Count],Table_Respons_Loket[Daftar Nomor Hak]),"")</f>
        <v/>
      </c>
      <c r="E1381" s="17" t="str">
        <f t="array" ref="E1381">IFNA(_xlfn.XLOOKUP(B1381,Table_Respons_Loket[Count],Table_Respons_Loket[Time Stamp]),"")</f>
        <v/>
      </c>
      <c r="F1381" s="18" t="str">
        <f t="array" ref="F1381">IFNA(_xlfn.XLOOKUP(B1381,Table_Respons_Loket[Count],Table_Respons_Loket[Jenis Permohonan]),"")</f>
        <v/>
      </c>
      <c r="G1381" s="24"/>
      <c r="H1381" s="24"/>
      <c r="I1381" s="22" t="str">
        <f t="shared" si="7"/>
        <v/>
      </c>
      <c r="J1381" s="20" t="b">
        <v>0</v>
      </c>
      <c r="K1381" s="13" t="str">
        <f t="shared" si="8"/>
        <v/>
      </c>
    </row>
    <row r="1382" ht="22.5" customHeight="1">
      <c r="B1382" s="13">
        <f t="shared" si="3"/>
        <v>1376</v>
      </c>
      <c r="C1382" s="15" t="str">
        <f t="array" ref="C1382">IFNA(_xlfn.XLOOKUP(B1382,Table_Respons_Loket[Count],Table_Respons_Loket[Nomor Tiket]),"")</f>
        <v/>
      </c>
      <c r="D1382" s="15" t="str">
        <f t="array" ref="D1382">IFNA(_xlfn.XLOOKUP(B1382,Table_Respons_Loket[Count],Table_Respons_Loket[Daftar Nomor Hak]),"")</f>
        <v/>
      </c>
      <c r="E1382" s="17" t="str">
        <f t="array" ref="E1382">IFNA(_xlfn.XLOOKUP(B1382,Table_Respons_Loket[Count],Table_Respons_Loket[Time Stamp]),"")</f>
        <v/>
      </c>
      <c r="F1382" s="18" t="str">
        <f t="array" ref="F1382">IFNA(_xlfn.XLOOKUP(B1382,Table_Respons_Loket[Count],Table_Respons_Loket[Jenis Permohonan]),"")</f>
        <v/>
      </c>
      <c r="G1382" s="24"/>
      <c r="H1382" s="24"/>
      <c r="I1382" s="22" t="str">
        <f t="shared" si="7"/>
        <v/>
      </c>
      <c r="J1382" s="20" t="b">
        <v>0</v>
      </c>
      <c r="K1382" s="13" t="str">
        <f t="shared" si="8"/>
        <v/>
      </c>
    </row>
    <row r="1383" ht="22.5" customHeight="1">
      <c r="B1383" s="13">
        <f t="shared" si="3"/>
        <v>1377</v>
      </c>
      <c r="C1383" s="15" t="str">
        <f t="array" ref="C1383">IFNA(_xlfn.XLOOKUP(B1383,Table_Respons_Loket[Count],Table_Respons_Loket[Nomor Tiket]),"")</f>
        <v/>
      </c>
      <c r="D1383" s="15" t="str">
        <f t="array" ref="D1383">IFNA(_xlfn.XLOOKUP(B1383,Table_Respons_Loket[Count],Table_Respons_Loket[Daftar Nomor Hak]),"")</f>
        <v/>
      </c>
      <c r="E1383" s="17" t="str">
        <f t="array" ref="E1383">IFNA(_xlfn.XLOOKUP(B1383,Table_Respons_Loket[Count],Table_Respons_Loket[Time Stamp]),"")</f>
        <v/>
      </c>
      <c r="F1383" s="18" t="str">
        <f t="array" ref="F1383">IFNA(_xlfn.XLOOKUP(B1383,Table_Respons_Loket[Count],Table_Respons_Loket[Jenis Permohonan]),"")</f>
        <v/>
      </c>
      <c r="G1383" s="24"/>
      <c r="H1383" s="24"/>
      <c r="I1383" s="22" t="str">
        <f t="shared" si="7"/>
        <v/>
      </c>
      <c r="J1383" s="20" t="b">
        <v>0</v>
      </c>
      <c r="K1383" s="13" t="str">
        <f t="shared" si="8"/>
        <v/>
      </c>
    </row>
    <row r="1384" ht="22.5" customHeight="1">
      <c r="B1384" s="13">
        <f t="shared" si="3"/>
        <v>1378</v>
      </c>
      <c r="C1384" s="15" t="str">
        <f t="array" ref="C1384">IFNA(_xlfn.XLOOKUP(B1384,Table_Respons_Loket[Count],Table_Respons_Loket[Nomor Tiket]),"")</f>
        <v/>
      </c>
      <c r="D1384" s="15" t="str">
        <f t="array" ref="D1384">IFNA(_xlfn.XLOOKUP(B1384,Table_Respons_Loket[Count],Table_Respons_Loket[Daftar Nomor Hak]),"")</f>
        <v/>
      </c>
      <c r="E1384" s="17" t="str">
        <f t="array" ref="E1384">IFNA(_xlfn.XLOOKUP(B1384,Table_Respons_Loket[Count],Table_Respons_Loket[Time Stamp]),"")</f>
        <v/>
      </c>
      <c r="F1384" s="18" t="str">
        <f t="array" ref="F1384">IFNA(_xlfn.XLOOKUP(B1384,Table_Respons_Loket[Count],Table_Respons_Loket[Jenis Permohonan]),"")</f>
        <v/>
      </c>
      <c r="G1384" s="24"/>
      <c r="H1384" s="24"/>
      <c r="I1384" s="22" t="str">
        <f t="shared" si="7"/>
        <v/>
      </c>
      <c r="J1384" s="20" t="b">
        <v>0</v>
      </c>
      <c r="K1384" s="13" t="str">
        <f t="shared" si="8"/>
        <v/>
      </c>
    </row>
    <row r="1385" ht="22.5" customHeight="1">
      <c r="B1385" s="13">
        <f t="shared" si="3"/>
        <v>1379</v>
      </c>
      <c r="C1385" s="15" t="str">
        <f t="array" ref="C1385">IFNA(_xlfn.XLOOKUP(B1385,Table_Respons_Loket[Count],Table_Respons_Loket[Nomor Tiket]),"")</f>
        <v/>
      </c>
      <c r="D1385" s="15" t="str">
        <f t="array" ref="D1385">IFNA(_xlfn.XLOOKUP(B1385,Table_Respons_Loket[Count],Table_Respons_Loket[Daftar Nomor Hak]),"")</f>
        <v/>
      </c>
      <c r="E1385" s="17" t="str">
        <f t="array" ref="E1385">IFNA(_xlfn.XLOOKUP(B1385,Table_Respons_Loket[Count],Table_Respons_Loket[Time Stamp]),"")</f>
        <v/>
      </c>
      <c r="F1385" s="18" t="str">
        <f t="array" ref="F1385">IFNA(_xlfn.XLOOKUP(B1385,Table_Respons_Loket[Count],Table_Respons_Loket[Jenis Permohonan]),"")</f>
        <v/>
      </c>
      <c r="G1385" s="24"/>
      <c r="H1385" s="24"/>
      <c r="I1385" s="22" t="str">
        <f t="shared" si="7"/>
        <v/>
      </c>
      <c r="J1385" s="20" t="b">
        <v>0</v>
      </c>
      <c r="K1385" s="13" t="str">
        <f t="shared" si="8"/>
        <v/>
      </c>
    </row>
    <row r="1386" ht="22.5" customHeight="1">
      <c r="B1386" s="13">
        <f t="shared" si="3"/>
        <v>1380</v>
      </c>
      <c r="C1386" s="15" t="str">
        <f t="array" ref="C1386">IFNA(_xlfn.XLOOKUP(B1386,Table_Respons_Loket[Count],Table_Respons_Loket[Nomor Tiket]),"")</f>
        <v/>
      </c>
      <c r="D1386" s="15" t="str">
        <f t="array" ref="D1386">IFNA(_xlfn.XLOOKUP(B1386,Table_Respons_Loket[Count],Table_Respons_Loket[Daftar Nomor Hak]),"")</f>
        <v/>
      </c>
      <c r="E1386" s="17" t="str">
        <f t="array" ref="E1386">IFNA(_xlfn.XLOOKUP(B1386,Table_Respons_Loket[Count],Table_Respons_Loket[Time Stamp]),"")</f>
        <v/>
      </c>
      <c r="F1386" s="18" t="str">
        <f t="array" ref="F1386">IFNA(_xlfn.XLOOKUP(B1386,Table_Respons_Loket[Count],Table_Respons_Loket[Jenis Permohonan]),"")</f>
        <v/>
      </c>
      <c r="G1386" s="24"/>
      <c r="H1386" s="24"/>
      <c r="I1386" s="22" t="str">
        <f t="shared" si="7"/>
        <v/>
      </c>
      <c r="J1386" s="20" t="b">
        <v>0</v>
      </c>
      <c r="K1386" s="13" t="str">
        <f t="shared" si="8"/>
        <v/>
      </c>
    </row>
    <row r="1387" ht="22.5" customHeight="1">
      <c r="B1387" s="13">
        <f t="shared" si="3"/>
        <v>1381</v>
      </c>
      <c r="C1387" s="15" t="str">
        <f t="array" ref="C1387">IFNA(_xlfn.XLOOKUP(B1387,Table_Respons_Loket[Count],Table_Respons_Loket[Nomor Tiket]),"")</f>
        <v/>
      </c>
      <c r="D1387" s="15" t="str">
        <f t="array" ref="D1387">IFNA(_xlfn.XLOOKUP(B1387,Table_Respons_Loket[Count],Table_Respons_Loket[Daftar Nomor Hak]),"")</f>
        <v/>
      </c>
      <c r="E1387" s="17" t="str">
        <f t="array" ref="E1387">IFNA(_xlfn.XLOOKUP(B1387,Table_Respons_Loket[Count],Table_Respons_Loket[Time Stamp]),"")</f>
        <v/>
      </c>
      <c r="F1387" s="18" t="str">
        <f t="array" ref="F1387">IFNA(_xlfn.XLOOKUP(B1387,Table_Respons_Loket[Count],Table_Respons_Loket[Jenis Permohonan]),"")</f>
        <v/>
      </c>
      <c r="G1387" s="24"/>
      <c r="H1387" s="24"/>
      <c r="I1387" s="22" t="str">
        <f t="shared" si="7"/>
        <v/>
      </c>
      <c r="J1387" s="20" t="b">
        <v>0</v>
      </c>
      <c r="K1387" s="13" t="str">
        <f t="shared" si="8"/>
        <v/>
      </c>
    </row>
    <row r="1388" ht="22.5" customHeight="1">
      <c r="B1388" s="13">
        <f t="shared" si="3"/>
        <v>1382</v>
      </c>
      <c r="C1388" s="15" t="str">
        <f t="array" ref="C1388">IFNA(_xlfn.XLOOKUP(B1388,Table_Respons_Loket[Count],Table_Respons_Loket[Nomor Tiket]),"")</f>
        <v/>
      </c>
      <c r="D1388" s="15" t="str">
        <f t="array" ref="D1388">IFNA(_xlfn.XLOOKUP(B1388,Table_Respons_Loket[Count],Table_Respons_Loket[Daftar Nomor Hak]),"")</f>
        <v/>
      </c>
      <c r="E1388" s="17" t="str">
        <f t="array" ref="E1388">IFNA(_xlfn.XLOOKUP(B1388,Table_Respons_Loket[Count],Table_Respons_Loket[Time Stamp]),"")</f>
        <v/>
      </c>
      <c r="F1388" s="18" t="str">
        <f t="array" ref="F1388">IFNA(_xlfn.XLOOKUP(B1388,Table_Respons_Loket[Count],Table_Respons_Loket[Jenis Permohonan]),"")</f>
        <v/>
      </c>
      <c r="G1388" s="24"/>
      <c r="H1388" s="24"/>
      <c r="I1388" s="22" t="str">
        <f t="shared" si="7"/>
        <v/>
      </c>
      <c r="J1388" s="20" t="b">
        <v>0</v>
      </c>
      <c r="K1388" s="13" t="str">
        <f t="shared" si="8"/>
        <v/>
      </c>
    </row>
    <row r="1389" ht="22.5" customHeight="1">
      <c r="B1389" s="13">
        <f t="shared" si="3"/>
        <v>1383</v>
      </c>
      <c r="C1389" s="15" t="str">
        <f t="array" ref="C1389">IFNA(_xlfn.XLOOKUP(B1389,Table_Respons_Loket[Count],Table_Respons_Loket[Nomor Tiket]),"")</f>
        <v/>
      </c>
      <c r="D1389" s="15" t="str">
        <f t="array" ref="D1389">IFNA(_xlfn.XLOOKUP(B1389,Table_Respons_Loket[Count],Table_Respons_Loket[Daftar Nomor Hak]),"")</f>
        <v/>
      </c>
      <c r="E1389" s="17" t="str">
        <f t="array" ref="E1389">IFNA(_xlfn.XLOOKUP(B1389,Table_Respons_Loket[Count],Table_Respons_Loket[Time Stamp]),"")</f>
        <v/>
      </c>
      <c r="F1389" s="18" t="str">
        <f t="array" ref="F1389">IFNA(_xlfn.XLOOKUP(B1389,Table_Respons_Loket[Count],Table_Respons_Loket[Jenis Permohonan]),"")</f>
        <v/>
      </c>
      <c r="G1389" s="24"/>
      <c r="H1389" s="24"/>
      <c r="I1389" s="22" t="str">
        <f t="shared" si="7"/>
        <v/>
      </c>
      <c r="J1389" s="20" t="b">
        <v>0</v>
      </c>
      <c r="K1389" s="13" t="str">
        <f t="shared" si="8"/>
        <v/>
      </c>
    </row>
    <row r="1390" ht="22.5" customHeight="1">
      <c r="B1390" s="13">
        <f t="shared" si="3"/>
        <v>1384</v>
      </c>
      <c r="C1390" s="15" t="str">
        <f t="array" ref="C1390">IFNA(_xlfn.XLOOKUP(B1390,Table_Respons_Loket[Count],Table_Respons_Loket[Nomor Tiket]),"")</f>
        <v/>
      </c>
      <c r="D1390" s="15" t="str">
        <f t="array" ref="D1390">IFNA(_xlfn.XLOOKUP(B1390,Table_Respons_Loket[Count],Table_Respons_Loket[Daftar Nomor Hak]),"")</f>
        <v/>
      </c>
      <c r="E1390" s="17" t="str">
        <f t="array" ref="E1390">IFNA(_xlfn.XLOOKUP(B1390,Table_Respons_Loket[Count],Table_Respons_Loket[Time Stamp]),"")</f>
        <v/>
      </c>
      <c r="F1390" s="18" t="str">
        <f t="array" ref="F1390">IFNA(_xlfn.XLOOKUP(B1390,Table_Respons_Loket[Count],Table_Respons_Loket[Jenis Permohonan]),"")</f>
        <v/>
      </c>
      <c r="G1390" s="24"/>
      <c r="H1390" s="24"/>
      <c r="I1390" s="22" t="str">
        <f t="shared" si="7"/>
        <v/>
      </c>
      <c r="J1390" s="20" t="b">
        <v>0</v>
      </c>
      <c r="K1390" s="13" t="str">
        <f t="shared" si="8"/>
        <v/>
      </c>
    </row>
    <row r="1391" ht="22.5" customHeight="1">
      <c r="B1391" s="13">
        <f t="shared" si="3"/>
        <v>1385</v>
      </c>
      <c r="C1391" s="15" t="str">
        <f t="array" ref="C1391">IFNA(_xlfn.XLOOKUP(B1391,Table_Respons_Loket[Count],Table_Respons_Loket[Nomor Tiket]),"")</f>
        <v/>
      </c>
      <c r="D1391" s="15" t="str">
        <f t="array" ref="D1391">IFNA(_xlfn.XLOOKUP(B1391,Table_Respons_Loket[Count],Table_Respons_Loket[Daftar Nomor Hak]),"")</f>
        <v/>
      </c>
      <c r="E1391" s="17" t="str">
        <f t="array" ref="E1391">IFNA(_xlfn.XLOOKUP(B1391,Table_Respons_Loket[Count],Table_Respons_Loket[Time Stamp]),"")</f>
        <v/>
      </c>
      <c r="F1391" s="18" t="str">
        <f t="array" ref="F1391">IFNA(_xlfn.XLOOKUP(B1391,Table_Respons_Loket[Count],Table_Respons_Loket[Jenis Permohonan]),"")</f>
        <v/>
      </c>
      <c r="G1391" s="24"/>
      <c r="H1391" s="24"/>
      <c r="I1391" s="22" t="str">
        <f t="shared" si="7"/>
        <v/>
      </c>
      <c r="J1391" s="20" t="b">
        <v>0</v>
      </c>
      <c r="K1391" s="13" t="str">
        <f t="shared" si="8"/>
        <v/>
      </c>
    </row>
    <row r="1392" ht="22.5" customHeight="1">
      <c r="B1392" s="13">
        <f t="shared" si="3"/>
        <v>1386</v>
      </c>
      <c r="C1392" s="15" t="str">
        <f t="array" ref="C1392">IFNA(_xlfn.XLOOKUP(B1392,Table_Respons_Loket[Count],Table_Respons_Loket[Nomor Tiket]),"")</f>
        <v/>
      </c>
      <c r="D1392" s="15" t="str">
        <f t="array" ref="D1392">IFNA(_xlfn.XLOOKUP(B1392,Table_Respons_Loket[Count],Table_Respons_Loket[Daftar Nomor Hak]),"")</f>
        <v/>
      </c>
      <c r="E1392" s="17" t="str">
        <f t="array" ref="E1392">IFNA(_xlfn.XLOOKUP(B1392,Table_Respons_Loket[Count],Table_Respons_Loket[Time Stamp]),"")</f>
        <v/>
      </c>
      <c r="F1392" s="18" t="str">
        <f t="array" ref="F1392">IFNA(_xlfn.XLOOKUP(B1392,Table_Respons_Loket[Count],Table_Respons_Loket[Jenis Permohonan]),"")</f>
        <v/>
      </c>
      <c r="G1392" s="24"/>
      <c r="H1392" s="24"/>
      <c r="I1392" s="22" t="str">
        <f t="shared" si="7"/>
        <v/>
      </c>
      <c r="J1392" s="20" t="b">
        <v>0</v>
      </c>
      <c r="K1392" s="13" t="str">
        <f t="shared" si="8"/>
        <v/>
      </c>
    </row>
    <row r="1393" ht="22.5" customHeight="1">
      <c r="B1393" s="13">
        <f t="shared" si="3"/>
        <v>1387</v>
      </c>
      <c r="C1393" s="15" t="str">
        <f t="array" ref="C1393">IFNA(_xlfn.XLOOKUP(B1393,Table_Respons_Loket[Count],Table_Respons_Loket[Nomor Tiket]),"")</f>
        <v/>
      </c>
      <c r="D1393" s="15" t="str">
        <f t="array" ref="D1393">IFNA(_xlfn.XLOOKUP(B1393,Table_Respons_Loket[Count],Table_Respons_Loket[Daftar Nomor Hak]),"")</f>
        <v/>
      </c>
      <c r="E1393" s="17" t="str">
        <f t="array" ref="E1393">IFNA(_xlfn.XLOOKUP(B1393,Table_Respons_Loket[Count],Table_Respons_Loket[Time Stamp]),"")</f>
        <v/>
      </c>
      <c r="F1393" s="18" t="str">
        <f t="array" ref="F1393">IFNA(_xlfn.XLOOKUP(B1393,Table_Respons_Loket[Count],Table_Respons_Loket[Jenis Permohonan]),"")</f>
        <v/>
      </c>
      <c r="G1393" s="24"/>
      <c r="H1393" s="24"/>
      <c r="I1393" s="22" t="str">
        <f t="shared" si="7"/>
        <v/>
      </c>
      <c r="J1393" s="20" t="b">
        <v>0</v>
      </c>
      <c r="K1393" s="13" t="str">
        <f t="shared" si="8"/>
        <v/>
      </c>
    </row>
    <row r="1394" ht="22.5" customHeight="1">
      <c r="B1394" s="13">
        <f t="shared" si="3"/>
        <v>1388</v>
      </c>
      <c r="C1394" s="15" t="str">
        <f t="array" ref="C1394">IFNA(_xlfn.XLOOKUP(B1394,Table_Respons_Loket[Count],Table_Respons_Loket[Nomor Tiket]),"")</f>
        <v/>
      </c>
      <c r="D1394" s="15" t="str">
        <f t="array" ref="D1394">IFNA(_xlfn.XLOOKUP(B1394,Table_Respons_Loket[Count],Table_Respons_Loket[Daftar Nomor Hak]),"")</f>
        <v/>
      </c>
      <c r="E1394" s="17" t="str">
        <f t="array" ref="E1394">IFNA(_xlfn.XLOOKUP(B1394,Table_Respons_Loket[Count],Table_Respons_Loket[Time Stamp]),"")</f>
        <v/>
      </c>
      <c r="F1394" s="18" t="str">
        <f t="array" ref="F1394">IFNA(_xlfn.XLOOKUP(B1394,Table_Respons_Loket[Count],Table_Respons_Loket[Jenis Permohonan]),"")</f>
        <v/>
      </c>
      <c r="G1394" s="24"/>
      <c r="H1394" s="24"/>
      <c r="I1394" s="22" t="str">
        <f t="shared" si="7"/>
        <v/>
      </c>
      <c r="J1394" s="20" t="b">
        <v>0</v>
      </c>
      <c r="K1394" s="13" t="str">
        <f t="shared" si="8"/>
        <v/>
      </c>
    </row>
    <row r="1395" ht="22.5" customHeight="1">
      <c r="B1395" s="13">
        <f t="shared" si="3"/>
        <v>1389</v>
      </c>
      <c r="C1395" s="15" t="str">
        <f t="array" ref="C1395">IFNA(_xlfn.XLOOKUP(B1395,Table_Respons_Loket[Count],Table_Respons_Loket[Nomor Tiket]),"")</f>
        <v/>
      </c>
      <c r="D1395" s="15" t="str">
        <f t="array" ref="D1395">IFNA(_xlfn.XLOOKUP(B1395,Table_Respons_Loket[Count],Table_Respons_Loket[Daftar Nomor Hak]),"")</f>
        <v/>
      </c>
      <c r="E1395" s="17" t="str">
        <f t="array" ref="E1395">IFNA(_xlfn.XLOOKUP(B1395,Table_Respons_Loket[Count],Table_Respons_Loket[Time Stamp]),"")</f>
        <v/>
      </c>
      <c r="F1395" s="18" t="str">
        <f t="array" ref="F1395">IFNA(_xlfn.XLOOKUP(B1395,Table_Respons_Loket[Count],Table_Respons_Loket[Jenis Permohonan]),"")</f>
        <v/>
      </c>
      <c r="G1395" s="24"/>
      <c r="H1395" s="24"/>
      <c r="I1395" s="22" t="str">
        <f t="shared" si="7"/>
        <v/>
      </c>
      <c r="J1395" s="20" t="b">
        <v>0</v>
      </c>
      <c r="K1395" s="13" t="str">
        <f t="shared" si="8"/>
        <v/>
      </c>
    </row>
    <row r="1396" ht="22.5" customHeight="1">
      <c r="B1396" s="13">
        <f t="shared" si="3"/>
        <v>1390</v>
      </c>
      <c r="C1396" s="15" t="str">
        <f t="array" ref="C1396">IFNA(_xlfn.XLOOKUP(B1396,Table_Respons_Loket[Count],Table_Respons_Loket[Nomor Tiket]),"")</f>
        <v/>
      </c>
      <c r="D1396" s="15" t="str">
        <f t="array" ref="D1396">IFNA(_xlfn.XLOOKUP(B1396,Table_Respons_Loket[Count],Table_Respons_Loket[Daftar Nomor Hak]),"")</f>
        <v/>
      </c>
      <c r="E1396" s="17" t="str">
        <f t="array" ref="E1396">IFNA(_xlfn.XLOOKUP(B1396,Table_Respons_Loket[Count],Table_Respons_Loket[Time Stamp]),"")</f>
        <v/>
      </c>
      <c r="F1396" s="18" t="str">
        <f t="array" ref="F1396">IFNA(_xlfn.XLOOKUP(B1396,Table_Respons_Loket[Count],Table_Respons_Loket[Jenis Permohonan]),"")</f>
        <v/>
      </c>
      <c r="G1396" s="24"/>
      <c r="H1396" s="24"/>
      <c r="I1396" s="22" t="str">
        <f t="shared" si="7"/>
        <v/>
      </c>
      <c r="J1396" s="20" t="b">
        <v>0</v>
      </c>
      <c r="K1396" s="13" t="str">
        <f t="shared" si="8"/>
        <v/>
      </c>
    </row>
    <row r="1397" ht="22.5" customHeight="1">
      <c r="B1397" s="13">
        <f t="shared" si="3"/>
        <v>1391</v>
      </c>
      <c r="C1397" s="15" t="str">
        <f t="array" ref="C1397">IFNA(_xlfn.XLOOKUP(B1397,Table_Respons_Loket[Count],Table_Respons_Loket[Nomor Tiket]),"")</f>
        <v/>
      </c>
      <c r="D1397" s="15" t="str">
        <f t="array" ref="D1397">IFNA(_xlfn.XLOOKUP(B1397,Table_Respons_Loket[Count],Table_Respons_Loket[Daftar Nomor Hak]),"")</f>
        <v/>
      </c>
      <c r="E1397" s="17" t="str">
        <f t="array" ref="E1397">IFNA(_xlfn.XLOOKUP(B1397,Table_Respons_Loket[Count],Table_Respons_Loket[Time Stamp]),"")</f>
        <v/>
      </c>
      <c r="F1397" s="18" t="str">
        <f t="array" ref="F1397">IFNA(_xlfn.XLOOKUP(B1397,Table_Respons_Loket[Count],Table_Respons_Loket[Jenis Permohonan]),"")</f>
        <v/>
      </c>
      <c r="G1397" s="24"/>
      <c r="H1397" s="24"/>
      <c r="I1397" s="22" t="str">
        <f t="shared" si="7"/>
        <v/>
      </c>
      <c r="J1397" s="20" t="b">
        <v>0</v>
      </c>
      <c r="K1397" s="13" t="str">
        <f t="shared" si="8"/>
        <v/>
      </c>
    </row>
    <row r="1398" ht="22.5" customHeight="1">
      <c r="B1398" s="13">
        <f t="shared" si="3"/>
        <v>1392</v>
      </c>
      <c r="C1398" s="15" t="str">
        <f t="array" ref="C1398">IFNA(_xlfn.XLOOKUP(B1398,Table_Respons_Loket[Count],Table_Respons_Loket[Nomor Tiket]),"")</f>
        <v/>
      </c>
      <c r="D1398" s="15" t="str">
        <f t="array" ref="D1398">IFNA(_xlfn.XLOOKUP(B1398,Table_Respons_Loket[Count],Table_Respons_Loket[Daftar Nomor Hak]),"")</f>
        <v/>
      </c>
      <c r="E1398" s="17" t="str">
        <f t="array" ref="E1398">IFNA(_xlfn.XLOOKUP(B1398,Table_Respons_Loket[Count],Table_Respons_Loket[Time Stamp]),"")</f>
        <v/>
      </c>
      <c r="F1398" s="18" t="str">
        <f t="array" ref="F1398">IFNA(_xlfn.XLOOKUP(B1398,Table_Respons_Loket[Count],Table_Respons_Loket[Jenis Permohonan]),"")</f>
        <v/>
      </c>
      <c r="G1398" s="24"/>
      <c r="H1398" s="24"/>
      <c r="I1398" s="22" t="str">
        <f t="shared" si="7"/>
        <v/>
      </c>
      <c r="J1398" s="20" t="b">
        <v>0</v>
      </c>
      <c r="K1398" s="13" t="str">
        <f t="shared" si="8"/>
        <v/>
      </c>
    </row>
    <row r="1399" ht="22.5" customHeight="1">
      <c r="B1399" s="13">
        <f t="shared" si="3"/>
        <v>1393</v>
      </c>
      <c r="C1399" s="15" t="str">
        <f t="array" ref="C1399">IFNA(_xlfn.XLOOKUP(B1399,Table_Respons_Loket[Count],Table_Respons_Loket[Nomor Tiket]),"")</f>
        <v/>
      </c>
      <c r="D1399" s="15" t="str">
        <f t="array" ref="D1399">IFNA(_xlfn.XLOOKUP(B1399,Table_Respons_Loket[Count],Table_Respons_Loket[Daftar Nomor Hak]),"")</f>
        <v/>
      </c>
      <c r="E1399" s="17" t="str">
        <f t="array" ref="E1399">IFNA(_xlfn.XLOOKUP(B1399,Table_Respons_Loket[Count],Table_Respons_Loket[Time Stamp]),"")</f>
        <v/>
      </c>
      <c r="F1399" s="18" t="str">
        <f t="array" ref="F1399">IFNA(_xlfn.XLOOKUP(B1399,Table_Respons_Loket[Count],Table_Respons_Loket[Jenis Permohonan]),"")</f>
        <v/>
      </c>
      <c r="G1399" s="24"/>
      <c r="H1399" s="24"/>
      <c r="I1399" s="22" t="str">
        <f t="shared" si="7"/>
        <v/>
      </c>
      <c r="J1399" s="20" t="b">
        <v>0</v>
      </c>
      <c r="K1399" s="13" t="str">
        <f t="shared" si="8"/>
        <v/>
      </c>
    </row>
    <row r="1400" ht="22.5" customHeight="1">
      <c r="B1400" s="13">
        <f t="shared" si="3"/>
        <v>1394</v>
      </c>
      <c r="C1400" s="15" t="str">
        <f t="array" ref="C1400">IFNA(_xlfn.XLOOKUP(B1400,Table_Respons_Loket[Count],Table_Respons_Loket[Nomor Tiket]),"")</f>
        <v/>
      </c>
      <c r="D1400" s="15" t="str">
        <f t="array" ref="D1400">IFNA(_xlfn.XLOOKUP(B1400,Table_Respons_Loket[Count],Table_Respons_Loket[Daftar Nomor Hak]),"")</f>
        <v/>
      </c>
      <c r="E1400" s="17" t="str">
        <f t="array" ref="E1400">IFNA(_xlfn.XLOOKUP(B1400,Table_Respons_Loket[Count],Table_Respons_Loket[Time Stamp]),"")</f>
        <v/>
      </c>
      <c r="F1400" s="18" t="str">
        <f t="array" ref="F1400">IFNA(_xlfn.XLOOKUP(B1400,Table_Respons_Loket[Count],Table_Respons_Loket[Jenis Permohonan]),"")</f>
        <v/>
      </c>
      <c r="G1400" s="24"/>
      <c r="H1400" s="24"/>
      <c r="I1400" s="22" t="str">
        <f t="shared" si="7"/>
        <v/>
      </c>
      <c r="J1400" s="20" t="b">
        <v>0</v>
      </c>
      <c r="K1400" s="13" t="str">
        <f t="shared" si="8"/>
        <v/>
      </c>
    </row>
    <row r="1401" ht="22.5" customHeight="1">
      <c r="B1401" s="13">
        <f t="shared" si="3"/>
        <v>1395</v>
      </c>
      <c r="C1401" s="15" t="str">
        <f t="array" ref="C1401">IFNA(_xlfn.XLOOKUP(B1401,Table_Respons_Loket[Count],Table_Respons_Loket[Nomor Tiket]),"")</f>
        <v/>
      </c>
      <c r="D1401" s="15" t="str">
        <f t="array" ref="D1401">IFNA(_xlfn.XLOOKUP(B1401,Table_Respons_Loket[Count],Table_Respons_Loket[Daftar Nomor Hak]),"")</f>
        <v/>
      </c>
      <c r="E1401" s="17" t="str">
        <f t="array" ref="E1401">IFNA(_xlfn.XLOOKUP(B1401,Table_Respons_Loket[Count],Table_Respons_Loket[Time Stamp]),"")</f>
        <v/>
      </c>
      <c r="F1401" s="18" t="str">
        <f t="array" ref="F1401">IFNA(_xlfn.XLOOKUP(B1401,Table_Respons_Loket[Count],Table_Respons_Loket[Jenis Permohonan]),"")</f>
        <v/>
      </c>
      <c r="G1401" s="24"/>
      <c r="H1401" s="24"/>
      <c r="I1401" s="22" t="str">
        <f t="shared" si="7"/>
        <v/>
      </c>
      <c r="J1401" s="20" t="b">
        <v>0</v>
      </c>
      <c r="K1401" s="13" t="str">
        <f t="shared" si="8"/>
        <v/>
      </c>
    </row>
    <row r="1402" ht="22.5" customHeight="1">
      <c r="B1402" s="13">
        <f t="shared" si="3"/>
        <v>1396</v>
      </c>
      <c r="C1402" s="15" t="str">
        <f t="array" ref="C1402">IFNA(_xlfn.XLOOKUP(B1402,Table_Respons_Loket[Count],Table_Respons_Loket[Nomor Tiket]),"")</f>
        <v/>
      </c>
      <c r="D1402" s="15" t="str">
        <f t="array" ref="D1402">IFNA(_xlfn.XLOOKUP(B1402,Table_Respons_Loket[Count],Table_Respons_Loket[Daftar Nomor Hak]),"")</f>
        <v/>
      </c>
      <c r="E1402" s="17" t="str">
        <f t="array" ref="E1402">IFNA(_xlfn.XLOOKUP(B1402,Table_Respons_Loket[Count],Table_Respons_Loket[Time Stamp]),"")</f>
        <v/>
      </c>
      <c r="F1402" s="18" t="str">
        <f t="array" ref="F1402">IFNA(_xlfn.XLOOKUP(B1402,Table_Respons_Loket[Count],Table_Respons_Loket[Jenis Permohonan]),"")</f>
        <v/>
      </c>
      <c r="G1402" s="24"/>
      <c r="H1402" s="24"/>
      <c r="I1402" s="22" t="str">
        <f t="shared" si="7"/>
        <v/>
      </c>
      <c r="J1402" s="20" t="b">
        <v>0</v>
      </c>
      <c r="K1402" s="13" t="str">
        <f t="shared" si="8"/>
        <v/>
      </c>
    </row>
    <row r="1403" ht="22.5" customHeight="1">
      <c r="B1403" s="13">
        <f t="shared" si="3"/>
        <v>1397</v>
      </c>
      <c r="C1403" s="15" t="str">
        <f t="array" ref="C1403">IFNA(_xlfn.XLOOKUP(B1403,Table_Respons_Loket[Count],Table_Respons_Loket[Nomor Tiket]),"")</f>
        <v/>
      </c>
      <c r="D1403" s="15" t="str">
        <f t="array" ref="D1403">IFNA(_xlfn.XLOOKUP(B1403,Table_Respons_Loket[Count],Table_Respons_Loket[Daftar Nomor Hak]),"")</f>
        <v/>
      </c>
      <c r="E1403" s="17" t="str">
        <f t="array" ref="E1403">IFNA(_xlfn.XLOOKUP(B1403,Table_Respons_Loket[Count],Table_Respons_Loket[Time Stamp]),"")</f>
        <v/>
      </c>
      <c r="F1403" s="18" t="str">
        <f t="array" ref="F1403">IFNA(_xlfn.XLOOKUP(B1403,Table_Respons_Loket[Count],Table_Respons_Loket[Jenis Permohonan]),"")</f>
        <v/>
      </c>
      <c r="G1403" s="24"/>
      <c r="H1403" s="24"/>
      <c r="I1403" s="22" t="str">
        <f t="shared" si="7"/>
        <v/>
      </c>
      <c r="J1403" s="20" t="b">
        <v>0</v>
      </c>
      <c r="K1403" s="13" t="str">
        <f t="shared" si="8"/>
        <v/>
      </c>
    </row>
    <row r="1404" ht="22.5" customHeight="1">
      <c r="B1404" s="13">
        <f t="shared" si="3"/>
        <v>1398</v>
      </c>
      <c r="C1404" s="15" t="str">
        <f t="array" ref="C1404">IFNA(_xlfn.XLOOKUP(B1404,Table_Respons_Loket[Count],Table_Respons_Loket[Nomor Tiket]),"")</f>
        <v/>
      </c>
      <c r="D1404" s="15" t="str">
        <f t="array" ref="D1404">IFNA(_xlfn.XLOOKUP(B1404,Table_Respons_Loket[Count],Table_Respons_Loket[Daftar Nomor Hak]),"")</f>
        <v/>
      </c>
      <c r="E1404" s="17" t="str">
        <f t="array" ref="E1404">IFNA(_xlfn.XLOOKUP(B1404,Table_Respons_Loket[Count],Table_Respons_Loket[Time Stamp]),"")</f>
        <v/>
      </c>
      <c r="F1404" s="18" t="str">
        <f t="array" ref="F1404">IFNA(_xlfn.XLOOKUP(B1404,Table_Respons_Loket[Count],Table_Respons_Loket[Jenis Permohonan]),"")</f>
        <v/>
      </c>
      <c r="G1404" s="24"/>
      <c r="H1404" s="24"/>
      <c r="I1404" s="22" t="str">
        <f t="shared" si="7"/>
        <v/>
      </c>
      <c r="J1404" s="20" t="b">
        <v>0</v>
      </c>
      <c r="K1404" s="13" t="str">
        <f t="shared" si="8"/>
        <v/>
      </c>
    </row>
    <row r="1405" ht="22.5" customHeight="1">
      <c r="B1405" s="13">
        <f t="shared" si="3"/>
        <v>1399</v>
      </c>
      <c r="C1405" s="15" t="str">
        <f t="array" ref="C1405">IFNA(_xlfn.XLOOKUP(B1405,Table_Respons_Loket[Count],Table_Respons_Loket[Nomor Tiket]),"")</f>
        <v/>
      </c>
      <c r="D1405" s="15" t="str">
        <f t="array" ref="D1405">IFNA(_xlfn.XLOOKUP(B1405,Table_Respons_Loket[Count],Table_Respons_Loket[Daftar Nomor Hak]),"")</f>
        <v/>
      </c>
      <c r="E1405" s="17" t="str">
        <f t="array" ref="E1405">IFNA(_xlfn.XLOOKUP(B1405,Table_Respons_Loket[Count],Table_Respons_Loket[Time Stamp]),"")</f>
        <v/>
      </c>
      <c r="F1405" s="18" t="str">
        <f t="array" ref="F1405">IFNA(_xlfn.XLOOKUP(B1405,Table_Respons_Loket[Count],Table_Respons_Loket[Jenis Permohonan]),"")</f>
        <v/>
      </c>
      <c r="G1405" s="24"/>
      <c r="H1405" s="24"/>
      <c r="I1405" s="22" t="str">
        <f t="shared" si="7"/>
        <v/>
      </c>
      <c r="J1405" s="20" t="b">
        <v>0</v>
      </c>
      <c r="K1405" s="13" t="str">
        <f t="shared" si="8"/>
        <v/>
      </c>
    </row>
    <row r="1406" ht="22.5" customHeight="1">
      <c r="B1406" s="13">
        <f t="shared" si="3"/>
        <v>1400</v>
      </c>
      <c r="C1406" s="15" t="str">
        <f t="array" ref="C1406">IFNA(_xlfn.XLOOKUP(B1406,Table_Respons_Loket[Count],Table_Respons_Loket[Nomor Tiket]),"")</f>
        <v/>
      </c>
      <c r="D1406" s="15" t="str">
        <f t="array" ref="D1406">IFNA(_xlfn.XLOOKUP(B1406,Table_Respons_Loket[Count],Table_Respons_Loket[Daftar Nomor Hak]),"")</f>
        <v/>
      </c>
      <c r="E1406" s="17" t="str">
        <f t="array" ref="E1406">IFNA(_xlfn.XLOOKUP(B1406,Table_Respons_Loket[Count],Table_Respons_Loket[Time Stamp]),"")</f>
        <v/>
      </c>
      <c r="F1406" s="18" t="str">
        <f t="array" ref="F1406">IFNA(_xlfn.XLOOKUP(B1406,Table_Respons_Loket[Count],Table_Respons_Loket[Jenis Permohonan]),"")</f>
        <v/>
      </c>
      <c r="G1406" s="24"/>
      <c r="H1406" s="24"/>
      <c r="I1406" s="22" t="str">
        <f t="shared" si="7"/>
        <v/>
      </c>
      <c r="J1406" s="20" t="b">
        <v>0</v>
      </c>
      <c r="K1406" s="13" t="str">
        <f t="shared" si="8"/>
        <v/>
      </c>
    </row>
    <row r="1407" ht="22.5" customHeight="1">
      <c r="B1407" s="13">
        <f t="shared" si="3"/>
        <v>1401</v>
      </c>
      <c r="C1407" s="15" t="str">
        <f t="array" ref="C1407">IFNA(_xlfn.XLOOKUP(B1407,Table_Respons_Loket[Count],Table_Respons_Loket[Nomor Tiket]),"")</f>
        <v/>
      </c>
      <c r="D1407" s="15" t="str">
        <f t="array" ref="D1407">IFNA(_xlfn.XLOOKUP(B1407,Table_Respons_Loket[Count],Table_Respons_Loket[Daftar Nomor Hak]),"")</f>
        <v/>
      </c>
      <c r="E1407" s="17" t="str">
        <f t="array" ref="E1407">IFNA(_xlfn.XLOOKUP(B1407,Table_Respons_Loket[Count],Table_Respons_Loket[Time Stamp]),"")</f>
        <v/>
      </c>
      <c r="F1407" s="18" t="str">
        <f t="array" ref="F1407">IFNA(_xlfn.XLOOKUP(B1407,Table_Respons_Loket[Count],Table_Respons_Loket[Jenis Permohonan]),"")</f>
        <v/>
      </c>
      <c r="G1407" s="24"/>
      <c r="H1407" s="24"/>
      <c r="I1407" s="22" t="str">
        <f t="shared" si="7"/>
        <v/>
      </c>
      <c r="J1407" s="20" t="b">
        <v>0</v>
      </c>
      <c r="K1407" s="13" t="str">
        <f t="shared" si="8"/>
        <v/>
      </c>
    </row>
    <row r="1408" ht="22.5" customHeight="1">
      <c r="B1408" s="13">
        <f t="shared" si="3"/>
        <v>1402</v>
      </c>
      <c r="C1408" s="15" t="str">
        <f t="array" ref="C1408">IFNA(_xlfn.XLOOKUP(B1408,Table_Respons_Loket[Count],Table_Respons_Loket[Nomor Tiket]),"")</f>
        <v/>
      </c>
      <c r="D1408" s="15" t="str">
        <f t="array" ref="D1408">IFNA(_xlfn.XLOOKUP(B1408,Table_Respons_Loket[Count],Table_Respons_Loket[Daftar Nomor Hak]),"")</f>
        <v/>
      </c>
      <c r="E1408" s="17" t="str">
        <f t="array" ref="E1408">IFNA(_xlfn.XLOOKUP(B1408,Table_Respons_Loket[Count],Table_Respons_Loket[Time Stamp]),"")</f>
        <v/>
      </c>
      <c r="F1408" s="18" t="str">
        <f t="array" ref="F1408">IFNA(_xlfn.XLOOKUP(B1408,Table_Respons_Loket[Count],Table_Respons_Loket[Jenis Permohonan]),"")</f>
        <v/>
      </c>
      <c r="G1408" s="24"/>
      <c r="H1408" s="24"/>
      <c r="I1408" s="22" t="str">
        <f t="shared" si="7"/>
        <v/>
      </c>
      <c r="J1408" s="20" t="b">
        <v>0</v>
      </c>
      <c r="K1408" s="13" t="str">
        <f t="shared" si="8"/>
        <v/>
      </c>
    </row>
    <row r="1409" ht="22.5" customHeight="1">
      <c r="B1409" s="13">
        <f t="shared" si="3"/>
        <v>1403</v>
      </c>
      <c r="C1409" s="15" t="str">
        <f t="array" ref="C1409">IFNA(_xlfn.XLOOKUP(B1409,Table_Respons_Loket[Count],Table_Respons_Loket[Nomor Tiket]),"")</f>
        <v/>
      </c>
      <c r="D1409" s="15" t="str">
        <f t="array" ref="D1409">IFNA(_xlfn.XLOOKUP(B1409,Table_Respons_Loket[Count],Table_Respons_Loket[Daftar Nomor Hak]),"")</f>
        <v/>
      </c>
      <c r="E1409" s="17" t="str">
        <f t="array" ref="E1409">IFNA(_xlfn.XLOOKUP(B1409,Table_Respons_Loket[Count],Table_Respons_Loket[Time Stamp]),"")</f>
        <v/>
      </c>
      <c r="F1409" s="18" t="str">
        <f t="array" ref="F1409">IFNA(_xlfn.XLOOKUP(B1409,Table_Respons_Loket[Count],Table_Respons_Loket[Jenis Permohonan]),"")</f>
        <v/>
      </c>
      <c r="G1409" s="24"/>
      <c r="H1409" s="24"/>
      <c r="I1409" s="22" t="str">
        <f t="shared" si="7"/>
        <v/>
      </c>
      <c r="J1409" s="20" t="b">
        <v>0</v>
      </c>
      <c r="K1409" s="13" t="str">
        <f t="shared" si="8"/>
        <v/>
      </c>
    </row>
    <row r="1410" ht="22.5" customHeight="1">
      <c r="B1410" s="13">
        <f t="shared" si="3"/>
        <v>1404</v>
      </c>
      <c r="C1410" s="15" t="str">
        <f t="array" ref="C1410">IFNA(_xlfn.XLOOKUP(B1410,Table_Respons_Loket[Count],Table_Respons_Loket[Nomor Tiket]),"")</f>
        <v/>
      </c>
      <c r="D1410" s="15" t="str">
        <f t="array" ref="D1410">IFNA(_xlfn.XLOOKUP(B1410,Table_Respons_Loket[Count],Table_Respons_Loket[Daftar Nomor Hak]),"")</f>
        <v/>
      </c>
      <c r="E1410" s="17" t="str">
        <f t="array" ref="E1410">IFNA(_xlfn.XLOOKUP(B1410,Table_Respons_Loket[Count],Table_Respons_Loket[Time Stamp]),"")</f>
        <v/>
      </c>
      <c r="F1410" s="18" t="str">
        <f t="array" ref="F1410">IFNA(_xlfn.XLOOKUP(B1410,Table_Respons_Loket[Count],Table_Respons_Loket[Jenis Permohonan]),"")</f>
        <v/>
      </c>
      <c r="G1410" s="24"/>
      <c r="H1410" s="24"/>
      <c r="I1410" s="22" t="str">
        <f t="shared" si="7"/>
        <v/>
      </c>
      <c r="J1410" s="20" t="b">
        <v>0</v>
      </c>
      <c r="K1410" s="13" t="str">
        <f t="shared" si="8"/>
        <v/>
      </c>
    </row>
    <row r="1411" ht="22.5" customHeight="1">
      <c r="B1411" s="13">
        <f t="shared" si="3"/>
        <v>1405</v>
      </c>
      <c r="C1411" s="15" t="str">
        <f t="array" ref="C1411">IFNA(_xlfn.XLOOKUP(B1411,Table_Respons_Loket[Count],Table_Respons_Loket[Nomor Tiket]),"")</f>
        <v/>
      </c>
      <c r="D1411" s="15" t="str">
        <f t="array" ref="D1411">IFNA(_xlfn.XLOOKUP(B1411,Table_Respons_Loket[Count],Table_Respons_Loket[Daftar Nomor Hak]),"")</f>
        <v/>
      </c>
      <c r="E1411" s="17" t="str">
        <f t="array" ref="E1411">IFNA(_xlfn.XLOOKUP(B1411,Table_Respons_Loket[Count],Table_Respons_Loket[Time Stamp]),"")</f>
        <v/>
      </c>
      <c r="F1411" s="18" t="str">
        <f t="array" ref="F1411">IFNA(_xlfn.XLOOKUP(B1411,Table_Respons_Loket[Count],Table_Respons_Loket[Jenis Permohonan]),"")</f>
        <v/>
      </c>
      <c r="G1411" s="24"/>
      <c r="H1411" s="24"/>
      <c r="I1411" s="22" t="str">
        <f t="shared" si="7"/>
        <v/>
      </c>
      <c r="J1411" s="20" t="b">
        <v>0</v>
      </c>
      <c r="K1411" s="13" t="str">
        <f t="shared" si="8"/>
        <v/>
      </c>
    </row>
    <row r="1412" ht="22.5" customHeight="1">
      <c r="B1412" s="13">
        <f t="shared" si="3"/>
        <v>1406</v>
      </c>
      <c r="C1412" s="15" t="str">
        <f t="array" ref="C1412">IFNA(_xlfn.XLOOKUP(B1412,Table_Respons_Loket[Count],Table_Respons_Loket[Nomor Tiket]),"")</f>
        <v/>
      </c>
      <c r="D1412" s="15" t="str">
        <f t="array" ref="D1412">IFNA(_xlfn.XLOOKUP(B1412,Table_Respons_Loket[Count],Table_Respons_Loket[Daftar Nomor Hak]),"")</f>
        <v/>
      </c>
      <c r="E1412" s="17" t="str">
        <f t="array" ref="E1412">IFNA(_xlfn.XLOOKUP(B1412,Table_Respons_Loket[Count],Table_Respons_Loket[Time Stamp]),"")</f>
        <v/>
      </c>
      <c r="F1412" s="18" t="str">
        <f t="array" ref="F1412">IFNA(_xlfn.XLOOKUP(B1412,Table_Respons_Loket[Count],Table_Respons_Loket[Jenis Permohonan]),"")</f>
        <v/>
      </c>
      <c r="G1412" s="24"/>
      <c r="H1412" s="24"/>
      <c r="I1412" s="22" t="str">
        <f t="shared" si="7"/>
        <v/>
      </c>
      <c r="J1412" s="20" t="b">
        <v>0</v>
      </c>
      <c r="K1412" s="13" t="str">
        <f t="shared" si="8"/>
        <v/>
      </c>
    </row>
    <row r="1413" ht="22.5" customHeight="1">
      <c r="B1413" s="13">
        <f t="shared" si="3"/>
        <v>1407</v>
      </c>
      <c r="C1413" s="15" t="str">
        <f t="array" ref="C1413">IFNA(_xlfn.XLOOKUP(B1413,Table_Respons_Loket[Count],Table_Respons_Loket[Nomor Tiket]),"")</f>
        <v/>
      </c>
      <c r="D1413" s="15" t="str">
        <f t="array" ref="D1413">IFNA(_xlfn.XLOOKUP(B1413,Table_Respons_Loket[Count],Table_Respons_Loket[Daftar Nomor Hak]),"")</f>
        <v/>
      </c>
      <c r="E1413" s="17" t="str">
        <f t="array" ref="E1413">IFNA(_xlfn.XLOOKUP(B1413,Table_Respons_Loket[Count],Table_Respons_Loket[Time Stamp]),"")</f>
        <v/>
      </c>
      <c r="F1413" s="18" t="str">
        <f t="array" ref="F1413">IFNA(_xlfn.XLOOKUP(B1413,Table_Respons_Loket[Count],Table_Respons_Loket[Jenis Permohonan]),"")</f>
        <v/>
      </c>
      <c r="G1413" s="24"/>
      <c r="H1413" s="24"/>
      <c r="I1413" s="22" t="str">
        <f t="shared" si="7"/>
        <v/>
      </c>
      <c r="J1413" s="20" t="b">
        <v>0</v>
      </c>
      <c r="K1413" s="13" t="str">
        <f t="shared" si="8"/>
        <v/>
      </c>
    </row>
    <row r="1414" ht="22.5" customHeight="1">
      <c r="B1414" s="13">
        <f t="shared" si="3"/>
        <v>1408</v>
      </c>
      <c r="C1414" s="15" t="str">
        <f t="array" ref="C1414">IFNA(_xlfn.XLOOKUP(B1414,Table_Respons_Loket[Count],Table_Respons_Loket[Nomor Tiket]),"")</f>
        <v/>
      </c>
      <c r="D1414" s="15" t="str">
        <f t="array" ref="D1414">IFNA(_xlfn.XLOOKUP(B1414,Table_Respons_Loket[Count],Table_Respons_Loket[Daftar Nomor Hak]),"")</f>
        <v/>
      </c>
      <c r="E1414" s="17" t="str">
        <f t="array" ref="E1414">IFNA(_xlfn.XLOOKUP(B1414,Table_Respons_Loket[Count],Table_Respons_Loket[Time Stamp]),"")</f>
        <v/>
      </c>
      <c r="F1414" s="18" t="str">
        <f t="array" ref="F1414">IFNA(_xlfn.XLOOKUP(B1414,Table_Respons_Loket[Count],Table_Respons_Loket[Jenis Permohonan]),"")</f>
        <v/>
      </c>
      <c r="G1414" s="24"/>
      <c r="H1414" s="24"/>
      <c r="I1414" s="22" t="str">
        <f t="shared" si="7"/>
        <v/>
      </c>
      <c r="J1414" s="20" t="b">
        <v>0</v>
      </c>
      <c r="K1414" s="13" t="str">
        <f t="shared" si="8"/>
        <v/>
      </c>
    </row>
    <row r="1415" ht="22.5" customHeight="1">
      <c r="B1415" s="13">
        <f t="shared" si="3"/>
        <v>1409</v>
      </c>
      <c r="C1415" s="15" t="str">
        <f t="array" ref="C1415">IFNA(_xlfn.XLOOKUP(B1415,Table_Respons_Loket[Count],Table_Respons_Loket[Nomor Tiket]),"")</f>
        <v/>
      </c>
      <c r="D1415" s="15" t="str">
        <f t="array" ref="D1415">IFNA(_xlfn.XLOOKUP(B1415,Table_Respons_Loket[Count],Table_Respons_Loket[Daftar Nomor Hak]),"")</f>
        <v/>
      </c>
      <c r="E1415" s="17" t="str">
        <f t="array" ref="E1415">IFNA(_xlfn.XLOOKUP(B1415,Table_Respons_Loket[Count],Table_Respons_Loket[Time Stamp]),"")</f>
        <v/>
      </c>
      <c r="F1415" s="18" t="str">
        <f t="array" ref="F1415">IFNA(_xlfn.XLOOKUP(B1415,Table_Respons_Loket[Count],Table_Respons_Loket[Jenis Permohonan]),"")</f>
        <v/>
      </c>
      <c r="G1415" s="24"/>
      <c r="H1415" s="24"/>
      <c r="I1415" s="22" t="str">
        <f t="shared" si="7"/>
        <v/>
      </c>
      <c r="J1415" s="20" t="b">
        <v>0</v>
      </c>
      <c r="K1415" s="13" t="str">
        <f t="shared" si="8"/>
        <v/>
      </c>
    </row>
    <row r="1416" ht="22.5" customHeight="1">
      <c r="B1416" s="13">
        <f t="shared" si="3"/>
        <v>1410</v>
      </c>
      <c r="C1416" s="15" t="str">
        <f t="array" ref="C1416">IFNA(_xlfn.XLOOKUP(B1416,Table_Respons_Loket[Count],Table_Respons_Loket[Nomor Tiket]),"")</f>
        <v/>
      </c>
      <c r="D1416" s="15" t="str">
        <f t="array" ref="D1416">IFNA(_xlfn.XLOOKUP(B1416,Table_Respons_Loket[Count],Table_Respons_Loket[Daftar Nomor Hak]),"")</f>
        <v/>
      </c>
      <c r="E1416" s="17" t="str">
        <f t="array" ref="E1416">IFNA(_xlfn.XLOOKUP(B1416,Table_Respons_Loket[Count],Table_Respons_Loket[Time Stamp]),"")</f>
        <v/>
      </c>
      <c r="F1416" s="18" t="str">
        <f t="array" ref="F1416">IFNA(_xlfn.XLOOKUP(B1416,Table_Respons_Loket[Count],Table_Respons_Loket[Jenis Permohonan]),"")</f>
        <v/>
      </c>
      <c r="G1416" s="24"/>
      <c r="H1416" s="24"/>
      <c r="I1416" s="22" t="str">
        <f t="shared" si="7"/>
        <v/>
      </c>
      <c r="J1416" s="20" t="b">
        <v>0</v>
      </c>
      <c r="K1416" s="13" t="str">
        <f t="shared" si="8"/>
        <v/>
      </c>
    </row>
    <row r="1417" ht="22.5" customHeight="1">
      <c r="B1417" s="13">
        <f t="shared" si="3"/>
        <v>1411</v>
      </c>
      <c r="C1417" s="15" t="str">
        <f t="array" ref="C1417">IFNA(_xlfn.XLOOKUP(B1417,Table_Respons_Loket[Count],Table_Respons_Loket[Nomor Tiket]),"")</f>
        <v/>
      </c>
      <c r="D1417" s="15" t="str">
        <f t="array" ref="D1417">IFNA(_xlfn.XLOOKUP(B1417,Table_Respons_Loket[Count],Table_Respons_Loket[Daftar Nomor Hak]),"")</f>
        <v/>
      </c>
      <c r="E1417" s="17" t="str">
        <f t="array" ref="E1417">IFNA(_xlfn.XLOOKUP(B1417,Table_Respons_Loket[Count],Table_Respons_Loket[Time Stamp]),"")</f>
        <v/>
      </c>
      <c r="F1417" s="18" t="str">
        <f t="array" ref="F1417">IFNA(_xlfn.XLOOKUP(B1417,Table_Respons_Loket[Count],Table_Respons_Loket[Jenis Permohonan]),"")</f>
        <v/>
      </c>
      <c r="G1417" s="24"/>
      <c r="H1417" s="24"/>
      <c r="I1417" s="22" t="str">
        <f t="shared" si="7"/>
        <v/>
      </c>
      <c r="J1417" s="20" t="b">
        <v>0</v>
      </c>
      <c r="K1417" s="13" t="str">
        <f t="shared" si="8"/>
        <v/>
      </c>
    </row>
    <row r="1418" ht="22.5" customHeight="1">
      <c r="B1418" s="13">
        <f t="shared" si="3"/>
        <v>1412</v>
      </c>
      <c r="C1418" s="15" t="str">
        <f t="array" ref="C1418">IFNA(_xlfn.XLOOKUP(B1418,Table_Respons_Loket[Count],Table_Respons_Loket[Nomor Tiket]),"")</f>
        <v/>
      </c>
      <c r="D1418" s="15" t="str">
        <f t="array" ref="D1418">IFNA(_xlfn.XLOOKUP(B1418,Table_Respons_Loket[Count],Table_Respons_Loket[Daftar Nomor Hak]),"")</f>
        <v/>
      </c>
      <c r="E1418" s="17" t="str">
        <f t="array" ref="E1418">IFNA(_xlfn.XLOOKUP(B1418,Table_Respons_Loket[Count],Table_Respons_Loket[Time Stamp]),"")</f>
        <v/>
      </c>
      <c r="F1418" s="18" t="str">
        <f t="array" ref="F1418">IFNA(_xlfn.XLOOKUP(B1418,Table_Respons_Loket[Count],Table_Respons_Loket[Jenis Permohonan]),"")</f>
        <v/>
      </c>
      <c r="G1418" s="24"/>
      <c r="H1418" s="24"/>
      <c r="I1418" s="22" t="str">
        <f t="shared" si="7"/>
        <v/>
      </c>
      <c r="J1418" s="20" t="b">
        <v>0</v>
      </c>
      <c r="K1418" s="13" t="str">
        <f t="shared" si="8"/>
        <v/>
      </c>
    </row>
    <row r="1419" ht="22.5" customHeight="1">
      <c r="B1419" s="13">
        <f t="shared" si="3"/>
        <v>1413</v>
      </c>
      <c r="C1419" s="15" t="str">
        <f t="array" ref="C1419">IFNA(_xlfn.XLOOKUP(B1419,Table_Respons_Loket[Count],Table_Respons_Loket[Nomor Tiket]),"")</f>
        <v/>
      </c>
      <c r="D1419" s="15" t="str">
        <f t="array" ref="D1419">IFNA(_xlfn.XLOOKUP(B1419,Table_Respons_Loket[Count],Table_Respons_Loket[Daftar Nomor Hak]),"")</f>
        <v/>
      </c>
      <c r="E1419" s="17" t="str">
        <f t="array" ref="E1419">IFNA(_xlfn.XLOOKUP(B1419,Table_Respons_Loket[Count],Table_Respons_Loket[Time Stamp]),"")</f>
        <v/>
      </c>
      <c r="F1419" s="18" t="str">
        <f t="array" ref="F1419">IFNA(_xlfn.XLOOKUP(B1419,Table_Respons_Loket[Count],Table_Respons_Loket[Jenis Permohonan]),"")</f>
        <v/>
      </c>
      <c r="G1419" s="24"/>
      <c r="H1419" s="24"/>
      <c r="I1419" s="22" t="str">
        <f t="shared" si="7"/>
        <v/>
      </c>
      <c r="J1419" s="20" t="b">
        <v>0</v>
      </c>
      <c r="K1419" s="13" t="str">
        <f t="shared" si="8"/>
        <v/>
      </c>
    </row>
    <row r="1420" ht="22.5" customHeight="1">
      <c r="B1420" s="13">
        <f t="shared" si="3"/>
        <v>1414</v>
      </c>
      <c r="C1420" s="15" t="str">
        <f t="array" ref="C1420">IFNA(_xlfn.XLOOKUP(B1420,Table_Respons_Loket[Count],Table_Respons_Loket[Nomor Tiket]),"")</f>
        <v/>
      </c>
      <c r="D1420" s="15" t="str">
        <f t="array" ref="D1420">IFNA(_xlfn.XLOOKUP(B1420,Table_Respons_Loket[Count],Table_Respons_Loket[Daftar Nomor Hak]),"")</f>
        <v/>
      </c>
      <c r="E1420" s="17" t="str">
        <f t="array" ref="E1420">IFNA(_xlfn.XLOOKUP(B1420,Table_Respons_Loket[Count],Table_Respons_Loket[Time Stamp]),"")</f>
        <v/>
      </c>
      <c r="F1420" s="18" t="str">
        <f t="array" ref="F1420">IFNA(_xlfn.XLOOKUP(B1420,Table_Respons_Loket[Count],Table_Respons_Loket[Jenis Permohonan]),"")</f>
        <v/>
      </c>
      <c r="G1420" s="24"/>
      <c r="H1420" s="24"/>
      <c r="I1420" s="22" t="str">
        <f t="shared" si="7"/>
        <v/>
      </c>
      <c r="J1420" s="20" t="b">
        <v>0</v>
      </c>
      <c r="K1420" s="13" t="str">
        <f t="shared" si="8"/>
        <v/>
      </c>
    </row>
    <row r="1421" ht="22.5" customHeight="1">
      <c r="B1421" s="13">
        <f t="shared" si="3"/>
        <v>1415</v>
      </c>
      <c r="C1421" s="15" t="str">
        <f t="array" ref="C1421">IFNA(_xlfn.XLOOKUP(B1421,Table_Respons_Loket[Count],Table_Respons_Loket[Nomor Tiket]),"")</f>
        <v/>
      </c>
      <c r="D1421" s="15" t="str">
        <f t="array" ref="D1421">IFNA(_xlfn.XLOOKUP(B1421,Table_Respons_Loket[Count],Table_Respons_Loket[Daftar Nomor Hak]),"")</f>
        <v/>
      </c>
      <c r="E1421" s="17" t="str">
        <f t="array" ref="E1421">IFNA(_xlfn.XLOOKUP(B1421,Table_Respons_Loket[Count],Table_Respons_Loket[Time Stamp]),"")</f>
        <v/>
      </c>
      <c r="F1421" s="18" t="str">
        <f t="array" ref="F1421">IFNA(_xlfn.XLOOKUP(B1421,Table_Respons_Loket[Count],Table_Respons_Loket[Jenis Permohonan]),"")</f>
        <v/>
      </c>
      <c r="G1421" s="24"/>
      <c r="H1421" s="24"/>
      <c r="I1421" s="22" t="str">
        <f t="shared" si="7"/>
        <v/>
      </c>
      <c r="J1421" s="20" t="b">
        <v>0</v>
      </c>
      <c r="K1421" s="13" t="str">
        <f t="shared" si="8"/>
        <v/>
      </c>
    </row>
    <row r="1422" ht="22.5" customHeight="1">
      <c r="B1422" s="13">
        <f t="shared" si="3"/>
        <v>1416</v>
      </c>
      <c r="C1422" s="15" t="str">
        <f t="array" ref="C1422">IFNA(_xlfn.XLOOKUP(B1422,Table_Respons_Loket[Count],Table_Respons_Loket[Nomor Tiket]),"")</f>
        <v/>
      </c>
      <c r="D1422" s="15" t="str">
        <f t="array" ref="D1422">IFNA(_xlfn.XLOOKUP(B1422,Table_Respons_Loket[Count],Table_Respons_Loket[Daftar Nomor Hak]),"")</f>
        <v/>
      </c>
      <c r="E1422" s="17" t="str">
        <f t="array" ref="E1422">IFNA(_xlfn.XLOOKUP(B1422,Table_Respons_Loket[Count],Table_Respons_Loket[Time Stamp]),"")</f>
        <v/>
      </c>
      <c r="F1422" s="18" t="str">
        <f t="array" ref="F1422">IFNA(_xlfn.XLOOKUP(B1422,Table_Respons_Loket[Count],Table_Respons_Loket[Jenis Permohonan]),"")</f>
        <v/>
      </c>
      <c r="G1422" s="24"/>
      <c r="H1422" s="24"/>
      <c r="I1422" s="22" t="str">
        <f t="shared" si="7"/>
        <v/>
      </c>
      <c r="J1422" s="20" t="b">
        <v>0</v>
      </c>
      <c r="K1422" s="13" t="str">
        <f t="shared" si="8"/>
        <v/>
      </c>
    </row>
    <row r="1423" ht="22.5" customHeight="1">
      <c r="B1423" s="13">
        <f t="shared" si="3"/>
        <v>1417</v>
      </c>
      <c r="C1423" s="15" t="str">
        <f t="array" ref="C1423">IFNA(_xlfn.XLOOKUP(B1423,Table_Respons_Loket[Count],Table_Respons_Loket[Nomor Tiket]),"")</f>
        <v/>
      </c>
      <c r="D1423" s="15" t="str">
        <f t="array" ref="D1423">IFNA(_xlfn.XLOOKUP(B1423,Table_Respons_Loket[Count],Table_Respons_Loket[Daftar Nomor Hak]),"")</f>
        <v/>
      </c>
      <c r="E1423" s="17" t="str">
        <f t="array" ref="E1423">IFNA(_xlfn.XLOOKUP(B1423,Table_Respons_Loket[Count],Table_Respons_Loket[Time Stamp]),"")</f>
        <v/>
      </c>
      <c r="F1423" s="18" t="str">
        <f t="array" ref="F1423">IFNA(_xlfn.XLOOKUP(B1423,Table_Respons_Loket[Count],Table_Respons_Loket[Jenis Permohonan]),"")</f>
        <v/>
      </c>
      <c r="G1423" s="24"/>
      <c r="H1423" s="24"/>
      <c r="I1423" s="22" t="str">
        <f t="shared" si="7"/>
        <v/>
      </c>
      <c r="J1423" s="20" t="b">
        <v>0</v>
      </c>
      <c r="K1423" s="13" t="str">
        <f t="shared" si="8"/>
        <v/>
      </c>
    </row>
    <row r="1424" ht="22.5" customHeight="1">
      <c r="B1424" s="13">
        <f t="shared" si="3"/>
        <v>1418</v>
      </c>
      <c r="C1424" s="15" t="str">
        <f t="array" ref="C1424">IFNA(_xlfn.XLOOKUP(B1424,Table_Respons_Loket[Count],Table_Respons_Loket[Nomor Tiket]),"")</f>
        <v/>
      </c>
      <c r="D1424" s="15" t="str">
        <f t="array" ref="D1424">IFNA(_xlfn.XLOOKUP(B1424,Table_Respons_Loket[Count],Table_Respons_Loket[Daftar Nomor Hak]),"")</f>
        <v/>
      </c>
      <c r="E1424" s="17" t="str">
        <f t="array" ref="E1424">IFNA(_xlfn.XLOOKUP(B1424,Table_Respons_Loket[Count],Table_Respons_Loket[Time Stamp]),"")</f>
        <v/>
      </c>
      <c r="F1424" s="18" t="str">
        <f t="array" ref="F1424">IFNA(_xlfn.XLOOKUP(B1424,Table_Respons_Loket[Count],Table_Respons_Loket[Jenis Permohonan]),"")</f>
        <v/>
      </c>
      <c r="G1424" s="24"/>
      <c r="H1424" s="24"/>
      <c r="I1424" s="22" t="str">
        <f t="shared" si="7"/>
        <v/>
      </c>
      <c r="J1424" s="20" t="b">
        <v>0</v>
      </c>
      <c r="K1424" s="13" t="str">
        <f t="shared" si="8"/>
        <v/>
      </c>
    </row>
    <row r="1425" ht="22.5" customHeight="1">
      <c r="B1425" s="13">
        <f t="shared" si="3"/>
        <v>1419</v>
      </c>
      <c r="C1425" s="15" t="str">
        <f t="array" ref="C1425">IFNA(_xlfn.XLOOKUP(B1425,Table_Respons_Loket[Count],Table_Respons_Loket[Nomor Tiket]),"")</f>
        <v/>
      </c>
      <c r="D1425" s="15" t="str">
        <f t="array" ref="D1425">IFNA(_xlfn.XLOOKUP(B1425,Table_Respons_Loket[Count],Table_Respons_Loket[Daftar Nomor Hak]),"")</f>
        <v/>
      </c>
      <c r="E1425" s="17" t="str">
        <f t="array" ref="E1425">IFNA(_xlfn.XLOOKUP(B1425,Table_Respons_Loket[Count],Table_Respons_Loket[Time Stamp]),"")</f>
        <v/>
      </c>
      <c r="F1425" s="18" t="str">
        <f t="array" ref="F1425">IFNA(_xlfn.XLOOKUP(B1425,Table_Respons_Loket[Count],Table_Respons_Loket[Jenis Permohonan]),"")</f>
        <v/>
      </c>
      <c r="G1425" s="24"/>
      <c r="H1425" s="24"/>
      <c r="I1425" s="22" t="str">
        <f t="shared" si="7"/>
        <v/>
      </c>
      <c r="J1425" s="20" t="b">
        <v>0</v>
      </c>
      <c r="K1425" s="13" t="str">
        <f t="shared" si="8"/>
        <v/>
      </c>
    </row>
    <row r="1426" ht="22.5" customHeight="1">
      <c r="B1426" s="13">
        <f t="shared" si="3"/>
        <v>1420</v>
      </c>
      <c r="C1426" s="15" t="str">
        <f t="array" ref="C1426">IFNA(_xlfn.XLOOKUP(B1426,Table_Respons_Loket[Count],Table_Respons_Loket[Nomor Tiket]),"")</f>
        <v/>
      </c>
      <c r="D1426" s="15" t="str">
        <f t="array" ref="D1426">IFNA(_xlfn.XLOOKUP(B1426,Table_Respons_Loket[Count],Table_Respons_Loket[Daftar Nomor Hak]),"")</f>
        <v/>
      </c>
      <c r="E1426" s="17" t="str">
        <f t="array" ref="E1426">IFNA(_xlfn.XLOOKUP(B1426,Table_Respons_Loket[Count],Table_Respons_Loket[Time Stamp]),"")</f>
        <v/>
      </c>
      <c r="F1426" s="18" t="str">
        <f t="array" ref="F1426">IFNA(_xlfn.XLOOKUP(B1426,Table_Respons_Loket[Count],Table_Respons_Loket[Jenis Permohonan]),"")</f>
        <v/>
      </c>
      <c r="G1426" s="24"/>
      <c r="H1426" s="24"/>
      <c r="I1426" s="22" t="str">
        <f t="shared" si="7"/>
        <v/>
      </c>
      <c r="J1426" s="20" t="b">
        <v>0</v>
      </c>
      <c r="K1426" s="13" t="str">
        <f t="shared" si="8"/>
        <v/>
      </c>
    </row>
    <row r="1427" ht="22.5" customHeight="1">
      <c r="B1427" s="13">
        <f t="shared" si="3"/>
        <v>1421</v>
      </c>
      <c r="C1427" s="15" t="str">
        <f t="array" ref="C1427">IFNA(_xlfn.XLOOKUP(B1427,Table_Respons_Loket[Count],Table_Respons_Loket[Nomor Tiket]),"")</f>
        <v/>
      </c>
      <c r="D1427" s="15" t="str">
        <f t="array" ref="D1427">IFNA(_xlfn.XLOOKUP(B1427,Table_Respons_Loket[Count],Table_Respons_Loket[Daftar Nomor Hak]),"")</f>
        <v/>
      </c>
      <c r="E1427" s="17" t="str">
        <f t="array" ref="E1427">IFNA(_xlfn.XLOOKUP(B1427,Table_Respons_Loket[Count],Table_Respons_Loket[Time Stamp]),"")</f>
        <v/>
      </c>
      <c r="F1427" s="18" t="str">
        <f t="array" ref="F1427">IFNA(_xlfn.XLOOKUP(B1427,Table_Respons_Loket[Count],Table_Respons_Loket[Jenis Permohonan]),"")</f>
        <v/>
      </c>
      <c r="G1427" s="24"/>
      <c r="H1427" s="24"/>
      <c r="I1427" s="22" t="str">
        <f t="shared" si="7"/>
        <v/>
      </c>
      <c r="J1427" s="20" t="b">
        <v>0</v>
      </c>
      <c r="K1427" s="13" t="str">
        <f t="shared" si="8"/>
        <v/>
      </c>
    </row>
    <row r="1428" ht="22.5" customHeight="1">
      <c r="B1428" s="13">
        <f t="shared" si="3"/>
        <v>1422</v>
      </c>
      <c r="C1428" s="15" t="str">
        <f t="array" ref="C1428">IFNA(_xlfn.XLOOKUP(B1428,Table_Respons_Loket[Count],Table_Respons_Loket[Nomor Tiket]),"")</f>
        <v/>
      </c>
      <c r="D1428" s="15" t="str">
        <f t="array" ref="D1428">IFNA(_xlfn.XLOOKUP(B1428,Table_Respons_Loket[Count],Table_Respons_Loket[Daftar Nomor Hak]),"")</f>
        <v/>
      </c>
      <c r="E1428" s="17" t="str">
        <f t="array" ref="E1428">IFNA(_xlfn.XLOOKUP(B1428,Table_Respons_Loket[Count],Table_Respons_Loket[Time Stamp]),"")</f>
        <v/>
      </c>
      <c r="F1428" s="18" t="str">
        <f t="array" ref="F1428">IFNA(_xlfn.XLOOKUP(B1428,Table_Respons_Loket[Count],Table_Respons_Loket[Jenis Permohonan]),"")</f>
        <v/>
      </c>
      <c r="G1428" s="24"/>
      <c r="H1428" s="24"/>
      <c r="I1428" s="22" t="str">
        <f t="shared" si="7"/>
        <v/>
      </c>
      <c r="J1428" s="20" t="b">
        <v>0</v>
      </c>
      <c r="K1428" s="13" t="str">
        <f t="shared" si="8"/>
        <v/>
      </c>
    </row>
    <row r="1429" ht="22.5" customHeight="1">
      <c r="B1429" s="13">
        <f t="shared" si="3"/>
        <v>1423</v>
      </c>
      <c r="C1429" s="15" t="str">
        <f t="array" ref="C1429">IFNA(_xlfn.XLOOKUP(B1429,Table_Respons_Loket[Count],Table_Respons_Loket[Nomor Tiket]),"")</f>
        <v/>
      </c>
      <c r="D1429" s="15" t="str">
        <f t="array" ref="D1429">IFNA(_xlfn.XLOOKUP(B1429,Table_Respons_Loket[Count],Table_Respons_Loket[Daftar Nomor Hak]),"")</f>
        <v/>
      </c>
      <c r="E1429" s="17" t="str">
        <f t="array" ref="E1429">IFNA(_xlfn.XLOOKUP(B1429,Table_Respons_Loket[Count],Table_Respons_Loket[Time Stamp]),"")</f>
        <v/>
      </c>
      <c r="F1429" s="18" t="str">
        <f t="array" ref="F1429">IFNA(_xlfn.XLOOKUP(B1429,Table_Respons_Loket[Count],Table_Respons_Loket[Jenis Permohonan]),"")</f>
        <v/>
      </c>
      <c r="G1429" s="24"/>
      <c r="H1429" s="24"/>
      <c r="I1429" s="22" t="str">
        <f t="shared" si="7"/>
        <v/>
      </c>
      <c r="J1429" s="20" t="b">
        <v>0</v>
      </c>
      <c r="K1429" s="13" t="str">
        <f t="shared" si="8"/>
        <v/>
      </c>
    </row>
    <row r="1430" ht="22.5" customHeight="1">
      <c r="B1430" s="13">
        <f t="shared" si="3"/>
        <v>1424</v>
      </c>
      <c r="C1430" s="15" t="str">
        <f t="array" ref="C1430">IFNA(_xlfn.XLOOKUP(B1430,Table_Respons_Loket[Count],Table_Respons_Loket[Nomor Tiket]),"")</f>
        <v/>
      </c>
      <c r="D1430" s="15" t="str">
        <f t="array" ref="D1430">IFNA(_xlfn.XLOOKUP(B1430,Table_Respons_Loket[Count],Table_Respons_Loket[Daftar Nomor Hak]),"")</f>
        <v/>
      </c>
      <c r="E1430" s="17" t="str">
        <f t="array" ref="E1430">IFNA(_xlfn.XLOOKUP(B1430,Table_Respons_Loket[Count],Table_Respons_Loket[Time Stamp]),"")</f>
        <v/>
      </c>
      <c r="F1430" s="18" t="str">
        <f t="array" ref="F1430">IFNA(_xlfn.XLOOKUP(B1430,Table_Respons_Loket[Count],Table_Respons_Loket[Jenis Permohonan]),"")</f>
        <v/>
      </c>
      <c r="G1430" s="24"/>
      <c r="H1430" s="24"/>
      <c r="I1430" s="22" t="str">
        <f t="shared" si="7"/>
        <v/>
      </c>
      <c r="J1430" s="20" t="b">
        <v>0</v>
      </c>
      <c r="K1430" s="13" t="str">
        <f t="shared" si="8"/>
        <v/>
      </c>
    </row>
    <row r="1431" ht="22.5" customHeight="1">
      <c r="B1431" s="13">
        <f t="shared" si="3"/>
        <v>1425</v>
      </c>
      <c r="C1431" s="15" t="str">
        <f t="array" ref="C1431">IFNA(_xlfn.XLOOKUP(B1431,Table_Respons_Loket[Count],Table_Respons_Loket[Nomor Tiket]),"")</f>
        <v/>
      </c>
      <c r="D1431" s="15" t="str">
        <f t="array" ref="D1431">IFNA(_xlfn.XLOOKUP(B1431,Table_Respons_Loket[Count],Table_Respons_Loket[Daftar Nomor Hak]),"")</f>
        <v/>
      </c>
      <c r="E1431" s="17" t="str">
        <f t="array" ref="E1431">IFNA(_xlfn.XLOOKUP(B1431,Table_Respons_Loket[Count],Table_Respons_Loket[Time Stamp]),"")</f>
        <v/>
      </c>
      <c r="F1431" s="18" t="str">
        <f t="array" ref="F1431">IFNA(_xlfn.XLOOKUP(B1431,Table_Respons_Loket[Count],Table_Respons_Loket[Jenis Permohonan]),"")</f>
        <v/>
      </c>
      <c r="G1431" s="24"/>
      <c r="H1431" s="24"/>
      <c r="I1431" s="22" t="str">
        <f t="shared" si="7"/>
        <v/>
      </c>
      <c r="J1431" s="20" t="b">
        <v>0</v>
      </c>
      <c r="K1431" s="13" t="str">
        <f t="shared" si="8"/>
        <v/>
      </c>
    </row>
    <row r="1432" ht="22.5" customHeight="1">
      <c r="B1432" s="13">
        <f t="shared" si="3"/>
        <v>1426</v>
      </c>
      <c r="C1432" s="15" t="str">
        <f t="array" ref="C1432">IFNA(_xlfn.XLOOKUP(B1432,Table_Respons_Loket[Count],Table_Respons_Loket[Nomor Tiket]),"")</f>
        <v/>
      </c>
      <c r="D1432" s="15" t="str">
        <f t="array" ref="D1432">IFNA(_xlfn.XLOOKUP(B1432,Table_Respons_Loket[Count],Table_Respons_Loket[Daftar Nomor Hak]),"")</f>
        <v/>
      </c>
      <c r="E1432" s="17" t="str">
        <f t="array" ref="E1432">IFNA(_xlfn.XLOOKUP(B1432,Table_Respons_Loket[Count],Table_Respons_Loket[Time Stamp]),"")</f>
        <v/>
      </c>
      <c r="F1432" s="18" t="str">
        <f t="array" ref="F1432">IFNA(_xlfn.XLOOKUP(B1432,Table_Respons_Loket[Count],Table_Respons_Loket[Jenis Permohonan]),"")</f>
        <v/>
      </c>
      <c r="G1432" s="24"/>
      <c r="H1432" s="24"/>
      <c r="I1432" s="22" t="str">
        <f t="shared" si="7"/>
        <v/>
      </c>
      <c r="J1432" s="20" t="b">
        <v>0</v>
      </c>
      <c r="K1432" s="13" t="str">
        <f t="shared" si="8"/>
        <v/>
      </c>
    </row>
    <row r="1433" ht="22.5" customHeight="1">
      <c r="B1433" s="13">
        <f t="shared" si="3"/>
        <v>1427</v>
      </c>
      <c r="C1433" s="15" t="str">
        <f t="array" ref="C1433">IFNA(_xlfn.XLOOKUP(B1433,Table_Respons_Loket[Count],Table_Respons_Loket[Nomor Tiket]),"")</f>
        <v/>
      </c>
      <c r="D1433" s="15" t="str">
        <f t="array" ref="D1433">IFNA(_xlfn.XLOOKUP(B1433,Table_Respons_Loket[Count],Table_Respons_Loket[Daftar Nomor Hak]),"")</f>
        <v/>
      </c>
      <c r="E1433" s="17" t="str">
        <f t="array" ref="E1433">IFNA(_xlfn.XLOOKUP(B1433,Table_Respons_Loket[Count],Table_Respons_Loket[Time Stamp]),"")</f>
        <v/>
      </c>
      <c r="F1433" s="18" t="str">
        <f t="array" ref="F1433">IFNA(_xlfn.XLOOKUP(B1433,Table_Respons_Loket[Count],Table_Respons_Loket[Jenis Permohonan]),"")</f>
        <v/>
      </c>
      <c r="G1433" s="24"/>
      <c r="H1433" s="24"/>
      <c r="I1433" s="22" t="str">
        <f t="shared" si="7"/>
        <v/>
      </c>
      <c r="J1433" s="20" t="b">
        <v>0</v>
      </c>
      <c r="K1433" s="13" t="str">
        <f t="shared" si="8"/>
        <v/>
      </c>
    </row>
    <row r="1434" ht="22.5" customHeight="1">
      <c r="B1434" s="13">
        <f t="shared" si="3"/>
        <v>1428</v>
      </c>
      <c r="C1434" s="15" t="str">
        <f t="array" ref="C1434">IFNA(_xlfn.XLOOKUP(B1434,Table_Respons_Loket[Count],Table_Respons_Loket[Nomor Tiket]),"")</f>
        <v/>
      </c>
      <c r="D1434" s="15" t="str">
        <f t="array" ref="D1434">IFNA(_xlfn.XLOOKUP(B1434,Table_Respons_Loket[Count],Table_Respons_Loket[Daftar Nomor Hak]),"")</f>
        <v/>
      </c>
      <c r="E1434" s="17" t="str">
        <f t="array" ref="E1434">IFNA(_xlfn.XLOOKUP(B1434,Table_Respons_Loket[Count],Table_Respons_Loket[Time Stamp]),"")</f>
        <v/>
      </c>
      <c r="F1434" s="18" t="str">
        <f t="array" ref="F1434">IFNA(_xlfn.XLOOKUP(B1434,Table_Respons_Loket[Count],Table_Respons_Loket[Jenis Permohonan]),"")</f>
        <v/>
      </c>
      <c r="G1434" s="24"/>
      <c r="H1434" s="24"/>
      <c r="I1434" s="22" t="str">
        <f t="shared" si="7"/>
        <v/>
      </c>
      <c r="J1434" s="20" t="b">
        <v>0</v>
      </c>
      <c r="K1434" s="13" t="str">
        <f t="shared" si="8"/>
        <v/>
      </c>
    </row>
    <row r="1435" ht="22.5" customHeight="1">
      <c r="B1435" s="13">
        <f t="shared" si="3"/>
        <v>1429</v>
      </c>
      <c r="C1435" s="15" t="str">
        <f t="array" ref="C1435">IFNA(_xlfn.XLOOKUP(B1435,Table_Respons_Loket[Count],Table_Respons_Loket[Nomor Tiket]),"")</f>
        <v/>
      </c>
      <c r="D1435" s="15" t="str">
        <f t="array" ref="D1435">IFNA(_xlfn.XLOOKUP(B1435,Table_Respons_Loket[Count],Table_Respons_Loket[Daftar Nomor Hak]),"")</f>
        <v/>
      </c>
      <c r="E1435" s="17" t="str">
        <f t="array" ref="E1435">IFNA(_xlfn.XLOOKUP(B1435,Table_Respons_Loket[Count],Table_Respons_Loket[Time Stamp]),"")</f>
        <v/>
      </c>
      <c r="F1435" s="18" t="str">
        <f t="array" ref="F1435">IFNA(_xlfn.XLOOKUP(B1435,Table_Respons_Loket[Count],Table_Respons_Loket[Jenis Permohonan]),"")</f>
        <v/>
      </c>
      <c r="G1435" s="24"/>
      <c r="H1435" s="24"/>
      <c r="I1435" s="22" t="str">
        <f t="shared" si="7"/>
        <v/>
      </c>
      <c r="J1435" s="20" t="b">
        <v>0</v>
      </c>
      <c r="K1435" s="13" t="str">
        <f t="shared" si="8"/>
        <v/>
      </c>
    </row>
    <row r="1436" ht="22.5" customHeight="1">
      <c r="B1436" s="13">
        <f t="shared" si="3"/>
        <v>1430</v>
      </c>
      <c r="C1436" s="15" t="str">
        <f t="array" ref="C1436">IFNA(_xlfn.XLOOKUP(B1436,Table_Respons_Loket[Count],Table_Respons_Loket[Nomor Tiket]),"")</f>
        <v/>
      </c>
      <c r="D1436" s="15" t="str">
        <f t="array" ref="D1436">IFNA(_xlfn.XLOOKUP(B1436,Table_Respons_Loket[Count],Table_Respons_Loket[Daftar Nomor Hak]),"")</f>
        <v/>
      </c>
      <c r="E1436" s="17" t="str">
        <f t="array" ref="E1436">IFNA(_xlfn.XLOOKUP(B1436,Table_Respons_Loket[Count],Table_Respons_Loket[Time Stamp]),"")</f>
        <v/>
      </c>
      <c r="F1436" s="18" t="str">
        <f t="array" ref="F1436">IFNA(_xlfn.XLOOKUP(B1436,Table_Respons_Loket[Count],Table_Respons_Loket[Jenis Permohonan]),"")</f>
        <v/>
      </c>
      <c r="G1436" s="24"/>
      <c r="H1436" s="24"/>
      <c r="I1436" s="22" t="str">
        <f t="shared" si="7"/>
        <v/>
      </c>
      <c r="J1436" s="20" t="b">
        <v>0</v>
      </c>
      <c r="K1436" s="13" t="str">
        <f t="shared" si="8"/>
        <v/>
      </c>
    </row>
    <row r="1437" ht="22.5" customHeight="1">
      <c r="B1437" s="13">
        <f t="shared" si="3"/>
        <v>1431</v>
      </c>
      <c r="C1437" s="15" t="str">
        <f t="array" ref="C1437">IFNA(_xlfn.XLOOKUP(B1437,Table_Respons_Loket[Count],Table_Respons_Loket[Nomor Tiket]),"")</f>
        <v/>
      </c>
      <c r="D1437" s="15" t="str">
        <f t="array" ref="D1437">IFNA(_xlfn.XLOOKUP(B1437,Table_Respons_Loket[Count],Table_Respons_Loket[Daftar Nomor Hak]),"")</f>
        <v/>
      </c>
      <c r="E1437" s="17" t="str">
        <f t="array" ref="E1437">IFNA(_xlfn.XLOOKUP(B1437,Table_Respons_Loket[Count],Table_Respons_Loket[Time Stamp]),"")</f>
        <v/>
      </c>
      <c r="F1437" s="18" t="str">
        <f t="array" ref="F1437">IFNA(_xlfn.XLOOKUP(B1437,Table_Respons_Loket[Count],Table_Respons_Loket[Jenis Permohonan]),"")</f>
        <v/>
      </c>
      <c r="G1437" s="24"/>
      <c r="H1437" s="24"/>
      <c r="I1437" s="22" t="str">
        <f t="shared" si="7"/>
        <v/>
      </c>
      <c r="J1437" s="20" t="b">
        <v>0</v>
      </c>
      <c r="K1437" s="13" t="str">
        <f t="shared" si="8"/>
        <v/>
      </c>
    </row>
    <row r="1438" ht="22.5" customHeight="1">
      <c r="B1438" s="13">
        <f t="shared" si="3"/>
        <v>1432</v>
      </c>
      <c r="C1438" s="15" t="str">
        <f t="array" ref="C1438">IFNA(_xlfn.XLOOKUP(B1438,Table_Respons_Loket[Count],Table_Respons_Loket[Nomor Tiket]),"")</f>
        <v/>
      </c>
      <c r="D1438" s="15" t="str">
        <f t="array" ref="D1438">IFNA(_xlfn.XLOOKUP(B1438,Table_Respons_Loket[Count],Table_Respons_Loket[Daftar Nomor Hak]),"")</f>
        <v/>
      </c>
      <c r="E1438" s="17" t="str">
        <f t="array" ref="E1438">IFNA(_xlfn.XLOOKUP(B1438,Table_Respons_Loket[Count],Table_Respons_Loket[Time Stamp]),"")</f>
        <v/>
      </c>
      <c r="F1438" s="18" t="str">
        <f t="array" ref="F1438">IFNA(_xlfn.XLOOKUP(B1438,Table_Respons_Loket[Count],Table_Respons_Loket[Jenis Permohonan]),"")</f>
        <v/>
      </c>
      <c r="G1438" s="24"/>
      <c r="H1438" s="24"/>
      <c r="I1438" s="22" t="str">
        <f t="shared" si="7"/>
        <v/>
      </c>
      <c r="J1438" s="20" t="b">
        <v>0</v>
      </c>
      <c r="K1438" s="13" t="str">
        <f t="shared" si="8"/>
        <v/>
      </c>
    </row>
    <row r="1439" ht="22.5" customHeight="1">
      <c r="B1439" s="13">
        <f t="shared" si="3"/>
        <v>1433</v>
      </c>
      <c r="C1439" s="15" t="str">
        <f t="array" ref="C1439">IFNA(_xlfn.XLOOKUP(B1439,Table_Respons_Loket[Count],Table_Respons_Loket[Nomor Tiket]),"")</f>
        <v/>
      </c>
      <c r="D1439" s="15" t="str">
        <f t="array" ref="D1439">IFNA(_xlfn.XLOOKUP(B1439,Table_Respons_Loket[Count],Table_Respons_Loket[Daftar Nomor Hak]),"")</f>
        <v/>
      </c>
      <c r="E1439" s="17" t="str">
        <f t="array" ref="E1439">IFNA(_xlfn.XLOOKUP(B1439,Table_Respons_Loket[Count],Table_Respons_Loket[Time Stamp]),"")</f>
        <v/>
      </c>
      <c r="F1439" s="18" t="str">
        <f t="array" ref="F1439">IFNA(_xlfn.XLOOKUP(B1439,Table_Respons_Loket[Count],Table_Respons_Loket[Jenis Permohonan]),"")</f>
        <v/>
      </c>
      <c r="G1439" s="24"/>
      <c r="H1439" s="24"/>
      <c r="I1439" s="22" t="str">
        <f t="shared" si="7"/>
        <v/>
      </c>
      <c r="J1439" s="20" t="b">
        <v>0</v>
      </c>
      <c r="K1439" s="13" t="str">
        <f t="shared" si="8"/>
        <v/>
      </c>
    </row>
    <row r="1440" ht="22.5" customHeight="1">
      <c r="B1440" s="13">
        <f t="shared" si="3"/>
        <v>1434</v>
      </c>
      <c r="C1440" s="15" t="str">
        <f t="array" ref="C1440">IFNA(_xlfn.XLOOKUP(B1440,Table_Respons_Loket[Count],Table_Respons_Loket[Nomor Tiket]),"")</f>
        <v/>
      </c>
      <c r="D1440" s="15" t="str">
        <f t="array" ref="D1440">IFNA(_xlfn.XLOOKUP(B1440,Table_Respons_Loket[Count],Table_Respons_Loket[Daftar Nomor Hak]),"")</f>
        <v/>
      </c>
      <c r="E1440" s="17" t="str">
        <f t="array" ref="E1440">IFNA(_xlfn.XLOOKUP(B1440,Table_Respons_Loket[Count],Table_Respons_Loket[Time Stamp]),"")</f>
        <v/>
      </c>
      <c r="F1440" s="18" t="str">
        <f t="array" ref="F1440">IFNA(_xlfn.XLOOKUP(B1440,Table_Respons_Loket[Count],Table_Respons_Loket[Jenis Permohonan]),"")</f>
        <v/>
      </c>
      <c r="G1440" s="24"/>
      <c r="H1440" s="24"/>
      <c r="I1440" s="22" t="str">
        <f t="shared" si="7"/>
        <v/>
      </c>
      <c r="J1440" s="20" t="b">
        <v>0</v>
      </c>
      <c r="K1440" s="13" t="str">
        <f t="shared" si="8"/>
        <v/>
      </c>
    </row>
    <row r="1441" ht="22.5" customHeight="1">
      <c r="B1441" s="13">
        <f t="shared" si="3"/>
        <v>1435</v>
      </c>
      <c r="C1441" s="15" t="str">
        <f t="array" ref="C1441">IFNA(_xlfn.XLOOKUP(B1441,Table_Respons_Loket[Count],Table_Respons_Loket[Nomor Tiket]),"")</f>
        <v/>
      </c>
      <c r="D1441" s="15" t="str">
        <f t="array" ref="D1441">IFNA(_xlfn.XLOOKUP(B1441,Table_Respons_Loket[Count],Table_Respons_Loket[Daftar Nomor Hak]),"")</f>
        <v/>
      </c>
      <c r="E1441" s="17" t="str">
        <f t="array" ref="E1441">IFNA(_xlfn.XLOOKUP(B1441,Table_Respons_Loket[Count],Table_Respons_Loket[Time Stamp]),"")</f>
        <v/>
      </c>
      <c r="F1441" s="18" t="str">
        <f t="array" ref="F1441">IFNA(_xlfn.XLOOKUP(B1441,Table_Respons_Loket[Count],Table_Respons_Loket[Jenis Permohonan]),"")</f>
        <v/>
      </c>
      <c r="G1441" s="24"/>
      <c r="H1441" s="24"/>
      <c r="I1441" s="22" t="str">
        <f t="shared" si="7"/>
        <v/>
      </c>
      <c r="J1441" s="20" t="b">
        <v>0</v>
      </c>
      <c r="K1441" s="13" t="str">
        <f t="shared" si="8"/>
        <v/>
      </c>
    </row>
    <row r="1442" ht="22.5" customHeight="1">
      <c r="B1442" s="13">
        <f t="shared" si="3"/>
        <v>1436</v>
      </c>
      <c r="C1442" s="15" t="str">
        <f t="array" ref="C1442">IFNA(_xlfn.XLOOKUP(B1442,Table_Respons_Loket[Count],Table_Respons_Loket[Nomor Tiket]),"")</f>
        <v/>
      </c>
      <c r="D1442" s="15" t="str">
        <f t="array" ref="D1442">IFNA(_xlfn.XLOOKUP(B1442,Table_Respons_Loket[Count],Table_Respons_Loket[Daftar Nomor Hak]),"")</f>
        <v/>
      </c>
      <c r="E1442" s="17" t="str">
        <f t="array" ref="E1442">IFNA(_xlfn.XLOOKUP(B1442,Table_Respons_Loket[Count],Table_Respons_Loket[Time Stamp]),"")</f>
        <v/>
      </c>
      <c r="F1442" s="18" t="str">
        <f t="array" ref="F1442">IFNA(_xlfn.XLOOKUP(B1442,Table_Respons_Loket[Count],Table_Respons_Loket[Jenis Permohonan]),"")</f>
        <v/>
      </c>
      <c r="G1442" s="24"/>
      <c r="H1442" s="24"/>
      <c r="I1442" s="22" t="str">
        <f t="shared" si="7"/>
        <v/>
      </c>
      <c r="J1442" s="20" t="b">
        <v>0</v>
      </c>
      <c r="K1442" s="13" t="str">
        <f t="shared" si="8"/>
        <v/>
      </c>
    </row>
    <row r="1443" ht="22.5" customHeight="1">
      <c r="B1443" s="13">
        <f t="shared" si="3"/>
        <v>1437</v>
      </c>
      <c r="C1443" s="15" t="str">
        <f t="array" ref="C1443">IFNA(_xlfn.XLOOKUP(B1443,Table_Respons_Loket[Count],Table_Respons_Loket[Nomor Tiket]),"")</f>
        <v/>
      </c>
      <c r="D1443" s="15" t="str">
        <f t="array" ref="D1443">IFNA(_xlfn.XLOOKUP(B1443,Table_Respons_Loket[Count],Table_Respons_Loket[Daftar Nomor Hak]),"")</f>
        <v/>
      </c>
      <c r="E1443" s="17" t="str">
        <f t="array" ref="E1443">IFNA(_xlfn.XLOOKUP(B1443,Table_Respons_Loket[Count],Table_Respons_Loket[Time Stamp]),"")</f>
        <v/>
      </c>
      <c r="F1443" s="18" t="str">
        <f t="array" ref="F1443">IFNA(_xlfn.XLOOKUP(B1443,Table_Respons_Loket[Count],Table_Respons_Loket[Jenis Permohonan]),"")</f>
        <v/>
      </c>
      <c r="G1443" s="24"/>
      <c r="H1443" s="24"/>
      <c r="I1443" s="22" t="str">
        <f t="shared" si="7"/>
        <v/>
      </c>
      <c r="J1443" s="20" t="b">
        <v>0</v>
      </c>
      <c r="K1443" s="13" t="str">
        <f t="shared" si="8"/>
        <v/>
      </c>
    </row>
    <row r="1444" ht="22.5" customHeight="1">
      <c r="B1444" s="13">
        <f t="shared" si="3"/>
        <v>1438</v>
      </c>
      <c r="C1444" s="15" t="str">
        <f t="array" ref="C1444">IFNA(_xlfn.XLOOKUP(B1444,Table_Respons_Loket[Count],Table_Respons_Loket[Nomor Tiket]),"")</f>
        <v/>
      </c>
      <c r="D1444" s="15" t="str">
        <f t="array" ref="D1444">IFNA(_xlfn.XLOOKUP(B1444,Table_Respons_Loket[Count],Table_Respons_Loket[Daftar Nomor Hak]),"")</f>
        <v/>
      </c>
      <c r="E1444" s="17" t="str">
        <f t="array" ref="E1444">IFNA(_xlfn.XLOOKUP(B1444,Table_Respons_Loket[Count],Table_Respons_Loket[Time Stamp]),"")</f>
        <v/>
      </c>
      <c r="F1444" s="18" t="str">
        <f t="array" ref="F1444">IFNA(_xlfn.XLOOKUP(B1444,Table_Respons_Loket[Count],Table_Respons_Loket[Jenis Permohonan]),"")</f>
        <v/>
      </c>
      <c r="G1444" s="24"/>
      <c r="H1444" s="24"/>
      <c r="I1444" s="22" t="str">
        <f t="shared" si="7"/>
        <v/>
      </c>
      <c r="J1444" s="20" t="b">
        <v>0</v>
      </c>
      <c r="K1444" s="13" t="str">
        <f t="shared" si="8"/>
        <v/>
      </c>
    </row>
    <row r="1445" ht="22.5" customHeight="1">
      <c r="B1445" s="13">
        <f t="shared" si="3"/>
        <v>1439</v>
      </c>
      <c r="C1445" s="15" t="str">
        <f t="array" ref="C1445">IFNA(_xlfn.XLOOKUP(B1445,Table_Respons_Loket[Count],Table_Respons_Loket[Nomor Tiket]),"")</f>
        <v/>
      </c>
      <c r="D1445" s="15" t="str">
        <f t="array" ref="D1445">IFNA(_xlfn.XLOOKUP(B1445,Table_Respons_Loket[Count],Table_Respons_Loket[Daftar Nomor Hak]),"")</f>
        <v/>
      </c>
      <c r="E1445" s="17" t="str">
        <f t="array" ref="E1445">IFNA(_xlfn.XLOOKUP(B1445,Table_Respons_Loket[Count],Table_Respons_Loket[Time Stamp]),"")</f>
        <v/>
      </c>
      <c r="F1445" s="18" t="str">
        <f t="array" ref="F1445">IFNA(_xlfn.XLOOKUP(B1445,Table_Respons_Loket[Count],Table_Respons_Loket[Jenis Permohonan]),"")</f>
        <v/>
      </c>
      <c r="G1445" s="24"/>
      <c r="H1445" s="24"/>
      <c r="I1445" s="22" t="str">
        <f t="shared" si="7"/>
        <v/>
      </c>
      <c r="J1445" s="20" t="b">
        <v>0</v>
      </c>
      <c r="K1445" s="13" t="str">
        <f t="shared" si="8"/>
        <v/>
      </c>
    </row>
    <row r="1446" ht="22.5" customHeight="1">
      <c r="B1446" s="13">
        <f t="shared" si="3"/>
        <v>1440</v>
      </c>
      <c r="C1446" s="15" t="str">
        <f t="array" ref="C1446">IFNA(_xlfn.XLOOKUP(B1446,Table_Respons_Loket[Count],Table_Respons_Loket[Nomor Tiket]),"")</f>
        <v/>
      </c>
      <c r="D1446" s="15" t="str">
        <f t="array" ref="D1446">IFNA(_xlfn.XLOOKUP(B1446,Table_Respons_Loket[Count],Table_Respons_Loket[Daftar Nomor Hak]),"")</f>
        <v/>
      </c>
      <c r="E1446" s="17" t="str">
        <f t="array" ref="E1446">IFNA(_xlfn.XLOOKUP(B1446,Table_Respons_Loket[Count],Table_Respons_Loket[Time Stamp]),"")</f>
        <v/>
      </c>
      <c r="F1446" s="18" t="str">
        <f t="array" ref="F1446">IFNA(_xlfn.XLOOKUP(B1446,Table_Respons_Loket[Count],Table_Respons_Loket[Jenis Permohonan]),"")</f>
        <v/>
      </c>
      <c r="G1446" s="24"/>
      <c r="H1446" s="24"/>
      <c r="I1446" s="22" t="str">
        <f t="shared" si="7"/>
        <v/>
      </c>
      <c r="J1446" s="20" t="b">
        <v>0</v>
      </c>
      <c r="K1446" s="13" t="str">
        <f t="shared" si="8"/>
        <v/>
      </c>
    </row>
    <row r="1447" ht="22.5" customHeight="1">
      <c r="B1447" s="13">
        <f t="shared" si="3"/>
        <v>1441</v>
      </c>
      <c r="C1447" s="15" t="str">
        <f t="array" ref="C1447">IFNA(_xlfn.XLOOKUP(B1447,Table_Respons_Loket[Count],Table_Respons_Loket[Nomor Tiket]),"")</f>
        <v/>
      </c>
      <c r="D1447" s="15" t="str">
        <f t="array" ref="D1447">IFNA(_xlfn.XLOOKUP(B1447,Table_Respons_Loket[Count],Table_Respons_Loket[Daftar Nomor Hak]),"")</f>
        <v/>
      </c>
      <c r="E1447" s="17" t="str">
        <f t="array" ref="E1447">IFNA(_xlfn.XLOOKUP(B1447,Table_Respons_Loket[Count],Table_Respons_Loket[Time Stamp]),"")</f>
        <v/>
      </c>
      <c r="F1447" s="18" t="str">
        <f t="array" ref="F1447">IFNA(_xlfn.XLOOKUP(B1447,Table_Respons_Loket[Count],Table_Respons_Loket[Jenis Permohonan]),"")</f>
        <v/>
      </c>
      <c r="G1447" s="24"/>
      <c r="H1447" s="24"/>
      <c r="I1447" s="22" t="str">
        <f t="shared" si="7"/>
        <v/>
      </c>
      <c r="J1447" s="20" t="b">
        <v>0</v>
      </c>
      <c r="K1447" s="13" t="str">
        <f t="shared" si="8"/>
        <v/>
      </c>
    </row>
    <row r="1448" ht="22.5" customHeight="1">
      <c r="B1448" s="13">
        <f t="shared" si="3"/>
        <v>1442</v>
      </c>
      <c r="C1448" s="15" t="str">
        <f t="array" ref="C1448">IFNA(_xlfn.XLOOKUP(B1448,Table_Respons_Loket[Count],Table_Respons_Loket[Nomor Tiket]),"")</f>
        <v/>
      </c>
      <c r="D1448" s="15" t="str">
        <f t="array" ref="D1448">IFNA(_xlfn.XLOOKUP(B1448,Table_Respons_Loket[Count],Table_Respons_Loket[Daftar Nomor Hak]),"")</f>
        <v/>
      </c>
      <c r="E1448" s="17" t="str">
        <f t="array" ref="E1448">IFNA(_xlfn.XLOOKUP(B1448,Table_Respons_Loket[Count],Table_Respons_Loket[Time Stamp]),"")</f>
        <v/>
      </c>
      <c r="F1448" s="18" t="str">
        <f t="array" ref="F1448">IFNA(_xlfn.XLOOKUP(B1448,Table_Respons_Loket[Count],Table_Respons_Loket[Jenis Permohonan]),"")</f>
        <v/>
      </c>
      <c r="G1448" s="24"/>
      <c r="H1448" s="24"/>
      <c r="I1448" s="22" t="str">
        <f t="shared" si="7"/>
        <v/>
      </c>
      <c r="J1448" s="20" t="b">
        <v>0</v>
      </c>
      <c r="K1448" s="13" t="str">
        <f t="shared" si="8"/>
        <v/>
      </c>
    </row>
    <row r="1449" ht="22.5" customHeight="1">
      <c r="B1449" s="13">
        <f t="shared" si="3"/>
        <v>1443</v>
      </c>
      <c r="C1449" s="15" t="str">
        <f t="array" ref="C1449">IFNA(_xlfn.XLOOKUP(B1449,Table_Respons_Loket[Count],Table_Respons_Loket[Nomor Tiket]),"")</f>
        <v/>
      </c>
      <c r="D1449" s="15" t="str">
        <f t="array" ref="D1449">IFNA(_xlfn.XLOOKUP(B1449,Table_Respons_Loket[Count],Table_Respons_Loket[Daftar Nomor Hak]),"")</f>
        <v/>
      </c>
      <c r="E1449" s="17" t="str">
        <f t="array" ref="E1449">IFNA(_xlfn.XLOOKUP(B1449,Table_Respons_Loket[Count],Table_Respons_Loket[Time Stamp]),"")</f>
        <v/>
      </c>
      <c r="F1449" s="18" t="str">
        <f t="array" ref="F1449">IFNA(_xlfn.XLOOKUP(B1449,Table_Respons_Loket[Count],Table_Respons_Loket[Jenis Permohonan]),"")</f>
        <v/>
      </c>
      <c r="G1449" s="24"/>
      <c r="H1449" s="24"/>
      <c r="I1449" s="22" t="str">
        <f t="shared" si="7"/>
        <v/>
      </c>
      <c r="J1449" s="20" t="b">
        <v>0</v>
      </c>
      <c r="K1449" s="13" t="str">
        <f t="shared" si="8"/>
        <v/>
      </c>
    </row>
    <row r="1450" ht="22.5" customHeight="1">
      <c r="B1450" s="13">
        <f t="shared" si="3"/>
        <v>1444</v>
      </c>
      <c r="C1450" s="15" t="str">
        <f t="array" ref="C1450">IFNA(_xlfn.XLOOKUP(B1450,Table_Respons_Loket[Count],Table_Respons_Loket[Nomor Tiket]),"")</f>
        <v/>
      </c>
      <c r="D1450" s="15" t="str">
        <f t="array" ref="D1450">IFNA(_xlfn.XLOOKUP(B1450,Table_Respons_Loket[Count],Table_Respons_Loket[Daftar Nomor Hak]),"")</f>
        <v/>
      </c>
      <c r="E1450" s="17" t="str">
        <f t="array" ref="E1450">IFNA(_xlfn.XLOOKUP(B1450,Table_Respons_Loket[Count],Table_Respons_Loket[Time Stamp]),"")</f>
        <v/>
      </c>
      <c r="F1450" s="18" t="str">
        <f t="array" ref="F1450">IFNA(_xlfn.XLOOKUP(B1450,Table_Respons_Loket[Count],Table_Respons_Loket[Jenis Permohonan]),"")</f>
        <v/>
      </c>
      <c r="G1450" s="24"/>
      <c r="H1450" s="24"/>
      <c r="I1450" s="22" t="str">
        <f t="shared" si="7"/>
        <v/>
      </c>
      <c r="J1450" s="20" t="b">
        <v>0</v>
      </c>
      <c r="K1450" s="13" t="str">
        <f t="shared" si="8"/>
        <v/>
      </c>
    </row>
    <row r="1451" ht="22.5" customHeight="1">
      <c r="B1451" s="13">
        <f t="shared" si="3"/>
        <v>1445</v>
      </c>
      <c r="C1451" s="15" t="str">
        <f t="array" ref="C1451">IFNA(_xlfn.XLOOKUP(B1451,Table_Respons_Loket[Count],Table_Respons_Loket[Nomor Tiket]),"")</f>
        <v/>
      </c>
      <c r="D1451" s="15" t="str">
        <f t="array" ref="D1451">IFNA(_xlfn.XLOOKUP(B1451,Table_Respons_Loket[Count],Table_Respons_Loket[Daftar Nomor Hak]),"")</f>
        <v/>
      </c>
      <c r="E1451" s="17" t="str">
        <f t="array" ref="E1451">IFNA(_xlfn.XLOOKUP(B1451,Table_Respons_Loket[Count],Table_Respons_Loket[Time Stamp]),"")</f>
        <v/>
      </c>
      <c r="F1451" s="18" t="str">
        <f t="array" ref="F1451">IFNA(_xlfn.XLOOKUP(B1451,Table_Respons_Loket[Count],Table_Respons_Loket[Jenis Permohonan]),"")</f>
        <v/>
      </c>
      <c r="G1451" s="24"/>
      <c r="H1451" s="24"/>
      <c r="I1451" s="22" t="str">
        <f t="shared" si="7"/>
        <v/>
      </c>
      <c r="J1451" s="20" t="b">
        <v>0</v>
      </c>
      <c r="K1451" s="13" t="str">
        <f t="shared" si="8"/>
        <v/>
      </c>
    </row>
    <row r="1452" ht="22.5" customHeight="1">
      <c r="B1452" s="13">
        <f t="shared" si="3"/>
        <v>1446</v>
      </c>
      <c r="C1452" s="15" t="str">
        <f t="array" ref="C1452">IFNA(_xlfn.XLOOKUP(B1452,Table_Respons_Loket[Count],Table_Respons_Loket[Nomor Tiket]),"")</f>
        <v/>
      </c>
      <c r="D1452" s="15" t="str">
        <f t="array" ref="D1452">IFNA(_xlfn.XLOOKUP(B1452,Table_Respons_Loket[Count],Table_Respons_Loket[Daftar Nomor Hak]),"")</f>
        <v/>
      </c>
      <c r="E1452" s="17" t="str">
        <f t="array" ref="E1452">IFNA(_xlfn.XLOOKUP(B1452,Table_Respons_Loket[Count],Table_Respons_Loket[Time Stamp]),"")</f>
        <v/>
      </c>
      <c r="F1452" s="18" t="str">
        <f t="array" ref="F1452">IFNA(_xlfn.XLOOKUP(B1452,Table_Respons_Loket[Count],Table_Respons_Loket[Jenis Permohonan]),"")</f>
        <v/>
      </c>
      <c r="G1452" s="24"/>
      <c r="H1452" s="24"/>
      <c r="I1452" s="22" t="str">
        <f t="shared" si="7"/>
        <v/>
      </c>
      <c r="J1452" s="20" t="b">
        <v>0</v>
      </c>
      <c r="K1452" s="13" t="str">
        <f t="shared" si="8"/>
        <v/>
      </c>
    </row>
    <row r="1453" ht="22.5" customHeight="1">
      <c r="B1453" s="13">
        <f t="shared" si="3"/>
        <v>1447</v>
      </c>
      <c r="C1453" s="15" t="str">
        <f t="array" ref="C1453">IFNA(_xlfn.XLOOKUP(B1453,Table_Respons_Loket[Count],Table_Respons_Loket[Nomor Tiket]),"")</f>
        <v/>
      </c>
      <c r="D1453" s="15" t="str">
        <f t="array" ref="D1453">IFNA(_xlfn.XLOOKUP(B1453,Table_Respons_Loket[Count],Table_Respons_Loket[Daftar Nomor Hak]),"")</f>
        <v/>
      </c>
      <c r="E1453" s="17" t="str">
        <f t="array" ref="E1453">IFNA(_xlfn.XLOOKUP(B1453,Table_Respons_Loket[Count],Table_Respons_Loket[Time Stamp]),"")</f>
        <v/>
      </c>
      <c r="F1453" s="18" t="str">
        <f t="array" ref="F1453">IFNA(_xlfn.XLOOKUP(B1453,Table_Respons_Loket[Count],Table_Respons_Loket[Jenis Permohonan]),"")</f>
        <v/>
      </c>
      <c r="G1453" s="24"/>
      <c r="H1453" s="24"/>
      <c r="I1453" s="22" t="str">
        <f t="shared" si="7"/>
        <v/>
      </c>
      <c r="J1453" s="20" t="b">
        <v>0</v>
      </c>
      <c r="K1453" s="13" t="str">
        <f t="shared" si="8"/>
        <v/>
      </c>
    </row>
    <row r="1454" ht="22.5" customHeight="1">
      <c r="B1454" s="13">
        <f t="shared" si="3"/>
        <v>1448</v>
      </c>
      <c r="C1454" s="15" t="str">
        <f t="array" ref="C1454">IFNA(_xlfn.XLOOKUP(B1454,Table_Respons_Loket[Count],Table_Respons_Loket[Nomor Tiket]),"")</f>
        <v/>
      </c>
      <c r="D1454" s="15" t="str">
        <f t="array" ref="D1454">IFNA(_xlfn.XLOOKUP(B1454,Table_Respons_Loket[Count],Table_Respons_Loket[Daftar Nomor Hak]),"")</f>
        <v/>
      </c>
      <c r="E1454" s="17" t="str">
        <f t="array" ref="E1454">IFNA(_xlfn.XLOOKUP(B1454,Table_Respons_Loket[Count],Table_Respons_Loket[Time Stamp]),"")</f>
        <v/>
      </c>
      <c r="F1454" s="18" t="str">
        <f t="array" ref="F1454">IFNA(_xlfn.XLOOKUP(B1454,Table_Respons_Loket[Count],Table_Respons_Loket[Jenis Permohonan]),"")</f>
        <v/>
      </c>
      <c r="G1454" s="24"/>
      <c r="H1454" s="24"/>
      <c r="I1454" s="22" t="str">
        <f t="shared" si="7"/>
        <v/>
      </c>
      <c r="J1454" s="20" t="b">
        <v>0</v>
      </c>
      <c r="K1454" s="13" t="str">
        <f t="shared" si="8"/>
        <v/>
      </c>
    </row>
    <row r="1455" ht="22.5" customHeight="1">
      <c r="B1455" s="13">
        <f t="shared" si="3"/>
        <v>1449</v>
      </c>
      <c r="C1455" s="15" t="str">
        <f t="array" ref="C1455">IFNA(_xlfn.XLOOKUP(B1455,Table_Respons_Loket[Count],Table_Respons_Loket[Nomor Tiket]),"")</f>
        <v/>
      </c>
      <c r="D1455" s="15" t="str">
        <f t="array" ref="D1455">IFNA(_xlfn.XLOOKUP(B1455,Table_Respons_Loket[Count],Table_Respons_Loket[Daftar Nomor Hak]),"")</f>
        <v/>
      </c>
      <c r="E1455" s="17" t="str">
        <f t="array" ref="E1455">IFNA(_xlfn.XLOOKUP(B1455,Table_Respons_Loket[Count],Table_Respons_Loket[Time Stamp]),"")</f>
        <v/>
      </c>
      <c r="F1455" s="18" t="str">
        <f t="array" ref="F1455">IFNA(_xlfn.XLOOKUP(B1455,Table_Respons_Loket[Count],Table_Respons_Loket[Jenis Permohonan]),"")</f>
        <v/>
      </c>
      <c r="G1455" s="24"/>
      <c r="H1455" s="24"/>
      <c r="I1455" s="22" t="str">
        <f t="shared" si="7"/>
        <v/>
      </c>
      <c r="J1455" s="20" t="b">
        <v>0</v>
      </c>
      <c r="K1455" s="13" t="str">
        <f t="shared" si="8"/>
        <v/>
      </c>
    </row>
    <row r="1456" ht="22.5" customHeight="1">
      <c r="B1456" s="13">
        <f t="shared" si="3"/>
        <v>1450</v>
      </c>
      <c r="C1456" s="15" t="str">
        <f t="array" ref="C1456">IFNA(_xlfn.XLOOKUP(B1456,Table_Respons_Loket[Count],Table_Respons_Loket[Nomor Tiket]),"")</f>
        <v/>
      </c>
      <c r="D1456" s="15" t="str">
        <f t="array" ref="D1456">IFNA(_xlfn.XLOOKUP(B1456,Table_Respons_Loket[Count],Table_Respons_Loket[Daftar Nomor Hak]),"")</f>
        <v/>
      </c>
      <c r="E1456" s="17" t="str">
        <f t="array" ref="E1456">IFNA(_xlfn.XLOOKUP(B1456,Table_Respons_Loket[Count],Table_Respons_Loket[Time Stamp]),"")</f>
        <v/>
      </c>
      <c r="F1456" s="18" t="str">
        <f t="array" ref="F1456">IFNA(_xlfn.XLOOKUP(B1456,Table_Respons_Loket[Count],Table_Respons_Loket[Jenis Permohonan]),"")</f>
        <v/>
      </c>
      <c r="G1456" s="24"/>
      <c r="H1456" s="24"/>
      <c r="I1456" s="22" t="str">
        <f t="shared" si="7"/>
        <v/>
      </c>
      <c r="J1456" s="20" t="b">
        <v>0</v>
      </c>
      <c r="K1456" s="13" t="str">
        <f t="shared" si="8"/>
        <v/>
      </c>
    </row>
    <row r="1457" ht="22.5" customHeight="1">
      <c r="B1457" s="13">
        <f t="shared" si="3"/>
        <v>1451</v>
      </c>
      <c r="C1457" s="15" t="str">
        <f t="array" ref="C1457">IFNA(_xlfn.XLOOKUP(B1457,Table_Respons_Loket[Count],Table_Respons_Loket[Nomor Tiket]),"")</f>
        <v/>
      </c>
      <c r="D1457" s="15" t="str">
        <f t="array" ref="D1457">IFNA(_xlfn.XLOOKUP(B1457,Table_Respons_Loket[Count],Table_Respons_Loket[Daftar Nomor Hak]),"")</f>
        <v/>
      </c>
      <c r="E1457" s="17" t="str">
        <f t="array" ref="E1457">IFNA(_xlfn.XLOOKUP(B1457,Table_Respons_Loket[Count],Table_Respons_Loket[Time Stamp]),"")</f>
        <v/>
      </c>
      <c r="F1457" s="18" t="str">
        <f t="array" ref="F1457">IFNA(_xlfn.XLOOKUP(B1457,Table_Respons_Loket[Count],Table_Respons_Loket[Jenis Permohonan]),"")</f>
        <v/>
      </c>
      <c r="G1457" s="24"/>
      <c r="H1457" s="24"/>
      <c r="I1457" s="22" t="str">
        <f t="shared" si="7"/>
        <v/>
      </c>
      <c r="J1457" s="20" t="b">
        <v>0</v>
      </c>
      <c r="K1457" s="13" t="str">
        <f t="shared" si="8"/>
        <v/>
      </c>
    </row>
    <row r="1458" ht="22.5" customHeight="1">
      <c r="B1458" s="13">
        <f t="shared" si="3"/>
        <v>1452</v>
      </c>
      <c r="C1458" s="15" t="str">
        <f t="array" ref="C1458">IFNA(_xlfn.XLOOKUP(B1458,Table_Respons_Loket[Count],Table_Respons_Loket[Nomor Tiket]),"")</f>
        <v/>
      </c>
      <c r="D1458" s="15" t="str">
        <f t="array" ref="D1458">IFNA(_xlfn.XLOOKUP(B1458,Table_Respons_Loket[Count],Table_Respons_Loket[Daftar Nomor Hak]),"")</f>
        <v/>
      </c>
      <c r="E1458" s="17" t="str">
        <f t="array" ref="E1458">IFNA(_xlfn.XLOOKUP(B1458,Table_Respons_Loket[Count],Table_Respons_Loket[Time Stamp]),"")</f>
        <v/>
      </c>
      <c r="F1458" s="18" t="str">
        <f t="array" ref="F1458">IFNA(_xlfn.XLOOKUP(B1458,Table_Respons_Loket[Count],Table_Respons_Loket[Jenis Permohonan]),"")</f>
        <v/>
      </c>
      <c r="G1458" s="24"/>
      <c r="H1458" s="24"/>
      <c r="I1458" s="22" t="str">
        <f t="shared" si="7"/>
        <v/>
      </c>
      <c r="J1458" s="20" t="b">
        <v>0</v>
      </c>
      <c r="K1458" s="13" t="str">
        <f t="shared" si="8"/>
        <v/>
      </c>
    </row>
    <row r="1459" ht="22.5" customHeight="1">
      <c r="B1459" s="13">
        <f t="shared" si="3"/>
        <v>1453</v>
      </c>
      <c r="C1459" s="15" t="str">
        <f t="array" ref="C1459">IFNA(_xlfn.XLOOKUP(B1459,Table_Respons_Loket[Count],Table_Respons_Loket[Nomor Tiket]),"")</f>
        <v/>
      </c>
      <c r="D1459" s="15" t="str">
        <f t="array" ref="D1459">IFNA(_xlfn.XLOOKUP(B1459,Table_Respons_Loket[Count],Table_Respons_Loket[Daftar Nomor Hak]),"")</f>
        <v/>
      </c>
      <c r="E1459" s="17" t="str">
        <f t="array" ref="E1459">IFNA(_xlfn.XLOOKUP(B1459,Table_Respons_Loket[Count],Table_Respons_Loket[Time Stamp]),"")</f>
        <v/>
      </c>
      <c r="F1459" s="18" t="str">
        <f t="array" ref="F1459">IFNA(_xlfn.XLOOKUP(B1459,Table_Respons_Loket[Count],Table_Respons_Loket[Jenis Permohonan]),"")</f>
        <v/>
      </c>
      <c r="G1459" s="24"/>
      <c r="H1459" s="24"/>
      <c r="I1459" s="22" t="str">
        <f t="shared" si="7"/>
        <v/>
      </c>
      <c r="J1459" s="20" t="b">
        <v>0</v>
      </c>
      <c r="K1459" s="13" t="str">
        <f t="shared" si="8"/>
        <v/>
      </c>
    </row>
    <row r="1460" ht="22.5" customHeight="1">
      <c r="B1460" s="13">
        <f t="shared" si="3"/>
        <v>1454</v>
      </c>
      <c r="C1460" s="15" t="str">
        <f t="array" ref="C1460">IFNA(_xlfn.XLOOKUP(B1460,Table_Respons_Loket[Count],Table_Respons_Loket[Nomor Tiket]),"")</f>
        <v/>
      </c>
      <c r="D1460" s="15" t="str">
        <f t="array" ref="D1460">IFNA(_xlfn.XLOOKUP(B1460,Table_Respons_Loket[Count],Table_Respons_Loket[Daftar Nomor Hak]),"")</f>
        <v/>
      </c>
      <c r="E1460" s="17" t="str">
        <f t="array" ref="E1460">IFNA(_xlfn.XLOOKUP(B1460,Table_Respons_Loket[Count],Table_Respons_Loket[Time Stamp]),"")</f>
        <v/>
      </c>
      <c r="F1460" s="18" t="str">
        <f t="array" ref="F1460">IFNA(_xlfn.XLOOKUP(B1460,Table_Respons_Loket[Count],Table_Respons_Loket[Jenis Permohonan]),"")</f>
        <v/>
      </c>
      <c r="G1460" s="24"/>
      <c r="H1460" s="24"/>
      <c r="I1460" s="22" t="str">
        <f t="shared" si="7"/>
        <v/>
      </c>
      <c r="J1460" s="20" t="b">
        <v>0</v>
      </c>
      <c r="K1460" s="13" t="str">
        <f t="shared" si="8"/>
        <v/>
      </c>
    </row>
    <row r="1461" ht="22.5" customHeight="1">
      <c r="B1461" s="13">
        <f t="shared" si="3"/>
        <v>1455</v>
      </c>
      <c r="C1461" s="15" t="str">
        <f t="array" ref="C1461">IFNA(_xlfn.XLOOKUP(B1461,Table_Respons_Loket[Count],Table_Respons_Loket[Nomor Tiket]),"")</f>
        <v/>
      </c>
      <c r="D1461" s="15" t="str">
        <f t="array" ref="D1461">IFNA(_xlfn.XLOOKUP(B1461,Table_Respons_Loket[Count],Table_Respons_Loket[Daftar Nomor Hak]),"")</f>
        <v/>
      </c>
      <c r="E1461" s="17" t="str">
        <f t="array" ref="E1461">IFNA(_xlfn.XLOOKUP(B1461,Table_Respons_Loket[Count],Table_Respons_Loket[Time Stamp]),"")</f>
        <v/>
      </c>
      <c r="F1461" s="18" t="str">
        <f t="array" ref="F1461">IFNA(_xlfn.XLOOKUP(B1461,Table_Respons_Loket[Count],Table_Respons_Loket[Jenis Permohonan]),"")</f>
        <v/>
      </c>
      <c r="G1461" s="24"/>
      <c r="H1461" s="24"/>
      <c r="I1461" s="22" t="str">
        <f t="shared" si="7"/>
        <v/>
      </c>
      <c r="J1461" s="20" t="b">
        <v>0</v>
      </c>
      <c r="K1461" s="13" t="str">
        <f t="shared" si="8"/>
        <v/>
      </c>
    </row>
    <row r="1462" ht="22.5" customHeight="1">
      <c r="B1462" s="13">
        <f t="shared" si="3"/>
        <v>1456</v>
      </c>
      <c r="C1462" s="15" t="str">
        <f t="array" ref="C1462">IFNA(_xlfn.XLOOKUP(B1462,Table_Respons_Loket[Count],Table_Respons_Loket[Nomor Tiket]),"")</f>
        <v/>
      </c>
      <c r="D1462" s="15" t="str">
        <f t="array" ref="D1462">IFNA(_xlfn.XLOOKUP(B1462,Table_Respons_Loket[Count],Table_Respons_Loket[Daftar Nomor Hak]),"")</f>
        <v/>
      </c>
      <c r="E1462" s="17" t="str">
        <f t="array" ref="E1462">IFNA(_xlfn.XLOOKUP(B1462,Table_Respons_Loket[Count],Table_Respons_Loket[Time Stamp]),"")</f>
        <v/>
      </c>
      <c r="F1462" s="18" t="str">
        <f t="array" ref="F1462">IFNA(_xlfn.XLOOKUP(B1462,Table_Respons_Loket[Count],Table_Respons_Loket[Jenis Permohonan]),"")</f>
        <v/>
      </c>
      <c r="G1462" s="24"/>
      <c r="H1462" s="24"/>
      <c r="I1462" s="22" t="str">
        <f t="shared" si="7"/>
        <v/>
      </c>
      <c r="J1462" s="20" t="b">
        <v>0</v>
      </c>
      <c r="K1462" s="13" t="str">
        <f t="shared" si="8"/>
        <v/>
      </c>
    </row>
    <row r="1463" ht="22.5" customHeight="1">
      <c r="B1463" s="13">
        <f t="shared" si="3"/>
        <v>1457</v>
      </c>
      <c r="C1463" s="15" t="str">
        <f t="array" ref="C1463">IFNA(_xlfn.XLOOKUP(B1463,Table_Respons_Loket[Count],Table_Respons_Loket[Nomor Tiket]),"")</f>
        <v/>
      </c>
      <c r="D1463" s="15" t="str">
        <f t="array" ref="D1463">IFNA(_xlfn.XLOOKUP(B1463,Table_Respons_Loket[Count],Table_Respons_Loket[Daftar Nomor Hak]),"")</f>
        <v/>
      </c>
      <c r="E1463" s="17" t="str">
        <f t="array" ref="E1463">IFNA(_xlfn.XLOOKUP(B1463,Table_Respons_Loket[Count],Table_Respons_Loket[Time Stamp]),"")</f>
        <v/>
      </c>
      <c r="F1463" s="18" t="str">
        <f t="array" ref="F1463">IFNA(_xlfn.XLOOKUP(B1463,Table_Respons_Loket[Count],Table_Respons_Loket[Jenis Permohonan]),"")</f>
        <v/>
      </c>
      <c r="G1463" s="24"/>
      <c r="H1463" s="24"/>
      <c r="I1463" s="22" t="str">
        <f t="shared" si="7"/>
        <v/>
      </c>
      <c r="J1463" s="20" t="b">
        <v>0</v>
      </c>
      <c r="K1463" s="13" t="str">
        <f t="shared" si="8"/>
        <v/>
      </c>
    </row>
    <row r="1464" ht="22.5" customHeight="1">
      <c r="B1464" s="13">
        <f t="shared" si="3"/>
        <v>1458</v>
      </c>
      <c r="C1464" s="15" t="str">
        <f t="array" ref="C1464">IFNA(_xlfn.XLOOKUP(B1464,Table_Respons_Loket[Count],Table_Respons_Loket[Nomor Tiket]),"")</f>
        <v/>
      </c>
      <c r="D1464" s="15" t="str">
        <f t="array" ref="D1464">IFNA(_xlfn.XLOOKUP(B1464,Table_Respons_Loket[Count],Table_Respons_Loket[Daftar Nomor Hak]),"")</f>
        <v/>
      </c>
      <c r="E1464" s="17" t="str">
        <f t="array" ref="E1464">IFNA(_xlfn.XLOOKUP(B1464,Table_Respons_Loket[Count],Table_Respons_Loket[Time Stamp]),"")</f>
        <v/>
      </c>
      <c r="F1464" s="18" t="str">
        <f t="array" ref="F1464">IFNA(_xlfn.XLOOKUP(B1464,Table_Respons_Loket[Count],Table_Respons_Loket[Jenis Permohonan]),"")</f>
        <v/>
      </c>
      <c r="G1464" s="24"/>
      <c r="H1464" s="24"/>
      <c r="I1464" s="22" t="str">
        <f t="shared" si="7"/>
        <v/>
      </c>
      <c r="J1464" s="20" t="b">
        <v>0</v>
      </c>
      <c r="K1464" s="13" t="str">
        <f t="shared" si="8"/>
        <v/>
      </c>
    </row>
    <row r="1465" ht="22.5" customHeight="1">
      <c r="B1465" s="13">
        <f t="shared" si="3"/>
        <v>1459</v>
      </c>
      <c r="C1465" s="15" t="str">
        <f t="array" ref="C1465">IFNA(_xlfn.XLOOKUP(B1465,Table_Respons_Loket[Count],Table_Respons_Loket[Nomor Tiket]),"")</f>
        <v/>
      </c>
      <c r="D1465" s="15" t="str">
        <f t="array" ref="D1465">IFNA(_xlfn.XLOOKUP(B1465,Table_Respons_Loket[Count],Table_Respons_Loket[Daftar Nomor Hak]),"")</f>
        <v/>
      </c>
      <c r="E1465" s="17" t="str">
        <f t="array" ref="E1465">IFNA(_xlfn.XLOOKUP(B1465,Table_Respons_Loket[Count],Table_Respons_Loket[Time Stamp]),"")</f>
        <v/>
      </c>
      <c r="F1465" s="18" t="str">
        <f t="array" ref="F1465">IFNA(_xlfn.XLOOKUP(B1465,Table_Respons_Loket[Count],Table_Respons_Loket[Jenis Permohonan]),"")</f>
        <v/>
      </c>
      <c r="G1465" s="24"/>
      <c r="H1465" s="24"/>
      <c r="I1465" s="22" t="str">
        <f t="shared" si="7"/>
        <v/>
      </c>
      <c r="J1465" s="20" t="b">
        <v>0</v>
      </c>
      <c r="K1465" s="13" t="str">
        <f t="shared" si="8"/>
        <v/>
      </c>
    </row>
    <row r="1466" ht="22.5" customHeight="1">
      <c r="B1466" s="13">
        <f t="shared" si="3"/>
        <v>1460</v>
      </c>
      <c r="C1466" s="15" t="str">
        <f t="array" ref="C1466">IFNA(_xlfn.XLOOKUP(B1466,Table_Respons_Loket[Count],Table_Respons_Loket[Nomor Tiket]),"")</f>
        <v/>
      </c>
      <c r="D1466" s="15" t="str">
        <f t="array" ref="D1466">IFNA(_xlfn.XLOOKUP(B1466,Table_Respons_Loket[Count],Table_Respons_Loket[Daftar Nomor Hak]),"")</f>
        <v/>
      </c>
      <c r="E1466" s="17" t="str">
        <f t="array" ref="E1466">IFNA(_xlfn.XLOOKUP(B1466,Table_Respons_Loket[Count],Table_Respons_Loket[Time Stamp]),"")</f>
        <v/>
      </c>
      <c r="F1466" s="18" t="str">
        <f t="array" ref="F1466">IFNA(_xlfn.XLOOKUP(B1466,Table_Respons_Loket[Count],Table_Respons_Loket[Jenis Permohonan]),"")</f>
        <v/>
      </c>
      <c r="G1466" s="24"/>
      <c r="H1466" s="24"/>
      <c r="I1466" s="22" t="str">
        <f t="shared" si="7"/>
        <v/>
      </c>
      <c r="J1466" s="20" t="b">
        <v>0</v>
      </c>
      <c r="K1466" s="13" t="str">
        <f t="shared" si="8"/>
        <v/>
      </c>
    </row>
    <row r="1467" ht="22.5" customHeight="1">
      <c r="B1467" s="13">
        <f t="shared" si="3"/>
        <v>1461</v>
      </c>
      <c r="C1467" s="15" t="str">
        <f t="array" ref="C1467">IFNA(_xlfn.XLOOKUP(B1467,Table_Respons_Loket[Count],Table_Respons_Loket[Nomor Tiket]),"")</f>
        <v/>
      </c>
      <c r="D1467" s="15" t="str">
        <f t="array" ref="D1467">IFNA(_xlfn.XLOOKUP(B1467,Table_Respons_Loket[Count],Table_Respons_Loket[Daftar Nomor Hak]),"")</f>
        <v/>
      </c>
      <c r="E1467" s="17" t="str">
        <f t="array" ref="E1467">IFNA(_xlfn.XLOOKUP(B1467,Table_Respons_Loket[Count],Table_Respons_Loket[Time Stamp]),"")</f>
        <v/>
      </c>
      <c r="F1467" s="18" t="str">
        <f t="array" ref="F1467">IFNA(_xlfn.XLOOKUP(B1467,Table_Respons_Loket[Count],Table_Respons_Loket[Jenis Permohonan]),"")</f>
        <v/>
      </c>
      <c r="G1467" s="24"/>
      <c r="H1467" s="24"/>
      <c r="I1467" s="22" t="str">
        <f t="shared" si="7"/>
        <v/>
      </c>
      <c r="J1467" s="20" t="b">
        <v>0</v>
      </c>
      <c r="K1467" s="13" t="str">
        <f t="shared" si="8"/>
        <v/>
      </c>
    </row>
    <row r="1468" ht="22.5" customHeight="1">
      <c r="B1468" s="13">
        <f t="shared" si="3"/>
        <v>1462</v>
      </c>
      <c r="C1468" s="15" t="str">
        <f t="array" ref="C1468">IFNA(_xlfn.XLOOKUP(B1468,Table_Respons_Loket[Count],Table_Respons_Loket[Nomor Tiket]),"")</f>
        <v/>
      </c>
      <c r="D1468" s="15" t="str">
        <f t="array" ref="D1468">IFNA(_xlfn.XLOOKUP(B1468,Table_Respons_Loket[Count],Table_Respons_Loket[Daftar Nomor Hak]),"")</f>
        <v/>
      </c>
      <c r="E1468" s="17" t="str">
        <f t="array" ref="E1468">IFNA(_xlfn.XLOOKUP(B1468,Table_Respons_Loket[Count],Table_Respons_Loket[Time Stamp]),"")</f>
        <v/>
      </c>
      <c r="F1468" s="18" t="str">
        <f t="array" ref="F1468">IFNA(_xlfn.XLOOKUP(B1468,Table_Respons_Loket[Count],Table_Respons_Loket[Jenis Permohonan]),"")</f>
        <v/>
      </c>
      <c r="G1468" s="24"/>
      <c r="H1468" s="24"/>
      <c r="I1468" s="22" t="str">
        <f t="shared" si="7"/>
        <v/>
      </c>
      <c r="J1468" s="20" t="b">
        <v>0</v>
      </c>
      <c r="K1468" s="13" t="str">
        <f t="shared" si="8"/>
        <v/>
      </c>
    </row>
    <row r="1469" ht="22.5" customHeight="1">
      <c r="B1469" s="13">
        <f t="shared" si="3"/>
        <v>1463</v>
      </c>
      <c r="C1469" s="15" t="str">
        <f t="array" ref="C1469">IFNA(_xlfn.XLOOKUP(B1469,Table_Respons_Loket[Count],Table_Respons_Loket[Nomor Tiket]),"")</f>
        <v/>
      </c>
      <c r="D1469" s="15" t="str">
        <f t="array" ref="D1469">IFNA(_xlfn.XLOOKUP(B1469,Table_Respons_Loket[Count],Table_Respons_Loket[Daftar Nomor Hak]),"")</f>
        <v/>
      </c>
      <c r="E1469" s="17" t="str">
        <f t="array" ref="E1469">IFNA(_xlfn.XLOOKUP(B1469,Table_Respons_Loket[Count],Table_Respons_Loket[Time Stamp]),"")</f>
        <v/>
      </c>
      <c r="F1469" s="18" t="str">
        <f t="array" ref="F1469">IFNA(_xlfn.XLOOKUP(B1469,Table_Respons_Loket[Count],Table_Respons_Loket[Jenis Permohonan]),"")</f>
        <v/>
      </c>
      <c r="G1469" s="24"/>
      <c r="H1469" s="24"/>
      <c r="I1469" s="22" t="str">
        <f t="shared" si="7"/>
        <v/>
      </c>
      <c r="J1469" s="20" t="b">
        <v>0</v>
      </c>
      <c r="K1469" s="13" t="str">
        <f t="shared" si="8"/>
        <v/>
      </c>
    </row>
    <row r="1470" ht="22.5" customHeight="1">
      <c r="B1470" s="13">
        <f t="shared" si="3"/>
        <v>1464</v>
      </c>
      <c r="C1470" s="15" t="str">
        <f t="array" ref="C1470">IFNA(_xlfn.XLOOKUP(B1470,Table_Respons_Loket[Count],Table_Respons_Loket[Nomor Tiket]),"")</f>
        <v/>
      </c>
      <c r="D1470" s="15" t="str">
        <f t="array" ref="D1470">IFNA(_xlfn.XLOOKUP(B1470,Table_Respons_Loket[Count],Table_Respons_Loket[Daftar Nomor Hak]),"")</f>
        <v/>
      </c>
      <c r="E1470" s="17" t="str">
        <f t="array" ref="E1470">IFNA(_xlfn.XLOOKUP(B1470,Table_Respons_Loket[Count],Table_Respons_Loket[Time Stamp]),"")</f>
        <v/>
      </c>
      <c r="F1470" s="18" t="str">
        <f t="array" ref="F1470">IFNA(_xlfn.XLOOKUP(B1470,Table_Respons_Loket[Count],Table_Respons_Loket[Jenis Permohonan]),"")</f>
        <v/>
      </c>
      <c r="G1470" s="24"/>
      <c r="H1470" s="24"/>
      <c r="I1470" s="22" t="str">
        <f t="shared" si="7"/>
        <v/>
      </c>
      <c r="J1470" s="20" t="b">
        <v>0</v>
      </c>
      <c r="K1470" s="13" t="str">
        <f t="shared" si="8"/>
        <v/>
      </c>
    </row>
    <row r="1471" ht="22.5" customHeight="1">
      <c r="B1471" s="13">
        <f t="shared" si="3"/>
        <v>1465</v>
      </c>
      <c r="C1471" s="15" t="str">
        <f t="array" ref="C1471">IFNA(_xlfn.XLOOKUP(B1471,Table_Respons_Loket[Count],Table_Respons_Loket[Nomor Tiket]),"")</f>
        <v/>
      </c>
      <c r="D1471" s="15" t="str">
        <f t="array" ref="D1471">IFNA(_xlfn.XLOOKUP(B1471,Table_Respons_Loket[Count],Table_Respons_Loket[Daftar Nomor Hak]),"")</f>
        <v/>
      </c>
      <c r="E1471" s="17" t="str">
        <f t="array" ref="E1471">IFNA(_xlfn.XLOOKUP(B1471,Table_Respons_Loket[Count],Table_Respons_Loket[Time Stamp]),"")</f>
        <v/>
      </c>
      <c r="F1471" s="18" t="str">
        <f t="array" ref="F1471">IFNA(_xlfn.XLOOKUP(B1471,Table_Respons_Loket[Count],Table_Respons_Loket[Jenis Permohonan]),"")</f>
        <v/>
      </c>
      <c r="G1471" s="24"/>
      <c r="H1471" s="24"/>
      <c r="I1471" s="22" t="str">
        <f t="shared" si="7"/>
        <v/>
      </c>
      <c r="J1471" s="20" t="b">
        <v>0</v>
      </c>
      <c r="K1471" s="13" t="str">
        <f t="shared" si="8"/>
        <v/>
      </c>
    </row>
    <row r="1472" ht="22.5" customHeight="1">
      <c r="B1472" s="13">
        <f t="shared" si="3"/>
        <v>1466</v>
      </c>
      <c r="C1472" s="15" t="str">
        <f t="array" ref="C1472">IFNA(_xlfn.XLOOKUP(B1472,Table_Respons_Loket[Count],Table_Respons_Loket[Nomor Tiket]),"")</f>
        <v/>
      </c>
      <c r="D1472" s="15" t="str">
        <f t="array" ref="D1472">IFNA(_xlfn.XLOOKUP(B1472,Table_Respons_Loket[Count],Table_Respons_Loket[Daftar Nomor Hak]),"")</f>
        <v/>
      </c>
      <c r="E1472" s="17" t="str">
        <f t="array" ref="E1472">IFNA(_xlfn.XLOOKUP(B1472,Table_Respons_Loket[Count],Table_Respons_Loket[Time Stamp]),"")</f>
        <v/>
      </c>
      <c r="F1472" s="18" t="str">
        <f t="array" ref="F1472">IFNA(_xlfn.XLOOKUP(B1472,Table_Respons_Loket[Count],Table_Respons_Loket[Jenis Permohonan]),"")</f>
        <v/>
      </c>
      <c r="G1472" s="24"/>
      <c r="H1472" s="24"/>
      <c r="I1472" s="22" t="str">
        <f t="shared" si="7"/>
        <v/>
      </c>
      <c r="J1472" s="20" t="b">
        <v>0</v>
      </c>
      <c r="K1472" s="13" t="str">
        <f t="shared" si="8"/>
        <v/>
      </c>
    </row>
    <row r="1473" ht="22.5" customHeight="1">
      <c r="B1473" s="13">
        <f t="shared" si="3"/>
        <v>1467</v>
      </c>
      <c r="C1473" s="15" t="str">
        <f t="array" ref="C1473">IFNA(_xlfn.XLOOKUP(B1473,Table_Respons_Loket[Count],Table_Respons_Loket[Nomor Tiket]),"")</f>
        <v/>
      </c>
      <c r="D1473" s="15" t="str">
        <f t="array" ref="D1473">IFNA(_xlfn.XLOOKUP(B1473,Table_Respons_Loket[Count],Table_Respons_Loket[Daftar Nomor Hak]),"")</f>
        <v/>
      </c>
      <c r="E1473" s="17" t="str">
        <f t="array" ref="E1473">IFNA(_xlfn.XLOOKUP(B1473,Table_Respons_Loket[Count],Table_Respons_Loket[Time Stamp]),"")</f>
        <v/>
      </c>
      <c r="F1473" s="18" t="str">
        <f t="array" ref="F1473">IFNA(_xlfn.XLOOKUP(B1473,Table_Respons_Loket[Count],Table_Respons_Loket[Jenis Permohonan]),"")</f>
        <v/>
      </c>
      <c r="G1473" s="24"/>
      <c r="H1473" s="24"/>
      <c r="I1473" s="22" t="str">
        <f t="shared" si="7"/>
        <v/>
      </c>
      <c r="J1473" s="20" t="b">
        <v>0</v>
      </c>
      <c r="K1473" s="13" t="str">
        <f t="shared" si="8"/>
        <v/>
      </c>
    </row>
    <row r="1474" ht="22.5" customHeight="1">
      <c r="B1474" s="13">
        <f t="shared" si="3"/>
        <v>1468</v>
      </c>
      <c r="C1474" s="15" t="str">
        <f t="array" ref="C1474">IFNA(_xlfn.XLOOKUP(B1474,Table_Respons_Loket[Count],Table_Respons_Loket[Nomor Tiket]),"")</f>
        <v/>
      </c>
      <c r="D1474" s="15" t="str">
        <f t="array" ref="D1474">IFNA(_xlfn.XLOOKUP(B1474,Table_Respons_Loket[Count],Table_Respons_Loket[Daftar Nomor Hak]),"")</f>
        <v/>
      </c>
      <c r="E1474" s="17" t="str">
        <f t="array" ref="E1474">IFNA(_xlfn.XLOOKUP(B1474,Table_Respons_Loket[Count],Table_Respons_Loket[Time Stamp]),"")</f>
        <v/>
      </c>
      <c r="F1474" s="18" t="str">
        <f t="array" ref="F1474">IFNA(_xlfn.XLOOKUP(B1474,Table_Respons_Loket[Count],Table_Respons_Loket[Jenis Permohonan]),"")</f>
        <v/>
      </c>
      <c r="G1474" s="24"/>
      <c r="H1474" s="24"/>
      <c r="I1474" s="22" t="str">
        <f t="shared" si="7"/>
        <v/>
      </c>
      <c r="J1474" s="20" t="b">
        <v>0</v>
      </c>
      <c r="K1474" s="13" t="str">
        <f t="shared" si="8"/>
        <v/>
      </c>
    </row>
    <row r="1475" ht="22.5" customHeight="1">
      <c r="B1475" s="13">
        <f t="shared" si="3"/>
        <v>1469</v>
      </c>
      <c r="C1475" s="15" t="str">
        <f t="array" ref="C1475">IFNA(_xlfn.XLOOKUP(B1475,Table_Respons_Loket[Count],Table_Respons_Loket[Nomor Tiket]),"")</f>
        <v/>
      </c>
      <c r="D1475" s="15" t="str">
        <f t="array" ref="D1475">IFNA(_xlfn.XLOOKUP(B1475,Table_Respons_Loket[Count],Table_Respons_Loket[Daftar Nomor Hak]),"")</f>
        <v/>
      </c>
      <c r="E1475" s="17" t="str">
        <f t="array" ref="E1475">IFNA(_xlfn.XLOOKUP(B1475,Table_Respons_Loket[Count],Table_Respons_Loket[Time Stamp]),"")</f>
        <v/>
      </c>
      <c r="F1475" s="18" t="str">
        <f t="array" ref="F1475">IFNA(_xlfn.XLOOKUP(B1475,Table_Respons_Loket[Count],Table_Respons_Loket[Jenis Permohonan]),"")</f>
        <v/>
      </c>
      <c r="G1475" s="24"/>
      <c r="H1475" s="24"/>
      <c r="I1475" s="22" t="str">
        <f t="shared" si="7"/>
        <v/>
      </c>
      <c r="J1475" s="20" t="b">
        <v>0</v>
      </c>
      <c r="K1475" s="13" t="str">
        <f t="shared" si="8"/>
        <v/>
      </c>
    </row>
    <row r="1476" ht="22.5" customHeight="1">
      <c r="B1476" s="13">
        <f t="shared" si="3"/>
        <v>1470</v>
      </c>
      <c r="C1476" s="15" t="str">
        <f t="array" ref="C1476">IFNA(_xlfn.XLOOKUP(B1476,Table_Respons_Loket[Count],Table_Respons_Loket[Nomor Tiket]),"")</f>
        <v/>
      </c>
      <c r="D1476" s="15" t="str">
        <f t="array" ref="D1476">IFNA(_xlfn.XLOOKUP(B1476,Table_Respons_Loket[Count],Table_Respons_Loket[Daftar Nomor Hak]),"")</f>
        <v/>
      </c>
      <c r="E1476" s="17" t="str">
        <f t="array" ref="E1476">IFNA(_xlfn.XLOOKUP(B1476,Table_Respons_Loket[Count],Table_Respons_Loket[Time Stamp]),"")</f>
        <v/>
      </c>
      <c r="F1476" s="18" t="str">
        <f t="array" ref="F1476">IFNA(_xlfn.XLOOKUP(B1476,Table_Respons_Loket[Count],Table_Respons_Loket[Jenis Permohonan]),"")</f>
        <v/>
      </c>
      <c r="G1476" s="24"/>
      <c r="H1476" s="24"/>
      <c r="I1476" s="22" t="str">
        <f t="shared" si="7"/>
        <v/>
      </c>
      <c r="J1476" s="20" t="b">
        <v>0</v>
      </c>
      <c r="K1476" s="13" t="str">
        <f t="shared" si="8"/>
        <v/>
      </c>
    </row>
    <row r="1477" ht="22.5" customHeight="1">
      <c r="B1477" s="13">
        <f t="shared" si="3"/>
        <v>1471</v>
      </c>
      <c r="C1477" s="15" t="str">
        <f t="array" ref="C1477">IFNA(_xlfn.XLOOKUP(B1477,Table_Respons_Loket[Count],Table_Respons_Loket[Nomor Tiket]),"")</f>
        <v/>
      </c>
      <c r="D1477" s="15" t="str">
        <f t="array" ref="D1477">IFNA(_xlfn.XLOOKUP(B1477,Table_Respons_Loket[Count],Table_Respons_Loket[Daftar Nomor Hak]),"")</f>
        <v/>
      </c>
      <c r="E1477" s="17" t="str">
        <f t="array" ref="E1477">IFNA(_xlfn.XLOOKUP(B1477,Table_Respons_Loket[Count],Table_Respons_Loket[Time Stamp]),"")</f>
        <v/>
      </c>
      <c r="F1477" s="18" t="str">
        <f t="array" ref="F1477">IFNA(_xlfn.XLOOKUP(B1477,Table_Respons_Loket[Count],Table_Respons_Loket[Jenis Permohonan]),"")</f>
        <v/>
      </c>
      <c r="G1477" s="24"/>
      <c r="H1477" s="24"/>
      <c r="I1477" s="22" t="str">
        <f t="shared" si="7"/>
        <v/>
      </c>
      <c r="J1477" s="20" t="b">
        <v>0</v>
      </c>
      <c r="K1477" s="13" t="str">
        <f t="shared" si="8"/>
        <v/>
      </c>
    </row>
    <row r="1478" ht="22.5" customHeight="1">
      <c r="B1478" s="13">
        <f t="shared" si="3"/>
        <v>1472</v>
      </c>
      <c r="C1478" s="15" t="str">
        <f t="array" ref="C1478">IFNA(_xlfn.XLOOKUP(B1478,Table_Respons_Loket[Count],Table_Respons_Loket[Nomor Tiket]),"")</f>
        <v/>
      </c>
      <c r="D1478" s="15" t="str">
        <f t="array" ref="D1478">IFNA(_xlfn.XLOOKUP(B1478,Table_Respons_Loket[Count],Table_Respons_Loket[Daftar Nomor Hak]),"")</f>
        <v/>
      </c>
      <c r="E1478" s="17" t="str">
        <f t="array" ref="E1478">IFNA(_xlfn.XLOOKUP(B1478,Table_Respons_Loket[Count],Table_Respons_Loket[Time Stamp]),"")</f>
        <v/>
      </c>
      <c r="F1478" s="18" t="str">
        <f t="array" ref="F1478">IFNA(_xlfn.XLOOKUP(B1478,Table_Respons_Loket[Count],Table_Respons_Loket[Jenis Permohonan]),"")</f>
        <v/>
      </c>
      <c r="G1478" s="24"/>
      <c r="H1478" s="24"/>
      <c r="I1478" s="22" t="str">
        <f t="shared" si="7"/>
        <v/>
      </c>
      <c r="J1478" s="20" t="b">
        <v>0</v>
      </c>
      <c r="K1478" s="13" t="str">
        <f t="shared" si="8"/>
        <v/>
      </c>
    </row>
    <row r="1479" ht="22.5" customHeight="1">
      <c r="B1479" s="13">
        <f t="shared" si="3"/>
        <v>1473</v>
      </c>
      <c r="C1479" s="15" t="str">
        <f t="array" ref="C1479">IFNA(_xlfn.XLOOKUP(B1479,Table_Respons_Loket[Count],Table_Respons_Loket[Nomor Tiket]),"")</f>
        <v/>
      </c>
      <c r="D1479" s="15" t="str">
        <f t="array" ref="D1479">IFNA(_xlfn.XLOOKUP(B1479,Table_Respons_Loket[Count],Table_Respons_Loket[Daftar Nomor Hak]),"")</f>
        <v/>
      </c>
      <c r="E1479" s="17" t="str">
        <f t="array" ref="E1479">IFNA(_xlfn.XLOOKUP(B1479,Table_Respons_Loket[Count],Table_Respons_Loket[Time Stamp]),"")</f>
        <v/>
      </c>
      <c r="F1479" s="18" t="str">
        <f t="array" ref="F1479">IFNA(_xlfn.XLOOKUP(B1479,Table_Respons_Loket[Count],Table_Respons_Loket[Jenis Permohonan]),"")</f>
        <v/>
      </c>
      <c r="G1479" s="24"/>
      <c r="H1479" s="24"/>
      <c r="I1479" s="22" t="str">
        <f t="shared" si="7"/>
        <v/>
      </c>
      <c r="J1479" s="20" t="b">
        <v>0</v>
      </c>
      <c r="K1479" s="13" t="str">
        <f t="shared" si="8"/>
        <v/>
      </c>
    </row>
    <row r="1480" ht="22.5" customHeight="1">
      <c r="B1480" s="13">
        <f t="shared" si="3"/>
        <v>1474</v>
      </c>
      <c r="C1480" s="15" t="str">
        <f t="array" ref="C1480">IFNA(_xlfn.XLOOKUP(B1480,Table_Respons_Loket[Count],Table_Respons_Loket[Nomor Tiket]),"")</f>
        <v/>
      </c>
      <c r="D1480" s="15" t="str">
        <f t="array" ref="D1480">IFNA(_xlfn.XLOOKUP(B1480,Table_Respons_Loket[Count],Table_Respons_Loket[Daftar Nomor Hak]),"")</f>
        <v/>
      </c>
      <c r="E1480" s="17" t="str">
        <f t="array" ref="E1480">IFNA(_xlfn.XLOOKUP(B1480,Table_Respons_Loket[Count],Table_Respons_Loket[Time Stamp]),"")</f>
        <v/>
      </c>
      <c r="F1480" s="18" t="str">
        <f t="array" ref="F1480">IFNA(_xlfn.XLOOKUP(B1480,Table_Respons_Loket[Count],Table_Respons_Loket[Jenis Permohonan]),"")</f>
        <v/>
      </c>
      <c r="G1480" s="24"/>
      <c r="H1480" s="24"/>
      <c r="I1480" s="22" t="str">
        <f t="shared" si="7"/>
        <v/>
      </c>
      <c r="J1480" s="20" t="b">
        <v>0</v>
      </c>
      <c r="K1480" s="13" t="str">
        <f t="shared" si="8"/>
        <v/>
      </c>
    </row>
    <row r="1481" ht="22.5" customHeight="1">
      <c r="B1481" s="13">
        <f t="shared" si="3"/>
        <v>1475</v>
      </c>
      <c r="C1481" s="15" t="str">
        <f t="array" ref="C1481">IFNA(_xlfn.XLOOKUP(B1481,Table_Respons_Loket[Count],Table_Respons_Loket[Nomor Tiket]),"")</f>
        <v/>
      </c>
      <c r="D1481" s="15" t="str">
        <f t="array" ref="D1481">IFNA(_xlfn.XLOOKUP(B1481,Table_Respons_Loket[Count],Table_Respons_Loket[Daftar Nomor Hak]),"")</f>
        <v/>
      </c>
      <c r="E1481" s="17" t="str">
        <f t="array" ref="E1481">IFNA(_xlfn.XLOOKUP(B1481,Table_Respons_Loket[Count],Table_Respons_Loket[Time Stamp]),"")</f>
        <v/>
      </c>
      <c r="F1481" s="18" t="str">
        <f t="array" ref="F1481">IFNA(_xlfn.XLOOKUP(B1481,Table_Respons_Loket[Count],Table_Respons_Loket[Jenis Permohonan]),"")</f>
        <v/>
      </c>
      <c r="G1481" s="24"/>
      <c r="H1481" s="24"/>
      <c r="I1481" s="22" t="str">
        <f t="shared" si="7"/>
        <v/>
      </c>
      <c r="J1481" s="20" t="b">
        <v>0</v>
      </c>
      <c r="K1481" s="13" t="str">
        <f t="shared" si="8"/>
        <v/>
      </c>
    </row>
    <row r="1482" ht="22.5" customHeight="1">
      <c r="B1482" s="13">
        <f t="shared" si="3"/>
        <v>1476</v>
      </c>
      <c r="C1482" s="15" t="str">
        <f t="array" ref="C1482">IFNA(_xlfn.XLOOKUP(B1482,Table_Respons_Loket[Count],Table_Respons_Loket[Nomor Tiket]),"")</f>
        <v/>
      </c>
      <c r="D1482" s="15" t="str">
        <f t="array" ref="D1482">IFNA(_xlfn.XLOOKUP(B1482,Table_Respons_Loket[Count],Table_Respons_Loket[Daftar Nomor Hak]),"")</f>
        <v/>
      </c>
      <c r="E1482" s="17" t="str">
        <f t="array" ref="E1482">IFNA(_xlfn.XLOOKUP(B1482,Table_Respons_Loket[Count],Table_Respons_Loket[Time Stamp]),"")</f>
        <v/>
      </c>
      <c r="F1482" s="18" t="str">
        <f t="array" ref="F1482">IFNA(_xlfn.XLOOKUP(B1482,Table_Respons_Loket[Count],Table_Respons_Loket[Jenis Permohonan]),"")</f>
        <v/>
      </c>
      <c r="G1482" s="24"/>
      <c r="H1482" s="24"/>
      <c r="I1482" s="22" t="str">
        <f t="shared" si="7"/>
        <v/>
      </c>
      <c r="J1482" s="20" t="b">
        <v>0</v>
      </c>
      <c r="K1482" s="13" t="str">
        <f t="shared" si="8"/>
        <v/>
      </c>
    </row>
    <row r="1483" ht="22.5" customHeight="1">
      <c r="B1483" s="13">
        <f t="shared" si="3"/>
        <v>1477</v>
      </c>
      <c r="C1483" s="15" t="str">
        <f t="array" ref="C1483">IFNA(_xlfn.XLOOKUP(B1483,Table_Respons_Loket[Count],Table_Respons_Loket[Nomor Tiket]),"")</f>
        <v/>
      </c>
      <c r="D1483" s="15" t="str">
        <f t="array" ref="D1483">IFNA(_xlfn.XLOOKUP(B1483,Table_Respons_Loket[Count],Table_Respons_Loket[Daftar Nomor Hak]),"")</f>
        <v/>
      </c>
      <c r="E1483" s="17" t="str">
        <f t="array" ref="E1483">IFNA(_xlfn.XLOOKUP(B1483,Table_Respons_Loket[Count],Table_Respons_Loket[Time Stamp]),"")</f>
        <v/>
      </c>
      <c r="F1483" s="18" t="str">
        <f t="array" ref="F1483">IFNA(_xlfn.XLOOKUP(B1483,Table_Respons_Loket[Count],Table_Respons_Loket[Jenis Permohonan]),"")</f>
        <v/>
      </c>
      <c r="G1483" s="24"/>
      <c r="H1483" s="24"/>
      <c r="I1483" s="22" t="str">
        <f t="shared" si="7"/>
        <v/>
      </c>
      <c r="J1483" s="20" t="b">
        <v>0</v>
      </c>
      <c r="K1483" s="13" t="str">
        <f t="shared" si="8"/>
        <v/>
      </c>
    </row>
    <row r="1484" ht="22.5" customHeight="1">
      <c r="B1484" s="13">
        <f t="shared" si="3"/>
        <v>1478</v>
      </c>
      <c r="C1484" s="15" t="str">
        <f t="array" ref="C1484">IFNA(_xlfn.XLOOKUP(B1484,Table_Respons_Loket[Count],Table_Respons_Loket[Nomor Tiket]),"")</f>
        <v/>
      </c>
      <c r="D1484" s="15" t="str">
        <f t="array" ref="D1484">IFNA(_xlfn.XLOOKUP(B1484,Table_Respons_Loket[Count],Table_Respons_Loket[Daftar Nomor Hak]),"")</f>
        <v/>
      </c>
      <c r="E1484" s="17" t="str">
        <f t="array" ref="E1484">IFNA(_xlfn.XLOOKUP(B1484,Table_Respons_Loket[Count],Table_Respons_Loket[Time Stamp]),"")</f>
        <v/>
      </c>
      <c r="F1484" s="18" t="str">
        <f t="array" ref="F1484">IFNA(_xlfn.XLOOKUP(B1484,Table_Respons_Loket[Count],Table_Respons_Loket[Jenis Permohonan]),"")</f>
        <v/>
      </c>
      <c r="G1484" s="24"/>
      <c r="H1484" s="24"/>
      <c r="I1484" s="22" t="str">
        <f t="shared" si="7"/>
        <v/>
      </c>
      <c r="J1484" s="20" t="b">
        <v>0</v>
      </c>
      <c r="K1484" s="13" t="str">
        <f t="shared" si="8"/>
        <v/>
      </c>
    </row>
    <row r="1485" ht="22.5" customHeight="1">
      <c r="B1485" s="13">
        <f t="shared" si="3"/>
        <v>1479</v>
      </c>
      <c r="C1485" s="15" t="str">
        <f t="array" ref="C1485">IFNA(_xlfn.XLOOKUP(B1485,Table_Respons_Loket[Count],Table_Respons_Loket[Nomor Tiket]),"")</f>
        <v/>
      </c>
      <c r="D1485" s="15" t="str">
        <f t="array" ref="D1485">IFNA(_xlfn.XLOOKUP(B1485,Table_Respons_Loket[Count],Table_Respons_Loket[Daftar Nomor Hak]),"")</f>
        <v/>
      </c>
      <c r="E1485" s="17" t="str">
        <f t="array" ref="E1485">IFNA(_xlfn.XLOOKUP(B1485,Table_Respons_Loket[Count],Table_Respons_Loket[Time Stamp]),"")</f>
        <v/>
      </c>
      <c r="F1485" s="18" t="str">
        <f t="array" ref="F1485">IFNA(_xlfn.XLOOKUP(B1485,Table_Respons_Loket[Count],Table_Respons_Loket[Jenis Permohonan]),"")</f>
        <v/>
      </c>
      <c r="G1485" s="24"/>
      <c r="H1485" s="24"/>
      <c r="I1485" s="22" t="str">
        <f t="shared" si="7"/>
        <v/>
      </c>
      <c r="J1485" s="20" t="b">
        <v>0</v>
      </c>
      <c r="K1485" s="13" t="str">
        <f t="shared" si="8"/>
        <v/>
      </c>
    </row>
    <row r="1486" ht="22.5" customHeight="1">
      <c r="B1486" s="13">
        <f t="shared" si="3"/>
        <v>1480</v>
      </c>
      <c r="C1486" s="15" t="str">
        <f t="array" ref="C1486">IFNA(_xlfn.XLOOKUP(B1486,Table_Respons_Loket[Count],Table_Respons_Loket[Nomor Tiket]),"")</f>
        <v/>
      </c>
      <c r="D1486" s="15" t="str">
        <f t="array" ref="D1486">IFNA(_xlfn.XLOOKUP(B1486,Table_Respons_Loket[Count],Table_Respons_Loket[Daftar Nomor Hak]),"")</f>
        <v/>
      </c>
      <c r="E1486" s="17" t="str">
        <f t="array" ref="E1486">IFNA(_xlfn.XLOOKUP(B1486,Table_Respons_Loket[Count],Table_Respons_Loket[Time Stamp]),"")</f>
        <v/>
      </c>
      <c r="F1486" s="18" t="str">
        <f t="array" ref="F1486">IFNA(_xlfn.XLOOKUP(B1486,Table_Respons_Loket[Count],Table_Respons_Loket[Jenis Permohonan]),"")</f>
        <v/>
      </c>
      <c r="G1486" s="24"/>
      <c r="H1486" s="24"/>
      <c r="I1486" s="22" t="str">
        <f t="shared" si="7"/>
        <v/>
      </c>
      <c r="J1486" s="20" t="b">
        <v>0</v>
      </c>
      <c r="K1486" s="13" t="str">
        <f t="shared" si="8"/>
        <v/>
      </c>
    </row>
    <row r="1487" ht="22.5" customHeight="1">
      <c r="B1487" s="13">
        <f t="shared" si="3"/>
        <v>1481</v>
      </c>
      <c r="C1487" s="15" t="str">
        <f t="array" ref="C1487">IFNA(_xlfn.XLOOKUP(B1487,Table_Respons_Loket[Count],Table_Respons_Loket[Nomor Tiket]),"")</f>
        <v/>
      </c>
      <c r="D1487" s="15" t="str">
        <f t="array" ref="D1487">IFNA(_xlfn.XLOOKUP(B1487,Table_Respons_Loket[Count],Table_Respons_Loket[Daftar Nomor Hak]),"")</f>
        <v/>
      </c>
      <c r="E1487" s="17" t="str">
        <f t="array" ref="E1487">IFNA(_xlfn.XLOOKUP(B1487,Table_Respons_Loket[Count],Table_Respons_Loket[Time Stamp]),"")</f>
        <v/>
      </c>
      <c r="F1487" s="18" t="str">
        <f t="array" ref="F1487">IFNA(_xlfn.XLOOKUP(B1487,Table_Respons_Loket[Count],Table_Respons_Loket[Jenis Permohonan]),"")</f>
        <v/>
      </c>
      <c r="G1487" s="24"/>
      <c r="H1487" s="24"/>
      <c r="I1487" s="22" t="str">
        <f t="shared" si="7"/>
        <v/>
      </c>
      <c r="J1487" s="20" t="b">
        <v>0</v>
      </c>
      <c r="K1487" s="13" t="str">
        <f t="shared" si="8"/>
        <v/>
      </c>
    </row>
    <row r="1488" ht="22.5" customHeight="1">
      <c r="B1488" s="13">
        <f t="shared" si="3"/>
        <v>1482</v>
      </c>
      <c r="C1488" s="15" t="str">
        <f t="array" ref="C1488">IFNA(_xlfn.XLOOKUP(B1488,Table_Respons_Loket[Count],Table_Respons_Loket[Nomor Tiket]),"")</f>
        <v/>
      </c>
      <c r="D1488" s="15" t="str">
        <f t="array" ref="D1488">IFNA(_xlfn.XLOOKUP(B1488,Table_Respons_Loket[Count],Table_Respons_Loket[Daftar Nomor Hak]),"")</f>
        <v/>
      </c>
      <c r="E1488" s="17" t="str">
        <f t="array" ref="E1488">IFNA(_xlfn.XLOOKUP(B1488,Table_Respons_Loket[Count],Table_Respons_Loket[Time Stamp]),"")</f>
        <v/>
      </c>
      <c r="F1488" s="18" t="str">
        <f t="array" ref="F1488">IFNA(_xlfn.XLOOKUP(B1488,Table_Respons_Loket[Count],Table_Respons_Loket[Jenis Permohonan]),"")</f>
        <v/>
      </c>
      <c r="G1488" s="24"/>
      <c r="H1488" s="24"/>
      <c r="I1488" s="22" t="str">
        <f t="shared" si="7"/>
        <v/>
      </c>
      <c r="J1488" s="20" t="b">
        <v>0</v>
      </c>
      <c r="K1488" s="13" t="str">
        <f t="shared" si="8"/>
        <v/>
      </c>
    </row>
    <row r="1489" ht="22.5" customHeight="1">
      <c r="B1489" s="13">
        <f t="shared" si="3"/>
        <v>1483</v>
      </c>
      <c r="C1489" s="15" t="str">
        <f t="array" ref="C1489">IFNA(_xlfn.XLOOKUP(B1489,Table_Respons_Loket[Count],Table_Respons_Loket[Nomor Tiket]),"")</f>
        <v/>
      </c>
      <c r="D1489" s="15" t="str">
        <f t="array" ref="D1489">IFNA(_xlfn.XLOOKUP(B1489,Table_Respons_Loket[Count],Table_Respons_Loket[Daftar Nomor Hak]),"")</f>
        <v/>
      </c>
      <c r="E1489" s="17" t="str">
        <f t="array" ref="E1489">IFNA(_xlfn.XLOOKUP(B1489,Table_Respons_Loket[Count],Table_Respons_Loket[Time Stamp]),"")</f>
        <v/>
      </c>
      <c r="F1489" s="18" t="str">
        <f t="array" ref="F1489">IFNA(_xlfn.XLOOKUP(B1489,Table_Respons_Loket[Count],Table_Respons_Loket[Jenis Permohonan]),"")</f>
        <v/>
      </c>
      <c r="G1489" s="24"/>
      <c r="H1489" s="24"/>
      <c r="I1489" s="22" t="str">
        <f t="shared" si="7"/>
        <v/>
      </c>
      <c r="J1489" s="20" t="b">
        <v>0</v>
      </c>
      <c r="K1489" s="13" t="str">
        <f t="shared" si="8"/>
        <v/>
      </c>
    </row>
    <row r="1490" ht="22.5" customHeight="1">
      <c r="B1490" s="13">
        <f t="shared" si="3"/>
        <v>1484</v>
      </c>
      <c r="C1490" s="15" t="str">
        <f t="array" ref="C1490">IFNA(_xlfn.XLOOKUP(B1490,Table_Respons_Loket[Count],Table_Respons_Loket[Nomor Tiket]),"")</f>
        <v/>
      </c>
      <c r="D1490" s="15" t="str">
        <f t="array" ref="D1490">IFNA(_xlfn.XLOOKUP(B1490,Table_Respons_Loket[Count],Table_Respons_Loket[Daftar Nomor Hak]),"")</f>
        <v/>
      </c>
      <c r="E1490" s="17" t="str">
        <f t="array" ref="E1490">IFNA(_xlfn.XLOOKUP(B1490,Table_Respons_Loket[Count],Table_Respons_Loket[Time Stamp]),"")</f>
        <v/>
      </c>
      <c r="F1490" s="18" t="str">
        <f t="array" ref="F1490">IFNA(_xlfn.XLOOKUP(B1490,Table_Respons_Loket[Count],Table_Respons_Loket[Jenis Permohonan]),"")</f>
        <v/>
      </c>
      <c r="G1490" s="24"/>
      <c r="H1490" s="24"/>
      <c r="I1490" s="22" t="str">
        <f t="shared" si="7"/>
        <v/>
      </c>
      <c r="J1490" s="20" t="b">
        <v>0</v>
      </c>
      <c r="K1490" s="13" t="str">
        <f t="shared" si="8"/>
        <v/>
      </c>
    </row>
    <row r="1491" ht="22.5" customHeight="1">
      <c r="B1491" s="13">
        <f t="shared" si="3"/>
        <v>1485</v>
      </c>
      <c r="C1491" s="15" t="str">
        <f t="array" ref="C1491">IFNA(_xlfn.XLOOKUP(B1491,Table_Respons_Loket[Count],Table_Respons_Loket[Nomor Tiket]),"")</f>
        <v/>
      </c>
      <c r="D1491" s="15" t="str">
        <f t="array" ref="D1491">IFNA(_xlfn.XLOOKUP(B1491,Table_Respons_Loket[Count],Table_Respons_Loket[Daftar Nomor Hak]),"")</f>
        <v/>
      </c>
      <c r="E1491" s="17" t="str">
        <f t="array" ref="E1491">IFNA(_xlfn.XLOOKUP(B1491,Table_Respons_Loket[Count],Table_Respons_Loket[Time Stamp]),"")</f>
        <v/>
      </c>
      <c r="F1491" s="18" t="str">
        <f t="array" ref="F1491">IFNA(_xlfn.XLOOKUP(B1491,Table_Respons_Loket[Count],Table_Respons_Loket[Jenis Permohonan]),"")</f>
        <v/>
      </c>
      <c r="G1491" s="24"/>
      <c r="H1491" s="24"/>
      <c r="I1491" s="22" t="str">
        <f t="shared" si="7"/>
        <v/>
      </c>
      <c r="J1491" s="20" t="b">
        <v>0</v>
      </c>
      <c r="K1491" s="13" t="str">
        <f t="shared" si="8"/>
        <v/>
      </c>
    </row>
    <row r="1492" ht="22.5" customHeight="1">
      <c r="B1492" s="13">
        <f t="shared" si="3"/>
        <v>1486</v>
      </c>
      <c r="C1492" s="15" t="str">
        <f t="array" ref="C1492">IFNA(_xlfn.XLOOKUP(B1492,Table_Respons_Loket[Count],Table_Respons_Loket[Nomor Tiket]),"")</f>
        <v/>
      </c>
      <c r="D1492" s="15" t="str">
        <f t="array" ref="D1492">IFNA(_xlfn.XLOOKUP(B1492,Table_Respons_Loket[Count],Table_Respons_Loket[Daftar Nomor Hak]),"")</f>
        <v/>
      </c>
      <c r="E1492" s="17" t="str">
        <f t="array" ref="E1492">IFNA(_xlfn.XLOOKUP(B1492,Table_Respons_Loket[Count],Table_Respons_Loket[Time Stamp]),"")</f>
        <v/>
      </c>
      <c r="F1492" s="18" t="str">
        <f t="array" ref="F1492">IFNA(_xlfn.XLOOKUP(B1492,Table_Respons_Loket[Count],Table_Respons_Loket[Jenis Permohonan]),"")</f>
        <v/>
      </c>
      <c r="G1492" s="24"/>
      <c r="H1492" s="24"/>
      <c r="I1492" s="22" t="str">
        <f t="shared" si="7"/>
        <v/>
      </c>
      <c r="J1492" s="20" t="b">
        <v>0</v>
      </c>
      <c r="K1492" s="13" t="str">
        <f t="shared" si="8"/>
        <v/>
      </c>
    </row>
    <row r="1493" ht="22.5" customHeight="1">
      <c r="B1493" s="13">
        <f t="shared" si="3"/>
        <v>1487</v>
      </c>
      <c r="C1493" s="15" t="str">
        <f t="array" ref="C1493">IFNA(_xlfn.XLOOKUP(B1493,Table_Respons_Loket[Count],Table_Respons_Loket[Nomor Tiket]),"")</f>
        <v/>
      </c>
      <c r="D1493" s="15" t="str">
        <f t="array" ref="D1493">IFNA(_xlfn.XLOOKUP(B1493,Table_Respons_Loket[Count],Table_Respons_Loket[Daftar Nomor Hak]),"")</f>
        <v/>
      </c>
      <c r="E1493" s="17" t="str">
        <f t="array" ref="E1493">IFNA(_xlfn.XLOOKUP(B1493,Table_Respons_Loket[Count],Table_Respons_Loket[Time Stamp]),"")</f>
        <v/>
      </c>
      <c r="F1493" s="18" t="str">
        <f t="array" ref="F1493">IFNA(_xlfn.XLOOKUP(B1493,Table_Respons_Loket[Count],Table_Respons_Loket[Jenis Permohonan]),"")</f>
        <v/>
      </c>
      <c r="G1493" s="24"/>
      <c r="H1493" s="24"/>
      <c r="I1493" s="22" t="str">
        <f t="shared" si="7"/>
        <v/>
      </c>
      <c r="J1493" s="20" t="b">
        <v>0</v>
      </c>
      <c r="K1493" s="13" t="str">
        <f t="shared" si="8"/>
        <v/>
      </c>
    </row>
    <row r="1494" ht="22.5" customHeight="1">
      <c r="B1494" s="13">
        <f t="shared" si="3"/>
        <v>1488</v>
      </c>
      <c r="C1494" s="15" t="str">
        <f t="array" ref="C1494">IFNA(_xlfn.XLOOKUP(B1494,Table_Respons_Loket[Count],Table_Respons_Loket[Nomor Tiket]),"")</f>
        <v/>
      </c>
      <c r="D1494" s="15" t="str">
        <f t="array" ref="D1494">IFNA(_xlfn.XLOOKUP(B1494,Table_Respons_Loket[Count],Table_Respons_Loket[Daftar Nomor Hak]),"")</f>
        <v/>
      </c>
      <c r="E1494" s="17" t="str">
        <f t="array" ref="E1494">IFNA(_xlfn.XLOOKUP(B1494,Table_Respons_Loket[Count],Table_Respons_Loket[Time Stamp]),"")</f>
        <v/>
      </c>
      <c r="F1494" s="18" t="str">
        <f t="array" ref="F1494">IFNA(_xlfn.XLOOKUP(B1494,Table_Respons_Loket[Count],Table_Respons_Loket[Jenis Permohonan]),"")</f>
        <v/>
      </c>
      <c r="G1494" s="24"/>
      <c r="H1494" s="24"/>
      <c r="I1494" s="22" t="str">
        <f t="shared" si="7"/>
        <v/>
      </c>
      <c r="J1494" s="20" t="b">
        <v>0</v>
      </c>
      <c r="K1494" s="13" t="str">
        <f t="shared" si="8"/>
        <v/>
      </c>
    </row>
    <row r="1495" ht="22.5" customHeight="1">
      <c r="B1495" s="13">
        <f t="shared" si="3"/>
        <v>1489</v>
      </c>
      <c r="C1495" s="15" t="str">
        <f t="array" ref="C1495">IFNA(_xlfn.XLOOKUP(B1495,Table_Respons_Loket[Count],Table_Respons_Loket[Nomor Tiket]),"")</f>
        <v/>
      </c>
      <c r="D1495" s="15" t="str">
        <f t="array" ref="D1495">IFNA(_xlfn.XLOOKUP(B1495,Table_Respons_Loket[Count],Table_Respons_Loket[Daftar Nomor Hak]),"")</f>
        <v/>
      </c>
      <c r="E1495" s="17" t="str">
        <f t="array" ref="E1495">IFNA(_xlfn.XLOOKUP(B1495,Table_Respons_Loket[Count],Table_Respons_Loket[Time Stamp]),"")</f>
        <v/>
      </c>
      <c r="F1495" s="18" t="str">
        <f t="array" ref="F1495">IFNA(_xlfn.XLOOKUP(B1495,Table_Respons_Loket[Count],Table_Respons_Loket[Jenis Permohonan]),"")</f>
        <v/>
      </c>
      <c r="G1495" s="24"/>
      <c r="H1495" s="24"/>
      <c r="I1495" s="22" t="str">
        <f t="shared" si="7"/>
        <v/>
      </c>
      <c r="J1495" s="20" t="b">
        <v>0</v>
      </c>
      <c r="K1495" s="13" t="str">
        <f t="shared" si="8"/>
        <v/>
      </c>
    </row>
    <row r="1496" ht="22.5" customHeight="1">
      <c r="B1496" s="13">
        <f t="shared" si="3"/>
        <v>1490</v>
      </c>
      <c r="C1496" s="15" t="str">
        <f t="array" ref="C1496">IFNA(_xlfn.XLOOKUP(B1496,Table_Respons_Loket[Count],Table_Respons_Loket[Nomor Tiket]),"")</f>
        <v/>
      </c>
      <c r="D1496" s="15" t="str">
        <f t="array" ref="D1496">IFNA(_xlfn.XLOOKUP(B1496,Table_Respons_Loket[Count],Table_Respons_Loket[Daftar Nomor Hak]),"")</f>
        <v/>
      </c>
      <c r="E1496" s="17" t="str">
        <f t="array" ref="E1496">IFNA(_xlfn.XLOOKUP(B1496,Table_Respons_Loket[Count],Table_Respons_Loket[Time Stamp]),"")</f>
        <v/>
      </c>
      <c r="F1496" s="18" t="str">
        <f t="array" ref="F1496">IFNA(_xlfn.XLOOKUP(B1496,Table_Respons_Loket[Count],Table_Respons_Loket[Jenis Permohonan]),"")</f>
        <v/>
      </c>
      <c r="G1496" s="24"/>
      <c r="H1496" s="24"/>
      <c r="I1496" s="22" t="str">
        <f t="shared" si="7"/>
        <v/>
      </c>
      <c r="J1496" s="20" t="b">
        <v>0</v>
      </c>
      <c r="K1496" s="13" t="str">
        <f t="shared" si="8"/>
        <v/>
      </c>
    </row>
    <row r="1497" ht="22.5" customHeight="1">
      <c r="B1497" s="13">
        <f t="shared" si="3"/>
        <v>1491</v>
      </c>
      <c r="C1497" s="15" t="str">
        <f t="array" ref="C1497">IFNA(_xlfn.XLOOKUP(B1497,Table_Respons_Loket[Count],Table_Respons_Loket[Nomor Tiket]),"")</f>
        <v/>
      </c>
      <c r="D1497" s="15" t="str">
        <f t="array" ref="D1497">IFNA(_xlfn.XLOOKUP(B1497,Table_Respons_Loket[Count],Table_Respons_Loket[Daftar Nomor Hak]),"")</f>
        <v/>
      </c>
      <c r="E1497" s="17" t="str">
        <f t="array" ref="E1497">IFNA(_xlfn.XLOOKUP(B1497,Table_Respons_Loket[Count],Table_Respons_Loket[Time Stamp]),"")</f>
        <v/>
      </c>
      <c r="F1497" s="18" t="str">
        <f t="array" ref="F1497">IFNA(_xlfn.XLOOKUP(B1497,Table_Respons_Loket[Count],Table_Respons_Loket[Jenis Permohonan]),"")</f>
        <v/>
      </c>
      <c r="G1497" s="24"/>
      <c r="H1497" s="24"/>
      <c r="I1497" s="22" t="str">
        <f t="shared" si="7"/>
        <v/>
      </c>
      <c r="J1497" s="20" t="b">
        <v>0</v>
      </c>
      <c r="K1497" s="13" t="str">
        <f t="shared" si="8"/>
        <v/>
      </c>
    </row>
    <row r="1498" ht="22.5" customHeight="1">
      <c r="B1498" s="13">
        <f t="shared" si="3"/>
        <v>1492</v>
      </c>
      <c r="C1498" s="15" t="str">
        <f t="array" ref="C1498">IFNA(_xlfn.XLOOKUP(B1498,Table_Respons_Loket[Count],Table_Respons_Loket[Nomor Tiket]),"")</f>
        <v/>
      </c>
      <c r="D1498" s="15" t="str">
        <f t="array" ref="D1498">IFNA(_xlfn.XLOOKUP(B1498,Table_Respons_Loket[Count],Table_Respons_Loket[Daftar Nomor Hak]),"")</f>
        <v/>
      </c>
      <c r="E1498" s="17" t="str">
        <f t="array" ref="E1498">IFNA(_xlfn.XLOOKUP(B1498,Table_Respons_Loket[Count],Table_Respons_Loket[Time Stamp]),"")</f>
        <v/>
      </c>
      <c r="F1498" s="18" t="str">
        <f t="array" ref="F1498">IFNA(_xlfn.XLOOKUP(B1498,Table_Respons_Loket[Count],Table_Respons_Loket[Jenis Permohonan]),"")</f>
        <v/>
      </c>
      <c r="G1498" s="24"/>
      <c r="H1498" s="24"/>
      <c r="I1498" s="22" t="str">
        <f t="shared" si="7"/>
        <v/>
      </c>
      <c r="J1498" s="20" t="b">
        <v>0</v>
      </c>
      <c r="K1498" s="13" t="str">
        <f t="shared" si="8"/>
        <v/>
      </c>
    </row>
    <row r="1499" ht="22.5" customHeight="1">
      <c r="B1499" s="13">
        <f t="shared" si="3"/>
        <v>1493</v>
      </c>
      <c r="C1499" s="15" t="str">
        <f t="array" ref="C1499">IFNA(_xlfn.XLOOKUP(B1499,Table_Respons_Loket[Count],Table_Respons_Loket[Nomor Tiket]),"")</f>
        <v/>
      </c>
      <c r="D1499" s="15" t="str">
        <f t="array" ref="D1499">IFNA(_xlfn.XLOOKUP(B1499,Table_Respons_Loket[Count],Table_Respons_Loket[Daftar Nomor Hak]),"")</f>
        <v/>
      </c>
      <c r="E1499" s="17" t="str">
        <f t="array" ref="E1499">IFNA(_xlfn.XLOOKUP(B1499,Table_Respons_Loket[Count],Table_Respons_Loket[Time Stamp]),"")</f>
        <v/>
      </c>
      <c r="F1499" s="18" t="str">
        <f t="array" ref="F1499">IFNA(_xlfn.XLOOKUP(B1499,Table_Respons_Loket[Count],Table_Respons_Loket[Jenis Permohonan]),"")</f>
        <v/>
      </c>
      <c r="G1499" s="24"/>
      <c r="H1499" s="24"/>
      <c r="I1499" s="22" t="str">
        <f t="shared" si="7"/>
        <v/>
      </c>
      <c r="J1499" s="20" t="b">
        <v>0</v>
      </c>
      <c r="K1499" s="13" t="str">
        <f t="shared" si="8"/>
        <v/>
      </c>
    </row>
    <row r="1500" ht="22.5" customHeight="1">
      <c r="B1500" s="13">
        <f t="shared" si="3"/>
        <v>1494</v>
      </c>
      <c r="C1500" s="15" t="str">
        <f t="array" ref="C1500">IFNA(_xlfn.XLOOKUP(B1500,Table_Respons_Loket[Count],Table_Respons_Loket[Nomor Tiket]),"")</f>
        <v/>
      </c>
      <c r="D1500" s="15" t="str">
        <f t="array" ref="D1500">IFNA(_xlfn.XLOOKUP(B1500,Table_Respons_Loket[Count],Table_Respons_Loket[Daftar Nomor Hak]),"")</f>
        <v/>
      </c>
      <c r="E1500" s="17" t="str">
        <f t="array" ref="E1500">IFNA(_xlfn.XLOOKUP(B1500,Table_Respons_Loket[Count],Table_Respons_Loket[Time Stamp]),"")</f>
        <v/>
      </c>
      <c r="F1500" s="18" t="str">
        <f t="array" ref="F1500">IFNA(_xlfn.XLOOKUP(B1500,Table_Respons_Loket[Count],Table_Respons_Loket[Jenis Permohonan]),"")</f>
        <v/>
      </c>
      <c r="G1500" s="24"/>
      <c r="H1500" s="24"/>
      <c r="I1500" s="22" t="str">
        <f t="shared" si="7"/>
        <v/>
      </c>
      <c r="J1500" s="20" t="b">
        <v>0</v>
      </c>
      <c r="K1500" s="13" t="str">
        <f t="shared" si="8"/>
        <v/>
      </c>
    </row>
    <row r="1501" ht="22.5" customHeight="1">
      <c r="B1501" s="13">
        <f t="shared" si="3"/>
        <v>1495</v>
      </c>
      <c r="C1501" s="15" t="str">
        <f t="array" ref="C1501">IFNA(_xlfn.XLOOKUP(B1501,Table_Respons_Loket[Count],Table_Respons_Loket[Nomor Tiket]),"")</f>
        <v/>
      </c>
      <c r="D1501" s="15" t="str">
        <f t="array" ref="D1501">IFNA(_xlfn.XLOOKUP(B1501,Table_Respons_Loket[Count],Table_Respons_Loket[Daftar Nomor Hak]),"")</f>
        <v/>
      </c>
      <c r="E1501" s="17" t="str">
        <f t="array" ref="E1501">IFNA(_xlfn.XLOOKUP(B1501,Table_Respons_Loket[Count],Table_Respons_Loket[Time Stamp]),"")</f>
        <v/>
      </c>
      <c r="F1501" s="18" t="str">
        <f t="array" ref="F1501">IFNA(_xlfn.XLOOKUP(B1501,Table_Respons_Loket[Count],Table_Respons_Loket[Jenis Permohonan]),"")</f>
        <v/>
      </c>
      <c r="G1501" s="24"/>
      <c r="H1501" s="24"/>
      <c r="I1501" s="22" t="str">
        <f t="shared" si="7"/>
        <v/>
      </c>
      <c r="J1501" s="20" t="b">
        <v>0</v>
      </c>
      <c r="K1501" s="13" t="str">
        <f t="shared" si="8"/>
        <v/>
      </c>
    </row>
    <row r="1502" ht="22.5" customHeight="1">
      <c r="B1502" s="13">
        <f t="shared" si="3"/>
        <v>1496</v>
      </c>
      <c r="C1502" s="15" t="str">
        <f t="array" ref="C1502">IFNA(_xlfn.XLOOKUP(B1502,Table_Respons_Loket[Count],Table_Respons_Loket[Nomor Tiket]),"")</f>
        <v/>
      </c>
      <c r="D1502" s="15" t="str">
        <f t="array" ref="D1502">IFNA(_xlfn.XLOOKUP(B1502,Table_Respons_Loket[Count],Table_Respons_Loket[Daftar Nomor Hak]),"")</f>
        <v/>
      </c>
      <c r="E1502" s="17" t="str">
        <f t="array" ref="E1502">IFNA(_xlfn.XLOOKUP(B1502,Table_Respons_Loket[Count],Table_Respons_Loket[Time Stamp]),"")</f>
        <v/>
      </c>
      <c r="F1502" s="18" t="str">
        <f t="array" ref="F1502">IFNA(_xlfn.XLOOKUP(B1502,Table_Respons_Loket[Count],Table_Respons_Loket[Jenis Permohonan]),"")</f>
        <v/>
      </c>
      <c r="G1502" s="24"/>
      <c r="H1502" s="24"/>
      <c r="I1502" s="22" t="str">
        <f t="shared" si="7"/>
        <v/>
      </c>
      <c r="J1502" s="20" t="b">
        <v>0</v>
      </c>
      <c r="K1502" s="13" t="str">
        <f t="shared" si="8"/>
        <v/>
      </c>
    </row>
    <row r="1503" ht="22.5" customHeight="1">
      <c r="B1503" s="13">
        <f t="shared" si="3"/>
        <v>1497</v>
      </c>
      <c r="C1503" s="15" t="str">
        <f t="array" ref="C1503">IFNA(_xlfn.XLOOKUP(B1503,Table_Respons_Loket[Count],Table_Respons_Loket[Nomor Tiket]),"")</f>
        <v/>
      </c>
      <c r="D1503" s="15" t="str">
        <f t="array" ref="D1503">IFNA(_xlfn.XLOOKUP(B1503,Table_Respons_Loket[Count],Table_Respons_Loket[Daftar Nomor Hak]),"")</f>
        <v/>
      </c>
      <c r="E1503" s="17" t="str">
        <f t="array" ref="E1503">IFNA(_xlfn.XLOOKUP(B1503,Table_Respons_Loket[Count],Table_Respons_Loket[Time Stamp]),"")</f>
        <v/>
      </c>
      <c r="F1503" s="18" t="str">
        <f t="array" ref="F1503">IFNA(_xlfn.XLOOKUP(B1503,Table_Respons_Loket[Count],Table_Respons_Loket[Jenis Permohonan]),"")</f>
        <v/>
      </c>
      <c r="G1503" s="24"/>
      <c r="H1503" s="24"/>
      <c r="I1503" s="22" t="str">
        <f t="shared" si="7"/>
        <v/>
      </c>
      <c r="J1503" s="20" t="b">
        <v>0</v>
      </c>
      <c r="K1503" s="13" t="str">
        <f t="shared" si="8"/>
        <v/>
      </c>
    </row>
    <row r="1504" ht="22.5" customHeight="1">
      <c r="B1504" s="13">
        <f t="shared" si="3"/>
        <v>1498</v>
      </c>
      <c r="C1504" s="15" t="str">
        <f t="array" ref="C1504">IFNA(_xlfn.XLOOKUP(B1504,Table_Respons_Loket[Count],Table_Respons_Loket[Nomor Tiket]),"")</f>
        <v/>
      </c>
      <c r="D1504" s="15" t="str">
        <f t="array" ref="D1504">IFNA(_xlfn.XLOOKUP(B1504,Table_Respons_Loket[Count],Table_Respons_Loket[Daftar Nomor Hak]),"")</f>
        <v/>
      </c>
      <c r="E1504" s="17" t="str">
        <f t="array" ref="E1504">IFNA(_xlfn.XLOOKUP(B1504,Table_Respons_Loket[Count],Table_Respons_Loket[Time Stamp]),"")</f>
        <v/>
      </c>
      <c r="F1504" s="18" t="str">
        <f t="array" ref="F1504">IFNA(_xlfn.XLOOKUP(B1504,Table_Respons_Loket[Count],Table_Respons_Loket[Jenis Permohonan]),"")</f>
        <v/>
      </c>
      <c r="G1504" s="24"/>
      <c r="H1504" s="24"/>
      <c r="I1504" s="22" t="str">
        <f t="shared" si="7"/>
        <v/>
      </c>
      <c r="J1504" s="20" t="b">
        <v>0</v>
      </c>
      <c r="K1504" s="13" t="str">
        <f t="shared" si="8"/>
        <v/>
      </c>
    </row>
    <row r="1505" ht="22.5" customHeight="1">
      <c r="B1505" s="13">
        <f t="shared" si="3"/>
        <v>1499</v>
      </c>
      <c r="C1505" s="15" t="str">
        <f t="array" ref="C1505">IFNA(_xlfn.XLOOKUP(B1505,Table_Respons_Loket[Count],Table_Respons_Loket[Nomor Tiket]),"")</f>
        <v/>
      </c>
      <c r="D1505" s="15" t="str">
        <f t="array" ref="D1505">IFNA(_xlfn.XLOOKUP(B1505,Table_Respons_Loket[Count],Table_Respons_Loket[Daftar Nomor Hak]),"")</f>
        <v/>
      </c>
      <c r="E1505" s="17" t="str">
        <f t="array" ref="E1505">IFNA(_xlfn.XLOOKUP(B1505,Table_Respons_Loket[Count],Table_Respons_Loket[Time Stamp]),"")</f>
        <v/>
      </c>
      <c r="F1505" s="18" t="str">
        <f t="array" ref="F1505">IFNA(_xlfn.XLOOKUP(B1505,Table_Respons_Loket[Count],Table_Respons_Loket[Jenis Permohonan]),"")</f>
        <v/>
      </c>
      <c r="G1505" s="24"/>
      <c r="H1505" s="24"/>
      <c r="I1505" s="22" t="str">
        <f t="shared" si="7"/>
        <v/>
      </c>
      <c r="J1505" s="20" t="b">
        <v>0</v>
      </c>
      <c r="K1505" s="13" t="str">
        <f t="shared" si="8"/>
        <v/>
      </c>
    </row>
    <row r="1506" ht="22.5" customHeight="1">
      <c r="B1506" s="13">
        <f t="shared" si="3"/>
        <v>1500</v>
      </c>
      <c r="C1506" s="15" t="str">
        <f t="array" ref="C1506">IFNA(_xlfn.XLOOKUP(B1506,Table_Respons_Loket[Count],Table_Respons_Loket[Nomor Tiket]),"")</f>
        <v/>
      </c>
      <c r="D1506" s="15" t="str">
        <f t="array" ref="D1506">IFNA(_xlfn.XLOOKUP(B1506,Table_Respons_Loket[Count],Table_Respons_Loket[Daftar Nomor Hak]),"")</f>
        <v/>
      </c>
      <c r="E1506" s="17" t="str">
        <f t="array" ref="E1506">IFNA(_xlfn.XLOOKUP(B1506,Table_Respons_Loket[Count],Table_Respons_Loket[Time Stamp]),"")</f>
        <v/>
      </c>
      <c r="F1506" s="18" t="str">
        <f t="array" ref="F1506">IFNA(_xlfn.XLOOKUP(B1506,Table_Respons_Loket[Count],Table_Respons_Loket[Jenis Permohonan]),"")</f>
        <v/>
      </c>
      <c r="G1506" s="24"/>
      <c r="H1506" s="24"/>
      <c r="I1506" s="22" t="str">
        <f t="shared" si="7"/>
        <v/>
      </c>
      <c r="J1506" s="20" t="b">
        <v>0</v>
      </c>
      <c r="K1506" s="13" t="str">
        <f t="shared" si="8"/>
        <v/>
      </c>
    </row>
    <row r="1507" ht="22.5" customHeight="1">
      <c r="B1507" s="13">
        <f t="shared" si="3"/>
        <v>1501</v>
      </c>
      <c r="C1507" s="15" t="str">
        <f t="array" ref="C1507">IFNA(_xlfn.XLOOKUP(B1507,Table_Respons_Loket[Count],Table_Respons_Loket[Nomor Tiket]),"")</f>
        <v/>
      </c>
      <c r="D1507" s="15" t="str">
        <f t="array" ref="D1507">IFNA(_xlfn.XLOOKUP(B1507,Table_Respons_Loket[Count],Table_Respons_Loket[Daftar Nomor Hak]),"")</f>
        <v/>
      </c>
      <c r="E1507" s="17" t="str">
        <f t="array" ref="E1507">IFNA(_xlfn.XLOOKUP(B1507,Table_Respons_Loket[Count],Table_Respons_Loket[Time Stamp]),"")</f>
        <v/>
      </c>
      <c r="F1507" s="18" t="str">
        <f t="array" ref="F1507">IFNA(_xlfn.XLOOKUP(B1507,Table_Respons_Loket[Count],Table_Respons_Loket[Jenis Permohonan]),"")</f>
        <v/>
      </c>
      <c r="G1507" s="24"/>
      <c r="H1507" s="24"/>
      <c r="I1507" s="22" t="str">
        <f t="shared" si="7"/>
        <v/>
      </c>
      <c r="J1507" s="20" t="b">
        <v>0</v>
      </c>
      <c r="K1507" s="13" t="str">
        <f t="shared" si="8"/>
        <v/>
      </c>
    </row>
    <row r="1508" ht="22.5" customHeight="1">
      <c r="B1508" s="13">
        <f t="shared" si="3"/>
        <v>1502</v>
      </c>
      <c r="C1508" s="15" t="str">
        <f t="array" ref="C1508">IFNA(_xlfn.XLOOKUP(B1508,Table_Respons_Loket[Count],Table_Respons_Loket[Nomor Tiket]),"")</f>
        <v/>
      </c>
      <c r="D1508" s="15" t="str">
        <f t="array" ref="D1508">IFNA(_xlfn.XLOOKUP(B1508,Table_Respons_Loket[Count],Table_Respons_Loket[Daftar Nomor Hak]),"")</f>
        <v/>
      </c>
      <c r="E1508" s="17" t="str">
        <f t="array" ref="E1508">IFNA(_xlfn.XLOOKUP(B1508,Table_Respons_Loket[Count],Table_Respons_Loket[Time Stamp]),"")</f>
        <v/>
      </c>
      <c r="F1508" s="18" t="str">
        <f t="array" ref="F1508">IFNA(_xlfn.XLOOKUP(B1508,Table_Respons_Loket[Count],Table_Respons_Loket[Jenis Permohonan]),"")</f>
        <v/>
      </c>
      <c r="G1508" s="24"/>
      <c r="H1508" s="24"/>
      <c r="I1508" s="22" t="str">
        <f t="shared" si="7"/>
        <v/>
      </c>
      <c r="J1508" s="20" t="b">
        <v>0</v>
      </c>
      <c r="K1508" s="13" t="str">
        <f t="shared" si="8"/>
        <v/>
      </c>
    </row>
    <row r="1509" ht="22.5" customHeight="1">
      <c r="B1509" s="13">
        <f t="shared" si="3"/>
        <v>1503</v>
      </c>
      <c r="C1509" s="15" t="str">
        <f t="array" ref="C1509">IFNA(_xlfn.XLOOKUP(B1509,Table_Respons_Loket[Count],Table_Respons_Loket[Nomor Tiket]),"")</f>
        <v/>
      </c>
      <c r="D1509" s="15" t="str">
        <f t="array" ref="D1509">IFNA(_xlfn.XLOOKUP(B1509,Table_Respons_Loket[Count],Table_Respons_Loket[Daftar Nomor Hak]),"")</f>
        <v/>
      </c>
      <c r="E1509" s="17" t="str">
        <f t="array" ref="E1509">IFNA(_xlfn.XLOOKUP(B1509,Table_Respons_Loket[Count],Table_Respons_Loket[Time Stamp]),"")</f>
        <v/>
      </c>
      <c r="F1509" s="18" t="str">
        <f t="array" ref="F1509">IFNA(_xlfn.XLOOKUP(B1509,Table_Respons_Loket[Count],Table_Respons_Loket[Jenis Permohonan]),"")</f>
        <v/>
      </c>
      <c r="G1509" s="24"/>
      <c r="H1509" s="24"/>
      <c r="I1509" s="22" t="str">
        <f t="shared" si="7"/>
        <v/>
      </c>
      <c r="J1509" s="20" t="b">
        <v>0</v>
      </c>
      <c r="K1509" s="13" t="str">
        <f t="shared" si="8"/>
        <v/>
      </c>
    </row>
    <row r="1510" ht="22.5" customHeight="1">
      <c r="B1510" s="13">
        <f t="shared" si="3"/>
        <v>1504</v>
      </c>
      <c r="C1510" s="15" t="str">
        <f t="array" ref="C1510">IFNA(_xlfn.XLOOKUP(B1510,Table_Respons_Loket[Count],Table_Respons_Loket[Nomor Tiket]),"")</f>
        <v/>
      </c>
      <c r="D1510" s="15" t="str">
        <f t="array" ref="D1510">IFNA(_xlfn.XLOOKUP(B1510,Table_Respons_Loket[Count],Table_Respons_Loket[Daftar Nomor Hak]),"")</f>
        <v/>
      </c>
      <c r="E1510" s="17" t="str">
        <f t="array" ref="E1510">IFNA(_xlfn.XLOOKUP(B1510,Table_Respons_Loket[Count],Table_Respons_Loket[Time Stamp]),"")</f>
        <v/>
      </c>
      <c r="F1510" s="18" t="str">
        <f t="array" ref="F1510">IFNA(_xlfn.XLOOKUP(B1510,Table_Respons_Loket[Count],Table_Respons_Loket[Jenis Permohonan]),"")</f>
        <v/>
      </c>
      <c r="G1510" s="24"/>
      <c r="H1510" s="24"/>
      <c r="I1510" s="22" t="str">
        <f t="shared" si="7"/>
        <v/>
      </c>
      <c r="J1510" s="20" t="b">
        <v>0</v>
      </c>
      <c r="K1510" s="13" t="str">
        <f t="shared" si="8"/>
        <v/>
      </c>
    </row>
    <row r="1511" ht="22.5" customHeight="1">
      <c r="B1511" s="13">
        <f t="shared" si="3"/>
        <v>1505</v>
      </c>
      <c r="C1511" s="15" t="str">
        <f t="array" ref="C1511">IFNA(_xlfn.XLOOKUP(B1511,Table_Respons_Loket[Count],Table_Respons_Loket[Nomor Tiket]),"")</f>
        <v/>
      </c>
      <c r="D1511" s="15" t="str">
        <f t="array" ref="D1511">IFNA(_xlfn.XLOOKUP(B1511,Table_Respons_Loket[Count],Table_Respons_Loket[Daftar Nomor Hak]),"")</f>
        <v/>
      </c>
      <c r="E1511" s="17" t="str">
        <f t="array" ref="E1511">IFNA(_xlfn.XLOOKUP(B1511,Table_Respons_Loket[Count],Table_Respons_Loket[Time Stamp]),"")</f>
        <v/>
      </c>
      <c r="F1511" s="18" t="str">
        <f t="array" ref="F1511">IFNA(_xlfn.XLOOKUP(B1511,Table_Respons_Loket[Count],Table_Respons_Loket[Jenis Permohonan]),"")</f>
        <v/>
      </c>
      <c r="G1511" s="24"/>
      <c r="H1511" s="24"/>
      <c r="I1511" s="22" t="str">
        <f t="shared" si="7"/>
        <v/>
      </c>
      <c r="J1511" s="20" t="b">
        <v>0</v>
      </c>
      <c r="K1511" s="13" t="str">
        <f t="shared" si="8"/>
        <v/>
      </c>
    </row>
    <row r="1512" ht="22.5" customHeight="1">
      <c r="B1512" s="13">
        <f t="shared" si="3"/>
        <v>1506</v>
      </c>
      <c r="C1512" s="15" t="str">
        <f t="array" ref="C1512">IFNA(_xlfn.XLOOKUP(B1512,Table_Respons_Loket[Count],Table_Respons_Loket[Nomor Tiket]),"")</f>
        <v/>
      </c>
      <c r="D1512" s="15" t="str">
        <f t="array" ref="D1512">IFNA(_xlfn.XLOOKUP(B1512,Table_Respons_Loket[Count],Table_Respons_Loket[Daftar Nomor Hak]),"")</f>
        <v/>
      </c>
      <c r="E1512" s="17" t="str">
        <f t="array" ref="E1512">IFNA(_xlfn.XLOOKUP(B1512,Table_Respons_Loket[Count],Table_Respons_Loket[Time Stamp]),"")</f>
        <v/>
      </c>
      <c r="F1512" s="18" t="str">
        <f t="array" ref="F1512">IFNA(_xlfn.XLOOKUP(B1512,Table_Respons_Loket[Count],Table_Respons_Loket[Jenis Permohonan]),"")</f>
        <v/>
      </c>
      <c r="G1512" s="24"/>
      <c r="H1512" s="24"/>
      <c r="I1512" s="22" t="str">
        <f t="shared" si="7"/>
        <v/>
      </c>
      <c r="J1512" s="20" t="b">
        <v>0</v>
      </c>
      <c r="K1512" s="13" t="str">
        <f t="shared" si="8"/>
        <v/>
      </c>
    </row>
    <row r="1513" ht="22.5" customHeight="1">
      <c r="B1513" s="13">
        <f t="shared" si="3"/>
        <v>1507</v>
      </c>
      <c r="C1513" s="15" t="str">
        <f t="array" ref="C1513">IFNA(_xlfn.XLOOKUP(B1513,Table_Respons_Loket[Count],Table_Respons_Loket[Nomor Tiket]),"")</f>
        <v/>
      </c>
      <c r="D1513" s="15" t="str">
        <f t="array" ref="D1513">IFNA(_xlfn.XLOOKUP(B1513,Table_Respons_Loket[Count],Table_Respons_Loket[Daftar Nomor Hak]),"")</f>
        <v/>
      </c>
      <c r="E1513" s="17" t="str">
        <f t="array" ref="E1513">IFNA(_xlfn.XLOOKUP(B1513,Table_Respons_Loket[Count],Table_Respons_Loket[Time Stamp]),"")</f>
        <v/>
      </c>
      <c r="F1513" s="18" t="str">
        <f t="array" ref="F1513">IFNA(_xlfn.XLOOKUP(B1513,Table_Respons_Loket[Count],Table_Respons_Loket[Jenis Permohonan]),"")</f>
        <v/>
      </c>
      <c r="G1513" s="24"/>
      <c r="H1513" s="24"/>
      <c r="I1513" s="22" t="str">
        <f t="shared" si="7"/>
        <v/>
      </c>
      <c r="J1513" s="20" t="b">
        <v>0</v>
      </c>
      <c r="K1513" s="13" t="str">
        <f t="shared" si="8"/>
        <v/>
      </c>
    </row>
    <row r="1514" ht="22.5" customHeight="1">
      <c r="B1514" s="13">
        <f t="shared" si="3"/>
        <v>1508</v>
      </c>
      <c r="C1514" s="15" t="str">
        <f t="array" ref="C1514">IFNA(_xlfn.XLOOKUP(B1514,Table_Respons_Loket[Count],Table_Respons_Loket[Nomor Tiket]),"")</f>
        <v/>
      </c>
      <c r="D1514" s="15" t="str">
        <f t="array" ref="D1514">IFNA(_xlfn.XLOOKUP(B1514,Table_Respons_Loket[Count],Table_Respons_Loket[Daftar Nomor Hak]),"")</f>
        <v/>
      </c>
      <c r="E1514" s="17" t="str">
        <f t="array" ref="E1514">IFNA(_xlfn.XLOOKUP(B1514,Table_Respons_Loket[Count],Table_Respons_Loket[Time Stamp]),"")</f>
        <v/>
      </c>
      <c r="F1514" s="18" t="str">
        <f t="array" ref="F1514">IFNA(_xlfn.XLOOKUP(B1514,Table_Respons_Loket[Count],Table_Respons_Loket[Jenis Permohonan]),"")</f>
        <v/>
      </c>
      <c r="G1514" s="24"/>
      <c r="H1514" s="24"/>
      <c r="I1514" s="22" t="str">
        <f t="shared" si="7"/>
        <v/>
      </c>
      <c r="J1514" s="20" t="b">
        <v>0</v>
      </c>
      <c r="K1514" s="13" t="str">
        <f t="shared" si="8"/>
        <v/>
      </c>
    </row>
    <row r="1515" ht="22.5" customHeight="1">
      <c r="B1515" s="13">
        <f t="shared" si="3"/>
        <v>1509</v>
      </c>
      <c r="C1515" s="15" t="str">
        <f t="array" ref="C1515">IFNA(_xlfn.XLOOKUP(B1515,Table_Respons_Loket[Count],Table_Respons_Loket[Nomor Tiket]),"")</f>
        <v/>
      </c>
      <c r="D1515" s="15" t="str">
        <f t="array" ref="D1515">IFNA(_xlfn.XLOOKUP(B1515,Table_Respons_Loket[Count],Table_Respons_Loket[Daftar Nomor Hak]),"")</f>
        <v/>
      </c>
      <c r="E1515" s="17" t="str">
        <f t="array" ref="E1515">IFNA(_xlfn.XLOOKUP(B1515,Table_Respons_Loket[Count],Table_Respons_Loket[Time Stamp]),"")</f>
        <v/>
      </c>
      <c r="F1515" s="18" t="str">
        <f t="array" ref="F1515">IFNA(_xlfn.XLOOKUP(B1515,Table_Respons_Loket[Count],Table_Respons_Loket[Jenis Permohonan]),"")</f>
        <v/>
      </c>
      <c r="G1515" s="24"/>
      <c r="H1515" s="24"/>
      <c r="I1515" s="22" t="str">
        <f t="shared" si="7"/>
        <v/>
      </c>
      <c r="J1515" s="20" t="b">
        <v>0</v>
      </c>
      <c r="K1515" s="13" t="str">
        <f t="shared" si="8"/>
        <v/>
      </c>
    </row>
    <row r="1516" ht="22.5" customHeight="1">
      <c r="B1516" s="13">
        <f t="shared" si="3"/>
        <v>1510</v>
      </c>
      <c r="C1516" s="15" t="str">
        <f t="array" ref="C1516">IFNA(_xlfn.XLOOKUP(B1516,Table_Respons_Loket[Count],Table_Respons_Loket[Nomor Tiket]),"")</f>
        <v/>
      </c>
      <c r="D1516" s="15" t="str">
        <f t="array" ref="D1516">IFNA(_xlfn.XLOOKUP(B1516,Table_Respons_Loket[Count],Table_Respons_Loket[Daftar Nomor Hak]),"")</f>
        <v/>
      </c>
      <c r="E1516" s="17" t="str">
        <f t="array" ref="E1516">IFNA(_xlfn.XLOOKUP(B1516,Table_Respons_Loket[Count],Table_Respons_Loket[Time Stamp]),"")</f>
        <v/>
      </c>
      <c r="F1516" s="18" t="str">
        <f t="array" ref="F1516">IFNA(_xlfn.XLOOKUP(B1516,Table_Respons_Loket[Count],Table_Respons_Loket[Jenis Permohonan]),"")</f>
        <v/>
      </c>
      <c r="G1516" s="24"/>
      <c r="H1516" s="24"/>
      <c r="I1516" s="22" t="str">
        <f t="shared" si="7"/>
        <v/>
      </c>
      <c r="J1516" s="20" t="b">
        <v>0</v>
      </c>
      <c r="K1516" s="13" t="str">
        <f t="shared" si="8"/>
        <v/>
      </c>
    </row>
    <row r="1517" ht="22.5" customHeight="1">
      <c r="B1517" s="13">
        <f t="shared" si="3"/>
        <v>1511</v>
      </c>
      <c r="C1517" s="15" t="str">
        <f t="array" ref="C1517">IFNA(_xlfn.XLOOKUP(B1517,Table_Respons_Loket[Count],Table_Respons_Loket[Nomor Tiket]),"")</f>
        <v/>
      </c>
      <c r="D1517" s="15" t="str">
        <f t="array" ref="D1517">IFNA(_xlfn.XLOOKUP(B1517,Table_Respons_Loket[Count],Table_Respons_Loket[Daftar Nomor Hak]),"")</f>
        <v/>
      </c>
      <c r="E1517" s="17" t="str">
        <f t="array" ref="E1517">IFNA(_xlfn.XLOOKUP(B1517,Table_Respons_Loket[Count],Table_Respons_Loket[Time Stamp]),"")</f>
        <v/>
      </c>
      <c r="F1517" s="18" t="str">
        <f t="array" ref="F1517">IFNA(_xlfn.XLOOKUP(B1517,Table_Respons_Loket[Count],Table_Respons_Loket[Jenis Permohonan]),"")</f>
        <v/>
      </c>
      <c r="G1517" s="24"/>
      <c r="H1517" s="24"/>
      <c r="I1517" s="22" t="str">
        <f t="shared" si="7"/>
        <v/>
      </c>
      <c r="J1517" s="20" t="b">
        <v>0</v>
      </c>
      <c r="K1517" s="13" t="str">
        <f t="shared" si="8"/>
        <v/>
      </c>
    </row>
    <row r="1518" ht="22.5" customHeight="1">
      <c r="B1518" s="13">
        <f t="shared" si="3"/>
        <v>1512</v>
      </c>
      <c r="C1518" s="15" t="str">
        <f t="array" ref="C1518">IFNA(_xlfn.XLOOKUP(B1518,Table_Respons_Loket[Count],Table_Respons_Loket[Nomor Tiket]),"")</f>
        <v/>
      </c>
      <c r="D1518" s="15" t="str">
        <f t="array" ref="D1518">IFNA(_xlfn.XLOOKUP(B1518,Table_Respons_Loket[Count],Table_Respons_Loket[Daftar Nomor Hak]),"")</f>
        <v/>
      </c>
      <c r="E1518" s="17" t="str">
        <f t="array" ref="E1518">IFNA(_xlfn.XLOOKUP(B1518,Table_Respons_Loket[Count],Table_Respons_Loket[Time Stamp]),"")</f>
        <v/>
      </c>
      <c r="F1518" s="18" t="str">
        <f t="array" ref="F1518">IFNA(_xlfn.XLOOKUP(B1518,Table_Respons_Loket[Count],Table_Respons_Loket[Jenis Permohonan]),"")</f>
        <v/>
      </c>
      <c r="G1518" s="24"/>
      <c r="H1518" s="24"/>
      <c r="I1518" s="22" t="str">
        <f t="shared" si="7"/>
        <v/>
      </c>
      <c r="J1518" s="20" t="b">
        <v>0</v>
      </c>
      <c r="K1518" s="13" t="str">
        <f t="shared" si="8"/>
        <v/>
      </c>
    </row>
    <row r="1519" ht="22.5" customHeight="1">
      <c r="B1519" s="13">
        <f t="shared" si="3"/>
        <v>1513</v>
      </c>
      <c r="C1519" s="15" t="str">
        <f t="array" ref="C1519">IFNA(_xlfn.XLOOKUP(B1519,Table_Respons_Loket[Count],Table_Respons_Loket[Nomor Tiket]),"")</f>
        <v/>
      </c>
      <c r="D1519" s="15" t="str">
        <f t="array" ref="D1519">IFNA(_xlfn.XLOOKUP(B1519,Table_Respons_Loket[Count],Table_Respons_Loket[Daftar Nomor Hak]),"")</f>
        <v/>
      </c>
      <c r="E1519" s="17" t="str">
        <f t="array" ref="E1519">IFNA(_xlfn.XLOOKUP(B1519,Table_Respons_Loket[Count],Table_Respons_Loket[Time Stamp]),"")</f>
        <v/>
      </c>
      <c r="F1519" s="18" t="str">
        <f t="array" ref="F1519">IFNA(_xlfn.XLOOKUP(B1519,Table_Respons_Loket[Count],Table_Respons_Loket[Jenis Permohonan]),"")</f>
        <v/>
      </c>
      <c r="G1519" s="24"/>
      <c r="H1519" s="24"/>
      <c r="I1519" s="22" t="str">
        <f t="shared" si="7"/>
        <v/>
      </c>
      <c r="J1519" s="20" t="b">
        <v>0</v>
      </c>
      <c r="K1519" s="13" t="str">
        <f t="shared" si="8"/>
        <v/>
      </c>
    </row>
    <row r="1520" ht="22.5" customHeight="1">
      <c r="B1520" s="13">
        <f t="shared" si="3"/>
        <v>1514</v>
      </c>
      <c r="C1520" s="15" t="str">
        <f t="array" ref="C1520">IFNA(_xlfn.XLOOKUP(B1520,Table_Respons_Loket[Count],Table_Respons_Loket[Nomor Tiket]),"")</f>
        <v/>
      </c>
      <c r="D1520" s="15" t="str">
        <f t="array" ref="D1520">IFNA(_xlfn.XLOOKUP(B1520,Table_Respons_Loket[Count],Table_Respons_Loket[Daftar Nomor Hak]),"")</f>
        <v/>
      </c>
      <c r="E1520" s="17" t="str">
        <f t="array" ref="E1520">IFNA(_xlfn.XLOOKUP(B1520,Table_Respons_Loket[Count],Table_Respons_Loket[Time Stamp]),"")</f>
        <v/>
      </c>
      <c r="F1520" s="18" t="str">
        <f t="array" ref="F1520">IFNA(_xlfn.XLOOKUP(B1520,Table_Respons_Loket[Count],Table_Respons_Loket[Jenis Permohonan]),"")</f>
        <v/>
      </c>
      <c r="G1520" s="24"/>
      <c r="H1520" s="24"/>
      <c r="I1520" s="22" t="str">
        <f t="shared" si="7"/>
        <v/>
      </c>
      <c r="J1520" s="20" t="b">
        <v>0</v>
      </c>
      <c r="K1520" s="13" t="str">
        <f t="shared" si="8"/>
        <v/>
      </c>
    </row>
    <row r="1521" ht="22.5" customHeight="1">
      <c r="B1521" s="13">
        <f t="shared" si="3"/>
        <v>1515</v>
      </c>
      <c r="C1521" s="15" t="str">
        <f t="array" ref="C1521">IFNA(_xlfn.XLOOKUP(B1521,Table_Respons_Loket[Count],Table_Respons_Loket[Nomor Tiket]),"")</f>
        <v/>
      </c>
      <c r="D1521" s="15" t="str">
        <f t="array" ref="D1521">IFNA(_xlfn.XLOOKUP(B1521,Table_Respons_Loket[Count],Table_Respons_Loket[Daftar Nomor Hak]),"")</f>
        <v/>
      </c>
      <c r="E1521" s="17" t="str">
        <f t="array" ref="E1521">IFNA(_xlfn.XLOOKUP(B1521,Table_Respons_Loket[Count],Table_Respons_Loket[Time Stamp]),"")</f>
        <v/>
      </c>
      <c r="F1521" s="18" t="str">
        <f t="array" ref="F1521">IFNA(_xlfn.XLOOKUP(B1521,Table_Respons_Loket[Count],Table_Respons_Loket[Jenis Permohonan]),"")</f>
        <v/>
      </c>
      <c r="G1521" s="24"/>
      <c r="H1521" s="24"/>
      <c r="I1521" s="22" t="str">
        <f t="shared" si="7"/>
        <v/>
      </c>
      <c r="J1521" s="20" t="b">
        <v>0</v>
      </c>
      <c r="K1521" s="13" t="str">
        <f t="shared" si="8"/>
        <v/>
      </c>
    </row>
    <row r="1522" ht="22.5" customHeight="1">
      <c r="B1522" s="13">
        <f t="shared" si="3"/>
        <v>1516</v>
      </c>
      <c r="C1522" s="15" t="str">
        <f t="array" ref="C1522">IFNA(_xlfn.XLOOKUP(B1522,Table_Respons_Loket[Count],Table_Respons_Loket[Nomor Tiket]),"")</f>
        <v/>
      </c>
      <c r="D1522" s="15" t="str">
        <f t="array" ref="D1522">IFNA(_xlfn.XLOOKUP(B1522,Table_Respons_Loket[Count],Table_Respons_Loket[Daftar Nomor Hak]),"")</f>
        <v/>
      </c>
      <c r="E1522" s="17" t="str">
        <f t="array" ref="E1522">IFNA(_xlfn.XLOOKUP(B1522,Table_Respons_Loket[Count],Table_Respons_Loket[Time Stamp]),"")</f>
        <v/>
      </c>
      <c r="F1522" s="18" t="str">
        <f t="array" ref="F1522">IFNA(_xlfn.XLOOKUP(B1522,Table_Respons_Loket[Count],Table_Respons_Loket[Jenis Permohonan]),"")</f>
        <v/>
      </c>
      <c r="G1522" s="24"/>
      <c r="H1522" s="24"/>
      <c r="I1522" s="22" t="str">
        <f t="shared" si="7"/>
        <v/>
      </c>
      <c r="J1522" s="20" t="b">
        <v>0</v>
      </c>
      <c r="K1522" s="13" t="str">
        <f t="shared" si="8"/>
        <v/>
      </c>
    </row>
    <row r="1523" ht="22.5" customHeight="1">
      <c r="B1523" s="13">
        <f t="shared" si="3"/>
        <v>1517</v>
      </c>
      <c r="C1523" s="15" t="str">
        <f t="array" ref="C1523">IFNA(_xlfn.XLOOKUP(B1523,Table_Respons_Loket[Count],Table_Respons_Loket[Nomor Tiket]),"")</f>
        <v/>
      </c>
      <c r="D1523" s="15" t="str">
        <f t="array" ref="D1523">IFNA(_xlfn.XLOOKUP(B1523,Table_Respons_Loket[Count],Table_Respons_Loket[Daftar Nomor Hak]),"")</f>
        <v/>
      </c>
      <c r="E1523" s="17" t="str">
        <f t="array" ref="E1523">IFNA(_xlfn.XLOOKUP(B1523,Table_Respons_Loket[Count],Table_Respons_Loket[Time Stamp]),"")</f>
        <v/>
      </c>
      <c r="F1523" s="18" t="str">
        <f t="array" ref="F1523">IFNA(_xlfn.XLOOKUP(B1523,Table_Respons_Loket[Count],Table_Respons_Loket[Jenis Permohonan]),"")</f>
        <v/>
      </c>
      <c r="G1523" s="24"/>
      <c r="H1523" s="24"/>
      <c r="I1523" s="22" t="str">
        <f t="shared" si="7"/>
        <v/>
      </c>
      <c r="J1523" s="20" t="b">
        <v>0</v>
      </c>
      <c r="K1523" s="13" t="str">
        <f t="shared" si="8"/>
        <v/>
      </c>
    </row>
    <row r="1524" ht="22.5" customHeight="1">
      <c r="B1524" s="13">
        <f t="shared" si="3"/>
        <v>1518</v>
      </c>
      <c r="C1524" s="15" t="str">
        <f t="array" ref="C1524">IFNA(_xlfn.XLOOKUP(B1524,Table_Respons_Loket[Count],Table_Respons_Loket[Nomor Tiket]),"")</f>
        <v/>
      </c>
      <c r="D1524" s="15" t="str">
        <f t="array" ref="D1524">IFNA(_xlfn.XLOOKUP(B1524,Table_Respons_Loket[Count],Table_Respons_Loket[Daftar Nomor Hak]),"")</f>
        <v/>
      </c>
      <c r="E1524" s="17" t="str">
        <f t="array" ref="E1524">IFNA(_xlfn.XLOOKUP(B1524,Table_Respons_Loket[Count],Table_Respons_Loket[Time Stamp]),"")</f>
        <v/>
      </c>
      <c r="F1524" s="18" t="str">
        <f t="array" ref="F1524">IFNA(_xlfn.XLOOKUP(B1524,Table_Respons_Loket[Count],Table_Respons_Loket[Jenis Permohonan]),"")</f>
        <v/>
      </c>
      <c r="G1524" s="24"/>
      <c r="H1524" s="24"/>
      <c r="I1524" s="22" t="str">
        <f t="shared" si="7"/>
        <v/>
      </c>
      <c r="J1524" s="20" t="b">
        <v>0</v>
      </c>
      <c r="K1524" s="13" t="str">
        <f t="shared" si="8"/>
        <v/>
      </c>
    </row>
    <row r="1525" ht="22.5" customHeight="1">
      <c r="B1525" s="13">
        <f t="shared" si="3"/>
        <v>1519</v>
      </c>
      <c r="C1525" s="15" t="str">
        <f t="array" ref="C1525">IFNA(_xlfn.XLOOKUP(B1525,Table_Respons_Loket[Count],Table_Respons_Loket[Nomor Tiket]),"")</f>
        <v/>
      </c>
      <c r="D1525" s="15" t="str">
        <f t="array" ref="D1525">IFNA(_xlfn.XLOOKUP(B1525,Table_Respons_Loket[Count],Table_Respons_Loket[Daftar Nomor Hak]),"")</f>
        <v/>
      </c>
      <c r="E1525" s="17" t="str">
        <f t="array" ref="E1525">IFNA(_xlfn.XLOOKUP(B1525,Table_Respons_Loket[Count],Table_Respons_Loket[Time Stamp]),"")</f>
        <v/>
      </c>
      <c r="F1525" s="18" t="str">
        <f t="array" ref="F1525">IFNA(_xlfn.XLOOKUP(B1525,Table_Respons_Loket[Count],Table_Respons_Loket[Jenis Permohonan]),"")</f>
        <v/>
      </c>
      <c r="G1525" s="24"/>
      <c r="H1525" s="24"/>
      <c r="I1525" s="22" t="str">
        <f t="shared" si="7"/>
        <v/>
      </c>
      <c r="J1525" s="20" t="b">
        <v>0</v>
      </c>
      <c r="K1525" s="13" t="str">
        <f t="shared" si="8"/>
        <v/>
      </c>
    </row>
    <row r="1526" ht="22.5" customHeight="1">
      <c r="B1526" s="13">
        <f t="shared" si="3"/>
        <v>1520</v>
      </c>
      <c r="C1526" s="15" t="str">
        <f t="array" ref="C1526">IFNA(_xlfn.XLOOKUP(B1526,Table_Respons_Loket[Count],Table_Respons_Loket[Nomor Tiket]),"")</f>
        <v/>
      </c>
      <c r="D1526" s="15" t="str">
        <f t="array" ref="D1526">IFNA(_xlfn.XLOOKUP(B1526,Table_Respons_Loket[Count],Table_Respons_Loket[Daftar Nomor Hak]),"")</f>
        <v/>
      </c>
      <c r="E1526" s="17" t="str">
        <f t="array" ref="E1526">IFNA(_xlfn.XLOOKUP(B1526,Table_Respons_Loket[Count],Table_Respons_Loket[Time Stamp]),"")</f>
        <v/>
      </c>
      <c r="F1526" s="18" t="str">
        <f t="array" ref="F1526">IFNA(_xlfn.XLOOKUP(B1526,Table_Respons_Loket[Count],Table_Respons_Loket[Jenis Permohonan]),"")</f>
        <v/>
      </c>
      <c r="G1526" s="24"/>
      <c r="H1526" s="24"/>
      <c r="I1526" s="22" t="str">
        <f t="shared" si="7"/>
        <v/>
      </c>
      <c r="J1526" s="20" t="b">
        <v>0</v>
      </c>
      <c r="K1526" s="13" t="str">
        <f t="shared" si="8"/>
        <v/>
      </c>
    </row>
    <row r="1527" ht="22.5" customHeight="1">
      <c r="B1527" s="13">
        <f t="shared" si="3"/>
        <v>1521</v>
      </c>
      <c r="C1527" s="15" t="str">
        <f t="array" ref="C1527">IFNA(_xlfn.XLOOKUP(B1527,Table_Respons_Loket[Count],Table_Respons_Loket[Nomor Tiket]),"")</f>
        <v/>
      </c>
      <c r="D1527" s="15" t="str">
        <f t="array" ref="D1527">IFNA(_xlfn.XLOOKUP(B1527,Table_Respons_Loket[Count],Table_Respons_Loket[Daftar Nomor Hak]),"")</f>
        <v/>
      </c>
      <c r="E1527" s="17" t="str">
        <f t="array" ref="E1527">IFNA(_xlfn.XLOOKUP(B1527,Table_Respons_Loket[Count],Table_Respons_Loket[Time Stamp]),"")</f>
        <v/>
      </c>
      <c r="F1527" s="18" t="str">
        <f t="array" ref="F1527">IFNA(_xlfn.XLOOKUP(B1527,Table_Respons_Loket[Count],Table_Respons_Loket[Jenis Permohonan]),"")</f>
        <v/>
      </c>
      <c r="G1527" s="24"/>
      <c r="H1527" s="24"/>
      <c r="I1527" s="22" t="str">
        <f t="shared" si="7"/>
        <v/>
      </c>
      <c r="J1527" s="20" t="b">
        <v>0</v>
      </c>
      <c r="K1527" s="13" t="str">
        <f t="shared" si="8"/>
        <v/>
      </c>
    </row>
    <row r="1528" ht="22.5" customHeight="1">
      <c r="B1528" s="13">
        <f t="shared" si="3"/>
        <v>1522</v>
      </c>
      <c r="C1528" s="15" t="str">
        <f t="array" ref="C1528">IFNA(_xlfn.XLOOKUP(B1528,Table_Respons_Loket[Count],Table_Respons_Loket[Nomor Tiket]),"")</f>
        <v/>
      </c>
      <c r="D1528" s="15" t="str">
        <f t="array" ref="D1528">IFNA(_xlfn.XLOOKUP(B1528,Table_Respons_Loket[Count],Table_Respons_Loket[Daftar Nomor Hak]),"")</f>
        <v/>
      </c>
      <c r="E1528" s="17" t="str">
        <f t="array" ref="E1528">IFNA(_xlfn.XLOOKUP(B1528,Table_Respons_Loket[Count],Table_Respons_Loket[Time Stamp]),"")</f>
        <v/>
      </c>
      <c r="F1528" s="18" t="str">
        <f t="array" ref="F1528">IFNA(_xlfn.XLOOKUP(B1528,Table_Respons_Loket[Count],Table_Respons_Loket[Jenis Permohonan]),"")</f>
        <v/>
      </c>
      <c r="G1528" s="24"/>
      <c r="H1528" s="24"/>
      <c r="I1528" s="22" t="str">
        <f t="shared" si="7"/>
        <v/>
      </c>
      <c r="J1528" s="20" t="b">
        <v>0</v>
      </c>
      <c r="K1528" s="13" t="str">
        <f t="shared" si="8"/>
        <v/>
      </c>
    </row>
    <row r="1529" ht="22.5" customHeight="1">
      <c r="B1529" s="13">
        <f t="shared" si="3"/>
        <v>1523</v>
      </c>
      <c r="C1529" s="15" t="str">
        <f t="array" ref="C1529">IFNA(_xlfn.XLOOKUP(B1529,Table_Respons_Loket[Count],Table_Respons_Loket[Nomor Tiket]),"")</f>
        <v/>
      </c>
      <c r="D1529" s="15" t="str">
        <f t="array" ref="D1529">IFNA(_xlfn.XLOOKUP(B1529,Table_Respons_Loket[Count],Table_Respons_Loket[Daftar Nomor Hak]),"")</f>
        <v/>
      </c>
      <c r="E1529" s="17" t="str">
        <f t="array" ref="E1529">IFNA(_xlfn.XLOOKUP(B1529,Table_Respons_Loket[Count],Table_Respons_Loket[Time Stamp]),"")</f>
        <v/>
      </c>
      <c r="F1529" s="18" t="str">
        <f t="array" ref="F1529">IFNA(_xlfn.XLOOKUP(B1529,Table_Respons_Loket[Count],Table_Respons_Loket[Jenis Permohonan]),"")</f>
        <v/>
      </c>
      <c r="G1529" s="24"/>
      <c r="H1529" s="24"/>
      <c r="I1529" s="22" t="str">
        <f t="shared" si="7"/>
        <v/>
      </c>
      <c r="J1529" s="20" t="b">
        <v>0</v>
      </c>
      <c r="K1529" s="13" t="str">
        <f t="shared" si="8"/>
        <v/>
      </c>
    </row>
    <row r="1530" ht="22.5" customHeight="1">
      <c r="B1530" s="13">
        <f t="shared" si="3"/>
        <v>1524</v>
      </c>
      <c r="C1530" s="15" t="str">
        <f t="array" ref="C1530">IFNA(_xlfn.XLOOKUP(B1530,Table_Respons_Loket[Count],Table_Respons_Loket[Nomor Tiket]),"")</f>
        <v/>
      </c>
      <c r="D1530" s="15" t="str">
        <f t="array" ref="D1530">IFNA(_xlfn.XLOOKUP(B1530,Table_Respons_Loket[Count],Table_Respons_Loket[Daftar Nomor Hak]),"")</f>
        <v/>
      </c>
      <c r="E1530" s="17" t="str">
        <f t="array" ref="E1530">IFNA(_xlfn.XLOOKUP(B1530,Table_Respons_Loket[Count],Table_Respons_Loket[Time Stamp]),"")</f>
        <v/>
      </c>
      <c r="F1530" s="18" t="str">
        <f t="array" ref="F1530">IFNA(_xlfn.XLOOKUP(B1530,Table_Respons_Loket[Count],Table_Respons_Loket[Jenis Permohonan]),"")</f>
        <v/>
      </c>
      <c r="G1530" s="24"/>
      <c r="H1530" s="24"/>
      <c r="I1530" s="22" t="str">
        <f t="shared" si="7"/>
        <v/>
      </c>
      <c r="J1530" s="20" t="b">
        <v>0</v>
      </c>
      <c r="K1530" s="13" t="str">
        <f t="shared" si="8"/>
        <v/>
      </c>
    </row>
    <row r="1531" ht="22.5" customHeight="1">
      <c r="B1531" s="13">
        <f t="shared" si="3"/>
        <v>1525</v>
      </c>
      <c r="C1531" s="15" t="str">
        <f t="array" ref="C1531">IFNA(_xlfn.XLOOKUP(B1531,Table_Respons_Loket[Count],Table_Respons_Loket[Nomor Tiket]),"")</f>
        <v/>
      </c>
      <c r="D1531" s="15" t="str">
        <f t="array" ref="D1531">IFNA(_xlfn.XLOOKUP(B1531,Table_Respons_Loket[Count],Table_Respons_Loket[Daftar Nomor Hak]),"")</f>
        <v/>
      </c>
      <c r="E1531" s="17" t="str">
        <f t="array" ref="E1531">IFNA(_xlfn.XLOOKUP(B1531,Table_Respons_Loket[Count],Table_Respons_Loket[Time Stamp]),"")</f>
        <v/>
      </c>
      <c r="F1531" s="18" t="str">
        <f t="array" ref="F1531">IFNA(_xlfn.XLOOKUP(B1531,Table_Respons_Loket[Count],Table_Respons_Loket[Jenis Permohonan]),"")</f>
        <v/>
      </c>
      <c r="G1531" s="24"/>
      <c r="H1531" s="24"/>
      <c r="I1531" s="22" t="str">
        <f t="shared" si="7"/>
        <v/>
      </c>
      <c r="J1531" s="20" t="b">
        <v>0</v>
      </c>
      <c r="K1531" s="13" t="str">
        <f t="shared" si="8"/>
        <v/>
      </c>
    </row>
    <row r="1532" ht="22.5" customHeight="1">
      <c r="B1532" s="13">
        <f t="shared" si="3"/>
        <v>1526</v>
      </c>
      <c r="C1532" s="15" t="str">
        <f t="array" ref="C1532">IFNA(_xlfn.XLOOKUP(B1532,Table_Respons_Loket[Count],Table_Respons_Loket[Nomor Tiket]),"")</f>
        <v/>
      </c>
      <c r="D1532" s="15" t="str">
        <f t="array" ref="D1532">IFNA(_xlfn.XLOOKUP(B1532,Table_Respons_Loket[Count],Table_Respons_Loket[Daftar Nomor Hak]),"")</f>
        <v/>
      </c>
      <c r="E1532" s="17" t="str">
        <f t="array" ref="E1532">IFNA(_xlfn.XLOOKUP(B1532,Table_Respons_Loket[Count],Table_Respons_Loket[Time Stamp]),"")</f>
        <v/>
      </c>
      <c r="F1532" s="18" t="str">
        <f t="array" ref="F1532">IFNA(_xlfn.XLOOKUP(B1532,Table_Respons_Loket[Count],Table_Respons_Loket[Jenis Permohonan]),"")</f>
        <v/>
      </c>
      <c r="G1532" s="24"/>
      <c r="H1532" s="24"/>
      <c r="I1532" s="22" t="str">
        <f t="shared" si="7"/>
        <v/>
      </c>
      <c r="J1532" s="20" t="b">
        <v>0</v>
      </c>
      <c r="K1532" s="13" t="str">
        <f t="shared" si="8"/>
        <v/>
      </c>
    </row>
    <row r="1533" ht="22.5" customHeight="1">
      <c r="B1533" s="13">
        <f t="shared" si="3"/>
        <v>1527</v>
      </c>
      <c r="C1533" s="15" t="str">
        <f t="array" ref="C1533">IFNA(_xlfn.XLOOKUP(B1533,Table_Respons_Loket[Count],Table_Respons_Loket[Nomor Tiket]),"")</f>
        <v/>
      </c>
      <c r="D1533" s="15" t="str">
        <f t="array" ref="D1533">IFNA(_xlfn.XLOOKUP(B1533,Table_Respons_Loket[Count],Table_Respons_Loket[Daftar Nomor Hak]),"")</f>
        <v/>
      </c>
      <c r="E1533" s="17" t="str">
        <f t="array" ref="E1533">IFNA(_xlfn.XLOOKUP(B1533,Table_Respons_Loket[Count],Table_Respons_Loket[Time Stamp]),"")</f>
        <v/>
      </c>
      <c r="F1533" s="18" t="str">
        <f t="array" ref="F1533">IFNA(_xlfn.XLOOKUP(B1533,Table_Respons_Loket[Count],Table_Respons_Loket[Jenis Permohonan]),"")</f>
        <v/>
      </c>
      <c r="G1533" s="24"/>
      <c r="H1533" s="24"/>
      <c r="I1533" s="22" t="str">
        <f t="shared" si="7"/>
        <v/>
      </c>
      <c r="J1533" s="20" t="b">
        <v>0</v>
      </c>
      <c r="K1533" s="13" t="str">
        <f t="shared" si="8"/>
        <v/>
      </c>
    </row>
    <row r="1534" ht="22.5" customHeight="1">
      <c r="B1534" s="13">
        <f t="shared" si="3"/>
        <v>1528</v>
      </c>
      <c r="C1534" s="15" t="str">
        <f t="array" ref="C1534">IFNA(_xlfn.XLOOKUP(B1534,Table_Respons_Loket[Count],Table_Respons_Loket[Nomor Tiket]),"")</f>
        <v/>
      </c>
      <c r="D1534" s="15" t="str">
        <f t="array" ref="D1534">IFNA(_xlfn.XLOOKUP(B1534,Table_Respons_Loket[Count],Table_Respons_Loket[Daftar Nomor Hak]),"")</f>
        <v/>
      </c>
      <c r="E1534" s="17" t="str">
        <f t="array" ref="E1534">IFNA(_xlfn.XLOOKUP(B1534,Table_Respons_Loket[Count],Table_Respons_Loket[Time Stamp]),"")</f>
        <v/>
      </c>
      <c r="F1534" s="18" t="str">
        <f t="array" ref="F1534">IFNA(_xlfn.XLOOKUP(B1534,Table_Respons_Loket[Count],Table_Respons_Loket[Jenis Permohonan]),"")</f>
        <v/>
      </c>
      <c r="G1534" s="24"/>
      <c r="H1534" s="24"/>
      <c r="I1534" s="22" t="str">
        <f t="shared" si="7"/>
        <v/>
      </c>
      <c r="J1534" s="20" t="b">
        <v>0</v>
      </c>
      <c r="K1534" s="13" t="str">
        <f t="shared" si="8"/>
        <v/>
      </c>
    </row>
    <row r="1535" ht="22.5" customHeight="1">
      <c r="B1535" s="13">
        <f t="shared" si="3"/>
        <v>1529</v>
      </c>
      <c r="C1535" s="15" t="str">
        <f t="array" ref="C1535">IFNA(_xlfn.XLOOKUP(B1535,Table_Respons_Loket[Count],Table_Respons_Loket[Nomor Tiket]),"")</f>
        <v/>
      </c>
      <c r="D1535" s="15" t="str">
        <f t="array" ref="D1535">IFNA(_xlfn.XLOOKUP(B1535,Table_Respons_Loket[Count],Table_Respons_Loket[Daftar Nomor Hak]),"")</f>
        <v/>
      </c>
      <c r="E1535" s="17" t="str">
        <f t="array" ref="E1535">IFNA(_xlfn.XLOOKUP(B1535,Table_Respons_Loket[Count],Table_Respons_Loket[Time Stamp]),"")</f>
        <v/>
      </c>
      <c r="F1535" s="18" t="str">
        <f t="array" ref="F1535">IFNA(_xlfn.XLOOKUP(B1535,Table_Respons_Loket[Count],Table_Respons_Loket[Jenis Permohonan]),"")</f>
        <v/>
      </c>
      <c r="G1535" s="24"/>
      <c r="H1535" s="24"/>
      <c r="I1535" s="22" t="str">
        <f t="shared" si="7"/>
        <v/>
      </c>
      <c r="J1535" s="20" t="b">
        <v>0</v>
      </c>
      <c r="K1535" s="13" t="str">
        <f t="shared" si="8"/>
        <v/>
      </c>
    </row>
    <row r="1536" ht="22.5" customHeight="1">
      <c r="B1536" s="13">
        <f t="shared" si="3"/>
        <v>1530</v>
      </c>
      <c r="C1536" s="15" t="str">
        <f t="array" ref="C1536">IFNA(_xlfn.XLOOKUP(B1536,Table_Respons_Loket[Count],Table_Respons_Loket[Nomor Tiket]),"")</f>
        <v/>
      </c>
      <c r="D1536" s="15" t="str">
        <f t="array" ref="D1536">IFNA(_xlfn.XLOOKUP(B1536,Table_Respons_Loket[Count],Table_Respons_Loket[Daftar Nomor Hak]),"")</f>
        <v/>
      </c>
      <c r="E1536" s="17" t="str">
        <f t="array" ref="E1536">IFNA(_xlfn.XLOOKUP(B1536,Table_Respons_Loket[Count],Table_Respons_Loket[Time Stamp]),"")</f>
        <v/>
      </c>
      <c r="F1536" s="18" t="str">
        <f t="array" ref="F1536">IFNA(_xlfn.XLOOKUP(B1536,Table_Respons_Loket[Count],Table_Respons_Loket[Jenis Permohonan]),"")</f>
        <v/>
      </c>
      <c r="G1536" s="24"/>
      <c r="H1536" s="24"/>
      <c r="I1536" s="22" t="str">
        <f t="shared" si="7"/>
        <v/>
      </c>
      <c r="J1536" s="20" t="b">
        <v>0</v>
      </c>
      <c r="K1536" s="13" t="str">
        <f t="shared" si="8"/>
        <v/>
      </c>
    </row>
    <row r="1537" ht="22.5" customHeight="1">
      <c r="B1537" s="13">
        <f t="shared" si="3"/>
        <v>1531</v>
      </c>
      <c r="C1537" s="15" t="str">
        <f t="array" ref="C1537">IFNA(_xlfn.XLOOKUP(B1537,Table_Respons_Loket[Count],Table_Respons_Loket[Nomor Tiket]),"")</f>
        <v/>
      </c>
      <c r="D1537" s="15" t="str">
        <f t="array" ref="D1537">IFNA(_xlfn.XLOOKUP(B1537,Table_Respons_Loket[Count],Table_Respons_Loket[Daftar Nomor Hak]),"")</f>
        <v/>
      </c>
      <c r="E1537" s="17" t="str">
        <f t="array" ref="E1537">IFNA(_xlfn.XLOOKUP(B1537,Table_Respons_Loket[Count],Table_Respons_Loket[Time Stamp]),"")</f>
        <v/>
      </c>
      <c r="F1537" s="18" t="str">
        <f t="array" ref="F1537">IFNA(_xlfn.XLOOKUP(B1537,Table_Respons_Loket[Count],Table_Respons_Loket[Jenis Permohonan]),"")</f>
        <v/>
      </c>
      <c r="G1537" s="24"/>
      <c r="H1537" s="24"/>
      <c r="I1537" s="22" t="str">
        <f t="shared" si="7"/>
        <v/>
      </c>
      <c r="J1537" s="20" t="b">
        <v>0</v>
      </c>
      <c r="K1537" s="13" t="str">
        <f t="shared" si="8"/>
        <v/>
      </c>
    </row>
    <row r="1538" ht="22.5" customHeight="1">
      <c r="B1538" s="13">
        <f t="shared" si="3"/>
        <v>1532</v>
      </c>
      <c r="C1538" s="15" t="str">
        <f t="array" ref="C1538">IFNA(_xlfn.XLOOKUP(B1538,Table_Respons_Loket[Count],Table_Respons_Loket[Nomor Tiket]),"")</f>
        <v/>
      </c>
      <c r="D1538" s="15" t="str">
        <f t="array" ref="D1538">IFNA(_xlfn.XLOOKUP(B1538,Table_Respons_Loket[Count],Table_Respons_Loket[Daftar Nomor Hak]),"")</f>
        <v/>
      </c>
      <c r="E1538" s="17" t="str">
        <f t="array" ref="E1538">IFNA(_xlfn.XLOOKUP(B1538,Table_Respons_Loket[Count],Table_Respons_Loket[Time Stamp]),"")</f>
        <v/>
      </c>
      <c r="F1538" s="18" t="str">
        <f t="array" ref="F1538">IFNA(_xlfn.XLOOKUP(B1538,Table_Respons_Loket[Count],Table_Respons_Loket[Jenis Permohonan]),"")</f>
        <v/>
      </c>
      <c r="G1538" s="24"/>
      <c r="H1538" s="24"/>
      <c r="I1538" s="22" t="str">
        <f t="shared" si="7"/>
        <v/>
      </c>
      <c r="J1538" s="20" t="b">
        <v>0</v>
      </c>
      <c r="K1538" s="13" t="str">
        <f t="shared" si="8"/>
        <v/>
      </c>
    </row>
    <row r="1539" ht="22.5" customHeight="1">
      <c r="B1539" s="13">
        <f t="shared" si="3"/>
        <v>1533</v>
      </c>
      <c r="C1539" s="15" t="str">
        <f t="array" ref="C1539">IFNA(_xlfn.XLOOKUP(B1539,Table_Respons_Loket[Count],Table_Respons_Loket[Nomor Tiket]),"")</f>
        <v/>
      </c>
      <c r="D1539" s="15" t="str">
        <f t="array" ref="D1539">IFNA(_xlfn.XLOOKUP(B1539,Table_Respons_Loket[Count],Table_Respons_Loket[Daftar Nomor Hak]),"")</f>
        <v/>
      </c>
      <c r="E1539" s="17" t="str">
        <f t="array" ref="E1539">IFNA(_xlfn.XLOOKUP(B1539,Table_Respons_Loket[Count],Table_Respons_Loket[Time Stamp]),"")</f>
        <v/>
      </c>
      <c r="F1539" s="18" t="str">
        <f t="array" ref="F1539">IFNA(_xlfn.XLOOKUP(B1539,Table_Respons_Loket[Count],Table_Respons_Loket[Jenis Permohonan]),"")</f>
        <v/>
      </c>
      <c r="G1539" s="24"/>
      <c r="H1539" s="24"/>
      <c r="I1539" s="22" t="str">
        <f t="shared" si="7"/>
        <v/>
      </c>
      <c r="J1539" s="20" t="b">
        <v>0</v>
      </c>
      <c r="K1539" s="13" t="str">
        <f t="shared" si="8"/>
        <v/>
      </c>
    </row>
    <row r="1540" ht="22.5" customHeight="1">
      <c r="B1540" s="13">
        <f t="shared" si="3"/>
        <v>1534</v>
      </c>
      <c r="C1540" s="15" t="str">
        <f t="array" ref="C1540">IFNA(_xlfn.XLOOKUP(B1540,Table_Respons_Loket[Count],Table_Respons_Loket[Nomor Tiket]),"")</f>
        <v/>
      </c>
      <c r="D1540" s="15" t="str">
        <f t="array" ref="D1540">IFNA(_xlfn.XLOOKUP(B1540,Table_Respons_Loket[Count],Table_Respons_Loket[Daftar Nomor Hak]),"")</f>
        <v/>
      </c>
      <c r="E1540" s="17" t="str">
        <f t="array" ref="E1540">IFNA(_xlfn.XLOOKUP(B1540,Table_Respons_Loket[Count],Table_Respons_Loket[Time Stamp]),"")</f>
        <v/>
      </c>
      <c r="F1540" s="18" t="str">
        <f t="array" ref="F1540">IFNA(_xlfn.XLOOKUP(B1540,Table_Respons_Loket[Count],Table_Respons_Loket[Jenis Permohonan]),"")</f>
        <v/>
      </c>
      <c r="G1540" s="24"/>
      <c r="H1540" s="24"/>
      <c r="I1540" s="22" t="str">
        <f t="shared" si="7"/>
        <v/>
      </c>
      <c r="J1540" s="20" t="b">
        <v>0</v>
      </c>
      <c r="K1540" s="13" t="str">
        <f t="shared" si="8"/>
        <v/>
      </c>
    </row>
    <row r="1541" ht="22.5" customHeight="1">
      <c r="B1541" s="13">
        <f t="shared" si="3"/>
        <v>1535</v>
      </c>
      <c r="C1541" s="15" t="str">
        <f t="array" ref="C1541">IFNA(_xlfn.XLOOKUP(B1541,Table_Respons_Loket[Count],Table_Respons_Loket[Nomor Tiket]),"")</f>
        <v/>
      </c>
      <c r="D1541" s="15" t="str">
        <f t="array" ref="D1541">IFNA(_xlfn.XLOOKUP(B1541,Table_Respons_Loket[Count],Table_Respons_Loket[Daftar Nomor Hak]),"")</f>
        <v/>
      </c>
      <c r="E1541" s="17" t="str">
        <f t="array" ref="E1541">IFNA(_xlfn.XLOOKUP(B1541,Table_Respons_Loket[Count],Table_Respons_Loket[Time Stamp]),"")</f>
        <v/>
      </c>
      <c r="F1541" s="18" t="str">
        <f t="array" ref="F1541">IFNA(_xlfn.XLOOKUP(B1541,Table_Respons_Loket[Count],Table_Respons_Loket[Jenis Permohonan]),"")</f>
        <v/>
      </c>
      <c r="G1541" s="24"/>
      <c r="H1541" s="24"/>
      <c r="I1541" s="22" t="str">
        <f t="shared" si="7"/>
        <v/>
      </c>
      <c r="J1541" s="20" t="b">
        <v>0</v>
      </c>
      <c r="K1541" s="13" t="str">
        <f t="shared" si="8"/>
        <v/>
      </c>
    </row>
    <row r="1542" ht="22.5" customHeight="1">
      <c r="B1542" s="13">
        <f t="shared" si="3"/>
        <v>1536</v>
      </c>
      <c r="C1542" s="15" t="str">
        <f t="array" ref="C1542">IFNA(_xlfn.XLOOKUP(B1542,Table_Respons_Loket[Count],Table_Respons_Loket[Nomor Tiket]),"")</f>
        <v/>
      </c>
      <c r="D1542" s="15" t="str">
        <f t="array" ref="D1542">IFNA(_xlfn.XLOOKUP(B1542,Table_Respons_Loket[Count],Table_Respons_Loket[Daftar Nomor Hak]),"")</f>
        <v/>
      </c>
      <c r="E1542" s="17" t="str">
        <f t="array" ref="E1542">IFNA(_xlfn.XLOOKUP(B1542,Table_Respons_Loket[Count],Table_Respons_Loket[Time Stamp]),"")</f>
        <v/>
      </c>
      <c r="F1542" s="18" t="str">
        <f t="array" ref="F1542">IFNA(_xlfn.XLOOKUP(B1542,Table_Respons_Loket[Count],Table_Respons_Loket[Jenis Permohonan]),"")</f>
        <v/>
      </c>
      <c r="G1542" s="24"/>
      <c r="H1542" s="24"/>
      <c r="I1542" s="22" t="str">
        <f t="shared" si="7"/>
        <v/>
      </c>
      <c r="J1542" s="20" t="b">
        <v>0</v>
      </c>
      <c r="K1542" s="13" t="str">
        <f t="shared" si="8"/>
        <v/>
      </c>
    </row>
    <row r="1543" ht="22.5" customHeight="1">
      <c r="B1543" s="13">
        <f t="shared" si="3"/>
        <v>1537</v>
      </c>
      <c r="C1543" s="15" t="str">
        <f t="array" ref="C1543">IFNA(_xlfn.XLOOKUP(B1543,Table_Respons_Loket[Count],Table_Respons_Loket[Nomor Tiket]),"")</f>
        <v/>
      </c>
      <c r="D1543" s="15" t="str">
        <f t="array" ref="D1543">IFNA(_xlfn.XLOOKUP(B1543,Table_Respons_Loket[Count],Table_Respons_Loket[Daftar Nomor Hak]),"")</f>
        <v/>
      </c>
      <c r="E1543" s="17" t="str">
        <f t="array" ref="E1543">IFNA(_xlfn.XLOOKUP(B1543,Table_Respons_Loket[Count],Table_Respons_Loket[Time Stamp]),"")</f>
        <v/>
      </c>
      <c r="F1543" s="18" t="str">
        <f t="array" ref="F1543">IFNA(_xlfn.XLOOKUP(B1543,Table_Respons_Loket[Count],Table_Respons_Loket[Jenis Permohonan]),"")</f>
        <v/>
      </c>
      <c r="G1543" s="24"/>
      <c r="H1543" s="24"/>
      <c r="I1543" s="22" t="str">
        <f t="shared" si="7"/>
        <v/>
      </c>
      <c r="J1543" s="20" t="b">
        <v>0</v>
      </c>
      <c r="K1543" s="13" t="str">
        <f t="shared" si="8"/>
        <v/>
      </c>
    </row>
    <row r="1544" ht="22.5" customHeight="1">
      <c r="B1544" s="13">
        <f t="shared" si="3"/>
        <v>1538</v>
      </c>
      <c r="C1544" s="15" t="str">
        <f t="array" ref="C1544">IFNA(_xlfn.XLOOKUP(B1544,Table_Respons_Loket[Count],Table_Respons_Loket[Nomor Tiket]),"")</f>
        <v/>
      </c>
      <c r="D1544" s="15" t="str">
        <f t="array" ref="D1544">IFNA(_xlfn.XLOOKUP(B1544,Table_Respons_Loket[Count],Table_Respons_Loket[Daftar Nomor Hak]),"")</f>
        <v/>
      </c>
      <c r="E1544" s="17" t="str">
        <f t="array" ref="E1544">IFNA(_xlfn.XLOOKUP(B1544,Table_Respons_Loket[Count],Table_Respons_Loket[Time Stamp]),"")</f>
        <v/>
      </c>
      <c r="F1544" s="18" t="str">
        <f t="array" ref="F1544">IFNA(_xlfn.XLOOKUP(B1544,Table_Respons_Loket[Count],Table_Respons_Loket[Jenis Permohonan]),"")</f>
        <v/>
      </c>
      <c r="G1544" s="24"/>
      <c r="H1544" s="24"/>
      <c r="I1544" s="22" t="str">
        <f t="shared" si="7"/>
        <v/>
      </c>
      <c r="J1544" s="20" t="b">
        <v>0</v>
      </c>
      <c r="K1544" s="13" t="str">
        <f t="shared" si="8"/>
        <v/>
      </c>
    </row>
    <row r="1545" ht="22.5" customHeight="1">
      <c r="B1545" s="13">
        <f t="shared" si="3"/>
        <v>1539</v>
      </c>
      <c r="C1545" s="15" t="str">
        <f t="array" ref="C1545">IFNA(_xlfn.XLOOKUP(B1545,Table_Respons_Loket[Count],Table_Respons_Loket[Nomor Tiket]),"")</f>
        <v/>
      </c>
      <c r="D1545" s="15" t="str">
        <f t="array" ref="D1545">IFNA(_xlfn.XLOOKUP(B1545,Table_Respons_Loket[Count],Table_Respons_Loket[Daftar Nomor Hak]),"")</f>
        <v/>
      </c>
      <c r="E1545" s="17" t="str">
        <f t="array" ref="E1545">IFNA(_xlfn.XLOOKUP(B1545,Table_Respons_Loket[Count],Table_Respons_Loket[Time Stamp]),"")</f>
        <v/>
      </c>
      <c r="F1545" s="18" t="str">
        <f t="array" ref="F1545">IFNA(_xlfn.XLOOKUP(B1545,Table_Respons_Loket[Count],Table_Respons_Loket[Jenis Permohonan]),"")</f>
        <v/>
      </c>
      <c r="G1545" s="24"/>
      <c r="H1545" s="24"/>
      <c r="I1545" s="22" t="str">
        <f t="shared" si="7"/>
        <v/>
      </c>
      <c r="J1545" s="20" t="b">
        <v>0</v>
      </c>
      <c r="K1545" s="13" t="str">
        <f t="shared" si="8"/>
        <v/>
      </c>
    </row>
    <row r="1546" ht="22.5" customHeight="1">
      <c r="B1546" s="13">
        <f t="shared" si="3"/>
        <v>1540</v>
      </c>
      <c r="C1546" s="15" t="str">
        <f t="array" ref="C1546">IFNA(_xlfn.XLOOKUP(B1546,Table_Respons_Loket[Count],Table_Respons_Loket[Nomor Tiket]),"")</f>
        <v/>
      </c>
      <c r="D1546" s="15" t="str">
        <f t="array" ref="D1546">IFNA(_xlfn.XLOOKUP(B1546,Table_Respons_Loket[Count],Table_Respons_Loket[Daftar Nomor Hak]),"")</f>
        <v/>
      </c>
      <c r="E1546" s="17" t="str">
        <f t="array" ref="E1546">IFNA(_xlfn.XLOOKUP(B1546,Table_Respons_Loket[Count],Table_Respons_Loket[Time Stamp]),"")</f>
        <v/>
      </c>
      <c r="F1546" s="18" t="str">
        <f t="array" ref="F1546">IFNA(_xlfn.XLOOKUP(B1546,Table_Respons_Loket[Count],Table_Respons_Loket[Jenis Permohonan]),"")</f>
        <v/>
      </c>
      <c r="G1546" s="24"/>
      <c r="H1546" s="24"/>
      <c r="I1546" s="22" t="str">
        <f t="shared" si="7"/>
        <v/>
      </c>
      <c r="J1546" s="20" t="b">
        <v>0</v>
      </c>
      <c r="K1546" s="13" t="str">
        <f t="shared" si="8"/>
        <v/>
      </c>
    </row>
    <row r="1547" ht="22.5" customHeight="1">
      <c r="B1547" s="13">
        <f t="shared" si="3"/>
        <v>1541</v>
      </c>
      <c r="C1547" s="15" t="str">
        <f t="array" ref="C1547">IFNA(_xlfn.XLOOKUP(B1547,Table_Respons_Loket[Count],Table_Respons_Loket[Nomor Tiket]),"")</f>
        <v/>
      </c>
      <c r="D1547" s="15" t="str">
        <f t="array" ref="D1547">IFNA(_xlfn.XLOOKUP(B1547,Table_Respons_Loket[Count],Table_Respons_Loket[Daftar Nomor Hak]),"")</f>
        <v/>
      </c>
      <c r="E1547" s="17" t="str">
        <f t="array" ref="E1547">IFNA(_xlfn.XLOOKUP(B1547,Table_Respons_Loket[Count],Table_Respons_Loket[Time Stamp]),"")</f>
        <v/>
      </c>
      <c r="F1547" s="18" t="str">
        <f t="array" ref="F1547">IFNA(_xlfn.XLOOKUP(B1547,Table_Respons_Loket[Count],Table_Respons_Loket[Jenis Permohonan]),"")</f>
        <v/>
      </c>
      <c r="G1547" s="24"/>
      <c r="H1547" s="24"/>
      <c r="I1547" s="22" t="str">
        <f t="shared" si="7"/>
        <v/>
      </c>
      <c r="J1547" s="20" t="b">
        <v>0</v>
      </c>
      <c r="K1547" s="13" t="str">
        <f t="shared" si="8"/>
        <v/>
      </c>
    </row>
    <row r="1548" ht="22.5" customHeight="1">
      <c r="B1548" s="13">
        <f t="shared" si="3"/>
        <v>1542</v>
      </c>
      <c r="C1548" s="15" t="str">
        <f t="array" ref="C1548">IFNA(_xlfn.XLOOKUP(B1548,Table_Respons_Loket[Count],Table_Respons_Loket[Nomor Tiket]),"")</f>
        <v/>
      </c>
      <c r="D1548" s="15" t="str">
        <f t="array" ref="D1548">IFNA(_xlfn.XLOOKUP(B1548,Table_Respons_Loket[Count],Table_Respons_Loket[Daftar Nomor Hak]),"")</f>
        <v/>
      </c>
      <c r="E1548" s="17" t="str">
        <f t="array" ref="E1548">IFNA(_xlfn.XLOOKUP(B1548,Table_Respons_Loket[Count],Table_Respons_Loket[Time Stamp]),"")</f>
        <v/>
      </c>
      <c r="F1548" s="18" t="str">
        <f t="array" ref="F1548">IFNA(_xlfn.XLOOKUP(B1548,Table_Respons_Loket[Count],Table_Respons_Loket[Jenis Permohonan]),"")</f>
        <v/>
      </c>
      <c r="G1548" s="24"/>
      <c r="H1548" s="24"/>
      <c r="I1548" s="22" t="str">
        <f t="shared" si="7"/>
        <v/>
      </c>
      <c r="J1548" s="20" t="b">
        <v>0</v>
      </c>
      <c r="K1548" s="13" t="str">
        <f t="shared" si="8"/>
        <v/>
      </c>
    </row>
    <row r="1549" ht="22.5" customHeight="1">
      <c r="B1549" s="13">
        <f t="shared" si="3"/>
        <v>1543</v>
      </c>
      <c r="C1549" s="15" t="str">
        <f t="array" ref="C1549">IFNA(_xlfn.XLOOKUP(B1549,Table_Respons_Loket[Count],Table_Respons_Loket[Nomor Tiket]),"")</f>
        <v/>
      </c>
      <c r="D1549" s="15" t="str">
        <f t="array" ref="D1549">IFNA(_xlfn.XLOOKUP(B1549,Table_Respons_Loket[Count],Table_Respons_Loket[Daftar Nomor Hak]),"")</f>
        <v/>
      </c>
      <c r="E1549" s="17" t="str">
        <f t="array" ref="E1549">IFNA(_xlfn.XLOOKUP(B1549,Table_Respons_Loket[Count],Table_Respons_Loket[Time Stamp]),"")</f>
        <v/>
      </c>
      <c r="F1549" s="18" t="str">
        <f t="array" ref="F1549">IFNA(_xlfn.XLOOKUP(B1549,Table_Respons_Loket[Count],Table_Respons_Loket[Jenis Permohonan]),"")</f>
        <v/>
      </c>
      <c r="G1549" s="24"/>
      <c r="H1549" s="24"/>
      <c r="I1549" s="22" t="str">
        <f t="shared" si="7"/>
        <v/>
      </c>
      <c r="J1549" s="20" t="b">
        <v>0</v>
      </c>
      <c r="K1549" s="13" t="str">
        <f t="shared" si="8"/>
        <v/>
      </c>
    </row>
    <row r="1550" ht="22.5" customHeight="1">
      <c r="B1550" s="13">
        <f t="shared" si="3"/>
        <v>1544</v>
      </c>
      <c r="C1550" s="15" t="str">
        <f t="array" ref="C1550">IFNA(_xlfn.XLOOKUP(B1550,Table_Respons_Loket[Count],Table_Respons_Loket[Nomor Tiket]),"")</f>
        <v/>
      </c>
      <c r="D1550" s="15" t="str">
        <f t="array" ref="D1550">IFNA(_xlfn.XLOOKUP(B1550,Table_Respons_Loket[Count],Table_Respons_Loket[Daftar Nomor Hak]),"")</f>
        <v/>
      </c>
      <c r="E1550" s="17" t="str">
        <f t="array" ref="E1550">IFNA(_xlfn.XLOOKUP(B1550,Table_Respons_Loket[Count],Table_Respons_Loket[Time Stamp]),"")</f>
        <v/>
      </c>
      <c r="F1550" s="18" t="str">
        <f t="array" ref="F1550">IFNA(_xlfn.XLOOKUP(B1550,Table_Respons_Loket[Count],Table_Respons_Loket[Jenis Permohonan]),"")</f>
        <v/>
      </c>
      <c r="G1550" s="24"/>
      <c r="H1550" s="24"/>
      <c r="I1550" s="22" t="str">
        <f t="shared" si="7"/>
        <v/>
      </c>
      <c r="J1550" s="20" t="b">
        <v>0</v>
      </c>
      <c r="K1550" s="13" t="str">
        <f t="shared" si="8"/>
        <v/>
      </c>
    </row>
    <row r="1551" ht="22.5" customHeight="1">
      <c r="B1551" s="13">
        <f t="shared" si="3"/>
        <v>1545</v>
      </c>
      <c r="C1551" s="15" t="str">
        <f t="array" ref="C1551">IFNA(_xlfn.XLOOKUP(B1551,Table_Respons_Loket[Count],Table_Respons_Loket[Nomor Tiket]),"")</f>
        <v/>
      </c>
      <c r="D1551" s="15" t="str">
        <f t="array" ref="D1551">IFNA(_xlfn.XLOOKUP(B1551,Table_Respons_Loket[Count],Table_Respons_Loket[Daftar Nomor Hak]),"")</f>
        <v/>
      </c>
      <c r="E1551" s="17" t="str">
        <f t="array" ref="E1551">IFNA(_xlfn.XLOOKUP(B1551,Table_Respons_Loket[Count],Table_Respons_Loket[Time Stamp]),"")</f>
        <v/>
      </c>
      <c r="F1551" s="18" t="str">
        <f t="array" ref="F1551">IFNA(_xlfn.XLOOKUP(B1551,Table_Respons_Loket[Count],Table_Respons_Loket[Jenis Permohonan]),"")</f>
        <v/>
      </c>
      <c r="G1551" s="24"/>
      <c r="H1551" s="24"/>
      <c r="I1551" s="22" t="str">
        <f t="shared" si="7"/>
        <v/>
      </c>
      <c r="J1551" s="20" t="b">
        <v>0</v>
      </c>
      <c r="K1551" s="13" t="str">
        <f t="shared" si="8"/>
        <v/>
      </c>
    </row>
    <row r="1552" ht="22.5" customHeight="1">
      <c r="B1552" s="13">
        <f t="shared" si="3"/>
        <v>1546</v>
      </c>
      <c r="C1552" s="15" t="str">
        <f t="array" ref="C1552">IFNA(_xlfn.XLOOKUP(B1552,Table_Respons_Loket[Count],Table_Respons_Loket[Nomor Tiket]),"")</f>
        <v/>
      </c>
      <c r="D1552" s="15" t="str">
        <f t="array" ref="D1552">IFNA(_xlfn.XLOOKUP(B1552,Table_Respons_Loket[Count],Table_Respons_Loket[Daftar Nomor Hak]),"")</f>
        <v/>
      </c>
      <c r="E1552" s="17" t="str">
        <f t="array" ref="E1552">IFNA(_xlfn.XLOOKUP(B1552,Table_Respons_Loket[Count],Table_Respons_Loket[Time Stamp]),"")</f>
        <v/>
      </c>
      <c r="F1552" s="18" t="str">
        <f t="array" ref="F1552">IFNA(_xlfn.XLOOKUP(B1552,Table_Respons_Loket[Count],Table_Respons_Loket[Jenis Permohonan]),"")</f>
        <v/>
      </c>
      <c r="G1552" s="24"/>
      <c r="H1552" s="24"/>
      <c r="I1552" s="22" t="str">
        <f t="shared" si="7"/>
        <v/>
      </c>
      <c r="J1552" s="20" t="b">
        <v>0</v>
      </c>
      <c r="K1552" s="13" t="str">
        <f t="shared" si="8"/>
        <v/>
      </c>
    </row>
    <row r="1553" ht="22.5" customHeight="1">
      <c r="B1553" s="13">
        <f t="shared" si="3"/>
        <v>1547</v>
      </c>
      <c r="C1553" s="15" t="str">
        <f t="array" ref="C1553">IFNA(_xlfn.XLOOKUP(B1553,Table_Respons_Loket[Count],Table_Respons_Loket[Nomor Tiket]),"")</f>
        <v/>
      </c>
      <c r="D1553" s="15" t="str">
        <f t="array" ref="D1553">IFNA(_xlfn.XLOOKUP(B1553,Table_Respons_Loket[Count],Table_Respons_Loket[Daftar Nomor Hak]),"")</f>
        <v/>
      </c>
      <c r="E1553" s="17" t="str">
        <f t="array" ref="E1553">IFNA(_xlfn.XLOOKUP(B1553,Table_Respons_Loket[Count],Table_Respons_Loket[Time Stamp]),"")</f>
        <v/>
      </c>
      <c r="F1553" s="18" t="str">
        <f t="array" ref="F1553">IFNA(_xlfn.XLOOKUP(B1553,Table_Respons_Loket[Count],Table_Respons_Loket[Jenis Permohonan]),"")</f>
        <v/>
      </c>
      <c r="G1553" s="24"/>
      <c r="H1553" s="24"/>
      <c r="I1553" s="22" t="str">
        <f t="shared" si="7"/>
        <v/>
      </c>
      <c r="J1553" s="20" t="b">
        <v>0</v>
      </c>
      <c r="K1553" s="13" t="str">
        <f t="shared" si="8"/>
        <v/>
      </c>
    </row>
    <row r="1554" ht="22.5" customHeight="1">
      <c r="B1554" s="13">
        <f t="shared" si="3"/>
        <v>1548</v>
      </c>
      <c r="C1554" s="15" t="str">
        <f t="array" ref="C1554">IFNA(_xlfn.XLOOKUP(B1554,Table_Respons_Loket[Count],Table_Respons_Loket[Nomor Tiket]),"")</f>
        <v/>
      </c>
      <c r="D1554" s="15" t="str">
        <f t="array" ref="D1554">IFNA(_xlfn.XLOOKUP(B1554,Table_Respons_Loket[Count],Table_Respons_Loket[Daftar Nomor Hak]),"")</f>
        <v/>
      </c>
      <c r="E1554" s="17" t="str">
        <f t="array" ref="E1554">IFNA(_xlfn.XLOOKUP(B1554,Table_Respons_Loket[Count],Table_Respons_Loket[Time Stamp]),"")</f>
        <v/>
      </c>
      <c r="F1554" s="18" t="str">
        <f t="array" ref="F1554">IFNA(_xlfn.XLOOKUP(B1554,Table_Respons_Loket[Count],Table_Respons_Loket[Jenis Permohonan]),"")</f>
        <v/>
      </c>
      <c r="G1554" s="24"/>
      <c r="H1554" s="24"/>
      <c r="I1554" s="22" t="str">
        <f t="shared" si="7"/>
        <v/>
      </c>
      <c r="J1554" s="20" t="b">
        <v>0</v>
      </c>
      <c r="K1554" s="13" t="str">
        <f t="shared" si="8"/>
        <v/>
      </c>
    </row>
    <row r="1555" ht="22.5" customHeight="1">
      <c r="B1555" s="13">
        <f t="shared" si="3"/>
        <v>1549</v>
      </c>
      <c r="C1555" s="15" t="str">
        <f t="array" ref="C1555">IFNA(_xlfn.XLOOKUP(B1555,Table_Respons_Loket[Count],Table_Respons_Loket[Nomor Tiket]),"")</f>
        <v/>
      </c>
      <c r="D1555" s="15" t="str">
        <f t="array" ref="D1555">IFNA(_xlfn.XLOOKUP(B1555,Table_Respons_Loket[Count],Table_Respons_Loket[Daftar Nomor Hak]),"")</f>
        <v/>
      </c>
      <c r="E1555" s="17" t="str">
        <f t="array" ref="E1555">IFNA(_xlfn.XLOOKUP(B1555,Table_Respons_Loket[Count],Table_Respons_Loket[Time Stamp]),"")</f>
        <v/>
      </c>
      <c r="F1555" s="18" t="str">
        <f t="array" ref="F1555">IFNA(_xlfn.XLOOKUP(B1555,Table_Respons_Loket[Count],Table_Respons_Loket[Jenis Permohonan]),"")</f>
        <v/>
      </c>
      <c r="G1555" s="24"/>
      <c r="H1555" s="24"/>
      <c r="I1555" s="22" t="str">
        <f t="shared" si="7"/>
        <v/>
      </c>
      <c r="J1555" s="20" t="b">
        <v>0</v>
      </c>
      <c r="K1555" s="13" t="str">
        <f t="shared" si="8"/>
        <v/>
      </c>
    </row>
    <row r="1556" ht="22.5" customHeight="1">
      <c r="B1556" s="13">
        <f t="shared" si="3"/>
        <v>1550</v>
      </c>
      <c r="C1556" s="15" t="str">
        <f t="array" ref="C1556">IFNA(_xlfn.XLOOKUP(B1556,Table_Respons_Loket[Count],Table_Respons_Loket[Nomor Tiket]),"")</f>
        <v/>
      </c>
      <c r="D1556" s="15" t="str">
        <f t="array" ref="D1556">IFNA(_xlfn.XLOOKUP(B1556,Table_Respons_Loket[Count],Table_Respons_Loket[Daftar Nomor Hak]),"")</f>
        <v/>
      </c>
      <c r="E1556" s="17" t="str">
        <f t="array" ref="E1556">IFNA(_xlfn.XLOOKUP(B1556,Table_Respons_Loket[Count],Table_Respons_Loket[Time Stamp]),"")</f>
        <v/>
      </c>
      <c r="F1556" s="18" t="str">
        <f t="array" ref="F1556">IFNA(_xlfn.XLOOKUP(B1556,Table_Respons_Loket[Count],Table_Respons_Loket[Jenis Permohonan]),"")</f>
        <v/>
      </c>
      <c r="G1556" s="24"/>
      <c r="H1556" s="24"/>
      <c r="I1556" s="22" t="str">
        <f t="shared" si="7"/>
        <v/>
      </c>
      <c r="J1556" s="20" t="b">
        <v>0</v>
      </c>
      <c r="K1556" s="13" t="str">
        <f t="shared" si="8"/>
        <v/>
      </c>
    </row>
    <row r="1557" ht="22.5" customHeight="1">
      <c r="B1557" s="13">
        <f t="shared" si="3"/>
        <v>1551</v>
      </c>
      <c r="C1557" s="15" t="str">
        <f t="array" ref="C1557">IFNA(_xlfn.XLOOKUP(B1557,Table_Respons_Loket[Count],Table_Respons_Loket[Nomor Tiket]),"")</f>
        <v/>
      </c>
      <c r="D1557" s="15" t="str">
        <f t="array" ref="D1557">IFNA(_xlfn.XLOOKUP(B1557,Table_Respons_Loket[Count],Table_Respons_Loket[Daftar Nomor Hak]),"")</f>
        <v/>
      </c>
      <c r="E1557" s="17" t="str">
        <f t="array" ref="E1557">IFNA(_xlfn.XLOOKUP(B1557,Table_Respons_Loket[Count],Table_Respons_Loket[Time Stamp]),"")</f>
        <v/>
      </c>
      <c r="F1557" s="18" t="str">
        <f t="array" ref="F1557">IFNA(_xlfn.XLOOKUP(B1557,Table_Respons_Loket[Count],Table_Respons_Loket[Jenis Permohonan]),"")</f>
        <v/>
      </c>
      <c r="G1557" s="24"/>
      <c r="H1557" s="24"/>
      <c r="I1557" s="22" t="str">
        <f t="shared" si="7"/>
        <v/>
      </c>
      <c r="J1557" s="20" t="b">
        <v>0</v>
      </c>
      <c r="K1557" s="13" t="str">
        <f t="shared" si="8"/>
        <v/>
      </c>
    </row>
    <row r="1558" ht="22.5" customHeight="1">
      <c r="B1558" s="13">
        <f t="shared" si="3"/>
        <v>1552</v>
      </c>
      <c r="C1558" s="15" t="str">
        <f t="array" ref="C1558">IFNA(_xlfn.XLOOKUP(B1558,Table_Respons_Loket[Count],Table_Respons_Loket[Nomor Tiket]),"")</f>
        <v/>
      </c>
      <c r="D1558" s="15" t="str">
        <f t="array" ref="D1558">IFNA(_xlfn.XLOOKUP(B1558,Table_Respons_Loket[Count],Table_Respons_Loket[Daftar Nomor Hak]),"")</f>
        <v/>
      </c>
      <c r="E1558" s="17" t="str">
        <f t="array" ref="E1558">IFNA(_xlfn.XLOOKUP(B1558,Table_Respons_Loket[Count],Table_Respons_Loket[Time Stamp]),"")</f>
        <v/>
      </c>
      <c r="F1558" s="18" t="str">
        <f t="array" ref="F1558">IFNA(_xlfn.XLOOKUP(B1558,Table_Respons_Loket[Count],Table_Respons_Loket[Jenis Permohonan]),"")</f>
        <v/>
      </c>
      <c r="G1558" s="24"/>
      <c r="H1558" s="24"/>
      <c r="I1558" s="22" t="str">
        <f t="shared" si="7"/>
        <v/>
      </c>
      <c r="J1558" s="20" t="b">
        <v>0</v>
      </c>
      <c r="K1558" s="13" t="str">
        <f t="shared" si="8"/>
        <v/>
      </c>
    </row>
    <row r="1559" ht="22.5" customHeight="1">
      <c r="B1559" s="13">
        <f t="shared" si="3"/>
        <v>1553</v>
      </c>
      <c r="C1559" s="15" t="str">
        <f t="array" ref="C1559">IFNA(_xlfn.XLOOKUP(B1559,Table_Respons_Loket[Count],Table_Respons_Loket[Nomor Tiket]),"")</f>
        <v/>
      </c>
      <c r="D1559" s="15" t="str">
        <f t="array" ref="D1559">IFNA(_xlfn.XLOOKUP(B1559,Table_Respons_Loket[Count],Table_Respons_Loket[Daftar Nomor Hak]),"")</f>
        <v/>
      </c>
      <c r="E1559" s="17" t="str">
        <f t="array" ref="E1559">IFNA(_xlfn.XLOOKUP(B1559,Table_Respons_Loket[Count],Table_Respons_Loket[Time Stamp]),"")</f>
        <v/>
      </c>
      <c r="F1559" s="18" t="str">
        <f t="array" ref="F1559">IFNA(_xlfn.XLOOKUP(B1559,Table_Respons_Loket[Count],Table_Respons_Loket[Jenis Permohonan]),"")</f>
        <v/>
      </c>
      <c r="G1559" s="24"/>
      <c r="H1559" s="24"/>
      <c r="I1559" s="22" t="str">
        <f t="shared" si="7"/>
        <v/>
      </c>
      <c r="J1559" s="20" t="b">
        <v>0</v>
      </c>
      <c r="K1559" s="13" t="str">
        <f t="shared" si="8"/>
        <v/>
      </c>
    </row>
    <row r="1560" ht="22.5" customHeight="1">
      <c r="B1560" s="13">
        <f t="shared" si="3"/>
        <v>1554</v>
      </c>
      <c r="C1560" s="15" t="str">
        <f t="array" ref="C1560">IFNA(_xlfn.XLOOKUP(B1560,Table_Respons_Loket[Count],Table_Respons_Loket[Nomor Tiket]),"")</f>
        <v/>
      </c>
      <c r="D1560" s="15" t="str">
        <f t="array" ref="D1560">IFNA(_xlfn.XLOOKUP(B1560,Table_Respons_Loket[Count],Table_Respons_Loket[Daftar Nomor Hak]),"")</f>
        <v/>
      </c>
      <c r="E1560" s="17" t="str">
        <f t="array" ref="E1560">IFNA(_xlfn.XLOOKUP(B1560,Table_Respons_Loket[Count],Table_Respons_Loket[Time Stamp]),"")</f>
        <v/>
      </c>
      <c r="F1560" s="18" t="str">
        <f t="array" ref="F1560">IFNA(_xlfn.XLOOKUP(B1560,Table_Respons_Loket[Count],Table_Respons_Loket[Jenis Permohonan]),"")</f>
        <v/>
      </c>
      <c r="G1560" s="24"/>
      <c r="H1560" s="24"/>
      <c r="I1560" s="22" t="str">
        <f t="shared" si="7"/>
        <v/>
      </c>
      <c r="J1560" s="20" t="b">
        <v>0</v>
      </c>
      <c r="K1560" s="13" t="str">
        <f t="shared" si="8"/>
        <v/>
      </c>
    </row>
    <row r="1561" ht="22.5" customHeight="1">
      <c r="B1561" s="13">
        <f t="shared" si="3"/>
        <v>1555</v>
      </c>
      <c r="C1561" s="15" t="str">
        <f t="array" ref="C1561">IFNA(_xlfn.XLOOKUP(B1561,Table_Respons_Loket[Count],Table_Respons_Loket[Nomor Tiket]),"")</f>
        <v/>
      </c>
      <c r="D1561" s="15" t="str">
        <f t="array" ref="D1561">IFNA(_xlfn.XLOOKUP(B1561,Table_Respons_Loket[Count],Table_Respons_Loket[Daftar Nomor Hak]),"")</f>
        <v/>
      </c>
      <c r="E1561" s="17" t="str">
        <f t="array" ref="E1561">IFNA(_xlfn.XLOOKUP(B1561,Table_Respons_Loket[Count],Table_Respons_Loket[Time Stamp]),"")</f>
        <v/>
      </c>
      <c r="F1561" s="18" t="str">
        <f t="array" ref="F1561">IFNA(_xlfn.XLOOKUP(B1561,Table_Respons_Loket[Count],Table_Respons_Loket[Jenis Permohonan]),"")</f>
        <v/>
      </c>
      <c r="G1561" s="24"/>
      <c r="H1561" s="24"/>
      <c r="I1561" s="22" t="str">
        <f t="shared" si="7"/>
        <v/>
      </c>
      <c r="J1561" s="20" t="b">
        <v>0</v>
      </c>
      <c r="K1561" s="13" t="str">
        <f t="shared" si="8"/>
        <v/>
      </c>
    </row>
    <row r="1562" ht="22.5" customHeight="1">
      <c r="B1562" s="13">
        <f t="shared" si="3"/>
        <v>1556</v>
      </c>
      <c r="C1562" s="15" t="str">
        <f t="array" ref="C1562">IFNA(_xlfn.XLOOKUP(B1562,Table_Respons_Loket[Count],Table_Respons_Loket[Nomor Tiket]),"")</f>
        <v/>
      </c>
      <c r="D1562" s="15" t="str">
        <f t="array" ref="D1562">IFNA(_xlfn.XLOOKUP(B1562,Table_Respons_Loket[Count],Table_Respons_Loket[Daftar Nomor Hak]),"")</f>
        <v/>
      </c>
      <c r="E1562" s="17" t="str">
        <f t="array" ref="E1562">IFNA(_xlfn.XLOOKUP(B1562,Table_Respons_Loket[Count],Table_Respons_Loket[Time Stamp]),"")</f>
        <v/>
      </c>
      <c r="F1562" s="18" t="str">
        <f t="array" ref="F1562">IFNA(_xlfn.XLOOKUP(B1562,Table_Respons_Loket[Count],Table_Respons_Loket[Jenis Permohonan]),"")</f>
        <v/>
      </c>
      <c r="G1562" s="24"/>
      <c r="H1562" s="24"/>
      <c r="I1562" s="22" t="str">
        <f t="shared" si="7"/>
        <v/>
      </c>
      <c r="J1562" s="20" t="b">
        <v>0</v>
      </c>
      <c r="K1562" s="13" t="str">
        <f t="shared" si="8"/>
        <v/>
      </c>
    </row>
    <row r="1563" ht="22.5" customHeight="1">
      <c r="B1563" s="13">
        <f t="shared" si="3"/>
        <v>1557</v>
      </c>
      <c r="C1563" s="15" t="str">
        <f t="array" ref="C1563">IFNA(_xlfn.XLOOKUP(B1563,Table_Respons_Loket[Count],Table_Respons_Loket[Nomor Tiket]),"")</f>
        <v/>
      </c>
      <c r="D1563" s="15" t="str">
        <f t="array" ref="D1563">IFNA(_xlfn.XLOOKUP(B1563,Table_Respons_Loket[Count],Table_Respons_Loket[Daftar Nomor Hak]),"")</f>
        <v/>
      </c>
      <c r="E1563" s="17" t="str">
        <f t="array" ref="E1563">IFNA(_xlfn.XLOOKUP(B1563,Table_Respons_Loket[Count],Table_Respons_Loket[Time Stamp]),"")</f>
        <v/>
      </c>
      <c r="F1563" s="18" t="str">
        <f t="array" ref="F1563">IFNA(_xlfn.XLOOKUP(B1563,Table_Respons_Loket[Count],Table_Respons_Loket[Jenis Permohonan]),"")</f>
        <v/>
      </c>
      <c r="G1563" s="24"/>
      <c r="H1563" s="24"/>
      <c r="I1563" s="22" t="str">
        <f t="shared" si="7"/>
        <v/>
      </c>
      <c r="J1563" s="20" t="b">
        <v>0</v>
      </c>
      <c r="K1563" s="13" t="str">
        <f t="shared" si="8"/>
        <v/>
      </c>
    </row>
    <row r="1564" ht="22.5" customHeight="1">
      <c r="B1564" s="13">
        <f t="shared" si="3"/>
        <v>1558</v>
      </c>
      <c r="C1564" s="15" t="str">
        <f t="array" ref="C1564">IFNA(_xlfn.XLOOKUP(B1564,Table_Respons_Loket[Count],Table_Respons_Loket[Nomor Tiket]),"")</f>
        <v/>
      </c>
      <c r="D1564" s="15" t="str">
        <f t="array" ref="D1564">IFNA(_xlfn.XLOOKUP(B1564,Table_Respons_Loket[Count],Table_Respons_Loket[Daftar Nomor Hak]),"")</f>
        <v/>
      </c>
      <c r="E1564" s="17" t="str">
        <f t="array" ref="E1564">IFNA(_xlfn.XLOOKUP(B1564,Table_Respons_Loket[Count],Table_Respons_Loket[Time Stamp]),"")</f>
        <v/>
      </c>
      <c r="F1564" s="18" t="str">
        <f t="array" ref="F1564">IFNA(_xlfn.XLOOKUP(B1564,Table_Respons_Loket[Count],Table_Respons_Loket[Jenis Permohonan]),"")</f>
        <v/>
      </c>
      <c r="G1564" s="24"/>
      <c r="H1564" s="24"/>
      <c r="I1564" s="22" t="str">
        <f t="shared" si="7"/>
        <v/>
      </c>
      <c r="J1564" s="20" t="b">
        <v>0</v>
      </c>
      <c r="K1564" s="13" t="str">
        <f t="shared" si="8"/>
        <v/>
      </c>
    </row>
    <row r="1565" ht="22.5" customHeight="1">
      <c r="B1565" s="13">
        <f t="shared" si="3"/>
        <v>1559</v>
      </c>
      <c r="C1565" s="15" t="str">
        <f t="array" ref="C1565">IFNA(_xlfn.XLOOKUP(B1565,Table_Respons_Loket[Count],Table_Respons_Loket[Nomor Tiket]),"")</f>
        <v/>
      </c>
      <c r="D1565" s="15" t="str">
        <f t="array" ref="D1565">IFNA(_xlfn.XLOOKUP(B1565,Table_Respons_Loket[Count],Table_Respons_Loket[Daftar Nomor Hak]),"")</f>
        <v/>
      </c>
      <c r="E1565" s="17" t="str">
        <f t="array" ref="E1565">IFNA(_xlfn.XLOOKUP(B1565,Table_Respons_Loket[Count],Table_Respons_Loket[Time Stamp]),"")</f>
        <v/>
      </c>
      <c r="F1565" s="18" t="str">
        <f t="array" ref="F1565">IFNA(_xlfn.XLOOKUP(B1565,Table_Respons_Loket[Count],Table_Respons_Loket[Jenis Permohonan]),"")</f>
        <v/>
      </c>
      <c r="G1565" s="24"/>
      <c r="H1565" s="24"/>
      <c r="I1565" s="22" t="str">
        <f t="shared" si="7"/>
        <v/>
      </c>
      <c r="J1565" s="20" t="b">
        <v>0</v>
      </c>
      <c r="K1565" s="13" t="str">
        <f t="shared" si="8"/>
        <v/>
      </c>
    </row>
    <row r="1566" ht="22.5" customHeight="1">
      <c r="B1566" s="13">
        <f t="shared" si="3"/>
        <v>1560</v>
      </c>
      <c r="C1566" s="15" t="str">
        <f t="array" ref="C1566">IFNA(_xlfn.XLOOKUP(B1566,Table_Respons_Loket[Count],Table_Respons_Loket[Nomor Tiket]),"")</f>
        <v/>
      </c>
      <c r="D1566" s="15" t="str">
        <f t="array" ref="D1566">IFNA(_xlfn.XLOOKUP(B1566,Table_Respons_Loket[Count],Table_Respons_Loket[Daftar Nomor Hak]),"")</f>
        <v/>
      </c>
      <c r="E1566" s="17" t="str">
        <f t="array" ref="E1566">IFNA(_xlfn.XLOOKUP(B1566,Table_Respons_Loket[Count],Table_Respons_Loket[Time Stamp]),"")</f>
        <v/>
      </c>
      <c r="F1566" s="18" t="str">
        <f t="array" ref="F1566">IFNA(_xlfn.XLOOKUP(B1566,Table_Respons_Loket[Count],Table_Respons_Loket[Jenis Permohonan]),"")</f>
        <v/>
      </c>
      <c r="G1566" s="24"/>
      <c r="H1566" s="24"/>
      <c r="I1566" s="22" t="str">
        <f t="shared" si="7"/>
        <v/>
      </c>
      <c r="J1566" s="20" t="b">
        <v>0</v>
      </c>
      <c r="K1566" s="13" t="str">
        <f t="shared" si="8"/>
        <v/>
      </c>
    </row>
    <row r="1567" ht="22.5" customHeight="1">
      <c r="B1567" s="13">
        <f t="shared" si="3"/>
        <v>1561</v>
      </c>
      <c r="C1567" s="15" t="str">
        <f t="array" ref="C1567">IFNA(_xlfn.XLOOKUP(B1567,Table_Respons_Loket[Count],Table_Respons_Loket[Nomor Tiket]),"")</f>
        <v/>
      </c>
      <c r="D1567" s="15" t="str">
        <f t="array" ref="D1567">IFNA(_xlfn.XLOOKUP(B1567,Table_Respons_Loket[Count],Table_Respons_Loket[Daftar Nomor Hak]),"")</f>
        <v/>
      </c>
      <c r="E1567" s="17" t="str">
        <f t="array" ref="E1567">IFNA(_xlfn.XLOOKUP(B1567,Table_Respons_Loket[Count],Table_Respons_Loket[Time Stamp]),"")</f>
        <v/>
      </c>
      <c r="F1567" s="18" t="str">
        <f t="array" ref="F1567">IFNA(_xlfn.XLOOKUP(B1567,Table_Respons_Loket[Count],Table_Respons_Loket[Jenis Permohonan]),"")</f>
        <v/>
      </c>
      <c r="G1567" s="24"/>
      <c r="H1567" s="24"/>
      <c r="I1567" s="22" t="str">
        <f t="shared" si="7"/>
        <v/>
      </c>
      <c r="J1567" s="20" t="b">
        <v>0</v>
      </c>
      <c r="K1567" s="13" t="str">
        <f t="shared" si="8"/>
        <v/>
      </c>
    </row>
    <row r="1568" ht="22.5" customHeight="1">
      <c r="B1568" s="13">
        <f t="shared" si="3"/>
        <v>1562</v>
      </c>
      <c r="C1568" s="15" t="str">
        <f t="array" ref="C1568">IFNA(_xlfn.XLOOKUP(B1568,Table_Respons_Loket[Count],Table_Respons_Loket[Nomor Tiket]),"")</f>
        <v/>
      </c>
      <c r="D1568" s="15" t="str">
        <f t="array" ref="D1568">IFNA(_xlfn.XLOOKUP(B1568,Table_Respons_Loket[Count],Table_Respons_Loket[Daftar Nomor Hak]),"")</f>
        <v/>
      </c>
      <c r="E1568" s="17" t="str">
        <f t="array" ref="E1568">IFNA(_xlfn.XLOOKUP(B1568,Table_Respons_Loket[Count],Table_Respons_Loket[Time Stamp]),"")</f>
        <v/>
      </c>
      <c r="F1568" s="18" t="str">
        <f t="array" ref="F1568">IFNA(_xlfn.XLOOKUP(B1568,Table_Respons_Loket[Count],Table_Respons_Loket[Jenis Permohonan]),"")</f>
        <v/>
      </c>
      <c r="G1568" s="24"/>
      <c r="H1568" s="24"/>
      <c r="I1568" s="22" t="str">
        <f t="shared" si="7"/>
        <v/>
      </c>
      <c r="J1568" s="20" t="b">
        <v>0</v>
      </c>
      <c r="K1568" s="13" t="str">
        <f t="shared" si="8"/>
        <v/>
      </c>
    </row>
    <row r="1569" ht="22.5" customHeight="1">
      <c r="B1569" s="13">
        <f t="shared" si="3"/>
        <v>1563</v>
      </c>
      <c r="C1569" s="15" t="str">
        <f t="array" ref="C1569">IFNA(_xlfn.XLOOKUP(B1569,Table_Respons_Loket[Count],Table_Respons_Loket[Nomor Tiket]),"")</f>
        <v/>
      </c>
      <c r="D1569" s="15" t="str">
        <f t="array" ref="D1569">IFNA(_xlfn.XLOOKUP(B1569,Table_Respons_Loket[Count],Table_Respons_Loket[Daftar Nomor Hak]),"")</f>
        <v/>
      </c>
      <c r="E1569" s="17" t="str">
        <f t="array" ref="E1569">IFNA(_xlfn.XLOOKUP(B1569,Table_Respons_Loket[Count],Table_Respons_Loket[Time Stamp]),"")</f>
        <v/>
      </c>
      <c r="F1569" s="18" t="str">
        <f t="array" ref="F1569">IFNA(_xlfn.XLOOKUP(B1569,Table_Respons_Loket[Count],Table_Respons_Loket[Jenis Permohonan]),"")</f>
        <v/>
      </c>
      <c r="G1569" s="24"/>
      <c r="H1569" s="24"/>
      <c r="I1569" s="22" t="str">
        <f t="shared" si="7"/>
        <v/>
      </c>
      <c r="J1569" s="20" t="b">
        <v>0</v>
      </c>
      <c r="K1569" s="13" t="str">
        <f t="shared" si="8"/>
        <v/>
      </c>
    </row>
    <row r="1570" ht="22.5" customHeight="1">
      <c r="B1570" s="13">
        <f t="shared" si="3"/>
        <v>1564</v>
      </c>
      <c r="C1570" s="15" t="str">
        <f t="array" ref="C1570">IFNA(_xlfn.XLOOKUP(B1570,Table_Respons_Loket[Count],Table_Respons_Loket[Nomor Tiket]),"")</f>
        <v/>
      </c>
      <c r="D1570" s="15" t="str">
        <f t="array" ref="D1570">IFNA(_xlfn.XLOOKUP(B1570,Table_Respons_Loket[Count],Table_Respons_Loket[Daftar Nomor Hak]),"")</f>
        <v/>
      </c>
      <c r="E1570" s="17" t="str">
        <f t="array" ref="E1570">IFNA(_xlfn.XLOOKUP(B1570,Table_Respons_Loket[Count],Table_Respons_Loket[Time Stamp]),"")</f>
        <v/>
      </c>
      <c r="F1570" s="18" t="str">
        <f t="array" ref="F1570">IFNA(_xlfn.XLOOKUP(B1570,Table_Respons_Loket[Count],Table_Respons_Loket[Jenis Permohonan]),"")</f>
        <v/>
      </c>
      <c r="G1570" s="24"/>
      <c r="H1570" s="24"/>
      <c r="I1570" s="22" t="str">
        <f t="shared" si="7"/>
        <v/>
      </c>
      <c r="J1570" s="20" t="b">
        <v>0</v>
      </c>
      <c r="K1570" s="13" t="str">
        <f t="shared" si="8"/>
        <v/>
      </c>
    </row>
    <row r="1571" ht="22.5" customHeight="1">
      <c r="B1571" s="13">
        <f t="shared" si="3"/>
        <v>1565</v>
      </c>
      <c r="C1571" s="15" t="str">
        <f t="array" ref="C1571">IFNA(_xlfn.XLOOKUP(B1571,Table_Respons_Loket[Count],Table_Respons_Loket[Nomor Tiket]),"")</f>
        <v/>
      </c>
      <c r="D1571" s="15" t="str">
        <f t="array" ref="D1571">IFNA(_xlfn.XLOOKUP(B1571,Table_Respons_Loket[Count],Table_Respons_Loket[Daftar Nomor Hak]),"")</f>
        <v/>
      </c>
      <c r="E1571" s="17" t="str">
        <f t="array" ref="E1571">IFNA(_xlfn.XLOOKUP(B1571,Table_Respons_Loket[Count],Table_Respons_Loket[Time Stamp]),"")</f>
        <v/>
      </c>
      <c r="F1571" s="18" t="str">
        <f t="array" ref="F1571">IFNA(_xlfn.XLOOKUP(B1571,Table_Respons_Loket[Count],Table_Respons_Loket[Jenis Permohonan]),"")</f>
        <v/>
      </c>
      <c r="G1571" s="24"/>
      <c r="H1571" s="24"/>
      <c r="I1571" s="22" t="str">
        <f t="shared" si="7"/>
        <v/>
      </c>
      <c r="J1571" s="20" t="b">
        <v>0</v>
      </c>
      <c r="K1571" s="13" t="str">
        <f t="shared" si="8"/>
        <v/>
      </c>
    </row>
    <row r="1572" ht="22.5" customHeight="1">
      <c r="B1572" s="13">
        <f t="shared" si="3"/>
        <v>1566</v>
      </c>
      <c r="C1572" s="15" t="str">
        <f t="array" ref="C1572">IFNA(_xlfn.XLOOKUP(B1572,Table_Respons_Loket[Count],Table_Respons_Loket[Nomor Tiket]),"")</f>
        <v/>
      </c>
      <c r="D1572" s="15" t="str">
        <f t="array" ref="D1572">IFNA(_xlfn.XLOOKUP(B1572,Table_Respons_Loket[Count],Table_Respons_Loket[Daftar Nomor Hak]),"")</f>
        <v/>
      </c>
      <c r="E1572" s="17" t="str">
        <f t="array" ref="E1572">IFNA(_xlfn.XLOOKUP(B1572,Table_Respons_Loket[Count],Table_Respons_Loket[Time Stamp]),"")</f>
        <v/>
      </c>
      <c r="F1572" s="18" t="str">
        <f t="array" ref="F1572">IFNA(_xlfn.XLOOKUP(B1572,Table_Respons_Loket[Count],Table_Respons_Loket[Jenis Permohonan]),"")</f>
        <v/>
      </c>
      <c r="G1572" s="24"/>
      <c r="H1572" s="24"/>
      <c r="I1572" s="22" t="str">
        <f t="shared" si="7"/>
        <v/>
      </c>
      <c r="J1572" s="20" t="b">
        <v>0</v>
      </c>
      <c r="K1572" s="13" t="str">
        <f t="shared" si="8"/>
        <v/>
      </c>
    </row>
    <row r="1573" ht="22.5" customHeight="1">
      <c r="B1573" s="13">
        <f t="shared" si="3"/>
        <v>1567</v>
      </c>
      <c r="C1573" s="15" t="str">
        <f t="array" ref="C1573">IFNA(_xlfn.XLOOKUP(B1573,Table_Respons_Loket[Count],Table_Respons_Loket[Nomor Tiket]),"")</f>
        <v/>
      </c>
      <c r="D1573" s="15" t="str">
        <f t="array" ref="D1573">IFNA(_xlfn.XLOOKUP(B1573,Table_Respons_Loket[Count],Table_Respons_Loket[Daftar Nomor Hak]),"")</f>
        <v/>
      </c>
      <c r="E1573" s="17" t="str">
        <f t="array" ref="E1573">IFNA(_xlfn.XLOOKUP(B1573,Table_Respons_Loket[Count],Table_Respons_Loket[Time Stamp]),"")</f>
        <v/>
      </c>
      <c r="F1573" s="18" t="str">
        <f t="array" ref="F1573">IFNA(_xlfn.XLOOKUP(B1573,Table_Respons_Loket[Count],Table_Respons_Loket[Jenis Permohonan]),"")</f>
        <v/>
      </c>
      <c r="G1573" s="24"/>
      <c r="H1573" s="24"/>
      <c r="I1573" s="22" t="str">
        <f t="shared" si="7"/>
        <v/>
      </c>
      <c r="J1573" s="20" t="b">
        <v>0</v>
      </c>
      <c r="K1573" s="13" t="str">
        <f t="shared" si="8"/>
        <v/>
      </c>
    </row>
    <row r="1574" ht="22.5" customHeight="1">
      <c r="B1574" s="13">
        <f t="shared" si="3"/>
        <v>1568</v>
      </c>
      <c r="C1574" s="15" t="str">
        <f t="array" ref="C1574">IFNA(_xlfn.XLOOKUP(B1574,Table_Respons_Loket[Count],Table_Respons_Loket[Nomor Tiket]),"")</f>
        <v/>
      </c>
      <c r="D1574" s="15" t="str">
        <f t="array" ref="D1574">IFNA(_xlfn.XLOOKUP(B1574,Table_Respons_Loket[Count],Table_Respons_Loket[Daftar Nomor Hak]),"")</f>
        <v/>
      </c>
      <c r="E1574" s="17" t="str">
        <f t="array" ref="E1574">IFNA(_xlfn.XLOOKUP(B1574,Table_Respons_Loket[Count],Table_Respons_Loket[Time Stamp]),"")</f>
        <v/>
      </c>
      <c r="F1574" s="18" t="str">
        <f t="array" ref="F1574">IFNA(_xlfn.XLOOKUP(B1574,Table_Respons_Loket[Count],Table_Respons_Loket[Jenis Permohonan]),"")</f>
        <v/>
      </c>
      <c r="G1574" s="24"/>
      <c r="H1574" s="24"/>
      <c r="I1574" s="22" t="str">
        <f t="shared" si="7"/>
        <v/>
      </c>
      <c r="J1574" s="20" t="b">
        <v>0</v>
      </c>
      <c r="K1574" s="13" t="str">
        <f t="shared" si="8"/>
        <v/>
      </c>
    </row>
    <row r="1575" ht="22.5" customHeight="1">
      <c r="B1575" s="13">
        <f t="shared" si="3"/>
        <v>1569</v>
      </c>
      <c r="C1575" s="15" t="str">
        <f t="array" ref="C1575">IFNA(_xlfn.XLOOKUP(B1575,Table_Respons_Loket[Count],Table_Respons_Loket[Nomor Tiket]),"")</f>
        <v/>
      </c>
      <c r="D1575" s="15" t="str">
        <f t="array" ref="D1575">IFNA(_xlfn.XLOOKUP(B1575,Table_Respons_Loket[Count],Table_Respons_Loket[Daftar Nomor Hak]),"")</f>
        <v/>
      </c>
      <c r="E1575" s="17" t="str">
        <f t="array" ref="E1575">IFNA(_xlfn.XLOOKUP(B1575,Table_Respons_Loket[Count],Table_Respons_Loket[Time Stamp]),"")</f>
        <v/>
      </c>
      <c r="F1575" s="18" t="str">
        <f t="array" ref="F1575">IFNA(_xlfn.XLOOKUP(B1575,Table_Respons_Loket[Count],Table_Respons_Loket[Jenis Permohonan]),"")</f>
        <v/>
      </c>
      <c r="G1575" s="24"/>
      <c r="H1575" s="24"/>
      <c r="I1575" s="22" t="str">
        <f t="shared" si="7"/>
        <v/>
      </c>
      <c r="J1575" s="20" t="b">
        <v>0</v>
      </c>
      <c r="K1575" s="13" t="str">
        <f t="shared" si="8"/>
        <v/>
      </c>
    </row>
    <row r="1576" ht="22.5" customHeight="1">
      <c r="B1576" s="13">
        <f t="shared" si="3"/>
        <v>1570</v>
      </c>
      <c r="C1576" s="15" t="str">
        <f t="array" ref="C1576">IFNA(_xlfn.XLOOKUP(B1576,Table_Respons_Loket[Count],Table_Respons_Loket[Nomor Tiket]),"")</f>
        <v/>
      </c>
      <c r="D1576" s="15" t="str">
        <f t="array" ref="D1576">IFNA(_xlfn.XLOOKUP(B1576,Table_Respons_Loket[Count],Table_Respons_Loket[Daftar Nomor Hak]),"")</f>
        <v/>
      </c>
      <c r="E1576" s="17" t="str">
        <f t="array" ref="E1576">IFNA(_xlfn.XLOOKUP(B1576,Table_Respons_Loket[Count],Table_Respons_Loket[Time Stamp]),"")</f>
        <v/>
      </c>
      <c r="F1576" s="18" t="str">
        <f t="array" ref="F1576">IFNA(_xlfn.XLOOKUP(B1576,Table_Respons_Loket[Count],Table_Respons_Loket[Jenis Permohonan]),"")</f>
        <v/>
      </c>
      <c r="G1576" s="24"/>
      <c r="H1576" s="24"/>
      <c r="I1576" s="22" t="str">
        <f t="shared" si="7"/>
        <v/>
      </c>
      <c r="J1576" s="20" t="b">
        <v>0</v>
      </c>
      <c r="K1576" s="13" t="str">
        <f t="shared" si="8"/>
        <v/>
      </c>
    </row>
    <row r="1577" ht="22.5" customHeight="1">
      <c r="B1577" s="13">
        <f t="shared" si="3"/>
        <v>1571</v>
      </c>
      <c r="C1577" s="15" t="str">
        <f t="array" ref="C1577">IFNA(_xlfn.XLOOKUP(B1577,Table_Respons_Loket[Count],Table_Respons_Loket[Nomor Tiket]),"")</f>
        <v/>
      </c>
      <c r="D1577" s="15" t="str">
        <f t="array" ref="D1577">IFNA(_xlfn.XLOOKUP(B1577,Table_Respons_Loket[Count],Table_Respons_Loket[Daftar Nomor Hak]),"")</f>
        <v/>
      </c>
      <c r="E1577" s="17" t="str">
        <f t="array" ref="E1577">IFNA(_xlfn.XLOOKUP(B1577,Table_Respons_Loket[Count],Table_Respons_Loket[Time Stamp]),"")</f>
        <v/>
      </c>
      <c r="F1577" s="18" t="str">
        <f t="array" ref="F1577">IFNA(_xlfn.XLOOKUP(B1577,Table_Respons_Loket[Count],Table_Respons_Loket[Jenis Permohonan]),"")</f>
        <v/>
      </c>
      <c r="G1577" s="24"/>
      <c r="H1577" s="24"/>
      <c r="I1577" s="22" t="str">
        <f t="shared" si="7"/>
        <v/>
      </c>
      <c r="J1577" s="20" t="b">
        <v>0</v>
      </c>
      <c r="K1577" s="13" t="str">
        <f t="shared" si="8"/>
        <v/>
      </c>
    </row>
    <row r="1578" ht="22.5" customHeight="1">
      <c r="B1578" s="13">
        <f t="shared" si="3"/>
        <v>1572</v>
      </c>
      <c r="C1578" s="15" t="str">
        <f t="array" ref="C1578">IFNA(_xlfn.XLOOKUP(B1578,Table_Respons_Loket[Count],Table_Respons_Loket[Nomor Tiket]),"")</f>
        <v/>
      </c>
      <c r="D1578" s="15" t="str">
        <f t="array" ref="D1578">IFNA(_xlfn.XLOOKUP(B1578,Table_Respons_Loket[Count],Table_Respons_Loket[Daftar Nomor Hak]),"")</f>
        <v/>
      </c>
      <c r="E1578" s="17" t="str">
        <f t="array" ref="E1578">IFNA(_xlfn.XLOOKUP(B1578,Table_Respons_Loket[Count],Table_Respons_Loket[Time Stamp]),"")</f>
        <v/>
      </c>
      <c r="F1578" s="18" t="str">
        <f t="array" ref="F1578">IFNA(_xlfn.XLOOKUP(B1578,Table_Respons_Loket[Count],Table_Respons_Loket[Jenis Permohonan]),"")</f>
        <v/>
      </c>
      <c r="G1578" s="24"/>
      <c r="H1578" s="24"/>
      <c r="I1578" s="22" t="str">
        <f t="shared" si="7"/>
        <v/>
      </c>
      <c r="J1578" s="20" t="b">
        <v>0</v>
      </c>
      <c r="K1578" s="13" t="str">
        <f t="shared" si="8"/>
        <v/>
      </c>
    </row>
    <row r="1579" ht="22.5" customHeight="1">
      <c r="B1579" s="13">
        <f t="shared" si="3"/>
        <v>1573</v>
      </c>
      <c r="C1579" s="15" t="str">
        <f t="array" ref="C1579">IFNA(_xlfn.XLOOKUP(B1579,Table_Respons_Loket[Count],Table_Respons_Loket[Nomor Tiket]),"")</f>
        <v/>
      </c>
      <c r="D1579" s="15" t="str">
        <f t="array" ref="D1579">IFNA(_xlfn.XLOOKUP(B1579,Table_Respons_Loket[Count],Table_Respons_Loket[Daftar Nomor Hak]),"")</f>
        <v/>
      </c>
      <c r="E1579" s="17" t="str">
        <f t="array" ref="E1579">IFNA(_xlfn.XLOOKUP(B1579,Table_Respons_Loket[Count],Table_Respons_Loket[Time Stamp]),"")</f>
        <v/>
      </c>
      <c r="F1579" s="18" t="str">
        <f t="array" ref="F1579">IFNA(_xlfn.XLOOKUP(B1579,Table_Respons_Loket[Count],Table_Respons_Loket[Jenis Permohonan]),"")</f>
        <v/>
      </c>
      <c r="G1579" s="24"/>
      <c r="H1579" s="24"/>
      <c r="I1579" s="22" t="str">
        <f t="shared" si="7"/>
        <v/>
      </c>
      <c r="J1579" s="20" t="b">
        <v>0</v>
      </c>
      <c r="K1579" s="13" t="str">
        <f t="shared" si="8"/>
        <v/>
      </c>
    </row>
    <row r="1580" ht="22.5" customHeight="1">
      <c r="B1580" s="13">
        <f t="shared" si="3"/>
        <v>1574</v>
      </c>
      <c r="C1580" s="15" t="str">
        <f t="array" ref="C1580">IFNA(_xlfn.XLOOKUP(B1580,Table_Respons_Loket[Count],Table_Respons_Loket[Nomor Tiket]),"")</f>
        <v/>
      </c>
      <c r="D1580" s="15" t="str">
        <f t="array" ref="D1580">IFNA(_xlfn.XLOOKUP(B1580,Table_Respons_Loket[Count],Table_Respons_Loket[Daftar Nomor Hak]),"")</f>
        <v/>
      </c>
      <c r="E1580" s="17" t="str">
        <f t="array" ref="E1580">IFNA(_xlfn.XLOOKUP(B1580,Table_Respons_Loket[Count],Table_Respons_Loket[Time Stamp]),"")</f>
        <v/>
      </c>
      <c r="F1580" s="18" t="str">
        <f t="array" ref="F1580">IFNA(_xlfn.XLOOKUP(B1580,Table_Respons_Loket[Count],Table_Respons_Loket[Jenis Permohonan]),"")</f>
        <v/>
      </c>
      <c r="G1580" s="24"/>
      <c r="H1580" s="24"/>
      <c r="I1580" s="22" t="str">
        <f t="shared" si="7"/>
        <v/>
      </c>
      <c r="J1580" s="20" t="b">
        <v>0</v>
      </c>
      <c r="K1580" s="13" t="str">
        <f t="shared" si="8"/>
        <v/>
      </c>
    </row>
    <row r="1581" ht="22.5" customHeight="1">
      <c r="B1581" s="13">
        <f t="shared" si="3"/>
        <v>1575</v>
      </c>
      <c r="C1581" s="15" t="str">
        <f t="array" ref="C1581">IFNA(_xlfn.XLOOKUP(B1581,Table_Respons_Loket[Count],Table_Respons_Loket[Nomor Tiket]),"")</f>
        <v/>
      </c>
      <c r="D1581" s="15" t="str">
        <f t="array" ref="D1581">IFNA(_xlfn.XLOOKUP(B1581,Table_Respons_Loket[Count],Table_Respons_Loket[Daftar Nomor Hak]),"")</f>
        <v/>
      </c>
      <c r="E1581" s="17" t="str">
        <f t="array" ref="E1581">IFNA(_xlfn.XLOOKUP(B1581,Table_Respons_Loket[Count],Table_Respons_Loket[Time Stamp]),"")</f>
        <v/>
      </c>
      <c r="F1581" s="18" t="str">
        <f t="array" ref="F1581">IFNA(_xlfn.XLOOKUP(B1581,Table_Respons_Loket[Count],Table_Respons_Loket[Jenis Permohonan]),"")</f>
        <v/>
      </c>
      <c r="G1581" s="24"/>
      <c r="H1581" s="24"/>
      <c r="I1581" s="22" t="str">
        <f t="shared" si="7"/>
        <v/>
      </c>
      <c r="J1581" s="20" t="b">
        <v>0</v>
      </c>
      <c r="K1581" s="13" t="str">
        <f t="shared" si="8"/>
        <v/>
      </c>
    </row>
    <row r="1582" ht="22.5" customHeight="1">
      <c r="B1582" s="13">
        <f t="shared" si="3"/>
        <v>1576</v>
      </c>
      <c r="C1582" s="15" t="str">
        <f t="array" ref="C1582">IFNA(_xlfn.XLOOKUP(B1582,Table_Respons_Loket[Count],Table_Respons_Loket[Nomor Tiket]),"")</f>
        <v/>
      </c>
      <c r="D1582" s="15" t="str">
        <f t="array" ref="D1582">IFNA(_xlfn.XLOOKUP(B1582,Table_Respons_Loket[Count],Table_Respons_Loket[Daftar Nomor Hak]),"")</f>
        <v/>
      </c>
      <c r="E1582" s="17" t="str">
        <f t="array" ref="E1582">IFNA(_xlfn.XLOOKUP(B1582,Table_Respons_Loket[Count],Table_Respons_Loket[Time Stamp]),"")</f>
        <v/>
      </c>
      <c r="F1582" s="18" t="str">
        <f t="array" ref="F1582">IFNA(_xlfn.XLOOKUP(B1582,Table_Respons_Loket[Count],Table_Respons_Loket[Jenis Permohonan]),"")</f>
        <v/>
      </c>
      <c r="G1582" s="24"/>
      <c r="H1582" s="24"/>
      <c r="I1582" s="22" t="str">
        <f t="shared" si="7"/>
        <v/>
      </c>
      <c r="J1582" s="20" t="b">
        <v>0</v>
      </c>
      <c r="K1582" s="13" t="str">
        <f t="shared" si="8"/>
        <v/>
      </c>
    </row>
    <row r="1583" ht="22.5" customHeight="1">
      <c r="B1583" s="13">
        <f t="shared" si="3"/>
        <v>1577</v>
      </c>
      <c r="C1583" s="15" t="str">
        <f t="array" ref="C1583">IFNA(_xlfn.XLOOKUP(B1583,Table_Respons_Loket[Count],Table_Respons_Loket[Nomor Tiket]),"")</f>
        <v/>
      </c>
      <c r="D1583" s="15" t="str">
        <f t="array" ref="D1583">IFNA(_xlfn.XLOOKUP(B1583,Table_Respons_Loket[Count],Table_Respons_Loket[Daftar Nomor Hak]),"")</f>
        <v/>
      </c>
      <c r="E1583" s="17" t="str">
        <f t="array" ref="E1583">IFNA(_xlfn.XLOOKUP(B1583,Table_Respons_Loket[Count],Table_Respons_Loket[Time Stamp]),"")</f>
        <v/>
      </c>
      <c r="F1583" s="18" t="str">
        <f t="array" ref="F1583">IFNA(_xlfn.XLOOKUP(B1583,Table_Respons_Loket[Count],Table_Respons_Loket[Jenis Permohonan]),"")</f>
        <v/>
      </c>
      <c r="G1583" s="24"/>
      <c r="H1583" s="24"/>
      <c r="I1583" s="22" t="str">
        <f t="shared" si="7"/>
        <v/>
      </c>
      <c r="J1583" s="20" t="b">
        <v>0</v>
      </c>
      <c r="K1583" s="13" t="str">
        <f t="shared" si="8"/>
        <v/>
      </c>
    </row>
    <row r="1584" ht="22.5" customHeight="1">
      <c r="B1584" s="13">
        <f t="shared" si="3"/>
        <v>1578</v>
      </c>
      <c r="C1584" s="15" t="str">
        <f t="array" ref="C1584">IFNA(_xlfn.XLOOKUP(B1584,Table_Respons_Loket[Count],Table_Respons_Loket[Nomor Tiket]),"")</f>
        <v/>
      </c>
      <c r="D1584" s="15" t="str">
        <f t="array" ref="D1584">IFNA(_xlfn.XLOOKUP(B1584,Table_Respons_Loket[Count],Table_Respons_Loket[Daftar Nomor Hak]),"")</f>
        <v/>
      </c>
      <c r="E1584" s="17" t="str">
        <f t="array" ref="E1584">IFNA(_xlfn.XLOOKUP(B1584,Table_Respons_Loket[Count],Table_Respons_Loket[Time Stamp]),"")</f>
        <v/>
      </c>
      <c r="F1584" s="18" t="str">
        <f t="array" ref="F1584">IFNA(_xlfn.XLOOKUP(B1584,Table_Respons_Loket[Count],Table_Respons_Loket[Jenis Permohonan]),"")</f>
        <v/>
      </c>
      <c r="G1584" s="24"/>
      <c r="H1584" s="24"/>
      <c r="I1584" s="22" t="str">
        <f t="shared" si="7"/>
        <v/>
      </c>
      <c r="J1584" s="20" t="b">
        <v>0</v>
      </c>
      <c r="K1584" s="13" t="str">
        <f t="shared" si="8"/>
        <v/>
      </c>
    </row>
    <row r="1585" ht="22.5" customHeight="1">
      <c r="B1585" s="13">
        <f t="shared" si="3"/>
        <v>1579</v>
      </c>
      <c r="C1585" s="15" t="str">
        <f t="array" ref="C1585">IFNA(_xlfn.XLOOKUP(B1585,Table_Respons_Loket[Count],Table_Respons_Loket[Nomor Tiket]),"")</f>
        <v/>
      </c>
      <c r="D1585" s="15" t="str">
        <f t="array" ref="D1585">IFNA(_xlfn.XLOOKUP(B1585,Table_Respons_Loket[Count],Table_Respons_Loket[Daftar Nomor Hak]),"")</f>
        <v/>
      </c>
      <c r="E1585" s="17" t="str">
        <f t="array" ref="E1585">IFNA(_xlfn.XLOOKUP(B1585,Table_Respons_Loket[Count],Table_Respons_Loket[Time Stamp]),"")</f>
        <v/>
      </c>
      <c r="F1585" s="18" t="str">
        <f t="array" ref="F1585">IFNA(_xlfn.XLOOKUP(B1585,Table_Respons_Loket[Count],Table_Respons_Loket[Jenis Permohonan]),"")</f>
        <v/>
      </c>
      <c r="G1585" s="24"/>
      <c r="H1585" s="24"/>
      <c r="I1585" s="22" t="str">
        <f t="shared" si="7"/>
        <v/>
      </c>
      <c r="J1585" s="20" t="b">
        <v>0</v>
      </c>
      <c r="K1585" s="13" t="str">
        <f t="shared" si="8"/>
        <v/>
      </c>
    </row>
    <row r="1586" ht="22.5" customHeight="1">
      <c r="B1586" s="13">
        <f t="shared" si="3"/>
        <v>1580</v>
      </c>
      <c r="C1586" s="15" t="str">
        <f t="array" ref="C1586">IFNA(_xlfn.XLOOKUP(B1586,Table_Respons_Loket[Count],Table_Respons_Loket[Nomor Tiket]),"")</f>
        <v/>
      </c>
      <c r="D1586" s="15" t="str">
        <f t="array" ref="D1586">IFNA(_xlfn.XLOOKUP(B1586,Table_Respons_Loket[Count],Table_Respons_Loket[Daftar Nomor Hak]),"")</f>
        <v/>
      </c>
      <c r="E1586" s="17" t="str">
        <f t="array" ref="E1586">IFNA(_xlfn.XLOOKUP(B1586,Table_Respons_Loket[Count],Table_Respons_Loket[Time Stamp]),"")</f>
        <v/>
      </c>
      <c r="F1586" s="18" t="str">
        <f t="array" ref="F1586">IFNA(_xlfn.XLOOKUP(B1586,Table_Respons_Loket[Count],Table_Respons_Loket[Jenis Permohonan]),"")</f>
        <v/>
      </c>
      <c r="G1586" s="24"/>
      <c r="H1586" s="24"/>
      <c r="I1586" s="22" t="str">
        <f t="shared" si="7"/>
        <v/>
      </c>
      <c r="J1586" s="20" t="b">
        <v>0</v>
      </c>
      <c r="K1586" s="13" t="str">
        <f t="shared" si="8"/>
        <v/>
      </c>
    </row>
    <row r="1587" ht="22.5" customHeight="1">
      <c r="B1587" s="13">
        <f t="shared" si="3"/>
        <v>1581</v>
      </c>
      <c r="C1587" s="15" t="str">
        <f t="array" ref="C1587">IFNA(_xlfn.XLOOKUP(B1587,Table_Respons_Loket[Count],Table_Respons_Loket[Nomor Tiket]),"")</f>
        <v/>
      </c>
      <c r="D1587" s="15" t="str">
        <f t="array" ref="D1587">IFNA(_xlfn.XLOOKUP(B1587,Table_Respons_Loket[Count],Table_Respons_Loket[Daftar Nomor Hak]),"")</f>
        <v/>
      </c>
      <c r="E1587" s="17" t="str">
        <f t="array" ref="E1587">IFNA(_xlfn.XLOOKUP(B1587,Table_Respons_Loket[Count],Table_Respons_Loket[Time Stamp]),"")</f>
        <v/>
      </c>
      <c r="F1587" s="18" t="str">
        <f t="array" ref="F1587">IFNA(_xlfn.XLOOKUP(B1587,Table_Respons_Loket[Count],Table_Respons_Loket[Jenis Permohonan]),"")</f>
        <v/>
      </c>
      <c r="G1587" s="24"/>
      <c r="H1587" s="24"/>
      <c r="I1587" s="22" t="str">
        <f t="shared" si="7"/>
        <v/>
      </c>
      <c r="J1587" s="20" t="b">
        <v>0</v>
      </c>
      <c r="K1587" s="13" t="str">
        <f t="shared" si="8"/>
        <v/>
      </c>
    </row>
    <row r="1588" ht="22.5" customHeight="1">
      <c r="B1588" s="13">
        <f t="shared" si="3"/>
        <v>1582</v>
      </c>
      <c r="C1588" s="15" t="str">
        <f t="array" ref="C1588">IFNA(_xlfn.XLOOKUP(B1588,Table_Respons_Loket[Count],Table_Respons_Loket[Nomor Tiket]),"")</f>
        <v/>
      </c>
      <c r="D1588" s="15" t="str">
        <f t="array" ref="D1588">IFNA(_xlfn.XLOOKUP(B1588,Table_Respons_Loket[Count],Table_Respons_Loket[Daftar Nomor Hak]),"")</f>
        <v/>
      </c>
      <c r="E1588" s="17" t="str">
        <f t="array" ref="E1588">IFNA(_xlfn.XLOOKUP(B1588,Table_Respons_Loket[Count],Table_Respons_Loket[Time Stamp]),"")</f>
        <v/>
      </c>
      <c r="F1588" s="18" t="str">
        <f t="array" ref="F1588">IFNA(_xlfn.XLOOKUP(B1588,Table_Respons_Loket[Count],Table_Respons_Loket[Jenis Permohonan]),"")</f>
        <v/>
      </c>
      <c r="G1588" s="24"/>
      <c r="H1588" s="24"/>
      <c r="I1588" s="22" t="str">
        <f t="shared" si="7"/>
        <v/>
      </c>
      <c r="J1588" s="20" t="b">
        <v>0</v>
      </c>
      <c r="K1588" s="13" t="str">
        <f t="shared" si="8"/>
        <v/>
      </c>
    </row>
    <row r="1589" ht="22.5" customHeight="1">
      <c r="B1589" s="13">
        <f t="shared" si="3"/>
        <v>1583</v>
      </c>
      <c r="C1589" s="15" t="str">
        <f t="array" ref="C1589">IFNA(_xlfn.XLOOKUP(B1589,Table_Respons_Loket[Count],Table_Respons_Loket[Nomor Tiket]),"")</f>
        <v/>
      </c>
      <c r="D1589" s="15" t="str">
        <f t="array" ref="D1589">IFNA(_xlfn.XLOOKUP(B1589,Table_Respons_Loket[Count],Table_Respons_Loket[Daftar Nomor Hak]),"")</f>
        <v/>
      </c>
      <c r="E1589" s="17" t="str">
        <f t="array" ref="E1589">IFNA(_xlfn.XLOOKUP(B1589,Table_Respons_Loket[Count],Table_Respons_Loket[Time Stamp]),"")</f>
        <v/>
      </c>
      <c r="F1589" s="18" t="str">
        <f t="array" ref="F1589">IFNA(_xlfn.XLOOKUP(B1589,Table_Respons_Loket[Count],Table_Respons_Loket[Jenis Permohonan]),"")</f>
        <v/>
      </c>
      <c r="G1589" s="24"/>
      <c r="H1589" s="24"/>
      <c r="I1589" s="22" t="str">
        <f t="shared" si="7"/>
        <v/>
      </c>
      <c r="J1589" s="20" t="b">
        <v>0</v>
      </c>
      <c r="K1589" s="13" t="str">
        <f t="shared" si="8"/>
        <v/>
      </c>
    </row>
    <row r="1590" ht="22.5" customHeight="1">
      <c r="B1590" s="13">
        <f t="shared" si="3"/>
        <v>1584</v>
      </c>
      <c r="C1590" s="15" t="str">
        <f t="array" ref="C1590">IFNA(_xlfn.XLOOKUP(B1590,Table_Respons_Loket[Count],Table_Respons_Loket[Nomor Tiket]),"")</f>
        <v/>
      </c>
      <c r="D1590" s="15" t="str">
        <f t="array" ref="D1590">IFNA(_xlfn.XLOOKUP(B1590,Table_Respons_Loket[Count],Table_Respons_Loket[Daftar Nomor Hak]),"")</f>
        <v/>
      </c>
      <c r="E1590" s="17" t="str">
        <f t="array" ref="E1590">IFNA(_xlfn.XLOOKUP(B1590,Table_Respons_Loket[Count],Table_Respons_Loket[Time Stamp]),"")</f>
        <v/>
      </c>
      <c r="F1590" s="18" t="str">
        <f t="array" ref="F1590">IFNA(_xlfn.XLOOKUP(B1590,Table_Respons_Loket[Count],Table_Respons_Loket[Jenis Permohonan]),"")</f>
        <v/>
      </c>
      <c r="G1590" s="24"/>
      <c r="H1590" s="24"/>
      <c r="I1590" s="22" t="str">
        <f t="shared" si="7"/>
        <v/>
      </c>
      <c r="J1590" s="20" t="b">
        <v>0</v>
      </c>
      <c r="K1590" s="13" t="str">
        <f t="shared" si="8"/>
        <v/>
      </c>
    </row>
    <row r="1591" ht="22.5" customHeight="1">
      <c r="B1591" s="13">
        <f t="shared" si="3"/>
        <v>1585</v>
      </c>
      <c r="C1591" s="15" t="str">
        <f t="array" ref="C1591">IFNA(_xlfn.XLOOKUP(B1591,Table_Respons_Loket[Count],Table_Respons_Loket[Nomor Tiket]),"")</f>
        <v/>
      </c>
      <c r="D1591" s="15" t="str">
        <f t="array" ref="D1591">IFNA(_xlfn.XLOOKUP(B1591,Table_Respons_Loket[Count],Table_Respons_Loket[Daftar Nomor Hak]),"")</f>
        <v/>
      </c>
      <c r="E1591" s="17" t="str">
        <f t="array" ref="E1591">IFNA(_xlfn.XLOOKUP(B1591,Table_Respons_Loket[Count],Table_Respons_Loket[Time Stamp]),"")</f>
        <v/>
      </c>
      <c r="F1591" s="18" t="str">
        <f t="array" ref="F1591">IFNA(_xlfn.XLOOKUP(B1591,Table_Respons_Loket[Count],Table_Respons_Loket[Jenis Permohonan]),"")</f>
        <v/>
      </c>
      <c r="G1591" s="24"/>
      <c r="H1591" s="24"/>
      <c r="I1591" s="22" t="str">
        <f t="shared" si="7"/>
        <v/>
      </c>
      <c r="J1591" s="20" t="b">
        <v>0</v>
      </c>
      <c r="K1591" s="13" t="str">
        <f t="shared" si="8"/>
        <v/>
      </c>
    </row>
    <row r="1592" ht="22.5" customHeight="1">
      <c r="B1592" s="13">
        <f t="shared" si="3"/>
        <v>1586</v>
      </c>
      <c r="C1592" s="15" t="str">
        <f t="array" ref="C1592">IFNA(_xlfn.XLOOKUP(B1592,Table_Respons_Loket[Count],Table_Respons_Loket[Nomor Tiket]),"")</f>
        <v/>
      </c>
      <c r="D1592" s="15" t="str">
        <f t="array" ref="D1592">IFNA(_xlfn.XLOOKUP(B1592,Table_Respons_Loket[Count],Table_Respons_Loket[Daftar Nomor Hak]),"")</f>
        <v/>
      </c>
      <c r="E1592" s="17" t="str">
        <f t="array" ref="E1592">IFNA(_xlfn.XLOOKUP(B1592,Table_Respons_Loket[Count],Table_Respons_Loket[Time Stamp]),"")</f>
        <v/>
      </c>
      <c r="F1592" s="18" t="str">
        <f t="array" ref="F1592">IFNA(_xlfn.XLOOKUP(B1592,Table_Respons_Loket[Count],Table_Respons_Loket[Jenis Permohonan]),"")</f>
        <v/>
      </c>
      <c r="G1592" s="24"/>
      <c r="H1592" s="24"/>
      <c r="I1592" s="22" t="str">
        <f t="shared" si="7"/>
        <v/>
      </c>
      <c r="J1592" s="20" t="b">
        <v>0</v>
      </c>
      <c r="K1592" s="13" t="str">
        <f t="shared" si="8"/>
        <v/>
      </c>
    </row>
    <row r="1593" ht="22.5" customHeight="1">
      <c r="B1593" s="13">
        <f t="shared" si="3"/>
        <v>1587</v>
      </c>
      <c r="C1593" s="15" t="str">
        <f t="array" ref="C1593">IFNA(_xlfn.XLOOKUP(B1593,Table_Respons_Loket[Count],Table_Respons_Loket[Nomor Tiket]),"")</f>
        <v/>
      </c>
      <c r="D1593" s="15" t="str">
        <f t="array" ref="D1593">IFNA(_xlfn.XLOOKUP(B1593,Table_Respons_Loket[Count],Table_Respons_Loket[Daftar Nomor Hak]),"")</f>
        <v/>
      </c>
      <c r="E1593" s="17" t="str">
        <f t="array" ref="E1593">IFNA(_xlfn.XLOOKUP(B1593,Table_Respons_Loket[Count],Table_Respons_Loket[Time Stamp]),"")</f>
        <v/>
      </c>
      <c r="F1593" s="18" t="str">
        <f t="array" ref="F1593">IFNA(_xlfn.XLOOKUP(B1593,Table_Respons_Loket[Count],Table_Respons_Loket[Jenis Permohonan]),"")</f>
        <v/>
      </c>
      <c r="G1593" s="24"/>
      <c r="H1593" s="24"/>
      <c r="I1593" s="22" t="str">
        <f t="shared" si="7"/>
        <v/>
      </c>
      <c r="J1593" s="20" t="b">
        <v>0</v>
      </c>
      <c r="K1593" s="13" t="str">
        <f t="shared" si="8"/>
        <v/>
      </c>
    </row>
    <row r="1594" ht="22.5" customHeight="1">
      <c r="B1594" s="13">
        <f t="shared" si="3"/>
        <v>1588</v>
      </c>
      <c r="C1594" s="15" t="str">
        <f t="array" ref="C1594">IFNA(_xlfn.XLOOKUP(B1594,Table_Respons_Loket[Count],Table_Respons_Loket[Nomor Tiket]),"")</f>
        <v/>
      </c>
      <c r="D1594" s="15" t="str">
        <f t="array" ref="D1594">IFNA(_xlfn.XLOOKUP(B1594,Table_Respons_Loket[Count],Table_Respons_Loket[Daftar Nomor Hak]),"")</f>
        <v/>
      </c>
      <c r="E1594" s="17" t="str">
        <f t="array" ref="E1594">IFNA(_xlfn.XLOOKUP(B1594,Table_Respons_Loket[Count],Table_Respons_Loket[Time Stamp]),"")</f>
        <v/>
      </c>
      <c r="F1594" s="18" t="str">
        <f t="array" ref="F1594">IFNA(_xlfn.XLOOKUP(B1594,Table_Respons_Loket[Count],Table_Respons_Loket[Jenis Permohonan]),"")</f>
        <v/>
      </c>
      <c r="G1594" s="24"/>
      <c r="H1594" s="24"/>
      <c r="I1594" s="22" t="str">
        <f t="shared" si="7"/>
        <v/>
      </c>
      <c r="J1594" s="20" t="b">
        <v>0</v>
      </c>
      <c r="K1594" s="13" t="str">
        <f t="shared" si="8"/>
        <v/>
      </c>
    </row>
    <row r="1595" ht="22.5" customHeight="1">
      <c r="B1595" s="13">
        <f t="shared" si="3"/>
        <v>1589</v>
      </c>
      <c r="C1595" s="15" t="str">
        <f t="array" ref="C1595">IFNA(_xlfn.XLOOKUP(B1595,Table_Respons_Loket[Count],Table_Respons_Loket[Nomor Tiket]),"")</f>
        <v/>
      </c>
      <c r="D1595" s="15" t="str">
        <f t="array" ref="D1595">IFNA(_xlfn.XLOOKUP(B1595,Table_Respons_Loket[Count],Table_Respons_Loket[Daftar Nomor Hak]),"")</f>
        <v/>
      </c>
      <c r="E1595" s="17" t="str">
        <f t="array" ref="E1595">IFNA(_xlfn.XLOOKUP(B1595,Table_Respons_Loket[Count],Table_Respons_Loket[Time Stamp]),"")</f>
        <v/>
      </c>
      <c r="F1595" s="18" t="str">
        <f t="array" ref="F1595">IFNA(_xlfn.XLOOKUP(B1595,Table_Respons_Loket[Count],Table_Respons_Loket[Jenis Permohonan]),"")</f>
        <v/>
      </c>
      <c r="G1595" s="24"/>
      <c r="H1595" s="24"/>
      <c r="I1595" s="22" t="str">
        <f t="shared" si="7"/>
        <v/>
      </c>
      <c r="J1595" s="20" t="b">
        <v>0</v>
      </c>
      <c r="K1595" s="13" t="str">
        <f t="shared" si="8"/>
        <v/>
      </c>
    </row>
    <row r="1596" ht="22.5" customHeight="1">
      <c r="B1596" s="13">
        <f t="shared" si="3"/>
        <v>1590</v>
      </c>
      <c r="C1596" s="15" t="str">
        <f t="array" ref="C1596">IFNA(_xlfn.XLOOKUP(B1596,Table_Respons_Loket[Count],Table_Respons_Loket[Nomor Tiket]),"")</f>
        <v/>
      </c>
      <c r="D1596" s="15" t="str">
        <f t="array" ref="D1596">IFNA(_xlfn.XLOOKUP(B1596,Table_Respons_Loket[Count],Table_Respons_Loket[Daftar Nomor Hak]),"")</f>
        <v/>
      </c>
      <c r="E1596" s="17" t="str">
        <f t="array" ref="E1596">IFNA(_xlfn.XLOOKUP(B1596,Table_Respons_Loket[Count],Table_Respons_Loket[Time Stamp]),"")</f>
        <v/>
      </c>
      <c r="F1596" s="18" t="str">
        <f t="array" ref="F1596">IFNA(_xlfn.XLOOKUP(B1596,Table_Respons_Loket[Count],Table_Respons_Loket[Jenis Permohonan]),"")</f>
        <v/>
      </c>
      <c r="G1596" s="24"/>
      <c r="H1596" s="24"/>
      <c r="I1596" s="22" t="str">
        <f t="shared" si="7"/>
        <v/>
      </c>
      <c r="J1596" s="20" t="b">
        <v>0</v>
      </c>
      <c r="K1596" s="13" t="str">
        <f t="shared" si="8"/>
        <v/>
      </c>
    </row>
    <row r="1597" ht="22.5" customHeight="1">
      <c r="B1597" s="13">
        <f t="shared" si="3"/>
        <v>1591</v>
      </c>
      <c r="C1597" s="15" t="str">
        <f t="array" ref="C1597">IFNA(_xlfn.XLOOKUP(B1597,Table_Respons_Loket[Count],Table_Respons_Loket[Nomor Tiket]),"")</f>
        <v/>
      </c>
      <c r="D1597" s="15" t="str">
        <f t="array" ref="D1597">IFNA(_xlfn.XLOOKUP(B1597,Table_Respons_Loket[Count],Table_Respons_Loket[Daftar Nomor Hak]),"")</f>
        <v/>
      </c>
      <c r="E1597" s="17" t="str">
        <f t="array" ref="E1597">IFNA(_xlfn.XLOOKUP(B1597,Table_Respons_Loket[Count],Table_Respons_Loket[Time Stamp]),"")</f>
        <v/>
      </c>
      <c r="F1597" s="18" t="str">
        <f t="array" ref="F1597">IFNA(_xlfn.XLOOKUP(B1597,Table_Respons_Loket[Count],Table_Respons_Loket[Jenis Permohonan]),"")</f>
        <v/>
      </c>
      <c r="G1597" s="24"/>
      <c r="H1597" s="24"/>
      <c r="I1597" s="22" t="str">
        <f t="shared" si="7"/>
        <v/>
      </c>
      <c r="J1597" s="20" t="b">
        <v>0</v>
      </c>
      <c r="K1597" s="13" t="str">
        <f t="shared" si="8"/>
        <v/>
      </c>
    </row>
    <row r="1598" ht="22.5" customHeight="1">
      <c r="B1598" s="13">
        <f t="shared" si="3"/>
        <v>1592</v>
      </c>
      <c r="C1598" s="15" t="str">
        <f t="array" ref="C1598">IFNA(_xlfn.XLOOKUP(B1598,Table_Respons_Loket[Count],Table_Respons_Loket[Nomor Tiket]),"")</f>
        <v/>
      </c>
      <c r="D1598" s="15" t="str">
        <f t="array" ref="D1598">IFNA(_xlfn.XLOOKUP(B1598,Table_Respons_Loket[Count],Table_Respons_Loket[Daftar Nomor Hak]),"")</f>
        <v/>
      </c>
      <c r="E1598" s="17" t="str">
        <f t="array" ref="E1598">IFNA(_xlfn.XLOOKUP(B1598,Table_Respons_Loket[Count],Table_Respons_Loket[Time Stamp]),"")</f>
        <v/>
      </c>
      <c r="F1598" s="18" t="str">
        <f t="array" ref="F1598">IFNA(_xlfn.XLOOKUP(B1598,Table_Respons_Loket[Count],Table_Respons_Loket[Jenis Permohonan]),"")</f>
        <v/>
      </c>
      <c r="G1598" s="24"/>
      <c r="H1598" s="24"/>
      <c r="I1598" s="22" t="str">
        <f t="shared" si="7"/>
        <v/>
      </c>
      <c r="J1598" s="20" t="b">
        <v>0</v>
      </c>
      <c r="K1598" s="13" t="str">
        <f t="shared" si="8"/>
        <v/>
      </c>
    </row>
    <row r="1599" ht="22.5" customHeight="1">
      <c r="B1599" s="13">
        <f t="shared" si="3"/>
        <v>1593</v>
      </c>
      <c r="C1599" s="15" t="str">
        <f t="array" ref="C1599">IFNA(_xlfn.XLOOKUP(B1599,Table_Respons_Loket[Count],Table_Respons_Loket[Nomor Tiket]),"")</f>
        <v/>
      </c>
      <c r="D1599" s="15" t="str">
        <f t="array" ref="D1599">IFNA(_xlfn.XLOOKUP(B1599,Table_Respons_Loket[Count],Table_Respons_Loket[Daftar Nomor Hak]),"")</f>
        <v/>
      </c>
      <c r="E1599" s="17" t="str">
        <f t="array" ref="E1599">IFNA(_xlfn.XLOOKUP(B1599,Table_Respons_Loket[Count],Table_Respons_Loket[Time Stamp]),"")</f>
        <v/>
      </c>
      <c r="F1599" s="18" t="str">
        <f t="array" ref="F1599">IFNA(_xlfn.XLOOKUP(B1599,Table_Respons_Loket[Count],Table_Respons_Loket[Jenis Permohonan]),"")</f>
        <v/>
      </c>
      <c r="G1599" s="24"/>
      <c r="H1599" s="24"/>
      <c r="I1599" s="22" t="str">
        <f t="shared" si="7"/>
        <v/>
      </c>
      <c r="J1599" s="20" t="b">
        <v>0</v>
      </c>
      <c r="K1599" s="13" t="str">
        <f t="shared" si="8"/>
        <v/>
      </c>
    </row>
    <row r="1600" ht="22.5" customHeight="1">
      <c r="B1600" s="13">
        <f t="shared" si="3"/>
        <v>1594</v>
      </c>
      <c r="C1600" s="15" t="str">
        <f t="array" ref="C1600">IFNA(_xlfn.XLOOKUP(B1600,Table_Respons_Loket[Count],Table_Respons_Loket[Nomor Tiket]),"")</f>
        <v/>
      </c>
      <c r="D1600" s="15" t="str">
        <f t="array" ref="D1600">IFNA(_xlfn.XLOOKUP(B1600,Table_Respons_Loket[Count],Table_Respons_Loket[Daftar Nomor Hak]),"")</f>
        <v/>
      </c>
      <c r="E1600" s="17" t="str">
        <f t="array" ref="E1600">IFNA(_xlfn.XLOOKUP(B1600,Table_Respons_Loket[Count],Table_Respons_Loket[Time Stamp]),"")</f>
        <v/>
      </c>
      <c r="F1600" s="18" t="str">
        <f t="array" ref="F1600">IFNA(_xlfn.XLOOKUP(B1600,Table_Respons_Loket[Count],Table_Respons_Loket[Jenis Permohonan]),"")</f>
        <v/>
      </c>
      <c r="G1600" s="24"/>
      <c r="H1600" s="24"/>
      <c r="I1600" s="22" t="str">
        <f t="shared" si="7"/>
        <v/>
      </c>
      <c r="J1600" s="20" t="b">
        <v>0</v>
      </c>
      <c r="K1600" s="13" t="str">
        <f t="shared" si="8"/>
        <v/>
      </c>
    </row>
    <row r="1601" ht="22.5" customHeight="1">
      <c r="B1601" s="13">
        <f t="shared" si="3"/>
        <v>1595</v>
      </c>
      <c r="C1601" s="15" t="str">
        <f t="array" ref="C1601">IFNA(_xlfn.XLOOKUP(B1601,Table_Respons_Loket[Count],Table_Respons_Loket[Nomor Tiket]),"")</f>
        <v/>
      </c>
      <c r="D1601" s="15" t="str">
        <f t="array" ref="D1601">IFNA(_xlfn.XLOOKUP(B1601,Table_Respons_Loket[Count],Table_Respons_Loket[Daftar Nomor Hak]),"")</f>
        <v/>
      </c>
      <c r="E1601" s="17" t="str">
        <f t="array" ref="E1601">IFNA(_xlfn.XLOOKUP(B1601,Table_Respons_Loket[Count],Table_Respons_Loket[Time Stamp]),"")</f>
        <v/>
      </c>
      <c r="F1601" s="18" t="str">
        <f t="array" ref="F1601">IFNA(_xlfn.XLOOKUP(B1601,Table_Respons_Loket[Count],Table_Respons_Loket[Jenis Permohonan]),"")</f>
        <v/>
      </c>
      <c r="G1601" s="24"/>
      <c r="H1601" s="24"/>
      <c r="I1601" s="22" t="str">
        <f t="shared" si="7"/>
        <v/>
      </c>
      <c r="J1601" s="20" t="b">
        <v>0</v>
      </c>
      <c r="K1601" s="13" t="str">
        <f t="shared" si="8"/>
        <v/>
      </c>
    </row>
    <row r="1602" ht="22.5" customHeight="1">
      <c r="B1602" s="13">
        <f t="shared" si="3"/>
        <v>1596</v>
      </c>
      <c r="C1602" s="15" t="str">
        <f t="array" ref="C1602">IFNA(_xlfn.XLOOKUP(B1602,Table_Respons_Loket[Count],Table_Respons_Loket[Nomor Tiket]),"")</f>
        <v/>
      </c>
      <c r="D1602" s="15" t="str">
        <f t="array" ref="D1602">IFNA(_xlfn.XLOOKUP(B1602,Table_Respons_Loket[Count],Table_Respons_Loket[Daftar Nomor Hak]),"")</f>
        <v/>
      </c>
      <c r="E1602" s="17" t="str">
        <f t="array" ref="E1602">IFNA(_xlfn.XLOOKUP(B1602,Table_Respons_Loket[Count],Table_Respons_Loket[Time Stamp]),"")</f>
        <v/>
      </c>
      <c r="F1602" s="18" t="str">
        <f t="array" ref="F1602">IFNA(_xlfn.XLOOKUP(B1602,Table_Respons_Loket[Count],Table_Respons_Loket[Jenis Permohonan]),"")</f>
        <v/>
      </c>
      <c r="G1602" s="24"/>
      <c r="H1602" s="24"/>
      <c r="I1602" s="22" t="str">
        <f t="shared" si="7"/>
        <v/>
      </c>
      <c r="J1602" s="20" t="b">
        <v>0</v>
      </c>
      <c r="K1602" s="13" t="str">
        <f t="shared" si="8"/>
        <v/>
      </c>
    </row>
    <row r="1603" ht="22.5" customHeight="1">
      <c r="B1603" s="13">
        <f t="shared" si="3"/>
        <v>1597</v>
      </c>
      <c r="C1603" s="15" t="str">
        <f t="array" ref="C1603">IFNA(_xlfn.XLOOKUP(B1603,Table_Respons_Loket[Count],Table_Respons_Loket[Nomor Tiket]),"")</f>
        <v/>
      </c>
      <c r="D1603" s="15" t="str">
        <f t="array" ref="D1603">IFNA(_xlfn.XLOOKUP(B1603,Table_Respons_Loket[Count],Table_Respons_Loket[Daftar Nomor Hak]),"")</f>
        <v/>
      </c>
      <c r="E1603" s="17" t="str">
        <f t="array" ref="E1603">IFNA(_xlfn.XLOOKUP(B1603,Table_Respons_Loket[Count],Table_Respons_Loket[Time Stamp]),"")</f>
        <v/>
      </c>
      <c r="F1603" s="18" t="str">
        <f t="array" ref="F1603">IFNA(_xlfn.XLOOKUP(B1603,Table_Respons_Loket[Count],Table_Respons_Loket[Jenis Permohonan]),"")</f>
        <v/>
      </c>
      <c r="G1603" s="24"/>
      <c r="H1603" s="24"/>
      <c r="I1603" s="22" t="str">
        <f t="shared" si="7"/>
        <v/>
      </c>
      <c r="J1603" s="20" t="b">
        <v>0</v>
      </c>
      <c r="K1603" s="13" t="str">
        <f t="shared" si="8"/>
        <v/>
      </c>
    </row>
    <row r="1604" ht="22.5" customHeight="1">
      <c r="B1604" s="13">
        <f t="shared" si="3"/>
        <v>1598</v>
      </c>
      <c r="C1604" s="15" t="str">
        <f t="array" ref="C1604">IFNA(_xlfn.XLOOKUP(B1604,Table_Respons_Loket[Count],Table_Respons_Loket[Nomor Tiket]),"")</f>
        <v/>
      </c>
      <c r="D1604" s="15" t="str">
        <f t="array" ref="D1604">IFNA(_xlfn.XLOOKUP(B1604,Table_Respons_Loket[Count],Table_Respons_Loket[Daftar Nomor Hak]),"")</f>
        <v/>
      </c>
      <c r="E1604" s="17" t="str">
        <f t="array" ref="E1604">IFNA(_xlfn.XLOOKUP(B1604,Table_Respons_Loket[Count],Table_Respons_Loket[Time Stamp]),"")</f>
        <v/>
      </c>
      <c r="F1604" s="18" t="str">
        <f t="array" ref="F1604">IFNA(_xlfn.XLOOKUP(B1604,Table_Respons_Loket[Count],Table_Respons_Loket[Jenis Permohonan]),"")</f>
        <v/>
      </c>
      <c r="G1604" s="24"/>
      <c r="H1604" s="24"/>
      <c r="I1604" s="22" t="str">
        <f t="shared" si="7"/>
        <v/>
      </c>
      <c r="J1604" s="20" t="b">
        <v>0</v>
      </c>
      <c r="K1604" s="13" t="str">
        <f t="shared" si="8"/>
        <v/>
      </c>
    </row>
    <row r="1605" ht="22.5" customHeight="1">
      <c r="B1605" s="13">
        <f t="shared" si="3"/>
        <v>1599</v>
      </c>
      <c r="C1605" s="15" t="str">
        <f t="array" ref="C1605">IFNA(_xlfn.XLOOKUP(B1605,Table_Respons_Loket[Count],Table_Respons_Loket[Nomor Tiket]),"")</f>
        <v/>
      </c>
      <c r="D1605" s="15" t="str">
        <f t="array" ref="D1605">IFNA(_xlfn.XLOOKUP(B1605,Table_Respons_Loket[Count],Table_Respons_Loket[Daftar Nomor Hak]),"")</f>
        <v/>
      </c>
      <c r="E1605" s="17" t="str">
        <f t="array" ref="E1605">IFNA(_xlfn.XLOOKUP(B1605,Table_Respons_Loket[Count],Table_Respons_Loket[Time Stamp]),"")</f>
        <v/>
      </c>
      <c r="F1605" s="18" t="str">
        <f t="array" ref="F1605">IFNA(_xlfn.XLOOKUP(B1605,Table_Respons_Loket[Count],Table_Respons_Loket[Jenis Permohonan]),"")</f>
        <v/>
      </c>
      <c r="G1605" s="24"/>
      <c r="H1605" s="24"/>
      <c r="I1605" s="22" t="str">
        <f t="shared" si="7"/>
        <v/>
      </c>
      <c r="J1605" s="20" t="b">
        <v>0</v>
      </c>
      <c r="K1605" s="13" t="str">
        <f t="shared" si="8"/>
        <v/>
      </c>
    </row>
    <row r="1606" ht="22.5" customHeight="1">
      <c r="B1606" s="13">
        <f t="shared" si="3"/>
        <v>1600</v>
      </c>
      <c r="C1606" s="15" t="str">
        <f t="array" ref="C1606">IFNA(_xlfn.XLOOKUP(B1606,Table_Respons_Loket[Count],Table_Respons_Loket[Nomor Tiket]),"")</f>
        <v/>
      </c>
      <c r="D1606" s="15" t="str">
        <f t="array" ref="D1606">IFNA(_xlfn.XLOOKUP(B1606,Table_Respons_Loket[Count],Table_Respons_Loket[Daftar Nomor Hak]),"")</f>
        <v/>
      </c>
      <c r="E1606" s="17" t="str">
        <f t="array" ref="E1606">IFNA(_xlfn.XLOOKUP(B1606,Table_Respons_Loket[Count],Table_Respons_Loket[Time Stamp]),"")</f>
        <v/>
      </c>
      <c r="F1606" s="18" t="str">
        <f t="array" ref="F1606">IFNA(_xlfn.XLOOKUP(B1606,Table_Respons_Loket[Count],Table_Respons_Loket[Jenis Permohonan]),"")</f>
        <v/>
      </c>
      <c r="G1606" s="24"/>
      <c r="H1606" s="24"/>
      <c r="I1606" s="22" t="str">
        <f t="shared" si="7"/>
        <v/>
      </c>
      <c r="J1606" s="20" t="b">
        <v>0</v>
      </c>
      <c r="K1606" s="13" t="str">
        <f t="shared" si="8"/>
        <v/>
      </c>
    </row>
    <row r="1607" ht="22.5" customHeight="1">
      <c r="B1607" s="13">
        <f t="shared" si="3"/>
        <v>1601</v>
      </c>
      <c r="C1607" s="15" t="str">
        <f t="array" ref="C1607">IFNA(_xlfn.XLOOKUP(B1607,Table_Respons_Loket[Count],Table_Respons_Loket[Nomor Tiket]),"")</f>
        <v/>
      </c>
      <c r="D1607" s="15" t="str">
        <f t="array" ref="D1607">IFNA(_xlfn.XLOOKUP(B1607,Table_Respons_Loket[Count],Table_Respons_Loket[Daftar Nomor Hak]),"")</f>
        <v/>
      </c>
      <c r="E1607" s="17" t="str">
        <f t="array" ref="E1607">IFNA(_xlfn.XLOOKUP(B1607,Table_Respons_Loket[Count],Table_Respons_Loket[Time Stamp]),"")</f>
        <v/>
      </c>
      <c r="F1607" s="18" t="str">
        <f t="array" ref="F1607">IFNA(_xlfn.XLOOKUP(B1607,Table_Respons_Loket[Count],Table_Respons_Loket[Jenis Permohonan]),"")</f>
        <v/>
      </c>
      <c r="G1607" s="24"/>
      <c r="H1607" s="24"/>
      <c r="I1607" s="22" t="str">
        <f t="shared" si="7"/>
        <v/>
      </c>
      <c r="J1607" s="20" t="b">
        <v>0</v>
      </c>
      <c r="K1607" s="13" t="str">
        <f t="shared" si="8"/>
        <v/>
      </c>
    </row>
    <row r="1608" ht="22.5" customHeight="1">
      <c r="B1608" s="13">
        <f t="shared" si="3"/>
        <v>1602</v>
      </c>
      <c r="C1608" s="15" t="str">
        <f t="array" ref="C1608">IFNA(_xlfn.XLOOKUP(B1608,Table_Respons_Loket[Count],Table_Respons_Loket[Nomor Tiket]),"")</f>
        <v/>
      </c>
      <c r="D1608" s="15" t="str">
        <f t="array" ref="D1608">IFNA(_xlfn.XLOOKUP(B1608,Table_Respons_Loket[Count],Table_Respons_Loket[Daftar Nomor Hak]),"")</f>
        <v/>
      </c>
      <c r="E1608" s="17" t="str">
        <f t="array" ref="E1608">IFNA(_xlfn.XLOOKUP(B1608,Table_Respons_Loket[Count],Table_Respons_Loket[Time Stamp]),"")</f>
        <v/>
      </c>
      <c r="F1608" s="18" t="str">
        <f t="array" ref="F1608">IFNA(_xlfn.XLOOKUP(B1608,Table_Respons_Loket[Count],Table_Respons_Loket[Jenis Permohonan]),"")</f>
        <v/>
      </c>
      <c r="G1608" s="24"/>
      <c r="H1608" s="24"/>
      <c r="I1608" s="22" t="str">
        <f t="shared" si="7"/>
        <v/>
      </c>
      <c r="J1608" s="20" t="b">
        <v>0</v>
      </c>
      <c r="K1608" s="13" t="str">
        <f t="shared" si="8"/>
        <v/>
      </c>
    </row>
    <row r="1609" ht="22.5" customHeight="1">
      <c r="B1609" s="13">
        <f t="shared" si="3"/>
        <v>1603</v>
      </c>
      <c r="C1609" s="15" t="str">
        <f t="array" ref="C1609">IFNA(_xlfn.XLOOKUP(B1609,Table_Respons_Loket[Count],Table_Respons_Loket[Nomor Tiket]),"")</f>
        <v/>
      </c>
      <c r="D1609" s="15" t="str">
        <f t="array" ref="D1609">IFNA(_xlfn.XLOOKUP(B1609,Table_Respons_Loket[Count],Table_Respons_Loket[Daftar Nomor Hak]),"")</f>
        <v/>
      </c>
      <c r="E1609" s="17" t="str">
        <f t="array" ref="E1609">IFNA(_xlfn.XLOOKUP(B1609,Table_Respons_Loket[Count],Table_Respons_Loket[Time Stamp]),"")</f>
        <v/>
      </c>
      <c r="F1609" s="18" t="str">
        <f t="array" ref="F1609">IFNA(_xlfn.XLOOKUP(B1609,Table_Respons_Loket[Count],Table_Respons_Loket[Jenis Permohonan]),"")</f>
        <v/>
      </c>
      <c r="G1609" s="24"/>
      <c r="H1609" s="24"/>
      <c r="I1609" s="22" t="str">
        <f t="shared" si="7"/>
        <v/>
      </c>
      <c r="J1609" s="20" t="b">
        <v>0</v>
      </c>
      <c r="K1609" s="13" t="str">
        <f t="shared" si="8"/>
        <v/>
      </c>
    </row>
    <row r="1610" ht="22.5" customHeight="1">
      <c r="B1610" s="13">
        <f t="shared" si="3"/>
        <v>1604</v>
      </c>
      <c r="C1610" s="15" t="str">
        <f t="array" ref="C1610">IFNA(_xlfn.XLOOKUP(B1610,Table_Respons_Loket[Count],Table_Respons_Loket[Nomor Tiket]),"")</f>
        <v/>
      </c>
      <c r="D1610" s="15" t="str">
        <f t="array" ref="D1610">IFNA(_xlfn.XLOOKUP(B1610,Table_Respons_Loket[Count],Table_Respons_Loket[Daftar Nomor Hak]),"")</f>
        <v/>
      </c>
      <c r="E1610" s="17" t="str">
        <f t="array" ref="E1610">IFNA(_xlfn.XLOOKUP(B1610,Table_Respons_Loket[Count],Table_Respons_Loket[Time Stamp]),"")</f>
        <v/>
      </c>
      <c r="F1610" s="18" t="str">
        <f t="array" ref="F1610">IFNA(_xlfn.XLOOKUP(B1610,Table_Respons_Loket[Count],Table_Respons_Loket[Jenis Permohonan]),"")</f>
        <v/>
      </c>
      <c r="G1610" s="24"/>
      <c r="H1610" s="24"/>
      <c r="I1610" s="22" t="str">
        <f t="shared" si="7"/>
        <v/>
      </c>
      <c r="J1610" s="20" t="b">
        <v>0</v>
      </c>
      <c r="K1610" s="13" t="str">
        <f t="shared" si="8"/>
        <v/>
      </c>
    </row>
    <row r="1611" ht="22.5" customHeight="1">
      <c r="B1611" s="13">
        <f t="shared" si="3"/>
        <v>1605</v>
      </c>
      <c r="C1611" s="15" t="str">
        <f t="array" ref="C1611">IFNA(_xlfn.XLOOKUP(B1611,Table_Respons_Loket[Count],Table_Respons_Loket[Nomor Tiket]),"")</f>
        <v/>
      </c>
      <c r="D1611" s="15" t="str">
        <f t="array" ref="D1611">IFNA(_xlfn.XLOOKUP(B1611,Table_Respons_Loket[Count],Table_Respons_Loket[Daftar Nomor Hak]),"")</f>
        <v/>
      </c>
      <c r="E1611" s="17" t="str">
        <f t="array" ref="E1611">IFNA(_xlfn.XLOOKUP(B1611,Table_Respons_Loket[Count],Table_Respons_Loket[Time Stamp]),"")</f>
        <v/>
      </c>
      <c r="F1611" s="18" t="str">
        <f t="array" ref="F1611">IFNA(_xlfn.XLOOKUP(B1611,Table_Respons_Loket[Count],Table_Respons_Loket[Jenis Permohonan]),"")</f>
        <v/>
      </c>
      <c r="G1611" s="24"/>
      <c r="H1611" s="24"/>
      <c r="I1611" s="22" t="str">
        <f t="shared" si="7"/>
        <v/>
      </c>
      <c r="J1611" s="20" t="b">
        <v>0</v>
      </c>
      <c r="K1611" s="13" t="str">
        <f t="shared" si="8"/>
        <v/>
      </c>
    </row>
    <row r="1612" ht="22.5" customHeight="1">
      <c r="B1612" s="13">
        <f t="shared" si="3"/>
        <v>1606</v>
      </c>
      <c r="C1612" s="15" t="str">
        <f t="array" ref="C1612">IFNA(_xlfn.XLOOKUP(B1612,Table_Respons_Loket[Count],Table_Respons_Loket[Nomor Tiket]),"")</f>
        <v/>
      </c>
      <c r="D1612" s="15" t="str">
        <f t="array" ref="D1612">IFNA(_xlfn.XLOOKUP(B1612,Table_Respons_Loket[Count],Table_Respons_Loket[Daftar Nomor Hak]),"")</f>
        <v/>
      </c>
      <c r="E1612" s="17" t="str">
        <f t="array" ref="E1612">IFNA(_xlfn.XLOOKUP(B1612,Table_Respons_Loket[Count],Table_Respons_Loket[Time Stamp]),"")</f>
        <v/>
      </c>
      <c r="F1612" s="18" t="str">
        <f t="array" ref="F1612">IFNA(_xlfn.XLOOKUP(B1612,Table_Respons_Loket[Count],Table_Respons_Loket[Jenis Permohonan]),"")</f>
        <v/>
      </c>
      <c r="G1612" s="24"/>
      <c r="H1612" s="24"/>
      <c r="I1612" s="22" t="str">
        <f t="shared" si="7"/>
        <v/>
      </c>
      <c r="J1612" s="20" t="b">
        <v>0</v>
      </c>
      <c r="K1612" s="13" t="str">
        <f t="shared" si="8"/>
        <v/>
      </c>
    </row>
    <row r="1613" ht="22.5" customHeight="1">
      <c r="B1613" s="13">
        <f t="shared" si="3"/>
        <v>1607</v>
      </c>
      <c r="C1613" s="15" t="str">
        <f t="array" ref="C1613">IFNA(_xlfn.XLOOKUP(B1613,Table_Respons_Loket[Count],Table_Respons_Loket[Nomor Tiket]),"")</f>
        <v/>
      </c>
      <c r="D1613" s="15" t="str">
        <f t="array" ref="D1613">IFNA(_xlfn.XLOOKUP(B1613,Table_Respons_Loket[Count],Table_Respons_Loket[Daftar Nomor Hak]),"")</f>
        <v/>
      </c>
      <c r="E1613" s="17" t="str">
        <f t="array" ref="E1613">IFNA(_xlfn.XLOOKUP(B1613,Table_Respons_Loket[Count],Table_Respons_Loket[Time Stamp]),"")</f>
        <v/>
      </c>
      <c r="F1613" s="18" t="str">
        <f t="array" ref="F1613">IFNA(_xlfn.XLOOKUP(B1613,Table_Respons_Loket[Count],Table_Respons_Loket[Jenis Permohonan]),"")</f>
        <v/>
      </c>
      <c r="G1613" s="24"/>
      <c r="H1613" s="24"/>
      <c r="I1613" s="22" t="str">
        <f t="shared" si="7"/>
        <v/>
      </c>
      <c r="J1613" s="20" t="b">
        <v>0</v>
      </c>
      <c r="K1613" s="13" t="str">
        <f t="shared" si="8"/>
        <v/>
      </c>
    </row>
    <row r="1614" ht="22.5" customHeight="1">
      <c r="B1614" s="13">
        <f t="shared" si="3"/>
        <v>1608</v>
      </c>
      <c r="C1614" s="15" t="str">
        <f t="array" ref="C1614">IFNA(_xlfn.XLOOKUP(B1614,Table_Respons_Loket[Count],Table_Respons_Loket[Nomor Tiket]),"")</f>
        <v/>
      </c>
      <c r="D1614" s="15" t="str">
        <f t="array" ref="D1614">IFNA(_xlfn.XLOOKUP(B1614,Table_Respons_Loket[Count],Table_Respons_Loket[Daftar Nomor Hak]),"")</f>
        <v/>
      </c>
      <c r="E1614" s="17" t="str">
        <f t="array" ref="E1614">IFNA(_xlfn.XLOOKUP(B1614,Table_Respons_Loket[Count],Table_Respons_Loket[Time Stamp]),"")</f>
        <v/>
      </c>
      <c r="F1614" s="18" t="str">
        <f t="array" ref="F1614">IFNA(_xlfn.XLOOKUP(B1614,Table_Respons_Loket[Count],Table_Respons_Loket[Jenis Permohonan]),"")</f>
        <v/>
      </c>
      <c r="G1614" s="24"/>
      <c r="H1614" s="24"/>
      <c r="I1614" s="22" t="str">
        <f t="shared" si="7"/>
        <v/>
      </c>
      <c r="J1614" s="20" t="b">
        <v>0</v>
      </c>
      <c r="K1614" s="13" t="str">
        <f t="shared" si="8"/>
        <v/>
      </c>
    </row>
    <row r="1615" ht="22.5" customHeight="1">
      <c r="B1615" s="13">
        <f t="shared" si="3"/>
        <v>1609</v>
      </c>
      <c r="C1615" s="15" t="str">
        <f t="array" ref="C1615">IFNA(_xlfn.XLOOKUP(B1615,Table_Respons_Loket[Count],Table_Respons_Loket[Nomor Tiket]),"")</f>
        <v/>
      </c>
      <c r="D1615" s="15" t="str">
        <f t="array" ref="D1615">IFNA(_xlfn.XLOOKUP(B1615,Table_Respons_Loket[Count],Table_Respons_Loket[Daftar Nomor Hak]),"")</f>
        <v/>
      </c>
      <c r="E1615" s="17" t="str">
        <f t="array" ref="E1615">IFNA(_xlfn.XLOOKUP(B1615,Table_Respons_Loket[Count],Table_Respons_Loket[Time Stamp]),"")</f>
        <v/>
      </c>
      <c r="F1615" s="18" t="str">
        <f t="array" ref="F1615">IFNA(_xlfn.XLOOKUP(B1615,Table_Respons_Loket[Count],Table_Respons_Loket[Jenis Permohonan]),"")</f>
        <v/>
      </c>
      <c r="G1615" s="24"/>
      <c r="H1615" s="24"/>
      <c r="I1615" s="22" t="str">
        <f t="shared" si="7"/>
        <v/>
      </c>
      <c r="J1615" s="20" t="b">
        <v>0</v>
      </c>
      <c r="K1615" s="13" t="str">
        <f t="shared" si="8"/>
        <v/>
      </c>
    </row>
    <row r="1616" ht="22.5" customHeight="1">
      <c r="B1616" s="13">
        <f t="shared" si="3"/>
        <v>1610</v>
      </c>
      <c r="C1616" s="15" t="str">
        <f t="array" ref="C1616">IFNA(_xlfn.XLOOKUP(B1616,Table_Respons_Loket[Count],Table_Respons_Loket[Nomor Tiket]),"")</f>
        <v/>
      </c>
      <c r="D1616" s="15" t="str">
        <f t="array" ref="D1616">IFNA(_xlfn.XLOOKUP(B1616,Table_Respons_Loket[Count],Table_Respons_Loket[Daftar Nomor Hak]),"")</f>
        <v/>
      </c>
      <c r="E1616" s="17" t="str">
        <f t="array" ref="E1616">IFNA(_xlfn.XLOOKUP(B1616,Table_Respons_Loket[Count],Table_Respons_Loket[Time Stamp]),"")</f>
        <v/>
      </c>
      <c r="F1616" s="18" t="str">
        <f t="array" ref="F1616">IFNA(_xlfn.XLOOKUP(B1616,Table_Respons_Loket[Count],Table_Respons_Loket[Jenis Permohonan]),"")</f>
        <v/>
      </c>
      <c r="G1616" s="24"/>
      <c r="H1616" s="24"/>
      <c r="I1616" s="22" t="str">
        <f t="shared" si="7"/>
        <v/>
      </c>
      <c r="J1616" s="20" t="b">
        <v>0</v>
      </c>
      <c r="K1616" s="13" t="str">
        <f t="shared" si="8"/>
        <v/>
      </c>
    </row>
    <row r="1617" ht="22.5" customHeight="1">
      <c r="B1617" s="13">
        <f t="shared" si="3"/>
        <v>1611</v>
      </c>
      <c r="C1617" s="15" t="str">
        <f t="array" ref="C1617">IFNA(_xlfn.XLOOKUP(B1617,Table_Respons_Loket[Count],Table_Respons_Loket[Nomor Tiket]),"")</f>
        <v/>
      </c>
      <c r="D1617" s="15" t="str">
        <f t="array" ref="D1617">IFNA(_xlfn.XLOOKUP(B1617,Table_Respons_Loket[Count],Table_Respons_Loket[Daftar Nomor Hak]),"")</f>
        <v/>
      </c>
      <c r="E1617" s="17" t="str">
        <f t="array" ref="E1617">IFNA(_xlfn.XLOOKUP(B1617,Table_Respons_Loket[Count],Table_Respons_Loket[Time Stamp]),"")</f>
        <v/>
      </c>
      <c r="F1617" s="18" t="str">
        <f t="array" ref="F1617">IFNA(_xlfn.XLOOKUP(B1617,Table_Respons_Loket[Count],Table_Respons_Loket[Jenis Permohonan]),"")</f>
        <v/>
      </c>
      <c r="G1617" s="24"/>
      <c r="H1617" s="24"/>
      <c r="I1617" s="22" t="str">
        <f t="shared" si="7"/>
        <v/>
      </c>
      <c r="J1617" s="20" t="b">
        <v>0</v>
      </c>
      <c r="K1617" s="13" t="str">
        <f t="shared" si="8"/>
        <v/>
      </c>
    </row>
    <row r="1618" ht="22.5" customHeight="1">
      <c r="B1618" s="13">
        <f t="shared" si="3"/>
        <v>1612</v>
      </c>
      <c r="C1618" s="15" t="str">
        <f t="array" ref="C1618">IFNA(_xlfn.XLOOKUP(B1618,Table_Respons_Loket[Count],Table_Respons_Loket[Nomor Tiket]),"")</f>
        <v/>
      </c>
      <c r="D1618" s="15" t="str">
        <f t="array" ref="D1618">IFNA(_xlfn.XLOOKUP(B1618,Table_Respons_Loket[Count],Table_Respons_Loket[Daftar Nomor Hak]),"")</f>
        <v/>
      </c>
      <c r="E1618" s="17" t="str">
        <f t="array" ref="E1618">IFNA(_xlfn.XLOOKUP(B1618,Table_Respons_Loket[Count],Table_Respons_Loket[Time Stamp]),"")</f>
        <v/>
      </c>
      <c r="F1618" s="18" t="str">
        <f t="array" ref="F1618">IFNA(_xlfn.XLOOKUP(B1618,Table_Respons_Loket[Count],Table_Respons_Loket[Jenis Permohonan]),"")</f>
        <v/>
      </c>
      <c r="G1618" s="24"/>
      <c r="H1618" s="24"/>
      <c r="I1618" s="22" t="str">
        <f t="shared" si="7"/>
        <v/>
      </c>
      <c r="J1618" s="20" t="b">
        <v>0</v>
      </c>
      <c r="K1618" s="13" t="str">
        <f t="shared" si="8"/>
        <v/>
      </c>
    </row>
    <row r="1619" ht="22.5" customHeight="1">
      <c r="B1619" s="13">
        <f t="shared" si="3"/>
        <v>1613</v>
      </c>
      <c r="C1619" s="15" t="str">
        <f t="array" ref="C1619">IFNA(_xlfn.XLOOKUP(B1619,Table_Respons_Loket[Count],Table_Respons_Loket[Nomor Tiket]),"")</f>
        <v/>
      </c>
      <c r="D1619" s="15" t="str">
        <f t="array" ref="D1619">IFNA(_xlfn.XLOOKUP(B1619,Table_Respons_Loket[Count],Table_Respons_Loket[Daftar Nomor Hak]),"")</f>
        <v/>
      </c>
      <c r="E1619" s="17" t="str">
        <f t="array" ref="E1619">IFNA(_xlfn.XLOOKUP(B1619,Table_Respons_Loket[Count],Table_Respons_Loket[Time Stamp]),"")</f>
        <v/>
      </c>
      <c r="F1619" s="18" t="str">
        <f t="array" ref="F1619">IFNA(_xlfn.XLOOKUP(B1619,Table_Respons_Loket[Count],Table_Respons_Loket[Jenis Permohonan]),"")</f>
        <v/>
      </c>
      <c r="G1619" s="24"/>
      <c r="H1619" s="24"/>
      <c r="I1619" s="22" t="str">
        <f t="shared" si="7"/>
        <v/>
      </c>
      <c r="J1619" s="20" t="b">
        <v>0</v>
      </c>
      <c r="K1619" s="13" t="str">
        <f t="shared" si="8"/>
        <v/>
      </c>
    </row>
    <row r="1620" ht="22.5" customHeight="1">
      <c r="B1620" s="13">
        <f t="shared" si="3"/>
        <v>1614</v>
      </c>
      <c r="C1620" s="15" t="str">
        <f t="array" ref="C1620">IFNA(_xlfn.XLOOKUP(B1620,Table_Respons_Loket[Count],Table_Respons_Loket[Nomor Tiket]),"")</f>
        <v/>
      </c>
      <c r="D1620" s="15" t="str">
        <f t="array" ref="D1620">IFNA(_xlfn.XLOOKUP(B1620,Table_Respons_Loket[Count],Table_Respons_Loket[Daftar Nomor Hak]),"")</f>
        <v/>
      </c>
      <c r="E1620" s="17" t="str">
        <f t="array" ref="E1620">IFNA(_xlfn.XLOOKUP(B1620,Table_Respons_Loket[Count],Table_Respons_Loket[Time Stamp]),"")</f>
        <v/>
      </c>
      <c r="F1620" s="18" t="str">
        <f t="array" ref="F1620">IFNA(_xlfn.XLOOKUP(B1620,Table_Respons_Loket[Count],Table_Respons_Loket[Jenis Permohonan]),"")</f>
        <v/>
      </c>
      <c r="G1620" s="24"/>
      <c r="H1620" s="24"/>
      <c r="I1620" s="22" t="str">
        <f t="shared" si="7"/>
        <v/>
      </c>
      <c r="J1620" s="20" t="b">
        <v>0</v>
      </c>
      <c r="K1620" s="13" t="str">
        <f t="shared" si="8"/>
        <v/>
      </c>
    </row>
    <row r="1621" ht="22.5" customHeight="1">
      <c r="B1621" s="13">
        <f t="shared" si="3"/>
        <v>1615</v>
      </c>
      <c r="C1621" s="15" t="str">
        <f t="array" ref="C1621">IFNA(_xlfn.XLOOKUP(B1621,Table_Respons_Loket[Count],Table_Respons_Loket[Nomor Tiket]),"")</f>
        <v/>
      </c>
      <c r="D1621" s="15" t="str">
        <f t="array" ref="D1621">IFNA(_xlfn.XLOOKUP(B1621,Table_Respons_Loket[Count],Table_Respons_Loket[Daftar Nomor Hak]),"")</f>
        <v/>
      </c>
      <c r="E1621" s="17" t="str">
        <f t="array" ref="E1621">IFNA(_xlfn.XLOOKUP(B1621,Table_Respons_Loket[Count],Table_Respons_Loket[Time Stamp]),"")</f>
        <v/>
      </c>
      <c r="F1621" s="18" t="str">
        <f t="array" ref="F1621">IFNA(_xlfn.XLOOKUP(B1621,Table_Respons_Loket[Count],Table_Respons_Loket[Jenis Permohonan]),"")</f>
        <v/>
      </c>
      <c r="G1621" s="24"/>
      <c r="H1621" s="24"/>
      <c r="I1621" s="22" t="str">
        <f t="shared" si="7"/>
        <v/>
      </c>
      <c r="J1621" s="20" t="b">
        <v>0</v>
      </c>
      <c r="K1621" s="13" t="str">
        <f t="shared" si="8"/>
        <v/>
      </c>
    </row>
    <row r="1622" ht="22.5" customHeight="1">
      <c r="B1622" s="13">
        <f t="shared" si="3"/>
        <v>1616</v>
      </c>
      <c r="C1622" s="15" t="str">
        <f t="array" ref="C1622">IFNA(_xlfn.XLOOKUP(B1622,Table_Respons_Loket[Count],Table_Respons_Loket[Nomor Tiket]),"")</f>
        <v/>
      </c>
      <c r="D1622" s="15" t="str">
        <f t="array" ref="D1622">IFNA(_xlfn.XLOOKUP(B1622,Table_Respons_Loket[Count],Table_Respons_Loket[Daftar Nomor Hak]),"")</f>
        <v/>
      </c>
      <c r="E1622" s="17" t="str">
        <f t="array" ref="E1622">IFNA(_xlfn.XLOOKUP(B1622,Table_Respons_Loket[Count],Table_Respons_Loket[Time Stamp]),"")</f>
        <v/>
      </c>
      <c r="F1622" s="18" t="str">
        <f t="array" ref="F1622">IFNA(_xlfn.XLOOKUP(B1622,Table_Respons_Loket[Count],Table_Respons_Loket[Jenis Permohonan]),"")</f>
        <v/>
      </c>
      <c r="G1622" s="24"/>
      <c r="H1622" s="24"/>
      <c r="I1622" s="22" t="str">
        <f t="shared" si="7"/>
        <v/>
      </c>
      <c r="J1622" s="20" t="b">
        <v>0</v>
      </c>
      <c r="K1622" s="13" t="str">
        <f t="shared" si="8"/>
        <v/>
      </c>
    </row>
    <row r="1623" ht="22.5" customHeight="1">
      <c r="B1623" s="13">
        <f t="shared" si="3"/>
        <v>1617</v>
      </c>
      <c r="C1623" s="15" t="str">
        <f t="array" ref="C1623">IFNA(_xlfn.XLOOKUP(B1623,Table_Respons_Loket[Count],Table_Respons_Loket[Nomor Tiket]),"")</f>
        <v/>
      </c>
      <c r="D1623" s="15" t="str">
        <f t="array" ref="D1623">IFNA(_xlfn.XLOOKUP(B1623,Table_Respons_Loket[Count],Table_Respons_Loket[Daftar Nomor Hak]),"")</f>
        <v/>
      </c>
      <c r="E1623" s="17" t="str">
        <f t="array" ref="E1623">IFNA(_xlfn.XLOOKUP(B1623,Table_Respons_Loket[Count],Table_Respons_Loket[Time Stamp]),"")</f>
        <v/>
      </c>
      <c r="F1623" s="18" t="str">
        <f t="array" ref="F1623">IFNA(_xlfn.XLOOKUP(B1623,Table_Respons_Loket[Count],Table_Respons_Loket[Jenis Permohonan]),"")</f>
        <v/>
      </c>
      <c r="G1623" s="24"/>
      <c r="H1623" s="24"/>
      <c r="I1623" s="22" t="str">
        <f t="shared" si="7"/>
        <v/>
      </c>
      <c r="J1623" s="20" t="b">
        <v>0</v>
      </c>
      <c r="K1623" s="13" t="str">
        <f t="shared" si="8"/>
        <v/>
      </c>
    </row>
    <row r="1624" ht="22.5" customHeight="1">
      <c r="B1624" s="13">
        <f t="shared" si="3"/>
        <v>1618</v>
      </c>
      <c r="C1624" s="15" t="str">
        <f t="array" ref="C1624">IFNA(_xlfn.XLOOKUP(B1624,Table_Respons_Loket[Count],Table_Respons_Loket[Nomor Tiket]),"")</f>
        <v/>
      </c>
      <c r="D1624" s="15" t="str">
        <f t="array" ref="D1624">IFNA(_xlfn.XLOOKUP(B1624,Table_Respons_Loket[Count],Table_Respons_Loket[Daftar Nomor Hak]),"")</f>
        <v/>
      </c>
      <c r="E1624" s="17" t="str">
        <f t="array" ref="E1624">IFNA(_xlfn.XLOOKUP(B1624,Table_Respons_Loket[Count],Table_Respons_Loket[Time Stamp]),"")</f>
        <v/>
      </c>
      <c r="F1624" s="18" t="str">
        <f t="array" ref="F1624">IFNA(_xlfn.XLOOKUP(B1624,Table_Respons_Loket[Count],Table_Respons_Loket[Jenis Permohonan]),"")</f>
        <v/>
      </c>
      <c r="G1624" s="24"/>
      <c r="H1624" s="24"/>
      <c r="I1624" s="22" t="str">
        <f t="shared" si="7"/>
        <v/>
      </c>
      <c r="J1624" s="20" t="b">
        <v>0</v>
      </c>
      <c r="K1624" s="13" t="str">
        <f t="shared" si="8"/>
        <v/>
      </c>
    </row>
    <row r="1625" ht="22.5" customHeight="1">
      <c r="B1625" s="13">
        <f t="shared" si="3"/>
        <v>1619</v>
      </c>
      <c r="C1625" s="15" t="str">
        <f t="array" ref="C1625">IFNA(_xlfn.XLOOKUP(B1625,Table_Respons_Loket[Count],Table_Respons_Loket[Nomor Tiket]),"")</f>
        <v/>
      </c>
      <c r="D1625" s="15" t="str">
        <f t="array" ref="D1625">IFNA(_xlfn.XLOOKUP(B1625,Table_Respons_Loket[Count],Table_Respons_Loket[Daftar Nomor Hak]),"")</f>
        <v/>
      </c>
      <c r="E1625" s="17" t="str">
        <f t="array" ref="E1625">IFNA(_xlfn.XLOOKUP(B1625,Table_Respons_Loket[Count],Table_Respons_Loket[Time Stamp]),"")</f>
        <v/>
      </c>
      <c r="F1625" s="18" t="str">
        <f t="array" ref="F1625">IFNA(_xlfn.XLOOKUP(B1625,Table_Respons_Loket[Count],Table_Respons_Loket[Jenis Permohonan]),"")</f>
        <v/>
      </c>
      <c r="G1625" s="24"/>
      <c r="H1625" s="24"/>
      <c r="I1625" s="22" t="str">
        <f t="shared" si="7"/>
        <v/>
      </c>
      <c r="J1625" s="20" t="b">
        <v>0</v>
      </c>
      <c r="K1625" s="13" t="str">
        <f t="shared" si="8"/>
        <v/>
      </c>
    </row>
    <row r="1626" ht="22.5" customHeight="1">
      <c r="B1626" s="13">
        <f t="shared" si="3"/>
        <v>1620</v>
      </c>
      <c r="C1626" s="15" t="str">
        <f t="array" ref="C1626">IFNA(_xlfn.XLOOKUP(B1626,Table_Respons_Loket[Count],Table_Respons_Loket[Nomor Tiket]),"")</f>
        <v/>
      </c>
      <c r="D1626" s="15" t="str">
        <f t="array" ref="D1626">IFNA(_xlfn.XLOOKUP(B1626,Table_Respons_Loket[Count],Table_Respons_Loket[Daftar Nomor Hak]),"")</f>
        <v/>
      </c>
      <c r="E1626" s="17" t="str">
        <f t="array" ref="E1626">IFNA(_xlfn.XLOOKUP(B1626,Table_Respons_Loket[Count],Table_Respons_Loket[Time Stamp]),"")</f>
        <v/>
      </c>
      <c r="F1626" s="18" t="str">
        <f t="array" ref="F1626">IFNA(_xlfn.XLOOKUP(B1626,Table_Respons_Loket[Count],Table_Respons_Loket[Jenis Permohonan]),"")</f>
        <v/>
      </c>
      <c r="G1626" s="24"/>
      <c r="H1626" s="24"/>
      <c r="I1626" s="22" t="str">
        <f t="shared" si="7"/>
        <v/>
      </c>
      <c r="J1626" s="20" t="b">
        <v>0</v>
      </c>
      <c r="K1626" s="13" t="str">
        <f t="shared" si="8"/>
        <v/>
      </c>
    </row>
    <row r="1627" ht="22.5" customHeight="1">
      <c r="B1627" s="13">
        <f t="shared" si="3"/>
        <v>1621</v>
      </c>
      <c r="C1627" s="15" t="str">
        <f t="array" ref="C1627">IFNA(_xlfn.XLOOKUP(B1627,Table_Respons_Loket[Count],Table_Respons_Loket[Nomor Tiket]),"")</f>
        <v/>
      </c>
      <c r="D1627" s="15" t="str">
        <f t="array" ref="D1627">IFNA(_xlfn.XLOOKUP(B1627,Table_Respons_Loket[Count],Table_Respons_Loket[Daftar Nomor Hak]),"")</f>
        <v/>
      </c>
      <c r="E1627" s="17" t="str">
        <f t="array" ref="E1627">IFNA(_xlfn.XLOOKUP(B1627,Table_Respons_Loket[Count],Table_Respons_Loket[Time Stamp]),"")</f>
        <v/>
      </c>
      <c r="F1627" s="18" t="str">
        <f t="array" ref="F1627">IFNA(_xlfn.XLOOKUP(B1627,Table_Respons_Loket[Count],Table_Respons_Loket[Jenis Permohonan]),"")</f>
        <v/>
      </c>
      <c r="G1627" s="24"/>
      <c r="H1627" s="24"/>
      <c r="I1627" s="22" t="str">
        <f t="shared" si="7"/>
        <v/>
      </c>
      <c r="J1627" s="20" t="b">
        <v>0</v>
      </c>
      <c r="K1627" s="13" t="str">
        <f t="shared" si="8"/>
        <v/>
      </c>
    </row>
    <row r="1628" ht="22.5" customHeight="1">
      <c r="B1628" s="13">
        <f t="shared" si="3"/>
        <v>1622</v>
      </c>
      <c r="C1628" s="15" t="str">
        <f t="array" ref="C1628">IFNA(_xlfn.XLOOKUP(B1628,Table_Respons_Loket[Count],Table_Respons_Loket[Nomor Tiket]),"")</f>
        <v/>
      </c>
      <c r="D1628" s="15" t="str">
        <f t="array" ref="D1628">IFNA(_xlfn.XLOOKUP(B1628,Table_Respons_Loket[Count],Table_Respons_Loket[Daftar Nomor Hak]),"")</f>
        <v/>
      </c>
      <c r="E1628" s="17" t="str">
        <f t="array" ref="E1628">IFNA(_xlfn.XLOOKUP(B1628,Table_Respons_Loket[Count],Table_Respons_Loket[Time Stamp]),"")</f>
        <v/>
      </c>
      <c r="F1628" s="18" t="str">
        <f t="array" ref="F1628">IFNA(_xlfn.XLOOKUP(B1628,Table_Respons_Loket[Count],Table_Respons_Loket[Jenis Permohonan]),"")</f>
        <v/>
      </c>
      <c r="G1628" s="24"/>
      <c r="H1628" s="24"/>
      <c r="I1628" s="22" t="str">
        <f t="shared" si="7"/>
        <v/>
      </c>
      <c r="J1628" s="20" t="b">
        <v>0</v>
      </c>
      <c r="K1628" s="13" t="str">
        <f t="shared" si="8"/>
        <v/>
      </c>
    </row>
    <row r="1629" ht="22.5" customHeight="1">
      <c r="B1629" s="13">
        <f t="shared" si="3"/>
        <v>1623</v>
      </c>
      <c r="C1629" s="15" t="str">
        <f t="array" ref="C1629">IFNA(_xlfn.XLOOKUP(B1629,Table_Respons_Loket[Count],Table_Respons_Loket[Nomor Tiket]),"")</f>
        <v/>
      </c>
      <c r="D1629" s="15" t="str">
        <f t="array" ref="D1629">IFNA(_xlfn.XLOOKUP(B1629,Table_Respons_Loket[Count],Table_Respons_Loket[Daftar Nomor Hak]),"")</f>
        <v/>
      </c>
      <c r="E1629" s="17" t="str">
        <f t="array" ref="E1629">IFNA(_xlfn.XLOOKUP(B1629,Table_Respons_Loket[Count],Table_Respons_Loket[Time Stamp]),"")</f>
        <v/>
      </c>
      <c r="F1629" s="18" t="str">
        <f t="array" ref="F1629">IFNA(_xlfn.XLOOKUP(B1629,Table_Respons_Loket[Count],Table_Respons_Loket[Jenis Permohonan]),"")</f>
        <v/>
      </c>
      <c r="G1629" s="24"/>
      <c r="H1629" s="24"/>
      <c r="I1629" s="22" t="str">
        <f t="shared" si="7"/>
        <v/>
      </c>
      <c r="J1629" s="20" t="b">
        <v>0</v>
      </c>
      <c r="K1629" s="13" t="str">
        <f t="shared" si="8"/>
        <v/>
      </c>
    </row>
    <row r="1630" ht="22.5" customHeight="1">
      <c r="B1630" s="13">
        <f t="shared" si="3"/>
        <v>1624</v>
      </c>
      <c r="C1630" s="15" t="str">
        <f t="array" ref="C1630">IFNA(_xlfn.XLOOKUP(B1630,Table_Respons_Loket[Count],Table_Respons_Loket[Nomor Tiket]),"")</f>
        <v/>
      </c>
      <c r="D1630" s="15" t="str">
        <f t="array" ref="D1630">IFNA(_xlfn.XLOOKUP(B1630,Table_Respons_Loket[Count],Table_Respons_Loket[Daftar Nomor Hak]),"")</f>
        <v/>
      </c>
      <c r="E1630" s="17" t="str">
        <f t="array" ref="E1630">IFNA(_xlfn.XLOOKUP(B1630,Table_Respons_Loket[Count],Table_Respons_Loket[Time Stamp]),"")</f>
        <v/>
      </c>
      <c r="F1630" s="18" t="str">
        <f t="array" ref="F1630">IFNA(_xlfn.XLOOKUP(B1630,Table_Respons_Loket[Count],Table_Respons_Loket[Jenis Permohonan]),"")</f>
        <v/>
      </c>
      <c r="G1630" s="24"/>
      <c r="H1630" s="24"/>
      <c r="I1630" s="22" t="str">
        <f t="shared" si="7"/>
        <v/>
      </c>
      <c r="J1630" s="20" t="b">
        <v>0</v>
      </c>
      <c r="K1630" s="13" t="str">
        <f t="shared" si="8"/>
        <v/>
      </c>
    </row>
    <row r="1631" ht="22.5" customHeight="1">
      <c r="B1631" s="13">
        <f t="shared" si="3"/>
        <v>1625</v>
      </c>
      <c r="C1631" s="15" t="str">
        <f t="array" ref="C1631">IFNA(_xlfn.XLOOKUP(B1631,Table_Respons_Loket[Count],Table_Respons_Loket[Nomor Tiket]),"")</f>
        <v/>
      </c>
      <c r="D1631" s="15" t="str">
        <f t="array" ref="D1631">IFNA(_xlfn.XLOOKUP(B1631,Table_Respons_Loket[Count],Table_Respons_Loket[Daftar Nomor Hak]),"")</f>
        <v/>
      </c>
      <c r="E1631" s="17" t="str">
        <f t="array" ref="E1631">IFNA(_xlfn.XLOOKUP(B1631,Table_Respons_Loket[Count],Table_Respons_Loket[Time Stamp]),"")</f>
        <v/>
      </c>
      <c r="F1631" s="18" t="str">
        <f t="array" ref="F1631">IFNA(_xlfn.XLOOKUP(B1631,Table_Respons_Loket[Count],Table_Respons_Loket[Jenis Permohonan]),"")</f>
        <v/>
      </c>
      <c r="G1631" s="24"/>
      <c r="H1631" s="24"/>
      <c r="I1631" s="22" t="str">
        <f t="shared" si="7"/>
        <v/>
      </c>
      <c r="J1631" s="20" t="b">
        <v>0</v>
      </c>
      <c r="K1631" s="13" t="str">
        <f t="shared" si="8"/>
        <v/>
      </c>
    </row>
    <row r="1632" ht="22.5" customHeight="1">
      <c r="B1632" s="13">
        <f t="shared" si="3"/>
        <v>1626</v>
      </c>
      <c r="C1632" s="15" t="str">
        <f t="array" ref="C1632">IFNA(_xlfn.XLOOKUP(B1632,Table_Respons_Loket[Count],Table_Respons_Loket[Nomor Tiket]),"")</f>
        <v/>
      </c>
      <c r="D1632" s="15" t="str">
        <f t="array" ref="D1632">IFNA(_xlfn.XLOOKUP(B1632,Table_Respons_Loket[Count],Table_Respons_Loket[Daftar Nomor Hak]),"")</f>
        <v/>
      </c>
      <c r="E1632" s="17" t="str">
        <f t="array" ref="E1632">IFNA(_xlfn.XLOOKUP(B1632,Table_Respons_Loket[Count],Table_Respons_Loket[Time Stamp]),"")</f>
        <v/>
      </c>
      <c r="F1632" s="18" t="str">
        <f t="array" ref="F1632">IFNA(_xlfn.XLOOKUP(B1632,Table_Respons_Loket[Count],Table_Respons_Loket[Jenis Permohonan]),"")</f>
        <v/>
      </c>
      <c r="G1632" s="24"/>
      <c r="H1632" s="24"/>
      <c r="I1632" s="22" t="str">
        <f t="shared" si="7"/>
        <v/>
      </c>
      <c r="J1632" s="20" t="b">
        <v>0</v>
      </c>
      <c r="K1632" s="13" t="str">
        <f t="shared" si="8"/>
        <v/>
      </c>
    </row>
    <row r="1633" ht="22.5" customHeight="1">
      <c r="B1633" s="13">
        <f t="shared" si="3"/>
        <v>1627</v>
      </c>
      <c r="C1633" s="15" t="str">
        <f t="array" ref="C1633">IFNA(_xlfn.XLOOKUP(B1633,Table_Respons_Loket[Count],Table_Respons_Loket[Nomor Tiket]),"")</f>
        <v/>
      </c>
      <c r="D1633" s="15" t="str">
        <f t="array" ref="D1633">IFNA(_xlfn.XLOOKUP(B1633,Table_Respons_Loket[Count],Table_Respons_Loket[Daftar Nomor Hak]),"")</f>
        <v/>
      </c>
      <c r="E1633" s="17" t="str">
        <f t="array" ref="E1633">IFNA(_xlfn.XLOOKUP(B1633,Table_Respons_Loket[Count],Table_Respons_Loket[Time Stamp]),"")</f>
        <v/>
      </c>
      <c r="F1633" s="18" t="str">
        <f t="array" ref="F1633">IFNA(_xlfn.XLOOKUP(B1633,Table_Respons_Loket[Count],Table_Respons_Loket[Jenis Permohonan]),"")</f>
        <v/>
      </c>
      <c r="G1633" s="24"/>
      <c r="H1633" s="24"/>
      <c r="I1633" s="22" t="str">
        <f t="shared" si="7"/>
        <v/>
      </c>
      <c r="J1633" s="20" t="b">
        <v>0</v>
      </c>
      <c r="K1633" s="13" t="str">
        <f t="shared" si="8"/>
        <v/>
      </c>
    </row>
    <row r="1634" ht="22.5" customHeight="1">
      <c r="B1634" s="13">
        <f t="shared" si="3"/>
        <v>1628</v>
      </c>
      <c r="C1634" s="15" t="str">
        <f t="array" ref="C1634">IFNA(_xlfn.XLOOKUP(B1634,Table_Respons_Loket[Count],Table_Respons_Loket[Nomor Tiket]),"")</f>
        <v/>
      </c>
      <c r="D1634" s="15" t="str">
        <f t="array" ref="D1634">IFNA(_xlfn.XLOOKUP(B1634,Table_Respons_Loket[Count],Table_Respons_Loket[Daftar Nomor Hak]),"")</f>
        <v/>
      </c>
      <c r="E1634" s="17" t="str">
        <f t="array" ref="E1634">IFNA(_xlfn.XLOOKUP(B1634,Table_Respons_Loket[Count],Table_Respons_Loket[Time Stamp]),"")</f>
        <v/>
      </c>
      <c r="F1634" s="18" t="str">
        <f t="array" ref="F1634">IFNA(_xlfn.XLOOKUP(B1634,Table_Respons_Loket[Count],Table_Respons_Loket[Jenis Permohonan]),"")</f>
        <v/>
      </c>
      <c r="G1634" s="24"/>
      <c r="H1634" s="24"/>
      <c r="I1634" s="22" t="str">
        <f t="shared" si="7"/>
        <v/>
      </c>
      <c r="J1634" s="20" t="b">
        <v>0</v>
      </c>
      <c r="K1634" s="13" t="str">
        <f t="shared" si="8"/>
        <v/>
      </c>
    </row>
    <row r="1635" ht="22.5" customHeight="1">
      <c r="B1635" s="13">
        <f t="shared" si="3"/>
        <v>1629</v>
      </c>
      <c r="C1635" s="15" t="str">
        <f t="array" ref="C1635">IFNA(_xlfn.XLOOKUP(B1635,Table_Respons_Loket[Count],Table_Respons_Loket[Nomor Tiket]),"")</f>
        <v/>
      </c>
      <c r="D1635" s="15" t="str">
        <f t="array" ref="D1635">IFNA(_xlfn.XLOOKUP(B1635,Table_Respons_Loket[Count],Table_Respons_Loket[Daftar Nomor Hak]),"")</f>
        <v/>
      </c>
      <c r="E1635" s="17" t="str">
        <f t="array" ref="E1635">IFNA(_xlfn.XLOOKUP(B1635,Table_Respons_Loket[Count],Table_Respons_Loket[Time Stamp]),"")</f>
        <v/>
      </c>
      <c r="F1635" s="18" t="str">
        <f t="array" ref="F1635">IFNA(_xlfn.XLOOKUP(B1635,Table_Respons_Loket[Count],Table_Respons_Loket[Jenis Permohonan]),"")</f>
        <v/>
      </c>
      <c r="G1635" s="24"/>
      <c r="H1635" s="24"/>
      <c r="I1635" s="22" t="str">
        <f t="shared" si="7"/>
        <v/>
      </c>
      <c r="J1635" s="20" t="b">
        <v>0</v>
      </c>
      <c r="K1635" s="13" t="str">
        <f t="shared" si="8"/>
        <v/>
      </c>
    </row>
    <row r="1636" ht="22.5" customHeight="1">
      <c r="B1636" s="13">
        <f t="shared" si="3"/>
        <v>1630</v>
      </c>
      <c r="C1636" s="15" t="str">
        <f t="array" ref="C1636">IFNA(_xlfn.XLOOKUP(B1636,Table_Respons_Loket[Count],Table_Respons_Loket[Nomor Tiket]),"")</f>
        <v/>
      </c>
      <c r="D1636" s="15" t="str">
        <f t="array" ref="D1636">IFNA(_xlfn.XLOOKUP(B1636,Table_Respons_Loket[Count],Table_Respons_Loket[Daftar Nomor Hak]),"")</f>
        <v/>
      </c>
      <c r="E1636" s="17" t="str">
        <f t="array" ref="E1636">IFNA(_xlfn.XLOOKUP(B1636,Table_Respons_Loket[Count],Table_Respons_Loket[Time Stamp]),"")</f>
        <v/>
      </c>
      <c r="F1636" s="18" t="str">
        <f t="array" ref="F1636">IFNA(_xlfn.XLOOKUP(B1636,Table_Respons_Loket[Count],Table_Respons_Loket[Jenis Permohonan]),"")</f>
        <v/>
      </c>
      <c r="G1636" s="24"/>
      <c r="H1636" s="24"/>
      <c r="I1636" s="22" t="str">
        <f t="shared" si="7"/>
        <v/>
      </c>
      <c r="J1636" s="20" t="b">
        <v>0</v>
      </c>
      <c r="K1636" s="13" t="str">
        <f t="shared" si="8"/>
        <v/>
      </c>
    </row>
    <row r="1637" ht="22.5" customHeight="1">
      <c r="B1637" s="13">
        <f t="shared" si="3"/>
        <v>1631</v>
      </c>
      <c r="C1637" s="15" t="str">
        <f t="array" ref="C1637">IFNA(_xlfn.XLOOKUP(B1637,Table_Respons_Loket[Count],Table_Respons_Loket[Nomor Tiket]),"")</f>
        <v/>
      </c>
      <c r="D1637" s="15" t="str">
        <f t="array" ref="D1637">IFNA(_xlfn.XLOOKUP(B1637,Table_Respons_Loket[Count],Table_Respons_Loket[Daftar Nomor Hak]),"")</f>
        <v/>
      </c>
      <c r="E1637" s="17" t="str">
        <f t="array" ref="E1637">IFNA(_xlfn.XLOOKUP(B1637,Table_Respons_Loket[Count],Table_Respons_Loket[Time Stamp]),"")</f>
        <v/>
      </c>
      <c r="F1637" s="18" t="str">
        <f t="array" ref="F1637">IFNA(_xlfn.XLOOKUP(B1637,Table_Respons_Loket[Count],Table_Respons_Loket[Jenis Permohonan]),"")</f>
        <v/>
      </c>
      <c r="G1637" s="24"/>
      <c r="H1637" s="24"/>
      <c r="I1637" s="22" t="str">
        <f t="shared" si="7"/>
        <v/>
      </c>
      <c r="J1637" s="20" t="b">
        <v>0</v>
      </c>
      <c r="K1637" s="13" t="str">
        <f t="shared" si="8"/>
        <v/>
      </c>
    </row>
    <row r="1638" ht="22.5" customHeight="1">
      <c r="B1638" s="13">
        <f t="shared" si="3"/>
        <v>1632</v>
      </c>
      <c r="C1638" s="15" t="str">
        <f t="array" ref="C1638">IFNA(_xlfn.XLOOKUP(B1638,Table_Respons_Loket[Count],Table_Respons_Loket[Nomor Tiket]),"")</f>
        <v/>
      </c>
      <c r="D1638" s="15" t="str">
        <f t="array" ref="D1638">IFNA(_xlfn.XLOOKUP(B1638,Table_Respons_Loket[Count],Table_Respons_Loket[Daftar Nomor Hak]),"")</f>
        <v/>
      </c>
      <c r="E1638" s="17" t="str">
        <f t="array" ref="E1638">IFNA(_xlfn.XLOOKUP(B1638,Table_Respons_Loket[Count],Table_Respons_Loket[Time Stamp]),"")</f>
        <v/>
      </c>
      <c r="F1638" s="18" t="str">
        <f t="array" ref="F1638">IFNA(_xlfn.XLOOKUP(B1638,Table_Respons_Loket[Count],Table_Respons_Loket[Jenis Permohonan]),"")</f>
        <v/>
      </c>
      <c r="G1638" s="24"/>
      <c r="H1638" s="24"/>
      <c r="I1638" s="22" t="str">
        <f t="shared" si="7"/>
        <v/>
      </c>
      <c r="J1638" s="20" t="b">
        <v>0</v>
      </c>
      <c r="K1638" s="13" t="str">
        <f t="shared" si="8"/>
        <v/>
      </c>
    </row>
    <row r="1639" ht="22.5" customHeight="1">
      <c r="B1639" s="13">
        <f t="shared" si="3"/>
        <v>1633</v>
      </c>
      <c r="C1639" s="15" t="str">
        <f t="array" ref="C1639">IFNA(_xlfn.XLOOKUP(B1639,Table_Respons_Loket[Count],Table_Respons_Loket[Nomor Tiket]),"")</f>
        <v/>
      </c>
      <c r="D1639" s="15" t="str">
        <f t="array" ref="D1639">IFNA(_xlfn.XLOOKUP(B1639,Table_Respons_Loket[Count],Table_Respons_Loket[Daftar Nomor Hak]),"")</f>
        <v/>
      </c>
      <c r="E1639" s="17" t="str">
        <f t="array" ref="E1639">IFNA(_xlfn.XLOOKUP(B1639,Table_Respons_Loket[Count],Table_Respons_Loket[Time Stamp]),"")</f>
        <v/>
      </c>
      <c r="F1639" s="18" t="str">
        <f t="array" ref="F1639">IFNA(_xlfn.XLOOKUP(B1639,Table_Respons_Loket[Count],Table_Respons_Loket[Jenis Permohonan]),"")</f>
        <v/>
      </c>
      <c r="G1639" s="24"/>
      <c r="H1639" s="24"/>
      <c r="I1639" s="22" t="str">
        <f t="shared" si="7"/>
        <v/>
      </c>
      <c r="J1639" s="20" t="b">
        <v>0</v>
      </c>
      <c r="K1639" s="13" t="str">
        <f t="shared" si="8"/>
        <v/>
      </c>
    </row>
    <row r="1640" ht="22.5" customHeight="1">
      <c r="B1640" s="13">
        <f t="shared" si="3"/>
        <v>1634</v>
      </c>
      <c r="C1640" s="15" t="str">
        <f t="array" ref="C1640">IFNA(_xlfn.XLOOKUP(B1640,Table_Respons_Loket[Count],Table_Respons_Loket[Nomor Tiket]),"")</f>
        <v/>
      </c>
      <c r="D1640" s="15" t="str">
        <f t="array" ref="D1640">IFNA(_xlfn.XLOOKUP(B1640,Table_Respons_Loket[Count],Table_Respons_Loket[Daftar Nomor Hak]),"")</f>
        <v/>
      </c>
      <c r="E1640" s="17" t="str">
        <f t="array" ref="E1640">IFNA(_xlfn.XLOOKUP(B1640,Table_Respons_Loket[Count],Table_Respons_Loket[Time Stamp]),"")</f>
        <v/>
      </c>
      <c r="F1640" s="18" t="str">
        <f t="array" ref="F1640">IFNA(_xlfn.XLOOKUP(B1640,Table_Respons_Loket[Count],Table_Respons_Loket[Jenis Permohonan]),"")</f>
        <v/>
      </c>
      <c r="G1640" s="24"/>
      <c r="H1640" s="24"/>
      <c r="I1640" s="22" t="str">
        <f t="shared" si="7"/>
        <v/>
      </c>
      <c r="J1640" s="20" t="b">
        <v>0</v>
      </c>
      <c r="K1640" s="13" t="str">
        <f t="shared" si="8"/>
        <v/>
      </c>
    </row>
    <row r="1641" ht="22.5" customHeight="1">
      <c r="B1641" s="13">
        <f t="shared" si="3"/>
        <v>1635</v>
      </c>
      <c r="C1641" s="15" t="str">
        <f t="array" ref="C1641">IFNA(_xlfn.XLOOKUP(B1641,Table_Respons_Loket[Count],Table_Respons_Loket[Nomor Tiket]),"")</f>
        <v/>
      </c>
      <c r="D1641" s="15" t="str">
        <f t="array" ref="D1641">IFNA(_xlfn.XLOOKUP(B1641,Table_Respons_Loket[Count],Table_Respons_Loket[Daftar Nomor Hak]),"")</f>
        <v/>
      </c>
      <c r="E1641" s="17" t="str">
        <f t="array" ref="E1641">IFNA(_xlfn.XLOOKUP(B1641,Table_Respons_Loket[Count],Table_Respons_Loket[Time Stamp]),"")</f>
        <v/>
      </c>
      <c r="F1641" s="18" t="str">
        <f t="array" ref="F1641">IFNA(_xlfn.XLOOKUP(B1641,Table_Respons_Loket[Count],Table_Respons_Loket[Jenis Permohonan]),"")</f>
        <v/>
      </c>
      <c r="G1641" s="24"/>
      <c r="H1641" s="24"/>
      <c r="I1641" s="22" t="str">
        <f t="shared" si="7"/>
        <v/>
      </c>
      <c r="J1641" s="20" t="b">
        <v>0</v>
      </c>
      <c r="K1641" s="13" t="str">
        <f t="shared" si="8"/>
        <v/>
      </c>
    </row>
    <row r="1642" ht="22.5" customHeight="1">
      <c r="B1642" s="13">
        <f t="shared" si="3"/>
        <v>1636</v>
      </c>
      <c r="C1642" s="15" t="str">
        <f t="array" ref="C1642">IFNA(_xlfn.XLOOKUP(B1642,Table_Respons_Loket[Count],Table_Respons_Loket[Nomor Tiket]),"")</f>
        <v/>
      </c>
      <c r="D1642" s="15" t="str">
        <f t="array" ref="D1642">IFNA(_xlfn.XLOOKUP(B1642,Table_Respons_Loket[Count],Table_Respons_Loket[Daftar Nomor Hak]),"")</f>
        <v/>
      </c>
      <c r="E1642" s="17" t="str">
        <f t="array" ref="E1642">IFNA(_xlfn.XLOOKUP(B1642,Table_Respons_Loket[Count],Table_Respons_Loket[Time Stamp]),"")</f>
        <v/>
      </c>
      <c r="F1642" s="18" t="str">
        <f t="array" ref="F1642">IFNA(_xlfn.XLOOKUP(B1642,Table_Respons_Loket[Count],Table_Respons_Loket[Jenis Permohonan]),"")</f>
        <v/>
      </c>
      <c r="G1642" s="24"/>
      <c r="H1642" s="24"/>
      <c r="I1642" s="22" t="str">
        <f t="shared" si="7"/>
        <v/>
      </c>
      <c r="J1642" s="20" t="b">
        <v>0</v>
      </c>
      <c r="K1642" s="13" t="str">
        <f t="shared" si="8"/>
        <v/>
      </c>
    </row>
    <row r="1643" ht="22.5" customHeight="1">
      <c r="B1643" s="13">
        <f t="shared" si="3"/>
        <v>1637</v>
      </c>
      <c r="C1643" s="15" t="str">
        <f t="array" ref="C1643">IFNA(_xlfn.XLOOKUP(B1643,Table_Respons_Loket[Count],Table_Respons_Loket[Nomor Tiket]),"")</f>
        <v/>
      </c>
      <c r="D1643" s="15" t="str">
        <f t="array" ref="D1643">IFNA(_xlfn.XLOOKUP(B1643,Table_Respons_Loket[Count],Table_Respons_Loket[Daftar Nomor Hak]),"")</f>
        <v/>
      </c>
      <c r="E1643" s="17" t="str">
        <f t="array" ref="E1643">IFNA(_xlfn.XLOOKUP(B1643,Table_Respons_Loket[Count],Table_Respons_Loket[Time Stamp]),"")</f>
        <v/>
      </c>
      <c r="F1643" s="18" t="str">
        <f t="array" ref="F1643">IFNA(_xlfn.XLOOKUP(B1643,Table_Respons_Loket[Count],Table_Respons_Loket[Jenis Permohonan]),"")</f>
        <v/>
      </c>
      <c r="G1643" s="24"/>
      <c r="H1643" s="24"/>
      <c r="I1643" s="22" t="str">
        <f t="shared" si="7"/>
        <v/>
      </c>
      <c r="J1643" s="20" t="b">
        <v>0</v>
      </c>
      <c r="K1643" s="13" t="str">
        <f t="shared" si="8"/>
        <v/>
      </c>
    </row>
    <row r="1644" ht="22.5" customHeight="1">
      <c r="B1644" s="13">
        <f t="shared" si="3"/>
        <v>1638</v>
      </c>
      <c r="C1644" s="15" t="str">
        <f t="array" ref="C1644">IFNA(_xlfn.XLOOKUP(B1644,Table_Respons_Loket[Count],Table_Respons_Loket[Nomor Tiket]),"")</f>
        <v/>
      </c>
      <c r="D1644" s="15" t="str">
        <f t="array" ref="D1644">IFNA(_xlfn.XLOOKUP(B1644,Table_Respons_Loket[Count],Table_Respons_Loket[Daftar Nomor Hak]),"")</f>
        <v/>
      </c>
      <c r="E1644" s="17" t="str">
        <f t="array" ref="E1644">IFNA(_xlfn.XLOOKUP(B1644,Table_Respons_Loket[Count],Table_Respons_Loket[Time Stamp]),"")</f>
        <v/>
      </c>
      <c r="F1644" s="18" t="str">
        <f t="array" ref="F1644">IFNA(_xlfn.XLOOKUP(B1644,Table_Respons_Loket[Count],Table_Respons_Loket[Jenis Permohonan]),"")</f>
        <v/>
      </c>
      <c r="G1644" s="24"/>
      <c r="H1644" s="24"/>
      <c r="I1644" s="22" t="str">
        <f t="shared" si="7"/>
        <v/>
      </c>
      <c r="J1644" s="20" t="b">
        <v>0</v>
      </c>
      <c r="K1644" s="13" t="str">
        <f t="shared" si="8"/>
        <v/>
      </c>
    </row>
    <row r="1645" ht="22.5" customHeight="1">
      <c r="B1645" s="13">
        <f t="shared" si="3"/>
        <v>1639</v>
      </c>
      <c r="C1645" s="15" t="str">
        <f t="array" ref="C1645">IFNA(_xlfn.XLOOKUP(B1645,Table_Respons_Loket[Count],Table_Respons_Loket[Nomor Tiket]),"")</f>
        <v/>
      </c>
      <c r="D1645" s="15" t="str">
        <f t="array" ref="D1645">IFNA(_xlfn.XLOOKUP(B1645,Table_Respons_Loket[Count],Table_Respons_Loket[Daftar Nomor Hak]),"")</f>
        <v/>
      </c>
      <c r="E1645" s="17" t="str">
        <f t="array" ref="E1645">IFNA(_xlfn.XLOOKUP(B1645,Table_Respons_Loket[Count],Table_Respons_Loket[Time Stamp]),"")</f>
        <v/>
      </c>
      <c r="F1645" s="18" t="str">
        <f t="array" ref="F1645">IFNA(_xlfn.XLOOKUP(B1645,Table_Respons_Loket[Count],Table_Respons_Loket[Jenis Permohonan]),"")</f>
        <v/>
      </c>
      <c r="G1645" s="24"/>
      <c r="H1645" s="24"/>
      <c r="I1645" s="22" t="str">
        <f t="shared" si="7"/>
        <v/>
      </c>
      <c r="J1645" s="20" t="b">
        <v>0</v>
      </c>
      <c r="K1645" s="13" t="str">
        <f t="shared" si="8"/>
        <v/>
      </c>
    </row>
    <row r="1646" ht="22.5" customHeight="1">
      <c r="B1646" s="13">
        <f t="shared" si="3"/>
        <v>1640</v>
      </c>
      <c r="C1646" s="15" t="str">
        <f t="array" ref="C1646">IFNA(_xlfn.XLOOKUP(B1646,Table_Respons_Loket[Count],Table_Respons_Loket[Nomor Tiket]),"")</f>
        <v/>
      </c>
      <c r="D1646" s="15" t="str">
        <f t="array" ref="D1646">IFNA(_xlfn.XLOOKUP(B1646,Table_Respons_Loket[Count],Table_Respons_Loket[Daftar Nomor Hak]),"")</f>
        <v/>
      </c>
      <c r="E1646" s="17" t="str">
        <f t="array" ref="E1646">IFNA(_xlfn.XLOOKUP(B1646,Table_Respons_Loket[Count],Table_Respons_Loket[Time Stamp]),"")</f>
        <v/>
      </c>
      <c r="F1646" s="18" t="str">
        <f t="array" ref="F1646">IFNA(_xlfn.XLOOKUP(B1646,Table_Respons_Loket[Count],Table_Respons_Loket[Jenis Permohonan]),"")</f>
        <v/>
      </c>
      <c r="G1646" s="24"/>
      <c r="H1646" s="24"/>
      <c r="I1646" s="22" t="str">
        <f t="shared" si="7"/>
        <v/>
      </c>
      <c r="J1646" s="20" t="b">
        <v>0</v>
      </c>
      <c r="K1646" s="13" t="str">
        <f t="shared" si="8"/>
        <v/>
      </c>
    </row>
    <row r="1647" ht="22.5" customHeight="1">
      <c r="B1647" s="13">
        <f t="shared" si="3"/>
        <v>1641</v>
      </c>
      <c r="C1647" s="15" t="str">
        <f t="array" ref="C1647">IFNA(_xlfn.XLOOKUP(B1647,Table_Respons_Loket[Count],Table_Respons_Loket[Nomor Tiket]),"")</f>
        <v/>
      </c>
      <c r="D1647" s="15" t="str">
        <f t="array" ref="D1647">IFNA(_xlfn.XLOOKUP(B1647,Table_Respons_Loket[Count],Table_Respons_Loket[Daftar Nomor Hak]),"")</f>
        <v/>
      </c>
      <c r="E1647" s="17" t="str">
        <f t="array" ref="E1647">IFNA(_xlfn.XLOOKUP(B1647,Table_Respons_Loket[Count],Table_Respons_Loket[Time Stamp]),"")</f>
        <v/>
      </c>
      <c r="F1647" s="18" t="str">
        <f t="array" ref="F1647">IFNA(_xlfn.XLOOKUP(B1647,Table_Respons_Loket[Count],Table_Respons_Loket[Jenis Permohonan]),"")</f>
        <v/>
      </c>
      <c r="G1647" s="24"/>
      <c r="H1647" s="24"/>
      <c r="I1647" s="22" t="str">
        <f t="shared" si="7"/>
        <v/>
      </c>
      <c r="J1647" s="20" t="b">
        <v>0</v>
      </c>
      <c r="K1647" s="13" t="str">
        <f t="shared" si="8"/>
        <v/>
      </c>
    </row>
    <row r="1648" ht="22.5" customHeight="1">
      <c r="B1648" s="13">
        <f t="shared" si="3"/>
        <v>1642</v>
      </c>
      <c r="C1648" s="15" t="str">
        <f t="array" ref="C1648">IFNA(_xlfn.XLOOKUP(B1648,Table_Respons_Loket[Count],Table_Respons_Loket[Nomor Tiket]),"")</f>
        <v/>
      </c>
      <c r="D1648" s="15" t="str">
        <f t="array" ref="D1648">IFNA(_xlfn.XLOOKUP(B1648,Table_Respons_Loket[Count],Table_Respons_Loket[Daftar Nomor Hak]),"")</f>
        <v/>
      </c>
      <c r="E1648" s="17" t="str">
        <f t="array" ref="E1648">IFNA(_xlfn.XLOOKUP(B1648,Table_Respons_Loket[Count],Table_Respons_Loket[Time Stamp]),"")</f>
        <v/>
      </c>
      <c r="F1648" s="18" t="str">
        <f t="array" ref="F1648">IFNA(_xlfn.XLOOKUP(B1648,Table_Respons_Loket[Count],Table_Respons_Loket[Jenis Permohonan]),"")</f>
        <v/>
      </c>
      <c r="G1648" s="24"/>
      <c r="H1648" s="24"/>
      <c r="I1648" s="22" t="str">
        <f t="shared" si="7"/>
        <v/>
      </c>
      <c r="J1648" s="20" t="b">
        <v>0</v>
      </c>
      <c r="K1648" s="13" t="str">
        <f t="shared" si="8"/>
        <v/>
      </c>
    </row>
    <row r="1649" ht="22.5" customHeight="1">
      <c r="B1649" s="13">
        <f t="shared" si="3"/>
        <v>1643</v>
      </c>
      <c r="C1649" s="15" t="str">
        <f t="array" ref="C1649">IFNA(_xlfn.XLOOKUP(B1649,Table_Respons_Loket[Count],Table_Respons_Loket[Nomor Tiket]),"")</f>
        <v/>
      </c>
      <c r="D1649" s="15" t="str">
        <f t="array" ref="D1649">IFNA(_xlfn.XLOOKUP(B1649,Table_Respons_Loket[Count],Table_Respons_Loket[Daftar Nomor Hak]),"")</f>
        <v/>
      </c>
      <c r="E1649" s="17" t="str">
        <f t="array" ref="E1649">IFNA(_xlfn.XLOOKUP(B1649,Table_Respons_Loket[Count],Table_Respons_Loket[Time Stamp]),"")</f>
        <v/>
      </c>
      <c r="F1649" s="18" t="str">
        <f t="array" ref="F1649">IFNA(_xlfn.XLOOKUP(B1649,Table_Respons_Loket[Count],Table_Respons_Loket[Jenis Permohonan]),"")</f>
        <v/>
      </c>
      <c r="G1649" s="24"/>
      <c r="H1649" s="24"/>
      <c r="I1649" s="22" t="str">
        <f t="shared" si="7"/>
        <v/>
      </c>
      <c r="J1649" s="20" t="b">
        <v>0</v>
      </c>
      <c r="K1649" s="13" t="str">
        <f t="shared" si="8"/>
        <v/>
      </c>
    </row>
    <row r="1650" ht="22.5" customHeight="1">
      <c r="B1650" s="13">
        <f t="shared" si="3"/>
        <v>1644</v>
      </c>
      <c r="C1650" s="15" t="str">
        <f t="array" ref="C1650">IFNA(_xlfn.XLOOKUP(B1650,Table_Respons_Loket[Count],Table_Respons_Loket[Nomor Tiket]),"")</f>
        <v/>
      </c>
      <c r="D1650" s="15" t="str">
        <f t="array" ref="D1650">IFNA(_xlfn.XLOOKUP(B1650,Table_Respons_Loket[Count],Table_Respons_Loket[Daftar Nomor Hak]),"")</f>
        <v/>
      </c>
      <c r="E1650" s="17" t="str">
        <f t="array" ref="E1650">IFNA(_xlfn.XLOOKUP(B1650,Table_Respons_Loket[Count],Table_Respons_Loket[Time Stamp]),"")</f>
        <v/>
      </c>
      <c r="F1650" s="18" t="str">
        <f t="array" ref="F1650">IFNA(_xlfn.XLOOKUP(B1650,Table_Respons_Loket[Count],Table_Respons_Loket[Jenis Permohonan]),"")</f>
        <v/>
      </c>
      <c r="G1650" s="24"/>
      <c r="H1650" s="24"/>
      <c r="I1650" s="22" t="str">
        <f t="shared" si="7"/>
        <v/>
      </c>
      <c r="J1650" s="20" t="b">
        <v>0</v>
      </c>
      <c r="K1650" s="13" t="str">
        <f t="shared" si="8"/>
        <v/>
      </c>
    </row>
    <row r="1651" ht="22.5" customHeight="1">
      <c r="B1651" s="13">
        <f t="shared" si="3"/>
        <v>1645</v>
      </c>
      <c r="C1651" s="15" t="str">
        <f t="array" ref="C1651">IFNA(_xlfn.XLOOKUP(B1651,Table_Respons_Loket[Count],Table_Respons_Loket[Nomor Tiket]),"")</f>
        <v/>
      </c>
      <c r="D1651" s="15" t="str">
        <f t="array" ref="D1651">IFNA(_xlfn.XLOOKUP(B1651,Table_Respons_Loket[Count],Table_Respons_Loket[Daftar Nomor Hak]),"")</f>
        <v/>
      </c>
      <c r="E1651" s="17" t="str">
        <f t="array" ref="E1651">IFNA(_xlfn.XLOOKUP(B1651,Table_Respons_Loket[Count],Table_Respons_Loket[Time Stamp]),"")</f>
        <v/>
      </c>
      <c r="F1651" s="18" t="str">
        <f t="array" ref="F1651">IFNA(_xlfn.XLOOKUP(B1651,Table_Respons_Loket[Count],Table_Respons_Loket[Jenis Permohonan]),"")</f>
        <v/>
      </c>
      <c r="G1651" s="24"/>
      <c r="H1651" s="24"/>
      <c r="I1651" s="22" t="str">
        <f t="shared" si="7"/>
        <v/>
      </c>
      <c r="J1651" s="20" t="b">
        <v>0</v>
      </c>
      <c r="K1651" s="13" t="str">
        <f t="shared" si="8"/>
        <v/>
      </c>
    </row>
    <row r="1652" ht="22.5" customHeight="1">
      <c r="B1652" s="13">
        <f t="shared" si="3"/>
        <v>1646</v>
      </c>
      <c r="C1652" s="15" t="str">
        <f t="array" ref="C1652">IFNA(_xlfn.XLOOKUP(B1652,Table_Respons_Loket[Count],Table_Respons_Loket[Nomor Tiket]),"")</f>
        <v/>
      </c>
      <c r="D1652" s="15" t="str">
        <f t="array" ref="D1652">IFNA(_xlfn.XLOOKUP(B1652,Table_Respons_Loket[Count],Table_Respons_Loket[Daftar Nomor Hak]),"")</f>
        <v/>
      </c>
      <c r="E1652" s="17" t="str">
        <f t="array" ref="E1652">IFNA(_xlfn.XLOOKUP(B1652,Table_Respons_Loket[Count],Table_Respons_Loket[Time Stamp]),"")</f>
        <v/>
      </c>
      <c r="F1652" s="18" t="str">
        <f t="array" ref="F1652">IFNA(_xlfn.XLOOKUP(B1652,Table_Respons_Loket[Count],Table_Respons_Loket[Jenis Permohonan]),"")</f>
        <v/>
      </c>
      <c r="G1652" s="24"/>
      <c r="H1652" s="24"/>
      <c r="I1652" s="22" t="str">
        <f t="shared" si="7"/>
        <v/>
      </c>
      <c r="J1652" s="20" t="b">
        <v>0</v>
      </c>
      <c r="K1652" s="13" t="str">
        <f t="shared" si="8"/>
        <v/>
      </c>
    </row>
    <row r="1653" ht="22.5" customHeight="1">
      <c r="B1653" s="13">
        <f t="shared" si="3"/>
        <v>1647</v>
      </c>
      <c r="C1653" s="15" t="str">
        <f t="array" ref="C1653">IFNA(_xlfn.XLOOKUP(B1653,Table_Respons_Loket[Count],Table_Respons_Loket[Nomor Tiket]),"")</f>
        <v/>
      </c>
      <c r="D1653" s="15" t="str">
        <f t="array" ref="D1653">IFNA(_xlfn.XLOOKUP(B1653,Table_Respons_Loket[Count],Table_Respons_Loket[Daftar Nomor Hak]),"")</f>
        <v/>
      </c>
      <c r="E1653" s="17" t="str">
        <f t="array" ref="E1653">IFNA(_xlfn.XLOOKUP(B1653,Table_Respons_Loket[Count],Table_Respons_Loket[Time Stamp]),"")</f>
        <v/>
      </c>
      <c r="F1653" s="18" t="str">
        <f t="array" ref="F1653">IFNA(_xlfn.XLOOKUP(B1653,Table_Respons_Loket[Count],Table_Respons_Loket[Jenis Permohonan]),"")</f>
        <v/>
      </c>
      <c r="G1653" s="24"/>
      <c r="H1653" s="24"/>
      <c r="I1653" s="22" t="str">
        <f t="shared" si="7"/>
        <v/>
      </c>
      <c r="J1653" s="20" t="b">
        <v>0</v>
      </c>
      <c r="K1653" s="13" t="str">
        <f t="shared" si="8"/>
        <v/>
      </c>
    </row>
    <row r="1654" ht="22.5" customHeight="1">
      <c r="B1654" s="13">
        <f t="shared" si="3"/>
        <v>1648</v>
      </c>
      <c r="C1654" s="15" t="str">
        <f t="array" ref="C1654">IFNA(_xlfn.XLOOKUP(B1654,Table_Respons_Loket[Count],Table_Respons_Loket[Nomor Tiket]),"")</f>
        <v/>
      </c>
      <c r="D1654" s="15" t="str">
        <f t="array" ref="D1654">IFNA(_xlfn.XLOOKUP(B1654,Table_Respons_Loket[Count],Table_Respons_Loket[Daftar Nomor Hak]),"")</f>
        <v/>
      </c>
      <c r="E1654" s="17" t="str">
        <f t="array" ref="E1654">IFNA(_xlfn.XLOOKUP(B1654,Table_Respons_Loket[Count],Table_Respons_Loket[Time Stamp]),"")</f>
        <v/>
      </c>
      <c r="F1654" s="18" t="str">
        <f t="array" ref="F1654">IFNA(_xlfn.XLOOKUP(B1654,Table_Respons_Loket[Count],Table_Respons_Loket[Jenis Permohonan]),"")</f>
        <v/>
      </c>
      <c r="G1654" s="24"/>
      <c r="H1654" s="24"/>
      <c r="I1654" s="22" t="str">
        <f t="shared" si="7"/>
        <v/>
      </c>
      <c r="J1654" s="20" t="b">
        <v>0</v>
      </c>
      <c r="K1654" s="13" t="str">
        <f t="shared" si="8"/>
        <v/>
      </c>
    </row>
    <row r="1655" ht="22.5" customHeight="1">
      <c r="B1655" s="13">
        <f t="shared" si="3"/>
        <v>1649</v>
      </c>
      <c r="C1655" s="15" t="str">
        <f t="array" ref="C1655">IFNA(_xlfn.XLOOKUP(B1655,Table_Respons_Loket[Count],Table_Respons_Loket[Nomor Tiket]),"")</f>
        <v/>
      </c>
      <c r="D1655" s="15" t="str">
        <f t="array" ref="D1655">IFNA(_xlfn.XLOOKUP(B1655,Table_Respons_Loket[Count],Table_Respons_Loket[Daftar Nomor Hak]),"")</f>
        <v/>
      </c>
      <c r="E1655" s="17" t="str">
        <f t="array" ref="E1655">IFNA(_xlfn.XLOOKUP(B1655,Table_Respons_Loket[Count],Table_Respons_Loket[Time Stamp]),"")</f>
        <v/>
      </c>
      <c r="F1655" s="18" t="str">
        <f t="array" ref="F1655">IFNA(_xlfn.XLOOKUP(B1655,Table_Respons_Loket[Count],Table_Respons_Loket[Jenis Permohonan]),"")</f>
        <v/>
      </c>
      <c r="G1655" s="24"/>
      <c r="H1655" s="24"/>
      <c r="I1655" s="22" t="str">
        <f t="shared" si="7"/>
        <v/>
      </c>
      <c r="J1655" s="20" t="b">
        <v>0</v>
      </c>
      <c r="K1655" s="13" t="str">
        <f t="shared" si="8"/>
        <v/>
      </c>
    </row>
    <row r="1656" ht="22.5" customHeight="1">
      <c r="B1656" s="13">
        <f t="shared" si="3"/>
        <v>1650</v>
      </c>
      <c r="C1656" s="15" t="str">
        <f t="array" ref="C1656">IFNA(_xlfn.XLOOKUP(B1656,Table_Respons_Loket[Count],Table_Respons_Loket[Nomor Tiket]),"")</f>
        <v/>
      </c>
      <c r="D1656" s="15" t="str">
        <f t="array" ref="D1656">IFNA(_xlfn.XLOOKUP(B1656,Table_Respons_Loket[Count],Table_Respons_Loket[Daftar Nomor Hak]),"")</f>
        <v/>
      </c>
      <c r="E1656" s="17" t="str">
        <f t="array" ref="E1656">IFNA(_xlfn.XLOOKUP(B1656,Table_Respons_Loket[Count],Table_Respons_Loket[Time Stamp]),"")</f>
        <v/>
      </c>
      <c r="F1656" s="18" t="str">
        <f t="array" ref="F1656">IFNA(_xlfn.XLOOKUP(B1656,Table_Respons_Loket[Count],Table_Respons_Loket[Jenis Permohonan]),"")</f>
        <v/>
      </c>
      <c r="G1656" s="24"/>
      <c r="H1656" s="24"/>
      <c r="I1656" s="22" t="str">
        <f t="shared" si="7"/>
        <v/>
      </c>
      <c r="J1656" s="20" t="b">
        <v>0</v>
      </c>
      <c r="K1656" s="13" t="str">
        <f t="shared" si="8"/>
        <v/>
      </c>
    </row>
    <row r="1657" ht="22.5" customHeight="1">
      <c r="B1657" s="13">
        <f t="shared" si="3"/>
        <v>1651</v>
      </c>
      <c r="C1657" s="15" t="str">
        <f t="array" ref="C1657">IFNA(_xlfn.XLOOKUP(B1657,Table_Respons_Loket[Count],Table_Respons_Loket[Nomor Tiket]),"")</f>
        <v/>
      </c>
      <c r="D1657" s="15" t="str">
        <f t="array" ref="D1657">IFNA(_xlfn.XLOOKUP(B1657,Table_Respons_Loket[Count],Table_Respons_Loket[Daftar Nomor Hak]),"")</f>
        <v/>
      </c>
      <c r="E1657" s="17" t="str">
        <f t="array" ref="E1657">IFNA(_xlfn.XLOOKUP(B1657,Table_Respons_Loket[Count],Table_Respons_Loket[Time Stamp]),"")</f>
        <v/>
      </c>
      <c r="F1657" s="18" t="str">
        <f t="array" ref="F1657">IFNA(_xlfn.XLOOKUP(B1657,Table_Respons_Loket[Count],Table_Respons_Loket[Jenis Permohonan]),"")</f>
        <v/>
      </c>
      <c r="G1657" s="24"/>
      <c r="H1657" s="24"/>
      <c r="I1657" s="22" t="str">
        <f t="shared" si="7"/>
        <v/>
      </c>
      <c r="J1657" s="20" t="b">
        <v>0</v>
      </c>
      <c r="K1657" s="13" t="str">
        <f t="shared" si="8"/>
        <v/>
      </c>
    </row>
    <row r="1658" ht="22.5" customHeight="1">
      <c r="B1658" s="13">
        <f t="shared" si="3"/>
        <v>1652</v>
      </c>
      <c r="C1658" s="15" t="str">
        <f t="array" ref="C1658">IFNA(_xlfn.XLOOKUP(B1658,Table_Respons_Loket[Count],Table_Respons_Loket[Nomor Tiket]),"")</f>
        <v/>
      </c>
      <c r="D1658" s="15" t="str">
        <f t="array" ref="D1658">IFNA(_xlfn.XLOOKUP(B1658,Table_Respons_Loket[Count],Table_Respons_Loket[Daftar Nomor Hak]),"")</f>
        <v/>
      </c>
      <c r="E1658" s="17" t="str">
        <f t="array" ref="E1658">IFNA(_xlfn.XLOOKUP(B1658,Table_Respons_Loket[Count],Table_Respons_Loket[Time Stamp]),"")</f>
        <v/>
      </c>
      <c r="F1658" s="18" t="str">
        <f t="array" ref="F1658">IFNA(_xlfn.XLOOKUP(B1658,Table_Respons_Loket[Count],Table_Respons_Loket[Jenis Permohonan]),"")</f>
        <v/>
      </c>
      <c r="G1658" s="24"/>
      <c r="H1658" s="24"/>
      <c r="I1658" s="22" t="str">
        <f t="shared" si="7"/>
        <v/>
      </c>
      <c r="J1658" s="20" t="b">
        <v>0</v>
      </c>
      <c r="K1658" s="13" t="str">
        <f t="shared" si="8"/>
        <v/>
      </c>
    </row>
    <row r="1659" ht="22.5" customHeight="1">
      <c r="B1659" s="13">
        <f t="shared" si="3"/>
        <v>1653</v>
      </c>
      <c r="C1659" s="15" t="str">
        <f t="array" ref="C1659">IFNA(_xlfn.XLOOKUP(B1659,Table_Respons_Loket[Count],Table_Respons_Loket[Nomor Tiket]),"")</f>
        <v/>
      </c>
      <c r="D1659" s="15" t="str">
        <f t="array" ref="D1659">IFNA(_xlfn.XLOOKUP(B1659,Table_Respons_Loket[Count],Table_Respons_Loket[Daftar Nomor Hak]),"")</f>
        <v/>
      </c>
      <c r="E1659" s="17" t="str">
        <f t="array" ref="E1659">IFNA(_xlfn.XLOOKUP(B1659,Table_Respons_Loket[Count],Table_Respons_Loket[Time Stamp]),"")</f>
        <v/>
      </c>
      <c r="F1659" s="18" t="str">
        <f t="array" ref="F1659">IFNA(_xlfn.XLOOKUP(B1659,Table_Respons_Loket[Count],Table_Respons_Loket[Jenis Permohonan]),"")</f>
        <v/>
      </c>
      <c r="G1659" s="24"/>
      <c r="H1659" s="24"/>
      <c r="I1659" s="22" t="str">
        <f t="shared" si="7"/>
        <v/>
      </c>
      <c r="J1659" s="20" t="b">
        <v>0</v>
      </c>
      <c r="K1659" s="13" t="str">
        <f t="shared" si="8"/>
        <v/>
      </c>
    </row>
    <row r="1660" ht="22.5" customHeight="1">
      <c r="B1660" s="13">
        <f t="shared" si="3"/>
        <v>1654</v>
      </c>
      <c r="C1660" s="15" t="str">
        <f t="array" ref="C1660">IFNA(_xlfn.XLOOKUP(B1660,Table_Respons_Loket[Count],Table_Respons_Loket[Nomor Tiket]),"")</f>
        <v/>
      </c>
      <c r="D1660" s="15" t="str">
        <f t="array" ref="D1660">IFNA(_xlfn.XLOOKUP(B1660,Table_Respons_Loket[Count],Table_Respons_Loket[Daftar Nomor Hak]),"")</f>
        <v/>
      </c>
      <c r="E1660" s="17" t="str">
        <f t="array" ref="E1660">IFNA(_xlfn.XLOOKUP(B1660,Table_Respons_Loket[Count],Table_Respons_Loket[Time Stamp]),"")</f>
        <v/>
      </c>
      <c r="F1660" s="18" t="str">
        <f t="array" ref="F1660">IFNA(_xlfn.XLOOKUP(B1660,Table_Respons_Loket[Count],Table_Respons_Loket[Jenis Permohonan]),"")</f>
        <v/>
      </c>
      <c r="G1660" s="24"/>
      <c r="H1660" s="24"/>
      <c r="I1660" s="22" t="str">
        <f t="shared" si="7"/>
        <v/>
      </c>
      <c r="J1660" s="20" t="b">
        <v>0</v>
      </c>
      <c r="K1660" s="13" t="str">
        <f t="shared" si="8"/>
        <v/>
      </c>
    </row>
    <row r="1661" ht="22.5" customHeight="1">
      <c r="B1661" s="13">
        <f t="shared" si="3"/>
        <v>1655</v>
      </c>
      <c r="C1661" s="15" t="str">
        <f t="array" ref="C1661">IFNA(_xlfn.XLOOKUP(B1661,Table_Respons_Loket[Count],Table_Respons_Loket[Nomor Tiket]),"")</f>
        <v/>
      </c>
      <c r="D1661" s="15" t="str">
        <f t="array" ref="D1661">IFNA(_xlfn.XLOOKUP(B1661,Table_Respons_Loket[Count],Table_Respons_Loket[Daftar Nomor Hak]),"")</f>
        <v/>
      </c>
      <c r="E1661" s="17" t="str">
        <f t="array" ref="E1661">IFNA(_xlfn.XLOOKUP(B1661,Table_Respons_Loket[Count],Table_Respons_Loket[Time Stamp]),"")</f>
        <v/>
      </c>
      <c r="F1661" s="18" t="str">
        <f t="array" ref="F1661">IFNA(_xlfn.XLOOKUP(B1661,Table_Respons_Loket[Count],Table_Respons_Loket[Jenis Permohonan]),"")</f>
        <v/>
      </c>
      <c r="G1661" s="24"/>
      <c r="H1661" s="24"/>
      <c r="I1661" s="22" t="str">
        <f t="shared" si="7"/>
        <v/>
      </c>
      <c r="J1661" s="20" t="b">
        <v>0</v>
      </c>
      <c r="K1661" s="13" t="str">
        <f t="shared" si="8"/>
        <v/>
      </c>
    </row>
    <row r="1662" ht="22.5" customHeight="1">
      <c r="B1662" s="13">
        <f t="shared" si="3"/>
        <v>1656</v>
      </c>
      <c r="C1662" s="15" t="str">
        <f t="array" ref="C1662">IFNA(_xlfn.XLOOKUP(B1662,Table_Respons_Loket[Count],Table_Respons_Loket[Nomor Tiket]),"")</f>
        <v/>
      </c>
      <c r="D1662" s="15" t="str">
        <f t="array" ref="D1662">IFNA(_xlfn.XLOOKUP(B1662,Table_Respons_Loket[Count],Table_Respons_Loket[Daftar Nomor Hak]),"")</f>
        <v/>
      </c>
      <c r="E1662" s="17" t="str">
        <f t="array" ref="E1662">IFNA(_xlfn.XLOOKUP(B1662,Table_Respons_Loket[Count],Table_Respons_Loket[Time Stamp]),"")</f>
        <v/>
      </c>
      <c r="F1662" s="18" t="str">
        <f t="array" ref="F1662">IFNA(_xlfn.XLOOKUP(B1662,Table_Respons_Loket[Count],Table_Respons_Loket[Jenis Permohonan]),"")</f>
        <v/>
      </c>
      <c r="G1662" s="24"/>
      <c r="H1662" s="24"/>
      <c r="I1662" s="22" t="str">
        <f t="shared" si="7"/>
        <v/>
      </c>
      <c r="J1662" s="20" t="b">
        <v>0</v>
      </c>
      <c r="K1662" s="13" t="str">
        <f t="shared" si="8"/>
        <v/>
      </c>
    </row>
    <row r="1663" ht="22.5" customHeight="1">
      <c r="B1663" s="13">
        <f t="shared" si="3"/>
        <v>1657</v>
      </c>
      <c r="C1663" s="15" t="str">
        <f t="array" ref="C1663">IFNA(_xlfn.XLOOKUP(B1663,Table_Respons_Loket[Count],Table_Respons_Loket[Nomor Tiket]),"")</f>
        <v/>
      </c>
      <c r="D1663" s="15" t="str">
        <f t="array" ref="D1663">IFNA(_xlfn.XLOOKUP(B1663,Table_Respons_Loket[Count],Table_Respons_Loket[Daftar Nomor Hak]),"")</f>
        <v/>
      </c>
      <c r="E1663" s="17" t="str">
        <f t="array" ref="E1663">IFNA(_xlfn.XLOOKUP(B1663,Table_Respons_Loket[Count],Table_Respons_Loket[Time Stamp]),"")</f>
        <v/>
      </c>
      <c r="F1663" s="18" t="str">
        <f t="array" ref="F1663">IFNA(_xlfn.XLOOKUP(B1663,Table_Respons_Loket[Count],Table_Respons_Loket[Jenis Permohonan]),"")</f>
        <v/>
      </c>
      <c r="G1663" s="24"/>
      <c r="H1663" s="24"/>
      <c r="I1663" s="22" t="str">
        <f t="shared" si="7"/>
        <v/>
      </c>
      <c r="J1663" s="20" t="b">
        <v>0</v>
      </c>
      <c r="K1663" s="13" t="str">
        <f t="shared" si="8"/>
        <v/>
      </c>
    </row>
    <row r="1664" ht="22.5" customHeight="1">
      <c r="B1664" s="13">
        <f t="shared" si="3"/>
        <v>1658</v>
      </c>
      <c r="C1664" s="15" t="str">
        <f t="array" ref="C1664">IFNA(_xlfn.XLOOKUP(B1664,Table_Respons_Loket[Count],Table_Respons_Loket[Nomor Tiket]),"")</f>
        <v/>
      </c>
      <c r="D1664" s="15" t="str">
        <f t="array" ref="D1664">IFNA(_xlfn.XLOOKUP(B1664,Table_Respons_Loket[Count],Table_Respons_Loket[Daftar Nomor Hak]),"")</f>
        <v/>
      </c>
      <c r="E1664" s="17" t="str">
        <f t="array" ref="E1664">IFNA(_xlfn.XLOOKUP(B1664,Table_Respons_Loket[Count],Table_Respons_Loket[Time Stamp]),"")</f>
        <v/>
      </c>
      <c r="F1664" s="18" t="str">
        <f t="array" ref="F1664">IFNA(_xlfn.XLOOKUP(B1664,Table_Respons_Loket[Count],Table_Respons_Loket[Jenis Permohonan]),"")</f>
        <v/>
      </c>
      <c r="G1664" s="24"/>
      <c r="H1664" s="24"/>
      <c r="I1664" s="22" t="str">
        <f t="shared" si="7"/>
        <v/>
      </c>
      <c r="J1664" s="20" t="b">
        <v>0</v>
      </c>
      <c r="K1664" s="13" t="str">
        <f t="shared" si="8"/>
        <v/>
      </c>
    </row>
    <row r="1665" ht="22.5" customHeight="1">
      <c r="B1665" s="13">
        <f t="shared" si="3"/>
        <v>1659</v>
      </c>
      <c r="C1665" s="15" t="str">
        <f t="array" ref="C1665">IFNA(_xlfn.XLOOKUP(B1665,Table_Respons_Loket[Count],Table_Respons_Loket[Nomor Tiket]),"")</f>
        <v/>
      </c>
      <c r="D1665" s="15" t="str">
        <f t="array" ref="D1665">IFNA(_xlfn.XLOOKUP(B1665,Table_Respons_Loket[Count],Table_Respons_Loket[Daftar Nomor Hak]),"")</f>
        <v/>
      </c>
      <c r="E1665" s="17" t="str">
        <f t="array" ref="E1665">IFNA(_xlfn.XLOOKUP(B1665,Table_Respons_Loket[Count],Table_Respons_Loket[Time Stamp]),"")</f>
        <v/>
      </c>
      <c r="F1665" s="18" t="str">
        <f t="array" ref="F1665">IFNA(_xlfn.XLOOKUP(B1665,Table_Respons_Loket[Count],Table_Respons_Loket[Jenis Permohonan]),"")</f>
        <v/>
      </c>
      <c r="G1665" s="24"/>
      <c r="H1665" s="24"/>
      <c r="I1665" s="22" t="str">
        <f t="shared" si="7"/>
        <v/>
      </c>
      <c r="J1665" s="20" t="b">
        <v>0</v>
      </c>
      <c r="K1665" s="13" t="str">
        <f t="shared" si="8"/>
        <v/>
      </c>
    </row>
    <row r="1666" ht="22.5" customHeight="1">
      <c r="B1666" s="13">
        <f t="shared" si="3"/>
        <v>1660</v>
      </c>
      <c r="C1666" s="15" t="str">
        <f t="array" ref="C1666">IFNA(_xlfn.XLOOKUP(B1666,Table_Respons_Loket[Count],Table_Respons_Loket[Nomor Tiket]),"")</f>
        <v/>
      </c>
      <c r="D1666" s="15" t="str">
        <f t="array" ref="D1666">IFNA(_xlfn.XLOOKUP(B1666,Table_Respons_Loket[Count],Table_Respons_Loket[Daftar Nomor Hak]),"")</f>
        <v/>
      </c>
      <c r="E1666" s="17" t="str">
        <f t="array" ref="E1666">IFNA(_xlfn.XLOOKUP(B1666,Table_Respons_Loket[Count],Table_Respons_Loket[Time Stamp]),"")</f>
        <v/>
      </c>
      <c r="F1666" s="18" t="str">
        <f t="array" ref="F1666">IFNA(_xlfn.XLOOKUP(B1666,Table_Respons_Loket[Count],Table_Respons_Loket[Jenis Permohonan]),"")</f>
        <v/>
      </c>
      <c r="G1666" s="24"/>
      <c r="H1666" s="24"/>
      <c r="I1666" s="22" t="str">
        <f t="shared" si="7"/>
        <v/>
      </c>
      <c r="J1666" s="20" t="b">
        <v>0</v>
      </c>
      <c r="K1666" s="13" t="str">
        <f t="shared" si="8"/>
        <v/>
      </c>
    </row>
    <row r="1667" ht="22.5" customHeight="1">
      <c r="B1667" s="13">
        <f t="shared" si="3"/>
        <v>1661</v>
      </c>
      <c r="C1667" s="15" t="str">
        <f t="array" ref="C1667">IFNA(_xlfn.XLOOKUP(B1667,Table_Respons_Loket[Count],Table_Respons_Loket[Nomor Tiket]),"")</f>
        <v/>
      </c>
      <c r="D1667" s="15" t="str">
        <f t="array" ref="D1667">IFNA(_xlfn.XLOOKUP(B1667,Table_Respons_Loket[Count],Table_Respons_Loket[Daftar Nomor Hak]),"")</f>
        <v/>
      </c>
      <c r="E1667" s="17" t="str">
        <f t="array" ref="E1667">IFNA(_xlfn.XLOOKUP(B1667,Table_Respons_Loket[Count],Table_Respons_Loket[Time Stamp]),"")</f>
        <v/>
      </c>
      <c r="F1667" s="18" t="str">
        <f t="array" ref="F1667">IFNA(_xlfn.XLOOKUP(B1667,Table_Respons_Loket[Count],Table_Respons_Loket[Jenis Permohonan]),"")</f>
        <v/>
      </c>
      <c r="G1667" s="24"/>
      <c r="H1667" s="24"/>
      <c r="I1667" s="22" t="str">
        <f t="shared" si="7"/>
        <v/>
      </c>
      <c r="J1667" s="20" t="b">
        <v>0</v>
      </c>
      <c r="K1667" s="13" t="str">
        <f t="shared" si="8"/>
        <v/>
      </c>
    </row>
    <row r="1668" ht="22.5" customHeight="1">
      <c r="B1668" s="13">
        <f t="shared" si="3"/>
        <v>1662</v>
      </c>
      <c r="C1668" s="15" t="str">
        <f t="array" ref="C1668">IFNA(_xlfn.XLOOKUP(B1668,Table_Respons_Loket[Count],Table_Respons_Loket[Nomor Tiket]),"")</f>
        <v/>
      </c>
      <c r="D1668" s="15" t="str">
        <f t="array" ref="D1668">IFNA(_xlfn.XLOOKUP(B1668,Table_Respons_Loket[Count],Table_Respons_Loket[Daftar Nomor Hak]),"")</f>
        <v/>
      </c>
      <c r="E1668" s="17" t="str">
        <f t="array" ref="E1668">IFNA(_xlfn.XLOOKUP(B1668,Table_Respons_Loket[Count],Table_Respons_Loket[Time Stamp]),"")</f>
        <v/>
      </c>
      <c r="F1668" s="18" t="str">
        <f t="array" ref="F1668">IFNA(_xlfn.XLOOKUP(B1668,Table_Respons_Loket[Count],Table_Respons_Loket[Jenis Permohonan]),"")</f>
        <v/>
      </c>
      <c r="G1668" s="24"/>
      <c r="H1668" s="24"/>
      <c r="I1668" s="22" t="str">
        <f t="shared" si="7"/>
        <v/>
      </c>
      <c r="J1668" s="20" t="b">
        <v>0</v>
      </c>
      <c r="K1668" s="13" t="str">
        <f t="shared" si="8"/>
        <v/>
      </c>
    </row>
    <row r="1669" ht="22.5" customHeight="1">
      <c r="B1669" s="13">
        <f t="shared" si="3"/>
        <v>1663</v>
      </c>
      <c r="C1669" s="15" t="str">
        <f t="array" ref="C1669">IFNA(_xlfn.XLOOKUP(B1669,Table_Respons_Loket[Count],Table_Respons_Loket[Nomor Tiket]),"")</f>
        <v/>
      </c>
      <c r="D1669" s="15" t="str">
        <f t="array" ref="D1669">IFNA(_xlfn.XLOOKUP(B1669,Table_Respons_Loket[Count],Table_Respons_Loket[Daftar Nomor Hak]),"")</f>
        <v/>
      </c>
      <c r="E1669" s="17" t="str">
        <f t="array" ref="E1669">IFNA(_xlfn.XLOOKUP(B1669,Table_Respons_Loket[Count],Table_Respons_Loket[Time Stamp]),"")</f>
        <v/>
      </c>
      <c r="F1669" s="18" t="str">
        <f t="array" ref="F1669">IFNA(_xlfn.XLOOKUP(B1669,Table_Respons_Loket[Count],Table_Respons_Loket[Jenis Permohonan]),"")</f>
        <v/>
      </c>
      <c r="G1669" s="24"/>
      <c r="H1669" s="24"/>
      <c r="I1669" s="22" t="str">
        <f t="shared" si="7"/>
        <v/>
      </c>
      <c r="J1669" s="20" t="b">
        <v>0</v>
      </c>
      <c r="K1669" s="13" t="str">
        <f t="shared" si="8"/>
        <v/>
      </c>
    </row>
    <row r="1670" ht="22.5" customHeight="1">
      <c r="B1670" s="13">
        <f t="shared" si="3"/>
        <v>1664</v>
      </c>
      <c r="C1670" s="15" t="str">
        <f t="array" ref="C1670">IFNA(_xlfn.XLOOKUP(B1670,Table_Respons_Loket[Count],Table_Respons_Loket[Nomor Tiket]),"")</f>
        <v/>
      </c>
      <c r="D1670" s="15" t="str">
        <f t="array" ref="D1670">IFNA(_xlfn.XLOOKUP(B1670,Table_Respons_Loket[Count],Table_Respons_Loket[Daftar Nomor Hak]),"")</f>
        <v/>
      </c>
      <c r="E1670" s="17" t="str">
        <f t="array" ref="E1670">IFNA(_xlfn.XLOOKUP(B1670,Table_Respons_Loket[Count],Table_Respons_Loket[Time Stamp]),"")</f>
        <v/>
      </c>
      <c r="F1670" s="18" t="str">
        <f t="array" ref="F1670">IFNA(_xlfn.XLOOKUP(B1670,Table_Respons_Loket[Count],Table_Respons_Loket[Jenis Permohonan]),"")</f>
        <v/>
      </c>
      <c r="G1670" s="24"/>
      <c r="H1670" s="24"/>
      <c r="I1670" s="22" t="str">
        <f t="shared" si="7"/>
        <v/>
      </c>
      <c r="J1670" s="20" t="b">
        <v>0</v>
      </c>
      <c r="K1670" s="13" t="str">
        <f t="shared" si="8"/>
        <v/>
      </c>
    </row>
    <row r="1671" ht="22.5" customHeight="1">
      <c r="B1671" s="13">
        <f t="shared" si="3"/>
        <v>1665</v>
      </c>
      <c r="C1671" s="15" t="str">
        <f t="array" ref="C1671">IFNA(_xlfn.XLOOKUP(B1671,Table_Respons_Loket[Count],Table_Respons_Loket[Nomor Tiket]),"")</f>
        <v/>
      </c>
      <c r="D1671" s="15" t="str">
        <f t="array" ref="D1671">IFNA(_xlfn.XLOOKUP(B1671,Table_Respons_Loket[Count],Table_Respons_Loket[Daftar Nomor Hak]),"")</f>
        <v/>
      </c>
      <c r="E1671" s="17" t="str">
        <f t="array" ref="E1671">IFNA(_xlfn.XLOOKUP(B1671,Table_Respons_Loket[Count],Table_Respons_Loket[Time Stamp]),"")</f>
        <v/>
      </c>
      <c r="F1671" s="18" t="str">
        <f t="array" ref="F1671">IFNA(_xlfn.XLOOKUP(B1671,Table_Respons_Loket[Count],Table_Respons_Loket[Jenis Permohonan]),"")</f>
        <v/>
      </c>
      <c r="G1671" s="24"/>
      <c r="H1671" s="24"/>
      <c r="I1671" s="22" t="str">
        <f t="shared" si="7"/>
        <v/>
      </c>
      <c r="J1671" s="20" t="b">
        <v>0</v>
      </c>
      <c r="K1671" s="13" t="str">
        <f t="shared" si="8"/>
        <v/>
      </c>
    </row>
    <row r="1672" ht="22.5" customHeight="1">
      <c r="B1672" s="13">
        <f t="shared" si="3"/>
        <v>1666</v>
      </c>
      <c r="C1672" s="15" t="str">
        <f t="array" ref="C1672">IFNA(_xlfn.XLOOKUP(B1672,Table_Respons_Loket[Count],Table_Respons_Loket[Nomor Tiket]),"")</f>
        <v/>
      </c>
      <c r="D1672" s="15" t="str">
        <f t="array" ref="D1672">IFNA(_xlfn.XLOOKUP(B1672,Table_Respons_Loket[Count],Table_Respons_Loket[Daftar Nomor Hak]),"")</f>
        <v/>
      </c>
      <c r="E1672" s="17" t="str">
        <f t="array" ref="E1672">IFNA(_xlfn.XLOOKUP(B1672,Table_Respons_Loket[Count],Table_Respons_Loket[Time Stamp]),"")</f>
        <v/>
      </c>
      <c r="F1672" s="18" t="str">
        <f t="array" ref="F1672">IFNA(_xlfn.XLOOKUP(B1672,Table_Respons_Loket[Count],Table_Respons_Loket[Jenis Permohonan]),"")</f>
        <v/>
      </c>
      <c r="G1672" s="24"/>
      <c r="H1672" s="24"/>
      <c r="I1672" s="22" t="str">
        <f t="shared" si="7"/>
        <v/>
      </c>
      <c r="J1672" s="20" t="b">
        <v>0</v>
      </c>
      <c r="K1672" s="13" t="str">
        <f t="shared" si="8"/>
        <v/>
      </c>
    </row>
    <row r="1673" ht="22.5" customHeight="1">
      <c r="B1673" s="13">
        <f t="shared" si="3"/>
        <v>1667</v>
      </c>
      <c r="C1673" s="15" t="str">
        <f t="array" ref="C1673">IFNA(_xlfn.XLOOKUP(B1673,Table_Respons_Loket[Count],Table_Respons_Loket[Nomor Tiket]),"")</f>
        <v/>
      </c>
      <c r="D1673" s="15" t="str">
        <f t="array" ref="D1673">IFNA(_xlfn.XLOOKUP(B1673,Table_Respons_Loket[Count],Table_Respons_Loket[Daftar Nomor Hak]),"")</f>
        <v/>
      </c>
      <c r="E1673" s="17" t="str">
        <f t="array" ref="E1673">IFNA(_xlfn.XLOOKUP(B1673,Table_Respons_Loket[Count],Table_Respons_Loket[Time Stamp]),"")</f>
        <v/>
      </c>
      <c r="F1673" s="18" t="str">
        <f t="array" ref="F1673">IFNA(_xlfn.XLOOKUP(B1673,Table_Respons_Loket[Count],Table_Respons_Loket[Jenis Permohonan]),"")</f>
        <v/>
      </c>
      <c r="G1673" s="24"/>
      <c r="H1673" s="24"/>
      <c r="I1673" s="22" t="str">
        <f t="shared" si="7"/>
        <v/>
      </c>
      <c r="J1673" s="20" t="b">
        <v>0</v>
      </c>
      <c r="K1673" s="13" t="str">
        <f t="shared" si="8"/>
        <v/>
      </c>
    </row>
    <row r="1674" ht="22.5" customHeight="1">
      <c r="B1674" s="13">
        <f t="shared" si="3"/>
        <v>1668</v>
      </c>
      <c r="C1674" s="15" t="str">
        <f t="array" ref="C1674">IFNA(_xlfn.XLOOKUP(B1674,Table_Respons_Loket[Count],Table_Respons_Loket[Nomor Tiket]),"")</f>
        <v/>
      </c>
      <c r="D1674" s="15" t="str">
        <f t="array" ref="D1674">IFNA(_xlfn.XLOOKUP(B1674,Table_Respons_Loket[Count],Table_Respons_Loket[Daftar Nomor Hak]),"")</f>
        <v/>
      </c>
      <c r="E1674" s="17" t="str">
        <f t="array" ref="E1674">IFNA(_xlfn.XLOOKUP(B1674,Table_Respons_Loket[Count],Table_Respons_Loket[Time Stamp]),"")</f>
        <v/>
      </c>
      <c r="F1674" s="18" t="str">
        <f t="array" ref="F1674">IFNA(_xlfn.XLOOKUP(B1674,Table_Respons_Loket[Count],Table_Respons_Loket[Jenis Permohonan]),"")</f>
        <v/>
      </c>
      <c r="G1674" s="24"/>
      <c r="H1674" s="24"/>
      <c r="I1674" s="22" t="str">
        <f t="shared" si="7"/>
        <v/>
      </c>
      <c r="J1674" s="20" t="b">
        <v>0</v>
      </c>
      <c r="K1674" s="13" t="str">
        <f t="shared" si="8"/>
        <v/>
      </c>
    </row>
    <row r="1675" ht="22.5" customHeight="1">
      <c r="B1675" s="13">
        <f t="shared" si="3"/>
        <v>1669</v>
      </c>
      <c r="C1675" s="15" t="str">
        <f t="array" ref="C1675">IFNA(_xlfn.XLOOKUP(B1675,Table_Respons_Loket[Count],Table_Respons_Loket[Nomor Tiket]),"")</f>
        <v/>
      </c>
      <c r="D1675" s="15" t="str">
        <f t="array" ref="D1675">IFNA(_xlfn.XLOOKUP(B1675,Table_Respons_Loket[Count],Table_Respons_Loket[Daftar Nomor Hak]),"")</f>
        <v/>
      </c>
      <c r="E1675" s="17" t="str">
        <f t="array" ref="E1675">IFNA(_xlfn.XLOOKUP(B1675,Table_Respons_Loket[Count],Table_Respons_Loket[Time Stamp]),"")</f>
        <v/>
      </c>
      <c r="F1675" s="18" t="str">
        <f t="array" ref="F1675">IFNA(_xlfn.XLOOKUP(B1675,Table_Respons_Loket[Count],Table_Respons_Loket[Jenis Permohonan]),"")</f>
        <v/>
      </c>
      <c r="G1675" s="24"/>
      <c r="H1675" s="24"/>
      <c r="I1675" s="22" t="str">
        <f t="shared" si="7"/>
        <v/>
      </c>
      <c r="J1675" s="20" t="b">
        <v>0</v>
      </c>
      <c r="K1675" s="13" t="str">
        <f t="shared" si="8"/>
        <v/>
      </c>
    </row>
    <row r="1676" ht="22.5" customHeight="1">
      <c r="B1676" s="13">
        <f t="shared" si="3"/>
        <v>1670</v>
      </c>
      <c r="C1676" s="15" t="str">
        <f t="array" ref="C1676">IFNA(_xlfn.XLOOKUP(B1676,Table_Respons_Loket[Count],Table_Respons_Loket[Nomor Tiket]),"")</f>
        <v/>
      </c>
      <c r="D1676" s="15" t="str">
        <f t="array" ref="D1676">IFNA(_xlfn.XLOOKUP(B1676,Table_Respons_Loket[Count],Table_Respons_Loket[Daftar Nomor Hak]),"")</f>
        <v/>
      </c>
      <c r="E1676" s="17" t="str">
        <f t="array" ref="E1676">IFNA(_xlfn.XLOOKUP(B1676,Table_Respons_Loket[Count],Table_Respons_Loket[Time Stamp]),"")</f>
        <v/>
      </c>
      <c r="F1676" s="18" t="str">
        <f t="array" ref="F1676">IFNA(_xlfn.XLOOKUP(B1676,Table_Respons_Loket[Count],Table_Respons_Loket[Jenis Permohonan]),"")</f>
        <v/>
      </c>
      <c r="G1676" s="24"/>
      <c r="H1676" s="24"/>
      <c r="I1676" s="22" t="str">
        <f t="shared" si="7"/>
        <v/>
      </c>
      <c r="J1676" s="20" t="b">
        <v>0</v>
      </c>
      <c r="K1676" s="13" t="str">
        <f t="shared" si="8"/>
        <v/>
      </c>
    </row>
    <row r="1677" ht="22.5" customHeight="1">
      <c r="B1677" s="13">
        <f t="shared" si="3"/>
        <v>1671</v>
      </c>
      <c r="C1677" s="15" t="str">
        <f t="array" ref="C1677">IFNA(_xlfn.XLOOKUP(B1677,Table_Respons_Loket[Count],Table_Respons_Loket[Nomor Tiket]),"")</f>
        <v/>
      </c>
      <c r="D1677" s="15" t="str">
        <f t="array" ref="D1677">IFNA(_xlfn.XLOOKUP(B1677,Table_Respons_Loket[Count],Table_Respons_Loket[Daftar Nomor Hak]),"")</f>
        <v/>
      </c>
      <c r="E1677" s="17" t="str">
        <f t="array" ref="E1677">IFNA(_xlfn.XLOOKUP(B1677,Table_Respons_Loket[Count],Table_Respons_Loket[Time Stamp]),"")</f>
        <v/>
      </c>
      <c r="F1677" s="18" t="str">
        <f t="array" ref="F1677">IFNA(_xlfn.XLOOKUP(B1677,Table_Respons_Loket[Count],Table_Respons_Loket[Jenis Permohonan]),"")</f>
        <v/>
      </c>
      <c r="G1677" s="24"/>
      <c r="H1677" s="24"/>
      <c r="I1677" s="22" t="str">
        <f t="shared" si="7"/>
        <v/>
      </c>
      <c r="J1677" s="20" t="b">
        <v>0</v>
      </c>
      <c r="K1677" s="13" t="str">
        <f t="shared" si="8"/>
        <v/>
      </c>
    </row>
    <row r="1678" ht="22.5" customHeight="1">
      <c r="B1678" s="13">
        <f t="shared" si="3"/>
        <v>1672</v>
      </c>
      <c r="C1678" s="15" t="str">
        <f t="array" ref="C1678">IFNA(_xlfn.XLOOKUP(B1678,Table_Respons_Loket[Count],Table_Respons_Loket[Nomor Tiket]),"")</f>
        <v/>
      </c>
      <c r="D1678" s="15" t="str">
        <f t="array" ref="D1678">IFNA(_xlfn.XLOOKUP(B1678,Table_Respons_Loket[Count],Table_Respons_Loket[Daftar Nomor Hak]),"")</f>
        <v/>
      </c>
      <c r="E1678" s="17" t="str">
        <f t="array" ref="E1678">IFNA(_xlfn.XLOOKUP(B1678,Table_Respons_Loket[Count],Table_Respons_Loket[Time Stamp]),"")</f>
        <v/>
      </c>
      <c r="F1678" s="18" t="str">
        <f t="array" ref="F1678">IFNA(_xlfn.XLOOKUP(B1678,Table_Respons_Loket[Count],Table_Respons_Loket[Jenis Permohonan]),"")</f>
        <v/>
      </c>
      <c r="G1678" s="24"/>
      <c r="H1678" s="24"/>
      <c r="I1678" s="22" t="str">
        <f t="shared" si="7"/>
        <v/>
      </c>
      <c r="J1678" s="20" t="b">
        <v>0</v>
      </c>
      <c r="K1678" s="13" t="str">
        <f t="shared" si="8"/>
        <v/>
      </c>
    </row>
    <row r="1679" ht="22.5" customHeight="1">
      <c r="B1679" s="13">
        <f t="shared" si="3"/>
        <v>1673</v>
      </c>
      <c r="C1679" s="15" t="str">
        <f t="array" ref="C1679">IFNA(_xlfn.XLOOKUP(B1679,Table_Respons_Loket[Count],Table_Respons_Loket[Nomor Tiket]),"")</f>
        <v/>
      </c>
      <c r="D1679" s="15" t="str">
        <f t="array" ref="D1679">IFNA(_xlfn.XLOOKUP(B1679,Table_Respons_Loket[Count],Table_Respons_Loket[Daftar Nomor Hak]),"")</f>
        <v/>
      </c>
      <c r="E1679" s="17" t="str">
        <f t="array" ref="E1679">IFNA(_xlfn.XLOOKUP(B1679,Table_Respons_Loket[Count],Table_Respons_Loket[Time Stamp]),"")</f>
        <v/>
      </c>
      <c r="F1679" s="18" t="str">
        <f t="array" ref="F1679">IFNA(_xlfn.XLOOKUP(B1679,Table_Respons_Loket[Count],Table_Respons_Loket[Jenis Permohonan]),"")</f>
        <v/>
      </c>
      <c r="G1679" s="24"/>
      <c r="H1679" s="24"/>
      <c r="I1679" s="22" t="str">
        <f t="shared" si="7"/>
        <v/>
      </c>
      <c r="J1679" s="20" t="b">
        <v>0</v>
      </c>
      <c r="K1679" s="13" t="str">
        <f t="shared" si="8"/>
        <v/>
      </c>
    </row>
    <row r="1680" ht="22.5" customHeight="1">
      <c r="B1680" s="13">
        <f t="shared" si="3"/>
        <v>1674</v>
      </c>
      <c r="C1680" s="15" t="str">
        <f t="array" ref="C1680">IFNA(_xlfn.XLOOKUP(B1680,Table_Respons_Loket[Count],Table_Respons_Loket[Nomor Tiket]),"")</f>
        <v/>
      </c>
      <c r="D1680" s="15" t="str">
        <f t="array" ref="D1680">IFNA(_xlfn.XLOOKUP(B1680,Table_Respons_Loket[Count],Table_Respons_Loket[Daftar Nomor Hak]),"")</f>
        <v/>
      </c>
      <c r="E1680" s="17" t="str">
        <f t="array" ref="E1680">IFNA(_xlfn.XLOOKUP(B1680,Table_Respons_Loket[Count],Table_Respons_Loket[Time Stamp]),"")</f>
        <v/>
      </c>
      <c r="F1680" s="18" t="str">
        <f t="array" ref="F1680">IFNA(_xlfn.XLOOKUP(B1680,Table_Respons_Loket[Count],Table_Respons_Loket[Jenis Permohonan]),"")</f>
        <v/>
      </c>
      <c r="G1680" s="24"/>
      <c r="H1680" s="24"/>
      <c r="I1680" s="22" t="str">
        <f t="shared" si="7"/>
        <v/>
      </c>
      <c r="J1680" s="20" t="b">
        <v>0</v>
      </c>
      <c r="K1680" s="13" t="str">
        <f t="shared" si="8"/>
        <v/>
      </c>
    </row>
    <row r="1681" ht="22.5" customHeight="1">
      <c r="B1681" s="13">
        <f t="shared" si="3"/>
        <v>1675</v>
      </c>
      <c r="C1681" s="15" t="str">
        <f t="array" ref="C1681">IFNA(_xlfn.XLOOKUP(B1681,Table_Respons_Loket[Count],Table_Respons_Loket[Nomor Tiket]),"")</f>
        <v/>
      </c>
      <c r="D1681" s="15" t="str">
        <f t="array" ref="D1681">IFNA(_xlfn.XLOOKUP(B1681,Table_Respons_Loket[Count],Table_Respons_Loket[Daftar Nomor Hak]),"")</f>
        <v/>
      </c>
      <c r="E1681" s="17" t="str">
        <f t="array" ref="E1681">IFNA(_xlfn.XLOOKUP(B1681,Table_Respons_Loket[Count],Table_Respons_Loket[Time Stamp]),"")</f>
        <v/>
      </c>
      <c r="F1681" s="18" t="str">
        <f t="array" ref="F1681">IFNA(_xlfn.XLOOKUP(B1681,Table_Respons_Loket[Count],Table_Respons_Loket[Jenis Permohonan]),"")</f>
        <v/>
      </c>
      <c r="G1681" s="24"/>
      <c r="H1681" s="24"/>
      <c r="I1681" s="22" t="str">
        <f t="shared" si="7"/>
        <v/>
      </c>
      <c r="J1681" s="20" t="b">
        <v>0</v>
      </c>
      <c r="K1681" s="13" t="str">
        <f t="shared" si="8"/>
        <v/>
      </c>
    </row>
    <row r="1682" ht="22.5" customHeight="1">
      <c r="B1682" s="13">
        <f t="shared" si="3"/>
        <v>1676</v>
      </c>
      <c r="C1682" s="15" t="str">
        <f t="array" ref="C1682">IFNA(_xlfn.XLOOKUP(B1682,Table_Respons_Loket[Count],Table_Respons_Loket[Nomor Tiket]),"")</f>
        <v/>
      </c>
      <c r="D1682" s="15" t="str">
        <f t="array" ref="D1682">IFNA(_xlfn.XLOOKUP(B1682,Table_Respons_Loket[Count],Table_Respons_Loket[Daftar Nomor Hak]),"")</f>
        <v/>
      </c>
      <c r="E1682" s="17" t="str">
        <f t="array" ref="E1682">IFNA(_xlfn.XLOOKUP(B1682,Table_Respons_Loket[Count],Table_Respons_Loket[Time Stamp]),"")</f>
        <v/>
      </c>
      <c r="F1682" s="18" t="str">
        <f t="array" ref="F1682">IFNA(_xlfn.XLOOKUP(B1682,Table_Respons_Loket[Count],Table_Respons_Loket[Jenis Permohonan]),"")</f>
        <v/>
      </c>
      <c r="G1682" s="24"/>
      <c r="H1682" s="24"/>
      <c r="I1682" s="22" t="str">
        <f t="shared" si="7"/>
        <v/>
      </c>
      <c r="J1682" s="20" t="b">
        <v>0</v>
      </c>
      <c r="K1682" s="13" t="str">
        <f t="shared" si="8"/>
        <v/>
      </c>
    </row>
    <row r="1683" ht="22.5" customHeight="1">
      <c r="B1683" s="13">
        <f t="shared" si="3"/>
        <v>1677</v>
      </c>
      <c r="C1683" s="15" t="str">
        <f t="array" ref="C1683">IFNA(_xlfn.XLOOKUP(B1683,Table_Respons_Loket[Count],Table_Respons_Loket[Nomor Tiket]),"")</f>
        <v/>
      </c>
      <c r="D1683" s="15" t="str">
        <f t="array" ref="D1683">IFNA(_xlfn.XLOOKUP(B1683,Table_Respons_Loket[Count],Table_Respons_Loket[Daftar Nomor Hak]),"")</f>
        <v/>
      </c>
      <c r="E1683" s="17" t="str">
        <f t="array" ref="E1683">IFNA(_xlfn.XLOOKUP(B1683,Table_Respons_Loket[Count],Table_Respons_Loket[Time Stamp]),"")</f>
        <v/>
      </c>
      <c r="F1683" s="18" t="str">
        <f t="array" ref="F1683">IFNA(_xlfn.XLOOKUP(B1683,Table_Respons_Loket[Count],Table_Respons_Loket[Jenis Permohonan]),"")</f>
        <v/>
      </c>
      <c r="G1683" s="24"/>
      <c r="H1683" s="24"/>
      <c r="I1683" s="22" t="str">
        <f t="shared" si="7"/>
        <v/>
      </c>
      <c r="J1683" s="20" t="b">
        <v>0</v>
      </c>
      <c r="K1683" s="13" t="str">
        <f t="shared" si="8"/>
        <v/>
      </c>
    </row>
    <row r="1684" ht="22.5" customHeight="1">
      <c r="B1684" s="13">
        <f t="shared" si="3"/>
        <v>1678</v>
      </c>
      <c r="C1684" s="15" t="str">
        <f t="array" ref="C1684">IFNA(_xlfn.XLOOKUP(B1684,Table_Respons_Loket[Count],Table_Respons_Loket[Nomor Tiket]),"")</f>
        <v/>
      </c>
      <c r="D1684" s="15" t="str">
        <f t="array" ref="D1684">IFNA(_xlfn.XLOOKUP(B1684,Table_Respons_Loket[Count],Table_Respons_Loket[Daftar Nomor Hak]),"")</f>
        <v/>
      </c>
      <c r="E1684" s="17" t="str">
        <f t="array" ref="E1684">IFNA(_xlfn.XLOOKUP(B1684,Table_Respons_Loket[Count],Table_Respons_Loket[Time Stamp]),"")</f>
        <v/>
      </c>
      <c r="F1684" s="18" t="str">
        <f t="array" ref="F1684">IFNA(_xlfn.XLOOKUP(B1684,Table_Respons_Loket[Count],Table_Respons_Loket[Jenis Permohonan]),"")</f>
        <v/>
      </c>
      <c r="G1684" s="24"/>
      <c r="H1684" s="24"/>
      <c r="I1684" s="22" t="str">
        <f t="shared" si="7"/>
        <v/>
      </c>
      <c r="J1684" s="20" t="b">
        <v>0</v>
      </c>
      <c r="K1684" s="13" t="str">
        <f t="shared" si="8"/>
        <v/>
      </c>
    </row>
    <row r="1685" ht="22.5" customHeight="1">
      <c r="B1685" s="13">
        <f t="shared" si="3"/>
        <v>1679</v>
      </c>
      <c r="C1685" s="15" t="str">
        <f t="array" ref="C1685">IFNA(_xlfn.XLOOKUP(B1685,Table_Respons_Loket[Count],Table_Respons_Loket[Nomor Tiket]),"")</f>
        <v/>
      </c>
      <c r="D1685" s="15" t="str">
        <f t="array" ref="D1685">IFNA(_xlfn.XLOOKUP(B1685,Table_Respons_Loket[Count],Table_Respons_Loket[Daftar Nomor Hak]),"")</f>
        <v/>
      </c>
      <c r="E1685" s="17" t="str">
        <f t="array" ref="E1685">IFNA(_xlfn.XLOOKUP(B1685,Table_Respons_Loket[Count],Table_Respons_Loket[Time Stamp]),"")</f>
        <v/>
      </c>
      <c r="F1685" s="18" t="str">
        <f t="array" ref="F1685">IFNA(_xlfn.XLOOKUP(B1685,Table_Respons_Loket[Count],Table_Respons_Loket[Jenis Permohonan]),"")</f>
        <v/>
      </c>
      <c r="G1685" s="24"/>
      <c r="H1685" s="24"/>
      <c r="I1685" s="22" t="str">
        <f t="shared" si="7"/>
        <v/>
      </c>
      <c r="J1685" s="20" t="b">
        <v>0</v>
      </c>
      <c r="K1685" s="13" t="str">
        <f t="shared" si="8"/>
        <v/>
      </c>
    </row>
    <row r="1686" ht="22.5" customHeight="1">
      <c r="B1686" s="13">
        <f t="shared" si="3"/>
        <v>1680</v>
      </c>
      <c r="C1686" s="15" t="str">
        <f t="array" ref="C1686">IFNA(_xlfn.XLOOKUP(B1686,Table_Respons_Loket[Count],Table_Respons_Loket[Nomor Tiket]),"")</f>
        <v/>
      </c>
      <c r="D1686" s="15" t="str">
        <f t="array" ref="D1686">IFNA(_xlfn.XLOOKUP(B1686,Table_Respons_Loket[Count],Table_Respons_Loket[Daftar Nomor Hak]),"")</f>
        <v/>
      </c>
      <c r="E1686" s="17" t="str">
        <f t="array" ref="E1686">IFNA(_xlfn.XLOOKUP(B1686,Table_Respons_Loket[Count],Table_Respons_Loket[Time Stamp]),"")</f>
        <v/>
      </c>
      <c r="F1686" s="18" t="str">
        <f t="array" ref="F1686">IFNA(_xlfn.XLOOKUP(B1686,Table_Respons_Loket[Count],Table_Respons_Loket[Jenis Permohonan]),"")</f>
        <v/>
      </c>
      <c r="G1686" s="24"/>
      <c r="H1686" s="24"/>
      <c r="I1686" s="22" t="str">
        <f t="shared" si="7"/>
        <v/>
      </c>
      <c r="J1686" s="20" t="b">
        <v>0</v>
      </c>
      <c r="K1686" s="13" t="str">
        <f t="shared" si="8"/>
        <v/>
      </c>
    </row>
    <row r="1687" ht="22.5" customHeight="1">
      <c r="B1687" s="13">
        <f t="shared" si="3"/>
        <v>1681</v>
      </c>
      <c r="C1687" s="15" t="str">
        <f t="array" ref="C1687">IFNA(_xlfn.XLOOKUP(B1687,Table_Respons_Loket[Count],Table_Respons_Loket[Nomor Tiket]),"")</f>
        <v/>
      </c>
      <c r="D1687" s="15" t="str">
        <f t="array" ref="D1687">IFNA(_xlfn.XLOOKUP(B1687,Table_Respons_Loket[Count],Table_Respons_Loket[Daftar Nomor Hak]),"")</f>
        <v/>
      </c>
      <c r="E1687" s="17" t="str">
        <f t="array" ref="E1687">IFNA(_xlfn.XLOOKUP(B1687,Table_Respons_Loket[Count],Table_Respons_Loket[Time Stamp]),"")</f>
        <v/>
      </c>
      <c r="F1687" s="18" t="str">
        <f t="array" ref="F1687">IFNA(_xlfn.XLOOKUP(B1687,Table_Respons_Loket[Count],Table_Respons_Loket[Jenis Permohonan]),"")</f>
        <v/>
      </c>
      <c r="G1687" s="24"/>
      <c r="H1687" s="24"/>
      <c r="I1687" s="22" t="str">
        <f t="shared" si="7"/>
        <v/>
      </c>
      <c r="J1687" s="20" t="b">
        <v>0</v>
      </c>
      <c r="K1687" s="13" t="str">
        <f t="shared" si="8"/>
        <v/>
      </c>
    </row>
    <row r="1688" ht="22.5" customHeight="1">
      <c r="B1688" s="13">
        <f t="shared" si="3"/>
        <v>1682</v>
      </c>
      <c r="C1688" s="15" t="str">
        <f t="array" ref="C1688">IFNA(_xlfn.XLOOKUP(B1688,Table_Respons_Loket[Count],Table_Respons_Loket[Nomor Tiket]),"")</f>
        <v/>
      </c>
      <c r="D1688" s="15" t="str">
        <f t="array" ref="D1688">IFNA(_xlfn.XLOOKUP(B1688,Table_Respons_Loket[Count],Table_Respons_Loket[Daftar Nomor Hak]),"")</f>
        <v/>
      </c>
      <c r="E1688" s="17" t="str">
        <f t="array" ref="E1688">IFNA(_xlfn.XLOOKUP(B1688,Table_Respons_Loket[Count],Table_Respons_Loket[Time Stamp]),"")</f>
        <v/>
      </c>
      <c r="F1688" s="18" t="str">
        <f t="array" ref="F1688">IFNA(_xlfn.XLOOKUP(B1688,Table_Respons_Loket[Count],Table_Respons_Loket[Jenis Permohonan]),"")</f>
        <v/>
      </c>
      <c r="G1688" s="24"/>
      <c r="H1688" s="24"/>
      <c r="I1688" s="22" t="str">
        <f t="shared" si="7"/>
        <v/>
      </c>
      <c r="J1688" s="20" t="b">
        <v>0</v>
      </c>
      <c r="K1688" s="13" t="str">
        <f t="shared" si="8"/>
        <v/>
      </c>
    </row>
    <row r="1689" ht="22.5" customHeight="1">
      <c r="B1689" s="13">
        <f t="shared" si="3"/>
        <v>1683</v>
      </c>
      <c r="C1689" s="15" t="str">
        <f t="array" ref="C1689">IFNA(_xlfn.XLOOKUP(B1689,Table_Respons_Loket[Count],Table_Respons_Loket[Nomor Tiket]),"")</f>
        <v/>
      </c>
      <c r="D1689" s="15" t="str">
        <f t="array" ref="D1689">IFNA(_xlfn.XLOOKUP(B1689,Table_Respons_Loket[Count],Table_Respons_Loket[Daftar Nomor Hak]),"")</f>
        <v/>
      </c>
      <c r="E1689" s="17" t="str">
        <f t="array" ref="E1689">IFNA(_xlfn.XLOOKUP(B1689,Table_Respons_Loket[Count],Table_Respons_Loket[Time Stamp]),"")</f>
        <v/>
      </c>
      <c r="F1689" s="18" t="str">
        <f t="array" ref="F1689">IFNA(_xlfn.XLOOKUP(B1689,Table_Respons_Loket[Count],Table_Respons_Loket[Jenis Permohonan]),"")</f>
        <v/>
      </c>
      <c r="G1689" s="24"/>
      <c r="H1689" s="24"/>
      <c r="I1689" s="22" t="str">
        <f t="shared" si="7"/>
        <v/>
      </c>
      <c r="J1689" s="20" t="b">
        <v>0</v>
      </c>
      <c r="K1689" s="13" t="str">
        <f t="shared" si="8"/>
        <v/>
      </c>
    </row>
    <row r="1690" ht="22.5" customHeight="1">
      <c r="B1690" s="13">
        <f t="shared" si="3"/>
        <v>1684</v>
      </c>
      <c r="C1690" s="15" t="str">
        <f t="array" ref="C1690">IFNA(_xlfn.XLOOKUP(B1690,Table_Respons_Loket[Count],Table_Respons_Loket[Nomor Tiket]),"")</f>
        <v/>
      </c>
      <c r="D1690" s="15" t="str">
        <f t="array" ref="D1690">IFNA(_xlfn.XLOOKUP(B1690,Table_Respons_Loket[Count],Table_Respons_Loket[Daftar Nomor Hak]),"")</f>
        <v/>
      </c>
      <c r="E1690" s="17" t="str">
        <f t="array" ref="E1690">IFNA(_xlfn.XLOOKUP(B1690,Table_Respons_Loket[Count],Table_Respons_Loket[Time Stamp]),"")</f>
        <v/>
      </c>
      <c r="F1690" s="18" t="str">
        <f t="array" ref="F1690">IFNA(_xlfn.XLOOKUP(B1690,Table_Respons_Loket[Count],Table_Respons_Loket[Jenis Permohonan]),"")</f>
        <v/>
      </c>
      <c r="G1690" s="24"/>
      <c r="H1690" s="24"/>
      <c r="I1690" s="22" t="str">
        <f t="shared" si="7"/>
        <v/>
      </c>
      <c r="J1690" s="20" t="b">
        <v>0</v>
      </c>
      <c r="K1690" s="13" t="str">
        <f t="shared" si="8"/>
        <v/>
      </c>
    </row>
    <row r="1691" ht="22.5" customHeight="1">
      <c r="B1691" s="13">
        <f t="shared" si="3"/>
        <v>1685</v>
      </c>
      <c r="C1691" s="15" t="str">
        <f t="array" ref="C1691">IFNA(_xlfn.XLOOKUP(B1691,Table_Respons_Loket[Count],Table_Respons_Loket[Nomor Tiket]),"")</f>
        <v/>
      </c>
      <c r="D1691" s="15" t="str">
        <f t="array" ref="D1691">IFNA(_xlfn.XLOOKUP(B1691,Table_Respons_Loket[Count],Table_Respons_Loket[Daftar Nomor Hak]),"")</f>
        <v/>
      </c>
      <c r="E1691" s="17" t="str">
        <f t="array" ref="E1691">IFNA(_xlfn.XLOOKUP(B1691,Table_Respons_Loket[Count],Table_Respons_Loket[Time Stamp]),"")</f>
        <v/>
      </c>
      <c r="F1691" s="18" t="str">
        <f t="array" ref="F1691">IFNA(_xlfn.XLOOKUP(B1691,Table_Respons_Loket[Count],Table_Respons_Loket[Jenis Permohonan]),"")</f>
        <v/>
      </c>
      <c r="G1691" s="24"/>
      <c r="H1691" s="24"/>
      <c r="I1691" s="22" t="str">
        <f t="shared" si="7"/>
        <v/>
      </c>
      <c r="J1691" s="20" t="b">
        <v>0</v>
      </c>
      <c r="K1691" s="13" t="str">
        <f t="shared" si="8"/>
        <v/>
      </c>
    </row>
    <row r="1692" ht="22.5" customHeight="1">
      <c r="B1692" s="13">
        <f t="shared" si="3"/>
        <v>1686</v>
      </c>
      <c r="C1692" s="15" t="str">
        <f t="array" ref="C1692">IFNA(_xlfn.XLOOKUP(B1692,Table_Respons_Loket[Count],Table_Respons_Loket[Nomor Tiket]),"")</f>
        <v/>
      </c>
      <c r="D1692" s="15" t="str">
        <f t="array" ref="D1692">IFNA(_xlfn.XLOOKUP(B1692,Table_Respons_Loket[Count],Table_Respons_Loket[Daftar Nomor Hak]),"")</f>
        <v/>
      </c>
      <c r="E1692" s="17" t="str">
        <f t="array" ref="E1692">IFNA(_xlfn.XLOOKUP(B1692,Table_Respons_Loket[Count],Table_Respons_Loket[Time Stamp]),"")</f>
        <v/>
      </c>
      <c r="F1692" s="18" t="str">
        <f t="array" ref="F1692">IFNA(_xlfn.XLOOKUP(B1692,Table_Respons_Loket[Count],Table_Respons_Loket[Jenis Permohonan]),"")</f>
        <v/>
      </c>
      <c r="G1692" s="24"/>
      <c r="H1692" s="24"/>
      <c r="I1692" s="22" t="str">
        <f t="shared" si="7"/>
        <v/>
      </c>
      <c r="J1692" s="20" t="b">
        <v>0</v>
      </c>
      <c r="K1692" s="13" t="str">
        <f t="shared" si="8"/>
        <v/>
      </c>
    </row>
    <row r="1693" ht="22.5" customHeight="1">
      <c r="B1693" s="13">
        <f t="shared" si="3"/>
        <v>1687</v>
      </c>
      <c r="C1693" s="15" t="str">
        <f t="array" ref="C1693">IFNA(_xlfn.XLOOKUP(B1693,Table_Respons_Loket[Count],Table_Respons_Loket[Nomor Tiket]),"")</f>
        <v/>
      </c>
      <c r="D1693" s="15" t="str">
        <f t="array" ref="D1693">IFNA(_xlfn.XLOOKUP(B1693,Table_Respons_Loket[Count],Table_Respons_Loket[Daftar Nomor Hak]),"")</f>
        <v/>
      </c>
      <c r="E1693" s="17" t="str">
        <f t="array" ref="E1693">IFNA(_xlfn.XLOOKUP(B1693,Table_Respons_Loket[Count],Table_Respons_Loket[Time Stamp]),"")</f>
        <v/>
      </c>
      <c r="F1693" s="18" t="str">
        <f t="array" ref="F1693">IFNA(_xlfn.XLOOKUP(B1693,Table_Respons_Loket[Count],Table_Respons_Loket[Jenis Permohonan]),"")</f>
        <v/>
      </c>
      <c r="G1693" s="24"/>
      <c r="H1693" s="24"/>
      <c r="I1693" s="22" t="str">
        <f t="shared" si="7"/>
        <v/>
      </c>
      <c r="J1693" s="20" t="b">
        <v>0</v>
      </c>
      <c r="K1693" s="13" t="str">
        <f t="shared" si="8"/>
        <v/>
      </c>
    </row>
    <row r="1694" ht="22.5" customHeight="1">
      <c r="B1694" s="13">
        <f t="shared" si="3"/>
        <v>1688</v>
      </c>
      <c r="C1694" s="15" t="str">
        <f t="array" ref="C1694">IFNA(_xlfn.XLOOKUP(B1694,Table_Respons_Loket[Count],Table_Respons_Loket[Nomor Tiket]),"")</f>
        <v/>
      </c>
      <c r="D1694" s="15" t="str">
        <f t="array" ref="D1694">IFNA(_xlfn.XLOOKUP(B1694,Table_Respons_Loket[Count],Table_Respons_Loket[Daftar Nomor Hak]),"")</f>
        <v/>
      </c>
      <c r="E1694" s="17" t="str">
        <f t="array" ref="E1694">IFNA(_xlfn.XLOOKUP(B1694,Table_Respons_Loket[Count],Table_Respons_Loket[Time Stamp]),"")</f>
        <v/>
      </c>
      <c r="F1694" s="18" t="str">
        <f t="array" ref="F1694">IFNA(_xlfn.XLOOKUP(B1694,Table_Respons_Loket[Count],Table_Respons_Loket[Jenis Permohonan]),"")</f>
        <v/>
      </c>
      <c r="G1694" s="24"/>
      <c r="H1694" s="24"/>
      <c r="I1694" s="22" t="str">
        <f t="shared" si="7"/>
        <v/>
      </c>
      <c r="J1694" s="20" t="b">
        <v>0</v>
      </c>
      <c r="K1694" s="13" t="str">
        <f t="shared" si="8"/>
        <v/>
      </c>
    </row>
    <row r="1695" ht="22.5" customHeight="1">
      <c r="B1695" s="13">
        <f t="shared" si="3"/>
        <v>1689</v>
      </c>
      <c r="C1695" s="15" t="str">
        <f t="array" ref="C1695">IFNA(_xlfn.XLOOKUP(B1695,Table_Respons_Loket[Count],Table_Respons_Loket[Nomor Tiket]),"")</f>
        <v/>
      </c>
      <c r="D1695" s="15" t="str">
        <f t="array" ref="D1695">IFNA(_xlfn.XLOOKUP(B1695,Table_Respons_Loket[Count],Table_Respons_Loket[Daftar Nomor Hak]),"")</f>
        <v/>
      </c>
      <c r="E1695" s="17" t="str">
        <f t="array" ref="E1695">IFNA(_xlfn.XLOOKUP(B1695,Table_Respons_Loket[Count],Table_Respons_Loket[Time Stamp]),"")</f>
        <v/>
      </c>
      <c r="F1695" s="18" t="str">
        <f t="array" ref="F1695">IFNA(_xlfn.XLOOKUP(B1695,Table_Respons_Loket[Count],Table_Respons_Loket[Jenis Permohonan]),"")</f>
        <v/>
      </c>
      <c r="G1695" s="24"/>
      <c r="H1695" s="24"/>
      <c r="I1695" s="22" t="str">
        <f t="shared" si="7"/>
        <v/>
      </c>
      <c r="J1695" s="20" t="b">
        <v>0</v>
      </c>
      <c r="K1695" s="13" t="str">
        <f t="shared" si="8"/>
        <v/>
      </c>
    </row>
    <row r="1696" ht="22.5" customHeight="1">
      <c r="B1696" s="13">
        <f t="shared" si="3"/>
        <v>1690</v>
      </c>
      <c r="C1696" s="15" t="str">
        <f t="array" ref="C1696">IFNA(_xlfn.XLOOKUP(B1696,Table_Respons_Loket[Count],Table_Respons_Loket[Nomor Tiket]),"")</f>
        <v/>
      </c>
      <c r="D1696" s="15" t="str">
        <f t="array" ref="D1696">IFNA(_xlfn.XLOOKUP(B1696,Table_Respons_Loket[Count],Table_Respons_Loket[Daftar Nomor Hak]),"")</f>
        <v/>
      </c>
      <c r="E1696" s="17" t="str">
        <f t="array" ref="E1696">IFNA(_xlfn.XLOOKUP(B1696,Table_Respons_Loket[Count],Table_Respons_Loket[Time Stamp]),"")</f>
        <v/>
      </c>
      <c r="F1696" s="18" t="str">
        <f t="array" ref="F1696">IFNA(_xlfn.XLOOKUP(B1696,Table_Respons_Loket[Count],Table_Respons_Loket[Jenis Permohonan]),"")</f>
        <v/>
      </c>
      <c r="G1696" s="24"/>
      <c r="H1696" s="24"/>
      <c r="I1696" s="22" t="str">
        <f t="shared" si="7"/>
        <v/>
      </c>
      <c r="J1696" s="20" t="b">
        <v>0</v>
      </c>
      <c r="K1696" s="13" t="str">
        <f t="shared" si="8"/>
        <v/>
      </c>
    </row>
    <row r="1697" ht="22.5" customHeight="1">
      <c r="B1697" s="13">
        <f t="shared" si="3"/>
        <v>1691</v>
      </c>
      <c r="C1697" s="15" t="str">
        <f t="array" ref="C1697">IFNA(_xlfn.XLOOKUP(B1697,Table_Respons_Loket[Count],Table_Respons_Loket[Nomor Tiket]),"")</f>
        <v/>
      </c>
      <c r="D1697" s="15" t="str">
        <f t="array" ref="D1697">IFNA(_xlfn.XLOOKUP(B1697,Table_Respons_Loket[Count],Table_Respons_Loket[Daftar Nomor Hak]),"")</f>
        <v/>
      </c>
      <c r="E1697" s="17" t="str">
        <f t="array" ref="E1697">IFNA(_xlfn.XLOOKUP(B1697,Table_Respons_Loket[Count],Table_Respons_Loket[Time Stamp]),"")</f>
        <v/>
      </c>
      <c r="F1697" s="18" t="str">
        <f t="array" ref="F1697">IFNA(_xlfn.XLOOKUP(B1697,Table_Respons_Loket[Count],Table_Respons_Loket[Jenis Permohonan]),"")</f>
        <v/>
      </c>
      <c r="G1697" s="24"/>
      <c r="H1697" s="24"/>
      <c r="I1697" s="22" t="str">
        <f t="shared" si="7"/>
        <v/>
      </c>
      <c r="J1697" s="20" t="b">
        <v>0</v>
      </c>
      <c r="K1697" s="13" t="str">
        <f t="shared" si="8"/>
        <v/>
      </c>
    </row>
    <row r="1698" ht="22.5" customHeight="1">
      <c r="B1698" s="13">
        <f t="shared" si="3"/>
        <v>1692</v>
      </c>
      <c r="C1698" s="15" t="str">
        <f t="array" ref="C1698">IFNA(_xlfn.XLOOKUP(B1698,Table_Respons_Loket[Count],Table_Respons_Loket[Nomor Tiket]),"")</f>
        <v/>
      </c>
      <c r="D1698" s="15" t="str">
        <f t="array" ref="D1698">IFNA(_xlfn.XLOOKUP(B1698,Table_Respons_Loket[Count],Table_Respons_Loket[Daftar Nomor Hak]),"")</f>
        <v/>
      </c>
      <c r="E1698" s="17" t="str">
        <f t="array" ref="E1698">IFNA(_xlfn.XLOOKUP(B1698,Table_Respons_Loket[Count],Table_Respons_Loket[Time Stamp]),"")</f>
        <v/>
      </c>
      <c r="F1698" s="18" t="str">
        <f t="array" ref="F1698">IFNA(_xlfn.XLOOKUP(B1698,Table_Respons_Loket[Count],Table_Respons_Loket[Jenis Permohonan]),"")</f>
        <v/>
      </c>
      <c r="G1698" s="24"/>
      <c r="H1698" s="24"/>
      <c r="I1698" s="22" t="str">
        <f t="shared" si="7"/>
        <v/>
      </c>
      <c r="J1698" s="20" t="b">
        <v>0</v>
      </c>
      <c r="K1698" s="13" t="str">
        <f t="shared" si="8"/>
        <v/>
      </c>
    </row>
    <row r="1699" ht="22.5" customHeight="1">
      <c r="B1699" s="13">
        <f t="shared" si="3"/>
        <v>1693</v>
      </c>
      <c r="C1699" s="15" t="str">
        <f t="array" ref="C1699">IFNA(_xlfn.XLOOKUP(B1699,Table_Respons_Loket[Count],Table_Respons_Loket[Nomor Tiket]),"")</f>
        <v/>
      </c>
      <c r="D1699" s="15" t="str">
        <f t="array" ref="D1699">IFNA(_xlfn.XLOOKUP(B1699,Table_Respons_Loket[Count],Table_Respons_Loket[Daftar Nomor Hak]),"")</f>
        <v/>
      </c>
      <c r="E1699" s="17" t="str">
        <f t="array" ref="E1699">IFNA(_xlfn.XLOOKUP(B1699,Table_Respons_Loket[Count],Table_Respons_Loket[Time Stamp]),"")</f>
        <v/>
      </c>
      <c r="F1699" s="18" t="str">
        <f t="array" ref="F1699">IFNA(_xlfn.XLOOKUP(B1699,Table_Respons_Loket[Count],Table_Respons_Loket[Jenis Permohonan]),"")</f>
        <v/>
      </c>
      <c r="G1699" s="24"/>
      <c r="H1699" s="24"/>
      <c r="I1699" s="22" t="str">
        <f t="shared" si="7"/>
        <v/>
      </c>
      <c r="J1699" s="20" t="b">
        <v>0</v>
      </c>
      <c r="K1699" s="13" t="str">
        <f t="shared" si="8"/>
        <v/>
      </c>
    </row>
    <row r="1700" ht="22.5" customHeight="1">
      <c r="B1700" s="13">
        <f t="shared" si="3"/>
        <v>1694</v>
      </c>
      <c r="C1700" s="15" t="str">
        <f t="array" ref="C1700">IFNA(_xlfn.XLOOKUP(B1700,Table_Respons_Loket[Count],Table_Respons_Loket[Nomor Tiket]),"")</f>
        <v/>
      </c>
      <c r="D1700" s="15" t="str">
        <f t="array" ref="D1700">IFNA(_xlfn.XLOOKUP(B1700,Table_Respons_Loket[Count],Table_Respons_Loket[Daftar Nomor Hak]),"")</f>
        <v/>
      </c>
      <c r="E1700" s="17" t="str">
        <f t="array" ref="E1700">IFNA(_xlfn.XLOOKUP(B1700,Table_Respons_Loket[Count],Table_Respons_Loket[Time Stamp]),"")</f>
        <v/>
      </c>
      <c r="F1700" s="18" t="str">
        <f t="array" ref="F1700">IFNA(_xlfn.XLOOKUP(B1700,Table_Respons_Loket[Count],Table_Respons_Loket[Jenis Permohonan]),"")</f>
        <v/>
      </c>
      <c r="G1700" s="24"/>
      <c r="H1700" s="24"/>
      <c r="I1700" s="22" t="str">
        <f t="shared" si="7"/>
        <v/>
      </c>
      <c r="J1700" s="20" t="b">
        <v>0</v>
      </c>
      <c r="K1700" s="13" t="str">
        <f t="shared" si="8"/>
        <v/>
      </c>
    </row>
    <row r="1701" ht="22.5" customHeight="1">
      <c r="B1701" s="13">
        <f t="shared" si="3"/>
        <v>1695</v>
      </c>
      <c r="C1701" s="15" t="str">
        <f t="array" ref="C1701">IFNA(_xlfn.XLOOKUP(B1701,Table_Respons_Loket[Count],Table_Respons_Loket[Nomor Tiket]),"")</f>
        <v/>
      </c>
      <c r="D1701" s="15" t="str">
        <f t="array" ref="D1701">IFNA(_xlfn.XLOOKUP(B1701,Table_Respons_Loket[Count],Table_Respons_Loket[Daftar Nomor Hak]),"")</f>
        <v/>
      </c>
      <c r="E1701" s="17" t="str">
        <f t="array" ref="E1701">IFNA(_xlfn.XLOOKUP(B1701,Table_Respons_Loket[Count],Table_Respons_Loket[Time Stamp]),"")</f>
        <v/>
      </c>
      <c r="F1701" s="18" t="str">
        <f t="array" ref="F1701">IFNA(_xlfn.XLOOKUP(B1701,Table_Respons_Loket[Count],Table_Respons_Loket[Jenis Permohonan]),"")</f>
        <v/>
      </c>
      <c r="G1701" s="24"/>
      <c r="H1701" s="24"/>
      <c r="I1701" s="22" t="str">
        <f t="shared" si="7"/>
        <v/>
      </c>
      <c r="J1701" s="20" t="b">
        <v>0</v>
      </c>
      <c r="K1701" s="13" t="str">
        <f t="shared" si="8"/>
        <v/>
      </c>
    </row>
    <row r="1702" ht="22.5" customHeight="1">
      <c r="B1702" s="13">
        <f t="shared" si="3"/>
        <v>1696</v>
      </c>
      <c r="C1702" s="15" t="str">
        <f t="array" ref="C1702">IFNA(_xlfn.XLOOKUP(B1702,Table_Respons_Loket[Count],Table_Respons_Loket[Nomor Tiket]),"")</f>
        <v/>
      </c>
      <c r="D1702" s="15" t="str">
        <f t="array" ref="D1702">IFNA(_xlfn.XLOOKUP(B1702,Table_Respons_Loket[Count],Table_Respons_Loket[Daftar Nomor Hak]),"")</f>
        <v/>
      </c>
      <c r="E1702" s="17" t="str">
        <f t="array" ref="E1702">IFNA(_xlfn.XLOOKUP(B1702,Table_Respons_Loket[Count],Table_Respons_Loket[Time Stamp]),"")</f>
        <v/>
      </c>
      <c r="F1702" s="18" t="str">
        <f t="array" ref="F1702">IFNA(_xlfn.XLOOKUP(B1702,Table_Respons_Loket[Count],Table_Respons_Loket[Jenis Permohonan]),"")</f>
        <v/>
      </c>
      <c r="G1702" s="24"/>
      <c r="H1702" s="24"/>
      <c r="I1702" s="22" t="str">
        <f t="shared" si="7"/>
        <v/>
      </c>
      <c r="J1702" s="20" t="b">
        <v>0</v>
      </c>
      <c r="K1702" s="13" t="str">
        <f t="shared" si="8"/>
        <v/>
      </c>
    </row>
    <row r="1703" ht="22.5" customHeight="1">
      <c r="B1703" s="13">
        <f t="shared" si="3"/>
        <v>1697</v>
      </c>
      <c r="C1703" s="15" t="str">
        <f t="array" ref="C1703">IFNA(_xlfn.XLOOKUP(B1703,Table_Respons_Loket[Count],Table_Respons_Loket[Nomor Tiket]),"")</f>
        <v/>
      </c>
      <c r="D1703" s="15" t="str">
        <f t="array" ref="D1703">IFNA(_xlfn.XLOOKUP(B1703,Table_Respons_Loket[Count],Table_Respons_Loket[Daftar Nomor Hak]),"")</f>
        <v/>
      </c>
      <c r="E1703" s="17" t="str">
        <f t="array" ref="E1703">IFNA(_xlfn.XLOOKUP(B1703,Table_Respons_Loket[Count],Table_Respons_Loket[Time Stamp]),"")</f>
        <v/>
      </c>
      <c r="F1703" s="18" t="str">
        <f t="array" ref="F1703">IFNA(_xlfn.XLOOKUP(B1703,Table_Respons_Loket[Count],Table_Respons_Loket[Jenis Permohonan]),"")</f>
        <v/>
      </c>
      <c r="G1703" s="24"/>
      <c r="H1703" s="24"/>
      <c r="I1703" s="22" t="str">
        <f t="shared" si="7"/>
        <v/>
      </c>
      <c r="J1703" s="20" t="b">
        <v>0</v>
      </c>
      <c r="K1703" s="13" t="str">
        <f t="shared" si="8"/>
        <v/>
      </c>
    </row>
    <row r="1704" ht="22.5" customHeight="1">
      <c r="B1704" s="13">
        <f t="shared" si="3"/>
        <v>1698</v>
      </c>
      <c r="C1704" s="15" t="str">
        <f t="array" ref="C1704">IFNA(_xlfn.XLOOKUP(B1704,Table_Respons_Loket[Count],Table_Respons_Loket[Nomor Tiket]),"")</f>
        <v/>
      </c>
      <c r="D1704" s="15" t="str">
        <f t="array" ref="D1704">IFNA(_xlfn.XLOOKUP(B1704,Table_Respons_Loket[Count],Table_Respons_Loket[Daftar Nomor Hak]),"")</f>
        <v/>
      </c>
      <c r="E1704" s="17" t="str">
        <f t="array" ref="E1704">IFNA(_xlfn.XLOOKUP(B1704,Table_Respons_Loket[Count],Table_Respons_Loket[Time Stamp]),"")</f>
        <v/>
      </c>
      <c r="F1704" s="18" t="str">
        <f t="array" ref="F1704">IFNA(_xlfn.XLOOKUP(B1704,Table_Respons_Loket[Count],Table_Respons_Loket[Jenis Permohonan]),"")</f>
        <v/>
      </c>
      <c r="G1704" s="24"/>
      <c r="H1704" s="24"/>
      <c r="I1704" s="22" t="str">
        <f t="shared" si="7"/>
        <v/>
      </c>
      <c r="J1704" s="20" t="b">
        <v>0</v>
      </c>
      <c r="K1704" s="13" t="str">
        <f t="shared" si="8"/>
        <v/>
      </c>
    </row>
    <row r="1705" ht="22.5" customHeight="1">
      <c r="B1705" s="13">
        <f t="shared" si="3"/>
        <v>1699</v>
      </c>
      <c r="C1705" s="15" t="str">
        <f t="array" ref="C1705">IFNA(_xlfn.XLOOKUP(B1705,Table_Respons_Loket[Count],Table_Respons_Loket[Nomor Tiket]),"")</f>
        <v/>
      </c>
      <c r="D1705" s="15" t="str">
        <f t="array" ref="D1705">IFNA(_xlfn.XLOOKUP(B1705,Table_Respons_Loket[Count],Table_Respons_Loket[Daftar Nomor Hak]),"")</f>
        <v/>
      </c>
      <c r="E1705" s="17" t="str">
        <f t="array" ref="E1705">IFNA(_xlfn.XLOOKUP(B1705,Table_Respons_Loket[Count],Table_Respons_Loket[Time Stamp]),"")</f>
        <v/>
      </c>
      <c r="F1705" s="18" t="str">
        <f t="array" ref="F1705">IFNA(_xlfn.XLOOKUP(B1705,Table_Respons_Loket[Count],Table_Respons_Loket[Jenis Permohonan]),"")</f>
        <v/>
      </c>
      <c r="G1705" s="24"/>
      <c r="H1705" s="24"/>
      <c r="I1705" s="22" t="str">
        <f t="shared" si="7"/>
        <v/>
      </c>
      <c r="J1705" s="20" t="b">
        <v>0</v>
      </c>
      <c r="K1705" s="13" t="str">
        <f t="shared" si="8"/>
        <v/>
      </c>
    </row>
    <row r="1706" ht="22.5" customHeight="1">
      <c r="B1706" s="13">
        <f t="shared" si="3"/>
        <v>1700</v>
      </c>
      <c r="C1706" s="15" t="str">
        <f t="array" ref="C1706">IFNA(_xlfn.XLOOKUP(B1706,Table_Respons_Loket[Count],Table_Respons_Loket[Nomor Tiket]),"")</f>
        <v/>
      </c>
      <c r="D1706" s="15" t="str">
        <f t="array" ref="D1706">IFNA(_xlfn.XLOOKUP(B1706,Table_Respons_Loket[Count],Table_Respons_Loket[Daftar Nomor Hak]),"")</f>
        <v/>
      </c>
      <c r="E1706" s="17" t="str">
        <f t="array" ref="E1706">IFNA(_xlfn.XLOOKUP(B1706,Table_Respons_Loket[Count],Table_Respons_Loket[Time Stamp]),"")</f>
        <v/>
      </c>
      <c r="F1706" s="18" t="str">
        <f t="array" ref="F1706">IFNA(_xlfn.XLOOKUP(B1706,Table_Respons_Loket[Count],Table_Respons_Loket[Jenis Permohonan]),"")</f>
        <v/>
      </c>
      <c r="G1706" s="24"/>
      <c r="H1706" s="24"/>
      <c r="I1706" s="22" t="str">
        <f t="shared" si="7"/>
        <v/>
      </c>
      <c r="J1706" s="20" t="b">
        <v>0</v>
      </c>
      <c r="K1706" s="13" t="str">
        <f t="shared" si="8"/>
        <v/>
      </c>
    </row>
    <row r="1707" ht="22.5" customHeight="1">
      <c r="B1707" s="13">
        <f t="shared" si="3"/>
        <v>1701</v>
      </c>
      <c r="C1707" s="15" t="str">
        <f t="array" ref="C1707">IFNA(_xlfn.XLOOKUP(B1707,Table_Respons_Loket[Count],Table_Respons_Loket[Nomor Tiket]),"")</f>
        <v/>
      </c>
      <c r="D1707" s="15" t="str">
        <f t="array" ref="D1707">IFNA(_xlfn.XLOOKUP(B1707,Table_Respons_Loket[Count],Table_Respons_Loket[Daftar Nomor Hak]),"")</f>
        <v/>
      </c>
      <c r="E1707" s="17" t="str">
        <f t="array" ref="E1707">IFNA(_xlfn.XLOOKUP(B1707,Table_Respons_Loket[Count],Table_Respons_Loket[Time Stamp]),"")</f>
        <v/>
      </c>
      <c r="F1707" s="18" t="str">
        <f t="array" ref="F1707">IFNA(_xlfn.XLOOKUP(B1707,Table_Respons_Loket[Count],Table_Respons_Loket[Jenis Permohonan]),"")</f>
        <v/>
      </c>
      <c r="G1707" s="24"/>
      <c r="H1707" s="24"/>
      <c r="I1707" s="22" t="str">
        <f t="shared" si="7"/>
        <v/>
      </c>
      <c r="J1707" s="20" t="b">
        <v>0</v>
      </c>
      <c r="K1707" s="13" t="str">
        <f t="shared" si="8"/>
        <v/>
      </c>
    </row>
    <row r="1708" ht="22.5" customHeight="1">
      <c r="B1708" s="13">
        <f t="shared" si="3"/>
        <v>1702</v>
      </c>
      <c r="C1708" s="15" t="str">
        <f t="array" ref="C1708">IFNA(_xlfn.XLOOKUP(B1708,Table_Respons_Loket[Count],Table_Respons_Loket[Nomor Tiket]),"")</f>
        <v/>
      </c>
      <c r="D1708" s="15" t="str">
        <f t="array" ref="D1708">IFNA(_xlfn.XLOOKUP(B1708,Table_Respons_Loket[Count],Table_Respons_Loket[Daftar Nomor Hak]),"")</f>
        <v/>
      </c>
      <c r="E1708" s="17" t="str">
        <f t="array" ref="E1708">IFNA(_xlfn.XLOOKUP(B1708,Table_Respons_Loket[Count],Table_Respons_Loket[Time Stamp]),"")</f>
        <v/>
      </c>
      <c r="F1708" s="18" t="str">
        <f t="array" ref="F1708">IFNA(_xlfn.XLOOKUP(B1708,Table_Respons_Loket[Count],Table_Respons_Loket[Jenis Permohonan]),"")</f>
        <v/>
      </c>
      <c r="G1708" s="24"/>
      <c r="H1708" s="24"/>
      <c r="I1708" s="22" t="str">
        <f t="shared" si="7"/>
        <v/>
      </c>
      <c r="J1708" s="20" t="b">
        <v>0</v>
      </c>
      <c r="K1708" s="13" t="str">
        <f t="shared" si="8"/>
        <v/>
      </c>
    </row>
    <row r="1709" ht="22.5" customHeight="1">
      <c r="B1709" s="13">
        <f t="shared" si="3"/>
        <v>1703</v>
      </c>
      <c r="C1709" s="15" t="str">
        <f t="array" ref="C1709">IFNA(_xlfn.XLOOKUP(B1709,Table_Respons_Loket[Count],Table_Respons_Loket[Nomor Tiket]),"")</f>
        <v/>
      </c>
      <c r="D1709" s="15" t="str">
        <f t="array" ref="D1709">IFNA(_xlfn.XLOOKUP(B1709,Table_Respons_Loket[Count],Table_Respons_Loket[Daftar Nomor Hak]),"")</f>
        <v/>
      </c>
      <c r="E1709" s="17" t="str">
        <f t="array" ref="E1709">IFNA(_xlfn.XLOOKUP(B1709,Table_Respons_Loket[Count],Table_Respons_Loket[Time Stamp]),"")</f>
        <v/>
      </c>
      <c r="F1709" s="18" t="str">
        <f t="array" ref="F1709">IFNA(_xlfn.XLOOKUP(B1709,Table_Respons_Loket[Count],Table_Respons_Loket[Jenis Permohonan]),"")</f>
        <v/>
      </c>
      <c r="G1709" s="24"/>
      <c r="H1709" s="24"/>
      <c r="I1709" s="22" t="str">
        <f t="shared" si="7"/>
        <v/>
      </c>
      <c r="J1709" s="20" t="b">
        <v>0</v>
      </c>
      <c r="K1709" s="13" t="str">
        <f t="shared" si="8"/>
        <v/>
      </c>
    </row>
    <row r="1710" ht="22.5" customHeight="1">
      <c r="B1710" s="13">
        <f t="shared" si="3"/>
        <v>1704</v>
      </c>
      <c r="C1710" s="15" t="str">
        <f t="array" ref="C1710">IFNA(_xlfn.XLOOKUP(B1710,Table_Respons_Loket[Count],Table_Respons_Loket[Nomor Tiket]),"")</f>
        <v/>
      </c>
      <c r="D1710" s="15" t="str">
        <f t="array" ref="D1710">IFNA(_xlfn.XLOOKUP(B1710,Table_Respons_Loket[Count],Table_Respons_Loket[Daftar Nomor Hak]),"")</f>
        <v/>
      </c>
      <c r="E1710" s="17" t="str">
        <f t="array" ref="E1710">IFNA(_xlfn.XLOOKUP(B1710,Table_Respons_Loket[Count],Table_Respons_Loket[Time Stamp]),"")</f>
        <v/>
      </c>
      <c r="F1710" s="18" t="str">
        <f t="array" ref="F1710">IFNA(_xlfn.XLOOKUP(B1710,Table_Respons_Loket[Count],Table_Respons_Loket[Jenis Permohonan]),"")</f>
        <v/>
      </c>
      <c r="G1710" s="24"/>
      <c r="H1710" s="24"/>
      <c r="I1710" s="22" t="str">
        <f t="shared" si="7"/>
        <v/>
      </c>
      <c r="J1710" s="20" t="b">
        <v>0</v>
      </c>
      <c r="K1710" s="13" t="str">
        <f t="shared" si="8"/>
        <v/>
      </c>
    </row>
    <row r="1711" ht="22.5" customHeight="1">
      <c r="B1711" s="13">
        <f t="shared" si="3"/>
        <v>1705</v>
      </c>
      <c r="C1711" s="15" t="str">
        <f t="array" ref="C1711">IFNA(_xlfn.XLOOKUP(B1711,Table_Respons_Loket[Count],Table_Respons_Loket[Nomor Tiket]),"")</f>
        <v/>
      </c>
      <c r="D1711" s="15" t="str">
        <f t="array" ref="D1711">IFNA(_xlfn.XLOOKUP(B1711,Table_Respons_Loket[Count],Table_Respons_Loket[Daftar Nomor Hak]),"")</f>
        <v/>
      </c>
      <c r="E1711" s="17" t="str">
        <f t="array" ref="E1711">IFNA(_xlfn.XLOOKUP(B1711,Table_Respons_Loket[Count],Table_Respons_Loket[Time Stamp]),"")</f>
        <v/>
      </c>
      <c r="F1711" s="18" t="str">
        <f t="array" ref="F1711">IFNA(_xlfn.XLOOKUP(B1711,Table_Respons_Loket[Count],Table_Respons_Loket[Jenis Permohonan]),"")</f>
        <v/>
      </c>
      <c r="G1711" s="24"/>
      <c r="H1711" s="24"/>
      <c r="I1711" s="22" t="str">
        <f t="shared" si="7"/>
        <v/>
      </c>
      <c r="J1711" s="20" t="b">
        <v>0</v>
      </c>
      <c r="K1711" s="13" t="str">
        <f t="shared" si="8"/>
        <v/>
      </c>
    </row>
    <row r="1712" ht="22.5" customHeight="1">
      <c r="B1712" s="13">
        <f t="shared" si="3"/>
        <v>1706</v>
      </c>
      <c r="C1712" s="15" t="str">
        <f t="array" ref="C1712">IFNA(_xlfn.XLOOKUP(B1712,Table_Respons_Loket[Count],Table_Respons_Loket[Nomor Tiket]),"")</f>
        <v/>
      </c>
      <c r="D1712" s="15" t="str">
        <f t="array" ref="D1712">IFNA(_xlfn.XLOOKUP(B1712,Table_Respons_Loket[Count],Table_Respons_Loket[Daftar Nomor Hak]),"")</f>
        <v/>
      </c>
      <c r="E1712" s="17" t="str">
        <f t="array" ref="E1712">IFNA(_xlfn.XLOOKUP(B1712,Table_Respons_Loket[Count],Table_Respons_Loket[Time Stamp]),"")</f>
        <v/>
      </c>
      <c r="F1712" s="18" t="str">
        <f t="array" ref="F1712">IFNA(_xlfn.XLOOKUP(B1712,Table_Respons_Loket[Count],Table_Respons_Loket[Jenis Permohonan]),"")</f>
        <v/>
      </c>
      <c r="G1712" s="24"/>
      <c r="H1712" s="24"/>
      <c r="I1712" s="22" t="str">
        <f t="shared" si="7"/>
        <v/>
      </c>
      <c r="J1712" s="20" t="b">
        <v>0</v>
      </c>
      <c r="K1712" s="13" t="str">
        <f t="shared" si="8"/>
        <v/>
      </c>
    </row>
    <row r="1713" ht="22.5" customHeight="1">
      <c r="B1713" s="13">
        <f t="shared" si="3"/>
        <v>1707</v>
      </c>
      <c r="C1713" s="15" t="str">
        <f t="array" ref="C1713">IFNA(_xlfn.XLOOKUP(B1713,Table_Respons_Loket[Count],Table_Respons_Loket[Nomor Tiket]),"")</f>
        <v/>
      </c>
      <c r="D1713" s="15" t="str">
        <f t="array" ref="D1713">IFNA(_xlfn.XLOOKUP(B1713,Table_Respons_Loket[Count],Table_Respons_Loket[Daftar Nomor Hak]),"")</f>
        <v/>
      </c>
      <c r="E1713" s="17" t="str">
        <f t="array" ref="E1713">IFNA(_xlfn.XLOOKUP(B1713,Table_Respons_Loket[Count],Table_Respons_Loket[Time Stamp]),"")</f>
        <v/>
      </c>
      <c r="F1713" s="18" t="str">
        <f t="array" ref="F1713">IFNA(_xlfn.XLOOKUP(B1713,Table_Respons_Loket[Count],Table_Respons_Loket[Jenis Permohonan]),"")</f>
        <v/>
      </c>
      <c r="G1713" s="24"/>
      <c r="H1713" s="24"/>
      <c r="I1713" s="22" t="str">
        <f t="shared" si="7"/>
        <v/>
      </c>
      <c r="J1713" s="20" t="b">
        <v>0</v>
      </c>
      <c r="K1713" s="13" t="str">
        <f t="shared" si="8"/>
        <v/>
      </c>
    </row>
    <row r="1714" ht="22.5" customHeight="1">
      <c r="B1714" s="13">
        <f t="shared" si="3"/>
        <v>1708</v>
      </c>
      <c r="C1714" s="15" t="str">
        <f t="array" ref="C1714">IFNA(_xlfn.XLOOKUP(B1714,Table_Respons_Loket[Count],Table_Respons_Loket[Nomor Tiket]),"")</f>
        <v/>
      </c>
      <c r="D1714" s="15" t="str">
        <f t="array" ref="D1714">IFNA(_xlfn.XLOOKUP(B1714,Table_Respons_Loket[Count],Table_Respons_Loket[Daftar Nomor Hak]),"")</f>
        <v/>
      </c>
      <c r="E1714" s="17" t="str">
        <f t="array" ref="E1714">IFNA(_xlfn.XLOOKUP(B1714,Table_Respons_Loket[Count],Table_Respons_Loket[Time Stamp]),"")</f>
        <v/>
      </c>
      <c r="F1714" s="18" t="str">
        <f t="array" ref="F1714">IFNA(_xlfn.XLOOKUP(B1714,Table_Respons_Loket[Count],Table_Respons_Loket[Jenis Permohonan]),"")</f>
        <v/>
      </c>
      <c r="G1714" s="24"/>
      <c r="H1714" s="24"/>
      <c r="I1714" s="22" t="str">
        <f t="shared" si="7"/>
        <v/>
      </c>
      <c r="J1714" s="20" t="b">
        <v>0</v>
      </c>
      <c r="K1714" s="13" t="str">
        <f t="shared" si="8"/>
        <v/>
      </c>
    </row>
    <row r="1715" ht="22.5" customHeight="1">
      <c r="B1715" s="13">
        <f t="shared" si="3"/>
        <v>1709</v>
      </c>
      <c r="C1715" s="15" t="str">
        <f t="array" ref="C1715">IFNA(_xlfn.XLOOKUP(B1715,Table_Respons_Loket[Count],Table_Respons_Loket[Nomor Tiket]),"")</f>
        <v/>
      </c>
      <c r="D1715" s="15" t="str">
        <f t="array" ref="D1715">IFNA(_xlfn.XLOOKUP(B1715,Table_Respons_Loket[Count],Table_Respons_Loket[Daftar Nomor Hak]),"")</f>
        <v/>
      </c>
      <c r="E1715" s="17" t="str">
        <f t="array" ref="E1715">IFNA(_xlfn.XLOOKUP(B1715,Table_Respons_Loket[Count],Table_Respons_Loket[Time Stamp]),"")</f>
        <v/>
      </c>
      <c r="F1715" s="18" t="str">
        <f t="array" ref="F1715">IFNA(_xlfn.XLOOKUP(B1715,Table_Respons_Loket[Count],Table_Respons_Loket[Jenis Permohonan]),"")</f>
        <v/>
      </c>
      <c r="G1715" s="24"/>
      <c r="H1715" s="24"/>
      <c r="I1715" s="22" t="str">
        <f t="shared" si="7"/>
        <v/>
      </c>
      <c r="J1715" s="20" t="b">
        <v>0</v>
      </c>
      <c r="K1715" s="13" t="str">
        <f t="shared" si="8"/>
        <v/>
      </c>
    </row>
    <row r="1716" ht="22.5" customHeight="1">
      <c r="B1716" s="13">
        <f t="shared" si="3"/>
        <v>1710</v>
      </c>
      <c r="C1716" s="15" t="str">
        <f t="array" ref="C1716">IFNA(_xlfn.XLOOKUP(B1716,Table_Respons_Loket[Count],Table_Respons_Loket[Nomor Tiket]),"")</f>
        <v/>
      </c>
      <c r="D1716" s="15" t="str">
        <f t="array" ref="D1716">IFNA(_xlfn.XLOOKUP(B1716,Table_Respons_Loket[Count],Table_Respons_Loket[Daftar Nomor Hak]),"")</f>
        <v/>
      </c>
      <c r="E1716" s="17" t="str">
        <f t="array" ref="E1716">IFNA(_xlfn.XLOOKUP(B1716,Table_Respons_Loket[Count],Table_Respons_Loket[Time Stamp]),"")</f>
        <v/>
      </c>
      <c r="F1716" s="18" t="str">
        <f t="array" ref="F1716">IFNA(_xlfn.XLOOKUP(B1716,Table_Respons_Loket[Count],Table_Respons_Loket[Jenis Permohonan]),"")</f>
        <v/>
      </c>
      <c r="G1716" s="24"/>
      <c r="H1716" s="24"/>
      <c r="I1716" s="22" t="str">
        <f t="shared" si="7"/>
        <v/>
      </c>
      <c r="J1716" s="20" t="b">
        <v>0</v>
      </c>
      <c r="K1716" s="13" t="str">
        <f t="shared" si="8"/>
        <v/>
      </c>
    </row>
    <row r="1717" ht="22.5" customHeight="1">
      <c r="B1717" s="13">
        <f t="shared" si="3"/>
        <v>1711</v>
      </c>
      <c r="C1717" s="15" t="str">
        <f t="array" ref="C1717">IFNA(_xlfn.XLOOKUP(B1717,Table_Respons_Loket[Count],Table_Respons_Loket[Nomor Tiket]),"")</f>
        <v/>
      </c>
      <c r="D1717" s="15" t="str">
        <f t="array" ref="D1717">IFNA(_xlfn.XLOOKUP(B1717,Table_Respons_Loket[Count],Table_Respons_Loket[Daftar Nomor Hak]),"")</f>
        <v/>
      </c>
      <c r="E1717" s="17" t="str">
        <f t="array" ref="E1717">IFNA(_xlfn.XLOOKUP(B1717,Table_Respons_Loket[Count],Table_Respons_Loket[Time Stamp]),"")</f>
        <v/>
      </c>
      <c r="F1717" s="18" t="str">
        <f t="array" ref="F1717">IFNA(_xlfn.XLOOKUP(B1717,Table_Respons_Loket[Count],Table_Respons_Loket[Jenis Permohonan]),"")</f>
        <v/>
      </c>
      <c r="G1717" s="24"/>
      <c r="H1717" s="24"/>
      <c r="I1717" s="22" t="str">
        <f t="shared" si="7"/>
        <v/>
      </c>
      <c r="J1717" s="20" t="b">
        <v>0</v>
      </c>
      <c r="K1717" s="13" t="str">
        <f t="shared" si="8"/>
        <v/>
      </c>
    </row>
    <row r="1718" ht="22.5" customHeight="1">
      <c r="B1718" s="13">
        <f t="shared" si="3"/>
        <v>1712</v>
      </c>
      <c r="C1718" s="15" t="str">
        <f t="array" ref="C1718">IFNA(_xlfn.XLOOKUP(B1718,Table_Respons_Loket[Count],Table_Respons_Loket[Nomor Tiket]),"")</f>
        <v/>
      </c>
      <c r="D1718" s="15" t="str">
        <f t="array" ref="D1718">IFNA(_xlfn.XLOOKUP(B1718,Table_Respons_Loket[Count],Table_Respons_Loket[Daftar Nomor Hak]),"")</f>
        <v/>
      </c>
      <c r="E1718" s="17" t="str">
        <f t="array" ref="E1718">IFNA(_xlfn.XLOOKUP(B1718,Table_Respons_Loket[Count],Table_Respons_Loket[Time Stamp]),"")</f>
        <v/>
      </c>
      <c r="F1718" s="18" t="str">
        <f t="array" ref="F1718">IFNA(_xlfn.XLOOKUP(B1718,Table_Respons_Loket[Count],Table_Respons_Loket[Jenis Permohonan]),"")</f>
        <v/>
      </c>
      <c r="G1718" s="24"/>
      <c r="H1718" s="24"/>
      <c r="I1718" s="22" t="str">
        <f t="shared" si="7"/>
        <v/>
      </c>
      <c r="J1718" s="20" t="b">
        <v>0</v>
      </c>
      <c r="K1718" s="13" t="str">
        <f t="shared" si="8"/>
        <v/>
      </c>
    </row>
    <row r="1719" ht="22.5" customHeight="1">
      <c r="B1719" s="13">
        <f t="shared" si="3"/>
        <v>1713</v>
      </c>
      <c r="C1719" s="15" t="str">
        <f t="array" ref="C1719">IFNA(_xlfn.XLOOKUP(B1719,Table_Respons_Loket[Count],Table_Respons_Loket[Nomor Tiket]),"")</f>
        <v/>
      </c>
      <c r="D1719" s="15" t="str">
        <f t="array" ref="D1719">IFNA(_xlfn.XLOOKUP(B1719,Table_Respons_Loket[Count],Table_Respons_Loket[Daftar Nomor Hak]),"")</f>
        <v/>
      </c>
      <c r="E1719" s="17" t="str">
        <f t="array" ref="E1719">IFNA(_xlfn.XLOOKUP(B1719,Table_Respons_Loket[Count],Table_Respons_Loket[Time Stamp]),"")</f>
        <v/>
      </c>
      <c r="F1719" s="18" t="str">
        <f t="array" ref="F1719">IFNA(_xlfn.XLOOKUP(B1719,Table_Respons_Loket[Count],Table_Respons_Loket[Jenis Permohonan]),"")</f>
        <v/>
      </c>
      <c r="G1719" s="24"/>
      <c r="H1719" s="24"/>
      <c r="I1719" s="22" t="str">
        <f t="shared" si="7"/>
        <v/>
      </c>
      <c r="J1719" s="20" t="b">
        <v>0</v>
      </c>
      <c r="K1719" s="13" t="str">
        <f t="shared" si="8"/>
        <v/>
      </c>
    </row>
    <row r="1720" ht="22.5" customHeight="1">
      <c r="B1720" s="13">
        <f t="shared" si="3"/>
        <v>1714</v>
      </c>
      <c r="C1720" s="15" t="str">
        <f t="array" ref="C1720">IFNA(_xlfn.XLOOKUP(B1720,Table_Respons_Loket[Count],Table_Respons_Loket[Nomor Tiket]),"")</f>
        <v/>
      </c>
      <c r="D1720" s="15" t="str">
        <f t="array" ref="D1720">IFNA(_xlfn.XLOOKUP(B1720,Table_Respons_Loket[Count],Table_Respons_Loket[Daftar Nomor Hak]),"")</f>
        <v/>
      </c>
      <c r="E1720" s="17" t="str">
        <f t="array" ref="E1720">IFNA(_xlfn.XLOOKUP(B1720,Table_Respons_Loket[Count],Table_Respons_Loket[Time Stamp]),"")</f>
        <v/>
      </c>
      <c r="F1720" s="18" t="str">
        <f t="array" ref="F1720">IFNA(_xlfn.XLOOKUP(B1720,Table_Respons_Loket[Count],Table_Respons_Loket[Jenis Permohonan]),"")</f>
        <v/>
      </c>
      <c r="G1720" s="24"/>
      <c r="H1720" s="24"/>
      <c r="I1720" s="22" t="str">
        <f t="shared" si="7"/>
        <v/>
      </c>
      <c r="J1720" s="20" t="b">
        <v>0</v>
      </c>
      <c r="K1720" s="13" t="str">
        <f t="shared" si="8"/>
        <v/>
      </c>
    </row>
    <row r="1721" ht="22.5" customHeight="1">
      <c r="B1721" s="13">
        <f t="shared" si="3"/>
        <v>1715</v>
      </c>
      <c r="C1721" s="15" t="str">
        <f t="array" ref="C1721">IFNA(_xlfn.XLOOKUP(B1721,Table_Respons_Loket[Count],Table_Respons_Loket[Nomor Tiket]),"")</f>
        <v/>
      </c>
      <c r="D1721" s="15" t="str">
        <f t="array" ref="D1721">IFNA(_xlfn.XLOOKUP(B1721,Table_Respons_Loket[Count],Table_Respons_Loket[Daftar Nomor Hak]),"")</f>
        <v/>
      </c>
      <c r="E1721" s="17" t="str">
        <f t="array" ref="E1721">IFNA(_xlfn.XLOOKUP(B1721,Table_Respons_Loket[Count],Table_Respons_Loket[Time Stamp]),"")</f>
        <v/>
      </c>
      <c r="F1721" s="18" t="str">
        <f t="array" ref="F1721">IFNA(_xlfn.XLOOKUP(B1721,Table_Respons_Loket[Count],Table_Respons_Loket[Jenis Permohonan]),"")</f>
        <v/>
      </c>
      <c r="G1721" s="24"/>
      <c r="H1721" s="24"/>
      <c r="I1721" s="22" t="str">
        <f t="shared" si="7"/>
        <v/>
      </c>
      <c r="J1721" s="20" t="b">
        <v>0</v>
      </c>
      <c r="K1721" s="13" t="str">
        <f t="shared" si="8"/>
        <v/>
      </c>
    </row>
    <row r="1722" ht="22.5" customHeight="1">
      <c r="B1722" s="13">
        <f t="shared" si="3"/>
        <v>1716</v>
      </c>
      <c r="C1722" s="15" t="str">
        <f t="array" ref="C1722">IFNA(_xlfn.XLOOKUP(B1722,Table_Respons_Loket[Count],Table_Respons_Loket[Nomor Tiket]),"")</f>
        <v/>
      </c>
      <c r="D1722" s="15" t="str">
        <f t="array" ref="D1722">IFNA(_xlfn.XLOOKUP(B1722,Table_Respons_Loket[Count],Table_Respons_Loket[Daftar Nomor Hak]),"")</f>
        <v/>
      </c>
      <c r="E1722" s="17" t="str">
        <f t="array" ref="E1722">IFNA(_xlfn.XLOOKUP(B1722,Table_Respons_Loket[Count],Table_Respons_Loket[Time Stamp]),"")</f>
        <v/>
      </c>
      <c r="F1722" s="18" t="str">
        <f t="array" ref="F1722">IFNA(_xlfn.XLOOKUP(B1722,Table_Respons_Loket[Count],Table_Respons_Loket[Jenis Permohonan]),"")</f>
        <v/>
      </c>
      <c r="G1722" s="24"/>
      <c r="H1722" s="24"/>
      <c r="I1722" s="22" t="str">
        <f t="shared" si="7"/>
        <v/>
      </c>
      <c r="J1722" s="20" t="b">
        <v>0</v>
      </c>
      <c r="K1722" s="13" t="str">
        <f t="shared" si="8"/>
        <v/>
      </c>
    </row>
    <row r="1723" ht="22.5" customHeight="1">
      <c r="B1723" s="13">
        <f t="shared" si="3"/>
        <v>1717</v>
      </c>
      <c r="C1723" s="15" t="str">
        <f t="array" ref="C1723">IFNA(_xlfn.XLOOKUP(B1723,Table_Respons_Loket[Count],Table_Respons_Loket[Nomor Tiket]),"")</f>
        <v/>
      </c>
      <c r="D1723" s="15" t="str">
        <f t="array" ref="D1723">IFNA(_xlfn.XLOOKUP(B1723,Table_Respons_Loket[Count],Table_Respons_Loket[Daftar Nomor Hak]),"")</f>
        <v/>
      </c>
      <c r="E1723" s="17" t="str">
        <f t="array" ref="E1723">IFNA(_xlfn.XLOOKUP(B1723,Table_Respons_Loket[Count],Table_Respons_Loket[Time Stamp]),"")</f>
        <v/>
      </c>
      <c r="F1723" s="18" t="str">
        <f t="array" ref="F1723">IFNA(_xlfn.XLOOKUP(B1723,Table_Respons_Loket[Count],Table_Respons_Loket[Jenis Permohonan]),"")</f>
        <v/>
      </c>
      <c r="G1723" s="24"/>
      <c r="H1723" s="24"/>
      <c r="I1723" s="22" t="str">
        <f t="shared" si="7"/>
        <v/>
      </c>
      <c r="J1723" s="20" t="b">
        <v>0</v>
      </c>
      <c r="K1723" s="13" t="str">
        <f t="shared" si="8"/>
        <v/>
      </c>
    </row>
    <row r="1724" ht="22.5" customHeight="1">
      <c r="B1724" s="13">
        <f t="shared" si="3"/>
        <v>1718</v>
      </c>
      <c r="C1724" s="15" t="str">
        <f t="array" ref="C1724">IFNA(_xlfn.XLOOKUP(B1724,Table_Respons_Loket[Count],Table_Respons_Loket[Nomor Tiket]),"")</f>
        <v/>
      </c>
      <c r="D1724" s="15" t="str">
        <f t="array" ref="D1724">IFNA(_xlfn.XLOOKUP(B1724,Table_Respons_Loket[Count],Table_Respons_Loket[Daftar Nomor Hak]),"")</f>
        <v/>
      </c>
      <c r="E1724" s="17" t="str">
        <f t="array" ref="E1724">IFNA(_xlfn.XLOOKUP(B1724,Table_Respons_Loket[Count],Table_Respons_Loket[Time Stamp]),"")</f>
        <v/>
      </c>
      <c r="F1724" s="18" t="str">
        <f t="array" ref="F1724">IFNA(_xlfn.XLOOKUP(B1724,Table_Respons_Loket[Count],Table_Respons_Loket[Jenis Permohonan]),"")</f>
        <v/>
      </c>
      <c r="G1724" s="24"/>
      <c r="H1724" s="24"/>
      <c r="I1724" s="22" t="str">
        <f t="shared" si="7"/>
        <v/>
      </c>
      <c r="J1724" s="20" t="b">
        <v>0</v>
      </c>
      <c r="K1724" s="13" t="str">
        <f t="shared" si="8"/>
        <v/>
      </c>
    </row>
    <row r="1725" ht="22.5" customHeight="1">
      <c r="B1725" s="13">
        <f t="shared" si="3"/>
        <v>1719</v>
      </c>
      <c r="C1725" s="15" t="str">
        <f t="array" ref="C1725">IFNA(_xlfn.XLOOKUP(B1725,Table_Respons_Loket[Count],Table_Respons_Loket[Nomor Tiket]),"")</f>
        <v/>
      </c>
      <c r="D1725" s="15" t="str">
        <f t="array" ref="D1725">IFNA(_xlfn.XLOOKUP(B1725,Table_Respons_Loket[Count],Table_Respons_Loket[Daftar Nomor Hak]),"")</f>
        <v/>
      </c>
      <c r="E1725" s="17" t="str">
        <f t="array" ref="E1725">IFNA(_xlfn.XLOOKUP(B1725,Table_Respons_Loket[Count],Table_Respons_Loket[Time Stamp]),"")</f>
        <v/>
      </c>
      <c r="F1725" s="18" t="str">
        <f t="array" ref="F1725">IFNA(_xlfn.XLOOKUP(B1725,Table_Respons_Loket[Count],Table_Respons_Loket[Jenis Permohonan]),"")</f>
        <v/>
      </c>
      <c r="G1725" s="24"/>
      <c r="H1725" s="24"/>
      <c r="I1725" s="22" t="str">
        <f t="shared" si="7"/>
        <v/>
      </c>
      <c r="J1725" s="20" t="b">
        <v>0</v>
      </c>
      <c r="K1725" s="13" t="str">
        <f t="shared" si="8"/>
        <v/>
      </c>
    </row>
    <row r="1726" ht="22.5" customHeight="1">
      <c r="B1726" s="13">
        <f t="shared" si="3"/>
        <v>1720</v>
      </c>
      <c r="C1726" s="15" t="str">
        <f t="array" ref="C1726">IFNA(_xlfn.XLOOKUP(B1726,Table_Respons_Loket[Count],Table_Respons_Loket[Nomor Tiket]),"")</f>
        <v/>
      </c>
      <c r="D1726" s="15" t="str">
        <f t="array" ref="D1726">IFNA(_xlfn.XLOOKUP(B1726,Table_Respons_Loket[Count],Table_Respons_Loket[Daftar Nomor Hak]),"")</f>
        <v/>
      </c>
      <c r="E1726" s="17" t="str">
        <f t="array" ref="E1726">IFNA(_xlfn.XLOOKUP(B1726,Table_Respons_Loket[Count],Table_Respons_Loket[Time Stamp]),"")</f>
        <v/>
      </c>
      <c r="F1726" s="18" t="str">
        <f t="array" ref="F1726">IFNA(_xlfn.XLOOKUP(B1726,Table_Respons_Loket[Count],Table_Respons_Loket[Jenis Permohonan]),"")</f>
        <v/>
      </c>
      <c r="G1726" s="24"/>
      <c r="H1726" s="24"/>
      <c r="I1726" s="22" t="str">
        <f t="shared" si="7"/>
        <v/>
      </c>
      <c r="J1726" s="20" t="b">
        <v>0</v>
      </c>
      <c r="K1726" s="13" t="str">
        <f t="shared" si="8"/>
        <v/>
      </c>
    </row>
    <row r="1727" ht="22.5" customHeight="1">
      <c r="B1727" s="13">
        <f t="shared" si="3"/>
        <v>1721</v>
      </c>
      <c r="C1727" s="15" t="str">
        <f t="array" ref="C1727">IFNA(_xlfn.XLOOKUP(B1727,Table_Respons_Loket[Count],Table_Respons_Loket[Nomor Tiket]),"")</f>
        <v/>
      </c>
      <c r="D1727" s="15" t="str">
        <f t="array" ref="D1727">IFNA(_xlfn.XLOOKUP(B1727,Table_Respons_Loket[Count],Table_Respons_Loket[Daftar Nomor Hak]),"")</f>
        <v/>
      </c>
      <c r="E1727" s="17" t="str">
        <f t="array" ref="E1727">IFNA(_xlfn.XLOOKUP(B1727,Table_Respons_Loket[Count],Table_Respons_Loket[Time Stamp]),"")</f>
        <v/>
      </c>
      <c r="F1727" s="18" t="str">
        <f t="array" ref="F1727">IFNA(_xlfn.XLOOKUP(B1727,Table_Respons_Loket[Count],Table_Respons_Loket[Jenis Permohonan]),"")</f>
        <v/>
      </c>
      <c r="G1727" s="24"/>
      <c r="H1727" s="24"/>
      <c r="I1727" s="22" t="str">
        <f t="shared" si="7"/>
        <v/>
      </c>
      <c r="J1727" s="20" t="b">
        <v>0</v>
      </c>
      <c r="K1727" s="13" t="str">
        <f t="shared" si="8"/>
        <v/>
      </c>
    </row>
    <row r="1728" ht="22.5" customHeight="1">
      <c r="B1728" s="13">
        <f t="shared" si="3"/>
        <v>1722</v>
      </c>
      <c r="C1728" s="15" t="str">
        <f t="array" ref="C1728">IFNA(_xlfn.XLOOKUP(B1728,Table_Respons_Loket[Count],Table_Respons_Loket[Nomor Tiket]),"")</f>
        <v/>
      </c>
      <c r="D1728" s="15" t="str">
        <f t="array" ref="D1728">IFNA(_xlfn.XLOOKUP(B1728,Table_Respons_Loket[Count],Table_Respons_Loket[Daftar Nomor Hak]),"")</f>
        <v/>
      </c>
      <c r="E1728" s="17" t="str">
        <f t="array" ref="E1728">IFNA(_xlfn.XLOOKUP(B1728,Table_Respons_Loket[Count],Table_Respons_Loket[Time Stamp]),"")</f>
        <v/>
      </c>
      <c r="F1728" s="18" t="str">
        <f t="array" ref="F1728">IFNA(_xlfn.XLOOKUP(B1728,Table_Respons_Loket[Count],Table_Respons_Loket[Jenis Permohonan]),"")</f>
        <v/>
      </c>
      <c r="G1728" s="24"/>
      <c r="H1728" s="24"/>
      <c r="I1728" s="22" t="str">
        <f t="shared" si="7"/>
        <v/>
      </c>
      <c r="J1728" s="20" t="b">
        <v>0</v>
      </c>
      <c r="K1728" s="13" t="str">
        <f t="shared" si="8"/>
        <v/>
      </c>
    </row>
    <row r="1729" ht="22.5" customHeight="1">
      <c r="B1729" s="13">
        <f t="shared" si="3"/>
        <v>1723</v>
      </c>
      <c r="C1729" s="15" t="str">
        <f t="array" ref="C1729">IFNA(_xlfn.XLOOKUP(B1729,Table_Respons_Loket[Count],Table_Respons_Loket[Nomor Tiket]),"")</f>
        <v/>
      </c>
      <c r="D1729" s="15" t="str">
        <f t="array" ref="D1729">IFNA(_xlfn.XLOOKUP(B1729,Table_Respons_Loket[Count],Table_Respons_Loket[Daftar Nomor Hak]),"")</f>
        <v/>
      </c>
      <c r="E1729" s="17" t="str">
        <f t="array" ref="E1729">IFNA(_xlfn.XLOOKUP(B1729,Table_Respons_Loket[Count],Table_Respons_Loket[Time Stamp]),"")</f>
        <v/>
      </c>
      <c r="F1729" s="18" t="str">
        <f t="array" ref="F1729">IFNA(_xlfn.XLOOKUP(B1729,Table_Respons_Loket[Count],Table_Respons_Loket[Jenis Permohonan]),"")</f>
        <v/>
      </c>
      <c r="G1729" s="24"/>
      <c r="H1729" s="24"/>
      <c r="I1729" s="22" t="str">
        <f t="shared" si="7"/>
        <v/>
      </c>
      <c r="J1729" s="20" t="b">
        <v>0</v>
      </c>
      <c r="K1729" s="13" t="str">
        <f t="shared" si="8"/>
        <v/>
      </c>
    </row>
    <row r="1730" ht="22.5" customHeight="1">
      <c r="B1730" s="13">
        <f t="shared" si="3"/>
        <v>1724</v>
      </c>
      <c r="C1730" s="15" t="str">
        <f t="array" ref="C1730">IFNA(_xlfn.XLOOKUP(B1730,Table_Respons_Loket[Count],Table_Respons_Loket[Nomor Tiket]),"")</f>
        <v/>
      </c>
      <c r="D1730" s="15" t="str">
        <f t="array" ref="D1730">IFNA(_xlfn.XLOOKUP(B1730,Table_Respons_Loket[Count],Table_Respons_Loket[Daftar Nomor Hak]),"")</f>
        <v/>
      </c>
      <c r="E1730" s="17" t="str">
        <f t="array" ref="E1730">IFNA(_xlfn.XLOOKUP(B1730,Table_Respons_Loket[Count],Table_Respons_Loket[Time Stamp]),"")</f>
        <v/>
      </c>
      <c r="F1730" s="18" t="str">
        <f t="array" ref="F1730">IFNA(_xlfn.XLOOKUP(B1730,Table_Respons_Loket[Count],Table_Respons_Loket[Jenis Permohonan]),"")</f>
        <v/>
      </c>
      <c r="G1730" s="24"/>
      <c r="H1730" s="24"/>
      <c r="I1730" s="22" t="str">
        <f t="shared" si="7"/>
        <v/>
      </c>
      <c r="J1730" s="20" t="b">
        <v>0</v>
      </c>
      <c r="K1730" s="13" t="str">
        <f t="shared" si="8"/>
        <v/>
      </c>
    </row>
    <row r="1731" ht="22.5" customHeight="1">
      <c r="B1731" s="13">
        <f t="shared" si="3"/>
        <v>1725</v>
      </c>
      <c r="C1731" s="15" t="str">
        <f t="array" ref="C1731">IFNA(_xlfn.XLOOKUP(B1731,Table_Respons_Loket[Count],Table_Respons_Loket[Nomor Tiket]),"")</f>
        <v/>
      </c>
      <c r="D1731" s="15" t="str">
        <f t="array" ref="D1731">IFNA(_xlfn.XLOOKUP(B1731,Table_Respons_Loket[Count],Table_Respons_Loket[Daftar Nomor Hak]),"")</f>
        <v/>
      </c>
      <c r="E1731" s="17" t="str">
        <f t="array" ref="E1731">IFNA(_xlfn.XLOOKUP(B1731,Table_Respons_Loket[Count],Table_Respons_Loket[Time Stamp]),"")</f>
        <v/>
      </c>
      <c r="F1731" s="18" t="str">
        <f t="array" ref="F1731">IFNA(_xlfn.XLOOKUP(B1731,Table_Respons_Loket[Count],Table_Respons_Loket[Jenis Permohonan]),"")</f>
        <v/>
      </c>
      <c r="G1731" s="24"/>
      <c r="H1731" s="24"/>
      <c r="I1731" s="22" t="str">
        <f t="shared" si="7"/>
        <v/>
      </c>
      <c r="J1731" s="20" t="b">
        <v>0</v>
      </c>
      <c r="K1731" s="13" t="str">
        <f t="shared" si="8"/>
        <v/>
      </c>
    </row>
    <row r="1732" ht="22.5" customHeight="1">
      <c r="B1732" s="13">
        <f t="shared" si="3"/>
        <v>1726</v>
      </c>
      <c r="C1732" s="15" t="str">
        <f t="array" ref="C1732">IFNA(_xlfn.XLOOKUP(B1732,Table_Respons_Loket[Count],Table_Respons_Loket[Nomor Tiket]),"")</f>
        <v/>
      </c>
      <c r="D1732" s="15" t="str">
        <f t="array" ref="D1732">IFNA(_xlfn.XLOOKUP(B1732,Table_Respons_Loket[Count],Table_Respons_Loket[Daftar Nomor Hak]),"")</f>
        <v/>
      </c>
      <c r="E1732" s="17" t="str">
        <f t="array" ref="E1732">IFNA(_xlfn.XLOOKUP(B1732,Table_Respons_Loket[Count],Table_Respons_Loket[Time Stamp]),"")</f>
        <v/>
      </c>
      <c r="F1732" s="18" t="str">
        <f t="array" ref="F1732">IFNA(_xlfn.XLOOKUP(B1732,Table_Respons_Loket[Count],Table_Respons_Loket[Jenis Permohonan]),"")</f>
        <v/>
      </c>
      <c r="G1732" s="24"/>
      <c r="H1732" s="24"/>
      <c r="I1732" s="22" t="str">
        <f t="shared" si="7"/>
        <v/>
      </c>
      <c r="J1732" s="20" t="b">
        <v>0</v>
      </c>
      <c r="K1732" s="13" t="str">
        <f t="shared" si="8"/>
        <v/>
      </c>
    </row>
    <row r="1733" ht="22.5" customHeight="1">
      <c r="B1733" s="13">
        <f t="shared" si="3"/>
        <v>1727</v>
      </c>
      <c r="C1733" s="15" t="str">
        <f t="array" ref="C1733">IFNA(_xlfn.XLOOKUP(B1733,Table_Respons_Loket[Count],Table_Respons_Loket[Nomor Tiket]),"")</f>
        <v/>
      </c>
      <c r="D1733" s="15" t="str">
        <f t="array" ref="D1733">IFNA(_xlfn.XLOOKUP(B1733,Table_Respons_Loket[Count],Table_Respons_Loket[Daftar Nomor Hak]),"")</f>
        <v/>
      </c>
      <c r="E1733" s="17" t="str">
        <f t="array" ref="E1733">IFNA(_xlfn.XLOOKUP(B1733,Table_Respons_Loket[Count],Table_Respons_Loket[Time Stamp]),"")</f>
        <v/>
      </c>
      <c r="F1733" s="18" t="str">
        <f t="array" ref="F1733">IFNA(_xlfn.XLOOKUP(B1733,Table_Respons_Loket[Count],Table_Respons_Loket[Jenis Permohonan]),"")</f>
        <v/>
      </c>
      <c r="G1733" s="24"/>
      <c r="H1733" s="24"/>
      <c r="I1733" s="22" t="str">
        <f t="shared" si="7"/>
        <v/>
      </c>
      <c r="J1733" s="20" t="b">
        <v>0</v>
      </c>
      <c r="K1733" s="13" t="str">
        <f t="shared" si="8"/>
        <v/>
      </c>
    </row>
    <row r="1734" ht="22.5" customHeight="1">
      <c r="B1734" s="13">
        <f t="shared" si="3"/>
        <v>1728</v>
      </c>
      <c r="C1734" s="15" t="str">
        <f t="array" ref="C1734">IFNA(_xlfn.XLOOKUP(B1734,Table_Respons_Loket[Count],Table_Respons_Loket[Nomor Tiket]),"")</f>
        <v/>
      </c>
      <c r="D1734" s="15" t="str">
        <f t="array" ref="D1734">IFNA(_xlfn.XLOOKUP(B1734,Table_Respons_Loket[Count],Table_Respons_Loket[Daftar Nomor Hak]),"")</f>
        <v/>
      </c>
      <c r="E1734" s="17" t="str">
        <f t="array" ref="E1734">IFNA(_xlfn.XLOOKUP(B1734,Table_Respons_Loket[Count],Table_Respons_Loket[Time Stamp]),"")</f>
        <v/>
      </c>
      <c r="F1734" s="18" t="str">
        <f t="array" ref="F1734">IFNA(_xlfn.XLOOKUP(B1734,Table_Respons_Loket[Count],Table_Respons_Loket[Jenis Permohonan]),"")</f>
        <v/>
      </c>
      <c r="G1734" s="24"/>
      <c r="H1734" s="24"/>
      <c r="I1734" s="22" t="str">
        <f t="shared" si="7"/>
        <v/>
      </c>
      <c r="J1734" s="20" t="b">
        <v>0</v>
      </c>
      <c r="K1734" s="13" t="str">
        <f t="shared" si="8"/>
        <v/>
      </c>
    </row>
    <row r="1735" ht="22.5" customHeight="1">
      <c r="B1735" s="13">
        <f t="shared" si="3"/>
        <v>1729</v>
      </c>
      <c r="C1735" s="15" t="str">
        <f t="array" ref="C1735">IFNA(_xlfn.XLOOKUP(B1735,Table_Respons_Loket[Count],Table_Respons_Loket[Nomor Tiket]),"")</f>
        <v/>
      </c>
      <c r="D1735" s="15" t="str">
        <f t="array" ref="D1735">IFNA(_xlfn.XLOOKUP(B1735,Table_Respons_Loket[Count],Table_Respons_Loket[Daftar Nomor Hak]),"")</f>
        <v/>
      </c>
      <c r="E1735" s="17" t="str">
        <f t="array" ref="E1735">IFNA(_xlfn.XLOOKUP(B1735,Table_Respons_Loket[Count],Table_Respons_Loket[Time Stamp]),"")</f>
        <v/>
      </c>
      <c r="F1735" s="18" t="str">
        <f t="array" ref="F1735">IFNA(_xlfn.XLOOKUP(B1735,Table_Respons_Loket[Count],Table_Respons_Loket[Jenis Permohonan]),"")</f>
        <v/>
      </c>
      <c r="G1735" s="24"/>
      <c r="H1735" s="24"/>
      <c r="I1735" s="22" t="str">
        <f t="shared" si="7"/>
        <v/>
      </c>
      <c r="J1735" s="20" t="b">
        <v>0</v>
      </c>
      <c r="K1735" s="13" t="str">
        <f t="shared" si="8"/>
        <v/>
      </c>
    </row>
    <row r="1736" ht="22.5" customHeight="1">
      <c r="B1736" s="13">
        <f t="shared" si="3"/>
        <v>1730</v>
      </c>
      <c r="C1736" s="15" t="str">
        <f t="array" ref="C1736">IFNA(_xlfn.XLOOKUP(B1736,Table_Respons_Loket[Count],Table_Respons_Loket[Nomor Tiket]),"")</f>
        <v/>
      </c>
      <c r="D1736" s="15" t="str">
        <f t="array" ref="D1736">IFNA(_xlfn.XLOOKUP(B1736,Table_Respons_Loket[Count],Table_Respons_Loket[Daftar Nomor Hak]),"")</f>
        <v/>
      </c>
      <c r="E1736" s="17" t="str">
        <f t="array" ref="E1736">IFNA(_xlfn.XLOOKUP(B1736,Table_Respons_Loket[Count],Table_Respons_Loket[Time Stamp]),"")</f>
        <v/>
      </c>
      <c r="F1736" s="18" t="str">
        <f t="array" ref="F1736">IFNA(_xlfn.XLOOKUP(B1736,Table_Respons_Loket[Count],Table_Respons_Loket[Jenis Permohonan]),"")</f>
        <v/>
      </c>
      <c r="G1736" s="24"/>
      <c r="H1736" s="24"/>
      <c r="I1736" s="22" t="str">
        <f t="shared" si="7"/>
        <v/>
      </c>
      <c r="J1736" s="20" t="b">
        <v>0</v>
      </c>
      <c r="K1736" s="13" t="str">
        <f t="shared" si="8"/>
        <v/>
      </c>
    </row>
    <row r="1737" ht="22.5" customHeight="1">
      <c r="B1737" s="13">
        <f t="shared" si="3"/>
        <v>1731</v>
      </c>
      <c r="C1737" s="15" t="str">
        <f t="array" ref="C1737">IFNA(_xlfn.XLOOKUP(B1737,Table_Respons_Loket[Count],Table_Respons_Loket[Nomor Tiket]),"")</f>
        <v/>
      </c>
      <c r="D1737" s="15" t="str">
        <f t="array" ref="D1737">IFNA(_xlfn.XLOOKUP(B1737,Table_Respons_Loket[Count],Table_Respons_Loket[Daftar Nomor Hak]),"")</f>
        <v/>
      </c>
      <c r="E1737" s="17" t="str">
        <f t="array" ref="E1737">IFNA(_xlfn.XLOOKUP(B1737,Table_Respons_Loket[Count],Table_Respons_Loket[Time Stamp]),"")</f>
        <v/>
      </c>
      <c r="F1737" s="18" t="str">
        <f t="array" ref="F1737">IFNA(_xlfn.XLOOKUP(B1737,Table_Respons_Loket[Count],Table_Respons_Loket[Jenis Permohonan]),"")</f>
        <v/>
      </c>
      <c r="G1737" s="24"/>
      <c r="H1737" s="24"/>
      <c r="I1737" s="22" t="str">
        <f t="shared" si="7"/>
        <v/>
      </c>
      <c r="J1737" s="20" t="b">
        <v>0</v>
      </c>
      <c r="K1737" s="13" t="str">
        <f t="shared" si="8"/>
        <v/>
      </c>
    </row>
    <row r="1738" ht="22.5" customHeight="1">
      <c r="B1738" s="13">
        <f t="shared" si="3"/>
        <v>1732</v>
      </c>
      <c r="C1738" s="15" t="str">
        <f t="array" ref="C1738">IFNA(_xlfn.XLOOKUP(B1738,Table_Respons_Loket[Count],Table_Respons_Loket[Nomor Tiket]),"")</f>
        <v/>
      </c>
      <c r="D1738" s="15" t="str">
        <f t="array" ref="D1738">IFNA(_xlfn.XLOOKUP(B1738,Table_Respons_Loket[Count],Table_Respons_Loket[Daftar Nomor Hak]),"")</f>
        <v/>
      </c>
      <c r="E1738" s="17" t="str">
        <f t="array" ref="E1738">IFNA(_xlfn.XLOOKUP(B1738,Table_Respons_Loket[Count],Table_Respons_Loket[Time Stamp]),"")</f>
        <v/>
      </c>
      <c r="F1738" s="18" t="str">
        <f t="array" ref="F1738">IFNA(_xlfn.XLOOKUP(B1738,Table_Respons_Loket[Count],Table_Respons_Loket[Jenis Permohonan]),"")</f>
        <v/>
      </c>
      <c r="G1738" s="24"/>
      <c r="H1738" s="24"/>
      <c r="I1738" s="22" t="str">
        <f t="shared" si="7"/>
        <v/>
      </c>
      <c r="J1738" s="20" t="b">
        <v>0</v>
      </c>
      <c r="K1738" s="13" t="str">
        <f t="shared" si="8"/>
        <v/>
      </c>
    </row>
    <row r="1739" ht="22.5" customHeight="1">
      <c r="B1739" s="13">
        <f t="shared" si="3"/>
        <v>1733</v>
      </c>
      <c r="C1739" s="15" t="str">
        <f t="array" ref="C1739">IFNA(_xlfn.XLOOKUP(B1739,Table_Respons_Loket[Count],Table_Respons_Loket[Nomor Tiket]),"")</f>
        <v/>
      </c>
      <c r="D1739" s="15" t="str">
        <f t="array" ref="D1739">IFNA(_xlfn.XLOOKUP(B1739,Table_Respons_Loket[Count],Table_Respons_Loket[Daftar Nomor Hak]),"")</f>
        <v/>
      </c>
      <c r="E1739" s="17" t="str">
        <f t="array" ref="E1739">IFNA(_xlfn.XLOOKUP(B1739,Table_Respons_Loket[Count],Table_Respons_Loket[Time Stamp]),"")</f>
        <v/>
      </c>
      <c r="F1739" s="18" t="str">
        <f t="array" ref="F1739">IFNA(_xlfn.XLOOKUP(B1739,Table_Respons_Loket[Count],Table_Respons_Loket[Jenis Permohonan]),"")</f>
        <v/>
      </c>
      <c r="G1739" s="24"/>
      <c r="H1739" s="24"/>
      <c r="I1739" s="22" t="str">
        <f t="shared" si="7"/>
        <v/>
      </c>
      <c r="J1739" s="20" t="b">
        <v>0</v>
      </c>
      <c r="K1739" s="13" t="str">
        <f t="shared" si="8"/>
        <v/>
      </c>
    </row>
    <row r="1740" ht="22.5" customHeight="1">
      <c r="B1740" s="13">
        <f t="shared" si="3"/>
        <v>1734</v>
      </c>
      <c r="C1740" s="15" t="str">
        <f t="array" ref="C1740">IFNA(_xlfn.XLOOKUP(B1740,Table_Respons_Loket[Count],Table_Respons_Loket[Nomor Tiket]),"")</f>
        <v/>
      </c>
      <c r="D1740" s="15" t="str">
        <f t="array" ref="D1740">IFNA(_xlfn.XLOOKUP(B1740,Table_Respons_Loket[Count],Table_Respons_Loket[Daftar Nomor Hak]),"")</f>
        <v/>
      </c>
      <c r="E1740" s="17" t="str">
        <f t="array" ref="E1740">IFNA(_xlfn.XLOOKUP(B1740,Table_Respons_Loket[Count],Table_Respons_Loket[Time Stamp]),"")</f>
        <v/>
      </c>
      <c r="F1740" s="18" t="str">
        <f t="array" ref="F1740">IFNA(_xlfn.XLOOKUP(B1740,Table_Respons_Loket[Count],Table_Respons_Loket[Jenis Permohonan]),"")</f>
        <v/>
      </c>
      <c r="G1740" s="24"/>
      <c r="H1740" s="24"/>
      <c r="I1740" s="22" t="str">
        <f t="shared" si="7"/>
        <v/>
      </c>
      <c r="J1740" s="20" t="b">
        <v>0</v>
      </c>
      <c r="K1740" s="13" t="str">
        <f t="shared" si="8"/>
        <v/>
      </c>
    </row>
    <row r="1741" ht="22.5" customHeight="1">
      <c r="B1741" s="13">
        <f t="shared" si="3"/>
        <v>1735</v>
      </c>
      <c r="C1741" s="15" t="str">
        <f t="array" ref="C1741">IFNA(_xlfn.XLOOKUP(B1741,Table_Respons_Loket[Count],Table_Respons_Loket[Nomor Tiket]),"")</f>
        <v/>
      </c>
      <c r="D1741" s="15" t="str">
        <f t="array" ref="D1741">IFNA(_xlfn.XLOOKUP(B1741,Table_Respons_Loket[Count],Table_Respons_Loket[Daftar Nomor Hak]),"")</f>
        <v/>
      </c>
      <c r="E1741" s="17" t="str">
        <f t="array" ref="E1741">IFNA(_xlfn.XLOOKUP(B1741,Table_Respons_Loket[Count],Table_Respons_Loket[Time Stamp]),"")</f>
        <v/>
      </c>
      <c r="F1741" s="18" t="str">
        <f t="array" ref="F1741">IFNA(_xlfn.XLOOKUP(B1741,Table_Respons_Loket[Count],Table_Respons_Loket[Jenis Permohonan]),"")</f>
        <v/>
      </c>
      <c r="G1741" s="24"/>
      <c r="H1741" s="24"/>
      <c r="I1741" s="22" t="str">
        <f t="shared" si="7"/>
        <v/>
      </c>
      <c r="J1741" s="20" t="b">
        <v>0</v>
      </c>
      <c r="K1741" s="13" t="str">
        <f t="shared" si="8"/>
        <v/>
      </c>
    </row>
    <row r="1742" ht="22.5" customHeight="1">
      <c r="B1742" s="13">
        <f t="shared" si="3"/>
        <v>1736</v>
      </c>
      <c r="C1742" s="15" t="str">
        <f t="array" ref="C1742">IFNA(_xlfn.XLOOKUP(B1742,Table_Respons_Loket[Count],Table_Respons_Loket[Nomor Tiket]),"")</f>
        <v/>
      </c>
      <c r="D1742" s="15" t="str">
        <f t="array" ref="D1742">IFNA(_xlfn.XLOOKUP(B1742,Table_Respons_Loket[Count],Table_Respons_Loket[Daftar Nomor Hak]),"")</f>
        <v/>
      </c>
      <c r="E1742" s="17" t="str">
        <f t="array" ref="E1742">IFNA(_xlfn.XLOOKUP(B1742,Table_Respons_Loket[Count],Table_Respons_Loket[Time Stamp]),"")</f>
        <v/>
      </c>
      <c r="F1742" s="18" t="str">
        <f t="array" ref="F1742">IFNA(_xlfn.XLOOKUP(B1742,Table_Respons_Loket[Count],Table_Respons_Loket[Jenis Permohonan]),"")</f>
        <v/>
      </c>
      <c r="G1742" s="24"/>
      <c r="H1742" s="24"/>
      <c r="I1742" s="22" t="str">
        <f t="shared" si="7"/>
        <v/>
      </c>
      <c r="J1742" s="20" t="b">
        <v>0</v>
      </c>
      <c r="K1742" s="13" t="str">
        <f t="shared" si="8"/>
        <v/>
      </c>
    </row>
    <row r="1743" ht="22.5" customHeight="1">
      <c r="B1743" s="13">
        <f t="shared" si="3"/>
        <v>1737</v>
      </c>
      <c r="C1743" s="15" t="str">
        <f t="array" ref="C1743">IFNA(_xlfn.XLOOKUP(B1743,Table_Respons_Loket[Count],Table_Respons_Loket[Nomor Tiket]),"")</f>
        <v/>
      </c>
      <c r="D1743" s="15" t="str">
        <f t="array" ref="D1743">IFNA(_xlfn.XLOOKUP(B1743,Table_Respons_Loket[Count],Table_Respons_Loket[Daftar Nomor Hak]),"")</f>
        <v/>
      </c>
      <c r="E1743" s="17" t="str">
        <f t="array" ref="E1743">IFNA(_xlfn.XLOOKUP(B1743,Table_Respons_Loket[Count],Table_Respons_Loket[Time Stamp]),"")</f>
        <v/>
      </c>
      <c r="F1743" s="18" t="str">
        <f t="array" ref="F1743">IFNA(_xlfn.XLOOKUP(B1743,Table_Respons_Loket[Count],Table_Respons_Loket[Jenis Permohonan]),"")</f>
        <v/>
      </c>
      <c r="G1743" s="24"/>
      <c r="H1743" s="24"/>
      <c r="I1743" s="22" t="str">
        <f t="shared" si="7"/>
        <v/>
      </c>
      <c r="J1743" s="20" t="b">
        <v>0</v>
      </c>
      <c r="K1743" s="13" t="str">
        <f t="shared" si="8"/>
        <v/>
      </c>
    </row>
    <row r="1744" ht="22.5" customHeight="1">
      <c r="B1744" s="13">
        <f t="shared" si="3"/>
        <v>1738</v>
      </c>
      <c r="C1744" s="15" t="str">
        <f t="array" ref="C1744">IFNA(_xlfn.XLOOKUP(B1744,Table_Respons_Loket[Count],Table_Respons_Loket[Nomor Tiket]),"")</f>
        <v/>
      </c>
      <c r="D1744" s="15" t="str">
        <f t="array" ref="D1744">IFNA(_xlfn.XLOOKUP(B1744,Table_Respons_Loket[Count],Table_Respons_Loket[Daftar Nomor Hak]),"")</f>
        <v/>
      </c>
      <c r="E1744" s="17" t="str">
        <f t="array" ref="E1744">IFNA(_xlfn.XLOOKUP(B1744,Table_Respons_Loket[Count],Table_Respons_Loket[Time Stamp]),"")</f>
        <v/>
      </c>
      <c r="F1744" s="18" t="str">
        <f t="array" ref="F1744">IFNA(_xlfn.XLOOKUP(B1744,Table_Respons_Loket[Count],Table_Respons_Loket[Jenis Permohonan]),"")</f>
        <v/>
      </c>
      <c r="G1744" s="24"/>
      <c r="H1744" s="24"/>
      <c r="I1744" s="22" t="str">
        <f t="shared" si="7"/>
        <v/>
      </c>
      <c r="J1744" s="20" t="b">
        <v>0</v>
      </c>
      <c r="K1744" s="13" t="str">
        <f t="shared" si="8"/>
        <v/>
      </c>
    </row>
    <row r="1745" ht="22.5" customHeight="1">
      <c r="B1745" s="13">
        <f t="shared" si="3"/>
        <v>1739</v>
      </c>
      <c r="C1745" s="15" t="str">
        <f t="array" ref="C1745">IFNA(_xlfn.XLOOKUP(B1745,Table_Respons_Loket[Count],Table_Respons_Loket[Nomor Tiket]),"")</f>
        <v/>
      </c>
      <c r="D1745" s="15" t="str">
        <f t="array" ref="D1745">IFNA(_xlfn.XLOOKUP(B1745,Table_Respons_Loket[Count],Table_Respons_Loket[Daftar Nomor Hak]),"")</f>
        <v/>
      </c>
      <c r="E1745" s="17" t="str">
        <f t="array" ref="E1745">IFNA(_xlfn.XLOOKUP(B1745,Table_Respons_Loket[Count],Table_Respons_Loket[Time Stamp]),"")</f>
        <v/>
      </c>
      <c r="F1745" s="18" t="str">
        <f t="array" ref="F1745">IFNA(_xlfn.XLOOKUP(B1745,Table_Respons_Loket[Count],Table_Respons_Loket[Jenis Permohonan]),"")</f>
        <v/>
      </c>
      <c r="G1745" s="24"/>
      <c r="H1745" s="24"/>
      <c r="I1745" s="22" t="str">
        <f t="shared" si="7"/>
        <v/>
      </c>
      <c r="J1745" s="20" t="b">
        <v>0</v>
      </c>
      <c r="K1745" s="13" t="str">
        <f t="shared" si="8"/>
        <v/>
      </c>
    </row>
    <row r="1746" ht="22.5" customHeight="1">
      <c r="B1746" s="13">
        <f t="shared" si="3"/>
        <v>1740</v>
      </c>
      <c r="C1746" s="15" t="str">
        <f t="array" ref="C1746">IFNA(_xlfn.XLOOKUP(B1746,Table_Respons_Loket[Count],Table_Respons_Loket[Nomor Tiket]),"")</f>
        <v/>
      </c>
      <c r="D1746" s="15" t="str">
        <f t="array" ref="D1746">IFNA(_xlfn.XLOOKUP(B1746,Table_Respons_Loket[Count],Table_Respons_Loket[Daftar Nomor Hak]),"")</f>
        <v/>
      </c>
      <c r="E1746" s="17" t="str">
        <f t="array" ref="E1746">IFNA(_xlfn.XLOOKUP(B1746,Table_Respons_Loket[Count],Table_Respons_Loket[Time Stamp]),"")</f>
        <v/>
      </c>
      <c r="F1746" s="18" t="str">
        <f t="array" ref="F1746">IFNA(_xlfn.XLOOKUP(B1746,Table_Respons_Loket[Count],Table_Respons_Loket[Jenis Permohonan]),"")</f>
        <v/>
      </c>
      <c r="G1746" s="24"/>
      <c r="H1746" s="24"/>
      <c r="I1746" s="22" t="str">
        <f t="shared" si="7"/>
        <v/>
      </c>
      <c r="J1746" s="20" t="b">
        <v>0</v>
      </c>
      <c r="K1746" s="13" t="str">
        <f t="shared" si="8"/>
        <v/>
      </c>
    </row>
    <row r="1747" ht="22.5" customHeight="1">
      <c r="B1747" s="13">
        <f t="shared" si="3"/>
        <v>1741</v>
      </c>
      <c r="C1747" s="15" t="str">
        <f t="array" ref="C1747">IFNA(_xlfn.XLOOKUP(B1747,Table_Respons_Loket[Count],Table_Respons_Loket[Nomor Tiket]),"")</f>
        <v/>
      </c>
      <c r="D1747" s="15" t="str">
        <f t="array" ref="D1747">IFNA(_xlfn.XLOOKUP(B1747,Table_Respons_Loket[Count],Table_Respons_Loket[Daftar Nomor Hak]),"")</f>
        <v/>
      </c>
      <c r="E1747" s="17" t="str">
        <f t="array" ref="E1747">IFNA(_xlfn.XLOOKUP(B1747,Table_Respons_Loket[Count],Table_Respons_Loket[Time Stamp]),"")</f>
        <v/>
      </c>
      <c r="F1747" s="18" t="str">
        <f t="array" ref="F1747">IFNA(_xlfn.XLOOKUP(B1747,Table_Respons_Loket[Count],Table_Respons_Loket[Jenis Permohonan]),"")</f>
        <v/>
      </c>
      <c r="G1747" s="24"/>
      <c r="H1747" s="24"/>
      <c r="I1747" s="22" t="str">
        <f t="shared" si="7"/>
        <v/>
      </c>
      <c r="J1747" s="20" t="b">
        <v>0</v>
      </c>
      <c r="K1747" s="13" t="str">
        <f t="shared" si="8"/>
        <v/>
      </c>
    </row>
    <row r="1748" ht="22.5" customHeight="1">
      <c r="B1748" s="13">
        <f t="shared" si="3"/>
        <v>1742</v>
      </c>
      <c r="C1748" s="15" t="str">
        <f t="array" ref="C1748">IFNA(_xlfn.XLOOKUP(B1748,Table_Respons_Loket[Count],Table_Respons_Loket[Nomor Tiket]),"")</f>
        <v/>
      </c>
      <c r="D1748" s="15" t="str">
        <f t="array" ref="D1748">IFNA(_xlfn.XLOOKUP(B1748,Table_Respons_Loket[Count],Table_Respons_Loket[Daftar Nomor Hak]),"")</f>
        <v/>
      </c>
      <c r="E1748" s="17" t="str">
        <f t="array" ref="E1748">IFNA(_xlfn.XLOOKUP(B1748,Table_Respons_Loket[Count],Table_Respons_Loket[Time Stamp]),"")</f>
        <v/>
      </c>
      <c r="F1748" s="18" t="str">
        <f t="array" ref="F1748">IFNA(_xlfn.XLOOKUP(B1748,Table_Respons_Loket[Count],Table_Respons_Loket[Jenis Permohonan]),"")</f>
        <v/>
      </c>
      <c r="G1748" s="24"/>
      <c r="H1748" s="24"/>
      <c r="I1748" s="22" t="str">
        <f t="shared" si="7"/>
        <v/>
      </c>
      <c r="J1748" s="20" t="b">
        <v>0</v>
      </c>
      <c r="K1748" s="13" t="str">
        <f t="shared" si="8"/>
        <v/>
      </c>
    </row>
    <row r="1749" ht="22.5" customHeight="1">
      <c r="B1749" s="13">
        <f t="shared" si="3"/>
        <v>1743</v>
      </c>
      <c r="C1749" s="15" t="str">
        <f t="array" ref="C1749">IFNA(_xlfn.XLOOKUP(B1749,Table_Respons_Loket[Count],Table_Respons_Loket[Nomor Tiket]),"")</f>
        <v/>
      </c>
      <c r="D1749" s="15" t="str">
        <f t="array" ref="D1749">IFNA(_xlfn.XLOOKUP(B1749,Table_Respons_Loket[Count],Table_Respons_Loket[Daftar Nomor Hak]),"")</f>
        <v/>
      </c>
      <c r="E1749" s="17" t="str">
        <f t="array" ref="E1749">IFNA(_xlfn.XLOOKUP(B1749,Table_Respons_Loket[Count],Table_Respons_Loket[Time Stamp]),"")</f>
        <v/>
      </c>
      <c r="F1749" s="18" t="str">
        <f t="array" ref="F1749">IFNA(_xlfn.XLOOKUP(B1749,Table_Respons_Loket[Count],Table_Respons_Loket[Jenis Permohonan]),"")</f>
        <v/>
      </c>
      <c r="G1749" s="24"/>
      <c r="H1749" s="24"/>
      <c r="I1749" s="22" t="str">
        <f t="shared" si="7"/>
        <v/>
      </c>
      <c r="J1749" s="20" t="b">
        <v>0</v>
      </c>
      <c r="K1749" s="13" t="str">
        <f t="shared" si="8"/>
        <v/>
      </c>
    </row>
    <row r="1750" ht="22.5" customHeight="1">
      <c r="B1750" s="13">
        <f t="shared" si="3"/>
        <v>1744</v>
      </c>
      <c r="C1750" s="15" t="str">
        <f t="array" ref="C1750">IFNA(_xlfn.XLOOKUP(B1750,Table_Respons_Loket[Count],Table_Respons_Loket[Nomor Tiket]),"")</f>
        <v/>
      </c>
      <c r="D1750" s="15" t="str">
        <f t="array" ref="D1750">IFNA(_xlfn.XLOOKUP(B1750,Table_Respons_Loket[Count],Table_Respons_Loket[Daftar Nomor Hak]),"")</f>
        <v/>
      </c>
      <c r="E1750" s="17" t="str">
        <f t="array" ref="E1750">IFNA(_xlfn.XLOOKUP(B1750,Table_Respons_Loket[Count],Table_Respons_Loket[Time Stamp]),"")</f>
        <v/>
      </c>
      <c r="F1750" s="18" t="str">
        <f t="array" ref="F1750">IFNA(_xlfn.XLOOKUP(B1750,Table_Respons_Loket[Count],Table_Respons_Loket[Jenis Permohonan]),"")</f>
        <v/>
      </c>
      <c r="G1750" s="24"/>
      <c r="H1750" s="24"/>
      <c r="I1750" s="22" t="str">
        <f t="shared" si="7"/>
        <v/>
      </c>
      <c r="J1750" s="20" t="b">
        <v>0</v>
      </c>
      <c r="K1750" s="13" t="str">
        <f t="shared" si="8"/>
        <v/>
      </c>
    </row>
    <row r="1751" ht="22.5" customHeight="1">
      <c r="B1751" s="13">
        <f t="shared" si="3"/>
        <v>1745</v>
      </c>
      <c r="C1751" s="15" t="str">
        <f t="array" ref="C1751">IFNA(_xlfn.XLOOKUP(B1751,Table_Respons_Loket[Count],Table_Respons_Loket[Nomor Tiket]),"")</f>
        <v/>
      </c>
      <c r="D1751" s="15" t="str">
        <f t="array" ref="D1751">IFNA(_xlfn.XLOOKUP(B1751,Table_Respons_Loket[Count],Table_Respons_Loket[Daftar Nomor Hak]),"")</f>
        <v/>
      </c>
      <c r="E1751" s="17" t="str">
        <f t="array" ref="E1751">IFNA(_xlfn.XLOOKUP(B1751,Table_Respons_Loket[Count],Table_Respons_Loket[Time Stamp]),"")</f>
        <v/>
      </c>
      <c r="F1751" s="18" t="str">
        <f t="array" ref="F1751">IFNA(_xlfn.XLOOKUP(B1751,Table_Respons_Loket[Count],Table_Respons_Loket[Jenis Permohonan]),"")</f>
        <v/>
      </c>
      <c r="G1751" s="24"/>
      <c r="H1751" s="24"/>
      <c r="I1751" s="22" t="str">
        <f t="shared" si="7"/>
        <v/>
      </c>
      <c r="J1751" s="20" t="b">
        <v>0</v>
      </c>
      <c r="K1751" s="13" t="str">
        <f t="shared" si="8"/>
        <v/>
      </c>
    </row>
    <row r="1752" ht="22.5" customHeight="1">
      <c r="B1752" s="13">
        <f t="shared" si="3"/>
        <v>1746</v>
      </c>
      <c r="C1752" s="15" t="str">
        <f t="array" ref="C1752">IFNA(_xlfn.XLOOKUP(B1752,Table_Respons_Loket[Count],Table_Respons_Loket[Nomor Tiket]),"")</f>
        <v/>
      </c>
      <c r="D1752" s="15" t="str">
        <f t="array" ref="D1752">IFNA(_xlfn.XLOOKUP(B1752,Table_Respons_Loket[Count],Table_Respons_Loket[Daftar Nomor Hak]),"")</f>
        <v/>
      </c>
      <c r="E1752" s="17" t="str">
        <f t="array" ref="E1752">IFNA(_xlfn.XLOOKUP(B1752,Table_Respons_Loket[Count],Table_Respons_Loket[Time Stamp]),"")</f>
        <v/>
      </c>
      <c r="F1752" s="18" t="str">
        <f t="array" ref="F1752">IFNA(_xlfn.XLOOKUP(B1752,Table_Respons_Loket[Count],Table_Respons_Loket[Jenis Permohonan]),"")</f>
        <v/>
      </c>
      <c r="G1752" s="24"/>
      <c r="H1752" s="24"/>
      <c r="I1752" s="22" t="str">
        <f t="shared" si="7"/>
        <v/>
      </c>
      <c r="J1752" s="20" t="b">
        <v>0</v>
      </c>
      <c r="K1752" s="13" t="str">
        <f t="shared" si="8"/>
        <v/>
      </c>
    </row>
    <row r="1753" ht="22.5" customHeight="1">
      <c r="B1753" s="13">
        <f t="shared" si="3"/>
        <v>1747</v>
      </c>
      <c r="C1753" s="15" t="str">
        <f t="array" ref="C1753">IFNA(_xlfn.XLOOKUP(B1753,Table_Respons_Loket[Count],Table_Respons_Loket[Nomor Tiket]),"")</f>
        <v/>
      </c>
      <c r="D1753" s="15" t="str">
        <f t="array" ref="D1753">IFNA(_xlfn.XLOOKUP(B1753,Table_Respons_Loket[Count],Table_Respons_Loket[Daftar Nomor Hak]),"")</f>
        <v/>
      </c>
      <c r="E1753" s="17" t="str">
        <f t="array" ref="E1753">IFNA(_xlfn.XLOOKUP(B1753,Table_Respons_Loket[Count],Table_Respons_Loket[Time Stamp]),"")</f>
        <v/>
      </c>
      <c r="F1753" s="18" t="str">
        <f t="array" ref="F1753">IFNA(_xlfn.XLOOKUP(B1753,Table_Respons_Loket[Count],Table_Respons_Loket[Jenis Permohonan]),"")</f>
        <v/>
      </c>
      <c r="G1753" s="24"/>
      <c r="H1753" s="24"/>
      <c r="I1753" s="22" t="str">
        <f t="shared" si="7"/>
        <v/>
      </c>
      <c r="J1753" s="20" t="b">
        <v>0</v>
      </c>
      <c r="K1753" s="13" t="str">
        <f t="shared" si="8"/>
        <v/>
      </c>
    </row>
    <row r="1754" ht="22.5" customHeight="1">
      <c r="B1754" s="13">
        <f t="shared" si="3"/>
        <v>1748</v>
      </c>
      <c r="C1754" s="15" t="str">
        <f t="array" ref="C1754">IFNA(_xlfn.XLOOKUP(B1754,Table_Respons_Loket[Count],Table_Respons_Loket[Nomor Tiket]),"")</f>
        <v/>
      </c>
      <c r="D1754" s="15" t="str">
        <f t="array" ref="D1754">IFNA(_xlfn.XLOOKUP(B1754,Table_Respons_Loket[Count],Table_Respons_Loket[Daftar Nomor Hak]),"")</f>
        <v/>
      </c>
      <c r="E1754" s="17" t="str">
        <f t="array" ref="E1754">IFNA(_xlfn.XLOOKUP(B1754,Table_Respons_Loket[Count],Table_Respons_Loket[Time Stamp]),"")</f>
        <v/>
      </c>
      <c r="F1754" s="18" t="str">
        <f t="array" ref="F1754">IFNA(_xlfn.XLOOKUP(B1754,Table_Respons_Loket[Count],Table_Respons_Loket[Jenis Permohonan]),"")</f>
        <v/>
      </c>
      <c r="G1754" s="24"/>
      <c r="H1754" s="24"/>
      <c r="I1754" s="22" t="str">
        <f t="shared" si="7"/>
        <v/>
      </c>
      <c r="J1754" s="20" t="b">
        <v>0</v>
      </c>
      <c r="K1754" s="13" t="str">
        <f t="shared" si="8"/>
        <v/>
      </c>
    </row>
    <row r="1755" ht="22.5" customHeight="1">
      <c r="B1755" s="13">
        <f t="shared" si="3"/>
        <v>1749</v>
      </c>
      <c r="C1755" s="15" t="str">
        <f t="array" ref="C1755">IFNA(_xlfn.XLOOKUP(B1755,Table_Respons_Loket[Count],Table_Respons_Loket[Nomor Tiket]),"")</f>
        <v/>
      </c>
      <c r="D1755" s="15" t="str">
        <f t="array" ref="D1755">IFNA(_xlfn.XLOOKUP(B1755,Table_Respons_Loket[Count],Table_Respons_Loket[Daftar Nomor Hak]),"")</f>
        <v/>
      </c>
      <c r="E1755" s="17" t="str">
        <f t="array" ref="E1755">IFNA(_xlfn.XLOOKUP(B1755,Table_Respons_Loket[Count],Table_Respons_Loket[Time Stamp]),"")</f>
        <v/>
      </c>
      <c r="F1755" s="18" t="str">
        <f t="array" ref="F1755">IFNA(_xlfn.XLOOKUP(B1755,Table_Respons_Loket[Count],Table_Respons_Loket[Jenis Permohonan]),"")</f>
        <v/>
      </c>
      <c r="G1755" s="24"/>
      <c r="H1755" s="24"/>
      <c r="I1755" s="22" t="str">
        <f t="shared" si="7"/>
        <v/>
      </c>
      <c r="J1755" s="20" t="b">
        <v>0</v>
      </c>
      <c r="K1755" s="13" t="str">
        <f t="shared" si="8"/>
        <v/>
      </c>
    </row>
    <row r="1756" ht="22.5" customHeight="1">
      <c r="B1756" s="13">
        <f t="shared" si="3"/>
        <v>1750</v>
      </c>
      <c r="C1756" s="15" t="str">
        <f t="array" ref="C1756">IFNA(_xlfn.XLOOKUP(B1756,Table_Respons_Loket[Count],Table_Respons_Loket[Nomor Tiket]),"")</f>
        <v/>
      </c>
      <c r="D1756" s="15" t="str">
        <f t="array" ref="D1756">IFNA(_xlfn.XLOOKUP(B1756,Table_Respons_Loket[Count],Table_Respons_Loket[Daftar Nomor Hak]),"")</f>
        <v/>
      </c>
      <c r="E1756" s="17" t="str">
        <f t="array" ref="E1756">IFNA(_xlfn.XLOOKUP(B1756,Table_Respons_Loket[Count],Table_Respons_Loket[Time Stamp]),"")</f>
        <v/>
      </c>
      <c r="F1756" s="18" t="str">
        <f t="array" ref="F1756">IFNA(_xlfn.XLOOKUP(B1756,Table_Respons_Loket[Count],Table_Respons_Loket[Jenis Permohonan]),"")</f>
        <v/>
      </c>
      <c r="G1756" s="24"/>
      <c r="H1756" s="24"/>
      <c r="I1756" s="22" t="str">
        <f t="shared" si="7"/>
        <v/>
      </c>
      <c r="J1756" s="20" t="b">
        <v>0</v>
      </c>
      <c r="K1756" s="13" t="str">
        <f t="shared" si="8"/>
        <v/>
      </c>
    </row>
    <row r="1757" ht="22.5" customHeight="1">
      <c r="B1757" s="13">
        <f t="shared" si="3"/>
        <v>1751</v>
      </c>
      <c r="C1757" s="15" t="str">
        <f t="array" ref="C1757">IFNA(_xlfn.XLOOKUP(B1757,Table_Respons_Loket[Count],Table_Respons_Loket[Nomor Tiket]),"")</f>
        <v/>
      </c>
      <c r="D1757" s="15" t="str">
        <f t="array" ref="D1757">IFNA(_xlfn.XLOOKUP(B1757,Table_Respons_Loket[Count],Table_Respons_Loket[Daftar Nomor Hak]),"")</f>
        <v/>
      </c>
      <c r="E1757" s="17" t="str">
        <f t="array" ref="E1757">IFNA(_xlfn.XLOOKUP(B1757,Table_Respons_Loket[Count],Table_Respons_Loket[Time Stamp]),"")</f>
        <v/>
      </c>
      <c r="F1757" s="18" t="str">
        <f t="array" ref="F1757">IFNA(_xlfn.XLOOKUP(B1757,Table_Respons_Loket[Count],Table_Respons_Loket[Jenis Permohonan]),"")</f>
        <v/>
      </c>
      <c r="G1757" s="24"/>
      <c r="H1757" s="24"/>
      <c r="I1757" s="22" t="str">
        <f t="shared" si="7"/>
        <v/>
      </c>
      <c r="J1757" s="20" t="b">
        <v>0</v>
      </c>
      <c r="K1757" s="13" t="str">
        <f t="shared" si="8"/>
        <v/>
      </c>
    </row>
    <row r="1758" ht="22.5" customHeight="1">
      <c r="B1758" s="13">
        <f t="shared" si="3"/>
        <v>1752</v>
      </c>
      <c r="C1758" s="15" t="str">
        <f t="array" ref="C1758">IFNA(_xlfn.XLOOKUP(B1758,Table_Respons_Loket[Count],Table_Respons_Loket[Nomor Tiket]),"")</f>
        <v/>
      </c>
      <c r="D1758" s="15" t="str">
        <f t="array" ref="D1758">IFNA(_xlfn.XLOOKUP(B1758,Table_Respons_Loket[Count],Table_Respons_Loket[Daftar Nomor Hak]),"")</f>
        <v/>
      </c>
      <c r="E1758" s="17" t="str">
        <f t="array" ref="E1758">IFNA(_xlfn.XLOOKUP(B1758,Table_Respons_Loket[Count],Table_Respons_Loket[Time Stamp]),"")</f>
        <v/>
      </c>
      <c r="F1758" s="18" t="str">
        <f t="array" ref="F1758">IFNA(_xlfn.XLOOKUP(B1758,Table_Respons_Loket[Count],Table_Respons_Loket[Jenis Permohonan]),"")</f>
        <v/>
      </c>
      <c r="G1758" s="24"/>
      <c r="H1758" s="24"/>
      <c r="I1758" s="22" t="str">
        <f t="shared" si="7"/>
        <v/>
      </c>
      <c r="J1758" s="20" t="b">
        <v>0</v>
      </c>
      <c r="K1758" s="13" t="str">
        <f t="shared" si="8"/>
        <v/>
      </c>
    </row>
    <row r="1759" ht="22.5" customHeight="1">
      <c r="B1759" s="13">
        <f t="shared" si="3"/>
        <v>1753</v>
      </c>
      <c r="C1759" s="15" t="str">
        <f t="array" ref="C1759">IFNA(_xlfn.XLOOKUP(B1759,Table_Respons_Loket[Count],Table_Respons_Loket[Nomor Tiket]),"")</f>
        <v/>
      </c>
      <c r="D1759" s="15" t="str">
        <f t="array" ref="D1759">IFNA(_xlfn.XLOOKUP(B1759,Table_Respons_Loket[Count],Table_Respons_Loket[Daftar Nomor Hak]),"")</f>
        <v/>
      </c>
      <c r="E1759" s="17" t="str">
        <f t="array" ref="E1759">IFNA(_xlfn.XLOOKUP(B1759,Table_Respons_Loket[Count],Table_Respons_Loket[Time Stamp]),"")</f>
        <v/>
      </c>
      <c r="F1759" s="18" t="str">
        <f t="array" ref="F1759">IFNA(_xlfn.XLOOKUP(B1759,Table_Respons_Loket[Count],Table_Respons_Loket[Jenis Permohonan]),"")</f>
        <v/>
      </c>
      <c r="G1759" s="24"/>
      <c r="H1759" s="24"/>
      <c r="I1759" s="22" t="str">
        <f t="shared" si="7"/>
        <v/>
      </c>
      <c r="J1759" s="20" t="b">
        <v>0</v>
      </c>
      <c r="K1759" s="13" t="str">
        <f t="shared" si="8"/>
        <v/>
      </c>
    </row>
    <row r="1760" ht="22.5" customHeight="1">
      <c r="B1760" s="13">
        <f t="shared" si="3"/>
        <v>1754</v>
      </c>
      <c r="C1760" s="15" t="str">
        <f t="array" ref="C1760">IFNA(_xlfn.XLOOKUP(B1760,Table_Respons_Loket[Count],Table_Respons_Loket[Nomor Tiket]),"")</f>
        <v/>
      </c>
      <c r="D1760" s="15" t="str">
        <f t="array" ref="D1760">IFNA(_xlfn.XLOOKUP(B1760,Table_Respons_Loket[Count],Table_Respons_Loket[Daftar Nomor Hak]),"")</f>
        <v/>
      </c>
      <c r="E1760" s="17" t="str">
        <f t="array" ref="E1760">IFNA(_xlfn.XLOOKUP(B1760,Table_Respons_Loket[Count],Table_Respons_Loket[Time Stamp]),"")</f>
        <v/>
      </c>
      <c r="F1760" s="18" t="str">
        <f t="array" ref="F1760">IFNA(_xlfn.XLOOKUP(B1760,Table_Respons_Loket[Count],Table_Respons_Loket[Jenis Permohonan]),"")</f>
        <v/>
      </c>
      <c r="G1760" s="24"/>
      <c r="H1760" s="24"/>
      <c r="I1760" s="22" t="str">
        <f t="shared" si="7"/>
        <v/>
      </c>
      <c r="J1760" s="20" t="b">
        <v>0</v>
      </c>
      <c r="K1760" s="13" t="str">
        <f t="shared" si="8"/>
        <v/>
      </c>
    </row>
    <row r="1761" ht="22.5" customHeight="1">
      <c r="B1761" s="13">
        <f t="shared" si="3"/>
        <v>1755</v>
      </c>
      <c r="C1761" s="15" t="str">
        <f t="array" ref="C1761">IFNA(_xlfn.XLOOKUP(B1761,Table_Respons_Loket[Count],Table_Respons_Loket[Nomor Tiket]),"")</f>
        <v/>
      </c>
      <c r="D1761" s="15" t="str">
        <f t="array" ref="D1761">IFNA(_xlfn.XLOOKUP(B1761,Table_Respons_Loket[Count],Table_Respons_Loket[Daftar Nomor Hak]),"")</f>
        <v/>
      </c>
      <c r="E1761" s="17" t="str">
        <f t="array" ref="E1761">IFNA(_xlfn.XLOOKUP(B1761,Table_Respons_Loket[Count],Table_Respons_Loket[Time Stamp]),"")</f>
        <v/>
      </c>
      <c r="F1761" s="18" t="str">
        <f t="array" ref="F1761">IFNA(_xlfn.XLOOKUP(B1761,Table_Respons_Loket[Count],Table_Respons_Loket[Jenis Permohonan]),"")</f>
        <v/>
      </c>
      <c r="G1761" s="24"/>
      <c r="H1761" s="24"/>
      <c r="I1761" s="22" t="str">
        <f t="shared" si="7"/>
        <v/>
      </c>
      <c r="J1761" s="20" t="b">
        <v>0</v>
      </c>
      <c r="K1761" s="13" t="str">
        <f t="shared" si="8"/>
        <v/>
      </c>
    </row>
    <row r="1762" ht="22.5" customHeight="1">
      <c r="B1762" s="13">
        <f t="shared" si="3"/>
        <v>1756</v>
      </c>
      <c r="C1762" s="15" t="str">
        <f t="array" ref="C1762">IFNA(_xlfn.XLOOKUP(B1762,Table_Respons_Loket[Count],Table_Respons_Loket[Nomor Tiket]),"")</f>
        <v/>
      </c>
      <c r="D1762" s="15" t="str">
        <f t="array" ref="D1762">IFNA(_xlfn.XLOOKUP(B1762,Table_Respons_Loket[Count],Table_Respons_Loket[Daftar Nomor Hak]),"")</f>
        <v/>
      </c>
      <c r="E1762" s="17" t="str">
        <f t="array" ref="E1762">IFNA(_xlfn.XLOOKUP(B1762,Table_Respons_Loket[Count],Table_Respons_Loket[Time Stamp]),"")</f>
        <v/>
      </c>
      <c r="F1762" s="18" t="str">
        <f t="array" ref="F1762">IFNA(_xlfn.XLOOKUP(B1762,Table_Respons_Loket[Count],Table_Respons_Loket[Jenis Permohonan]),"")</f>
        <v/>
      </c>
      <c r="G1762" s="24"/>
      <c r="H1762" s="24"/>
      <c r="I1762" s="22" t="str">
        <f t="shared" si="7"/>
        <v/>
      </c>
      <c r="J1762" s="20" t="b">
        <v>0</v>
      </c>
      <c r="K1762" s="13" t="str">
        <f t="shared" si="8"/>
        <v/>
      </c>
    </row>
    <row r="1763" ht="22.5" customHeight="1">
      <c r="B1763" s="13">
        <f t="shared" si="3"/>
        <v>1757</v>
      </c>
      <c r="C1763" s="15" t="str">
        <f t="array" ref="C1763">IFNA(_xlfn.XLOOKUP(B1763,Table_Respons_Loket[Count],Table_Respons_Loket[Nomor Tiket]),"")</f>
        <v/>
      </c>
      <c r="D1763" s="15" t="str">
        <f t="array" ref="D1763">IFNA(_xlfn.XLOOKUP(B1763,Table_Respons_Loket[Count],Table_Respons_Loket[Daftar Nomor Hak]),"")</f>
        <v/>
      </c>
      <c r="E1763" s="17" t="str">
        <f t="array" ref="E1763">IFNA(_xlfn.XLOOKUP(B1763,Table_Respons_Loket[Count],Table_Respons_Loket[Time Stamp]),"")</f>
        <v/>
      </c>
      <c r="F1763" s="18" t="str">
        <f t="array" ref="F1763">IFNA(_xlfn.XLOOKUP(B1763,Table_Respons_Loket[Count],Table_Respons_Loket[Jenis Permohonan]),"")</f>
        <v/>
      </c>
      <c r="G1763" s="24"/>
      <c r="H1763" s="24"/>
      <c r="I1763" s="22" t="str">
        <f t="shared" si="7"/>
        <v/>
      </c>
      <c r="J1763" s="20" t="b">
        <v>0</v>
      </c>
      <c r="K1763" s="13" t="str">
        <f t="shared" si="8"/>
        <v/>
      </c>
    </row>
    <row r="1764" ht="22.5" customHeight="1">
      <c r="B1764" s="13">
        <f t="shared" si="3"/>
        <v>1758</v>
      </c>
      <c r="C1764" s="15" t="str">
        <f t="array" ref="C1764">IFNA(_xlfn.XLOOKUP(B1764,Table_Respons_Loket[Count],Table_Respons_Loket[Nomor Tiket]),"")</f>
        <v/>
      </c>
      <c r="D1764" s="15" t="str">
        <f t="array" ref="D1764">IFNA(_xlfn.XLOOKUP(B1764,Table_Respons_Loket[Count],Table_Respons_Loket[Daftar Nomor Hak]),"")</f>
        <v/>
      </c>
      <c r="E1764" s="17" t="str">
        <f t="array" ref="E1764">IFNA(_xlfn.XLOOKUP(B1764,Table_Respons_Loket[Count],Table_Respons_Loket[Time Stamp]),"")</f>
        <v/>
      </c>
      <c r="F1764" s="18" t="str">
        <f t="array" ref="F1764">IFNA(_xlfn.XLOOKUP(B1764,Table_Respons_Loket[Count],Table_Respons_Loket[Jenis Permohonan]),"")</f>
        <v/>
      </c>
      <c r="G1764" s="24"/>
      <c r="H1764" s="24"/>
      <c r="I1764" s="22" t="str">
        <f t="shared" si="7"/>
        <v/>
      </c>
      <c r="J1764" s="20" t="b">
        <v>0</v>
      </c>
      <c r="K1764" s="13" t="str">
        <f t="shared" si="8"/>
        <v/>
      </c>
    </row>
    <row r="1765" ht="22.5" customHeight="1">
      <c r="B1765" s="13">
        <f t="shared" si="3"/>
        <v>1759</v>
      </c>
      <c r="C1765" s="15" t="str">
        <f t="array" ref="C1765">IFNA(_xlfn.XLOOKUP(B1765,Table_Respons_Loket[Count],Table_Respons_Loket[Nomor Tiket]),"")</f>
        <v/>
      </c>
      <c r="D1765" s="15" t="str">
        <f t="array" ref="D1765">IFNA(_xlfn.XLOOKUP(B1765,Table_Respons_Loket[Count],Table_Respons_Loket[Daftar Nomor Hak]),"")</f>
        <v/>
      </c>
      <c r="E1765" s="17" t="str">
        <f t="array" ref="E1765">IFNA(_xlfn.XLOOKUP(B1765,Table_Respons_Loket[Count],Table_Respons_Loket[Time Stamp]),"")</f>
        <v/>
      </c>
      <c r="F1765" s="18" t="str">
        <f t="array" ref="F1765">IFNA(_xlfn.XLOOKUP(B1765,Table_Respons_Loket[Count],Table_Respons_Loket[Jenis Permohonan]),"")</f>
        <v/>
      </c>
      <c r="G1765" s="24"/>
      <c r="H1765" s="24"/>
      <c r="I1765" s="22" t="str">
        <f t="shared" si="7"/>
        <v/>
      </c>
      <c r="J1765" s="20" t="b">
        <v>0</v>
      </c>
      <c r="K1765" s="13" t="str">
        <f t="shared" si="8"/>
        <v/>
      </c>
    </row>
    <row r="1766" ht="22.5" customHeight="1">
      <c r="B1766" s="13">
        <f t="shared" si="3"/>
        <v>1760</v>
      </c>
      <c r="C1766" s="15" t="str">
        <f t="array" ref="C1766">IFNA(_xlfn.XLOOKUP(B1766,Table_Respons_Loket[Count],Table_Respons_Loket[Nomor Tiket]),"")</f>
        <v/>
      </c>
      <c r="D1766" s="15" t="str">
        <f t="array" ref="D1766">IFNA(_xlfn.XLOOKUP(B1766,Table_Respons_Loket[Count],Table_Respons_Loket[Daftar Nomor Hak]),"")</f>
        <v/>
      </c>
      <c r="E1766" s="17" t="str">
        <f t="array" ref="E1766">IFNA(_xlfn.XLOOKUP(B1766,Table_Respons_Loket[Count],Table_Respons_Loket[Time Stamp]),"")</f>
        <v/>
      </c>
      <c r="F1766" s="18" t="str">
        <f t="array" ref="F1766">IFNA(_xlfn.XLOOKUP(B1766,Table_Respons_Loket[Count],Table_Respons_Loket[Jenis Permohonan]),"")</f>
        <v/>
      </c>
      <c r="G1766" s="24"/>
      <c r="H1766" s="24"/>
      <c r="I1766" s="22" t="str">
        <f t="shared" si="7"/>
        <v/>
      </c>
      <c r="J1766" s="20" t="b">
        <v>0</v>
      </c>
      <c r="K1766" s="13" t="str">
        <f t="shared" si="8"/>
        <v/>
      </c>
    </row>
    <row r="1767" ht="22.5" customHeight="1">
      <c r="B1767" s="13">
        <f t="shared" si="3"/>
        <v>1761</v>
      </c>
      <c r="C1767" s="15" t="str">
        <f t="array" ref="C1767">IFNA(_xlfn.XLOOKUP(B1767,Table_Respons_Loket[Count],Table_Respons_Loket[Nomor Tiket]),"")</f>
        <v/>
      </c>
      <c r="D1767" s="15" t="str">
        <f t="array" ref="D1767">IFNA(_xlfn.XLOOKUP(B1767,Table_Respons_Loket[Count],Table_Respons_Loket[Daftar Nomor Hak]),"")</f>
        <v/>
      </c>
      <c r="E1767" s="17" t="str">
        <f t="array" ref="E1767">IFNA(_xlfn.XLOOKUP(B1767,Table_Respons_Loket[Count],Table_Respons_Loket[Time Stamp]),"")</f>
        <v/>
      </c>
      <c r="F1767" s="18" t="str">
        <f t="array" ref="F1767">IFNA(_xlfn.XLOOKUP(B1767,Table_Respons_Loket[Count],Table_Respons_Loket[Jenis Permohonan]),"")</f>
        <v/>
      </c>
      <c r="G1767" s="24"/>
      <c r="H1767" s="24"/>
      <c r="I1767" s="22" t="str">
        <f t="shared" si="7"/>
        <v/>
      </c>
      <c r="J1767" s="20" t="b">
        <v>0</v>
      </c>
      <c r="K1767" s="13" t="str">
        <f t="shared" si="8"/>
        <v/>
      </c>
    </row>
    <row r="1768" ht="22.5" customHeight="1">
      <c r="B1768" s="13">
        <f t="shared" si="3"/>
        <v>1762</v>
      </c>
      <c r="C1768" s="15" t="str">
        <f t="array" ref="C1768">IFNA(_xlfn.XLOOKUP(B1768,Table_Respons_Loket[Count],Table_Respons_Loket[Nomor Tiket]),"")</f>
        <v/>
      </c>
      <c r="D1768" s="15" t="str">
        <f t="array" ref="D1768">IFNA(_xlfn.XLOOKUP(B1768,Table_Respons_Loket[Count],Table_Respons_Loket[Daftar Nomor Hak]),"")</f>
        <v/>
      </c>
      <c r="E1768" s="17" t="str">
        <f t="array" ref="E1768">IFNA(_xlfn.XLOOKUP(B1768,Table_Respons_Loket[Count],Table_Respons_Loket[Time Stamp]),"")</f>
        <v/>
      </c>
      <c r="F1768" s="18" t="str">
        <f t="array" ref="F1768">IFNA(_xlfn.XLOOKUP(B1768,Table_Respons_Loket[Count],Table_Respons_Loket[Jenis Permohonan]),"")</f>
        <v/>
      </c>
      <c r="G1768" s="24"/>
      <c r="H1768" s="24"/>
      <c r="I1768" s="22" t="str">
        <f t="shared" si="7"/>
        <v/>
      </c>
      <c r="J1768" s="20" t="b">
        <v>0</v>
      </c>
      <c r="K1768" s="13" t="str">
        <f t="shared" si="8"/>
        <v/>
      </c>
    </row>
    <row r="1769" ht="22.5" customHeight="1">
      <c r="B1769" s="13">
        <f t="shared" si="3"/>
        <v>1763</v>
      </c>
      <c r="C1769" s="15" t="str">
        <f t="array" ref="C1769">IFNA(_xlfn.XLOOKUP(B1769,Table_Respons_Loket[Count],Table_Respons_Loket[Nomor Tiket]),"")</f>
        <v/>
      </c>
      <c r="D1769" s="15" t="str">
        <f t="array" ref="D1769">IFNA(_xlfn.XLOOKUP(B1769,Table_Respons_Loket[Count],Table_Respons_Loket[Daftar Nomor Hak]),"")</f>
        <v/>
      </c>
      <c r="E1769" s="17" t="str">
        <f t="array" ref="E1769">IFNA(_xlfn.XLOOKUP(B1769,Table_Respons_Loket[Count],Table_Respons_Loket[Time Stamp]),"")</f>
        <v/>
      </c>
      <c r="F1769" s="18" t="str">
        <f t="array" ref="F1769">IFNA(_xlfn.XLOOKUP(B1769,Table_Respons_Loket[Count],Table_Respons_Loket[Jenis Permohonan]),"")</f>
        <v/>
      </c>
      <c r="G1769" s="24"/>
      <c r="H1769" s="24"/>
      <c r="I1769" s="22" t="str">
        <f t="shared" si="7"/>
        <v/>
      </c>
      <c r="J1769" s="20" t="b">
        <v>0</v>
      </c>
      <c r="K1769" s="13" t="str">
        <f t="shared" si="8"/>
        <v/>
      </c>
    </row>
    <row r="1770" ht="22.5" customHeight="1">
      <c r="B1770" s="13">
        <f t="shared" si="3"/>
        <v>1764</v>
      </c>
      <c r="C1770" s="15" t="str">
        <f t="array" ref="C1770">IFNA(_xlfn.XLOOKUP(B1770,Table_Respons_Loket[Count],Table_Respons_Loket[Nomor Tiket]),"")</f>
        <v/>
      </c>
      <c r="D1770" s="15" t="str">
        <f t="array" ref="D1770">IFNA(_xlfn.XLOOKUP(B1770,Table_Respons_Loket[Count],Table_Respons_Loket[Daftar Nomor Hak]),"")</f>
        <v/>
      </c>
      <c r="E1770" s="17" t="str">
        <f t="array" ref="E1770">IFNA(_xlfn.XLOOKUP(B1770,Table_Respons_Loket[Count],Table_Respons_Loket[Time Stamp]),"")</f>
        <v/>
      </c>
      <c r="F1770" s="18" t="str">
        <f t="array" ref="F1770">IFNA(_xlfn.XLOOKUP(B1770,Table_Respons_Loket[Count],Table_Respons_Loket[Jenis Permohonan]),"")</f>
        <v/>
      </c>
      <c r="G1770" s="24"/>
      <c r="H1770" s="24"/>
      <c r="I1770" s="22" t="str">
        <f t="shared" si="7"/>
        <v/>
      </c>
      <c r="J1770" s="20" t="b">
        <v>0</v>
      </c>
      <c r="K1770" s="13" t="str">
        <f t="shared" si="8"/>
        <v/>
      </c>
    </row>
    <row r="1771" ht="22.5" customHeight="1">
      <c r="B1771" s="13">
        <f t="shared" si="3"/>
        <v>1765</v>
      </c>
      <c r="C1771" s="15" t="str">
        <f t="array" ref="C1771">IFNA(_xlfn.XLOOKUP(B1771,Table_Respons_Loket[Count],Table_Respons_Loket[Nomor Tiket]),"")</f>
        <v/>
      </c>
      <c r="D1771" s="15" t="str">
        <f t="array" ref="D1771">IFNA(_xlfn.XLOOKUP(B1771,Table_Respons_Loket[Count],Table_Respons_Loket[Daftar Nomor Hak]),"")</f>
        <v/>
      </c>
      <c r="E1771" s="17" t="str">
        <f t="array" ref="E1771">IFNA(_xlfn.XLOOKUP(B1771,Table_Respons_Loket[Count],Table_Respons_Loket[Time Stamp]),"")</f>
        <v/>
      </c>
      <c r="F1771" s="18" t="str">
        <f t="array" ref="F1771">IFNA(_xlfn.XLOOKUP(B1771,Table_Respons_Loket[Count],Table_Respons_Loket[Jenis Permohonan]),"")</f>
        <v/>
      </c>
      <c r="G1771" s="24"/>
      <c r="H1771" s="24"/>
      <c r="I1771" s="22" t="str">
        <f t="shared" si="7"/>
        <v/>
      </c>
      <c r="J1771" s="20" t="b">
        <v>0</v>
      </c>
      <c r="K1771" s="13" t="str">
        <f t="shared" si="8"/>
        <v/>
      </c>
    </row>
    <row r="1772" ht="22.5" customHeight="1">
      <c r="B1772" s="13">
        <f t="shared" si="3"/>
        <v>1766</v>
      </c>
      <c r="C1772" s="15" t="str">
        <f t="array" ref="C1772">IFNA(_xlfn.XLOOKUP(B1772,Table_Respons_Loket[Count],Table_Respons_Loket[Nomor Tiket]),"")</f>
        <v/>
      </c>
      <c r="D1772" s="15" t="str">
        <f t="array" ref="D1772">IFNA(_xlfn.XLOOKUP(B1772,Table_Respons_Loket[Count],Table_Respons_Loket[Daftar Nomor Hak]),"")</f>
        <v/>
      </c>
      <c r="E1772" s="17" t="str">
        <f t="array" ref="E1772">IFNA(_xlfn.XLOOKUP(B1772,Table_Respons_Loket[Count],Table_Respons_Loket[Time Stamp]),"")</f>
        <v/>
      </c>
      <c r="F1772" s="18" t="str">
        <f t="array" ref="F1772">IFNA(_xlfn.XLOOKUP(B1772,Table_Respons_Loket[Count],Table_Respons_Loket[Jenis Permohonan]),"")</f>
        <v/>
      </c>
      <c r="G1772" s="24"/>
      <c r="H1772" s="24"/>
      <c r="I1772" s="22" t="str">
        <f t="shared" si="7"/>
        <v/>
      </c>
      <c r="J1772" s="20" t="b">
        <v>0</v>
      </c>
      <c r="K1772" s="13" t="str">
        <f t="shared" si="8"/>
        <v/>
      </c>
    </row>
    <row r="1773" ht="22.5" customHeight="1">
      <c r="B1773" s="13">
        <f t="shared" si="3"/>
        <v>1767</v>
      </c>
      <c r="C1773" s="15" t="str">
        <f t="array" ref="C1773">IFNA(_xlfn.XLOOKUP(B1773,Table_Respons_Loket[Count],Table_Respons_Loket[Nomor Tiket]),"")</f>
        <v/>
      </c>
      <c r="D1773" s="15" t="str">
        <f t="array" ref="D1773">IFNA(_xlfn.XLOOKUP(B1773,Table_Respons_Loket[Count],Table_Respons_Loket[Daftar Nomor Hak]),"")</f>
        <v/>
      </c>
      <c r="E1773" s="17" t="str">
        <f t="array" ref="E1773">IFNA(_xlfn.XLOOKUP(B1773,Table_Respons_Loket[Count],Table_Respons_Loket[Time Stamp]),"")</f>
        <v/>
      </c>
      <c r="F1773" s="18" t="str">
        <f t="array" ref="F1773">IFNA(_xlfn.XLOOKUP(B1773,Table_Respons_Loket[Count],Table_Respons_Loket[Jenis Permohonan]),"")</f>
        <v/>
      </c>
      <c r="G1773" s="24"/>
      <c r="H1773" s="24"/>
      <c r="I1773" s="22" t="str">
        <f t="shared" si="7"/>
        <v/>
      </c>
      <c r="J1773" s="20" t="b">
        <v>0</v>
      </c>
      <c r="K1773" s="13" t="str">
        <f t="shared" si="8"/>
        <v/>
      </c>
    </row>
    <row r="1774" ht="22.5" customHeight="1">
      <c r="B1774" s="13">
        <f t="shared" si="3"/>
        <v>1768</v>
      </c>
      <c r="C1774" s="15" t="str">
        <f t="array" ref="C1774">IFNA(_xlfn.XLOOKUP(B1774,Table_Respons_Loket[Count],Table_Respons_Loket[Nomor Tiket]),"")</f>
        <v/>
      </c>
      <c r="D1774" s="15" t="str">
        <f t="array" ref="D1774">IFNA(_xlfn.XLOOKUP(B1774,Table_Respons_Loket[Count],Table_Respons_Loket[Daftar Nomor Hak]),"")</f>
        <v/>
      </c>
      <c r="E1774" s="17" t="str">
        <f t="array" ref="E1774">IFNA(_xlfn.XLOOKUP(B1774,Table_Respons_Loket[Count],Table_Respons_Loket[Time Stamp]),"")</f>
        <v/>
      </c>
      <c r="F1774" s="18" t="str">
        <f t="array" ref="F1774">IFNA(_xlfn.XLOOKUP(B1774,Table_Respons_Loket[Count],Table_Respons_Loket[Jenis Permohonan]),"")</f>
        <v/>
      </c>
      <c r="G1774" s="24"/>
      <c r="H1774" s="24"/>
      <c r="I1774" s="22" t="str">
        <f t="shared" si="7"/>
        <v/>
      </c>
      <c r="J1774" s="20" t="b">
        <v>0</v>
      </c>
      <c r="K1774" s="13" t="str">
        <f t="shared" si="8"/>
        <v/>
      </c>
    </row>
    <row r="1775" ht="22.5" customHeight="1">
      <c r="B1775" s="13">
        <f t="shared" si="3"/>
        <v>1769</v>
      </c>
      <c r="C1775" s="15" t="str">
        <f t="array" ref="C1775">IFNA(_xlfn.XLOOKUP(B1775,Table_Respons_Loket[Count],Table_Respons_Loket[Nomor Tiket]),"")</f>
        <v/>
      </c>
      <c r="D1775" s="15" t="str">
        <f t="array" ref="D1775">IFNA(_xlfn.XLOOKUP(B1775,Table_Respons_Loket[Count],Table_Respons_Loket[Daftar Nomor Hak]),"")</f>
        <v/>
      </c>
      <c r="E1775" s="17" t="str">
        <f t="array" ref="E1775">IFNA(_xlfn.XLOOKUP(B1775,Table_Respons_Loket[Count],Table_Respons_Loket[Time Stamp]),"")</f>
        <v/>
      </c>
      <c r="F1775" s="18" t="str">
        <f t="array" ref="F1775">IFNA(_xlfn.XLOOKUP(B1775,Table_Respons_Loket[Count],Table_Respons_Loket[Jenis Permohonan]),"")</f>
        <v/>
      </c>
      <c r="G1775" s="24"/>
      <c r="H1775" s="24"/>
      <c r="I1775" s="22" t="str">
        <f t="shared" si="7"/>
        <v/>
      </c>
      <c r="J1775" s="20" t="b">
        <v>0</v>
      </c>
      <c r="K1775" s="13" t="str">
        <f t="shared" si="8"/>
        <v/>
      </c>
    </row>
    <row r="1776" ht="22.5" customHeight="1">
      <c r="B1776" s="13">
        <f t="shared" si="3"/>
        <v>1770</v>
      </c>
      <c r="C1776" s="15" t="str">
        <f t="array" ref="C1776">IFNA(_xlfn.XLOOKUP(B1776,Table_Respons_Loket[Count],Table_Respons_Loket[Nomor Tiket]),"")</f>
        <v/>
      </c>
      <c r="D1776" s="15" t="str">
        <f t="array" ref="D1776">IFNA(_xlfn.XLOOKUP(B1776,Table_Respons_Loket[Count],Table_Respons_Loket[Daftar Nomor Hak]),"")</f>
        <v/>
      </c>
      <c r="E1776" s="17" t="str">
        <f t="array" ref="E1776">IFNA(_xlfn.XLOOKUP(B1776,Table_Respons_Loket[Count],Table_Respons_Loket[Time Stamp]),"")</f>
        <v/>
      </c>
      <c r="F1776" s="18" t="str">
        <f t="array" ref="F1776">IFNA(_xlfn.XLOOKUP(B1776,Table_Respons_Loket[Count],Table_Respons_Loket[Jenis Permohonan]),"")</f>
        <v/>
      </c>
      <c r="G1776" s="24"/>
      <c r="H1776" s="24"/>
      <c r="I1776" s="22" t="str">
        <f t="shared" si="7"/>
        <v/>
      </c>
      <c r="J1776" s="20" t="b">
        <v>0</v>
      </c>
      <c r="K1776" s="13" t="str">
        <f t="shared" si="8"/>
        <v/>
      </c>
    </row>
    <row r="1777" ht="22.5" customHeight="1">
      <c r="B1777" s="13">
        <f t="shared" si="3"/>
        <v>1771</v>
      </c>
      <c r="C1777" s="15" t="str">
        <f t="array" ref="C1777">IFNA(_xlfn.XLOOKUP(B1777,Table_Respons_Loket[Count],Table_Respons_Loket[Nomor Tiket]),"")</f>
        <v/>
      </c>
      <c r="D1777" s="15" t="str">
        <f t="array" ref="D1777">IFNA(_xlfn.XLOOKUP(B1777,Table_Respons_Loket[Count],Table_Respons_Loket[Daftar Nomor Hak]),"")</f>
        <v/>
      </c>
      <c r="E1777" s="17" t="str">
        <f t="array" ref="E1777">IFNA(_xlfn.XLOOKUP(B1777,Table_Respons_Loket[Count],Table_Respons_Loket[Time Stamp]),"")</f>
        <v/>
      </c>
      <c r="F1777" s="18" t="str">
        <f t="array" ref="F1777">IFNA(_xlfn.XLOOKUP(B1777,Table_Respons_Loket[Count],Table_Respons_Loket[Jenis Permohonan]),"")</f>
        <v/>
      </c>
      <c r="G1777" s="24"/>
      <c r="H1777" s="24"/>
      <c r="I1777" s="22" t="str">
        <f t="shared" si="7"/>
        <v/>
      </c>
      <c r="J1777" s="20" t="b">
        <v>0</v>
      </c>
      <c r="K1777" s="13" t="str">
        <f t="shared" si="8"/>
        <v/>
      </c>
    </row>
    <row r="1778" ht="22.5" customHeight="1">
      <c r="B1778" s="13">
        <f t="shared" si="3"/>
        <v>1772</v>
      </c>
      <c r="C1778" s="15" t="str">
        <f t="array" ref="C1778">IFNA(_xlfn.XLOOKUP(B1778,Table_Respons_Loket[Count],Table_Respons_Loket[Nomor Tiket]),"")</f>
        <v/>
      </c>
      <c r="D1778" s="15" t="str">
        <f t="array" ref="D1778">IFNA(_xlfn.XLOOKUP(B1778,Table_Respons_Loket[Count],Table_Respons_Loket[Daftar Nomor Hak]),"")</f>
        <v/>
      </c>
      <c r="E1778" s="17" t="str">
        <f t="array" ref="E1778">IFNA(_xlfn.XLOOKUP(B1778,Table_Respons_Loket[Count],Table_Respons_Loket[Time Stamp]),"")</f>
        <v/>
      </c>
      <c r="F1778" s="18" t="str">
        <f t="array" ref="F1778">IFNA(_xlfn.XLOOKUP(B1778,Table_Respons_Loket[Count],Table_Respons_Loket[Jenis Permohonan]),"")</f>
        <v/>
      </c>
      <c r="G1778" s="24"/>
      <c r="H1778" s="24"/>
      <c r="I1778" s="22" t="str">
        <f t="shared" si="7"/>
        <v/>
      </c>
      <c r="J1778" s="20" t="b">
        <v>0</v>
      </c>
      <c r="K1778" s="13" t="str">
        <f t="shared" si="8"/>
        <v/>
      </c>
    </row>
    <row r="1779" ht="22.5" customHeight="1">
      <c r="B1779" s="13">
        <f t="shared" si="3"/>
        <v>1773</v>
      </c>
      <c r="C1779" s="15" t="str">
        <f t="array" ref="C1779">IFNA(_xlfn.XLOOKUP(B1779,Table_Respons_Loket[Count],Table_Respons_Loket[Nomor Tiket]),"")</f>
        <v/>
      </c>
      <c r="D1779" s="15" t="str">
        <f t="array" ref="D1779">IFNA(_xlfn.XLOOKUP(B1779,Table_Respons_Loket[Count],Table_Respons_Loket[Daftar Nomor Hak]),"")</f>
        <v/>
      </c>
      <c r="E1779" s="17" t="str">
        <f t="array" ref="E1779">IFNA(_xlfn.XLOOKUP(B1779,Table_Respons_Loket[Count],Table_Respons_Loket[Time Stamp]),"")</f>
        <v/>
      </c>
      <c r="F1779" s="18" t="str">
        <f t="array" ref="F1779">IFNA(_xlfn.XLOOKUP(B1779,Table_Respons_Loket[Count],Table_Respons_Loket[Jenis Permohonan]),"")</f>
        <v/>
      </c>
      <c r="G1779" s="24"/>
      <c r="H1779" s="24"/>
      <c r="I1779" s="22" t="str">
        <f t="shared" si="7"/>
        <v/>
      </c>
      <c r="J1779" s="20" t="b">
        <v>0</v>
      </c>
      <c r="K1779" s="13" t="str">
        <f t="shared" si="8"/>
        <v/>
      </c>
    </row>
    <row r="1780" ht="22.5" customHeight="1">
      <c r="B1780" s="13">
        <f t="shared" si="3"/>
        <v>1774</v>
      </c>
      <c r="C1780" s="15" t="str">
        <f t="array" ref="C1780">IFNA(_xlfn.XLOOKUP(B1780,Table_Respons_Loket[Count],Table_Respons_Loket[Nomor Tiket]),"")</f>
        <v/>
      </c>
      <c r="D1780" s="15" t="str">
        <f t="array" ref="D1780">IFNA(_xlfn.XLOOKUP(B1780,Table_Respons_Loket[Count],Table_Respons_Loket[Daftar Nomor Hak]),"")</f>
        <v/>
      </c>
      <c r="E1780" s="17" t="str">
        <f t="array" ref="E1780">IFNA(_xlfn.XLOOKUP(B1780,Table_Respons_Loket[Count],Table_Respons_Loket[Time Stamp]),"")</f>
        <v/>
      </c>
      <c r="F1780" s="18" t="str">
        <f t="array" ref="F1780">IFNA(_xlfn.XLOOKUP(B1780,Table_Respons_Loket[Count],Table_Respons_Loket[Jenis Permohonan]),"")</f>
        <v/>
      </c>
      <c r="G1780" s="24"/>
      <c r="H1780" s="24"/>
      <c r="I1780" s="22" t="str">
        <f t="shared" si="7"/>
        <v/>
      </c>
      <c r="J1780" s="20" t="b">
        <v>0</v>
      </c>
      <c r="K1780" s="13" t="str">
        <f t="shared" si="8"/>
        <v/>
      </c>
    </row>
    <row r="1781" ht="22.5" customHeight="1">
      <c r="B1781" s="13">
        <f t="shared" si="3"/>
        <v>1775</v>
      </c>
      <c r="C1781" s="15" t="str">
        <f t="array" ref="C1781">IFNA(_xlfn.XLOOKUP(B1781,Table_Respons_Loket[Count],Table_Respons_Loket[Nomor Tiket]),"")</f>
        <v/>
      </c>
      <c r="D1781" s="15" t="str">
        <f t="array" ref="D1781">IFNA(_xlfn.XLOOKUP(B1781,Table_Respons_Loket[Count],Table_Respons_Loket[Daftar Nomor Hak]),"")</f>
        <v/>
      </c>
      <c r="E1781" s="17" t="str">
        <f t="array" ref="E1781">IFNA(_xlfn.XLOOKUP(B1781,Table_Respons_Loket[Count],Table_Respons_Loket[Time Stamp]),"")</f>
        <v/>
      </c>
      <c r="F1781" s="18" t="str">
        <f t="array" ref="F1781">IFNA(_xlfn.XLOOKUP(B1781,Table_Respons_Loket[Count],Table_Respons_Loket[Jenis Permohonan]),"")</f>
        <v/>
      </c>
      <c r="G1781" s="24"/>
      <c r="H1781" s="24"/>
      <c r="I1781" s="22" t="str">
        <f t="shared" si="7"/>
        <v/>
      </c>
      <c r="J1781" s="20" t="b">
        <v>0</v>
      </c>
      <c r="K1781" s="13" t="str">
        <f t="shared" si="8"/>
        <v/>
      </c>
    </row>
    <row r="1782" ht="22.5" customHeight="1">
      <c r="B1782" s="13">
        <f t="shared" si="3"/>
        <v>1776</v>
      </c>
      <c r="C1782" s="15" t="str">
        <f t="array" ref="C1782">IFNA(_xlfn.XLOOKUP(B1782,Table_Respons_Loket[Count],Table_Respons_Loket[Nomor Tiket]),"")</f>
        <v/>
      </c>
      <c r="D1782" s="15" t="str">
        <f t="array" ref="D1782">IFNA(_xlfn.XLOOKUP(B1782,Table_Respons_Loket[Count],Table_Respons_Loket[Daftar Nomor Hak]),"")</f>
        <v/>
      </c>
      <c r="E1782" s="17" t="str">
        <f t="array" ref="E1782">IFNA(_xlfn.XLOOKUP(B1782,Table_Respons_Loket[Count],Table_Respons_Loket[Time Stamp]),"")</f>
        <v/>
      </c>
      <c r="F1782" s="18" t="str">
        <f t="array" ref="F1782">IFNA(_xlfn.XLOOKUP(B1782,Table_Respons_Loket[Count],Table_Respons_Loket[Jenis Permohonan]),"")</f>
        <v/>
      </c>
      <c r="G1782" s="24"/>
      <c r="H1782" s="24"/>
      <c r="I1782" s="22" t="str">
        <f t="shared" si="7"/>
        <v/>
      </c>
      <c r="J1782" s="20" t="b">
        <v>0</v>
      </c>
      <c r="K1782" s="13" t="str">
        <f t="shared" si="8"/>
        <v/>
      </c>
    </row>
    <row r="1783" ht="22.5" customHeight="1">
      <c r="B1783" s="13">
        <f t="shared" si="3"/>
        <v>1777</v>
      </c>
      <c r="C1783" s="15" t="str">
        <f t="array" ref="C1783">IFNA(_xlfn.XLOOKUP(B1783,Table_Respons_Loket[Count],Table_Respons_Loket[Nomor Tiket]),"")</f>
        <v/>
      </c>
      <c r="D1783" s="15" t="str">
        <f t="array" ref="D1783">IFNA(_xlfn.XLOOKUP(B1783,Table_Respons_Loket[Count],Table_Respons_Loket[Daftar Nomor Hak]),"")</f>
        <v/>
      </c>
      <c r="E1783" s="17" t="str">
        <f t="array" ref="E1783">IFNA(_xlfn.XLOOKUP(B1783,Table_Respons_Loket[Count],Table_Respons_Loket[Time Stamp]),"")</f>
        <v/>
      </c>
      <c r="F1783" s="18" t="str">
        <f t="array" ref="F1783">IFNA(_xlfn.XLOOKUP(B1783,Table_Respons_Loket[Count],Table_Respons_Loket[Jenis Permohonan]),"")</f>
        <v/>
      </c>
      <c r="G1783" s="24"/>
      <c r="H1783" s="24"/>
      <c r="I1783" s="22" t="str">
        <f t="shared" si="7"/>
        <v/>
      </c>
      <c r="J1783" s="20" t="b">
        <v>0</v>
      </c>
      <c r="K1783" s="13" t="str">
        <f t="shared" si="8"/>
        <v/>
      </c>
    </row>
    <row r="1784" ht="22.5" customHeight="1">
      <c r="B1784" s="13">
        <f t="shared" si="3"/>
        <v>1778</v>
      </c>
      <c r="C1784" s="15" t="str">
        <f t="array" ref="C1784">IFNA(_xlfn.XLOOKUP(B1784,Table_Respons_Loket[Count],Table_Respons_Loket[Nomor Tiket]),"")</f>
        <v/>
      </c>
      <c r="D1784" s="15" t="str">
        <f t="array" ref="D1784">IFNA(_xlfn.XLOOKUP(B1784,Table_Respons_Loket[Count],Table_Respons_Loket[Daftar Nomor Hak]),"")</f>
        <v/>
      </c>
      <c r="E1784" s="17" t="str">
        <f t="array" ref="E1784">IFNA(_xlfn.XLOOKUP(B1784,Table_Respons_Loket[Count],Table_Respons_Loket[Time Stamp]),"")</f>
        <v/>
      </c>
      <c r="F1784" s="18" t="str">
        <f t="array" ref="F1784">IFNA(_xlfn.XLOOKUP(B1784,Table_Respons_Loket[Count],Table_Respons_Loket[Jenis Permohonan]),"")</f>
        <v/>
      </c>
      <c r="G1784" s="24"/>
      <c r="H1784" s="24"/>
      <c r="I1784" s="22" t="str">
        <f t="shared" si="7"/>
        <v/>
      </c>
      <c r="J1784" s="20" t="b">
        <v>0</v>
      </c>
      <c r="K1784" s="13" t="str">
        <f t="shared" si="8"/>
        <v/>
      </c>
    </row>
    <row r="1785" ht="22.5" customHeight="1">
      <c r="B1785" s="13">
        <f t="shared" si="3"/>
        <v>1779</v>
      </c>
      <c r="C1785" s="15" t="str">
        <f t="array" ref="C1785">IFNA(_xlfn.XLOOKUP(B1785,Table_Respons_Loket[Count],Table_Respons_Loket[Nomor Tiket]),"")</f>
        <v/>
      </c>
      <c r="D1785" s="15" t="str">
        <f t="array" ref="D1785">IFNA(_xlfn.XLOOKUP(B1785,Table_Respons_Loket[Count],Table_Respons_Loket[Daftar Nomor Hak]),"")</f>
        <v/>
      </c>
      <c r="E1785" s="17" t="str">
        <f t="array" ref="E1785">IFNA(_xlfn.XLOOKUP(B1785,Table_Respons_Loket[Count],Table_Respons_Loket[Time Stamp]),"")</f>
        <v/>
      </c>
      <c r="F1785" s="18" t="str">
        <f t="array" ref="F1785">IFNA(_xlfn.XLOOKUP(B1785,Table_Respons_Loket[Count],Table_Respons_Loket[Jenis Permohonan]),"")</f>
        <v/>
      </c>
      <c r="G1785" s="24"/>
      <c r="H1785" s="24"/>
      <c r="I1785" s="22" t="str">
        <f t="shared" si="7"/>
        <v/>
      </c>
      <c r="J1785" s="20" t="b">
        <v>0</v>
      </c>
      <c r="K1785" s="13" t="str">
        <f t="shared" si="8"/>
        <v/>
      </c>
    </row>
    <row r="1786" ht="22.5" customHeight="1">
      <c r="B1786" s="13">
        <f t="shared" si="3"/>
        <v>1780</v>
      </c>
      <c r="C1786" s="15" t="str">
        <f t="array" ref="C1786">IFNA(_xlfn.XLOOKUP(B1786,Table_Respons_Loket[Count],Table_Respons_Loket[Nomor Tiket]),"")</f>
        <v/>
      </c>
      <c r="D1786" s="15" t="str">
        <f t="array" ref="D1786">IFNA(_xlfn.XLOOKUP(B1786,Table_Respons_Loket[Count],Table_Respons_Loket[Daftar Nomor Hak]),"")</f>
        <v/>
      </c>
      <c r="E1786" s="17" t="str">
        <f t="array" ref="E1786">IFNA(_xlfn.XLOOKUP(B1786,Table_Respons_Loket[Count],Table_Respons_Loket[Time Stamp]),"")</f>
        <v/>
      </c>
      <c r="F1786" s="18" t="str">
        <f t="array" ref="F1786">IFNA(_xlfn.XLOOKUP(B1786,Table_Respons_Loket[Count],Table_Respons_Loket[Jenis Permohonan]),"")</f>
        <v/>
      </c>
      <c r="G1786" s="24"/>
      <c r="H1786" s="24"/>
      <c r="I1786" s="22" t="str">
        <f t="shared" si="7"/>
        <v/>
      </c>
      <c r="J1786" s="20" t="b">
        <v>0</v>
      </c>
      <c r="K1786" s="13" t="str">
        <f t="shared" si="8"/>
        <v/>
      </c>
    </row>
    <row r="1787" ht="22.5" customHeight="1">
      <c r="B1787" s="13">
        <f t="shared" si="3"/>
        <v>1781</v>
      </c>
      <c r="C1787" s="15" t="str">
        <f t="array" ref="C1787">IFNA(_xlfn.XLOOKUP(B1787,Table_Respons_Loket[Count],Table_Respons_Loket[Nomor Tiket]),"")</f>
        <v/>
      </c>
      <c r="D1787" s="15" t="str">
        <f t="array" ref="D1787">IFNA(_xlfn.XLOOKUP(B1787,Table_Respons_Loket[Count],Table_Respons_Loket[Daftar Nomor Hak]),"")</f>
        <v/>
      </c>
      <c r="E1787" s="17" t="str">
        <f t="array" ref="E1787">IFNA(_xlfn.XLOOKUP(B1787,Table_Respons_Loket[Count],Table_Respons_Loket[Time Stamp]),"")</f>
        <v/>
      </c>
      <c r="F1787" s="18" t="str">
        <f t="array" ref="F1787">IFNA(_xlfn.XLOOKUP(B1787,Table_Respons_Loket[Count],Table_Respons_Loket[Jenis Permohonan]),"")</f>
        <v/>
      </c>
      <c r="G1787" s="24"/>
      <c r="H1787" s="24"/>
      <c r="I1787" s="22" t="str">
        <f t="shared" si="7"/>
        <v/>
      </c>
      <c r="J1787" s="20" t="b">
        <v>0</v>
      </c>
      <c r="K1787" s="13" t="str">
        <f t="shared" si="8"/>
        <v/>
      </c>
    </row>
    <row r="1788" ht="22.5" customHeight="1">
      <c r="B1788" s="13">
        <f t="shared" si="3"/>
        <v>1782</v>
      </c>
      <c r="C1788" s="15" t="str">
        <f t="array" ref="C1788">IFNA(_xlfn.XLOOKUP(B1788,Table_Respons_Loket[Count],Table_Respons_Loket[Nomor Tiket]),"")</f>
        <v/>
      </c>
      <c r="D1788" s="15" t="str">
        <f t="array" ref="D1788">IFNA(_xlfn.XLOOKUP(B1788,Table_Respons_Loket[Count],Table_Respons_Loket[Daftar Nomor Hak]),"")</f>
        <v/>
      </c>
      <c r="E1788" s="17" t="str">
        <f t="array" ref="E1788">IFNA(_xlfn.XLOOKUP(B1788,Table_Respons_Loket[Count],Table_Respons_Loket[Time Stamp]),"")</f>
        <v/>
      </c>
      <c r="F1788" s="18" t="str">
        <f t="array" ref="F1788">IFNA(_xlfn.XLOOKUP(B1788,Table_Respons_Loket[Count],Table_Respons_Loket[Jenis Permohonan]),"")</f>
        <v/>
      </c>
      <c r="G1788" s="24"/>
      <c r="H1788" s="24"/>
      <c r="I1788" s="22" t="str">
        <f t="shared" si="7"/>
        <v/>
      </c>
      <c r="J1788" s="20" t="b">
        <v>0</v>
      </c>
      <c r="K1788" s="13" t="str">
        <f t="shared" si="8"/>
        <v/>
      </c>
    </row>
    <row r="1789" ht="22.5" customHeight="1">
      <c r="B1789" s="13">
        <f t="shared" si="3"/>
        <v>1783</v>
      </c>
      <c r="C1789" s="15" t="str">
        <f t="array" ref="C1789">IFNA(_xlfn.XLOOKUP(B1789,Table_Respons_Loket[Count],Table_Respons_Loket[Nomor Tiket]),"")</f>
        <v/>
      </c>
      <c r="D1789" s="15" t="str">
        <f t="array" ref="D1789">IFNA(_xlfn.XLOOKUP(B1789,Table_Respons_Loket[Count],Table_Respons_Loket[Daftar Nomor Hak]),"")</f>
        <v/>
      </c>
      <c r="E1789" s="17" t="str">
        <f t="array" ref="E1789">IFNA(_xlfn.XLOOKUP(B1789,Table_Respons_Loket[Count],Table_Respons_Loket[Time Stamp]),"")</f>
        <v/>
      </c>
      <c r="F1789" s="18" t="str">
        <f t="array" ref="F1789">IFNA(_xlfn.XLOOKUP(B1789,Table_Respons_Loket[Count],Table_Respons_Loket[Jenis Permohonan]),"")</f>
        <v/>
      </c>
      <c r="G1789" s="24"/>
      <c r="H1789" s="24"/>
      <c r="I1789" s="22" t="str">
        <f t="shared" si="7"/>
        <v/>
      </c>
      <c r="J1789" s="20" t="b">
        <v>0</v>
      </c>
      <c r="K1789" s="13" t="str">
        <f t="shared" si="8"/>
        <v/>
      </c>
    </row>
    <row r="1790" ht="22.5" customHeight="1">
      <c r="B1790" s="13">
        <f t="shared" si="3"/>
        <v>1784</v>
      </c>
      <c r="C1790" s="15" t="str">
        <f t="array" ref="C1790">IFNA(_xlfn.XLOOKUP(B1790,Table_Respons_Loket[Count],Table_Respons_Loket[Nomor Tiket]),"")</f>
        <v/>
      </c>
      <c r="D1790" s="15" t="str">
        <f t="array" ref="D1790">IFNA(_xlfn.XLOOKUP(B1790,Table_Respons_Loket[Count],Table_Respons_Loket[Daftar Nomor Hak]),"")</f>
        <v/>
      </c>
      <c r="E1790" s="17" t="str">
        <f t="array" ref="E1790">IFNA(_xlfn.XLOOKUP(B1790,Table_Respons_Loket[Count],Table_Respons_Loket[Time Stamp]),"")</f>
        <v/>
      </c>
      <c r="F1790" s="18" t="str">
        <f t="array" ref="F1790">IFNA(_xlfn.XLOOKUP(B1790,Table_Respons_Loket[Count],Table_Respons_Loket[Jenis Permohonan]),"")</f>
        <v/>
      </c>
      <c r="G1790" s="24"/>
      <c r="H1790" s="24"/>
      <c r="I1790" s="22" t="str">
        <f t="shared" si="7"/>
        <v/>
      </c>
      <c r="J1790" s="20" t="b">
        <v>0</v>
      </c>
      <c r="K1790" s="13" t="str">
        <f t="shared" si="8"/>
        <v/>
      </c>
    </row>
    <row r="1791" ht="22.5" customHeight="1">
      <c r="B1791" s="13">
        <f t="shared" si="3"/>
        <v>1785</v>
      </c>
      <c r="C1791" s="15" t="str">
        <f t="array" ref="C1791">IFNA(_xlfn.XLOOKUP(B1791,Table_Respons_Loket[Count],Table_Respons_Loket[Nomor Tiket]),"")</f>
        <v/>
      </c>
      <c r="D1791" s="15" t="str">
        <f t="array" ref="D1791">IFNA(_xlfn.XLOOKUP(B1791,Table_Respons_Loket[Count],Table_Respons_Loket[Daftar Nomor Hak]),"")</f>
        <v/>
      </c>
      <c r="E1791" s="17" t="str">
        <f t="array" ref="E1791">IFNA(_xlfn.XLOOKUP(B1791,Table_Respons_Loket[Count],Table_Respons_Loket[Time Stamp]),"")</f>
        <v/>
      </c>
      <c r="F1791" s="18" t="str">
        <f t="array" ref="F1791">IFNA(_xlfn.XLOOKUP(B1791,Table_Respons_Loket[Count],Table_Respons_Loket[Jenis Permohonan]),"")</f>
        <v/>
      </c>
      <c r="G1791" s="24"/>
      <c r="H1791" s="24"/>
      <c r="I1791" s="22" t="str">
        <f t="shared" si="7"/>
        <v/>
      </c>
      <c r="J1791" s="20" t="b">
        <v>0</v>
      </c>
      <c r="K1791" s="13" t="str">
        <f t="shared" si="8"/>
        <v/>
      </c>
    </row>
    <row r="1792" ht="22.5" customHeight="1">
      <c r="B1792" s="13">
        <f t="shared" si="3"/>
        <v>1786</v>
      </c>
      <c r="C1792" s="15" t="str">
        <f t="array" ref="C1792">IFNA(_xlfn.XLOOKUP(B1792,Table_Respons_Loket[Count],Table_Respons_Loket[Nomor Tiket]),"")</f>
        <v/>
      </c>
      <c r="D1792" s="15" t="str">
        <f t="array" ref="D1792">IFNA(_xlfn.XLOOKUP(B1792,Table_Respons_Loket[Count],Table_Respons_Loket[Daftar Nomor Hak]),"")</f>
        <v/>
      </c>
      <c r="E1792" s="17" t="str">
        <f t="array" ref="E1792">IFNA(_xlfn.XLOOKUP(B1792,Table_Respons_Loket[Count],Table_Respons_Loket[Time Stamp]),"")</f>
        <v/>
      </c>
      <c r="F1792" s="18" t="str">
        <f t="array" ref="F1792">IFNA(_xlfn.XLOOKUP(B1792,Table_Respons_Loket[Count],Table_Respons_Loket[Jenis Permohonan]),"")</f>
        <v/>
      </c>
      <c r="G1792" s="24"/>
      <c r="H1792" s="24"/>
      <c r="I1792" s="22" t="str">
        <f t="shared" si="7"/>
        <v/>
      </c>
      <c r="J1792" s="20" t="b">
        <v>0</v>
      </c>
      <c r="K1792" s="13" t="str">
        <f t="shared" si="8"/>
        <v/>
      </c>
    </row>
    <row r="1793" ht="22.5" customHeight="1">
      <c r="B1793" s="13">
        <f t="shared" si="3"/>
        <v>1787</v>
      </c>
      <c r="C1793" s="15" t="str">
        <f t="array" ref="C1793">IFNA(_xlfn.XLOOKUP(B1793,Table_Respons_Loket[Count],Table_Respons_Loket[Nomor Tiket]),"")</f>
        <v/>
      </c>
      <c r="D1793" s="15" t="str">
        <f t="array" ref="D1793">IFNA(_xlfn.XLOOKUP(B1793,Table_Respons_Loket[Count],Table_Respons_Loket[Daftar Nomor Hak]),"")</f>
        <v/>
      </c>
      <c r="E1793" s="17" t="str">
        <f t="array" ref="E1793">IFNA(_xlfn.XLOOKUP(B1793,Table_Respons_Loket[Count],Table_Respons_Loket[Time Stamp]),"")</f>
        <v/>
      </c>
      <c r="F1793" s="18" t="str">
        <f t="array" ref="F1793">IFNA(_xlfn.XLOOKUP(B1793,Table_Respons_Loket[Count],Table_Respons_Loket[Jenis Permohonan]),"")</f>
        <v/>
      </c>
      <c r="G1793" s="24"/>
      <c r="H1793" s="24"/>
      <c r="I1793" s="22" t="str">
        <f t="shared" si="7"/>
        <v/>
      </c>
      <c r="J1793" s="20" t="b">
        <v>0</v>
      </c>
      <c r="K1793" s="13" t="str">
        <f t="shared" si="8"/>
        <v/>
      </c>
    </row>
    <row r="1794" ht="22.5" customHeight="1">
      <c r="B1794" s="13">
        <f t="shared" si="3"/>
        <v>1788</v>
      </c>
      <c r="C1794" s="15" t="str">
        <f t="array" ref="C1794">IFNA(_xlfn.XLOOKUP(B1794,Table_Respons_Loket[Count],Table_Respons_Loket[Nomor Tiket]),"")</f>
        <v/>
      </c>
      <c r="D1794" s="15" t="str">
        <f t="array" ref="D1794">IFNA(_xlfn.XLOOKUP(B1794,Table_Respons_Loket[Count],Table_Respons_Loket[Daftar Nomor Hak]),"")</f>
        <v/>
      </c>
      <c r="E1794" s="17" t="str">
        <f t="array" ref="E1794">IFNA(_xlfn.XLOOKUP(B1794,Table_Respons_Loket[Count],Table_Respons_Loket[Time Stamp]),"")</f>
        <v/>
      </c>
      <c r="F1794" s="18" t="str">
        <f t="array" ref="F1794">IFNA(_xlfn.XLOOKUP(B1794,Table_Respons_Loket[Count],Table_Respons_Loket[Jenis Permohonan]),"")</f>
        <v/>
      </c>
      <c r="G1794" s="24"/>
      <c r="H1794" s="24"/>
      <c r="I1794" s="22" t="str">
        <f t="shared" si="7"/>
        <v/>
      </c>
      <c r="J1794" s="20" t="b">
        <v>0</v>
      </c>
      <c r="K1794" s="13" t="str">
        <f t="shared" si="8"/>
        <v/>
      </c>
    </row>
    <row r="1795" ht="22.5" customHeight="1">
      <c r="B1795" s="13">
        <f t="shared" si="3"/>
        <v>1789</v>
      </c>
      <c r="C1795" s="15" t="str">
        <f t="array" ref="C1795">IFNA(_xlfn.XLOOKUP(B1795,Table_Respons_Loket[Count],Table_Respons_Loket[Nomor Tiket]),"")</f>
        <v/>
      </c>
      <c r="D1795" s="15" t="str">
        <f t="array" ref="D1795">IFNA(_xlfn.XLOOKUP(B1795,Table_Respons_Loket[Count],Table_Respons_Loket[Daftar Nomor Hak]),"")</f>
        <v/>
      </c>
      <c r="E1795" s="17" t="str">
        <f t="array" ref="E1795">IFNA(_xlfn.XLOOKUP(B1795,Table_Respons_Loket[Count],Table_Respons_Loket[Time Stamp]),"")</f>
        <v/>
      </c>
      <c r="F1795" s="18" t="str">
        <f t="array" ref="F1795">IFNA(_xlfn.XLOOKUP(B1795,Table_Respons_Loket[Count],Table_Respons_Loket[Jenis Permohonan]),"")</f>
        <v/>
      </c>
      <c r="G1795" s="24"/>
      <c r="H1795" s="24"/>
      <c r="I1795" s="22" t="str">
        <f t="shared" si="7"/>
        <v/>
      </c>
      <c r="J1795" s="20" t="b">
        <v>0</v>
      </c>
      <c r="K1795" s="13" t="str">
        <f t="shared" si="8"/>
        <v/>
      </c>
    </row>
    <row r="1796" ht="22.5" customHeight="1">
      <c r="B1796" s="13">
        <f t="shared" si="3"/>
        <v>1790</v>
      </c>
      <c r="C1796" s="15" t="str">
        <f t="array" ref="C1796">IFNA(_xlfn.XLOOKUP(B1796,Table_Respons_Loket[Count],Table_Respons_Loket[Nomor Tiket]),"")</f>
        <v/>
      </c>
      <c r="D1796" s="15" t="str">
        <f t="array" ref="D1796">IFNA(_xlfn.XLOOKUP(B1796,Table_Respons_Loket[Count],Table_Respons_Loket[Daftar Nomor Hak]),"")</f>
        <v/>
      </c>
      <c r="E1796" s="17" t="str">
        <f t="array" ref="E1796">IFNA(_xlfn.XLOOKUP(B1796,Table_Respons_Loket[Count],Table_Respons_Loket[Time Stamp]),"")</f>
        <v/>
      </c>
      <c r="F1796" s="18" t="str">
        <f t="array" ref="F1796">IFNA(_xlfn.XLOOKUP(B1796,Table_Respons_Loket[Count],Table_Respons_Loket[Jenis Permohonan]),"")</f>
        <v/>
      </c>
      <c r="G1796" s="24"/>
      <c r="H1796" s="24"/>
      <c r="I1796" s="22" t="str">
        <f t="shared" si="7"/>
        <v/>
      </c>
      <c r="J1796" s="20" t="b">
        <v>0</v>
      </c>
      <c r="K1796" s="13" t="str">
        <f t="shared" si="8"/>
        <v/>
      </c>
    </row>
    <row r="1797" ht="22.5" customHeight="1">
      <c r="B1797" s="13">
        <f t="shared" si="3"/>
        <v>1791</v>
      </c>
      <c r="C1797" s="15" t="str">
        <f t="array" ref="C1797">IFNA(_xlfn.XLOOKUP(B1797,Table_Respons_Loket[Count],Table_Respons_Loket[Nomor Tiket]),"")</f>
        <v/>
      </c>
      <c r="D1797" s="15" t="str">
        <f t="array" ref="D1797">IFNA(_xlfn.XLOOKUP(B1797,Table_Respons_Loket[Count],Table_Respons_Loket[Daftar Nomor Hak]),"")</f>
        <v/>
      </c>
      <c r="E1797" s="17" t="str">
        <f t="array" ref="E1797">IFNA(_xlfn.XLOOKUP(B1797,Table_Respons_Loket[Count],Table_Respons_Loket[Time Stamp]),"")</f>
        <v/>
      </c>
      <c r="F1797" s="18" t="str">
        <f t="array" ref="F1797">IFNA(_xlfn.XLOOKUP(B1797,Table_Respons_Loket[Count],Table_Respons_Loket[Jenis Permohonan]),"")</f>
        <v/>
      </c>
      <c r="G1797" s="24"/>
      <c r="H1797" s="24"/>
      <c r="I1797" s="22" t="str">
        <f t="shared" si="7"/>
        <v/>
      </c>
      <c r="J1797" s="20" t="b">
        <v>0</v>
      </c>
      <c r="K1797" s="13" t="str">
        <f t="shared" si="8"/>
        <v/>
      </c>
    </row>
    <row r="1798" ht="22.5" customHeight="1">
      <c r="B1798" s="13">
        <f t="shared" si="3"/>
        <v>1792</v>
      </c>
      <c r="C1798" s="15" t="str">
        <f t="array" ref="C1798">IFNA(_xlfn.XLOOKUP(B1798,Table_Respons_Loket[Count],Table_Respons_Loket[Nomor Tiket]),"")</f>
        <v/>
      </c>
      <c r="D1798" s="15" t="str">
        <f t="array" ref="D1798">IFNA(_xlfn.XLOOKUP(B1798,Table_Respons_Loket[Count],Table_Respons_Loket[Daftar Nomor Hak]),"")</f>
        <v/>
      </c>
      <c r="E1798" s="17" t="str">
        <f t="array" ref="E1798">IFNA(_xlfn.XLOOKUP(B1798,Table_Respons_Loket[Count],Table_Respons_Loket[Time Stamp]),"")</f>
        <v/>
      </c>
      <c r="F1798" s="18" t="str">
        <f t="array" ref="F1798">IFNA(_xlfn.XLOOKUP(B1798,Table_Respons_Loket[Count],Table_Respons_Loket[Jenis Permohonan]),"")</f>
        <v/>
      </c>
      <c r="G1798" s="24"/>
      <c r="H1798" s="24"/>
      <c r="I1798" s="22" t="str">
        <f t="shared" si="7"/>
        <v/>
      </c>
      <c r="J1798" s="20" t="b">
        <v>0</v>
      </c>
      <c r="K1798" s="13" t="str">
        <f t="shared" si="8"/>
        <v/>
      </c>
    </row>
    <row r="1799" ht="22.5" customHeight="1">
      <c r="B1799" s="13">
        <f t="shared" si="3"/>
        <v>1793</v>
      </c>
      <c r="C1799" s="15" t="str">
        <f t="array" ref="C1799">IFNA(_xlfn.XLOOKUP(B1799,Table_Respons_Loket[Count],Table_Respons_Loket[Nomor Tiket]),"")</f>
        <v/>
      </c>
      <c r="D1799" s="15" t="str">
        <f t="array" ref="D1799">IFNA(_xlfn.XLOOKUP(B1799,Table_Respons_Loket[Count],Table_Respons_Loket[Daftar Nomor Hak]),"")</f>
        <v/>
      </c>
      <c r="E1799" s="17" t="str">
        <f t="array" ref="E1799">IFNA(_xlfn.XLOOKUP(B1799,Table_Respons_Loket[Count],Table_Respons_Loket[Time Stamp]),"")</f>
        <v/>
      </c>
      <c r="F1799" s="18" t="str">
        <f t="array" ref="F1799">IFNA(_xlfn.XLOOKUP(B1799,Table_Respons_Loket[Count],Table_Respons_Loket[Jenis Permohonan]),"")</f>
        <v/>
      </c>
      <c r="G1799" s="24"/>
      <c r="H1799" s="24"/>
      <c r="I1799" s="22" t="str">
        <f t="shared" si="7"/>
        <v/>
      </c>
      <c r="J1799" s="20" t="b">
        <v>0</v>
      </c>
      <c r="K1799" s="13" t="str">
        <f t="shared" si="8"/>
        <v/>
      </c>
    </row>
    <row r="1800" ht="22.5" customHeight="1">
      <c r="B1800" s="13">
        <f t="shared" si="3"/>
        <v>1794</v>
      </c>
      <c r="C1800" s="15" t="str">
        <f t="array" ref="C1800">IFNA(_xlfn.XLOOKUP(B1800,Table_Respons_Loket[Count],Table_Respons_Loket[Nomor Tiket]),"")</f>
        <v/>
      </c>
      <c r="D1800" s="15" t="str">
        <f t="array" ref="D1800">IFNA(_xlfn.XLOOKUP(B1800,Table_Respons_Loket[Count],Table_Respons_Loket[Daftar Nomor Hak]),"")</f>
        <v/>
      </c>
      <c r="E1800" s="17" t="str">
        <f t="array" ref="E1800">IFNA(_xlfn.XLOOKUP(B1800,Table_Respons_Loket[Count],Table_Respons_Loket[Time Stamp]),"")</f>
        <v/>
      </c>
      <c r="F1800" s="18" t="str">
        <f t="array" ref="F1800">IFNA(_xlfn.XLOOKUP(B1800,Table_Respons_Loket[Count],Table_Respons_Loket[Jenis Permohonan]),"")</f>
        <v/>
      </c>
      <c r="G1800" s="24"/>
      <c r="H1800" s="24"/>
      <c r="I1800" s="22" t="str">
        <f t="shared" si="7"/>
        <v/>
      </c>
      <c r="J1800" s="20" t="b">
        <v>0</v>
      </c>
      <c r="K1800" s="13" t="str">
        <f t="shared" si="8"/>
        <v/>
      </c>
    </row>
    <row r="1801" ht="22.5" customHeight="1">
      <c r="B1801" s="13">
        <f t="shared" si="3"/>
        <v>1795</v>
      </c>
      <c r="C1801" s="15" t="str">
        <f t="array" ref="C1801">IFNA(_xlfn.XLOOKUP(B1801,Table_Respons_Loket[Count],Table_Respons_Loket[Nomor Tiket]),"")</f>
        <v/>
      </c>
      <c r="D1801" s="15" t="str">
        <f t="array" ref="D1801">IFNA(_xlfn.XLOOKUP(B1801,Table_Respons_Loket[Count],Table_Respons_Loket[Daftar Nomor Hak]),"")</f>
        <v/>
      </c>
      <c r="E1801" s="17" t="str">
        <f t="array" ref="E1801">IFNA(_xlfn.XLOOKUP(B1801,Table_Respons_Loket[Count],Table_Respons_Loket[Time Stamp]),"")</f>
        <v/>
      </c>
      <c r="F1801" s="18" t="str">
        <f t="array" ref="F1801">IFNA(_xlfn.XLOOKUP(B1801,Table_Respons_Loket[Count],Table_Respons_Loket[Jenis Permohonan]),"")</f>
        <v/>
      </c>
      <c r="G1801" s="24"/>
      <c r="H1801" s="24"/>
      <c r="I1801" s="22" t="str">
        <f t="shared" si="7"/>
        <v/>
      </c>
      <c r="J1801" s="20" t="b">
        <v>0</v>
      </c>
      <c r="K1801" s="13" t="str">
        <f t="shared" si="8"/>
        <v/>
      </c>
    </row>
    <row r="1802" ht="22.5" customHeight="1">
      <c r="B1802" s="13">
        <f t="shared" si="3"/>
        <v>1796</v>
      </c>
      <c r="C1802" s="15" t="str">
        <f t="array" ref="C1802">IFNA(_xlfn.XLOOKUP(B1802,Table_Respons_Loket[Count],Table_Respons_Loket[Nomor Tiket]),"")</f>
        <v/>
      </c>
      <c r="D1802" s="15" t="str">
        <f t="array" ref="D1802">IFNA(_xlfn.XLOOKUP(B1802,Table_Respons_Loket[Count],Table_Respons_Loket[Daftar Nomor Hak]),"")</f>
        <v/>
      </c>
      <c r="E1802" s="17" t="str">
        <f t="array" ref="E1802">IFNA(_xlfn.XLOOKUP(B1802,Table_Respons_Loket[Count],Table_Respons_Loket[Time Stamp]),"")</f>
        <v/>
      </c>
      <c r="F1802" s="18" t="str">
        <f t="array" ref="F1802">IFNA(_xlfn.XLOOKUP(B1802,Table_Respons_Loket[Count],Table_Respons_Loket[Jenis Permohonan]),"")</f>
        <v/>
      </c>
      <c r="G1802" s="24"/>
      <c r="H1802" s="24"/>
      <c r="I1802" s="22" t="str">
        <f t="shared" si="7"/>
        <v/>
      </c>
      <c r="J1802" s="20" t="b">
        <v>0</v>
      </c>
      <c r="K1802" s="13" t="str">
        <f t="shared" si="8"/>
        <v/>
      </c>
    </row>
    <row r="1803" ht="22.5" customHeight="1">
      <c r="B1803" s="13">
        <f t="shared" si="3"/>
        <v>1797</v>
      </c>
      <c r="C1803" s="15" t="str">
        <f t="array" ref="C1803">IFNA(_xlfn.XLOOKUP(B1803,Table_Respons_Loket[Count],Table_Respons_Loket[Nomor Tiket]),"")</f>
        <v/>
      </c>
      <c r="D1803" s="15" t="str">
        <f t="array" ref="D1803">IFNA(_xlfn.XLOOKUP(B1803,Table_Respons_Loket[Count],Table_Respons_Loket[Daftar Nomor Hak]),"")</f>
        <v/>
      </c>
      <c r="E1803" s="17" t="str">
        <f t="array" ref="E1803">IFNA(_xlfn.XLOOKUP(B1803,Table_Respons_Loket[Count],Table_Respons_Loket[Time Stamp]),"")</f>
        <v/>
      </c>
      <c r="F1803" s="18" t="str">
        <f t="array" ref="F1803">IFNA(_xlfn.XLOOKUP(B1803,Table_Respons_Loket[Count],Table_Respons_Loket[Jenis Permohonan]),"")</f>
        <v/>
      </c>
      <c r="G1803" s="24"/>
      <c r="H1803" s="24"/>
      <c r="I1803" s="22" t="str">
        <f t="shared" si="7"/>
        <v/>
      </c>
      <c r="J1803" s="20" t="b">
        <v>0</v>
      </c>
      <c r="K1803" s="13" t="str">
        <f t="shared" si="8"/>
        <v/>
      </c>
    </row>
    <row r="1804" ht="22.5" customHeight="1">
      <c r="B1804" s="13">
        <f t="shared" si="3"/>
        <v>1798</v>
      </c>
      <c r="C1804" s="15" t="str">
        <f t="array" ref="C1804">IFNA(_xlfn.XLOOKUP(B1804,Table_Respons_Loket[Count],Table_Respons_Loket[Nomor Tiket]),"")</f>
        <v/>
      </c>
      <c r="D1804" s="15" t="str">
        <f t="array" ref="D1804">IFNA(_xlfn.XLOOKUP(B1804,Table_Respons_Loket[Count],Table_Respons_Loket[Daftar Nomor Hak]),"")</f>
        <v/>
      </c>
      <c r="E1804" s="17" t="str">
        <f t="array" ref="E1804">IFNA(_xlfn.XLOOKUP(B1804,Table_Respons_Loket[Count],Table_Respons_Loket[Time Stamp]),"")</f>
        <v/>
      </c>
      <c r="F1804" s="18" t="str">
        <f t="array" ref="F1804">IFNA(_xlfn.XLOOKUP(B1804,Table_Respons_Loket[Count],Table_Respons_Loket[Jenis Permohonan]),"")</f>
        <v/>
      </c>
      <c r="G1804" s="24"/>
      <c r="H1804" s="24"/>
      <c r="I1804" s="22" t="str">
        <f t="shared" si="7"/>
        <v/>
      </c>
      <c r="J1804" s="20" t="b">
        <v>0</v>
      </c>
      <c r="K1804" s="13" t="str">
        <f t="shared" si="8"/>
        <v/>
      </c>
    </row>
    <row r="1805" ht="22.5" customHeight="1">
      <c r="B1805" s="13">
        <f t="shared" si="3"/>
        <v>1799</v>
      </c>
      <c r="C1805" s="15" t="str">
        <f t="array" ref="C1805">IFNA(_xlfn.XLOOKUP(B1805,Table_Respons_Loket[Count],Table_Respons_Loket[Nomor Tiket]),"")</f>
        <v/>
      </c>
      <c r="D1805" s="15" t="str">
        <f t="array" ref="D1805">IFNA(_xlfn.XLOOKUP(B1805,Table_Respons_Loket[Count],Table_Respons_Loket[Daftar Nomor Hak]),"")</f>
        <v/>
      </c>
      <c r="E1805" s="17" t="str">
        <f t="array" ref="E1805">IFNA(_xlfn.XLOOKUP(B1805,Table_Respons_Loket[Count],Table_Respons_Loket[Time Stamp]),"")</f>
        <v/>
      </c>
      <c r="F1805" s="18" t="str">
        <f t="array" ref="F1805">IFNA(_xlfn.XLOOKUP(B1805,Table_Respons_Loket[Count],Table_Respons_Loket[Jenis Permohonan]),"")</f>
        <v/>
      </c>
      <c r="G1805" s="24"/>
      <c r="H1805" s="24"/>
      <c r="I1805" s="22" t="str">
        <f t="shared" si="7"/>
        <v/>
      </c>
      <c r="J1805" s="20" t="b">
        <v>0</v>
      </c>
      <c r="K1805" s="13" t="str">
        <f t="shared" si="8"/>
        <v/>
      </c>
    </row>
    <row r="1806" ht="22.5" customHeight="1">
      <c r="B1806" s="13">
        <f t="shared" si="3"/>
        <v>1800</v>
      </c>
      <c r="C1806" s="15" t="str">
        <f t="array" ref="C1806">IFNA(_xlfn.XLOOKUP(B1806,Table_Respons_Loket[Count],Table_Respons_Loket[Nomor Tiket]),"")</f>
        <v/>
      </c>
      <c r="D1806" s="15" t="str">
        <f t="array" ref="D1806">IFNA(_xlfn.XLOOKUP(B1806,Table_Respons_Loket[Count],Table_Respons_Loket[Daftar Nomor Hak]),"")</f>
        <v/>
      </c>
      <c r="E1806" s="17" t="str">
        <f t="array" ref="E1806">IFNA(_xlfn.XLOOKUP(B1806,Table_Respons_Loket[Count],Table_Respons_Loket[Time Stamp]),"")</f>
        <v/>
      </c>
      <c r="F1806" s="18" t="str">
        <f t="array" ref="F1806">IFNA(_xlfn.XLOOKUP(B1806,Table_Respons_Loket[Count],Table_Respons_Loket[Jenis Permohonan]),"")</f>
        <v/>
      </c>
      <c r="G1806" s="24"/>
      <c r="H1806" s="24"/>
      <c r="I1806" s="22" t="str">
        <f t="shared" si="7"/>
        <v/>
      </c>
      <c r="J1806" s="20" t="b">
        <v>0</v>
      </c>
      <c r="K1806" s="13" t="str">
        <f t="shared" si="8"/>
        <v/>
      </c>
    </row>
    <row r="1807" ht="22.5" customHeight="1">
      <c r="B1807" s="13">
        <f t="shared" si="3"/>
        <v>1801</v>
      </c>
      <c r="C1807" s="15" t="str">
        <f t="array" ref="C1807">IFNA(_xlfn.XLOOKUP(B1807,Table_Respons_Loket[Count],Table_Respons_Loket[Nomor Tiket]),"")</f>
        <v/>
      </c>
      <c r="D1807" s="15" t="str">
        <f t="array" ref="D1807">IFNA(_xlfn.XLOOKUP(B1807,Table_Respons_Loket[Count],Table_Respons_Loket[Daftar Nomor Hak]),"")</f>
        <v/>
      </c>
      <c r="E1807" s="17" t="str">
        <f t="array" ref="E1807">IFNA(_xlfn.XLOOKUP(B1807,Table_Respons_Loket[Count],Table_Respons_Loket[Time Stamp]),"")</f>
        <v/>
      </c>
      <c r="F1807" s="18" t="str">
        <f t="array" ref="F1807">IFNA(_xlfn.XLOOKUP(B1807,Table_Respons_Loket[Count],Table_Respons_Loket[Jenis Permohonan]),"")</f>
        <v/>
      </c>
      <c r="G1807" s="24"/>
      <c r="H1807" s="24"/>
      <c r="I1807" s="22" t="str">
        <f t="shared" si="7"/>
        <v/>
      </c>
      <c r="J1807" s="20" t="b">
        <v>0</v>
      </c>
      <c r="K1807" s="13" t="str">
        <f t="shared" si="8"/>
        <v/>
      </c>
    </row>
    <row r="1808" ht="22.5" customHeight="1">
      <c r="B1808" s="13">
        <f t="shared" si="3"/>
        <v>1802</v>
      </c>
      <c r="C1808" s="15" t="str">
        <f t="array" ref="C1808">IFNA(_xlfn.XLOOKUP(B1808,Table_Respons_Loket[Count],Table_Respons_Loket[Nomor Tiket]),"")</f>
        <v/>
      </c>
      <c r="D1808" s="15" t="str">
        <f t="array" ref="D1808">IFNA(_xlfn.XLOOKUP(B1808,Table_Respons_Loket[Count],Table_Respons_Loket[Daftar Nomor Hak]),"")</f>
        <v/>
      </c>
      <c r="E1808" s="17" t="str">
        <f t="array" ref="E1808">IFNA(_xlfn.XLOOKUP(B1808,Table_Respons_Loket[Count],Table_Respons_Loket[Time Stamp]),"")</f>
        <v/>
      </c>
      <c r="F1808" s="18" t="str">
        <f t="array" ref="F1808">IFNA(_xlfn.XLOOKUP(B1808,Table_Respons_Loket[Count],Table_Respons_Loket[Jenis Permohonan]),"")</f>
        <v/>
      </c>
      <c r="G1808" s="24"/>
      <c r="H1808" s="24"/>
      <c r="I1808" s="22" t="str">
        <f t="shared" si="7"/>
        <v/>
      </c>
      <c r="J1808" s="20" t="b">
        <v>0</v>
      </c>
      <c r="K1808" s="13" t="str">
        <f t="shared" si="8"/>
        <v/>
      </c>
    </row>
    <row r="1809" ht="22.5" customHeight="1">
      <c r="B1809" s="13">
        <f t="shared" si="3"/>
        <v>1803</v>
      </c>
      <c r="C1809" s="15" t="str">
        <f t="array" ref="C1809">IFNA(_xlfn.XLOOKUP(B1809,Table_Respons_Loket[Count],Table_Respons_Loket[Nomor Tiket]),"")</f>
        <v/>
      </c>
      <c r="D1809" s="15" t="str">
        <f t="array" ref="D1809">IFNA(_xlfn.XLOOKUP(B1809,Table_Respons_Loket[Count],Table_Respons_Loket[Daftar Nomor Hak]),"")</f>
        <v/>
      </c>
      <c r="E1809" s="17" t="str">
        <f t="array" ref="E1809">IFNA(_xlfn.XLOOKUP(B1809,Table_Respons_Loket[Count],Table_Respons_Loket[Time Stamp]),"")</f>
        <v/>
      </c>
      <c r="F1809" s="18" t="str">
        <f t="array" ref="F1809">IFNA(_xlfn.XLOOKUP(B1809,Table_Respons_Loket[Count],Table_Respons_Loket[Jenis Permohonan]),"")</f>
        <v/>
      </c>
      <c r="G1809" s="24"/>
      <c r="H1809" s="24"/>
      <c r="I1809" s="22" t="str">
        <f t="shared" si="7"/>
        <v/>
      </c>
      <c r="J1809" s="20" t="b">
        <v>0</v>
      </c>
      <c r="K1809" s="13" t="str">
        <f t="shared" si="8"/>
        <v/>
      </c>
    </row>
    <row r="1810" ht="22.5" customHeight="1">
      <c r="B1810" s="13">
        <f t="shared" si="3"/>
        <v>1804</v>
      </c>
      <c r="C1810" s="15" t="str">
        <f t="array" ref="C1810">IFNA(_xlfn.XLOOKUP(B1810,Table_Respons_Loket[Count],Table_Respons_Loket[Nomor Tiket]),"")</f>
        <v/>
      </c>
      <c r="D1810" s="15" t="str">
        <f t="array" ref="D1810">IFNA(_xlfn.XLOOKUP(B1810,Table_Respons_Loket[Count],Table_Respons_Loket[Daftar Nomor Hak]),"")</f>
        <v/>
      </c>
      <c r="E1810" s="17" t="str">
        <f t="array" ref="E1810">IFNA(_xlfn.XLOOKUP(B1810,Table_Respons_Loket[Count],Table_Respons_Loket[Time Stamp]),"")</f>
        <v/>
      </c>
      <c r="F1810" s="18" t="str">
        <f t="array" ref="F1810">IFNA(_xlfn.XLOOKUP(B1810,Table_Respons_Loket[Count],Table_Respons_Loket[Jenis Permohonan]),"")</f>
        <v/>
      </c>
      <c r="G1810" s="24"/>
      <c r="H1810" s="24"/>
      <c r="I1810" s="22" t="str">
        <f t="shared" si="7"/>
        <v/>
      </c>
      <c r="J1810" s="20" t="b">
        <v>0</v>
      </c>
      <c r="K1810" s="13" t="str">
        <f t="shared" si="8"/>
        <v/>
      </c>
    </row>
    <row r="1811" ht="22.5" customHeight="1">
      <c r="B1811" s="13">
        <f t="shared" si="3"/>
        <v>1805</v>
      </c>
      <c r="C1811" s="15" t="str">
        <f t="array" ref="C1811">IFNA(_xlfn.XLOOKUP(B1811,Table_Respons_Loket[Count],Table_Respons_Loket[Nomor Tiket]),"")</f>
        <v/>
      </c>
      <c r="D1811" s="15" t="str">
        <f t="array" ref="D1811">IFNA(_xlfn.XLOOKUP(B1811,Table_Respons_Loket[Count],Table_Respons_Loket[Daftar Nomor Hak]),"")</f>
        <v/>
      </c>
      <c r="E1811" s="17" t="str">
        <f t="array" ref="E1811">IFNA(_xlfn.XLOOKUP(B1811,Table_Respons_Loket[Count],Table_Respons_Loket[Time Stamp]),"")</f>
        <v/>
      </c>
      <c r="F1811" s="18" t="str">
        <f t="array" ref="F1811">IFNA(_xlfn.XLOOKUP(B1811,Table_Respons_Loket[Count],Table_Respons_Loket[Jenis Permohonan]),"")</f>
        <v/>
      </c>
      <c r="G1811" s="24"/>
      <c r="H1811" s="24"/>
      <c r="I1811" s="22" t="str">
        <f t="shared" si="7"/>
        <v/>
      </c>
      <c r="J1811" s="20" t="b">
        <v>0</v>
      </c>
      <c r="K1811" s="13" t="str">
        <f t="shared" si="8"/>
        <v/>
      </c>
    </row>
    <row r="1812" ht="22.5" customHeight="1">
      <c r="B1812" s="13">
        <f t="shared" si="3"/>
        <v>1806</v>
      </c>
      <c r="C1812" s="15" t="str">
        <f t="array" ref="C1812">IFNA(_xlfn.XLOOKUP(B1812,Table_Respons_Loket[Count],Table_Respons_Loket[Nomor Tiket]),"")</f>
        <v/>
      </c>
      <c r="D1812" s="15" t="str">
        <f t="array" ref="D1812">IFNA(_xlfn.XLOOKUP(B1812,Table_Respons_Loket[Count],Table_Respons_Loket[Daftar Nomor Hak]),"")</f>
        <v/>
      </c>
      <c r="E1812" s="17" t="str">
        <f t="array" ref="E1812">IFNA(_xlfn.XLOOKUP(B1812,Table_Respons_Loket[Count],Table_Respons_Loket[Time Stamp]),"")</f>
        <v/>
      </c>
      <c r="F1812" s="18" t="str">
        <f t="array" ref="F1812">IFNA(_xlfn.XLOOKUP(B1812,Table_Respons_Loket[Count],Table_Respons_Loket[Jenis Permohonan]),"")</f>
        <v/>
      </c>
      <c r="G1812" s="24"/>
      <c r="H1812" s="24"/>
      <c r="I1812" s="22" t="str">
        <f t="shared" si="7"/>
        <v/>
      </c>
      <c r="J1812" s="20" t="b">
        <v>0</v>
      </c>
      <c r="K1812" s="13" t="str">
        <f t="shared" si="8"/>
        <v/>
      </c>
    </row>
    <row r="1813" ht="22.5" customHeight="1">
      <c r="B1813" s="13">
        <f t="shared" si="3"/>
        <v>1807</v>
      </c>
      <c r="C1813" s="15" t="str">
        <f t="array" ref="C1813">IFNA(_xlfn.XLOOKUP(B1813,Table_Respons_Loket[Count],Table_Respons_Loket[Nomor Tiket]),"")</f>
        <v/>
      </c>
      <c r="D1813" s="15" t="str">
        <f t="array" ref="D1813">IFNA(_xlfn.XLOOKUP(B1813,Table_Respons_Loket[Count],Table_Respons_Loket[Daftar Nomor Hak]),"")</f>
        <v/>
      </c>
      <c r="E1813" s="17" t="str">
        <f t="array" ref="E1813">IFNA(_xlfn.XLOOKUP(B1813,Table_Respons_Loket[Count],Table_Respons_Loket[Time Stamp]),"")</f>
        <v/>
      </c>
      <c r="F1813" s="18" t="str">
        <f t="array" ref="F1813">IFNA(_xlfn.XLOOKUP(B1813,Table_Respons_Loket[Count],Table_Respons_Loket[Jenis Permohonan]),"")</f>
        <v/>
      </c>
      <c r="G1813" s="24"/>
      <c r="H1813" s="24"/>
      <c r="I1813" s="22" t="str">
        <f t="shared" si="7"/>
        <v/>
      </c>
      <c r="J1813" s="20" t="b">
        <v>0</v>
      </c>
      <c r="K1813" s="13" t="str">
        <f t="shared" si="8"/>
        <v/>
      </c>
    </row>
    <row r="1814" ht="22.5" customHeight="1">
      <c r="B1814" s="13">
        <f t="shared" si="3"/>
        <v>1808</v>
      </c>
      <c r="C1814" s="15" t="str">
        <f t="array" ref="C1814">IFNA(_xlfn.XLOOKUP(B1814,Table_Respons_Loket[Count],Table_Respons_Loket[Nomor Tiket]),"")</f>
        <v/>
      </c>
      <c r="D1814" s="15" t="str">
        <f t="array" ref="D1814">IFNA(_xlfn.XLOOKUP(B1814,Table_Respons_Loket[Count],Table_Respons_Loket[Daftar Nomor Hak]),"")</f>
        <v/>
      </c>
      <c r="E1814" s="17" t="str">
        <f t="array" ref="E1814">IFNA(_xlfn.XLOOKUP(B1814,Table_Respons_Loket[Count],Table_Respons_Loket[Time Stamp]),"")</f>
        <v/>
      </c>
      <c r="F1814" s="18" t="str">
        <f t="array" ref="F1814">IFNA(_xlfn.XLOOKUP(B1814,Table_Respons_Loket[Count],Table_Respons_Loket[Jenis Permohonan]),"")</f>
        <v/>
      </c>
      <c r="G1814" s="24"/>
      <c r="H1814" s="24"/>
      <c r="I1814" s="22" t="str">
        <f t="shared" si="7"/>
        <v/>
      </c>
      <c r="J1814" s="20" t="b">
        <v>0</v>
      </c>
      <c r="K1814" s="13" t="str">
        <f t="shared" si="8"/>
        <v/>
      </c>
    </row>
    <row r="1815" ht="22.5" customHeight="1">
      <c r="B1815" s="13">
        <f t="shared" si="3"/>
        <v>1809</v>
      </c>
      <c r="C1815" s="15" t="str">
        <f t="array" ref="C1815">IFNA(_xlfn.XLOOKUP(B1815,Table_Respons_Loket[Count],Table_Respons_Loket[Nomor Tiket]),"")</f>
        <v/>
      </c>
      <c r="D1815" s="15" t="str">
        <f t="array" ref="D1815">IFNA(_xlfn.XLOOKUP(B1815,Table_Respons_Loket[Count],Table_Respons_Loket[Daftar Nomor Hak]),"")</f>
        <v/>
      </c>
      <c r="E1815" s="17" t="str">
        <f t="array" ref="E1815">IFNA(_xlfn.XLOOKUP(B1815,Table_Respons_Loket[Count],Table_Respons_Loket[Time Stamp]),"")</f>
        <v/>
      </c>
      <c r="F1815" s="18" t="str">
        <f t="array" ref="F1815">IFNA(_xlfn.XLOOKUP(B1815,Table_Respons_Loket[Count],Table_Respons_Loket[Jenis Permohonan]),"")</f>
        <v/>
      </c>
      <c r="G1815" s="24"/>
      <c r="H1815" s="24"/>
      <c r="I1815" s="22" t="str">
        <f t="shared" si="7"/>
        <v/>
      </c>
      <c r="J1815" s="20" t="b">
        <v>0</v>
      </c>
      <c r="K1815" s="13" t="str">
        <f t="shared" si="8"/>
        <v/>
      </c>
    </row>
    <row r="1816" ht="22.5" customHeight="1">
      <c r="B1816" s="13">
        <f t="shared" si="3"/>
        <v>1810</v>
      </c>
      <c r="C1816" s="15" t="str">
        <f t="array" ref="C1816">IFNA(_xlfn.XLOOKUP(B1816,Table_Respons_Loket[Count],Table_Respons_Loket[Nomor Tiket]),"")</f>
        <v/>
      </c>
      <c r="D1816" s="15" t="str">
        <f t="array" ref="D1816">IFNA(_xlfn.XLOOKUP(B1816,Table_Respons_Loket[Count],Table_Respons_Loket[Daftar Nomor Hak]),"")</f>
        <v/>
      </c>
      <c r="E1816" s="17" t="str">
        <f t="array" ref="E1816">IFNA(_xlfn.XLOOKUP(B1816,Table_Respons_Loket[Count],Table_Respons_Loket[Time Stamp]),"")</f>
        <v/>
      </c>
      <c r="F1816" s="18" t="str">
        <f t="array" ref="F1816">IFNA(_xlfn.XLOOKUP(B1816,Table_Respons_Loket[Count],Table_Respons_Loket[Jenis Permohonan]),"")</f>
        <v/>
      </c>
      <c r="G1816" s="24"/>
      <c r="H1816" s="24"/>
      <c r="I1816" s="22" t="str">
        <f t="shared" si="7"/>
        <v/>
      </c>
      <c r="J1816" s="20" t="b">
        <v>0</v>
      </c>
      <c r="K1816" s="13" t="str">
        <f t="shared" si="8"/>
        <v/>
      </c>
    </row>
    <row r="1817" ht="22.5" customHeight="1">
      <c r="B1817" s="13">
        <f t="shared" si="3"/>
        <v>1811</v>
      </c>
      <c r="C1817" s="15" t="str">
        <f t="array" ref="C1817">IFNA(_xlfn.XLOOKUP(B1817,Table_Respons_Loket[Count],Table_Respons_Loket[Nomor Tiket]),"")</f>
        <v/>
      </c>
      <c r="D1817" s="15" t="str">
        <f t="array" ref="D1817">IFNA(_xlfn.XLOOKUP(B1817,Table_Respons_Loket[Count],Table_Respons_Loket[Daftar Nomor Hak]),"")</f>
        <v/>
      </c>
      <c r="E1817" s="17" t="str">
        <f t="array" ref="E1817">IFNA(_xlfn.XLOOKUP(B1817,Table_Respons_Loket[Count],Table_Respons_Loket[Time Stamp]),"")</f>
        <v/>
      </c>
      <c r="F1817" s="18" t="str">
        <f t="array" ref="F1817">IFNA(_xlfn.XLOOKUP(B1817,Table_Respons_Loket[Count],Table_Respons_Loket[Jenis Permohonan]),"")</f>
        <v/>
      </c>
      <c r="G1817" s="24"/>
      <c r="H1817" s="24"/>
      <c r="I1817" s="22" t="str">
        <f t="shared" si="7"/>
        <v/>
      </c>
      <c r="J1817" s="20" t="b">
        <v>0</v>
      </c>
      <c r="K1817" s="13" t="str">
        <f t="shared" si="8"/>
        <v/>
      </c>
    </row>
    <row r="1818" ht="22.5" customHeight="1">
      <c r="B1818" s="13">
        <f t="shared" si="3"/>
        <v>1812</v>
      </c>
      <c r="C1818" s="15" t="str">
        <f t="array" ref="C1818">IFNA(_xlfn.XLOOKUP(B1818,Table_Respons_Loket[Count],Table_Respons_Loket[Nomor Tiket]),"")</f>
        <v/>
      </c>
      <c r="D1818" s="15" t="str">
        <f t="array" ref="D1818">IFNA(_xlfn.XLOOKUP(B1818,Table_Respons_Loket[Count],Table_Respons_Loket[Daftar Nomor Hak]),"")</f>
        <v/>
      </c>
      <c r="E1818" s="17" t="str">
        <f t="array" ref="E1818">IFNA(_xlfn.XLOOKUP(B1818,Table_Respons_Loket[Count],Table_Respons_Loket[Time Stamp]),"")</f>
        <v/>
      </c>
      <c r="F1818" s="18" t="str">
        <f t="array" ref="F1818">IFNA(_xlfn.XLOOKUP(B1818,Table_Respons_Loket[Count],Table_Respons_Loket[Jenis Permohonan]),"")</f>
        <v/>
      </c>
      <c r="G1818" s="24"/>
      <c r="H1818" s="24"/>
      <c r="I1818" s="22" t="str">
        <f t="shared" si="7"/>
        <v/>
      </c>
      <c r="J1818" s="20" t="b">
        <v>0</v>
      </c>
      <c r="K1818" s="13" t="str">
        <f t="shared" si="8"/>
        <v/>
      </c>
    </row>
    <row r="1819" ht="22.5" customHeight="1">
      <c r="B1819" s="13">
        <f t="shared" si="3"/>
        <v>1813</v>
      </c>
      <c r="C1819" s="15" t="str">
        <f t="array" ref="C1819">IFNA(_xlfn.XLOOKUP(B1819,Table_Respons_Loket[Count],Table_Respons_Loket[Nomor Tiket]),"")</f>
        <v/>
      </c>
      <c r="D1819" s="15" t="str">
        <f t="array" ref="D1819">IFNA(_xlfn.XLOOKUP(B1819,Table_Respons_Loket[Count],Table_Respons_Loket[Daftar Nomor Hak]),"")</f>
        <v/>
      </c>
      <c r="E1819" s="17" t="str">
        <f t="array" ref="E1819">IFNA(_xlfn.XLOOKUP(B1819,Table_Respons_Loket[Count],Table_Respons_Loket[Time Stamp]),"")</f>
        <v/>
      </c>
      <c r="F1819" s="18" t="str">
        <f t="array" ref="F1819">IFNA(_xlfn.XLOOKUP(B1819,Table_Respons_Loket[Count],Table_Respons_Loket[Jenis Permohonan]),"")</f>
        <v/>
      </c>
      <c r="G1819" s="24"/>
      <c r="H1819" s="24"/>
      <c r="I1819" s="22" t="str">
        <f t="shared" si="7"/>
        <v/>
      </c>
      <c r="J1819" s="20" t="b">
        <v>0</v>
      </c>
      <c r="K1819" s="13" t="str">
        <f t="shared" si="8"/>
        <v/>
      </c>
    </row>
    <row r="1820" ht="22.5" customHeight="1">
      <c r="B1820" s="13">
        <f t="shared" si="3"/>
        <v>1814</v>
      </c>
      <c r="C1820" s="15" t="str">
        <f t="array" ref="C1820">IFNA(_xlfn.XLOOKUP(B1820,Table_Respons_Loket[Count],Table_Respons_Loket[Nomor Tiket]),"")</f>
        <v/>
      </c>
      <c r="D1820" s="15" t="str">
        <f t="array" ref="D1820">IFNA(_xlfn.XLOOKUP(B1820,Table_Respons_Loket[Count],Table_Respons_Loket[Daftar Nomor Hak]),"")</f>
        <v/>
      </c>
      <c r="E1820" s="17" t="str">
        <f t="array" ref="E1820">IFNA(_xlfn.XLOOKUP(B1820,Table_Respons_Loket[Count],Table_Respons_Loket[Time Stamp]),"")</f>
        <v/>
      </c>
      <c r="F1820" s="18" t="str">
        <f t="array" ref="F1820">IFNA(_xlfn.XLOOKUP(B1820,Table_Respons_Loket[Count],Table_Respons_Loket[Jenis Permohonan]),"")</f>
        <v/>
      </c>
      <c r="G1820" s="24"/>
      <c r="H1820" s="24"/>
      <c r="I1820" s="22" t="str">
        <f t="shared" si="7"/>
        <v/>
      </c>
      <c r="J1820" s="20" t="b">
        <v>0</v>
      </c>
      <c r="K1820" s="13" t="str">
        <f t="shared" si="8"/>
        <v/>
      </c>
    </row>
    <row r="1821" ht="22.5" customHeight="1">
      <c r="B1821" s="13">
        <f t="shared" si="3"/>
        <v>1815</v>
      </c>
      <c r="C1821" s="15" t="str">
        <f t="array" ref="C1821">IFNA(_xlfn.XLOOKUP(B1821,Table_Respons_Loket[Count],Table_Respons_Loket[Nomor Tiket]),"")</f>
        <v/>
      </c>
      <c r="D1821" s="15" t="str">
        <f t="array" ref="D1821">IFNA(_xlfn.XLOOKUP(B1821,Table_Respons_Loket[Count],Table_Respons_Loket[Daftar Nomor Hak]),"")</f>
        <v/>
      </c>
      <c r="E1821" s="17" t="str">
        <f t="array" ref="E1821">IFNA(_xlfn.XLOOKUP(B1821,Table_Respons_Loket[Count],Table_Respons_Loket[Time Stamp]),"")</f>
        <v/>
      </c>
      <c r="F1821" s="18" t="str">
        <f t="array" ref="F1821">IFNA(_xlfn.XLOOKUP(B1821,Table_Respons_Loket[Count],Table_Respons_Loket[Jenis Permohonan]),"")</f>
        <v/>
      </c>
      <c r="G1821" s="24"/>
      <c r="H1821" s="24"/>
      <c r="I1821" s="22" t="str">
        <f t="shared" si="7"/>
        <v/>
      </c>
      <c r="J1821" s="20" t="b">
        <v>0</v>
      </c>
      <c r="K1821" s="13" t="str">
        <f t="shared" si="8"/>
        <v/>
      </c>
    </row>
    <row r="1822" ht="22.5" customHeight="1">
      <c r="B1822" s="13">
        <f t="shared" si="3"/>
        <v>1816</v>
      </c>
      <c r="C1822" s="15" t="str">
        <f t="array" ref="C1822">IFNA(_xlfn.XLOOKUP(B1822,Table_Respons_Loket[Count],Table_Respons_Loket[Nomor Tiket]),"")</f>
        <v/>
      </c>
      <c r="D1822" s="15" t="str">
        <f t="array" ref="D1822">IFNA(_xlfn.XLOOKUP(B1822,Table_Respons_Loket[Count],Table_Respons_Loket[Daftar Nomor Hak]),"")</f>
        <v/>
      </c>
      <c r="E1822" s="17" t="str">
        <f t="array" ref="E1822">IFNA(_xlfn.XLOOKUP(B1822,Table_Respons_Loket[Count],Table_Respons_Loket[Time Stamp]),"")</f>
        <v/>
      </c>
      <c r="F1822" s="18" t="str">
        <f t="array" ref="F1822">IFNA(_xlfn.XLOOKUP(B1822,Table_Respons_Loket[Count],Table_Respons_Loket[Jenis Permohonan]),"")</f>
        <v/>
      </c>
      <c r="G1822" s="24"/>
      <c r="H1822" s="24"/>
      <c r="I1822" s="22" t="str">
        <f t="shared" si="7"/>
        <v/>
      </c>
      <c r="J1822" s="20" t="b">
        <v>0</v>
      </c>
      <c r="K1822" s="13" t="str">
        <f t="shared" si="8"/>
        <v/>
      </c>
    </row>
    <row r="1823" ht="22.5" customHeight="1">
      <c r="B1823" s="13">
        <f t="shared" si="3"/>
        <v>1817</v>
      </c>
      <c r="C1823" s="15" t="str">
        <f t="array" ref="C1823">IFNA(_xlfn.XLOOKUP(B1823,Table_Respons_Loket[Count],Table_Respons_Loket[Nomor Tiket]),"")</f>
        <v/>
      </c>
      <c r="D1823" s="15" t="str">
        <f t="array" ref="D1823">IFNA(_xlfn.XLOOKUP(B1823,Table_Respons_Loket[Count],Table_Respons_Loket[Daftar Nomor Hak]),"")</f>
        <v/>
      </c>
      <c r="E1823" s="17" t="str">
        <f t="array" ref="E1823">IFNA(_xlfn.XLOOKUP(B1823,Table_Respons_Loket[Count],Table_Respons_Loket[Time Stamp]),"")</f>
        <v/>
      </c>
      <c r="F1823" s="18" t="str">
        <f t="array" ref="F1823">IFNA(_xlfn.XLOOKUP(B1823,Table_Respons_Loket[Count],Table_Respons_Loket[Jenis Permohonan]),"")</f>
        <v/>
      </c>
      <c r="G1823" s="24"/>
      <c r="H1823" s="24"/>
      <c r="I1823" s="22" t="str">
        <f t="shared" si="7"/>
        <v/>
      </c>
      <c r="J1823" s="20" t="b">
        <v>0</v>
      </c>
      <c r="K1823" s="13" t="str">
        <f t="shared" si="8"/>
        <v/>
      </c>
    </row>
    <row r="1824" ht="22.5" customHeight="1">
      <c r="B1824" s="13">
        <f t="shared" si="3"/>
        <v>1818</v>
      </c>
      <c r="C1824" s="15" t="str">
        <f t="array" ref="C1824">IFNA(_xlfn.XLOOKUP(B1824,Table_Respons_Loket[Count],Table_Respons_Loket[Nomor Tiket]),"")</f>
        <v/>
      </c>
      <c r="D1824" s="15" t="str">
        <f t="array" ref="D1824">IFNA(_xlfn.XLOOKUP(B1824,Table_Respons_Loket[Count],Table_Respons_Loket[Daftar Nomor Hak]),"")</f>
        <v/>
      </c>
      <c r="E1824" s="17" t="str">
        <f t="array" ref="E1824">IFNA(_xlfn.XLOOKUP(B1824,Table_Respons_Loket[Count],Table_Respons_Loket[Time Stamp]),"")</f>
        <v/>
      </c>
      <c r="F1824" s="18" t="str">
        <f t="array" ref="F1824">IFNA(_xlfn.XLOOKUP(B1824,Table_Respons_Loket[Count],Table_Respons_Loket[Jenis Permohonan]),"")</f>
        <v/>
      </c>
      <c r="G1824" s="24"/>
      <c r="H1824" s="24"/>
      <c r="I1824" s="22" t="str">
        <f t="shared" si="7"/>
        <v/>
      </c>
      <c r="J1824" s="20" t="b">
        <v>0</v>
      </c>
      <c r="K1824" s="13" t="str">
        <f t="shared" si="8"/>
        <v/>
      </c>
    </row>
    <row r="1825" ht="22.5" customHeight="1">
      <c r="B1825" s="13">
        <f t="shared" si="3"/>
        <v>1819</v>
      </c>
      <c r="C1825" s="15" t="str">
        <f t="array" ref="C1825">IFNA(_xlfn.XLOOKUP(B1825,Table_Respons_Loket[Count],Table_Respons_Loket[Nomor Tiket]),"")</f>
        <v/>
      </c>
      <c r="D1825" s="15" t="str">
        <f t="array" ref="D1825">IFNA(_xlfn.XLOOKUP(B1825,Table_Respons_Loket[Count],Table_Respons_Loket[Daftar Nomor Hak]),"")</f>
        <v/>
      </c>
      <c r="E1825" s="17" t="str">
        <f t="array" ref="E1825">IFNA(_xlfn.XLOOKUP(B1825,Table_Respons_Loket[Count],Table_Respons_Loket[Time Stamp]),"")</f>
        <v/>
      </c>
      <c r="F1825" s="18" t="str">
        <f t="array" ref="F1825">IFNA(_xlfn.XLOOKUP(B1825,Table_Respons_Loket[Count],Table_Respons_Loket[Jenis Permohonan]),"")</f>
        <v/>
      </c>
      <c r="G1825" s="24"/>
      <c r="H1825" s="24"/>
      <c r="I1825" s="22" t="str">
        <f t="shared" si="7"/>
        <v/>
      </c>
      <c r="J1825" s="20" t="b">
        <v>0</v>
      </c>
      <c r="K1825" s="13" t="str">
        <f t="shared" si="8"/>
        <v/>
      </c>
    </row>
    <row r="1826" ht="22.5" customHeight="1">
      <c r="B1826" s="13">
        <f t="shared" si="3"/>
        <v>1820</v>
      </c>
      <c r="C1826" s="15" t="str">
        <f t="array" ref="C1826">IFNA(_xlfn.XLOOKUP(B1826,Table_Respons_Loket[Count],Table_Respons_Loket[Nomor Tiket]),"")</f>
        <v/>
      </c>
      <c r="D1826" s="15" t="str">
        <f t="array" ref="D1826">IFNA(_xlfn.XLOOKUP(B1826,Table_Respons_Loket[Count],Table_Respons_Loket[Daftar Nomor Hak]),"")</f>
        <v/>
      </c>
      <c r="E1826" s="17" t="str">
        <f t="array" ref="E1826">IFNA(_xlfn.XLOOKUP(B1826,Table_Respons_Loket[Count],Table_Respons_Loket[Time Stamp]),"")</f>
        <v/>
      </c>
      <c r="F1826" s="18" t="str">
        <f t="array" ref="F1826">IFNA(_xlfn.XLOOKUP(B1826,Table_Respons_Loket[Count],Table_Respons_Loket[Jenis Permohonan]),"")</f>
        <v/>
      </c>
      <c r="G1826" s="24"/>
      <c r="H1826" s="24"/>
      <c r="I1826" s="22" t="str">
        <f t="shared" si="7"/>
        <v/>
      </c>
      <c r="J1826" s="20" t="b">
        <v>0</v>
      </c>
      <c r="K1826" s="13" t="str">
        <f t="shared" si="8"/>
        <v/>
      </c>
    </row>
    <row r="1827" ht="22.5" customHeight="1">
      <c r="B1827" s="13">
        <f t="shared" si="3"/>
        <v>1821</v>
      </c>
      <c r="C1827" s="15" t="str">
        <f t="array" ref="C1827">IFNA(_xlfn.XLOOKUP(B1827,Table_Respons_Loket[Count],Table_Respons_Loket[Nomor Tiket]),"")</f>
        <v/>
      </c>
      <c r="D1827" s="15" t="str">
        <f t="array" ref="D1827">IFNA(_xlfn.XLOOKUP(B1827,Table_Respons_Loket[Count],Table_Respons_Loket[Daftar Nomor Hak]),"")</f>
        <v/>
      </c>
      <c r="E1827" s="17" t="str">
        <f t="array" ref="E1827">IFNA(_xlfn.XLOOKUP(B1827,Table_Respons_Loket[Count],Table_Respons_Loket[Time Stamp]),"")</f>
        <v/>
      </c>
      <c r="F1827" s="18" t="str">
        <f t="array" ref="F1827">IFNA(_xlfn.XLOOKUP(B1827,Table_Respons_Loket[Count],Table_Respons_Loket[Jenis Permohonan]),"")</f>
        <v/>
      </c>
      <c r="G1827" s="24"/>
      <c r="H1827" s="24"/>
      <c r="I1827" s="22" t="str">
        <f t="shared" si="7"/>
        <v/>
      </c>
      <c r="J1827" s="20" t="b">
        <v>0</v>
      </c>
      <c r="K1827" s="13" t="str">
        <f t="shared" si="8"/>
        <v/>
      </c>
    </row>
    <row r="1828" ht="22.5" customHeight="1">
      <c r="B1828" s="13">
        <f t="shared" si="3"/>
        <v>1822</v>
      </c>
      <c r="C1828" s="15" t="str">
        <f t="array" ref="C1828">IFNA(_xlfn.XLOOKUP(B1828,Table_Respons_Loket[Count],Table_Respons_Loket[Nomor Tiket]),"")</f>
        <v/>
      </c>
      <c r="D1828" s="15" t="str">
        <f t="array" ref="D1828">IFNA(_xlfn.XLOOKUP(B1828,Table_Respons_Loket[Count],Table_Respons_Loket[Daftar Nomor Hak]),"")</f>
        <v/>
      </c>
      <c r="E1828" s="17" t="str">
        <f t="array" ref="E1828">IFNA(_xlfn.XLOOKUP(B1828,Table_Respons_Loket[Count],Table_Respons_Loket[Time Stamp]),"")</f>
        <v/>
      </c>
      <c r="F1828" s="18" t="str">
        <f t="array" ref="F1828">IFNA(_xlfn.XLOOKUP(B1828,Table_Respons_Loket[Count],Table_Respons_Loket[Jenis Permohonan]),"")</f>
        <v/>
      </c>
      <c r="G1828" s="24"/>
      <c r="H1828" s="24"/>
      <c r="I1828" s="22" t="str">
        <f t="shared" si="7"/>
        <v/>
      </c>
      <c r="J1828" s="20" t="b">
        <v>0</v>
      </c>
      <c r="K1828" s="13" t="str">
        <f t="shared" si="8"/>
        <v/>
      </c>
    </row>
    <row r="1829" ht="22.5" customHeight="1">
      <c r="B1829" s="13">
        <f t="shared" si="3"/>
        <v>1823</v>
      </c>
      <c r="C1829" s="15" t="str">
        <f t="array" ref="C1829">IFNA(_xlfn.XLOOKUP(B1829,Table_Respons_Loket[Count],Table_Respons_Loket[Nomor Tiket]),"")</f>
        <v/>
      </c>
      <c r="D1829" s="15" t="str">
        <f t="array" ref="D1829">IFNA(_xlfn.XLOOKUP(B1829,Table_Respons_Loket[Count],Table_Respons_Loket[Daftar Nomor Hak]),"")</f>
        <v/>
      </c>
      <c r="E1829" s="17" t="str">
        <f t="array" ref="E1829">IFNA(_xlfn.XLOOKUP(B1829,Table_Respons_Loket[Count],Table_Respons_Loket[Time Stamp]),"")</f>
        <v/>
      </c>
      <c r="F1829" s="18" t="str">
        <f t="array" ref="F1829">IFNA(_xlfn.XLOOKUP(B1829,Table_Respons_Loket[Count],Table_Respons_Loket[Jenis Permohonan]),"")</f>
        <v/>
      </c>
      <c r="G1829" s="24"/>
      <c r="H1829" s="24"/>
      <c r="I1829" s="22" t="str">
        <f t="shared" si="7"/>
        <v/>
      </c>
      <c r="J1829" s="20" t="b">
        <v>0</v>
      </c>
      <c r="K1829" s="13" t="str">
        <f t="shared" si="8"/>
        <v/>
      </c>
    </row>
    <row r="1830" ht="22.5" customHeight="1">
      <c r="B1830" s="13">
        <f t="shared" si="3"/>
        <v>1824</v>
      </c>
      <c r="C1830" s="15" t="str">
        <f t="array" ref="C1830">IFNA(_xlfn.XLOOKUP(B1830,Table_Respons_Loket[Count],Table_Respons_Loket[Nomor Tiket]),"")</f>
        <v/>
      </c>
      <c r="D1830" s="15" t="str">
        <f t="array" ref="D1830">IFNA(_xlfn.XLOOKUP(B1830,Table_Respons_Loket[Count],Table_Respons_Loket[Daftar Nomor Hak]),"")</f>
        <v/>
      </c>
      <c r="E1830" s="17" t="str">
        <f t="array" ref="E1830">IFNA(_xlfn.XLOOKUP(B1830,Table_Respons_Loket[Count],Table_Respons_Loket[Time Stamp]),"")</f>
        <v/>
      </c>
      <c r="F1830" s="18" t="str">
        <f t="array" ref="F1830">IFNA(_xlfn.XLOOKUP(B1830,Table_Respons_Loket[Count],Table_Respons_Loket[Jenis Permohonan]),"")</f>
        <v/>
      </c>
      <c r="G1830" s="24"/>
      <c r="H1830" s="24"/>
      <c r="I1830" s="22" t="str">
        <f t="shared" si="7"/>
        <v/>
      </c>
      <c r="J1830" s="20" t="b">
        <v>0</v>
      </c>
      <c r="K1830" s="13" t="str">
        <f t="shared" si="8"/>
        <v/>
      </c>
    </row>
    <row r="1831" ht="22.5" customHeight="1">
      <c r="B1831" s="13">
        <f t="shared" si="3"/>
        <v>1825</v>
      </c>
      <c r="C1831" s="15" t="str">
        <f t="array" ref="C1831">IFNA(_xlfn.XLOOKUP(B1831,Table_Respons_Loket[Count],Table_Respons_Loket[Nomor Tiket]),"")</f>
        <v/>
      </c>
      <c r="D1831" s="15" t="str">
        <f t="array" ref="D1831">IFNA(_xlfn.XLOOKUP(B1831,Table_Respons_Loket[Count],Table_Respons_Loket[Daftar Nomor Hak]),"")</f>
        <v/>
      </c>
      <c r="E1831" s="17" t="str">
        <f t="array" ref="E1831">IFNA(_xlfn.XLOOKUP(B1831,Table_Respons_Loket[Count],Table_Respons_Loket[Time Stamp]),"")</f>
        <v/>
      </c>
      <c r="F1831" s="18" t="str">
        <f t="array" ref="F1831">IFNA(_xlfn.XLOOKUP(B1831,Table_Respons_Loket[Count],Table_Respons_Loket[Jenis Permohonan]),"")</f>
        <v/>
      </c>
      <c r="G1831" s="24"/>
      <c r="H1831" s="24"/>
      <c r="I1831" s="22" t="str">
        <f t="shared" si="7"/>
        <v/>
      </c>
      <c r="J1831" s="20" t="b">
        <v>0</v>
      </c>
      <c r="K1831" s="13" t="str">
        <f t="shared" si="8"/>
        <v/>
      </c>
    </row>
    <row r="1832" ht="22.5" customHeight="1">
      <c r="B1832" s="13">
        <f t="shared" si="3"/>
        <v>1826</v>
      </c>
      <c r="C1832" s="15" t="str">
        <f t="array" ref="C1832">IFNA(_xlfn.XLOOKUP(B1832,Table_Respons_Loket[Count],Table_Respons_Loket[Nomor Tiket]),"")</f>
        <v/>
      </c>
      <c r="D1832" s="15" t="str">
        <f t="array" ref="D1832">IFNA(_xlfn.XLOOKUP(B1832,Table_Respons_Loket[Count],Table_Respons_Loket[Daftar Nomor Hak]),"")</f>
        <v/>
      </c>
      <c r="E1832" s="17" t="str">
        <f t="array" ref="E1832">IFNA(_xlfn.XLOOKUP(B1832,Table_Respons_Loket[Count],Table_Respons_Loket[Time Stamp]),"")</f>
        <v/>
      </c>
      <c r="F1832" s="18" t="str">
        <f t="array" ref="F1832">IFNA(_xlfn.XLOOKUP(B1832,Table_Respons_Loket[Count],Table_Respons_Loket[Jenis Permohonan]),"")</f>
        <v/>
      </c>
      <c r="G1832" s="24"/>
      <c r="H1832" s="24"/>
      <c r="I1832" s="22" t="str">
        <f t="shared" si="7"/>
        <v/>
      </c>
      <c r="J1832" s="20" t="b">
        <v>0</v>
      </c>
      <c r="K1832" s="13" t="str">
        <f t="shared" si="8"/>
        <v/>
      </c>
    </row>
    <row r="1833" ht="22.5" customHeight="1">
      <c r="B1833" s="13">
        <f t="shared" si="3"/>
        <v>1827</v>
      </c>
      <c r="C1833" s="15" t="str">
        <f t="array" ref="C1833">IFNA(_xlfn.XLOOKUP(B1833,Table_Respons_Loket[Count],Table_Respons_Loket[Nomor Tiket]),"")</f>
        <v/>
      </c>
      <c r="D1833" s="15" t="str">
        <f t="array" ref="D1833">IFNA(_xlfn.XLOOKUP(B1833,Table_Respons_Loket[Count],Table_Respons_Loket[Daftar Nomor Hak]),"")</f>
        <v/>
      </c>
      <c r="E1833" s="17" t="str">
        <f t="array" ref="E1833">IFNA(_xlfn.XLOOKUP(B1833,Table_Respons_Loket[Count],Table_Respons_Loket[Time Stamp]),"")</f>
        <v/>
      </c>
      <c r="F1833" s="18" t="str">
        <f t="array" ref="F1833">IFNA(_xlfn.XLOOKUP(B1833,Table_Respons_Loket[Count],Table_Respons_Loket[Jenis Permohonan]),"")</f>
        <v/>
      </c>
      <c r="G1833" s="24"/>
      <c r="H1833" s="24"/>
      <c r="I1833" s="22" t="str">
        <f t="shared" si="7"/>
        <v/>
      </c>
      <c r="J1833" s="20" t="b">
        <v>0</v>
      </c>
      <c r="K1833" s="13" t="str">
        <f t="shared" si="8"/>
        <v/>
      </c>
    </row>
    <row r="1834" ht="22.5" customHeight="1">
      <c r="B1834" s="13">
        <f t="shared" si="3"/>
        <v>1828</v>
      </c>
      <c r="C1834" s="15" t="str">
        <f t="array" ref="C1834">IFNA(_xlfn.XLOOKUP(B1834,Table_Respons_Loket[Count],Table_Respons_Loket[Nomor Tiket]),"")</f>
        <v/>
      </c>
      <c r="D1834" s="15" t="str">
        <f t="array" ref="D1834">IFNA(_xlfn.XLOOKUP(B1834,Table_Respons_Loket[Count],Table_Respons_Loket[Daftar Nomor Hak]),"")</f>
        <v/>
      </c>
      <c r="E1834" s="17" t="str">
        <f t="array" ref="E1834">IFNA(_xlfn.XLOOKUP(B1834,Table_Respons_Loket[Count],Table_Respons_Loket[Time Stamp]),"")</f>
        <v/>
      </c>
      <c r="F1834" s="18" t="str">
        <f t="array" ref="F1834">IFNA(_xlfn.XLOOKUP(B1834,Table_Respons_Loket[Count],Table_Respons_Loket[Jenis Permohonan]),"")</f>
        <v/>
      </c>
      <c r="G1834" s="24"/>
      <c r="H1834" s="24"/>
      <c r="I1834" s="22" t="str">
        <f t="shared" si="7"/>
        <v/>
      </c>
      <c r="J1834" s="20" t="b">
        <v>0</v>
      </c>
      <c r="K1834" s="13" t="str">
        <f t="shared" si="8"/>
        <v/>
      </c>
    </row>
    <row r="1835" ht="22.5" customHeight="1">
      <c r="B1835" s="13">
        <f t="shared" si="3"/>
        <v>1829</v>
      </c>
      <c r="C1835" s="15" t="str">
        <f t="array" ref="C1835">IFNA(_xlfn.XLOOKUP(B1835,Table_Respons_Loket[Count],Table_Respons_Loket[Nomor Tiket]),"")</f>
        <v/>
      </c>
      <c r="D1835" s="15" t="str">
        <f t="array" ref="D1835">IFNA(_xlfn.XLOOKUP(B1835,Table_Respons_Loket[Count],Table_Respons_Loket[Daftar Nomor Hak]),"")</f>
        <v/>
      </c>
      <c r="E1835" s="17" t="str">
        <f t="array" ref="E1835">IFNA(_xlfn.XLOOKUP(B1835,Table_Respons_Loket[Count],Table_Respons_Loket[Time Stamp]),"")</f>
        <v/>
      </c>
      <c r="F1835" s="18" t="str">
        <f t="array" ref="F1835">IFNA(_xlfn.XLOOKUP(B1835,Table_Respons_Loket[Count],Table_Respons_Loket[Jenis Permohonan]),"")</f>
        <v/>
      </c>
      <c r="G1835" s="24"/>
      <c r="H1835" s="24"/>
      <c r="I1835" s="22" t="str">
        <f t="shared" si="7"/>
        <v/>
      </c>
      <c r="J1835" s="20" t="b">
        <v>0</v>
      </c>
      <c r="K1835" s="13" t="str">
        <f t="shared" si="8"/>
        <v/>
      </c>
    </row>
    <row r="1836" ht="22.5" customHeight="1">
      <c r="B1836" s="13">
        <f t="shared" si="3"/>
        <v>1830</v>
      </c>
      <c r="C1836" s="15" t="str">
        <f t="array" ref="C1836">IFNA(_xlfn.XLOOKUP(B1836,Table_Respons_Loket[Count],Table_Respons_Loket[Nomor Tiket]),"")</f>
        <v/>
      </c>
      <c r="D1836" s="15" t="str">
        <f t="array" ref="D1836">IFNA(_xlfn.XLOOKUP(B1836,Table_Respons_Loket[Count],Table_Respons_Loket[Daftar Nomor Hak]),"")</f>
        <v/>
      </c>
      <c r="E1836" s="17" t="str">
        <f t="array" ref="E1836">IFNA(_xlfn.XLOOKUP(B1836,Table_Respons_Loket[Count],Table_Respons_Loket[Time Stamp]),"")</f>
        <v/>
      </c>
      <c r="F1836" s="18" t="str">
        <f t="array" ref="F1836">IFNA(_xlfn.XLOOKUP(B1836,Table_Respons_Loket[Count],Table_Respons_Loket[Jenis Permohonan]),"")</f>
        <v/>
      </c>
      <c r="G1836" s="24"/>
      <c r="H1836" s="24"/>
      <c r="I1836" s="22" t="str">
        <f t="shared" si="7"/>
        <v/>
      </c>
      <c r="J1836" s="20" t="b">
        <v>0</v>
      </c>
      <c r="K1836" s="13" t="str">
        <f t="shared" si="8"/>
        <v/>
      </c>
    </row>
    <row r="1837" ht="22.5" customHeight="1">
      <c r="B1837" s="13">
        <f t="shared" si="3"/>
        <v>1831</v>
      </c>
      <c r="C1837" s="15" t="str">
        <f t="array" ref="C1837">IFNA(_xlfn.XLOOKUP(B1837,Table_Respons_Loket[Count],Table_Respons_Loket[Nomor Tiket]),"")</f>
        <v/>
      </c>
      <c r="D1837" s="15" t="str">
        <f t="array" ref="D1837">IFNA(_xlfn.XLOOKUP(B1837,Table_Respons_Loket[Count],Table_Respons_Loket[Daftar Nomor Hak]),"")</f>
        <v/>
      </c>
      <c r="E1837" s="17" t="str">
        <f t="array" ref="E1837">IFNA(_xlfn.XLOOKUP(B1837,Table_Respons_Loket[Count],Table_Respons_Loket[Time Stamp]),"")</f>
        <v/>
      </c>
      <c r="F1837" s="18" t="str">
        <f t="array" ref="F1837">IFNA(_xlfn.XLOOKUP(B1837,Table_Respons_Loket[Count],Table_Respons_Loket[Jenis Permohonan]),"")</f>
        <v/>
      </c>
      <c r="G1837" s="24"/>
      <c r="H1837" s="24"/>
      <c r="I1837" s="22" t="str">
        <f t="shared" si="7"/>
        <v/>
      </c>
      <c r="J1837" s="20" t="b">
        <v>0</v>
      </c>
      <c r="K1837" s="13" t="str">
        <f t="shared" si="8"/>
        <v/>
      </c>
    </row>
    <row r="1838" ht="22.5" customHeight="1">
      <c r="B1838" s="13">
        <f t="shared" si="3"/>
        <v>1832</v>
      </c>
      <c r="C1838" s="15" t="str">
        <f t="array" ref="C1838">IFNA(_xlfn.XLOOKUP(B1838,Table_Respons_Loket[Count],Table_Respons_Loket[Nomor Tiket]),"")</f>
        <v/>
      </c>
      <c r="D1838" s="15" t="str">
        <f t="array" ref="D1838">IFNA(_xlfn.XLOOKUP(B1838,Table_Respons_Loket[Count],Table_Respons_Loket[Daftar Nomor Hak]),"")</f>
        <v/>
      </c>
      <c r="E1838" s="17" t="str">
        <f t="array" ref="E1838">IFNA(_xlfn.XLOOKUP(B1838,Table_Respons_Loket[Count],Table_Respons_Loket[Time Stamp]),"")</f>
        <v/>
      </c>
      <c r="F1838" s="18" t="str">
        <f t="array" ref="F1838">IFNA(_xlfn.XLOOKUP(B1838,Table_Respons_Loket[Count],Table_Respons_Loket[Jenis Permohonan]),"")</f>
        <v/>
      </c>
      <c r="G1838" s="24"/>
      <c r="H1838" s="24"/>
      <c r="I1838" s="22" t="str">
        <f t="shared" si="7"/>
        <v/>
      </c>
      <c r="J1838" s="20" t="b">
        <v>0</v>
      </c>
      <c r="K1838" s="13" t="str">
        <f t="shared" si="8"/>
        <v/>
      </c>
    </row>
    <row r="1839" ht="22.5" customHeight="1">
      <c r="B1839" s="13">
        <f t="shared" si="3"/>
        <v>1833</v>
      </c>
      <c r="C1839" s="15" t="str">
        <f t="array" ref="C1839">IFNA(_xlfn.XLOOKUP(B1839,Table_Respons_Loket[Count],Table_Respons_Loket[Nomor Tiket]),"")</f>
        <v/>
      </c>
      <c r="D1839" s="15" t="str">
        <f t="array" ref="D1839">IFNA(_xlfn.XLOOKUP(B1839,Table_Respons_Loket[Count],Table_Respons_Loket[Daftar Nomor Hak]),"")</f>
        <v/>
      </c>
      <c r="E1839" s="17" t="str">
        <f t="array" ref="E1839">IFNA(_xlfn.XLOOKUP(B1839,Table_Respons_Loket[Count],Table_Respons_Loket[Time Stamp]),"")</f>
        <v/>
      </c>
      <c r="F1839" s="18" t="str">
        <f t="array" ref="F1839">IFNA(_xlfn.XLOOKUP(B1839,Table_Respons_Loket[Count],Table_Respons_Loket[Jenis Permohonan]),"")</f>
        <v/>
      </c>
      <c r="G1839" s="24"/>
      <c r="H1839" s="24"/>
      <c r="I1839" s="22" t="str">
        <f t="shared" si="7"/>
        <v/>
      </c>
      <c r="J1839" s="20" t="b">
        <v>0</v>
      </c>
      <c r="K1839" s="13" t="str">
        <f t="shared" si="8"/>
        <v/>
      </c>
    </row>
    <row r="1840" ht="22.5" customHeight="1">
      <c r="B1840" s="13">
        <f t="shared" si="3"/>
        <v>1834</v>
      </c>
      <c r="C1840" s="15" t="str">
        <f t="array" ref="C1840">IFNA(_xlfn.XLOOKUP(B1840,Table_Respons_Loket[Count],Table_Respons_Loket[Nomor Tiket]),"")</f>
        <v/>
      </c>
      <c r="D1840" s="15" t="str">
        <f t="array" ref="D1840">IFNA(_xlfn.XLOOKUP(B1840,Table_Respons_Loket[Count],Table_Respons_Loket[Daftar Nomor Hak]),"")</f>
        <v/>
      </c>
      <c r="E1840" s="17" t="str">
        <f t="array" ref="E1840">IFNA(_xlfn.XLOOKUP(B1840,Table_Respons_Loket[Count],Table_Respons_Loket[Time Stamp]),"")</f>
        <v/>
      </c>
      <c r="F1840" s="18" t="str">
        <f t="array" ref="F1840">IFNA(_xlfn.XLOOKUP(B1840,Table_Respons_Loket[Count],Table_Respons_Loket[Jenis Permohonan]),"")</f>
        <v/>
      </c>
      <c r="G1840" s="24"/>
      <c r="H1840" s="24"/>
      <c r="I1840" s="22" t="str">
        <f t="shared" si="7"/>
        <v/>
      </c>
      <c r="J1840" s="20" t="b">
        <v>0</v>
      </c>
      <c r="K1840" s="13" t="str">
        <f t="shared" si="8"/>
        <v/>
      </c>
    </row>
    <row r="1841" ht="22.5" customHeight="1">
      <c r="B1841" s="13">
        <f t="shared" si="3"/>
        <v>1835</v>
      </c>
      <c r="C1841" s="15" t="str">
        <f t="array" ref="C1841">IFNA(_xlfn.XLOOKUP(B1841,Table_Respons_Loket[Count],Table_Respons_Loket[Nomor Tiket]),"")</f>
        <v/>
      </c>
      <c r="D1841" s="15" t="str">
        <f t="array" ref="D1841">IFNA(_xlfn.XLOOKUP(B1841,Table_Respons_Loket[Count],Table_Respons_Loket[Daftar Nomor Hak]),"")</f>
        <v/>
      </c>
      <c r="E1841" s="17" t="str">
        <f t="array" ref="E1841">IFNA(_xlfn.XLOOKUP(B1841,Table_Respons_Loket[Count],Table_Respons_Loket[Time Stamp]),"")</f>
        <v/>
      </c>
      <c r="F1841" s="18" t="str">
        <f t="array" ref="F1841">IFNA(_xlfn.XLOOKUP(B1841,Table_Respons_Loket[Count],Table_Respons_Loket[Jenis Permohonan]),"")</f>
        <v/>
      </c>
      <c r="G1841" s="24"/>
      <c r="H1841" s="24"/>
      <c r="I1841" s="22" t="str">
        <f t="shared" si="7"/>
        <v/>
      </c>
      <c r="J1841" s="20" t="b">
        <v>0</v>
      </c>
      <c r="K1841" s="13" t="str">
        <f t="shared" si="8"/>
        <v/>
      </c>
    </row>
    <row r="1842" ht="22.5" customHeight="1">
      <c r="B1842" s="13">
        <f t="shared" si="3"/>
        <v>1836</v>
      </c>
      <c r="C1842" s="15" t="str">
        <f t="array" ref="C1842">IFNA(_xlfn.XLOOKUP(B1842,Table_Respons_Loket[Count],Table_Respons_Loket[Nomor Tiket]),"")</f>
        <v/>
      </c>
      <c r="D1842" s="15" t="str">
        <f t="array" ref="D1842">IFNA(_xlfn.XLOOKUP(B1842,Table_Respons_Loket[Count],Table_Respons_Loket[Daftar Nomor Hak]),"")</f>
        <v/>
      </c>
      <c r="E1842" s="17" t="str">
        <f t="array" ref="E1842">IFNA(_xlfn.XLOOKUP(B1842,Table_Respons_Loket[Count],Table_Respons_Loket[Time Stamp]),"")</f>
        <v/>
      </c>
      <c r="F1842" s="18" t="str">
        <f t="array" ref="F1842">IFNA(_xlfn.XLOOKUP(B1842,Table_Respons_Loket[Count],Table_Respons_Loket[Jenis Permohonan]),"")</f>
        <v/>
      </c>
      <c r="G1842" s="24"/>
      <c r="H1842" s="24"/>
      <c r="I1842" s="22" t="str">
        <f t="shared" si="7"/>
        <v/>
      </c>
      <c r="J1842" s="20" t="b">
        <v>0</v>
      </c>
      <c r="K1842" s="13" t="str">
        <f t="shared" si="8"/>
        <v/>
      </c>
    </row>
    <row r="1843" ht="22.5" customHeight="1">
      <c r="B1843" s="13">
        <f t="shared" si="3"/>
        <v>1837</v>
      </c>
      <c r="C1843" s="15" t="str">
        <f t="array" ref="C1843">IFNA(_xlfn.XLOOKUP(B1843,Table_Respons_Loket[Count],Table_Respons_Loket[Nomor Tiket]),"")</f>
        <v/>
      </c>
      <c r="D1843" s="15" t="str">
        <f t="array" ref="D1843">IFNA(_xlfn.XLOOKUP(B1843,Table_Respons_Loket[Count],Table_Respons_Loket[Daftar Nomor Hak]),"")</f>
        <v/>
      </c>
      <c r="E1843" s="17" t="str">
        <f t="array" ref="E1843">IFNA(_xlfn.XLOOKUP(B1843,Table_Respons_Loket[Count],Table_Respons_Loket[Time Stamp]),"")</f>
        <v/>
      </c>
      <c r="F1843" s="18" t="str">
        <f t="array" ref="F1843">IFNA(_xlfn.XLOOKUP(B1843,Table_Respons_Loket[Count],Table_Respons_Loket[Jenis Permohonan]),"")</f>
        <v/>
      </c>
      <c r="G1843" s="24"/>
      <c r="H1843" s="24"/>
      <c r="I1843" s="22" t="str">
        <f t="shared" si="7"/>
        <v/>
      </c>
      <c r="J1843" s="20" t="b">
        <v>0</v>
      </c>
      <c r="K1843" s="13" t="str">
        <f t="shared" si="8"/>
        <v/>
      </c>
    </row>
    <row r="1844" ht="22.5" customHeight="1">
      <c r="B1844" s="13">
        <f t="shared" si="3"/>
        <v>1838</v>
      </c>
      <c r="C1844" s="15" t="str">
        <f t="array" ref="C1844">IFNA(_xlfn.XLOOKUP(B1844,Table_Respons_Loket[Count],Table_Respons_Loket[Nomor Tiket]),"")</f>
        <v/>
      </c>
      <c r="D1844" s="15" t="str">
        <f t="array" ref="D1844">IFNA(_xlfn.XLOOKUP(B1844,Table_Respons_Loket[Count],Table_Respons_Loket[Daftar Nomor Hak]),"")</f>
        <v/>
      </c>
      <c r="E1844" s="17" t="str">
        <f t="array" ref="E1844">IFNA(_xlfn.XLOOKUP(B1844,Table_Respons_Loket[Count],Table_Respons_Loket[Time Stamp]),"")</f>
        <v/>
      </c>
      <c r="F1844" s="18" t="str">
        <f t="array" ref="F1844">IFNA(_xlfn.XLOOKUP(B1844,Table_Respons_Loket[Count],Table_Respons_Loket[Jenis Permohonan]),"")</f>
        <v/>
      </c>
      <c r="G1844" s="24"/>
      <c r="H1844" s="24"/>
      <c r="I1844" s="22" t="str">
        <f t="shared" si="7"/>
        <v/>
      </c>
      <c r="J1844" s="20" t="b">
        <v>0</v>
      </c>
      <c r="K1844" s="13" t="str">
        <f t="shared" si="8"/>
        <v/>
      </c>
    </row>
    <row r="1845" ht="22.5" customHeight="1">
      <c r="B1845" s="13">
        <f t="shared" si="3"/>
        <v>1839</v>
      </c>
      <c r="C1845" s="15" t="str">
        <f t="array" ref="C1845">IFNA(_xlfn.XLOOKUP(B1845,Table_Respons_Loket[Count],Table_Respons_Loket[Nomor Tiket]),"")</f>
        <v/>
      </c>
      <c r="D1845" s="15" t="str">
        <f t="array" ref="D1845">IFNA(_xlfn.XLOOKUP(B1845,Table_Respons_Loket[Count],Table_Respons_Loket[Daftar Nomor Hak]),"")</f>
        <v/>
      </c>
      <c r="E1845" s="17" t="str">
        <f t="array" ref="E1845">IFNA(_xlfn.XLOOKUP(B1845,Table_Respons_Loket[Count],Table_Respons_Loket[Time Stamp]),"")</f>
        <v/>
      </c>
      <c r="F1845" s="18" t="str">
        <f t="array" ref="F1845">IFNA(_xlfn.XLOOKUP(B1845,Table_Respons_Loket[Count],Table_Respons_Loket[Jenis Permohonan]),"")</f>
        <v/>
      </c>
      <c r="G1845" s="24"/>
      <c r="H1845" s="24"/>
      <c r="I1845" s="22" t="str">
        <f t="shared" si="7"/>
        <v/>
      </c>
      <c r="J1845" s="20" t="b">
        <v>0</v>
      </c>
      <c r="K1845" s="13" t="str">
        <f t="shared" si="8"/>
        <v/>
      </c>
    </row>
    <row r="1846" ht="22.5" customHeight="1">
      <c r="B1846" s="13">
        <f t="shared" si="3"/>
        <v>1840</v>
      </c>
      <c r="C1846" s="15" t="str">
        <f t="array" ref="C1846">IFNA(_xlfn.XLOOKUP(B1846,Table_Respons_Loket[Count],Table_Respons_Loket[Nomor Tiket]),"")</f>
        <v/>
      </c>
      <c r="D1846" s="15" t="str">
        <f t="array" ref="D1846">IFNA(_xlfn.XLOOKUP(B1846,Table_Respons_Loket[Count],Table_Respons_Loket[Daftar Nomor Hak]),"")</f>
        <v/>
      </c>
      <c r="E1846" s="17" t="str">
        <f t="array" ref="E1846">IFNA(_xlfn.XLOOKUP(B1846,Table_Respons_Loket[Count],Table_Respons_Loket[Time Stamp]),"")</f>
        <v/>
      </c>
      <c r="F1846" s="18" t="str">
        <f t="array" ref="F1846">IFNA(_xlfn.XLOOKUP(B1846,Table_Respons_Loket[Count],Table_Respons_Loket[Jenis Permohonan]),"")</f>
        <v/>
      </c>
      <c r="G1846" s="24"/>
      <c r="H1846" s="24"/>
      <c r="I1846" s="22" t="str">
        <f t="shared" si="7"/>
        <v/>
      </c>
      <c r="J1846" s="20" t="b">
        <v>0</v>
      </c>
      <c r="K1846" s="13" t="str">
        <f t="shared" si="8"/>
        <v/>
      </c>
    </row>
    <row r="1847" ht="22.5" customHeight="1">
      <c r="B1847" s="13">
        <f t="shared" si="3"/>
        <v>1841</v>
      </c>
      <c r="C1847" s="15" t="str">
        <f t="array" ref="C1847">IFNA(_xlfn.XLOOKUP(B1847,Table_Respons_Loket[Count],Table_Respons_Loket[Nomor Tiket]),"")</f>
        <v/>
      </c>
      <c r="D1847" s="15" t="str">
        <f t="array" ref="D1847">IFNA(_xlfn.XLOOKUP(B1847,Table_Respons_Loket[Count],Table_Respons_Loket[Daftar Nomor Hak]),"")</f>
        <v/>
      </c>
      <c r="E1847" s="17" t="str">
        <f t="array" ref="E1847">IFNA(_xlfn.XLOOKUP(B1847,Table_Respons_Loket[Count],Table_Respons_Loket[Time Stamp]),"")</f>
        <v/>
      </c>
      <c r="F1847" s="18" t="str">
        <f t="array" ref="F1847">IFNA(_xlfn.XLOOKUP(B1847,Table_Respons_Loket[Count],Table_Respons_Loket[Jenis Permohonan]),"")</f>
        <v/>
      </c>
      <c r="G1847" s="24"/>
      <c r="H1847" s="24"/>
      <c r="I1847" s="22" t="str">
        <f t="shared" si="7"/>
        <v/>
      </c>
      <c r="J1847" s="20" t="b">
        <v>0</v>
      </c>
      <c r="K1847" s="13" t="str">
        <f t="shared" si="8"/>
        <v/>
      </c>
    </row>
    <row r="1848" ht="22.5" customHeight="1">
      <c r="B1848" s="13">
        <f t="shared" si="3"/>
        <v>1842</v>
      </c>
      <c r="C1848" s="15" t="str">
        <f t="array" ref="C1848">IFNA(_xlfn.XLOOKUP(B1848,Table_Respons_Loket[Count],Table_Respons_Loket[Nomor Tiket]),"")</f>
        <v/>
      </c>
      <c r="D1848" s="15" t="str">
        <f t="array" ref="D1848">IFNA(_xlfn.XLOOKUP(B1848,Table_Respons_Loket[Count],Table_Respons_Loket[Daftar Nomor Hak]),"")</f>
        <v/>
      </c>
      <c r="E1848" s="17" t="str">
        <f t="array" ref="E1848">IFNA(_xlfn.XLOOKUP(B1848,Table_Respons_Loket[Count],Table_Respons_Loket[Time Stamp]),"")</f>
        <v/>
      </c>
      <c r="F1848" s="18" t="str">
        <f t="array" ref="F1848">IFNA(_xlfn.XLOOKUP(B1848,Table_Respons_Loket[Count],Table_Respons_Loket[Jenis Permohonan]),"")</f>
        <v/>
      </c>
      <c r="G1848" s="24"/>
      <c r="H1848" s="24"/>
      <c r="I1848" s="22" t="str">
        <f t="shared" si="7"/>
        <v/>
      </c>
      <c r="J1848" s="20" t="b">
        <v>0</v>
      </c>
      <c r="K1848" s="13" t="str">
        <f t="shared" si="8"/>
        <v/>
      </c>
    </row>
    <row r="1849" ht="22.5" customHeight="1">
      <c r="B1849" s="13">
        <f t="shared" si="3"/>
        <v>1843</v>
      </c>
      <c r="C1849" s="15" t="str">
        <f t="array" ref="C1849">IFNA(_xlfn.XLOOKUP(B1849,Table_Respons_Loket[Count],Table_Respons_Loket[Nomor Tiket]),"")</f>
        <v/>
      </c>
      <c r="D1849" s="15" t="str">
        <f t="array" ref="D1849">IFNA(_xlfn.XLOOKUP(B1849,Table_Respons_Loket[Count],Table_Respons_Loket[Daftar Nomor Hak]),"")</f>
        <v/>
      </c>
      <c r="E1849" s="17" t="str">
        <f t="array" ref="E1849">IFNA(_xlfn.XLOOKUP(B1849,Table_Respons_Loket[Count],Table_Respons_Loket[Time Stamp]),"")</f>
        <v/>
      </c>
      <c r="F1849" s="18" t="str">
        <f t="array" ref="F1849">IFNA(_xlfn.XLOOKUP(B1849,Table_Respons_Loket[Count],Table_Respons_Loket[Jenis Permohonan]),"")</f>
        <v/>
      </c>
      <c r="G1849" s="24"/>
      <c r="H1849" s="24"/>
      <c r="I1849" s="22" t="str">
        <f t="shared" si="7"/>
        <v/>
      </c>
      <c r="J1849" s="20" t="b">
        <v>0</v>
      </c>
      <c r="K1849" s="13" t="str">
        <f t="shared" si="8"/>
        <v/>
      </c>
    </row>
    <row r="1850" ht="22.5" customHeight="1">
      <c r="B1850" s="13">
        <f t="shared" si="3"/>
        <v>1844</v>
      </c>
      <c r="C1850" s="15" t="str">
        <f t="array" ref="C1850">IFNA(_xlfn.XLOOKUP(B1850,Table_Respons_Loket[Count],Table_Respons_Loket[Nomor Tiket]),"")</f>
        <v/>
      </c>
      <c r="D1850" s="15" t="str">
        <f t="array" ref="D1850">IFNA(_xlfn.XLOOKUP(B1850,Table_Respons_Loket[Count],Table_Respons_Loket[Daftar Nomor Hak]),"")</f>
        <v/>
      </c>
      <c r="E1850" s="17" t="str">
        <f t="array" ref="E1850">IFNA(_xlfn.XLOOKUP(B1850,Table_Respons_Loket[Count],Table_Respons_Loket[Time Stamp]),"")</f>
        <v/>
      </c>
      <c r="F1850" s="18" t="str">
        <f t="array" ref="F1850">IFNA(_xlfn.XLOOKUP(B1850,Table_Respons_Loket[Count],Table_Respons_Loket[Jenis Permohonan]),"")</f>
        <v/>
      </c>
      <c r="G1850" s="24"/>
      <c r="H1850" s="24"/>
      <c r="I1850" s="22" t="str">
        <f t="shared" si="7"/>
        <v/>
      </c>
      <c r="J1850" s="20" t="b">
        <v>0</v>
      </c>
      <c r="K1850" s="13" t="str">
        <f t="shared" si="8"/>
        <v/>
      </c>
    </row>
    <row r="1851" ht="22.5" customHeight="1">
      <c r="B1851" s="13">
        <f t="shared" si="3"/>
        <v>1845</v>
      </c>
      <c r="C1851" s="15" t="str">
        <f t="array" ref="C1851">IFNA(_xlfn.XLOOKUP(B1851,Table_Respons_Loket[Count],Table_Respons_Loket[Nomor Tiket]),"")</f>
        <v/>
      </c>
      <c r="D1851" s="15" t="str">
        <f t="array" ref="D1851">IFNA(_xlfn.XLOOKUP(B1851,Table_Respons_Loket[Count],Table_Respons_Loket[Daftar Nomor Hak]),"")</f>
        <v/>
      </c>
      <c r="E1851" s="17" t="str">
        <f t="array" ref="E1851">IFNA(_xlfn.XLOOKUP(B1851,Table_Respons_Loket[Count],Table_Respons_Loket[Time Stamp]),"")</f>
        <v/>
      </c>
      <c r="F1851" s="18" t="str">
        <f t="array" ref="F1851">IFNA(_xlfn.XLOOKUP(B1851,Table_Respons_Loket[Count],Table_Respons_Loket[Jenis Permohonan]),"")</f>
        <v/>
      </c>
      <c r="G1851" s="24"/>
      <c r="H1851" s="24"/>
      <c r="I1851" s="22" t="str">
        <f t="shared" si="7"/>
        <v/>
      </c>
      <c r="J1851" s="20" t="b">
        <v>0</v>
      </c>
      <c r="K1851" s="13" t="str">
        <f t="shared" si="8"/>
        <v/>
      </c>
    </row>
    <row r="1852" ht="22.5" customHeight="1">
      <c r="B1852" s="13">
        <f t="shared" si="3"/>
        <v>1846</v>
      </c>
      <c r="C1852" s="15" t="str">
        <f t="array" ref="C1852">IFNA(_xlfn.XLOOKUP(B1852,Table_Respons_Loket[Count],Table_Respons_Loket[Nomor Tiket]),"")</f>
        <v/>
      </c>
      <c r="D1852" s="15" t="str">
        <f t="array" ref="D1852">IFNA(_xlfn.XLOOKUP(B1852,Table_Respons_Loket[Count],Table_Respons_Loket[Daftar Nomor Hak]),"")</f>
        <v/>
      </c>
      <c r="E1852" s="17" t="str">
        <f t="array" ref="E1852">IFNA(_xlfn.XLOOKUP(B1852,Table_Respons_Loket[Count],Table_Respons_Loket[Time Stamp]),"")</f>
        <v/>
      </c>
      <c r="F1852" s="18" t="str">
        <f t="array" ref="F1852">IFNA(_xlfn.XLOOKUP(B1852,Table_Respons_Loket[Count],Table_Respons_Loket[Jenis Permohonan]),"")</f>
        <v/>
      </c>
      <c r="G1852" s="24"/>
      <c r="H1852" s="24"/>
      <c r="I1852" s="22" t="str">
        <f t="shared" si="7"/>
        <v/>
      </c>
      <c r="J1852" s="20" t="b">
        <v>0</v>
      </c>
      <c r="K1852" s="13" t="str">
        <f t="shared" si="8"/>
        <v/>
      </c>
    </row>
    <row r="1853" ht="22.5" customHeight="1">
      <c r="B1853" s="13">
        <f t="shared" si="3"/>
        <v>1847</v>
      </c>
      <c r="C1853" s="15" t="str">
        <f t="array" ref="C1853">IFNA(_xlfn.XLOOKUP(B1853,Table_Respons_Loket[Count],Table_Respons_Loket[Nomor Tiket]),"")</f>
        <v/>
      </c>
      <c r="D1853" s="15" t="str">
        <f t="array" ref="D1853">IFNA(_xlfn.XLOOKUP(B1853,Table_Respons_Loket[Count],Table_Respons_Loket[Daftar Nomor Hak]),"")</f>
        <v/>
      </c>
      <c r="E1853" s="17" t="str">
        <f t="array" ref="E1853">IFNA(_xlfn.XLOOKUP(B1853,Table_Respons_Loket[Count],Table_Respons_Loket[Time Stamp]),"")</f>
        <v/>
      </c>
      <c r="F1853" s="18" t="str">
        <f t="array" ref="F1853">IFNA(_xlfn.XLOOKUP(B1853,Table_Respons_Loket[Count],Table_Respons_Loket[Jenis Permohonan]),"")</f>
        <v/>
      </c>
      <c r="G1853" s="24"/>
      <c r="H1853" s="24"/>
      <c r="I1853" s="22" t="str">
        <f t="shared" si="7"/>
        <v/>
      </c>
      <c r="J1853" s="20" t="b">
        <v>0</v>
      </c>
      <c r="K1853" s="13" t="str">
        <f t="shared" si="8"/>
        <v/>
      </c>
    </row>
    <row r="1854" ht="22.5" customHeight="1">
      <c r="B1854" s="13">
        <f t="shared" si="3"/>
        <v>1848</v>
      </c>
      <c r="C1854" s="15" t="str">
        <f t="array" ref="C1854">IFNA(_xlfn.XLOOKUP(B1854,Table_Respons_Loket[Count],Table_Respons_Loket[Nomor Tiket]),"")</f>
        <v/>
      </c>
      <c r="D1854" s="15" t="str">
        <f t="array" ref="D1854">IFNA(_xlfn.XLOOKUP(B1854,Table_Respons_Loket[Count],Table_Respons_Loket[Daftar Nomor Hak]),"")</f>
        <v/>
      </c>
      <c r="E1854" s="17" t="str">
        <f t="array" ref="E1854">IFNA(_xlfn.XLOOKUP(B1854,Table_Respons_Loket[Count],Table_Respons_Loket[Time Stamp]),"")</f>
        <v/>
      </c>
      <c r="F1854" s="18" t="str">
        <f t="array" ref="F1854">IFNA(_xlfn.XLOOKUP(B1854,Table_Respons_Loket[Count],Table_Respons_Loket[Jenis Permohonan]),"")</f>
        <v/>
      </c>
      <c r="G1854" s="24"/>
      <c r="H1854" s="24"/>
      <c r="I1854" s="22" t="str">
        <f t="shared" si="7"/>
        <v/>
      </c>
      <c r="J1854" s="20" t="b">
        <v>0</v>
      </c>
      <c r="K1854" s="13" t="str">
        <f t="shared" si="8"/>
        <v/>
      </c>
    </row>
    <row r="1855" ht="22.5" customHeight="1">
      <c r="B1855" s="13">
        <f t="shared" si="3"/>
        <v>1849</v>
      </c>
      <c r="C1855" s="15" t="str">
        <f t="array" ref="C1855">IFNA(_xlfn.XLOOKUP(B1855,Table_Respons_Loket[Count],Table_Respons_Loket[Nomor Tiket]),"")</f>
        <v/>
      </c>
      <c r="D1855" s="15" t="str">
        <f t="array" ref="D1855">IFNA(_xlfn.XLOOKUP(B1855,Table_Respons_Loket[Count],Table_Respons_Loket[Daftar Nomor Hak]),"")</f>
        <v/>
      </c>
      <c r="E1855" s="17" t="str">
        <f t="array" ref="E1855">IFNA(_xlfn.XLOOKUP(B1855,Table_Respons_Loket[Count],Table_Respons_Loket[Time Stamp]),"")</f>
        <v/>
      </c>
      <c r="F1855" s="18" t="str">
        <f t="array" ref="F1855">IFNA(_xlfn.XLOOKUP(B1855,Table_Respons_Loket[Count],Table_Respons_Loket[Jenis Permohonan]),"")</f>
        <v/>
      </c>
      <c r="G1855" s="24"/>
      <c r="H1855" s="24"/>
      <c r="I1855" s="22" t="str">
        <f t="shared" si="7"/>
        <v/>
      </c>
      <c r="J1855" s="20" t="b">
        <v>0</v>
      </c>
      <c r="K1855" s="13" t="str">
        <f t="shared" si="8"/>
        <v/>
      </c>
    </row>
    <row r="1856" ht="22.5" customHeight="1">
      <c r="B1856" s="13">
        <f t="shared" si="3"/>
        <v>1850</v>
      </c>
      <c r="C1856" s="15" t="str">
        <f t="array" ref="C1856">IFNA(_xlfn.XLOOKUP(B1856,Table_Respons_Loket[Count],Table_Respons_Loket[Nomor Tiket]),"")</f>
        <v/>
      </c>
      <c r="D1856" s="15" t="str">
        <f t="array" ref="D1856">IFNA(_xlfn.XLOOKUP(B1856,Table_Respons_Loket[Count],Table_Respons_Loket[Daftar Nomor Hak]),"")</f>
        <v/>
      </c>
      <c r="E1856" s="17" t="str">
        <f t="array" ref="E1856">IFNA(_xlfn.XLOOKUP(B1856,Table_Respons_Loket[Count],Table_Respons_Loket[Time Stamp]),"")</f>
        <v/>
      </c>
      <c r="F1856" s="18" t="str">
        <f t="array" ref="F1856">IFNA(_xlfn.XLOOKUP(B1856,Table_Respons_Loket[Count],Table_Respons_Loket[Jenis Permohonan]),"")</f>
        <v/>
      </c>
      <c r="G1856" s="24"/>
      <c r="H1856" s="24"/>
      <c r="I1856" s="22" t="str">
        <f t="shared" si="7"/>
        <v/>
      </c>
      <c r="J1856" s="20" t="b">
        <v>0</v>
      </c>
      <c r="K1856" s="13" t="str">
        <f t="shared" si="8"/>
        <v/>
      </c>
    </row>
    <row r="1857" ht="22.5" customHeight="1">
      <c r="B1857" s="13">
        <f t="shared" si="3"/>
        <v>1851</v>
      </c>
      <c r="C1857" s="15" t="str">
        <f t="array" ref="C1857">IFNA(_xlfn.XLOOKUP(B1857,Table_Respons_Loket[Count],Table_Respons_Loket[Nomor Tiket]),"")</f>
        <v/>
      </c>
      <c r="D1857" s="15" t="str">
        <f t="array" ref="D1857">IFNA(_xlfn.XLOOKUP(B1857,Table_Respons_Loket[Count],Table_Respons_Loket[Daftar Nomor Hak]),"")</f>
        <v/>
      </c>
      <c r="E1857" s="17" t="str">
        <f t="array" ref="E1857">IFNA(_xlfn.XLOOKUP(B1857,Table_Respons_Loket[Count],Table_Respons_Loket[Time Stamp]),"")</f>
        <v/>
      </c>
      <c r="F1857" s="18" t="str">
        <f t="array" ref="F1857">IFNA(_xlfn.XLOOKUP(B1857,Table_Respons_Loket[Count],Table_Respons_Loket[Jenis Permohonan]),"")</f>
        <v/>
      </c>
      <c r="G1857" s="24"/>
      <c r="H1857" s="24"/>
      <c r="I1857" s="22" t="str">
        <f t="shared" si="7"/>
        <v/>
      </c>
      <c r="J1857" s="20" t="b">
        <v>0</v>
      </c>
      <c r="K1857" s="13" t="str">
        <f t="shared" si="8"/>
        <v/>
      </c>
    </row>
    <row r="1858" ht="22.5" customHeight="1">
      <c r="B1858" s="13">
        <f t="shared" si="3"/>
        <v>1852</v>
      </c>
      <c r="C1858" s="15" t="str">
        <f t="array" ref="C1858">IFNA(_xlfn.XLOOKUP(B1858,Table_Respons_Loket[Count],Table_Respons_Loket[Nomor Tiket]),"")</f>
        <v/>
      </c>
      <c r="D1858" s="15" t="str">
        <f t="array" ref="D1858">IFNA(_xlfn.XLOOKUP(B1858,Table_Respons_Loket[Count],Table_Respons_Loket[Daftar Nomor Hak]),"")</f>
        <v/>
      </c>
      <c r="E1858" s="17" t="str">
        <f t="array" ref="E1858">IFNA(_xlfn.XLOOKUP(B1858,Table_Respons_Loket[Count],Table_Respons_Loket[Time Stamp]),"")</f>
        <v/>
      </c>
      <c r="F1858" s="18" t="str">
        <f t="array" ref="F1858">IFNA(_xlfn.XLOOKUP(B1858,Table_Respons_Loket[Count],Table_Respons_Loket[Jenis Permohonan]),"")</f>
        <v/>
      </c>
      <c r="G1858" s="24"/>
      <c r="H1858" s="24"/>
      <c r="I1858" s="22" t="str">
        <f t="shared" si="7"/>
        <v/>
      </c>
      <c r="J1858" s="20" t="b">
        <v>0</v>
      </c>
      <c r="K1858" s="13" t="str">
        <f t="shared" si="8"/>
        <v/>
      </c>
    </row>
    <row r="1859" ht="22.5" customHeight="1">
      <c r="B1859" s="13">
        <f t="shared" si="3"/>
        <v>1853</v>
      </c>
      <c r="C1859" s="15" t="str">
        <f t="array" ref="C1859">IFNA(_xlfn.XLOOKUP(B1859,Table_Respons_Loket[Count],Table_Respons_Loket[Nomor Tiket]),"")</f>
        <v/>
      </c>
      <c r="D1859" s="15" t="str">
        <f t="array" ref="D1859">IFNA(_xlfn.XLOOKUP(B1859,Table_Respons_Loket[Count],Table_Respons_Loket[Daftar Nomor Hak]),"")</f>
        <v/>
      </c>
      <c r="E1859" s="17" t="str">
        <f t="array" ref="E1859">IFNA(_xlfn.XLOOKUP(B1859,Table_Respons_Loket[Count],Table_Respons_Loket[Time Stamp]),"")</f>
        <v/>
      </c>
      <c r="F1859" s="18" t="str">
        <f t="array" ref="F1859">IFNA(_xlfn.XLOOKUP(B1859,Table_Respons_Loket[Count],Table_Respons_Loket[Jenis Permohonan]),"")</f>
        <v/>
      </c>
      <c r="G1859" s="24"/>
      <c r="H1859" s="24"/>
      <c r="I1859" s="22" t="str">
        <f t="shared" si="7"/>
        <v/>
      </c>
      <c r="J1859" s="20" t="b">
        <v>0</v>
      </c>
      <c r="K1859" s="13" t="str">
        <f t="shared" si="8"/>
        <v/>
      </c>
    </row>
    <row r="1860" ht="22.5" customHeight="1">
      <c r="B1860" s="13">
        <f t="shared" si="3"/>
        <v>1854</v>
      </c>
      <c r="C1860" s="15" t="str">
        <f t="array" ref="C1860">IFNA(_xlfn.XLOOKUP(B1860,Table_Respons_Loket[Count],Table_Respons_Loket[Nomor Tiket]),"")</f>
        <v/>
      </c>
      <c r="D1860" s="15" t="str">
        <f t="array" ref="D1860">IFNA(_xlfn.XLOOKUP(B1860,Table_Respons_Loket[Count],Table_Respons_Loket[Daftar Nomor Hak]),"")</f>
        <v/>
      </c>
      <c r="E1860" s="17" t="str">
        <f t="array" ref="E1860">IFNA(_xlfn.XLOOKUP(B1860,Table_Respons_Loket[Count],Table_Respons_Loket[Time Stamp]),"")</f>
        <v/>
      </c>
      <c r="F1860" s="18" t="str">
        <f t="array" ref="F1860">IFNA(_xlfn.XLOOKUP(B1860,Table_Respons_Loket[Count],Table_Respons_Loket[Jenis Permohonan]),"")</f>
        <v/>
      </c>
      <c r="G1860" s="24"/>
      <c r="H1860" s="24"/>
      <c r="I1860" s="22" t="str">
        <f t="shared" si="7"/>
        <v/>
      </c>
      <c r="J1860" s="20" t="b">
        <v>0</v>
      </c>
      <c r="K1860" s="13" t="str">
        <f t="shared" si="8"/>
        <v/>
      </c>
    </row>
    <row r="1861" ht="22.5" customHeight="1">
      <c r="B1861" s="13">
        <f t="shared" si="3"/>
        <v>1855</v>
      </c>
      <c r="C1861" s="15" t="str">
        <f t="array" ref="C1861">IFNA(_xlfn.XLOOKUP(B1861,Table_Respons_Loket[Count],Table_Respons_Loket[Nomor Tiket]),"")</f>
        <v/>
      </c>
      <c r="D1861" s="15" t="str">
        <f t="array" ref="D1861">IFNA(_xlfn.XLOOKUP(B1861,Table_Respons_Loket[Count],Table_Respons_Loket[Daftar Nomor Hak]),"")</f>
        <v/>
      </c>
      <c r="E1861" s="17" t="str">
        <f t="array" ref="E1861">IFNA(_xlfn.XLOOKUP(B1861,Table_Respons_Loket[Count],Table_Respons_Loket[Time Stamp]),"")</f>
        <v/>
      </c>
      <c r="F1861" s="18" t="str">
        <f t="array" ref="F1861">IFNA(_xlfn.XLOOKUP(B1861,Table_Respons_Loket[Count],Table_Respons_Loket[Jenis Permohonan]),"")</f>
        <v/>
      </c>
      <c r="G1861" s="24"/>
      <c r="H1861" s="24"/>
      <c r="I1861" s="22" t="str">
        <f t="shared" si="7"/>
        <v/>
      </c>
      <c r="J1861" s="20" t="b">
        <v>0</v>
      </c>
      <c r="K1861" s="13" t="str">
        <f t="shared" si="8"/>
        <v/>
      </c>
    </row>
    <row r="1862" ht="22.5" customHeight="1">
      <c r="B1862" s="13">
        <f t="shared" si="3"/>
        <v>1856</v>
      </c>
      <c r="C1862" s="15" t="str">
        <f t="array" ref="C1862">IFNA(_xlfn.XLOOKUP(B1862,Table_Respons_Loket[Count],Table_Respons_Loket[Nomor Tiket]),"")</f>
        <v/>
      </c>
      <c r="D1862" s="15" t="str">
        <f t="array" ref="D1862">IFNA(_xlfn.XLOOKUP(B1862,Table_Respons_Loket[Count],Table_Respons_Loket[Daftar Nomor Hak]),"")</f>
        <v/>
      </c>
      <c r="E1862" s="17" t="str">
        <f t="array" ref="E1862">IFNA(_xlfn.XLOOKUP(B1862,Table_Respons_Loket[Count],Table_Respons_Loket[Time Stamp]),"")</f>
        <v/>
      </c>
      <c r="F1862" s="18" t="str">
        <f t="array" ref="F1862">IFNA(_xlfn.XLOOKUP(B1862,Table_Respons_Loket[Count],Table_Respons_Loket[Jenis Permohonan]),"")</f>
        <v/>
      </c>
      <c r="G1862" s="24"/>
      <c r="H1862" s="24"/>
      <c r="I1862" s="22" t="str">
        <f t="shared" si="7"/>
        <v/>
      </c>
      <c r="J1862" s="20" t="b">
        <v>0</v>
      </c>
      <c r="K1862" s="13" t="str">
        <f t="shared" si="8"/>
        <v/>
      </c>
    </row>
    <row r="1863" ht="22.5" customHeight="1">
      <c r="B1863" s="13">
        <f t="shared" si="3"/>
        <v>1857</v>
      </c>
      <c r="C1863" s="15" t="str">
        <f t="array" ref="C1863">IFNA(_xlfn.XLOOKUP(B1863,Table_Respons_Loket[Count],Table_Respons_Loket[Nomor Tiket]),"")</f>
        <v/>
      </c>
      <c r="D1863" s="15" t="str">
        <f t="array" ref="D1863">IFNA(_xlfn.XLOOKUP(B1863,Table_Respons_Loket[Count],Table_Respons_Loket[Daftar Nomor Hak]),"")</f>
        <v/>
      </c>
      <c r="E1863" s="17" t="str">
        <f t="array" ref="E1863">IFNA(_xlfn.XLOOKUP(B1863,Table_Respons_Loket[Count],Table_Respons_Loket[Time Stamp]),"")</f>
        <v/>
      </c>
      <c r="F1863" s="18" t="str">
        <f t="array" ref="F1863">IFNA(_xlfn.XLOOKUP(B1863,Table_Respons_Loket[Count],Table_Respons_Loket[Jenis Permohonan]),"")</f>
        <v/>
      </c>
      <c r="G1863" s="24"/>
      <c r="H1863" s="24"/>
      <c r="I1863" s="22" t="str">
        <f t="shared" si="7"/>
        <v/>
      </c>
      <c r="J1863" s="20" t="b">
        <v>0</v>
      </c>
      <c r="K1863" s="13" t="str">
        <f t="shared" si="8"/>
        <v/>
      </c>
    </row>
    <row r="1864" ht="22.5" customHeight="1">
      <c r="B1864" s="13">
        <f t="shared" si="3"/>
        <v>1858</v>
      </c>
      <c r="C1864" s="15" t="str">
        <f t="array" ref="C1864">IFNA(_xlfn.XLOOKUP(B1864,Table_Respons_Loket[Count],Table_Respons_Loket[Nomor Tiket]),"")</f>
        <v/>
      </c>
      <c r="D1864" s="15" t="str">
        <f t="array" ref="D1864">IFNA(_xlfn.XLOOKUP(B1864,Table_Respons_Loket[Count],Table_Respons_Loket[Daftar Nomor Hak]),"")</f>
        <v/>
      </c>
      <c r="E1864" s="17" t="str">
        <f t="array" ref="E1864">IFNA(_xlfn.XLOOKUP(B1864,Table_Respons_Loket[Count],Table_Respons_Loket[Time Stamp]),"")</f>
        <v/>
      </c>
      <c r="F1864" s="18" t="str">
        <f t="array" ref="F1864">IFNA(_xlfn.XLOOKUP(B1864,Table_Respons_Loket[Count],Table_Respons_Loket[Jenis Permohonan]),"")</f>
        <v/>
      </c>
      <c r="G1864" s="24"/>
      <c r="H1864" s="24"/>
      <c r="I1864" s="22" t="str">
        <f t="shared" si="7"/>
        <v/>
      </c>
      <c r="J1864" s="20" t="b">
        <v>0</v>
      </c>
      <c r="K1864" s="13" t="str">
        <f t="shared" si="8"/>
        <v/>
      </c>
    </row>
    <row r="1865" ht="22.5" customHeight="1">
      <c r="B1865" s="13">
        <f t="shared" si="3"/>
        <v>1859</v>
      </c>
      <c r="C1865" s="15" t="str">
        <f t="array" ref="C1865">IFNA(_xlfn.XLOOKUP(B1865,Table_Respons_Loket[Count],Table_Respons_Loket[Nomor Tiket]),"")</f>
        <v/>
      </c>
      <c r="D1865" s="15" t="str">
        <f t="array" ref="D1865">IFNA(_xlfn.XLOOKUP(B1865,Table_Respons_Loket[Count],Table_Respons_Loket[Daftar Nomor Hak]),"")</f>
        <v/>
      </c>
      <c r="E1865" s="17" t="str">
        <f t="array" ref="E1865">IFNA(_xlfn.XLOOKUP(B1865,Table_Respons_Loket[Count],Table_Respons_Loket[Time Stamp]),"")</f>
        <v/>
      </c>
      <c r="F1865" s="18" t="str">
        <f t="array" ref="F1865">IFNA(_xlfn.XLOOKUP(B1865,Table_Respons_Loket[Count],Table_Respons_Loket[Jenis Permohonan]),"")</f>
        <v/>
      </c>
      <c r="G1865" s="24"/>
      <c r="H1865" s="24"/>
      <c r="I1865" s="22" t="str">
        <f t="shared" si="7"/>
        <v/>
      </c>
      <c r="J1865" s="20" t="b">
        <v>0</v>
      </c>
      <c r="K1865" s="13" t="str">
        <f t="shared" si="8"/>
        <v/>
      </c>
    </row>
    <row r="1866" ht="22.5" customHeight="1">
      <c r="B1866" s="13">
        <f t="shared" si="3"/>
        <v>1860</v>
      </c>
      <c r="C1866" s="15" t="str">
        <f t="array" ref="C1866">IFNA(_xlfn.XLOOKUP(B1866,Table_Respons_Loket[Count],Table_Respons_Loket[Nomor Tiket]),"")</f>
        <v/>
      </c>
      <c r="D1866" s="15" t="str">
        <f t="array" ref="D1866">IFNA(_xlfn.XLOOKUP(B1866,Table_Respons_Loket[Count],Table_Respons_Loket[Daftar Nomor Hak]),"")</f>
        <v/>
      </c>
      <c r="E1866" s="17" t="str">
        <f t="array" ref="E1866">IFNA(_xlfn.XLOOKUP(B1866,Table_Respons_Loket[Count],Table_Respons_Loket[Time Stamp]),"")</f>
        <v/>
      </c>
      <c r="F1866" s="18" t="str">
        <f t="array" ref="F1866">IFNA(_xlfn.XLOOKUP(B1866,Table_Respons_Loket[Count],Table_Respons_Loket[Jenis Permohonan]),"")</f>
        <v/>
      </c>
      <c r="G1866" s="24"/>
      <c r="H1866" s="24"/>
      <c r="I1866" s="22" t="str">
        <f t="shared" si="7"/>
        <v/>
      </c>
      <c r="J1866" s="20" t="b">
        <v>0</v>
      </c>
      <c r="K1866" s="13" t="str">
        <f t="shared" si="8"/>
        <v/>
      </c>
    </row>
    <row r="1867" ht="22.5" customHeight="1">
      <c r="B1867" s="13">
        <f t="shared" si="3"/>
        <v>1861</v>
      </c>
      <c r="C1867" s="15" t="str">
        <f t="array" ref="C1867">IFNA(_xlfn.XLOOKUP(B1867,Table_Respons_Loket[Count],Table_Respons_Loket[Nomor Tiket]),"")</f>
        <v/>
      </c>
      <c r="D1867" s="15" t="str">
        <f t="array" ref="D1867">IFNA(_xlfn.XLOOKUP(B1867,Table_Respons_Loket[Count],Table_Respons_Loket[Daftar Nomor Hak]),"")</f>
        <v/>
      </c>
      <c r="E1867" s="17" t="str">
        <f t="array" ref="E1867">IFNA(_xlfn.XLOOKUP(B1867,Table_Respons_Loket[Count],Table_Respons_Loket[Time Stamp]),"")</f>
        <v/>
      </c>
      <c r="F1867" s="18" t="str">
        <f t="array" ref="F1867">IFNA(_xlfn.XLOOKUP(B1867,Table_Respons_Loket[Count],Table_Respons_Loket[Jenis Permohonan]),"")</f>
        <v/>
      </c>
      <c r="G1867" s="24"/>
      <c r="H1867" s="24"/>
      <c r="I1867" s="22" t="str">
        <f t="shared" si="7"/>
        <v/>
      </c>
      <c r="J1867" s="20" t="b">
        <v>0</v>
      </c>
      <c r="K1867" s="13" t="str">
        <f t="shared" si="8"/>
        <v/>
      </c>
    </row>
    <row r="1868" ht="22.5" customHeight="1">
      <c r="B1868" s="13">
        <f t="shared" si="3"/>
        <v>1862</v>
      </c>
      <c r="C1868" s="15" t="str">
        <f t="array" ref="C1868">IFNA(_xlfn.XLOOKUP(B1868,Table_Respons_Loket[Count],Table_Respons_Loket[Nomor Tiket]),"")</f>
        <v/>
      </c>
      <c r="D1868" s="15" t="str">
        <f t="array" ref="D1868">IFNA(_xlfn.XLOOKUP(B1868,Table_Respons_Loket[Count],Table_Respons_Loket[Daftar Nomor Hak]),"")</f>
        <v/>
      </c>
      <c r="E1868" s="17" t="str">
        <f t="array" ref="E1868">IFNA(_xlfn.XLOOKUP(B1868,Table_Respons_Loket[Count],Table_Respons_Loket[Time Stamp]),"")</f>
        <v/>
      </c>
      <c r="F1868" s="18" t="str">
        <f t="array" ref="F1868">IFNA(_xlfn.XLOOKUP(B1868,Table_Respons_Loket[Count],Table_Respons_Loket[Jenis Permohonan]),"")</f>
        <v/>
      </c>
      <c r="G1868" s="24"/>
      <c r="H1868" s="24"/>
      <c r="I1868" s="22" t="str">
        <f t="shared" si="7"/>
        <v/>
      </c>
      <c r="J1868" s="20" t="b">
        <v>0</v>
      </c>
      <c r="K1868" s="13" t="str">
        <f t="shared" si="8"/>
        <v/>
      </c>
    </row>
    <row r="1869" ht="22.5" customHeight="1">
      <c r="B1869" s="13">
        <f t="shared" si="3"/>
        <v>1863</v>
      </c>
      <c r="C1869" s="15" t="str">
        <f t="array" ref="C1869">IFNA(_xlfn.XLOOKUP(B1869,Table_Respons_Loket[Count],Table_Respons_Loket[Nomor Tiket]),"")</f>
        <v/>
      </c>
      <c r="D1869" s="15" t="str">
        <f t="array" ref="D1869">IFNA(_xlfn.XLOOKUP(B1869,Table_Respons_Loket[Count],Table_Respons_Loket[Daftar Nomor Hak]),"")</f>
        <v/>
      </c>
      <c r="E1869" s="17" t="str">
        <f t="array" ref="E1869">IFNA(_xlfn.XLOOKUP(B1869,Table_Respons_Loket[Count],Table_Respons_Loket[Time Stamp]),"")</f>
        <v/>
      </c>
      <c r="F1869" s="18" t="str">
        <f t="array" ref="F1869">IFNA(_xlfn.XLOOKUP(B1869,Table_Respons_Loket[Count],Table_Respons_Loket[Jenis Permohonan]),"")</f>
        <v/>
      </c>
      <c r="G1869" s="24"/>
      <c r="H1869" s="24"/>
      <c r="I1869" s="22" t="str">
        <f t="shared" si="7"/>
        <v/>
      </c>
      <c r="J1869" s="20" t="b">
        <v>0</v>
      </c>
      <c r="K1869" s="13" t="str">
        <f t="shared" si="8"/>
        <v/>
      </c>
    </row>
    <row r="1870" ht="22.5" customHeight="1">
      <c r="B1870" s="13">
        <f t="shared" si="3"/>
        <v>1864</v>
      </c>
      <c r="C1870" s="15" t="str">
        <f t="array" ref="C1870">IFNA(_xlfn.XLOOKUP(B1870,Table_Respons_Loket[Count],Table_Respons_Loket[Nomor Tiket]),"")</f>
        <v/>
      </c>
      <c r="D1870" s="15" t="str">
        <f t="array" ref="D1870">IFNA(_xlfn.XLOOKUP(B1870,Table_Respons_Loket[Count],Table_Respons_Loket[Daftar Nomor Hak]),"")</f>
        <v/>
      </c>
      <c r="E1870" s="17" t="str">
        <f t="array" ref="E1870">IFNA(_xlfn.XLOOKUP(B1870,Table_Respons_Loket[Count],Table_Respons_Loket[Time Stamp]),"")</f>
        <v/>
      </c>
      <c r="F1870" s="18" t="str">
        <f t="array" ref="F1870">IFNA(_xlfn.XLOOKUP(B1870,Table_Respons_Loket[Count],Table_Respons_Loket[Jenis Permohonan]),"")</f>
        <v/>
      </c>
      <c r="G1870" s="24"/>
      <c r="H1870" s="24"/>
      <c r="I1870" s="22" t="str">
        <f t="shared" si="7"/>
        <v/>
      </c>
      <c r="J1870" s="20" t="b">
        <v>0</v>
      </c>
      <c r="K1870" s="13" t="str">
        <f t="shared" si="8"/>
        <v/>
      </c>
    </row>
    <row r="1871" ht="22.5" customHeight="1">
      <c r="B1871" s="13">
        <f t="shared" si="3"/>
        <v>1865</v>
      </c>
      <c r="C1871" s="15" t="str">
        <f t="array" ref="C1871">IFNA(_xlfn.XLOOKUP(B1871,Table_Respons_Loket[Count],Table_Respons_Loket[Nomor Tiket]),"")</f>
        <v/>
      </c>
      <c r="D1871" s="15" t="str">
        <f t="array" ref="D1871">IFNA(_xlfn.XLOOKUP(B1871,Table_Respons_Loket[Count],Table_Respons_Loket[Daftar Nomor Hak]),"")</f>
        <v/>
      </c>
      <c r="E1871" s="17" t="str">
        <f t="array" ref="E1871">IFNA(_xlfn.XLOOKUP(B1871,Table_Respons_Loket[Count],Table_Respons_Loket[Time Stamp]),"")</f>
        <v/>
      </c>
      <c r="F1871" s="18" t="str">
        <f t="array" ref="F1871">IFNA(_xlfn.XLOOKUP(B1871,Table_Respons_Loket[Count],Table_Respons_Loket[Jenis Permohonan]),"")</f>
        <v/>
      </c>
      <c r="G1871" s="24"/>
      <c r="H1871" s="24"/>
      <c r="I1871" s="22" t="str">
        <f t="shared" si="7"/>
        <v/>
      </c>
      <c r="J1871" s="20" t="b">
        <v>0</v>
      </c>
      <c r="K1871" s="13" t="str">
        <f t="shared" si="8"/>
        <v/>
      </c>
    </row>
    <row r="1872" ht="22.5" customHeight="1">
      <c r="B1872" s="13">
        <f t="shared" si="3"/>
        <v>1866</v>
      </c>
      <c r="C1872" s="15" t="str">
        <f t="array" ref="C1872">IFNA(_xlfn.XLOOKUP(B1872,Table_Respons_Loket[Count],Table_Respons_Loket[Nomor Tiket]),"")</f>
        <v/>
      </c>
      <c r="D1872" s="15" t="str">
        <f t="array" ref="D1872">IFNA(_xlfn.XLOOKUP(B1872,Table_Respons_Loket[Count],Table_Respons_Loket[Daftar Nomor Hak]),"")</f>
        <v/>
      </c>
      <c r="E1872" s="17" t="str">
        <f t="array" ref="E1872">IFNA(_xlfn.XLOOKUP(B1872,Table_Respons_Loket[Count],Table_Respons_Loket[Time Stamp]),"")</f>
        <v/>
      </c>
      <c r="F1872" s="18" t="str">
        <f t="array" ref="F1872">IFNA(_xlfn.XLOOKUP(B1872,Table_Respons_Loket[Count],Table_Respons_Loket[Jenis Permohonan]),"")</f>
        <v/>
      </c>
      <c r="G1872" s="24"/>
      <c r="H1872" s="24"/>
      <c r="I1872" s="22" t="str">
        <f t="shared" si="7"/>
        <v/>
      </c>
      <c r="J1872" s="20" t="b">
        <v>0</v>
      </c>
      <c r="K1872" s="13" t="str">
        <f t="shared" si="8"/>
        <v/>
      </c>
    </row>
    <row r="1873" ht="22.5" customHeight="1">
      <c r="B1873" s="13">
        <f t="shared" si="3"/>
        <v>1867</v>
      </c>
      <c r="C1873" s="15" t="str">
        <f t="array" ref="C1873">IFNA(_xlfn.XLOOKUP(B1873,Table_Respons_Loket[Count],Table_Respons_Loket[Nomor Tiket]),"")</f>
        <v/>
      </c>
      <c r="D1873" s="15" t="str">
        <f t="array" ref="D1873">IFNA(_xlfn.XLOOKUP(B1873,Table_Respons_Loket[Count],Table_Respons_Loket[Daftar Nomor Hak]),"")</f>
        <v/>
      </c>
      <c r="E1873" s="17" t="str">
        <f t="array" ref="E1873">IFNA(_xlfn.XLOOKUP(B1873,Table_Respons_Loket[Count],Table_Respons_Loket[Time Stamp]),"")</f>
        <v/>
      </c>
      <c r="F1873" s="18" t="str">
        <f t="array" ref="F1873">IFNA(_xlfn.XLOOKUP(B1873,Table_Respons_Loket[Count],Table_Respons_Loket[Jenis Permohonan]),"")</f>
        <v/>
      </c>
      <c r="G1873" s="24"/>
      <c r="H1873" s="24"/>
      <c r="I1873" s="22" t="str">
        <f t="shared" si="7"/>
        <v/>
      </c>
      <c r="J1873" s="20" t="b">
        <v>0</v>
      </c>
      <c r="K1873" s="13" t="str">
        <f t="shared" si="8"/>
        <v/>
      </c>
    </row>
    <row r="1874" ht="22.5" customHeight="1">
      <c r="B1874" s="13">
        <f t="shared" si="3"/>
        <v>1868</v>
      </c>
      <c r="C1874" s="15" t="str">
        <f t="array" ref="C1874">IFNA(_xlfn.XLOOKUP(B1874,Table_Respons_Loket[Count],Table_Respons_Loket[Nomor Tiket]),"")</f>
        <v/>
      </c>
      <c r="D1874" s="15" t="str">
        <f t="array" ref="D1874">IFNA(_xlfn.XLOOKUP(B1874,Table_Respons_Loket[Count],Table_Respons_Loket[Daftar Nomor Hak]),"")</f>
        <v/>
      </c>
      <c r="E1874" s="17" t="str">
        <f t="array" ref="E1874">IFNA(_xlfn.XLOOKUP(B1874,Table_Respons_Loket[Count],Table_Respons_Loket[Time Stamp]),"")</f>
        <v/>
      </c>
      <c r="F1874" s="18" t="str">
        <f t="array" ref="F1874">IFNA(_xlfn.XLOOKUP(B1874,Table_Respons_Loket[Count],Table_Respons_Loket[Jenis Permohonan]),"")</f>
        <v/>
      </c>
      <c r="G1874" s="24"/>
      <c r="H1874" s="24"/>
      <c r="I1874" s="22" t="str">
        <f t="shared" si="7"/>
        <v/>
      </c>
      <c r="J1874" s="20" t="b">
        <v>0</v>
      </c>
      <c r="K1874" s="13" t="str">
        <f t="shared" si="8"/>
        <v/>
      </c>
    </row>
    <row r="1875" ht="22.5" customHeight="1">
      <c r="B1875" s="13">
        <f t="shared" si="3"/>
        <v>1869</v>
      </c>
      <c r="C1875" s="15" t="str">
        <f t="array" ref="C1875">IFNA(_xlfn.XLOOKUP(B1875,Table_Respons_Loket[Count],Table_Respons_Loket[Nomor Tiket]),"")</f>
        <v/>
      </c>
      <c r="D1875" s="15" t="str">
        <f t="array" ref="D1875">IFNA(_xlfn.XLOOKUP(B1875,Table_Respons_Loket[Count],Table_Respons_Loket[Daftar Nomor Hak]),"")</f>
        <v/>
      </c>
      <c r="E1875" s="17" t="str">
        <f t="array" ref="E1875">IFNA(_xlfn.XLOOKUP(B1875,Table_Respons_Loket[Count],Table_Respons_Loket[Time Stamp]),"")</f>
        <v/>
      </c>
      <c r="F1875" s="18" t="str">
        <f t="array" ref="F1875">IFNA(_xlfn.XLOOKUP(B1875,Table_Respons_Loket[Count],Table_Respons_Loket[Jenis Permohonan]),"")</f>
        <v/>
      </c>
      <c r="G1875" s="24"/>
      <c r="H1875" s="24"/>
      <c r="I1875" s="22" t="str">
        <f t="shared" si="7"/>
        <v/>
      </c>
      <c r="J1875" s="20" t="b">
        <v>0</v>
      </c>
      <c r="K1875" s="13" t="str">
        <f t="shared" si="8"/>
        <v/>
      </c>
    </row>
    <row r="1876" ht="22.5" customHeight="1">
      <c r="B1876" s="13">
        <f t="shared" si="3"/>
        <v>1870</v>
      </c>
      <c r="C1876" s="15" t="str">
        <f t="array" ref="C1876">IFNA(_xlfn.XLOOKUP(B1876,Table_Respons_Loket[Count],Table_Respons_Loket[Nomor Tiket]),"")</f>
        <v/>
      </c>
      <c r="D1876" s="15" t="str">
        <f t="array" ref="D1876">IFNA(_xlfn.XLOOKUP(B1876,Table_Respons_Loket[Count],Table_Respons_Loket[Daftar Nomor Hak]),"")</f>
        <v/>
      </c>
      <c r="E1876" s="17" t="str">
        <f t="array" ref="E1876">IFNA(_xlfn.XLOOKUP(B1876,Table_Respons_Loket[Count],Table_Respons_Loket[Time Stamp]),"")</f>
        <v/>
      </c>
      <c r="F1876" s="18" t="str">
        <f t="array" ref="F1876">IFNA(_xlfn.XLOOKUP(B1876,Table_Respons_Loket[Count],Table_Respons_Loket[Jenis Permohonan]),"")</f>
        <v/>
      </c>
      <c r="G1876" s="24"/>
      <c r="H1876" s="24"/>
      <c r="I1876" s="22" t="str">
        <f t="shared" si="7"/>
        <v/>
      </c>
      <c r="J1876" s="20" t="b">
        <v>0</v>
      </c>
      <c r="K1876" s="13" t="str">
        <f t="shared" si="8"/>
        <v/>
      </c>
    </row>
    <row r="1877" ht="22.5" customHeight="1">
      <c r="B1877" s="13">
        <f t="shared" si="3"/>
        <v>1871</v>
      </c>
      <c r="C1877" s="15" t="str">
        <f t="array" ref="C1877">IFNA(_xlfn.XLOOKUP(B1877,Table_Respons_Loket[Count],Table_Respons_Loket[Nomor Tiket]),"")</f>
        <v/>
      </c>
      <c r="D1877" s="15" t="str">
        <f t="array" ref="D1877">IFNA(_xlfn.XLOOKUP(B1877,Table_Respons_Loket[Count],Table_Respons_Loket[Daftar Nomor Hak]),"")</f>
        <v/>
      </c>
      <c r="E1877" s="17" t="str">
        <f t="array" ref="E1877">IFNA(_xlfn.XLOOKUP(B1877,Table_Respons_Loket[Count],Table_Respons_Loket[Time Stamp]),"")</f>
        <v/>
      </c>
      <c r="F1877" s="18" t="str">
        <f t="array" ref="F1877">IFNA(_xlfn.XLOOKUP(B1877,Table_Respons_Loket[Count],Table_Respons_Loket[Jenis Permohonan]),"")</f>
        <v/>
      </c>
      <c r="G1877" s="24"/>
      <c r="H1877" s="24"/>
      <c r="I1877" s="22" t="str">
        <f t="shared" si="7"/>
        <v/>
      </c>
      <c r="J1877" s="20" t="b">
        <v>0</v>
      </c>
      <c r="K1877" s="13" t="str">
        <f t="shared" si="8"/>
        <v/>
      </c>
    </row>
    <row r="1878" ht="22.5" customHeight="1">
      <c r="B1878" s="13">
        <f t="shared" si="3"/>
        <v>1872</v>
      </c>
      <c r="C1878" s="15" t="str">
        <f t="array" ref="C1878">IFNA(_xlfn.XLOOKUP(B1878,Table_Respons_Loket[Count],Table_Respons_Loket[Nomor Tiket]),"")</f>
        <v/>
      </c>
      <c r="D1878" s="15" t="str">
        <f t="array" ref="D1878">IFNA(_xlfn.XLOOKUP(B1878,Table_Respons_Loket[Count],Table_Respons_Loket[Daftar Nomor Hak]),"")</f>
        <v/>
      </c>
      <c r="E1878" s="17" t="str">
        <f t="array" ref="E1878">IFNA(_xlfn.XLOOKUP(B1878,Table_Respons_Loket[Count],Table_Respons_Loket[Time Stamp]),"")</f>
        <v/>
      </c>
      <c r="F1878" s="18" t="str">
        <f t="array" ref="F1878">IFNA(_xlfn.XLOOKUP(B1878,Table_Respons_Loket[Count],Table_Respons_Loket[Jenis Permohonan]),"")</f>
        <v/>
      </c>
      <c r="G1878" s="24"/>
      <c r="H1878" s="24"/>
      <c r="I1878" s="22" t="str">
        <f t="shared" si="7"/>
        <v/>
      </c>
      <c r="J1878" s="20" t="b">
        <v>0</v>
      </c>
      <c r="K1878" s="13" t="str">
        <f t="shared" si="8"/>
        <v/>
      </c>
    </row>
    <row r="1879" ht="22.5" customHeight="1">
      <c r="B1879" s="13">
        <f t="shared" si="3"/>
        <v>1873</v>
      </c>
      <c r="C1879" s="15" t="str">
        <f t="array" ref="C1879">IFNA(_xlfn.XLOOKUP(B1879,Table_Respons_Loket[Count],Table_Respons_Loket[Nomor Tiket]),"")</f>
        <v/>
      </c>
      <c r="D1879" s="15" t="str">
        <f t="array" ref="D1879">IFNA(_xlfn.XLOOKUP(B1879,Table_Respons_Loket[Count],Table_Respons_Loket[Daftar Nomor Hak]),"")</f>
        <v/>
      </c>
      <c r="E1879" s="17" t="str">
        <f t="array" ref="E1879">IFNA(_xlfn.XLOOKUP(B1879,Table_Respons_Loket[Count],Table_Respons_Loket[Time Stamp]),"")</f>
        <v/>
      </c>
      <c r="F1879" s="18" t="str">
        <f t="array" ref="F1879">IFNA(_xlfn.XLOOKUP(B1879,Table_Respons_Loket[Count],Table_Respons_Loket[Jenis Permohonan]),"")</f>
        <v/>
      </c>
      <c r="G1879" s="24"/>
      <c r="H1879" s="24"/>
      <c r="I1879" s="22" t="str">
        <f t="shared" si="7"/>
        <v/>
      </c>
      <c r="J1879" s="20" t="b">
        <v>0</v>
      </c>
      <c r="K1879" s="13" t="str">
        <f t="shared" si="8"/>
        <v/>
      </c>
    </row>
    <row r="1880" ht="22.5" customHeight="1">
      <c r="B1880" s="13">
        <f t="shared" si="3"/>
        <v>1874</v>
      </c>
      <c r="C1880" s="15" t="str">
        <f t="array" ref="C1880">IFNA(_xlfn.XLOOKUP(B1880,Table_Respons_Loket[Count],Table_Respons_Loket[Nomor Tiket]),"")</f>
        <v/>
      </c>
      <c r="D1880" s="15" t="str">
        <f t="array" ref="D1880">IFNA(_xlfn.XLOOKUP(B1880,Table_Respons_Loket[Count],Table_Respons_Loket[Daftar Nomor Hak]),"")</f>
        <v/>
      </c>
      <c r="E1880" s="17" t="str">
        <f t="array" ref="E1880">IFNA(_xlfn.XLOOKUP(B1880,Table_Respons_Loket[Count],Table_Respons_Loket[Time Stamp]),"")</f>
        <v/>
      </c>
      <c r="F1880" s="18" t="str">
        <f t="array" ref="F1880">IFNA(_xlfn.XLOOKUP(B1880,Table_Respons_Loket[Count],Table_Respons_Loket[Jenis Permohonan]),"")</f>
        <v/>
      </c>
      <c r="G1880" s="24"/>
      <c r="H1880" s="24"/>
      <c r="I1880" s="22" t="str">
        <f t="shared" si="7"/>
        <v/>
      </c>
      <c r="J1880" s="20" t="b">
        <v>0</v>
      </c>
      <c r="K1880" s="13" t="str">
        <f t="shared" si="8"/>
        <v/>
      </c>
    </row>
    <row r="1881" ht="22.5" customHeight="1">
      <c r="B1881" s="13">
        <f t="shared" si="3"/>
        <v>1875</v>
      </c>
      <c r="C1881" s="15" t="str">
        <f t="array" ref="C1881">IFNA(_xlfn.XLOOKUP(B1881,Table_Respons_Loket[Count],Table_Respons_Loket[Nomor Tiket]),"")</f>
        <v/>
      </c>
      <c r="D1881" s="15" t="str">
        <f t="array" ref="D1881">IFNA(_xlfn.XLOOKUP(B1881,Table_Respons_Loket[Count],Table_Respons_Loket[Daftar Nomor Hak]),"")</f>
        <v/>
      </c>
      <c r="E1881" s="17" t="str">
        <f t="array" ref="E1881">IFNA(_xlfn.XLOOKUP(B1881,Table_Respons_Loket[Count],Table_Respons_Loket[Time Stamp]),"")</f>
        <v/>
      </c>
      <c r="F1881" s="18" t="str">
        <f t="array" ref="F1881">IFNA(_xlfn.XLOOKUP(B1881,Table_Respons_Loket[Count],Table_Respons_Loket[Jenis Permohonan]),"")</f>
        <v/>
      </c>
      <c r="G1881" s="24"/>
      <c r="H1881" s="24"/>
      <c r="I1881" s="22" t="str">
        <f t="shared" si="7"/>
        <v/>
      </c>
      <c r="J1881" s="20" t="b">
        <v>0</v>
      </c>
      <c r="K1881" s="13" t="str">
        <f t="shared" si="8"/>
        <v/>
      </c>
    </row>
    <row r="1882" ht="22.5" customHeight="1">
      <c r="B1882" s="13">
        <f t="shared" si="3"/>
        <v>1876</v>
      </c>
      <c r="C1882" s="15" t="str">
        <f t="array" ref="C1882">IFNA(_xlfn.XLOOKUP(B1882,Table_Respons_Loket[Count],Table_Respons_Loket[Nomor Tiket]),"")</f>
        <v/>
      </c>
      <c r="D1882" s="15" t="str">
        <f t="array" ref="D1882">IFNA(_xlfn.XLOOKUP(B1882,Table_Respons_Loket[Count],Table_Respons_Loket[Daftar Nomor Hak]),"")</f>
        <v/>
      </c>
      <c r="E1882" s="17" t="str">
        <f t="array" ref="E1882">IFNA(_xlfn.XLOOKUP(B1882,Table_Respons_Loket[Count],Table_Respons_Loket[Time Stamp]),"")</f>
        <v/>
      </c>
      <c r="F1882" s="18" t="str">
        <f t="array" ref="F1882">IFNA(_xlfn.XLOOKUP(B1882,Table_Respons_Loket[Count],Table_Respons_Loket[Jenis Permohonan]),"")</f>
        <v/>
      </c>
      <c r="G1882" s="24"/>
      <c r="H1882" s="24"/>
      <c r="I1882" s="22" t="str">
        <f t="shared" si="7"/>
        <v/>
      </c>
      <c r="J1882" s="20" t="b">
        <v>0</v>
      </c>
      <c r="K1882" s="13" t="str">
        <f t="shared" si="8"/>
        <v/>
      </c>
    </row>
    <row r="1883" ht="22.5" customHeight="1">
      <c r="B1883" s="13">
        <f t="shared" si="3"/>
        <v>1877</v>
      </c>
      <c r="C1883" s="15" t="str">
        <f t="array" ref="C1883">IFNA(_xlfn.XLOOKUP(B1883,Table_Respons_Loket[Count],Table_Respons_Loket[Nomor Tiket]),"")</f>
        <v/>
      </c>
      <c r="D1883" s="15" t="str">
        <f t="array" ref="D1883">IFNA(_xlfn.XLOOKUP(B1883,Table_Respons_Loket[Count],Table_Respons_Loket[Daftar Nomor Hak]),"")</f>
        <v/>
      </c>
      <c r="E1883" s="17" t="str">
        <f t="array" ref="E1883">IFNA(_xlfn.XLOOKUP(B1883,Table_Respons_Loket[Count],Table_Respons_Loket[Time Stamp]),"")</f>
        <v/>
      </c>
      <c r="F1883" s="18" t="str">
        <f t="array" ref="F1883">IFNA(_xlfn.XLOOKUP(B1883,Table_Respons_Loket[Count],Table_Respons_Loket[Jenis Permohonan]),"")</f>
        <v/>
      </c>
      <c r="G1883" s="24"/>
      <c r="H1883" s="24"/>
      <c r="I1883" s="22" t="str">
        <f t="shared" si="7"/>
        <v/>
      </c>
      <c r="J1883" s="20" t="b">
        <v>0</v>
      </c>
      <c r="K1883" s="13" t="str">
        <f t="shared" si="8"/>
        <v/>
      </c>
    </row>
    <row r="1884" ht="22.5" customHeight="1">
      <c r="B1884" s="13">
        <f t="shared" si="3"/>
        <v>1878</v>
      </c>
      <c r="C1884" s="15" t="str">
        <f t="array" ref="C1884">IFNA(_xlfn.XLOOKUP(B1884,Table_Respons_Loket[Count],Table_Respons_Loket[Nomor Tiket]),"")</f>
        <v/>
      </c>
      <c r="D1884" s="15" t="str">
        <f t="array" ref="D1884">IFNA(_xlfn.XLOOKUP(B1884,Table_Respons_Loket[Count],Table_Respons_Loket[Daftar Nomor Hak]),"")</f>
        <v/>
      </c>
      <c r="E1884" s="17" t="str">
        <f t="array" ref="E1884">IFNA(_xlfn.XLOOKUP(B1884,Table_Respons_Loket[Count],Table_Respons_Loket[Time Stamp]),"")</f>
        <v/>
      </c>
      <c r="F1884" s="18" t="str">
        <f t="array" ref="F1884">IFNA(_xlfn.XLOOKUP(B1884,Table_Respons_Loket[Count],Table_Respons_Loket[Jenis Permohonan]),"")</f>
        <v/>
      </c>
      <c r="G1884" s="24"/>
      <c r="H1884" s="24"/>
      <c r="I1884" s="22" t="str">
        <f t="shared" si="7"/>
        <v/>
      </c>
      <c r="J1884" s="20" t="b">
        <v>0</v>
      </c>
      <c r="K1884" s="13" t="str">
        <f t="shared" si="8"/>
        <v/>
      </c>
    </row>
    <row r="1885" ht="22.5" customHeight="1">
      <c r="B1885" s="13">
        <f t="shared" si="3"/>
        <v>1879</v>
      </c>
      <c r="C1885" s="15" t="str">
        <f t="array" ref="C1885">IFNA(_xlfn.XLOOKUP(B1885,Table_Respons_Loket[Count],Table_Respons_Loket[Nomor Tiket]),"")</f>
        <v/>
      </c>
      <c r="D1885" s="15" t="str">
        <f t="array" ref="D1885">IFNA(_xlfn.XLOOKUP(B1885,Table_Respons_Loket[Count],Table_Respons_Loket[Daftar Nomor Hak]),"")</f>
        <v/>
      </c>
      <c r="E1885" s="17" t="str">
        <f t="array" ref="E1885">IFNA(_xlfn.XLOOKUP(B1885,Table_Respons_Loket[Count],Table_Respons_Loket[Time Stamp]),"")</f>
        <v/>
      </c>
      <c r="F1885" s="18" t="str">
        <f t="array" ref="F1885">IFNA(_xlfn.XLOOKUP(B1885,Table_Respons_Loket[Count],Table_Respons_Loket[Jenis Permohonan]),"")</f>
        <v/>
      </c>
      <c r="G1885" s="24"/>
      <c r="H1885" s="24"/>
      <c r="I1885" s="22" t="str">
        <f t="shared" si="7"/>
        <v/>
      </c>
      <c r="J1885" s="20" t="b">
        <v>0</v>
      </c>
      <c r="K1885" s="13" t="str">
        <f t="shared" si="8"/>
        <v/>
      </c>
    </row>
    <row r="1886" ht="22.5" customHeight="1">
      <c r="B1886" s="13">
        <f t="shared" si="3"/>
        <v>1880</v>
      </c>
      <c r="C1886" s="15" t="str">
        <f t="array" ref="C1886">IFNA(_xlfn.XLOOKUP(B1886,Table_Respons_Loket[Count],Table_Respons_Loket[Nomor Tiket]),"")</f>
        <v/>
      </c>
      <c r="D1886" s="15" t="str">
        <f t="array" ref="D1886">IFNA(_xlfn.XLOOKUP(B1886,Table_Respons_Loket[Count],Table_Respons_Loket[Daftar Nomor Hak]),"")</f>
        <v/>
      </c>
      <c r="E1886" s="17" t="str">
        <f t="array" ref="E1886">IFNA(_xlfn.XLOOKUP(B1886,Table_Respons_Loket[Count],Table_Respons_Loket[Time Stamp]),"")</f>
        <v/>
      </c>
      <c r="F1886" s="18" t="str">
        <f t="array" ref="F1886">IFNA(_xlfn.XLOOKUP(B1886,Table_Respons_Loket[Count],Table_Respons_Loket[Jenis Permohonan]),"")</f>
        <v/>
      </c>
      <c r="G1886" s="24"/>
      <c r="H1886" s="24"/>
      <c r="I1886" s="22" t="str">
        <f t="shared" si="7"/>
        <v/>
      </c>
      <c r="J1886" s="20" t="b">
        <v>0</v>
      </c>
      <c r="K1886" s="13" t="str">
        <f t="shared" si="8"/>
        <v/>
      </c>
    </row>
    <row r="1887" ht="22.5" customHeight="1">
      <c r="B1887" s="13">
        <f t="shared" si="3"/>
        <v>1881</v>
      </c>
      <c r="C1887" s="15" t="str">
        <f t="array" ref="C1887">IFNA(_xlfn.XLOOKUP(B1887,Table_Respons_Loket[Count],Table_Respons_Loket[Nomor Tiket]),"")</f>
        <v/>
      </c>
      <c r="D1887" s="15" t="str">
        <f t="array" ref="D1887">IFNA(_xlfn.XLOOKUP(B1887,Table_Respons_Loket[Count],Table_Respons_Loket[Daftar Nomor Hak]),"")</f>
        <v/>
      </c>
      <c r="E1887" s="17" t="str">
        <f t="array" ref="E1887">IFNA(_xlfn.XLOOKUP(B1887,Table_Respons_Loket[Count],Table_Respons_Loket[Time Stamp]),"")</f>
        <v/>
      </c>
      <c r="F1887" s="18" t="str">
        <f t="array" ref="F1887">IFNA(_xlfn.XLOOKUP(B1887,Table_Respons_Loket[Count],Table_Respons_Loket[Jenis Permohonan]),"")</f>
        <v/>
      </c>
      <c r="G1887" s="24"/>
      <c r="H1887" s="24"/>
      <c r="I1887" s="22" t="str">
        <f t="shared" si="7"/>
        <v/>
      </c>
      <c r="J1887" s="20" t="b">
        <v>0</v>
      </c>
      <c r="K1887" s="13" t="str">
        <f t="shared" si="8"/>
        <v/>
      </c>
    </row>
    <row r="1888" ht="22.5" customHeight="1">
      <c r="B1888" s="13">
        <f t="shared" si="3"/>
        <v>1882</v>
      </c>
      <c r="C1888" s="15" t="str">
        <f t="array" ref="C1888">IFNA(_xlfn.XLOOKUP(B1888,Table_Respons_Loket[Count],Table_Respons_Loket[Nomor Tiket]),"")</f>
        <v/>
      </c>
      <c r="D1888" s="15" t="str">
        <f t="array" ref="D1888">IFNA(_xlfn.XLOOKUP(B1888,Table_Respons_Loket[Count],Table_Respons_Loket[Daftar Nomor Hak]),"")</f>
        <v/>
      </c>
      <c r="E1888" s="17" t="str">
        <f t="array" ref="E1888">IFNA(_xlfn.XLOOKUP(B1888,Table_Respons_Loket[Count],Table_Respons_Loket[Time Stamp]),"")</f>
        <v/>
      </c>
      <c r="F1888" s="18" t="str">
        <f t="array" ref="F1888">IFNA(_xlfn.XLOOKUP(B1888,Table_Respons_Loket[Count],Table_Respons_Loket[Jenis Permohonan]),"")</f>
        <v/>
      </c>
      <c r="G1888" s="24"/>
      <c r="H1888" s="24"/>
      <c r="I1888" s="22" t="str">
        <f t="shared" si="7"/>
        <v/>
      </c>
      <c r="J1888" s="20" t="b">
        <v>0</v>
      </c>
      <c r="K1888" s="13" t="str">
        <f t="shared" si="8"/>
        <v/>
      </c>
    </row>
    <row r="1889" ht="22.5" customHeight="1">
      <c r="B1889" s="13">
        <f t="shared" si="3"/>
        <v>1883</v>
      </c>
      <c r="C1889" s="15" t="str">
        <f t="array" ref="C1889">IFNA(_xlfn.XLOOKUP(B1889,Table_Respons_Loket[Count],Table_Respons_Loket[Nomor Tiket]),"")</f>
        <v/>
      </c>
      <c r="D1889" s="15" t="str">
        <f t="array" ref="D1889">IFNA(_xlfn.XLOOKUP(B1889,Table_Respons_Loket[Count],Table_Respons_Loket[Daftar Nomor Hak]),"")</f>
        <v/>
      </c>
      <c r="E1889" s="17" t="str">
        <f t="array" ref="E1889">IFNA(_xlfn.XLOOKUP(B1889,Table_Respons_Loket[Count],Table_Respons_Loket[Time Stamp]),"")</f>
        <v/>
      </c>
      <c r="F1889" s="18" t="str">
        <f t="array" ref="F1889">IFNA(_xlfn.XLOOKUP(B1889,Table_Respons_Loket[Count],Table_Respons_Loket[Jenis Permohonan]),"")</f>
        <v/>
      </c>
      <c r="G1889" s="24"/>
      <c r="H1889" s="24"/>
      <c r="I1889" s="22" t="str">
        <f t="shared" si="7"/>
        <v/>
      </c>
      <c r="J1889" s="20" t="b">
        <v>0</v>
      </c>
      <c r="K1889" s="13" t="str">
        <f t="shared" si="8"/>
        <v/>
      </c>
    </row>
    <row r="1890" ht="22.5" customHeight="1">
      <c r="B1890" s="13">
        <f t="shared" si="3"/>
        <v>1884</v>
      </c>
      <c r="C1890" s="15" t="str">
        <f t="array" ref="C1890">IFNA(_xlfn.XLOOKUP(B1890,Table_Respons_Loket[Count],Table_Respons_Loket[Nomor Tiket]),"")</f>
        <v/>
      </c>
      <c r="D1890" s="15" t="str">
        <f t="array" ref="D1890">IFNA(_xlfn.XLOOKUP(B1890,Table_Respons_Loket[Count],Table_Respons_Loket[Daftar Nomor Hak]),"")</f>
        <v/>
      </c>
      <c r="E1890" s="17" t="str">
        <f t="array" ref="E1890">IFNA(_xlfn.XLOOKUP(B1890,Table_Respons_Loket[Count],Table_Respons_Loket[Time Stamp]),"")</f>
        <v/>
      </c>
      <c r="F1890" s="18" t="str">
        <f t="array" ref="F1890">IFNA(_xlfn.XLOOKUP(B1890,Table_Respons_Loket[Count],Table_Respons_Loket[Jenis Permohonan]),"")</f>
        <v/>
      </c>
      <c r="G1890" s="24"/>
      <c r="H1890" s="24"/>
      <c r="I1890" s="22" t="str">
        <f t="shared" si="7"/>
        <v/>
      </c>
      <c r="J1890" s="20" t="b">
        <v>0</v>
      </c>
      <c r="K1890" s="13" t="str">
        <f t="shared" si="8"/>
        <v/>
      </c>
    </row>
    <row r="1891" ht="22.5" customHeight="1">
      <c r="B1891" s="13">
        <f t="shared" si="3"/>
        <v>1885</v>
      </c>
      <c r="C1891" s="15" t="str">
        <f t="array" ref="C1891">IFNA(_xlfn.XLOOKUP(B1891,Table_Respons_Loket[Count],Table_Respons_Loket[Nomor Tiket]),"")</f>
        <v/>
      </c>
      <c r="D1891" s="15" t="str">
        <f t="array" ref="D1891">IFNA(_xlfn.XLOOKUP(B1891,Table_Respons_Loket[Count],Table_Respons_Loket[Daftar Nomor Hak]),"")</f>
        <v/>
      </c>
      <c r="E1891" s="17" t="str">
        <f t="array" ref="E1891">IFNA(_xlfn.XLOOKUP(B1891,Table_Respons_Loket[Count],Table_Respons_Loket[Time Stamp]),"")</f>
        <v/>
      </c>
      <c r="F1891" s="18" t="str">
        <f t="array" ref="F1891">IFNA(_xlfn.XLOOKUP(B1891,Table_Respons_Loket[Count],Table_Respons_Loket[Jenis Permohonan]),"")</f>
        <v/>
      </c>
      <c r="G1891" s="24"/>
      <c r="H1891" s="24"/>
      <c r="I1891" s="22" t="str">
        <f t="shared" si="7"/>
        <v/>
      </c>
      <c r="J1891" s="20" t="b">
        <v>0</v>
      </c>
      <c r="K1891" s="13" t="str">
        <f t="shared" si="8"/>
        <v/>
      </c>
    </row>
    <row r="1892" ht="22.5" customHeight="1">
      <c r="B1892" s="13">
        <f t="shared" si="3"/>
        <v>1886</v>
      </c>
      <c r="C1892" s="15" t="str">
        <f t="array" ref="C1892">IFNA(_xlfn.XLOOKUP(B1892,Table_Respons_Loket[Count],Table_Respons_Loket[Nomor Tiket]),"")</f>
        <v/>
      </c>
      <c r="D1892" s="15" t="str">
        <f t="array" ref="D1892">IFNA(_xlfn.XLOOKUP(B1892,Table_Respons_Loket[Count],Table_Respons_Loket[Daftar Nomor Hak]),"")</f>
        <v/>
      </c>
      <c r="E1892" s="17" t="str">
        <f t="array" ref="E1892">IFNA(_xlfn.XLOOKUP(B1892,Table_Respons_Loket[Count],Table_Respons_Loket[Time Stamp]),"")</f>
        <v/>
      </c>
      <c r="F1892" s="18" t="str">
        <f t="array" ref="F1892">IFNA(_xlfn.XLOOKUP(B1892,Table_Respons_Loket[Count],Table_Respons_Loket[Jenis Permohonan]),"")</f>
        <v/>
      </c>
      <c r="G1892" s="24"/>
      <c r="H1892" s="24"/>
      <c r="I1892" s="22" t="str">
        <f t="shared" si="7"/>
        <v/>
      </c>
      <c r="J1892" s="20" t="b">
        <v>0</v>
      </c>
      <c r="K1892" s="13" t="str">
        <f t="shared" si="8"/>
        <v/>
      </c>
    </row>
    <row r="1893" ht="22.5" customHeight="1">
      <c r="B1893" s="13">
        <f t="shared" si="3"/>
        <v>1887</v>
      </c>
      <c r="C1893" s="15" t="str">
        <f t="array" ref="C1893">IFNA(_xlfn.XLOOKUP(B1893,Table_Respons_Loket[Count],Table_Respons_Loket[Nomor Tiket]),"")</f>
        <v/>
      </c>
      <c r="D1893" s="15" t="str">
        <f t="array" ref="D1893">IFNA(_xlfn.XLOOKUP(B1893,Table_Respons_Loket[Count],Table_Respons_Loket[Daftar Nomor Hak]),"")</f>
        <v/>
      </c>
      <c r="E1893" s="17" t="str">
        <f t="array" ref="E1893">IFNA(_xlfn.XLOOKUP(B1893,Table_Respons_Loket[Count],Table_Respons_Loket[Time Stamp]),"")</f>
        <v/>
      </c>
      <c r="F1893" s="18" t="str">
        <f t="array" ref="F1893">IFNA(_xlfn.XLOOKUP(B1893,Table_Respons_Loket[Count],Table_Respons_Loket[Jenis Permohonan]),"")</f>
        <v/>
      </c>
      <c r="G1893" s="24"/>
      <c r="H1893" s="24"/>
      <c r="I1893" s="22" t="str">
        <f t="shared" si="7"/>
        <v/>
      </c>
      <c r="J1893" s="20" t="b">
        <v>0</v>
      </c>
      <c r="K1893" s="13" t="str">
        <f t="shared" si="8"/>
        <v/>
      </c>
    </row>
    <row r="1894" ht="22.5" customHeight="1">
      <c r="B1894" s="13">
        <f t="shared" si="3"/>
        <v>1888</v>
      </c>
      <c r="C1894" s="15" t="str">
        <f t="array" ref="C1894">IFNA(_xlfn.XLOOKUP(B1894,Table_Respons_Loket[Count],Table_Respons_Loket[Nomor Tiket]),"")</f>
        <v/>
      </c>
      <c r="D1894" s="15" t="str">
        <f t="array" ref="D1894">IFNA(_xlfn.XLOOKUP(B1894,Table_Respons_Loket[Count],Table_Respons_Loket[Daftar Nomor Hak]),"")</f>
        <v/>
      </c>
      <c r="E1894" s="17" t="str">
        <f t="array" ref="E1894">IFNA(_xlfn.XLOOKUP(B1894,Table_Respons_Loket[Count],Table_Respons_Loket[Time Stamp]),"")</f>
        <v/>
      </c>
      <c r="F1894" s="18" t="str">
        <f t="array" ref="F1894">IFNA(_xlfn.XLOOKUP(B1894,Table_Respons_Loket[Count],Table_Respons_Loket[Jenis Permohonan]),"")</f>
        <v/>
      </c>
      <c r="G1894" s="24"/>
      <c r="H1894" s="24"/>
      <c r="I1894" s="22" t="str">
        <f t="shared" si="7"/>
        <v/>
      </c>
      <c r="J1894" s="20" t="b">
        <v>0</v>
      </c>
      <c r="K1894" s="13" t="str">
        <f t="shared" si="8"/>
        <v/>
      </c>
    </row>
    <row r="1895" ht="22.5" customHeight="1">
      <c r="B1895" s="13">
        <f t="shared" si="3"/>
        <v>1889</v>
      </c>
      <c r="C1895" s="15" t="str">
        <f t="array" ref="C1895">IFNA(_xlfn.XLOOKUP(B1895,Table_Respons_Loket[Count],Table_Respons_Loket[Nomor Tiket]),"")</f>
        <v/>
      </c>
      <c r="D1895" s="15" t="str">
        <f t="array" ref="D1895">IFNA(_xlfn.XLOOKUP(B1895,Table_Respons_Loket[Count],Table_Respons_Loket[Daftar Nomor Hak]),"")</f>
        <v/>
      </c>
      <c r="E1895" s="17" t="str">
        <f t="array" ref="E1895">IFNA(_xlfn.XLOOKUP(B1895,Table_Respons_Loket[Count],Table_Respons_Loket[Time Stamp]),"")</f>
        <v/>
      </c>
      <c r="F1895" s="18" t="str">
        <f t="array" ref="F1895">IFNA(_xlfn.XLOOKUP(B1895,Table_Respons_Loket[Count],Table_Respons_Loket[Jenis Permohonan]),"")</f>
        <v/>
      </c>
      <c r="G1895" s="24"/>
      <c r="H1895" s="24"/>
      <c r="I1895" s="22" t="str">
        <f t="shared" si="7"/>
        <v/>
      </c>
      <c r="J1895" s="20" t="b">
        <v>0</v>
      </c>
      <c r="K1895" s="13" t="str">
        <f t="shared" si="8"/>
        <v/>
      </c>
    </row>
    <row r="1896" ht="22.5" customHeight="1">
      <c r="B1896" s="13">
        <f t="shared" si="3"/>
        <v>1890</v>
      </c>
      <c r="C1896" s="15" t="str">
        <f t="array" ref="C1896">IFNA(_xlfn.XLOOKUP(B1896,Table_Respons_Loket[Count],Table_Respons_Loket[Nomor Tiket]),"")</f>
        <v/>
      </c>
      <c r="D1896" s="15" t="str">
        <f t="array" ref="D1896">IFNA(_xlfn.XLOOKUP(B1896,Table_Respons_Loket[Count],Table_Respons_Loket[Daftar Nomor Hak]),"")</f>
        <v/>
      </c>
      <c r="E1896" s="17" t="str">
        <f t="array" ref="E1896">IFNA(_xlfn.XLOOKUP(B1896,Table_Respons_Loket[Count],Table_Respons_Loket[Time Stamp]),"")</f>
        <v/>
      </c>
      <c r="F1896" s="18" t="str">
        <f t="array" ref="F1896">IFNA(_xlfn.XLOOKUP(B1896,Table_Respons_Loket[Count],Table_Respons_Loket[Jenis Permohonan]),"")</f>
        <v/>
      </c>
      <c r="G1896" s="24"/>
      <c r="H1896" s="24"/>
      <c r="I1896" s="22" t="str">
        <f t="shared" si="7"/>
        <v/>
      </c>
      <c r="J1896" s="20" t="b">
        <v>0</v>
      </c>
      <c r="K1896" s="13" t="str">
        <f t="shared" si="8"/>
        <v/>
      </c>
    </row>
    <row r="1897" ht="22.5" customHeight="1">
      <c r="B1897" s="13">
        <f t="shared" si="3"/>
        <v>1891</v>
      </c>
      <c r="C1897" s="15" t="str">
        <f t="array" ref="C1897">IFNA(_xlfn.XLOOKUP(B1897,Table_Respons_Loket[Count],Table_Respons_Loket[Nomor Tiket]),"")</f>
        <v/>
      </c>
      <c r="D1897" s="15" t="str">
        <f t="array" ref="D1897">IFNA(_xlfn.XLOOKUP(B1897,Table_Respons_Loket[Count],Table_Respons_Loket[Daftar Nomor Hak]),"")</f>
        <v/>
      </c>
      <c r="E1897" s="17" t="str">
        <f t="array" ref="E1897">IFNA(_xlfn.XLOOKUP(B1897,Table_Respons_Loket[Count],Table_Respons_Loket[Time Stamp]),"")</f>
        <v/>
      </c>
      <c r="F1897" s="18" t="str">
        <f t="array" ref="F1897">IFNA(_xlfn.XLOOKUP(B1897,Table_Respons_Loket[Count],Table_Respons_Loket[Jenis Permohonan]),"")</f>
        <v/>
      </c>
      <c r="G1897" s="24"/>
      <c r="H1897" s="24"/>
      <c r="I1897" s="22" t="str">
        <f t="shared" si="7"/>
        <v/>
      </c>
      <c r="J1897" s="20" t="b">
        <v>0</v>
      </c>
      <c r="K1897" s="13" t="str">
        <f t="shared" si="8"/>
        <v/>
      </c>
    </row>
    <row r="1898" ht="22.5" customHeight="1">
      <c r="B1898" s="13">
        <f t="shared" si="3"/>
        <v>1892</v>
      </c>
      <c r="C1898" s="15" t="str">
        <f t="array" ref="C1898">IFNA(_xlfn.XLOOKUP(B1898,Table_Respons_Loket[Count],Table_Respons_Loket[Nomor Tiket]),"")</f>
        <v/>
      </c>
      <c r="D1898" s="15" t="str">
        <f t="array" ref="D1898">IFNA(_xlfn.XLOOKUP(B1898,Table_Respons_Loket[Count],Table_Respons_Loket[Daftar Nomor Hak]),"")</f>
        <v/>
      </c>
      <c r="E1898" s="17" t="str">
        <f t="array" ref="E1898">IFNA(_xlfn.XLOOKUP(B1898,Table_Respons_Loket[Count],Table_Respons_Loket[Time Stamp]),"")</f>
        <v/>
      </c>
      <c r="F1898" s="18" t="str">
        <f t="array" ref="F1898">IFNA(_xlfn.XLOOKUP(B1898,Table_Respons_Loket[Count],Table_Respons_Loket[Jenis Permohonan]),"")</f>
        <v/>
      </c>
      <c r="G1898" s="24"/>
      <c r="H1898" s="24"/>
      <c r="I1898" s="22" t="str">
        <f t="shared" si="7"/>
        <v/>
      </c>
      <c r="J1898" s="20" t="b">
        <v>0</v>
      </c>
      <c r="K1898" s="13" t="str">
        <f t="shared" si="8"/>
        <v/>
      </c>
    </row>
    <row r="1899" ht="22.5" customHeight="1">
      <c r="B1899" s="13">
        <f t="shared" si="3"/>
        <v>1893</v>
      </c>
      <c r="C1899" s="15" t="str">
        <f t="array" ref="C1899">IFNA(_xlfn.XLOOKUP(B1899,Table_Respons_Loket[Count],Table_Respons_Loket[Nomor Tiket]),"")</f>
        <v/>
      </c>
      <c r="D1899" s="15" t="str">
        <f t="array" ref="D1899">IFNA(_xlfn.XLOOKUP(B1899,Table_Respons_Loket[Count],Table_Respons_Loket[Daftar Nomor Hak]),"")</f>
        <v/>
      </c>
      <c r="E1899" s="17" t="str">
        <f t="array" ref="E1899">IFNA(_xlfn.XLOOKUP(B1899,Table_Respons_Loket[Count],Table_Respons_Loket[Time Stamp]),"")</f>
        <v/>
      </c>
      <c r="F1899" s="18" t="str">
        <f t="array" ref="F1899">IFNA(_xlfn.XLOOKUP(B1899,Table_Respons_Loket[Count],Table_Respons_Loket[Jenis Permohonan]),"")</f>
        <v/>
      </c>
      <c r="G1899" s="24"/>
      <c r="H1899" s="24"/>
      <c r="I1899" s="22" t="str">
        <f t="shared" si="7"/>
        <v/>
      </c>
      <c r="J1899" s="20" t="b">
        <v>0</v>
      </c>
      <c r="K1899" s="13" t="str">
        <f t="shared" si="8"/>
        <v/>
      </c>
    </row>
    <row r="1900" ht="22.5" customHeight="1">
      <c r="B1900" s="13">
        <f t="shared" si="3"/>
        <v>1894</v>
      </c>
      <c r="C1900" s="15" t="str">
        <f t="array" ref="C1900">IFNA(_xlfn.XLOOKUP(B1900,Table_Respons_Loket[Count],Table_Respons_Loket[Nomor Tiket]),"")</f>
        <v/>
      </c>
      <c r="D1900" s="15" t="str">
        <f t="array" ref="D1900">IFNA(_xlfn.XLOOKUP(B1900,Table_Respons_Loket[Count],Table_Respons_Loket[Daftar Nomor Hak]),"")</f>
        <v/>
      </c>
      <c r="E1900" s="17" t="str">
        <f t="array" ref="E1900">IFNA(_xlfn.XLOOKUP(B1900,Table_Respons_Loket[Count],Table_Respons_Loket[Time Stamp]),"")</f>
        <v/>
      </c>
      <c r="F1900" s="18" t="str">
        <f t="array" ref="F1900">IFNA(_xlfn.XLOOKUP(B1900,Table_Respons_Loket[Count],Table_Respons_Loket[Jenis Permohonan]),"")</f>
        <v/>
      </c>
      <c r="G1900" s="24"/>
      <c r="H1900" s="24"/>
      <c r="I1900" s="22" t="str">
        <f t="shared" si="7"/>
        <v/>
      </c>
      <c r="J1900" s="20" t="b">
        <v>0</v>
      </c>
      <c r="K1900" s="13" t="str">
        <f t="shared" si="8"/>
        <v/>
      </c>
    </row>
    <row r="1901" ht="22.5" customHeight="1">
      <c r="B1901" s="13">
        <f t="shared" si="3"/>
        <v>1895</v>
      </c>
      <c r="C1901" s="15" t="str">
        <f t="array" ref="C1901">IFNA(_xlfn.XLOOKUP(B1901,Table_Respons_Loket[Count],Table_Respons_Loket[Nomor Tiket]),"")</f>
        <v/>
      </c>
      <c r="D1901" s="15" t="str">
        <f t="array" ref="D1901">IFNA(_xlfn.XLOOKUP(B1901,Table_Respons_Loket[Count],Table_Respons_Loket[Daftar Nomor Hak]),"")</f>
        <v/>
      </c>
      <c r="E1901" s="17" t="str">
        <f t="array" ref="E1901">IFNA(_xlfn.XLOOKUP(B1901,Table_Respons_Loket[Count],Table_Respons_Loket[Time Stamp]),"")</f>
        <v/>
      </c>
      <c r="F1901" s="18" t="str">
        <f t="array" ref="F1901">IFNA(_xlfn.XLOOKUP(B1901,Table_Respons_Loket[Count],Table_Respons_Loket[Jenis Permohonan]),"")</f>
        <v/>
      </c>
      <c r="G1901" s="24"/>
      <c r="H1901" s="24"/>
      <c r="I1901" s="22" t="str">
        <f t="shared" si="7"/>
        <v/>
      </c>
      <c r="J1901" s="20" t="b">
        <v>0</v>
      </c>
      <c r="K1901" s="13" t="str">
        <f t="shared" si="8"/>
        <v/>
      </c>
    </row>
    <row r="1902" ht="22.5" customHeight="1">
      <c r="B1902" s="13">
        <f t="shared" si="3"/>
        <v>1896</v>
      </c>
      <c r="C1902" s="15" t="str">
        <f t="array" ref="C1902">IFNA(_xlfn.XLOOKUP(B1902,Table_Respons_Loket[Count],Table_Respons_Loket[Nomor Tiket]),"")</f>
        <v/>
      </c>
      <c r="D1902" s="15" t="str">
        <f t="array" ref="D1902">IFNA(_xlfn.XLOOKUP(B1902,Table_Respons_Loket[Count],Table_Respons_Loket[Daftar Nomor Hak]),"")</f>
        <v/>
      </c>
      <c r="E1902" s="17" t="str">
        <f t="array" ref="E1902">IFNA(_xlfn.XLOOKUP(B1902,Table_Respons_Loket[Count],Table_Respons_Loket[Time Stamp]),"")</f>
        <v/>
      </c>
      <c r="F1902" s="18" t="str">
        <f t="array" ref="F1902">IFNA(_xlfn.XLOOKUP(B1902,Table_Respons_Loket[Count],Table_Respons_Loket[Jenis Permohonan]),"")</f>
        <v/>
      </c>
      <c r="G1902" s="24"/>
      <c r="H1902" s="24"/>
      <c r="I1902" s="22" t="str">
        <f t="shared" si="7"/>
        <v/>
      </c>
      <c r="J1902" s="20" t="b">
        <v>0</v>
      </c>
      <c r="K1902" s="13" t="str">
        <f t="shared" si="8"/>
        <v/>
      </c>
    </row>
    <row r="1903" ht="22.5" customHeight="1">
      <c r="B1903" s="13">
        <f t="shared" si="3"/>
        <v>1897</v>
      </c>
      <c r="C1903" s="15" t="str">
        <f t="array" ref="C1903">IFNA(_xlfn.XLOOKUP(B1903,Table_Respons_Loket[Count],Table_Respons_Loket[Nomor Tiket]),"")</f>
        <v/>
      </c>
      <c r="D1903" s="15" t="str">
        <f t="array" ref="D1903">IFNA(_xlfn.XLOOKUP(B1903,Table_Respons_Loket[Count],Table_Respons_Loket[Daftar Nomor Hak]),"")</f>
        <v/>
      </c>
      <c r="E1903" s="17" t="str">
        <f t="array" ref="E1903">IFNA(_xlfn.XLOOKUP(B1903,Table_Respons_Loket[Count],Table_Respons_Loket[Time Stamp]),"")</f>
        <v/>
      </c>
      <c r="F1903" s="18" t="str">
        <f t="array" ref="F1903">IFNA(_xlfn.XLOOKUP(B1903,Table_Respons_Loket[Count],Table_Respons_Loket[Jenis Permohonan]),"")</f>
        <v/>
      </c>
      <c r="G1903" s="24"/>
      <c r="H1903" s="24"/>
      <c r="I1903" s="22" t="str">
        <f t="shared" si="7"/>
        <v/>
      </c>
      <c r="J1903" s="20" t="b">
        <v>0</v>
      </c>
      <c r="K1903" s="13" t="str">
        <f t="shared" si="8"/>
        <v/>
      </c>
    </row>
    <row r="1904" ht="22.5" customHeight="1">
      <c r="B1904" s="13">
        <f t="shared" si="3"/>
        <v>1898</v>
      </c>
      <c r="C1904" s="15" t="str">
        <f t="array" ref="C1904">IFNA(_xlfn.XLOOKUP(B1904,Table_Respons_Loket[Count],Table_Respons_Loket[Nomor Tiket]),"")</f>
        <v/>
      </c>
      <c r="D1904" s="15" t="str">
        <f t="array" ref="D1904">IFNA(_xlfn.XLOOKUP(B1904,Table_Respons_Loket[Count],Table_Respons_Loket[Daftar Nomor Hak]),"")</f>
        <v/>
      </c>
      <c r="E1904" s="17" t="str">
        <f t="array" ref="E1904">IFNA(_xlfn.XLOOKUP(B1904,Table_Respons_Loket[Count],Table_Respons_Loket[Time Stamp]),"")</f>
        <v/>
      </c>
      <c r="F1904" s="18" t="str">
        <f t="array" ref="F1904">IFNA(_xlfn.XLOOKUP(B1904,Table_Respons_Loket[Count],Table_Respons_Loket[Jenis Permohonan]),"")</f>
        <v/>
      </c>
      <c r="G1904" s="24"/>
      <c r="H1904" s="24"/>
      <c r="I1904" s="22" t="str">
        <f t="shared" si="7"/>
        <v/>
      </c>
      <c r="J1904" s="20" t="b">
        <v>0</v>
      </c>
      <c r="K1904" s="13" t="str">
        <f t="shared" si="8"/>
        <v/>
      </c>
    </row>
    <row r="1905" ht="22.5" customHeight="1">
      <c r="B1905" s="13">
        <f t="shared" si="3"/>
        <v>1899</v>
      </c>
      <c r="C1905" s="15" t="str">
        <f t="array" ref="C1905">IFNA(_xlfn.XLOOKUP(B1905,Table_Respons_Loket[Count],Table_Respons_Loket[Nomor Tiket]),"")</f>
        <v/>
      </c>
      <c r="D1905" s="15" t="str">
        <f t="array" ref="D1905">IFNA(_xlfn.XLOOKUP(B1905,Table_Respons_Loket[Count],Table_Respons_Loket[Daftar Nomor Hak]),"")</f>
        <v/>
      </c>
      <c r="E1905" s="17" t="str">
        <f t="array" ref="E1905">IFNA(_xlfn.XLOOKUP(B1905,Table_Respons_Loket[Count],Table_Respons_Loket[Time Stamp]),"")</f>
        <v/>
      </c>
      <c r="F1905" s="18" t="str">
        <f t="array" ref="F1905">IFNA(_xlfn.XLOOKUP(B1905,Table_Respons_Loket[Count],Table_Respons_Loket[Jenis Permohonan]),"")</f>
        <v/>
      </c>
      <c r="G1905" s="24"/>
      <c r="H1905" s="24"/>
      <c r="I1905" s="22" t="str">
        <f t="shared" si="7"/>
        <v/>
      </c>
      <c r="J1905" s="20" t="b">
        <v>0</v>
      </c>
      <c r="K1905" s="13" t="str">
        <f t="shared" si="8"/>
        <v/>
      </c>
    </row>
    <row r="1906" ht="22.5" customHeight="1">
      <c r="B1906" s="13">
        <f t="shared" si="3"/>
        <v>1900</v>
      </c>
      <c r="C1906" s="15" t="str">
        <f t="array" ref="C1906">IFNA(_xlfn.XLOOKUP(B1906,Table_Respons_Loket[Count],Table_Respons_Loket[Nomor Tiket]),"")</f>
        <v/>
      </c>
      <c r="D1906" s="15" t="str">
        <f t="array" ref="D1906">IFNA(_xlfn.XLOOKUP(B1906,Table_Respons_Loket[Count],Table_Respons_Loket[Daftar Nomor Hak]),"")</f>
        <v/>
      </c>
      <c r="E1906" s="17" t="str">
        <f t="array" ref="E1906">IFNA(_xlfn.XLOOKUP(B1906,Table_Respons_Loket[Count],Table_Respons_Loket[Time Stamp]),"")</f>
        <v/>
      </c>
      <c r="F1906" s="18" t="str">
        <f t="array" ref="F1906">IFNA(_xlfn.XLOOKUP(B1906,Table_Respons_Loket[Count],Table_Respons_Loket[Jenis Permohonan]),"")</f>
        <v/>
      </c>
      <c r="G1906" s="24"/>
      <c r="H1906" s="24"/>
      <c r="I1906" s="22" t="str">
        <f t="shared" si="7"/>
        <v/>
      </c>
      <c r="J1906" s="20" t="b">
        <v>0</v>
      </c>
      <c r="K1906" s="13" t="str">
        <f t="shared" si="8"/>
        <v/>
      </c>
    </row>
    <row r="1907" ht="22.5" customHeight="1">
      <c r="B1907" s="13">
        <f t="shared" si="3"/>
        <v>1901</v>
      </c>
      <c r="C1907" s="15" t="str">
        <f t="array" ref="C1907">IFNA(_xlfn.XLOOKUP(B1907,Table_Respons_Loket[Count],Table_Respons_Loket[Nomor Tiket]),"")</f>
        <v/>
      </c>
      <c r="D1907" s="15" t="str">
        <f t="array" ref="D1907">IFNA(_xlfn.XLOOKUP(B1907,Table_Respons_Loket[Count],Table_Respons_Loket[Daftar Nomor Hak]),"")</f>
        <v/>
      </c>
      <c r="E1907" s="17" t="str">
        <f t="array" ref="E1907">IFNA(_xlfn.XLOOKUP(B1907,Table_Respons_Loket[Count],Table_Respons_Loket[Time Stamp]),"")</f>
        <v/>
      </c>
      <c r="F1907" s="18" t="str">
        <f t="array" ref="F1907">IFNA(_xlfn.XLOOKUP(B1907,Table_Respons_Loket[Count],Table_Respons_Loket[Jenis Permohonan]),"")</f>
        <v/>
      </c>
      <c r="G1907" s="24"/>
      <c r="H1907" s="24"/>
      <c r="I1907" s="22" t="str">
        <f t="shared" si="7"/>
        <v/>
      </c>
      <c r="J1907" s="20" t="b">
        <v>0</v>
      </c>
      <c r="K1907" s="13" t="str">
        <f t="shared" si="8"/>
        <v/>
      </c>
    </row>
    <row r="1908" ht="22.5" customHeight="1">
      <c r="B1908" s="13">
        <f t="shared" si="3"/>
        <v>1902</v>
      </c>
      <c r="C1908" s="15" t="str">
        <f t="array" ref="C1908">IFNA(_xlfn.XLOOKUP(B1908,Table_Respons_Loket[Count],Table_Respons_Loket[Nomor Tiket]),"")</f>
        <v/>
      </c>
      <c r="D1908" s="15" t="str">
        <f t="array" ref="D1908">IFNA(_xlfn.XLOOKUP(B1908,Table_Respons_Loket[Count],Table_Respons_Loket[Daftar Nomor Hak]),"")</f>
        <v/>
      </c>
      <c r="E1908" s="17" t="str">
        <f t="array" ref="E1908">IFNA(_xlfn.XLOOKUP(B1908,Table_Respons_Loket[Count],Table_Respons_Loket[Time Stamp]),"")</f>
        <v/>
      </c>
      <c r="F1908" s="18" t="str">
        <f t="array" ref="F1908">IFNA(_xlfn.XLOOKUP(B1908,Table_Respons_Loket[Count],Table_Respons_Loket[Jenis Permohonan]),"")</f>
        <v/>
      </c>
      <c r="G1908" s="24"/>
      <c r="H1908" s="24"/>
      <c r="I1908" s="22" t="str">
        <f t="shared" si="7"/>
        <v/>
      </c>
      <c r="J1908" s="20" t="b">
        <v>0</v>
      </c>
      <c r="K1908" s="13" t="str">
        <f t="shared" si="8"/>
        <v/>
      </c>
    </row>
    <row r="1909" ht="22.5" customHeight="1">
      <c r="B1909" s="13">
        <f t="shared" si="3"/>
        <v>1903</v>
      </c>
      <c r="C1909" s="15" t="str">
        <f t="array" ref="C1909">IFNA(_xlfn.XLOOKUP(B1909,Table_Respons_Loket[Count],Table_Respons_Loket[Nomor Tiket]),"")</f>
        <v/>
      </c>
      <c r="D1909" s="15" t="str">
        <f t="array" ref="D1909">IFNA(_xlfn.XLOOKUP(B1909,Table_Respons_Loket[Count],Table_Respons_Loket[Daftar Nomor Hak]),"")</f>
        <v/>
      </c>
      <c r="E1909" s="17" t="str">
        <f t="array" ref="E1909">IFNA(_xlfn.XLOOKUP(B1909,Table_Respons_Loket[Count],Table_Respons_Loket[Time Stamp]),"")</f>
        <v/>
      </c>
      <c r="F1909" s="18" t="str">
        <f t="array" ref="F1909">IFNA(_xlfn.XLOOKUP(B1909,Table_Respons_Loket[Count],Table_Respons_Loket[Jenis Permohonan]),"")</f>
        <v/>
      </c>
      <c r="G1909" s="24"/>
      <c r="H1909" s="24"/>
      <c r="I1909" s="22" t="str">
        <f t="shared" si="7"/>
        <v/>
      </c>
      <c r="J1909" s="20" t="b">
        <v>0</v>
      </c>
      <c r="K1909" s="13" t="str">
        <f t="shared" si="8"/>
        <v/>
      </c>
    </row>
    <row r="1910" ht="22.5" customHeight="1">
      <c r="B1910" s="13">
        <f t="shared" si="3"/>
        <v>1904</v>
      </c>
      <c r="C1910" s="15" t="str">
        <f t="array" ref="C1910">IFNA(_xlfn.XLOOKUP(B1910,Table_Respons_Loket[Count],Table_Respons_Loket[Nomor Tiket]),"")</f>
        <v/>
      </c>
      <c r="D1910" s="15" t="str">
        <f t="array" ref="D1910">IFNA(_xlfn.XLOOKUP(B1910,Table_Respons_Loket[Count],Table_Respons_Loket[Daftar Nomor Hak]),"")</f>
        <v/>
      </c>
      <c r="E1910" s="17" t="str">
        <f t="array" ref="E1910">IFNA(_xlfn.XLOOKUP(B1910,Table_Respons_Loket[Count],Table_Respons_Loket[Time Stamp]),"")</f>
        <v/>
      </c>
      <c r="F1910" s="18" t="str">
        <f t="array" ref="F1910">IFNA(_xlfn.XLOOKUP(B1910,Table_Respons_Loket[Count],Table_Respons_Loket[Jenis Permohonan]),"")</f>
        <v/>
      </c>
      <c r="G1910" s="24"/>
      <c r="H1910" s="24"/>
      <c r="I1910" s="22" t="str">
        <f t="shared" si="7"/>
        <v/>
      </c>
      <c r="J1910" s="20" t="b">
        <v>0</v>
      </c>
      <c r="K1910" s="13" t="str">
        <f t="shared" si="8"/>
        <v/>
      </c>
    </row>
    <row r="1911" ht="22.5" customHeight="1">
      <c r="B1911" s="13">
        <f t="shared" si="3"/>
        <v>1905</v>
      </c>
      <c r="C1911" s="15" t="str">
        <f t="array" ref="C1911">IFNA(_xlfn.XLOOKUP(B1911,Table_Respons_Loket[Count],Table_Respons_Loket[Nomor Tiket]),"")</f>
        <v/>
      </c>
      <c r="D1911" s="15" t="str">
        <f t="array" ref="D1911">IFNA(_xlfn.XLOOKUP(B1911,Table_Respons_Loket[Count],Table_Respons_Loket[Daftar Nomor Hak]),"")</f>
        <v/>
      </c>
      <c r="E1911" s="17" t="str">
        <f t="array" ref="E1911">IFNA(_xlfn.XLOOKUP(B1911,Table_Respons_Loket[Count],Table_Respons_Loket[Time Stamp]),"")</f>
        <v/>
      </c>
      <c r="F1911" s="18" t="str">
        <f t="array" ref="F1911">IFNA(_xlfn.XLOOKUP(B1911,Table_Respons_Loket[Count],Table_Respons_Loket[Jenis Permohonan]),"")</f>
        <v/>
      </c>
      <c r="G1911" s="24"/>
      <c r="H1911" s="24"/>
      <c r="I1911" s="22" t="str">
        <f t="shared" si="7"/>
        <v/>
      </c>
      <c r="J1911" s="20" t="b">
        <v>0</v>
      </c>
      <c r="K1911" s="13" t="str">
        <f t="shared" si="8"/>
        <v/>
      </c>
    </row>
    <row r="1912" ht="22.5" customHeight="1">
      <c r="B1912" s="13">
        <f t="shared" si="3"/>
        <v>1906</v>
      </c>
      <c r="C1912" s="15" t="str">
        <f t="array" ref="C1912">IFNA(_xlfn.XLOOKUP(B1912,Table_Respons_Loket[Count],Table_Respons_Loket[Nomor Tiket]),"")</f>
        <v/>
      </c>
      <c r="D1912" s="15" t="str">
        <f t="array" ref="D1912">IFNA(_xlfn.XLOOKUP(B1912,Table_Respons_Loket[Count],Table_Respons_Loket[Daftar Nomor Hak]),"")</f>
        <v/>
      </c>
      <c r="E1912" s="17" t="str">
        <f t="array" ref="E1912">IFNA(_xlfn.XLOOKUP(B1912,Table_Respons_Loket[Count],Table_Respons_Loket[Time Stamp]),"")</f>
        <v/>
      </c>
      <c r="F1912" s="18" t="str">
        <f t="array" ref="F1912">IFNA(_xlfn.XLOOKUP(B1912,Table_Respons_Loket[Count],Table_Respons_Loket[Jenis Permohonan]),"")</f>
        <v/>
      </c>
      <c r="G1912" s="24"/>
      <c r="H1912" s="24"/>
      <c r="I1912" s="22" t="str">
        <f t="shared" si="7"/>
        <v/>
      </c>
      <c r="J1912" s="20" t="b">
        <v>0</v>
      </c>
      <c r="K1912" s="13" t="str">
        <f t="shared" si="8"/>
        <v/>
      </c>
    </row>
    <row r="1913" ht="22.5" customHeight="1">
      <c r="B1913" s="13">
        <f t="shared" si="3"/>
        <v>1907</v>
      </c>
      <c r="C1913" s="15" t="str">
        <f t="array" ref="C1913">IFNA(_xlfn.XLOOKUP(B1913,Table_Respons_Loket[Count],Table_Respons_Loket[Nomor Tiket]),"")</f>
        <v/>
      </c>
      <c r="D1913" s="15" t="str">
        <f t="array" ref="D1913">IFNA(_xlfn.XLOOKUP(B1913,Table_Respons_Loket[Count],Table_Respons_Loket[Daftar Nomor Hak]),"")</f>
        <v/>
      </c>
      <c r="E1913" s="17" t="str">
        <f t="array" ref="E1913">IFNA(_xlfn.XLOOKUP(B1913,Table_Respons_Loket[Count],Table_Respons_Loket[Time Stamp]),"")</f>
        <v/>
      </c>
      <c r="F1913" s="18" t="str">
        <f t="array" ref="F1913">IFNA(_xlfn.XLOOKUP(B1913,Table_Respons_Loket[Count],Table_Respons_Loket[Jenis Permohonan]),"")</f>
        <v/>
      </c>
      <c r="G1913" s="24"/>
      <c r="H1913" s="24"/>
      <c r="I1913" s="22" t="str">
        <f t="shared" si="7"/>
        <v/>
      </c>
      <c r="J1913" s="20" t="b">
        <v>0</v>
      </c>
      <c r="K1913" s="13" t="str">
        <f t="shared" si="8"/>
        <v/>
      </c>
    </row>
    <row r="1914" ht="22.5" customHeight="1">
      <c r="B1914" s="13">
        <f t="shared" si="3"/>
        <v>1908</v>
      </c>
      <c r="C1914" s="15" t="str">
        <f t="array" ref="C1914">IFNA(_xlfn.XLOOKUP(B1914,Table_Respons_Loket[Count],Table_Respons_Loket[Nomor Tiket]),"")</f>
        <v/>
      </c>
      <c r="D1914" s="15" t="str">
        <f t="array" ref="D1914">IFNA(_xlfn.XLOOKUP(B1914,Table_Respons_Loket[Count],Table_Respons_Loket[Daftar Nomor Hak]),"")</f>
        <v/>
      </c>
      <c r="E1914" s="17" t="str">
        <f t="array" ref="E1914">IFNA(_xlfn.XLOOKUP(B1914,Table_Respons_Loket[Count],Table_Respons_Loket[Time Stamp]),"")</f>
        <v/>
      </c>
      <c r="F1914" s="18" t="str">
        <f t="array" ref="F1914">IFNA(_xlfn.XLOOKUP(B1914,Table_Respons_Loket[Count],Table_Respons_Loket[Jenis Permohonan]),"")</f>
        <v/>
      </c>
      <c r="G1914" s="24"/>
      <c r="H1914" s="24"/>
      <c r="I1914" s="22" t="str">
        <f t="shared" si="7"/>
        <v/>
      </c>
      <c r="J1914" s="20" t="b">
        <v>0</v>
      </c>
      <c r="K1914" s="13" t="str">
        <f t="shared" si="8"/>
        <v/>
      </c>
    </row>
    <row r="1915" ht="22.5" customHeight="1">
      <c r="B1915" s="13">
        <f t="shared" si="3"/>
        <v>1909</v>
      </c>
      <c r="C1915" s="15" t="str">
        <f t="array" ref="C1915">IFNA(_xlfn.XLOOKUP(B1915,Table_Respons_Loket[Count],Table_Respons_Loket[Nomor Tiket]),"")</f>
        <v/>
      </c>
      <c r="D1915" s="15" t="str">
        <f t="array" ref="D1915">IFNA(_xlfn.XLOOKUP(B1915,Table_Respons_Loket[Count],Table_Respons_Loket[Daftar Nomor Hak]),"")</f>
        <v/>
      </c>
      <c r="E1915" s="17" t="str">
        <f t="array" ref="E1915">IFNA(_xlfn.XLOOKUP(B1915,Table_Respons_Loket[Count],Table_Respons_Loket[Time Stamp]),"")</f>
        <v/>
      </c>
      <c r="F1915" s="18" t="str">
        <f t="array" ref="F1915">IFNA(_xlfn.XLOOKUP(B1915,Table_Respons_Loket[Count],Table_Respons_Loket[Jenis Permohonan]),"")</f>
        <v/>
      </c>
      <c r="G1915" s="24"/>
      <c r="H1915" s="24"/>
      <c r="I1915" s="22" t="str">
        <f t="shared" si="7"/>
        <v/>
      </c>
      <c r="J1915" s="20" t="b">
        <v>0</v>
      </c>
      <c r="K1915" s="13" t="str">
        <f t="shared" si="8"/>
        <v/>
      </c>
    </row>
    <row r="1916" ht="22.5" customHeight="1">
      <c r="B1916" s="13">
        <f t="shared" si="3"/>
        <v>1910</v>
      </c>
      <c r="C1916" s="15" t="str">
        <f t="array" ref="C1916">IFNA(_xlfn.XLOOKUP(B1916,Table_Respons_Loket[Count],Table_Respons_Loket[Nomor Tiket]),"")</f>
        <v/>
      </c>
      <c r="D1916" s="15" t="str">
        <f t="array" ref="D1916">IFNA(_xlfn.XLOOKUP(B1916,Table_Respons_Loket[Count],Table_Respons_Loket[Daftar Nomor Hak]),"")</f>
        <v/>
      </c>
      <c r="E1916" s="17" t="str">
        <f t="array" ref="E1916">IFNA(_xlfn.XLOOKUP(B1916,Table_Respons_Loket[Count],Table_Respons_Loket[Time Stamp]),"")</f>
        <v/>
      </c>
      <c r="F1916" s="18" t="str">
        <f t="array" ref="F1916">IFNA(_xlfn.XLOOKUP(B1916,Table_Respons_Loket[Count],Table_Respons_Loket[Jenis Permohonan]),"")</f>
        <v/>
      </c>
      <c r="G1916" s="24"/>
      <c r="H1916" s="24"/>
      <c r="I1916" s="22" t="str">
        <f t="shared" si="7"/>
        <v/>
      </c>
      <c r="J1916" s="20" t="b">
        <v>0</v>
      </c>
      <c r="K1916" s="13" t="str">
        <f t="shared" si="8"/>
        <v/>
      </c>
    </row>
    <row r="1917" ht="22.5" customHeight="1">
      <c r="B1917" s="13">
        <f t="shared" si="3"/>
        <v>1911</v>
      </c>
      <c r="C1917" s="15" t="str">
        <f t="array" ref="C1917">IFNA(_xlfn.XLOOKUP(B1917,Table_Respons_Loket[Count],Table_Respons_Loket[Nomor Tiket]),"")</f>
        <v/>
      </c>
      <c r="D1917" s="15" t="str">
        <f t="array" ref="D1917">IFNA(_xlfn.XLOOKUP(B1917,Table_Respons_Loket[Count],Table_Respons_Loket[Daftar Nomor Hak]),"")</f>
        <v/>
      </c>
      <c r="E1917" s="17" t="str">
        <f t="array" ref="E1917">IFNA(_xlfn.XLOOKUP(B1917,Table_Respons_Loket[Count],Table_Respons_Loket[Time Stamp]),"")</f>
        <v/>
      </c>
      <c r="F1917" s="18" t="str">
        <f t="array" ref="F1917">IFNA(_xlfn.XLOOKUP(B1917,Table_Respons_Loket[Count],Table_Respons_Loket[Jenis Permohonan]),"")</f>
        <v/>
      </c>
      <c r="G1917" s="24"/>
      <c r="H1917" s="24"/>
      <c r="I1917" s="22" t="str">
        <f t="shared" si="7"/>
        <v/>
      </c>
      <c r="J1917" s="20" t="b">
        <v>0</v>
      </c>
      <c r="K1917" s="13" t="str">
        <f t="shared" si="8"/>
        <v/>
      </c>
    </row>
    <row r="1918" ht="22.5" customHeight="1">
      <c r="B1918" s="13">
        <f t="shared" si="3"/>
        <v>1912</v>
      </c>
      <c r="C1918" s="15" t="str">
        <f t="array" ref="C1918">IFNA(_xlfn.XLOOKUP(B1918,Table_Respons_Loket[Count],Table_Respons_Loket[Nomor Tiket]),"")</f>
        <v/>
      </c>
      <c r="D1918" s="15" t="str">
        <f t="array" ref="D1918">IFNA(_xlfn.XLOOKUP(B1918,Table_Respons_Loket[Count],Table_Respons_Loket[Daftar Nomor Hak]),"")</f>
        <v/>
      </c>
      <c r="E1918" s="17" t="str">
        <f t="array" ref="E1918">IFNA(_xlfn.XLOOKUP(B1918,Table_Respons_Loket[Count],Table_Respons_Loket[Time Stamp]),"")</f>
        <v/>
      </c>
      <c r="F1918" s="18" t="str">
        <f t="array" ref="F1918">IFNA(_xlfn.XLOOKUP(B1918,Table_Respons_Loket[Count],Table_Respons_Loket[Jenis Permohonan]),"")</f>
        <v/>
      </c>
      <c r="G1918" s="24"/>
      <c r="H1918" s="24"/>
      <c r="I1918" s="22" t="str">
        <f t="shared" si="7"/>
        <v/>
      </c>
      <c r="J1918" s="20" t="b">
        <v>0</v>
      </c>
      <c r="K1918" s="13" t="str">
        <f t="shared" si="8"/>
        <v/>
      </c>
    </row>
    <row r="1919" ht="22.5" customHeight="1">
      <c r="B1919" s="13">
        <f t="shared" si="3"/>
        <v>1913</v>
      </c>
      <c r="C1919" s="15" t="str">
        <f t="array" ref="C1919">IFNA(_xlfn.XLOOKUP(B1919,Table_Respons_Loket[Count],Table_Respons_Loket[Nomor Tiket]),"")</f>
        <v/>
      </c>
      <c r="D1919" s="15" t="str">
        <f t="array" ref="D1919">IFNA(_xlfn.XLOOKUP(B1919,Table_Respons_Loket[Count],Table_Respons_Loket[Daftar Nomor Hak]),"")</f>
        <v/>
      </c>
      <c r="E1919" s="17" t="str">
        <f t="array" ref="E1919">IFNA(_xlfn.XLOOKUP(B1919,Table_Respons_Loket[Count],Table_Respons_Loket[Time Stamp]),"")</f>
        <v/>
      </c>
      <c r="F1919" s="18" t="str">
        <f t="array" ref="F1919">IFNA(_xlfn.XLOOKUP(B1919,Table_Respons_Loket[Count],Table_Respons_Loket[Jenis Permohonan]),"")</f>
        <v/>
      </c>
      <c r="G1919" s="24"/>
      <c r="H1919" s="24"/>
      <c r="I1919" s="22" t="str">
        <f t="shared" si="7"/>
        <v/>
      </c>
      <c r="J1919" s="20" t="b">
        <v>0</v>
      </c>
      <c r="K1919" s="13" t="str">
        <f t="shared" si="8"/>
        <v/>
      </c>
    </row>
    <row r="1920" ht="22.5" customHeight="1">
      <c r="B1920" s="13">
        <f t="shared" si="3"/>
        <v>1914</v>
      </c>
      <c r="C1920" s="15" t="str">
        <f t="array" ref="C1920">IFNA(_xlfn.XLOOKUP(B1920,Table_Respons_Loket[Count],Table_Respons_Loket[Nomor Tiket]),"")</f>
        <v/>
      </c>
      <c r="D1920" s="15" t="str">
        <f t="array" ref="D1920">IFNA(_xlfn.XLOOKUP(B1920,Table_Respons_Loket[Count],Table_Respons_Loket[Daftar Nomor Hak]),"")</f>
        <v/>
      </c>
      <c r="E1920" s="17" t="str">
        <f t="array" ref="E1920">IFNA(_xlfn.XLOOKUP(B1920,Table_Respons_Loket[Count],Table_Respons_Loket[Time Stamp]),"")</f>
        <v/>
      </c>
      <c r="F1920" s="18" t="str">
        <f t="array" ref="F1920">IFNA(_xlfn.XLOOKUP(B1920,Table_Respons_Loket[Count],Table_Respons_Loket[Jenis Permohonan]),"")</f>
        <v/>
      </c>
      <c r="G1920" s="24"/>
      <c r="H1920" s="24"/>
      <c r="I1920" s="22" t="str">
        <f t="shared" si="7"/>
        <v/>
      </c>
      <c r="J1920" s="20" t="b">
        <v>0</v>
      </c>
      <c r="K1920" s="13" t="str">
        <f t="shared" si="8"/>
        <v/>
      </c>
    </row>
    <row r="1921" ht="22.5" customHeight="1">
      <c r="B1921" s="13">
        <f t="shared" si="3"/>
        <v>1915</v>
      </c>
      <c r="C1921" s="15" t="str">
        <f t="array" ref="C1921">IFNA(_xlfn.XLOOKUP(B1921,Table_Respons_Loket[Count],Table_Respons_Loket[Nomor Tiket]),"")</f>
        <v/>
      </c>
      <c r="D1921" s="15" t="str">
        <f t="array" ref="D1921">IFNA(_xlfn.XLOOKUP(B1921,Table_Respons_Loket[Count],Table_Respons_Loket[Daftar Nomor Hak]),"")</f>
        <v/>
      </c>
      <c r="E1921" s="17" t="str">
        <f t="array" ref="E1921">IFNA(_xlfn.XLOOKUP(B1921,Table_Respons_Loket[Count],Table_Respons_Loket[Time Stamp]),"")</f>
        <v/>
      </c>
      <c r="F1921" s="18" t="str">
        <f t="array" ref="F1921">IFNA(_xlfn.XLOOKUP(B1921,Table_Respons_Loket[Count],Table_Respons_Loket[Jenis Permohonan]),"")</f>
        <v/>
      </c>
      <c r="G1921" s="24"/>
      <c r="H1921" s="24"/>
      <c r="I1921" s="22" t="str">
        <f t="shared" si="7"/>
        <v/>
      </c>
      <c r="J1921" s="20" t="b">
        <v>0</v>
      </c>
      <c r="K1921" s="13" t="str">
        <f t="shared" si="8"/>
        <v/>
      </c>
    </row>
    <row r="1922" ht="22.5" customHeight="1">
      <c r="B1922" s="13">
        <f t="shared" si="3"/>
        <v>1916</v>
      </c>
      <c r="C1922" s="15" t="str">
        <f t="array" ref="C1922">IFNA(_xlfn.XLOOKUP(B1922,Table_Respons_Loket[Count],Table_Respons_Loket[Nomor Tiket]),"")</f>
        <v/>
      </c>
      <c r="D1922" s="15" t="str">
        <f t="array" ref="D1922">IFNA(_xlfn.XLOOKUP(B1922,Table_Respons_Loket[Count],Table_Respons_Loket[Daftar Nomor Hak]),"")</f>
        <v/>
      </c>
      <c r="E1922" s="17" t="str">
        <f t="array" ref="E1922">IFNA(_xlfn.XLOOKUP(B1922,Table_Respons_Loket[Count],Table_Respons_Loket[Time Stamp]),"")</f>
        <v/>
      </c>
      <c r="F1922" s="18" t="str">
        <f t="array" ref="F1922">IFNA(_xlfn.XLOOKUP(B1922,Table_Respons_Loket[Count],Table_Respons_Loket[Jenis Permohonan]),"")</f>
        <v/>
      </c>
      <c r="G1922" s="24"/>
      <c r="H1922" s="24"/>
      <c r="I1922" s="22" t="str">
        <f t="shared" si="7"/>
        <v/>
      </c>
      <c r="J1922" s="20" t="b">
        <v>0</v>
      </c>
      <c r="K1922" s="13" t="str">
        <f t="shared" si="8"/>
        <v/>
      </c>
    </row>
    <row r="1923" ht="22.5" customHeight="1">
      <c r="B1923" s="13">
        <f t="shared" si="3"/>
        <v>1917</v>
      </c>
      <c r="C1923" s="15" t="str">
        <f t="array" ref="C1923">IFNA(_xlfn.XLOOKUP(B1923,Table_Respons_Loket[Count],Table_Respons_Loket[Nomor Tiket]),"")</f>
        <v/>
      </c>
      <c r="D1923" s="15" t="str">
        <f t="array" ref="D1923">IFNA(_xlfn.XLOOKUP(B1923,Table_Respons_Loket[Count],Table_Respons_Loket[Daftar Nomor Hak]),"")</f>
        <v/>
      </c>
      <c r="E1923" s="17" t="str">
        <f t="array" ref="E1923">IFNA(_xlfn.XLOOKUP(B1923,Table_Respons_Loket[Count],Table_Respons_Loket[Time Stamp]),"")</f>
        <v/>
      </c>
      <c r="F1923" s="18" t="str">
        <f t="array" ref="F1923">IFNA(_xlfn.XLOOKUP(B1923,Table_Respons_Loket[Count],Table_Respons_Loket[Jenis Permohonan]),"")</f>
        <v/>
      </c>
      <c r="G1923" s="24"/>
      <c r="H1923" s="24"/>
      <c r="I1923" s="22" t="str">
        <f t="shared" si="7"/>
        <v/>
      </c>
      <c r="J1923" s="20" t="b">
        <v>0</v>
      </c>
      <c r="K1923" s="13" t="str">
        <f t="shared" si="8"/>
        <v/>
      </c>
    </row>
    <row r="1924" ht="22.5" customHeight="1">
      <c r="B1924" s="13">
        <f t="shared" si="3"/>
        <v>1918</v>
      </c>
      <c r="C1924" s="15" t="str">
        <f t="array" ref="C1924">IFNA(_xlfn.XLOOKUP(B1924,Table_Respons_Loket[Count],Table_Respons_Loket[Nomor Tiket]),"")</f>
        <v/>
      </c>
      <c r="D1924" s="15" t="str">
        <f t="array" ref="D1924">IFNA(_xlfn.XLOOKUP(B1924,Table_Respons_Loket[Count],Table_Respons_Loket[Daftar Nomor Hak]),"")</f>
        <v/>
      </c>
      <c r="E1924" s="17" t="str">
        <f t="array" ref="E1924">IFNA(_xlfn.XLOOKUP(B1924,Table_Respons_Loket[Count],Table_Respons_Loket[Time Stamp]),"")</f>
        <v/>
      </c>
      <c r="F1924" s="18" t="str">
        <f t="array" ref="F1924">IFNA(_xlfn.XLOOKUP(B1924,Table_Respons_Loket[Count],Table_Respons_Loket[Jenis Permohonan]),"")</f>
        <v/>
      </c>
      <c r="G1924" s="24"/>
      <c r="H1924" s="24"/>
      <c r="I1924" s="22" t="str">
        <f t="shared" si="7"/>
        <v/>
      </c>
      <c r="J1924" s="20" t="b">
        <v>0</v>
      </c>
      <c r="K1924" s="13" t="str">
        <f t="shared" si="8"/>
        <v/>
      </c>
    </row>
    <row r="1925" ht="22.5" customHeight="1">
      <c r="B1925" s="13">
        <f t="shared" si="3"/>
        <v>1919</v>
      </c>
      <c r="C1925" s="15" t="str">
        <f t="array" ref="C1925">IFNA(_xlfn.XLOOKUP(B1925,Table_Respons_Loket[Count],Table_Respons_Loket[Nomor Tiket]),"")</f>
        <v/>
      </c>
      <c r="D1925" s="15" t="str">
        <f t="array" ref="D1925">IFNA(_xlfn.XLOOKUP(B1925,Table_Respons_Loket[Count],Table_Respons_Loket[Daftar Nomor Hak]),"")</f>
        <v/>
      </c>
      <c r="E1925" s="17" t="str">
        <f t="array" ref="E1925">IFNA(_xlfn.XLOOKUP(B1925,Table_Respons_Loket[Count],Table_Respons_Loket[Time Stamp]),"")</f>
        <v/>
      </c>
      <c r="F1925" s="18" t="str">
        <f t="array" ref="F1925">IFNA(_xlfn.XLOOKUP(B1925,Table_Respons_Loket[Count],Table_Respons_Loket[Jenis Permohonan]),"")</f>
        <v/>
      </c>
      <c r="G1925" s="24"/>
      <c r="H1925" s="24"/>
      <c r="I1925" s="22" t="str">
        <f t="shared" si="7"/>
        <v/>
      </c>
      <c r="J1925" s="20" t="b">
        <v>0</v>
      </c>
      <c r="K1925" s="13" t="str">
        <f t="shared" si="8"/>
        <v/>
      </c>
    </row>
    <row r="1926" ht="22.5" customHeight="1">
      <c r="B1926" s="13">
        <f t="shared" si="3"/>
        <v>1920</v>
      </c>
      <c r="C1926" s="15" t="str">
        <f t="array" ref="C1926">IFNA(_xlfn.XLOOKUP(B1926,Table_Respons_Loket[Count],Table_Respons_Loket[Nomor Tiket]),"")</f>
        <v/>
      </c>
      <c r="D1926" s="15" t="str">
        <f t="array" ref="D1926">IFNA(_xlfn.XLOOKUP(B1926,Table_Respons_Loket[Count],Table_Respons_Loket[Daftar Nomor Hak]),"")</f>
        <v/>
      </c>
      <c r="E1926" s="17" t="str">
        <f t="array" ref="E1926">IFNA(_xlfn.XLOOKUP(B1926,Table_Respons_Loket[Count],Table_Respons_Loket[Time Stamp]),"")</f>
        <v/>
      </c>
      <c r="F1926" s="18" t="str">
        <f t="array" ref="F1926">IFNA(_xlfn.XLOOKUP(B1926,Table_Respons_Loket[Count],Table_Respons_Loket[Jenis Permohonan]),"")</f>
        <v/>
      </c>
      <c r="G1926" s="24"/>
      <c r="H1926" s="24"/>
      <c r="I1926" s="22" t="str">
        <f t="shared" si="7"/>
        <v/>
      </c>
      <c r="J1926" s="20" t="b">
        <v>0</v>
      </c>
      <c r="K1926" s="13" t="str">
        <f t="shared" si="8"/>
        <v/>
      </c>
    </row>
    <row r="1927" ht="22.5" customHeight="1">
      <c r="B1927" s="13">
        <f t="shared" si="3"/>
        <v>1921</v>
      </c>
      <c r="C1927" s="15" t="str">
        <f t="array" ref="C1927">IFNA(_xlfn.XLOOKUP(B1927,Table_Respons_Loket[Count],Table_Respons_Loket[Nomor Tiket]),"")</f>
        <v/>
      </c>
      <c r="D1927" s="15" t="str">
        <f t="array" ref="D1927">IFNA(_xlfn.XLOOKUP(B1927,Table_Respons_Loket[Count],Table_Respons_Loket[Daftar Nomor Hak]),"")</f>
        <v/>
      </c>
      <c r="E1927" s="17" t="str">
        <f t="array" ref="E1927">IFNA(_xlfn.XLOOKUP(B1927,Table_Respons_Loket[Count],Table_Respons_Loket[Time Stamp]),"")</f>
        <v/>
      </c>
      <c r="F1927" s="18" t="str">
        <f t="array" ref="F1927">IFNA(_xlfn.XLOOKUP(B1927,Table_Respons_Loket[Count],Table_Respons_Loket[Jenis Permohonan]),"")</f>
        <v/>
      </c>
      <c r="G1927" s="24"/>
      <c r="H1927" s="24"/>
      <c r="I1927" s="22" t="str">
        <f t="shared" si="7"/>
        <v/>
      </c>
      <c r="J1927" s="20" t="b">
        <v>0</v>
      </c>
      <c r="K1927" s="13" t="str">
        <f t="shared" si="8"/>
        <v/>
      </c>
    </row>
    <row r="1928" ht="22.5" customHeight="1">
      <c r="B1928" s="13">
        <f t="shared" si="3"/>
        <v>1922</v>
      </c>
      <c r="C1928" s="15" t="str">
        <f t="array" ref="C1928">IFNA(_xlfn.XLOOKUP(B1928,Table_Respons_Loket[Count],Table_Respons_Loket[Nomor Tiket]),"")</f>
        <v/>
      </c>
      <c r="D1928" s="15" t="str">
        <f t="array" ref="D1928">IFNA(_xlfn.XLOOKUP(B1928,Table_Respons_Loket[Count],Table_Respons_Loket[Daftar Nomor Hak]),"")</f>
        <v/>
      </c>
      <c r="E1928" s="17" t="str">
        <f t="array" ref="E1928">IFNA(_xlfn.XLOOKUP(B1928,Table_Respons_Loket[Count],Table_Respons_Loket[Time Stamp]),"")</f>
        <v/>
      </c>
      <c r="F1928" s="18" t="str">
        <f t="array" ref="F1928">IFNA(_xlfn.XLOOKUP(B1928,Table_Respons_Loket[Count],Table_Respons_Loket[Jenis Permohonan]),"")</f>
        <v/>
      </c>
      <c r="G1928" s="24"/>
      <c r="H1928" s="24"/>
      <c r="I1928" s="22" t="str">
        <f t="shared" si="7"/>
        <v/>
      </c>
      <c r="J1928" s="20" t="b">
        <v>0</v>
      </c>
      <c r="K1928" s="13" t="str">
        <f t="shared" si="8"/>
        <v/>
      </c>
    </row>
    <row r="1929" ht="22.5" customHeight="1">
      <c r="B1929" s="13">
        <f t="shared" si="3"/>
        <v>1923</v>
      </c>
      <c r="C1929" s="15" t="str">
        <f t="array" ref="C1929">IFNA(_xlfn.XLOOKUP(B1929,Table_Respons_Loket[Count],Table_Respons_Loket[Nomor Tiket]),"")</f>
        <v/>
      </c>
      <c r="D1929" s="15" t="str">
        <f t="array" ref="D1929">IFNA(_xlfn.XLOOKUP(B1929,Table_Respons_Loket[Count],Table_Respons_Loket[Daftar Nomor Hak]),"")</f>
        <v/>
      </c>
      <c r="E1929" s="17" t="str">
        <f t="array" ref="E1929">IFNA(_xlfn.XLOOKUP(B1929,Table_Respons_Loket[Count],Table_Respons_Loket[Time Stamp]),"")</f>
        <v/>
      </c>
      <c r="F1929" s="18" t="str">
        <f t="array" ref="F1929">IFNA(_xlfn.XLOOKUP(B1929,Table_Respons_Loket[Count],Table_Respons_Loket[Jenis Permohonan]),"")</f>
        <v/>
      </c>
      <c r="G1929" s="24"/>
      <c r="H1929" s="24"/>
      <c r="I1929" s="22" t="str">
        <f t="shared" si="7"/>
        <v/>
      </c>
      <c r="J1929" s="20" t="b">
        <v>0</v>
      </c>
      <c r="K1929" s="13" t="str">
        <f t="shared" si="8"/>
        <v/>
      </c>
    </row>
    <row r="1930" ht="22.5" customHeight="1">
      <c r="B1930" s="13">
        <f t="shared" si="3"/>
        <v>1924</v>
      </c>
      <c r="C1930" s="15" t="str">
        <f t="array" ref="C1930">IFNA(_xlfn.XLOOKUP(B1930,Table_Respons_Loket[Count],Table_Respons_Loket[Nomor Tiket]),"")</f>
        <v/>
      </c>
      <c r="D1930" s="15" t="str">
        <f t="array" ref="D1930">IFNA(_xlfn.XLOOKUP(B1930,Table_Respons_Loket[Count],Table_Respons_Loket[Daftar Nomor Hak]),"")</f>
        <v/>
      </c>
      <c r="E1930" s="17" t="str">
        <f t="array" ref="E1930">IFNA(_xlfn.XLOOKUP(B1930,Table_Respons_Loket[Count],Table_Respons_Loket[Time Stamp]),"")</f>
        <v/>
      </c>
      <c r="F1930" s="18" t="str">
        <f t="array" ref="F1930">IFNA(_xlfn.XLOOKUP(B1930,Table_Respons_Loket[Count],Table_Respons_Loket[Jenis Permohonan]),"")</f>
        <v/>
      </c>
      <c r="G1930" s="24"/>
      <c r="H1930" s="24"/>
      <c r="I1930" s="22" t="str">
        <f t="shared" si="7"/>
        <v/>
      </c>
      <c r="J1930" s="20" t="b">
        <v>0</v>
      </c>
      <c r="K1930" s="13" t="str">
        <f t="shared" si="8"/>
        <v/>
      </c>
    </row>
    <row r="1931" ht="22.5" customHeight="1">
      <c r="B1931" s="13">
        <f t="shared" si="3"/>
        <v>1925</v>
      </c>
      <c r="C1931" s="15" t="str">
        <f t="array" ref="C1931">IFNA(_xlfn.XLOOKUP(B1931,Table_Respons_Loket[Count],Table_Respons_Loket[Nomor Tiket]),"")</f>
        <v/>
      </c>
      <c r="D1931" s="15" t="str">
        <f t="array" ref="D1931">IFNA(_xlfn.XLOOKUP(B1931,Table_Respons_Loket[Count],Table_Respons_Loket[Daftar Nomor Hak]),"")</f>
        <v/>
      </c>
      <c r="E1931" s="17" t="str">
        <f t="array" ref="E1931">IFNA(_xlfn.XLOOKUP(B1931,Table_Respons_Loket[Count],Table_Respons_Loket[Time Stamp]),"")</f>
        <v/>
      </c>
      <c r="F1931" s="18" t="str">
        <f t="array" ref="F1931">IFNA(_xlfn.XLOOKUP(B1931,Table_Respons_Loket[Count],Table_Respons_Loket[Jenis Permohonan]),"")</f>
        <v/>
      </c>
      <c r="G1931" s="24"/>
      <c r="H1931" s="24"/>
      <c r="I1931" s="22" t="str">
        <f t="shared" si="7"/>
        <v/>
      </c>
      <c r="J1931" s="20" t="b">
        <v>0</v>
      </c>
      <c r="K1931" s="13" t="str">
        <f t="shared" si="8"/>
        <v/>
      </c>
    </row>
    <row r="1932" ht="22.5" customHeight="1">
      <c r="B1932" s="13">
        <f t="shared" si="3"/>
        <v>1926</v>
      </c>
      <c r="C1932" s="15" t="str">
        <f t="array" ref="C1932">IFNA(_xlfn.XLOOKUP(B1932,Table_Respons_Loket[Count],Table_Respons_Loket[Nomor Tiket]),"")</f>
        <v/>
      </c>
      <c r="D1932" s="15" t="str">
        <f t="array" ref="D1932">IFNA(_xlfn.XLOOKUP(B1932,Table_Respons_Loket[Count],Table_Respons_Loket[Daftar Nomor Hak]),"")</f>
        <v/>
      </c>
      <c r="E1932" s="17" t="str">
        <f t="array" ref="E1932">IFNA(_xlfn.XLOOKUP(B1932,Table_Respons_Loket[Count],Table_Respons_Loket[Time Stamp]),"")</f>
        <v/>
      </c>
      <c r="F1932" s="18" t="str">
        <f t="array" ref="F1932">IFNA(_xlfn.XLOOKUP(B1932,Table_Respons_Loket[Count],Table_Respons_Loket[Jenis Permohonan]),"")</f>
        <v/>
      </c>
      <c r="G1932" s="24"/>
      <c r="H1932" s="24"/>
      <c r="I1932" s="22" t="str">
        <f t="shared" si="7"/>
        <v/>
      </c>
      <c r="J1932" s="20" t="b">
        <v>0</v>
      </c>
      <c r="K1932" s="13" t="str">
        <f t="shared" si="8"/>
        <v/>
      </c>
    </row>
    <row r="1933" ht="22.5" customHeight="1">
      <c r="B1933" s="13">
        <f t="shared" si="3"/>
        <v>1927</v>
      </c>
      <c r="C1933" s="15" t="str">
        <f t="array" ref="C1933">IFNA(_xlfn.XLOOKUP(B1933,Table_Respons_Loket[Count],Table_Respons_Loket[Nomor Tiket]),"")</f>
        <v/>
      </c>
      <c r="D1933" s="15" t="str">
        <f t="array" ref="D1933">IFNA(_xlfn.XLOOKUP(B1933,Table_Respons_Loket[Count],Table_Respons_Loket[Daftar Nomor Hak]),"")</f>
        <v/>
      </c>
      <c r="E1933" s="17" t="str">
        <f t="array" ref="E1933">IFNA(_xlfn.XLOOKUP(B1933,Table_Respons_Loket[Count],Table_Respons_Loket[Time Stamp]),"")</f>
        <v/>
      </c>
      <c r="F1933" s="18" t="str">
        <f t="array" ref="F1933">IFNA(_xlfn.XLOOKUP(B1933,Table_Respons_Loket[Count],Table_Respons_Loket[Jenis Permohonan]),"")</f>
        <v/>
      </c>
      <c r="G1933" s="24"/>
      <c r="H1933" s="24"/>
      <c r="I1933" s="22" t="str">
        <f t="shared" si="7"/>
        <v/>
      </c>
      <c r="J1933" s="20" t="b">
        <v>0</v>
      </c>
      <c r="K1933" s="13" t="str">
        <f t="shared" si="8"/>
        <v/>
      </c>
    </row>
    <row r="1934" ht="22.5" customHeight="1">
      <c r="B1934" s="13">
        <f t="shared" si="3"/>
        <v>1928</v>
      </c>
      <c r="C1934" s="15" t="str">
        <f t="array" ref="C1934">IFNA(_xlfn.XLOOKUP(B1934,Table_Respons_Loket[Count],Table_Respons_Loket[Nomor Tiket]),"")</f>
        <v/>
      </c>
      <c r="D1934" s="15" t="str">
        <f t="array" ref="D1934">IFNA(_xlfn.XLOOKUP(B1934,Table_Respons_Loket[Count],Table_Respons_Loket[Daftar Nomor Hak]),"")</f>
        <v/>
      </c>
      <c r="E1934" s="17" t="str">
        <f t="array" ref="E1934">IFNA(_xlfn.XLOOKUP(B1934,Table_Respons_Loket[Count],Table_Respons_Loket[Time Stamp]),"")</f>
        <v/>
      </c>
      <c r="F1934" s="18" t="str">
        <f t="array" ref="F1934">IFNA(_xlfn.XLOOKUP(B1934,Table_Respons_Loket[Count],Table_Respons_Loket[Jenis Permohonan]),"")</f>
        <v/>
      </c>
      <c r="G1934" s="24"/>
      <c r="H1934" s="24"/>
      <c r="I1934" s="22" t="str">
        <f t="shared" si="7"/>
        <v/>
      </c>
      <c r="J1934" s="20" t="b">
        <v>0</v>
      </c>
      <c r="K1934" s="13" t="str">
        <f t="shared" si="8"/>
        <v/>
      </c>
    </row>
    <row r="1935" ht="22.5" customHeight="1">
      <c r="B1935" s="13">
        <f t="shared" si="3"/>
        <v>1929</v>
      </c>
      <c r="C1935" s="15" t="str">
        <f t="array" ref="C1935">IFNA(_xlfn.XLOOKUP(B1935,Table_Respons_Loket[Count],Table_Respons_Loket[Nomor Tiket]),"")</f>
        <v/>
      </c>
      <c r="D1935" s="15" t="str">
        <f t="array" ref="D1935">IFNA(_xlfn.XLOOKUP(B1935,Table_Respons_Loket[Count],Table_Respons_Loket[Daftar Nomor Hak]),"")</f>
        <v/>
      </c>
      <c r="E1935" s="17" t="str">
        <f t="array" ref="E1935">IFNA(_xlfn.XLOOKUP(B1935,Table_Respons_Loket[Count],Table_Respons_Loket[Time Stamp]),"")</f>
        <v/>
      </c>
      <c r="F1935" s="18" t="str">
        <f t="array" ref="F1935">IFNA(_xlfn.XLOOKUP(B1935,Table_Respons_Loket[Count],Table_Respons_Loket[Jenis Permohonan]),"")</f>
        <v/>
      </c>
      <c r="G1935" s="24"/>
      <c r="H1935" s="24"/>
      <c r="I1935" s="22" t="str">
        <f t="shared" si="7"/>
        <v/>
      </c>
      <c r="J1935" s="20" t="b">
        <v>0</v>
      </c>
      <c r="K1935" s="13" t="str">
        <f t="shared" si="8"/>
        <v/>
      </c>
    </row>
    <row r="1936" ht="22.5" customHeight="1">
      <c r="B1936" s="13">
        <f t="shared" si="3"/>
        <v>1930</v>
      </c>
      <c r="C1936" s="15" t="str">
        <f t="array" ref="C1936">IFNA(_xlfn.XLOOKUP(B1936,Table_Respons_Loket[Count],Table_Respons_Loket[Nomor Tiket]),"")</f>
        <v/>
      </c>
      <c r="D1936" s="15" t="str">
        <f t="array" ref="D1936">IFNA(_xlfn.XLOOKUP(B1936,Table_Respons_Loket[Count],Table_Respons_Loket[Daftar Nomor Hak]),"")</f>
        <v/>
      </c>
      <c r="E1936" s="17" t="str">
        <f t="array" ref="E1936">IFNA(_xlfn.XLOOKUP(B1936,Table_Respons_Loket[Count],Table_Respons_Loket[Time Stamp]),"")</f>
        <v/>
      </c>
      <c r="F1936" s="18" t="str">
        <f t="array" ref="F1936">IFNA(_xlfn.XLOOKUP(B1936,Table_Respons_Loket[Count],Table_Respons_Loket[Jenis Permohonan]),"")</f>
        <v/>
      </c>
      <c r="G1936" s="24"/>
      <c r="H1936" s="24"/>
      <c r="I1936" s="22" t="str">
        <f t="shared" si="7"/>
        <v/>
      </c>
      <c r="J1936" s="20" t="b">
        <v>0</v>
      </c>
      <c r="K1936" s="13" t="str">
        <f t="shared" si="8"/>
        <v/>
      </c>
    </row>
    <row r="1937" ht="22.5" customHeight="1">
      <c r="B1937" s="13">
        <f t="shared" si="3"/>
        <v>1931</v>
      </c>
      <c r="C1937" s="15" t="str">
        <f t="array" ref="C1937">IFNA(_xlfn.XLOOKUP(B1937,Table_Respons_Loket[Count],Table_Respons_Loket[Nomor Tiket]),"")</f>
        <v/>
      </c>
      <c r="D1937" s="15" t="str">
        <f t="array" ref="D1937">IFNA(_xlfn.XLOOKUP(B1937,Table_Respons_Loket[Count],Table_Respons_Loket[Daftar Nomor Hak]),"")</f>
        <v/>
      </c>
      <c r="E1937" s="17" t="str">
        <f t="array" ref="E1937">IFNA(_xlfn.XLOOKUP(B1937,Table_Respons_Loket[Count],Table_Respons_Loket[Time Stamp]),"")</f>
        <v/>
      </c>
      <c r="F1937" s="18" t="str">
        <f t="array" ref="F1937">IFNA(_xlfn.XLOOKUP(B1937,Table_Respons_Loket[Count],Table_Respons_Loket[Jenis Permohonan]),"")</f>
        <v/>
      </c>
      <c r="G1937" s="24"/>
      <c r="H1937" s="24"/>
      <c r="I1937" s="22" t="str">
        <f t="shared" si="7"/>
        <v/>
      </c>
      <c r="J1937" s="20" t="b">
        <v>0</v>
      </c>
      <c r="K1937" s="13" t="str">
        <f t="shared" si="8"/>
        <v/>
      </c>
    </row>
    <row r="1938" ht="22.5" customHeight="1">
      <c r="B1938" s="13">
        <f t="shared" si="3"/>
        <v>1932</v>
      </c>
      <c r="C1938" s="15" t="str">
        <f t="array" ref="C1938">IFNA(_xlfn.XLOOKUP(B1938,Table_Respons_Loket[Count],Table_Respons_Loket[Nomor Tiket]),"")</f>
        <v/>
      </c>
      <c r="D1938" s="15" t="str">
        <f t="array" ref="D1938">IFNA(_xlfn.XLOOKUP(B1938,Table_Respons_Loket[Count],Table_Respons_Loket[Daftar Nomor Hak]),"")</f>
        <v/>
      </c>
      <c r="E1938" s="17" t="str">
        <f t="array" ref="E1938">IFNA(_xlfn.XLOOKUP(B1938,Table_Respons_Loket[Count],Table_Respons_Loket[Time Stamp]),"")</f>
        <v/>
      </c>
      <c r="F1938" s="18" t="str">
        <f t="array" ref="F1938">IFNA(_xlfn.XLOOKUP(B1938,Table_Respons_Loket[Count],Table_Respons_Loket[Jenis Permohonan]),"")</f>
        <v/>
      </c>
      <c r="G1938" s="24"/>
      <c r="H1938" s="24"/>
      <c r="I1938" s="22" t="str">
        <f t="shared" si="7"/>
        <v/>
      </c>
      <c r="J1938" s="20" t="b">
        <v>0</v>
      </c>
      <c r="K1938" s="13" t="str">
        <f t="shared" si="8"/>
        <v/>
      </c>
    </row>
    <row r="1939" ht="22.5" customHeight="1">
      <c r="B1939" s="13">
        <f t="shared" si="3"/>
        <v>1933</v>
      </c>
      <c r="C1939" s="15" t="str">
        <f t="array" ref="C1939">IFNA(_xlfn.XLOOKUP(B1939,Table_Respons_Loket[Count],Table_Respons_Loket[Nomor Tiket]),"")</f>
        <v/>
      </c>
      <c r="D1939" s="15" t="str">
        <f t="array" ref="D1939">IFNA(_xlfn.XLOOKUP(B1939,Table_Respons_Loket[Count],Table_Respons_Loket[Daftar Nomor Hak]),"")</f>
        <v/>
      </c>
      <c r="E1939" s="17" t="str">
        <f t="array" ref="E1939">IFNA(_xlfn.XLOOKUP(B1939,Table_Respons_Loket[Count],Table_Respons_Loket[Time Stamp]),"")</f>
        <v/>
      </c>
      <c r="F1939" s="18" t="str">
        <f t="array" ref="F1939">IFNA(_xlfn.XLOOKUP(B1939,Table_Respons_Loket[Count],Table_Respons_Loket[Jenis Permohonan]),"")</f>
        <v/>
      </c>
      <c r="G1939" s="24"/>
      <c r="H1939" s="24"/>
      <c r="I1939" s="22" t="str">
        <f t="shared" si="7"/>
        <v/>
      </c>
      <c r="J1939" s="20" t="b">
        <v>0</v>
      </c>
      <c r="K1939" s="13" t="str">
        <f t="shared" si="8"/>
        <v/>
      </c>
    </row>
    <row r="1940" ht="22.5" customHeight="1">
      <c r="B1940" s="13">
        <f t="shared" si="3"/>
        <v>1934</v>
      </c>
      <c r="C1940" s="15" t="str">
        <f t="array" ref="C1940">IFNA(_xlfn.XLOOKUP(B1940,Table_Respons_Loket[Count],Table_Respons_Loket[Nomor Tiket]),"")</f>
        <v/>
      </c>
      <c r="D1940" s="15" t="str">
        <f t="array" ref="D1940">IFNA(_xlfn.XLOOKUP(B1940,Table_Respons_Loket[Count],Table_Respons_Loket[Daftar Nomor Hak]),"")</f>
        <v/>
      </c>
      <c r="E1940" s="17" t="str">
        <f t="array" ref="E1940">IFNA(_xlfn.XLOOKUP(B1940,Table_Respons_Loket[Count],Table_Respons_Loket[Time Stamp]),"")</f>
        <v/>
      </c>
      <c r="F1940" s="18" t="str">
        <f t="array" ref="F1940">IFNA(_xlfn.XLOOKUP(B1940,Table_Respons_Loket[Count],Table_Respons_Loket[Jenis Permohonan]),"")</f>
        <v/>
      </c>
      <c r="G1940" s="24"/>
      <c r="H1940" s="24"/>
      <c r="I1940" s="22" t="str">
        <f t="shared" si="7"/>
        <v/>
      </c>
      <c r="J1940" s="20" t="b">
        <v>0</v>
      </c>
      <c r="K1940" s="13" t="str">
        <f t="shared" si="8"/>
        <v/>
      </c>
    </row>
    <row r="1941" ht="22.5" customHeight="1">
      <c r="B1941" s="13">
        <f t="shared" si="3"/>
        <v>1935</v>
      </c>
      <c r="C1941" s="15" t="str">
        <f t="array" ref="C1941">IFNA(_xlfn.XLOOKUP(B1941,Table_Respons_Loket[Count],Table_Respons_Loket[Nomor Tiket]),"")</f>
        <v/>
      </c>
      <c r="D1941" s="15" t="str">
        <f t="array" ref="D1941">IFNA(_xlfn.XLOOKUP(B1941,Table_Respons_Loket[Count],Table_Respons_Loket[Daftar Nomor Hak]),"")</f>
        <v/>
      </c>
      <c r="E1941" s="17" t="str">
        <f t="array" ref="E1941">IFNA(_xlfn.XLOOKUP(B1941,Table_Respons_Loket[Count],Table_Respons_Loket[Time Stamp]),"")</f>
        <v/>
      </c>
      <c r="F1941" s="18" t="str">
        <f t="array" ref="F1941">IFNA(_xlfn.XLOOKUP(B1941,Table_Respons_Loket[Count],Table_Respons_Loket[Jenis Permohonan]),"")</f>
        <v/>
      </c>
      <c r="G1941" s="24"/>
      <c r="H1941" s="24"/>
      <c r="I1941" s="22" t="str">
        <f t="shared" si="7"/>
        <v/>
      </c>
      <c r="J1941" s="20" t="b">
        <v>0</v>
      </c>
      <c r="K1941" s="13" t="str">
        <f t="shared" si="8"/>
        <v/>
      </c>
    </row>
    <row r="1942" ht="22.5" customHeight="1">
      <c r="B1942" s="13">
        <f t="shared" si="3"/>
        <v>1936</v>
      </c>
      <c r="C1942" s="15" t="str">
        <f t="array" ref="C1942">IFNA(_xlfn.XLOOKUP(B1942,Table_Respons_Loket[Count],Table_Respons_Loket[Nomor Tiket]),"")</f>
        <v/>
      </c>
      <c r="D1942" s="15" t="str">
        <f t="array" ref="D1942">IFNA(_xlfn.XLOOKUP(B1942,Table_Respons_Loket[Count],Table_Respons_Loket[Daftar Nomor Hak]),"")</f>
        <v/>
      </c>
      <c r="E1942" s="17" t="str">
        <f t="array" ref="E1942">IFNA(_xlfn.XLOOKUP(B1942,Table_Respons_Loket[Count],Table_Respons_Loket[Time Stamp]),"")</f>
        <v/>
      </c>
      <c r="F1942" s="18" t="str">
        <f t="array" ref="F1942">IFNA(_xlfn.XLOOKUP(B1942,Table_Respons_Loket[Count],Table_Respons_Loket[Jenis Permohonan]),"")</f>
        <v/>
      </c>
      <c r="G1942" s="24"/>
      <c r="H1942" s="24"/>
      <c r="I1942" s="22" t="str">
        <f t="shared" si="7"/>
        <v/>
      </c>
      <c r="J1942" s="20" t="b">
        <v>0</v>
      </c>
      <c r="K1942" s="13" t="str">
        <f t="shared" si="8"/>
        <v/>
      </c>
    </row>
    <row r="1943" ht="22.5" customHeight="1">
      <c r="B1943" s="13">
        <f t="shared" si="3"/>
        <v>1937</v>
      </c>
      <c r="C1943" s="15" t="str">
        <f t="array" ref="C1943">IFNA(_xlfn.XLOOKUP(B1943,Table_Respons_Loket[Count],Table_Respons_Loket[Nomor Tiket]),"")</f>
        <v/>
      </c>
      <c r="D1943" s="15" t="str">
        <f t="array" ref="D1943">IFNA(_xlfn.XLOOKUP(B1943,Table_Respons_Loket[Count],Table_Respons_Loket[Daftar Nomor Hak]),"")</f>
        <v/>
      </c>
      <c r="E1943" s="17" t="str">
        <f t="array" ref="E1943">IFNA(_xlfn.XLOOKUP(B1943,Table_Respons_Loket[Count],Table_Respons_Loket[Time Stamp]),"")</f>
        <v/>
      </c>
      <c r="F1943" s="18" t="str">
        <f t="array" ref="F1943">IFNA(_xlfn.XLOOKUP(B1943,Table_Respons_Loket[Count],Table_Respons_Loket[Jenis Permohonan]),"")</f>
        <v/>
      </c>
      <c r="G1943" s="24"/>
      <c r="H1943" s="24"/>
      <c r="I1943" s="22" t="str">
        <f t="shared" si="7"/>
        <v/>
      </c>
      <c r="J1943" s="20" t="b">
        <v>0</v>
      </c>
      <c r="K1943" s="13" t="str">
        <f t="shared" si="8"/>
        <v/>
      </c>
    </row>
    <row r="1944" ht="22.5" customHeight="1">
      <c r="B1944" s="13">
        <f t="shared" si="3"/>
        <v>1938</v>
      </c>
      <c r="C1944" s="15" t="str">
        <f t="array" ref="C1944">IFNA(_xlfn.XLOOKUP(B1944,Table_Respons_Loket[Count],Table_Respons_Loket[Nomor Tiket]),"")</f>
        <v/>
      </c>
      <c r="D1944" s="15" t="str">
        <f t="array" ref="D1944">IFNA(_xlfn.XLOOKUP(B1944,Table_Respons_Loket[Count],Table_Respons_Loket[Daftar Nomor Hak]),"")</f>
        <v/>
      </c>
      <c r="E1944" s="17" t="str">
        <f t="array" ref="E1944">IFNA(_xlfn.XLOOKUP(B1944,Table_Respons_Loket[Count],Table_Respons_Loket[Time Stamp]),"")</f>
        <v/>
      </c>
      <c r="F1944" s="18" t="str">
        <f t="array" ref="F1944">IFNA(_xlfn.XLOOKUP(B1944,Table_Respons_Loket[Count],Table_Respons_Loket[Jenis Permohonan]),"")</f>
        <v/>
      </c>
      <c r="G1944" s="24"/>
      <c r="H1944" s="24"/>
      <c r="I1944" s="22" t="str">
        <f t="shared" si="7"/>
        <v/>
      </c>
      <c r="J1944" s="20" t="b">
        <v>0</v>
      </c>
      <c r="K1944" s="13" t="str">
        <f t="shared" si="8"/>
        <v/>
      </c>
    </row>
    <row r="1945" ht="22.5" customHeight="1">
      <c r="B1945" s="13">
        <f t="shared" si="3"/>
        <v>1939</v>
      </c>
      <c r="C1945" s="15" t="str">
        <f t="array" ref="C1945">IFNA(_xlfn.XLOOKUP(B1945,Table_Respons_Loket[Count],Table_Respons_Loket[Nomor Tiket]),"")</f>
        <v/>
      </c>
      <c r="D1945" s="15" t="str">
        <f t="array" ref="D1945">IFNA(_xlfn.XLOOKUP(B1945,Table_Respons_Loket[Count],Table_Respons_Loket[Daftar Nomor Hak]),"")</f>
        <v/>
      </c>
      <c r="E1945" s="17" t="str">
        <f t="array" ref="E1945">IFNA(_xlfn.XLOOKUP(B1945,Table_Respons_Loket[Count],Table_Respons_Loket[Time Stamp]),"")</f>
        <v/>
      </c>
      <c r="F1945" s="18" t="str">
        <f t="array" ref="F1945">IFNA(_xlfn.XLOOKUP(B1945,Table_Respons_Loket[Count],Table_Respons_Loket[Jenis Permohonan]),"")</f>
        <v/>
      </c>
      <c r="G1945" s="24"/>
      <c r="H1945" s="24"/>
      <c r="I1945" s="22" t="str">
        <f t="shared" si="7"/>
        <v/>
      </c>
      <c r="J1945" s="20" t="b">
        <v>0</v>
      </c>
      <c r="K1945" s="13" t="str">
        <f t="shared" si="8"/>
        <v/>
      </c>
    </row>
    <row r="1946" ht="22.5" customHeight="1">
      <c r="B1946" s="13">
        <f t="shared" si="3"/>
        <v>1940</v>
      </c>
      <c r="C1946" s="15" t="str">
        <f t="array" ref="C1946">IFNA(_xlfn.XLOOKUP(B1946,Table_Respons_Loket[Count],Table_Respons_Loket[Nomor Tiket]),"")</f>
        <v/>
      </c>
      <c r="D1946" s="15" t="str">
        <f t="array" ref="D1946">IFNA(_xlfn.XLOOKUP(B1946,Table_Respons_Loket[Count],Table_Respons_Loket[Daftar Nomor Hak]),"")</f>
        <v/>
      </c>
      <c r="E1946" s="17" t="str">
        <f t="array" ref="E1946">IFNA(_xlfn.XLOOKUP(B1946,Table_Respons_Loket[Count],Table_Respons_Loket[Time Stamp]),"")</f>
        <v/>
      </c>
      <c r="F1946" s="18" t="str">
        <f t="array" ref="F1946">IFNA(_xlfn.XLOOKUP(B1946,Table_Respons_Loket[Count],Table_Respons_Loket[Jenis Permohonan]),"")</f>
        <v/>
      </c>
      <c r="G1946" s="24"/>
      <c r="H1946" s="24"/>
      <c r="I1946" s="22" t="str">
        <f t="shared" si="7"/>
        <v/>
      </c>
      <c r="J1946" s="20" t="b">
        <v>0</v>
      </c>
      <c r="K1946" s="13" t="str">
        <f t="shared" si="8"/>
        <v/>
      </c>
    </row>
    <row r="1947" ht="22.5" customHeight="1">
      <c r="B1947" s="13">
        <f t="shared" si="3"/>
        <v>1941</v>
      </c>
      <c r="C1947" s="15" t="str">
        <f t="array" ref="C1947">IFNA(_xlfn.XLOOKUP(B1947,Table_Respons_Loket[Count],Table_Respons_Loket[Nomor Tiket]),"")</f>
        <v/>
      </c>
      <c r="D1947" s="15" t="str">
        <f t="array" ref="D1947">IFNA(_xlfn.XLOOKUP(B1947,Table_Respons_Loket[Count],Table_Respons_Loket[Daftar Nomor Hak]),"")</f>
        <v/>
      </c>
      <c r="E1947" s="17" t="str">
        <f t="array" ref="E1947">IFNA(_xlfn.XLOOKUP(B1947,Table_Respons_Loket[Count],Table_Respons_Loket[Time Stamp]),"")</f>
        <v/>
      </c>
      <c r="F1947" s="18" t="str">
        <f t="array" ref="F1947">IFNA(_xlfn.XLOOKUP(B1947,Table_Respons_Loket[Count],Table_Respons_Loket[Jenis Permohonan]),"")</f>
        <v/>
      </c>
      <c r="G1947" s="24"/>
      <c r="H1947" s="24"/>
      <c r="I1947" s="22" t="str">
        <f t="shared" si="7"/>
        <v/>
      </c>
      <c r="J1947" s="20" t="b">
        <v>0</v>
      </c>
      <c r="K1947" s="13" t="str">
        <f t="shared" si="8"/>
        <v/>
      </c>
    </row>
    <row r="1948" ht="22.5" customHeight="1">
      <c r="B1948" s="13">
        <f t="shared" si="3"/>
        <v>1942</v>
      </c>
      <c r="C1948" s="15" t="str">
        <f t="array" ref="C1948">IFNA(_xlfn.XLOOKUP(B1948,Table_Respons_Loket[Count],Table_Respons_Loket[Nomor Tiket]),"")</f>
        <v/>
      </c>
      <c r="D1948" s="15" t="str">
        <f t="array" ref="D1948">IFNA(_xlfn.XLOOKUP(B1948,Table_Respons_Loket[Count],Table_Respons_Loket[Daftar Nomor Hak]),"")</f>
        <v/>
      </c>
      <c r="E1948" s="17" t="str">
        <f t="array" ref="E1948">IFNA(_xlfn.XLOOKUP(B1948,Table_Respons_Loket[Count],Table_Respons_Loket[Time Stamp]),"")</f>
        <v/>
      </c>
      <c r="F1948" s="18" t="str">
        <f t="array" ref="F1948">IFNA(_xlfn.XLOOKUP(B1948,Table_Respons_Loket[Count],Table_Respons_Loket[Jenis Permohonan]),"")</f>
        <v/>
      </c>
      <c r="G1948" s="24"/>
      <c r="H1948" s="24"/>
      <c r="I1948" s="22" t="str">
        <f t="shared" si="7"/>
        <v/>
      </c>
      <c r="J1948" s="20" t="b">
        <v>0</v>
      </c>
      <c r="K1948" s="13" t="str">
        <f t="shared" si="8"/>
        <v/>
      </c>
    </row>
    <row r="1949" ht="22.5" customHeight="1">
      <c r="B1949" s="13">
        <f t="shared" si="3"/>
        <v>1943</v>
      </c>
      <c r="C1949" s="15" t="str">
        <f t="array" ref="C1949">IFNA(_xlfn.XLOOKUP(B1949,Table_Respons_Loket[Count],Table_Respons_Loket[Nomor Tiket]),"")</f>
        <v/>
      </c>
      <c r="D1949" s="15" t="str">
        <f t="array" ref="D1949">IFNA(_xlfn.XLOOKUP(B1949,Table_Respons_Loket[Count],Table_Respons_Loket[Daftar Nomor Hak]),"")</f>
        <v/>
      </c>
      <c r="E1949" s="17" t="str">
        <f t="array" ref="E1949">IFNA(_xlfn.XLOOKUP(B1949,Table_Respons_Loket[Count],Table_Respons_Loket[Time Stamp]),"")</f>
        <v/>
      </c>
      <c r="F1949" s="18" t="str">
        <f t="array" ref="F1949">IFNA(_xlfn.XLOOKUP(B1949,Table_Respons_Loket[Count],Table_Respons_Loket[Jenis Permohonan]),"")</f>
        <v/>
      </c>
      <c r="G1949" s="24"/>
      <c r="H1949" s="24"/>
      <c r="I1949" s="22" t="str">
        <f t="shared" si="7"/>
        <v/>
      </c>
      <c r="J1949" s="20" t="b">
        <v>0</v>
      </c>
      <c r="K1949" s="13" t="str">
        <f t="shared" si="8"/>
        <v/>
      </c>
    </row>
    <row r="1950" ht="22.5" customHeight="1">
      <c r="B1950" s="13">
        <f t="shared" si="3"/>
        <v>1944</v>
      </c>
      <c r="C1950" s="15" t="str">
        <f t="array" ref="C1950">IFNA(_xlfn.XLOOKUP(B1950,Table_Respons_Loket[Count],Table_Respons_Loket[Nomor Tiket]),"")</f>
        <v/>
      </c>
      <c r="D1950" s="15" t="str">
        <f t="array" ref="D1950">IFNA(_xlfn.XLOOKUP(B1950,Table_Respons_Loket[Count],Table_Respons_Loket[Daftar Nomor Hak]),"")</f>
        <v/>
      </c>
      <c r="E1950" s="17" t="str">
        <f t="array" ref="E1950">IFNA(_xlfn.XLOOKUP(B1950,Table_Respons_Loket[Count],Table_Respons_Loket[Time Stamp]),"")</f>
        <v/>
      </c>
      <c r="F1950" s="18" t="str">
        <f t="array" ref="F1950">IFNA(_xlfn.XLOOKUP(B1950,Table_Respons_Loket[Count],Table_Respons_Loket[Jenis Permohonan]),"")</f>
        <v/>
      </c>
      <c r="G1950" s="24"/>
      <c r="H1950" s="24"/>
      <c r="I1950" s="22" t="str">
        <f t="shared" si="7"/>
        <v/>
      </c>
      <c r="J1950" s="20" t="b">
        <v>0</v>
      </c>
      <c r="K1950" s="13" t="str">
        <f t="shared" si="8"/>
        <v/>
      </c>
    </row>
    <row r="1951" ht="22.5" customHeight="1">
      <c r="B1951" s="13">
        <f t="shared" si="3"/>
        <v>1945</v>
      </c>
      <c r="C1951" s="15" t="str">
        <f t="array" ref="C1951">IFNA(_xlfn.XLOOKUP(B1951,Table_Respons_Loket[Count],Table_Respons_Loket[Nomor Tiket]),"")</f>
        <v/>
      </c>
      <c r="D1951" s="15" t="str">
        <f t="array" ref="D1951">IFNA(_xlfn.XLOOKUP(B1951,Table_Respons_Loket[Count],Table_Respons_Loket[Daftar Nomor Hak]),"")</f>
        <v/>
      </c>
      <c r="E1951" s="17" t="str">
        <f t="array" ref="E1951">IFNA(_xlfn.XLOOKUP(B1951,Table_Respons_Loket[Count],Table_Respons_Loket[Time Stamp]),"")</f>
        <v/>
      </c>
      <c r="F1951" s="18" t="str">
        <f t="array" ref="F1951">IFNA(_xlfn.XLOOKUP(B1951,Table_Respons_Loket[Count],Table_Respons_Loket[Jenis Permohonan]),"")</f>
        <v/>
      </c>
      <c r="G1951" s="24"/>
      <c r="H1951" s="24"/>
      <c r="I1951" s="22" t="str">
        <f t="shared" si="7"/>
        <v/>
      </c>
      <c r="J1951" s="20" t="b">
        <v>0</v>
      </c>
      <c r="K1951" s="13" t="str">
        <f t="shared" si="8"/>
        <v/>
      </c>
    </row>
    <row r="1952" ht="22.5" customHeight="1">
      <c r="B1952" s="13">
        <f t="shared" si="3"/>
        <v>1946</v>
      </c>
      <c r="C1952" s="15" t="str">
        <f t="array" ref="C1952">IFNA(_xlfn.XLOOKUP(B1952,Table_Respons_Loket[Count],Table_Respons_Loket[Nomor Tiket]),"")</f>
        <v/>
      </c>
      <c r="D1952" s="15" t="str">
        <f t="array" ref="D1952">IFNA(_xlfn.XLOOKUP(B1952,Table_Respons_Loket[Count],Table_Respons_Loket[Daftar Nomor Hak]),"")</f>
        <v/>
      </c>
      <c r="E1952" s="17" t="str">
        <f t="array" ref="E1952">IFNA(_xlfn.XLOOKUP(B1952,Table_Respons_Loket[Count],Table_Respons_Loket[Time Stamp]),"")</f>
        <v/>
      </c>
      <c r="F1952" s="18" t="str">
        <f t="array" ref="F1952">IFNA(_xlfn.XLOOKUP(B1952,Table_Respons_Loket[Count],Table_Respons_Loket[Jenis Permohonan]),"")</f>
        <v/>
      </c>
      <c r="G1952" s="24"/>
      <c r="H1952" s="24"/>
      <c r="I1952" s="22" t="str">
        <f t="shared" si="7"/>
        <v/>
      </c>
      <c r="J1952" s="20" t="b">
        <v>0</v>
      </c>
      <c r="K1952" s="13" t="str">
        <f t="shared" si="8"/>
        <v/>
      </c>
    </row>
    <row r="1953" ht="22.5" customHeight="1">
      <c r="B1953" s="13">
        <f t="shared" si="3"/>
        <v>1947</v>
      </c>
      <c r="C1953" s="15" t="str">
        <f t="array" ref="C1953">IFNA(_xlfn.XLOOKUP(B1953,Table_Respons_Loket[Count],Table_Respons_Loket[Nomor Tiket]),"")</f>
        <v/>
      </c>
      <c r="D1953" s="15" t="str">
        <f t="array" ref="D1953">IFNA(_xlfn.XLOOKUP(B1953,Table_Respons_Loket[Count],Table_Respons_Loket[Daftar Nomor Hak]),"")</f>
        <v/>
      </c>
      <c r="E1953" s="17" t="str">
        <f t="array" ref="E1953">IFNA(_xlfn.XLOOKUP(B1953,Table_Respons_Loket[Count],Table_Respons_Loket[Time Stamp]),"")</f>
        <v/>
      </c>
      <c r="F1953" s="18" t="str">
        <f t="array" ref="F1953">IFNA(_xlfn.XLOOKUP(B1953,Table_Respons_Loket[Count],Table_Respons_Loket[Jenis Permohonan]),"")</f>
        <v/>
      </c>
      <c r="G1953" s="24"/>
      <c r="H1953" s="24"/>
      <c r="I1953" s="22" t="str">
        <f t="shared" si="7"/>
        <v/>
      </c>
      <c r="J1953" s="20" t="b">
        <v>0</v>
      </c>
      <c r="K1953" s="13" t="str">
        <f t="shared" si="8"/>
        <v/>
      </c>
    </row>
    <row r="1954" ht="22.5" customHeight="1">
      <c r="B1954" s="13">
        <f t="shared" si="3"/>
        <v>1948</v>
      </c>
      <c r="C1954" s="15" t="str">
        <f t="array" ref="C1954">IFNA(_xlfn.XLOOKUP(B1954,Table_Respons_Loket[Count],Table_Respons_Loket[Nomor Tiket]),"")</f>
        <v/>
      </c>
      <c r="D1954" s="15" t="str">
        <f t="array" ref="D1954">IFNA(_xlfn.XLOOKUP(B1954,Table_Respons_Loket[Count],Table_Respons_Loket[Daftar Nomor Hak]),"")</f>
        <v/>
      </c>
      <c r="E1954" s="17" t="str">
        <f t="array" ref="E1954">IFNA(_xlfn.XLOOKUP(B1954,Table_Respons_Loket[Count],Table_Respons_Loket[Time Stamp]),"")</f>
        <v/>
      </c>
      <c r="F1954" s="18" t="str">
        <f t="array" ref="F1954">IFNA(_xlfn.XLOOKUP(B1954,Table_Respons_Loket[Count],Table_Respons_Loket[Jenis Permohonan]),"")</f>
        <v/>
      </c>
      <c r="G1954" s="24"/>
      <c r="H1954" s="24"/>
      <c r="I1954" s="22" t="str">
        <f t="shared" si="7"/>
        <v/>
      </c>
      <c r="J1954" s="20" t="b">
        <v>0</v>
      </c>
      <c r="K1954" s="13" t="str">
        <f t="shared" si="8"/>
        <v/>
      </c>
    </row>
    <row r="1955" ht="22.5" customHeight="1">
      <c r="B1955" s="13">
        <f t="shared" si="3"/>
        <v>1949</v>
      </c>
      <c r="C1955" s="15" t="str">
        <f t="array" ref="C1955">IFNA(_xlfn.XLOOKUP(B1955,Table_Respons_Loket[Count],Table_Respons_Loket[Nomor Tiket]),"")</f>
        <v/>
      </c>
      <c r="D1955" s="15" t="str">
        <f t="array" ref="D1955">IFNA(_xlfn.XLOOKUP(B1955,Table_Respons_Loket[Count],Table_Respons_Loket[Daftar Nomor Hak]),"")</f>
        <v/>
      </c>
      <c r="E1955" s="17" t="str">
        <f t="array" ref="E1955">IFNA(_xlfn.XLOOKUP(B1955,Table_Respons_Loket[Count],Table_Respons_Loket[Time Stamp]),"")</f>
        <v/>
      </c>
      <c r="F1955" s="18" t="str">
        <f t="array" ref="F1955">IFNA(_xlfn.XLOOKUP(B1955,Table_Respons_Loket[Count],Table_Respons_Loket[Jenis Permohonan]),"")</f>
        <v/>
      </c>
      <c r="G1955" s="24"/>
      <c r="H1955" s="24"/>
      <c r="I1955" s="22" t="str">
        <f t="shared" si="7"/>
        <v/>
      </c>
      <c r="J1955" s="20" t="b">
        <v>0</v>
      </c>
      <c r="K1955" s="13" t="str">
        <f t="shared" si="8"/>
        <v/>
      </c>
    </row>
    <row r="1956" ht="22.5" customHeight="1">
      <c r="B1956" s="13">
        <f t="shared" si="3"/>
        <v>1950</v>
      </c>
      <c r="C1956" s="15" t="str">
        <f t="array" ref="C1956">IFNA(_xlfn.XLOOKUP(B1956,Table_Respons_Loket[Count],Table_Respons_Loket[Nomor Tiket]),"")</f>
        <v/>
      </c>
      <c r="D1956" s="15" t="str">
        <f t="array" ref="D1956">IFNA(_xlfn.XLOOKUP(B1956,Table_Respons_Loket[Count],Table_Respons_Loket[Daftar Nomor Hak]),"")</f>
        <v/>
      </c>
      <c r="E1956" s="17" t="str">
        <f t="array" ref="E1956">IFNA(_xlfn.XLOOKUP(B1956,Table_Respons_Loket[Count],Table_Respons_Loket[Time Stamp]),"")</f>
        <v/>
      </c>
      <c r="F1956" s="18" t="str">
        <f t="array" ref="F1956">IFNA(_xlfn.XLOOKUP(B1956,Table_Respons_Loket[Count],Table_Respons_Loket[Jenis Permohonan]),"")</f>
        <v/>
      </c>
      <c r="G1956" s="24"/>
      <c r="H1956" s="24"/>
      <c r="I1956" s="22" t="str">
        <f t="shared" si="7"/>
        <v/>
      </c>
      <c r="J1956" s="20" t="b">
        <v>0</v>
      </c>
      <c r="K1956" s="13" t="str">
        <f t="shared" si="8"/>
        <v/>
      </c>
    </row>
    <row r="1957" ht="22.5" customHeight="1">
      <c r="B1957" s="13">
        <f t="shared" si="3"/>
        <v>1951</v>
      </c>
      <c r="C1957" s="15" t="str">
        <f t="array" ref="C1957">IFNA(_xlfn.XLOOKUP(B1957,Table_Respons_Loket[Count],Table_Respons_Loket[Nomor Tiket]),"")</f>
        <v/>
      </c>
      <c r="D1957" s="15" t="str">
        <f t="array" ref="D1957">IFNA(_xlfn.XLOOKUP(B1957,Table_Respons_Loket[Count],Table_Respons_Loket[Daftar Nomor Hak]),"")</f>
        <v/>
      </c>
      <c r="E1957" s="17" t="str">
        <f t="array" ref="E1957">IFNA(_xlfn.XLOOKUP(B1957,Table_Respons_Loket[Count],Table_Respons_Loket[Time Stamp]),"")</f>
        <v/>
      </c>
      <c r="F1957" s="18" t="str">
        <f t="array" ref="F1957">IFNA(_xlfn.XLOOKUP(B1957,Table_Respons_Loket[Count],Table_Respons_Loket[Jenis Permohonan]),"")</f>
        <v/>
      </c>
      <c r="G1957" s="24"/>
      <c r="H1957" s="24"/>
      <c r="I1957" s="22" t="str">
        <f t="shared" si="7"/>
        <v/>
      </c>
      <c r="J1957" s="20" t="b">
        <v>0</v>
      </c>
      <c r="K1957" s="13" t="str">
        <f t="shared" si="8"/>
        <v/>
      </c>
    </row>
    <row r="1958" ht="22.5" customHeight="1">
      <c r="B1958" s="13">
        <f t="shared" si="3"/>
        <v>1952</v>
      </c>
      <c r="C1958" s="15" t="str">
        <f t="array" ref="C1958">IFNA(_xlfn.XLOOKUP(B1958,Table_Respons_Loket[Count],Table_Respons_Loket[Nomor Tiket]),"")</f>
        <v/>
      </c>
      <c r="D1958" s="15" t="str">
        <f t="array" ref="D1958">IFNA(_xlfn.XLOOKUP(B1958,Table_Respons_Loket[Count],Table_Respons_Loket[Daftar Nomor Hak]),"")</f>
        <v/>
      </c>
      <c r="E1958" s="17" t="str">
        <f t="array" ref="E1958">IFNA(_xlfn.XLOOKUP(B1958,Table_Respons_Loket[Count],Table_Respons_Loket[Time Stamp]),"")</f>
        <v/>
      </c>
      <c r="F1958" s="18" t="str">
        <f t="array" ref="F1958">IFNA(_xlfn.XLOOKUP(B1958,Table_Respons_Loket[Count],Table_Respons_Loket[Jenis Permohonan]),"")</f>
        <v/>
      </c>
      <c r="G1958" s="24"/>
      <c r="H1958" s="24"/>
      <c r="I1958" s="22" t="str">
        <f t="shared" si="7"/>
        <v/>
      </c>
      <c r="J1958" s="20" t="b">
        <v>0</v>
      </c>
      <c r="K1958" s="13" t="str">
        <f t="shared" si="8"/>
        <v/>
      </c>
    </row>
    <row r="1959" ht="22.5" customHeight="1">
      <c r="B1959" s="13">
        <f t="shared" si="3"/>
        <v>1953</v>
      </c>
      <c r="C1959" s="15" t="str">
        <f t="array" ref="C1959">IFNA(_xlfn.XLOOKUP(B1959,Table_Respons_Loket[Count],Table_Respons_Loket[Nomor Tiket]),"")</f>
        <v/>
      </c>
      <c r="D1959" s="15" t="str">
        <f t="array" ref="D1959">IFNA(_xlfn.XLOOKUP(B1959,Table_Respons_Loket[Count],Table_Respons_Loket[Daftar Nomor Hak]),"")</f>
        <v/>
      </c>
      <c r="E1959" s="17" t="str">
        <f t="array" ref="E1959">IFNA(_xlfn.XLOOKUP(B1959,Table_Respons_Loket[Count],Table_Respons_Loket[Time Stamp]),"")</f>
        <v/>
      </c>
      <c r="F1959" s="18" t="str">
        <f t="array" ref="F1959">IFNA(_xlfn.XLOOKUP(B1959,Table_Respons_Loket[Count],Table_Respons_Loket[Jenis Permohonan]),"")</f>
        <v/>
      </c>
      <c r="G1959" s="24"/>
      <c r="H1959" s="24"/>
      <c r="I1959" s="22" t="str">
        <f t="shared" si="7"/>
        <v/>
      </c>
      <c r="J1959" s="20" t="b">
        <v>0</v>
      </c>
      <c r="K1959" s="13" t="str">
        <f t="shared" si="8"/>
        <v/>
      </c>
    </row>
    <row r="1960" ht="22.5" customHeight="1">
      <c r="B1960" s="13">
        <f t="shared" si="3"/>
        <v>1954</v>
      </c>
      <c r="C1960" s="15" t="str">
        <f t="array" ref="C1960">IFNA(_xlfn.XLOOKUP(B1960,Table_Respons_Loket[Count],Table_Respons_Loket[Nomor Tiket]),"")</f>
        <v/>
      </c>
      <c r="D1960" s="15" t="str">
        <f t="array" ref="D1960">IFNA(_xlfn.XLOOKUP(B1960,Table_Respons_Loket[Count],Table_Respons_Loket[Daftar Nomor Hak]),"")</f>
        <v/>
      </c>
      <c r="E1960" s="17" t="str">
        <f t="array" ref="E1960">IFNA(_xlfn.XLOOKUP(B1960,Table_Respons_Loket[Count],Table_Respons_Loket[Time Stamp]),"")</f>
        <v/>
      </c>
      <c r="F1960" s="18" t="str">
        <f t="array" ref="F1960">IFNA(_xlfn.XLOOKUP(B1960,Table_Respons_Loket[Count],Table_Respons_Loket[Jenis Permohonan]),"")</f>
        <v/>
      </c>
      <c r="G1960" s="24"/>
      <c r="H1960" s="24"/>
      <c r="I1960" s="22" t="str">
        <f t="shared" si="7"/>
        <v/>
      </c>
      <c r="J1960" s="20" t="b">
        <v>0</v>
      </c>
      <c r="K1960" s="13" t="str">
        <f t="shared" si="8"/>
        <v/>
      </c>
    </row>
    <row r="1961" ht="22.5" customHeight="1">
      <c r="B1961" s="13">
        <f t="shared" si="3"/>
        <v>1955</v>
      </c>
      <c r="C1961" s="15" t="str">
        <f t="array" ref="C1961">IFNA(_xlfn.XLOOKUP(B1961,Table_Respons_Loket[Count],Table_Respons_Loket[Nomor Tiket]),"")</f>
        <v/>
      </c>
      <c r="D1961" s="15" t="str">
        <f t="array" ref="D1961">IFNA(_xlfn.XLOOKUP(B1961,Table_Respons_Loket[Count],Table_Respons_Loket[Daftar Nomor Hak]),"")</f>
        <v/>
      </c>
      <c r="E1961" s="17" t="str">
        <f t="array" ref="E1961">IFNA(_xlfn.XLOOKUP(B1961,Table_Respons_Loket[Count],Table_Respons_Loket[Time Stamp]),"")</f>
        <v/>
      </c>
      <c r="F1961" s="18" t="str">
        <f t="array" ref="F1961">IFNA(_xlfn.XLOOKUP(B1961,Table_Respons_Loket[Count],Table_Respons_Loket[Jenis Permohonan]),"")</f>
        <v/>
      </c>
      <c r="G1961" s="24"/>
      <c r="H1961" s="24"/>
      <c r="I1961" s="22" t="str">
        <f t="shared" si="7"/>
        <v/>
      </c>
      <c r="J1961" s="20" t="b">
        <v>0</v>
      </c>
      <c r="K1961" s="13" t="str">
        <f t="shared" si="8"/>
        <v/>
      </c>
    </row>
    <row r="1962" ht="22.5" customHeight="1">
      <c r="B1962" s="13">
        <f t="shared" si="3"/>
        <v>1956</v>
      </c>
      <c r="C1962" s="15" t="str">
        <f t="array" ref="C1962">IFNA(_xlfn.XLOOKUP(B1962,Table_Respons_Loket[Count],Table_Respons_Loket[Nomor Tiket]),"")</f>
        <v/>
      </c>
      <c r="D1962" s="15" t="str">
        <f t="array" ref="D1962">IFNA(_xlfn.XLOOKUP(B1962,Table_Respons_Loket[Count],Table_Respons_Loket[Daftar Nomor Hak]),"")</f>
        <v/>
      </c>
      <c r="E1962" s="17" t="str">
        <f t="array" ref="E1962">IFNA(_xlfn.XLOOKUP(B1962,Table_Respons_Loket[Count],Table_Respons_Loket[Time Stamp]),"")</f>
        <v/>
      </c>
      <c r="F1962" s="18" t="str">
        <f t="array" ref="F1962">IFNA(_xlfn.XLOOKUP(B1962,Table_Respons_Loket[Count],Table_Respons_Loket[Jenis Permohonan]),"")</f>
        <v/>
      </c>
      <c r="G1962" s="24"/>
      <c r="H1962" s="24"/>
      <c r="I1962" s="22" t="str">
        <f t="shared" si="7"/>
        <v/>
      </c>
      <c r="J1962" s="20" t="b">
        <v>0</v>
      </c>
      <c r="K1962" s="13" t="str">
        <f t="shared" si="8"/>
        <v/>
      </c>
    </row>
    <row r="1963" ht="22.5" customHeight="1">
      <c r="B1963" s="13">
        <f t="shared" si="3"/>
        <v>1957</v>
      </c>
      <c r="C1963" s="15" t="str">
        <f t="array" ref="C1963">IFNA(_xlfn.XLOOKUP(B1963,Table_Respons_Loket[Count],Table_Respons_Loket[Nomor Tiket]),"")</f>
        <v/>
      </c>
      <c r="D1963" s="15" t="str">
        <f t="array" ref="D1963">IFNA(_xlfn.XLOOKUP(B1963,Table_Respons_Loket[Count],Table_Respons_Loket[Daftar Nomor Hak]),"")</f>
        <v/>
      </c>
      <c r="E1963" s="17" t="str">
        <f t="array" ref="E1963">IFNA(_xlfn.XLOOKUP(B1963,Table_Respons_Loket[Count],Table_Respons_Loket[Time Stamp]),"")</f>
        <v/>
      </c>
      <c r="F1963" s="18" t="str">
        <f t="array" ref="F1963">IFNA(_xlfn.XLOOKUP(B1963,Table_Respons_Loket[Count],Table_Respons_Loket[Jenis Permohonan]),"")</f>
        <v/>
      </c>
      <c r="G1963" s="24"/>
      <c r="H1963" s="24"/>
      <c r="I1963" s="22" t="str">
        <f t="shared" si="7"/>
        <v/>
      </c>
      <c r="J1963" s="20" t="b">
        <v>0</v>
      </c>
      <c r="K1963" s="13" t="str">
        <f t="shared" si="8"/>
        <v/>
      </c>
    </row>
    <row r="1964" ht="22.5" customHeight="1">
      <c r="B1964" s="13">
        <f t="shared" si="3"/>
        <v>1958</v>
      </c>
      <c r="C1964" s="15" t="str">
        <f t="array" ref="C1964">IFNA(_xlfn.XLOOKUP(B1964,Table_Respons_Loket[Count],Table_Respons_Loket[Nomor Tiket]),"")</f>
        <v/>
      </c>
      <c r="D1964" s="15" t="str">
        <f t="array" ref="D1964">IFNA(_xlfn.XLOOKUP(B1964,Table_Respons_Loket[Count],Table_Respons_Loket[Daftar Nomor Hak]),"")</f>
        <v/>
      </c>
      <c r="E1964" s="17" t="str">
        <f t="array" ref="E1964">IFNA(_xlfn.XLOOKUP(B1964,Table_Respons_Loket[Count],Table_Respons_Loket[Time Stamp]),"")</f>
        <v/>
      </c>
      <c r="F1964" s="18" t="str">
        <f t="array" ref="F1964">IFNA(_xlfn.XLOOKUP(B1964,Table_Respons_Loket[Count],Table_Respons_Loket[Jenis Permohonan]),"")</f>
        <v/>
      </c>
      <c r="G1964" s="24"/>
      <c r="H1964" s="24"/>
      <c r="I1964" s="22" t="str">
        <f t="shared" si="7"/>
        <v/>
      </c>
      <c r="J1964" s="20" t="b">
        <v>0</v>
      </c>
      <c r="K1964" s="13" t="str">
        <f t="shared" si="8"/>
        <v/>
      </c>
    </row>
    <row r="1965" ht="22.5" customHeight="1">
      <c r="B1965" s="13">
        <f t="shared" si="3"/>
        <v>1959</v>
      </c>
      <c r="C1965" s="15" t="str">
        <f t="array" ref="C1965">IFNA(_xlfn.XLOOKUP(B1965,Table_Respons_Loket[Count],Table_Respons_Loket[Nomor Tiket]),"")</f>
        <v/>
      </c>
      <c r="D1965" s="15" t="str">
        <f t="array" ref="D1965">IFNA(_xlfn.XLOOKUP(B1965,Table_Respons_Loket[Count],Table_Respons_Loket[Daftar Nomor Hak]),"")</f>
        <v/>
      </c>
      <c r="E1965" s="17" t="str">
        <f t="array" ref="E1965">IFNA(_xlfn.XLOOKUP(B1965,Table_Respons_Loket[Count],Table_Respons_Loket[Time Stamp]),"")</f>
        <v/>
      </c>
      <c r="F1965" s="18" t="str">
        <f t="array" ref="F1965">IFNA(_xlfn.XLOOKUP(B1965,Table_Respons_Loket[Count],Table_Respons_Loket[Jenis Permohonan]),"")</f>
        <v/>
      </c>
      <c r="G1965" s="24"/>
      <c r="H1965" s="24"/>
      <c r="I1965" s="22" t="str">
        <f t="shared" si="7"/>
        <v/>
      </c>
      <c r="J1965" s="20" t="b">
        <v>0</v>
      </c>
      <c r="K1965" s="13" t="str">
        <f t="shared" si="8"/>
        <v/>
      </c>
    </row>
    <row r="1966" ht="22.5" customHeight="1">
      <c r="B1966" s="13">
        <f t="shared" si="3"/>
        <v>1960</v>
      </c>
      <c r="C1966" s="15" t="str">
        <f t="array" ref="C1966">IFNA(_xlfn.XLOOKUP(B1966,Table_Respons_Loket[Count],Table_Respons_Loket[Nomor Tiket]),"")</f>
        <v/>
      </c>
      <c r="D1966" s="15" t="str">
        <f t="array" ref="D1966">IFNA(_xlfn.XLOOKUP(B1966,Table_Respons_Loket[Count],Table_Respons_Loket[Daftar Nomor Hak]),"")</f>
        <v/>
      </c>
      <c r="E1966" s="17" t="str">
        <f t="array" ref="E1966">IFNA(_xlfn.XLOOKUP(B1966,Table_Respons_Loket[Count],Table_Respons_Loket[Time Stamp]),"")</f>
        <v/>
      </c>
      <c r="F1966" s="18" t="str">
        <f t="array" ref="F1966">IFNA(_xlfn.XLOOKUP(B1966,Table_Respons_Loket[Count],Table_Respons_Loket[Jenis Permohonan]),"")</f>
        <v/>
      </c>
      <c r="G1966" s="24"/>
      <c r="H1966" s="24"/>
      <c r="I1966" s="22" t="str">
        <f t="shared" si="7"/>
        <v/>
      </c>
      <c r="J1966" s="20" t="b">
        <v>0</v>
      </c>
      <c r="K1966" s="13" t="str">
        <f t="shared" si="8"/>
        <v/>
      </c>
    </row>
    <row r="1967" ht="22.5" customHeight="1">
      <c r="B1967" s="13">
        <f t="shared" si="3"/>
        <v>1961</v>
      </c>
      <c r="C1967" s="15" t="str">
        <f t="array" ref="C1967">IFNA(_xlfn.XLOOKUP(B1967,Table_Respons_Loket[Count],Table_Respons_Loket[Nomor Tiket]),"")</f>
        <v/>
      </c>
      <c r="D1967" s="15" t="str">
        <f t="array" ref="D1967">IFNA(_xlfn.XLOOKUP(B1967,Table_Respons_Loket[Count],Table_Respons_Loket[Daftar Nomor Hak]),"")</f>
        <v/>
      </c>
      <c r="E1967" s="17" t="str">
        <f t="array" ref="E1967">IFNA(_xlfn.XLOOKUP(B1967,Table_Respons_Loket[Count],Table_Respons_Loket[Time Stamp]),"")</f>
        <v/>
      </c>
      <c r="F1967" s="18" t="str">
        <f t="array" ref="F1967">IFNA(_xlfn.XLOOKUP(B1967,Table_Respons_Loket[Count],Table_Respons_Loket[Jenis Permohonan]),"")</f>
        <v/>
      </c>
      <c r="G1967" s="24"/>
      <c r="H1967" s="24"/>
      <c r="I1967" s="22" t="str">
        <f t="shared" si="7"/>
        <v/>
      </c>
      <c r="J1967" s="20" t="b">
        <v>0</v>
      </c>
      <c r="K1967" s="13" t="str">
        <f t="shared" si="8"/>
        <v/>
      </c>
    </row>
    <row r="1968" ht="22.5" customHeight="1">
      <c r="B1968" s="13">
        <f t="shared" si="3"/>
        <v>1962</v>
      </c>
      <c r="C1968" s="15" t="str">
        <f t="array" ref="C1968">IFNA(_xlfn.XLOOKUP(B1968,Table_Respons_Loket[Count],Table_Respons_Loket[Nomor Tiket]),"")</f>
        <v/>
      </c>
      <c r="D1968" s="15" t="str">
        <f t="array" ref="D1968">IFNA(_xlfn.XLOOKUP(B1968,Table_Respons_Loket[Count],Table_Respons_Loket[Daftar Nomor Hak]),"")</f>
        <v/>
      </c>
      <c r="E1968" s="17" t="str">
        <f t="array" ref="E1968">IFNA(_xlfn.XLOOKUP(B1968,Table_Respons_Loket[Count],Table_Respons_Loket[Time Stamp]),"")</f>
        <v/>
      </c>
      <c r="F1968" s="18" t="str">
        <f t="array" ref="F1968">IFNA(_xlfn.XLOOKUP(B1968,Table_Respons_Loket[Count],Table_Respons_Loket[Jenis Permohonan]),"")</f>
        <v/>
      </c>
      <c r="G1968" s="24"/>
      <c r="H1968" s="24"/>
      <c r="I1968" s="22" t="str">
        <f t="shared" si="7"/>
        <v/>
      </c>
      <c r="J1968" s="20" t="b">
        <v>0</v>
      </c>
      <c r="K1968" s="13" t="str">
        <f t="shared" si="8"/>
        <v/>
      </c>
    </row>
    <row r="1969" ht="22.5" customHeight="1">
      <c r="B1969" s="13">
        <f t="shared" si="3"/>
        <v>1963</v>
      </c>
      <c r="C1969" s="15" t="str">
        <f t="array" ref="C1969">IFNA(_xlfn.XLOOKUP(B1969,Table_Respons_Loket[Count],Table_Respons_Loket[Nomor Tiket]),"")</f>
        <v/>
      </c>
      <c r="D1969" s="15" t="str">
        <f t="array" ref="D1969">IFNA(_xlfn.XLOOKUP(B1969,Table_Respons_Loket[Count],Table_Respons_Loket[Daftar Nomor Hak]),"")</f>
        <v/>
      </c>
      <c r="E1969" s="17" t="str">
        <f t="array" ref="E1969">IFNA(_xlfn.XLOOKUP(B1969,Table_Respons_Loket[Count],Table_Respons_Loket[Time Stamp]),"")</f>
        <v/>
      </c>
      <c r="F1969" s="18" t="str">
        <f t="array" ref="F1969">IFNA(_xlfn.XLOOKUP(B1969,Table_Respons_Loket[Count],Table_Respons_Loket[Jenis Permohonan]),"")</f>
        <v/>
      </c>
      <c r="G1969" s="24"/>
      <c r="H1969" s="24"/>
      <c r="I1969" s="22" t="str">
        <f t="shared" si="7"/>
        <v/>
      </c>
      <c r="J1969" s="20" t="b">
        <v>0</v>
      </c>
      <c r="K1969" s="13" t="str">
        <f t="shared" si="8"/>
        <v/>
      </c>
    </row>
    <row r="1970" ht="22.5" customHeight="1">
      <c r="B1970" s="13">
        <f t="shared" si="3"/>
        <v>1964</v>
      </c>
      <c r="C1970" s="15" t="str">
        <f t="array" ref="C1970">IFNA(_xlfn.XLOOKUP(B1970,Table_Respons_Loket[Count],Table_Respons_Loket[Nomor Tiket]),"")</f>
        <v/>
      </c>
      <c r="D1970" s="15" t="str">
        <f t="array" ref="D1970">IFNA(_xlfn.XLOOKUP(B1970,Table_Respons_Loket[Count],Table_Respons_Loket[Daftar Nomor Hak]),"")</f>
        <v/>
      </c>
      <c r="E1970" s="17" t="str">
        <f t="array" ref="E1970">IFNA(_xlfn.XLOOKUP(B1970,Table_Respons_Loket[Count],Table_Respons_Loket[Time Stamp]),"")</f>
        <v/>
      </c>
      <c r="F1970" s="18" t="str">
        <f t="array" ref="F1970">IFNA(_xlfn.XLOOKUP(B1970,Table_Respons_Loket[Count],Table_Respons_Loket[Jenis Permohonan]),"")</f>
        <v/>
      </c>
      <c r="G1970" s="24"/>
      <c r="H1970" s="24"/>
      <c r="I1970" s="22" t="str">
        <f t="shared" si="7"/>
        <v/>
      </c>
      <c r="J1970" s="20" t="b">
        <v>0</v>
      </c>
      <c r="K1970" s="13" t="str">
        <f t="shared" si="8"/>
        <v/>
      </c>
    </row>
    <row r="1971" ht="22.5" customHeight="1">
      <c r="B1971" s="13">
        <f t="shared" si="3"/>
        <v>1965</v>
      </c>
      <c r="C1971" s="15" t="str">
        <f t="array" ref="C1971">IFNA(_xlfn.XLOOKUP(B1971,Table_Respons_Loket[Count],Table_Respons_Loket[Nomor Tiket]),"")</f>
        <v/>
      </c>
      <c r="D1971" s="15" t="str">
        <f t="array" ref="D1971">IFNA(_xlfn.XLOOKUP(B1971,Table_Respons_Loket[Count],Table_Respons_Loket[Daftar Nomor Hak]),"")</f>
        <v/>
      </c>
      <c r="E1971" s="17" t="str">
        <f t="array" ref="E1971">IFNA(_xlfn.XLOOKUP(B1971,Table_Respons_Loket[Count],Table_Respons_Loket[Time Stamp]),"")</f>
        <v/>
      </c>
      <c r="F1971" s="18" t="str">
        <f t="array" ref="F1971">IFNA(_xlfn.XLOOKUP(B1971,Table_Respons_Loket[Count],Table_Respons_Loket[Jenis Permohonan]),"")</f>
        <v/>
      </c>
      <c r="G1971" s="24"/>
      <c r="H1971" s="24"/>
      <c r="I1971" s="22" t="str">
        <f t="shared" si="7"/>
        <v/>
      </c>
      <c r="J1971" s="20" t="b">
        <v>0</v>
      </c>
      <c r="K1971" s="13" t="str">
        <f t="shared" si="8"/>
        <v/>
      </c>
    </row>
    <row r="1972" ht="22.5" customHeight="1">
      <c r="B1972" s="13">
        <f t="shared" si="3"/>
        <v>1966</v>
      </c>
      <c r="C1972" s="15" t="str">
        <f t="array" ref="C1972">IFNA(_xlfn.XLOOKUP(B1972,Table_Respons_Loket[Count],Table_Respons_Loket[Nomor Tiket]),"")</f>
        <v/>
      </c>
      <c r="D1972" s="15" t="str">
        <f t="array" ref="D1972">IFNA(_xlfn.XLOOKUP(B1972,Table_Respons_Loket[Count],Table_Respons_Loket[Daftar Nomor Hak]),"")</f>
        <v/>
      </c>
      <c r="E1972" s="17" t="str">
        <f t="array" ref="E1972">IFNA(_xlfn.XLOOKUP(B1972,Table_Respons_Loket[Count],Table_Respons_Loket[Time Stamp]),"")</f>
        <v/>
      </c>
      <c r="F1972" s="18" t="str">
        <f t="array" ref="F1972">IFNA(_xlfn.XLOOKUP(B1972,Table_Respons_Loket[Count],Table_Respons_Loket[Jenis Permohonan]),"")</f>
        <v/>
      </c>
      <c r="G1972" s="24"/>
      <c r="H1972" s="24"/>
      <c r="I1972" s="22" t="str">
        <f t="shared" si="7"/>
        <v/>
      </c>
      <c r="J1972" s="20" t="b">
        <v>0</v>
      </c>
      <c r="K1972" s="13" t="str">
        <f t="shared" si="8"/>
        <v/>
      </c>
    </row>
    <row r="1973" ht="22.5" customHeight="1">
      <c r="B1973" s="13">
        <f t="shared" si="3"/>
        <v>1967</v>
      </c>
      <c r="C1973" s="15" t="str">
        <f t="array" ref="C1973">IFNA(_xlfn.XLOOKUP(B1973,Table_Respons_Loket[Count],Table_Respons_Loket[Nomor Tiket]),"")</f>
        <v/>
      </c>
      <c r="D1973" s="15" t="str">
        <f t="array" ref="D1973">IFNA(_xlfn.XLOOKUP(B1973,Table_Respons_Loket[Count],Table_Respons_Loket[Daftar Nomor Hak]),"")</f>
        <v/>
      </c>
      <c r="E1973" s="17" t="str">
        <f t="array" ref="E1973">IFNA(_xlfn.XLOOKUP(B1973,Table_Respons_Loket[Count],Table_Respons_Loket[Time Stamp]),"")</f>
        <v/>
      </c>
      <c r="F1973" s="18" t="str">
        <f t="array" ref="F1973">IFNA(_xlfn.XLOOKUP(B1973,Table_Respons_Loket[Count],Table_Respons_Loket[Jenis Permohonan]),"")</f>
        <v/>
      </c>
      <c r="G1973" s="24"/>
      <c r="H1973" s="24"/>
      <c r="I1973" s="22" t="str">
        <f t="shared" si="7"/>
        <v/>
      </c>
      <c r="J1973" s="20" t="b">
        <v>0</v>
      </c>
      <c r="K1973" s="13" t="str">
        <f t="shared" si="8"/>
        <v/>
      </c>
    </row>
    <row r="1974" ht="22.5" customHeight="1">
      <c r="B1974" s="13">
        <f t="shared" si="3"/>
        <v>1968</v>
      </c>
      <c r="C1974" s="15" t="str">
        <f t="array" ref="C1974">IFNA(_xlfn.XLOOKUP(B1974,Table_Respons_Loket[Count],Table_Respons_Loket[Nomor Tiket]),"")</f>
        <v/>
      </c>
      <c r="D1974" s="15" t="str">
        <f t="array" ref="D1974">IFNA(_xlfn.XLOOKUP(B1974,Table_Respons_Loket[Count],Table_Respons_Loket[Daftar Nomor Hak]),"")</f>
        <v/>
      </c>
      <c r="E1974" s="17" t="str">
        <f t="array" ref="E1974">IFNA(_xlfn.XLOOKUP(B1974,Table_Respons_Loket[Count],Table_Respons_Loket[Time Stamp]),"")</f>
        <v/>
      </c>
      <c r="F1974" s="18" t="str">
        <f t="array" ref="F1974">IFNA(_xlfn.XLOOKUP(B1974,Table_Respons_Loket[Count],Table_Respons_Loket[Jenis Permohonan]),"")</f>
        <v/>
      </c>
      <c r="G1974" s="24"/>
      <c r="H1974" s="24"/>
      <c r="I1974" s="22" t="str">
        <f t="shared" si="7"/>
        <v/>
      </c>
      <c r="J1974" s="20" t="b">
        <v>0</v>
      </c>
      <c r="K1974" s="13" t="str">
        <f t="shared" si="8"/>
        <v/>
      </c>
    </row>
    <row r="1975" ht="22.5" customHeight="1">
      <c r="B1975" s="13">
        <f t="shared" si="3"/>
        <v>1969</v>
      </c>
      <c r="C1975" s="15" t="str">
        <f t="array" ref="C1975">IFNA(_xlfn.XLOOKUP(B1975,Table_Respons_Loket[Count],Table_Respons_Loket[Nomor Tiket]),"")</f>
        <v/>
      </c>
      <c r="D1975" s="15" t="str">
        <f t="array" ref="D1975">IFNA(_xlfn.XLOOKUP(B1975,Table_Respons_Loket[Count],Table_Respons_Loket[Daftar Nomor Hak]),"")</f>
        <v/>
      </c>
      <c r="E1975" s="17" t="str">
        <f t="array" ref="E1975">IFNA(_xlfn.XLOOKUP(B1975,Table_Respons_Loket[Count],Table_Respons_Loket[Time Stamp]),"")</f>
        <v/>
      </c>
      <c r="F1975" s="18" t="str">
        <f t="array" ref="F1975">IFNA(_xlfn.XLOOKUP(B1975,Table_Respons_Loket[Count],Table_Respons_Loket[Jenis Permohonan]),"")</f>
        <v/>
      </c>
      <c r="G1975" s="24"/>
      <c r="H1975" s="24"/>
      <c r="I1975" s="22" t="str">
        <f t="shared" si="7"/>
        <v/>
      </c>
      <c r="J1975" s="20" t="b">
        <v>0</v>
      </c>
      <c r="K1975" s="13" t="str">
        <f t="shared" si="8"/>
        <v/>
      </c>
    </row>
    <row r="1976" ht="22.5" customHeight="1">
      <c r="B1976" s="13">
        <f t="shared" si="3"/>
        <v>1970</v>
      </c>
      <c r="C1976" s="15" t="str">
        <f t="array" ref="C1976">IFNA(_xlfn.XLOOKUP(B1976,Table_Respons_Loket[Count],Table_Respons_Loket[Nomor Tiket]),"")</f>
        <v/>
      </c>
      <c r="D1976" s="15" t="str">
        <f t="array" ref="D1976">IFNA(_xlfn.XLOOKUP(B1976,Table_Respons_Loket[Count],Table_Respons_Loket[Daftar Nomor Hak]),"")</f>
        <v/>
      </c>
      <c r="E1976" s="17" t="str">
        <f t="array" ref="E1976">IFNA(_xlfn.XLOOKUP(B1976,Table_Respons_Loket[Count],Table_Respons_Loket[Time Stamp]),"")</f>
        <v/>
      </c>
      <c r="F1976" s="18" t="str">
        <f t="array" ref="F1976">IFNA(_xlfn.XLOOKUP(B1976,Table_Respons_Loket[Count],Table_Respons_Loket[Jenis Permohonan]),"")</f>
        <v/>
      </c>
      <c r="G1976" s="24"/>
      <c r="H1976" s="24"/>
      <c r="I1976" s="22" t="str">
        <f t="shared" si="7"/>
        <v/>
      </c>
      <c r="J1976" s="20" t="b">
        <v>0</v>
      </c>
      <c r="K1976" s="13" t="str">
        <f t="shared" si="8"/>
        <v/>
      </c>
    </row>
    <row r="1977" ht="22.5" customHeight="1">
      <c r="B1977" s="13">
        <f t="shared" si="3"/>
        <v>1971</v>
      </c>
      <c r="C1977" s="15" t="str">
        <f t="array" ref="C1977">IFNA(_xlfn.XLOOKUP(B1977,Table_Respons_Loket[Count],Table_Respons_Loket[Nomor Tiket]),"")</f>
        <v/>
      </c>
      <c r="D1977" s="15" t="str">
        <f t="array" ref="D1977">IFNA(_xlfn.XLOOKUP(B1977,Table_Respons_Loket[Count],Table_Respons_Loket[Daftar Nomor Hak]),"")</f>
        <v/>
      </c>
      <c r="E1977" s="17" t="str">
        <f t="array" ref="E1977">IFNA(_xlfn.XLOOKUP(B1977,Table_Respons_Loket[Count],Table_Respons_Loket[Time Stamp]),"")</f>
        <v/>
      </c>
      <c r="F1977" s="18" t="str">
        <f t="array" ref="F1977">IFNA(_xlfn.XLOOKUP(B1977,Table_Respons_Loket[Count],Table_Respons_Loket[Jenis Permohonan]),"")</f>
        <v/>
      </c>
      <c r="G1977" s="24"/>
      <c r="H1977" s="24"/>
      <c r="I1977" s="22" t="str">
        <f t="shared" si="7"/>
        <v/>
      </c>
      <c r="J1977" s="20" t="b">
        <v>0</v>
      </c>
      <c r="K1977" s="13" t="str">
        <f t="shared" si="8"/>
        <v/>
      </c>
    </row>
    <row r="1978" ht="22.5" customHeight="1">
      <c r="B1978" s="13">
        <f t="shared" si="3"/>
        <v>1972</v>
      </c>
      <c r="C1978" s="15" t="str">
        <f t="array" ref="C1978">IFNA(_xlfn.XLOOKUP(B1978,Table_Respons_Loket[Count],Table_Respons_Loket[Nomor Tiket]),"")</f>
        <v/>
      </c>
      <c r="D1978" s="15" t="str">
        <f t="array" ref="D1978">IFNA(_xlfn.XLOOKUP(B1978,Table_Respons_Loket[Count],Table_Respons_Loket[Daftar Nomor Hak]),"")</f>
        <v/>
      </c>
      <c r="E1978" s="17" t="str">
        <f t="array" ref="E1978">IFNA(_xlfn.XLOOKUP(B1978,Table_Respons_Loket[Count],Table_Respons_Loket[Time Stamp]),"")</f>
        <v/>
      </c>
      <c r="F1978" s="18" t="str">
        <f t="array" ref="F1978">IFNA(_xlfn.XLOOKUP(B1978,Table_Respons_Loket[Count],Table_Respons_Loket[Jenis Permohonan]),"")</f>
        <v/>
      </c>
      <c r="G1978" s="24"/>
      <c r="H1978" s="24"/>
      <c r="I1978" s="22" t="str">
        <f t="shared" si="7"/>
        <v/>
      </c>
      <c r="J1978" s="20" t="b">
        <v>0</v>
      </c>
      <c r="K1978" s="13" t="str">
        <f t="shared" si="8"/>
        <v/>
      </c>
    </row>
    <row r="1979" ht="22.5" customHeight="1">
      <c r="B1979" s="13">
        <f t="shared" si="3"/>
        <v>1973</v>
      </c>
      <c r="C1979" s="15" t="str">
        <f t="array" ref="C1979">IFNA(_xlfn.XLOOKUP(B1979,Table_Respons_Loket[Count],Table_Respons_Loket[Nomor Tiket]),"")</f>
        <v/>
      </c>
      <c r="D1979" s="15" t="str">
        <f t="array" ref="D1979">IFNA(_xlfn.XLOOKUP(B1979,Table_Respons_Loket[Count],Table_Respons_Loket[Daftar Nomor Hak]),"")</f>
        <v/>
      </c>
      <c r="E1979" s="17" t="str">
        <f t="array" ref="E1979">IFNA(_xlfn.XLOOKUP(B1979,Table_Respons_Loket[Count],Table_Respons_Loket[Time Stamp]),"")</f>
        <v/>
      </c>
      <c r="F1979" s="18" t="str">
        <f t="array" ref="F1979">IFNA(_xlfn.XLOOKUP(B1979,Table_Respons_Loket[Count],Table_Respons_Loket[Jenis Permohonan]),"")</f>
        <v/>
      </c>
      <c r="G1979" s="24"/>
      <c r="H1979" s="24"/>
      <c r="I1979" s="22" t="str">
        <f t="shared" si="7"/>
        <v/>
      </c>
      <c r="J1979" s="20" t="b">
        <v>0</v>
      </c>
      <c r="K1979" s="13" t="str">
        <f t="shared" si="8"/>
        <v/>
      </c>
    </row>
    <row r="1980" ht="22.5" customHeight="1">
      <c r="B1980" s="13">
        <f t="shared" si="3"/>
        <v>1974</v>
      </c>
      <c r="C1980" s="15" t="str">
        <f t="array" ref="C1980">IFNA(_xlfn.XLOOKUP(B1980,Table_Respons_Loket[Count],Table_Respons_Loket[Nomor Tiket]),"")</f>
        <v/>
      </c>
      <c r="D1980" s="15" t="str">
        <f t="array" ref="D1980">IFNA(_xlfn.XLOOKUP(B1980,Table_Respons_Loket[Count],Table_Respons_Loket[Daftar Nomor Hak]),"")</f>
        <v/>
      </c>
      <c r="E1980" s="17" t="str">
        <f t="array" ref="E1980">IFNA(_xlfn.XLOOKUP(B1980,Table_Respons_Loket[Count],Table_Respons_Loket[Time Stamp]),"")</f>
        <v/>
      </c>
      <c r="F1980" s="18" t="str">
        <f t="array" ref="F1980">IFNA(_xlfn.XLOOKUP(B1980,Table_Respons_Loket[Count],Table_Respons_Loket[Jenis Permohonan]),"")</f>
        <v/>
      </c>
      <c r="G1980" s="24"/>
      <c r="H1980" s="24"/>
      <c r="I1980" s="22" t="str">
        <f t="shared" si="7"/>
        <v/>
      </c>
      <c r="J1980" s="20" t="b">
        <v>0</v>
      </c>
      <c r="K1980" s="13" t="str">
        <f t="shared" si="8"/>
        <v/>
      </c>
    </row>
    <row r="1981" ht="22.5" customHeight="1">
      <c r="B1981" s="13">
        <f t="shared" si="3"/>
        <v>1975</v>
      </c>
      <c r="C1981" s="15" t="str">
        <f t="array" ref="C1981">IFNA(_xlfn.XLOOKUP(B1981,Table_Respons_Loket[Count],Table_Respons_Loket[Nomor Tiket]),"")</f>
        <v/>
      </c>
      <c r="D1981" s="15" t="str">
        <f t="array" ref="D1981">IFNA(_xlfn.XLOOKUP(B1981,Table_Respons_Loket[Count],Table_Respons_Loket[Daftar Nomor Hak]),"")</f>
        <v/>
      </c>
      <c r="E1981" s="17" t="str">
        <f t="array" ref="E1981">IFNA(_xlfn.XLOOKUP(B1981,Table_Respons_Loket[Count],Table_Respons_Loket[Time Stamp]),"")</f>
        <v/>
      </c>
      <c r="F1981" s="18" t="str">
        <f t="array" ref="F1981">IFNA(_xlfn.XLOOKUP(B1981,Table_Respons_Loket[Count],Table_Respons_Loket[Jenis Permohonan]),"")</f>
        <v/>
      </c>
      <c r="G1981" s="24"/>
      <c r="H1981" s="24"/>
      <c r="I1981" s="22" t="str">
        <f t="shared" si="7"/>
        <v/>
      </c>
      <c r="J1981" s="20" t="b">
        <v>0</v>
      </c>
      <c r="K1981" s="13" t="str">
        <f t="shared" si="8"/>
        <v/>
      </c>
    </row>
    <row r="1982" ht="22.5" customHeight="1">
      <c r="B1982" s="13">
        <f t="shared" si="3"/>
        <v>1976</v>
      </c>
      <c r="C1982" s="15" t="str">
        <f t="array" ref="C1982">IFNA(_xlfn.XLOOKUP(B1982,Table_Respons_Loket[Count],Table_Respons_Loket[Nomor Tiket]),"")</f>
        <v/>
      </c>
      <c r="D1982" s="15" t="str">
        <f t="array" ref="D1982">IFNA(_xlfn.XLOOKUP(B1982,Table_Respons_Loket[Count],Table_Respons_Loket[Daftar Nomor Hak]),"")</f>
        <v/>
      </c>
      <c r="E1982" s="17" t="str">
        <f t="array" ref="E1982">IFNA(_xlfn.XLOOKUP(B1982,Table_Respons_Loket[Count],Table_Respons_Loket[Time Stamp]),"")</f>
        <v/>
      </c>
      <c r="F1982" s="18" t="str">
        <f t="array" ref="F1982">IFNA(_xlfn.XLOOKUP(B1982,Table_Respons_Loket[Count],Table_Respons_Loket[Jenis Permohonan]),"")</f>
        <v/>
      </c>
      <c r="G1982" s="24"/>
      <c r="H1982" s="24"/>
      <c r="I1982" s="22" t="str">
        <f t="shared" si="7"/>
        <v/>
      </c>
      <c r="J1982" s="20" t="b">
        <v>0</v>
      </c>
      <c r="K1982" s="13" t="str">
        <f t="shared" si="8"/>
        <v/>
      </c>
    </row>
    <row r="1983" ht="22.5" customHeight="1">
      <c r="B1983" s="13">
        <f t="shared" si="3"/>
        <v>1977</v>
      </c>
      <c r="C1983" s="15" t="str">
        <f t="array" ref="C1983">IFNA(_xlfn.XLOOKUP(B1983,Table_Respons_Loket[Count],Table_Respons_Loket[Nomor Tiket]),"")</f>
        <v/>
      </c>
      <c r="D1983" s="15" t="str">
        <f t="array" ref="D1983">IFNA(_xlfn.XLOOKUP(B1983,Table_Respons_Loket[Count],Table_Respons_Loket[Daftar Nomor Hak]),"")</f>
        <v/>
      </c>
      <c r="E1983" s="17" t="str">
        <f t="array" ref="E1983">IFNA(_xlfn.XLOOKUP(B1983,Table_Respons_Loket[Count],Table_Respons_Loket[Time Stamp]),"")</f>
        <v/>
      </c>
      <c r="F1983" s="18" t="str">
        <f t="array" ref="F1983">IFNA(_xlfn.XLOOKUP(B1983,Table_Respons_Loket[Count],Table_Respons_Loket[Jenis Permohonan]),"")</f>
        <v/>
      </c>
      <c r="G1983" s="24"/>
      <c r="H1983" s="24"/>
      <c r="I1983" s="22" t="str">
        <f t="shared" si="7"/>
        <v/>
      </c>
      <c r="J1983" s="20" t="b">
        <v>0</v>
      </c>
      <c r="K1983" s="13" t="str">
        <f t="shared" si="8"/>
        <v/>
      </c>
    </row>
    <row r="1984" ht="22.5" customHeight="1">
      <c r="B1984" s="13">
        <f t="shared" si="3"/>
        <v>1978</v>
      </c>
      <c r="C1984" s="15" t="str">
        <f t="array" ref="C1984">IFNA(_xlfn.XLOOKUP(B1984,Table_Respons_Loket[Count],Table_Respons_Loket[Nomor Tiket]),"")</f>
        <v/>
      </c>
      <c r="D1984" s="15" t="str">
        <f t="array" ref="D1984">IFNA(_xlfn.XLOOKUP(B1984,Table_Respons_Loket[Count],Table_Respons_Loket[Daftar Nomor Hak]),"")</f>
        <v/>
      </c>
      <c r="E1984" s="17" t="str">
        <f t="array" ref="E1984">IFNA(_xlfn.XLOOKUP(B1984,Table_Respons_Loket[Count],Table_Respons_Loket[Time Stamp]),"")</f>
        <v/>
      </c>
      <c r="F1984" s="18" t="str">
        <f t="array" ref="F1984">IFNA(_xlfn.XLOOKUP(B1984,Table_Respons_Loket[Count],Table_Respons_Loket[Jenis Permohonan]),"")</f>
        <v/>
      </c>
      <c r="G1984" s="24"/>
      <c r="H1984" s="24"/>
      <c r="I1984" s="22" t="str">
        <f t="shared" si="7"/>
        <v/>
      </c>
      <c r="J1984" s="20" t="b">
        <v>0</v>
      </c>
      <c r="K1984" s="13" t="str">
        <f t="shared" si="8"/>
        <v/>
      </c>
    </row>
    <row r="1985" ht="22.5" customHeight="1">
      <c r="B1985" s="13">
        <f t="shared" si="3"/>
        <v>1979</v>
      </c>
      <c r="C1985" s="15" t="str">
        <f t="array" ref="C1985">IFNA(_xlfn.XLOOKUP(B1985,Table_Respons_Loket[Count],Table_Respons_Loket[Nomor Tiket]),"")</f>
        <v/>
      </c>
      <c r="D1985" s="15" t="str">
        <f t="array" ref="D1985">IFNA(_xlfn.XLOOKUP(B1985,Table_Respons_Loket[Count],Table_Respons_Loket[Daftar Nomor Hak]),"")</f>
        <v/>
      </c>
      <c r="E1985" s="17" t="str">
        <f t="array" ref="E1985">IFNA(_xlfn.XLOOKUP(B1985,Table_Respons_Loket[Count],Table_Respons_Loket[Time Stamp]),"")</f>
        <v/>
      </c>
      <c r="F1985" s="18" t="str">
        <f t="array" ref="F1985">IFNA(_xlfn.XLOOKUP(B1985,Table_Respons_Loket[Count],Table_Respons_Loket[Jenis Permohonan]),"")</f>
        <v/>
      </c>
      <c r="G1985" s="24"/>
      <c r="H1985" s="24"/>
      <c r="I1985" s="22" t="str">
        <f t="shared" si="7"/>
        <v/>
      </c>
      <c r="J1985" s="20" t="b">
        <v>0</v>
      </c>
      <c r="K1985" s="13" t="str">
        <f t="shared" si="8"/>
        <v/>
      </c>
    </row>
    <row r="1986" ht="22.5" customHeight="1">
      <c r="B1986" s="13">
        <f t="shared" si="3"/>
        <v>1980</v>
      </c>
      <c r="C1986" s="15" t="str">
        <f t="array" ref="C1986">IFNA(_xlfn.XLOOKUP(B1986,Table_Respons_Loket[Count],Table_Respons_Loket[Nomor Tiket]),"")</f>
        <v/>
      </c>
      <c r="D1986" s="15" t="str">
        <f t="array" ref="D1986">IFNA(_xlfn.XLOOKUP(B1986,Table_Respons_Loket[Count],Table_Respons_Loket[Daftar Nomor Hak]),"")</f>
        <v/>
      </c>
      <c r="E1986" s="17" t="str">
        <f t="array" ref="E1986">IFNA(_xlfn.XLOOKUP(B1986,Table_Respons_Loket[Count],Table_Respons_Loket[Time Stamp]),"")</f>
        <v/>
      </c>
      <c r="F1986" s="18" t="str">
        <f t="array" ref="F1986">IFNA(_xlfn.XLOOKUP(B1986,Table_Respons_Loket[Count],Table_Respons_Loket[Jenis Permohonan]),"")</f>
        <v/>
      </c>
      <c r="G1986" s="24"/>
      <c r="H1986" s="24"/>
      <c r="I1986" s="22" t="str">
        <f t="shared" si="7"/>
        <v/>
      </c>
      <c r="J1986" s="20" t="b">
        <v>0</v>
      </c>
      <c r="K1986" s="13" t="str">
        <f t="shared" si="8"/>
        <v/>
      </c>
    </row>
    <row r="1987" ht="22.5" customHeight="1">
      <c r="B1987" s="13">
        <f t="shared" si="3"/>
        <v>1981</v>
      </c>
      <c r="C1987" s="15" t="str">
        <f t="array" ref="C1987">IFNA(_xlfn.XLOOKUP(B1987,Table_Respons_Loket[Count],Table_Respons_Loket[Nomor Tiket]),"")</f>
        <v/>
      </c>
      <c r="D1987" s="15" t="str">
        <f t="array" ref="D1987">IFNA(_xlfn.XLOOKUP(B1987,Table_Respons_Loket[Count],Table_Respons_Loket[Daftar Nomor Hak]),"")</f>
        <v/>
      </c>
      <c r="E1987" s="17" t="str">
        <f t="array" ref="E1987">IFNA(_xlfn.XLOOKUP(B1987,Table_Respons_Loket[Count],Table_Respons_Loket[Time Stamp]),"")</f>
        <v/>
      </c>
      <c r="F1987" s="18" t="str">
        <f t="array" ref="F1987">IFNA(_xlfn.XLOOKUP(B1987,Table_Respons_Loket[Count],Table_Respons_Loket[Jenis Permohonan]),"")</f>
        <v/>
      </c>
      <c r="G1987" s="24"/>
      <c r="H1987" s="24"/>
      <c r="I1987" s="22" t="str">
        <f t="shared" si="7"/>
        <v/>
      </c>
      <c r="J1987" s="20" t="b">
        <v>0</v>
      </c>
      <c r="K1987" s="13" t="str">
        <f t="shared" si="8"/>
        <v/>
      </c>
    </row>
    <row r="1988" ht="22.5" customHeight="1">
      <c r="B1988" s="13">
        <f t="shared" si="3"/>
        <v>1982</v>
      </c>
      <c r="C1988" s="15" t="str">
        <f t="array" ref="C1988">IFNA(_xlfn.XLOOKUP(B1988,Table_Respons_Loket[Count],Table_Respons_Loket[Nomor Tiket]),"")</f>
        <v/>
      </c>
      <c r="D1988" s="15" t="str">
        <f t="array" ref="D1988">IFNA(_xlfn.XLOOKUP(B1988,Table_Respons_Loket[Count],Table_Respons_Loket[Daftar Nomor Hak]),"")</f>
        <v/>
      </c>
      <c r="E1988" s="17" t="str">
        <f t="array" ref="E1988">IFNA(_xlfn.XLOOKUP(B1988,Table_Respons_Loket[Count],Table_Respons_Loket[Time Stamp]),"")</f>
        <v/>
      </c>
      <c r="F1988" s="18" t="str">
        <f t="array" ref="F1988">IFNA(_xlfn.XLOOKUP(B1988,Table_Respons_Loket[Count],Table_Respons_Loket[Jenis Permohonan]),"")</f>
        <v/>
      </c>
      <c r="G1988" s="24"/>
      <c r="H1988" s="24"/>
      <c r="I1988" s="22" t="str">
        <f t="shared" si="7"/>
        <v/>
      </c>
      <c r="J1988" s="20" t="b">
        <v>0</v>
      </c>
      <c r="K1988" s="13" t="str">
        <f t="shared" si="8"/>
        <v/>
      </c>
    </row>
    <row r="1989" ht="22.5" customHeight="1">
      <c r="B1989" s="13">
        <f t="shared" si="3"/>
        <v>1983</v>
      </c>
      <c r="C1989" s="15" t="str">
        <f t="array" ref="C1989">IFNA(_xlfn.XLOOKUP(B1989,Table_Respons_Loket[Count],Table_Respons_Loket[Nomor Tiket]),"")</f>
        <v/>
      </c>
      <c r="D1989" s="15" t="str">
        <f t="array" ref="D1989">IFNA(_xlfn.XLOOKUP(B1989,Table_Respons_Loket[Count],Table_Respons_Loket[Daftar Nomor Hak]),"")</f>
        <v/>
      </c>
      <c r="E1989" s="17" t="str">
        <f t="array" ref="E1989">IFNA(_xlfn.XLOOKUP(B1989,Table_Respons_Loket[Count],Table_Respons_Loket[Time Stamp]),"")</f>
        <v/>
      </c>
      <c r="F1989" s="18" t="str">
        <f t="array" ref="F1989">IFNA(_xlfn.XLOOKUP(B1989,Table_Respons_Loket[Count],Table_Respons_Loket[Jenis Permohonan]),"")</f>
        <v/>
      </c>
      <c r="G1989" s="24"/>
      <c r="H1989" s="24"/>
      <c r="I1989" s="22" t="str">
        <f t="shared" si="7"/>
        <v/>
      </c>
      <c r="J1989" s="20" t="b">
        <v>0</v>
      </c>
      <c r="K1989" s="13" t="str">
        <f t="shared" si="8"/>
        <v/>
      </c>
    </row>
    <row r="1990" ht="22.5" customHeight="1">
      <c r="B1990" s="13">
        <f t="shared" si="3"/>
        <v>1984</v>
      </c>
      <c r="C1990" s="15" t="str">
        <f t="array" ref="C1990">IFNA(_xlfn.XLOOKUP(B1990,Table_Respons_Loket[Count],Table_Respons_Loket[Nomor Tiket]),"")</f>
        <v/>
      </c>
      <c r="D1990" s="15" t="str">
        <f t="array" ref="D1990">IFNA(_xlfn.XLOOKUP(B1990,Table_Respons_Loket[Count],Table_Respons_Loket[Daftar Nomor Hak]),"")</f>
        <v/>
      </c>
      <c r="E1990" s="17" t="str">
        <f t="array" ref="E1990">IFNA(_xlfn.XLOOKUP(B1990,Table_Respons_Loket[Count],Table_Respons_Loket[Time Stamp]),"")</f>
        <v/>
      </c>
      <c r="F1990" s="18" t="str">
        <f t="array" ref="F1990">IFNA(_xlfn.XLOOKUP(B1990,Table_Respons_Loket[Count],Table_Respons_Loket[Jenis Permohonan]),"")</f>
        <v/>
      </c>
      <c r="G1990" s="24"/>
      <c r="H1990" s="24"/>
      <c r="I1990" s="22" t="str">
        <f t="shared" si="7"/>
        <v/>
      </c>
      <c r="J1990" s="20" t="b">
        <v>0</v>
      </c>
      <c r="K1990" s="13" t="str">
        <f t="shared" si="8"/>
        <v/>
      </c>
    </row>
    <row r="1991" ht="22.5" customHeight="1">
      <c r="B1991" s="13">
        <f t="shared" si="3"/>
        <v>1985</v>
      </c>
      <c r="C1991" s="15" t="str">
        <f t="array" ref="C1991">IFNA(_xlfn.XLOOKUP(B1991,Table_Respons_Loket[Count],Table_Respons_Loket[Nomor Tiket]),"")</f>
        <v/>
      </c>
      <c r="D1991" s="15" t="str">
        <f t="array" ref="D1991">IFNA(_xlfn.XLOOKUP(B1991,Table_Respons_Loket[Count],Table_Respons_Loket[Daftar Nomor Hak]),"")</f>
        <v/>
      </c>
      <c r="E1991" s="17" t="str">
        <f t="array" ref="E1991">IFNA(_xlfn.XLOOKUP(B1991,Table_Respons_Loket[Count],Table_Respons_Loket[Time Stamp]),"")</f>
        <v/>
      </c>
      <c r="F1991" s="18" t="str">
        <f t="array" ref="F1991">IFNA(_xlfn.XLOOKUP(B1991,Table_Respons_Loket[Count],Table_Respons_Loket[Jenis Permohonan]),"")</f>
        <v/>
      </c>
      <c r="G1991" s="24"/>
      <c r="H1991" s="24"/>
      <c r="I1991" s="22" t="str">
        <f t="shared" si="7"/>
        <v/>
      </c>
      <c r="J1991" s="20" t="b">
        <v>0</v>
      </c>
      <c r="K1991" s="13" t="str">
        <f t="shared" si="8"/>
        <v/>
      </c>
    </row>
    <row r="1992" ht="22.5" customHeight="1">
      <c r="B1992" s="13">
        <f t="shared" si="3"/>
        <v>1986</v>
      </c>
      <c r="C1992" s="15" t="str">
        <f t="array" ref="C1992">IFNA(_xlfn.XLOOKUP(B1992,Table_Respons_Loket[Count],Table_Respons_Loket[Nomor Tiket]),"")</f>
        <v/>
      </c>
      <c r="D1992" s="15" t="str">
        <f t="array" ref="D1992">IFNA(_xlfn.XLOOKUP(B1992,Table_Respons_Loket[Count],Table_Respons_Loket[Daftar Nomor Hak]),"")</f>
        <v/>
      </c>
      <c r="E1992" s="17" t="str">
        <f t="array" ref="E1992">IFNA(_xlfn.XLOOKUP(B1992,Table_Respons_Loket[Count],Table_Respons_Loket[Time Stamp]),"")</f>
        <v/>
      </c>
      <c r="F1992" s="18" t="str">
        <f t="array" ref="F1992">IFNA(_xlfn.XLOOKUP(B1992,Table_Respons_Loket[Count],Table_Respons_Loket[Jenis Permohonan]),"")</f>
        <v/>
      </c>
      <c r="G1992" s="24"/>
      <c r="H1992" s="24"/>
      <c r="I1992" s="22" t="str">
        <f t="shared" si="7"/>
        <v/>
      </c>
      <c r="J1992" s="20" t="b">
        <v>0</v>
      </c>
      <c r="K1992" s="13" t="str">
        <f t="shared" si="8"/>
        <v/>
      </c>
    </row>
    <row r="1993" ht="22.5" customHeight="1">
      <c r="B1993" s="13">
        <f t="shared" si="3"/>
        <v>1987</v>
      </c>
      <c r="C1993" s="15" t="str">
        <f t="array" ref="C1993">IFNA(_xlfn.XLOOKUP(B1993,Table_Respons_Loket[Count],Table_Respons_Loket[Nomor Tiket]),"")</f>
        <v/>
      </c>
      <c r="D1993" s="15" t="str">
        <f t="array" ref="D1993">IFNA(_xlfn.XLOOKUP(B1993,Table_Respons_Loket[Count],Table_Respons_Loket[Daftar Nomor Hak]),"")</f>
        <v/>
      </c>
      <c r="E1993" s="17" t="str">
        <f t="array" ref="E1993">IFNA(_xlfn.XLOOKUP(B1993,Table_Respons_Loket[Count],Table_Respons_Loket[Time Stamp]),"")</f>
        <v/>
      </c>
      <c r="F1993" s="18" t="str">
        <f t="array" ref="F1993">IFNA(_xlfn.XLOOKUP(B1993,Table_Respons_Loket[Count],Table_Respons_Loket[Jenis Permohonan]),"")</f>
        <v/>
      </c>
      <c r="G1993" s="24"/>
      <c r="H1993" s="24"/>
      <c r="I1993" s="22" t="str">
        <f t="shared" si="7"/>
        <v/>
      </c>
      <c r="J1993" s="20" t="b">
        <v>0</v>
      </c>
      <c r="K1993" s="13" t="str">
        <f t="shared" si="8"/>
        <v/>
      </c>
    </row>
    <row r="1994" ht="22.5" customHeight="1">
      <c r="B1994" s="13">
        <f t="shared" si="3"/>
        <v>1988</v>
      </c>
      <c r="C1994" s="15" t="str">
        <f t="array" ref="C1994">IFNA(_xlfn.XLOOKUP(B1994,Table_Respons_Loket[Count],Table_Respons_Loket[Nomor Tiket]),"")</f>
        <v/>
      </c>
      <c r="D1994" s="15" t="str">
        <f t="array" ref="D1994">IFNA(_xlfn.XLOOKUP(B1994,Table_Respons_Loket[Count],Table_Respons_Loket[Daftar Nomor Hak]),"")</f>
        <v/>
      </c>
      <c r="E1994" s="17" t="str">
        <f t="array" ref="E1994">IFNA(_xlfn.XLOOKUP(B1994,Table_Respons_Loket[Count],Table_Respons_Loket[Time Stamp]),"")</f>
        <v/>
      </c>
      <c r="F1994" s="18" t="str">
        <f t="array" ref="F1994">IFNA(_xlfn.XLOOKUP(B1994,Table_Respons_Loket[Count],Table_Respons_Loket[Jenis Permohonan]),"")</f>
        <v/>
      </c>
      <c r="G1994" s="24"/>
      <c r="H1994" s="24"/>
      <c r="I1994" s="22" t="str">
        <f t="shared" si="7"/>
        <v/>
      </c>
      <c r="J1994" s="20" t="b">
        <v>0</v>
      </c>
      <c r="K1994" s="13" t="str">
        <f t="shared" si="8"/>
        <v/>
      </c>
    </row>
    <row r="1995" ht="22.5" customHeight="1">
      <c r="B1995" s="13">
        <f t="shared" si="3"/>
        <v>1989</v>
      </c>
      <c r="C1995" s="15" t="str">
        <f t="array" ref="C1995">IFNA(_xlfn.XLOOKUP(B1995,Table_Respons_Loket[Count],Table_Respons_Loket[Nomor Tiket]),"")</f>
        <v/>
      </c>
      <c r="D1995" s="15" t="str">
        <f t="array" ref="D1995">IFNA(_xlfn.XLOOKUP(B1995,Table_Respons_Loket[Count],Table_Respons_Loket[Daftar Nomor Hak]),"")</f>
        <v/>
      </c>
      <c r="E1995" s="17" t="str">
        <f t="array" ref="E1995">IFNA(_xlfn.XLOOKUP(B1995,Table_Respons_Loket[Count],Table_Respons_Loket[Time Stamp]),"")</f>
        <v/>
      </c>
      <c r="F1995" s="18" t="str">
        <f t="array" ref="F1995">IFNA(_xlfn.XLOOKUP(B1995,Table_Respons_Loket[Count],Table_Respons_Loket[Jenis Permohonan]),"")</f>
        <v/>
      </c>
      <c r="G1995" s="24"/>
      <c r="H1995" s="24"/>
      <c r="I1995" s="22" t="str">
        <f t="shared" si="7"/>
        <v/>
      </c>
      <c r="J1995" s="20" t="b">
        <v>0</v>
      </c>
      <c r="K1995" s="13" t="str">
        <f t="shared" si="8"/>
        <v/>
      </c>
    </row>
    <row r="1996" ht="22.5" customHeight="1">
      <c r="B1996" s="13">
        <f t="shared" si="3"/>
        <v>1990</v>
      </c>
      <c r="C1996" s="15" t="str">
        <f t="array" ref="C1996">IFNA(_xlfn.XLOOKUP(B1996,Table_Respons_Loket[Count],Table_Respons_Loket[Nomor Tiket]),"")</f>
        <v/>
      </c>
      <c r="D1996" s="15" t="str">
        <f t="array" ref="D1996">IFNA(_xlfn.XLOOKUP(B1996,Table_Respons_Loket[Count],Table_Respons_Loket[Daftar Nomor Hak]),"")</f>
        <v/>
      </c>
      <c r="E1996" s="17" t="str">
        <f t="array" ref="E1996">IFNA(_xlfn.XLOOKUP(B1996,Table_Respons_Loket[Count],Table_Respons_Loket[Time Stamp]),"")</f>
        <v/>
      </c>
      <c r="F1996" s="18" t="str">
        <f t="array" ref="F1996">IFNA(_xlfn.XLOOKUP(B1996,Table_Respons_Loket[Count],Table_Respons_Loket[Jenis Permohonan]),"")</f>
        <v/>
      </c>
      <c r="G1996" s="24"/>
      <c r="H1996" s="24"/>
      <c r="I1996" s="22" t="str">
        <f t="shared" si="7"/>
        <v/>
      </c>
      <c r="J1996" s="20" t="b">
        <v>0</v>
      </c>
      <c r="K1996" s="13" t="str">
        <f t="shared" si="8"/>
        <v/>
      </c>
    </row>
    <row r="1997" ht="22.5" customHeight="1">
      <c r="B1997" s="13">
        <f t="shared" si="3"/>
        <v>1991</v>
      </c>
      <c r="C1997" s="15" t="str">
        <f t="array" ref="C1997">IFNA(_xlfn.XLOOKUP(B1997,Table_Respons_Loket[Count],Table_Respons_Loket[Nomor Tiket]),"")</f>
        <v/>
      </c>
      <c r="D1997" s="15" t="str">
        <f t="array" ref="D1997">IFNA(_xlfn.XLOOKUP(B1997,Table_Respons_Loket[Count],Table_Respons_Loket[Daftar Nomor Hak]),"")</f>
        <v/>
      </c>
      <c r="E1997" s="17" t="str">
        <f t="array" ref="E1997">IFNA(_xlfn.XLOOKUP(B1997,Table_Respons_Loket[Count],Table_Respons_Loket[Time Stamp]),"")</f>
        <v/>
      </c>
      <c r="F1997" s="18" t="str">
        <f t="array" ref="F1997">IFNA(_xlfn.XLOOKUP(B1997,Table_Respons_Loket[Count],Table_Respons_Loket[Jenis Permohonan]),"")</f>
        <v/>
      </c>
      <c r="G1997" s="24"/>
      <c r="H1997" s="24"/>
      <c r="I1997" s="22" t="str">
        <f t="shared" si="7"/>
        <v/>
      </c>
      <c r="J1997" s="20" t="b">
        <v>0</v>
      </c>
      <c r="K1997" s="13" t="str">
        <f t="shared" si="8"/>
        <v/>
      </c>
    </row>
    <row r="1998" ht="22.5" customHeight="1">
      <c r="B1998" s="13">
        <f t="shared" si="3"/>
        <v>1992</v>
      </c>
      <c r="C1998" s="15" t="str">
        <f t="array" ref="C1998">IFNA(_xlfn.XLOOKUP(B1998,Table_Respons_Loket[Count],Table_Respons_Loket[Nomor Tiket]),"")</f>
        <v/>
      </c>
      <c r="D1998" s="15" t="str">
        <f t="array" ref="D1998">IFNA(_xlfn.XLOOKUP(B1998,Table_Respons_Loket[Count],Table_Respons_Loket[Daftar Nomor Hak]),"")</f>
        <v/>
      </c>
      <c r="E1998" s="17" t="str">
        <f t="array" ref="E1998">IFNA(_xlfn.XLOOKUP(B1998,Table_Respons_Loket[Count],Table_Respons_Loket[Time Stamp]),"")</f>
        <v/>
      </c>
      <c r="F1998" s="18" t="str">
        <f t="array" ref="F1998">IFNA(_xlfn.XLOOKUP(B1998,Table_Respons_Loket[Count],Table_Respons_Loket[Jenis Permohonan]),"")</f>
        <v/>
      </c>
      <c r="G1998" s="24"/>
      <c r="H1998" s="24"/>
      <c r="I1998" s="22" t="str">
        <f t="shared" si="7"/>
        <v/>
      </c>
      <c r="J1998" s="20" t="b">
        <v>0</v>
      </c>
      <c r="K1998" s="13" t="str">
        <f t="shared" si="8"/>
        <v/>
      </c>
    </row>
    <row r="1999" ht="22.5" customHeight="1">
      <c r="B1999" s="13">
        <f t="shared" si="3"/>
        <v>1993</v>
      </c>
      <c r="C1999" s="15" t="str">
        <f t="array" ref="C1999">IFNA(_xlfn.XLOOKUP(B1999,Table_Respons_Loket[Count],Table_Respons_Loket[Nomor Tiket]),"")</f>
        <v/>
      </c>
      <c r="D1999" s="15" t="str">
        <f t="array" ref="D1999">IFNA(_xlfn.XLOOKUP(B1999,Table_Respons_Loket[Count],Table_Respons_Loket[Daftar Nomor Hak]),"")</f>
        <v/>
      </c>
      <c r="E1999" s="17" t="str">
        <f t="array" ref="E1999">IFNA(_xlfn.XLOOKUP(B1999,Table_Respons_Loket[Count],Table_Respons_Loket[Time Stamp]),"")</f>
        <v/>
      </c>
      <c r="F1999" s="18" t="str">
        <f t="array" ref="F1999">IFNA(_xlfn.XLOOKUP(B1999,Table_Respons_Loket[Count],Table_Respons_Loket[Jenis Permohonan]),"")</f>
        <v/>
      </c>
      <c r="G1999" s="24"/>
      <c r="H1999" s="24"/>
      <c r="I1999" s="22" t="str">
        <f t="shared" si="7"/>
        <v/>
      </c>
      <c r="J1999" s="20" t="b">
        <v>0</v>
      </c>
      <c r="K1999" s="13" t="str">
        <f t="shared" si="8"/>
        <v/>
      </c>
    </row>
    <row r="2000" ht="22.5" customHeight="1">
      <c r="B2000" s="13">
        <f t="shared" si="3"/>
        <v>1994</v>
      </c>
      <c r="C2000" s="15" t="str">
        <f t="array" ref="C2000">IFNA(_xlfn.XLOOKUP(B2000,Table_Respons_Loket[Count],Table_Respons_Loket[Nomor Tiket]),"")</f>
        <v/>
      </c>
      <c r="D2000" s="15" t="str">
        <f t="array" ref="D2000">IFNA(_xlfn.XLOOKUP(B2000,Table_Respons_Loket[Count],Table_Respons_Loket[Daftar Nomor Hak]),"")</f>
        <v/>
      </c>
      <c r="E2000" s="17" t="str">
        <f t="array" ref="E2000">IFNA(_xlfn.XLOOKUP(B2000,Table_Respons_Loket[Count],Table_Respons_Loket[Time Stamp]),"")</f>
        <v/>
      </c>
      <c r="F2000" s="18" t="str">
        <f t="array" ref="F2000">IFNA(_xlfn.XLOOKUP(B2000,Table_Respons_Loket[Count],Table_Respons_Loket[Jenis Permohonan]),"")</f>
        <v/>
      </c>
      <c r="G2000" s="24"/>
      <c r="H2000" s="24"/>
      <c r="I2000" s="22" t="str">
        <f t="shared" si="7"/>
        <v/>
      </c>
      <c r="J2000" s="20" t="b">
        <v>0</v>
      </c>
      <c r="K2000" s="13" t="str">
        <f t="shared" si="8"/>
        <v/>
      </c>
    </row>
    <row r="2001" ht="22.5" customHeight="1">
      <c r="B2001" s="13">
        <f t="shared" si="3"/>
        <v>1995</v>
      </c>
      <c r="C2001" s="15" t="str">
        <f t="array" ref="C2001">IFNA(_xlfn.XLOOKUP(B2001,Table_Respons_Loket[Count],Table_Respons_Loket[Nomor Tiket]),"")</f>
        <v/>
      </c>
      <c r="D2001" s="15" t="str">
        <f t="array" ref="D2001">IFNA(_xlfn.XLOOKUP(B2001,Table_Respons_Loket[Count],Table_Respons_Loket[Daftar Nomor Hak]),"")</f>
        <v/>
      </c>
      <c r="E2001" s="17" t="str">
        <f t="array" ref="E2001">IFNA(_xlfn.XLOOKUP(B2001,Table_Respons_Loket[Count],Table_Respons_Loket[Time Stamp]),"")</f>
        <v/>
      </c>
      <c r="F2001" s="18" t="str">
        <f t="array" ref="F2001">IFNA(_xlfn.XLOOKUP(B2001,Table_Respons_Loket[Count],Table_Respons_Loket[Jenis Permohonan]),"")</f>
        <v/>
      </c>
      <c r="G2001" s="24"/>
      <c r="H2001" s="24"/>
      <c r="I2001" s="22" t="str">
        <f t="shared" si="7"/>
        <v/>
      </c>
      <c r="J2001" s="20" t="b">
        <v>0</v>
      </c>
      <c r="K2001" s="13" t="str">
        <f t="shared" si="8"/>
        <v/>
      </c>
    </row>
    <row r="2002" ht="22.5" customHeight="1">
      <c r="B2002" s="13">
        <f t="shared" si="3"/>
        <v>1996</v>
      </c>
      <c r="C2002" s="15" t="str">
        <f t="array" ref="C2002">IFNA(_xlfn.XLOOKUP(B2002,Table_Respons_Loket[Count],Table_Respons_Loket[Nomor Tiket]),"")</f>
        <v/>
      </c>
      <c r="D2002" s="15" t="str">
        <f t="array" ref="D2002">IFNA(_xlfn.XLOOKUP(B2002,Table_Respons_Loket[Count],Table_Respons_Loket[Daftar Nomor Hak]),"")</f>
        <v/>
      </c>
      <c r="E2002" s="17" t="str">
        <f t="array" ref="E2002">IFNA(_xlfn.XLOOKUP(B2002,Table_Respons_Loket[Count],Table_Respons_Loket[Time Stamp]),"")</f>
        <v/>
      </c>
      <c r="F2002" s="18" t="str">
        <f t="array" ref="F2002">IFNA(_xlfn.XLOOKUP(B2002,Table_Respons_Loket[Count],Table_Respons_Loket[Jenis Permohonan]),"")</f>
        <v/>
      </c>
      <c r="G2002" s="24"/>
      <c r="H2002" s="24"/>
      <c r="I2002" s="22" t="str">
        <f t="shared" si="7"/>
        <v/>
      </c>
      <c r="J2002" s="20" t="b">
        <v>0</v>
      </c>
      <c r="K2002" s="13" t="str">
        <f t="shared" si="8"/>
        <v/>
      </c>
    </row>
    <row r="2003" ht="22.5" customHeight="1">
      <c r="B2003" s="13">
        <f t="shared" si="3"/>
        <v>1997</v>
      </c>
      <c r="C2003" s="15" t="str">
        <f t="array" ref="C2003">IFNA(_xlfn.XLOOKUP(B2003,Table_Respons_Loket[Count],Table_Respons_Loket[Nomor Tiket]),"")</f>
        <v/>
      </c>
      <c r="D2003" s="15" t="str">
        <f t="array" ref="D2003">IFNA(_xlfn.XLOOKUP(B2003,Table_Respons_Loket[Count],Table_Respons_Loket[Daftar Nomor Hak]),"")</f>
        <v/>
      </c>
      <c r="E2003" s="17" t="str">
        <f t="array" ref="E2003">IFNA(_xlfn.XLOOKUP(B2003,Table_Respons_Loket[Count],Table_Respons_Loket[Time Stamp]),"")</f>
        <v/>
      </c>
      <c r="F2003" s="18" t="str">
        <f t="array" ref="F2003">IFNA(_xlfn.XLOOKUP(B2003,Table_Respons_Loket[Count],Table_Respons_Loket[Jenis Permohonan]),"")</f>
        <v/>
      </c>
      <c r="G2003" s="24"/>
      <c r="H2003" s="24"/>
      <c r="I2003" s="22" t="str">
        <f t="shared" si="7"/>
        <v/>
      </c>
      <c r="J2003" s="20" t="b">
        <v>0</v>
      </c>
      <c r="K2003" s="13" t="str">
        <f t="shared" si="8"/>
        <v/>
      </c>
    </row>
    <row r="2004" ht="22.5" customHeight="1">
      <c r="B2004" s="13">
        <f t="shared" si="3"/>
        <v>1998</v>
      </c>
      <c r="C2004" s="15" t="str">
        <f t="array" ref="C2004">IFNA(_xlfn.XLOOKUP(B2004,Table_Respons_Loket[Count],Table_Respons_Loket[Nomor Tiket]),"")</f>
        <v/>
      </c>
      <c r="D2004" s="15" t="str">
        <f t="array" ref="D2004">IFNA(_xlfn.XLOOKUP(B2004,Table_Respons_Loket[Count],Table_Respons_Loket[Daftar Nomor Hak]),"")</f>
        <v/>
      </c>
      <c r="E2004" s="17" t="str">
        <f t="array" ref="E2004">IFNA(_xlfn.XLOOKUP(B2004,Table_Respons_Loket[Count],Table_Respons_Loket[Time Stamp]),"")</f>
        <v/>
      </c>
      <c r="F2004" s="18" t="str">
        <f t="array" ref="F2004">IFNA(_xlfn.XLOOKUP(B2004,Table_Respons_Loket[Count],Table_Respons_Loket[Jenis Permohonan]),"")</f>
        <v/>
      </c>
      <c r="G2004" s="24"/>
      <c r="H2004" s="24"/>
      <c r="I2004" s="22" t="str">
        <f t="shared" si="7"/>
        <v/>
      </c>
      <c r="J2004" s="20" t="b">
        <v>0</v>
      </c>
      <c r="K2004" s="13" t="str">
        <f t="shared" si="8"/>
        <v/>
      </c>
    </row>
    <row r="2005" ht="22.5" customHeight="1">
      <c r="B2005" s="13">
        <f t="shared" si="3"/>
        <v>1999</v>
      </c>
      <c r="C2005" s="15" t="str">
        <f t="array" ref="C2005">IFNA(_xlfn.XLOOKUP(B2005,Table_Respons_Loket[Count],Table_Respons_Loket[Nomor Tiket]),"")</f>
        <v/>
      </c>
      <c r="D2005" s="15" t="str">
        <f t="array" ref="D2005">IFNA(_xlfn.XLOOKUP(B2005,Table_Respons_Loket[Count],Table_Respons_Loket[Daftar Nomor Hak]),"")</f>
        <v/>
      </c>
      <c r="E2005" s="17" t="str">
        <f t="array" ref="E2005">IFNA(_xlfn.XLOOKUP(B2005,Table_Respons_Loket[Count],Table_Respons_Loket[Time Stamp]),"")</f>
        <v/>
      </c>
      <c r="F2005" s="18" t="str">
        <f t="array" ref="F2005">IFNA(_xlfn.XLOOKUP(B2005,Table_Respons_Loket[Count],Table_Respons_Loket[Jenis Permohonan]),"")</f>
        <v/>
      </c>
      <c r="G2005" s="24"/>
      <c r="H2005" s="24"/>
      <c r="I2005" s="22" t="str">
        <f t="shared" si="7"/>
        <v/>
      </c>
      <c r="J2005" s="20" t="b">
        <v>0</v>
      </c>
      <c r="K2005" s="13" t="str">
        <f t="shared" si="8"/>
        <v/>
      </c>
    </row>
    <row r="2006" ht="22.5" customHeight="1">
      <c r="B2006" s="13">
        <f t="shared" si="3"/>
        <v>2000</v>
      </c>
      <c r="C2006" s="15" t="str">
        <f t="array" ref="C2006">IFNA(_xlfn.XLOOKUP(B2006,Table_Respons_Loket[Count],Table_Respons_Loket[Nomor Tiket]),"")</f>
        <v/>
      </c>
      <c r="D2006" s="15" t="str">
        <f t="array" ref="D2006">IFNA(_xlfn.XLOOKUP(B2006,Table_Respons_Loket[Count],Table_Respons_Loket[Daftar Nomor Hak]),"")</f>
        <v/>
      </c>
      <c r="E2006" s="17" t="str">
        <f t="array" ref="E2006">IFNA(_xlfn.XLOOKUP(B2006,Table_Respons_Loket[Count],Table_Respons_Loket[Time Stamp]),"")</f>
        <v/>
      </c>
      <c r="F2006" s="18" t="str">
        <f t="array" ref="F2006">IFNA(_xlfn.XLOOKUP(B2006,Table_Respons_Loket[Count],Table_Respons_Loket[Jenis Permohonan]),"")</f>
        <v/>
      </c>
      <c r="G2006" s="24"/>
      <c r="H2006" s="24"/>
      <c r="I2006" s="22" t="str">
        <f t="shared" si="7"/>
        <v/>
      </c>
      <c r="J2006" s="20" t="b">
        <v>0</v>
      </c>
      <c r="K2006" s="13" t="str">
        <f t="shared" si="8"/>
        <v/>
      </c>
    </row>
  </sheetData>
  <dataValidations>
    <dataValidation type="list" allowBlank="1" sqref="H7:H2006">
      <formula1>"DISERAHKAN,TIDAK DITEMUKAN,PROSES,DISERAHKAN BT,DISERAHKAN SU"</formula1>
    </dataValidation>
    <dataValidation type="custom" allowBlank="1" showDropDown="1" sqref="I7:I2006">
      <formula1>OR(NOT(ISERROR(DATEVALUE(I7))), AND(ISNUMBER(I7), LEFT(CELL("format", I7))="D"))</formula1>
    </dataValidation>
    <dataValidation type="list" allowBlank="1" sqref="G7:G2006">
      <formula1>"Alfiansyah,Pras,Berry,Bayu,David,Rahma,Sahelia"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63"/>
    <col customWidth="1" min="2" max="2" width="8.13"/>
    <col customWidth="1" min="3" max="3" width="24.13"/>
    <col customWidth="1" min="4" max="4" width="21.13"/>
    <col customWidth="1" min="5" max="6" width="17.13"/>
    <col customWidth="1" min="7" max="7" width="16.75"/>
    <col customWidth="1" min="8" max="8" width="28.88"/>
    <col customWidth="1" min="9" max="10" width="16.63"/>
    <col customWidth="1" min="12" max="12" width="13.38"/>
    <col customWidth="1" min="13" max="13" width="15.0"/>
  </cols>
  <sheetData>
    <row r="4">
      <c r="B4" s="2" t="s">
        <v>1</v>
      </c>
    </row>
    <row r="5">
      <c r="B5" s="2" t="s">
        <v>3</v>
      </c>
    </row>
    <row r="7" ht="22.5" customHeight="1">
      <c r="B7" s="4" t="s">
        <v>5</v>
      </c>
      <c r="C7" s="5" t="s">
        <v>6</v>
      </c>
      <c r="D7" s="4" t="s">
        <v>8</v>
      </c>
      <c r="E7" s="5" t="s">
        <v>10</v>
      </c>
      <c r="F7" s="5" t="s">
        <v>12</v>
      </c>
      <c r="G7" s="4" t="s">
        <v>14</v>
      </c>
      <c r="H7" s="4" t="s">
        <v>15</v>
      </c>
      <c r="I7" s="6" t="s">
        <v>16</v>
      </c>
      <c r="J7" s="6" t="s">
        <v>18</v>
      </c>
      <c r="K7" s="6" t="s">
        <v>21</v>
      </c>
      <c r="L7" s="6" t="s">
        <v>23</v>
      </c>
      <c r="M7" s="10" t="s">
        <v>24</v>
      </c>
    </row>
    <row r="8" ht="22.5" customHeight="1">
      <c r="B8" s="11">
        <v>1.0</v>
      </c>
      <c r="C8" s="12" t="s">
        <v>27</v>
      </c>
      <c r="D8" s="14" t="str">
        <f t="array" ref="D8">IF(C8="","",IFNA(_xlfn.XLOOKUP(C8,'a 01'!$C$6:$C$999,'a 01'!$D$6:$D$999),""))</f>
        <v>K/42/151024/3</v>
      </c>
      <c r="E8" s="18" t="str">
        <f t="array" ref="E8">_xlfn.XLOOKUP(D8,Table_Warkah[Kode Tiket],Table_Warkah[Jenis Permohonan],"")</f>
        <v>BN Kewarisan</v>
      </c>
      <c r="F8" s="12" t="s">
        <v>42</v>
      </c>
      <c r="G8" s="12" t="s">
        <v>43</v>
      </c>
      <c r="H8" s="17">
        <f t="shared" ref="H8:H1000" si="1">IF(G8="Dikembalikan Sementara",IF(H8&lt;&gt;"",H8,NOW()),"")</f>
        <v>45582.6481</v>
      </c>
      <c r="I8" s="11"/>
      <c r="J8" s="20" t="b">
        <v>1</v>
      </c>
      <c r="K8" s="17">
        <f t="shared" ref="K8:K1000" si="2">IF(J8=TRUE,IF(K8&lt;&gt;"",K8,NOW()),"")</f>
        <v>45582.64821</v>
      </c>
      <c r="L8" s="11" t="s">
        <v>44</v>
      </c>
      <c r="M8" s="21" t="s">
        <v>45</v>
      </c>
    </row>
    <row r="9" ht="22.5" customHeight="1">
      <c r="B9" s="13">
        <f t="shared" ref="B9:B1000" si="3">B8+1</f>
        <v>2</v>
      </c>
      <c r="C9" s="12" t="s">
        <v>46</v>
      </c>
      <c r="D9" s="14" t="str">
        <f t="array" ref="D9">IF(C9="","",IFNA(_xlfn.XLOOKUP(C9,'a 01'!$C$6:$C$999,'a 01'!$D$6:$D$999),""))</f>
        <v/>
      </c>
      <c r="E9" s="18" t="str">
        <f t="array" ref="E9">_xlfn.XLOOKUP(D9,Table_Warkah[Kode Tiket],Table_Warkah[Jenis Permohonan],"")</f>
        <v/>
      </c>
      <c r="F9" s="12" t="s">
        <v>48</v>
      </c>
      <c r="G9" s="12" t="s">
        <v>43</v>
      </c>
      <c r="H9" s="17">
        <f t="shared" si="1"/>
        <v>45583.4428</v>
      </c>
      <c r="I9" s="11"/>
      <c r="J9" s="20" t="b">
        <v>1</v>
      </c>
      <c r="K9" s="17">
        <f t="shared" si="2"/>
        <v>45587.62697</v>
      </c>
      <c r="L9" s="11" t="s">
        <v>49</v>
      </c>
      <c r="M9" s="21" t="s">
        <v>45</v>
      </c>
    </row>
    <row r="10" ht="22.5" customHeight="1">
      <c r="B10" s="13">
        <f t="shared" si="3"/>
        <v>3</v>
      </c>
      <c r="C10" s="12" t="s">
        <v>51</v>
      </c>
      <c r="D10" s="14" t="str">
        <f t="array" ref="D10">IF(C10="","",IFNA(_xlfn.XLOOKUP(C10,'a 01'!$C$6:$C$999,'a 01'!$D$6:$D$999),""))</f>
        <v/>
      </c>
      <c r="E10" s="18" t="str">
        <f t="array" ref="E10">_xlfn.XLOOKUP(D10,Table_Warkah[Kode Tiket],Table_Warkah[Jenis Permohonan],"")</f>
        <v/>
      </c>
      <c r="F10" s="12" t="s">
        <v>48</v>
      </c>
      <c r="G10" s="12" t="s">
        <v>43</v>
      </c>
      <c r="H10" s="17">
        <f t="shared" si="1"/>
        <v>45583.4428</v>
      </c>
      <c r="I10" s="11"/>
      <c r="J10" s="20" t="b">
        <v>0</v>
      </c>
      <c r="K10" s="13" t="str">
        <f t="shared" si="2"/>
        <v/>
      </c>
      <c r="L10" s="13"/>
      <c r="M10" s="21" t="s">
        <v>45</v>
      </c>
    </row>
    <row r="11" ht="22.5" customHeight="1">
      <c r="B11" s="13">
        <f t="shared" si="3"/>
        <v>4</v>
      </c>
      <c r="C11" s="12" t="s">
        <v>53</v>
      </c>
      <c r="D11" s="14" t="str">
        <f t="array" ref="D11">IF(C11="","",IFNA(_xlfn.XLOOKUP(C11,'a 01'!$C$6:$C$999,'a 01'!$D$6:$D$999),""))</f>
        <v/>
      </c>
      <c r="E11" s="18" t="str">
        <f t="array" ref="E11">_xlfn.XLOOKUP(D11,Table_Warkah[Kode Tiket],Table_Warkah[Jenis Permohonan],"")</f>
        <v/>
      </c>
      <c r="F11" s="12" t="s">
        <v>48</v>
      </c>
      <c r="G11" s="12" t="s">
        <v>43</v>
      </c>
      <c r="H11" s="17">
        <f t="shared" si="1"/>
        <v>45583.4428</v>
      </c>
      <c r="I11" s="18"/>
      <c r="J11" s="20" t="b">
        <v>1</v>
      </c>
      <c r="K11" s="17">
        <f t="shared" si="2"/>
        <v>45593.44838</v>
      </c>
      <c r="L11" s="11" t="s">
        <v>54</v>
      </c>
      <c r="M11" s="21" t="s">
        <v>45</v>
      </c>
    </row>
    <row r="12" ht="22.5" customHeight="1">
      <c r="B12" s="13">
        <f t="shared" si="3"/>
        <v>5</v>
      </c>
      <c r="C12" s="12" t="s">
        <v>55</v>
      </c>
      <c r="D12" s="14" t="str">
        <f t="array" ref="D12">IF(C12="","",IFNA(_xlfn.XLOOKUP(C12,'a 01'!$C$6:$C$999,'a 01'!$D$6:$D$999),""))</f>
        <v/>
      </c>
      <c r="E12" s="18" t="str">
        <f t="array" ref="E12">_xlfn.XLOOKUP(D12,Table_Warkah[Kode Tiket],Table_Warkah[Jenis Permohonan],"")</f>
        <v/>
      </c>
      <c r="F12" s="12" t="s">
        <v>48</v>
      </c>
      <c r="G12" s="12" t="s">
        <v>43</v>
      </c>
      <c r="H12" s="17">
        <f t="shared" si="1"/>
        <v>45583.4428</v>
      </c>
      <c r="I12" s="18"/>
      <c r="J12" s="20" t="b">
        <v>1</v>
      </c>
      <c r="K12" s="17">
        <f t="shared" si="2"/>
        <v>45596.40456</v>
      </c>
      <c r="L12" s="11" t="s">
        <v>54</v>
      </c>
      <c r="M12" s="21" t="s">
        <v>45</v>
      </c>
    </row>
    <row r="13" ht="22.5" customHeight="1">
      <c r="B13" s="13">
        <f t="shared" si="3"/>
        <v>6</v>
      </c>
      <c r="C13" s="12" t="s">
        <v>56</v>
      </c>
      <c r="D13" s="14" t="str">
        <f t="array" ref="D13">IF(C13="","",IFNA(_xlfn.XLOOKUP(C13,'a 01'!$C$6:$C$999,'a 01'!$D$6:$D$999),""))</f>
        <v/>
      </c>
      <c r="E13" s="18" t="str">
        <f t="array" ref="E13">_xlfn.XLOOKUP(D13,Table_Warkah[Kode Tiket],Table_Warkah[Jenis Permohonan],"")</f>
        <v/>
      </c>
      <c r="F13" s="12" t="s">
        <v>48</v>
      </c>
      <c r="G13" s="12" t="s">
        <v>43</v>
      </c>
      <c r="H13" s="17">
        <f t="shared" si="1"/>
        <v>45583.4428</v>
      </c>
      <c r="I13" s="18"/>
      <c r="J13" s="20" t="b">
        <v>1</v>
      </c>
      <c r="K13" s="17">
        <f t="shared" si="2"/>
        <v>45590.70512</v>
      </c>
      <c r="L13" s="11" t="s">
        <v>49</v>
      </c>
      <c r="M13" s="21" t="s">
        <v>45</v>
      </c>
    </row>
    <row r="14" ht="22.5" customHeight="1">
      <c r="B14" s="13">
        <f t="shared" si="3"/>
        <v>7</v>
      </c>
      <c r="C14" s="12" t="s">
        <v>57</v>
      </c>
      <c r="D14" s="14" t="str">
        <f t="array" ref="D14">IF(C14="","",IFNA(_xlfn.XLOOKUP(C14,'a 01'!$C$6:$C$999,'a 01'!$D$6:$D$999),""))</f>
        <v/>
      </c>
      <c r="E14" s="18" t="str">
        <f t="array" ref="E14">_xlfn.XLOOKUP(D14,Table_Warkah[Kode Tiket],Table_Warkah[Jenis Permohonan],"")</f>
        <v/>
      </c>
      <c r="F14" s="12" t="s">
        <v>48</v>
      </c>
      <c r="G14" s="12" t="s">
        <v>43</v>
      </c>
      <c r="H14" s="17">
        <f t="shared" si="1"/>
        <v>45583.4428</v>
      </c>
      <c r="I14" s="18"/>
      <c r="J14" s="20" t="b">
        <v>1</v>
      </c>
      <c r="K14" s="17">
        <f t="shared" si="2"/>
        <v>45588.67748</v>
      </c>
      <c r="L14" s="11" t="s">
        <v>49</v>
      </c>
      <c r="M14" s="21" t="s">
        <v>45</v>
      </c>
    </row>
    <row r="15" ht="22.5" customHeight="1">
      <c r="B15" s="13">
        <f t="shared" si="3"/>
        <v>8</v>
      </c>
      <c r="C15" s="12" t="s">
        <v>58</v>
      </c>
      <c r="D15" s="14" t="str">
        <f t="array" ref="D15">IF(C15="","",IFNA(_xlfn.XLOOKUP(C15,'a 01'!$C$6:$C$999,'a 01'!$D$6:$D$999),""))</f>
        <v/>
      </c>
      <c r="E15" s="18" t="str">
        <f t="array" ref="E15">_xlfn.XLOOKUP(D15,Table_Warkah[Kode Tiket],Table_Warkah[Jenis Permohonan],"")</f>
        <v/>
      </c>
      <c r="F15" s="12" t="s">
        <v>48</v>
      </c>
      <c r="G15" s="12" t="s">
        <v>43</v>
      </c>
      <c r="H15" s="17">
        <f t="shared" si="1"/>
        <v>45583.4428</v>
      </c>
      <c r="I15" s="18"/>
      <c r="J15" s="20" t="b">
        <v>1</v>
      </c>
      <c r="K15" s="17">
        <f t="shared" si="2"/>
        <v>45590.70452</v>
      </c>
      <c r="L15" s="11" t="s">
        <v>49</v>
      </c>
      <c r="M15" s="21" t="s">
        <v>45</v>
      </c>
    </row>
    <row r="16" ht="22.5" customHeight="1">
      <c r="B16" s="13">
        <f t="shared" si="3"/>
        <v>9</v>
      </c>
      <c r="C16" s="12" t="s">
        <v>59</v>
      </c>
      <c r="D16" s="14" t="str">
        <f t="array" ref="D16">IF(C16="","",IFNA(_xlfn.XLOOKUP(C16,'a 01'!$C$6:$C$999,'a 01'!$D$6:$D$999),""))</f>
        <v/>
      </c>
      <c r="E16" s="18" t="str">
        <f t="array" ref="E16">_xlfn.XLOOKUP(D16,Table_Warkah[Kode Tiket],Table_Warkah[Jenis Permohonan],"")</f>
        <v/>
      </c>
      <c r="F16" s="12" t="s">
        <v>48</v>
      </c>
      <c r="G16" s="12" t="s">
        <v>43</v>
      </c>
      <c r="H16" s="17">
        <f t="shared" si="1"/>
        <v>45583.4428</v>
      </c>
      <c r="I16" s="18"/>
      <c r="J16" s="20" t="b">
        <v>0</v>
      </c>
      <c r="K16" s="13" t="str">
        <f t="shared" si="2"/>
        <v/>
      </c>
      <c r="L16" s="13"/>
      <c r="M16" s="21" t="s">
        <v>45</v>
      </c>
    </row>
    <row r="17" ht="22.5" customHeight="1">
      <c r="B17" s="13">
        <f t="shared" si="3"/>
        <v>10</v>
      </c>
      <c r="C17" s="12" t="s">
        <v>61</v>
      </c>
      <c r="D17" s="14" t="str">
        <f t="array" ref="D17">IF(C17="","",IFNA(_xlfn.XLOOKUP(C17,'a 01'!$C$6:$C$999,'a 01'!$D$6:$D$999),""))</f>
        <v>K/28/141024/1</v>
      </c>
      <c r="E17" s="18" t="str">
        <f t="array" ref="E17">_xlfn.XLOOKUP(D17,Table_Warkah[Kode Tiket],Table_Warkah[Jenis Permohonan],"")</f>
        <v>PERALIHAN JUAL BELI</v>
      </c>
      <c r="F17" s="12" t="s">
        <v>48</v>
      </c>
      <c r="G17" s="12" t="s">
        <v>43</v>
      </c>
      <c r="H17" s="17">
        <f t="shared" si="1"/>
        <v>45583.4428</v>
      </c>
      <c r="I17" s="18"/>
      <c r="J17" s="20" t="b">
        <v>1</v>
      </c>
      <c r="K17" s="17">
        <f t="shared" si="2"/>
        <v>45587.5771</v>
      </c>
      <c r="L17" s="11" t="s">
        <v>54</v>
      </c>
      <c r="M17" s="21" t="s">
        <v>45</v>
      </c>
    </row>
    <row r="18" ht="22.5" customHeight="1">
      <c r="B18" s="13">
        <f t="shared" si="3"/>
        <v>11</v>
      </c>
      <c r="C18" s="12" t="s">
        <v>62</v>
      </c>
      <c r="D18" s="14" t="str">
        <f t="array" ref="D18">IF(C18="","",IFNA(_xlfn.XLOOKUP(C18,'a 01'!$C$6:$C$999,'a 01'!$D$6:$D$999),""))</f>
        <v>K/9/141024/1</v>
      </c>
      <c r="E18" s="18" t="str">
        <f t="array" ref="E18">_xlfn.XLOOKUP(D18,Table_Warkah[Kode Tiket],Table_Warkah[Jenis Permohonan],"")</f>
        <v>ROYA</v>
      </c>
      <c r="F18" s="12" t="s">
        <v>48</v>
      </c>
      <c r="G18" s="12" t="s">
        <v>43</v>
      </c>
      <c r="H18" s="17">
        <f t="shared" si="1"/>
        <v>45583.4428</v>
      </c>
      <c r="I18" s="18"/>
      <c r="J18" s="20" t="b">
        <v>0</v>
      </c>
      <c r="K18" s="13" t="str">
        <f t="shared" si="2"/>
        <v/>
      </c>
      <c r="L18" s="13"/>
      <c r="M18" s="21" t="s">
        <v>45</v>
      </c>
    </row>
    <row r="19" ht="22.5" customHeight="1">
      <c r="B19" s="13">
        <f t="shared" si="3"/>
        <v>12</v>
      </c>
      <c r="C19" s="12" t="s">
        <v>63</v>
      </c>
      <c r="D19" s="14" t="str">
        <f t="array" ref="D19">IF(C19="","",IFNA(_xlfn.XLOOKUP(C19,'a 01'!$C$6:$C$999,'a 01'!$D$6:$D$999),""))</f>
        <v/>
      </c>
      <c r="E19" s="18" t="str">
        <f t="array" ref="E19">_xlfn.XLOOKUP(D19,Table_Warkah[Kode Tiket],Table_Warkah[Jenis Permohonan],"")</f>
        <v/>
      </c>
      <c r="F19" s="12" t="s">
        <v>48</v>
      </c>
      <c r="G19" s="12" t="s">
        <v>43</v>
      </c>
      <c r="H19" s="17">
        <f t="shared" si="1"/>
        <v>45583.4428</v>
      </c>
      <c r="I19" s="18"/>
      <c r="J19" s="20" t="b">
        <v>1</v>
      </c>
      <c r="K19" s="17">
        <f t="shared" si="2"/>
        <v>45587.62688</v>
      </c>
      <c r="L19" s="11" t="s">
        <v>49</v>
      </c>
      <c r="M19" s="21" t="s">
        <v>45</v>
      </c>
    </row>
    <row r="20" ht="22.5" customHeight="1">
      <c r="B20" s="13">
        <f t="shared" si="3"/>
        <v>13</v>
      </c>
      <c r="C20" s="12" t="s">
        <v>64</v>
      </c>
      <c r="D20" s="14" t="str">
        <f t="array" ref="D20">IF(C20="","",IFNA(_xlfn.XLOOKUP(C20,'a 01'!$C$6:$C$999,'a 01'!$D$6:$D$999),""))</f>
        <v/>
      </c>
      <c r="E20" s="18" t="str">
        <f t="array" ref="E20">_xlfn.XLOOKUP(D20,Table_Warkah[Kode Tiket],Table_Warkah[Jenis Permohonan],"")</f>
        <v/>
      </c>
      <c r="F20" s="12" t="s">
        <v>48</v>
      </c>
      <c r="G20" s="12" t="s">
        <v>43</v>
      </c>
      <c r="H20" s="17">
        <f t="shared" si="1"/>
        <v>45583.4428</v>
      </c>
      <c r="I20" s="18"/>
      <c r="J20" s="20" t="b">
        <v>1</v>
      </c>
      <c r="K20" s="17">
        <f t="shared" si="2"/>
        <v>45586.48779</v>
      </c>
      <c r="L20" s="11" t="s">
        <v>49</v>
      </c>
      <c r="M20" s="21" t="s">
        <v>45</v>
      </c>
    </row>
    <row r="21" ht="22.5" customHeight="1">
      <c r="B21" s="13">
        <f t="shared" si="3"/>
        <v>14</v>
      </c>
      <c r="C21" s="12" t="s">
        <v>65</v>
      </c>
      <c r="D21" s="14" t="str">
        <f t="array" ref="D21">IF(C21="","",IFNA(_xlfn.XLOOKUP(C21,'a 01'!$C$6:$C$999,'a 01'!$D$6:$D$999),""))</f>
        <v/>
      </c>
      <c r="E21" s="18" t="str">
        <f t="array" ref="E21">_xlfn.XLOOKUP(D21,Table_Warkah[Kode Tiket],Table_Warkah[Jenis Permohonan],"")</f>
        <v/>
      </c>
      <c r="F21" s="12" t="s">
        <v>48</v>
      </c>
      <c r="G21" s="12" t="s">
        <v>43</v>
      </c>
      <c r="H21" s="17">
        <f t="shared" si="1"/>
        <v>45583.4428</v>
      </c>
      <c r="I21" s="18"/>
      <c r="J21" s="20" t="b">
        <v>1</v>
      </c>
      <c r="K21" s="17">
        <f t="shared" si="2"/>
        <v>45586.66935</v>
      </c>
      <c r="L21" s="11" t="s">
        <v>66</v>
      </c>
      <c r="M21" s="21" t="s">
        <v>45</v>
      </c>
    </row>
    <row r="22" ht="22.5" customHeight="1">
      <c r="B22" s="13">
        <f t="shared" si="3"/>
        <v>15</v>
      </c>
      <c r="C22" s="12" t="s">
        <v>67</v>
      </c>
      <c r="D22" s="14" t="str">
        <f t="array" ref="D22">IF(C22="","",IFNA(_xlfn.XLOOKUP(C22,'a 01'!$C$6:$C$999,'a 01'!$D$6:$D$999),""))</f>
        <v/>
      </c>
      <c r="E22" s="18" t="str">
        <f t="array" ref="E22">_xlfn.XLOOKUP(D22,Table_Warkah[Kode Tiket],Table_Warkah[Jenis Permohonan],"")</f>
        <v/>
      </c>
      <c r="F22" s="12" t="s">
        <v>48</v>
      </c>
      <c r="G22" s="12" t="s">
        <v>43</v>
      </c>
      <c r="H22" s="17">
        <f t="shared" si="1"/>
        <v>45583.4428</v>
      </c>
      <c r="I22" s="18"/>
      <c r="J22" s="20" t="b">
        <v>1</v>
      </c>
      <c r="K22" s="17">
        <f t="shared" si="2"/>
        <v>45587.62801</v>
      </c>
      <c r="L22" s="11" t="s">
        <v>49</v>
      </c>
      <c r="M22" s="21" t="s">
        <v>45</v>
      </c>
    </row>
    <row r="23" ht="22.5" customHeight="1">
      <c r="B23" s="13">
        <f t="shared" si="3"/>
        <v>16</v>
      </c>
      <c r="C23" s="12" t="s">
        <v>68</v>
      </c>
      <c r="D23" s="14" t="str">
        <f t="array" ref="D23">IF(C23="","",IFNA(_xlfn.XLOOKUP(C23,'a 01'!$C$6:$C$999,'a 01'!$D$6:$D$999),""))</f>
        <v/>
      </c>
      <c r="E23" s="18" t="str">
        <f t="array" ref="E23">_xlfn.XLOOKUP(D23,Table_Warkah[Kode Tiket],Table_Warkah[Jenis Permohonan],"")</f>
        <v/>
      </c>
      <c r="F23" s="12" t="s">
        <v>48</v>
      </c>
      <c r="G23" s="12" t="s">
        <v>43</v>
      </c>
      <c r="H23" s="17">
        <f t="shared" si="1"/>
        <v>45583.4428</v>
      </c>
      <c r="I23" s="18"/>
      <c r="J23" s="20" t="b">
        <v>1</v>
      </c>
      <c r="K23" s="17">
        <f t="shared" si="2"/>
        <v>45583.66978</v>
      </c>
      <c r="L23" s="11" t="s">
        <v>69</v>
      </c>
      <c r="M23" s="21" t="s">
        <v>45</v>
      </c>
    </row>
    <row r="24" ht="22.5" customHeight="1">
      <c r="B24" s="13">
        <f t="shared" si="3"/>
        <v>17</v>
      </c>
      <c r="C24" s="12" t="s">
        <v>70</v>
      </c>
      <c r="D24" s="14" t="str">
        <f t="array" ref="D24">IF(C24="","",IFNA(_xlfn.XLOOKUP(C24,'a 01'!$C$6:$C$999,'a 01'!$D$6:$D$999),""))</f>
        <v/>
      </c>
      <c r="E24" s="18" t="str">
        <f t="array" ref="E24">_xlfn.XLOOKUP(D24,Table_Warkah[Kode Tiket],Table_Warkah[Jenis Permohonan],"")</f>
        <v/>
      </c>
      <c r="F24" s="12" t="s">
        <v>48</v>
      </c>
      <c r="G24" s="12" t="s">
        <v>43</v>
      </c>
      <c r="H24" s="17">
        <f t="shared" si="1"/>
        <v>45583.4428</v>
      </c>
      <c r="I24" s="18"/>
      <c r="J24" s="20" t="b">
        <v>1</v>
      </c>
      <c r="K24" s="17">
        <f t="shared" si="2"/>
        <v>45587.62785</v>
      </c>
      <c r="L24" s="11" t="s">
        <v>49</v>
      </c>
      <c r="M24" s="21" t="s">
        <v>45</v>
      </c>
    </row>
    <row r="25" ht="22.5" customHeight="1">
      <c r="B25" s="13">
        <f t="shared" si="3"/>
        <v>18</v>
      </c>
      <c r="C25" s="12" t="s">
        <v>71</v>
      </c>
      <c r="D25" s="14" t="str">
        <f t="array" ref="D25">IF(C25="","",IFNA(_xlfn.XLOOKUP(C25,'a 01'!$C$6:$C$999,'a 01'!$D$6:$D$999),""))</f>
        <v/>
      </c>
      <c r="E25" s="18" t="str">
        <f t="array" ref="E25">_xlfn.XLOOKUP(D25,Table_Warkah[Kode Tiket],Table_Warkah[Jenis Permohonan],"")</f>
        <v/>
      </c>
      <c r="F25" s="12" t="s">
        <v>48</v>
      </c>
      <c r="G25" s="12" t="s">
        <v>43</v>
      </c>
      <c r="H25" s="17">
        <f t="shared" si="1"/>
        <v>45583.4428</v>
      </c>
      <c r="I25" s="18"/>
      <c r="J25" s="20" t="b">
        <v>1</v>
      </c>
      <c r="K25" s="17">
        <f t="shared" si="2"/>
        <v>45593.44862</v>
      </c>
      <c r="L25" s="11" t="s">
        <v>54</v>
      </c>
      <c r="M25" s="21" t="s">
        <v>45</v>
      </c>
    </row>
    <row r="26" ht="22.5" customHeight="1">
      <c r="B26" s="13">
        <f t="shared" si="3"/>
        <v>19</v>
      </c>
      <c r="C26" s="12" t="s">
        <v>72</v>
      </c>
      <c r="D26" s="14" t="str">
        <f t="array" ref="D26">IF(C26="","",IFNA(_xlfn.XLOOKUP(C26,'a 01'!$C$6:$C$999,'a 01'!$D$6:$D$999),""))</f>
        <v/>
      </c>
      <c r="E26" s="18" t="str">
        <f t="array" ref="E26">_xlfn.XLOOKUP(D26,Table_Warkah[Kode Tiket],Table_Warkah[Jenis Permohonan],"")</f>
        <v/>
      </c>
      <c r="F26" s="12" t="s">
        <v>48</v>
      </c>
      <c r="G26" s="12" t="s">
        <v>43</v>
      </c>
      <c r="H26" s="17">
        <f t="shared" si="1"/>
        <v>45583.4428</v>
      </c>
      <c r="I26" s="18"/>
      <c r="J26" s="20" t="b">
        <v>1</v>
      </c>
      <c r="K26" s="17">
        <f t="shared" si="2"/>
        <v>45587.57738</v>
      </c>
      <c r="L26" s="11" t="s">
        <v>54</v>
      </c>
      <c r="M26" s="21" t="s">
        <v>45</v>
      </c>
    </row>
    <row r="27" ht="22.5" customHeight="1">
      <c r="B27" s="13">
        <f t="shared" si="3"/>
        <v>20</v>
      </c>
      <c r="C27" s="12" t="s">
        <v>73</v>
      </c>
      <c r="D27" s="14" t="str">
        <f t="array" ref="D27">IF(C27="","",IFNA(_xlfn.XLOOKUP(C27,'a 01'!$C$6:$C$999,'a 01'!$D$6:$D$999),""))</f>
        <v/>
      </c>
      <c r="E27" s="18" t="str">
        <f t="array" ref="E27">_xlfn.XLOOKUP(D27,Table_Warkah[Kode Tiket],Table_Warkah[Jenis Permohonan],"")</f>
        <v/>
      </c>
      <c r="F27" s="12" t="s">
        <v>48</v>
      </c>
      <c r="G27" s="12" t="s">
        <v>43</v>
      </c>
      <c r="H27" s="17">
        <f t="shared" si="1"/>
        <v>45583.4428</v>
      </c>
      <c r="I27" s="18"/>
      <c r="J27" s="20" t="b">
        <v>1</v>
      </c>
      <c r="K27" s="17">
        <f t="shared" si="2"/>
        <v>45593.4485</v>
      </c>
      <c r="L27" s="11" t="s">
        <v>54</v>
      </c>
      <c r="M27" s="21" t="s">
        <v>45</v>
      </c>
    </row>
    <row r="28" ht="22.5" customHeight="1">
      <c r="B28" s="13">
        <f t="shared" si="3"/>
        <v>21</v>
      </c>
      <c r="C28" s="12" t="s">
        <v>74</v>
      </c>
      <c r="D28" s="14" t="str">
        <f t="array" ref="D28">IF(C28="","",IFNA(_xlfn.XLOOKUP(C28,'a 01'!$C$6:$C$999,'a 01'!$D$6:$D$999),""))</f>
        <v/>
      </c>
      <c r="E28" s="18" t="str">
        <f t="array" ref="E28">_xlfn.XLOOKUP(D28,Table_Warkah[Kode Tiket],Table_Warkah[Jenis Permohonan],"")</f>
        <v/>
      </c>
      <c r="F28" s="12" t="s">
        <v>48</v>
      </c>
      <c r="G28" s="12" t="s">
        <v>43</v>
      </c>
      <c r="H28" s="17">
        <f t="shared" si="1"/>
        <v>45583.4428</v>
      </c>
      <c r="I28" s="18"/>
      <c r="J28" s="20" t="b">
        <v>1</v>
      </c>
      <c r="K28" s="17">
        <f t="shared" si="2"/>
        <v>45587.57746</v>
      </c>
      <c r="L28" s="11" t="s">
        <v>54</v>
      </c>
      <c r="M28" s="21" t="s">
        <v>45</v>
      </c>
    </row>
    <row r="29" ht="22.5" customHeight="1">
      <c r="B29" s="13">
        <f t="shared" si="3"/>
        <v>22</v>
      </c>
      <c r="C29" s="12" t="s">
        <v>75</v>
      </c>
      <c r="D29" s="14" t="str">
        <f t="array" ref="D29">IF(C29="","",IFNA(_xlfn.XLOOKUP(C29,'a 01'!$C$6:$C$999,'a 01'!$D$6:$D$999),""))</f>
        <v/>
      </c>
      <c r="E29" s="18" t="str">
        <f t="array" ref="E29">_xlfn.XLOOKUP(D29,Table_Warkah[Kode Tiket],Table_Warkah[Jenis Permohonan],"")</f>
        <v/>
      </c>
      <c r="F29" s="12" t="s">
        <v>48</v>
      </c>
      <c r="G29" s="12" t="s">
        <v>43</v>
      </c>
      <c r="H29" s="17">
        <f t="shared" si="1"/>
        <v>45583.4428</v>
      </c>
      <c r="I29" s="18"/>
      <c r="J29" s="20" t="b">
        <v>1</v>
      </c>
      <c r="K29" s="17">
        <f t="shared" si="2"/>
        <v>45583.67001</v>
      </c>
      <c r="L29" s="11" t="s">
        <v>69</v>
      </c>
      <c r="M29" s="21" t="s">
        <v>45</v>
      </c>
    </row>
    <row r="30" ht="22.5" customHeight="1">
      <c r="B30" s="13">
        <f t="shared" si="3"/>
        <v>23</v>
      </c>
      <c r="C30" s="12" t="s">
        <v>76</v>
      </c>
      <c r="D30" s="14" t="str">
        <f t="array" ref="D30">IF(C30="","",IFNA(_xlfn.XLOOKUP(C30,'a 01'!$C$6:$C$999,'a 01'!$D$6:$D$999),""))</f>
        <v/>
      </c>
      <c r="E30" s="18" t="str">
        <f t="array" ref="E30">_xlfn.XLOOKUP(D30,Table_Warkah[Kode Tiket],Table_Warkah[Jenis Permohonan],"")</f>
        <v/>
      </c>
      <c r="F30" s="12" t="s">
        <v>48</v>
      </c>
      <c r="G30" s="12" t="s">
        <v>43</v>
      </c>
      <c r="H30" s="17">
        <f t="shared" si="1"/>
        <v>45583.4428</v>
      </c>
      <c r="I30" s="18"/>
      <c r="J30" s="20" t="b">
        <v>1</v>
      </c>
      <c r="K30" s="17">
        <f t="shared" si="2"/>
        <v>45587.577</v>
      </c>
      <c r="L30" s="11" t="s">
        <v>54</v>
      </c>
      <c r="M30" s="21" t="s">
        <v>45</v>
      </c>
    </row>
    <row r="31" ht="22.5" customHeight="1">
      <c r="B31" s="13">
        <f t="shared" si="3"/>
        <v>24</v>
      </c>
      <c r="C31" s="12" t="s">
        <v>77</v>
      </c>
      <c r="D31" s="14" t="str">
        <f t="array" ref="D31">IF(C31="","",IFNA(_xlfn.XLOOKUP(C31,'a 01'!$C$6:$C$999,'a 01'!$D$6:$D$999),""))</f>
        <v/>
      </c>
      <c r="E31" s="18" t="str">
        <f t="array" ref="E31">_xlfn.XLOOKUP(D31,Table_Warkah[Kode Tiket],Table_Warkah[Jenis Permohonan],"")</f>
        <v/>
      </c>
      <c r="F31" s="12" t="s">
        <v>48</v>
      </c>
      <c r="G31" s="12" t="s">
        <v>43</v>
      </c>
      <c r="H31" s="17">
        <f t="shared" si="1"/>
        <v>45583.4428</v>
      </c>
      <c r="I31" s="18"/>
      <c r="J31" s="20" t="b">
        <v>0</v>
      </c>
      <c r="K31" s="13" t="str">
        <f t="shared" si="2"/>
        <v/>
      </c>
      <c r="L31" s="13"/>
      <c r="M31" s="21" t="s">
        <v>45</v>
      </c>
    </row>
    <row r="32" ht="22.5" customHeight="1">
      <c r="B32" s="13">
        <f t="shared" si="3"/>
        <v>25</v>
      </c>
      <c r="C32" s="12" t="s">
        <v>78</v>
      </c>
      <c r="D32" s="14" t="str">
        <f t="array" ref="D32">IF(C32="","",IFNA(_xlfn.XLOOKUP(C32,'a 01'!$C$6:$C$999,'a 01'!$D$6:$D$999),""))</f>
        <v/>
      </c>
      <c r="E32" s="18" t="str">
        <f t="array" ref="E32">_xlfn.XLOOKUP(D32,Table_Warkah[Kode Tiket],Table_Warkah[Jenis Permohonan],"")</f>
        <v/>
      </c>
      <c r="F32" s="12" t="s">
        <v>48</v>
      </c>
      <c r="G32" s="12" t="s">
        <v>43</v>
      </c>
      <c r="H32" s="17">
        <f t="shared" si="1"/>
        <v>45583.4428</v>
      </c>
      <c r="I32" s="18"/>
      <c r="J32" s="20" t="b">
        <v>1</v>
      </c>
      <c r="K32" s="17">
        <f t="shared" si="2"/>
        <v>45587.62742</v>
      </c>
      <c r="L32" s="11" t="s">
        <v>49</v>
      </c>
      <c r="M32" s="21" t="s">
        <v>45</v>
      </c>
    </row>
    <row r="33" ht="22.5" customHeight="1">
      <c r="B33" s="13">
        <f t="shared" si="3"/>
        <v>26</v>
      </c>
      <c r="C33" s="12" t="s">
        <v>79</v>
      </c>
      <c r="D33" s="14" t="str">
        <f t="array" ref="D33">IF(C33="","",IFNA(_xlfn.XLOOKUP(C33,'a 01'!$C$6:$C$999,'a 01'!$D$6:$D$999),""))</f>
        <v/>
      </c>
      <c r="E33" s="18" t="str">
        <f t="array" ref="E33">_xlfn.XLOOKUP(D33,Table_Warkah[Kode Tiket],Table_Warkah[Jenis Permohonan],"")</f>
        <v/>
      </c>
      <c r="F33" s="12" t="s">
        <v>48</v>
      </c>
      <c r="G33" s="12" t="s">
        <v>43</v>
      </c>
      <c r="H33" s="17">
        <f t="shared" si="1"/>
        <v>45583.4428</v>
      </c>
      <c r="I33" s="18"/>
      <c r="J33" s="20" t="b">
        <v>0</v>
      </c>
      <c r="K33" s="13" t="str">
        <f t="shared" si="2"/>
        <v/>
      </c>
      <c r="L33" s="13"/>
      <c r="M33" s="21" t="s">
        <v>45</v>
      </c>
    </row>
    <row r="34" ht="22.5" customHeight="1">
      <c r="B34" s="13">
        <f t="shared" si="3"/>
        <v>27</v>
      </c>
      <c r="C34" s="12" t="s">
        <v>80</v>
      </c>
      <c r="D34" s="14" t="str">
        <f t="array" ref="D34">IF(C34="","",IFNA(_xlfn.XLOOKUP(C34,'a 01'!$C$6:$C$999,'a 01'!$D$6:$D$999),""))</f>
        <v/>
      </c>
      <c r="E34" s="18" t="str">
        <f t="array" ref="E34">_xlfn.XLOOKUP(D34,Table_Warkah[Kode Tiket],Table_Warkah[Jenis Permohonan],"")</f>
        <v/>
      </c>
      <c r="F34" s="12" t="s">
        <v>48</v>
      </c>
      <c r="G34" s="12" t="s">
        <v>43</v>
      </c>
      <c r="H34" s="17">
        <f t="shared" si="1"/>
        <v>45583.4428</v>
      </c>
      <c r="I34" s="18"/>
      <c r="J34" s="20" t="b">
        <v>1</v>
      </c>
      <c r="K34" s="17">
        <f t="shared" si="2"/>
        <v>45588.68082</v>
      </c>
      <c r="L34" s="11" t="s">
        <v>54</v>
      </c>
      <c r="M34" s="21" t="s">
        <v>45</v>
      </c>
    </row>
    <row r="35" ht="22.5" customHeight="1">
      <c r="B35" s="13">
        <f t="shared" si="3"/>
        <v>28</v>
      </c>
      <c r="C35" s="12" t="s">
        <v>81</v>
      </c>
      <c r="D35" s="14" t="str">
        <f t="array" ref="D35">IF(C35="","",IFNA(_xlfn.XLOOKUP(C35,'a 01'!$C$6:$C$999,'a 01'!$D$6:$D$999),""))</f>
        <v/>
      </c>
      <c r="E35" s="18" t="str">
        <f t="array" ref="E35">_xlfn.XLOOKUP(D35,Table_Warkah[Kode Tiket],Table_Warkah[Jenis Permohonan],"")</f>
        <v/>
      </c>
      <c r="F35" s="12" t="s">
        <v>48</v>
      </c>
      <c r="G35" s="12" t="s">
        <v>43</v>
      </c>
      <c r="H35" s="17">
        <f t="shared" si="1"/>
        <v>45583.4428</v>
      </c>
      <c r="I35" s="18"/>
      <c r="J35" s="20" t="b">
        <v>1</v>
      </c>
      <c r="K35" s="17">
        <f t="shared" si="2"/>
        <v>45586.48779</v>
      </c>
      <c r="L35" s="11" t="s">
        <v>49</v>
      </c>
      <c r="M35" s="21" t="s">
        <v>45</v>
      </c>
    </row>
    <row r="36" ht="22.5" customHeight="1">
      <c r="B36" s="13">
        <f t="shared" si="3"/>
        <v>29</v>
      </c>
      <c r="C36" s="12" t="s">
        <v>82</v>
      </c>
      <c r="D36" s="14" t="str">
        <f t="array" ref="D36">IF(C36="","",IFNA(_xlfn.XLOOKUP(C36,'a 01'!$C$6:$C$999,'a 01'!$D$6:$D$999),""))</f>
        <v/>
      </c>
      <c r="E36" s="18" t="str">
        <f t="array" ref="E36">_xlfn.XLOOKUP(D36,Table_Warkah[Kode Tiket],Table_Warkah[Jenis Permohonan],"")</f>
        <v/>
      </c>
      <c r="F36" s="12" t="s">
        <v>48</v>
      </c>
      <c r="G36" s="12" t="s">
        <v>43</v>
      </c>
      <c r="H36" s="17">
        <f t="shared" si="1"/>
        <v>45583.44975</v>
      </c>
      <c r="I36" s="18"/>
      <c r="J36" s="20" t="b">
        <v>0</v>
      </c>
      <c r="K36" s="13" t="str">
        <f t="shared" si="2"/>
        <v/>
      </c>
      <c r="L36" s="13"/>
      <c r="M36" s="21" t="s">
        <v>45</v>
      </c>
    </row>
    <row r="37" ht="22.5" customHeight="1">
      <c r="B37" s="13">
        <f t="shared" si="3"/>
        <v>30</v>
      </c>
      <c r="C37" s="12" t="s">
        <v>83</v>
      </c>
      <c r="D37" s="14" t="str">
        <f t="array" ref="D37">IF(C37="","",IFNA(_xlfn.XLOOKUP(C37,'a 01'!$C$6:$C$999,'a 01'!$D$6:$D$999),""))</f>
        <v>L/43/151024/1</v>
      </c>
      <c r="E37" s="18" t="str">
        <f t="array" ref="E37">_xlfn.XLOOKUP(D37,Table_Warkah[Kode Tiket],Table_Warkah[Jenis Permohonan],"")</f>
        <v>ROYA</v>
      </c>
      <c r="F37" s="12" t="s">
        <v>48</v>
      </c>
      <c r="G37" s="12" t="s">
        <v>43</v>
      </c>
      <c r="H37" s="17">
        <f t="shared" si="1"/>
        <v>45583.44975</v>
      </c>
      <c r="I37" s="18"/>
      <c r="J37" s="20" t="b">
        <v>1</v>
      </c>
      <c r="K37" s="17">
        <f t="shared" si="2"/>
        <v>45588.67741</v>
      </c>
      <c r="L37" s="11" t="s">
        <v>49</v>
      </c>
      <c r="M37" s="21" t="s">
        <v>45</v>
      </c>
    </row>
    <row r="38" ht="22.5" customHeight="1">
      <c r="B38" s="13">
        <f t="shared" si="3"/>
        <v>31</v>
      </c>
      <c r="C38" s="12" t="s">
        <v>84</v>
      </c>
      <c r="D38" s="14" t="str">
        <f t="array" ref="D38">IF(C38="","",IFNA(_xlfn.XLOOKUP(C38,'a 01'!$C$6:$C$999,'a 01'!$D$6:$D$999),""))</f>
        <v/>
      </c>
      <c r="E38" s="18" t="str">
        <f t="array" ref="E38">_xlfn.XLOOKUP(D38,Table_Warkah[Kode Tiket],Table_Warkah[Jenis Permohonan],"")</f>
        <v/>
      </c>
      <c r="F38" s="12" t="s">
        <v>48</v>
      </c>
      <c r="G38" s="12" t="s">
        <v>43</v>
      </c>
      <c r="H38" s="17">
        <f t="shared" si="1"/>
        <v>45583.44975</v>
      </c>
      <c r="I38" s="18"/>
      <c r="J38" s="20" t="b">
        <v>1</v>
      </c>
      <c r="K38" s="17">
        <f t="shared" si="2"/>
        <v>45590.60739</v>
      </c>
      <c r="L38" s="11" t="s">
        <v>54</v>
      </c>
      <c r="M38" s="21" t="s">
        <v>45</v>
      </c>
    </row>
    <row r="39" ht="22.5" customHeight="1">
      <c r="B39" s="13">
        <f t="shared" si="3"/>
        <v>32</v>
      </c>
      <c r="C39" s="12" t="s">
        <v>85</v>
      </c>
      <c r="D39" s="14" t="str">
        <f t="array" ref="D39">IF(C39="","",IFNA(_xlfn.XLOOKUP(C39,'a 01'!$C$6:$C$999,'a 01'!$D$6:$D$999),""))</f>
        <v/>
      </c>
      <c r="E39" s="18" t="str">
        <f t="array" ref="E39">_xlfn.XLOOKUP(D39,Table_Warkah[Kode Tiket],Table_Warkah[Jenis Permohonan],"")</f>
        <v/>
      </c>
      <c r="F39" s="12" t="s">
        <v>48</v>
      </c>
      <c r="G39" s="12" t="s">
        <v>43</v>
      </c>
      <c r="H39" s="17">
        <f t="shared" si="1"/>
        <v>45583.44975</v>
      </c>
      <c r="I39" s="18"/>
      <c r="J39" s="20" t="b">
        <v>1</v>
      </c>
      <c r="K39" s="17">
        <f t="shared" si="2"/>
        <v>45593.66801</v>
      </c>
      <c r="L39" s="11" t="s">
        <v>54</v>
      </c>
      <c r="M39" s="21" t="s">
        <v>45</v>
      </c>
    </row>
    <row r="40" ht="22.5" customHeight="1">
      <c r="B40" s="13">
        <f t="shared" si="3"/>
        <v>33</v>
      </c>
      <c r="C40" s="12" t="s">
        <v>88</v>
      </c>
      <c r="D40" s="14" t="str">
        <f t="array" ref="D40">IF(C40="","",IFNA(_xlfn.XLOOKUP(C40,'a 01'!$C$6:$C$999,'a 01'!$D$6:$D$999),""))</f>
        <v>L/26/151024/1</v>
      </c>
      <c r="E40" s="18" t="str">
        <f t="array" ref="E40">_xlfn.XLOOKUP(D40,Table_Warkah[Kode Tiket],Table_Warkah[Jenis Permohonan],"")</f>
        <v>ROYA</v>
      </c>
      <c r="F40" s="12" t="s">
        <v>48</v>
      </c>
      <c r="G40" s="12" t="s">
        <v>43</v>
      </c>
      <c r="H40" s="17">
        <f t="shared" si="1"/>
        <v>45583.44975</v>
      </c>
      <c r="I40" s="18"/>
      <c r="J40" s="20" t="b">
        <v>0</v>
      </c>
      <c r="K40" s="13" t="str">
        <f t="shared" si="2"/>
        <v/>
      </c>
      <c r="L40" s="13"/>
      <c r="M40" s="21" t="s">
        <v>45</v>
      </c>
    </row>
    <row r="41" ht="22.5" customHeight="1">
      <c r="B41" s="13">
        <f t="shared" si="3"/>
        <v>34</v>
      </c>
      <c r="C41" s="12" t="s">
        <v>89</v>
      </c>
      <c r="D41" s="14" t="str">
        <f t="array" ref="D41">IF(C41="","",IFNA(_xlfn.XLOOKUP(C41,'a 01'!$C$6:$C$999,'a 01'!$D$6:$D$999),""))</f>
        <v/>
      </c>
      <c r="E41" s="18" t="str">
        <f t="array" ref="E41">_xlfn.XLOOKUP(D41,Table_Warkah[Kode Tiket],Table_Warkah[Jenis Permohonan],"")</f>
        <v/>
      </c>
      <c r="F41" s="12" t="s">
        <v>48</v>
      </c>
      <c r="G41" s="12" t="s">
        <v>43</v>
      </c>
      <c r="H41" s="17">
        <f t="shared" si="1"/>
        <v>45583.44975</v>
      </c>
      <c r="I41" s="18"/>
      <c r="J41" s="20" t="b">
        <v>1</v>
      </c>
      <c r="K41" s="17">
        <f t="shared" si="2"/>
        <v>45596.40958</v>
      </c>
      <c r="L41" s="11" t="s">
        <v>54</v>
      </c>
      <c r="M41" s="21" t="s">
        <v>45</v>
      </c>
    </row>
    <row r="42" ht="22.5" customHeight="1">
      <c r="B42" s="13">
        <f t="shared" si="3"/>
        <v>35</v>
      </c>
      <c r="C42" s="12" t="s">
        <v>90</v>
      </c>
      <c r="D42" s="14" t="str">
        <f t="array" ref="D42">IF(C42="","",IFNA(_xlfn.XLOOKUP(C42,'a 01'!$C$6:$C$999,'a 01'!$D$6:$D$999),""))</f>
        <v/>
      </c>
      <c r="E42" s="18" t="str">
        <f t="array" ref="E42">_xlfn.XLOOKUP(D42,Table_Warkah[Kode Tiket],Table_Warkah[Jenis Permohonan],"")</f>
        <v/>
      </c>
      <c r="F42" s="12" t="s">
        <v>48</v>
      </c>
      <c r="G42" s="12" t="s">
        <v>43</v>
      </c>
      <c r="H42" s="17">
        <f t="shared" si="1"/>
        <v>45583.44975</v>
      </c>
      <c r="I42" s="18"/>
      <c r="J42" s="20" t="b">
        <v>1</v>
      </c>
      <c r="K42" s="17">
        <f t="shared" si="2"/>
        <v>45587.57762</v>
      </c>
      <c r="L42" s="11" t="s">
        <v>54</v>
      </c>
      <c r="M42" s="21" t="s">
        <v>45</v>
      </c>
    </row>
    <row r="43" ht="22.5" customHeight="1">
      <c r="B43" s="13">
        <f t="shared" si="3"/>
        <v>36</v>
      </c>
      <c r="C43" s="12" t="s">
        <v>91</v>
      </c>
      <c r="D43" s="14" t="str">
        <f t="array" ref="D43">IF(C43="","",IFNA(_xlfn.XLOOKUP(C43,'a 01'!$C$6:$C$999,'a 01'!$D$6:$D$999),""))</f>
        <v/>
      </c>
      <c r="E43" s="18" t="str">
        <f t="array" ref="E43">_xlfn.XLOOKUP(D43,Table_Warkah[Kode Tiket],Table_Warkah[Jenis Permohonan],"")</f>
        <v/>
      </c>
      <c r="F43" s="12" t="s">
        <v>48</v>
      </c>
      <c r="G43" s="12" t="s">
        <v>43</v>
      </c>
      <c r="H43" s="17">
        <f t="shared" si="1"/>
        <v>45583.44975</v>
      </c>
      <c r="I43" s="18"/>
      <c r="J43" s="20" t="b">
        <v>1</v>
      </c>
      <c r="K43" s="17">
        <f t="shared" si="2"/>
        <v>45593.44875</v>
      </c>
      <c r="L43" s="11" t="s">
        <v>54</v>
      </c>
      <c r="M43" s="21" t="s">
        <v>45</v>
      </c>
    </row>
    <row r="44" ht="22.5" customHeight="1">
      <c r="B44" s="13">
        <f t="shared" si="3"/>
        <v>37</v>
      </c>
      <c r="C44" s="12" t="s">
        <v>92</v>
      </c>
      <c r="D44" s="14" t="str">
        <f t="array" ref="D44">IF(C44="","",IFNA(_xlfn.XLOOKUP(C44,'a 01'!$C$6:$C$999,'a 01'!$D$6:$D$999),""))</f>
        <v/>
      </c>
      <c r="E44" s="18" t="str">
        <f t="array" ref="E44">_xlfn.XLOOKUP(D44,Table_Warkah[Kode Tiket],Table_Warkah[Jenis Permohonan],"")</f>
        <v/>
      </c>
      <c r="F44" s="12" t="s">
        <v>48</v>
      </c>
      <c r="G44" s="12" t="s">
        <v>43</v>
      </c>
      <c r="H44" s="17">
        <f t="shared" si="1"/>
        <v>45583.44975</v>
      </c>
      <c r="I44" s="18"/>
      <c r="J44" s="20" t="b">
        <v>0</v>
      </c>
      <c r="K44" s="13" t="str">
        <f t="shared" si="2"/>
        <v/>
      </c>
      <c r="L44" s="13"/>
      <c r="M44" s="21" t="s">
        <v>45</v>
      </c>
    </row>
    <row r="45" ht="22.5" customHeight="1">
      <c r="B45" s="13">
        <f t="shared" si="3"/>
        <v>38</v>
      </c>
      <c r="C45" s="12" t="s">
        <v>93</v>
      </c>
      <c r="D45" s="14" t="str">
        <f t="array" ref="D45">IF(C45="","",IFNA(_xlfn.XLOOKUP(C45,'a 01'!$C$6:$C$999,'a 01'!$D$6:$D$999),""))</f>
        <v/>
      </c>
      <c r="E45" s="18" t="str">
        <f t="array" ref="E45">_xlfn.XLOOKUP(D45,Table_Warkah[Kode Tiket],Table_Warkah[Jenis Permohonan],"")</f>
        <v/>
      </c>
      <c r="F45" s="12" t="s">
        <v>48</v>
      </c>
      <c r="G45" s="12" t="s">
        <v>43</v>
      </c>
      <c r="H45" s="17">
        <f t="shared" si="1"/>
        <v>45583.44975</v>
      </c>
      <c r="I45" s="18"/>
      <c r="J45" s="20" t="b">
        <v>1</v>
      </c>
      <c r="K45" s="17">
        <f t="shared" si="2"/>
        <v>45603.57969</v>
      </c>
      <c r="L45" s="11" t="s">
        <v>54</v>
      </c>
      <c r="M45" s="21" t="s">
        <v>45</v>
      </c>
    </row>
    <row r="46" ht="22.5" customHeight="1">
      <c r="B46" s="13">
        <f t="shared" si="3"/>
        <v>39</v>
      </c>
      <c r="C46" s="12" t="s">
        <v>94</v>
      </c>
      <c r="D46" s="14" t="str">
        <f t="array" ref="D46">IF(C46="","",IFNA(_xlfn.XLOOKUP(C46,'a 01'!$C$6:$C$999,'a 01'!$D$6:$D$999),""))</f>
        <v/>
      </c>
      <c r="E46" s="18" t="str">
        <f t="array" ref="E46">_xlfn.XLOOKUP(D46,Table_Warkah[Kode Tiket],Table_Warkah[Jenis Permohonan],"")</f>
        <v/>
      </c>
      <c r="F46" s="12" t="s">
        <v>48</v>
      </c>
      <c r="G46" s="12" t="s">
        <v>43</v>
      </c>
      <c r="H46" s="17">
        <f t="shared" si="1"/>
        <v>45583.44975</v>
      </c>
      <c r="I46" s="18"/>
      <c r="J46" s="20" t="b">
        <v>1</v>
      </c>
      <c r="K46" s="17">
        <f t="shared" si="2"/>
        <v>45588.68152</v>
      </c>
      <c r="L46" s="11" t="s">
        <v>54</v>
      </c>
      <c r="M46" s="21" t="s">
        <v>45</v>
      </c>
    </row>
    <row r="47" ht="22.5" customHeight="1">
      <c r="B47" s="13">
        <f t="shared" si="3"/>
        <v>40</v>
      </c>
      <c r="C47" s="12" t="s">
        <v>95</v>
      </c>
      <c r="D47" s="14" t="str">
        <f t="array" ref="D47">IF(C47="","",IFNA(_xlfn.XLOOKUP(C47,'a 01'!$C$6:$C$999,'a 01'!$D$6:$D$999),""))</f>
        <v>K/41/151024/2</v>
      </c>
      <c r="E47" s="18" t="str">
        <f t="array" ref="E47">_xlfn.XLOOKUP(D47,Table_Warkah[Kode Tiket],Table_Warkah[Jenis Permohonan],"")</f>
        <v>BN Jual Beli</v>
      </c>
      <c r="F47" s="12" t="s">
        <v>48</v>
      </c>
      <c r="G47" s="12" t="s">
        <v>43</v>
      </c>
      <c r="H47" s="17">
        <f t="shared" si="1"/>
        <v>45583.44975</v>
      </c>
      <c r="I47" s="18"/>
      <c r="J47" s="20" t="b">
        <v>0</v>
      </c>
      <c r="K47" s="13" t="str">
        <f t="shared" si="2"/>
        <v/>
      </c>
      <c r="L47" s="13"/>
      <c r="M47" s="21" t="s">
        <v>45</v>
      </c>
    </row>
    <row r="48" ht="22.5" customHeight="1">
      <c r="B48" s="13">
        <f t="shared" si="3"/>
        <v>41</v>
      </c>
      <c r="C48" s="12" t="s">
        <v>96</v>
      </c>
      <c r="D48" s="14" t="str">
        <f t="array" ref="D48">IF(C48="","",IFNA(_xlfn.XLOOKUP(C48,'a 01'!$C$6:$C$999,'a 01'!$D$6:$D$999),""))</f>
        <v/>
      </c>
      <c r="E48" s="18" t="str">
        <f t="array" ref="E48">_xlfn.XLOOKUP(D48,Table_Warkah[Kode Tiket],Table_Warkah[Jenis Permohonan],"")</f>
        <v/>
      </c>
      <c r="F48" s="12" t="s">
        <v>48</v>
      </c>
      <c r="G48" s="12" t="s">
        <v>43</v>
      </c>
      <c r="H48" s="17">
        <f t="shared" si="1"/>
        <v>45583.44975</v>
      </c>
      <c r="I48" s="18"/>
      <c r="J48" s="20" t="b">
        <v>1</v>
      </c>
      <c r="K48" s="17">
        <f t="shared" si="2"/>
        <v>45587.57724</v>
      </c>
      <c r="L48" s="11" t="s">
        <v>54</v>
      </c>
      <c r="M48" s="21" t="s">
        <v>45</v>
      </c>
    </row>
    <row r="49" ht="22.5" customHeight="1">
      <c r="B49" s="13">
        <f t="shared" si="3"/>
        <v>42</v>
      </c>
      <c r="C49" s="12" t="s">
        <v>97</v>
      </c>
      <c r="D49" s="14" t="str">
        <f t="array" ref="D49">IF(C49="","",IFNA(_xlfn.XLOOKUP(C49,'a 01'!$C$6:$C$999,'a 01'!$D$6:$D$999),""))</f>
        <v/>
      </c>
      <c r="E49" s="18" t="str">
        <f t="array" ref="E49">_xlfn.XLOOKUP(D49,Table_Warkah[Kode Tiket],Table_Warkah[Jenis Permohonan],"")</f>
        <v/>
      </c>
      <c r="F49" s="12" t="s">
        <v>48</v>
      </c>
      <c r="G49" s="12" t="s">
        <v>43</v>
      </c>
      <c r="H49" s="17">
        <f t="shared" si="1"/>
        <v>45583.44975</v>
      </c>
      <c r="I49" s="18"/>
      <c r="J49" s="20" t="b">
        <v>1</v>
      </c>
      <c r="K49" s="17">
        <f t="shared" si="2"/>
        <v>45587.57689</v>
      </c>
      <c r="L49" s="11" t="s">
        <v>54</v>
      </c>
      <c r="M49" s="21" t="s">
        <v>45</v>
      </c>
    </row>
    <row r="50" ht="22.5" customHeight="1">
      <c r="B50" s="13">
        <f t="shared" si="3"/>
        <v>43</v>
      </c>
      <c r="C50" s="12" t="s">
        <v>98</v>
      </c>
      <c r="D50" s="14" t="str">
        <f t="array" ref="D50">IF(C50="","",IFNA(_xlfn.XLOOKUP(C50,'a 01'!$C$6:$C$999,'a 01'!$D$6:$D$999),""))</f>
        <v/>
      </c>
      <c r="E50" s="18" t="str">
        <f t="array" ref="E50">_xlfn.XLOOKUP(D50,Table_Warkah[Kode Tiket],Table_Warkah[Jenis Permohonan],"")</f>
        <v/>
      </c>
      <c r="F50" s="12" t="s">
        <v>48</v>
      </c>
      <c r="G50" s="12" t="s">
        <v>43</v>
      </c>
      <c r="H50" s="17">
        <f t="shared" si="1"/>
        <v>45583.45138</v>
      </c>
      <c r="I50" s="18"/>
      <c r="J50" s="20" t="b">
        <v>1</v>
      </c>
      <c r="K50" s="17">
        <f t="shared" si="2"/>
        <v>45588.69507</v>
      </c>
      <c r="L50" s="11" t="s">
        <v>66</v>
      </c>
      <c r="M50" s="21" t="s">
        <v>45</v>
      </c>
    </row>
    <row r="51" ht="22.5" customHeight="1">
      <c r="B51" s="13">
        <f t="shared" si="3"/>
        <v>44</v>
      </c>
      <c r="C51" s="12" t="s">
        <v>100</v>
      </c>
      <c r="D51" s="14" t="str">
        <f t="array" ref="D51">IF(C51="","",IFNA(_xlfn.XLOOKUP(C51,'a 01'!$C$6:$C$999,'a 01'!$D$6:$D$999),""))</f>
        <v/>
      </c>
      <c r="E51" s="18" t="str">
        <f t="array" ref="E51">_xlfn.XLOOKUP(D51,Table_Warkah[Kode Tiket],Table_Warkah[Jenis Permohonan],"")</f>
        <v/>
      </c>
      <c r="F51" s="12" t="s">
        <v>48</v>
      </c>
      <c r="G51" s="12" t="s">
        <v>43</v>
      </c>
      <c r="H51" s="17">
        <f t="shared" si="1"/>
        <v>45583.45313</v>
      </c>
      <c r="I51" s="18"/>
      <c r="J51" s="20" t="b">
        <v>0</v>
      </c>
      <c r="K51" s="13" t="str">
        <f t="shared" si="2"/>
        <v/>
      </c>
      <c r="L51" s="13"/>
      <c r="M51" s="21" t="s">
        <v>45</v>
      </c>
    </row>
    <row r="52" ht="22.5" customHeight="1">
      <c r="B52" s="13">
        <f t="shared" si="3"/>
        <v>45</v>
      </c>
      <c r="C52" s="12" t="s">
        <v>101</v>
      </c>
      <c r="D52" s="14" t="str">
        <f t="array" ref="D52">IF(C52="","",IFNA(_xlfn.XLOOKUP(C52,'a 01'!$C$6:$C$999,'a 01'!$D$6:$D$999),""))</f>
        <v/>
      </c>
      <c r="E52" s="18" t="str">
        <f t="array" ref="E52">_xlfn.XLOOKUP(D52,Table_Warkah[Kode Tiket],Table_Warkah[Jenis Permohonan],"")</f>
        <v/>
      </c>
      <c r="F52" s="12" t="s">
        <v>42</v>
      </c>
      <c r="G52" s="12" t="s">
        <v>43</v>
      </c>
      <c r="H52" s="17">
        <f t="shared" si="1"/>
        <v>45586.48779</v>
      </c>
      <c r="I52" s="18"/>
      <c r="J52" s="20" t="b">
        <v>1</v>
      </c>
      <c r="K52" s="17">
        <f t="shared" si="2"/>
        <v>45593.44886</v>
      </c>
      <c r="L52" s="11" t="s">
        <v>54</v>
      </c>
      <c r="M52" s="21" t="s">
        <v>45</v>
      </c>
    </row>
    <row r="53" ht="22.5" customHeight="1">
      <c r="B53" s="13">
        <f t="shared" si="3"/>
        <v>46</v>
      </c>
      <c r="C53" s="12" t="s">
        <v>102</v>
      </c>
      <c r="D53" s="14" t="str">
        <f t="array" ref="D53">IF(C53="","",IFNA(_xlfn.XLOOKUP(C53,'a 01'!$C$6:$C$999,'a 01'!$D$6:$D$999),""))</f>
        <v/>
      </c>
      <c r="E53" s="18" t="str">
        <f t="array" ref="E53">_xlfn.XLOOKUP(D53,Table_Warkah[Kode Tiket],Table_Warkah[Jenis Permohonan],"")</f>
        <v/>
      </c>
      <c r="F53" s="12" t="s">
        <v>42</v>
      </c>
      <c r="G53" s="12" t="s">
        <v>43</v>
      </c>
      <c r="H53" s="17">
        <f t="shared" si="1"/>
        <v>45586.48779</v>
      </c>
      <c r="I53" s="18"/>
      <c r="J53" s="20" t="b">
        <v>1</v>
      </c>
      <c r="K53" s="17">
        <f t="shared" si="2"/>
        <v>45600.38033</v>
      </c>
      <c r="L53" s="11" t="s">
        <v>54</v>
      </c>
      <c r="M53" s="21" t="s">
        <v>45</v>
      </c>
    </row>
    <row r="54" ht="22.5" customHeight="1">
      <c r="B54" s="13">
        <f t="shared" si="3"/>
        <v>47</v>
      </c>
      <c r="C54" s="12" t="s">
        <v>103</v>
      </c>
      <c r="D54" s="14" t="str">
        <f t="array" ref="D54">IF(C54="","",IFNA(_xlfn.XLOOKUP(C54,'a 01'!$C$6:$C$999,'a 01'!$D$6:$D$999),""))</f>
        <v/>
      </c>
      <c r="E54" s="18" t="str">
        <f t="array" ref="E54">_xlfn.XLOOKUP(D54,Table_Warkah[Kode Tiket],Table_Warkah[Jenis Permohonan],"")</f>
        <v/>
      </c>
      <c r="F54" s="12" t="s">
        <v>42</v>
      </c>
      <c r="G54" s="12" t="s">
        <v>43</v>
      </c>
      <c r="H54" s="17">
        <f t="shared" si="1"/>
        <v>45586.48779</v>
      </c>
      <c r="I54" s="18"/>
      <c r="J54" s="20" t="b">
        <v>1</v>
      </c>
      <c r="K54" s="17">
        <f t="shared" si="2"/>
        <v>45593.4476</v>
      </c>
      <c r="L54" s="11" t="s">
        <v>54</v>
      </c>
      <c r="M54" s="21" t="s">
        <v>45</v>
      </c>
    </row>
    <row r="55" ht="22.5" customHeight="1">
      <c r="B55" s="13">
        <f t="shared" si="3"/>
        <v>48</v>
      </c>
      <c r="C55" s="12" t="s">
        <v>104</v>
      </c>
      <c r="D55" s="14" t="str">
        <f t="array" ref="D55">IF(C55="","",IFNA(_xlfn.XLOOKUP(C55,'a 01'!$C$6:$C$999,'a 01'!$D$6:$D$999),""))</f>
        <v/>
      </c>
      <c r="E55" s="18" t="str">
        <f t="array" ref="E55">_xlfn.XLOOKUP(D55,Table_Warkah[Kode Tiket],Table_Warkah[Jenis Permohonan],"")</f>
        <v/>
      </c>
      <c r="F55" s="12" t="s">
        <v>42</v>
      </c>
      <c r="G55" s="12" t="s">
        <v>43</v>
      </c>
      <c r="H55" s="17">
        <f t="shared" si="1"/>
        <v>45586.4878</v>
      </c>
      <c r="I55" s="18"/>
      <c r="J55" s="20" t="b">
        <v>1</v>
      </c>
      <c r="K55" s="17">
        <f t="shared" si="2"/>
        <v>45590.60682</v>
      </c>
      <c r="L55" s="11" t="s">
        <v>54</v>
      </c>
      <c r="M55" s="21" t="s">
        <v>45</v>
      </c>
    </row>
    <row r="56" ht="22.5" customHeight="1">
      <c r="B56" s="13">
        <f t="shared" si="3"/>
        <v>49</v>
      </c>
      <c r="C56" s="12" t="s">
        <v>105</v>
      </c>
      <c r="D56" s="14" t="str">
        <f t="array" ref="D56">IF(C56="","",IFNA(_xlfn.XLOOKUP(C56,'a 01'!$C$6:$C$999,'a 01'!$D$6:$D$999),""))</f>
        <v/>
      </c>
      <c r="E56" s="18" t="str">
        <f t="array" ref="E56">_xlfn.XLOOKUP(D56,Table_Warkah[Kode Tiket],Table_Warkah[Jenis Permohonan],"")</f>
        <v/>
      </c>
      <c r="F56" s="12" t="s">
        <v>42</v>
      </c>
      <c r="G56" s="12" t="s">
        <v>43</v>
      </c>
      <c r="H56" s="17">
        <f t="shared" si="1"/>
        <v>45586.4879</v>
      </c>
      <c r="I56" s="18"/>
      <c r="J56" s="20" t="b">
        <v>1</v>
      </c>
      <c r="K56" s="17">
        <f t="shared" si="2"/>
        <v>45614.66166</v>
      </c>
      <c r="L56" s="11" t="s">
        <v>54</v>
      </c>
      <c r="M56" s="21" t="s">
        <v>45</v>
      </c>
    </row>
    <row r="57" ht="22.5" customHeight="1">
      <c r="B57" s="13">
        <f t="shared" si="3"/>
        <v>50</v>
      </c>
      <c r="C57" s="12" t="s">
        <v>106</v>
      </c>
      <c r="D57" s="14" t="str">
        <f t="array" ref="D57">IF(C57="","",IFNA(_xlfn.XLOOKUP(C57,'a 01'!$C$6:$C$999,'a 01'!$D$6:$D$999),""))</f>
        <v/>
      </c>
      <c r="E57" s="18" t="str">
        <f t="array" ref="E57">_xlfn.XLOOKUP(D57,Table_Warkah[Kode Tiket],Table_Warkah[Jenis Permohonan],"")</f>
        <v/>
      </c>
      <c r="F57" s="12" t="s">
        <v>42</v>
      </c>
      <c r="G57" s="12" t="s">
        <v>43</v>
      </c>
      <c r="H57" s="17">
        <f t="shared" si="1"/>
        <v>45586.48802</v>
      </c>
      <c r="I57" s="18"/>
      <c r="J57" s="20" t="b">
        <v>1</v>
      </c>
      <c r="K57" s="17">
        <f t="shared" si="2"/>
        <v>45590.60712</v>
      </c>
      <c r="L57" s="11" t="s">
        <v>54</v>
      </c>
      <c r="M57" s="21" t="s">
        <v>45</v>
      </c>
    </row>
    <row r="58" ht="22.5" customHeight="1">
      <c r="B58" s="13">
        <f t="shared" si="3"/>
        <v>51</v>
      </c>
      <c r="C58" s="12" t="s">
        <v>107</v>
      </c>
      <c r="D58" s="14" t="str">
        <f t="array" ref="D58">IF(C58="","",IFNA(_xlfn.XLOOKUP(C58,'a 01'!$C$6:$C$999,'a 01'!$D$6:$D$999),""))</f>
        <v>K/13/161024/1</v>
      </c>
      <c r="E58" s="18" t="str">
        <f t="array" ref="E58">_xlfn.XLOOKUP(D58,Table_Warkah[Kode Tiket],Table_Warkah[Jenis Permohonan],"")</f>
        <v>BN Jual Beli</v>
      </c>
      <c r="F58" s="12" t="s">
        <v>42</v>
      </c>
      <c r="G58" s="12" t="s">
        <v>43</v>
      </c>
      <c r="H58" s="17">
        <f t="shared" si="1"/>
        <v>45586.48813</v>
      </c>
      <c r="I58" s="18"/>
      <c r="J58" s="20" t="b">
        <v>0</v>
      </c>
      <c r="K58" s="13" t="str">
        <f t="shared" si="2"/>
        <v/>
      </c>
      <c r="L58" s="13"/>
      <c r="M58" s="21" t="s">
        <v>45</v>
      </c>
    </row>
    <row r="59" ht="22.5" customHeight="1">
      <c r="B59" s="13">
        <f t="shared" si="3"/>
        <v>52</v>
      </c>
      <c r="C59" s="12" t="s">
        <v>108</v>
      </c>
      <c r="D59" s="14" t="str">
        <f t="array" ref="D59">IF(C59="","",IFNA(_xlfn.XLOOKUP(C59,'a 01'!$C$6:$C$999,'a 01'!$D$6:$D$999),""))</f>
        <v>K/14/171024/5</v>
      </c>
      <c r="E59" s="18" t="str">
        <f t="array" ref="E59">_xlfn.XLOOKUP(D59,Table_Warkah[Kode Tiket],Table_Warkah[Jenis Permohonan],"")</f>
        <v>BN Jual Beli</v>
      </c>
      <c r="F59" s="12" t="s">
        <v>42</v>
      </c>
      <c r="G59" s="12" t="s">
        <v>43</v>
      </c>
      <c r="H59" s="17">
        <f t="shared" si="1"/>
        <v>45586.48823</v>
      </c>
      <c r="I59" s="18"/>
      <c r="J59" s="20" t="b">
        <v>0</v>
      </c>
      <c r="K59" s="13" t="str">
        <f t="shared" si="2"/>
        <v/>
      </c>
      <c r="L59" s="13"/>
      <c r="M59" s="21" t="s">
        <v>45</v>
      </c>
    </row>
    <row r="60" ht="22.5" customHeight="1">
      <c r="B60" s="13">
        <f t="shared" si="3"/>
        <v>53</v>
      </c>
      <c r="C60" s="12" t="s">
        <v>109</v>
      </c>
      <c r="D60" s="14" t="str">
        <f t="array" ref="D60">IF(C60="","",IFNA(_xlfn.XLOOKUP(C60,'a 01'!$C$6:$C$999,'a 01'!$D$6:$D$999),""))</f>
        <v/>
      </c>
      <c r="E60" s="18" t="str">
        <f t="array" ref="E60">_xlfn.XLOOKUP(D60,Table_Warkah[Kode Tiket],Table_Warkah[Jenis Permohonan],"")</f>
        <v/>
      </c>
      <c r="F60" s="12" t="s">
        <v>42</v>
      </c>
      <c r="G60" s="12" t="s">
        <v>43</v>
      </c>
      <c r="H60" s="17">
        <f t="shared" si="1"/>
        <v>45586.48832</v>
      </c>
      <c r="I60" s="18"/>
      <c r="J60" s="20" t="b">
        <v>1</v>
      </c>
      <c r="K60" s="17">
        <f t="shared" si="2"/>
        <v>45600.38062</v>
      </c>
      <c r="L60" s="11" t="s">
        <v>54</v>
      </c>
      <c r="M60" s="21" t="s">
        <v>45</v>
      </c>
    </row>
    <row r="61" ht="22.5" customHeight="1">
      <c r="B61" s="13">
        <f t="shared" si="3"/>
        <v>54</v>
      </c>
      <c r="C61" s="12" t="s">
        <v>110</v>
      </c>
      <c r="D61" s="14" t="str">
        <f t="array" ref="D61">IF(C61="","",IFNA(_xlfn.XLOOKUP(C61,'a 01'!$C$6:$C$999,'a 01'!$D$6:$D$999),""))</f>
        <v/>
      </c>
      <c r="E61" s="18" t="str">
        <f t="array" ref="E61">_xlfn.XLOOKUP(D61,Table_Warkah[Kode Tiket],Table_Warkah[Jenis Permohonan],"")</f>
        <v/>
      </c>
      <c r="F61" s="12" t="s">
        <v>42</v>
      </c>
      <c r="G61" s="12" t="s">
        <v>43</v>
      </c>
      <c r="H61" s="17">
        <f t="shared" si="1"/>
        <v>45586.48844</v>
      </c>
      <c r="I61" s="18"/>
      <c r="J61" s="20" t="b">
        <v>1</v>
      </c>
      <c r="K61" s="17">
        <f t="shared" si="2"/>
        <v>45604.6047</v>
      </c>
      <c r="L61" s="11" t="s">
        <v>54</v>
      </c>
      <c r="M61" s="21" t="s">
        <v>45</v>
      </c>
    </row>
    <row r="62" ht="22.5" customHeight="1">
      <c r="B62" s="13">
        <f t="shared" si="3"/>
        <v>55</v>
      </c>
      <c r="C62" s="12" t="s">
        <v>111</v>
      </c>
      <c r="D62" s="14" t="str">
        <f t="array" ref="D62">IF(C62="","",IFNA(_xlfn.XLOOKUP(C62,'a 01'!$C$6:$C$999,'a 01'!$D$6:$D$999),""))</f>
        <v/>
      </c>
      <c r="E62" s="18" t="str">
        <f t="array" ref="E62">_xlfn.XLOOKUP(D62,Table_Warkah[Kode Tiket],Table_Warkah[Jenis Permohonan],"")</f>
        <v/>
      </c>
      <c r="F62" s="12" t="s">
        <v>42</v>
      </c>
      <c r="G62" s="12" t="s">
        <v>43</v>
      </c>
      <c r="H62" s="17">
        <f t="shared" si="1"/>
        <v>45586.48854</v>
      </c>
      <c r="I62" s="18"/>
      <c r="J62" s="20" t="b">
        <v>1</v>
      </c>
      <c r="K62" s="17">
        <f t="shared" si="2"/>
        <v>45590.6073</v>
      </c>
      <c r="L62" s="11" t="s">
        <v>54</v>
      </c>
      <c r="M62" s="21" t="s">
        <v>45</v>
      </c>
    </row>
    <row r="63" ht="22.5" customHeight="1">
      <c r="B63" s="13">
        <f t="shared" si="3"/>
        <v>56</v>
      </c>
      <c r="C63" s="12" t="s">
        <v>112</v>
      </c>
      <c r="D63" s="14" t="str">
        <f t="array" ref="D63">IF(C63="","",IFNA(_xlfn.XLOOKUP(C63,'a 01'!$C$6:$C$999,'a 01'!$D$6:$D$999),""))</f>
        <v/>
      </c>
      <c r="E63" s="18" t="str">
        <f t="array" ref="E63">_xlfn.XLOOKUP(D63,Table_Warkah[Kode Tiket],Table_Warkah[Jenis Permohonan],"")</f>
        <v/>
      </c>
      <c r="F63" s="12" t="s">
        <v>42</v>
      </c>
      <c r="G63" s="12" t="s">
        <v>43</v>
      </c>
      <c r="H63" s="17">
        <f t="shared" si="1"/>
        <v>45586.48864</v>
      </c>
      <c r="I63" s="18"/>
      <c r="J63" s="20" t="b">
        <v>0</v>
      </c>
      <c r="K63" s="13" t="str">
        <f t="shared" si="2"/>
        <v/>
      </c>
      <c r="L63" s="13"/>
      <c r="M63" s="21" t="s">
        <v>45</v>
      </c>
    </row>
    <row r="64" ht="22.5" customHeight="1">
      <c r="B64" s="13">
        <f t="shared" si="3"/>
        <v>57</v>
      </c>
      <c r="C64" s="12" t="s">
        <v>113</v>
      </c>
      <c r="D64" s="14" t="str">
        <f t="array" ref="D64">IF(C64="","",IFNA(_xlfn.XLOOKUP(C64,'a 01'!$C$6:$C$999,'a 01'!$D$6:$D$999),""))</f>
        <v/>
      </c>
      <c r="E64" s="18" t="str">
        <f t="array" ref="E64">_xlfn.XLOOKUP(D64,Table_Warkah[Kode Tiket],Table_Warkah[Jenis Permohonan],"")</f>
        <v/>
      </c>
      <c r="F64" s="12" t="s">
        <v>42</v>
      </c>
      <c r="G64" s="12" t="s">
        <v>43</v>
      </c>
      <c r="H64" s="17">
        <f t="shared" si="1"/>
        <v>45586.48876</v>
      </c>
      <c r="I64" s="18"/>
      <c r="J64" s="20" t="b">
        <v>1</v>
      </c>
      <c r="K64" s="17">
        <f t="shared" si="2"/>
        <v>45587.57674</v>
      </c>
      <c r="L64" s="11" t="s">
        <v>54</v>
      </c>
      <c r="M64" s="21" t="s">
        <v>45</v>
      </c>
    </row>
    <row r="65" ht="22.5" customHeight="1">
      <c r="B65" s="13">
        <f t="shared" si="3"/>
        <v>58</v>
      </c>
      <c r="C65" s="12" t="s">
        <v>114</v>
      </c>
      <c r="D65" s="14" t="str">
        <f t="array" ref="D65">IF(C65="","",IFNA(_xlfn.XLOOKUP(C65,'a 01'!$C$6:$C$999,'a 01'!$D$6:$D$999),""))</f>
        <v/>
      </c>
      <c r="E65" s="18" t="str">
        <f t="array" ref="E65">_xlfn.XLOOKUP(D65,Table_Warkah[Kode Tiket],Table_Warkah[Jenis Permohonan],"")</f>
        <v/>
      </c>
      <c r="F65" s="12" t="s">
        <v>42</v>
      </c>
      <c r="G65" s="12" t="s">
        <v>43</v>
      </c>
      <c r="H65" s="17">
        <f t="shared" si="1"/>
        <v>45586.48886</v>
      </c>
      <c r="I65" s="18"/>
      <c r="J65" s="20" t="b">
        <v>1</v>
      </c>
      <c r="K65" s="17">
        <f t="shared" si="2"/>
        <v>45593.44827</v>
      </c>
      <c r="L65" s="11" t="s">
        <v>54</v>
      </c>
      <c r="M65" s="21" t="s">
        <v>45</v>
      </c>
    </row>
    <row r="66" ht="22.5" customHeight="1">
      <c r="B66" s="13">
        <f t="shared" si="3"/>
        <v>59</v>
      </c>
      <c r="C66" s="12" t="s">
        <v>115</v>
      </c>
      <c r="D66" s="14" t="str">
        <f t="array" ref="D66">IF(C66="","",IFNA(_xlfn.XLOOKUP(C66,'a 01'!$C$6:$C$999,'a 01'!$D$6:$D$999),""))</f>
        <v/>
      </c>
      <c r="E66" s="18" t="str">
        <f t="array" ref="E66">_xlfn.XLOOKUP(D66,Table_Warkah[Kode Tiket],Table_Warkah[Jenis Permohonan],"")</f>
        <v/>
      </c>
      <c r="F66" s="12" t="s">
        <v>42</v>
      </c>
      <c r="G66" s="12" t="s">
        <v>43</v>
      </c>
      <c r="H66" s="17">
        <f t="shared" si="1"/>
        <v>45586.48897</v>
      </c>
      <c r="I66" s="18"/>
      <c r="J66" s="20" t="b">
        <v>1</v>
      </c>
      <c r="K66" s="17">
        <f t="shared" si="2"/>
        <v>45590.60656</v>
      </c>
      <c r="L66" s="11" t="s">
        <v>54</v>
      </c>
      <c r="M66" s="21" t="s">
        <v>45</v>
      </c>
    </row>
    <row r="67" ht="22.5" customHeight="1">
      <c r="B67" s="13">
        <f t="shared" si="3"/>
        <v>60</v>
      </c>
      <c r="C67" s="12" t="s">
        <v>116</v>
      </c>
      <c r="D67" s="14" t="str">
        <f t="array" ref="D67">IF(C67="","",IFNA(_xlfn.XLOOKUP(C67,'a 01'!$C$6:$C$999,'a 01'!$D$6:$D$999),""))</f>
        <v/>
      </c>
      <c r="E67" s="18" t="str">
        <f t="array" ref="E67">_xlfn.XLOOKUP(D67,Table_Warkah[Kode Tiket],Table_Warkah[Jenis Permohonan],"")</f>
        <v/>
      </c>
      <c r="F67" s="12" t="s">
        <v>42</v>
      </c>
      <c r="G67" s="12" t="s">
        <v>43</v>
      </c>
      <c r="H67" s="17">
        <f t="shared" si="1"/>
        <v>45586.48907</v>
      </c>
      <c r="I67" s="18"/>
      <c r="J67" s="20" t="b">
        <v>0</v>
      </c>
      <c r="K67" s="13" t="str">
        <f t="shared" si="2"/>
        <v/>
      </c>
      <c r="L67" s="13"/>
      <c r="M67" s="21" t="s">
        <v>45</v>
      </c>
    </row>
    <row r="68" ht="22.5" customHeight="1">
      <c r="B68" s="13">
        <f t="shared" si="3"/>
        <v>61</v>
      </c>
      <c r="C68" s="12" t="s">
        <v>117</v>
      </c>
      <c r="D68" s="14" t="str">
        <f t="array" ref="D68">IF(C68="","",IFNA(_xlfn.XLOOKUP(C68,'a 01'!$C$6:$C$999,'a 01'!$D$6:$D$999),""))</f>
        <v/>
      </c>
      <c r="E68" s="18" t="str">
        <f t="array" ref="E68">_xlfn.XLOOKUP(D68,Table_Warkah[Kode Tiket],Table_Warkah[Jenis Permohonan],"")</f>
        <v/>
      </c>
      <c r="F68" s="12" t="s">
        <v>42</v>
      </c>
      <c r="G68" s="12" t="s">
        <v>43</v>
      </c>
      <c r="H68" s="17">
        <f t="shared" si="1"/>
        <v>45586.48918</v>
      </c>
      <c r="I68" s="18"/>
      <c r="J68" s="20" t="b">
        <v>1</v>
      </c>
      <c r="K68" s="17">
        <f t="shared" si="2"/>
        <v>45587.57643</v>
      </c>
      <c r="L68" s="11" t="s">
        <v>54</v>
      </c>
      <c r="M68" s="21" t="s">
        <v>45</v>
      </c>
    </row>
    <row r="69" ht="22.5" customHeight="1">
      <c r="B69" s="13">
        <f t="shared" si="3"/>
        <v>62</v>
      </c>
      <c r="C69" s="12" t="s">
        <v>118</v>
      </c>
      <c r="D69" s="14" t="str">
        <f t="array" ref="D69">IF(C69="","",IFNA(_xlfn.XLOOKUP(C69,'a 01'!$C$6:$C$999,'a 01'!$D$6:$D$999),""))</f>
        <v/>
      </c>
      <c r="E69" s="18" t="str">
        <f t="array" ref="E69">_xlfn.XLOOKUP(D69,Table_Warkah[Kode Tiket],Table_Warkah[Jenis Permohonan],"")</f>
        <v/>
      </c>
      <c r="F69" s="12" t="s">
        <v>42</v>
      </c>
      <c r="G69" s="12" t="s">
        <v>43</v>
      </c>
      <c r="H69" s="17">
        <f t="shared" si="1"/>
        <v>45586.48959</v>
      </c>
      <c r="I69" s="18"/>
      <c r="J69" s="20" t="b">
        <v>1</v>
      </c>
      <c r="K69" s="17">
        <f t="shared" si="2"/>
        <v>45588.67832</v>
      </c>
      <c r="L69" s="11" t="s">
        <v>49</v>
      </c>
      <c r="M69" s="21" t="s">
        <v>45</v>
      </c>
    </row>
    <row r="70" ht="22.5" customHeight="1">
      <c r="B70" s="13">
        <f t="shared" si="3"/>
        <v>63</v>
      </c>
      <c r="C70" s="12" t="s">
        <v>119</v>
      </c>
      <c r="D70" s="14" t="str">
        <f t="array" ref="D70">IF(C70="","",IFNA(_xlfn.XLOOKUP(C70,'a 01'!$C$6:$C$999,'a 01'!$D$6:$D$999),""))</f>
        <v>L/16/161024/1</v>
      </c>
      <c r="E70" s="18" t="str">
        <f t="array" ref="E70">_xlfn.XLOOKUP(D70,Table_Warkah[Kode Tiket],Table_Warkah[Jenis Permohonan],"")</f>
        <v>ROYA</v>
      </c>
      <c r="F70" s="12" t="s">
        <v>42</v>
      </c>
      <c r="G70" s="12" t="s">
        <v>43</v>
      </c>
      <c r="H70" s="17">
        <f t="shared" si="1"/>
        <v>45586.48967</v>
      </c>
      <c r="I70" s="18"/>
      <c r="J70" s="20" t="b">
        <v>1</v>
      </c>
      <c r="K70" s="17">
        <f t="shared" si="2"/>
        <v>45590.70501</v>
      </c>
      <c r="L70" s="11" t="s">
        <v>49</v>
      </c>
      <c r="M70" s="21" t="s">
        <v>45</v>
      </c>
    </row>
    <row r="71" ht="22.5" customHeight="1">
      <c r="B71" s="13">
        <f t="shared" si="3"/>
        <v>64</v>
      </c>
      <c r="C71" s="12" t="s">
        <v>120</v>
      </c>
      <c r="D71" s="14" t="str">
        <f t="array" ref="D71">IF(C71="","",IFNA(_xlfn.XLOOKUP(C71,'a 01'!$C$6:$C$999,'a 01'!$D$6:$D$999),""))</f>
        <v>L/11/171024/1</v>
      </c>
      <c r="E71" s="18" t="str">
        <f t="array" ref="E71">_xlfn.XLOOKUP(D71,Table_Warkah[Kode Tiket],Table_Warkah[Jenis Permohonan],"")</f>
        <v>ROYA</v>
      </c>
      <c r="F71" s="12" t="s">
        <v>42</v>
      </c>
      <c r="G71" s="12" t="s">
        <v>43</v>
      </c>
      <c r="H71" s="17">
        <f t="shared" si="1"/>
        <v>45586.48976</v>
      </c>
      <c r="I71" s="18"/>
      <c r="J71" s="20" t="b">
        <v>1</v>
      </c>
      <c r="K71" s="17">
        <f t="shared" si="2"/>
        <v>45590.70535</v>
      </c>
      <c r="L71" s="11" t="s">
        <v>49</v>
      </c>
      <c r="M71" s="21" t="s">
        <v>45</v>
      </c>
    </row>
    <row r="72" ht="22.5" customHeight="1">
      <c r="B72" s="13">
        <f t="shared" si="3"/>
        <v>65</v>
      </c>
      <c r="C72" s="12" t="s">
        <v>121</v>
      </c>
      <c r="D72" s="14" t="str">
        <f t="array" ref="D72">IF(C72="","",IFNA(_xlfn.XLOOKUP(C72,'a 01'!$C$6:$C$999,'a 01'!$D$6:$D$999),""))</f>
        <v>L/6/171024/1</v>
      </c>
      <c r="E72" s="18" t="str">
        <f t="array" ref="E72">_xlfn.XLOOKUP(D72,Table_Warkah[Kode Tiket],Table_Warkah[Jenis Permohonan],"")</f>
        <v>ROYA</v>
      </c>
      <c r="F72" s="12" t="s">
        <v>42</v>
      </c>
      <c r="G72" s="12" t="s">
        <v>43</v>
      </c>
      <c r="H72" s="17">
        <f t="shared" si="1"/>
        <v>45586.48985</v>
      </c>
      <c r="I72" s="18"/>
      <c r="J72" s="20" t="b">
        <v>0</v>
      </c>
      <c r="K72" s="13" t="str">
        <f t="shared" si="2"/>
        <v/>
      </c>
      <c r="L72" s="13"/>
      <c r="M72" s="21" t="s">
        <v>45</v>
      </c>
    </row>
    <row r="73" ht="22.5" customHeight="1">
      <c r="B73" s="13">
        <f t="shared" si="3"/>
        <v>66</v>
      </c>
      <c r="C73" s="12" t="s">
        <v>122</v>
      </c>
      <c r="D73" s="14" t="str">
        <f t="array" ref="D73">IF(C73="","",IFNA(_xlfn.XLOOKUP(C73,'a 01'!$C$6:$C$999,'a 01'!$D$6:$D$999),""))</f>
        <v>K/12/151024/2</v>
      </c>
      <c r="E73" s="18" t="str">
        <f t="array" ref="E73">_xlfn.XLOOKUP(D73,Table_Warkah[Kode Tiket],Table_Warkah[Jenis Permohonan],"")</f>
        <v>BN Jual Beli</v>
      </c>
      <c r="F73" s="12" t="s">
        <v>42</v>
      </c>
      <c r="G73" s="12" t="s">
        <v>43</v>
      </c>
      <c r="H73" s="17">
        <f t="shared" si="1"/>
        <v>45587.63862</v>
      </c>
      <c r="I73" s="18"/>
      <c r="J73" s="20" t="b">
        <v>1</v>
      </c>
      <c r="K73" s="17">
        <f t="shared" si="2"/>
        <v>45587.63865</v>
      </c>
      <c r="L73" s="11" t="s">
        <v>54</v>
      </c>
      <c r="M73" s="21" t="s">
        <v>45</v>
      </c>
    </row>
    <row r="74" ht="22.5" customHeight="1">
      <c r="B74" s="13">
        <f t="shared" si="3"/>
        <v>67</v>
      </c>
      <c r="C74" s="12" t="s">
        <v>123</v>
      </c>
      <c r="D74" s="14" t="str">
        <f t="array" ref="D74">IF(C74="","",IFNA(_xlfn.XLOOKUP(C74,'a 01'!$C$6:$C$999,'a 01'!$D$6:$D$999),""))</f>
        <v/>
      </c>
      <c r="E74" s="18" t="str">
        <f t="array" ref="E74">_xlfn.XLOOKUP(D74,Table_Warkah[Kode Tiket],Table_Warkah[Jenis Permohonan],"")</f>
        <v/>
      </c>
      <c r="F74" s="12" t="s">
        <v>42</v>
      </c>
      <c r="G74" s="12" t="s">
        <v>43</v>
      </c>
      <c r="H74" s="17">
        <f t="shared" si="1"/>
        <v>45587.63931</v>
      </c>
      <c r="I74" s="18"/>
      <c r="J74" s="20" t="b">
        <v>1</v>
      </c>
      <c r="K74" s="17">
        <f t="shared" si="2"/>
        <v>45587.63932</v>
      </c>
      <c r="L74" s="11" t="s">
        <v>54</v>
      </c>
      <c r="M74" s="21" t="s">
        <v>45</v>
      </c>
    </row>
    <row r="75" ht="22.5" customHeight="1">
      <c r="B75" s="13">
        <f t="shared" si="3"/>
        <v>68</v>
      </c>
      <c r="C75" s="12" t="s">
        <v>124</v>
      </c>
      <c r="D75" s="14" t="str">
        <f t="array" ref="D75">IF(C75="","",IFNA(_xlfn.XLOOKUP(C75,'a 01'!$C$6:$C$999,'a 01'!$D$6:$D$999),""))</f>
        <v/>
      </c>
      <c r="E75" s="18" t="str">
        <f t="array" ref="E75">_xlfn.XLOOKUP(D75,Table_Warkah[Kode Tiket],Table_Warkah[Jenis Permohonan],"")</f>
        <v/>
      </c>
      <c r="F75" s="12" t="s">
        <v>42</v>
      </c>
      <c r="G75" s="12" t="s">
        <v>43</v>
      </c>
      <c r="H75" s="17">
        <f t="shared" si="1"/>
        <v>45588.38744</v>
      </c>
      <c r="I75" s="18"/>
      <c r="J75" s="20" t="b">
        <v>1</v>
      </c>
      <c r="K75" s="17">
        <f t="shared" si="2"/>
        <v>45596.40492</v>
      </c>
      <c r="L75" s="11" t="s">
        <v>54</v>
      </c>
      <c r="M75" s="21" t="s">
        <v>45</v>
      </c>
    </row>
    <row r="76" ht="22.5" customHeight="1">
      <c r="B76" s="13">
        <f t="shared" si="3"/>
        <v>69</v>
      </c>
      <c r="C76" s="12" t="s">
        <v>125</v>
      </c>
      <c r="D76" s="14" t="str">
        <f t="array" ref="D76">IF(C76="","",IFNA(_xlfn.XLOOKUP(C76,'a 01'!$C$6:$C$999,'a 01'!$D$6:$D$999),""))</f>
        <v>K/42/171024/1</v>
      </c>
      <c r="E76" s="18" t="str">
        <f t="array" ref="E76">_xlfn.XLOOKUP(D76,Table_Warkah[Kode Tiket],Table_Warkah[Jenis Permohonan],"")</f>
        <v>BN Jual Beli</v>
      </c>
      <c r="F76" s="12" t="s">
        <v>42</v>
      </c>
      <c r="G76" s="12" t="s">
        <v>43</v>
      </c>
      <c r="H76" s="17">
        <f t="shared" si="1"/>
        <v>45588.38747</v>
      </c>
      <c r="I76" s="18"/>
      <c r="J76" s="20" t="b">
        <v>1</v>
      </c>
      <c r="K76" s="17">
        <f t="shared" si="2"/>
        <v>45614.66166</v>
      </c>
      <c r="L76" s="11" t="s">
        <v>54</v>
      </c>
      <c r="M76" s="21" t="s">
        <v>45</v>
      </c>
    </row>
    <row r="77" ht="22.5" customHeight="1">
      <c r="B77" s="13">
        <f t="shared" si="3"/>
        <v>70</v>
      </c>
      <c r="C77" s="12" t="s">
        <v>126</v>
      </c>
      <c r="D77" s="14" t="str">
        <f t="array" ref="D77">IF(C77="","",IFNA(_xlfn.XLOOKUP(C77,'a 01'!$C$6:$C$999,'a 01'!$D$6:$D$999),""))</f>
        <v/>
      </c>
      <c r="E77" s="18" t="str">
        <f t="array" ref="E77">_xlfn.XLOOKUP(D77,Table_Warkah[Kode Tiket],Table_Warkah[Jenis Permohonan],"")</f>
        <v/>
      </c>
      <c r="F77" s="12" t="s">
        <v>42</v>
      </c>
      <c r="G77" s="12" t="s">
        <v>43</v>
      </c>
      <c r="H77" s="17">
        <f t="shared" si="1"/>
        <v>45588.38747</v>
      </c>
      <c r="I77" s="18"/>
      <c r="J77" s="20" t="b">
        <v>1</v>
      </c>
      <c r="K77" s="17">
        <f t="shared" si="2"/>
        <v>45593.6689</v>
      </c>
      <c r="L77" s="11" t="s">
        <v>54</v>
      </c>
      <c r="M77" s="21" t="s">
        <v>45</v>
      </c>
    </row>
    <row r="78" ht="22.5" customHeight="1">
      <c r="B78" s="13">
        <f t="shared" si="3"/>
        <v>71</v>
      </c>
      <c r="C78" s="12" t="s">
        <v>127</v>
      </c>
      <c r="D78" s="14" t="str">
        <f t="array" ref="D78">IF(C78="","",IFNA(_xlfn.XLOOKUP(C78,'a 01'!$C$6:$C$999,'a 01'!$D$6:$D$999),""))</f>
        <v/>
      </c>
      <c r="E78" s="18" t="str">
        <f t="array" ref="E78">_xlfn.XLOOKUP(D78,Table_Warkah[Kode Tiket],Table_Warkah[Jenis Permohonan],"")</f>
        <v/>
      </c>
      <c r="F78" s="12" t="s">
        <v>42</v>
      </c>
      <c r="G78" s="12" t="s">
        <v>43</v>
      </c>
      <c r="H78" s="17">
        <f t="shared" si="1"/>
        <v>45588.38747</v>
      </c>
      <c r="I78" s="18"/>
      <c r="J78" s="20" t="b">
        <v>0</v>
      </c>
      <c r="K78" s="13" t="str">
        <f t="shared" si="2"/>
        <v/>
      </c>
      <c r="L78" s="13"/>
      <c r="M78" s="21" t="s">
        <v>45</v>
      </c>
    </row>
    <row r="79" ht="22.5" customHeight="1">
      <c r="B79" s="13">
        <f t="shared" si="3"/>
        <v>72</v>
      </c>
      <c r="C79" s="12" t="s">
        <v>128</v>
      </c>
      <c r="D79" s="14" t="str">
        <f t="array" ref="D79">IF(C79="","",IFNA(_xlfn.XLOOKUP(C79,'a 01'!$C$6:$C$999,'a 01'!$D$6:$D$999),""))</f>
        <v/>
      </c>
      <c r="E79" s="18" t="str">
        <f t="array" ref="E79">_xlfn.XLOOKUP(D79,Table_Warkah[Kode Tiket],Table_Warkah[Jenis Permohonan],"")</f>
        <v/>
      </c>
      <c r="F79" s="12" t="s">
        <v>42</v>
      </c>
      <c r="G79" s="12" t="s">
        <v>43</v>
      </c>
      <c r="H79" s="17">
        <f t="shared" si="1"/>
        <v>45588.38747</v>
      </c>
      <c r="I79" s="18"/>
      <c r="J79" s="20" t="b">
        <v>1</v>
      </c>
      <c r="K79" s="17">
        <f t="shared" si="2"/>
        <v>45603.58051</v>
      </c>
      <c r="L79" s="11" t="s">
        <v>54</v>
      </c>
      <c r="M79" s="21" t="s">
        <v>45</v>
      </c>
    </row>
    <row r="80" ht="22.5" customHeight="1">
      <c r="B80" s="13">
        <f t="shared" si="3"/>
        <v>73</v>
      </c>
      <c r="C80" s="12" t="s">
        <v>129</v>
      </c>
      <c r="D80" s="14" t="str">
        <f t="array" ref="D80">IF(C80="","",IFNA(_xlfn.XLOOKUP(C80,'a 01'!$C$6:$C$999,'a 01'!$D$6:$D$999),""))</f>
        <v/>
      </c>
      <c r="E80" s="18" t="str">
        <f t="array" ref="E80">_xlfn.XLOOKUP(D80,Table_Warkah[Kode Tiket],Table_Warkah[Jenis Permohonan],"")</f>
        <v/>
      </c>
      <c r="F80" s="12" t="s">
        <v>42</v>
      </c>
      <c r="G80" s="12" t="s">
        <v>43</v>
      </c>
      <c r="H80" s="17">
        <f t="shared" si="1"/>
        <v>45588.38747</v>
      </c>
      <c r="I80" s="18"/>
      <c r="J80" s="20" t="b">
        <v>1</v>
      </c>
      <c r="K80" s="17">
        <f t="shared" si="2"/>
        <v>45593.66921</v>
      </c>
      <c r="L80" s="11" t="s">
        <v>54</v>
      </c>
      <c r="M80" s="21" t="s">
        <v>45</v>
      </c>
    </row>
    <row r="81" ht="22.5" customHeight="1">
      <c r="B81" s="13">
        <f t="shared" si="3"/>
        <v>74</v>
      </c>
      <c r="C81" s="12" t="s">
        <v>130</v>
      </c>
      <c r="D81" s="14" t="str">
        <f t="array" ref="D81">IF(C81="","",IFNA(_xlfn.XLOOKUP(C81,'a 01'!$C$6:$C$999,'a 01'!$D$6:$D$999),""))</f>
        <v/>
      </c>
      <c r="E81" s="18" t="str">
        <f t="array" ref="E81">_xlfn.XLOOKUP(D81,Table_Warkah[Kode Tiket],Table_Warkah[Jenis Permohonan],"")</f>
        <v/>
      </c>
      <c r="F81" s="12" t="s">
        <v>42</v>
      </c>
      <c r="G81" s="12" t="s">
        <v>43</v>
      </c>
      <c r="H81" s="17">
        <f t="shared" si="1"/>
        <v>45588.38747</v>
      </c>
      <c r="I81" s="18"/>
      <c r="J81" s="20" t="b">
        <v>1</v>
      </c>
      <c r="K81" s="17">
        <f t="shared" si="2"/>
        <v>45603.58014</v>
      </c>
      <c r="L81" s="11" t="s">
        <v>54</v>
      </c>
      <c r="M81" s="21" t="s">
        <v>45</v>
      </c>
    </row>
    <row r="82" ht="22.5" customHeight="1">
      <c r="B82" s="13">
        <f t="shared" si="3"/>
        <v>75</v>
      </c>
      <c r="C82" s="12" t="s">
        <v>131</v>
      </c>
      <c r="D82" s="14" t="str">
        <f t="array" ref="D82">IF(C82="","",IFNA(_xlfn.XLOOKUP(C82,'a 01'!$C$6:$C$999,'a 01'!$D$6:$D$999),""))</f>
        <v/>
      </c>
      <c r="E82" s="18" t="str">
        <f t="array" ref="E82">_xlfn.XLOOKUP(D82,Table_Warkah[Kode Tiket],Table_Warkah[Jenis Permohonan],"")</f>
        <v/>
      </c>
      <c r="F82" s="12" t="s">
        <v>42</v>
      </c>
      <c r="G82" s="12" t="s">
        <v>43</v>
      </c>
      <c r="H82" s="17">
        <f t="shared" si="1"/>
        <v>45588.38832</v>
      </c>
      <c r="I82" s="18"/>
      <c r="J82" s="20" t="b">
        <v>1</v>
      </c>
      <c r="K82" s="17">
        <f t="shared" si="2"/>
        <v>45596.40904</v>
      </c>
      <c r="L82" s="11" t="s">
        <v>54</v>
      </c>
      <c r="M82" s="21" t="s">
        <v>45</v>
      </c>
    </row>
    <row r="83" ht="22.5" customHeight="1">
      <c r="B83" s="13">
        <f t="shared" si="3"/>
        <v>76</v>
      </c>
      <c r="C83" s="12" t="s">
        <v>132</v>
      </c>
      <c r="D83" s="14" t="str">
        <f t="array" ref="D83">IF(C83="","",IFNA(_xlfn.XLOOKUP(C83,'a 01'!$C$6:$C$999,'a 01'!$D$6:$D$999),""))</f>
        <v/>
      </c>
      <c r="E83" s="18" t="str">
        <f t="array" ref="E83">_xlfn.XLOOKUP(D83,Table_Warkah[Kode Tiket],Table_Warkah[Jenis Permohonan],"")</f>
        <v/>
      </c>
      <c r="F83" s="12" t="s">
        <v>42</v>
      </c>
      <c r="G83" s="12" t="s">
        <v>43</v>
      </c>
      <c r="H83" s="17">
        <f t="shared" si="1"/>
        <v>45588.38832</v>
      </c>
      <c r="I83" s="18"/>
      <c r="J83" s="20" t="b">
        <v>1</v>
      </c>
      <c r="K83" s="17">
        <f t="shared" si="2"/>
        <v>45593.44816</v>
      </c>
      <c r="L83" s="11" t="s">
        <v>54</v>
      </c>
      <c r="M83" s="21" t="s">
        <v>45</v>
      </c>
    </row>
    <row r="84" ht="22.5" customHeight="1">
      <c r="B84" s="13">
        <f t="shared" si="3"/>
        <v>77</v>
      </c>
      <c r="C84" s="12" t="s">
        <v>133</v>
      </c>
      <c r="D84" s="14" t="str">
        <f t="array" ref="D84">IF(C84="","",IFNA(_xlfn.XLOOKUP(C84,'a 01'!$C$6:$C$999,'a 01'!$D$6:$D$999),""))</f>
        <v/>
      </c>
      <c r="E84" s="18" t="str">
        <f t="array" ref="E84">_xlfn.XLOOKUP(D84,Table_Warkah[Kode Tiket],Table_Warkah[Jenis Permohonan],"")</f>
        <v/>
      </c>
      <c r="F84" s="12" t="s">
        <v>42</v>
      </c>
      <c r="G84" s="12" t="s">
        <v>43</v>
      </c>
      <c r="H84" s="17">
        <f t="shared" si="1"/>
        <v>45588.38832</v>
      </c>
      <c r="I84" s="18"/>
      <c r="J84" s="20" t="b">
        <v>0</v>
      </c>
      <c r="K84" s="13" t="str">
        <f t="shared" si="2"/>
        <v/>
      </c>
      <c r="L84" s="13"/>
      <c r="M84" s="21" t="s">
        <v>45</v>
      </c>
    </row>
    <row r="85" ht="22.5" customHeight="1">
      <c r="B85" s="13">
        <f t="shared" si="3"/>
        <v>78</v>
      </c>
      <c r="C85" s="12" t="s">
        <v>134</v>
      </c>
      <c r="D85" s="14" t="str">
        <f t="array" ref="D85">IF(C85="","",IFNA(_xlfn.XLOOKUP(C85,'a 01'!$C$6:$C$999,'a 01'!$D$6:$D$999),""))</f>
        <v/>
      </c>
      <c r="E85" s="18" t="str">
        <f t="array" ref="E85">_xlfn.XLOOKUP(D85,Table_Warkah[Kode Tiket],Table_Warkah[Jenis Permohonan],"")</f>
        <v/>
      </c>
      <c r="F85" s="12" t="s">
        <v>42</v>
      </c>
      <c r="G85" s="12" t="s">
        <v>43</v>
      </c>
      <c r="H85" s="17">
        <f t="shared" si="1"/>
        <v>45588.38832</v>
      </c>
      <c r="I85" s="18"/>
      <c r="J85" s="20" t="b">
        <v>1</v>
      </c>
      <c r="K85" s="17">
        <f t="shared" si="2"/>
        <v>45593.67047</v>
      </c>
      <c r="L85" s="11" t="s">
        <v>54</v>
      </c>
      <c r="M85" s="21" t="s">
        <v>45</v>
      </c>
    </row>
    <row r="86" ht="22.5" customHeight="1">
      <c r="B86" s="13">
        <f t="shared" si="3"/>
        <v>79</v>
      </c>
      <c r="C86" s="12" t="s">
        <v>135</v>
      </c>
      <c r="D86" s="14" t="str">
        <f t="array" ref="D86">IF(C86="","",IFNA(_xlfn.XLOOKUP(C86,'a 01'!$C$6:$C$999,'a 01'!$D$6:$D$999),""))</f>
        <v>K/56/171024/1</v>
      </c>
      <c r="E86" s="18" t="str">
        <f t="array" ref="E86">_xlfn.XLOOKUP(D86,Table_Warkah[Kode Tiket],Table_Warkah[Jenis Permohonan],"")</f>
        <v>ROYA</v>
      </c>
      <c r="F86" s="12" t="s">
        <v>42</v>
      </c>
      <c r="G86" s="12" t="s">
        <v>43</v>
      </c>
      <c r="H86" s="17">
        <f t="shared" si="1"/>
        <v>45588.38832</v>
      </c>
      <c r="I86" s="18"/>
      <c r="J86" s="20" t="b">
        <v>1</v>
      </c>
      <c r="K86" s="17">
        <f t="shared" si="2"/>
        <v>45588.67781</v>
      </c>
      <c r="L86" s="11" t="s">
        <v>49</v>
      </c>
      <c r="M86" s="21" t="s">
        <v>45</v>
      </c>
    </row>
    <row r="87" ht="22.5" customHeight="1">
      <c r="B87" s="13">
        <f t="shared" si="3"/>
        <v>80</v>
      </c>
      <c r="C87" s="12" t="s">
        <v>136</v>
      </c>
      <c r="D87" s="14" t="str">
        <f t="array" ref="D87">IF(C87="","",IFNA(_xlfn.XLOOKUP(C87,'a 01'!$C$6:$C$999,'a 01'!$D$6:$D$999),""))</f>
        <v>L/44/171024/1</v>
      </c>
      <c r="E87" s="18" t="str">
        <f t="array" ref="E87">_xlfn.XLOOKUP(D87,Table_Warkah[Kode Tiket],Table_Warkah[Jenis Permohonan],"")</f>
        <v>ROYA</v>
      </c>
      <c r="F87" s="12" t="s">
        <v>42</v>
      </c>
      <c r="G87" s="12" t="s">
        <v>43</v>
      </c>
      <c r="H87" s="17">
        <f t="shared" si="1"/>
        <v>45588.38832</v>
      </c>
      <c r="I87" s="18"/>
      <c r="J87" s="20" t="b">
        <v>1</v>
      </c>
      <c r="K87" s="17">
        <f t="shared" si="2"/>
        <v>45590.70547</v>
      </c>
      <c r="L87" s="11" t="s">
        <v>49</v>
      </c>
      <c r="M87" s="21" t="s">
        <v>45</v>
      </c>
    </row>
    <row r="88" ht="22.5" customHeight="1">
      <c r="B88" s="13">
        <f t="shared" si="3"/>
        <v>81</v>
      </c>
      <c r="C88" s="12" t="s">
        <v>137</v>
      </c>
      <c r="D88" s="14" t="str">
        <f t="array" ref="D88">IF(C88="","",IFNA(_xlfn.XLOOKUP(C88,'a 01'!$C$6:$C$999,'a 01'!$D$6:$D$999),""))</f>
        <v>L/35/171024/1</v>
      </c>
      <c r="E88" s="18" t="str">
        <f t="array" ref="E88">_xlfn.XLOOKUP(D88,Table_Warkah[Kode Tiket],Table_Warkah[Jenis Permohonan],"")</f>
        <v>ROYA</v>
      </c>
      <c r="F88" s="12" t="s">
        <v>42</v>
      </c>
      <c r="G88" s="12" t="s">
        <v>43</v>
      </c>
      <c r="H88" s="17">
        <f t="shared" si="1"/>
        <v>45588.38832</v>
      </c>
      <c r="I88" s="18"/>
      <c r="J88" s="20" t="b">
        <v>1</v>
      </c>
      <c r="K88" s="17">
        <f t="shared" si="2"/>
        <v>45588.67769</v>
      </c>
      <c r="L88" s="11" t="s">
        <v>49</v>
      </c>
      <c r="M88" s="21" t="s">
        <v>45</v>
      </c>
    </row>
    <row r="89" ht="22.5" customHeight="1">
      <c r="B89" s="13">
        <f t="shared" si="3"/>
        <v>82</v>
      </c>
      <c r="C89" s="12" t="s">
        <v>138</v>
      </c>
      <c r="D89" s="14" t="str">
        <f t="array" ref="D89">IF(C89="","",IFNA(_xlfn.XLOOKUP(C89,'a 01'!$C$6:$C$999,'a 01'!$D$6:$D$999),""))</f>
        <v>L/40/171024/1</v>
      </c>
      <c r="E89" s="18" t="str">
        <f t="array" ref="E89">_xlfn.XLOOKUP(D89,Table_Warkah[Kode Tiket],Table_Warkah[Jenis Permohonan],"")</f>
        <v>ROYA</v>
      </c>
      <c r="F89" s="12" t="s">
        <v>42</v>
      </c>
      <c r="G89" s="12" t="s">
        <v>43</v>
      </c>
      <c r="H89" s="17">
        <f t="shared" si="1"/>
        <v>45588.38977</v>
      </c>
      <c r="I89" s="18"/>
      <c r="J89" s="20" t="b">
        <v>1</v>
      </c>
      <c r="K89" s="17">
        <f t="shared" si="2"/>
        <v>45588.67756</v>
      </c>
      <c r="L89" s="11" t="s">
        <v>49</v>
      </c>
      <c r="M89" s="21" t="s">
        <v>45</v>
      </c>
    </row>
    <row r="90" ht="22.5" customHeight="1">
      <c r="B90" s="13">
        <f t="shared" si="3"/>
        <v>83</v>
      </c>
      <c r="C90" s="12" t="s">
        <v>139</v>
      </c>
      <c r="D90" s="14" t="str">
        <f t="array" ref="D90">IF(C90="","",IFNA(_xlfn.XLOOKUP(C90,'a 01'!$C$6:$C$999,'a 01'!$D$6:$D$999),""))</f>
        <v/>
      </c>
      <c r="E90" s="18" t="str">
        <f t="array" ref="E90">_xlfn.XLOOKUP(D90,Table_Warkah[Kode Tiket],Table_Warkah[Jenis Permohonan],"")</f>
        <v/>
      </c>
      <c r="F90" s="12" t="s">
        <v>42</v>
      </c>
      <c r="G90" s="12" t="s">
        <v>43</v>
      </c>
      <c r="H90" s="17">
        <f t="shared" si="1"/>
        <v>45588.38978</v>
      </c>
      <c r="I90" s="18"/>
      <c r="J90" s="20" t="b">
        <v>0</v>
      </c>
      <c r="K90" s="13" t="str">
        <f t="shared" si="2"/>
        <v/>
      </c>
      <c r="L90" s="13"/>
      <c r="M90" s="21" t="s">
        <v>45</v>
      </c>
    </row>
    <row r="91" ht="22.5" customHeight="1">
      <c r="B91" s="13">
        <f t="shared" si="3"/>
        <v>84</v>
      </c>
      <c r="C91" s="12" t="s">
        <v>140</v>
      </c>
      <c r="D91" s="14" t="str">
        <f t="array" ref="D91">IF(C91="","",IFNA(_xlfn.XLOOKUP(C91,'a 01'!$C$6:$C$999,'a 01'!$D$6:$D$999),""))</f>
        <v/>
      </c>
      <c r="E91" s="18" t="str">
        <f t="array" ref="E91">_xlfn.XLOOKUP(D91,Table_Warkah[Kode Tiket],Table_Warkah[Jenis Permohonan],"")</f>
        <v/>
      </c>
      <c r="F91" s="12" t="s">
        <v>42</v>
      </c>
      <c r="G91" s="12" t="s">
        <v>43</v>
      </c>
      <c r="H91" s="17">
        <f t="shared" si="1"/>
        <v>45588.39001</v>
      </c>
      <c r="I91" s="18"/>
      <c r="J91" s="20" t="b">
        <v>1</v>
      </c>
      <c r="K91" s="17">
        <f t="shared" si="2"/>
        <v>45590.62272</v>
      </c>
      <c r="L91" s="11" t="s">
        <v>141</v>
      </c>
      <c r="M91" s="21" t="s">
        <v>45</v>
      </c>
    </row>
    <row r="92" ht="22.5" customHeight="1">
      <c r="B92" s="13">
        <f t="shared" si="3"/>
        <v>85</v>
      </c>
      <c r="C92" s="12" t="s">
        <v>142</v>
      </c>
      <c r="D92" s="14" t="str">
        <f t="array" ref="D92">IF(C92="","",IFNA(_xlfn.XLOOKUP(C92,'a 01'!$C$6:$C$999,'a 01'!$D$6:$D$999),""))</f>
        <v/>
      </c>
      <c r="E92" s="18" t="str">
        <f t="array" ref="E92">_xlfn.XLOOKUP(D92,Table_Warkah[Kode Tiket],Table_Warkah[Jenis Permohonan],"")</f>
        <v/>
      </c>
      <c r="F92" s="12" t="s">
        <v>42</v>
      </c>
      <c r="G92" s="12" t="s">
        <v>43</v>
      </c>
      <c r="H92" s="17">
        <f t="shared" si="1"/>
        <v>45588.46426</v>
      </c>
      <c r="I92" s="18"/>
      <c r="J92" s="20" t="b">
        <v>1</v>
      </c>
      <c r="K92" s="17">
        <f t="shared" si="2"/>
        <v>45588.67812</v>
      </c>
      <c r="L92" s="11" t="s">
        <v>49</v>
      </c>
      <c r="M92" s="21" t="s">
        <v>45</v>
      </c>
    </row>
    <row r="93" ht="22.5" customHeight="1">
      <c r="B93" s="13">
        <f t="shared" si="3"/>
        <v>86</v>
      </c>
      <c r="C93" s="12" t="s">
        <v>143</v>
      </c>
      <c r="D93" s="14" t="str">
        <f t="array" ref="D93">IF(C93="","",IFNA(_xlfn.XLOOKUP(C93,'a 01'!$C$6:$C$999,'a 01'!$D$6:$D$999),""))</f>
        <v>K/6/181024/1</v>
      </c>
      <c r="E93" s="18" t="str">
        <f t="array" ref="E93">_xlfn.XLOOKUP(D93,Table_Warkah[Kode Tiket],Table_Warkah[Jenis Permohonan],"")</f>
        <v>Roya</v>
      </c>
      <c r="F93" s="12" t="s">
        <v>42</v>
      </c>
      <c r="G93" s="12" t="s">
        <v>43</v>
      </c>
      <c r="H93" s="17">
        <f t="shared" si="1"/>
        <v>45588.46426</v>
      </c>
      <c r="I93" s="18"/>
      <c r="J93" s="20" t="b">
        <v>0</v>
      </c>
      <c r="K93" s="13" t="str">
        <f t="shared" si="2"/>
        <v/>
      </c>
      <c r="L93" s="13"/>
      <c r="M93" s="21" t="s">
        <v>45</v>
      </c>
    </row>
    <row r="94" ht="22.5" customHeight="1">
      <c r="B94" s="13">
        <f t="shared" si="3"/>
        <v>87</v>
      </c>
      <c r="C94" s="12" t="s">
        <v>144</v>
      </c>
      <c r="D94" s="14" t="str">
        <f t="array" ref="D94">IF(C94="","",IFNA(_xlfn.XLOOKUP(C94,'a 01'!$C$6:$C$999,'a 01'!$D$6:$D$999),""))</f>
        <v>L/57/181024/1</v>
      </c>
      <c r="E94" s="18" t="str">
        <f t="array" ref="E94">_xlfn.XLOOKUP(D94,Table_Warkah[Kode Tiket],Table_Warkah[Jenis Permohonan],"")</f>
        <v>ROYA</v>
      </c>
      <c r="F94" s="12" t="s">
        <v>42</v>
      </c>
      <c r="G94" s="12" t="s">
        <v>43</v>
      </c>
      <c r="H94" s="17">
        <f t="shared" si="1"/>
        <v>45588.46426</v>
      </c>
      <c r="I94" s="18"/>
      <c r="J94" s="20" t="b">
        <v>0</v>
      </c>
      <c r="K94" s="13" t="str">
        <f t="shared" si="2"/>
        <v/>
      </c>
      <c r="L94" s="13"/>
      <c r="M94" s="21" t="s">
        <v>45</v>
      </c>
    </row>
    <row r="95" ht="22.5" customHeight="1">
      <c r="B95" s="13">
        <f t="shared" si="3"/>
        <v>88</v>
      </c>
      <c r="C95" s="12" t="s">
        <v>145</v>
      </c>
      <c r="D95" s="14" t="str">
        <f t="array" ref="D95">IF(C95="","",IFNA(_xlfn.XLOOKUP(C95,'a 01'!$C$6:$C$999,'a 01'!$D$6:$D$999),""))</f>
        <v/>
      </c>
      <c r="E95" s="18" t="str">
        <f t="array" ref="E95">_xlfn.XLOOKUP(D95,Table_Warkah[Kode Tiket],Table_Warkah[Jenis Permohonan],"")</f>
        <v/>
      </c>
      <c r="F95" s="12" t="s">
        <v>42</v>
      </c>
      <c r="G95" s="12" t="s">
        <v>43</v>
      </c>
      <c r="H95" s="17">
        <f t="shared" si="1"/>
        <v>45588.46426</v>
      </c>
      <c r="I95" s="18"/>
      <c r="J95" s="20" t="b">
        <v>1</v>
      </c>
      <c r="K95" s="17">
        <f t="shared" si="2"/>
        <v>45590.70471</v>
      </c>
      <c r="L95" s="11" t="s">
        <v>49</v>
      </c>
      <c r="M95" s="21" t="s">
        <v>45</v>
      </c>
    </row>
    <row r="96" ht="22.5" customHeight="1">
      <c r="B96" s="13">
        <f t="shared" si="3"/>
        <v>89</v>
      </c>
      <c r="C96" s="12" t="s">
        <v>146</v>
      </c>
      <c r="D96" s="14" t="str">
        <f t="array" ref="D96">IF(C96="","",IFNA(_xlfn.XLOOKUP(C96,'a 01'!$C$6:$C$999,'a 01'!$D$6:$D$999),""))</f>
        <v/>
      </c>
      <c r="E96" s="18" t="str">
        <f t="array" ref="E96">_xlfn.XLOOKUP(D96,Table_Warkah[Kode Tiket],Table_Warkah[Jenis Permohonan],"")</f>
        <v/>
      </c>
      <c r="F96" s="12" t="s">
        <v>42</v>
      </c>
      <c r="G96" s="12" t="s">
        <v>43</v>
      </c>
      <c r="H96" s="17">
        <f t="shared" si="1"/>
        <v>45588.46426</v>
      </c>
      <c r="I96" s="18"/>
      <c r="J96" s="20" t="b">
        <v>1</v>
      </c>
      <c r="K96" s="17">
        <f t="shared" si="2"/>
        <v>45601.44126</v>
      </c>
      <c r="L96" s="11" t="s">
        <v>49</v>
      </c>
      <c r="M96" s="21" t="s">
        <v>45</v>
      </c>
    </row>
    <row r="97" ht="22.5" customHeight="1">
      <c r="B97" s="13">
        <f t="shared" si="3"/>
        <v>90</v>
      </c>
      <c r="C97" s="12" t="s">
        <v>147</v>
      </c>
      <c r="D97" s="14" t="str">
        <f t="array" ref="D97">IF(C97="","",IFNA(_xlfn.XLOOKUP(C97,'a 01'!$C$6:$C$999,'a 01'!$D$6:$D$999),""))</f>
        <v/>
      </c>
      <c r="E97" s="18" t="str">
        <f t="array" ref="E97">_xlfn.XLOOKUP(D97,Table_Warkah[Kode Tiket],Table_Warkah[Jenis Permohonan],"")</f>
        <v/>
      </c>
      <c r="F97" s="12" t="s">
        <v>42</v>
      </c>
      <c r="G97" s="12" t="s">
        <v>43</v>
      </c>
      <c r="H97" s="17">
        <f t="shared" si="1"/>
        <v>45588.46426</v>
      </c>
      <c r="I97" s="18"/>
      <c r="J97" s="20" t="b">
        <v>1</v>
      </c>
      <c r="K97" s="17">
        <f t="shared" si="2"/>
        <v>45596.41035</v>
      </c>
      <c r="L97" s="11" t="s">
        <v>54</v>
      </c>
      <c r="M97" s="21" t="s">
        <v>45</v>
      </c>
    </row>
    <row r="98" ht="22.5" customHeight="1">
      <c r="B98" s="13">
        <f t="shared" si="3"/>
        <v>91</v>
      </c>
      <c r="C98" s="12" t="s">
        <v>148</v>
      </c>
      <c r="D98" s="14" t="str">
        <f t="array" ref="D98">IF(C98="","",IFNA(_xlfn.XLOOKUP(C98,'a 01'!$C$6:$C$999,'a 01'!$D$6:$D$999),""))</f>
        <v/>
      </c>
      <c r="E98" s="18" t="str">
        <f t="array" ref="E98">_xlfn.XLOOKUP(D98,Table_Warkah[Kode Tiket],Table_Warkah[Jenis Permohonan],"")</f>
        <v/>
      </c>
      <c r="F98" s="12" t="s">
        <v>42</v>
      </c>
      <c r="G98" s="12" t="s">
        <v>43</v>
      </c>
      <c r="H98" s="17">
        <f t="shared" si="1"/>
        <v>45588.46426</v>
      </c>
      <c r="I98" s="18"/>
      <c r="J98" s="20" t="b">
        <v>1</v>
      </c>
      <c r="K98" s="17">
        <f t="shared" si="2"/>
        <v>45593.66966</v>
      </c>
      <c r="L98" s="11" t="s">
        <v>54</v>
      </c>
      <c r="M98" s="21" t="s">
        <v>45</v>
      </c>
    </row>
    <row r="99" ht="22.5" customHeight="1">
      <c r="B99" s="13">
        <f t="shared" si="3"/>
        <v>92</v>
      </c>
      <c r="C99" s="12" t="s">
        <v>149</v>
      </c>
      <c r="D99" s="14" t="str">
        <f t="array" ref="D99">IF(C99="","",IFNA(_xlfn.XLOOKUP(C99,'a 01'!$C$6:$C$999,'a 01'!$D$6:$D$999),""))</f>
        <v/>
      </c>
      <c r="E99" s="18" t="str">
        <f t="array" ref="E99">_xlfn.XLOOKUP(D99,Table_Warkah[Kode Tiket],Table_Warkah[Jenis Permohonan],"")</f>
        <v/>
      </c>
      <c r="F99" s="12" t="s">
        <v>42</v>
      </c>
      <c r="G99" s="12" t="s">
        <v>43</v>
      </c>
      <c r="H99" s="17">
        <f t="shared" si="1"/>
        <v>45588.46426</v>
      </c>
      <c r="I99" s="18"/>
      <c r="J99" s="20" t="b">
        <v>1</v>
      </c>
      <c r="K99" s="17">
        <f t="shared" si="2"/>
        <v>45604.60471</v>
      </c>
      <c r="L99" s="11" t="s">
        <v>54</v>
      </c>
      <c r="M99" s="21" t="s">
        <v>45</v>
      </c>
    </row>
    <row r="100" ht="22.5" customHeight="1">
      <c r="B100" s="13">
        <f t="shared" si="3"/>
        <v>93</v>
      </c>
      <c r="C100" s="12" t="s">
        <v>150</v>
      </c>
      <c r="D100" s="14" t="str">
        <f t="array" ref="D100">IF(C100="","",IFNA(_xlfn.XLOOKUP(C100,'a 01'!$C$6:$C$999,'a 01'!$D$6:$D$999),""))</f>
        <v>K/46/181024/2</v>
      </c>
      <c r="E100" s="18" t="str">
        <f t="array" ref="E100">_xlfn.XLOOKUP(D100,Table_Warkah[Kode Tiket],Table_Warkah[Jenis Permohonan],"")</f>
        <v>KEWARISAN</v>
      </c>
      <c r="F100" s="12" t="s">
        <v>42</v>
      </c>
      <c r="G100" s="12" t="s">
        <v>43</v>
      </c>
      <c r="H100" s="17">
        <f t="shared" si="1"/>
        <v>45588.46426</v>
      </c>
      <c r="I100" s="18"/>
      <c r="J100" s="20" t="b">
        <v>1</v>
      </c>
      <c r="K100" s="17">
        <f t="shared" si="2"/>
        <v>45596.40805</v>
      </c>
      <c r="L100" s="11" t="s">
        <v>54</v>
      </c>
      <c r="M100" s="21" t="s">
        <v>45</v>
      </c>
    </row>
    <row r="101" ht="22.5" customHeight="1">
      <c r="B101" s="13">
        <f t="shared" si="3"/>
        <v>94</v>
      </c>
      <c r="C101" s="12" t="s">
        <v>151</v>
      </c>
      <c r="D101" s="14" t="str">
        <f t="array" ref="D101">IF(C101="","",IFNA(_xlfn.XLOOKUP(C101,'a 01'!$C$6:$C$999,'a 01'!$D$6:$D$999),""))</f>
        <v/>
      </c>
      <c r="E101" s="18" t="str">
        <f t="array" ref="E101">_xlfn.XLOOKUP(D101,Table_Warkah[Kode Tiket],Table_Warkah[Jenis Permohonan],"")</f>
        <v/>
      </c>
      <c r="F101" s="12" t="s">
        <v>42</v>
      </c>
      <c r="G101" s="12" t="s">
        <v>43</v>
      </c>
      <c r="H101" s="17">
        <f t="shared" si="1"/>
        <v>45588.46426</v>
      </c>
      <c r="I101" s="18"/>
      <c r="J101" s="20" t="b">
        <v>1</v>
      </c>
      <c r="K101" s="17">
        <f t="shared" si="2"/>
        <v>45614.66166</v>
      </c>
      <c r="L101" s="11" t="s">
        <v>54</v>
      </c>
      <c r="M101" s="21" t="s">
        <v>45</v>
      </c>
    </row>
    <row r="102" ht="22.5" customHeight="1">
      <c r="B102" s="13">
        <f t="shared" si="3"/>
        <v>95</v>
      </c>
      <c r="C102" s="12" t="s">
        <v>152</v>
      </c>
      <c r="D102" s="14" t="str">
        <f t="array" ref="D102">IF(C102="","",IFNA(_xlfn.XLOOKUP(C102,'a 01'!$C$6:$C$999,'a 01'!$D$6:$D$999),""))</f>
        <v/>
      </c>
      <c r="E102" s="18" t="str">
        <f t="array" ref="E102">_xlfn.XLOOKUP(D102,Table_Warkah[Kode Tiket],Table_Warkah[Jenis Permohonan],"")</f>
        <v/>
      </c>
      <c r="F102" s="12" t="s">
        <v>42</v>
      </c>
      <c r="G102" s="12" t="s">
        <v>43</v>
      </c>
      <c r="H102" s="17">
        <f t="shared" si="1"/>
        <v>45588.46426</v>
      </c>
      <c r="I102" s="18"/>
      <c r="J102" s="20" t="b">
        <v>1</v>
      </c>
      <c r="K102" s="17">
        <f t="shared" si="2"/>
        <v>45603.58039</v>
      </c>
      <c r="L102" s="11" t="s">
        <v>54</v>
      </c>
      <c r="M102" s="21" t="s">
        <v>45</v>
      </c>
    </row>
    <row r="103" ht="22.5" customHeight="1">
      <c r="B103" s="13">
        <f t="shared" si="3"/>
        <v>96</v>
      </c>
      <c r="C103" s="12" t="s">
        <v>153</v>
      </c>
      <c r="D103" s="14" t="str">
        <f t="array" ref="D103">IF(C103="","",IFNA(_xlfn.XLOOKUP(C103,'a 01'!$C$6:$C$999,'a 01'!$D$6:$D$999),""))</f>
        <v>K/34/181024/2</v>
      </c>
      <c r="E103" s="18" t="str">
        <f t="array" ref="E103">_xlfn.XLOOKUP(D103,Table_Warkah[Kode Tiket],Table_Warkah[Jenis Permohonan],"")</f>
        <v>PERALIHAN JUAL BELI</v>
      </c>
      <c r="F103" s="12" t="s">
        <v>42</v>
      </c>
      <c r="G103" s="12" t="s">
        <v>43</v>
      </c>
      <c r="H103" s="17">
        <f t="shared" si="1"/>
        <v>45588.46426</v>
      </c>
      <c r="I103" s="18"/>
      <c r="J103" s="20" t="b">
        <v>1</v>
      </c>
      <c r="K103" s="17">
        <f t="shared" si="2"/>
        <v>45593.44774</v>
      </c>
      <c r="L103" s="11" t="s">
        <v>54</v>
      </c>
      <c r="M103" s="21" t="s">
        <v>45</v>
      </c>
    </row>
    <row r="104" ht="22.5" customHeight="1">
      <c r="B104" s="13">
        <f t="shared" si="3"/>
        <v>97</v>
      </c>
      <c r="C104" s="12" t="s">
        <v>154</v>
      </c>
      <c r="D104" s="14" t="str">
        <f t="array" ref="D104">IF(C104="","",IFNA(_xlfn.XLOOKUP(C104,'a 01'!$C$6:$C$999,'a 01'!$D$6:$D$999),""))</f>
        <v/>
      </c>
      <c r="E104" s="18" t="str">
        <f t="array" ref="E104">_xlfn.XLOOKUP(D104,Table_Warkah[Kode Tiket],Table_Warkah[Jenis Permohonan],"")</f>
        <v/>
      </c>
      <c r="F104" s="12" t="s">
        <v>42</v>
      </c>
      <c r="G104" s="12" t="s">
        <v>43</v>
      </c>
      <c r="H104" s="17">
        <f t="shared" si="1"/>
        <v>45588.46426</v>
      </c>
      <c r="I104" s="18"/>
      <c r="J104" s="20" t="b">
        <v>1</v>
      </c>
      <c r="K104" s="17">
        <f t="shared" si="2"/>
        <v>45596.40824</v>
      </c>
      <c r="L104" s="11" t="s">
        <v>54</v>
      </c>
      <c r="M104" s="21" t="s">
        <v>45</v>
      </c>
    </row>
    <row r="105" ht="22.5" customHeight="1">
      <c r="B105" s="13">
        <f t="shared" si="3"/>
        <v>98</v>
      </c>
      <c r="C105" s="12" t="s">
        <v>155</v>
      </c>
      <c r="D105" s="14" t="str">
        <f t="array" ref="D105">IF(C105="","",IFNA(_xlfn.XLOOKUP(C105,'a 01'!$C$6:$C$999,'a 01'!$D$6:$D$999),""))</f>
        <v/>
      </c>
      <c r="E105" s="18" t="str">
        <f t="array" ref="E105">_xlfn.XLOOKUP(D105,Table_Warkah[Kode Tiket],Table_Warkah[Jenis Permohonan],"")</f>
        <v/>
      </c>
      <c r="F105" s="12" t="s">
        <v>42</v>
      </c>
      <c r="G105" s="12" t="s">
        <v>43</v>
      </c>
      <c r="H105" s="17">
        <f t="shared" si="1"/>
        <v>45588.46426</v>
      </c>
      <c r="I105" s="18"/>
      <c r="J105" s="20" t="b">
        <v>1</v>
      </c>
      <c r="K105" s="17">
        <f t="shared" si="2"/>
        <v>45590.60642</v>
      </c>
      <c r="L105" s="11" t="s">
        <v>54</v>
      </c>
      <c r="M105" s="21" t="s">
        <v>45</v>
      </c>
    </row>
    <row r="106" ht="22.5" customHeight="1">
      <c r="B106" s="13">
        <f t="shared" si="3"/>
        <v>99</v>
      </c>
      <c r="C106" s="12" t="s">
        <v>156</v>
      </c>
      <c r="D106" s="14" t="str">
        <f t="array" ref="D106">IF(C106="","",IFNA(_xlfn.XLOOKUP(C106,'a 01'!$C$6:$C$999,'a 01'!$D$6:$D$999),""))</f>
        <v>K/45/181024/1</v>
      </c>
      <c r="E106" s="18" t="str">
        <f t="array" ref="E106">_xlfn.XLOOKUP(D106,Table_Warkah[Kode Tiket],Table_Warkah[Jenis Permohonan],"")</f>
        <v>KEWARISAN</v>
      </c>
      <c r="F106" s="12" t="s">
        <v>42</v>
      </c>
      <c r="G106" s="12" t="s">
        <v>43</v>
      </c>
      <c r="H106" s="17">
        <f t="shared" si="1"/>
        <v>45588.46426</v>
      </c>
      <c r="I106" s="18"/>
      <c r="J106" s="20" t="b">
        <v>1</v>
      </c>
      <c r="K106" s="17">
        <f t="shared" si="2"/>
        <v>45614.66166</v>
      </c>
      <c r="L106" s="11" t="s">
        <v>54</v>
      </c>
      <c r="M106" s="21" t="s">
        <v>45</v>
      </c>
    </row>
    <row r="107" ht="22.5" customHeight="1">
      <c r="B107" s="13">
        <f t="shared" si="3"/>
        <v>100</v>
      </c>
      <c r="C107" s="12" t="s">
        <v>157</v>
      </c>
      <c r="D107" s="14" t="str">
        <f t="array" ref="D107">IF(C107="","",IFNA(_xlfn.XLOOKUP(C107,'a 01'!$C$6:$C$999,'a 01'!$D$6:$D$999),""))</f>
        <v/>
      </c>
      <c r="E107" s="18" t="str">
        <f t="array" ref="E107">_xlfn.XLOOKUP(D107,Table_Warkah[Kode Tiket],Table_Warkah[Jenis Permohonan],"")</f>
        <v/>
      </c>
      <c r="F107" s="12" t="s">
        <v>42</v>
      </c>
      <c r="G107" s="12" t="s">
        <v>43</v>
      </c>
      <c r="H107" s="17">
        <f t="shared" si="1"/>
        <v>45588.46426</v>
      </c>
      <c r="I107" s="18"/>
      <c r="J107" s="20" t="b">
        <v>0</v>
      </c>
      <c r="K107" s="13" t="str">
        <f t="shared" si="2"/>
        <v/>
      </c>
      <c r="L107" s="13"/>
      <c r="M107" s="21" t="s">
        <v>45</v>
      </c>
    </row>
    <row r="108" ht="22.5" customHeight="1">
      <c r="B108" s="13">
        <f t="shared" si="3"/>
        <v>101</v>
      </c>
      <c r="C108" s="12" t="s">
        <v>157</v>
      </c>
      <c r="D108" s="14" t="str">
        <f t="array" ref="D108">IF(C108="","",IFNA(_xlfn.XLOOKUP(C108,'a 01'!$C$6:$C$999,'a 01'!$D$6:$D$999),""))</f>
        <v/>
      </c>
      <c r="E108" s="18" t="str">
        <f t="array" ref="E108">_xlfn.XLOOKUP(D108,Table_Warkah[Kode Tiket],Table_Warkah[Jenis Permohonan],"")</f>
        <v/>
      </c>
      <c r="F108" s="12" t="s">
        <v>42</v>
      </c>
      <c r="G108" s="12" t="s">
        <v>43</v>
      </c>
      <c r="H108" s="17">
        <f t="shared" si="1"/>
        <v>45588.46426</v>
      </c>
      <c r="I108" s="18"/>
      <c r="J108" s="20" t="b">
        <v>1</v>
      </c>
      <c r="K108" s="17">
        <f t="shared" si="2"/>
        <v>45590.60623</v>
      </c>
      <c r="L108" s="11" t="s">
        <v>54</v>
      </c>
      <c r="M108" s="21" t="s">
        <v>45</v>
      </c>
      <c r="N108" s="1" t="s">
        <v>158</v>
      </c>
    </row>
    <row r="109" ht="22.5" customHeight="1">
      <c r="B109" s="13">
        <f t="shared" si="3"/>
        <v>102</v>
      </c>
      <c r="C109" s="12" t="s">
        <v>159</v>
      </c>
      <c r="D109" s="14" t="str">
        <f t="array" ref="D109">IF(C109="","",IFNA(_xlfn.XLOOKUP(C109,'a 01'!$C$6:$C$999,'a 01'!$D$6:$D$999),""))</f>
        <v/>
      </c>
      <c r="E109" s="18" t="str">
        <f t="array" ref="E109">_xlfn.XLOOKUP(D109,Table_Warkah[Kode Tiket],Table_Warkah[Jenis Permohonan],"")</f>
        <v/>
      </c>
      <c r="F109" s="12" t="s">
        <v>42</v>
      </c>
      <c r="G109" s="12" t="s">
        <v>43</v>
      </c>
      <c r="H109" s="17">
        <f t="shared" si="1"/>
        <v>45588.60939</v>
      </c>
      <c r="I109" s="18"/>
      <c r="J109" s="20" t="b">
        <v>0</v>
      </c>
      <c r="K109" s="13" t="str">
        <f t="shared" si="2"/>
        <v/>
      </c>
      <c r="L109" s="13"/>
      <c r="M109" s="21" t="s">
        <v>45</v>
      </c>
    </row>
    <row r="110" ht="22.5" customHeight="1">
      <c r="B110" s="13">
        <f t="shared" si="3"/>
        <v>103</v>
      </c>
      <c r="C110" s="12" t="s">
        <v>160</v>
      </c>
      <c r="D110" s="14" t="str">
        <f t="array" ref="D110">IF(C110="","",IFNA(_xlfn.XLOOKUP(C110,'a 01'!$C$6:$C$999,'a 01'!$D$6:$D$999),""))</f>
        <v>L/23/211024/1</v>
      </c>
      <c r="E110" s="18" t="str">
        <f t="array" ref="E110">_xlfn.XLOOKUP(D110,Table_Warkah[Kode Tiket],Table_Warkah[Jenis Permohonan],"")</f>
        <v>PH</v>
      </c>
      <c r="F110" s="12" t="s">
        <v>42</v>
      </c>
      <c r="G110" s="12" t="s">
        <v>43</v>
      </c>
      <c r="H110" s="17">
        <f t="shared" si="1"/>
        <v>45588.61072</v>
      </c>
      <c r="I110" s="18"/>
      <c r="J110" s="20" t="b">
        <v>1</v>
      </c>
      <c r="K110" s="17">
        <f t="shared" si="2"/>
        <v>45596.68963</v>
      </c>
      <c r="L110" s="11" t="s">
        <v>66</v>
      </c>
      <c r="M110" s="21" t="s">
        <v>45</v>
      </c>
    </row>
    <row r="111" ht="22.5" customHeight="1">
      <c r="B111" s="13">
        <f t="shared" si="3"/>
        <v>104</v>
      </c>
      <c r="C111" s="12" t="s">
        <v>161</v>
      </c>
      <c r="D111" s="14" t="str">
        <f t="array" ref="D111">IF(C111="","",IFNA(_xlfn.XLOOKUP(C111,'a 01'!$C$6:$C$999,'a 01'!$D$6:$D$999),""))</f>
        <v>K/16/211024/2</v>
      </c>
      <c r="E111" s="18" t="str">
        <f t="array" ref="E111">_xlfn.XLOOKUP(D111,Table_Warkah[Kode Tiket],Table_Warkah[Jenis Permohonan],"")</f>
        <v>BN Jual Beli</v>
      </c>
      <c r="F111" s="12" t="s">
        <v>42</v>
      </c>
      <c r="G111" s="12" t="s">
        <v>43</v>
      </c>
      <c r="H111" s="17">
        <f t="shared" si="1"/>
        <v>45588.61072</v>
      </c>
      <c r="I111" s="18"/>
      <c r="J111" s="20" t="b">
        <v>0</v>
      </c>
      <c r="K111" s="13" t="str">
        <f t="shared" si="2"/>
        <v/>
      </c>
      <c r="L111" s="13"/>
      <c r="M111" s="21" t="s">
        <v>45</v>
      </c>
    </row>
    <row r="112" ht="22.5" customHeight="1">
      <c r="B112" s="13">
        <f t="shared" si="3"/>
        <v>105</v>
      </c>
      <c r="C112" s="12" t="s">
        <v>162</v>
      </c>
      <c r="D112" s="14" t="str">
        <f t="array" ref="D112">IF(C112="","",IFNA(_xlfn.XLOOKUP(C112,'a 01'!$C$6:$C$999,'a 01'!$D$6:$D$999),""))</f>
        <v/>
      </c>
      <c r="E112" s="18" t="str">
        <f t="array" ref="E112">_xlfn.XLOOKUP(D112,Table_Warkah[Kode Tiket],Table_Warkah[Jenis Permohonan],"")</f>
        <v/>
      </c>
      <c r="F112" s="12" t="s">
        <v>42</v>
      </c>
      <c r="G112" s="12" t="s">
        <v>43</v>
      </c>
      <c r="H112" s="17">
        <f t="shared" si="1"/>
        <v>45588.61072</v>
      </c>
      <c r="I112" s="18"/>
      <c r="J112" s="20" t="b">
        <v>1</v>
      </c>
      <c r="K112" s="17">
        <f t="shared" si="2"/>
        <v>45593.66943</v>
      </c>
      <c r="L112" s="11" t="s">
        <v>54</v>
      </c>
      <c r="M112" s="21" t="s">
        <v>45</v>
      </c>
    </row>
    <row r="113" ht="22.5" customHeight="1">
      <c r="B113" s="13">
        <f t="shared" si="3"/>
        <v>106</v>
      </c>
      <c r="C113" s="12" t="s">
        <v>163</v>
      </c>
      <c r="D113" s="14" t="str">
        <f t="array" ref="D113">IF(C113="","",IFNA(_xlfn.XLOOKUP(C113,'a 01'!$C$6:$C$999,'a 01'!$D$6:$D$999),""))</f>
        <v>K/48/211024/1</v>
      </c>
      <c r="E113" s="18" t="str">
        <f t="array" ref="E113">_xlfn.XLOOKUP(D113,Table_Warkah[Kode Tiket],Table_Warkah[Jenis Permohonan],"")</f>
        <v>BN Jual Beli</v>
      </c>
      <c r="F113" s="12" t="s">
        <v>42</v>
      </c>
      <c r="G113" s="12" t="s">
        <v>43</v>
      </c>
      <c r="H113" s="17">
        <f t="shared" si="1"/>
        <v>45588.61072</v>
      </c>
      <c r="I113" s="18"/>
      <c r="J113" s="20" t="b">
        <v>1</v>
      </c>
      <c r="K113" s="17">
        <f t="shared" si="2"/>
        <v>45593.44793</v>
      </c>
      <c r="L113" s="11" t="s">
        <v>54</v>
      </c>
      <c r="M113" s="21" t="s">
        <v>45</v>
      </c>
    </row>
    <row r="114" ht="22.5" customHeight="1">
      <c r="B114" s="13">
        <f t="shared" si="3"/>
        <v>107</v>
      </c>
      <c r="C114" s="12" t="s">
        <v>164</v>
      </c>
      <c r="D114" s="14" t="str">
        <f t="array" ref="D114">IF(C114="","",IFNA(_xlfn.XLOOKUP(C114,'a 01'!$C$6:$C$999,'a 01'!$D$6:$D$999),""))</f>
        <v>K/47/211024/1</v>
      </c>
      <c r="E114" s="18" t="str">
        <f t="array" ref="E114">_xlfn.XLOOKUP(D114,Table_Warkah[Kode Tiket],Table_Warkah[Jenis Permohonan],"")</f>
        <v>PERALIHAN JUAL BELI</v>
      </c>
      <c r="F114" s="12" t="s">
        <v>42</v>
      </c>
      <c r="G114" s="12" t="s">
        <v>43</v>
      </c>
      <c r="H114" s="17">
        <f t="shared" si="1"/>
        <v>45588.61072</v>
      </c>
      <c r="I114" s="18"/>
      <c r="J114" s="20" t="b">
        <v>1</v>
      </c>
      <c r="K114" s="17">
        <f t="shared" si="2"/>
        <v>45594.6127</v>
      </c>
      <c r="L114" s="11" t="s">
        <v>54</v>
      </c>
      <c r="M114" s="21" t="s">
        <v>45</v>
      </c>
    </row>
    <row r="115" ht="22.5" customHeight="1">
      <c r="B115" s="13">
        <f t="shared" si="3"/>
        <v>108</v>
      </c>
      <c r="C115" s="12" t="s">
        <v>165</v>
      </c>
      <c r="D115" s="14" t="str">
        <f t="array" ref="D115">IF(C115="","",IFNA(_xlfn.XLOOKUP(C115,'a 01'!$C$6:$C$999,'a 01'!$D$6:$D$999),""))</f>
        <v/>
      </c>
      <c r="E115" s="18" t="str">
        <f t="array" ref="E115">_xlfn.XLOOKUP(D115,Table_Warkah[Kode Tiket],Table_Warkah[Jenis Permohonan],"")</f>
        <v/>
      </c>
      <c r="F115" s="12" t="s">
        <v>42</v>
      </c>
      <c r="G115" s="12" t="s">
        <v>43</v>
      </c>
      <c r="H115" s="17">
        <f t="shared" si="1"/>
        <v>45588.61072</v>
      </c>
      <c r="I115" s="18"/>
      <c r="J115" s="20" t="b">
        <v>1</v>
      </c>
      <c r="K115" s="17">
        <f t="shared" si="2"/>
        <v>45614.66166</v>
      </c>
      <c r="L115" s="11" t="s">
        <v>54</v>
      </c>
      <c r="M115" s="21" t="s">
        <v>45</v>
      </c>
    </row>
    <row r="116" ht="22.5" customHeight="1">
      <c r="B116" s="13">
        <f t="shared" si="3"/>
        <v>109</v>
      </c>
      <c r="C116" s="12" t="s">
        <v>166</v>
      </c>
      <c r="D116" s="14" t="str">
        <f t="array" ref="D116">IF(C116="","",IFNA(_xlfn.XLOOKUP(C116,'a 01'!$C$6:$C$999,'a 01'!$D$6:$D$999),""))</f>
        <v/>
      </c>
      <c r="E116" s="18" t="str">
        <f t="array" ref="E116">_xlfn.XLOOKUP(D116,Table_Warkah[Kode Tiket],Table_Warkah[Jenis Permohonan],"")</f>
        <v/>
      </c>
      <c r="F116" s="12" t="s">
        <v>42</v>
      </c>
      <c r="G116" s="12" t="s">
        <v>43</v>
      </c>
      <c r="H116" s="17">
        <f t="shared" si="1"/>
        <v>45588.61072</v>
      </c>
      <c r="I116" s="18"/>
      <c r="J116" s="20" t="b">
        <v>0</v>
      </c>
      <c r="K116" s="13" t="str">
        <f t="shared" si="2"/>
        <v/>
      </c>
      <c r="L116" s="13"/>
      <c r="M116" s="21" t="s">
        <v>45</v>
      </c>
    </row>
    <row r="117" ht="22.5" customHeight="1">
      <c r="B117" s="13">
        <f t="shared" si="3"/>
        <v>110</v>
      </c>
      <c r="C117" s="12" t="s">
        <v>167</v>
      </c>
      <c r="D117" s="14" t="str">
        <f t="array" ref="D117">IF(C117="","",IFNA(_xlfn.XLOOKUP(C117,'a 01'!$C$6:$C$999,'a 01'!$D$6:$D$999),""))</f>
        <v>L/40/211024/1</v>
      </c>
      <c r="E117" s="18" t="str">
        <f t="array" ref="E117">_xlfn.XLOOKUP(D117,Table_Warkah[Kode Tiket],Table_Warkah[Jenis Permohonan],"")</f>
        <v>ROYA LELANG</v>
      </c>
      <c r="F117" s="12" t="s">
        <v>42</v>
      </c>
      <c r="G117" s="12" t="s">
        <v>43</v>
      </c>
      <c r="H117" s="17">
        <f t="shared" si="1"/>
        <v>45588.61072</v>
      </c>
      <c r="I117" s="18"/>
      <c r="J117" s="20" t="b">
        <v>0</v>
      </c>
      <c r="K117" s="13" t="str">
        <f t="shared" si="2"/>
        <v/>
      </c>
      <c r="L117" s="13"/>
      <c r="M117" s="21" t="s">
        <v>45</v>
      </c>
    </row>
    <row r="118" ht="22.5" customHeight="1">
      <c r="B118" s="13">
        <f t="shared" si="3"/>
        <v>111</v>
      </c>
      <c r="C118" s="12" t="s">
        <v>168</v>
      </c>
      <c r="D118" s="14" t="str">
        <f t="array" ref="D118">IF(C118="","",IFNA(_xlfn.XLOOKUP(C118,'a 01'!$C$6:$C$999,'a 01'!$D$6:$D$999),""))</f>
        <v>L/28/211024/1</v>
      </c>
      <c r="E118" s="18" t="str">
        <f t="array" ref="E118">_xlfn.XLOOKUP(D118,Table_Warkah[Kode Tiket],Table_Warkah[Jenis Permohonan],"")</f>
        <v>ROYA</v>
      </c>
      <c r="F118" s="12" t="s">
        <v>42</v>
      </c>
      <c r="G118" s="12" t="s">
        <v>43</v>
      </c>
      <c r="H118" s="17">
        <f t="shared" si="1"/>
        <v>45588.61072</v>
      </c>
      <c r="I118" s="18"/>
      <c r="J118" s="20" t="b">
        <v>0</v>
      </c>
      <c r="K118" s="13" t="str">
        <f t="shared" si="2"/>
        <v/>
      </c>
      <c r="L118" s="13"/>
      <c r="M118" s="21" t="s">
        <v>45</v>
      </c>
    </row>
    <row r="119" ht="22.5" customHeight="1">
      <c r="B119" s="13">
        <f t="shared" si="3"/>
        <v>112</v>
      </c>
      <c r="C119" s="12" t="s">
        <v>169</v>
      </c>
      <c r="D119" s="14" t="str">
        <f t="array" ref="D119">IF(C119="","",IFNA(_xlfn.XLOOKUP(C119,'a 01'!$C$6:$C$999,'a 01'!$D$6:$D$999),""))</f>
        <v>L/33/211024/1</v>
      </c>
      <c r="E119" s="18" t="str">
        <f t="array" ref="E119">_xlfn.XLOOKUP(D119,Table_Warkah[Kode Tiket],Table_Warkah[Jenis Permohonan],"")</f>
        <v>ROYA</v>
      </c>
      <c r="F119" s="12" t="s">
        <v>42</v>
      </c>
      <c r="G119" s="12" t="s">
        <v>43</v>
      </c>
      <c r="H119" s="17">
        <f t="shared" si="1"/>
        <v>45588.61072</v>
      </c>
      <c r="I119" s="18"/>
      <c r="J119" s="20" t="b">
        <v>1</v>
      </c>
      <c r="K119" s="17">
        <f t="shared" si="2"/>
        <v>45590.70487</v>
      </c>
      <c r="L119" s="11" t="s">
        <v>49</v>
      </c>
      <c r="M119" s="21" t="s">
        <v>45</v>
      </c>
      <c r="N119" s="1" t="s">
        <v>170</v>
      </c>
    </row>
    <row r="120" ht="22.5" customHeight="1">
      <c r="B120" s="13">
        <f t="shared" si="3"/>
        <v>113</v>
      </c>
      <c r="C120" s="12" t="s">
        <v>171</v>
      </c>
      <c r="D120" s="14" t="str">
        <f t="array" ref="D120">IF(C120="","",IFNA(_xlfn.XLOOKUP(C120,'a 01'!$C$6:$C$999,'a 01'!$D$6:$D$999),""))</f>
        <v/>
      </c>
      <c r="E120" s="18" t="str">
        <f t="array" ref="E120">_xlfn.XLOOKUP(D120,Table_Warkah[Kode Tiket],Table_Warkah[Jenis Permohonan],"")</f>
        <v/>
      </c>
      <c r="F120" s="12" t="s">
        <v>42</v>
      </c>
      <c r="G120" s="12" t="s">
        <v>43</v>
      </c>
      <c r="H120" s="17">
        <f t="shared" si="1"/>
        <v>45588.61072</v>
      </c>
      <c r="I120" s="18"/>
      <c r="J120" s="20" t="b">
        <v>1</v>
      </c>
      <c r="K120" s="17">
        <f t="shared" si="2"/>
        <v>45590.70525</v>
      </c>
      <c r="L120" s="11" t="s">
        <v>49</v>
      </c>
      <c r="M120" s="21" t="s">
        <v>45</v>
      </c>
    </row>
    <row r="121" ht="22.5" customHeight="1">
      <c r="B121" s="13">
        <f t="shared" si="3"/>
        <v>114</v>
      </c>
      <c r="C121" s="12" t="s">
        <v>172</v>
      </c>
      <c r="D121" s="14" t="str">
        <f t="array" ref="D121">IF(C121="","",IFNA(_xlfn.XLOOKUP(C121,'a 01'!$C$6:$C$999,'a 01'!$D$6:$D$999),""))</f>
        <v>L/9/211024/1</v>
      </c>
      <c r="E121" s="18" t="str">
        <f t="array" ref="E121">_xlfn.XLOOKUP(D121,Table_Warkah[Kode Tiket],Table_Warkah[Jenis Permohonan],"")</f>
        <v>ROYA</v>
      </c>
      <c r="F121" s="12" t="s">
        <v>42</v>
      </c>
      <c r="G121" s="12" t="s">
        <v>43</v>
      </c>
      <c r="H121" s="17">
        <f t="shared" si="1"/>
        <v>45588.66062</v>
      </c>
      <c r="I121" s="18"/>
      <c r="J121" s="20" t="b">
        <v>0</v>
      </c>
      <c r="K121" s="13" t="str">
        <f t="shared" si="2"/>
        <v/>
      </c>
      <c r="L121" s="13"/>
      <c r="M121" s="21" t="s">
        <v>45</v>
      </c>
    </row>
    <row r="122" ht="22.5" customHeight="1">
      <c r="B122" s="13">
        <f t="shared" si="3"/>
        <v>115</v>
      </c>
      <c r="C122" s="12" t="s">
        <v>173</v>
      </c>
      <c r="D122" s="14" t="str">
        <f t="array" ref="D122">IF(C122="","",IFNA(_xlfn.XLOOKUP(C122,'a 01'!$C$6:$C$999,'a 01'!$D$6:$D$999),""))</f>
        <v>L/8/211024/1</v>
      </c>
      <c r="E122" s="18" t="str">
        <f t="array" ref="E122">_xlfn.XLOOKUP(D122,Table_Warkah[Kode Tiket],Table_Warkah[Jenis Permohonan],"")</f>
        <v>ROYA</v>
      </c>
      <c r="F122" s="12" t="s">
        <v>42</v>
      </c>
      <c r="G122" s="12" t="s">
        <v>43</v>
      </c>
      <c r="H122" s="17">
        <f t="shared" si="1"/>
        <v>45588.66073</v>
      </c>
      <c r="I122" s="18"/>
      <c r="J122" s="20" t="b">
        <v>0</v>
      </c>
      <c r="K122" s="13" t="str">
        <f t="shared" si="2"/>
        <v/>
      </c>
      <c r="L122" s="13"/>
      <c r="M122" s="21" t="s">
        <v>45</v>
      </c>
    </row>
    <row r="123" ht="22.5" customHeight="1">
      <c r="B123" s="13">
        <f t="shared" si="3"/>
        <v>116</v>
      </c>
      <c r="C123" s="12" t="s">
        <v>174</v>
      </c>
      <c r="D123" s="14" t="str">
        <f t="array" ref="D123">IF(C123="","",IFNA(_xlfn.XLOOKUP(C123,'a 01'!$C$6:$C$999,'a 01'!$D$6:$D$999),""))</f>
        <v/>
      </c>
      <c r="E123" s="18" t="str">
        <f t="array" ref="E123">_xlfn.XLOOKUP(D123,Table_Warkah[Kode Tiket],Table_Warkah[Jenis Permohonan],"")</f>
        <v/>
      </c>
      <c r="F123" s="12" t="s">
        <v>42</v>
      </c>
      <c r="G123" s="12" t="s">
        <v>43</v>
      </c>
      <c r="H123" s="17">
        <f t="shared" si="1"/>
        <v>45588.67949</v>
      </c>
      <c r="I123" s="18"/>
      <c r="J123" s="20" t="b">
        <v>1</v>
      </c>
      <c r="K123" s="17">
        <f t="shared" si="2"/>
        <v>45590.62228</v>
      </c>
      <c r="L123" s="11" t="s">
        <v>141</v>
      </c>
      <c r="M123" s="21" t="s">
        <v>45</v>
      </c>
    </row>
    <row r="124" ht="22.5" customHeight="1">
      <c r="B124" s="13">
        <f t="shared" si="3"/>
        <v>117</v>
      </c>
      <c r="C124" s="12" t="s">
        <v>175</v>
      </c>
      <c r="D124" s="14" t="str">
        <f t="array" ref="D124">IF(C124="","",IFNA(_xlfn.XLOOKUP(C124,'a 01'!$C$6:$C$999,'a 01'!$D$6:$D$999),""))</f>
        <v/>
      </c>
      <c r="E124" s="18" t="str">
        <f t="array" ref="E124">_xlfn.XLOOKUP(D124,Table_Warkah[Kode Tiket],Table_Warkah[Jenis Permohonan],"")</f>
        <v/>
      </c>
      <c r="F124" s="12" t="s">
        <v>42</v>
      </c>
      <c r="G124" s="12" t="s">
        <v>43</v>
      </c>
      <c r="H124" s="17">
        <f t="shared" si="1"/>
        <v>45588.67949</v>
      </c>
      <c r="I124" s="18"/>
      <c r="J124" s="20" t="b">
        <v>1</v>
      </c>
      <c r="K124" s="17">
        <f t="shared" si="2"/>
        <v>45596.40373</v>
      </c>
      <c r="L124" s="11" t="s">
        <v>54</v>
      </c>
      <c r="M124" s="21" t="s">
        <v>45</v>
      </c>
    </row>
    <row r="125" ht="22.5" customHeight="1">
      <c r="B125" s="13">
        <f t="shared" si="3"/>
        <v>118</v>
      </c>
      <c r="C125" s="12" t="s">
        <v>176</v>
      </c>
      <c r="D125" s="14" t="str">
        <f t="array" ref="D125">IF(C125="","",IFNA(_xlfn.XLOOKUP(C125,'a 01'!$C$6:$C$999,'a 01'!$D$6:$D$999),""))</f>
        <v>K/14/211024/1</v>
      </c>
      <c r="E125" s="18" t="str">
        <f t="array" ref="E125">_xlfn.XLOOKUP(D125,Table_Warkah[Kode Tiket],Table_Warkah[Jenis Permohonan],"")</f>
        <v>BN Jual Beli</v>
      </c>
      <c r="F125" s="12" t="s">
        <v>42</v>
      </c>
      <c r="G125" s="12" t="s">
        <v>43</v>
      </c>
      <c r="H125" s="17">
        <f t="shared" si="1"/>
        <v>45588.67949</v>
      </c>
      <c r="I125" s="18"/>
      <c r="J125" s="20" t="b">
        <v>0</v>
      </c>
      <c r="K125" s="13" t="str">
        <f t="shared" si="2"/>
        <v/>
      </c>
      <c r="L125" s="13"/>
      <c r="M125" s="21" t="s">
        <v>45</v>
      </c>
    </row>
    <row r="126" ht="22.5" customHeight="1">
      <c r="B126" s="13">
        <f t="shared" si="3"/>
        <v>119</v>
      </c>
      <c r="C126" s="12" t="s">
        <v>177</v>
      </c>
      <c r="D126" s="14" t="str">
        <f t="array" ref="D126">IF(C126="","",IFNA(_xlfn.XLOOKUP(C126,'a 01'!$C$6:$C$999,'a 01'!$D$6:$D$999),""))</f>
        <v/>
      </c>
      <c r="E126" s="18" t="str">
        <f t="array" ref="E126">_xlfn.XLOOKUP(D126,Table_Warkah[Kode Tiket],Table_Warkah[Jenis Permohonan],"")</f>
        <v/>
      </c>
      <c r="F126" s="12" t="s">
        <v>42</v>
      </c>
      <c r="G126" s="12" t="s">
        <v>43</v>
      </c>
      <c r="H126" s="17">
        <f t="shared" si="1"/>
        <v>45588.67949</v>
      </c>
      <c r="I126" s="18"/>
      <c r="J126" s="20" t="b">
        <v>1</v>
      </c>
      <c r="K126" s="17">
        <f t="shared" si="2"/>
        <v>45604.60489</v>
      </c>
      <c r="L126" s="11" t="s">
        <v>54</v>
      </c>
      <c r="M126" s="21" t="s">
        <v>45</v>
      </c>
    </row>
    <row r="127" ht="22.5" customHeight="1">
      <c r="B127" s="13">
        <f t="shared" si="3"/>
        <v>120</v>
      </c>
      <c r="C127" s="12" t="s">
        <v>178</v>
      </c>
      <c r="D127" s="14" t="str">
        <f t="array" ref="D127">IF(C127="","",IFNA(_xlfn.XLOOKUP(C127,'a 01'!$C$6:$C$999,'a 01'!$D$6:$D$999),""))</f>
        <v/>
      </c>
      <c r="E127" s="18" t="str">
        <f t="array" ref="E127">_xlfn.XLOOKUP(D127,Table_Warkah[Kode Tiket],Table_Warkah[Jenis Permohonan],"")</f>
        <v/>
      </c>
      <c r="F127" s="12" t="s">
        <v>42</v>
      </c>
      <c r="G127" s="12" t="s">
        <v>43</v>
      </c>
      <c r="H127" s="17">
        <f t="shared" si="1"/>
        <v>45588.67949</v>
      </c>
      <c r="I127" s="18"/>
      <c r="J127" s="20" t="b">
        <v>0</v>
      </c>
      <c r="K127" s="13" t="str">
        <f t="shared" si="2"/>
        <v/>
      </c>
      <c r="L127" s="13"/>
      <c r="M127" s="21" t="s">
        <v>45</v>
      </c>
    </row>
    <row r="128" ht="22.5" customHeight="1">
      <c r="B128" s="13">
        <f t="shared" si="3"/>
        <v>121</v>
      </c>
      <c r="C128" s="12" t="s">
        <v>179</v>
      </c>
      <c r="D128" s="14" t="str">
        <f t="array" ref="D128">IF(C128="","",IFNA(_xlfn.XLOOKUP(C128,'a 01'!$C$6:$C$999,'a 01'!$D$6:$D$999),""))</f>
        <v/>
      </c>
      <c r="E128" s="18" t="str">
        <f t="array" ref="E128">_xlfn.XLOOKUP(D128,Table_Warkah[Kode Tiket],Table_Warkah[Jenis Permohonan],"")</f>
        <v/>
      </c>
      <c r="F128" s="12" t="s">
        <v>42</v>
      </c>
      <c r="G128" s="12" t="s">
        <v>43</v>
      </c>
      <c r="H128" s="17">
        <f t="shared" si="1"/>
        <v>45588.67949</v>
      </c>
      <c r="I128" s="18"/>
      <c r="J128" s="20" t="b">
        <v>1</v>
      </c>
      <c r="K128" s="17">
        <f t="shared" si="2"/>
        <v>45593.44803</v>
      </c>
      <c r="L128" s="11" t="s">
        <v>54</v>
      </c>
      <c r="M128" s="21" t="s">
        <v>45</v>
      </c>
    </row>
    <row r="129" ht="22.5" customHeight="1">
      <c r="B129" s="13">
        <f t="shared" si="3"/>
        <v>122</v>
      </c>
      <c r="C129" s="12" t="s">
        <v>180</v>
      </c>
      <c r="D129" s="14" t="str">
        <f t="array" ref="D129">IF(C129="","",IFNA(_xlfn.XLOOKUP(C129,'a 01'!$C$6:$C$999,'a 01'!$D$6:$D$999),""))</f>
        <v/>
      </c>
      <c r="E129" s="18" t="str">
        <f t="array" ref="E129">_xlfn.XLOOKUP(D129,Table_Warkah[Kode Tiket],Table_Warkah[Jenis Permohonan],"")</f>
        <v/>
      </c>
      <c r="F129" s="12" t="s">
        <v>42</v>
      </c>
      <c r="G129" s="12" t="s">
        <v>43</v>
      </c>
      <c r="H129" s="17">
        <f t="shared" si="1"/>
        <v>45588.67949</v>
      </c>
      <c r="I129" s="18"/>
      <c r="J129" s="20" t="b">
        <v>1</v>
      </c>
      <c r="K129" s="17">
        <f t="shared" si="2"/>
        <v>45603.57991</v>
      </c>
      <c r="L129" s="11" t="s">
        <v>54</v>
      </c>
      <c r="M129" s="21" t="s">
        <v>45</v>
      </c>
    </row>
    <row r="130" ht="22.5" customHeight="1">
      <c r="B130" s="13">
        <f t="shared" si="3"/>
        <v>123</v>
      </c>
      <c r="C130" s="12" t="s">
        <v>181</v>
      </c>
      <c r="D130" s="14" t="str">
        <f t="array" ref="D130">IF(C130="","",IFNA(_xlfn.XLOOKUP(C130,'a 01'!$C$6:$C$999,'a 01'!$D$6:$D$999),""))</f>
        <v/>
      </c>
      <c r="E130" s="18" t="str">
        <f t="array" ref="E130">_xlfn.XLOOKUP(D130,Table_Warkah[Kode Tiket],Table_Warkah[Jenis Permohonan],"")</f>
        <v/>
      </c>
      <c r="F130" s="12" t="s">
        <v>42</v>
      </c>
      <c r="G130" s="12" t="s">
        <v>43</v>
      </c>
      <c r="H130" s="17">
        <f t="shared" si="1"/>
        <v>45588.67949</v>
      </c>
      <c r="I130" s="18"/>
      <c r="J130" s="20" t="b">
        <v>0</v>
      </c>
      <c r="K130" s="13" t="str">
        <f t="shared" si="2"/>
        <v/>
      </c>
      <c r="L130" s="13"/>
      <c r="M130" s="21" t="s">
        <v>45</v>
      </c>
    </row>
    <row r="131" ht="22.5" customHeight="1">
      <c r="B131" s="13">
        <f t="shared" si="3"/>
        <v>124</v>
      </c>
      <c r="C131" s="12" t="s">
        <v>182</v>
      </c>
      <c r="D131" s="14" t="str">
        <f t="array" ref="D131">IF(C131="","",IFNA(_xlfn.XLOOKUP(C131,'a 01'!$C$6:$C$999,'a 01'!$D$6:$D$999),""))</f>
        <v>K/20/211024/3</v>
      </c>
      <c r="E131" s="18" t="str">
        <f t="array" ref="E131">_xlfn.XLOOKUP(D131,Table_Warkah[Kode Tiket],Table_Warkah[Jenis Permohonan],"")</f>
        <v>BN Jual Beli</v>
      </c>
      <c r="F131" s="12" t="s">
        <v>42</v>
      </c>
      <c r="G131" s="12" t="s">
        <v>43</v>
      </c>
      <c r="H131" s="17">
        <f t="shared" si="1"/>
        <v>45588.67949</v>
      </c>
      <c r="I131" s="18"/>
      <c r="J131" s="20" t="b">
        <v>0</v>
      </c>
      <c r="K131" s="13" t="str">
        <f t="shared" si="2"/>
        <v/>
      </c>
      <c r="L131" s="13"/>
      <c r="M131" s="21" t="s">
        <v>45</v>
      </c>
    </row>
    <row r="132" ht="22.5" customHeight="1">
      <c r="B132" s="13">
        <f t="shared" si="3"/>
        <v>125</v>
      </c>
      <c r="C132" s="12" t="s">
        <v>183</v>
      </c>
      <c r="D132" s="14" t="str">
        <f t="array" ref="D132">IF(C132="","",IFNA(_xlfn.XLOOKUP(C132,'a 01'!$C$6:$C$999,'a 01'!$D$6:$D$999),""))</f>
        <v/>
      </c>
      <c r="E132" s="18" t="str">
        <f t="array" ref="E132">_xlfn.XLOOKUP(D132,Table_Warkah[Kode Tiket],Table_Warkah[Jenis Permohonan],"")</f>
        <v/>
      </c>
      <c r="F132" s="12" t="s">
        <v>42</v>
      </c>
      <c r="G132" s="12" t="s">
        <v>43</v>
      </c>
      <c r="H132" s="17">
        <f t="shared" si="1"/>
        <v>45590.38635</v>
      </c>
      <c r="I132" s="18"/>
      <c r="J132" s="20" t="b">
        <v>1</v>
      </c>
      <c r="K132" s="17">
        <f t="shared" si="2"/>
        <v>45590.38634</v>
      </c>
      <c r="L132" s="11" t="s">
        <v>54</v>
      </c>
      <c r="M132" s="21" t="s">
        <v>45</v>
      </c>
    </row>
    <row r="133" ht="22.5" customHeight="1">
      <c r="B133" s="13">
        <f t="shared" si="3"/>
        <v>126</v>
      </c>
      <c r="C133" s="12" t="s">
        <v>184</v>
      </c>
      <c r="D133" s="14" t="str">
        <f t="array" ref="D133">IF(C133="","",IFNA(_xlfn.XLOOKUP(C133,'a 01'!$C$6:$C$999,'a 01'!$D$6:$D$999),""))</f>
        <v/>
      </c>
      <c r="E133" s="18" t="str">
        <f t="array" ref="E133">_xlfn.XLOOKUP(D133,Table_Warkah[Kode Tiket],Table_Warkah[Jenis Permohonan],"")</f>
        <v/>
      </c>
      <c r="F133" s="12" t="s">
        <v>42</v>
      </c>
      <c r="G133" s="12" t="s">
        <v>43</v>
      </c>
      <c r="H133" s="17">
        <f t="shared" si="1"/>
        <v>45590.59597</v>
      </c>
      <c r="I133" s="18"/>
      <c r="J133" s="20" t="b">
        <v>0</v>
      </c>
      <c r="K133" s="13" t="str">
        <f t="shared" si="2"/>
        <v/>
      </c>
      <c r="L133" s="13"/>
      <c r="M133" s="21" t="s">
        <v>45</v>
      </c>
    </row>
    <row r="134" ht="22.5" customHeight="1">
      <c r="B134" s="13">
        <f t="shared" si="3"/>
        <v>127</v>
      </c>
      <c r="C134" s="12" t="s">
        <v>185</v>
      </c>
      <c r="D134" s="14" t="str">
        <f t="array" ref="D134">IF(C134="","",IFNA(_xlfn.XLOOKUP(C134,'a 01'!$C$6:$C$999,'a 01'!$D$6:$D$999),""))</f>
        <v/>
      </c>
      <c r="E134" s="18" t="str">
        <f t="array" ref="E134">_xlfn.XLOOKUP(D134,Table_Warkah[Kode Tiket],Table_Warkah[Jenis Permohonan],"")</f>
        <v/>
      </c>
      <c r="F134" s="12" t="s">
        <v>42</v>
      </c>
      <c r="G134" s="12" t="s">
        <v>43</v>
      </c>
      <c r="H134" s="17">
        <f t="shared" si="1"/>
        <v>45590.59597</v>
      </c>
      <c r="I134" s="18"/>
      <c r="J134" s="20" t="b">
        <v>1</v>
      </c>
      <c r="K134" s="17">
        <f t="shared" si="2"/>
        <v>45601.47631</v>
      </c>
      <c r="L134" s="11" t="s">
        <v>49</v>
      </c>
      <c r="M134" s="21" t="s">
        <v>45</v>
      </c>
    </row>
    <row r="135" ht="22.5" customHeight="1">
      <c r="B135" s="13">
        <f t="shared" si="3"/>
        <v>128</v>
      </c>
      <c r="C135" s="12" t="s">
        <v>186</v>
      </c>
      <c r="D135" s="14" t="str">
        <f t="array" ref="D135">IF(C135="","",IFNA(_xlfn.XLOOKUP(C135,'a 01'!$C$6:$C$999,'a 01'!$D$6:$D$999),""))</f>
        <v>K/5/231024/1</v>
      </c>
      <c r="E135" s="18" t="str">
        <f t="array" ref="E135">_xlfn.XLOOKUP(D135,Table_Warkah[Kode Tiket],Table_Warkah[Jenis Permohonan],"")</f>
        <v>Roya</v>
      </c>
      <c r="F135" s="12" t="s">
        <v>42</v>
      </c>
      <c r="G135" s="12" t="s">
        <v>43</v>
      </c>
      <c r="H135" s="17">
        <f t="shared" si="1"/>
        <v>45590.59597</v>
      </c>
      <c r="I135" s="18"/>
      <c r="J135" s="20" t="b">
        <v>1</v>
      </c>
      <c r="K135" s="17">
        <f t="shared" si="2"/>
        <v>45601.44672</v>
      </c>
      <c r="L135" s="11" t="s">
        <v>49</v>
      </c>
      <c r="M135" s="21" t="s">
        <v>45</v>
      </c>
    </row>
    <row r="136" ht="22.5" customHeight="1">
      <c r="B136" s="13">
        <f t="shared" si="3"/>
        <v>129</v>
      </c>
      <c r="C136" s="12" t="s">
        <v>187</v>
      </c>
      <c r="D136" s="14" t="str">
        <f t="array" ref="D136">IF(C136="","",IFNA(_xlfn.XLOOKUP(C136,'a 01'!$C$6:$C$999,'a 01'!$D$6:$D$999),""))</f>
        <v>K/45/221024/1</v>
      </c>
      <c r="E136" s="18" t="str">
        <f t="array" ref="E136">_xlfn.XLOOKUP(D136,Table_Warkah[Kode Tiket],Table_Warkah[Jenis Permohonan],"")</f>
        <v>Roya</v>
      </c>
      <c r="F136" s="12" t="s">
        <v>42</v>
      </c>
      <c r="G136" s="12" t="s">
        <v>43</v>
      </c>
      <c r="H136" s="17">
        <f t="shared" si="1"/>
        <v>45590.59597</v>
      </c>
      <c r="I136" s="18"/>
      <c r="J136" s="20" t="b">
        <v>1</v>
      </c>
      <c r="K136" s="17">
        <f t="shared" si="2"/>
        <v>45603.45763</v>
      </c>
      <c r="L136" s="11" t="s">
        <v>69</v>
      </c>
      <c r="M136" s="21" t="s">
        <v>45</v>
      </c>
    </row>
    <row r="137" ht="22.5" customHeight="1">
      <c r="B137" s="13">
        <f t="shared" si="3"/>
        <v>130</v>
      </c>
      <c r="C137" s="12" t="s">
        <v>188</v>
      </c>
      <c r="D137" s="14" t="str">
        <f t="array" ref="D137">IF(C137="","",IFNA(_xlfn.XLOOKUP(C137,'a 01'!$C$6:$C$999,'a 01'!$D$6:$D$999),""))</f>
        <v/>
      </c>
      <c r="E137" s="18" t="str">
        <f t="array" ref="E137">_xlfn.XLOOKUP(D137,Table_Warkah[Kode Tiket],Table_Warkah[Jenis Permohonan],"")</f>
        <v/>
      </c>
      <c r="F137" s="12" t="s">
        <v>42</v>
      </c>
      <c r="G137" s="12" t="s">
        <v>43</v>
      </c>
      <c r="H137" s="17">
        <f t="shared" si="1"/>
        <v>45590.59597</v>
      </c>
      <c r="I137" s="18"/>
      <c r="J137" s="20" t="b">
        <v>1</v>
      </c>
      <c r="K137" s="17">
        <f t="shared" si="2"/>
        <v>45595.4421</v>
      </c>
      <c r="L137" s="11" t="s">
        <v>54</v>
      </c>
      <c r="M137" s="21" t="s">
        <v>45</v>
      </c>
    </row>
    <row r="138" ht="22.5" customHeight="1">
      <c r="B138" s="13">
        <f t="shared" si="3"/>
        <v>131</v>
      </c>
      <c r="C138" s="12" t="s">
        <v>189</v>
      </c>
      <c r="D138" s="14" t="str">
        <f t="array" ref="D138">IF(C138="","",IFNA(_xlfn.XLOOKUP(C138,'a 01'!$C$6:$C$999,'a 01'!$D$6:$D$999),""))</f>
        <v/>
      </c>
      <c r="E138" s="18" t="str">
        <f t="array" ref="E138">_xlfn.XLOOKUP(D138,Table_Warkah[Kode Tiket],Table_Warkah[Jenis Permohonan],"")</f>
        <v/>
      </c>
      <c r="F138" s="12" t="s">
        <v>42</v>
      </c>
      <c r="G138" s="12" t="s">
        <v>43</v>
      </c>
      <c r="H138" s="17">
        <f t="shared" si="1"/>
        <v>45590.59597</v>
      </c>
      <c r="I138" s="18"/>
      <c r="J138" s="20" t="b">
        <v>0</v>
      </c>
      <c r="K138" s="13" t="str">
        <f t="shared" si="2"/>
        <v/>
      </c>
      <c r="L138" s="13"/>
      <c r="M138" s="21" t="s">
        <v>45</v>
      </c>
    </row>
    <row r="139" ht="22.5" customHeight="1">
      <c r="B139" s="13">
        <f t="shared" si="3"/>
        <v>132</v>
      </c>
      <c r="C139" s="12" t="s">
        <v>190</v>
      </c>
      <c r="D139" s="14" t="str">
        <f t="array" ref="D139">IF(C139="","",IFNA(_xlfn.XLOOKUP(C139,'a 01'!$C$6:$C$999,'a 01'!$D$6:$D$999),""))</f>
        <v/>
      </c>
      <c r="E139" s="18" t="str">
        <f t="array" ref="E139">_xlfn.XLOOKUP(D139,Table_Warkah[Kode Tiket],Table_Warkah[Jenis Permohonan],"")</f>
        <v/>
      </c>
      <c r="F139" s="12" t="s">
        <v>42</v>
      </c>
      <c r="G139" s="12" t="s">
        <v>43</v>
      </c>
      <c r="H139" s="17">
        <f t="shared" si="1"/>
        <v>45590.59597</v>
      </c>
      <c r="I139" s="18"/>
      <c r="J139" s="20" t="b">
        <v>0</v>
      </c>
      <c r="K139" s="13" t="str">
        <f t="shared" si="2"/>
        <v/>
      </c>
      <c r="L139" s="13"/>
      <c r="M139" s="21" t="s">
        <v>45</v>
      </c>
    </row>
    <row r="140" ht="22.5" customHeight="1">
      <c r="B140" s="13">
        <f t="shared" si="3"/>
        <v>133</v>
      </c>
      <c r="C140" s="12" t="s">
        <v>191</v>
      </c>
      <c r="D140" s="14" t="str">
        <f t="array" ref="D140">IF(C140="","",IFNA(_xlfn.XLOOKUP(C140,'a 01'!$C$6:$C$999,'a 01'!$D$6:$D$999),""))</f>
        <v/>
      </c>
      <c r="E140" s="18" t="str">
        <f t="array" ref="E140">_xlfn.XLOOKUP(D140,Table_Warkah[Kode Tiket],Table_Warkah[Jenis Permohonan],"")</f>
        <v/>
      </c>
      <c r="F140" s="12" t="s">
        <v>42</v>
      </c>
      <c r="G140" s="12" t="s">
        <v>43</v>
      </c>
      <c r="H140" s="17">
        <f t="shared" si="1"/>
        <v>45590.59597</v>
      </c>
      <c r="I140" s="18"/>
      <c r="J140" s="20" t="b">
        <v>1</v>
      </c>
      <c r="K140" s="17">
        <f t="shared" si="2"/>
        <v>45590.62255</v>
      </c>
      <c r="L140" s="11" t="s">
        <v>141</v>
      </c>
      <c r="M140" s="21" t="s">
        <v>45</v>
      </c>
    </row>
    <row r="141" ht="22.5" customHeight="1">
      <c r="B141" s="13">
        <f t="shared" si="3"/>
        <v>134</v>
      </c>
      <c r="C141" s="12" t="s">
        <v>192</v>
      </c>
      <c r="D141" s="14" t="str">
        <f t="array" ref="D141">IF(C141="","",IFNA(_xlfn.XLOOKUP(C141,'a 01'!$C$6:$C$999,'a 01'!$D$6:$D$999),""))</f>
        <v>K/53/221024/3</v>
      </c>
      <c r="E141" s="18" t="str">
        <f t="array" ref="E141">_xlfn.XLOOKUP(D141,Table_Warkah[Kode Tiket],Table_Warkah[Jenis Permohonan],"")</f>
        <v>BN Jual Beli</v>
      </c>
      <c r="F141" s="12" t="s">
        <v>42</v>
      </c>
      <c r="G141" s="12" t="s">
        <v>43</v>
      </c>
      <c r="H141" s="17">
        <f t="shared" si="1"/>
        <v>45590.59597</v>
      </c>
      <c r="I141" s="18"/>
      <c r="J141" s="20" t="b">
        <v>1</v>
      </c>
      <c r="K141" s="17">
        <f t="shared" si="2"/>
        <v>45595.4422</v>
      </c>
      <c r="L141" s="11" t="s">
        <v>54</v>
      </c>
      <c r="M141" s="21" t="s">
        <v>45</v>
      </c>
    </row>
    <row r="142" ht="22.5" customHeight="1">
      <c r="B142" s="13">
        <f t="shared" si="3"/>
        <v>135</v>
      </c>
      <c r="C142" s="12" t="s">
        <v>193</v>
      </c>
      <c r="D142" s="14" t="str">
        <f t="array" ref="D142">IF(C142="","",IFNA(_xlfn.XLOOKUP(C142,'a 01'!$C$6:$C$999,'a 01'!$D$6:$D$999),""))</f>
        <v/>
      </c>
      <c r="E142" s="18" t="str">
        <f t="array" ref="E142">_xlfn.XLOOKUP(D142,Table_Warkah[Kode Tiket],Table_Warkah[Jenis Permohonan],"")</f>
        <v/>
      </c>
      <c r="F142" s="12" t="s">
        <v>42</v>
      </c>
      <c r="G142" s="12" t="s">
        <v>43</v>
      </c>
      <c r="H142" s="17">
        <f t="shared" si="1"/>
        <v>45590.59597</v>
      </c>
      <c r="I142" s="18"/>
      <c r="J142" s="20" t="b">
        <v>1</v>
      </c>
      <c r="K142" s="17">
        <f t="shared" si="2"/>
        <v>45596.40966</v>
      </c>
      <c r="L142" s="11" t="s">
        <v>54</v>
      </c>
      <c r="M142" s="21" t="s">
        <v>45</v>
      </c>
    </row>
    <row r="143" ht="22.5" customHeight="1">
      <c r="B143" s="13">
        <f t="shared" si="3"/>
        <v>136</v>
      </c>
      <c r="C143" s="12" t="s">
        <v>194</v>
      </c>
      <c r="D143" s="14" t="str">
        <f t="array" ref="D143">IF(C143="","",IFNA(_xlfn.XLOOKUP(C143,'a 01'!$C$6:$C$999,'a 01'!$D$6:$D$999),""))</f>
        <v/>
      </c>
      <c r="E143" s="18" t="str">
        <f t="array" ref="E143">_xlfn.XLOOKUP(D143,Table_Warkah[Kode Tiket],Table_Warkah[Jenis Permohonan],"")</f>
        <v/>
      </c>
      <c r="F143" s="12" t="s">
        <v>42</v>
      </c>
      <c r="G143" s="12" t="s">
        <v>43</v>
      </c>
      <c r="H143" s="17">
        <f t="shared" si="1"/>
        <v>45590.59597</v>
      </c>
      <c r="I143" s="18"/>
      <c r="J143" s="20" t="b">
        <v>1</v>
      </c>
      <c r="K143" s="17">
        <f t="shared" si="2"/>
        <v>45593.67109</v>
      </c>
      <c r="L143" s="11" t="s">
        <v>54</v>
      </c>
      <c r="M143" s="21" t="s">
        <v>45</v>
      </c>
    </row>
    <row r="144" ht="22.5" customHeight="1">
      <c r="B144" s="13">
        <f t="shared" si="3"/>
        <v>137</v>
      </c>
      <c r="C144" s="12" t="s">
        <v>195</v>
      </c>
      <c r="D144" s="14" t="str">
        <f t="array" ref="D144">IF(C144="","",IFNA(_xlfn.XLOOKUP(C144,'a 01'!$C$6:$C$999,'a 01'!$D$6:$D$999),""))</f>
        <v/>
      </c>
      <c r="E144" s="18" t="str">
        <f t="array" ref="E144">_xlfn.XLOOKUP(D144,Table_Warkah[Kode Tiket],Table_Warkah[Jenis Permohonan],"")</f>
        <v/>
      </c>
      <c r="F144" s="12" t="s">
        <v>42</v>
      </c>
      <c r="G144" s="12" t="s">
        <v>43</v>
      </c>
      <c r="H144" s="17">
        <f t="shared" si="1"/>
        <v>45590.59597</v>
      </c>
      <c r="I144" s="18"/>
      <c r="J144" s="20" t="b">
        <v>1</v>
      </c>
      <c r="K144" s="17">
        <f t="shared" si="2"/>
        <v>45603.57771</v>
      </c>
      <c r="L144" s="11" t="s">
        <v>54</v>
      </c>
      <c r="M144" s="21" t="s">
        <v>45</v>
      </c>
    </row>
    <row r="145" ht="22.5" customHeight="1">
      <c r="B145" s="13">
        <f t="shared" si="3"/>
        <v>138</v>
      </c>
      <c r="C145" s="12" t="s">
        <v>196</v>
      </c>
      <c r="D145" s="14" t="str">
        <f t="array" ref="D145">IF(C145="","",IFNA(_xlfn.XLOOKUP(C145,'a 01'!$C$6:$C$999,'a 01'!$D$6:$D$999),""))</f>
        <v/>
      </c>
      <c r="E145" s="18" t="str">
        <f t="array" ref="E145">_xlfn.XLOOKUP(D145,Table_Warkah[Kode Tiket],Table_Warkah[Jenis Permohonan],"")</f>
        <v/>
      </c>
      <c r="F145" s="12" t="s">
        <v>42</v>
      </c>
      <c r="G145" s="12" t="s">
        <v>43</v>
      </c>
      <c r="H145" s="17">
        <f t="shared" si="1"/>
        <v>45590.59597</v>
      </c>
      <c r="I145" s="18"/>
      <c r="J145" s="20" t="b">
        <v>1</v>
      </c>
      <c r="K145" s="17">
        <f t="shared" si="2"/>
        <v>45596.40727</v>
      </c>
      <c r="L145" s="11" t="s">
        <v>54</v>
      </c>
      <c r="M145" s="21" t="s">
        <v>45</v>
      </c>
    </row>
    <row r="146" ht="22.5" customHeight="1">
      <c r="B146" s="13">
        <f t="shared" si="3"/>
        <v>139</v>
      </c>
      <c r="C146" s="12" t="s">
        <v>197</v>
      </c>
      <c r="D146" s="14" t="str">
        <f t="array" ref="D146">IF(C146="","",IFNA(_xlfn.XLOOKUP(C146,'a 01'!$C$6:$C$999,'a 01'!$D$6:$D$999),""))</f>
        <v/>
      </c>
      <c r="E146" s="18" t="str">
        <f t="array" ref="E146">_xlfn.XLOOKUP(D146,Table_Warkah[Kode Tiket],Table_Warkah[Jenis Permohonan],"")</f>
        <v/>
      </c>
      <c r="F146" s="12" t="s">
        <v>42</v>
      </c>
      <c r="G146" s="12" t="s">
        <v>43</v>
      </c>
      <c r="H146" s="17">
        <f t="shared" si="1"/>
        <v>45590.59597</v>
      </c>
      <c r="I146" s="18"/>
      <c r="J146" s="20" t="b">
        <v>1</v>
      </c>
      <c r="K146" s="17">
        <f t="shared" si="2"/>
        <v>45593.67079</v>
      </c>
      <c r="L146" s="11" t="s">
        <v>54</v>
      </c>
      <c r="M146" s="21" t="s">
        <v>45</v>
      </c>
    </row>
    <row r="147" ht="22.5" customHeight="1">
      <c r="B147" s="13">
        <f t="shared" si="3"/>
        <v>140</v>
      </c>
      <c r="C147" s="12" t="s">
        <v>198</v>
      </c>
      <c r="D147" s="14" t="str">
        <f t="array" ref="D147">IF(C147="","",IFNA(_xlfn.XLOOKUP(C147,'a 01'!$C$6:$C$999,'a 01'!$D$6:$D$999),""))</f>
        <v>K/15/231024/1</v>
      </c>
      <c r="E147" s="18" t="str">
        <f t="array" ref="E147">_xlfn.XLOOKUP(D147,Table_Warkah[Kode Tiket],Table_Warkah[Jenis Permohonan],"")</f>
        <v>BN Jual Beli</v>
      </c>
      <c r="F147" s="12" t="s">
        <v>42</v>
      </c>
      <c r="G147" s="12" t="s">
        <v>43</v>
      </c>
      <c r="H147" s="17">
        <f t="shared" si="1"/>
        <v>45590.59597</v>
      </c>
      <c r="I147" s="18"/>
      <c r="J147" s="20" t="b">
        <v>1</v>
      </c>
      <c r="K147" s="17">
        <f t="shared" si="2"/>
        <v>45600.37403</v>
      </c>
      <c r="L147" s="11" t="s">
        <v>54</v>
      </c>
      <c r="M147" s="21" t="s">
        <v>45</v>
      </c>
    </row>
    <row r="148" ht="22.5" customHeight="1">
      <c r="B148" s="13">
        <f t="shared" si="3"/>
        <v>141</v>
      </c>
      <c r="C148" s="12" t="s">
        <v>199</v>
      </c>
      <c r="D148" s="14" t="str">
        <f t="array" ref="D148">IF(C148="","",IFNA(_xlfn.XLOOKUP(C148,'a 01'!$C$6:$C$999,'a 01'!$D$6:$D$999),""))</f>
        <v/>
      </c>
      <c r="E148" s="18" t="str">
        <f t="array" ref="E148">_xlfn.XLOOKUP(D148,Table_Warkah[Kode Tiket],Table_Warkah[Jenis Permohonan],"")</f>
        <v/>
      </c>
      <c r="F148" s="12" t="s">
        <v>42</v>
      </c>
      <c r="G148" s="12" t="s">
        <v>43</v>
      </c>
      <c r="H148" s="17">
        <f t="shared" si="1"/>
        <v>45590.59597</v>
      </c>
      <c r="I148" s="18"/>
      <c r="J148" s="20" t="b">
        <v>1</v>
      </c>
      <c r="K148" s="17">
        <f t="shared" si="2"/>
        <v>45600.37481</v>
      </c>
      <c r="L148" s="11" t="s">
        <v>54</v>
      </c>
      <c r="M148" s="21" t="s">
        <v>45</v>
      </c>
    </row>
    <row r="149" ht="22.5" customHeight="1">
      <c r="B149" s="13">
        <f t="shared" si="3"/>
        <v>142</v>
      </c>
      <c r="C149" s="12" t="s">
        <v>200</v>
      </c>
      <c r="D149" s="14" t="str">
        <f t="array" ref="D149">IF(C149="","",IFNA(_xlfn.XLOOKUP(C149,'a 01'!$C$6:$C$999,'a 01'!$D$6:$D$999),""))</f>
        <v/>
      </c>
      <c r="E149" s="18" t="str">
        <f t="array" ref="E149">_xlfn.XLOOKUP(D149,Table_Warkah[Kode Tiket],Table_Warkah[Jenis Permohonan],"")</f>
        <v/>
      </c>
      <c r="F149" s="12" t="s">
        <v>42</v>
      </c>
      <c r="G149" s="12" t="s">
        <v>43</v>
      </c>
      <c r="H149" s="17">
        <f t="shared" si="1"/>
        <v>45590.59597</v>
      </c>
      <c r="I149" s="18"/>
      <c r="J149" s="20" t="b">
        <v>1</v>
      </c>
      <c r="K149" s="17">
        <f t="shared" si="2"/>
        <v>45596.40535</v>
      </c>
      <c r="L149" s="11" t="s">
        <v>54</v>
      </c>
      <c r="M149" s="21" t="s">
        <v>45</v>
      </c>
    </row>
    <row r="150" ht="22.5" customHeight="1">
      <c r="B150" s="13">
        <f t="shared" si="3"/>
        <v>143</v>
      </c>
      <c r="C150" s="12" t="s">
        <v>201</v>
      </c>
      <c r="D150" s="14" t="str">
        <f t="array" ref="D150">IF(C150="","",IFNA(_xlfn.XLOOKUP(C150,'a 01'!$C$6:$C$999,'a 01'!$D$6:$D$999),""))</f>
        <v>K/42/231024/1</v>
      </c>
      <c r="E150" s="18" t="str">
        <f t="array" ref="E150">_xlfn.XLOOKUP(D150,Table_Warkah[Kode Tiket],Table_Warkah[Jenis Permohonan],"")</f>
        <v>BN JUAL BELI</v>
      </c>
      <c r="F150" s="12" t="s">
        <v>42</v>
      </c>
      <c r="G150" s="12" t="s">
        <v>43</v>
      </c>
      <c r="H150" s="17">
        <f t="shared" si="1"/>
        <v>45590.59597</v>
      </c>
      <c r="I150" s="18"/>
      <c r="J150" s="20" t="b">
        <v>1</v>
      </c>
      <c r="K150" s="17">
        <f t="shared" si="2"/>
        <v>45595.44202</v>
      </c>
      <c r="L150" s="11" t="s">
        <v>54</v>
      </c>
      <c r="M150" s="21" t="s">
        <v>45</v>
      </c>
    </row>
    <row r="151" ht="22.5" customHeight="1">
      <c r="B151" s="13">
        <f t="shared" si="3"/>
        <v>144</v>
      </c>
      <c r="C151" s="12" t="s">
        <v>202</v>
      </c>
      <c r="D151" s="14" t="str">
        <f t="array" ref="D151">IF(C151="","",IFNA(_xlfn.XLOOKUP(C151,'a 01'!$C$6:$C$999,'a 01'!$D$6:$D$999),""))</f>
        <v>K/49/231024/1</v>
      </c>
      <c r="E151" s="18" t="str">
        <f t="array" ref="E151">_xlfn.XLOOKUP(D151,Table_Warkah[Kode Tiket],Table_Warkah[Jenis Permohonan],"")</f>
        <v>BN JUAL BELI</v>
      </c>
      <c r="F151" s="12" t="s">
        <v>42</v>
      </c>
      <c r="G151" s="12" t="s">
        <v>43</v>
      </c>
      <c r="H151" s="17">
        <f t="shared" si="1"/>
        <v>45590.59597</v>
      </c>
      <c r="I151" s="18"/>
      <c r="J151" s="20" t="b">
        <v>1</v>
      </c>
      <c r="K151" s="17">
        <f t="shared" si="2"/>
        <v>45596.40427</v>
      </c>
      <c r="L151" s="11" t="s">
        <v>54</v>
      </c>
      <c r="M151" s="21" t="s">
        <v>45</v>
      </c>
    </row>
    <row r="152" ht="22.5" customHeight="1">
      <c r="B152" s="13">
        <f t="shared" si="3"/>
        <v>145</v>
      </c>
      <c r="C152" s="12" t="s">
        <v>203</v>
      </c>
      <c r="D152" s="14" t="str">
        <f t="array" ref="D152">IF(C152="","",IFNA(_xlfn.XLOOKUP(C152,'a 01'!$C$6:$C$999,'a 01'!$D$6:$D$999),""))</f>
        <v>K/44/231024/1</v>
      </c>
      <c r="E152" s="18" t="str">
        <f t="array" ref="E152">_xlfn.XLOOKUP(D152,Table_Warkah[Kode Tiket],Table_Warkah[Jenis Permohonan],"")</f>
        <v>Roya</v>
      </c>
      <c r="F152" s="12" t="s">
        <v>42</v>
      </c>
      <c r="G152" s="12" t="s">
        <v>43</v>
      </c>
      <c r="H152" s="17">
        <f t="shared" si="1"/>
        <v>45590.59597</v>
      </c>
      <c r="I152" s="18"/>
      <c r="J152" s="20" t="b">
        <v>0</v>
      </c>
      <c r="K152" s="13" t="str">
        <f t="shared" si="2"/>
        <v/>
      </c>
      <c r="L152" s="13"/>
      <c r="M152" s="21" t="s">
        <v>45</v>
      </c>
    </row>
    <row r="153" ht="22.5" customHeight="1">
      <c r="B153" s="13">
        <f t="shared" si="3"/>
        <v>146</v>
      </c>
      <c r="C153" s="12" t="s">
        <v>204</v>
      </c>
      <c r="D153" s="14" t="str">
        <f t="array" ref="D153">IF(C153="","",IFNA(_xlfn.XLOOKUP(C153,'a 01'!$C$6:$C$999,'a 01'!$D$6:$D$999),""))</f>
        <v>L/37/231024/1</v>
      </c>
      <c r="E153" s="18" t="str">
        <f t="array" ref="E153">_xlfn.XLOOKUP(D153,Table_Warkah[Kode Tiket],Table_Warkah[Jenis Permohonan],"")</f>
        <v>ROYA</v>
      </c>
      <c r="F153" s="12" t="s">
        <v>42</v>
      </c>
      <c r="G153" s="12" t="s">
        <v>43</v>
      </c>
      <c r="H153" s="17">
        <f t="shared" si="1"/>
        <v>45590.59739</v>
      </c>
      <c r="I153" s="18"/>
      <c r="J153" s="20" t="b">
        <v>0</v>
      </c>
      <c r="K153" s="13" t="str">
        <f t="shared" si="2"/>
        <v/>
      </c>
      <c r="L153" s="13"/>
      <c r="M153" s="21" t="s">
        <v>45</v>
      </c>
    </row>
    <row r="154" ht="22.5" customHeight="1">
      <c r="B154" s="13">
        <f t="shared" si="3"/>
        <v>147</v>
      </c>
      <c r="C154" s="12" t="s">
        <v>205</v>
      </c>
      <c r="D154" s="14" t="str">
        <f t="array" ref="D154">IF(C154="","",IFNA(_xlfn.XLOOKUP(C154,'a 01'!$C$6:$C$999,'a 01'!$D$6:$D$999),""))</f>
        <v/>
      </c>
      <c r="E154" s="18" t="str">
        <f t="array" ref="E154">_xlfn.XLOOKUP(D154,Table_Warkah[Kode Tiket],Table_Warkah[Jenis Permohonan],"")</f>
        <v/>
      </c>
      <c r="F154" s="12" t="s">
        <v>42</v>
      </c>
      <c r="G154" s="12" t="s">
        <v>43</v>
      </c>
      <c r="H154" s="17">
        <f t="shared" si="1"/>
        <v>45590.59739</v>
      </c>
      <c r="I154" s="18"/>
      <c r="J154" s="20" t="b">
        <v>1</v>
      </c>
      <c r="K154" s="17">
        <f t="shared" si="2"/>
        <v>45603.58072</v>
      </c>
      <c r="L154" s="11" t="s">
        <v>49</v>
      </c>
      <c r="M154" s="21" t="s">
        <v>45</v>
      </c>
    </row>
    <row r="155" ht="22.5" customHeight="1">
      <c r="B155" s="13">
        <f t="shared" si="3"/>
        <v>148</v>
      </c>
      <c r="C155" s="12" t="s">
        <v>206</v>
      </c>
      <c r="D155" s="14" t="str">
        <f t="array" ref="D155">IF(C155="","",IFNA(_xlfn.XLOOKUP(C155,'a 01'!$C$6:$C$999,'a 01'!$D$6:$D$999),""))</f>
        <v/>
      </c>
      <c r="E155" s="18" t="str">
        <f t="array" ref="E155">_xlfn.XLOOKUP(D155,Table_Warkah[Kode Tiket],Table_Warkah[Jenis Permohonan],"")</f>
        <v/>
      </c>
      <c r="F155" s="12" t="s">
        <v>42</v>
      </c>
      <c r="G155" s="12" t="s">
        <v>43</v>
      </c>
      <c r="H155" s="17">
        <f t="shared" si="1"/>
        <v>45590.59739</v>
      </c>
      <c r="I155" s="18"/>
      <c r="J155" s="20" t="b">
        <v>1</v>
      </c>
      <c r="K155" s="17">
        <f t="shared" si="2"/>
        <v>45590.62195</v>
      </c>
      <c r="L155" s="11" t="s">
        <v>49</v>
      </c>
      <c r="M155" s="21" t="s">
        <v>45</v>
      </c>
    </row>
    <row r="156" ht="22.5" customHeight="1">
      <c r="B156" s="13">
        <f t="shared" si="3"/>
        <v>149</v>
      </c>
      <c r="C156" s="12" t="s">
        <v>208</v>
      </c>
      <c r="D156" s="14" t="str">
        <f t="array" ref="D156">IF(C156="","",IFNA(_xlfn.XLOOKUP(C156,'a 01'!$C$6:$C$999,'a 01'!$D$6:$D$999),""))</f>
        <v>K/9/221024/1</v>
      </c>
      <c r="E156" s="18" t="str">
        <f t="array" ref="E156">_xlfn.XLOOKUP(D156,Table_Warkah[Kode Tiket],Table_Warkah[Jenis Permohonan],"")</f>
        <v>ROYA</v>
      </c>
      <c r="F156" s="12" t="s">
        <v>42</v>
      </c>
      <c r="G156" s="12" t="s">
        <v>43</v>
      </c>
      <c r="H156" s="17">
        <f t="shared" si="1"/>
        <v>45594.57964</v>
      </c>
      <c r="I156" s="18"/>
      <c r="J156" s="20" t="b">
        <v>1</v>
      </c>
      <c r="K156" s="17">
        <f t="shared" si="2"/>
        <v>45594.58114</v>
      </c>
      <c r="L156" s="11" t="s">
        <v>49</v>
      </c>
      <c r="M156" s="21" t="s">
        <v>45</v>
      </c>
    </row>
    <row r="157" ht="22.5" customHeight="1">
      <c r="B157" s="13">
        <f t="shared" si="3"/>
        <v>150</v>
      </c>
      <c r="C157" s="12" t="s">
        <v>209</v>
      </c>
      <c r="D157" s="14" t="str">
        <f t="array" ref="D157">IF(C157="","",IFNA(_xlfn.XLOOKUP(C157,'a 01'!$C$6:$C$999,'a 01'!$D$6:$D$999),""))</f>
        <v/>
      </c>
      <c r="E157" s="18" t="str">
        <f t="array" ref="E157">_xlfn.XLOOKUP(D157,Table_Warkah[Kode Tiket],Table_Warkah[Jenis Permohonan],"")</f>
        <v/>
      </c>
      <c r="F157" s="12" t="s">
        <v>42</v>
      </c>
      <c r="G157" s="12" t="s">
        <v>43</v>
      </c>
      <c r="H157" s="17">
        <f t="shared" si="1"/>
        <v>45594.57964</v>
      </c>
      <c r="I157" s="18"/>
      <c r="J157" s="20" t="b">
        <v>1</v>
      </c>
      <c r="K157" s="17">
        <f t="shared" si="2"/>
        <v>45594.58172</v>
      </c>
      <c r="L157" s="11" t="s">
        <v>49</v>
      </c>
      <c r="M157" s="21" t="s">
        <v>45</v>
      </c>
    </row>
    <row r="158" ht="22.5" customHeight="1">
      <c r="B158" s="13">
        <f t="shared" si="3"/>
        <v>151</v>
      </c>
      <c r="C158" s="12" t="s">
        <v>210</v>
      </c>
      <c r="D158" s="14" t="str">
        <f t="array" ref="D158">IF(C158="","",IFNA(_xlfn.XLOOKUP(C158,'a 01'!$C$6:$C$999,'a 01'!$D$6:$D$999),""))</f>
        <v>K/2/221024/2</v>
      </c>
      <c r="E158" s="18" t="str">
        <f t="array" ref="E158">_xlfn.XLOOKUP(D158,Table_Warkah[Kode Tiket],Table_Warkah[Jenis Permohonan],"")</f>
        <v>Roya</v>
      </c>
      <c r="F158" s="12" t="s">
        <v>42</v>
      </c>
      <c r="G158" s="12" t="s">
        <v>43</v>
      </c>
      <c r="H158" s="17">
        <f t="shared" si="1"/>
        <v>45594.57964</v>
      </c>
      <c r="I158" s="18"/>
      <c r="J158" s="20" t="b">
        <v>1</v>
      </c>
      <c r="K158" s="17">
        <f t="shared" si="2"/>
        <v>45594.57975</v>
      </c>
      <c r="L158" s="11" t="s">
        <v>49</v>
      </c>
      <c r="M158" s="21" t="s">
        <v>45</v>
      </c>
    </row>
    <row r="159" ht="22.5" customHeight="1">
      <c r="B159" s="13">
        <f t="shared" si="3"/>
        <v>152</v>
      </c>
      <c r="C159" s="12" t="s">
        <v>211</v>
      </c>
      <c r="D159" s="14" t="str">
        <f t="array" ref="D159">IF(C159="","",IFNA(_xlfn.XLOOKUP(C159,'a 01'!$C$6:$C$999,'a 01'!$D$6:$D$999),""))</f>
        <v/>
      </c>
      <c r="E159" s="18" t="str">
        <f t="array" ref="E159">_xlfn.XLOOKUP(D159,Table_Warkah[Kode Tiket],Table_Warkah[Jenis Permohonan],"")</f>
        <v/>
      </c>
      <c r="F159" s="12" t="s">
        <v>42</v>
      </c>
      <c r="G159" s="12" t="s">
        <v>43</v>
      </c>
      <c r="H159" s="17">
        <f t="shared" si="1"/>
        <v>45594.57964</v>
      </c>
      <c r="I159" s="18"/>
      <c r="J159" s="20" t="b">
        <v>1</v>
      </c>
      <c r="K159" s="17">
        <f t="shared" si="2"/>
        <v>45594.58025</v>
      </c>
      <c r="L159" s="11" t="s">
        <v>49</v>
      </c>
      <c r="M159" s="21" t="s">
        <v>45</v>
      </c>
    </row>
    <row r="160" ht="22.5" customHeight="1">
      <c r="B160" s="13">
        <f t="shared" si="3"/>
        <v>153</v>
      </c>
      <c r="C160" s="12" t="s">
        <v>212</v>
      </c>
      <c r="D160" s="14" t="str">
        <f t="array" ref="D160">IF(C160="","",IFNA(_xlfn.XLOOKUP(C160,'a 01'!$C$6:$C$999,'a 01'!$D$6:$D$999),""))</f>
        <v/>
      </c>
      <c r="E160" s="18" t="str">
        <f t="array" ref="E160">_xlfn.XLOOKUP(D160,Table_Warkah[Kode Tiket],Table_Warkah[Jenis Permohonan],"")</f>
        <v/>
      </c>
      <c r="F160" s="12" t="s">
        <v>42</v>
      </c>
      <c r="G160" s="12" t="s">
        <v>43</v>
      </c>
      <c r="H160" s="17">
        <f t="shared" si="1"/>
        <v>45594.57964</v>
      </c>
      <c r="I160" s="18"/>
      <c r="J160" s="20" t="b">
        <v>1</v>
      </c>
      <c r="K160" s="17">
        <f t="shared" si="2"/>
        <v>45601.44685</v>
      </c>
      <c r="L160" s="11" t="s">
        <v>49</v>
      </c>
      <c r="M160" s="21" t="s">
        <v>45</v>
      </c>
    </row>
    <row r="161" ht="22.5" customHeight="1">
      <c r="B161" s="13">
        <f t="shared" si="3"/>
        <v>154</v>
      </c>
      <c r="C161" s="12" t="s">
        <v>213</v>
      </c>
      <c r="D161" s="14" t="str">
        <f t="array" ref="D161">IF(C161="","",IFNA(_xlfn.XLOOKUP(C161,'a 01'!$C$6:$C$999,'a 01'!$D$6:$D$999),""))</f>
        <v/>
      </c>
      <c r="E161" s="18" t="str">
        <f t="array" ref="E161">_xlfn.XLOOKUP(D161,Table_Warkah[Kode Tiket],Table_Warkah[Jenis Permohonan],"")</f>
        <v/>
      </c>
      <c r="F161" s="12" t="s">
        <v>42</v>
      </c>
      <c r="G161" s="12" t="s">
        <v>43</v>
      </c>
      <c r="H161" s="17">
        <f t="shared" si="1"/>
        <v>45594.57964</v>
      </c>
      <c r="I161" s="18"/>
      <c r="J161" s="20" t="b">
        <v>1</v>
      </c>
      <c r="K161" s="17">
        <f t="shared" si="2"/>
        <v>45603.58161</v>
      </c>
      <c r="L161" s="11" t="s">
        <v>49</v>
      </c>
      <c r="M161" s="21" t="s">
        <v>45</v>
      </c>
    </row>
    <row r="162" ht="22.5" customHeight="1">
      <c r="B162" s="13">
        <f t="shared" si="3"/>
        <v>155</v>
      </c>
      <c r="C162" s="12" t="s">
        <v>214</v>
      </c>
      <c r="D162" s="14" t="str">
        <f t="array" ref="D162">IF(C162="","",IFNA(_xlfn.XLOOKUP(C162,'a 01'!$C$6:$C$999,'a 01'!$D$6:$D$999),""))</f>
        <v/>
      </c>
      <c r="E162" s="18" t="str">
        <f t="array" ref="E162">_xlfn.XLOOKUP(D162,Table_Warkah[Kode Tiket],Table_Warkah[Jenis Permohonan],"")</f>
        <v/>
      </c>
      <c r="F162" s="12" t="s">
        <v>42</v>
      </c>
      <c r="G162" s="12" t="s">
        <v>43</v>
      </c>
      <c r="H162" s="17">
        <f t="shared" si="1"/>
        <v>45594.57964</v>
      </c>
      <c r="I162" s="18"/>
      <c r="J162" s="20" t="b">
        <v>1</v>
      </c>
      <c r="K162" s="17">
        <f t="shared" si="2"/>
        <v>45594.58056</v>
      </c>
      <c r="L162" s="11" t="s">
        <v>49</v>
      </c>
      <c r="M162" s="21" t="s">
        <v>45</v>
      </c>
    </row>
    <row r="163" ht="22.5" customHeight="1">
      <c r="B163" s="13">
        <f t="shared" si="3"/>
        <v>156</v>
      </c>
      <c r="C163" s="12" t="s">
        <v>215</v>
      </c>
      <c r="D163" s="14" t="str">
        <f t="array" ref="D163">IF(C163="","",IFNA(_xlfn.XLOOKUP(C163,'a 01'!$C$6:$C$999,'a 01'!$D$6:$D$999),""))</f>
        <v/>
      </c>
      <c r="E163" s="18" t="str">
        <f t="array" ref="E163">_xlfn.XLOOKUP(D163,Table_Warkah[Kode Tiket],Table_Warkah[Jenis Permohonan],"")</f>
        <v/>
      </c>
      <c r="F163" s="12" t="s">
        <v>42</v>
      </c>
      <c r="G163" s="12" t="s">
        <v>43</v>
      </c>
      <c r="H163" s="17">
        <f t="shared" si="1"/>
        <v>45594.57964</v>
      </c>
      <c r="I163" s="18"/>
      <c r="J163" s="20" t="b">
        <v>0</v>
      </c>
      <c r="K163" s="13" t="str">
        <f t="shared" si="2"/>
        <v/>
      </c>
      <c r="L163" s="13"/>
      <c r="M163" s="21" t="s">
        <v>45</v>
      </c>
    </row>
    <row r="164" ht="22.5" customHeight="1">
      <c r="B164" s="13">
        <f t="shared" si="3"/>
        <v>157</v>
      </c>
      <c r="C164" s="12" t="s">
        <v>216</v>
      </c>
      <c r="D164" s="14" t="str">
        <f t="array" ref="D164">IF(C164="","",IFNA(_xlfn.XLOOKUP(C164,'a 01'!$C$6:$C$999,'a 01'!$D$6:$D$999),""))</f>
        <v>K/9/241024/1</v>
      </c>
      <c r="E164" s="18" t="str">
        <f t="array" ref="E164">_xlfn.XLOOKUP(D164,Table_Warkah[Kode Tiket],Table_Warkah[Jenis Permohonan],"")</f>
        <v>Roya</v>
      </c>
      <c r="F164" s="12" t="s">
        <v>42</v>
      </c>
      <c r="G164" s="12" t="s">
        <v>43</v>
      </c>
      <c r="H164" s="17">
        <f t="shared" si="1"/>
        <v>45594.57964</v>
      </c>
      <c r="I164" s="18"/>
      <c r="J164" s="20" t="b">
        <v>0</v>
      </c>
      <c r="K164" s="13" t="str">
        <f t="shared" si="2"/>
        <v/>
      </c>
      <c r="L164" s="13"/>
      <c r="M164" s="21" t="s">
        <v>45</v>
      </c>
    </row>
    <row r="165" ht="22.5" customHeight="1">
      <c r="B165" s="13">
        <f t="shared" si="3"/>
        <v>158</v>
      </c>
      <c r="C165" s="12" t="s">
        <v>217</v>
      </c>
      <c r="D165" s="14" t="str">
        <f t="array" ref="D165">IF(C165="","",IFNA(_xlfn.XLOOKUP(C165,'a 01'!$C$6:$C$999,'a 01'!$D$6:$D$999),""))</f>
        <v/>
      </c>
      <c r="E165" s="18" t="str">
        <f t="array" ref="E165">_xlfn.XLOOKUP(D165,Table_Warkah[Kode Tiket],Table_Warkah[Jenis Permohonan],"")</f>
        <v/>
      </c>
      <c r="F165" s="12" t="s">
        <v>42</v>
      </c>
      <c r="G165" s="12" t="s">
        <v>43</v>
      </c>
      <c r="H165" s="17">
        <f t="shared" si="1"/>
        <v>45595.41147</v>
      </c>
      <c r="I165" s="18"/>
      <c r="J165" s="20" t="b">
        <v>0</v>
      </c>
      <c r="K165" s="13" t="str">
        <f t="shared" si="2"/>
        <v/>
      </c>
      <c r="L165" s="13"/>
      <c r="M165" s="21" t="s">
        <v>45</v>
      </c>
    </row>
    <row r="166" ht="22.5" customHeight="1">
      <c r="B166" s="13">
        <f t="shared" si="3"/>
        <v>159</v>
      </c>
      <c r="C166" s="12" t="s">
        <v>218</v>
      </c>
      <c r="D166" s="14" t="str">
        <f t="array" ref="D166">IF(C166="","",IFNA(_xlfn.XLOOKUP(C166,'a 01'!$C$6:$C$999,'a 01'!$D$6:$D$999),""))</f>
        <v/>
      </c>
      <c r="E166" s="18" t="str">
        <f t="array" ref="E166">_xlfn.XLOOKUP(D166,Table_Warkah[Kode Tiket],Table_Warkah[Jenis Permohonan],"")</f>
        <v/>
      </c>
      <c r="F166" s="12" t="s">
        <v>42</v>
      </c>
      <c r="G166" s="12" t="s">
        <v>43</v>
      </c>
      <c r="H166" s="17">
        <f t="shared" si="1"/>
        <v>45595.41147</v>
      </c>
      <c r="I166" s="18"/>
      <c r="J166" s="20" t="b">
        <v>0</v>
      </c>
      <c r="K166" s="13" t="str">
        <f t="shared" si="2"/>
        <v/>
      </c>
      <c r="L166" s="13"/>
      <c r="M166" s="21" t="s">
        <v>45</v>
      </c>
    </row>
    <row r="167" ht="22.5" customHeight="1">
      <c r="B167" s="13">
        <f t="shared" si="3"/>
        <v>160</v>
      </c>
      <c r="C167" s="12" t="s">
        <v>219</v>
      </c>
      <c r="D167" s="14" t="str">
        <f t="array" ref="D167">IF(C167="","",IFNA(_xlfn.XLOOKUP(C167,'a 01'!$C$6:$C$999,'a 01'!$D$6:$D$999),""))</f>
        <v/>
      </c>
      <c r="E167" s="18" t="str">
        <f t="array" ref="E167">_xlfn.XLOOKUP(D167,Table_Warkah[Kode Tiket],Table_Warkah[Jenis Permohonan],"")</f>
        <v/>
      </c>
      <c r="F167" s="12" t="s">
        <v>42</v>
      </c>
      <c r="G167" s="12" t="s">
        <v>43</v>
      </c>
      <c r="H167" s="17">
        <f t="shared" si="1"/>
        <v>45595.41147</v>
      </c>
      <c r="I167" s="18"/>
      <c r="J167" s="20" t="b">
        <v>1</v>
      </c>
      <c r="K167" s="17">
        <f t="shared" si="2"/>
        <v>45603.57791</v>
      </c>
      <c r="L167" s="11" t="s">
        <v>54</v>
      </c>
      <c r="M167" s="21" t="s">
        <v>45</v>
      </c>
    </row>
    <row r="168" ht="22.5" customHeight="1">
      <c r="B168" s="13">
        <f t="shared" si="3"/>
        <v>161</v>
      </c>
      <c r="C168" s="12" t="s">
        <v>220</v>
      </c>
      <c r="D168" s="14" t="str">
        <f t="array" ref="D168">IF(C168="","",IFNA(_xlfn.XLOOKUP(C168,'a 01'!$C$6:$C$999,'a 01'!$D$6:$D$999),""))</f>
        <v/>
      </c>
      <c r="E168" s="18" t="str">
        <f t="array" ref="E168">_xlfn.XLOOKUP(D168,Table_Warkah[Kode Tiket],Table_Warkah[Jenis Permohonan],"")</f>
        <v/>
      </c>
      <c r="F168" s="12" t="s">
        <v>42</v>
      </c>
      <c r="G168" s="12" t="s">
        <v>43</v>
      </c>
      <c r="H168" s="17">
        <f t="shared" si="1"/>
        <v>45595.41147</v>
      </c>
      <c r="I168" s="18"/>
      <c r="J168" s="20" t="b">
        <v>1</v>
      </c>
      <c r="K168" s="17">
        <f t="shared" si="2"/>
        <v>45604.6047</v>
      </c>
      <c r="L168" s="11" t="s">
        <v>54</v>
      </c>
      <c r="M168" s="21" t="s">
        <v>45</v>
      </c>
    </row>
    <row r="169" ht="22.5" customHeight="1">
      <c r="B169" s="13">
        <f t="shared" si="3"/>
        <v>162</v>
      </c>
      <c r="C169" s="12" t="s">
        <v>221</v>
      </c>
      <c r="D169" s="14" t="str">
        <f t="array" ref="D169">IF(C169="","",IFNA(_xlfn.XLOOKUP(C169,'a 01'!$C$6:$C$999,'a 01'!$D$6:$D$999),""))</f>
        <v/>
      </c>
      <c r="E169" s="18" t="str">
        <f t="array" ref="E169">_xlfn.XLOOKUP(D169,Table_Warkah[Kode Tiket],Table_Warkah[Jenis Permohonan],"")</f>
        <v/>
      </c>
      <c r="F169" s="12" t="s">
        <v>42</v>
      </c>
      <c r="G169" s="12" t="s">
        <v>43</v>
      </c>
      <c r="H169" s="17">
        <f t="shared" si="1"/>
        <v>45595.41147</v>
      </c>
      <c r="I169" s="18"/>
      <c r="J169" s="20" t="b">
        <v>1</v>
      </c>
      <c r="K169" s="17">
        <f t="shared" si="2"/>
        <v>45600.3754</v>
      </c>
      <c r="L169" s="11" t="s">
        <v>54</v>
      </c>
      <c r="M169" s="21" t="s">
        <v>45</v>
      </c>
    </row>
    <row r="170" ht="22.5" customHeight="1">
      <c r="B170" s="13">
        <f t="shared" si="3"/>
        <v>163</v>
      </c>
      <c r="C170" s="12" t="s">
        <v>222</v>
      </c>
      <c r="D170" s="14" t="str">
        <f t="array" ref="D170">IF(C170="","",IFNA(_xlfn.XLOOKUP(C170,'a 01'!$C$6:$C$999,'a 01'!$D$6:$D$999),""))</f>
        <v>K/49/241024/2</v>
      </c>
      <c r="E170" s="18" t="str">
        <f t="array" ref="E170">_xlfn.XLOOKUP(D170,Table_Warkah[Kode Tiket],Table_Warkah[Jenis Permohonan],"")</f>
        <v>BN Jual Beli</v>
      </c>
      <c r="F170" s="12" t="s">
        <v>42</v>
      </c>
      <c r="G170" s="12" t="s">
        <v>43</v>
      </c>
      <c r="H170" s="17">
        <f t="shared" si="1"/>
        <v>45595.41147</v>
      </c>
      <c r="I170" s="18"/>
      <c r="J170" s="20" t="b">
        <v>1</v>
      </c>
      <c r="K170" s="17">
        <f t="shared" si="2"/>
        <v>45600.38113</v>
      </c>
      <c r="L170" s="11" t="s">
        <v>54</v>
      </c>
      <c r="M170" s="21" t="s">
        <v>45</v>
      </c>
    </row>
    <row r="171" ht="22.5" customHeight="1">
      <c r="B171" s="13">
        <f t="shared" si="3"/>
        <v>164</v>
      </c>
      <c r="C171" s="12" t="s">
        <v>223</v>
      </c>
      <c r="D171" s="14" t="str">
        <f t="array" ref="D171">IF(C171="","",IFNA(_xlfn.XLOOKUP(C171,'a 01'!$C$6:$C$999,'a 01'!$D$6:$D$999),""))</f>
        <v/>
      </c>
      <c r="E171" s="18" t="str">
        <f t="array" ref="E171">_xlfn.XLOOKUP(D171,Table_Warkah[Kode Tiket],Table_Warkah[Jenis Permohonan],"")</f>
        <v/>
      </c>
      <c r="F171" s="12" t="s">
        <v>42</v>
      </c>
      <c r="G171" s="12" t="s">
        <v>43</v>
      </c>
      <c r="H171" s="17">
        <f t="shared" si="1"/>
        <v>45595.41147</v>
      </c>
      <c r="I171" s="18"/>
      <c r="J171" s="20" t="b">
        <v>1</v>
      </c>
      <c r="K171" s="17">
        <f t="shared" si="2"/>
        <v>45600.37349</v>
      </c>
      <c r="L171" s="11" t="s">
        <v>54</v>
      </c>
      <c r="M171" s="21" t="s">
        <v>45</v>
      </c>
    </row>
    <row r="172" ht="22.5" customHeight="1">
      <c r="B172" s="13">
        <f t="shared" si="3"/>
        <v>165</v>
      </c>
      <c r="C172" s="12" t="s">
        <v>224</v>
      </c>
      <c r="D172" s="14" t="str">
        <f t="array" ref="D172">IF(C172="","",IFNA(_xlfn.XLOOKUP(C172,'a 01'!$C$6:$C$999,'a 01'!$D$6:$D$999),""))</f>
        <v/>
      </c>
      <c r="E172" s="18" t="str">
        <f t="array" ref="E172">_xlfn.XLOOKUP(D172,Table_Warkah[Kode Tiket],Table_Warkah[Jenis Permohonan],"")</f>
        <v/>
      </c>
      <c r="F172" s="12" t="s">
        <v>42</v>
      </c>
      <c r="G172" s="12" t="s">
        <v>43</v>
      </c>
      <c r="H172" s="17">
        <f t="shared" si="1"/>
        <v>45595.41147</v>
      </c>
      <c r="I172" s="18"/>
      <c r="J172" s="20" t="b">
        <v>0</v>
      </c>
      <c r="K172" s="13" t="str">
        <f t="shared" si="2"/>
        <v/>
      </c>
      <c r="L172" s="13"/>
      <c r="M172" s="21" t="s">
        <v>45</v>
      </c>
    </row>
    <row r="173" ht="22.5" customHeight="1">
      <c r="B173" s="13">
        <f t="shared" si="3"/>
        <v>166</v>
      </c>
      <c r="C173" s="12" t="s">
        <v>225</v>
      </c>
      <c r="D173" s="14" t="str">
        <f t="array" ref="D173">IF(C173="","",IFNA(_xlfn.XLOOKUP(C173,'a 01'!$C$6:$C$999,'a 01'!$D$6:$D$999),""))</f>
        <v/>
      </c>
      <c r="E173" s="18" t="str">
        <f t="array" ref="E173">_xlfn.XLOOKUP(D173,Table_Warkah[Kode Tiket],Table_Warkah[Jenis Permohonan],"")</f>
        <v/>
      </c>
      <c r="F173" s="12" t="s">
        <v>42</v>
      </c>
      <c r="G173" s="12" t="s">
        <v>43</v>
      </c>
      <c r="H173" s="17">
        <f t="shared" si="1"/>
        <v>45595.41147</v>
      </c>
      <c r="I173" s="18"/>
      <c r="J173" s="20" t="b">
        <v>1</v>
      </c>
      <c r="K173" s="17">
        <f t="shared" si="2"/>
        <v>45600.38016</v>
      </c>
      <c r="L173" s="11" t="s">
        <v>54</v>
      </c>
      <c r="M173" s="21" t="s">
        <v>45</v>
      </c>
    </row>
    <row r="174" ht="22.5" customHeight="1">
      <c r="B174" s="13">
        <f t="shared" si="3"/>
        <v>167</v>
      </c>
      <c r="C174" s="12" t="s">
        <v>226</v>
      </c>
      <c r="D174" s="14" t="str">
        <f t="array" ref="D174">IF(C174="","",IFNA(_xlfn.XLOOKUP(C174,'a 01'!$C$6:$C$999,'a 01'!$D$6:$D$999),""))</f>
        <v>L/31/241024/1</v>
      </c>
      <c r="E174" s="18" t="str">
        <f t="array" ref="E174">_xlfn.XLOOKUP(D174,Table_Warkah[Kode Tiket],Table_Warkah[Jenis Permohonan],"")</f>
        <v>PERUBAHAN HAK</v>
      </c>
      <c r="F174" s="12" t="s">
        <v>42</v>
      </c>
      <c r="G174" s="12" t="s">
        <v>43</v>
      </c>
      <c r="H174" s="17">
        <f t="shared" si="1"/>
        <v>45595.41147</v>
      </c>
      <c r="I174" s="18"/>
      <c r="J174" s="20" t="b">
        <v>0</v>
      </c>
      <c r="K174" s="13" t="str">
        <f t="shared" si="2"/>
        <v/>
      </c>
      <c r="L174" s="13"/>
      <c r="M174" s="21" t="s">
        <v>45</v>
      </c>
    </row>
    <row r="175" ht="22.5" customHeight="1">
      <c r="B175" s="13">
        <f t="shared" si="3"/>
        <v>168</v>
      </c>
      <c r="C175" s="12" t="s">
        <v>227</v>
      </c>
      <c r="D175" s="14" t="str">
        <f t="array" ref="D175">IF(C175="","",IFNA(_xlfn.XLOOKUP(C175,'a 01'!$C$6:$C$999,'a 01'!$D$6:$D$999),""))</f>
        <v>K/32/241024/1</v>
      </c>
      <c r="E175" s="18" t="str">
        <f t="array" ref="E175">_xlfn.XLOOKUP(D175,Table_Warkah[Kode Tiket],Table_Warkah[Jenis Permohonan],"")</f>
        <v>roya</v>
      </c>
      <c r="F175" s="12" t="s">
        <v>42</v>
      </c>
      <c r="G175" s="12" t="s">
        <v>43</v>
      </c>
      <c r="H175" s="17">
        <f t="shared" si="1"/>
        <v>45595.41147</v>
      </c>
      <c r="I175" s="18"/>
      <c r="J175" s="20" t="b">
        <v>1</v>
      </c>
      <c r="K175" s="17">
        <f t="shared" si="2"/>
        <v>45601.44696</v>
      </c>
      <c r="L175" s="11" t="s">
        <v>49</v>
      </c>
      <c r="M175" s="21" t="s">
        <v>45</v>
      </c>
    </row>
    <row r="176" ht="22.5" customHeight="1">
      <c r="B176" s="13">
        <f t="shared" si="3"/>
        <v>169</v>
      </c>
      <c r="C176" s="12" t="s">
        <v>228</v>
      </c>
      <c r="D176" s="14" t="str">
        <f t="array" ref="D176">IF(C176="","",IFNA(_xlfn.XLOOKUP(C176,'a 01'!$C$6:$C$999,'a 01'!$D$6:$D$999),""))</f>
        <v/>
      </c>
      <c r="E176" s="18" t="str">
        <f t="array" ref="E176">_xlfn.XLOOKUP(D176,Table_Warkah[Kode Tiket],Table_Warkah[Jenis Permohonan],"")</f>
        <v/>
      </c>
      <c r="F176" s="12" t="s">
        <v>42</v>
      </c>
      <c r="G176" s="12" t="s">
        <v>43</v>
      </c>
      <c r="H176" s="17">
        <f t="shared" si="1"/>
        <v>45595.41147</v>
      </c>
      <c r="I176" s="18"/>
      <c r="J176" s="20" t="b">
        <v>1</v>
      </c>
      <c r="K176" s="17">
        <f t="shared" si="2"/>
        <v>45601.44708</v>
      </c>
      <c r="L176" s="11" t="s">
        <v>49</v>
      </c>
      <c r="M176" s="21" t="s">
        <v>45</v>
      </c>
    </row>
    <row r="177" ht="22.5" customHeight="1">
      <c r="B177" s="13">
        <f t="shared" si="3"/>
        <v>170</v>
      </c>
      <c r="C177" s="12" t="s">
        <v>229</v>
      </c>
      <c r="D177" s="14" t="str">
        <f t="array" ref="D177">IF(C177="","",IFNA(_xlfn.XLOOKUP(C177,'a 01'!$C$6:$C$999,'a 01'!$D$6:$D$999),""))</f>
        <v>L/17/231024/2</v>
      </c>
      <c r="E177" s="18" t="str">
        <f t="array" ref="E177">_xlfn.XLOOKUP(D177,Table_Warkah[Kode Tiket],Table_Warkah[Jenis Permohonan],"")</f>
        <v>SERTIPIKAT HILANG</v>
      </c>
      <c r="F177" s="12" t="s">
        <v>42</v>
      </c>
      <c r="G177" s="12" t="s">
        <v>43</v>
      </c>
      <c r="H177" s="17">
        <f t="shared" si="1"/>
        <v>45595.59718</v>
      </c>
      <c r="I177" s="18"/>
      <c r="J177" s="20" t="b">
        <v>1</v>
      </c>
      <c r="K177" s="17">
        <f t="shared" si="2"/>
        <v>45595.59722</v>
      </c>
      <c r="L177" s="11" t="s">
        <v>66</v>
      </c>
      <c r="M177" s="21" t="s">
        <v>45</v>
      </c>
    </row>
    <row r="178" ht="22.5" customHeight="1">
      <c r="B178" s="13">
        <f t="shared" si="3"/>
        <v>171</v>
      </c>
      <c r="C178" s="12" t="s">
        <v>230</v>
      </c>
      <c r="D178" s="14" t="str">
        <f t="array" ref="D178">IF(C178="","",IFNA(_xlfn.XLOOKUP(C178,'a 01'!$C$6:$C$999,'a 01'!$D$6:$D$999),""))</f>
        <v/>
      </c>
      <c r="E178" s="18" t="str">
        <f t="array" ref="E178">_xlfn.XLOOKUP(D178,Table_Warkah[Kode Tiket],Table_Warkah[Jenis Permohonan],"")</f>
        <v/>
      </c>
      <c r="F178" s="12" t="s">
        <v>42</v>
      </c>
      <c r="G178" s="12" t="s">
        <v>43</v>
      </c>
      <c r="H178" s="17">
        <f t="shared" si="1"/>
        <v>45595.59718</v>
      </c>
      <c r="I178" s="18"/>
      <c r="J178" s="20" t="b">
        <v>0</v>
      </c>
      <c r="K178" s="13" t="str">
        <f t="shared" si="2"/>
        <v/>
      </c>
      <c r="L178" s="13"/>
      <c r="M178" s="21" t="s">
        <v>45</v>
      </c>
    </row>
    <row r="179" ht="22.5" customHeight="1">
      <c r="B179" s="13">
        <f t="shared" si="3"/>
        <v>172</v>
      </c>
      <c r="C179" s="12" t="s">
        <v>231</v>
      </c>
      <c r="D179" s="14" t="str">
        <f t="array" ref="D179">IF(C179="","",IFNA(_xlfn.XLOOKUP(C179,'a 01'!$C$6:$C$999,'a 01'!$D$6:$D$999),""))</f>
        <v>L/16/231024/1</v>
      </c>
      <c r="E179" s="18" t="str">
        <f t="array" ref="E179">_xlfn.XLOOKUP(D179,Table_Warkah[Kode Tiket],Table_Warkah[Jenis Permohonan],"")</f>
        <v>SERTIPIKAT HILANG</v>
      </c>
      <c r="F179" s="12" t="s">
        <v>42</v>
      </c>
      <c r="G179" s="12" t="s">
        <v>43</v>
      </c>
      <c r="H179" s="17">
        <f t="shared" si="1"/>
        <v>45595.59718</v>
      </c>
      <c r="I179" s="18"/>
      <c r="J179" s="20" t="b">
        <v>1</v>
      </c>
      <c r="K179" s="17">
        <f t="shared" si="2"/>
        <v>45595.5978</v>
      </c>
      <c r="L179" s="11" t="s">
        <v>66</v>
      </c>
      <c r="M179" s="21" t="s">
        <v>45</v>
      </c>
    </row>
    <row r="180" ht="22.5" customHeight="1">
      <c r="B180" s="13">
        <f t="shared" si="3"/>
        <v>173</v>
      </c>
      <c r="C180" s="12" t="s">
        <v>232</v>
      </c>
      <c r="D180" s="14" t="str">
        <f t="array" ref="D180">IF(C180="","",IFNA(_xlfn.XLOOKUP(C180,'a 01'!$C$6:$C$999,'a 01'!$D$6:$D$999),""))</f>
        <v/>
      </c>
      <c r="E180" s="18" t="str">
        <f t="array" ref="E180">_xlfn.XLOOKUP(D180,Table_Warkah[Kode Tiket],Table_Warkah[Jenis Permohonan],"")</f>
        <v/>
      </c>
      <c r="F180" s="12" t="s">
        <v>42</v>
      </c>
      <c r="G180" s="12" t="s">
        <v>43</v>
      </c>
      <c r="H180" s="17">
        <f t="shared" si="1"/>
        <v>45596.3841</v>
      </c>
      <c r="I180" s="18"/>
      <c r="J180" s="20" t="b">
        <v>1</v>
      </c>
      <c r="K180" s="17">
        <f t="shared" si="2"/>
        <v>45596.68963</v>
      </c>
      <c r="L180" s="11" t="s">
        <v>54</v>
      </c>
      <c r="M180" s="21" t="s">
        <v>45</v>
      </c>
    </row>
    <row r="181" ht="22.5" customHeight="1">
      <c r="B181" s="13">
        <f t="shared" si="3"/>
        <v>174</v>
      </c>
      <c r="C181" s="12" t="s">
        <v>233</v>
      </c>
      <c r="D181" s="14" t="str">
        <f t="array" ref="D181">IF(C181="","",IFNA(_xlfn.XLOOKUP(C181,'a 01'!$C$6:$C$999,'a 01'!$D$6:$D$999),""))</f>
        <v/>
      </c>
      <c r="E181" s="18" t="str">
        <f t="array" ref="E181">_xlfn.XLOOKUP(D181,Table_Warkah[Kode Tiket],Table_Warkah[Jenis Permohonan],"")</f>
        <v/>
      </c>
      <c r="F181" s="12" t="s">
        <v>42</v>
      </c>
      <c r="G181" s="12" t="s">
        <v>43</v>
      </c>
      <c r="H181" s="17">
        <f t="shared" si="1"/>
        <v>45596.3841</v>
      </c>
      <c r="I181" s="18"/>
      <c r="J181" s="20" t="b">
        <v>1</v>
      </c>
      <c r="K181" s="17">
        <f t="shared" si="2"/>
        <v>45604.6047</v>
      </c>
      <c r="L181" s="11" t="s">
        <v>54</v>
      </c>
      <c r="M181" s="21" t="s">
        <v>45</v>
      </c>
    </row>
    <row r="182" ht="22.5" customHeight="1">
      <c r="B182" s="13">
        <f t="shared" si="3"/>
        <v>175</v>
      </c>
      <c r="C182" s="12" t="s">
        <v>234</v>
      </c>
      <c r="D182" s="14" t="str">
        <f t="array" ref="D182">IF(C182="","",IFNA(_xlfn.XLOOKUP(C182,'a 01'!$C$6:$C$999,'a 01'!$D$6:$D$999),""))</f>
        <v>K/37/251024/1</v>
      </c>
      <c r="E182" s="18" t="str">
        <f t="array" ref="E182">_xlfn.XLOOKUP(D182,Table_Warkah[Kode Tiket],Table_Warkah[Jenis Permohonan],"")</f>
        <v>BN Jual Beli</v>
      </c>
      <c r="F182" s="12" t="s">
        <v>42</v>
      </c>
      <c r="G182" s="12" t="s">
        <v>43</v>
      </c>
      <c r="H182" s="17">
        <f t="shared" si="1"/>
        <v>45596.3841</v>
      </c>
      <c r="I182" s="18"/>
      <c r="J182" s="20" t="b">
        <v>1</v>
      </c>
      <c r="K182" s="17">
        <f t="shared" si="2"/>
        <v>45600.37504</v>
      </c>
      <c r="L182" s="11" t="s">
        <v>54</v>
      </c>
      <c r="M182" s="21" t="s">
        <v>45</v>
      </c>
    </row>
    <row r="183" ht="22.5" customHeight="1">
      <c r="B183" s="13">
        <f t="shared" si="3"/>
        <v>176</v>
      </c>
      <c r="C183" s="12" t="s">
        <v>235</v>
      </c>
      <c r="D183" s="14" t="str">
        <f t="array" ref="D183">IF(C183="","",IFNA(_xlfn.XLOOKUP(C183,'a 01'!$C$6:$C$999,'a 01'!$D$6:$D$999),""))</f>
        <v>K/40/281024/1</v>
      </c>
      <c r="E183" s="18" t="str">
        <f t="array" ref="E183">_xlfn.XLOOKUP(D183,Table_Warkah[Kode Tiket],Table_Warkah[Jenis Permohonan],"")</f>
        <v>BN JUAL BELI</v>
      </c>
      <c r="F183" s="12" t="s">
        <v>42</v>
      </c>
      <c r="G183" s="12" t="s">
        <v>43</v>
      </c>
      <c r="H183" s="17">
        <f t="shared" si="1"/>
        <v>45596.3841</v>
      </c>
      <c r="I183" s="18"/>
      <c r="J183" s="20" t="b">
        <v>1</v>
      </c>
      <c r="K183" s="17">
        <f t="shared" si="2"/>
        <v>45604.6047</v>
      </c>
      <c r="L183" s="11" t="s">
        <v>54</v>
      </c>
      <c r="M183" s="21" t="s">
        <v>45</v>
      </c>
    </row>
    <row r="184" ht="22.5" customHeight="1">
      <c r="B184" s="13">
        <f t="shared" si="3"/>
        <v>177</v>
      </c>
      <c r="C184" s="12" t="s">
        <v>236</v>
      </c>
      <c r="D184" s="14" t="str">
        <f t="array" ref="D184">IF(C184="","",IFNA(_xlfn.XLOOKUP(C184,'a 01'!$C$6:$C$999,'a 01'!$D$6:$D$999),""))</f>
        <v/>
      </c>
      <c r="E184" s="18" t="str">
        <f t="array" ref="E184">_xlfn.XLOOKUP(D184,Table_Warkah[Kode Tiket],Table_Warkah[Jenis Permohonan],"")</f>
        <v/>
      </c>
      <c r="F184" s="12" t="s">
        <v>42</v>
      </c>
      <c r="G184" s="12" t="s">
        <v>43</v>
      </c>
      <c r="H184" s="17">
        <f t="shared" si="1"/>
        <v>45596.3841</v>
      </c>
      <c r="I184" s="18"/>
      <c r="J184" s="20" t="b">
        <v>1</v>
      </c>
      <c r="K184" s="17">
        <f t="shared" si="2"/>
        <v>45600.37603</v>
      </c>
      <c r="L184" s="11" t="s">
        <v>54</v>
      </c>
      <c r="M184" s="21" t="s">
        <v>45</v>
      </c>
    </row>
    <row r="185" ht="22.5" customHeight="1">
      <c r="B185" s="13">
        <f t="shared" si="3"/>
        <v>178</v>
      </c>
      <c r="C185" s="12" t="s">
        <v>237</v>
      </c>
      <c r="D185" s="14" t="str">
        <f t="array" ref="D185">IF(C185="","",IFNA(_xlfn.XLOOKUP(C185,'a 01'!$C$6:$C$999,'a 01'!$D$6:$D$999),""))</f>
        <v/>
      </c>
      <c r="E185" s="18" t="str">
        <f t="array" ref="E185">_xlfn.XLOOKUP(D185,Table_Warkah[Kode Tiket],Table_Warkah[Jenis Permohonan],"")</f>
        <v/>
      </c>
      <c r="F185" s="12" t="s">
        <v>42</v>
      </c>
      <c r="G185" s="12" t="s">
        <v>43</v>
      </c>
      <c r="H185" s="17">
        <f t="shared" si="1"/>
        <v>45596.3841</v>
      </c>
      <c r="I185" s="18"/>
      <c r="J185" s="20" t="b">
        <v>1</v>
      </c>
      <c r="K185" s="17">
        <f t="shared" si="2"/>
        <v>45600.37832</v>
      </c>
      <c r="L185" s="11" t="s">
        <v>54</v>
      </c>
      <c r="M185" s="21" t="s">
        <v>45</v>
      </c>
    </row>
    <row r="186" ht="22.5" customHeight="1">
      <c r="B186" s="13">
        <f t="shared" si="3"/>
        <v>179</v>
      </c>
      <c r="C186" s="12" t="s">
        <v>238</v>
      </c>
      <c r="D186" s="14" t="str">
        <f t="array" ref="D186">IF(C186="","",IFNA(_xlfn.XLOOKUP(C186,'a 01'!$C$6:$C$999,'a 01'!$D$6:$D$999),""))</f>
        <v/>
      </c>
      <c r="E186" s="18" t="str">
        <f t="array" ref="E186">_xlfn.XLOOKUP(D186,Table_Warkah[Kode Tiket],Table_Warkah[Jenis Permohonan],"")</f>
        <v/>
      </c>
      <c r="F186" s="12" t="s">
        <v>42</v>
      </c>
      <c r="G186" s="12" t="s">
        <v>43</v>
      </c>
      <c r="H186" s="17">
        <f t="shared" si="1"/>
        <v>45596.3841</v>
      </c>
      <c r="I186" s="18"/>
      <c r="J186" s="20" t="b">
        <v>1</v>
      </c>
      <c r="K186" s="17">
        <f t="shared" si="2"/>
        <v>45604.6047</v>
      </c>
      <c r="L186" s="11" t="s">
        <v>54</v>
      </c>
      <c r="M186" s="21" t="s">
        <v>45</v>
      </c>
    </row>
    <row r="187" ht="22.5" customHeight="1">
      <c r="B187" s="13">
        <f t="shared" si="3"/>
        <v>180</v>
      </c>
      <c r="C187" s="12" t="s">
        <v>239</v>
      </c>
      <c r="D187" s="14" t="str">
        <f t="array" ref="D187">IF(C187="","",IFNA(_xlfn.XLOOKUP(C187,'a 01'!$C$6:$C$999,'a 01'!$D$6:$D$999),""))</f>
        <v/>
      </c>
      <c r="E187" s="18" t="str">
        <f t="array" ref="E187">_xlfn.XLOOKUP(D187,Table_Warkah[Kode Tiket],Table_Warkah[Jenis Permohonan],"")</f>
        <v/>
      </c>
      <c r="F187" s="12" t="s">
        <v>42</v>
      </c>
      <c r="G187" s="12" t="s">
        <v>43</v>
      </c>
      <c r="H187" s="17">
        <f t="shared" si="1"/>
        <v>45596.3841</v>
      </c>
      <c r="I187" s="18"/>
      <c r="J187" s="20" t="b">
        <v>1</v>
      </c>
      <c r="K187" s="17">
        <f t="shared" si="2"/>
        <v>45604.6047</v>
      </c>
      <c r="L187" s="11" t="s">
        <v>54</v>
      </c>
      <c r="M187" s="21" t="s">
        <v>45</v>
      </c>
    </row>
    <row r="188" ht="22.5" customHeight="1">
      <c r="B188" s="13">
        <f t="shared" si="3"/>
        <v>181</v>
      </c>
      <c r="C188" s="12" t="s">
        <v>240</v>
      </c>
      <c r="D188" s="14" t="str">
        <f t="array" ref="D188">IF(C188="","",IFNA(_xlfn.XLOOKUP(C188,'a 01'!$C$6:$C$999,'a 01'!$D$6:$D$999),""))</f>
        <v>K/19/281024/1</v>
      </c>
      <c r="E188" s="18" t="str">
        <f t="array" ref="E188">_xlfn.XLOOKUP(D188,Table_Warkah[Kode Tiket],Table_Warkah[Jenis Permohonan],"")</f>
        <v>BN JUAL BELI</v>
      </c>
      <c r="F188" s="12" t="s">
        <v>42</v>
      </c>
      <c r="G188" s="12" t="s">
        <v>43</v>
      </c>
      <c r="H188" s="17">
        <f t="shared" si="1"/>
        <v>45596.3841</v>
      </c>
      <c r="I188" s="18"/>
      <c r="J188" s="20" t="b">
        <v>1</v>
      </c>
      <c r="K188" s="17">
        <f t="shared" si="2"/>
        <v>45596.40769</v>
      </c>
      <c r="L188" s="11" t="s">
        <v>54</v>
      </c>
      <c r="M188" s="21" t="s">
        <v>45</v>
      </c>
    </row>
    <row r="189" ht="22.5" customHeight="1">
      <c r="B189" s="13">
        <f t="shared" si="3"/>
        <v>182</v>
      </c>
      <c r="C189" s="12" t="s">
        <v>241</v>
      </c>
      <c r="D189" s="14" t="str">
        <f t="array" ref="D189">IF(C189="","",IFNA(_xlfn.XLOOKUP(C189,'a 01'!$C$6:$C$999,'a 01'!$D$6:$D$999),""))</f>
        <v/>
      </c>
      <c r="E189" s="18" t="str">
        <f t="array" ref="E189">_xlfn.XLOOKUP(D189,Table_Warkah[Kode Tiket],Table_Warkah[Jenis Permohonan],"")</f>
        <v/>
      </c>
      <c r="F189" s="12" t="s">
        <v>42</v>
      </c>
      <c r="G189" s="12" t="s">
        <v>43</v>
      </c>
      <c r="H189" s="17">
        <f t="shared" si="1"/>
        <v>45596.3841</v>
      </c>
      <c r="I189" s="18"/>
      <c r="J189" s="20" t="b">
        <v>1</v>
      </c>
      <c r="K189" s="17">
        <f t="shared" si="2"/>
        <v>45596.68963</v>
      </c>
      <c r="L189" s="11" t="s">
        <v>54</v>
      </c>
      <c r="M189" s="21" t="s">
        <v>45</v>
      </c>
    </row>
    <row r="190" ht="22.5" customHeight="1">
      <c r="B190" s="13">
        <f t="shared" si="3"/>
        <v>183</v>
      </c>
      <c r="C190" s="12" t="s">
        <v>242</v>
      </c>
      <c r="D190" s="14" t="str">
        <f t="array" ref="D190">IF(C190="","",IFNA(_xlfn.XLOOKUP(C190,'a 01'!$C$6:$C$999,'a 01'!$D$6:$D$999),""))</f>
        <v/>
      </c>
      <c r="E190" s="18" t="str">
        <f t="array" ref="E190">_xlfn.XLOOKUP(D190,Table_Warkah[Kode Tiket],Table_Warkah[Jenis Permohonan],"")</f>
        <v/>
      </c>
      <c r="F190" s="12" t="s">
        <v>42</v>
      </c>
      <c r="G190" s="12" t="s">
        <v>43</v>
      </c>
      <c r="H190" s="17">
        <f t="shared" si="1"/>
        <v>45596.3841</v>
      </c>
      <c r="I190" s="18"/>
      <c r="J190" s="20" t="b">
        <v>1</v>
      </c>
      <c r="K190" s="17">
        <f t="shared" si="2"/>
        <v>45596.68963</v>
      </c>
      <c r="L190" s="11" t="s">
        <v>54</v>
      </c>
      <c r="M190" s="21" t="s">
        <v>45</v>
      </c>
    </row>
    <row r="191" ht="22.5" customHeight="1">
      <c r="B191" s="13">
        <f t="shared" si="3"/>
        <v>184</v>
      </c>
      <c r="C191" s="12" t="s">
        <v>243</v>
      </c>
      <c r="D191" s="14" t="str">
        <f t="array" ref="D191">IF(C191="","",IFNA(_xlfn.XLOOKUP(C191,'a 01'!$C$6:$C$999,'a 01'!$D$6:$D$999),""))</f>
        <v>K/15/281024/1</v>
      </c>
      <c r="E191" s="18" t="str">
        <f t="array" ref="E191">_xlfn.XLOOKUP(D191,Table_Warkah[Kode Tiket],Table_Warkah[Jenis Permohonan],"")</f>
        <v>BN WARIS</v>
      </c>
      <c r="F191" s="12" t="s">
        <v>42</v>
      </c>
      <c r="G191" s="12" t="s">
        <v>43</v>
      </c>
      <c r="H191" s="17">
        <f t="shared" si="1"/>
        <v>45596.3841</v>
      </c>
      <c r="I191" s="18"/>
      <c r="J191" s="20" t="b">
        <v>0</v>
      </c>
      <c r="K191" s="13" t="str">
        <f t="shared" si="2"/>
        <v/>
      </c>
      <c r="L191" s="13"/>
      <c r="M191" s="21" t="s">
        <v>45</v>
      </c>
    </row>
    <row r="192" ht="22.5" customHeight="1">
      <c r="B192" s="13">
        <f t="shared" si="3"/>
        <v>185</v>
      </c>
      <c r="C192" s="12" t="s">
        <v>244</v>
      </c>
      <c r="D192" s="14" t="str">
        <f t="array" ref="D192">IF(C192="","",IFNA(_xlfn.XLOOKUP(C192,'a 01'!$C$6:$C$999,'a 01'!$D$6:$D$999),""))</f>
        <v/>
      </c>
      <c r="E192" s="18" t="str">
        <f t="array" ref="E192">_xlfn.XLOOKUP(D192,Table_Warkah[Kode Tiket],Table_Warkah[Jenis Permohonan],"")</f>
        <v/>
      </c>
      <c r="F192" s="12" t="s">
        <v>42</v>
      </c>
      <c r="G192" s="12" t="s">
        <v>43</v>
      </c>
      <c r="H192" s="17">
        <f t="shared" si="1"/>
        <v>45596.3841</v>
      </c>
      <c r="I192" s="18"/>
      <c r="J192" s="20" t="b">
        <v>1</v>
      </c>
      <c r="K192" s="17">
        <f t="shared" si="2"/>
        <v>45596.68963</v>
      </c>
      <c r="L192" s="11" t="s">
        <v>54</v>
      </c>
      <c r="M192" s="21" t="s">
        <v>45</v>
      </c>
    </row>
    <row r="193" ht="22.5" customHeight="1">
      <c r="B193" s="13">
        <f t="shared" si="3"/>
        <v>186</v>
      </c>
      <c r="C193" s="12" t="s">
        <v>245</v>
      </c>
      <c r="D193" s="14" t="str">
        <f t="array" ref="D193">IF(C193="","",IFNA(_xlfn.XLOOKUP(C193,'a 01'!$C$6:$C$999,'a 01'!$D$6:$D$999),""))</f>
        <v/>
      </c>
      <c r="E193" s="18" t="str">
        <f t="array" ref="E193">_xlfn.XLOOKUP(D193,Table_Warkah[Kode Tiket],Table_Warkah[Jenis Permohonan],"")</f>
        <v/>
      </c>
      <c r="F193" s="12" t="s">
        <v>42</v>
      </c>
      <c r="G193" s="12" t="s">
        <v>43</v>
      </c>
      <c r="H193" s="17">
        <f t="shared" si="1"/>
        <v>45596.3841</v>
      </c>
      <c r="I193" s="18"/>
      <c r="J193" s="20" t="b">
        <v>1</v>
      </c>
      <c r="K193" s="17">
        <f t="shared" si="2"/>
        <v>45600.37288</v>
      </c>
      <c r="L193" s="11" t="s">
        <v>54</v>
      </c>
      <c r="M193" s="21" t="s">
        <v>45</v>
      </c>
    </row>
    <row r="194" ht="22.5" customHeight="1">
      <c r="B194" s="13">
        <f t="shared" si="3"/>
        <v>187</v>
      </c>
      <c r="C194" s="12" t="s">
        <v>246</v>
      </c>
      <c r="D194" s="14" t="str">
        <f t="array" ref="D194">IF(C194="","",IFNA(_xlfn.XLOOKUP(C194,'a 01'!$C$6:$C$999,'a 01'!$D$6:$D$999),""))</f>
        <v/>
      </c>
      <c r="E194" s="18" t="str">
        <f t="array" ref="E194">_xlfn.XLOOKUP(D194,Table_Warkah[Kode Tiket],Table_Warkah[Jenis Permohonan],"")</f>
        <v/>
      </c>
      <c r="F194" s="12" t="s">
        <v>42</v>
      </c>
      <c r="G194" s="12" t="s">
        <v>43</v>
      </c>
      <c r="H194" s="17">
        <f t="shared" si="1"/>
        <v>45596.3841</v>
      </c>
      <c r="I194" s="18"/>
      <c r="J194" s="20" t="b">
        <v>0</v>
      </c>
      <c r="K194" s="13" t="str">
        <f t="shared" si="2"/>
        <v/>
      </c>
      <c r="L194" s="13"/>
      <c r="M194" s="21" t="s">
        <v>45</v>
      </c>
    </row>
    <row r="195" ht="22.5" customHeight="1">
      <c r="B195" s="13">
        <f t="shared" si="3"/>
        <v>188</v>
      </c>
      <c r="C195" s="12" t="s">
        <v>247</v>
      </c>
      <c r="D195" s="14" t="str">
        <f t="array" ref="D195">IF(C195="","",IFNA(_xlfn.XLOOKUP(C195,'a 01'!$C$6:$C$999,'a 01'!$D$6:$D$999),""))</f>
        <v/>
      </c>
      <c r="E195" s="18" t="str">
        <f t="array" ref="E195">_xlfn.XLOOKUP(D195,Table_Warkah[Kode Tiket],Table_Warkah[Jenis Permohonan],"")</f>
        <v/>
      </c>
      <c r="F195" s="12" t="s">
        <v>42</v>
      </c>
      <c r="G195" s="12" t="s">
        <v>43</v>
      </c>
      <c r="H195" s="17">
        <f t="shared" si="1"/>
        <v>45596.3841</v>
      </c>
      <c r="I195" s="18"/>
      <c r="J195" s="20" t="b">
        <v>1</v>
      </c>
      <c r="K195" s="17">
        <f t="shared" si="2"/>
        <v>45600.3799</v>
      </c>
      <c r="L195" s="11" t="s">
        <v>54</v>
      </c>
      <c r="M195" s="21" t="s">
        <v>45</v>
      </c>
    </row>
    <row r="196" ht="22.5" customHeight="1">
      <c r="B196" s="13">
        <f t="shared" si="3"/>
        <v>189</v>
      </c>
      <c r="C196" s="12" t="s">
        <v>248</v>
      </c>
      <c r="D196" s="14" t="str">
        <f t="array" ref="D196">IF(C196="","",IFNA(_xlfn.XLOOKUP(C196,'a 01'!$C$6:$C$999,'a 01'!$D$6:$D$999),""))</f>
        <v/>
      </c>
      <c r="E196" s="18" t="str">
        <f t="array" ref="E196">_xlfn.XLOOKUP(D196,Table_Warkah[Kode Tiket],Table_Warkah[Jenis Permohonan],"")</f>
        <v/>
      </c>
      <c r="F196" s="12" t="s">
        <v>42</v>
      </c>
      <c r="G196" s="12" t="s">
        <v>43</v>
      </c>
      <c r="H196" s="17">
        <f t="shared" si="1"/>
        <v>45596.3841</v>
      </c>
      <c r="I196" s="18"/>
      <c r="J196" s="20" t="b">
        <v>0</v>
      </c>
      <c r="K196" s="13" t="str">
        <f t="shared" si="2"/>
        <v/>
      </c>
      <c r="L196" s="13"/>
      <c r="M196" s="21" t="s">
        <v>45</v>
      </c>
    </row>
    <row r="197" ht="22.5" customHeight="1">
      <c r="B197" s="13">
        <f t="shared" si="3"/>
        <v>190</v>
      </c>
      <c r="C197" s="12" t="s">
        <v>249</v>
      </c>
      <c r="D197" s="14" t="str">
        <f t="array" ref="D197">IF(C197="","",IFNA(_xlfn.XLOOKUP(C197,'a 01'!$C$6:$C$999,'a 01'!$D$6:$D$999),""))</f>
        <v/>
      </c>
      <c r="E197" s="18" t="str">
        <f t="array" ref="E197">_xlfn.XLOOKUP(D197,Table_Warkah[Kode Tiket],Table_Warkah[Jenis Permohonan],"")</f>
        <v/>
      </c>
      <c r="F197" s="12" t="s">
        <v>42</v>
      </c>
      <c r="G197" s="12" t="s">
        <v>43</v>
      </c>
      <c r="H197" s="17">
        <f t="shared" si="1"/>
        <v>45596.3841</v>
      </c>
      <c r="I197" s="18"/>
      <c r="J197" s="20" t="b">
        <v>1</v>
      </c>
      <c r="K197" s="17">
        <f t="shared" si="2"/>
        <v>45614.66166</v>
      </c>
      <c r="L197" s="11" t="s">
        <v>54</v>
      </c>
      <c r="M197" s="21" t="s">
        <v>45</v>
      </c>
    </row>
    <row r="198" ht="22.5" customHeight="1">
      <c r="B198" s="13">
        <f t="shared" si="3"/>
        <v>191</v>
      </c>
      <c r="C198" s="12" t="s">
        <v>250</v>
      </c>
      <c r="D198" s="14" t="str">
        <f t="array" ref="D198">IF(C198="","",IFNA(_xlfn.XLOOKUP(C198,'a 01'!$C$6:$C$999,'a 01'!$D$6:$D$999),""))</f>
        <v/>
      </c>
      <c r="E198" s="18" t="str">
        <f t="array" ref="E198">_xlfn.XLOOKUP(D198,Table_Warkah[Kode Tiket],Table_Warkah[Jenis Permohonan],"")</f>
        <v/>
      </c>
      <c r="F198" s="12" t="s">
        <v>42</v>
      </c>
      <c r="G198" s="12" t="s">
        <v>43</v>
      </c>
      <c r="H198" s="17">
        <f t="shared" si="1"/>
        <v>45596.3841</v>
      </c>
      <c r="I198" s="18"/>
      <c r="J198" s="20" t="b">
        <v>1</v>
      </c>
      <c r="K198" s="17">
        <f t="shared" si="2"/>
        <v>45600.3796</v>
      </c>
      <c r="L198" s="11" t="s">
        <v>54</v>
      </c>
      <c r="M198" s="21" t="s">
        <v>45</v>
      </c>
    </row>
    <row r="199" ht="22.5" customHeight="1">
      <c r="B199" s="13">
        <f t="shared" si="3"/>
        <v>192</v>
      </c>
      <c r="C199" s="12" t="s">
        <v>251</v>
      </c>
      <c r="D199" s="14" t="str">
        <f t="array" ref="D199">IF(C199="","",IFNA(_xlfn.XLOOKUP(C199,'a 01'!$C$6:$C$999,'a 01'!$D$6:$D$999),""))</f>
        <v/>
      </c>
      <c r="E199" s="18" t="str">
        <f t="array" ref="E199">_xlfn.XLOOKUP(D199,Table_Warkah[Kode Tiket],Table_Warkah[Jenis Permohonan],"")</f>
        <v/>
      </c>
      <c r="F199" s="12" t="s">
        <v>42</v>
      </c>
      <c r="G199" s="12" t="s">
        <v>43</v>
      </c>
      <c r="H199" s="17">
        <f t="shared" si="1"/>
        <v>45596.3841</v>
      </c>
      <c r="I199" s="18"/>
      <c r="J199" s="20" t="b">
        <v>0</v>
      </c>
      <c r="K199" s="13" t="str">
        <f t="shared" si="2"/>
        <v/>
      </c>
      <c r="L199" s="13"/>
      <c r="M199" s="21" t="s">
        <v>45</v>
      </c>
    </row>
    <row r="200" ht="22.5" customHeight="1">
      <c r="B200" s="13">
        <f t="shared" si="3"/>
        <v>193</v>
      </c>
      <c r="C200" s="12" t="s">
        <v>252</v>
      </c>
      <c r="D200" s="14" t="str">
        <f t="array" ref="D200">IF(C200="","",IFNA(_xlfn.XLOOKUP(C200,'a 01'!$C$6:$C$999,'a 01'!$D$6:$D$999),""))</f>
        <v/>
      </c>
      <c r="E200" s="18" t="str">
        <f t="array" ref="E200">_xlfn.XLOOKUP(D200,Table_Warkah[Kode Tiket],Table_Warkah[Jenis Permohonan],"")</f>
        <v/>
      </c>
      <c r="F200" s="12" t="s">
        <v>42</v>
      </c>
      <c r="G200" s="12" t="s">
        <v>43</v>
      </c>
      <c r="H200" s="17">
        <f t="shared" si="1"/>
        <v>45596.3841</v>
      </c>
      <c r="I200" s="18"/>
      <c r="J200" s="20" t="b">
        <v>0</v>
      </c>
      <c r="K200" s="13" t="str">
        <f t="shared" si="2"/>
        <v/>
      </c>
      <c r="L200" s="13"/>
      <c r="M200" s="21" t="s">
        <v>45</v>
      </c>
    </row>
    <row r="201" ht="22.5" customHeight="1">
      <c r="B201" s="13">
        <f t="shared" si="3"/>
        <v>194</v>
      </c>
      <c r="C201" s="12" t="s">
        <v>253</v>
      </c>
      <c r="D201" s="14" t="str">
        <f t="array" ref="D201">IF(C201="","",IFNA(_xlfn.XLOOKUP(C201,'a 01'!$C$6:$C$999,'a 01'!$D$6:$D$999),""))</f>
        <v/>
      </c>
      <c r="E201" s="18" t="str">
        <f t="array" ref="E201">_xlfn.XLOOKUP(D201,Table_Warkah[Kode Tiket],Table_Warkah[Jenis Permohonan],"")</f>
        <v/>
      </c>
      <c r="F201" s="12" t="s">
        <v>42</v>
      </c>
      <c r="G201" s="12" t="s">
        <v>43</v>
      </c>
      <c r="H201" s="17">
        <f t="shared" si="1"/>
        <v>45596.3841</v>
      </c>
      <c r="I201" s="18"/>
      <c r="J201" s="20" t="b">
        <v>1</v>
      </c>
      <c r="K201" s="17">
        <f t="shared" si="2"/>
        <v>45614.66166</v>
      </c>
      <c r="L201" s="11" t="s">
        <v>54</v>
      </c>
      <c r="M201" s="21" t="s">
        <v>45</v>
      </c>
    </row>
    <row r="202" ht="22.5" customHeight="1">
      <c r="B202" s="13">
        <f t="shared" si="3"/>
        <v>195</v>
      </c>
      <c r="C202" s="12" t="s">
        <v>254</v>
      </c>
      <c r="D202" s="14" t="str">
        <f t="array" ref="D202">IF(C202="","",IFNA(_xlfn.XLOOKUP(C202,'a 01'!$C$6:$C$999,'a 01'!$D$6:$D$999),""))</f>
        <v/>
      </c>
      <c r="E202" s="18" t="str">
        <f t="array" ref="E202">_xlfn.XLOOKUP(D202,Table_Warkah[Kode Tiket],Table_Warkah[Jenis Permohonan],"")</f>
        <v/>
      </c>
      <c r="F202" s="12" t="s">
        <v>42</v>
      </c>
      <c r="G202" s="12" t="s">
        <v>43</v>
      </c>
      <c r="H202" s="17">
        <f t="shared" si="1"/>
        <v>45596.3841</v>
      </c>
      <c r="I202" s="18"/>
      <c r="J202" s="20" t="b">
        <v>1</v>
      </c>
      <c r="K202" s="17">
        <f t="shared" si="2"/>
        <v>45600.37969</v>
      </c>
      <c r="L202" s="11" t="s">
        <v>54</v>
      </c>
      <c r="M202" s="21" t="s">
        <v>45</v>
      </c>
    </row>
    <row r="203" ht="22.5" customHeight="1">
      <c r="B203" s="13">
        <f t="shared" si="3"/>
        <v>196</v>
      </c>
      <c r="C203" s="12" t="s">
        <v>255</v>
      </c>
      <c r="D203" s="14" t="str">
        <f t="array" ref="D203">IF(C203="","",IFNA(_xlfn.XLOOKUP(C203,'a 01'!$C$6:$C$999,'a 01'!$D$6:$D$999),""))</f>
        <v>L/16/281024/1</v>
      </c>
      <c r="E203" s="18" t="str">
        <f t="array" ref="E203">_xlfn.XLOOKUP(D203,Table_Warkah[Kode Tiket],Table_Warkah[Jenis Permohonan],"")</f>
        <v>ROYA</v>
      </c>
      <c r="F203" s="12" t="s">
        <v>42</v>
      </c>
      <c r="G203" s="12" t="s">
        <v>43</v>
      </c>
      <c r="H203" s="17">
        <f t="shared" si="1"/>
        <v>45596.39114</v>
      </c>
      <c r="I203" s="18"/>
      <c r="J203" s="20" t="b">
        <v>1</v>
      </c>
      <c r="K203" s="17">
        <f t="shared" si="2"/>
        <v>45601.44749</v>
      </c>
      <c r="L203" s="11" t="s">
        <v>49</v>
      </c>
      <c r="M203" s="21" t="s">
        <v>45</v>
      </c>
    </row>
    <row r="204" ht="22.5" customHeight="1">
      <c r="B204" s="13">
        <f t="shared" si="3"/>
        <v>197</v>
      </c>
      <c r="C204" s="12" t="s">
        <v>256</v>
      </c>
      <c r="D204" s="14" t="str">
        <f t="array" ref="D204">IF(C204="","",IFNA(_xlfn.XLOOKUP(C204,'a 01'!$C$6:$C$999,'a 01'!$D$6:$D$999),""))</f>
        <v/>
      </c>
      <c r="E204" s="18" t="str">
        <f t="array" ref="E204">_xlfn.XLOOKUP(D204,Table_Warkah[Kode Tiket],Table_Warkah[Jenis Permohonan],"")</f>
        <v/>
      </c>
      <c r="F204" s="12" t="s">
        <v>42</v>
      </c>
      <c r="G204" s="12" t="s">
        <v>43</v>
      </c>
      <c r="H204" s="17">
        <f t="shared" si="1"/>
        <v>45596.39114</v>
      </c>
      <c r="I204" s="18"/>
      <c r="J204" s="20" t="b">
        <v>1</v>
      </c>
      <c r="K204" s="17">
        <f t="shared" si="2"/>
        <v>45601.44775</v>
      </c>
      <c r="L204" s="11" t="s">
        <v>49</v>
      </c>
      <c r="M204" s="21" t="s">
        <v>45</v>
      </c>
    </row>
    <row r="205" ht="22.5" customHeight="1">
      <c r="B205" s="13">
        <f t="shared" si="3"/>
        <v>198</v>
      </c>
      <c r="C205" s="12" t="s">
        <v>257</v>
      </c>
      <c r="D205" s="14" t="str">
        <f t="array" ref="D205">IF(C205="","",IFNA(_xlfn.XLOOKUP(C205,'a 01'!$C$6:$C$999,'a 01'!$D$6:$D$999),""))</f>
        <v/>
      </c>
      <c r="E205" s="18" t="str">
        <f t="array" ref="E205">_xlfn.XLOOKUP(D205,Table_Warkah[Kode Tiket],Table_Warkah[Jenis Permohonan],"")</f>
        <v/>
      </c>
      <c r="F205" s="12" t="s">
        <v>42</v>
      </c>
      <c r="G205" s="12" t="s">
        <v>43</v>
      </c>
      <c r="H205" s="17">
        <f t="shared" si="1"/>
        <v>45596.39114</v>
      </c>
      <c r="I205" s="18"/>
      <c r="J205" s="20" t="b">
        <v>1</v>
      </c>
      <c r="K205" s="17">
        <f t="shared" si="2"/>
        <v>45603.58202</v>
      </c>
      <c r="L205" s="11" t="s">
        <v>49</v>
      </c>
      <c r="M205" s="21" t="s">
        <v>45</v>
      </c>
    </row>
    <row r="206" ht="22.5" customHeight="1">
      <c r="B206" s="13">
        <f t="shared" si="3"/>
        <v>199</v>
      </c>
      <c r="C206" s="12" t="s">
        <v>258</v>
      </c>
      <c r="D206" s="14" t="str">
        <f t="array" ref="D206">IF(C206="","",IFNA(_xlfn.XLOOKUP(C206,'a 01'!$C$6:$C$999,'a 01'!$D$6:$D$999),""))</f>
        <v>L/9/251024/1</v>
      </c>
      <c r="E206" s="18" t="str">
        <f t="array" ref="E206">_xlfn.XLOOKUP(D206,Table_Warkah[Kode Tiket],Table_Warkah[Jenis Permohonan],"")</f>
        <v>ROYA</v>
      </c>
      <c r="F206" s="12" t="s">
        <v>42</v>
      </c>
      <c r="G206" s="12" t="s">
        <v>43</v>
      </c>
      <c r="H206" s="17">
        <f t="shared" si="1"/>
        <v>45596.39114</v>
      </c>
      <c r="I206" s="18"/>
      <c r="J206" s="20" t="b">
        <v>1</v>
      </c>
      <c r="K206" s="17">
        <f t="shared" si="2"/>
        <v>45601.44736</v>
      </c>
      <c r="L206" s="11" t="s">
        <v>49</v>
      </c>
      <c r="M206" s="21" t="s">
        <v>45</v>
      </c>
    </row>
    <row r="207" ht="22.5" customHeight="1">
      <c r="B207" s="13">
        <f t="shared" si="3"/>
        <v>200</v>
      </c>
      <c r="C207" s="12" t="s">
        <v>259</v>
      </c>
      <c r="D207" s="14" t="str">
        <f t="array" ref="D207">IF(C207="","",IFNA(_xlfn.XLOOKUP(C207,'a 01'!$C$6:$C$999,'a 01'!$D$6:$D$999),""))</f>
        <v/>
      </c>
      <c r="E207" s="18" t="str">
        <f t="array" ref="E207">_xlfn.XLOOKUP(D207,Table_Warkah[Kode Tiket],Table_Warkah[Jenis Permohonan],"")</f>
        <v/>
      </c>
      <c r="F207" s="12" t="s">
        <v>42</v>
      </c>
      <c r="G207" s="12" t="s">
        <v>43</v>
      </c>
      <c r="H207" s="17">
        <f t="shared" si="1"/>
        <v>45596.39114</v>
      </c>
      <c r="I207" s="18"/>
      <c r="J207" s="20" t="b">
        <v>1</v>
      </c>
      <c r="K207" s="17">
        <f t="shared" si="2"/>
        <v>45601.44807</v>
      </c>
      <c r="L207" s="11" t="s">
        <v>49</v>
      </c>
      <c r="M207" s="21" t="s">
        <v>45</v>
      </c>
    </row>
    <row r="208" ht="22.5" customHeight="1">
      <c r="B208" s="13">
        <f t="shared" si="3"/>
        <v>201</v>
      </c>
      <c r="C208" s="12" t="s">
        <v>260</v>
      </c>
      <c r="D208" s="14" t="str">
        <f t="array" ref="D208">IF(C208="","",IFNA(_xlfn.XLOOKUP(C208,'a 01'!$C$6:$C$999,'a 01'!$D$6:$D$999),""))</f>
        <v/>
      </c>
      <c r="E208" s="18" t="str">
        <f t="array" ref="E208">_xlfn.XLOOKUP(D208,Table_Warkah[Kode Tiket],Table_Warkah[Jenis Permohonan],"")</f>
        <v/>
      </c>
      <c r="F208" s="12" t="s">
        <v>42</v>
      </c>
      <c r="G208" s="12" t="s">
        <v>43</v>
      </c>
      <c r="H208" s="17">
        <f t="shared" si="1"/>
        <v>45596.39114</v>
      </c>
      <c r="I208" s="18"/>
      <c r="J208" s="20" t="b">
        <v>1</v>
      </c>
      <c r="K208" s="17">
        <f t="shared" si="2"/>
        <v>45601.44722</v>
      </c>
      <c r="L208" s="11" t="s">
        <v>49</v>
      </c>
      <c r="M208" s="21" t="s">
        <v>45</v>
      </c>
    </row>
    <row r="209" ht="22.5" customHeight="1">
      <c r="B209" s="13">
        <f t="shared" si="3"/>
        <v>202</v>
      </c>
      <c r="C209" s="12" t="s">
        <v>261</v>
      </c>
      <c r="D209" s="14" t="str">
        <f t="array" ref="D209">IF(C209="","",IFNA(_xlfn.XLOOKUP(C209,'a 01'!$C$6:$C$999,'a 01'!$D$6:$D$999),""))</f>
        <v>K/13/251024/1</v>
      </c>
      <c r="E209" s="18" t="str">
        <f t="array" ref="E209">_xlfn.XLOOKUP(D209,Table_Warkah[Kode Tiket],Table_Warkah[Jenis Permohonan],"")</f>
        <v>ROYA</v>
      </c>
      <c r="F209" s="12" t="s">
        <v>42</v>
      </c>
      <c r="G209" s="12" t="s">
        <v>43</v>
      </c>
      <c r="H209" s="17">
        <f t="shared" si="1"/>
        <v>45596.39114</v>
      </c>
      <c r="I209" s="18"/>
      <c r="J209" s="20" t="b">
        <v>1</v>
      </c>
      <c r="K209" s="17">
        <f t="shared" si="2"/>
        <v>45614.66166</v>
      </c>
      <c r="L209" s="11" t="s">
        <v>49</v>
      </c>
      <c r="M209" s="21" t="s">
        <v>45</v>
      </c>
    </row>
    <row r="210" ht="22.5" customHeight="1">
      <c r="B210" s="13">
        <f t="shared" si="3"/>
        <v>203</v>
      </c>
      <c r="C210" s="12" t="s">
        <v>262</v>
      </c>
      <c r="D210" s="14" t="str">
        <f t="array" ref="D210">IF(C210="","",IFNA(_xlfn.XLOOKUP(C210,'a 01'!$C$6:$C$999,'a 01'!$D$6:$D$999),""))</f>
        <v/>
      </c>
      <c r="E210" s="18" t="str">
        <f t="array" ref="E210">_xlfn.XLOOKUP(D210,Table_Warkah[Kode Tiket],Table_Warkah[Jenis Permohonan],"")</f>
        <v/>
      </c>
      <c r="F210" s="12" t="s">
        <v>42</v>
      </c>
      <c r="G210" s="12" t="s">
        <v>43</v>
      </c>
      <c r="H210" s="17">
        <f t="shared" si="1"/>
        <v>45596.39114</v>
      </c>
      <c r="I210" s="18"/>
      <c r="J210" s="20" t="b">
        <v>1</v>
      </c>
      <c r="K210" s="17">
        <f t="shared" si="2"/>
        <v>45601.44763</v>
      </c>
      <c r="L210" s="11" t="s">
        <v>49</v>
      </c>
      <c r="M210" s="21" t="s">
        <v>45</v>
      </c>
    </row>
    <row r="211" ht="22.5" customHeight="1">
      <c r="B211" s="13">
        <f t="shared" si="3"/>
        <v>204</v>
      </c>
      <c r="C211" s="12" t="s">
        <v>263</v>
      </c>
      <c r="D211" s="14" t="str">
        <f t="array" ref="D211">IF(C211="","",IFNA(_xlfn.XLOOKUP(C211,'a 01'!$C$6:$C$999,'a 01'!$D$6:$D$999),""))</f>
        <v>L/34/251024/1</v>
      </c>
      <c r="E211" s="18" t="str">
        <f t="array" ref="E211">_xlfn.XLOOKUP(D211,Table_Warkah[Kode Tiket],Table_Warkah[Jenis Permohonan],"")</f>
        <v>ROYA</v>
      </c>
      <c r="F211" s="12" t="s">
        <v>42</v>
      </c>
      <c r="G211" s="12" t="s">
        <v>43</v>
      </c>
      <c r="H211" s="17">
        <f t="shared" si="1"/>
        <v>45596.39114</v>
      </c>
      <c r="I211" s="18"/>
      <c r="J211" s="20" t="b">
        <v>1</v>
      </c>
      <c r="K211" s="17">
        <f t="shared" si="2"/>
        <v>45614.66166</v>
      </c>
      <c r="L211" s="11" t="s">
        <v>49</v>
      </c>
      <c r="M211" s="21" t="s">
        <v>45</v>
      </c>
    </row>
    <row r="212" ht="22.5" customHeight="1">
      <c r="B212" s="13">
        <f t="shared" si="3"/>
        <v>205</v>
      </c>
      <c r="C212" s="12" t="s">
        <v>264</v>
      </c>
      <c r="D212" s="14" t="str">
        <f t="array" ref="D212">IF(C212="","",IFNA(_xlfn.XLOOKUP(C212,'a 01'!$C$6:$C$999,'a 01'!$D$6:$D$999),""))</f>
        <v/>
      </c>
      <c r="E212" s="18" t="str">
        <f t="array" ref="E212">_xlfn.XLOOKUP(D212,Table_Warkah[Kode Tiket],Table_Warkah[Jenis Permohonan],"")</f>
        <v/>
      </c>
      <c r="F212" s="12" t="s">
        <v>42</v>
      </c>
      <c r="G212" s="12" t="s">
        <v>43</v>
      </c>
      <c r="H212" s="17">
        <f t="shared" si="1"/>
        <v>45596.39114</v>
      </c>
      <c r="I212" s="18"/>
      <c r="J212" s="20" t="b">
        <v>0</v>
      </c>
      <c r="K212" s="13" t="str">
        <f t="shared" si="2"/>
        <v/>
      </c>
      <c r="L212" s="13"/>
      <c r="M212" s="21" t="s">
        <v>45</v>
      </c>
    </row>
    <row r="213" ht="22.5" customHeight="1">
      <c r="B213" s="13">
        <f t="shared" si="3"/>
        <v>206</v>
      </c>
      <c r="C213" s="12" t="s">
        <v>265</v>
      </c>
      <c r="D213" s="14" t="str">
        <f t="array" ref="D213">IF(C213="","",IFNA(_xlfn.XLOOKUP(C213,'a 01'!$C$6:$C$999,'a 01'!$D$6:$D$999),""))</f>
        <v>L/31/281024/1</v>
      </c>
      <c r="E213" s="18" t="str">
        <f t="array" ref="E213">_xlfn.XLOOKUP(D213,Table_Warkah[Kode Tiket],Table_Warkah[Jenis Permohonan],"")</f>
        <v>ROYA</v>
      </c>
      <c r="F213" s="12" t="s">
        <v>42</v>
      </c>
      <c r="G213" s="12" t="s">
        <v>43</v>
      </c>
      <c r="H213" s="17">
        <f t="shared" si="1"/>
        <v>45596.39114</v>
      </c>
      <c r="I213" s="18"/>
      <c r="J213" s="20" t="b">
        <v>1</v>
      </c>
      <c r="K213" s="17">
        <f t="shared" si="2"/>
        <v>45601.44786</v>
      </c>
      <c r="L213" s="11" t="s">
        <v>49</v>
      </c>
      <c r="M213" s="21" t="s">
        <v>45</v>
      </c>
    </row>
    <row r="214" ht="22.5" customHeight="1">
      <c r="B214" s="13">
        <f t="shared" si="3"/>
        <v>207</v>
      </c>
      <c r="C214" s="12" t="s">
        <v>266</v>
      </c>
      <c r="D214" s="14" t="str">
        <f t="array" ref="D214">IF(C214="","",IFNA(_xlfn.XLOOKUP(C214,'a 01'!$C$6:$C$999,'a 01'!$D$6:$D$999),""))</f>
        <v>L/1/261024/1</v>
      </c>
      <c r="E214" s="18" t="str">
        <f t="array" ref="E214">_xlfn.XLOOKUP(D214,Table_Warkah[Kode Tiket],Table_Warkah[Jenis Permohonan],"")</f>
        <v>ROYA</v>
      </c>
      <c r="F214" s="12" t="s">
        <v>42</v>
      </c>
      <c r="G214" s="12" t="s">
        <v>43</v>
      </c>
      <c r="H214" s="17">
        <f t="shared" si="1"/>
        <v>45596.39114</v>
      </c>
      <c r="I214" s="18"/>
      <c r="J214" s="20" t="b">
        <v>0</v>
      </c>
      <c r="K214" s="13" t="str">
        <f t="shared" si="2"/>
        <v/>
      </c>
      <c r="L214" s="13"/>
      <c r="M214" s="21" t="s">
        <v>45</v>
      </c>
    </row>
    <row r="215" ht="22.5" customHeight="1">
      <c r="B215" s="13">
        <f t="shared" si="3"/>
        <v>208</v>
      </c>
      <c r="C215" s="12" t="s">
        <v>267</v>
      </c>
      <c r="D215" s="14" t="str">
        <f t="array" ref="D215">IF(C215="","",IFNA(_xlfn.XLOOKUP(C215,'a 01'!$C$6:$C$999,'a 01'!$D$6:$D$999),""))</f>
        <v>L/26/251024/1</v>
      </c>
      <c r="E215" s="18" t="str">
        <f t="array" ref="E215">_xlfn.XLOOKUP(D215,Table_Warkah[Kode Tiket],Table_Warkah[Jenis Permohonan],"")</f>
        <v>ROYA</v>
      </c>
      <c r="F215" s="12" t="s">
        <v>42</v>
      </c>
      <c r="G215" s="12" t="s">
        <v>43</v>
      </c>
      <c r="H215" s="17">
        <f t="shared" si="1"/>
        <v>45596.39114</v>
      </c>
      <c r="I215" s="18"/>
      <c r="J215" s="20" t="b">
        <v>1</v>
      </c>
      <c r="K215" s="17">
        <f t="shared" si="2"/>
        <v>45601.44796</v>
      </c>
      <c r="L215" s="11" t="s">
        <v>49</v>
      </c>
      <c r="M215" s="21" t="s">
        <v>45</v>
      </c>
    </row>
    <row r="216" ht="22.5" customHeight="1">
      <c r="B216" s="13">
        <f t="shared" si="3"/>
        <v>209</v>
      </c>
      <c r="C216" s="12" t="s">
        <v>268</v>
      </c>
      <c r="D216" s="14" t="str">
        <f t="array" ref="D216">IF(C216="","",IFNA(_xlfn.XLOOKUP(C216,'a 01'!$C$6:$C$999,'a 01'!$D$6:$D$999),""))</f>
        <v/>
      </c>
      <c r="E216" s="18" t="str">
        <f t="array" ref="E216">_xlfn.XLOOKUP(D216,Table_Warkah[Kode Tiket],Table_Warkah[Jenis Permohonan],"")</f>
        <v/>
      </c>
      <c r="F216" s="12" t="s">
        <v>42</v>
      </c>
      <c r="G216" s="12" t="s">
        <v>43</v>
      </c>
      <c r="H216" s="17">
        <f t="shared" si="1"/>
        <v>45596.39114</v>
      </c>
      <c r="I216" s="18"/>
      <c r="J216" s="20" t="b">
        <v>0</v>
      </c>
      <c r="K216" s="13" t="str">
        <f t="shared" si="2"/>
        <v/>
      </c>
      <c r="L216" s="13"/>
      <c r="M216" s="21" t="s">
        <v>45</v>
      </c>
    </row>
    <row r="217" ht="22.5" customHeight="1">
      <c r="B217" s="13">
        <f t="shared" si="3"/>
        <v>210</v>
      </c>
      <c r="C217" s="12" t="s">
        <v>269</v>
      </c>
      <c r="D217" s="14" t="str">
        <f t="array" ref="D217">IF(C217="","",IFNA(_xlfn.XLOOKUP(C217,'a 01'!$C$6:$C$999,'a 01'!$D$6:$D$999),""))</f>
        <v>L/33/281024/2</v>
      </c>
      <c r="E217" s="18" t="str">
        <f t="array" ref="E217">_xlfn.XLOOKUP(D217,Table_Warkah[Kode Tiket],Table_Warkah[Jenis Permohonan],"")</f>
        <v>PERUBAHAN HAK</v>
      </c>
      <c r="F217" s="12" t="s">
        <v>42</v>
      </c>
      <c r="G217" s="12" t="s">
        <v>43</v>
      </c>
      <c r="H217" s="17">
        <f t="shared" si="1"/>
        <v>45596.39114</v>
      </c>
      <c r="I217" s="18"/>
      <c r="J217" s="20" t="b">
        <v>0</v>
      </c>
      <c r="K217" s="13" t="str">
        <f t="shared" si="2"/>
        <v/>
      </c>
      <c r="L217" s="13"/>
      <c r="M217" s="21" t="s">
        <v>45</v>
      </c>
    </row>
    <row r="218" ht="22.5" customHeight="1">
      <c r="B218" s="13">
        <f t="shared" si="3"/>
        <v>211</v>
      </c>
      <c r="C218" s="12" t="s">
        <v>270</v>
      </c>
      <c r="D218" s="14" t="str">
        <f t="array" ref="D218">IF(C218="","",IFNA(_xlfn.XLOOKUP(C218,'a 01'!$C$6:$C$999,'a 01'!$D$6:$D$999),""))</f>
        <v>K/27/281024/1</v>
      </c>
      <c r="E218" s="18" t="str">
        <f t="array" ref="E218">_xlfn.XLOOKUP(D218,Table_Warkah[Kode Tiket],Table_Warkah[Jenis Permohonan],"")</f>
        <v>Perubahan Hak</v>
      </c>
      <c r="F218" s="12" t="s">
        <v>42</v>
      </c>
      <c r="G218" s="12" t="s">
        <v>43</v>
      </c>
      <c r="H218" s="17">
        <f t="shared" si="1"/>
        <v>45596.39114</v>
      </c>
      <c r="I218" s="18"/>
      <c r="J218" s="20" t="b">
        <v>0</v>
      </c>
      <c r="K218" s="13" t="str">
        <f t="shared" si="2"/>
        <v/>
      </c>
      <c r="L218" s="13"/>
      <c r="M218" s="21" t="s">
        <v>45</v>
      </c>
    </row>
    <row r="219" ht="22.5" customHeight="1">
      <c r="B219" s="13">
        <f t="shared" si="3"/>
        <v>212</v>
      </c>
      <c r="C219" s="12" t="s">
        <v>271</v>
      </c>
      <c r="D219" s="14" t="str">
        <f t="array" ref="D219">IF(C219="","",IFNA(_xlfn.XLOOKUP(C219,'a 01'!$C$6:$C$999,'a 01'!$D$6:$D$999),""))</f>
        <v>L/32/281024/1</v>
      </c>
      <c r="E219" s="18" t="str">
        <f t="array" ref="E219">_xlfn.XLOOKUP(D219,Table_Warkah[Kode Tiket],Table_Warkah[Jenis Permohonan],"")</f>
        <v>PERUBAHAN HAK</v>
      </c>
      <c r="F219" s="12" t="s">
        <v>42</v>
      </c>
      <c r="G219" s="12" t="s">
        <v>43</v>
      </c>
      <c r="H219" s="17">
        <f t="shared" si="1"/>
        <v>45596.39114</v>
      </c>
      <c r="I219" s="18"/>
      <c r="J219" s="20" t="b">
        <v>0</v>
      </c>
      <c r="K219" s="13" t="str">
        <f t="shared" si="2"/>
        <v/>
      </c>
      <c r="L219" s="13"/>
      <c r="M219" s="21" t="s">
        <v>45</v>
      </c>
    </row>
    <row r="220" ht="22.5" customHeight="1">
      <c r="B220" s="13">
        <f t="shared" si="3"/>
        <v>213</v>
      </c>
      <c r="C220" s="12" t="s">
        <v>272</v>
      </c>
      <c r="D220" s="14" t="str">
        <f t="array" ref="D220">IF(C220="","",IFNA(_xlfn.XLOOKUP(C220,'a 01'!$C$6:$C$999,'a 01'!$D$6:$D$999),""))</f>
        <v>L/22/281024/1</v>
      </c>
      <c r="E220" s="18" t="str">
        <f t="array" ref="E220">_xlfn.XLOOKUP(D220,Table_Warkah[Kode Tiket],Table_Warkah[Jenis Permohonan],"")</f>
        <v>PH</v>
      </c>
      <c r="F220" s="12" t="s">
        <v>42</v>
      </c>
      <c r="G220" s="12" t="s">
        <v>43</v>
      </c>
      <c r="H220" s="17">
        <f t="shared" si="1"/>
        <v>45596.39114</v>
      </c>
      <c r="I220" s="18"/>
      <c r="J220" s="20" t="b">
        <v>0</v>
      </c>
      <c r="K220" s="13" t="str">
        <f t="shared" si="2"/>
        <v/>
      </c>
      <c r="L220" s="13"/>
      <c r="M220" s="21" t="s">
        <v>45</v>
      </c>
    </row>
    <row r="221" ht="22.5" customHeight="1">
      <c r="B221" s="13">
        <f t="shared" si="3"/>
        <v>214</v>
      </c>
      <c r="C221" s="12" t="s">
        <v>273</v>
      </c>
      <c r="D221" s="14" t="str">
        <f t="array" ref="D221">IF(C221="","",IFNA(_xlfn.XLOOKUP(C221,'a 01'!$C$6:$C$999,'a 01'!$D$6:$D$999),""))</f>
        <v>L/10/251024/1</v>
      </c>
      <c r="E221" s="18" t="str">
        <f t="array" ref="E221">_xlfn.XLOOKUP(D221,Table_Warkah[Kode Tiket],Table_Warkah[Jenis Permohonan],"")</f>
        <v>PEMECAHAN</v>
      </c>
      <c r="F221" s="12" t="s">
        <v>42</v>
      </c>
      <c r="G221" s="12" t="s">
        <v>43</v>
      </c>
      <c r="H221" s="17">
        <f t="shared" si="1"/>
        <v>45596.39114</v>
      </c>
      <c r="I221" s="18"/>
      <c r="J221" s="20" t="b">
        <v>0</v>
      </c>
      <c r="K221" s="13" t="str">
        <f t="shared" si="2"/>
        <v/>
      </c>
      <c r="L221" s="13"/>
      <c r="M221" s="21" t="s">
        <v>45</v>
      </c>
    </row>
    <row r="222" ht="22.5" customHeight="1">
      <c r="B222" s="13">
        <f t="shared" si="3"/>
        <v>215</v>
      </c>
      <c r="C222" s="12" t="s">
        <v>274</v>
      </c>
      <c r="D222" s="14" t="str">
        <f t="array" ref="D222">IF(C222="","",IFNA(_xlfn.XLOOKUP(C222,'a 01'!$C$6:$C$999,'a 01'!$D$6:$D$999),""))</f>
        <v>K/31/251024/2</v>
      </c>
      <c r="E222" s="18" t="str">
        <f t="array" ref="E222">_xlfn.XLOOKUP(D222,Table_Warkah[Kode Tiket],Table_Warkah[Jenis Permohonan],"")</f>
        <v>Perubahan Hak</v>
      </c>
      <c r="F222" s="12" t="s">
        <v>42</v>
      </c>
      <c r="G222" s="12" t="s">
        <v>43</v>
      </c>
      <c r="H222" s="17">
        <f t="shared" si="1"/>
        <v>45596.39114</v>
      </c>
      <c r="I222" s="18"/>
      <c r="J222" s="20" t="b">
        <v>0</v>
      </c>
      <c r="K222" s="13" t="str">
        <f t="shared" si="2"/>
        <v/>
      </c>
      <c r="L222" s="13"/>
      <c r="M222" s="21" t="s">
        <v>45</v>
      </c>
    </row>
    <row r="223" ht="22.5" customHeight="1">
      <c r="B223" s="13">
        <f t="shared" si="3"/>
        <v>216</v>
      </c>
      <c r="C223" s="12" t="s">
        <v>275</v>
      </c>
      <c r="D223" s="14" t="str">
        <f t="array" ref="D223">IF(C223="","",IFNA(_xlfn.XLOOKUP(C223,'a 01'!$C$6:$C$999,'a 01'!$D$6:$D$999),""))</f>
        <v/>
      </c>
      <c r="E223" s="18" t="str">
        <f t="array" ref="E223">_xlfn.XLOOKUP(D223,Table_Warkah[Kode Tiket],Table_Warkah[Jenis Permohonan],"")</f>
        <v/>
      </c>
      <c r="F223" s="12" t="s">
        <v>42</v>
      </c>
      <c r="G223" s="12" t="s">
        <v>43</v>
      </c>
      <c r="H223" s="17">
        <f t="shared" si="1"/>
        <v>45600.45155</v>
      </c>
      <c r="I223" s="18"/>
      <c r="J223" s="20" t="b">
        <v>0</v>
      </c>
      <c r="K223" s="13" t="str">
        <f t="shared" si="2"/>
        <v/>
      </c>
      <c r="L223" s="13"/>
      <c r="M223" s="21" t="s">
        <v>45</v>
      </c>
    </row>
    <row r="224" ht="22.5" customHeight="1">
      <c r="B224" s="13">
        <f t="shared" si="3"/>
        <v>217</v>
      </c>
      <c r="C224" s="12" t="s">
        <v>276</v>
      </c>
      <c r="D224" s="14" t="str">
        <f t="array" ref="D224">IF(C224="","",IFNA(_xlfn.XLOOKUP(C224,'a 01'!$C$6:$C$999,'a 01'!$D$6:$D$999),""))</f>
        <v/>
      </c>
      <c r="E224" s="18" t="str">
        <f t="array" ref="E224">_xlfn.XLOOKUP(D224,Table_Warkah[Kode Tiket],Table_Warkah[Jenis Permohonan],"")</f>
        <v/>
      </c>
      <c r="F224" s="12" t="s">
        <v>42</v>
      </c>
      <c r="G224" s="12" t="s">
        <v>43</v>
      </c>
      <c r="H224" s="17">
        <f t="shared" si="1"/>
        <v>45600.45155</v>
      </c>
      <c r="I224" s="18"/>
      <c r="J224" s="20" t="b">
        <v>1</v>
      </c>
      <c r="K224" s="17">
        <f t="shared" si="2"/>
        <v>45603.57922</v>
      </c>
      <c r="L224" s="11" t="s">
        <v>54</v>
      </c>
      <c r="M224" s="21" t="s">
        <v>45</v>
      </c>
    </row>
    <row r="225" ht="22.5" customHeight="1">
      <c r="B225" s="13">
        <f t="shared" si="3"/>
        <v>218</v>
      </c>
      <c r="C225" s="12" t="s">
        <v>277</v>
      </c>
      <c r="D225" s="14" t="str">
        <f t="array" ref="D225">IF(C225="","",IFNA(_xlfn.XLOOKUP(C225,'a 01'!$C$6:$C$999,'a 01'!$D$6:$D$999),""))</f>
        <v/>
      </c>
      <c r="E225" s="18" t="str">
        <f t="array" ref="E225">_xlfn.XLOOKUP(D225,Table_Warkah[Kode Tiket],Table_Warkah[Jenis Permohonan],"")</f>
        <v/>
      </c>
      <c r="F225" s="12" t="s">
        <v>42</v>
      </c>
      <c r="G225" s="12" t="s">
        <v>43</v>
      </c>
      <c r="H225" s="17">
        <f t="shared" si="1"/>
        <v>45600.45155</v>
      </c>
      <c r="I225" s="18"/>
      <c r="J225" s="20" t="b">
        <v>1</v>
      </c>
      <c r="K225" s="17">
        <f t="shared" si="2"/>
        <v>45603.57841</v>
      </c>
      <c r="L225" s="11" t="s">
        <v>54</v>
      </c>
      <c r="M225" s="21" t="s">
        <v>45</v>
      </c>
    </row>
    <row r="226" ht="22.5" customHeight="1">
      <c r="B226" s="13">
        <f t="shared" si="3"/>
        <v>219</v>
      </c>
      <c r="C226" s="12" t="s">
        <v>278</v>
      </c>
      <c r="D226" s="14" t="str">
        <f t="array" ref="D226">IF(C226="","",IFNA(_xlfn.XLOOKUP(C226,'a 01'!$C$6:$C$999,'a 01'!$D$6:$D$999),""))</f>
        <v/>
      </c>
      <c r="E226" s="18" t="str">
        <f t="array" ref="E226">_xlfn.XLOOKUP(D226,Table_Warkah[Kode Tiket],Table_Warkah[Jenis Permohonan],"")</f>
        <v/>
      </c>
      <c r="F226" s="12" t="s">
        <v>42</v>
      </c>
      <c r="G226" s="12" t="s">
        <v>43</v>
      </c>
      <c r="H226" s="17">
        <f t="shared" si="1"/>
        <v>45600.45155</v>
      </c>
      <c r="I226" s="18"/>
      <c r="J226" s="20" t="b">
        <v>0</v>
      </c>
      <c r="K226" s="13" t="str">
        <f t="shared" si="2"/>
        <v/>
      </c>
      <c r="L226" s="13"/>
      <c r="M226" s="21" t="s">
        <v>45</v>
      </c>
    </row>
    <row r="227" ht="22.5" customHeight="1">
      <c r="B227" s="13">
        <f t="shared" si="3"/>
        <v>220</v>
      </c>
      <c r="C227" s="12" t="s">
        <v>279</v>
      </c>
      <c r="D227" s="14" t="str">
        <f t="array" ref="D227">IF(C227="","",IFNA(_xlfn.XLOOKUP(C227,'a 01'!$C$6:$C$999,'a 01'!$D$6:$D$999),""))</f>
        <v/>
      </c>
      <c r="E227" s="18" t="str">
        <f t="array" ref="E227">_xlfn.XLOOKUP(D227,Table_Warkah[Kode Tiket],Table_Warkah[Jenis Permohonan],"")</f>
        <v/>
      </c>
      <c r="F227" s="12" t="s">
        <v>42</v>
      </c>
      <c r="G227" s="12" t="s">
        <v>43</v>
      </c>
      <c r="H227" s="17">
        <f t="shared" si="1"/>
        <v>45600.45155</v>
      </c>
      <c r="I227" s="18"/>
      <c r="J227" s="20" t="b">
        <v>0</v>
      </c>
      <c r="K227" s="13" t="str">
        <f t="shared" si="2"/>
        <v/>
      </c>
      <c r="L227" s="13"/>
      <c r="M227" s="21" t="s">
        <v>45</v>
      </c>
    </row>
    <row r="228" ht="22.5" customHeight="1">
      <c r="B228" s="13">
        <f t="shared" si="3"/>
        <v>221</v>
      </c>
      <c r="C228" s="12" t="s">
        <v>280</v>
      </c>
      <c r="D228" s="14" t="str">
        <f t="array" ref="D228">IF(C228="","",IFNA(_xlfn.XLOOKUP(C228,'a 01'!$C$6:$C$999,'a 01'!$D$6:$D$999),""))</f>
        <v/>
      </c>
      <c r="E228" s="18" t="str">
        <f t="array" ref="E228">_xlfn.XLOOKUP(D228,Table_Warkah[Kode Tiket],Table_Warkah[Jenis Permohonan],"")</f>
        <v/>
      </c>
      <c r="F228" s="12" t="s">
        <v>42</v>
      </c>
      <c r="G228" s="12" t="s">
        <v>43</v>
      </c>
      <c r="H228" s="17">
        <f t="shared" si="1"/>
        <v>45600.45155</v>
      </c>
      <c r="I228" s="18"/>
      <c r="J228" s="20" t="b">
        <v>1</v>
      </c>
      <c r="K228" s="17">
        <f t="shared" si="2"/>
        <v>45614.66166</v>
      </c>
      <c r="L228" s="11" t="s">
        <v>54</v>
      </c>
      <c r="M228" s="21" t="s">
        <v>45</v>
      </c>
    </row>
    <row r="229" ht="22.5" customHeight="1">
      <c r="B229" s="13">
        <f t="shared" si="3"/>
        <v>222</v>
      </c>
      <c r="C229" s="12" t="s">
        <v>281</v>
      </c>
      <c r="D229" s="14" t="str">
        <f t="array" ref="D229">IF(C229="","",IFNA(_xlfn.XLOOKUP(C229,'a 01'!$C$6:$C$999,'a 01'!$D$6:$D$999),""))</f>
        <v/>
      </c>
      <c r="E229" s="18" t="str">
        <f t="array" ref="E229">_xlfn.XLOOKUP(D229,Table_Warkah[Kode Tiket],Table_Warkah[Jenis Permohonan],"")</f>
        <v/>
      </c>
      <c r="F229" s="12" t="s">
        <v>42</v>
      </c>
      <c r="G229" s="12" t="s">
        <v>43</v>
      </c>
      <c r="H229" s="17">
        <f t="shared" si="1"/>
        <v>45600.45155</v>
      </c>
      <c r="I229" s="18"/>
      <c r="J229" s="20" t="b">
        <v>0</v>
      </c>
      <c r="K229" s="13" t="str">
        <f t="shared" si="2"/>
        <v/>
      </c>
      <c r="L229" s="13"/>
      <c r="M229" s="21" t="s">
        <v>45</v>
      </c>
    </row>
    <row r="230" ht="22.5" customHeight="1">
      <c r="B230" s="13">
        <f t="shared" si="3"/>
        <v>223</v>
      </c>
      <c r="C230" s="12" t="s">
        <v>282</v>
      </c>
      <c r="D230" s="14" t="str">
        <f t="array" ref="D230">IF(C230="","",IFNA(_xlfn.XLOOKUP(C230,'a 01'!$C$6:$C$999,'a 01'!$D$6:$D$999),""))</f>
        <v/>
      </c>
      <c r="E230" s="18" t="str">
        <f t="array" ref="E230">_xlfn.XLOOKUP(D230,Table_Warkah[Kode Tiket],Table_Warkah[Jenis Permohonan],"")</f>
        <v/>
      </c>
      <c r="F230" s="12" t="s">
        <v>42</v>
      </c>
      <c r="G230" s="12" t="s">
        <v>43</v>
      </c>
      <c r="H230" s="17">
        <f t="shared" si="1"/>
        <v>45600.45155</v>
      </c>
      <c r="I230" s="18"/>
      <c r="J230" s="20" t="b">
        <v>1</v>
      </c>
      <c r="K230" s="17">
        <f t="shared" si="2"/>
        <v>45603.57889</v>
      </c>
      <c r="L230" s="11" t="s">
        <v>54</v>
      </c>
      <c r="M230" s="21" t="s">
        <v>45</v>
      </c>
    </row>
    <row r="231" ht="22.5" customHeight="1">
      <c r="B231" s="13">
        <f t="shared" si="3"/>
        <v>224</v>
      </c>
      <c r="C231" s="12" t="s">
        <v>283</v>
      </c>
      <c r="D231" s="14" t="str">
        <f t="array" ref="D231">IF(C231="","",IFNA(_xlfn.XLOOKUP(C231,'a 01'!$C$6:$C$999,'a 01'!$D$6:$D$999),""))</f>
        <v/>
      </c>
      <c r="E231" s="18" t="str">
        <f t="array" ref="E231">_xlfn.XLOOKUP(D231,Table_Warkah[Kode Tiket],Table_Warkah[Jenis Permohonan],"")</f>
        <v/>
      </c>
      <c r="F231" s="12" t="s">
        <v>42</v>
      </c>
      <c r="G231" s="12" t="s">
        <v>43</v>
      </c>
      <c r="H231" s="17">
        <f t="shared" si="1"/>
        <v>45600.45155</v>
      </c>
      <c r="I231" s="18"/>
      <c r="J231" s="20" t="b">
        <v>1</v>
      </c>
      <c r="K231" s="17">
        <f t="shared" si="2"/>
        <v>45604.6047</v>
      </c>
      <c r="L231" s="11" t="s">
        <v>54</v>
      </c>
      <c r="M231" s="21" t="s">
        <v>45</v>
      </c>
    </row>
    <row r="232" ht="22.5" customHeight="1">
      <c r="B232" s="13">
        <f t="shared" si="3"/>
        <v>225</v>
      </c>
      <c r="C232" s="12" t="s">
        <v>284</v>
      </c>
      <c r="D232" s="14" t="str">
        <f t="array" ref="D232">IF(C232="","",IFNA(_xlfn.XLOOKUP(C232,'a 01'!$C$6:$C$999,'a 01'!$D$6:$D$999),""))</f>
        <v/>
      </c>
      <c r="E232" s="18" t="str">
        <f t="array" ref="E232">_xlfn.XLOOKUP(D232,Table_Warkah[Kode Tiket],Table_Warkah[Jenis Permohonan],"")</f>
        <v/>
      </c>
      <c r="F232" s="12" t="s">
        <v>42</v>
      </c>
      <c r="G232" s="12" t="s">
        <v>43</v>
      </c>
      <c r="H232" s="17">
        <f t="shared" si="1"/>
        <v>45600.45155</v>
      </c>
      <c r="I232" s="18"/>
      <c r="J232" s="20" t="b">
        <v>1</v>
      </c>
      <c r="K232" s="17">
        <f t="shared" si="2"/>
        <v>45604.6047</v>
      </c>
      <c r="L232" s="11" t="s">
        <v>54</v>
      </c>
      <c r="M232" s="21" t="s">
        <v>45</v>
      </c>
    </row>
    <row r="233" ht="22.5" customHeight="1">
      <c r="B233" s="13">
        <f t="shared" si="3"/>
        <v>226</v>
      </c>
      <c r="C233" s="12" t="s">
        <v>285</v>
      </c>
      <c r="D233" s="14" t="str">
        <f t="array" ref="D233">IF(C233="","",IFNA(_xlfn.XLOOKUP(C233,'a 01'!$C$6:$C$999,'a 01'!$D$6:$D$999),""))</f>
        <v/>
      </c>
      <c r="E233" s="18" t="str">
        <f t="array" ref="E233">_xlfn.XLOOKUP(D233,Table_Warkah[Kode Tiket],Table_Warkah[Jenis Permohonan],"")</f>
        <v/>
      </c>
      <c r="F233" s="12" t="s">
        <v>42</v>
      </c>
      <c r="G233" s="12" t="s">
        <v>43</v>
      </c>
      <c r="H233" s="17">
        <f t="shared" si="1"/>
        <v>45600.45155</v>
      </c>
      <c r="I233" s="18"/>
      <c r="J233" s="20" t="b">
        <v>1</v>
      </c>
      <c r="K233" s="17">
        <f t="shared" si="2"/>
        <v>45604.6047</v>
      </c>
      <c r="L233" s="11" t="s">
        <v>54</v>
      </c>
      <c r="M233" s="21" t="s">
        <v>45</v>
      </c>
    </row>
    <row r="234" ht="22.5" customHeight="1">
      <c r="B234" s="13">
        <f t="shared" si="3"/>
        <v>227</v>
      </c>
      <c r="C234" s="12" t="s">
        <v>286</v>
      </c>
      <c r="D234" s="14" t="str">
        <f t="array" ref="D234">IF(C234="","",IFNA(_xlfn.XLOOKUP(C234,'a 01'!$C$6:$C$999,'a 01'!$D$6:$D$999),""))</f>
        <v/>
      </c>
      <c r="E234" s="18" t="str">
        <f t="array" ref="E234">_xlfn.XLOOKUP(D234,Table_Warkah[Kode Tiket],Table_Warkah[Jenis Permohonan],"")</f>
        <v/>
      </c>
      <c r="F234" s="12" t="s">
        <v>42</v>
      </c>
      <c r="G234" s="12" t="s">
        <v>43</v>
      </c>
      <c r="H234" s="17">
        <f t="shared" si="1"/>
        <v>45600.45155</v>
      </c>
      <c r="I234" s="18"/>
      <c r="J234" s="20" t="b">
        <v>0</v>
      </c>
      <c r="K234" s="13" t="str">
        <f t="shared" si="2"/>
        <v/>
      </c>
      <c r="L234" s="13"/>
      <c r="M234" s="21" t="s">
        <v>45</v>
      </c>
    </row>
    <row r="235" ht="22.5" customHeight="1">
      <c r="B235" s="13">
        <f t="shared" si="3"/>
        <v>228</v>
      </c>
      <c r="C235" s="12" t="s">
        <v>287</v>
      </c>
      <c r="D235" s="14" t="str">
        <f t="array" ref="D235">IF(C235="","",IFNA(_xlfn.XLOOKUP(C235,'a 01'!$C$6:$C$999,'a 01'!$D$6:$D$999),""))</f>
        <v/>
      </c>
      <c r="E235" s="18" t="str">
        <f t="array" ref="E235">_xlfn.XLOOKUP(D235,Table_Warkah[Kode Tiket],Table_Warkah[Jenis Permohonan],"")</f>
        <v/>
      </c>
      <c r="F235" s="12" t="s">
        <v>42</v>
      </c>
      <c r="G235" s="12" t="s">
        <v>43</v>
      </c>
      <c r="H235" s="17">
        <f t="shared" si="1"/>
        <v>45600.45155</v>
      </c>
      <c r="I235" s="18"/>
      <c r="J235" s="20" t="b">
        <v>1</v>
      </c>
      <c r="K235" s="17">
        <f t="shared" si="2"/>
        <v>45604.6047</v>
      </c>
      <c r="L235" s="11" t="s">
        <v>54</v>
      </c>
      <c r="M235" s="21" t="s">
        <v>45</v>
      </c>
    </row>
    <row r="236" ht="22.5" customHeight="1">
      <c r="B236" s="13">
        <f t="shared" si="3"/>
        <v>229</v>
      </c>
      <c r="C236" s="12" t="s">
        <v>288</v>
      </c>
      <c r="D236" s="14" t="str">
        <f t="array" ref="D236">IF(C236="","",IFNA(_xlfn.XLOOKUP(C236,'a 01'!$C$6:$C$999,'a 01'!$D$6:$D$999),""))</f>
        <v/>
      </c>
      <c r="E236" s="18" t="str">
        <f t="array" ref="E236">_xlfn.XLOOKUP(D236,Table_Warkah[Kode Tiket],Table_Warkah[Jenis Permohonan],"")</f>
        <v/>
      </c>
      <c r="F236" s="12" t="s">
        <v>42</v>
      </c>
      <c r="G236" s="12" t="s">
        <v>43</v>
      </c>
      <c r="H236" s="17">
        <f t="shared" si="1"/>
        <v>45600.45155</v>
      </c>
      <c r="I236" s="18"/>
      <c r="J236" s="20" t="b">
        <v>1</v>
      </c>
      <c r="K236" s="17">
        <f t="shared" si="2"/>
        <v>45603.57815</v>
      </c>
      <c r="L236" s="11" t="s">
        <v>54</v>
      </c>
      <c r="M236" s="21" t="s">
        <v>45</v>
      </c>
    </row>
    <row r="237" ht="22.5" customHeight="1">
      <c r="B237" s="13">
        <f t="shared" si="3"/>
        <v>230</v>
      </c>
      <c r="C237" s="12" t="s">
        <v>289</v>
      </c>
      <c r="D237" s="14" t="str">
        <f t="array" ref="D237">IF(C237="","",IFNA(_xlfn.XLOOKUP(C237,'a 01'!$C$6:$C$999,'a 01'!$D$6:$D$999),""))</f>
        <v/>
      </c>
      <c r="E237" s="18" t="str">
        <f t="array" ref="E237">_xlfn.XLOOKUP(D237,Table_Warkah[Kode Tiket],Table_Warkah[Jenis Permohonan],"")</f>
        <v/>
      </c>
      <c r="F237" s="12" t="s">
        <v>42</v>
      </c>
      <c r="G237" s="12" t="s">
        <v>43</v>
      </c>
      <c r="H237" s="17">
        <f t="shared" si="1"/>
        <v>45600.45155</v>
      </c>
      <c r="I237" s="18"/>
      <c r="J237" s="20" t="b">
        <v>0</v>
      </c>
      <c r="K237" s="13" t="str">
        <f t="shared" si="2"/>
        <v/>
      </c>
      <c r="L237" s="13"/>
      <c r="M237" s="21" t="s">
        <v>45</v>
      </c>
    </row>
    <row r="238" ht="22.5" customHeight="1">
      <c r="B238" s="13">
        <f t="shared" si="3"/>
        <v>231</v>
      </c>
      <c r="C238" s="12" t="s">
        <v>290</v>
      </c>
      <c r="D238" s="14" t="str">
        <f t="array" ref="D238">IF(C238="","",IFNA(_xlfn.XLOOKUP(C238,'a 01'!$C$6:$C$999,'a 01'!$D$6:$D$999),""))</f>
        <v/>
      </c>
      <c r="E238" s="18" t="str">
        <f t="array" ref="E238">_xlfn.XLOOKUP(D238,Table_Warkah[Kode Tiket],Table_Warkah[Jenis Permohonan],"")</f>
        <v/>
      </c>
      <c r="F238" s="12" t="s">
        <v>42</v>
      </c>
      <c r="G238" s="12" t="s">
        <v>43</v>
      </c>
      <c r="H238" s="17">
        <f t="shared" si="1"/>
        <v>45600.45155</v>
      </c>
      <c r="I238" s="18"/>
      <c r="J238" s="20" t="b">
        <v>0</v>
      </c>
      <c r="K238" s="13" t="str">
        <f t="shared" si="2"/>
        <v/>
      </c>
      <c r="L238" s="13"/>
      <c r="M238" s="21" t="s">
        <v>45</v>
      </c>
    </row>
    <row r="239" ht="22.5" customHeight="1">
      <c r="B239" s="13">
        <f t="shared" si="3"/>
        <v>232</v>
      </c>
      <c r="C239" s="12" t="s">
        <v>291</v>
      </c>
      <c r="D239" s="14" t="str">
        <f t="array" ref="D239">IF(C239="","",IFNA(_xlfn.XLOOKUP(C239,'a 01'!$C$6:$C$999,'a 01'!$D$6:$D$999),""))</f>
        <v/>
      </c>
      <c r="E239" s="18" t="str">
        <f t="array" ref="E239">_xlfn.XLOOKUP(D239,Table_Warkah[Kode Tiket],Table_Warkah[Jenis Permohonan],"")</f>
        <v/>
      </c>
      <c r="F239" s="12" t="s">
        <v>42</v>
      </c>
      <c r="G239" s="12" t="s">
        <v>43</v>
      </c>
      <c r="H239" s="17">
        <f t="shared" si="1"/>
        <v>45600.45155</v>
      </c>
      <c r="I239" s="18"/>
      <c r="J239" s="20" t="b">
        <v>1</v>
      </c>
      <c r="K239" s="17">
        <f t="shared" si="2"/>
        <v>45604.6047</v>
      </c>
      <c r="L239" s="11" t="s">
        <v>54</v>
      </c>
      <c r="M239" s="21" t="s">
        <v>45</v>
      </c>
    </row>
    <row r="240" ht="22.5" customHeight="1">
      <c r="B240" s="13">
        <f t="shared" si="3"/>
        <v>233</v>
      </c>
      <c r="C240" s="12" t="s">
        <v>292</v>
      </c>
      <c r="D240" s="14" t="str">
        <f t="array" ref="D240">IF(C240="","",IFNA(_xlfn.XLOOKUP(C240,'a 01'!$C$6:$C$999,'a 01'!$D$6:$D$999),""))</f>
        <v/>
      </c>
      <c r="E240" s="18" t="str">
        <f t="array" ref="E240">_xlfn.XLOOKUP(D240,Table_Warkah[Kode Tiket],Table_Warkah[Jenis Permohonan],"")</f>
        <v/>
      </c>
      <c r="F240" s="12" t="s">
        <v>42</v>
      </c>
      <c r="G240" s="12" t="s">
        <v>43</v>
      </c>
      <c r="H240" s="17">
        <f t="shared" si="1"/>
        <v>45600.45155</v>
      </c>
      <c r="I240" s="18"/>
      <c r="J240" s="20" t="b">
        <v>1</v>
      </c>
      <c r="K240" s="17">
        <f t="shared" si="2"/>
        <v>45603.57908</v>
      </c>
      <c r="L240" s="11" t="s">
        <v>54</v>
      </c>
      <c r="M240" s="21" t="s">
        <v>45</v>
      </c>
    </row>
    <row r="241" ht="22.5" customHeight="1">
      <c r="B241" s="13">
        <f t="shared" si="3"/>
        <v>234</v>
      </c>
      <c r="C241" s="12" t="s">
        <v>293</v>
      </c>
      <c r="D241" s="14" t="str">
        <f t="array" ref="D241">IF(C241="","",IFNA(_xlfn.XLOOKUP(C241,'a 01'!$C$6:$C$999,'a 01'!$D$6:$D$999),""))</f>
        <v/>
      </c>
      <c r="E241" s="18" t="str">
        <f t="array" ref="E241">_xlfn.XLOOKUP(D241,Table_Warkah[Kode Tiket],Table_Warkah[Jenis Permohonan],"")</f>
        <v/>
      </c>
      <c r="F241" s="12" t="s">
        <v>42</v>
      </c>
      <c r="G241" s="12" t="s">
        <v>43</v>
      </c>
      <c r="H241" s="17">
        <f t="shared" si="1"/>
        <v>45600.45155</v>
      </c>
      <c r="I241" s="18"/>
      <c r="J241" s="20" t="b">
        <v>1</v>
      </c>
      <c r="K241" s="17">
        <f t="shared" si="2"/>
        <v>45604.6047</v>
      </c>
      <c r="L241" s="11" t="s">
        <v>54</v>
      </c>
      <c r="M241" s="21" t="s">
        <v>45</v>
      </c>
    </row>
    <row r="242" ht="22.5" customHeight="1">
      <c r="B242" s="13">
        <f t="shared" si="3"/>
        <v>235</v>
      </c>
      <c r="C242" s="12" t="s">
        <v>294</v>
      </c>
      <c r="D242" s="14" t="str">
        <f t="array" ref="D242">IF(C242="","",IFNA(_xlfn.XLOOKUP(C242,'a 01'!$C$6:$C$999,'a 01'!$D$6:$D$999),""))</f>
        <v/>
      </c>
      <c r="E242" s="18" t="str">
        <f t="array" ref="E242">_xlfn.XLOOKUP(D242,Table_Warkah[Kode Tiket],Table_Warkah[Jenis Permohonan],"")</f>
        <v/>
      </c>
      <c r="F242" s="12" t="s">
        <v>42</v>
      </c>
      <c r="G242" s="12" t="s">
        <v>43</v>
      </c>
      <c r="H242" s="17">
        <f t="shared" si="1"/>
        <v>45600.45155</v>
      </c>
      <c r="I242" s="18"/>
      <c r="J242" s="20" t="b">
        <v>1</v>
      </c>
      <c r="K242" s="17">
        <f t="shared" si="2"/>
        <v>45604.6047</v>
      </c>
      <c r="L242" s="11" t="s">
        <v>54</v>
      </c>
      <c r="M242" s="21" t="s">
        <v>45</v>
      </c>
    </row>
    <row r="243" ht="22.5" customHeight="1">
      <c r="B243" s="13">
        <f t="shared" si="3"/>
        <v>236</v>
      </c>
      <c r="C243" s="12" t="s">
        <v>295</v>
      </c>
      <c r="D243" s="14" t="str">
        <f t="array" ref="D243">IF(C243="","",IFNA(_xlfn.XLOOKUP(C243,'a 01'!$C$6:$C$999,'a 01'!$D$6:$D$999),""))</f>
        <v/>
      </c>
      <c r="E243" s="18" t="str">
        <f t="array" ref="E243">_xlfn.XLOOKUP(D243,Table_Warkah[Kode Tiket],Table_Warkah[Jenis Permohonan],"")</f>
        <v/>
      </c>
      <c r="F243" s="12" t="s">
        <v>42</v>
      </c>
      <c r="G243" s="12" t="s">
        <v>43</v>
      </c>
      <c r="H243" s="17">
        <f t="shared" si="1"/>
        <v>45600.45155</v>
      </c>
      <c r="I243" s="18"/>
      <c r="J243" s="20" t="b">
        <v>1</v>
      </c>
      <c r="K243" s="17">
        <f t="shared" si="2"/>
        <v>45603.57856</v>
      </c>
      <c r="L243" s="11" t="s">
        <v>54</v>
      </c>
      <c r="M243" s="21" t="s">
        <v>45</v>
      </c>
    </row>
    <row r="244" ht="22.5" customHeight="1">
      <c r="B244" s="13">
        <f t="shared" si="3"/>
        <v>237</v>
      </c>
      <c r="C244" s="12" t="s">
        <v>296</v>
      </c>
      <c r="D244" s="14" t="str">
        <f t="array" ref="D244">IF(C244="","",IFNA(_xlfn.XLOOKUP(C244,'a 01'!$C$6:$C$999,'a 01'!$D$6:$D$999),""))</f>
        <v/>
      </c>
      <c r="E244" s="18" t="str">
        <f t="array" ref="E244">_xlfn.XLOOKUP(D244,Table_Warkah[Kode Tiket],Table_Warkah[Jenis Permohonan],"")</f>
        <v/>
      </c>
      <c r="F244" s="12" t="s">
        <v>42</v>
      </c>
      <c r="G244" s="12" t="s">
        <v>43</v>
      </c>
      <c r="H244" s="17">
        <f t="shared" si="1"/>
        <v>45600.45155</v>
      </c>
      <c r="I244" s="18"/>
      <c r="J244" s="20" t="b">
        <v>1</v>
      </c>
      <c r="K244" s="17">
        <f t="shared" si="2"/>
        <v>45604.6047</v>
      </c>
      <c r="L244" s="11" t="s">
        <v>54</v>
      </c>
      <c r="M244" s="21" t="s">
        <v>45</v>
      </c>
    </row>
    <row r="245" ht="22.5" customHeight="1">
      <c r="B245" s="13">
        <f t="shared" si="3"/>
        <v>238</v>
      </c>
      <c r="C245" s="12" t="s">
        <v>297</v>
      </c>
      <c r="D245" s="14" t="str">
        <f t="array" ref="D245">IF(C245="","",IFNA(_xlfn.XLOOKUP(C245,'a 01'!$C$6:$C$999,'a 01'!$D$6:$D$999),""))</f>
        <v>K/33/291024/1</v>
      </c>
      <c r="E245" s="18" t="str">
        <f t="array" ref="E245">_xlfn.XLOOKUP(D245,Table_Warkah[Kode Tiket],Table_Warkah[Jenis Permohonan],"")</f>
        <v>BN Waris</v>
      </c>
      <c r="F245" s="12" t="s">
        <v>42</v>
      </c>
      <c r="G245" s="12" t="s">
        <v>43</v>
      </c>
      <c r="H245" s="17">
        <f t="shared" si="1"/>
        <v>45600.45155</v>
      </c>
      <c r="I245" s="18"/>
      <c r="J245" s="20" t="b">
        <v>0</v>
      </c>
      <c r="K245" s="13" t="str">
        <f t="shared" si="2"/>
        <v/>
      </c>
      <c r="L245" s="13"/>
      <c r="M245" s="21" t="s">
        <v>45</v>
      </c>
    </row>
    <row r="246" ht="22.5" customHeight="1">
      <c r="B246" s="13">
        <f t="shared" si="3"/>
        <v>239</v>
      </c>
      <c r="C246" s="12" t="s">
        <v>298</v>
      </c>
      <c r="D246" s="14" t="str">
        <f t="array" ref="D246">IF(C246="","",IFNA(_xlfn.XLOOKUP(C246,'a 01'!$C$6:$C$999,'a 01'!$D$6:$D$999),""))</f>
        <v/>
      </c>
      <c r="E246" s="18" t="str">
        <f t="array" ref="E246">_xlfn.XLOOKUP(D246,Table_Warkah[Kode Tiket],Table_Warkah[Jenis Permohonan],"")</f>
        <v/>
      </c>
      <c r="F246" s="12" t="s">
        <v>42</v>
      </c>
      <c r="G246" s="12" t="s">
        <v>43</v>
      </c>
      <c r="H246" s="17">
        <f t="shared" si="1"/>
        <v>45600.45155</v>
      </c>
      <c r="I246" s="18"/>
      <c r="J246" s="20" t="b">
        <v>1</v>
      </c>
      <c r="K246" s="17">
        <f t="shared" si="2"/>
        <v>45614.66166</v>
      </c>
      <c r="L246" s="11" t="s">
        <v>54</v>
      </c>
      <c r="M246" s="21" t="s">
        <v>45</v>
      </c>
    </row>
    <row r="247" ht="22.5" customHeight="1">
      <c r="B247" s="13">
        <f t="shared" si="3"/>
        <v>240</v>
      </c>
      <c r="C247" s="12" t="s">
        <v>299</v>
      </c>
      <c r="D247" s="14" t="str">
        <f t="array" ref="D247">IF(C247="","",IFNA(_xlfn.XLOOKUP(C247,'a 01'!$C$6:$C$999,'a 01'!$D$6:$D$999),""))</f>
        <v>K/42/291024/4</v>
      </c>
      <c r="E247" s="18" t="str">
        <f t="array" ref="E247">_xlfn.XLOOKUP(D247,Table_Warkah[Kode Tiket],Table_Warkah[Jenis Permohonan],"")</f>
        <v>BN LELANG</v>
      </c>
      <c r="F247" s="12" t="s">
        <v>42</v>
      </c>
      <c r="G247" s="12" t="s">
        <v>43</v>
      </c>
      <c r="H247" s="17">
        <f t="shared" si="1"/>
        <v>45600.45155</v>
      </c>
      <c r="I247" s="18"/>
      <c r="J247" s="20" t="b">
        <v>0</v>
      </c>
      <c r="K247" s="13" t="str">
        <f t="shared" si="2"/>
        <v/>
      </c>
      <c r="L247" s="13"/>
      <c r="M247" s="21" t="s">
        <v>45</v>
      </c>
    </row>
    <row r="248" ht="22.5" customHeight="1">
      <c r="B248" s="13">
        <f t="shared" si="3"/>
        <v>241</v>
      </c>
      <c r="C248" s="12" t="s">
        <v>300</v>
      </c>
      <c r="D248" s="14" t="str">
        <f t="array" ref="D248">IF(C248="","",IFNA(_xlfn.XLOOKUP(C248,'a 01'!$C$6:$C$999,'a 01'!$D$6:$D$999),""))</f>
        <v/>
      </c>
      <c r="E248" s="18" t="str">
        <f t="array" ref="E248">_xlfn.XLOOKUP(D248,Table_Warkah[Kode Tiket],Table_Warkah[Jenis Permohonan],"")</f>
        <v/>
      </c>
      <c r="F248" s="12" t="s">
        <v>42</v>
      </c>
      <c r="G248" s="12" t="s">
        <v>43</v>
      </c>
      <c r="H248" s="17">
        <f t="shared" si="1"/>
        <v>45600.45155</v>
      </c>
      <c r="I248" s="18"/>
      <c r="J248" s="20" t="b">
        <v>1</v>
      </c>
      <c r="K248" s="17">
        <f t="shared" si="2"/>
        <v>45603.57952</v>
      </c>
      <c r="L248" s="11" t="s">
        <v>54</v>
      </c>
      <c r="M248" s="21" t="s">
        <v>45</v>
      </c>
    </row>
    <row r="249" ht="22.5" customHeight="1">
      <c r="B249" s="13">
        <f t="shared" si="3"/>
        <v>242</v>
      </c>
      <c r="C249" s="12" t="s">
        <v>301</v>
      </c>
      <c r="D249" s="14" t="str">
        <f t="array" ref="D249">IF(C249="","",IFNA(_xlfn.XLOOKUP(C249,'a 01'!$C$6:$C$999,'a 01'!$D$6:$D$999),""))</f>
        <v>L/16/291024/1</v>
      </c>
      <c r="E249" s="18" t="str">
        <f t="array" ref="E249">_xlfn.XLOOKUP(D249,Table_Warkah[Kode Tiket],Table_Warkah[Jenis Permohonan],"")</f>
        <v>ROYA</v>
      </c>
      <c r="F249" s="12" t="s">
        <v>42</v>
      </c>
      <c r="G249" s="12" t="s">
        <v>43</v>
      </c>
      <c r="H249" s="17">
        <f t="shared" si="1"/>
        <v>45600.66185</v>
      </c>
      <c r="I249" s="18"/>
      <c r="J249" s="20" t="b">
        <v>0</v>
      </c>
      <c r="K249" s="13" t="str">
        <f t="shared" si="2"/>
        <v/>
      </c>
      <c r="L249" s="13"/>
      <c r="M249" s="21" t="s">
        <v>45</v>
      </c>
    </row>
    <row r="250" ht="22.5" customHeight="1">
      <c r="B250" s="13">
        <f t="shared" si="3"/>
        <v>243</v>
      </c>
      <c r="C250" s="12" t="s">
        <v>302</v>
      </c>
      <c r="D250" s="14" t="str">
        <f t="array" ref="D250">IF(C250="","",IFNA(_xlfn.XLOOKUP(C250,'a 01'!$C$6:$C$999,'a 01'!$D$6:$D$999),""))</f>
        <v>L/27/291024/1</v>
      </c>
      <c r="E250" s="18" t="str">
        <f t="array" ref="E250">_xlfn.XLOOKUP(D250,Table_Warkah[Kode Tiket],Table_Warkah[Jenis Permohonan],"")</f>
        <v>ROYA</v>
      </c>
      <c r="F250" s="12" t="s">
        <v>42</v>
      </c>
      <c r="G250" s="12" t="s">
        <v>43</v>
      </c>
      <c r="H250" s="17">
        <f t="shared" si="1"/>
        <v>45600.66185</v>
      </c>
      <c r="I250" s="18"/>
      <c r="J250" s="20" t="b">
        <v>1</v>
      </c>
      <c r="K250" s="17">
        <f t="shared" si="2"/>
        <v>45614.66166</v>
      </c>
      <c r="L250" s="11" t="s">
        <v>49</v>
      </c>
      <c r="M250" s="21" t="s">
        <v>45</v>
      </c>
    </row>
    <row r="251" ht="22.5" customHeight="1">
      <c r="B251" s="13">
        <f t="shared" si="3"/>
        <v>244</v>
      </c>
      <c r="C251" s="12" t="s">
        <v>303</v>
      </c>
      <c r="D251" s="14" t="str">
        <f t="array" ref="D251">IF(C251="","",IFNA(_xlfn.XLOOKUP(C251,'a 01'!$C$6:$C$999,'a 01'!$D$6:$D$999),""))</f>
        <v>K/29/291024/1</v>
      </c>
      <c r="E251" s="18" t="str">
        <f t="array" ref="E251">_xlfn.XLOOKUP(D251,Table_Warkah[Kode Tiket],Table_Warkah[Jenis Permohonan],"")</f>
        <v>Roya</v>
      </c>
      <c r="F251" s="12" t="s">
        <v>42</v>
      </c>
      <c r="G251" s="12" t="s">
        <v>43</v>
      </c>
      <c r="H251" s="17">
        <f t="shared" si="1"/>
        <v>45600.66185</v>
      </c>
      <c r="I251" s="18"/>
      <c r="J251" s="20" t="b">
        <v>0</v>
      </c>
      <c r="K251" s="13" t="str">
        <f t="shared" si="2"/>
        <v/>
      </c>
      <c r="L251" s="13"/>
      <c r="M251" s="21" t="s">
        <v>45</v>
      </c>
    </row>
    <row r="252" ht="22.5" customHeight="1">
      <c r="B252" s="13">
        <f t="shared" si="3"/>
        <v>245</v>
      </c>
      <c r="C252" s="12" t="s">
        <v>304</v>
      </c>
      <c r="D252" s="14" t="str">
        <f t="array" ref="D252">IF(C252="","",IFNA(_xlfn.XLOOKUP(C252,'a 01'!$C$6:$C$999,'a 01'!$D$6:$D$999),""))</f>
        <v>K/34/291024/1</v>
      </c>
      <c r="E252" s="18" t="str">
        <f t="array" ref="E252">_xlfn.XLOOKUP(D252,Table_Warkah[Kode Tiket],Table_Warkah[Jenis Permohonan],"")</f>
        <v>ROYA</v>
      </c>
      <c r="F252" s="12" t="s">
        <v>42</v>
      </c>
      <c r="G252" s="12" t="s">
        <v>43</v>
      </c>
      <c r="H252" s="17">
        <f t="shared" si="1"/>
        <v>45600.66185</v>
      </c>
      <c r="I252" s="18"/>
      <c r="J252" s="20" t="b">
        <v>1</v>
      </c>
      <c r="K252" s="17">
        <f t="shared" si="2"/>
        <v>45614.66166</v>
      </c>
      <c r="L252" s="11" t="s">
        <v>49</v>
      </c>
      <c r="M252" s="21" t="s">
        <v>45</v>
      </c>
    </row>
    <row r="253" ht="22.5" customHeight="1">
      <c r="B253" s="13">
        <f t="shared" si="3"/>
        <v>246</v>
      </c>
      <c r="C253" s="12" t="s">
        <v>305</v>
      </c>
      <c r="D253" s="14" t="str">
        <f t="array" ref="D253">IF(C253="","",IFNA(_xlfn.XLOOKUP(C253,'a 01'!$C$6:$C$999,'a 01'!$D$6:$D$999),""))</f>
        <v/>
      </c>
      <c r="E253" s="18" t="str">
        <f t="array" ref="E253">_xlfn.XLOOKUP(D253,Table_Warkah[Kode Tiket],Table_Warkah[Jenis Permohonan],"")</f>
        <v/>
      </c>
      <c r="F253" s="12" t="s">
        <v>42</v>
      </c>
      <c r="G253" s="12" t="s">
        <v>43</v>
      </c>
      <c r="H253" s="17">
        <f t="shared" si="1"/>
        <v>45600.66185</v>
      </c>
      <c r="I253" s="18"/>
      <c r="J253" s="20" t="b">
        <v>1</v>
      </c>
      <c r="K253" s="17">
        <f t="shared" si="2"/>
        <v>45614.66166</v>
      </c>
      <c r="L253" s="11" t="s">
        <v>49</v>
      </c>
      <c r="M253" s="21" t="s">
        <v>45</v>
      </c>
    </row>
    <row r="254" ht="22.5" customHeight="1">
      <c r="B254" s="13">
        <f t="shared" si="3"/>
        <v>247</v>
      </c>
      <c r="C254" s="12" t="s">
        <v>306</v>
      </c>
      <c r="D254" s="14" t="str">
        <f t="array" ref="D254">IF(C254="","",IFNA(_xlfn.XLOOKUP(C254,'a 01'!$C$6:$C$999,'a 01'!$D$6:$D$999),""))</f>
        <v>L/38/291024/1</v>
      </c>
      <c r="E254" s="18" t="str">
        <f t="array" ref="E254">_xlfn.XLOOKUP(D254,Table_Warkah[Kode Tiket],Table_Warkah[Jenis Permohonan],"")</f>
        <v>ROYA</v>
      </c>
      <c r="F254" s="12" t="s">
        <v>42</v>
      </c>
      <c r="G254" s="12" t="s">
        <v>43</v>
      </c>
      <c r="H254" s="17">
        <f t="shared" si="1"/>
        <v>45600.66185</v>
      </c>
      <c r="I254" s="18"/>
      <c r="J254" s="20" t="b">
        <v>1</v>
      </c>
      <c r="K254" s="17">
        <f t="shared" si="2"/>
        <v>45601.44824</v>
      </c>
      <c r="L254" s="11" t="s">
        <v>49</v>
      </c>
      <c r="M254" s="21" t="s">
        <v>45</v>
      </c>
    </row>
    <row r="255" ht="22.5" customHeight="1">
      <c r="B255" s="13">
        <f t="shared" si="3"/>
        <v>248</v>
      </c>
      <c r="C255" s="12" t="s">
        <v>307</v>
      </c>
      <c r="D255" s="14" t="str">
        <f t="array" ref="D255">IF(C255="","",IFNA(_xlfn.XLOOKUP(C255,'a 01'!$C$6:$C$999,'a 01'!$D$6:$D$999),""))</f>
        <v>L/48/291024/1</v>
      </c>
      <c r="E255" s="18" t="str">
        <f t="array" ref="E255">_xlfn.XLOOKUP(D255,Table_Warkah[Kode Tiket],Table_Warkah[Jenis Permohonan],"")</f>
        <v>ROYA</v>
      </c>
      <c r="F255" s="12" t="s">
        <v>42</v>
      </c>
      <c r="G255" s="12" t="s">
        <v>43</v>
      </c>
      <c r="H255" s="17">
        <f t="shared" si="1"/>
        <v>45600.66185</v>
      </c>
      <c r="I255" s="18"/>
      <c r="J255" s="20" t="b">
        <v>1</v>
      </c>
      <c r="K255" s="17">
        <f t="shared" si="2"/>
        <v>45601.44835</v>
      </c>
      <c r="L255" s="11" t="s">
        <v>49</v>
      </c>
      <c r="M255" s="21" t="s">
        <v>45</v>
      </c>
    </row>
    <row r="256" ht="22.5" customHeight="1">
      <c r="B256" s="13">
        <f t="shared" si="3"/>
        <v>249</v>
      </c>
      <c r="C256" s="12" t="s">
        <v>308</v>
      </c>
      <c r="D256" s="14" t="str">
        <f t="array" ref="D256">IF(C256="","",IFNA(_xlfn.XLOOKUP(C256,'a 01'!$C$6:$C$999,'a 01'!$D$6:$D$999),""))</f>
        <v>L/16/301024/1</v>
      </c>
      <c r="E256" s="18" t="str">
        <f t="array" ref="E256">_xlfn.XLOOKUP(D256,Table_Warkah[Kode Tiket],Table_Warkah[Jenis Permohonan],"")</f>
        <v>ROYA</v>
      </c>
      <c r="F256" s="12" t="s">
        <v>42</v>
      </c>
      <c r="G256" s="12" t="s">
        <v>43</v>
      </c>
      <c r="H256" s="17">
        <f t="shared" si="1"/>
        <v>45600.66185</v>
      </c>
      <c r="I256" s="18"/>
      <c r="J256" s="20" t="b">
        <v>1</v>
      </c>
      <c r="K256" s="17">
        <f t="shared" si="2"/>
        <v>45601.4487</v>
      </c>
      <c r="L256" s="11" t="s">
        <v>49</v>
      </c>
      <c r="M256" s="21" t="s">
        <v>45</v>
      </c>
    </row>
    <row r="257" ht="22.5" customHeight="1">
      <c r="B257" s="13">
        <f t="shared" si="3"/>
        <v>250</v>
      </c>
      <c r="C257" s="12" t="s">
        <v>309</v>
      </c>
      <c r="D257" s="14" t="str">
        <f t="array" ref="D257">IF(C257="","",IFNA(_xlfn.XLOOKUP(C257,'a 01'!$C$6:$C$999,'a 01'!$D$6:$D$999),""))</f>
        <v>L/22/301024/1</v>
      </c>
      <c r="E257" s="18" t="str">
        <f t="array" ref="E257">_xlfn.XLOOKUP(D257,Table_Warkah[Kode Tiket],Table_Warkah[Jenis Permohonan],"")</f>
        <v>ROYA</v>
      </c>
      <c r="F257" s="12" t="s">
        <v>42</v>
      </c>
      <c r="G257" s="12" t="s">
        <v>43</v>
      </c>
      <c r="H257" s="17">
        <f t="shared" si="1"/>
        <v>45600.66185</v>
      </c>
      <c r="I257" s="18"/>
      <c r="J257" s="20" t="b">
        <v>1</v>
      </c>
      <c r="K257" s="17">
        <f t="shared" si="2"/>
        <v>45601.44858</v>
      </c>
      <c r="L257" s="11" t="s">
        <v>49</v>
      </c>
      <c r="M257" s="21" t="s">
        <v>45</v>
      </c>
    </row>
    <row r="258" ht="22.5" customHeight="1">
      <c r="B258" s="13">
        <f t="shared" si="3"/>
        <v>251</v>
      </c>
      <c r="C258" s="12" t="s">
        <v>310</v>
      </c>
      <c r="D258" s="14" t="str">
        <f t="array" ref="D258">IF(C258="","",IFNA(_xlfn.XLOOKUP(C258,'a 01'!$C$6:$C$999,'a 01'!$D$6:$D$999),""))</f>
        <v>L/39/301024/1</v>
      </c>
      <c r="E258" s="18" t="str">
        <f t="array" ref="E258">_xlfn.XLOOKUP(D258,Table_Warkah[Kode Tiket],Table_Warkah[Jenis Permohonan],"")</f>
        <v>ROYA</v>
      </c>
      <c r="F258" s="12" t="s">
        <v>42</v>
      </c>
      <c r="G258" s="12" t="s">
        <v>43</v>
      </c>
      <c r="H258" s="17">
        <f t="shared" si="1"/>
        <v>45600.66185</v>
      </c>
      <c r="I258" s="18"/>
      <c r="J258" s="20" t="b">
        <v>1</v>
      </c>
      <c r="K258" s="17">
        <f t="shared" si="2"/>
        <v>45601.44846</v>
      </c>
      <c r="L258" s="11" t="s">
        <v>49</v>
      </c>
      <c r="M258" s="21" t="s">
        <v>45</v>
      </c>
    </row>
    <row r="259" ht="22.5" customHeight="1">
      <c r="B259" s="13">
        <f t="shared" si="3"/>
        <v>252</v>
      </c>
      <c r="C259" s="12" t="s">
        <v>311</v>
      </c>
      <c r="D259" s="14" t="str">
        <f t="array" ref="D259">IF(C259="","",IFNA(_xlfn.XLOOKUP(C259,'a 01'!$C$6:$C$999,'a 01'!$D$6:$D$999),""))</f>
        <v>L/15/301024/1</v>
      </c>
      <c r="E259" s="18" t="str">
        <f t="array" ref="E259">_xlfn.XLOOKUP(D259,Table_Warkah[Kode Tiket],Table_Warkah[Jenis Permohonan],"")</f>
        <v>ROYA LELANG</v>
      </c>
      <c r="F259" s="12" t="s">
        <v>42</v>
      </c>
      <c r="G259" s="12" t="s">
        <v>43</v>
      </c>
      <c r="H259" s="17">
        <f t="shared" si="1"/>
        <v>45600.66185</v>
      </c>
      <c r="I259" s="18"/>
      <c r="J259" s="20" t="b">
        <v>1</v>
      </c>
      <c r="K259" s="17">
        <f t="shared" si="2"/>
        <v>45603.58291</v>
      </c>
      <c r="L259" s="11" t="s">
        <v>49</v>
      </c>
      <c r="M259" s="21" t="s">
        <v>45</v>
      </c>
    </row>
    <row r="260" ht="22.5" customHeight="1">
      <c r="B260" s="13">
        <f t="shared" si="3"/>
        <v>253</v>
      </c>
      <c r="C260" s="12" t="s">
        <v>312</v>
      </c>
      <c r="D260" s="14" t="str">
        <f t="array" ref="D260">IF(C260="","",IFNA(_xlfn.XLOOKUP(C260,'a 01'!$C$6:$C$999,'a 01'!$D$6:$D$999),""))</f>
        <v/>
      </c>
      <c r="E260" s="18" t="str">
        <f t="array" ref="E260">_xlfn.XLOOKUP(D260,Table_Warkah[Kode Tiket],Table_Warkah[Jenis Permohonan],"")</f>
        <v/>
      </c>
      <c r="F260" s="12" t="s">
        <v>42</v>
      </c>
      <c r="G260" s="12" t="s">
        <v>43</v>
      </c>
      <c r="H260" s="17">
        <f t="shared" si="1"/>
        <v>45600.66185</v>
      </c>
      <c r="I260" s="18"/>
      <c r="J260" s="20" t="b">
        <v>1</v>
      </c>
      <c r="K260" s="17">
        <f t="shared" si="2"/>
        <v>45614.66166</v>
      </c>
      <c r="L260" s="11" t="s">
        <v>49</v>
      </c>
      <c r="M260" s="21" t="s">
        <v>45</v>
      </c>
    </row>
    <row r="261" ht="22.5" customHeight="1">
      <c r="B261" s="13">
        <f t="shared" si="3"/>
        <v>254</v>
      </c>
      <c r="C261" s="12" t="s">
        <v>313</v>
      </c>
      <c r="D261" s="14" t="str">
        <f t="array" ref="D261">IF(C261="","",IFNA(_xlfn.XLOOKUP(C261,'a 01'!$C$6:$C$999,'a 01'!$D$6:$D$999),""))</f>
        <v>L/38/301024/1</v>
      </c>
      <c r="E261" s="18" t="str">
        <f t="array" ref="E261">_xlfn.XLOOKUP(D261,Table_Warkah[Kode Tiket],Table_Warkah[Jenis Permohonan],"")</f>
        <v>ROYA</v>
      </c>
      <c r="F261" s="12" t="s">
        <v>42</v>
      </c>
      <c r="G261" s="12" t="s">
        <v>43</v>
      </c>
      <c r="H261" s="17">
        <f t="shared" si="1"/>
        <v>45600.66185</v>
      </c>
      <c r="I261" s="18"/>
      <c r="J261" s="20" t="b">
        <v>1</v>
      </c>
      <c r="K261" s="17">
        <f t="shared" si="2"/>
        <v>45601.449</v>
      </c>
      <c r="L261" s="11" t="s">
        <v>49</v>
      </c>
      <c r="M261" s="21" t="s">
        <v>45</v>
      </c>
    </row>
    <row r="262" ht="22.5" customHeight="1">
      <c r="B262" s="13">
        <f t="shared" si="3"/>
        <v>255</v>
      </c>
      <c r="C262" s="12" t="s">
        <v>314</v>
      </c>
      <c r="D262" s="14" t="str">
        <f t="array" ref="D262">IF(C262="","",IFNA(_xlfn.XLOOKUP(C262,'a 01'!$C$6:$C$999,'a 01'!$D$6:$D$999),""))</f>
        <v/>
      </c>
      <c r="E262" s="18" t="str">
        <f t="array" ref="E262">_xlfn.XLOOKUP(D262,Table_Warkah[Kode Tiket],Table_Warkah[Jenis Permohonan],"")</f>
        <v/>
      </c>
      <c r="F262" s="12" t="s">
        <v>42</v>
      </c>
      <c r="G262" s="12" t="s">
        <v>43</v>
      </c>
      <c r="H262" s="17">
        <f t="shared" si="1"/>
        <v>45600.66185</v>
      </c>
      <c r="I262" s="18"/>
      <c r="J262" s="20" t="b">
        <v>1</v>
      </c>
      <c r="K262" s="17">
        <f t="shared" si="2"/>
        <v>45603.58325</v>
      </c>
      <c r="L262" s="11" t="s">
        <v>49</v>
      </c>
      <c r="M262" s="21" t="s">
        <v>45</v>
      </c>
    </row>
    <row r="263" ht="22.5" customHeight="1">
      <c r="B263" s="13">
        <f t="shared" si="3"/>
        <v>256</v>
      </c>
      <c r="C263" s="12" t="s">
        <v>315</v>
      </c>
      <c r="D263" s="14" t="str">
        <f t="array" ref="D263">IF(C263="","",IFNA(_xlfn.XLOOKUP(C263,'a 01'!$C$6:$C$999,'a 01'!$D$6:$D$999),""))</f>
        <v>L/2/291024/1</v>
      </c>
      <c r="E263" s="18" t="str">
        <f t="array" ref="E263">_xlfn.XLOOKUP(D263,Table_Warkah[Kode Tiket],Table_Warkah[Jenis Permohonan],"")</f>
        <v>ROYA</v>
      </c>
      <c r="F263" s="12" t="s">
        <v>42</v>
      </c>
      <c r="G263" s="12" t="s">
        <v>43</v>
      </c>
      <c r="H263" s="17">
        <f t="shared" si="1"/>
        <v>45600.66185</v>
      </c>
      <c r="I263" s="18"/>
      <c r="J263" s="20" t="b">
        <v>1</v>
      </c>
      <c r="K263" s="17">
        <f t="shared" si="2"/>
        <v>45614.66166</v>
      </c>
      <c r="L263" s="11" t="s">
        <v>49</v>
      </c>
      <c r="M263" s="21" t="s">
        <v>45</v>
      </c>
    </row>
    <row r="264" ht="22.5" customHeight="1">
      <c r="B264" s="13">
        <f t="shared" si="3"/>
        <v>257</v>
      </c>
      <c r="C264" s="12" t="s">
        <v>316</v>
      </c>
      <c r="D264" s="14" t="str">
        <f t="array" ref="D264">IF(C264="","",IFNA(_xlfn.XLOOKUP(C264,'a 01'!$C$6:$C$999,'a 01'!$D$6:$D$999),""))</f>
        <v>L/23/291024/1</v>
      </c>
      <c r="E264" s="18" t="str">
        <f t="array" ref="E264">_xlfn.XLOOKUP(D264,Table_Warkah[Kode Tiket],Table_Warkah[Jenis Permohonan],"")</f>
        <v>ROYA</v>
      </c>
      <c r="F264" s="12" t="s">
        <v>42</v>
      </c>
      <c r="G264" s="12" t="s">
        <v>43</v>
      </c>
      <c r="H264" s="17">
        <f t="shared" si="1"/>
        <v>45600.66185</v>
      </c>
      <c r="I264" s="18"/>
      <c r="J264" s="20" t="b">
        <v>1</v>
      </c>
      <c r="K264" s="17">
        <f t="shared" si="2"/>
        <v>45601.44884</v>
      </c>
      <c r="L264" s="11" t="s">
        <v>49</v>
      </c>
      <c r="M264" s="21" t="s">
        <v>45</v>
      </c>
    </row>
    <row r="265" ht="22.5" customHeight="1">
      <c r="B265" s="13">
        <f t="shared" si="3"/>
        <v>258</v>
      </c>
      <c r="C265" s="12" t="s">
        <v>317</v>
      </c>
      <c r="D265" s="14" t="str">
        <f t="array" ref="D265">IF(C265="","",IFNA(_xlfn.XLOOKUP(C265,'a 01'!$C$6:$C$999,'a 01'!$D$6:$D$999),""))</f>
        <v>L/1/301024/1</v>
      </c>
      <c r="E265" s="18" t="str">
        <f t="array" ref="E265">_xlfn.XLOOKUP(D265,Table_Warkah[Kode Tiket],Table_Warkah[Jenis Permohonan],"")</f>
        <v>ROYA</v>
      </c>
      <c r="F265" s="12" t="s">
        <v>42</v>
      </c>
      <c r="G265" s="12" t="s">
        <v>43</v>
      </c>
      <c r="H265" s="17">
        <f t="shared" si="1"/>
        <v>45600.66185</v>
      </c>
      <c r="I265" s="18"/>
      <c r="J265" s="20" t="b">
        <v>1</v>
      </c>
      <c r="K265" s="17">
        <f t="shared" si="2"/>
        <v>45603.58308</v>
      </c>
      <c r="L265" s="11" t="s">
        <v>49</v>
      </c>
      <c r="M265" s="21" t="s">
        <v>45</v>
      </c>
    </row>
    <row r="266" ht="22.5" customHeight="1">
      <c r="B266" s="13">
        <f t="shared" si="3"/>
        <v>259</v>
      </c>
      <c r="C266" s="12" t="s">
        <v>318</v>
      </c>
      <c r="D266" s="14" t="str">
        <f t="array" ref="D266">IF(C266="","",IFNA(_xlfn.XLOOKUP(C266,'a 01'!$C$6:$C$999,'a 01'!$D$6:$D$999),""))</f>
        <v>L/1/301024/2</v>
      </c>
      <c r="E266" s="18" t="str">
        <f t="array" ref="E266">_xlfn.XLOOKUP(D266,Table_Warkah[Kode Tiket],Table_Warkah[Jenis Permohonan],"")</f>
        <v>ROYA</v>
      </c>
      <c r="F266" s="12" t="s">
        <v>42</v>
      </c>
      <c r="G266" s="12" t="s">
        <v>43</v>
      </c>
      <c r="H266" s="17">
        <f t="shared" si="1"/>
        <v>45600.66185</v>
      </c>
      <c r="I266" s="18"/>
      <c r="J266" s="20" t="b">
        <v>1</v>
      </c>
      <c r="K266" s="17">
        <f t="shared" si="2"/>
        <v>45614.66166</v>
      </c>
      <c r="L266" s="11" t="s">
        <v>49</v>
      </c>
      <c r="M266" s="21" t="s">
        <v>45</v>
      </c>
    </row>
    <row r="267" ht="22.5" customHeight="1">
      <c r="B267" s="13">
        <f t="shared" si="3"/>
        <v>260</v>
      </c>
      <c r="C267" s="12" t="s">
        <v>319</v>
      </c>
      <c r="D267" s="14" t="str">
        <f t="array" ref="D267">IF(C267="","",IFNA(_xlfn.XLOOKUP(C267,'a 01'!$C$6:$C$999,'a 01'!$D$6:$D$999),""))</f>
        <v/>
      </c>
      <c r="E267" s="18" t="str">
        <f t="array" ref="E267">_xlfn.XLOOKUP(D267,Table_Warkah[Kode Tiket],Table_Warkah[Jenis Permohonan],"")</f>
        <v/>
      </c>
      <c r="F267" s="12" t="s">
        <v>42</v>
      </c>
      <c r="G267" s="12" t="s">
        <v>43</v>
      </c>
      <c r="H267" s="17">
        <f t="shared" si="1"/>
        <v>45600.66185</v>
      </c>
      <c r="I267" s="18"/>
      <c r="J267" s="20" t="b">
        <v>1</v>
      </c>
      <c r="K267" s="17">
        <f t="shared" si="2"/>
        <v>45601.44911</v>
      </c>
      <c r="L267" s="11" t="s">
        <v>49</v>
      </c>
      <c r="M267" s="21" t="s">
        <v>45</v>
      </c>
    </row>
    <row r="268" ht="22.5" customHeight="1">
      <c r="B268" s="13">
        <f t="shared" si="3"/>
        <v>261</v>
      </c>
      <c r="C268" s="12" t="s">
        <v>320</v>
      </c>
      <c r="D268" s="14" t="str">
        <f t="array" ref="D268">IF(C268="","",IFNA(_xlfn.XLOOKUP(C268,'a 01'!$C$6:$C$999,'a 01'!$D$6:$D$999),""))</f>
        <v/>
      </c>
      <c r="E268" s="18" t="str">
        <f t="array" ref="E268">_xlfn.XLOOKUP(D268,Table_Warkah[Kode Tiket],Table_Warkah[Jenis Permohonan],"")</f>
        <v/>
      </c>
      <c r="F268" s="12" t="s">
        <v>42</v>
      </c>
      <c r="G268" s="12" t="s">
        <v>43</v>
      </c>
      <c r="H268" s="17">
        <f t="shared" si="1"/>
        <v>45600.66185</v>
      </c>
      <c r="I268" s="18"/>
      <c r="J268" s="20" t="b">
        <v>1</v>
      </c>
      <c r="K268" s="17">
        <f t="shared" si="2"/>
        <v>45614.66166</v>
      </c>
      <c r="L268" s="11" t="s">
        <v>49</v>
      </c>
      <c r="M268" s="21" t="s">
        <v>45</v>
      </c>
    </row>
    <row r="269" ht="22.5" customHeight="1">
      <c r="B269" s="13">
        <f t="shared" si="3"/>
        <v>262</v>
      </c>
      <c r="C269" s="12" t="s">
        <v>321</v>
      </c>
      <c r="D269" s="14" t="str">
        <f t="array" ref="D269">IF(C269="","",IFNA(_xlfn.XLOOKUP(C269,'a 01'!$C$6:$C$999,'a 01'!$D$6:$D$999),""))</f>
        <v>L/1/311024/1</v>
      </c>
      <c r="E269" s="18" t="str">
        <f t="array" ref="E269">_xlfn.XLOOKUP(D269,Table_Warkah[Kode Tiket],Table_Warkah[Jenis Permohonan],"")</f>
        <v>PERUBAHAN HAK</v>
      </c>
      <c r="F269" s="12" t="s">
        <v>42</v>
      </c>
      <c r="G269" s="12" t="s">
        <v>43</v>
      </c>
      <c r="H269" s="17">
        <f t="shared" si="1"/>
        <v>45603.37912</v>
      </c>
      <c r="I269" s="18"/>
      <c r="J269" s="20" t="b">
        <v>0</v>
      </c>
      <c r="K269" s="13" t="str">
        <f t="shared" si="2"/>
        <v/>
      </c>
      <c r="L269" s="13"/>
      <c r="M269" s="21" t="s">
        <v>45</v>
      </c>
    </row>
    <row r="270" ht="22.5" customHeight="1">
      <c r="B270" s="13">
        <f t="shared" si="3"/>
        <v>263</v>
      </c>
      <c r="C270" s="12" t="s">
        <v>322</v>
      </c>
      <c r="D270" s="14" t="str">
        <f t="array" ref="D270">IF(C270="","",IFNA(_xlfn.XLOOKUP(C270,'a 01'!$C$6:$C$999,'a 01'!$D$6:$D$999),""))</f>
        <v>K/36/311024/1</v>
      </c>
      <c r="E270" s="18" t="str">
        <f t="array" ref="E270">_xlfn.XLOOKUP(D270,Table_Warkah[Kode Tiket],Table_Warkah[Jenis Permohonan],"")</f>
        <v>PENINGKATAN</v>
      </c>
      <c r="F270" s="12" t="s">
        <v>42</v>
      </c>
      <c r="G270" s="12" t="s">
        <v>43</v>
      </c>
      <c r="H270" s="17">
        <f t="shared" si="1"/>
        <v>45603.37912</v>
      </c>
      <c r="I270" s="18"/>
      <c r="J270" s="20" t="b">
        <v>0</v>
      </c>
      <c r="K270" s="13" t="str">
        <f t="shared" si="2"/>
        <v/>
      </c>
      <c r="L270" s="13"/>
      <c r="M270" s="21" t="s">
        <v>45</v>
      </c>
    </row>
    <row r="271" ht="22.5" customHeight="1">
      <c r="B271" s="13">
        <f t="shared" si="3"/>
        <v>264</v>
      </c>
      <c r="C271" s="12" t="s">
        <v>323</v>
      </c>
      <c r="D271" s="14" t="str">
        <f t="array" ref="D271">IF(C271="","",IFNA(_xlfn.XLOOKUP(C271,'a 01'!$C$6:$C$999,'a 01'!$D$6:$D$999),""))</f>
        <v>L/2/11124/1</v>
      </c>
      <c r="E271" s="18" t="str">
        <f t="array" ref="E271">_xlfn.XLOOKUP(D271,Table_Warkah[Kode Tiket],Table_Warkah[Jenis Permohonan],"")</f>
        <v>PERUBAHAN HAK</v>
      </c>
      <c r="F271" s="12" t="s">
        <v>42</v>
      </c>
      <c r="G271" s="12" t="s">
        <v>43</v>
      </c>
      <c r="H271" s="17">
        <f t="shared" si="1"/>
        <v>45603.37912</v>
      </c>
      <c r="I271" s="18"/>
      <c r="J271" s="20" t="b">
        <v>0</v>
      </c>
      <c r="K271" s="13" t="str">
        <f t="shared" si="2"/>
        <v/>
      </c>
      <c r="L271" s="13"/>
      <c r="M271" s="21" t="s">
        <v>45</v>
      </c>
    </row>
    <row r="272" ht="22.5" customHeight="1">
      <c r="B272" s="13">
        <f t="shared" si="3"/>
        <v>265</v>
      </c>
      <c r="C272" s="12" t="s">
        <v>324</v>
      </c>
      <c r="D272" s="14" t="str">
        <f t="array" ref="D272">IF(C272="","",IFNA(_xlfn.XLOOKUP(C272,'a 01'!$C$6:$C$999,'a 01'!$D$6:$D$999),""))</f>
        <v/>
      </c>
      <c r="E272" s="18" t="str">
        <f t="array" ref="E272">_xlfn.XLOOKUP(D272,Table_Warkah[Kode Tiket],Table_Warkah[Jenis Permohonan],"")</f>
        <v/>
      </c>
      <c r="F272" s="12" t="s">
        <v>42</v>
      </c>
      <c r="G272" s="12" t="s">
        <v>43</v>
      </c>
      <c r="H272" s="17">
        <f t="shared" si="1"/>
        <v>45603.37912</v>
      </c>
      <c r="I272" s="18"/>
      <c r="J272" s="20" t="b">
        <v>0</v>
      </c>
      <c r="K272" s="13" t="str">
        <f t="shared" si="2"/>
        <v/>
      </c>
      <c r="L272" s="13"/>
      <c r="M272" s="21" t="s">
        <v>45</v>
      </c>
    </row>
    <row r="273" ht="22.5" customHeight="1">
      <c r="B273" s="13">
        <f t="shared" si="3"/>
        <v>266</v>
      </c>
      <c r="C273" s="12" t="s">
        <v>325</v>
      </c>
      <c r="D273" s="14" t="str">
        <f t="array" ref="D273">IF(C273="","",IFNA(_xlfn.XLOOKUP(C273,'a 01'!$C$6:$C$999,'a 01'!$D$6:$D$999),""))</f>
        <v/>
      </c>
      <c r="E273" s="18" t="str">
        <f t="array" ref="E273">_xlfn.XLOOKUP(D273,Table_Warkah[Kode Tiket],Table_Warkah[Jenis Permohonan],"")</f>
        <v/>
      </c>
      <c r="F273" s="12" t="s">
        <v>42</v>
      </c>
      <c r="G273" s="12" t="s">
        <v>43</v>
      </c>
      <c r="H273" s="17">
        <f t="shared" si="1"/>
        <v>45603.37934</v>
      </c>
      <c r="I273" s="18"/>
      <c r="J273" s="20" t="b">
        <v>0</v>
      </c>
      <c r="K273" s="13" t="str">
        <f t="shared" si="2"/>
        <v/>
      </c>
      <c r="L273" s="13"/>
      <c r="M273" s="21" t="s">
        <v>45</v>
      </c>
    </row>
    <row r="274" ht="22.5" customHeight="1">
      <c r="B274" s="13">
        <f t="shared" si="3"/>
        <v>267</v>
      </c>
      <c r="C274" s="12" t="s">
        <v>326</v>
      </c>
      <c r="D274" s="14" t="str">
        <f t="array" ref="D274">IF(C274="","",IFNA(_xlfn.XLOOKUP(C274,'a 01'!$C$6:$C$999,'a 01'!$D$6:$D$999),""))</f>
        <v/>
      </c>
      <c r="E274" s="18" t="str">
        <f t="array" ref="E274">_xlfn.XLOOKUP(D274,Table_Warkah[Kode Tiket],Table_Warkah[Jenis Permohonan],"")</f>
        <v/>
      </c>
      <c r="F274" s="12" t="s">
        <v>42</v>
      </c>
      <c r="G274" s="12" t="s">
        <v>43</v>
      </c>
      <c r="H274" s="17">
        <f t="shared" si="1"/>
        <v>45603.38062</v>
      </c>
      <c r="I274" s="18"/>
      <c r="J274" s="20" t="b">
        <v>1</v>
      </c>
      <c r="K274" s="17">
        <f t="shared" si="2"/>
        <v>45603.46445</v>
      </c>
      <c r="L274" s="11" t="s">
        <v>54</v>
      </c>
      <c r="M274" s="21" t="s">
        <v>45</v>
      </c>
    </row>
    <row r="275" ht="22.5" customHeight="1">
      <c r="B275" s="13">
        <f t="shared" si="3"/>
        <v>268</v>
      </c>
      <c r="C275" s="12" t="s">
        <v>327</v>
      </c>
      <c r="D275" s="14" t="str">
        <f t="array" ref="D275">IF(C275="","",IFNA(_xlfn.XLOOKUP(C275,'a 01'!$C$6:$C$999,'a 01'!$D$6:$D$999),""))</f>
        <v>K/39/011124/3</v>
      </c>
      <c r="E275" s="18" t="str">
        <f t="array" ref="E275">_xlfn.XLOOKUP(D275,Table_Warkah[Kode Tiket],Table_Warkah[Jenis Permohonan],"")</f>
        <v>Roya</v>
      </c>
      <c r="F275" s="12" t="s">
        <v>42</v>
      </c>
      <c r="G275" s="12" t="s">
        <v>43</v>
      </c>
      <c r="H275" s="17">
        <f t="shared" si="1"/>
        <v>45603.38062</v>
      </c>
      <c r="I275" s="18"/>
      <c r="J275" s="20" t="b">
        <v>0</v>
      </c>
      <c r="K275" s="13" t="str">
        <f t="shared" si="2"/>
        <v/>
      </c>
      <c r="L275" s="13"/>
      <c r="M275" s="21" t="s">
        <v>45</v>
      </c>
    </row>
    <row r="276" ht="22.5" customHeight="1">
      <c r="B276" s="13">
        <f t="shared" si="3"/>
        <v>269</v>
      </c>
      <c r="C276" s="12" t="s">
        <v>328</v>
      </c>
      <c r="D276" s="14" t="str">
        <f t="array" ref="D276">IF(C276="","",IFNA(_xlfn.XLOOKUP(C276,'a 01'!$C$6:$C$999,'a 01'!$D$6:$D$999),""))</f>
        <v>K/42/311024/1</v>
      </c>
      <c r="E276" s="18" t="str">
        <f t="array" ref="E276">_xlfn.XLOOKUP(D276,Table_Warkah[Kode Tiket],Table_Warkah[Jenis Permohonan],"")</f>
        <v>ROYA</v>
      </c>
      <c r="F276" s="12" t="s">
        <v>42</v>
      </c>
      <c r="G276" s="12" t="s">
        <v>43</v>
      </c>
      <c r="H276" s="17">
        <f t="shared" si="1"/>
        <v>45603.38062</v>
      </c>
      <c r="I276" s="18"/>
      <c r="J276" s="20" t="b">
        <v>0</v>
      </c>
      <c r="K276" s="13" t="str">
        <f t="shared" si="2"/>
        <v/>
      </c>
      <c r="L276" s="13"/>
      <c r="M276" s="21" t="s">
        <v>45</v>
      </c>
    </row>
    <row r="277" ht="22.5" customHeight="1">
      <c r="B277" s="13">
        <f t="shared" si="3"/>
        <v>270</v>
      </c>
      <c r="C277" s="12" t="s">
        <v>329</v>
      </c>
      <c r="D277" s="14" t="str">
        <f t="array" ref="D277">IF(C277="","",IFNA(_xlfn.XLOOKUP(C277,'a 01'!$C$6:$C$999,'a 01'!$D$6:$D$999),""))</f>
        <v>L/27/311024/1</v>
      </c>
      <c r="E277" s="18" t="str">
        <f t="array" ref="E277">_xlfn.XLOOKUP(D277,Table_Warkah[Kode Tiket],Table_Warkah[Jenis Permohonan],"")</f>
        <v>ROYA</v>
      </c>
      <c r="F277" s="12" t="s">
        <v>42</v>
      </c>
      <c r="G277" s="12" t="s">
        <v>43</v>
      </c>
      <c r="H277" s="17">
        <f t="shared" si="1"/>
        <v>45603.38062</v>
      </c>
      <c r="I277" s="18"/>
      <c r="J277" s="20" t="b">
        <v>1</v>
      </c>
      <c r="K277" s="17">
        <f t="shared" si="2"/>
        <v>45603.58399</v>
      </c>
      <c r="L277" s="11" t="s">
        <v>49</v>
      </c>
      <c r="M277" s="21" t="s">
        <v>45</v>
      </c>
    </row>
    <row r="278" ht="22.5" customHeight="1">
      <c r="B278" s="13">
        <f t="shared" si="3"/>
        <v>271</v>
      </c>
      <c r="C278" s="12" t="s">
        <v>330</v>
      </c>
      <c r="D278" s="14" t="str">
        <f t="array" ref="D278">IF(C278="","",IFNA(_xlfn.XLOOKUP(C278,'a 01'!$C$6:$C$999,'a 01'!$D$6:$D$999),""))</f>
        <v/>
      </c>
      <c r="E278" s="18" t="str">
        <f t="array" ref="E278">_xlfn.XLOOKUP(D278,Table_Warkah[Kode Tiket],Table_Warkah[Jenis Permohonan],"")</f>
        <v/>
      </c>
      <c r="F278" s="12" t="s">
        <v>42</v>
      </c>
      <c r="G278" s="12" t="s">
        <v>43</v>
      </c>
      <c r="H278" s="17">
        <f t="shared" si="1"/>
        <v>45603.3896</v>
      </c>
      <c r="I278" s="18"/>
      <c r="J278" s="20" t="b">
        <v>1</v>
      </c>
      <c r="K278" s="17">
        <f t="shared" si="2"/>
        <v>45603.46607</v>
      </c>
      <c r="L278" s="11" t="s">
        <v>54</v>
      </c>
      <c r="M278" s="21" t="s">
        <v>45</v>
      </c>
    </row>
    <row r="279" ht="22.5" customHeight="1">
      <c r="B279" s="13">
        <f t="shared" si="3"/>
        <v>272</v>
      </c>
      <c r="C279" s="12" t="s">
        <v>331</v>
      </c>
      <c r="D279" s="14" t="str">
        <f t="array" ref="D279">IF(C279="","",IFNA(_xlfn.XLOOKUP(C279,'a 01'!$C$6:$C$999,'a 01'!$D$6:$D$999),""))</f>
        <v/>
      </c>
      <c r="E279" s="18" t="str">
        <f t="array" ref="E279">_xlfn.XLOOKUP(D279,Table_Warkah[Kode Tiket],Table_Warkah[Jenis Permohonan],"")</f>
        <v/>
      </c>
      <c r="F279" s="12" t="s">
        <v>42</v>
      </c>
      <c r="G279" s="12" t="s">
        <v>43</v>
      </c>
      <c r="H279" s="17">
        <f t="shared" si="1"/>
        <v>45603.3896</v>
      </c>
      <c r="I279" s="18"/>
      <c r="J279" s="20" t="b">
        <v>1</v>
      </c>
      <c r="K279" s="17">
        <f t="shared" si="2"/>
        <v>45603.46513</v>
      </c>
      <c r="L279" s="11" t="s">
        <v>54</v>
      </c>
      <c r="M279" s="21" t="s">
        <v>45</v>
      </c>
    </row>
    <row r="280" ht="22.5" customHeight="1">
      <c r="B280" s="13">
        <f t="shared" si="3"/>
        <v>273</v>
      </c>
      <c r="C280" s="12" t="s">
        <v>332</v>
      </c>
      <c r="D280" s="14" t="str">
        <f t="array" ref="D280">IF(C280="","",IFNA(_xlfn.XLOOKUP(C280,'a 01'!$C$6:$C$999,'a 01'!$D$6:$D$999),""))</f>
        <v/>
      </c>
      <c r="E280" s="18" t="str">
        <f t="array" ref="E280">_xlfn.XLOOKUP(D280,Table_Warkah[Kode Tiket],Table_Warkah[Jenis Permohonan],"")</f>
        <v/>
      </c>
      <c r="F280" s="12" t="s">
        <v>42</v>
      </c>
      <c r="G280" s="12" t="s">
        <v>43</v>
      </c>
      <c r="H280" s="17">
        <f t="shared" si="1"/>
        <v>45603.3896</v>
      </c>
      <c r="I280" s="18"/>
      <c r="J280" s="20" t="b">
        <v>1</v>
      </c>
      <c r="K280" s="17">
        <f t="shared" si="2"/>
        <v>45603.46571</v>
      </c>
      <c r="L280" s="11" t="s">
        <v>54</v>
      </c>
      <c r="M280" s="21" t="s">
        <v>45</v>
      </c>
    </row>
    <row r="281" ht="22.5" customHeight="1">
      <c r="B281" s="13">
        <f t="shared" si="3"/>
        <v>274</v>
      </c>
      <c r="C281" s="12" t="s">
        <v>333</v>
      </c>
      <c r="D281" s="14" t="str">
        <f t="array" ref="D281">IF(C281="","",IFNA(_xlfn.XLOOKUP(C281,'a 01'!$C$6:$C$999,'a 01'!$D$6:$D$999),""))</f>
        <v>K/23/241024/1</v>
      </c>
      <c r="E281" s="18" t="str">
        <f t="array" ref="E281">_xlfn.XLOOKUP(D281,Table_Warkah[Kode Tiket],Table_Warkah[Jenis Permohonan],"")</f>
        <v>BN Jual Beli</v>
      </c>
      <c r="F281" s="12" t="s">
        <v>42</v>
      </c>
      <c r="G281" s="12" t="s">
        <v>43</v>
      </c>
      <c r="H281" s="17">
        <f t="shared" si="1"/>
        <v>45603.3896</v>
      </c>
      <c r="I281" s="18"/>
      <c r="J281" s="20" t="b">
        <v>1</v>
      </c>
      <c r="K281" s="17">
        <f t="shared" si="2"/>
        <v>45603.46482</v>
      </c>
      <c r="L281" s="11" t="s">
        <v>54</v>
      </c>
      <c r="M281" s="21" t="s">
        <v>45</v>
      </c>
    </row>
    <row r="282" ht="22.5" customHeight="1">
      <c r="B282" s="13">
        <f t="shared" si="3"/>
        <v>275</v>
      </c>
      <c r="C282" s="12" t="s">
        <v>334</v>
      </c>
      <c r="D282" s="14" t="str">
        <f t="array" ref="D282">IF(C282="","",IFNA(_xlfn.XLOOKUP(C282,'a 01'!$C$6:$C$999,'a 01'!$D$6:$D$999),""))</f>
        <v>K/27/161024/1</v>
      </c>
      <c r="E282" s="18" t="str">
        <f t="array" ref="E282">_xlfn.XLOOKUP(D282,Table_Warkah[Kode Tiket],Table_Warkah[Jenis Permohonan],"")</f>
        <v>BN Jual Beli</v>
      </c>
      <c r="F282" s="12" t="s">
        <v>42</v>
      </c>
      <c r="G282" s="12" t="s">
        <v>43</v>
      </c>
      <c r="H282" s="17">
        <f t="shared" si="1"/>
        <v>45603.3896</v>
      </c>
      <c r="I282" s="18"/>
      <c r="J282" s="20" t="b">
        <v>1</v>
      </c>
      <c r="K282" s="17">
        <f t="shared" si="2"/>
        <v>45603.4654</v>
      </c>
      <c r="L282" s="11" t="s">
        <v>54</v>
      </c>
      <c r="M282" s="21" t="s">
        <v>45</v>
      </c>
    </row>
    <row r="283" ht="22.5" customHeight="1">
      <c r="B283" s="13">
        <f t="shared" si="3"/>
        <v>276</v>
      </c>
      <c r="C283" s="12" t="s">
        <v>335</v>
      </c>
      <c r="D283" s="14" t="str">
        <f t="array" ref="D283">IF(C283="","",IFNA(_xlfn.XLOOKUP(C283,'a 01'!$C$6:$C$999,'a 01'!$D$6:$D$999),""))</f>
        <v/>
      </c>
      <c r="E283" s="18" t="str">
        <f t="array" ref="E283">_xlfn.XLOOKUP(D283,Table_Warkah[Kode Tiket],Table_Warkah[Jenis Permohonan],"")</f>
        <v/>
      </c>
      <c r="F283" s="12" t="s">
        <v>42</v>
      </c>
      <c r="G283" s="12" t="s">
        <v>43</v>
      </c>
      <c r="H283" s="17">
        <f t="shared" si="1"/>
        <v>45603.3896</v>
      </c>
      <c r="I283" s="18"/>
      <c r="J283" s="20" t="b">
        <v>1</v>
      </c>
      <c r="K283" s="17">
        <f t="shared" si="2"/>
        <v>45603.46641</v>
      </c>
      <c r="L283" s="11" t="s">
        <v>54</v>
      </c>
      <c r="M283" s="21" t="s">
        <v>45</v>
      </c>
    </row>
    <row r="284" ht="22.5" customHeight="1">
      <c r="B284" s="13">
        <f t="shared" si="3"/>
        <v>277</v>
      </c>
      <c r="C284" s="12" t="s">
        <v>336</v>
      </c>
      <c r="D284" s="14" t="str">
        <f t="array" ref="D284">IF(C284="","",IFNA(_xlfn.XLOOKUP(C284,'a 01'!$C$6:$C$999,'a 01'!$D$6:$D$999),""))</f>
        <v/>
      </c>
      <c r="E284" s="18" t="str">
        <f t="array" ref="E284">_xlfn.XLOOKUP(D284,Table_Warkah[Kode Tiket],Table_Warkah[Jenis Permohonan],"")</f>
        <v/>
      </c>
      <c r="F284" s="12" t="s">
        <v>42</v>
      </c>
      <c r="G284" s="12" t="s">
        <v>43</v>
      </c>
      <c r="H284" s="17">
        <f t="shared" si="1"/>
        <v>45603.3896</v>
      </c>
      <c r="I284" s="18"/>
      <c r="J284" s="20" t="b">
        <v>0</v>
      </c>
      <c r="K284" s="13" t="str">
        <f t="shared" si="2"/>
        <v/>
      </c>
      <c r="L284" s="13"/>
      <c r="M284" s="21" t="s">
        <v>45</v>
      </c>
    </row>
    <row r="285" ht="22.5" customHeight="1">
      <c r="B285" s="13">
        <f t="shared" si="3"/>
        <v>278</v>
      </c>
      <c r="C285" s="12" t="s">
        <v>337</v>
      </c>
      <c r="D285" s="14" t="str">
        <f t="array" ref="D285">IF(C285="","",IFNA(_xlfn.XLOOKUP(C285,'a 01'!$C$6:$C$999,'a 01'!$D$6:$D$999),""))</f>
        <v/>
      </c>
      <c r="E285" s="18" t="str">
        <f t="array" ref="E285">_xlfn.XLOOKUP(D285,Table_Warkah[Kode Tiket],Table_Warkah[Jenis Permohonan],"")</f>
        <v/>
      </c>
      <c r="F285" s="12" t="s">
        <v>42</v>
      </c>
      <c r="G285" s="12" t="s">
        <v>43</v>
      </c>
      <c r="H285" s="17">
        <f t="shared" si="1"/>
        <v>45603.3896</v>
      </c>
      <c r="I285" s="18"/>
      <c r="J285" s="20" t="b">
        <v>0</v>
      </c>
      <c r="K285" s="13" t="str">
        <f t="shared" si="2"/>
        <v/>
      </c>
      <c r="L285" s="13"/>
      <c r="M285" s="21" t="s">
        <v>45</v>
      </c>
    </row>
    <row r="286" ht="22.5" customHeight="1">
      <c r="B286" s="13">
        <f t="shared" si="3"/>
        <v>279</v>
      </c>
      <c r="C286" s="12" t="s">
        <v>338</v>
      </c>
      <c r="D286" s="14" t="str">
        <f t="array" ref="D286">IF(C286="","",IFNA(_xlfn.XLOOKUP(C286,'a 01'!$C$6:$C$999,'a 01'!$D$6:$D$999),""))</f>
        <v/>
      </c>
      <c r="E286" s="18" t="str">
        <f t="array" ref="E286">_xlfn.XLOOKUP(D286,Table_Warkah[Kode Tiket],Table_Warkah[Jenis Permohonan],"")</f>
        <v/>
      </c>
      <c r="F286" s="12" t="s">
        <v>42</v>
      </c>
      <c r="G286" s="12" t="s">
        <v>43</v>
      </c>
      <c r="H286" s="17">
        <f t="shared" si="1"/>
        <v>45603.3896</v>
      </c>
      <c r="I286" s="18"/>
      <c r="J286" s="20" t="b">
        <v>1</v>
      </c>
      <c r="K286" s="17">
        <f t="shared" si="2"/>
        <v>45604.6047</v>
      </c>
      <c r="L286" s="11" t="s">
        <v>54</v>
      </c>
      <c r="M286" s="21" t="s">
        <v>45</v>
      </c>
    </row>
    <row r="287" ht="22.5" customHeight="1">
      <c r="B287" s="13">
        <f t="shared" si="3"/>
        <v>280</v>
      </c>
      <c r="C287" s="12" t="s">
        <v>339</v>
      </c>
      <c r="D287" s="14" t="str">
        <f t="array" ref="D287">IF(C287="","",IFNA(_xlfn.XLOOKUP(C287,'a 01'!$C$6:$C$999,'a 01'!$D$6:$D$999),""))</f>
        <v>K/39/311024/1</v>
      </c>
      <c r="E287" s="18" t="str">
        <f t="array" ref="E287">_xlfn.XLOOKUP(D287,Table_Warkah[Kode Tiket],Table_Warkah[Jenis Permohonan],"")</f>
        <v>BN JUAL BELI</v>
      </c>
      <c r="F287" s="12" t="s">
        <v>42</v>
      </c>
      <c r="G287" s="12" t="s">
        <v>43</v>
      </c>
      <c r="H287" s="17">
        <f t="shared" si="1"/>
        <v>45603.3896</v>
      </c>
      <c r="I287" s="18"/>
      <c r="J287" s="20" t="b">
        <v>0</v>
      </c>
      <c r="K287" s="13" t="str">
        <f t="shared" si="2"/>
        <v/>
      </c>
      <c r="L287" s="13"/>
      <c r="M287" s="21" t="s">
        <v>45</v>
      </c>
    </row>
    <row r="288" ht="22.5" customHeight="1">
      <c r="B288" s="13">
        <f t="shared" si="3"/>
        <v>281</v>
      </c>
      <c r="C288" s="12" t="s">
        <v>340</v>
      </c>
      <c r="D288" s="14" t="str">
        <f t="array" ref="D288">IF(C288="","",IFNA(_xlfn.XLOOKUP(C288,'a 01'!$C$6:$C$999,'a 01'!$D$6:$D$999),""))</f>
        <v>K/40/311024/2</v>
      </c>
      <c r="E288" s="18" t="str">
        <f t="array" ref="E288">_xlfn.XLOOKUP(D288,Table_Warkah[Kode Tiket],Table_Warkah[Jenis Permohonan],"")</f>
        <v>BN JUAL BELI</v>
      </c>
      <c r="F288" s="12" t="s">
        <v>42</v>
      </c>
      <c r="G288" s="12" t="s">
        <v>43</v>
      </c>
      <c r="H288" s="17">
        <f t="shared" si="1"/>
        <v>45603.3896</v>
      </c>
      <c r="I288" s="18"/>
      <c r="J288" s="20" t="b">
        <v>1</v>
      </c>
      <c r="K288" s="17">
        <f t="shared" si="2"/>
        <v>45604.6047</v>
      </c>
      <c r="L288" s="11" t="s">
        <v>54</v>
      </c>
      <c r="M288" s="21" t="s">
        <v>45</v>
      </c>
    </row>
    <row r="289" ht="22.5" customHeight="1">
      <c r="B289" s="13">
        <f t="shared" si="3"/>
        <v>282</v>
      </c>
      <c r="C289" s="12" t="s">
        <v>341</v>
      </c>
      <c r="D289" s="14" t="str">
        <f t="array" ref="D289">IF(C289="","",IFNA(_xlfn.XLOOKUP(C289,'a 01'!$C$6:$C$999,'a 01'!$D$6:$D$999),""))</f>
        <v/>
      </c>
      <c r="E289" s="18" t="str">
        <f t="array" ref="E289">_xlfn.XLOOKUP(D289,Table_Warkah[Kode Tiket],Table_Warkah[Jenis Permohonan],"")</f>
        <v/>
      </c>
      <c r="F289" s="12" t="s">
        <v>42</v>
      </c>
      <c r="G289" s="12" t="s">
        <v>43</v>
      </c>
      <c r="H289" s="17">
        <f t="shared" si="1"/>
        <v>45603.3896</v>
      </c>
      <c r="I289" s="18"/>
      <c r="J289" s="20" t="b">
        <v>0</v>
      </c>
      <c r="K289" s="13" t="str">
        <f t="shared" si="2"/>
        <v/>
      </c>
      <c r="L289" s="13"/>
      <c r="M289" s="21" t="s">
        <v>45</v>
      </c>
    </row>
    <row r="290" ht="22.5" customHeight="1">
      <c r="B290" s="13">
        <f t="shared" si="3"/>
        <v>283</v>
      </c>
      <c r="C290" s="12" t="s">
        <v>342</v>
      </c>
      <c r="D290" s="14" t="str">
        <f t="array" ref="D290">IF(C290="","",IFNA(_xlfn.XLOOKUP(C290,'a 01'!$C$6:$C$999,'a 01'!$D$6:$D$999),""))</f>
        <v>K/22/311024/1</v>
      </c>
      <c r="E290" s="18" t="str">
        <f t="array" ref="E290">_xlfn.XLOOKUP(D290,Table_Warkah[Kode Tiket],Table_Warkah[Jenis Permohonan],"")</f>
        <v>PENINGKATAN</v>
      </c>
      <c r="F290" s="12" t="s">
        <v>42</v>
      </c>
      <c r="G290" s="12" t="s">
        <v>43</v>
      </c>
      <c r="H290" s="17">
        <f t="shared" si="1"/>
        <v>45603.3896</v>
      </c>
      <c r="I290" s="18"/>
      <c r="J290" s="20" t="b">
        <v>0</v>
      </c>
      <c r="K290" s="13" t="str">
        <f t="shared" si="2"/>
        <v/>
      </c>
      <c r="L290" s="13"/>
      <c r="M290" s="21" t="s">
        <v>45</v>
      </c>
    </row>
    <row r="291" ht="22.5" customHeight="1">
      <c r="B291" s="13">
        <f t="shared" si="3"/>
        <v>284</v>
      </c>
      <c r="C291" s="12" t="s">
        <v>343</v>
      </c>
      <c r="D291" s="14" t="str">
        <f t="array" ref="D291">IF(C291="","",IFNA(_xlfn.XLOOKUP(C291,'a 01'!$C$6:$C$999,'a 01'!$D$6:$D$999),""))</f>
        <v/>
      </c>
      <c r="E291" s="18" t="str">
        <f t="array" ref="E291">_xlfn.XLOOKUP(D291,Table_Warkah[Kode Tiket],Table_Warkah[Jenis Permohonan],"")</f>
        <v/>
      </c>
      <c r="F291" s="12" t="s">
        <v>42</v>
      </c>
      <c r="G291" s="12" t="s">
        <v>43</v>
      </c>
      <c r="H291" s="17">
        <f t="shared" si="1"/>
        <v>45603.3896</v>
      </c>
      <c r="I291" s="18"/>
      <c r="J291" s="20" t="b">
        <v>1</v>
      </c>
      <c r="K291" s="17">
        <f t="shared" si="2"/>
        <v>45614.66166</v>
      </c>
      <c r="L291" s="11" t="s">
        <v>54</v>
      </c>
      <c r="M291" s="21" t="s">
        <v>45</v>
      </c>
    </row>
    <row r="292" ht="22.5" customHeight="1">
      <c r="B292" s="13">
        <f t="shared" si="3"/>
        <v>285</v>
      </c>
      <c r="C292" s="12" t="s">
        <v>344</v>
      </c>
      <c r="D292" s="14" t="str">
        <f t="array" ref="D292">IF(C292="","",IFNA(_xlfn.XLOOKUP(C292,'a 01'!$C$6:$C$999,'a 01'!$D$6:$D$999),""))</f>
        <v/>
      </c>
      <c r="E292" s="18" t="str">
        <f t="array" ref="E292">_xlfn.XLOOKUP(D292,Table_Warkah[Kode Tiket],Table_Warkah[Jenis Permohonan],"")</f>
        <v/>
      </c>
      <c r="F292" s="12" t="s">
        <v>42</v>
      </c>
      <c r="G292" s="12" t="s">
        <v>43</v>
      </c>
      <c r="H292" s="17">
        <f t="shared" si="1"/>
        <v>45603.3896</v>
      </c>
      <c r="I292" s="18"/>
      <c r="J292" s="20" t="b">
        <v>1</v>
      </c>
      <c r="K292" s="17">
        <f t="shared" si="2"/>
        <v>45604.6047</v>
      </c>
      <c r="L292" s="11" t="s">
        <v>54</v>
      </c>
      <c r="M292" s="21" t="s">
        <v>45</v>
      </c>
    </row>
    <row r="293" ht="22.5" customHeight="1">
      <c r="B293" s="13">
        <f t="shared" si="3"/>
        <v>286</v>
      </c>
      <c r="C293" s="12" t="s">
        <v>345</v>
      </c>
      <c r="D293" s="14" t="str">
        <f t="array" ref="D293">IF(C293="","",IFNA(_xlfn.XLOOKUP(C293,'a 01'!$C$6:$C$999,'a 01'!$D$6:$D$999),""))</f>
        <v>K/26/011124/1</v>
      </c>
      <c r="E293" s="18" t="str">
        <f t="array" ref="E293">_xlfn.XLOOKUP(D293,Table_Warkah[Kode Tiket],Table_Warkah[Jenis Permohonan],"")</f>
        <v>BN JUAL BELI</v>
      </c>
      <c r="F293" s="12" t="s">
        <v>42</v>
      </c>
      <c r="G293" s="12" t="s">
        <v>43</v>
      </c>
      <c r="H293" s="17">
        <f t="shared" si="1"/>
        <v>45603.3896</v>
      </c>
      <c r="I293" s="18"/>
      <c r="J293" s="20" t="b">
        <v>1</v>
      </c>
      <c r="K293" s="17">
        <f t="shared" si="2"/>
        <v>45603.46823</v>
      </c>
      <c r="L293" s="11" t="s">
        <v>54</v>
      </c>
      <c r="M293" s="21" t="s">
        <v>45</v>
      </c>
    </row>
    <row r="294" ht="22.5" customHeight="1">
      <c r="B294" s="13">
        <f t="shared" si="3"/>
        <v>287</v>
      </c>
      <c r="C294" s="12" t="s">
        <v>346</v>
      </c>
      <c r="D294" s="14" t="str">
        <f t="array" ref="D294">IF(C294="","",IFNA(_xlfn.XLOOKUP(C294,'a 01'!$C$6:$C$999,'a 01'!$D$6:$D$999),""))</f>
        <v/>
      </c>
      <c r="E294" s="18" t="str">
        <f t="array" ref="E294">_xlfn.XLOOKUP(D294,Table_Warkah[Kode Tiket],Table_Warkah[Jenis Permohonan],"")</f>
        <v/>
      </c>
      <c r="F294" s="12" t="s">
        <v>42</v>
      </c>
      <c r="G294" s="12" t="s">
        <v>43</v>
      </c>
      <c r="H294" s="17">
        <f t="shared" si="1"/>
        <v>45603.3896</v>
      </c>
      <c r="I294" s="18"/>
      <c r="J294" s="20" t="b">
        <v>1</v>
      </c>
      <c r="K294" s="17">
        <f t="shared" si="2"/>
        <v>45603.46661</v>
      </c>
      <c r="L294" s="11" t="s">
        <v>54</v>
      </c>
      <c r="M294" s="21" t="s">
        <v>45</v>
      </c>
    </row>
    <row r="295" ht="22.5" customHeight="1">
      <c r="B295" s="13">
        <f t="shared" si="3"/>
        <v>288</v>
      </c>
      <c r="C295" s="12" t="s">
        <v>347</v>
      </c>
      <c r="D295" s="14" t="str">
        <f t="array" ref="D295">IF(C295="","",IFNA(_xlfn.XLOOKUP(C295,'a 01'!$C$6:$C$999,'a 01'!$D$6:$D$999),""))</f>
        <v/>
      </c>
      <c r="E295" s="18" t="str">
        <f t="array" ref="E295">_xlfn.XLOOKUP(D295,Table_Warkah[Kode Tiket],Table_Warkah[Jenis Permohonan],"")</f>
        <v/>
      </c>
      <c r="F295" s="12" t="s">
        <v>42</v>
      </c>
      <c r="G295" s="12" t="s">
        <v>43</v>
      </c>
      <c r="H295" s="17">
        <f t="shared" si="1"/>
        <v>45603.3896</v>
      </c>
      <c r="I295" s="18"/>
      <c r="J295" s="20" t="b">
        <v>1</v>
      </c>
      <c r="K295" s="17">
        <f t="shared" si="2"/>
        <v>45603.46745</v>
      </c>
      <c r="L295" s="11" t="s">
        <v>54</v>
      </c>
      <c r="M295" s="21" t="s">
        <v>45</v>
      </c>
    </row>
    <row r="296" ht="22.5" customHeight="1">
      <c r="B296" s="13">
        <f t="shared" si="3"/>
        <v>289</v>
      </c>
      <c r="C296" s="12" t="s">
        <v>348</v>
      </c>
      <c r="D296" s="14" t="str">
        <f t="array" ref="D296">IF(C296="","",IFNA(_xlfn.XLOOKUP(C296,'a 01'!$C$6:$C$999,'a 01'!$D$6:$D$999),""))</f>
        <v/>
      </c>
      <c r="E296" s="18" t="str">
        <f t="array" ref="E296">_xlfn.XLOOKUP(D296,Table_Warkah[Kode Tiket],Table_Warkah[Jenis Permohonan],"")</f>
        <v/>
      </c>
      <c r="F296" s="12" t="s">
        <v>42</v>
      </c>
      <c r="G296" s="12" t="s">
        <v>43</v>
      </c>
      <c r="H296" s="17">
        <f t="shared" si="1"/>
        <v>45603.3896</v>
      </c>
      <c r="I296" s="18"/>
      <c r="J296" s="20" t="b">
        <v>1</v>
      </c>
      <c r="K296" s="17">
        <f t="shared" si="2"/>
        <v>45603.46726</v>
      </c>
      <c r="L296" s="11" t="s">
        <v>54</v>
      </c>
      <c r="M296" s="21" t="s">
        <v>45</v>
      </c>
    </row>
    <row r="297" ht="22.5" customHeight="1">
      <c r="B297" s="13">
        <f t="shared" si="3"/>
        <v>290</v>
      </c>
      <c r="C297" s="12" t="s">
        <v>349</v>
      </c>
      <c r="D297" s="14" t="str">
        <f t="array" ref="D297">IF(C297="","",IFNA(_xlfn.XLOOKUP(C297,'a 01'!$C$6:$C$999,'a 01'!$D$6:$D$999),""))</f>
        <v/>
      </c>
      <c r="E297" s="18" t="str">
        <f t="array" ref="E297">_xlfn.XLOOKUP(D297,Table_Warkah[Kode Tiket],Table_Warkah[Jenis Permohonan],"")</f>
        <v/>
      </c>
      <c r="F297" s="12" t="s">
        <v>42</v>
      </c>
      <c r="G297" s="12" t="s">
        <v>43</v>
      </c>
      <c r="H297" s="17">
        <f t="shared" si="1"/>
        <v>45603.3896</v>
      </c>
      <c r="I297" s="18"/>
      <c r="J297" s="20" t="b">
        <v>1</v>
      </c>
      <c r="K297" s="17">
        <f t="shared" si="2"/>
        <v>45603.46702</v>
      </c>
      <c r="L297" s="11" t="s">
        <v>54</v>
      </c>
      <c r="M297" s="21" t="s">
        <v>45</v>
      </c>
    </row>
    <row r="298" ht="22.5" customHeight="1">
      <c r="B298" s="13">
        <f t="shared" si="3"/>
        <v>291</v>
      </c>
      <c r="C298" s="12" t="s">
        <v>350</v>
      </c>
      <c r="D298" s="14" t="str">
        <f t="array" ref="D298">IF(C298="","",IFNA(_xlfn.XLOOKUP(C298,'a 01'!$C$6:$C$999,'a 01'!$D$6:$D$999),""))</f>
        <v/>
      </c>
      <c r="E298" s="18" t="str">
        <f t="array" ref="E298">_xlfn.XLOOKUP(D298,Table_Warkah[Kode Tiket],Table_Warkah[Jenis Permohonan],"")</f>
        <v/>
      </c>
      <c r="F298" s="12" t="s">
        <v>42</v>
      </c>
      <c r="G298" s="12" t="s">
        <v>43</v>
      </c>
      <c r="H298" s="17">
        <f t="shared" si="1"/>
        <v>45603.3896</v>
      </c>
      <c r="I298" s="18"/>
      <c r="J298" s="20" t="b">
        <v>1</v>
      </c>
      <c r="K298" s="17">
        <f t="shared" si="2"/>
        <v>45603.46764</v>
      </c>
      <c r="L298" s="11" t="s">
        <v>54</v>
      </c>
      <c r="M298" s="21" t="s">
        <v>45</v>
      </c>
    </row>
    <row r="299" ht="22.5" customHeight="1">
      <c r="B299" s="13">
        <f t="shared" si="3"/>
        <v>292</v>
      </c>
      <c r="C299" s="12" t="s">
        <v>351</v>
      </c>
      <c r="D299" s="14" t="str">
        <f t="array" ref="D299">IF(C299="","",IFNA(_xlfn.XLOOKUP(C299,'a 01'!$C$6:$C$999,'a 01'!$D$6:$D$999),""))</f>
        <v/>
      </c>
      <c r="E299" s="18" t="str">
        <f t="array" ref="E299">_xlfn.XLOOKUP(D299,Table_Warkah[Kode Tiket],Table_Warkah[Jenis Permohonan],"")</f>
        <v/>
      </c>
      <c r="F299" s="12" t="s">
        <v>42</v>
      </c>
      <c r="G299" s="12" t="s">
        <v>43</v>
      </c>
      <c r="H299" s="17">
        <f t="shared" si="1"/>
        <v>45603.3896</v>
      </c>
      <c r="I299" s="18"/>
      <c r="J299" s="20" t="b">
        <v>1</v>
      </c>
      <c r="K299" s="17">
        <f t="shared" si="2"/>
        <v>45603.46683</v>
      </c>
      <c r="L299" s="11" t="s">
        <v>54</v>
      </c>
      <c r="M299" s="21" t="s">
        <v>45</v>
      </c>
    </row>
    <row r="300" ht="22.5" customHeight="1">
      <c r="B300" s="13">
        <f t="shared" si="3"/>
        <v>293</v>
      </c>
      <c r="C300" s="12" t="s">
        <v>352</v>
      </c>
      <c r="D300" s="14" t="str">
        <f t="array" ref="D300">IF(C300="","",IFNA(_xlfn.XLOOKUP(C300,'a 01'!$C$6:$C$999,'a 01'!$D$6:$D$999),""))</f>
        <v>L/18/311024/1</v>
      </c>
      <c r="E300" s="18" t="str">
        <f t="array" ref="E300">_xlfn.XLOOKUP(D300,Table_Warkah[Kode Tiket],Table_Warkah[Jenis Permohonan],"")</f>
        <v>ROYA</v>
      </c>
      <c r="F300" s="12" t="s">
        <v>42</v>
      </c>
      <c r="G300" s="12" t="s">
        <v>43</v>
      </c>
      <c r="H300" s="17">
        <f t="shared" si="1"/>
        <v>45603.3896</v>
      </c>
      <c r="I300" s="18"/>
      <c r="J300" s="20" t="b">
        <v>1</v>
      </c>
      <c r="K300" s="17">
        <f t="shared" si="2"/>
        <v>45603.58361</v>
      </c>
      <c r="L300" s="11" t="s">
        <v>49</v>
      </c>
      <c r="M300" s="21" t="s">
        <v>45</v>
      </c>
    </row>
    <row r="301" ht="22.5" customHeight="1">
      <c r="B301" s="13">
        <f t="shared" si="3"/>
        <v>294</v>
      </c>
      <c r="C301" s="12" t="s">
        <v>353</v>
      </c>
      <c r="D301" s="14" t="str">
        <f t="array" ref="D301">IF(C301="","",IFNA(_xlfn.XLOOKUP(C301,'a 01'!$C$6:$C$999,'a 01'!$D$6:$D$999),""))</f>
        <v/>
      </c>
      <c r="E301" s="18" t="str">
        <f t="array" ref="E301">_xlfn.XLOOKUP(D301,Table_Warkah[Kode Tiket],Table_Warkah[Jenis Permohonan],"")</f>
        <v/>
      </c>
      <c r="F301" s="12" t="s">
        <v>42</v>
      </c>
      <c r="G301" s="12" t="s">
        <v>43</v>
      </c>
      <c r="H301" s="17">
        <f t="shared" si="1"/>
        <v>45603.3896</v>
      </c>
      <c r="I301" s="18"/>
      <c r="J301" s="20" t="b">
        <v>1</v>
      </c>
      <c r="K301" s="17">
        <f t="shared" si="2"/>
        <v>45604.6047</v>
      </c>
      <c r="L301" s="11" t="s">
        <v>54</v>
      </c>
      <c r="M301" s="21" t="s">
        <v>45</v>
      </c>
    </row>
    <row r="302" ht="22.5" customHeight="1">
      <c r="B302" s="13">
        <f t="shared" si="3"/>
        <v>295</v>
      </c>
      <c r="C302" s="12" t="s">
        <v>354</v>
      </c>
      <c r="D302" s="14" t="str">
        <f t="array" ref="D302">IF(C302="","",IFNA(_xlfn.XLOOKUP(C302,'a 01'!$C$6:$C$999,'a 01'!$D$6:$D$999),""))</f>
        <v/>
      </c>
      <c r="E302" s="18" t="str">
        <f t="array" ref="E302">_xlfn.XLOOKUP(D302,Table_Warkah[Kode Tiket],Table_Warkah[Jenis Permohonan],"")</f>
        <v/>
      </c>
      <c r="F302" s="12" t="s">
        <v>42</v>
      </c>
      <c r="G302" s="12" t="s">
        <v>43</v>
      </c>
      <c r="H302" s="17">
        <f t="shared" si="1"/>
        <v>45603.3905</v>
      </c>
      <c r="I302" s="18"/>
      <c r="J302" s="20" t="b">
        <v>1</v>
      </c>
      <c r="K302" s="17">
        <f t="shared" si="2"/>
        <v>45614.66166</v>
      </c>
      <c r="L302" s="11" t="s">
        <v>49</v>
      </c>
      <c r="M302" s="21" t="s">
        <v>45</v>
      </c>
    </row>
    <row r="303" ht="22.5" customHeight="1">
      <c r="B303" s="13">
        <f t="shared" si="3"/>
        <v>296</v>
      </c>
      <c r="C303" s="12" t="s">
        <v>355</v>
      </c>
      <c r="D303" s="14" t="str">
        <f t="array" ref="D303">IF(C303="","",IFNA(_xlfn.XLOOKUP(C303,'a 01'!$C$6:$C$999,'a 01'!$D$6:$D$999),""))</f>
        <v>L/18/011124/1</v>
      </c>
      <c r="E303" s="18" t="str">
        <f t="array" ref="E303">_xlfn.XLOOKUP(D303,Table_Warkah[Kode Tiket],Table_Warkah[Jenis Permohonan],"")</f>
        <v>ROYA</v>
      </c>
      <c r="F303" s="12" t="s">
        <v>42</v>
      </c>
      <c r="G303" s="12" t="s">
        <v>43</v>
      </c>
      <c r="H303" s="17">
        <f t="shared" si="1"/>
        <v>45603.3905</v>
      </c>
      <c r="I303" s="18"/>
      <c r="J303" s="20" t="b">
        <v>1</v>
      </c>
      <c r="K303" s="17">
        <f t="shared" si="2"/>
        <v>45603.58386</v>
      </c>
      <c r="L303" s="11" t="s">
        <v>49</v>
      </c>
      <c r="M303" s="21" t="s">
        <v>45</v>
      </c>
    </row>
    <row r="304" ht="22.5" customHeight="1">
      <c r="B304" s="13">
        <f t="shared" si="3"/>
        <v>297</v>
      </c>
      <c r="C304" s="12" t="s">
        <v>356</v>
      </c>
      <c r="D304" s="14" t="str">
        <f t="array" ref="D304">IF(C304="","",IFNA(_xlfn.XLOOKUP(C304,'a 01'!$C$6:$C$999,'a 01'!$D$6:$D$999),""))</f>
        <v>L/13/301024/1</v>
      </c>
      <c r="E304" s="18" t="str">
        <f t="array" ref="E304">_xlfn.XLOOKUP(D304,Table_Warkah[Kode Tiket],Table_Warkah[Jenis Permohonan],"")</f>
        <v>ROYA</v>
      </c>
      <c r="F304" s="12" t="s">
        <v>42</v>
      </c>
      <c r="G304" s="12" t="s">
        <v>43</v>
      </c>
      <c r="H304" s="17">
        <f t="shared" si="1"/>
        <v>45603.3905</v>
      </c>
      <c r="I304" s="18"/>
      <c r="J304" s="20" t="b">
        <v>1</v>
      </c>
      <c r="K304" s="17">
        <f t="shared" si="2"/>
        <v>45603.58374</v>
      </c>
      <c r="L304" s="11" t="s">
        <v>49</v>
      </c>
      <c r="M304" s="21" t="s">
        <v>45</v>
      </c>
    </row>
    <row r="305" ht="22.5" customHeight="1">
      <c r="B305" s="13">
        <f t="shared" si="3"/>
        <v>298</v>
      </c>
      <c r="C305" s="12" t="s">
        <v>327</v>
      </c>
      <c r="D305" s="14" t="str">
        <f t="array" ref="D305">IF(C305="","",IFNA(_xlfn.XLOOKUP(C305,'a 01'!$C$6:$C$999,'a 01'!$D$6:$D$999),""))</f>
        <v>K/39/011124/3</v>
      </c>
      <c r="E305" s="18" t="str">
        <f t="array" ref="E305">_xlfn.XLOOKUP(D305,Table_Warkah[Kode Tiket],Table_Warkah[Jenis Permohonan],"")</f>
        <v>Roya</v>
      </c>
      <c r="F305" s="12" t="s">
        <v>42</v>
      </c>
      <c r="G305" s="12" t="s">
        <v>43</v>
      </c>
      <c r="H305" s="17">
        <f t="shared" si="1"/>
        <v>45603.3905</v>
      </c>
      <c r="I305" s="18"/>
      <c r="J305" s="20" t="b">
        <v>0</v>
      </c>
      <c r="K305" s="13" t="str">
        <f t="shared" si="2"/>
        <v/>
      </c>
      <c r="L305" s="13"/>
      <c r="M305" s="21" t="s">
        <v>45</v>
      </c>
    </row>
    <row r="306" ht="22.5" customHeight="1">
      <c r="B306" s="13">
        <f t="shared" si="3"/>
        <v>299</v>
      </c>
      <c r="C306" s="12" t="s">
        <v>357</v>
      </c>
      <c r="D306" s="14" t="str">
        <f t="array" ref="D306">IF(C306="","",IFNA(_xlfn.XLOOKUP(C306,'a 01'!$C$6:$C$999,'a 01'!$D$6:$D$999),""))</f>
        <v>K/27/011124/1</v>
      </c>
      <c r="E306" s="18" t="str">
        <f t="array" ref="E306">_xlfn.XLOOKUP(D306,Table_Warkah[Kode Tiket],Table_Warkah[Jenis Permohonan],"")</f>
        <v>BN JUAL BELI</v>
      </c>
      <c r="F306" s="12" t="s">
        <v>42</v>
      </c>
      <c r="G306" s="12" t="s">
        <v>43</v>
      </c>
      <c r="H306" s="17">
        <f t="shared" si="1"/>
        <v>45603.3908</v>
      </c>
      <c r="I306" s="18"/>
      <c r="J306" s="20" t="b">
        <v>1</v>
      </c>
      <c r="K306" s="17">
        <f t="shared" si="2"/>
        <v>45604.6047</v>
      </c>
      <c r="L306" s="11" t="s">
        <v>54</v>
      </c>
      <c r="M306" s="21" t="s">
        <v>45</v>
      </c>
    </row>
    <row r="307" ht="22.5" customHeight="1">
      <c r="B307" s="13">
        <f t="shared" si="3"/>
        <v>300</v>
      </c>
      <c r="C307" s="12" t="s">
        <v>358</v>
      </c>
      <c r="D307" s="14" t="str">
        <f t="array" ref="D307">IF(C307="","",IFNA(_xlfn.XLOOKUP(C307,'a 01'!$C$6:$C$999,'a 01'!$D$6:$D$999),""))</f>
        <v/>
      </c>
      <c r="E307" s="18" t="str">
        <f t="array" ref="E307">_xlfn.XLOOKUP(D307,Table_Warkah[Kode Tiket],Table_Warkah[Jenis Permohonan],"")</f>
        <v/>
      </c>
      <c r="F307" s="12" t="s">
        <v>42</v>
      </c>
      <c r="G307" s="12" t="s">
        <v>43</v>
      </c>
      <c r="H307" s="17">
        <f t="shared" si="1"/>
        <v>45603.39401</v>
      </c>
      <c r="I307" s="18"/>
      <c r="J307" s="20" t="b">
        <v>1</v>
      </c>
      <c r="K307" s="17">
        <f t="shared" si="2"/>
        <v>45604.6047</v>
      </c>
      <c r="L307" s="11" t="s">
        <v>54</v>
      </c>
      <c r="M307" s="21" t="s">
        <v>45</v>
      </c>
    </row>
    <row r="308" ht="22.5" customHeight="1">
      <c r="B308" s="13">
        <f t="shared" si="3"/>
        <v>301</v>
      </c>
      <c r="C308" s="12" t="s">
        <v>359</v>
      </c>
      <c r="D308" s="14" t="str">
        <f t="array" ref="D308">IF(C308="","",IFNA(_xlfn.XLOOKUP(C308,'a 01'!$C$6:$C$999,'a 01'!$D$6:$D$999),""))</f>
        <v/>
      </c>
      <c r="E308" s="18" t="str">
        <f t="array" ref="E308">_xlfn.XLOOKUP(D308,Table_Warkah[Kode Tiket],Table_Warkah[Jenis Permohonan],"")</f>
        <v/>
      </c>
      <c r="F308" s="12" t="s">
        <v>42</v>
      </c>
      <c r="G308" s="12" t="s">
        <v>43</v>
      </c>
      <c r="H308" s="17">
        <f t="shared" si="1"/>
        <v>45603.39401</v>
      </c>
      <c r="I308" s="18"/>
      <c r="J308" s="20" t="b">
        <v>1</v>
      </c>
      <c r="K308" s="17">
        <f t="shared" si="2"/>
        <v>45604.6047</v>
      </c>
      <c r="L308" s="11" t="s">
        <v>54</v>
      </c>
      <c r="M308" s="21" t="s">
        <v>45</v>
      </c>
    </row>
    <row r="309" ht="22.5" customHeight="1">
      <c r="B309" s="13">
        <f t="shared" si="3"/>
        <v>302</v>
      </c>
      <c r="C309" s="12" t="s">
        <v>360</v>
      </c>
      <c r="D309" s="14" t="str">
        <f t="array" ref="D309">IF(C309="","",IFNA(_xlfn.XLOOKUP(C309,'a 01'!$C$6:$C$999,'a 01'!$D$6:$D$999),""))</f>
        <v/>
      </c>
      <c r="E309" s="18" t="str">
        <f t="array" ref="E309">_xlfn.XLOOKUP(D309,Table_Warkah[Kode Tiket],Table_Warkah[Jenis Permohonan],"")</f>
        <v/>
      </c>
      <c r="F309" s="12" t="s">
        <v>42</v>
      </c>
      <c r="G309" s="12" t="s">
        <v>43</v>
      </c>
      <c r="H309" s="17">
        <f t="shared" si="1"/>
        <v>45603.39401</v>
      </c>
      <c r="I309" s="18"/>
      <c r="J309" s="20" t="b">
        <v>1</v>
      </c>
      <c r="K309" s="17">
        <f t="shared" si="2"/>
        <v>45604.6047</v>
      </c>
      <c r="L309" s="11" t="s">
        <v>54</v>
      </c>
      <c r="M309" s="21" t="s">
        <v>45</v>
      </c>
    </row>
    <row r="310" ht="22.5" customHeight="1">
      <c r="B310" s="13">
        <f t="shared" si="3"/>
        <v>303</v>
      </c>
      <c r="C310" s="12" t="s">
        <v>361</v>
      </c>
      <c r="D310" s="14" t="str">
        <f t="array" ref="D310">IF(C310="","",IFNA(_xlfn.XLOOKUP(C310,'a 01'!$C$6:$C$999,'a 01'!$D$6:$D$999),""))</f>
        <v>K/62/311024/3</v>
      </c>
      <c r="E310" s="18" t="str">
        <f t="array" ref="E310">_xlfn.XLOOKUP(D310,Table_Warkah[Kode Tiket],Table_Warkah[Jenis Permohonan],"")</f>
        <v>bn jual beli</v>
      </c>
      <c r="F310" s="12" t="s">
        <v>42</v>
      </c>
      <c r="G310" s="12" t="s">
        <v>43</v>
      </c>
      <c r="H310" s="17">
        <f t="shared" si="1"/>
        <v>45603.39401</v>
      </c>
      <c r="I310" s="18"/>
      <c r="J310" s="20" t="b">
        <v>1</v>
      </c>
      <c r="K310" s="17">
        <f t="shared" si="2"/>
        <v>45614.66166</v>
      </c>
      <c r="L310" s="11" t="s">
        <v>54</v>
      </c>
      <c r="M310" s="21" t="s">
        <v>45</v>
      </c>
    </row>
    <row r="311" ht="22.5" customHeight="1">
      <c r="B311" s="13">
        <f t="shared" si="3"/>
        <v>304</v>
      </c>
      <c r="C311" s="12" t="s">
        <v>362</v>
      </c>
      <c r="D311" s="14" t="str">
        <f t="array" ref="D311">IF(C311="","",IFNA(_xlfn.XLOOKUP(C311,'a 01'!$C$6:$C$999,'a 01'!$D$6:$D$999),""))</f>
        <v>K/57/311024/1</v>
      </c>
      <c r="E311" s="18" t="str">
        <f t="array" ref="E311">_xlfn.XLOOKUP(D311,Table_Warkah[Kode Tiket],Table_Warkah[Jenis Permohonan],"")</f>
        <v>BN JUAL BELI</v>
      </c>
      <c r="F311" s="12" t="s">
        <v>42</v>
      </c>
      <c r="G311" s="12" t="s">
        <v>43</v>
      </c>
      <c r="H311" s="17">
        <f t="shared" si="1"/>
        <v>45603.39401</v>
      </c>
      <c r="I311" s="18"/>
      <c r="J311" s="20" t="b">
        <v>1</v>
      </c>
      <c r="K311" s="17">
        <f t="shared" si="2"/>
        <v>45614.66166</v>
      </c>
      <c r="L311" s="11" t="s">
        <v>54</v>
      </c>
      <c r="M311" s="21" t="s">
        <v>45</v>
      </c>
    </row>
    <row r="312" ht="22.5" customHeight="1">
      <c r="B312" s="13">
        <f t="shared" si="3"/>
        <v>305</v>
      </c>
      <c r="C312" s="12" t="s">
        <v>363</v>
      </c>
      <c r="D312" s="14" t="str">
        <f t="array" ref="D312">IF(C312="","",IFNA(_xlfn.XLOOKUP(C312,'a 01'!$C$6:$C$999,'a 01'!$D$6:$D$999),""))</f>
        <v>L/46/311024/1</v>
      </c>
      <c r="E312" s="18" t="str">
        <f t="array" ref="E312">_xlfn.XLOOKUP(D312,Table_Warkah[Kode Tiket],Table_Warkah[Jenis Permohonan],"")</f>
        <v>ROYA</v>
      </c>
      <c r="F312" s="12" t="s">
        <v>42</v>
      </c>
      <c r="G312" s="12" t="s">
        <v>43</v>
      </c>
      <c r="H312" s="17">
        <f t="shared" si="1"/>
        <v>45603.39401</v>
      </c>
      <c r="I312" s="18"/>
      <c r="J312" s="20" t="b">
        <v>1</v>
      </c>
      <c r="K312" s="17">
        <f t="shared" si="2"/>
        <v>45603.58342</v>
      </c>
      <c r="L312" s="11" t="s">
        <v>49</v>
      </c>
      <c r="M312" s="21" t="s">
        <v>45</v>
      </c>
    </row>
    <row r="313" ht="22.5" customHeight="1">
      <c r="B313" s="13">
        <f t="shared" si="3"/>
        <v>306</v>
      </c>
      <c r="C313" s="12" t="s">
        <v>364</v>
      </c>
      <c r="D313" s="14" t="str">
        <f t="array" ref="D313">IF(C313="","",IFNA(_xlfn.XLOOKUP(C313,'a 01'!$C$6:$C$999,'a 01'!$D$6:$D$999),""))</f>
        <v/>
      </c>
      <c r="E313" s="18" t="str">
        <f t="array" ref="E313">_xlfn.XLOOKUP(D313,Table_Warkah[Kode Tiket],Table_Warkah[Jenis Permohonan],"")</f>
        <v/>
      </c>
      <c r="F313" s="12" t="s">
        <v>42</v>
      </c>
      <c r="G313" s="12" t="s">
        <v>43</v>
      </c>
      <c r="H313" s="17">
        <f t="shared" si="1"/>
        <v>45603.39401</v>
      </c>
      <c r="I313" s="18"/>
      <c r="J313" s="20" t="b">
        <v>1</v>
      </c>
      <c r="K313" s="17">
        <f t="shared" si="2"/>
        <v>45614.66166</v>
      </c>
      <c r="L313" s="11" t="s">
        <v>54</v>
      </c>
      <c r="M313" s="21" t="s">
        <v>45</v>
      </c>
    </row>
    <row r="314" ht="22.5" customHeight="1">
      <c r="B314" s="13">
        <f t="shared" si="3"/>
        <v>307</v>
      </c>
      <c r="C314" s="12" t="s">
        <v>365</v>
      </c>
      <c r="D314" s="14" t="str">
        <f t="array" ref="D314">IF(C314="","",IFNA(_xlfn.XLOOKUP(C314,'a 01'!$C$6:$C$999,'a 01'!$D$6:$D$999),""))</f>
        <v/>
      </c>
      <c r="E314" s="18" t="str">
        <f t="array" ref="E314">_xlfn.XLOOKUP(D314,Table_Warkah[Kode Tiket],Table_Warkah[Jenis Permohonan],"")</f>
        <v/>
      </c>
      <c r="F314" s="12" t="s">
        <v>42</v>
      </c>
      <c r="G314" s="12" t="s">
        <v>43</v>
      </c>
      <c r="H314" s="17">
        <f t="shared" si="1"/>
        <v>45603.39401</v>
      </c>
      <c r="I314" s="18"/>
      <c r="J314" s="20" t="b">
        <v>1</v>
      </c>
      <c r="K314" s="17">
        <f t="shared" si="2"/>
        <v>45604.6047</v>
      </c>
      <c r="L314" s="11" t="s">
        <v>54</v>
      </c>
      <c r="M314" s="21" t="s">
        <v>45</v>
      </c>
    </row>
    <row r="315" ht="22.5" customHeight="1">
      <c r="B315" s="13">
        <f t="shared" si="3"/>
        <v>308</v>
      </c>
      <c r="C315" s="12" t="s">
        <v>367</v>
      </c>
      <c r="D315" s="14" t="str">
        <f t="array" ref="D315">IF(C315="","",IFNA(_xlfn.XLOOKUP(C315,'a 01'!$C$6:$C$999,'a 01'!$D$6:$D$999),""))</f>
        <v>K/30/311024/2</v>
      </c>
      <c r="E315" s="18" t="str">
        <f t="array" ref="E315">_xlfn.XLOOKUP(D315,Table_Warkah[Kode Tiket],Table_Warkah[Jenis Permohonan],"")</f>
        <v>BN JUAL BELI</v>
      </c>
      <c r="F315" s="12" t="s">
        <v>42</v>
      </c>
      <c r="G315" s="12" t="s">
        <v>43</v>
      </c>
      <c r="H315" s="17">
        <f t="shared" si="1"/>
        <v>45603.39401</v>
      </c>
      <c r="I315" s="18"/>
      <c r="J315" s="20" t="b">
        <v>1</v>
      </c>
      <c r="K315" s="17">
        <f t="shared" si="2"/>
        <v>45603.46779</v>
      </c>
      <c r="L315" s="11" t="s">
        <v>54</v>
      </c>
      <c r="M315" s="21" t="s">
        <v>45</v>
      </c>
    </row>
    <row r="316" ht="22.5" customHeight="1">
      <c r="B316" s="13">
        <f t="shared" si="3"/>
        <v>309</v>
      </c>
      <c r="C316" s="12" t="s">
        <v>368</v>
      </c>
      <c r="D316" s="14" t="str">
        <f t="array" ref="D316">IF(C316="","",IFNA(_xlfn.XLOOKUP(C316,'a 01'!$C$6:$C$999,'a 01'!$D$6:$D$999),""))</f>
        <v>K/10/311024/4</v>
      </c>
      <c r="E316" s="18" t="str">
        <f t="array" ref="E316">_xlfn.XLOOKUP(D316,Table_Warkah[Kode Tiket],Table_Warkah[Jenis Permohonan],"")</f>
        <v>KEWARISAN</v>
      </c>
      <c r="F316" s="12" t="s">
        <v>42</v>
      </c>
      <c r="G316" s="12" t="s">
        <v>43</v>
      </c>
      <c r="H316" s="17">
        <f t="shared" si="1"/>
        <v>45603.39401</v>
      </c>
      <c r="I316" s="18"/>
      <c r="J316" s="20" t="b">
        <v>1</v>
      </c>
      <c r="K316" s="17">
        <f t="shared" si="2"/>
        <v>45614.66166</v>
      </c>
      <c r="L316" s="11" t="s">
        <v>54</v>
      </c>
      <c r="M316" s="21" t="s">
        <v>45</v>
      </c>
    </row>
    <row r="317" ht="22.5" customHeight="1">
      <c r="B317" s="13">
        <f t="shared" si="3"/>
        <v>310</v>
      </c>
      <c r="C317" s="12" t="s">
        <v>369</v>
      </c>
      <c r="D317" s="14" t="str">
        <f t="array" ref="D317">IF(C317="","",IFNA(_xlfn.XLOOKUP(C317,'a 01'!$C$6:$C$999,'a 01'!$D$6:$D$999),""))</f>
        <v/>
      </c>
      <c r="E317" s="18" t="str">
        <f t="array" ref="E317">_xlfn.XLOOKUP(D317,Table_Warkah[Kode Tiket],Table_Warkah[Jenis Permohonan],"")</f>
        <v/>
      </c>
      <c r="F317" s="12" t="s">
        <v>42</v>
      </c>
      <c r="G317" s="12" t="s">
        <v>43</v>
      </c>
      <c r="H317" s="17">
        <f t="shared" si="1"/>
        <v>45603.39401</v>
      </c>
      <c r="I317" s="18"/>
      <c r="J317" s="20" t="b">
        <v>1</v>
      </c>
      <c r="K317" s="17">
        <f t="shared" si="2"/>
        <v>45603.46842</v>
      </c>
      <c r="L317" s="11" t="s">
        <v>54</v>
      </c>
      <c r="M317" s="21" t="s">
        <v>45</v>
      </c>
    </row>
    <row r="318" ht="22.5" customHeight="1">
      <c r="B318" s="13">
        <f t="shared" si="3"/>
        <v>311</v>
      </c>
      <c r="C318" s="12" t="s">
        <v>370</v>
      </c>
      <c r="D318" s="14" t="str">
        <f t="array" ref="D318">IF(C318="","",IFNA(_xlfn.XLOOKUP(C318,'a 01'!$C$6:$C$999,'a 01'!$D$6:$D$999),""))</f>
        <v/>
      </c>
      <c r="E318" s="18" t="str">
        <f t="array" ref="E318">_xlfn.XLOOKUP(D318,Table_Warkah[Kode Tiket],Table_Warkah[Jenis Permohonan],"")</f>
        <v/>
      </c>
      <c r="F318" s="12" t="s">
        <v>42</v>
      </c>
      <c r="G318" s="12" t="s">
        <v>43</v>
      </c>
      <c r="H318" s="17">
        <f t="shared" si="1"/>
        <v>45603.39401</v>
      </c>
      <c r="I318" s="18"/>
      <c r="J318" s="20" t="b">
        <v>1</v>
      </c>
      <c r="K318" s="17">
        <f t="shared" si="2"/>
        <v>45603.46803</v>
      </c>
      <c r="L318" s="11" t="s">
        <v>54</v>
      </c>
      <c r="M318" s="21" t="s">
        <v>45</v>
      </c>
    </row>
    <row r="319" ht="22.5" customHeight="1">
      <c r="B319" s="13">
        <f t="shared" si="3"/>
        <v>312</v>
      </c>
      <c r="C319" s="12" t="s">
        <v>371</v>
      </c>
      <c r="D319" s="14" t="str">
        <f t="array" ref="D319">IF(C319="","",IFNA(_xlfn.XLOOKUP(C319,'a 01'!$C$6:$C$999,'a 01'!$D$6:$D$999),""))</f>
        <v/>
      </c>
      <c r="E319" s="18" t="str">
        <f t="array" ref="E319">_xlfn.XLOOKUP(D319,Table_Warkah[Kode Tiket],Table_Warkah[Jenis Permohonan],"")</f>
        <v/>
      </c>
      <c r="F319" s="12" t="s">
        <v>42</v>
      </c>
      <c r="G319" s="12" t="s">
        <v>43</v>
      </c>
      <c r="H319" s="17">
        <f t="shared" si="1"/>
        <v>45603.39401</v>
      </c>
      <c r="I319" s="18"/>
      <c r="J319" s="20" t="b">
        <v>1</v>
      </c>
      <c r="K319" s="17">
        <f t="shared" si="2"/>
        <v>45604.6047</v>
      </c>
      <c r="L319" s="11" t="s">
        <v>54</v>
      </c>
      <c r="M319" s="21" t="s">
        <v>45</v>
      </c>
    </row>
    <row r="320" ht="22.5" customHeight="1">
      <c r="B320" s="13">
        <f t="shared" si="3"/>
        <v>313</v>
      </c>
      <c r="C320" s="12" t="s">
        <v>372</v>
      </c>
      <c r="D320" s="14" t="str">
        <f t="array" ref="D320">IF(C320="","",IFNA(_xlfn.XLOOKUP(C320,'a 01'!$C$6:$C$999,'a 01'!$D$6:$D$999),""))</f>
        <v>K/15/011124/2</v>
      </c>
      <c r="E320" s="18" t="str">
        <f t="array" ref="E320">_xlfn.XLOOKUP(D320,Table_Warkah[Kode Tiket],Table_Warkah[Jenis Permohonan],"")</f>
        <v>BN Jual Beli</v>
      </c>
      <c r="F320" s="12" t="s">
        <v>42</v>
      </c>
      <c r="G320" s="12" t="s">
        <v>43</v>
      </c>
      <c r="H320" s="17">
        <f t="shared" si="1"/>
        <v>45603.39401</v>
      </c>
      <c r="I320" s="18"/>
      <c r="J320" s="20" t="b">
        <v>1</v>
      </c>
      <c r="K320" s="17">
        <f t="shared" si="2"/>
        <v>45614.66166</v>
      </c>
      <c r="L320" s="11" t="s">
        <v>54</v>
      </c>
      <c r="M320" s="21" t="s">
        <v>45</v>
      </c>
    </row>
    <row r="321" ht="22.5" customHeight="1">
      <c r="B321" s="13">
        <f t="shared" si="3"/>
        <v>314</v>
      </c>
      <c r="C321" s="12" t="s">
        <v>373</v>
      </c>
      <c r="D321" s="14" t="str">
        <f t="array" ref="D321">IF(C321="","",IFNA(_xlfn.XLOOKUP(C321,'a 01'!$C$6:$C$999,'a 01'!$D$6:$D$999),""))</f>
        <v>K/67/311024/1</v>
      </c>
      <c r="E321" s="18" t="str">
        <f t="array" ref="E321">_xlfn.XLOOKUP(D321,Table_Warkah[Kode Tiket],Table_Warkah[Jenis Permohonan],"")</f>
        <v>BN JUAL BELI</v>
      </c>
      <c r="F321" s="12" t="s">
        <v>42</v>
      </c>
      <c r="G321" s="12" t="s">
        <v>43</v>
      </c>
      <c r="H321" s="17">
        <f t="shared" si="1"/>
        <v>45603.39401</v>
      </c>
      <c r="I321" s="18"/>
      <c r="J321" s="20" t="b">
        <v>0</v>
      </c>
      <c r="K321" s="13" t="str">
        <f t="shared" si="2"/>
        <v/>
      </c>
      <c r="L321" s="13"/>
      <c r="M321" s="21" t="s">
        <v>45</v>
      </c>
    </row>
    <row r="322" ht="22.5" customHeight="1">
      <c r="B322" s="13">
        <f t="shared" si="3"/>
        <v>315</v>
      </c>
      <c r="C322" s="12" t="s">
        <v>374</v>
      </c>
      <c r="D322" s="14" t="str">
        <f t="array" ref="D322">IF(C322="","",IFNA(_xlfn.XLOOKUP(C322,'a 01'!$C$6:$C$999,'a 01'!$D$6:$D$999),""))</f>
        <v/>
      </c>
      <c r="E322" s="18" t="str">
        <f t="array" ref="E322">_xlfn.XLOOKUP(D322,Table_Warkah[Kode Tiket],Table_Warkah[Jenis Permohonan],"")</f>
        <v/>
      </c>
      <c r="F322" s="12" t="s">
        <v>42</v>
      </c>
      <c r="G322" s="12" t="s">
        <v>43</v>
      </c>
      <c r="H322" s="17">
        <f t="shared" si="1"/>
        <v>45603.39401</v>
      </c>
      <c r="I322" s="18"/>
      <c r="J322" s="20" t="b">
        <v>0</v>
      </c>
      <c r="K322" s="13" t="str">
        <f t="shared" si="2"/>
        <v/>
      </c>
      <c r="L322" s="13"/>
      <c r="M322" s="21" t="s">
        <v>45</v>
      </c>
    </row>
    <row r="323" ht="22.5" customHeight="1">
      <c r="B323" s="13">
        <f t="shared" si="3"/>
        <v>316</v>
      </c>
      <c r="C323" s="12" t="s">
        <v>375</v>
      </c>
      <c r="D323" s="14" t="str">
        <f t="array" ref="D323">IF(C323="","",IFNA(_xlfn.XLOOKUP(C323,'a 01'!$C$6:$C$999,'a 01'!$D$6:$D$999),""))</f>
        <v/>
      </c>
      <c r="E323" s="18" t="str">
        <f t="array" ref="E323">_xlfn.XLOOKUP(D323,Table_Warkah[Kode Tiket],Table_Warkah[Jenis Permohonan],"")</f>
        <v/>
      </c>
      <c r="F323" s="12" t="s">
        <v>42</v>
      </c>
      <c r="G323" s="12" t="s">
        <v>43</v>
      </c>
      <c r="H323" s="17">
        <f t="shared" si="1"/>
        <v>45603.39401</v>
      </c>
      <c r="I323" s="18"/>
      <c r="J323" s="20" t="b">
        <v>1</v>
      </c>
      <c r="K323" s="17">
        <f t="shared" si="2"/>
        <v>45604.6047</v>
      </c>
      <c r="L323" s="11" t="s">
        <v>54</v>
      </c>
      <c r="M323" s="21" t="s">
        <v>45</v>
      </c>
    </row>
    <row r="324" ht="22.5" customHeight="1">
      <c r="B324" s="13">
        <f t="shared" si="3"/>
        <v>317</v>
      </c>
      <c r="C324" s="12" t="s">
        <v>376</v>
      </c>
      <c r="D324" s="14" t="str">
        <f t="array" ref="D324">IF(C324="","",IFNA(_xlfn.XLOOKUP(C324,'a 01'!$C$6:$C$999,'a 01'!$D$6:$D$999),""))</f>
        <v/>
      </c>
      <c r="E324" s="18" t="str">
        <f t="array" ref="E324">_xlfn.XLOOKUP(D324,Table_Warkah[Kode Tiket],Table_Warkah[Jenis Permohonan],"")</f>
        <v/>
      </c>
      <c r="F324" s="12" t="s">
        <v>42</v>
      </c>
      <c r="G324" s="12" t="s">
        <v>43</v>
      </c>
      <c r="H324" s="17">
        <f t="shared" si="1"/>
        <v>45603.39401</v>
      </c>
      <c r="I324" s="18"/>
      <c r="J324" s="20" t="b">
        <v>0</v>
      </c>
      <c r="K324" s="13" t="str">
        <f t="shared" si="2"/>
        <v/>
      </c>
      <c r="L324" s="13"/>
      <c r="M324" s="21" t="s">
        <v>45</v>
      </c>
    </row>
    <row r="325" ht="22.5" customHeight="1">
      <c r="B325" s="13">
        <f t="shared" si="3"/>
        <v>318</v>
      </c>
      <c r="C325" s="12" t="s">
        <v>377</v>
      </c>
      <c r="D325" s="14" t="str">
        <f t="array" ref="D325">IF(C325="","",IFNA(_xlfn.XLOOKUP(C325,'a 01'!$C$6:$C$999,'a 01'!$D$6:$D$999),""))</f>
        <v/>
      </c>
      <c r="E325" s="18" t="str">
        <f t="array" ref="E325">_xlfn.XLOOKUP(D325,Table_Warkah[Kode Tiket],Table_Warkah[Jenis Permohonan],"")</f>
        <v/>
      </c>
      <c r="F325" s="12" t="s">
        <v>42</v>
      </c>
      <c r="G325" s="12" t="s">
        <v>43</v>
      </c>
      <c r="H325" s="17">
        <f t="shared" si="1"/>
        <v>45603.39401</v>
      </c>
      <c r="I325" s="18"/>
      <c r="J325" s="20" t="b">
        <v>0</v>
      </c>
      <c r="K325" s="13" t="str">
        <f t="shared" si="2"/>
        <v/>
      </c>
      <c r="L325" s="13"/>
      <c r="M325" s="21" t="s">
        <v>45</v>
      </c>
    </row>
    <row r="326" ht="22.5" customHeight="1">
      <c r="B326" s="13">
        <f t="shared" si="3"/>
        <v>319</v>
      </c>
      <c r="C326" s="12" t="s">
        <v>378</v>
      </c>
      <c r="D326" s="14" t="str">
        <f t="array" ref="D326">IF(C326="","",IFNA(_xlfn.XLOOKUP(C326,'a 01'!$C$6:$C$999,'a 01'!$D$6:$D$999),""))</f>
        <v/>
      </c>
      <c r="E326" s="18" t="str">
        <f t="array" ref="E326">_xlfn.XLOOKUP(D326,Table_Warkah[Kode Tiket],Table_Warkah[Jenis Permohonan],"")</f>
        <v/>
      </c>
      <c r="F326" s="12" t="s">
        <v>42</v>
      </c>
      <c r="G326" s="12" t="s">
        <v>43</v>
      </c>
      <c r="H326" s="17">
        <f t="shared" si="1"/>
        <v>45603.39401</v>
      </c>
      <c r="I326" s="18"/>
      <c r="J326" s="20" t="b">
        <v>1</v>
      </c>
      <c r="K326" s="17">
        <f t="shared" si="2"/>
        <v>45604.6047</v>
      </c>
      <c r="L326" s="11" t="s">
        <v>54</v>
      </c>
      <c r="M326" s="21" t="s">
        <v>45</v>
      </c>
    </row>
    <row r="327" ht="22.5" customHeight="1">
      <c r="B327" s="13">
        <f t="shared" si="3"/>
        <v>320</v>
      </c>
      <c r="C327" s="12" t="s">
        <v>379</v>
      </c>
      <c r="D327" s="14" t="str">
        <f t="array" ref="D327">IF(C327="","",IFNA(_xlfn.XLOOKUP(C327,'a 01'!$C$6:$C$999,'a 01'!$D$6:$D$999),""))</f>
        <v>K/32/011124/1</v>
      </c>
      <c r="E327" s="18" t="str">
        <f t="array" ref="E327">_xlfn.XLOOKUP(D327,Table_Warkah[Kode Tiket],Table_Warkah[Jenis Permohonan],"")</f>
        <v>BN JUAL BELI</v>
      </c>
      <c r="F327" s="12" t="s">
        <v>42</v>
      </c>
      <c r="G327" s="12" t="s">
        <v>43</v>
      </c>
      <c r="H327" s="17">
        <f t="shared" si="1"/>
        <v>45603.39401</v>
      </c>
      <c r="I327" s="18"/>
      <c r="J327" s="20" t="b">
        <v>0</v>
      </c>
      <c r="K327" s="13" t="str">
        <f t="shared" si="2"/>
        <v/>
      </c>
      <c r="L327" s="13"/>
      <c r="M327" s="21" t="s">
        <v>45</v>
      </c>
    </row>
    <row r="328" ht="22.5" customHeight="1">
      <c r="B328" s="13">
        <f t="shared" si="3"/>
        <v>321</v>
      </c>
      <c r="C328" s="12" t="s">
        <v>380</v>
      </c>
      <c r="D328" s="14" t="str">
        <f t="array" ref="D328">IF(C328="","",IFNA(_xlfn.XLOOKUP(C328,'a 01'!$C$6:$C$999,'a 01'!$D$6:$D$999),""))</f>
        <v/>
      </c>
      <c r="E328" s="18" t="str">
        <f t="array" ref="E328">_xlfn.XLOOKUP(D328,Table_Warkah[Kode Tiket],Table_Warkah[Jenis Permohonan],"")</f>
        <v/>
      </c>
      <c r="F328" s="12" t="s">
        <v>42</v>
      </c>
      <c r="G328" s="12" t="s">
        <v>43</v>
      </c>
      <c r="H328" s="17">
        <f t="shared" si="1"/>
        <v>45603.39401</v>
      </c>
      <c r="I328" s="18"/>
      <c r="J328" s="20" t="b">
        <v>0</v>
      </c>
      <c r="K328" s="13" t="str">
        <f t="shared" si="2"/>
        <v/>
      </c>
      <c r="L328" s="13"/>
      <c r="M328" s="21" t="s">
        <v>45</v>
      </c>
    </row>
    <row r="329" ht="22.5" customHeight="1">
      <c r="B329" s="13">
        <f t="shared" si="3"/>
        <v>322</v>
      </c>
      <c r="C329" s="12" t="s">
        <v>381</v>
      </c>
      <c r="D329" s="14" t="str">
        <f t="array" ref="D329">IF(C329="","",IFNA(_xlfn.XLOOKUP(C329,'a 01'!$C$6:$C$999,'a 01'!$D$6:$D$999),""))</f>
        <v/>
      </c>
      <c r="E329" s="18" t="str">
        <f t="array" ref="E329">_xlfn.XLOOKUP(D329,Table_Warkah[Kode Tiket],Table_Warkah[Jenis Permohonan],"")</f>
        <v/>
      </c>
      <c r="F329" s="12" t="s">
        <v>42</v>
      </c>
      <c r="G329" s="12" t="s">
        <v>43</v>
      </c>
      <c r="H329" s="17">
        <f t="shared" si="1"/>
        <v>45604.37693</v>
      </c>
      <c r="I329" s="18"/>
      <c r="J329" s="20" t="b">
        <v>0</v>
      </c>
      <c r="K329" s="13" t="str">
        <f t="shared" si="2"/>
        <v/>
      </c>
      <c r="L329" s="13"/>
      <c r="M329" s="21" t="s">
        <v>45</v>
      </c>
    </row>
    <row r="330" ht="22.5" customHeight="1">
      <c r="B330" s="13">
        <f t="shared" si="3"/>
        <v>323</v>
      </c>
      <c r="C330" s="12" t="s">
        <v>382</v>
      </c>
      <c r="D330" s="14" t="str">
        <f t="array" ref="D330">IF(C330="","",IFNA(_xlfn.XLOOKUP(C330,'a 01'!$C$6:$C$999,'a 01'!$D$6:$D$999),""))</f>
        <v/>
      </c>
      <c r="E330" s="18" t="str">
        <f t="array" ref="E330">_xlfn.XLOOKUP(D330,Table_Warkah[Kode Tiket],Table_Warkah[Jenis Permohonan],"")</f>
        <v/>
      </c>
      <c r="F330" s="12" t="s">
        <v>42</v>
      </c>
      <c r="G330" s="12" t="s">
        <v>43</v>
      </c>
      <c r="H330" s="17">
        <f t="shared" si="1"/>
        <v>45604.37693</v>
      </c>
      <c r="I330" s="18"/>
      <c r="J330" s="20" t="b">
        <v>1</v>
      </c>
      <c r="K330" s="17">
        <f t="shared" si="2"/>
        <v>45604.6047</v>
      </c>
      <c r="L330" s="11" t="s">
        <v>54</v>
      </c>
      <c r="M330" s="21" t="s">
        <v>45</v>
      </c>
    </row>
    <row r="331" ht="22.5" customHeight="1">
      <c r="B331" s="13">
        <f t="shared" si="3"/>
        <v>324</v>
      </c>
      <c r="C331" s="12" t="s">
        <v>383</v>
      </c>
      <c r="D331" s="14" t="str">
        <f t="array" ref="D331">IF(C331="","",IFNA(_xlfn.XLOOKUP(C331,'a 01'!$C$6:$C$999,'a 01'!$D$6:$D$999),""))</f>
        <v>K/33/181024/1</v>
      </c>
      <c r="E331" s="18" t="str">
        <f t="array" ref="E331">_xlfn.XLOOKUP(D331,Table_Warkah[Kode Tiket],Table_Warkah[Jenis Permohonan],"")</f>
        <v>PERALIHAN JUAL BELI</v>
      </c>
      <c r="F331" s="12" t="s">
        <v>42</v>
      </c>
      <c r="G331" s="12" t="s">
        <v>43</v>
      </c>
      <c r="H331" s="17">
        <f t="shared" si="1"/>
        <v>45604.37693</v>
      </c>
      <c r="I331" s="18"/>
      <c r="J331" s="20" t="b">
        <v>1</v>
      </c>
      <c r="K331" s="17">
        <f t="shared" si="2"/>
        <v>45604.6047</v>
      </c>
      <c r="L331" s="11" t="s">
        <v>54</v>
      </c>
      <c r="M331" s="21" t="s">
        <v>45</v>
      </c>
    </row>
    <row r="332" ht="22.5" customHeight="1">
      <c r="B332" s="13">
        <f t="shared" si="3"/>
        <v>325</v>
      </c>
      <c r="C332" s="12" t="s">
        <v>384</v>
      </c>
      <c r="D332" s="14" t="str">
        <f t="array" ref="D332">IF(C332="","",IFNA(_xlfn.XLOOKUP(C332,'a 01'!$C$6:$C$999,'a 01'!$D$6:$D$999),""))</f>
        <v/>
      </c>
      <c r="E332" s="18" t="str">
        <f t="array" ref="E332">_xlfn.XLOOKUP(D332,Table_Warkah[Kode Tiket],Table_Warkah[Jenis Permohonan],"")</f>
        <v/>
      </c>
      <c r="F332" s="12" t="s">
        <v>42</v>
      </c>
      <c r="G332" s="12" t="s">
        <v>43</v>
      </c>
      <c r="H332" s="17">
        <f t="shared" si="1"/>
        <v>45604.37693</v>
      </c>
      <c r="I332" s="18"/>
      <c r="J332" s="20" t="b">
        <v>1</v>
      </c>
      <c r="K332" s="17">
        <f t="shared" si="2"/>
        <v>45604.6047</v>
      </c>
      <c r="L332" s="11" t="s">
        <v>54</v>
      </c>
      <c r="M332" s="21" t="s">
        <v>45</v>
      </c>
    </row>
    <row r="333" ht="22.5" customHeight="1">
      <c r="B333" s="13">
        <f t="shared" si="3"/>
        <v>326</v>
      </c>
      <c r="C333" s="12" t="s">
        <v>385</v>
      </c>
      <c r="D333" s="14" t="str">
        <f t="array" ref="D333">IF(C333="","",IFNA(_xlfn.XLOOKUP(C333,'a 01'!$C$6:$C$999,'a 01'!$D$6:$D$999),""))</f>
        <v/>
      </c>
      <c r="E333" s="18" t="str">
        <f t="array" ref="E333">_xlfn.XLOOKUP(D333,Table_Warkah[Kode Tiket],Table_Warkah[Jenis Permohonan],"")</f>
        <v/>
      </c>
      <c r="F333" s="12" t="s">
        <v>42</v>
      </c>
      <c r="G333" s="12" t="s">
        <v>43</v>
      </c>
      <c r="H333" s="17">
        <f t="shared" si="1"/>
        <v>45604.37693</v>
      </c>
      <c r="I333" s="18"/>
      <c r="J333" s="20" t="b">
        <v>1</v>
      </c>
      <c r="K333" s="17">
        <f t="shared" si="2"/>
        <v>45604.6047</v>
      </c>
      <c r="L333" s="11" t="s">
        <v>54</v>
      </c>
      <c r="M333" s="21" t="s">
        <v>45</v>
      </c>
    </row>
    <row r="334" ht="22.5" customHeight="1">
      <c r="B334" s="13">
        <f t="shared" si="3"/>
        <v>327</v>
      </c>
      <c r="C334" s="12" t="s">
        <v>386</v>
      </c>
      <c r="D334" s="14" t="str">
        <f t="array" ref="D334">IF(C334="","",IFNA(_xlfn.XLOOKUP(C334,'a 01'!$C$6:$C$999,'a 01'!$D$6:$D$999),""))</f>
        <v/>
      </c>
      <c r="E334" s="18" t="str">
        <f t="array" ref="E334">_xlfn.XLOOKUP(D334,Table_Warkah[Kode Tiket],Table_Warkah[Jenis Permohonan],"")</f>
        <v/>
      </c>
      <c r="F334" s="12" t="s">
        <v>42</v>
      </c>
      <c r="G334" s="12" t="s">
        <v>43</v>
      </c>
      <c r="H334" s="17">
        <f t="shared" si="1"/>
        <v>45604.37693</v>
      </c>
      <c r="I334" s="18"/>
      <c r="J334" s="20" t="b">
        <v>1</v>
      </c>
      <c r="K334" s="17">
        <f t="shared" si="2"/>
        <v>45604.6047</v>
      </c>
      <c r="L334" s="11" t="s">
        <v>54</v>
      </c>
      <c r="M334" s="21" t="s">
        <v>45</v>
      </c>
    </row>
    <row r="335" ht="22.5" customHeight="1">
      <c r="B335" s="13">
        <f t="shared" si="3"/>
        <v>328</v>
      </c>
      <c r="C335" s="12" t="s">
        <v>387</v>
      </c>
      <c r="D335" s="14" t="str">
        <f t="array" ref="D335">IF(C335="","",IFNA(_xlfn.XLOOKUP(C335,'a 01'!$C$6:$C$999,'a 01'!$D$6:$D$999),""))</f>
        <v/>
      </c>
      <c r="E335" s="18" t="str">
        <f t="array" ref="E335">_xlfn.XLOOKUP(D335,Table_Warkah[Kode Tiket],Table_Warkah[Jenis Permohonan],"")</f>
        <v/>
      </c>
      <c r="F335" s="12" t="s">
        <v>42</v>
      </c>
      <c r="G335" s="12" t="s">
        <v>43</v>
      </c>
      <c r="H335" s="17">
        <f t="shared" si="1"/>
        <v>45604.6047</v>
      </c>
      <c r="I335" s="18"/>
      <c r="J335" s="20" t="b">
        <v>1</v>
      </c>
      <c r="K335" s="17">
        <f t="shared" si="2"/>
        <v>45604.6047</v>
      </c>
      <c r="L335" s="11" t="s">
        <v>54</v>
      </c>
      <c r="M335" s="21" t="s">
        <v>45</v>
      </c>
    </row>
    <row r="336" ht="22.5" customHeight="1">
      <c r="B336" s="13">
        <f t="shared" si="3"/>
        <v>329</v>
      </c>
      <c r="C336" s="12" t="s">
        <v>388</v>
      </c>
      <c r="D336" s="14" t="str">
        <f t="array" ref="D336">IF(C336="","",IFNA(_xlfn.XLOOKUP(C336,'a 01'!$C$6:$C$999,'a 01'!$D$6:$D$999),""))</f>
        <v/>
      </c>
      <c r="E336" s="18" t="str">
        <f t="array" ref="E336">_xlfn.XLOOKUP(D336,Table_Warkah[Kode Tiket],Table_Warkah[Jenis Permohonan],"")</f>
        <v/>
      </c>
      <c r="F336" s="12" t="s">
        <v>42</v>
      </c>
      <c r="G336" s="12" t="s">
        <v>43</v>
      </c>
      <c r="H336" s="17">
        <f t="shared" si="1"/>
        <v>45604.6098</v>
      </c>
      <c r="I336" s="18"/>
      <c r="J336" s="20" t="b">
        <v>1</v>
      </c>
      <c r="K336" s="17">
        <f t="shared" si="2"/>
        <v>45604.60982</v>
      </c>
      <c r="L336" s="11" t="s">
        <v>54</v>
      </c>
      <c r="M336" s="21" t="s">
        <v>45</v>
      </c>
    </row>
    <row r="337" ht="22.5" customHeight="1">
      <c r="B337" s="13">
        <f t="shared" si="3"/>
        <v>330</v>
      </c>
      <c r="C337" s="12" t="s">
        <v>389</v>
      </c>
      <c r="D337" s="14" t="str">
        <f t="array" ref="D337">IF(C337="","",IFNA(_xlfn.XLOOKUP(C337,'a 01'!$C$6:$C$999,'a 01'!$D$6:$D$999),""))</f>
        <v/>
      </c>
      <c r="E337" s="18" t="str">
        <f t="array" ref="E337">_xlfn.XLOOKUP(D337,Table_Warkah[Kode Tiket],Table_Warkah[Jenis Permohonan],"")</f>
        <v/>
      </c>
      <c r="F337" s="12" t="s">
        <v>42</v>
      </c>
      <c r="G337" s="12" t="s">
        <v>43</v>
      </c>
      <c r="H337" s="17">
        <f t="shared" si="1"/>
        <v>45604.61028</v>
      </c>
      <c r="I337" s="18"/>
      <c r="J337" s="20" t="b">
        <v>1</v>
      </c>
      <c r="K337" s="17">
        <f t="shared" si="2"/>
        <v>45604.6103</v>
      </c>
      <c r="L337" s="11" t="s">
        <v>54</v>
      </c>
      <c r="M337" s="21" t="s">
        <v>45</v>
      </c>
    </row>
    <row r="338" ht="22.5" customHeight="1">
      <c r="B338" s="13">
        <f t="shared" si="3"/>
        <v>331</v>
      </c>
      <c r="C338" s="12" t="s">
        <v>390</v>
      </c>
      <c r="D338" s="14" t="str">
        <f t="array" ref="D338">IF(C338="","",IFNA(_xlfn.XLOOKUP(C338,'a 01'!$C$6:$C$999,'a 01'!$D$6:$D$999),""))</f>
        <v/>
      </c>
      <c r="E338" s="18" t="str">
        <f t="array" ref="E338">_xlfn.XLOOKUP(D338,Table_Warkah[Kode Tiket],Table_Warkah[Jenis Permohonan],"")</f>
        <v/>
      </c>
      <c r="F338" s="12" t="s">
        <v>42</v>
      </c>
      <c r="G338" s="12" t="s">
        <v>43</v>
      </c>
      <c r="H338" s="17">
        <f t="shared" si="1"/>
        <v>45604.62161</v>
      </c>
      <c r="I338" s="18"/>
      <c r="J338" s="20" t="b">
        <v>1</v>
      </c>
      <c r="K338" s="17">
        <f t="shared" si="2"/>
        <v>45604.62163</v>
      </c>
      <c r="L338" s="11" t="s">
        <v>54</v>
      </c>
      <c r="M338" s="21" t="s">
        <v>45</v>
      </c>
    </row>
    <row r="339" ht="22.5" customHeight="1">
      <c r="B339" s="13">
        <f t="shared" si="3"/>
        <v>332</v>
      </c>
      <c r="C339" s="12" t="s">
        <v>391</v>
      </c>
      <c r="D339" s="14" t="str">
        <f t="array" ref="D339">IF(C339="","",IFNA(_xlfn.XLOOKUP(C339,'a 01'!$C$6:$C$999,'a 01'!$D$6:$D$999),""))</f>
        <v/>
      </c>
      <c r="E339" s="18" t="str">
        <f t="array" ref="E339">_xlfn.XLOOKUP(D339,Table_Warkah[Kode Tiket],Table_Warkah[Jenis Permohonan],"")</f>
        <v/>
      </c>
      <c r="F339" s="12" t="s">
        <v>42</v>
      </c>
      <c r="G339" s="12" t="s">
        <v>43</v>
      </c>
      <c r="H339" s="17">
        <f t="shared" si="1"/>
        <v>45604.62516</v>
      </c>
      <c r="I339" s="18"/>
      <c r="J339" s="20" t="b">
        <v>1</v>
      </c>
      <c r="K339" s="17">
        <f t="shared" si="2"/>
        <v>45604.62518</v>
      </c>
      <c r="L339" s="11" t="s">
        <v>392</v>
      </c>
      <c r="M339" s="21" t="s">
        <v>45</v>
      </c>
    </row>
    <row r="340" ht="22.5" customHeight="1">
      <c r="B340" s="13">
        <f t="shared" si="3"/>
        <v>333</v>
      </c>
      <c r="C340" s="12" t="s">
        <v>393</v>
      </c>
      <c r="D340" s="14" t="str">
        <f t="array" ref="D340">IF(C340="","",IFNA(_xlfn.XLOOKUP(C340,'a 01'!$C$6:$C$999,'a 01'!$D$6:$D$999),""))</f>
        <v>K/37/041124/3</v>
      </c>
      <c r="E340" s="18" t="str">
        <f t="array" ref="E340">_xlfn.XLOOKUP(D340,Table_Warkah[Kode Tiket],Table_Warkah[Jenis Permohonan],"")</f>
        <v>PENATAAN BATAS</v>
      </c>
      <c r="F340" s="12" t="s">
        <v>42</v>
      </c>
      <c r="G340" s="12" t="s">
        <v>43</v>
      </c>
      <c r="H340" s="17">
        <f t="shared" si="1"/>
        <v>45607.39761</v>
      </c>
      <c r="I340" s="18"/>
      <c r="J340" s="20" t="b">
        <v>0</v>
      </c>
      <c r="K340" s="13" t="str">
        <f t="shared" si="2"/>
        <v/>
      </c>
      <c r="L340" s="13"/>
      <c r="M340" s="21" t="s">
        <v>45</v>
      </c>
    </row>
    <row r="341" ht="22.5" customHeight="1">
      <c r="B341" s="13">
        <f t="shared" si="3"/>
        <v>334</v>
      </c>
      <c r="C341" s="12" t="s">
        <v>394</v>
      </c>
      <c r="D341" s="14" t="str">
        <f t="array" ref="D341">IF(C341="","",IFNA(_xlfn.XLOOKUP(C341,'a 01'!$C$6:$C$999,'a 01'!$D$6:$D$999),""))</f>
        <v>L/31/041124/1</v>
      </c>
      <c r="E341" s="18" t="str">
        <f t="array" ref="E341">_xlfn.XLOOKUP(D341,Table_Warkah[Kode Tiket],Table_Warkah[Jenis Permohonan],"")</f>
        <v>PERUBAHAN HAK</v>
      </c>
      <c r="F341" s="12" t="s">
        <v>42</v>
      </c>
      <c r="G341" s="12" t="s">
        <v>43</v>
      </c>
      <c r="H341" s="17">
        <f t="shared" si="1"/>
        <v>45607.39761</v>
      </c>
      <c r="I341" s="18"/>
      <c r="J341" s="20" t="b">
        <v>0</v>
      </c>
      <c r="K341" s="13" t="str">
        <f t="shared" si="2"/>
        <v/>
      </c>
      <c r="L341" s="13"/>
      <c r="M341" s="21" t="s">
        <v>45</v>
      </c>
    </row>
    <row r="342" ht="22.5" customHeight="1">
      <c r="B342" s="13">
        <f t="shared" si="3"/>
        <v>335</v>
      </c>
      <c r="C342" s="12" t="s">
        <v>395</v>
      </c>
      <c r="D342" s="14" t="str">
        <f t="array" ref="D342">IF(C342="","",IFNA(_xlfn.XLOOKUP(C342,'a 01'!$C$6:$C$999,'a 01'!$D$6:$D$999),""))</f>
        <v/>
      </c>
      <c r="E342" s="18" t="str">
        <f t="array" ref="E342">_xlfn.XLOOKUP(D342,Table_Warkah[Kode Tiket],Table_Warkah[Jenis Permohonan],"")</f>
        <v/>
      </c>
      <c r="F342" s="12" t="s">
        <v>42</v>
      </c>
      <c r="G342" s="12" t="s">
        <v>43</v>
      </c>
      <c r="H342" s="17">
        <f t="shared" si="1"/>
        <v>45607.39761</v>
      </c>
      <c r="I342" s="18"/>
      <c r="J342" s="20" t="b">
        <v>1</v>
      </c>
      <c r="K342" s="17">
        <f t="shared" si="2"/>
        <v>45614.66166</v>
      </c>
      <c r="L342" s="11" t="s">
        <v>54</v>
      </c>
      <c r="M342" s="21" t="s">
        <v>45</v>
      </c>
    </row>
    <row r="343" ht="22.5" customHeight="1">
      <c r="B343" s="13">
        <f t="shared" si="3"/>
        <v>336</v>
      </c>
      <c r="C343" s="12" t="s">
        <v>396</v>
      </c>
      <c r="D343" s="14" t="str">
        <f t="array" ref="D343">IF(C343="","",IFNA(_xlfn.XLOOKUP(C343,'a 01'!$C$6:$C$999,'a 01'!$D$6:$D$999),""))</f>
        <v>L/63/311024/1</v>
      </c>
      <c r="E343" s="18" t="str">
        <f t="array" ref="E343">_xlfn.XLOOKUP(D343,Table_Warkah[Kode Tiket],Table_Warkah[Jenis Permohonan],"")</f>
        <v>ROYA</v>
      </c>
      <c r="F343" s="12" t="s">
        <v>42</v>
      </c>
      <c r="G343" s="12" t="s">
        <v>43</v>
      </c>
      <c r="H343" s="17">
        <f t="shared" si="1"/>
        <v>45607.39761</v>
      </c>
      <c r="I343" s="18"/>
      <c r="J343" s="20" t="b">
        <v>0</v>
      </c>
      <c r="K343" s="13" t="str">
        <f t="shared" si="2"/>
        <v/>
      </c>
      <c r="L343" s="13"/>
      <c r="M343" s="21" t="s">
        <v>45</v>
      </c>
    </row>
    <row r="344" ht="22.5" customHeight="1">
      <c r="B344" s="13">
        <f t="shared" si="3"/>
        <v>337</v>
      </c>
      <c r="C344" s="12" t="s">
        <v>397</v>
      </c>
      <c r="D344" s="14" t="str">
        <f t="array" ref="D344">IF(C344="","",IFNA(_xlfn.XLOOKUP(C344,'a 01'!$C$6:$C$999,'a 01'!$D$6:$D$999),""))</f>
        <v>L/31/051124/1</v>
      </c>
      <c r="E344" s="18" t="str">
        <f t="array" ref="E344">_xlfn.XLOOKUP(D344,Table_Warkah[Kode Tiket],Table_Warkah[Jenis Permohonan],"")</f>
        <v>ROYA</v>
      </c>
      <c r="F344" s="12" t="s">
        <v>42</v>
      </c>
      <c r="G344" s="12" t="s">
        <v>43</v>
      </c>
      <c r="H344" s="17">
        <f t="shared" si="1"/>
        <v>45607.39761</v>
      </c>
      <c r="I344" s="18"/>
      <c r="J344" s="20" t="b">
        <v>1</v>
      </c>
      <c r="K344" s="17">
        <f t="shared" si="2"/>
        <v>45614.66166</v>
      </c>
      <c r="L344" s="11" t="s">
        <v>49</v>
      </c>
      <c r="M344" s="21" t="s">
        <v>45</v>
      </c>
    </row>
    <row r="345" ht="22.5" customHeight="1">
      <c r="B345" s="13">
        <f t="shared" si="3"/>
        <v>338</v>
      </c>
      <c r="C345" s="12" t="s">
        <v>397</v>
      </c>
      <c r="D345" s="14" t="str">
        <f t="array" ref="D345">IF(C345="","",IFNA(_xlfn.XLOOKUP(C345,'a 01'!$C$6:$C$999,'a 01'!$D$6:$D$999),""))</f>
        <v>L/31/051124/1</v>
      </c>
      <c r="E345" s="18" t="str">
        <f t="array" ref="E345">_xlfn.XLOOKUP(D345,Table_Warkah[Kode Tiket],Table_Warkah[Jenis Permohonan],"")</f>
        <v>ROYA</v>
      </c>
      <c r="F345" s="12" t="s">
        <v>42</v>
      </c>
      <c r="G345" s="12" t="s">
        <v>43</v>
      </c>
      <c r="H345" s="17">
        <f t="shared" si="1"/>
        <v>45607.39761</v>
      </c>
      <c r="I345" s="18"/>
      <c r="J345" s="20" t="b">
        <v>0</v>
      </c>
      <c r="K345" s="13" t="str">
        <f t="shared" si="2"/>
        <v/>
      </c>
      <c r="L345" s="13"/>
      <c r="M345" s="21" t="s">
        <v>45</v>
      </c>
    </row>
    <row r="346" ht="22.5" customHeight="1">
      <c r="B346" s="13">
        <f t="shared" si="3"/>
        <v>339</v>
      </c>
      <c r="C346" s="12" t="s">
        <v>398</v>
      </c>
      <c r="D346" s="14" t="str">
        <f t="array" ref="D346">IF(C346="","",IFNA(_xlfn.XLOOKUP(C346,'a 01'!$C$6:$C$999,'a 01'!$D$6:$D$999),""))</f>
        <v/>
      </c>
      <c r="E346" s="18" t="str">
        <f t="array" ref="E346">_xlfn.XLOOKUP(D346,Table_Warkah[Kode Tiket],Table_Warkah[Jenis Permohonan],"")</f>
        <v/>
      </c>
      <c r="F346" s="12" t="s">
        <v>42</v>
      </c>
      <c r="G346" s="12" t="s">
        <v>43</v>
      </c>
      <c r="H346" s="17">
        <f t="shared" si="1"/>
        <v>45607.39761</v>
      </c>
      <c r="I346" s="18"/>
      <c r="J346" s="20" t="b">
        <v>0</v>
      </c>
      <c r="K346" s="13" t="str">
        <f t="shared" si="2"/>
        <v/>
      </c>
      <c r="L346" s="13"/>
      <c r="M346" s="21" t="s">
        <v>45</v>
      </c>
    </row>
    <row r="347" ht="22.5" customHeight="1">
      <c r="B347" s="13">
        <f t="shared" si="3"/>
        <v>340</v>
      </c>
      <c r="C347" s="12" t="s">
        <v>399</v>
      </c>
      <c r="D347" s="14" t="str">
        <f t="array" ref="D347">IF(C347="","",IFNA(_xlfn.XLOOKUP(C347,'a 01'!$C$6:$C$999,'a 01'!$D$6:$D$999),""))</f>
        <v>L/18/051124/1</v>
      </c>
      <c r="E347" s="18" t="str">
        <f t="array" ref="E347">_xlfn.XLOOKUP(D347,Table_Warkah[Kode Tiket],Table_Warkah[Jenis Permohonan],"")</f>
        <v>ROYA</v>
      </c>
      <c r="F347" s="12" t="s">
        <v>42</v>
      </c>
      <c r="G347" s="12" t="s">
        <v>43</v>
      </c>
      <c r="H347" s="17">
        <f t="shared" si="1"/>
        <v>45607.39761</v>
      </c>
      <c r="I347" s="18"/>
      <c r="J347" s="20" t="b">
        <v>1</v>
      </c>
      <c r="K347" s="17">
        <f t="shared" si="2"/>
        <v>45614.66166</v>
      </c>
      <c r="L347" s="11" t="s">
        <v>49</v>
      </c>
      <c r="M347" s="21" t="s">
        <v>45</v>
      </c>
    </row>
    <row r="348" ht="22.5" customHeight="1">
      <c r="B348" s="13">
        <f t="shared" si="3"/>
        <v>341</v>
      </c>
      <c r="C348" s="12" t="s">
        <v>400</v>
      </c>
      <c r="D348" s="14" t="str">
        <f t="array" ref="D348">IF(C348="","",IFNA(_xlfn.XLOOKUP(C348,'a 01'!$C$6:$C$999,'a 01'!$D$6:$D$999),""))</f>
        <v/>
      </c>
      <c r="E348" s="18" t="str">
        <f t="array" ref="E348">_xlfn.XLOOKUP(D348,Table_Warkah[Kode Tiket],Table_Warkah[Jenis Permohonan],"")</f>
        <v/>
      </c>
      <c r="F348" s="12" t="s">
        <v>42</v>
      </c>
      <c r="G348" s="12" t="s">
        <v>43</v>
      </c>
      <c r="H348" s="17">
        <f t="shared" si="1"/>
        <v>45607.39761</v>
      </c>
      <c r="I348" s="18"/>
      <c r="J348" s="20" t="b">
        <v>0</v>
      </c>
      <c r="K348" s="13" t="str">
        <f t="shared" si="2"/>
        <v/>
      </c>
      <c r="L348" s="13"/>
      <c r="M348" s="21" t="s">
        <v>45</v>
      </c>
    </row>
    <row r="349" ht="22.5" customHeight="1">
      <c r="B349" s="13">
        <f t="shared" si="3"/>
        <v>342</v>
      </c>
      <c r="C349" s="12" t="s">
        <v>401</v>
      </c>
      <c r="D349" s="14" t="str">
        <f t="array" ref="D349">IF(C349="","",IFNA(_xlfn.XLOOKUP(C349,'a 01'!$C$6:$C$999,'a 01'!$D$6:$D$999),""))</f>
        <v>K/35/041124/1</v>
      </c>
      <c r="E349" s="18" t="str">
        <f t="array" ref="E349">_xlfn.XLOOKUP(D349,Table_Warkah[Kode Tiket],Table_Warkah[Jenis Permohonan],"")</f>
        <v>roya</v>
      </c>
      <c r="F349" s="12" t="s">
        <v>42</v>
      </c>
      <c r="G349" s="12" t="s">
        <v>43</v>
      </c>
      <c r="H349" s="17">
        <f t="shared" si="1"/>
        <v>45607.39761</v>
      </c>
      <c r="I349" s="18"/>
      <c r="J349" s="20" t="b">
        <v>1</v>
      </c>
      <c r="K349" s="17">
        <f t="shared" si="2"/>
        <v>45614.66166</v>
      </c>
      <c r="L349" s="11" t="s">
        <v>49</v>
      </c>
      <c r="M349" s="21" t="s">
        <v>45</v>
      </c>
    </row>
    <row r="350" ht="22.5" customHeight="1">
      <c r="B350" s="13">
        <f t="shared" si="3"/>
        <v>343</v>
      </c>
      <c r="C350" s="12" t="s">
        <v>402</v>
      </c>
      <c r="D350" s="14" t="str">
        <f t="array" ref="D350">IF(C350="","",IFNA(_xlfn.XLOOKUP(C350,'a 01'!$C$6:$C$999,'a 01'!$D$6:$D$999),""))</f>
        <v>K/36/041124/2</v>
      </c>
      <c r="E350" s="18" t="str">
        <f t="array" ref="E350">_xlfn.XLOOKUP(D350,Table_Warkah[Kode Tiket],Table_Warkah[Jenis Permohonan],"")</f>
        <v>roya</v>
      </c>
      <c r="F350" s="12" t="s">
        <v>42</v>
      </c>
      <c r="G350" s="12" t="s">
        <v>43</v>
      </c>
      <c r="H350" s="17">
        <f t="shared" si="1"/>
        <v>45607.39761</v>
      </c>
      <c r="I350" s="18"/>
      <c r="J350" s="20" t="b">
        <v>1</v>
      </c>
      <c r="K350" s="17">
        <f t="shared" si="2"/>
        <v>45614.66166</v>
      </c>
      <c r="L350" s="11" t="s">
        <v>49</v>
      </c>
      <c r="M350" s="21" t="s">
        <v>45</v>
      </c>
    </row>
    <row r="351" ht="22.5" customHeight="1">
      <c r="B351" s="13">
        <f t="shared" si="3"/>
        <v>344</v>
      </c>
      <c r="C351" s="12" t="s">
        <v>403</v>
      </c>
      <c r="D351" s="14" t="str">
        <f t="array" ref="D351">IF(C351="","",IFNA(_xlfn.XLOOKUP(C351,'a 01'!$C$6:$C$999,'a 01'!$D$6:$D$999),""))</f>
        <v>L/42/041124/1</v>
      </c>
      <c r="E351" s="18" t="str">
        <f t="array" ref="E351">_xlfn.XLOOKUP(D351,Table_Warkah[Kode Tiket],Table_Warkah[Jenis Permohonan],"")</f>
        <v>ROYA</v>
      </c>
      <c r="F351" s="12" t="s">
        <v>42</v>
      </c>
      <c r="G351" s="12" t="s">
        <v>43</v>
      </c>
      <c r="H351" s="17">
        <f t="shared" si="1"/>
        <v>45607.39761</v>
      </c>
      <c r="I351" s="18"/>
      <c r="J351" s="20" t="b">
        <v>1</v>
      </c>
      <c r="K351" s="17">
        <f t="shared" si="2"/>
        <v>45614.66166</v>
      </c>
      <c r="L351" s="11" t="s">
        <v>49</v>
      </c>
      <c r="M351" s="21" t="s">
        <v>45</v>
      </c>
    </row>
    <row r="352" ht="22.5" customHeight="1">
      <c r="B352" s="13">
        <f t="shared" si="3"/>
        <v>345</v>
      </c>
      <c r="C352" s="12" t="s">
        <v>404</v>
      </c>
      <c r="D352" s="14" t="str">
        <f t="array" ref="D352">IF(C352="","",IFNA(_xlfn.XLOOKUP(C352,'a 01'!$C$6:$C$999,'a 01'!$D$6:$D$999),""))</f>
        <v>L/24/041124/1</v>
      </c>
      <c r="E352" s="18" t="str">
        <f t="array" ref="E352">_xlfn.XLOOKUP(D352,Table_Warkah[Kode Tiket],Table_Warkah[Jenis Permohonan],"")</f>
        <v>ROYA</v>
      </c>
      <c r="F352" s="12" t="s">
        <v>42</v>
      </c>
      <c r="G352" s="12" t="s">
        <v>43</v>
      </c>
      <c r="H352" s="17">
        <f t="shared" si="1"/>
        <v>45607.39761</v>
      </c>
      <c r="I352" s="18"/>
      <c r="J352" s="20" t="b">
        <v>1</v>
      </c>
      <c r="K352" s="17">
        <f t="shared" si="2"/>
        <v>45614.66166</v>
      </c>
      <c r="L352" s="11" t="s">
        <v>49</v>
      </c>
      <c r="M352" s="21" t="s">
        <v>45</v>
      </c>
    </row>
    <row r="353" ht="22.5" customHeight="1">
      <c r="B353" s="13">
        <f t="shared" si="3"/>
        <v>346</v>
      </c>
      <c r="C353" s="12" t="s">
        <v>405</v>
      </c>
      <c r="D353" s="14" t="str">
        <f t="array" ref="D353">IF(C353="","",IFNA(_xlfn.XLOOKUP(C353,'a 01'!$C$6:$C$999,'a 01'!$D$6:$D$999),""))</f>
        <v>L/30/041124/1</v>
      </c>
      <c r="E353" s="18" t="str">
        <f t="array" ref="E353">_xlfn.XLOOKUP(D353,Table_Warkah[Kode Tiket],Table_Warkah[Jenis Permohonan],"")</f>
        <v>ROYA</v>
      </c>
      <c r="F353" s="12" t="s">
        <v>42</v>
      </c>
      <c r="G353" s="12" t="s">
        <v>43</v>
      </c>
      <c r="H353" s="17">
        <f t="shared" si="1"/>
        <v>45607.39761</v>
      </c>
      <c r="I353" s="18"/>
      <c r="J353" s="20" t="b">
        <v>1</v>
      </c>
      <c r="K353" s="17">
        <f t="shared" si="2"/>
        <v>45614.66166</v>
      </c>
      <c r="L353" s="11" t="s">
        <v>49</v>
      </c>
      <c r="M353" s="21" t="s">
        <v>45</v>
      </c>
    </row>
    <row r="354" ht="22.5" customHeight="1">
      <c r="B354" s="13">
        <f t="shared" si="3"/>
        <v>347</v>
      </c>
      <c r="C354" s="12" t="s">
        <v>406</v>
      </c>
      <c r="D354" s="14" t="str">
        <f t="array" ref="D354">IF(C354="","",IFNA(_xlfn.XLOOKUP(C354,'a 01'!$C$6:$C$999,'a 01'!$D$6:$D$999),""))</f>
        <v>L/12/221024/1</v>
      </c>
      <c r="E354" s="18" t="str">
        <f t="array" ref="E354">_xlfn.XLOOKUP(D354,Table_Warkah[Kode Tiket],Table_Warkah[Jenis Permohonan],"")</f>
        <v>ROYA</v>
      </c>
      <c r="F354" s="12" t="s">
        <v>42</v>
      </c>
      <c r="G354" s="12" t="s">
        <v>43</v>
      </c>
      <c r="H354" s="17">
        <f t="shared" si="1"/>
        <v>45607.39761</v>
      </c>
      <c r="I354" s="18"/>
      <c r="J354" s="20" t="b">
        <v>0</v>
      </c>
      <c r="K354" s="13" t="str">
        <f t="shared" si="2"/>
        <v/>
      </c>
      <c r="L354" s="13"/>
      <c r="M354" s="21" t="s">
        <v>45</v>
      </c>
    </row>
    <row r="355" ht="22.5" customHeight="1">
      <c r="B355" s="13">
        <f t="shared" si="3"/>
        <v>348</v>
      </c>
      <c r="C355" s="12" t="s">
        <v>407</v>
      </c>
      <c r="D355" s="14" t="str">
        <f t="array" ref="D355">IF(C355="","",IFNA(_xlfn.XLOOKUP(C355,'a 01'!$C$6:$C$999,'a 01'!$D$6:$D$999),""))</f>
        <v/>
      </c>
      <c r="E355" s="18" t="str">
        <f t="array" ref="E355">_xlfn.XLOOKUP(D355,Table_Warkah[Kode Tiket],Table_Warkah[Jenis Permohonan],"")</f>
        <v/>
      </c>
      <c r="F355" s="12" t="s">
        <v>42</v>
      </c>
      <c r="G355" s="12" t="s">
        <v>43</v>
      </c>
      <c r="H355" s="17">
        <f t="shared" si="1"/>
        <v>45607.39761</v>
      </c>
      <c r="I355" s="18"/>
      <c r="J355" s="20" t="b">
        <v>0</v>
      </c>
      <c r="K355" s="13" t="str">
        <f t="shared" si="2"/>
        <v/>
      </c>
      <c r="L355" s="13"/>
      <c r="M355" s="21" t="s">
        <v>45</v>
      </c>
    </row>
    <row r="356" ht="22.5" customHeight="1">
      <c r="B356" s="13">
        <f t="shared" si="3"/>
        <v>349</v>
      </c>
      <c r="C356" s="12" t="s">
        <v>408</v>
      </c>
      <c r="D356" s="14" t="str">
        <f t="array" ref="D356">IF(C356="","",IFNA(_xlfn.XLOOKUP(C356,'a 01'!$C$6:$C$999,'a 01'!$D$6:$D$999),""))</f>
        <v/>
      </c>
      <c r="E356" s="18" t="str">
        <f t="array" ref="E356">_xlfn.XLOOKUP(D356,Table_Warkah[Kode Tiket],Table_Warkah[Jenis Permohonan],"")</f>
        <v/>
      </c>
      <c r="F356" s="12" t="s">
        <v>42</v>
      </c>
      <c r="G356" s="12" t="s">
        <v>43</v>
      </c>
      <c r="H356" s="17">
        <f t="shared" si="1"/>
        <v>45607.39761</v>
      </c>
      <c r="I356" s="18"/>
      <c r="J356" s="20" t="b">
        <v>0</v>
      </c>
      <c r="K356" s="13" t="str">
        <f t="shared" si="2"/>
        <v/>
      </c>
      <c r="L356" s="13"/>
      <c r="M356" s="21" t="s">
        <v>45</v>
      </c>
    </row>
    <row r="357" ht="22.5" customHeight="1">
      <c r="B357" s="13">
        <f t="shared" si="3"/>
        <v>350</v>
      </c>
      <c r="C357" s="12" t="s">
        <v>409</v>
      </c>
      <c r="D357" s="14" t="str">
        <f t="array" ref="D357">IF(C357="","",IFNA(_xlfn.XLOOKUP(C357,'a 01'!$C$6:$C$999,'a 01'!$D$6:$D$999),""))</f>
        <v>L/49/051124/1</v>
      </c>
      <c r="E357" s="18" t="str">
        <f t="array" ref="E357">_xlfn.XLOOKUP(D357,Table_Warkah[Kode Tiket],Table_Warkah[Jenis Permohonan],"")</f>
        <v>ROYA</v>
      </c>
      <c r="F357" s="12" t="s">
        <v>42</v>
      </c>
      <c r="G357" s="12" t="s">
        <v>43</v>
      </c>
      <c r="H357" s="17">
        <f t="shared" si="1"/>
        <v>45607.39761</v>
      </c>
      <c r="I357" s="18"/>
      <c r="J357" s="20" t="b">
        <v>1</v>
      </c>
      <c r="K357" s="17">
        <f t="shared" si="2"/>
        <v>45614.66166</v>
      </c>
      <c r="L357" s="11" t="s">
        <v>49</v>
      </c>
      <c r="M357" s="21" t="s">
        <v>45</v>
      </c>
    </row>
    <row r="358" ht="22.5" customHeight="1">
      <c r="B358" s="13">
        <f t="shared" si="3"/>
        <v>351</v>
      </c>
      <c r="C358" s="12" t="s">
        <v>410</v>
      </c>
      <c r="D358" s="14" t="str">
        <f t="array" ref="D358">IF(C358="","",IFNA(_xlfn.XLOOKUP(C358,'a 01'!$C$6:$C$999,'a 01'!$D$6:$D$999),""))</f>
        <v/>
      </c>
      <c r="E358" s="18" t="str">
        <f t="array" ref="E358">_xlfn.XLOOKUP(D358,Table_Warkah[Kode Tiket],Table_Warkah[Jenis Permohonan],"")</f>
        <v/>
      </c>
      <c r="F358" s="12" t="s">
        <v>42</v>
      </c>
      <c r="G358" s="12" t="s">
        <v>43</v>
      </c>
      <c r="H358" s="17">
        <f t="shared" si="1"/>
        <v>45607.39761</v>
      </c>
      <c r="I358" s="18"/>
      <c r="J358" s="20" t="b">
        <v>1</v>
      </c>
      <c r="K358" s="17">
        <f t="shared" si="2"/>
        <v>45614.66166</v>
      </c>
      <c r="L358" s="11" t="s">
        <v>54</v>
      </c>
      <c r="M358" s="21" t="s">
        <v>45</v>
      </c>
    </row>
    <row r="359" ht="22.5" customHeight="1">
      <c r="B359" s="13">
        <f t="shared" si="3"/>
        <v>352</v>
      </c>
      <c r="C359" s="12" t="s">
        <v>411</v>
      </c>
      <c r="D359" s="14" t="str">
        <f t="array" ref="D359">IF(C359="","",IFNA(_xlfn.XLOOKUP(C359,'a 01'!$C$6:$C$999,'a 01'!$D$6:$D$999),""))</f>
        <v/>
      </c>
      <c r="E359" s="18" t="str">
        <f t="array" ref="E359">_xlfn.XLOOKUP(D359,Table_Warkah[Kode Tiket],Table_Warkah[Jenis Permohonan],"")</f>
        <v/>
      </c>
      <c r="F359" s="12" t="s">
        <v>42</v>
      </c>
      <c r="G359" s="12" t="s">
        <v>43</v>
      </c>
      <c r="H359" s="17">
        <f t="shared" si="1"/>
        <v>45607.39761</v>
      </c>
      <c r="I359" s="18"/>
      <c r="J359" s="20" t="b">
        <v>0</v>
      </c>
      <c r="K359" s="13" t="str">
        <f t="shared" si="2"/>
        <v/>
      </c>
      <c r="L359" s="13"/>
      <c r="M359" s="21" t="s">
        <v>45</v>
      </c>
    </row>
    <row r="360" ht="22.5" customHeight="1">
      <c r="B360" s="13">
        <f t="shared" si="3"/>
        <v>353</v>
      </c>
      <c r="C360" s="12" t="s">
        <v>412</v>
      </c>
      <c r="D360" s="14" t="str">
        <f t="array" ref="D360">IF(C360="","",IFNA(_xlfn.XLOOKUP(C360,'a 01'!$C$6:$C$999,'a 01'!$D$6:$D$999),""))</f>
        <v/>
      </c>
      <c r="E360" s="18" t="str">
        <f t="array" ref="E360">_xlfn.XLOOKUP(D360,Table_Warkah[Kode Tiket],Table_Warkah[Jenis Permohonan],"")</f>
        <v/>
      </c>
      <c r="F360" s="12" t="s">
        <v>42</v>
      </c>
      <c r="G360" s="12" t="s">
        <v>43</v>
      </c>
      <c r="H360" s="17">
        <f t="shared" si="1"/>
        <v>45607.39761</v>
      </c>
      <c r="I360" s="18"/>
      <c r="J360" s="20" t="b">
        <v>1</v>
      </c>
      <c r="K360" s="17">
        <f t="shared" si="2"/>
        <v>45614.66166</v>
      </c>
      <c r="L360" s="11" t="s">
        <v>54</v>
      </c>
      <c r="M360" s="21" t="s">
        <v>45</v>
      </c>
    </row>
    <row r="361" ht="22.5" customHeight="1">
      <c r="B361" s="13">
        <f t="shared" si="3"/>
        <v>354</v>
      </c>
      <c r="C361" s="12" t="s">
        <v>413</v>
      </c>
      <c r="D361" s="14" t="str">
        <f t="array" ref="D361">IF(C361="","",IFNA(_xlfn.XLOOKUP(C361,'a 01'!$C$6:$C$999,'a 01'!$D$6:$D$999),""))</f>
        <v/>
      </c>
      <c r="E361" s="18" t="str">
        <f t="array" ref="E361">_xlfn.XLOOKUP(D361,Table_Warkah[Kode Tiket],Table_Warkah[Jenis Permohonan],"")</f>
        <v/>
      </c>
      <c r="F361" s="12" t="s">
        <v>42</v>
      </c>
      <c r="G361" s="12" t="s">
        <v>43</v>
      </c>
      <c r="H361" s="17">
        <f t="shared" si="1"/>
        <v>45607.39761</v>
      </c>
      <c r="I361" s="18"/>
      <c r="J361" s="20" t="b">
        <v>0</v>
      </c>
      <c r="K361" s="13" t="str">
        <f t="shared" si="2"/>
        <v/>
      </c>
      <c r="L361" s="13"/>
      <c r="M361" s="21" t="s">
        <v>45</v>
      </c>
    </row>
    <row r="362" ht="22.5" customHeight="1">
      <c r="B362" s="13">
        <f t="shared" si="3"/>
        <v>355</v>
      </c>
      <c r="C362" s="12" t="s">
        <v>414</v>
      </c>
      <c r="D362" s="14" t="str">
        <f t="array" ref="D362">IF(C362="","",IFNA(_xlfn.XLOOKUP(C362,'a 01'!$C$6:$C$999,'a 01'!$D$6:$D$999),""))</f>
        <v/>
      </c>
      <c r="E362" s="18" t="str">
        <f t="array" ref="E362">_xlfn.XLOOKUP(D362,Table_Warkah[Kode Tiket],Table_Warkah[Jenis Permohonan],"")</f>
        <v/>
      </c>
      <c r="F362" s="12" t="s">
        <v>42</v>
      </c>
      <c r="G362" s="12" t="s">
        <v>43</v>
      </c>
      <c r="H362" s="17">
        <f t="shared" si="1"/>
        <v>45607.39761</v>
      </c>
      <c r="I362" s="18"/>
      <c r="J362" s="20" t="b">
        <v>1</v>
      </c>
      <c r="K362" s="17">
        <f t="shared" si="2"/>
        <v>45614.66166</v>
      </c>
      <c r="L362" s="11" t="s">
        <v>54</v>
      </c>
      <c r="M362" s="21" t="s">
        <v>45</v>
      </c>
    </row>
    <row r="363" ht="22.5" customHeight="1">
      <c r="B363" s="13">
        <f t="shared" si="3"/>
        <v>356</v>
      </c>
      <c r="C363" s="12" t="s">
        <v>415</v>
      </c>
      <c r="D363" s="14" t="str">
        <f t="array" ref="D363">IF(C363="","",IFNA(_xlfn.XLOOKUP(C363,'a 01'!$C$6:$C$999,'a 01'!$D$6:$D$999),""))</f>
        <v/>
      </c>
      <c r="E363" s="18" t="str">
        <f t="array" ref="E363">_xlfn.XLOOKUP(D363,Table_Warkah[Kode Tiket],Table_Warkah[Jenis Permohonan],"")</f>
        <v/>
      </c>
      <c r="F363" s="12" t="s">
        <v>42</v>
      </c>
      <c r="G363" s="12" t="s">
        <v>43</v>
      </c>
      <c r="H363" s="17">
        <f t="shared" si="1"/>
        <v>45607.39761</v>
      </c>
      <c r="I363" s="18"/>
      <c r="J363" s="20" t="b">
        <v>1</v>
      </c>
      <c r="K363" s="17">
        <f t="shared" si="2"/>
        <v>45614.66166</v>
      </c>
      <c r="L363" s="11" t="s">
        <v>54</v>
      </c>
      <c r="M363" s="21" t="s">
        <v>45</v>
      </c>
    </row>
    <row r="364" ht="22.5" customHeight="1">
      <c r="B364" s="13">
        <f t="shared" si="3"/>
        <v>357</v>
      </c>
      <c r="C364" s="12" t="s">
        <v>416</v>
      </c>
      <c r="D364" s="14" t="str">
        <f t="array" ref="D364">IF(C364="","",IFNA(_xlfn.XLOOKUP(C364,'a 01'!$C$6:$C$999,'a 01'!$D$6:$D$999),""))</f>
        <v/>
      </c>
      <c r="E364" s="18" t="str">
        <f t="array" ref="E364">_xlfn.XLOOKUP(D364,Table_Warkah[Kode Tiket],Table_Warkah[Jenis Permohonan],"")</f>
        <v/>
      </c>
      <c r="F364" s="12" t="s">
        <v>42</v>
      </c>
      <c r="G364" s="12" t="s">
        <v>43</v>
      </c>
      <c r="H364" s="17">
        <f t="shared" si="1"/>
        <v>45607.39761</v>
      </c>
      <c r="I364" s="18"/>
      <c r="J364" s="20" t="b">
        <v>1</v>
      </c>
      <c r="K364" s="17">
        <f t="shared" si="2"/>
        <v>45614.66166</v>
      </c>
      <c r="L364" s="11" t="s">
        <v>54</v>
      </c>
      <c r="M364" s="21" t="s">
        <v>45</v>
      </c>
    </row>
    <row r="365" ht="22.5" customHeight="1">
      <c r="B365" s="13">
        <f t="shared" si="3"/>
        <v>358</v>
      </c>
      <c r="C365" s="12" t="s">
        <v>417</v>
      </c>
      <c r="D365" s="14" t="str">
        <f t="array" ref="D365">IF(C365="","",IFNA(_xlfn.XLOOKUP(C365,'a 01'!$C$6:$C$999,'a 01'!$D$6:$D$999),""))</f>
        <v/>
      </c>
      <c r="E365" s="18" t="str">
        <f t="array" ref="E365">_xlfn.XLOOKUP(D365,Table_Warkah[Kode Tiket],Table_Warkah[Jenis Permohonan],"")</f>
        <v/>
      </c>
      <c r="F365" s="12" t="s">
        <v>42</v>
      </c>
      <c r="G365" s="12" t="s">
        <v>43</v>
      </c>
      <c r="H365" s="17">
        <f t="shared" si="1"/>
        <v>45607.39761</v>
      </c>
      <c r="I365" s="18"/>
      <c r="J365" s="20" t="b">
        <v>0</v>
      </c>
      <c r="K365" s="13" t="str">
        <f t="shared" si="2"/>
        <v/>
      </c>
      <c r="L365" s="13"/>
      <c r="M365" s="21" t="s">
        <v>45</v>
      </c>
    </row>
    <row r="366" ht="22.5" customHeight="1">
      <c r="B366" s="13">
        <f t="shared" si="3"/>
        <v>359</v>
      </c>
      <c r="C366" s="12" t="s">
        <v>418</v>
      </c>
      <c r="D366" s="14" t="str">
        <f t="array" ref="D366">IF(C366="","",IFNA(_xlfn.XLOOKUP(C366,'a 01'!$C$6:$C$999,'a 01'!$D$6:$D$999),""))</f>
        <v/>
      </c>
      <c r="E366" s="18" t="str">
        <f t="array" ref="E366">_xlfn.XLOOKUP(D366,Table_Warkah[Kode Tiket],Table_Warkah[Jenis Permohonan],"")</f>
        <v/>
      </c>
      <c r="F366" s="12" t="s">
        <v>42</v>
      </c>
      <c r="G366" s="12" t="s">
        <v>43</v>
      </c>
      <c r="H366" s="17">
        <f t="shared" si="1"/>
        <v>45607.39761</v>
      </c>
      <c r="I366" s="18"/>
      <c r="J366" s="20" t="b">
        <v>0</v>
      </c>
      <c r="K366" s="13" t="str">
        <f t="shared" si="2"/>
        <v/>
      </c>
      <c r="L366" s="13"/>
      <c r="M366" s="21" t="s">
        <v>45</v>
      </c>
    </row>
    <row r="367" ht="22.5" customHeight="1">
      <c r="B367" s="13">
        <f t="shared" si="3"/>
        <v>360</v>
      </c>
      <c r="C367" s="12" t="s">
        <v>419</v>
      </c>
      <c r="D367" s="14" t="str">
        <f t="array" ref="D367">IF(C367="","",IFNA(_xlfn.XLOOKUP(C367,'a 01'!$C$6:$C$999,'a 01'!$D$6:$D$999),""))</f>
        <v/>
      </c>
      <c r="E367" s="18" t="str">
        <f t="array" ref="E367">_xlfn.XLOOKUP(D367,Table_Warkah[Kode Tiket],Table_Warkah[Jenis Permohonan],"")</f>
        <v/>
      </c>
      <c r="F367" s="12" t="s">
        <v>42</v>
      </c>
      <c r="G367" s="12" t="s">
        <v>43</v>
      </c>
      <c r="H367" s="17">
        <f t="shared" si="1"/>
        <v>45607.39761</v>
      </c>
      <c r="I367" s="18"/>
      <c r="J367" s="20" t="b">
        <v>0</v>
      </c>
      <c r="K367" s="13" t="str">
        <f t="shared" si="2"/>
        <v/>
      </c>
      <c r="L367" s="13"/>
      <c r="M367" s="21" t="s">
        <v>45</v>
      </c>
    </row>
    <row r="368" ht="22.5" customHeight="1">
      <c r="B368" s="13">
        <f t="shared" si="3"/>
        <v>361</v>
      </c>
      <c r="C368" s="12" t="s">
        <v>420</v>
      </c>
      <c r="D368" s="14" t="str">
        <f t="array" ref="D368">IF(C368="","",IFNA(_xlfn.XLOOKUP(C368,'a 01'!$C$6:$C$999,'a 01'!$D$6:$D$999),""))</f>
        <v/>
      </c>
      <c r="E368" s="18" t="str">
        <f t="array" ref="E368">_xlfn.XLOOKUP(D368,Table_Warkah[Kode Tiket],Table_Warkah[Jenis Permohonan],"")</f>
        <v/>
      </c>
      <c r="F368" s="12" t="s">
        <v>42</v>
      </c>
      <c r="G368" s="12" t="s">
        <v>43</v>
      </c>
      <c r="H368" s="17">
        <f t="shared" si="1"/>
        <v>45607.39761</v>
      </c>
      <c r="I368" s="18"/>
      <c r="J368" s="20" t="b">
        <v>0</v>
      </c>
      <c r="K368" s="13" t="str">
        <f t="shared" si="2"/>
        <v/>
      </c>
      <c r="L368" s="13"/>
      <c r="M368" s="21" t="s">
        <v>45</v>
      </c>
    </row>
    <row r="369" ht="22.5" customHeight="1">
      <c r="B369" s="13">
        <f t="shared" si="3"/>
        <v>362</v>
      </c>
      <c r="C369" s="12" t="s">
        <v>421</v>
      </c>
      <c r="D369" s="14" t="str">
        <f t="array" ref="D369">IF(C369="","",IFNA(_xlfn.XLOOKUP(C369,'a 01'!$C$6:$C$999,'a 01'!$D$6:$D$999),""))</f>
        <v/>
      </c>
      <c r="E369" s="18" t="str">
        <f t="array" ref="E369">_xlfn.XLOOKUP(D369,Table_Warkah[Kode Tiket],Table_Warkah[Jenis Permohonan],"")</f>
        <v/>
      </c>
      <c r="F369" s="12" t="s">
        <v>42</v>
      </c>
      <c r="G369" s="12" t="s">
        <v>43</v>
      </c>
      <c r="H369" s="17">
        <f t="shared" si="1"/>
        <v>45607.39761</v>
      </c>
      <c r="I369" s="18"/>
      <c r="J369" s="20" t="b">
        <v>0</v>
      </c>
      <c r="K369" s="13" t="str">
        <f t="shared" si="2"/>
        <v/>
      </c>
      <c r="L369" s="13"/>
      <c r="M369" s="21" t="s">
        <v>45</v>
      </c>
    </row>
    <row r="370" ht="22.5" customHeight="1">
      <c r="B370" s="13">
        <f t="shared" si="3"/>
        <v>363</v>
      </c>
      <c r="C370" s="12" t="s">
        <v>422</v>
      </c>
      <c r="D370" s="14" t="str">
        <f t="array" ref="D370">IF(C370="","",IFNA(_xlfn.XLOOKUP(C370,'a 01'!$C$6:$C$999,'a 01'!$D$6:$D$999),""))</f>
        <v/>
      </c>
      <c r="E370" s="18" t="str">
        <f t="array" ref="E370">_xlfn.XLOOKUP(D370,Table_Warkah[Kode Tiket],Table_Warkah[Jenis Permohonan],"")</f>
        <v/>
      </c>
      <c r="F370" s="12" t="s">
        <v>42</v>
      </c>
      <c r="G370" s="12" t="s">
        <v>43</v>
      </c>
      <c r="H370" s="17">
        <f t="shared" si="1"/>
        <v>45607.39761</v>
      </c>
      <c r="I370" s="18"/>
      <c r="J370" s="20" t="b">
        <v>1</v>
      </c>
      <c r="K370" s="17">
        <f t="shared" si="2"/>
        <v>45614.66166</v>
      </c>
      <c r="L370" s="11" t="s">
        <v>54</v>
      </c>
      <c r="M370" s="21" t="s">
        <v>45</v>
      </c>
    </row>
    <row r="371" ht="22.5" customHeight="1">
      <c r="B371" s="13">
        <f t="shared" si="3"/>
        <v>364</v>
      </c>
      <c r="C371" s="12" t="s">
        <v>423</v>
      </c>
      <c r="D371" s="14" t="str">
        <f t="array" ref="D371">IF(C371="","",IFNA(_xlfn.XLOOKUP(C371,'a 01'!$C$6:$C$999,'a 01'!$D$6:$D$999),""))</f>
        <v/>
      </c>
      <c r="E371" s="18" t="str">
        <f t="array" ref="E371">_xlfn.XLOOKUP(D371,Table_Warkah[Kode Tiket],Table_Warkah[Jenis Permohonan],"")</f>
        <v/>
      </c>
      <c r="F371" s="12" t="s">
        <v>42</v>
      </c>
      <c r="G371" s="12" t="s">
        <v>43</v>
      </c>
      <c r="H371" s="17">
        <f t="shared" si="1"/>
        <v>45607.39761</v>
      </c>
      <c r="I371" s="18"/>
      <c r="J371" s="20" t="b">
        <v>0</v>
      </c>
      <c r="K371" s="13" t="str">
        <f t="shared" si="2"/>
        <v/>
      </c>
      <c r="L371" s="13"/>
      <c r="M371" s="21" t="s">
        <v>45</v>
      </c>
    </row>
    <row r="372" ht="22.5" customHeight="1">
      <c r="B372" s="13">
        <f t="shared" si="3"/>
        <v>365</v>
      </c>
      <c r="C372" s="12" t="s">
        <v>424</v>
      </c>
      <c r="D372" s="14" t="str">
        <f t="array" ref="D372">IF(C372="","",IFNA(_xlfn.XLOOKUP(C372,'a 01'!$C$6:$C$999,'a 01'!$D$6:$D$999),""))</f>
        <v/>
      </c>
      <c r="E372" s="18" t="str">
        <f t="array" ref="E372">_xlfn.XLOOKUP(D372,Table_Warkah[Kode Tiket],Table_Warkah[Jenis Permohonan],"")</f>
        <v/>
      </c>
      <c r="F372" s="12" t="s">
        <v>42</v>
      </c>
      <c r="G372" s="12" t="s">
        <v>43</v>
      </c>
      <c r="H372" s="17">
        <f t="shared" si="1"/>
        <v>45607.39761</v>
      </c>
      <c r="I372" s="18"/>
      <c r="J372" s="20" t="b">
        <v>0</v>
      </c>
      <c r="K372" s="13" t="str">
        <f t="shared" si="2"/>
        <v/>
      </c>
      <c r="L372" s="13"/>
      <c r="M372" s="21" t="s">
        <v>45</v>
      </c>
    </row>
    <row r="373" ht="22.5" customHeight="1">
      <c r="B373" s="13">
        <f t="shared" si="3"/>
        <v>366</v>
      </c>
      <c r="C373" s="12" t="s">
        <v>425</v>
      </c>
      <c r="D373" s="14" t="str">
        <f t="array" ref="D373">IF(C373="","",IFNA(_xlfn.XLOOKUP(C373,'a 01'!$C$6:$C$999,'a 01'!$D$6:$D$999),""))</f>
        <v/>
      </c>
      <c r="E373" s="18" t="str">
        <f t="array" ref="E373">_xlfn.XLOOKUP(D373,Table_Warkah[Kode Tiket],Table_Warkah[Jenis Permohonan],"")</f>
        <v/>
      </c>
      <c r="F373" s="12" t="s">
        <v>42</v>
      </c>
      <c r="G373" s="12" t="s">
        <v>43</v>
      </c>
      <c r="H373" s="17">
        <f t="shared" si="1"/>
        <v>45607.39761</v>
      </c>
      <c r="I373" s="18"/>
      <c r="J373" s="20" t="b">
        <v>1</v>
      </c>
      <c r="K373" s="17">
        <f t="shared" si="2"/>
        <v>45614.66166</v>
      </c>
      <c r="L373" s="11" t="s">
        <v>54</v>
      </c>
      <c r="M373" s="21" t="s">
        <v>45</v>
      </c>
    </row>
    <row r="374" ht="22.5" customHeight="1">
      <c r="B374" s="13">
        <f t="shared" si="3"/>
        <v>367</v>
      </c>
      <c r="C374" s="12" t="s">
        <v>426</v>
      </c>
      <c r="D374" s="14" t="str">
        <f t="array" ref="D374">IF(C374="","",IFNA(_xlfn.XLOOKUP(C374,'a 01'!$C$6:$C$999,'a 01'!$D$6:$D$999),""))</f>
        <v/>
      </c>
      <c r="E374" s="18" t="str">
        <f t="array" ref="E374">_xlfn.XLOOKUP(D374,Table_Warkah[Kode Tiket],Table_Warkah[Jenis Permohonan],"")</f>
        <v/>
      </c>
      <c r="F374" s="12" t="s">
        <v>42</v>
      </c>
      <c r="G374" s="12" t="s">
        <v>43</v>
      </c>
      <c r="H374" s="17">
        <f t="shared" si="1"/>
        <v>45607.39761</v>
      </c>
      <c r="I374" s="18"/>
      <c r="J374" s="20" t="b">
        <v>1</v>
      </c>
      <c r="K374" s="17">
        <f t="shared" si="2"/>
        <v>45614.66166</v>
      </c>
      <c r="L374" s="11" t="s">
        <v>54</v>
      </c>
      <c r="M374" s="21" t="s">
        <v>45</v>
      </c>
    </row>
    <row r="375" ht="22.5" customHeight="1">
      <c r="B375" s="13">
        <f t="shared" si="3"/>
        <v>368</v>
      </c>
      <c r="C375" s="12" t="s">
        <v>427</v>
      </c>
      <c r="D375" s="14" t="str">
        <f t="array" ref="D375">IF(C375="","",IFNA(_xlfn.XLOOKUP(C375,'a 01'!$C$6:$C$999,'a 01'!$D$6:$D$999),""))</f>
        <v/>
      </c>
      <c r="E375" s="18" t="str">
        <f t="array" ref="E375">_xlfn.XLOOKUP(D375,Table_Warkah[Kode Tiket],Table_Warkah[Jenis Permohonan],"")</f>
        <v/>
      </c>
      <c r="F375" s="12" t="s">
        <v>42</v>
      </c>
      <c r="G375" s="12" t="s">
        <v>43</v>
      </c>
      <c r="H375" s="17">
        <f t="shared" si="1"/>
        <v>45607.39761</v>
      </c>
      <c r="I375" s="18"/>
      <c r="J375" s="20" t="b">
        <v>1</v>
      </c>
      <c r="K375" s="17">
        <f t="shared" si="2"/>
        <v>45614.66166</v>
      </c>
      <c r="L375" s="11" t="s">
        <v>54</v>
      </c>
      <c r="M375" s="21" t="s">
        <v>45</v>
      </c>
    </row>
    <row r="376" ht="22.5" customHeight="1">
      <c r="B376" s="13">
        <f t="shared" si="3"/>
        <v>369</v>
      </c>
      <c r="C376" s="12" t="s">
        <v>428</v>
      </c>
      <c r="D376" s="14" t="str">
        <f t="array" ref="D376">IF(C376="","",IFNA(_xlfn.XLOOKUP(C376,'a 01'!$C$6:$C$999,'a 01'!$D$6:$D$999),""))</f>
        <v/>
      </c>
      <c r="E376" s="18" t="str">
        <f t="array" ref="E376">_xlfn.XLOOKUP(D376,Table_Warkah[Kode Tiket],Table_Warkah[Jenis Permohonan],"")</f>
        <v/>
      </c>
      <c r="F376" s="12" t="s">
        <v>42</v>
      </c>
      <c r="G376" s="12" t="s">
        <v>43</v>
      </c>
      <c r="H376" s="17">
        <f t="shared" si="1"/>
        <v>45607.39761</v>
      </c>
      <c r="I376" s="18"/>
      <c r="J376" s="20" t="b">
        <v>1</v>
      </c>
      <c r="K376" s="17">
        <f t="shared" si="2"/>
        <v>45614.66166</v>
      </c>
      <c r="L376" s="11" t="s">
        <v>54</v>
      </c>
      <c r="M376" s="21" t="s">
        <v>45</v>
      </c>
    </row>
    <row r="377" ht="22.5" customHeight="1">
      <c r="B377" s="13">
        <f t="shared" si="3"/>
        <v>370</v>
      </c>
      <c r="C377" s="12" t="s">
        <v>429</v>
      </c>
      <c r="D377" s="14" t="str">
        <f t="array" ref="D377">IF(C377="","",IFNA(_xlfn.XLOOKUP(C377,'a 01'!$C$6:$C$999,'a 01'!$D$6:$D$999),""))</f>
        <v/>
      </c>
      <c r="E377" s="18" t="str">
        <f t="array" ref="E377">_xlfn.XLOOKUP(D377,Table_Warkah[Kode Tiket],Table_Warkah[Jenis Permohonan],"")</f>
        <v/>
      </c>
      <c r="F377" s="12" t="s">
        <v>42</v>
      </c>
      <c r="G377" s="12" t="s">
        <v>43</v>
      </c>
      <c r="H377" s="17">
        <f t="shared" si="1"/>
        <v>45607.39761</v>
      </c>
      <c r="I377" s="18"/>
      <c r="J377" s="20" t="b">
        <v>1</v>
      </c>
      <c r="K377" s="17">
        <f t="shared" si="2"/>
        <v>45614.66166</v>
      </c>
      <c r="L377" s="11" t="s">
        <v>54</v>
      </c>
      <c r="M377" s="21" t="s">
        <v>45</v>
      </c>
    </row>
    <row r="378" ht="22.5" customHeight="1">
      <c r="B378" s="13">
        <f t="shared" si="3"/>
        <v>371</v>
      </c>
      <c r="C378" s="12" t="s">
        <v>429</v>
      </c>
      <c r="D378" s="14" t="str">
        <f t="array" ref="D378">IF(C378="","",IFNA(_xlfn.XLOOKUP(C378,'a 01'!$C$6:$C$999,'a 01'!$D$6:$D$999),""))</f>
        <v/>
      </c>
      <c r="E378" s="18" t="str">
        <f t="array" ref="E378">_xlfn.XLOOKUP(D378,Table_Warkah[Kode Tiket],Table_Warkah[Jenis Permohonan],"")</f>
        <v/>
      </c>
      <c r="F378" s="12" t="s">
        <v>42</v>
      </c>
      <c r="G378" s="12" t="s">
        <v>43</v>
      </c>
      <c r="H378" s="17">
        <f t="shared" si="1"/>
        <v>45607.39761</v>
      </c>
      <c r="I378" s="18"/>
      <c r="J378" s="20" t="b">
        <v>1</v>
      </c>
      <c r="K378" s="17">
        <f t="shared" si="2"/>
        <v>45614.66166</v>
      </c>
      <c r="L378" s="11" t="s">
        <v>54</v>
      </c>
      <c r="M378" s="21" t="s">
        <v>45</v>
      </c>
    </row>
    <row r="379" ht="22.5" customHeight="1">
      <c r="B379" s="13">
        <f t="shared" si="3"/>
        <v>372</v>
      </c>
      <c r="C379" s="12" t="s">
        <v>430</v>
      </c>
      <c r="D379" s="14" t="str">
        <f t="array" ref="D379">IF(C379="","",IFNA(_xlfn.XLOOKUP(C379,'a 01'!$C$6:$C$999,'a 01'!$D$6:$D$999),""))</f>
        <v/>
      </c>
      <c r="E379" s="18" t="str">
        <f t="array" ref="E379">_xlfn.XLOOKUP(D379,Table_Warkah[Kode Tiket],Table_Warkah[Jenis Permohonan],"")</f>
        <v/>
      </c>
      <c r="F379" s="12" t="s">
        <v>42</v>
      </c>
      <c r="G379" s="12" t="s">
        <v>43</v>
      </c>
      <c r="H379" s="17">
        <f t="shared" si="1"/>
        <v>45607.39761</v>
      </c>
      <c r="I379" s="18"/>
      <c r="J379" s="20" t="b">
        <v>1</v>
      </c>
      <c r="K379" s="17">
        <f t="shared" si="2"/>
        <v>45614.66166</v>
      </c>
      <c r="L379" s="11" t="s">
        <v>54</v>
      </c>
      <c r="M379" s="21" t="s">
        <v>45</v>
      </c>
    </row>
    <row r="380" ht="22.5" customHeight="1">
      <c r="B380" s="13">
        <f t="shared" si="3"/>
        <v>373</v>
      </c>
      <c r="C380" s="12" t="s">
        <v>431</v>
      </c>
      <c r="D380" s="14" t="str">
        <f t="array" ref="D380">IF(C380="","",IFNA(_xlfn.XLOOKUP(C380,'a 01'!$C$6:$C$999,'a 01'!$D$6:$D$999),""))</f>
        <v/>
      </c>
      <c r="E380" s="18" t="str">
        <f t="array" ref="E380">_xlfn.XLOOKUP(D380,Table_Warkah[Kode Tiket],Table_Warkah[Jenis Permohonan],"")</f>
        <v/>
      </c>
      <c r="F380" s="12" t="s">
        <v>42</v>
      </c>
      <c r="G380" s="12" t="s">
        <v>43</v>
      </c>
      <c r="H380" s="17">
        <f t="shared" si="1"/>
        <v>45607.39761</v>
      </c>
      <c r="I380" s="18"/>
      <c r="J380" s="20" t="b">
        <v>1</v>
      </c>
      <c r="K380" s="17">
        <f t="shared" si="2"/>
        <v>45614.66166</v>
      </c>
      <c r="L380" s="11" t="s">
        <v>54</v>
      </c>
      <c r="M380" s="21" t="s">
        <v>45</v>
      </c>
    </row>
    <row r="381" ht="22.5" customHeight="1">
      <c r="B381" s="13">
        <f t="shared" si="3"/>
        <v>374</v>
      </c>
      <c r="C381" s="12" t="s">
        <v>432</v>
      </c>
      <c r="D381" s="14" t="str">
        <f t="array" ref="D381">IF(C381="","",IFNA(_xlfn.XLOOKUP(C381,'a 01'!$C$6:$C$999,'a 01'!$D$6:$D$999),""))</f>
        <v>K/50/041124/1</v>
      </c>
      <c r="E381" s="18" t="str">
        <f t="array" ref="E381">_xlfn.XLOOKUP(D381,Table_Warkah[Kode Tiket],Table_Warkah[Jenis Permohonan],"")</f>
        <v>BN JUAL BELI</v>
      </c>
      <c r="F381" s="12" t="s">
        <v>42</v>
      </c>
      <c r="G381" s="12" t="s">
        <v>43</v>
      </c>
      <c r="H381" s="17">
        <f t="shared" si="1"/>
        <v>45607.39761</v>
      </c>
      <c r="I381" s="18"/>
      <c r="J381" s="20" t="b">
        <v>0</v>
      </c>
      <c r="K381" s="13" t="str">
        <f t="shared" si="2"/>
        <v/>
      </c>
      <c r="L381" s="13"/>
      <c r="M381" s="21" t="s">
        <v>45</v>
      </c>
    </row>
    <row r="382" ht="22.5" customHeight="1">
      <c r="B382" s="13">
        <f t="shared" si="3"/>
        <v>375</v>
      </c>
      <c r="C382" s="12" t="s">
        <v>433</v>
      </c>
      <c r="D382" s="14" t="str">
        <f t="array" ref="D382">IF(C382="","",IFNA(_xlfn.XLOOKUP(C382,'a 01'!$C$6:$C$999,'a 01'!$D$6:$D$999),""))</f>
        <v/>
      </c>
      <c r="E382" s="18" t="str">
        <f t="array" ref="E382">_xlfn.XLOOKUP(D382,Table_Warkah[Kode Tiket],Table_Warkah[Jenis Permohonan],"")</f>
        <v/>
      </c>
      <c r="F382" s="12" t="s">
        <v>42</v>
      </c>
      <c r="G382" s="12" t="s">
        <v>43</v>
      </c>
      <c r="H382" s="17">
        <f t="shared" si="1"/>
        <v>45607.39761</v>
      </c>
      <c r="I382" s="18"/>
      <c r="J382" s="20" t="b">
        <v>1</v>
      </c>
      <c r="K382" s="17">
        <f t="shared" si="2"/>
        <v>45614.66166</v>
      </c>
      <c r="L382" s="11" t="s">
        <v>54</v>
      </c>
      <c r="M382" s="21" t="s">
        <v>45</v>
      </c>
    </row>
    <row r="383" ht="22.5" customHeight="1">
      <c r="B383" s="13">
        <f t="shared" si="3"/>
        <v>376</v>
      </c>
      <c r="C383" s="12" t="s">
        <v>434</v>
      </c>
      <c r="D383" s="14" t="str">
        <f t="array" ref="D383">IF(C383="","",IFNA(_xlfn.XLOOKUP(C383,'a 01'!$C$6:$C$999,'a 01'!$D$6:$D$999),""))</f>
        <v/>
      </c>
      <c r="E383" s="18" t="str">
        <f t="array" ref="E383">_xlfn.XLOOKUP(D383,Table_Warkah[Kode Tiket],Table_Warkah[Jenis Permohonan],"")</f>
        <v/>
      </c>
      <c r="F383" s="12" t="s">
        <v>42</v>
      </c>
      <c r="G383" s="12" t="s">
        <v>43</v>
      </c>
      <c r="H383" s="17">
        <f t="shared" si="1"/>
        <v>45607.39761</v>
      </c>
      <c r="I383" s="18"/>
      <c r="J383" s="20" t="b">
        <v>1</v>
      </c>
      <c r="K383" s="17">
        <f t="shared" si="2"/>
        <v>45614.66166</v>
      </c>
      <c r="L383" s="11" t="s">
        <v>54</v>
      </c>
      <c r="M383" s="21" t="s">
        <v>45</v>
      </c>
    </row>
    <row r="384" ht="22.5" customHeight="1">
      <c r="B384" s="13">
        <f t="shared" si="3"/>
        <v>377</v>
      </c>
      <c r="C384" s="12" t="s">
        <v>435</v>
      </c>
      <c r="D384" s="14" t="str">
        <f t="array" ref="D384">IF(C384="","",IFNA(_xlfn.XLOOKUP(C384,'a 01'!$C$6:$C$999,'a 01'!$D$6:$D$999),""))</f>
        <v>K/60/311024/1</v>
      </c>
      <c r="E384" s="18" t="str">
        <f t="array" ref="E384">_xlfn.XLOOKUP(D384,Table_Warkah[Kode Tiket],Table_Warkah[Jenis Permohonan],"")</f>
        <v>BN Jual Beli</v>
      </c>
      <c r="F384" s="12" t="s">
        <v>42</v>
      </c>
      <c r="G384" s="12" t="s">
        <v>43</v>
      </c>
      <c r="H384" s="17">
        <f t="shared" si="1"/>
        <v>45607.39761</v>
      </c>
      <c r="I384" s="18"/>
      <c r="J384" s="20" t="b">
        <v>0</v>
      </c>
      <c r="K384" s="13" t="str">
        <f t="shared" si="2"/>
        <v/>
      </c>
      <c r="L384" s="13"/>
      <c r="M384" s="21" t="s">
        <v>45</v>
      </c>
    </row>
    <row r="385" ht="22.5" customHeight="1">
      <c r="B385" s="13">
        <f t="shared" si="3"/>
        <v>378</v>
      </c>
      <c r="C385" s="12" t="s">
        <v>436</v>
      </c>
      <c r="D385" s="14" t="str">
        <f t="array" ref="D385">IF(C385="","",IFNA(_xlfn.XLOOKUP(C385,'a 01'!$C$6:$C$999,'a 01'!$D$6:$D$999),""))</f>
        <v>K/39/041124/1</v>
      </c>
      <c r="E385" s="18" t="str">
        <f t="array" ref="E385">_xlfn.XLOOKUP(D385,Table_Warkah[Kode Tiket],Table_Warkah[Jenis Permohonan],"")</f>
        <v>BN JUAL BELI</v>
      </c>
      <c r="F385" s="12" t="s">
        <v>42</v>
      </c>
      <c r="G385" s="12" t="s">
        <v>43</v>
      </c>
      <c r="H385" s="17">
        <f t="shared" si="1"/>
        <v>45607.39761</v>
      </c>
      <c r="I385" s="18"/>
      <c r="J385" s="20" t="b">
        <v>1</v>
      </c>
      <c r="K385" s="17">
        <f t="shared" si="2"/>
        <v>45614.66166</v>
      </c>
      <c r="L385" s="11" t="s">
        <v>54</v>
      </c>
      <c r="M385" s="21" t="s">
        <v>45</v>
      </c>
    </row>
    <row r="386" ht="22.5" customHeight="1">
      <c r="B386" s="13">
        <f t="shared" si="3"/>
        <v>379</v>
      </c>
      <c r="C386" s="12" t="s">
        <v>437</v>
      </c>
      <c r="D386" s="14" t="str">
        <f t="array" ref="D386">IF(C386="","",IFNA(_xlfn.XLOOKUP(C386,'a 01'!$C$6:$C$999,'a 01'!$D$6:$D$999),""))</f>
        <v/>
      </c>
      <c r="E386" s="18" t="str">
        <f t="array" ref="E386">_xlfn.XLOOKUP(D386,Table_Warkah[Kode Tiket],Table_Warkah[Jenis Permohonan],"")</f>
        <v/>
      </c>
      <c r="F386" s="12" t="s">
        <v>42</v>
      </c>
      <c r="G386" s="12" t="s">
        <v>43</v>
      </c>
      <c r="H386" s="17">
        <f t="shared" si="1"/>
        <v>45607.39761</v>
      </c>
      <c r="I386" s="18"/>
      <c r="J386" s="20" t="b">
        <v>1</v>
      </c>
      <c r="K386" s="17">
        <f t="shared" si="2"/>
        <v>45614.66166</v>
      </c>
      <c r="L386" s="11" t="s">
        <v>54</v>
      </c>
      <c r="M386" s="21" t="s">
        <v>45</v>
      </c>
    </row>
    <row r="387" ht="22.5" customHeight="1">
      <c r="B387" s="13">
        <f t="shared" si="3"/>
        <v>380</v>
      </c>
      <c r="C387" s="12" t="s">
        <v>438</v>
      </c>
      <c r="D387" s="14" t="str">
        <f t="array" ref="D387">IF(C387="","",IFNA(_xlfn.XLOOKUP(C387,'a 01'!$C$6:$C$999,'a 01'!$D$6:$D$999),""))</f>
        <v/>
      </c>
      <c r="E387" s="18" t="str">
        <f t="array" ref="E387">_xlfn.XLOOKUP(D387,Table_Warkah[Kode Tiket],Table_Warkah[Jenis Permohonan],"")</f>
        <v/>
      </c>
      <c r="F387" s="12" t="s">
        <v>42</v>
      </c>
      <c r="G387" s="12" t="s">
        <v>43</v>
      </c>
      <c r="H387" s="17">
        <f t="shared" si="1"/>
        <v>45607.39761</v>
      </c>
      <c r="I387" s="18"/>
      <c r="J387" s="20" t="b">
        <v>1</v>
      </c>
      <c r="K387" s="17">
        <f t="shared" si="2"/>
        <v>45614.66166</v>
      </c>
      <c r="L387" s="11" t="s">
        <v>54</v>
      </c>
      <c r="M387" s="21" t="s">
        <v>45</v>
      </c>
    </row>
    <row r="388" ht="22.5" customHeight="1">
      <c r="B388" s="13">
        <f t="shared" si="3"/>
        <v>381</v>
      </c>
      <c r="C388" s="12" t="s">
        <v>439</v>
      </c>
      <c r="D388" s="14" t="str">
        <f t="array" ref="D388">IF(C388="","",IFNA(_xlfn.XLOOKUP(C388,'a 01'!$C$6:$C$999,'a 01'!$D$6:$D$999),""))</f>
        <v/>
      </c>
      <c r="E388" s="18" t="str">
        <f t="array" ref="E388">_xlfn.XLOOKUP(D388,Table_Warkah[Kode Tiket],Table_Warkah[Jenis Permohonan],"")</f>
        <v/>
      </c>
      <c r="F388" s="12" t="s">
        <v>42</v>
      </c>
      <c r="G388" s="12" t="s">
        <v>43</v>
      </c>
      <c r="H388" s="17">
        <f t="shared" si="1"/>
        <v>45607.39761</v>
      </c>
      <c r="I388" s="18"/>
      <c r="J388" s="20" t="b">
        <v>1</v>
      </c>
      <c r="K388" s="17">
        <f t="shared" si="2"/>
        <v>45614.66166</v>
      </c>
      <c r="L388" s="11" t="s">
        <v>54</v>
      </c>
      <c r="M388" s="21" t="s">
        <v>45</v>
      </c>
    </row>
    <row r="389" ht="22.5" customHeight="1">
      <c r="B389" s="13">
        <f t="shared" si="3"/>
        <v>382</v>
      </c>
      <c r="C389" s="12" t="s">
        <v>440</v>
      </c>
      <c r="D389" s="14" t="str">
        <f t="array" ref="D389">IF(C389="","",IFNA(_xlfn.XLOOKUP(C389,'a 01'!$C$6:$C$999,'a 01'!$D$6:$D$999),""))</f>
        <v/>
      </c>
      <c r="E389" s="18" t="str">
        <f t="array" ref="E389">_xlfn.XLOOKUP(D389,Table_Warkah[Kode Tiket],Table_Warkah[Jenis Permohonan],"")</f>
        <v/>
      </c>
      <c r="F389" s="12" t="s">
        <v>42</v>
      </c>
      <c r="G389" s="12" t="s">
        <v>43</v>
      </c>
      <c r="H389" s="17">
        <f t="shared" si="1"/>
        <v>45607.39761</v>
      </c>
      <c r="I389" s="18"/>
      <c r="J389" s="20" t="b">
        <v>1</v>
      </c>
      <c r="K389" s="17">
        <f t="shared" si="2"/>
        <v>45614.66166</v>
      </c>
      <c r="L389" s="11" t="s">
        <v>54</v>
      </c>
      <c r="M389" s="21" t="s">
        <v>45</v>
      </c>
    </row>
    <row r="390" ht="22.5" customHeight="1">
      <c r="B390" s="13">
        <f t="shared" si="3"/>
        <v>383</v>
      </c>
      <c r="C390" s="12" t="s">
        <v>441</v>
      </c>
      <c r="D390" s="14" t="str">
        <f t="array" ref="D390">IF(C390="","",IFNA(_xlfn.XLOOKUP(C390,'a 01'!$C$6:$C$999,'a 01'!$D$6:$D$999),""))</f>
        <v/>
      </c>
      <c r="E390" s="18" t="str">
        <f t="array" ref="E390">_xlfn.XLOOKUP(D390,Table_Warkah[Kode Tiket],Table_Warkah[Jenis Permohonan],"")</f>
        <v/>
      </c>
      <c r="F390" s="12" t="s">
        <v>42</v>
      </c>
      <c r="G390" s="12" t="s">
        <v>43</v>
      </c>
      <c r="H390" s="17">
        <f t="shared" si="1"/>
        <v>45607.39761</v>
      </c>
      <c r="I390" s="18"/>
      <c r="J390" s="20" t="b">
        <v>1</v>
      </c>
      <c r="K390" s="17">
        <f t="shared" si="2"/>
        <v>45614.66166</v>
      </c>
      <c r="L390" s="11" t="s">
        <v>54</v>
      </c>
      <c r="M390" s="21" t="s">
        <v>45</v>
      </c>
    </row>
    <row r="391" ht="22.5" customHeight="1">
      <c r="B391" s="13">
        <f t="shared" si="3"/>
        <v>384</v>
      </c>
      <c r="C391" s="12" t="s">
        <v>442</v>
      </c>
      <c r="D391" s="14" t="str">
        <f t="array" ref="D391">IF(C391="","",IFNA(_xlfn.XLOOKUP(C391,'a 01'!$C$6:$C$999,'a 01'!$D$6:$D$999),""))</f>
        <v/>
      </c>
      <c r="E391" s="18" t="str">
        <f t="array" ref="E391">_xlfn.XLOOKUP(D391,Table_Warkah[Kode Tiket],Table_Warkah[Jenis Permohonan],"")</f>
        <v/>
      </c>
      <c r="F391" s="12" t="s">
        <v>42</v>
      </c>
      <c r="G391" s="12" t="s">
        <v>43</v>
      </c>
      <c r="H391" s="17">
        <f t="shared" si="1"/>
        <v>45608.37556</v>
      </c>
      <c r="I391" s="18"/>
      <c r="J391" s="20" t="b">
        <v>0</v>
      </c>
      <c r="K391" s="13" t="str">
        <f t="shared" si="2"/>
        <v/>
      </c>
      <c r="L391" s="13"/>
      <c r="M391" s="21" t="s">
        <v>45</v>
      </c>
    </row>
    <row r="392" ht="22.5" customHeight="1">
      <c r="B392" s="13">
        <f t="shared" si="3"/>
        <v>385</v>
      </c>
      <c r="C392" s="12" t="s">
        <v>443</v>
      </c>
      <c r="D392" s="14" t="str">
        <f t="array" ref="D392">IF(C392="","",IFNA(_xlfn.XLOOKUP(C392,'a 01'!$C$6:$C$999,'a 01'!$D$6:$D$999),""))</f>
        <v/>
      </c>
      <c r="E392" s="18" t="str">
        <f t="array" ref="E392">_xlfn.XLOOKUP(D392,Table_Warkah[Kode Tiket],Table_Warkah[Jenis Permohonan],"")</f>
        <v/>
      </c>
      <c r="F392" s="12" t="s">
        <v>42</v>
      </c>
      <c r="G392" s="12" t="s">
        <v>43</v>
      </c>
      <c r="H392" s="17">
        <f t="shared" si="1"/>
        <v>45608.37556</v>
      </c>
      <c r="I392" s="18"/>
      <c r="J392" s="20" t="b">
        <v>0</v>
      </c>
      <c r="K392" s="13" t="str">
        <f t="shared" si="2"/>
        <v/>
      </c>
      <c r="L392" s="13"/>
      <c r="M392" s="21" t="s">
        <v>45</v>
      </c>
    </row>
    <row r="393" ht="22.5" customHeight="1">
      <c r="B393" s="13">
        <f t="shared" si="3"/>
        <v>386</v>
      </c>
      <c r="C393" s="12" t="s">
        <v>444</v>
      </c>
      <c r="D393" s="14" t="str">
        <f t="array" ref="D393">IF(C393="","",IFNA(_xlfn.XLOOKUP(C393,'a 01'!$C$6:$C$999,'a 01'!$D$6:$D$999),""))</f>
        <v/>
      </c>
      <c r="E393" s="18" t="str">
        <f t="array" ref="E393">_xlfn.XLOOKUP(D393,Table_Warkah[Kode Tiket],Table_Warkah[Jenis Permohonan],"")</f>
        <v/>
      </c>
      <c r="F393" s="12" t="s">
        <v>42</v>
      </c>
      <c r="G393" s="12" t="s">
        <v>43</v>
      </c>
      <c r="H393" s="17">
        <f t="shared" si="1"/>
        <v>45608.37556</v>
      </c>
      <c r="I393" s="18"/>
      <c r="J393" s="20" t="b">
        <v>0</v>
      </c>
      <c r="K393" s="13" t="str">
        <f t="shared" si="2"/>
        <v/>
      </c>
      <c r="L393" s="13"/>
      <c r="M393" s="21" t="s">
        <v>45</v>
      </c>
    </row>
    <row r="394" ht="22.5" customHeight="1">
      <c r="B394" s="13">
        <f t="shared" si="3"/>
        <v>387</v>
      </c>
      <c r="C394" s="12" t="s">
        <v>445</v>
      </c>
      <c r="D394" s="14" t="str">
        <f t="array" ref="D394">IF(C394="","",IFNA(_xlfn.XLOOKUP(C394,'a 01'!$C$6:$C$999,'a 01'!$D$6:$D$999),""))</f>
        <v/>
      </c>
      <c r="E394" s="18" t="str">
        <f t="array" ref="E394">_xlfn.XLOOKUP(D394,Table_Warkah[Kode Tiket],Table_Warkah[Jenis Permohonan],"")</f>
        <v/>
      </c>
      <c r="F394" s="12" t="s">
        <v>42</v>
      </c>
      <c r="G394" s="12" t="s">
        <v>43</v>
      </c>
      <c r="H394" s="17">
        <f t="shared" si="1"/>
        <v>45608.37556</v>
      </c>
      <c r="I394" s="18"/>
      <c r="J394" s="20" t="b">
        <v>1</v>
      </c>
      <c r="K394" s="17">
        <f t="shared" si="2"/>
        <v>45614.66166</v>
      </c>
      <c r="L394" s="11" t="s">
        <v>54</v>
      </c>
      <c r="M394" s="21" t="s">
        <v>45</v>
      </c>
    </row>
    <row r="395" ht="22.5" customHeight="1">
      <c r="B395" s="13">
        <f t="shared" si="3"/>
        <v>388</v>
      </c>
      <c r="C395" s="12" t="s">
        <v>446</v>
      </c>
      <c r="D395" s="14" t="str">
        <f t="array" ref="D395">IF(C395="","",IFNA(_xlfn.XLOOKUP(C395,'a 01'!$C$6:$C$999,'a 01'!$D$6:$D$999),""))</f>
        <v/>
      </c>
      <c r="E395" s="18" t="str">
        <f t="array" ref="E395">_xlfn.XLOOKUP(D395,Table_Warkah[Kode Tiket],Table_Warkah[Jenis Permohonan],"")</f>
        <v/>
      </c>
      <c r="F395" s="12" t="s">
        <v>42</v>
      </c>
      <c r="G395" s="12" t="s">
        <v>43</v>
      </c>
      <c r="H395" s="17">
        <f t="shared" si="1"/>
        <v>45608.37556</v>
      </c>
      <c r="I395" s="18"/>
      <c r="J395" s="20" t="b">
        <v>0</v>
      </c>
      <c r="K395" s="13" t="str">
        <f t="shared" si="2"/>
        <v/>
      </c>
      <c r="L395" s="13"/>
      <c r="M395" s="21" t="s">
        <v>45</v>
      </c>
    </row>
    <row r="396" ht="22.5" customHeight="1">
      <c r="B396" s="13">
        <f t="shared" si="3"/>
        <v>389</v>
      </c>
      <c r="C396" s="12" t="s">
        <v>447</v>
      </c>
      <c r="D396" s="14" t="str">
        <f t="array" ref="D396">IF(C396="","",IFNA(_xlfn.XLOOKUP(C396,'a 01'!$C$6:$C$999,'a 01'!$D$6:$D$999),""))</f>
        <v/>
      </c>
      <c r="E396" s="18" t="str">
        <f t="array" ref="E396">_xlfn.XLOOKUP(D396,Table_Warkah[Kode Tiket],Table_Warkah[Jenis Permohonan],"")</f>
        <v/>
      </c>
      <c r="F396" s="12" t="s">
        <v>42</v>
      </c>
      <c r="G396" s="12" t="s">
        <v>43</v>
      </c>
      <c r="H396" s="17">
        <f t="shared" si="1"/>
        <v>45608.37556</v>
      </c>
      <c r="I396" s="18"/>
      <c r="J396" s="20" t="b">
        <v>0</v>
      </c>
      <c r="K396" s="13" t="str">
        <f t="shared" si="2"/>
        <v/>
      </c>
      <c r="L396" s="13"/>
      <c r="M396" s="21" t="s">
        <v>45</v>
      </c>
    </row>
    <row r="397" ht="22.5" customHeight="1">
      <c r="B397" s="13">
        <f t="shared" si="3"/>
        <v>390</v>
      </c>
      <c r="C397" s="12" t="s">
        <v>448</v>
      </c>
      <c r="D397" s="14" t="str">
        <f t="array" ref="D397">IF(C397="","",IFNA(_xlfn.XLOOKUP(C397,'a 01'!$C$6:$C$999,'a 01'!$D$6:$D$999),""))</f>
        <v>K/16/071124/2</v>
      </c>
      <c r="E397" s="18" t="str">
        <f t="array" ref="E397">_xlfn.XLOOKUP(D397,Table_Warkah[Kode Tiket],Table_Warkah[Jenis Permohonan],"")</f>
        <v>BN JUAL BELI</v>
      </c>
      <c r="F397" s="12" t="s">
        <v>42</v>
      </c>
      <c r="G397" s="12" t="s">
        <v>43</v>
      </c>
      <c r="H397" s="17">
        <f t="shared" si="1"/>
        <v>45608.37556</v>
      </c>
      <c r="I397" s="18"/>
      <c r="J397" s="20" t="b">
        <v>0</v>
      </c>
      <c r="K397" s="13" t="str">
        <f t="shared" si="2"/>
        <v/>
      </c>
      <c r="L397" s="13"/>
      <c r="M397" s="21" t="s">
        <v>45</v>
      </c>
    </row>
    <row r="398" ht="22.5" customHeight="1">
      <c r="B398" s="13">
        <f t="shared" si="3"/>
        <v>391</v>
      </c>
      <c r="C398" s="12" t="s">
        <v>449</v>
      </c>
      <c r="D398" s="14" t="str">
        <f t="array" ref="D398">IF(C398="","",IFNA(_xlfn.XLOOKUP(C398,'a 01'!$C$6:$C$999,'a 01'!$D$6:$D$999),""))</f>
        <v/>
      </c>
      <c r="E398" s="18" t="str">
        <f t="array" ref="E398">_xlfn.XLOOKUP(D398,Table_Warkah[Kode Tiket],Table_Warkah[Jenis Permohonan],"")</f>
        <v/>
      </c>
      <c r="F398" s="12" t="s">
        <v>42</v>
      </c>
      <c r="G398" s="12" t="s">
        <v>43</v>
      </c>
      <c r="H398" s="17">
        <f t="shared" si="1"/>
        <v>45608.37556</v>
      </c>
      <c r="I398" s="18"/>
      <c r="J398" s="20" t="b">
        <v>0</v>
      </c>
      <c r="K398" s="13" t="str">
        <f t="shared" si="2"/>
        <v/>
      </c>
      <c r="L398" s="13"/>
      <c r="M398" s="21" t="s">
        <v>45</v>
      </c>
    </row>
    <row r="399" ht="22.5" customHeight="1">
      <c r="B399" s="13">
        <f t="shared" si="3"/>
        <v>392</v>
      </c>
      <c r="C399" s="12" t="s">
        <v>450</v>
      </c>
      <c r="D399" s="14" t="str">
        <f t="array" ref="D399">IF(C399="","",IFNA(_xlfn.XLOOKUP(C399,'a 01'!$C$6:$C$999,'a 01'!$D$6:$D$999),""))</f>
        <v>K/18/071124/4</v>
      </c>
      <c r="E399" s="18" t="str">
        <f t="array" ref="E399">_xlfn.XLOOKUP(D399,Table_Warkah[Kode Tiket],Table_Warkah[Jenis Permohonan],"")</f>
        <v>BN JUAL BELI</v>
      </c>
      <c r="F399" s="12" t="s">
        <v>42</v>
      </c>
      <c r="G399" s="12" t="s">
        <v>43</v>
      </c>
      <c r="H399" s="17">
        <f t="shared" si="1"/>
        <v>45608.37556</v>
      </c>
      <c r="I399" s="18"/>
      <c r="J399" s="20" t="b">
        <v>0</v>
      </c>
      <c r="K399" s="13" t="str">
        <f t="shared" si="2"/>
        <v/>
      </c>
      <c r="L399" s="13"/>
      <c r="M399" s="21" t="s">
        <v>45</v>
      </c>
    </row>
    <row r="400" ht="22.5" customHeight="1">
      <c r="B400" s="13">
        <f t="shared" si="3"/>
        <v>393</v>
      </c>
      <c r="C400" s="12" t="s">
        <v>451</v>
      </c>
      <c r="D400" s="14" t="str">
        <f t="array" ref="D400">IF(C400="","",IFNA(_xlfn.XLOOKUP(C400,'a 01'!$C$6:$C$999,'a 01'!$D$6:$D$999),""))</f>
        <v>L/22/071124/1</v>
      </c>
      <c r="E400" s="18" t="str">
        <f t="array" ref="E400">_xlfn.XLOOKUP(D400,Table_Warkah[Kode Tiket],Table_Warkah[Jenis Permohonan],"")</f>
        <v>BN HIBAH</v>
      </c>
      <c r="F400" s="12" t="s">
        <v>42</v>
      </c>
      <c r="G400" s="12" t="s">
        <v>43</v>
      </c>
      <c r="H400" s="17">
        <f t="shared" si="1"/>
        <v>45608.37556</v>
      </c>
      <c r="I400" s="18"/>
      <c r="J400" s="20" t="b">
        <v>0</v>
      </c>
      <c r="K400" s="13" t="str">
        <f t="shared" si="2"/>
        <v/>
      </c>
      <c r="L400" s="13"/>
      <c r="M400" s="21" t="s">
        <v>45</v>
      </c>
    </row>
    <row r="401" ht="22.5" customHeight="1">
      <c r="B401" s="13">
        <f t="shared" si="3"/>
        <v>394</v>
      </c>
      <c r="C401" s="12" t="s">
        <v>452</v>
      </c>
      <c r="D401" s="14" t="str">
        <f t="array" ref="D401">IF(C401="","",IFNA(_xlfn.XLOOKUP(C401,'a 01'!$C$6:$C$999,'a 01'!$D$6:$D$999),""))</f>
        <v>K/35/071124/1</v>
      </c>
      <c r="E401" s="18" t="str">
        <f t="array" ref="E401">_xlfn.XLOOKUP(D401,Table_Warkah[Kode Tiket],Table_Warkah[Jenis Permohonan],"")</f>
        <v>BN Jual Beli</v>
      </c>
      <c r="F401" s="12" t="s">
        <v>42</v>
      </c>
      <c r="G401" s="12" t="s">
        <v>43</v>
      </c>
      <c r="H401" s="17">
        <f t="shared" si="1"/>
        <v>45608.37556</v>
      </c>
      <c r="I401" s="18"/>
      <c r="J401" s="20" t="b">
        <v>0</v>
      </c>
      <c r="K401" s="13" t="str">
        <f t="shared" si="2"/>
        <v/>
      </c>
      <c r="L401" s="13"/>
      <c r="M401" s="21" t="s">
        <v>45</v>
      </c>
    </row>
    <row r="402" ht="22.5" customHeight="1">
      <c r="B402" s="13">
        <f t="shared" si="3"/>
        <v>395</v>
      </c>
      <c r="C402" s="12" t="s">
        <v>453</v>
      </c>
      <c r="D402" s="14" t="str">
        <f t="array" ref="D402">IF(C402="","",IFNA(_xlfn.XLOOKUP(C402,'a 01'!$C$6:$C$999,'a 01'!$D$6:$D$999),""))</f>
        <v/>
      </c>
      <c r="E402" s="18" t="str">
        <f t="array" ref="E402">_xlfn.XLOOKUP(D402,Table_Warkah[Kode Tiket],Table_Warkah[Jenis Permohonan],"")</f>
        <v/>
      </c>
      <c r="F402" s="12" t="s">
        <v>42</v>
      </c>
      <c r="G402" s="12" t="s">
        <v>43</v>
      </c>
      <c r="H402" s="17">
        <f t="shared" si="1"/>
        <v>45608.37556</v>
      </c>
      <c r="I402" s="18"/>
      <c r="J402" s="20" t="b">
        <v>0</v>
      </c>
      <c r="K402" s="13" t="str">
        <f t="shared" si="2"/>
        <v/>
      </c>
      <c r="L402" s="13"/>
      <c r="M402" s="21" t="s">
        <v>45</v>
      </c>
    </row>
    <row r="403" ht="22.5" customHeight="1">
      <c r="B403" s="13">
        <f t="shared" si="3"/>
        <v>396</v>
      </c>
      <c r="C403" s="12" t="s">
        <v>454</v>
      </c>
      <c r="D403" s="14" t="str">
        <f t="array" ref="D403">IF(C403="","",IFNA(_xlfn.XLOOKUP(C403,'a 01'!$C$6:$C$999,'a 01'!$D$6:$D$999),""))</f>
        <v>K/6/071124/1</v>
      </c>
      <c r="E403" s="18" t="str">
        <f t="array" ref="E403">_xlfn.XLOOKUP(D403,Table_Warkah[Kode Tiket],Table_Warkah[Jenis Permohonan],"")</f>
        <v>BN JUAL BELI</v>
      </c>
      <c r="F403" s="12" t="s">
        <v>42</v>
      </c>
      <c r="G403" s="12" t="s">
        <v>43</v>
      </c>
      <c r="H403" s="17">
        <f t="shared" si="1"/>
        <v>45608.37556</v>
      </c>
      <c r="I403" s="18"/>
      <c r="J403" s="20" t="b">
        <v>0</v>
      </c>
      <c r="K403" s="13" t="str">
        <f t="shared" si="2"/>
        <v/>
      </c>
      <c r="L403" s="13"/>
      <c r="M403" s="21" t="s">
        <v>45</v>
      </c>
    </row>
    <row r="404" ht="22.5" customHeight="1">
      <c r="B404" s="13">
        <f t="shared" si="3"/>
        <v>397</v>
      </c>
      <c r="C404" s="12" t="s">
        <v>455</v>
      </c>
      <c r="D404" s="14" t="str">
        <f t="array" ref="D404">IF(C404="","",IFNA(_xlfn.XLOOKUP(C404,'a 01'!$C$6:$C$999,'a 01'!$D$6:$D$999),""))</f>
        <v/>
      </c>
      <c r="E404" s="18" t="str">
        <f t="array" ref="E404">_xlfn.XLOOKUP(D404,Table_Warkah[Kode Tiket],Table_Warkah[Jenis Permohonan],"")</f>
        <v/>
      </c>
      <c r="F404" s="12" t="s">
        <v>42</v>
      </c>
      <c r="G404" s="12" t="s">
        <v>43</v>
      </c>
      <c r="H404" s="17">
        <f t="shared" si="1"/>
        <v>45608.37556</v>
      </c>
      <c r="I404" s="18"/>
      <c r="J404" s="20" t="b">
        <v>0</v>
      </c>
      <c r="K404" s="13" t="str">
        <f t="shared" si="2"/>
        <v/>
      </c>
      <c r="L404" s="13"/>
      <c r="M404" s="21" t="s">
        <v>45</v>
      </c>
    </row>
    <row r="405" ht="22.5" customHeight="1">
      <c r="B405" s="13">
        <f t="shared" si="3"/>
        <v>398</v>
      </c>
      <c r="C405" s="12" t="s">
        <v>456</v>
      </c>
      <c r="D405" s="14" t="str">
        <f t="array" ref="D405">IF(C405="","",IFNA(_xlfn.XLOOKUP(C405,'a 01'!$C$6:$C$999,'a 01'!$D$6:$D$999),""))</f>
        <v/>
      </c>
      <c r="E405" s="18" t="str">
        <f t="array" ref="E405">_xlfn.XLOOKUP(D405,Table_Warkah[Kode Tiket],Table_Warkah[Jenis Permohonan],"")</f>
        <v/>
      </c>
      <c r="F405" s="12" t="s">
        <v>42</v>
      </c>
      <c r="G405" s="12" t="s">
        <v>43</v>
      </c>
      <c r="H405" s="17">
        <f t="shared" si="1"/>
        <v>45608.37556</v>
      </c>
      <c r="I405" s="18"/>
      <c r="J405" s="20" t="b">
        <v>0</v>
      </c>
      <c r="K405" s="13" t="str">
        <f t="shared" si="2"/>
        <v/>
      </c>
      <c r="L405" s="13"/>
      <c r="M405" s="21" t="s">
        <v>45</v>
      </c>
    </row>
    <row r="406" ht="22.5" customHeight="1">
      <c r="B406" s="13">
        <f t="shared" si="3"/>
        <v>399</v>
      </c>
      <c r="C406" s="12" t="s">
        <v>457</v>
      </c>
      <c r="D406" s="14" t="str">
        <f t="array" ref="D406">IF(C406="","",IFNA(_xlfn.XLOOKUP(C406,'a 01'!$C$6:$C$999,'a 01'!$D$6:$D$999),""))</f>
        <v/>
      </c>
      <c r="E406" s="18" t="str">
        <f t="array" ref="E406">_xlfn.XLOOKUP(D406,Table_Warkah[Kode Tiket],Table_Warkah[Jenis Permohonan],"")</f>
        <v/>
      </c>
      <c r="F406" s="12" t="s">
        <v>42</v>
      </c>
      <c r="G406" s="12" t="s">
        <v>43</v>
      </c>
      <c r="H406" s="17">
        <f t="shared" si="1"/>
        <v>45608.37556</v>
      </c>
      <c r="I406" s="18"/>
      <c r="J406" s="20" t="b">
        <v>1</v>
      </c>
      <c r="K406" s="17">
        <f t="shared" si="2"/>
        <v>45614.66166</v>
      </c>
      <c r="L406" s="11" t="s">
        <v>54</v>
      </c>
      <c r="M406" s="21" t="s">
        <v>45</v>
      </c>
    </row>
    <row r="407" ht="22.5" customHeight="1">
      <c r="B407" s="13">
        <f t="shared" si="3"/>
        <v>400</v>
      </c>
      <c r="C407" s="12" t="s">
        <v>458</v>
      </c>
      <c r="D407" s="14" t="str">
        <f t="array" ref="D407">IF(C407="","",IFNA(_xlfn.XLOOKUP(C407,'a 01'!$C$6:$C$999,'a 01'!$D$6:$D$999),""))</f>
        <v>K/23/071124/1</v>
      </c>
      <c r="E407" s="18" t="str">
        <f t="array" ref="E407">_xlfn.XLOOKUP(D407,Table_Warkah[Kode Tiket],Table_Warkah[Jenis Permohonan],"")</f>
        <v>ROYA</v>
      </c>
      <c r="F407" s="12" t="s">
        <v>42</v>
      </c>
      <c r="G407" s="12" t="s">
        <v>43</v>
      </c>
      <c r="H407" s="17">
        <f t="shared" si="1"/>
        <v>45608.37556</v>
      </c>
      <c r="I407" s="18"/>
      <c r="J407" s="20" t="b">
        <v>1</v>
      </c>
      <c r="K407" s="17">
        <f t="shared" si="2"/>
        <v>45614.66166</v>
      </c>
      <c r="L407" s="11" t="s">
        <v>49</v>
      </c>
      <c r="M407" s="21" t="s">
        <v>45</v>
      </c>
    </row>
    <row r="408" ht="22.5" customHeight="1">
      <c r="B408" s="13">
        <f t="shared" si="3"/>
        <v>401</v>
      </c>
      <c r="C408" s="12" t="s">
        <v>459</v>
      </c>
      <c r="D408" s="14" t="str">
        <f t="array" ref="D408">IF(C408="","",IFNA(_xlfn.XLOOKUP(C408,'a 01'!$C$6:$C$999,'a 01'!$D$6:$D$999),""))</f>
        <v>K/49/061124/3</v>
      </c>
      <c r="E408" s="18" t="str">
        <f t="array" ref="E408">_xlfn.XLOOKUP(D408,Table_Warkah[Kode Tiket],Table_Warkah[Jenis Permohonan],"")</f>
        <v>PH</v>
      </c>
      <c r="F408" s="12" t="s">
        <v>42</v>
      </c>
      <c r="G408" s="12" t="s">
        <v>43</v>
      </c>
      <c r="H408" s="17">
        <f t="shared" si="1"/>
        <v>45608.37556</v>
      </c>
      <c r="I408" s="18"/>
      <c r="J408" s="20" t="b">
        <v>0</v>
      </c>
      <c r="K408" s="13" t="str">
        <f t="shared" si="2"/>
        <v/>
      </c>
      <c r="L408" s="13"/>
      <c r="M408" s="21" t="s">
        <v>45</v>
      </c>
    </row>
    <row r="409" ht="22.5" customHeight="1">
      <c r="B409" s="13">
        <f t="shared" si="3"/>
        <v>402</v>
      </c>
      <c r="C409" s="12" t="s">
        <v>460</v>
      </c>
      <c r="D409" s="14" t="str">
        <f t="array" ref="D409">IF(C409="","",IFNA(_xlfn.XLOOKUP(C409,'a 01'!$C$6:$C$999,'a 01'!$D$6:$D$999),""))</f>
        <v>K/23/311024/1</v>
      </c>
      <c r="E409" s="18" t="str">
        <f t="array" ref="E409">_xlfn.XLOOKUP(D409,Table_Warkah[Kode Tiket],Table_Warkah[Jenis Permohonan],"")</f>
        <v>ROYA</v>
      </c>
      <c r="F409" s="12" t="s">
        <v>42</v>
      </c>
      <c r="G409" s="12" t="s">
        <v>43</v>
      </c>
      <c r="H409" s="17">
        <f t="shared" si="1"/>
        <v>45614.66166</v>
      </c>
      <c r="I409" s="18"/>
      <c r="J409" s="20" t="b">
        <v>0</v>
      </c>
      <c r="K409" s="13" t="str">
        <f t="shared" si="2"/>
        <v/>
      </c>
      <c r="L409" s="13"/>
      <c r="M409" s="21" t="s">
        <v>45</v>
      </c>
      <c r="N409" s="1" t="s">
        <v>461</v>
      </c>
    </row>
    <row r="410" ht="22.5" customHeight="1">
      <c r="B410" s="13">
        <f t="shared" si="3"/>
        <v>403</v>
      </c>
      <c r="C410" s="12" t="s">
        <v>462</v>
      </c>
      <c r="D410" s="14" t="str">
        <f t="array" ref="D410">IF(C410="","",IFNA(_xlfn.XLOOKUP(C410,'a 01'!$C$6:$C$999,'a 01'!$D$6:$D$999),""))</f>
        <v/>
      </c>
      <c r="E410" s="18" t="str">
        <f t="array" ref="E410">_xlfn.XLOOKUP(D410,Table_Warkah[Kode Tiket],Table_Warkah[Jenis Permohonan],"")</f>
        <v/>
      </c>
      <c r="F410" s="12" t="s">
        <v>42</v>
      </c>
      <c r="G410" s="12" t="s">
        <v>43</v>
      </c>
      <c r="H410" s="17">
        <f t="shared" si="1"/>
        <v>45614.66166</v>
      </c>
      <c r="I410" s="18"/>
      <c r="J410" s="20" t="b">
        <v>0</v>
      </c>
      <c r="K410" s="13" t="str">
        <f t="shared" si="2"/>
        <v/>
      </c>
      <c r="L410" s="13"/>
      <c r="M410" s="21" t="s">
        <v>45</v>
      </c>
      <c r="N410" s="1" t="s">
        <v>461</v>
      </c>
    </row>
    <row r="411" ht="22.5" customHeight="1">
      <c r="B411" s="13">
        <f t="shared" si="3"/>
        <v>404</v>
      </c>
      <c r="C411" s="12" t="s">
        <v>463</v>
      </c>
      <c r="D411" s="14" t="str">
        <f t="array" ref="D411">IF(C411="","",IFNA(_xlfn.XLOOKUP(C411,'a 01'!$C$6:$C$999,'a 01'!$D$6:$D$999),""))</f>
        <v/>
      </c>
      <c r="E411" s="18" t="str">
        <f t="array" ref="E411">_xlfn.XLOOKUP(D411,Table_Warkah[Kode Tiket],Table_Warkah[Jenis Permohonan],"")</f>
        <v/>
      </c>
      <c r="F411" s="12" t="s">
        <v>42</v>
      </c>
      <c r="G411" s="12" t="s">
        <v>43</v>
      </c>
      <c r="H411" s="17">
        <f t="shared" si="1"/>
        <v>45614.66166</v>
      </c>
      <c r="I411" s="18"/>
      <c r="J411" s="20" t="b">
        <v>0</v>
      </c>
      <c r="K411" s="13" t="str">
        <f t="shared" si="2"/>
        <v/>
      </c>
      <c r="L411" s="13"/>
      <c r="M411" s="21" t="s">
        <v>45</v>
      </c>
      <c r="N411" s="1" t="s">
        <v>461</v>
      </c>
    </row>
    <row r="412" ht="22.5" customHeight="1">
      <c r="B412" s="13">
        <f t="shared" si="3"/>
        <v>405</v>
      </c>
      <c r="C412" s="12" t="s">
        <v>464</v>
      </c>
      <c r="D412" s="14" t="str">
        <f t="array" ref="D412">IF(C412="","",IFNA(_xlfn.XLOOKUP(C412,'a 01'!$C$6:$C$999,'a 01'!$D$6:$D$999),""))</f>
        <v/>
      </c>
      <c r="E412" s="18" t="str">
        <f t="array" ref="E412">_xlfn.XLOOKUP(D412,Table_Warkah[Kode Tiket],Table_Warkah[Jenis Permohonan],"")</f>
        <v/>
      </c>
      <c r="F412" s="12" t="s">
        <v>42</v>
      </c>
      <c r="G412" s="12" t="s">
        <v>43</v>
      </c>
      <c r="H412" s="17">
        <f t="shared" si="1"/>
        <v>45614.66166</v>
      </c>
      <c r="I412" s="18"/>
      <c r="J412" s="20" t="b">
        <v>0</v>
      </c>
      <c r="K412" s="13" t="str">
        <f t="shared" si="2"/>
        <v/>
      </c>
      <c r="L412" s="13"/>
      <c r="M412" s="21" t="s">
        <v>45</v>
      </c>
      <c r="N412" s="1" t="s">
        <v>461</v>
      </c>
    </row>
    <row r="413" ht="22.5" customHeight="1">
      <c r="B413" s="13">
        <f t="shared" si="3"/>
        <v>406</v>
      </c>
      <c r="C413" s="12" t="s">
        <v>465</v>
      </c>
      <c r="D413" s="14" t="str">
        <f t="array" ref="D413">IF(C413="","",IFNA(_xlfn.XLOOKUP(C413,'a 01'!$C$6:$C$999,'a 01'!$D$6:$D$999),""))</f>
        <v/>
      </c>
      <c r="E413" s="18" t="str">
        <f t="array" ref="E413">_xlfn.XLOOKUP(D413,Table_Warkah[Kode Tiket],Table_Warkah[Jenis Permohonan],"")</f>
        <v/>
      </c>
      <c r="F413" s="12" t="s">
        <v>42</v>
      </c>
      <c r="G413" s="12" t="s">
        <v>43</v>
      </c>
      <c r="H413" s="17">
        <f t="shared" si="1"/>
        <v>45614.66166</v>
      </c>
      <c r="I413" s="18"/>
      <c r="J413" s="20" t="b">
        <v>1</v>
      </c>
      <c r="K413" s="17">
        <f t="shared" si="2"/>
        <v>45614.66166</v>
      </c>
      <c r="L413" s="11" t="s">
        <v>54</v>
      </c>
      <c r="M413" s="21" t="s">
        <v>45</v>
      </c>
      <c r="N413" s="1" t="s">
        <v>461</v>
      </c>
    </row>
    <row r="414" ht="22.5" customHeight="1">
      <c r="B414" s="13">
        <f t="shared" si="3"/>
        <v>407</v>
      </c>
      <c r="C414" s="12" t="s">
        <v>466</v>
      </c>
      <c r="D414" s="14" t="str">
        <f t="array" ref="D414">IF(C414="","",IFNA(_xlfn.XLOOKUP(C414,'a 01'!$C$6:$C$999,'a 01'!$D$6:$D$999),""))</f>
        <v/>
      </c>
      <c r="E414" s="18" t="str">
        <f t="array" ref="E414">_xlfn.XLOOKUP(D414,Table_Warkah[Kode Tiket],Table_Warkah[Jenis Permohonan],"")</f>
        <v/>
      </c>
      <c r="F414" s="12" t="s">
        <v>42</v>
      </c>
      <c r="G414" s="12" t="s">
        <v>43</v>
      </c>
      <c r="H414" s="17">
        <f t="shared" si="1"/>
        <v>45614.66166</v>
      </c>
      <c r="I414" s="18"/>
      <c r="J414" s="20" t="b">
        <v>0</v>
      </c>
      <c r="K414" s="13" t="str">
        <f t="shared" si="2"/>
        <v/>
      </c>
      <c r="L414" s="13"/>
      <c r="M414" s="21" t="s">
        <v>45</v>
      </c>
      <c r="N414" s="1" t="s">
        <v>461</v>
      </c>
    </row>
    <row r="415" ht="22.5" customHeight="1">
      <c r="B415" s="13">
        <f t="shared" si="3"/>
        <v>408</v>
      </c>
      <c r="C415" s="12" t="s">
        <v>467</v>
      </c>
      <c r="D415" s="14" t="str">
        <f t="array" ref="D415">IF(C415="","",IFNA(_xlfn.XLOOKUP(C415,'a 01'!$C$6:$C$999,'a 01'!$D$6:$D$999),""))</f>
        <v>K/38/011124/2</v>
      </c>
      <c r="E415" s="18" t="str">
        <f t="array" ref="E415">_xlfn.XLOOKUP(D415,Table_Warkah[Kode Tiket],Table_Warkah[Jenis Permohonan],"")</f>
        <v>BN Jual Beli</v>
      </c>
      <c r="F415" s="12" t="s">
        <v>42</v>
      </c>
      <c r="G415" s="12" t="s">
        <v>43</v>
      </c>
      <c r="H415" s="17">
        <f t="shared" si="1"/>
        <v>45614.66166</v>
      </c>
      <c r="I415" s="18"/>
      <c r="J415" s="20" t="b">
        <v>1</v>
      </c>
      <c r="K415" s="17">
        <f t="shared" si="2"/>
        <v>45614.66166</v>
      </c>
      <c r="L415" s="11" t="s">
        <v>54</v>
      </c>
      <c r="M415" s="21" t="s">
        <v>45</v>
      </c>
      <c r="N415" s="1" t="s">
        <v>461</v>
      </c>
    </row>
    <row r="416" ht="22.5" customHeight="1">
      <c r="B416" s="13">
        <f t="shared" si="3"/>
        <v>409</v>
      </c>
      <c r="C416" s="12" t="s">
        <v>468</v>
      </c>
      <c r="D416" s="14" t="str">
        <f t="array" ref="D416">IF(C416="","",IFNA(_xlfn.XLOOKUP(C416,'a 01'!$C$6:$C$999,'a 01'!$D$6:$D$999),""))</f>
        <v/>
      </c>
      <c r="E416" s="18" t="str">
        <f t="array" ref="E416">_xlfn.XLOOKUP(D416,Table_Warkah[Kode Tiket],Table_Warkah[Jenis Permohonan],"")</f>
        <v/>
      </c>
      <c r="F416" s="12" t="s">
        <v>42</v>
      </c>
      <c r="G416" s="12" t="s">
        <v>43</v>
      </c>
      <c r="H416" s="17">
        <f t="shared" si="1"/>
        <v>45614.66166</v>
      </c>
      <c r="I416" s="18"/>
      <c r="J416" s="20" t="b">
        <v>1</v>
      </c>
      <c r="K416" s="17">
        <f t="shared" si="2"/>
        <v>45614.66166</v>
      </c>
      <c r="L416" s="11" t="s">
        <v>54</v>
      </c>
      <c r="M416" s="21" t="s">
        <v>45</v>
      </c>
      <c r="N416" s="1" t="s">
        <v>461</v>
      </c>
    </row>
    <row r="417" ht="22.5" customHeight="1">
      <c r="B417" s="13">
        <f t="shared" si="3"/>
        <v>410</v>
      </c>
      <c r="C417" s="12" t="s">
        <v>469</v>
      </c>
      <c r="D417" s="14" t="str">
        <f t="array" ref="D417">IF(C417="","",IFNA(_xlfn.XLOOKUP(C417,'a 01'!$C$6:$C$999,'a 01'!$D$6:$D$999),""))</f>
        <v/>
      </c>
      <c r="E417" s="18" t="str">
        <f t="array" ref="E417">_xlfn.XLOOKUP(D417,Table_Warkah[Kode Tiket],Table_Warkah[Jenis Permohonan],"")</f>
        <v/>
      </c>
      <c r="F417" s="12" t="s">
        <v>470</v>
      </c>
      <c r="G417" s="12" t="s">
        <v>43</v>
      </c>
      <c r="H417" s="17">
        <f t="shared" si="1"/>
        <v>45614.66166</v>
      </c>
      <c r="I417" s="18"/>
      <c r="J417" s="20" t="b">
        <v>1</v>
      </c>
      <c r="K417" s="17">
        <f t="shared" si="2"/>
        <v>45614.66166</v>
      </c>
      <c r="L417" s="11" t="s">
        <v>54</v>
      </c>
      <c r="M417" s="21" t="s">
        <v>45</v>
      </c>
    </row>
    <row r="418" ht="22.5" customHeight="1">
      <c r="B418" s="13">
        <f t="shared" si="3"/>
        <v>411</v>
      </c>
      <c r="C418" s="12" t="s">
        <v>471</v>
      </c>
      <c r="D418" s="14" t="str">
        <f t="array" ref="D418">IF(C418="","",IFNA(_xlfn.XLOOKUP(C418,'a 01'!$C$6:$C$999,'a 01'!$D$6:$D$999),""))</f>
        <v/>
      </c>
      <c r="E418" s="18" t="str">
        <f t="array" ref="E418">_xlfn.XLOOKUP(D418,Table_Warkah[Kode Tiket],Table_Warkah[Jenis Permohonan],"")</f>
        <v/>
      </c>
      <c r="F418" s="12" t="s">
        <v>470</v>
      </c>
      <c r="G418" s="12" t="s">
        <v>43</v>
      </c>
      <c r="H418" s="17">
        <f t="shared" si="1"/>
        <v>45614.66166</v>
      </c>
      <c r="I418" s="18"/>
      <c r="J418" s="20" t="b">
        <v>1</v>
      </c>
      <c r="K418" s="17">
        <f t="shared" si="2"/>
        <v>45614.66166</v>
      </c>
      <c r="L418" s="11" t="s">
        <v>54</v>
      </c>
      <c r="M418" s="21" t="s">
        <v>45</v>
      </c>
    </row>
    <row r="419" ht="22.5" customHeight="1">
      <c r="B419" s="13">
        <f t="shared" si="3"/>
        <v>412</v>
      </c>
      <c r="C419" s="12" t="s">
        <v>472</v>
      </c>
      <c r="D419" s="14" t="str">
        <f t="array" ref="D419">IF(C419="","",IFNA(_xlfn.XLOOKUP(C419,'a 01'!$C$6:$C$999,'a 01'!$D$6:$D$999),""))</f>
        <v>K/43/041124/1</v>
      </c>
      <c r="E419" s="18" t="str">
        <f t="array" ref="E419">_xlfn.XLOOKUP(D419,Table_Warkah[Kode Tiket],Table_Warkah[Jenis Permohonan],"")</f>
        <v>BN Lelang</v>
      </c>
      <c r="F419" s="12" t="s">
        <v>470</v>
      </c>
      <c r="G419" s="12" t="s">
        <v>43</v>
      </c>
      <c r="H419" s="17">
        <f t="shared" si="1"/>
        <v>45614.66166</v>
      </c>
      <c r="I419" s="18"/>
      <c r="J419" s="20" t="b">
        <v>1</v>
      </c>
      <c r="K419" s="17">
        <f t="shared" si="2"/>
        <v>45614.66166</v>
      </c>
      <c r="L419" s="11" t="s">
        <v>54</v>
      </c>
      <c r="M419" s="21" t="s">
        <v>45</v>
      </c>
    </row>
    <row r="420" ht="22.5" customHeight="1">
      <c r="B420" s="13">
        <f t="shared" si="3"/>
        <v>413</v>
      </c>
      <c r="C420" s="12" t="s">
        <v>473</v>
      </c>
      <c r="D420" s="14" t="str">
        <f t="array" ref="D420">IF(C420="","",IFNA(_xlfn.XLOOKUP(C420,'a 01'!$C$6:$C$999,'a 01'!$D$6:$D$999),""))</f>
        <v>K/7/051124/2</v>
      </c>
      <c r="E420" s="18" t="str">
        <f t="array" ref="E420">_xlfn.XLOOKUP(D420,Table_Warkah[Kode Tiket],Table_Warkah[Jenis Permohonan],"")</f>
        <v>BN JUAL BELI</v>
      </c>
      <c r="F420" s="12" t="s">
        <v>470</v>
      </c>
      <c r="G420" s="12" t="s">
        <v>43</v>
      </c>
      <c r="H420" s="17">
        <f t="shared" si="1"/>
        <v>45614.66166</v>
      </c>
      <c r="I420" s="18"/>
      <c r="J420" s="20" t="b">
        <v>1</v>
      </c>
      <c r="K420" s="17">
        <f t="shared" si="2"/>
        <v>45614.66166</v>
      </c>
      <c r="L420" s="11" t="s">
        <v>54</v>
      </c>
      <c r="M420" s="21" t="s">
        <v>45</v>
      </c>
    </row>
    <row r="421" ht="22.5" customHeight="1">
      <c r="B421" s="13">
        <f t="shared" si="3"/>
        <v>414</v>
      </c>
      <c r="C421" s="12" t="s">
        <v>474</v>
      </c>
      <c r="D421" s="14" t="str">
        <f t="array" ref="D421">IF(C421="","",IFNA(_xlfn.XLOOKUP(C421,'a 01'!$C$6:$C$999,'a 01'!$D$6:$D$999),""))</f>
        <v/>
      </c>
      <c r="E421" s="18" t="str">
        <f t="array" ref="E421">_xlfn.XLOOKUP(D421,Table_Warkah[Kode Tiket],Table_Warkah[Jenis Permohonan],"")</f>
        <v/>
      </c>
      <c r="F421" s="12" t="s">
        <v>470</v>
      </c>
      <c r="G421" s="12" t="s">
        <v>43</v>
      </c>
      <c r="H421" s="17">
        <f t="shared" si="1"/>
        <v>45614.66166</v>
      </c>
      <c r="I421" s="18"/>
      <c r="J421" s="20" t="b">
        <v>1</v>
      </c>
      <c r="K421" s="17">
        <f t="shared" si="2"/>
        <v>45614.66166</v>
      </c>
      <c r="L421" s="11" t="s">
        <v>54</v>
      </c>
      <c r="M421" s="21" t="s">
        <v>45</v>
      </c>
    </row>
    <row r="422" ht="22.5" customHeight="1">
      <c r="B422" s="13">
        <f t="shared" si="3"/>
        <v>415</v>
      </c>
      <c r="C422" s="12" t="s">
        <v>475</v>
      </c>
      <c r="D422" s="14" t="str">
        <f t="array" ref="D422">IF(C422="","",IFNA(_xlfn.XLOOKUP(C422,'a 01'!$C$6:$C$999,'a 01'!$D$6:$D$999),""))</f>
        <v/>
      </c>
      <c r="E422" s="18" t="str">
        <f t="array" ref="E422">_xlfn.XLOOKUP(D422,Table_Warkah[Kode Tiket],Table_Warkah[Jenis Permohonan],"")</f>
        <v/>
      </c>
      <c r="F422" s="12" t="s">
        <v>470</v>
      </c>
      <c r="G422" s="12" t="s">
        <v>43</v>
      </c>
      <c r="H422" s="17">
        <f t="shared" si="1"/>
        <v>45614.66166</v>
      </c>
      <c r="I422" s="18"/>
      <c r="J422" s="20" t="b">
        <v>1</v>
      </c>
      <c r="K422" s="17">
        <f t="shared" si="2"/>
        <v>45614.66166</v>
      </c>
      <c r="L422" s="11" t="s">
        <v>54</v>
      </c>
      <c r="M422" s="21" t="s">
        <v>45</v>
      </c>
    </row>
    <row r="423" ht="22.5" customHeight="1">
      <c r="B423" s="13">
        <f t="shared" si="3"/>
        <v>416</v>
      </c>
      <c r="C423" s="12" t="s">
        <v>476</v>
      </c>
      <c r="D423" s="14" t="str">
        <f t="array" ref="D423">IF(C423="","",IFNA(_xlfn.XLOOKUP(C423,'a 01'!$C$6:$C$999,'a 01'!$D$6:$D$999),""))</f>
        <v/>
      </c>
      <c r="E423" s="18" t="str">
        <f t="array" ref="E423">_xlfn.XLOOKUP(D423,Table_Warkah[Kode Tiket],Table_Warkah[Jenis Permohonan],"")</f>
        <v/>
      </c>
      <c r="F423" s="12" t="s">
        <v>470</v>
      </c>
      <c r="G423" s="12" t="s">
        <v>43</v>
      </c>
      <c r="H423" s="17">
        <f t="shared" si="1"/>
        <v>45614.66166</v>
      </c>
      <c r="I423" s="18"/>
      <c r="J423" s="20" t="b">
        <v>1</v>
      </c>
      <c r="K423" s="17">
        <f t="shared" si="2"/>
        <v>45614.66166</v>
      </c>
      <c r="L423" s="11" t="s">
        <v>54</v>
      </c>
      <c r="M423" s="21" t="s">
        <v>45</v>
      </c>
    </row>
    <row r="424" ht="22.5" customHeight="1">
      <c r="B424" s="13">
        <f t="shared" si="3"/>
        <v>417</v>
      </c>
      <c r="C424" s="12" t="s">
        <v>477</v>
      </c>
      <c r="D424" s="14" t="str">
        <f t="array" ref="D424">IF(C424="","",IFNA(_xlfn.XLOOKUP(C424,'a 01'!$C$6:$C$999,'a 01'!$D$6:$D$999),""))</f>
        <v>K/38/311024/1</v>
      </c>
      <c r="E424" s="18" t="str">
        <f t="array" ref="E424">_xlfn.XLOOKUP(D424,Table_Warkah[Kode Tiket],Table_Warkah[Jenis Permohonan],"")</f>
        <v>Ganti Nama Kreditur</v>
      </c>
      <c r="F424" s="12" t="s">
        <v>470</v>
      </c>
      <c r="G424" s="12" t="s">
        <v>43</v>
      </c>
      <c r="H424" s="17">
        <f t="shared" si="1"/>
        <v>45614.66166</v>
      </c>
      <c r="I424" s="18"/>
      <c r="J424" s="20" t="b">
        <v>1</v>
      </c>
      <c r="K424" s="17">
        <f t="shared" si="2"/>
        <v>45614.66166</v>
      </c>
      <c r="L424" s="11" t="s">
        <v>49</v>
      </c>
      <c r="M424" s="21" t="s">
        <v>45</v>
      </c>
    </row>
    <row r="425" ht="22.5" customHeight="1">
      <c r="B425" s="13">
        <f t="shared" si="3"/>
        <v>418</v>
      </c>
      <c r="C425" s="12" t="s">
        <v>478</v>
      </c>
      <c r="D425" s="14" t="str">
        <f t="array" ref="D425">IF(C425="","",IFNA(_xlfn.XLOOKUP(C425,'a 01'!$C$6:$C$999,'a 01'!$D$6:$D$999),""))</f>
        <v/>
      </c>
      <c r="E425" s="18" t="str">
        <f t="array" ref="E425">_xlfn.XLOOKUP(D425,Table_Warkah[Kode Tiket],Table_Warkah[Jenis Permohonan],"")</f>
        <v/>
      </c>
      <c r="F425" s="12" t="s">
        <v>470</v>
      </c>
      <c r="G425" s="12" t="s">
        <v>43</v>
      </c>
      <c r="H425" s="17">
        <f t="shared" si="1"/>
        <v>45614.66166</v>
      </c>
      <c r="I425" s="18"/>
      <c r="J425" s="20" t="b">
        <v>1</v>
      </c>
      <c r="K425" s="17">
        <f t="shared" si="2"/>
        <v>45614.66166</v>
      </c>
      <c r="L425" s="11" t="s">
        <v>49</v>
      </c>
      <c r="M425" s="21" t="s">
        <v>45</v>
      </c>
    </row>
    <row r="426" ht="22.5" customHeight="1">
      <c r="B426" s="13">
        <f t="shared" si="3"/>
        <v>419</v>
      </c>
      <c r="C426" s="12" t="s">
        <v>479</v>
      </c>
      <c r="D426" s="14" t="str">
        <f t="array" ref="D426">IF(C426="","",IFNA(_xlfn.XLOOKUP(C426,'a 01'!$C$6:$C$999,'a 01'!$D$6:$D$999),""))</f>
        <v/>
      </c>
      <c r="E426" s="18" t="str">
        <f t="array" ref="E426">_xlfn.XLOOKUP(D426,Table_Warkah[Kode Tiket],Table_Warkah[Jenis Permohonan],"")</f>
        <v/>
      </c>
      <c r="F426" s="12" t="s">
        <v>470</v>
      </c>
      <c r="G426" s="12" t="s">
        <v>43</v>
      </c>
      <c r="H426" s="17">
        <f t="shared" si="1"/>
        <v>45614.66166</v>
      </c>
      <c r="I426" s="18"/>
      <c r="J426" s="20" t="b">
        <v>0</v>
      </c>
      <c r="K426" s="13" t="str">
        <f t="shared" si="2"/>
        <v/>
      </c>
      <c r="L426" s="13"/>
      <c r="M426" s="21" t="s">
        <v>45</v>
      </c>
    </row>
    <row r="427" ht="22.5" customHeight="1">
      <c r="B427" s="13">
        <f t="shared" si="3"/>
        <v>420</v>
      </c>
      <c r="C427" s="12" t="s">
        <v>480</v>
      </c>
      <c r="D427" s="14" t="str">
        <f t="array" ref="D427">IF(C427="","",IFNA(_xlfn.XLOOKUP(C427,'a 01'!$C$6:$C$999,'a 01'!$D$6:$D$999),""))</f>
        <v/>
      </c>
      <c r="E427" s="18" t="str">
        <f t="array" ref="E427">_xlfn.XLOOKUP(D427,Table_Warkah[Kode Tiket],Table_Warkah[Jenis Permohonan],"")</f>
        <v/>
      </c>
      <c r="F427" s="12" t="s">
        <v>470</v>
      </c>
      <c r="G427" s="12" t="s">
        <v>43</v>
      </c>
      <c r="H427" s="17">
        <f t="shared" si="1"/>
        <v>45614.66166</v>
      </c>
      <c r="I427" s="18"/>
      <c r="J427" s="20" t="b">
        <v>0</v>
      </c>
      <c r="K427" s="13" t="str">
        <f t="shared" si="2"/>
        <v/>
      </c>
      <c r="L427" s="13"/>
      <c r="M427" s="21" t="s">
        <v>45</v>
      </c>
    </row>
    <row r="428" ht="22.5" customHeight="1">
      <c r="B428" s="13">
        <f t="shared" si="3"/>
        <v>421</v>
      </c>
      <c r="C428" s="12" t="s">
        <v>481</v>
      </c>
      <c r="D428" s="14" t="str">
        <f t="array" ref="D428">IF(C428="","",IFNA(_xlfn.XLOOKUP(C428,'a 01'!$C$6:$C$999,'a 01'!$D$6:$D$999),""))</f>
        <v/>
      </c>
      <c r="E428" s="18" t="str">
        <f t="array" ref="E428">_xlfn.XLOOKUP(D428,Table_Warkah[Kode Tiket],Table_Warkah[Jenis Permohonan],"")</f>
        <v/>
      </c>
      <c r="F428" s="12" t="s">
        <v>470</v>
      </c>
      <c r="G428" s="12" t="s">
        <v>43</v>
      </c>
      <c r="H428" s="17">
        <f t="shared" si="1"/>
        <v>45614.66166</v>
      </c>
      <c r="I428" s="18"/>
      <c r="J428" s="20" t="b">
        <v>0</v>
      </c>
      <c r="K428" s="13" t="str">
        <f t="shared" si="2"/>
        <v/>
      </c>
      <c r="L428" s="13"/>
      <c r="M428" s="21" t="s">
        <v>45</v>
      </c>
    </row>
    <row r="429" ht="22.5" customHeight="1">
      <c r="B429" s="13">
        <f t="shared" si="3"/>
        <v>422</v>
      </c>
      <c r="C429" s="12" t="s">
        <v>482</v>
      </c>
      <c r="D429" s="14" t="str">
        <f t="array" ref="D429">IF(C429="","",IFNA(_xlfn.XLOOKUP(C429,'a 01'!$C$6:$C$999,'a 01'!$D$6:$D$999),""))</f>
        <v/>
      </c>
      <c r="E429" s="18" t="str">
        <f t="array" ref="E429">_xlfn.XLOOKUP(D429,Table_Warkah[Kode Tiket],Table_Warkah[Jenis Permohonan],"")</f>
        <v/>
      </c>
      <c r="F429" s="12" t="s">
        <v>470</v>
      </c>
      <c r="G429" s="12" t="s">
        <v>43</v>
      </c>
      <c r="H429" s="17">
        <f t="shared" si="1"/>
        <v>45614.66166</v>
      </c>
      <c r="I429" s="18"/>
      <c r="J429" s="20" t="b">
        <v>0</v>
      </c>
      <c r="K429" s="13" t="str">
        <f t="shared" si="2"/>
        <v/>
      </c>
      <c r="L429" s="13"/>
      <c r="M429" s="21" t="s">
        <v>45</v>
      </c>
    </row>
    <row r="430" ht="22.5" customHeight="1">
      <c r="B430" s="13">
        <f t="shared" si="3"/>
        <v>423</v>
      </c>
      <c r="C430" s="12" t="s">
        <v>483</v>
      </c>
      <c r="D430" s="14" t="str">
        <f t="array" ref="D430">IF(C430="","",IFNA(_xlfn.XLOOKUP(C430,'a 01'!$C$6:$C$999,'a 01'!$D$6:$D$999),""))</f>
        <v/>
      </c>
      <c r="E430" s="18" t="str">
        <f t="array" ref="E430">_xlfn.XLOOKUP(D430,Table_Warkah[Kode Tiket],Table_Warkah[Jenis Permohonan],"")</f>
        <v/>
      </c>
      <c r="F430" s="12" t="s">
        <v>470</v>
      </c>
      <c r="G430" s="12" t="s">
        <v>43</v>
      </c>
      <c r="H430" s="17">
        <f t="shared" si="1"/>
        <v>45614.66166</v>
      </c>
      <c r="I430" s="18"/>
      <c r="J430" s="20" t="b">
        <v>0</v>
      </c>
      <c r="K430" s="13" t="str">
        <f t="shared" si="2"/>
        <v/>
      </c>
      <c r="L430" s="13"/>
      <c r="M430" s="21" t="s">
        <v>45</v>
      </c>
    </row>
    <row r="431" ht="22.5" customHeight="1">
      <c r="B431" s="13">
        <f t="shared" si="3"/>
        <v>424</v>
      </c>
      <c r="C431" s="12" t="s">
        <v>484</v>
      </c>
      <c r="D431" s="14" t="str">
        <f t="array" ref="D431">IF(C431="","",IFNA(_xlfn.XLOOKUP(C431,'a 01'!$C$6:$C$999,'a 01'!$D$6:$D$999),""))</f>
        <v>K/29/311024/1</v>
      </c>
      <c r="E431" s="18" t="str">
        <f t="array" ref="E431">_xlfn.XLOOKUP(D431,Table_Warkah[Kode Tiket],Table_Warkah[Jenis Permohonan],"")</f>
        <v>BN PHB</v>
      </c>
      <c r="F431" s="12" t="s">
        <v>470</v>
      </c>
      <c r="G431" s="12" t="s">
        <v>43</v>
      </c>
      <c r="H431" s="17">
        <f t="shared" si="1"/>
        <v>45614.66166</v>
      </c>
      <c r="I431" s="18"/>
      <c r="J431" s="20" t="b">
        <v>0</v>
      </c>
      <c r="K431" s="13" t="str">
        <f t="shared" si="2"/>
        <v/>
      </c>
      <c r="L431" s="13"/>
      <c r="M431" s="21" t="s">
        <v>45</v>
      </c>
    </row>
    <row r="432" ht="22.5" customHeight="1">
      <c r="B432" s="13">
        <f t="shared" si="3"/>
        <v>425</v>
      </c>
      <c r="C432" s="12" t="s">
        <v>485</v>
      </c>
      <c r="D432" s="14" t="str">
        <f t="array" ref="D432">IF(C432="","",IFNA(_xlfn.XLOOKUP(C432,'a 01'!$C$6:$C$999,'a 01'!$D$6:$D$999),""))</f>
        <v>K/42/061124/1</v>
      </c>
      <c r="E432" s="18" t="str">
        <f t="array" ref="E432">_xlfn.XLOOKUP(D432,Table_Warkah[Kode Tiket],Table_Warkah[Jenis Permohonan],"")</f>
        <v>BN JUAL BELI</v>
      </c>
      <c r="F432" s="12" t="s">
        <v>470</v>
      </c>
      <c r="G432" s="12" t="s">
        <v>43</v>
      </c>
      <c r="H432" s="17">
        <f t="shared" si="1"/>
        <v>45614.66166</v>
      </c>
      <c r="I432" s="18"/>
      <c r="J432" s="20" t="b">
        <v>0</v>
      </c>
      <c r="K432" s="13" t="str">
        <f t="shared" si="2"/>
        <v/>
      </c>
      <c r="L432" s="13"/>
      <c r="M432" s="21" t="s">
        <v>45</v>
      </c>
    </row>
    <row r="433" ht="22.5" customHeight="1">
      <c r="B433" s="13">
        <f t="shared" si="3"/>
        <v>426</v>
      </c>
      <c r="C433" s="12" t="s">
        <v>486</v>
      </c>
      <c r="D433" s="14" t="str">
        <f t="array" ref="D433">IF(C433="","",IFNA(_xlfn.XLOOKUP(C433,'a 01'!$C$6:$C$999,'a 01'!$D$6:$D$999),""))</f>
        <v/>
      </c>
      <c r="E433" s="18" t="str">
        <f t="array" ref="E433">_xlfn.XLOOKUP(D433,Table_Warkah[Kode Tiket],Table_Warkah[Jenis Permohonan],"")</f>
        <v/>
      </c>
      <c r="F433" s="12" t="s">
        <v>470</v>
      </c>
      <c r="G433" s="12" t="s">
        <v>43</v>
      </c>
      <c r="H433" s="17">
        <f t="shared" si="1"/>
        <v>45614.66166</v>
      </c>
      <c r="I433" s="18"/>
      <c r="J433" s="20" t="b">
        <v>0</v>
      </c>
      <c r="K433" s="13" t="str">
        <f t="shared" si="2"/>
        <v/>
      </c>
      <c r="L433" s="13"/>
      <c r="M433" s="21" t="s">
        <v>45</v>
      </c>
    </row>
    <row r="434" ht="22.5" customHeight="1">
      <c r="B434" s="13">
        <f t="shared" si="3"/>
        <v>427</v>
      </c>
      <c r="C434" s="12" t="s">
        <v>487</v>
      </c>
      <c r="D434" s="14" t="str">
        <f t="array" ref="D434">IF(C434="","",IFNA(_xlfn.XLOOKUP(C434,'a 01'!$C$6:$C$999,'a 01'!$D$6:$D$999),""))</f>
        <v/>
      </c>
      <c r="E434" s="18" t="str">
        <f t="array" ref="E434">_xlfn.XLOOKUP(D434,Table_Warkah[Kode Tiket],Table_Warkah[Jenis Permohonan],"")</f>
        <v/>
      </c>
      <c r="F434" s="12" t="s">
        <v>470</v>
      </c>
      <c r="G434" s="12" t="s">
        <v>43</v>
      </c>
      <c r="H434" s="17">
        <f t="shared" si="1"/>
        <v>45614.66166</v>
      </c>
      <c r="I434" s="18"/>
      <c r="J434" s="20" t="b">
        <v>0</v>
      </c>
      <c r="K434" s="13" t="str">
        <f t="shared" si="2"/>
        <v/>
      </c>
      <c r="L434" s="13"/>
      <c r="M434" s="21" t="s">
        <v>45</v>
      </c>
    </row>
    <row r="435" ht="22.5" customHeight="1">
      <c r="B435" s="13">
        <f t="shared" si="3"/>
        <v>428</v>
      </c>
      <c r="C435" s="12" t="s">
        <v>488</v>
      </c>
      <c r="D435" s="14" t="str">
        <f t="array" ref="D435">IF(C435="","",IFNA(_xlfn.XLOOKUP(C435,'a 01'!$C$6:$C$999,'a 01'!$D$6:$D$999),""))</f>
        <v>L/37/061124/1</v>
      </c>
      <c r="E435" s="18" t="str">
        <f t="array" ref="E435">_xlfn.XLOOKUP(D435,Table_Warkah[Kode Tiket],Table_Warkah[Jenis Permohonan],"")</f>
        <v>PH</v>
      </c>
      <c r="F435" s="12" t="s">
        <v>470</v>
      </c>
      <c r="G435" s="12" t="s">
        <v>43</v>
      </c>
      <c r="H435" s="17">
        <f t="shared" si="1"/>
        <v>45614.66166</v>
      </c>
      <c r="I435" s="18"/>
      <c r="J435" s="20" t="b">
        <v>0</v>
      </c>
      <c r="K435" s="13" t="str">
        <f t="shared" si="2"/>
        <v/>
      </c>
      <c r="L435" s="13"/>
      <c r="M435" s="21" t="s">
        <v>45</v>
      </c>
    </row>
    <row r="436" ht="22.5" customHeight="1">
      <c r="B436" s="13">
        <f t="shared" si="3"/>
        <v>429</v>
      </c>
      <c r="C436" s="12" t="s">
        <v>489</v>
      </c>
      <c r="D436" s="14" t="str">
        <f t="array" ref="D436">IF(C436="","",IFNA(_xlfn.XLOOKUP(C436,'a 01'!$C$6:$C$999,'a 01'!$D$6:$D$999),""))</f>
        <v/>
      </c>
      <c r="E436" s="18" t="str">
        <f t="array" ref="E436">_xlfn.XLOOKUP(D436,Table_Warkah[Kode Tiket],Table_Warkah[Jenis Permohonan],"")</f>
        <v/>
      </c>
      <c r="F436" s="12" t="s">
        <v>470</v>
      </c>
      <c r="G436" s="12" t="s">
        <v>43</v>
      </c>
      <c r="H436" s="17">
        <f t="shared" si="1"/>
        <v>45614.66166</v>
      </c>
      <c r="I436" s="18"/>
      <c r="J436" s="20" t="b">
        <v>0</v>
      </c>
      <c r="K436" s="13" t="str">
        <f t="shared" si="2"/>
        <v/>
      </c>
      <c r="L436" s="13"/>
      <c r="M436" s="21" t="s">
        <v>45</v>
      </c>
    </row>
    <row r="437" ht="22.5" customHeight="1">
      <c r="B437" s="13">
        <f t="shared" si="3"/>
        <v>430</v>
      </c>
      <c r="C437" s="12" t="s">
        <v>490</v>
      </c>
      <c r="D437" s="14" t="str">
        <f t="array" ref="D437">IF(C437="","",IFNA(_xlfn.XLOOKUP(C437,'a 01'!$C$6:$C$999,'a 01'!$D$6:$D$999),""))</f>
        <v/>
      </c>
      <c r="E437" s="18" t="str">
        <f t="array" ref="E437">_xlfn.XLOOKUP(D437,Table_Warkah[Kode Tiket],Table_Warkah[Jenis Permohonan],"")</f>
        <v/>
      </c>
      <c r="F437" s="12" t="s">
        <v>470</v>
      </c>
      <c r="G437" s="12" t="s">
        <v>43</v>
      </c>
      <c r="H437" s="17">
        <f t="shared" si="1"/>
        <v>45614.66166</v>
      </c>
      <c r="I437" s="18"/>
      <c r="J437" s="20" t="b">
        <v>0</v>
      </c>
      <c r="K437" s="13" t="str">
        <f t="shared" si="2"/>
        <v/>
      </c>
      <c r="L437" s="13"/>
      <c r="M437" s="21" t="s">
        <v>45</v>
      </c>
    </row>
    <row r="438" ht="22.5" customHeight="1">
      <c r="B438" s="13">
        <f t="shared" si="3"/>
        <v>431</v>
      </c>
      <c r="C438" s="12" t="s">
        <v>491</v>
      </c>
      <c r="D438" s="14" t="str">
        <f t="array" ref="D438">IF(C438="","",IFNA(_xlfn.XLOOKUP(C438,'a 01'!$C$6:$C$999,'a 01'!$D$6:$D$999),""))</f>
        <v/>
      </c>
      <c r="E438" s="18" t="str">
        <f t="array" ref="E438">_xlfn.XLOOKUP(D438,Table_Warkah[Kode Tiket],Table_Warkah[Jenis Permohonan],"")</f>
        <v/>
      </c>
      <c r="F438" s="12" t="s">
        <v>470</v>
      </c>
      <c r="G438" s="12" t="s">
        <v>43</v>
      </c>
      <c r="H438" s="17">
        <f t="shared" si="1"/>
        <v>45614.66166</v>
      </c>
      <c r="I438" s="18"/>
      <c r="J438" s="20" t="b">
        <v>0</v>
      </c>
      <c r="K438" s="13" t="str">
        <f t="shared" si="2"/>
        <v/>
      </c>
      <c r="L438" s="13"/>
      <c r="M438" s="21" t="s">
        <v>45</v>
      </c>
    </row>
    <row r="439" ht="22.5" customHeight="1">
      <c r="B439" s="13">
        <f t="shared" si="3"/>
        <v>432</v>
      </c>
      <c r="C439" s="12" t="s">
        <v>492</v>
      </c>
      <c r="D439" s="14" t="str">
        <f t="array" ref="D439">IF(C439="","",IFNA(_xlfn.XLOOKUP(C439,'a 01'!$C$6:$C$999,'a 01'!$D$6:$D$999),""))</f>
        <v/>
      </c>
      <c r="E439" s="18" t="str">
        <f t="array" ref="E439">_xlfn.XLOOKUP(D439,Table_Warkah[Kode Tiket],Table_Warkah[Jenis Permohonan],"")</f>
        <v/>
      </c>
      <c r="F439" s="12" t="s">
        <v>470</v>
      </c>
      <c r="G439" s="12" t="s">
        <v>43</v>
      </c>
      <c r="H439" s="17">
        <f t="shared" si="1"/>
        <v>45614.66166</v>
      </c>
      <c r="I439" s="18"/>
      <c r="J439" s="20" t="b">
        <v>0</v>
      </c>
      <c r="K439" s="13" t="str">
        <f t="shared" si="2"/>
        <v/>
      </c>
      <c r="L439" s="13"/>
      <c r="M439" s="21" t="s">
        <v>45</v>
      </c>
    </row>
    <row r="440" ht="22.5" customHeight="1">
      <c r="B440" s="13">
        <f t="shared" si="3"/>
        <v>433</v>
      </c>
      <c r="C440" s="12" t="s">
        <v>493</v>
      </c>
      <c r="D440" s="14" t="str">
        <f t="array" ref="D440">IF(C440="","",IFNA(_xlfn.XLOOKUP(C440,'a 01'!$C$6:$C$999,'a 01'!$D$6:$D$999),""))</f>
        <v/>
      </c>
      <c r="E440" s="18" t="str">
        <f t="array" ref="E440">_xlfn.XLOOKUP(D440,Table_Warkah[Kode Tiket],Table_Warkah[Jenis Permohonan],"")</f>
        <v/>
      </c>
      <c r="F440" s="12" t="s">
        <v>470</v>
      </c>
      <c r="G440" s="12" t="s">
        <v>43</v>
      </c>
      <c r="H440" s="17">
        <f t="shared" si="1"/>
        <v>45614.66166</v>
      </c>
      <c r="I440" s="18"/>
      <c r="J440" s="20" t="b">
        <v>0</v>
      </c>
      <c r="K440" s="13" t="str">
        <f t="shared" si="2"/>
        <v/>
      </c>
      <c r="L440" s="13"/>
      <c r="M440" s="21" t="s">
        <v>45</v>
      </c>
    </row>
    <row r="441" ht="22.5" customHeight="1">
      <c r="B441" s="13">
        <f t="shared" si="3"/>
        <v>434</v>
      </c>
      <c r="C441" s="12" t="s">
        <v>494</v>
      </c>
      <c r="D441" s="14" t="str">
        <f t="array" ref="D441">IF(C441="","",IFNA(_xlfn.XLOOKUP(C441,'a 01'!$C$6:$C$999,'a 01'!$D$6:$D$999),""))</f>
        <v/>
      </c>
      <c r="E441" s="18" t="str">
        <f t="array" ref="E441">_xlfn.XLOOKUP(D441,Table_Warkah[Kode Tiket],Table_Warkah[Jenis Permohonan],"")</f>
        <v/>
      </c>
      <c r="F441" s="12" t="s">
        <v>470</v>
      </c>
      <c r="G441" s="12" t="s">
        <v>43</v>
      </c>
      <c r="H441" s="17">
        <f t="shared" si="1"/>
        <v>45614.66166</v>
      </c>
      <c r="I441" s="18"/>
      <c r="J441" s="20" t="b">
        <v>0</v>
      </c>
      <c r="K441" s="13" t="str">
        <f t="shared" si="2"/>
        <v/>
      </c>
      <c r="L441" s="13"/>
      <c r="M441" s="21" t="s">
        <v>45</v>
      </c>
    </row>
    <row r="442" ht="22.5" customHeight="1">
      <c r="B442" s="13">
        <f t="shared" si="3"/>
        <v>435</v>
      </c>
      <c r="C442" s="12" t="s">
        <v>495</v>
      </c>
      <c r="D442" s="14" t="str">
        <f t="array" ref="D442">IF(C442="","",IFNA(_xlfn.XLOOKUP(C442,'a 01'!$C$6:$C$999,'a 01'!$D$6:$D$999),""))</f>
        <v/>
      </c>
      <c r="E442" s="18" t="str">
        <f t="array" ref="E442">_xlfn.XLOOKUP(D442,Table_Warkah[Kode Tiket],Table_Warkah[Jenis Permohonan],"")</f>
        <v/>
      </c>
      <c r="F442" s="12" t="s">
        <v>470</v>
      </c>
      <c r="G442" s="12" t="s">
        <v>43</v>
      </c>
      <c r="H442" s="17">
        <f t="shared" si="1"/>
        <v>45614.66166</v>
      </c>
      <c r="I442" s="18"/>
      <c r="J442" s="20" t="b">
        <v>0</v>
      </c>
      <c r="K442" s="13" t="str">
        <f t="shared" si="2"/>
        <v/>
      </c>
      <c r="L442" s="13"/>
      <c r="M442" s="21" t="s">
        <v>45</v>
      </c>
    </row>
    <row r="443" ht="22.5" customHeight="1">
      <c r="B443" s="13">
        <f t="shared" si="3"/>
        <v>436</v>
      </c>
      <c r="C443" s="12" t="s">
        <v>496</v>
      </c>
      <c r="D443" s="14" t="str">
        <f t="array" ref="D443">IF(C443="","",IFNA(_xlfn.XLOOKUP(C443,'a 01'!$C$6:$C$999,'a 01'!$D$6:$D$999),""))</f>
        <v>K/24/061124/1</v>
      </c>
      <c r="E443" s="18" t="str">
        <f t="array" ref="E443">_xlfn.XLOOKUP(D443,Table_Warkah[Kode Tiket],Table_Warkah[Jenis Permohonan],"")</f>
        <v>PERUBAHAN HAK</v>
      </c>
      <c r="F443" s="12" t="s">
        <v>470</v>
      </c>
      <c r="G443" s="12" t="s">
        <v>43</v>
      </c>
      <c r="H443" s="17">
        <f t="shared" si="1"/>
        <v>45614.66166</v>
      </c>
      <c r="I443" s="18"/>
      <c r="J443" s="20" t="b">
        <v>0</v>
      </c>
      <c r="K443" s="13" t="str">
        <f t="shared" si="2"/>
        <v/>
      </c>
      <c r="L443" s="13"/>
      <c r="M443" s="21" t="s">
        <v>45</v>
      </c>
    </row>
    <row r="444" ht="22.5" customHeight="1">
      <c r="B444" s="13">
        <f t="shared" si="3"/>
        <v>437</v>
      </c>
      <c r="C444" s="12" t="s">
        <v>497</v>
      </c>
      <c r="D444" s="14" t="str">
        <f t="array" ref="D444">IF(C444="","",IFNA(_xlfn.XLOOKUP(C444,'a 01'!$C$6:$C$999,'a 01'!$D$6:$D$999),""))</f>
        <v/>
      </c>
      <c r="E444" s="18" t="str">
        <f t="array" ref="E444">_xlfn.XLOOKUP(D444,Table_Warkah[Kode Tiket],Table_Warkah[Jenis Permohonan],"")</f>
        <v/>
      </c>
      <c r="F444" s="12" t="s">
        <v>470</v>
      </c>
      <c r="G444" s="12" t="s">
        <v>43</v>
      </c>
      <c r="H444" s="17">
        <f t="shared" si="1"/>
        <v>45614.66166</v>
      </c>
      <c r="I444" s="18"/>
      <c r="J444" s="20" t="b">
        <v>0</v>
      </c>
      <c r="K444" s="13" t="str">
        <f t="shared" si="2"/>
        <v/>
      </c>
      <c r="L444" s="13"/>
      <c r="M444" s="21" t="s">
        <v>45</v>
      </c>
    </row>
    <row r="445" ht="22.5" customHeight="1">
      <c r="B445" s="13">
        <f t="shared" si="3"/>
        <v>438</v>
      </c>
      <c r="C445" s="12" t="s">
        <v>498</v>
      </c>
      <c r="D445" s="14" t="str">
        <f t="array" ref="D445">IF(C445="","",IFNA(_xlfn.XLOOKUP(C445,'a 01'!$C$6:$C$999,'a 01'!$D$6:$D$999),""))</f>
        <v>K/48/061124/2</v>
      </c>
      <c r="E445" s="18" t="str">
        <f t="array" ref="E445">_xlfn.XLOOKUP(D445,Table_Warkah[Kode Tiket],Table_Warkah[Jenis Permohonan],"")</f>
        <v>BN JUAL BELI</v>
      </c>
      <c r="F445" s="12" t="s">
        <v>470</v>
      </c>
      <c r="G445" s="12" t="s">
        <v>43</v>
      </c>
      <c r="H445" s="17">
        <f t="shared" si="1"/>
        <v>45614.66166</v>
      </c>
      <c r="I445" s="18"/>
      <c r="J445" s="20" t="b">
        <v>0</v>
      </c>
      <c r="K445" s="13" t="str">
        <f t="shared" si="2"/>
        <v/>
      </c>
      <c r="L445" s="13"/>
      <c r="M445" s="21" t="s">
        <v>45</v>
      </c>
    </row>
    <row r="446" ht="22.5" customHeight="1">
      <c r="B446" s="13">
        <f t="shared" si="3"/>
        <v>439</v>
      </c>
      <c r="C446" s="12" t="s">
        <v>499</v>
      </c>
      <c r="D446" s="14" t="str">
        <f t="array" ref="D446">IF(C446="","",IFNA(_xlfn.XLOOKUP(C446,'a 01'!$C$6:$C$999,'a 01'!$D$6:$D$999),""))</f>
        <v/>
      </c>
      <c r="E446" s="18" t="str">
        <f t="array" ref="E446">_xlfn.XLOOKUP(D446,Table_Warkah[Kode Tiket],Table_Warkah[Jenis Permohonan],"")</f>
        <v/>
      </c>
      <c r="F446" s="12" t="s">
        <v>470</v>
      </c>
      <c r="G446" s="12" t="s">
        <v>43</v>
      </c>
      <c r="H446" s="17">
        <f t="shared" si="1"/>
        <v>45614.66166</v>
      </c>
      <c r="I446" s="18"/>
      <c r="J446" s="20" t="b">
        <v>1</v>
      </c>
      <c r="K446" s="17">
        <f t="shared" si="2"/>
        <v>45614.66166</v>
      </c>
      <c r="L446" s="11" t="s">
        <v>54</v>
      </c>
      <c r="M446" s="21" t="s">
        <v>45</v>
      </c>
    </row>
    <row r="447" ht="22.5" customHeight="1">
      <c r="B447" s="13">
        <f t="shared" si="3"/>
        <v>440</v>
      </c>
      <c r="C447" s="12" t="s">
        <v>217</v>
      </c>
      <c r="D447" s="14" t="str">
        <f t="array" ref="D447">IF(C447="","",IFNA(_xlfn.XLOOKUP(C447,'a 01'!$C$6:$C$999,'a 01'!$D$6:$D$999),""))</f>
        <v/>
      </c>
      <c r="E447" s="18" t="str">
        <f t="array" ref="E447">_xlfn.XLOOKUP(D447,Table_Warkah[Kode Tiket],Table_Warkah[Jenis Permohonan],"")</f>
        <v/>
      </c>
      <c r="F447" s="12" t="s">
        <v>470</v>
      </c>
      <c r="G447" s="12" t="s">
        <v>43</v>
      </c>
      <c r="H447" s="17">
        <f t="shared" si="1"/>
        <v>45614.66166</v>
      </c>
      <c r="I447" s="18"/>
      <c r="J447" s="20" t="b">
        <v>1</v>
      </c>
      <c r="K447" s="17">
        <f t="shared" si="2"/>
        <v>45614.66166</v>
      </c>
      <c r="L447" s="11" t="s">
        <v>54</v>
      </c>
      <c r="M447" s="21" t="s">
        <v>45</v>
      </c>
    </row>
    <row r="448" ht="22.5" customHeight="1">
      <c r="B448" s="13">
        <f t="shared" si="3"/>
        <v>441</v>
      </c>
      <c r="C448" s="12" t="s">
        <v>92</v>
      </c>
      <c r="D448" s="14" t="str">
        <f t="array" ref="D448">IF(C448="","",IFNA(_xlfn.XLOOKUP(C448,'a 01'!$C$6:$C$999,'a 01'!$D$6:$D$999),""))</f>
        <v/>
      </c>
      <c r="E448" s="18" t="str">
        <f t="array" ref="E448">_xlfn.XLOOKUP(D448,Table_Warkah[Kode Tiket],Table_Warkah[Jenis Permohonan],"")</f>
        <v/>
      </c>
      <c r="F448" s="12" t="s">
        <v>470</v>
      </c>
      <c r="G448" s="12" t="s">
        <v>43</v>
      </c>
      <c r="H448" s="17">
        <f t="shared" si="1"/>
        <v>45614.66166</v>
      </c>
      <c r="I448" s="18"/>
      <c r="J448" s="20" t="b">
        <v>1</v>
      </c>
      <c r="K448" s="17">
        <f t="shared" si="2"/>
        <v>45614.66166</v>
      </c>
      <c r="L448" s="11" t="s">
        <v>54</v>
      </c>
      <c r="M448" s="21" t="s">
        <v>45</v>
      </c>
    </row>
    <row r="449" ht="22.5" customHeight="1">
      <c r="B449" s="13">
        <f t="shared" si="3"/>
        <v>442</v>
      </c>
      <c r="C449" s="12" t="s">
        <v>413</v>
      </c>
      <c r="D449" s="14" t="str">
        <f t="array" ref="D449">IF(C449="","",IFNA(_xlfn.XLOOKUP(C449,'a 01'!$C$6:$C$999,'a 01'!$D$6:$D$999),""))</f>
        <v/>
      </c>
      <c r="E449" s="18" t="str">
        <f t="array" ref="E449">_xlfn.XLOOKUP(D449,Table_Warkah[Kode Tiket],Table_Warkah[Jenis Permohonan],"")</f>
        <v/>
      </c>
      <c r="F449" s="12" t="s">
        <v>470</v>
      </c>
      <c r="G449" s="12" t="s">
        <v>43</v>
      </c>
      <c r="H449" s="17">
        <f t="shared" si="1"/>
        <v>45614.66166</v>
      </c>
      <c r="I449" s="18"/>
      <c r="J449" s="20" t="b">
        <v>1</v>
      </c>
      <c r="K449" s="17">
        <f t="shared" si="2"/>
        <v>45614.66166</v>
      </c>
      <c r="L449" s="11" t="s">
        <v>54</v>
      </c>
      <c r="M449" s="21" t="s">
        <v>45</v>
      </c>
    </row>
    <row r="450" ht="22.5" customHeight="1">
      <c r="B450" s="13">
        <f t="shared" si="3"/>
        <v>443</v>
      </c>
      <c r="C450" s="12" t="s">
        <v>418</v>
      </c>
      <c r="D450" s="14" t="str">
        <f t="array" ref="D450">IF(C450="","",IFNA(_xlfn.XLOOKUP(C450,'a 01'!$C$6:$C$999,'a 01'!$D$6:$D$999),""))</f>
        <v/>
      </c>
      <c r="E450" s="18" t="str">
        <f t="array" ref="E450">_xlfn.XLOOKUP(D450,Table_Warkah[Kode Tiket],Table_Warkah[Jenis Permohonan],"")</f>
        <v/>
      </c>
      <c r="F450" s="12" t="s">
        <v>470</v>
      </c>
      <c r="G450" s="12" t="s">
        <v>43</v>
      </c>
      <c r="H450" s="17">
        <f t="shared" si="1"/>
        <v>45614.66166</v>
      </c>
      <c r="I450" s="18"/>
      <c r="J450" s="20" t="b">
        <v>1</v>
      </c>
      <c r="K450" s="17">
        <f t="shared" si="2"/>
        <v>45614.66166</v>
      </c>
      <c r="L450" s="11" t="s">
        <v>54</v>
      </c>
      <c r="M450" s="21" t="s">
        <v>45</v>
      </c>
    </row>
    <row r="451" ht="22.5" customHeight="1">
      <c r="B451" s="13">
        <f t="shared" si="3"/>
        <v>444</v>
      </c>
      <c r="C451" s="12" t="s">
        <v>286</v>
      </c>
      <c r="D451" s="14" t="str">
        <f t="array" ref="D451">IF(C451="","",IFNA(_xlfn.XLOOKUP(C451,'a 01'!$C$6:$C$999,'a 01'!$D$6:$D$999),""))</f>
        <v/>
      </c>
      <c r="E451" s="18" t="str">
        <f t="array" ref="E451">_xlfn.XLOOKUP(D451,Table_Warkah[Kode Tiket],Table_Warkah[Jenis Permohonan],"")</f>
        <v/>
      </c>
      <c r="F451" s="12" t="s">
        <v>470</v>
      </c>
      <c r="G451" s="12" t="s">
        <v>43</v>
      </c>
      <c r="H451" s="17">
        <f t="shared" si="1"/>
        <v>45614.66166</v>
      </c>
      <c r="I451" s="18"/>
      <c r="J451" s="20" t="b">
        <v>1</v>
      </c>
      <c r="K451" s="17">
        <f t="shared" si="2"/>
        <v>45614.66166</v>
      </c>
      <c r="L451" s="11" t="s">
        <v>54</v>
      </c>
      <c r="M451" s="21" t="s">
        <v>45</v>
      </c>
    </row>
    <row r="452" ht="22.5" customHeight="1">
      <c r="B452" s="13">
        <f t="shared" si="3"/>
        <v>445</v>
      </c>
      <c r="C452" s="12" t="s">
        <v>453</v>
      </c>
      <c r="D452" s="14" t="str">
        <f t="array" ref="D452">IF(C452="","",IFNA(_xlfn.XLOOKUP(C452,'a 01'!$C$6:$C$999,'a 01'!$D$6:$D$999),""))</f>
        <v/>
      </c>
      <c r="E452" s="18" t="str">
        <f t="array" ref="E452">_xlfn.XLOOKUP(D452,Table_Warkah[Kode Tiket],Table_Warkah[Jenis Permohonan],"")</f>
        <v/>
      </c>
      <c r="F452" s="12" t="s">
        <v>470</v>
      </c>
      <c r="G452" s="12" t="s">
        <v>43</v>
      </c>
      <c r="H452" s="17">
        <f t="shared" si="1"/>
        <v>45614.66166</v>
      </c>
      <c r="I452" s="18"/>
      <c r="J452" s="20" t="b">
        <v>1</v>
      </c>
      <c r="K452" s="17">
        <f t="shared" si="2"/>
        <v>45614.66166</v>
      </c>
      <c r="L452" s="11" t="s">
        <v>54</v>
      </c>
      <c r="M452" s="21" t="s">
        <v>45</v>
      </c>
    </row>
    <row r="453" ht="22.5" customHeight="1">
      <c r="B453" s="13">
        <f t="shared" si="3"/>
        <v>446</v>
      </c>
      <c r="C453" s="12" t="s">
        <v>442</v>
      </c>
      <c r="D453" s="14" t="str">
        <f t="array" ref="D453">IF(C453="","",IFNA(_xlfn.XLOOKUP(C453,'a 01'!$C$6:$C$999,'a 01'!$D$6:$D$999),""))</f>
        <v/>
      </c>
      <c r="E453" s="18" t="str">
        <f t="array" ref="E453">_xlfn.XLOOKUP(D453,Table_Warkah[Kode Tiket],Table_Warkah[Jenis Permohonan],"")</f>
        <v/>
      </c>
      <c r="F453" s="12" t="s">
        <v>470</v>
      </c>
      <c r="G453" s="12" t="s">
        <v>43</v>
      </c>
      <c r="H453" s="17">
        <f t="shared" si="1"/>
        <v>45614.66166</v>
      </c>
      <c r="I453" s="18"/>
      <c r="J453" s="20" t="b">
        <v>1</v>
      </c>
      <c r="K453" s="17">
        <f t="shared" si="2"/>
        <v>45614.66166</v>
      </c>
      <c r="L453" s="11" t="s">
        <v>54</v>
      </c>
      <c r="M453" s="21" t="s">
        <v>45</v>
      </c>
    </row>
    <row r="454" ht="22.5" customHeight="1">
      <c r="B454" s="13">
        <f t="shared" si="3"/>
        <v>447</v>
      </c>
      <c r="C454" s="12" t="s">
        <v>449</v>
      </c>
      <c r="D454" s="14" t="str">
        <f t="array" ref="D454">IF(C454="","",IFNA(_xlfn.XLOOKUP(C454,'a 01'!$C$6:$C$999,'a 01'!$D$6:$D$999),""))</f>
        <v/>
      </c>
      <c r="E454" s="18" t="str">
        <f t="array" ref="E454">_xlfn.XLOOKUP(D454,Table_Warkah[Kode Tiket],Table_Warkah[Jenis Permohonan],"")</f>
        <v/>
      </c>
      <c r="F454" s="12" t="s">
        <v>470</v>
      </c>
      <c r="G454" s="12" t="s">
        <v>43</v>
      </c>
      <c r="H454" s="17">
        <f t="shared" si="1"/>
        <v>45614.66166</v>
      </c>
      <c r="I454" s="18"/>
      <c r="J454" s="20" t="b">
        <v>1</v>
      </c>
      <c r="K454" s="17">
        <f t="shared" si="2"/>
        <v>45614.66166</v>
      </c>
      <c r="L454" s="11" t="s">
        <v>54</v>
      </c>
      <c r="M454" s="21" t="s">
        <v>45</v>
      </c>
    </row>
    <row r="455" ht="22.5" customHeight="1">
      <c r="B455" s="13">
        <f t="shared" si="3"/>
        <v>448</v>
      </c>
      <c r="C455" s="12" t="s">
        <v>499</v>
      </c>
      <c r="D455" s="14" t="str">
        <f t="array" ref="D455">IF(C455="","",IFNA(_xlfn.XLOOKUP(C455,'a 01'!$C$6:$C$999,'a 01'!$D$6:$D$999),""))</f>
        <v/>
      </c>
      <c r="E455" s="18" t="str">
        <f t="array" ref="E455">_xlfn.XLOOKUP(D455,Table_Warkah[Kode Tiket],Table_Warkah[Jenis Permohonan],"")</f>
        <v/>
      </c>
      <c r="F455" s="12" t="s">
        <v>470</v>
      </c>
      <c r="G455" s="12" t="s">
        <v>43</v>
      </c>
      <c r="H455" s="17">
        <f t="shared" si="1"/>
        <v>45614.66166</v>
      </c>
      <c r="I455" s="18"/>
      <c r="J455" s="20" t="b">
        <v>1</v>
      </c>
      <c r="K455" s="17">
        <f t="shared" si="2"/>
        <v>45614.66166</v>
      </c>
      <c r="L455" s="11" t="s">
        <v>54</v>
      </c>
      <c r="M455" s="21" t="s">
        <v>45</v>
      </c>
    </row>
    <row r="456" ht="22.5" customHeight="1">
      <c r="B456" s="13">
        <f t="shared" si="3"/>
        <v>449</v>
      </c>
      <c r="C456" s="24"/>
      <c r="D456" s="14" t="str">
        <f t="array" ref="D456">IF(C456="","",IFNA(_xlfn.XLOOKUP(C456,'a 01'!$C$6:$C$999,'a 01'!$D$6:$D$999),""))</f>
        <v/>
      </c>
      <c r="E456" s="18" t="str">
        <f t="array" ref="E456">_xlfn.XLOOKUP(D456,Table_Warkah[Kode Tiket],Table_Warkah[Jenis Permohonan],"")</f>
        <v/>
      </c>
      <c r="F456" s="24"/>
      <c r="G456" s="24"/>
      <c r="H456" s="13" t="str">
        <f t="shared" si="1"/>
        <v/>
      </c>
      <c r="I456" s="18"/>
      <c r="J456" s="20" t="b">
        <v>0</v>
      </c>
      <c r="K456" s="13" t="str">
        <f t="shared" si="2"/>
        <v/>
      </c>
      <c r="L456" s="13"/>
      <c r="M456" s="21" t="s">
        <v>45</v>
      </c>
    </row>
    <row r="457" ht="22.5" customHeight="1">
      <c r="B457" s="13">
        <f t="shared" si="3"/>
        <v>450</v>
      </c>
      <c r="C457" s="24"/>
      <c r="D457" s="14" t="str">
        <f t="array" ref="D457">IF(C457="","",IFNA(_xlfn.XLOOKUP(C457,'a 01'!$C$6:$C$999,'a 01'!$D$6:$D$999),""))</f>
        <v/>
      </c>
      <c r="E457" s="18" t="str">
        <f t="array" ref="E457">_xlfn.XLOOKUP(D457,Table_Warkah[Kode Tiket],Table_Warkah[Jenis Permohonan],"")</f>
        <v/>
      </c>
      <c r="F457" s="24"/>
      <c r="G457" s="24"/>
      <c r="H457" s="13" t="str">
        <f t="shared" si="1"/>
        <v/>
      </c>
      <c r="I457" s="18"/>
      <c r="J457" s="20" t="b">
        <v>0</v>
      </c>
      <c r="K457" s="13" t="str">
        <f t="shared" si="2"/>
        <v/>
      </c>
      <c r="L457" s="13"/>
      <c r="M457" s="21" t="s">
        <v>45</v>
      </c>
    </row>
    <row r="458" ht="22.5" customHeight="1">
      <c r="B458" s="13">
        <f t="shared" si="3"/>
        <v>451</v>
      </c>
      <c r="C458" s="24"/>
      <c r="D458" s="14" t="str">
        <f t="array" ref="D458">IF(C458="","",IFNA(_xlfn.XLOOKUP(C458,'a 01'!$C$6:$C$999,'a 01'!$D$6:$D$999),""))</f>
        <v/>
      </c>
      <c r="E458" s="18" t="str">
        <f t="array" ref="E458">_xlfn.XLOOKUP(D458,Table_Warkah[Kode Tiket],Table_Warkah[Jenis Permohonan],"")</f>
        <v/>
      </c>
      <c r="F458" s="24"/>
      <c r="G458" s="24"/>
      <c r="H458" s="13" t="str">
        <f t="shared" si="1"/>
        <v/>
      </c>
      <c r="I458" s="18"/>
      <c r="J458" s="20" t="b">
        <v>0</v>
      </c>
      <c r="K458" s="13" t="str">
        <f t="shared" si="2"/>
        <v/>
      </c>
      <c r="L458" s="13"/>
      <c r="M458" s="21" t="s">
        <v>45</v>
      </c>
    </row>
    <row r="459" ht="22.5" customHeight="1">
      <c r="B459" s="13">
        <f t="shared" si="3"/>
        <v>452</v>
      </c>
      <c r="C459" s="24"/>
      <c r="D459" s="14" t="str">
        <f t="array" ref="D459">IF(C459="","",IFNA(_xlfn.XLOOKUP(C459,'a 01'!$C$6:$C$999,'a 01'!$D$6:$D$999),""))</f>
        <v/>
      </c>
      <c r="E459" s="18" t="str">
        <f t="array" ref="E459">_xlfn.XLOOKUP(D459,Table_Warkah[Kode Tiket],Table_Warkah[Jenis Permohonan],"")</f>
        <v/>
      </c>
      <c r="F459" s="24"/>
      <c r="G459" s="24"/>
      <c r="H459" s="13" t="str">
        <f t="shared" si="1"/>
        <v/>
      </c>
      <c r="I459" s="18"/>
      <c r="J459" s="20" t="b">
        <v>0</v>
      </c>
      <c r="K459" s="13" t="str">
        <f t="shared" si="2"/>
        <v/>
      </c>
      <c r="L459" s="13"/>
      <c r="M459" s="21" t="s">
        <v>45</v>
      </c>
    </row>
    <row r="460" ht="22.5" customHeight="1">
      <c r="B460" s="13">
        <f t="shared" si="3"/>
        <v>453</v>
      </c>
      <c r="C460" s="24"/>
      <c r="D460" s="14" t="str">
        <f t="array" ref="D460">IF(C460="","",IFNA(_xlfn.XLOOKUP(C460,'a 01'!$C$6:$C$999,'a 01'!$D$6:$D$999),""))</f>
        <v/>
      </c>
      <c r="E460" s="18" t="str">
        <f t="array" ref="E460">_xlfn.XLOOKUP(D460,Table_Warkah[Kode Tiket],Table_Warkah[Jenis Permohonan],"")</f>
        <v/>
      </c>
      <c r="F460" s="24"/>
      <c r="G460" s="24"/>
      <c r="H460" s="13" t="str">
        <f t="shared" si="1"/>
        <v/>
      </c>
      <c r="I460" s="18"/>
      <c r="J460" s="20" t="b">
        <v>0</v>
      </c>
      <c r="K460" s="13" t="str">
        <f t="shared" si="2"/>
        <v/>
      </c>
      <c r="L460" s="13"/>
      <c r="M460" s="21" t="s">
        <v>45</v>
      </c>
    </row>
    <row r="461" ht="22.5" customHeight="1">
      <c r="B461" s="13">
        <f t="shared" si="3"/>
        <v>454</v>
      </c>
      <c r="C461" s="24"/>
      <c r="D461" s="14" t="str">
        <f t="array" ref="D461">IF(C461="","",IFNA(_xlfn.XLOOKUP(C461,'a 01'!$C$6:$C$999,'a 01'!$D$6:$D$999),""))</f>
        <v/>
      </c>
      <c r="E461" s="18" t="str">
        <f t="array" ref="E461">_xlfn.XLOOKUP(D461,Table_Warkah[Kode Tiket],Table_Warkah[Jenis Permohonan],"")</f>
        <v/>
      </c>
      <c r="F461" s="24"/>
      <c r="G461" s="24"/>
      <c r="H461" s="13" t="str">
        <f t="shared" si="1"/>
        <v/>
      </c>
      <c r="I461" s="18"/>
      <c r="J461" s="20" t="b">
        <v>0</v>
      </c>
      <c r="K461" s="13" t="str">
        <f t="shared" si="2"/>
        <v/>
      </c>
      <c r="L461" s="13"/>
      <c r="M461" s="21" t="s">
        <v>45</v>
      </c>
    </row>
    <row r="462" ht="22.5" customHeight="1">
      <c r="B462" s="13">
        <f t="shared" si="3"/>
        <v>455</v>
      </c>
      <c r="C462" s="24"/>
      <c r="D462" s="14" t="str">
        <f t="array" ref="D462">IF(C462="","",IFNA(_xlfn.XLOOKUP(C462,'a 01'!$C$6:$C$999,'a 01'!$D$6:$D$999),""))</f>
        <v/>
      </c>
      <c r="E462" s="18" t="str">
        <f t="array" ref="E462">_xlfn.XLOOKUP(D462,Table_Warkah[Kode Tiket],Table_Warkah[Jenis Permohonan],"")</f>
        <v/>
      </c>
      <c r="F462" s="24"/>
      <c r="G462" s="24"/>
      <c r="H462" s="13" t="str">
        <f t="shared" si="1"/>
        <v/>
      </c>
      <c r="I462" s="18"/>
      <c r="J462" s="20" t="b">
        <v>0</v>
      </c>
      <c r="K462" s="13" t="str">
        <f t="shared" si="2"/>
        <v/>
      </c>
      <c r="L462" s="13"/>
      <c r="M462" s="21" t="s">
        <v>45</v>
      </c>
    </row>
    <row r="463" ht="22.5" customHeight="1">
      <c r="B463" s="13">
        <f t="shared" si="3"/>
        <v>456</v>
      </c>
      <c r="C463" s="24"/>
      <c r="D463" s="14" t="str">
        <f t="array" ref="D463">IF(C463="","",IFNA(_xlfn.XLOOKUP(C463,'a 01'!$C$6:$C$999,'a 01'!$D$6:$D$999),""))</f>
        <v/>
      </c>
      <c r="E463" s="18" t="str">
        <f t="array" ref="E463">_xlfn.XLOOKUP(D463,Table_Warkah[Kode Tiket],Table_Warkah[Jenis Permohonan],"")</f>
        <v/>
      </c>
      <c r="F463" s="24"/>
      <c r="G463" s="24"/>
      <c r="H463" s="13" t="str">
        <f t="shared" si="1"/>
        <v/>
      </c>
      <c r="I463" s="18"/>
      <c r="J463" s="20" t="b">
        <v>0</v>
      </c>
      <c r="K463" s="13" t="str">
        <f t="shared" si="2"/>
        <v/>
      </c>
      <c r="L463" s="13"/>
      <c r="M463" s="21" t="s">
        <v>45</v>
      </c>
    </row>
    <row r="464" ht="22.5" customHeight="1">
      <c r="B464" s="13">
        <f t="shared" si="3"/>
        <v>457</v>
      </c>
      <c r="C464" s="24"/>
      <c r="D464" s="14" t="str">
        <f t="array" ref="D464">IF(C464="","",IFNA(_xlfn.XLOOKUP(C464,'a 01'!$C$6:$C$999,'a 01'!$D$6:$D$999),""))</f>
        <v/>
      </c>
      <c r="E464" s="18" t="str">
        <f t="array" ref="E464">_xlfn.XLOOKUP(D464,Table_Warkah[Kode Tiket],Table_Warkah[Jenis Permohonan],"")</f>
        <v/>
      </c>
      <c r="F464" s="24"/>
      <c r="G464" s="24"/>
      <c r="H464" s="13" t="str">
        <f t="shared" si="1"/>
        <v/>
      </c>
      <c r="I464" s="18"/>
      <c r="J464" s="20" t="b">
        <v>0</v>
      </c>
      <c r="K464" s="13" t="str">
        <f t="shared" si="2"/>
        <v/>
      </c>
      <c r="L464" s="13"/>
      <c r="M464" s="21" t="s">
        <v>45</v>
      </c>
    </row>
    <row r="465" ht="22.5" customHeight="1">
      <c r="B465" s="13">
        <f t="shared" si="3"/>
        <v>458</v>
      </c>
      <c r="C465" s="24"/>
      <c r="D465" s="14" t="str">
        <f t="array" ref="D465">IF(C465="","",IFNA(_xlfn.XLOOKUP(C465,'a 01'!$C$6:$C$999,'a 01'!$D$6:$D$999),""))</f>
        <v/>
      </c>
      <c r="E465" s="18" t="str">
        <f t="array" ref="E465">_xlfn.XLOOKUP(D465,Table_Warkah[Kode Tiket],Table_Warkah[Jenis Permohonan],"")</f>
        <v/>
      </c>
      <c r="F465" s="24"/>
      <c r="G465" s="24"/>
      <c r="H465" s="13" t="str">
        <f t="shared" si="1"/>
        <v/>
      </c>
      <c r="I465" s="18"/>
      <c r="J465" s="20" t="b">
        <v>0</v>
      </c>
      <c r="K465" s="13" t="str">
        <f t="shared" si="2"/>
        <v/>
      </c>
      <c r="L465" s="13"/>
      <c r="M465" s="21" t="s">
        <v>45</v>
      </c>
    </row>
    <row r="466" ht="22.5" customHeight="1">
      <c r="B466" s="13">
        <f t="shared" si="3"/>
        <v>459</v>
      </c>
      <c r="C466" s="24"/>
      <c r="D466" s="14" t="str">
        <f t="array" ref="D466">IF(C466="","",IFNA(_xlfn.XLOOKUP(C466,'a 01'!$C$6:$C$999,'a 01'!$D$6:$D$999),""))</f>
        <v/>
      </c>
      <c r="E466" s="18" t="str">
        <f t="array" ref="E466">_xlfn.XLOOKUP(D466,Table_Warkah[Kode Tiket],Table_Warkah[Jenis Permohonan],"")</f>
        <v/>
      </c>
      <c r="F466" s="24"/>
      <c r="G466" s="24"/>
      <c r="H466" s="13" t="str">
        <f t="shared" si="1"/>
        <v/>
      </c>
      <c r="I466" s="18"/>
      <c r="J466" s="20" t="b">
        <v>0</v>
      </c>
      <c r="K466" s="13" t="str">
        <f t="shared" si="2"/>
        <v/>
      </c>
      <c r="L466" s="13"/>
      <c r="M466" s="21" t="s">
        <v>45</v>
      </c>
    </row>
    <row r="467" ht="22.5" customHeight="1">
      <c r="B467" s="13">
        <f t="shared" si="3"/>
        <v>460</v>
      </c>
      <c r="C467" s="24"/>
      <c r="D467" s="14" t="str">
        <f t="array" ref="D467">IF(C467="","",IFNA(_xlfn.XLOOKUP(C467,'a 01'!$C$6:$C$999,'a 01'!$D$6:$D$999),""))</f>
        <v/>
      </c>
      <c r="E467" s="18" t="str">
        <f t="array" ref="E467">_xlfn.XLOOKUP(D467,Table_Warkah[Kode Tiket],Table_Warkah[Jenis Permohonan],"")</f>
        <v/>
      </c>
      <c r="F467" s="24"/>
      <c r="G467" s="24"/>
      <c r="H467" s="13" t="str">
        <f t="shared" si="1"/>
        <v/>
      </c>
      <c r="I467" s="18"/>
      <c r="J467" s="20" t="b">
        <v>0</v>
      </c>
      <c r="K467" s="13" t="str">
        <f t="shared" si="2"/>
        <v/>
      </c>
      <c r="L467" s="13"/>
      <c r="M467" s="21" t="s">
        <v>45</v>
      </c>
    </row>
    <row r="468" ht="22.5" customHeight="1">
      <c r="B468" s="13">
        <f t="shared" si="3"/>
        <v>461</v>
      </c>
      <c r="C468" s="24"/>
      <c r="D468" s="14" t="str">
        <f t="array" ref="D468">IF(C468="","",IFNA(_xlfn.XLOOKUP(C468,'a 01'!$C$6:$C$999,'a 01'!$D$6:$D$999),""))</f>
        <v/>
      </c>
      <c r="E468" s="18" t="str">
        <f t="array" ref="E468">_xlfn.XLOOKUP(D468,Table_Warkah[Kode Tiket],Table_Warkah[Jenis Permohonan],"")</f>
        <v/>
      </c>
      <c r="F468" s="24"/>
      <c r="G468" s="24"/>
      <c r="H468" s="13" t="str">
        <f t="shared" si="1"/>
        <v/>
      </c>
      <c r="I468" s="18"/>
      <c r="J468" s="20" t="b">
        <v>0</v>
      </c>
      <c r="K468" s="13" t="str">
        <f t="shared" si="2"/>
        <v/>
      </c>
      <c r="L468" s="13"/>
      <c r="M468" s="21" t="s">
        <v>45</v>
      </c>
    </row>
    <row r="469" ht="22.5" customHeight="1">
      <c r="B469" s="13">
        <f t="shared" si="3"/>
        <v>462</v>
      </c>
      <c r="C469" s="24"/>
      <c r="D469" s="14" t="str">
        <f t="array" ref="D469">IF(C469="","",IFNA(_xlfn.XLOOKUP(C469,'a 01'!$C$6:$C$999,'a 01'!$D$6:$D$999),""))</f>
        <v/>
      </c>
      <c r="E469" s="18" t="str">
        <f t="array" ref="E469">_xlfn.XLOOKUP(D469,Table_Warkah[Kode Tiket],Table_Warkah[Jenis Permohonan],"")</f>
        <v/>
      </c>
      <c r="F469" s="24"/>
      <c r="G469" s="24"/>
      <c r="H469" s="13" t="str">
        <f t="shared" si="1"/>
        <v/>
      </c>
      <c r="I469" s="18"/>
      <c r="J469" s="20" t="b">
        <v>0</v>
      </c>
      <c r="K469" s="13" t="str">
        <f t="shared" si="2"/>
        <v/>
      </c>
      <c r="L469" s="13"/>
      <c r="M469" s="21" t="s">
        <v>45</v>
      </c>
    </row>
    <row r="470" ht="22.5" customHeight="1">
      <c r="B470" s="13">
        <f t="shared" si="3"/>
        <v>463</v>
      </c>
      <c r="C470" s="24"/>
      <c r="D470" s="14" t="str">
        <f t="array" ref="D470">IF(C470="","",IFNA(_xlfn.XLOOKUP(C470,'a 01'!$C$6:$C$999,'a 01'!$D$6:$D$999),""))</f>
        <v/>
      </c>
      <c r="E470" s="18" t="str">
        <f t="array" ref="E470">_xlfn.XLOOKUP(D470,Table_Warkah[Kode Tiket],Table_Warkah[Jenis Permohonan],"")</f>
        <v/>
      </c>
      <c r="F470" s="24"/>
      <c r="G470" s="24"/>
      <c r="H470" s="13" t="str">
        <f t="shared" si="1"/>
        <v/>
      </c>
      <c r="I470" s="18"/>
      <c r="J470" s="20" t="b">
        <v>0</v>
      </c>
      <c r="K470" s="13" t="str">
        <f t="shared" si="2"/>
        <v/>
      </c>
      <c r="L470" s="13"/>
      <c r="M470" s="21" t="s">
        <v>45</v>
      </c>
    </row>
    <row r="471" ht="22.5" customHeight="1">
      <c r="B471" s="13">
        <f t="shared" si="3"/>
        <v>464</v>
      </c>
      <c r="C471" s="24"/>
      <c r="D471" s="14" t="str">
        <f t="array" ref="D471">IF(C471="","",IFNA(_xlfn.XLOOKUP(C471,'a 01'!$C$6:$C$999,'a 01'!$D$6:$D$999),""))</f>
        <v/>
      </c>
      <c r="E471" s="18" t="str">
        <f t="array" ref="E471">_xlfn.XLOOKUP(D471,Table_Warkah[Kode Tiket],Table_Warkah[Jenis Permohonan],"")</f>
        <v/>
      </c>
      <c r="F471" s="24"/>
      <c r="G471" s="24"/>
      <c r="H471" s="13" t="str">
        <f t="shared" si="1"/>
        <v/>
      </c>
      <c r="I471" s="18"/>
      <c r="J471" s="20" t="b">
        <v>0</v>
      </c>
      <c r="K471" s="13" t="str">
        <f t="shared" si="2"/>
        <v/>
      </c>
      <c r="L471" s="13"/>
      <c r="M471" s="21" t="s">
        <v>45</v>
      </c>
    </row>
    <row r="472" ht="22.5" customHeight="1">
      <c r="B472" s="13">
        <f t="shared" si="3"/>
        <v>465</v>
      </c>
      <c r="C472" s="24"/>
      <c r="D472" s="14" t="str">
        <f t="array" ref="D472">IF(C472="","",IFNA(_xlfn.XLOOKUP(C472,'a 01'!$C$6:$C$999,'a 01'!$D$6:$D$999),""))</f>
        <v/>
      </c>
      <c r="E472" s="18" t="str">
        <f t="array" ref="E472">_xlfn.XLOOKUP(D472,Table_Warkah[Kode Tiket],Table_Warkah[Jenis Permohonan],"")</f>
        <v/>
      </c>
      <c r="F472" s="24"/>
      <c r="G472" s="24"/>
      <c r="H472" s="13" t="str">
        <f t="shared" si="1"/>
        <v/>
      </c>
      <c r="I472" s="18"/>
      <c r="J472" s="20" t="b">
        <v>0</v>
      </c>
      <c r="K472" s="13" t="str">
        <f t="shared" si="2"/>
        <v/>
      </c>
      <c r="L472" s="13"/>
      <c r="M472" s="21" t="s">
        <v>45</v>
      </c>
    </row>
    <row r="473" ht="22.5" customHeight="1">
      <c r="B473" s="13">
        <f t="shared" si="3"/>
        <v>466</v>
      </c>
      <c r="C473" s="24"/>
      <c r="D473" s="14" t="str">
        <f t="array" ref="D473">IF(C473="","",IFNA(_xlfn.XLOOKUP(C473,'a 01'!$C$6:$C$999,'a 01'!$D$6:$D$999),""))</f>
        <v/>
      </c>
      <c r="E473" s="18" t="str">
        <f t="array" ref="E473">_xlfn.XLOOKUP(D473,Table_Warkah[Kode Tiket],Table_Warkah[Jenis Permohonan],"")</f>
        <v/>
      </c>
      <c r="F473" s="24"/>
      <c r="G473" s="24"/>
      <c r="H473" s="13" t="str">
        <f t="shared" si="1"/>
        <v/>
      </c>
      <c r="I473" s="18"/>
      <c r="J473" s="20" t="b">
        <v>0</v>
      </c>
      <c r="K473" s="13" t="str">
        <f t="shared" si="2"/>
        <v/>
      </c>
      <c r="L473" s="13"/>
      <c r="M473" s="21" t="s">
        <v>45</v>
      </c>
    </row>
    <row r="474" ht="22.5" customHeight="1">
      <c r="B474" s="13">
        <f t="shared" si="3"/>
        <v>467</v>
      </c>
      <c r="C474" s="24"/>
      <c r="D474" s="14" t="str">
        <f t="array" ref="D474">IF(C474="","",IFNA(_xlfn.XLOOKUP(C474,'a 01'!$C$6:$C$999,'a 01'!$D$6:$D$999),""))</f>
        <v/>
      </c>
      <c r="E474" s="18" t="str">
        <f t="array" ref="E474">_xlfn.XLOOKUP(D474,Table_Warkah[Kode Tiket],Table_Warkah[Jenis Permohonan],"")</f>
        <v/>
      </c>
      <c r="F474" s="24"/>
      <c r="G474" s="24"/>
      <c r="H474" s="13" t="str">
        <f t="shared" si="1"/>
        <v/>
      </c>
      <c r="I474" s="18"/>
      <c r="J474" s="20" t="b">
        <v>0</v>
      </c>
      <c r="K474" s="13" t="str">
        <f t="shared" si="2"/>
        <v/>
      </c>
      <c r="L474" s="13"/>
      <c r="M474" s="21" t="s">
        <v>45</v>
      </c>
    </row>
    <row r="475" ht="22.5" customHeight="1">
      <c r="B475" s="13">
        <f t="shared" si="3"/>
        <v>468</v>
      </c>
      <c r="C475" s="24"/>
      <c r="D475" s="14" t="str">
        <f t="array" ref="D475">IF(C475="","",IFNA(_xlfn.XLOOKUP(C475,'a 01'!$C$6:$C$999,'a 01'!$D$6:$D$999),""))</f>
        <v/>
      </c>
      <c r="E475" s="18" t="str">
        <f t="array" ref="E475">_xlfn.XLOOKUP(D475,Table_Warkah[Kode Tiket],Table_Warkah[Jenis Permohonan],"")</f>
        <v/>
      </c>
      <c r="F475" s="24"/>
      <c r="G475" s="24"/>
      <c r="H475" s="13" t="str">
        <f t="shared" si="1"/>
        <v/>
      </c>
      <c r="I475" s="18"/>
      <c r="J475" s="20" t="b">
        <v>0</v>
      </c>
      <c r="K475" s="13" t="str">
        <f t="shared" si="2"/>
        <v/>
      </c>
      <c r="L475" s="13"/>
      <c r="M475" s="21" t="s">
        <v>45</v>
      </c>
    </row>
    <row r="476" ht="22.5" customHeight="1">
      <c r="B476" s="13">
        <f t="shared" si="3"/>
        <v>469</v>
      </c>
      <c r="C476" s="24"/>
      <c r="D476" s="14" t="str">
        <f t="array" ref="D476">IF(C476="","",IFNA(_xlfn.XLOOKUP(C476,'a 01'!$C$6:$C$999,'a 01'!$D$6:$D$999),""))</f>
        <v/>
      </c>
      <c r="E476" s="18" t="str">
        <f t="array" ref="E476">_xlfn.XLOOKUP(D476,Table_Warkah[Kode Tiket],Table_Warkah[Jenis Permohonan],"")</f>
        <v/>
      </c>
      <c r="F476" s="24"/>
      <c r="G476" s="24"/>
      <c r="H476" s="13" t="str">
        <f t="shared" si="1"/>
        <v/>
      </c>
      <c r="I476" s="18"/>
      <c r="J476" s="20" t="b">
        <v>0</v>
      </c>
      <c r="K476" s="13" t="str">
        <f t="shared" si="2"/>
        <v/>
      </c>
      <c r="L476" s="13"/>
      <c r="M476" s="21" t="s">
        <v>45</v>
      </c>
    </row>
    <row r="477" ht="22.5" customHeight="1">
      <c r="B477" s="13">
        <f t="shared" si="3"/>
        <v>470</v>
      </c>
      <c r="C477" s="24"/>
      <c r="D477" s="14" t="str">
        <f t="array" ref="D477">IF(C477="","",IFNA(_xlfn.XLOOKUP(C477,'a 01'!$C$6:$C$999,'a 01'!$D$6:$D$999),""))</f>
        <v/>
      </c>
      <c r="E477" s="18" t="str">
        <f t="array" ref="E477">_xlfn.XLOOKUP(D477,Table_Warkah[Kode Tiket],Table_Warkah[Jenis Permohonan],"")</f>
        <v/>
      </c>
      <c r="F477" s="24"/>
      <c r="G477" s="24"/>
      <c r="H477" s="13" t="str">
        <f t="shared" si="1"/>
        <v/>
      </c>
      <c r="I477" s="18"/>
      <c r="J477" s="20" t="b">
        <v>0</v>
      </c>
      <c r="K477" s="13" t="str">
        <f t="shared" si="2"/>
        <v/>
      </c>
      <c r="L477" s="13"/>
      <c r="M477" s="21" t="s">
        <v>45</v>
      </c>
    </row>
    <row r="478" ht="22.5" customHeight="1">
      <c r="B478" s="13">
        <f t="shared" si="3"/>
        <v>471</v>
      </c>
      <c r="C478" s="24"/>
      <c r="D478" s="14" t="str">
        <f t="array" ref="D478">IF(C478="","",IFNA(_xlfn.XLOOKUP(C478,'a 01'!$C$6:$C$999,'a 01'!$D$6:$D$999),""))</f>
        <v/>
      </c>
      <c r="E478" s="18" t="str">
        <f t="array" ref="E478">_xlfn.XLOOKUP(D478,Table_Warkah[Kode Tiket],Table_Warkah[Jenis Permohonan],"")</f>
        <v/>
      </c>
      <c r="F478" s="24"/>
      <c r="G478" s="24"/>
      <c r="H478" s="13" t="str">
        <f t="shared" si="1"/>
        <v/>
      </c>
      <c r="I478" s="18"/>
      <c r="J478" s="20" t="b">
        <v>0</v>
      </c>
      <c r="K478" s="13" t="str">
        <f t="shared" si="2"/>
        <v/>
      </c>
      <c r="L478" s="13"/>
      <c r="M478" s="21" t="s">
        <v>45</v>
      </c>
    </row>
    <row r="479" ht="22.5" customHeight="1">
      <c r="B479" s="13">
        <f t="shared" si="3"/>
        <v>472</v>
      </c>
      <c r="C479" s="24"/>
      <c r="D479" s="14" t="str">
        <f t="array" ref="D479">IF(C479="","",IFNA(_xlfn.XLOOKUP(C479,'a 01'!$C$6:$C$999,'a 01'!$D$6:$D$999),""))</f>
        <v/>
      </c>
      <c r="E479" s="18" t="str">
        <f t="array" ref="E479">_xlfn.XLOOKUP(D479,Table_Warkah[Kode Tiket],Table_Warkah[Jenis Permohonan],"")</f>
        <v/>
      </c>
      <c r="F479" s="24"/>
      <c r="G479" s="24"/>
      <c r="H479" s="13" t="str">
        <f t="shared" si="1"/>
        <v/>
      </c>
      <c r="I479" s="18"/>
      <c r="J479" s="20" t="b">
        <v>0</v>
      </c>
      <c r="K479" s="13" t="str">
        <f t="shared" si="2"/>
        <v/>
      </c>
      <c r="L479" s="13"/>
      <c r="M479" s="21" t="s">
        <v>45</v>
      </c>
    </row>
    <row r="480" ht="22.5" customHeight="1">
      <c r="B480" s="13">
        <f t="shared" si="3"/>
        <v>473</v>
      </c>
      <c r="C480" s="24"/>
      <c r="D480" s="14" t="str">
        <f t="array" ref="D480">IF(C480="","",IFNA(_xlfn.XLOOKUP(C480,'a 01'!$C$6:$C$999,'a 01'!$D$6:$D$999),""))</f>
        <v/>
      </c>
      <c r="E480" s="18" t="str">
        <f t="array" ref="E480">_xlfn.XLOOKUP(D480,Table_Warkah[Kode Tiket],Table_Warkah[Jenis Permohonan],"")</f>
        <v/>
      </c>
      <c r="F480" s="24"/>
      <c r="G480" s="24"/>
      <c r="H480" s="13" t="str">
        <f t="shared" si="1"/>
        <v/>
      </c>
      <c r="I480" s="18"/>
      <c r="J480" s="20" t="b">
        <v>0</v>
      </c>
      <c r="K480" s="13" t="str">
        <f t="shared" si="2"/>
        <v/>
      </c>
      <c r="L480" s="13"/>
      <c r="M480" s="21" t="s">
        <v>45</v>
      </c>
    </row>
    <row r="481" ht="22.5" customHeight="1">
      <c r="B481" s="13">
        <f t="shared" si="3"/>
        <v>474</v>
      </c>
      <c r="C481" s="24"/>
      <c r="D481" s="14" t="str">
        <f t="array" ref="D481">IF(C481="","",IFNA(_xlfn.XLOOKUP(C481,'a 01'!$C$6:$C$999,'a 01'!$D$6:$D$999),""))</f>
        <v/>
      </c>
      <c r="E481" s="18" t="str">
        <f t="array" ref="E481">_xlfn.XLOOKUP(D481,Table_Warkah[Kode Tiket],Table_Warkah[Jenis Permohonan],"")</f>
        <v/>
      </c>
      <c r="F481" s="24"/>
      <c r="G481" s="24"/>
      <c r="H481" s="13" t="str">
        <f t="shared" si="1"/>
        <v/>
      </c>
      <c r="I481" s="18"/>
      <c r="J481" s="20" t="b">
        <v>0</v>
      </c>
      <c r="K481" s="13" t="str">
        <f t="shared" si="2"/>
        <v/>
      </c>
      <c r="L481" s="13"/>
      <c r="M481" s="21" t="s">
        <v>45</v>
      </c>
    </row>
    <row r="482" ht="22.5" customHeight="1">
      <c r="B482" s="13">
        <f t="shared" si="3"/>
        <v>475</v>
      </c>
      <c r="C482" s="24"/>
      <c r="D482" s="14" t="str">
        <f t="array" ref="D482">IF(C482="","",IFNA(_xlfn.XLOOKUP(C482,'a 01'!$C$6:$C$999,'a 01'!$D$6:$D$999),""))</f>
        <v/>
      </c>
      <c r="E482" s="18" t="str">
        <f t="array" ref="E482">_xlfn.XLOOKUP(D482,Table_Warkah[Kode Tiket],Table_Warkah[Jenis Permohonan],"")</f>
        <v/>
      </c>
      <c r="F482" s="24"/>
      <c r="G482" s="24"/>
      <c r="H482" s="13" t="str">
        <f t="shared" si="1"/>
        <v/>
      </c>
      <c r="I482" s="18"/>
      <c r="J482" s="20" t="b">
        <v>0</v>
      </c>
      <c r="K482" s="13" t="str">
        <f t="shared" si="2"/>
        <v/>
      </c>
      <c r="L482" s="13"/>
      <c r="M482" s="21" t="s">
        <v>45</v>
      </c>
    </row>
    <row r="483" ht="22.5" customHeight="1">
      <c r="B483" s="13">
        <f t="shared" si="3"/>
        <v>476</v>
      </c>
      <c r="C483" s="24"/>
      <c r="D483" s="14" t="str">
        <f t="array" ref="D483">IF(C483="","",IFNA(_xlfn.XLOOKUP(C483,'a 01'!$C$6:$C$999,'a 01'!$D$6:$D$999),""))</f>
        <v/>
      </c>
      <c r="E483" s="18" t="str">
        <f t="array" ref="E483">_xlfn.XLOOKUP(D483,Table_Warkah[Kode Tiket],Table_Warkah[Jenis Permohonan],"")</f>
        <v/>
      </c>
      <c r="F483" s="24"/>
      <c r="G483" s="24"/>
      <c r="H483" s="13" t="str">
        <f t="shared" si="1"/>
        <v/>
      </c>
      <c r="I483" s="18"/>
      <c r="J483" s="20" t="b">
        <v>0</v>
      </c>
      <c r="K483" s="13" t="str">
        <f t="shared" si="2"/>
        <v/>
      </c>
      <c r="L483" s="13"/>
      <c r="M483" s="21" t="s">
        <v>45</v>
      </c>
    </row>
    <row r="484" ht="22.5" customHeight="1">
      <c r="B484" s="13">
        <f t="shared" si="3"/>
        <v>477</v>
      </c>
      <c r="C484" s="24"/>
      <c r="D484" s="14" t="str">
        <f t="array" ref="D484">IF(C484="","",IFNA(_xlfn.XLOOKUP(C484,'a 01'!$C$6:$C$999,'a 01'!$D$6:$D$999),""))</f>
        <v/>
      </c>
      <c r="E484" s="18" t="str">
        <f t="array" ref="E484">_xlfn.XLOOKUP(D484,Table_Warkah[Kode Tiket],Table_Warkah[Jenis Permohonan],"")</f>
        <v/>
      </c>
      <c r="F484" s="24"/>
      <c r="G484" s="24"/>
      <c r="H484" s="13" t="str">
        <f t="shared" si="1"/>
        <v/>
      </c>
      <c r="I484" s="18"/>
      <c r="J484" s="20" t="b">
        <v>0</v>
      </c>
      <c r="K484" s="13" t="str">
        <f t="shared" si="2"/>
        <v/>
      </c>
      <c r="L484" s="13"/>
      <c r="M484" s="21" t="s">
        <v>45</v>
      </c>
    </row>
    <row r="485" ht="22.5" customHeight="1">
      <c r="B485" s="13">
        <f t="shared" si="3"/>
        <v>478</v>
      </c>
      <c r="C485" s="24"/>
      <c r="D485" s="14" t="str">
        <f t="array" ref="D485">IF(C485="","",IFNA(_xlfn.XLOOKUP(C485,'a 01'!$C$6:$C$999,'a 01'!$D$6:$D$999),""))</f>
        <v/>
      </c>
      <c r="E485" s="18" t="str">
        <f t="array" ref="E485">_xlfn.XLOOKUP(D485,Table_Warkah[Kode Tiket],Table_Warkah[Jenis Permohonan],"")</f>
        <v/>
      </c>
      <c r="F485" s="24"/>
      <c r="G485" s="24"/>
      <c r="H485" s="13" t="str">
        <f t="shared" si="1"/>
        <v/>
      </c>
      <c r="I485" s="18"/>
      <c r="J485" s="20" t="b">
        <v>0</v>
      </c>
      <c r="K485" s="13" t="str">
        <f t="shared" si="2"/>
        <v/>
      </c>
      <c r="L485" s="13"/>
      <c r="M485" s="21" t="s">
        <v>45</v>
      </c>
    </row>
    <row r="486" ht="22.5" customHeight="1">
      <c r="B486" s="13">
        <f t="shared" si="3"/>
        <v>479</v>
      </c>
      <c r="C486" s="24"/>
      <c r="D486" s="14" t="str">
        <f t="array" ref="D486">IF(C486="","",IFNA(_xlfn.XLOOKUP(C486,'a 01'!$C$6:$C$999,'a 01'!$D$6:$D$999),""))</f>
        <v/>
      </c>
      <c r="E486" s="18" t="str">
        <f t="array" ref="E486">_xlfn.XLOOKUP(D486,Table_Warkah[Kode Tiket],Table_Warkah[Jenis Permohonan],"")</f>
        <v/>
      </c>
      <c r="F486" s="24"/>
      <c r="G486" s="24"/>
      <c r="H486" s="13" t="str">
        <f t="shared" si="1"/>
        <v/>
      </c>
      <c r="I486" s="18"/>
      <c r="J486" s="20" t="b">
        <v>0</v>
      </c>
      <c r="K486" s="13" t="str">
        <f t="shared" si="2"/>
        <v/>
      </c>
      <c r="L486" s="13"/>
      <c r="M486" s="21" t="s">
        <v>45</v>
      </c>
    </row>
    <row r="487" ht="22.5" customHeight="1">
      <c r="B487" s="13">
        <f t="shared" si="3"/>
        <v>480</v>
      </c>
      <c r="C487" s="24"/>
      <c r="D487" s="14" t="str">
        <f t="array" ref="D487">IF(C487="","",IFNA(_xlfn.XLOOKUP(C487,'a 01'!$C$6:$C$999,'a 01'!$D$6:$D$999),""))</f>
        <v/>
      </c>
      <c r="E487" s="18" t="str">
        <f t="array" ref="E487">_xlfn.XLOOKUP(D487,Table_Warkah[Kode Tiket],Table_Warkah[Jenis Permohonan],"")</f>
        <v/>
      </c>
      <c r="F487" s="24"/>
      <c r="G487" s="24"/>
      <c r="H487" s="13" t="str">
        <f t="shared" si="1"/>
        <v/>
      </c>
      <c r="I487" s="18"/>
      <c r="J487" s="20" t="b">
        <v>0</v>
      </c>
      <c r="K487" s="13" t="str">
        <f t="shared" si="2"/>
        <v/>
      </c>
      <c r="L487" s="13"/>
      <c r="M487" s="21" t="s">
        <v>45</v>
      </c>
    </row>
    <row r="488" ht="22.5" customHeight="1">
      <c r="B488" s="13">
        <f t="shared" si="3"/>
        <v>481</v>
      </c>
      <c r="C488" s="24"/>
      <c r="D488" s="14" t="str">
        <f t="array" ref="D488">IF(C488="","",IFNA(_xlfn.XLOOKUP(C488,'a 01'!$C$6:$C$999,'a 01'!$D$6:$D$999),""))</f>
        <v/>
      </c>
      <c r="E488" s="18" t="str">
        <f t="array" ref="E488">_xlfn.XLOOKUP(D488,Table_Warkah[Kode Tiket],Table_Warkah[Jenis Permohonan],"")</f>
        <v/>
      </c>
      <c r="F488" s="24"/>
      <c r="G488" s="24"/>
      <c r="H488" s="13" t="str">
        <f t="shared" si="1"/>
        <v/>
      </c>
      <c r="I488" s="18"/>
      <c r="J488" s="20" t="b">
        <v>0</v>
      </c>
      <c r="K488" s="13" t="str">
        <f t="shared" si="2"/>
        <v/>
      </c>
      <c r="L488" s="13"/>
      <c r="M488" s="21" t="s">
        <v>45</v>
      </c>
    </row>
    <row r="489" ht="22.5" customHeight="1">
      <c r="B489" s="13">
        <f t="shared" si="3"/>
        <v>482</v>
      </c>
      <c r="C489" s="24"/>
      <c r="D489" s="14" t="str">
        <f t="array" ref="D489">IF(C489="","",IFNA(_xlfn.XLOOKUP(C489,'a 01'!$C$6:$C$999,'a 01'!$D$6:$D$999),""))</f>
        <v/>
      </c>
      <c r="E489" s="18" t="str">
        <f t="array" ref="E489">_xlfn.XLOOKUP(D489,Table_Warkah[Kode Tiket],Table_Warkah[Jenis Permohonan],"")</f>
        <v/>
      </c>
      <c r="F489" s="24"/>
      <c r="G489" s="24"/>
      <c r="H489" s="13" t="str">
        <f t="shared" si="1"/>
        <v/>
      </c>
      <c r="I489" s="18"/>
      <c r="J489" s="20" t="b">
        <v>0</v>
      </c>
      <c r="K489" s="13" t="str">
        <f t="shared" si="2"/>
        <v/>
      </c>
      <c r="L489" s="13"/>
      <c r="M489" s="21" t="s">
        <v>45</v>
      </c>
    </row>
    <row r="490" ht="22.5" customHeight="1">
      <c r="B490" s="13">
        <f t="shared" si="3"/>
        <v>483</v>
      </c>
      <c r="C490" s="24"/>
      <c r="D490" s="14" t="str">
        <f t="array" ref="D490">IF(C490="","",IFNA(_xlfn.XLOOKUP(C490,'a 01'!$C$6:$C$999,'a 01'!$D$6:$D$999),""))</f>
        <v/>
      </c>
      <c r="E490" s="18" t="str">
        <f t="array" ref="E490">_xlfn.XLOOKUP(D490,Table_Warkah[Kode Tiket],Table_Warkah[Jenis Permohonan],"")</f>
        <v/>
      </c>
      <c r="F490" s="24"/>
      <c r="G490" s="24"/>
      <c r="H490" s="13" t="str">
        <f t="shared" si="1"/>
        <v/>
      </c>
      <c r="I490" s="18"/>
      <c r="J490" s="20" t="b">
        <v>0</v>
      </c>
      <c r="K490" s="13" t="str">
        <f t="shared" si="2"/>
        <v/>
      </c>
      <c r="L490" s="13"/>
      <c r="M490" s="21" t="s">
        <v>45</v>
      </c>
    </row>
    <row r="491" ht="22.5" customHeight="1">
      <c r="B491" s="13">
        <f t="shared" si="3"/>
        <v>484</v>
      </c>
      <c r="C491" s="24"/>
      <c r="D491" s="14" t="str">
        <f t="array" ref="D491">IF(C491="","",IFNA(_xlfn.XLOOKUP(C491,'a 01'!$C$6:$C$999,'a 01'!$D$6:$D$999),""))</f>
        <v/>
      </c>
      <c r="E491" s="18" t="str">
        <f t="array" ref="E491">_xlfn.XLOOKUP(D491,Table_Warkah[Kode Tiket],Table_Warkah[Jenis Permohonan],"")</f>
        <v/>
      </c>
      <c r="F491" s="24"/>
      <c r="G491" s="24"/>
      <c r="H491" s="13" t="str">
        <f t="shared" si="1"/>
        <v/>
      </c>
      <c r="I491" s="18"/>
      <c r="J491" s="20" t="b">
        <v>0</v>
      </c>
      <c r="K491" s="13" t="str">
        <f t="shared" si="2"/>
        <v/>
      </c>
      <c r="L491" s="13"/>
      <c r="M491" s="21" t="s">
        <v>45</v>
      </c>
    </row>
    <row r="492" ht="22.5" customHeight="1">
      <c r="B492" s="13">
        <f t="shared" si="3"/>
        <v>485</v>
      </c>
      <c r="C492" s="24"/>
      <c r="D492" s="14" t="str">
        <f t="array" ref="D492">IF(C492="","",IFNA(_xlfn.XLOOKUP(C492,'a 01'!$C$6:$C$999,'a 01'!$D$6:$D$999),""))</f>
        <v/>
      </c>
      <c r="E492" s="18" t="str">
        <f t="array" ref="E492">_xlfn.XLOOKUP(D492,Table_Warkah[Kode Tiket],Table_Warkah[Jenis Permohonan],"")</f>
        <v/>
      </c>
      <c r="F492" s="24"/>
      <c r="G492" s="24"/>
      <c r="H492" s="13" t="str">
        <f t="shared" si="1"/>
        <v/>
      </c>
      <c r="I492" s="18"/>
      <c r="J492" s="20" t="b">
        <v>0</v>
      </c>
      <c r="K492" s="13" t="str">
        <f t="shared" si="2"/>
        <v/>
      </c>
      <c r="L492" s="13"/>
      <c r="M492" s="21" t="s">
        <v>45</v>
      </c>
    </row>
    <row r="493" ht="22.5" customHeight="1">
      <c r="B493" s="13">
        <f t="shared" si="3"/>
        <v>486</v>
      </c>
      <c r="C493" s="24"/>
      <c r="D493" s="14" t="str">
        <f t="array" ref="D493">IF(C493="","",IFNA(_xlfn.XLOOKUP(C493,'a 01'!$C$6:$C$999,'a 01'!$D$6:$D$999),""))</f>
        <v/>
      </c>
      <c r="E493" s="18" t="str">
        <f t="array" ref="E493">_xlfn.XLOOKUP(D493,Table_Warkah[Kode Tiket],Table_Warkah[Jenis Permohonan],"")</f>
        <v/>
      </c>
      <c r="F493" s="24"/>
      <c r="G493" s="24"/>
      <c r="H493" s="13" t="str">
        <f t="shared" si="1"/>
        <v/>
      </c>
      <c r="I493" s="18"/>
      <c r="J493" s="20" t="b">
        <v>0</v>
      </c>
      <c r="K493" s="13" t="str">
        <f t="shared" si="2"/>
        <v/>
      </c>
      <c r="L493" s="13"/>
      <c r="M493" s="21" t="s">
        <v>45</v>
      </c>
    </row>
    <row r="494" ht="22.5" customHeight="1">
      <c r="B494" s="13">
        <f t="shared" si="3"/>
        <v>487</v>
      </c>
      <c r="C494" s="24"/>
      <c r="D494" s="14" t="str">
        <f t="array" ref="D494">IF(C494="","",IFNA(_xlfn.XLOOKUP(C494,'a 01'!$C$6:$C$999,'a 01'!$D$6:$D$999),""))</f>
        <v/>
      </c>
      <c r="E494" s="18" t="str">
        <f t="array" ref="E494">_xlfn.XLOOKUP(D494,Table_Warkah[Kode Tiket],Table_Warkah[Jenis Permohonan],"")</f>
        <v/>
      </c>
      <c r="F494" s="24"/>
      <c r="G494" s="24"/>
      <c r="H494" s="13" t="str">
        <f t="shared" si="1"/>
        <v/>
      </c>
      <c r="I494" s="18"/>
      <c r="J494" s="20" t="b">
        <v>0</v>
      </c>
      <c r="K494" s="13" t="str">
        <f t="shared" si="2"/>
        <v/>
      </c>
      <c r="L494" s="13"/>
      <c r="M494" s="21" t="s">
        <v>45</v>
      </c>
    </row>
    <row r="495" ht="22.5" customHeight="1">
      <c r="B495" s="13">
        <f t="shared" si="3"/>
        <v>488</v>
      </c>
      <c r="C495" s="24"/>
      <c r="D495" s="14" t="str">
        <f t="array" ref="D495">IF(C495="","",IFNA(_xlfn.XLOOKUP(C495,'a 01'!$C$6:$C$999,'a 01'!$D$6:$D$999),""))</f>
        <v/>
      </c>
      <c r="E495" s="18" t="str">
        <f t="array" ref="E495">_xlfn.XLOOKUP(D495,Table_Warkah[Kode Tiket],Table_Warkah[Jenis Permohonan],"")</f>
        <v/>
      </c>
      <c r="F495" s="24"/>
      <c r="G495" s="24"/>
      <c r="H495" s="13" t="str">
        <f t="shared" si="1"/>
        <v/>
      </c>
      <c r="I495" s="18"/>
      <c r="J495" s="20" t="b">
        <v>0</v>
      </c>
      <c r="K495" s="13" t="str">
        <f t="shared" si="2"/>
        <v/>
      </c>
      <c r="L495" s="13"/>
      <c r="M495" s="21" t="s">
        <v>45</v>
      </c>
    </row>
    <row r="496" ht="22.5" customHeight="1">
      <c r="B496" s="13">
        <f t="shared" si="3"/>
        <v>489</v>
      </c>
      <c r="C496" s="24"/>
      <c r="D496" s="14" t="str">
        <f t="array" ref="D496">IF(C496="","",IFNA(_xlfn.XLOOKUP(C496,'a 01'!$C$6:$C$999,'a 01'!$D$6:$D$999),""))</f>
        <v/>
      </c>
      <c r="E496" s="18" t="str">
        <f t="array" ref="E496">_xlfn.XLOOKUP(D496,Table_Warkah[Kode Tiket],Table_Warkah[Jenis Permohonan],"")</f>
        <v/>
      </c>
      <c r="F496" s="24"/>
      <c r="G496" s="24"/>
      <c r="H496" s="13" t="str">
        <f t="shared" si="1"/>
        <v/>
      </c>
      <c r="I496" s="18"/>
      <c r="J496" s="20" t="b">
        <v>0</v>
      </c>
      <c r="K496" s="13" t="str">
        <f t="shared" si="2"/>
        <v/>
      </c>
      <c r="L496" s="13"/>
      <c r="M496" s="21" t="s">
        <v>45</v>
      </c>
    </row>
    <row r="497" ht="22.5" customHeight="1">
      <c r="B497" s="13">
        <f t="shared" si="3"/>
        <v>490</v>
      </c>
      <c r="C497" s="24"/>
      <c r="D497" s="14" t="str">
        <f t="array" ref="D497">IF(C497="","",IFNA(_xlfn.XLOOKUP(C497,'a 01'!$C$6:$C$999,'a 01'!$D$6:$D$999),""))</f>
        <v/>
      </c>
      <c r="E497" s="18" t="str">
        <f t="array" ref="E497">_xlfn.XLOOKUP(D497,Table_Warkah[Kode Tiket],Table_Warkah[Jenis Permohonan],"")</f>
        <v/>
      </c>
      <c r="F497" s="24"/>
      <c r="G497" s="24"/>
      <c r="H497" s="13" t="str">
        <f t="shared" si="1"/>
        <v/>
      </c>
      <c r="I497" s="18"/>
      <c r="J497" s="20" t="b">
        <v>0</v>
      </c>
      <c r="K497" s="13" t="str">
        <f t="shared" si="2"/>
        <v/>
      </c>
      <c r="L497" s="13"/>
      <c r="M497" s="21" t="s">
        <v>45</v>
      </c>
    </row>
    <row r="498" ht="22.5" customHeight="1">
      <c r="B498" s="13">
        <f t="shared" si="3"/>
        <v>491</v>
      </c>
      <c r="C498" s="24"/>
      <c r="D498" s="14" t="str">
        <f t="array" ref="D498">IF(C498="","",IFNA(_xlfn.XLOOKUP(C498,'a 01'!$C$6:$C$999,'a 01'!$D$6:$D$999),""))</f>
        <v/>
      </c>
      <c r="E498" s="18" t="str">
        <f t="array" ref="E498">_xlfn.XLOOKUP(D498,Table_Warkah[Kode Tiket],Table_Warkah[Jenis Permohonan],"")</f>
        <v/>
      </c>
      <c r="F498" s="24"/>
      <c r="G498" s="24"/>
      <c r="H498" s="13" t="str">
        <f t="shared" si="1"/>
        <v/>
      </c>
      <c r="I498" s="18"/>
      <c r="J498" s="20" t="b">
        <v>0</v>
      </c>
      <c r="K498" s="13" t="str">
        <f t="shared" si="2"/>
        <v/>
      </c>
      <c r="L498" s="13"/>
      <c r="M498" s="21" t="s">
        <v>45</v>
      </c>
    </row>
    <row r="499" ht="22.5" customHeight="1">
      <c r="B499" s="13">
        <f t="shared" si="3"/>
        <v>492</v>
      </c>
      <c r="C499" s="24"/>
      <c r="D499" s="14" t="str">
        <f t="array" ref="D499">IF(C499="","",IFNA(_xlfn.XLOOKUP(C499,'a 01'!$C$6:$C$999,'a 01'!$D$6:$D$999),""))</f>
        <v/>
      </c>
      <c r="E499" s="18" t="str">
        <f t="array" ref="E499">_xlfn.XLOOKUP(D499,Table_Warkah[Kode Tiket],Table_Warkah[Jenis Permohonan],"")</f>
        <v/>
      </c>
      <c r="F499" s="24"/>
      <c r="G499" s="24"/>
      <c r="H499" s="13" t="str">
        <f t="shared" si="1"/>
        <v/>
      </c>
      <c r="I499" s="18"/>
      <c r="J499" s="20" t="b">
        <v>0</v>
      </c>
      <c r="K499" s="13" t="str">
        <f t="shared" si="2"/>
        <v/>
      </c>
      <c r="L499" s="13"/>
      <c r="M499" s="21" t="s">
        <v>45</v>
      </c>
    </row>
    <row r="500" ht="22.5" customHeight="1">
      <c r="B500" s="13">
        <f t="shared" si="3"/>
        <v>493</v>
      </c>
      <c r="C500" s="24"/>
      <c r="D500" s="14" t="str">
        <f t="array" ref="D500">IF(C500="","",IFNA(_xlfn.XLOOKUP(C500,'a 01'!$C$6:$C$999,'a 01'!$D$6:$D$999),""))</f>
        <v/>
      </c>
      <c r="E500" s="18" t="str">
        <f t="array" ref="E500">_xlfn.XLOOKUP(D500,Table_Warkah[Kode Tiket],Table_Warkah[Jenis Permohonan],"")</f>
        <v/>
      </c>
      <c r="F500" s="24"/>
      <c r="G500" s="24"/>
      <c r="H500" s="13" t="str">
        <f t="shared" si="1"/>
        <v/>
      </c>
      <c r="I500" s="18"/>
      <c r="J500" s="20" t="b">
        <v>0</v>
      </c>
      <c r="K500" s="13" t="str">
        <f t="shared" si="2"/>
        <v/>
      </c>
      <c r="L500" s="13"/>
      <c r="M500" s="21" t="s">
        <v>45</v>
      </c>
    </row>
    <row r="501" ht="22.5" customHeight="1">
      <c r="B501" s="13">
        <f t="shared" si="3"/>
        <v>494</v>
      </c>
      <c r="C501" s="24"/>
      <c r="D501" s="14" t="str">
        <f t="array" ref="D501">IF(C501="","",IFNA(_xlfn.XLOOKUP(C501,'a 01'!$C$6:$C$999,'a 01'!$D$6:$D$999),""))</f>
        <v/>
      </c>
      <c r="E501" s="18" t="str">
        <f t="array" ref="E501">_xlfn.XLOOKUP(D501,Table_Warkah[Kode Tiket],Table_Warkah[Jenis Permohonan],"")</f>
        <v/>
      </c>
      <c r="F501" s="24"/>
      <c r="G501" s="24"/>
      <c r="H501" s="13" t="str">
        <f t="shared" si="1"/>
        <v/>
      </c>
      <c r="I501" s="18"/>
      <c r="J501" s="20" t="b">
        <v>0</v>
      </c>
      <c r="K501" s="13" t="str">
        <f t="shared" si="2"/>
        <v/>
      </c>
      <c r="L501" s="13"/>
      <c r="M501" s="21" t="s">
        <v>45</v>
      </c>
    </row>
    <row r="502" ht="22.5" customHeight="1">
      <c r="B502" s="13">
        <f t="shared" si="3"/>
        <v>495</v>
      </c>
      <c r="C502" s="24"/>
      <c r="D502" s="14" t="str">
        <f t="array" ref="D502">IF(C502="","",IFNA(_xlfn.XLOOKUP(C502,'a 01'!$C$6:$C$999,'a 01'!$D$6:$D$999),""))</f>
        <v/>
      </c>
      <c r="E502" s="18" t="str">
        <f t="array" ref="E502">_xlfn.XLOOKUP(D502,Table_Warkah[Kode Tiket],Table_Warkah[Jenis Permohonan],"")</f>
        <v/>
      </c>
      <c r="F502" s="24"/>
      <c r="G502" s="24"/>
      <c r="H502" s="13" t="str">
        <f t="shared" si="1"/>
        <v/>
      </c>
      <c r="I502" s="18"/>
      <c r="J502" s="20" t="b">
        <v>0</v>
      </c>
      <c r="K502" s="13" t="str">
        <f t="shared" si="2"/>
        <v/>
      </c>
      <c r="L502" s="13"/>
      <c r="M502" s="21" t="s">
        <v>45</v>
      </c>
    </row>
    <row r="503" ht="22.5" customHeight="1">
      <c r="B503" s="13">
        <f t="shared" si="3"/>
        <v>496</v>
      </c>
      <c r="C503" s="24"/>
      <c r="D503" s="14" t="str">
        <f t="array" ref="D503">IF(C503="","",IFNA(_xlfn.XLOOKUP(C503,'a 01'!$C$6:$C$999,'a 01'!$D$6:$D$999),""))</f>
        <v/>
      </c>
      <c r="E503" s="18" t="str">
        <f t="array" ref="E503">_xlfn.XLOOKUP(D503,Table_Warkah[Kode Tiket],Table_Warkah[Jenis Permohonan],"")</f>
        <v/>
      </c>
      <c r="F503" s="24"/>
      <c r="G503" s="24"/>
      <c r="H503" s="13" t="str">
        <f t="shared" si="1"/>
        <v/>
      </c>
      <c r="I503" s="18"/>
      <c r="J503" s="20" t="b">
        <v>0</v>
      </c>
      <c r="K503" s="13" t="str">
        <f t="shared" si="2"/>
        <v/>
      </c>
      <c r="L503" s="13"/>
      <c r="M503" s="21" t="s">
        <v>45</v>
      </c>
    </row>
    <row r="504" ht="22.5" customHeight="1">
      <c r="B504" s="13">
        <f t="shared" si="3"/>
        <v>497</v>
      </c>
      <c r="C504" s="24"/>
      <c r="D504" s="14" t="str">
        <f t="array" ref="D504">IF(C504="","",IFNA(_xlfn.XLOOKUP(C504,'a 01'!$C$6:$C$999,'a 01'!$D$6:$D$999),""))</f>
        <v/>
      </c>
      <c r="E504" s="18" t="str">
        <f t="array" ref="E504">_xlfn.XLOOKUP(D504,Table_Warkah[Kode Tiket],Table_Warkah[Jenis Permohonan],"")</f>
        <v/>
      </c>
      <c r="F504" s="24"/>
      <c r="G504" s="24"/>
      <c r="H504" s="13" t="str">
        <f t="shared" si="1"/>
        <v/>
      </c>
      <c r="I504" s="18"/>
      <c r="J504" s="20" t="b">
        <v>0</v>
      </c>
      <c r="K504" s="13" t="str">
        <f t="shared" si="2"/>
        <v/>
      </c>
      <c r="L504" s="13"/>
      <c r="M504" s="21" t="s">
        <v>45</v>
      </c>
    </row>
    <row r="505" ht="22.5" customHeight="1">
      <c r="B505" s="13">
        <f t="shared" si="3"/>
        <v>498</v>
      </c>
      <c r="C505" s="24"/>
      <c r="D505" s="14" t="str">
        <f t="array" ref="D505">IF(C505="","",IFNA(_xlfn.XLOOKUP(C505,'a 01'!$C$6:$C$999,'a 01'!$D$6:$D$999),""))</f>
        <v/>
      </c>
      <c r="E505" s="18" t="str">
        <f t="array" ref="E505">_xlfn.XLOOKUP(D505,Table_Warkah[Kode Tiket],Table_Warkah[Jenis Permohonan],"")</f>
        <v/>
      </c>
      <c r="F505" s="24"/>
      <c r="G505" s="24"/>
      <c r="H505" s="13" t="str">
        <f t="shared" si="1"/>
        <v/>
      </c>
      <c r="I505" s="18"/>
      <c r="J505" s="20" t="b">
        <v>0</v>
      </c>
      <c r="K505" s="13" t="str">
        <f t="shared" si="2"/>
        <v/>
      </c>
      <c r="L505" s="13"/>
      <c r="M505" s="21" t="s">
        <v>45</v>
      </c>
    </row>
    <row r="506" ht="22.5" customHeight="1">
      <c r="B506" s="13">
        <f t="shared" si="3"/>
        <v>499</v>
      </c>
      <c r="C506" s="24"/>
      <c r="D506" s="14" t="str">
        <f t="array" ref="D506">IF(C506="","",IFNA(_xlfn.XLOOKUP(C506,'a 01'!$C$6:$C$999,'a 01'!$D$6:$D$999),""))</f>
        <v/>
      </c>
      <c r="E506" s="18" t="str">
        <f t="array" ref="E506">_xlfn.XLOOKUP(D506,Table_Warkah[Kode Tiket],Table_Warkah[Jenis Permohonan],"")</f>
        <v/>
      </c>
      <c r="F506" s="24"/>
      <c r="G506" s="24"/>
      <c r="H506" s="13" t="str">
        <f t="shared" si="1"/>
        <v/>
      </c>
      <c r="I506" s="18"/>
      <c r="J506" s="20" t="b">
        <v>0</v>
      </c>
      <c r="K506" s="13" t="str">
        <f t="shared" si="2"/>
        <v/>
      </c>
      <c r="L506" s="13"/>
      <c r="M506" s="21" t="s">
        <v>45</v>
      </c>
    </row>
    <row r="507" ht="22.5" customHeight="1">
      <c r="B507" s="13">
        <f t="shared" si="3"/>
        <v>500</v>
      </c>
      <c r="C507" s="24"/>
      <c r="D507" s="14" t="str">
        <f t="array" ref="D507">IF(C507="","",IFNA(_xlfn.XLOOKUP(C507,'a 01'!$C$6:$C$999,'a 01'!$D$6:$D$999),""))</f>
        <v/>
      </c>
      <c r="E507" s="18" t="str">
        <f t="array" ref="E507">_xlfn.XLOOKUP(D507,Table_Warkah[Kode Tiket],Table_Warkah[Jenis Permohonan],"")</f>
        <v/>
      </c>
      <c r="F507" s="24"/>
      <c r="G507" s="24"/>
      <c r="H507" s="13" t="str">
        <f t="shared" si="1"/>
        <v/>
      </c>
      <c r="I507" s="18"/>
      <c r="J507" s="20" t="b">
        <v>0</v>
      </c>
      <c r="K507" s="13" t="str">
        <f t="shared" si="2"/>
        <v/>
      </c>
      <c r="L507" s="13"/>
      <c r="M507" s="21" t="s">
        <v>45</v>
      </c>
    </row>
    <row r="508" ht="22.5" customHeight="1">
      <c r="B508" s="13">
        <f t="shared" si="3"/>
        <v>501</v>
      </c>
      <c r="C508" s="24"/>
      <c r="D508" s="14" t="str">
        <f t="array" ref="D508">IF(C508="","",IFNA(_xlfn.XLOOKUP(C508,'a 01'!$C$6:$C$999,'a 01'!$D$6:$D$999),""))</f>
        <v/>
      </c>
      <c r="E508" s="18" t="str">
        <f t="array" ref="E508">_xlfn.XLOOKUP(D508,Table_Warkah[Kode Tiket],Table_Warkah[Jenis Permohonan],"")</f>
        <v/>
      </c>
      <c r="F508" s="24"/>
      <c r="G508" s="24"/>
      <c r="H508" s="13" t="str">
        <f t="shared" si="1"/>
        <v/>
      </c>
      <c r="I508" s="18"/>
      <c r="J508" s="20" t="b">
        <v>0</v>
      </c>
      <c r="K508" s="13" t="str">
        <f t="shared" si="2"/>
        <v/>
      </c>
      <c r="L508" s="13"/>
      <c r="M508" s="21" t="s">
        <v>45</v>
      </c>
    </row>
    <row r="509" ht="22.5" customHeight="1">
      <c r="B509" s="13">
        <f t="shared" si="3"/>
        <v>502</v>
      </c>
      <c r="C509" s="24"/>
      <c r="D509" s="14" t="str">
        <f t="array" ref="D509">IF(C509="","",IFNA(_xlfn.XLOOKUP(C509,'a 01'!$C$6:$C$999,'a 01'!$D$6:$D$999),""))</f>
        <v/>
      </c>
      <c r="E509" s="18" t="str">
        <f t="array" ref="E509">_xlfn.XLOOKUP(D509,Table_Warkah[Kode Tiket],Table_Warkah[Jenis Permohonan],"")</f>
        <v/>
      </c>
      <c r="F509" s="24"/>
      <c r="G509" s="24"/>
      <c r="H509" s="13" t="str">
        <f t="shared" si="1"/>
        <v/>
      </c>
      <c r="I509" s="18"/>
      <c r="J509" s="20" t="b">
        <v>0</v>
      </c>
      <c r="K509" s="13" t="str">
        <f t="shared" si="2"/>
        <v/>
      </c>
      <c r="L509" s="13"/>
      <c r="M509" s="21" t="s">
        <v>45</v>
      </c>
    </row>
    <row r="510" ht="22.5" customHeight="1">
      <c r="B510" s="13">
        <f t="shared" si="3"/>
        <v>503</v>
      </c>
      <c r="C510" s="24"/>
      <c r="D510" s="14" t="str">
        <f t="array" ref="D510">IF(C510="","",IFNA(_xlfn.XLOOKUP(C510,'a 01'!$C$6:$C$999,'a 01'!$D$6:$D$999),""))</f>
        <v/>
      </c>
      <c r="E510" s="18" t="str">
        <f t="array" ref="E510">_xlfn.XLOOKUP(D510,Table_Warkah[Kode Tiket],Table_Warkah[Jenis Permohonan],"")</f>
        <v/>
      </c>
      <c r="F510" s="24"/>
      <c r="G510" s="24"/>
      <c r="H510" s="13" t="str">
        <f t="shared" si="1"/>
        <v/>
      </c>
      <c r="I510" s="18"/>
      <c r="J510" s="20" t="b">
        <v>0</v>
      </c>
      <c r="K510" s="13" t="str">
        <f t="shared" si="2"/>
        <v/>
      </c>
      <c r="L510" s="13"/>
      <c r="M510" s="21" t="s">
        <v>45</v>
      </c>
    </row>
    <row r="511" ht="22.5" customHeight="1">
      <c r="B511" s="13">
        <f t="shared" si="3"/>
        <v>504</v>
      </c>
      <c r="C511" s="24"/>
      <c r="D511" s="14" t="str">
        <f t="array" ref="D511">IF(C511="","",IFNA(_xlfn.XLOOKUP(C511,'a 01'!$C$6:$C$999,'a 01'!$D$6:$D$999),""))</f>
        <v/>
      </c>
      <c r="E511" s="18" t="str">
        <f t="array" ref="E511">_xlfn.XLOOKUP(D511,Table_Warkah[Kode Tiket],Table_Warkah[Jenis Permohonan],"")</f>
        <v/>
      </c>
      <c r="F511" s="24"/>
      <c r="G511" s="24"/>
      <c r="H511" s="13" t="str">
        <f t="shared" si="1"/>
        <v/>
      </c>
      <c r="I511" s="18"/>
      <c r="J511" s="20" t="b">
        <v>0</v>
      </c>
      <c r="K511" s="13" t="str">
        <f t="shared" si="2"/>
        <v/>
      </c>
      <c r="L511" s="13"/>
      <c r="M511" s="21" t="s">
        <v>45</v>
      </c>
    </row>
    <row r="512" ht="22.5" customHeight="1">
      <c r="B512" s="13">
        <f t="shared" si="3"/>
        <v>505</v>
      </c>
      <c r="C512" s="24"/>
      <c r="D512" s="14" t="str">
        <f t="array" ref="D512">IF(C512="","",IFNA(_xlfn.XLOOKUP(C512,'a 01'!$C$6:$C$999,'a 01'!$D$6:$D$999),""))</f>
        <v/>
      </c>
      <c r="E512" s="18" t="str">
        <f t="array" ref="E512">_xlfn.XLOOKUP(D512,Table_Warkah[Kode Tiket],Table_Warkah[Jenis Permohonan],"")</f>
        <v/>
      </c>
      <c r="F512" s="24"/>
      <c r="G512" s="24"/>
      <c r="H512" s="13" t="str">
        <f t="shared" si="1"/>
        <v/>
      </c>
      <c r="I512" s="18"/>
      <c r="J512" s="20" t="b">
        <v>0</v>
      </c>
      <c r="K512" s="13" t="str">
        <f t="shared" si="2"/>
        <v/>
      </c>
      <c r="L512" s="13"/>
      <c r="M512" s="21" t="s">
        <v>45</v>
      </c>
    </row>
    <row r="513" ht="22.5" customHeight="1">
      <c r="B513" s="13">
        <f t="shared" si="3"/>
        <v>506</v>
      </c>
      <c r="C513" s="24"/>
      <c r="D513" s="14" t="str">
        <f t="array" ref="D513">IF(C513="","",IFNA(_xlfn.XLOOKUP(C513,'a 01'!$C$6:$C$999,'a 01'!$D$6:$D$999),""))</f>
        <v/>
      </c>
      <c r="E513" s="18" t="str">
        <f t="array" ref="E513">_xlfn.XLOOKUP(D513,Table_Warkah[Kode Tiket],Table_Warkah[Jenis Permohonan],"")</f>
        <v/>
      </c>
      <c r="F513" s="24"/>
      <c r="G513" s="24"/>
      <c r="H513" s="13" t="str">
        <f t="shared" si="1"/>
        <v/>
      </c>
      <c r="I513" s="18"/>
      <c r="J513" s="20" t="b">
        <v>0</v>
      </c>
      <c r="K513" s="13" t="str">
        <f t="shared" si="2"/>
        <v/>
      </c>
      <c r="L513" s="13"/>
      <c r="M513" s="21" t="s">
        <v>45</v>
      </c>
    </row>
    <row r="514" ht="22.5" customHeight="1">
      <c r="B514" s="13">
        <f t="shared" si="3"/>
        <v>507</v>
      </c>
      <c r="C514" s="24"/>
      <c r="D514" s="14" t="str">
        <f t="array" ref="D514">IF(C514="","",IFNA(_xlfn.XLOOKUP(C514,'a 01'!$C$6:$C$999,'a 01'!$D$6:$D$999),""))</f>
        <v/>
      </c>
      <c r="E514" s="18" t="str">
        <f t="array" ref="E514">_xlfn.XLOOKUP(D514,Table_Warkah[Kode Tiket],Table_Warkah[Jenis Permohonan],"")</f>
        <v/>
      </c>
      <c r="F514" s="24"/>
      <c r="G514" s="24"/>
      <c r="H514" s="13" t="str">
        <f t="shared" si="1"/>
        <v/>
      </c>
      <c r="I514" s="18"/>
      <c r="J514" s="20" t="b">
        <v>0</v>
      </c>
      <c r="K514" s="13" t="str">
        <f t="shared" si="2"/>
        <v/>
      </c>
      <c r="L514" s="13"/>
      <c r="M514" s="21" t="s">
        <v>45</v>
      </c>
    </row>
    <row r="515" ht="22.5" customHeight="1">
      <c r="B515" s="13">
        <f t="shared" si="3"/>
        <v>508</v>
      </c>
      <c r="C515" s="24"/>
      <c r="D515" s="14" t="str">
        <f t="array" ref="D515">IF(C515="","",IFNA(_xlfn.XLOOKUP(C515,'a 01'!$C$6:$C$999,'a 01'!$D$6:$D$999),""))</f>
        <v/>
      </c>
      <c r="E515" s="18" t="str">
        <f t="array" ref="E515">_xlfn.XLOOKUP(D515,Table_Warkah[Kode Tiket],Table_Warkah[Jenis Permohonan],"")</f>
        <v/>
      </c>
      <c r="F515" s="24"/>
      <c r="G515" s="24"/>
      <c r="H515" s="13" t="str">
        <f t="shared" si="1"/>
        <v/>
      </c>
      <c r="I515" s="18"/>
      <c r="J515" s="20" t="b">
        <v>0</v>
      </c>
      <c r="K515" s="13" t="str">
        <f t="shared" si="2"/>
        <v/>
      </c>
      <c r="L515" s="13"/>
      <c r="M515" s="21" t="s">
        <v>45</v>
      </c>
    </row>
    <row r="516" ht="22.5" customHeight="1">
      <c r="B516" s="13">
        <f t="shared" si="3"/>
        <v>509</v>
      </c>
      <c r="C516" s="24"/>
      <c r="D516" s="14" t="str">
        <f t="array" ref="D516">IF(C516="","",IFNA(_xlfn.XLOOKUP(C516,'a 01'!$C$6:$C$999,'a 01'!$D$6:$D$999),""))</f>
        <v/>
      </c>
      <c r="E516" s="18" t="str">
        <f t="array" ref="E516">_xlfn.XLOOKUP(D516,Table_Warkah[Kode Tiket],Table_Warkah[Jenis Permohonan],"")</f>
        <v/>
      </c>
      <c r="F516" s="24"/>
      <c r="G516" s="24"/>
      <c r="H516" s="13" t="str">
        <f t="shared" si="1"/>
        <v/>
      </c>
      <c r="I516" s="18"/>
      <c r="J516" s="20" t="b">
        <v>0</v>
      </c>
      <c r="K516" s="13" t="str">
        <f t="shared" si="2"/>
        <v/>
      </c>
      <c r="L516" s="13"/>
      <c r="M516" s="21" t="s">
        <v>45</v>
      </c>
    </row>
    <row r="517" ht="22.5" customHeight="1">
      <c r="B517" s="13">
        <f t="shared" si="3"/>
        <v>510</v>
      </c>
      <c r="C517" s="24"/>
      <c r="D517" s="14" t="str">
        <f t="array" ref="D517">IF(C517="","",IFNA(_xlfn.XLOOKUP(C517,'a 01'!$C$6:$C$999,'a 01'!$D$6:$D$999),""))</f>
        <v/>
      </c>
      <c r="E517" s="18" t="str">
        <f t="array" ref="E517">_xlfn.XLOOKUP(D517,Table_Warkah[Kode Tiket],Table_Warkah[Jenis Permohonan],"")</f>
        <v/>
      </c>
      <c r="F517" s="24"/>
      <c r="G517" s="24"/>
      <c r="H517" s="13" t="str">
        <f t="shared" si="1"/>
        <v/>
      </c>
      <c r="I517" s="18"/>
      <c r="J517" s="20" t="b">
        <v>0</v>
      </c>
      <c r="K517" s="13" t="str">
        <f t="shared" si="2"/>
        <v/>
      </c>
      <c r="L517" s="13"/>
      <c r="M517" s="21" t="s">
        <v>45</v>
      </c>
    </row>
    <row r="518" ht="22.5" customHeight="1">
      <c r="B518" s="13">
        <f t="shared" si="3"/>
        <v>511</v>
      </c>
      <c r="C518" s="24"/>
      <c r="D518" s="14" t="str">
        <f t="array" ref="D518">IF(C518="","",IFNA(_xlfn.XLOOKUP(C518,'a 01'!$C$6:$C$999,'a 01'!$D$6:$D$999),""))</f>
        <v/>
      </c>
      <c r="E518" s="18" t="str">
        <f t="array" ref="E518">_xlfn.XLOOKUP(D518,Table_Warkah[Kode Tiket],Table_Warkah[Jenis Permohonan],"")</f>
        <v/>
      </c>
      <c r="F518" s="24"/>
      <c r="G518" s="24"/>
      <c r="H518" s="13" t="str">
        <f t="shared" si="1"/>
        <v/>
      </c>
      <c r="I518" s="18"/>
      <c r="J518" s="20" t="b">
        <v>0</v>
      </c>
      <c r="K518" s="13" t="str">
        <f t="shared" si="2"/>
        <v/>
      </c>
      <c r="L518" s="13"/>
      <c r="M518" s="21" t="s">
        <v>45</v>
      </c>
    </row>
    <row r="519" ht="22.5" customHeight="1">
      <c r="B519" s="13">
        <f t="shared" si="3"/>
        <v>512</v>
      </c>
      <c r="C519" s="24"/>
      <c r="D519" s="14" t="str">
        <f t="array" ref="D519">IF(C519="","",IFNA(_xlfn.XLOOKUP(C519,'a 01'!$C$6:$C$999,'a 01'!$D$6:$D$999),""))</f>
        <v/>
      </c>
      <c r="E519" s="18" t="str">
        <f t="array" ref="E519">_xlfn.XLOOKUP(D519,Table_Warkah[Kode Tiket],Table_Warkah[Jenis Permohonan],"")</f>
        <v/>
      </c>
      <c r="F519" s="24"/>
      <c r="G519" s="24"/>
      <c r="H519" s="13" t="str">
        <f t="shared" si="1"/>
        <v/>
      </c>
      <c r="I519" s="18"/>
      <c r="J519" s="20" t="b">
        <v>0</v>
      </c>
      <c r="K519" s="13" t="str">
        <f t="shared" si="2"/>
        <v/>
      </c>
      <c r="L519" s="13"/>
      <c r="M519" s="21" t="s">
        <v>45</v>
      </c>
    </row>
    <row r="520" ht="22.5" customHeight="1">
      <c r="B520" s="13">
        <f t="shared" si="3"/>
        <v>513</v>
      </c>
      <c r="C520" s="24"/>
      <c r="D520" s="14" t="str">
        <f t="array" ref="D520">IF(C520="","",IFNA(_xlfn.XLOOKUP(C520,'a 01'!$C$6:$C$999,'a 01'!$D$6:$D$999),""))</f>
        <v/>
      </c>
      <c r="E520" s="18" t="str">
        <f t="array" ref="E520">_xlfn.XLOOKUP(D520,Table_Warkah[Kode Tiket],Table_Warkah[Jenis Permohonan],"")</f>
        <v/>
      </c>
      <c r="F520" s="24"/>
      <c r="G520" s="24"/>
      <c r="H520" s="13" t="str">
        <f t="shared" si="1"/>
        <v/>
      </c>
      <c r="I520" s="18"/>
      <c r="J520" s="20" t="b">
        <v>0</v>
      </c>
      <c r="K520" s="13" t="str">
        <f t="shared" si="2"/>
        <v/>
      </c>
      <c r="L520" s="13"/>
      <c r="M520" s="21" t="s">
        <v>45</v>
      </c>
    </row>
    <row r="521" ht="22.5" customHeight="1">
      <c r="B521" s="13">
        <f t="shared" si="3"/>
        <v>514</v>
      </c>
      <c r="C521" s="24"/>
      <c r="D521" s="14" t="str">
        <f t="array" ref="D521">IF(C521="","",IFNA(_xlfn.XLOOKUP(C521,'a 01'!$C$6:$C$999,'a 01'!$D$6:$D$999),""))</f>
        <v/>
      </c>
      <c r="E521" s="18" t="str">
        <f t="array" ref="E521">_xlfn.XLOOKUP(D521,Table_Warkah[Kode Tiket],Table_Warkah[Jenis Permohonan],"")</f>
        <v/>
      </c>
      <c r="F521" s="24"/>
      <c r="G521" s="24"/>
      <c r="H521" s="13" t="str">
        <f t="shared" si="1"/>
        <v/>
      </c>
      <c r="I521" s="18"/>
      <c r="J521" s="20" t="b">
        <v>0</v>
      </c>
      <c r="K521" s="13" t="str">
        <f t="shared" si="2"/>
        <v/>
      </c>
      <c r="L521" s="13"/>
      <c r="M521" s="21" t="s">
        <v>45</v>
      </c>
    </row>
    <row r="522" ht="22.5" customHeight="1">
      <c r="B522" s="13">
        <f t="shared" si="3"/>
        <v>515</v>
      </c>
      <c r="C522" s="24"/>
      <c r="D522" s="14" t="str">
        <f t="array" ref="D522">IF(C522="","",IFNA(_xlfn.XLOOKUP(C522,'a 01'!$C$6:$C$999,'a 01'!$D$6:$D$999),""))</f>
        <v/>
      </c>
      <c r="E522" s="18" t="str">
        <f t="array" ref="E522">_xlfn.XLOOKUP(D522,Table_Warkah[Kode Tiket],Table_Warkah[Jenis Permohonan],"")</f>
        <v/>
      </c>
      <c r="F522" s="24"/>
      <c r="G522" s="24"/>
      <c r="H522" s="13" t="str">
        <f t="shared" si="1"/>
        <v/>
      </c>
      <c r="I522" s="18"/>
      <c r="J522" s="20" t="b">
        <v>0</v>
      </c>
      <c r="K522" s="13" t="str">
        <f t="shared" si="2"/>
        <v/>
      </c>
      <c r="L522" s="13"/>
      <c r="M522" s="21" t="s">
        <v>45</v>
      </c>
    </row>
    <row r="523" ht="22.5" customHeight="1">
      <c r="B523" s="13">
        <f t="shared" si="3"/>
        <v>516</v>
      </c>
      <c r="C523" s="24"/>
      <c r="D523" s="14" t="str">
        <f t="array" ref="D523">IF(C523="","",IFNA(_xlfn.XLOOKUP(C523,'a 01'!$C$6:$C$999,'a 01'!$D$6:$D$999),""))</f>
        <v/>
      </c>
      <c r="E523" s="18" t="str">
        <f t="array" ref="E523">_xlfn.XLOOKUP(D523,Table_Warkah[Kode Tiket],Table_Warkah[Jenis Permohonan],"")</f>
        <v/>
      </c>
      <c r="F523" s="24"/>
      <c r="G523" s="24"/>
      <c r="H523" s="13" t="str">
        <f t="shared" si="1"/>
        <v/>
      </c>
      <c r="I523" s="18"/>
      <c r="J523" s="20" t="b">
        <v>0</v>
      </c>
      <c r="K523" s="13" t="str">
        <f t="shared" si="2"/>
        <v/>
      </c>
      <c r="L523" s="13"/>
      <c r="M523" s="21" t="s">
        <v>45</v>
      </c>
    </row>
    <row r="524" ht="22.5" customHeight="1">
      <c r="B524" s="13">
        <f t="shared" si="3"/>
        <v>517</v>
      </c>
      <c r="C524" s="24"/>
      <c r="D524" s="14" t="str">
        <f t="array" ref="D524">IF(C524="","",IFNA(_xlfn.XLOOKUP(C524,'a 01'!$C$6:$C$999,'a 01'!$D$6:$D$999),""))</f>
        <v/>
      </c>
      <c r="E524" s="18" t="str">
        <f t="array" ref="E524">_xlfn.XLOOKUP(D524,Table_Warkah[Kode Tiket],Table_Warkah[Jenis Permohonan],"")</f>
        <v/>
      </c>
      <c r="F524" s="24"/>
      <c r="G524" s="24"/>
      <c r="H524" s="13" t="str">
        <f t="shared" si="1"/>
        <v/>
      </c>
      <c r="I524" s="18"/>
      <c r="J524" s="20" t="b">
        <v>0</v>
      </c>
      <c r="K524" s="13" t="str">
        <f t="shared" si="2"/>
        <v/>
      </c>
      <c r="L524" s="13"/>
      <c r="M524" s="21" t="s">
        <v>45</v>
      </c>
    </row>
    <row r="525" ht="22.5" customHeight="1">
      <c r="B525" s="13">
        <f t="shared" si="3"/>
        <v>518</v>
      </c>
      <c r="C525" s="24"/>
      <c r="D525" s="14" t="str">
        <f t="array" ref="D525">IF(C525="","",IFNA(_xlfn.XLOOKUP(C525,'a 01'!$C$6:$C$999,'a 01'!$D$6:$D$999),""))</f>
        <v/>
      </c>
      <c r="E525" s="18" t="str">
        <f t="array" ref="E525">_xlfn.XLOOKUP(D525,Table_Warkah[Kode Tiket],Table_Warkah[Jenis Permohonan],"")</f>
        <v/>
      </c>
      <c r="F525" s="24"/>
      <c r="G525" s="24"/>
      <c r="H525" s="13" t="str">
        <f t="shared" si="1"/>
        <v/>
      </c>
      <c r="I525" s="18"/>
      <c r="J525" s="20" t="b">
        <v>0</v>
      </c>
      <c r="K525" s="13" t="str">
        <f t="shared" si="2"/>
        <v/>
      </c>
      <c r="L525" s="13"/>
      <c r="M525" s="21" t="s">
        <v>45</v>
      </c>
    </row>
    <row r="526" ht="22.5" customHeight="1">
      <c r="B526" s="13">
        <f t="shared" si="3"/>
        <v>519</v>
      </c>
      <c r="C526" s="24"/>
      <c r="D526" s="14" t="str">
        <f t="array" ref="D526">IF(C526="","",IFNA(_xlfn.XLOOKUP(C526,'a 01'!$C$6:$C$999,'a 01'!$D$6:$D$999),""))</f>
        <v/>
      </c>
      <c r="E526" s="18" t="str">
        <f t="array" ref="E526">_xlfn.XLOOKUP(D526,Table_Warkah[Kode Tiket],Table_Warkah[Jenis Permohonan],"")</f>
        <v/>
      </c>
      <c r="F526" s="24"/>
      <c r="G526" s="24"/>
      <c r="H526" s="13" t="str">
        <f t="shared" si="1"/>
        <v/>
      </c>
      <c r="I526" s="18"/>
      <c r="J526" s="20" t="b">
        <v>0</v>
      </c>
      <c r="K526" s="13" t="str">
        <f t="shared" si="2"/>
        <v/>
      </c>
      <c r="L526" s="13"/>
      <c r="M526" s="21" t="s">
        <v>45</v>
      </c>
    </row>
    <row r="527" ht="22.5" customHeight="1">
      <c r="B527" s="13">
        <f t="shared" si="3"/>
        <v>520</v>
      </c>
      <c r="C527" s="24"/>
      <c r="D527" s="14" t="str">
        <f t="array" ref="D527">IF(C527="","",IFNA(_xlfn.XLOOKUP(C527,'a 01'!$C$6:$C$999,'a 01'!$D$6:$D$999),""))</f>
        <v/>
      </c>
      <c r="E527" s="18" t="str">
        <f t="array" ref="E527">_xlfn.XLOOKUP(D527,Table_Warkah[Kode Tiket],Table_Warkah[Jenis Permohonan],"")</f>
        <v/>
      </c>
      <c r="F527" s="24"/>
      <c r="G527" s="24"/>
      <c r="H527" s="13" t="str">
        <f t="shared" si="1"/>
        <v/>
      </c>
      <c r="I527" s="18"/>
      <c r="J527" s="20" t="b">
        <v>0</v>
      </c>
      <c r="K527" s="13" t="str">
        <f t="shared" si="2"/>
        <v/>
      </c>
      <c r="L527" s="13"/>
      <c r="M527" s="21" t="s">
        <v>45</v>
      </c>
    </row>
    <row r="528" ht="22.5" customHeight="1">
      <c r="B528" s="13">
        <f t="shared" si="3"/>
        <v>521</v>
      </c>
      <c r="C528" s="24"/>
      <c r="D528" s="14" t="str">
        <f t="array" ref="D528">IF(C528="","",IFNA(_xlfn.XLOOKUP(C528,'a 01'!$C$6:$C$999,'a 01'!$D$6:$D$999),""))</f>
        <v/>
      </c>
      <c r="E528" s="18" t="str">
        <f t="array" ref="E528">_xlfn.XLOOKUP(D528,Table_Warkah[Kode Tiket],Table_Warkah[Jenis Permohonan],"")</f>
        <v/>
      </c>
      <c r="F528" s="24"/>
      <c r="G528" s="24"/>
      <c r="H528" s="13" t="str">
        <f t="shared" si="1"/>
        <v/>
      </c>
      <c r="I528" s="18"/>
      <c r="J528" s="20" t="b">
        <v>0</v>
      </c>
      <c r="K528" s="13" t="str">
        <f t="shared" si="2"/>
        <v/>
      </c>
      <c r="L528" s="13"/>
      <c r="M528" s="21" t="s">
        <v>45</v>
      </c>
    </row>
    <row r="529" ht="22.5" customHeight="1">
      <c r="B529" s="13">
        <f t="shared" si="3"/>
        <v>522</v>
      </c>
      <c r="C529" s="24"/>
      <c r="D529" s="14" t="str">
        <f t="array" ref="D529">IF(C529="","",IFNA(_xlfn.XLOOKUP(C529,'a 01'!$C$6:$C$999,'a 01'!$D$6:$D$999),""))</f>
        <v/>
      </c>
      <c r="E529" s="18" t="str">
        <f t="array" ref="E529">_xlfn.XLOOKUP(D529,Table_Warkah[Kode Tiket],Table_Warkah[Jenis Permohonan],"")</f>
        <v/>
      </c>
      <c r="F529" s="24"/>
      <c r="G529" s="24"/>
      <c r="H529" s="13" t="str">
        <f t="shared" si="1"/>
        <v/>
      </c>
      <c r="I529" s="18"/>
      <c r="J529" s="20" t="b">
        <v>0</v>
      </c>
      <c r="K529" s="13" t="str">
        <f t="shared" si="2"/>
        <v/>
      </c>
      <c r="L529" s="13"/>
      <c r="M529" s="21" t="s">
        <v>45</v>
      </c>
    </row>
    <row r="530" ht="22.5" customHeight="1">
      <c r="B530" s="13">
        <f t="shared" si="3"/>
        <v>523</v>
      </c>
      <c r="C530" s="24"/>
      <c r="D530" s="14" t="str">
        <f t="array" ref="D530">IF(C530="","",IFNA(_xlfn.XLOOKUP(C530,'a 01'!$C$6:$C$999,'a 01'!$D$6:$D$999),""))</f>
        <v/>
      </c>
      <c r="E530" s="18" t="str">
        <f t="array" ref="E530">_xlfn.XLOOKUP(D530,Table_Warkah[Kode Tiket],Table_Warkah[Jenis Permohonan],"")</f>
        <v/>
      </c>
      <c r="F530" s="24"/>
      <c r="G530" s="24"/>
      <c r="H530" s="13" t="str">
        <f t="shared" si="1"/>
        <v/>
      </c>
      <c r="I530" s="18"/>
      <c r="J530" s="20" t="b">
        <v>0</v>
      </c>
      <c r="K530" s="13" t="str">
        <f t="shared" si="2"/>
        <v/>
      </c>
      <c r="L530" s="13"/>
      <c r="M530" s="21" t="s">
        <v>45</v>
      </c>
    </row>
    <row r="531" ht="22.5" customHeight="1">
      <c r="B531" s="13">
        <f t="shared" si="3"/>
        <v>524</v>
      </c>
      <c r="C531" s="24"/>
      <c r="D531" s="14" t="str">
        <f t="array" ref="D531">IF(C531="","",IFNA(_xlfn.XLOOKUP(C531,'a 01'!$C$6:$C$999,'a 01'!$D$6:$D$999),""))</f>
        <v/>
      </c>
      <c r="E531" s="18" t="str">
        <f t="array" ref="E531">_xlfn.XLOOKUP(D531,Table_Warkah[Kode Tiket],Table_Warkah[Jenis Permohonan],"")</f>
        <v/>
      </c>
      <c r="F531" s="24"/>
      <c r="G531" s="24"/>
      <c r="H531" s="13" t="str">
        <f t="shared" si="1"/>
        <v/>
      </c>
      <c r="I531" s="18"/>
      <c r="J531" s="20" t="b">
        <v>0</v>
      </c>
      <c r="K531" s="13" t="str">
        <f t="shared" si="2"/>
        <v/>
      </c>
      <c r="L531" s="13"/>
      <c r="M531" s="21" t="s">
        <v>45</v>
      </c>
    </row>
    <row r="532" ht="22.5" customHeight="1">
      <c r="B532" s="13">
        <f t="shared" si="3"/>
        <v>525</v>
      </c>
      <c r="C532" s="24"/>
      <c r="D532" s="14" t="str">
        <f t="array" ref="D532">IF(C532="","",IFNA(_xlfn.XLOOKUP(C532,'a 01'!$C$6:$C$999,'a 01'!$D$6:$D$999),""))</f>
        <v/>
      </c>
      <c r="E532" s="18" t="str">
        <f t="array" ref="E532">_xlfn.XLOOKUP(D532,Table_Warkah[Kode Tiket],Table_Warkah[Jenis Permohonan],"")</f>
        <v/>
      </c>
      <c r="F532" s="24"/>
      <c r="G532" s="24"/>
      <c r="H532" s="13" t="str">
        <f t="shared" si="1"/>
        <v/>
      </c>
      <c r="I532" s="18"/>
      <c r="J532" s="20" t="b">
        <v>0</v>
      </c>
      <c r="K532" s="13" t="str">
        <f t="shared" si="2"/>
        <v/>
      </c>
      <c r="L532" s="13"/>
      <c r="M532" s="21" t="s">
        <v>45</v>
      </c>
    </row>
    <row r="533" ht="22.5" customHeight="1">
      <c r="B533" s="13">
        <f t="shared" si="3"/>
        <v>526</v>
      </c>
      <c r="C533" s="24"/>
      <c r="D533" s="14" t="str">
        <f t="array" ref="D533">IF(C533="","",IFNA(_xlfn.XLOOKUP(C533,'a 01'!$C$6:$C$999,'a 01'!$D$6:$D$999),""))</f>
        <v/>
      </c>
      <c r="E533" s="18" t="str">
        <f t="array" ref="E533">_xlfn.XLOOKUP(D533,Table_Warkah[Kode Tiket],Table_Warkah[Jenis Permohonan],"")</f>
        <v/>
      </c>
      <c r="F533" s="24"/>
      <c r="G533" s="24"/>
      <c r="H533" s="13" t="str">
        <f t="shared" si="1"/>
        <v/>
      </c>
      <c r="I533" s="18"/>
      <c r="J533" s="20" t="b">
        <v>0</v>
      </c>
      <c r="K533" s="13" t="str">
        <f t="shared" si="2"/>
        <v/>
      </c>
      <c r="L533" s="13"/>
      <c r="M533" s="21" t="s">
        <v>45</v>
      </c>
    </row>
    <row r="534" ht="22.5" customHeight="1">
      <c r="B534" s="13">
        <f t="shared" si="3"/>
        <v>527</v>
      </c>
      <c r="C534" s="24"/>
      <c r="D534" s="14" t="str">
        <f t="array" ref="D534">IF(C534="","",IFNA(_xlfn.XLOOKUP(C534,'a 01'!$C$6:$C$999,'a 01'!$D$6:$D$999),""))</f>
        <v/>
      </c>
      <c r="E534" s="18" t="str">
        <f t="array" ref="E534">_xlfn.XLOOKUP(D534,Table_Warkah[Kode Tiket],Table_Warkah[Jenis Permohonan],"")</f>
        <v/>
      </c>
      <c r="F534" s="24"/>
      <c r="G534" s="24"/>
      <c r="H534" s="13" t="str">
        <f t="shared" si="1"/>
        <v/>
      </c>
      <c r="I534" s="18"/>
      <c r="J534" s="20" t="b">
        <v>0</v>
      </c>
      <c r="K534" s="13" t="str">
        <f t="shared" si="2"/>
        <v/>
      </c>
      <c r="L534" s="13"/>
      <c r="M534" s="21" t="s">
        <v>45</v>
      </c>
    </row>
    <row r="535" ht="22.5" customHeight="1">
      <c r="B535" s="13">
        <f t="shared" si="3"/>
        <v>528</v>
      </c>
      <c r="C535" s="24"/>
      <c r="D535" s="14" t="str">
        <f t="array" ref="D535">IF(C535="","",IFNA(_xlfn.XLOOKUP(C535,'a 01'!$C$6:$C$999,'a 01'!$D$6:$D$999),""))</f>
        <v/>
      </c>
      <c r="E535" s="18" t="str">
        <f t="array" ref="E535">_xlfn.XLOOKUP(D535,Table_Warkah[Kode Tiket],Table_Warkah[Jenis Permohonan],"")</f>
        <v/>
      </c>
      <c r="F535" s="24"/>
      <c r="G535" s="24"/>
      <c r="H535" s="13" t="str">
        <f t="shared" si="1"/>
        <v/>
      </c>
      <c r="I535" s="18"/>
      <c r="J535" s="20" t="b">
        <v>0</v>
      </c>
      <c r="K535" s="13" t="str">
        <f t="shared" si="2"/>
        <v/>
      </c>
      <c r="L535" s="13"/>
      <c r="M535" s="21" t="s">
        <v>45</v>
      </c>
    </row>
    <row r="536" ht="22.5" customHeight="1">
      <c r="B536" s="13">
        <f t="shared" si="3"/>
        <v>529</v>
      </c>
      <c r="C536" s="24"/>
      <c r="D536" s="14" t="str">
        <f t="array" ref="D536">IF(C536="","",IFNA(_xlfn.XLOOKUP(C536,'a 01'!$C$6:$C$999,'a 01'!$D$6:$D$999),""))</f>
        <v/>
      </c>
      <c r="E536" s="18" t="str">
        <f t="array" ref="E536">_xlfn.XLOOKUP(D536,Table_Warkah[Kode Tiket],Table_Warkah[Jenis Permohonan],"")</f>
        <v/>
      </c>
      <c r="F536" s="24"/>
      <c r="G536" s="24"/>
      <c r="H536" s="13" t="str">
        <f t="shared" si="1"/>
        <v/>
      </c>
      <c r="I536" s="18"/>
      <c r="J536" s="20" t="b">
        <v>0</v>
      </c>
      <c r="K536" s="13" t="str">
        <f t="shared" si="2"/>
        <v/>
      </c>
      <c r="L536" s="13"/>
      <c r="M536" s="21" t="s">
        <v>45</v>
      </c>
    </row>
    <row r="537" ht="22.5" customHeight="1">
      <c r="B537" s="13">
        <f t="shared" si="3"/>
        <v>530</v>
      </c>
      <c r="C537" s="24"/>
      <c r="D537" s="14" t="str">
        <f t="array" ref="D537">IF(C537="","",IFNA(_xlfn.XLOOKUP(C537,'a 01'!$C$6:$C$999,'a 01'!$D$6:$D$999),""))</f>
        <v/>
      </c>
      <c r="E537" s="18" t="str">
        <f t="array" ref="E537">_xlfn.XLOOKUP(D537,Table_Warkah[Kode Tiket],Table_Warkah[Jenis Permohonan],"")</f>
        <v/>
      </c>
      <c r="F537" s="24"/>
      <c r="G537" s="24"/>
      <c r="H537" s="13" t="str">
        <f t="shared" si="1"/>
        <v/>
      </c>
      <c r="I537" s="18"/>
      <c r="J537" s="20" t="b">
        <v>0</v>
      </c>
      <c r="K537" s="13" t="str">
        <f t="shared" si="2"/>
        <v/>
      </c>
      <c r="L537" s="13"/>
      <c r="M537" s="21" t="s">
        <v>45</v>
      </c>
    </row>
    <row r="538" ht="22.5" customHeight="1">
      <c r="B538" s="13">
        <f t="shared" si="3"/>
        <v>531</v>
      </c>
      <c r="C538" s="24"/>
      <c r="D538" s="14" t="str">
        <f t="array" ref="D538">IF(C538="","",IFNA(_xlfn.XLOOKUP(C538,'a 01'!$C$6:$C$999,'a 01'!$D$6:$D$999),""))</f>
        <v/>
      </c>
      <c r="E538" s="18" t="str">
        <f t="array" ref="E538">_xlfn.XLOOKUP(D538,Table_Warkah[Kode Tiket],Table_Warkah[Jenis Permohonan],"")</f>
        <v/>
      </c>
      <c r="F538" s="24"/>
      <c r="G538" s="24"/>
      <c r="H538" s="13" t="str">
        <f t="shared" si="1"/>
        <v/>
      </c>
      <c r="I538" s="18"/>
      <c r="J538" s="20" t="b">
        <v>0</v>
      </c>
      <c r="K538" s="13" t="str">
        <f t="shared" si="2"/>
        <v/>
      </c>
      <c r="L538" s="13"/>
      <c r="M538" s="21" t="s">
        <v>45</v>
      </c>
    </row>
    <row r="539" ht="22.5" customHeight="1">
      <c r="B539" s="13">
        <f t="shared" si="3"/>
        <v>532</v>
      </c>
      <c r="C539" s="24"/>
      <c r="D539" s="14" t="str">
        <f t="array" ref="D539">IF(C539="","",IFNA(_xlfn.XLOOKUP(C539,'a 01'!$C$6:$C$999,'a 01'!$D$6:$D$999),""))</f>
        <v/>
      </c>
      <c r="E539" s="18" t="str">
        <f t="array" ref="E539">_xlfn.XLOOKUP(D539,Table_Warkah[Kode Tiket],Table_Warkah[Jenis Permohonan],"")</f>
        <v/>
      </c>
      <c r="F539" s="24"/>
      <c r="G539" s="24"/>
      <c r="H539" s="13" t="str">
        <f t="shared" si="1"/>
        <v/>
      </c>
      <c r="I539" s="18"/>
      <c r="J539" s="20" t="b">
        <v>0</v>
      </c>
      <c r="K539" s="13" t="str">
        <f t="shared" si="2"/>
        <v/>
      </c>
      <c r="L539" s="13"/>
      <c r="M539" s="21" t="s">
        <v>45</v>
      </c>
    </row>
    <row r="540" ht="22.5" customHeight="1">
      <c r="B540" s="13">
        <f t="shared" si="3"/>
        <v>533</v>
      </c>
      <c r="C540" s="24"/>
      <c r="D540" s="14" t="str">
        <f t="array" ref="D540">IF(C540="","",IFNA(_xlfn.XLOOKUP(C540,'a 01'!$C$6:$C$999,'a 01'!$D$6:$D$999),""))</f>
        <v/>
      </c>
      <c r="E540" s="18" t="str">
        <f t="array" ref="E540">_xlfn.XLOOKUP(D540,Table_Warkah[Kode Tiket],Table_Warkah[Jenis Permohonan],"")</f>
        <v/>
      </c>
      <c r="F540" s="24"/>
      <c r="G540" s="24"/>
      <c r="H540" s="13" t="str">
        <f t="shared" si="1"/>
        <v/>
      </c>
      <c r="I540" s="18"/>
      <c r="J540" s="20" t="b">
        <v>0</v>
      </c>
      <c r="K540" s="13" t="str">
        <f t="shared" si="2"/>
        <v/>
      </c>
      <c r="L540" s="13"/>
      <c r="M540" s="21" t="s">
        <v>45</v>
      </c>
    </row>
    <row r="541" ht="22.5" customHeight="1">
      <c r="B541" s="13">
        <f t="shared" si="3"/>
        <v>534</v>
      </c>
      <c r="C541" s="24"/>
      <c r="D541" s="14" t="str">
        <f t="array" ref="D541">IF(C541="","",IFNA(_xlfn.XLOOKUP(C541,'a 01'!$C$6:$C$999,'a 01'!$D$6:$D$999),""))</f>
        <v/>
      </c>
      <c r="E541" s="18" t="str">
        <f t="array" ref="E541">_xlfn.XLOOKUP(D541,Table_Warkah[Kode Tiket],Table_Warkah[Jenis Permohonan],"")</f>
        <v/>
      </c>
      <c r="F541" s="24"/>
      <c r="G541" s="24"/>
      <c r="H541" s="13" t="str">
        <f t="shared" si="1"/>
        <v/>
      </c>
      <c r="I541" s="18"/>
      <c r="J541" s="20" t="b">
        <v>0</v>
      </c>
      <c r="K541" s="13" t="str">
        <f t="shared" si="2"/>
        <v/>
      </c>
      <c r="L541" s="13"/>
      <c r="M541" s="21" t="s">
        <v>45</v>
      </c>
    </row>
    <row r="542" ht="22.5" customHeight="1">
      <c r="B542" s="13">
        <f t="shared" si="3"/>
        <v>535</v>
      </c>
      <c r="C542" s="24"/>
      <c r="D542" s="14" t="str">
        <f t="array" ref="D542">IF(C542="","",IFNA(_xlfn.XLOOKUP(C542,'a 01'!$C$6:$C$999,'a 01'!$D$6:$D$999),""))</f>
        <v/>
      </c>
      <c r="E542" s="18" t="str">
        <f t="array" ref="E542">_xlfn.XLOOKUP(D542,Table_Warkah[Kode Tiket],Table_Warkah[Jenis Permohonan],"")</f>
        <v/>
      </c>
      <c r="F542" s="24"/>
      <c r="G542" s="24"/>
      <c r="H542" s="13" t="str">
        <f t="shared" si="1"/>
        <v/>
      </c>
      <c r="I542" s="18"/>
      <c r="J542" s="20" t="b">
        <v>0</v>
      </c>
      <c r="K542" s="13" t="str">
        <f t="shared" si="2"/>
        <v/>
      </c>
      <c r="L542" s="13"/>
      <c r="M542" s="21" t="s">
        <v>45</v>
      </c>
    </row>
    <row r="543" ht="22.5" customHeight="1">
      <c r="B543" s="13">
        <f t="shared" si="3"/>
        <v>536</v>
      </c>
      <c r="C543" s="24"/>
      <c r="D543" s="14" t="str">
        <f t="array" ref="D543">IF(C543="","",IFNA(_xlfn.XLOOKUP(C543,'a 01'!$C$6:$C$999,'a 01'!$D$6:$D$999),""))</f>
        <v/>
      </c>
      <c r="E543" s="18" t="str">
        <f t="array" ref="E543">_xlfn.XLOOKUP(D543,Table_Warkah[Kode Tiket],Table_Warkah[Jenis Permohonan],"")</f>
        <v/>
      </c>
      <c r="F543" s="24"/>
      <c r="G543" s="24"/>
      <c r="H543" s="13" t="str">
        <f t="shared" si="1"/>
        <v/>
      </c>
      <c r="I543" s="18"/>
      <c r="J543" s="20" t="b">
        <v>0</v>
      </c>
      <c r="K543" s="13" t="str">
        <f t="shared" si="2"/>
        <v/>
      </c>
      <c r="L543" s="13"/>
      <c r="M543" s="21" t="s">
        <v>45</v>
      </c>
    </row>
    <row r="544" ht="22.5" customHeight="1">
      <c r="B544" s="13">
        <f t="shared" si="3"/>
        <v>537</v>
      </c>
      <c r="C544" s="24"/>
      <c r="D544" s="14" t="str">
        <f t="array" ref="D544">IF(C544="","",IFNA(_xlfn.XLOOKUP(C544,'a 01'!$C$6:$C$999,'a 01'!$D$6:$D$999),""))</f>
        <v/>
      </c>
      <c r="E544" s="18" t="str">
        <f t="array" ref="E544">_xlfn.XLOOKUP(D544,Table_Warkah[Kode Tiket],Table_Warkah[Jenis Permohonan],"")</f>
        <v/>
      </c>
      <c r="F544" s="24"/>
      <c r="G544" s="24"/>
      <c r="H544" s="13" t="str">
        <f t="shared" si="1"/>
        <v/>
      </c>
      <c r="I544" s="18"/>
      <c r="J544" s="20" t="b">
        <v>0</v>
      </c>
      <c r="K544" s="13" t="str">
        <f t="shared" si="2"/>
        <v/>
      </c>
      <c r="L544" s="13"/>
      <c r="M544" s="21" t="s">
        <v>45</v>
      </c>
    </row>
    <row r="545" ht="22.5" customHeight="1">
      <c r="B545" s="13">
        <f t="shared" si="3"/>
        <v>538</v>
      </c>
      <c r="C545" s="24"/>
      <c r="D545" s="14" t="str">
        <f t="array" ref="D545">IF(C545="","",IFNA(_xlfn.XLOOKUP(C545,'a 01'!$C$6:$C$999,'a 01'!$D$6:$D$999),""))</f>
        <v/>
      </c>
      <c r="E545" s="18" t="str">
        <f t="array" ref="E545">_xlfn.XLOOKUP(D545,Table_Warkah[Kode Tiket],Table_Warkah[Jenis Permohonan],"")</f>
        <v/>
      </c>
      <c r="F545" s="24"/>
      <c r="G545" s="24"/>
      <c r="H545" s="13" t="str">
        <f t="shared" si="1"/>
        <v/>
      </c>
      <c r="I545" s="18"/>
      <c r="J545" s="20" t="b">
        <v>0</v>
      </c>
      <c r="K545" s="13" t="str">
        <f t="shared" si="2"/>
        <v/>
      </c>
      <c r="L545" s="13"/>
      <c r="M545" s="21" t="s">
        <v>45</v>
      </c>
    </row>
    <row r="546" ht="22.5" customHeight="1">
      <c r="B546" s="13">
        <f t="shared" si="3"/>
        <v>539</v>
      </c>
      <c r="C546" s="24"/>
      <c r="D546" s="14" t="str">
        <f t="array" ref="D546">IF(C546="","",IFNA(_xlfn.XLOOKUP(C546,'a 01'!$C$6:$C$999,'a 01'!$D$6:$D$999),""))</f>
        <v/>
      </c>
      <c r="E546" s="18" t="str">
        <f t="array" ref="E546">_xlfn.XLOOKUP(D546,Table_Warkah[Kode Tiket],Table_Warkah[Jenis Permohonan],"")</f>
        <v/>
      </c>
      <c r="F546" s="24"/>
      <c r="G546" s="24"/>
      <c r="H546" s="13" t="str">
        <f t="shared" si="1"/>
        <v/>
      </c>
      <c r="I546" s="18"/>
      <c r="J546" s="20" t="b">
        <v>0</v>
      </c>
      <c r="K546" s="13" t="str">
        <f t="shared" si="2"/>
        <v/>
      </c>
      <c r="L546" s="13"/>
      <c r="M546" s="21" t="s">
        <v>45</v>
      </c>
    </row>
    <row r="547" ht="22.5" customHeight="1">
      <c r="B547" s="13">
        <f t="shared" si="3"/>
        <v>540</v>
      </c>
      <c r="C547" s="24"/>
      <c r="D547" s="14" t="str">
        <f t="array" ref="D547">IF(C547="","",IFNA(_xlfn.XLOOKUP(C547,'a 01'!$C$6:$C$999,'a 01'!$D$6:$D$999),""))</f>
        <v/>
      </c>
      <c r="E547" s="18" t="str">
        <f t="array" ref="E547">_xlfn.XLOOKUP(D547,Table_Warkah[Kode Tiket],Table_Warkah[Jenis Permohonan],"")</f>
        <v/>
      </c>
      <c r="F547" s="24"/>
      <c r="G547" s="24"/>
      <c r="H547" s="13" t="str">
        <f t="shared" si="1"/>
        <v/>
      </c>
      <c r="I547" s="18"/>
      <c r="J547" s="20" t="b">
        <v>0</v>
      </c>
      <c r="K547" s="13" t="str">
        <f t="shared" si="2"/>
        <v/>
      </c>
      <c r="L547" s="13"/>
      <c r="M547" s="21" t="s">
        <v>45</v>
      </c>
    </row>
    <row r="548" ht="22.5" customHeight="1">
      <c r="B548" s="13">
        <f t="shared" si="3"/>
        <v>541</v>
      </c>
      <c r="C548" s="24"/>
      <c r="D548" s="14" t="str">
        <f t="array" ref="D548">IF(C548="","",IFNA(_xlfn.XLOOKUP(C548,'a 01'!$C$6:$C$999,'a 01'!$D$6:$D$999),""))</f>
        <v/>
      </c>
      <c r="E548" s="18" t="str">
        <f t="array" ref="E548">_xlfn.XLOOKUP(D548,Table_Warkah[Kode Tiket],Table_Warkah[Jenis Permohonan],"")</f>
        <v/>
      </c>
      <c r="F548" s="24"/>
      <c r="G548" s="24"/>
      <c r="H548" s="13" t="str">
        <f t="shared" si="1"/>
        <v/>
      </c>
      <c r="I548" s="18"/>
      <c r="J548" s="20" t="b">
        <v>0</v>
      </c>
      <c r="K548" s="13" t="str">
        <f t="shared" si="2"/>
        <v/>
      </c>
      <c r="L548" s="13"/>
      <c r="M548" s="21" t="s">
        <v>45</v>
      </c>
    </row>
    <row r="549" ht="22.5" customHeight="1">
      <c r="B549" s="13">
        <f t="shared" si="3"/>
        <v>542</v>
      </c>
      <c r="C549" s="24"/>
      <c r="D549" s="14" t="str">
        <f t="array" ref="D549">IF(C549="","",IFNA(_xlfn.XLOOKUP(C549,'a 01'!$C$6:$C$999,'a 01'!$D$6:$D$999),""))</f>
        <v/>
      </c>
      <c r="E549" s="18" t="str">
        <f t="array" ref="E549">_xlfn.XLOOKUP(D549,Table_Warkah[Kode Tiket],Table_Warkah[Jenis Permohonan],"")</f>
        <v/>
      </c>
      <c r="F549" s="24"/>
      <c r="G549" s="24"/>
      <c r="H549" s="13" t="str">
        <f t="shared" si="1"/>
        <v/>
      </c>
      <c r="I549" s="18"/>
      <c r="J549" s="20" t="b">
        <v>0</v>
      </c>
      <c r="K549" s="13" t="str">
        <f t="shared" si="2"/>
        <v/>
      </c>
      <c r="L549" s="13"/>
      <c r="M549" s="21" t="s">
        <v>45</v>
      </c>
    </row>
    <row r="550" ht="22.5" customHeight="1">
      <c r="B550" s="13">
        <f t="shared" si="3"/>
        <v>543</v>
      </c>
      <c r="C550" s="24"/>
      <c r="D550" s="14" t="str">
        <f t="array" ref="D550">IF(C550="","",IFNA(_xlfn.XLOOKUP(C550,'a 01'!$C$6:$C$999,'a 01'!$D$6:$D$999),""))</f>
        <v/>
      </c>
      <c r="E550" s="18" t="str">
        <f t="array" ref="E550">_xlfn.XLOOKUP(D550,Table_Warkah[Kode Tiket],Table_Warkah[Jenis Permohonan],"")</f>
        <v/>
      </c>
      <c r="F550" s="24"/>
      <c r="G550" s="24"/>
      <c r="H550" s="13" t="str">
        <f t="shared" si="1"/>
        <v/>
      </c>
      <c r="I550" s="18"/>
      <c r="J550" s="20" t="b">
        <v>0</v>
      </c>
      <c r="K550" s="13" t="str">
        <f t="shared" si="2"/>
        <v/>
      </c>
      <c r="L550" s="13"/>
      <c r="M550" s="21" t="s">
        <v>45</v>
      </c>
    </row>
    <row r="551" ht="22.5" customHeight="1">
      <c r="B551" s="13">
        <f t="shared" si="3"/>
        <v>544</v>
      </c>
      <c r="C551" s="24"/>
      <c r="D551" s="14" t="str">
        <f t="array" ref="D551">IF(C551="","",IFNA(_xlfn.XLOOKUP(C551,'a 01'!$C$6:$C$999,'a 01'!$D$6:$D$999),""))</f>
        <v/>
      </c>
      <c r="E551" s="18" t="str">
        <f t="array" ref="E551">_xlfn.XLOOKUP(D551,Table_Warkah[Kode Tiket],Table_Warkah[Jenis Permohonan],"")</f>
        <v/>
      </c>
      <c r="F551" s="24"/>
      <c r="G551" s="24"/>
      <c r="H551" s="13" t="str">
        <f t="shared" si="1"/>
        <v/>
      </c>
      <c r="I551" s="18"/>
      <c r="J551" s="20" t="b">
        <v>0</v>
      </c>
      <c r="K551" s="13" t="str">
        <f t="shared" si="2"/>
        <v/>
      </c>
      <c r="L551" s="13"/>
      <c r="M551" s="21" t="s">
        <v>45</v>
      </c>
    </row>
    <row r="552" ht="22.5" customHeight="1">
      <c r="B552" s="13">
        <f t="shared" si="3"/>
        <v>545</v>
      </c>
      <c r="C552" s="24"/>
      <c r="D552" s="14" t="str">
        <f t="array" ref="D552">IF(C552="","",IFNA(_xlfn.XLOOKUP(C552,'a 01'!$C$6:$C$999,'a 01'!$D$6:$D$999),""))</f>
        <v/>
      </c>
      <c r="E552" s="18" t="str">
        <f t="array" ref="E552">_xlfn.XLOOKUP(D552,Table_Warkah[Kode Tiket],Table_Warkah[Jenis Permohonan],"")</f>
        <v/>
      </c>
      <c r="F552" s="24"/>
      <c r="G552" s="24"/>
      <c r="H552" s="13" t="str">
        <f t="shared" si="1"/>
        <v/>
      </c>
      <c r="I552" s="18"/>
      <c r="J552" s="20" t="b">
        <v>0</v>
      </c>
      <c r="K552" s="13" t="str">
        <f t="shared" si="2"/>
        <v/>
      </c>
      <c r="L552" s="13"/>
      <c r="M552" s="21" t="s">
        <v>45</v>
      </c>
    </row>
    <row r="553" ht="22.5" customHeight="1">
      <c r="B553" s="13">
        <f t="shared" si="3"/>
        <v>546</v>
      </c>
      <c r="C553" s="24"/>
      <c r="D553" s="14" t="str">
        <f t="array" ref="D553">IF(C553="","",IFNA(_xlfn.XLOOKUP(C553,'a 01'!$C$6:$C$999,'a 01'!$D$6:$D$999),""))</f>
        <v/>
      </c>
      <c r="E553" s="18" t="str">
        <f t="array" ref="E553">_xlfn.XLOOKUP(D553,Table_Warkah[Kode Tiket],Table_Warkah[Jenis Permohonan],"")</f>
        <v/>
      </c>
      <c r="F553" s="24"/>
      <c r="G553" s="24"/>
      <c r="H553" s="13" t="str">
        <f t="shared" si="1"/>
        <v/>
      </c>
      <c r="I553" s="18"/>
      <c r="J553" s="20" t="b">
        <v>0</v>
      </c>
      <c r="K553" s="13" t="str">
        <f t="shared" si="2"/>
        <v/>
      </c>
      <c r="L553" s="13"/>
      <c r="M553" s="21" t="s">
        <v>45</v>
      </c>
    </row>
    <row r="554" ht="22.5" customHeight="1">
      <c r="B554" s="13">
        <f t="shared" si="3"/>
        <v>547</v>
      </c>
      <c r="C554" s="24"/>
      <c r="D554" s="14" t="str">
        <f t="array" ref="D554">IF(C554="","",IFNA(_xlfn.XLOOKUP(C554,'a 01'!$C$6:$C$999,'a 01'!$D$6:$D$999),""))</f>
        <v/>
      </c>
      <c r="E554" s="18" t="str">
        <f t="array" ref="E554">_xlfn.XLOOKUP(D554,Table_Warkah[Kode Tiket],Table_Warkah[Jenis Permohonan],"")</f>
        <v/>
      </c>
      <c r="F554" s="24"/>
      <c r="G554" s="24"/>
      <c r="H554" s="13" t="str">
        <f t="shared" si="1"/>
        <v/>
      </c>
      <c r="I554" s="18"/>
      <c r="J554" s="20" t="b">
        <v>0</v>
      </c>
      <c r="K554" s="13" t="str">
        <f t="shared" si="2"/>
        <v/>
      </c>
      <c r="L554" s="13"/>
      <c r="M554" s="21" t="s">
        <v>45</v>
      </c>
    </row>
    <row r="555" ht="22.5" customHeight="1">
      <c r="B555" s="13">
        <f t="shared" si="3"/>
        <v>548</v>
      </c>
      <c r="C555" s="24"/>
      <c r="D555" s="14" t="str">
        <f t="array" ref="D555">IF(C555="","",IFNA(_xlfn.XLOOKUP(C555,'a 01'!$C$6:$C$999,'a 01'!$D$6:$D$999),""))</f>
        <v/>
      </c>
      <c r="E555" s="18" t="str">
        <f t="array" ref="E555">_xlfn.XLOOKUP(D555,Table_Warkah[Kode Tiket],Table_Warkah[Jenis Permohonan],"")</f>
        <v/>
      </c>
      <c r="F555" s="24"/>
      <c r="G555" s="24"/>
      <c r="H555" s="13" t="str">
        <f t="shared" si="1"/>
        <v/>
      </c>
      <c r="I555" s="18"/>
      <c r="J555" s="20" t="b">
        <v>0</v>
      </c>
      <c r="K555" s="13" t="str">
        <f t="shared" si="2"/>
        <v/>
      </c>
      <c r="L555" s="13"/>
      <c r="M555" s="21" t="s">
        <v>45</v>
      </c>
    </row>
    <row r="556" ht="22.5" customHeight="1">
      <c r="B556" s="13">
        <f t="shared" si="3"/>
        <v>549</v>
      </c>
      <c r="C556" s="24"/>
      <c r="D556" s="14" t="str">
        <f t="array" ref="D556">IF(C556="","",IFNA(_xlfn.XLOOKUP(C556,'a 01'!$C$6:$C$999,'a 01'!$D$6:$D$999),""))</f>
        <v/>
      </c>
      <c r="E556" s="18" t="str">
        <f t="array" ref="E556">_xlfn.XLOOKUP(D556,Table_Warkah[Kode Tiket],Table_Warkah[Jenis Permohonan],"")</f>
        <v/>
      </c>
      <c r="F556" s="24"/>
      <c r="G556" s="24"/>
      <c r="H556" s="13" t="str">
        <f t="shared" si="1"/>
        <v/>
      </c>
      <c r="I556" s="18"/>
      <c r="J556" s="20" t="b">
        <v>0</v>
      </c>
      <c r="K556" s="13" t="str">
        <f t="shared" si="2"/>
        <v/>
      </c>
      <c r="L556" s="13"/>
      <c r="M556" s="21" t="s">
        <v>45</v>
      </c>
    </row>
    <row r="557" ht="22.5" customHeight="1">
      <c r="B557" s="13">
        <f t="shared" si="3"/>
        <v>550</v>
      </c>
      <c r="C557" s="24"/>
      <c r="D557" s="14" t="str">
        <f t="array" ref="D557">IF(C557="","",IFNA(_xlfn.XLOOKUP(C557,'a 01'!$C$6:$C$999,'a 01'!$D$6:$D$999),""))</f>
        <v/>
      </c>
      <c r="E557" s="18" t="str">
        <f t="array" ref="E557">_xlfn.XLOOKUP(D557,Table_Warkah[Kode Tiket],Table_Warkah[Jenis Permohonan],"")</f>
        <v/>
      </c>
      <c r="F557" s="24"/>
      <c r="G557" s="24"/>
      <c r="H557" s="13" t="str">
        <f t="shared" si="1"/>
        <v/>
      </c>
      <c r="I557" s="18"/>
      <c r="J557" s="20" t="b">
        <v>0</v>
      </c>
      <c r="K557" s="13" t="str">
        <f t="shared" si="2"/>
        <v/>
      </c>
      <c r="L557" s="13"/>
      <c r="M557" s="21" t="s">
        <v>45</v>
      </c>
    </row>
    <row r="558" ht="22.5" customHeight="1">
      <c r="B558" s="13">
        <f t="shared" si="3"/>
        <v>551</v>
      </c>
      <c r="C558" s="24"/>
      <c r="D558" s="14" t="str">
        <f t="array" ref="D558">IF(C558="","",IFNA(_xlfn.XLOOKUP(C558,'a 01'!$C$6:$C$999,'a 01'!$D$6:$D$999),""))</f>
        <v/>
      </c>
      <c r="E558" s="18" t="str">
        <f t="array" ref="E558">_xlfn.XLOOKUP(D558,Table_Warkah[Kode Tiket],Table_Warkah[Jenis Permohonan],"")</f>
        <v/>
      </c>
      <c r="F558" s="24"/>
      <c r="G558" s="24"/>
      <c r="H558" s="13" t="str">
        <f t="shared" si="1"/>
        <v/>
      </c>
      <c r="I558" s="18"/>
      <c r="J558" s="20" t="b">
        <v>0</v>
      </c>
      <c r="K558" s="13" t="str">
        <f t="shared" si="2"/>
        <v/>
      </c>
      <c r="L558" s="13"/>
      <c r="M558" s="21" t="s">
        <v>45</v>
      </c>
    </row>
    <row r="559" ht="22.5" customHeight="1">
      <c r="B559" s="13">
        <f t="shared" si="3"/>
        <v>552</v>
      </c>
      <c r="C559" s="24"/>
      <c r="D559" s="14" t="str">
        <f t="array" ref="D559">IF(C559="","",IFNA(_xlfn.XLOOKUP(C559,'a 01'!$C$6:$C$999,'a 01'!$D$6:$D$999),""))</f>
        <v/>
      </c>
      <c r="E559" s="18" t="str">
        <f t="array" ref="E559">_xlfn.XLOOKUP(D559,Table_Warkah[Kode Tiket],Table_Warkah[Jenis Permohonan],"")</f>
        <v/>
      </c>
      <c r="F559" s="24"/>
      <c r="G559" s="24"/>
      <c r="H559" s="13" t="str">
        <f t="shared" si="1"/>
        <v/>
      </c>
      <c r="I559" s="18"/>
      <c r="J559" s="20" t="b">
        <v>0</v>
      </c>
      <c r="K559" s="13" t="str">
        <f t="shared" si="2"/>
        <v/>
      </c>
      <c r="L559" s="13"/>
      <c r="M559" s="21" t="s">
        <v>45</v>
      </c>
    </row>
    <row r="560" ht="22.5" customHeight="1">
      <c r="B560" s="13">
        <f t="shared" si="3"/>
        <v>553</v>
      </c>
      <c r="C560" s="24"/>
      <c r="D560" s="14" t="str">
        <f t="array" ref="D560">IF(C560="","",IFNA(_xlfn.XLOOKUP(C560,'a 01'!$C$6:$C$999,'a 01'!$D$6:$D$999),""))</f>
        <v/>
      </c>
      <c r="E560" s="18" t="str">
        <f t="array" ref="E560">_xlfn.XLOOKUP(D560,Table_Warkah[Kode Tiket],Table_Warkah[Jenis Permohonan],"")</f>
        <v/>
      </c>
      <c r="F560" s="24"/>
      <c r="G560" s="24"/>
      <c r="H560" s="13" t="str">
        <f t="shared" si="1"/>
        <v/>
      </c>
      <c r="I560" s="18"/>
      <c r="J560" s="20" t="b">
        <v>0</v>
      </c>
      <c r="K560" s="13" t="str">
        <f t="shared" si="2"/>
        <v/>
      </c>
      <c r="L560" s="13"/>
      <c r="M560" s="21" t="s">
        <v>45</v>
      </c>
    </row>
    <row r="561" ht="22.5" customHeight="1">
      <c r="B561" s="13">
        <f t="shared" si="3"/>
        <v>554</v>
      </c>
      <c r="C561" s="24"/>
      <c r="D561" s="14" t="str">
        <f t="array" ref="D561">IF(C561="","",IFNA(_xlfn.XLOOKUP(C561,'a 01'!$C$6:$C$999,'a 01'!$D$6:$D$999),""))</f>
        <v/>
      </c>
      <c r="E561" s="18" t="str">
        <f t="array" ref="E561">_xlfn.XLOOKUP(D561,Table_Warkah[Kode Tiket],Table_Warkah[Jenis Permohonan],"")</f>
        <v/>
      </c>
      <c r="F561" s="24"/>
      <c r="G561" s="24"/>
      <c r="H561" s="13" t="str">
        <f t="shared" si="1"/>
        <v/>
      </c>
      <c r="I561" s="18"/>
      <c r="J561" s="20" t="b">
        <v>0</v>
      </c>
      <c r="K561" s="13" t="str">
        <f t="shared" si="2"/>
        <v/>
      </c>
      <c r="L561" s="13"/>
      <c r="M561" s="21" t="s">
        <v>45</v>
      </c>
    </row>
    <row r="562" ht="22.5" customHeight="1">
      <c r="B562" s="13">
        <f t="shared" si="3"/>
        <v>555</v>
      </c>
      <c r="C562" s="24"/>
      <c r="D562" s="14" t="str">
        <f t="array" ref="D562">IF(C562="","",IFNA(_xlfn.XLOOKUP(C562,'a 01'!$C$6:$C$999,'a 01'!$D$6:$D$999),""))</f>
        <v/>
      </c>
      <c r="E562" s="18" t="str">
        <f t="array" ref="E562">_xlfn.XLOOKUP(D562,Table_Warkah[Kode Tiket],Table_Warkah[Jenis Permohonan],"")</f>
        <v/>
      </c>
      <c r="F562" s="24"/>
      <c r="G562" s="24"/>
      <c r="H562" s="13" t="str">
        <f t="shared" si="1"/>
        <v/>
      </c>
      <c r="I562" s="18"/>
      <c r="J562" s="20" t="b">
        <v>0</v>
      </c>
      <c r="K562" s="13" t="str">
        <f t="shared" si="2"/>
        <v/>
      </c>
      <c r="L562" s="13"/>
      <c r="M562" s="21" t="s">
        <v>45</v>
      </c>
    </row>
    <row r="563" ht="22.5" customHeight="1">
      <c r="B563" s="13">
        <f t="shared" si="3"/>
        <v>556</v>
      </c>
      <c r="C563" s="24"/>
      <c r="D563" s="14" t="str">
        <f t="array" ref="D563">IF(C563="","",IFNA(_xlfn.XLOOKUP(C563,'a 01'!$C$6:$C$999,'a 01'!$D$6:$D$999),""))</f>
        <v/>
      </c>
      <c r="E563" s="18" t="str">
        <f t="array" ref="E563">_xlfn.XLOOKUP(D563,Table_Warkah[Kode Tiket],Table_Warkah[Jenis Permohonan],"")</f>
        <v/>
      </c>
      <c r="F563" s="24"/>
      <c r="G563" s="24"/>
      <c r="H563" s="13" t="str">
        <f t="shared" si="1"/>
        <v/>
      </c>
      <c r="I563" s="18"/>
      <c r="J563" s="20" t="b">
        <v>0</v>
      </c>
      <c r="K563" s="13" t="str">
        <f t="shared" si="2"/>
        <v/>
      </c>
      <c r="L563" s="13"/>
      <c r="M563" s="21" t="s">
        <v>45</v>
      </c>
    </row>
    <row r="564" ht="22.5" customHeight="1">
      <c r="B564" s="13">
        <f t="shared" si="3"/>
        <v>557</v>
      </c>
      <c r="C564" s="24"/>
      <c r="D564" s="14" t="str">
        <f t="array" ref="D564">IF(C564="","",IFNA(_xlfn.XLOOKUP(C564,'a 01'!$C$6:$C$999,'a 01'!$D$6:$D$999),""))</f>
        <v/>
      </c>
      <c r="E564" s="18" t="str">
        <f t="array" ref="E564">_xlfn.XLOOKUP(D564,Table_Warkah[Kode Tiket],Table_Warkah[Jenis Permohonan],"")</f>
        <v/>
      </c>
      <c r="F564" s="24"/>
      <c r="G564" s="24"/>
      <c r="H564" s="13" t="str">
        <f t="shared" si="1"/>
        <v/>
      </c>
      <c r="I564" s="18"/>
      <c r="J564" s="20" t="b">
        <v>0</v>
      </c>
      <c r="K564" s="13" t="str">
        <f t="shared" si="2"/>
        <v/>
      </c>
      <c r="L564" s="13"/>
      <c r="M564" s="21" t="s">
        <v>45</v>
      </c>
    </row>
    <row r="565" ht="22.5" customHeight="1">
      <c r="B565" s="13">
        <f t="shared" si="3"/>
        <v>558</v>
      </c>
      <c r="C565" s="24"/>
      <c r="D565" s="14" t="str">
        <f t="array" ref="D565">IF(C565="","",IFNA(_xlfn.XLOOKUP(C565,'a 01'!$C$6:$C$999,'a 01'!$D$6:$D$999),""))</f>
        <v/>
      </c>
      <c r="E565" s="18" t="str">
        <f t="array" ref="E565">_xlfn.XLOOKUP(D565,Table_Warkah[Kode Tiket],Table_Warkah[Jenis Permohonan],"")</f>
        <v/>
      </c>
      <c r="F565" s="24"/>
      <c r="G565" s="24"/>
      <c r="H565" s="13" t="str">
        <f t="shared" si="1"/>
        <v/>
      </c>
      <c r="I565" s="18"/>
      <c r="J565" s="20" t="b">
        <v>0</v>
      </c>
      <c r="K565" s="13" t="str">
        <f t="shared" si="2"/>
        <v/>
      </c>
      <c r="L565" s="13"/>
      <c r="M565" s="21" t="s">
        <v>45</v>
      </c>
    </row>
    <row r="566" ht="22.5" customHeight="1">
      <c r="B566" s="13">
        <f t="shared" si="3"/>
        <v>559</v>
      </c>
      <c r="C566" s="24"/>
      <c r="D566" s="14" t="str">
        <f t="array" ref="D566">IF(C566="","",IFNA(_xlfn.XLOOKUP(C566,'a 01'!$C$6:$C$999,'a 01'!$D$6:$D$999),""))</f>
        <v/>
      </c>
      <c r="E566" s="18" t="str">
        <f t="array" ref="E566">_xlfn.XLOOKUP(D566,Table_Warkah[Kode Tiket],Table_Warkah[Jenis Permohonan],"")</f>
        <v/>
      </c>
      <c r="F566" s="24"/>
      <c r="G566" s="24"/>
      <c r="H566" s="13" t="str">
        <f t="shared" si="1"/>
        <v/>
      </c>
      <c r="I566" s="18"/>
      <c r="J566" s="20" t="b">
        <v>0</v>
      </c>
      <c r="K566" s="13" t="str">
        <f t="shared" si="2"/>
        <v/>
      </c>
      <c r="L566" s="13"/>
      <c r="M566" s="21" t="s">
        <v>45</v>
      </c>
    </row>
    <row r="567" ht="22.5" customHeight="1">
      <c r="B567" s="13">
        <f t="shared" si="3"/>
        <v>560</v>
      </c>
      <c r="C567" s="24"/>
      <c r="D567" s="14" t="str">
        <f t="array" ref="D567">IF(C567="","",IFNA(_xlfn.XLOOKUP(C567,'a 01'!$C$6:$C$999,'a 01'!$D$6:$D$999),""))</f>
        <v/>
      </c>
      <c r="E567" s="18" t="str">
        <f t="array" ref="E567">_xlfn.XLOOKUP(D567,Table_Warkah[Kode Tiket],Table_Warkah[Jenis Permohonan],"")</f>
        <v/>
      </c>
      <c r="F567" s="24"/>
      <c r="G567" s="24"/>
      <c r="H567" s="13" t="str">
        <f t="shared" si="1"/>
        <v/>
      </c>
      <c r="I567" s="18"/>
      <c r="J567" s="20" t="b">
        <v>0</v>
      </c>
      <c r="K567" s="13" t="str">
        <f t="shared" si="2"/>
        <v/>
      </c>
      <c r="L567" s="13"/>
      <c r="M567" s="21" t="s">
        <v>45</v>
      </c>
    </row>
    <row r="568" ht="22.5" customHeight="1">
      <c r="B568" s="13">
        <f t="shared" si="3"/>
        <v>561</v>
      </c>
      <c r="C568" s="24"/>
      <c r="D568" s="14" t="str">
        <f t="array" ref="D568">IF(C568="","",IFNA(_xlfn.XLOOKUP(C568,'a 01'!$C$6:$C$999,'a 01'!$D$6:$D$999),""))</f>
        <v/>
      </c>
      <c r="E568" s="18" t="str">
        <f t="array" ref="E568">_xlfn.XLOOKUP(D568,Table_Warkah[Kode Tiket],Table_Warkah[Jenis Permohonan],"")</f>
        <v/>
      </c>
      <c r="F568" s="24"/>
      <c r="G568" s="24"/>
      <c r="H568" s="13" t="str">
        <f t="shared" si="1"/>
        <v/>
      </c>
      <c r="I568" s="18"/>
      <c r="J568" s="20" t="b">
        <v>0</v>
      </c>
      <c r="K568" s="13" t="str">
        <f t="shared" si="2"/>
        <v/>
      </c>
      <c r="L568" s="13"/>
      <c r="M568" s="21" t="s">
        <v>45</v>
      </c>
    </row>
    <row r="569" ht="22.5" customHeight="1">
      <c r="B569" s="13">
        <f t="shared" si="3"/>
        <v>562</v>
      </c>
      <c r="C569" s="24"/>
      <c r="D569" s="14" t="str">
        <f t="array" ref="D569">IF(C569="","",IFNA(_xlfn.XLOOKUP(C569,'a 01'!$C$6:$C$999,'a 01'!$D$6:$D$999),""))</f>
        <v/>
      </c>
      <c r="E569" s="18" t="str">
        <f t="array" ref="E569">_xlfn.XLOOKUP(D569,Table_Warkah[Kode Tiket],Table_Warkah[Jenis Permohonan],"")</f>
        <v/>
      </c>
      <c r="F569" s="24"/>
      <c r="G569" s="24"/>
      <c r="H569" s="13" t="str">
        <f t="shared" si="1"/>
        <v/>
      </c>
      <c r="I569" s="18"/>
      <c r="J569" s="20" t="b">
        <v>0</v>
      </c>
      <c r="K569" s="13" t="str">
        <f t="shared" si="2"/>
        <v/>
      </c>
      <c r="L569" s="13"/>
      <c r="M569" s="21" t="s">
        <v>45</v>
      </c>
    </row>
    <row r="570" ht="22.5" customHeight="1">
      <c r="B570" s="13">
        <f t="shared" si="3"/>
        <v>563</v>
      </c>
      <c r="C570" s="24"/>
      <c r="D570" s="14" t="str">
        <f t="array" ref="D570">IF(C570="","",IFNA(_xlfn.XLOOKUP(C570,'a 01'!$C$6:$C$999,'a 01'!$D$6:$D$999),""))</f>
        <v/>
      </c>
      <c r="E570" s="18" t="str">
        <f t="array" ref="E570">_xlfn.XLOOKUP(D570,Table_Warkah[Kode Tiket],Table_Warkah[Jenis Permohonan],"")</f>
        <v/>
      </c>
      <c r="F570" s="24"/>
      <c r="G570" s="24"/>
      <c r="H570" s="13" t="str">
        <f t="shared" si="1"/>
        <v/>
      </c>
      <c r="I570" s="18"/>
      <c r="J570" s="20" t="b">
        <v>0</v>
      </c>
      <c r="K570" s="13" t="str">
        <f t="shared" si="2"/>
        <v/>
      </c>
      <c r="L570" s="13"/>
      <c r="M570" s="21" t="s">
        <v>45</v>
      </c>
    </row>
    <row r="571" ht="22.5" customHeight="1">
      <c r="B571" s="13">
        <f t="shared" si="3"/>
        <v>564</v>
      </c>
      <c r="C571" s="24"/>
      <c r="D571" s="14" t="str">
        <f t="array" ref="D571">IF(C571="","",IFNA(_xlfn.XLOOKUP(C571,'a 01'!$C$6:$C$999,'a 01'!$D$6:$D$999),""))</f>
        <v/>
      </c>
      <c r="E571" s="18" t="str">
        <f t="array" ref="E571">_xlfn.XLOOKUP(D571,Table_Warkah[Kode Tiket],Table_Warkah[Jenis Permohonan],"")</f>
        <v/>
      </c>
      <c r="F571" s="24"/>
      <c r="G571" s="24"/>
      <c r="H571" s="13" t="str">
        <f t="shared" si="1"/>
        <v/>
      </c>
      <c r="I571" s="18"/>
      <c r="J571" s="20" t="b">
        <v>0</v>
      </c>
      <c r="K571" s="13" t="str">
        <f t="shared" si="2"/>
        <v/>
      </c>
      <c r="L571" s="13"/>
      <c r="M571" s="21" t="s">
        <v>45</v>
      </c>
    </row>
    <row r="572" ht="22.5" customHeight="1">
      <c r="B572" s="13">
        <f t="shared" si="3"/>
        <v>565</v>
      </c>
      <c r="C572" s="24"/>
      <c r="D572" s="14" t="str">
        <f t="array" ref="D572">IF(C572="","",IFNA(_xlfn.XLOOKUP(C572,'a 01'!$C$6:$C$999,'a 01'!$D$6:$D$999),""))</f>
        <v/>
      </c>
      <c r="E572" s="18" t="str">
        <f t="array" ref="E572">_xlfn.XLOOKUP(D572,Table_Warkah[Kode Tiket],Table_Warkah[Jenis Permohonan],"")</f>
        <v/>
      </c>
      <c r="F572" s="24"/>
      <c r="G572" s="24"/>
      <c r="H572" s="13" t="str">
        <f t="shared" si="1"/>
        <v/>
      </c>
      <c r="I572" s="18"/>
      <c r="J572" s="20" t="b">
        <v>0</v>
      </c>
      <c r="K572" s="13" t="str">
        <f t="shared" si="2"/>
        <v/>
      </c>
      <c r="L572" s="13"/>
      <c r="M572" s="21" t="s">
        <v>45</v>
      </c>
    </row>
    <row r="573" ht="22.5" customHeight="1">
      <c r="B573" s="13">
        <f t="shared" si="3"/>
        <v>566</v>
      </c>
      <c r="C573" s="24"/>
      <c r="D573" s="14" t="str">
        <f t="array" ref="D573">IF(C573="","",IFNA(_xlfn.XLOOKUP(C573,'a 01'!$C$6:$C$999,'a 01'!$D$6:$D$999),""))</f>
        <v/>
      </c>
      <c r="E573" s="18" t="str">
        <f t="array" ref="E573">_xlfn.XLOOKUP(D573,Table_Warkah[Kode Tiket],Table_Warkah[Jenis Permohonan],"")</f>
        <v/>
      </c>
      <c r="F573" s="24"/>
      <c r="G573" s="24"/>
      <c r="H573" s="13" t="str">
        <f t="shared" si="1"/>
        <v/>
      </c>
      <c r="I573" s="18"/>
      <c r="J573" s="20" t="b">
        <v>0</v>
      </c>
      <c r="K573" s="13" t="str">
        <f t="shared" si="2"/>
        <v/>
      </c>
      <c r="L573" s="13"/>
      <c r="M573" s="21" t="s">
        <v>45</v>
      </c>
    </row>
    <row r="574" ht="22.5" customHeight="1">
      <c r="B574" s="13">
        <f t="shared" si="3"/>
        <v>567</v>
      </c>
      <c r="C574" s="24"/>
      <c r="D574" s="14" t="str">
        <f t="array" ref="D574">IF(C574="","",IFNA(_xlfn.XLOOKUP(C574,'a 01'!$C$6:$C$999,'a 01'!$D$6:$D$999),""))</f>
        <v/>
      </c>
      <c r="E574" s="18" t="str">
        <f t="array" ref="E574">_xlfn.XLOOKUP(D574,Table_Warkah[Kode Tiket],Table_Warkah[Jenis Permohonan],"")</f>
        <v/>
      </c>
      <c r="F574" s="24"/>
      <c r="G574" s="24"/>
      <c r="H574" s="13" t="str">
        <f t="shared" si="1"/>
        <v/>
      </c>
      <c r="I574" s="18"/>
      <c r="J574" s="20" t="b">
        <v>0</v>
      </c>
      <c r="K574" s="13" t="str">
        <f t="shared" si="2"/>
        <v/>
      </c>
      <c r="L574" s="13"/>
      <c r="M574" s="21" t="s">
        <v>45</v>
      </c>
    </row>
    <row r="575" ht="22.5" customHeight="1">
      <c r="B575" s="13">
        <f t="shared" si="3"/>
        <v>568</v>
      </c>
      <c r="C575" s="24"/>
      <c r="D575" s="14" t="str">
        <f t="array" ref="D575">IF(C575="","",IFNA(_xlfn.XLOOKUP(C575,'a 01'!$C$6:$C$999,'a 01'!$D$6:$D$999),""))</f>
        <v/>
      </c>
      <c r="E575" s="18" t="str">
        <f t="array" ref="E575">_xlfn.XLOOKUP(D575,Table_Warkah[Kode Tiket],Table_Warkah[Jenis Permohonan],"")</f>
        <v/>
      </c>
      <c r="F575" s="24"/>
      <c r="G575" s="24"/>
      <c r="H575" s="13" t="str">
        <f t="shared" si="1"/>
        <v/>
      </c>
      <c r="I575" s="18"/>
      <c r="J575" s="20" t="b">
        <v>0</v>
      </c>
      <c r="K575" s="13" t="str">
        <f t="shared" si="2"/>
        <v/>
      </c>
      <c r="L575" s="13"/>
      <c r="M575" s="21" t="s">
        <v>45</v>
      </c>
    </row>
    <row r="576" ht="22.5" customHeight="1">
      <c r="B576" s="13">
        <f t="shared" si="3"/>
        <v>569</v>
      </c>
      <c r="C576" s="24"/>
      <c r="D576" s="14" t="str">
        <f t="array" ref="D576">IF(C576="","",IFNA(_xlfn.XLOOKUP(C576,'a 01'!$C$6:$C$999,'a 01'!$D$6:$D$999),""))</f>
        <v/>
      </c>
      <c r="E576" s="18" t="str">
        <f t="array" ref="E576">_xlfn.XLOOKUP(D576,Table_Warkah[Kode Tiket],Table_Warkah[Jenis Permohonan],"")</f>
        <v/>
      </c>
      <c r="F576" s="24"/>
      <c r="G576" s="24"/>
      <c r="H576" s="13" t="str">
        <f t="shared" si="1"/>
        <v/>
      </c>
      <c r="I576" s="18"/>
      <c r="J576" s="20" t="b">
        <v>0</v>
      </c>
      <c r="K576" s="13" t="str">
        <f t="shared" si="2"/>
        <v/>
      </c>
      <c r="L576" s="13"/>
      <c r="M576" s="21" t="s">
        <v>45</v>
      </c>
    </row>
    <row r="577" ht="22.5" customHeight="1">
      <c r="B577" s="13">
        <f t="shared" si="3"/>
        <v>570</v>
      </c>
      <c r="C577" s="24"/>
      <c r="D577" s="14" t="str">
        <f t="array" ref="D577">IF(C577="","",IFNA(_xlfn.XLOOKUP(C577,'a 01'!$C$6:$C$999,'a 01'!$D$6:$D$999),""))</f>
        <v/>
      </c>
      <c r="E577" s="18" t="str">
        <f t="array" ref="E577">_xlfn.XLOOKUP(D577,Table_Warkah[Kode Tiket],Table_Warkah[Jenis Permohonan],"")</f>
        <v/>
      </c>
      <c r="F577" s="24"/>
      <c r="G577" s="24"/>
      <c r="H577" s="13" t="str">
        <f t="shared" si="1"/>
        <v/>
      </c>
      <c r="I577" s="18"/>
      <c r="J577" s="20" t="b">
        <v>0</v>
      </c>
      <c r="K577" s="13" t="str">
        <f t="shared" si="2"/>
        <v/>
      </c>
      <c r="L577" s="13"/>
      <c r="M577" s="21" t="s">
        <v>45</v>
      </c>
    </row>
    <row r="578" ht="22.5" customHeight="1">
      <c r="B578" s="13">
        <f t="shared" si="3"/>
        <v>571</v>
      </c>
      <c r="C578" s="24"/>
      <c r="D578" s="14" t="str">
        <f t="array" ref="D578">IF(C578="","",IFNA(_xlfn.XLOOKUP(C578,'a 01'!$C$6:$C$999,'a 01'!$D$6:$D$999),""))</f>
        <v/>
      </c>
      <c r="E578" s="18" t="str">
        <f t="array" ref="E578">_xlfn.XLOOKUP(D578,Table_Warkah[Kode Tiket],Table_Warkah[Jenis Permohonan],"")</f>
        <v/>
      </c>
      <c r="F578" s="24"/>
      <c r="G578" s="24"/>
      <c r="H578" s="13" t="str">
        <f t="shared" si="1"/>
        <v/>
      </c>
      <c r="I578" s="18"/>
      <c r="J578" s="20" t="b">
        <v>0</v>
      </c>
      <c r="K578" s="13" t="str">
        <f t="shared" si="2"/>
        <v/>
      </c>
      <c r="L578" s="13"/>
      <c r="M578" s="21" t="s">
        <v>45</v>
      </c>
    </row>
    <row r="579" ht="22.5" customHeight="1">
      <c r="B579" s="13">
        <f t="shared" si="3"/>
        <v>572</v>
      </c>
      <c r="C579" s="24"/>
      <c r="D579" s="14" t="str">
        <f t="array" ref="D579">IF(C579="","",IFNA(_xlfn.XLOOKUP(C579,'a 01'!$C$6:$C$999,'a 01'!$D$6:$D$999),""))</f>
        <v/>
      </c>
      <c r="E579" s="18" t="str">
        <f t="array" ref="E579">_xlfn.XLOOKUP(D579,Table_Warkah[Kode Tiket],Table_Warkah[Jenis Permohonan],"")</f>
        <v/>
      </c>
      <c r="F579" s="24"/>
      <c r="G579" s="24"/>
      <c r="H579" s="13" t="str">
        <f t="shared" si="1"/>
        <v/>
      </c>
      <c r="I579" s="18"/>
      <c r="J579" s="20" t="b">
        <v>0</v>
      </c>
      <c r="K579" s="13" t="str">
        <f t="shared" si="2"/>
        <v/>
      </c>
      <c r="L579" s="13"/>
      <c r="M579" s="21" t="s">
        <v>45</v>
      </c>
    </row>
    <row r="580" ht="22.5" customHeight="1">
      <c r="B580" s="13">
        <f t="shared" si="3"/>
        <v>573</v>
      </c>
      <c r="C580" s="24"/>
      <c r="D580" s="14" t="str">
        <f t="array" ref="D580">IF(C580="","",IFNA(_xlfn.XLOOKUP(C580,'a 01'!$C$6:$C$999,'a 01'!$D$6:$D$999),""))</f>
        <v/>
      </c>
      <c r="E580" s="18" t="str">
        <f t="array" ref="E580">_xlfn.XLOOKUP(D580,Table_Warkah[Kode Tiket],Table_Warkah[Jenis Permohonan],"")</f>
        <v/>
      </c>
      <c r="F580" s="24"/>
      <c r="G580" s="24"/>
      <c r="H580" s="13" t="str">
        <f t="shared" si="1"/>
        <v/>
      </c>
      <c r="I580" s="18"/>
      <c r="J580" s="20" t="b">
        <v>0</v>
      </c>
      <c r="K580" s="13" t="str">
        <f t="shared" si="2"/>
        <v/>
      </c>
      <c r="L580" s="13"/>
      <c r="M580" s="21" t="s">
        <v>45</v>
      </c>
    </row>
    <row r="581" ht="22.5" customHeight="1">
      <c r="B581" s="13">
        <f t="shared" si="3"/>
        <v>574</v>
      </c>
      <c r="C581" s="24"/>
      <c r="D581" s="14" t="str">
        <f t="array" ref="D581">IF(C581="","",IFNA(_xlfn.XLOOKUP(C581,'a 01'!$C$6:$C$999,'a 01'!$D$6:$D$999),""))</f>
        <v/>
      </c>
      <c r="E581" s="18" t="str">
        <f t="array" ref="E581">_xlfn.XLOOKUP(D581,Table_Warkah[Kode Tiket],Table_Warkah[Jenis Permohonan],"")</f>
        <v/>
      </c>
      <c r="F581" s="24"/>
      <c r="G581" s="24"/>
      <c r="H581" s="13" t="str">
        <f t="shared" si="1"/>
        <v/>
      </c>
      <c r="I581" s="18"/>
      <c r="J581" s="20" t="b">
        <v>0</v>
      </c>
      <c r="K581" s="13" t="str">
        <f t="shared" si="2"/>
        <v/>
      </c>
      <c r="L581" s="13"/>
      <c r="M581" s="21" t="s">
        <v>45</v>
      </c>
    </row>
    <row r="582" ht="22.5" customHeight="1">
      <c r="B582" s="13">
        <f t="shared" si="3"/>
        <v>575</v>
      </c>
      <c r="C582" s="24"/>
      <c r="D582" s="14" t="str">
        <f t="array" ref="D582">IF(C582="","",IFNA(_xlfn.XLOOKUP(C582,'a 01'!$C$6:$C$999,'a 01'!$D$6:$D$999),""))</f>
        <v/>
      </c>
      <c r="E582" s="18" t="str">
        <f t="array" ref="E582">_xlfn.XLOOKUP(D582,Table_Warkah[Kode Tiket],Table_Warkah[Jenis Permohonan],"")</f>
        <v/>
      </c>
      <c r="F582" s="24"/>
      <c r="G582" s="24"/>
      <c r="H582" s="13" t="str">
        <f t="shared" si="1"/>
        <v/>
      </c>
      <c r="I582" s="18"/>
      <c r="J582" s="20" t="b">
        <v>0</v>
      </c>
      <c r="K582" s="13" t="str">
        <f t="shared" si="2"/>
        <v/>
      </c>
      <c r="L582" s="13"/>
      <c r="M582" s="21" t="s">
        <v>45</v>
      </c>
    </row>
    <row r="583" ht="22.5" customHeight="1">
      <c r="B583" s="13">
        <f t="shared" si="3"/>
        <v>576</v>
      </c>
      <c r="C583" s="24"/>
      <c r="D583" s="14" t="str">
        <f t="array" ref="D583">IF(C583="","",IFNA(_xlfn.XLOOKUP(C583,'a 01'!$C$6:$C$999,'a 01'!$D$6:$D$999),""))</f>
        <v/>
      </c>
      <c r="E583" s="18" t="str">
        <f t="array" ref="E583">_xlfn.XLOOKUP(D583,Table_Warkah[Kode Tiket],Table_Warkah[Jenis Permohonan],"")</f>
        <v/>
      </c>
      <c r="F583" s="24"/>
      <c r="G583" s="24"/>
      <c r="H583" s="13" t="str">
        <f t="shared" si="1"/>
        <v/>
      </c>
      <c r="I583" s="18"/>
      <c r="J583" s="20" t="b">
        <v>0</v>
      </c>
      <c r="K583" s="13" t="str">
        <f t="shared" si="2"/>
        <v/>
      </c>
      <c r="L583" s="13"/>
      <c r="M583" s="21" t="s">
        <v>45</v>
      </c>
    </row>
    <row r="584" ht="22.5" customHeight="1">
      <c r="B584" s="13">
        <f t="shared" si="3"/>
        <v>577</v>
      </c>
      <c r="C584" s="24"/>
      <c r="D584" s="14" t="str">
        <f t="array" ref="D584">IF(C584="","",IFNA(_xlfn.XLOOKUP(C584,'a 01'!$C$6:$C$999,'a 01'!$D$6:$D$999),""))</f>
        <v/>
      </c>
      <c r="E584" s="18" t="str">
        <f t="array" ref="E584">_xlfn.XLOOKUP(D584,Table_Warkah[Kode Tiket],Table_Warkah[Jenis Permohonan],"")</f>
        <v/>
      </c>
      <c r="F584" s="24"/>
      <c r="G584" s="24"/>
      <c r="H584" s="13" t="str">
        <f t="shared" si="1"/>
        <v/>
      </c>
      <c r="I584" s="18"/>
      <c r="J584" s="20" t="b">
        <v>0</v>
      </c>
      <c r="K584" s="13" t="str">
        <f t="shared" si="2"/>
        <v/>
      </c>
      <c r="L584" s="13"/>
      <c r="M584" s="21" t="s">
        <v>45</v>
      </c>
    </row>
    <row r="585" ht="22.5" customHeight="1">
      <c r="B585" s="13">
        <f t="shared" si="3"/>
        <v>578</v>
      </c>
      <c r="C585" s="24"/>
      <c r="D585" s="14" t="str">
        <f t="array" ref="D585">IF(C585="","",IFNA(_xlfn.XLOOKUP(C585,'a 01'!$C$6:$C$999,'a 01'!$D$6:$D$999),""))</f>
        <v/>
      </c>
      <c r="E585" s="18" t="str">
        <f t="array" ref="E585">_xlfn.XLOOKUP(D585,Table_Warkah[Kode Tiket],Table_Warkah[Jenis Permohonan],"")</f>
        <v/>
      </c>
      <c r="F585" s="24"/>
      <c r="G585" s="24"/>
      <c r="H585" s="13" t="str">
        <f t="shared" si="1"/>
        <v/>
      </c>
      <c r="I585" s="18"/>
      <c r="J585" s="20" t="b">
        <v>0</v>
      </c>
      <c r="K585" s="13" t="str">
        <f t="shared" si="2"/>
        <v/>
      </c>
      <c r="L585" s="13"/>
      <c r="M585" s="21" t="s">
        <v>45</v>
      </c>
    </row>
    <row r="586" ht="22.5" customHeight="1">
      <c r="B586" s="13">
        <f t="shared" si="3"/>
        <v>579</v>
      </c>
      <c r="C586" s="24"/>
      <c r="D586" s="14" t="str">
        <f t="array" ref="D586">IF(C586="","",IFNA(_xlfn.XLOOKUP(C586,'a 01'!$C$6:$C$999,'a 01'!$D$6:$D$999),""))</f>
        <v/>
      </c>
      <c r="E586" s="18" t="str">
        <f t="array" ref="E586">_xlfn.XLOOKUP(D586,Table_Warkah[Kode Tiket],Table_Warkah[Jenis Permohonan],"")</f>
        <v/>
      </c>
      <c r="F586" s="24"/>
      <c r="G586" s="24"/>
      <c r="H586" s="13" t="str">
        <f t="shared" si="1"/>
        <v/>
      </c>
      <c r="I586" s="18"/>
      <c r="J586" s="20" t="b">
        <v>0</v>
      </c>
      <c r="K586" s="13" t="str">
        <f t="shared" si="2"/>
        <v/>
      </c>
      <c r="L586" s="13"/>
      <c r="M586" s="21" t="s">
        <v>45</v>
      </c>
    </row>
    <row r="587" ht="22.5" customHeight="1">
      <c r="B587" s="13">
        <f t="shared" si="3"/>
        <v>580</v>
      </c>
      <c r="C587" s="24"/>
      <c r="D587" s="14" t="str">
        <f t="array" ref="D587">IF(C587="","",IFNA(_xlfn.XLOOKUP(C587,'a 01'!$C$6:$C$999,'a 01'!$D$6:$D$999),""))</f>
        <v/>
      </c>
      <c r="E587" s="18" t="str">
        <f t="array" ref="E587">_xlfn.XLOOKUP(D587,Table_Warkah[Kode Tiket],Table_Warkah[Jenis Permohonan],"")</f>
        <v/>
      </c>
      <c r="F587" s="24"/>
      <c r="G587" s="24"/>
      <c r="H587" s="13" t="str">
        <f t="shared" si="1"/>
        <v/>
      </c>
      <c r="I587" s="18"/>
      <c r="J587" s="20" t="b">
        <v>0</v>
      </c>
      <c r="K587" s="13" t="str">
        <f t="shared" si="2"/>
        <v/>
      </c>
      <c r="L587" s="13"/>
      <c r="M587" s="21" t="s">
        <v>45</v>
      </c>
    </row>
    <row r="588" ht="22.5" customHeight="1">
      <c r="B588" s="13">
        <f t="shared" si="3"/>
        <v>581</v>
      </c>
      <c r="C588" s="24"/>
      <c r="D588" s="14" t="str">
        <f t="array" ref="D588">IF(C588="","",IFNA(_xlfn.XLOOKUP(C588,'a 01'!$C$6:$C$999,'a 01'!$D$6:$D$999),""))</f>
        <v/>
      </c>
      <c r="E588" s="18" t="str">
        <f t="array" ref="E588">_xlfn.XLOOKUP(D588,Table_Warkah[Kode Tiket],Table_Warkah[Jenis Permohonan],"")</f>
        <v/>
      </c>
      <c r="F588" s="24"/>
      <c r="G588" s="24"/>
      <c r="H588" s="13" t="str">
        <f t="shared" si="1"/>
        <v/>
      </c>
      <c r="I588" s="18"/>
      <c r="J588" s="20" t="b">
        <v>0</v>
      </c>
      <c r="K588" s="13" t="str">
        <f t="shared" si="2"/>
        <v/>
      </c>
      <c r="L588" s="13"/>
      <c r="M588" s="21" t="s">
        <v>45</v>
      </c>
    </row>
    <row r="589" ht="22.5" customHeight="1">
      <c r="B589" s="13">
        <f t="shared" si="3"/>
        <v>582</v>
      </c>
      <c r="C589" s="24"/>
      <c r="D589" s="14" t="str">
        <f t="array" ref="D589">IF(C589="","",IFNA(_xlfn.XLOOKUP(C589,'a 01'!$C$6:$C$999,'a 01'!$D$6:$D$999),""))</f>
        <v/>
      </c>
      <c r="E589" s="18" t="str">
        <f t="array" ref="E589">_xlfn.XLOOKUP(D589,Table_Warkah[Kode Tiket],Table_Warkah[Jenis Permohonan],"")</f>
        <v/>
      </c>
      <c r="F589" s="24"/>
      <c r="G589" s="24"/>
      <c r="H589" s="13" t="str">
        <f t="shared" si="1"/>
        <v/>
      </c>
      <c r="I589" s="18"/>
      <c r="J589" s="20" t="b">
        <v>0</v>
      </c>
      <c r="K589" s="13" t="str">
        <f t="shared" si="2"/>
        <v/>
      </c>
      <c r="L589" s="13"/>
      <c r="M589" s="21" t="s">
        <v>45</v>
      </c>
    </row>
    <row r="590" ht="22.5" customHeight="1">
      <c r="B590" s="13">
        <f t="shared" si="3"/>
        <v>583</v>
      </c>
      <c r="C590" s="24"/>
      <c r="D590" s="14" t="str">
        <f t="array" ref="D590">IF(C590="","",IFNA(_xlfn.XLOOKUP(C590,'a 01'!$C$6:$C$999,'a 01'!$D$6:$D$999),""))</f>
        <v/>
      </c>
      <c r="E590" s="18" t="str">
        <f t="array" ref="E590">_xlfn.XLOOKUP(D590,Table_Warkah[Kode Tiket],Table_Warkah[Jenis Permohonan],"")</f>
        <v/>
      </c>
      <c r="F590" s="24"/>
      <c r="G590" s="24"/>
      <c r="H590" s="13" t="str">
        <f t="shared" si="1"/>
        <v/>
      </c>
      <c r="I590" s="18"/>
      <c r="J590" s="20" t="b">
        <v>0</v>
      </c>
      <c r="K590" s="13" t="str">
        <f t="shared" si="2"/>
        <v/>
      </c>
      <c r="L590" s="13"/>
      <c r="M590" s="21" t="s">
        <v>45</v>
      </c>
    </row>
    <row r="591" ht="22.5" customHeight="1">
      <c r="B591" s="13">
        <f t="shared" si="3"/>
        <v>584</v>
      </c>
      <c r="C591" s="24"/>
      <c r="D591" s="14" t="str">
        <f t="array" ref="D591">IF(C591="","",IFNA(_xlfn.XLOOKUP(C591,'a 01'!$C$6:$C$999,'a 01'!$D$6:$D$999),""))</f>
        <v/>
      </c>
      <c r="E591" s="18" t="str">
        <f t="array" ref="E591">_xlfn.XLOOKUP(D591,Table_Warkah[Kode Tiket],Table_Warkah[Jenis Permohonan],"")</f>
        <v/>
      </c>
      <c r="F591" s="24"/>
      <c r="G591" s="24"/>
      <c r="H591" s="13" t="str">
        <f t="shared" si="1"/>
        <v/>
      </c>
      <c r="I591" s="18"/>
      <c r="J591" s="20" t="b">
        <v>0</v>
      </c>
      <c r="K591" s="13" t="str">
        <f t="shared" si="2"/>
        <v/>
      </c>
      <c r="L591" s="13"/>
      <c r="M591" s="21" t="s">
        <v>45</v>
      </c>
    </row>
    <row r="592" ht="22.5" customHeight="1">
      <c r="B592" s="13">
        <f t="shared" si="3"/>
        <v>585</v>
      </c>
      <c r="C592" s="24"/>
      <c r="D592" s="14" t="str">
        <f t="array" ref="D592">IF(C592="","",IFNA(_xlfn.XLOOKUP(C592,'a 01'!$C$6:$C$999,'a 01'!$D$6:$D$999),""))</f>
        <v/>
      </c>
      <c r="E592" s="18" t="str">
        <f t="array" ref="E592">_xlfn.XLOOKUP(D592,Table_Warkah[Kode Tiket],Table_Warkah[Jenis Permohonan],"")</f>
        <v/>
      </c>
      <c r="F592" s="24"/>
      <c r="G592" s="24"/>
      <c r="H592" s="13" t="str">
        <f t="shared" si="1"/>
        <v/>
      </c>
      <c r="I592" s="18"/>
      <c r="J592" s="20" t="b">
        <v>0</v>
      </c>
      <c r="K592" s="13" t="str">
        <f t="shared" si="2"/>
        <v/>
      </c>
      <c r="L592" s="13"/>
      <c r="M592" s="21" t="s">
        <v>45</v>
      </c>
    </row>
    <row r="593" ht="22.5" customHeight="1">
      <c r="B593" s="13">
        <f t="shared" si="3"/>
        <v>586</v>
      </c>
      <c r="C593" s="24"/>
      <c r="D593" s="14" t="str">
        <f t="array" ref="D593">IF(C593="","",IFNA(_xlfn.XLOOKUP(C593,'a 01'!$C$6:$C$999,'a 01'!$D$6:$D$999),""))</f>
        <v/>
      </c>
      <c r="E593" s="18" t="str">
        <f t="array" ref="E593">_xlfn.XLOOKUP(D593,Table_Warkah[Kode Tiket],Table_Warkah[Jenis Permohonan],"")</f>
        <v/>
      </c>
      <c r="F593" s="24"/>
      <c r="G593" s="24"/>
      <c r="H593" s="13" t="str">
        <f t="shared" si="1"/>
        <v/>
      </c>
      <c r="I593" s="18"/>
      <c r="J593" s="20" t="b">
        <v>0</v>
      </c>
      <c r="K593" s="13" t="str">
        <f t="shared" si="2"/>
        <v/>
      </c>
      <c r="L593" s="13"/>
      <c r="M593" s="21" t="s">
        <v>45</v>
      </c>
    </row>
    <row r="594" ht="22.5" customHeight="1">
      <c r="B594" s="13">
        <f t="shared" si="3"/>
        <v>587</v>
      </c>
      <c r="C594" s="24"/>
      <c r="D594" s="14" t="str">
        <f t="array" ref="D594">IF(C594="","",IFNA(_xlfn.XLOOKUP(C594,'a 01'!$C$6:$C$999,'a 01'!$D$6:$D$999),""))</f>
        <v/>
      </c>
      <c r="E594" s="18" t="str">
        <f t="array" ref="E594">_xlfn.XLOOKUP(D594,Table_Warkah[Kode Tiket],Table_Warkah[Jenis Permohonan],"")</f>
        <v/>
      </c>
      <c r="F594" s="24"/>
      <c r="G594" s="24"/>
      <c r="H594" s="13" t="str">
        <f t="shared" si="1"/>
        <v/>
      </c>
      <c r="I594" s="18"/>
      <c r="J594" s="20" t="b">
        <v>0</v>
      </c>
      <c r="K594" s="13" t="str">
        <f t="shared" si="2"/>
        <v/>
      </c>
      <c r="L594" s="13"/>
      <c r="M594" s="21" t="s">
        <v>45</v>
      </c>
    </row>
    <row r="595" ht="22.5" customHeight="1">
      <c r="B595" s="13">
        <f t="shared" si="3"/>
        <v>588</v>
      </c>
      <c r="C595" s="24"/>
      <c r="D595" s="14" t="str">
        <f t="array" ref="D595">IF(C595="","",IFNA(_xlfn.XLOOKUP(C595,'a 01'!$C$6:$C$999,'a 01'!$D$6:$D$999),""))</f>
        <v/>
      </c>
      <c r="E595" s="18" t="str">
        <f t="array" ref="E595">_xlfn.XLOOKUP(D595,Table_Warkah[Kode Tiket],Table_Warkah[Jenis Permohonan],"")</f>
        <v/>
      </c>
      <c r="F595" s="24"/>
      <c r="G595" s="24"/>
      <c r="H595" s="13" t="str">
        <f t="shared" si="1"/>
        <v/>
      </c>
      <c r="I595" s="18"/>
      <c r="J595" s="20" t="b">
        <v>0</v>
      </c>
      <c r="K595" s="13" t="str">
        <f t="shared" si="2"/>
        <v/>
      </c>
      <c r="L595" s="13"/>
      <c r="M595" s="21" t="s">
        <v>45</v>
      </c>
    </row>
    <row r="596" ht="22.5" customHeight="1">
      <c r="B596" s="13">
        <f t="shared" si="3"/>
        <v>589</v>
      </c>
      <c r="C596" s="24"/>
      <c r="D596" s="14" t="str">
        <f t="array" ref="D596">IF(C596="","",IFNA(_xlfn.XLOOKUP(C596,'a 01'!$C$6:$C$999,'a 01'!$D$6:$D$999),""))</f>
        <v/>
      </c>
      <c r="E596" s="18" t="str">
        <f t="array" ref="E596">_xlfn.XLOOKUP(D596,Table_Warkah[Kode Tiket],Table_Warkah[Jenis Permohonan],"")</f>
        <v/>
      </c>
      <c r="F596" s="24"/>
      <c r="G596" s="24"/>
      <c r="H596" s="13" t="str">
        <f t="shared" si="1"/>
        <v/>
      </c>
      <c r="I596" s="18"/>
      <c r="J596" s="20" t="b">
        <v>0</v>
      </c>
      <c r="K596" s="13" t="str">
        <f t="shared" si="2"/>
        <v/>
      </c>
      <c r="L596" s="13"/>
      <c r="M596" s="21" t="s">
        <v>45</v>
      </c>
    </row>
    <row r="597" ht="22.5" customHeight="1">
      <c r="B597" s="13">
        <f t="shared" si="3"/>
        <v>590</v>
      </c>
      <c r="C597" s="24"/>
      <c r="D597" s="14" t="str">
        <f t="array" ref="D597">IF(C597="","",IFNA(_xlfn.XLOOKUP(C597,'a 01'!$C$6:$C$999,'a 01'!$D$6:$D$999),""))</f>
        <v/>
      </c>
      <c r="E597" s="18" t="str">
        <f t="array" ref="E597">_xlfn.XLOOKUP(D597,Table_Warkah[Kode Tiket],Table_Warkah[Jenis Permohonan],"")</f>
        <v/>
      </c>
      <c r="F597" s="24"/>
      <c r="G597" s="24"/>
      <c r="H597" s="13" t="str">
        <f t="shared" si="1"/>
        <v/>
      </c>
      <c r="I597" s="18"/>
      <c r="J597" s="20" t="b">
        <v>0</v>
      </c>
      <c r="K597" s="13" t="str">
        <f t="shared" si="2"/>
        <v/>
      </c>
      <c r="L597" s="13"/>
      <c r="M597" s="21" t="s">
        <v>45</v>
      </c>
    </row>
    <row r="598" ht="22.5" customHeight="1">
      <c r="B598" s="13">
        <f t="shared" si="3"/>
        <v>591</v>
      </c>
      <c r="C598" s="24"/>
      <c r="D598" s="14" t="str">
        <f t="array" ref="D598">IF(C598="","",IFNA(_xlfn.XLOOKUP(C598,'a 01'!$C$6:$C$999,'a 01'!$D$6:$D$999),""))</f>
        <v/>
      </c>
      <c r="E598" s="18" t="str">
        <f t="array" ref="E598">_xlfn.XLOOKUP(D598,Table_Warkah[Kode Tiket],Table_Warkah[Jenis Permohonan],"")</f>
        <v/>
      </c>
      <c r="F598" s="24"/>
      <c r="G598" s="24"/>
      <c r="H598" s="13" t="str">
        <f t="shared" si="1"/>
        <v/>
      </c>
      <c r="I598" s="18"/>
      <c r="J598" s="20" t="b">
        <v>0</v>
      </c>
      <c r="K598" s="13" t="str">
        <f t="shared" si="2"/>
        <v/>
      </c>
      <c r="L598" s="13"/>
      <c r="M598" s="21" t="s">
        <v>45</v>
      </c>
    </row>
    <row r="599" ht="22.5" customHeight="1">
      <c r="B599" s="13">
        <f t="shared" si="3"/>
        <v>592</v>
      </c>
      <c r="C599" s="24"/>
      <c r="D599" s="14" t="str">
        <f t="array" ref="D599">IF(C599="","",IFNA(_xlfn.XLOOKUP(C599,'a 01'!$C$6:$C$999,'a 01'!$D$6:$D$999),""))</f>
        <v/>
      </c>
      <c r="E599" s="18" t="str">
        <f t="array" ref="E599">_xlfn.XLOOKUP(D599,Table_Warkah[Kode Tiket],Table_Warkah[Jenis Permohonan],"")</f>
        <v/>
      </c>
      <c r="F599" s="24"/>
      <c r="G599" s="24"/>
      <c r="H599" s="13" t="str">
        <f t="shared" si="1"/>
        <v/>
      </c>
      <c r="I599" s="18"/>
      <c r="J599" s="20" t="b">
        <v>0</v>
      </c>
      <c r="K599" s="13" t="str">
        <f t="shared" si="2"/>
        <v/>
      </c>
      <c r="L599" s="13"/>
      <c r="M599" s="21" t="s">
        <v>45</v>
      </c>
    </row>
    <row r="600" ht="22.5" customHeight="1">
      <c r="B600" s="13">
        <f t="shared" si="3"/>
        <v>593</v>
      </c>
      <c r="C600" s="24"/>
      <c r="D600" s="14" t="str">
        <f t="array" ref="D600">IF(C600="","",IFNA(_xlfn.XLOOKUP(C600,'a 01'!$C$6:$C$999,'a 01'!$D$6:$D$999),""))</f>
        <v/>
      </c>
      <c r="E600" s="18" t="str">
        <f t="array" ref="E600">_xlfn.XLOOKUP(D600,Table_Warkah[Kode Tiket],Table_Warkah[Jenis Permohonan],"")</f>
        <v/>
      </c>
      <c r="F600" s="24"/>
      <c r="G600" s="24"/>
      <c r="H600" s="13" t="str">
        <f t="shared" si="1"/>
        <v/>
      </c>
      <c r="I600" s="18"/>
      <c r="J600" s="20" t="b">
        <v>0</v>
      </c>
      <c r="K600" s="13" t="str">
        <f t="shared" si="2"/>
        <v/>
      </c>
      <c r="L600" s="13"/>
      <c r="M600" s="21" t="s">
        <v>45</v>
      </c>
    </row>
    <row r="601" ht="22.5" customHeight="1">
      <c r="B601" s="13">
        <f t="shared" si="3"/>
        <v>594</v>
      </c>
      <c r="C601" s="24"/>
      <c r="D601" s="14" t="str">
        <f t="array" ref="D601">IF(C601="","",IFNA(_xlfn.XLOOKUP(C601,'a 01'!$C$6:$C$999,'a 01'!$D$6:$D$999),""))</f>
        <v/>
      </c>
      <c r="E601" s="18" t="str">
        <f t="array" ref="E601">_xlfn.XLOOKUP(D601,Table_Warkah[Kode Tiket],Table_Warkah[Jenis Permohonan],"")</f>
        <v/>
      </c>
      <c r="F601" s="24"/>
      <c r="G601" s="24"/>
      <c r="H601" s="13" t="str">
        <f t="shared" si="1"/>
        <v/>
      </c>
      <c r="I601" s="18"/>
      <c r="J601" s="20" t="b">
        <v>0</v>
      </c>
      <c r="K601" s="13" t="str">
        <f t="shared" si="2"/>
        <v/>
      </c>
      <c r="L601" s="13"/>
      <c r="M601" s="21" t="s">
        <v>45</v>
      </c>
    </row>
    <row r="602" ht="22.5" customHeight="1">
      <c r="B602" s="13">
        <f t="shared" si="3"/>
        <v>595</v>
      </c>
      <c r="C602" s="24"/>
      <c r="D602" s="14" t="str">
        <f t="array" ref="D602">IF(C602="","",IFNA(_xlfn.XLOOKUP(C602,'a 01'!$C$6:$C$999,'a 01'!$D$6:$D$999),""))</f>
        <v/>
      </c>
      <c r="E602" s="18" t="str">
        <f t="array" ref="E602">_xlfn.XLOOKUP(D602,Table_Warkah[Kode Tiket],Table_Warkah[Jenis Permohonan],"")</f>
        <v/>
      </c>
      <c r="F602" s="24"/>
      <c r="G602" s="24"/>
      <c r="H602" s="13" t="str">
        <f t="shared" si="1"/>
        <v/>
      </c>
      <c r="I602" s="18"/>
      <c r="J602" s="20" t="b">
        <v>0</v>
      </c>
      <c r="K602" s="13" t="str">
        <f t="shared" si="2"/>
        <v/>
      </c>
      <c r="L602" s="13"/>
      <c r="M602" s="21" t="s">
        <v>45</v>
      </c>
    </row>
    <row r="603" ht="22.5" customHeight="1">
      <c r="B603" s="13">
        <f t="shared" si="3"/>
        <v>596</v>
      </c>
      <c r="C603" s="24"/>
      <c r="D603" s="14" t="str">
        <f t="array" ref="D603">IF(C603="","",IFNA(_xlfn.XLOOKUP(C603,'a 01'!$C$6:$C$999,'a 01'!$D$6:$D$999),""))</f>
        <v/>
      </c>
      <c r="E603" s="18" t="str">
        <f t="array" ref="E603">_xlfn.XLOOKUP(D603,Table_Warkah[Kode Tiket],Table_Warkah[Jenis Permohonan],"")</f>
        <v/>
      </c>
      <c r="F603" s="24"/>
      <c r="G603" s="24"/>
      <c r="H603" s="13" t="str">
        <f t="shared" si="1"/>
        <v/>
      </c>
      <c r="I603" s="18"/>
      <c r="J603" s="20" t="b">
        <v>0</v>
      </c>
      <c r="K603" s="13" t="str">
        <f t="shared" si="2"/>
        <v/>
      </c>
      <c r="L603" s="13"/>
      <c r="M603" s="21" t="s">
        <v>45</v>
      </c>
    </row>
    <row r="604" ht="22.5" customHeight="1">
      <c r="B604" s="13">
        <f t="shared" si="3"/>
        <v>597</v>
      </c>
      <c r="C604" s="24"/>
      <c r="D604" s="14" t="str">
        <f t="array" ref="D604">IF(C604="","",IFNA(_xlfn.XLOOKUP(C604,'a 01'!$C$6:$C$999,'a 01'!$D$6:$D$999),""))</f>
        <v/>
      </c>
      <c r="E604" s="18" t="str">
        <f t="array" ref="E604">_xlfn.XLOOKUP(D604,Table_Warkah[Kode Tiket],Table_Warkah[Jenis Permohonan],"")</f>
        <v/>
      </c>
      <c r="F604" s="24"/>
      <c r="G604" s="24"/>
      <c r="H604" s="13" t="str">
        <f t="shared" si="1"/>
        <v/>
      </c>
      <c r="I604" s="18"/>
      <c r="J604" s="20" t="b">
        <v>0</v>
      </c>
      <c r="K604" s="13" t="str">
        <f t="shared" si="2"/>
        <v/>
      </c>
      <c r="L604" s="13"/>
      <c r="M604" s="21" t="s">
        <v>45</v>
      </c>
    </row>
    <row r="605" ht="22.5" customHeight="1">
      <c r="B605" s="13">
        <f t="shared" si="3"/>
        <v>598</v>
      </c>
      <c r="C605" s="24"/>
      <c r="D605" s="14" t="str">
        <f t="array" ref="D605">IF(C605="","",IFNA(_xlfn.XLOOKUP(C605,'a 01'!$C$6:$C$999,'a 01'!$D$6:$D$999),""))</f>
        <v/>
      </c>
      <c r="E605" s="18" t="str">
        <f t="array" ref="E605">_xlfn.XLOOKUP(D605,Table_Warkah[Kode Tiket],Table_Warkah[Jenis Permohonan],"")</f>
        <v/>
      </c>
      <c r="F605" s="24"/>
      <c r="G605" s="24"/>
      <c r="H605" s="13" t="str">
        <f t="shared" si="1"/>
        <v/>
      </c>
      <c r="I605" s="18"/>
      <c r="J605" s="20" t="b">
        <v>0</v>
      </c>
      <c r="K605" s="13" t="str">
        <f t="shared" si="2"/>
        <v/>
      </c>
      <c r="L605" s="13"/>
      <c r="M605" s="21" t="s">
        <v>45</v>
      </c>
    </row>
    <row r="606" ht="22.5" customHeight="1">
      <c r="B606" s="13">
        <f t="shared" si="3"/>
        <v>599</v>
      </c>
      <c r="C606" s="24"/>
      <c r="D606" s="14" t="str">
        <f t="array" ref="D606">IF(C606="","",IFNA(_xlfn.XLOOKUP(C606,'a 01'!$C$6:$C$999,'a 01'!$D$6:$D$999),""))</f>
        <v/>
      </c>
      <c r="E606" s="18" t="str">
        <f t="array" ref="E606">_xlfn.XLOOKUP(D606,Table_Warkah[Kode Tiket],Table_Warkah[Jenis Permohonan],"")</f>
        <v/>
      </c>
      <c r="F606" s="24"/>
      <c r="G606" s="24"/>
      <c r="H606" s="13" t="str">
        <f t="shared" si="1"/>
        <v/>
      </c>
      <c r="I606" s="18"/>
      <c r="J606" s="20" t="b">
        <v>0</v>
      </c>
      <c r="K606" s="13" t="str">
        <f t="shared" si="2"/>
        <v/>
      </c>
      <c r="L606" s="13"/>
      <c r="M606" s="21" t="s">
        <v>45</v>
      </c>
    </row>
    <row r="607" ht="22.5" customHeight="1">
      <c r="B607" s="13">
        <f t="shared" si="3"/>
        <v>600</v>
      </c>
      <c r="C607" s="24"/>
      <c r="D607" s="14" t="str">
        <f t="array" ref="D607">IF(C607="","",IFNA(_xlfn.XLOOKUP(C607,'a 01'!$C$6:$C$999,'a 01'!$D$6:$D$999),""))</f>
        <v/>
      </c>
      <c r="E607" s="18" t="str">
        <f t="array" ref="E607">_xlfn.XLOOKUP(D607,Table_Warkah[Kode Tiket],Table_Warkah[Jenis Permohonan],"")</f>
        <v/>
      </c>
      <c r="F607" s="24"/>
      <c r="G607" s="24"/>
      <c r="H607" s="13" t="str">
        <f t="shared" si="1"/>
        <v/>
      </c>
      <c r="I607" s="18"/>
      <c r="J607" s="20" t="b">
        <v>0</v>
      </c>
      <c r="K607" s="13" t="str">
        <f t="shared" si="2"/>
        <v/>
      </c>
      <c r="L607" s="13"/>
      <c r="M607" s="21" t="s">
        <v>45</v>
      </c>
    </row>
    <row r="608" ht="22.5" customHeight="1">
      <c r="B608" s="13">
        <f t="shared" si="3"/>
        <v>601</v>
      </c>
      <c r="C608" s="24"/>
      <c r="D608" s="14" t="str">
        <f t="array" ref="D608">IF(C608="","",IFNA(_xlfn.XLOOKUP(C608,'a 01'!$C$6:$C$999,'a 01'!$D$6:$D$999),""))</f>
        <v/>
      </c>
      <c r="E608" s="18" t="str">
        <f t="array" ref="E608">_xlfn.XLOOKUP(D608,Table_Warkah[Kode Tiket],Table_Warkah[Jenis Permohonan],"")</f>
        <v/>
      </c>
      <c r="F608" s="24"/>
      <c r="G608" s="24"/>
      <c r="H608" s="13" t="str">
        <f t="shared" si="1"/>
        <v/>
      </c>
      <c r="I608" s="18"/>
      <c r="J608" s="20" t="b">
        <v>0</v>
      </c>
      <c r="K608" s="13" t="str">
        <f t="shared" si="2"/>
        <v/>
      </c>
      <c r="L608" s="13"/>
      <c r="M608" s="21" t="s">
        <v>45</v>
      </c>
    </row>
    <row r="609" ht="22.5" customHeight="1">
      <c r="B609" s="13">
        <f t="shared" si="3"/>
        <v>602</v>
      </c>
      <c r="C609" s="24"/>
      <c r="D609" s="14" t="str">
        <f t="array" ref="D609">IF(C609="","",IFNA(_xlfn.XLOOKUP(C609,'a 01'!$C$6:$C$999,'a 01'!$D$6:$D$999),""))</f>
        <v/>
      </c>
      <c r="E609" s="18" t="str">
        <f t="array" ref="E609">_xlfn.XLOOKUP(D609,Table_Warkah[Kode Tiket],Table_Warkah[Jenis Permohonan],"")</f>
        <v/>
      </c>
      <c r="F609" s="24"/>
      <c r="G609" s="24"/>
      <c r="H609" s="13" t="str">
        <f t="shared" si="1"/>
        <v/>
      </c>
      <c r="I609" s="18"/>
      <c r="J609" s="20" t="b">
        <v>0</v>
      </c>
      <c r="K609" s="13" t="str">
        <f t="shared" si="2"/>
        <v/>
      </c>
      <c r="L609" s="13"/>
      <c r="M609" s="21" t="s">
        <v>45</v>
      </c>
    </row>
    <row r="610" ht="22.5" customHeight="1">
      <c r="B610" s="13">
        <f t="shared" si="3"/>
        <v>603</v>
      </c>
      <c r="C610" s="24"/>
      <c r="D610" s="14" t="str">
        <f t="array" ref="D610">IF(C610="","",IFNA(_xlfn.XLOOKUP(C610,'a 01'!$C$6:$C$999,'a 01'!$D$6:$D$999),""))</f>
        <v/>
      </c>
      <c r="E610" s="18" t="str">
        <f t="array" ref="E610">_xlfn.XLOOKUP(D610,Table_Warkah[Kode Tiket],Table_Warkah[Jenis Permohonan],"")</f>
        <v/>
      </c>
      <c r="F610" s="24"/>
      <c r="G610" s="24"/>
      <c r="H610" s="13" t="str">
        <f t="shared" si="1"/>
        <v/>
      </c>
      <c r="I610" s="18"/>
      <c r="J610" s="20" t="b">
        <v>0</v>
      </c>
      <c r="K610" s="13" t="str">
        <f t="shared" si="2"/>
        <v/>
      </c>
      <c r="L610" s="13"/>
      <c r="M610" s="21" t="s">
        <v>45</v>
      </c>
    </row>
    <row r="611" ht="22.5" customHeight="1">
      <c r="B611" s="13">
        <f t="shared" si="3"/>
        <v>604</v>
      </c>
      <c r="C611" s="24"/>
      <c r="D611" s="14" t="str">
        <f t="array" ref="D611">IF(C611="","",IFNA(_xlfn.XLOOKUP(C611,'a 01'!$C$6:$C$999,'a 01'!$D$6:$D$999),""))</f>
        <v/>
      </c>
      <c r="E611" s="18" t="str">
        <f t="array" ref="E611">_xlfn.XLOOKUP(D611,Table_Warkah[Kode Tiket],Table_Warkah[Jenis Permohonan],"")</f>
        <v/>
      </c>
      <c r="F611" s="24"/>
      <c r="G611" s="24"/>
      <c r="H611" s="13" t="str">
        <f t="shared" si="1"/>
        <v/>
      </c>
      <c r="I611" s="18"/>
      <c r="J611" s="20" t="b">
        <v>0</v>
      </c>
      <c r="K611" s="13" t="str">
        <f t="shared" si="2"/>
        <v/>
      </c>
      <c r="L611" s="13"/>
      <c r="M611" s="21" t="s">
        <v>45</v>
      </c>
    </row>
    <row r="612" ht="22.5" customHeight="1">
      <c r="B612" s="13">
        <f t="shared" si="3"/>
        <v>605</v>
      </c>
      <c r="C612" s="24"/>
      <c r="D612" s="14" t="str">
        <f t="array" ref="D612">IF(C612="","",IFNA(_xlfn.XLOOKUP(C612,'a 01'!$C$6:$C$999,'a 01'!$D$6:$D$999),""))</f>
        <v/>
      </c>
      <c r="E612" s="18" t="str">
        <f t="array" ref="E612">_xlfn.XLOOKUP(D612,Table_Warkah[Kode Tiket],Table_Warkah[Jenis Permohonan],"")</f>
        <v/>
      </c>
      <c r="F612" s="24"/>
      <c r="G612" s="24"/>
      <c r="H612" s="13" t="str">
        <f t="shared" si="1"/>
        <v/>
      </c>
      <c r="I612" s="18"/>
      <c r="J612" s="20" t="b">
        <v>0</v>
      </c>
      <c r="K612" s="13" t="str">
        <f t="shared" si="2"/>
        <v/>
      </c>
      <c r="L612" s="13"/>
      <c r="M612" s="21" t="s">
        <v>45</v>
      </c>
    </row>
    <row r="613" ht="22.5" customHeight="1">
      <c r="B613" s="13">
        <f t="shared" si="3"/>
        <v>606</v>
      </c>
      <c r="C613" s="24"/>
      <c r="D613" s="14" t="str">
        <f t="array" ref="D613">IF(C613="","",IFNA(_xlfn.XLOOKUP(C613,'a 01'!$C$6:$C$999,'a 01'!$D$6:$D$999),""))</f>
        <v/>
      </c>
      <c r="E613" s="18" t="str">
        <f t="array" ref="E613">_xlfn.XLOOKUP(D613,Table_Warkah[Kode Tiket],Table_Warkah[Jenis Permohonan],"")</f>
        <v/>
      </c>
      <c r="F613" s="24"/>
      <c r="G613" s="24"/>
      <c r="H613" s="13" t="str">
        <f t="shared" si="1"/>
        <v/>
      </c>
      <c r="I613" s="18"/>
      <c r="J613" s="20" t="b">
        <v>0</v>
      </c>
      <c r="K613" s="13" t="str">
        <f t="shared" si="2"/>
        <v/>
      </c>
      <c r="L613" s="13"/>
      <c r="M613" s="21" t="s">
        <v>45</v>
      </c>
    </row>
    <row r="614" ht="22.5" customHeight="1">
      <c r="B614" s="13">
        <f t="shared" si="3"/>
        <v>607</v>
      </c>
      <c r="C614" s="24"/>
      <c r="D614" s="14" t="str">
        <f t="array" ref="D614">IF(C614="","",IFNA(_xlfn.XLOOKUP(C614,'a 01'!$C$6:$C$999,'a 01'!$D$6:$D$999),""))</f>
        <v/>
      </c>
      <c r="E614" s="18" t="str">
        <f t="array" ref="E614">_xlfn.XLOOKUP(D614,Table_Warkah[Kode Tiket],Table_Warkah[Jenis Permohonan],"")</f>
        <v/>
      </c>
      <c r="F614" s="24"/>
      <c r="G614" s="24"/>
      <c r="H614" s="13" t="str">
        <f t="shared" si="1"/>
        <v/>
      </c>
      <c r="I614" s="18"/>
      <c r="J614" s="20" t="b">
        <v>0</v>
      </c>
      <c r="K614" s="13" t="str">
        <f t="shared" si="2"/>
        <v/>
      </c>
      <c r="L614" s="13"/>
      <c r="M614" s="21" t="s">
        <v>45</v>
      </c>
    </row>
    <row r="615" ht="22.5" customHeight="1">
      <c r="B615" s="13">
        <f t="shared" si="3"/>
        <v>608</v>
      </c>
      <c r="C615" s="24"/>
      <c r="D615" s="14" t="str">
        <f t="array" ref="D615">IF(C615="","",IFNA(_xlfn.XLOOKUP(C615,'a 01'!$C$6:$C$999,'a 01'!$D$6:$D$999),""))</f>
        <v/>
      </c>
      <c r="E615" s="18" t="str">
        <f t="array" ref="E615">_xlfn.XLOOKUP(D615,Table_Warkah[Kode Tiket],Table_Warkah[Jenis Permohonan],"")</f>
        <v/>
      </c>
      <c r="F615" s="24"/>
      <c r="G615" s="24"/>
      <c r="H615" s="13" t="str">
        <f t="shared" si="1"/>
        <v/>
      </c>
      <c r="I615" s="18"/>
      <c r="J615" s="20" t="b">
        <v>0</v>
      </c>
      <c r="K615" s="13" t="str">
        <f t="shared" si="2"/>
        <v/>
      </c>
      <c r="L615" s="13"/>
      <c r="M615" s="21" t="s">
        <v>45</v>
      </c>
    </row>
    <row r="616" ht="22.5" customHeight="1">
      <c r="B616" s="13">
        <f t="shared" si="3"/>
        <v>609</v>
      </c>
      <c r="C616" s="24"/>
      <c r="D616" s="14" t="str">
        <f t="array" ref="D616">IF(C616="","",IFNA(_xlfn.XLOOKUP(C616,'a 01'!$C$6:$C$999,'a 01'!$D$6:$D$999),""))</f>
        <v/>
      </c>
      <c r="E616" s="18" t="str">
        <f t="array" ref="E616">_xlfn.XLOOKUP(D616,Table_Warkah[Kode Tiket],Table_Warkah[Jenis Permohonan],"")</f>
        <v/>
      </c>
      <c r="F616" s="24"/>
      <c r="G616" s="24"/>
      <c r="H616" s="13" t="str">
        <f t="shared" si="1"/>
        <v/>
      </c>
      <c r="I616" s="18"/>
      <c r="J616" s="20" t="b">
        <v>0</v>
      </c>
      <c r="K616" s="13" t="str">
        <f t="shared" si="2"/>
        <v/>
      </c>
      <c r="L616" s="13"/>
      <c r="M616" s="21" t="s">
        <v>45</v>
      </c>
    </row>
    <row r="617" ht="22.5" customHeight="1">
      <c r="B617" s="13">
        <f t="shared" si="3"/>
        <v>610</v>
      </c>
      <c r="C617" s="24"/>
      <c r="D617" s="14" t="str">
        <f t="array" ref="D617">IF(C617="","",IFNA(_xlfn.XLOOKUP(C617,'a 01'!$C$6:$C$999,'a 01'!$D$6:$D$999),""))</f>
        <v/>
      </c>
      <c r="E617" s="18" t="str">
        <f t="array" ref="E617">_xlfn.XLOOKUP(D617,Table_Warkah[Kode Tiket],Table_Warkah[Jenis Permohonan],"")</f>
        <v/>
      </c>
      <c r="F617" s="24"/>
      <c r="G617" s="24"/>
      <c r="H617" s="13" t="str">
        <f t="shared" si="1"/>
        <v/>
      </c>
      <c r="I617" s="18"/>
      <c r="J617" s="20" t="b">
        <v>0</v>
      </c>
      <c r="K617" s="13" t="str">
        <f t="shared" si="2"/>
        <v/>
      </c>
      <c r="L617" s="13"/>
      <c r="M617" s="21" t="s">
        <v>45</v>
      </c>
    </row>
    <row r="618" ht="22.5" customHeight="1">
      <c r="B618" s="13">
        <f t="shared" si="3"/>
        <v>611</v>
      </c>
      <c r="C618" s="24"/>
      <c r="D618" s="14" t="str">
        <f t="array" ref="D618">IF(C618="","",IFNA(_xlfn.XLOOKUP(C618,'a 01'!$C$6:$C$999,'a 01'!$D$6:$D$999),""))</f>
        <v/>
      </c>
      <c r="E618" s="18" t="str">
        <f t="array" ref="E618">_xlfn.XLOOKUP(D618,Table_Warkah[Kode Tiket],Table_Warkah[Jenis Permohonan],"")</f>
        <v/>
      </c>
      <c r="F618" s="24"/>
      <c r="G618" s="24"/>
      <c r="H618" s="13" t="str">
        <f t="shared" si="1"/>
        <v/>
      </c>
      <c r="I618" s="18"/>
      <c r="J618" s="20" t="b">
        <v>0</v>
      </c>
      <c r="K618" s="13" t="str">
        <f t="shared" si="2"/>
        <v/>
      </c>
      <c r="L618" s="13"/>
      <c r="M618" s="21" t="s">
        <v>45</v>
      </c>
    </row>
    <row r="619" ht="22.5" customHeight="1">
      <c r="B619" s="13">
        <f t="shared" si="3"/>
        <v>612</v>
      </c>
      <c r="C619" s="24"/>
      <c r="D619" s="14" t="str">
        <f t="array" ref="D619">IF(C619="","",IFNA(_xlfn.XLOOKUP(C619,'a 01'!$C$6:$C$999,'a 01'!$D$6:$D$999),""))</f>
        <v/>
      </c>
      <c r="E619" s="18" t="str">
        <f t="array" ref="E619">_xlfn.XLOOKUP(D619,Table_Warkah[Kode Tiket],Table_Warkah[Jenis Permohonan],"")</f>
        <v/>
      </c>
      <c r="F619" s="24"/>
      <c r="G619" s="24"/>
      <c r="H619" s="13" t="str">
        <f t="shared" si="1"/>
        <v/>
      </c>
      <c r="I619" s="18"/>
      <c r="J619" s="20" t="b">
        <v>0</v>
      </c>
      <c r="K619" s="13" t="str">
        <f t="shared" si="2"/>
        <v/>
      </c>
      <c r="L619" s="13"/>
      <c r="M619" s="21" t="s">
        <v>45</v>
      </c>
    </row>
    <row r="620" ht="22.5" customHeight="1">
      <c r="B620" s="13">
        <f t="shared" si="3"/>
        <v>613</v>
      </c>
      <c r="C620" s="24"/>
      <c r="D620" s="14" t="str">
        <f t="array" ref="D620">IF(C620="","",IFNA(_xlfn.XLOOKUP(C620,'a 01'!$C$6:$C$999,'a 01'!$D$6:$D$999),""))</f>
        <v/>
      </c>
      <c r="E620" s="18" t="str">
        <f t="array" ref="E620">_xlfn.XLOOKUP(D620,Table_Warkah[Kode Tiket],Table_Warkah[Jenis Permohonan],"")</f>
        <v/>
      </c>
      <c r="F620" s="24"/>
      <c r="G620" s="24"/>
      <c r="H620" s="13" t="str">
        <f t="shared" si="1"/>
        <v/>
      </c>
      <c r="I620" s="18"/>
      <c r="J620" s="20" t="b">
        <v>0</v>
      </c>
      <c r="K620" s="13" t="str">
        <f t="shared" si="2"/>
        <v/>
      </c>
      <c r="L620" s="13"/>
      <c r="M620" s="21" t="s">
        <v>45</v>
      </c>
    </row>
    <row r="621" ht="22.5" customHeight="1">
      <c r="B621" s="13">
        <f t="shared" si="3"/>
        <v>614</v>
      </c>
      <c r="C621" s="24"/>
      <c r="D621" s="14" t="str">
        <f t="array" ref="D621">IF(C621="","",IFNA(_xlfn.XLOOKUP(C621,'a 01'!$C$6:$C$999,'a 01'!$D$6:$D$999),""))</f>
        <v/>
      </c>
      <c r="E621" s="18" t="str">
        <f t="array" ref="E621">_xlfn.XLOOKUP(D621,Table_Warkah[Kode Tiket],Table_Warkah[Jenis Permohonan],"")</f>
        <v/>
      </c>
      <c r="F621" s="24"/>
      <c r="G621" s="24"/>
      <c r="H621" s="13" t="str">
        <f t="shared" si="1"/>
        <v/>
      </c>
      <c r="I621" s="18"/>
      <c r="J621" s="20" t="b">
        <v>0</v>
      </c>
      <c r="K621" s="13" t="str">
        <f t="shared" si="2"/>
        <v/>
      </c>
      <c r="L621" s="13"/>
      <c r="M621" s="21" t="s">
        <v>45</v>
      </c>
    </row>
    <row r="622" ht="22.5" customHeight="1">
      <c r="B622" s="13">
        <f t="shared" si="3"/>
        <v>615</v>
      </c>
      <c r="C622" s="24"/>
      <c r="D622" s="14" t="str">
        <f t="array" ref="D622">IF(C622="","",IFNA(_xlfn.XLOOKUP(C622,'a 01'!$C$6:$C$999,'a 01'!$D$6:$D$999),""))</f>
        <v/>
      </c>
      <c r="E622" s="18" t="str">
        <f t="array" ref="E622">_xlfn.XLOOKUP(D622,Table_Warkah[Kode Tiket],Table_Warkah[Jenis Permohonan],"")</f>
        <v/>
      </c>
      <c r="F622" s="24"/>
      <c r="G622" s="24"/>
      <c r="H622" s="13" t="str">
        <f t="shared" si="1"/>
        <v/>
      </c>
      <c r="I622" s="18"/>
      <c r="J622" s="20" t="b">
        <v>0</v>
      </c>
      <c r="K622" s="13" t="str">
        <f t="shared" si="2"/>
        <v/>
      </c>
      <c r="L622" s="13"/>
      <c r="M622" s="21" t="s">
        <v>45</v>
      </c>
    </row>
    <row r="623" ht="22.5" customHeight="1">
      <c r="B623" s="13">
        <f t="shared" si="3"/>
        <v>616</v>
      </c>
      <c r="C623" s="24"/>
      <c r="D623" s="14" t="str">
        <f t="array" ref="D623">IF(C623="","",IFNA(_xlfn.XLOOKUP(C623,'a 01'!$C$6:$C$999,'a 01'!$D$6:$D$999),""))</f>
        <v/>
      </c>
      <c r="E623" s="18" t="str">
        <f t="array" ref="E623">_xlfn.XLOOKUP(D623,Table_Warkah[Kode Tiket],Table_Warkah[Jenis Permohonan],"")</f>
        <v/>
      </c>
      <c r="F623" s="24"/>
      <c r="G623" s="24"/>
      <c r="H623" s="13" t="str">
        <f t="shared" si="1"/>
        <v/>
      </c>
      <c r="I623" s="18"/>
      <c r="J623" s="20" t="b">
        <v>0</v>
      </c>
      <c r="K623" s="13" t="str">
        <f t="shared" si="2"/>
        <v/>
      </c>
      <c r="L623" s="13"/>
      <c r="M623" s="21" t="s">
        <v>45</v>
      </c>
    </row>
    <row r="624" ht="22.5" customHeight="1">
      <c r="B624" s="13">
        <f t="shared" si="3"/>
        <v>617</v>
      </c>
      <c r="C624" s="24"/>
      <c r="D624" s="14" t="str">
        <f t="array" ref="D624">IF(C624="","",IFNA(_xlfn.XLOOKUP(C624,'a 01'!$C$6:$C$999,'a 01'!$D$6:$D$999),""))</f>
        <v/>
      </c>
      <c r="E624" s="18" t="str">
        <f t="array" ref="E624">_xlfn.XLOOKUP(D624,Table_Warkah[Kode Tiket],Table_Warkah[Jenis Permohonan],"")</f>
        <v/>
      </c>
      <c r="F624" s="24"/>
      <c r="G624" s="24"/>
      <c r="H624" s="13" t="str">
        <f t="shared" si="1"/>
        <v/>
      </c>
      <c r="I624" s="18"/>
      <c r="J624" s="20" t="b">
        <v>0</v>
      </c>
      <c r="K624" s="13" t="str">
        <f t="shared" si="2"/>
        <v/>
      </c>
      <c r="L624" s="13"/>
      <c r="M624" s="21" t="s">
        <v>45</v>
      </c>
    </row>
    <row r="625" ht="22.5" customHeight="1">
      <c r="B625" s="13">
        <f t="shared" si="3"/>
        <v>618</v>
      </c>
      <c r="C625" s="24"/>
      <c r="D625" s="14" t="str">
        <f t="array" ref="D625">IF(C625="","",IFNA(_xlfn.XLOOKUP(C625,'a 01'!$C$6:$C$999,'a 01'!$D$6:$D$999),""))</f>
        <v/>
      </c>
      <c r="E625" s="18" t="str">
        <f t="array" ref="E625">_xlfn.XLOOKUP(D625,Table_Warkah[Kode Tiket],Table_Warkah[Jenis Permohonan],"")</f>
        <v/>
      </c>
      <c r="F625" s="24"/>
      <c r="G625" s="24"/>
      <c r="H625" s="13" t="str">
        <f t="shared" si="1"/>
        <v/>
      </c>
      <c r="I625" s="18"/>
      <c r="J625" s="20" t="b">
        <v>0</v>
      </c>
      <c r="K625" s="13" t="str">
        <f t="shared" si="2"/>
        <v/>
      </c>
      <c r="L625" s="13"/>
      <c r="M625" s="21" t="s">
        <v>45</v>
      </c>
    </row>
    <row r="626" ht="22.5" customHeight="1">
      <c r="B626" s="13">
        <f t="shared" si="3"/>
        <v>619</v>
      </c>
      <c r="C626" s="24"/>
      <c r="D626" s="14" t="str">
        <f t="array" ref="D626">IF(C626="","",IFNA(_xlfn.XLOOKUP(C626,'a 01'!$C$6:$C$999,'a 01'!$D$6:$D$999),""))</f>
        <v/>
      </c>
      <c r="E626" s="18" t="str">
        <f t="array" ref="E626">_xlfn.XLOOKUP(D626,Table_Warkah[Kode Tiket],Table_Warkah[Jenis Permohonan],"")</f>
        <v/>
      </c>
      <c r="F626" s="24"/>
      <c r="G626" s="24"/>
      <c r="H626" s="13" t="str">
        <f t="shared" si="1"/>
        <v/>
      </c>
      <c r="I626" s="18"/>
      <c r="J626" s="20" t="b">
        <v>0</v>
      </c>
      <c r="K626" s="13" t="str">
        <f t="shared" si="2"/>
        <v/>
      </c>
      <c r="L626" s="13"/>
      <c r="M626" s="21" t="s">
        <v>45</v>
      </c>
    </row>
    <row r="627" ht="22.5" customHeight="1">
      <c r="B627" s="13">
        <f t="shared" si="3"/>
        <v>620</v>
      </c>
      <c r="C627" s="24"/>
      <c r="D627" s="14" t="str">
        <f t="array" ref="D627">IF(C627="","",IFNA(_xlfn.XLOOKUP(C627,'a 01'!$C$6:$C$999,'a 01'!$D$6:$D$999),""))</f>
        <v/>
      </c>
      <c r="E627" s="18" t="str">
        <f t="array" ref="E627">_xlfn.XLOOKUP(D627,Table_Warkah[Kode Tiket],Table_Warkah[Jenis Permohonan],"")</f>
        <v/>
      </c>
      <c r="F627" s="24"/>
      <c r="G627" s="24"/>
      <c r="H627" s="13" t="str">
        <f t="shared" si="1"/>
        <v/>
      </c>
      <c r="I627" s="18"/>
      <c r="J627" s="20" t="b">
        <v>0</v>
      </c>
      <c r="K627" s="13" t="str">
        <f t="shared" si="2"/>
        <v/>
      </c>
      <c r="L627" s="13"/>
      <c r="M627" s="21" t="s">
        <v>45</v>
      </c>
    </row>
    <row r="628" ht="22.5" customHeight="1">
      <c r="B628" s="13">
        <f t="shared" si="3"/>
        <v>621</v>
      </c>
      <c r="C628" s="24"/>
      <c r="D628" s="14" t="str">
        <f t="array" ref="D628">IF(C628="","",IFNA(_xlfn.XLOOKUP(C628,'a 01'!$C$6:$C$999,'a 01'!$D$6:$D$999),""))</f>
        <v/>
      </c>
      <c r="E628" s="18" t="str">
        <f t="array" ref="E628">_xlfn.XLOOKUP(D628,Table_Warkah[Kode Tiket],Table_Warkah[Jenis Permohonan],"")</f>
        <v/>
      </c>
      <c r="F628" s="24"/>
      <c r="G628" s="24"/>
      <c r="H628" s="13" t="str">
        <f t="shared" si="1"/>
        <v/>
      </c>
      <c r="I628" s="18"/>
      <c r="J628" s="20" t="b">
        <v>0</v>
      </c>
      <c r="K628" s="13" t="str">
        <f t="shared" si="2"/>
        <v/>
      </c>
      <c r="L628" s="13"/>
      <c r="M628" s="21" t="s">
        <v>45</v>
      </c>
    </row>
    <row r="629" ht="22.5" customHeight="1">
      <c r="B629" s="13">
        <f t="shared" si="3"/>
        <v>622</v>
      </c>
      <c r="C629" s="24"/>
      <c r="D629" s="14" t="str">
        <f t="array" ref="D629">IF(C629="","",IFNA(_xlfn.XLOOKUP(C629,'a 01'!$C$6:$C$999,'a 01'!$D$6:$D$999),""))</f>
        <v/>
      </c>
      <c r="E629" s="18" t="str">
        <f t="array" ref="E629">_xlfn.XLOOKUP(D629,Table_Warkah[Kode Tiket],Table_Warkah[Jenis Permohonan],"")</f>
        <v/>
      </c>
      <c r="F629" s="24"/>
      <c r="G629" s="24"/>
      <c r="H629" s="13" t="str">
        <f t="shared" si="1"/>
        <v/>
      </c>
      <c r="I629" s="18"/>
      <c r="J629" s="20" t="b">
        <v>0</v>
      </c>
      <c r="K629" s="13" t="str">
        <f t="shared" si="2"/>
        <v/>
      </c>
      <c r="L629" s="13"/>
      <c r="M629" s="21" t="s">
        <v>45</v>
      </c>
    </row>
    <row r="630" ht="22.5" customHeight="1">
      <c r="B630" s="13">
        <f t="shared" si="3"/>
        <v>623</v>
      </c>
      <c r="C630" s="24"/>
      <c r="D630" s="14" t="str">
        <f t="array" ref="D630">IF(C630="","",IFNA(_xlfn.XLOOKUP(C630,'a 01'!$C$6:$C$999,'a 01'!$D$6:$D$999),""))</f>
        <v/>
      </c>
      <c r="E630" s="18" t="str">
        <f t="array" ref="E630">_xlfn.XLOOKUP(D630,Table_Warkah[Kode Tiket],Table_Warkah[Jenis Permohonan],"")</f>
        <v/>
      </c>
      <c r="F630" s="24"/>
      <c r="G630" s="24"/>
      <c r="H630" s="13" t="str">
        <f t="shared" si="1"/>
        <v/>
      </c>
      <c r="I630" s="18"/>
      <c r="J630" s="20" t="b">
        <v>0</v>
      </c>
      <c r="K630" s="13" t="str">
        <f t="shared" si="2"/>
        <v/>
      </c>
      <c r="L630" s="13"/>
      <c r="M630" s="21" t="s">
        <v>45</v>
      </c>
    </row>
    <row r="631" ht="22.5" customHeight="1">
      <c r="B631" s="13">
        <f t="shared" si="3"/>
        <v>624</v>
      </c>
      <c r="C631" s="24"/>
      <c r="D631" s="14" t="str">
        <f t="array" ref="D631">IF(C631="","",IFNA(_xlfn.XLOOKUP(C631,'a 01'!$C$6:$C$999,'a 01'!$D$6:$D$999),""))</f>
        <v/>
      </c>
      <c r="E631" s="18" t="str">
        <f t="array" ref="E631">_xlfn.XLOOKUP(D631,Table_Warkah[Kode Tiket],Table_Warkah[Jenis Permohonan],"")</f>
        <v/>
      </c>
      <c r="F631" s="24"/>
      <c r="G631" s="24"/>
      <c r="H631" s="13" t="str">
        <f t="shared" si="1"/>
        <v/>
      </c>
      <c r="I631" s="18"/>
      <c r="J631" s="20" t="b">
        <v>0</v>
      </c>
      <c r="K631" s="13" t="str">
        <f t="shared" si="2"/>
        <v/>
      </c>
      <c r="L631" s="13"/>
      <c r="M631" s="21" t="s">
        <v>45</v>
      </c>
    </row>
    <row r="632" ht="22.5" customHeight="1">
      <c r="B632" s="13">
        <f t="shared" si="3"/>
        <v>625</v>
      </c>
      <c r="C632" s="24"/>
      <c r="D632" s="14" t="str">
        <f t="array" ref="D632">IF(C632="","",IFNA(_xlfn.XLOOKUP(C632,'a 01'!$C$6:$C$999,'a 01'!$D$6:$D$999),""))</f>
        <v/>
      </c>
      <c r="E632" s="18" t="str">
        <f t="array" ref="E632">_xlfn.XLOOKUP(D632,Table_Warkah[Kode Tiket],Table_Warkah[Jenis Permohonan],"")</f>
        <v/>
      </c>
      <c r="F632" s="24"/>
      <c r="G632" s="24"/>
      <c r="H632" s="13" t="str">
        <f t="shared" si="1"/>
        <v/>
      </c>
      <c r="I632" s="18"/>
      <c r="J632" s="20" t="b">
        <v>0</v>
      </c>
      <c r="K632" s="13" t="str">
        <f t="shared" si="2"/>
        <v/>
      </c>
      <c r="L632" s="13"/>
      <c r="M632" s="21" t="s">
        <v>45</v>
      </c>
    </row>
    <row r="633" ht="22.5" customHeight="1">
      <c r="B633" s="13">
        <f t="shared" si="3"/>
        <v>626</v>
      </c>
      <c r="C633" s="24"/>
      <c r="D633" s="14" t="str">
        <f t="array" ref="D633">IF(C633="","",IFNA(_xlfn.XLOOKUP(C633,'a 01'!$C$6:$C$999,'a 01'!$D$6:$D$999),""))</f>
        <v/>
      </c>
      <c r="E633" s="18" t="str">
        <f t="array" ref="E633">_xlfn.XLOOKUP(D633,Table_Warkah[Kode Tiket],Table_Warkah[Jenis Permohonan],"")</f>
        <v/>
      </c>
      <c r="F633" s="24"/>
      <c r="G633" s="24"/>
      <c r="H633" s="13" t="str">
        <f t="shared" si="1"/>
        <v/>
      </c>
      <c r="I633" s="18"/>
      <c r="J633" s="20" t="b">
        <v>0</v>
      </c>
      <c r="K633" s="13" t="str">
        <f t="shared" si="2"/>
        <v/>
      </c>
      <c r="L633" s="13"/>
      <c r="M633" s="21" t="s">
        <v>45</v>
      </c>
    </row>
    <row r="634" ht="22.5" customHeight="1">
      <c r="B634" s="13">
        <f t="shared" si="3"/>
        <v>627</v>
      </c>
      <c r="C634" s="24"/>
      <c r="D634" s="14" t="str">
        <f t="array" ref="D634">IF(C634="","",IFNA(_xlfn.XLOOKUP(C634,'a 01'!$C$6:$C$999,'a 01'!$D$6:$D$999),""))</f>
        <v/>
      </c>
      <c r="E634" s="18" t="str">
        <f t="array" ref="E634">_xlfn.XLOOKUP(D634,Table_Warkah[Kode Tiket],Table_Warkah[Jenis Permohonan],"")</f>
        <v/>
      </c>
      <c r="F634" s="24"/>
      <c r="G634" s="24"/>
      <c r="H634" s="13" t="str">
        <f t="shared" si="1"/>
        <v/>
      </c>
      <c r="I634" s="18"/>
      <c r="J634" s="20" t="b">
        <v>0</v>
      </c>
      <c r="K634" s="13" t="str">
        <f t="shared" si="2"/>
        <v/>
      </c>
      <c r="L634" s="13"/>
      <c r="M634" s="21" t="s">
        <v>45</v>
      </c>
    </row>
    <row r="635" ht="22.5" customHeight="1">
      <c r="B635" s="13">
        <f t="shared" si="3"/>
        <v>628</v>
      </c>
      <c r="C635" s="24"/>
      <c r="D635" s="14" t="str">
        <f t="array" ref="D635">IF(C635="","",IFNA(_xlfn.XLOOKUP(C635,'a 01'!$C$6:$C$999,'a 01'!$D$6:$D$999),""))</f>
        <v/>
      </c>
      <c r="E635" s="18" t="str">
        <f t="array" ref="E635">_xlfn.XLOOKUP(D635,Table_Warkah[Kode Tiket],Table_Warkah[Jenis Permohonan],"")</f>
        <v/>
      </c>
      <c r="F635" s="24"/>
      <c r="G635" s="24"/>
      <c r="H635" s="13" t="str">
        <f t="shared" si="1"/>
        <v/>
      </c>
      <c r="I635" s="18"/>
      <c r="J635" s="20" t="b">
        <v>0</v>
      </c>
      <c r="K635" s="13" t="str">
        <f t="shared" si="2"/>
        <v/>
      </c>
      <c r="L635" s="13"/>
      <c r="M635" s="21" t="s">
        <v>45</v>
      </c>
    </row>
    <row r="636" ht="22.5" customHeight="1">
      <c r="B636" s="13">
        <f t="shared" si="3"/>
        <v>629</v>
      </c>
      <c r="C636" s="24"/>
      <c r="D636" s="14" t="str">
        <f t="array" ref="D636">IF(C636="","",IFNA(_xlfn.XLOOKUP(C636,'a 01'!$C$6:$C$999,'a 01'!$D$6:$D$999),""))</f>
        <v/>
      </c>
      <c r="E636" s="18" t="str">
        <f t="array" ref="E636">_xlfn.XLOOKUP(D636,Table_Warkah[Kode Tiket],Table_Warkah[Jenis Permohonan],"")</f>
        <v/>
      </c>
      <c r="F636" s="24"/>
      <c r="G636" s="24"/>
      <c r="H636" s="13" t="str">
        <f t="shared" si="1"/>
        <v/>
      </c>
      <c r="I636" s="18"/>
      <c r="J636" s="20" t="b">
        <v>0</v>
      </c>
      <c r="K636" s="13" t="str">
        <f t="shared" si="2"/>
        <v/>
      </c>
      <c r="L636" s="13"/>
      <c r="M636" s="21" t="s">
        <v>45</v>
      </c>
    </row>
    <row r="637" ht="22.5" customHeight="1">
      <c r="B637" s="13">
        <f t="shared" si="3"/>
        <v>630</v>
      </c>
      <c r="C637" s="24"/>
      <c r="D637" s="14" t="str">
        <f t="array" ref="D637">IF(C637="","",IFNA(_xlfn.XLOOKUP(C637,'a 01'!$C$6:$C$999,'a 01'!$D$6:$D$999),""))</f>
        <v/>
      </c>
      <c r="E637" s="18" t="str">
        <f t="array" ref="E637">_xlfn.XLOOKUP(D637,Table_Warkah[Kode Tiket],Table_Warkah[Jenis Permohonan],"")</f>
        <v/>
      </c>
      <c r="F637" s="24"/>
      <c r="G637" s="24"/>
      <c r="H637" s="13" t="str">
        <f t="shared" si="1"/>
        <v/>
      </c>
      <c r="I637" s="18"/>
      <c r="J637" s="20" t="b">
        <v>0</v>
      </c>
      <c r="K637" s="13" t="str">
        <f t="shared" si="2"/>
        <v/>
      </c>
      <c r="L637" s="13"/>
      <c r="M637" s="21" t="s">
        <v>45</v>
      </c>
    </row>
    <row r="638" ht="22.5" customHeight="1">
      <c r="B638" s="13">
        <f t="shared" si="3"/>
        <v>631</v>
      </c>
      <c r="C638" s="24"/>
      <c r="D638" s="14" t="str">
        <f t="array" ref="D638">IF(C638="","",IFNA(_xlfn.XLOOKUP(C638,'a 01'!$C$6:$C$999,'a 01'!$D$6:$D$999),""))</f>
        <v/>
      </c>
      <c r="E638" s="18" t="str">
        <f t="array" ref="E638">_xlfn.XLOOKUP(D638,Table_Warkah[Kode Tiket],Table_Warkah[Jenis Permohonan],"")</f>
        <v/>
      </c>
      <c r="F638" s="24"/>
      <c r="G638" s="24"/>
      <c r="H638" s="13" t="str">
        <f t="shared" si="1"/>
        <v/>
      </c>
      <c r="I638" s="18"/>
      <c r="J638" s="20" t="b">
        <v>0</v>
      </c>
      <c r="K638" s="13" t="str">
        <f t="shared" si="2"/>
        <v/>
      </c>
      <c r="L638" s="13"/>
      <c r="M638" s="21" t="s">
        <v>45</v>
      </c>
    </row>
    <row r="639" ht="22.5" customHeight="1">
      <c r="B639" s="13">
        <f t="shared" si="3"/>
        <v>632</v>
      </c>
      <c r="C639" s="24"/>
      <c r="D639" s="14" t="str">
        <f t="array" ref="D639">IF(C639="","",IFNA(_xlfn.XLOOKUP(C639,'a 01'!$C$6:$C$999,'a 01'!$D$6:$D$999),""))</f>
        <v/>
      </c>
      <c r="E639" s="18" t="str">
        <f t="array" ref="E639">_xlfn.XLOOKUP(D639,Table_Warkah[Kode Tiket],Table_Warkah[Jenis Permohonan],"")</f>
        <v/>
      </c>
      <c r="F639" s="24"/>
      <c r="G639" s="24"/>
      <c r="H639" s="13" t="str">
        <f t="shared" si="1"/>
        <v/>
      </c>
      <c r="I639" s="18"/>
      <c r="J639" s="20" t="b">
        <v>0</v>
      </c>
      <c r="K639" s="13" t="str">
        <f t="shared" si="2"/>
        <v/>
      </c>
      <c r="L639" s="13"/>
      <c r="M639" s="21" t="s">
        <v>45</v>
      </c>
    </row>
    <row r="640" ht="22.5" customHeight="1">
      <c r="B640" s="13">
        <f t="shared" si="3"/>
        <v>633</v>
      </c>
      <c r="C640" s="24"/>
      <c r="D640" s="14" t="str">
        <f t="array" ref="D640">IF(C640="","",IFNA(_xlfn.XLOOKUP(C640,'a 01'!$C$6:$C$999,'a 01'!$D$6:$D$999),""))</f>
        <v/>
      </c>
      <c r="E640" s="18" t="str">
        <f t="array" ref="E640">_xlfn.XLOOKUP(D640,Table_Warkah[Kode Tiket],Table_Warkah[Jenis Permohonan],"")</f>
        <v/>
      </c>
      <c r="F640" s="24"/>
      <c r="G640" s="24"/>
      <c r="H640" s="13" t="str">
        <f t="shared" si="1"/>
        <v/>
      </c>
      <c r="I640" s="18"/>
      <c r="J640" s="20" t="b">
        <v>0</v>
      </c>
      <c r="K640" s="13" t="str">
        <f t="shared" si="2"/>
        <v/>
      </c>
      <c r="L640" s="13"/>
      <c r="M640" s="21" t="s">
        <v>45</v>
      </c>
    </row>
    <row r="641" ht="22.5" customHeight="1">
      <c r="B641" s="13">
        <f t="shared" si="3"/>
        <v>634</v>
      </c>
      <c r="C641" s="24"/>
      <c r="D641" s="14" t="str">
        <f t="array" ref="D641">IF(C641="","",IFNA(_xlfn.XLOOKUP(C641,'a 01'!$C$6:$C$999,'a 01'!$D$6:$D$999),""))</f>
        <v/>
      </c>
      <c r="E641" s="18" t="str">
        <f t="array" ref="E641">_xlfn.XLOOKUP(D641,Table_Warkah[Kode Tiket],Table_Warkah[Jenis Permohonan],"")</f>
        <v/>
      </c>
      <c r="F641" s="24"/>
      <c r="G641" s="24"/>
      <c r="H641" s="13" t="str">
        <f t="shared" si="1"/>
        <v/>
      </c>
      <c r="I641" s="18"/>
      <c r="J641" s="20" t="b">
        <v>0</v>
      </c>
      <c r="K641" s="13" t="str">
        <f t="shared" si="2"/>
        <v/>
      </c>
      <c r="L641" s="13"/>
      <c r="M641" s="21" t="s">
        <v>45</v>
      </c>
    </row>
    <row r="642" ht="22.5" customHeight="1">
      <c r="B642" s="13">
        <f t="shared" si="3"/>
        <v>635</v>
      </c>
      <c r="C642" s="24"/>
      <c r="D642" s="14" t="str">
        <f t="array" ref="D642">IF(C642="","",IFNA(_xlfn.XLOOKUP(C642,'a 01'!$C$6:$C$999,'a 01'!$D$6:$D$999),""))</f>
        <v/>
      </c>
      <c r="E642" s="18" t="str">
        <f t="array" ref="E642">_xlfn.XLOOKUP(D642,Table_Warkah[Kode Tiket],Table_Warkah[Jenis Permohonan],"")</f>
        <v/>
      </c>
      <c r="F642" s="24"/>
      <c r="G642" s="24"/>
      <c r="H642" s="13" t="str">
        <f t="shared" si="1"/>
        <v/>
      </c>
      <c r="I642" s="18"/>
      <c r="J642" s="20" t="b">
        <v>0</v>
      </c>
      <c r="K642" s="13" t="str">
        <f t="shared" si="2"/>
        <v/>
      </c>
      <c r="L642" s="13"/>
      <c r="M642" s="21" t="s">
        <v>45</v>
      </c>
    </row>
    <row r="643" ht="22.5" customHeight="1">
      <c r="B643" s="13">
        <f t="shared" si="3"/>
        <v>636</v>
      </c>
      <c r="C643" s="24"/>
      <c r="D643" s="14" t="str">
        <f t="array" ref="D643">IF(C643="","",IFNA(_xlfn.XLOOKUP(C643,'a 01'!$C$6:$C$999,'a 01'!$D$6:$D$999),""))</f>
        <v/>
      </c>
      <c r="E643" s="18" t="str">
        <f t="array" ref="E643">_xlfn.XLOOKUP(D643,Table_Warkah[Kode Tiket],Table_Warkah[Jenis Permohonan],"")</f>
        <v/>
      </c>
      <c r="F643" s="24"/>
      <c r="G643" s="24"/>
      <c r="H643" s="13" t="str">
        <f t="shared" si="1"/>
        <v/>
      </c>
      <c r="I643" s="18"/>
      <c r="J643" s="20" t="b">
        <v>0</v>
      </c>
      <c r="K643" s="13" t="str">
        <f t="shared" si="2"/>
        <v/>
      </c>
      <c r="L643" s="13"/>
      <c r="M643" s="21" t="s">
        <v>45</v>
      </c>
    </row>
    <row r="644" ht="22.5" customHeight="1">
      <c r="B644" s="13">
        <f t="shared" si="3"/>
        <v>637</v>
      </c>
      <c r="C644" s="24"/>
      <c r="D644" s="14" t="str">
        <f t="array" ref="D644">IF(C644="","",IFNA(_xlfn.XLOOKUP(C644,'a 01'!$C$6:$C$999,'a 01'!$D$6:$D$999),""))</f>
        <v/>
      </c>
      <c r="E644" s="18" t="str">
        <f t="array" ref="E644">_xlfn.XLOOKUP(D644,Table_Warkah[Kode Tiket],Table_Warkah[Jenis Permohonan],"")</f>
        <v/>
      </c>
      <c r="F644" s="24"/>
      <c r="G644" s="24"/>
      <c r="H644" s="13" t="str">
        <f t="shared" si="1"/>
        <v/>
      </c>
      <c r="I644" s="18"/>
      <c r="J644" s="20" t="b">
        <v>0</v>
      </c>
      <c r="K644" s="13" t="str">
        <f t="shared" si="2"/>
        <v/>
      </c>
      <c r="L644" s="13"/>
      <c r="M644" s="21" t="s">
        <v>45</v>
      </c>
    </row>
    <row r="645" ht="22.5" customHeight="1">
      <c r="B645" s="13">
        <f t="shared" si="3"/>
        <v>638</v>
      </c>
      <c r="C645" s="24"/>
      <c r="D645" s="14" t="str">
        <f t="array" ref="D645">IF(C645="","",IFNA(_xlfn.XLOOKUP(C645,'a 01'!$C$6:$C$999,'a 01'!$D$6:$D$999),""))</f>
        <v/>
      </c>
      <c r="E645" s="18" t="str">
        <f t="array" ref="E645">_xlfn.XLOOKUP(D645,Table_Warkah[Kode Tiket],Table_Warkah[Jenis Permohonan],"")</f>
        <v/>
      </c>
      <c r="F645" s="24"/>
      <c r="G645" s="24"/>
      <c r="H645" s="13" t="str">
        <f t="shared" si="1"/>
        <v/>
      </c>
      <c r="I645" s="18"/>
      <c r="J645" s="20" t="b">
        <v>0</v>
      </c>
      <c r="K645" s="13" t="str">
        <f t="shared" si="2"/>
        <v/>
      </c>
      <c r="L645" s="13"/>
      <c r="M645" s="21" t="s">
        <v>45</v>
      </c>
    </row>
    <row r="646" ht="22.5" customHeight="1">
      <c r="B646" s="13">
        <f t="shared" si="3"/>
        <v>639</v>
      </c>
      <c r="C646" s="24"/>
      <c r="D646" s="14" t="str">
        <f t="array" ref="D646">IF(C646="","",IFNA(_xlfn.XLOOKUP(C646,'a 01'!$C$6:$C$999,'a 01'!$D$6:$D$999),""))</f>
        <v/>
      </c>
      <c r="E646" s="18" t="str">
        <f t="array" ref="E646">_xlfn.XLOOKUP(D646,Table_Warkah[Kode Tiket],Table_Warkah[Jenis Permohonan],"")</f>
        <v/>
      </c>
      <c r="F646" s="24"/>
      <c r="G646" s="24"/>
      <c r="H646" s="13" t="str">
        <f t="shared" si="1"/>
        <v/>
      </c>
      <c r="I646" s="18"/>
      <c r="J646" s="20" t="b">
        <v>0</v>
      </c>
      <c r="K646" s="13" t="str">
        <f t="shared" si="2"/>
        <v/>
      </c>
      <c r="L646" s="13"/>
      <c r="M646" s="21" t="s">
        <v>45</v>
      </c>
    </row>
    <row r="647" ht="22.5" customHeight="1">
      <c r="B647" s="13">
        <f t="shared" si="3"/>
        <v>640</v>
      </c>
      <c r="C647" s="24"/>
      <c r="D647" s="14" t="str">
        <f t="array" ref="D647">IF(C647="","",IFNA(_xlfn.XLOOKUP(C647,'a 01'!$C$6:$C$999,'a 01'!$D$6:$D$999),""))</f>
        <v/>
      </c>
      <c r="E647" s="18" t="str">
        <f t="array" ref="E647">_xlfn.XLOOKUP(D647,Table_Warkah[Kode Tiket],Table_Warkah[Jenis Permohonan],"")</f>
        <v/>
      </c>
      <c r="F647" s="24"/>
      <c r="G647" s="24"/>
      <c r="H647" s="13" t="str">
        <f t="shared" si="1"/>
        <v/>
      </c>
      <c r="I647" s="18"/>
      <c r="J647" s="20" t="b">
        <v>0</v>
      </c>
      <c r="K647" s="13" t="str">
        <f t="shared" si="2"/>
        <v/>
      </c>
      <c r="L647" s="13"/>
      <c r="M647" s="21" t="s">
        <v>45</v>
      </c>
    </row>
    <row r="648" ht="22.5" customHeight="1">
      <c r="B648" s="13">
        <f t="shared" si="3"/>
        <v>641</v>
      </c>
      <c r="C648" s="24"/>
      <c r="D648" s="14" t="str">
        <f t="array" ref="D648">IF(C648="","",IFNA(_xlfn.XLOOKUP(C648,'a 01'!$C$6:$C$999,'a 01'!$D$6:$D$999),""))</f>
        <v/>
      </c>
      <c r="E648" s="18" t="str">
        <f t="array" ref="E648">_xlfn.XLOOKUP(D648,Table_Warkah[Kode Tiket],Table_Warkah[Jenis Permohonan],"")</f>
        <v/>
      </c>
      <c r="F648" s="24"/>
      <c r="G648" s="24"/>
      <c r="H648" s="13" t="str">
        <f t="shared" si="1"/>
        <v/>
      </c>
      <c r="I648" s="18"/>
      <c r="J648" s="20" t="b">
        <v>0</v>
      </c>
      <c r="K648" s="13" t="str">
        <f t="shared" si="2"/>
        <v/>
      </c>
      <c r="L648" s="13"/>
      <c r="M648" s="21" t="s">
        <v>45</v>
      </c>
    </row>
    <row r="649" ht="22.5" customHeight="1">
      <c r="B649" s="13">
        <f t="shared" si="3"/>
        <v>642</v>
      </c>
      <c r="C649" s="24"/>
      <c r="D649" s="14" t="str">
        <f t="array" ref="D649">IF(C649="","",IFNA(_xlfn.XLOOKUP(C649,'a 01'!$C$6:$C$999,'a 01'!$D$6:$D$999),""))</f>
        <v/>
      </c>
      <c r="E649" s="18" t="str">
        <f t="array" ref="E649">_xlfn.XLOOKUP(D649,Table_Warkah[Kode Tiket],Table_Warkah[Jenis Permohonan],"")</f>
        <v/>
      </c>
      <c r="F649" s="24"/>
      <c r="G649" s="24"/>
      <c r="H649" s="13" t="str">
        <f t="shared" si="1"/>
        <v/>
      </c>
      <c r="I649" s="18"/>
      <c r="J649" s="20" t="b">
        <v>0</v>
      </c>
      <c r="K649" s="13" t="str">
        <f t="shared" si="2"/>
        <v/>
      </c>
      <c r="L649" s="13"/>
      <c r="M649" s="21" t="s">
        <v>45</v>
      </c>
    </row>
    <row r="650" ht="22.5" customHeight="1">
      <c r="B650" s="13">
        <f t="shared" si="3"/>
        <v>643</v>
      </c>
      <c r="C650" s="24"/>
      <c r="D650" s="14" t="str">
        <f t="array" ref="D650">IF(C650="","",IFNA(_xlfn.XLOOKUP(C650,'a 01'!$C$6:$C$999,'a 01'!$D$6:$D$999),""))</f>
        <v/>
      </c>
      <c r="E650" s="18" t="str">
        <f t="array" ref="E650">_xlfn.XLOOKUP(D650,Table_Warkah[Kode Tiket],Table_Warkah[Jenis Permohonan],"")</f>
        <v/>
      </c>
      <c r="F650" s="24"/>
      <c r="G650" s="24"/>
      <c r="H650" s="13" t="str">
        <f t="shared" si="1"/>
        <v/>
      </c>
      <c r="I650" s="18"/>
      <c r="J650" s="20" t="b">
        <v>0</v>
      </c>
      <c r="K650" s="13" t="str">
        <f t="shared" si="2"/>
        <v/>
      </c>
      <c r="L650" s="13"/>
      <c r="M650" s="21" t="s">
        <v>45</v>
      </c>
    </row>
    <row r="651" ht="22.5" customHeight="1">
      <c r="B651" s="13">
        <f t="shared" si="3"/>
        <v>644</v>
      </c>
      <c r="C651" s="24"/>
      <c r="D651" s="14" t="str">
        <f t="array" ref="D651">IF(C651="","",IFNA(_xlfn.XLOOKUP(C651,'a 01'!$C$6:$C$999,'a 01'!$D$6:$D$999),""))</f>
        <v/>
      </c>
      <c r="E651" s="18" t="str">
        <f t="array" ref="E651">_xlfn.XLOOKUP(D651,Table_Warkah[Kode Tiket],Table_Warkah[Jenis Permohonan],"")</f>
        <v/>
      </c>
      <c r="F651" s="24"/>
      <c r="G651" s="24"/>
      <c r="H651" s="13" t="str">
        <f t="shared" si="1"/>
        <v/>
      </c>
      <c r="I651" s="18"/>
      <c r="J651" s="20" t="b">
        <v>0</v>
      </c>
      <c r="K651" s="13" t="str">
        <f t="shared" si="2"/>
        <v/>
      </c>
      <c r="L651" s="13"/>
      <c r="M651" s="21" t="s">
        <v>45</v>
      </c>
    </row>
    <row r="652" ht="22.5" customHeight="1">
      <c r="B652" s="13">
        <f t="shared" si="3"/>
        <v>645</v>
      </c>
      <c r="C652" s="24"/>
      <c r="D652" s="14" t="str">
        <f t="array" ref="D652">IF(C652="","",IFNA(_xlfn.XLOOKUP(C652,'a 01'!$C$6:$C$999,'a 01'!$D$6:$D$999),""))</f>
        <v/>
      </c>
      <c r="E652" s="18" t="str">
        <f t="array" ref="E652">_xlfn.XLOOKUP(D652,Table_Warkah[Kode Tiket],Table_Warkah[Jenis Permohonan],"")</f>
        <v/>
      </c>
      <c r="F652" s="24"/>
      <c r="G652" s="24"/>
      <c r="H652" s="13" t="str">
        <f t="shared" si="1"/>
        <v/>
      </c>
      <c r="I652" s="18"/>
      <c r="J652" s="20" t="b">
        <v>0</v>
      </c>
      <c r="K652" s="13" t="str">
        <f t="shared" si="2"/>
        <v/>
      </c>
      <c r="L652" s="13"/>
      <c r="M652" s="21" t="s">
        <v>45</v>
      </c>
    </row>
    <row r="653" ht="22.5" customHeight="1">
      <c r="B653" s="13">
        <f t="shared" si="3"/>
        <v>646</v>
      </c>
      <c r="C653" s="24"/>
      <c r="D653" s="14" t="str">
        <f t="array" ref="D653">IF(C653="","",IFNA(_xlfn.XLOOKUP(C653,'a 01'!$C$6:$C$999,'a 01'!$D$6:$D$999),""))</f>
        <v/>
      </c>
      <c r="E653" s="18" t="str">
        <f t="array" ref="E653">_xlfn.XLOOKUP(D653,Table_Warkah[Kode Tiket],Table_Warkah[Jenis Permohonan],"")</f>
        <v/>
      </c>
      <c r="F653" s="24"/>
      <c r="G653" s="24"/>
      <c r="H653" s="13" t="str">
        <f t="shared" si="1"/>
        <v/>
      </c>
      <c r="I653" s="18"/>
      <c r="J653" s="20" t="b">
        <v>0</v>
      </c>
      <c r="K653" s="13" t="str">
        <f t="shared" si="2"/>
        <v/>
      </c>
      <c r="L653" s="13"/>
      <c r="M653" s="21" t="s">
        <v>45</v>
      </c>
    </row>
    <row r="654" ht="22.5" customHeight="1">
      <c r="B654" s="13">
        <f t="shared" si="3"/>
        <v>647</v>
      </c>
      <c r="C654" s="24"/>
      <c r="D654" s="14" t="str">
        <f t="array" ref="D654">IF(C654="","",IFNA(_xlfn.XLOOKUP(C654,'a 01'!$C$6:$C$999,'a 01'!$D$6:$D$999),""))</f>
        <v/>
      </c>
      <c r="E654" s="18" t="str">
        <f t="array" ref="E654">_xlfn.XLOOKUP(D654,Table_Warkah[Kode Tiket],Table_Warkah[Jenis Permohonan],"")</f>
        <v/>
      </c>
      <c r="F654" s="24"/>
      <c r="G654" s="24"/>
      <c r="H654" s="13" t="str">
        <f t="shared" si="1"/>
        <v/>
      </c>
      <c r="I654" s="18"/>
      <c r="J654" s="20" t="b">
        <v>0</v>
      </c>
      <c r="K654" s="13" t="str">
        <f t="shared" si="2"/>
        <v/>
      </c>
      <c r="L654" s="13"/>
      <c r="M654" s="21" t="s">
        <v>45</v>
      </c>
    </row>
    <row r="655" ht="22.5" customHeight="1">
      <c r="B655" s="13">
        <f t="shared" si="3"/>
        <v>648</v>
      </c>
      <c r="C655" s="24"/>
      <c r="D655" s="14" t="str">
        <f t="array" ref="D655">IF(C655="","",IFNA(_xlfn.XLOOKUP(C655,'a 01'!$C$6:$C$999,'a 01'!$D$6:$D$999),""))</f>
        <v/>
      </c>
      <c r="E655" s="18" t="str">
        <f t="array" ref="E655">_xlfn.XLOOKUP(D655,Table_Warkah[Kode Tiket],Table_Warkah[Jenis Permohonan],"")</f>
        <v/>
      </c>
      <c r="F655" s="24"/>
      <c r="G655" s="24"/>
      <c r="H655" s="13" t="str">
        <f t="shared" si="1"/>
        <v/>
      </c>
      <c r="I655" s="18"/>
      <c r="J655" s="20" t="b">
        <v>0</v>
      </c>
      <c r="K655" s="13" t="str">
        <f t="shared" si="2"/>
        <v/>
      </c>
      <c r="L655" s="13"/>
      <c r="M655" s="21" t="s">
        <v>45</v>
      </c>
    </row>
    <row r="656" ht="22.5" customHeight="1">
      <c r="B656" s="13">
        <f t="shared" si="3"/>
        <v>649</v>
      </c>
      <c r="C656" s="24"/>
      <c r="D656" s="14" t="str">
        <f t="array" ref="D656">IF(C656="","",IFNA(_xlfn.XLOOKUP(C656,'a 01'!$C$6:$C$999,'a 01'!$D$6:$D$999),""))</f>
        <v/>
      </c>
      <c r="E656" s="18" t="str">
        <f t="array" ref="E656">_xlfn.XLOOKUP(D656,Table_Warkah[Kode Tiket],Table_Warkah[Jenis Permohonan],"")</f>
        <v/>
      </c>
      <c r="F656" s="24"/>
      <c r="G656" s="24"/>
      <c r="H656" s="13" t="str">
        <f t="shared" si="1"/>
        <v/>
      </c>
      <c r="I656" s="18"/>
      <c r="J656" s="20" t="b">
        <v>0</v>
      </c>
      <c r="K656" s="13" t="str">
        <f t="shared" si="2"/>
        <v/>
      </c>
      <c r="L656" s="13"/>
      <c r="M656" s="21" t="s">
        <v>45</v>
      </c>
    </row>
    <row r="657" ht="22.5" customHeight="1">
      <c r="B657" s="13">
        <f t="shared" si="3"/>
        <v>650</v>
      </c>
      <c r="C657" s="24"/>
      <c r="D657" s="14" t="str">
        <f t="array" ref="D657">IF(C657="","",IFNA(_xlfn.XLOOKUP(C657,'a 01'!$C$6:$C$999,'a 01'!$D$6:$D$999),""))</f>
        <v/>
      </c>
      <c r="E657" s="18" t="str">
        <f t="array" ref="E657">_xlfn.XLOOKUP(D657,Table_Warkah[Kode Tiket],Table_Warkah[Jenis Permohonan],"")</f>
        <v/>
      </c>
      <c r="F657" s="24"/>
      <c r="G657" s="24"/>
      <c r="H657" s="13" t="str">
        <f t="shared" si="1"/>
        <v/>
      </c>
      <c r="I657" s="18"/>
      <c r="J657" s="20" t="b">
        <v>0</v>
      </c>
      <c r="K657" s="13" t="str">
        <f t="shared" si="2"/>
        <v/>
      </c>
      <c r="L657" s="13"/>
      <c r="M657" s="21" t="s">
        <v>45</v>
      </c>
    </row>
    <row r="658" ht="22.5" customHeight="1">
      <c r="B658" s="13">
        <f t="shared" si="3"/>
        <v>651</v>
      </c>
      <c r="C658" s="24"/>
      <c r="D658" s="14" t="str">
        <f t="array" ref="D658">IF(C658="","",IFNA(_xlfn.XLOOKUP(C658,'a 01'!$C$6:$C$999,'a 01'!$D$6:$D$999),""))</f>
        <v/>
      </c>
      <c r="E658" s="18" t="str">
        <f t="array" ref="E658">_xlfn.XLOOKUP(D658,Table_Warkah[Kode Tiket],Table_Warkah[Jenis Permohonan],"")</f>
        <v/>
      </c>
      <c r="F658" s="24"/>
      <c r="G658" s="24"/>
      <c r="H658" s="13" t="str">
        <f t="shared" si="1"/>
        <v/>
      </c>
      <c r="I658" s="18"/>
      <c r="J658" s="20" t="b">
        <v>0</v>
      </c>
      <c r="K658" s="13" t="str">
        <f t="shared" si="2"/>
        <v/>
      </c>
      <c r="L658" s="13"/>
      <c r="M658" s="21" t="s">
        <v>45</v>
      </c>
    </row>
    <row r="659" ht="22.5" customHeight="1">
      <c r="B659" s="13">
        <f t="shared" si="3"/>
        <v>652</v>
      </c>
      <c r="C659" s="24"/>
      <c r="D659" s="14" t="str">
        <f t="array" ref="D659">IF(C659="","",IFNA(_xlfn.XLOOKUP(C659,'a 01'!$C$6:$C$999,'a 01'!$D$6:$D$999),""))</f>
        <v/>
      </c>
      <c r="E659" s="18" t="str">
        <f t="array" ref="E659">_xlfn.XLOOKUP(D659,Table_Warkah[Kode Tiket],Table_Warkah[Jenis Permohonan],"")</f>
        <v/>
      </c>
      <c r="F659" s="24"/>
      <c r="G659" s="24"/>
      <c r="H659" s="13" t="str">
        <f t="shared" si="1"/>
        <v/>
      </c>
      <c r="I659" s="18"/>
      <c r="J659" s="20" t="b">
        <v>0</v>
      </c>
      <c r="K659" s="13" t="str">
        <f t="shared" si="2"/>
        <v/>
      </c>
      <c r="L659" s="13"/>
      <c r="M659" s="21" t="s">
        <v>45</v>
      </c>
    </row>
    <row r="660" ht="22.5" customHeight="1">
      <c r="B660" s="13">
        <f t="shared" si="3"/>
        <v>653</v>
      </c>
      <c r="C660" s="24"/>
      <c r="D660" s="14" t="str">
        <f t="array" ref="D660">IF(C660="","",IFNA(_xlfn.XLOOKUP(C660,'a 01'!$C$6:$C$999,'a 01'!$D$6:$D$999),""))</f>
        <v/>
      </c>
      <c r="E660" s="18" t="str">
        <f t="array" ref="E660">_xlfn.XLOOKUP(D660,Table_Warkah[Kode Tiket],Table_Warkah[Jenis Permohonan],"")</f>
        <v/>
      </c>
      <c r="F660" s="24"/>
      <c r="G660" s="24"/>
      <c r="H660" s="13" t="str">
        <f t="shared" si="1"/>
        <v/>
      </c>
      <c r="I660" s="18"/>
      <c r="J660" s="20" t="b">
        <v>0</v>
      </c>
      <c r="K660" s="13" t="str">
        <f t="shared" si="2"/>
        <v/>
      </c>
      <c r="L660" s="13"/>
      <c r="M660" s="21" t="s">
        <v>45</v>
      </c>
    </row>
    <row r="661" ht="22.5" customHeight="1">
      <c r="B661" s="13">
        <f t="shared" si="3"/>
        <v>654</v>
      </c>
      <c r="C661" s="24"/>
      <c r="D661" s="14" t="str">
        <f t="array" ref="D661">IF(C661="","",IFNA(_xlfn.XLOOKUP(C661,'a 01'!$C$6:$C$999,'a 01'!$D$6:$D$999),""))</f>
        <v/>
      </c>
      <c r="E661" s="18" t="str">
        <f t="array" ref="E661">_xlfn.XLOOKUP(D661,Table_Warkah[Kode Tiket],Table_Warkah[Jenis Permohonan],"")</f>
        <v/>
      </c>
      <c r="F661" s="24"/>
      <c r="G661" s="24"/>
      <c r="H661" s="13" t="str">
        <f t="shared" si="1"/>
        <v/>
      </c>
      <c r="I661" s="18"/>
      <c r="J661" s="20" t="b">
        <v>0</v>
      </c>
      <c r="K661" s="13" t="str">
        <f t="shared" si="2"/>
        <v/>
      </c>
      <c r="L661" s="13"/>
      <c r="M661" s="21" t="s">
        <v>45</v>
      </c>
    </row>
    <row r="662" ht="22.5" customHeight="1">
      <c r="B662" s="13">
        <f t="shared" si="3"/>
        <v>655</v>
      </c>
      <c r="C662" s="24"/>
      <c r="D662" s="14" t="str">
        <f t="array" ref="D662">IF(C662="","",IFNA(_xlfn.XLOOKUP(C662,'a 01'!$C$6:$C$999,'a 01'!$D$6:$D$999),""))</f>
        <v/>
      </c>
      <c r="E662" s="18" t="str">
        <f t="array" ref="E662">_xlfn.XLOOKUP(D662,Table_Warkah[Kode Tiket],Table_Warkah[Jenis Permohonan],"")</f>
        <v/>
      </c>
      <c r="F662" s="24"/>
      <c r="G662" s="24"/>
      <c r="H662" s="13" t="str">
        <f t="shared" si="1"/>
        <v/>
      </c>
      <c r="I662" s="18"/>
      <c r="J662" s="20" t="b">
        <v>0</v>
      </c>
      <c r="K662" s="13" t="str">
        <f t="shared" si="2"/>
        <v/>
      </c>
      <c r="L662" s="13"/>
      <c r="M662" s="21" t="s">
        <v>45</v>
      </c>
    </row>
    <row r="663" ht="22.5" customHeight="1">
      <c r="B663" s="13">
        <f t="shared" si="3"/>
        <v>656</v>
      </c>
      <c r="C663" s="24"/>
      <c r="D663" s="14" t="str">
        <f t="array" ref="D663">IF(C663="","",IFNA(_xlfn.XLOOKUP(C663,'a 01'!$C$6:$C$999,'a 01'!$D$6:$D$999),""))</f>
        <v/>
      </c>
      <c r="E663" s="18" t="str">
        <f t="array" ref="E663">_xlfn.XLOOKUP(D663,Table_Warkah[Kode Tiket],Table_Warkah[Jenis Permohonan],"")</f>
        <v/>
      </c>
      <c r="F663" s="24"/>
      <c r="G663" s="24"/>
      <c r="H663" s="13" t="str">
        <f t="shared" si="1"/>
        <v/>
      </c>
      <c r="I663" s="18"/>
      <c r="J663" s="20" t="b">
        <v>0</v>
      </c>
      <c r="K663" s="13" t="str">
        <f t="shared" si="2"/>
        <v/>
      </c>
      <c r="L663" s="13"/>
      <c r="M663" s="21" t="s">
        <v>45</v>
      </c>
    </row>
    <row r="664" ht="22.5" customHeight="1">
      <c r="B664" s="13">
        <f t="shared" si="3"/>
        <v>657</v>
      </c>
      <c r="C664" s="24"/>
      <c r="D664" s="14" t="str">
        <f t="array" ref="D664">IF(C664="","",IFNA(_xlfn.XLOOKUP(C664,'a 01'!$C$6:$C$999,'a 01'!$D$6:$D$999),""))</f>
        <v/>
      </c>
      <c r="E664" s="18" t="str">
        <f t="array" ref="E664">_xlfn.XLOOKUP(D664,Table_Warkah[Kode Tiket],Table_Warkah[Jenis Permohonan],"")</f>
        <v/>
      </c>
      <c r="F664" s="24"/>
      <c r="G664" s="24"/>
      <c r="H664" s="13" t="str">
        <f t="shared" si="1"/>
        <v/>
      </c>
      <c r="I664" s="18"/>
      <c r="J664" s="20" t="b">
        <v>0</v>
      </c>
      <c r="K664" s="13" t="str">
        <f t="shared" si="2"/>
        <v/>
      </c>
      <c r="L664" s="13"/>
      <c r="M664" s="21" t="s">
        <v>45</v>
      </c>
    </row>
    <row r="665" ht="22.5" customHeight="1">
      <c r="B665" s="13">
        <f t="shared" si="3"/>
        <v>658</v>
      </c>
      <c r="C665" s="24"/>
      <c r="D665" s="14" t="str">
        <f t="array" ref="D665">IF(C665="","",IFNA(_xlfn.XLOOKUP(C665,'a 01'!$C$6:$C$999,'a 01'!$D$6:$D$999),""))</f>
        <v/>
      </c>
      <c r="E665" s="18" t="str">
        <f t="array" ref="E665">_xlfn.XLOOKUP(D665,Table_Warkah[Kode Tiket],Table_Warkah[Jenis Permohonan],"")</f>
        <v/>
      </c>
      <c r="F665" s="24"/>
      <c r="G665" s="24"/>
      <c r="H665" s="13" t="str">
        <f t="shared" si="1"/>
        <v/>
      </c>
      <c r="I665" s="18"/>
      <c r="J665" s="20" t="b">
        <v>0</v>
      </c>
      <c r="K665" s="13" t="str">
        <f t="shared" si="2"/>
        <v/>
      </c>
      <c r="L665" s="13"/>
      <c r="M665" s="21" t="s">
        <v>45</v>
      </c>
    </row>
    <row r="666" ht="22.5" customHeight="1">
      <c r="B666" s="13">
        <f t="shared" si="3"/>
        <v>659</v>
      </c>
      <c r="C666" s="24"/>
      <c r="D666" s="14" t="str">
        <f t="array" ref="D666">IF(C666="","",IFNA(_xlfn.XLOOKUP(C666,'a 01'!$C$6:$C$999,'a 01'!$D$6:$D$999),""))</f>
        <v/>
      </c>
      <c r="E666" s="18" t="str">
        <f t="array" ref="E666">_xlfn.XLOOKUP(D666,Table_Warkah[Kode Tiket],Table_Warkah[Jenis Permohonan],"")</f>
        <v/>
      </c>
      <c r="F666" s="24"/>
      <c r="G666" s="24"/>
      <c r="H666" s="13" t="str">
        <f t="shared" si="1"/>
        <v/>
      </c>
      <c r="I666" s="18"/>
      <c r="J666" s="20" t="b">
        <v>0</v>
      </c>
      <c r="K666" s="13" t="str">
        <f t="shared" si="2"/>
        <v/>
      </c>
      <c r="L666" s="13"/>
      <c r="M666" s="21" t="s">
        <v>45</v>
      </c>
    </row>
    <row r="667" ht="22.5" customHeight="1">
      <c r="B667" s="13">
        <f t="shared" si="3"/>
        <v>660</v>
      </c>
      <c r="C667" s="24"/>
      <c r="D667" s="14" t="str">
        <f t="array" ref="D667">IF(C667="","",IFNA(_xlfn.XLOOKUP(C667,'a 01'!$C$6:$C$999,'a 01'!$D$6:$D$999),""))</f>
        <v/>
      </c>
      <c r="E667" s="18" t="str">
        <f t="array" ref="E667">_xlfn.XLOOKUP(D667,Table_Warkah[Kode Tiket],Table_Warkah[Jenis Permohonan],"")</f>
        <v/>
      </c>
      <c r="F667" s="24"/>
      <c r="G667" s="24"/>
      <c r="H667" s="13" t="str">
        <f t="shared" si="1"/>
        <v/>
      </c>
      <c r="I667" s="18"/>
      <c r="J667" s="20" t="b">
        <v>0</v>
      </c>
      <c r="K667" s="13" t="str">
        <f t="shared" si="2"/>
        <v/>
      </c>
      <c r="L667" s="13"/>
      <c r="M667" s="21" t="s">
        <v>45</v>
      </c>
    </row>
    <row r="668" ht="22.5" customHeight="1">
      <c r="B668" s="13">
        <f t="shared" si="3"/>
        <v>661</v>
      </c>
      <c r="C668" s="24"/>
      <c r="D668" s="14" t="str">
        <f t="array" ref="D668">IF(C668="","",IFNA(_xlfn.XLOOKUP(C668,'a 01'!$C$6:$C$999,'a 01'!$D$6:$D$999),""))</f>
        <v/>
      </c>
      <c r="E668" s="18" t="str">
        <f t="array" ref="E668">_xlfn.XLOOKUP(D668,Table_Warkah[Kode Tiket],Table_Warkah[Jenis Permohonan],"")</f>
        <v/>
      </c>
      <c r="F668" s="24"/>
      <c r="G668" s="24"/>
      <c r="H668" s="13" t="str">
        <f t="shared" si="1"/>
        <v/>
      </c>
      <c r="I668" s="18"/>
      <c r="J668" s="20" t="b">
        <v>0</v>
      </c>
      <c r="K668" s="13" t="str">
        <f t="shared" si="2"/>
        <v/>
      </c>
      <c r="L668" s="13"/>
      <c r="M668" s="21" t="s">
        <v>45</v>
      </c>
    </row>
    <row r="669" ht="22.5" customHeight="1">
      <c r="B669" s="13">
        <f t="shared" si="3"/>
        <v>662</v>
      </c>
      <c r="C669" s="24"/>
      <c r="D669" s="14" t="str">
        <f t="array" ref="D669">IF(C669="","",IFNA(_xlfn.XLOOKUP(C669,'a 01'!$C$6:$C$999,'a 01'!$D$6:$D$999),""))</f>
        <v/>
      </c>
      <c r="E669" s="18" t="str">
        <f t="array" ref="E669">_xlfn.XLOOKUP(D669,Table_Warkah[Kode Tiket],Table_Warkah[Jenis Permohonan],"")</f>
        <v/>
      </c>
      <c r="F669" s="24"/>
      <c r="G669" s="24"/>
      <c r="H669" s="13" t="str">
        <f t="shared" si="1"/>
        <v/>
      </c>
      <c r="I669" s="18"/>
      <c r="J669" s="20" t="b">
        <v>0</v>
      </c>
      <c r="K669" s="13" t="str">
        <f t="shared" si="2"/>
        <v/>
      </c>
      <c r="L669" s="13"/>
      <c r="M669" s="21" t="s">
        <v>45</v>
      </c>
    </row>
    <row r="670" ht="22.5" customHeight="1">
      <c r="B670" s="13">
        <f t="shared" si="3"/>
        <v>663</v>
      </c>
      <c r="C670" s="24"/>
      <c r="D670" s="14" t="str">
        <f t="array" ref="D670">IF(C670="","",IFNA(_xlfn.XLOOKUP(C670,'a 01'!$C$6:$C$999,'a 01'!$D$6:$D$999),""))</f>
        <v/>
      </c>
      <c r="E670" s="18" t="str">
        <f t="array" ref="E670">_xlfn.XLOOKUP(D670,Table_Warkah[Kode Tiket],Table_Warkah[Jenis Permohonan],"")</f>
        <v/>
      </c>
      <c r="F670" s="24"/>
      <c r="G670" s="24"/>
      <c r="H670" s="13" t="str">
        <f t="shared" si="1"/>
        <v/>
      </c>
      <c r="I670" s="18"/>
      <c r="J670" s="20" t="b">
        <v>0</v>
      </c>
      <c r="K670" s="13" t="str">
        <f t="shared" si="2"/>
        <v/>
      </c>
      <c r="L670" s="13"/>
      <c r="M670" s="21" t="s">
        <v>45</v>
      </c>
    </row>
    <row r="671" ht="22.5" customHeight="1">
      <c r="B671" s="13">
        <f t="shared" si="3"/>
        <v>664</v>
      </c>
      <c r="C671" s="24"/>
      <c r="D671" s="14" t="str">
        <f t="array" ref="D671">IF(C671="","",IFNA(_xlfn.XLOOKUP(C671,'a 01'!$C$6:$C$999,'a 01'!$D$6:$D$999),""))</f>
        <v/>
      </c>
      <c r="E671" s="18" t="str">
        <f t="array" ref="E671">_xlfn.XLOOKUP(D671,Table_Warkah[Kode Tiket],Table_Warkah[Jenis Permohonan],"")</f>
        <v/>
      </c>
      <c r="F671" s="24"/>
      <c r="G671" s="24"/>
      <c r="H671" s="13" t="str">
        <f t="shared" si="1"/>
        <v/>
      </c>
      <c r="I671" s="18"/>
      <c r="J671" s="20" t="b">
        <v>0</v>
      </c>
      <c r="K671" s="13" t="str">
        <f t="shared" si="2"/>
        <v/>
      </c>
      <c r="L671" s="13"/>
      <c r="M671" s="21" t="s">
        <v>45</v>
      </c>
    </row>
    <row r="672" ht="22.5" customHeight="1">
      <c r="B672" s="13">
        <f t="shared" si="3"/>
        <v>665</v>
      </c>
      <c r="C672" s="24"/>
      <c r="D672" s="14" t="str">
        <f t="array" ref="D672">IF(C672="","",IFNA(_xlfn.XLOOKUP(C672,'a 01'!$C$6:$C$999,'a 01'!$D$6:$D$999),""))</f>
        <v/>
      </c>
      <c r="E672" s="18" t="str">
        <f t="array" ref="E672">_xlfn.XLOOKUP(D672,Table_Warkah[Kode Tiket],Table_Warkah[Jenis Permohonan],"")</f>
        <v/>
      </c>
      <c r="F672" s="24"/>
      <c r="G672" s="24"/>
      <c r="H672" s="13" t="str">
        <f t="shared" si="1"/>
        <v/>
      </c>
      <c r="I672" s="18"/>
      <c r="J672" s="20" t="b">
        <v>0</v>
      </c>
      <c r="K672" s="13" t="str">
        <f t="shared" si="2"/>
        <v/>
      </c>
      <c r="L672" s="13"/>
      <c r="M672" s="21" t="s">
        <v>45</v>
      </c>
    </row>
    <row r="673" ht="22.5" customHeight="1">
      <c r="B673" s="13">
        <f t="shared" si="3"/>
        <v>666</v>
      </c>
      <c r="C673" s="24"/>
      <c r="D673" s="14" t="str">
        <f t="array" ref="D673">IF(C673="","",IFNA(_xlfn.XLOOKUP(C673,'a 01'!$C$6:$C$999,'a 01'!$D$6:$D$999),""))</f>
        <v/>
      </c>
      <c r="E673" s="18" t="str">
        <f t="array" ref="E673">_xlfn.XLOOKUP(D673,Table_Warkah[Kode Tiket],Table_Warkah[Jenis Permohonan],"")</f>
        <v/>
      </c>
      <c r="F673" s="24"/>
      <c r="G673" s="24"/>
      <c r="H673" s="13" t="str">
        <f t="shared" si="1"/>
        <v/>
      </c>
      <c r="I673" s="18"/>
      <c r="J673" s="20" t="b">
        <v>0</v>
      </c>
      <c r="K673" s="13" t="str">
        <f t="shared" si="2"/>
        <v/>
      </c>
      <c r="L673" s="13"/>
      <c r="M673" s="21" t="s">
        <v>45</v>
      </c>
    </row>
    <row r="674" ht="22.5" customHeight="1">
      <c r="B674" s="13">
        <f t="shared" si="3"/>
        <v>667</v>
      </c>
      <c r="C674" s="24"/>
      <c r="D674" s="14" t="str">
        <f t="array" ref="D674">IF(C674="","",IFNA(_xlfn.XLOOKUP(C674,'a 01'!$C$6:$C$999,'a 01'!$D$6:$D$999),""))</f>
        <v/>
      </c>
      <c r="E674" s="18" t="str">
        <f t="array" ref="E674">_xlfn.XLOOKUP(D674,Table_Warkah[Kode Tiket],Table_Warkah[Jenis Permohonan],"")</f>
        <v/>
      </c>
      <c r="F674" s="24"/>
      <c r="G674" s="24"/>
      <c r="H674" s="13" t="str">
        <f t="shared" si="1"/>
        <v/>
      </c>
      <c r="I674" s="18"/>
      <c r="J674" s="20" t="b">
        <v>0</v>
      </c>
      <c r="K674" s="13" t="str">
        <f t="shared" si="2"/>
        <v/>
      </c>
      <c r="L674" s="13"/>
      <c r="M674" s="21" t="s">
        <v>45</v>
      </c>
    </row>
    <row r="675" ht="22.5" customHeight="1">
      <c r="B675" s="13">
        <f t="shared" si="3"/>
        <v>668</v>
      </c>
      <c r="C675" s="24"/>
      <c r="D675" s="14" t="str">
        <f t="array" ref="D675">IF(C675="","",IFNA(_xlfn.XLOOKUP(C675,'a 01'!$C$6:$C$999,'a 01'!$D$6:$D$999),""))</f>
        <v/>
      </c>
      <c r="E675" s="18" t="str">
        <f t="array" ref="E675">_xlfn.XLOOKUP(D675,Table_Warkah[Kode Tiket],Table_Warkah[Jenis Permohonan],"")</f>
        <v/>
      </c>
      <c r="F675" s="24"/>
      <c r="G675" s="24"/>
      <c r="H675" s="13" t="str">
        <f t="shared" si="1"/>
        <v/>
      </c>
      <c r="I675" s="18"/>
      <c r="J675" s="20" t="b">
        <v>0</v>
      </c>
      <c r="K675" s="13" t="str">
        <f t="shared" si="2"/>
        <v/>
      </c>
      <c r="L675" s="13"/>
      <c r="M675" s="21" t="s">
        <v>45</v>
      </c>
    </row>
    <row r="676" ht="22.5" customHeight="1">
      <c r="B676" s="13">
        <f t="shared" si="3"/>
        <v>669</v>
      </c>
      <c r="C676" s="24"/>
      <c r="D676" s="14" t="str">
        <f t="array" ref="D676">IF(C676="","",IFNA(_xlfn.XLOOKUP(C676,'a 01'!$C$6:$C$999,'a 01'!$D$6:$D$999),""))</f>
        <v/>
      </c>
      <c r="E676" s="18" t="str">
        <f t="array" ref="E676">_xlfn.XLOOKUP(D676,Table_Warkah[Kode Tiket],Table_Warkah[Jenis Permohonan],"")</f>
        <v/>
      </c>
      <c r="F676" s="24"/>
      <c r="G676" s="24"/>
      <c r="H676" s="13" t="str">
        <f t="shared" si="1"/>
        <v/>
      </c>
      <c r="I676" s="18"/>
      <c r="J676" s="20" t="b">
        <v>0</v>
      </c>
      <c r="K676" s="13" t="str">
        <f t="shared" si="2"/>
        <v/>
      </c>
      <c r="L676" s="13"/>
      <c r="M676" s="21" t="s">
        <v>45</v>
      </c>
    </row>
    <row r="677" ht="22.5" customHeight="1">
      <c r="B677" s="13">
        <f t="shared" si="3"/>
        <v>670</v>
      </c>
      <c r="C677" s="24"/>
      <c r="D677" s="14" t="str">
        <f t="array" ref="D677">IF(C677="","",IFNA(_xlfn.XLOOKUP(C677,'a 01'!$C$6:$C$999,'a 01'!$D$6:$D$999),""))</f>
        <v/>
      </c>
      <c r="E677" s="18" t="str">
        <f t="array" ref="E677">_xlfn.XLOOKUP(D677,Table_Warkah[Kode Tiket],Table_Warkah[Jenis Permohonan],"")</f>
        <v/>
      </c>
      <c r="F677" s="24"/>
      <c r="G677" s="24"/>
      <c r="H677" s="13" t="str">
        <f t="shared" si="1"/>
        <v/>
      </c>
      <c r="I677" s="18"/>
      <c r="J677" s="20" t="b">
        <v>0</v>
      </c>
      <c r="K677" s="13" t="str">
        <f t="shared" si="2"/>
        <v/>
      </c>
      <c r="L677" s="13"/>
      <c r="M677" s="21" t="s">
        <v>45</v>
      </c>
    </row>
    <row r="678" ht="22.5" customHeight="1">
      <c r="B678" s="13">
        <f t="shared" si="3"/>
        <v>671</v>
      </c>
      <c r="C678" s="24"/>
      <c r="D678" s="14" t="str">
        <f t="array" ref="D678">IF(C678="","",IFNA(_xlfn.XLOOKUP(C678,'a 01'!$C$6:$C$999,'a 01'!$D$6:$D$999),""))</f>
        <v/>
      </c>
      <c r="E678" s="18" t="str">
        <f t="array" ref="E678">_xlfn.XLOOKUP(D678,Table_Warkah[Kode Tiket],Table_Warkah[Jenis Permohonan],"")</f>
        <v/>
      </c>
      <c r="F678" s="24"/>
      <c r="G678" s="24"/>
      <c r="H678" s="13" t="str">
        <f t="shared" si="1"/>
        <v/>
      </c>
      <c r="I678" s="18"/>
      <c r="J678" s="20" t="b">
        <v>0</v>
      </c>
      <c r="K678" s="13" t="str">
        <f t="shared" si="2"/>
        <v/>
      </c>
      <c r="L678" s="13"/>
      <c r="M678" s="21" t="s">
        <v>45</v>
      </c>
    </row>
    <row r="679" ht="22.5" customHeight="1">
      <c r="B679" s="13">
        <f t="shared" si="3"/>
        <v>672</v>
      </c>
      <c r="C679" s="24"/>
      <c r="D679" s="14" t="str">
        <f t="array" ref="D679">IF(C679="","",IFNA(_xlfn.XLOOKUP(C679,'a 01'!$C$6:$C$999,'a 01'!$D$6:$D$999),""))</f>
        <v/>
      </c>
      <c r="E679" s="18" t="str">
        <f t="array" ref="E679">_xlfn.XLOOKUP(D679,Table_Warkah[Kode Tiket],Table_Warkah[Jenis Permohonan],"")</f>
        <v/>
      </c>
      <c r="F679" s="24"/>
      <c r="G679" s="24"/>
      <c r="H679" s="13" t="str">
        <f t="shared" si="1"/>
        <v/>
      </c>
      <c r="I679" s="18"/>
      <c r="J679" s="20" t="b">
        <v>0</v>
      </c>
      <c r="K679" s="13" t="str">
        <f t="shared" si="2"/>
        <v/>
      </c>
      <c r="L679" s="13"/>
      <c r="M679" s="21" t="s">
        <v>45</v>
      </c>
    </row>
    <row r="680" ht="22.5" customHeight="1">
      <c r="B680" s="13">
        <f t="shared" si="3"/>
        <v>673</v>
      </c>
      <c r="C680" s="24"/>
      <c r="D680" s="14" t="str">
        <f t="array" ref="D680">IF(C680="","",IFNA(_xlfn.XLOOKUP(C680,'a 01'!$C$6:$C$999,'a 01'!$D$6:$D$999),""))</f>
        <v/>
      </c>
      <c r="E680" s="18" t="str">
        <f t="array" ref="E680">_xlfn.XLOOKUP(D680,Table_Warkah[Kode Tiket],Table_Warkah[Jenis Permohonan],"")</f>
        <v/>
      </c>
      <c r="F680" s="24"/>
      <c r="G680" s="24"/>
      <c r="H680" s="13" t="str">
        <f t="shared" si="1"/>
        <v/>
      </c>
      <c r="I680" s="18"/>
      <c r="J680" s="20" t="b">
        <v>0</v>
      </c>
      <c r="K680" s="13" t="str">
        <f t="shared" si="2"/>
        <v/>
      </c>
      <c r="L680" s="13"/>
      <c r="M680" s="21" t="s">
        <v>45</v>
      </c>
    </row>
    <row r="681" ht="22.5" customHeight="1">
      <c r="B681" s="13">
        <f t="shared" si="3"/>
        <v>674</v>
      </c>
      <c r="C681" s="24"/>
      <c r="D681" s="14" t="str">
        <f t="array" ref="D681">IF(C681="","",IFNA(_xlfn.XLOOKUP(C681,'a 01'!$C$6:$C$999,'a 01'!$D$6:$D$999),""))</f>
        <v/>
      </c>
      <c r="E681" s="18" t="str">
        <f t="array" ref="E681">_xlfn.XLOOKUP(D681,Table_Warkah[Kode Tiket],Table_Warkah[Jenis Permohonan],"")</f>
        <v/>
      </c>
      <c r="F681" s="24"/>
      <c r="G681" s="24"/>
      <c r="H681" s="13" t="str">
        <f t="shared" si="1"/>
        <v/>
      </c>
      <c r="I681" s="18"/>
      <c r="J681" s="20" t="b">
        <v>0</v>
      </c>
      <c r="K681" s="13" t="str">
        <f t="shared" si="2"/>
        <v/>
      </c>
      <c r="L681" s="13"/>
      <c r="M681" s="21" t="s">
        <v>45</v>
      </c>
    </row>
    <row r="682" ht="22.5" customHeight="1">
      <c r="B682" s="13">
        <f t="shared" si="3"/>
        <v>675</v>
      </c>
      <c r="C682" s="24"/>
      <c r="D682" s="14" t="str">
        <f t="array" ref="D682">IF(C682="","",IFNA(_xlfn.XLOOKUP(C682,'a 01'!$C$6:$C$999,'a 01'!$D$6:$D$999),""))</f>
        <v/>
      </c>
      <c r="E682" s="18" t="str">
        <f t="array" ref="E682">_xlfn.XLOOKUP(D682,Table_Warkah[Kode Tiket],Table_Warkah[Jenis Permohonan],"")</f>
        <v/>
      </c>
      <c r="F682" s="24"/>
      <c r="G682" s="24"/>
      <c r="H682" s="13" t="str">
        <f t="shared" si="1"/>
        <v/>
      </c>
      <c r="I682" s="18"/>
      <c r="J682" s="20" t="b">
        <v>0</v>
      </c>
      <c r="K682" s="13" t="str">
        <f t="shared" si="2"/>
        <v/>
      </c>
      <c r="L682" s="13"/>
      <c r="M682" s="21" t="s">
        <v>45</v>
      </c>
    </row>
    <row r="683" ht="22.5" customHeight="1">
      <c r="B683" s="13">
        <f t="shared" si="3"/>
        <v>676</v>
      </c>
      <c r="C683" s="24"/>
      <c r="D683" s="14" t="str">
        <f t="array" ref="D683">IF(C683="","",IFNA(_xlfn.XLOOKUP(C683,'a 01'!$C$6:$C$999,'a 01'!$D$6:$D$999),""))</f>
        <v/>
      </c>
      <c r="E683" s="18" t="str">
        <f t="array" ref="E683">_xlfn.XLOOKUP(D683,Table_Warkah[Kode Tiket],Table_Warkah[Jenis Permohonan],"")</f>
        <v/>
      </c>
      <c r="F683" s="24"/>
      <c r="G683" s="24"/>
      <c r="H683" s="13" t="str">
        <f t="shared" si="1"/>
        <v/>
      </c>
      <c r="I683" s="18"/>
      <c r="J683" s="20" t="b">
        <v>0</v>
      </c>
      <c r="K683" s="13" t="str">
        <f t="shared" si="2"/>
        <v/>
      </c>
      <c r="L683" s="13"/>
      <c r="M683" s="21" t="s">
        <v>45</v>
      </c>
    </row>
    <row r="684" ht="22.5" customHeight="1">
      <c r="B684" s="13">
        <f t="shared" si="3"/>
        <v>677</v>
      </c>
      <c r="C684" s="24"/>
      <c r="D684" s="14" t="str">
        <f t="array" ref="D684">IF(C684="","",IFNA(_xlfn.XLOOKUP(C684,'a 01'!$C$6:$C$999,'a 01'!$D$6:$D$999),""))</f>
        <v/>
      </c>
      <c r="E684" s="18" t="str">
        <f t="array" ref="E684">_xlfn.XLOOKUP(D684,Table_Warkah[Kode Tiket],Table_Warkah[Jenis Permohonan],"")</f>
        <v/>
      </c>
      <c r="F684" s="24"/>
      <c r="G684" s="24"/>
      <c r="H684" s="13" t="str">
        <f t="shared" si="1"/>
        <v/>
      </c>
      <c r="I684" s="18"/>
      <c r="J684" s="20" t="b">
        <v>0</v>
      </c>
      <c r="K684" s="13" t="str">
        <f t="shared" si="2"/>
        <v/>
      </c>
      <c r="L684" s="13"/>
      <c r="M684" s="21" t="s">
        <v>45</v>
      </c>
    </row>
    <row r="685" ht="22.5" customHeight="1">
      <c r="B685" s="13">
        <f t="shared" si="3"/>
        <v>678</v>
      </c>
      <c r="C685" s="24"/>
      <c r="D685" s="14" t="str">
        <f t="array" ref="D685">IF(C685="","",IFNA(_xlfn.XLOOKUP(C685,'a 01'!$C$6:$C$999,'a 01'!$D$6:$D$999),""))</f>
        <v/>
      </c>
      <c r="E685" s="18" t="str">
        <f t="array" ref="E685">_xlfn.XLOOKUP(D685,Table_Warkah[Kode Tiket],Table_Warkah[Jenis Permohonan],"")</f>
        <v/>
      </c>
      <c r="F685" s="24"/>
      <c r="G685" s="24"/>
      <c r="H685" s="13" t="str">
        <f t="shared" si="1"/>
        <v/>
      </c>
      <c r="I685" s="18"/>
      <c r="J685" s="20" t="b">
        <v>0</v>
      </c>
      <c r="K685" s="13" t="str">
        <f t="shared" si="2"/>
        <v/>
      </c>
      <c r="L685" s="13"/>
      <c r="M685" s="21" t="s">
        <v>45</v>
      </c>
    </row>
    <row r="686" ht="22.5" customHeight="1">
      <c r="B686" s="13">
        <f t="shared" si="3"/>
        <v>679</v>
      </c>
      <c r="C686" s="24"/>
      <c r="D686" s="14" t="str">
        <f t="array" ref="D686">IF(C686="","",IFNA(_xlfn.XLOOKUP(C686,'a 01'!$C$6:$C$999,'a 01'!$D$6:$D$999),""))</f>
        <v/>
      </c>
      <c r="E686" s="18" t="str">
        <f t="array" ref="E686">_xlfn.XLOOKUP(D686,Table_Warkah[Kode Tiket],Table_Warkah[Jenis Permohonan],"")</f>
        <v/>
      </c>
      <c r="F686" s="24"/>
      <c r="G686" s="24"/>
      <c r="H686" s="13" t="str">
        <f t="shared" si="1"/>
        <v/>
      </c>
      <c r="I686" s="18"/>
      <c r="J686" s="20" t="b">
        <v>0</v>
      </c>
      <c r="K686" s="13" t="str">
        <f t="shared" si="2"/>
        <v/>
      </c>
      <c r="L686" s="13"/>
      <c r="M686" s="21" t="s">
        <v>45</v>
      </c>
    </row>
    <row r="687" ht="22.5" customHeight="1">
      <c r="B687" s="13">
        <f t="shared" si="3"/>
        <v>680</v>
      </c>
      <c r="C687" s="24"/>
      <c r="D687" s="14" t="str">
        <f t="array" ref="D687">IF(C687="","",IFNA(_xlfn.XLOOKUP(C687,'a 01'!$C$6:$C$999,'a 01'!$D$6:$D$999),""))</f>
        <v/>
      </c>
      <c r="E687" s="18" t="str">
        <f t="array" ref="E687">_xlfn.XLOOKUP(D687,Table_Warkah[Kode Tiket],Table_Warkah[Jenis Permohonan],"")</f>
        <v/>
      </c>
      <c r="F687" s="24"/>
      <c r="G687" s="24"/>
      <c r="H687" s="13" t="str">
        <f t="shared" si="1"/>
        <v/>
      </c>
      <c r="I687" s="18"/>
      <c r="J687" s="20" t="b">
        <v>0</v>
      </c>
      <c r="K687" s="13" t="str">
        <f t="shared" si="2"/>
        <v/>
      </c>
      <c r="L687" s="13"/>
      <c r="M687" s="21" t="s">
        <v>45</v>
      </c>
    </row>
    <row r="688" ht="22.5" customHeight="1">
      <c r="B688" s="13">
        <f t="shared" si="3"/>
        <v>681</v>
      </c>
      <c r="C688" s="24"/>
      <c r="D688" s="14" t="str">
        <f t="array" ref="D688">IF(C688="","",IFNA(_xlfn.XLOOKUP(C688,'a 01'!$C$6:$C$999,'a 01'!$D$6:$D$999),""))</f>
        <v/>
      </c>
      <c r="E688" s="18" t="str">
        <f t="array" ref="E688">_xlfn.XLOOKUP(D688,Table_Warkah[Kode Tiket],Table_Warkah[Jenis Permohonan],"")</f>
        <v/>
      </c>
      <c r="F688" s="24"/>
      <c r="G688" s="24"/>
      <c r="H688" s="13" t="str">
        <f t="shared" si="1"/>
        <v/>
      </c>
      <c r="I688" s="18"/>
      <c r="J688" s="20" t="b">
        <v>0</v>
      </c>
      <c r="K688" s="13" t="str">
        <f t="shared" si="2"/>
        <v/>
      </c>
      <c r="L688" s="13"/>
      <c r="M688" s="21" t="s">
        <v>45</v>
      </c>
    </row>
    <row r="689" ht="22.5" customHeight="1">
      <c r="B689" s="13">
        <f t="shared" si="3"/>
        <v>682</v>
      </c>
      <c r="C689" s="24"/>
      <c r="D689" s="14" t="str">
        <f t="array" ref="D689">IF(C689="","",IFNA(_xlfn.XLOOKUP(C689,'a 01'!$C$6:$C$999,'a 01'!$D$6:$D$999),""))</f>
        <v/>
      </c>
      <c r="E689" s="18" t="str">
        <f t="array" ref="E689">_xlfn.XLOOKUP(D689,Table_Warkah[Kode Tiket],Table_Warkah[Jenis Permohonan],"")</f>
        <v/>
      </c>
      <c r="F689" s="24"/>
      <c r="G689" s="24"/>
      <c r="H689" s="13" t="str">
        <f t="shared" si="1"/>
        <v/>
      </c>
      <c r="I689" s="18"/>
      <c r="J689" s="20" t="b">
        <v>0</v>
      </c>
      <c r="K689" s="13" t="str">
        <f t="shared" si="2"/>
        <v/>
      </c>
      <c r="L689" s="13"/>
      <c r="M689" s="21" t="s">
        <v>45</v>
      </c>
    </row>
    <row r="690" ht="22.5" customHeight="1">
      <c r="B690" s="13">
        <f t="shared" si="3"/>
        <v>683</v>
      </c>
      <c r="C690" s="24"/>
      <c r="D690" s="14" t="str">
        <f t="array" ref="D690">IF(C690="","",IFNA(_xlfn.XLOOKUP(C690,'a 01'!$C$6:$C$999,'a 01'!$D$6:$D$999),""))</f>
        <v/>
      </c>
      <c r="E690" s="18" t="str">
        <f t="array" ref="E690">_xlfn.XLOOKUP(D690,Table_Warkah[Kode Tiket],Table_Warkah[Jenis Permohonan],"")</f>
        <v/>
      </c>
      <c r="F690" s="24"/>
      <c r="G690" s="24"/>
      <c r="H690" s="13" t="str">
        <f t="shared" si="1"/>
        <v/>
      </c>
      <c r="I690" s="18"/>
      <c r="J690" s="20" t="b">
        <v>0</v>
      </c>
      <c r="K690" s="13" t="str">
        <f t="shared" si="2"/>
        <v/>
      </c>
      <c r="L690" s="13"/>
      <c r="M690" s="21" t="s">
        <v>45</v>
      </c>
    </row>
    <row r="691" ht="22.5" customHeight="1">
      <c r="B691" s="13">
        <f t="shared" si="3"/>
        <v>684</v>
      </c>
      <c r="C691" s="24"/>
      <c r="D691" s="14" t="str">
        <f t="array" ref="D691">IF(C691="","",IFNA(_xlfn.XLOOKUP(C691,'a 01'!$C$6:$C$999,'a 01'!$D$6:$D$999),""))</f>
        <v/>
      </c>
      <c r="E691" s="18" t="str">
        <f t="array" ref="E691">_xlfn.XLOOKUP(D691,Table_Warkah[Kode Tiket],Table_Warkah[Jenis Permohonan],"")</f>
        <v/>
      </c>
      <c r="F691" s="24"/>
      <c r="G691" s="24"/>
      <c r="H691" s="13" t="str">
        <f t="shared" si="1"/>
        <v/>
      </c>
      <c r="I691" s="18"/>
      <c r="J691" s="20" t="b">
        <v>0</v>
      </c>
      <c r="K691" s="13" t="str">
        <f t="shared" si="2"/>
        <v/>
      </c>
      <c r="L691" s="13"/>
      <c r="M691" s="21" t="s">
        <v>45</v>
      </c>
    </row>
    <row r="692" ht="22.5" customHeight="1">
      <c r="B692" s="13">
        <f t="shared" si="3"/>
        <v>685</v>
      </c>
      <c r="C692" s="24"/>
      <c r="D692" s="14" t="str">
        <f t="array" ref="D692">IF(C692="","",IFNA(_xlfn.XLOOKUP(C692,'a 01'!$C$6:$C$999,'a 01'!$D$6:$D$999),""))</f>
        <v/>
      </c>
      <c r="E692" s="18" t="str">
        <f t="array" ref="E692">_xlfn.XLOOKUP(D692,Table_Warkah[Kode Tiket],Table_Warkah[Jenis Permohonan],"")</f>
        <v/>
      </c>
      <c r="F692" s="24"/>
      <c r="G692" s="24"/>
      <c r="H692" s="13" t="str">
        <f t="shared" si="1"/>
        <v/>
      </c>
      <c r="I692" s="18"/>
      <c r="J692" s="20" t="b">
        <v>0</v>
      </c>
      <c r="K692" s="13" t="str">
        <f t="shared" si="2"/>
        <v/>
      </c>
      <c r="L692" s="13"/>
      <c r="M692" s="21" t="s">
        <v>45</v>
      </c>
    </row>
    <row r="693" ht="22.5" customHeight="1">
      <c r="B693" s="13">
        <f t="shared" si="3"/>
        <v>686</v>
      </c>
      <c r="C693" s="24"/>
      <c r="D693" s="14" t="str">
        <f t="array" ref="D693">IF(C693="","",IFNA(_xlfn.XLOOKUP(C693,'a 01'!$C$6:$C$999,'a 01'!$D$6:$D$999),""))</f>
        <v/>
      </c>
      <c r="E693" s="18" t="str">
        <f t="array" ref="E693">_xlfn.XLOOKUP(D693,Table_Warkah[Kode Tiket],Table_Warkah[Jenis Permohonan],"")</f>
        <v/>
      </c>
      <c r="F693" s="24"/>
      <c r="G693" s="24"/>
      <c r="H693" s="13" t="str">
        <f t="shared" si="1"/>
        <v/>
      </c>
      <c r="I693" s="18"/>
      <c r="J693" s="20" t="b">
        <v>0</v>
      </c>
      <c r="K693" s="13" t="str">
        <f t="shared" si="2"/>
        <v/>
      </c>
      <c r="L693" s="13"/>
      <c r="M693" s="21" t="s">
        <v>45</v>
      </c>
    </row>
    <row r="694" ht="22.5" customHeight="1">
      <c r="B694" s="13">
        <f t="shared" si="3"/>
        <v>687</v>
      </c>
      <c r="C694" s="24"/>
      <c r="D694" s="14" t="str">
        <f t="array" ref="D694">IF(C694="","",IFNA(_xlfn.XLOOKUP(C694,'a 01'!$C$6:$C$999,'a 01'!$D$6:$D$999),""))</f>
        <v/>
      </c>
      <c r="E694" s="18" t="str">
        <f t="array" ref="E694">_xlfn.XLOOKUP(D694,Table_Warkah[Kode Tiket],Table_Warkah[Jenis Permohonan],"")</f>
        <v/>
      </c>
      <c r="F694" s="24"/>
      <c r="G694" s="24"/>
      <c r="H694" s="13" t="str">
        <f t="shared" si="1"/>
        <v/>
      </c>
      <c r="I694" s="18"/>
      <c r="J694" s="20" t="b">
        <v>0</v>
      </c>
      <c r="K694" s="13" t="str">
        <f t="shared" si="2"/>
        <v/>
      </c>
      <c r="L694" s="13"/>
      <c r="M694" s="21" t="s">
        <v>45</v>
      </c>
    </row>
    <row r="695" ht="22.5" customHeight="1">
      <c r="B695" s="13">
        <f t="shared" si="3"/>
        <v>688</v>
      </c>
      <c r="C695" s="24"/>
      <c r="D695" s="14" t="str">
        <f t="array" ref="D695">IF(C695="","",IFNA(_xlfn.XLOOKUP(C695,'a 01'!$C$6:$C$999,'a 01'!$D$6:$D$999),""))</f>
        <v/>
      </c>
      <c r="E695" s="18" t="str">
        <f t="array" ref="E695">_xlfn.XLOOKUP(D695,Table_Warkah[Kode Tiket],Table_Warkah[Jenis Permohonan],"")</f>
        <v/>
      </c>
      <c r="F695" s="24"/>
      <c r="G695" s="24"/>
      <c r="H695" s="13" t="str">
        <f t="shared" si="1"/>
        <v/>
      </c>
      <c r="I695" s="18"/>
      <c r="J695" s="20" t="b">
        <v>0</v>
      </c>
      <c r="K695" s="13" t="str">
        <f t="shared" si="2"/>
        <v/>
      </c>
      <c r="L695" s="13"/>
      <c r="M695" s="21" t="s">
        <v>45</v>
      </c>
    </row>
    <row r="696" ht="22.5" customHeight="1">
      <c r="B696" s="13">
        <f t="shared" si="3"/>
        <v>689</v>
      </c>
      <c r="C696" s="24"/>
      <c r="D696" s="14" t="str">
        <f t="array" ref="D696">IF(C696="","",IFNA(_xlfn.XLOOKUP(C696,'a 01'!$C$6:$C$999,'a 01'!$D$6:$D$999),""))</f>
        <v/>
      </c>
      <c r="E696" s="18" t="str">
        <f t="array" ref="E696">_xlfn.XLOOKUP(D696,Table_Warkah[Kode Tiket],Table_Warkah[Jenis Permohonan],"")</f>
        <v/>
      </c>
      <c r="F696" s="24"/>
      <c r="G696" s="24"/>
      <c r="H696" s="13" t="str">
        <f t="shared" si="1"/>
        <v/>
      </c>
      <c r="I696" s="18"/>
      <c r="J696" s="20" t="b">
        <v>0</v>
      </c>
      <c r="K696" s="13" t="str">
        <f t="shared" si="2"/>
        <v/>
      </c>
      <c r="L696" s="13"/>
      <c r="M696" s="21" t="s">
        <v>45</v>
      </c>
    </row>
    <row r="697" ht="22.5" customHeight="1">
      <c r="B697" s="13">
        <f t="shared" si="3"/>
        <v>690</v>
      </c>
      <c r="C697" s="24"/>
      <c r="D697" s="14" t="str">
        <f t="array" ref="D697">IF(C697="","",IFNA(_xlfn.XLOOKUP(C697,'a 01'!$C$6:$C$999,'a 01'!$D$6:$D$999),""))</f>
        <v/>
      </c>
      <c r="E697" s="18" t="str">
        <f t="array" ref="E697">_xlfn.XLOOKUP(D697,Table_Warkah[Kode Tiket],Table_Warkah[Jenis Permohonan],"")</f>
        <v/>
      </c>
      <c r="F697" s="24"/>
      <c r="G697" s="24"/>
      <c r="H697" s="13" t="str">
        <f t="shared" si="1"/>
        <v/>
      </c>
      <c r="I697" s="18"/>
      <c r="J697" s="20" t="b">
        <v>0</v>
      </c>
      <c r="K697" s="13" t="str">
        <f t="shared" si="2"/>
        <v/>
      </c>
      <c r="L697" s="13"/>
      <c r="M697" s="21" t="s">
        <v>45</v>
      </c>
    </row>
    <row r="698" ht="22.5" customHeight="1">
      <c r="B698" s="13">
        <f t="shared" si="3"/>
        <v>691</v>
      </c>
      <c r="C698" s="24"/>
      <c r="D698" s="14" t="str">
        <f t="array" ref="D698">IF(C698="","",IFNA(_xlfn.XLOOKUP(C698,'a 01'!$C$6:$C$999,'a 01'!$D$6:$D$999),""))</f>
        <v/>
      </c>
      <c r="E698" s="18" t="str">
        <f t="array" ref="E698">_xlfn.XLOOKUP(D698,Table_Warkah[Kode Tiket],Table_Warkah[Jenis Permohonan],"")</f>
        <v/>
      </c>
      <c r="F698" s="24"/>
      <c r="G698" s="24"/>
      <c r="H698" s="13" t="str">
        <f t="shared" si="1"/>
        <v/>
      </c>
      <c r="I698" s="18"/>
      <c r="J698" s="20" t="b">
        <v>0</v>
      </c>
      <c r="K698" s="13" t="str">
        <f t="shared" si="2"/>
        <v/>
      </c>
      <c r="L698" s="13"/>
      <c r="M698" s="21" t="s">
        <v>45</v>
      </c>
    </row>
    <row r="699" ht="22.5" customHeight="1">
      <c r="B699" s="13">
        <f t="shared" si="3"/>
        <v>692</v>
      </c>
      <c r="C699" s="24"/>
      <c r="D699" s="14" t="str">
        <f t="array" ref="D699">IF(C699="","",IFNA(_xlfn.XLOOKUP(C699,'a 01'!$C$6:$C$999,'a 01'!$D$6:$D$999),""))</f>
        <v/>
      </c>
      <c r="E699" s="18" t="str">
        <f t="array" ref="E699">_xlfn.XLOOKUP(D699,Table_Warkah[Kode Tiket],Table_Warkah[Jenis Permohonan],"")</f>
        <v/>
      </c>
      <c r="F699" s="24"/>
      <c r="G699" s="24"/>
      <c r="H699" s="13" t="str">
        <f t="shared" si="1"/>
        <v/>
      </c>
      <c r="I699" s="18"/>
      <c r="J699" s="20" t="b">
        <v>0</v>
      </c>
      <c r="K699" s="13" t="str">
        <f t="shared" si="2"/>
        <v/>
      </c>
      <c r="L699" s="13"/>
      <c r="M699" s="21" t="s">
        <v>45</v>
      </c>
    </row>
    <row r="700" ht="22.5" customHeight="1">
      <c r="B700" s="13">
        <f t="shared" si="3"/>
        <v>693</v>
      </c>
      <c r="C700" s="24"/>
      <c r="D700" s="14" t="str">
        <f t="array" ref="D700">IF(C700="","",IFNA(_xlfn.XLOOKUP(C700,'a 01'!$C$6:$C$999,'a 01'!$D$6:$D$999),""))</f>
        <v/>
      </c>
      <c r="E700" s="18" t="str">
        <f t="array" ref="E700">_xlfn.XLOOKUP(D700,Table_Warkah[Kode Tiket],Table_Warkah[Jenis Permohonan],"")</f>
        <v/>
      </c>
      <c r="F700" s="24"/>
      <c r="G700" s="24"/>
      <c r="H700" s="13" t="str">
        <f t="shared" si="1"/>
        <v/>
      </c>
      <c r="I700" s="18"/>
      <c r="J700" s="20" t="b">
        <v>0</v>
      </c>
      <c r="K700" s="13" t="str">
        <f t="shared" si="2"/>
        <v/>
      </c>
      <c r="L700" s="13"/>
      <c r="M700" s="21" t="s">
        <v>45</v>
      </c>
    </row>
    <row r="701" ht="22.5" customHeight="1">
      <c r="B701" s="13">
        <f t="shared" si="3"/>
        <v>694</v>
      </c>
      <c r="C701" s="24"/>
      <c r="D701" s="14" t="str">
        <f t="array" ref="D701">IF(C701="","",IFNA(_xlfn.XLOOKUP(C701,'a 01'!$C$6:$C$999,'a 01'!$D$6:$D$999),""))</f>
        <v/>
      </c>
      <c r="E701" s="18" t="str">
        <f t="array" ref="E701">_xlfn.XLOOKUP(D701,Table_Warkah[Kode Tiket],Table_Warkah[Jenis Permohonan],"")</f>
        <v/>
      </c>
      <c r="F701" s="24"/>
      <c r="G701" s="24"/>
      <c r="H701" s="13" t="str">
        <f t="shared" si="1"/>
        <v/>
      </c>
      <c r="I701" s="18"/>
      <c r="J701" s="20" t="b">
        <v>0</v>
      </c>
      <c r="K701" s="13" t="str">
        <f t="shared" si="2"/>
        <v/>
      </c>
      <c r="L701" s="13"/>
      <c r="M701" s="21" t="s">
        <v>45</v>
      </c>
    </row>
    <row r="702" ht="22.5" customHeight="1">
      <c r="B702" s="13">
        <f t="shared" si="3"/>
        <v>695</v>
      </c>
      <c r="C702" s="24"/>
      <c r="D702" s="14" t="str">
        <f t="array" ref="D702">IF(C702="","",IFNA(_xlfn.XLOOKUP(C702,'a 01'!$C$6:$C$999,'a 01'!$D$6:$D$999),""))</f>
        <v/>
      </c>
      <c r="E702" s="18" t="str">
        <f t="array" ref="E702">_xlfn.XLOOKUP(D702,Table_Warkah[Kode Tiket],Table_Warkah[Jenis Permohonan],"")</f>
        <v/>
      </c>
      <c r="F702" s="24"/>
      <c r="G702" s="24"/>
      <c r="H702" s="13" t="str">
        <f t="shared" si="1"/>
        <v/>
      </c>
      <c r="I702" s="18"/>
      <c r="J702" s="20" t="b">
        <v>0</v>
      </c>
      <c r="K702" s="13" t="str">
        <f t="shared" si="2"/>
        <v/>
      </c>
      <c r="L702" s="13"/>
      <c r="M702" s="21" t="s">
        <v>45</v>
      </c>
    </row>
    <row r="703" ht="22.5" customHeight="1">
      <c r="B703" s="13">
        <f t="shared" si="3"/>
        <v>696</v>
      </c>
      <c r="C703" s="24"/>
      <c r="D703" s="14" t="str">
        <f t="array" ref="D703">IF(C703="","",IFNA(_xlfn.XLOOKUP(C703,'a 01'!$C$6:$C$999,'a 01'!$D$6:$D$999),""))</f>
        <v/>
      </c>
      <c r="E703" s="18" t="str">
        <f t="array" ref="E703">_xlfn.XLOOKUP(D703,Table_Warkah[Kode Tiket],Table_Warkah[Jenis Permohonan],"")</f>
        <v/>
      </c>
      <c r="F703" s="24"/>
      <c r="G703" s="24"/>
      <c r="H703" s="13" t="str">
        <f t="shared" si="1"/>
        <v/>
      </c>
      <c r="I703" s="18"/>
      <c r="J703" s="20" t="b">
        <v>0</v>
      </c>
      <c r="K703" s="13" t="str">
        <f t="shared" si="2"/>
        <v/>
      </c>
      <c r="L703" s="13"/>
      <c r="M703" s="21" t="s">
        <v>45</v>
      </c>
    </row>
    <row r="704" ht="22.5" customHeight="1">
      <c r="B704" s="13">
        <f t="shared" si="3"/>
        <v>697</v>
      </c>
      <c r="C704" s="24"/>
      <c r="D704" s="14" t="str">
        <f t="array" ref="D704">IF(C704="","",IFNA(_xlfn.XLOOKUP(C704,'a 01'!$C$6:$C$999,'a 01'!$D$6:$D$999),""))</f>
        <v/>
      </c>
      <c r="E704" s="18" t="str">
        <f t="array" ref="E704">_xlfn.XLOOKUP(D704,Table_Warkah[Kode Tiket],Table_Warkah[Jenis Permohonan],"")</f>
        <v/>
      </c>
      <c r="F704" s="24"/>
      <c r="G704" s="24"/>
      <c r="H704" s="13" t="str">
        <f t="shared" si="1"/>
        <v/>
      </c>
      <c r="I704" s="18"/>
      <c r="J704" s="20" t="b">
        <v>0</v>
      </c>
      <c r="K704" s="13" t="str">
        <f t="shared" si="2"/>
        <v/>
      </c>
      <c r="L704" s="13"/>
      <c r="M704" s="21" t="s">
        <v>45</v>
      </c>
    </row>
    <row r="705" ht="22.5" customHeight="1">
      <c r="B705" s="13">
        <f t="shared" si="3"/>
        <v>698</v>
      </c>
      <c r="C705" s="24"/>
      <c r="D705" s="14" t="str">
        <f t="array" ref="D705">IF(C705="","",IFNA(_xlfn.XLOOKUP(C705,'a 01'!$C$6:$C$999,'a 01'!$D$6:$D$999),""))</f>
        <v/>
      </c>
      <c r="E705" s="18" t="str">
        <f t="array" ref="E705">_xlfn.XLOOKUP(D705,Table_Warkah[Kode Tiket],Table_Warkah[Jenis Permohonan],"")</f>
        <v/>
      </c>
      <c r="F705" s="24"/>
      <c r="G705" s="24"/>
      <c r="H705" s="13" t="str">
        <f t="shared" si="1"/>
        <v/>
      </c>
      <c r="I705" s="18"/>
      <c r="J705" s="20" t="b">
        <v>0</v>
      </c>
      <c r="K705" s="13" t="str">
        <f t="shared" si="2"/>
        <v/>
      </c>
      <c r="L705" s="13"/>
      <c r="M705" s="21" t="s">
        <v>45</v>
      </c>
    </row>
    <row r="706" ht="22.5" customHeight="1">
      <c r="B706" s="13">
        <f t="shared" si="3"/>
        <v>699</v>
      </c>
      <c r="C706" s="24"/>
      <c r="D706" s="14" t="str">
        <f t="array" ref="D706">IF(C706="","",IFNA(_xlfn.XLOOKUP(C706,'a 01'!$C$6:$C$999,'a 01'!$D$6:$D$999),""))</f>
        <v/>
      </c>
      <c r="E706" s="18" t="str">
        <f t="array" ref="E706">_xlfn.XLOOKUP(D706,Table_Warkah[Kode Tiket],Table_Warkah[Jenis Permohonan],"")</f>
        <v/>
      </c>
      <c r="F706" s="24"/>
      <c r="G706" s="24"/>
      <c r="H706" s="13" t="str">
        <f t="shared" si="1"/>
        <v/>
      </c>
      <c r="I706" s="18"/>
      <c r="J706" s="20" t="b">
        <v>0</v>
      </c>
      <c r="K706" s="13" t="str">
        <f t="shared" si="2"/>
        <v/>
      </c>
      <c r="L706" s="13"/>
      <c r="M706" s="21" t="s">
        <v>45</v>
      </c>
    </row>
    <row r="707" ht="22.5" customHeight="1">
      <c r="B707" s="13">
        <f t="shared" si="3"/>
        <v>700</v>
      </c>
      <c r="C707" s="24"/>
      <c r="D707" s="14" t="str">
        <f t="array" ref="D707">IF(C707="","",IFNA(_xlfn.XLOOKUP(C707,'a 01'!$C$6:$C$999,'a 01'!$D$6:$D$999),""))</f>
        <v/>
      </c>
      <c r="E707" s="18" t="str">
        <f t="array" ref="E707">_xlfn.XLOOKUP(D707,Table_Warkah[Kode Tiket],Table_Warkah[Jenis Permohonan],"")</f>
        <v/>
      </c>
      <c r="F707" s="24"/>
      <c r="G707" s="24"/>
      <c r="H707" s="13" t="str">
        <f t="shared" si="1"/>
        <v/>
      </c>
      <c r="I707" s="18"/>
      <c r="J707" s="20" t="b">
        <v>0</v>
      </c>
      <c r="K707" s="13" t="str">
        <f t="shared" si="2"/>
        <v/>
      </c>
      <c r="L707" s="13"/>
      <c r="M707" s="21" t="s">
        <v>45</v>
      </c>
    </row>
    <row r="708" ht="22.5" customHeight="1">
      <c r="B708" s="13">
        <f t="shared" si="3"/>
        <v>701</v>
      </c>
      <c r="C708" s="24"/>
      <c r="D708" s="14" t="str">
        <f t="array" ref="D708">IF(C708="","",IFNA(_xlfn.XLOOKUP(C708,'a 01'!$C$6:$C$999,'a 01'!$D$6:$D$999),""))</f>
        <v/>
      </c>
      <c r="E708" s="18" t="str">
        <f t="array" ref="E708">_xlfn.XLOOKUP(D708,Table_Warkah[Kode Tiket],Table_Warkah[Jenis Permohonan],"")</f>
        <v/>
      </c>
      <c r="F708" s="24"/>
      <c r="G708" s="24"/>
      <c r="H708" s="13" t="str">
        <f t="shared" si="1"/>
        <v/>
      </c>
      <c r="I708" s="18"/>
      <c r="J708" s="20" t="b">
        <v>0</v>
      </c>
      <c r="K708" s="13" t="str">
        <f t="shared" si="2"/>
        <v/>
      </c>
      <c r="L708" s="13"/>
      <c r="M708" s="21" t="s">
        <v>45</v>
      </c>
    </row>
    <row r="709" ht="22.5" customHeight="1">
      <c r="B709" s="13">
        <f t="shared" si="3"/>
        <v>702</v>
      </c>
      <c r="C709" s="24"/>
      <c r="D709" s="14" t="str">
        <f t="array" ref="D709">IF(C709="","",IFNA(_xlfn.XLOOKUP(C709,'a 01'!$C$6:$C$999,'a 01'!$D$6:$D$999),""))</f>
        <v/>
      </c>
      <c r="E709" s="18" t="str">
        <f t="array" ref="E709">_xlfn.XLOOKUP(D709,Table_Warkah[Kode Tiket],Table_Warkah[Jenis Permohonan],"")</f>
        <v/>
      </c>
      <c r="F709" s="24"/>
      <c r="G709" s="24"/>
      <c r="H709" s="13" t="str">
        <f t="shared" si="1"/>
        <v/>
      </c>
      <c r="I709" s="18"/>
      <c r="J709" s="20" t="b">
        <v>0</v>
      </c>
      <c r="K709" s="13" t="str">
        <f t="shared" si="2"/>
        <v/>
      </c>
      <c r="L709" s="13"/>
      <c r="M709" s="21" t="s">
        <v>45</v>
      </c>
    </row>
    <row r="710" ht="22.5" customHeight="1">
      <c r="B710" s="13">
        <f t="shared" si="3"/>
        <v>703</v>
      </c>
      <c r="C710" s="24"/>
      <c r="D710" s="14" t="str">
        <f t="array" ref="D710">IF(C710="","",IFNA(_xlfn.XLOOKUP(C710,'a 01'!$C$6:$C$999,'a 01'!$D$6:$D$999),""))</f>
        <v/>
      </c>
      <c r="E710" s="18" t="str">
        <f t="array" ref="E710">_xlfn.XLOOKUP(D710,Table_Warkah[Kode Tiket],Table_Warkah[Jenis Permohonan],"")</f>
        <v/>
      </c>
      <c r="F710" s="24"/>
      <c r="G710" s="24"/>
      <c r="H710" s="13" t="str">
        <f t="shared" si="1"/>
        <v/>
      </c>
      <c r="I710" s="18"/>
      <c r="J710" s="20" t="b">
        <v>0</v>
      </c>
      <c r="K710" s="13" t="str">
        <f t="shared" si="2"/>
        <v/>
      </c>
      <c r="L710" s="13"/>
      <c r="M710" s="21" t="s">
        <v>45</v>
      </c>
    </row>
    <row r="711" ht="22.5" customHeight="1">
      <c r="B711" s="13">
        <f t="shared" si="3"/>
        <v>704</v>
      </c>
      <c r="C711" s="24"/>
      <c r="D711" s="14" t="str">
        <f t="array" ref="D711">IF(C711="","",IFNA(_xlfn.XLOOKUP(C711,'a 01'!$C$6:$C$999,'a 01'!$D$6:$D$999),""))</f>
        <v/>
      </c>
      <c r="E711" s="18" t="str">
        <f t="array" ref="E711">_xlfn.XLOOKUP(D711,Table_Warkah[Kode Tiket],Table_Warkah[Jenis Permohonan],"")</f>
        <v/>
      </c>
      <c r="F711" s="24"/>
      <c r="G711" s="24"/>
      <c r="H711" s="13" t="str">
        <f t="shared" si="1"/>
        <v/>
      </c>
      <c r="I711" s="18"/>
      <c r="J711" s="20" t="b">
        <v>0</v>
      </c>
      <c r="K711" s="13" t="str">
        <f t="shared" si="2"/>
        <v/>
      </c>
      <c r="L711" s="13"/>
      <c r="M711" s="21" t="s">
        <v>45</v>
      </c>
    </row>
    <row r="712" ht="22.5" customHeight="1">
      <c r="B712" s="13">
        <f t="shared" si="3"/>
        <v>705</v>
      </c>
      <c r="C712" s="24"/>
      <c r="D712" s="14" t="str">
        <f t="array" ref="D712">IF(C712="","",IFNA(_xlfn.XLOOKUP(C712,'a 01'!$C$6:$C$999,'a 01'!$D$6:$D$999),""))</f>
        <v/>
      </c>
      <c r="E712" s="18" t="str">
        <f t="array" ref="E712">_xlfn.XLOOKUP(D712,Table_Warkah[Kode Tiket],Table_Warkah[Jenis Permohonan],"")</f>
        <v/>
      </c>
      <c r="F712" s="24"/>
      <c r="G712" s="24"/>
      <c r="H712" s="13" t="str">
        <f t="shared" si="1"/>
        <v/>
      </c>
      <c r="I712" s="18"/>
      <c r="J712" s="20" t="b">
        <v>0</v>
      </c>
      <c r="K712" s="13" t="str">
        <f t="shared" si="2"/>
        <v/>
      </c>
      <c r="L712" s="13"/>
      <c r="M712" s="21" t="s">
        <v>45</v>
      </c>
    </row>
    <row r="713" ht="22.5" customHeight="1">
      <c r="B713" s="13">
        <f t="shared" si="3"/>
        <v>706</v>
      </c>
      <c r="C713" s="24"/>
      <c r="D713" s="14" t="str">
        <f t="array" ref="D713">IF(C713="","",IFNA(_xlfn.XLOOKUP(C713,'a 01'!$C$6:$C$999,'a 01'!$D$6:$D$999),""))</f>
        <v/>
      </c>
      <c r="E713" s="18" t="str">
        <f t="array" ref="E713">_xlfn.XLOOKUP(D713,Table_Warkah[Kode Tiket],Table_Warkah[Jenis Permohonan],"")</f>
        <v/>
      </c>
      <c r="F713" s="24"/>
      <c r="G713" s="24"/>
      <c r="H713" s="13" t="str">
        <f t="shared" si="1"/>
        <v/>
      </c>
      <c r="I713" s="18"/>
      <c r="J713" s="20" t="b">
        <v>0</v>
      </c>
      <c r="K713" s="13" t="str">
        <f t="shared" si="2"/>
        <v/>
      </c>
      <c r="L713" s="13"/>
      <c r="M713" s="21" t="s">
        <v>45</v>
      </c>
    </row>
    <row r="714" ht="22.5" customHeight="1">
      <c r="B714" s="13">
        <f t="shared" si="3"/>
        <v>707</v>
      </c>
      <c r="C714" s="24"/>
      <c r="D714" s="14" t="str">
        <f t="array" ref="D714">IF(C714="","",IFNA(_xlfn.XLOOKUP(C714,'a 01'!$C$6:$C$999,'a 01'!$D$6:$D$999),""))</f>
        <v/>
      </c>
      <c r="E714" s="18" t="str">
        <f t="array" ref="E714">_xlfn.XLOOKUP(D714,Table_Warkah[Kode Tiket],Table_Warkah[Jenis Permohonan],"")</f>
        <v/>
      </c>
      <c r="F714" s="24"/>
      <c r="G714" s="24"/>
      <c r="H714" s="13" t="str">
        <f t="shared" si="1"/>
        <v/>
      </c>
      <c r="I714" s="18"/>
      <c r="J714" s="20" t="b">
        <v>0</v>
      </c>
      <c r="K714" s="13" t="str">
        <f t="shared" si="2"/>
        <v/>
      </c>
      <c r="L714" s="13"/>
      <c r="M714" s="21" t="s">
        <v>45</v>
      </c>
    </row>
    <row r="715" ht="22.5" customHeight="1">
      <c r="B715" s="13">
        <f t="shared" si="3"/>
        <v>708</v>
      </c>
      <c r="C715" s="24"/>
      <c r="D715" s="14" t="str">
        <f t="array" ref="D715">IF(C715="","",IFNA(_xlfn.XLOOKUP(C715,'a 01'!$C$6:$C$999,'a 01'!$D$6:$D$999),""))</f>
        <v/>
      </c>
      <c r="E715" s="18" t="str">
        <f t="array" ref="E715">_xlfn.XLOOKUP(D715,Table_Warkah[Kode Tiket],Table_Warkah[Jenis Permohonan],"")</f>
        <v/>
      </c>
      <c r="F715" s="24"/>
      <c r="G715" s="24"/>
      <c r="H715" s="13" t="str">
        <f t="shared" si="1"/>
        <v/>
      </c>
      <c r="I715" s="18"/>
      <c r="J715" s="20" t="b">
        <v>0</v>
      </c>
      <c r="K715" s="13" t="str">
        <f t="shared" si="2"/>
        <v/>
      </c>
      <c r="L715" s="13"/>
      <c r="M715" s="21" t="s">
        <v>45</v>
      </c>
    </row>
    <row r="716" ht="22.5" customHeight="1">
      <c r="B716" s="13">
        <f t="shared" si="3"/>
        <v>709</v>
      </c>
      <c r="C716" s="24"/>
      <c r="D716" s="14" t="str">
        <f t="array" ref="D716">IF(C716="","",IFNA(_xlfn.XLOOKUP(C716,'a 01'!$C$6:$C$999,'a 01'!$D$6:$D$999),""))</f>
        <v/>
      </c>
      <c r="E716" s="18" t="str">
        <f t="array" ref="E716">_xlfn.XLOOKUP(D716,Table_Warkah[Kode Tiket],Table_Warkah[Jenis Permohonan],"")</f>
        <v/>
      </c>
      <c r="F716" s="24"/>
      <c r="G716" s="24"/>
      <c r="H716" s="13" t="str">
        <f t="shared" si="1"/>
        <v/>
      </c>
      <c r="I716" s="18"/>
      <c r="J716" s="20" t="b">
        <v>0</v>
      </c>
      <c r="K716" s="13" t="str">
        <f t="shared" si="2"/>
        <v/>
      </c>
      <c r="L716" s="13"/>
      <c r="M716" s="21" t="s">
        <v>45</v>
      </c>
    </row>
    <row r="717" ht="22.5" customHeight="1">
      <c r="B717" s="13">
        <f t="shared" si="3"/>
        <v>710</v>
      </c>
      <c r="C717" s="24"/>
      <c r="D717" s="14" t="str">
        <f t="array" ref="D717">IF(C717="","",IFNA(_xlfn.XLOOKUP(C717,'a 01'!$C$6:$C$999,'a 01'!$D$6:$D$999),""))</f>
        <v/>
      </c>
      <c r="E717" s="18" t="str">
        <f t="array" ref="E717">_xlfn.XLOOKUP(D717,Table_Warkah[Kode Tiket],Table_Warkah[Jenis Permohonan],"")</f>
        <v/>
      </c>
      <c r="F717" s="24"/>
      <c r="G717" s="24"/>
      <c r="H717" s="13" t="str">
        <f t="shared" si="1"/>
        <v/>
      </c>
      <c r="I717" s="18"/>
      <c r="J717" s="20" t="b">
        <v>0</v>
      </c>
      <c r="K717" s="13" t="str">
        <f t="shared" si="2"/>
        <v/>
      </c>
      <c r="L717" s="13"/>
      <c r="M717" s="21" t="s">
        <v>45</v>
      </c>
    </row>
    <row r="718" ht="22.5" customHeight="1">
      <c r="B718" s="13">
        <f t="shared" si="3"/>
        <v>711</v>
      </c>
      <c r="C718" s="24"/>
      <c r="D718" s="14" t="str">
        <f t="array" ref="D718">IF(C718="","",IFNA(_xlfn.XLOOKUP(C718,'a 01'!$C$6:$C$999,'a 01'!$D$6:$D$999),""))</f>
        <v/>
      </c>
      <c r="E718" s="18" t="str">
        <f t="array" ref="E718">_xlfn.XLOOKUP(D718,Table_Warkah[Kode Tiket],Table_Warkah[Jenis Permohonan],"")</f>
        <v/>
      </c>
      <c r="F718" s="24"/>
      <c r="G718" s="24"/>
      <c r="H718" s="13" t="str">
        <f t="shared" si="1"/>
        <v/>
      </c>
      <c r="I718" s="18"/>
      <c r="J718" s="20" t="b">
        <v>0</v>
      </c>
      <c r="K718" s="13" t="str">
        <f t="shared" si="2"/>
        <v/>
      </c>
      <c r="L718" s="13"/>
      <c r="M718" s="21" t="s">
        <v>45</v>
      </c>
    </row>
    <row r="719" ht="22.5" customHeight="1">
      <c r="B719" s="13">
        <f t="shared" si="3"/>
        <v>712</v>
      </c>
      <c r="C719" s="24"/>
      <c r="D719" s="14" t="str">
        <f t="array" ref="D719">IF(C719="","",IFNA(_xlfn.XLOOKUP(C719,'a 01'!$C$6:$C$999,'a 01'!$D$6:$D$999),""))</f>
        <v/>
      </c>
      <c r="E719" s="18" t="str">
        <f t="array" ref="E719">_xlfn.XLOOKUP(D719,Table_Warkah[Kode Tiket],Table_Warkah[Jenis Permohonan],"")</f>
        <v/>
      </c>
      <c r="F719" s="24"/>
      <c r="G719" s="24"/>
      <c r="H719" s="13" t="str">
        <f t="shared" si="1"/>
        <v/>
      </c>
      <c r="I719" s="18"/>
      <c r="J719" s="20" t="b">
        <v>0</v>
      </c>
      <c r="K719" s="13" t="str">
        <f t="shared" si="2"/>
        <v/>
      </c>
      <c r="L719" s="13"/>
      <c r="M719" s="21" t="s">
        <v>45</v>
      </c>
    </row>
    <row r="720" ht="22.5" customHeight="1">
      <c r="B720" s="13">
        <f t="shared" si="3"/>
        <v>713</v>
      </c>
      <c r="C720" s="24"/>
      <c r="D720" s="14" t="str">
        <f t="array" ref="D720">IF(C720="","",IFNA(_xlfn.XLOOKUP(C720,'a 01'!$C$6:$C$999,'a 01'!$D$6:$D$999),""))</f>
        <v/>
      </c>
      <c r="E720" s="18" t="str">
        <f t="array" ref="E720">_xlfn.XLOOKUP(D720,Table_Warkah[Kode Tiket],Table_Warkah[Jenis Permohonan],"")</f>
        <v/>
      </c>
      <c r="F720" s="24"/>
      <c r="G720" s="24"/>
      <c r="H720" s="13" t="str">
        <f t="shared" si="1"/>
        <v/>
      </c>
      <c r="I720" s="18"/>
      <c r="J720" s="20" t="b">
        <v>0</v>
      </c>
      <c r="K720" s="13" t="str">
        <f t="shared" si="2"/>
        <v/>
      </c>
      <c r="L720" s="13"/>
      <c r="M720" s="21" t="s">
        <v>45</v>
      </c>
    </row>
    <row r="721" ht="22.5" customHeight="1">
      <c r="B721" s="13">
        <f t="shared" si="3"/>
        <v>714</v>
      </c>
      <c r="C721" s="24"/>
      <c r="D721" s="14" t="str">
        <f t="array" ref="D721">IF(C721="","",IFNA(_xlfn.XLOOKUP(C721,'a 01'!$C$6:$C$999,'a 01'!$D$6:$D$999),""))</f>
        <v/>
      </c>
      <c r="E721" s="18" t="str">
        <f t="array" ref="E721">_xlfn.XLOOKUP(D721,Table_Warkah[Kode Tiket],Table_Warkah[Jenis Permohonan],"")</f>
        <v/>
      </c>
      <c r="F721" s="24"/>
      <c r="G721" s="24"/>
      <c r="H721" s="13" t="str">
        <f t="shared" si="1"/>
        <v/>
      </c>
      <c r="I721" s="18"/>
      <c r="J721" s="20" t="b">
        <v>0</v>
      </c>
      <c r="K721" s="13" t="str">
        <f t="shared" si="2"/>
        <v/>
      </c>
      <c r="L721" s="13"/>
      <c r="M721" s="21" t="s">
        <v>45</v>
      </c>
    </row>
    <row r="722" ht="22.5" customHeight="1">
      <c r="B722" s="13">
        <f t="shared" si="3"/>
        <v>715</v>
      </c>
      <c r="C722" s="24"/>
      <c r="D722" s="14" t="str">
        <f t="array" ref="D722">IF(C722="","",IFNA(_xlfn.XLOOKUP(C722,'a 01'!$C$6:$C$999,'a 01'!$D$6:$D$999),""))</f>
        <v/>
      </c>
      <c r="E722" s="18" t="str">
        <f t="array" ref="E722">_xlfn.XLOOKUP(D722,Table_Warkah[Kode Tiket],Table_Warkah[Jenis Permohonan],"")</f>
        <v/>
      </c>
      <c r="F722" s="24"/>
      <c r="G722" s="24"/>
      <c r="H722" s="13" t="str">
        <f t="shared" si="1"/>
        <v/>
      </c>
      <c r="I722" s="18"/>
      <c r="J722" s="20" t="b">
        <v>0</v>
      </c>
      <c r="K722" s="13" t="str">
        <f t="shared" si="2"/>
        <v/>
      </c>
      <c r="L722" s="13"/>
      <c r="M722" s="21" t="s">
        <v>45</v>
      </c>
    </row>
    <row r="723" ht="22.5" customHeight="1">
      <c r="B723" s="13">
        <f t="shared" si="3"/>
        <v>716</v>
      </c>
      <c r="C723" s="24"/>
      <c r="D723" s="14" t="str">
        <f t="array" ref="D723">IF(C723="","",IFNA(_xlfn.XLOOKUP(C723,'a 01'!$C$6:$C$999,'a 01'!$D$6:$D$999),""))</f>
        <v/>
      </c>
      <c r="E723" s="18" t="str">
        <f t="array" ref="E723">_xlfn.XLOOKUP(D723,Table_Warkah[Kode Tiket],Table_Warkah[Jenis Permohonan],"")</f>
        <v/>
      </c>
      <c r="F723" s="24"/>
      <c r="G723" s="24"/>
      <c r="H723" s="13" t="str">
        <f t="shared" si="1"/>
        <v/>
      </c>
      <c r="I723" s="18"/>
      <c r="J723" s="20" t="b">
        <v>0</v>
      </c>
      <c r="K723" s="13" t="str">
        <f t="shared" si="2"/>
        <v/>
      </c>
      <c r="L723" s="13"/>
      <c r="M723" s="21" t="s">
        <v>45</v>
      </c>
    </row>
    <row r="724" ht="22.5" customHeight="1">
      <c r="B724" s="13">
        <f t="shared" si="3"/>
        <v>717</v>
      </c>
      <c r="C724" s="24"/>
      <c r="D724" s="14" t="str">
        <f t="array" ref="D724">IF(C724="","",IFNA(_xlfn.XLOOKUP(C724,'a 01'!$C$6:$C$999,'a 01'!$D$6:$D$999),""))</f>
        <v/>
      </c>
      <c r="E724" s="18" t="str">
        <f t="array" ref="E724">_xlfn.XLOOKUP(D724,Table_Warkah[Kode Tiket],Table_Warkah[Jenis Permohonan],"")</f>
        <v/>
      </c>
      <c r="F724" s="24"/>
      <c r="G724" s="24"/>
      <c r="H724" s="13" t="str">
        <f t="shared" si="1"/>
        <v/>
      </c>
      <c r="I724" s="18"/>
      <c r="J724" s="20" t="b">
        <v>0</v>
      </c>
      <c r="K724" s="13" t="str">
        <f t="shared" si="2"/>
        <v/>
      </c>
      <c r="L724" s="13"/>
      <c r="M724" s="21" t="s">
        <v>45</v>
      </c>
    </row>
    <row r="725" ht="22.5" customHeight="1">
      <c r="B725" s="13">
        <f t="shared" si="3"/>
        <v>718</v>
      </c>
      <c r="C725" s="24"/>
      <c r="D725" s="14" t="str">
        <f t="array" ref="D725">IF(C725="","",IFNA(_xlfn.XLOOKUP(C725,'a 01'!$C$6:$C$999,'a 01'!$D$6:$D$999),""))</f>
        <v/>
      </c>
      <c r="E725" s="18" t="str">
        <f t="array" ref="E725">_xlfn.XLOOKUP(D725,Table_Warkah[Kode Tiket],Table_Warkah[Jenis Permohonan],"")</f>
        <v/>
      </c>
      <c r="F725" s="24"/>
      <c r="G725" s="24"/>
      <c r="H725" s="13" t="str">
        <f t="shared" si="1"/>
        <v/>
      </c>
      <c r="I725" s="18"/>
      <c r="J725" s="20" t="b">
        <v>0</v>
      </c>
      <c r="K725" s="13" t="str">
        <f t="shared" si="2"/>
        <v/>
      </c>
      <c r="L725" s="13"/>
      <c r="M725" s="21" t="s">
        <v>45</v>
      </c>
    </row>
    <row r="726" ht="22.5" customHeight="1">
      <c r="B726" s="13">
        <f t="shared" si="3"/>
        <v>719</v>
      </c>
      <c r="C726" s="24"/>
      <c r="D726" s="14" t="str">
        <f t="array" ref="D726">IF(C726="","",IFNA(_xlfn.XLOOKUP(C726,'a 01'!$C$6:$C$999,'a 01'!$D$6:$D$999),""))</f>
        <v/>
      </c>
      <c r="E726" s="18" t="str">
        <f t="array" ref="E726">_xlfn.XLOOKUP(D726,Table_Warkah[Kode Tiket],Table_Warkah[Jenis Permohonan],"")</f>
        <v/>
      </c>
      <c r="F726" s="24"/>
      <c r="G726" s="24"/>
      <c r="H726" s="13" t="str">
        <f t="shared" si="1"/>
        <v/>
      </c>
      <c r="I726" s="18"/>
      <c r="J726" s="20" t="b">
        <v>0</v>
      </c>
      <c r="K726" s="13" t="str">
        <f t="shared" si="2"/>
        <v/>
      </c>
      <c r="L726" s="13"/>
      <c r="M726" s="21" t="s">
        <v>45</v>
      </c>
    </row>
    <row r="727" ht="22.5" customHeight="1">
      <c r="B727" s="13">
        <f t="shared" si="3"/>
        <v>720</v>
      </c>
      <c r="C727" s="24"/>
      <c r="D727" s="14" t="str">
        <f t="array" ref="D727">IF(C727="","",IFNA(_xlfn.XLOOKUP(C727,'a 01'!$C$6:$C$999,'a 01'!$D$6:$D$999),""))</f>
        <v/>
      </c>
      <c r="E727" s="18" t="str">
        <f t="array" ref="E727">_xlfn.XLOOKUP(D727,Table_Warkah[Kode Tiket],Table_Warkah[Jenis Permohonan],"")</f>
        <v/>
      </c>
      <c r="F727" s="24"/>
      <c r="G727" s="24"/>
      <c r="H727" s="13" t="str">
        <f t="shared" si="1"/>
        <v/>
      </c>
      <c r="I727" s="18"/>
      <c r="J727" s="20" t="b">
        <v>0</v>
      </c>
      <c r="K727" s="13" t="str">
        <f t="shared" si="2"/>
        <v/>
      </c>
      <c r="L727" s="13"/>
      <c r="M727" s="21" t="s">
        <v>45</v>
      </c>
    </row>
    <row r="728" ht="22.5" customHeight="1">
      <c r="B728" s="13">
        <f t="shared" si="3"/>
        <v>721</v>
      </c>
      <c r="C728" s="24"/>
      <c r="D728" s="14" t="str">
        <f t="array" ref="D728">IF(C728="","",IFNA(_xlfn.XLOOKUP(C728,'a 01'!$C$6:$C$999,'a 01'!$D$6:$D$999),""))</f>
        <v/>
      </c>
      <c r="E728" s="18" t="str">
        <f t="array" ref="E728">_xlfn.XLOOKUP(D728,Table_Warkah[Kode Tiket],Table_Warkah[Jenis Permohonan],"")</f>
        <v/>
      </c>
      <c r="F728" s="24"/>
      <c r="G728" s="24"/>
      <c r="H728" s="13" t="str">
        <f t="shared" si="1"/>
        <v/>
      </c>
      <c r="I728" s="18"/>
      <c r="J728" s="20" t="b">
        <v>0</v>
      </c>
      <c r="K728" s="13" t="str">
        <f t="shared" si="2"/>
        <v/>
      </c>
      <c r="L728" s="13"/>
      <c r="M728" s="21" t="s">
        <v>45</v>
      </c>
    </row>
    <row r="729" ht="22.5" customHeight="1">
      <c r="B729" s="13">
        <f t="shared" si="3"/>
        <v>722</v>
      </c>
      <c r="C729" s="24"/>
      <c r="D729" s="14" t="str">
        <f t="array" ref="D729">IF(C729="","",IFNA(_xlfn.XLOOKUP(C729,'a 01'!$C$6:$C$999,'a 01'!$D$6:$D$999),""))</f>
        <v/>
      </c>
      <c r="E729" s="18" t="str">
        <f t="array" ref="E729">_xlfn.XLOOKUP(D729,Table_Warkah[Kode Tiket],Table_Warkah[Jenis Permohonan],"")</f>
        <v/>
      </c>
      <c r="F729" s="24"/>
      <c r="G729" s="24"/>
      <c r="H729" s="13" t="str">
        <f t="shared" si="1"/>
        <v/>
      </c>
      <c r="I729" s="18"/>
      <c r="J729" s="20" t="b">
        <v>0</v>
      </c>
      <c r="K729" s="13" t="str">
        <f t="shared" si="2"/>
        <v/>
      </c>
      <c r="L729" s="13"/>
      <c r="M729" s="21" t="s">
        <v>45</v>
      </c>
    </row>
    <row r="730" ht="22.5" customHeight="1">
      <c r="B730" s="13">
        <f t="shared" si="3"/>
        <v>723</v>
      </c>
      <c r="C730" s="24"/>
      <c r="D730" s="14" t="str">
        <f t="array" ref="D730">IF(C730="","",IFNA(_xlfn.XLOOKUP(C730,'a 01'!$C$6:$C$999,'a 01'!$D$6:$D$999),""))</f>
        <v/>
      </c>
      <c r="E730" s="18" t="str">
        <f t="array" ref="E730">_xlfn.XLOOKUP(D730,Table_Warkah[Kode Tiket],Table_Warkah[Jenis Permohonan],"")</f>
        <v/>
      </c>
      <c r="F730" s="24"/>
      <c r="G730" s="24"/>
      <c r="H730" s="13" t="str">
        <f t="shared" si="1"/>
        <v/>
      </c>
      <c r="I730" s="18"/>
      <c r="J730" s="20" t="b">
        <v>0</v>
      </c>
      <c r="K730" s="13" t="str">
        <f t="shared" si="2"/>
        <v/>
      </c>
      <c r="L730" s="13"/>
      <c r="M730" s="21" t="s">
        <v>45</v>
      </c>
    </row>
    <row r="731" ht="22.5" customHeight="1">
      <c r="B731" s="13">
        <f t="shared" si="3"/>
        <v>724</v>
      </c>
      <c r="C731" s="24"/>
      <c r="D731" s="14" t="str">
        <f t="array" ref="D731">IF(C731="","",IFNA(_xlfn.XLOOKUP(C731,'a 01'!$C$6:$C$999,'a 01'!$D$6:$D$999),""))</f>
        <v/>
      </c>
      <c r="E731" s="18" t="str">
        <f t="array" ref="E731">_xlfn.XLOOKUP(D731,Table_Warkah[Kode Tiket],Table_Warkah[Jenis Permohonan],"")</f>
        <v/>
      </c>
      <c r="F731" s="24"/>
      <c r="G731" s="24"/>
      <c r="H731" s="13" t="str">
        <f t="shared" si="1"/>
        <v/>
      </c>
      <c r="I731" s="18"/>
      <c r="J731" s="20" t="b">
        <v>0</v>
      </c>
      <c r="K731" s="13" t="str">
        <f t="shared" si="2"/>
        <v/>
      </c>
      <c r="L731" s="13"/>
      <c r="M731" s="21" t="s">
        <v>45</v>
      </c>
    </row>
    <row r="732" ht="22.5" customHeight="1">
      <c r="B732" s="13">
        <f t="shared" si="3"/>
        <v>725</v>
      </c>
      <c r="C732" s="24"/>
      <c r="D732" s="14" t="str">
        <f t="array" ref="D732">IF(C732="","",IFNA(_xlfn.XLOOKUP(C732,'a 01'!$C$6:$C$999,'a 01'!$D$6:$D$999),""))</f>
        <v/>
      </c>
      <c r="E732" s="18" t="str">
        <f t="array" ref="E732">_xlfn.XLOOKUP(D732,Table_Warkah[Kode Tiket],Table_Warkah[Jenis Permohonan],"")</f>
        <v/>
      </c>
      <c r="F732" s="24"/>
      <c r="G732" s="24"/>
      <c r="H732" s="13" t="str">
        <f t="shared" si="1"/>
        <v/>
      </c>
      <c r="I732" s="18"/>
      <c r="J732" s="20" t="b">
        <v>0</v>
      </c>
      <c r="K732" s="13" t="str">
        <f t="shared" si="2"/>
        <v/>
      </c>
      <c r="L732" s="13"/>
      <c r="M732" s="21" t="s">
        <v>45</v>
      </c>
    </row>
    <row r="733" ht="22.5" customHeight="1">
      <c r="B733" s="13">
        <f t="shared" si="3"/>
        <v>726</v>
      </c>
      <c r="C733" s="24"/>
      <c r="D733" s="14" t="str">
        <f t="array" ref="D733">IF(C733="","",IFNA(_xlfn.XLOOKUP(C733,'a 01'!$C$6:$C$999,'a 01'!$D$6:$D$999),""))</f>
        <v/>
      </c>
      <c r="E733" s="18" t="str">
        <f t="array" ref="E733">_xlfn.XLOOKUP(D733,Table_Warkah[Kode Tiket],Table_Warkah[Jenis Permohonan],"")</f>
        <v/>
      </c>
      <c r="F733" s="24"/>
      <c r="G733" s="24"/>
      <c r="H733" s="13" t="str">
        <f t="shared" si="1"/>
        <v/>
      </c>
      <c r="I733" s="18"/>
      <c r="J733" s="20" t="b">
        <v>0</v>
      </c>
      <c r="K733" s="13" t="str">
        <f t="shared" si="2"/>
        <v/>
      </c>
      <c r="L733" s="13"/>
      <c r="M733" s="21" t="s">
        <v>45</v>
      </c>
    </row>
    <row r="734" ht="22.5" customHeight="1">
      <c r="B734" s="13">
        <f t="shared" si="3"/>
        <v>727</v>
      </c>
      <c r="C734" s="24"/>
      <c r="D734" s="14" t="str">
        <f t="array" ref="D734">IF(C734="","",IFNA(_xlfn.XLOOKUP(C734,'a 01'!$C$6:$C$999,'a 01'!$D$6:$D$999),""))</f>
        <v/>
      </c>
      <c r="E734" s="18" t="str">
        <f t="array" ref="E734">_xlfn.XLOOKUP(D734,Table_Warkah[Kode Tiket],Table_Warkah[Jenis Permohonan],"")</f>
        <v/>
      </c>
      <c r="F734" s="24"/>
      <c r="G734" s="24"/>
      <c r="H734" s="13" t="str">
        <f t="shared" si="1"/>
        <v/>
      </c>
      <c r="I734" s="18"/>
      <c r="J734" s="20" t="b">
        <v>0</v>
      </c>
      <c r="K734" s="13" t="str">
        <f t="shared" si="2"/>
        <v/>
      </c>
      <c r="L734" s="13"/>
      <c r="M734" s="21" t="s">
        <v>45</v>
      </c>
    </row>
    <row r="735" ht="22.5" customHeight="1">
      <c r="B735" s="13">
        <f t="shared" si="3"/>
        <v>728</v>
      </c>
      <c r="C735" s="24"/>
      <c r="D735" s="14" t="str">
        <f t="array" ref="D735">IF(C735="","",IFNA(_xlfn.XLOOKUP(C735,'a 01'!$C$6:$C$999,'a 01'!$D$6:$D$999),""))</f>
        <v/>
      </c>
      <c r="E735" s="18" t="str">
        <f t="array" ref="E735">_xlfn.XLOOKUP(D735,Table_Warkah[Kode Tiket],Table_Warkah[Jenis Permohonan],"")</f>
        <v/>
      </c>
      <c r="F735" s="24"/>
      <c r="G735" s="24"/>
      <c r="H735" s="13" t="str">
        <f t="shared" si="1"/>
        <v/>
      </c>
      <c r="I735" s="18"/>
      <c r="J735" s="20" t="b">
        <v>0</v>
      </c>
      <c r="K735" s="13" t="str">
        <f t="shared" si="2"/>
        <v/>
      </c>
      <c r="L735" s="13"/>
      <c r="M735" s="21" t="s">
        <v>45</v>
      </c>
    </row>
    <row r="736" ht="22.5" customHeight="1">
      <c r="B736" s="13">
        <f t="shared" si="3"/>
        <v>729</v>
      </c>
      <c r="C736" s="24"/>
      <c r="D736" s="14" t="str">
        <f t="array" ref="D736">IF(C736="","",IFNA(_xlfn.XLOOKUP(C736,'a 01'!$C$6:$C$999,'a 01'!$D$6:$D$999),""))</f>
        <v/>
      </c>
      <c r="E736" s="18" t="str">
        <f t="array" ref="E736">_xlfn.XLOOKUP(D736,Table_Warkah[Kode Tiket],Table_Warkah[Jenis Permohonan],"")</f>
        <v/>
      </c>
      <c r="F736" s="24"/>
      <c r="G736" s="24"/>
      <c r="H736" s="13" t="str">
        <f t="shared" si="1"/>
        <v/>
      </c>
      <c r="I736" s="18"/>
      <c r="J736" s="20" t="b">
        <v>0</v>
      </c>
      <c r="K736" s="13" t="str">
        <f t="shared" si="2"/>
        <v/>
      </c>
      <c r="L736" s="13"/>
      <c r="M736" s="21" t="s">
        <v>45</v>
      </c>
    </row>
    <row r="737" ht="22.5" customHeight="1">
      <c r="B737" s="13">
        <f t="shared" si="3"/>
        <v>730</v>
      </c>
      <c r="C737" s="24"/>
      <c r="D737" s="14" t="str">
        <f t="array" ref="D737">IF(C737="","",IFNA(_xlfn.XLOOKUP(C737,'a 01'!$C$6:$C$999,'a 01'!$D$6:$D$999),""))</f>
        <v/>
      </c>
      <c r="E737" s="18" t="str">
        <f t="array" ref="E737">_xlfn.XLOOKUP(D737,Table_Warkah[Kode Tiket],Table_Warkah[Jenis Permohonan],"")</f>
        <v/>
      </c>
      <c r="F737" s="24"/>
      <c r="G737" s="24"/>
      <c r="H737" s="13" t="str">
        <f t="shared" si="1"/>
        <v/>
      </c>
      <c r="I737" s="18"/>
      <c r="J737" s="20" t="b">
        <v>0</v>
      </c>
      <c r="K737" s="13" t="str">
        <f t="shared" si="2"/>
        <v/>
      </c>
      <c r="L737" s="13"/>
      <c r="M737" s="21" t="s">
        <v>45</v>
      </c>
    </row>
    <row r="738" ht="22.5" customHeight="1">
      <c r="B738" s="13">
        <f t="shared" si="3"/>
        <v>731</v>
      </c>
      <c r="C738" s="24"/>
      <c r="D738" s="14" t="str">
        <f t="array" ref="D738">IF(C738="","",IFNA(_xlfn.XLOOKUP(C738,'a 01'!$C$6:$C$999,'a 01'!$D$6:$D$999),""))</f>
        <v/>
      </c>
      <c r="E738" s="18" t="str">
        <f t="array" ref="E738">_xlfn.XLOOKUP(D738,Table_Warkah[Kode Tiket],Table_Warkah[Jenis Permohonan],"")</f>
        <v/>
      </c>
      <c r="F738" s="24"/>
      <c r="G738" s="24"/>
      <c r="H738" s="13" t="str">
        <f t="shared" si="1"/>
        <v/>
      </c>
      <c r="I738" s="18"/>
      <c r="J738" s="20" t="b">
        <v>0</v>
      </c>
      <c r="K738" s="13" t="str">
        <f t="shared" si="2"/>
        <v/>
      </c>
      <c r="L738" s="13"/>
      <c r="M738" s="21" t="s">
        <v>45</v>
      </c>
    </row>
    <row r="739" ht="22.5" customHeight="1">
      <c r="B739" s="13">
        <f t="shared" si="3"/>
        <v>732</v>
      </c>
      <c r="C739" s="24"/>
      <c r="D739" s="14" t="str">
        <f t="array" ref="D739">IF(C739="","",IFNA(_xlfn.XLOOKUP(C739,'a 01'!$C$6:$C$999,'a 01'!$D$6:$D$999),""))</f>
        <v/>
      </c>
      <c r="E739" s="18" t="str">
        <f t="array" ref="E739">_xlfn.XLOOKUP(D739,Table_Warkah[Kode Tiket],Table_Warkah[Jenis Permohonan],"")</f>
        <v/>
      </c>
      <c r="F739" s="24"/>
      <c r="G739" s="24"/>
      <c r="H739" s="13" t="str">
        <f t="shared" si="1"/>
        <v/>
      </c>
      <c r="I739" s="18"/>
      <c r="J739" s="20" t="b">
        <v>0</v>
      </c>
      <c r="K739" s="13" t="str">
        <f t="shared" si="2"/>
        <v/>
      </c>
      <c r="L739" s="13"/>
      <c r="M739" s="21" t="s">
        <v>45</v>
      </c>
    </row>
    <row r="740" ht="22.5" customHeight="1">
      <c r="B740" s="13">
        <f t="shared" si="3"/>
        <v>733</v>
      </c>
      <c r="C740" s="24"/>
      <c r="D740" s="14" t="str">
        <f t="array" ref="D740">IF(C740="","",IFNA(_xlfn.XLOOKUP(C740,'a 01'!$C$6:$C$999,'a 01'!$D$6:$D$999),""))</f>
        <v/>
      </c>
      <c r="E740" s="18" t="str">
        <f t="array" ref="E740">_xlfn.XLOOKUP(D740,Table_Warkah[Kode Tiket],Table_Warkah[Jenis Permohonan],"")</f>
        <v/>
      </c>
      <c r="F740" s="24"/>
      <c r="G740" s="24"/>
      <c r="H740" s="13" t="str">
        <f t="shared" si="1"/>
        <v/>
      </c>
      <c r="I740" s="18"/>
      <c r="J740" s="20" t="b">
        <v>0</v>
      </c>
      <c r="K740" s="13" t="str">
        <f t="shared" si="2"/>
        <v/>
      </c>
      <c r="L740" s="13"/>
      <c r="M740" s="21" t="s">
        <v>45</v>
      </c>
    </row>
    <row r="741" ht="22.5" customHeight="1">
      <c r="B741" s="13">
        <f t="shared" si="3"/>
        <v>734</v>
      </c>
      <c r="C741" s="24"/>
      <c r="D741" s="14" t="str">
        <f t="array" ref="D741">IF(C741="","",IFNA(_xlfn.XLOOKUP(C741,'a 01'!$C$6:$C$999,'a 01'!$D$6:$D$999),""))</f>
        <v/>
      </c>
      <c r="E741" s="18" t="str">
        <f t="array" ref="E741">_xlfn.XLOOKUP(D741,Table_Warkah[Kode Tiket],Table_Warkah[Jenis Permohonan],"")</f>
        <v/>
      </c>
      <c r="F741" s="24"/>
      <c r="G741" s="24"/>
      <c r="H741" s="13" t="str">
        <f t="shared" si="1"/>
        <v/>
      </c>
      <c r="I741" s="18"/>
      <c r="J741" s="20" t="b">
        <v>0</v>
      </c>
      <c r="K741" s="13" t="str">
        <f t="shared" si="2"/>
        <v/>
      </c>
      <c r="L741" s="13"/>
      <c r="M741" s="21" t="s">
        <v>45</v>
      </c>
    </row>
    <row r="742" ht="22.5" customHeight="1">
      <c r="B742" s="13">
        <f t="shared" si="3"/>
        <v>735</v>
      </c>
      <c r="C742" s="24"/>
      <c r="D742" s="14" t="str">
        <f t="array" ref="D742">IF(C742="","",IFNA(_xlfn.XLOOKUP(C742,'a 01'!$C$6:$C$999,'a 01'!$D$6:$D$999),""))</f>
        <v/>
      </c>
      <c r="E742" s="18" t="str">
        <f t="array" ref="E742">_xlfn.XLOOKUP(D742,Table_Warkah[Kode Tiket],Table_Warkah[Jenis Permohonan],"")</f>
        <v/>
      </c>
      <c r="F742" s="24"/>
      <c r="G742" s="24"/>
      <c r="H742" s="13" t="str">
        <f t="shared" si="1"/>
        <v/>
      </c>
      <c r="I742" s="18"/>
      <c r="J742" s="20" t="b">
        <v>0</v>
      </c>
      <c r="K742" s="13" t="str">
        <f t="shared" si="2"/>
        <v/>
      </c>
      <c r="L742" s="13"/>
      <c r="M742" s="21" t="s">
        <v>45</v>
      </c>
    </row>
    <row r="743" ht="22.5" customHeight="1">
      <c r="B743" s="13">
        <f t="shared" si="3"/>
        <v>736</v>
      </c>
      <c r="C743" s="24"/>
      <c r="D743" s="14" t="str">
        <f t="array" ref="D743">IF(C743="","",IFNA(_xlfn.XLOOKUP(C743,'a 01'!$C$6:$C$999,'a 01'!$D$6:$D$999),""))</f>
        <v/>
      </c>
      <c r="E743" s="18" t="str">
        <f t="array" ref="E743">_xlfn.XLOOKUP(D743,Table_Warkah[Kode Tiket],Table_Warkah[Jenis Permohonan],"")</f>
        <v/>
      </c>
      <c r="F743" s="24"/>
      <c r="G743" s="24"/>
      <c r="H743" s="13" t="str">
        <f t="shared" si="1"/>
        <v/>
      </c>
      <c r="I743" s="18"/>
      <c r="J743" s="20" t="b">
        <v>0</v>
      </c>
      <c r="K743" s="13" t="str">
        <f t="shared" si="2"/>
        <v/>
      </c>
      <c r="L743" s="13"/>
      <c r="M743" s="21" t="s">
        <v>45</v>
      </c>
    </row>
    <row r="744" ht="22.5" customHeight="1">
      <c r="B744" s="13">
        <f t="shared" si="3"/>
        <v>737</v>
      </c>
      <c r="C744" s="24"/>
      <c r="D744" s="14" t="str">
        <f t="array" ref="D744">IF(C744="","",IFNA(_xlfn.XLOOKUP(C744,'a 01'!$C$6:$C$999,'a 01'!$D$6:$D$999),""))</f>
        <v/>
      </c>
      <c r="E744" s="18" t="str">
        <f t="array" ref="E744">_xlfn.XLOOKUP(D744,Table_Warkah[Kode Tiket],Table_Warkah[Jenis Permohonan],"")</f>
        <v/>
      </c>
      <c r="F744" s="24"/>
      <c r="G744" s="24"/>
      <c r="H744" s="13" t="str">
        <f t="shared" si="1"/>
        <v/>
      </c>
      <c r="I744" s="18"/>
      <c r="J744" s="20" t="b">
        <v>0</v>
      </c>
      <c r="K744" s="13" t="str">
        <f t="shared" si="2"/>
        <v/>
      </c>
      <c r="L744" s="13"/>
      <c r="M744" s="21" t="s">
        <v>45</v>
      </c>
    </row>
    <row r="745" ht="22.5" customHeight="1">
      <c r="B745" s="13">
        <f t="shared" si="3"/>
        <v>738</v>
      </c>
      <c r="C745" s="24"/>
      <c r="D745" s="14" t="str">
        <f t="array" ref="D745">IF(C745="","",IFNA(_xlfn.XLOOKUP(C745,'a 01'!$C$6:$C$999,'a 01'!$D$6:$D$999),""))</f>
        <v/>
      </c>
      <c r="E745" s="18" t="str">
        <f t="array" ref="E745">_xlfn.XLOOKUP(D745,Table_Warkah[Kode Tiket],Table_Warkah[Jenis Permohonan],"")</f>
        <v/>
      </c>
      <c r="F745" s="24"/>
      <c r="G745" s="24"/>
      <c r="H745" s="13" t="str">
        <f t="shared" si="1"/>
        <v/>
      </c>
      <c r="I745" s="18"/>
      <c r="J745" s="20" t="b">
        <v>0</v>
      </c>
      <c r="K745" s="13" t="str">
        <f t="shared" si="2"/>
        <v/>
      </c>
      <c r="L745" s="13"/>
      <c r="M745" s="21" t="s">
        <v>45</v>
      </c>
    </row>
    <row r="746" ht="22.5" customHeight="1">
      <c r="B746" s="13">
        <f t="shared" si="3"/>
        <v>739</v>
      </c>
      <c r="C746" s="24"/>
      <c r="D746" s="14" t="str">
        <f t="array" ref="D746">IF(C746="","",IFNA(_xlfn.XLOOKUP(C746,'a 01'!$C$6:$C$999,'a 01'!$D$6:$D$999),""))</f>
        <v/>
      </c>
      <c r="E746" s="18" t="str">
        <f t="array" ref="E746">_xlfn.XLOOKUP(D746,Table_Warkah[Kode Tiket],Table_Warkah[Jenis Permohonan],"")</f>
        <v/>
      </c>
      <c r="F746" s="24"/>
      <c r="G746" s="24"/>
      <c r="H746" s="13" t="str">
        <f t="shared" si="1"/>
        <v/>
      </c>
      <c r="I746" s="18"/>
      <c r="J746" s="20" t="b">
        <v>0</v>
      </c>
      <c r="K746" s="13" t="str">
        <f t="shared" si="2"/>
        <v/>
      </c>
      <c r="L746" s="13"/>
      <c r="M746" s="21" t="s">
        <v>45</v>
      </c>
    </row>
    <row r="747" ht="22.5" customHeight="1">
      <c r="B747" s="13">
        <f t="shared" si="3"/>
        <v>740</v>
      </c>
      <c r="C747" s="24"/>
      <c r="D747" s="14" t="str">
        <f t="array" ref="D747">IF(C747="","",IFNA(_xlfn.XLOOKUP(C747,'a 01'!$C$6:$C$999,'a 01'!$D$6:$D$999),""))</f>
        <v/>
      </c>
      <c r="E747" s="18" t="str">
        <f t="array" ref="E747">_xlfn.XLOOKUP(D747,Table_Warkah[Kode Tiket],Table_Warkah[Jenis Permohonan],"")</f>
        <v/>
      </c>
      <c r="F747" s="24"/>
      <c r="G747" s="24"/>
      <c r="H747" s="13" t="str">
        <f t="shared" si="1"/>
        <v/>
      </c>
      <c r="I747" s="18"/>
      <c r="J747" s="20" t="b">
        <v>0</v>
      </c>
      <c r="K747" s="13" t="str">
        <f t="shared" si="2"/>
        <v/>
      </c>
      <c r="L747" s="13"/>
      <c r="M747" s="21" t="s">
        <v>45</v>
      </c>
    </row>
    <row r="748" ht="22.5" customHeight="1">
      <c r="B748" s="13">
        <f t="shared" si="3"/>
        <v>741</v>
      </c>
      <c r="C748" s="24"/>
      <c r="D748" s="14" t="str">
        <f t="array" ref="D748">IF(C748="","",IFNA(_xlfn.XLOOKUP(C748,'a 01'!$C$6:$C$999,'a 01'!$D$6:$D$999),""))</f>
        <v/>
      </c>
      <c r="E748" s="18" t="str">
        <f t="array" ref="E748">_xlfn.XLOOKUP(D748,Table_Warkah[Kode Tiket],Table_Warkah[Jenis Permohonan],"")</f>
        <v/>
      </c>
      <c r="F748" s="24"/>
      <c r="G748" s="24"/>
      <c r="H748" s="13" t="str">
        <f t="shared" si="1"/>
        <v/>
      </c>
      <c r="I748" s="18"/>
      <c r="J748" s="20" t="b">
        <v>0</v>
      </c>
      <c r="K748" s="13" t="str">
        <f t="shared" si="2"/>
        <v/>
      </c>
      <c r="L748" s="13"/>
      <c r="M748" s="21" t="s">
        <v>45</v>
      </c>
    </row>
    <row r="749" ht="22.5" customHeight="1">
      <c r="B749" s="13">
        <f t="shared" si="3"/>
        <v>742</v>
      </c>
      <c r="C749" s="24"/>
      <c r="D749" s="14" t="str">
        <f t="array" ref="D749">IF(C749="","",IFNA(_xlfn.XLOOKUP(C749,'a 01'!$C$6:$C$999,'a 01'!$D$6:$D$999),""))</f>
        <v/>
      </c>
      <c r="E749" s="18" t="str">
        <f t="array" ref="E749">_xlfn.XLOOKUP(D749,Table_Warkah[Kode Tiket],Table_Warkah[Jenis Permohonan],"")</f>
        <v/>
      </c>
      <c r="F749" s="24"/>
      <c r="G749" s="24"/>
      <c r="H749" s="13" t="str">
        <f t="shared" si="1"/>
        <v/>
      </c>
      <c r="I749" s="18"/>
      <c r="J749" s="20" t="b">
        <v>0</v>
      </c>
      <c r="K749" s="13" t="str">
        <f t="shared" si="2"/>
        <v/>
      </c>
      <c r="L749" s="13"/>
      <c r="M749" s="21" t="s">
        <v>45</v>
      </c>
    </row>
    <row r="750" ht="22.5" customHeight="1">
      <c r="B750" s="13">
        <f t="shared" si="3"/>
        <v>743</v>
      </c>
      <c r="C750" s="24"/>
      <c r="D750" s="14" t="str">
        <f t="array" ref="D750">IF(C750="","",IFNA(_xlfn.XLOOKUP(C750,'a 01'!$C$6:$C$999,'a 01'!$D$6:$D$999),""))</f>
        <v/>
      </c>
      <c r="E750" s="18" t="str">
        <f t="array" ref="E750">_xlfn.XLOOKUP(D750,Table_Warkah[Kode Tiket],Table_Warkah[Jenis Permohonan],"")</f>
        <v/>
      </c>
      <c r="F750" s="24"/>
      <c r="G750" s="24"/>
      <c r="H750" s="13" t="str">
        <f t="shared" si="1"/>
        <v/>
      </c>
      <c r="I750" s="18"/>
      <c r="J750" s="20" t="b">
        <v>0</v>
      </c>
      <c r="K750" s="13" t="str">
        <f t="shared" si="2"/>
        <v/>
      </c>
      <c r="L750" s="13"/>
      <c r="M750" s="21" t="s">
        <v>45</v>
      </c>
    </row>
    <row r="751" ht="22.5" customHeight="1">
      <c r="B751" s="13">
        <f t="shared" si="3"/>
        <v>744</v>
      </c>
      <c r="C751" s="24"/>
      <c r="D751" s="14" t="str">
        <f t="array" ref="D751">IF(C751="","",IFNA(_xlfn.XLOOKUP(C751,'a 01'!$C$6:$C$999,'a 01'!$D$6:$D$999),""))</f>
        <v/>
      </c>
      <c r="E751" s="18" t="str">
        <f t="array" ref="E751">_xlfn.XLOOKUP(D751,Table_Warkah[Kode Tiket],Table_Warkah[Jenis Permohonan],"")</f>
        <v/>
      </c>
      <c r="F751" s="24"/>
      <c r="G751" s="24"/>
      <c r="H751" s="13" t="str">
        <f t="shared" si="1"/>
        <v/>
      </c>
      <c r="I751" s="18"/>
      <c r="J751" s="20" t="b">
        <v>0</v>
      </c>
      <c r="K751" s="13" t="str">
        <f t="shared" si="2"/>
        <v/>
      </c>
      <c r="L751" s="13"/>
      <c r="M751" s="21" t="s">
        <v>45</v>
      </c>
    </row>
    <row r="752" ht="22.5" customHeight="1">
      <c r="B752" s="13">
        <f t="shared" si="3"/>
        <v>745</v>
      </c>
      <c r="C752" s="24"/>
      <c r="D752" s="14" t="str">
        <f t="array" ref="D752">IF(C752="","",IFNA(_xlfn.XLOOKUP(C752,'a 01'!$C$6:$C$999,'a 01'!$D$6:$D$999),""))</f>
        <v/>
      </c>
      <c r="E752" s="18" t="str">
        <f t="array" ref="E752">_xlfn.XLOOKUP(D752,Table_Warkah[Kode Tiket],Table_Warkah[Jenis Permohonan],"")</f>
        <v/>
      </c>
      <c r="F752" s="24"/>
      <c r="G752" s="24"/>
      <c r="H752" s="13" t="str">
        <f t="shared" si="1"/>
        <v/>
      </c>
      <c r="I752" s="18"/>
      <c r="J752" s="20" t="b">
        <v>0</v>
      </c>
      <c r="K752" s="13" t="str">
        <f t="shared" si="2"/>
        <v/>
      </c>
      <c r="L752" s="13"/>
      <c r="M752" s="21" t="s">
        <v>45</v>
      </c>
    </row>
    <row r="753" ht="22.5" customHeight="1">
      <c r="B753" s="13">
        <f t="shared" si="3"/>
        <v>746</v>
      </c>
      <c r="C753" s="24"/>
      <c r="D753" s="14" t="str">
        <f t="array" ref="D753">IF(C753="","",IFNA(_xlfn.XLOOKUP(C753,'a 01'!$C$6:$C$999,'a 01'!$D$6:$D$999),""))</f>
        <v/>
      </c>
      <c r="E753" s="18" t="str">
        <f t="array" ref="E753">_xlfn.XLOOKUP(D753,Table_Warkah[Kode Tiket],Table_Warkah[Jenis Permohonan],"")</f>
        <v/>
      </c>
      <c r="F753" s="24"/>
      <c r="G753" s="24"/>
      <c r="H753" s="13" t="str">
        <f t="shared" si="1"/>
        <v/>
      </c>
      <c r="I753" s="18"/>
      <c r="J753" s="20" t="b">
        <v>0</v>
      </c>
      <c r="K753" s="13" t="str">
        <f t="shared" si="2"/>
        <v/>
      </c>
      <c r="L753" s="13"/>
      <c r="M753" s="21" t="s">
        <v>45</v>
      </c>
    </row>
    <row r="754" ht="22.5" customHeight="1">
      <c r="B754" s="13">
        <f t="shared" si="3"/>
        <v>747</v>
      </c>
      <c r="C754" s="24"/>
      <c r="D754" s="14" t="str">
        <f t="array" ref="D754">IF(C754="","",IFNA(_xlfn.XLOOKUP(C754,'a 01'!$C$6:$C$999,'a 01'!$D$6:$D$999),""))</f>
        <v/>
      </c>
      <c r="E754" s="18" t="str">
        <f t="array" ref="E754">_xlfn.XLOOKUP(D754,Table_Warkah[Kode Tiket],Table_Warkah[Jenis Permohonan],"")</f>
        <v/>
      </c>
      <c r="F754" s="24"/>
      <c r="G754" s="24"/>
      <c r="H754" s="13" t="str">
        <f t="shared" si="1"/>
        <v/>
      </c>
      <c r="I754" s="18"/>
      <c r="J754" s="20" t="b">
        <v>0</v>
      </c>
      <c r="K754" s="13" t="str">
        <f t="shared" si="2"/>
        <v/>
      </c>
      <c r="L754" s="13"/>
      <c r="M754" s="21" t="s">
        <v>45</v>
      </c>
    </row>
    <row r="755" ht="22.5" customHeight="1">
      <c r="B755" s="13">
        <f t="shared" si="3"/>
        <v>748</v>
      </c>
      <c r="C755" s="24"/>
      <c r="D755" s="14" t="str">
        <f t="array" ref="D755">IF(C755="","",IFNA(_xlfn.XLOOKUP(C755,'a 01'!$C$6:$C$999,'a 01'!$D$6:$D$999),""))</f>
        <v/>
      </c>
      <c r="E755" s="18" t="str">
        <f t="array" ref="E755">_xlfn.XLOOKUP(D755,Table_Warkah[Kode Tiket],Table_Warkah[Jenis Permohonan],"")</f>
        <v/>
      </c>
      <c r="F755" s="24"/>
      <c r="G755" s="24"/>
      <c r="H755" s="13" t="str">
        <f t="shared" si="1"/>
        <v/>
      </c>
      <c r="I755" s="18"/>
      <c r="J755" s="20" t="b">
        <v>0</v>
      </c>
      <c r="K755" s="13" t="str">
        <f t="shared" si="2"/>
        <v/>
      </c>
      <c r="L755" s="13"/>
      <c r="M755" s="21" t="s">
        <v>45</v>
      </c>
    </row>
    <row r="756" ht="22.5" customHeight="1">
      <c r="B756" s="13">
        <f t="shared" si="3"/>
        <v>749</v>
      </c>
      <c r="C756" s="24"/>
      <c r="D756" s="14" t="str">
        <f t="array" ref="D756">IF(C756="","",IFNA(_xlfn.XLOOKUP(C756,'a 01'!$C$6:$C$999,'a 01'!$D$6:$D$999),""))</f>
        <v/>
      </c>
      <c r="E756" s="18" t="str">
        <f t="array" ref="E756">_xlfn.XLOOKUP(D756,Table_Warkah[Kode Tiket],Table_Warkah[Jenis Permohonan],"")</f>
        <v/>
      </c>
      <c r="F756" s="24"/>
      <c r="G756" s="24"/>
      <c r="H756" s="13" t="str">
        <f t="shared" si="1"/>
        <v/>
      </c>
      <c r="I756" s="18"/>
      <c r="J756" s="20" t="b">
        <v>0</v>
      </c>
      <c r="K756" s="13" t="str">
        <f t="shared" si="2"/>
        <v/>
      </c>
      <c r="L756" s="13"/>
      <c r="M756" s="21" t="s">
        <v>45</v>
      </c>
    </row>
    <row r="757" ht="22.5" customHeight="1">
      <c r="B757" s="13">
        <f t="shared" si="3"/>
        <v>750</v>
      </c>
      <c r="C757" s="24"/>
      <c r="D757" s="14" t="str">
        <f t="array" ref="D757">IF(C757="","",IFNA(_xlfn.XLOOKUP(C757,'a 01'!$C$6:$C$999,'a 01'!$D$6:$D$999),""))</f>
        <v/>
      </c>
      <c r="E757" s="18" t="str">
        <f t="array" ref="E757">_xlfn.XLOOKUP(D757,Table_Warkah[Kode Tiket],Table_Warkah[Jenis Permohonan],"")</f>
        <v/>
      </c>
      <c r="F757" s="24"/>
      <c r="G757" s="24"/>
      <c r="H757" s="13" t="str">
        <f t="shared" si="1"/>
        <v/>
      </c>
      <c r="I757" s="18"/>
      <c r="J757" s="20" t="b">
        <v>0</v>
      </c>
      <c r="K757" s="13" t="str">
        <f t="shared" si="2"/>
        <v/>
      </c>
      <c r="L757" s="13"/>
      <c r="M757" s="21" t="s">
        <v>45</v>
      </c>
    </row>
    <row r="758" ht="22.5" customHeight="1">
      <c r="B758" s="13">
        <f t="shared" si="3"/>
        <v>751</v>
      </c>
      <c r="C758" s="24"/>
      <c r="D758" s="14" t="str">
        <f t="array" ref="D758">IF(C758="","",IFNA(_xlfn.XLOOKUP(C758,'a 01'!$C$6:$C$999,'a 01'!$D$6:$D$999),""))</f>
        <v/>
      </c>
      <c r="E758" s="18" t="str">
        <f t="array" ref="E758">_xlfn.XLOOKUP(D758,Table_Warkah[Kode Tiket],Table_Warkah[Jenis Permohonan],"")</f>
        <v/>
      </c>
      <c r="F758" s="24"/>
      <c r="G758" s="24"/>
      <c r="H758" s="13" t="str">
        <f t="shared" si="1"/>
        <v/>
      </c>
      <c r="I758" s="18"/>
      <c r="J758" s="20" t="b">
        <v>0</v>
      </c>
      <c r="K758" s="13" t="str">
        <f t="shared" si="2"/>
        <v/>
      </c>
      <c r="L758" s="13"/>
      <c r="M758" s="21" t="s">
        <v>45</v>
      </c>
    </row>
    <row r="759" ht="22.5" customHeight="1">
      <c r="B759" s="13">
        <f t="shared" si="3"/>
        <v>752</v>
      </c>
      <c r="C759" s="24"/>
      <c r="D759" s="14" t="str">
        <f t="array" ref="D759">IF(C759="","",IFNA(_xlfn.XLOOKUP(C759,'a 01'!$C$6:$C$999,'a 01'!$D$6:$D$999),""))</f>
        <v/>
      </c>
      <c r="E759" s="18" t="str">
        <f t="array" ref="E759">_xlfn.XLOOKUP(D759,Table_Warkah[Kode Tiket],Table_Warkah[Jenis Permohonan],"")</f>
        <v/>
      </c>
      <c r="F759" s="24"/>
      <c r="G759" s="24"/>
      <c r="H759" s="13" t="str">
        <f t="shared" si="1"/>
        <v/>
      </c>
      <c r="I759" s="18"/>
      <c r="J759" s="20" t="b">
        <v>0</v>
      </c>
      <c r="K759" s="13" t="str">
        <f t="shared" si="2"/>
        <v/>
      </c>
      <c r="L759" s="13"/>
      <c r="M759" s="21" t="s">
        <v>45</v>
      </c>
    </row>
    <row r="760" ht="22.5" customHeight="1">
      <c r="B760" s="13">
        <f t="shared" si="3"/>
        <v>753</v>
      </c>
      <c r="C760" s="24"/>
      <c r="D760" s="14" t="str">
        <f t="array" ref="D760">IF(C760="","",IFNA(_xlfn.XLOOKUP(C760,'a 01'!$C$6:$C$999,'a 01'!$D$6:$D$999),""))</f>
        <v/>
      </c>
      <c r="E760" s="18" t="str">
        <f t="array" ref="E760">_xlfn.XLOOKUP(D760,Table_Warkah[Kode Tiket],Table_Warkah[Jenis Permohonan],"")</f>
        <v/>
      </c>
      <c r="F760" s="24"/>
      <c r="G760" s="24"/>
      <c r="H760" s="13" t="str">
        <f t="shared" si="1"/>
        <v/>
      </c>
      <c r="I760" s="18"/>
      <c r="J760" s="20" t="b">
        <v>0</v>
      </c>
      <c r="K760" s="13" t="str">
        <f t="shared" si="2"/>
        <v/>
      </c>
      <c r="L760" s="13"/>
      <c r="M760" s="21" t="s">
        <v>45</v>
      </c>
    </row>
    <row r="761" ht="22.5" customHeight="1">
      <c r="B761" s="13">
        <f t="shared" si="3"/>
        <v>754</v>
      </c>
      <c r="C761" s="24"/>
      <c r="D761" s="14" t="str">
        <f t="array" ref="D761">IF(C761="","",IFNA(_xlfn.XLOOKUP(C761,'a 01'!$C$6:$C$999,'a 01'!$D$6:$D$999),""))</f>
        <v/>
      </c>
      <c r="E761" s="18" t="str">
        <f t="array" ref="E761">_xlfn.XLOOKUP(D761,Table_Warkah[Kode Tiket],Table_Warkah[Jenis Permohonan],"")</f>
        <v/>
      </c>
      <c r="F761" s="24"/>
      <c r="G761" s="24"/>
      <c r="H761" s="13" t="str">
        <f t="shared" si="1"/>
        <v/>
      </c>
      <c r="I761" s="18"/>
      <c r="J761" s="20" t="b">
        <v>0</v>
      </c>
      <c r="K761" s="13" t="str">
        <f t="shared" si="2"/>
        <v/>
      </c>
      <c r="L761" s="13"/>
      <c r="M761" s="21" t="s">
        <v>45</v>
      </c>
    </row>
    <row r="762" ht="22.5" customHeight="1">
      <c r="B762" s="13">
        <f t="shared" si="3"/>
        <v>755</v>
      </c>
      <c r="C762" s="24"/>
      <c r="D762" s="14" t="str">
        <f t="array" ref="D762">IF(C762="","",IFNA(_xlfn.XLOOKUP(C762,'a 01'!$C$6:$C$999,'a 01'!$D$6:$D$999),""))</f>
        <v/>
      </c>
      <c r="E762" s="18" t="str">
        <f t="array" ref="E762">_xlfn.XLOOKUP(D762,Table_Warkah[Kode Tiket],Table_Warkah[Jenis Permohonan],"")</f>
        <v/>
      </c>
      <c r="F762" s="24"/>
      <c r="G762" s="24"/>
      <c r="H762" s="13" t="str">
        <f t="shared" si="1"/>
        <v/>
      </c>
      <c r="I762" s="18"/>
      <c r="J762" s="20" t="b">
        <v>0</v>
      </c>
      <c r="K762" s="13" t="str">
        <f t="shared" si="2"/>
        <v/>
      </c>
      <c r="L762" s="13"/>
      <c r="M762" s="21" t="s">
        <v>45</v>
      </c>
    </row>
    <row r="763" ht="22.5" customHeight="1">
      <c r="B763" s="13">
        <f t="shared" si="3"/>
        <v>756</v>
      </c>
      <c r="C763" s="24"/>
      <c r="D763" s="14" t="str">
        <f t="array" ref="D763">IF(C763="","",IFNA(_xlfn.XLOOKUP(C763,'a 01'!$C$6:$C$999,'a 01'!$D$6:$D$999),""))</f>
        <v/>
      </c>
      <c r="E763" s="18" t="str">
        <f t="array" ref="E763">_xlfn.XLOOKUP(D763,Table_Warkah[Kode Tiket],Table_Warkah[Jenis Permohonan],"")</f>
        <v/>
      </c>
      <c r="F763" s="24"/>
      <c r="G763" s="24"/>
      <c r="H763" s="13" t="str">
        <f t="shared" si="1"/>
        <v/>
      </c>
      <c r="I763" s="18"/>
      <c r="J763" s="20" t="b">
        <v>0</v>
      </c>
      <c r="K763" s="13" t="str">
        <f t="shared" si="2"/>
        <v/>
      </c>
      <c r="L763" s="13"/>
      <c r="M763" s="21" t="s">
        <v>45</v>
      </c>
    </row>
    <row r="764" ht="22.5" customHeight="1">
      <c r="B764" s="13">
        <f t="shared" si="3"/>
        <v>757</v>
      </c>
      <c r="C764" s="24"/>
      <c r="D764" s="14" t="str">
        <f t="array" ref="D764">IF(C764="","",IFNA(_xlfn.XLOOKUP(C764,'a 01'!$C$6:$C$999,'a 01'!$D$6:$D$999),""))</f>
        <v/>
      </c>
      <c r="E764" s="18" t="str">
        <f t="array" ref="E764">_xlfn.XLOOKUP(D764,Table_Warkah[Kode Tiket],Table_Warkah[Jenis Permohonan],"")</f>
        <v/>
      </c>
      <c r="F764" s="24"/>
      <c r="G764" s="24"/>
      <c r="H764" s="13" t="str">
        <f t="shared" si="1"/>
        <v/>
      </c>
      <c r="I764" s="18"/>
      <c r="J764" s="20" t="b">
        <v>0</v>
      </c>
      <c r="K764" s="13" t="str">
        <f t="shared" si="2"/>
        <v/>
      </c>
      <c r="L764" s="13"/>
      <c r="M764" s="21" t="s">
        <v>45</v>
      </c>
    </row>
    <row r="765" ht="22.5" customHeight="1">
      <c r="B765" s="13">
        <f t="shared" si="3"/>
        <v>758</v>
      </c>
      <c r="C765" s="24"/>
      <c r="D765" s="14" t="str">
        <f t="array" ref="D765">IF(C765="","",IFNA(_xlfn.XLOOKUP(C765,'a 01'!$C$6:$C$999,'a 01'!$D$6:$D$999),""))</f>
        <v/>
      </c>
      <c r="E765" s="18" t="str">
        <f t="array" ref="E765">_xlfn.XLOOKUP(D765,Table_Warkah[Kode Tiket],Table_Warkah[Jenis Permohonan],"")</f>
        <v/>
      </c>
      <c r="F765" s="24"/>
      <c r="G765" s="24"/>
      <c r="H765" s="13" t="str">
        <f t="shared" si="1"/>
        <v/>
      </c>
      <c r="I765" s="18"/>
      <c r="J765" s="20" t="b">
        <v>0</v>
      </c>
      <c r="K765" s="13" t="str">
        <f t="shared" si="2"/>
        <v/>
      </c>
      <c r="L765" s="13"/>
      <c r="M765" s="21" t="s">
        <v>45</v>
      </c>
    </row>
    <row r="766" ht="22.5" customHeight="1">
      <c r="B766" s="13">
        <f t="shared" si="3"/>
        <v>759</v>
      </c>
      <c r="C766" s="24"/>
      <c r="D766" s="14" t="str">
        <f t="array" ref="D766">IF(C766="","",IFNA(_xlfn.XLOOKUP(C766,'a 01'!$C$6:$C$999,'a 01'!$D$6:$D$999),""))</f>
        <v/>
      </c>
      <c r="E766" s="18" t="str">
        <f t="array" ref="E766">_xlfn.XLOOKUP(D766,Table_Warkah[Kode Tiket],Table_Warkah[Jenis Permohonan],"")</f>
        <v/>
      </c>
      <c r="F766" s="24"/>
      <c r="G766" s="24"/>
      <c r="H766" s="13" t="str">
        <f t="shared" si="1"/>
        <v/>
      </c>
      <c r="I766" s="18"/>
      <c r="J766" s="20" t="b">
        <v>0</v>
      </c>
      <c r="K766" s="13" t="str">
        <f t="shared" si="2"/>
        <v/>
      </c>
      <c r="L766" s="13"/>
      <c r="M766" s="21" t="s">
        <v>45</v>
      </c>
    </row>
    <row r="767" ht="22.5" customHeight="1">
      <c r="B767" s="13">
        <f t="shared" si="3"/>
        <v>760</v>
      </c>
      <c r="C767" s="24"/>
      <c r="D767" s="14" t="str">
        <f t="array" ref="D767">IF(C767="","",IFNA(_xlfn.XLOOKUP(C767,'a 01'!$C$6:$C$999,'a 01'!$D$6:$D$999),""))</f>
        <v/>
      </c>
      <c r="E767" s="18" t="str">
        <f t="array" ref="E767">_xlfn.XLOOKUP(D767,Table_Warkah[Kode Tiket],Table_Warkah[Jenis Permohonan],"")</f>
        <v/>
      </c>
      <c r="F767" s="24"/>
      <c r="G767" s="24"/>
      <c r="H767" s="13" t="str">
        <f t="shared" si="1"/>
        <v/>
      </c>
      <c r="I767" s="18"/>
      <c r="J767" s="20" t="b">
        <v>0</v>
      </c>
      <c r="K767" s="13" t="str">
        <f t="shared" si="2"/>
        <v/>
      </c>
      <c r="L767" s="13"/>
      <c r="M767" s="21" t="s">
        <v>45</v>
      </c>
    </row>
    <row r="768" ht="22.5" customHeight="1">
      <c r="B768" s="13">
        <f t="shared" si="3"/>
        <v>761</v>
      </c>
      <c r="C768" s="24"/>
      <c r="D768" s="14" t="str">
        <f t="array" ref="D768">IF(C768="","",IFNA(_xlfn.XLOOKUP(C768,'a 01'!$C$6:$C$999,'a 01'!$D$6:$D$999),""))</f>
        <v/>
      </c>
      <c r="E768" s="18" t="str">
        <f t="array" ref="E768">_xlfn.XLOOKUP(D768,Table_Warkah[Kode Tiket],Table_Warkah[Jenis Permohonan],"")</f>
        <v/>
      </c>
      <c r="F768" s="24"/>
      <c r="G768" s="24"/>
      <c r="H768" s="13" t="str">
        <f t="shared" si="1"/>
        <v/>
      </c>
      <c r="I768" s="18"/>
      <c r="J768" s="20" t="b">
        <v>0</v>
      </c>
      <c r="K768" s="13" t="str">
        <f t="shared" si="2"/>
        <v/>
      </c>
      <c r="L768" s="13"/>
      <c r="M768" s="21" t="s">
        <v>45</v>
      </c>
    </row>
    <row r="769" ht="22.5" customHeight="1">
      <c r="B769" s="13">
        <f t="shared" si="3"/>
        <v>762</v>
      </c>
      <c r="C769" s="24"/>
      <c r="D769" s="14" t="str">
        <f t="array" ref="D769">IF(C769="","",IFNA(_xlfn.XLOOKUP(C769,'a 01'!$C$6:$C$999,'a 01'!$D$6:$D$999),""))</f>
        <v/>
      </c>
      <c r="E769" s="18" t="str">
        <f t="array" ref="E769">_xlfn.XLOOKUP(D769,Table_Warkah[Kode Tiket],Table_Warkah[Jenis Permohonan],"")</f>
        <v/>
      </c>
      <c r="F769" s="24"/>
      <c r="G769" s="24"/>
      <c r="H769" s="13" t="str">
        <f t="shared" si="1"/>
        <v/>
      </c>
      <c r="I769" s="18"/>
      <c r="J769" s="20" t="b">
        <v>0</v>
      </c>
      <c r="K769" s="13" t="str">
        <f t="shared" si="2"/>
        <v/>
      </c>
      <c r="L769" s="13"/>
      <c r="M769" s="21" t="s">
        <v>45</v>
      </c>
    </row>
    <row r="770" ht="22.5" customHeight="1">
      <c r="B770" s="13">
        <f t="shared" si="3"/>
        <v>763</v>
      </c>
      <c r="C770" s="24"/>
      <c r="D770" s="14" t="str">
        <f t="array" ref="D770">IF(C770="","",IFNA(_xlfn.XLOOKUP(C770,'a 01'!$C$6:$C$999,'a 01'!$D$6:$D$999),""))</f>
        <v/>
      </c>
      <c r="E770" s="18" t="str">
        <f t="array" ref="E770">_xlfn.XLOOKUP(D770,Table_Warkah[Kode Tiket],Table_Warkah[Jenis Permohonan],"")</f>
        <v/>
      </c>
      <c r="F770" s="24"/>
      <c r="G770" s="24"/>
      <c r="H770" s="13" t="str">
        <f t="shared" si="1"/>
        <v/>
      </c>
      <c r="I770" s="18"/>
      <c r="J770" s="20" t="b">
        <v>0</v>
      </c>
      <c r="K770" s="13" t="str">
        <f t="shared" si="2"/>
        <v/>
      </c>
      <c r="L770" s="13"/>
      <c r="M770" s="21" t="s">
        <v>45</v>
      </c>
    </row>
    <row r="771" ht="22.5" customHeight="1">
      <c r="B771" s="13">
        <f t="shared" si="3"/>
        <v>764</v>
      </c>
      <c r="C771" s="24"/>
      <c r="D771" s="14" t="str">
        <f t="array" ref="D771">IF(C771="","",IFNA(_xlfn.XLOOKUP(C771,'a 01'!$C$6:$C$999,'a 01'!$D$6:$D$999),""))</f>
        <v/>
      </c>
      <c r="E771" s="18" t="str">
        <f t="array" ref="E771">_xlfn.XLOOKUP(D771,Table_Warkah[Kode Tiket],Table_Warkah[Jenis Permohonan],"")</f>
        <v/>
      </c>
      <c r="F771" s="24"/>
      <c r="G771" s="24"/>
      <c r="H771" s="13" t="str">
        <f t="shared" si="1"/>
        <v/>
      </c>
      <c r="I771" s="18"/>
      <c r="J771" s="20" t="b">
        <v>0</v>
      </c>
      <c r="K771" s="13" t="str">
        <f t="shared" si="2"/>
        <v/>
      </c>
      <c r="L771" s="13"/>
      <c r="M771" s="21" t="s">
        <v>45</v>
      </c>
    </row>
    <row r="772" ht="22.5" customHeight="1">
      <c r="B772" s="13">
        <f t="shared" si="3"/>
        <v>765</v>
      </c>
      <c r="C772" s="24"/>
      <c r="D772" s="14" t="str">
        <f t="array" ref="D772">IF(C772="","",IFNA(_xlfn.XLOOKUP(C772,'a 01'!$C$6:$C$999,'a 01'!$D$6:$D$999),""))</f>
        <v/>
      </c>
      <c r="E772" s="18" t="str">
        <f t="array" ref="E772">_xlfn.XLOOKUP(D772,Table_Warkah[Kode Tiket],Table_Warkah[Jenis Permohonan],"")</f>
        <v/>
      </c>
      <c r="F772" s="24"/>
      <c r="G772" s="24"/>
      <c r="H772" s="13" t="str">
        <f t="shared" si="1"/>
        <v/>
      </c>
      <c r="I772" s="18"/>
      <c r="J772" s="20" t="b">
        <v>0</v>
      </c>
      <c r="K772" s="13" t="str">
        <f t="shared" si="2"/>
        <v/>
      </c>
      <c r="L772" s="13"/>
      <c r="M772" s="21" t="s">
        <v>45</v>
      </c>
    </row>
    <row r="773" ht="22.5" customHeight="1">
      <c r="B773" s="13">
        <f t="shared" si="3"/>
        <v>766</v>
      </c>
      <c r="C773" s="24"/>
      <c r="D773" s="14" t="str">
        <f t="array" ref="D773">IF(C773="","",IFNA(_xlfn.XLOOKUP(C773,'a 01'!$C$6:$C$999,'a 01'!$D$6:$D$999),""))</f>
        <v/>
      </c>
      <c r="E773" s="18" t="str">
        <f t="array" ref="E773">_xlfn.XLOOKUP(D773,Table_Warkah[Kode Tiket],Table_Warkah[Jenis Permohonan],"")</f>
        <v/>
      </c>
      <c r="F773" s="24"/>
      <c r="G773" s="24"/>
      <c r="H773" s="13" t="str">
        <f t="shared" si="1"/>
        <v/>
      </c>
      <c r="I773" s="18"/>
      <c r="J773" s="20" t="b">
        <v>0</v>
      </c>
      <c r="K773" s="13" t="str">
        <f t="shared" si="2"/>
        <v/>
      </c>
      <c r="L773" s="13"/>
      <c r="M773" s="21" t="s">
        <v>45</v>
      </c>
    </row>
    <row r="774" ht="22.5" customHeight="1">
      <c r="B774" s="13">
        <f t="shared" si="3"/>
        <v>767</v>
      </c>
      <c r="C774" s="24"/>
      <c r="D774" s="14" t="str">
        <f t="array" ref="D774">IF(C774="","",IFNA(_xlfn.XLOOKUP(C774,'a 01'!$C$6:$C$999,'a 01'!$D$6:$D$999),""))</f>
        <v/>
      </c>
      <c r="E774" s="18" t="str">
        <f t="array" ref="E774">_xlfn.XLOOKUP(D774,Table_Warkah[Kode Tiket],Table_Warkah[Jenis Permohonan],"")</f>
        <v/>
      </c>
      <c r="F774" s="24"/>
      <c r="G774" s="24"/>
      <c r="H774" s="13" t="str">
        <f t="shared" si="1"/>
        <v/>
      </c>
      <c r="I774" s="18"/>
      <c r="J774" s="20" t="b">
        <v>0</v>
      </c>
      <c r="K774" s="13" t="str">
        <f t="shared" si="2"/>
        <v/>
      </c>
      <c r="L774" s="13"/>
      <c r="M774" s="21" t="s">
        <v>45</v>
      </c>
    </row>
    <row r="775" ht="22.5" customHeight="1">
      <c r="B775" s="13">
        <f t="shared" si="3"/>
        <v>768</v>
      </c>
      <c r="C775" s="24"/>
      <c r="D775" s="14" t="str">
        <f t="array" ref="D775">IF(C775="","",IFNA(_xlfn.XLOOKUP(C775,'a 01'!$C$6:$C$999,'a 01'!$D$6:$D$999),""))</f>
        <v/>
      </c>
      <c r="E775" s="18" t="str">
        <f t="array" ref="E775">_xlfn.XLOOKUP(D775,Table_Warkah[Kode Tiket],Table_Warkah[Jenis Permohonan],"")</f>
        <v/>
      </c>
      <c r="F775" s="24"/>
      <c r="G775" s="24"/>
      <c r="H775" s="13" t="str">
        <f t="shared" si="1"/>
        <v/>
      </c>
      <c r="I775" s="18"/>
      <c r="J775" s="20" t="b">
        <v>0</v>
      </c>
      <c r="K775" s="13" t="str">
        <f t="shared" si="2"/>
        <v/>
      </c>
      <c r="L775" s="13"/>
      <c r="M775" s="21" t="s">
        <v>45</v>
      </c>
    </row>
    <row r="776" ht="22.5" customHeight="1">
      <c r="B776" s="13">
        <f t="shared" si="3"/>
        <v>769</v>
      </c>
      <c r="C776" s="24"/>
      <c r="D776" s="14" t="str">
        <f t="array" ref="D776">IF(C776="","",IFNA(_xlfn.XLOOKUP(C776,'a 01'!$C$6:$C$999,'a 01'!$D$6:$D$999),""))</f>
        <v/>
      </c>
      <c r="E776" s="18" t="str">
        <f t="array" ref="E776">_xlfn.XLOOKUP(D776,Table_Warkah[Kode Tiket],Table_Warkah[Jenis Permohonan],"")</f>
        <v/>
      </c>
      <c r="F776" s="24"/>
      <c r="G776" s="24"/>
      <c r="H776" s="13" t="str">
        <f t="shared" si="1"/>
        <v/>
      </c>
      <c r="I776" s="18"/>
      <c r="J776" s="20" t="b">
        <v>0</v>
      </c>
      <c r="K776" s="13" t="str">
        <f t="shared" si="2"/>
        <v/>
      </c>
      <c r="L776" s="13"/>
      <c r="M776" s="21" t="s">
        <v>45</v>
      </c>
    </row>
    <row r="777" ht="22.5" customHeight="1">
      <c r="B777" s="13">
        <f t="shared" si="3"/>
        <v>770</v>
      </c>
      <c r="C777" s="24"/>
      <c r="D777" s="14" t="str">
        <f t="array" ref="D777">IF(C777="","",IFNA(_xlfn.XLOOKUP(C777,'a 01'!$C$6:$C$999,'a 01'!$D$6:$D$999),""))</f>
        <v/>
      </c>
      <c r="E777" s="18" t="str">
        <f t="array" ref="E777">_xlfn.XLOOKUP(D777,Table_Warkah[Kode Tiket],Table_Warkah[Jenis Permohonan],"")</f>
        <v/>
      </c>
      <c r="F777" s="24"/>
      <c r="G777" s="24"/>
      <c r="H777" s="13" t="str">
        <f t="shared" si="1"/>
        <v/>
      </c>
      <c r="I777" s="18"/>
      <c r="J777" s="20" t="b">
        <v>0</v>
      </c>
      <c r="K777" s="13" t="str">
        <f t="shared" si="2"/>
        <v/>
      </c>
      <c r="L777" s="13"/>
      <c r="M777" s="21" t="s">
        <v>45</v>
      </c>
    </row>
    <row r="778" ht="22.5" customHeight="1">
      <c r="B778" s="13">
        <f t="shared" si="3"/>
        <v>771</v>
      </c>
      <c r="C778" s="24"/>
      <c r="D778" s="14" t="str">
        <f t="array" ref="D778">IF(C778="","",IFNA(_xlfn.XLOOKUP(C778,'a 01'!$C$6:$C$999,'a 01'!$D$6:$D$999),""))</f>
        <v/>
      </c>
      <c r="E778" s="18" t="str">
        <f t="array" ref="E778">_xlfn.XLOOKUP(D778,Table_Warkah[Kode Tiket],Table_Warkah[Jenis Permohonan],"")</f>
        <v/>
      </c>
      <c r="F778" s="24"/>
      <c r="G778" s="24"/>
      <c r="H778" s="13" t="str">
        <f t="shared" si="1"/>
        <v/>
      </c>
      <c r="I778" s="18"/>
      <c r="J778" s="20" t="b">
        <v>0</v>
      </c>
      <c r="K778" s="13" t="str">
        <f t="shared" si="2"/>
        <v/>
      </c>
      <c r="L778" s="13"/>
      <c r="M778" s="21" t="s">
        <v>45</v>
      </c>
    </row>
    <row r="779" ht="22.5" customHeight="1">
      <c r="B779" s="13">
        <f t="shared" si="3"/>
        <v>772</v>
      </c>
      <c r="C779" s="24"/>
      <c r="D779" s="14" t="str">
        <f t="array" ref="D779">IF(C779="","",IFNA(_xlfn.XLOOKUP(C779,'a 01'!$C$6:$C$999,'a 01'!$D$6:$D$999),""))</f>
        <v/>
      </c>
      <c r="E779" s="18" t="str">
        <f t="array" ref="E779">_xlfn.XLOOKUP(D779,Table_Warkah[Kode Tiket],Table_Warkah[Jenis Permohonan],"")</f>
        <v/>
      </c>
      <c r="F779" s="24"/>
      <c r="G779" s="24"/>
      <c r="H779" s="13" t="str">
        <f t="shared" si="1"/>
        <v/>
      </c>
      <c r="I779" s="18"/>
      <c r="J779" s="20" t="b">
        <v>0</v>
      </c>
      <c r="K779" s="13" t="str">
        <f t="shared" si="2"/>
        <v/>
      </c>
      <c r="L779" s="13"/>
      <c r="M779" s="21" t="s">
        <v>45</v>
      </c>
    </row>
    <row r="780" ht="22.5" customHeight="1">
      <c r="B780" s="13">
        <f t="shared" si="3"/>
        <v>773</v>
      </c>
      <c r="C780" s="24"/>
      <c r="D780" s="14" t="str">
        <f t="array" ref="D780">IF(C780="","",IFNA(_xlfn.XLOOKUP(C780,'a 01'!$C$6:$C$999,'a 01'!$D$6:$D$999),""))</f>
        <v/>
      </c>
      <c r="E780" s="18" t="str">
        <f t="array" ref="E780">_xlfn.XLOOKUP(D780,Table_Warkah[Kode Tiket],Table_Warkah[Jenis Permohonan],"")</f>
        <v/>
      </c>
      <c r="F780" s="24"/>
      <c r="G780" s="24"/>
      <c r="H780" s="13" t="str">
        <f t="shared" si="1"/>
        <v/>
      </c>
      <c r="I780" s="18"/>
      <c r="J780" s="20" t="b">
        <v>0</v>
      </c>
      <c r="K780" s="13" t="str">
        <f t="shared" si="2"/>
        <v/>
      </c>
      <c r="L780" s="13"/>
      <c r="M780" s="21" t="s">
        <v>45</v>
      </c>
    </row>
    <row r="781" ht="22.5" customHeight="1">
      <c r="B781" s="13">
        <f t="shared" si="3"/>
        <v>774</v>
      </c>
      <c r="C781" s="24"/>
      <c r="D781" s="14" t="str">
        <f t="array" ref="D781">IF(C781="","",IFNA(_xlfn.XLOOKUP(C781,'a 01'!$C$6:$C$999,'a 01'!$D$6:$D$999),""))</f>
        <v/>
      </c>
      <c r="E781" s="18" t="str">
        <f t="array" ref="E781">_xlfn.XLOOKUP(D781,Table_Warkah[Kode Tiket],Table_Warkah[Jenis Permohonan],"")</f>
        <v/>
      </c>
      <c r="F781" s="24"/>
      <c r="G781" s="24"/>
      <c r="H781" s="13" t="str">
        <f t="shared" si="1"/>
        <v/>
      </c>
      <c r="I781" s="18"/>
      <c r="J781" s="20" t="b">
        <v>0</v>
      </c>
      <c r="K781" s="13" t="str">
        <f t="shared" si="2"/>
        <v/>
      </c>
      <c r="L781" s="13"/>
      <c r="M781" s="21" t="s">
        <v>45</v>
      </c>
    </row>
    <row r="782" ht="22.5" customHeight="1">
      <c r="B782" s="13">
        <f t="shared" si="3"/>
        <v>775</v>
      </c>
      <c r="C782" s="24"/>
      <c r="D782" s="14" t="str">
        <f t="array" ref="D782">IF(C782="","",IFNA(_xlfn.XLOOKUP(C782,'a 01'!$C$6:$C$999,'a 01'!$D$6:$D$999),""))</f>
        <v/>
      </c>
      <c r="E782" s="18" t="str">
        <f t="array" ref="E782">_xlfn.XLOOKUP(D782,Table_Warkah[Kode Tiket],Table_Warkah[Jenis Permohonan],"")</f>
        <v/>
      </c>
      <c r="F782" s="24"/>
      <c r="G782" s="24"/>
      <c r="H782" s="13" t="str">
        <f t="shared" si="1"/>
        <v/>
      </c>
      <c r="I782" s="18"/>
      <c r="J782" s="20" t="b">
        <v>0</v>
      </c>
      <c r="K782" s="13" t="str">
        <f t="shared" si="2"/>
        <v/>
      </c>
      <c r="L782" s="13"/>
      <c r="M782" s="21" t="s">
        <v>45</v>
      </c>
    </row>
    <row r="783" ht="22.5" customHeight="1">
      <c r="B783" s="13">
        <f t="shared" si="3"/>
        <v>776</v>
      </c>
      <c r="C783" s="24"/>
      <c r="D783" s="14" t="str">
        <f t="array" ref="D783">IF(C783="","",IFNA(_xlfn.XLOOKUP(C783,'a 01'!$C$6:$C$999,'a 01'!$D$6:$D$999),""))</f>
        <v/>
      </c>
      <c r="E783" s="18" t="str">
        <f t="array" ref="E783">_xlfn.XLOOKUP(D783,Table_Warkah[Kode Tiket],Table_Warkah[Jenis Permohonan],"")</f>
        <v/>
      </c>
      <c r="F783" s="24"/>
      <c r="G783" s="24"/>
      <c r="H783" s="13" t="str">
        <f t="shared" si="1"/>
        <v/>
      </c>
      <c r="I783" s="18"/>
      <c r="J783" s="20" t="b">
        <v>0</v>
      </c>
      <c r="K783" s="13" t="str">
        <f t="shared" si="2"/>
        <v/>
      </c>
      <c r="L783" s="13"/>
      <c r="M783" s="21" t="s">
        <v>45</v>
      </c>
    </row>
    <row r="784" ht="22.5" customHeight="1">
      <c r="B784" s="13">
        <f t="shared" si="3"/>
        <v>777</v>
      </c>
      <c r="C784" s="24"/>
      <c r="D784" s="14" t="str">
        <f t="array" ref="D784">IF(C784="","",IFNA(_xlfn.XLOOKUP(C784,'a 01'!$C$6:$C$999,'a 01'!$D$6:$D$999),""))</f>
        <v/>
      </c>
      <c r="E784" s="18" t="str">
        <f t="array" ref="E784">_xlfn.XLOOKUP(D784,Table_Warkah[Kode Tiket],Table_Warkah[Jenis Permohonan],"")</f>
        <v/>
      </c>
      <c r="F784" s="24"/>
      <c r="G784" s="24"/>
      <c r="H784" s="13" t="str">
        <f t="shared" si="1"/>
        <v/>
      </c>
      <c r="I784" s="18"/>
      <c r="J784" s="20" t="b">
        <v>0</v>
      </c>
      <c r="K784" s="13" t="str">
        <f t="shared" si="2"/>
        <v/>
      </c>
      <c r="L784" s="13"/>
      <c r="M784" s="21" t="s">
        <v>45</v>
      </c>
    </row>
    <row r="785" ht="22.5" customHeight="1">
      <c r="B785" s="13">
        <f t="shared" si="3"/>
        <v>778</v>
      </c>
      <c r="C785" s="24"/>
      <c r="D785" s="14" t="str">
        <f t="array" ref="D785">IF(C785="","",IFNA(_xlfn.XLOOKUP(C785,'a 01'!$C$6:$C$999,'a 01'!$D$6:$D$999),""))</f>
        <v/>
      </c>
      <c r="E785" s="18" t="str">
        <f t="array" ref="E785">_xlfn.XLOOKUP(D785,Table_Warkah[Kode Tiket],Table_Warkah[Jenis Permohonan],"")</f>
        <v/>
      </c>
      <c r="F785" s="24"/>
      <c r="G785" s="24"/>
      <c r="H785" s="13" t="str">
        <f t="shared" si="1"/>
        <v/>
      </c>
      <c r="I785" s="18"/>
      <c r="J785" s="20" t="b">
        <v>0</v>
      </c>
      <c r="K785" s="13" t="str">
        <f t="shared" si="2"/>
        <v/>
      </c>
      <c r="L785" s="13"/>
      <c r="M785" s="21" t="s">
        <v>45</v>
      </c>
    </row>
    <row r="786" ht="22.5" customHeight="1">
      <c r="B786" s="13">
        <f t="shared" si="3"/>
        <v>779</v>
      </c>
      <c r="C786" s="24"/>
      <c r="D786" s="14" t="str">
        <f t="array" ref="D786">IF(C786="","",IFNA(_xlfn.XLOOKUP(C786,'a 01'!$C$6:$C$999,'a 01'!$D$6:$D$999),""))</f>
        <v/>
      </c>
      <c r="E786" s="18" t="str">
        <f t="array" ref="E786">_xlfn.XLOOKUP(D786,Table_Warkah[Kode Tiket],Table_Warkah[Jenis Permohonan],"")</f>
        <v/>
      </c>
      <c r="F786" s="24"/>
      <c r="G786" s="24"/>
      <c r="H786" s="13" t="str">
        <f t="shared" si="1"/>
        <v/>
      </c>
      <c r="I786" s="18"/>
      <c r="J786" s="20" t="b">
        <v>0</v>
      </c>
      <c r="K786" s="13" t="str">
        <f t="shared" si="2"/>
        <v/>
      </c>
      <c r="L786" s="13"/>
      <c r="M786" s="21" t="s">
        <v>45</v>
      </c>
    </row>
    <row r="787" ht="22.5" customHeight="1">
      <c r="B787" s="13">
        <f t="shared" si="3"/>
        <v>780</v>
      </c>
      <c r="C787" s="24"/>
      <c r="D787" s="14" t="str">
        <f t="array" ref="D787">IF(C787="","",IFNA(_xlfn.XLOOKUP(C787,'a 01'!$C$6:$C$999,'a 01'!$D$6:$D$999),""))</f>
        <v/>
      </c>
      <c r="E787" s="18" t="str">
        <f t="array" ref="E787">_xlfn.XLOOKUP(D787,Table_Warkah[Kode Tiket],Table_Warkah[Jenis Permohonan],"")</f>
        <v/>
      </c>
      <c r="F787" s="24"/>
      <c r="G787" s="24"/>
      <c r="H787" s="13" t="str">
        <f t="shared" si="1"/>
        <v/>
      </c>
      <c r="I787" s="18"/>
      <c r="J787" s="20" t="b">
        <v>0</v>
      </c>
      <c r="K787" s="13" t="str">
        <f t="shared" si="2"/>
        <v/>
      </c>
      <c r="L787" s="13"/>
      <c r="M787" s="21" t="s">
        <v>45</v>
      </c>
    </row>
    <row r="788" ht="22.5" customHeight="1">
      <c r="B788" s="13">
        <f t="shared" si="3"/>
        <v>781</v>
      </c>
      <c r="C788" s="24"/>
      <c r="D788" s="14" t="str">
        <f t="array" ref="D788">IF(C788="","",IFNA(_xlfn.XLOOKUP(C788,'a 01'!$C$6:$C$999,'a 01'!$D$6:$D$999),""))</f>
        <v/>
      </c>
      <c r="E788" s="18" t="str">
        <f t="array" ref="E788">_xlfn.XLOOKUP(D788,Table_Warkah[Kode Tiket],Table_Warkah[Jenis Permohonan],"")</f>
        <v/>
      </c>
      <c r="F788" s="24"/>
      <c r="G788" s="24"/>
      <c r="H788" s="13" t="str">
        <f t="shared" si="1"/>
        <v/>
      </c>
      <c r="I788" s="18"/>
      <c r="J788" s="20" t="b">
        <v>0</v>
      </c>
      <c r="K788" s="13" t="str">
        <f t="shared" si="2"/>
        <v/>
      </c>
      <c r="L788" s="13"/>
      <c r="M788" s="21" t="s">
        <v>45</v>
      </c>
    </row>
    <row r="789" ht="22.5" customHeight="1">
      <c r="B789" s="13">
        <f t="shared" si="3"/>
        <v>782</v>
      </c>
      <c r="C789" s="24"/>
      <c r="D789" s="14" t="str">
        <f t="array" ref="D789">IF(C789="","",IFNA(_xlfn.XLOOKUP(C789,'a 01'!$C$6:$C$999,'a 01'!$D$6:$D$999),""))</f>
        <v/>
      </c>
      <c r="E789" s="18" t="str">
        <f t="array" ref="E789">_xlfn.XLOOKUP(D789,Table_Warkah[Kode Tiket],Table_Warkah[Jenis Permohonan],"")</f>
        <v/>
      </c>
      <c r="F789" s="24"/>
      <c r="G789" s="24"/>
      <c r="H789" s="13" t="str">
        <f t="shared" si="1"/>
        <v/>
      </c>
      <c r="I789" s="18"/>
      <c r="J789" s="20" t="b">
        <v>0</v>
      </c>
      <c r="K789" s="13" t="str">
        <f t="shared" si="2"/>
        <v/>
      </c>
      <c r="L789" s="13"/>
      <c r="M789" s="21" t="s">
        <v>45</v>
      </c>
    </row>
    <row r="790" ht="22.5" customHeight="1">
      <c r="B790" s="13">
        <f t="shared" si="3"/>
        <v>783</v>
      </c>
      <c r="C790" s="24"/>
      <c r="D790" s="14" t="str">
        <f t="array" ref="D790">IF(C790="","",IFNA(_xlfn.XLOOKUP(C790,'a 01'!$C$6:$C$999,'a 01'!$D$6:$D$999),""))</f>
        <v/>
      </c>
      <c r="E790" s="18" t="str">
        <f t="array" ref="E790">_xlfn.XLOOKUP(D790,Table_Warkah[Kode Tiket],Table_Warkah[Jenis Permohonan],"")</f>
        <v/>
      </c>
      <c r="F790" s="24"/>
      <c r="G790" s="24"/>
      <c r="H790" s="13" t="str">
        <f t="shared" si="1"/>
        <v/>
      </c>
      <c r="I790" s="18"/>
      <c r="J790" s="20" t="b">
        <v>0</v>
      </c>
      <c r="K790" s="13" t="str">
        <f t="shared" si="2"/>
        <v/>
      </c>
      <c r="L790" s="13"/>
      <c r="M790" s="21" t="s">
        <v>45</v>
      </c>
    </row>
    <row r="791" ht="22.5" customHeight="1">
      <c r="B791" s="13">
        <f t="shared" si="3"/>
        <v>784</v>
      </c>
      <c r="C791" s="24"/>
      <c r="D791" s="14" t="str">
        <f t="array" ref="D791">IF(C791="","",IFNA(_xlfn.XLOOKUP(C791,'a 01'!$C$6:$C$999,'a 01'!$D$6:$D$999),""))</f>
        <v/>
      </c>
      <c r="E791" s="18" t="str">
        <f t="array" ref="E791">_xlfn.XLOOKUP(D791,Table_Warkah[Kode Tiket],Table_Warkah[Jenis Permohonan],"")</f>
        <v/>
      </c>
      <c r="F791" s="24"/>
      <c r="G791" s="24"/>
      <c r="H791" s="13" t="str">
        <f t="shared" si="1"/>
        <v/>
      </c>
      <c r="I791" s="18"/>
      <c r="J791" s="20" t="b">
        <v>0</v>
      </c>
      <c r="K791" s="13" t="str">
        <f t="shared" si="2"/>
        <v/>
      </c>
      <c r="L791" s="13"/>
      <c r="M791" s="21" t="s">
        <v>45</v>
      </c>
    </row>
    <row r="792" ht="22.5" customHeight="1">
      <c r="B792" s="13">
        <f t="shared" si="3"/>
        <v>785</v>
      </c>
      <c r="C792" s="24"/>
      <c r="D792" s="14" t="str">
        <f t="array" ref="D792">IF(C792="","",IFNA(_xlfn.XLOOKUP(C792,'a 01'!$C$6:$C$999,'a 01'!$D$6:$D$999),""))</f>
        <v/>
      </c>
      <c r="E792" s="18" t="str">
        <f t="array" ref="E792">_xlfn.XLOOKUP(D792,Table_Warkah[Kode Tiket],Table_Warkah[Jenis Permohonan],"")</f>
        <v/>
      </c>
      <c r="F792" s="24"/>
      <c r="G792" s="24"/>
      <c r="H792" s="13" t="str">
        <f t="shared" si="1"/>
        <v/>
      </c>
      <c r="I792" s="18"/>
      <c r="J792" s="20" t="b">
        <v>0</v>
      </c>
      <c r="K792" s="13" t="str">
        <f t="shared" si="2"/>
        <v/>
      </c>
      <c r="L792" s="13"/>
      <c r="M792" s="21" t="s">
        <v>45</v>
      </c>
    </row>
    <row r="793" ht="22.5" customHeight="1">
      <c r="B793" s="13">
        <f t="shared" si="3"/>
        <v>786</v>
      </c>
      <c r="C793" s="24"/>
      <c r="D793" s="14" t="str">
        <f t="array" ref="D793">IF(C793="","",IFNA(_xlfn.XLOOKUP(C793,'a 01'!$C$6:$C$999,'a 01'!$D$6:$D$999),""))</f>
        <v/>
      </c>
      <c r="E793" s="18" t="str">
        <f t="array" ref="E793">_xlfn.XLOOKUP(D793,Table_Warkah[Kode Tiket],Table_Warkah[Jenis Permohonan],"")</f>
        <v/>
      </c>
      <c r="F793" s="24"/>
      <c r="G793" s="24"/>
      <c r="H793" s="13" t="str">
        <f t="shared" si="1"/>
        <v/>
      </c>
      <c r="I793" s="18"/>
      <c r="J793" s="20" t="b">
        <v>0</v>
      </c>
      <c r="K793" s="13" t="str">
        <f t="shared" si="2"/>
        <v/>
      </c>
      <c r="L793" s="13"/>
      <c r="M793" s="21" t="s">
        <v>45</v>
      </c>
    </row>
    <row r="794" ht="22.5" customHeight="1">
      <c r="B794" s="13">
        <f t="shared" si="3"/>
        <v>787</v>
      </c>
      <c r="C794" s="24"/>
      <c r="D794" s="14" t="str">
        <f t="array" ref="D794">IF(C794="","",IFNA(_xlfn.XLOOKUP(C794,'a 01'!$C$6:$C$999,'a 01'!$D$6:$D$999),""))</f>
        <v/>
      </c>
      <c r="E794" s="18" t="str">
        <f t="array" ref="E794">_xlfn.XLOOKUP(D794,Table_Warkah[Kode Tiket],Table_Warkah[Jenis Permohonan],"")</f>
        <v/>
      </c>
      <c r="F794" s="24"/>
      <c r="G794" s="24"/>
      <c r="H794" s="13" t="str">
        <f t="shared" si="1"/>
        <v/>
      </c>
      <c r="I794" s="18"/>
      <c r="J794" s="20" t="b">
        <v>0</v>
      </c>
      <c r="K794" s="13" t="str">
        <f t="shared" si="2"/>
        <v/>
      </c>
      <c r="L794" s="13"/>
      <c r="M794" s="21" t="s">
        <v>45</v>
      </c>
    </row>
    <row r="795" ht="22.5" customHeight="1">
      <c r="B795" s="13">
        <f t="shared" si="3"/>
        <v>788</v>
      </c>
      <c r="C795" s="24"/>
      <c r="D795" s="14" t="str">
        <f t="array" ref="D795">IF(C795="","",IFNA(_xlfn.XLOOKUP(C795,'a 01'!$C$6:$C$999,'a 01'!$D$6:$D$999),""))</f>
        <v/>
      </c>
      <c r="E795" s="18" t="str">
        <f t="array" ref="E795">_xlfn.XLOOKUP(D795,Table_Warkah[Kode Tiket],Table_Warkah[Jenis Permohonan],"")</f>
        <v/>
      </c>
      <c r="F795" s="24"/>
      <c r="G795" s="24"/>
      <c r="H795" s="13" t="str">
        <f t="shared" si="1"/>
        <v/>
      </c>
      <c r="I795" s="18"/>
      <c r="J795" s="20" t="b">
        <v>0</v>
      </c>
      <c r="K795" s="13" t="str">
        <f t="shared" si="2"/>
        <v/>
      </c>
      <c r="L795" s="13"/>
      <c r="M795" s="21" t="s">
        <v>45</v>
      </c>
    </row>
    <row r="796" ht="22.5" customHeight="1">
      <c r="B796" s="13">
        <f t="shared" si="3"/>
        <v>789</v>
      </c>
      <c r="C796" s="24"/>
      <c r="D796" s="14" t="str">
        <f t="array" ref="D796">IF(C796="","",IFNA(_xlfn.XLOOKUP(C796,'a 01'!$C$6:$C$999,'a 01'!$D$6:$D$999),""))</f>
        <v/>
      </c>
      <c r="E796" s="18" t="str">
        <f t="array" ref="E796">_xlfn.XLOOKUP(D796,Table_Warkah[Kode Tiket],Table_Warkah[Jenis Permohonan],"")</f>
        <v/>
      </c>
      <c r="F796" s="24"/>
      <c r="G796" s="24"/>
      <c r="H796" s="13" t="str">
        <f t="shared" si="1"/>
        <v/>
      </c>
      <c r="I796" s="18"/>
      <c r="J796" s="20" t="b">
        <v>0</v>
      </c>
      <c r="K796" s="13" t="str">
        <f t="shared" si="2"/>
        <v/>
      </c>
      <c r="L796" s="13"/>
      <c r="M796" s="21" t="s">
        <v>45</v>
      </c>
    </row>
    <row r="797" ht="22.5" customHeight="1">
      <c r="B797" s="13">
        <f t="shared" si="3"/>
        <v>790</v>
      </c>
      <c r="C797" s="24"/>
      <c r="D797" s="14" t="str">
        <f t="array" ref="D797">IF(C797="","",IFNA(_xlfn.XLOOKUP(C797,'a 01'!$C$6:$C$999,'a 01'!$D$6:$D$999),""))</f>
        <v/>
      </c>
      <c r="E797" s="18" t="str">
        <f t="array" ref="E797">_xlfn.XLOOKUP(D797,Table_Warkah[Kode Tiket],Table_Warkah[Jenis Permohonan],"")</f>
        <v/>
      </c>
      <c r="F797" s="24"/>
      <c r="G797" s="24"/>
      <c r="H797" s="13" t="str">
        <f t="shared" si="1"/>
        <v/>
      </c>
      <c r="I797" s="18"/>
      <c r="J797" s="20" t="b">
        <v>0</v>
      </c>
      <c r="K797" s="13" t="str">
        <f t="shared" si="2"/>
        <v/>
      </c>
      <c r="L797" s="13"/>
      <c r="M797" s="21" t="s">
        <v>45</v>
      </c>
    </row>
    <row r="798" ht="22.5" customHeight="1">
      <c r="B798" s="13">
        <f t="shared" si="3"/>
        <v>791</v>
      </c>
      <c r="C798" s="24"/>
      <c r="D798" s="14" t="str">
        <f t="array" ref="D798">IF(C798="","",IFNA(_xlfn.XLOOKUP(C798,'a 01'!$C$6:$C$999,'a 01'!$D$6:$D$999),""))</f>
        <v/>
      </c>
      <c r="E798" s="18" t="str">
        <f t="array" ref="E798">_xlfn.XLOOKUP(D798,Table_Warkah[Kode Tiket],Table_Warkah[Jenis Permohonan],"")</f>
        <v/>
      </c>
      <c r="F798" s="24"/>
      <c r="G798" s="24"/>
      <c r="H798" s="13" t="str">
        <f t="shared" si="1"/>
        <v/>
      </c>
      <c r="I798" s="18"/>
      <c r="J798" s="20" t="b">
        <v>0</v>
      </c>
      <c r="K798" s="13" t="str">
        <f t="shared" si="2"/>
        <v/>
      </c>
      <c r="L798" s="13"/>
      <c r="M798" s="21" t="s">
        <v>45</v>
      </c>
    </row>
    <row r="799" ht="22.5" customHeight="1">
      <c r="B799" s="13">
        <f t="shared" si="3"/>
        <v>792</v>
      </c>
      <c r="C799" s="24"/>
      <c r="D799" s="14" t="str">
        <f t="array" ref="D799">IF(C799="","",IFNA(_xlfn.XLOOKUP(C799,'a 01'!$C$6:$C$999,'a 01'!$D$6:$D$999),""))</f>
        <v/>
      </c>
      <c r="E799" s="18" t="str">
        <f t="array" ref="E799">_xlfn.XLOOKUP(D799,Table_Warkah[Kode Tiket],Table_Warkah[Jenis Permohonan],"")</f>
        <v/>
      </c>
      <c r="F799" s="24"/>
      <c r="G799" s="24"/>
      <c r="H799" s="13" t="str">
        <f t="shared" si="1"/>
        <v/>
      </c>
      <c r="I799" s="18"/>
      <c r="J799" s="20" t="b">
        <v>0</v>
      </c>
      <c r="K799" s="13" t="str">
        <f t="shared" si="2"/>
        <v/>
      </c>
      <c r="L799" s="13"/>
      <c r="M799" s="21" t="s">
        <v>45</v>
      </c>
    </row>
    <row r="800" ht="22.5" customHeight="1">
      <c r="B800" s="13">
        <f t="shared" si="3"/>
        <v>793</v>
      </c>
      <c r="C800" s="24"/>
      <c r="D800" s="14" t="str">
        <f t="array" ref="D800">IF(C800="","",IFNA(_xlfn.XLOOKUP(C800,'a 01'!$C$6:$C$999,'a 01'!$D$6:$D$999),""))</f>
        <v/>
      </c>
      <c r="E800" s="18" t="str">
        <f t="array" ref="E800">_xlfn.XLOOKUP(D800,Table_Warkah[Kode Tiket],Table_Warkah[Jenis Permohonan],"")</f>
        <v/>
      </c>
      <c r="F800" s="24"/>
      <c r="G800" s="24"/>
      <c r="H800" s="13" t="str">
        <f t="shared" si="1"/>
        <v/>
      </c>
      <c r="I800" s="18"/>
      <c r="J800" s="20" t="b">
        <v>0</v>
      </c>
      <c r="K800" s="13" t="str">
        <f t="shared" si="2"/>
        <v/>
      </c>
      <c r="L800" s="13"/>
      <c r="M800" s="21" t="s">
        <v>45</v>
      </c>
    </row>
    <row r="801" ht="22.5" customHeight="1">
      <c r="B801" s="13">
        <f t="shared" si="3"/>
        <v>794</v>
      </c>
      <c r="C801" s="24"/>
      <c r="D801" s="14" t="str">
        <f t="array" ref="D801">IF(C801="","",IFNA(_xlfn.XLOOKUP(C801,'a 01'!$C$6:$C$999,'a 01'!$D$6:$D$999),""))</f>
        <v/>
      </c>
      <c r="E801" s="18" t="str">
        <f t="array" ref="E801">_xlfn.XLOOKUP(D801,Table_Warkah[Kode Tiket],Table_Warkah[Jenis Permohonan],"")</f>
        <v/>
      </c>
      <c r="F801" s="24"/>
      <c r="G801" s="24"/>
      <c r="H801" s="13" t="str">
        <f t="shared" si="1"/>
        <v/>
      </c>
      <c r="I801" s="18"/>
      <c r="J801" s="20" t="b">
        <v>0</v>
      </c>
      <c r="K801" s="13" t="str">
        <f t="shared" si="2"/>
        <v/>
      </c>
      <c r="L801" s="13"/>
      <c r="M801" s="21" t="s">
        <v>45</v>
      </c>
    </row>
    <row r="802" ht="22.5" customHeight="1">
      <c r="B802" s="13">
        <f t="shared" si="3"/>
        <v>795</v>
      </c>
      <c r="C802" s="24"/>
      <c r="D802" s="14" t="str">
        <f t="array" ref="D802">IF(C802="","",IFNA(_xlfn.XLOOKUP(C802,'a 01'!$C$6:$C$999,'a 01'!$D$6:$D$999),""))</f>
        <v/>
      </c>
      <c r="E802" s="18" t="str">
        <f t="array" ref="E802">_xlfn.XLOOKUP(D802,Table_Warkah[Kode Tiket],Table_Warkah[Jenis Permohonan],"")</f>
        <v/>
      </c>
      <c r="F802" s="24"/>
      <c r="G802" s="24"/>
      <c r="H802" s="13" t="str">
        <f t="shared" si="1"/>
        <v/>
      </c>
      <c r="I802" s="18"/>
      <c r="J802" s="20" t="b">
        <v>0</v>
      </c>
      <c r="K802" s="13" t="str">
        <f t="shared" si="2"/>
        <v/>
      </c>
      <c r="L802" s="13"/>
      <c r="M802" s="21" t="s">
        <v>45</v>
      </c>
    </row>
    <row r="803" ht="22.5" customHeight="1">
      <c r="B803" s="13">
        <f t="shared" si="3"/>
        <v>796</v>
      </c>
      <c r="C803" s="24"/>
      <c r="D803" s="14" t="str">
        <f t="array" ref="D803">IF(C803="","",IFNA(_xlfn.XLOOKUP(C803,'a 01'!$C$6:$C$999,'a 01'!$D$6:$D$999),""))</f>
        <v/>
      </c>
      <c r="E803" s="18" t="str">
        <f t="array" ref="E803">_xlfn.XLOOKUP(D803,Table_Warkah[Kode Tiket],Table_Warkah[Jenis Permohonan],"")</f>
        <v/>
      </c>
      <c r="F803" s="24"/>
      <c r="G803" s="24"/>
      <c r="H803" s="13" t="str">
        <f t="shared" si="1"/>
        <v/>
      </c>
      <c r="I803" s="18"/>
      <c r="J803" s="20" t="b">
        <v>0</v>
      </c>
      <c r="K803" s="13" t="str">
        <f t="shared" si="2"/>
        <v/>
      </c>
      <c r="L803" s="13"/>
      <c r="M803" s="21" t="s">
        <v>45</v>
      </c>
    </row>
    <row r="804" ht="22.5" customHeight="1">
      <c r="B804" s="13">
        <f t="shared" si="3"/>
        <v>797</v>
      </c>
      <c r="C804" s="24"/>
      <c r="D804" s="14" t="str">
        <f t="array" ref="D804">IF(C804="","",IFNA(_xlfn.XLOOKUP(C804,'a 01'!$C$6:$C$999,'a 01'!$D$6:$D$999),""))</f>
        <v/>
      </c>
      <c r="E804" s="18" t="str">
        <f t="array" ref="E804">_xlfn.XLOOKUP(D804,Table_Warkah[Kode Tiket],Table_Warkah[Jenis Permohonan],"")</f>
        <v/>
      </c>
      <c r="F804" s="24"/>
      <c r="G804" s="24"/>
      <c r="H804" s="13" t="str">
        <f t="shared" si="1"/>
        <v/>
      </c>
      <c r="I804" s="18"/>
      <c r="J804" s="20" t="b">
        <v>0</v>
      </c>
      <c r="K804" s="13" t="str">
        <f t="shared" si="2"/>
        <v/>
      </c>
      <c r="L804" s="13"/>
      <c r="M804" s="21" t="s">
        <v>45</v>
      </c>
    </row>
    <row r="805" ht="22.5" customHeight="1">
      <c r="B805" s="13">
        <f t="shared" si="3"/>
        <v>798</v>
      </c>
      <c r="C805" s="24"/>
      <c r="D805" s="14" t="str">
        <f t="array" ref="D805">IF(C805="","",IFNA(_xlfn.XLOOKUP(C805,'a 01'!$C$6:$C$999,'a 01'!$D$6:$D$999),""))</f>
        <v/>
      </c>
      <c r="E805" s="18" t="str">
        <f t="array" ref="E805">_xlfn.XLOOKUP(D805,Table_Warkah[Kode Tiket],Table_Warkah[Jenis Permohonan],"")</f>
        <v/>
      </c>
      <c r="F805" s="24"/>
      <c r="G805" s="24"/>
      <c r="H805" s="13" t="str">
        <f t="shared" si="1"/>
        <v/>
      </c>
      <c r="I805" s="18"/>
      <c r="J805" s="20" t="b">
        <v>0</v>
      </c>
      <c r="K805" s="13" t="str">
        <f t="shared" si="2"/>
        <v/>
      </c>
      <c r="L805" s="13"/>
      <c r="M805" s="21" t="s">
        <v>45</v>
      </c>
    </row>
    <row r="806" ht="22.5" customHeight="1">
      <c r="B806" s="13">
        <f t="shared" si="3"/>
        <v>799</v>
      </c>
      <c r="C806" s="24"/>
      <c r="D806" s="14" t="str">
        <f t="array" ref="D806">IF(C806="","",IFNA(_xlfn.XLOOKUP(C806,'a 01'!$C$6:$C$999,'a 01'!$D$6:$D$999),""))</f>
        <v/>
      </c>
      <c r="E806" s="18" t="str">
        <f t="array" ref="E806">_xlfn.XLOOKUP(D806,Table_Warkah[Kode Tiket],Table_Warkah[Jenis Permohonan],"")</f>
        <v/>
      </c>
      <c r="F806" s="24"/>
      <c r="G806" s="24"/>
      <c r="H806" s="13" t="str">
        <f t="shared" si="1"/>
        <v/>
      </c>
      <c r="I806" s="18"/>
      <c r="J806" s="20" t="b">
        <v>0</v>
      </c>
      <c r="K806" s="13" t="str">
        <f t="shared" si="2"/>
        <v/>
      </c>
      <c r="L806" s="13"/>
      <c r="M806" s="21" t="s">
        <v>45</v>
      </c>
    </row>
    <row r="807" ht="22.5" customHeight="1">
      <c r="B807" s="13">
        <f t="shared" si="3"/>
        <v>800</v>
      </c>
      <c r="C807" s="24"/>
      <c r="D807" s="14" t="str">
        <f t="array" ref="D807">IF(C807="","",IFNA(_xlfn.XLOOKUP(C807,'a 01'!$C$6:$C$999,'a 01'!$D$6:$D$999),""))</f>
        <v/>
      </c>
      <c r="E807" s="18" t="str">
        <f t="array" ref="E807">_xlfn.XLOOKUP(D807,Table_Warkah[Kode Tiket],Table_Warkah[Jenis Permohonan],"")</f>
        <v/>
      </c>
      <c r="F807" s="24"/>
      <c r="G807" s="24"/>
      <c r="H807" s="13" t="str">
        <f t="shared" si="1"/>
        <v/>
      </c>
      <c r="I807" s="18"/>
      <c r="J807" s="20" t="b">
        <v>0</v>
      </c>
      <c r="K807" s="13" t="str">
        <f t="shared" si="2"/>
        <v/>
      </c>
      <c r="L807" s="13"/>
      <c r="M807" s="21" t="s">
        <v>45</v>
      </c>
    </row>
    <row r="808" ht="22.5" customHeight="1">
      <c r="B808" s="13">
        <f t="shared" si="3"/>
        <v>801</v>
      </c>
      <c r="C808" s="24"/>
      <c r="D808" s="14" t="str">
        <f t="array" ref="D808">IF(C808="","",IFNA(_xlfn.XLOOKUP(C808,'a 01'!$C$6:$C$999,'a 01'!$D$6:$D$999),""))</f>
        <v/>
      </c>
      <c r="E808" s="18" t="str">
        <f t="array" ref="E808">_xlfn.XLOOKUP(D808,Table_Warkah[Kode Tiket],Table_Warkah[Jenis Permohonan],"")</f>
        <v/>
      </c>
      <c r="F808" s="24"/>
      <c r="G808" s="24"/>
      <c r="H808" s="13" t="str">
        <f t="shared" si="1"/>
        <v/>
      </c>
      <c r="I808" s="18"/>
      <c r="J808" s="20" t="b">
        <v>0</v>
      </c>
      <c r="K808" s="13" t="str">
        <f t="shared" si="2"/>
        <v/>
      </c>
      <c r="L808" s="13"/>
      <c r="M808" s="21" t="s">
        <v>45</v>
      </c>
    </row>
    <row r="809" ht="22.5" customHeight="1">
      <c r="B809" s="13">
        <f t="shared" si="3"/>
        <v>802</v>
      </c>
      <c r="C809" s="24"/>
      <c r="D809" s="14" t="str">
        <f t="array" ref="D809">IF(C809="","",IFNA(_xlfn.XLOOKUP(C809,'a 01'!$C$6:$C$999,'a 01'!$D$6:$D$999),""))</f>
        <v/>
      </c>
      <c r="E809" s="18" t="str">
        <f t="array" ref="E809">_xlfn.XLOOKUP(D809,Table_Warkah[Kode Tiket],Table_Warkah[Jenis Permohonan],"")</f>
        <v/>
      </c>
      <c r="F809" s="24"/>
      <c r="G809" s="24"/>
      <c r="H809" s="13" t="str">
        <f t="shared" si="1"/>
        <v/>
      </c>
      <c r="I809" s="18"/>
      <c r="J809" s="20" t="b">
        <v>0</v>
      </c>
      <c r="K809" s="13" t="str">
        <f t="shared" si="2"/>
        <v/>
      </c>
      <c r="L809" s="13"/>
      <c r="M809" s="21" t="s">
        <v>45</v>
      </c>
    </row>
    <row r="810" ht="22.5" customHeight="1">
      <c r="B810" s="13">
        <f t="shared" si="3"/>
        <v>803</v>
      </c>
      <c r="C810" s="24"/>
      <c r="D810" s="14" t="str">
        <f t="array" ref="D810">IF(C810="","",IFNA(_xlfn.XLOOKUP(C810,'a 01'!$C$6:$C$999,'a 01'!$D$6:$D$999),""))</f>
        <v/>
      </c>
      <c r="E810" s="18" t="str">
        <f t="array" ref="E810">_xlfn.XLOOKUP(D810,Table_Warkah[Kode Tiket],Table_Warkah[Jenis Permohonan],"")</f>
        <v/>
      </c>
      <c r="F810" s="24"/>
      <c r="G810" s="24"/>
      <c r="H810" s="13" t="str">
        <f t="shared" si="1"/>
        <v/>
      </c>
      <c r="I810" s="18"/>
      <c r="J810" s="20" t="b">
        <v>0</v>
      </c>
      <c r="K810" s="13" t="str">
        <f t="shared" si="2"/>
        <v/>
      </c>
      <c r="L810" s="13"/>
      <c r="M810" s="21" t="s">
        <v>45</v>
      </c>
    </row>
    <row r="811" ht="22.5" customHeight="1">
      <c r="B811" s="13">
        <f t="shared" si="3"/>
        <v>804</v>
      </c>
      <c r="C811" s="24"/>
      <c r="D811" s="14" t="str">
        <f t="array" ref="D811">IF(C811="","",IFNA(_xlfn.XLOOKUP(C811,'a 01'!$C$6:$C$999,'a 01'!$D$6:$D$999),""))</f>
        <v/>
      </c>
      <c r="E811" s="18" t="str">
        <f t="array" ref="E811">_xlfn.XLOOKUP(D811,Table_Warkah[Kode Tiket],Table_Warkah[Jenis Permohonan],"")</f>
        <v/>
      </c>
      <c r="F811" s="24"/>
      <c r="G811" s="24"/>
      <c r="H811" s="13" t="str">
        <f t="shared" si="1"/>
        <v/>
      </c>
      <c r="I811" s="18"/>
      <c r="J811" s="20" t="b">
        <v>0</v>
      </c>
      <c r="K811" s="13" t="str">
        <f t="shared" si="2"/>
        <v/>
      </c>
      <c r="L811" s="13"/>
      <c r="M811" s="21" t="s">
        <v>45</v>
      </c>
    </row>
    <row r="812" ht="22.5" customHeight="1">
      <c r="B812" s="13">
        <f t="shared" si="3"/>
        <v>805</v>
      </c>
      <c r="C812" s="24"/>
      <c r="D812" s="14" t="str">
        <f t="array" ref="D812">IF(C812="","",IFNA(_xlfn.XLOOKUP(C812,'a 01'!$C$6:$C$999,'a 01'!$D$6:$D$999),""))</f>
        <v/>
      </c>
      <c r="E812" s="18" t="str">
        <f t="array" ref="E812">_xlfn.XLOOKUP(D812,Table_Warkah[Kode Tiket],Table_Warkah[Jenis Permohonan],"")</f>
        <v/>
      </c>
      <c r="F812" s="24"/>
      <c r="G812" s="24"/>
      <c r="H812" s="13" t="str">
        <f t="shared" si="1"/>
        <v/>
      </c>
      <c r="I812" s="18"/>
      <c r="J812" s="20" t="b">
        <v>0</v>
      </c>
      <c r="K812" s="13" t="str">
        <f t="shared" si="2"/>
        <v/>
      </c>
      <c r="L812" s="13"/>
      <c r="M812" s="21" t="s">
        <v>45</v>
      </c>
    </row>
    <row r="813" ht="22.5" customHeight="1">
      <c r="B813" s="13">
        <f t="shared" si="3"/>
        <v>806</v>
      </c>
      <c r="C813" s="24"/>
      <c r="D813" s="14" t="str">
        <f t="array" ref="D813">IF(C813="","",IFNA(_xlfn.XLOOKUP(C813,'a 01'!$C$6:$C$999,'a 01'!$D$6:$D$999),""))</f>
        <v/>
      </c>
      <c r="E813" s="18" t="str">
        <f t="array" ref="E813">_xlfn.XLOOKUP(D813,Table_Warkah[Kode Tiket],Table_Warkah[Jenis Permohonan],"")</f>
        <v/>
      </c>
      <c r="F813" s="24"/>
      <c r="G813" s="24"/>
      <c r="H813" s="13" t="str">
        <f t="shared" si="1"/>
        <v/>
      </c>
      <c r="I813" s="18"/>
      <c r="J813" s="20" t="b">
        <v>0</v>
      </c>
      <c r="K813" s="13" t="str">
        <f t="shared" si="2"/>
        <v/>
      </c>
      <c r="L813" s="13"/>
      <c r="M813" s="21" t="s">
        <v>45</v>
      </c>
    </row>
    <row r="814" ht="22.5" customHeight="1">
      <c r="B814" s="13">
        <f t="shared" si="3"/>
        <v>807</v>
      </c>
      <c r="C814" s="24"/>
      <c r="D814" s="14" t="str">
        <f t="array" ref="D814">IF(C814="","",IFNA(_xlfn.XLOOKUP(C814,'a 01'!$C$6:$C$999,'a 01'!$D$6:$D$999),""))</f>
        <v/>
      </c>
      <c r="E814" s="18" t="str">
        <f t="array" ref="E814">_xlfn.XLOOKUP(D814,Table_Warkah[Kode Tiket],Table_Warkah[Jenis Permohonan],"")</f>
        <v/>
      </c>
      <c r="F814" s="24"/>
      <c r="G814" s="24"/>
      <c r="H814" s="13" t="str">
        <f t="shared" si="1"/>
        <v/>
      </c>
      <c r="I814" s="18"/>
      <c r="J814" s="20" t="b">
        <v>0</v>
      </c>
      <c r="K814" s="13" t="str">
        <f t="shared" si="2"/>
        <v/>
      </c>
      <c r="L814" s="13"/>
      <c r="M814" s="21" t="s">
        <v>45</v>
      </c>
    </row>
    <row r="815" ht="22.5" customHeight="1">
      <c r="B815" s="13">
        <f t="shared" si="3"/>
        <v>808</v>
      </c>
      <c r="C815" s="24"/>
      <c r="D815" s="14" t="str">
        <f t="array" ref="D815">IF(C815="","",IFNA(_xlfn.XLOOKUP(C815,'a 01'!$C$6:$C$999,'a 01'!$D$6:$D$999),""))</f>
        <v/>
      </c>
      <c r="E815" s="18" t="str">
        <f t="array" ref="E815">_xlfn.XLOOKUP(D815,Table_Warkah[Kode Tiket],Table_Warkah[Jenis Permohonan],"")</f>
        <v/>
      </c>
      <c r="F815" s="24"/>
      <c r="G815" s="24"/>
      <c r="H815" s="13" t="str">
        <f t="shared" si="1"/>
        <v/>
      </c>
      <c r="I815" s="18"/>
      <c r="J815" s="20" t="b">
        <v>0</v>
      </c>
      <c r="K815" s="13" t="str">
        <f t="shared" si="2"/>
        <v/>
      </c>
      <c r="L815" s="13"/>
      <c r="M815" s="21" t="s">
        <v>45</v>
      </c>
    </row>
    <row r="816" ht="22.5" customHeight="1">
      <c r="B816" s="13">
        <f t="shared" si="3"/>
        <v>809</v>
      </c>
      <c r="C816" s="24"/>
      <c r="D816" s="14" t="str">
        <f t="array" ref="D816">IF(C816="","",IFNA(_xlfn.XLOOKUP(C816,'a 01'!$C$6:$C$999,'a 01'!$D$6:$D$999),""))</f>
        <v/>
      </c>
      <c r="E816" s="18" t="str">
        <f t="array" ref="E816">_xlfn.XLOOKUP(D816,Table_Warkah[Kode Tiket],Table_Warkah[Jenis Permohonan],"")</f>
        <v/>
      </c>
      <c r="F816" s="24"/>
      <c r="G816" s="24"/>
      <c r="H816" s="13" t="str">
        <f t="shared" si="1"/>
        <v/>
      </c>
      <c r="I816" s="18"/>
      <c r="J816" s="20" t="b">
        <v>0</v>
      </c>
      <c r="K816" s="13" t="str">
        <f t="shared" si="2"/>
        <v/>
      </c>
      <c r="L816" s="13"/>
      <c r="M816" s="21" t="s">
        <v>45</v>
      </c>
    </row>
    <row r="817" ht="22.5" customHeight="1">
      <c r="B817" s="13">
        <f t="shared" si="3"/>
        <v>810</v>
      </c>
      <c r="C817" s="24"/>
      <c r="D817" s="14" t="str">
        <f t="array" ref="D817">IF(C817="","",IFNA(_xlfn.XLOOKUP(C817,'a 01'!$C$6:$C$999,'a 01'!$D$6:$D$999),""))</f>
        <v/>
      </c>
      <c r="E817" s="18" t="str">
        <f t="array" ref="E817">_xlfn.XLOOKUP(D817,Table_Warkah[Kode Tiket],Table_Warkah[Jenis Permohonan],"")</f>
        <v/>
      </c>
      <c r="F817" s="24"/>
      <c r="G817" s="24"/>
      <c r="H817" s="13" t="str">
        <f t="shared" si="1"/>
        <v/>
      </c>
      <c r="I817" s="18"/>
      <c r="J817" s="20" t="b">
        <v>0</v>
      </c>
      <c r="K817" s="13" t="str">
        <f t="shared" si="2"/>
        <v/>
      </c>
      <c r="L817" s="13"/>
      <c r="M817" s="21" t="s">
        <v>45</v>
      </c>
    </row>
    <row r="818" ht="22.5" customHeight="1">
      <c r="B818" s="13">
        <f t="shared" si="3"/>
        <v>811</v>
      </c>
      <c r="C818" s="24"/>
      <c r="D818" s="14" t="str">
        <f t="array" ref="D818">IF(C818="","",IFNA(_xlfn.XLOOKUP(C818,'a 01'!$C$6:$C$999,'a 01'!$D$6:$D$999),""))</f>
        <v/>
      </c>
      <c r="E818" s="18" t="str">
        <f t="array" ref="E818">_xlfn.XLOOKUP(D818,Table_Warkah[Kode Tiket],Table_Warkah[Jenis Permohonan],"")</f>
        <v/>
      </c>
      <c r="F818" s="24"/>
      <c r="G818" s="24"/>
      <c r="H818" s="13" t="str">
        <f t="shared" si="1"/>
        <v/>
      </c>
      <c r="I818" s="18"/>
      <c r="J818" s="20" t="b">
        <v>0</v>
      </c>
      <c r="K818" s="13" t="str">
        <f t="shared" si="2"/>
        <v/>
      </c>
      <c r="L818" s="13"/>
      <c r="M818" s="21" t="s">
        <v>45</v>
      </c>
    </row>
    <row r="819" ht="22.5" customHeight="1">
      <c r="B819" s="13">
        <f t="shared" si="3"/>
        <v>812</v>
      </c>
      <c r="C819" s="24"/>
      <c r="D819" s="14" t="str">
        <f t="array" ref="D819">IF(C819="","",IFNA(_xlfn.XLOOKUP(C819,'a 01'!$C$6:$C$999,'a 01'!$D$6:$D$999),""))</f>
        <v/>
      </c>
      <c r="E819" s="18" t="str">
        <f t="array" ref="E819">_xlfn.XLOOKUP(D819,Table_Warkah[Kode Tiket],Table_Warkah[Jenis Permohonan],"")</f>
        <v/>
      </c>
      <c r="F819" s="24"/>
      <c r="G819" s="24"/>
      <c r="H819" s="13" t="str">
        <f t="shared" si="1"/>
        <v/>
      </c>
      <c r="I819" s="18"/>
      <c r="J819" s="20" t="b">
        <v>0</v>
      </c>
      <c r="K819" s="13" t="str">
        <f t="shared" si="2"/>
        <v/>
      </c>
      <c r="L819" s="13"/>
      <c r="M819" s="21" t="s">
        <v>45</v>
      </c>
    </row>
    <row r="820" ht="22.5" customHeight="1">
      <c r="B820" s="13">
        <f t="shared" si="3"/>
        <v>813</v>
      </c>
      <c r="C820" s="24"/>
      <c r="D820" s="14" t="str">
        <f t="array" ref="D820">IF(C820="","",IFNA(_xlfn.XLOOKUP(C820,'a 01'!$C$6:$C$999,'a 01'!$D$6:$D$999),""))</f>
        <v/>
      </c>
      <c r="E820" s="18" t="str">
        <f t="array" ref="E820">_xlfn.XLOOKUP(D820,Table_Warkah[Kode Tiket],Table_Warkah[Jenis Permohonan],"")</f>
        <v/>
      </c>
      <c r="F820" s="24"/>
      <c r="G820" s="24"/>
      <c r="H820" s="13" t="str">
        <f t="shared" si="1"/>
        <v/>
      </c>
      <c r="I820" s="18"/>
      <c r="J820" s="20" t="b">
        <v>0</v>
      </c>
      <c r="K820" s="13" t="str">
        <f t="shared" si="2"/>
        <v/>
      </c>
      <c r="L820" s="13"/>
      <c r="M820" s="21" t="s">
        <v>45</v>
      </c>
    </row>
    <row r="821" ht="22.5" customHeight="1">
      <c r="B821" s="13">
        <f t="shared" si="3"/>
        <v>814</v>
      </c>
      <c r="C821" s="24"/>
      <c r="D821" s="14" t="str">
        <f t="array" ref="D821">IF(C821="","",IFNA(_xlfn.XLOOKUP(C821,'a 01'!$C$6:$C$999,'a 01'!$D$6:$D$999),""))</f>
        <v/>
      </c>
      <c r="E821" s="18" t="str">
        <f t="array" ref="E821">_xlfn.XLOOKUP(D821,Table_Warkah[Kode Tiket],Table_Warkah[Jenis Permohonan],"")</f>
        <v/>
      </c>
      <c r="F821" s="24"/>
      <c r="G821" s="24"/>
      <c r="H821" s="13" t="str">
        <f t="shared" si="1"/>
        <v/>
      </c>
      <c r="I821" s="18"/>
      <c r="J821" s="20" t="b">
        <v>0</v>
      </c>
      <c r="K821" s="13" t="str">
        <f t="shared" si="2"/>
        <v/>
      </c>
      <c r="L821" s="13"/>
      <c r="M821" s="21" t="s">
        <v>45</v>
      </c>
    </row>
    <row r="822" ht="22.5" customHeight="1">
      <c r="B822" s="13">
        <f t="shared" si="3"/>
        <v>815</v>
      </c>
      <c r="C822" s="24"/>
      <c r="D822" s="14" t="str">
        <f t="array" ref="D822">IF(C822="","",IFNA(_xlfn.XLOOKUP(C822,'a 01'!$C$6:$C$999,'a 01'!$D$6:$D$999),""))</f>
        <v/>
      </c>
      <c r="E822" s="18" t="str">
        <f t="array" ref="E822">_xlfn.XLOOKUP(D822,Table_Warkah[Kode Tiket],Table_Warkah[Jenis Permohonan],"")</f>
        <v/>
      </c>
      <c r="F822" s="24"/>
      <c r="G822" s="24"/>
      <c r="H822" s="13" t="str">
        <f t="shared" si="1"/>
        <v/>
      </c>
      <c r="I822" s="18"/>
      <c r="J822" s="20" t="b">
        <v>0</v>
      </c>
      <c r="K822" s="13" t="str">
        <f t="shared" si="2"/>
        <v/>
      </c>
      <c r="L822" s="13"/>
      <c r="M822" s="21" t="s">
        <v>45</v>
      </c>
    </row>
    <row r="823" ht="22.5" customHeight="1">
      <c r="B823" s="13">
        <f t="shared" si="3"/>
        <v>816</v>
      </c>
      <c r="C823" s="24"/>
      <c r="D823" s="14" t="str">
        <f t="array" ref="D823">IF(C823="","",IFNA(_xlfn.XLOOKUP(C823,'a 01'!$C$6:$C$999,'a 01'!$D$6:$D$999),""))</f>
        <v/>
      </c>
      <c r="E823" s="18" t="str">
        <f t="array" ref="E823">_xlfn.XLOOKUP(D823,Table_Warkah[Kode Tiket],Table_Warkah[Jenis Permohonan],"")</f>
        <v/>
      </c>
      <c r="F823" s="24"/>
      <c r="G823" s="24"/>
      <c r="H823" s="13" t="str">
        <f t="shared" si="1"/>
        <v/>
      </c>
      <c r="I823" s="18"/>
      <c r="J823" s="20" t="b">
        <v>0</v>
      </c>
      <c r="K823" s="13" t="str">
        <f t="shared" si="2"/>
        <v/>
      </c>
      <c r="L823" s="13"/>
      <c r="M823" s="21" t="s">
        <v>45</v>
      </c>
    </row>
    <row r="824" ht="22.5" customHeight="1">
      <c r="B824" s="13">
        <f t="shared" si="3"/>
        <v>817</v>
      </c>
      <c r="C824" s="24"/>
      <c r="D824" s="14" t="str">
        <f t="array" ref="D824">IF(C824="","",IFNA(_xlfn.XLOOKUP(C824,'a 01'!$C$6:$C$999,'a 01'!$D$6:$D$999),""))</f>
        <v/>
      </c>
      <c r="E824" s="18" t="str">
        <f t="array" ref="E824">_xlfn.XLOOKUP(D824,Table_Warkah[Kode Tiket],Table_Warkah[Jenis Permohonan],"")</f>
        <v/>
      </c>
      <c r="F824" s="24"/>
      <c r="G824" s="24"/>
      <c r="H824" s="13" t="str">
        <f t="shared" si="1"/>
        <v/>
      </c>
      <c r="I824" s="18"/>
      <c r="J824" s="20" t="b">
        <v>0</v>
      </c>
      <c r="K824" s="13" t="str">
        <f t="shared" si="2"/>
        <v/>
      </c>
      <c r="L824" s="13"/>
      <c r="M824" s="21" t="s">
        <v>45</v>
      </c>
    </row>
    <row r="825" ht="22.5" customHeight="1">
      <c r="B825" s="13">
        <f t="shared" si="3"/>
        <v>818</v>
      </c>
      <c r="C825" s="24"/>
      <c r="D825" s="14" t="str">
        <f t="array" ref="D825">IF(C825="","",IFNA(_xlfn.XLOOKUP(C825,'a 01'!$C$6:$C$999,'a 01'!$D$6:$D$999),""))</f>
        <v/>
      </c>
      <c r="E825" s="18" t="str">
        <f t="array" ref="E825">_xlfn.XLOOKUP(D825,Table_Warkah[Kode Tiket],Table_Warkah[Jenis Permohonan],"")</f>
        <v/>
      </c>
      <c r="F825" s="24"/>
      <c r="G825" s="24"/>
      <c r="H825" s="13" t="str">
        <f t="shared" si="1"/>
        <v/>
      </c>
      <c r="I825" s="18"/>
      <c r="J825" s="20" t="b">
        <v>0</v>
      </c>
      <c r="K825" s="13" t="str">
        <f t="shared" si="2"/>
        <v/>
      </c>
      <c r="L825" s="13"/>
      <c r="M825" s="21" t="s">
        <v>45</v>
      </c>
    </row>
    <row r="826" ht="22.5" customHeight="1">
      <c r="B826" s="13">
        <f t="shared" si="3"/>
        <v>819</v>
      </c>
      <c r="C826" s="24"/>
      <c r="D826" s="14" t="str">
        <f t="array" ref="D826">IF(C826="","",IFNA(_xlfn.XLOOKUP(C826,'a 01'!$C$6:$C$999,'a 01'!$D$6:$D$999),""))</f>
        <v/>
      </c>
      <c r="E826" s="18" t="str">
        <f t="array" ref="E826">_xlfn.XLOOKUP(D826,Table_Warkah[Kode Tiket],Table_Warkah[Jenis Permohonan],"")</f>
        <v/>
      </c>
      <c r="F826" s="24"/>
      <c r="G826" s="24"/>
      <c r="H826" s="13" t="str">
        <f t="shared" si="1"/>
        <v/>
      </c>
      <c r="I826" s="18"/>
      <c r="J826" s="20" t="b">
        <v>0</v>
      </c>
      <c r="K826" s="13" t="str">
        <f t="shared" si="2"/>
        <v/>
      </c>
      <c r="L826" s="13"/>
      <c r="M826" s="21" t="s">
        <v>45</v>
      </c>
    </row>
    <row r="827" ht="22.5" customHeight="1">
      <c r="B827" s="13">
        <f t="shared" si="3"/>
        <v>820</v>
      </c>
      <c r="C827" s="24"/>
      <c r="D827" s="14" t="str">
        <f t="array" ref="D827">IF(C827="","",IFNA(_xlfn.XLOOKUP(C827,'a 01'!$C$6:$C$999,'a 01'!$D$6:$D$999),""))</f>
        <v/>
      </c>
      <c r="E827" s="18" t="str">
        <f t="array" ref="E827">_xlfn.XLOOKUP(D827,Table_Warkah[Kode Tiket],Table_Warkah[Jenis Permohonan],"")</f>
        <v/>
      </c>
      <c r="F827" s="24"/>
      <c r="G827" s="24"/>
      <c r="H827" s="13" t="str">
        <f t="shared" si="1"/>
        <v/>
      </c>
      <c r="I827" s="18"/>
      <c r="J827" s="20" t="b">
        <v>0</v>
      </c>
      <c r="K827" s="13" t="str">
        <f t="shared" si="2"/>
        <v/>
      </c>
      <c r="L827" s="13"/>
      <c r="M827" s="21" t="s">
        <v>45</v>
      </c>
    </row>
    <row r="828" ht="22.5" customHeight="1">
      <c r="B828" s="13">
        <f t="shared" si="3"/>
        <v>821</v>
      </c>
      <c r="C828" s="24"/>
      <c r="D828" s="14" t="str">
        <f t="array" ref="D828">IF(C828="","",IFNA(_xlfn.XLOOKUP(C828,'a 01'!$C$6:$C$999,'a 01'!$D$6:$D$999),""))</f>
        <v/>
      </c>
      <c r="E828" s="18" t="str">
        <f t="array" ref="E828">_xlfn.XLOOKUP(D828,Table_Warkah[Kode Tiket],Table_Warkah[Jenis Permohonan],"")</f>
        <v/>
      </c>
      <c r="F828" s="24"/>
      <c r="G828" s="24"/>
      <c r="H828" s="13" t="str">
        <f t="shared" si="1"/>
        <v/>
      </c>
      <c r="I828" s="18"/>
      <c r="J828" s="20" t="b">
        <v>0</v>
      </c>
      <c r="K828" s="13" t="str">
        <f t="shared" si="2"/>
        <v/>
      </c>
      <c r="L828" s="13"/>
      <c r="M828" s="21" t="s">
        <v>45</v>
      </c>
    </row>
    <row r="829" ht="22.5" customHeight="1">
      <c r="B829" s="13">
        <f t="shared" si="3"/>
        <v>822</v>
      </c>
      <c r="C829" s="24"/>
      <c r="D829" s="14" t="str">
        <f t="array" ref="D829">IF(C829="","",IFNA(_xlfn.XLOOKUP(C829,'a 01'!$C$6:$C$999,'a 01'!$D$6:$D$999),""))</f>
        <v/>
      </c>
      <c r="E829" s="18" t="str">
        <f t="array" ref="E829">_xlfn.XLOOKUP(D829,Table_Warkah[Kode Tiket],Table_Warkah[Jenis Permohonan],"")</f>
        <v/>
      </c>
      <c r="F829" s="24"/>
      <c r="G829" s="24"/>
      <c r="H829" s="13" t="str">
        <f t="shared" si="1"/>
        <v/>
      </c>
      <c r="I829" s="18"/>
      <c r="J829" s="20" t="b">
        <v>0</v>
      </c>
      <c r="K829" s="13" t="str">
        <f t="shared" si="2"/>
        <v/>
      </c>
      <c r="L829" s="13"/>
      <c r="M829" s="21" t="s">
        <v>45</v>
      </c>
    </row>
    <row r="830" ht="22.5" customHeight="1">
      <c r="B830" s="13">
        <f t="shared" si="3"/>
        <v>823</v>
      </c>
      <c r="C830" s="24"/>
      <c r="D830" s="14" t="str">
        <f t="array" ref="D830">IF(C830="","",IFNA(_xlfn.XLOOKUP(C830,'a 01'!$C$6:$C$999,'a 01'!$D$6:$D$999),""))</f>
        <v/>
      </c>
      <c r="E830" s="18" t="str">
        <f t="array" ref="E830">_xlfn.XLOOKUP(D830,Table_Warkah[Kode Tiket],Table_Warkah[Jenis Permohonan],"")</f>
        <v/>
      </c>
      <c r="F830" s="24"/>
      <c r="G830" s="24"/>
      <c r="H830" s="13" t="str">
        <f t="shared" si="1"/>
        <v/>
      </c>
      <c r="I830" s="18"/>
      <c r="J830" s="20" t="b">
        <v>0</v>
      </c>
      <c r="K830" s="13" t="str">
        <f t="shared" si="2"/>
        <v/>
      </c>
      <c r="L830" s="13"/>
      <c r="M830" s="21" t="s">
        <v>45</v>
      </c>
    </row>
    <row r="831" ht="22.5" customHeight="1">
      <c r="B831" s="13">
        <f t="shared" si="3"/>
        <v>824</v>
      </c>
      <c r="C831" s="24"/>
      <c r="D831" s="14" t="str">
        <f t="array" ref="D831">IF(C831="","",IFNA(_xlfn.XLOOKUP(C831,'a 01'!$C$6:$C$999,'a 01'!$D$6:$D$999),""))</f>
        <v/>
      </c>
      <c r="E831" s="18" t="str">
        <f t="array" ref="E831">_xlfn.XLOOKUP(D831,Table_Warkah[Kode Tiket],Table_Warkah[Jenis Permohonan],"")</f>
        <v/>
      </c>
      <c r="F831" s="24"/>
      <c r="G831" s="24"/>
      <c r="H831" s="13" t="str">
        <f t="shared" si="1"/>
        <v/>
      </c>
      <c r="I831" s="18"/>
      <c r="J831" s="20" t="b">
        <v>0</v>
      </c>
      <c r="K831" s="13" t="str">
        <f t="shared" si="2"/>
        <v/>
      </c>
      <c r="L831" s="13"/>
      <c r="M831" s="21" t="s">
        <v>45</v>
      </c>
    </row>
    <row r="832" ht="22.5" customHeight="1">
      <c r="B832" s="13">
        <f t="shared" si="3"/>
        <v>825</v>
      </c>
      <c r="C832" s="24"/>
      <c r="D832" s="14" t="str">
        <f t="array" ref="D832">IF(C832="","",IFNA(_xlfn.XLOOKUP(C832,'a 01'!$C$6:$C$999,'a 01'!$D$6:$D$999),""))</f>
        <v/>
      </c>
      <c r="E832" s="18" t="str">
        <f t="array" ref="E832">_xlfn.XLOOKUP(D832,Table_Warkah[Kode Tiket],Table_Warkah[Jenis Permohonan],"")</f>
        <v/>
      </c>
      <c r="F832" s="24"/>
      <c r="G832" s="24"/>
      <c r="H832" s="13" t="str">
        <f t="shared" si="1"/>
        <v/>
      </c>
      <c r="I832" s="18"/>
      <c r="J832" s="20" t="b">
        <v>0</v>
      </c>
      <c r="K832" s="13" t="str">
        <f t="shared" si="2"/>
        <v/>
      </c>
      <c r="L832" s="13"/>
      <c r="M832" s="21" t="s">
        <v>45</v>
      </c>
    </row>
    <row r="833" ht="22.5" customHeight="1">
      <c r="B833" s="13">
        <f t="shared" si="3"/>
        <v>826</v>
      </c>
      <c r="C833" s="24"/>
      <c r="D833" s="14" t="str">
        <f t="array" ref="D833">IF(C833="","",IFNA(_xlfn.XLOOKUP(C833,'a 01'!$C$6:$C$999,'a 01'!$D$6:$D$999),""))</f>
        <v/>
      </c>
      <c r="E833" s="18" t="str">
        <f t="array" ref="E833">_xlfn.XLOOKUP(D833,Table_Warkah[Kode Tiket],Table_Warkah[Jenis Permohonan],"")</f>
        <v/>
      </c>
      <c r="F833" s="24"/>
      <c r="G833" s="24"/>
      <c r="H833" s="13" t="str">
        <f t="shared" si="1"/>
        <v/>
      </c>
      <c r="I833" s="18"/>
      <c r="J833" s="20" t="b">
        <v>0</v>
      </c>
      <c r="K833" s="13" t="str">
        <f t="shared" si="2"/>
        <v/>
      </c>
      <c r="L833" s="13"/>
      <c r="M833" s="21" t="s">
        <v>45</v>
      </c>
    </row>
    <row r="834" ht="22.5" customHeight="1">
      <c r="B834" s="13">
        <f t="shared" si="3"/>
        <v>827</v>
      </c>
      <c r="C834" s="24"/>
      <c r="D834" s="14" t="str">
        <f t="array" ref="D834">IF(C834="","",IFNA(_xlfn.XLOOKUP(C834,'a 01'!$C$6:$C$999,'a 01'!$D$6:$D$999),""))</f>
        <v/>
      </c>
      <c r="E834" s="18" t="str">
        <f t="array" ref="E834">_xlfn.XLOOKUP(D834,Table_Warkah[Kode Tiket],Table_Warkah[Jenis Permohonan],"")</f>
        <v/>
      </c>
      <c r="F834" s="24"/>
      <c r="G834" s="24"/>
      <c r="H834" s="13" t="str">
        <f t="shared" si="1"/>
        <v/>
      </c>
      <c r="I834" s="18"/>
      <c r="J834" s="20" t="b">
        <v>0</v>
      </c>
      <c r="K834" s="13" t="str">
        <f t="shared" si="2"/>
        <v/>
      </c>
      <c r="L834" s="13"/>
      <c r="M834" s="21" t="s">
        <v>45</v>
      </c>
    </row>
    <row r="835" ht="22.5" customHeight="1">
      <c r="B835" s="13">
        <f t="shared" si="3"/>
        <v>828</v>
      </c>
      <c r="C835" s="24"/>
      <c r="D835" s="14" t="str">
        <f t="array" ref="D835">IF(C835="","",IFNA(_xlfn.XLOOKUP(C835,'a 01'!$C$6:$C$999,'a 01'!$D$6:$D$999),""))</f>
        <v/>
      </c>
      <c r="E835" s="18" t="str">
        <f t="array" ref="E835">_xlfn.XLOOKUP(D835,Table_Warkah[Kode Tiket],Table_Warkah[Jenis Permohonan],"")</f>
        <v/>
      </c>
      <c r="F835" s="24"/>
      <c r="G835" s="24"/>
      <c r="H835" s="13" t="str">
        <f t="shared" si="1"/>
        <v/>
      </c>
      <c r="I835" s="18"/>
      <c r="J835" s="20" t="b">
        <v>0</v>
      </c>
      <c r="K835" s="13" t="str">
        <f t="shared" si="2"/>
        <v/>
      </c>
      <c r="L835" s="13"/>
      <c r="M835" s="21" t="s">
        <v>45</v>
      </c>
    </row>
    <row r="836" ht="22.5" customHeight="1">
      <c r="B836" s="13">
        <f t="shared" si="3"/>
        <v>829</v>
      </c>
      <c r="C836" s="24"/>
      <c r="D836" s="14" t="str">
        <f t="array" ref="D836">IF(C836="","",IFNA(_xlfn.XLOOKUP(C836,'a 01'!$C$6:$C$999,'a 01'!$D$6:$D$999),""))</f>
        <v/>
      </c>
      <c r="E836" s="18" t="str">
        <f t="array" ref="E836">_xlfn.XLOOKUP(D836,Table_Warkah[Kode Tiket],Table_Warkah[Jenis Permohonan],"")</f>
        <v/>
      </c>
      <c r="F836" s="24"/>
      <c r="G836" s="24"/>
      <c r="H836" s="13" t="str">
        <f t="shared" si="1"/>
        <v/>
      </c>
      <c r="I836" s="18"/>
      <c r="J836" s="20" t="b">
        <v>0</v>
      </c>
      <c r="K836" s="13" t="str">
        <f t="shared" si="2"/>
        <v/>
      </c>
      <c r="L836" s="13"/>
      <c r="M836" s="21" t="s">
        <v>45</v>
      </c>
    </row>
    <row r="837" ht="22.5" customHeight="1">
      <c r="B837" s="13">
        <f t="shared" si="3"/>
        <v>830</v>
      </c>
      <c r="C837" s="24"/>
      <c r="D837" s="14" t="str">
        <f t="array" ref="D837">IF(C837="","",IFNA(_xlfn.XLOOKUP(C837,'a 01'!$C$6:$C$999,'a 01'!$D$6:$D$999),""))</f>
        <v/>
      </c>
      <c r="E837" s="18" t="str">
        <f t="array" ref="E837">_xlfn.XLOOKUP(D837,Table_Warkah[Kode Tiket],Table_Warkah[Jenis Permohonan],"")</f>
        <v/>
      </c>
      <c r="F837" s="24"/>
      <c r="G837" s="24"/>
      <c r="H837" s="13" t="str">
        <f t="shared" si="1"/>
        <v/>
      </c>
      <c r="I837" s="18"/>
      <c r="J837" s="20" t="b">
        <v>0</v>
      </c>
      <c r="K837" s="13" t="str">
        <f t="shared" si="2"/>
        <v/>
      </c>
      <c r="L837" s="13"/>
      <c r="M837" s="21" t="s">
        <v>45</v>
      </c>
    </row>
    <row r="838" ht="22.5" customHeight="1">
      <c r="B838" s="13">
        <f t="shared" si="3"/>
        <v>831</v>
      </c>
      <c r="C838" s="24"/>
      <c r="D838" s="14" t="str">
        <f t="array" ref="D838">IF(C838="","",IFNA(_xlfn.XLOOKUP(C838,'a 01'!$C$6:$C$999,'a 01'!$D$6:$D$999),""))</f>
        <v/>
      </c>
      <c r="E838" s="18" t="str">
        <f t="array" ref="E838">_xlfn.XLOOKUP(D838,Table_Warkah[Kode Tiket],Table_Warkah[Jenis Permohonan],"")</f>
        <v/>
      </c>
      <c r="F838" s="24"/>
      <c r="G838" s="24"/>
      <c r="H838" s="13" t="str">
        <f t="shared" si="1"/>
        <v/>
      </c>
      <c r="I838" s="18"/>
      <c r="J838" s="20" t="b">
        <v>0</v>
      </c>
      <c r="K838" s="13" t="str">
        <f t="shared" si="2"/>
        <v/>
      </c>
      <c r="L838" s="13"/>
      <c r="M838" s="21" t="s">
        <v>45</v>
      </c>
    </row>
    <row r="839" ht="22.5" customHeight="1">
      <c r="B839" s="13">
        <f t="shared" si="3"/>
        <v>832</v>
      </c>
      <c r="C839" s="24"/>
      <c r="D839" s="14" t="str">
        <f t="array" ref="D839">IF(C839="","",IFNA(_xlfn.XLOOKUP(C839,'a 01'!$C$6:$C$999,'a 01'!$D$6:$D$999),""))</f>
        <v/>
      </c>
      <c r="E839" s="18" t="str">
        <f t="array" ref="E839">_xlfn.XLOOKUP(D839,Table_Warkah[Kode Tiket],Table_Warkah[Jenis Permohonan],"")</f>
        <v/>
      </c>
      <c r="F839" s="24"/>
      <c r="G839" s="24"/>
      <c r="H839" s="13" t="str">
        <f t="shared" si="1"/>
        <v/>
      </c>
      <c r="I839" s="18"/>
      <c r="J839" s="20" t="b">
        <v>0</v>
      </c>
      <c r="K839" s="13" t="str">
        <f t="shared" si="2"/>
        <v/>
      </c>
      <c r="L839" s="13"/>
      <c r="M839" s="21" t="s">
        <v>45</v>
      </c>
    </row>
    <row r="840" ht="22.5" customHeight="1">
      <c r="B840" s="13">
        <f t="shared" si="3"/>
        <v>833</v>
      </c>
      <c r="C840" s="24"/>
      <c r="D840" s="14" t="str">
        <f t="array" ref="D840">IF(C840="","",IFNA(_xlfn.XLOOKUP(C840,'a 01'!$C$6:$C$999,'a 01'!$D$6:$D$999),""))</f>
        <v/>
      </c>
      <c r="E840" s="18" t="str">
        <f t="array" ref="E840">_xlfn.XLOOKUP(D840,Table_Warkah[Kode Tiket],Table_Warkah[Jenis Permohonan],"")</f>
        <v/>
      </c>
      <c r="F840" s="24"/>
      <c r="G840" s="24"/>
      <c r="H840" s="13" t="str">
        <f t="shared" si="1"/>
        <v/>
      </c>
      <c r="I840" s="18"/>
      <c r="J840" s="20" t="b">
        <v>0</v>
      </c>
      <c r="K840" s="13" t="str">
        <f t="shared" si="2"/>
        <v/>
      </c>
      <c r="L840" s="13"/>
      <c r="M840" s="21" t="s">
        <v>45</v>
      </c>
    </row>
    <row r="841" ht="22.5" customHeight="1">
      <c r="B841" s="13">
        <f t="shared" si="3"/>
        <v>834</v>
      </c>
      <c r="C841" s="24"/>
      <c r="D841" s="14" t="str">
        <f t="array" ref="D841">IF(C841="","",IFNA(_xlfn.XLOOKUP(C841,'a 01'!$C$6:$C$999,'a 01'!$D$6:$D$999),""))</f>
        <v/>
      </c>
      <c r="E841" s="18" t="str">
        <f t="array" ref="E841">_xlfn.XLOOKUP(D841,Table_Warkah[Kode Tiket],Table_Warkah[Jenis Permohonan],"")</f>
        <v/>
      </c>
      <c r="F841" s="24"/>
      <c r="G841" s="24"/>
      <c r="H841" s="13" t="str">
        <f t="shared" si="1"/>
        <v/>
      </c>
      <c r="I841" s="18"/>
      <c r="J841" s="20" t="b">
        <v>0</v>
      </c>
      <c r="K841" s="13" t="str">
        <f t="shared" si="2"/>
        <v/>
      </c>
      <c r="L841" s="13"/>
      <c r="M841" s="21" t="s">
        <v>45</v>
      </c>
    </row>
    <row r="842" ht="22.5" customHeight="1">
      <c r="B842" s="13">
        <f t="shared" si="3"/>
        <v>835</v>
      </c>
      <c r="C842" s="24"/>
      <c r="D842" s="14" t="str">
        <f t="array" ref="D842">IF(C842="","",IFNA(_xlfn.XLOOKUP(C842,'a 01'!$C$6:$C$999,'a 01'!$D$6:$D$999),""))</f>
        <v/>
      </c>
      <c r="E842" s="18" t="str">
        <f t="array" ref="E842">_xlfn.XLOOKUP(D842,Table_Warkah[Kode Tiket],Table_Warkah[Jenis Permohonan],"")</f>
        <v/>
      </c>
      <c r="F842" s="24"/>
      <c r="G842" s="24"/>
      <c r="H842" s="13" t="str">
        <f t="shared" si="1"/>
        <v/>
      </c>
      <c r="I842" s="18"/>
      <c r="J842" s="20" t="b">
        <v>0</v>
      </c>
      <c r="K842" s="13" t="str">
        <f t="shared" si="2"/>
        <v/>
      </c>
      <c r="L842" s="13"/>
      <c r="M842" s="21" t="s">
        <v>45</v>
      </c>
    </row>
    <row r="843" ht="22.5" customHeight="1">
      <c r="B843" s="13">
        <f t="shared" si="3"/>
        <v>836</v>
      </c>
      <c r="C843" s="24"/>
      <c r="D843" s="14" t="str">
        <f t="array" ref="D843">IF(C843="","",IFNA(_xlfn.XLOOKUP(C843,'a 01'!$C$6:$C$999,'a 01'!$D$6:$D$999),""))</f>
        <v/>
      </c>
      <c r="E843" s="18" t="str">
        <f t="array" ref="E843">_xlfn.XLOOKUP(D843,Table_Warkah[Kode Tiket],Table_Warkah[Jenis Permohonan],"")</f>
        <v/>
      </c>
      <c r="F843" s="24"/>
      <c r="G843" s="24"/>
      <c r="H843" s="13" t="str">
        <f t="shared" si="1"/>
        <v/>
      </c>
      <c r="I843" s="18"/>
      <c r="J843" s="20" t="b">
        <v>0</v>
      </c>
      <c r="K843" s="13" t="str">
        <f t="shared" si="2"/>
        <v/>
      </c>
      <c r="L843" s="13"/>
      <c r="M843" s="21" t="s">
        <v>45</v>
      </c>
    </row>
    <row r="844" ht="22.5" customHeight="1">
      <c r="B844" s="13">
        <f t="shared" si="3"/>
        <v>837</v>
      </c>
      <c r="C844" s="24"/>
      <c r="D844" s="14" t="str">
        <f t="array" ref="D844">IF(C844="","",IFNA(_xlfn.XLOOKUP(C844,'a 01'!$C$6:$C$999,'a 01'!$D$6:$D$999),""))</f>
        <v/>
      </c>
      <c r="E844" s="18" t="str">
        <f t="array" ref="E844">_xlfn.XLOOKUP(D844,Table_Warkah[Kode Tiket],Table_Warkah[Jenis Permohonan],"")</f>
        <v/>
      </c>
      <c r="F844" s="24"/>
      <c r="G844" s="24"/>
      <c r="H844" s="13" t="str">
        <f t="shared" si="1"/>
        <v/>
      </c>
      <c r="I844" s="18"/>
      <c r="J844" s="20" t="b">
        <v>0</v>
      </c>
      <c r="K844" s="13" t="str">
        <f t="shared" si="2"/>
        <v/>
      </c>
      <c r="L844" s="13"/>
      <c r="M844" s="21" t="s">
        <v>45</v>
      </c>
    </row>
    <row r="845" ht="22.5" customHeight="1">
      <c r="B845" s="13">
        <f t="shared" si="3"/>
        <v>838</v>
      </c>
      <c r="C845" s="24"/>
      <c r="D845" s="14" t="str">
        <f t="array" ref="D845">IF(C845="","",IFNA(_xlfn.XLOOKUP(C845,'a 01'!$C$6:$C$999,'a 01'!$D$6:$D$999),""))</f>
        <v/>
      </c>
      <c r="E845" s="18" t="str">
        <f t="array" ref="E845">_xlfn.XLOOKUP(D845,Table_Warkah[Kode Tiket],Table_Warkah[Jenis Permohonan],"")</f>
        <v/>
      </c>
      <c r="F845" s="24"/>
      <c r="G845" s="24"/>
      <c r="H845" s="13" t="str">
        <f t="shared" si="1"/>
        <v/>
      </c>
      <c r="I845" s="18"/>
      <c r="J845" s="20" t="b">
        <v>0</v>
      </c>
      <c r="K845" s="13" t="str">
        <f t="shared" si="2"/>
        <v/>
      </c>
      <c r="L845" s="13"/>
      <c r="M845" s="21" t="s">
        <v>45</v>
      </c>
    </row>
    <row r="846" ht="22.5" customHeight="1">
      <c r="B846" s="13">
        <f t="shared" si="3"/>
        <v>839</v>
      </c>
      <c r="C846" s="24"/>
      <c r="D846" s="14" t="str">
        <f t="array" ref="D846">IF(C846="","",IFNA(_xlfn.XLOOKUP(C846,'a 01'!$C$6:$C$999,'a 01'!$D$6:$D$999),""))</f>
        <v/>
      </c>
      <c r="E846" s="18" t="str">
        <f t="array" ref="E846">_xlfn.XLOOKUP(D846,Table_Warkah[Kode Tiket],Table_Warkah[Jenis Permohonan],"")</f>
        <v/>
      </c>
      <c r="F846" s="24"/>
      <c r="G846" s="24"/>
      <c r="H846" s="13" t="str">
        <f t="shared" si="1"/>
        <v/>
      </c>
      <c r="I846" s="18"/>
      <c r="J846" s="20" t="b">
        <v>0</v>
      </c>
      <c r="K846" s="13" t="str">
        <f t="shared" si="2"/>
        <v/>
      </c>
      <c r="L846" s="13"/>
      <c r="M846" s="21" t="s">
        <v>45</v>
      </c>
    </row>
    <row r="847" ht="22.5" customHeight="1">
      <c r="B847" s="13">
        <f t="shared" si="3"/>
        <v>840</v>
      </c>
      <c r="C847" s="24"/>
      <c r="D847" s="14" t="str">
        <f t="array" ref="D847">IF(C847="","",IFNA(_xlfn.XLOOKUP(C847,'a 01'!$C$6:$C$999,'a 01'!$D$6:$D$999),""))</f>
        <v/>
      </c>
      <c r="E847" s="18" t="str">
        <f t="array" ref="E847">_xlfn.XLOOKUP(D847,Table_Warkah[Kode Tiket],Table_Warkah[Jenis Permohonan],"")</f>
        <v/>
      </c>
      <c r="F847" s="24"/>
      <c r="G847" s="24"/>
      <c r="H847" s="13" t="str">
        <f t="shared" si="1"/>
        <v/>
      </c>
      <c r="I847" s="18"/>
      <c r="J847" s="20" t="b">
        <v>0</v>
      </c>
      <c r="K847" s="13" t="str">
        <f t="shared" si="2"/>
        <v/>
      </c>
      <c r="L847" s="13"/>
      <c r="M847" s="21" t="s">
        <v>45</v>
      </c>
    </row>
    <row r="848" ht="22.5" customHeight="1">
      <c r="B848" s="13">
        <f t="shared" si="3"/>
        <v>841</v>
      </c>
      <c r="C848" s="24"/>
      <c r="D848" s="14" t="str">
        <f t="array" ref="D848">IF(C848="","",IFNA(_xlfn.XLOOKUP(C848,'a 01'!$C$6:$C$999,'a 01'!$D$6:$D$999),""))</f>
        <v/>
      </c>
      <c r="E848" s="18" t="str">
        <f t="array" ref="E848">_xlfn.XLOOKUP(D848,Table_Warkah[Kode Tiket],Table_Warkah[Jenis Permohonan],"")</f>
        <v/>
      </c>
      <c r="F848" s="24"/>
      <c r="G848" s="24"/>
      <c r="H848" s="13" t="str">
        <f t="shared" si="1"/>
        <v/>
      </c>
      <c r="I848" s="18"/>
      <c r="J848" s="20" t="b">
        <v>0</v>
      </c>
      <c r="K848" s="13" t="str">
        <f t="shared" si="2"/>
        <v/>
      </c>
      <c r="L848" s="13"/>
      <c r="M848" s="21" t="s">
        <v>45</v>
      </c>
    </row>
    <row r="849" ht="22.5" customHeight="1">
      <c r="B849" s="13">
        <f t="shared" si="3"/>
        <v>842</v>
      </c>
      <c r="C849" s="24"/>
      <c r="D849" s="14" t="str">
        <f t="array" ref="D849">IF(C849="","",IFNA(_xlfn.XLOOKUP(C849,'a 01'!$C$6:$C$999,'a 01'!$D$6:$D$999),""))</f>
        <v/>
      </c>
      <c r="E849" s="18" t="str">
        <f t="array" ref="E849">_xlfn.XLOOKUP(D849,Table_Warkah[Kode Tiket],Table_Warkah[Jenis Permohonan],"")</f>
        <v/>
      </c>
      <c r="F849" s="24"/>
      <c r="G849" s="24"/>
      <c r="H849" s="13" t="str">
        <f t="shared" si="1"/>
        <v/>
      </c>
      <c r="I849" s="18"/>
      <c r="J849" s="20" t="b">
        <v>0</v>
      </c>
      <c r="K849" s="13" t="str">
        <f t="shared" si="2"/>
        <v/>
      </c>
      <c r="L849" s="13"/>
      <c r="M849" s="21" t="s">
        <v>45</v>
      </c>
    </row>
    <row r="850" ht="22.5" customHeight="1">
      <c r="B850" s="13">
        <f t="shared" si="3"/>
        <v>843</v>
      </c>
      <c r="C850" s="24"/>
      <c r="D850" s="14" t="str">
        <f t="array" ref="D850">IF(C850="","",IFNA(_xlfn.XLOOKUP(C850,'a 01'!$C$6:$C$999,'a 01'!$D$6:$D$999),""))</f>
        <v/>
      </c>
      <c r="E850" s="18" t="str">
        <f t="array" ref="E850">_xlfn.XLOOKUP(D850,Table_Warkah[Kode Tiket],Table_Warkah[Jenis Permohonan],"")</f>
        <v/>
      </c>
      <c r="F850" s="24"/>
      <c r="G850" s="24"/>
      <c r="H850" s="13" t="str">
        <f t="shared" si="1"/>
        <v/>
      </c>
      <c r="I850" s="18"/>
      <c r="J850" s="20" t="b">
        <v>0</v>
      </c>
      <c r="K850" s="13" t="str">
        <f t="shared" si="2"/>
        <v/>
      </c>
      <c r="L850" s="13"/>
      <c r="M850" s="21" t="s">
        <v>45</v>
      </c>
    </row>
    <row r="851" ht="22.5" customHeight="1">
      <c r="B851" s="13">
        <f t="shared" si="3"/>
        <v>844</v>
      </c>
      <c r="C851" s="24"/>
      <c r="D851" s="14" t="str">
        <f t="array" ref="D851">IF(C851="","",IFNA(_xlfn.XLOOKUP(C851,'a 01'!$C$6:$C$999,'a 01'!$D$6:$D$999),""))</f>
        <v/>
      </c>
      <c r="E851" s="18" t="str">
        <f t="array" ref="E851">_xlfn.XLOOKUP(D851,Table_Warkah[Kode Tiket],Table_Warkah[Jenis Permohonan],"")</f>
        <v/>
      </c>
      <c r="F851" s="24"/>
      <c r="G851" s="24"/>
      <c r="H851" s="13" t="str">
        <f t="shared" si="1"/>
        <v/>
      </c>
      <c r="I851" s="18"/>
      <c r="J851" s="20" t="b">
        <v>0</v>
      </c>
      <c r="K851" s="13" t="str">
        <f t="shared" si="2"/>
        <v/>
      </c>
      <c r="L851" s="13"/>
      <c r="M851" s="21" t="s">
        <v>45</v>
      </c>
    </row>
    <row r="852" ht="22.5" customHeight="1">
      <c r="B852" s="13">
        <f t="shared" si="3"/>
        <v>845</v>
      </c>
      <c r="C852" s="24"/>
      <c r="D852" s="14" t="str">
        <f t="array" ref="D852">IF(C852="","",IFNA(_xlfn.XLOOKUP(C852,'a 01'!$C$6:$C$999,'a 01'!$D$6:$D$999),""))</f>
        <v/>
      </c>
      <c r="E852" s="18" t="str">
        <f t="array" ref="E852">_xlfn.XLOOKUP(D852,Table_Warkah[Kode Tiket],Table_Warkah[Jenis Permohonan],"")</f>
        <v/>
      </c>
      <c r="F852" s="24"/>
      <c r="G852" s="24"/>
      <c r="H852" s="13" t="str">
        <f t="shared" si="1"/>
        <v/>
      </c>
      <c r="I852" s="18"/>
      <c r="J852" s="20" t="b">
        <v>0</v>
      </c>
      <c r="K852" s="13" t="str">
        <f t="shared" si="2"/>
        <v/>
      </c>
      <c r="L852" s="13"/>
      <c r="M852" s="21" t="s">
        <v>45</v>
      </c>
    </row>
    <row r="853" ht="22.5" customHeight="1">
      <c r="B853" s="13">
        <f t="shared" si="3"/>
        <v>846</v>
      </c>
      <c r="C853" s="24"/>
      <c r="D853" s="14" t="str">
        <f t="array" ref="D853">IF(C853="","",IFNA(_xlfn.XLOOKUP(C853,'a 01'!$C$6:$C$999,'a 01'!$D$6:$D$999),""))</f>
        <v/>
      </c>
      <c r="E853" s="18" t="str">
        <f t="array" ref="E853">_xlfn.XLOOKUP(D853,Table_Warkah[Kode Tiket],Table_Warkah[Jenis Permohonan],"")</f>
        <v/>
      </c>
      <c r="F853" s="24"/>
      <c r="G853" s="24"/>
      <c r="H853" s="13" t="str">
        <f t="shared" si="1"/>
        <v/>
      </c>
      <c r="I853" s="18"/>
      <c r="J853" s="20" t="b">
        <v>0</v>
      </c>
      <c r="K853" s="13" t="str">
        <f t="shared" si="2"/>
        <v/>
      </c>
      <c r="L853" s="13"/>
      <c r="M853" s="21" t="s">
        <v>45</v>
      </c>
    </row>
    <row r="854" ht="22.5" customHeight="1">
      <c r="B854" s="13">
        <f t="shared" si="3"/>
        <v>847</v>
      </c>
      <c r="C854" s="24"/>
      <c r="D854" s="14" t="str">
        <f t="array" ref="D854">IF(C854="","",IFNA(_xlfn.XLOOKUP(C854,'a 01'!$C$6:$C$999,'a 01'!$D$6:$D$999),""))</f>
        <v/>
      </c>
      <c r="E854" s="18" t="str">
        <f t="array" ref="E854">_xlfn.XLOOKUP(D854,Table_Warkah[Kode Tiket],Table_Warkah[Jenis Permohonan],"")</f>
        <v/>
      </c>
      <c r="F854" s="24"/>
      <c r="G854" s="24"/>
      <c r="H854" s="13" t="str">
        <f t="shared" si="1"/>
        <v/>
      </c>
      <c r="I854" s="18"/>
      <c r="J854" s="20" t="b">
        <v>0</v>
      </c>
      <c r="K854" s="13" t="str">
        <f t="shared" si="2"/>
        <v/>
      </c>
      <c r="L854" s="13"/>
      <c r="M854" s="21" t="s">
        <v>45</v>
      </c>
    </row>
    <row r="855" ht="22.5" customHeight="1">
      <c r="B855" s="13">
        <f t="shared" si="3"/>
        <v>848</v>
      </c>
      <c r="C855" s="24"/>
      <c r="D855" s="14" t="str">
        <f t="array" ref="D855">IF(C855="","",IFNA(_xlfn.XLOOKUP(C855,'a 01'!$C$6:$C$999,'a 01'!$D$6:$D$999),""))</f>
        <v/>
      </c>
      <c r="E855" s="18" t="str">
        <f t="array" ref="E855">_xlfn.XLOOKUP(D855,Table_Warkah[Kode Tiket],Table_Warkah[Jenis Permohonan],"")</f>
        <v/>
      </c>
      <c r="F855" s="24"/>
      <c r="G855" s="24"/>
      <c r="H855" s="13" t="str">
        <f t="shared" si="1"/>
        <v/>
      </c>
      <c r="I855" s="18"/>
      <c r="J855" s="20" t="b">
        <v>0</v>
      </c>
      <c r="K855" s="13" t="str">
        <f t="shared" si="2"/>
        <v/>
      </c>
      <c r="L855" s="13"/>
      <c r="M855" s="21" t="s">
        <v>45</v>
      </c>
    </row>
    <row r="856" ht="22.5" customHeight="1">
      <c r="B856" s="13">
        <f t="shared" si="3"/>
        <v>849</v>
      </c>
      <c r="C856" s="24"/>
      <c r="D856" s="14" t="str">
        <f t="array" ref="D856">IF(C856="","",IFNA(_xlfn.XLOOKUP(C856,'a 01'!$C$6:$C$999,'a 01'!$D$6:$D$999),""))</f>
        <v/>
      </c>
      <c r="E856" s="18" t="str">
        <f t="array" ref="E856">_xlfn.XLOOKUP(D856,Table_Warkah[Kode Tiket],Table_Warkah[Jenis Permohonan],"")</f>
        <v/>
      </c>
      <c r="F856" s="24"/>
      <c r="G856" s="24"/>
      <c r="H856" s="13" t="str">
        <f t="shared" si="1"/>
        <v/>
      </c>
      <c r="I856" s="18"/>
      <c r="J856" s="20" t="b">
        <v>0</v>
      </c>
      <c r="K856" s="13" t="str">
        <f t="shared" si="2"/>
        <v/>
      </c>
      <c r="L856" s="13"/>
      <c r="M856" s="21" t="s">
        <v>45</v>
      </c>
    </row>
    <row r="857" ht="22.5" customHeight="1">
      <c r="B857" s="13">
        <f t="shared" si="3"/>
        <v>850</v>
      </c>
      <c r="C857" s="24"/>
      <c r="D857" s="14" t="str">
        <f t="array" ref="D857">IF(C857="","",IFNA(_xlfn.XLOOKUP(C857,'a 01'!$C$6:$C$999,'a 01'!$D$6:$D$999),""))</f>
        <v/>
      </c>
      <c r="E857" s="18" t="str">
        <f t="array" ref="E857">_xlfn.XLOOKUP(D857,Table_Warkah[Kode Tiket],Table_Warkah[Jenis Permohonan],"")</f>
        <v/>
      </c>
      <c r="F857" s="24"/>
      <c r="G857" s="24"/>
      <c r="H857" s="13" t="str">
        <f t="shared" si="1"/>
        <v/>
      </c>
      <c r="I857" s="18"/>
      <c r="J857" s="20" t="b">
        <v>0</v>
      </c>
      <c r="K857" s="13" t="str">
        <f t="shared" si="2"/>
        <v/>
      </c>
      <c r="L857" s="13"/>
      <c r="M857" s="21" t="s">
        <v>45</v>
      </c>
    </row>
    <row r="858" ht="22.5" customHeight="1">
      <c r="B858" s="13">
        <f t="shared" si="3"/>
        <v>851</v>
      </c>
      <c r="C858" s="24"/>
      <c r="D858" s="14" t="str">
        <f t="array" ref="D858">IF(C858="","",IFNA(_xlfn.XLOOKUP(C858,'a 01'!$C$6:$C$999,'a 01'!$D$6:$D$999),""))</f>
        <v/>
      </c>
      <c r="E858" s="18" t="str">
        <f t="array" ref="E858">_xlfn.XLOOKUP(D858,Table_Warkah[Kode Tiket],Table_Warkah[Jenis Permohonan],"")</f>
        <v/>
      </c>
      <c r="F858" s="24"/>
      <c r="G858" s="24"/>
      <c r="H858" s="13" t="str">
        <f t="shared" si="1"/>
        <v/>
      </c>
      <c r="I858" s="18"/>
      <c r="J858" s="20" t="b">
        <v>0</v>
      </c>
      <c r="K858" s="13" t="str">
        <f t="shared" si="2"/>
        <v/>
      </c>
      <c r="L858" s="13"/>
      <c r="M858" s="21" t="s">
        <v>45</v>
      </c>
    </row>
    <row r="859" ht="22.5" customHeight="1">
      <c r="B859" s="13">
        <f t="shared" si="3"/>
        <v>852</v>
      </c>
      <c r="C859" s="24"/>
      <c r="D859" s="14" t="str">
        <f t="array" ref="D859">IF(C859="","",IFNA(_xlfn.XLOOKUP(C859,'a 01'!$C$6:$C$999,'a 01'!$D$6:$D$999),""))</f>
        <v/>
      </c>
      <c r="E859" s="18" t="str">
        <f t="array" ref="E859">_xlfn.XLOOKUP(D859,Table_Warkah[Kode Tiket],Table_Warkah[Jenis Permohonan],"")</f>
        <v/>
      </c>
      <c r="F859" s="24"/>
      <c r="G859" s="24"/>
      <c r="H859" s="13" t="str">
        <f t="shared" si="1"/>
        <v/>
      </c>
      <c r="I859" s="18"/>
      <c r="J859" s="20" t="b">
        <v>0</v>
      </c>
      <c r="K859" s="13" t="str">
        <f t="shared" si="2"/>
        <v/>
      </c>
      <c r="L859" s="13"/>
      <c r="M859" s="21" t="s">
        <v>45</v>
      </c>
    </row>
    <row r="860" ht="22.5" customHeight="1">
      <c r="B860" s="13">
        <f t="shared" si="3"/>
        <v>853</v>
      </c>
      <c r="C860" s="24"/>
      <c r="D860" s="14" t="str">
        <f t="array" ref="D860">IF(C860="","",IFNA(_xlfn.XLOOKUP(C860,'a 01'!$C$6:$C$999,'a 01'!$D$6:$D$999),""))</f>
        <v/>
      </c>
      <c r="E860" s="18" t="str">
        <f t="array" ref="E860">_xlfn.XLOOKUP(D860,Table_Warkah[Kode Tiket],Table_Warkah[Jenis Permohonan],"")</f>
        <v/>
      </c>
      <c r="F860" s="24"/>
      <c r="G860" s="24"/>
      <c r="H860" s="13" t="str">
        <f t="shared" si="1"/>
        <v/>
      </c>
      <c r="I860" s="18"/>
      <c r="J860" s="20" t="b">
        <v>0</v>
      </c>
      <c r="K860" s="13" t="str">
        <f t="shared" si="2"/>
        <v/>
      </c>
      <c r="L860" s="13"/>
      <c r="M860" s="21" t="s">
        <v>45</v>
      </c>
    </row>
    <row r="861" ht="22.5" customHeight="1">
      <c r="B861" s="13">
        <f t="shared" si="3"/>
        <v>854</v>
      </c>
      <c r="C861" s="24"/>
      <c r="D861" s="14" t="str">
        <f t="array" ref="D861">IF(C861="","",IFNA(_xlfn.XLOOKUP(C861,'a 01'!$C$6:$C$999,'a 01'!$D$6:$D$999),""))</f>
        <v/>
      </c>
      <c r="E861" s="18" t="str">
        <f t="array" ref="E861">_xlfn.XLOOKUP(D861,Table_Warkah[Kode Tiket],Table_Warkah[Jenis Permohonan],"")</f>
        <v/>
      </c>
      <c r="F861" s="24"/>
      <c r="G861" s="24"/>
      <c r="H861" s="13" t="str">
        <f t="shared" si="1"/>
        <v/>
      </c>
      <c r="I861" s="18"/>
      <c r="J861" s="20" t="b">
        <v>0</v>
      </c>
      <c r="K861" s="13" t="str">
        <f t="shared" si="2"/>
        <v/>
      </c>
      <c r="L861" s="13"/>
      <c r="M861" s="21" t="s">
        <v>45</v>
      </c>
    </row>
    <row r="862" ht="22.5" customHeight="1">
      <c r="B862" s="13">
        <f t="shared" si="3"/>
        <v>855</v>
      </c>
      <c r="C862" s="24"/>
      <c r="D862" s="14" t="str">
        <f t="array" ref="D862">IF(C862="","",IFNA(_xlfn.XLOOKUP(C862,'a 01'!$C$6:$C$999,'a 01'!$D$6:$D$999),""))</f>
        <v/>
      </c>
      <c r="E862" s="18" t="str">
        <f t="array" ref="E862">_xlfn.XLOOKUP(D862,Table_Warkah[Kode Tiket],Table_Warkah[Jenis Permohonan],"")</f>
        <v/>
      </c>
      <c r="F862" s="24"/>
      <c r="G862" s="24"/>
      <c r="H862" s="13" t="str">
        <f t="shared" si="1"/>
        <v/>
      </c>
      <c r="I862" s="18"/>
      <c r="J862" s="20" t="b">
        <v>0</v>
      </c>
      <c r="K862" s="13" t="str">
        <f t="shared" si="2"/>
        <v/>
      </c>
      <c r="L862" s="13"/>
      <c r="M862" s="21" t="s">
        <v>45</v>
      </c>
    </row>
    <row r="863" ht="22.5" customHeight="1">
      <c r="B863" s="13">
        <f t="shared" si="3"/>
        <v>856</v>
      </c>
      <c r="C863" s="24"/>
      <c r="D863" s="14" t="str">
        <f t="array" ref="D863">IF(C863="","",IFNA(_xlfn.XLOOKUP(C863,'a 01'!$C$6:$C$999,'a 01'!$D$6:$D$999),""))</f>
        <v/>
      </c>
      <c r="E863" s="18" t="str">
        <f t="array" ref="E863">_xlfn.XLOOKUP(D863,Table_Warkah[Kode Tiket],Table_Warkah[Jenis Permohonan],"")</f>
        <v/>
      </c>
      <c r="F863" s="24"/>
      <c r="G863" s="24"/>
      <c r="H863" s="13" t="str">
        <f t="shared" si="1"/>
        <v/>
      </c>
      <c r="I863" s="18"/>
      <c r="J863" s="20" t="b">
        <v>0</v>
      </c>
      <c r="K863" s="13" t="str">
        <f t="shared" si="2"/>
        <v/>
      </c>
      <c r="L863" s="13"/>
      <c r="M863" s="21" t="s">
        <v>45</v>
      </c>
    </row>
    <row r="864" ht="22.5" customHeight="1">
      <c r="B864" s="13">
        <f t="shared" si="3"/>
        <v>857</v>
      </c>
      <c r="C864" s="24"/>
      <c r="D864" s="14" t="str">
        <f t="array" ref="D864">IF(C864="","",IFNA(_xlfn.XLOOKUP(C864,'a 01'!$C$6:$C$999,'a 01'!$D$6:$D$999),""))</f>
        <v/>
      </c>
      <c r="E864" s="18" t="str">
        <f t="array" ref="E864">_xlfn.XLOOKUP(D864,Table_Warkah[Kode Tiket],Table_Warkah[Jenis Permohonan],"")</f>
        <v/>
      </c>
      <c r="F864" s="24"/>
      <c r="G864" s="24"/>
      <c r="H864" s="13" t="str">
        <f t="shared" si="1"/>
        <v/>
      </c>
      <c r="I864" s="18"/>
      <c r="J864" s="20" t="b">
        <v>0</v>
      </c>
      <c r="K864" s="13" t="str">
        <f t="shared" si="2"/>
        <v/>
      </c>
      <c r="L864" s="13"/>
      <c r="M864" s="21" t="s">
        <v>45</v>
      </c>
    </row>
    <row r="865" ht="22.5" customHeight="1">
      <c r="B865" s="13">
        <f t="shared" si="3"/>
        <v>858</v>
      </c>
      <c r="C865" s="24"/>
      <c r="D865" s="14" t="str">
        <f t="array" ref="D865">IF(C865="","",IFNA(_xlfn.XLOOKUP(C865,'a 01'!$C$6:$C$999,'a 01'!$D$6:$D$999),""))</f>
        <v/>
      </c>
      <c r="E865" s="18" t="str">
        <f t="array" ref="E865">_xlfn.XLOOKUP(D865,Table_Warkah[Kode Tiket],Table_Warkah[Jenis Permohonan],"")</f>
        <v/>
      </c>
      <c r="F865" s="24"/>
      <c r="G865" s="24"/>
      <c r="H865" s="13" t="str">
        <f t="shared" si="1"/>
        <v/>
      </c>
      <c r="I865" s="18"/>
      <c r="J865" s="20" t="b">
        <v>0</v>
      </c>
      <c r="K865" s="13" t="str">
        <f t="shared" si="2"/>
        <v/>
      </c>
      <c r="L865" s="13"/>
      <c r="M865" s="21" t="s">
        <v>45</v>
      </c>
    </row>
    <row r="866" ht="22.5" customHeight="1">
      <c r="B866" s="13">
        <f t="shared" si="3"/>
        <v>859</v>
      </c>
      <c r="C866" s="24"/>
      <c r="D866" s="14" t="str">
        <f t="array" ref="D866">IF(C866="","",IFNA(_xlfn.XLOOKUP(C866,'a 01'!$C$6:$C$999,'a 01'!$D$6:$D$999),""))</f>
        <v/>
      </c>
      <c r="E866" s="18" t="str">
        <f t="array" ref="E866">_xlfn.XLOOKUP(D866,Table_Warkah[Kode Tiket],Table_Warkah[Jenis Permohonan],"")</f>
        <v/>
      </c>
      <c r="F866" s="24"/>
      <c r="G866" s="24"/>
      <c r="H866" s="13" t="str">
        <f t="shared" si="1"/>
        <v/>
      </c>
      <c r="I866" s="18"/>
      <c r="J866" s="20" t="b">
        <v>0</v>
      </c>
      <c r="K866" s="13" t="str">
        <f t="shared" si="2"/>
        <v/>
      </c>
      <c r="L866" s="13"/>
      <c r="M866" s="21" t="s">
        <v>45</v>
      </c>
    </row>
    <row r="867" ht="22.5" customHeight="1">
      <c r="B867" s="13">
        <f t="shared" si="3"/>
        <v>860</v>
      </c>
      <c r="C867" s="24"/>
      <c r="D867" s="14" t="str">
        <f t="array" ref="D867">IF(C867="","",IFNA(_xlfn.XLOOKUP(C867,'a 01'!$C$6:$C$999,'a 01'!$D$6:$D$999),""))</f>
        <v/>
      </c>
      <c r="E867" s="18" t="str">
        <f t="array" ref="E867">_xlfn.XLOOKUP(D867,Table_Warkah[Kode Tiket],Table_Warkah[Jenis Permohonan],"")</f>
        <v/>
      </c>
      <c r="F867" s="24"/>
      <c r="G867" s="24"/>
      <c r="H867" s="13" t="str">
        <f t="shared" si="1"/>
        <v/>
      </c>
      <c r="I867" s="18"/>
      <c r="J867" s="20" t="b">
        <v>0</v>
      </c>
      <c r="K867" s="13" t="str">
        <f t="shared" si="2"/>
        <v/>
      </c>
      <c r="L867" s="13"/>
      <c r="M867" s="21" t="s">
        <v>45</v>
      </c>
    </row>
    <row r="868" ht="22.5" customHeight="1">
      <c r="B868" s="13">
        <f t="shared" si="3"/>
        <v>861</v>
      </c>
      <c r="C868" s="24"/>
      <c r="D868" s="14" t="str">
        <f t="array" ref="D868">IF(C868="","",IFNA(_xlfn.XLOOKUP(C868,'a 01'!$C$6:$C$999,'a 01'!$D$6:$D$999),""))</f>
        <v/>
      </c>
      <c r="E868" s="18" t="str">
        <f t="array" ref="E868">_xlfn.XLOOKUP(D868,Table_Warkah[Kode Tiket],Table_Warkah[Jenis Permohonan],"")</f>
        <v/>
      </c>
      <c r="F868" s="24"/>
      <c r="G868" s="24"/>
      <c r="H868" s="13" t="str">
        <f t="shared" si="1"/>
        <v/>
      </c>
      <c r="I868" s="18"/>
      <c r="J868" s="20" t="b">
        <v>0</v>
      </c>
      <c r="K868" s="13" t="str">
        <f t="shared" si="2"/>
        <v/>
      </c>
      <c r="L868" s="13"/>
      <c r="M868" s="21" t="s">
        <v>45</v>
      </c>
    </row>
    <row r="869" ht="22.5" customHeight="1">
      <c r="B869" s="13">
        <f t="shared" si="3"/>
        <v>862</v>
      </c>
      <c r="C869" s="24"/>
      <c r="D869" s="14" t="str">
        <f t="array" ref="D869">IF(C869="","",IFNA(_xlfn.XLOOKUP(C869,'a 01'!$C$6:$C$999,'a 01'!$D$6:$D$999),""))</f>
        <v/>
      </c>
      <c r="E869" s="18" t="str">
        <f t="array" ref="E869">_xlfn.XLOOKUP(D869,Table_Warkah[Kode Tiket],Table_Warkah[Jenis Permohonan],"")</f>
        <v/>
      </c>
      <c r="F869" s="24"/>
      <c r="G869" s="24"/>
      <c r="H869" s="13" t="str">
        <f t="shared" si="1"/>
        <v/>
      </c>
      <c r="I869" s="18"/>
      <c r="J869" s="20" t="b">
        <v>0</v>
      </c>
      <c r="K869" s="13" t="str">
        <f t="shared" si="2"/>
        <v/>
      </c>
      <c r="L869" s="13"/>
      <c r="M869" s="21" t="s">
        <v>45</v>
      </c>
    </row>
    <row r="870" ht="22.5" customHeight="1">
      <c r="B870" s="13">
        <f t="shared" si="3"/>
        <v>863</v>
      </c>
      <c r="C870" s="24"/>
      <c r="D870" s="14" t="str">
        <f t="array" ref="D870">IF(C870="","",IFNA(_xlfn.XLOOKUP(C870,'a 01'!$C$6:$C$999,'a 01'!$D$6:$D$999),""))</f>
        <v/>
      </c>
      <c r="E870" s="18" t="str">
        <f t="array" ref="E870">_xlfn.XLOOKUP(D870,Table_Warkah[Kode Tiket],Table_Warkah[Jenis Permohonan],"")</f>
        <v/>
      </c>
      <c r="F870" s="24"/>
      <c r="G870" s="24"/>
      <c r="H870" s="13" t="str">
        <f t="shared" si="1"/>
        <v/>
      </c>
      <c r="I870" s="18"/>
      <c r="J870" s="20" t="b">
        <v>0</v>
      </c>
      <c r="K870" s="13" t="str">
        <f t="shared" si="2"/>
        <v/>
      </c>
      <c r="L870" s="13"/>
      <c r="M870" s="21" t="s">
        <v>45</v>
      </c>
    </row>
    <row r="871" ht="22.5" customHeight="1">
      <c r="B871" s="13">
        <f t="shared" si="3"/>
        <v>864</v>
      </c>
      <c r="C871" s="24"/>
      <c r="D871" s="14" t="str">
        <f t="array" ref="D871">IF(C871="","",IFNA(_xlfn.XLOOKUP(C871,'a 01'!$C$6:$C$999,'a 01'!$D$6:$D$999),""))</f>
        <v/>
      </c>
      <c r="E871" s="18" t="str">
        <f t="array" ref="E871">_xlfn.XLOOKUP(D871,Table_Warkah[Kode Tiket],Table_Warkah[Jenis Permohonan],"")</f>
        <v/>
      </c>
      <c r="F871" s="24"/>
      <c r="G871" s="24"/>
      <c r="H871" s="13" t="str">
        <f t="shared" si="1"/>
        <v/>
      </c>
      <c r="I871" s="18"/>
      <c r="J871" s="20" t="b">
        <v>0</v>
      </c>
      <c r="K871" s="13" t="str">
        <f t="shared" si="2"/>
        <v/>
      </c>
      <c r="L871" s="13"/>
      <c r="M871" s="21" t="s">
        <v>45</v>
      </c>
    </row>
    <row r="872" ht="22.5" customHeight="1">
      <c r="B872" s="13">
        <f t="shared" si="3"/>
        <v>865</v>
      </c>
      <c r="C872" s="24"/>
      <c r="D872" s="14" t="str">
        <f t="array" ref="D872">IF(C872="","",IFNA(_xlfn.XLOOKUP(C872,'a 01'!$C$6:$C$999,'a 01'!$D$6:$D$999),""))</f>
        <v/>
      </c>
      <c r="E872" s="18" t="str">
        <f t="array" ref="E872">_xlfn.XLOOKUP(D872,Table_Warkah[Kode Tiket],Table_Warkah[Jenis Permohonan],"")</f>
        <v/>
      </c>
      <c r="F872" s="24"/>
      <c r="G872" s="24"/>
      <c r="H872" s="13" t="str">
        <f t="shared" si="1"/>
        <v/>
      </c>
      <c r="I872" s="18"/>
      <c r="J872" s="20" t="b">
        <v>0</v>
      </c>
      <c r="K872" s="13" t="str">
        <f t="shared" si="2"/>
        <v/>
      </c>
      <c r="L872" s="13"/>
      <c r="M872" s="21" t="s">
        <v>45</v>
      </c>
    </row>
    <row r="873" ht="22.5" customHeight="1">
      <c r="B873" s="13">
        <f t="shared" si="3"/>
        <v>866</v>
      </c>
      <c r="C873" s="24"/>
      <c r="D873" s="14" t="str">
        <f t="array" ref="D873">IF(C873="","",IFNA(_xlfn.XLOOKUP(C873,'a 01'!$C$6:$C$999,'a 01'!$D$6:$D$999),""))</f>
        <v/>
      </c>
      <c r="E873" s="18" t="str">
        <f t="array" ref="E873">_xlfn.XLOOKUP(D873,Table_Warkah[Kode Tiket],Table_Warkah[Jenis Permohonan],"")</f>
        <v/>
      </c>
      <c r="F873" s="24"/>
      <c r="G873" s="24"/>
      <c r="H873" s="13" t="str">
        <f t="shared" si="1"/>
        <v/>
      </c>
      <c r="I873" s="18"/>
      <c r="J873" s="20" t="b">
        <v>0</v>
      </c>
      <c r="K873" s="13" t="str">
        <f t="shared" si="2"/>
        <v/>
      </c>
      <c r="L873" s="13"/>
      <c r="M873" s="21" t="s">
        <v>45</v>
      </c>
    </row>
    <row r="874" ht="22.5" customHeight="1">
      <c r="B874" s="13">
        <f t="shared" si="3"/>
        <v>867</v>
      </c>
      <c r="C874" s="24"/>
      <c r="D874" s="14" t="str">
        <f t="array" ref="D874">IF(C874="","",IFNA(_xlfn.XLOOKUP(C874,'a 01'!$C$6:$C$999,'a 01'!$D$6:$D$999),""))</f>
        <v/>
      </c>
      <c r="E874" s="18" t="str">
        <f t="array" ref="E874">_xlfn.XLOOKUP(D874,Table_Warkah[Kode Tiket],Table_Warkah[Jenis Permohonan],"")</f>
        <v/>
      </c>
      <c r="F874" s="24"/>
      <c r="G874" s="24"/>
      <c r="H874" s="13" t="str">
        <f t="shared" si="1"/>
        <v/>
      </c>
      <c r="I874" s="18"/>
      <c r="J874" s="20" t="b">
        <v>0</v>
      </c>
      <c r="K874" s="13" t="str">
        <f t="shared" si="2"/>
        <v/>
      </c>
      <c r="L874" s="13"/>
      <c r="M874" s="21" t="s">
        <v>45</v>
      </c>
    </row>
    <row r="875" ht="22.5" customHeight="1">
      <c r="B875" s="13">
        <f t="shared" si="3"/>
        <v>868</v>
      </c>
      <c r="C875" s="24"/>
      <c r="D875" s="14" t="str">
        <f t="array" ref="D875">IF(C875="","",IFNA(_xlfn.XLOOKUP(C875,'a 01'!$C$6:$C$999,'a 01'!$D$6:$D$999),""))</f>
        <v/>
      </c>
      <c r="E875" s="18" t="str">
        <f t="array" ref="E875">_xlfn.XLOOKUP(D875,Table_Warkah[Kode Tiket],Table_Warkah[Jenis Permohonan],"")</f>
        <v/>
      </c>
      <c r="F875" s="24"/>
      <c r="G875" s="24"/>
      <c r="H875" s="13" t="str">
        <f t="shared" si="1"/>
        <v/>
      </c>
      <c r="I875" s="18"/>
      <c r="J875" s="20" t="b">
        <v>0</v>
      </c>
      <c r="K875" s="13" t="str">
        <f t="shared" si="2"/>
        <v/>
      </c>
      <c r="L875" s="13"/>
      <c r="M875" s="21" t="s">
        <v>45</v>
      </c>
    </row>
    <row r="876" ht="22.5" customHeight="1">
      <c r="B876" s="13">
        <f t="shared" si="3"/>
        <v>869</v>
      </c>
      <c r="C876" s="24"/>
      <c r="D876" s="14" t="str">
        <f t="array" ref="D876">IF(C876="","",IFNA(_xlfn.XLOOKUP(C876,'a 01'!$C$6:$C$999,'a 01'!$D$6:$D$999),""))</f>
        <v/>
      </c>
      <c r="E876" s="18" t="str">
        <f t="array" ref="E876">_xlfn.XLOOKUP(D876,Table_Warkah[Kode Tiket],Table_Warkah[Jenis Permohonan],"")</f>
        <v/>
      </c>
      <c r="F876" s="24"/>
      <c r="G876" s="24"/>
      <c r="H876" s="13" t="str">
        <f t="shared" si="1"/>
        <v/>
      </c>
      <c r="I876" s="18"/>
      <c r="J876" s="20" t="b">
        <v>0</v>
      </c>
      <c r="K876" s="13" t="str">
        <f t="shared" si="2"/>
        <v/>
      </c>
      <c r="L876" s="13"/>
      <c r="M876" s="21" t="s">
        <v>45</v>
      </c>
    </row>
    <row r="877" ht="22.5" customHeight="1">
      <c r="B877" s="13">
        <f t="shared" si="3"/>
        <v>870</v>
      </c>
      <c r="C877" s="24"/>
      <c r="D877" s="14" t="str">
        <f t="array" ref="D877">IF(C877="","",IFNA(_xlfn.XLOOKUP(C877,'a 01'!$C$6:$C$999,'a 01'!$D$6:$D$999),""))</f>
        <v/>
      </c>
      <c r="E877" s="18" t="str">
        <f t="array" ref="E877">_xlfn.XLOOKUP(D877,Table_Warkah[Kode Tiket],Table_Warkah[Jenis Permohonan],"")</f>
        <v/>
      </c>
      <c r="F877" s="24"/>
      <c r="G877" s="24"/>
      <c r="H877" s="13" t="str">
        <f t="shared" si="1"/>
        <v/>
      </c>
      <c r="I877" s="18"/>
      <c r="J877" s="20" t="b">
        <v>0</v>
      </c>
      <c r="K877" s="13" t="str">
        <f t="shared" si="2"/>
        <v/>
      </c>
      <c r="L877" s="13"/>
      <c r="M877" s="21" t="s">
        <v>45</v>
      </c>
    </row>
    <row r="878" ht="22.5" customHeight="1">
      <c r="B878" s="13">
        <f t="shared" si="3"/>
        <v>871</v>
      </c>
      <c r="C878" s="24"/>
      <c r="D878" s="14" t="str">
        <f t="array" ref="D878">IF(C878="","",IFNA(_xlfn.XLOOKUP(C878,'a 01'!$C$6:$C$999,'a 01'!$D$6:$D$999),""))</f>
        <v/>
      </c>
      <c r="E878" s="18" t="str">
        <f t="array" ref="E878">_xlfn.XLOOKUP(D878,Table_Warkah[Kode Tiket],Table_Warkah[Jenis Permohonan],"")</f>
        <v/>
      </c>
      <c r="F878" s="24"/>
      <c r="G878" s="24"/>
      <c r="H878" s="13" t="str">
        <f t="shared" si="1"/>
        <v/>
      </c>
      <c r="I878" s="18"/>
      <c r="J878" s="20" t="b">
        <v>0</v>
      </c>
      <c r="K878" s="13" t="str">
        <f t="shared" si="2"/>
        <v/>
      </c>
      <c r="L878" s="13"/>
      <c r="M878" s="21" t="s">
        <v>45</v>
      </c>
    </row>
    <row r="879" ht="22.5" customHeight="1">
      <c r="B879" s="13">
        <f t="shared" si="3"/>
        <v>872</v>
      </c>
      <c r="C879" s="24"/>
      <c r="D879" s="14" t="str">
        <f t="array" ref="D879">IF(C879="","",IFNA(_xlfn.XLOOKUP(C879,'a 01'!$C$6:$C$999,'a 01'!$D$6:$D$999),""))</f>
        <v/>
      </c>
      <c r="E879" s="18" t="str">
        <f t="array" ref="E879">_xlfn.XLOOKUP(D879,Table_Warkah[Kode Tiket],Table_Warkah[Jenis Permohonan],"")</f>
        <v/>
      </c>
      <c r="F879" s="24"/>
      <c r="G879" s="24"/>
      <c r="H879" s="13" t="str">
        <f t="shared" si="1"/>
        <v/>
      </c>
      <c r="I879" s="18"/>
      <c r="J879" s="20" t="b">
        <v>0</v>
      </c>
      <c r="K879" s="13" t="str">
        <f t="shared" si="2"/>
        <v/>
      </c>
      <c r="L879" s="13"/>
      <c r="M879" s="21" t="s">
        <v>45</v>
      </c>
    </row>
    <row r="880" ht="22.5" customHeight="1">
      <c r="B880" s="13">
        <f t="shared" si="3"/>
        <v>873</v>
      </c>
      <c r="C880" s="24"/>
      <c r="D880" s="14" t="str">
        <f t="array" ref="D880">IF(C880="","",IFNA(_xlfn.XLOOKUP(C880,'a 01'!$C$6:$C$999,'a 01'!$D$6:$D$999),""))</f>
        <v/>
      </c>
      <c r="E880" s="18" t="str">
        <f t="array" ref="E880">_xlfn.XLOOKUP(D880,Table_Warkah[Kode Tiket],Table_Warkah[Jenis Permohonan],"")</f>
        <v/>
      </c>
      <c r="F880" s="24"/>
      <c r="G880" s="24"/>
      <c r="H880" s="13" t="str">
        <f t="shared" si="1"/>
        <v/>
      </c>
      <c r="I880" s="18"/>
      <c r="J880" s="20" t="b">
        <v>0</v>
      </c>
      <c r="K880" s="13" t="str">
        <f t="shared" si="2"/>
        <v/>
      </c>
      <c r="L880" s="13"/>
      <c r="M880" s="21" t="s">
        <v>45</v>
      </c>
    </row>
    <row r="881" ht="22.5" customHeight="1">
      <c r="B881" s="13">
        <f t="shared" si="3"/>
        <v>874</v>
      </c>
      <c r="C881" s="24"/>
      <c r="D881" s="14" t="str">
        <f t="array" ref="D881">IF(C881="","",IFNA(_xlfn.XLOOKUP(C881,'a 01'!$C$6:$C$999,'a 01'!$D$6:$D$999),""))</f>
        <v/>
      </c>
      <c r="E881" s="18" t="str">
        <f t="array" ref="E881">_xlfn.XLOOKUP(D881,Table_Warkah[Kode Tiket],Table_Warkah[Jenis Permohonan],"")</f>
        <v/>
      </c>
      <c r="F881" s="24"/>
      <c r="G881" s="24"/>
      <c r="H881" s="13" t="str">
        <f t="shared" si="1"/>
        <v/>
      </c>
      <c r="I881" s="18"/>
      <c r="J881" s="20" t="b">
        <v>0</v>
      </c>
      <c r="K881" s="13" t="str">
        <f t="shared" si="2"/>
        <v/>
      </c>
      <c r="L881" s="13"/>
      <c r="M881" s="21" t="s">
        <v>45</v>
      </c>
    </row>
    <row r="882" ht="22.5" customHeight="1">
      <c r="B882" s="13">
        <f t="shared" si="3"/>
        <v>875</v>
      </c>
      <c r="C882" s="24"/>
      <c r="D882" s="14" t="str">
        <f t="array" ref="D882">IF(C882="","",IFNA(_xlfn.XLOOKUP(C882,'a 01'!$C$6:$C$999,'a 01'!$D$6:$D$999),""))</f>
        <v/>
      </c>
      <c r="E882" s="18" t="str">
        <f t="array" ref="E882">_xlfn.XLOOKUP(D882,Table_Warkah[Kode Tiket],Table_Warkah[Jenis Permohonan],"")</f>
        <v/>
      </c>
      <c r="F882" s="24"/>
      <c r="G882" s="24"/>
      <c r="H882" s="13" t="str">
        <f t="shared" si="1"/>
        <v/>
      </c>
      <c r="I882" s="18"/>
      <c r="J882" s="20" t="b">
        <v>0</v>
      </c>
      <c r="K882" s="13" t="str">
        <f t="shared" si="2"/>
        <v/>
      </c>
      <c r="L882" s="13"/>
      <c r="M882" s="21" t="s">
        <v>45</v>
      </c>
    </row>
    <row r="883" ht="22.5" customHeight="1">
      <c r="B883" s="13">
        <f t="shared" si="3"/>
        <v>876</v>
      </c>
      <c r="C883" s="24"/>
      <c r="D883" s="14" t="str">
        <f t="array" ref="D883">IF(C883="","",IFNA(_xlfn.XLOOKUP(C883,'a 01'!$C$6:$C$999,'a 01'!$D$6:$D$999),""))</f>
        <v/>
      </c>
      <c r="E883" s="18" t="str">
        <f t="array" ref="E883">_xlfn.XLOOKUP(D883,Table_Warkah[Kode Tiket],Table_Warkah[Jenis Permohonan],"")</f>
        <v/>
      </c>
      <c r="F883" s="24"/>
      <c r="G883" s="24"/>
      <c r="H883" s="13" t="str">
        <f t="shared" si="1"/>
        <v/>
      </c>
      <c r="I883" s="18"/>
      <c r="J883" s="20" t="b">
        <v>0</v>
      </c>
      <c r="K883" s="13" t="str">
        <f t="shared" si="2"/>
        <v/>
      </c>
      <c r="L883" s="13"/>
      <c r="M883" s="21" t="s">
        <v>45</v>
      </c>
    </row>
    <row r="884" ht="22.5" customHeight="1">
      <c r="B884" s="13">
        <f t="shared" si="3"/>
        <v>877</v>
      </c>
      <c r="C884" s="24"/>
      <c r="D884" s="14" t="str">
        <f t="array" ref="D884">IF(C884="","",IFNA(_xlfn.XLOOKUP(C884,'a 01'!$C$6:$C$999,'a 01'!$D$6:$D$999),""))</f>
        <v/>
      </c>
      <c r="E884" s="18" t="str">
        <f t="array" ref="E884">_xlfn.XLOOKUP(D884,Table_Warkah[Kode Tiket],Table_Warkah[Jenis Permohonan],"")</f>
        <v/>
      </c>
      <c r="F884" s="24"/>
      <c r="G884" s="24"/>
      <c r="H884" s="13" t="str">
        <f t="shared" si="1"/>
        <v/>
      </c>
      <c r="I884" s="18"/>
      <c r="J884" s="20" t="b">
        <v>0</v>
      </c>
      <c r="K884" s="13" t="str">
        <f t="shared" si="2"/>
        <v/>
      </c>
      <c r="L884" s="13"/>
      <c r="M884" s="21" t="s">
        <v>45</v>
      </c>
    </row>
    <row r="885" ht="22.5" customHeight="1">
      <c r="B885" s="13">
        <f t="shared" si="3"/>
        <v>878</v>
      </c>
      <c r="C885" s="24"/>
      <c r="D885" s="14" t="str">
        <f t="array" ref="D885">IF(C885="","",IFNA(_xlfn.XLOOKUP(C885,'a 01'!$C$6:$C$999,'a 01'!$D$6:$D$999),""))</f>
        <v/>
      </c>
      <c r="E885" s="18" t="str">
        <f t="array" ref="E885">_xlfn.XLOOKUP(D885,Table_Warkah[Kode Tiket],Table_Warkah[Jenis Permohonan],"")</f>
        <v/>
      </c>
      <c r="F885" s="24"/>
      <c r="G885" s="24"/>
      <c r="H885" s="13" t="str">
        <f t="shared" si="1"/>
        <v/>
      </c>
      <c r="I885" s="18"/>
      <c r="J885" s="20" t="b">
        <v>0</v>
      </c>
      <c r="K885" s="13" t="str">
        <f t="shared" si="2"/>
        <v/>
      </c>
      <c r="L885" s="13"/>
      <c r="M885" s="21" t="s">
        <v>45</v>
      </c>
    </row>
    <row r="886" ht="22.5" customHeight="1">
      <c r="B886" s="13">
        <f t="shared" si="3"/>
        <v>879</v>
      </c>
      <c r="C886" s="24"/>
      <c r="D886" s="14" t="str">
        <f t="array" ref="D886">IF(C886="","",IFNA(_xlfn.XLOOKUP(C886,'a 01'!$C$6:$C$999,'a 01'!$D$6:$D$999),""))</f>
        <v/>
      </c>
      <c r="E886" s="18" t="str">
        <f t="array" ref="E886">_xlfn.XLOOKUP(D886,Table_Warkah[Kode Tiket],Table_Warkah[Jenis Permohonan],"")</f>
        <v/>
      </c>
      <c r="F886" s="24"/>
      <c r="G886" s="24"/>
      <c r="H886" s="13" t="str">
        <f t="shared" si="1"/>
        <v/>
      </c>
      <c r="I886" s="18"/>
      <c r="J886" s="20" t="b">
        <v>0</v>
      </c>
      <c r="K886" s="13" t="str">
        <f t="shared" si="2"/>
        <v/>
      </c>
      <c r="L886" s="13"/>
      <c r="M886" s="21" t="s">
        <v>45</v>
      </c>
    </row>
    <row r="887" ht="22.5" customHeight="1">
      <c r="B887" s="13">
        <f t="shared" si="3"/>
        <v>880</v>
      </c>
      <c r="C887" s="24"/>
      <c r="D887" s="14" t="str">
        <f t="array" ref="D887">IF(C887="","",IFNA(_xlfn.XLOOKUP(C887,'a 01'!$C$6:$C$999,'a 01'!$D$6:$D$999),""))</f>
        <v/>
      </c>
      <c r="E887" s="18" t="str">
        <f t="array" ref="E887">_xlfn.XLOOKUP(D887,Table_Warkah[Kode Tiket],Table_Warkah[Jenis Permohonan],"")</f>
        <v/>
      </c>
      <c r="F887" s="24"/>
      <c r="G887" s="24"/>
      <c r="H887" s="13" t="str">
        <f t="shared" si="1"/>
        <v/>
      </c>
      <c r="I887" s="18"/>
      <c r="J887" s="20" t="b">
        <v>0</v>
      </c>
      <c r="K887" s="13" t="str">
        <f t="shared" si="2"/>
        <v/>
      </c>
      <c r="L887" s="13"/>
      <c r="M887" s="21" t="s">
        <v>45</v>
      </c>
    </row>
    <row r="888" ht="22.5" customHeight="1">
      <c r="B888" s="13">
        <f t="shared" si="3"/>
        <v>881</v>
      </c>
      <c r="C888" s="24"/>
      <c r="D888" s="14" t="str">
        <f t="array" ref="D888">IF(C888="","",IFNA(_xlfn.XLOOKUP(C888,'a 01'!$C$6:$C$999,'a 01'!$D$6:$D$999),""))</f>
        <v/>
      </c>
      <c r="E888" s="18" t="str">
        <f t="array" ref="E888">_xlfn.XLOOKUP(D888,Table_Warkah[Kode Tiket],Table_Warkah[Jenis Permohonan],"")</f>
        <v/>
      </c>
      <c r="F888" s="24"/>
      <c r="G888" s="24"/>
      <c r="H888" s="13" t="str">
        <f t="shared" si="1"/>
        <v/>
      </c>
      <c r="I888" s="18"/>
      <c r="J888" s="20" t="b">
        <v>0</v>
      </c>
      <c r="K888" s="13" t="str">
        <f t="shared" si="2"/>
        <v/>
      </c>
      <c r="L888" s="13"/>
      <c r="M888" s="21" t="s">
        <v>45</v>
      </c>
    </row>
    <row r="889" ht="22.5" customHeight="1">
      <c r="B889" s="13">
        <f t="shared" si="3"/>
        <v>882</v>
      </c>
      <c r="C889" s="24"/>
      <c r="D889" s="14" t="str">
        <f t="array" ref="D889">IF(C889="","",IFNA(_xlfn.XLOOKUP(C889,'a 01'!$C$6:$C$999,'a 01'!$D$6:$D$999),""))</f>
        <v/>
      </c>
      <c r="E889" s="18" t="str">
        <f t="array" ref="E889">_xlfn.XLOOKUP(D889,Table_Warkah[Kode Tiket],Table_Warkah[Jenis Permohonan],"")</f>
        <v/>
      </c>
      <c r="F889" s="24"/>
      <c r="G889" s="24"/>
      <c r="H889" s="13" t="str">
        <f t="shared" si="1"/>
        <v/>
      </c>
      <c r="I889" s="18"/>
      <c r="J889" s="20" t="b">
        <v>0</v>
      </c>
      <c r="K889" s="13" t="str">
        <f t="shared" si="2"/>
        <v/>
      </c>
      <c r="L889" s="13"/>
      <c r="M889" s="21" t="s">
        <v>45</v>
      </c>
    </row>
    <row r="890" ht="22.5" customHeight="1">
      <c r="B890" s="13">
        <f t="shared" si="3"/>
        <v>883</v>
      </c>
      <c r="C890" s="24"/>
      <c r="D890" s="14" t="str">
        <f t="array" ref="D890">IF(C890="","",IFNA(_xlfn.XLOOKUP(C890,'a 01'!$C$6:$C$999,'a 01'!$D$6:$D$999),""))</f>
        <v/>
      </c>
      <c r="E890" s="18" t="str">
        <f t="array" ref="E890">_xlfn.XLOOKUP(D890,Table_Warkah[Kode Tiket],Table_Warkah[Jenis Permohonan],"")</f>
        <v/>
      </c>
      <c r="F890" s="24"/>
      <c r="G890" s="24"/>
      <c r="H890" s="13" t="str">
        <f t="shared" si="1"/>
        <v/>
      </c>
      <c r="I890" s="18"/>
      <c r="J890" s="20" t="b">
        <v>0</v>
      </c>
      <c r="K890" s="13" t="str">
        <f t="shared" si="2"/>
        <v/>
      </c>
      <c r="L890" s="13"/>
      <c r="M890" s="21" t="s">
        <v>45</v>
      </c>
    </row>
    <row r="891" ht="22.5" customHeight="1">
      <c r="B891" s="13">
        <f t="shared" si="3"/>
        <v>884</v>
      </c>
      <c r="C891" s="24"/>
      <c r="D891" s="14" t="str">
        <f t="array" ref="D891">IF(C891="","",IFNA(_xlfn.XLOOKUP(C891,'a 01'!$C$6:$C$999,'a 01'!$D$6:$D$999),""))</f>
        <v/>
      </c>
      <c r="E891" s="18" t="str">
        <f t="array" ref="E891">_xlfn.XLOOKUP(D891,Table_Warkah[Kode Tiket],Table_Warkah[Jenis Permohonan],"")</f>
        <v/>
      </c>
      <c r="F891" s="24"/>
      <c r="G891" s="24"/>
      <c r="H891" s="13" t="str">
        <f t="shared" si="1"/>
        <v/>
      </c>
      <c r="I891" s="18"/>
      <c r="J891" s="20" t="b">
        <v>0</v>
      </c>
      <c r="K891" s="13" t="str">
        <f t="shared" si="2"/>
        <v/>
      </c>
      <c r="L891" s="13"/>
      <c r="M891" s="21" t="s">
        <v>45</v>
      </c>
    </row>
    <row r="892" ht="22.5" customHeight="1">
      <c r="B892" s="13">
        <f t="shared" si="3"/>
        <v>885</v>
      </c>
      <c r="C892" s="24"/>
      <c r="D892" s="14" t="str">
        <f t="array" ref="D892">IF(C892="","",IFNA(_xlfn.XLOOKUP(C892,'a 01'!$C$6:$C$999,'a 01'!$D$6:$D$999),""))</f>
        <v/>
      </c>
      <c r="E892" s="18" t="str">
        <f t="array" ref="E892">_xlfn.XLOOKUP(D892,Table_Warkah[Kode Tiket],Table_Warkah[Jenis Permohonan],"")</f>
        <v/>
      </c>
      <c r="F892" s="24"/>
      <c r="G892" s="24"/>
      <c r="H892" s="13" t="str">
        <f t="shared" si="1"/>
        <v/>
      </c>
      <c r="I892" s="18"/>
      <c r="J892" s="20" t="b">
        <v>0</v>
      </c>
      <c r="K892" s="13" t="str">
        <f t="shared" si="2"/>
        <v/>
      </c>
      <c r="L892" s="13"/>
      <c r="M892" s="21" t="s">
        <v>45</v>
      </c>
    </row>
    <row r="893" ht="22.5" customHeight="1">
      <c r="B893" s="13">
        <f t="shared" si="3"/>
        <v>886</v>
      </c>
      <c r="C893" s="24"/>
      <c r="D893" s="14" t="str">
        <f t="array" ref="D893">IF(C893="","",IFNA(_xlfn.XLOOKUP(C893,'a 01'!$C$6:$C$999,'a 01'!$D$6:$D$999),""))</f>
        <v/>
      </c>
      <c r="E893" s="18" t="str">
        <f t="array" ref="E893">_xlfn.XLOOKUP(D893,Table_Warkah[Kode Tiket],Table_Warkah[Jenis Permohonan],"")</f>
        <v/>
      </c>
      <c r="F893" s="24"/>
      <c r="G893" s="24"/>
      <c r="H893" s="13" t="str">
        <f t="shared" si="1"/>
        <v/>
      </c>
      <c r="I893" s="18"/>
      <c r="J893" s="20" t="b">
        <v>0</v>
      </c>
      <c r="K893" s="13" t="str">
        <f t="shared" si="2"/>
        <v/>
      </c>
      <c r="L893" s="13"/>
      <c r="M893" s="21" t="s">
        <v>45</v>
      </c>
    </row>
    <row r="894" ht="22.5" customHeight="1">
      <c r="B894" s="13">
        <f t="shared" si="3"/>
        <v>887</v>
      </c>
      <c r="C894" s="24"/>
      <c r="D894" s="14" t="str">
        <f t="array" ref="D894">IF(C894="","",IFNA(_xlfn.XLOOKUP(C894,'a 01'!$C$6:$C$999,'a 01'!$D$6:$D$999),""))</f>
        <v/>
      </c>
      <c r="E894" s="18" t="str">
        <f t="array" ref="E894">_xlfn.XLOOKUP(D894,Table_Warkah[Kode Tiket],Table_Warkah[Jenis Permohonan],"")</f>
        <v/>
      </c>
      <c r="F894" s="24"/>
      <c r="G894" s="24"/>
      <c r="H894" s="13" t="str">
        <f t="shared" si="1"/>
        <v/>
      </c>
      <c r="I894" s="18"/>
      <c r="J894" s="20" t="b">
        <v>0</v>
      </c>
      <c r="K894" s="13" t="str">
        <f t="shared" si="2"/>
        <v/>
      </c>
      <c r="L894" s="13"/>
      <c r="M894" s="21" t="s">
        <v>45</v>
      </c>
    </row>
    <row r="895" ht="22.5" customHeight="1">
      <c r="B895" s="13">
        <f t="shared" si="3"/>
        <v>888</v>
      </c>
      <c r="C895" s="24"/>
      <c r="D895" s="14" t="str">
        <f t="array" ref="D895">IF(C895="","",IFNA(_xlfn.XLOOKUP(C895,'a 01'!$C$6:$C$999,'a 01'!$D$6:$D$999),""))</f>
        <v/>
      </c>
      <c r="E895" s="18" t="str">
        <f t="array" ref="E895">_xlfn.XLOOKUP(D895,Table_Warkah[Kode Tiket],Table_Warkah[Jenis Permohonan],"")</f>
        <v/>
      </c>
      <c r="F895" s="24"/>
      <c r="G895" s="24"/>
      <c r="H895" s="13" t="str">
        <f t="shared" si="1"/>
        <v/>
      </c>
      <c r="I895" s="18"/>
      <c r="J895" s="20" t="b">
        <v>0</v>
      </c>
      <c r="K895" s="13" t="str">
        <f t="shared" si="2"/>
        <v/>
      </c>
      <c r="L895" s="13"/>
      <c r="M895" s="21" t="s">
        <v>45</v>
      </c>
    </row>
    <row r="896" ht="22.5" customHeight="1">
      <c r="B896" s="13">
        <f t="shared" si="3"/>
        <v>889</v>
      </c>
      <c r="C896" s="24"/>
      <c r="D896" s="14" t="str">
        <f t="array" ref="D896">IF(C896="","",IFNA(_xlfn.XLOOKUP(C896,'a 01'!$C$6:$C$999,'a 01'!$D$6:$D$999),""))</f>
        <v/>
      </c>
      <c r="E896" s="18" t="str">
        <f t="array" ref="E896">_xlfn.XLOOKUP(D896,Table_Warkah[Kode Tiket],Table_Warkah[Jenis Permohonan],"")</f>
        <v/>
      </c>
      <c r="F896" s="24"/>
      <c r="G896" s="24"/>
      <c r="H896" s="13" t="str">
        <f t="shared" si="1"/>
        <v/>
      </c>
      <c r="I896" s="18"/>
      <c r="J896" s="20" t="b">
        <v>0</v>
      </c>
      <c r="K896" s="13" t="str">
        <f t="shared" si="2"/>
        <v/>
      </c>
      <c r="L896" s="13"/>
      <c r="M896" s="21" t="s">
        <v>45</v>
      </c>
    </row>
    <row r="897" ht="22.5" customHeight="1">
      <c r="B897" s="13">
        <f t="shared" si="3"/>
        <v>890</v>
      </c>
      <c r="C897" s="24"/>
      <c r="D897" s="14" t="str">
        <f t="array" ref="D897">IF(C897="","",IFNA(_xlfn.XLOOKUP(C897,'a 01'!$C$6:$C$999,'a 01'!$D$6:$D$999),""))</f>
        <v/>
      </c>
      <c r="E897" s="18" t="str">
        <f t="array" ref="E897">_xlfn.XLOOKUP(D897,Table_Warkah[Kode Tiket],Table_Warkah[Jenis Permohonan],"")</f>
        <v/>
      </c>
      <c r="F897" s="24"/>
      <c r="G897" s="24"/>
      <c r="H897" s="13" t="str">
        <f t="shared" si="1"/>
        <v/>
      </c>
      <c r="I897" s="18"/>
      <c r="J897" s="20" t="b">
        <v>0</v>
      </c>
      <c r="K897" s="13" t="str">
        <f t="shared" si="2"/>
        <v/>
      </c>
      <c r="L897" s="13"/>
      <c r="M897" s="21" t="s">
        <v>45</v>
      </c>
    </row>
    <row r="898" ht="22.5" customHeight="1">
      <c r="B898" s="13">
        <f t="shared" si="3"/>
        <v>891</v>
      </c>
      <c r="C898" s="24"/>
      <c r="D898" s="14" t="str">
        <f t="array" ref="D898">IF(C898="","",IFNA(_xlfn.XLOOKUP(C898,'a 01'!$C$6:$C$999,'a 01'!$D$6:$D$999),""))</f>
        <v/>
      </c>
      <c r="E898" s="18" t="str">
        <f t="array" ref="E898">_xlfn.XLOOKUP(D898,Table_Warkah[Kode Tiket],Table_Warkah[Jenis Permohonan],"")</f>
        <v/>
      </c>
      <c r="F898" s="24"/>
      <c r="G898" s="24"/>
      <c r="H898" s="13" t="str">
        <f t="shared" si="1"/>
        <v/>
      </c>
      <c r="I898" s="18"/>
      <c r="J898" s="20" t="b">
        <v>0</v>
      </c>
      <c r="K898" s="13" t="str">
        <f t="shared" si="2"/>
        <v/>
      </c>
      <c r="L898" s="13"/>
      <c r="M898" s="21" t="s">
        <v>45</v>
      </c>
    </row>
    <row r="899" ht="22.5" customHeight="1">
      <c r="B899" s="13">
        <f t="shared" si="3"/>
        <v>892</v>
      </c>
      <c r="C899" s="24"/>
      <c r="D899" s="14" t="str">
        <f t="array" ref="D899">IF(C899="","",IFNA(_xlfn.XLOOKUP(C899,'a 01'!$C$6:$C$999,'a 01'!$D$6:$D$999),""))</f>
        <v/>
      </c>
      <c r="E899" s="18" t="str">
        <f t="array" ref="E899">_xlfn.XLOOKUP(D899,Table_Warkah[Kode Tiket],Table_Warkah[Jenis Permohonan],"")</f>
        <v/>
      </c>
      <c r="F899" s="24"/>
      <c r="G899" s="24"/>
      <c r="H899" s="13" t="str">
        <f t="shared" si="1"/>
        <v/>
      </c>
      <c r="I899" s="18"/>
      <c r="J899" s="20" t="b">
        <v>0</v>
      </c>
      <c r="K899" s="13" t="str">
        <f t="shared" si="2"/>
        <v/>
      </c>
      <c r="L899" s="13"/>
      <c r="M899" s="21" t="s">
        <v>45</v>
      </c>
    </row>
    <row r="900" ht="22.5" customHeight="1">
      <c r="B900" s="13">
        <f t="shared" si="3"/>
        <v>893</v>
      </c>
      <c r="C900" s="24"/>
      <c r="D900" s="14" t="str">
        <f t="array" ref="D900">IF(C900="","",IFNA(_xlfn.XLOOKUP(C900,'a 01'!$C$6:$C$999,'a 01'!$D$6:$D$999),""))</f>
        <v/>
      </c>
      <c r="E900" s="18" t="str">
        <f t="array" ref="E900">_xlfn.XLOOKUP(D900,Table_Warkah[Kode Tiket],Table_Warkah[Jenis Permohonan],"")</f>
        <v/>
      </c>
      <c r="F900" s="24"/>
      <c r="G900" s="24"/>
      <c r="H900" s="13" t="str">
        <f t="shared" si="1"/>
        <v/>
      </c>
      <c r="I900" s="18"/>
      <c r="J900" s="20" t="b">
        <v>0</v>
      </c>
      <c r="K900" s="13" t="str">
        <f t="shared" si="2"/>
        <v/>
      </c>
      <c r="L900" s="13"/>
      <c r="M900" s="21" t="s">
        <v>45</v>
      </c>
    </row>
    <row r="901" ht="22.5" customHeight="1">
      <c r="B901" s="13">
        <f t="shared" si="3"/>
        <v>894</v>
      </c>
      <c r="C901" s="24"/>
      <c r="D901" s="14" t="str">
        <f t="array" ref="D901">IF(C901="","",IFNA(_xlfn.XLOOKUP(C901,'a 01'!$C$6:$C$999,'a 01'!$D$6:$D$999),""))</f>
        <v/>
      </c>
      <c r="E901" s="18" t="str">
        <f t="array" ref="E901">_xlfn.XLOOKUP(D901,Table_Warkah[Kode Tiket],Table_Warkah[Jenis Permohonan],"")</f>
        <v/>
      </c>
      <c r="F901" s="24"/>
      <c r="G901" s="24"/>
      <c r="H901" s="13" t="str">
        <f t="shared" si="1"/>
        <v/>
      </c>
      <c r="I901" s="18"/>
      <c r="J901" s="20" t="b">
        <v>0</v>
      </c>
      <c r="K901" s="13" t="str">
        <f t="shared" si="2"/>
        <v/>
      </c>
      <c r="L901" s="13"/>
      <c r="M901" s="21" t="s">
        <v>45</v>
      </c>
    </row>
    <row r="902" ht="22.5" customHeight="1">
      <c r="B902" s="13">
        <f t="shared" si="3"/>
        <v>895</v>
      </c>
      <c r="C902" s="24"/>
      <c r="D902" s="14" t="str">
        <f t="array" ref="D902">IF(C902="","",IFNA(_xlfn.XLOOKUP(C902,'a 01'!$C$6:$C$999,'a 01'!$D$6:$D$999),""))</f>
        <v/>
      </c>
      <c r="E902" s="18" t="str">
        <f t="array" ref="E902">_xlfn.XLOOKUP(D902,Table_Warkah[Kode Tiket],Table_Warkah[Jenis Permohonan],"")</f>
        <v/>
      </c>
      <c r="F902" s="24"/>
      <c r="G902" s="24"/>
      <c r="H902" s="13" t="str">
        <f t="shared" si="1"/>
        <v/>
      </c>
      <c r="I902" s="18"/>
      <c r="J902" s="20" t="b">
        <v>0</v>
      </c>
      <c r="K902" s="13" t="str">
        <f t="shared" si="2"/>
        <v/>
      </c>
      <c r="L902" s="13"/>
      <c r="M902" s="21" t="s">
        <v>45</v>
      </c>
    </row>
    <row r="903" ht="22.5" customHeight="1">
      <c r="B903" s="13">
        <f t="shared" si="3"/>
        <v>896</v>
      </c>
      <c r="C903" s="24"/>
      <c r="D903" s="14" t="str">
        <f t="array" ref="D903">IF(C903="","",IFNA(_xlfn.XLOOKUP(C903,'a 01'!$C$6:$C$999,'a 01'!$D$6:$D$999),""))</f>
        <v/>
      </c>
      <c r="E903" s="18" t="str">
        <f t="array" ref="E903">_xlfn.XLOOKUP(D903,Table_Warkah[Kode Tiket],Table_Warkah[Jenis Permohonan],"")</f>
        <v/>
      </c>
      <c r="F903" s="24"/>
      <c r="G903" s="24"/>
      <c r="H903" s="13" t="str">
        <f t="shared" si="1"/>
        <v/>
      </c>
      <c r="I903" s="18"/>
      <c r="J903" s="20" t="b">
        <v>0</v>
      </c>
      <c r="K903" s="13" t="str">
        <f t="shared" si="2"/>
        <v/>
      </c>
      <c r="L903" s="13"/>
      <c r="M903" s="21" t="s">
        <v>45</v>
      </c>
    </row>
    <row r="904" ht="22.5" customHeight="1">
      <c r="B904" s="13">
        <f t="shared" si="3"/>
        <v>897</v>
      </c>
      <c r="C904" s="24"/>
      <c r="D904" s="14" t="str">
        <f t="array" ref="D904">IF(C904="","",IFNA(_xlfn.XLOOKUP(C904,'a 01'!$C$6:$C$999,'a 01'!$D$6:$D$999),""))</f>
        <v/>
      </c>
      <c r="E904" s="18" t="str">
        <f t="array" ref="E904">_xlfn.XLOOKUP(D904,Table_Warkah[Kode Tiket],Table_Warkah[Jenis Permohonan],"")</f>
        <v/>
      </c>
      <c r="F904" s="24"/>
      <c r="G904" s="24"/>
      <c r="H904" s="13" t="str">
        <f t="shared" si="1"/>
        <v/>
      </c>
      <c r="I904" s="18"/>
      <c r="J904" s="20" t="b">
        <v>0</v>
      </c>
      <c r="K904" s="13" t="str">
        <f t="shared" si="2"/>
        <v/>
      </c>
      <c r="L904" s="13"/>
      <c r="M904" s="21" t="s">
        <v>45</v>
      </c>
    </row>
    <row r="905" ht="22.5" customHeight="1">
      <c r="B905" s="13">
        <f t="shared" si="3"/>
        <v>898</v>
      </c>
      <c r="C905" s="24"/>
      <c r="D905" s="14" t="str">
        <f t="array" ref="D905">IF(C905="","",IFNA(_xlfn.XLOOKUP(C905,'a 01'!$C$6:$C$999,'a 01'!$D$6:$D$999),""))</f>
        <v/>
      </c>
      <c r="E905" s="18" t="str">
        <f t="array" ref="E905">_xlfn.XLOOKUP(D905,Table_Warkah[Kode Tiket],Table_Warkah[Jenis Permohonan],"")</f>
        <v/>
      </c>
      <c r="F905" s="24"/>
      <c r="G905" s="24"/>
      <c r="H905" s="13" t="str">
        <f t="shared" si="1"/>
        <v/>
      </c>
      <c r="I905" s="18"/>
      <c r="J905" s="20" t="b">
        <v>0</v>
      </c>
      <c r="K905" s="13" t="str">
        <f t="shared" si="2"/>
        <v/>
      </c>
      <c r="L905" s="13"/>
      <c r="M905" s="21" t="s">
        <v>45</v>
      </c>
    </row>
    <row r="906" ht="22.5" customHeight="1">
      <c r="B906" s="13">
        <f t="shared" si="3"/>
        <v>899</v>
      </c>
      <c r="C906" s="24"/>
      <c r="D906" s="14" t="str">
        <f t="array" ref="D906">IF(C906="","",IFNA(_xlfn.XLOOKUP(C906,'a 01'!$C$6:$C$999,'a 01'!$D$6:$D$999),""))</f>
        <v/>
      </c>
      <c r="E906" s="18" t="str">
        <f t="array" ref="E906">_xlfn.XLOOKUP(D906,Table_Warkah[Kode Tiket],Table_Warkah[Jenis Permohonan],"")</f>
        <v/>
      </c>
      <c r="F906" s="24"/>
      <c r="G906" s="24"/>
      <c r="H906" s="13" t="str">
        <f t="shared" si="1"/>
        <v/>
      </c>
      <c r="I906" s="18"/>
      <c r="J906" s="20" t="b">
        <v>0</v>
      </c>
      <c r="K906" s="13" t="str">
        <f t="shared" si="2"/>
        <v/>
      </c>
      <c r="L906" s="13"/>
      <c r="M906" s="21" t="s">
        <v>45</v>
      </c>
    </row>
    <row r="907" ht="22.5" customHeight="1">
      <c r="B907" s="13">
        <f t="shared" si="3"/>
        <v>900</v>
      </c>
      <c r="C907" s="24"/>
      <c r="D907" s="14" t="str">
        <f t="array" ref="D907">IF(C907="","",IFNA(_xlfn.XLOOKUP(C907,'a 01'!$C$6:$C$999,'a 01'!$D$6:$D$999),""))</f>
        <v/>
      </c>
      <c r="E907" s="18" t="str">
        <f t="array" ref="E907">_xlfn.XLOOKUP(D907,Table_Warkah[Kode Tiket],Table_Warkah[Jenis Permohonan],"")</f>
        <v/>
      </c>
      <c r="F907" s="24"/>
      <c r="G907" s="24"/>
      <c r="H907" s="13" t="str">
        <f t="shared" si="1"/>
        <v/>
      </c>
      <c r="I907" s="18"/>
      <c r="J907" s="20" t="b">
        <v>0</v>
      </c>
      <c r="K907" s="13" t="str">
        <f t="shared" si="2"/>
        <v/>
      </c>
      <c r="L907" s="13"/>
      <c r="M907" s="21" t="s">
        <v>45</v>
      </c>
    </row>
    <row r="908" ht="22.5" customHeight="1">
      <c r="B908" s="13">
        <f t="shared" si="3"/>
        <v>901</v>
      </c>
      <c r="C908" s="24"/>
      <c r="D908" s="14" t="str">
        <f t="array" ref="D908">IF(C908="","",IFNA(_xlfn.XLOOKUP(C908,'a 01'!$C$6:$C$999,'a 01'!$D$6:$D$999),""))</f>
        <v/>
      </c>
      <c r="E908" s="18" t="str">
        <f t="array" ref="E908">_xlfn.XLOOKUP(D908,Table_Warkah[Kode Tiket],Table_Warkah[Jenis Permohonan],"")</f>
        <v/>
      </c>
      <c r="F908" s="24"/>
      <c r="G908" s="24"/>
      <c r="H908" s="13" t="str">
        <f t="shared" si="1"/>
        <v/>
      </c>
      <c r="I908" s="18"/>
      <c r="J908" s="20" t="b">
        <v>0</v>
      </c>
      <c r="K908" s="13" t="str">
        <f t="shared" si="2"/>
        <v/>
      </c>
      <c r="L908" s="13"/>
      <c r="M908" s="21" t="s">
        <v>45</v>
      </c>
    </row>
    <row r="909" ht="22.5" customHeight="1">
      <c r="B909" s="13">
        <f t="shared" si="3"/>
        <v>902</v>
      </c>
      <c r="C909" s="24"/>
      <c r="D909" s="14" t="str">
        <f t="array" ref="D909">IF(C909="","",IFNA(_xlfn.XLOOKUP(C909,'a 01'!$C$6:$C$999,'a 01'!$D$6:$D$999),""))</f>
        <v/>
      </c>
      <c r="E909" s="18" t="str">
        <f t="array" ref="E909">_xlfn.XLOOKUP(D909,Table_Warkah[Kode Tiket],Table_Warkah[Jenis Permohonan],"")</f>
        <v/>
      </c>
      <c r="F909" s="24"/>
      <c r="G909" s="24"/>
      <c r="H909" s="13" t="str">
        <f t="shared" si="1"/>
        <v/>
      </c>
      <c r="I909" s="18"/>
      <c r="J909" s="20" t="b">
        <v>0</v>
      </c>
      <c r="K909" s="13" t="str">
        <f t="shared" si="2"/>
        <v/>
      </c>
      <c r="L909" s="13"/>
      <c r="M909" s="21" t="s">
        <v>45</v>
      </c>
    </row>
    <row r="910" ht="22.5" customHeight="1">
      <c r="B910" s="13">
        <f t="shared" si="3"/>
        <v>903</v>
      </c>
      <c r="C910" s="24"/>
      <c r="D910" s="14" t="str">
        <f t="array" ref="D910">IF(C910="","",IFNA(_xlfn.XLOOKUP(C910,'a 01'!$C$6:$C$999,'a 01'!$D$6:$D$999),""))</f>
        <v/>
      </c>
      <c r="E910" s="18" t="str">
        <f t="array" ref="E910">_xlfn.XLOOKUP(D910,Table_Warkah[Kode Tiket],Table_Warkah[Jenis Permohonan],"")</f>
        <v/>
      </c>
      <c r="F910" s="24"/>
      <c r="G910" s="24"/>
      <c r="H910" s="13" t="str">
        <f t="shared" si="1"/>
        <v/>
      </c>
      <c r="I910" s="18"/>
      <c r="J910" s="20" t="b">
        <v>0</v>
      </c>
      <c r="K910" s="13" t="str">
        <f t="shared" si="2"/>
        <v/>
      </c>
      <c r="L910" s="13"/>
      <c r="M910" s="21" t="s">
        <v>45</v>
      </c>
    </row>
    <row r="911" ht="22.5" customHeight="1">
      <c r="B911" s="13">
        <f t="shared" si="3"/>
        <v>904</v>
      </c>
      <c r="C911" s="24"/>
      <c r="D911" s="14" t="str">
        <f t="array" ref="D911">IF(C911="","",IFNA(_xlfn.XLOOKUP(C911,'a 01'!$C$6:$C$999,'a 01'!$D$6:$D$999),""))</f>
        <v/>
      </c>
      <c r="E911" s="18" t="str">
        <f t="array" ref="E911">_xlfn.XLOOKUP(D911,Table_Warkah[Kode Tiket],Table_Warkah[Jenis Permohonan],"")</f>
        <v/>
      </c>
      <c r="F911" s="24"/>
      <c r="G911" s="24"/>
      <c r="H911" s="13" t="str">
        <f t="shared" si="1"/>
        <v/>
      </c>
      <c r="I911" s="18"/>
      <c r="J911" s="20" t="b">
        <v>0</v>
      </c>
      <c r="K911" s="13" t="str">
        <f t="shared" si="2"/>
        <v/>
      </c>
      <c r="L911" s="13"/>
      <c r="M911" s="21" t="s">
        <v>45</v>
      </c>
    </row>
    <row r="912" ht="22.5" customHeight="1">
      <c r="B912" s="13">
        <f t="shared" si="3"/>
        <v>905</v>
      </c>
      <c r="C912" s="24"/>
      <c r="D912" s="14" t="str">
        <f t="array" ref="D912">IF(C912="","",IFNA(_xlfn.XLOOKUP(C912,'a 01'!$C$6:$C$999,'a 01'!$D$6:$D$999),""))</f>
        <v/>
      </c>
      <c r="E912" s="18" t="str">
        <f t="array" ref="E912">_xlfn.XLOOKUP(D912,Table_Warkah[Kode Tiket],Table_Warkah[Jenis Permohonan],"")</f>
        <v/>
      </c>
      <c r="F912" s="24"/>
      <c r="G912" s="24"/>
      <c r="H912" s="13" t="str">
        <f t="shared" si="1"/>
        <v/>
      </c>
      <c r="I912" s="18"/>
      <c r="J912" s="20" t="b">
        <v>0</v>
      </c>
      <c r="K912" s="13" t="str">
        <f t="shared" si="2"/>
        <v/>
      </c>
      <c r="L912" s="13"/>
      <c r="M912" s="21" t="s">
        <v>45</v>
      </c>
    </row>
    <row r="913" ht="22.5" customHeight="1">
      <c r="B913" s="13">
        <f t="shared" si="3"/>
        <v>906</v>
      </c>
      <c r="C913" s="24"/>
      <c r="D913" s="14" t="str">
        <f t="array" ref="D913">IF(C913="","",IFNA(_xlfn.XLOOKUP(C913,'a 01'!$C$6:$C$999,'a 01'!$D$6:$D$999),""))</f>
        <v/>
      </c>
      <c r="E913" s="18" t="str">
        <f t="array" ref="E913">_xlfn.XLOOKUP(D913,Table_Warkah[Kode Tiket],Table_Warkah[Jenis Permohonan],"")</f>
        <v/>
      </c>
      <c r="F913" s="24"/>
      <c r="G913" s="24"/>
      <c r="H913" s="13" t="str">
        <f t="shared" si="1"/>
        <v/>
      </c>
      <c r="I913" s="18"/>
      <c r="J913" s="20" t="b">
        <v>0</v>
      </c>
      <c r="K913" s="13" t="str">
        <f t="shared" si="2"/>
        <v/>
      </c>
      <c r="L913" s="13"/>
      <c r="M913" s="21" t="s">
        <v>45</v>
      </c>
    </row>
    <row r="914" ht="22.5" customHeight="1">
      <c r="B914" s="13">
        <f t="shared" si="3"/>
        <v>907</v>
      </c>
      <c r="C914" s="24"/>
      <c r="D914" s="14" t="str">
        <f t="array" ref="D914">IF(C914="","",IFNA(_xlfn.XLOOKUP(C914,'a 01'!$C$6:$C$999,'a 01'!$D$6:$D$999),""))</f>
        <v/>
      </c>
      <c r="E914" s="18" t="str">
        <f t="array" ref="E914">_xlfn.XLOOKUP(D914,Table_Warkah[Kode Tiket],Table_Warkah[Jenis Permohonan],"")</f>
        <v/>
      </c>
      <c r="F914" s="24"/>
      <c r="G914" s="24"/>
      <c r="H914" s="13" t="str">
        <f t="shared" si="1"/>
        <v/>
      </c>
      <c r="I914" s="18"/>
      <c r="J914" s="20" t="b">
        <v>0</v>
      </c>
      <c r="K914" s="13" t="str">
        <f t="shared" si="2"/>
        <v/>
      </c>
      <c r="L914" s="13"/>
      <c r="M914" s="21" t="s">
        <v>45</v>
      </c>
    </row>
    <row r="915" ht="22.5" customHeight="1">
      <c r="B915" s="13">
        <f t="shared" si="3"/>
        <v>908</v>
      </c>
      <c r="C915" s="24"/>
      <c r="D915" s="14" t="str">
        <f t="array" ref="D915">IF(C915="","",IFNA(_xlfn.XLOOKUP(C915,'a 01'!$C$6:$C$999,'a 01'!$D$6:$D$999),""))</f>
        <v/>
      </c>
      <c r="E915" s="18" t="str">
        <f t="array" ref="E915">_xlfn.XLOOKUP(D915,Table_Warkah[Kode Tiket],Table_Warkah[Jenis Permohonan],"")</f>
        <v/>
      </c>
      <c r="F915" s="24"/>
      <c r="G915" s="24"/>
      <c r="H915" s="13" t="str">
        <f t="shared" si="1"/>
        <v/>
      </c>
      <c r="I915" s="18"/>
      <c r="J915" s="20" t="b">
        <v>0</v>
      </c>
      <c r="K915" s="13" t="str">
        <f t="shared" si="2"/>
        <v/>
      </c>
      <c r="L915" s="13"/>
      <c r="M915" s="21" t="s">
        <v>45</v>
      </c>
    </row>
    <row r="916" ht="22.5" customHeight="1">
      <c r="B916" s="13">
        <f t="shared" si="3"/>
        <v>909</v>
      </c>
      <c r="C916" s="24"/>
      <c r="D916" s="14" t="str">
        <f t="array" ref="D916">IF(C916="","",IFNA(_xlfn.XLOOKUP(C916,'a 01'!$C$6:$C$999,'a 01'!$D$6:$D$999),""))</f>
        <v/>
      </c>
      <c r="E916" s="18" t="str">
        <f t="array" ref="E916">_xlfn.XLOOKUP(D916,Table_Warkah[Kode Tiket],Table_Warkah[Jenis Permohonan],"")</f>
        <v/>
      </c>
      <c r="F916" s="24"/>
      <c r="G916" s="24"/>
      <c r="H916" s="13" t="str">
        <f t="shared" si="1"/>
        <v/>
      </c>
      <c r="I916" s="18"/>
      <c r="J916" s="20" t="b">
        <v>0</v>
      </c>
      <c r="K916" s="13" t="str">
        <f t="shared" si="2"/>
        <v/>
      </c>
      <c r="L916" s="13"/>
      <c r="M916" s="21" t="s">
        <v>45</v>
      </c>
    </row>
    <row r="917" ht="22.5" customHeight="1">
      <c r="B917" s="13">
        <f t="shared" si="3"/>
        <v>910</v>
      </c>
      <c r="C917" s="24"/>
      <c r="D917" s="14" t="str">
        <f t="array" ref="D917">IF(C917="","",IFNA(_xlfn.XLOOKUP(C917,'a 01'!$C$6:$C$999,'a 01'!$D$6:$D$999),""))</f>
        <v/>
      </c>
      <c r="E917" s="18" t="str">
        <f t="array" ref="E917">_xlfn.XLOOKUP(D917,Table_Warkah[Kode Tiket],Table_Warkah[Jenis Permohonan],"")</f>
        <v/>
      </c>
      <c r="F917" s="24"/>
      <c r="G917" s="24"/>
      <c r="H917" s="13" t="str">
        <f t="shared" si="1"/>
        <v/>
      </c>
      <c r="I917" s="18"/>
      <c r="J917" s="20" t="b">
        <v>0</v>
      </c>
      <c r="K917" s="13" t="str">
        <f t="shared" si="2"/>
        <v/>
      </c>
      <c r="L917" s="13"/>
      <c r="M917" s="21" t="s">
        <v>45</v>
      </c>
    </row>
    <row r="918" ht="22.5" customHeight="1">
      <c r="B918" s="13">
        <f t="shared" si="3"/>
        <v>911</v>
      </c>
      <c r="C918" s="24"/>
      <c r="D918" s="14" t="str">
        <f t="array" ref="D918">IF(C918="","",IFNA(_xlfn.XLOOKUP(C918,'a 01'!$C$6:$C$999,'a 01'!$D$6:$D$999),""))</f>
        <v/>
      </c>
      <c r="E918" s="18" t="str">
        <f t="array" ref="E918">_xlfn.XLOOKUP(D918,Table_Warkah[Kode Tiket],Table_Warkah[Jenis Permohonan],"")</f>
        <v/>
      </c>
      <c r="F918" s="24"/>
      <c r="G918" s="24"/>
      <c r="H918" s="13" t="str">
        <f t="shared" si="1"/>
        <v/>
      </c>
      <c r="I918" s="18"/>
      <c r="J918" s="20" t="b">
        <v>0</v>
      </c>
      <c r="K918" s="13" t="str">
        <f t="shared" si="2"/>
        <v/>
      </c>
      <c r="L918" s="13"/>
      <c r="M918" s="21" t="s">
        <v>45</v>
      </c>
    </row>
    <row r="919" ht="22.5" customHeight="1">
      <c r="B919" s="13">
        <f t="shared" si="3"/>
        <v>912</v>
      </c>
      <c r="C919" s="24"/>
      <c r="D919" s="14" t="str">
        <f t="array" ref="D919">IF(C919="","",IFNA(_xlfn.XLOOKUP(C919,'a 01'!$C$6:$C$999,'a 01'!$D$6:$D$999),""))</f>
        <v/>
      </c>
      <c r="E919" s="18" t="str">
        <f t="array" ref="E919">_xlfn.XLOOKUP(D919,Table_Warkah[Kode Tiket],Table_Warkah[Jenis Permohonan],"")</f>
        <v/>
      </c>
      <c r="F919" s="24"/>
      <c r="G919" s="24"/>
      <c r="H919" s="13" t="str">
        <f t="shared" si="1"/>
        <v/>
      </c>
      <c r="I919" s="18"/>
      <c r="J919" s="20" t="b">
        <v>0</v>
      </c>
      <c r="K919" s="13" t="str">
        <f t="shared" si="2"/>
        <v/>
      </c>
      <c r="L919" s="13"/>
      <c r="M919" s="21" t="s">
        <v>45</v>
      </c>
    </row>
    <row r="920" ht="22.5" customHeight="1">
      <c r="B920" s="13">
        <f t="shared" si="3"/>
        <v>913</v>
      </c>
      <c r="C920" s="24"/>
      <c r="D920" s="14" t="str">
        <f t="array" ref="D920">IF(C920="","",IFNA(_xlfn.XLOOKUP(C920,'a 01'!$C$6:$C$999,'a 01'!$D$6:$D$999),""))</f>
        <v/>
      </c>
      <c r="E920" s="18" t="str">
        <f t="array" ref="E920">_xlfn.XLOOKUP(D920,Table_Warkah[Kode Tiket],Table_Warkah[Jenis Permohonan],"")</f>
        <v/>
      </c>
      <c r="F920" s="24"/>
      <c r="G920" s="24"/>
      <c r="H920" s="13" t="str">
        <f t="shared" si="1"/>
        <v/>
      </c>
      <c r="I920" s="18"/>
      <c r="J920" s="20" t="b">
        <v>0</v>
      </c>
      <c r="K920" s="13" t="str">
        <f t="shared" si="2"/>
        <v/>
      </c>
      <c r="L920" s="13"/>
      <c r="M920" s="21" t="s">
        <v>45</v>
      </c>
    </row>
    <row r="921" ht="22.5" customHeight="1">
      <c r="B921" s="13">
        <f t="shared" si="3"/>
        <v>914</v>
      </c>
      <c r="C921" s="24"/>
      <c r="D921" s="14" t="str">
        <f t="array" ref="D921">IF(C921="","",IFNA(_xlfn.XLOOKUP(C921,'a 01'!$C$6:$C$999,'a 01'!$D$6:$D$999),""))</f>
        <v/>
      </c>
      <c r="E921" s="18" t="str">
        <f t="array" ref="E921">_xlfn.XLOOKUP(D921,Table_Warkah[Kode Tiket],Table_Warkah[Jenis Permohonan],"")</f>
        <v/>
      </c>
      <c r="F921" s="24"/>
      <c r="G921" s="24"/>
      <c r="H921" s="13" t="str">
        <f t="shared" si="1"/>
        <v/>
      </c>
      <c r="I921" s="18"/>
      <c r="J921" s="20" t="b">
        <v>0</v>
      </c>
      <c r="K921" s="13" t="str">
        <f t="shared" si="2"/>
        <v/>
      </c>
      <c r="L921" s="13"/>
      <c r="M921" s="21" t="s">
        <v>45</v>
      </c>
    </row>
    <row r="922" ht="22.5" customHeight="1">
      <c r="B922" s="13">
        <f t="shared" si="3"/>
        <v>915</v>
      </c>
      <c r="C922" s="24"/>
      <c r="D922" s="14" t="str">
        <f t="array" ref="D922">IF(C922="","",IFNA(_xlfn.XLOOKUP(C922,'a 01'!$C$6:$C$999,'a 01'!$D$6:$D$999),""))</f>
        <v/>
      </c>
      <c r="E922" s="18" t="str">
        <f t="array" ref="E922">_xlfn.XLOOKUP(D922,Table_Warkah[Kode Tiket],Table_Warkah[Jenis Permohonan],"")</f>
        <v/>
      </c>
      <c r="F922" s="24"/>
      <c r="G922" s="24"/>
      <c r="H922" s="13" t="str">
        <f t="shared" si="1"/>
        <v/>
      </c>
      <c r="I922" s="18"/>
      <c r="J922" s="20" t="b">
        <v>0</v>
      </c>
      <c r="K922" s="13" t="str">
        <f t="shared" si="2"/>
        <v/>
      </c>
      <c r="L922" s="13"/>
      <c r="M922" s="21" t="s">
        <v>45</v>
      </c>
    </row>
    <row r="923" ht="22.5" customHeight="1">
      <c r="B923" s="13">
        <f t="shared" si="3"/>
        <v>916</v>
      </c>
      <c r="C923" s="24"/>
      <c r="D923" s="14" t="str">
        <f t="array" ref="D923">IF(C923="","",IFNA(_xlfn.XLOOKUP(C923,'a 01'!$C$6:$C$999,'a 01'!$D$6:$D$999),""))</f>
        <v/>
      </c>
      <c r="E923" s="18" t="str">
        <f t="array" ref="E923">_xlfn.XLOOKUP(D923,Table_Warkah[Kode Tiket],Table_Warkah[Jenis Permohonan],"")</f>
        <v/>
      </c>
      <c r="F923" s="24"/>
      <c r="G923" s="24"/>
      <c r="H923" s="13" t="str">
        <f t="shared" si="1"/>
        <v/>
      </c>
      <c r="I923" s="18"/>
      <c r="J923" s="20" t="b">
        <v>0</v>
      </c>
      <c r="K923" s="13" t="str">
        <f t="shared" si="2"/>
        <v/>
      </c>
      <c r="L923" s="13"/>
      <c r="M923" s="21" t="s">
        <v>45</v>
      </c>
    </row>
    <row r="924" ht="22.5" customHeight="1">
      <c r="B924" s="13">
        <f t="shared" si="3"/>
        <v>917</v>
      </c>
      <c r="C924" s="24"/>
      <c r="D924" s="14" t="str">
        <f t="array" ref="D924">IF(C924="","",IFNA(_xlfn.XLOOKUP(C924,'a 01'!$C$6:$C$999,'a 01'!$D$6:$D$999),""))</f>
        <v/>
      </c>
      <c r="E924" s="18" t="str">
        <f t="array" ref="E924">_xlfn.XLOOKUP(D924,Table_Warkah[Kode Tiket],Table_Warkah[Jenis Permohonan],"")</f>
        <v/>
      </c>
      <c r="F924" s="24"/>
      <c r="G924" s="24"/>
      <c r="H924" s="13" t="str">
        <f t="shared" si="1"/>
        <v/>
      </c>
      <c r="I924" s="18"/>
      <c r="J924" s="20" t="b">
        <v>0</v>
      </c>
      <c r="K924" s="13" t="str">
        <f t="shared" si="2"/>
        <v/>
      </c>
      <c r="L924" s="13"/>
      <c r="M924" s="21" t="s">
        <v>45</v>
      </c>
    </row>
    <row r="925" ht="22.5" customHeight="1">
      <c r="B925" s="13">
        <f t="shared" si="3"/>
        <v>918</v>
      </c>
      <c r="C925" s="24"/>
      <c r="D925" s="14" t="str">
        <f t="array" ref="D925">IF(C925="","",IFNA(_xlfn.XLOOKUP(C925,'a 01'!$C$6:$C$999,'a 01'!$D$6:$D$999),""))</f>
        <v/>
      </c>
      <c r="E925" s="18" t="str">
        <f t="array" ref="E925">_xlfn.XLOOKUP(D925,Table_Warkah[Kode Tiket],Table_Warkah[Jenis Permohonan],"")</f>
        <v/>
      </c>
      <c r="F925" s="24"/>
      <c r="G925" s="24"/>
      <c r="H925" s="13" t="str">
        <f t="shared" si="1"/>
        <v/>
      </c>
      <c r="I925" s="18"/>
      <c r="J925" s="20" t="b">
        <v>0</v>
      </c>
      <c r="K925" s="13" t="str">
        <f t="shared" si="2"/>
        <v/>
      </c>
      <c r="L925" s="13"/>
      <c r="M925" s="21" t="s">
        <v>45</v>
      </c>
    </row>
    <row r="926" ht="22.5" customHeight="1">
      <c r="B926" s="13">
        <f t="shared" si="3"/>
        <v>919</v>
      </c>
      <c r="C926" s="24"/>
      <c r="D926" s="14" t="str">
        <f t="array" ref="D926">IF(C926="","",IFNA(_xlfn.XLOOKUP(C926,'a 01'!$C$6:$C$999,'a 01'!$D$6:$D$999),""))</f>
        <v/>
      </c>
      <c r="E926" s="18" t="str">
        <f t="array" ref="E926">_xlfn.XLOOKUP(D926,Table_Warkah[Kode Tiket],Table_Warkah[Jenis Permohonan],"")</f>
        <v/>
      </c>
      <c r="F926" s="24"/>
      <c r="G926" s="24"/>
      <c r="H926" s="13" t="str">
        <f t="shared" si="1"/>
        <v/>
      </c>
      <c r="I926" s="18"/>
      <c r="J926" s="20" t="b">
        <v>0</v>
      </c>
      <c r="K926" s="13" t="str">
        <f t="shared" si="2"/>
        <v/>
      </c>
      <c r="L926" s="13"/>
      <c r="M926" s="21" t="s">
        <v>45</v>
      </c>
    </row>
    <row r="927" ht="22.5" customHeight="1">
      <c r="B927" s="13">
        <f t="shared" si="3"/>
        <v>920</v>
      </c>
      <c r="C927" s="24"/>
      <c r="D927" s="14" t="str">
        <f t="array" ref="D927">IF(C927="","",IFNA(_xlfn.XLOOKUP(C927,'a 01'!$C$6:$C$999,'a 01'!$D$6:$D$999),""))</f>
        <v/>
      </c>
      <c r="E927" s="18" t="str">
        <f t="array" ref="E927">_xlfn.XLOOKUP(D927,Table_Warkah[Kode Tiket],Table_Warkah[Jenis Permohonan],"")</f>
        <v/>
      </c>
      <c r="F927" s="24"/>
      <c r="G927" s="24"/>
      <c r="H927" s="13" t="str">
        <f t="shared" si="1"/>
        <v/>
      </c>
      <c r="I927" s="18"/>
      <c r="J927" s="20" t="b">
        <v>0</v>
      </c>
      <c r="K927" s="13" t="str">
        <f t="shared" si="2"/>
        <v/>
      </c>
      <c r="L927" s="13"/>
      <c r="M927" s="21" t="s">
        <v>45</v>
      </c>
    </row>
    <row r="928" ht="22.5" customHeight="1">
      <c r="B928" s="13">
        <f t="shared" si="3"/>
        <v>921</v>
      </c>
      <c r="C928" s="24"/>
      <c r="D928" s="14" t="str">
        <f t="array" ref="D928">IF(C928="","",IFNA(_xlfn.XLOOKUP(C928,'a 01'!$C$6:$C$999,'a 01'!$D$6:$D$999),""))</f>
        <v/>
      </c>
      <c r="E928" s="18" t="str">
        <f t="array" ref="E928">_xlfn.XLOOKUP(D928,Table_Warkah[Kode Tiket],Table_Warkah[Jenis Permohonan],"")</f>
        <v/>
      </c>
      <c r="F928" s="24"/>
      <c r="G928" s="24"/>
      <c r="H928" s="13" t="str">
        <f t="shared" si="1"/>
        <v/>
      </c>
      <c r="I928" s="18"/>
      <c r="J928" s="20" t="b">
        <v>0</v>
      </c>
      <c r="K928" s="13" t="str">
        <f t="shared" si="2"/>
        <v/>
      </c>
      <c r="L928" s="13"/>
      <c r="M928" s="21" t="s">
        <v>45</v>
      </c>
    </row>
    <row r="929" ht="22.5" customHeight="1">
      <c r="B929" s="13">
        <f t="shared" si="3"/>
        <v>922</v>
      </c>
      <c r="C929" s="24"/>
      <c r="D929" s="14" t="str">
        <f t="array" ref="D929">IF(C929="","",IFNA(_xlfn.XLOOKUP(C929,'a 01'!$C$6:$C$999,'a 01'!$D$6:$D$999),""))</f>
        <v/>
      </c>
      <c r="E929" s="18" t="str">
        <f t="array" ref="E929">_xlfn.XLOOKUP(D929,Table_Warkah[Kode Tiket],Table_Warkah[Jenis Permohonan],"")</f>
        <v/>
      </c>
      <c r="F929" s="24"/>
      <c r="G929" s="24"/>
      <c r="H929" s="13" t="str">
        <f t="shared" si="1"/>
        <v/>
      </c>
      <c r="I929" s="18"/>
      <c r="J929" s="20" t="b">
        <v>0</v>
      </c>
      <c r="K929" s="13" t="str">
        <f t="shared" si="2"/>
        <v/>
      </c>
      <c r="L929" s="13"/>
      <c r="M929" s="21" t="s">
        <v>45</v>
      </c>
    </row>
    <row r="930" ht="22.5" customHeight="1">
      <c r="B930" s="13">
        <f t="shared" si="3"/>
        <v>923</v>
      </c>
      <c r="C930" s="24"/>
      <c r="D930" s="14" t="str">
        <f t="array" ref="D930">IF(C930="","",IFNA(_xlfn.XLOOKUP(C930,'a 01'!$C$6:$C$999,'a 01'!$D$6:$D$999),""))</f>
        <v/>
      </c>
      <c r="E930" s="18" t="str">
        <f t="array" ref="E930">_xlfn.XLOOKUP(D930,Table_Warkah[Kode Tiket],Table_Warkah[Jenis Permohonan],"")</f>
        <v/>
      </c>
      <c r="F930" s="24"/>
      <c r="G930" s="24"/>
      <c r="H930" s="13" t="str">
        <f t="shared" si="1"/>
        <v/>
      </c>
      <c r="I930" s="18"/>
      <c r="J930" s="20" t="b">
        <v>0</v>
      </c>
      <c r="K930" s="13" t="str">
        <f t="shared" si="2"/>
        <v/>
      </c>
      <c r="L930" s="13"/>
      <c r="M930" s="21" t="s">
        <v>45</v>
      </c>
    </row>
    <row r="931" ht="22.5" customHeight="1">
      <c r="B931" s="13">
        <f t="shared" si="3"/>
        <v>924</v>
      </c>
      <c r="C931" s="24"/>
      <c r="D931" s="14" t="str">
        <f t="array" ref="D931">IF(C931="","",IFNA(_xlfn.XLOOKUP(C931,'a 01'!$C$6:$C$999,'a 01'!$D$6:$D$999),""))</f>
        <v/>
      </c>
      <c r="E931" s="18" t="str">
        <f t="array" ref="E931">_xlfn.XLOOKUP(D931,Table_Warkah[Kode Tiket],Table_Warkah[Jenis Permohonan],"")</f>
        <v/>
      </c>
      <c r="F931" s="24"/>
      <c r="G931" s="24"/>
      <c r="H931" s="13" t="str">
        <f t="shared" si="1"/>
        <v/>
      </c>
      <c r="I931" s="18"/>
      <c r="J931" s="20" t="b">
        <v>0</v>
      </c>
      <c r="K931" s="13" t="str">
        <f t="shared" si="2"/>
        <v/>
      </c>
      <c r="L931" s="13"/>
      <c r="M931" s="21" t="s">
        <v>45</v>
      </c>
    </row>
    <row r="932" ht="22.5" customHeight="1">
      <c r="B932" s="13">
        <f t="shared" si="3"/>
        <v>925</v>
      </c>
      <c r="C932" s="24"/>
      <c r="D932" s="14" t="str">
        <f t="array" ref="D932">IF(C932="","",IFNA(_xlfn.XLOOKUP(C932,'a 01'!$C$6:$C$999,'a 01'!$D$6:$D$999),""))</f>
        <v/>
      </c>
      <c r="E932" s="18" t="str">
        <f t="array" ref="E932">_xlfn.XLOOKUP(D932,Table_Warkah[Kode Tiket],Table_Warkah[Jenis Permohonan],"")</f>
        <v/>
      </c>
      <c r="F932" s="24"/>
      <c r="G932" s="24"/>
      <c r="H932" s="13" t="str">
        <f t="shared" si="1"/>
        <v/>
      </c>
      <c r="I932" s="18"/>
      <c r="J932" s="20" t="b">
        <v>0</v>
      </c>
      <c r="K932" s="13" t="str">
        <f t="shared" si="2"/>
        <v/>
      </c>
      <c r="L932" s="13"/>
      <c r="M932" s="21" t="s">
        <v>45</v>
      </c>
    </row>
    <row r="933" ht="22.5" customHeight="1">
      <c r="B933" s="13">
        <f t="shared" si="3"/>
        <v>926</v>
      </c>
      <c r="C933" s="24"/>
      <c r="D933" s="14" t="str">
        <f t="array" ref="D933">IF(C933="","",IFNA(_xlfn.XLOOKUP(C933,'a 01'!$C$6:$C$999,'a 01'!$D$6:$D$999),""))</f>
        <v/>
      </c>
      <c r="E933" s="18" t="str">
        <f t="array" ref="E933">_xlfn.XLOOKUP(D933,Table_Warkah[Kode Tiket],Table_Warkah[Jenis Permohonan],"")</f>
        <v/>
      </c>
      <c r="F933" s="24"/>
      <c r="G933" s="24"/>
      <c r="H933" s="13" t="str">
        <f t="shared" si="1"/>
        <v/>
      </c>
      <c r="I933" s="18"/>
      <c r="J933" s="20" t="b">
        <v>0</v>
      </c>
      <c r="K933" s="13" t="str">
        <f t="shared" si="2"/>
        <v/>
      </c>
      <c r="L933" s="13"/>
      <c r="M933" s="21" t="s">
        <v>45</v>
      </c>
    </row>
    <row r="934" ht="22.5" customHeight="1">
      <c r="B934" s="13">
        <f t="shared" si="3"/>
        <v>927</v>
      </c>
      <c r="C934" s="24"/>
      <c r="D934" s="14" t="str">
        <f t="array" ref="D934">IF(C934="","",IFNA(_xlfn.XLOOKUP(C934,'a 01'!$C$6:$C$999,'a 01'!$D$6:$D$999),""))</f>
        <v/>
      </c>
      <c r="E934" s="18" t="str">
        <f t="array" ref="E934">_xlfn.XLOOKUP(D934,Table_Warkah[Kode Tiket],Table_Warkah[Jenis Permohonan],"")</f>
        <v/>
      </c>
      <c r="F934" s="24"/>
      <c r="G934" s="24"/>
      <c r="H934" s="13" t="str">
        <f t="shared" si="1"/>
        <v/>
      </c>
      <c r="I934" s="18"/>
      <c r="J934" s="20" t="b">
        <v>0</v>
      </c>
      <c r="K934" s="13" t="str">
        <f t="shared" si="2"/>
        <v/>
      </c>
      <c r="L934" s="13"/>
      <c r="M934" s="21" t="s">
        <v>45</v>
      </c>
    </row>
    <row r="935" ht="22.5" customHeight="1">
      <c r="B935" s="13">
        <f t="shared" si="3"/>
        <v>928</v>
      </c>
      <c r="C935" s="24"/>
      <c r="D935" s="14" t="str">
        <f t="array" ref="D935">IF(C935="","",IFNA(_xlfn.XLOOKUP(C935,'a 01'!$C$6:$C$999,'a 01'!$D$6:$D$999),""))</f>
        <v/>
      </c>
      <c r="E935" s="18" t="str">
        <f t="array" ref="E935">_xlfn.XLOOKUP(D935,Table_Warkah[Kode Tiket],Table_Warkah[Jenis Permohonan],"")</f>
        <v/>
      </c>
      <c r="F935" s="24"/>
      <c r="G935" s="24"/>
      <c r="H935" s="13" t="str">
        <f t="shared" si="1"/>
        <v/>
      </c>
      <c r="I935" s="18"/>
      <c r="J935" s="20" t="b">
        <v>0</v>
      </c>
      <c r="K935" s="13" t="str">
        <f t="shared" si="2"/>
        <v/>
      </c>
      <c r="L935" s="13"/>
      <c r="M935" s="21" t="s">
        <v>45</v>
      </c>
    </row>
    <row r="936" ht="22.5" customHeight="1">
      <c r="B936" s="13">
        <f t="shared" si="3"/>
        <v>929</v>
      </c>
      <c r="C936" s="24"/>
      <c r="D936" s="14" t="str">
        <f t="array" ref="D936">IF(C936="","",IFNA(_xlfn.XLOOKUP(C936,'a 01'!$C$6:$C$999,'a 01'!$D$6:$D$999),""))</f>
        <v/>
      </c>
      <c r="E936" s="18" t="str">
        <f t="array" ref="E936">_xlfn.XLOOKUP(D936,Table_Warkah[Kode Tiket],Table_Warkah[Jenis Permohonan],"")</f>
        <v/>
      </c>
      <c r="F936" s="24"/>
      <c r="G936" s="24"/>
      <c r="H936" s="13" t="str">
        <f t="shared" si="1"/>
        <v/>
      </c>
      <c r="I936" s="18"/>
      <c r="J936" s="20" t="b">
        <v>0</v>
      </c>
      <c r="K936" s="13" t="str">
        <f t="shared" si="2"/>
        <v/>
      </c>
      <c r="L936" s="13"/>
      <c r="M936" s="21" t="s">
        <v>45</v>
      </c>
    </row>
    <row r="937" ht="22.5" customHeight="1">
      <c r="B937" s="13">
        <f t="shared" si="3"/>
        <v>930</v>
      </c>
      <c r="C937" s="24"/>
      <c r="D937" s="14" t="str">
        <f t="array" ref="D937">IF(C937="","",IFNA(_xlfn.XLOOKUP(C937,'a 01'!$C$6:$C$999,'a 01'!$D$6:$D$999),""))</f>
        <v/>
      </c>
      <c r="E937" s="18" t="str">
        <f t="array" ref="E937">_xlfn.XLOOKUP(D937,Table_Warkah[Kode Tiket],Table_Warkah[Jenis Permohonan],"")</f>
        <v/>
      </c>
      <c r="F937" s="24"/>
      <c r="G937" s="24"/>
      <c r="H937" s="13" t="str">
        <f t="shared" si="1"/>
        <v/>
      </c>
      <c r="I937" s="18"/>
      <c r="J937" s="20" t="b">
        <v>0</v>
      </c>
      <c r="K937" s="13" t="str">
        <f t="shared" si="2"/>
        <v/>
      </c>
      <c r="L937" s="13"/>
      <c r="M937" s="21" t="s">
        <v>45</v>
      </c>
    </row>
    <row r="938" ht="22.5" customHeight="1">
      <c r="B938" s="13">
        <f t="shared" si="3"/>
        <v>931</v>
      </c>
      <c r="C938" s="24"/>
      <c r="D938" s="14" t="str">
        <f t="array" ref="D938">IF(C938="","",IFNA(_xlfn.XLOOKUP(C938,'a 01'!$C$6:$C$999,'a 01'!$D$6:$D$999),""))</f>
        <v/>
      </c>
      <c r="E938" s="18" t="str">
        <f t="array" ref="E938">_xlfn.XLOOKUP(D938,Table_Warkah[Kode Tiket],Table_Warkah[Jenis Permohonan],"")</f>
        <v/>
      </c>
      <c r="F938" s="24"/>
      <c r="G938" s="24"/>
      <c r="H938" s="13" t="str">
        <f t="shared" si="1"/>
        <v/>
      </c>
      <c r="I938" s="18"/>
      <c r="J938" s="20" t="b">
        <v>0</v>
      </c>
      <c r="K938" s="13" t="str">
        <f t="shared" si="2"/>
        <v/>
      </c>
      <c r="L938" s="13"/>
      <c r="M938" s="21" t="s">
        <v>45</v>
      </c>
    </row>
    <row r="939" ht="22.5" customHeight="1">
      <c r="B939" s="13">
        <f t="shared" si="3"/>
        <v>932</v>
      </c>
      <c r="C939" s="24"/>
      <c r="D939" s="14" t="str">
        <f t="array" ref="D939">IF(C939="","",IFNA(_xlfn.XLOOKUP(C939,'a 01'!$C$6:$C$999,'a 01'!$D$6:$D$999),""))</f>
        <v/>
      </c>
      <c r="E939" s="18" t="str">
        <f t="array" ref="E939">_xlfn.XLOOKUP(D939,Table_Warkah[Kode Tiket],Table_Warkah[Jenis Permohonan],"")</f>
        <v/>
      </c>
      <c r="F939" s="24"/>
      <c r="G939" s="24"/>
      <c r="H939" s="13" t="str">
        <f t="shared" si="1"/>
        <v/>
      </c>
      <c r="I939" s="18"/>
      <c r="J939" s="20" t="b">
        <v>0</v>
      </c>
      <c r="K939" s="13" t="str">
        <f t="shared" si="2"/>
        <v/>
      </c>
      <c r="L939" s="13"/>
      <c r="M939" s="21" t="s">
        <v>45</v>
      </c>
    </row>
    <row r="940" ht="22.5" customHeight="1">
      <c r="B940" s="13">
        <f t="shared" si="3"/>
        <v>933</v>
      </c>
      <c r="C940" s="24"/>
      <c r="D940" s="14" t="str">
        <f t="array" ref="D940">IF(C940="","",IFNA(_xlfn.XLOOKUP(C940,'a 01'!$C$6:$C$999,'a 01'!$D$6:$D$999),""))</f>
        <v/>
      </c>
      <c r="E940" s="18" t="str">
        <f t="array" ref="E940">_xlfn.XLOOKUP(D940,Table_Warkah[Kode Tiket],Table_Warkah[Jenis Permohonan],"")</f>
        <v/>
      </c>
      <c r="F940" s="24"/>
      <c r="G940" s="24"/>
      <c r="H940" s="13" t="str">
        <f t="shared" si="1"/>
        <v/>
      </c>
      <c r="I940" s="18"/>
      <c r="J940" s="20" t="b">
        <v>0</v>
      </c>
      <c r="K940" s="13" t="str">
        <f t="shared" si="2"/>
        <v/>
      </c>
      <c r="L940" s="13"/>
      <c r="M940" s="21" t="s">
        <v>45</v>
      </c>
    </row>
    <row r="941" ht="22.5" customHeight="1">
      <c r="B941" s="13">
        <f t="shared" si="3"/>
        <v>934</v>
      </c>
      <c r="C941" s="24"/>
      <c r="D941" s="14" t="str">
        <f t="array" ref="D941">IF(C941="","",IFNA(_xlfn.XLOOKUP(C941,'a 01'!$C$6:$C$999,'a 01'!$D$6:$D$999),""))</f>
        <v/>
      </c>
      <c r="E941" s="18" t="str">
        <f t="array" ref="E941">_xlfn.XLOOKUP(D941,Table_Warkah[Kode Tiket],Table_Warkah[Jenis Permohonan],"")</f>
        <v/>
      </c>
      <c r="F941" s="24"/>
      <c r="G941" s="24"/>
      <c r="H941" s="13" t="str">
        <f t="shared" si="1"/>
        <v/>
      </c>
      <c r="I941" s="18"/>
      <c r="J941" s="20" t="b">
        <v>0</v>
      </c>
      <c r="K941" s="13" t="str">
        <f t="shared" si="2"/>
        <v/>
      </c>
      <c r="L941" s="13"/>
      <c r="M941" s="21" t="s">
        <v>45</v>
      </c>
    </row>
    <row r="942" ht="22.5" customHeight="1">
      <c r="B942" s="13">
        <f t="shared" si="3"/>
        <v>935</v>
      </c>
      <c r="C942" s="24"/>
      <c r="D942" s="14" t="str">
        <f t="array" ref="D942">IF(C942="","",IFNA(_xlfn.XLOOKUP(C942,'a 01'!$C$6:$C$999,'a 01'!$D$6:$D$999),""))</f>
        <v/>
      </c>
      <c r="E942" s="18" t="str">
        <f t="array" ref="E942">_xlfn.XLOOKUP(D942,Table_Warkah[Kode Tiket],Table_Warkah[Jenis Permohonan],"")</f>
        <v/>
      </c>
      <c r="F942" s="24"/>
      <c r="G942" s="24"/>
      <c r="H942" s="13" t="str">
        <f t="shared" si="1"/>
        <v/>
      </c>
      <c r="I942" s="18"/>
      <c r="J942" s="20" t="b">
        <v>0</v>
      </c>
      <c r="K942" s="13" t="str">
        <f t="shared" si="2"/>
        <v/>
      </c>
      <c r="L942" s="13"/>
      <c r="M942" s="21" t="s">
        <v>45</v>
      </c>
    </row>
    <row r="943" ht="22.5" customHeight="1">
      <c r="B943" s="13">
        <f t="shared" si="3"/>
        <v>936</v>
      </c>
      <c r="C943" s="24"/>
      <c r="D943" s="14" t="str">
        <f t="array" ref="D943">IF(C943="","",IFNA(_xlfn.XLOOKUP(C943,'a 01'!$C$6:$C$999,'a 01'!$D$6:$D$999),""))</f>
        <v/>
      </c>
      <c r="E943" s="18" t="str">
        <f t="array" ref="E943">_xlfn.XLOOKUP(D943,Table_Warkah[Kode Tiket],Table_Warkah[Jenis Permohonan],"")</f>
        <v/>
      </c>
      <c r="F943" s="24"/>
      <c r="G943" s="24"/>
      <c r="H943" s="13" t="str">
        <f t="shared" si="1"/>
        <v/>
      </c>
      <c r="I943" s="18"/>
      <c r="J943" s="20" t="b">
        <v>0</v>
      </c>
      <c r="K943" s="13" t="str">
        <f t="shared" si="2"/>
        <v/>
      </c>
      <c r="L943" s="13"/>
      <c r="M943" s="21" t="s">
        <v>45</v>
      </c>
    </row>
    <row r="944" ht="22.5" customHeight="1">
      <c r="B944" s="13">
        <f t="shared" si="3"/>
        <v>937</v>
      </c>
      <c r="C944" s="24"/>
      <c r="D944" s="14" t="str">
        <f t="array" ref="D944">IF(C944="","",IFNA(_xlfn.XLOOKUP(C944,'a 01'!$C$6:$C$999,'a 01'!$D$6:$D$999),""))</f>
        <v/>
      </c>
      <c r="E944" s="18" t="str">
        <f t="array" ref="E944">_xlfn.XLOOKUP(D944,Table_Warkah[Kode Tiket],Table_Warkah[Jenis Permohonan],"")</f>
        <v/>
      </c>
      <c r="F944" s="24"/>
      <c r="G944" s="24"/>
      <c r="H944" s="13" t="str">
        <f t="shared" si="1"/>
        <v/>
      </c>
      <c r="I944" s="18"/>
      <c r="J944" s="20" t="b">
        <v>0</v>
      </c>
      <c r="K944" s="13" t="str">
        <f t="shared" si="2"/>
        <v/>
      </c>
      <c r="L944" s="13"/>
      <c r="M944" s="21" t="s">
        <v>45</v>
      </c>
    </row>
    <row r="945" ht="22.5" customHeight="1">
      <c r="B945" s="13">
        <f t="shared" si="3"/>
        <v>938</v>
      </c>
      <c r="C945" s="24"/>
      <c r="D945" s="14" t="str">
        <f t="array" ref="D945">IF(C945="","",IFNA(_xlfn.XLOOKUP(C945,'a 01'!$C$6:$C$999,'a 01'!$D$6:$D$999),""))</f>
        <v/>
      </c>
      <c r="E945" s="18" t="str">
        <f t="array" ref="E945">_xlfn.XLOOKUP(D945,Table_Warkah[Kode Tiket],Table_Warkah[Jenis Permohonan],"")</f>
        <v/>
      </c>
      <c r="F945" s="24"/>
      <c r="G945" s="24"/>
      <c r="H945" s="13" t="str">
        <f t="shared" si="1"/>
        <v/>
      </c>
      <c r="I945" s="18"/>
      <c r="J945" s="20" t="b">
        <v>0</v>
      </c>
      <c r="K945" s="13" t="str">
        <f t="shared" si="2"/>
        <v/>
      </c>
      <c r="L945" s="13"/>
      <c r="M945" s="21" t="s">
        <v>45</v>
      </c>
    </row>
    <row r="946" ht="22.5" customHeight="1">
      <c r="B946" s="13">
        <f t="shared" si="3"/>
        <v>939</v>
      </c>
      <c r="C946" s="24"/>
      <c r="D946" s="14" t="str">
        <f t="array" ref="D946">IF(C946="","",IFNA(_xlfn.XLOOKUP(C946,'a 01'!$C$6:$C$999,'a 01'!$D$6:$D$999),""))</f>
        <v/>
      </c>
      <c r="E946" s="18" t="str">
        <f t="array" ref="E946">_xlfn.XLOOKUP(D946,Table_Warkah[Kode Tiket],Table_Warkah[Jenis Permohonan],"")</f>
        <v/>
      </c>
      <c r="F946" s="24"/>
      <c r="G946" s="24"/>
      <c r="H946" s="13" t="str">
        <f t="shared" si="1"/>
        <v/>
      </c>
      <c r="I946" s="18"/>
      <c r="J946" s="20" t="b">
        <v>0</v>
      </c>
      <c r="K946" s="13" t="str">
        <f t="shared" si="2"/>
        <v/>
      </c>
      <c r="L946" s="13"/>
      <c r="M946" s="21" t="s">
        <v>45</v>
      </c>
    </row>
    <row r="947" ht="22.5" customHeight="1">
      <c r="B947" s="13">
        <f t="shared" si="3"/>
        <v>940</v>
      </c>
      <c r="C947" s="24"/>
      <c r="D947" s="14" t="str">
        <f t="array" ref="D947">IF(C947="","",IFNA(_xlfn.XLOOKUP(C947,'a 01'!$C$6:$C$999,'a 01'!$D$6:$D$999),""))</f>
        <v/>
      </c>
      <c r="E947" s="18" t="str">
        <f t="array" ref="E947">_xlfn.XLOOKUP(D947,Table_Warkah[Kode Tiket],Table_Warkah[Jenis Permohonan],"")</f>
        <v/>
      </c>
      <c r="F947" s="24"/>
      <c r="G947" s="24"/>
      <c r="H947" s="13" t="str">
        <f t="shared" si="1"/>
        <v/>
      </c>
      <c r="I947" s="18"/>
      <c r="J947" s="20" t="b">
        <v>0</v>
      </c>
      <c r="K947" s="13" t="str">
        <f t="shared" si="2"/>
        <v/>
      </c>
      <c r="L947" s="13"/>
      <c r="M947" s="21" t="s">
        <v>45</v>
      </c>
    </row>
    <row r="948" ht="22.5" customHeight="1">
      <c r="B948" s="13">
        <f t="shared" si="3"/>
        <v>941</v>
      </c>
      <c r="C948" s="24"/>
      <c r="D948" s="14" t="str">
        <f t="array" ref="D948">IF(C948="","",IFNA(_xlfn.XLOOKUP(C948,'a 01'!$C$6:$C$999,'a 01'!$D$6:$D$999),""))</f>
        <v/>
      </c>
      <c r="E948" s="18" t="str">
        <f t="array" ref="E948">_xlfn.XLOOKUP(D948,Table_Warkah[Kode Tiket],Table_Warkah[Jenis Permohonan],"")</f>
        <v/>
      </c>
      <c r="F948" s="24"/>
      <c r="G948" s="24"/>
      <c r="H948" s="13" t="str">
        <f t="shared" si="1"/>
        <v/>
      </c>
      <c r="I948" s="18"/>
      <c r="J948" s="20" t="b">
        <v>0</v>
      </c>
      <c r="K948" s="13" t="str">
        <f t="shared" si="2"/>
        <v/>
      </c>
      <c r="L948" s="13"/>
      <c r="M948" s="21" t="s">
        <v>45</v>
      </c>
    </row>
    <row r="949" ht="22.5" customHeight="1">
      <c r="B949" s="13">
        <f t="shared" si="3"/>
        <v>942</v>
      </c>
      <c r="C949" s="24"/>
      <c r="D949" s="14" t="str">
        <f t="array" ref="D949">IF(C949="","",IFNA(_xlfn.XLOOKUP(C949,'a 01'!$C$6:$C$999,'a 01'!$D$6:$D$999),""))</f>
        <v/>
      </c>
      <c r="E949" s="18" t="str">
        <f t="array" ref="E949">_xlfn.XLOOKUP(D949,Table_Warkah[Kode Tiket],Table_Warkah[Jenis Permohonan],"")</f>
        <v/>
      </c>
      <c r="F949" s="24"/>
      <c r="G949" s="24"/>
      <c r="H949" s="13" t="str">
        <f t="shared" si="1"/>
        <v/>
      </c>
      <c r="I949" s="18"/>
      <c r="J949" s="20" t="b">
        <v>0</v>
      </c>
      <c r="K949" s="13" t="str">
        <f t="shared" si="2"/>
        <v/>
      </c>
      <c r="L949" s="13"/>
      <c r="M949" s="21" t="s">
        <v>45</v>
      </c>
    </row>
    <row r="950" ht="22.5" customHeight="1">
      <c r="B950" s="13">
        <f t="shared" si="3"/>
        <v>943</v>
      </c>
      <c r="C950" s="24"/>
      <c r="D950" s="14" t="str">
        <f t="array" ref="D950">IF(C950="","",IFNA(_xlfn.XLOOKUP(C950,'a 01'!$C$6:$C$999,'a 01'!$D$6:$D$999),""))</f>
        <v/>
      </c>
      <c r="E950" s="18" t="str">
        <f t="array" ref="E950">_xlfn.XLOOKUP(D950,Table_Warkah[Kode Tiket],Table_Warkah[Jenis Permohonan],"")</f>
        <v/>
      </c>
      <c r="F950" s="24"/>
      <c r="G950" s="24"/>
      <c r="H950" s="13" t="str">
        <f t="shared" si="1"/>
        <v/>
      </c>
      <c r="I950" s="18"/>
      <c r="J950" s="20" t="b">
        <v>0</v>
      </c>
      <c r="K950" s="13" t="str">
        <f t="shared" si="2"/>
        <v/>
      </c>
      <c r="L950" s="13"/>
      <c r="M950" s="21" t="s">
        <v>45</v>
      </c>
    </row>
    <row r="951" ht="22.5" customHeight="1">
      <c r="B951" s="13">
        <f t="shared" si="3"/>
        <v>944</v>
      </c>
      <c r="C951" s="24"/>
      <c r="D951" s="14" t="str">
        <f t="array" ref="D951">IF(C951="","",IFNA(_xlfn.XLOOKUP(C951,'a 01'!$C$6:$C$999,'a 01'!$D$6:$D$999),""))</f>
        <v/>
      </c>
      <c r="E951" s="18" t="str">
        <f t="array" ref="E951">_xlfn.XLOOKUP(D951,Table_Warkah[Kode Tiket],Table_Warkah[Jenis Permohonan],"")</f>
        <v/>
      </c>
      <c r="F951" s="24"/>
      <c r="G951" s="24"/>
      <c r="H951" s="13" t="str">
        <f t="shared" si="1"/>
        <v/>
      </c>
      <c r="I951" s="18"/>
      <c r="J951" s="20" t="b">
        <v>0</v>
      </c>
      <c r="K951" s="13" t="str">
        <f t="shared" si="2"/>
        <v/>
      </c>
      <c r="L951" s="13"/>
      <c r="M951" s="21" t="s">
        <v>45</v>
      </c>
    </row>
    <row r="952" ht="22.5" customHeight="1">
      <c r="B952" s="13">
        <f t="shared" si="3"/>
        <v>945</v>
      </c>
      <c r="C952" s="24"/>
      <c r="D952" s="14" t="str">
        <f t="array" ref="D952">IF(C952="","",IFNA(_xlfn.XLOOKUP(C952,'a 01'!$C$6:$C$999,'a 01'!$D$6:$D$999),""))</f>
        <v/>
      </c>
      <c r="E952" s="18" t="str">
        <f t="array" ref="E952">_xlfn.XLOOKUP(D952,Table_Warkah[Kode Tiket],Table_Warkah[Jenis Permohonan],"")</f>
        <v/>
      </c>
      <c r="F952" s="24"/>
      <c r="G952" s="24"/>
      <c r="H952" s="13" t="str">
        <f t="shared" si="1"/>
        <v/>
      </c>
      <c r="I952" s="18"/>
      <c r="J952" s="20" t="b">
        <v>0</v>
      </c>
      <c r="K952" s="13" t="str">
        <f t="shared" si="2"/>
        <v/>
      </c>
      <c r="L952" s="13"/>
      <c r="M952" s="21" t="s">
        <v>45</v>
      </c>
    </row>
    <row r="953" ht="22.5" customHeight="1">
      <c r="B953" s="13">
        <f t="shared" si="3"/>
        <v>946</v>
      </c>
      <c r="C953" s="24"/>
      <c r="D953" s="14" t="str">
        <f t="array" ref="D953">IF(C953="","",IFNA(_xlfn.XLOOKUP(C953,'a 01'!$C$6:$C$999,'a 01'!$D$6:$D$999),""))</f>
        <v/>
      </c>
      <c r="E953" s="18" t="str">
        <f t="array" ref="E953">_xlfn.XLOOKUP(D953,Table_Warkah[Kode Tiket],Table_Warkah[Jenis Permohonan],"")</f>
        <v/>
      </c>
      <c r="F953" s="24"/>
      <c r="G953" s="24"/>
      <c r="H953" s="13" t="str">
        <f t="shared" si="1"/>
        <v/>
      </c>
      <c r="I953" s="18"/>
      <c r="J953" s="20" t="b">
        <v>0</v>
      </c>
      <c r="K953" s="13" t="str">
        <f t="shared" si="2"/>
        <v/>
      </c>
      <c r="L953" s="13"/>
      <c r="M953" s="21" t="s">
        <v>45</v>
      </c>
    </row>
    <row r="954" ht="22.5" customHeight="1">
      <c r="B954" s="13">
        <f t="shared" si="3"/>
        <v>947</v>
      </c>
      <c r="C954" s="24"/>
      <c r="D954" s="14" t="str">
        <f t="array" ref="D954">IF(C954="","",IFNA(_xlfn.XLOOKUP(C954,'a 01'!$C$6:$C$999,'a 01'!$D$6:$D$999),""))</f>
        <v/>
      </c>
      <c r="E954" s="18" t="str">
        <f t="array" ref="E954">_xlfn.XLOOKUP(D954,Table_Warkah[Kode Tiket],Table_Warkah[Jenis Permohonan],"")</f>
        <v/>
      </c>
      <c r="F954" s="24"/>
      <c r="G954" s="24"/>
      <c r="H954" s="13" t="str">
        <f t="shared" si="1"/>
        <v/>
      </c>
      <c r="I954" s="18"/>
      <c r="J954" s="20" t="b">
        <v>0</v>
      </c>
      <c r="K954" s="13" t="str">
        <f t="shared" si="2"/>
        <v/>
      </c>
      <c r="L954" s="13"/>
      <c r="M954" s="21" t="s">
        <v>45</v>
      </c>
    </row>
    <row r="955" ht="22.5" customHeight="1">
      <c r="B955" s="13">
        <f t="shared" si="3"/>
        <v>948</v>
      </c>
      <c r="C955" s="24"/>
      <c r="D955" s="14" t="str">
        <f t="array" ref="D955">IF(C955="","",IFNA(_xlfn.XLOOKUP(C955,'a 01'!$C$6:$C$999,'a 01'!$D$6:$D$999),""))</f>
        <v/>
      </c>
      <c r="E955" s="18" t="str">
        <f t="array" ref="E955">_xlfn.XLOOKUP(D955,Table_Warkah[Kode Tiket],Table_Warkah[Jenis Permohonan],"")</f>
        <v/>
      </c>
      <c r="F955" s="24"/>
      <c r="G955" s="24"/>
      <c r="H955" s="13" t="str">
        <f t="shared" si="1"/>
        <v/>
      </c>
      <c r="I955" s="18"/>
      <c r="J955" s="20" t="b">
        <v>0</v>
      </c>
      <c r="K955" s="13" t="str">
        <f t="shared" si="2"/>
        <v/>
      </c>
      <c r="L955" s="13"/>
      <c r="M955" s="21" t="s">
        <v>45</v>
      </c>
    </row>
    <row r="956" ht="22.5" customHeight="1">
      <c r="B956" s="13">
        <f t="shared" si="3"/>
        <v>949</v>
      </c>
      <c r="C956" s="24"/>
      <c r="D956" s="14" t="str">
        <f t="array" ref="D956">IF(C956="","",IFNA(_xlfn.XLOOKUP(C956,'a 01'!$C$6:$C$999,'a 01'!$D$6:$D$999),""))</f>
        <v/>
      </c>
      <c r="E956" s="18" t="str">
        <f t="array" ref="E956">_xlfn.XLOOKUP(D956,Table_Warkah[Kode Tiket],Table_Warkah[Jenis Permohonan],"")</f>
        <v/>
      </c>
      <c r="F956" s="24"/>
      <c r="G956" s="24"/>
      <c r="H956" s="13" t="str">
        <f t="shared" si="1"/>
        <v/>
      </c>
      <c r="I956" s="18"/>
      <c r="J956" s="20" t="b">
        <v>0</v>
      </c>
      <c r="K956" s="13" t="str">
        <f t="shared" si="2"/>
        <v/>
      </c>
      <c r="L956" s="13"/>
      <c r="M956" s="21" t="s">
        <v>45</v>
      </c>
    </row>
    <row r="957" ht="22.5" customHeight="1">
      <c r="B957" s="13">
        <f t="shared" si="3"/>
        <v>950</v>
      </c>
      <c r="C957" s="24"/>
      <c r="D957" s="14" t="str">
        <f t="array" ref="D957">IF(C957="","",IFNA(_xlfn.XLOOKUP(C957,'a 01'!$C$6:$C$999,'a 01'!$D$6:$D$999),""))</f>
        <v/>
      </c>
      <c r="E957" s="18" t="str">
        <f t="array" ref="E957">_xlfn.XLOOKUP(D957,Table_Warkah[Kode Tiket],Table_Warkah[Jenis Permohonan],"")</f>
        <v/>
      </c>
      <c r="F957" s="24"/>
      <c r="G957" s="24"/>
      <c r="H957" s="13" t="str">
        <f t="shared" si="1"/>
        <v/>
      </c>
      <c r="I957" s="18"/>
      <c r="J957" s="20" t="b">
        <v>0</v>
      </c>
      <c r="K957" s="13" t="str">
        <f t="shared" si="2"/>
        <v/>
      </c>
      <c r="L957" s="13"/>
      <c r="M957" s="21" t="s">
        <v>45</v>
      </c>
    </row>
    <row r="958" ht="22.5" customHeight="1">
      <c r="B958" s="13">
        <f t="shared" si="3"/>
        <v>951</v>
      </c>
      <c r="C958" s="24"/>
      <c r="D958" s="14" t="str">
        <f t="array" ref="D958">IF(C958="","",IFNA(_xlfn.XLOOKUP(C958,'a 01'!$C$6:$C$999,'a 01'!$D$6:$D$999),""))</f>
        <v/>
      </c>
      <c r="E958" s="18" t="str">
        <f t="array" ref="E958">_xlfn.XLOOKUP(D958,Table_Warkah[Kode Tiket],Table_Warkah[Jenis Permohonan],"")</f>
        <v/>
      </c>
      <c r="F958" s="24"/>
      <c r="G958" s="24"/>
      <c r="H958" s="13" t="str">
        <f t="shared" si="1"/>
        <v/>
      </c>
      <c r="I958" s="18"/>
      <c r="J958" s="20" t="b">
        <v>0</v>
      </c>
      <c r="K958" s="13" t="str">
        <f t="shared" si="2"/>
        <v/>
      </c>
      <c r="L958" s="13"/>
      <c r="M958" s="21" t="s">
        <v>45</v>
      </c>
    </row>
    <row r="959" ht="22.5" customHeight="1">
      <c r="B959" s="13">
        <f t="shared" si="3"/>
        <v>952</v>
      </c>
      <c r="C959" s="24"/>
      <c r="D959" s="14" t="str">
        <f t="array" ref="D959">IF(C959="","",IFNA(_xlfn.XLOOKUP(C959,'a 01'!$C$6:$C$999,'a 01'!$D$6:$D$999),""))</f>
        <v/>
      </c>
      <c r="E959" s="18" t="str">
        <f t="array" ref="E959">_xlfn.XLOOKUP(D959,Table_Warkah[Kode Tiket],Table_Warkah[Jenis Permohonan],"")</f>
        <v/>
      </c>
      <c r="F959" s="24"/>
      <c r="G959" s="24"/>
      <c r="H959" s="13" t="str">
        <f t="shared" si="1"/>
        <v/>
      </c>
      <c r="I959" s="18"/>
      <c r="J959" s="20" t="b">
        <v>0</v>
      </c>
      <c r="K959" s="13" t="str">
        <f t="shared" si="2"/>
        <v/>
      </c>
      <c r="L959" s="13"/>
      <c r="M959" s="21" t="s">
        <v>45</v>
      </c>
    </row>
    <row r="960" ht="22.5" customHeight="1">
      <c r="B960" s="13">
        <f t="shared" si="3"/>
        <v>953</v>
      </c>
      <c r="C960" s="24"/>
      <c r="D960" s="14" t="str">
        <f t="array" ref="D960">IF(C960="","",IFNA(_xlfn.XLOOKUP(C960,'a 01'!$C$6:$C$999,'a 01'!$D$6:$D$999),""))</f>
        <v/>
      </c>
      <c r="E960" s="18" t="str">
        <f t="array" ref="E960">_xlfn.XLOOKUP(D960,Table_Warkah[Kode Tiket],Table_Warkah[Jenis Permohonan],"")</f>
        <v/>
      </c>
      <c r="F960" s="24"/>
      <c r="G960" s="24"/>
      <c r="H960" s="13" t="str">
        <f t="shared" si="1"/>
        <v/>
      </c>
      <c r="I960" s="18"/>
      <c r="J960" s="20" t="b">
        <v>0</v>
      </c>
      <c r="K960" s="13" t="str">
        <f t="shared" si="2"/>
        <v/>
      </c>
      <c r="L960" s="13"/>
      <c r="M960" s="21" t="s">
        <v>45</v>
      </c>
    </row>
    <row r="961" ht="22.5" customHeight="1">
      <c r="B961" s="13">
        <f t="shared" si="3"/>
        <v>954</v>
      </c>
      <c r="C961" s="24"/>
      <c r="D961" s="14" t="str">
        <f t="array" ref="D961">IF(C961="","",IFNA(_xlfn.XLOOKUP(C961,'a 01'!$C$6:$C$999,'a 01'!$D$6:$D$999),""))</f>
        <v/>
      </c>
      <c r="E961" s="18" t="str">
        <f t="array" ref="E961">_xlfn.XLOOKUP(D961,Table_Warkah[Kode Tiket],Table_Warkah[Jenis Permohonan],"")</f>
        <v/>
      </c>
      <c r="F961" s="24"/>
      <c r="G961" s="24"/>
      <c r="H961" s="13" t="str">
        <f t="shared" si="1"/>
        <v/>
      </c>
      <c r="I961" s="18"/>
      <c r="J961" s="20" t="b">
        <v>0</v>
      </c>
      <c r="K961" s="13" t="str">
        <f t="shared" si="2"/>
        <v/>
      </c>
      <c r="L961" s="13"/>
      <c r="M961" s="21" t="s">
        <v>45</v>
      </c>
    </row>
    <row r="962" ht="22.5" customHeight="1">
      <c r="B962" s="13">
        <f t="shared" si="3"/>
        <v>955</v>
      </c>
      <c r="C962" s="24"/>
      <c r="D962" s="14" t="str">
        <f t="array" ref="D962">IF(C962="","",IFNA(_xlfn.XLOOKUP(C962,'a 01'!$C$6:$C$999,'a 01'!$D$6:$D$999),""))</f>
        <v/>
      </c>
      <c r="E962" s="18" t="str">
        <f t="array" ref="E962">_xlfn.XLOOKUP(D962,Table_Warkah[Kode Tiket],Table_Warkah[Jenis Permohonan],"")</f>
        <v/>
      </c>
      <c r="F962" s="24"/>
      <c r="G962" s="24"/>
      <c r="H962" s="13" t="str">
        <f t="shared" si="1"/>
        <v/>
      </c>
      <c r="I962" s="18"/>
      <c r="J962" s="20" t="b">
        <v>0</v>
      </c>
      <c r="K962" s="13" t="str">
        <f t="shared" si="2"/>
        <v/>
      </c>
      <c r="L962" s="13"/>
      <c r="M962" s="21" t="s">
        <v>45</v>
      </c>
    </row>
    <row r="963" ht="22.5" customHeight="1">
      <c r="B963" s="13">
        <f t="shared" si="3"/>
        <v>956</v>
      </c>
      <c r="C963" s="24"/>
      <c r="D963" s="14" t="str">
        <f t="array" ref="D963">IF(C963="","",IFNA(_xlfn.XLOOKUP(C963,'a 01'!$C$6:$C$999,'a 01'!$D$6:$D$999),""))</f>
        <v/>
      </c>
      <c r="E963" s="18" t="str">
        <f t="array" ref="E963">_xlfn.XLOOKUP(D963,Table_Warkah[Kode Tiket],Table_Warkah[Jenis Permohonan],"")</f>
        <v/>
      </c>
      <c r="F963" s="24"/>
      <c r="G963" s="24"/>
      <c r="H963" s="13" t="str">
        <f t="shared" si="1"/>
        <v/>
      </c>
      <c r="I963" s="18"/>
      <c r="J963" s="20" t="b">
        <v>0</v>
      </c>
      <c r="K963" s="13" t="str">
        <f t="shared" si="2"/>
        <v/>
      </c>
      <c r="L963" s="13"/>
      <c r="M963" s="21" t="s">
        <v>45</v>
      </c>
    </row>
    <row r="964" ht="22.5" customHeight="1">
      <c r="B964" s="13">
        <f t="shared" si="3"/>
        <v>957</v>
      </c>
      <c r="C964" s="24"/>
      <c r="D964" s="14" t="str">
        <f t="array" ref="D964">IF(C964="","",IFNA(_xlfn.XLOOKUP(C964,'a 01'!$C$6:$C$999,'a 01'!$D$6:$D$999),""))</f>
        <v/>
      </c>
      <c r="E964" s="18" t="str">
        <f t="array" ref="E964">_xlfn.XLOOKUP(D964,Table_Warkah[Kode Tiket],Table_Warkah[Jenis Permohonan],"")</f>
        <v/>
      </c>
      <c r="F964" s="24"/>
      <c r="G964" s="24"/>
      <c r="H964" s="13" t="str">
        <f t="shared" si="1"/>
        <v/>
      </c>
      <c r="I964" s="18"/>
      <c r="J964" s="20" t="b">
        <v>0</v>
      </c>
      <c r="K964" s="13" t="str">
        <f t="shared" si="2"/>
        <v/>
      </c>
      <c r="L964" s="13"/>
      <c r="M964" s="21" t="s">
        <v>45</v>
      </c>
    </row>
    <row r="965" ht="22.5" customHeight="1">
      <c r="B965" s="13">
        <f t="shared" si="3"/>
        <v>958</v>
      </c>
      <c r="C965" s="24"/>
      <c r="D965" s="14" t="str">
        <f t="array" ref="D965">IF(C965="","",IFNA(_xlfn.XLOOKUP(C965,'a 01'!$C$6:$C$999,'a 01'!$D$6:$D$999),""))</f>
        <v/>
      </c>
      <c r="E965" s="18" t="str">
        <f t="array" ref="E965">_xlfn.XLOOKUP(D965,Table_Warkah[Kode Tiket],Table_Warkah[Jenis Permohonan],"")</f>
        <v/>
      </c>
      <c r="F965" s="24"/>
      <c r="G965" s="24"/>
      <c r="H965" s="13" t="str">
        <f t="shared" si="1"/>
        <v/>
      </c>
      <c r="I965" s="18"/>
      <c r="J965" s="20" t="b">
        <v>0</v>
      </c>
      <c r="K965" s="13" t="str">
        <f t="shared" si="2"/>
        <v/>
      </c>
      <c r="L965" s="13"/>
      <c r="M965" s="21" t="s">
        <v>45</v>
      </c>
    </row>
    <row r="966" ht="22.5" customHeight="1">
      <c r="B966" s="13">
        <f t="shared" si="3"/>
        <v>959</v>
      </c>
      <c r="C966" s="24"/>
      <c r="D966" s="14" t="str">
        <f t="array" ref="D966">IF(C966="","",IFNA(_xlfn.XLOOKUP(C966,'a 01'!$C$6:$C$999,'a 01'!$D$6:$D$999),""))</f>
        <v/>
      </c>
      <c r="E966" s="18" t="str">
        <f t="array" ref="E966">_xlfn.XLOOKUP(D966,Table_Warkah[Kode Tiket],Table_Warkah[Jenis Permohonan],"")</f>
        <v/>
      </c>
      <c r="F966" s="24"/>
      <c r="G966" s="24"/>
      <c r="H966" s="13" t="str">
        <f t="shared" si="1"/>
        <v/>
      </c>
      <c r="I966" s="18"/>
      <c r="J966" s="20" t="b">
        <v>0</v>
      </c>
      <c r="K966" s="13" t="str">
        <f t="shared" si="2"/>
        <v/>
      </c>
      <c r="L966" s="13"/>
      <c r="M966" s="21" t="s">
        <v>45</v>
      </c>
    </row>
    <row r="967" ht="22.5" customHeight="1">
      <c r="B967" s="13">
        <f t="shared" si="3"/>
        <v>960</v>
      </c>
      <c r="C967" s="24"/>
      <c r="D967" s="14" t="str">
        <f t="array" ref="D967">IF(C967="","",IFNA(_xlfn.XLOOKUP(C967,'a 01'!$C$6:$C$999,'a 01'!$D$6:$D$999),""))</f>
        <v/>
      </c>
      <c r="E967" s="18" t="str">
        <f t="array" ref="E967">_xlfn.XLOOKUP(D967,Table_Warkah[Kode Tiket],Table_Warkah[Jenis Permohonan],"")</f>
        <v/>
      </c>
      <c r="F967" s="24"/>
      <c r="G967" s="24"/>
      <c r="H967" s="13" t="str">
        <f t="shared" si="1"/>
        <v/>
      </c>
      <c r="I967" s="18"/>
      <c r="J967" s="20" t="b">
        <v>0</v>
      </c>
      <c r="K967" s="13" t="str">
        <f t="shared" si="2"/>
        <v/>
      </c>
      <c r="L967" s="13"/>
      <c r="M967" s="21" t="s">
        <v>45</v>
      </c>
    </row>
    <row r="968" ht="22.5" customHeight="1">
      <c r="B968" s="13">
        <f t="shared" si="3"/>
        <v>961</v>
      </c>
      <c r="C968" s="24"/>
      <c r="D968" s="14" t="str">
        <f t="array" ref="D968">IF(C968="","",IFNA(_xlfn.XLOOKUP(C968,'a 01'!$C$6:$C$999,'a 01'!$D$6:$D$999),""))</f>
        <v/>
      </c>
      <c r="E968" s="18" t="str">
        <f t="array" ref="E968">_xlfn.XLOOKUP(D968,Table_Warkah[Kode Tiket],Table_Warkah[Jenis Permohonan],"")</f>
        <v/>
      </c>
      <c r="F968" s="24"/>
      <c r="G968" s="24"/>
      <c r="H968" s="13" t="str">
        <f t="shared" si="1"/>
        <v/>
      </c>
      <c r="I968" s="18"/>
      <c r="J968" s="20" t="b">
        <v>0</v>
      </c>
      <c r="K968" s="13" t="str">
        <f t="shared" si="2"/>
        <v/>
      </c>
      <c r="L968" s="13"/>
      <c r="M968" s="21" t="s">
        <v>45</v>
      </c>
    </row>
    <row r="969" ht="22.5" customHeight="1">
      <c r="B969" s="13">
        <f t="shared" si="3"/>
        <v>962</v>
      </c>
      <c r="C969" s="24"/>
      <c r="D969" s="14" t="str">
        <f t="array" ref="D969">IF(C969="","",IFNA(_xlfn.XLOOKUP(C969,'a 01'!$C$6:$C$999,'a 01'!$D$6:$D$999),""))</f>
        <v/>
      </c>
      <c r="E969" s="18" t="str">
        <f t="array" ref="E969">_xlfn.XLOOKUP(D969,Table_Warkah[Kode Tiket],Table_Warkah[Jenis Permohonan],"")</f>
        <v/>
      </c>
      <c r="F969" s="24"/>
      <c r="G969" s="24"/>
      <c r="H969" s="13" t="str">
        <f t="shared" si="1"/>
        <v/>
      </c>
      <c r="I969" s="18"/>
      <c r="J969" s="20" t="b">
        <v>0</v>
      </c>
      <c r="K969" s="13" t="str">
        <f t="shared" si="2"/>
        <v/>
      </c>
      <c r="L969" s="13"/>
      <c r="M969" s="21" t="s">
        <v>45</v>
      </c>
    </row>
    <row r="970" ht="22.5" customHeight="1">
      <c r="B970" s="13">
        <f t="shared" si="3"/>
        <v>963</v>
      </c>
      <c r="C970" s="24"/>
      <c r="D970" s="14" t="str">
        <f t="array" ref="D970">IF(C970="","",IFNA(_xlfn.XLOOKUP(C970,'a 01'!$C$6:$C$999,'a 01'!$D$6:$D$999),""))</f>
        <v/>
      </c>
      <c r="E970" s="18" t="str">
        <f t="array" ref="E970">_xlfn.XLOOKUP(D970,Table_Warkah[Kode Tiket],Table_Warkah[Jenis Permohonan],"")</f>
        <v/>
      </c>
      <c r="F970" s="24"/>
      <c r="G970" s="24"/>
      <c r="H970" s="13" t="str">
        <f t="shared" si="1"/>
        <v/>
      </c>
      <c r="I970" s="18"/>
      <c r="J970" s="20" t="b">
        <v>0</v>
      </c>
      <c r="K970" s="13" t="str">
        <f t="shared" si="2"/>
        <v/>
      </c>
      <c r="L970" s="13"/>
      <c r="M970" s="21" t="s">
        <v>45</v>
      </c>
    </row>
    <row r="971" ht="22.5" customHeight="1">
      <c r="B971" s="13">
        <f t="shared" si="3"/>
        <v>964</v>
      </c>
      <c r="C971" s="24"/>
      <c r="D971" s="14" t="str">
        <f t="array" ref="D971">IF(C971="","",IFNA(_xlfn.XLOOKUP(C971,'a 01'!$C$6:$C$999,'a 01'!$D$6:$D$999),""))</f>
        <v/>
      </c>
      <c r="E971" s="18" t="str">
        <f t="array" ref="E971">_xlfn.XLOOKUP(D971,Table_Warkah[Kode Tiket],Table_Warkah[Jenis Permohonan],"")</f>
        <v/>
      </c>
      <c r="F971" s="24"/>
      <c r="G971" s="24"/>
      <c r="H971" s="13" t="str">
        <f t="shared" si="1"/>
        <v/>
      </c>
      <c r="I971" s="18"/>
      <c r="J971" s="20" t="b">
        <v>0</v>
      </c>
      <c r="K971" s="13" t="str">
        <f t="shared" si="2"/>
        <v/>
      </c>
      <c r="L971" s="13"/>
      <c r="M971" s="21" t="s">
        <v>45</v>
      </c>
    </row>
    <row r="972" ht="22.5" customHeight="1">
      <c r="B972" s="13">
        <f t="shared" si="3"/>
        <v>965</v>
      </c>
      <c r="C972" s="24"/>
      <c r="D972" s="14" t="str">
        <f t="array" ref="D972">IF(C972="","",IFNA(_xlfn.XLOOKUP(C972,'a 01'!$C$6:$C$999,'a 01'!$D$6:$D$999),""))</f>
        <v/>
      </c>
      <c r="E972" s="18" t="str">
        <f t="array" ref="E972">_xlfn.XLOOKUP(D972,Table_Warkah[Kode Tiket],Table_Warkah[Jenis Permohonan],"")</f>
        <v/>
      </c>
      <c r="F972" s="24"/>
      <c r="G972" s="24"/>
      <c r="H972" s="13" t="str">
        <f t="shared" si="1"/>
        <v/>
      </c>
      <c r="I972" s="18"/>
      <c r="J972" s="20" t="b">
        <v>0</v>
      </c>
      <c r="K972" s="13" t="str">
        <f t="shared" si="2"/>
        <v/>
      </c>
      <c r="L972" s="13"/>
      <c r="M972" s="21" t="s">
        <v>45</v>
      </c>
    </row>
    <row r="973" ht="22.5" customHeight="1">
      <c r="B973" s="13">
        <f t="shared" si="3"/>
        <v>966</v>
      </c>
      <c r="C973" s="24"/>
      <c r="D973" s="14" t="str">
        <f t="array" ref="D973">IF(C973="","",IFNA(_xlfn.XLOOKUP(C973,'a 01'!$C$6:$C$999,'a 01'!$D$6:$D$999),""))</f>
        <v/>
      </c>
      <c r="E973" s="18" t="str">
        <f t="array" ref="E973">_xlfn.XLOOKUP(D973,Table_Warkah[Kode Tiket],Table_Warkah[Jenis Permohonan],"")</f>
        <v/>
      </c>
      <c r="F973" s="24"/>
      <c r="G973" s="24"/>
      <c r="H973" s="13" t="str">
        <f t="shared" si="1"/>
        <v/>
      </c>
      <c r="I973" s="18"/>
      <c r="J973" s="20" t="b">
        <v>0</v>
      </c>
      <c r="K973" s="13" t="str">
        <f t="shared" si="2"/>
        <v/>
      </c>
      <c r="L973" s="13"/>
      <c r="M973" s="21" t="s">
        <v>45</v>
      </c>
    </row>
    <row r="974" ht="22.5" customHeight="1">
      <c r="B974" s="13">
        <f t="shared" si="3"/>
        <v>967</v>
      </c>
      <c r="C974" s="24"/>
      <c r="D974" s="14" t="str">
        <f t="array" ref="D974">IF(C974="","",IFNA(_xlfn.XLOOKUP(C974,'a 01'!$C$6:$C$999,'a 01'!$D$6:$D$999),""))</f>
        <v/>
      </c>
      <c r="E974" s="18" t="str">
        <f t="array" ref="E974">_xlfn.XLOOKUP(D974,Table_Warkah[Kode Tiket],Table_Warkah[Jenis Permohonan],"")</f>
        <v/>
      </c>
      <c r="F974" s="24"/>
      <c r="G974" s="24"/>
      <c r="H974" s="13" t="str">
        <f t="shared" si="1"/>
        <v/>
      </c>
      <c r="I974" s="18"/>
      <c r="J974" s="20" t="b">
        <v>0</v>
      </c>
      <c r="K974" s="13" t="str">
        <f t="shared" si="2"/>
        <v/>
      </c>
      <c r="L974" s="13"/>
      <c r="M974" s="21" t="s">
        <v>45</v>
      </c>
    </row>
    <row r="975" ht="22.5" customHeight="1">
      <c r="B975" s="13">
        <f t="shared" si="3"/>
        <v>968</v>
      </c>
      <c r="C975" s="24"/>
      <c r="D975" s="14" t="str">
        <f t="array" ref="D975">IF(C975="","",IFNA(_xlfn.XLOOKUP(C975,'a 01'!$C$6:$C$999,'a 01'!$D$6:$D$999),""))</f>
        <v/>
      </c>
      <c r="E975" s="18" t="str">
        <f t="array" ref="E975">_xlfn.XLOOKUP(D975,Table_Warkah[Kode Tiket],Table_Warkah[Jenis Permohonan],"")</f>
        <v/>
      </c>
      <c r="F975" s="24"/>
      <c r="G975" s="24"/>
      <c r="H975" s="13" t="str">
        <f t="shared" si="1"/>
        <v/>
      </c>
      <c r="I975" s="18"/>
      <c r="J975" s="20" t="b">
        <v>0</v>
      </c>
      <c r="K975" s="13" t="str">
        <f t="shared" si="2"/>
        <v/>
      </c>
      <c r="L975" s="13"/>
      <c r="M975" s="21" t="s">
        <v>45</v>
      </c>
    </row>
    <row r="976" ht="22.5" customHeight="1">
      <c r="B976" s="13">
        <f t="shared" si="3"/>
        <v>969</v>
      </c>
      <c r="C976" s="24"/>
      <c r="D976" s="14" t="str">
        <f t="array" ref="D976">IF(C976="","",IFNA(_xlfn.XLOOKUP(C976,'a 01'!$C$6:$C$999,'a 01'!$D$6:$D$999),""))</f>
        <v/>
      </c>
      <c r="E976" s="18" t="str">
        <f t="array" ref="E976">_xlfn.XLOOKUP(D976,Table_Warkah[Kode Tiket],Table_Warkah[Jenis Permohonan],"")</f>
        <v/>
      </c>
      <c r="F976" s="24"/>
      <c r="G976" s="24"/>
      <c r="H976" s="13" t="str">
        <f t="shared" si="1"/>
        <v/>
      </c>
      <c r="I976" s="18"/>
      <c r="J976" s="20" t="b">
        <v>0</v>
      </c>
      <c r="K976" s="13" t="str">
        <f t="shared" si="2"/>
        <v/>
      </c>
      <c r="L976" s="13"/>
      <c r="M976" s="21" t="s">
        <v>45</v>
      </c>
    </row>
    <row r="977" ht="22.5" customHeight="1">
      <c r="B977" s="13">
        <f t="shared" si="3"/>
        <v>970</v>
      </c>
      <c r="C977" s="24"/>
      <c r="D977" s="14" t="str">
        <f t="array" ref="D977">IF(C977="","",IFNA(_xlfn.XLOOKUP(C977,'a 01'!$C$6:$C$999,'a 01'!$D$6:$D$999),""))</f>
        <v/>
      </c>
      <c r="E977" s="18" t="str">
        <f t="array" ref="E977">_xlfn.XLOOKUP(D977,Table_Warkah[Kode Tiket],Table_Warkah[Jenis Permohonan],"")</f>
        <v/>
      </c>
      <c r="F977" s="24"/>
      <c r="G977" s="24"/>
      <c r="H977" s="13" t="str">
        <f t="shared" si="1"/>
        <v/>
      </c>
      <c r="I977" s="18"/>
      <c r="J977" s="20" t="b">
        <v>0</v>
      </c>
      <c r="K977" s="13" t="str">
        <f t="shared" si="2"/>
        <v/>
      </c>
      <c r="L977" s="13"/>
      <c r="M977" s="21" t="s">
        <v>45</v>
      </c>
    </row>
    <row r="978" ht="22.5" customHeight="1">
      <c r="B978" s="13">
        <f t="shared" si="3"/>
        <v>971</v>
      </c>
      <c r="C978" s="24"/>
      <c r="D978" s="14" t="str">
        <f t="array" ref="D978">IF(C978="","",IFNA(_xlfn.XLOOKUP(C978,'a 01'!$C$6:$C$999,'a 01'!$D$6:$D$999),""))</f>
        <v/>
      </c>
      <c r="E978" s="18" t="str">
        <f t="array" ref="E978">_xlfn.XLOOKUP(D978,Table_Warkah[Kode Tiket],Table_Warkah[Jenis Permohonan],"")</f>
        <v/>
      </c>
      <c r="F978" s="24"/>
      <c r="G978" s="24"/>
      <c r="H978" s="13" t="str">
        <f t="shared" si="1"/>
        <v/>
      </c>
      <c r="I978" s="18"/>
      <c r="J978" s="20" t="b">
        <v>0</v>
      </c>
      <c r="K978" s="13" t="str">
        <f t="shared" si="2"/>
        <v/>
      </c>
      <c r="L978" s="13"/>
      <c r="M978" s="21" t="s">
        <v>45</v>
      </c>
    </row>
    <row r="979" ht="22.5" customHeight="1">
      <c r="B979" s="13">
        <f t="shared" si="3"/>
        <v>972</v>
      </c>
      <c r="C979" s="24"/>
      <c r="D979" s="14" t="str">
        <f t="array" ref="D979">IF(C979="","",IFNA(_xlfn.XLOOKUP(C979,'a 01'!$C$6:$C$999,'a 01'!$D$6:$D$999),""))</f>
        <v/>
      </c>
      <c r="E979" s="18" t="str">
        <f t="array" ref="E979">_xlfn.XLOOKUP(D979,Table_Warkah[Kode Tiket],Table_Warkah[Jenis Permohonan],"")</f>
        <v/>
      </c>
      <c r="F979" s="24"/>
      <c r="G979" s="24"/>
      <c r="H979" s="13" t="str">
        <f t="shared" si="1"/>
        <v/>
      </c>
      <c r="I979" s="18"/>
      <c r="J979" s="20" t="b">
        <v>0</v>
      </c>
      <c r="K979" s="13" t="str">
        <f t="shared" si="2"/>
        <v/>
      </c>
      <c r="L979" s="13"/>
      <c r="M979" s="21" t="s">
        <v>45</v>
      </c>
    </row>
    <row r="980" ht="22.5" customHeight="1">
      <c r="B980" s="13">
        <f t="shared" si="3"/>
        <v>973</v>
      </c>
      <c r="C980" s="24"/>
      <c r="D980" s="14" t="str">
        <f t="array" ref="D980">IF(C980="","",IFNA(_xlfn.XLOOKUP(C980,'a 01'!$C$6:$C$999,'a 01'!$D$6:$D$999),""))</f>
        <v/>
      </c>
      <c r="E980" s="18" t="str">
        <f t="array" ref="E980">_xlfn.XLOOKUP(D980,Table_Warkah[Kode Tiket],Table_Warkah[Jenis Permohonan],"")</f>
        <v/>
      </c>
      <c r="F980" s="24"/>
      <c r="G980" s="24"/>
      <c r="H980" s="13" t="str">
        <f t="shared" si="1"/>
        <v/>
      </c>
      <c r="I980" s="18"/>
      <c r="J980" s="20" t="b">
        <v>0</v>
      </c>
      <c r="K980" s="13" t="str">
        <f t="shared" si="2"/>
        <v/>
      </c>
      <c r="L980" s="13"/>
      <c r="M980" s="21" t="s">
        <v>45</v>
      </c>
    </row>
    <row r="981" ht="22.5" customHeight="1">
      <c r="B981" s="13">
        <f t="shared" si="3"/>
        <v>974</v>
      </c>
      <c r="C981" s="24"/>
      <c r="D981" s="14" t="str">
        <f t="array" ref="D981">IF(C981="","",IFNA(_xlfn.XLOOKUP(C981,'a 01'!$C$6:$C$999,'a 01'!$D$6:$D$999),""))</f>
        <v/>
      </c>
      <c r="E981" s="18" t="str">
        <f t="array" ref="E981">_xlfn.XLOOKUP(D981,Table_Warkah[Kode Tiket],Table_Warkah[Jenis Permohonan],"")</f>
        <v/>
      </c>
      <c r="F981" s="24"/>
      <c r="G981" s="24"/>
      <c r="H981" s="13" t="str">
        <f t="shared" si="1"/>
        <v/>
      </c>
      <c r="I981" s="18"/>
      <c r="J981" s="20" t="b">
        <v>0</v>
      </c>
      <c r="K981" s="13" t="str">
        <f t="shared" si="2"/>
        <v/>
      </c>
      <c r="L981" s="13"/>
      <c r="M981" s="21" t="s">
        <v>45</v>
      </c>
    </row>
    <row r="982" ht="22.5" customHeight="1">
      <c r="B982" s="13">
        <f t="shared" si="3"/>
        <v>975</v>
      </c>
      <c r="C982" s="24"/>
      <c r="D982" s="14" t="str">
        <f t="array" ref="D982">IF(C982="","",IFNA(_xlfn.XLOOKUP(C982,'a 01'!$C$6:$C$999,'a 01'!$D$6:$D$999),""))</f>
        <v/>
      </c>
      <c r="E982" s="18" t="str">
        <f t="array" ref="E982">_xlfn.XLOOKUP(D982,Table_Warkah[Kode Tiket],Table_Warkah[Jenis Permohonan],"")</f>
        <v/>
      </c>
      <c r="F982" s="24"/>
      <c r="G982" s="24"/>
      <c r="H982" s="13" t="str">
        <f t="shared" si="1"/>
        <v/>
      </c>
      <c r="I982" s="18"/>
      <c r="J982" s="20" t="b">
        <v>0</v>
      </c>
      <c r="K982" s="13" t="str">
        <f t="shared" si="2"/>
        <v/>
      </c>
      <c r="L982" s="13"/>
      <c r="M982" s="21" t="s">
        <v>45</v>
      </c>
    </row>
    <row r="983" ht="22.5" customHeight="1">
      <c r="B983" s="13">
        <f t="shared" si="3"/>
        <v>976</v>
      </c>
      <c r="C983" s="24"/>
      <c r="D983" s="14" t="str">
        <f t="array" ref="D983">IF(C983="","",IFNA(_xlfn.XLOOKUP(C983,'a 01'!$C$6:$C$999,'a 01'!$D$6:$D$999),""))</f>
        <v/>
      </c>
      <c r="E983" s="18" t="str">
        <f t="array" ref="E983">_xlfn.XLOOKUP(D983,Table_Warkah[Kode Tiket],Table_Warkah[Jenis Permohonan],"")</f>
        <v/>
      </c>
      <c r="F983" s="24"/>
      <c r="G983" s="24"/>
      <c r="H983" s="13" t="str">
        <f t="shared" si="1"/>
        <v/>
      </c>
      <c r="I983" s="18"/>
      <c r="J983" s="20" t="b">
        <v>0</v>
      </c>
      <c r="K983" s="13" t="str">
        <f t="shared" si="2"/>
        <v/>
      </c>
      <c r="L983" s="13"/>
      <c r="M983" s="21" t="s">
        <v>45</v>
      </c>
    </row>
    <row r="984" ht="22.5" customHeight="1">
      <c r="B984" s="13">
        <f t="shared" si="3"/>
        <v>977</v>
      </c>
      <c r="C984" s="24"/>
      <c r="D984" s="14" t="str">
        <f t="array" ref="D984">IF(C984="","",IFNA(_xlfn.XLOOKUP(C984,'a 01'!$C$6:$C$999,'a 01'!$D$6:$D$999),""))</f>
        <v/>
      </c>
      <c r="E984" s="18" t="str">
        <f t="array" ref="E984">_xlfn.XLOOKUP(D984,Table_Warkah[Kode Tiket],Table_Warkah[Jenis Permohonan],"")</f>
        <v/>
      </c>
      <c r="F984" s="24"/>
      <c r="G984" s="24"/>
      <c r="H984" s="13" t="str">
        <f t="shared" si="1"/>
        <v/>
      </c>
      <c r="I984" s="18"/>
      <c r="J984" s="20" t="b">
        <v>0</v>
      </c>
      <c r="K984" s="13" t="str">
        <f t="shared" si="2"/>
        <v/>
      </c>
      <c r="L984" s="13"/>
      <c r="M984" s="21" t="s">
        <v>45</v>
      </c>
    </row>
    <row r="985" ht="22.5" customHeight="1">
      <c r="B985" s="13">
        <f t="shared" si="3"/>
        <v>978</v>
      </c>
      <c r="C985" s="24"/>
      <c r="D985" s="14" t="str">
        <f t="array" ref="D985">IF(C985="","",IFNA(_xlfn.XLOOKUP(C985,'a 01'!$C$6:$C$999,'a 01'!$D$6:$D$999),""))</f>
        <v/>
      </c>
      <c r="E985" s="18" t="str">
        <f t="array" ref="E985">_xlfn.XLOOKUP(D985,Table_Warkah[Kode Tiket],Table_Warkah[Jenis Permohonan],"")</f>
        <v/>
      </c>
      <c r="F985" s="24"/>
      <c r="G985" s="24"/>
      <c r="H985" s="13" t="str">
        <f t="shared" si="1"/>
        <v/>
      </c>
      <c r="I985" s="18"/>
      <c r="J985" s="20" t="b">
        <v>0</v>
      </c>
      <c r="K985" s="13" t="str">
        <f t="shared" si="2"/>
        <v/>
      </c>
      <c r="L985" s="13"/>
      <c r="M985" s="21" t="s">
        <v>45</v>
      </c>
    </row>
    <row r="986" ht="22.5" customHeight="1">
      <c r="B986" s="13">
        <f t="shared" si="3"/>
        <v>979</v>
      </c>
      <c r="C986" s="24"/>
      <c r="D986" s="14" t="str">
        <f t="array" ref="D986">IF(C986="","",IFNA(_xlfn.XLOOKUP(C986,'a 01'!$C$6:$C$999,'a 01'!$D$6:$D$999),""))</f>
        <v/>
      </c>
      <c r="E986" s="18" t="str">
        <f t="array" ref="E986">_xlfn.XLOOKUP(D986,Table_Warkah[Kode Tiket],Table_Warkah[Jenis Permohonan],"")</f>
        <v/>
      </c>
      <c r="F986" s="24"/>
      <c r="G986" s="24"/>
      <c r="H986" s="13" t="str">
        <f t="shared" si="1"/>
        <v/>
      </c>
      <c r="I986" s="18"/>
      <c r="J986" s="20" t="b">
        <v>0</v>
      </c>
      <c r="K986" s="13" t="str">
        <f t="shared" si="2"/>
        <v/>
      </c>
      <c r="L986" s="13"/>
      <c r="M986" s="21" t="s">
        <v>45</v>
      </c>
    </row>
    <row r="987" ht="22.5" customHeight="1">
      <c r="B987" s="13">
        <f t="shared" si="3"/>
        <v>980</v>
      </c>
      <c r="C987" s="24"/>
      <c r="D987" s="14" t="str">
        <f t="array" ref="D987">IF(C987="","",IFNA(_xlfn.XLOOKUP(C987,'a 01'!$C$6:$C$999,'a 01'!$D$6:$D$999),""))</f>
        <v/>
      </c>
      <c r="E987" s="18" t="str">
        <f t="array" ref="E987">_xlfn.XLOOKUP(D987,Table_Warkah[Kode Tiket],Table_Warkah[Jenis Permohonan],"")</f>
        <v/>
      </c>
      <c r="F987" s="24"/>
      <c r="G987" s="24"/>
      <c r="H987" s="13" t="str">
        <f t="shared" si="1"/>
        <v/>
      </c>
      <c r="I987" s="18"/>
      <c r="J987" s="20" t="b">
        <v>0</v>
      </c>
      <c r="K987" s="13" t="str">
        <f t="shared" si="2"/>
        <v/>
      </c>
      <c r="L987" s="13"/>
      <c r="M987" s="21" t="s">
        <v>45</v>
      </c>
    </row>
    <row r="988" ht="22.5" customHeight="1">
      <c r="B988" s="13">
        <f t="shared" si="3"/>
        <v>981</v>
      </c>
      <c r="C988" s="24"/>
      <c r="D988" s="14" t="str">
        <f t="array" ref="D988">IF(C988="","",IFNA(_xlfn.XLOOKUP(C988,'a 01'!$C$6:$C$999,'a 01'!$D$6:$D$999),""))</f>
        <v/>
      </c>
      <c r="E988" s="18" t="str">
        <f t="array" ref="E988">_xlfn.XLOOKUP(D988,Table_Warkah[Kode Tiket],Table_Warkah[Jenis Permohonan],"")</f>
        <v/>
      </c>
      <c r="F988" s="24"/>
      <c r="G988" s="24"/>
      <c r="H988" s="13" t="str">
        <f t="shared" si="1"/>
        <v/>
      </c>
      <c r="I988" s="18"/>
      <c r="J988" s="20" t="b">
        <v>0</v>
      </c>
      <c r="K988" s="13" t="str">
        <f t="shared" si="2"/>
        <v/>
      </c>
      <c r="L988" s="13"/>
      <c r="M988" s="21" t="s">
        <v>45</v>
      </c>
    </row>
    <row r="989" ht="22.5" customHeight="1">
      <c r="B989" s="13">
        <f t="shared" si="3"/>
        <v>982</v>
      </c>
      <c r="C989" s="24"/>
      <c r="D989" s="14" t="str">
        <f t="array" ref="D989">IF(C989="","",IFNA(_xlfn.XLOOKUP(C989,'a 01'!$C$6:$C$999,'a 01'!$D$6:$D$999),""))</f>
        <v/>
      </c>
      <c r="E989" s="18" t="str">
        <f t="array" ref="E989">_xlfn.XLOOKUP(D989,Table_Warkah[Kode Tiket],Table_Warkah[Jenis Permohonan],"")</f>
        <v/>
      </c>
      <c r="F989" s="24"/>
      <c r="G989" s="24"/>
      <c r="H989" s="13" t="str">
        <f t="shared" si="1"/>
        <v/>
      </c>
      <c r="I989" s="18"/>
      <c r="J989" s="20" t="b">
        <v>0</v>
      </c>
      <c r="K989" s="13" t="str">
        <f t="shared" si="2"/>
        <v/>
      </c>
      <c r="L989" s="13"/>
      <c r="M989" s="21" t="s">
        <v>45</v>
      </c>
    </row>
    <row r="990" ht="22.5" customHeight="1">
      <c r="B990" s="13">
        <f t="shared" si="3"/>
        <v>983</v>
      </c>
      <c r="C990" s="24"/>
      <c r="D990" s="14" t="str">
        <f t="array" ref="D990">IF(C990="","",IFNA(_xlfn.XLOOKUP(C990,'a 01'!$C$6:$C$999,'a 01'!$D$6:$D$999),""))</f>
        <v/>
      </c>
      <c r="E990" s="18" t="str">
        <f t="array" ref="E990">_xlfn.XLOOKUP(D990,Table_Warkah[Kode Tiket],Table_Warkah[Jenis Permohonan],"")</f>
        <v/>
      </c>
      <c r="F990" s="24"/>
      <c r="G990" s="24"/>
      <c r="H990" s="13" t="str">
        <f t="shared" si="1"/>
        <v/>
      </c>
      <c r="I990" s="18"/>
      <c r="J990" s="20" t="b">
        <v>0</v>
      </c>
      <c r="K990" s="13" t="str">
        <f t="shared" si="2"/>
        <v/>
      </c>
      <c r="L990" s="13"/>
      <c r="M990" s="21" t="s">
        <v>45</v>
      </c>
    </row>
    <row r="991" ht="22.5" customHeight="1">
      <c r="B991" s="13">
        <f t="shared" si="3"/>
        <v>984</v>
      </c>
      <c r="C991" s="24"/>
      <c r="D991" s="14" t="str">
        <f t="array" ref="D991">IF(C991="","",IFNA(_xlfn.XLOOKUP(C991,'a 01'!$C$6:$C$999,'a 01'!$D$6:$D$999),""))</f>
        <v/>
      </c>
      <c r="E991" s="18" t="str">
        <f t="array" ref="E991">_xlfn.XLOOKUP(D991,Table_Warkah[Kode Tiket],Table_Warkah[Jenis Permohonan],"")</f>
        <v/>
      </c>
      <c r="F991" s="24"/>
      <c r="G991" s="24"/>
      <c r="H991" s="13" t="str">
        <f t="shared" si="1"/>
        <v/>
      </c>
      <c r="I991" s="18"/>
      <c r="J991" s="20" t="b">
        <v>0</v>
      </c>
      <c r="K991" s="13" t="str">
        <f t="shared" si="2"/>
        <v/>
      </c>
      <c r="L991" s="13"/>
      <c r="M991" s="21" t="s">
        <v>45</v>
      </c>
    </row>
    <row r="992" ht="22.5" customHeight="1">
      <c r="B992" s="13">
        <f t="shared" si="3"/>
        <v>985</v>
      </c>
      <c r="C992" s="24"/>
      <c r="D992" s="14" t="str">
        <f t="array" ref="D992">IF(C992="","",IFNA(_xlfn.XLOOKUP(C992,'a 01'!$C$6:$C$999,'a 01'!$D$6:$D$999),""))</f>
        <v/>
      </c>
      <c r="E992" s="18" t="str">
        <f t="array" ref="E992">_xlfn.XLOOKUP(D992,Table_Warkah[Kode Tiket],Table_Warkah[Jenis Permohonan],"")</f>
        <v/>
      </c>
      <c r="F992" s="24"/>
      <c r="G992" s="24"/>
      <c r="H992" s="13" t="str">
        <f t="shared" si="1"/>
        <v/>
      </c>
      <c r="I992" s="18"/>
      <c r="J992" s="20" t="b">
        <v>0</v>
      </c>
      <c r="K992" s="13" t="str">
        <f t="shared" si="2"/>
        <v/>
      </c>
      <c r="L992" s="13"/>
      <c r="M992" s="21" t="s">
        <v>45</v>
      </c>
    </row>
    <row r="993" ht="22.5" customHeight="1">
      <c r="B993" s="13">
        <f t="shared" si="3"/>
        <v>986</v>
      </c>
      <c r="C993" s="24"/>
      <c r="D993" s="14" t="str">
        <f t="array" ref="D993">IF(C993="","",IFNA(_xlfn.XLOOKUP(C993,'a 01'!$C$6:$C$999,'a 01'!$D$6:$D$999),""))</f>
        <v/>
      </c>
      <c r="E993" s="18" t="str">
        <f t="array" ref="E993">_xlfn.XLOOKUP(D993,Table_Warkah[Kode Tiket],Table_Warkah[Jenis Permohonan],"")</f>
        <v/>
      </c>
      <c r="F993" s="24"/>
      <c r="G993" s="24"/>
      <c r="H993" s="13" t="str">
        <f t="shared" si="1"/>
        <v/>
      </c>
      <c r="I993" s="18"/>
      <c r="J993" s="20" t="b">
        <v>0</v>
      </c>
      <c r="K993" s="13" t="str">
        <f t="shared" si="2"/>
        <v/>
      </c>
      <c r="L993" s="13"/>
      <c r="M993" s="21" t="s">
        <v>45</v>
      </c>
    </row>
    <row r="994" ht="22.5" customHeight="1">
      <c r="B994" s="13">
        <f t="shared" si="3"/>
        <v>987</v>
      </c>
      <c r="C994" s="24"/>
      <c r="D994" s="14" t="str">
        <f t="array" ref="D994">IF(C994="","",IFNA(_xlfn.XLOOKUP(C994,'a 01'!$C$6:$C$999,'a 01'!$D$6:$D$999),""))</f>
        <v/>
      </c>
      <c r="E994" s="18" t="str">
        <f t="array" ref="E994">_xlfn.XLOOKUP(D994,Table_Warkah[Kode Tiket],Table_Warkah[Jenis Permohonan],"")</f>
        <v/>
      </c>
      <c r="F994" s="24"/>
      <c r="G994" s="24"/>
      <c r="H994" s="13" t="str">
        <f t="shared" si="1"/>
        <v/>
      </c>
      <c r="I994" s="18"/>
      <c r="J994" s="20" t="b">
        <v>0</v>
      </c>
      <c r="K994" s="13" t="str">
        <f t="shared" si="2"/>
        <v/>
      </c>
      <c r="L994" s="13"/>
      <c r="M994" s="21" t="s">
        <v>45</v>
      </c>
    </row>
    <row r="995" ht="22.5" customHeight="1">
      <c r="B995" s="13">
        <f t="shared" si="3"/>
        <v>988</v>
      </c>
      <c r="C995" s="24"/>
      <c r="D995" s="14" t="str">
        <f t="array" ref="D995">IF(C995="","",IFNA(_xlfn.XLOOKUP(C995,'a 01'!$C$6:$C$999,'a 01'!$D$6:$D$999),""))</f>
        <v/>
      </c>
      <c r="E995" s="18" t="str">
        <f t="array" ref="E995">_xlfn.XLOOKUP(D995,Table_Warkah[Kode Tiket],Table_Warkah[Jenis Permohonan],"")</f>
        <v/>
      </c>
      <c r="F995" s="24"/>
      <c r="G995" s="24"/>
      <c r="H995" s="13" t="str">
        <f t="shared" si="1"/>
        <v/>
      </c>
      <c r="I995" s="18"/>
      <c r="J995" s="20" t="b">
        <v>0</v>
      </c>
      <c r="K995" s="13" t="str">
        <f t="shared" si="2"/>
        <v/>
      </c>
      <c r="L995" s="13"/>
      <c r="M995" s="21" t="s">
        <v>45</v>
      </c>
    </row>
    <row r="996" ht="22.5" customHeight="1">
      <c r="B996" s="13">
        <f t="shared" si="3"/>
        <v>989</v>
      </c>
      <c r="C996" s="24"/>
      <c r="D996" s="14" t="str">
        <f t="array" ref="D996">IF(C996="","",IFNA(_xlfn.XLOOKUP(C996,'a 01'!$C$6:$C$999,'a 01'!$D$6:$D$999),""))</f>
        <v/>
      </c>
      <c r="E996" s="18" t="str">
        <f t="array" ref="E996">_xlfn.XLOOKUP(D996,Table_Warkah[Kode Tiket],Table_Warkah[Jenis Permohonan],"")</f>
        <v/>
      </c>
      <c r="F996" s="24"/>
      <c r="G996" s="24"/>
      <c r="H996" s="13" t="str">
        <f t="shared" si="1"/>
        <v/>
      </c>
      <c r="I996" s="18"/>
      <c r="J996" s="20" t="b">
        <v>0</v>
      </c>
      <c r="K996" s="13" t="str">
        <f t="shared" si="2"/>
        <v/>
      </c>
      <c r="L996" s="13"/>
      <c r="M996" s="21" t="s">
        <v>45</v>
      </c>
    </row>
    <row r="997" ht="22.5" customHeight="1">
      <c r="B997" s="13">
        <f t="shared" si="3"/>
        <v>990</v>
      </c>
      <c r="C997" s="24"/>
      <c r="D997" s="14" t="str">
        <f t="array" ref="D997">IF(C997="","",IFNA(_xlfn.XLOOKUP(C997,'a 01'!$C$6:$C$999,'a 01'!$D$6:$D$999),""))</f>
        <v/>
      </c>
      <c r="E997" s="18" t="str">
        <f t="array" ref="E997">_xlfn.XLOOKUP(D997,Table_Warkah[Kode Tiket],Table_Warkah[Jenis Permohonan],"")</f>
        <v/>
      </c>
      <c r="F997" s="24"/>
      <c r="G997" s="24"/>
      <c r="H997" s="13" t="str">
        <f t="shared" si="1"/>
        <v/>
      </c>
      <c r="I997" s="18"/>
      <c r="J997" s="20" t="b">
        <v>0</v>
      </c>
      <c r="K997" s="13" t="str">
        <f t="shared" si="2"/>
        <v/>
      </c>
      <c r="L997" s="13"/>
      <c r="M997" s="21" t="s">
        <v>45</v>
      </c>
    </row>
    <row r="998" ht="22.5" customHeight="1">
      <c r="B998" s="13">
        <f t="shared" si="3"/>
        <v>991</v>
      </c>
      <c r="C998" s="24"/>
      <c r="D998" s="14" t="str">
        <f t="array" ref="D998">IF(C998="","",IFNA(_xlfn.XLOOKUP(C998,'a 01'!$C$6:$C$999,'a 01'!$D$6:$D$999),""))</f>
        <v/>
      </c>
      <c r="E998" s="18" t="str">
        <f t="array" ref="E998">_xlfn.XLOOKUP(D998,Table_Warkah[Kode Tiket],Table_Warkah[Jenis Permohonan],"")</f>
        <v/>
      </c>
      <c r="F998" s="24"/>
      <c r="G998" s="24"/>
      <c r="H998" s="13" t="str">
        <f t="shared" si="1"/>
        <v/>
      </c>
      <c r="I998" s="18"/>
      <c r="J998" s="20" t="b">
        <v>0</v>
      </c>
      <c r="K998" s="13" t="str">
        <f t="shared" si="2"/>
        <v/>
      </c>
      <c r="L998" s="13"/>
      <c r="M998" s="21" t="s">
        <v>45</v>
      </c>
    </row>
    <row r="999" ht="22.5" customHeight="1">
      <c r="B999" s="13">
        <f t="shared" si="3"/>
        <v>992</v>
      </c>
      <c r="C999" s="24"/>
      <c r="D999" s="14" t="str">
        <f t="array" ref="D999">IF(C999="","",IFNA(_xlfn.XLOOKUP(C999,'a 01'!$C$6:$C$999,'a 01'!$D$6:$D$999),""))</f>
        <v/>
      </c>
      <c r="E999" s="18" t="str">
        <f t="array" ref="E999">_xlfn.XLOOKUP(D999,Table_Warkah[Kode Tiket],Table_Warkah[Jenis Permohonan],"")</f>
        <v/>
      </c>
      <c r="F999" s="24"/>
      <c r="G999" s="24"/>
      <c r="H999" s="13" t="str">
        <f t="shared" si="1"/>
        <v/>
      </c>
      <c r="I999" s="18"/>
      <c r="J999" s="20" t="b">
        <v>0</v>
      </c>
      <c r="K999" s="13" t="str">
        <f t="shared" si="2"/>
        <v/>
      </c>
      <c r="L999" s="13"/>
      <c r="M999" s="21" t="s">
        <v>45</v>
      </c>
    </row>
    <row r="1000" ht="22.5" customHeight="1">
      <c r="B1000" s="13">
        <f t="shared" si="3"/>
        <v>993</v>
      </c>
      <c r="C1000" s="24"/>
      <c r="D1000" s="14" t="str">
        <f t="array" ref="D1000">IF(C1000="","",IFNA(_xlfn.XLOOKUP(C1000,'a 01'!$C$6:$C$999,'a 01'!$D$6:$D$999),""))</f>
        <v/>
      </c>
      <c r="E1000" s="18" t="str">
        <f t="array" ref="E1000">_xlfn.XLOOKUP(D1000,Table_Warkah[Kode Tiket],Table_Warkah[Jenis Permohonan],"")</f>
        <v/>
      </c>
      <c r="F1000" s="24"/>
      <c r="G1000" s="24"/>
      <c r="H1000" s="13" t="str">
        <f t="shared" si="1"/>
        <v/>
      </c>
      <c r="I1000" s="18"/>
      <c r="J1000" s="20" t="b">
        <v>0</v>
      </c>
      <c r="K1000" s="13" t="str">
        <f t="shared" si="2"/>
        <v/>
      </c>
      <c r="L1000" s="13"/>
      <c r="M1000" s="21" t="s">
        <v>45</v>
      </c>
    </row>
  </sheetData>
  <dataValidations>
    <dataValidation type="list" allowBlank="1" sqref="G8:G1000">
      <formula1>"DIKEMBALIKAN SEMENTARA"</formula1>
    </dataValidation>
    <dataValidation type="list" allowBlank="1" sqref="F8:F1000">
      <formula1>"Alfiansyah,Pras,Berry,Bayu,David,Rahma,Sahelia"</formula1>
    </dataValidation>
    <dataValidation allowBlank="1" showDropDown="1" sqref="D8:D1000"/>
    <dataValidation type="list" allowBlank="1" sqref="C8:C1000">
      <formula1>#REF!</formula1>
    </dataValidation>
  </dataValidations>
  <hyperlinks>
    <hyperlink display="Cetak" location="Sampul!A1" ref="M8"/>
    <hyperlink display="Cetak" location="Sampul!A1" ref="M9"/>
    <hyperlink display="Cetak" location="Sampul!A1" ref="M10"/>
    <hyperlink display="Cetak" location="Sampul!A1" ref="M11"/>
    <hyperlink display="Cetak" location="Sampul!A1" ref="M12"/>
    <hyperlink display="Cetak" location="Sampul!A1" ref="M13"/>
    <hyperlink display="Cetak" location="Sampul!A1" ref="M14"/>
    <hyperlink display="Cetak" location="Sampul!A1" ref="M15"/>
    <hyperlink display="Cetak" location="Sampul!A1" ref="M16"/>
    <hyperlink display="Cetak" location="Sampul!A1" ref="M17"/>
    <hyperlink display="Cetak" location="Sampul!A1" ref="M18"/>
    <hyperlink display="Cetak" location="Sampul!A1" ref="M19"/>
    <hyperlink display="Cetak" location="Sampul!A1" ref="M20"/>
    <hyperlink display="Cetak" location="Sampul!A1" ref="M21"/>
    <hyperlink display="Cetak" location="Sampul!A1" ref="M22"/>
    <hyperlink display="Cetak" location="Sampul!A1" ref="M23"/>
    <hyperlink display="Cetak" location="Sampul!A1" ref="M24"/>
    <hyperlink display="Cetak" location="Sampul!A1" ref="M25"/>
    <hyperlink display="Cetak" location="Sampul!A1" ref="M26"/>
    <hyperlink display="Cetak" location="Sampul!A1" ref="M27"/>
    <hyperlink display="Cetak" location="Sampul!A1" ref="M28"/>
    <hyperlink display="Cetak" location="Sampul!A1" ref="M29"/>
    <hyperlink display="Cetak" location="Sampul!A1" ref="M30"/>
    <hyperlink display="Cetak" location="Sampul!A1" ref="M31"/>
    <hyperlink display="Cetak" location="Sampul!A1" ref="M32"/>
    <hyperlink display="Cetak" location="Sampul!A1" ref="M33"/>
    <hyperlink display="Cetak" location="Sampul!A1" ref="M34"/>
    <hyperlink display="Cetak" location="Sampul!A1" ref="M35"/>
    <hyperlink display="Cetak" location="Sampul!A1" ref="M36"/>
    <hyperlink display="Cetak" location="Sampul!A1" ref="M37"/>
    <hyperlink display="Cetak" location="Sampul!A1" ref="M38"/>
    <hyperlink display="Cetak" location="Sampul!A1" ref="M39"/>
    <hyperlink display="Cetak" location="Sampul!A1" ref="M40"/>
    <hyperlink display="Cetak" location="Sampul!A1" ref="M41"/>
    <hyperlink display="Cetak" location="Sampul!A1" ref="M42"/>
    <hyperlink display="Cetak" location="Sampul!A1" ref="M43"/>
    <hyperlink display="Cetak" location="Sampul!A1" ref="M44"/>
    <hyperlink display="Cetak" location="Sampul!A1" ref="M45"/>
    <hyperlink display="Cetak" location="Sampul!A1" ref="M46"/>
    <hyperlink display="Cetak" location="Sampul!A1" ref="M47"/>
    <hyperlink display="Cetak" location="Sampul!A1" ref="M48"/>
    <hyperlink display="Cetak" location="Sampul!A1" ref="M49"/>
    <hyperlink display="Cetak" location="Sampul!A1" ref="M50"/>
    <hyperlink display="Cetak" location="Sampul!A1" ref="M51"/>
    <hyperlink display="Cetak" location="Sampul!A1" ref="M52"/>
    <hyperlink display="Cetak" location="Sampul!A1" ref="M53"/>
    <hyperlink display="Cetak" location="Sampul!A1" ref="M54"/>
    <hyperlink display="Cetak" location="Sampul!A1" ref="M55"/>
    <hyperlink display="Cetak" location="Sampul!A1" ref="M56"/>
    <hyperlink display="Cetak" location="Sampul!A1" ref="M57"/>
    <hyperlink display="Cetak" location="Sampul!A1" ref="M58"/>
    <hyperlink display="Cetak" location="Sampul!A1" ref="M59"/>
    <hyperlink display="Cetak" location="Sampul!A1" ref="M60"/>
    <hyperlink display="Cetak" location="Sampul!A1" ref="M61"/>
    <hyperlink display="Cetak" location="Sampul!A1" ref="M62"/>
    <hyperlink display="Cetak" location="Sampul!A1" ref="M63"/>
    <hyperlink display="Cetak" location="Sampul!A1" ref="M64"/>
    <hyperlink display="Cetak" location="Sampul!A1" ref="M65"/>
    <hyperlink display="Cetak" location="Sampul!A1" ref="M66"/>
    <hyperlink display="Cetak" location="Sampul!A1" ref="M67"/>
    <hyperlink display="Cetak" location="Sampul!A1" ref="M68"/>
    <hyperlink display="Cetak" location="Sampul!A1" ref="M69"/>
    <hyperlink display="Cetak" location="Sampul!A1" ref="M70"/>
    <hyperlink display="Cetak" location="Sampul!A1" ref="M71"/>
    <hyperlink display="Cetak" location="Sampul!A1" ref="M72"/>
    <hyperlink display="Cetak" location="Sampul!A1" ref="M73"/>
    <hyperlink display="Cetak" location="Sampul!A1" ref="M74"/>
    <hyperlink display="Cetak" location="Sampul!A1" ref="M75"/>
    <hyperlink display="Cetak" location="Sampul!A1" ref="M76"/>
    <hyperlink display="Cetak" location="Sampul!A1" ref="M77"/>
    <hyperlink display="Cetak" location="Sampul!A1" ref="M78"/>
    <hyperlink display="Cetak" location="Sampul!A1" ref="M79"/>
    <hyperlink display="Cetak" location="Sampul!A1" ref="M80"/>
    <hyperlink display="Cetak" location="Sampul!A1" ref="M81"/>
    <hyperlink display="Cetak" location="Sampul!A1" ref="M82"/>
    <hyperlink display="Cetak" location="Sampul!A1" ref="M83"/>
    <hyperlink display="Cetak" location="Sampul!A1" ref="M84"/>
    <hyperlink display="Cetak" location="Sampul!A1" ref="M85"/>
    <hyperlink display="Cetak" location="Sampul!A1" ref="M86"/>
    <hyperlink display="Cetak" location="Sampul!A1" ref="M87"/>
    <hyperlink display="Cetak" location="Sampul!A1" ref="M88"/>
    <hyperlink display="Cetak" location="Sampul!A1" ref="M89"/>
    <hyperlink display="Cetak" location="Sampul!A1" ref="M90"/>
    <hyperlink display="Cetak" location="Sampul!A1" ref="M91"/>
    <hyperlink display="Cetak" location="Sampul!A1" ref="M92"/>
    <hyperlink display="Cetak" location="Sampul!A1" ref="M93"/>
    <hyperlink display="Cetak" location="Sampul!A1" ref="M94"/>
    <hyperlink display="Cetak" location="Sampul!A1" ref="M95"/>
    <hyperlink display="Cetak" location="Sampul!A1" ref="M96"/>
    <hyperlink display="Cetak" location="Sampul!A1" ref="M97"/>
    <hyperlink display="Cetak" location="Sampul!A1" ref="M98"/>
    <hyperlink display="Cetak" location="Sampul!A1" ref="M99"/>
    <hyperlink display="Cetak" location="Sampul!A1" ref="M100"/>
    <hyperlink display="Cetak" location="Sampul!A1" ref="M101"/>
    <hyperlink display="Cetak" location="Sampul!A1" ref="M102"/>
    <hyperlink display="Cetak" location="Sampul!A1" ref="M103"/>
    <hyperlink display="Cetak" location="Sampul!A1" ref="M104"/>
    <hyperlink display="Cetak" location="Sampul!A1" ref="M105"/>
    <hyperlink display="Cetak" location="Sampul!A1" ref="M106"/>
    <hyperlink display="Cetak" location="Sampul!A1" ref="M107"/>
    <hyperlink display="Cetak" location="Sampul!A1" ref="M108"/>
    <hyperlink display="Cetak" location="Sampul!A1" ref="M109"/>
    <hyperlink display="Cetak" location="Sampul!A1" ref="M110"/>
    <hyperlink display="Cetak" location="Sampul!A1" ref="M111"/>
    <hyperlink display="Cetak" location="Sampul!A1" ref="M112"/>
    <hyperlink display="Cetak" location="Sampul!A1" ref="M113"/>
    <hyperlink display="Cetak" location="Sampul!A1" ref="M114"/>
    <hyperlink display="Cetak" location="Sampul!A1" ref="M115"/>
    <hyperlink display="Cetak" location="Sampul!A1" ref="M116"/>
    <hyperlink display="Cetak" location="Sampul!A1" ref="M117"/>
    <hyperlink display="Cetak" location="Sampul!A1" ref="M118"/>
    <hyperlink display="Cetak" location="Sampul!A1" ref="M119"/>
    <hyperlink display="Cetak" location="Sampul!A1" ref="M120"/>
    <hyperlink display="Cetak" location="Sampul!A1" ref="M121"/>
    <hyperlink display="Cetak" location="Sampul!A1" ref="M122"/>
    <hyperlink display="Cetak" location="Sampul!A1" ref="M123"/>
    <hyperlink display="Cetak" location="Sampul!A1" ref="M124"/>
    <hyperlink display="Cetak" location="Sampul!A1" ref="M125"/>
    <hyperlink display="Cetak" location="Sampul!A1" ref="M126"/>
    <hyperlink display="Cetak" location="Sampul!A1" ref="M127"/>
    <hyperlink display="Cetak" location="Sampul!A1" ref="M128"/>
    <hyperlink display="Cetak" location="Sampul!A1" ref="M129"/>
    <hyperlink display="Cetak" location="Sampul!A1" ref="M130"/>
    <hyperlink display="Cetak" location="Sampul!A1" ref="M131"/>
    <hyperlink display="Cetak" location="Sampul!A1" ref="M132"/>
    <hyperlink display="Cetak" location="Sampul!A1" ref="M133"/>
    <hyperlink display="Cetak" location="Sampul!A1" ref="M134"/>
    <hyperlink display="Cetak" location="Sampul!A1" ref="M135"/>
    <hyperlink display="Cetak" location="Sampul!A1" ref="M136"/>
    <hyperlink display="Cetak" location="Sampul!A1" ref="M137"/>
    <hyperlink display="Cetak" location="Sampul!A1" ref="M138"/>
    <hyperlink display="Cetak" location="Sampul!A1" ref="M139"/>
    <hyperlink display="Cetak" location="Sampul!A1" ref="M140"/>
    <hyperlink display="Cetak" location="Sampul!A1" ref="M141"/>
    <hyperlink display="Cetak" location="Sampul!A1" ref="M142"/>
    <hyperlink display="Cetak" location="Sampul!A1" ref="M143"/>
    <hyperlink display="Cetak" location="Sampul!A1" ref="M144"/>
    <hyperlink display="Cetak" location="Sampul!A1" ref="M145"/>
    <hyperlink display="Cetak" location="Sampul!A1" ref="M146"/>
    <hyperlink display="Cetak" location="Sampul!A1" ref="M147"/>
    <hyperlink display="Cetak" location="Sampul!A1" ref="M148"/>
    <hyperlink display="Cetak" location="Sampul!A1" ref="M149"/>
    <hyperlink display="Cetak" location="Sampul!A1" ref="M150"/>
    <hyperlink display="Cetak" location="Sampul!A1" ref="M151"/>
    <hyperlink display="Cetak" location="Sampul!A1" ref="M152"/>
    <hyperlink display="Cetak" location="Sampul!A1" ref="M153"/>
    <hyperlink display="Cetak" location="Sampul!A1" ref="M154"/>
    <hyperlink display="Cetak" location="Sampul!A1" ref="M155"/>
    <hyperlink display="Cetak" location="Sampul!A1" ref="M156"/>
    <hyperlink display="Cetak" location="Sampul!A1" ref="M157"/>
    <hyperlink display="Cetak" location="Sampul!A1" ref="M158"/>
    <hyperlink display="Cetak" location="Sampul!A1" ref="M159"/>
    <hyperlink display="Cetak" location="Sampul!A1" ref="M160"/>
    <hyperlink display="Cetak" location="Sampul!A1" ref="M161"/>
    <hyperlink display="Cetak" location="Sampul!A1" ref="M162"/>
    <hyperlink display="Cetak" location="Sampul!A1" ref="M163"/>
    <hyperlink display="Cetak" location="Sampul!A1" ref="M164"/>
    <hyperlink display="Cetak" location="Sampul!A1" ref="M165"/>
    <hyperlink display="Cetak" location="Sampul!A1" ref="M166"/>
    <hyperlink display="Cetak" location="Sampul!A1" ref="M167"/>
    <hyperlink display="Cetak" location="Sampul!A1" ref="M168"/>
    <hyperlink display="Cetak" location="Sampul!A1" ref="M169"/>
    <hyperlink display="Cetak" location="Sampul!A1" ref="M170"/>
    <hyperlink display="Cetak" location="Sampul!A1" ref="M171"/>
    <hyperlink display="Cetak" location="Sampul!A1" ref="M172"/>
    <hyperlink display="Cetak" location="Sampul!A1" ref="M173"/>
    <hyperlink display="Cetak" location="Sampul!A1" ref="M174"/>
    <hyperlink display="Cetak" location="Sampul!A1" ref="M175"/>
    <hyperlink display="Cetak" location="Sampul!A1" ref="M176"/>
    <hyperlink display="Cetak" location="Sampul!A1" ref="M177"/>
    <hyperlink display="Cetak" location="Sampul!A1" ref="M178"/>
    <hyperlink display="Cetak" location="Sampul!A1" ref="M179"/>
    <hyperlink display="Cetak" location="Sampul!A1" ref="M180"/>
    <hyperlink display="Cetak" location="Sampul!A1" ref="M181"/>
    <hyperlink display="Cetak" location="Sampul!A1" ref="M182"/>
    <hyperlink display="Cetak" location="Sampul!A1" ref="M183"/>
    <hyperlink display="Cetak" location="Sampul!A1" ref="M184"/>
    <hyperlink display="Cetak" location="Sampul!A1" ref="M185"/>
    <hyperlink display="Cetak" location="Sampul!A1" ref="M186"/>
    <hyperlink display="Cetak" location="Sampul!A1" ref="M187"/>
    <hyperlink display="Cetak" location="Sampul!A1" ref="M188"/>
    <hyperlink display="Cetak" location="Sampul!A1" ref="M189"/>
    <hyperlink display="Cetak" location="Sampul!A1" ref="M190"/>
    <hyperlink display="Cetak" location="Sampul!A1" ref="M191"/>
    <hyperlink display="Cetak" location="Sampul!A1" ref="M192"/>
    <hyperlink display="Cetak" location="Sampul!A1" ref="M193"/>
    <hyperlink display="Cetak" location="Sampul!A1" ref="M194"/>
    <hyperlink display="Cetak" location="Sampul!A1" ref="M195"/>
    <hyperlink display="Cetak" location="Sampul!A1" ref="M196"/>
    <hyperlink display="Cetak" location="Sampul!A1" ref="M197"/>
    <hyperlink display="Cetak" location="Sampul!A1" ref="M198"/>
    <hyperlink display="Cetak" location="Sampul!A1" ref="M199"/>
    <hyperlink display="Cetak" location="Sampul!A1" ref="M200"/>
    <hyperlink display="Cetak" location="Sampul!A1" ref="M201"/>
    <hyperlink display="Cetak" location="Sampul!A1" ref="M202"/>
    <hyperlink display="Cetak" location="Sampul!A1" ref="M203"/>
    <hyperlink display="Cetak" location="Sampul!A1" ref="M204"/>
    <hyperlink display="Cetak" location="Sampul!A1" ref="M205"/>
    <hyperlink display="Cetak" location="Sampul!A1" ref="M206"/>
    <hyperlink display="Cetak" location="Sampul!A1" ref="M207"/>
    <hyperlink display="Cetak" location="Sampul!A1" ref="M208"/>
    <hyperlink display="Cetak" location="Sampul!A1" ref="M209"/>
    <hyperlink display="Cetak" location="Sampul!A1" ref="M210"/>
    <hyperlink display="Cetak" location="Sampul!A1" ref="M211"/>
    <hyperlink display="Cetak" location="Sampul!A1" ref="M212"/>
    <hyperlink display="Cetak" location="Sampul!A1" ref="M213"/>
    <hyperlink display="Cetak" location="Sampul!A1" ref="M214"/>
    <hyperlink display="Cetak" location="Sampul!A1" ref="M215"/>
    <hyperlink display="Cetak" location="Sampul!A1" ref="M216"/>
    <hyperlink display="Cetak" location="Sampul!A1" ref="M217"/>
    <hyperlink display="Cetak" location="Sampul!A1" ref="M218"/>
    <hyperlink display="Cetak" location="Sampul!A1" ref="M219"/>
    <hyperlink display="Cetak" location="Sampul!A1" ref="M220"/>
    <hyperlink display="Cetak" location="Sampul!A1" ref="M221"/>
    <hyperlink display="Cetak" location="Sampul!A1" ref="M222"/>
    <hyperlink display="Cetak" location="Sampul!A1" ref="M223"/>
    <hyperlink display="Cetak" location="Sampul!A1" ref="M224"/>
    <hyperlink display="Cetak" location="Sampul!A1" ref="M225"/>
    <hyperlink display="Cetak" location="Sampul!A1" ref="M226"/>
    <hyperlink display="Cetak" location="Sampul!A1" ref="M227"/>
    <hyperlink display="Cetak" location="Sampul!A1" ref="M228"/>
    <hyperlink display="Cetak" location="Sampul!A1" ref="M229"/>
    <hyperlink display="Cetak" location="Sampul!A1" ref="M230"/>
    <hyperlink display="Cetak" location="Sampul!A1" ref="M231"/>
    <hyperlink display="Cetak" location="Sampul!A1" ref="M232"/>
    <hyperlink display="Cetak" location="Sampul!A1" ref="M233"/>
    <hyperlink display="Cetak" location="Sampul!A1" ref="M234"/>
    <hyperlink display="Cetak" location="Sampul!A1" ref="M235"/>
    <hyperlink display="Cetak" location="Sampul!A1" ref="M236"/>
    <hyperlink display="Cetak" location="Sampul!A1" ref="M237"/>
    <hyperlink display="Cetak" location="Sampul!A1" ref="M238"/>
    <hyperlink display="Cetak" location="Sampul!A1" ref="M239"/>
    <hyperlink display="Cetak" location="Sampul!A1" ref="M240"/>
    <hyperlink display="Cetak" location="Sampul!A1" ref="M241"/>
    <hyperlink display="Cetak" location="Sampul!A1" ref="M242"/>
    <hyperlink display="Cetak" location="Sampul!A1" ref="M243"/>
    <hyperlink display="Cetak" location="Sampul!A1" ref="M244"/>
    <hyperlink display="Cetak" location="Sampul!A1" ref="M245"/>
    <hyperlink display="Cetak" location="Sampul!A1" ref="M246"/>
    <hyperlink display="Cetak" location="Sampul!A1" ref="M247"/>
    <hyperlink display="Cetak" location="Sampul!A1" ref="M248"/>
    <hyperlink display="Cetak" location="Sampul!A1" ref="M249"/>
    <hyperlink display="Cetak" location="Sampul!A1" ref="M250"/>
    <hyperlink display="Cetak" location="Sampul!A1" ref="M251"/>
    <hyperlink display="Cetak" location="Sampul!A1" ref="M252"/>
    <hyperlink display="Cetak" location="Sampul!A1" ref="M253"/>
    <hyperlink display="Cetak" location="Sampul!A1" ref="M254"/>
    <hyperlink display="Cetak" location="Sampul!A1" ref="M255"/>
    <hyperlink display="Cetak" location="Sampul!A1" ref="M256"/>
    <hyperlink display="Cetak" location="Sampul!A1" ref="M257"/>
    <hyperlink display="Cetak" location="Sampul!A1" ref="M258"/>
    <hyperlink display="Cetak" location="Sampul!A1" ref="M259"/>
    <hyperlink display="Cetak" location="Sampul!A1" ref="M260"/>
    <hyperlink display="Cetak" location="Sampul!A1" ref="M261"/>
    <hyperlink display="Cetak" location="Sampul!A1" ref="M262"/>
    <hyperlink display="Cetak" location="Sampul!A1" ref="M263"/>
    <hyperlink display="Cetak" location="Sampul!A1" ref="M264"/>
    <hyperlink display="Cetak" location="Sampul!A1" ref="M265"/>
    <hyperlink display="Cetak" location="Sampul!A1" ref="M266"/>
    <hyperlink display="Cetak" location="Sampul!A1" ref="M267"/>
    <hyperlink display="Cetak" location="Sampul!A1" ref="M268"/>
    <hyperlink display="Cetak" location="Sampul!A1" ref="M269"/>
    <hyperlink display="Cetak" location="Sampul!A1" ref="M270"/>
    <hyperlink display="Cetak" location="Sampul!A1" ref="M271"/>
    <hyperlink display="Cetak" location="Sampul!A1" ref="M272"/>
    <hyperlink display="Cetak" location="Sampul!A1" ref="M273"/>
    <hyperlink display="Cetak" location="Sampul!A1" ref="M274"/>
    <hyperlink display="Cetak" location="Sampul!A1" ref="M275"/>
    <hyperlink display="Cetak" location="Sampul!A1" ref="M276"/>
    <hyperlink display="Cetak" location="Sampul!A1" ref="M277"/>
    <hyperlink display="Cetak" location="Sampul!A1" ref="M278"/>
    <hyperlink display="Cetak" location="Sampul!A1" ref="M279"/>
    <hyperlink display="Cetak" location="Sampul!A1" ref="M280"/>
    <hyperlink display="Cetak" location="Sampul!A1" ref="M281"/>
    <hyperlink display="Cetak" location="Sampul!A1" ref="M282"/>
    <hyperlink display="Cetak" location="Sampul!A1" ref="M283"/>
    <hyperlink display="Cetak" location="Sampul!A1" ref="M284"/>
    <hyperlink display="Cetak" location="Sampul!A1" ref="M285"/>
    <hyperlink display="Cetak" location="Sampul!A1" ref="M286"/>
    <hyperlink display="Cetak" location="Sampul!A1" ref="M287"/>
    <hyperlink display="Cetak" location="Sampul!A1" ref="M288"/>
    <hyperlink display="Cetak" location="Sampul!A1" ref="M289"/>
    <hyperlink display="Cetak" location="Sampul!A1" ref="M290"/>
    <hyperlink display="Cetak" location="Sampul!A1" ref="M291"/>
    <hyperlink display="Cetak" location="Sampul!A1" ref="M292"/>
    <hyperlink display="Cetak" location="Sampul!A1" ref="M293"/>
    <hyperlink display="Cetak" location="Sampul!A1" ref="M294"/>
    <hyperlink display="Cetak" location="Sampul!A1" ref="M295"/>
    <hyperlink display="Cetak" location="Sampul!A1" ref="M296"/>
    <hyperlink display="Cetak" location="Sampul!A1" ref="M297"/>
    <hyperlink display="Cetak" location="Sampul!A1" ref="M298"/>
    <hyperlink display="Cetak" location="Sampul!A1" ref="M299"/>
    <hyperlink display="Cetak" location="Sampul!A1" ref="M300"/>
    <hyperlink display="Cetak" location="Sampul!A1" ref="M301"/>
    <hyperlink display="Cetak" location="Sampul!A1" ref="M302"/>
    <hyperlink display="Cetak" location="Sampul!A1" ref="M303"/>
    <hyperlink display="Cetak" location="Sampul!A1" ref="M304"/>
    <hyperlink display="Cetak" location="Sampul!A1" ref="M305"/>
    <hyperlink display="Cetak" location="Sampul!A1" ref="M306"/>
    <hyperlink display="Cetak" location="Sampul!A1" ref="M307"/>
    <hyperlink display="Cetak" location="Sampul!A1" ref="M308"/>
    <hyperlink display="Cetak" location="Sampul!A1" ref="M309"/>
    <hyperlink display="Cetak" location="Sampul!A1" ref="M310"/>
    <hyperlink display="Cetak" location="Sampul!A1" ref="M311"/>
    <hyperlink display="Cetak" location="Sampul!A1" ref="M312"/>
    <hyperlink display="Cetak" location="Sampul!A1" ref="M313"/>
    <hyperlink display="Cetak" location="Sampul!A1" ref="M314"/>
    <hyperlink display="Cetak" location="Sampul!A1" ref="M315"/>
    <hyperlink display="Cetak" location="Sampul!A1" ref="M316"/>
    <hyperlink display="Cetak" location="Sampul!A1" ref="M317"/>
    <hyperlink display="Cetak" location="Sampul!A1" ref="M318"/>
    <hyperlink display="Cetak" location="Sampul!A1" ref="M319"/>
    <hyperlink display="Cetak" location="Sampul!A1" ref="M320"/>
    <hyperlink display="Cetak" location="Sampul!A1" ref="M321"/>
    <hyperlink display="Cetak" location="Sampul!A1" ref="M322"/>
    <hyperlink display="Cetak" location="Sampul!A1" ref="M323"/>
    <hyperlink display="Cetak" location="Sampul!A1" ref="M324"/>
    <hyperlink display="Cetak" location="Sampul!A1" ref="M325"/>
    <hyperlink display="Cetak" location="Sampul!A1" ref="M326"/>
    <hyperlink display="Cetak" location="Sampul!A1" ref="M327"/>
    <hyperlink display="Cetak" location="Sampul!A1" ref="M328"/>
    <hyperlink display="Cetak" location="Sampul!A1" ref="M329"/>
    <hyperlink display="Cetak" location="Sampul!A1" ref="M330"/>
    <hyperlink display="Cetak" location="Sampul!A1" ref="M331"/>
    <hyperlink display="Cetak" location="Sampul!A1" ref="M332"/>
    <hyperlink display="Cetak" location="Sampul!A1" ref="M333"/>
    <hyperlink display="Cetak" location="Sampul!A1" ref="M334"/>
    <hyperlink display="Cetak" location="Sampul!A1" ref="M335"/>
    <hyperlink display="Cetak" location="Sampul!A1" ref="M336"/>
    <hyperlink display="Cetak" location="Sampul!A1" ref="M337"/>
    <hyperlink display="Cetak" location="Sampul!A1" ref="M338"/>
    <hyperlink display="Cetak" location="Sampul!A1" ref="M339"/>
    <hyperlink display="Cetak" location="Sampul!A1" ref="M340"/>
    <hyperlink display="Cetak" location="Sampul!A1" ref="M341"/>
    <hyperlink display="Cetak" location="Sampul!A1" ref="M342"/>
    <hyperlink display="Cetak" location="Sampul!A1" ref="M343"/>
    <hyperlink display="Cetak" location="Sampul!A1" ref="M344"/>
    <hyperlink display="Cetak" location="Sampul!A1" ref="M345"/>
    <hyperlink display="Cetak" location="Sampul!A1" ref="M346"/>
    <hyperlink display="Cetak" location="Sampul!A1" ref="M347"/>
    <hyperlink display="Cetak" location="Sampul!A1" ref="M348"/>
    <hyperlink display="Cetak" location="Sampul!A1" ref="M349"/>
    <hyperlink display="Cetak" location="Sampul!A1" ref="M350"/>
    <hyperlink display="Cetak" location="Sampul!A1" ref="M351"/>
    <hyperlink display="Cetak" location="Sampul!A1" ref="M352"/>
    <hyperlink display="Cetak" location="Sampul!A1" ref="M353"/>
    <hyperlink display="Cetak" location="Sampul!A1" ref="M354"/>
    <hyperlink display="Cetak" location="Sampul!A1" ref="M355"/>
    <hyperlink display="Cetak" location="Sampul!A1" ref="M356"/>
    <hyperlink display="Cetak" location="Sampul!A1" ref="M357"/>
    <hyperlink display="Cetak" location="Sampul!A1" ref="M358"/>
    <hyperlink display="Cetak" location="Sampul!A1" ref="M359"/>
    <hyperlink display="Cetak" location="Sampul!A1" ref="M360"/>
    <hyperlink display="Cetak" location="Sampul!A1" ref="M361"/>
    <hyperlink display="Cetak" location="Sampul!A1" ref="M362"/>
    <hyperlink display="Cetak" location="Sampul!A1" ref="M363"/>
    <hyperlink display="Cetak" location="Sampul!A1" ref="M364"/>
    <hyperlink display="Cetak" location="Sampul!A1" ref="M365"/>
    <hyperlink display="Cetak" location="Sampul!A1" ref="M366"/>
    <hyperlink display="Cetak" location="Sampul!A1" ref="M367"/>
    <hyperlink display="Cetak" location="Sampul!A1" ref="M368"/>
    <hyperlink display="Cetak" location="Sampul!A1" ref="M369"/>
    <hyperlink display="Cetak" location="Sampul!A1" ref="M370"/>
    <hyperlink display="Cetak" location="Sampul!A1" ref="M371"/>
    <hyperlink display="Cetak" location="Sampul!A1" ref="M372"/>
    <hyperlink display="Cetak" location="Sampul!A1" ref="M373"/>
    <hyperlink display="Cetak" location="Sampul!A1" ref="M374"/>
    <hyperlink display="Cetak" location="Sampul!A1" ref="M375"/>
    <hyperlink display="Cetak" location="Sampul!A1" ref="M376"/>
    <hyperlink display="Cetak" location="Sampul!A1" ref="M377"/>
    <hyperlink display="Cetak" location="Sampul!A1" ref="M378"/>
    <hyperlink display="Cetak" location="Sampul!A1" ref="M379"/>
    <hyperlink display="Cetak" location="Sampul!A1" ref="M380"/>
    <hyperlink display="Cetak" location="Sampul!A1" ref="M381"/>
    <hyperlink display="Cetak" location="Sampul!A1" ref="M382"/>
    <hyperlink display="Cetak" location="Sampul!A1" ref="M383"/>
    <hyperlink display="Cetak" location="Sampul!A1" ref="M384"/>
    <hyperlink display="Cetak" location="Sampul!A1" ref="M385"/>
    <hyperlink display="Cetak" location="Sampul!A1" ref="M386"/>
    <hyperlink display="Cetak" location="Sampul!A1" ref="M387"/>
    <hyperlink display="Cetak" location="Sampul!A1" ref="M388"/>
    <hyperlink display="Cetak" location="Sampul!A1" ref="M389"/>
    <hyperlink display="Cetak" location="Sampul!A1" ref="M390"/>
    <hyperlink display="Cetak" location="Sampul!A1" ref="M391"/>
    <hyperlink display="Cetak" location="Sampul!A1" ref="M392"/>
    <hyperlink display="Cetak" location="Sampul!A1" ref="M393"/>
    <hyperlink display="Cetak" location="Sampul!A1" ref="M394"/>
    <hyperlink display="Cetak" location="Sampul!A1" ref="M395"/>
    <hyperlink display="Cetak" location="Sampul!A1" ref="M396"/>
    <hyperlink display="Cetak" location="Sampul!A1" ref="M397"/>
    <hyperlink display="Cetak" location="Sampul!A1" ref="M398"/>
    <hyperlink display="Cetak" location="Sampul!A1" ref="M399"/>
    <hyperlink display="Cetak" location="Sampul!A1" ref="M400"/>
    <hyperlink display="Cetak" location="Sampul!A1" ref="M401"/>
    <hyperlink display="Cetak" location="Sampul!A1" ref="M402"/>
    <hyperlink display="Cetak" location="Sampul!A1" ref="M403"/>
    <hyperlink display="Cetak" location="Sampul!A1" ref="M404"/>
    <hyperlink display="Cetak" location="Sampul!A1" ref="M405"/>
    <hyperlink display="Cetak" location="Sampul!A1" ref="M406"/>
    <hyperlink display="Cetak" location="Sampul!A1" ref="M407"/>
    <hyperlink display="Cetak" location="Sampul!A1" ref="M408"/>
    <hyperlink display="Cetak" location="Sampul!A1" ref="M409"/>
    <hyperlink display="Cetak" location="Sampul!A1" ref="M410"/>
    <hyperlink display="Cetak" location="Sampul!A1" ref="M411"/>
    <hyperlink display="Cetak" location="Sampul!A1" ref="M412"/>
    <hyperlink display="Cetak" location="Sampul!A1" ref="M413"/>
    <hyperlink display="Cetak" location="Sampul!A1" ref="M414"/>
    <hyperlink display="Cetak" location="Sampul!A1" ref="M415"/>
    <hyperlink display="Cetak" location="Sampul!A1" ref="M416"/>
    <hyperlink display="Cetak" location="Sampul!A1" ref="M417"/>
    <hyperlink display="Cetak" location="Sampul!A1" ref="M418"/>
    <hyperlink display="Cetak" location="Sampul!A1" ref="M419"/>
    <hyperlink display="Cetak" location="Sampul!A1" ref="M420"/>
    <hyperlink display="Cetak" location="Sampul!A1" ref="M421"/>
    <hyperlink display="Cetak" location="Sampul!A1" ref="M422"/>
    <hyperlink display="Cetak" location="Sampul!A1" ref="M423"/>
    <hyperlink display="Cetak" location="Sampul!A1" ref="M424"/>
    <hyperlink display="Cetak" location="Sampul!A1" ref="M425"/>
    <hyperlink display="Cetak" location="Sampul!A1" ref="M426"/>
    <hyperlink display="Cetak" location="Sampul!A1" ref="M427"/>
    <hyperlink display="Cetak" location="Sampul!A1" ref="M428"/>
    <hyperlink display="Cetak" location="Sampul!A1" ref="M429"/>
    <hyperlink display="Cetak" location="Sampul!A1" ref="M430"/>
    <hyperlink display="Cetak" location="Sampul!A1" ref="M431"/>
    <hyperlink display="Cetak" location="Sampul!A1" ref="M432"/>
    <hyperlink display="Cetak" location="Sampul!A1" ref="M433"/>
    <hyperlink display="Cetak" location="Sampul!A1" ref="M434"/>
    <hyperlink display="Cetak" location="Sampul!A1" ref="M435"/>
    <hyperlink display="Cetak" location="Sampul!A1" ref="M436"/>
    <hyperlink display="Cetak" location="Sampul!A1" ref="M437"/>
    <hyperlink display="Cetak" location="Sampul!A1" ref="M438"/>
    <hyperlink display="Cetak" location="Sampul!A1" ref="M439"/>
    <hyperlink display="Cetak" location="Sampul!A1" ref="M440"/>
    <hyperlink display="Cetak" location="Sampul!A1" ref="M441"/>
    <hyperlink display="Cetak" location="Sampul!A1" ref="M442"/>
    <hyperlink display="Cetak" location="Sampul!A1" ref="M443"/>
    <hyperlink display="Cetak" location="Sampul!A1" ref="M444"/>
    <hyperlink display="Cetak" location="Sampul!A1" ref="M445"/>
    <hyperlink display="Cetak" location="Sampul!A1" ref="M446"/>
    <hyperlink display="Cetak" location="Sampul!A1" ref="M447"/>
    <hyperlink display="Cetak" location="Sampul!A1" ref="M448"/>
    <hyperlink display="Cetak" location="Sampul!A1" ref="M449"/>
    <hyperlink display="Cetak" location="Sampul!A1" ref="M450"/>
    <hyperlink display="Cetak" location="Sampul!A1" ref="M451"/>
    <hyperlink display="Cetak" location="Sampul!A1" ref="M452"/>
    <hyperlink display="Cetak" location="Sampul!A1" ref="M453"/>
    <hyperlink display="Cetak" location="Sampul!A1" ref="M454"/>
    <hyperlink display="Cetak" location="Sampul!A1" ref="M455"/>
    <hyperlink display="Cetak" location="Sampul!A1" ref="M456"/>
    <hyperlink display="Cetak" location="Sampul!A1" ref="M457"/>
    <hyperlink display="Cetak" location="Sampul!A1" ref="M458"/>
    <hyperlink display="Cetak" location="Sampul!A1" ref="M459"/>
    <hyperlink display="Cetak" location="Sampul!A1" ref="M460"/>
    <hyperlink display="Cetak" location="Sampul!A1" ref="M461"/>
    <hyperlink display="Cetak" location="Sampul!A1" ref="M462"/>
    <hyperlink display="Cetak" location="Sampul!A1" ref="M463"/>
    <hyperlink display="Cetak" location="Sampul!A1" ref="M464"/>
    <hyperlink display="Cetak" location="Sampul!A1" ref="M465"/>
    <hyperlink display="Cetak" location="Sampul!A1" ref="M466"/>
    <hyperlink display="Cetak" location="Sampul!A1" ref="M467"/>
    <hyperlink display="Cetak" location="Sampul!A1" ref="M468"/>
    <hyperlink display="Cetak" location="Sampul!A1" ref="M469"/>
    <hyperlink display="Cetak" location="Sampul!A1" ref="M470"/>
    <hyperlink display="Cetak" location="Sampul!A1" ref="M471"/>
    <hyperlink display="Cetak" location="Sampul!A1" ref="M472"/>
    <hyperlink display="Cetak" location="Sampul!A1" ref="M473"/>
    <hyperlink display="Cetak" location="Sampul!A1" ref="M474"/>
    <hyperlink display="Cetak" location="Sampul!A1" ref="M475"/>
    <hyperlink display="Cetak" location="Sampul!A1" ref="M476"/>
    <hyperlink display="Cetak" location="Sampul!A1" ref="M477"/>
    <hyperlink display="Cetak" location="Sampul!A1" ref="M478"/>
    <hyperlink display="Cetak" location="Sampul!A1" ref="M479"/>
    <hyperlink display="Cetak" location="Sampul!A1" ref="M480"/>
    <hyperlink display="Cetak" location="Sampul!A1" ref="M481"/>
    <hyperlink display="Cetak" location="Sampul!A1" ref="M482"/>
    <hyperlink display="Cetak" location="Sampul!A1" ref="M483"/>
    <hyperlink display="Cetak" location="Sampul!A1" ref="M484"/>
    <hyperlink display="Cetak" location="Sampul!A1" ref="M485"/>
    <hyperlink display="Cetak" location="Sampul!A1" ref="M486"/>
    <hyperlink display="Cetak" location="Sampul!A1" ref="M487"/>
    <hyperlink display="Cetak" location="Sampul!A1" ref="M488"/>
    <hyperlink display="Cetak" location="Sampul!A1" ref="M489"/>
    <hyperlink display="Cetak" location="Sampul!A1" ref="M490"/>
    <hyperlink display="Cetak" location="Sampul!A1" ref="M491"/>
    <hyperlink display="Cetak" location="Sampul!A1" ref="M492"/>
    <hyperlink display="Cetak" location="Sampul!A1" ref="M493"/>
    <hyperlink display="Cetak" location="Sampul!A1" ref="M494"/>
    <hyperlink display="Cetak" location="Sampul!A1" ref="M495"/>
    <hyperlink display="Cetak" location="Sampul!A1" ref="M496"/>
    <hyperlink display="Cetak" location="Sampul!A1" ref="M497"/>
    <hyperlink display="Cetak" location="Sampul!A1" ref="M498"/>
    <hyperlink display="Cetak" location="Sampul!A1" ref="M499"/>
    <hyperlink display="Cetak" location="Sampul!A1" ref="M500"/>
    <hyperlink display="Cetak" location="Sampul!A1" ref="M501"/>
    <hyperlink display="Cetak" location="Sampul!A1" ref="M502"/>
    <hyperlink display="Cetak" location="Sampul!A1" ref="M503"/>
    <hyperlink display="Cetak" location="Sampul!A1" ref="M504"/>
    <hyperlink display="Cetak" location="Sampul!A1" ref="M505"/>
    <hyperlink display="Cetak" location="Sampul!A1" ref="M506"/>
    <hyperlink display="Cetak" location="Sampul!A1" ref="M507"/>
    <hyperlink display="Cetak" location="Sampul!A1" ref="M508"/>
    <hyperlink display="Cetak" location="Sampul!A1" ref="M509"/>
    <hyperlink display="Cetak" location="Sampul!A1" ref="M510"/>
    <hyperlink display="Cetak" location="Sampul!A1" ref="M511"/>
    <hyperlink display="Cetak" location="Sampul!A1" ref="M512"/>
    <hyperlink display="Cetak" location="Sampul!A1" ref="M513"/>
    <hyperlink display="Cetak" location="Sampul!A1" ref="M514"/>
    <hyperlink display="Cetak" location="Sampul!A1" ref="M515"/>
    <hyperlink display="Cetak" location="Sampul!A1" ref="M516"/>
    <hyperlink display="Cetak" location="Sampul!A1" ref="M517"/>
    <hyperlink display="Cetak" location="Sampul!A1" ref="M518"/>
    <hyperlink display="Cetak" location="Sampul!A1" ref="M519"/>
    <hyperlink display="Cetak" location="Sampul!A1" ref="M520"/>
    <hyperlink display="Cetak" location="Sampul!A1" ref="M521"/>
    <hyperlink display="Cetak" location="Sampul!A1" ref="M522"/>
    <hyperlink display="Cetak" location="Sampul!A1" ref="M523"/>
    <hyperlink display="Cetak" location="Sampul!A1" ref="M524"/>
    <hyperlink display="Cetak" location="Sampul!A1" ref="M525"/>
    <hyperlink display="Cetak" location="Sampul!A1" ref="M526"/>
    <hyperlink display="Cetak" location="Sampul!A1" ref="M527"/>
    <hyperlink display="Cetak" location="Sampul!A1" ref="M528"/>
    <hyperlink display="Cetak" location="Sampul!A1" ref="M529"/>
    <hyperlink display="Cetak" location="Sampul!A1" ref="M530"/>
    <hyperlink display="Cetak" location="Sampul!A1" ref="M531"/>
    <hyperlink display="Cetak" location="Sampul!A1" ref="M532"/>
    <hyperlink display="Cetak" location="Sampul!A1" ref="M533"/>
    <hyperlink display="Cetak" location="Sampul!A1" ref="M534"/>
    <hyperlink display="Cetak" location="Sampul!A1" ref="M535"/>
    <hyperlink display="Cetak" location="Sampul!A1" ref="M536"/>
    <hyperlink display="Cetak" location="Sampul!A1" ref="M537"/>
    <hyperlink display="Cetak" location="Sampul!A1" ref="M538"/>
    <hyperlink display="Cetak" location="Sampul!A1" ref="M539"/>
    <hyperlink display="Cetak" location="Sampul!A1" ref="M540"/>
    <hyperlink display="Cetak" location="Sampul!A1" ref="M541"/>
    <hyperlink display="Cetak" location="Sampul!A1" ref="M542"/>
    <hyperlink display="Cetak" location="Sampul!A1" ref="M543"/>
    <hyperlink display="Cetak" location="Sampul!A1" ref="M544"/>
    <hyperlink display="Cetak" location="Sampul!A1" ref="M545"/>
    <hyperlink display="Cetak" location="Sampul!A1" ref="M546"/>
    <hyperlink display="Cetak" location="Sampul!A1" ref="M547"/>
    <hyperlink display="Cetak" location="Sampul!A1" ref="M548"/>
    <hyperlink display="Cetak" location="Sampul!A1" ref="M549"/>
    <hyperlink display="Cetak" location="Sampul!A1" ref="M550"/>
    <hyperlink display="Cetak" location="Sampul!A1" ref="M551"/>
    <hyperlink display="Cetak" location="Sampul!A1" ref="M552"/>
    <hyperlink display="Cetak" location="Sampul!A1" ref="M553"/>
    <hyperlink display="Cetak" location="Sampul!A1" ref="M554"/>
    <hyperlink display="Cetak" location="Sampul!A1" ref="M555"/>
    <hyperlink display="Cetak" location="Sampul!A1" ref="M556"/>
    <hyperlink display="Cetak" location="Sampul!A1" ref="M557"/>
    <hyperlink display="Cetak" location="Sampul!A1" ref="M558"/>
    <hyperlink display="Cetak" location="Sampul!A1" ref="M559"/>
    <hyperlink display="Cetak" location="Sampul!A1" ref="M560"/>
    <hyperlink display="Cetak" location="Sampul!A1" ref="M561"/>
    <hyperlink display="Cetak" location="Sampul!A1" ref="M562"/>
    <hyperlink display="Cetak" location="Sampul!A1" ref="M563"/>
    <hyperlink display="Cetak" location="Sampul!A1" ref="M564"/>
    <hyperlink display="Cetak" location="Sampul!A1" ref="M565"/>
    <hyperlink display="Cetak" location="Sampul!A1" ref="M566"/>
    <hyperlink display="Cetak" location="Sampul!A1" ref="M567"/>
    <hyperlink display="Cetak" location="Sampul!A1" ref="M568"/>
    <hyperlink display="Cetak" location="Sampul!A1" ref="M569"/>
    <hyperlink display="Cetak" location="Sampul!A1" ref="M570"/>
    <hyperlink display="Cetak" location="Sampul!A1" ref="M571"/>
    <hyperlink display="Cetak" location="Sampul!A1" ref="M572"/>
    <hyperlink display="Cetak" location="Sampul!A1" ref="M573"/>
    <hyperlink display="Cetak" location="Sampul!A1" ref="M574"/>
    <hyperlink display="Cetak" location="Sampul!A1" ref="M575"/>
    <hyperlink display="Cetak" location="Sampul!A1" ref="M576"/>
    <hyperlink display="Cetak" location="Sampul!A1" ref="M577"/>
    <hyperlink display="Cetak" location="Sampul!A1" ref="M578"/>
    <hyperlink display="Cetak" location="Sampul!A1" ref="M579"/>
    <hyperlink display="Cetak" location="Sampul!A1" ref="M580"/>
    <hyperlink display="Cetak" location="Sampul!A1" ref="M581"/>
    <hyperlink display="Cetak" location="Sampul!A1" ref="M582"/>
    <hyperlink display="Cetak" location="Sampul!A1" ref="M583"/>
    <hyperlink display="Cetak" location="Sampul!A1" ref="M584"/>
    <hyperlink display="Cetak" location="Sampul!A1" ref="M585"/>
    <hyperlink display="Cetak" location="Sampul!A1" ref="M586"/>
    <hyperlink display="Cetak" location="Sampul!A1" ref="M587"/>
    <hyperlink display="Cetak" location="Sampul!A1" ref="M588"/>
    <hyperlink display="Cetak" location="Sampul!A1" ref="M589"/>
    <hyperlink display="Cetak" location="Sampul!A1" ref="M590"/>
    <hyperlink display="Cetak" location="Sampul!A1" ref="M591"/>
    <hyperlink display="Cetak" location="Sampul!A1" ref="M592"/>
    <hyperlink display="Cetak" location="Sampul!A1" ref="M593"/>
    <hyperlink display="Cetak" location="Sampul!A1" ref="M594"/>
    <hyperlink display="Cetak" location="Sampul!A1" ref="M595"/>
    <hyperlink display="Cetak" location="Sampul!A1" ref="M596"/>
    <hyperlink display="Cetak" location="Sampul!A1" ref="M597"/>
    <hyperlink display="Cetak" location="Sampul!A1" ref="M598"/>
    <hyperlink display="Cetak" location="Sampul!A1" ref="M599"/>
    <hyperlink display="Cetak" location="Sampul!A1" ref="M600"/>
    <hyperlink display="Cetak" location="Sampul!A1" ref="M601"/>
    <hyperlink display="Cetak" location="Sampul!A1" ref="M602"/>
    <hyperlink display="Cetak" location="Sampul!A1" ref="M603"/>
    <hyperlink display="Cetak" location="Sampul!A1" ref="M604"/>
    <hyperlink display="Cetak" location="Sampul!A1" ref="M605"/>
    <hyperlink display="Cetak" location="Sampul!A1" ref="M606"/>
    <hyperlink display="Cetak" location="Sampul!A1" ref="M607"/>
    <hyperlink display="Cetak" location="Sampul!A1" ref="M608"/>
    <hyperlink display="Cetak" location="Sampul!A1" ref="M609"/>
    <hyperlink display="Cetak" location="Sampul!A1" ref="M610"/>
    <hyperlink display="Cetak" location="Sampul!A1" ref="M611"/>
    <hyperlink display="Cetak" location="Sampul!A1" ref="M612"/>
    <hyperlink display="Cetak" location="Sampul!A1" ref="M613"/>
    <hyperlink display="Cetak" location="Sampul!A1" ref="M614"/>
    <hyperlink display="Cetak" location="Sampul!A1" ref="M615"/>
    <hyperlink display="Cetak" location="Sampul!A1" ref="M616"/>
    <hyperlink display="Cetak" location="Sampul!A1" ref="M617"/>
    <hyperlink display="Cetak" location="Sampul!A1" ref="M618"/>
    <hyperlink display="Cetak" location="Sampul!A1" ref="M619"/>
    <hyperlink display="Cetak" location="Sampul!A1" ref="M620"/>
    <hyperlink display="Cetak" location="Sampul!A1" ref="M621"/>
    <hyperlink display="Cetak" location="Sampul!A1" ref="M622"/>
    <hyperlink display="Cetak" location="Sampul!A1" ref="M623"/>
    <hyperlink display="Cetak" location="Sampul!A1" ref="M624"/>
    <hyperlink display="Cetak" location="Sampul!A1" ref="M625"/>
    <hyperlink display="Cetak" location="Sampul!A1" ref="M626"/>
    <hyperlink display="Cetak" location="Sampul!A1" ref="M627"/>
    <hyperlink display="Cetak" location="Sampul!A1" ref="M628"/>
    <hyperlink display="Cetak" location="Sampul!A1" ref="M629"/>
    <hyperlink display="Cetak" location="Sampul!A1" ref="M630"/>
    <hyperlink display="Cetak" location="Sampul!A1" ref="M631"/>
    <hyperlink display="Cetak" location="Sampul!A1" ref="M632"/>
    <hyperlink display="Cetak" location="Sampul!A1" ref="M633"/>
    <hyperlink display="Cetak" location="Sampul!A1" ref="M634"/>
    <hyperlink display="Cetak" location="Sampul!A1" ref="M635"/>
    <hyperlink display="Cetak" location="Sampul!A1" ref="M636"/>
    <hyperlink display="Cetak" location="Sampul!A1" ref="M637"/>
    <hyperlink display="Cetak" location="Sampul!A1" ref="M638"/>
    <hyperlink display="Cetak" location="Sampul!A1" ref="M639"/>
    <hyperlink display="Cetak" location="Sampul!A1" ref="M640"/>
    <hyperlink display="Cetak" location="Sampul!A1" ref="M641"/>
    <hyperlink display="Cetak" location="Sampul!A1" ref="M642"/>
    <hyperlink display="Cetak" location="Sampul!A1" ref="M643"/>
    <hyperlink display="Cetak" location="Sampul!A1" ref="M644"/>
    <hyperlink display="Cetak" location="Sampul!A1" ref="M645"/>
    <hyperlink display="Cetak" location="Sampul!A1" ref="M646"/>
    <hyperlink display="Cetak" location="Sampul!A1" ref="M647"/>
    <hyperlink display="Cetak" location="Sampul!A1" ref="M648"/>
    <hyperlink display="Cetak" location="Sampul!A1" ref="M649"/>
    <hyperlink display="Cetak" location="Sampul!A1" ref="M650"/>
    <hyperlink display="Cetak" location="Sampul!A1" ref="M651"/>
    <hyperlink display="Cetak" location="Sampul!A1" ref="M652"/>
    <hyperlink display="Cetak" location="Sampul!A1" ref="M653"/>
    <hyperlink display="Cetak" location="Sampul!A1" ref="M654"/>
    <hyperlink display="Cetak" location="Sampul!A1" ref="M655"/>
    <hyperlink display="Cetak" location="Sampul!A1" ref="M656"/>
    <hyperlink display="Cetak" location="Sampul!A1" ref="M657"/>
    <hyperlink display="Cetak" location="Sampul!A1" ref="M658"/>
    <hyperlink display="Cetak" location="Sampul!A1" ref="M659"/>
    <hyperlink display="Cetak" location="Sampul!A1" ref="M660"/>
    <hyperlink display="Cetak" location="Sampul!A1" ref="M661"/>
    <hyperlink display="Cetak" location="Sampul!A1" ref="M662"/>
    <hyperlink display="Cetak" location="Sampul!A1" ref="M663"/>
    <hyperlink display="Cetak" location="Sampul!A1" ref="M664"/>
    <hyperlink display="Cetak" location="Sampul!A1" ref="M665"/>
    <hyperlink display="Cetak" location="Sampul!A1" ref="M666"/>
    <hyperlink display="Cetak" location="Sampul!A1" ref="M667"/>
    <hyperlink display="Cetak" location="Sampul!A1" ref="M668"/>
    <hyperlink display="Cetak" location="Sampul!A1" ref="M669"/>
    <hyperlink display="Cetak" location="Sampul!A1" ref="M670"/>
    <hyperlink display="Cetak" location="Sampul!A1" ref="M671"/>
    <hyperlink display="Cetak" location="Sampul!A1" ref="M672"/>
    <hyperlink display="Cetak" location="Sampul!A1" ref="M673"/>
    <hyperlink display="Cetak" location="Sampul!A1" ref="M674"/>
    <hyperlink display="Cetak" location="Sampul!A1" ref="M675"/>
    <hyperlink display="Cetak" location="Sampul!A1" ref="M676"/>
    <hyperlink display="Cetak" location="Sampul!A1" ref="M677"/>
    <hyperlink display="Cetak" location="Sampul!A1" ref="M678"/>
    <hyperlink display="Cetak" location="Sampul!A1" ref="M679"/>
    <hyperlink display="Cetak" location="Sampul!A1" ref="M680"/>
    <hyperlink display="Cetak" location="Sampul!A1" ref="M681"/>
    <hyperlink display="Cetak" location="Sampul!A1" ref="M682"/>
    <hyperlink display="Cetak" location="Sampul!A1" ref="M683"/>
    <hyperlink display="Cetak" location="Sampul!A1" ref="M684"/>
    <hyperlink display="Cetak" location="Sampul!A1" ref="M685"/>
    <hyperlink display="Cetak" location="Sampul!A1" ref="M686"/>
    <hyperlink display="Cetak" location="Sampul!A1" ref="M687"/>
    <hyperlink display="Cetak" location="Sampul!A1" ref="M688"/>
    <hyperlink display="Cetak" location="Sampul!A1" ref="M689"/>
    <hyperlink display="Cetak" location="Sampul!A1" ref="M690"/>
    <hyperlink display="Cetak" location="Sampul!A1" ref="M691"/>
    <hyperlink display="Cetak" location="Sampul!A1" ref="M692"/>
    <hyperlink display="Cetak" location="Sampul!A1" ref="M693"/>
    <hyperlink display="Cetak" location="Sampul!A1" ref="M694"/>
    <hyperlink display="Cetak" location="Sampul!A1" ref="M695"/>
    <hyperlink display="Cetak" location="Sampul!A1" ref="M696"/>
    <hyperlink display="Cetak" location="Sampul!A1" ref="M697"/>
    <hyperlink display="Cetak" location="Sampul!A1" ref="M698"/>
    <hyperlink display="Cetak" location="Sampul!A1" ref="M699"/>
    <hyperlink display="Cetak" location="Sampul!A1" ref="M700"/>
    <hyperlink display="Cetak" location="Sampul!A1" ref="M701"/>
    <hyperlink display="Cetak" location="Sampul!A1" ref="M702"/>
    <hyperlink display="Cetak" location="Sampul!A1" ref="M703"/>
    <hyperlink display="Cetak" location="Sampul!A1" ref="M704"/>
    <hyperlink display="Cetak" location="Sampul!A1" ref="M705"/>
    <hyperlink display="Cetak" location="Sampul!A1" ref="M706"/>
    <hyperlink display="Cetak" location="Sampul!A1" ref="M707"/>
    <hyperlink display="Cetak" location="Sampul!A1" ref="M708"/>
    <hyperlink display="Cetak" location="Sampul!A1" ref="M709"/>
    <hyperlink display="Cetak" location="Sampul!A1" ref="M710"/>
    <hyperlink display="Cetak" location="Sampul!A1" ref="M711"/>
    <hyperlink display="Cetak" location="Sampul!A1" ref="M712"/>
    <hyperlink display="Cetak" location="Sampul!A1" ref="M713"/>
    <hyperlink display="Cetak" location="Sampul!A1" ref="M714"/>
    <hyperlink display="Cetak" location="Sampul!A1" ref="M715"/>
    <hyperlink display="Cetak" location="Sampul!A1" ref="M716"/>
    <hyperlink display="Cetak" location="Sampul!A1" ref="M717"/>
    <hyperlink display="Cetak" location="Sampul!A1" ref="M718"/>
    <hyperlink display="Cetak" location="Sampul!A1" ref="M719"/>
    <hyperlink display="Cetak" location="Sampul!A1" ref="M720"/>
    <hyperlink display="Cetak" location="Sampul!A1" ref="M721"/>
    <hyperlink display="Cetak" location="Sampul!A1" ref="M722"/>
    <hyperlink display="Cetak" location="Sampul!A1" ref="M723"/>
    <hyperlink display="Cetak" location="Sampul!A1" ref="M724"/>
    <hyperlink display="Cetak" location="Sampul!A1" ref="M725"/>
    <hyperlink display="Cetak" location="Sampul!A1" ref="M726"/>
    <hyperlink display="Cetak" location="Sampul!A1" ref="M727"/>
    <hyperlink display="Cetak" location="Sampul!A1" ref="M728"/>
    <hyperlink display="Cetak" location="Sampul!A1" ref="M729"/>
    <hyperlink display="Cetak" location="Sampul!A1" ref="M730"/>
    <hyperlink display="Cetak" location="Sampul!A1" ref="M731"/>
    <hyperlink display="Cetak" location="Sampul!A1" ref="M732"/>
    <hyperlink display="Cetak" location="Sampul!A1" ref="M733"/>
    <hyperlink display="Cetak" location="Sampul!A1" ref="M734"/>
    <hyperlink display="Cetak" location="Sampul!A1" ref="M735"/>
    <hyperlink display="Cetak" location="Sampul!A1" ref="M736"/>
    <hyperlink display="Cetak" location="Sampul!A1" ref="M737"/>
    <hyperlink display="Cetak" location="Sampul!A1" ref="M738"/>
    <hyperlink display="Cetak" location="Sampul!A1" ref="M739"/>
    <hyperlink display="Cetak" location="Sampul!A1" ref="M740"/>
    <hyperlink display="Cetak" location="Sampul!A1" ref="M741"/>
    <hyperlink display="Cetak" location="Sampul!A1" ref="M742"/>
    <hyperlink display="Cetak" location="Sampul!A1" ref="M743"/>
    <hyperlink display="Cetak" location="Sampul!A1" ref="M744"/>
    <hyperlink display="Cetak" location="Sampul!A1" ref="M745"/>
    <hyperlink display="Cetak" location="Sampul!A1" ref="M746"/>
    <hyperlink display="Cetak" location="Sampul!A1" ref="M747"/>
    <hyperlink display="Cetak" location="Sampul!A1" ref="M748"/>
    <hyperlink display="Cetak" location="Sampul!A1" ref="M749"/>
    <hyperlink display="Cetak" location="Sampul!A1" ref="M750"/>
    <hyperlink display="Cetak" location="Sampul!A1" ref="M751"/>
    <hyperlink display="Cetak" location="Sampul!A1" ref="M752"/>
    <hyperlink display="Cetak" location="Sampul!A1" ref="M753"/>
    <hyperlink display="Cetak" location="Sampul!A1" ref="M754"/>
    <hyperlink display="Cetak" location="Sampul!A1" ref="M755"/>
    <hyperlink display="Cetak" location="Sampul!A1" ref="M756"/>
    <hyperlink display="Cetak" location="Sampul!A1" ref="M757"/>
    <hyperlink display="Cetak" location="Sampul!A1" ref="M758"/>
    <hyperlink display="Cetak" location="Sampul!A1" ref="M759"/>
    <hyperlink display="Cetak" location="Sampul!A1" ref="M760"/>
    <hyperlink display="Cetak" location="Sampul!A1" ref="M761"/>
    <hyperlink display="Cetak" location="Sampul!A1" ref="M762"/>
    <hyperlink display="Cetak" location="Sampul!A1" ref="M763"/>
    <hyperlink display="Cetak" location="Sampul!A1" ref="M764"/>
    <hyperlink display="Cetak" location="Sampul!A1" ref="M765"/>
    <hyperlink display="Cetak" location="Sampul!A1" ref="M766"/>
    <hyperlink display="Cetak" location="Sampul!A1" ref="M767"/>
    <hyperlink display="Cetak" location="Sampul!A1" ref="M768"/>
    <hyperlink display="Cetak" location="Sampul!A1" ref="M769"/>
    <hyperlink display="Cetak" location="Sampul!A1" ref="M770"/>
    <hyperlink display="Cetak" location="Sampul!A1" ref="M771"/>
    <hyperlink display="Cetak" location="Sampul!A1" ref="M772"/>
    <hyperlink display="Cetak" location="Sampul!A1" ref="M773"/>
    <hyperlink display="Cetak" location="Sampul!A1" ref="M774"/>
    <hyperlink display="Cetak" location="Sampul!A1" ref="M775"/>
    <hyperlink display="Cetak" location="Sampul!A1" ref="M776"/>
    <hyperlink display="Cetak" location="Sampul!A1" ref="M777"/>
    <hyperlink display="Cetak" location="Sampul!A1" ref="M778"/>
    <hyperlink display="Cetak" location="Sampul!A1" ref="M779"/>
    <hyperlink display="Cetak" location="Sampul!A1" ref="M780"/>
    <hyperlink display="Cetak" location="Sampul!A1" ref="M781"/>
    <hyperlink display="Cetak" location="Sampul!A1" ref="M782"/>
    <hyperlink display="Cetak" location="Sampul!A1" ref="M783"/>
    <hyperlink display="Cetak" location="Sampul!A1" ref="M784"/>
    <hyperlink display="Cetak" location="Sampul!A1" ref="M785"/>
    <hyperlink display="Cetak" location="Sampul!A1" ref="M786"/>
    <hyperlink display="Cetak" location="Sampul!A1" ref="M787"/>
    <hyperlink display="Cetak" location="Sampul!A1" ref="M788"/>
    <hyperlink display="Cetak" location="Sampul!A1" ref="M789"/>
    <hyperlink display="Cetak" location="Sampul!A1" ref="M790"/>
    <hyperlink display="Cetak" location="Sampul!A1" ref="M791"/>
    <hyperlink display="Cetak" location="Sampul!A1" ref="M792"/>
    <hyperlink display="Cetak" location="Sampul!A1" ref="M793"/>
    <hyperlink display="Cetak" location="Sampul!A1" ref="M794"/>
    <hyperlink display="Cetak" location="Sampul!A1" ref="M795"/>
    <hyperlink display="Cetak" location="Sampul!A1" ref="M796"/>
    <hyperlink display="Cetak" location="Sampul!A1" ref="M797"/>
    <hyperlink display="Cetak" location="Sampul!A1" ref="M798"/>
    <hyperlink display="Cetak" location="Sampul!A1" ref="M799"/>
    <hyperlink display="Cetak" location="Sampul!A1" ref="M800"/>
    <hyperlink display="Cetak" location="Sampul!A1" ref="M801"/>
    <hyperlink display="Cetak" location="Sampul!A1" ref="M802"/>
    <hyperlink display="Cetak" location="Sampul!A1" ref="M803"/>
    <hyperlink display="Cetak" location="Sampul!A1" ref="M804"/>
    <hyperlink display="Cetak" location="Sampul!A1" ref="M805"/>
    <hyperlink display="Cetak" location="Sampul!A1" ref="M806"/>
    <hyperlink display="Cetak" location="Sampul!A1" ref="M807"/>
    <hyperlink display="Cetak" location="Sampul!A1" ref="M808"/>
    <hyperlink display="Cetak" location="Sampul!A1" ref="M809"/>
    <hyperlink display="Cetak" location="Sampul!A1" ref="M810"/>
    <hyperlink display="Cetak" location="Sampul!A1" ref="M811"/>
    <hyperlink display="Cetak" location="Sampul!A1" ref="M812"/>
    <hyperlink display="Cetak" location="Sampul!A1" ref="M813"/>
    <hyperlink display="Cetak" location="Sampul!A1" ref="M814"/>
    <hyperlink display="Cetak" location="Sampul!A1" ref="M815"/>
    <hyperlink display="Cetak" location="Sampul!A1" ref="M816"/>
    <hyperlink display="Cetak" location="Sampul!A1" ref="M817"/>
    <hyperlink display="Cetak" location="Sampul!A1" ref="M818"/>
    <hyperlink display="Cetak" location="Sampul!A1" ref="M819"/>
    <hyperlink display="Cetak" location="Sampul!A1" ref="M820"/>
    <hyperlink display="Cetak" location="Sampul!A1" ref="M821"/>
    <hyperlink display="Cetak" location="Sampul!A1" ref="M822"/>
    <hyperlink display="Cetak" location="Sampul!A1" ref="M823"/>
    <hyperlink display="Cetak" location="Sampul!A1" ref="M824"/>
    <hyperlink display="Cetak" location="Sampul!A1" ref="M825"/>
    <hyperlink display="Cetak" location="Sampul!A1" ref="M826"/>
    <hyperlink display="Cetak" location="Sampul!A1" ref="M827"/>
    <hyperlink display="Cetak" location="Sampul!A1" ref="M828"/>
    <hyperlink display="Cetak" location="Sampul!A1" ref="M829"/>
    <hyperlink display="Cetak" location="Sampul!A1" ref="M830"/>
    <hyperlink display="Cetak" location="Sampul!A1" ref="M831"/>
    <hyperlink display="Cetak" location="Sampul!A1" ref="M832"/>
    <hyperlink display="Cetak" location="Sampul!A1" ref="M833"/>
    <hyperlink display="Cetak" location="Sampul!A1" ref="M834"/>
    <hyperlink display="Cetak" location="Sampul!A1" ref="M835"/>
    <hyperlink display="Cetak" location="Sampul!A1" ref="M836"/>
    <hyperlink display="Cetak" location="Sampul!A1" ref="M837"/>
    <hyperlink display="Cetak" location="Sampul!A1" ref="M838"/>
    <hyperlink display="Cetak" location="Sampul!A1" ref="M839"/>
    <hyperlink display="Cetak" location="Sampul!A1" ref="M840"/>
    <hyperlink display="Cetak" location="Sampul!A1" ref="M841"/>
    <hyperlink display="Cetak" location="Sampul!A1" ref="M842"/>
    <hyperlink display="Cetak" location="Sampul!A1" ref="M843"/>
    <hyperlink display="Cetak" location="Sampul!A1" ref="M844"/>
    <hyperlink display="Cetak" location="Sampul!A1" ref="M845"/>
    <hyperlink display="Cetak" location="Sampul!A1" ref="M846"/>
    <hyperlink display="Cetak" location="Sampul!A1" ref="M847"/>
    <hyperlink display="Cetak" location="Sampul!A1" ref="M848"/>
    <hyperlink display="Cetak" location="Sampul!A1" ref="M849"/>
    <hyperlink display="Cetak" location="Sampul!A1" ref="M850"/>
    <hyperlink display="Cetak" location="Sampul!A1" ref="M851"/>
    <hyperlink display="Cetak" location="Sampul!A1" ref="M852"/>
    <hyperlink display="Cetak" location="Sampul!A1" ref="M853"/>
    <hyperlink display="Cetak" location="Sampul!A1" ref="M854"/>
    <hyperlink display="Cetak" location="Sampul!A1" ref="M855"/>
    <hyperlink display="Cetak" location="Sampul!A1" ref="M856"/>
    <hyperlink display="Cetak" location="Sampul!A1" ref="M857"/>
    <hyperlink display="Cetak" location="Sampul!A1" ref="M858"/>
    <hyperlink display="Cetak" location="Sampul!A1" ref="M859"/>
    <hyperlink display="Cetak" location="Sampul!A1" ref="M860"/>
    <hyperlink display="Cetak" location="Sampul!A1" ref="M861"/>
    <hyperlink display="Cetak" location="Sampul!A1" ref="M862"/>
    <hyperlink display="Cetak" location="Sampul!A1" ref="M863"/>
    <hyperlink display="Cetak" location="Sampul!A1" ref="M864"/>
    <hyperlink display="Cetak" location="Sampul!A1" ref="M865"/>
    <hyperlink display="Cetak" location="Sampul!A1" ref="M866"/>
    <hyperlink display="Cetak" location="Sampul!A1" ref="M867"/>
    <hyperlink display="Cetak" location="Sampul!A1" ref="M868"/>
    <hyperlink display="Cetak" location="Sampul!A1" ref="M869"/>
    <hyperlink display="Cetak" location="Sampul!A1" ref="M870"/>
    <hyperlink display="Cetak" location="Sampul!A1" ref="M871"/>
    <hyperlink display="Cetak" location="Sampul!A1" ref="M872"/>
    <hyperlink display="Cetak" location="Sampul!A1" ref="M873"/>
    <hyperlink display="Cetak" location="Sampul!A1" ref="M874"/>
    <hyperlink display="Cetak" location="Sampul!A1" ref="M875"/>
    <hyperlink display="Cetak" location="Sampul!A1" ref="M876"/>
    <hyperlink display="Cetak" location="Sampul!A1" ref="M877"/>
    <hyperlink display="Cetak" location="Sampul!A1" ref="M878"/>
    <hyperlink display="Cetak" location="Sampul!A1" ref="M879"/>
    <hyperlink display="Cetak" location="Sampul!A1" ref="M880"/>
    <hyperlink display="Cetak" location="Sampul!A1" ref="M881"/>
    <hyperlink display="Cetak" location="Sampul!A1" ref="M882"/>
    <hyperlink display="Cetak" location="Sampul!A1" ref="M883"/>
    <hyperlink display="Cetak" location="Sampul!A1" ref="M884"/>
    <hyperlink display="Cetak" location="Sampul!A1" ref="M885"/>
    <hyperlink display="Cetak" location="Sampul!A1" ref="M886"/>
    <hyperlink display="Cetak" location="Sampul!A1" ref="M887"/>
    <hyperlink display="Cetak" location="Sampul!A1" ref="M888"/>
    <hyperlink display="Cetak" location="Sampul!A1" ref="M889"/>
    <hyperlink display="Cetak" location="Sampul!A1" ref="M890"/>
    <hyperlink display="Cetak" location="Sampul!A1" ref="M891"/>
    <hyperlink display="Cetak" location="Sampul!A1" ref="M892"/>
    <hyperlink display="Cetak" location="Sampul!A1" ref="M893"/>
    <hyperlink display="Cetak" location="Sampul!A1" ref="M894"/>
    <hyperlink display="Cetak" location="Sampul!A1" ref="M895"/>
    <hyperlink display="Cetak" location="Sampul!A1" ref="M896"/>
    <hyperlink display="Cetak" location="Sampul!A1" ref="M897"/>
    <hyperlink display="Cetak" location="Sampul!A1" ref="M898"/>
    <hyperlink display="Cetak" location="Sampul!A1" ref="M899"/>
    <hyperlink display="Cetak" location="Sampul!A1" ref="M900"/>
    <hyperlink display="Cetak" location="Sampul!A1" ref="M901"/>
    <hyperlink display="Cetak" location="Sampul!A1" ref="M902"/>
    <hyperlink display="Cetak" location="Sampul!A1" ref="M903"/>
    <hyperlink display="Cetak" location="Sampul!A1" ref="M904"/>
    <hyperlink display="Cetak" location="Sampul!A1" ref="M905"/>
    <hyperlink display="Cetak" location="Sampul!A1" ref="M906"/>
    <hyperlink display="Cetak" location="Sampul!A1" ref="M907"/>
    <hyperlink display="Cetak" location="Sampul!A1" ref="M908"/>
    <hyperlink display="Cetak" location="Sampul!A1" ref="M909"/>
    <hyperlink display="Cetak" location="Sampul!A1" ref="M910"/>
    <hyperlink display="Cetak" location="Sampul!A1" ref="M911"/>
    <hyperlink display="Cetak" location="Sampul!A1" ref="M912"/>
    <hyperlink display="Cetak" location="Sampul!A1" ref="M913"/>
    <hyperlink display="Cetak" location="Sampul!A1" ref="M914"/>
    <hyperlink display="Cetak" location="Sampul!A1" ref="M915"/>
    <hyperlink display="Cetak" location="Sampul!A1" ref="M916"/>
    <hyperlink display="Cetak" location="Sampul!A1" ref="M917"/>
    <hyperlink display="Cetak" location="Sampul!A1" ref="M918"/>
    <hyperlink display="Cetak" location="Sampul!A1" ref="M919"/>
    <hyperlink display="Cetak" location="Sampul!A1" ref="M920"/>
    <hyperlink display="Cetak" location="Sampul!A1" ref="M921"/>
    <hyperlink display="Cetak" location="Sampul!A1" ref="M922"/>
    <hyperlink display="Cetak" location="Sampul!A1" ref="M923"/>
    <hyperlink display="Cetak" location="Sampul!A1" ref="M924"/>
    <hyperlink display="Cetak" location="Sampul!A1" ref="M925"/>
    <hyperlink display="Cetak" location="Sampul!A1" ref="M926"/>
    <hyperlink display="Cetak" location="Sampul!A1" ref="M927"/>
    <hyperlink display="Cetak" location="Sampul!A1" ref="M928"/>
    <hyperlink display="Cetak" location="Sampul!A1" ref="M929"/>
    <hyperlink display="Cetak" location="Sampul!A1" ref="M930"/>
    <hyperlink display="Cetak" location="Sampul!A1" ref="M931"/>
    <hyperlink display="Cetak" location="Sampul!A1" ref="M932"/>
    <hyperlink display="Cetak" location="Sampul!A1" ref="M933"/>
    <hyperlink display="Cetak" location="Sampul!A1" ref="M934"/>
    <hyperlink display="Cetak" location="Sampul!A1" ref="M935"/>
    <hyperlink display="Cetak" location="Sampul!A1" ref="M936"/>
    <hyperlink display="Cetak" location="Sampul!A1" ref="M937"/>
    <hyperlink display="Cetak" location="Sampul!A1" ref="M938"/>
    <hyperlink display="Cetak" location="Sampul!A1" ref="M939"/>
    <hyperlink display="Cetak" location="Sampul!A1" ref="M940"/>
    <hyperlink display="Cetak" location="Sampul!A1" ref="M941"/>
    <hyperlink display="Cetak" location="Sampul!A1" ref="M942"/>
    <hyperlink display="Cetak" location="Sampul!A1" ref="M943"/>
    <hyperlink display="Cetak" location="Sampul!A1" ref="M944"/>
    <hyperlink display="Cetak" location="Sampul!A1" ref="M945"/>
    <hyperlink display="Cetak" location="Sampul!A1" ref="M946"/>
    <hyperlink display="Cetak" location="Sampul!A1" ref="M947"/>
    <hyperlink display="Cetak" location="Sampul!A1" ref="M948"/>
    <hyperlink display="Cetak" location="Sampul!A1" ref="M949"/>
    <hyperlink display="Cetak" location="Sampul!A1" ref="M950"/>
    <hyperlink display="Cetak" location="Sampul!A1" ref="M951"/>
    <hyperlink display="Cetak" location="Sampul!A1" ref="M952"/>
    <hyperlink display="Cetak" location="Sampul!A1" ref="M953"/>
    <hyperlink display="Cetak" location="Sampul!A1" ref="M954"/>
    <hyperlink display="Cetak" location="Sampul!A1" ref="M955"/>
    <hyperlink display="Cetak" location="Sampul!A1" ref="M956"/>
    <hyperlink display="Cetak" location="Sampul!A1" ref="M957"/>
    <hyperlink display="Cetak" location="Sampul!A1" ref="M958"/>
    <hyperlink display="Cetak" location="Sampul!A1" ref="M959"/>
    <hyperlink display="Cetak" location="Sampul!A1" ref="M960"/>
    <hyperlink display="Cetak" location="Sampul!A1" ref="M961"/>
    <hyperlink display="Cetak" location="Sampul!A1" ref="M962"/>
    <hyperlink display="Cetak" location="Sampul!A1" ref="M963"/>
    <hyperlink display="Cetak" location="Sampul!A1" ref="M964"/>
    <hyperlink display="Cetak" location="Sampul!A1" ref="M965"/>
    <hyperlink display="Cetak" location="Sampul!A1" ref="M966"/>
    <hyperlink display="Cetak" location="Sampul!A1" ref="M967"/>
    <hyperlink display="Cetak" location="Sampul!A1" ref="M968"/>
    <hyperlink display="Cetak" location="Sampul!A1" ref="M969"/>
    <hyperlink display="Cetak" location="Sampul!A1" ref="M970"/>
    <hyperlink display="Cetak" location="Sampul!A1" ref="M971"/>
    <hyperlink display="Cetak" location="Sampul!A1" ref="M972"/>
    <hyperlink display="Cetak" location="Sampul!A1" ref="M973"/>
    <hyperlink display="Cetak" location="Sampul!A1" ref="M974"/>
    <hyperlink display="Cetak" location="Sampul!A1" ref="M975"/>
    <hyperlink display="Cetak" location="Sampul!A1" ref="M976"/>
    <hyperlink display="Cetak" location="Sampul!A1" ref="M977"/>
    <hyperlink display="Cetak" location="Sampul!A1" ref="M978"/>
    <hyperlink display="Cetak" location="Sampul!A1" ref="M979"/>
    <hyperlink display="Cetak" location="Sampul!A1" ref="M980"/>
    <hyperlink display="Cetak" location="Sampul!A1" ref="M981"/>
    <hyperlink display="Cetak" location="Sampul!A1" ref="M982"/>
    <hyperlink display="Cetak" location="Sampul!A1" ref="M983"/>
    <hyperlink display="Cetak" location="Sampul!A1" ref="M984"/>
    <hyperlink display="Cetak" location="Sampul!A1" ref="M985"/>
    <hyperlink display="Cetak" location="Sampul!A1" ref="M986"/>
    <hyperlink display="Cetak" location="Sampul!A1" ref="M987"/>
    <hyperlink display="Cetak" location="Sampul!A1" ref="M988"/>
    <hyperlink display="Cetak" location="Sampul!A1" ref="M989"/>
    <hyperlink display="Cetak" location="Sampul!A1" ref="M990"/>
    <hyperlink display="Cetak" location="Sampul!A1" ref="M991"/>
    <hyperlink display="Cetak" location="Sampul!A1" ref="M992"/>
    <hyperlink display="Cetak" location="Sampul!A1" ref="M993"/>
    <hyperlink display="Cetak" location="Sampul!A1" ref="M994"/>
    <hyperlink display="Cetak" location="Sampul!A1" ref="M995"/>
    <hyperlink display="Cetak" location="Sampul!A1" ref="M996"/>
    <hyperlink display="Cetak" location="Sampul!A1" ref="M997"/>
    <hyperlink display="Cetak" location="Sampul!A1" ref="M998"/>
    <hyperlink display="Cetak" location="Sampul!A1" ref="M999"/>
    <hyperlink display="Cetak" location="Sampul!A1" ref="M1000"/>
  </hyperlink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0.88"/>
    <col customWidth="1" min="3" max="6" width="6.88"/>
    <col customWidth="1" min="7" max="7" width="0.38"/>
  </cols>
  <sheetData>
    <row r="5">
      <c r="B5" s="26" t="s">
        <v>8</v>
      </c>
      <c r="C5" s="27" t="s">
        <v>502</v>
      </c>
      <c r="D5" s="28"/>
      <c r="E5" s="28"/>
      <c r="F5" s="28"/>
      <c r="G5" s="29"/>
    </row>
    <row r="6">
      <c r="B6" s="30"/>
      <c r="C6" s="30"/>
      <c r="D6" s="30"/>
      <c r="E6" s="30"/>
      <c r="F6" s="30"/>
      <c r="G6" s="30"/>
    </row>
    <row r="7">
      <c r="B7" s="31" t="s">
        <v>503</v>
      </c>
      <c r="C7" s="32" t="str">
        <f>IF($C$5="","",VLOOKUP($C$5,'369'!$D$8:$K$1000,I7,0))</f>
        <v>#N/A</v>
      </c>
      <c r="D7" s="28"/>
      <c r="E7" s="28"/>
      <c r="F7" s="28"/>
      <c r="G7" s="29"/>
      <c r="I7" s="1">
        <v>5.0</v>
      </c>
    </row>
    <row r="8">
      <c r="B8" s="30"/>
      <c r="C8" s="33"/>
      <c r="D8" s="33"/>
      <c r="E8" s="33"/>
      <c r="F8" s="33"/>
      <c r="G8" s="33"/>
    </row>
    <row r="9">
      <c r="B9" s="26" t="s">
        <v>504</v>
      </c>
      <c r="C9" s="32" t="str">
        <f>IF($C$5="","",VLOOKUP($C$5,'369'!$D$8:$K$1000,I9,0))</f>
        <v>#N/A</v>
      </c>
      <c r="D9" s="28"/>
      <c r="E9" s="28"/>
      <c r="F9" s="28"/>
      <c r="G9" s="29"/>
      <c r="I9" s="1">
        <v>3.0</v>
      </c>
    </row>
    <row r="10">
      <c r="B10" s="30"/>
      <c r="C10" s="30"/>
      <c r="D10" s="30"/>
      <c r="E10" s="30"/>
      <c r="F10" s="30"/>
      <c r="G10" s="30"/>
    </row>
    <row r="11">
      <c r="B11" s="26" t="s">
        <v>505</v>
      </c>
      <c r="C11" s="32" t="str">
        <f>IF($C$5="","",VLOOKUP($C$5,'369'!$D$8:$K$1000,I11,0))</f>
        <v>#N/A</v>
      </c>
      <c r="D11" s="28"/>
      <c r="E11" s="28"/>
      <c r="F11" s="28"/>
      <c r="G11" s="29"/>
      <c r="I11" s="1">
        <v>6.0</v>
      </c>
    </row>
    <row r="12">
      <c r="B12" s="30"/>
      <c r="C12" s="30"/>
      <c r="D12" s="30"/>
      <c r="E12" s="30"/>
      <c r="F12" s="30"/>
      <c r="G12" s="30"/>
    </row>
    <row r="13">
      <c r="B13" s="26" t="s">
        <v>506</v>
      </c>
      <c r="C13" s="32" t="str">
        <f>IF($C$5="","",VLOOKUP($C$5,'369'!$D$8:$K$1000,I13,0))</f>
        <v>#N/A</v>
      </c>
      <c r="D13" s="28"/>
      <c r="E13" s="28"/>
      <c r="F13" s="28"/>
      <c r="G13" s="29"/>
      <c r="I13" s="1">
        <v>8.0</v>
      </c>
    </row>
    <row r="14">
      <c r="B14" s="30"/>
      <c r="C14" s="30"/>
      <c r="D14" s="30"/>
      <c r="E14" s="30"/>
      <c r="F14" s="30"/>
      <c r="G14" s="30"/>
    </row>
    <row r="15">
      <c r="B15" s="26" t="s">
        <v>507</v>
      </c>
      <c r="C15" s="32" t="str">
        <f>IF($C$5="","",VLOOKUP($C$5,'369'!$D$8:$L$1000,I15,0))</f>
        <v>#N/A</v>
      </c>
      <c r="D15" s="28"/>
      <c r="E15" s="28"/>
      <c r="F15" s="28"/>
      <c r="G15" s="29"/>
      <c r="I15" s="1">
        <v>9.0</v>
      </c>
    </row>
    <row r="16">
      <c r="B16" s="34"/>
      <c r="C16" s="34"/>
      <c r="D16" s="34"/>
      <c r="E16" s="34"/>
      <c r="F16" s="34"/>
      <c r="G16" s="34"/>
    </row>
    <row r="17">
      <c r="B17" s="35"/>
      <c r="C17" s="35"/>
      <c r="D17" s="35"/>
      <c r="E17" s="35"/>
      <c r="F17" s="35"/>
      <c r="G17" s="35"/>
    </row>
    <row r="18">
      <c r="B18" s="35"/>
      <c r="C18" s="35"/>
      <c r="D18" s="35"/>
      <c r="E18" s="35"/>
      <c r="F18" s="35"/>
      <c r="G18" s="35"/>
    </row>
    <row r="19">
      <c r="B19" s="35"/>
      <c r="C19" s="35"/>
      <c r="D19" s="35"/>
      <c r="E19" s="35"/>
      <c r="F19" s="35"/>
      <c r="G19" s="35"/>
    </row>
    <row r="20">
      <c r="B20" s="35"/>
      <c r="C20" s="35"/>
      <c r="D20" s="35"/>
      <c r="E20" s="35"/>
      <c r="F20" s="35"/>
      <c r="G20" s="35"/>
    </row>
    <row r="21">
      <c r="B21" s="35"/>
      <c r="C21" s="35"/>
      <c r="D21" s="35"/>
      <c r="E21" s="35"/>
      <c r="F21" s="35"/>
      <c r="G21" s="35"/>
    </row>
    <row r="22">
      <c r="B22" s="35"/>
      <c r="C22" s="35"/>
      <c r="D22" s="35"/>
      <c r="E22" s="35"/>
      <c r="F22" s="35"/>
      <c r="G22" s="35"/>
    </row>
    <row r="23">
      <c r="B23" s="35"/>
      <c r="C23" s="35"/>
      <c r="D23" s="35"/>
      <c r="E23" s="35"/>
      <c r="F23" s="35"/>
      <c r="G23" s="35"/>
    </row>
  </sheetData>
  <mergeCells count="6">
    <mergeCell ref="C5:G5"/>
    <mergeCell ref="C7:G7"/>
    <mergeCell ref="C9:G9"/>
    <mergeCell ref="C11:G11"/>
    <mergeCell ref="C13:G13"/>
    <mergeCell ref="C15:G15"/>
  </mergeCells>
  <dataValidations>
    <dataValidation type="list" allowBlank="1" showErrorMessage="1" sqref="C5">
      <formula1>T_Warkah_Sementara[Nomor Tiket]</formula1>
    </dataValidation>
  </dataValidations>
  <drawing r:id="rId1"/>
</worksheet>
</file>